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ホーム" sheetId="1" state="visible" r:id="rId1"/>
    <sheet xmlns:r="http://schemas.openxmlformats.org/officeDocument/2006/relationships" name="設定" sheetId="2" state="visible" r:id="rId2"/>
    <sheet xmlns:r="http://schemas.openxmlformats.org/officeDocument/2006/relationships" name="名簿" sheetId="3" state="visible" r:id="rId3"/>
    <sheet xmlns:r="http://schemas.openxmlformats.org/officeDocument/2006/relationships" name="×入力" sheetId="4" state="visible" r:id="rId4"/>
    <sheet xmlns:r="http://schemas.openxmlformats.org/officeDocument/2006/relationships" name="自動案A" sheetId="5" state="visible" r:id="rId5"/>
    <sheet xmlns:r="http://schemas.openxmlformats.org/officeDocument/2006/relationships" name="自動案B" sheetId="6" state="visible" r:id="rId6"/>
    <sheet xmlns:r="http://schemas.openxmlformats.org/officeDocument/2006/relationships" name="調整・決定" sheetId="7" state="visible" r:id="rId7"/>
    <sheet xmlns:r="http://schemas.openxmlformats.org/officeDocument/2006/relationships" name="兄弟確認用" sheetId="8" state="visible" r:id="rId8"/>
    <sheet xmlns:r="http://schemas.openxmlformats.org/officeDocument/2006/relationships" name="お手紙（夏）" sheetId="9" state="visible" r:id="rId9"/>
    <sheet xmlns:r="http://schemas.openxmlformats.org/officeDocument/2006/relationships" name="お手紙（秋）" sheetId="10" state="visible" r:id="rId10"/>
    <sheet xmlns:r="http://schemas.openxmlformats.org/officeDocument/2006/relationships" name="calcA" sheetId="11" state="hidden" r:id="rId11"/>
    <sheet xmlns:r="http://schemas.openxmlformats.org/officeDocument/2006/relationships" name="calcB" sheetId="12" state="hidden" r:id="rId12"/>
    <sheet xmlns:r="http://schemas.openxmlformats.org/officeDocument/2006/relationships" name="calcC" sheetId="13" state="hidden" r:id="rId13"/>
  </sheets>
  <definedNames>
    <definedName name="自動案Aの表">'自動案A'!$C$6:$H$29</definedName>
    <definedName name="自動案Bの表">'自動案B'!$C$6:$H$29</definedName>
    <definedName name="決定の表">'調整・決定'!$C$6:$H$29</definedName>
    <definedName name="_xlnm._FilterDatabase" localSheetId="2" hidden="1">'名簿'!$A$4:$Y$49</definedName>
    <definedName name="_xlnm._FilterDatabase" localSheetId="3" hidden="1">'×入力'!$A$4:$S$1124</definedName>
    <definedName name="_xlnm.Print_Area" localSheetId="7">OFFSET('兄弟確認用'!$B$3,0,0,3+'設定'!$B$6,1+COUNT('設定'!$B$11:$B$16))</definedName>
    <definedName name="_xlnm.Print_Area" localSheetId="8">OFFSET('お手紙（夏）'!$B$4,0,0,64,IF(COUNT('設定'!$B$11:$B$16)&gt;5,7,6))</definedName>
    <definedName name="_xlnm._FilterDatabase" localSheetId="8" hidden="1">'お手紙（夏）'!$B$13:$M$67</definedName>
    <definedName name="_xlnm.Print_Area" localSheetId="9">OFFSET('お手紙（秋）'!$B$4,0,0,43,IF(COUNT('設定'!$B$11:$B$16)&gt;5,10,9))</definedName>
    <definedName name="_xlnm._FilterDatabase" localSheetId="9" hidden="1">'お手紙（秋）'!$B$16:$L$46</definedName>
  </definedNames>
  <calcPr calcId="124519" fullCalcOnLoad="1"/>
</workbook>
</file>

<file path=xl/styles.xml><?xml version="1.0" encoding="utf-8"?>
<styleSheet xmlns="http://schemas.openxmlformats.org/spreadsheetml/2006/main">
  <numFmts count="4">
    <numFmt numFmtId="164" formatCode="0&quot;人&quot;"/>
    <numFmt numFmtId="165" formatCode="m/d"/>
    <numFmt numFmtId="166" formatCode="0&quot;年&quot;"/>
    <numFmt numFmtId="167" formatCode="0&quot;組&quot;"/>
  </numFmts>
  <fonts count="58">
    <font>
      <name val="Calibri"/>
      <family val="2"/>
      <color theme="1"/>
      <sz val="11"/>
      <scheme val="minor"/>
    </font>
    <font>
      <name val="BIZ UDPゴシック"/>
    </font>
    <font>
      <name val="BIZ UDPゴシック"/>
      <b val="1"/>
      <color rgb="001B365D"/>
      <sz val="13"/>
    </font>
    <font>
      <name val="BIZ UDPゴシック"/>
      <b val="1"/>
      <color rgb="001B365D"/>
      <sz val="10"/>
    </font>
    <font>
      <name val="BIZ UDPゴシック"/>
      <b val="1"/>
      <color rgb="001B365D"/>
      <sz val="24"/>
    </font>
    <font>
      <name val="BIZ UDPゴシック"/>
      <b val="1"/>
      <color rgb="00FFFFFF"/>
      <sz val="20"/>
    </font>
    <font>
      <name val="BIZ UDPゴシック"/>
      <b val="1"/>
      <sz val="13"/>
    </font>
    <font>
      <name val="BIZ UDPゴシック"/>
      <color rgb="004A5568"/>
      <sz val="10"/>
    </font>
    <font>
      <name val="BIZ UDPゴシック"/>
      <b val="1"/>
      <color rgb="00FFFFFF"/>
      <sz val="12"/>
    </font>
    <font>
      <name val="BIZ UDPゴシック"/>
      <b val="1"/>
      <sz val="12"/>
    </font>
    <font>
      <name val="BIZ UDPゴシック"/>
      <sz val="10.5"/>
    </font>
    <font>
      <name val="BIZ UDPゴシック"/>
      <b val="1"/>
      <color rgb="00B23A3A"/>
      <sz val="10.5"/>
    </font>
    <font>
      <name val="BIZ UDPゴシック"/>
      <color rgb="009A6A00"/>
    </font>
    <font>
      <name val="BIZ UDPゴシック"/>
      <b val="1"/>
      <sz val="16"/>
    </font>
    <font>
      <name val="BIZ UDPゴシック"/>
      <color rgb="00666666"/>
      <sz val="9"/>
    </font>
    <font>
      <name val="BIZ UDPゴシック"/>
      <b val="1"/>
      <color rgb="00B23A3A"/>
      <sz val="10"/>
    </font>
    <font>
      <name val="BIZ UDPゴシック"/>
      <b val="1"/>
    </font>
    <font>
      <name val="BIZ UDPゴシック"/>
      <color rgb="00999999"/>
      <sz val="9"/>
    </font>
    <font>
      <name val="BIZ UDPゴシック"/>
      <b val="1"/>
      <color rgb="00B23A3A"/>
      <sz val="9"/>
    </font>
    <font>
      <name val="BIZ UDPゴシック"/>
      <b val="1"/>
      <color rgb="00B23A3A"/>
      <sz val="14"/>
    </font>
    <font>
      <name val="BIZ UDPゴシック"/>
      <b val="1"/>
      <color rgb="001B365D"/>
    </font>
    <font>
      <name val="BIZ UDPゴシック"/>
      <color rgb="00444444"/>
      <sz val="10"/>
    </font>
    <font>
      <name val="BIZ UDPゴシック"/>
      <b val="1"/>
      <color rgb="009A6A00"/>
      <sz val="10"/>
    </font>
    <font>
      <name val="BIZ UDPゴシック"/>
      <color rgb="002D5FA8"/>
      <u val="single"/>
    </font>
    <font>
      <name val="BIZ UDPゴシック"/>
      <b val="1"/>
      <sz val="14"/>
    </font>
    <font>
      <name val="BIZ UDPゴシック"/>
      <b val="1"/>
      <color rgb="003A6DB5"/>
      <u val="single"/>
    </font>
    <font>
      <name val="BIZ UDPゴシック"/>
      <b val="1"/>
      <color rgb="00B23A3A"/>
      <sz val="13"/>
    </font>
    <font>
      <name val="BIZ UDPゴシック"/>
      <b val="1"/>
      <color rgb="00B23A3A"/>
      <sz val="16"/>
    </font>
    <font>
      <name val="BIZ UDPゴシック"/>
      <b val="1"/>
      <color rgb="00FFFFFF"/>
      <sz val="14"/>
    </font>
    <font>
      <name val="BIZ UDPゴシック"/>
      <b val="1"/>
      <color rgb="00B23A3A"/>
      <sz val="11"/>
    </font>
    <font>
      <name val="BIZ UDPゴシック"/>
      <color rgb="001B365D"/>
      <sz val="9"/>
    </font>
    <font>
      <name val="BIZ UDPゴシック"/>
      <color rgb="00666666"/>
    </font>
    <font>
      <name val="BIZ UDPゴシック"/>
      <sz val="9"/>
    </font>
    <font>
      <name val="BIZ UDPゴシック"/>
      <b val="1"/>
      <color rgb="008A4B00"/>
      <sz val="10"/>
    </font>
    <font>
      <name val="BIZ UDPゴシック"/>
      <b val="1"/>
      <sz val="9"/>
    </font>
    <font>
      <name val="BIZ UDPゴシック"/>
      <b val="1"/>
      <color rgb="00B23A3A"/>
    </font>
    <font>
      <name val="BIZ UDPゴシック"/>
      <b val="1"/>
      <color rgb="009A6A00"/>
    </font>
    <font>
      <name val="BIZ UDPゴシック"/>
      <sz val="10"/>
    </font>
    <font>
      <name val="BIZ UDPゴシック"/>
      <b val="1"/>
      <sz val="10"/>
    </font>
    <font>
      <name val="BIZ UDPゴシック"/>
      <b val="1"/>
      <color rgb="002D5FA8"/>
      <sz val="10"/>
      <u val="single"/>
    </font>
    <font>
      <name val="BIZ UDPゴシック"/>
      <b val="1"/>
      <color rgb="001B365D"/>
      <sz val="14"/>
    </font>
    <font>
      <name val="BIZ UDPゴシック"/>
      <sz val="11"/>
    </font>
    <font>
      <name val="ＭＳ 明朝"/>
      <sz val="12"/>
    </font>
    <font>
      <name val="ＭＳ ゴシック"/>
      <sz val="24"/>
    </font>
    <font>
      <name val="HG丸ｺﾞｼｯｸM-PRO"/>
      <sz val="8"/>
    </font>
    <font>
      <name val="HG丸ｺﾞｼｯｸM-PRO"/>
      <sz val="9"/>
    </font>
    <font>
      <name val="HG丸ｺﾞｼｯｸM-PRO"/>
      <sz val="10.5"/>
    </font>
    <font>
      <name val="BIZ UDPゴシック"/>
      <b val="1"/>
      <color rgb="00FFFFFF"/>
      <sz val="13"/>
    </font>
    <font>
      <name val="ＭＳ ゴシック"/>
      <sz val="20"/>
    </font>
    <font>
      <name val="BIZ UDPゴシック"/>
      <b val="1"/>
      <color rgb="00FFFFFF"/>
      <sz val="18"/>
    </font>
    <font>
      <name val="BIZ UDPゴシック"/>
      <color rgb="001B365D"/>
      <sz val="10"/>
    </font>
    <font>
      <name val="BIZ UDPゴシック"/>
      <b val="1"/>
      <color rgb="00FFFFFF"/>
      <sz val="11"/>
    </font>
    <font>
      <name val="BIZ UDPゴシック"/>
      <b val="1"/>
      <color rgb="001B365D"/>
      <sz val="11"/>
    </font>
    <font>
      <name val="BIZ UDPゴシック"/>
      <b val="1"/>
      <color rgb="00FFFFFF"/>
    </font>
    <font>
      <name val="BIZ UDPゴシック"/>
      <color rgb="00DDE6F5"/>
      <sz val="10"/>
    </font>
    <font>
      <name val="BIZ UDPゴシック"/>
      <b val="1"/>
      <color rgb="005A3A00"/>
      <sz val="10"/>
    </font>
    <font>
      <name val="BIZ UDPゴシック"/>
      <b val="1"/>
      <color rgb="00FFFFFF"/>
      <sz val="10"/>
    </font>
    <font>
      <name val="BIZ UDPゴシック"/>
      <b val="1"/>
      <color rgb="00FFFFFF"/>
      <sz val="9"/>
    </font>
  </fonts>
  <fills count="22">
    <fill>
      <patternFill/>
    </fill>
    <fill>
      <patternFill patternType="gray125"/>
    </fill>
    <fill>
      <patternFill patternType="solid">
        <fgColor rgb="00DCE6F2"/>
        <bgColor rgb="00DCE6F2"/>
      </patternFill>
    </fill>
    <fill>
      <patternFill patternType="solid">
        <fgColor rgb="00FFFFFF"/>
        <bgColor rgb="00FFFFFF"/>
      </patternFill>
    </fill>
    <fill>
      <patternFill patternType="solid">
        <fgColor rgb="002B5797"/>
        <bgColor rgb="002B5797"/>
      </patternFill>
    </fill>
    <fill>
      <patternFill patternType="solid">
        <fgColor rgb="00F4F7FC"/>
        <bgColor rgb="00F4F7FC"/>
      </patternFill>
    </fill>
    <fill>
      <patternFill patternType="solid">
        <fgColor rgb="003A6DB5"/>
        <bgColor rgb="003A6DB5"/>
      </patternFill>
    </fill>
    <fill>
      <patternFill patternType="solid">
        <fgColor rgb="005B8BD0"/>
        <bgColor rgb="005B8BD0"/>
      </patternFill>
    </fill>
    <fill>
      <patternFill patternType="solid">
        <fgColor rgb="001E90A0"/>
        <bgColor rgb="001E90A0"/>
      </patternFill>
    </fill>
    <fill>
      <patternFill patternType="solid">
        <fgColor rgb="002E8B57"/>
        <bgColor rgb="002E8B57"/>
      </patternFill>
    </fill>
    <fill>
      <patternFill patternType="solid">
        <fgColor rgb="00FFF8D6"/>
        <bgColor rgb="00FFF8D6"/>
      </patternFill>
    </fill>
    <fill>
      <patternFill patternType="solid">
        <fgColor rgb="00E8EEF7"/>
        <bgColor rgb="00E8EEF7"/>
      </patternFill>
    </fill>
    <fill>
      <patternFill patternType="solid">
        <fgColor rgb="00FDECEA"/>
        <bgColor rgb="00FDECEA"/>
      </patternFill>
    </fill>
    <fill>
      <patternFill patternType="solid">
        <fgColor rgb="00FFF4D6"/>
        <bgColor rgb="00FFF4D6"/>
      </patternFill>
    </fill>
    <fill>
      <patternFill patternType="solid">
        <fgColor rgb="00D6F0DF"/>
        <bgColor rgb="00D6F0DF"/>
      </patternFill>
    </fill>
    <fill>
      <patternFill patternType="lightUp">
        <fgColor rgb="005B8BD0"/>
      </patternFill>
    </fill>
    <fill>
      <patternFill patternType="lightUp">
        <fgColor rgb="00BBBBBB"/>
      </patternFill>
    </fill>
    <fill>
      <patternFill patternType="solid">
        <fgColor rgb="00D9D9D9"/>
        <bgColor rgb="00D9D9D9"/>
      </patternFill>
    </fill>
    <fill>
      <patternFill patternType="solid">
        <fgColor rgb="001B365D"/>
        <bgColor rgb="001B365D"/>
      </patternFill>
    </fill>
    <fill>
      <patternFill patternType="solid">
        <fgColor rgb="00FFE9A8"/>
        <bgColor rgb="00FFE9A8"/>
      </patternFill>
    </fill>
    <fill>
      <patternFill patternType="solid">
        <fgColor rgb="00FFD966"/>
        <bgColor rgb="00FFD966"/>
      </patternFill>
    </fill>
    <fill>
      <patternFill patternType="solid">
        <fgColor rgb="00B7791F"/>
        <bgColor rgb="00B7791F"/>
      </patternFill>
    </fill>
  </fills>
  <borders count="27">
    <border>
      <left/>
      <right/>
      <top/>
      <bottom/>
      <diagonal/>
    </border>
    <border>
      <left style="thin">
        <color rgb="00FFFFFF"/>
      </left>
      <right style="thin">
        <color rgb="00FFFFFF"/>
      </right>
      <top style="thin">
        <color rgb="00DCE6F2"/>
      </top>
    </border>
    <border>
      <left style="thin">
        <color rgb="00FFFFFF"/>
      </left>
      <right style="thin">
        <color rgb="00FFFFFF"/>
      </right>
      <top style="thin">
        <color rgb="00DCE6F2"/>
      </top>
      <bottom style="medium">
        <color rgb="002B5797"/>
      </bottom>
    </border>
    <border>
      <bottom style="thin">
        <color rgb="00D3DEEC"/>
      </bottom>
    </border>
    <border>
      <left style="thin">
        <color rgb="00B4C3D6"/>
      </left>
      <right style="thin">
        <color rgb="00B4C3D6"/>
      </right>
      <top style="thin">
        <color rgb="00B4C3D6"/>
      </top>
      <bottom style="thin">
        <color rgb="00B4C3D6"/>
      </bottom>
    </border>
    <border>
      <left/>
      <right/>
      <top style="thin">
        <color rgb="00B4C3D6"/>
      </top>
      <bottom/>
      <diagonal/>
    </border>
    <border>
      <left/>
      <right style="thin">
        <color rgb="00B4C3D6"/>
      </right>
      <top style="thin">
        <color rgb="00B4C3D6"/>
      </top>
      <bottom/>
      <diagonal/>
    </border>
    <border>
      <left/>
      <right/>
      <top style="thin">
        <color rgb="00B4C3D6"/>
      </top>
      <bottom style="thin">
        <color rgb="00B4C3D6"/>
      </bottom>
      <diagonal/>
    </border>
    <border>
      <left/>
      <right style="thin">
        <color rgb="00B4C3D6"/>
      </right>
      <top style="thin">
        <color rgb="00B4C3D6"/>
      </top>
      <bottom style="thin">
        <color rgb="00B4C3D6"/>
      </bottom>
      <diagonal/>
    </border>
    <border>
      <left style="thin">
        <color rgb="00B4C3D6"/>
      </left>
      <right/>
      <top/>
      <bottom/>
      <diagonal/>
    </border>
    <border>
      <left/>
      <right style="thin">
        <color rgb="00B4C3D6"/>
      </right>
      <top/>
      <bottom/>
      <diagonal/>
    </border>
    <border>
      <left style="thin">
        <color rgb="00B4C3D6"/>
      </left>
      <right/>
      <top/>
      <bottom style="thin">
        <color rgb="00B4C3D6"/>
      </bottom>
      <diagonal/>
    </border>
    <border>
      <left/>
      <right/>
      <top/>
      <bottom style="thin">
        <color rgb="00B4C3D6"/>
      </bottom>
      <diagonal/>
    </border>
    <border>
      <left/>
      <right style="thin">
        <color rgb="00B4C3D6"/>
      </right>
      <top/>
      <bottom style="thin">
        <color rgb="00B4C3D6"/>
      </bottom>
      <diagonal/>
    </border>
    <border>
      <left style="medium">
        <color rgb="00C77D1A"/>
      </left>
      <right style="medium">
        <color rgb="00C77D1A"/>
      </right>
      <top style="medium">
        <color rgb="00C77D1A"/>
      </top>
      <bottom style="medium">
        <color rgb="00C77D1A"/>
      </bottom>
    </border>
    <border>
      <left/>
      <right/>
      <top style="medium">
        <color rgb="00C77D1A"/>
      </top>
      <bottom/>
      <diagonal/>
    </border>
    <border>
      <left/>
      <right style="medium">
        <color rgb="00C77D1A"/>
      </right>
      <top style="medium">
        <color rgb="00C77D1A"/>
      </top>
      <bottom/>
      <diagonal/>
    </border>
    <border>
      <left/>
      <right/>
      <top style="medium">
        <color rgb="00C77D1A"/>
      </top>
      <bottom style="medium">
        <color rgb="00C77D1A"/>
      </bottom>
      <diagonal/>
    </border>
    <border>
      <left/>
      <right style="medium">
        <color rgb="00C77D1A"/>
      </right>
      <top style="medium">
        <color rgb="00C77D1A"/>
      </top>
      <bottom style="medium">
        <color rgb="00C77D1A"/>
      </bottom>
      <diagonal/>
    </border>
    <border>
      <left style="medium">
        <color rgb="001B365D"/>
      </left>
      <right style="medium">
        <color rgb="001B365D"/>
      </right>
      <top style="medium">
        <color rgb="001B365D"/>
      </top>
      <bottom style="medium">
        <color rgb="001B365D"/>
      </bottom>
    </border>
    <border>
      <left/>
      <right/>
      <top style="medium">
        <color rgb="001B365D"/>
      </top>
      <bottom/>
      <diagonal/>
    </border>
    <border>
      <left/>
      <right style="medium">
        <color rgb="001B365D"/>
      </right>
      <top style="medium">
        <color rgb="001B365D"/>
      </top>
      <bottom/>
      <diagonal/>
    </border>
    <border>
      <left/>
      <right style="medium">
        <color rgb="001B365D"/>
      </right>
      <top style="medium">
        <color rgb="001B365D"/>
      </top>
      <bottom style="medium">
        <color rgb="001B365D"/>
      </bottom>
      <diagonal/>
    </border>
    <border>
      <left/>
      <right/>
      <top style="thin">
        <color rgb="00DCE6F2"/>
      </top>
      <bottom/>
      <diagonal/>
    </border>
    <border>
      <left/>
      <right style="thin">
        <color rgb="00FFFFFF"/>
      </right>
      <top style="thin">
        <color rgb="00DCE6F2"/>
      </top>
      <bottom/>
      <diagonal/>
    </border>
    <border>
      <left/>
      <right style="thin">
        <color rgb="00FFFFFF"/>
      </right>
      <top style="thin">
        <color rgb="00DCE6F2"/>
      </top>
      <bottom style="medium">
        <color rgb="002B5797"/>
      </bottom>
      <diagonal/>
    </border>
    <border>
      <left/>
      <right/>
      <top/>
      <bottom style="thin">
        <color rgb="00D3DEEC"/>
      </bottom>
      <diagonal/>
    </border>
  </borders>
  <cellStyleXfs count="1">
    <xf numFmtId="0" fontId="0" fillId="0" borderId="0"/>
  </cellStyleXfs>
  <cellXfs count="130">
    <xf numFmtId="0" fontId="0" fillId="0" borderId="0" pivotButton="0" quotePrefix="0" xfId="0"/>
    <xf numFmtId="0" fontId="49" fillId="18" borderId="0" applyAlignment="1" pivotButton="0" quotePrefix="0" xfId="0">
      <alignment vertical="center" indent="1"/>
    </xf>
    <xf numFmtId="0" fontId="0" fillId="18" borderId="0" pivotButton="0" quotePrefix="0" xfId="0"/>
    <xf numFmtId="0" fontId="54" fillId="18" borderId="0" applyAlignment="1" pivotButton="0" quotePrefix="0" xfId="0">
      <alignment horizontal="right" vertical="center"/>
    </xf>
    <xf numFmtId="0" fontId="50" fillId="2" borderId="0" applyAlignment="1" pivotButton="0" quotePrefix="0" xfId="0">
      <alignment vertical="center" indent="1"/>
    </xf>
    <xf numFmtId="0" fontId="0" fillId="2"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164" fontId="4" fillId="3" borderId="2" applyAlignment="1" pivotButton="0" quotePrefix="0" xfId="0">
      <alignment horizontal="center" vertical="center" wrapText="1"/>
    </xf>
    <xf numFmtId="0" fontId="0" fillId="0" borderId="2" pivotButton="0" quotePrefix="0" xfId="0"/>
    <xf numFmtId="0" fontId="5" fillId="4" borderId="0" applyAlignment="1" pivotButton="0" quotePrefix="0" xfId="0">
      <alignment horizontal="center" vertical="center" wrapText="1"/>
    </xf>
    <xf numFmtId="0" fontId="6" fillId="5" borderId="0" applyAlignment="1" pivotButton="0" quotePrefix="0" xfId="0">
      <alignment vertical="bottom" indent="1"/>
    </xf>
    <xf numFmtId="0" fontId="8" fillId="6" borderId="0" applyAlignment="1" pivotButton="0" quotePrefix="0" xfId="0">
      <alignment horizontal="center" vertical="center" wrapText="1"/>
    </xf>
    <xf numFmtId="0" fontId="7" fillId="5" borderId="3" applyAlignment="1" pivotButton="0" quotePrefix="0" xfId="0">
      <alignment vertical="top" wrapText="1" indent="1"/>
    </xf>
    <xf numFmtId="0" fontId="0" fillId="0" borderId="3" pivotButton="0" quotePrefix="0" xfId="0"/>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51" fillId="6" borderId="19" applyAlignment="1" pivotButton="0" quotePrefix="0" xfId="0">
      <alignment horizontal="center" vertical="center" wrapText="1"/>
    </xf>
    <xf numFmtId="0" fontId="52" fillId="19" borderId="19" applyAlignment="1" pivotButton="0" quotePrefix="0" xfId="0">
      <alignment horizontal="center" vertical="center" wrapText="1"/>
    </xf>
    <xf numFmtId="0" fontId="0" fillId="0" borderId="22" pivotButton="0" quotePrefix="0" xfId="0"/>
    <xf numFmtId="0" fontId="20" fillId="0" borderId="0" pivotButton="0" quotePrefix="0" xfId="0"/>
    <xf numFmtId="20" fontId="1" fillId="10" borderId="4" applyAlignment="1" pivotButton="0" quotePrefix="0" xfId="0">
      <alignment horizontal="center" vertical="center" wrapText="1"/>
    </xf>
    <xf numFmtId="0" fontId="1" fillId="0" borderId="0" applyAlignment="1" pivotButton="0" quotePrefix="0" xfId="0">
      <alignment horizontal="center" vertical="center" wrapText="1"/>
    </xf>
    <xf numFmtId="0" fontId="15" fillId="0" borderId="0" pivotButton="0" quotePrefix="0" xfId="0"/>
    <xf numFmtId="1" fontId="1" fillId="10" borderId="4" applyAlignment="1" pivotButton="0" quotePrefix="0" xfId="0">
      <alignment horizontal="center" vertical="center" wrapText="1"/>
    </xf>
    <xf numFmtId="0" fontId="14" fillId="0" borderId="0" pivotButton="0" quotePrefix="0" xfId="0"/>
    <xf numFmtId="0" fontId="1" fillId="10" borderId="4" pivotButton="0" quotePrefix="0" xfId="0"/>
    <xf numFmtId="0" fontId="0" fillId="0" borderId="7" pivotButton="0" quotePrefix="0" xfId="0"/>
    <xf numFmtId="0" fontId="0" fillId="0" borderId="8" pivotButton="0" quotePrefix="0" xfId="0"/>
    <xf numFmtId="0" fontId="18" fillId="0" borderId="0" applyAlignment="1" pivotButton="0" quotePrefix="0" xfId="0">
      <alignment horizontal="right" vertical="center"/>
    </xf>
    <xf numFmtId="0" fontId="19" fillId="12" borderId="0" applyAlignment="1" pivotButton="0" quotePrefix="0" xfId="0">
      <alignment horizontal="center" vertical="center" wrapText="1"/>
    </xf>
    <xf numFmtId="0" fontId="53" fillId="4" borderId="4" applyAlignment="1" pivotButton="0" quotePrefix="0" xfId="0">
      <alignment horizontal="center" vertical="center" wrapText="1"/>
    </xf>
    <xf numFmtId="0" fontId="18" fillId="11" borderId="4" applyAlignment="1" pivotButton="0" quotePrefix="0" xfId="0">
      <alignment horizontal="center" vertical="center" wrapText="1"/>
    </xf>
    <xf numFmtId="0" fontId="1" fillId="11" borderId="0" pivotButton="0" quotePrefix="0" xfId="0"/>
    <xf numFmtId="0" fontId="53" fillId="4" borderId="0" applyAlignment="1" pivotButton="0" quotePrefix="0" xfId="0">
      <alignment horizontal="center" vertical="center" wrapText="1"/>
    </xf>
    <xf numFmtId="165" fontId="1" fillId="10" borderId="4" applyAlignment="1" pivotButton="0" quotePrefix="0" xfId="0">
      <alignment horizontal="center" vertical="center" wrapText="1"/>
    </xf>
    <xf numFmtId="0" fontId="1" fillId="0" borderId="4" applyAlignment="1" pivotButton="0" quotePrefix="0" xfId="0">
      <alignment horizontal="center" vertical="center" wrapText="1"/>
    </xf>
    <xf numFmtId="0" fontId="1" fillId="10" borderId="4" applyAlignment="1" pivotButton="0" quotePrefix="0" xfId="0">
      <alignment horizontal="center" vertical="center" wrapText="1"/>
    </xf>
    <xf numFmtId="0" fontId="1" fillId="0" borderId="4" pivotButton="0" quotePrefix="0" xfId="0"/>
    <xf numFmtId="0" fontId="17" fillId="0" borderId="0" applyAlignment="1" pivotButton="0" quotePrefix="0" xfId="0">
      <alignment horizontal="center" vertical="center" wrapText="1"/>
    </xf>
    <xf numFmtId="20" fontId="1" fillId="0" borderId="4" applyAlignment="1" pivotButton="0" quotePrefix="0" xfId="0">
      <alignment horizontal="center" vertical="center" wrapText="1"/>
    </xf>
    <xf numFmtId="0" fontId="16" fillId="11" borderId="0" applyAlignment="1" pivotButton="0" quotePrefix="0" xfId="0">
      <alignment horizontal="center" vertical="center" wrapText="1"/>
    </xf>
    <xf numFmtId="0" fontId="19" fillId="0" borderId="0" applyAlignment="1" pivotButton="0" quotePrefix="0" xfId="0">
      <alignment horizontal="center" vertical="center" wrapText="1"/>
    </xf>
    <xf numFmtId="0" fontId="14" fillId="0" borderId="0" applyAlignment="1" pivotButton="0" quotePrefix="0" xfId="0">
      <alignment vertical="top" wrapText="1"/>
    </xf>
    <xf numFmtId="166" fontId="1" fillId="10" borderId="4" applyAlignment="1" pivotButton="0" quotePrefix="0" xfId="0">
      <alignment horizontal="center" vertical="center"/>
    </xf>
    <xf numFmtId="167" fontId="1" fillId="10" borderId="4" applyAlignment="1" pivotButton="0" quotePrefix="0" xfId="0">
      <alignment horizontal="center" vertical="center"/>
    </xf>
    <xf numFmtId="0" fontId="1" fillId="10" borderId="4" applyAlignment="1" pivotButton="0" quotePrefix="0" xfId="0">
      <alignment horizontal="left" vertical="center"/>
    </xf>
    <xf numFmtId="165" fontId="1" fillId="10" borderId="4" applyAlignment="1" pivotButton="0" quotePrefix="0" xfId="0">
      <alignment horizontal="center" vertical="center"/>
    </xf>
    <xf numFmtId="0" fontId="20" fillId="0" borderId="0" applyAlignment="1" pivotButton="0" quotePrefix="0" xfId="0">
      <alignment vertical="top"/>
    </xf>
    <xf numFmtId="0" fontId="1" fillId="10" borderId="4" applyAlignment="1" pivotButton="0" quotePrefix="0" xfId="0">
      <alignment vertical="top" wrapText="1"/>
    </xf>
    <xf numFmtId="0" fontId="0" fillId="0" borderId="5" pivotButton="0" quotePrefix="0" xfId="0"/>
    <xf numFmtId="0" fontId="0" fillId="0" borderId="6"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55" fillId="20" borderId="0" applyAlignment="1" pivotButton="0" quotePrefix="0" xfId="0">
      <alignment horizontal="center" vertical="center" wrapText="1"/>
    </xf>
    <xf numFmtId="0" fontId="21" fillId="0" borderId="0" applyAlignment="1" pivotButton="0" quotePrefix="0" xfId="0">
      <alignment vertical="center" wrapText="1"/>
    </xf>
    <xf numFmtId="0" fontId="22" fillId="0" borderId="0" applyAlignment="1" pivotButton="0" quotePrefix="0" xfId="0">
      <alignment vertical="center" wrapText="1"/>
    </xf>
    <xf numFmtId="0" fontId="56" fillId="21" borderId="4" applyAlignment="1" pivotButton="0" quotePrefix="0" xfId="0">
      <alignment horizontal="center" vertical="center" wrapText="1"/>
    </xf>
    <xf numFmtId="0" fontId="57" fillId="21" borderId="4" applyAlignment="1" pivotButton="0" quotePrefix="0" xfId="0">
      <alignment horizontal="center" vertical="center" wrapText="1"/>
    </xf>
    <xf numFmtId="0" fontId="56" fillId="4" borderId="4" applyAlignment="1" pivotButton="0" quotePrefix="0" xfId="0">
      <alignment horizontal="center" vertical="center" wrapText="1"/>
    </xf>
    <xf numFmtId="0" fontId="1" fillId="10" borderId="4" applyAlignment="1" pivotButton="0" quotePrefix="0" xfId="0">
      <alignment horizontal="center" vertical="center" shrinkToFit="1"/>
    </xf>
    <xf numFmtId="0" fontId="1" fillId="10" borderId="4" applyAlignment="1" pivotButton="0" quotePrefix="0" xfId="0">
      <alignment vertical="center"/>
    </xf>
    <xf numFmtId="0" fontId="23" fillId="0" borderId="0" applyAlignment="1" pivotButton="0" quotePrefix="0" xfId="0">
      <alignment horizontal="center" vertical="center" wrapText="1"/>
    </xf>
    <xf numFmtId="0" fontId="49" fillId="18" borderId="0" applyAlignment="1" pivotButton="0" quotePrefix="0" xfId="0">
      <alignment vertical="center"/>
    </xf>
    <xf numFmtId="0" fontId="50" fillId="2" borderId="0" applyAlignment="1" pivotButton="0" quotePrefix="0" xfId="0">
      <alignment vertical="center"/>
    </xf>
    <xf numFmtId="0" fontId="21" fillId="0" borderId="0" pivotButton="0" quotePrefix="0" xfId="0"/>
    <xf numFmtId="0" fontId="28" fillId="0" borderId="0" applyAlignment="1" pivotButton="0" quotePrefix="0" xfId="0">
      <alignment horizontal="center" vertical="center"/>
    </xf>
    <xf numFmtId="0" fontId="40" fillId="2" borderId="0" pivotButton="0" quotePrefix="0" xfId="0"/>
    <xf numFmtId="0" fontId="1" fillId="2" borderId="0" applyAlignment="1" pivotButton="0" quotePrefix="0" xfId="0">
      <alignment horizontal="right" vertical="center"/>
    </xf>
    <xf numFmtId="0" fontId="1" fillId="2" borderId="0" applyAlignment="1" pivotButton="0" quotePrefix="0" xfId="0">
      <alignment horizontal="right"/>
    </xf>
    <xf numFmtId="0" fontId="16" fillId="2" borderId="0" pivotButton="0" quotePrefix="0" xfId="0"/>
    <xf numFmtId="0" fontId="16" fillId="2" borderId="0" applyAlignment="1" pivotButton="0" quotePrefix="0" xfId="0">
      <alignment horizontal="left"/>
    </xf>
    <xf numFmtId="0" fontId="25" fillId="2" borderId="0" applyAlignment="1" pivotButton="0" quotePrefix="0" xfId="0">
      <alignment horizontal="center" vertical="center" wrapText="1"/>
    </xf>
    <xf numFmtId="0" fontId="26" fillId="12" borderId="0" applyAlignment="1" pivotButton="0" quotePrefix="0" xfId="0">
      <alignment horizontal="center" vertical="center" wrapText="1"/>
    </xf>
    <xf numFmtId="0" fontId="27" fillId="0" borderId="0" applyAlignment="1" pivotButton="0" quotePrefix="0" xfId="0">
      <alignment horizontal="center" vertical="center" wrapText="1"/>
    </xf>
    <xf numFmtId="0" fontId="34" fillId="14" borderId="4" applyAlignment="1" pivotButton="0" quotePrefix="0" xfId="0">
      <alignment horizontal="center" vertical="center" wrapText="1"/>
    </xf>
    <xf numFmtId="0" fontId="34" fillId="15" borderId="4" applyAlignment="1" pivotButton="0" quotePrefix="0" xfId="0">
      <alignment horizontal="center" vertical="center" wrapText="1"/>
    </xf>
    <xf numFmtId="0" fontId="34" fillId="16" borderId="4" applyAlignment="1" pivotButton="0" quotePrefix="0" xfId="0">
      <alignment horizontal="center" vertical="center" wrapText="1"/>
    </xf>
    <xf numFmtId="0" fontId="34" fillId="17" borderId="4" applyAlignment="1" pivotButton="0" quotePrefix="0" xfId="0">
      <alignment horizontal="center" vertical="center" wrapText="1"/>
    </xf>
    <xf numFmtId="0" fontId="15" fillId="0" borderId="0" applyAlignment="1" pivotButton="0" quotePrefix="0" xfId="0">
      <alignment horizontal="right" vertical="center" wrapText="1"/>
    </xf>
    <xf numFmtId="0" fontId="24" fillId="10" borderId="14" applyAlignment="1" pivotButton="0" quotePrefix="0" xfId="0">
      <alignment horizontal="center" vertical="center" wrapText="1"/>
    </xf>
    <xf numFmtId="0" fontId="33" fillId="13" borderId="14" applyAlignment="1" pivotButton="0" quotePrefix="0" xfId="0">
      <alignment vertical="center" wrapText="1" indent="1"/>
    </xf>
    <xf numFmtId="0" fontId="0" fillId="0" borderId="17" pivotButton="0" quotePrefix="0" xfId="0"/>
    <xf numFmtId="0" fontId="0" fillId="0" borderId="18" pivotButton="0" quotePrefix="0" xfId="0"/>
    <xf numFmtId="0" fontId="31" fillId="0" borderId="0" pivotButton="0" quotePrefix="0" xfId="0"/>
    <xf numFmtId="0" fontId="16" fillId="0" borderId="0" pivotButton="0" quotePrefix="0" xfId="0"/>
    <xf numFmtId="0" fontId="35" fillId="0" borderId="0" pivotButton="0" quotePrefix="0" xfId="0"/>
    <xf numFmtId="0" fontId="35" fillId="0" borderId="0" applyAlignment="1" pivotButton="0" quotePrefix="0" xfId="0">
      <alignment vertical="top" wrapText="1"/>
    </xf>
    <xf numFmtId="0" fontId="36" fillId="0" borderId="0" pivotButton="0" quotePrefix="0" xfId="0"/>
    <xf numFmtId="0" fontId="1" fillId="0" borderId="0" applyAlignment="1" pivotButton="0" quotePrefix="0" xfId="0">
      <alignment vertical="top" wrapText="1"/>
    </xf>
    <xf numFmtId="0" fontId="37" fillId="0" borderId="0" applyAlignment="1" pivotButton="0" quotePrefix="0" xfId="0">
      <alignment horizontal="right"/>
    </xf>
    <xf numFmtId="0" fontId="38" fillId="0" borderId="0" pivotButton="0" quotePrefix="0" xfId="0"/>
    <xf numFmtId="0" fontId="3" fillId="13" borderId="0" applyAlignment="1" pivotButton="0" quotePrefix="0" xfId="0">
      <alignment vertical="center" wrapText="1" indent="1"/>
    </xf>
    <xf numFmtId="0" fontId="30" fillId="13" borderId="0" applyAlignment="1" pivotButton="0" quotePrefix="0" xfId="0">
      <alignment vertical="center" wrapText="1" indent="1"/>
    </xf>
    <xf numFmtId="0" fontId="18" fillId="13" borderId="0" applyAlignment="1" pivotButton="0" quotePrefix="0" xfId="0">
      <alignment vertical="center" wrapText="1" indent="1"/>
    </xf>
    <xf numFmtId="0" fontId="39" fillId="0" borderId="0" applyAlignment="1" pivotButton="0" quotePrefix="0" xfId="0">
      <alignment vertical="center" wrapText="1"/>
    </xf>
    <xf numFmtId="0" fontId="29" fillId="0" borderId="0" applyAlignment="1" pivotButton="0" quotePrefix="0" xfId="0">
      <alignment vertical="center" wrapText="1"/>
    </xf>
    <xf numFmtId="0" fontId="9" fillId="10" borderId="4" pivotButton="0" quotePrefix="0" xfId="0"/>
    <xf numFmtId="0" fontId="16" fillId="0" borderId="0" applyAlignment="1" pivotButton="0" quotePrefix="0" xfId="0">
      <alignment horizontal="left"/>
    </xf>
    <xf numFmtId="0" fontId="6" fillId="0" borderId="0" pivotButton="0" quotePrefix="0" xfId="0"/>
    <xf numFmtId="0" fontId="32" fillId="0" borderId="0" applyAlignment="1" pivotButton="0" quotePrefix="0" xfId="0">
      <alignment vertical="top" wrapText="1"/>
    </xf>
    <xf numFmtId="0" fontId="40" fillId="0" borderId="0" applyAlignment="1" pivotButton="0" quotePrefix="0" xfId="0">
      <alignment horizontal="left" vertical="center"/>
    </xf>
    <xf numFmtId="0" fontId="41" fillId="0" borderId="0" applyAlignment="1" pivotButton="0" quotePrefix="0" xfId="0">
      <alignment vertical="center" wrapText="1" indent="1"/>
    </xf>
    <xf numFmtId="0" fontId="47" fillId="0" borderId="0" applyAlignment="1" pivotButton="0" quotePrefix="0" xfId="0">
      <alignment horizontal="center" vertical="center" wrapText="1"/>
    </xf>
    <xf numFmtId="0" fontId="42" fillId="0" borderId="0" applyAlignment="1" pivotButton="0" quotePrefix="0" xfId="0">
      <alignment horizontal="left" vertical="center"/>
    </xf>
    <xf numFmtId="0" fontId="42" fillId="0" borderId="0" applyAlignment="1" pivotButton="0" quotePrefix="0" xfId="0">
      <alignment horizontal="distributed" vertical="center"/>
    </xf>
    <xf numFmtId="0" fontId="48" fillId="0" borderId="0" applyAlignment="1" pivotButton="0" quotePrefix="0" xfId="0">
      <alignment horizontal="center" vertical="center" wrapText="1"/>
    </xf>
    <xf numFmtId="0" fontId="42" fillId="0" borderId="0" applyAlignment="1" pivotButton="0" quotePrefix="0" xfId="0">
      <alignment horizontal="center" vertical="center" wrapText="1"/>
    </xf>
    <xf numFmtId="0" fontId="45" fillId="0" borderId="0" applyAlignment="1" pivotButton="0" quotePrefix="0" xfId="0">
      <alignment horizontal="center" vertical="center" wrapText="1"/>
    </xf>
    <xf numFmtId="0" fontId="46" fillId="0" borderId="0" applyAlignment="1" pivotButton="0" quotePrefix="0" xfId="0">
      <alignment horizontal="center" vertical="center" wrapText="1"/>
    </xf>
    <xf numFmtId="0" fontId="43" fillId="0" borderId="0" applyAlignment="1" pivotButton="0" quotePrefix="0" xfId="0">
      <alignment horizontal="center" vertical="center" wrapText="1"/>
    </xf>
    <xf numFmtId="0" fontId="44" fillId="0" borderId="0" applyAlignment="1" pivotButton="0" quotePrefix="0" xfId="0">
      <alignment horizontal="center" vertical="center" wrapText="1"/>
    </xf>
    <xf numFmtId="0" fontId="42" fillId="0" borderId="0" applyAlignment="1" pivotButton="0" quotePrefix="0" xfId="0">
      <alignment horizontal="right" vertical="center"/>
    </xf>
    <xf numFmtId="0" fontId="1" fillId="0" borderId="0" pivotButton="0" quotePrefix="0" xfId="0"/>
    <xf numFmtId="0" fontId="0" fillId="0" borderId="24" pivotButton="0" quotePrefix="0" xfId="0"/>
    <xf numFmtId="0" fontId="0" fillId="0" borderId="25" pivotButton="0" quotePrefix="0" xfId="0"/>
    <xf numFmtId="0" fontId="0" fillId="0" borderId="26" pivotButton="0" quotePrefix="0" xfId="0"/>
    <xf numFmtId="165" fontId="1" fillId="10" borderId="4" applyAlignment="1" pivotButton="0" quotePrefix="0" xfId="0">
      <alignment horizontal="center" vertical="center" wrapText="1"/>
    </xf>
    <xf numFmtId="166" fontId="1" fillId="10" borderId="4" applyAlignment="1" pivotButton="0" quotePrefix="0" xfId="0">
      <alignment horizontal="center" vertical="center"/>
    </xf>
    <xf numFmtId="167" fontId="1" fillId="10" borderId="4" applyAlignment="1" pivotButton="0" quotePrefix="0" xfId="0">
      <alignment horizontal="center" vertical="center"/>
    </xf>
    <xf numFmtId="165" fontId="1" fillId="10" borderId="4" applyAlignment="1" pivotButton="0" quotePrefix="0" xfId="0">
      <alignment horizontal="center" vertical="center"/>
    </xf>
  </cellXfs>
  <cellStyles count="1">
    <cellStyle name="Normal" xfId="0" builtinId="0" hidden="0"/>
  </cellStyles>
  <dxfs count="29">
    <dxf>
      <font>
        <name val="BIZ UDPゴシック"/>
        <b val="1"/>
        <color rgb="009A6A00"/>
        <sz val="24"/>
      </font>
    </dxf>
    <dxf>
      <font>
        <name val="BIZ UDPゴシック"/>
        <b val="1"/>
        <color rgb="00B23A3A"/>
        <sz val="24"/>
      </font>
    </dxf>
    <dxf>
      <font>
        <name val="BIZ UDPゴシック"/>
        <color rgb="00BBBBBB"/>
      </font>
      <fill>
        <patternFill patternType="solid">
          <fgColor rgb="00FFFFFF"/>
          <bgColor rgb="00FFFFFF"/>
        </patternFill>
      </fill>
    </dxf>
    <dxf>
      <fill>
        <patternFill patternType="solid">
          <fgColor rgb="00FFFFFF"/>
          <bgColor rgb="00FFFFFF"/>
        </patternFill>
      </fill>
    </dxf>
    <dxf>
      <border>
        <left style="thin">
          <color rgb="00B4C3D6"/>
        </left>
        <right style="thin">
          <color rgb="00B4C3D6"/>
        </right>
        <top style="thin">
          <color rgb="00B4C3D6"/>
        </top>
        <bottom style="thin">
          <color rgb="00B4C3D6"/>
        </bottom>
      </border>
    </dxf>
    <dxf>
      <fill>
        <patternFill patternType="solid">
          <fgColor rgb="00F6DEDB"/>
          <bgColor rgb="00F6DEDB"/>
        </patternFill>
      </fill>
      <border>
        <left style="thin">
          <color rgb="00B4C3D6"/>
        </left>
        <right style="thin">
          <color rgb="00B4C3D6"/>
        </right>
        <top style="thin">
          <color rgb="00B4C3D6"/>
        </top>
        <bottom style="thin">
          <color rgb="00B4C3D6"/>
        </bottom>
      </border>
    </dxf>
    <dxf>
      <fill>
        <patternFill patternType="solid">
          <fgColor rgb="00E3E3E3"/>
          <bgColor rgb="00E3E3E3"/>
        </patternFill>
      </fill>
      <border>
        <left style="thin">
          <color rgb="00B4C3D6"/>
        </left>
        <right style="thin">
          <color rgb="00B4C3D6"/>
        </right>
        <top style="thin">
          <color rgb="00B4C3D6"/>
        </top>
        <bottom style="thin">
          <color rgb="00B4C3D6"/>
        </bottom>
      </border>
    </dxf>
    <dxf>
      <font>
        <name val="BIZ UDPゴシック"/>
        <b val="1"/>
        <color rgb="009A6A00"/>
      </font>
    </dxf>
    <dxf>
      <font>
        <name val="BIZ UDPゴシック"/>
        <b val="1"/>
        <color rgb="00B23A3A"/>
      </font>
    </dxf>
    <dxf>
      <fill>
        <patternFill patternType="solid">
          <fgColor rgb="00FBEFC9"/>
          <bgColor rgb="00FBEFC9"/>
        </patternFill>
      </fill>
    </dxf>
    <dxf>
      <fill>
        <patternFill patternType="solid">
          <fgColor rgb="00F6DEDB"/>
          <bgColor rgb="00F6DEDB"/>
        </patternFill>
      </fill>
    </dxf>
    <dxf>
      <fill>
        <patternFill patternType="solid">
          <fgColor rgb="00D9D9D9"/>
          <bgColor rgb="00D9D9D9"/>
        </patternFill>
      </fill>
      <border>
        <left style="thin">
          <color rgb="00B4C3D6"/>
        </left>
        <right style="thin">
          <color rgb="00B4C3D6"/>
        </right>
        <top style="thin">
          <color rgb="00B4C3D6"/>
        </top>
        <bottom style="thin">
          <color rgb="00B4C3D6"/>
        </bottom>
      </border>
    </dxf>
    <dxf>
      <fill>
        <patternFill patternType="solid">
          <fgColor rgb="00D62828"/>
          <bgColor rgb="00D62828"/>
        </patternFill>
      </fill>
    </dxf>
    <dxf>
      <font>
        <name val="BIZ UDPゴシック"/>
        <b val="1"/>
      </font>
      <fill>
        <patternFill patternType="solid">
          <fgColor rgb="00D6F0DF"/>
          <bgColor rgb="00D6F0DF"/>
        </patternFill>
      </fill>
      <border>
        <left style="thin">
          <color rgb="00B4C3D6"/>
        </left>
        <right style="thin">
          <color rgb="00B4C3D6"/>
        </right>
        <top style="thin">
          <color rgb="00B4C3D6"/>
        </top>
        <bottom style="thin">
          <color rgb="00B4C3D6"/>
        </bottom>
      </border>
    </dxf>
    <dxf>
      <fill>
        <patternFill patternType="lightUp">
          <fgColor rgb="005B8BD0"/>
        </patternFill>
      </fill>
      <border>
        <left style="thin">
          <color rgb="00B4C3D6"/>
        </left>
        <right style="thin">
          <color rgb="00B4C3D6"/>
        </right>
        <top style="thin">
          <color rgb="00B4C3D6"/>
        </top>
        <bottom style="thin">
          <color rgb="00B4C3D6"/>
        </bottom>
      </border>
    </dxf>
    <dxf>
      <fill>
        <patternFill patternType="lightUp">
          <fgColor rgb="00BBBBBB"/>
        </patternFill>
      </fill>
      <border>
        <left style="thin">
          <color rgb="00B4C3D6"/>
        </left>
        <right style="thin">
          <color rgb="00B4C3D6"/>
        </right>
        <top style="thin">
          <color rgb="00B4C3D6"/>
        </top>
        <bottom style="thin">
          <color rgb="00B4C3D6"/>
        </bottom>
      </border>
    </dxf>
    <dxf>
      <font>
        <name val="BIZ UDPゴシック"/>
        <b val="1"/>
        <color rgb="00FFFFFF"/>
        <sz val="12"/>
      </font>
      <fill>
        <patternFill patternType="solid">
          <fgColor rgb="00D62828"/>
          <bgColor rgb="00D62828"/>
        </patternFill>
      </fill>
    </dxf>
    <dxf>
      <font>
        <name val="BIZ UDPゴシック"/>
        <b val="1"/>
        <color rgb="00FFFFFF"/>
      </font>
      <fill>
        <patternFill patternType="solid">
          <fgColor rgb="00B23A3A"/>
          <bgColor rgb="00B23A3A"/>
        </patternFill>
      </fill>
      <border>
        <left style="thin">
          <color rgb="00B4C3D6"/>
        </left>
        <right style="thin">
          <color rgb="00B4C3D6"/>
        </right>
        <top style="thin">
          <color rgb="00B4C3D6"/>
        </top>
        <bottom style="thin">
          <color rgb="00B4C3D6"/>
        </bottom>
      </border>
    </dxf>
    <dxf>
      <fill>
        <patternFill patternType="solid">
          <fgColor rgb="00F2B36B"/>
          <bgColor rgb="00F2B36B"/>
        </patternFill>
      </fill>
      <border>
        <left style="thin">
          <color rgb="00B4C3D6"/>
        </left>
        <right style="thin">
          <color rgb="00B4C3D6"/>
        </right>
        <top style="thin">
          <color rgb="00B4C3D6"/>
        </top>
        <bottom style="thin">
          <color rgb="00B4C3D6"/>
        </bottom>
      </border>
    </dxf>
    <dxf>
      <fill>
        <patternFill patternType="solid">
          <fgColor rgb="00C9B3E6"/>
          <bgColor rgb="00C9B3E6"/>
        </patternFill>
      </fill>
      <border>
        <left style="thin">
          <color rgb="00B4C3D6"/>
        </left>
        <right style="thin">
          <color rgb="00B4C3D6"/>
        </right>
        <top style="thin">
          <color rgb="00B4C3D6"/>
        </top>
        <bottom style="thin">
          <color rgb="00B4C3D6"/>
        </bottom>
      </border>
    </dxf>
    <dxf>
      <font>
        <name val="BIZ UDPゴシック"/>
        <b val="1"/>
        <color rgb="001F3F7A"/>
      </font>
      <fill>
        <patternFill patternType="solid">
          <fgColor rgb="00C5D7F4"/>
          <bgColor rgb="00C5D7F4"/>
        </patternFill>
      </fill>
      <border>
        <left style="thin">
          <color rgb="00B4C3D6"/>
        </left>
        <right style="thin">
          <color rgb="00B4C3D6"/>
        </right>
        <top style="thin">
          <color rgb="00B4C3D6"/>
        </top>
        <bottom style="thin">
          <color rgb="00B4C3D6"/>
        </bottom>
      </border>
    </dxf>
    <dxf>
      <fill>
        <patternFill patternType="solid">
          <fgColor rgb="00D6F0DF"/>
          <bgColor rgb="00D6F0DF"/>
        </patternFill>
      </fill>
      <border>
        <left style="thin">
          <color rgb="00B4C3D6"/>
        </left>
        <right style="thin">
          <color rgb="00B4C3D6"/>
        </right>
        <top style="thin">
          <color rgb="00B4C3D6"/>
        </top>
        <bottom style="thin">
          <color rgb="00B4C3D6"/>
        </bottom>
      </border>
    </dxf>
    <dxf>
      <fill>
        <patternFill patternType="solid">
          <fgColor rgb="00FBEFC9"/>
          <bgColor rgb="00FBEFC9"/>
        </patternFill>
      </fill>
      <border>
        <left style="thin">
          <color rgb="00B4C3D6"/>
        </left>
        <right style="thin">
          <color rgb="00B4C3D6"/>
        </right>
        <top style="thin">
          <color rgb="00B4C3D6"/>
        </top>
        <bottom style="thin">
          <color rgb="00B4C3D6"/>
        </bottom>
      </border>
    </dxf>
    <dxf>
      <font>
        <name val="BIZ UDPゴシック"/>
        <b val="1"/>
        <color rgb="00B23A3A"/>
      </font>
      <fill>
        <patternFill patternType="solid">
          <fgColor rgb="00F6DEDB"/>
          <bgColor rgb="00F6DEDB"/>
        </patternFill>
      </fill>
      <border>
        <left style="thin">
          <color rgb="00B4C3D6"/>
        </left>
        <right style="thin">
          <color rgb="00B4C3D6"/>
        </right>
        <top style="thin">
          <color rgb="00B4C3D6"/>
        </top>
        <bottom style="thin">
          <color rgb="00B4C3D6"/>
        </bottom>
      </border>
    </dxf>
    <dxf>
      <fill>
        <patternFill patternType="solid">
          <fgColor rgb="00FBE0C2"/>
          <bgColor rgb="00FBE0C2"/>
        </patternFill>
      </fill>
      <border>
        <left style="thin">
          <color rgb="00B4C3D6"/>
        </left>
        <right style="thin">
          <color rgb="00B4C3D6"/>
        </right>
        <top style="thin">
          <color rgb="00B4C3D6"/>
        </top>
        <bottom style="thin">
          <color rgb="00B4C3D6"/>
        </bottom>
      </border>
    </dxf>
    <dxf>
      <fill>
        <patternFill patternType="solid">
          <fgColor rgb="00FFF8D6"/>
          <bgColor rgb="00FFF8D6"/>
        </patternFill>
      </fill>
    </dxf>
    <dxf>
      <font>
        <name val="BIZ UDPゴシック"/>
        <b val="1"/>
        <color rgb="003F2A66"/>
      </font>
      <fill>
        <patternFill patternType="solid">
          <fgColor rgb="00E3D7F2"/>
          <bgColor rgb="00E3D7F2"/>
        </patternFill>
      </fill>
      <border>
        <left style="thin">
          <color rgb="00B4C3D6"/>
        </left>
        <right style="thin">
          <color rgb="00B4C3D6"/>
        </right>
        <top style="thin">
          <color rgb="00B4C3D6"/>
        </top>
        <bottom style="thin">
          <color rgb="00B4C3D6"/>
        </bottom>
      </border>
    </dxf>
    <dxf>
      <fill>
        <patternFill patternType="solid"/>
      </fill>
    </dxf>
    <dxf>
      <border>
        <left style="thin">
          <color rgb="00000000"/>
        </left>
        <right style="thin">
          <color rgb="00000000"/>
        </right>
        <top style="thin">
          <color rgb="00000000"/>
        </top>
        <bottom style="thin">
          <color rgb="00000000"/>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2</col>
      <colOff>0</colOff>
      <row>2</row>
      <rowOff>0</rowOff>
    </from>
    <ext cx="57150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B365D"/>
    <outlinePr summaryBelow="1" summaryRight="1"/>
    <pageSetUpPr/>
  </sheetPr>
  <dimension ref="A1:M73"/>
  <sheetViews>
    <sheetView showGridLines="0" showRowColHeaders="0" workbookViewId="0">
      <selection activeCell="A1" sqref="A1"/>
    </sheetView>
  </sheetViews>
  <sheetFormatPr baseColWidth="8" defaultRowHeight="15"/>
  <cols>
    <col width="3"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ht="44" customHeight="1">
      <c r="A1" s="1" t="inlineStr">
        <is>
          <t>面談日程ツール</t>
        </is>
      </c>
      <c r="B1" s="2" t="n"/>
      <c r="C1" s="2" t="n"/>
      <c r="D1" s="2" t="n"/>
      <c r="E1" s="2" t="n"/>
      <c r="F1" s="2" t="n"/>
      <c r="G1" s="2" t="n"/>
      <c r="H1" s="2" t="n"/>
      <c r="I1" s="2" t="n"/>
      <c r="J1" s="2" t="n"/>
      <c r="K1" s="3" t="inlineStr">
        <is>
          <t>Ver.2.5</t>
        </is>
      </c>
    </row>
    <row r="2" ht="24" customHeight="1">
      <c r="A2" s="4" t="inlineStr">
        <is>
          <t>×のついた予定表から、個人面談の日程を組むツールです（マクロなし）。黄色のマスが入力する場所です。</t>
        </is>
      </c>
      <c r="B2" s="5" t="n"/>
      <c r="C2" s="5" t="n"/>
      <c r="D2" s="5" t="n"/>
      <c r="E2" s="5" t="n"/>
      <c r="F2" s="5" t="n"/>
      <c r="G2" s="5" t="n"/>
      <c r="H2" s="5" t="n"/>
      <c r="I2" s="5" t="n"/>
      <c r="J2" s="5" t="n"/>
      <c r="K2" s="5" t="n"/>
      <c r="L2" s="5" t="n"/>
      <c r="M2" s="5" t="n"/>
    </row>
    <row r="4">
      <c r="B4" s="6" t="inlineStr">
        <is>
          <t>いまの状況</t>
        </is>
      </c>
    </row>
    <row r="5" ht="22" customHeight="1">
      <c r="B5" s="7" t="inlineStr">
        <is>
          <t>名簿の人数</t>
        </is>
      </c>
      <c r="C5" s="123" t="n"/>
      <c r="D5" s="7" t="inlineStr">
        <is>
          <t>×入力済み</t>
        </is>
      </c>
      <c r="E5" s="123" t="n"/>
      <c r="F5" s="7" t="inlineStr">
        <is>
          <t>未入力</t>
        </is>
      </c>
      <c r="G5" s="123" t="n"/>
      <c r="H5" s="7" t="inlineStr">
        <is>
          <t>未提出</t>
        </is>
      </c>
      <c r="I5" s="123" t="n"/>
      <c r="J5" s="7" t="inlineStr">
        <is>
          <t>決定済み</t>
        </is>
      </c>
      <c r="K5" s="123" t="n"/>
      <c r="L5" s="7" t="inlineStr">
        <is>
          <t>未決定</t>
        </is>
      </c>
      <c r="M5" s="123" t="n"/>
    </row>
    <row r="6" ht="46" customHeight="1">
      <c r="B6" s="9">
        <f>COUNTIF('名簿'!$B$5:$B$49,"?*")</f>
        <v/>
      </c>
      <c r="C6" s="124" t="n"/>
      <c r="D6" s="9">
        <f>COUNTIF('名簿'!$Q$5:$Q$49,"入力済み")+COUNTIF('名簿'!$Q$5:$Q$49,"×なし")</f>
        <v/>
      </c>
      <c r="E6" s="124" t="n"/>
      <c r="F6" s="9">
        <f>COUNTIF('名簿'!$Q$5:$Q$49,"未入力")</f>
        <v/>
      </c>
      <c r="G6" s="124" t="n"/>
      <c r="H6" s="9">
        <f>COUNTIF('名簿'!$Q$5:$Q$49,"未提出")</f>
        <v/>
      </c>
      <c r="I6" s="124" t="n"/>
      <c r="J6" s="9">
        <f>SUMPRODUCT(('名簿'!$U$5:$U$49&lt;&gt;"")*1)</f>
        <v/>
      </c>
      <c r="K6" s="124" t="n"/>
      <c r="L6" s="9">
        <f>COUNTIF('名簿'!$W$5:$W$49,"未決定")</f>
        <v/>
      </c>
      <c r="M6" s="124" t="n"/>
    </row>
    <row r="8">
      <c r="B8" s="6" t="inlineStr">
        <is>
          <t>使う順番</t>
        </is>
      </c>
    </row>
    <row r="9" ht="24" customHeight="1">
      <c r="B9" s="11" t="n">
        <v>1</v>
      </c>
      <c r="C9" s="12" t="inlineStr">
        <is>
          <t>日付と時間枠を決める</t>
        </is>
      </c>
      <c r="K9" s="13">
        <f>HYPERLINK("#'設定'!A1","開く ▶")</f>
        <v/>
      </c>
    </row>
    <row r="10" ht="30" customHeight="1">
      <c r="C10" s="14" t="inlineStr">
        <is>
          <t>面談する日付、時間帯（2つまで）、1枠の長さ。出張などで組まない日・時間もここで止めます。</t>
        </is>
      </c>
      <c r="D10" s="125" t="n"/>
      <c r="E10" s="125" t="n"/>
      <c r="F10" s="125" t="n"/>
      <c r="G10" s="125" t="n"/>
      <c r="H10" s="125" t="n"/>
      <c r="I10" s="125" t="n"/>
      <c r="J10" s="125" t="n"/>
    </row>
    <row r="12" ht="24" customHeight="1">
      <c r="B12" s="11" t="n">
        <v>2</v>
      </c>
      <c r="C12" s="12" t="inlineStr">
        <is>
          <t>名簿を貼り付ける</t>
        </is>
      </c>
      <c r="K12" s="13">
        <f>HYPERLINK("#'名簿'!A1","開く ▶")</f>
        <v/>
      </c>
    </row>
    <row r="13" ht="30" customHeight="1">
      <c r="C13" s="14" t="inlineStr">
        <is>
          <t>番号と名前を貼り付けます。兄弟・希望の時間・後ろを空けるもここで選びます。</t>
        </is>
      </c>
      <c r="D13" s="125" t="n"/>
      <c r="E13" s="125" t="n"/>
      <c r="F13" s="125" t="n"/>
      <c r="G13" s="125" t="n"/>
      <c r="H13" s="125" t="n"/>
      <c r="I13" s="125" t="n"/>
      <c r="J13" s="125" t="n"/>
    </row>
    <row r="15" ht="24" customHeight="1">
      <c r="B15" s="11" t="n">
        <v>3</v>
      </c>
      <c r="C15" s="12" t="inlineStr">
        <is>
          <t>×を入力する</t>
        </is>
      </c>
      <c r="K15" s="13">
        <f>HYPERLINK("#'×入力'!A1","開く ▶")</f>
        <v/>
      </c>
    </row>
    <row r="16" ht="30" customHeight="1">
      <c r="C16" s="14" t="inlineStr">
        <is>
          <t>予定表と同じ形の表に「×」。日付の上・時刻の左の欄で、1日全部・その時間全部も一度に×にできます。</t>
        </is>
      </c>
      <c r="D16" s="125" t="n"/>
      <c r="E16" s="125" t="n"/>
      <c r="F16" s="125" t="n"/>
      <c r="G16" s="125" t="n"/>
      <c r="H16" s="125" t="n"/>
      <c r="I16" s="125" t="n"/>
      <c r="J16" s="125" t="n"/>
    </row>
    <row r="18" ht="24" customHeight="1">
      <c r="B18" s="11" t="n">
        <v>4</v>
      </c>
      <c r="C18" s="12" t="inlineStr">
        <is>
          <t>自動案を見る（A：詰める／B：散らす）</t>
        </is>
      </c>
      <c r="K18" s="13">
        <f>HYPERLINK("#'自動案A'!A1","案A ▶")</f>
        <v/>
      </c>
      <c r="L18" s="16">
        <f>HYPERLINK("#'自動案B'!A1","案B ▶")</f>
        <v/>
      </c>
    </row>
    <row r="19" ht="30" customHeight="1">
      <c r="C19" s="14" t="inlineStr">
        <is>
          <t>集まった分で作るときは、自動案Aのシートの右上を「自動案を出す」に。入れられる枠が少ない家庭から順に組んだ案が2つ出ます。よいほうを調整・決定に貼り付けます。</t>
        </is>
      </c>
      <c r="D19" s="125" t="n"/>
      <c r="E19" s="125" t="n"/>
      <c r="F19" s="125" t="n"/>
      <c r="G19" s="125" t="n"/>
      <c r="H19" s="125" t="n"/>
      <c r="I19" s="125" t="n"/>
      <c r="J19" s="125" t="n"/>
    </row>
    <row r="21" ht="24" customHeight="1">
      <c r="B21" s="11" t="n">
        <v>5</v>
      </c>
      <c r="C21" s="12" t="inlineStr">
        <is>
          <t>調整して決定する</t>
        </is>
      </c>
      <c r="K21" s="13">
        <f>HYPERLINK("#'調整・決定'!A1","開く ▶")</f>
        <v/>
      </c>
    </row>
    <row r="22" ht="30" customHeight="1">
      <c r="C22" s="14" t="inlineStr">
        <is>
          <t>プルダウンで手直しして日程を決めます。児童を選ぶと、入れられる枠に色がつきます。</t>
        </is>
      </c>
      <c r="D22" s="125" t="n"/>
      <c r="E22" s="125" t="n"/>
      <c r="F22" s="125" t="n"/>
      <c r="G22" s="125" t="n"/>
      <c r="H22" s="125" t="n"/>
      <c r="I22" s="125" t="n"/>
      <c r="J22" s="125" t="n"/>
    </row>
    <row r="24" ht="24" customHeight="1">
      <c r="B24" s="11" t="n">
        <v>6</v>
      </c>
      <c r="C24" s="12" t="inlineStr">
        <is>
          <t>印刷して兄弟を確認する</t>
        </is>
      </c>
      <c r="K24" s="13">
        <f>HYPERLINK("#'兄弟確認用'!A1","開く ▶")</f>
        <v/>
      </c>
    </row>
    <row r="25" ht="30" customHeight="1">
      <c r="C25" s="14" t="inlineStr">
        <is>
          <t>決めた日程を予定表の形で印刷。兄弟がいる子は色付きで、兄弟のクラスも出ます。</t>
        </is>
      </c>
      <c r="D25" s="125" t="n"/>
      <c r="E25" s="125" t="n"/>
      <c r="F25" s="125" t="n"/>
      <c r="G25" s="125" t="n"/>
      <c r="H25" s="125" t="n"/>
      <c r="I25" s="125" t="n"/>
      <c r="J25" s="125" t="n"/>
    </row>
    <row r="27" ht="24" customHeight="1">
      <c r="B27" s="11" t="n">
        <v>7</v>
      </c>
      <c r="C27" s="12" t="inlineStr">
        <is>
          <t>お手紙を印刷する</t>
        </is>
      </c>
      <c r="K27" s="17">
        <f>HYPERLINK("#'お手紙（夏）'!A1","夏 ▶")</f>
        <v/>
      </c>
      <c r="L27" s="18">
        <f>HYPERLINK("#'お手紙（秋）'!A1","秋 ▶")</f>
        <v/>
      </c>
    </row>
    <row r="28" ht="30" customHeight="1">
      <c r="C28" s="14" t="inlineStr">
        <is>
          <t>保護者へのお知らせ（夏用・秋用）。宛名・日付・学校名・担任名・本文は設定で決めます。6年は「進路面談」になります。</t>
        </is>
      </c>
      <c r="D28" s="125" t="n"/>
      <c r="E28" s="125" t="n"/>
      <c r="F28" s="125" t="n"/>
      <c r="G28" s="125" t="n"/>
      <c r="H28" s="125" t="n"/>
      <c r="I28" s="125" t="n"/>
      <c r="J28" s="125" t="n"/>
    </row>
    <row r="32">
      <c r="B32" s="6" t="inlineStr">
        <is>
          <t>くわしい使い方</t>
        </is>
      </c>
    </row>
    <row r="33">
      <c r="B33" s="19" t="inlineStr">
        <is>
          <t>1. 「設定」シート</t>
        </is>
      </c>
    </row>
    <row r="34">
      <c r="B34" s="20" t="inlineStr">
        <is>
          <t>・面談の日付（上から順に、最大6日）、時間帯（午前と午後に分けるときは2つ）と1枠の長さを入れます（1日最大24枠）。</t>
        </is>
      </c>
    </row>
    <row r="35">
      <c r="B35" s="20" t="inlineStr">
        <is>
          <t>・空けたい日や休憩の時刻には「〇」を選びます。自動案では、ほかに入る枠がないときだけ使われます。</t>
        </is>
      </c>
    </row>
    <row r="36" ht="30" customHeight="1">
      <c r="B36" s="20" t="inlineStr">
        <is>
          <t>・出張や会議などで面談を組まない日・時間・枠は、右の「先生の都合で使えない枠」で「×」を選びます。止めた枠は、×入力・自動案・調整・決定で灰色になり、使われません。</t>
        </is>
      </c>
    </row>
    <row r="37">
      <c r="B37" s="19" t="inlineStr">
        <is>
          <t>2. 「名簿」シート</t>
        </is>
      </c>
    </row>
    <row r="38">
      <c r="B38" s="20" t="inlineStr">
        <is>
          <t>・Excelの名簿から「出席番号」と「名前」をコピーして、「番号」の列のいちばん上のマスに貼り付けます（最大40人）。</t>
        </is>
      </c>
    </row>
    <row r="39">
      <c r="B39" s="20" t="inlineStr">
        <is>
          <t>・他のクラスに兄弟がいる家庭は、「兄弟」の列で「〇」を選び、「兄弟メモ」に兄弟のクラスなどをメモします。</t>
        </is>
      </c>
    </row>
    <row r="40" ht="30" customHeight="1">
      <c r="B40" s="20" t="inlineStr">
        <is>
          <t>・「希望」：早い時刻／遅い時刻／早い日／遅い日 から選べます。自動案で、×のない枠の中からできるだけ希望に合う枠を選びます（希望なので、合わないこともあります）。</t>
        </is>
      </c>
    </row>
    <row r="41" ht="30" customHeight="1">
      <c r="B41" s="20" t="inlineStr">
        <is>
          <t>・「後ろを空ける」：話が長引きそうな家庭は、同じ日のすぐ次の枠を空けます。「必ず空けたい」「出来れば空けたい」から選びます（出来れば空けたいは、空けられないときは詰めて入れます）。日の最後の枠なら空ける必要はありません。</t>
        </is>
      </c>
    </row>
    <row r="42">
      <c r="B42" s="20" t="inlineStr">
        <is>
          <t>・名簿の行は並べ替えないでください（×入力の内容とずれてしまいます）。絞り込み（フィルター）は使えます。</t>
        </is>
      </c>
    </row>
    <row r="43">
      <c r="B43" s="20" t="inlineStr">
        <is>
          <t>・自動案や調整・決定には名前だけが出ます。同じ名前の児童がいるときだけ、「番号 名前」で区別して表示します。</t>
        </is>
      </c>
    </row>
    <row r="44">
      <c r="B44" s="19" t="inlineStr">
        <is>
          <t>3. 「×入力」シート</t>
        </is>
      </c>
    </row>
    <row r="45">
      <c r="B45" s="20" t="inlineStr">
        <is>
          <t>・1人ずつ、予定表と同じ形の表があります。名簿の「×入力へ」をクリックすると、その人の表に移動します。</t>
        </is>
      </c>
    </row>
    <row r="46">
      <c r="B46" s="20" t="inlineStr">
        <is>
          <t>・都合の悪い枠に「×」を入れます（何か文字が入っていれば×として扱います）。消すときは Delete キー。</t>
        </is>
      </c>
    </row>
    <row r="47">
      <c r="B47" s="20" t="inlineStr">
        <is>
          <t>・まとめて入れるとき：マウスでなぞって範囲を選び、「×」と打って Ctrl + Enter を押すと、選んだ枠が全部×になります。</t>
        </is>
      </c>
    </row>
    <row r="48" ht="30" customHeight="1">
      <c r="B48" s="20" t="inlineStr">
        <is>
          <t>・その日全部：日付の上の「この日全部」の欄で「×」を選びます。その時間全部：時刻の左の「この時間全部」の欄で「×」を選びます（表のマスはピンクになります）。</t>
        </is>
      </c>
    </row>
    <row r="49">
      <c r="B49" s="20" t="inlineStr">
        <is>
          <t>・×が1つもない家庭は「提出状況」で「×なし（どこでもOK）」、提出していない家庭は「未提出」を選びます。</t>
        </is>
      </c>
    </row>
    <row r="50">
      <c r="B50" s="19" t="inlineStr">
        <is>
          <t>4. 「自動案A」「自動案B」シート</t>
        </is>
      </c>
    </row>
    <row r="51">
      <c r="B51" s="20" t="inlineStr">
        <is>
          <t>・自動で組んだ案が2つ出ます（どちらも、入れられる枠が少ない家庭から先に決めます。未入力・未提出の家庭は外れます）。</t>
        </is>
      </c>
    </row>
    <row r="52">
      <c r="B52" s="20" t="inlineStr">
        <is>
          <t>・自動案A（詰める）：設定の「詰め方」に従って、早い時間や前の日から詰めて組みます。</t>
        </is>
      </c>
    </row>
    <row r="53">
      <c r="B53" s="20" t="inlineStr">
        <is>
          <t>・自動案B（散らす）：日ごとの人数がそろい、面談と面談のあいだがなるべく空くように組みます（希望がある家庭は希望を優先）。</t>
        </is>
      </c>
    </row>
    <row r="54" ht="30" customHeight="1">
      <c r="B54" s="20" t="inlineStr">
        <is>
          <t>・よいほうの表をコピーして、「調整・決定」シートの表の左上（いちばん早い日・時刻のマス）に［値の貼り付け］（右クリック →「値」、または Ctrl + Shift + V）をします。左上の名前ボックスで「自動案Aの表」「自動案Bの表」を選ぶと、表全体をまとめて選べます。</t>
        </is>
      </c>
    </row>
    <row r="55" ht="30" customHeight="1">
      <c r="B55" s="21" t="inlineStr">
        <is>
          <t>・ふつうの貼り付け（Ctrl + V）は使わないでください。計算式ごと貼り付けられて「循環参照」の注意が出て、色分けも消えます。出てしまったら、すぐ Ctrl + Z で元に戻します。</t>
        </is>
      </c>
    </row>
    <row r="56">
      <c r="B56" s="20" t="inlineStr">
        <is>
          <t>・「調整・決定」シートですでに決めた人はそのまま残り、残りの人だけで案が作られます。やり直したいときは調整・決定の表を消します。</t>
        </is>
      </c>
    </row>
    <row r="57">
      <c r="B57" s="19" t="inlineStr">
        <is>
          <t>5. 「調整・決定」シート</t>
        </is>
      </c>
    </row>
    <row r="58">
      <c r="B58" s="20" t="inlineStr">
        <is>
          <t>・各枠のセルで、プルダウンから児童を選びます。</t>
        </is>
      </c>
    </row>
    <row r="59" ht="30" customHeight="1">
      <c r="B59" s="20" t="inlineStr">
        <is>
          <t>・右の「児童を選ぶ」で児童を選ぶと、表の色が変わります：緑＝入れられる空き枠／黄＝入れられる（ほかの人がいる）／ピンク＝×の枠／青＝今いる枠。</t>
        </is>
      </c>
    </row>
    <row r="60">
      <c r="B60" s="20" t="inlineStr">
        <is>
          <t>・赤い枠は「×の枠に入れてしまった」、オレンジの枠は「同じ人が2か所に入っている」です。</t>
        </is>
      </c>
    </row>
    <row r="61">
      <c r="B61" s="20" t="inlineStr">
        <is>
          <t>・青い斜線の枠は「前の人の後ろを空ける枠」です。紫の枠は、空けるはずの枠に人が入っています。</t>
        </is>
      </c>
    </row>
    <row r="62">
      <c r="B62" s="20" t="inlineStr">
        <is>
          <t>・下の「候補」の表には、その枠に入れられる、まだ決まっていない児童が表示されます。「1人」の枠は先に決めると楽です。</t>
        </is>
      </c>
    </row>
    <row r="63">
      <c r="B63" s="19" t="inlineStr">
        <is>
          <t>6. 「兄弟確認用」シート</t>
        </is>
      </c>
    </row>
    <row r="64" ht="30" customHeight="1">
      <c r="B64" s="20" t="inlineStr">
        <is>
          <t>・調整・決定で決めた日程が、予定表と同じ形で出ます。兄弟がいる子は色付きで、名前の下に兄弟のクラスが出ます（名簿の「兄弟メモ」にはクラス名だけを書きます。例：2年1組）。</t>
        </is>
      </c>
    </row>
    <row r="65">
      <c r="B65" s="20" t="inlineStr">
        <is>
          <t>・兄弟の担任から面談の日時を聞いたら、名簿の「兄弟の日付」「兄弟の時刻」を選びます。自動案では、できるだけ兄弟のすぐ前かすぐ後に入れます。</t>
        </is>
      </c>
    </row>
    <row r="66">
      <c r="B66" s="20" t="inlineStr">
        <is>
          <t>・表の上の黄色の欄には、「組んでみました。都合が悪ければお知らせください」など、自由に書けます（書いたことも印刷されます）。</t>
        </is>
      </c>
    </row>
    <row r="67" ht="30" customHeight="1">
      <c r="B67" s="20" t="inlineStr">
        <is>
          <t>・保護者へのお手紙は「お手紙（夏）」「お手紙（秋）」シートでそのまま印刷できます（夏は午前・午後の枠が多いときの形、秋は枠が少ないときの形。宛名・日付・本文などは設定のいちばん下で決めます）。</t>
        </is>
      </c>
    </row>
    <row r="68">
      <c r="B68" s="19" t="inlineStr">
        <is>
          <t>7. 結果</t>
        </is>
      </c>
    </row>
    <row r="69">
      <c r="B69" s="20" t="inlineStr">
        <is>
          <t>・「名簿」シートの右側に、決まった日時・注意（×の枠／2か所／後ろが空いていない／使えない枠／未決定）・自動案が表示されます。</t>
        </is>
      </c>
    </row>
    <row r="70">
      <c r="B70" s="20" t="inlineStr">
        <is>
          <t>・CSVが必要なときは「名簿」シートを開いて［ファイル］→［名前を付けて保存］→ 種類を「CSV UTF-8」にします。</t>
        </is>
      </c>
    </row>
    <row r="71">
      <c r="B71" s="20" t="inlineStr">
        <is>
          <t>・兄弟ありの家庭だけ見たいときは、名簿の「兄弟」の列でフィルターをかけます。</t>
        </is>
      </c>
    </row>
    <row r="72">
      <c r="B72" s="20" t="inlineStr"/>
    </row>
    <row r="73">
      <c r="B73" s="22" t="inlineStr">
        <is>
          <t>※ 「calcA」「calcB」「calcC」は計算用の隠しシートです。さわらないでください。</t>
        </is>
      </c>
    </row>
  </sheetData>
  <mergeCells count="84">
    <mergeCell ref="B42:M42"/>
    <mergeCell ref="B12:B13"/>
    <mergeCell ref="B60:M60"/>
    <mergeCell ref="B44:M44"/>
    <mergeCell ref="B53:M53"/>
    <mergeCell ref="D6:E6"/>
    <mergeCell ref="B34:M34"/>
    <mergeCell ref="K27:K28"/>
    <mergeCell ref="B37:M37"/>
    <mergeCell ref="C25:J25"/>
    <mergeCell ref="L5:M5"/>
    <mergeCell ref="B15:B16"/>
    <mergeCell ref="B54:M54"/>
    <mergeCell ref="B72:M72"/>
    <mergeCell ref="C13:J13"/>
    <mergeCell ref="B56:M56"/>
    <mergeCell ref="B43:M43"/>
    <mergeCell ref="B27:B28"/>
    <mergeCell ref="C15:J15"/>
    <mergeCell ref="C24:J24"/>
    <mergeCell ref="F6:G6"/>
    <mergeCell ref="B57:M57"/>
    <mergeCell ref="L18:L19"/>
    <mergeCell ref="F5:G5"/>
    <mergeCell ref="C10:J10"/>
    <mergeCell ref="C16:J16"/>
    <mergeCell ref="B68:M68"/>
    <mergeCell ref="C9:J9"/>
    <mergeCell ref="B45:M45"/>
    <mergeCell ref="K21:L22"/>
    <mergeCell ref="B6:C6"/>
    <mergeCell ref="B47:M47"/>
    <mergeCell ref="B62:M62"/>
    <mergeCell ref="L6:M6"/>
    <mergeCell ref="B59:M59"/>
    <mergeCell ref="B46:M46"/>
    <mergeCell ref="H5:I5"/>
    <mergeCell ref="C28:J28"/>
    <mergeCell ref="B39:M39"/>
    <mergeCell ref="B70:M70"/>
    <mergeCell ref="B48:M48"/>
    <mergeCell ref="K12:L13"/>
    <mergeCell ref="B18:B19"/>
    <mergeCell ref="B73:M73"/>
    <mergeCell ref="B65:M65"/>
    <mergeCell ref="B9:B10"/>
    <mergeCell ref="K15:L16"/>
    <mergeCell ref="K24:L25"/>
    <mergeCell ref="B63:M63"/>
    <mergeCell ref="B36:M36"/>
    <mergeCell ref="B50:M50"/>
    <mergeCell ref="C27:J27"/>
    <mergeCell ref="B5:C5"/>
    <mergeCell ref="D5:E5"/>
    <mergeCell ref="C19:J19"/>
    <mergeCell ref="B21:B22"/>
    <mergeCell ref="K18:K19"/>
    <mergeCell ref="K1:M1"/>
    <mergeCell ref="J5:K5"/>
    <mergeCell ref="B67:M67"/>
    <mergeCell ref="B61:M61"/>
    <mergeCell ref="B69:M69"/>
    <mergeCell ref="B38:M38"/>
    <mergeCell ref="H6:I6"/>
    <mergeCell ref="J6:K6"/>
    <mergeCell ref="B40:M40"/>
    <mergeCell ref="C22:J22"/>
    <mergeCell ref="B49:M49"/>
    <mergeCell ref="B24:B25"/>
    <mergeCell ref="B55:M55"/>
    <mergeCell ref="K9:L10"/>
    <mergeCell ref="C12:J12"/>
    <mergeCell ref="B64:M64"/>
    <mergeCell ref="B33:M33"/>
    <mergeCell ref="C21:J21"/>
    <mergeCell ref="B51:M51"/>
    <mergeCell ref="B41:M41"/>
    <mergeCell ref="B35:M35"/>
    <mergeCell ref="L27:L28"/>
    <mergeCell ref="B71:M71"/>
    <mergeCell ref="B66:M66"/>
    <mergeCell ref="B58:M58"/>
    <mergeCell ref="B52:M52"/>
    <mergeCell ref="C18:J18"/>
  </mergeCells>
  <conditionalFormatting sqref="F6">
    <cfRule type="expression" priority="1" dxfId="0">
      <formula>F6&gt;0</formula>
    </cfRule>
  </conditionalFormatting>
  <conditionalFormatting sqref="H6">
    <cfRule type="expression" priority="2" dxfId="0">
      <formula>H6&gt;0</formula>
    </cfRule>
  </conditionalFormatting>
  <conditionalFormatting sqref="L6">
    <cfRule type="expression" priority="3" dxfId="1">
      <formula>L6&gt;0</formula>
    </cfRule>
  </conditionalFormatting>
  <pageMargins left="0.75" right="0.75" top="1" bottom="1" header="0.5" footer="0.5"/>
</worksheet>
</file>

<file path=xl/worksheets/sheet2.xml><?xml version="1.0" encoding="utf-8"?>
<worksheet xmlns="http://schemas.openxmlformats.org/spreadsheetml/2006/main">
  <sheetPr>
    <tabColor rgb="007A8699"/>
    <outlinePr summaryBelow="1" summaryRight="1"/>
    <pageSetUpPr/>
  </sheetPr>
  <dimension ref="A1:V49"/>
  <sheetViews>
    <sheetView showGridLines="0" showRowColHeaders="0" workbookViewId="0">
      <selection activeCell="A1" sqref="A1"/>
    </sheetView>
  </sheetViews>
  <sheetFormatPr baseColWidth="8" defaultRowHeight="15"/>
  <cols>
    <col width="25" customWidth="1" min="1" max="1"/>
    <col width="10" customWidth="1" min="2" max="2"/>
    <col width="4" customWidth="1" min="3" max="3"/>
    <col width="10" customWidth="1" min="4" max="4"/>
    <col width="18" customWidth="1" min="5" max="5"/>
    <col width="4" customWidth="1" min="6" max="6"/>
    <col width="10" customWidth="1" min="7" max="7"/>
    <col width="12" customWidth="1" min="8" max="8"/>
    <col width="10" customWidth="1" min="9" max="9"/>
    <col width="3" customWidth="1" min="10" max="10"/>
    <col width="11" customWidth="1" min="11" max="11"/>
    <col width="9" customWidth="1" min="12" max="12"/>
    <col width="14" customWidth="1" min="13" max="13"/>
    <col width="14" customWidth="1" min="14" max="14"/>
    <col width="14" customWidth="1" min="15" max="15"/>
    <col width="14" customWidth="1" min="16" max="16"/>
    <col width="14" customWidth="1" min="17" max="17"/>
    <col width="14" customWidth="1" min="18" max="18"/>
  </cols>
  <sheetData>
    <row r="1" ht="44" customHeight="1">
      <c r="A1" s="1" t="inlineStr">
        <is>
          <t>設定</t>
        </is>
      </c>
      <c r="B1" s="2" t="n"/>
      <c r="C1" s="2" t="n"/>
      <c r="D1" s="2" t="n"/>
      <c r="E1" s="23">
        <f>HYPERLINK("#'ホーム'!A1","ホーム")</f>
        <v/>
      </c>
      <c r="F1" s="24">
        <f>HYPERLINK("#'設定'!A1","① 設定")</f>
        <v/>
      </c>
      <c r="G1" s="25" t="n"/>
      <c r="H1" s="23">
        <f>HYPERLINK("#'名簿'!A1","② 名簿")</f>
        <v/>
      </c>
      <c r="I1" s="23">
        <f>HYPERLINK("#'×入力'!A1","③ ×入力")</f>
        <v/>
      </c>
      <c r="J1" s="25" t="n"/>
      <c r="K1" s="23">
        <f>HYPERLINK("#'自動案A'!A1","④ 自動案A")</f>
        <v/>
      </c>
      <c r="L1" s="25" t="n"/>
      <c r="M1" s="23">
        <f>HYPERLINK("#'自動案B'!A1","④ 自動案B")</f>
        <v/>
      </c>
      <c r="N1" s="23">
        <f>HYPERLINK("#'調整・決定'!A1","⑤ 調整・決定")</f>
        <v/>
      </c>
      <c r="O1" s="23">
        <f>HYPERLINK("#'兄弟確認用'!A1","⑥ 兄弟確認")</f>
        <v/>
      </c>
      <c r="P1" s="23">
        <f>HYPERLINK("#'お手紙（夏）'!A1","⑦ お手紙 夏")</f>
        <v/>
      </c>
      <c r="Q1" s="23">
        <f>HYPERLINK("#'お手紙（秋）'!A1","⑧ お手紙 秋")</f>
        <v/>
      </c>
      <c r="R1" s="2" t="n"/>
      <c r="S1" s="2" t="n"/>
      <c r="T1" s="2" t="n"/>
      <c r="U1" s="2" t="n"/>
      <c r="V1" s="2" t="n"/>
    </row>
    <row r="2" ht="24" customHeight="1">
      <c r="A2" s="4" t="inlineStr">
        <is>
          <t>面談の日付と時間枠を決めます。黄色のマスを入力してください。</t>
        </is>
      </c>
      <c r="B2" s="5" t="n"/>
      <c r="C2" s="5" t="n"/>
      <c r="D2" s="5" t="n"/>
      <c r="E2" s="5" t="n"/>
      <c r="F2" s="5" t="n"/>
      <c r="G2" s="5" t="n"/>
      <c r="H2" s="5" t="n"/>
      <c r="I2" s="5" t="n"/>
      <c r="J2" s="5" t="n"/>
      <c r="K2" s="5" t="n"/>
      <c r="L2" s="5" t="n"/>
      <c r="M2" s="5" t="n"/>
      <c r="N2" s="5" t="n"/>
      <c r="O2" s="5" t="n"/>
      <c r="P2" s="5" t="n"/>
      <c r="Q2" s="5" t="n"/>
      <c r="R2" s="5" t="n"/>
      <c r="S2" s="5" t="n"/>
      <c r="T2" s="5" t="n"/>
      <c r="U2" s="5" t="n"/>
      <c r="V2" s="5" t="n"/>
    </row>
    <row r="3">
      <c r="A3" s="26" t="inlineStr">
        <is>
          <t>時間帯1</t>
        </is>
      </c>
      <c r="B3" s="27" t="n">
        <v>0.5625</v>
      </c>
      <c r="C3" s="28" t="inlineStr">
        <is>
          <t>〜</t>
        </is>
      </c>
      <c r="D3" s="27" t="n">
        <v>0.6458333333333334</v>
      </c>
      <c r="E3" s="29">
        <f>IF(OR(NOT(ISNUMBER(B3)),NOT(ISNUMBER(D3))),"← 始まりと終わりの時刻を入れてください",IF(D3&lt;B3,"← 終わりは始まりより後の時刻にしてください",""))</f>
        <v/>
      </c>
    </row>
    <row r="4">
      <c r="A4" s="26" t="inlineStr">
        <is>
          <t>時間帯2（なければ空欄）</t>
        </is>
      </c>
      <c r="B4" s="27" t="n"/>
      <c r="C4" s="28" t="inlineStr">
        <is>
          <t>〜</t>
        </is>
      </c>
      <c r="D4" s="27" t="n"/>
      <c r="E4" s="29">
        <f>IF(AND(B4="",D4=""),"",IF(OR(NOT(ISNUMBER(B4)),NOT(ISNUMBER(D4))),"← 始まりと終わりの両方を入れてください",IF(D4&lt;B4,"← 終わりは始まりより後の時刻にしてください",IF(AND(ISNUMBER(D3),B4&lt;=D3),"← 時間帯1より後の時刻にしてください",""))))</f>
        <v/>
      </c>
    </row>
    <row r="5">
      <c r="A5" s="26" t="inlineStr">
        <is>
          <t>1枠の長さ（分）</t>
        </is>
      </c>
      <c r="B5" s="30" t="n">
        <v>15</v>
      </c>
      <c r="E5" s="29">
        <f>IF(AND(ISNUMBER(B5),B5&gt;0),"","← 5〜120の数字を入れてください")</f>
        <v/>
      </c>
    </row>
    <row r="6">
      <c r="A6" s="26" t="inlineStr">
        <is>
          <t>1日の枠の数</t>
        </is>
      </c>
      <c r="B6" s="28">
        <f>MIN(24,calcA!$A$3+calcA!$A$4)</f>
        <v/>
      </c>
      <c r="D6" s="31" t="inlineStr">
        <is>
          <t>（最大24枠）</t>
        </is>
      </c>
      <c r="E6" s="29">
        <f>IF(calcA!$A$3+calcA!$A$4&gt;24,"← 枠が24をこえています。こえた分は使いません","")</f>
        <v/>
      </c>
    </row>
    <row r="7">
      <c r="K7" s="6" t="inlineStr">
        <is>
          <t>先生の都合で使えない枠（出張・会議など）</t>
        </is>
      </c>
    </row>
    <row r="8">
      <c r="A8" s="26" t="inlineStr">
        <is>
          <t>自動案の詰め方</t>
        </is>
      </c>
      <c r="B8" s="32" t="inlineStr">
        <is>
          <t>早い時間から（各日の最後を空ける）</t>
        </is>
      </c>
      <c r="C8" s="33" t="n"/>
      <c r="D8" s="33" t="n"/>
      <c r="E8" s="34" t="n"/>
      <c r="K8" s="31" t="inlineStr">
        <is>
          <t>「×」を選んだ日・時間・枠は、自動案にも調整・決定にも使いません。</t>
        </is>
      </c>
    </row>
    <row r="9">
      <c r="K9" s="35" t="inlineStr">
        <is>
          <t>この日は組まない ▶</t>
        </is>
      </c>
      <c r="M9" s="36" t="n"/>
      <c r="N9" s="36" t="n"/>
      <c r="O9" s="36" t="n"/>
      <c r="P9" s="36" t="n"/>
      <c r="Q9" s="36" t="n"/>
      <c r="R9" s="36" t="n"/>
    </row>
    <row r="10" ht="44" customHeight="1">
      <c r="B10" s="37" t="inlineStr">
        <is>
          <t>日付</t>
        </is>
      </c>
      <c r="C10" s="37" t="inlineStr">
        <is>
          <t>曜日</t>
        </is>
      </c>
      <c r="D10" s="37" t="inlineStr">
        <is>
          <t>なるべく空ける</t>
        </is>
      </c>
      <c r="E10" s="37" t="inlineStr">
        <is>
          <t>表示</t>
        </is>
      </c>
      <c r="G10" s="37" t="inlineStr">
        <is>
          <t>時刻</t>
        </is>
      </c>
      <c r="H10" s="37" t="inlineStr">
        <is>
          <t>休憩（なるべく空ける）</t>
        </is>
      </c>
      <c r="I10" s="37" t="inlineStr">
        <is>
          <t>表示</t>
        </is>
      </c>
      <c r="K10" s="38" t="inlineStr">
        <is>
          <t>この時間は
組まない ▼</t>
        </is>
      </c>
      <c r="L10" s="39" t="inlineStr"/>
      <c r="M10" s="40">
        <f>'設定'!$E$11</f>
        <v/>
      </c>
      <c r="N10" s="40">
        <f>'設定'!$E$12</f>
        <v/>
      </c>
      <c r="O10" s="40">
        <f>'設定'!$E$13</f>
        <v/>
      </c>
      <c r="P10" s="40">
        <f>'設定'!$E$14</f>
        <v/>
      </c>
      <c r="Q10" s="40">
        <f>'設定'!$E$15</f>
        <v/>
      </c>
      <c r="R10" s="40">
        <f>'設定'!$E$16</f>
        <v/>
      </c>
    </row>
    <row r="11">
      <c r="A11" s="28" t="inlineStr">
        <is>
          <t>1日目</t>
        </is>
      </c>
      <c r="B11" s="126" t="n">
        <v>46350</v>
      </c>
      <c r="C11" s="42">
        <f>IF(B11="","",CHOOSE(WEEKDAY(B11),"日","月","火","水","木","金","土"))</f>
        <v/>
      </c>
      <c r="D11" s="43" t="n"/>
      <c r="E11" s="44">
        <f>IF(B11="","",MONTH(B11)&amp;"月"&amp;DAY(B11)&amp;"日（"&amp;C11&amp;"）")</f>
        <v/>
      </c>
      <c r="F11" s="45" t="n">
        <v>1</v>
      </c>
      <c r="G11" s="46">
        <f>IF(F11&lt;=MIN(calcA!$A$3,24),$B$3+(F11-1)*$B$5/1440,IF(F11&lt;=$B$6,$B$4+(F11-calcA!$A$3-1)*$B$5/1440,""))</f>
        <v/>
      </c>
      <c r="H11" s="43" t="n"/>
      <c r="I11" s="42">
        <f>IF(G11="","",TEXT(G11,"h:mm")&amp;"〜")</f>
        <v/>
      </c>
      <c r="K11" s="36" t="n"/>
      <c r="L11" s="47">
        <f>$I$11</f>
        <v/>
      </c>
      <c r="M11" s="48" t="n"/>
      <c r="N11" s="48" t="n"/>
      <c r="O11" s="48" t="n"/>
      <c r="P11" s="48" t="n"/>
      <c r="Q11" s="48" t="n"/>
      <c r="R11" s="48" t="n"/>
    </row>
    <row r="12">
      <c r="A12" s="28" t="inlineStr">
        <is>
          <t>2日目</t>
        </is>
      </c>
      <c r="B12" s="126" t="n">
        <v>46351</v>
      </c>
      <c r="C12" s="42">
        <f>IF(B12="","",CHOOSE(WEEKDAY(B12),"日","月","火","水","木","金","土"))</f>
        <v/>
      </c>
      <c r="D12" s="43" t="n"/>
      <c r="E12" s="44">
        <f>IF(B12="","",MONTH(B12)&amp;"月"&amp;DAY(B12)&amp;"日（"&amp;C12&amp;"）")</f>
        <v/>
      </c>
      <c r="F12" s="45" t="n">
        <v>2</v>
      </c>
      <c r="G12" s="46">
        <f>IF(F12&lt;=MIN(calcA!$A$3,24),$B$3+(F12-1)*$B$5/1440,IF(F12&lt;=$B$6,$B$4+(F12-calcA!$A$3-1)*$B$5/1440,""))</f>
        <v/>
      </c>
      <c r="H12" s="43" t="n"/>
      <c r="I12" s="42">
        <f>IF(G12="","",TEXT(G12,"h:mm")&amp;"〜")</f>
        <v/>
      </c>
      <c r="K12" s="36" t="n"/>
      <c r="L12" s="47">
        <f>$I$12</f>
        <v/>
      </c>
      <c r="M12" s="48" t="n"/>
      <c r="N12" s="48" t="n"/>
      <c r="O12" s="48" t="n"/>
      <c r="P12" s="48" t="n"/>
      <c r="Q12" s="48" t="n"/>
      <c r="R12" s="48" t="n"/>
    </row>
    <row r="13">
      <c r="A13" s="28" t="inlineStr">
        <is>
          <t>3日目</t>
        </is>
      </c>
      <c r="B13" s="126" t="n">
        <v>46352</v>
      </c>
      <c r="C13" s="42">
        <f>IF(B13="","",CHOOSE(WEEKDAY(B13),"日","月","火","水","木","金","土"))</f>
        <v/>
      </c>
      <c r="D13" s="43" t="n"/>
      <c r="E13" s="44">
        <f>IF(B13="","",MONTH(B13)&amp;"月"&amp;DAY(B13)&amp;"日（"&amp;C13&amp;"）")</f>
        <v/>
      </c>
      <c r="F13" s="45" t="n">
        <v>3</v>
      </c>
      <c r="G13" s="46">
        <f>IF(F13&lt;=MIN(calcA!$A$3,24),$B$3+(F13-1)*$B$5/1440,IF(F13&lt;=$B$6,$B$4+(F13-calcA!$A$3-1)*$B$5/1440,""))</f>
        <v/>
      </c>
      <c r="H13" s="43" t="n"/>
      <c r="I13" s="42">
        <f>IF(G13="","",TEXT(G13,"h:mm")&amp;"〜")</f>
        <v/>
      </c>
      <c r="K13" s="36" t="n"/>
      <c r="L13" s="47">
        <f>$I$13</f>
        <v/>
      </c>
      <c r="M13" s="48" t="n"/>
      <c r="N13" s="48" t="n"/>
      <c r="O13" s="48" t="n"/>
      <c r="P13" s="48" t="n"/>
      <c r="Q13" s="48" t="n"/>
      <c r="R13" s="48" t="n"/>
    </row>
    <row r="14">
      <c r="A14" s="28" t="inlineStr">
        <is>
          <t>4日目</t>
        </is>
      </c>
      <c r="B14" s="126" t="n">
        <v>46353</v>
      </c>
      <c r="C14" s="42">
        <f>IF(B14="","",CHOOSE(WEEKDAY(B14),"日","月","火","水","木","金","土"))</f>
        <v/>
      </c>
      <c r="D14" s="43" t="n"/>
      <c r="E14" s="44">
        <f>IF(B14="","",MONTH(B14)&amp;"月"&amp;DAY(B14)&amp;"日（"&amp;C14&amp;"）")</f>
        <v/>
      </c>
      <c r="F14" s="45" t="n">
        <v>4</v>
      </c>
      <c r="G14" s="46">
        <f>IF(F14&lt;=MIN(calcA!$A$3,24),$B$3+(F14-1)*$B$5/1440,IF(F14&lt;=$B$6,$B$4+(F14-calcA!$A$3-1)*$B$5/1440,""))</f>
        <v/>
      </c>
      <c r="H14" s="43" t="n"/>
      <c r="I14" s="42">
        <f>IF(G14="","",TEXT(G14,"h:mm")&amp;"〜")</f>
        <v/>
      </c>
      <c r="K14" s="36" t="n"/>
      <c r="L14" s="47">
        <f>$I$14</f>
        <v/>
      </c>
      <c r="M14" s="48" t="n"/>
      <c r="N14" s="48" t="n"/>
      <c r="O14" s="48" t="n"/>
      <c r="P14" s="48" t="n"/>
      <c r="Q14" s="48" t="n"/>
      <c r="R14" s="48" t="n"/>
    </row>
    <row r="15">
      <c r="A15" s="28" t="inlineStr">
        <is>
          <t>5日目</t>
        </is>
      </c>
      <c r="B15" s="126" t="n">
        <v>46356</v>
      </c>
      <c r="C15" s="42">
        <f>IF(B15="","",CHOOSE(WEEKDAY(B15),"日","月","火","水","木","金","土"))</f>
        <v/>
      </c>
      <c r="D15" s="43" t="n"/>
      <c r="E15" s="44">
        <f>IF(B15="","",MONTH(B15)&amp;"月"&amp;DAY(B15)&amp;"日（"&amp;C15&amp;"）")</f>
        <v/>
      </c>
      <c r="F15" s="45" t="n">
        <v>5</v>
      </c>
      <c r="G15" s="46">
        <f>IF(F15&lt;=MIN(calcA!$A$3,24),$B$3+(F15-1)*$B$5/1440,IF(F15&lt;=$B$6,$B$4+(F15-calcA!$A$3-1)*$B$5/1440,""))</f>
        <v/>
      </c>
      <c r="H15" s="43" t="n"/>
      <c r="I15" s="42">
        <f>IF(G15="","",TEXT(G15,"h:mm")&amp;"〜")</f>
        <v/>
      </c>
      <c r="K15" s="36" t="n"/>
      <c r="L15" s="47">
        <f>$I$15</f>
        <v/>
      </c>
      <c r="M15" s="48" t="n"/>
      <c r="N15" s="48" t="n"/>
      <c r="O15" s="48" t="n"/>
      <c r="P15" s="48" t="n"/>
      <c r="Q15" s="48" t="n"/>
      <c r="R15" s="48" t="n"/>
    </row>
    <row r="16">
      <c r="A16" s="28" t="inlineStr">
        <is>
          <t>6日目</t>
        </is>
      </c>
      <c r="B16" s="126" t="n"/>
      <c r="C16" s="42">
        <f>IF(B16="","",CHOOSE(WEEKDAY(B16),"日","月","火","水","木","金","土"))</f>
        <v/>
      </c>
      <c r="D16" s="43" t="n"/>
      <c r="E16" s="44">
        <f>IF(B16="","",MONTH(B16)&amp;"月"&amp;DAY(B16)&amp;"日（"&amp;C16&amp;"）")</f>
        <v/>
      </c>
      <c r="F16" s="45" t="n">
        <v>6</v>
      </c>
      <c r="G16" s="46">
        <f>IF(F16&lt;=MIN(calcA!$A$3,24),$B$3+(F16-1)*$B$5/1440,IF(F16&lt;=$B$6,$B$4+(F16-calcA!$A$3-1)*$B$5/1440,""))</f>
        <v/>
      </c>
      <c r="H16" s="43" t="n"/>
      <c r="I16" s="42">
        <f>IF(G16="","",TEXT(G16,"h:mm")&amp;"〜")</f>
        <v/>
      </c>
      <c r="K16" s="36" t="n"/>
      <c r="L16" s="47">
        <f>$I$16</f>
        <v/>
      </c>
      <c r="M16" s="48" t="n"/>
      <c r="N16" s="48" t="n"/>
      <c r="O16" s="48" t="n"/>
      <c r="P16" s="48" t="n"/>
      <c r="Q16" s="48" t="n"/>
      <c r="R16" s="48" t="n"/>
    </row>
    <row r="17">
      <c r="F17" s="45" t="n">
        <v>7</v>
      </c>
      <c r="G17" s="46">
        <f>IF(F17&lt;=MIN(calcA!$A$3,24),$B$3+(F17-1)*$B$5/1440,IF(F17&lt;=$B$6,$B$4+(F17-calcA!$A$3-1)*$B$5/1440,""))</f>
        <v/>
      </c>
      <c r="H17" s="43" t="n"/>
      <c r="I17" s="42">
        <f>IF(G17="","",TEXT(G17,"h:mm")&amp;"〜")</f>
        <v/>
      </c>
      <c r="K17" s="36" t="n"/>
      <c r="L17" s="47">
        <f>$I$17</f>
        <v/>
      </c>
      <c r="M17" s="48" t="n"/>
      <c r="N17" s="48" t="n"/>
      <c r="O17" s="48" t="n"/>
      <c r="P17" s="48" t="inlineStr">
        <is>
          <t>×</t>
        </is>
      </c>
      <c r="Q17" s="48" t="n"/>
      <c r="R17" s="48" t="n"/>
    </row>
    <row r="18">
      <c r="F18" s="45" t="n">
        <v>8</v>
      </c>
      <c r="G18" s="46">
        <f>IF(F18&lt;=MIN(calcA!$A$3,24),$B$3+(F18-1)*$B$5/1440,IF(F18&lt;=$B$6,$B$4+(F18-calcA!$A$3-1)*$B$5/1440,""))</f>
        <v/>
      </c>
      <c r="H18" s="43" t="n"/>
      <c r="I18" s="42">
        <f>IF(G18="","",TEXT(G18,"h:mm")&amp;"〜")</f>
        <v/>
      </c>
      <c r="K18" s="36" t="n"/>
      <c r="L18" s="47">
        <f>$I$18</f>
        <v/>
      </c>
      <c r="M18" s="48" t="n"/>
      <c r="N18" s="48" t="n"/>
      <c r="O18" s="48" t="n"/>
      <c r="P18" s="48" t="inlineStr">
        <is>
          <t>×</t>
        </is>
      </c>
      <c r="Q18" s="48" t="n"/>
      <c r="R18" s="48" t="n"/>
    </row>
    <row r="19">
      <c r="F19" s="45" t="n">
        <v>9</v>
      </c>
      <c r="G19" s="46">
        <f>IF(F19&lt;=MIN(calcA!$A$3,24),$B$3+(F19-1)*$B$5/1440,IF(F19&lt;=$B$6,$B$4+(F19-calcA!$A$3-1)*$B$5/1440,""))</f>
        <v/>
      </c>
      <c r="H19" s="43" t="n"/>
      <c r="I19" s="42">
        <f>IF(G19="","",TEXT(G19,"h:mm")&amp;"〜")</f>
        <v/>
      </c>
      <c r="K19" s="36" t="n"/>
      <c r="L19" s="47">
        <f>$I$19</f>
        <v/>
      </c>
      <c r="M19" s="48" t="n"/>
      <c r="N19" s="48" t="n"/>
      <c r="O19" s="48" t="n"/>
      <c r="P19" s="48" t="inlineStr">
        <is>
          <t>×</t>
        </is>
      </c>
      <c r="Q19" s="48" t="n"/>
      <c r="R19" s="48" t="n"/>
    </row>
    <row r="20">
      <c r="F20" s="45" t="n">
        <v>10</v>
      </c>
      <c r="G20" s="46">
        <f>IF(F20&lt;=MIN(calcA!$A$3,24),$B$3+(F20-1)*$B$5/1440,IF(F20&lt;=$B$6,$B$4+(F20-calcA!$A$3-1)*$B$5/1440,""))</f>
        <v/>
      </c>
      <c r="H20" s="43" t="n"/>
      <c r="I20" s="42">
        <f>IF(G20="","",TEXT(G20,"h:mm")&amp;"〜")</f>
        <v/>
      </c>
      <c r="K20" s="36" t="n"/>
      <c r="L20" s="47">
        <f>$I$20</f>
        <v/>
      </c>
      <c r="M20" s="48" t="n"/>
      <c r="N20" s="48" t="n"/>
      <c r="O20" s="48" t="n"/>
      <c r="P20" s="48" t="n"/>
      <c r="Q20" s="48" t="n"/>
      <c r="R20" s="48" t="n"/>
    </row>
    <row r="21">
      <c r="F21" s="45" t="n">
        <v>11</v>
      </c>
      <c r="G21" s="46">
        <f>IF(F21&lt;=MIN(calcA!$A$3,24),$B$3+(F21-1)*$B$5/1440,IF(F21&lt;=$B$6,$B$4+(F21-calcA!$A$3-1)*$B$5/1440,""))</f>
        <v/>
      </c>
      <c r="H21" s="43" t="n"/>
      <c r="I21" s="42">
        <f>IF(G21="","",TEXT(G21,"h:mm")&amp;"〜")</f>
        <v/>
      </c>
      <c r="K21" s="36" t="n"/>
      <c r="L21" s="47">
        <f>$I$21</f>
        <v/>
      </c>
      <c r="M21" s="48" t="n"/>
      <c r="N21" s="48" t="n"/>
      <c r="O21" s="48" t="n"/>
      <c r="P21" s="48" t="n"/>
      <c r="Q21" s="48" t="n"/>
      <c r="R21" s="48" t="n"/>
    </row>
    <row r="22">
      <c r="A22" s="49" t="inlineStr">
        <is>
          <t>※ 日付は上から詰めて入れてください。曜日・表示・時刻は自動で出ます。午前と午後に分けるときは、時間帯2も入れます（昼休みは表に出ません）。</t>
        </is>
      </c>
      <c r="F22" s="45" t="n">
        <v>12</v>
      </c>
      <c r="G22" s="46">
        <f>IF(F22&lt;=MIN(calcA!$A$3,24),$B$3+(F22-1)*$B$5/1440,IF(F22&lt;=$B$6,$B$4+(F22-calcA!$A$3-1)*$B$5/1440,""))</f>
        <v/>
      </c>
      <c r="H22" s="43" t="n"/>
      <c r="I22" s="42">
        <f>IF(G22="","",TEXT(G22,"h:mm")&amp;"〜")</f>
        <v/>
      </c>
      <c r="K22" s="36" t="n"/>
      <c r="L22" s="47">
        <f>$I$22</f>
        <v/>
      </c>
      <c r="M22" s="48" t="n"/>
      <c r="N22" s="48" t="n"/>
      <c r="O22" s="48" t="n"/>
      <c r="P22" s="48" t="n"/>
      <c r="Q22" s="48" t="n"/>
      <c r="R22" s="48" t="n"/>
    </row>
    <row r="23">
      <c r="F23" s="45" t="n">
        <v>13</v>
      </c>
      <c r="G23" s="46">
        <f>IF(F23&lt;=MIN(calcA!$A$3,24),$B$3+(F23-1)*$B$5/1440,IF(F23&lt;=$B$6,$B$4+(F23-calcA!$A$3-1)*$B$5/1440,""))</f>
        <v/>
      </c>
      <c r="H23" s="43" t="n"/>
      <c r="I23" s="42">
        <f>IF(G23="","",TEXT(G23,"h:mm")&amp;"〜")</f>
        <v/>
      </c>
      <c r="K23" s="36" t="n"/>
      <c r="L23" s="47">
        <f>$I$23</f>
        <v/>
      </c>
      <c r="M23" s="48" t="n"/>
      <c r="N23" s="48" t="n"/>
      <c r="O23" s="48" t="n"/>
      <c r="P23" s="48" t="n"/>
      <c r="Q23" s="48" t="n"/>
      <c r="R23" s="48" t="n"/>
    </row>
    <row r="24">
      <c r="F24" s="45" t="n">
        <v>14</v>
      </c>
      <c r="G24" s="46">
        <f>IF(F24&lt;=MIN(calcA!$A$3,24),$B$3+(F24-1)*$B$5/1440,IF(F24&lt;=$B$6,$B$4+(F24-calcA!$A$3-1)*$B$5/1440,""))</f>
        <v/>
      </c>
      <c r="H24" s="43" t="n"/>
      <c r="I24" s="42">
        <f>IF(G24="","",TEXT(G24,"h:mm")&amp;"〜")</f>
        <v/>
      </c>
      <c r="K24" s="36" t="n"/>
      <c r="L24" s="47">
        <f>$I$24</f>
        <v/>
      </c>
      <c r="M24" s="48" t="n"/>
      <c r="N24" s="48" t="n"/>
      <c r="O24" s="48" t="n"/>
      <c r="P24" s="48" t="n"/>
      <c r="Q24" s="48" t="n"/>
      <c r="R24" s="48" t="n"/>
    </row>
    <row r="25">
      <c r="A25" s="49" t="inlineStr">
        <is>
          <t>※「なるべく空ける」「休憩」は、ほかに入る枠がないときだけ使います。必ず使わない枠は、右の「先生の都合で使えない枠」で止めてください。</t>
        </is>
      </c>
      <c r="F25" s="45" t="n">
        <v>15</v>
      </c>
      <c r="G25" s="46">
        <f>IF(F25&lt;=MIN(calcA!$A$3,24),$B$3+(F25-1)*$B$5/1440,IF(F25&lt;=$B$6,$B$4+(F25-calcA!$A$3-1)*$B$5/1440,""))</f>
        <v/>
      </c>
      <c r="H25" s="43" t="n"/>
      <c r="I25" s="42">
        <f>IF(G25="","",TEXT(G25,"h:mm")&amp;"〜")</f>
        <v/>
      </c>
      <c r="K25" s="36" t="n"/>
      <c r="L25" s="47">
        <f>$I$25</f>
        <v/>
      </c>
      <c r="M25" s="48" t="n"/>
      <c r="N25" s="48" t="n"/>
      <c r="O25" s="48" t="n"/>
      <c r="P25" s="48" t="n"/>
      <c r="Q25" s="48" t="n"/>
      <c r="R25" s="48" t="n"/>
    </row>
    <row r="26">
      <c r="F26" s="45" t="n">
        <v>16</v>
      </c>
      <c r="G26" s="46">
        <f>IF(F26&lt;=MIN(calcA!$A$3,24),$B$3+(F26-1)*$B$5/1440,IF(F26&lt;=$B$6,$B$4+(F26-calcA!$A$3-1)*$B$5/1440,""))</f>
        <v/>
      </c>
      <c r="H26" s="43" t="n"/>
      <c r="I26" s="42">
        <f>IF(G26="","",TEXT(G26,"h:mm")&amp;"〜")</f>
        <v/>
      </c>
      <c r="K26" s="36" t="n"/>
      <c r="L26" s="47">
        <f>$I$26</f>
        <v/>
      </c>
      <c r="M26" s="48" t="n"/>
      <c r="N26" s="48" t="n"/>
      <c r="O26" s="48" t="n"/>
      <c r="P26" s="48" t="n"/>
      <c r="Q26" s="48" t="n"/>
      <c r="R26" s="48" t="n"/>
    </row>
    <row r="27">
      <c r="F27" s="45" t="n">
        <v>17</v>
      </c>
      <c r="G27" s="46">
        <f>IF(F27&lt;=MIN(calcA!$A$3,24),$B$3+(F27-1)*$B$5/1440,IF(F27&lt;=$B$6,$B$4+(F27-calcA!$A$3-1)*$B$5/1440,""))</f>
        <v/>
      </c>
      <c r="H27" s="43" t="n"/>
      <c r="I27" s="42">
        <f>IF(G27="","",TEXT(G27,"h:mm")&amp;"〜")</f>
        <v/>
      </c>
      <c r="K27" s="36" t="n"/>
      <c r="L27" s="47">
        <f>$I$27</f>
        <v/>
      </c>
      <c r="M27" s="48" t="n"/>
      <c r="N27" s="48" t="n"/>
      <c r="O27" s="48" t="n"/>
      <c r="P27" s="48" t="n"/>
      <c r="Q27" s="48" t="n"/>
      <c r="R27" s="48" t="n"/>
    </row>
    <row r="28">
      <c r="F28" s="45" t="n">
        <v>18</v>
      </c>
      <c r="G28" s="46">
        <f>IF(F28&lt;=MIN(calcA!$A$3,24),$B$3+(F28-1)*$B$5/1440,IF(F28&lt;=$B$6,$B$4+(F28-calcA!$A$3-1)*$B$5/1440,""))</f>
        <v/>
      </c>
      <c r="H28" s="43" t="n"/>
      <c r="I28" s="42">
        <f>IF(G28="","",TEXT(G28,"h:mm")&amp;"〜")</f>
        <v/>
      </c>
      <c r="K28" s="36" t="n"/>
      <c r="L28" s="47">
        <f>$I$28</f>
        <v/>
      </c>
      <c r="M28" s="48" t="n"/>
      <c r="N28" s="48" t="n"/>
      <c r="O28" s="48" t="n"/>
      <c r="P28" s="48" t="n"/>
      <c r="Q28" s="48" t="n"/>
      <c r="R28" s="48" t="n"/>
    </row>
    <row r="29">
      <c r="F29" s="45" t="n">
        <v>19</v>
      </c>
      <c r="G29" s="46">
        <f>IF(F29&lt;=MIN(calcA!$A$3,24),$B$3+(F29-1)*$B$5/1440,IF(F29&lt;=$B$6,$B$4+(F29-calcA!$A$3-1)*$B$5/1440,""))</f>
        <v/>
      </c>
      <c r="H29" s="43" t="n"/>
      <c r="I29" s="42">
        <f>IF(G29="","",TEXT(G29,"h:mm")&amp;"〜")</f>
        <v/>
      </c>
      <c r="K29" s="36" t="n"/>
      <c r="L29" s="47">
        <f>$I$29</f>
        <v/>
      </c>
      <c r="M29" s="48" t="n"/>
      <c r="N29" s="48" t="n"/>
      <c r="O29" s="48" t="n"/>
      <c r="P29" s="48" t="n"/>
      <c r="Q29" s="48" t="n"/>
      <c r="R29" s="48" t="n"/>
    </row>
    <row r="30">
      <c r="A30" s="6" t="inlineStr">
        <is>
          <t>お手紙（お知らせ）</t>
        </is>
      </c>
      <c r="B30" s="31" t="inlineStr">
        <is>
          <t>「お手紙（夏）」「お手紙（秋）」シートに出ます。</t>
        </is>
      </c>
      <c r="F30" s="45" t="n">
        <v>20</v>
      </c>
      <c r="G30" s="46">
        <f>IF(F30&lt;=MIN(calcA!$A$3,24),$B$3+(F30-1)*$B$5/1440,IF(F30&lt;=$B$6,$B$4+(F30-calcA!$A$3-1)*$B$5/1440,""))</f>
        <v/>
      </c>
      <c r="H30" s="43" t="n"/>
      <c r="I30" s="42">
        <f>IF(G30="","",TEXT(G30,"h:mm")&amp;"〜")</f>
        <v/>
      </c>
      <c r="K30" s="36" t="n"/>
      <c r="L30" s="47">
        <f>$I$30</f>
        <v/>
      </c>
      <c r="M30" s="48" t="n"/>
      <c r="N30" s="48" t="n"/>
      <c r="O30" s="48" t="n"/>
      <c r="P30" s="48" t="n"/>
      <c r="Q30" s="48" t="n"/>
      <c r="R30" s="48" t="n"/>
    </row>
    <row r="31">
      <c r="A31" s="26" t="inlineStr">
        <is>
          <t>学年</t>
        </is>
      </c>
      <c r="B31" s="127" t="n">
        <v>6</v>
      </c>
      <c r="C31" s="31">
        <f>IF(B36="学年に合わせる（6年は進路面談）","→ "&amp;IF(OR(IF(RIGHT(B31,1)="年",LEFT(B31,LEN(B31)-1),B31)&amp;""="6",IF(RIGHT(B31,1)="年",LEFT(B31,LEN(B31)-1),B31)&amp;""="６"),"進路面談","個人面談")&amp;"のお知らせになります","")</f>
        <v/>
      </c>
      <c r="F31" s="45" t="n">
        <v>21</v>
      </c>
      <c r="G31" s="46">
        <f>IF(F31&lt;=MIN(calcA!$A$3,24),$B$3+(F31-1)*$B$5/1440,IF(F31&lt;=$B$6,$B$4+(F31-calcA!$A$3-1)*$B$5/1440,""))</f>
        <v/>
      </c>
      <c r="H31" s="43" t="n"/>
      <c r="I31" s="42">
        <f>IF(G31="","",TEXT(G31,"h:mm")&amp;"〜")</f>
        <v/>
      </c>
      <c r="K31" s="36" t="n"/>
      <c r="L31" s="47">
        <f>$I$31</f>
        <v/>
      </c>
      <c r="M31" s="48" t="n"/>
      <c r="N31" s="48" t="n"/>
      <c r="O31" s="48" t="n"/>
      <c r="P31" s="48" t="n"/>
      <c r="Q31" s="48" t="n"/>
      <c r="R31" s="48" t="n"/>
    </row>
    <row r="32">
      <c r="A32" s="26" t="inlineStr">
        <is>
          <t>組</t>
        </is>
      </c>
      <c r="B32" s="128" t="n">
        <v>1</v>
      </c>
      <c r="C32" s="31" t="inlineStr">
        <is>
          <t>← 数字だけ（例：1）。「組」は自動</t>
        </is>
      </c>
      <c r="F32" s="45" t="n">
        <v>22</v>
      </c>
      <c r="G32" s="46">
        <f>IF(F32&lt;=MIN(calcA!$A$3,24),$B$3+(F32-1)*$B$5/1440,IF(F32&lt;=$B$6,$B$4+(F32-calcA!$A$3-1)*$B$5/1440,""))</f>
        <v/>
      </c>
      <c r="H32" s="43" t="n"/>
      <c r="I32" s="42">
        <f>IF(G32="","",TEXT(G32,"h:mm")&amp;"〜")</f>
        <v/>
      </c>
      <c r="K32" s="36" t="n"/>
      <c r="L32" s="47">
        <f>$I$32</f>
        <v/>
      </c>
      <c r="M32" s="48" t="n"/>
      <c r="N32" s="48" t="n"/>
      <c r="O32" s="48" t="n"/>
      <c r="P32" s="48" t="n"/>
      <c r="Q32" s="48" t="n"/>
      <c r="R32" s="48" t="n"/>
    </row>
    <row r="33">
      <c r="A33" s="26" t="inlineStr">
        <is>
          <t>担任名</t>
        </is>
      </c>
      <c r="B33" s="52" t="n"/>
      <c r="C33" s="33" t="n"/>
      <c r="D33" s="33" t="n"/>
      <c r="E33" s="34" t="n"/>
      <c r="F33" s="45" t="n">
        <v>23</v>
      </c>
      <c r="G33" s="46">
        <f>IF(F33&lt;=MIN(calcA!$A$3,24),$B$3+(F33-1)*$B$5/1440,IF(F33&lt;=$B$6,$B$4+(F33-calcA!$A$3-1)*$B$5/1440,""))</f>
        <v/>
      </c>
      <c r="H33" s="43" t="n"/>
      <c r="I33" s="42">
        <f>IF(G33="","",TEXT(G33,"h:mm")&amp;"〜")</f>
        <v/>
      </c>
      <c r="K33" s="36" t="n"/>
      <c r="L33" s="47">
        <f>$I$33</f>
        <v/>
      </c>
      <c r="M33" s="48" t="n"/>
      <c r="N33" s="48" t="n"/>
      <c r="O33" s="48" t="n"/>
      <c r="P33" s="48" t="n"/>
      <c r="Q33" s="48" t="n"/>
      <c r="R33" s="48" t="n"/>
    </row>
    <row r="34">
      <c r="A34" s="26" t="inlineStr">
        <is>
          <t>学校名</t>
        </is>
      </c>
      <c r="B34" s="52" t="n"/>
      <c r="C34" s="33" t="n"/>
      <c r="D34" s="33" t="n"/>
      <c r="E34" s="34" t="n"/>
      <c r="F34" s="45" t="n">
        <v>24</v>
      </c>
      <c r="G34" s="46">
        <f>IF(F34&lt;=MIN(calcA!$A$3,24),$B$3+(F34-1)*$B$5/1440,IF(F34&lt;=$B$6,$B$4+(F34-calcA!$A$3-1)*$B$5/1440,""))</f>
        <v/>
      </c>
      <c r="H34" s="43" t="n"/>
      <c r="I34" s="42">
        <f>IF(G34="","",TEXT(G34,"h:mm")&amp;"〜")</f>
        <v/>
      </c>
      <c r="K34" s="36" t="n"/>
      <c r="L34" s="47">
        <f>$I$34</f>
        <v/>
      </c>
      <c r="M34" s="48" t="n"/>
      <c r="N34" s="48" t="n"/>
      <c r="O34" s="48" t="n"/>
      <c r="P34" s="48" t="n"/>
      <c r="Q34" s="48" t="n"/>
      <c r="R34" s="48" t="n"/>
    </row>
    <row r="35">
      <c r="A35" s="26" t="inlineStr">
        <is>
          <t>お手紙の日付</t>
        </is>
      </c>
      <c r="B35" s="129" t="n">
        <v>46325</v>
      </c>
    </row>
    <row r="36">
      <c r="A36" s="26" t="inlineStr">
        <is>
          <t>面談の種類</t>
        </is>
      </c>
      <c r="B36" s="52" t="inlineStr">
        <is>
          <t>学年に合わせる（6年は進路面談）</t>
        </is>
      </c>
      <c r="C36" s="33" t="n"/>
      <c r="D36" s="33" t="n"/>
      <c r="E36" s="34" t="n"/>
    </row>
    <row r="37">
      <c r="A37" s="54" t="inlineStr">
        <is>
          <t>秋の本文</t>
        </is>
      </c>
      <c r="B37" s="55" t="inlineStr">
        <is>
          <t>【面談】の希望調査へのご協力ありがとうございました。下記の日程で予定を組ませていただきました。短い時間ですが、有意義な話し合いとし、日々の学級生活に生かしたいと思います。どうぞ、よろしくお願いいたします。</t>
        </is>
      </c>
      <c r="C37" s="56" t="n"/>
      <c r="D37" s="56" t="n"/>
      <c r="E37" s="56" t="n"/>
      <c r="F37" s="56" t="n"/>
      <c r="G37" s="56" t="n"/>
      <c r="H37" s="56" t="n"/>
      <c r="I37" s="57" t="n"/>
    </row>
    <row r="38">
      <c r="B38" s="58" t="n"/>
      <c r="I38" s="59" t="n"/>
    </row>
    <row r="39">
      <c r="B39" s="60" t="n"/>
      <c r="C39" s="61" t="n"/>
      <c r="D39" s="61" t="n"/>
      <c r="E39" s="61" t="n"/>
      <c r="F39" s="61" t="n"/>
      <c r="G39" s="61" t="n"/>
      <c r="H39" s="61" t="n"/>
      <c r="I39" s="62" t="n"/>
    </row>
    <row r="40">
      <c r="A40" s="26" t="inlineStr">
        <is>
          <t>秋の注意（表の下・3行）</t>
        </is>
      </c>
      <c r="B40" s="32" t="inlineStr">
        <is>
          <t>〇来校の際には、名札・上履きをお持ちください。</t>
        </is>
      </c>
      <c r="C40" s="33" t="n"/>
      <c r="D40" s="33" t="n"/>
      <c r="E40" s="33" t="n"/>
      <c r="F40" s="33" t="n"/>
      <c r="G40" s="33" t="n"/>
      <c r="H40" s="33" t="n"/>
      <c r="I40" s="34" t="n"/>
    </row>
    <row r="41">
      <c r="B41" s="32" t="n"/>
      <c r="C41" s="33" t="n"/>
      <c r="D41" s="33" t="n"/>
      <c r="E41" s="33" t="n"/>
      <c r="F41" s="33" t="n"/>
      <c r="G41" s="33" t="n"/>
      <c r="H41" s="33" t="n"/>
      <c r="I41" s="34" t="n"/>
    </row>
    <row r="42">
      <c r="B42" s="32" t="n"/>
      <c r="C42" s="33" t="n"/>
      <c r="D42" s="33" t="n"/>
      <c r="E42" s="33" t="n"/>
      <c r="F42" s="33" t="n"/>
      <c r="G42" s="33" t="n"/>
      <c r="H42" s="33" t="n"/>
      <c r="I42" s="34" t="n"/>
    </row>
    <row r="43">
      <c r="A43" s="54" t="inlineStr">
        <is>
          <t>夏の本文</t>
        </is>
      </c>
      <c r="B43" s="55" t="inlineStr">
        <is>
          <t>下記の日程で予定を組ませていただきました。どうぞ、よろしくお願いいたします。</t>
        </is>
      </c>
      <c r="C43" s="56" t="n"/>
      <c r="D43" s="56" t="n"/>
      <c r="E43" s="56" t="n"/>
      <c r="F43" s="56" t="n"/>
      <c r="G43" s="56" t="n"/>
      <c r="H43" s="56" t="n"/>
      <c r="I43" s="57" t="n"/>
    </row>
    <row r="44">
      <c r="B44" s="60" t="n"/>
      <c r="C44" s="61" t="n"/>
      <c r="D44" s="61" t="n"/>
      <c r="E44" s="61" t="n"/>
      <c r="F44" s="61" t="n"/>
      <c r="G44" s="61" t="n"/>
      <c r="H44" s="61" t="n"/>
      <c r="I44" s="62" t="n"/>
    </row>
    <row r="45">
      <c r="A45" s="26" t="inlineStr">
        <is>
          <t>夏の注意（表の上・3行）</t>
        </is>
      </c>
      <c r="B45" s="32" t="inlineStr">
        <is>
          <t>〇来校の際には、名札・上履きをお持ちください。</t>
        </is>
      </c>
      <c r="C45" s="33" t="n"/>
      <c r="D45" s="33" t="n"/>
      <c r="E45" s="33" t="n"/>
      <c r="F45" s="33" t="n"/>
      <c r="G45" s="33" t="n"/>
      <c r="H45" s="33" t="n"/>
      <c r="I45" s="34" t="n"/>
    </row>
    <row r="46">
      <c r="B46" s="32" t="n"/>
      <c r="C46" s="33" t="n"/>
      <c r="D46" s="33" t="n"/>
      <c r="E46" s="33" t="n"/>
      <c r="F46" s="33" t="n"/>
      <c r="G46" s="33" t="n"/>
      <c r="H46" s="33" t="n"/>
      <c r="I46" s="34" t="n"/>
    </row>
    <row r="47">
      <c r="B47" s="32" t="n"/>
      <c r="C47" s="33" t="n"/>
      <c r="D47" s="33" t="n"/>
      <c r="E47" s="33" t="n"/>
      <c r="F47" s="33" t="n"/>
      <c r="G47" s="33" t="n"/>
      <c r="H47" s="33" t="n"/>
      <c r="I47" s="34" t="n"/>
    </row>
    <row r="48">
      <c r="A48" s="31" t="inlineStr">
        <is>
          <t>※ 本文の「【面談】」のところは、「個人面談」か「進路面談」に自動で変わります。</t>
        </is>
      </c>
    </row>
    <row r="49">
      <c r="A49" s="31" t="inlineStr">
        <is>
          <t>※ 本文は、秋は4行（140字）、夏は2行（82字）まで印刷されます。</t>
        </is>
      </c>
    </row>
  </sheetData>
  <mergeCells count="18">
    <mergeCell ref="I1:J1"/>
    <mergeCell ref="B43:I44"/>
    <mergeCell ref="A25:E27"/>
    <mergeCell ref="B8:E8"/>
    <mergeCell ref="B47:I47"/>
    <mergeCell ref="K1:L1"/>
    <mergeCell ref="B34:E34"/>
    <mergeCell ref="K9:L9"/>
    <mergeCell ref="B42:I42"/>
    <mergeCell ref="B33:E33"/>
    <mergeCell ref="B41:I41"/>
    <mergeCell ref="B45:I45"/>
    <mergeCell ref="B46:I46"/>
    <mergeCell ref="B37:I39"/>
    <mergeCell ref="F1:G1"/>
    <mergeCell ref="B36:E36"/>
    <mergeCell ref="A22:E24"/>
    <mergeCell ref="B40:I40"/>
  </mergeCells>
  <conditionalFormatting sqref="G11:I34">
    <cfRule type="expression" priority="1" dxfId="2">
      <formula>$G11=""</formula>
    </cfRule>
  </conditionalFormatting>
  <conditionalFormatting sqref="M9:R9">
    <cfRule type="expression" priority="2" dxfId="3" stopIfTrue="1">
      <formula>INDEX($B$11:$B$16,COLUMN(M9)-12)=""</formula>
    </cfRule>
    <cfRule type="expression" priority="3" dxfId="4">
      <formula>TRUE</formula>
    </cfRule>
  </conditionalFormatting>
  <conditionalFormatting sqref="K11:K34">
    <cfRule type="expression" priority="4" dxfId="3" stopIfTrue="1">
      <formula>$L11=""</formula>
    </cfRule>
    <cfRule type="expression" priority="5" dxfId="4">
      <formula>TRUE</formula>
    </cfRule>
  </conditionalFormatting>
  <conditionalFormatting sqref="L11:L34">
    <cfRule type="expression" priority="6" dxfId="3" stopIfTrue="1">
      <formula>$L11=""</formula>
    </cfRule>
  </conditionalFormatting>
  <conditionalFormatting sqref="M11:R34">
    <cfRule type="expression" priority="7" dxfId="3" stopIfTrue="1">
      <formula>OR(INDEX($B$11:$B$16,COLUMN(M11)-12)="",ROW(M11)-10&gt;$B$6)</formula>
    </cfRule>
    <cfRule type="expression" priority="8" dxfId="5" stopIfTrue="1">
      <formula>OR(M11&lt;&gt;"",M$9&lt;&gt;"",$K11&lt;&gt;"")</formula>
    </cfRule>
    <cfRule type="expression" priority="9" dxfId="4">
      <formula>TRUE</formula>
    </cfRule>
  </conditionalFormatting>
  <conditionalFormatting sqref="M10:R10">
    <cfRule type="expression" priority="10" dxfId="3">
      <formula>M10=""</formula>
    </cfRule>
  </conditionalFormatting>
  <dataValidations count="9">
    <dataValidation sqref="B3:B4 D3:D4" showDropDown="0" showInputMessage="0" showErrorMessage="1" allowBlank="0" error="時刻を「13:30」のように入れてください。" type="time" operator="between">
      <formula1>0</formula1>
      <formula2>0.999988426</formula2>
    </dataValidation>
    <dataValidation sqref="B5" showDropDown="0" showInputMessage="0" showErrorMessage="1" allowBlank="0" error="5〜120の数字（分）を入れてください。" type="whole" operator="between">
      <formula1>5</formula1>
      <formula2>120</formula2>
    </dataValidation>
    <dataValidation sqref="B11:B16" showDropDown="0" showInputMessage="0" showErrorMessage="1" allowBlank="0" error="日付を「11/24」のように入れてください。" type="date" operator="greaterThan">
      <formula1>36526</formula1>
    </dataValidation>
    <dataValidation sqref="B8" showDropDown="0" showInputMessage="0" showErrorMessage="0" allowBlank="0" type="list">
      <formula1>"早い時間から（各日の最後を空ける）,日付順に詰める（後ろの日を空ける）"</formula1>
    </dataValidation>
    <dataValidation sqref="D11 D12 D13 D14 D15 D16 H11 H12 H13 H14 H15 H16 H17 H18 H19 H20 H21 H22 H23 H24 H25 H26 H27 H28 H29 H30 H31 H32 H33 H34" showDropDown="0" showInputMessage="0" showErrorMessage="0" allowBlank="1" type="list">
      <formula1>"〇"</formula1>
    </dataValidation>
    <dataValidation sqref="K11:K34 M9:R9 M11:R34" showDropDown="0" showInputMessage="0" showErrorMessage="0" allowBlank="1" type="list">
      <formula1>"×"</formula1>
    </dataValidation>
    <dataValidation sqref="B31" showDropDown="0" showInputMessage="0" showErrorMessage="0" allowBlank="1" type="list">
      <formula1>"1,2,3,4,5,6"</formula1>
    </dataValidation>
    <dataValidation sqref="B36" showDropDown="0" showInputMessage="0" showErrorMessage="0" allowBlank="0" type="list">
      <formula1>"学年に合わせる（6年は進路面談）,個人面談,進路面談"</formula1>
    </dataValidation>
    <dataValidation sqref="B35" showDropDown="0" showInputMessage="0" showErrorMessage="1" allowBlank="0" error="日付を「10/30」のように入れてください。" type="date" operator="greaterThan">
      <formula1>36526</formula1>
    </dataValidation>
  </dataValidations>
  <pageMargins left="0.75" right="0.75" top="1" bottom="1" header="0.5" footer="0.5"/>
</worksheet>
</file>

<file path=xl/worksheets/sheet3.xml><?xml version="1.0" encoding="utf-8"?>
<worksheet xmlns="http://schemas.openxmlformats.org/spreadsheetml/2006/main">
  <sheetPr>
    <tabColor rgb="002B5797"/>
    <outlinePr summaryBelow="1" summaryRight="0"/>
    <pageSetUpPr/>
  </sheetPr>
  <dimension ref="A1:AE44"/>
  <sheetViews>
    <sheetView showGridLines="0" showRowColHeader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10" customWidth="1" min="3" max="3"/>
    <col width="16" customWidth="1" min="4" max="4"/>
    <col width="6" customWidth="1" min="5" max="5"/>
    <col width="16" customWidth="1" min="6" max="6"/>
    <col hidden="1" outlineLevel="1" width="15" customWidth="1" min="7" max="7"/>
    <col hidden="1" outlineLevel="1" width="9" customWidth="1" min="8" max="8"/>
    <col hidden="1" outlineLevel="1" width="11" customWidth="1" min="9" max="9"/>
    <col hidden="1" outlineLevel="1" width="15" customWidth="1" min="10" max="10"/>
    <col hidden="1" outlineLevel="1" width="9" customWidth="1" min="11" max="11"/>
    <col hidden="1" outlineLevel="1" width="11" customWidth="1" min="12" max="12"/>
    <col hidden="1" outlineLevel="1" width="15" customWidth="1" min="13" max="13"/>
    <col hidden="1" outlineLevel="1" width="9" customWidth="1" min="14" max="14"/>
    <col hidden="1" outlineLevel="1" width="11" customWidth="1" min="15" max="15"/>
    <col width="18" customWidth="1" min="16" max="16"/>
    <col width="10" customWidth="1" min="17" max="17"/>
    <col width="7" customWidth="1" min="18" max="18"/>
    <col width="9" customWidth="1" min="19" max="19"/>
    <col width="7" customWidth="1" min="20" max="20"/>
    <col width="15" customWidth="1" min="21" max="21"/>
    <col width="8" customWidth="1" min="22" max="22"/>
    <col width="30" customWidth="1" min="23" max="23"/>
    <col width="22" customWidth="1" min="24" max="24"/>
    <col width="22" customWidth="1" min="25" max="25"/>
    <col width="9" customWidth="1" min="26" max="26"/>
  </cols>
  <sheetData>
    <row r="1" ht="44" customHeight="1">
      <c r="A1" s="1" t="inlineStr">
        <is>
          <t>名簿・結果</t>
        </is>
      </c>
      <c r="B1" s="2" t="n"/>
      <c r="C1" s="2" t="n"/>
      <c r="D1" s="23">
        <f>HYPERLINK("#'ホーム'!A1","ホーム")</f>
        <v/>
      </c>
      <c r="E1" s="2" t="n"/>
      <c r="F1" s="63" t="inlineStr">
        <is>
          <t>▲ 上の「＋」で
兄弟の列を開く</t>
        </is>
      </c>
      <c r="G1" s="2" t="n"/>
      <c r="H1" s="2" t="n"/>
      <c r="I1" s="2" t="n"/>
      <c r="J1" s="2" t="n"/>
      <c r="K1" s="2" t="n"/>
      <c r="L1" s="2" t="n"/>
      <c r="M1" s="2" t="n"/>
      <c r="N1" s="2" t="n"/>
      <c r="O1" s="2" t="n"/>
      <c r="P1" s="23">
        <f>HYPERLINK("#'設定'!A1","① 設定")</f>
        <v/>
      </c>
      <c r="Q1" s="24">
        <f>HYPERLINK("#'名簿'!A1","② 名簿")</f>
        <v/>
      </c>
      <c r="R1" s="25" t="n"/>
      <c r="S1" s="23">
        <f>HYPERLINK("#'×入力'!A1","③ ×入力")</f>
        <v/>
      </c>
      <c r="T1" s="25" t="n"/>
      <c r="U1" s="23">
        <f>HYPERLINK("#'自動案A'!A1","④ 自動案A")</f>
        <v/>
      </c>
      <c r="V1" s="2" t="n"/>
      <c r="W1" s="2" t="n"/>
      <c r="X1" s="23">
        <f>HYPERLINK("#'自動案B'!A1","④ 自動案B")</f>
        <v/>
      </c>
      <c r="Y1" s="23">
        <f>HYPERLINK("#'調整・決定'!A1","⑤ 調整・決定")</f>
        <v/>
      </c>
      <c r="Z1" s="23">
        <f>HYPERLINK("#'兄弟確認用'!A1","⑥ 兄弟確認")</f>
        <v/>
      </c>
      <c r="AA1" s="25" t="n"/>
      <c r="AB1" s="23">
        <f>HYPERLINK("#'お手紙（夏）'!A1","⑦ お手紙 夏")</f>
        <v/>
      </c>
      <c r="AC1" s="25" t="n"/>
      <c r="AD1" s="23">
        <f>HYPERLINK("#'お手紙（秋）'!A1","⑧ お手紙 秋")</f>
        <v/>
      </c>
      <c r="AE1" s="25" t="n"/>
    </row>
    <row r="2" ht="24" customHeight="1">
      <c r="A2" s="4" t="inlineStr">
        <is>
          <t>黄色の列（番号〜兄弟③との順番）を入力します。Excelの名簿から番号と名前を「番号」の列のいちばん上に貼り付けてください（最大40人）。行の並べ替えはしないでください。</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row>
    <row r="3" ht="30" customHeight="1">
      <c r="A3" s="64" t="inlineStr">
        <is>
          <t>兄弟クラス：書き方は自由です（例：2年1組、2-1、兄 5年 など）。10字くらいまでが見やすいです。灰色の欄は、兄弟が〇の子だけ入力します。</t>
        </is>
      </c>
      <c r="P3" s="65" t="inlineStr">
        <is>
          <t>◀ 兄弟①〜③の列（兄弟の担任から聞いた面談の日時と順番）は、左上の「＋」で開き、「−」でたためます。</t>
        </is>
      </c>
    </row>
    <row r="4" ht="32" customHeight="1">
      <c r="A4" s="66" t="inlineStr">
        <is>
          <t>番号</t>
        </is>
      </c>
      <c r="B4" s="66" t="inlineStr">
        <is>
          <t>名前</t>
        </is>
      </c>
      <c r="C4" s="66" t="inlineStr">
        <is>
          <t>希望</t>
        </is>
      </c>
      <c r="D4" s="66" t="inlineStr">
        <is>
          <t>後ろを空ける</t>
        </is>
      </c>
      <c r="E4" s="66" t="inlineStr">
        <is>
          <t>兄弟</t>
        </is>
      </c>
      <c r="F4" s="67" t="inlineStr">
        <is>
          <t>兄弟クラス
日時は上の＋を押す</t>
        </is>
      </c>
      <c r="G4" s="66" t="inlineStr">
        <is>
          <t>兄弟①
日付</t>
        </is>
      </c>
      <c r="H4" s="66" t="inlineStr">
        <is>
          <t>兄弟①
時刻</t>
        </is>
      </c>
      <c r="I4" s="66" t="inlineStr">
        <is>
          <t>兄弟①
との順番</t>
        </is>
      </c>
      <c r="J4" s="66" t="inlineStr">
        <is>
          <t>兄弟②
日付</t>
        </is>
      </c>
      <c r="K4" s="66" t="inlineStr">
        <is>
          <t>兄弟②
時刻</t>
        </is>
      </c>
      <c r="L4" s="66" t="inlineStr">
        <is>
          <t>兄弟②
との順番</t>
        </is>
      </c>
      <c r="M4" s="66" t="inlineStr">
        <is>
          <t>兄弟③
日付</t>
        </is>
      </c>
      <c r="N4" s="66" t="inlineStr">
        <is>
          <t>兄弟③
時刻</t>
        </is>
      </c>
      <c r="O4" s="66" t="inlineStr">
        <is>
          <t>兄弟③
との順番</t>
        </is>
      </c>
      <c r="P4" s="68" t="inlineStr">
        <is>
          <t>表示名</t>
        </is>
      </c>
      <c r="Q4" s="68" t="inlineStr">
        <is>
          <t>状況</t>
        </is>
      </c>
      <c r="R4" s="68" t="inlineStr">
        <is>
          <t>×の数</t>
        </is>
      </c>
      <c r="S4" s="68" t="inlineStr">
        <is>
          <t>入れられる空き枠</t>
        </is>
      </c>
      <c r="T4" s="68" t="inlineStr">
        <is>
          <t>決める順</t>
        </is>
      </c>
      <c r="U4" s="68" t="inlineStr">
        <is>
          <t>日付</t>
        </is>
      </c>
      <c r="V4" s="68" t="inlineStr">
        <is>
          <t>時刻</t>
        </is>
      </c>
      <c r="W4" s="68" t="inlineStr">
        <is>
          <t>注意</t>
        </is>
      </c>
      <c r="X4" s="68" t="inlineStr">
        <is>
          <t>自動案A（詰める）</t>
        </is>
      </c>
      <c r="Y4" s="68" t="inlineStr">
        <is>
          <t>自動案B（散らす）</t>
        </is>
      </c>
    </row>
    <row r="5" ht="19" customHeight="1">
      <c r="A5" s="69" t="n">
        <v>1</v>
      </c>
      <c r="B5" s="70" t="inlineStr">
        <is>
          <t>佐藤 はると</t>
        </is>
      </c>
      <c r="C5" s="69" t="n"/>
      <c r="D5" s="69" t="n"/>
      <c r="E5" s="69" t="n"/>
      <c r="F5" s="70" t="n"/>
      <c r="G5" s="69" t="n"/>
      <c r="H5" s="69" t="n"/>
      <c r="I5" s="69" t="n"/>
      <c r="J5" s="69" t="n"/>
      <c r="K5" s="69" t="n"/>
      <c r="L5" s="69" t="n"/>
      <c r="M5" s="69" t="n"/>
      <c r="N5" s="69" t="n"/>
      <c r="O5" s="69" t="n"/>
      <c r="P5" s="44">
        <f>IF(B5="","",IF(COUNTIF($B$5:$B$49,B5)&gt;1,IF(A5="","",A5&amp;" ")&amp;B5,B5))</f>
        <v/>
      </c>
      <c r="Q5" s="42">
        <f>IF(B5="","",IF('×入力'!F5="未提出","未提出",IF(R5&gt;0,"入力済み",IF('×入力'!F5="×なし（どこでもOK）","×なし","未入力"))))</f>
        <v/>
      </c>
      <c r="R5" s="42">
        <f>IF(B5="","",'calcA'!IN10)</f>
        <v/>
      </c>
      <c r="S5" s="42">
        <f>IF(OR(Q5="入力済み",Q5="×なし"),'calcA'!IM10,"")</f>
        <v/>
      </c>
      <c r="T5" s="42">
        <f>IF('calcA'!C10=1,COUNTIFS('calcA'!$C$10:$C$54,1,'calcA'!$IM$10:$IM$54,"&lt;"&amp;'calcA'!IM10)+1,"")</f>
        <v/>
      </c>
      <c r="U5" s="44">
        <f>IF('calcA'!IO10=0,"",INDEX('設定'!$E$11:$E$16,INDEX('calcA'!$D$2:$EQ$2,'calcA'!IO10)))</f>
        <v/>
      </c>
      <c r="V5" s="42">
        <f>IF('calcA'!IO10=0,"",INDEX('設定'!$I$11:$I$34,INDEX('calcA'!$D$3:$EQ$3,'calcA'!IO10)))</f>
        <v/>
      </c>
      <c r="W5" s="44">
        <f>IF(P5="","",IF('calcA'!JG10=1,"兄弟の日付・時刻が表にありません",IF(COUNTIF('調整・決定'!$C$6:$H$29,P5)&gt;1,"2か所以上に入っています",IF('calcA'!IO10&gt;0,IF(INDEX('calcA'!$D$4:$EQ$4,'calcA'!IO10)=0,"使えない枠に入っています",IF(INDEX('calcA'!$D$10:$EQ$10,'calcA'!IO10)=1,"×の枠に入っています",IF('calcA'!IV10=0,"（出来れば）兄弟の前後ではありません",IF(AND(RIGHT(D5,4)="空けたい",INDEX('calcA'!$D$106:$EQ$106,'calcA'!IO10)=1,INDEX('calcA'!$D$109:$EQ$109,'calcA'!IO10+1)=1),IF(D5="必ず空けたい","後ろの枠が空いていません","（出来れば）後ろが空いていません"),IF(AND(D5="空けない",INDEX('calcA'!$D$106:$EQ$106,'calcA'!IO10)=1,INDEX('calcA'!$D$109:$EQ$109,'calcA'!IO10+1)=0),"（出来れば）すぐ後が空いています",""))))),IF(OR(Q5="入力済み",Q5="×なし"),"未決定","")))))</f>
        <v/>
      </c>
      <c r="X5" s="44">
        <f>IF('calcA'!IK10=0,IF('calcA'!IL10=1,"入る枠がありません",""),INDEX('calcA'!$D$8:$EQ$8,'calcA'!IK10))</f>
        <v/>
      </c>
      <c r="Y5" s="44">
        <f>IF('calcA'!IR10=0,IF('calcA'!IS10=1,"入る枠がありません",""),INDEX('calcA'!$D$8:$EQ$8,'calcA'!IR10))</f>
        <v/>
      </c>
      <c r="Z5" s="71">
        <f>HYPERLINK("#'×入力'!B5","×入力へ")</f>
        <v/>
      </c>
    </row>
    <row r="6" ht="19" customHeight="1">
      <c r="A6" s="69" t="n">
        <v>2</v>
      </c>
      <c r="B6" s="70" t="inlineStr">
        <is>
          <t>鈴木 ゆい</t>
        </is>
      </c>
      <c r="C6" s="69" t="inlineStr">
        <is>
          <t>遅い時刻</t>
        </is>
      </c>
      <c r="D6" s="69" t="n"/>
      <c r="E6" s="69" t="n"/>
      <c r="F6" s="70" t="n"/>
      <c r="G6" s="69" t="n"/>
      <c r="H6" s="69" t="n"/>
      <c r="I6" s="69" t="n"/>
      <c r="J6" s="69" t="n"/>
      <c r="K6" s="69" t="n"/>
      <c r="L6" s="69" t="n"/>
      <c r="M6" s="69" t="n"/>
      <c r="N6" s="69" t="n"/>
      <c r="O6" s="69" t="n"/>
      <c r="P6" s="44">
        <f>IF(B6="","",IF(COUNTIF($B$5:$B$49,B6)&gt;1,IF(A6="","",A6&amp;" ")&amp;B6,B6))</f>
        <v/>
      </c>
      <c r="Q6" s="42">
        <f>IF(B6="","",IF('×入力'!F33="未提出","未提出",IF(R6&gt;0,"入力済み",IF('×入力'!F33="×なし（どこでもOK）","×なし","未入力"))))</f>
        <v/>
      </c>
      <c r="R6" s="42">
        <f>IF(B6="","",'calcA'!IN11)</f>
        <v/>
      </c>
      <c r="S6" s="42">
        <f>IF(OR(Q6="入力済み",Q6="×なし"),'calcA'!IM11,"")</f>
        <v/>
      </c>
      <c r="T6" s="42">
        <f>IF('calcA'!C11=1,COUNTIFS('calcA'!$C$10:$C$54,1,'calcA'!$IM$10:$IM$54,"&lt;"&amp;'calcA'!IM11)+1,"")</f>
        <v/>
      </c>
      <c r="U6" s="44">
        <f>IF('calcA'!IO11=0,"",INDEX('設定'!$E$11:$E$16,INDEX('calcA'!$D$2:$EQ$2,'calcA'!IO11)))</f>
        <v/>
      </c>
      <c r="V6" s="42">
        <f>IF('calcA'!IO11=0,"",INDEX('設定'!$I$11:$I$34,INDEX('calcA'!$D$3:$EQ$3,'calcA'!IO11)))</f>
        <v/>
      </c>
      <c r="W6" s="44">
        <f>IF(P6="","",IF('calcA'!JG11=1,"兄弟の日付・時刻が表にありません",IF(COUNTIF('調整・決定'!$C$6:$H$29,P6)&gt;1,"2か所以上に入っています",IF('calcA'!IO11&gt;0,IF(INDEX('calcA'!$D$4:$EQ$4,'calcA'!IO11)=0,"使えない枠に入っています",IF(INDEX('calcA'!$D$11:$EQ$11,'calcA'!IO11)=1,"×の枠に入っています",IF('calcA'!IV11=0,"（出来れば）兄弟の前後ではありません",IF(AND(RIGHT(D6,4)="空けたい",INDEX('calcA'!$D$106:$EQ$106,'calcA'!IO11)=1,INDEX('calcA'!$D$109:$EQ$109,'calcA'!IO11+1)=1),IF(D6="必ず空けたい","後ろの枠が空いていません","（出来れば）後ろが空いていません"),IF(AND(D6="空けない",INDEX('calcA'!$D$106:$EQ$106,'calcA'!IO11)=1,INDEX('calcA'!$D$109:$EQ$109,'calcA'!IO11+1)=0),"（出来れば）すぐ後が空いています",""))))),IF(OR(Q6="入力済み",Q6="×なし"),"未決定","")))))</f>
        <v/>
      </c>
      <c r="X6" s="44">
        <f>IF('calcA'!IK11=0,IF('calcA'!IL11=1,"入る枠がありません",""),INDEX('calcA'!$D$8:$EQ$8,'calcA'!IK11))</f>
        <v/>
      </c>
      <c r="Y6" s="44">
        <f>IF('calcA'!IR11=0,IF('calcA'!IS11=1,"入る枠がありません",""),INDEX('calcA'!$D$8:$EQ$8,'calcA'!IR11))</f>
        <v/>
      </c>
      <c r="Z6" s="71">
        <f>HYPERLINK("#'×入力'!B33","×入力へ")</f>
        <v/>
      </c>
    </row>
    <row r="7" ht="19" customHeight="1">
      <c r="A7" s="69" t="n">
        <v>3</v>
      </c>
      <c r="B7" s="70" t="inlineStr">
        <is>
          <t>高橋 そうた</t>
        </is>
      </c>
      <c r="C7" s="69" t="n"/>
      <c r="D7" s="69" t="n"/>
      <c r="E7" s="69" t="n"/>
      <c r="F7" s="70" t="n"/>
      <c r="G7" s="69" t="n"/>
      <c r="H7" s="69" t="n"/>
      <c r="I7" s="69" t="n"/>
      <c r="J7" s="69" t="n"/>
      <c r="K7" s="69" t="n"/>
      <c r="L7" s="69" t="n"/>
      <c r="M7" s="69" t="n"/>
      <c r="N7" s="69" t="n"/>
      <c r="O7" s="69" t="n"/>
      <c r="P7" s="44">
        <f>IF(B7="","",IF(COUNTIF($B$5:$B$49,B7)&gt;1,IF(A7="","",A7&amp;" ")&amp;B7,B7))</f>
        <v/>
      </c>
      <c r="Q7" s="42">
        <f>IF(B7="","",IF('×入力'!F61="未提出","未提出",IF(R7&gt;0,"入力済み",IF('×入力'!F61="×なし（どこでもOK）","×なし","未入力"))))</f>
        <v/>
      </c>
      <c r="R7" s="42">
        <f>IF(B7="","",'calcA'!IN12)</f>
        <v/>
      </c>
      <c r="S7" s="42">
        <f>IF(OR(Q7="入力済み",Q7="×なし"),'calcA'!IM12,"")</f>
        <v/>
      </c>
      <c r="T7" s="42">
        <f>IF('calcA'!C12=1,COUNTIFS('calcA'!$C$10:$C$54,1,'calcA'!$IM$10:$IM$54,"&lt;"&amp;'calcA'!IM12)+1,"")</f>
        <v/>
      </c>
      <c r="U7" s="44">
        <f>IF('calcA'!IO12=0,"",INDEX('設定'!$E$11:$E$16,INDEX('calcA'!$D$2:$EQ$2,'calcA'!IO12)))</f>
        <v/>
      </c>
      <c r="V7" s="42">
        <f>IF('calcA'!IO12=0,"",INDEX('設定'!$I$11:$I$34,INDEX('calcA'!$D$3:$EQ$3,'calcA'!IO12)))</f>
        <v/>
      </c>
      <c r="W7" s="44">
        <f>IF(P7="","",IF('calcA'!JG12=1,"兄弟の日付・時刻が表にありません",IF(COUNTIF('調整・決定'!$C$6:$H$29,P7)&gt;1,"2か所以上に入っています",IF('calcA'!IO12&gt;0,IF(INDEX('calcA'!$D$4:$EQ$4,'calcA'!IO12)=0,"使えない枠に入っています",IF(INDEX('calcA'!$D$12:$EQ$12,'calcA'!IO12)=1,"×の枠に入っています",IF('calcA'!IV12=0,"（出来れば）兄弟の前後ではありません",IF(AND(RIGHT(D7,4)="空けたい",INDEX('calcA'!$D$106:$EQ$106,'calcA'!IO12)=1,INDEX('calcA'!$D$109:$EQ$109,'calcA'!IO12+1)=1),IF(D7="必ず空けたい","後ろの枠が空いていません","（出来れば）後ろが空いていません"),IF(AND(D7="空けない",INDEX('calcA'!$D$106:$EQ$106,'calcA'!IO12)=1,INDEX('calcA'!$D$109:$EQ$109,'calcA'!IO12+1)=0),"（出来れば）すぐ後が空いています",""))))),IF(OR(Q7="入力済み",Q7="×なし"),"未決定","")))))</f>
        <v/>
      </c>
      <c r="X7" s="44">
        <f>IF('calcA'!IK12=0,IF('calcA'!IL12=1,"入る枠がありません",""),INDEX('calcA'!$D$8:$EQ$8,'calcA'!IK12))</f>
        <v/>
      </c>
      <c r="Y7" s="44">
        <f>IF('calcA'!IR12=0,IF('calcA'!IS12=1,"入る枠がありません",""),INDEX('calcA'!$D$8:$EQ$8,'calcA'!IR12))</f>
        <v/>
      </c>
      <c r="Z7" s="71">
        <f>HYPERLINK("#'×入力'!B61","×入力へ")</f>
        <v/>
      </c>
    </row>
    <row r="8" ht="19" customHeight="1">
      <c r="A8" s="69" t="n">
        <v>4</v>
      </c>
      <c r="B8" s="70" t="inlineStr">
        <is>
          <t>田中 めい</t>
        </is>
      </c>
      <c r="C8" s="69" t="n"/>
      <c r="D8" s="69" t="n"/>
      <c r="E8" s="69" t="inlineStr">
        <is>
          <t>〇</t>
        </is>
      </c>
      <c r="F8" s="70" t="inlineStr">
        <is>
          <t>2年1組</t>
        </is>
      </c>
      <c r="G8" s="69" t="n"/>
      <c r="H8" s="69" t="n"/>
      <c r="I8" s="69" t="n"/>
      <c r="J8" s="69" t="n"/>
      <c r="K8" s="69" t="n"/>
      <c r="L8" s="69" t="n"/>
      <c r="M8" s="69" t="n"/>
      <c r="N8" s="69" t="n"/>
      <c r="O8" s="69" t="n"/>
      <c r="P8" s="44">
        <f>IF(B8="","",IF(COUNTIF($B$5:$B$49,B8)&gt;1,IF(A8="","",A8&amp;" ")&amp;B8,B8))</f>
        <v/>
      </c>
      <c r="Q8" s="42">
        <f>IF(B8="","",IF('×入力'!F89="未提出","未提出",IF(R8&gt;0,"入力済み",IF('×入力'!F89="×なし（どこでもOK）","×なし","未入力"))))</f>
        <v/>
      </c>
      <c r="R8" s="42">
        <f>IF(B8="","",'calcA'!IN13)</f>
        <v/>
      </c>
      <c r="S8" s="42">
        <f>IF(OR(Q8="入力済み",Q8="×なし"),'calcA'!IM13,"")</f>
        <v/>
      </c>
      <c r="T8" s="42">
        <f>IF('calcA'!C13=1,COUNTIFS('calcA'!$C$10:$C$54,1,'calcA'!$IM$10:$IM$54,"&lt;"&amp;'calcA'!IM13)+1,"")</f>
        <v/>
      </c>
      <c r="U8" s="44">
        <f>IF('calcA'!IO13=0,"",INDEX('設定'!$E$11:$E$16,INDEX('calcA'!$D$2:$EQ$2,'calcA'!IO13)))</f>
        <v/>
      </c>
      <c r="V8" s="42">
        <f>IF('calcA'!IO13=0,"",INDEX('設定'!$I$11:$I$34,INDEX('calcA'!$D$3:$EQ$3,'calcA'!IO13)))</f>
        <v/>
      </c>
      <c r="W8" s="44">
        <f>IF(P8="","",IF('calcA'!JG13=1,"兄弟の日付・時刻が表にありません",IF(COUNTIF('調整・決定'!$C$6:$H$29,P8)&gt;1,"2か所以上に入っています",IF('calcA'!IO13&gt;0,IF(INDEX('calcA'!$D$4:$EQ$4,'calcA'!IO13)=0,"使えない枠に入っています",IF(INDEX('calcA'!$D$13:$EQ$13,'calcA'!IO13)=1,"×の枠に入っています",IF('calcA'!IV13=0,"（出来れば）兄弟の前後ではありません",IF(AND(RIGHT(D8,4)="空けたい",INDEX('calcA'!$D$106:$EQ$106,'calcA'!IO13)=1,INDEX('calcA'!$D$109:$EQ$109,'calcA'!IO13+1)=1),IF(D8="必ず空けたい","後ろの枠が空いていません","（出来れば）後ろが空いていません"),IF(AND(D8="空けない",INDEX('calcA'!$D$106:$EQ$106,'calcA'!IO13)=1,INDEX('calcA'!$D$109:$EQ$109,'calcA'!IO13+1)=0),"（出来れば）すぐ後が空いています",""))))),IF(OR(Q8="入力済み",Q8="×なし"),"未決定","")))))</f>
        <v/>
      </c>
      <c r="X8" s="44">
        <f>IF('calcA'!IK13=0,IF('calcA'!IL13=1,"入る枠がありません",""),INDEX('calcA'!$D$8:$EQ$8,'calcA'!IK13))</f>
        <v/>
      </c>
      <c r="Y8" s="44">
        <f>IF('calcA'!IR13=0,IF('calcA'!IS13=1,"入る枠がありません",""),INDEX('calcA'!$D$8:$EQ$8,'calcA'!IR13))</f>
        <v/>
      </c>
      <c r="Z8" s="71">
        <f>HYPERLINK("#'×入力'!B89","×入力へ")</f>
        <v/>
      </c>
    </row>
    <row r="9" ht="19" customHeight="1">
      <c r="A9" s="69" t="n">
        <v>5</v>
      </c>
      <c r="B9" s="70" t="inlineStr">
        <is>
          <t>伊藤 ひなた</t>
        </is>
      </c>
      <c r="C9" s="69" t="n"/>
      <c r="D9" s="69" t="n"/>
      <c r="E9" s="69" t="n"/>
      <c r="F9" s="70" t="n"/>
      <c r="G9" s="69" t="n"/>
      <c r="H9" s="69" t="n"/>
      <c r="I9" s="69" t="n"/>
      <c r="J9" s="69" t="n"/>
      <c r="K9" s="69" t="n"/>
      <c r="L9" s="69" t="n"/>
      <c r="M9" s="69" t="n"/>
      <c r="N9" s="69" t="n"/>
      <c r="O9" s="69" t="n"/>
      <c r="P9" s="44">
        <f>IF(B9="","",IF(COUNTIF($B$5:$B$49,B9)&gt;1,IF(A9="","",A9&amp;" ")&amp;B9,B9))</f>
        <v/>
      </c>
      <c r="Q9" s="42">
        <f>IF(B9="","",IF('×入力'!F117="未提出","未提出",IF(R9&gt;0,"入力済み",IF('×入力'!F117="×なし（どこでもOK）","×なし","未入力"))))</f>
        <v/>
      </c>
      <c r="R9" s="42">
        <f>IF(B9="","",'calcA'!IN14)</f>
        <v/>
      </c>
      <c r="S9" s="42">
        <f>IF(OR(Q9="入力済み",Q9="×なし"),'calcA'!IM14,"")</f>
        <v/>
      </c>
      <c r="T9" s="42">
        <f>IF('calcA'!C14=1,COUNTIFS('calcA'!$C$10:$C$54,1,'calcA'!$IM$10:$IM$54,"&lt;"&amp;'calcA'!IM14)+1,"")</f>
        <v/>
      </c>
      <c r="U9" s="44">
        <f>IF('calcA'!IO14=0,"",INDEX('設定'!$E$11:$E$16,INDEX('calcA'!$D$2:$EQ$2,'calcA'!IO14)))</f>
        <v/>
      </c>
      <c r="V9" s="42">
        <f>IF('calcA'!IO14=0,"",INDEX('設定'!$I$11:$I$34,INDEX('calcA'!$D$3:$EQ$3,'calcA'!IO14)))</f>
        <v/>
      </c>
      <c r="W9" s="44">
        <f>IF(P9="","",IF('calcA'!JG14=1,"兄弟の日付・時刻が表にありません",IF(COUNTIF('調整・決定'!$C$6:$H$29,P9)&gt;1,"2か所以上に入っています",IF('calcA'!IO14&gt;0,IF(INDEX('calcA'!$D$4:$EQ$4,'calcA'!IO14)=0,"使えない枠に入っています",IF(INDEX('calcA'!$D$14:$EQ$14,'calcA'!IO14)=1,"×の枠に入っています",IF('calcA'!IV14=0,"（出来れば）兄弟の前後ではありません",IF(AND(RIGHT(D9,4)="空けたい",INDEX('calcA'!$D$106:$EQ$106,'calcA'!IO14)=1,INDEX('calcA'!$D$109:$EQ$109,'calcA'!IO14+1)=1),IF(D9="必ず空けたい","後ろの枠が空いていません","（出来れば）後ろが空いていません"),IF(AND(D9="空けない",INDEX('calcA'!$D$106:$EQ$106,'calcA'!IO14)=1,INDEX('calcA'!$D$109:$EQ$109,'calcA'!IO14+1)=0),"（出来れば）すぐ後が空いています",""))))),IF(OR(Q9="入力済み",Q9="×なし"),"未決定","")))))</f>
        <v/>
      </c>
      <c r="X9" s="44">
        <f>IF('calcA'!IK14=0,IF('calcA'!IL14=1,"入る枠がありません",""),INDEX('calcA'!$D$8:$EQ$8,'calcA'!IK14))</f>
        <v/>
      </c>
      <c r="Y9" s="44">
        <f>IF('calcA'!IR14=0,IF('calcA'!IS14=1,"入る枠がありません",""),INDEX('calcA'!$D$8:$EQ$8,'calcA'!IR14))</f>
        <v/>
      </c>
      <c r="Z9" s="71">
        <f>HYPERLINK("#'×入力'!B117","×入力へ")</f>
        <v/>
      </c>
    </row>
    <row r="10" ht="19" customHeight="1">
      <c r="A10" s="69" t="n">
        <v>6</v>
      </c>
      <c r="B10" s="70" t="inlineStr">
        <is>
          <t>渡辺 さくら</t>
        </is>
      </c>
      <c r="C10" s="69" t="n"/>
      <c r="D10" s="69" t="inlineStr">
        <is>
          <t>必ず空けたい</t>
        </is>
      </c>
      <c r="E10" s="69" t="n"/>
      <c r="F10" s="70" t="n"/>
      <c r="G10" s="69" t="n"/>
      <c r="H10" s="69" t="n"/>
      <c r="I10" s="69" t="n"/>
      <c r="J10" s="69" t="n"/>
      <c r="K10" s="69" t="n"/>
      <c r="L10" s="69" t="n"/>
      <c r="M10" s="69" t="n"/>
      <c r="N10" s="69" t="n"/>
      <c r="O10" s="69" t="n"/>
      <c r="P10" s="44">
        <f>IF(B10="","",IF(COUNTIF($B$5:$B$49,B10)&gt;1,IF(A10="","",A10&amp;" ")&amp;B10,B10))</f>
        <v/>
      </c>
      <c r="Q10" s="42">
        <f>IF(B10="","",IF('×入力'!F145="未提出","未提出",IF(R10&gt;0,"入力済み",IF('×入力'!F145="×なし（どこでもOK）","×なし","未入力"))))</f>
        <v/>
      </c>
      <c r="R10" s="42">
        <f>IF(B10="","",'calcA'!IN15)</f>
        <v/>
      </c>
      <c r="S10" s="42">
        <f>IF(OR(Q10="入力済み",Q10="×なし"),'calcA'!IM15,"")</f>
        <v/>
      </c>
      <c r="T10" s="42">
        <f>IF('calcA'!C15=1,COUNTIFS('calcA'!$C$10:$C$54,1,'calcA'!$IM$10:$IM$54,"&lt;"&amp;'calcA'!IM15)+1,"")</f>
        <v/>
      </c>
      <c r="U10" s="44">
        <f>IF('calcA'!IO15=0,"",INDEX('設定'!$E$11:$E$16,INDEX('calcA'!$D$2:$EQ$2,'calcA'!IO15)))</f>
        <v/>
      </c>
      <c r="V10" s="42">
        <f>IF('calcA'!IO15=0,"",INDEX('設定'!$I$11:$I$34,INDEX('calcA'!$D$3:$EQ$3,'calcA'!IO15)))</f>
        <v/>
      </c>
      <c r="W10" s="44">
        <f>IF(P10="","",IF('calcA'!JG15=1,"兄弟の日付・時刻が表にありません",IF(COUNTIF('調整・決定'!$C$6:$H$29,P10)&gt;1,"2か所以上に入っています",IF('calcA'!IO15&gt;0,IF(INDEX('calcA'!$D$4:$EQ$4,'calcA'!IO15)=0,"使えない枠に入っています",IF(INDEX('calcA'!$D$15:$EQ$15,'calcA'!IO15)=1,"×の枠に入っています",IF('calcA'!IV15=0,"（出来れば）兄弟の前後ではありません",IF(AND(RIGHT(D10,4)="空けたい",INDEX('calcA'!$D$106:$EQ$106,'calcA'!IO15)=1,INDEX('calcA'!$D$109:$EQ$109,'calcA'!IO15+1)=1),IF(D10="必ず空けたい","後ろの枠が空いていません","（出来れば）後ろが空いていません"),IF(AND(D10="空けない",INDEX('calcA'!$D$106:$EQ$106,'calcA'!IO15)=1,INDEX('calcA'!$D$109:$EQ$109,'calcA'!IO15+1)=0),"（出来れば）すぐ後が空いています",""))))),IF(OR(Q10="入力済み",Q10="×なし"),"未決定","")))))</f>
        <v/>
      </c>
      <c r="X10" s="44">
        <f>IF('calcA'!IK15=0,IF('calcA'!IL15=1,"入る枠がありません",""),INDEX('calcA'!$D$8:$EQ$8,'calcA'!IK15))</f>
        <v/>
      </c>
      <c r="Y10" s="44">
        <f>IF('calcA'!IR15=0,IF('calcA'!IS15=1,"入る枠がありません",""),INDEX('calcA'!$D$8:$EQ$8,'calcA'!IR15))</f>
        <v/>
      </c>
      <c r="Z10" s="71">
        <f>HYPERLINK("#'×入力'!B145","×入力へ")</f>
        <v/>
      </c>
    </row>
    <row r="11" ht="19" customHeight="1">
      <c r="A11" s="69" t="n">
        <v>7</v>
      </c>
      <c r="B11" s="70" t="inlineStr">
        <is>
          <t>山本 りく</t>
        </is>
      </c>
      <c r="C11" s="69" t="n"/>
      <c r="D11" s="69" t="n"/>
      <c r="E11" s="69" t="n"/>
      <c r="F11" s="70" t="n"/>
      <c r="G11" s="69" t="n"/>
      <c r="H11" s="69" t="n"/>
      <c r="I11" s="69" t="n"/>
      <c r="J11" s="69" t="n"/>
      <c r="K11" s="69" t="n"/>
      <c r="L11" s="69" t="n"/>
      <c r="M11" s="69" t="n"/>
      <c r="N11" s="69" t="n"/>
      <c r="O11" s="69" t="n"/>
      <c r="P11" s="44">
        <f>IF(B11="","",IF(COUNTIF($B$5:$B$49,B11)&gt;1,IF(A11="","",A11&amp;" ")&amp;B11,B11))</f>
        <v/>
      </c>
      <c r="Q11" s="42">
        <f>IF(B11="","",IF('×入力'!F173="未提出","未提出",IF(R11&gt;0,"入力済み",IF('×入力'!F173="×なし（どこでもOK）","×なし","未入力"))))</f>
        <v/>
      </c>
      <c r="R11" s="42">
        <f>IF(B11="","",'calcA'!IN16)</f>
        <v/>
      </c>
      <c r="S11" s="42">
        <f>IF(OR(Q11="入力済み",Q11="×なし"),'calcA'!IM16,"")</f>
        <v/>
      </c>
      <c r="T11" s="42">
        <f>IF('calcA'!C16=1,COUNTIFS('calcA'!$C$10:$C$54,1,'calcA'!$IM$10:$IM$54,"&lt;"&amp;'calcA'!IM16)+1,"")</f>
        <v/>
      </c>
      <c r="U11" s="44">
        <f>IF('calcA'!IO16=0,"",INDEX('設定'!$E$11:$E$16,INDEX('calcA'!$D$2:$EQ$2,'calcA'!IO16)))</f>
        <v/>
      </c>
      <c r="V11" s="42">
        <f>IF('calcA'!IO16=0,"",INDEX('設定'!$I$11:$I$34,INDEX('calcA'!$D$3:$EQ$3,'calcA'!IO16)))</f>
        <v/>
      </c>
      <c r="W11" s="44">
        <f>IF(P11="","",IF('calcA'!JG16=1,"兄弟の日付・時刻が表にありません",IF(COUNTIF('調整・決定'!$C$6:$H$29,P11)&gt;1,"2か所以上に入っています",IF('calcA'!IO16&gt;0,IF(INDEX('calcA'!$D$4:$EQ$4,'calcA'!IO16)=0,"使えない枠に入っています",IF(INDEX('calcA'!$D$16:$EQ$16,'calcA'!IO16)=1,"×の枠に入っています",IF('calcA'!IV16=0,"（出来れば）兄弟の前後ではありません",IF(AND(RIGHT(D11,4)="空けたい",INDEX('calcA'!$D$106:$EQ$106,'calcA'!IO16)=1,INDEX('calcA'!$D$109:$EQ$109,'calcA'!IO16+1)=1),IF(D11="必ず空けたい","後ろの枠が空いていません","（出来れば）後ろが空いていません"),IF(AND(D11="空けない",INDEX('calcA'!$D$106:$EQ$106,'calcA'!IO16)=1,INDEX('calcA'!$D$109:$EQ$109,'calcA'!IO16+1)=0),"（出来れば）すぐ後が空いています",""))))),IF(OR(Q11="入力済み",Q11="×なし"),"未決定","")))))</f>
        <v/>
      </c>
      <c r="X11" s="44">
        <f>IF('calcA'!IK16=0,IF('calcA'!IL16=1,"入る枠がありません",""),INDEX('calcA'!$D$8:$EQ$8,'calcA'!IK16))</f>
        <v/>
      </c>
      <c r="Y11" s="44">
        <f>IF('calcA'!IR16=0,IF('calcA'!IS16=1,"入る枠がありません",""),INDEX('calcA'!$D$8:$EQ$8,'calcA'!IR16))</f>
        <v/>
      </c>
      <c r="Z11" s="71">
        <f>HYPERLINK("#'×入力'!B173","×入力へ")</f>
        <v/>
      </c>
    </row>
    <row r="12" ht="19" customHeight="1">
      <c r="A12" s="69" t="n">
        <v>8</v>
      </c>
      <c r="B12" s="70" t="inlineStr">
        <is>
          <t>中村 あおい</t>
        </is>
      </c>
      <c r="C12" s="69" t="inlineStr">
        <is>
          <t>早い時刻</t>
        </is>
      </c>
      <c r="D12" s="69" t="n"/>
      <c r="E12" s="69" t="n"/>
      <c r="F12" s="70" t="n"/>
      <c r="G12" s="69" t="n"/>
      <c r="H12" s="69" t="n"/>
      <c r="I12" s="69" t="n"/>
      <c r="J12" s="69" t="n"/>
      <c r="K12" s="69" t="n"/>
      <c r="L12" s="69" t="n"/>
      <c r="M12" s="69" t="n"/>
      <c r="N12" s="69" t="n"/>
      <c r="O12" s="69" t="n"/>
      <c r="P12" s="44">
        <f>IF(B12="","",IF(COUNTIF($B$5:$B$49,B12)&gt;1,IF(A12="","",A12&amp;" ")&amp;B12,B12))</f>
        <v/>
      </c>
      <c r="Q12" s="42">
        <f>IF(B12="","",IF('×入力'!F201="未提出","未提出",IF(R12&gt;0,"入力済み",IF('×入力'!F201="×なし（どこでもOK）","×なし","未入力"))))</f>
        <v/>
      </c>
      <c r="R12" s="42">
        <f>IF(B12="","",'calcA'!IN17)</f>
        <v/>
      </c>
      <c r="S12" s="42">
        <f>IF(OR(Q12="入力済み",Q12="×なし"),'calcA'!IM17,"")</f>
        <v/>
      </c>
      <c r="T12" s="42">
        <f>IF('calcA'!C17=1,COUNTIFS('calcA'!$C$10:$C$54,1,'calcA'!$IM$10:$IM$54,"&lt;"&amp;'calcA'!IM17)+1,"")</f>
        <v/>
      </c>
      <c r="U12" s="44">
        <f>IF('calcA'!IO17=0,"",INDEX('設定'!$E$11:$E$16,INDEX('calcA'!$D$2:$EQ$2,'calcA'!IO17)))</f>
        <v/>
      </c>
      <c r="V12" s="42">
        <f>IF('calcA'!IO17=0,"",INDEX('設定'!$I$11:$I$34,INDEX('calcA'!$D$3:$EQ$3,'calcA'!IO17)))</f>
        <v/>
      </c>
      <c r="W12" s="44">
        <f>IF(P12="","",IF('calcA'!JG17=1,"兄弟の日付・時刻が表にありません",IF(COUNTIF('調整・決定'!$C$6:$H$29,P12)&gt;1,"2か所以上に入っています",IF('calcA'!IO17&gt;0,IF(INDEX('calcA'!$D$4:$EQ$4,'calcA'!IO17)=0,"使えない枠に入っています",IF(INDEX('calcA'!$D$17:$EQ$17,'calcA'!IO17)=1,"×の枠に入っています",IF('calcA'!IV17=0,"（出来れば）兄弟の前後ではありません",IF(AND(RIGHT(D12,4)="空けたい",INDEX('calcA'!$D$106:$EQ$106,'calcA'!IO17)=1,INDEX('calcA'!$D$109:$EQ$109,'calcA'!IO17+1)=1),IF(D12="必ず空けたい","後ろの枠が空いていません","（出来れば）後ろが空いていません"),IF(AND(D12="空けない",INDEX('calcA'!$D$106:$EQ$106,'calcA'!IO17)=1,INDEX('calcA'!$D$109:$EQ$109,'calcA'!IO17+1)=0),"（出来れば）すぐ後が空いています",""))))),IF(OR(Q12="入力済み",Q12="×なし"),"未決定","")))))</f>
        <v/>
      </c>
      <c r="X12" s="44">
        <f>IF('calcA'!IK17=0,IF('calcA'!IL17=1,"入る枠がありません",""),INDEX('calcA'!$D$8:$EQ$8,'calcA'!IK17))</f>
        <v/>
      </c>
      <c r="Y12" s="44">
        <f>IF('calcA'!IR17=0,IF('calcA'!IS17=1,"入る枠がありません",""),INDEX('calcA'!$D$8:$EQ$8,'calcA'!IR17))</f>
        <v/>
      </c>
      <c r="Z12" s="71">
        <f>HYPERLINK("#'×入力'!B201","×入力へ")</f>
        <v/>
      </c>
    </row>
    <row r="13" ht="19" customHeight="1">
      <c r="A13" s="69" t="n">
        <v>9</v>
      </c>
      <c r="B13" s="70" t="inlineStr">
        <is>
          <t>小林 ゆうと</t>
        </is>
      </c>
      <c r="C13" s="69" t="n"/>
      <c r="D13" s="69" t="n"/>
      <c r="E13" s="69" t="n"/>
      <c r="F13" s="70" t="n"/>
      <c r="G13" s="69" t="n"/>
      <c r="H13" s="69" t="n"/>
      <c r="I13" s="69" t="n"/>
      <c r="J13" s="69" t="n"/>
      <c r="K13" s="69" t="n"/>
      <c r="L13" s="69" t="n"/>
      <c r="M13" s="69" t="n"/>
      <c r="N13" s="69" t="n"/>
      <c r="O13" s="69" t="n"/>
      <c r="P13" s="44">
        <f>IF(B13="","",IF(COUNTIF($B$5:$B$49,B13)&gt;1,IF(A13="","",A13&amp;" ")&amp;B13,B13))</f>
        <v/>
      </c>
      <c r="Q13" s="42">
        <f>IF(B13="","",IF('×入力'!F229="未提出","未提出",IF(R13&gt;0,"入力済み",IF('×入力'!F229="×なし（どこでもOK）","×なし","未入力"))))</f>
        <v/>
      </c>
      <c r="R13" s="42">
        <f>IF(B13="","",'calcA'!IN18)</f>
        <v/>
      </c>
      <c r="S13" s="42">
        <f>IF(OR(Q13="入力済み",Q13="×なし"),'calcA'!IM18,"")</f>
        <v/>
      </c>
      <c r="T13" s="42">
        <f>IF('calcA'!C18=1,COUNTIFS('calcA'!$C$10:$C$54,1,'calcA'!$IM$10:$IM$54,"&lt;"&amp;'calcA'!IM18)+1,"")</f>
        <v/>
      </c>
      <c r="U13" s="44">
        <f>IF('calcA'!IO18=0,"",INDEX('設定'!$E$11:$E$16,INDEX('calcA'!$D$2:$EQ$2,'calcA'!IO18)))</f>
        <v/>
      </c>
      <c r="V13" s="42">
        <f>IF('calcA'!IO18=0,"",INDEX('設定'!$I$11:$I$34,INDEX('calcA'!$D$3:$EQ$3,'calcA'!IO18)))</f>
        <v/>
      </c>
      <c r="W13" s="44">
        <f>IF(P13="","",IF('calcA'!JG18=1,"兄弟の日付・時刻が表にありません",IF(COUNTIF('調整・決定'!$C$6:$H$29,P13)&gt;1,"2か所以上に入っています",IF('calcA'!IO18&gt;0,IF(INDEX('calcA'!$D$4:$EQ$4,'calcA'!IO18)=0,"使えない枠に入っています",IF(INDEX('calcA'!$D$18:$EQ$18,'calcA'!IO18)=1,"×の枠に入っています",IF('calcA'!IV18=0,"（出来れば）兄弟の前後ではありません",IF(AND(RIGHT(D13,4)="空けたい",INDEX('calcA'!$D$106:$EQ$106,'calcA'!IO18)=1,INDEX('calcA'!$D$109:$EQ$109,'calcA'!IO18+1)=1),IF(D13="必ず空けたい","後ろの枠が空いていません","（出来れば）後ろが空いていません"),IF(AND(D13="空けない",INDEX('calcA'!$D$106:$EQ$106,'calcA'!IO18)=1,INDEX('calcA'!$D$109:$EQ$109,'calcA'!IO18+1)=0),"（出来れば）すぐ後が空いています",""))))),IF(OR(Q13="入力済み",Q13="×なし"),"未決定","")))))</f>
        <v/>
      </c>
      <c r="X13" s="44">
        <f>IF('calcA'!IK18=0,IF('calcA'!IL18=1,"入る枠がありません",""),INDEX('calcA'!$D$8:$EQ$8,'calcA'!IK18))</f>
        <v/>
      </c>
      <c r="Y13" s="44">
        <f>IF('calcA'!IR18=0,IF('calcA'!IS18=1,"入る枠がありません",""),INDEX('calcA'!$D$8:$EQ$8,'calcA'!IR18))</f>
        <v/>
      </c>
      <c r="Z13" s="71">
        <f>HYPERLINK("#'×入力'!B229","×入力へ")</f>
        <v/>
      </c>
    </row>
    <row r="14" ht="19" customHeight="1">
      <c r="A14" s="69" t="n">
        <v>10</v>
      </c>
      <c r="B14" s="70" t="inlineStr">
        <is>
          <t>加藤 ひまり</t>
        </is>
      </c>
      <c r="C14" s="69" t="n"/>
      <c r="D14" s="69" t="n"/>
      <c r="E14" s="69" t="n"/>
      <c r="F14" s="70" t="n"/>
      <c r="G14" s="69" t="n"/>
      <c r="H14" s="69" t="n"/>
      <c r="I14" s="69" t="n"/>
      <c r="J14" s="69" t="n"/>
      <c r="K14" s="69" t="n"/>
      <c r="L14" s="69" t="n"/>
      <c r="M14" s="69" t="n"/>
      <c r="N14" s="69" t="n"/>
      <c r="O14" s="69" t="n"/>
      <c r="P14" s="44">
        <f>IF(B14="","",IF(COUNTIF($B$5:$B$49,B14)&gt;1,IF(A14="","",A14&amp;" ")&amp;B14,B14))</f>
        <v/>
      </c>
      <c r="Q14" s="42">
        <f>IF(B14="","",IF('×入力'!F257="未提出","未提出",IF(R14&gt;0,"入力済み",IF('×入力'!F257="×なし（どこでもOK）","×なし","未入力"))))</f>
        <v/>
      </c>
      <c r="R14" s="42">
        <f>IF(B14="","",'calcA'!IN19)</f>
        <v/>
      </c>
      <c r="S14" s="42">
        <f>IF(OR(Q14="入力済み",Q14="×なし"),'calcA'!IM19,"")</f>
        <v/>
      </c>
      <c r="T14" s="42">
        <f>IF('calcA'!C19=1,COUNTIFS('calcA'!$C$10:$C$54,1,'calcA'!$IM$10:$IM$54,"&lt;"&amp;'calcA'!IM19)+1,"")</f>
        <v/>
      </c>
      <c r="U14" s="44">
        <f>IF('calcA'!IO19=0,"",INDEX('設定'!$E$11:$E$16,INDEX('calcA'!$D$2:$EQ$2,'calcA'!IO19)))</f>
        <v/>
      </c>
      <c r="V14" s="42">
        <f>IF('calcA'!IO19=0,"",INDEX('設定'!$I$11:$I$34,INDEX('calcA'!$D$3:$EQ$3,'calcA'!IO19)))</f>
        <v/>
      </c>
      <c r="W14" s="44">
        <f>IF(P14="","",IF('calcA'!JG19=1,"兄弟の日付・時刻が表にありません",IF(COUNTIF('調整・決定'!$C$6:$H$29,P14)&gt;1,"2か所以上に入っています",IF('calcA'!IO19&gt;0,IF(INDEX('calcA'!$D$4:$EQ$4,'calcA'!IO19)=0,"使えない枠に入っています",IF(INDEX('calcA'!$D$19:$EQ$19,'calcA'!IO19)=1,"×の枠に入っています",IF('calcA'!IV19=0,"（出来れば）兄弟の前後ではありません",IF(AND(RIGHT(D14,4)="空けたい",INDEX('calcA'!$D$106:$EQ$106,'calcA'!IO19)=1,INDEX('calcA'!$D$109:$EQ$109,'calcA'!IO19+1)=1),IF(D14="必ず空けたい","後ろの枠が空いていません","（出来れば）後ろが空いていません"),IF(AND(D14="空けない",INDEX('calcA'!$D$106:$EQ$106,'calcA'!IO19)=1,INDEX('calcA'!$D$109:$EQ$109,'calcA'!IO19+1)=0),"（出来れば）すぐ後が空いています",""))))),IF(OR(Q14="入力済み",Q14="×なし"),"未決定","")))))</f>
        <v/>
      </c>
      <c r="X14" s="44">
        <f>IF('calcA'!IK19=0,IF('calcA'!IL19=1,"入る枠がありません",""),INDEX('calcA'!$D$8:$EQ$8,'calcA'!IK19))</f>
        <v/>
      </c>
      <c r="Y14" s="44">
        <f>IF('calcA'!IR19=0,IF('calcA'!IS19=1,"入る枠がありません",""),INDEX('calcA'!$D$8:$EQ$8,'calcA'!IR19))</f>
        <v/>
      </c>
      <c r="Z14" s="71">
        <f>HYPERLINK("#'×入力'!B257","×入力へ")</f>
        <v/>
      </c>
    </row>
    <row r="15" ht="19" customHeight="1">
      <c r="A15" s="69" t="n">
        <v>11</v>
      </c>
      <c r="B15" s="70" t="inlineStr">
        <is>
          <t>吉田 いつき</t>
        </is>
      </c>
      <c r="C15" s="69" t="n"/>
      <c r="D15" s="69" t="n"/>
      <c r="E15" s="69" t="inlineStr">
        <is>
          <t>〇</t>
        </is>
      </c>
      <c r="F15" s="70" t="inlineStr">
        <is>
          <t>5年3組</t>
        </is>
      </c>
      <c r="G15" s="69" t="inlineStr">
        <is>
          <t>11月26日（木）</t>
        </is>
      </c>
      <c r="H15" s="69" t="inlineStr">
        <is>
          <t>15:00〜</t>
        </is>
      </c>
      <c r="I15" s="69" t="inlineStr">
        <is>
          <t>兄弟①の前</t>
        </is>
      </c>
      <c r="J15" s="69" t="n"/>
      <c r="K15" s="69" t="n"/>
      <c r="L15" s="69" t="n"/>
      <c r="M15" s="69" t="n"/>
      <c r="N15" s="69" t="n"/>
      <c r="O15" s="69" t="n"/>
      <c r="P15" s="44">
        <f>IF(B15="","",IF(COUNTIF($B$5:$B$49,B15)&gt;1,IF(A15="","",A15&amp;" ")&amp;B15,B15))</f>
        <v/>
      </c>
      <c r="Q15" s="42">
        <f>IF(B15="","",IF('×入力'!F285="未提出","未提出",IF(R15&gt;0,"入力済み",IF('×入力'!F285="×なし（どこでもOK）","×なし","未入力"))))</f>
        <v/>
      </c>
      <c r="R15" s="42">
        <f>IF(B15="","",'calcA'!IN20)</f>
        <v/>
      </c>
      <c r="S15" s="42">
        <f>IF(OR(Q15="入力済み",Q15="×なし"),'calcA'!IM20,"")</f>
        <v/>
      </c>
      <c r="T15" s="42">
        <f>IF('calcA'!C20=1,COUNTIFS('calcA'!$C$10:$C$54,1,'calcA'!$IM$10:$IM$54,"&lt;"&amp;'calcA'!IM20)+1,"")</f>
        <v/>
      </c>
      <c r="U15" s="44">
        <f>IF('calcA'!IO20=0,"",INDEX('設定'!$E$11:$E$16,INDEX('calcA'!$D$2:$EQ$2,'calcA'!IO20)))</f>
        <v/>
      </c>
      <c r="V15" s="42">
        <f>IF('calcA'!IO20=0,"",INDEX('設定'!$I$11:$I$34,INDEX('calcA'!$D$3:$EQ$3,'calcA'!IO20)))</f>
        <v/>
      </c>
      <c r="W15" s="44">
        <f>IF(P15="","",IF('calcA'!JG20=1,"兄弟の日付・時刻が表にありません",IF(COUNTIF('調整・決定'!$C$6:$H$29,P15)&gt;1,"2か所以上に入っています",IF('calcA'!IO20&gt;0,IF(INDEX('calcA'!$D$4:$EQ$4,'calcA'!IO20)=0,"使えない枠に入っています",IF(INDEX('calcA'!$D$20:$EQ$20,'calcA'!IO20)=1,"×の枠に入っています",IF('calcA'!IV20=0,"（出来れば）兄弟の前後ではありません",IF(AND(RIGHT(D15,4)="空けたい",INDEX('calcA'!$D$106:$EQ$106,'calcA'!IO20)=1,INDEX('calcA'!$D$109:$EQ$109,'calcA'!IO20+1)=1),IF(D15="必ず空けたい","後ろの枠が空いていません","（出来れば）後ろが空いていません"),IF(AND(D15="空けない",INDEX('calcA'!$D$106:$EQ$106,'calcA'!IO20)=1,INDEX('calcA'!$D$109:$EQ$109,'calcA'!IO20+1)=0),"（出来れば）すぐ後が空いています",""))))),IF(OR(Q15="入力済み",Q15="×なし"),"未決定","")))))</f>
        <v/>
      </c>
      <c r="X15" s="44">
        <f>IF('calcA'!IK20=0,IF('calcA'!IL20=1,"入る枠がありません",""),INDEX('calcA'!$D$8:$EQ$8,'calcA'!IK20))</f>
        <v/>
      </c>
      <c r="Y15" s="44">
        <f>IF('calcA'!IR20=0,IF('calcA'!IS20=1,"入る枠がありません",""),INDEX('calcA'!$D$8:$EQ$8,'calcA'!IR20))</f>
        <v/>
      </c>
      <c r="Z15" s="71">
        <f>HYPERLINK("#'×入力'!B285","×入力へ")</f>
        <v/>
      </c>
    </row>
    <row r="16" ht="19" customHeight="1">
      <c r="A16" s="69" t="n">
        <v>12</v>
      </c>
      <c r="B16" s="70" t="inlineStr">
        <is>
          <t>山田 りん</t>
        </is>
      </c>
      <c r="C16" s="69" t="n"/>
      <c r="D16" s="69" t="n"/>
      <c r="E16" s="69" t="n"/>
      <c r="F16" s="70" t="n"/>
      <c r="G16" s="69" t="n"/>
      <c r="H16" s="69" t="n"/>
      <c r="I16" s="69" t="n"/>
      <c r="J16" s="69" t="n"/>
      <c r="K16" s="69" t="n"/>
      <c r="L16" s="69" t="n"/>
      <c r="M16" s="69" t="n"/>
      <c r="N16" s="69" t="n"/>
      <c r="O16" s="69" t="n"/>
      <c r="P16" s="44">
        <f>IF(B16="","",IF(COUNTIF($B$5:$B$49,B16)&gt;1,IF(A16="","",A16&amp;" ")&amp;B16,B16))</f>
        <v/>
      </c>
      <c r="Q16" s="42">
        <f>IF(B16="","",IF('×入力'!F313="未提出","未提出",IF(R16&gt;0,"入力済み",IF('×入力'!F313="×なし（どこでもOK）","×なし","未入力"))))</f>
        <v/>
      </c>
      <c r="R16" s="42">
        <f>IF(B16="","",'calcA'!IN21)</f>
        <v/>
      </c>
      <c r="S16" s="42">
        <f>IF(OR(Q16="入力済み",Q16="×なし"),'calcA'!IM21,"")</f>
        <v/>
      </c>
      <c r="T16" s="42">
        <f>IF('calcA'!C21=1,COUNTIFS('calcA'!$C$10:$C$54,1,'calcA'!$IM$10:$IM$54,"&lt;"&amp;'calcA'!IM21)+1,"")</f>
        <v/>
      </c>
      <c r="U16" s="44">
        <f>IF('calcA'!IO21=0,"",INDEX('設定'!$E$11:$E$16,INDEX('calcA'!$D$2:$EQ$2,'calcA'!IO21)))</f>
        <v/>
      </c>
      <c r="V16" s="42">
        <f>IF('calcA'!IO21=0,"",INDEX('設定'!$I$11:$I$34,INDEX('calcA'!$D$3:$EQ$3,'calcA'!IO21)))</f>
        <v/>
      </c>
      <c r="W16" s="44">
        <f>IF(P16="","",IF('calcA'!JG21=1,"兄弟の日付・時刻が表にありません",IF(COUNTIF('調整・決定'!$C$6:$H$29,P16)&gt;1,"2か所以上に入っています",IF('calcA'!IO21&gt;0,IF(INDEX('calcA'!$D$4:$EQ$4,'calcA'!IO21)=0,"使えない枠に入っています",IF(INDEX('calcA'!$D$21:$EQ$21,'calcA'!IO21)=1,"×の枠に入っています",IF('calcA'!IV21=0,"（出来れば）兄弟の前後ではありません",IF(AND(RIGHT(D16,4)="空けたい",INDEX('calcA'!$D$106:$EQ$106,'calcA'!IO21)=1,INDEX('calcA'!$D$109:$EQ$109,'calcA'!IO21+1)=1),IF(D16="必ず空けたい","後ろの枠が空いていません","（出来れば）後ろが空いていません"),IF(AND(D16="空けない",INDEX('calcA'!$D$106:$EQ$106,'calcA'!IO21)=1,INDEX('calcA'!$D$109:$EQ$109,'calcA'!IO21+1)=0),"（出来れば）すぐ後が空いています",""))))),IF(OR(Q16="入力済み",Q16="×なし"),"未決定","")))))</f>
        <v/>
      </c>
      <c r="X16" s="44">
        <f>IF('calcA'!IK21=0,IF('calcA'!IL21=1,"入る枠がありません",""),INDEX('calcA'!$D$8:$EQ$8,'calcA'!IK21))</f>
        <v/>
      </c>
      <c r="Y16" s="44">
        <f>IF('calcA'!IR21=0,IF('calcA'!IS21=1,"入る枠がありません",""),INDEX('calcA'!$D$8:$EQ$8,'calcA'!IR21))</f>
        <v/>
      </c>
      <c r="Z16" s="71">
        <f>HYPERLINK("#'×入力'!B313","×入力へ")</f>
        <v/>
      </c>
    </row>
    <row r="17" ht="19" customHeight="1">
      <c r="A17" s="69" t="n">
        <v>13</v>
      </c>
      <c r="B17" s="70" t="inlineStr">
        <is>
          <t>佐々木 そら</t>
        </is>
      </c>
      <c r="C17" s="69" t="n"/>
      <c r="D17" s="69" t="n"/>
      <c r="E17" s="69" t="n"/>
      <c r="F17" s="70" t="n"/>
      <c r="G17" s="69" t="n"/>
      <c r="H17" s="69" t="n"/>
      <c r="I17" s="69" t="n"/>
      <c r="J17" s="69" t="n"/>
      <c r="K17" s="69" t="n"/>
      <c r="L17" s="69" t="n"/>
      <c r="M17" s="69" t="n"/>
      <c r="N17" s="69" t="n"/>
      <c r="O17" s="69" t="n"/>
      <c r="P17" s="44">
        <f>IF(B17="","",IF(COUNTIF($B$5:$B$49,B17)&gt;1,IF(A17="","",A17&amp;" ")&amp;B17,B17))</f>
        <v/>
      </c>
      <c r="Q17" s="42">
        <f>IF(B17="","",IF('×入力'!F341="未提出","未提出",IF(R17&gt;0,"入力済み",IF('×入力'!F341="×なし（どこでもOK）","×なし","未入力"))))</f>
        <v/>
      </c>
      <c r="R17" s="42">
        <f>IF(B17="","",'calcA'!IN22)</f>
        <v/>
      </c>
      <c r="S17" s="42">
        <f>IF(OR(Q17="入力済み",Q17="×なし"),'calcA'!IM22,"")</f>
        <v/>
      </c>
      <c r="T17" s="42">
        <f>IF('calcA'!C22=1,COUNTIFS('calcA'!$C$10:$C$54,1,'calcA'!$IM$10:$IM$54,"&lt;"&amp;'calcA'!IM22)+1,"")</f>
        <v/>
      </c>
      <c r="U17" s="44">
        <f>IF('calcA'!IO22=0,"",INDEX('設定'!$E$11:$E$16,INDEX('calcA'!$D$2:$EQ$2,'calcA'!IO22)))</f>
        <v/>
      </c>
      <c r="V17" s="42">
        <f>IF('calcA'!IO22=0,"",INDEX('設定'!$I$11:$I$34,INDEX('calcA'!$D$3:$EQ$3,'calcA'!IO22)))</f>
        <v/>
      </c>
      <c r="W17" s="44">
        <f>IF(P17="","",IF('calcA'!JG22=1,"兄弟の日付・時刻が表にありません",IF(COUNTIF('調整・決定'!$C$6:$H$29,P17)&gt;1,"2か所以上に入っています",IF('calcA'!IO22&gt;0,IF(INDEX('calcA'!$D$4:$EQ$4,'calcA'!IO22)=0,"使えない枠に入っています",IF(INDEX('calcA'!$D$22:$EQ$22,'calcA'!IO22)=1,"×の枠に入っています",IF('calcA'!IV22=0,"（出来れば）兄弟の前後ではありません",IF(AND(RIGHT(D17,4)="空けたい",INDEX('calcA'!$D$106:$EQ$106,'calcA'!IO22)=1,INDEX('calcA'!$D$109:$EQ$109,'calcA'!IO22+1)=1),IF(D17="必ず空けたい","後ろの枠が空いていません","（出来れば）後ろが空いていません"),IF(AND(D17="空けない",INDEX('calcA'!$D$106:$EQ$106,'calcA'!IO22)=1,INDEX('calcA'!$D$109:$EQ$109,'calcA'!IO22+1)=0),"（出来れば）すぐ後が空いています",""))))),IF(OR(Q17="入力済み",Q17="×なし"),"未決定","")))))</f>
        <v/>
      </c>
      <c r="X17" s="44">
        <f>IF('calcA'!IK22=0,IF('calcA'!IL22=1,"入る枠がありません",""),INDEX('calcA'!$D$8:$EQ$8,'calcA'!IK22))</f>
        <v/>
      </c>
      <c r="Y17" s="44">
        <f>IF('calcA'!IR22=0,IF('calcA'!IS22=1,"入る枠がありません",""),INDEX('calcA'!$D$8:$EQ$8,'calcA'!IR22))</f>
        <v/>
      </c>
      <c r="Z17" s="71">
        <f>HYPERLINK("#'×入力'!B341","×入力へ")</f>
        <v/>
      </c>
    </row>
    <row r="18" ht="19" customHeight="1">
      <c r="A18" s="69" t="n">
        <v>14</v>
      </c>
      <c r="B18" s="70" t="inlineStr">
        <is>
          <t>山口 ゆな</t>
        </is>
      </c>
      <c r="C18" s="69" t="n"/>
      <c r="D18" s="69" t="inlineStr">
        <is>
          <t>出来れば空けたい</t>
        </is>
      </c>
      <c r="E18" s="69" t="n"/>
      <c r="F18" s="70" t="n"/>
      <c r="G18" s="69" t="n"/>
      <c r="H18" s="69" t="n"/>
      <c r="I18" s="69" t="n"/>
      <c r="J18" s="69" t="n"/>
      <c r="K18" s="69" t="n"/>
      <c r="L18" s="69" t="n"/>
      <c r="M18" s="69" t="n"/>
      <c r="N18" s="69" t="n"/>
      <c r="O18" s="69" t="n"/>
      <c r="P18" s="44">
        <f>IF(B18="","",IF(COUNTIF($B$5:$B$49,B18)&gt;1,IF(A18="","",A18&amp;" ")&amp;B18,B18))</f>
        <v/>
      </c>
      <c r="Q18" s="42">
        <f>IF(B18="","",IF('×入力'!F369="未提出","未提出",IF(R18&gt;0,"入力済み",IF('×入力'!F369="×なし（どこでもOK）","×なし","未入力"))))</f>
        <v/>
      </c>
      <c r="R18" s="42">
        <f>IF(B18="","",'calcA'!IN23)</f>
        <v/>
      </c>
      <c r="S18" s="42">
        <f>IF(OR(Q18="入力済み",Q18="×なし"),'calcA'!IM23,"")</f>
        <v/>
      </c>
      <c r="T18" s="42">
        <f>IF('calcA'!C23=1,COUNTIFS('calcA'!$C$10:$C$54,1,'calcA'!$IM$10:$IM$54,"&lt;"&amp;'calcA'!IM23)+1,"")</f>
        <v/>
      </c>
      <c r="U18" s="44">
        <f>IF('calcA'!IO23=0,"",INDEX('設定'!$E$11:$E$16,INDEX('calcA'!$D$2:$EQ$2,'calcA'!IO23)))</f>
        <v/>
      </c>
      <c r="V18" s="42">
        <f>IF('calcA'!IO23=0,"",INDEX('設定'!$I$11:$I$34,INDEX('calcA'!$D$3:$EQ$3,'calcA'!IO23)))</f>
        <v/>
      </c>
      <c r="W18" s="44">
        <f>IF(P18="","",IF('calcA'!JG23=1,"兄弟の日付・時刻が表にありません",IF(COUNTIF('調整・決定'!$C$6:$H$29,P18)&gt;1,"2か所以上に入っています",IF('calcA'!IO23&gt;0,IF(INDEX('calcA'!$D$4:$EQ$4,'calcA'!IO23)=0,"使えない枠に入っています",IF(INDEX('calcA'!$D$23:$EQ$23,'calcA'!IO23)=1,"×の枠に入っています",IF('calcA'!IV23=0,"（出来れば）兄弟の前後ではありません",IF(AND(RIGHT(D18,4)="空けたい",INDEX('calcA'!$D$106:$EQ$106,'calcA'!IO23)=1,INDEX('calcA'!$D$109:$EQ$109,'calcA'!IO23+1)=1),IF(D18="必ず空けたい","後ろの枠が空いていません","（出来れば）後ろが空いていません"),IF(AND(D18="空けない",INDEX('calcA'!$D$106:$EQ$106,'calcA'!IO23)=1,INDEX('calcA'!$D$109:$EQ$109,'calcA'!IO23+1)=0),"（出来れば）すぐ後が空いています",""))))),IF(OR(Q18="入力済み",Q18="×なし"),"未決定","")))))</f>
        <v/>
      </c>
      <c r="X18" s="44">
        <f>IF('calcA'!IK23=0,IF('calcA'!IL23=1,"入る枠がありません",""),INDEX('calcA'!$D$8:$EQ$8,'calcA'!IK23))</f>
        <v/>
      </c>
      <c r="Y18" s="44">
        <f>IF('calcA'!IR23=0,IF('calcA'!IS23=1,"入る枠がありません",""),INDEX('calcA'!$D$8:$EQ$8,'calcA'!IR23))</f>
        <v/>
      </c>
      <c r="Z18" s="71">
        <f>HYPERLINK("#'×入力'!B369","×入力へ")</f>
        <v/>
      </c>
    </row>
    <row r="19" ht="19" customHeight="1">
      <c r="A19" s="69" t="n">
        <v>15</v>
      </c>
      <c r="B19" s="70" t="inlineStr">
        <is>
          <t>松本 たいが</t>
        </is>
      </c>
      <c r="C19" s="69" t="inlineStr">
        <is>
          <t>早い日</t>
        </is>
      </c>
      <c r="D19" s="69" t="n"/>
      <c r="E19" s="69" t="n"/>
      <c r="F19" s="70" t="n"/>
      <c r="G19" s="69" t="n"/>
      <c r="H19" s="69" t="n"/>
      <c r="I19" s="69" t="n"/>
      <c r="J19" s="69" t="n"/>
      <c r="K19" s="69" t="n"/>
      <c r="L19" s="69" t="n"/>
      <c r="M19" s="69" t="n"/>
      <c r="N19" s="69" t="n"/>
      <c r="O19" s="69" t="n"/>
      <c r="P19" s="44">
        <f>IF(B19="","",IF(COUNTIF($B$5:$B$49,B19)&gt;1,IF(A19="","",A19&amp;" ")&amp;B19,B19))</f>
        <v/>
      </c>
      <c r="Q19" s="42">
        <f>IF(B19="","",IF('×入力'!F397="未提出","未提出",IF(R19&gt;0,"入力済み",IF('×入力'!F397="×なし（どこでもOK）","×なし","未入力"))))</f>
        <v/>
      </c>
      <c r="R19" s="42">
        <f>IF(B19="","",'calcA'!IN24)</f>
        <v/>
      </c>
      <c r="S19" s="42">
        <f>IF(OR(Q19="入力済み",Q19="×なし"),'calcA'!IM24,"")</f>
        <v/>
      </c>
      <c r="T19" s="42">
        <f>IF('calcA'!C24=1,COUNTIFS('calcA'!$C$10:$C$54,1,'calcA'!$IM$10:$IM$54,"&lt;"&amp;'calcA'!IM24)+1,"")</f>
        <v/>
      </c>
      <c r="U19" s="44">
        <f>IF('calcA'!IO24=0,"",INDEX('設定'!$E$11:$E$16,INDEX('calcA'!$D$2:$EQ$2,'calcA'!IO24)))</f>
        <v/>
      </c>
      <c r="V19" s="42">
        <f>IF('calcA'!IO24=0,"",INDEX('設定'!$I$11:$I$34,INDEX('calcA'!$D$3:$EQ$3,'calcA'!IO24)))</f>
        <v/>
      </c>
      <c r="W19" s="44">
        <f>IF(P19="","",IF('calcA'!JG24=1,"兄弟の日付・時刻が表にありません",IF(COUNTIF('調整・決定'!$C$6:$H$29,P19)&gt;1,"2か所以上に入っています",IF('calcA'!IO24&gt;0,IF(INDEX('calcA'!$D$4:$EQ$4,'calcA'!IO24)=0,"使えない枠に入っています",IF(INDEX('calcA'!$D$24:$EQ$24,'calcA'!IO24)=1,"×の枠に入っています",IF('calcA'!IV24=0,"（出来れば）兄弟の前後ではありません",IF(AND(RIGHT(D19,4)="空けたい",INDEX('calcA'!$D$106:$EQ$106,'calcA'!IO24)=1,INDEX('calcA'!$D$109:$EQ$109,'calcA'!IO24+1)=1),IF(D19="必ず空けたい","後ろの枠が空いていません","（出来れば）後ろが空いていません"),IF(AND(D19="空けない",INDEX('calcA'!$D$106:$EQ$106,'calcA'!IO24)=1,INDEX('calcA'!$D$109:$EQ$109,'calcA'!IO24+1)=0),"（出来れば）すぐ後が空いています",""))))),IF(OR(Q19="入力済み",Q19="×なし"),"未決定","")))))</f>
        <v/>
      </c>
      <c r="X19" s="44">
        <f>IF('calcA'!IK24=0,IF('calcA'!IL24=1,"入る枠がありません",""),INDEX('calcA'!$D$8:$EQ$8,'calcA'!IK24))</f>
        <v/>
      </c>
      <c r="Y19" s="44">
        <f>IF('calcA'!IR24=0,IF('calcA'!IS24=1,"入る枠がありません",""),INDEX('calcA'!$D$8:$EQ$8,'calcA'!IR24))</f>
        <v/>
      </c>
      <c r="Z19" s="71">
        <f>HYPERLINK("#'×入力'!B397","×入力へ")</f>
        <v/>
      </c>
    </row>
    <row r="20" ht="19" customHeight="1">
      <c r="A20" s="69" t="n">
        <v>16</v>
      </c>
      <c r="B20" s="70" t="inlineStr">
        <is>
          <t>井上 こはる</t>
        </is>
      </c>
      <c r="C20" s="69" t="n"/>
      <c r="D20" s="69" t="n"/>
      <c r="E20" s="69" t="n"/>
      <c r="F20" s="70" t="n"/>
      <c r="G20" s="69" t="n"/>
      <c r="H20" s="69" t="n"/>
      <c r="I20" s="69" t="n"/>
      <c r="J20" s="69" t="n"/>
      <c r="K20" s="69" t="n"/>
      <c r="L20" s="69" t="n"/>
      <c r="M20" s="69" t="n"/>
      <c r="N20" s="69" t="n"/>
      <c r="O20" s="69" t="n"/>
      <c r="P20" s="44">
        <f>IF(B20="","",IF(COUNTIF($B$5:$B$49,B20)&gt;1,IF(A20="","",A20&amp;" ")&amp;B20,B20))</f>
        <v/>
      </c>
      <c r="Q20" s="42">
        <f>IF(B20="","",IF('×入力'!F425="未提出","未提出",IF(R20&gt;0,"入力済み",IF('×入力'!F425="×なし（どこでもOK）","×なし","未入力"))))</f>
        <v/>
      </c>
      <c r="R20" s="42">
        <f>IF(B20="","",'calcA'!IN25)</f>
        <v/>
      </c>
      <c r="S20" s="42">
        <f>IF(OR(Q20="入力済み",Q20="×なし"),'calcA'!IM25,"")</f>
        <v/>
      </c>
      <c r="T20" s="42">
        <f>IF('calcA'!C25=1,COUNTIFS('calcA'!$C$10:$C$54,1,'calcA'!$IM$10:$IM$54,"&lt;"&amp;'calcA'!IM25)+1,"")</f>
        <v/>
      </c>
      <c r="U20" s="44">
        <f>IF('calcA'!IO25=0,"",INDEX('設定'!$E$11:$E$16,INDEX('calcA'!$D$2:$EQ$2,'calcA'!IO25)))</f>
        <v/>
      </c>
      <c r="V20" s="42">
        <f>IF('calcA'!IO25=0,"",INDEX('設定'!$I$11:$I$34,INDEX('calcA'!$D$3:$EQ$3,'calcA'!IO25)))</f>
        <v/>
      </c>
      <c r="W20" s="44">
        <f>IF(P20="","",IF('calcA'!JG25=1,"兄弟の日付・時刻が表にありません",IF(COUNTIF('調整・決定'!$C$6:$H$29,P20)&gt;1,"2か所以上に入っています",IF('calcA'!IO25&gt;0,IF(INDEX('calcA'!$D$4:$EQ$4,'calcA'!IO25)=0,"使えない枠に入っています",IF(INDEX('calcA'!$D$25:$EQ$25,'calcA'!IO25)=1,"×の枠に入っています",IF('calcA'!IV25=0,"（出来れば）兄弟の前後ではありません",IF(AND(RIGHT(D20,4)="空けたい",INDEX('calcA'!$D$106:$EQ$106,'calcA'!IO25)=1,INDEX('calcA'!$D$109:$EQ$109,'calcA'!IO25+1)=1),IF(D20="必ず空けたい","後ろの枠が空いていません","（出来れば）後ろが空いていません"),IF(AND(D20="空けない",INDEX('calcA'!$D$106:$EQ$106,'calcA'!IO25)=1,INDEX('calcA'!$D$109:$EQ$109,'calcA'!IO25+1)=0),"（出来れば）すぐ後が空いています",""))))),IF(OR(Q20="入力済み",Q20="×なし"),"未決定","")))))</f>
        <v/>
      </c>
      <c r="X20" s="44">
        <f>IF('calcA'!IK25=0,IF('calcA'!IL25=1,"入る枠がありません",""),INDEX('calcA'!$D$8:$EQ$8,'calcA'!IK25))</f>
        <v/>
      </c>
      <c r="Y20" s="44">
        <f>IF('calcA'!IR25=0,IF('calcA'!IS25=1,"入る枠がありません",""),INDEX('calcA'!$D$8:$EQ$8,'calcA'!IR25))</f>
        <v/>
      </c>
      <c r="Z20" s="71">
        <f>HYPERLINK("#'×入力'!B425","×入力へ")</f>
        <v/>
      </c>
    </row>
    <row r="21" ht="19" customHeight="1">
      <c r="A21" s="69" t="n">
        <v>17</v>
      </c>
      <c r="B21" s="70" t="inlineStr">
        <is>
          <t>木村 れん</t>
        </is>
      </c>
      <c r="C21" s="69" t="n"/>
      <c r="D21" s="69" t="n"/>
      <c r="E21" s="69" t="n"/>
      <c r="F21" s="70" t="n"/>
      <c r="G21" s="69" t="n"/>
      <c r="H21" s="69" t="n"/>
      <c r="I21" s="69" t="n"/>
      <c r="J21" s="69" t="n"/>
      <c r="K21" s="69" t="n"/>
      <c r="L21" s="69" t="n"/>
      <c r="M21" s="69" t="n"/>
      <c r="N21" s="69" t="n"/>
      <c r="O21" s="69" t="n"/>
      <c r="P21" s="44">
        <f>IF(B21="","",IF(COUNTIF($B$5:$B$49,B21)&gt;1,IF(A21="","",A21&amp;" ")&amp;B21,B21))</f>
        <v/>
      </c>
      <c r="Q21" s="42">
        <f>IF(B21="","",IF('×入力'!F453="未提出","未提出",IF(R21&gt;0,"入力済み",IF('×入力'!F453="×なし（どこでもOK）","×なし","未入力"))))</f>
        <v/>
      </c>
      <c r="R21" s="42">
        <f>IF(B21="","",'calcA'!IN26)</f>
        <v/>
      </c>
      <c r="S21" s="42">
        <f>IF(OR(Q21="入力済み",Q21="×なし"),'calcA'!IM26,"")</f>
        <v/>
      </c>
      <c r="T21" s="42">
        <f>IF('calcA'!C26=1,COUNTIFS('calcA'!$C$10:$C$54,1,'calcA'!$IM$10:$IM$54,"&lt;"&amp;'calcA'!IM26)+1,"")</f>
        <v/>
      </c>
      <c r="U21" s="44">
        <f>IF('calcA'!IO26=0,"",INDEX('設定'!$E$11:$E$16,INDEX('calcA'!$D$2:$EQ$2,'calcA'!IO26)))</f>
        <v/>
      </c>
      <c r="V21" s="42">
        <f>IF('calcA'!IO26=0,"",INDEX('設定'!$I$11:$I$34,INDEX('calcA'!$D$3:$EQ$3,'calcA'!IO26)))</f>
        <v/>
      </c>
      <c r="W21" s="44">
        <f>IF(P21="","",IF('calcA'!JG26=1,"兄弟の日付・時刻が表にありません",IF(COUNTIF('調整・決定'!$C$6:$H$29,P21)&gt;1,"2か所以上に入っています",IF('calcA'!IO26&gt;0,IF(INDEX('calcA'!$D$4:$EQ$4,'calcA'!IO26)=0,"使えない枠に入っています",IF(INDEX('calcA'!$D$26:$EQ$26,'calcA'!IO26)=1,"×の枠に入っています",IF('calcA'!IV26=0,"（出来れば）兄弟の前後ではありません",IF(AND(RIGHT(D21,4)="空けたい",INDEX('calcA'!$D$106:$EQ$106,'calcA'!IO26)=1,INDEX('calcA'!$D$109:$EQ$109,'calcA'!IO26+1)=1),IF(D21="必ず空けたい","後ろの枠が空いていません","（出来れば）後ろが空いていません"),IF(AND(D21="空けない",INDEX('calcA'!$D$106:$EQ$106,'calcA'!IO26)=1,INDEX('calcA'!$D$109:$EQ$109,'calcA'!IO26+1)=0),"（出来れば）すぐ後が空いています",""))))),IF(OR(Q21="入力済み",Q21="×なし"),"未決定","")))))</f>
        <v/>
      </c>
      <c r="X21" s="44">
        <f>IF('calcA'!IK26=0,IF('calcA'!IL26=1,"入る枠がありません",""),INDEX('calcA'!$D$8:$EQ$8,'calcA'!IK26))</f>
        <v/>
      </c>
      <c r="Y21" s="44">
        <f>IF('calcA'!IR26=0,IF('calcA'!IS26=1,"入る枠がありません",""),INDEX('calcA'!$D$8:$EQ$8,'calcA'!IR26))</f>
        <v/>
      </c>
      <c r="Z21" s="71">
        <f>HYPERLINK("#'×入力'!B453","×入力へ")</f>
        <v/>
      </c>
    </row>
    <row r="22" ht="19" customHeight="1">
      <c r="A22" s="69" t="n">
        <v>18</v>
      </c>
      <c r="B22" s="70" t="inlineStr">
        <is>
          <t>林 みお</t>
        </is>
      </c>
      <c r="C22" s="69" t="n"/>
      <c r="D22" s="69" t="n"/>
      <c r="E22" s="69" t="n"/>
      <c r="F22" s="70" t="n"/>
      <c r="G22" s="69" t="n"/>
      <c r="H22" s="69" t="n"/>
      <c r="I22" s="69" t="n"/>
      <c r="J22" s="69" t="n"/>
      <c r="K22" s="69" t="n"/>
      <c r="L22" s="69" t="n"/>
      <c r="M22" s="69" t="n"/>
      <c r="N22" s="69" t="n"/>
      <c r="O22" s="69" t="n"/>
      <c r="P22" s="44">
        <f>IF(B22="","",IF(COUNTIF($B$5:$B$49,B22)&gt;1,IF(A22="","",A22&amp;" ")&amp;B22,B22))</f>
        <v/>
      </c>
      <c r="Q22" s="42">
        <f>IF(B22="","",IF('×入力'!F481="未提出","未提出",IF(R22&gt;0,"入力済み",IF('×入力'!F481="×なし（どこでもOK）","×なし","未入力"))))</f>
        <v/>
      </c>
      <c r="R22" s="42">
        <f>IF(B22="","",'calcA'!IN27)</f>
        <v/>
      </c>
      <c r="S22" s="42">
        <f>IF(OR(Q22="入力済み",Q22="×なし"),'calcA'!IM27,"")</f>
        <v/>
      </c>
      <c r="T22" s="42">
        <f>IF('calcA'!C27=1,COUNTIFS('calcA'!$C$10:$C$54,1,'calcA'!$IM$10:$IM$54,"&lt;"&amp;'calcA'!IM27)+1,"")</f>
        <v/>
      </c>
      <c r="U22" s="44">
        <f>IF('calcA'!IO27=0,"",INDEX('設定'!$E$11:$E$16,INDEX('calcA'!$D$2:$EQ$2,'calcA'!IO27)))</f>
        <v/>
      </c>
      <c r="V22" s="42">
        <f>IF('calcA'!IO27=0,"",INDEX('設定'!$I$11:$I$34,INDEX('calcA'!$D$3:$EQ$3,'calcA'!IO27)))</f>
        <v/>
      </c>
      <c r="W22" s="44">
        <f>IF(P22="","",IF('calcA'!JG27=1,"兄弟の日付・時刻が表にありません",IF(COUNTIF('調整・決定'!$C$6:$H$29,P22)&gt;1,"2か所以上に入っています",IF('calcA'!IO27&gt;0,IF(INDEX('calcA'!$D$4:$EQ$4,'calcA'!IO27)=0,"使えない枠に入っています",IF(INDEX('calcA'!$D$27:$EQ$27,'calcA'!IO27)=1,"×の枠に入っています",IF('calcA'!IV27=0,"（出来れば）兄弟の前後ではありません",IF(AND(RIGHT(D22,4)="空けたい",INDEX('calcA'!$D$106:$EQ$106,'calcA'!IO27)=1,INDEX('calcA'!$D$109:$EQ$109,'calcA'!IO27+1)=1),IF(D22="必ず空けたい","後ろの枠が空いていません","（出来れば）後ろが空いていません"),IF(AND(D22="空けない",INDEX('calcA'!$D$106:$EQ$106,'calcA'!IO27)=1,INDEX('calcA'!$D$109:$EQ$109,'calcA'!IO27+1)=0),"（出来れば）すぐ後が空いています",""))))),IF(OR(Q22="入力済み",Q22="×なし"),"未決定","")))))</f>
        <v/>
      </c>
      <c r="X22" s="44">
        <f>IF('calcA'!IK27=0,IF('calcA'!IL27=1,"入る枠がありません",""),INDEX('calcA'!$D$8:$EQ$8,'calcA'!IK27))</f>
        <v/>
      </c>
      <c r="Y22" s="44">
        <f>IF('calcA'!IR27=0,IF('calcA'!IS27=1,"入る枠がありません",""),INDEX('calcA'!$D$8:$EQ$8,'calcA'!IR27))</f>
        <v/>
      </c>
      <c r="Z22" s="71">
        <f>HYPERLINK("#'×入力'!B481","×入力へ")</f>
        <v/>
      </c>
    </row>
    <row r="23" ht="19" customHeight="1">
      <c r="A23" s="69" t="n">
        <v>19</v>
      </c>
      <c r="B23" s="70" t="inlineStr">
        <is>
          <t>斎藤 かいと</t>
        </is>
      </c>
      <c r="C23" s="69" t="n"/>
      <c r="D23" s="69" t="n"/>
      <c r="E23" s="69" t="inlineStr">
        <is>
          <t>〇</t>
        </is>
      </c>
      <c r="F23" s="70" t="inlineStr">
        <is>
          <t>1年2組・4年1組</t>
        </is>
      </c>
      <c r="G23" s="69" t="inlineStr">
        <is>
          <t>11月25日（水）</t>
        </is>
      </c>
      <c r="H23" s="69" t="inlineStr">
        <is>
          <t>14:00〜</t>
        </is>
      </c>
      <c r="I23" s="69" t="inlineStr">
        <is>
          <t>どちらでも</t>
        </is>
      </c>
      <c r="J23" s="69" t="inlineStr">
        <is>
          <t>11月25日（水）</t>
        </is>
      </c>
      <c r="K23" s="69" t="inlineStr">
        <is>
          <t>14:30〜</t>
        </is>
      </c>
      <c r="L23" s="69" t="inlineStr">
        <is>
          <t>兄弟②の前</t>
        </is>
      </c>
      <c r="M23" s="69" t="n"/>
      <c r="N23" s="69" t="n"/>
      <c r="O23" s="69" t="n"/>
      <c r="P23" s="44">
        <f>IF(B23="","",IF(COUNTIF($B$5:$B$49,B23)&gt;1,IF(A23="","",A23&amp;" ")&amp;B23,B23))</f>
        <v/>
      </c>
      <c r="Q23" s="42">
        <f>IF(B23="","",IF('×入力'!F509="未提出","未提出",IF(R23&gt;0,"入力済み",IF('×入力'!F509="×なし（どこでもOK）","×なし","未入力"))))</f>
        <v/>
      </c>
      <c r="R23" s="42">
        <f>IF(B23="","",'calcA'!IN28)</f>
        <v/>
      </c>
      <c r="S23" s="42">
        <f>IF(OR(Q23="入力済み",Q23="×なし"),'calcA'!IM28,"")</f>
        <v/>
      </c>
      <c r="T23" s="42">
        <f>IF('calcA'!C28=1,COUNTIFS('calcA'!$C$10:$C$54,1,'calcA'!$IM$10:$IM$54,"&lt;"&amp;'calcA'!IM28)+1,"")</f>
        <v/>
      </c>
      <c r="U23" s="44">
        <f>IF('calcA'!IO28=0,"",INDEX('設定'!$E$11:$E$16,INDEX('calcA'!$D$2:$EQ$2,'calcA'!IO28)))</f>
        <v/>
      </c>
      <c r="V23" s="42">
        <f>IF('calcA'!IO28=0,"",INDEX('設定'!$I$11:$I$34,INDEX('calcA'!$D$3:$EQ$3,'calcA'!IO28)))</f>
        <v/>
      </c>
      <c r="W23" s="44">
        <f>IF(P23="","",IF('calcA'!JG28=1,"兄弟の日付・時刻が表にありません",IF(COUNTIF('調整・決定'!$C$6:$H$29,P23)&gt;1,"2か所以上に入っています",IF('calcA'!IO28&gt;0,IF(INDEX('calcA'!$D$4:$EQ$4,'calcA'!IO28)=0,"使えない枠に入っています",IF(INDEX('calcA'!$D$28:$EQ$28,'calcA'!IO28)=1,"×の枠に入っています",IF('calcA'!IV28=0,"（出来れば）兄弟の前後ではありません",IF(AND(RIGHT(D23,4)="空けたい",INDEX('calcA'!$D$106:$EQ$106,'calcA'!IO28)=1,INDEX('calcA'!$D$109:$EQ$109,'calcA'!IO28+1)=1),IF(D23="必ず空けたい","後ろの枠が空いていません","（出来れば）後ろが空いていません"),IF(AND(D23="空けない",INDEX('calcA'!$D$106:$EQ$106,'calcA'!IO28)=1,INDEX('calcA'!$D$109:$EQ$109,'calcA'!IO28+1)=0),"（出来れば）すぐ後が空いています",""))))),IF(OR(Q23="入力済み",Q23="×なし"),"未決定","")))))</f>
        <v/>
      </c>
      <c r="X23" s="44">
        <f>IF('calcA'!IK28=0,IF('calcA'!IL28=1,"入る枠がありません",""),INDEX('calcA'!$D$8:$EQ$8,'calcA'!IK28))</f>
        <v/>
      </c>
      <c r="Y23" s="44">
        <f>IF('calcA'!IR28=0,IF('calcA'!IS28=1,"入る枠がありません",""),INDEX('calcA'!$D$8:$EQ$8,'calcA'!IR28))</f>
        <v/>
      </c>
      <c r="Z23" s="71">
        <f>HYPERLINK("#'×入力'!B509","×入力へ")</f>
        <v/>
      </c>
    </row>
    <row r="24" ht="19" customHeight="1">
      <c r="A24" s="69" t="n">
        <v>20</v>
      </c>
      <c r="B24" s="70" t="inlineStr">
        <is>
          <t>清水 えま</t>
        </is>
      </c>
      <c r="C24" s="69" t="n"/>
      <c r="D24" s="69" t="n"/>
      <c r="E24" s="69" t="n"/>
      <c r="F24" s="70" t="n"/>
      <c r="G24" s="69" t="n"/>
      <c r="H24" s="69" t="n"/>
      <c r="I24" s="69" t="n"/>
      <c r="J24" s="69" t="n"/>
      <c r="K24" s="69" t="n"/>
      <c r="L24" s="69" t="n"/>
      <c r="M24" s="69" t="n"/>
      <c r="N24" s="69" t="n"/>
      <c r="O24" s="69" t="n"/>
      <c r="P24" s="44">
        <f>IF(B24="","",IF(COUNTIF($B$5:$B$49,B24)&gt;1,IF(A24="","",A24&amp;" ")&amp;B24,B24))</f>
        <v/>
      </c>
      <c r="Q24" s="42">
        <f>IF(B24="","",IF('×入力'!F537="未提出","未提出",IF(R24&gt;0,"入力済み",IF('×入力'!F537="×なし（どこでもOK）","×なし","未入力"))))</f>
        <v/>
      </c>
      <c r="R24" s="42">
        <f>IF(B24="","",'calcA'!IN29)</f>
        <v/>
      </c>
      <c r="S24" s="42">
        <f>IF(OR(Q24="入力済み",Q24="×なし"),'calcA'!IM29,"")</f>
        <v/>
      </c>
      <c r="T24" s="42">
        <f>IF('calcA'!C29=1,COUNTIFS('calcA'!$C$10:$C$54,1,'calcA'!$IM$10:$IM$54,"&lt;"&amp;'calcA'!IM29)+1,"")</f>
        <v/>
      </c>
      <c r="U24" s="44">
        <f>IF('calcA'!IO29=0,"",INDEX('設定'!$E$11:$E$16,INDEX('calcA'!$D$2:$EQ$2,'calcA'!IO29)))</f>
        <v/>
      </c>
      <c r="V24" s="42">
        <f>IF('calcA'!IO29=0,"",INDEX('設定'!$I$11:$I$34,INDEX('calcA'!$D$3:$EQ$3,'calcA'!IO29)))</f>
        <v/>
      </c>
      <c r="W24" s="44">
        <f>IF(P24="","",IF('calcA'!JG29=1,"兄弟の日付・時刻が表にありません",IF(COUNTIF('調整・決定'!$C$6:$H$29,P24)&gt;1,"2か所以上に入っています",IF('calcA'!IO29&gt;0,IF(INDEX('calcA'!$D$4:$EQ$4,'calcA'!IO29)=0,"使えない枠に入っています",IF(INDEX('calcA'!$D$29:$EQ$29,'calcA'!IO29)=1,"×の枠に入っています",IF('calcA'!IV29=0,"（出来れば）兄弟の前後ではありません",IF(AND(RIGHT(D24,4)="空けたい",INDEX('calcA'!$D$106:$EQ$106,'calcA'!IO29)=1,INDEX('calcA'!$D$109:$EQ$109,'calcA'!IO29+1)=1),IF(D24="必ず空けたい","後ろの枠が空いていません","（出来れば）後ろが空いていません"),IF(AND(D24="空けない",INDEX('calcA'!$D$106:$EQ$106,'calcA'!IO29)=1,INDEX('calcA'!$D$109:$EQ$109,'calcA'!IO29+1)=0),"（出来れば）すぐ後が空いています",""))))),IF(OR(Q24="入力済み",Q24="×なし"),"未決定","")))))</f>
        <v/>
      </c>
      <c r="X24" s="44">
        <f>IF('calcA'!IK29=0,IF('calcA'!IL29=1,"入る枠がありません",""),INDEX('calcA'!$D$8:$EQ$8,'calcA'!IK29))</f>
        <v/>
      </c>
      <c r="Y24" s="44">
        <f>IF('calcA'!IR29=0,IF('calcA'!IS29=1,"入る枠がありません",""),INDEX('calcA'!$D$8:$EQ$8,'calcA'!IR29))</f>
        <v/>
      </c>
      <c r="Z24" s="71">
        <f>HYPERLINK("#'×入力'!B537","×入力へ")</f>
        <v/>
      </c>
    </row>
    <row r="25" ht="19" customHeight="1">
      <c r="A25" s="69" t="n">
        <v>21</v>
      </c>
      <c r="B25" s="70" t="inlineStr">
        <is>
          <t>山崎 はやと</t>
        </is>
      </c>
      <c r="C25" s="69" t="n"/>
      <c r="D25" s="69" t="inlineStr">
        <is>
          <t>必ず空けたい</t>
        </is>
      </c>
      <c r="E25" s="69" t="n"/>
      <c r="F25" s="70" t="n"/>
      <c r="G25" s="69" t="n"/>
      <c r="H25" s="69" t="n"/>
      <c r="I25" s="69" t="n"/>
      <c r="J25" s="69" t="n"/>
      <c r="K25" s="69" t="n"/>
      <c r="L25" s="69" t="n"/>
      <c r="M25" s="69" t="n"/>
      <c r="N25" s="69" t="n"/>
      <c r="O25" s="69" t="n"/>
      <c r="P25" s="44">
        <f>IF(B25="","",IF(COUNTIF($B$5:$B$49,B25)&gt;1,IF(A25="","",A25&amp;" ")&amp;B25,B25))</f>
        <v/>
      </c>
      <c r="Q25" s="42">
        <f>IF(B25="","",IF('×入力'!F565="未提出","未提出",IF(R25&gt;0,"入力済み",IF('×入力'!F565="×なし（どこでもOK）","×なし","未入力"))))</f>
        <v/>
      </c>
      <c r="R25" s="42">
        <f>IF(B25="","",'calcA'!IN30)</f>
        <v/>
      </c>
      <c r="S25" s="42">
        <f>IF(OR(Q25="入力済み",Q25="×なし"),'calcA'!IM30,"")</f>
        <v/>
      </c>
      <c r="T25" s="42">
        <f>IF('calcA'!C30=1,COUNTIFS('calcA'!$C$10:$C$54,1,'calcA'!$IM$10:$IM$54,"&lt;"&amp;'calcA'!IM30)+1,"")</f>
        <v/>
      </c>
      <c r="U25" s="44">
        <f>IF('calcA'!IO30=0,"",INDEX('設定'!$E$11:$E$16,INDEX('calcA'!$D$2:$EQ$2,'calcA'!IO30)))</f>
        <v/>
      </c>
      <c r="V25" s="42">
        <f>IF('calcA'!IO30=0,"",INDEX('設定'!$I$11:$I$34,INDEX('calcA'!$D$3:$EQ$3,'calcA'!IO30)))</f>
        <v/>
      </c>
      <c r="W25" s="44">
        <f>IF(P25="","",IF('calcA'!JG30=1,"兄弟の日付・時刻が表にありません",IF(COUNTIF('調整・決定'!$C$6:$H$29,P25)&gt;1,"2か所以上に入っています",IF('calcA'!IO30&gt;0,IF(INDEX('calcA'!$D$4:$EQ$4,'calcA'!IO30)=0,"使えない枠に入っています",IF(INDEX('calcA'!$D$30:$EQ$30,'calcA'!IO30)=1,"×の枠に入っています",IF('calcA'!IV30=0,"（出来れば）兄弟の前後ではありません",IF(AND(RIGHT(D25,4)="空けたい",INDEX('calcA'!$D$106:$EQ$106,'calcA'!IO30)=1,INDEX('calcA'!$D$109:$EQ$109,'calcA'!IO30+1)=1),IF(D25="必ず空けたい","後ろの枠が空いていません","（出来れば）後ろが空いていません"),IF(AND(D25="空けない",INDEX('calcA'!$D$106:$EQ$106,'calcA'!IO30)=1,INDEX('calcA'!$D$109:$EQ$109,'calcA'!IO30+1)=0),"（出来れば）すぐ後が空いています",""))))),IF(OR(Q25="入力済み",Q25="×なし"),"未決定","")))))</f>
        <v/>
      </c>
      <c r="X25" s="44">
        <f>IF('calcA'!IK30=0,IF('calcA'!IL30=1,"入る枠がありません",""),INDEX('calcA'!$D$8:$EQ$8,'calcA'!IK30))</f>
        <v/>
      </c>
      <c r="Y25" s="44">
        <f>IF('calcA'!IR30=0,IF('calcA'!IS30=1,"入る枠がありません",""),INDEX('calcA'!$D$8:$EQ$8,'calcA'!IR30))</f>
        <v/>
      </c>
      <c r="Z25" s="71">
        <f>HYPERLINK("#'×入力'!B565","×入力へ")</f>
        <v/>
      </c>
    </row>
    <row r="26" ht="19" customHeight="1">
      <c r="A26" s="69" t="n">
        <v>22</v>
      </c>
      <c r="B26" s="70" t="inlineStr">
        <is>
          <t>森 つむぎ</t>
        </is>
      </c>
      <c r="C26" s="69" t="n"/>
      <c r="D26" s="69" t="n"/>
      <c r="E26" s="69" t="n"/>
      <c r="F26" s="70" t="n"/>
      <c r="G26" s="69" t="n"/>
      <c r="H26" s="69" t="n"/>
      <c r="I26" s="69" t="n"/>
      <c r="J26" s="69" t="n"/>
      <c r="K26" s="69" t="n"/>
      <c r="L26" s="69" t="n"/>
      <c r="M26" s="69" t="n"/>
      <c r="N26" s="69" t="n"/>
      <c r="O26" s="69" t="n"/>
      <c r="P26" s="44">
        <f>IF(B26="","",IF(COUNTIF($B$5:$B$49,B26)&gt;1,IF(A26="","",A26&amp;" ")&amp;B26,B26))</f>
        <v/>
      </c>
      <c r="Q26" s="42">
        <f>IF(B26="","",IF('×入力'!F593="未提出","未提出",IF(R26&gt;0,"入力済み",IF('×入力'!F593="×なし（どこでもOK）","×なし","未入力"))))</f>
        <v/>
      </c>
      <c r="R26" s="42">
        <f>IF(B26="","",'calcA'!IN31)</f>
        <v/>
      </c>
      <c r="S26" s="42">
        <f>IF(OR(Q26="入力済み",Q26="×なし"),'calcA'!IM31,"")</f>
        <v/>
      </c>
      <c r="T26" s="42">
        <f>IF('calcA'!C31=1,COUNTIFS('calcA'!$C$10:$C$54,1,'calcA'!$IM$10:$IM$54,"&lt;"&amp;'calcA'!IM31)+1,"")</f>
        <v/>
      </c>
      <c r="U26" s="44">
        <f>IF('calcA'!IO31=0,"",INDEX('設定'!$E$11:$E$16,INDEX('calcA'!$D$2:$EQ$2,'calcA'!IO31)))</f>
        <v/>
      </c>
      <c r="V26" s="42">
        <f>IF('calcA'!IO31=0,"",INDEX('設定'!$I$11:$I$34,INDEX('calcA'!$D$3:$EQ$3,'calcA'!IO31)))</f>
        <v/>
      </c>
      <c r="W26" s="44">
        <f>IF(P26="","",IF('calcA'!JG31=1,"兄弟の日付・時刻が表にありません",IF(COUNTIF('調整・決定'!$C$6:$H$29,P26)&gt;1,"2か所以上に入っています",IF('calcA'!IO31&gt;0,IF(INDEX('calcA'!$D$4:$EQ$4,'calcA'!IO31)=0,"使えない枠に入っています",IF(INDEX('calcA'!$D$31:$EQ$31,'calcA'!IO31)=1,"×の枠に入っています",IF('calcA'!IV31=0,"（出来れば）兄弟の前後ではありません",IF(AND(RIGHT(D26,4)="空けたい",INDEX('calcA'!$D$106:$EQ$106,'calcA'!IO31)=1,INDEX('calcA'!$D$109:$EQ$109,'calcA'!IO31+1)=1),IF(D26="必ず空けたい","後ろの枠が空いていません","（出来れば）後ろが空いていません"),IF(AND(D26="空けない",INDEX('calcA'!$D$106:$EQ$106,'calcA'!IO31)=1,INDEX('calcA'!$D$109:$EQ$109,'calcA'!IO31+1)=0),"（出来れば）すぐ後が空いています",""))))),IF(OR(Q26="入力済み",Q26="×なし"),"未決定","")))))</f>
        <v/>
      </c>
      <c r="X26" s="44">
        <f>IF('calcA'!IK31=0,IF('calcA'!IL31=1,"入る枠がありません",""),INDEX('calcA'!$D$8:$EQ$8,'calcA'!IK31))</f>
        <v/>
      </c>
      <c r="Y26" s="44">
        <f>IF('calcA'!IR31=0,IF('calcA'!IS31=1,"入る枠がありません",""),INDEX('calcA'!$D$8:$EQ$8,'calcA'!IR31))</f>
        <v/>
      </c>
      <c r="Z26" s="71">
        <f>HYPERLINK("#'×入力'!B593","×入力へ")</f>
        <v/>
      </c>
    </row>
    <row r="27" ht="19" customHeight="1">
      <c r="A27" s="69" t="n">
        <v>23</v>
      </c>
      <c r="B27" s="70" t="inlineStr">
        <is>
          <t>池田 あさひ</t>
        </is>
      </c>
      <c r="C27" s="69" t="inlineStr">
        <is>
          <t>遅い日</t>
        </is>
      </c>
      <c r="D27" s="69" t="n"/>
      <c r="E27" s="69" t="n"/>
      <c r="F27" s="70" t="n"/>
      <c r="G27" s="69" t="n"/>
      <c r="H27" s="69" t="n"/>
      <c r="I27" s="69" t="n"/>
      <c r="J27" s="69" t="n"/>
      <c r="K27" s="69" t="n"/>
      <c r="L27" s="69" t="n"/>
      <c r="M27" s="69" t="n"/>
      <c r="N27" s="69" t="n"/>
      <c r="O27" s="69" t="n"/>
      <c r="P27" s="44">
        <f>IF(B27="","",IF(COUNTIF($B$5:$B$49,B27)&gt;1,IF(A27="","",A27&amp;" ")&amp;B27,B27))</f>
        <v/>
      </c>
      <c r="Q27" s="42">
        <f>IF(B27="","",IF('×入力'!F621="未提出","未提出",IF(R27&gt;0,"入力済み",IF('×入力'!F621="×なし（どこでもOK）","×なし","未入力"))))</f>
        <v/>
      </c>
      <c r="R27" s="42">
        <f>IF(B27="","",'calcA'!IN32)</f>
        <v/>
      </c>
      <c r="S27" s="42">
        <f>IF(OR(Q27="入力済み",Q27="×なし"),'calcA'!IM32,"")</f>
        <v/>
      </c>
      <c r="T27" s="42">
        <f>IF('calcA'!C32=1,COUNTIFS('calcA'!$C$10:$C$54,1,'calcA'!$IM$10:$IM$54,"&lt;"&amp;'calcA'!IM32)+1,"")</f>
        <v/>
      </c>
      <c r="U27" s="44">
        <f>IF('calcA'!IO32=0,"",INDEX('設定'!$E$11:$E$16,INDEX('calcA'!$D$2:$EQ$2,'calcA'!IO32)))</f>
        <v/>
      </c>
      <c r="V27" s="42">
        <f>IF('calcA'!IO32=0,"",INDEX('設定'!$I$11:$I$34,INDEX('calcA'!$D$3:$EQ$3,'calcA'!IO32)))</f>
        <v/>
      </c>
      <c r="W27" s="44">
        <f>IF(P27="","",IF('calcA'!JG32=1,"兄弟の日付・時刻が表にありません",IF(COUNTIF('調整・決定'!$C$6:$H$29,P27)&gt;1,"2か所以上に入っています",IF('calcA'!IO32&gt;0,IF(INDEX('calcA'!$D$4:$EQ$4,'calcA'!IO32)=0,"使えない枠に入っています",IF(INDEX('calcA'!$D$32:$EQ$32,'calcA'!IO32)=1,"×の枠に入っています",IF('calcA'!IV32=0,"（出来れば）兄弟の前後ではありません",IF(AND(RIGHT(D27,4)="空けたい",INDEX('calcA'!$D$106:$EQ$106,'calcA'!IO32)=1,INDEX('calcA'!$D$109:$EQ$109,'calcA'!IO32+1)=1),IF(D27="必ず空けたい","後ろの枠が空いていません","（出来れば）後ろが空いていません"),IF(AND(D27="空けない",INDEX('calcA'!$D$106:$EQ$106,'calcA'!IO32)=1,INDEX('calcA'!$D$109:$EQ$109,'calcA'!IO32+1)=0),"（出来れば）すぐ後が空いています",""))))),IF(OR(Q27="入力済み",Q27="×なし"),"未決定","")))))</f>
        <v/>
      </c>
      <c r="X27" s="44">
        <f>IF('calcA'!IK32=0,IF('calcA'!IL32=1,"入る枠がありません",""),INDEX('calcA'!$D$8:$EQ$8,'calcA'!IK32))</f>
        <v/>
      </c>
      <c r="Y27" s="44">
        <f>IF('calcA'!IR32=0,IF('calcA'!IS32=1,"入る枠がありません",""),INDEX('calcA'!$D$8:$EQ$8,'calcA'!IR32))</f>
        <v/>
      </c>
      <c r="Z27" s="71">
        <f>HYPERLINK("#'×入力'!B621","×入力へ")</f>
        <v/>
      </c>
    </row>
    <row r="28" ht="19" customHeight="1">
      <c r="A28" s="69" t="n">
        <v>24</v>
      </c>
      <c r="B28" s="70" t="inlineStr">
        <is>
          <t>橋本 ここな</t>
        </is>
      </c>
      <c r="C28" s="69" t="n"/>
      <c r="D28" s="69" t="n"/>
      <c r="E28" s="69" t="n"/>
      <c r="F28" s="70" t="n"/>
      <c r="G28" s="69" t="n"/>
      <c r="H28" s="69" t="n"/>
      <c r="I28" s="69" t="n"/>
      <c r="J28" s="69" t="n"/>
      <c r="K28" s="69" t="n"/>
      <c r="L28" s="69" t="n"/>
      <c r="M28" s="69" t="n"/>
      <c r="N28" s="69" t="n"/>
      <c r="O28" s="69" t="n"/>
      <c r="P28" s="44">
        <f>IF(B28="","",IF(COUNTIF($B$5:$B$49,B28)&gt;1,IF(A28="","",A28&amp;" ")&amp;B28,B28))</f>
        <v/>
      </c>
      <c r="Q28" s="42">
        <f>IF(B28="","",IF('×入力'!F649="未提出","未提出",IF(R28&gt;0,"入力済み",IF('×入力'!F649="×なし（どこでもOK）","×なし","未入力"))))</f>
        <v/>
      </c>
      <c r="R28" s="42">
        <f>IF(B28="","",'calcA'!IN33)</f>
        <v/>
      </c>
      <c r="S28" s="42">
        <f>IF(OR(Q28="入力済み",Q28="×なし"),'calcA'!IM33,"")</f>
        <v/>
      </c>
      <c r="T28" s="42">
        <f>IF('calcA'!C33=1,COUNTIFS('calcA'!$C$10:$C$54,1,'calcA'!$IM$10:$IM$54,"&lt;"&amp;'calcA'!IM33)+1,"")</f>
        <v/>
      </c>
      <c r="U28" s="44">
        <f>IF('calcA'!IO33=0,"",INDEX('設定'!$E$11:$E$16,INDEX('calcA'!$D$2:$EQ$2,'calcA'!IO33)))</f>
        <v/>
      </c>
      <c r="V28" s="42">
        <f>IF('calcA'!IO33=0,"",INDEX('設定'!$I$11:$I$34,INDEX('calcA'!$D$3:$EQ$3,'calcA'!IO33)))</f>
        <v/>
      </c>
      <c r="W28" s="44">
        <f>IF(P28="","",IF('calcA'!JG33=1,"兄弟の日付・時刻が表にありません",IF(COUNTIF('調整・決定'!$C$6:$H$29,P28)&gt;1,"2か所以上に入っています",IF('calcA'!IO33&gt;0,IF(INDEX('calcA'!$D$4:$EQ$4,'calcA'!IO33)=0,"使えない枠に入っています",IF(INDEX('calcA'!$D$33:$EQ$33,'calcA'!IO33)=1,"×の枠に入っています",IF('calcA'!IV33=0,"（出来れば）兄弟の前後ではありません",IF(AND(RIGHT(D28,4)="空けたい",INDEX('calcA'!$D$106:$EQ$106,'calcA'!IO33)=1,INDEX('calcA'!$D$109:$EQ$109,'calcA'!IO33+1)=1),IF(D28="必ず空けたい","後ろの枠が空いていません","（出来れば）後ろが空いていません"),IF(AND(D28="空けない",INDEX('calcA'!$D$106:$EQ$106,'calcA'!IO33)=1,INDEX('calcA'!$D$109:$EQ$109,'calcA'!IO33+1)=0),"（出来れば）すぐ後が空いています",""))))),IF(OR(Q28="入力済み",Q28="×なし"),"未決定","")))))</f>
        <v/>
      </c>
      <c r="X28" s="44">
        <f>IF('calcA'!IK33=0,IF('calcA'!IL33=1,"入る枠がありません",""),INDEX('calcA'!$D$8:$EQ$8,'calcA'!IK33))</f>
        <v/>
      </c>
      <c r="Y28" s="44">
        <f>IF('calcA'!IR33=0,IF('calcA'!IS33=1,"入る枠がありません",""),INDEX('calcA'!$D$8:$EQ$8,'calcA'!IR33))</f>
        <v/>
      </c>
      <c r="Z28" s="71">
        <f>HYPERLINK("#'×入力'!B649","×入力へ")</f>
        <v/>
      </c>
    </row>
    <row r="29" ht="19" customHeight="1">
      <c r="A29" s="69" t="n">
        <v>25</v>
      </c>
      <c r="B29" s="70" t="inlineStr">
        <is>
          <t>阿部 ゆうま</t>
        </is>
      </c>
      <c r="C29" s="69" t="n"/>
      <c r="D29" s="69" t="inlineStr">
        <is>
          <t>空けない</t>
        </is>
      </c>
      <c r="E29" s="69" t="n"/>
      <c r="F29" s="70" t="n"/>
      <c r="G29" s="69" t="n"/>
      <c r="H29" s="69" t="n"/>
      <c r="I29" s="69" t="n"/>
      <c r="J29" s="69" t="n"/>
      <c r="K29" s="69" t="n"/>
      <c r="L29" s="69" t="n"/>
      <c r="M29" s="69" t="n"/>
      <c r="N29" s="69" t="n"/>
      <c r="O29" s="69" t="n"/>
      <c r="P29" s="44">
        <f>IF(B29="","",IF(COUNTIF($B$5:$B$49,B29)&gt;1,IF(A29="","",A29&amp;" ")&amp;B29,B29))</f>
        <v/>
      </c>
      <c r="Q29" s="42">
        <f>IF(B29="","",IF('×入力'!F677="未提出","未提出",IF(R29&gt;0,"入力済み",IF('×入力'!F677="×なし（どこでもOK）","×なし","未入力"))))</f>
        <v/>
      </c>
      <c r="R29" s="42">
        <f>IF(B29="","",'calcA'!IN34)</f>
        <v/>
      </c>
      <c r="S29" s="42">
        <f>IF(OR(Q29="入力済み",Q29="×なし"),'calcA'!IM34,"")</f>
        <v/>
      </c>
      <c r="T29" s="42">
        <f>IF('calcA'!C34=1,COUNTIFS('calcA'!$C$10:$C$54,1,'calcA'!$IM$10:$IM$54,"&lt;"&amp;'calcA'!IM34)+1,"")</f>
        <v/>
      </c>
      <c r="U29" s="44">
        <f>IF('calcA'!IO34=0,"",INDEX('設定'!$E$11:$E$16,INDEX('calcA'!$D$2:$EQ$2,'calcA'!IO34)))</f>
        <v/>
      </c>
      <c r="V29" s="42">
        <f>IF('calcA'!IO34=0,"",INDEX('設定'!$I$11:$I$34,INDEX('calcA'!$D$3:$EQ$3,'calcA'!IO34)))</f>
        <v/>
      </c>
      <c r="W29" s="44">
        <f>IF(P29="","",IF('calcA'!JG34=1,"兄弟の日付・時刻が表にありません",IF(COUNTIF('調整・決定'!$C$6:$H$29,P29)&gt;1,"2か所以上に入っています",IF('calcA'!IO34&gt;0,IF(INDEX('calcA'!$D$4:$EQ$4,'calcA'!IO34)=0,"使えない枠に入っています",IF(INDEX('calcA'!$D$34:$EQ$34,'calcA'!IO34)=1,"×の枠に入っています",IF('calcA'!IV34=0,"（出来れば）兄弟の前後ではありません",IF(AND(RIGHT(D29,4)="空けたい",INDEX('calcA'!$D$106:$EQ$106,'calcA'!IO34)=1,INDEX('calcA'!$D$109:$EQ$109,'calcA'!IO34+1)=1),IF(D29="必ず空けたい","後ろの枠が空いていません","（出来れば）後ろが空いていません"),IF(AND(D29="空けない",INDEX('calcA'!$D$106:$EQ$106,'calcA'!IO34)=1,INDEX('calcA'!$D$109:$EQ$109,'calcA'!IO34+1)=0),"（出来れば）すぐ後が空いています",""))))),IF(OR(Q29="入力済み",Q29="×なし"),"未決定","")))))</f>
        <v/>
      </c>
      <c r="X29" s="44">
        <f>IF('calcA'!IK34=0,IF('calcA'!IL34=1,"入る枠がありません",""),INDEX('calcA'!$D$8:$EQ$8,'calcA'!IK34))</f>
        <v/>
      </c>
      <c r="Y29" s="44">
        <f>IF('calcA'!IR34=0,IF('calcA'!IS34=1,"入る枠がありません",""),INDEX('calcA'!$D$8:$EQ$8,'calcA'!IR34))</f>
        <v/>
      </c>
      <c r="Z29" s="71">
        <f>HYPERLINK("#'×入力'!B677","×入力へ")</f>
        <v/>
      </c>
    </row>
    <row r="30" ht="19" customHeight="1">
      <c r="A30" s="69" t="n">
        <v>26</v>
      </c>
      <c r="B30" s="70" t="inlineStr">
        <is>
          <t>石川 ほのか</t>
        </is>
      </c>
      <c r="C30" s="69" t="n"/>
      <c r="D30" s="69" t="n"/>
      <c r="E30" s="69" t="n"/>
      <c r="F30" s="70" t="n"/>
      <c r="G30" s="69" t="n"/>
      <c r="H30" s="69" t="n"/>
      <c r="I30" s="69" t="n"/>
      <c r="J30" s="69" t="n"/>
      <c r="K30" s="69" t="n"/>
      <c r="L30" s="69" t="n"/>
      <c r="M30" s="69" t="n"/>
      <c r="N30" s="69" t="n"/>
      <c r="O30" s="69" t="n"/>
      <c r="P30" s="44">
        <f>IF(B30="","",IF(COUNTIF($B$5:$B$49,B30)&gt;1,IF(A30="","",A30&amp;" ")&amp;B30,B30))</f>
        <v/>
      </c>
      <c r="Q30" s="42">
        <f>IF(B30="","",IF('×入力'!F705="未提出","未提出",IF(R30&gt;0,"入力済み",IF('×入力'!F705="×なし（どこでもOK）","×なし","未入力"))))</f>
        <v/>
      </c>
      <c r="R30" s="42">
        <f>IF(B30="","",'calcA'!IN35)</f>
        <v/>
      </c>
      <c r="S30" s="42">
        <f>IF(OR(Q30="入力済み",Q30="×なし"),'calcA'!IM35,"")</f>
        <v/>
      </c>
      <c r="T30" s="42">
        <f>IF('calcA'!C35=1,COUNTIFS('calcA'!$C$10:$C$54,1,'calcA'!$IM$10:$IM$54,"&lt;"&amp;'calcA'!IM35)+1,"")</f>
        <v/>
      </c>
      <c r="U30" s="44">
        <f>IF('calcA'!IO35=0,"",INDEX('設定'!$E$11:$E$16,INDEX('calcA'!$D$2:$EQ$2,'calcA'!IO35)))</f>
        <v/>
      </c>
      <c r="V30" s="42">
        <f>IF('calcA'!IO35=0,"",INDEX('設定'!$I$11:$I$34,INDEX('calcA'!$D$3:$EQ$3,'calcA'!IO35)))</f>
        <v/>
      </c>
      <c r="W30" s="44">
        <f>IF(P30="","",IF('calcA'!JG35=1,"兄弟の日付・時刻が表にありません",IF(COUNTIF('調整・決定'!$C$6:$H$29,P30)&gt;1,"2か所以上に入っています",IF('calcA'!IO35&gt;0,IF(INDEX('calcA'!$D$4:$EQ$4,'calcA'!IO35)=0,"使えない枠に入っています",IF(INDEX('calcA'!$D$35:$EQ$35,'calcA'!IO35)=1,"×の枠に入っています",IF('calcA'!IV35=0,"（出来れば）兄弟の前後ではありません",IF(AND(RIGHT(D30,4)="空けたい",INDEX('calcA'!$D$106:$EQ$106,'calcA'!IO35)=1,INDEX('calcA'!$D$109:$EQ$109,'calcA'!IO35+1)=1),IF(D30="必ず空けたい","後ろの枠が空いていません","（出来れば）後ろが空いていません"),IF(AND(D30="空けない",INDEX('calcA'!$D$106:$EQ$106,'calcA'!IO35)=1,INDEX('calcA'!$D$109:$EQ$109,'calcA'!IO35+1)=0),"（出来れば）すぐ後が空いています",""))))),IF(OR(Q30="入力済み",Q30="×なし"),"未決定","")))))</f>
        <v/>
      </c>
      <c r="X30" s="44">
        <f>IF('calcA'!IK35=0,IF('calcA'!IL35=1,"入る枠がありません",""),INDEX('calcA'!$D$8:$EQ$8,'calcA'!IK35))</f>
        <v/>
      </c>
      <c r="Y30" s="44">
        <f>IF('calcA'!IR35=0,IF('calcA'!IS35=1,"入る枠がありません",""),INDEX('calcA'!$D$8:$EQ$8,'calcA'!IR35))</f>
        <v/>
      </c>
      <c r="Z30" s="71">
        <f>HYPERLINK("#'×入力'!B705","×入力へ")</f>
        <v/>
      </c>
    </row>
    <row r="31" ht="19" customHeight="1">
      <c r="A31" s="69" t="n">
        <v>27</v>
      </c>
      <c r="B31" s="70" t="inlineStr">
        <is>
          <t>山下 しょう</t>
        </is>
      </c>
      <c r="C31" s="69" t="n"/>
      <c r="D31" s="69" t="n"/>
      <c r="E31" s="69" t="inlineStr">
        <is>
          <t>〇</t>
        </is>
      </c>
      <c r="F31" s="70" t="inlineStr">
        <is>
          <t>3年1組</t>
        </is>
      </c>
      <c r="G31" s="69" t="n"/>
      <c r="H31" s="69" t="n"/>
      <c r="I31" s="69" t="n"/>
      <c r="J31" s="69" t="n"/>
      <c r="K31" s="69" t="n"/>
      <c r="L31" s="69" t="n"/>
      <c r="M31" s="69" t="n"/>
      <c r="N31" s="69" t="n"/>
      <c r="O31" s="69" t="n"/>
      <c r="P31" s="44">
        <f>IF(B31="","",IF(COUNTIF($B$5:$B$49,B31)&gt;1,IF(A31="","",A31&amp;" ")&amp;B31,B31))</f>
        <v/>
      </c>
      <c r="Q31" s="42">
        <f>IF(B31="","",IF('×入力'!F733="未提出","未提出",IF(R31&gt;0,"入力済み",IF('×入力'!F733="×なし（どこでもOK）","×なし","未入力"))))</f>
        <v/>
      </c>
      <c r="R31" s="42">
        <f>IF(B31="","",'calcA'!IN36)</f>
        <v/>
      </c>
      <c r="S31" s="42">
        <f>IF(OR(Q31="入力済み",Q31="×なし"),'calcA'!IM36,"")</f>
        <v/>
      </c>
      <c r="T31" s="42">
        <f>IF('calcA'!C36=1,COUNTIFS('calcA'!$C$10:$C$54,1,'calcA'!$IM$10:$IM$54,"&lt;"&amp;'calcA'!IM36)+1,"")</f>
        <v/>
      </c>
      <c r="U31" s="44">
        <f>IF('calcA'!IO36=0,"",INDEX('設定'!$E$11:$E$16,INDEX('calcA'!$D$2:$EQ$2,'calcA'!IO36)))</f>
        <v/>
      </c>
      <c r="V31" s="42">
        <f>IF('calcA'!IO36=0,"",INDEX('設定'!$I$11:$I$34,INDEX('calcA'!$D$3:$EQ$3,'calcA'!IO36)))</f>
        <v/>
      </c>
      <c r="W31" s="44">
        <f>IF(P31="","",IF('calcA'!JG36=1,"兄弟の日付・時刻が表にありません",IF(COUNTIF('調整・決定'!$C$6:$H$29,P31)&gt;1,"2か所以上に入っています",IF('calcA'!IO36&gt;0,IF(INDEX('calcA'!$D$4:$EQ$4,'calcA'!IO36)=0,"使えない枠に入っています",IF(INDEX('calcA'!$D$36:$EQ$36,'calcA'!IO36)=1,"×の枠に入っています",IF('calcA'!IV36=0,"（出来れば）兄弟の前後ではありません",IF(AND(RIGHT(D31,4)="空けたい",INDEX('calcA'!$D$106:$EQ$106,'calcA'!IO36)=1,INDEX('calcA'!$D$109:$EQ$109,'calcA'!IO36+1)=1),IF(D31="必ず空けたい","後ろの枠が空いていません","（出来れば）後ろが空いていません"),IF(AND(D31="空けない",INDEX('calcA'!$D$106:$EQ$106,'calcA'!IO36)=1,INDEX('calcA'!$D$109:$EQ$109,'calcA'!IO36+1)=0),"（出来れば）すぐ後が空いています",""))))),IF(OR(Q31="入力済み",Q31="×なし"),"未決定","")))))</f>
        <v/>
      </c>
      <c r="X31" s="44">
        <f>IF('calcA'!IK36=0,IF('calcA'!IL36=1,"入る枠がありません",""),INDEX('calcA'!$D$8:$EQ$8,'calcA'!IK36))</f>
        <v/>
      </c>
      <c r="Y31" s="44">
        <f>IF('calcA'!IR36=0,IF('calcA'!IS36=1,"入る枠がありません",""),INDEX('calcA'!$D$8:$EQ$8,'calcA'!IR36))</f>
        <v/>
      </c>
      <c r="Z31" s="71">
        <f>HYPERLINK("#'×入力'!B733","×入力へ")</f>
        <v/>
      </c>
    </row>
    <row r="32" ht="19" customHeight="1">
      <c r="A32" s="69" t="n">
        <v>28</v>
      </c>
      <c r="B32" s="70" t="inlineStr">
        <is>
          <t>中島 あかり</t>
        </is>
      </c>
      <c r="C32" s="69" t="n"/>
      <c r="D32" s="69" t="n"/>
      <c r="E32" s="69" t="n"/>
      <c r="F32" s="70" t="n"/>
      <c r="G32" s="69" t="n"/>
      <c r="H32" s="69" t="n"/>
      <c r="I32" s="69" t="n"/>
      <c r="J32" s="69" t="n"/>
      <c r="K32" s="69" t="n"/>
      <c r="L32" s="69" t="n"/>
      <c r="M32" s="69" t="n"/>
      <c r="N32" s="69" t="n"/>
      <c r="O32" s="69" t="n"/>
      <c r="P32" s="44">
        <f>IF(B32="","",IF(COUNTIF($B$5:$B$49,B32)&gt;1,IF(A32="","",A32&amp;" ")&amp;B32,B32))</f>
        <v/>
      </c>
      <c r="Q32" s="42">
        <f>IF(B32="","",IF('×入力'!F761="未提出","未提出",IF(R32&gt;0,"入力済み",IF('×入力'!F761="×なし（どこでもOK）","×なし","未入力"))))</f>
        <v/>
      </c>
      <c r="R32" s="42">
        <f>IF(B32="","",'calcA'!IN37)</f>
        <v/>
      </c>
      <c r="S32" s="42">
        <f>IF(OR(Q32="入力済み",Q32="×なし"),'calcA'!IM37,"")</f>
        <v/>
      </c>
      <c r="T32" s="42">
        <f>IF('calcA'!C37=1,COUNTIFS('calcA'!$C$10:$C$54,1,'calcA'!$IM$10:$IM$54,"&lt;"&amp;'calcA'!IM37)+1,"")</f>
        <v/>
      </c>
      <c r="U32" s="44">
        <f>IF('calcA'!IO37=0,"",INDEX('設定'!$E$11:$E$16,INDEX('calcA'!$D$2:$EQ$2,'calcA'!IO37)))</f>
        <v/>
      </c>
      <c r="V32" s="42">
        <f>IF('calcA'!IO37=0,"",INDEX('設定'!$I$11:$I$34,INDEX('calcA'!$D$3:$EQ$3,'calcA'!IO37)))</f>
        <v/>
      </c>
      <c r="W32" s="44">
        <f>IF(P32="","",IF('calcA'!JG37=1,"兄弟の日付・時刻が表にありません",IF(COUNTIF('調整・決定'!$C$6:$H$29,P32)&gt;1,"2か所以上に入っています",IF('calcA'!IO37&gt;0,IF(INDEX('calcA'!$D$4:$EQ$4,'calcA'!IO37)=0,"使えない枠に入っています",IF(INDEX('calcA'!$D$37:$EQ$37,'calcA'!IO37)=1,"×の枠に入っています",IF('calcA'!IV37=0,"（出来れば）兄弟の前後ではありません",IF(AND(RIGHT(D32,4)="空けたい",INDEX('calcA'!$D$106:$EQ$106,'calcA'!IO37)=1,INDEX('calcA'!$D$109:$EQ$109,'calcA'!IO37+1)=1),IF(D32="必ず空けたい","後ろの枠が空いていません","（出来れば）後ろが空いていません"),IF(AND(D32="空けない",INDEX('calcA'!$D$106:$EQ$106,'calcA'!IO37)=1,INDEX('calcA'!$D$109:$EQ$109,'calcA'!IO37+1)=0),"（出来れば）すぐ後が空いています",""))))),IF(OR(Q32="入力済み",Q32="×なし"),"未決定","")))))</f>
        <v/>
      </c>
      <c r="X32" s="44">
        <f>IF('calcA'!IK37=0,IF('calcA'!IL37=1,"入る枠がありません",""),INDEX('calcA'!$D$8:$EQ$8,'calcA'!IK37))</f>
        <v/>
      </c>
      <c r="Y32" s="44">
        <f>IF('calcA'!IR37=0,IF('calcA'!IS37=1,"入る枠がありません",""),INDEX('calcA'!$D$8:$EQ$8,'calcA'!IR37))</f>
        <v/>
      </c>
      <c r="Z32" s="71">
        <f>HYPERLINK("#'×入力'!B761","×入力へ")</f>
        <v/>
      </c>
    </row>
    <row r="33" ht="19" customHeight="1">
      <c r="A33" s="69" t="n">
        <v>29</v>
      </c>
      <c r="B33" s="70" t="inlineStr">
        <is>
          <t>石井 けんと</t>
        </is>
      </c>
      <c r="C33" s="69" t="n"/>
      <c r="D33" s="69" t="n"/>
      <c r="E33" s="69" t="n"/>
      <c r="F33" s="70" t="n"/>
      <c r="G33" s="69" t="n"/>
      <c r="H33" s="69" t="n"/>
      <c r="I33" s="69" t="n"/>
      <c r="J33" s="69" t="n"/>
      <c r="K33" s="69" t="n"/>
      <c r="L33" s="69" t="n"/>
      <c r="M33" s="69" t="n"/>
      <c r="N33" s="69" t="n"/>
      <c r="O33" s="69" t="n"/>
      <c r="P33" s="44">
        <f>IF(B33="","",IF(COUNTIF($B$5:$B$49,B33)&gt;1,IF(A33="","",A33&amp;" ")&amp;B33,B33))</f>
        <v/>
      </c>
      <c r="Q33" s="42">
        <f>IF(B33="","",IF('×入力'!F789="未提出","未提出",IF(R33&gt;0,"入力済み",IF('×入力'!F789="×なし（どこでもOK）","×なし","未入力"))))</f>
        <v/>
      </c>
      <c r="R33" s="42">
        <f>IF(B33="","",'calcA'!IN38)</f>
        <v/>
      </c>
      <c r="S33" s="42">
        <f>IF(OR(Q33="入力済み",Q33="×なし"),'calcA'!IM38,"")</f>
        <v/>
      </c>
      <c r="T33" s="42">
        <f>IF('calcA'!C38=1,COUNTIFS('calcA'!$C$10:$C$54,1,'calcA'!$IM$10:$IM$54,"&lt;"&amp;'calcA'!IM38)+1,"")</f>
        <v/>
      </c>
      <c r="U33" s="44">
        <f>IF('calcA'!IO38=0,"",INDEX('設定'!$E$11:$E$16,INDEX('calcA'!$D$2:$EQ$2,'calcA'!IO38)))</f>
        <v/>
      </c>
      <c r="V33" s="42">
        <f>IF('calcA'!IO38=0,"",INDEX('設定'!$I$11:$I$34,INDEX('calcA'!$D$3:$EQ$3,'calcA'!IO38)))</f>
        <v/>
      </c>
      <c r="W33" s="44">
        <f>IF(P33="","",IF('calcA'!JG38=1,"兄弟の日付・時刻が表にありません",IF(COUNTIF('調整・決定'!$C$6:$H$29,P33)&gt;1,"2か所以上に入っています",IF('calcA'!IO38&gt;0,IF(INDEX('calcA'!$D$4:$EQ$4,'calcA'!IO38)=0,"使えない枠に入っています",IF(INDEX('calcA'!$D$38:$EQ$38,'calcA'!IO38)=1,"×の枠に入っています",IF('calcA'!IV38=0,"（出来れば）兄弟の前後ではありません",IF(AND(RIGHT(D33,4)="空けたい",INDEX('calcA'!$D$106:$EQ$106,'calcA'!IO38)=1,INDEX('calcA'!$D$109:$EQ$109,'calcA'!IO38+1)=1),IF(D33="必ず空けたい","後ろの枠が空いていません","（出来れば）後ろが空いていません"),IF(AND(D33="空けない",INDEX('calcA'!$D$106:$EQ$106,'calcA'!IO38)=1,INDEX('calcA'!$D$109:$EQ$109,'calcA'!IO38+1)=0),"（出来れば）すぐ後が空いています",""))))),IF(OR(Q33="入力済み",Q33="×なし"),"未決定","")))))</f>
        <v/>
      </c>
      <c r="X33" s="44">
        <f>IF('calcA'!IK38=0,IF('calcA'!IL38=1,"入る枠がありません",""),INDEX('calcA'!$D$8:$EQ$8,'calcA'!IK38))</f>
        <v/>
      </c>
      <c r="Y33" s="44">
        <f>IF('calcA'!IR38=0,IF('calcA'!IS38=1,"入る枠がありません",""),INDEX('calcA'!$D$8:$EQ$8,'calcA'!IR38))</f>
        <v/>
      </c>
      <c r="Z33" s="71">
        <f>HYPERLINK("#'×入力'!B789","×入力へ")</f>
        <v/>
      </c>
    </row>
    <row r="34" ht="19" customHeight="1">
      <c r="A34" s="69" t="n">
        <v>30</v>
      </c>
      <c r="B34" s="70" t="inlineStr">
        <is>
          <t>小川 ゆず</t>
        </is>
      </c>
      <c r="C34" s="69" t="inlineStr">
        <is>
          <t>遅い時刻</t>
        </is>
      </c>
      <c r="D34" s="69" t="n"/>
      <c r="E34" s="69" t="n"/>
      <c r="F34" s="70" t="n"/>
      <c r="G34" s="69" t="n"/>
      <c r="H34" s="69" t="n"/>
      <c r="I34" s="69" t="n"/>
      <c r="J34" s="69" t="n"/>
      <c r="K34" s="69" t="n"/>
      <c r="L34" s="69" t="n"/>
      <c r="M34" s="69" t="n"/>
      <c r="N34" s="69" t="n"/>
      <c r="O34" s="69" t="n"/>
      <c r="P34" s="44">
        <f>IF(B34="","",IF(COUNTIF($B$5:$B$49,B34)&gt;1,IF(A34="","",A34&amp;" ")&amp;B34,B34))</f>
        <v/>
      </c>
      <c r="Q34" s="42">
        <f>IF(B34="","",IF('×入力'!F817="未提出","未提出",IF(R34&gt;0,"入力済み",IF('×入力'!F817="×なし（どこでもOK）","×なし","未入力"))))</f>
        <v/>
      </c>
      <c r="R34" s="42">
        <f>IF(B34="","",'calcA'!IN39)</f>
        <v/>
      </c>
      <c r="S34" s="42">
        <f>IF(OR(Q34="入力済み",Q34="×なし"),'calcA'!IM39,"")</f>
        <v/>
      </c>
      <c r="T34" s="42">
        <f>IF('calcA'!C39=1,COUNTIFS('calcA'!$C$10:$C$54,1,'calcA'!$IM$10:$IM$54,"&lt;"&amp;'calcA'!IM39)+1,"")</f>
        <v/>
      </c>
      <c r="U34" s="44">
        <f>IF('calcA'!IO39=0,"",INDEX('設定'!$E$11:$E$16,INDEX('calcA'!$D$2:$EQ$2,'calcA'!IO39)))</f>
        <v/>
      </c>
      <c r="V34" s="42">
        <f>IF('calcA'!IO39=0,"",INDEX('設定'!$I$11:$I$34,INDEX('calcA'!$D$3:$EQ$3,'calcA'!IO39)))</f>
        <v/>
      </c>
      <c r="W34" s="44">
        <f>IF(P34="","",IF('calcA'!JG39=1,"兄弟の日付・時刻が表にありません",IF(COUNTIF('調整・決定'!$C$6:$H$29,P34)&gt;1,"2か所以上に入っています",IF('calcA'!IO39&gt;0,IF(INDEX('calcA'!$D$4:$EQ$4,'calcA'!IO39)=0,"使えない枠に入っています",IF(INDEX('calcA'!$D$39:$EQ$39,'calcA'!IO39)=1,"×の枠に入っています",IF('calcA'!IV39=0,"（出来れば）兄弟の前後ではありません",IF(AND(RIGHT(D34,4)="空けたい",INDEX('calcA'!$D$106:$EQ$106,'calcA'!IO39)=1,INDEX('calcA'!$D$109:$EQ$109,'calcA'!IO39+1)=1),IF(D34="必ず空けたい","後ろの枠が空いていません","（出来れば）後ろが空いていません"),IF(AND(D34="空けない",INDEX('calcA'!$D$106:$EQ$106,'calcA'!IO39)=1,INDEX('calcA'!$D$109:$EQ$109,'calcA'!IO39+1)=0),"（出来れば）すぐ後が空いています",""))))),IF(OR(Q34="入力済み",Q34="×なし"),"未決定","")))))</f>
        <v/>
      </c>
      <c r="X34" s="44">
        <f>IF('calcA'!IK39=0,IF('calcA'!IL39=1,"入る枠がありません",""),INDEX('calcA'!$D$8:$EQ$8,'calcA'!IK39))</f>
        <v/>
      </c>
      <c r="Y34" s="44">
        <f>IF('calcA'!IR39=0,IF('calcA'!IS39=1,"入る枠がありません",""),INDEX('calcA'!$D$8:$EQ$8,'calcA'!IR39))</f>
        <v/>
      </c>
      <c r="Z34" s="71">
        <f>HYPERLINK("#'×入力'!B817","×入力へ")</f>
        <v/>
      </c>
    </row>
    <row r="35" ht="19" customHeight="1">
      <c r="A35" s="69" t="n">
        <v>31</v>
      </c>
      <c r="B35" s="70" t="inlineStr">
        <is>
          <t>前田 だいち</t>
        </is>
      </c>
      <c r="C35" s="69" t="n"/>
      <c r="D35" s="69" t="n"/>
      <c r="E35" s="69" t="n"/>
      <c r="F35" s="70" t="n"/>
      <c r="G35" s="69" t="n"/>
      <c r="H35" s="69" t="n"/>
      <c r="I35" s="69" t="n"/>
      <c r="J35" s="69" t="n"/>
      <c r="K35" s="69" t="n"/>
      <c r="L35" s="69" t="n"/>
      <c r="M35" s="69" t="n"/>
      <c r="N35" s="69" t="n"/>
      <c r="O35" s="69" t="n"/>
      <c r="P35" s="44">
        <f>IF(B35="","",IF(COUNTIF($B$5:$B$49,B35)&gt;1,IF(A35="","",A35&amp;" ")&amp;B35,B35))</f>
        <v/>
      </c>
      <c r="Q35" s="42">
        <f>IF(B35="","",IF('×入力'!F845="未提出","未提出",IF(R35&gt;0,"入力済み",IF('×入力'!F845="×なし（どこでもOK）","×なし","未入力"))))</f>
        <v/>
      </c>
      <c r="R35" s="42">
        <f>IF(B35="","",'calcA'!IN40)</f>
        <v/>
      </c>
      <c r="S35" s="42">
        <f>IF(OR(Q35="入力済み",Q35="×なし"),'calcA'!IM40,"")</f>
        <v/>
      </c>
      <c r="T35" s="42">
        <f>IF('calcA'!C40=1,COUNTIFS('calcA'!$C$10:$C$54,1,'calcA'!$IM$10:$IM$54,"&lt;"&amp;'calcA'!IM40)+1,"")</f>
        <v/>
      </c>
      <c r="U35" s="44">
        <f>IF('calcA'!IO40=0,"",INDEX('設定'!$E$11:$E$16,INDEX('calcA'!$D$2:$EQ$2,'calcA'!IO40)))</f>
        <v/>
      </c>
      <c r="V35" s="42">
        <f>IF('calcA'!IO40=0,"",INDEX('設定'!$I$11:$I$34,INDEX('calcA'!$D$3:$EQ$3,'calcA'!IO40)))</f>
        <v/>
      </c>
      <c r="W35" s="44">
        <f>IF(P35="","",IF('calcA'!JG40=1,"兄弟の日付・時刻が表にありません",IF(COUNTIF('調整・決定'!$C$6:$H$29,P35)&gt;1,"2か所以上に入っています",IF('calcA'!IO40&gt;0,IF(INDEX('calcA'!$D$4:$EQ$4,'calcA'!IO40)=0,"使えない枠に入っています",IF(INDEX('calcA'!$D$40:$EQ$40,'calcA'!IO40)=1,"×の枠に入っています",IF('calcA'!IV40=0,"（出来れば）兄弟の前後ではありません",IF(AND(RIGHT(D35,4)="空けたい",INDEX('calcA'!$D$106:$EQ$106,'calcA'!IO40)=1,INDEX('calcA'!$D$109:$EQ$109,'calcA'!IO40+1)=1),IF(D35="必ず空けたい","後ろの枠が空いていません","（出来れば）後ろが空いていません"),IF(AND(D35="空けない",INDEX('calcA'!$D$106:$EQ$106,'calcA'!IO40)=1,INDEX('calcA'!$D$109:$EQ$109,'calcA'!IO40+1)=0),"（出来れば）すぐ後が空いています",""))))),IF(OR(Q35="入力済み",Q35="×なし"),"未決定","")))))</f>
        <v/>
      </c>
      <c r="X35" s="44">
        <f>IF('calcA'!IK40=0,IF('calcA'!IL40=1,"入る枠がありません",""),INDEX('calcA'!$D$8:$EQ$8,'calcA'!IK40))</f>
        <v/>
      </c>
      <c r="Y35" s="44">
        <f>IF('calcA'!IR40=0,IF('calcA'!IS40=1,"入る枠がありません",""),INDEX('calcA'!$D$8:$EQ$8,'calcA'!IR40))</f>
        <v/>
      </c>
      <c r="Z35" s="71">
        <f>HYPERLINK("#'×入力'!B845","×入力へ")</f>
        <v/>
      </c>
    </row>
    <row r="36" ht="19" customHeight="1">
      <c r="A36" s="69" t="n">
        <v>32</v>
      </c>
      <c r="B36" s="70" t="inlineStr">
        <is>
          <t>岡田 みゆ</t>
        </is>
      </c>
      <c r="C36" s="69" t="n"/>
      <c r="D36" s="69" t="n"/>
      <c r="E36" s="69" t="n"/>
      <c r="F36" s="70" t="n"/>
      <c r="G36" s="69" t="n"/>
      <c r="H36" s="69" t="n"/>
      <c r="I36" s="69" t="n"/>
      <c r="J36" s="69" t="n"/>
      <c r="K36" s="69" t="n"/>
      <c r="L36" s="69" t="n"/>
      <c r="M36" s="69" t="n"/>
      <c r="N36" s="69" t="n"/>
      <c r="O36" s="69" t="n"/>
      <c r="P36" s="44">
        <f>IF(B36="","",IF(COUNTIF($B$5:$B$49,B36)&gt;1,IF(A36="","",A36&amp;" ")&amp;B36,B36))</f>
        <v/>
      </c>
      <c r="Q36" s="42">
        <f>IF(B36="","",IF('×入力'!F873="未提出","未提出",IF(R36&gt;0,"入力済み",IF('×入力'!F873="×なし（どこでもOK）","×なし","未入力"))))</f>
        <v/>
      </c>
      <c r="R36" s="42">
        <f>IF(B36="","",'calcA'!IN41)</f>
        <v/>
      </c>
      <c r="S36" s="42">
        <f>IF(OR(Q36="入力済み",Q36="×なし"),'calcA'!IM41,"")</f>
        <v/>
      </c>
      <c r="T36" s="42">
        <f>IF('calcA'!C41=1,COUNTIFS('calcA'!$C$10:$C$54,1,'calcA'!$IM$10:$IM$54,"&lt;"&amp;'calcA'!IM41)+1,"")</f>
        <v/>
      </c>
      <c r="U36" s="44">
        <f>IF('calcA'!IO41=0,"",INDEX('設定'!$E$11:$E$16,INDEX('calcA'!$D$2:$EQ$2,'calcA'!IO41)))</f>
        <v/>
      </c>
      <c r="V36" s="42">
        <f>IF('calcA'!IO41=0,"",INDEX('設定'!$I$11:$I$34,INDEX('calcA'!$D$3:$EQ$3,'calcA'!IO41)))</f>
        <v/>
      </c>
      <c r="W36" s="44">
        <f>IF(P36="","",IF('calcA'!JG41=1,"兄弟の日付・時刻が表にありません",IF(COUNTIF('調整・決定'!$C$6:$H$29,P36)&gt;1,"2か所以上に入っています",IF('calcA'!IO41&gt;0,IF(INDEX('calcA'!$D$4:$EQ$4,'calcA'!IO41)=0,"使えない枠に入っています",IF(INDEX('calcA'!$D$41:$EQ$41,'calcA'!IO41)=1,"×の枠に入っています",IF('calcA'!IV41=0,"（出来れば）兄弟の前後ではありません",IF(AND(RIGHT(D36,4)="空けたい",INDEX('calcA'!$D$106:$EQ$106,'calcA'!IO41)=1,INDEX('calcA'!$D$109:$EQ$109,'calcA'!IO41+1)=1),IF(D36="必ず空けたい","後ろの枠が空いていません","（出来れば）後ろが空いていません"),IF(AND(D36="空けない",INDEX('calcA'!$D$106:$EQ$106,'calcA'!IO41)=1,INDEX('calcA'!$D$109:$EQ$109,'calcA'!IO41+1)=0),"（出来れば）すぐ後が空いています",""))))),IF(OR(Q36="入力済み",Q36="×なし"),"未決定","")))))</f>
        <v/>
      </c>
      <c r="X36" s="44">
        <f>IF('calcA'!IK41=0,IF('calcA'!IL41=1,"入る枠がありません",""),INDEX('calcA'!$D$8:$EQ$8,'calcA'!IK41))</f>
        <v/>
      </c>
      <c r="Y36" s="44">
        <f>IF('calcA'!IR41=0,IF('calcA'!IS41=1,"入る枠がありません",""),INDEX('calcA'!$D$8:$EQ$8,'calcA'!IR41))</f>
        <v/>
      </c>
      <c r="Z36" s="71">
        <f>HYPERLINK("#'×入力'!B873","×入力へ")</f>
        <v/>
      </c>
    </row>
    <row r="37" ht="19" customHeight="1">
      <c r="A37" s="69" t="n">
        <v>33</v>
      </c>
      <c r="B37" s="70" t="inlineStr">
        <is>
          <t>長谷川 こうき</t>
        </is>
      </c>
      <c r="C37" s="69" t="inlineStr">
        <is>
          <t>早い時刻</t>
        </is>
      </c>
      <c r="D37" s="69" t="n"/>
      <c r="E37" s="69" t="n"/>
      <c r="F37" s="70" t="n"/>
      <c r="G37" s="69" t="n"/>
      <c r="H37" s="69" t="n"/>
      <c r="I37" s="69" t="n"/>
      <c r="J37" s="69" t="n"/>
      <c r="K37" s="69" t="n"/>
      <c r="L37" s="69" t="n"/>
      <c r="M37" s="69" t="n"/>
      <c r="N37" s="69" t="n"/>
      <c r="O37" s="69" t="n"/>
      <c r="P37" s="44">
        <f>IF(B37="","",IF(COUNTIF($B$5:$B$49,B37)&gt;1,IF(A37="","",A37&amp;" ")&amp;B37,B37))</f>
        <v/>
      </c>
      <c r="Q37" s="42">
        <f>IF(B37="","",IF('×入力'!F901="未提出","未提出",IF(R37&gt;0,"入力済み",IF('×入力'!F901="×なし（どこでもOK）","×なし","未入力"))))</f>
        <v/>
      </c>
      <c r="R37" s="42">
        <f>IF(B37="","",'calcA'!IN42)</f>
        <v/>
      </c>
      <c r="S37" s="42">
        <f>IF(OR(Q37="入力済み",Q37="×なし"),'calcA'!IM42,"")</f>
        <v/>
      </c>
      <c r="T37" s="42">
        <f>IF('calcA'!C42=1,COUNTIFS('calcA'!$C$10:$C$54,1,'calcA'!$IM$10:$IM$54,"&lt;"&amp;'calcA'!IM42)+1,"")</f>
        <v/>
      </c>
      <c r="U37" s="44">
        <f>IF('calcA'!IO42=0,"",INDEX('設定'!$E$11:$E$16,INDEX('calcA'!$D$2:$EQ$2,'calcA'!IO42)))</f>
        <v/>
      </c>
      <c r="V37" s="42">
        <f>IF('calcA'!IO42=0,"",INDEX('設定'!$I$11:$I$34,INDEX('calcA'!$D$3:$EQ$3,'calcA'!IO42)))</f>
        <v/>
      </c>
      <c r="W37" s="44">
        <f>IF(P37="","",IF('calcA'!JG42=1,"兄弟の日付・時刻が表にありません",IF(COUNTIF('調整・決定'!$C$6:$H$29,P37)&gt;1,"2か所以上に入っています",IF('calcA'!IO42&gt;0,IF(INDEX('calcA'!$D$4:$EQ$4,'calcA'!IO42)=0,"使えない枠に入っています",IF(INDEX('calcA'!$D$42:$EQ$42,'calcA'!IO42)=1,"×の枠に入っています",IF('calcA'!IV42=0,"（出来れば）兄弟の前後ではありません",IF(AND(RIGHT(D37,4)="空けたい",INDEX('calcA'!$D$106:$EQ$106,'calcA'!IO42)=1,INDEX('calcA'!$D$109:$EQ$109,'calcA'!IO42+1)=1),IF(D37="必ず空けたい","後ろの枠が空いていません","（出来れば）後ろが空いていません"),IF(AND(D37="空けない",INDEX('calcA'!$D$106:$EQ$106,'calcA'!IO42)=1,INDEX('calcA'!$D$109:$EQ$109,'calcA'!IO42+1)=0),"（出来れば）すぐ後が空いています",""))))),IF(OR(Q37="入力済み",Q37="×なし"),"未決定","")))))</f>
        <v/>
      </c>
      <c r="X37" s="44">
        <f>IF('calcA'!IK42=0,IF('calcA'!IL42=1,"入る枠がありません",""),INDEX('calcA'!$D$8:$EQ$8,'calcA'!IK42))</f>
        <v/>
      </c>
      <c r="Y37" s="44">
        <f>IF('calcA'!IR42=0,IF('calcA'!IS42=1,"入る枠がありません",""),INDEX('calcA'!$D$8:$EQ$8,'calcA'!IR42))</f>
        <v/>
      </c>
      <c r="Z37" s="71">
        <f>HYPERLINK("#'×入力'!B901","×入力へ")</f>
        <v/>
      </c>
    </row>
    <row r="38" ht="19" customHeight="1">
      <c r="A38" s="69" t="n">
        <v>34</v>
      </c>
      <c r="B38" s="70" t="inlineStr">
        <is>
          <t>藤田 さら</t>
        </is>
      </c>
      <c r="C38" s="69" t="n"/>
      <c r="D38" s="69" t="inlineStr">
        <is>
          <t>出来れば空けたい</t>
        </is>
      </c>
      <c r="E38" s="69" t="n"/>
      <c r="F38" s="70" t="n"/>
      <c r="G38" s="69" t="n"/>
      <c r="H38" s="69" t="n"/>
      <c r="I38" s="69" t="n"/>
      <c r="J38" s="69" t="n"/>
      <c r="K38" s="69" t="n"/>
      <c r="L38" s="69" t="n"/>
      <c r="M38" s="69" t="n"/>
      <c r="N38" s="69" t="n"/>
      <c r="O38" s="69" t="n"/>
      <c r="P38" s="44">
        <f>IF(B38="","",IF(COUNTIF($B$5:$B$49,B38)&gt;1,IF(A38="","",A38&amp;" ")&amp;B38,B38))</f>
        <v/>
      </c>
      <c r="Q38" s="42">
        <f>IF(B38="","",IF('×入力'!F929="未提出","未提出",IF(R38&gt;0,"入力済み",IF('×入力'!F929="×なし（どこでもOK）","×なし","未入力"))))</f>
        <v/>
      </c>
      <c r="R38" s="42">
        <f>IF(B38="","",'calcA'!IN43)</f>
        <v/>
      </c>
      <c r="S38" s="42">
        <f>IF(OR(Q38="入力済み",Q38="×なし"),'calcA'!IM43,"")</f>
        <v/>
      </c>
      <c r="T38" s="42">
        <f>IF('calcA'!C43=1,COUNTIFS('calcA'!$C$10:$C$54,1,'calcA'!$IM$10:$IM$54,"&lt;"&amp;'calcA'!IM43)+1,"")</f>
        <v/>
      </c>
      <c r="U38" s="44">
        <f>IF('calcA'!IO43=0,"",INDEX('設定'!$E$11:$E$16,INDEX('calcA'!$D$2:$EQ$2,'calcA'!IO43)))</f>
        <v/>
      </c>
      <c r="V38" s="42">
        <f>IF('calcA'!IO43=0,"",INDEX('設定'!$I$11:$I$34,INDEX('calcA'!$D$3:$EQ$3,'calcA'!IO43)))</f>
        <v/>
      </c>
      <c r="W38" s="44">
        <f>IF(P38="","",IF('calcA'!JG43=1,"兄弟の日付・時刻が表にありません",IF(COUNTIF('調整・決定'!$C$6:$H$29,P38)&gt;1,"2か所以上に入っています",IF('calcA'!IO43&gt;0,IF(INDEX('calcA'!$D$4:$EQ$4,'calcA'!IO43)=0,"使えない枠に入っています",IF(INDEX('calcA'!$D$43:$EQ$43,'calcA'!IO43)=1,"×の枠に入っています",IF('calcA'!IV43=0,"（出来れば）兄弟の前後ではありません",IF(AND(RIGHT(D38,4)="空けたい",INDEX('calcA'!$D$106:$EQ$106,'calcA'!IO43)=1,INDEX('calcA'!$D$109:$EQ$109,'calcA'!IO43+1)=1),IF(D38="必ず空けたい","後ろの枠が空いていません","（出来れば）後ろが空いていません"),IF(AND(D38="空けない",INDEX('calcA'!$D$106:$EQ$106,'calcA'!IO43)=1,INDEX('calcA'!$D$109:$EQ$109,'calcA'!IO43+1)=0),"（出来れば）すぐ後が空いています",""))))),IF(OR(Q38="入力済み",Q38="×なし"),"未決定","")))))</f>
        <v/>
      </c>
      <c r="X38" s="44">
        <f>IF('calcA'!IK43=0,IF('calcA'!IL43=1,"入る枠がありません",""),INDEX('calcA'!$D$8:$EQ$8,'calcA'!IK43))</f>
        <v/>
      </c>
      <c r="Y38" s="44">
        <f>IF('calcA'!IR43=0,IF('calcA'!IS43=1,"入る枠がありません",""),INDEX('calcA'!$D$8:$EQ$8,'calcA'!IR43))</f>
        <v/>
      </c>
      <c r="Z38" s="71">
        <f>HYPERLINK("#'×入力'!B929","×入力へ")</f>
        <v/>
      </c>
    </row>
    <row r="39" ht="19" customHeight="1">
      <c r="A39" s="69" t="n">
        <v>35</v>
      </c>
      <c r="B39" s="70" t="inlineStr">
        <is>
          <t>後藤 りょう</t>
        </is>
      </c>
      <c r="C39" s="69" t="n"/>
      <c r="D39" s="69" t="n"/>
      <c r="E39" s="69" t="n"/>
      <c r="F39" s="70" t="n"/>
      <c r="G39" s="69" t="n"/>
      <c r="H39" s="69" t="n"/>
      <c r="I39" s="69" t="n"/>
      <c r="J39" s="69" t="n"/>
      <c r="K39" s="69" t="n"/>
      <c r="L39" s="69" t="n"/>
      <c r="M39" s="69" t="n"/>
      <c r="N39" s="69" t="n"/>
      <c r="O39" s="69" t="n"/>
      <c r="P39" s="44">
        <f>IF(B39="","",IF(COUNTIF($B$5:$B$49,B39)&gt;1,IF(A39="","",A39&amp;" ")&amp;B39,B39))</f>
        <v/>
      </c>
      <c r="Q39" s="42">
        <f>IF(B39="","",IF('×入力'!F957="未提出","未提出",IF(R39&gt;0,"入力済み",IF('×入力'!F957="×なし（どこでもOK）","×なし","未入力"))))</f>
        <v/>
      </c>
      <c r="R39" s="42">
        <f>IF(B39="","",'calcA'!IN44)</f>
        <v/>
      </c>
      <c r="S39" s="42">
        <f>IF(OR(Q39="入力済み",Q39="×なし"),'calcA'!IM44,"")</f>
        <v/>
      </c>
      <c r="T39" s="42">
        <f>IF('calcA'!C44=1,COUNTIFS('calcA'!$C$10:$C$54,1,'calcA'!$IM$10:$IM$54,"&lt;"&amp;'calcA'!IM44)+1,"")</f>
        <v/>
      </c>
      <c r="U39" s="44">
        <f>IF('calcA'!IO44=0,"",INDEX('設定'!$E$11:$E$16,INDEX('calcA'!$D$2:$EQ$2,'calcA'!IO44)))</f>
        <v/>
      </c>
      <c r="V39" s="42">
        <f>IF('calcA'!IO44=0,"",INDEX('設定'!$I$11:$I$34,INDEX('calcA'!$D$3:$EQ$3,'calcA'!IO44)))</f>
        <v/>
      </c>
      <c r="W39" s="44">
        <f>IF(P39="","",IF('calcA'!JG44=1,"兄弟の日付・時刻が表にありません",IF(COUNTIF('調整・決定'!$C$6:$H$29,P39)&gt;1,"2か所以上に入っています",IF('calcA'!IO44&gt;0,IF(INDEX('calcA'!$D$4:$EQ$4,'calcA'!IO44)=0,"使えない枠に入っています",IF(INDEX('calcA'!$D$44:$EQ$44,'calcA'!IO44)=1,"×の枠に入っています",IF('calcA'!IV44=0,"（出来れば）兄弟の前後ではありません",IF(AND(RIGHT(D39,4)="空けたい",INDEX('calcA'!$D$106:$EQ$106,'calcA'!IO44)=1,INDEX('calcA'!$D$109:$EQ$109,'calcA'!IO44+1)=1),IF(D39="必ず空けたい","後ろの枠が空いていません","（出来れば）後ろが空いていません"),IF(AND(D39="空けない",INDEX('calcA'!$D$106:$EQ$106,'calcA'!IO44)=1,INDEX('calcA'!$D$109:$EQ$109,'calcA'!IO44+1)=0),"（出来れば）すぐ後が空いています",""))))),IF(OR(Q39="入力済み",Q39="×なし"),"未決定","")))))</f>
        <v/>
      </c>
      <c r="X39" s="44">
        <f>IF('calcA'!IK44=0,IF('calcA'!IL44=1,"入る枠がありません",""),INDEX('calcA'!$D$8:$EQ$8,'calcA'!IK44))</f>
        <v/>
      </c>
      <c r="Y39" s="44">
        <f>IF('calcA'!IR44=0,IF('calcA'!IS44=1,"入る枠がありません",""),INDEX('calcA'!$D$8:$EQ$8,'calcA'!IR44))</f>
        <v/>
      </c>
      <c r="Z39" s="71">
        <f>HYPERLINK("#'×入力'!B957","×入力へ")</f>
        <v/>
      </c>
    </row>
    <row r="40" ht="19" customHeight="1">
      <c r="A40" s="69" t="n"/>
      <c r="B40" s="70" t="n"/>
      <c r="C40" s="69" t="n"/>
      <c r="D40" s="69" t="n"/>
      <c r="E40" s="69" t="n"/>
      <c r="F40" s="70" t="n"/>
      <c r="G40" s="69" t="n"/>
      <c r="H40" s="69" t="n"/>
      <c r="I40" s="69" t="n"/>
      <c r="J40" s="69" t="n"/>
      <c r="K40" s="69" t="n"/>
      <c r="L40" s="69" t="n"/>
      <c r="M40" s="69" t="n"/>
      <c r="N40" s="69" t="n"/>
      <c r="O40" s="69" t="n"/>
      <c r="P40" s="44">
        <f>IF(B40="","",IF(COUNTIF($B$5:$B$49,B40)&gt;1,IF(A40="","",A40&amp;" ")&amp;B40,B40))</f>
        <v/>
      </c>
      <c r="Q40" s="42">
        <f>IF(B40="","",IF('×入力'!F985="未提出","未提出",IF(R40&gt;0,"入力済み",IF('×入力'!F985="×なし（どこでもOK）","×なし","未入力"))))</f>
        <v/>
      </c>
      <c r="R40" s="42">
        <f>IF(B40="","",'calcA'!IN45)</f>
        <v/>
      </c>
      <c r="S40" s="42">
        <f>IF(OR(Q40="入力済み",Q40="×なし"),'calcA'!IM45,"")</f>
        <v/>
      </c>
      <c r="T40" s="42">
        <f>IF('calcA'!C45=1,COUNTIFS('calcA'!$C$10:$C$54,1,'calcA'!$IM$10:$IM$54,"&lt;"&amp;'calcA'!IM45)+1,"")</f>
        <v/>
      </c>
      <c r="U40" s="44">
        <f>IF('calcA'!IO45=0,"",INDEX('設定'!$E$11:$E$16,INDEX('calcA'!$D$2:$EQ$2,'calcA'!IO45)))</f>
        <v/>
      </c>
      <c r="V40" s="42">
        <f>IF('calcA'!IO45=0,"",INDEX('設定'!$I$11:$I$34,INDEX('calcA'!$D$3:$EQ$3,'calcA'!IO45)))</f>
        <v/>
      </c>
      <c r="W40" s="44">
        <f>IF(P40="","",IF('calcA'!JG45=1,"兄弟の日付・時刻が表にありません",IF(COUNTIF('調整・決定'!$C$6:$H$29,P40)&gt;1,"2か所以上に入っています",IF('calcA'!IO45&gt;0,IF(INDEX('calcA'!$D$4:$EQ$4,'calcA'!IO45)=0,"使えない枠に入っています",IF(INDEX('calcA'!$D$45:$EQ$45,'calcA'!IO45)=1,"×の枠に入っています",IF('calcA'!IV45=0,"（出来れば）兄弟の前後ではありません",IF(AND(RIGHT(D40,4)="空けたい",INDEX('calcA'!$D$106:$EQ$106,'calcA'!IO45)=1,INDEX('calcA'!$D$109:$EQ$109,'calcA'!IO45+1)=1),IF(D40="必ず空けたい","後ろの枠が空いていません","（出来れば）後ろが空いていません"),IF(AND(D40="空けない",INDEX('calcA'!$D$106:$EQ$106,'calcA'!IO45)=1,INDEX('calcA'!$D$109:$EQ$109,'calcA'!IO45+1)=0),"（出来れば）すぐ後が空いています",""))))),IF(OR(Q40="入力済み",Q40="×なし"),"未決定","")))))</f>
        <v/>
      </c>
      <c r="X40" s="44">
        <f>IF('calcA'!IK45=0,IF('calcA'!IL45=1,"入る枠がありません",""),INDEX('calcA'!$D$8:$EQ$8,'calcA'!IK45))</f>
        <v/>
      </c>
      <c r="Y40" s="44">
        <f>IF('calcA'!IR45=0,IF('calcA'!IS45=1,"入る枠がありません",""),INDEX('calcA'!$D$8:$EQ$8,'calcA'!IR45))</f>
        <v/>
      </c>
      <c r="Z40" s="71">
        <f>HYPERLINK("#'×入力'!B985","×入力へ")</f>
        <v/>
      </c>
    </row>
    <row r="41" ht="19" customHeight="1">
      <c r="A41" s="69" t="n"/>
      <c r="B41" s="70" t="n"/>
      <c r="C41" s="69" t="n"/>
      <c r="D41" s="69" t="n"/>
      <c r="E41" s="69" t="n"/>
      <c r="F41" s="70" t="n"/>
      <c r="G41" s="69" t="n"/>
      <c r="H41" s="69" t="n"/>
      <c r="I41" s="69" t="n"/>
      <c r="J41" s="69" t="n"/>
      <c r="K41" s="69" t="n"/>
      <c r="L41" s="69" t="n"/>
      <c r="M41" s="69" t="n"/>
      <c r="N41" s="69" t="n"/>
      <c r="O41" s="69" t="n"/>
      <c r="P41" s="44">
        <f>IF(B41="","",IF(COUNTIF($B$5:$B$49,B41)&gt;1,IF(A41="","",A41&amp;" ")&amp;B41,B41))</f>
        <v/>
      </c>
      <c r="Q41" s="42">
        <f>IF(B41="","",IF('×入力'!F1013="未提出","未提出",IF(R41&gt;0,"入力済み",IF('×入力'!F1013="×なし（どこでもOK）","×なし","未入力"))))</f>
        <v/>
      </c>
      <c r="R41" s="42">
        <f>IF(B41="","",'calcA'!IN46)</f>
        <v/>
      </c>
      <c r="S41" s="42">
        <f>IF(OR(Q41="入力済み",Q41="×なし"),'calcA'!IM46,"")</f>
        <v/>
      </c>
      <c r="T41" s="42">
        <f>IF('calcA'!C46=1,COUNTIFS('calcA'!$C$10:$C$54,1,'calcA'!$IM$10:$IM$54,"&lt;"&amp;'calcA'!IM46)+1,"")</f>
        <v/>
      </c>
      <c r="U41" s="44">
        <f>IF('calcA'!IO46=0,"",INDEX('設定'!$E$11:$E$16,INDEX('calcA'!$D$2:$EQ$2,'calcA'!IO46)))</f>
        <v/>
      </c>
      <c r="V41" s="42">
        <f>IF('calcA'!IO46=0,"",INDEX('設定'!$I$11:$I$34,INDEX('calcA'!$D$3:$EQ$3,'calcA'!IO46)))</f>
        <v/>
      </c>
      <c r="W41" s="44">
        <f>IF(P41="","",IF('calcA'!JG46=1,"兄弟の日付・時刻が表にありません",IF(COUNTIF('調整・決定'!$C$6:$H$29,P41)&gt;1,"2か所以上に入っています",IF('calcA'!IO46&gt;0,IF(INDEX('calcA'!$D$4:$EQ$4,'calcA'!IO46)=0,"使えない枠に入っています",IF(INDEX('calcA'!$D$46:$EQ$46,'calcA'!IO46)=1,"×の枠に入っています",IF('calcA'!IV46=0,"（出来れば）兄弟の前後ではありません",IF(AND(RIGHT(D41,4)="空けたい",INDEX('calcA'!$D$106:$EQ$106,'calcA'!IO46)=1,INDEX('calcA'!$D$109:$EQ$109,'calcA'!IO46+1)=1),IF(D41="必ず空けたい","後ろの枠が空いていません","（出来れば）後ろが空いていません"),IF(AND(D41="空けない",INDEX('calcA'!$D$106:$EQ$106,'calcA'!IO46)=1,INDEX('calcA'!$D$109:$EQ$109,'calcA'!IO46+1)=0),"（出来れば）すぐ後が空いています",""))))),IF(OR(Q41="入力済み",Q41="×なし"),"未決定","")))))</f>
        <v/>
      </c>
      <c r="X41" s="44">
        <f>IF('calcA'!IK46=0,IF('calcA'!IL46=1,"入る枠がありません",""),INDEX('calcA'!$D$8:$EQ$8,'calcA'!IK46))</f>
        <v/>
      </c>
      <c r="Y41" s="44">
        <f>IF('calcA'!IR46=0,IF('calcA'!IS46=1,"入る枠がありません",""),INDEX('calcA'!$D$8:$EQ$8,'calcA'!IR46))</f>
        <v/>
      </c>
      <c r="Z41" s="71">
        <f>HYPERLINK("#'×入力'!B1013","×入力へ")</f>
        <v/>
      </c>
    </row>
    <row r="42" ht="19" customHeight="1">
      <c r="A42" s="69" t="n"/>
      <c r="B42" s="70" t="n"/>
      <c r="C42" s="69" t="n"/>
      <c r="D42" s="69" t="n"/>
      <c r="E42" s="69" t="n"/>
      <c r="F42" s="70" t="n"/>
      <c r="G42" s="69" t="n"/>
      <c r="H42" s="69" t="n"/>
      <c r="I42" s="69" t="n"/>
      <c r="J42" s="69" t="n"/>
      <c r="K42" s="69" t="n"/>
      <c r="L42" s="69" t="n"/>
      <c r="M42" s="69" t="n"/>
      <c r="N42" s="69" t="n"/>
      <c r="O42" s="69" t="n"/>
      <c r="P42" s="44">
        <f>IF(B42="","",IF(COUNTIF($B$5:$B$49,B42)&gt;1,IF(A42="","",A42&amp;" ")&amp;B42,B42))</f>
        <v/>
      </c>
      <c r="Q42" s="42">
        <f>IF(B42="","",IF('×入力'!F1041="未提出","未提出",IF(R42&gt;0,"入力済み",IF('×入力'!F1041="×なし（どこでもOK）","×なし","未入力"))))</f>
        <v/>
      </c>
      <c r="R42" s="42">
        <f>IF(B42="","",'calcA'!IN47)</f>
        <v/>
      </c>
      <c r="S42" s="42">
        <f>IF(OR(Q42="入力済み",Q42="×なし"),'calcA'!IM47,"")</f>
        <v/>
      </c>
      <c r="T42" s="42">
        <f>IF('calcA'!C47=1,COUNTIFS('calcA'!$C$10:$C$54,1,'calcA'!$IM$10:$IM$54,"&lt;"&amp;'calcA'!IM47)+1,"")</f>
        <v/>
      </c>
      <c r="U42" s="44">
        <f>IF('calcA'!IO47=0,"",INDEX('設定'!$E$11:$E$16,INDEX('calcA'!$D$2:$EQ$2,'calcA'!IO47)))</f>
        <v/>
      </c>
      <c r="V42" s="42">
        <f>IF('calcA'!IO47=0,"",INDEX('設定'!$I$11:$I$34,INDEX('calcA'!$D$3:$EQ$3,'calcA'!IO47)))</f>
        <v/>
      </c>
      <c r="W42" s="44">
        <f>IF(P42="","",IF('calcA'!JG47=1,"兄弟の日付・時刻が表にありません",IF(COUNTIF('調整・決定'!$C$6:$H$29,P42)&gt;1,"2か所以上に入っています",IF('calcA'!IO47&gt;0,IF(INDEX('calcA'!$D$4:$EQ$4,'calcA'!IO47)=0,"使えない枠に入っています",IF(INDEX('calcA'!$D$47:$EQ$47,'calcA'!IO47)=1,"×の枠に入っています",IF('calcA'!IV47=0,"（出来れば）兄弟の前後ではありません",IF(AND(RIGHT(D42,4)="空けたい",INDEX('calcA'!$D$106:$EQ$106,'calcA'!IO47)=1,INDEX('calcA'!$D$109:$EQ$109,'calcA'!IO47+1)=1),IF(D42="必ず空けたい","後ろの枠が空いていません","（出来れば）後ろが空いていません"),IF(AND(D42="空けない",INDEX('calcA'!$D$106:$EQ$106,'calcA'!IO47)=1,INDEX('calcA'!$D$109:$EQ$109,'calcA'!IO47+1)=0),"（出来れば）すぐ後が空いています",""))))),IF(OR(Q42="入力済み",Q42="×なし"),"未決定","")))))</f>
        <v/>
      </c>
      <c r="X42" s="44">
        <f>IF('calcA'!IK47=0,IF('calcA'!IL47=1,"入る枠がありません",""),INDEX('calcA'!$D$8:$EQ$8,'calcA'!IK47))</f>
        <v/>
      </c>
      <c r="Y42" s="44">
        <f>IF('calcA'!IR47=0,IF('calcA'!IS47=1,"入る枠がありません",""),INDEX('calcA'!$D$8:$EQ$8,'calcA'!IR47))</f>
        <v/>
      </c>
      <c r="Z42" s="71">
        <f>HYPERLINK("#'×入力'!B1041","×入力へ")</f>
        <v/>
      </c>
    </row>
    <row r="43" ht="19" customHeight="1">
      <c r="A43" s="69" t="n"/>
      <c r="B43" s="70" t="n"/>
      <c r="C43" s="69" t="n"/>
      <c r="D43" s="69" t="n"/>
      <c r="E43" s="69" t="n"/>
      <c r="F43" s="70" t="n"/>
      <c r="G43" s="69" t="n"/>
      <c r="H43" s="69" t="n"/>
      <c r="I43" s="69" t="n"/>
      <c r="J43" s="69" t="n"/>
      <c r="K43" s="69" t="n"/>
      <c r="L43" s="69" t="n"/>
      <c r="M43" s="69" t="n"/>
      <c r="N43" s="69" t="n"/>
      <c r="O43" s="69" t="n"/>
      <c r="P43" s="44">
        <f>IF(B43="","",IF(COUNTIF($B$5:$B$49,B43)&gt;1,IF(A43="","",A43&amp;" ")&amp;B43,B43))</f>
        <v/>
      </c>
      <c r="Q43" s="42">
        <f>IF(B43="","",IF('×入力'!F1069="未提出","未提出",IF(R43&gt;0,"入力済み",IF('×入力'!F1069="×なし（どこでもOK）","×なし","未入力"))))</f>
        <v/>
      </c>
      <c r="R43" s="42">
        <f>IF(B43="","",'calcA'!IN48)</f>
        <v/>
      </c>
      <c r="S43" s="42">
        <f>IF(OR(Q43="入力済み",Q43="×なし"),'calcA'!IM48,"")</f>
        <v/>
      </c>
      <c r="T43" s="42">
        <f>IF('calcA'!C48=1,COUNTIFS('calcA'!$C$10:$C$54,1,'calcA'!$IM$10:$IM$54,"&lt;"&amp;'calcA'!IM48)+1,"")</f>
        <v/>
      </c>
      <c r="U43" s="44">
        <f>IF('calcA'!IO48=0,"",INDEX('設定'!$E$11:$E$16,INDEX('calcA'!$D$2:$EQ$2,'calcA'!IO48)))</f>
        <v/>
      </c>
      <c r="V43" s="42">
        <f>IF('calcA'!IO48=0,"",INDEX('設定'!$I$11:$I$34,INDEX('calcA'!$D$3:$EQ$3,'calcA'!IO48)))</f>
        <v/>
      </c>
      <c r="W43" s="44">
        <f>IF(P43="","",IF('calcA'!JG48=1,"兄弟の日付・時刻が表にありません",IF(COUNTIF('調整・決定'!$C$6:$H$29,P43)&gt;1,"2か所以上に入っています",IF('calcA'!IO48&gt;0,IF(INDEX('calcA'!$D$4:$EQ$4,'calcA'!IO48)=0,"使えない枠に入っています",IF(INDEX('calcA'!$D$48:$EQ$48,'calcA'!IO48)=1,"×の枠に入っています",IF('calcA'!IV48=0,"（出来れば）兄弟の前後ではありません",IF(AND(RIGHT(D43,4)="空けたい",INDEX('calcA'!$D$106:$EQ$106,'calcA'!IO48)=1,INDEX('calcA'!$D$109:$EQ$109,'calcA'!IO48+1)=1),IF(D43="必ず空けたい","後ろの枠が空いていません","（出来れば）後ろが空いていません"),IF(AND(D43="空けない",INDEX('calcA'!$D$106:$EQ$106,'calcA'!IO48)=1,INDEX('calcA'!$D$109:$EQ$109,'calcA'!IO48+1)=0),"（出来れば）すぐ後が空いています",""))))),IF(OR(Q43="入力済み",Q43="×なし"),"未決定","")))))</f>
        <v/>
      </c>
      <c r="X43" s="44">
        <f>IF('calcA'!IK48=0,IF('calcA'!IL48=1,"入る枠がありません",""),INDEX('calcA'!$D$8:$EQ$8,'calcA'!IK48))</f>
        <v/>
      </c>
      <c r="Y43" s="44">
        <f>IF('calcA'!IR48=0,IF('calcA'!IS48=1,"入る枠がありません",""),INDEX('calcA'!$D$8:$EQ$8,'calcA'!IR48))</f>
        <v/>
      </c>
      <c r="Z43" s="71">
        <f>HYPERLINK("#'×入力'!B1069","×入力へ")</f>
        <v/>
      </c>
    </row>
    <row r="44" ht="19" customHeight="1">
      <c r="A44" s="69" t="n"/>
      <c r="B44" s="70" t="n"/>
      <c r="C44" s="69" t="n"/>
      <c r="D44" s="69" t="n"/>
      <c r="E44" s="69" t="n"/>
      <c r="F44" s="70" t="n"/>
      <c r="G44" s="69" t="n"/>
      <c r="H44" s="69" t="n"/>
      <c r="I44" s="69" t="n"/>
      <c r="J44" s="69" t="n"/>
      <c r="K44" s="69" t="n"/>
      <c r="L44" s="69" t="n"/>
      <c r="M44" s="69" t="n"/>
      <c r="N44" s="69" t="n"/>
      <c r="O44" s="69" t="n"/>
      <c r="P44" s="44">
        <f>IF(B44="","",IF(COUNTIF($B$5:$B$49,B44)&gt;1,IF(A44="","",A44&amp;" ")&amp;B44,B44))</f>
        <v/>
      </c>
      <c r="Q44" s="42">
        <f>IF(B44="","",IF('×入力'!F1097="未提出","未提出",IF(R44&gt;0,"入力済み",IF('×入力'!F1097="×なし（どこでもOK）","×なし","未入力"))))</f>
        <v/>
      </c>
      <c r="R44" s="42">
        <f>IF(B44="","",'calcA'!IN49)</f>
        <v/>
      </c>
      <c r="S44" s="42">
        <f>IF(OR(Q44="入力済み",Q44="×なし"),'calcA'!IM49,"")</f>
        <v/>
      </c>
      <c r="T44" s="42">
        <f>IF('calcA'!C49=1,COUNTIFS('calcA'!$C$10:$C$54,1,'calcA'!$IM$10:$IM$54,"&lt;"&amp;'calcA'!IM49)+1,"")</f>
        <v/>
      </c>
      <c r="U44" s="44">
        <f>IF('calcA'!IO49=0,"",INDEX('設定'!$E$11:$E$16,INDEX('calcA'!$D$2:$EQ$2,'calcA'!IO49)))</f>
        <v/>
      </c>
      <c r="V44" s="42">
        <f>IF('calcA'!IO49=0,"",INDEX('設定'!$I$11:$I$34,INDEX('calcA'!$D$3:$EQ$3,'calcA'!IO49)))</f>
        <v/>
      </c>
      <c r="W44" s="44">
        <f>IF(P44="","",IF('calcA'!JG49=1,"兄弟の日付・時刻が表にありません",IF(COUNTIF('調整・決定'!$C$6:$H$29,P44)&gt;1,"2か所以上に入っています",IF('calcA'!IO49&gt;0,IF(INDEX('calcA'!$D$4:$EQ$4,'calcA'!IO49)=0,"使えない枠に入っています",IF(INDEX('calcA'!$D$49:$EQ$49,'calcA'!IO49)=1,"×の枠に入っています",IF('calcA'!IV49=0,"（出来れば）兄弟の前後ではありません",IF(AND(RIGHT(D44,4)="空けたい",INDEX('calcA'!$D$106:$EQ$106,'calcA'!IO49)=1,INDEX('calcA'!$D$109:$EQ$109,'calcA'!IO49+1)=1),IF(D44="必ず空けたい","後ろの枠が空いていません","（出来れば）後ろが空いていません"),IF(AND(D44="空けない",INDEX('calcA'!$D$106:$EQ$106,'calcA'!IO49)=1,INDEX('calcA'!$D$109:$EQ$109,'calcA'!IO49+1)=0),"（出来れば）すぐ後が空いています",""))))),IF(OR(Q44="入力済み",Q44="×なし"),"未決定","")))))</f>
        <v/>
      </c>
      <c r="X44" s="44">
        <f>IF('calcA'!IK49=0,IF('calcA'!IL49=1,"入る枠がありません",""),INDEX('calcA'!$D$8:$EQ$8,'calcA'!IK49))</f>
        <v/>
      </c>
      <c r="Y44" s="44">
        <f>IF('calcA'!IR49=0,IF('calcA'!IS49=1,"入る枠がありません",""),INDEX('calcA'!$D$8:$EQ$8,'calcA'!IR49))</f>
        <v/>
      </c>
      <c r="Z44" s="71">
        <f>HYPERLINK("#'×入力'!B1097","×入力へ")</f>
        <v/>
      </c>
    </row>
  </sheetData>
  <autoFilter ref="A4:Y49"/>
  <mergeCells count="7">
    <mergeCell ref="P3:W3"/>
    <mergeCell ref="AB1:AC1"/>
    <mergeCell ref="Q1:R1"/>
    <mergeCell ref="AD1:AE1"/>
    <mergeCell ref="S1:T1"/>
    <mergeCell ref="Z1:AA1"/>
    <mergeCell ref="A3:F3"/>
  </mergeCells>
  <conditionalFormatting sqref="F5:O49">
    <cfRule type="expression" priority="1" dxfId="6">
      <formula>$E5=""</formula>
    </cfRule>
  </conditionalFormatting>
  <conditionalFormatting sqref="W5:W49">
    <cfRule type="expression" priority="2" dxfId="7">
      <formula>OR(W5="未決定",LEFT(W5,6)="（出来れば）")</formula>
    </cfRule>
    <cfRule type="expression" priority="3" dxfId="8">
      <formula>W5&lt;&gt;""</formula>
    </cfRule>
  </conditionalFormatting>
  <conditionalFormatting sqref="X5:Y49">
    <cfRule type="expression" priority="4" dxfId="8">
      <formula>X5="入る枠がありません"</formula>
    </cfRule>
  </conditionalFormatting>
  <conditionalFormatting sqref="Q5:Q49">
    <cfRule type="expression" priority="5" dxfId="9">
      <formula>OR(Q5="未入力",Q5="未提出")</formula>
    </cfRule>
  </conditionalFormatting>
  <conditionalFormatting sqref="S5:S49">
    <cfRule type="expression" priority="6" dxfId="10">
      <formula>AND(T5&lt;&gt;"",S5&lt;=2)</formula>
    </cfRule>
  </conditionalFormatting>
  <dataValidations count="9">
    <dataValidation sqref="E5 E6 E7 E8 E9 E10 E11 E12 E13 E14 E15 E16 E17 E18 E19 E20 E21 E22 E23 E24 E25 E26 E27 E28 E29 E30 E31 E32 E33 E34 E35 E36 E37 E38 E39 E40 E41 E42 E43 E44" showDropDown="0" showInputMessage="0" showErrorMessage="0" allowBlank="1" type="list">
      <formula1>"〇"</formula1>
    </dataValidation>
    <dataValidation sqref="G5 G6 G7 G8 G9 G10 G11 G12 G13 G14 G15 G16 G17 G18 G19 G20 G21 G22 G23 G24 G25 G26 G27 G28 G29 G30 G31 G32 G33 G34 G35 G36 G37 G38 G39 G40 G41 G42 G43 G44 J5 J6 J7 J8 J9 J10 J11 J12 J13 J14 J15 J16 J17 J18 J19 J20 J21 J22 J23 J24 J25 J26 J27 J28 J29 J30 J31 J32 J33 J34 J35 J36 J37 J38 J39 J40 J41 J42 J43 J44 M5 M6 M7 M8 M9 M10 M11 M12 M13 M14 M15 M16 M17 M18 M19 M20 M21 M22 M23 M24 M25 M26 M27 M28 M29 M30 M31 M32 M33 M34 M35 M36 M37 M38 M39 M40 M41 M42 M43 M44" showDropDown="0" showInputMessage="0" showErrorMessage="0" allowBlank="1" type="list">
      <formula1>='設定'!$E$11:$E$16</formula1>
    </dataValidation>
    <dataValidation sqref="H5 H6 H7 H8 H9 H10 H11 H12 H13 H14 H15 H16 H17 H18 H19 H20 H21 H22 H23 H24 H25 H26 H27 H28 H29 H30 H31 H32 H33 H34 H35 H36 H37 H38 H39 H40 H41 H42 H43 H44 K5 K6 K7 K8 K9 K10 K11 K12 K13 K14 K15 K16 K17 K18 K19 K20 K21 K22 K23 K24 K25 K26 K27 K28 K29 K30 K31 K32 K33 K34 K35 K36 K37 K38 K39 K40 K41 K42 K43 K44 N5 N6 N7 N8 N9 N10 N11 N12 N13 N14 N15 N16 N17 N18 N19 N20 N21 N22 N23 N24 N25 N26 N27 N28 N29 N30 N31 N32 N33 N34 N35 N36 N37 N38 N39 N40 N41 N42 N43 N44" showDropDown="0" showInputMessage="0" showErrorMessage="0" allowBlank="1" type="list">
      <formula1>='設定'!$I$11:$I$34</formula1>
    </dataValidation>
    <dataValidation sqref="C5 C6 C7 C8 C9 C10 C11 C12 C13 C14 C15 C16 C17 C18 C19 C20 C21 C22 C23 C24 C25 C26 C27 C28 C29 C30 C31 C32 C33 C34 C35 C36 C37 C38 C39 C40 C41 C42 C43 C44" showDropDown="0" showInputMessage="0" showErrorMessage="0" allowBlank="1" type="list">
      <formula1>"早い時刻,遅い時刻,早い日,遅い日"</formula1>
    </dataValidation>
    <dataValidation sqref="D5 D6 D7 D8 D9 D10 D11 D12 D13 D14 D15 D16 D17 D18 D19 D20 D21 D22 D23 D24 D25 D26 D27 D28 D29 D30 D31 D32 D33 D34 D35 D36 D37 D38 D39 D40 D41 D42 D43 D44" showDropDown="0" showInputMessage="0" showErrorMessage="0" allowBlank="1" type="list">
      <formula1>"必ず空けたい,出来れば空けたい,空けない"</formula1>
    </dataValidation>
    <dataValidation sqref="F5 F6 F7 F8 F9 F10 F11 F12 F13 F14 F15 F16 F17 F18 F19 F20 F21 F22 F23 F24 F25 F26 F27 F28 F29 F30 F31 F32 F33 F34 F35 F36 F37 F38 F39 F40 F41 F42 F43 F44" showDropDown="0" showInputMessage="1" showErrorMessage="0" allowBlank="1" promptTitle="兄弟の面談の日時" prompt="兄弟の担任から聞いた日時は、いちばん上の「＋」を押すと出てくる「兄弟①〜③」の列に入れます。"/>
    <dataValidation sqref="I5 I6 I7 I8 I9 I10 I11 I12 I13 I14 I15 I16 I17 I18 I19 I20 I21 I22 I23 I24 I25 I26 I27 I28 I29 I30 I31 I32 I33 I34 I35 I36 I37 I38 I39 I40 I41 I42 I43 I44" showDropDown="0" showInputMessage="0" showErrorMessage="0" allowBlank="1" type="list">
      <formula1>"兄弟①の前,兄弟①の後,どちらでも"</formula1>
    </dataValidation>
    <dataValidation sqref="L5 L6 L7 L8 L9 L10 L11 L12 L13 L14 L15 L16 L17 L18 L19 L20 L21 L22 L23 L24 L25 L26 L27 L28 L29 L30 L31 L32 L33 L34 L35 L36 L37 L38 L39 L40 L41 L42 L43 L44" showDropDown="0" showInputMessage="0" showErrorMessage="0" allowBlank="1" type="list">
      <formula1>"兄弟②の前,兄弟②の後,どちらでも"</formula1>
    </dataValidation>
    <dataValidation sqref="O5 O6 O7 O8 O9 O10 O11 O12 O13 O14 O15 O16 O17 O18 O19 O20 O21 O22 O23 O24 O25 O26 O27 O28 O29 O30 O31 O32 O33 O34 O35 O36 O37 O38 O39 O40 O41 O42 O43 O44" showDropDown="0" showInputMessage="0" showErrorMessage="0" allowBlank="1" type="list">
      <formula1>"兄弟③の前,兄弟③の後,どちらでも"</formula1>
    </dataValidation>
  </dataValidations>
  <pageMargins left="0.75" right="0.75" top="1" bottom="1" header="0.5" footer="0.5"/>
</worksheet>
</file>

<file path=xl/worksheets/sheet4.xml><?xml version="1.0" encoding="utf-8"?>
<worksheet xmlns="http://schemas.openxmlformats.org/spreadsheetml/2006/main">
  <sheetPr>
    <tabColor rgb="00B23A3A"/>
    <outlinePr summaryBelow="1" summaryRight="1"/>
    <pageSetUpPr/>
  </sheetPr>
  <dimension ref="A1:S1124"/>
  <sheetViews>
    <sheetView showGridLines="0" showRowColHeaders="0" workbookViewId="0">
      <pane ySplit="4" topLeftCell="A5" activePane="bottomLeft" state="frozen"/>
      <selection pane="bottomLeft" activeCell="A1" sqref="A1"/>
    </sheetView>
  </sheetViews>
  <sheetFormatPr baseColWidth="8" defaultRowHeight="15"/>
  <cols>
    <col width="10" customWidth="1" min="1" max="1"/>
    <col width="9"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hidden="1" width="13" customWidth="1" min="19" max="19"/>
  </cols>
  <sheetData>
    <row r="1" ht="44" customHeight="1">
      <c r="A1" s="2" t="n"/>
      <c r="B1" s="72" t="inlineStr">
        <is>
          <t>×入力</t>
        </is>
      </c>
      <c r="C1" s="2" t="n"/>
      <c r="D1" s="2" t="n"/>
      <c r="E1" s="2" t="n"/>
      <c r="F1" s="23">
        <f>HYPERLINK("#'ホーム'!A1","ホーム")</f>
        <v/>
      </c>
      <c r="G1" s="23">
        <f>HYPERLINK("#'設定'!A1","① 設定")</f>
        <v/>
      </c>
      <c r="H1" s="23">
        <f>HYPERLINK("#'名簿'!A1","② 名簿")</f>
        <v/>
      </c>
      <c r="I1" s="24">
        <f>HYPERLINK("#'×入力'!A1","③ ×入力")</f>
        <v/>
      </c>
      <c r="J1" s="23">
        <f>HYPERLINK("#'自動案A'!A1","④ 自動案A")</f>
        <v/>
      </c>
      <c r="K1" s="23">
        <f>HYPERLINK("#'自動案B'!A1","④ 自動案B")</f>
        <v/>
      </c>
      <c r="L1" s="23">
        <f>HYPERLINK("#'調整・決定'!A1","⑤ 調整・決定")</f>
        <v/>
      </c>
      <c r="M1" s="23">
        <f>HYPERLINK("#'兄弟確認用'!A1","⑥ 兄弟確認")</f>
        <v/>
      </c>
      <c r="N1" s="23">
        <f>HYPERLINK("#'お手紙（夏）'!A1","⑦ お手紙 夏")</f>
        <v/>
      </c>
      <c r="O1" s="23">
        <f>HYPERLINK("#'お手紙（秋）'!A1","⑧ お手紙 秋")</f>
        <v/>
      </c>
    </row>
    <row r="2" ht="24" customHeight="1">
      <c r="A2" s="5" t="n"/>
      <c r="B2" s="73" t="inlineStr">
        <is>
          <t>都合の悪い枠に「×」。日付の上の欄で「×」→その日全部、時刻の左の欄で「×」→その時間全部が×になります。消すときは Delete。</t>
        </is>
      </c>
      <c r="C2" s="5" t="n"/>
      <c r="D2" s="5" t="n"/>
      <c r="E2" s="5" t="n"/>
      <c r="F2" s="5" t="n"/>
      <c r="G2" s="5" t="n"/>
      <c r="H2" s="5" t="n"/>
      <c r="I2" s="5" t="n"/>
      <c r="J2" s="5" t="n"/>
      <c r="K2" s="5" t="n"/>
      <c r="L2" s="5" t="n"/>
      <c r="M2" s="5" t="n"/>
      <c r="N2" s="5" t="n"/>
      <c r="O2" s="5" t="n"/>
    </row>
    <row r="3">
      <c r="B3" s="74" t="inlineStr">
        <is>
          <t>×が1つもない家庭は「提出状況」で「×なし（どこでもOK）」、出していない家庭は「未提出」を選びます。右上の「次の人へ ▼」で次の児童に移れます。</t>
        </is>
      </c>
    </row>
    <row r="4" ht="34" customHeight="1">
      <c r="B4" s="75">
        <f>IF(SUBTOTAL(103,S5:S1124)&lt;&gt;COUNTIF(S5:S1124,"表示"),"⚠ 設定で枠の数が変わりました。このシートで Ctrl＋Alt＋L を押してください（押すと時刻の行が合います）","")</f>
        <v/>
      </c>
      <c r="S4" t="inlineStr">
        <is>
          <t>表示</t>
        </is>
      </c>
    </row>
    <row r="5" ht="26" customHeight="1">
      <c r="B5" s="76">
        <f>IF('名簿'!B5="","（名簿 1行目：なし）",'名簿'!P5)</f>
        <v/>
      </c>
      <c r="C5" s="5" t="n"/>
      <c r="D5" s="5" t="n"/>
      <c r="E5" s="77" t="inlineStr">
        <is>
          <t>提出状況 ▶</t>
        </is>
      </c>
      <c r="F5" s="43" t="n"/>
      <c r="G5" s="34" t="n"/>
      <c r="H5" s="78" t="inlineStr">
        <is>
          <t>状況：</t>
        </is>
      </c>
      <c r="I5" s="79">
        <f>'名簿'!Q5</f>
        <v/>
      </c>
      <c r="J5" s="78" t="inlineStr">
        <is>
          <t>×の数：</t>
        </is>
      </c>
      <c r="K5" s="80">
        <f>'名簿'!R5</f>
        <v/>
      </c>
      <c r="L5" s="81">
        <f>HYPERLINK("#'×入力'!B33","次の人へ ▼")</f>
        <v/>
      </c>
      <c r="S5" t="inlineStr">
        <is>
          <t>表示</t>
        </is>
      </c>
    </row>
    <row r="6" ht="22" customHeight="1">
      <c r="A6" s="35" t="inlineStr">
        <is>
          <t>この日全部 ▶</t>
        </is>
      </c>
      <c r="C6" s="82" t="n"/>
      <c r="D6" s="82" t="n"/>
      <c r="E6" s="82" t="n"/>
      <c r="F6" s="82" t="n"/>
      <c r="G6" s="82" t="n"/>
      <c r="H6" s="82" t="n"/>
      <c r="S6" t="inlineStr">
        <is>
          <t>表示</t>
        </is>
      </c>
    </row>
    <row r="7" ht="28" customHeight="1">
      <c r="A7" s="38" t="inlineStr">
        <is>
          <t>この時間
全部 ▼</t>
        </is>
      </c>
      <c r="B7" s="39" t="inlineStr"/>
      <c r="C7" s="40">
        <f>'設定'!$E$11</f>
        <v/>
      </c>
      <c r="D7" s="40">
        <f>'設定'!$E$12</f>
        <v/>
      </c>
      <c r="E7" s="40">
        <f>'設定'!$E$13</f>
        <v/>
      </c>
      <c r="F7" s="40">
        <f>'設定'!$E$14</f>
        <v/>
      </c>
      <c r="G7" s="40">
        <f>'設定'!$E$15</f>
        <v/>
      </c>
      <c r="H7" s="40">
        <f>'設定'!$E$16</f>
        <v/>
      </c>
      <c r="S7" t="inlineStr">
        <is>
          <t>表示</t>
        </is>
      </c>
    </row>
    <row r="8" ht="21" customHeight="1">
      <c r="A8" s="82" t="n"/>
      <c r="B8" s="47">
        <f>'設定'!$I$11</f>
        <v/>
      </c>
      <c r="C8" s="83" t="inlineStr">
        <is>
          <t>×</t>
        </is>
      </c>
      <c r="D8" s="83" t="inlineStr">
        <is>
          <t>×</t>
        </is>
      </c>
      <c r="E8" s="83" t="n"/>
      <c r="F8" s="83" t="inlineStr">
        <is>
          <t>×</t>
        </is>
      </c>
      <c r="G8" s="83" t="inlineStr">
        <is>
          <t>×</t>
        </is>
      </c>
      <c r="H8" s="83" t="n"/>
      <c r="S8">
        <f>IF(1&lt;='設定'!$B$6,"表示","隠す")</f>
        <v/>
      </c>
    </row>
    <row r="9" ht="21" customHeight="1">
      <c r="A9" s="82" t="n"/>
      <c r="B9" s="47">
        <f>'設定'!$I$12</f>
        <v/>
      </c>
      <c r="C9" s="83" t="inlineStr">
        <is>
          <t>×</t>
        </is>
      </c>
      <c r="D9" s="83" t="n"/>
      <c r="E9" s="83" t="n"/>
      <c r="F9" s="83" t="inlineStr">
        <is>
          <t>×</t>
        </is>
      </c>
      <c r="G9" s="83" t="inlineStr">
        <is>
          <t>×</t>
        </is>
      </c>
      <c r="H9" s="83" t="n"/>
      <c r="S9">
        <f>IF(2&lt;='設定'!$B$6,"表示","隠す")</f>
        <v/>
      </c>
    </row>
    <row r="10" ht="21" customHeight="1">
      <c r="A10" s="82" t="n"/>
      <c r="B10" s="47">
        <f>'設定'!$I$13</f>
        <v/>
      </c>
      <c r="C10" s="83" t="inlineStr">
        <is>
          <t>×</t>
        </is>
      </c>
      <c r="D10" s="83" t="n"/>
      <c r="E10" s="83" t="n"/>
      <c r="F10" s="83" t="inlineStr">
        <is>
          <t>×</t>
        </is>
      </c>
      <c r="G10" s="83" t="inlineStr">
        <is>
          <t>×</t>
        </is>
      </c>
      <c r="H10" s="83" t="n"/>
      <c r="S10">
        <f>IF(3&lt;='設定'!$B$6,"表示","隠す")</f>
        <v/>
      </c>
    </row>
    <row r="11" ht="21" customHeight="1">
      <c r="A11" s="82" t="n"/>
      <c r="B11" s="47">
        <f>'設定'!$I$14</f>
        <v/>
      </c>
      <c r="C11" s="83" t="inlineStr">
        <is>
          <t>×</t>
        </is>
      </c>
      <c r="D11" s="83" t="n"/>
      <c r="E11" s="83" t="inlineStr">
        <is>
          <t>×</t>
        </is>
      </c>
      <c r="F11" s="83" t="inlineStr">
        <is>
          <t>×</t>
        </is>
      </c>
      <c r="G11" s="83" t="inlineStr">
        <is>
          <t>×</t>
        </is>
      </c>
      <c r="H11" s="83" t="n"/>
      <c r="S11">
        <f>IF(4&lt;='設定'!$B$6,"表示","隠す")</f>
        <v/>
      </c>
    </row>
    <row r="12" ht="21" customHeight="1">
      <c r="A12" s="82" t="n"/>
      <c r="B12" s="47">
        <f>'設定'!$I$15</f>
        <v/>
      </c>
      <c r="C12" s="83" t="inlineStr">
        <is>
          <t>×</t>
        </is>
      </c>
      <c r="D12" s="83" t="n"/>
      <c r="E12" s="83" t="n"/>
      <c r="F12" s="83" t="inlineStr">
        <is>
          <t>×</t>
        </is>
      </c>
      <c r="G12" s="83" t="inlineStr">
        <is>
          <t>×</t>
        </is>
      </c>
      <c r="H12" s="83" t="n"/>
      <c r="S12">
        <f>IF(5&lt;='設定'!$B$6,"表示","隠す")</f>
        <v/>
      </c>
    </row>
    <row r="13" ht="21" customHeight="1">
      <c r="A13" s="82" t="n"/>
      <c r="B13" s="47">
        <f>'設定'!$I$16</f>
        <v/>
      </c>
      <c r="C13" s="83" t="inlineStr">
        <is>
          <t>×</t>
        </is>
      </c>
      <c r="D13" s="83" t="n"/>
      <c r="E13" s="83" t="inlineStr">
        <is>
          <t>×</t>
        </is>
      </c>
      <c r="F13" s="83" t="inlineStr">
        <is>
          <t>×</t>
        </is>
      </c>
      <c r="G13" s="83" t="inlineStr">
        <is>
          <t>×</t>
        </is>
      </c>
      <c r="H13" s="83" t="n"/>
      <c r="S13">
        <f>IF(6&lt;='設定'!$B$6,"表示","隠す")</f>
        <v/>
      </c>
    </row>
    <row r="14" ht="21" customHeight="1">
      <c r="A14" s="82" t="n"/>
      <c r="B14" s="47">
        <f>'設定'!$I$17</f>
        <v/>
      </c>
      <c r="C14" s="83" t="inlineStr">
        <is>
          <t>×</t>
        </is>
      </c>
      <c r="D14" s="83" t="n"/>
      <c r="E14" s="83" t="n"/>
      <c r="F14" s="83" t="inlineStr">
        <is>
          <t>×</t>
        </is>
      </c>
      <c r="G14" s="83" t="inlineStr">
        <is>
          <t>×</t>
        </is>
      </c>
      <c r="H14" s="83" t="n"/>
      <c r="S14">
        <f>IF(7&lt;='設定'!$B$6,"表示","隠す")</f>
        <v/>
      </c>
    </row>
    <row r="15" ht="21" customHeight="1">
      <c r="A15" s="82" t="n"/>
      <c r="B15" s="47">
        <f>'設定'!$I$18</f>
        <v/>
      </c>
      <c r="C15" s="83" t="inlineStr">
        <is>
          <t>×</t>
        </is>
      </c>
      <c r="D15" s="83" t="n"/>
      <c r="E15" s="83" t="n"/>
      <c r="F15" s="83" t="inlineStr">
        <is>
          <t>×</t>
        </is>
      </c>
      <c r="G15" s="83" t="inlineStr">
        <is>
          <t>×</t>
        </is>
      </c>
      <c r="H15" s="83" t="n"/>
      <c r="S15">
        <f>IF(8&lt;='設定'!$B$6,"表示","隠す")</f>
        <v/>
      </c>
    </row>
    <row r="16" ht="21" customHeight="1">
      <c r="A16" s="82" t="n"/>
      <c r="B16" s="47">
        <f>'設定'!$I$19</f>
        <v/>
      </c>
      <c r="C16" s="83" t="inlineStr">
        <is>
          <t>×</t>
        </is>
      </c>
      <c r="D16" s="83" t="n"/>
      <c r="E16" s="83" t="n"/>
      <c r="F16" s="83" t="inlineStr">
        <is>
          <t>×</t>
        </is>
      </c>
      <c r="G16" s="83" t="inlineStr">
        <is>
          <t>×</t>
        </is>
      </c>
      <c r="H16" s="83" t="n"/>
      <c r="S16">
        <f>IF(9&lt;='設定'!$B$6,"表示","隠す")</f>
        <v/>
      </c>
    </row>
    <row r="17" hidden="1" ht="21" customHeight="1">
      <c r="A17" s="82" t="n"/>
      <c r="B17" s="47">
        <f>'設定'!$I$20</f>
        <v/>
      </c>
      <c r="C17" s="83" t="n"/>
      <c r="D17" s="83" t="n"/>
      <c r="E17" s="83" t="n"/>
      <c r="F17" s="83" t="n"/>
      <c r="G17" s="83" t="n"/>
      <c r="H17" s="83" t="n"/>
      <c r="S17">
        <f>IF(10&lt;='設定'!$B$6,"表示","隠す")</f>
        <v/>
      </c>
    </row>
    <row r="18" hidden="1" ht="21" customHeight="1">
      <c r="A18" s="82" t="n"/>
      <c r="B18" s="47">
        <f>'設定'!$I$21</f>
        <v/>
      </c>
      <c r="C18" s="83" t="n"/>
      <c r="D18" s="83" t="n"/>
      <c r="E18" s="83" t="n"/>
      <c r="F18" s="83" t="n"/>
      <c r="G18" s="83" t="n"/>
      <c r="H18" s="83" t="n"/>
      <c r="S18">
        <f>IF(11&lt;='設定'!$B$6,"表示","隠す")</f>
        <v/>
      </c>
    </row>
    <row r="19" hidden="1" ht="21" customHeight="1">
      <c r="A19" s="82" t="n"/>
      <c r="B19" s="47">
        <f>'設定'!$I$22</f>
        <v/>
      </c>
      <c r="C19" s="83" t="n"/>
      <c r="D19" s="83" t="n"/>
      <c r="E19" s="83" t="n"/>
      <c r="F19" s="83" t="n"/>
      <c r="G19" s="83" t="n"/>
      <c r="H19" s="83" t="n"/>
      <c r="S19">
        <f>IF(12&lt;='設定'!$B$6,"表示","隠す")</f>
        <v/>
      </c>
    </row>
    <row r="20" hidden="1" ht="21" customHeight="1">
      <c r="A20" s="82" t="n"/>
      <c r="B20" s="47">
        <f>'設定'!$I$23</f>
        <v/>
      </c>
      <c r="C20" s="83" t="n"/>
      <c r="D20" s="83" t="n"/>
      <c r="E20" s="83" t="n"/>
      <c r="F20" s="83" t="n"/>
      <c r="G20" s="83" t="n"/>
      <c r="H20" s="83" t="n"/>
      <c r="S20">
        <f>IF(13&lt;='設定'!$B$6,"表示","隠す")</f>
        <v/>
      </c>
    </row>
    <row r="21" hidden="1" ht="21" customHeight="1">
      <c r="A21" s="82" t="n"/>
      <c r="B21" s="47">
        <f>'設定'!$I$24</f>
        <v/>
      </c>
      <c r="C21" s="83" t="n"/>
      <c r="D21" s="83" t="n"/>
      <c r="E21" s="83" t="n"/>
      <c r="F21" s="83" t="n"/>
      <c r="G21" s="83" t="n"/>
      <c r="H21" s="83" t="n"/>
      <c r="S21">
        <f>IF(14&lt;='設定'!$B$6,"表示","隠す")</f>
        <v/>
      </c>
    </row>
    <row r="22" hidden="1" ht="21" customHeight="1">
      <c r="A22" s="82" t="n"/>
      <c r="B22" s="47">
        <f>'設定'!$I$25</f>
        <v/>
      </c>
      <c r="C22" s="83" t="n"/>
      <c r="D22" s="83" t="n"/>
      <c r="E22" s="83" t="n"/>
      <c r="F22" s="83" t="n"/>
      <c r="G22" s="83" t="n"/>
      <c r="H22" s="83" t="n"/>
      <c r="S22">
        <f>IF(15&lt;='設定'!$B$6,"表示","隠す")</f>
        <v/>
      </c>
    </row>
    <row r="23" hidden="1" ht="21" customHeight="1">
      <c r="A23" s="82" t="n"/>
      <c r="B23" s="47">
        <f>'設定'!$I$26</f>
        <v/>
      </c>
      <c r="C23" s="83" t="n"/>
      <c r="D23" s="83" t="n"/>
      <c r="E23" s="83" t="n"/>
      <c r="F23" s="83" t="n"/>
      <c r="G23" s="83" t="n"/>
      <c r="H23" s="83" t="n"/>
      <c r="S23">
        <f>IF(16&lt;='設定'!$B$6,"表示","隠す")</f>
        <v/>
      </c>
    </row>
    <row r="24" hidden="1" ht="21" customHeight="1">
      <c r="A24" s="82" t="n"/>
      <c r="B24" s="47">
        <f>'設定'!$I$27</f>
        <v/>
      </c>
      <c r="C24" s="83" t="n"/>
      <c r="D24" s="83" t="n"/>
      <c r="E24" s="83" t="n"/>
      <c r="F24" s="83" t="n"/>
      <c r="G24" s="83" t="n"/>
      <c r="H24" s="83" t="n"/>
      <c r="S24">
        <f>IF(17&lt;='設定'!$B$6,"表示","隠す")</f>
        <v/>
      </c>
    </row>
    <row r="25" hidden="1" ht="21" customHeight="1">
      <c r="A25" s="82" t="n"/>
      <c r="B25" s="47">
        <f>'設定'!$I$28</f>
        <v/>
      </c>
      <c r="C25" s="83" t="n"/>
      <c r="D25" s="83" t="n"/>
      <c r="E25" s="83" t="n"/>
      <c r="F25" s="83" t="n"/>
      <c r="G25" s="83" t="n"/>
      <c r="H25" s="83" t="n"/>
      <c r="S25">
        <f>IF(18&lt;='設定'!$B$6,"表示","隠す")</f>
        <v/>
      </c>
    </row>
    <row r="26" hidden="1" ht="21" customHeight="1">
      <c r="A26" s="82" t="n"/>
      <c r="B26" s="47">
        <f>'設定'!$I$29</f>
        <v/>
      </c>
      <c r="C26" s="83" t="n"/>
      <c r="D26" s="83" t="n"/>
      <c r="E26" s="83" t="n"/>
      <c r="F26" s="83" t="n"/>
      <c r="G26" s="83" t="n"/>
      <c r="H26" s="83" t="n"/>
      <c r="S26">
        <f>IF(19&lt;='設定'!$B$6,"表示","隠す")</f>
        <v/>
      </c>
    </row>
    <row r="27" hidden="1" ht="21" customHeight="1">
      <c r="A27" s="82" t="n"/>
      <c r="B27" s="47">
        <f>'設定'!$I$30</f>
        <v/>
      </c>
      <c r="C27" s="83" t="n"/>
      <c r="D27" s="83" t="n"/>
      <c r="E27" s="83" t="n"/>
      <c r="F27" s="83" t="n"/>
      <c r="G27" s="83" t="n"/>
      <c r="H27" s="83" t="n"/>
      <c r="S27">
        <f>IF(20&lt;='設定'!$B$6,"表示","隠す")</f>
        <v/>
      </c>
    </row>
    <row r="28" hidden="1" ht="21" customHeight="1">
      <c r="A28" s="82" t="n"/>
      <c r="B28" s="47">
        <f>'設定'!$I$31</f>
        <v/>
      </c>
      <c r="C28" s="83" t="n"/>
      <c r="D28" s="83" t="n"/>
      <c r="E28" s="83" t="n"/>
      <c r="F28" s="83" t="n"/>
      <c r="G28" s="83" t="n"/>
      <c r="H28" s="83" t="n"/>
      <c r="S28">
        <f>IF(21&lt;='設定'!$B$6,"表示","隠す")</f>
        <v/>
      </c>
    </row>
    <row r="29" hidden="1" ht="21" customHeight="1">
      <c r="A29" s="82" t="n"/>
      <c r="B29" s="47">
        <f>'設定'!$I$32</f>
        <v/>
      </c>
      <c r="C29" s="83" t="n"/>
      <c r="D29" s="83" t="n"/>
      <c r="E29" s="83" t="n"/>
      <c r="F29" s="83" t="n"/>
      <c r="G29" s="83" t="n"/>
      <c r="H29" s="83" t="n"/>
      <c r="S29">
        <f>IF(22&lt;='設定'!$B$6,"表示","隠す")</f>
        <v/>
      </c>
    </row>
    <row r="30" hidden="1" ht="21" customHeight="1">
      <c r="A30" s="82" t="n"/>
      <c r="B30" s="47">
        <f>'設定'!$I$33</f>
        <v/>
      </c>
      <c r="C30" s="83" t="n"/>
      <c r="D30" s="83" t="n"/>
      <c r="E30" s="83" t="n"/>
      <c r="F30" s="83" t="n"/>
      <c r="G30" s="83" t="n"/>
      <c r="H30" s="83" t="n"/>
      <c r="S30">
        <f>IF(23&lt;='設定'!$B$6,"表示","隠す")</f>
        <v/>
      </c>
    </row>
    <row r="31" hidden="1" ht="21" customHeight="1">
      <c r="A31" s="82" t="n"/>
      <c r="B31" s="47">
        <f>'設定'!$I$34</f>
        <v/>
      </c>
      <c r="C31" s="83" t="n"/>
      <c r="D31" s="83" t="n"/>
      <c r="E31" s="83" t="n"/>
      <c r="F31" s="83" t="n"/>
      <c r="G31" s="83" t="n"/>
      <c r="H31" s="83" t="n"/>
      <c r="S31">
        <f>IF(24&lt;='設定'!$B$6,"表示","隠す")</f>
        <v/>
      </c>
    </row>
    <row r="32">
      <c r="S32" t="inlineStr">
        <is>
          <t>表示</t>
        </is>
      </c>
    </row>
    <row r="33" ht="26" customHeight="1">
      <c r="B33" s="76">
        <f>IF('名簿'!B6="","（名簿 2行目：なし）",'名簿'!P6)</f>
        <v/>
      </c>
      <c r="C33" s="5" t="n"/>
      <c r="D33" s="5" t="n"/>
      <c r="E33" s="77" t="inlineStr">
        <is>
          <t>提出状況 ▶</t>
        </is>
      </c>
      <c r="F33" s="43" t="n"/>
      <c r="G33" s="34" t="n"/>
      <c r="H33" s="78" t="inlineStr">
        <is>
          <t>状況：</t>
        </is>
      </c>
      <c r="I33" s="79">
        <f>'名簿'!Q6</f>
        <v/>
      </c>
      <c r="J33" s="78" t="inlineStr">
        <is>
          <t>×の数：</t>
        </is>
      </c>
      <c r="K33" s="80">
        <f>'名簿'!R6</f>
        <v/>
      </c>
      <c r="L33" s="81">
        <f>HYPERLINK("#'×入力'!B61","次の人へ ▼")</f>
        <v/>
      </c>
      <c r="S33" t="inlineStr">
        <is>
          <t>表示</t>
        </is>
      </c>
    </row>
    <row r="34" ht="22" customHeight="1">
      <c r="A34" s="35" t="inlineStr">
        <is>
          <t>この日全部 ▶</t>
        </is>
      </c>
      <c r="C34" s="82" t="n"/>
      <c r="D34" s="82" t="n"/>
      <c r="E34" s="82" t="n"/>
      <c r="F34" s="82" t="n"/>
      <c r="G34" s="82" t="n"/>
      <c r="H34" s="82" t="n"/>
      <c r="S34" t="inlineStr">
        <is>
          <t>表示</t>
        </is>
      </c>
    </row>
    <row r="35" ht="28" customHeight="1">
      <c r="A35" s="38" t="inlineStr">
        <is>
          <t>この時間
全部 ▼</t>
        </is>
      </c>
      <c r="B35" s="39" t="inlineStr"/>
      <c r="C35" s="40">
        <f>'設定'!$E$11</f>
        <v/>
      </c>
      <c r="D35" s="40">
        <f>'設定'!$E$12</f>
        <v/>
      </c>
      <c r="E35" s="40">
        <f>'設定'!$E$13</f>
        <v/>
      </c>
      <c r="F35" s="40">
        <f>'設定'!$E$14</f>
        <v/>
      </c>
      <c r="G35" s="40">
        <f>'設定'!$E$15</f>
        <v/>
      </c>
      <c r="H35" s="40">
        <f>'設定'!$E$16</f>
        <v/>
      </c>
      <c r="S35" t="inlineStr">
        <is>
          <t>表示</t>
        </is>
      </c>
    </row>
    <row r="36" ht="21" customHeight="1">
      <c r="A36" s="82" t="n"/>
      <c r="B36" s="47">
        <f>'設定'!$I$11</f>
        <v/>
      </c>
      <c r="C36" s="83" t="n"/>
      <c r="D36" s="83" t="n"/>
      <c r="E36" s="83" t="n"/>
      <c r="F36" s="83" t="n"/>
      <c r="G36" s="83" t="n"/>
      <c r="H36" s="83" t="n"/>
      <c r="S36">
        <f>IF(1&lt;='設定'!$B$6,"表示","隠す")</f>
        <v/>
      </c>
    </row>
    <row r="37" ht="21" customHeight="1">
      <c r="A37" s="82" t="n"/>
      <c r="B37" s="47">
        <f>'設定'!$I$12</f>
        <v/>
      </c>
      <c r="C37" s="83" t="n"/>
      <c r="D37" s="83" t="n"/>
      <c r="E37" s="83" t="n"/>
      <c r="F37" s="83" t="inlineStr">
        <is>
          <t>×</t>
        </is>
      </c>
      <c r="G37" s="83" t="n"/>
      <c r="H37" s="83" t="n"/>
      <c r="S37">
        <f>IF(2&lt;='設定'!$B$6,"表示","隠す")</f>
        <v/>
      </c>
    </row>
    <row r="38" ht="21" customHeight="1">
      <c r="A38" s="82" t="n"/>
      <c r="B38" s="47">
        <f>'設定'!$I$13</f>
        <v/>
      </c>
      <c r="C38" s="83" t="n"/>
      <c r="D38" s="83" t="n"/>
      <c r="E38" s="83" t="n"/>
      <c r="F38" s="83" t="n"/>
      <c r="G38" s="83" t="n"/>
      <c r="H38" s="83" t="n"/>
      <c r="S38">
        <f>IF(3&lt;='設定'!$B$6,"表示","隠す")</f>
        <v/>
      </c>
    </row>
    <row r="39" ht="21" customHeight="1">
      <c r="A39" s="82" t="n"/>
      <c r="B39" s="47">
        <f>'設定'!$I$14</f>
        <v/>
      </c>
      <c r="C39" s="83" t="n"/>
      <c r="D39" s="83" t="n"/>
      <c r="E39" s="83" t="n"/>
      <c r="F39" s="83" t="n"/>
      <c r="G39" s="83" t="n"/>
      <c r="H39" s="83" t="n"/>
      <c r="S39">
        <f>IF(4&lt;='設定'!$B$6,"表示","隠す")</f>
        <v/>
      </c>
    </row>
    <row r="40" ht="21" customHeight="1">
      <c r="A40" s="82" t="n"/>
      <c r="B40" s="47">
        <f>'設定'!$I$15</f>
        <v/>
      </c>
      <c r="C40" s="83" t="n"/>
      <c r="D40" s="83" t="inlineStr">
        <is>
          <t>×</t>
        </is>
      </c>
      <c r="E40" s="83" t="n"/>
      <c r="F40" s="83" t="n"/>
      <c r="G40" s="83" t="inlineStr">
        <is>
          <t>×</t>
        </is>
      </c>
      <c r="H40" s="83" t="n"/>
      <c r="S40">
        <f>IF(5&lt;='設定'!$B$6,"表示","隠す")</f>
        <v/>
      </c>
    </row>
    <row r="41" ht="21" customHeight="1">
      <c r="A41" s="82" t="n"/>
      <c r="B41" s="47">
        <f>'設定'!$I$16</f>
        <v/>
      </c>
      <c r="C41" s="83" t="inlineStr">
        <is>
          <t>×</t>
        </is>
      </c>
      <c r="D41" s="83" t="n"/>
      <c r="E41" s="83" t="n"/>
      <c r="F41" s="83" t="n"/>
      <c r="G41" s="83" t="n"/>
      <c r="H41" s="83" t="n"/>
      <c r="S41">
        <f>IF(6&lt;='設定'!$B$6,"表示","隠す")</f>
        <v/>
      </c>
    </row>
    <row r="42" ht="21" customHeight="1">
      <c r="A42" s="82" t="n"/>
      <c r="B42" s="47">
        <f>'設定'!$I$17</f>
        <v/>
      </c>
      <c r="C42" s="83" t="n"/>
      <c r="D42" s="83" t="n"/>
      <c r="E42" s="83" t="n"/>
      <c r="F42" s="83" t="n"/>
      <c r="G42" s="83" t="n"/>
      <c r="H42" s="83" t="n"/>
      <c r="S42">
        <f>IF(7&lt;='設定'!$B$6,"表示","隠す")</f>
        <v/>
      </c>
    </row>
    <row r="43" ht="21" customHeight="1">
      <c r="A43" s="82" t="n"/>
      <c r="B43" s="47">
        <f>'設定'!$I$18</f>
        <v/>
      </c>
      <c r="C43" s="83" t="n"/>
      <c r="D43" s="83" t="n"/>
      <c r="E43" s="83" t="inlineStr">
        <is>
          <t>×</t>
        </is>
      </c>
      <c r="F43" s="83" t="n"/>
      <c r="G43" s="83" t="n"/>
      <c r="H43" s="83" t="n"/>
      <c r="S43">
        <f>IF(8&lt;='設定'!$B$6,"表示","隠す")</f>
        <v/>
      </c>
    </row>
    <row r="44" ht="21" customHeight="1">
      <c r="A44" s="82" t="n"/>
      <c r="B44" s="47">
        <f>'設定'!$I$19</f>
        <v/>
      </c>
      <c r="C44" s="83" t="inlineStr">
        <is>
          <t>×</t>
        </is>
      </c>
      <c r="D44" s="83" t="n"/>
      <c r="E44" s="83" t="n"/>
      <c r="F44" s="83" t="inlineStr">
        <is>
          <t>×</t>
        </is>
      </c>
      <c r="G44" s="83" t="n"/>
      <c r="H44" s="83" t="n"/>
      <c r="S44">
        <f>IF(9&lt;='設定'!$B$6,"表示","隠す")</f>
        <v/>
      </c>
    </row>
    <row r="45" hidden="1" ht="21" customHeight="1">
      <c r="A45" s="82" t="n"/>
      <c r="B45" s="47">
        <f>'設定'!$I$20</f>
        <v/>
      </c>
      <c r="C45" s="83" t="n"/>
      <c r="D45" s="83" t="n"/>
      <c r="E45" s="83" t="n"/>
      <c r="F45" s="83" t="n"/>
      <c r="G45" s="83" t="n"/>
      <c r="H45" s="83" t="n"/>
      <c r="S45">
        <f>IF(10&lt;='設定'!$B$6,"表示","隠す")</f>
        <v/>
      </c>
    </row>
    <row r="46" hidden="1" ht="21" customHeight="1">
      <c r="A46" s="82" t="n"/>
      <c r="B46" s="47">
        <f>'設定'!$I$21</f>
        <v/>
      </c>
      <c r="C46" s="83" t="n"/>
      <c r="D46" s="83" t="n"/>
      <c r="E46" s="83" t="n"/>
      <c r="F46" s="83" t="n"/>
      <c r="G46" s="83" t="n"/>
      <c r="H46" s="83" t="n"/>
      <c r="S46">
        <f>IF(11&lt;='設定'!$B$6,"表示","隠す")</f>
        <v/>
      </c>
    </row>
    <row r="47" hidden="1" ht="21" customHeight="1">
      <c r="A47" s="82" t="n"/>
      <c r="B47" s="47">
        <f>'設定'!$I$22</f>
        <v/>
      </c>
      <c r="C47" s="83" t="n"/>
      <c r="D47" s="83" t="n"/>
      <c r="E47" s="83" t="n"/>
      <c r="F47" s="83" t="n"/>
      <c r="G47" s="83" t="n"/>
      <c r="H47" s="83" t="n"/>
      <c r="S47">
        <f>IF(12&lt;='設定'!$B$6,"表示","隠す")</f>
        <v/>
      </c>
    </row>
    <row r="48" hidden="1" ht="21" customHeight="1">
      <c r="A48" s="82" t="n"/>
      <c r="B48" s="47">
        <f>'設定'!$I$23</f>
        <v/>
      </c>
      <c r="C48" s="83" t="n"/>
      <c r="D48" s="83" t="n"/>
      <c r="E48" s="83" t="n"/>
      <c r="F48" s="83" t="n"/>
      <c r="G48" s="83" t="n"/>
      <c r="H48" s="83" t="n"/>
      <c r="S48">
        <f>IF(13&lt;='設定'!$B$6,"表示","隠す")</f>
        <v/>
      </c>
    </row>
    <row r="49" hidden="1" ht="21" customHeight="1">
      <c r="A49" s="82" t="n"/>
      <c r="B49" s="47">
        <f>'設定'!$I$24</f>
        <v/>
      </c>
      <c r="C49" s="83" t="n"/>
      <c r="D49" s="83" t="n"/>
      <c r="E49" s="83" t="n"/>
      <c r="F49" s="83" t="n"/>
      <c r="G49" s="83" t="n"/>
      <c r="H49" s="83" t="n"/>
      <c r="S49">
        <f>IF(14&lt;='設定'!$B$6,"表示","隠す")</f>
        <v/>
      </c>
    </row>
    <row r="50" hidden="1" ht="21" customHeight="1">
      <c r="A50" s="82" t="n"/>
      <c r="B50" s="47">
        <f>'設定'!$I$25</f>
        <v/>
      </c>
      <c r="C50" s="83" t="n"/>
      <c r="D50" s="83" t="n"/>
      <c r="E50" s="83" t="n"/>
      <c r="F50" s="83" t="n"/>
      <c r="G50" s="83" t="n"/>
      <c r="H50" s="83" t="n"/>
      <c r="S50">
        <f>IF(15&lt;='設定'!$B$6,"表示","隠す")</f>
        <v/>
      </c>
    </row>
    <row r="51" hidden="1" ht="21" customHeight="1">
      <c r="A51" s="82" t="n"/>
      <c r="B51" s="47">
        <f>'設定'!$I$26</f>
        <v/>
      </c>
      <c r="C51" s="83" t="n"/>
      <c r="D51" s="83" t="n"/>
      <c r="E51" s="83" t="n"/>
      <c r="F51" s="83" t="n"/>
      <c r="G51" s="83" t="n"/>
      <c r="H51" s="83" t="n"/>
      <c r="S51">
        <f>IF(16&lt;='設定'!$B$6,"表示","隠す")</f>
        <v/>
      </c>
    </row>
    <row r="52" hidden="1" ht="21" customHeight="1">
      <c r="A52" s="82" t="n"/>
      <c r="B52" s="47">
        <f>'設定'!$I$27</f>
        <v/>
      </c>
      <c r="C52" s="83" t="n"/>
      <c r="D52" s="83" t="n"/>
      <c r="E52" s="83" t="n"/>
      <c r="F52" s="83" t="n"/>
      <c r="G52" s="83" t="n"/>
      <c r="H52" s="83" t="n"/>
      <c r="S52">
        <f>IF(17&lt;='設定'!$B$6,"表示","隠す")</f>
        <v/>
      </c>
    </row>
    <row r="53" hidden="1" ht="21" customHeight="1">
      <c r="A53" s="82" t="n"/>
      <c r="B53" s="47">
        <f>'設定'!$I$28</f>
        <v/>
      </c>
      <c r="C53" s="83" t="n"/>
      <c r="D53" s="83" t="n"/>
      <c r="E53" s="83" t="n"/>
      <c r="F53" s="83" t="n"/>
      <c r="G53" s="83" t="n"/>
      <c r="H53" s="83" t="n"/>
      <c r="S53">
        <f>IF(18&lt;='設定'!$B$6,"表示","隠す")</f>
        <v/>
      </c>
    </row>
    <row r="54" hidden="1" ht="21" customHeight="1">
      <c r="A54" s="82" t="n"/>
      <c r="B54" s="47">
        <f>'設定'!$I$29</f>
        <v/>
      </c>
      <c r="C54" s="83" t="n"/>
      <c r="D54" s="83" t="n"/>
      <c r="E54" s="83" t="n"/>
      <c r="F54" s="83" t="n"/>
      <c r="G54" s="83" t="n"/>
      <c r="H54" s="83" t="n"/>
      <c r="S54">
        <f>IF(19&lt;='設定'!$B$6,"表示","隠す")</f>
        <v/>
      </c>
    </row>
    <row r="55" hidden="1" ht="21" customHeight="1">
      <c r="A55" s="82" t="n"/>
      <c r="B55" s="47">
        <f>'設定'!$I$30</f>
        <v/>
      </c>
      <c r="C55" s="83" t="n"/>
      <c r="D55" s="83" t="n"/>
      <c r="E55" s="83" t="n"/>
      <c r="F55" s="83" t="n"/>
      <c r="G55" s="83" t="n"/>
      <c r="H55" s="83" t="n"/>
      <c r="S55">
        <f>IF(20&lt;='設定'!$B$6,"表示","隠す")</f>
        <v/>
      </c>
    </row>
    <row r="56" hidden="1" ht="21" customHeight="1">
      <c r="A56" s="82" t="n"/>
      <c r="B56" s="47">
        <f>'設定'!$I$31</f>
        <v/>
      </c>
      <c r="C56" s="83" t="n"/>
      <c r="D56" s="83" t="n"/>
      <c r="E56" s="83" t="n"/>
      <c r="F56" s="83" t="n"/>
      <c r="G56" s="83" t="n"/>
      <c r="H56" s="83" t="n"/>
      <c r="S56">
        <f>IF(21&lt;='設定'!$B$6,"表示","隠す")</f>
        <v/>
      </c>
    </row>
    <row r="57" hidden="1" ht="21" customHeight="1">
      <c r="A57" s="82" t="n"/>
      <c r="B57" s="47">
        <f>'設定'!$I$32</f>
        <v/>
      </c>
      <c r="C57" s="83" t="n"/>
      <c r="D57" s="83" t="n"/>
      <c r="E57" s="83" t="n"/>
      <c r="F57" s="83" t="n"/>
      <c r="G57" s="83" t="n"/>
      <c r="H57" s="83" t="n"/>
      <c r="S57">
        <f>IF(22&lt;='設定'!$B$6,"表示","隠す")</f>
        <v/>
      </c>
    </row>
    <row r="58" hidden="1" ht="21" customHeight="1">
      <c r="A58" s="82" t="n"/>
      <c r="B58" s="47">
        <f>'設定'!$I$33</f>
        <v/>
      </c>
      <c r="C58" s="83" t="n"/>
      <c r="D58" s="83" t="n"/>
      <c r="E58" s="83" t="n"/>
      <c r="F58" s="83" t="n"/>
      <c r="G58" s="83" t="n"/>
      <c r="H58" s="83" t="n"/>
      <c r="S58">
        <f>IF(23&lt;='設定'!$B$6,"表示","隠す")</f>
        <v/>
      </c>
    </row>
    <row r="59" hidden="1" ht="21" customHeight="1">
      <c r="A59" s="82" t="n"/>
      <c r="B59" s="47">
        <f>'設定'!$I$34</f>
        <v/>
      </c>
      <c r="C59" s="83" t="n"/>
      <c r="D59" s="83" t="n"/>
      <c r="E59" s="83" t="n"/>
      <c r="F59" s="83" t="n"/>
      <c r="G59" s="83" t="n"/>
      <c r="H59" s="83" t="n"/>
      <c r="S59">
        <f>IF(24&lt;='設定'!$B$6,"表示","隠す")</f>
        <v/>
      </c>
    </row>
    <row r="60">
      <c r="S60" t="inlineStr">
        <is>
          <t>表示</t>
        </is>
      </c>
    </row>
    <row r="61" ht="26" customHeight="1">
      <c r="B61" s="76">
        <f>IF('名簿'!B7="","（名簿 3行目：なし）",'名簿'!P7)</f>
        <v/>
      </c>
      <c r="C61" s="5" t="n"/>
      <c r="D61" s="5" t="n"/>
      <c r="E61" s="77" t="inlineStr">
        <is>
          <t>提出状況 ▶</t>
        </is>
      </c>
      <c r="F61" s="43" t="n"/>
      <c r="G61" s="34" t="n"/>
      <c r="H61" s="78" t="inlineStr">
        <is>
          <t>状況：</t>
        </is>
      </c>
      <c r="I61" s="79">
        <f>'名簿'!Q7</f>
        <v/>
      </c>
      <c r="J61" s="78" t="inlineStr">
        <is>
          <t>×の数：</t>
        </is>
      </c>
      <c r="K61" s="80">
        <f>'名簿'!R7</f>
        <v/>
      </c>
      <c r="L61" s="81">
        <f>HYPERLINK("#'×入力'!B89","次の人へ ▼")</f>
        <v/>
      </c>
      <c r="S61" t="inlineStr">
        <is>
          <t>表示</t>
        </is>
      </c>
    </row>
    <row r="62" ht="22" customHeight="1">
      <c r="A62" s="35" t="inlineStr">
        <is>
          <t>この日全部 ▶</t>
        </is>
      </c>
      <c r="C62" s="82" t="n"/>
      <c r="D62" s="82" t="inlineStr">
        <is>
          <t>×</t>
        </is>
      </c>
      <c r="E62" s="82" t="n"/>
      <c r="F62" s="82" t="n"/>
      <c r="G62" s="82" t="n"/>
      <c r="H62" s="82" t="n"/>
      <c r="S62" t="inlineStr">
        <is>
          <t>表示</t>
        </is>
      </c>
    </row>
    <row r="63" ht="28" customHeight="1">
      <c r="A63" s="38" t="inlineStr">
        <is>
          <t>この時間
全部 ▼</t>
        </is>
      </c>
      <c r="B63" s="39" t="inlineStr"/>
      <c r="C63" s="40">
        <f>'設定'!$E$11</f>
        <v/>
      </c>
      <c r="D63" s="40">
        <f>'設定'!$E$12</f>
        <v/>
      </c>
      <c r="E63" s="40">
        <f>'設定'!$E$13</f>
        <v/>
      </c>
      <c r="F63" s="40">
        <f>'設定'!$E$14</f>
        <v/>
      </c>
      <c r="G63" s="40">
        <f>'設定'!$E$15</f>
        <v/>
      </c>
      <c r="H63" s="40">
        <f>'設定'!$E$16</f>
        <v/>
      </c>
      <c r="S63" t="inlineStr">
        <is>
          <t>表示</t>
        </is>
      </c>
    </row>
    <row r="64" ht="21" customHeight="1">
      <c r="A64" s="82" t="n"/>
      <c r="B64" s="47">
        <f>'設定'!$I$11</f>
        <v/>
      </c>
      <c r="C64" s="83" t="inlineStr">
        <is>
          <t>×</t>
        </is>
      </c>
      <c r="D64" s="83" t="inlineStr">
        <is>
          <t>×</t>
        </is>
      </c>
      <c r="E64" s="83" t="inlineStr">
        <is>
          <t>×</t>
        </is>
      </c>
      <c r="F64" s="83" t="inlineStr">
        <is>
          <t>×</t>
        </is>
      </c>
      <c r="G64" s="83" t="inlineStr">
        <is>
          <t>×</t>
        </is>
      </c>
      <c r="H64" s="83" t="n"/>
      <c r="S64">
        <f>IF(1&lt;='設定'!$B$6,"表示","隠す")</f>
        <v/>
      </c>
    </row>
    <row r="65" ht="21" customHeight="1">
      <c r="A65" s="82" t="n"/>
      <c r="B65" s="47">
        <f>'設定'!$I$12</f>
        <v/>
      </c>
      <c r="C65" s="83" t="inlineStr">
        <is>
          <t>×</t>
        </is>
      </c>
      <c r="D65" s="83" t="inlineStr">
        <is>
          <t>×</t>
        </is>
      </c>
      <c r="E65" s="83" t="inlineStr">
        <is>
          <t>×</t>
        </is>
      </c>
      <c r="F65" s="83" t="inlineStr">
        <is>
          <t>×</t>
        </is>
      </c>
      <c r="G65" s="83" t="inlineStr">
        <is>
          <t>×</t>
        </is>
      </c>
      <c r="H65" s="83" t="n"/>
      <c r="S65">
        <f>IF(2&lt;='設定'!$B$6,"表示","隠す")</f>
        <v/>
      </c>
    </row>
    <row r="66" ht="21" customHeight="1">
      <c r="A66" s="82" t="n"/>
      <c r="B66" s="47">
        <f>'設定'!$I$13</f>
        <v/>
      </c>
      <c r="C66" s="83" t="n"/>
      <c r="D66" s="83" t="n"/>
      <c r="E66" s="83" t="n"/>
      <c r="F66" s="83" t="n"/>
      <c r="G66" s="83" t="n"/>
      <c r="H66" s="83" t="n"/>
      <c r="S66">
        <f>IF(3&lt;='設定'!$B$6,"表示","隠す")</f>
        <v/>
      </c>
    </row>
    <row r="67" ht="21" customHeight="1">
      <c r="A67" s="82" t="n"/>
      <c r="B67" s="47">
        <f>'設定'!$I$14</f>
        <v/>
      </c>
      <c r="C67" s="83" t="inlineStr">
        <is>
          <t>×</t>
        </is>
      </c>
      <c r="D67" s="83" t="n"/>
      <c r="E67" s="83" t="n"/>
      <c r="F67" s="83" t="n"/>
      <c r="G67" s="83" t="n"/>
      <c r="H67" s="83" t="n"/>
      <c r="S67">
        <f>IF(4&lt;='設定'!$B$6,"表示","隠す")</f>
        <v/>
      </c>
    </row>
    <row r="68" ht="21" customHeight="1">
      <c r="A68" s="82" t="n"/>
      <c r="B68" s="47">
        <f>'設定'!$I$15</f>
        <v/>
      </c>
      <c r="C68" s="83" t="n"/>
      <c r="D68" s="83" t="n"/>
      <c r="E68" s="83" t="n"/>
      <c r="F68" s="83" t="n"/>
      <c r="G68" s="83" t="n"/>
      <c r="H68" s="83" t="n"/>
      <c r="S68">
        <f>IF(5&lt;='設定'!$B$6,"表示","隠す")</f>
        <v/>
      </c>
    </row>
    <row r="69" ht="21" customHeight="1">
      <c r="A69" s="82" t="n"/>
      <c r="B69" s="47">
        <f>'設定'!$I$16</f>
        <v/>
      </c>
      <c r="C69" s="83" t="n"/>
      <c r="D69" s="83" t="n"/>
      <c r="E69" s="83" t="n"/>
      <c r="F69" s="83" t="n"/>
      <c r="G69" s="83" t="n"/>
      <c r="H69" s="83" t="n"/>
      <c r="S69">
        <f>IF(6&lt;='設定'!$B$6,"表示","隠す")</f>
        <v/>
      </c>
    </row>
    <row r="70" ht="21" customHeight="1">
      <c r="A70" s="82" t="n"/>
      <c r="B70" s="47">
        <f>'設定'!$I$17</f>
        <v/>
      </c>
      <c r="C70" s="83" t="n"/>
      <c r="D70" s="83" t="n"/>
      <c r="E70" s="83" t="inlineStr">
        <is>
          <t>×</t>
        </is>
      </c>
      <c r="F70" s="83" t="n"/>
      <c r="G70" s="83" t="inlineStr">
        <is>
          <t>×</t>
        </is>
      </c>
      <c r="H70" s="83" t="n"/>
      <c r="S70">
        <f>IF(7&lt;='設定'!$B$6,"表示","隠す")</f>
        <v/>
      </c>
    </row>
    <row r="71" ht="21" customHeight="1">
      <c r="A71" s="82" t="n"/>
      <c r="B71" s="47">
        <f>'設定'!$I$18</f>
        <v/>
      </c>
      <c r="C71" s="83" t="n"/>
      <c r="D71" s="83" t="n"/>
      <c r="E71" s="83" t="n"/>
      <c r="F71" s="83" t="n"/>
      <c r="G71" s="83" t="inlineStr">
        <is>
          <t>×</t>
        </is>
      </c>
      <c r="H71" s="83" t="n"/>
      <c r="S71">
        <f>IF(8&lt;='設定'!$B$6,"表示","隠す")</f>
        <v/>
      </c>
    </row>
    <row r="72" ht="21" customHeight="1">
      <c r="A72" s="82" t="n"/>
      <c r="B72" s="47">
        <f>'設定'!$I$19</f>
        <v/>
      </c>
      <c r="C72" s="83" t="n"/>
      <c r="D72" s="83" t="n"/>
      <c r="E72" s="83" t="n"/>
      <c r="F72" s="83" t="inlineStr">
        <is>
          <t>×</t>
        </is>
      </c>
      <c r="G72" s="83" t="inlineStr">
        <is>
          <t>×</t>
        </is>
      </c>
      <c r="H72" s="83" t="n"/>
      <c r="S72">
        <f>IF(9&lt;='設定'!$B$6,"表示","隠す")</f>
        <v/>
      </c>
    </row>
    <row r="73" hidden="1" ht="21" customHeight="1">
      <c r="A73" s="82" t="n"/>
      <c r="B73" s="47">
        <f>'設定'!$I$20</f>
        <v/>
      </c>
      <c r="C73" s="83" t="n"/>
      <c r="D73" s="83" t="n"/>
      <c r="E73" s="83" t="n"/>
      <c r="F73" s="83" t="n"/>
      <c r="G73" s="83" t="n"/>
      <c r="H73" s="83" t="n"/>
      <c r="S73">
        <f>IF(10&lt;='設定'!$B$6,"表示","隠す")</f>
        <v/>
      </c>
    </row>
    <row r="74" hidden="1" ht="21" customHeight="1">
      <c r="A74" s="82" t="n"/>
      <c r="B74" s="47">
        <f>'設定'!$I$21</f>
        <v/>
      </c>
      <c r="C74" s="83" t="n"/>
      <c r="D74" s="83" t="n"/>
      <c r="E74" s="83" t="n"/>
      <c r="F74" s="83" t="n"/>
      <c r="G74" s="83" t="n"/>
      <c r="H74" s="83" t="n"/>
      <c r="S74">
        <f>IF(11&lt;='設定'!$B$6,"表示","隠す")</f>
        <v/>
      </c>
    </row>
    <row r="75" hidden="1" ht="21" customHeight="1">
      <c r="A75" s="82" t="n"/>
      <c r="B75" s="47">
        <f>'設定'!$I$22</f>
        <v/>
      </c>
      <c r="C75" s="83" t="n"/>
      <c r="D75" s="83" t="n"/>
      <c r="E75" s="83" t="n"/>
      <c r="F75" s="83" t="n"/>
      <c r="G75" s="83" t="n"/>
      <c r="H75" s="83" t="n"/>
      <c r="S75">
        <f>IF(12&lt;='設定'!$B$6,"表示","隠す")</f>
        <v/>
      </c>
    </row>
    <row r="76" hidden="1" ht="21" customHeight="1">
      <c r="A76" s="82" t="n"/>
      <c r="B76" s="47">
        <f>'設定'!$I$23</f>
        <v/>
      </c>
      <c r="C76" s="83" t="n"/>
      <c r="D76" s="83" t="n"/>
      <c r="E76" s="83" t="n"/>
      <c r="F76" s="83" t="n"/>
      <c r="G76" s="83" t="n"/>
      <c r="H76" s="83" t="n"/>
      <c r="S76">
        <f>IF(13&lt;='設定'!$B$6,"表示","隠す")</f>
        <v/>
      </c>
    </row>
    <row r="77" hidden="1" ht="21" customHeight="1">
      <c r="A77" s="82" t="n"/>
      <c r="B77" s="47">
        <f>'設定'!$I$24</f>
        <v/>
      </c>
      <c r="C77" s="83" t="n"/>
      <c r="D77" s="83" t="n"/>
      <c r="E77" s="83" t="n"/>
      <c r="F77" s="83" t="n"/>
      <c r="G77" s="83" t="n"/>
      <c r="H77" s="83" t="n"/>
      <c r="S77">
        <f>IF(14&lt;='設定'!$B$6,"表示","隠す")</f>
        <v/>
      </c>
    </row>
    <row r="78" hidden="1" ht="21" customHeight="1">
      <c r="A78" s="82" t="n"/>
      <c r="B78" s="47">
        <f>'設定'!$I$25</f>
        <v/>
      </c>
      <c r="C78" s="83" t="n"/>
      <c r="D78" s="83" t="n"/>
      <c r="E78" s="83" t="n"/>
      <c r="F78" s="83" t="n"/>
      <c r="G78" s="83" t="n"/>
      <c r="H78" s="83" t="n"/>
      <c r="S78">
        <f>IF(15&lt;='設定'!$B$6,"表示","隠す")</f>
        <v/>
      </c>
    </row>
    <row r="79" hidden="1" ht="21" customHeight="1">
      <c r="A79" s="82" t="n"/>
      <c r="B79" s="47">
        <f>'設定'!$I$26</f>
        <v/>
      </c>
      <c r="C79" s="83" t="n"/>
      <c r="D79" s="83" t="n"/>
      <c r="E79" s="83" t="n"/>
      <c r="F79" s="83" t="n"/>
      <c r="G79" s="83" t="n"/>
      <c r="H79" s="83" t="n"/>
      <c r="S79">
        <f>IF(16&lt;='設定'!$B$6,"表示","隠す")</f>
        <v/>
      </c>
    </row>
    <row r="80" hidden="1" ht="21" customHeight="1">
      <c r="A80" s="82" t="n"/>
      <c r="B80" s="47">
        <f>'設定'!$I$27</f>
        <v/>
      </c>
      <c r="C80" s="83" t="n"/>
      <c r="D80" s="83" t="n"/>
      <c r="E80" s="83" t="n"/>
      <c r="F80" s="83" t="n"/>
      <c r="G80" s="83" t="n"/>
      <c r="H80" s="83" t="n"/>
      <c r="S80">
        <f>IF(17&lt;='設定'!$B$6,"表示","隠す")</f>
        <v/>
      </c>
    </row>
    <row r="81" hidden="1" ht="21" customHeight="1">
      <c r="A81" s="82" t="n"/>
      <c r="B81" s="47">
        <f>'設定'!$I$28</f>
        <v/>
      </c>
      <c r="C81" s="83" t="n"/>
      <c r="D81" s="83" t="n"/>
      <c r="E81" s="83" t="n"/>
      <c r="F81" s="83" t="n"/>
      <c r="G81" s="83" t="n"/>
      <c r="H81" s="83" t="n"/>
      <c r="S81">
        <f>IF(18&lt;='設定'!$B$6,"表示","隠す")</f>
        <v/>
      </c>
    </row>
    <row r="82" hidden="1" ht="21" customHeight="1">
      <c r="A82" s="82" t="n"/>
      <c r="B82" s="47">
        <f>'設定'!$I$29</f>
        <v/>
      </c>
      <c r="C82" s="83" t="n"/>
      <c r="D82" s="83" t="n"/>
      <c r="E82" s="83" t="n"/>
      <c r="F82" s="83" t="n"/>
      <c r="G82" s="83" t="n"/>
      <c r="H82" s="83" t="n"/>
      <c r="S82">
        <f>IF(19&lt;='設定'!$B$6,"表示","隠す")</f>
        <v/>
      </c>
    </row>
    <row r="83" hidden="1" ht="21" customHeight="1">
      <c r="A83" s="82" t="n"/>
      <c r="B83" s="47">
        <f>'設定'!$I$30</f>
        <v/>
      </c>
      <c r="C83" s="83" t="n"/>
      <c r="D83" s="83" t="n"/>
      <c r="E83" s="83" t="n"/>
      <c r="F83" s="83" t="n"/>
      <c r="G83" s="83" t="n"/>
      <c r="H83" s="83" t="n"/>
      <c r="S83">
        <f>IF(20&lt;='設定'!$B$6,"表示","隠す")</f>
        <v/>
      </c>
    </row>
    <row r="84" hidden="1" ht="21" customHeight="1">
      <c r="A84" s="82" t="n"/>
      <c r="B84" s="47">
        <f>'設定'!$I$31</f>
        <v/>
      </c>
      <c r="C84" s="83" t="n"/>
      <c r="D84" s="83" t="n"/>
      <c r="E84" s="83" t="n"/>
      <c r="F84" s="83" t="n"/>
      <c r="G84" s="83" t="n"/>
      <c r="H84" s="83" t="n"/>
      <c r="S84">
        <f>IF(21&lt;='設定'!$B$6,"表示","隠す")</f>
        <v/>
      </c>
    </row>
    <row r="85" hidden="1" ht="21" customHeight="1">
      <c r="A85" s="82" t="n"/>
      <c r="B85" s="47">
        <f>'設定'!$I$32</f>
        <v/>
      </c>
      <c r="C85" s="83" t="n"/>
      <c r="D85" s="83" t="n"/>
      <c r="E85" s="83" t="n"/>
      <c r="F85" s="83" t="n"/>
      <c r="G85" s="83" t="n"/>
      <c r="H85" s="83" t="n"/>
      <c r="S85">
        <f>IF(22&lt;='設定'!$B$6,"表示","隠す")</f>
        <v/>
      </c>
    </row>
    <row r="86" hidden="1" ht="21" customHeight="1">
      <c r="A86" s="82" t="n"/>
      <c r="B86" s="47">
        <f>'設定'!$I$33</f>
        <v/>
      </c>
      <c r="C86" s="83" t="n"/>
      <c r="D86" s="83" t="n"/>
      <c r="E86" s="83" t="n"/>
      <c r="F86" s="83" t="n"/>
      <c r="G86" s="83" t="n"/>
      <c r="H86" s="83" t="n"/>
      <c r="S86">
        <f>IF(23&lt;='設定'!$B$6,"表示","隠す")</f>
        <v/>
      </c>
    </row>
    <row r="87" hidden="1" ht="21" customHeight="1">
      <c r="A87" s="82" t="n"/>
      <c r="B87" s="47">
        <f>'設定'!$I$34</f>
        <v/>
      </c>
      <c r="C87" s="83" t="n"/>
      <c r="D87" s="83" t="n"/>
      <c r="E87" s="83" t="n"/>
      <c r="F87" s="83" t="n"/>
      <c r="G87" s="83" t="n"/>
      <c r="H87" s="83" t="n"/>
      <c r="S87">
        <f>IF(24&lt;='設定'!$B$6,"表示","隠す")</f>
        <v/>
      </c>
    </row>
    <row r="88">
      <c r="S88" t="inlineStr">
        <is>
          <t>表示</t>
        </is>
      </c>
    </row>
    <row r="89" ht="26" customHeight="1">
      <c r="B89" s="76">
        <f>IF('名簿'!B8="","（名簿 4行目：なし）",'名簿'!P8)</f>
        <v/>
      </c>
      <c r="C89" s="5" t="n"/>
      <c r="D89" s="5" t="n"/>
      <c r="E89" s="77" t="inlineStr">
        <is>
          <t>提出状況 ▶</t>
        </is>
      </c>
      <c r="F89" s="43" t="n"/>
      <c r="G89" s="34" t="n"/>
      <c r="H89" s="78" t="inlineStr">
        <is>
          <t>状況：</t>
        </is>
      </c>
      <c r="I89" s="79">
        <f>'名簿'!Q8</f>
        <v/>
      </c>
      <c r="J89" s="78" t="inlineStr">
        <is>
          <t>×の数：</t>
        </is>
      </c>
      <c r="K89" s="80">
        <f>'名簿'!R8</f>
        <v/>
      </c>
      <c r="L89" s="81">
        <f>HYPERLINK("#'×入力'!B117","次の人へ ▼")</f>
        <v/>
      </c>
      <c r="S89" t="inlineStr">
        <is>
          <t>表示</t>
        </is>
      </c>
    </row>
    <row r="90" ht="22" customHeight="1">
      <c r="A90" s="35" t="inlineStr">
        <is>
          <t>この日全部 ▶</t>
        </is>
      </c>
      <c r="C90" s="82" t="n"/>
      <c r="D90" s="82" t="n"/>
      <c r="E90" s="82" t="n"/>
      <c r="F90" s="82" t="n"/>
      <c r="G90" s="82" t="n"/>
      <c r="H90" s="82" t="n"/>
      <c r="S90" t="inlineStr">
        <is>
          <t>表示</t>
        </is>
      </c>
    </row>
    <row r="91" ht="28" customHeight="1">
      <c r="A91" s="38" t="inlineStr">
        <is>
          <t>この時間
全部 ▼</t>
        </is>
      </c>
      <c r="B91" s="39" t="inlineStr"/>
      <c r="C91" s="40">
        <f>'設定'!$E$11</f>
        <v/>
      </c>
      <c r="D91" s="40">
        <f>'設定'!$E$12</f>
        <v/>
      </c>
      <c r="E91" s="40">
        <f>'設定'!$E$13</f>
        <v/>
      </c>
      <c r="F91" s="40">
        <f>'設定'!$E$14</f>
        <v/>
      </c>
      <c r="G91" s="40">
        <f>'設定'!$E$15</f>
        <v/>
      </c>
      <c r="H91" s="40">
        <f>'設定'!$E$16</f>
        <v/>
      </c>
      <c r="S91" t="inlineStr">
        <is>
          <t>表示</t>
        </is>
      </c>
    </row>
    <row r="92" ht="21" customHeight="1">
      <c r="A92" s="82" t="n"/>
      <c r="B92" s="47">
        <f>'設定'!$I$11</f>
        <v/>
      </c>
      <c r="C92" s="83" t="inlineStr">
        <is>
          <t>×</t>
        </is>
      </c>
      <c r="D92" s="83" t="inlineStr">
        <is>
          <t>×</t>
        </is>
      </c>
      <c r="E92" s="83" t="inlineStr">
        <is>
          <t>×</t>
        </is>
      </c>
      <c r="F92" s="83" t="inlineStr">
        <is>
          <t>×</t>
        </is>
      </c>
      <c r="G92" s="83" t="inlineStr">
        <is>
          <t>×</t>
        </is>
      </c>
      <c r="H92" s="83" t="n"/>
      <c r="S92">
        <f>IF(1&lt;='設定'!$B$6,"表示","隠す")</f>
        <v/>
      </c>
    </row>
    <row r="93" ht="21" customHeight="1">
      <c r="A93" s="82" t="n"/>
      <c r="B93" s="47">
        <f>'設定'!$I$12</f>
        <v/>
      </c>
      <c r="C93" s="83" t="inlineStr">
        <is>
          <t>×</t>
        </is>
      </c>
      <c r="D93" s="83" t="inlineStr">
        <is>
          <t>×</t>
        </is>
      </c>
      <c r="E93" s="83" t="inlineStr">
        <is>
          <t>×</t>
        </is>
      </c>
      <c r="F93" s="83" t="inlineStr">
        <is>
          <t>×</t>
        </is>
      </c>
      <c r="G93" s="83" t="inlineStr">
        <is>
          <t>×</t>
        </is>
      </c>
      <c r="H93" s="83" t="n"/>
      <c r="S93">
        <f>IF(2&lt;='設定'!$B$6,"表示","隠す")</f>
        <v/>
      </c>
    </row>
    <row r="94" ht="21" customHeight="1">
      <c r="A94" s="82" t="n"/>
      <c r="B94" s="47">
        <f>'設定'!$I$13</f>
        <v/>
      </c>
      <c r="C94" s="83" t="inlineStr">
        <is>
          <t>×</t>
        </is>
      </c>
      <c r="D94" s="83" t="inlineStr">
        <is>
          <t>×</t>
        </is>
      </c>
      <c r="E94" s="83" t="inlineStr">
        <is>
          <t>×</t>
        </is>
      </c>
      <c r="F94" s="83" t="inlineStr">
        <is>
          <t>×</t>
        </is>
      </c>
      <c r="G94" s="83" t="inlineStr">
        <is>
          <t>×</t>
        </is>
      </c>
      <c r="H94" s="83" t="n"/>
      <c r="S94">
        <f>IF(3&lt;='設定'!$B$6,"表示","隠す")</f>
        <v/>
      </c>
    </row>
    <row r="95" ht="21" customHeight="1">
      <c r="A95" s="82" t="n"/>
      <c r="B95" s="47">
        <f>'設定'!$I$14</f>
        <v/>
      </c>
      <c r="C95" s="83" t="inlineStr">
        <is>
          <t>×</t>
        </is>
      </c>
      <c r="D95" s="83" t="inlineStr">
        <is>
          <t>×</t>
        </is>
      </c>
      <c r="E95" s="83" t="inlineStr">
        <is>
          <t>×</t>
        </is>
      </c>
      <c r="F95" s="83" t="inlineStr">
        <is>
          <t>×</t>
        </is>
      </c>
      <c r="G95" s="83" t="inlineStr">
        <is>
          <t>×</t>
        </is>
      </c>
      <c r="H95" s="83" t="n"/>
      <c r="S95">
        <f>IF(4&lt;='設定'!$B$6,"表示","隠す")</f>
        <v/>
      </c>
    </row>
    <row r="96" ht="21" customHeight="1">
      <c r="A96" s="82" t="n"/>
      <c r="B96" s="47">
        <f>'設定'!$I$15</f>
        <v/>
      </c>
      <c r="C96" s="83" t="inlineStr">
        <is>
          <t>×</t>
        </is>
      </c>
      <c r="D96" s="83" t="inlineStr">
        <is>
          <t>×</t>
        </is>
      </c>
      <c r="E96" s="83" t="inlineStr">
        <is>
          <t>×</t>
        </is>
      </c>
      <c r="F96" s="83" t="inlineStr">
        <is>
          <t>×</t>
        </is>
      </c>
      <c r="G96" s="83" t="inlineStr">
        <is>
          <t>×</t>
        </is>
      </c>
      <c r="H96" s="83" t="n"/>
      <c r="S96">
        <f>IF(5&lt;='設定'!$B$6,"表示","隠す")</f>
        <v/>
      </c>
    </row>
    <row r="97" ht="21" customHeight="1">
      <c r="A97" s="82" t="n"/>
      <c r="B97" s="47">
        <f>'設定'!$I$16</f>
        <v/>
      </c>
      <c r="C97" s="83" t="n"/>
      <c r="D97" s="83" t="n"/>
      <c r="E97" s="83" t="n"/>
      <c r="F97" s="83" t="n"/>
      <c r="G97" s="83" t="n"/>
      <c r="H97" s="83" t="n"/>
      <c r="S97">
        <f>IF(6&lt;='設定'!$B$6,"表示","隠す")</f>
        <v/>
      </c>
    </row>
    <row r="98" ht="21" customHeight="1">
      <c r="A98" s="82" t="n"/>
      <c r="B98" s="47">
        <f>'設定'!$I$17</f>
        <v/>
      </c>
      <c r="C98" s="83" t="n"/>
      <c r="D98" s="83" t="n"/>
      <c r="E98" s="83" t="n"/>
      <c r="F98" s="83" t="inlineStr">
        <is>
          <t>×</t>
        </is>
      </c>
      <c r="G98" s="83" t="n"/>
      <c r="H98" s="83" t="n"/>
      <c r="S98">
        <f>IF(7&lt;='設定'!$B$6,"表示","隠す")</f>
        <v/>
      </c>
    </row>
    <row r="99" ht="21" customHeight="1">
      <c r="A99" s="82" t="n"/>
      <c r="B99" s="47">
        <f>'設定'!$I$18</f>
        <v/>
      </c>
      <c r="C99" s="83" t="inlineStr">
        <is>
          <t>×</t>
        </is>
      </c>
      <c r="D99" s="83" t="n"/>
      <c r="E99" s="83" t="n"/>
      <c r="F99" s="83" t="n"/>
      <c r="G99" s="83" t="n"/>
      <c r="H99" s="83" t="n"/>
      <c r="S99">
        <f>IF(8&lt;='設定'!$B$6,"表示","隠す")</f>
        <v/>
      </c>
    </row>
    <row r="100" ht="21" customHeight="1">
      <c r="A100" s="82" t="n"/>
      <c r="B100" s="47">
        <f>'設定'!$I$19</f>
        <v/>
      </c>
      <c r="C100" s="83" t="n"/>
      <c r="D100" s="83" t="n"/>
      <c r="E100" s="83" t="inlineStr">
        <is>
          <t>×</t>
        </is>
      </c>
      <c r="F100" s="83" t="inlineStr">
        <is>
          <t>×</t>
        </is>
      </c>
      <c r="G100" s="83" t="inlineStr">
        <is>
          <t>×</t>
        </is>
      </c>
      <c r="H100" s="83" t="n"/>
      <c r="S100">
        <f>IF(9&lt;='設定'!$B$6,"表示","隠す")</f>
        <v/>
      </c>
    </row>
    <row r="101" hidden="1" ht="21" customHeight="1">
      <c r="A101" s="82" t="n"/>
      <c r="B101" s="47">
        <f>'設定'!$I$20</f>
        <v/>
      </c>
      <c r="C101" s="83" t="n"/>
      <c r="D101" s="83" t="n"/>
      <c r="E101" s="83" t="n"/>
      <c r="F101" s="83" t="n"/>
      <c r="G101" s="83" t="n"/>
      <c r="H101" s="83" t="n"/>
      <c r="S101">
        <f>IF(10&lt;='設定'!$B$6,"表示","隠す")</f>
        <v/>
      </c>
    </row>
    <row r="102" hidden="1" ht="21" customHeight="1">
      <c r="A102" s="82" t="n"/>
      <c r="B102" s="47">
        <f>'設定'!$I$21</f>
        <v/>
      </c>
      <c r="C102" s="83" t="n"/>
      <c r="D102" s="83" t="n"/>
      <c r="E102" s="83" t="n"/>
      <c r="F102" s="83" t="n"/>
      <c r="G102" s="83" t="n"/>
      <c r="H102" s="83" t="n"/>
      <c r="S102">
        <f>IF(11&lt;='設定'!$B$6,"表示","隠す")</f>
        <v/>
      </c>
    </row>
    <row r="103" hidden="1" ht="21" customHeight="1">
      <c r="A103" s="82" t="n"/>
      <c r="B103" s="47">
        <f>'設定'!$I$22</f>
        <v/>
      </c>
      <c r="C103" s="83" t="n"/>
      <c r="D103" s="83" t="n"/>
      <c r="E103" s="83" t="n"/>
      <c r="F103" s="83" t="n"/>
      <c r="G103" s="83" t="n"/>
      <c r="H103" s="83" t="n"/>
      <c r="S103">
        <f>IF(12&lt;='設定'!$B$6,"表示","隠す")</f>
        <v/>
      </c>
    </row>
    <row r="104" hidden="1" ht="21" customHeight="1">
      <c r="A104" s="82" t="n"/>
      <c r="B104" s="47">
        <f>'設定'!$I$23</f>
        <v/>
      </c>
      <c r="C104" s="83" t="n"/>
      <c r="D104" s="83" t="n"/>
      <c r="E104" s="83" t="n"/>
      <c r="F104" s="83" t="n"/>
      <c r="G104" s="83" t="n"/>
      <c r="H104" s="83" t="n"/>
      <c r="S104">
        <f>IF(13&lt;='設定'!$B$6,"表示","隠す")</f>
        <v/>
      </c>
    </row>
    <row r="105" hidden="1" ht="21" customHeight="1">
      <c r="A105" s="82" t="n"/>
      <c r="B105" s="47">
        <f>'設定'!$I$24</f>
        <v/>
      </c>
      <c r="C105" s="83" t="n"/>
      <c r="D105" s="83" t="n"/>
      <c r="E105" s="83" t="n"/>
      <c r="F105" s="83" t="n"/>
      <c r="G105" s="83" t="n"/>
      <c r="H105" s="83" t="n"/>
      <c r="S105">
        <f>IF(14&lt;='設定'!$B$6,"表示","隠す")</f>
        <v/>
      </c>
    </row>
    <row r="106" hidden="1" ht="21" customHeight="1">
      <c r="A106" s="82" t="n"/>
      <c r="B106" s="47">
        <f>'設定'!$I$25</f>
        <v/>
      </c>
      <c r="C106" s="83" t="n"/>
      <c r="D106" s="83" t="n"/>
      <c r="E106" s="83" t="n"/>
      <c r="F106" s="83" t="n"/>
      <c r="G106" s="83" t="n"/>
      <c r="H106" s="83" t="n"/>
      <c r="S106">
        <f>IF(15&lt;='設定'!$B$6,"表示","隠す")</f>
        <v/>
      </c>
    </row>
    <row r="107" hidden="1" ht="21" customHeight="1">
      <c r="A107" s="82" t="n"/>
      <c r="B107" s="47">
        <f>'設定'!$I$26</f>
        <v/>
      </c>
      <c r="C107" s="83" t="n"/>
      <c r="D107" s="83" t="n"/>
      <c r="E107" s="83" t="n"/>
      <c r="F107" s="83" t="n"/>
      <c r="G107" s="83" t="n"/>
      <c r="H107" s="83" t="n"/>
      <c r="S107">
        <f>IF(16&lt;='設定'!$B$6,"表示","隠す")</f>
        <v/>
      </c>
    </row>
    <row r="108" hidden="1" ht="21" customHeight="1">
      <c r="A108" s="82" t="n"/>
      <c r="B108" s="47">
        <f>'設定'!$I$27</f>
        <v/>
      </c>
      <c r="C108" s="83" t="n"/>
      <c r="D108" s="83" t="n"/>
      <c r="E108" s="83" t="n"/>
      <c r="F108" s="83" t="n"/>
      <c r="G108" s="83" t="n"/>
      <c r="H108" s="83" t="n"/>
      <c r="S108">
        <f>IF(17&lt;='設定'!$B$6,"表示","隠す")</f>
        <v/>
      </c>
    </row>
    <row r="109" hidden="1" ht="21" customHeight="1">
      <c r="A109" s="82" t="n"/>
      <c r="B109" s="47">
        <f>'設定'!$I$28</f>
        <v/>
      </c>
      <c r="C109" s="83" t="n"/>
      <c r="D109" s="83" t="n"/>
      <c r="E109" s="83" t="n"/>
      <c r="F109" s="83" t="n"/>
      <c r="G109" s="83" t="n"/>
      <c r="H109" s="83" t="n"/>
      <c r="S109">
        <f>IF(18&lt;='設定'!$B$6,"表示","隠す")</f>
        <v/>
      </c>
    </row>
    <row r="110" hidden="1" ht="21" customHeight="1">
      <c r="A110" s="82" t="n"/>
      <c r="B110" s="47">
        <f>'設定'!$I$29</f>
        <v/>
      </c>
      <c r="C110" s="83" t="n"/>
      <c r="D110" s="83" t="n"/>
      <c r="E110" s="83" t="n"/>
      <c r="F110" s="83" t="n"/>
      <c r="G110" s="83" t="n"/>
      <c r="H110" s="83" t="n"/>
      <c r="S110">
        <f>IF(19&lt;='設定'!$B$6,"表示","隠す")</f>
        <v/>
      </c>
    </row>
    <row r="111" hidden="1" ht="21" customHeight="1">
      <c r="A111" s="82" t="n"/>
      <c r="B111" s="47">
        <f>'設定'!$I$30</f>
        <v/>
      </c>
      <c r="C111" s="83" t="n"/>
      <c r="D111" s="83" t="n"/>
      <c r="E111" s="83" t="n"/>
      <c r="F111" s="83" t="n"/>
      <c r="G111" s="83" t="n"/>
      <c r="H111" s="83" t="n"/>
      <c r="S111">
        <f>IF(20&lt;='設定'!$B$6,"表示","隠す")</f>
        <v/>
      </c>
    </row>
    <row r="112" hidden="1" ht="21" customHeight="1">
      <c r="A112" s="82" t="n"/>
      <c r="B112" s="47">
        <f>'設定'!$I$31</f>
        <v/>
      </c>
      <c r="C112" s="83" t="n"/>
      <c r="D112" s="83" t="n"/>
      <c r="E112" s="83" t="n"/>
      <c r="F112" s="83" t="n"/>
      <c r="G112" s="83" t="n"/>
      <c r="H112" s="83" t="n"/>
      <c r="S112">
        <f>IF(21&lt;='設定'!$B$6,"表示","隠す")</f>
        <v/>
      </c>
    </row>
    <row r="113" hidden="1" ht="21" customHeight="1">
      <c r="A113" s="82" t="n"/>
      <c r="B113" s="47">
        <f>'設定'!$I$32</f>
        <v/>
      </c>
      <c r="C113" s="83" t="n"/>
      <c r="D113" s="83" t="n"/>
      <c r="E113" s="83" t="n"/>
      <c r="F113" s="83" t="n"/>
      <c r="G113" s="83" t="n"/>
      <c r="H113" s="83" t="n"/>
      <c r="S113">
        <f>IF(22&lt;='設定'!$B$6,"表示","隠す")</f>
        <v/>
      </c>
    </row>
    <row r="114" hidden="1" ht="21" customHeight="1">
      <c r="A114" s="82" t="n"/>
      <c r="B114" s="47">
        <f>'設定'!$I$33</f>
        <v/>
      </c>
      <c r="C114" s="83" t="n"/>
      <c r="D114" s="83" t="n"/>
      <c r="E114" s="83" t="n"/>
      <c r="F114" s="83" t="n"/>
      <c r="G114" s="83" t="n"/>
      <c r="H114" s="83" t="n"/>
      <c r="S114">
        <f>IF(23&lt;='設定'!$B$6,"表示","隠す")</f>
        <v/>
      </c>
    </row>
    <row r="115" hidden="1" ht="21" customHeight="1">
      <c r="A115" s="82" t="n"/>
      <c r="B115" s="47">
        <f>'設定'!$I$34</f>
        <v/>
      </c>
      <c r="C115" s="83" t="n"/>
      <c r="D115" s="83" t="n"/>
      <c r="E115" s="83" t="n"/>
      <c r="F115" s="83" t="n"/>
      <c r="G115" s="83" t="n"/>
      <c r="H115" s="83" t="n"/>
      <c r="S115">
        <f>IF(24&lt;='設定'!$B$6,"表示","隠す")</f>
        <v/>
      </c>
    </row>
    <row r="116">
      <c r="S116" t="inlineStr">
        <is>
          <t>表示</t>
        </is>
      </c>
    </row>
    <row r="117" ht="26" customHeight="1">
      <c r="B117" s="76">
        <f>IF('名簿'!B9="","（名簿 5行目：なし）",'名簿'!P9)</f>
        <v/>
      </c>
      <c r="C117" s="5" t="n"/>
      <c r="D117" s="5" t="n"/>
      <c r="E117" s="77" t="inlineStr">
        <is>
          <t>提出状況 ▶</t>
        </is>
      </c>
      <c r="F117" s="43" t="n"/>
      <c r="G117" s="34" t="n"/>
      <c r="H117" s="78" t="inlineStr">
        <is>
          <t>状況：</t>
        </is>
      </c>
      <c r="I117" s="79">
        <f>'名簿'!Q9</f>
        <v/>
      </c>
      <c r="J117" s="78" t="inlineStr">
        <is>
          <t>×の数：</t>
        </is>
      </c>
      <c r="K117" s="80">
        <f>'名簿'!R9</f>
        <v/>
      </c>
      <c r="L117" s="81">
        <f>HYPERLINK("#'×入力'!B145","次の人へ ▼")</f>
        <v/>
      </c>
      <c r="S117" t="inlineStr">
        <is>
          <t>表示</t>
        </is>
      </c>
    </row>
    <row r="118" ht="22" customHeight="1">
      <c r="A118" s="35" t="inlineStr">
        <is>
          <t>この日全部 ▶</t>
        </is>
      </c>
      <c r="C118" s="82" t="n"/>
      <c r="D118" s="82" t="n"/>
      <c r="E118" s="82" t="n"/>
      <c r="F118" s="82" t="n"/>
      <c r="G118" s="82" t="n"/>
      <c r="H118" s="82" t="n"/>
      <c r="S118" t="inlineStr">
        <is>
          <t>表示</t>
        </is>
      </c>
    </row>
    <row r="119" ht="28" customHeight="1">
      <c r="A119" s="38" t="inlineStr">
        <is>
          <t>この時間
全部 ▼</t>
        </is>
      </c>
      <c r="B119" s="39" t="inlineStr"/>
      <c r="C119" s="40">
        <f>'設定'!$E$11</f>
        <v/>
      </c>
      <c r="D119" s="40">
        <f>'設定'!$E$12</f>
        <v/>
      </c>
      <c r="E119" s="40">
        <f>'設定'!$E$13</f>
        <v/>
      </c>
      <c r="F119" s="40">
        <f>'設定'!$E$14</f>
        <v/>
      </c>
      <c r="G119" s="40">
        <f>'設定'!$E$15</f>
        <v/>
      </c>
      <c r="H119" s="40">
        <f>'設定'!$E$16</f>
        <v/>
      </c>
      <c r="S119" t="inlineStr">
        <is>
          <t>表示</t>
        </is>
      </c>
    </row>
    <row r="120" ht="21" customHeight="1">
      <c r="A120" s="82" t="n"/>
      <c r="B120" s="47">
        <f>'設定'!$I$11</f>
        <v/>
      </c>
      <c r="C120" s="83" t="inlineStr">
        <is>
          <t>×</t>
        </is>
      </c>
      <c r="D120" s="83" t="inlineStr">
        <is>
          <t>×</t>
        </is>
      </c>
      <c r="E120" s="83" t="inlineStr">
        <is>
          <t>×</t>
        </is>
      </c>
      <c r="F120" s="83" t="inlineStr">
        <is>
          <t>×</t>
        </is>
      </c>
      <c r="G120" s="83" t="inlineStr">
        <is>
          <t>×</t>
        </is>
      </c>
      <c r="H120" s="83" t="n"/>
      <c r="S120">
        <f>IF(1&lt;='設定'!$B$6,"表示","隠す")</f>
        <v/>
      </c>
    </row>
    <row r="121" ht="21" customHeight="1">
      <c r="A121" s="82" t="n"/>
      <c r="B121" s="47">
        <f>'設定'!$I$12</f>
        <v/>
      </c>
      <c r="C121" s="83" t="inlineStr">
        <is>
          <t>×</t>
        </is>
      </c>
      <c r="D121" s="83" t="inlineStr">
        <is>
          <t>×</t>
        </is>
      </c>
      <c r="E121" s="83" t="inlineStr">
        <is>
          <t>×</t>
        </is>
      </c>
      <c r="F121" s="83" t="inlineStr">
        <is>
          <t>×</t>
        </is>
      </c>
      <c r="G121" s="83" t="inlineStr">
        <is>
          <t>×</t>
        </is>
      </c>
      <c r="H121" s="83" t="n"/>
      <c r="S121">
        <f>IF(2&lt;='設定'!$B$6,"表示","隠す")</f>
        <v/>
      </c>
    </row>
    <row r="122" ht="21" customHeight="1">
      <c r="A122" s="82" t="n"/>
      <c r="B122" s="47">
        <f>'設定'!$I$13</f>
        <v/>
      </c>
      <c r="C122" s="83" t="inlineStr">
        <is>
          <t>×</t>
        </is>
      </c>
      <c r="D122" s="83" t="inlineStr">
        <is>
          <t>×</t>
        </is>
      </c>
      <c r="E122" s="83" t="inlineStr">
        <is>
          <t>×</t>
        </is>
      </c>
      <c r="F122" s="83" t="inlineStr">
        <is>
          <t>×</t>
        </is>
      </c>
      <c r="G122" s="83" t="inlineStr">
        <is>
          <t>×</t>
        </is>
      </c>
      <c r="H122" s="83" t="n"/>
      <c r="S122">
        <f>IF(3&lt;='設定'!$B$6,"表示","隠す")</f>
        <v/>
      </c>
    </row>
    <row r="123" ht="21" customHeight="1">
      <c r="A123" s="82" t="n"/>
      <c r="B123" s="47">
        <f>'設定'!$I$14</f>
        <v/>
      </c>
      <c r="C123" s="83" t="inlineStr">
        <is>
          <t>×</t>
        </is>
      </c>
      <c r="D123" s="83" t="inlineStr">
        <is>
          <t>×</t>
        </is>
      </c>
      <c r="E123" s="83" t="inlineStr">
        <is>
          <t>×</t>
        </is>
      </c>
      <c r="F123" s="83" t="inlineStr">
        <is>
          <t>×</t>
        </is>
      </c>
      <c r="G123" s="83" t="inlineStr">
        <is>
          <t>×</t>
        </is>
      </c>
      <c r="H123" s="83" t="n"/>
      <c r="S123">
        <f>IF(4&lt;='設定'!$B$6,"表示","隠す")</f>
        <v/>
      </c>
    </row>
    <row r="124" ht="21" customHeight="1">
      <c r="A124" s="82" t="n"/>
      <c r="B124" s="47">
        <f>'設定'!$I$15</f>
        <v/>
      </c>
      <c r="C124" s="83" t="n"/>
      <c r="D124" s="83" t="n"/>
      <c r="E124" s="83" t="n"/>
      <c r="F124" s="83" t="n"/>
      <c r="G124" s="83" t="n"/>
      <c r="H124" s="83" t="n"/>
      <c r="S124">
        <f>IF(5&lt;='設定'!$B$6,"表示","隠す")</f>
        <v/>
      </c>
    </row>
    <row r="125" ht="21" customHeight="1">
      <c r="A125" s="82" t="n"/>
      <c r="B125" s="47">
        <f>'設定'!$I$16</f>
        <v/>
      </c>
      <c r="C125" s="83" t="n"/>
      <c r="D125" s="83" t="n"/>
      <c r="E125" s="83" t="n"/>
      <c r="F125" s="83" t="n"/>
      <c r="G125" s="83" t="n"/>
      <c r="H125" s="83" t="n"/>
      <c r="S125">
        <f>IF(6&lt;='設定'!$B$6,"表示","隠す")</f>
        <v/>
      </c>
    </row>
    <row r="126" ht="21" customHeight="1">
      <c r="A126" s="82" t="n"/>
      <c r="B126" s="47">
        <f>'設定'!$I$17</f>
        <v/>
      </c>
      <c r="C126" s="83" t="n"/>
      <c r="D126" s="83" t="n"/>
      <c r="E126" s="83" t="n"/>
      <c r="F126" s="83" t="inlineStr">
        <is>
          <t>×</t>
        </is>
      </c>
      <c r="G126" s="83" t="n"/>
      <c r="H126" s="83" t="n"/>
      <c r="S126">
        <f>IF(7&lt;='設定'!$B$6,"表示","隠す")</f>
        <v/>
      </c>
    </row>
    <row r="127" ht="21" customHeight="1">
      <c r="A127" s="82" t="n"/>
      <c r="B127" s="47">
        <f>'設定'!$I$18</f>
        <v/>
      </c>
      <c r="C127" s="83" t="n"/>
      <c r="D127" s="83" t="inlineStr">
        <is>
          <t>×</t>
        </is>
      </c>
      <c r="E127" s="83" t="inlineStr">
        <is>
          <t>×</t>
        </is>
      </c>
      <c r="F127" s="83" t="n"/>
      <c r="G127" s="83" t="inlineStr">
        <is>
          <t>×</t>
        </is>
      </c>
      <c r="H127" s="83" t="n"/>
      <c r="S127">
        <f>IF(8&lt;='設定'!$B$6,"表示","隠す")</f>
        <v/>
      </c>
    </row>
    <row r="128" ht="21" customHeight="1">
      <c r="A128" s="82" t="n"/>
      <c r="B128" s="47">
        <f>'設定'!$I$19</f>
        <v/>
      </c>
      <c r="C128" s="83" t="n"/>
      <c r="D128" s="83" t="n"/>
      <c r="E128" s="83" t="n"/>
      <c r="F128" s="83" t="inlineStr">
        <is>
          <t>×</t>
        </is>
      </c>
      <c r="G128" s="83" t="n"/>
      <c r="H128" s="83" t="n"/>
      <c r="S128">
        <f>IF(9&lt;='設定'!$B$6,"表示","隠す")</f>
        <v/>
      </c>
    </row>
    <row r="129" hidden="1" ht="21" customHeight="1">
      <c r="A129" s="82" t="n"/>
      <c r="B129" s="47">
        <f>'設定'!$I$20</f>
        <v/>
      </c>
      <c r="C129" s="83" t="n"/>
      <c r="D129" s="83" t="n"/>
      <c r="E129" s="83" t="n"/>
      <c r="F129" s="83" t="n"/>
      <c r="G129" s="83" t="n"/>
      <c r="H129" s="83" t="n"/>
      <c r="S129">
        <f>IF(10&lt;='設定'!$B$6,"表示","隠す")</f>
        <v/>
      </c>
    </row>
    <row r="130" hidden="1" ht="21" customHeight="1">
      <c r="A130" s="82" t="n"/>
      <c r="B130" s="47">
        <f>'設定'!$I$21</f>
        <v/>
      </c>
      <c r="C130" s="83" t="n"/>
      <c r="D130" s="83" t="n"/>
      <c r="E130" s="83" t="n"/>
      <c r="F130" s="83" t="n"/>
      <c r="G130" s="83" t="n"/>
      <c r="H130" s="83" t="n"/>
      <c r="S130">
        <f>IF(11&lt;='設定'!$B$6,"表示","隠す")</f>
        <v/>
      </c>
    </row>
    <row r="131" hidden="1" ht="21" customHeight="1">
      <c r="A131" s="82" t="n"/>
      <c r="B131" s="47">
        <f>'設定'!$I$22</f>
        <v/>
      </c>
      <c r="C131" s="83" t="n"/>
      <c r="D131" s="83" t="n"/>
      <c r="E131" s="83" t="n"/>
      <c r="F131" s="83" t="n"/>
      <c r="G131" s="83" t="n"/>
      <c r="H131" s="83" t="n"/>
      <c r="S131">
        <f>IF(12&lt;='設定'!$B$6,"表示","隠す")</f>
        <v/>
      </c>
    </row>
    <row r="132" hidden="1" ht="21" customHeight="1">
      <c r="A132" s="82" t="n"/>
      <c r="B132" s="47">
        <f>'設定'!$I$23</f>
        <v/>
      </c>
      <c r="C132" s="83" t="n"/>
      <c r="D132" s="83" t="n"/>
      <c r="E132" s="83" t="n"/>
      <c r="F132" s="83" t="n"/>
      <c r="G132" s="83" t="n"/>
      <c r="H132" s="83" t="n"/>
      <c r="S132">
        <f>IF(13&lt;='設定'!$B$6,"表示","隠す")</f>
        <v/>
      </c>
    </row>
    <row r="133" hidden="1" ht="21" customHeight="1">
      <c r="A133" s="82" t="n"/>
      <c r="B133" s="47">
        <f>'設定'!$I$24</f>
        <v/>
      </c>
      <c r="C133" s="83" t="n"/>
      <c r="D133" s="83" t="n"/>
      <c r="E133" s="83" t="n"/>
      <c r="F133" s="83" t="n"/>
      <c r="G133" s="83" t="n"/>
      <c r="H133" s="83" t="n"/>
      <c r="S133">
        <f>IF(14&lt;='設定'!$B$6,"表示","隠す")</f>
        <v/>
      </c>
    </row>
    <row r="134" hidden="1" ht="21" customHeight="1">
      <c r="A134" s="82" t="n"/>
      <c r="B134" s="47">
        <f>'設定'!$I$25</f>
        <v/>
      </c>
      <c r="C134" s="83" t="n"/>
      <c r="D134" s="83" t="n"/>
      <c r="E134" s="83" t="n"/>
      <c r="F134" s="83" t="n"/>
      <c r="G134" s="83" t="n"/>
      <c r="H134" s="83" t="n"/>
      <c r="S134">
        <f>IF(15&lt;='設定'!$B$6,"表示","隠す")</f>
        <v/>
      </c>
    </row>
    <row r="135" hidden="1" ht="21" customHeight="1">
      <c r="A135" s="82" t="n"/>
      <c r="B135" s="47">
        <f>'設定'!$I$26</f>
        <v/>
      </c>
      <c r="C135" s="83" t="n"/>
      <c r="D135" s="83" t="n"/>
      <c r="E135" s="83" t="n"/>
      <c r="F135" s="83" t="n"/>
      <c r="G135" s="83" t="n"/>
      <c r="H135" s="83" t="n"/>
      <c r="S135">
        <f>IF(16&lt;='設定'!$B$6,"表示","隠す")</f>
        <v/>
      </c>
    </row>
    <row r="136" hidden="1" ht="21" customHeight="1">
      <c r="A136" s="82" t="n"/>
      <c r="B136" s="47">
        <f>'設定'!$I$27</f>
        <v/>
      </c>
      <c r="C136" s="83" t="n"/>
      <c r="D136" s="83" t="n"/>
      <c r="E136" s="83" t="n"/>
      <c r="F136" s="83" t="n"/>
      <c r="G136" s="83" t="n"/>
      <c r="H136" s="83" t="n"/>
      <c r="S136">
        <f>IF(17&lt;='設定'!$B$6,"表示","隠す")</f>
        <v/>
      </c>
    </row>
    <row r="137" hidden="1" ht="21" customHeight="1">
      <c r="A137" s="82" t="n"/>
      <c r="B137" s="47">
        <f>'設定'!$I$28</f>
        <v/>
      </c>
      <c r="C137" s="83" t="n"/>
      <c r="D137" s="83" t="n"/>
      <c r="E137" s="83" t="n"/>
      <c r="F137" s="83" t="n"/>
      <c r="G137" s="83" t="n"/>
      <c r="H137" s="83" t="n"/>
      <c r="S137">
        <f>IF(18&lt;='設定'!$B$6,"表示","隠す")</f>
        <v/>
      </c>
    </row>
    <row r="138" hidden="1" ht="21" customHeight="1">
      <c r="A138" s="82" t="n"/>
      <c r="B138" s="47">
        <f>'設定'!$I$29</f>
        <v/>
      </c>
      <c r="C138" s="83" t="n"/>
      <c r="D138" s="83" t="n"/>
      <c r="E138" s="83" t="n"/>
      <c r="F138" s="83" t="n"/>
      <c r="G138" s="83" t="n"/>
      <c r="H138" s="83" t="n"/>
      <c r="S138">
        <f>IF(19&lt;='設定'!$B$6,"表示","隠す")</f>
        <v/>
      </c>
    </row>
    <row r="139" hidden="1" ht="21" customHeight="1">
      <c r="A139" s="82" t="n"/>
      <c r="B139" s="47">
        <f>'設定'!$I$30</f>
        <v/>
      </c>
      <c r="C139" s="83" t="n"/>
      <c r="D139" s="83" t="n"/>
      <c r="E139" s="83" t="n"/>
      <c r="F139" s="83" t="n"/>
      <c r="G139" s="83" t="n"/>
      <c r="H139" s="83" t="n"/>
      <c r="S139">
        <f>IF(20&lt;='設定'!$B$6,"表示","隠す")</f>
        <v/>
      </c>
    </row>
    <row r="140" hidden="1" ht="21" customHeight="1">
      <c r="A140" s="82" t="n"/>
      <c r="B140" s="47">
        <f>'設定'!$I$31</f>
        <v/>
      </c>
      <c r="C140" s="83" t="n"/>
      <c r="D140" s="83" t="n"/>
      <c r="E140" s="83" t="n"/>
      <c r="F140" s="83" t="n"/>
      <c r="G140" s="83" t="n"/>
      <c r="H140" s="83" t="n"/>
      <c r="S140">
        <f>IF(21&lt;='設定'!$B$6,"表示","隠す")</f>
        <v/>
      </c>
    </row>
    <row r="141" hidden="1" ht="21" customHeight="1">
      <c r="A141" s="82" t="n"/>
      <c r="B141" s="47">
        <f>'設定'!$I$32</f>
        <v/>
      </c>
      <c r="C141" s="83" t="n"/>
      <c r="D141" s="83" t="n"/>
      <c r="E141" s="83" t="n"/>
      <c r="F141" s="83" t="n"/>
      <c r="G141" s="83" t="n"/>
      <c r="H141" s="83" t="n"/>
      <c r="S141">
        <f>IF(22&lt;='設定'!$B$6,"表示","隠す")</f>
        <v/>
      </c>
    </row>
    <row r="142" hidden="1" ht="21" customHeight="1">
      <c r="A142" s="82" t="n"/>
      <c r="B142" s="47">
        <f>'設定'!$I$33</f>
        <v/>
      </c>
      <c r="C142" s="83" t="n"/>
      <c r="D142" s="83" t="n"/>
      <c r="E142" s="83" t="n"/>
      <c r="F142" s="83" t="n"/>
      <c r="G142" s="83" t="n"/>
      <c r="H142" s="83" t="n"/>
      <c r="S142">
        <f>IF(23&lt;='設定'!$B$6,"表示","隠す")</f>
        <v/>
      </c>
    </row>
    <row r="143" hidden="1" ht="21" customHeight="1">
      <c r="A143" s="82" t="n"/>
      <c r="B143" s="47">
        <f>'設定'!$I$34</f>
        <v/>
      </c>
      <c r="C143" s="83" t="n"/>
      <c r="D143" s="83" t="n"/>
      <c r="E143" s="83" t="n"/>
      <c r="F143" s="83" t="n"/>
      <c r="G143" s="83" t="n"/>
      <c r="H143" s="83" t="n"/>
      <c r="S143">
        <f>IF(24&lt;='設定'!$B$6,"表示","隠す")</f>
        <v/>
      </c>
    </row>
    <row r="144">
      <c r="S144" t="inlineStr">
        <is>
          <t>表示</t>
        </is>
      </c>
    </row>
    <row r="145" ht="26" customHeight="1">
      <c r="B145" s="76">
        <f>IF('名簿'!B10="","（名簿 6行目：なし）",'名簿'!P10)</f>
        <v/>
      </c>
      <c r="C145" s="5" t="n"/>
      <c r="D145" s="5" t="n"/>
      <c r="E145" s="77" t="inlineStr">
        <is>
          <t>提出状況 ▶</t>
        </is>
      </c>
      <c r="F145" s="43" t="n"/>
      <c r="G145" s="34" t="n"/>
      <c r="H145" s="78" t="inlineStr">
        <is>
          <t>状況：</t>
        </is>
      </c>
      <c r="I145" s="79">
        <f>'名簿'!Q10</f>
        <v/>
      </c>
      <c r="J145" s="78" t="inlineStr">
        <is>
          <t>×の数：</t>
        </is>
      </c>
      <c r="K145" s="80">
        <f>'名簿'!R10</f>
        <v/>
      </c>
      <c r="L145" s="81">
        <f>HYPERLINK("#'×入力'!B173","次の人へ ▼")</f>
        <v/>
      </c>
      <c r="S145" t="inlineStr">
        <is>
          <t>表示</t>
        </is>
      </c>
    </row>
    <row r="146" ht="22" customHeight="1">
      <c r="A146" s="35" t="inlineStr">
        <is>
          <t>この日全部 ▶</t>
        </is>
      </c>
      <c r="C146" s="82" t="n"/>
      <c r="D146" s="82" t="n"/>
      <c r="E146" s="82" t="n"/>
      <c r="F146" s="82" t="n"/>
      <c r="G146" s="82" t="n"/>
      <c r="H146" s="82" t="n"/>
      <c r="S146" t="inlineStr">
        <is>
          <t>表示</t>
        </is>
      </c>
    </row>
    <row r="147" ht="28" customHeight="1">
      <c r="A147" s="38" t="inlineStr">
        <is>
          <t>この時間
全部 ▼</t>
        </is>
      </c>
      <c r="B147" s="39" t="inlineStr"/>
      <c r="C147" s="40">
        <f>'設定'!$E$11</f>
        <v/>
      </c>
      <c r="D147" s="40">
        <f>'設定'!$E$12</f>
        <v/>
      </c>
      <c r="E147" s="40">
        <f>'設定'!$E$13</f>
        <v/>
      </c>
      <c r="F147" s="40">
        <f>'設定'!$E$14</f>
        <v/>
      </c>
      <c r="G147" s="40">
        <f>'設定'!$E$15</f>
        <v/>
      </c>
      <c r="H147" s="40">
        <f>'設定'!$E$16</f>
        <v/>
      </c>
      <c r="S147" t="inlineStr">
        <is>
          <t>表示</t>
        </is>
      </c>
    </row>
    <row r="148" ht="21" customHeight="1">
      <c r="A148" s="82" t="n"/>
      <c r="B148" s="47">
        <f>'設定'!$I$11</f>
        <v/>
      </c>
      <c r="C148" s="83" t="n"/>
      <c r="D148" s="83" t="n"/>
      <c r="E148" s="83" t="n"/>
      <c r="F148" s="83" t="n"/>
      <c r="G148" s="83" t="n"/>
      <c r="H148" s="83" t="n"/>
      <c r="S148">
        <f>IF(1&lt;='設定'!$B$6,"表示","隠す")</f>
        <v/>
      </c>
    </row>
    <row r="149" ht="21" customHeight="1">
      <c r="A149" s="82" t="n"/>
      <c r="B149" s="47">
        <f>'設定'!$I$12</f>
        <v/>
      </c>
      <c r="C149" s="83" t="n"/>
      <c r="D149" s="83" t="n"/>
      <c r="E149" s="83" t="n"/>
      <c r="F149" s="83" t="n"/>
      <c r="G149" s="83" t="n"/>
      <c r="H149" s="83" t="n"/>
      <c r="S149">
        <f>IF(2&lt;='設定'!$B$6,"表示","隠す")</f>
        <v/>
      </c>
    </row>
    <row r="150" ht="21" customHeight="1">
      <c r="A150" s="82" t="n"/>
      <c r="B150" s="47">
        <f>'設定'!$I$13</f>
        <v/>
      </c>
      <c r="C150" s="83" t="n"/>
      <c r="D150" s="83" t="n"/>
      <c r="E150" s="83" t="n"/>
      <c r="F150" s="83" t="inlineStr">
        <is>
          <t>×</t>
        </is>
      </c>
      <c r="G150" s="83" t="n"/>
      <c r="H150" s="83" t="n"/>
      <c r="S150">
        <f>IF(3&lt;='設定'!$B$6,"表示","隠す")</f>
        <v/>
      </c>
    </row>
    <row r="151" ht="21" customHeight="1">
      <c r="A151" s="82" t="n"/>
      <c r="B151" s="47">
        <f>'設定'!$I$14</f>
        <v/>
      </c>
      <c r="C151" s="83" t="n"/>
      <c r="D151" s="83" t="n"/>
      <c r="E151" s="83" t="n"/>
      <c r="F151" s="83" t="n"/>
      <c r="G151" s="83" t="n"/>
      <c r="H151" s="83" t="n"/>
      <c r="S151">
        <f>IF(4&lt;='設定'!$B$6,"表示","隠す")</f>
        <v/>
      </c>
    </row>
    <row r="152" ht="21" customHeight="1">
      <c r="A152" s="82" t="n"/>
      <c r="B152" s="47">
        <f>'設定'!$I$15</f>
        <v/>
      </c>
      <c r="C152" s="83" t="inlineStr">
        <is>
          <t>×</t>
        </is>
      </c>
      <c r="D152" s="83" t="inlineStr">
        <is>
          <t>×</t>
        </is>
      </c>
      <c r="E152" s="83" t="inlineStr">
        <is>
          <t>×</t>
        </is>
      </c>
      <c r="F152" s="83" t="inlineStr">
        <is>
          <t>×</t>
        </is>
      </c>
      <c r="G152" s="83" t="inlineStr">
        <is>
          <t>×</t>
        </is>
      </c>
      <c r="H152" s="83" t="n"/>
      <c r="S152">
        <f>IF(5&lt;='設定'!$B$6,"表示","隠す")</f>
        <v/>
      </c>
    </row>
    <row r="153" ht="21" customHeight="1">
      <c r="A153" s="82" t="n"/>
      <c r="B153" s="47">
        <f>'設定'!$I$16</f>
        <v/>
      </c>
      <c r="C153" s="83" t="inlineStr">
        <is>
          <t>×</t>
        </is>
      </c>
      <c r="D153" s="83" t="inlineStr">
        <is>
          <t>×</t>
        </is>
      </c>
      <c r="E153" s="83" t="inlineStr">
        <is>
          <t>×</t>
        </is>
      </c>
      <c r="F153" s="83" t="inlineStr">
        <is>
          <t>×</t>
        </is>
      </c>
      <c r="G153" s="83" t="inlineStr">
        <is>
          <t>×</t>
        </is>
      </c>
      <c r="H153" s="83" t="n"/>
      <c r="S153">
        <f>IF(6&lt;='設定'!$B$6,"表示","隠す")</f>
        <v/>
      </c>
    </row>
    <row r="154" ht="21" customHeight="1">
      <c r="A154" s="82" t="n"/>
      <c r="B154" s="47">
        <f>'設定'!$I$17</f>
        <v/>
      </c>
      <c r="C154" s="83" t="inlineStr">
        <is>
          <t>×</t>
        </is>
      </c>
      <c r="D154" s="83" t="inlineStr">
        <is>
          <t>×</t>
        </is>
      </c>
      <c r="E154" s="83" t="inlineStr">
        <is>
          <t>×</t>
        </is>
      </c>
      <c r="F154" s="83" t="inlineStr">
        <is>
          <t>×</t>
        </is>
      </c>
      <c r="G154" s="83" t="inlineStr">
        <is>
          <t>×</t>
        </is>
      </c>
      <c r="H154" s="83" t="n"/>
      <c r="S154">
        <f>IF(7&lt;='設定'!$B$6,"表示","隠す")</f>
        <v/>
      </c>
    </row>
    <row r="155" ht="21" customHeight="1">
      <c r="A155" s="82" t="n"/>
      <c r="B155" s="47">
        <f>'設定'!$I$18</f>
        <v/>
      </c>
      <c r="C155" s="83" t="inlineStr">
        <is>
          <t>×</t>
        </is>
      </c>
      <c r="D155" s="83" t="inlineStr">
        <is>
          <t>×</t>
        </is>
      </c>
      <c r="E155" s="83" t="inlineStr">
        <is>
          <t>×</t>
        </is>
      </c>
      <c r="F155" s="83" t="inlineStr">
        <is>
          <t>×</t>
        </is>
      </c>
      <c r="G155" s="83" t="inlineStr">
        <is>
          <t>×</t>
        </is>
      </c>
      <c r="H155" s="83" t="n"/>
      <c r="S155">
        <f>IF(8&lt;='設定'!$B$6,"表示","隠す")</f>
        <v/>
      </c>
    </row>
    <row r="156" ht="21" customHeight="1">
      <c r="A156" s="82" t="n"/>
      <c r="B156" s="47">
        <f>'設定'!$I$19</f>
        <v/>
      </c>
      <c r="C156" s="83" t="inlineStr">
        <is>
          <t>×</t>
        </is>
      </c>
      <c r="D156" s="83" t="inlineStr">
        <is>
          <t>×</t>
        </is>
      </c>
      <c r="E156" s="83" t="inlineStr">
        <is>
          <t>×</t>
        </is>
      </c>
      <c r="F156" s="83" t="inlineStr">
        <is>
          <t>×</t>
        </is>
      </c>
      <c r="G156" s="83" t="inlineStr">
        <is>
          <t>×</t>
        </is>
      </c>
      <c r="H156" s="83" t="n"/>
      <c r="S156">
        <f>IF(9&lt;='設定'!$B$6,"表示","隠す")</f>
        <v/>
      </c>
    </row>
    <row r="157" hidden="1" ht="21" customHeight="1">
      <c r="A157" s="82" t="n"/>
      <c r="B157" s="47">
        <f>'設定'!$I$20</f>
        <v/>
      </c>
      <c r="C157" s="83" t="n"/>
      <c r="D157" s="83" t="n"/>
      <c r="E157" s="83" t="n"/>
      <c r="F157" s="83" t="n"/>
      <c r="G157" s="83" t="n"/>
      <c r="H157" s="83" t="n"/>
      <c r="S157">
        <f>IF(10&lt;='設定'!$B$6,"表示","隠す")</f>
        <v/>
      </c>
    </row>
    <row r="158" hidden="1" ht="21" customHeight="1">
      <c r="A158" s="82" t="n"/>
      <c r="B158" s="47">
        <f>'設定'!$I$21</f>
        <v/>
      </c>
      <c r="C158" s="83" t="n"/>
      <c r="D158" s="83" t="n"/>
      <c r="E158" s="83" t="n"/>
      <c r="F158" s="83" t="n"/>
      <c r="G158" s="83" t="n"/>
      <c r="H158" s="83" t="n"/>
      <c r="S158">
        <f>IF(11&lt;='設定'!$B$6,"表示","隠す")</f>
        <v/>
      </c>
    </row>
    <row r="159" hidden="1" ht="21" customHeight="1">
      <c r="A159" s="82" t="n"/>
      <c r="B159" s="47">
        <f>'設定'!$I$22</f>
        <v/>
      </c>
      <c r="C159" s="83" t="n"/>
      <c r="D159" s="83" t="n"/>
      <c r="E159" s="83" t="n"/>
      <c r="F159" s="83" t="n"/>
      <c r="G159" s="83" t="n"/>
      <c r="H159" s="83" t="n"/>
      <c r="S159">
        <f>IF(12&lt;='設定'!$B$6,"表示","隠す")</f>
        <v/>
      </c>
    </row>
    <row r="160" hidden="1" ht="21" customHeight="1">
      <c r="A160" s="82" t="n"/>
      <c r="B160" s="47">
        <f>'設定'!$I$23</f>
        <v/>
      </c>
      <c r="C160" s="83" t="n"/>
      <c r="D160" s="83" t="n"/>
      <c r="E160" s="83" t="n"/>
      <c r="F160" s="83" t="n"/>
      <c r="G160" s="83" t="n"/>
      <c r="H160" s="83" t="n"/>
      <c r="S160">
        <f>IF(13&lt;='設定'!$B$6,"表示","隠す")</f>
        <v/>
      </c>
    </row>
    <row r="161" hidden="1" ht="21" customHeight="1">
      <c r="A161" s="82" t="n"/>
      <c r="B161" s="47">
        <f>'設定'!$I$24</f>
        <v/>
      </c>
      <c r="C161" s="83" t="n"/>
      <c r="D161" s="83" t="n"/>
      <c r="E161" s="83" t="n"/>
      <c r="F161" s="83" t="n"/>
      <c r="G161" s="83" t="n"/>
      <c r="H161" s="83" t="n"/>
      <c r="S161">
        <f>IF(14&lt;='設定'!$B$6,"表示","隠す")</f>
        <v/>
      </c>
    </row>
    <row r="162" hidden="1" ht="21" customHeight="1">
      <c r="A162" s="82" t="n"/>
      <c r="B162" s="47">
        <f>'設定'!$I$25</f>
        <v/>
      </c>
      <c r="C162" s="83" t="n"/>
      <c r="D162" s="83" t="n"/>
      <c r="E162" s="83" t="n"/>
      <c r="F162" s="83" t="n"/>
      <c r="G162" s="83" t="n"/>
      <c r="H162" s="83" t="n"/>
      <c r="S162">
        <f>IF(15&lt;='設定'!$B$6,"表示","隠す")</f>
        <v/>
      </c>
    </row>
    <row r="163" hidden="1" ht="21" customHeight="1">
      <c r="A163" s="82" t="n"/>
      <c r="B163" s="47">
        <f>'設定'!$I$26</f>
        <v/>
      </c>
      <c r="C163" s="83" t="n"/>
      <c r="D163" s="83" t="n"/>
      <c r="E163" s="83" t="n"/>
      <c r="F163" s="83" t="n"/>
      <c r="G163" s="83" t="n"/>
      <c r="H163" s="83" t="n"/>
      <c r="S163">
        <f>IF(16&lt;='設定'!$B$6,"表示","隠す")</f>
        <v/>
      </c>
    </row>
    <row r="164" hidden="1" ht="21" customHeight="1">
      <c r="A164" s="82" t="n"/>
      <c r="B164" s="47">
        <f>'設定'!$I$27</f>
        <v/>
      </c>
      <c r="C164" s="83" t="n"/>
      <c r="D164" s="83" t="n"/>
      <c r="E164" s="83" t="n"/>
      <c r="F164" s="83" t="n"/>
      <c r="G164" s="83" t="n"/>
      <c r="H164" s="83" t="n"/>
      <c r="S164">
        <f>IF(17&lt;='設定'!$B$6,"表示","隠す")</f>
        <v/>
      </c>
    </row>
    <row r="165" hidden="1" ht="21" customHeight="1">
      <c r="A165" s="82" t="n"/>
      <c r="B165" s="47">
        <f>'設定'!$I$28</f>
        <v/>
      </c>
      <c r="C165" s="83" t="n"/>
      <c r="D165" s="83" t="n"/>
      <c r="E165" s="83" t="n"/>
      <c r="F165" s="83" t="n"/>
      <c r="G165" s="83" t="n"/>
      <c r="H165" s="83" t="n"/>
      <c r="S165">
        <f>IF(18&lt;='設定'!$B$6,"表示","隠す")</f>
        <v/>
      </c>
    </row>
    <row r="166" hidden="1" ht="21" customHeight="1">
      <c r="A166" s="82" t="n"/>
      <c r="B166" s="47">
        <f>'設定'!$I$29</f>
        <v/>
      </c>
      <c r="C166" s="83" t="n"/>
      <c r="D166" s="83" t="n"/>
      <c r="E166" s="83" t="n"/>
      <c r="F166" s="83" t="n"/>
      <c r="G166" s="83" t="n"/>
      <c r="H166" s="83" t="n"/>
      <c r="S166">
        <f>IF(19&lt;='設定'!$B$6,"表示","隠す")</f>
        <v/>
      </c>
    </row>
    <row r="167" hidden="1" ht="21" customHeight="1">
      <c r="A167" s="82" t="n"/>
      <c r="B167" s="47">
        <f>'設定'!$I$30</f>
        <v/>
      </c>
      <c r="C167" s="83" t="n"/>
      <c r="D167" s="83" t="n"/>
      <c r="E167" s="83" t="n"/>
      <c r="F167" s="83" t="n"/>
      <c r="G167" s="83" t="n"/>
      <c r="H167" s="83" t="n"/>
      <c r="S167">
        <f>IF(20&lt;='設定'!$B$6,"表示","隠す")</f>
        <v/>
      </c>
    </row>
    <row r="168" hidden="1" ht="21" customHeight="1">
      <c r="A168" s="82" t="n"/>
      <c r="B168" s="47">
        <f>'設定'!$I$31</f>
        <v/>
      </c>
      <c r="C168" s="83" t="n"/>
      <c r="D168" s="83" t="n"/>
      <c r="E168" s="83" t="n"/>
      <c r="F168" s="83" t="n"/>
      <c r="G168" s="83" t="n"/>
      <c r="H168" s="83" t="n"/>
      <c r="S168">
        <f>IF(21&lt;='設定'!$B$6,"表示","隠す")</f>
        <v/>
      </c>
    </row>
    <row r="169" hidden="1" ht="21" customHeight="1">
      <c r="A169" s="82" t="n"/>
      <c r="B169" s="47">
        <f>'設定'!$I$32</f>
        <v/>
      </c>
      <c r="C169" s="83" t="n"/>
      <c r="D169" s="83" t="n"/>
      <c r="E169" s="83" t="n"/>
      <c r="F169" s="83" t="n"/>
      <c r="G169" s="83" t="n"/>
      <c r="H169" s="83" t="n"/>
      <c r="S169">
        <f>IF(22&lt;='設定'!$B$6,"表示","隠す")</f>
        <v/>
      </c>
    </row>
    <row r="170" hidden="1" ht="21" customHeight="1">
      <c r="A170" s="82" t="n"/>
      <c r="B170" s="47">
        <f>'設定'!$I$33</f>
        <v/>
      </c>
      <c r="C170" s="83" t="n"/>
      <c r="D170" s="83" t="n"/>
      <c r="E170" s="83" t="n"/>
      <c r="F170" s="83" t="n"/>
      <c r="G170" s="83" t="n"/>
      <c r="H170" s="83" t="n"/>
      <c r="S170">
        <f>IF(23&lt;='設定'!$B$6,"表示","隠す")</f>
        <v/>
      </c>
    </row>
    <row r="171" hidden="1" ht="21" customHeight="1">
      <c r="A171" s="82" t="n"/>
      <c r="B171" s="47">
        <f>'設定'!$I$34</f>
        <v/>
      </c>
      <c r="C171" s="83" t="n"/>
      <c r="D171" s="83" t="n"/>
      <c r="E171" s="83" t="n"/>
      <c r="F171" s="83" t="n"/>
      <c r="G171" s="83" t="n"/>
      <c r="H171" s="83" t="n"/>
      <c r="S171">
        <f>IF(24&lt;='設定'!$B$6,"表示","隠す")</f>
        <v/>
      </c>
    </row>
    <row r="172">
      <c r="S172" t="inlineStr">
        <is>
          <t>表示</t>
        </is>
      </c>
    </row>
    <row r="173" ht="26" customHeight="1">
      <c r="B173" s="76">
        <f>IF('名簿'!B11="","（名簿 7行目：なし）",'名簿'!P11)</f>
        <v/>
      </c>
      <c r="C173" s="5" t="n"/>
      <c r="D173" s="5" t="n"/>
      <c r="E173" s="77" t="inlineStr">
        <is>
          <t>提出状況 ▶</t>
        </is>
      </c>
      <c r="F173" s="43" t="n"/>
      <c r="G173" s="34" t="n"/>
      <c r="H173" s="78" t="inlineStr">
        <is>
          <t>状況：</t>
        </is>
      </c>
      <c r="I173" s="79">
        <f>'名簿'!Q11</f>
        <v/>
      </c>
      <c r="J173" s="78" t="inlineStr">
        <is>
          <t>×の数：</t>
        </is>
      </c>
      <c r="K173" s="80">
        <f>'名簿'!R11</f>
        <v/>
      </c>
      <c r="L173" s="81">
        <f>HYPERLINK("#'×入力'!B201","次の人へ ▼")</f>
        <v/>
      </c>
      <c r="S173" t="inlineStr">
        <is>
          <t>表示</t>
        </is>
      </c>
    </row>
    <row r="174" ht="22" customHeight="1">
      <c r="A174" s="35" t="inlineStr">
        <is>
          <t>この日全部 ▶</t>
        </is>
      </c>
      <c r="C174" s="82" t="n"/>
      <c r="D174" s="82" t="n"/>
      <c r="E174" s="82" t="n"/>
      <c r="F174" s="82" t="n"/>
      <c r="G174" s="82" t="n"/>
      <c r="H174" s="82" t="n"/>
      <c r="S174" t="inlineStr">
        <is>
          <t>表示</t>
        </is>
      </c>
    </row>
    <row r="175" ht="28" customHeight="1">
      <c r="A175" s="38" t="inlineStr">
        <is>
          <t>この時間
全部 ▼</t>
        </is>
      </c>
      <c r="B175" s="39" t="inlineStr"/>
      <c r="C175" s="40">
        <f>'設定'!$E$11</f>
        <v/>
      </c>
      <c r="D175" s="40">
        <f>'設定'!$E$12</f>
        <v/>
      </c>
      <c r="E175" s="40">
        <f>'設定'!$E$13</f>
        <v/>
      </c>
      <c r="F175" s="40">
        <f>'設定'!$E$14</f>
        <v/>
      </c>
      <c r="G175" s="40">
        <f>'設定'!$E$15</f>
        <v/>
      </c>
      <c r="H175" s="40">
        <f>'設定'!$E$16</f>
        <v/>
      </c>
      <c r="S175" t="inlineStr">
        <is>
          <t>表示</t>
        </is>
      </c>
    </row>
    <row r="176" ht="21" customHeight="1">
      <c r="A176" s="82" t="inlineStr">
        <is>
          <t>×</t>
        </is>
      </c>
      <c r="B176" s="47">
        <f>'設定'!$I$11</f>
        <v/>
      </c>
      <c r="C176" s="83" t="inlineStr">
        <is>
          <t>×</t>
        </is>
      </c>
      <c r="D176" s="83" t="inlineStr">
        <is>
          <t>×</t>
        </is>
      </c>
      <c r="E176" s="83" t="n"/>
      <c r="F176" s="83" t="inlineStr">
        <is>
          <t>×</t>
        </is>
      </c>
      <c r="G176" s="83" t="inlineStr">
        <is>
          <t>×</t>
        </is>
      </c>
      <c r="H176" s="83" t="n"/>
      <c r="S176">
        <f>IF(1&lt;='設定'!$B$6,"表示","隠す")</f>
        <v/>
      </c>
    </row>
    <row r="177" ht="21" customHeight="1">
      <c r="A177" s="82" t="inlineStr">
        <is>
          <t>×</t>
        </is>
      </c>
      <c r="B177" s="47">
        <f>'設定'!$I$12</f>
        <v/>
      </c>
      <c r="C177" s="83" t="n"/>
      <c r="D177" s="83" t="inlineStr">
        <is>
          <t>×</t>
        </is>
      </c>
      <c r="E177" s="83" t="n"/>
      <c r="F177" s="83" t="inlineStr">
        <is>
          <t>×</t>
        </is>
      </c>
      <c r="G177" s="83" t="inlineStr">
        <is>
          <t>×</t>
        </is>
      </c>
      <c r="H177" s="83" t="n"/>
      <c r="S177">
        <f>IF(2&lt;='設定'!$B$6,"表示","隠す")</f>
        <v/>
      </c>
    </row>
    <row r="178" ht="21" customHeight="1">
      <c r="A178" s="82" t="n"/>
      <c r="B178" s="47">
        <f>'設定'!$I$13</f>
        <v/>
      </c>
      <c r="C178" s="83" t="n"/>
      <c r="D178" s="83" t="inlineStr">
        <is>
          <t>×</t>
        </is>
      </c>
      <c r="E178" s="83" t="n"/>
      <c r="F178" s="83" t="inlineStr">
        <is>
          <t>×</t>
        </is>
      </c>
      <c r="G178" s="83" t="inlineStr">
        <is>
          <t>×</t>
        </is>
      </c>
      <c r="H178" s="83" t="n"/>
      <c r="S178">
        <f>IF(3&lt;='設定'!$B$6,"表示","隠す")</f>
        <v/>
      </c>
    </row>
    <row r="179" ht="21" customHeight="1">
      <c r="A179" s="82" t="n"/>
      <c r="B179" s="47">
        <f>'設定'!$I$14</f>
        <v/>
      </c>
      <c r="C179" s="83" t="inlineStr">
        <is>
          <t>×</t>
        </is>
      </c>
      <c r="D179" s="83" t="inlineStr">
        <is>
          <t>×</t>
        </is>
      </c>
      <c r="E179" s="83" t="n"/>
      <c r="F179" s="83" t="inlineStr">
        <is>
          <t>×</t>
        </is>
      </c>
      <c r="G179" s="83" t="inlineStr">
        <is>
          <t>×</t>
        </is>
      </c>
      <c r="H179" s="83" t="n"/>
      <c r="S179">
        <f>IF(4&lt;='設定'!$B$6,"表示","隠す")</f>
        <v/>
      </c>
    </row>
    <row r="180" ht="21" customHeight="1">
      <c r="A180" s="82" t="n"/>
      <c r="B180" s="47">
        <f>'設定'!$I$15</f>
        <v/>
      </c>
      <c r="C180" s="83" t="n"/>
      <c r="D180" s="83" t="inlineStr">
        <is>
          <t>×</t>
        </is>
      </c>
      <c r="E180" s="83" t="n"/>
      <c r="F180" s="83" t="inlineStr">
        <is>
          <t>×</t>
        </is>
      </c>
      <c r="G180" s="83" t="inlineStr">
        <is>
          <t>×</t>
        </is>
      </c>
      <c r="H180" s="83" t="n"/>
      <c r="S180">
        <f>IF(5&lt;='設定'!$B$6,"表示","隠す")</f>
        <v/>
      </c>
    </row>
    <row r="181" ht="21" customHeight="1">
      <c r="A181" s="82" t="n"/>
      <c r="B181" s="47">
        <f>'設定'!$I$16</f>
        <v/>
      </c>
      <c r="C181" s="83" t="n"/>
      <c r="D181" s="83" t="inlineStr">
        <is>
          <t>×</t>
        </is>
      </c>
      <c r="E181" s="83" t="n"/>
      <c r="F181" s="83" t="inlineStr">
        <is>
          <t>×</t>
        </is>
      </c>
      <c r="G181" s="83" t="inlineStr">
        <is>
          <t>×</t>
        </is>
      </c>
      <c r="H181" s="83" t="n"/>
      <c r="S181">
        <f>IF(6&lt;='設定'!$B$6,"表示","隠す")</f>
        <v/>
      </c>
    </row>
    <row r="182" ht="21" customHeight="1">
      <c r="A182" s="82" t="n"/>
      <c r="B182" s="47">
        <f>'設定'!$I$17</f>
        <v/>
      </c>
      <c r="C182" s="83" t="n"/>
      <c r="D182" s="83" t="inlineStr">
        <is>
          <t>×</t>
        </is>
      </c>
      <c r="E182" s="83" t="n"/>
      <c r="F182" s="83" t="inlineStr">
        <is>
          <t>×</t>
        </is>
      </c>
      <c r="G182" s="83" t="inlineStr">
        <is>
          <t>×</t>
        </is>
      </c>
      <c r="H182" s="83" t="n"/>
      <c r="S182">
        <f>IF(7&lt;='設定'!$B$6,"表示","隠す")</f>
        <v/>
      </c>
    </row>
    <row r="183" ht="21" customHeight="1">
      <c r="A183" s="82" t="n"/>
      <c r="B183" s="47">
        <f>'設定'!$I$18</f>
        <v/>
      </c>
      <c r="C183" s="83" t="n"/>
      <c r="D183" s="83" t="inlineStr">
        <is>
          <t>×</t>
        </is>
      </c>
      <c r="E183" s="83" t="n"/>
      <c r="F183" s="83" t="inlineStr">
        <is>
          <t>×</t>
        </is>
      </c>
      <c r="G183" s="83" t="inlineStr">
        <is>
          <t>×</t>
        </is>
      </c>
      <c r="H183" s="83" t="n"/>
      <c r="S183">
        <f>IF(8&lt;='設定'!$B$6,"表示","隠す")</f>
        <v/>
      </c>
    </row>
    <row r="184" ht="21" customHeight="1">
      <c r="A184" s="82" t="n"/>
      <c r="B184" s="47">
        <f>'設定'!$I$19</f>
        <v/>
      </c>
      <c r="C184" s="83" t="n"/>
      <c r="D184" s="83" t="inlineStr">
        <is>
          <t>×</t>
        </is>
      </c>
      <c r="E184" s="83" t="n"/>
      <c r="F184" s="83" t="inlineStr">
        <is>
          <t>×</t>
        </is>
      </c>
      <c r="G184" s="83" t="inlineStr">
        <is>
          <t>×</t>
        </is>
      </c>
      <c r="H184" s="83" t="n"/>
      <c r="S184">
        <f>IF(9&lt;='設定'!$B$6,"表示","隠す")</f>
        <v/>
      </c>
    </row>
    <row r="185" hidden="1" ht="21" customHeight="1">
      <c r="A185" s="82" t="n"/>
      <c r="B185" s="47">
        <f>'設定'!$I$20</f>
        <v/>
      </c>
      <c r="C185" s="83" t="n"/>
      <c r="D185" s="83" t="n"/>
      <c r="E185" s="83" t="n"/>
      <c r="F185" s="83" t="n"/>
      <c r="G185" s="83" t="n"/>
      <c r="H185" s="83" t="n"/>
      <c r="S185">
        <f>IF(10&lt;='設定'!$B$6,"表示","隠す")</f>
        <v/>
      </c>
    </row>
    <row r="186" hidden="1" ht="21" customHeight="1">
      <c r="A186" s="82" t="n"/>
      <c r="B186" s="47">
        <f>'設定'!$I$21</f>
        <v/>
      </c>
      <c r="C186" s="83" t="n"/>
      <c r="D186" s="83" t="n"/>
      <c r="E186" s="83" t="n"/>
      <c r="F186" s="83" t="n"/>
      <c r="G186" s="83" t="n"/>
      <c r="H186" s="83" t="n"/>
      <c r="S186">
        <f>IF(11&lt;='設定'!$B$6,"表示","隠す")</f>
        <v/>
      </c>
    </row>
    <row r="187" hidden="1" ht="21" customHeight="1">
      <c r="A187" s="82" t="n"/>
      <c r="B187" s="47">
        <f>'設定'!$I$22</f>
        <v/>
      </c>
      <c r="C187" s="83" t="n"/>
      <c r="D187" s="83" t="n"/>
      <c r="E187" s="83" t="n"/>
      <c r="F187" s="83" t="n"/>
      <c r="G187" s="83" t="n"/>
      <c r="H187" s="83" t="n"/>
      <c r="S187">
        <f>IF(12&lt;='設定'!$B$6,"表示","隠す")</f>
        <v/>
      </c>
    </row>
    <row r="188" hidden="1" ht="21" customHeight="1">
      <c r="A188" s="82" t="n"/>
      <c r="B188" s="47">
        <f>'設定'!$I$23</f>
        <v/>
      </c>
      <c r="C188" s="83" t="n"/>
      <c r="D188" s="83" t="n"/>
      <c r="E188" s="83" t="n"/>
      <c r="F188" s="83" t="n"/>
      <c r="G188" s="83" t="n"/>
      <c r="H188" s="83" t="n"/>
      <c r="S188">
        <f>IF(13&lt;='設定'!$B$6,"表示","隠す")</f>
        <v/>
      </c>
    </row>
    <row r="189" hidden="1" ht="21" customHeight="1">
      <c r="A189" s="82" t="n"/>
      <c r="B189" s="47">
        <f>'設定'!$I$24</f>
        <v/>
      </c>
      <c r="C189" s="83" t="n"/>
      <c r="D189" s="83" t="n"/>
      <c r="E189" s="83" t="n"/>
      <c r="F189" s="83" t="n"/>
      <c r="G189" s="83" t="n"/>
      <c r="H189" s="83" t="n"/>
      <c r="S189">
        <f>IF(14&lt;='設定'!$B$6,"表示","隠す")</f>
        <v/>
      </c>
    </row>
    <row r="190" hidden="1" ht="21" customHeight="1">
      <c r="A190" s="82" t="n"/>
      <c r="B190" s="47">
        <f>'設定'!$I$25</f>
        <v/>
      </c>
      <c r="C190" s="83" t="n"/>
      <c r="D190" s="83" t="n"/>
      <c r="E190" s="83" t="n"/>
      <c r="F190" s="83" t="n"/>
      <c r="G190" s="83" t="n"/>
      <c r="H190" s="83" t="n"/>
      <c r="S190">
        <f>IF(15&lt;='設定'!$B$6,"表示","隠す")</f>
        <v/>
      </c>
    </row>
    <row r="191" hidden="1" ht="21" customHeight="1">
      <c r="A191" s="82" t="n"/>
      <c r="B191" s="47">
        <f>'設定'!$I$26</f>
        <v/>
      </c>
      <c r="C191" s="83" t="n"/>
      <c r="D191" s="83" t="n"/>
      <c r="E191" s="83" t="n"/>
      <c r="F191" s="83" t="n"/>
      <c r="G191" s="83" t="n"/>
      <c r="H191" s="83" t="n"/>
      <c r="S191">
        <f>IF(16&lt;='設定'!$B$6,"表示","隠す")</f>
        <v/>
      </c>
    </row>
    <row r="192" hidden="1" ht="21" customHeight="1">
      <c r="A192" s="82" t="n"/>
      <c r="B192" s="47">
        <f>'設定'!$I$27</f>
        <v/>
      </c>
      <c r="C192" s="83" t="n"/>
      <c r="D192" s="83" t="n"/>
      <c r="E192" s="83" t="n"/>
      <c r="F192" s="83" t="n"/>
      <c r="G192" s="83" t="n"/>
      <c r="H192" s="83" t="n"/>
      <c r="S192">
        <f>IF(17&lt;='設定'!$B$6,"表示","隠す")</f>
        <v/>
      </c>
    </row>
    <row r="193" hidden="1" ht="21" customHeight="1">
      <c r="A193" s="82" t="n"/>
      <c r="B193" s="47">
        <f>'設定'!$I$28</f>
        <v/>
      </c>
      <c r="C193" s="83" t="n"/>
      <c r="D193" s="83" t="n"/>
      <c r="E193" s="83" t="n"/>
      <c r="F193" s="83" t="n"/>
      <c r="G193" s="83" t="n"/>
      <c r="H193" s="83" t="n"/>
      <c r="S193">
        <f>IF(18&lt;='設定'!$B$6,"表示","隠す")</f>
        <v/>
      </c>
    </row>
    <row r="194" hidden="1" ht="21" customHeight="1">
      <c r="A194" s="82" t="n"/>
      <c r="B194" s="47">
        <f>'設定'!$I$29</f>
        <v/>
      </c>
      <c r="C194" s="83" t="n"/>
      <c r="D194" s="83" t="n"/>
      <c r="E194" s="83" t="n"/>
      <c r="F194" s="83" t="n"/>
      <c r="G194" s="83" t="n"/>
      <c r="H194" s="83" t="n"/>
      <c r="S194">
        <f>IF(19&lt;='設定'!$B$6,"表示","隠す")</f>
        <v/>
      </c>
    </row>
    <row r="195" hidden="1" ht="21" customHeight="1">
      <c r="A195" s="82" t="n"/>
      <c r="B195" s="47">
        <f>'設定'!$I$30</f>
        <v/>
      </c>
      <c r="C195" s="83" t="n"/>
      <c r="D195" s="83" t="n"/>
      <c r="E195" s="83" t="n"/>
      <c r="F195" s="83" t="n"/>
      <c r="G195" s="83" t="n"/>
      <c r="H195" s="83" t="n"/>
      <c r="S195">
        <f>IF(20&lt;='設定'!$B$6,"表示","隠す")</f>
        <v/>
      </c>
    </row>
    <row r="196" hidden="1" ht="21" customHeight="1">
      <c r="A196" s="82" t="n"/>
      <c r="B196" s="47">
        <f>'設定'!$I$31</f>
        <v/>
      </c>
      <c r="C196" s="83" t="n"/>
      <c r="D196" s="83" t="n"/>
      <c r="E196" s="83" t="n"/>
      <c r="F196" s="83" t="n"/>
      <c r="G196" s="83" t="n"/>
      <c r="H196" s="83" t="n"/>
      <c r="S196">
        <f>IF(21&lt;='設定'!$B$6,"表示","隠す")</f>
        <v/>
      </c>
    </row>
    <row r="197" hidden="1" ht="21" customHeight="1">
      <c r="A197" s="82" t="n"/>
      <c r="B197" s="47">
        <f>'設定'!$I$32</f>
        <v/>
      </c>
      <c r="C197" s="83" t="n"/>
      <c r="D197" s="83" t="n"/>
      <c r="E197" s="83" t="n"/>
      <c r="F197" s="83" t="n"/>
      <c r="G197" s="83" t="n"/>
      <c r="H197" s="83" t="n"/>
      <c r="S197">
        <f>IF(22&lt;='設定'!$B$6,"表示","隠す")</f>
        <v/>
      </c>
    </row>
    <row r="198" hidden="1" ht="21" customHeight="1">
      <c r="A198" s="82" t="n"/>
      <c r="B198" s="47">
        <f>'設定'!$I$33</f>
        <v/>
      </c>
      <c r="C198" s="83" t="n"/>
      <c r="D198" s="83" t="n"/>
      <c r="E198" s="83" t="n"/>
      <c r="F198" s="83" t="n"/>
      <c r="G198" s="83" t="n"/>
      <c r="H198" s="83" t="n"/>
      <c r="S198">
        <f>IF(23&lt;='設定'!$B$6,"表示","隠す")</f>
        <v/>
      </c>
    </row>
    <row r="199" hidden="1" ht="21" customHeight="1">
      <c r="A199" s="82" t="n"/>
      <c r="B199" s="47">
        <f>'設定'!$I$34</f>
        <v/>
      </c>
      <c r="C199" s="83" t="n"/>
      <c r="D199" s="83" t="n"/>
      <c r="E199" s="83" t="n"/>
      <c r="F199" s="83" t="n"/>
      <c r="G199" s="83" t="n"/>
      <c r="H199" s="83" t="n"/>
      <c r="S199">
        <f>IF(24&lt;='設定'!$B$6,"表示","隠す")</f>
        <v/>
      </c>
    </row>
    <row r="200">
      <c r="S200" t="inlineStr">
        <is>
          <t>表示</t>
        </is>
      </c>
    </row>
    <row r="201" ht="26" customHeight="1">
      <c r="B201" s="76">
        <f>IF('名簿'!B12="","（名簿 8行目：なし）",'名簿'!P12)</f>
        <v/>
      </c>
      <c r="C201" s="5" t="n"/>
      <c r="D201" s="5" t="n"/>
      <c r="E201" s="77" t="inlineStr">
        <is>
          <t>提出状況 ▶</t>
        </is>
      </c>
      <c r="F201" s="43" t="n"/>
      <c r="G201" s="34" t="n"/>
      <c r="H201" s="78" t="inlineStr">
        <is>
          <t>状況：</t>
        </is>
      </c>
      <c r="I201" s="79">
        <f>'名簿'!Q12</f>
        <v/>
      </c>
      <c r="J201" s="78" t="inlineStr">
        <is>
          <t>×の数：</t>
        </is>
      </c>
      <c r="K201" s="80">
        <f>'名簿'!R12</f>
        <v/>
      </c>
      <c r="L201" s="81">
        <f>HYPERLINK("#'×入力'!B229","次の人へ ▼")</f>
        <v/>
      </c>
      <c r="S201" t="inlineStr">
        <is>
          <t>表示</t>
        </is>
      </c>
    </row>
    <row r="202" ht="22" customHeight="1">
      <c r="A202" s="35" t="inlineStr">
        <is>
          <t>この日全部 ▶</t>
        </is>
      </c>
      <c r="C202" s="82" t="n"/>
      <c r="D202" s="82" t="n"/>
      <c r="E202" s="82" t="n"/>
      <c r="F202" s="82" t="n"/>
      <c r="G202" s="82" t="n"/>
      <c r="H202" s="82" t="n"/>
      <c r="S202" t="inlineStr">
        <is>
          <t>表示</t>
        </is>
      </c>
    </row>
    <row r="203" ht="28" customHeight="1">
      <c r="A203" s="38" t="inlineStr">
        <is>
          <t>この時間
全部 ▼</t>
        </is>
      </c>
      <c r="B203" s="39" t="inlineStr"/>
      <c r="C203" s="40">
        <f>'設定'!$E$11</f>
        <v/>
      </c>
      <c r="D203" s="40">
        <f>'設定'!$E$12</f>
        <v/>
      </c>
      <c r="E203" s="40">
        <f>'設定'!$E$13</f>
        <v/>
      </c>
      <c r="F203" s="40">
        <f>'設定'!$E$14</f>
        <v/>
      </c>
      <c r="G203" s="40">
        <f>'設定'!$E$15</f>
        <v/>
      </c>
      <c r="H203" s="40">
        <f>'設定'!$E$16</f>
        <v/>
      </c>
      <c r="S203" t="inlineStr">
        <is>
          <t>表示</t>
        </is>
      </c>
    </row>
    <row r="204" ht="21" customHeight="1">
      <c r="A204" s="82" t="n"/>
      <c r="B204" s="47">
        <f>'設定'!$I$11</f>
        <v/>
      </c>
      <c r="C204" s="83" t="inlineStr">
        <is>
          <t>×</t>
        </is>
      </c>
      <c r="D204" s="83" t="inlineStr">
        <is>
          <t>×</t>
        </is>
      </c>
      <c r="E204" s="83" t="inlineStr">
        <is>
          <t>×</t>
        </is>
      </c>
      <c r="F204" s="83" t="inlineStr">
        <is>
          <t>×</t>
        </is>
      </c>
      <c r="G204" s="83" t="n"/>
      <c r="H204" s="83" t="n"/>
      <c r="S204">
        <f>IF(1&lt;='設定'!$B$6,"表示","隠す")</f>
        <v/>
      </c>
    </row>
    <row r="205" ht="21" customHeight="1">
      <c r="A205" s="82" t="n"/>
      <c r="B205" s="47">
        <f>'設定'!$I$12</f>
        <v/>
      </c>
      <c r="C205" s="83" t="inlineStr">
        <is>
          <t>×</t>
        </is>
      </c>
      <c r="D205" s="83" t="n"/>
      <c r="E205" s="83" t="inlineStr">
        <is>
          <t>×</t>
        </is>
      </c>
      <c r="F205" s="83" t="inlineStr">
        <is>
          <t>×</t>
        </is>
      </c>
      <c r="G205" s="83" t="n"/>
      <c r="H205" s="83" t="n"/>
      <c r="S205">
        <f>IF(2&lt;='設定'!$B$6,"表示","隠す")</f>
        <v/>
      </c>
    </row>
    <row r="206" ht="21" customHeight="1">
      <c r="A206" s="82" t="n"/>
      <c r="B206" s="47">
        <f>'設定'!$I$13</f>
        <v/>
      </c>
      <c r="C206" s="83" t="inlineStr">
        <is>
          <t>×</t>
        </is>
      </c>
      <c r="D206" s="83" t="n"/>
      <c r="E206" s="83" t="inlineStr">
        <is>
          <t>×</t>
        </is>
      </c>
      <c r="F206" s="83" t="inlineStr">
        <is>
          <t>×</t>
        </is>
      </c>
      <c r="G206" s="83" t="inlineStr">
        <is>
          <t>×</t>
        </is>
      </c>
      <c r="H206" s="83" t="n"/>
      <c r="S206">
        <f>IF(3&lt;='設定'!$B$6,"表示","隠す")</f>
        <v/>
      </c>
    </row>
    <row r="207" ht="21" customHeight="1">
      <c r="A207" s="82" t="n"/>
      <c r="B207" s="47">
        <f>'設定'!$I$14</f>
        <v/>
      </c>
      <c r="C207" s="83" t="inlineStr">
        <is>
          <t>×</t>
        </is>
      </c>
      <c r="D207" s="83" t="n"/>
      <c r="E207" s="83" t="inlineStr">
        <is>
          <t>×</t>
        </is>
      </c>
      <c r="F207" s="83" t="inlineStr">
        <is>
          <t>×</t>
        </is>
      </c>
      <c r="G207" s="83" t="n"/>
      <c r="H207" s="83" t="n"/>
      <c r="S207">
        <f>IF(4&lt;='設定'!$B$6,"表示","隠す")</f>
        <v/>
      </c>
    </row>
    <row r="208" ht="21" customHeight="1">
      <c r="A208" s="82" t="n"/>
      <c r="B208" s="47">
        <f>'設定'!$I$15</f>
        <v/>
      </c>
      <c r="C208" s="83" t="inlineStr">
        <is>
          <t>×</t>
        </is>
      </c>
      <c r="D208" s="83" t="n"/>
      <c r="E208" s="83" t="inlineStr">
        <is>
          <t>×</t>
        </is>
      </c>
      <c r="F208" s="83" t="inlineStr">
        <is>
          <t>×</t>
        </is>
      </c>
      <c r="G208" s="83" t="n"/>
      <c r="H208" s="83" t="n"/>
      <c r="S208">
        <f>IF(5&lt;='設定'!$B$6,"表示","隠す")</f>
        <v/>
      </c>
    </row>
    <row r="209" ht="21" customHeight="1">
      <c r="A209" s="82" t="n"/>
      <c r="B209" s="47">
        <f>'設定'!$I$16</f>
        <v/>
      </c>
      <c r="C209" s="83" t="inlineStr">
        <is>
          <t>×</t>
        </is>
      </c>
      <c r="D209" s="83" t="n"/>
      <c r="E209" s="83" t="inlineStr">
        <is>
          <t>×</t>
        </is>
      </c>
      <c r="F209" s="83" t="inlineStr">
        <is>
          <t>×</t>
        </is>
      </c>
      <c r="G209" s="83" t="n"/>
      <c r="H209" s="83" t="n"/>
      <c r="S209">
        <f>IF(6&lt;='設定'!$B$6,"表示","隠す")</f>
        <v/>
      </c>
    </row>
    <row r="210" ht="21" customHeight="1">
      <c r="A210" s="82" t="n"/>
      <c r="B210" s="47">
        <f>'設定'!$I$17</f>
        <v/>
      </c>
      <c r="C210" s="83" t="inlineStr">
        <is>
          <t>×</t>
        </is>
      </c>
      <c r="D210" s="83" t="n"/>
      <c r="E210" s="83" t="inlineStr">
        <is>
          <t>×</t>
        </is>
      </c>
      <c r="F210" s="83" t="inlineStr">
        <is>
          <t>×</t>
        </is>
      </c>
      <c r="G210" s="83" t="n"/>
      <c r="H210" s="83" t="n"/>
      <c r="S210">
        <f>IF(7&lt;='設定'!$B$6,"表示","隠す")</f>
        <v/>
      </c>
    </row>
    <row r="211" ht="21" customHeight="1">
      <c r="A211" s="82" t="n"/>
      <c r="B211" s="47">
        <f>'設定'!$I$18</f>
        <v/>
      </c>
      <c r="C211" s="83" t="inlineStr">
        <is>
          <t>×</t>
        </is>
      </c>
      <c r="D211" s="83" t="inlineStr">
        <is>
          <t>×</t>
        </is>
      </c>
      <c r="E211" s="83" t="inlineStr">
        <is>
          <t>×</t>
        </is>
      </c>
      <c r="F211" s="83" t="inlineStr">
        <is>
          <t>×</t>
        </is>
      </c>
      <c r="G211" s="83" t="n"/>
      <c r="H211" s="83" t="n"/>
      <c r="S211">
        <f>IF(8&lt;='設定'!$B$6,"表示","隠す")</f>
        <v/>
      </c>
    </row>
    <row r="212" ht="21" customHeight="1">
      <c r="A212" s="82" t="n"/>
      <c r="B212" s="47">
        <f>'設定'!$I$19</f>
        <v/>
      </c>
      <c r="C212" s="83" t="inlineStr">
        <is>
          <t>×</t>
        </is>
      </c>
      <c r="D212" s="83" t="inlineStr">
        <is>
          <t>×</t>
        </is>
      </c>
      <c r="E212" s="83" t="inlineStr">
        <is>
          <t>×</t>
        </is>
      </c>
      <c r="F212" s="83" t="inlineStr">
        <is>
          <t>×</t>
        </is>
      </c>
      <c r="G212" s="83" t="inlineStr">
        <is>
          <t>×</t>
        </is>
      </c>
      <c r="H212" s="83" t="n"/>
      <c r="S212">
        <f>IF(9&lt;='設定'!$B$6,"表示","隠す")</f>
        <v/>
      </c>
    </row>
    <row r="213" hidden="1" ht="21" customHeight="1">
      <c r="A213" s="82" t="n"/>
      <c r="B213" s="47">
        <f>'設定'!$I$20</f>
        <v/>
      </c>
      <c r="C213" s="83" t="n"/>
      <c r="D213" s="83" t="n"/>
      <c r="E213" s="83" t="n"/>
      <c r="F213" s="83" t="n"/>
      <c r="G213" s="83" t="n"/>
      <c r="H213" s="83" t="n"/>
      <c r="S213">
        <f>IF(10&lt;='設定'!$B$6,"表示","隠す")</f>
        <v/>
      </c>
    </row>
    <row r="214" hidden="1" ht="21" customHeight="1">
      <c r="A214" s="82" t="n"/>
      <c r="B214" s="47">
        <f>'設定'!$I$21</f>
        <v/>
      </c>
      <c r="C214" s="83" t="n"/>
      <c r="D214" s="83" t="n"/>
      <c r="E214" s="83" t="n"/>
      <c r="F214" s="83" t="n"/>
      <c r="G214" s="83" t="n"/>
      <c r="H214" s="83" t="n"/>
      <c r="S214">
        <f>IF(11&lt;='設定'!$B$6,"表示","隠す")</f>
        <v/>
      </c>
    </row>
    <row r="215" hidden="1" ht="21" customHeight="1">
      <c r="A215" s="82" t="n"/>
      <c r="B215" s="47">
        <f>'設定'!$I$22</f>
        <v/>
      </c>
      <c r="C215" s="83" t="n"/>
      <c r="D215" s="83" t="n"/>
      <c r="E215" s="83" t="n"/>
      <c r="F215" s="83" t="n"/>
      <c r="G215" s="83" t="n"/>
      <c r="H215" s="83" t="n"/>
      <c r="S215">
        <f>IF(12&lt;='設定'!$B$6,"表示","隠す")</f>
        <v/>
      </c>
    </row>
    <row r="216" hidden="1" ht="21" customHeight="1">
      <c r="A216" s="82" t="n"/>
      <c r="B216" s="47">
        <f>'設定'!$I$23</f>
        <v/>
      </c>
      <c r="C216" s="83" t="n"/>
      <c r="D216" s="83" t="n"/>
      <c r="E216" s="83" t="n"/>
      <c r="F216" s="83" t="n"/>
      <c r="G216" s="83" t="n"/>
      <c r="H216" s="83" t="n"/>
      <c r="S216">
        <f>IF(13&lt;='設定'!$B$6,"表示","隠す")</f>
        <v/>
      </c>
    </row>
    <row r="217" hidden="1" ht="21" customHeight="1">
      <c r="A217" s="82" t="n"/>
      <c r="B217" s="47">
        <f>'設定'!$I$24</f>
        <v/>
      </c>
      <c r="C217" s="83" t="n"/>
      <c r="D217" s="83" t="n"/>
      <c r="E217" s="83" t="n"/>
      <c r="F217" s="83" t="n"/>
      <c r="G217" s="83" t="n"/>
      <c r="H217" s="83" t="n"/>
      <c r="S217">
        <f>IF(14&lt;='設定'!$B$6,"表示","隠す")</f>
        <v/>
      </c>
    </row>
    <row r="218" hidden="1" ht="21" customHeight="1">
      <c r="A218" s="82" t="n"/>
      <c r="B218" s="47">
        <f>'設定'!$I$25</f>
        <v/>
      </c>
      <c r="C218" s="83" t="n"/>
      <c r="D218" s="83" t="n"/>
      <c r="E218" s="83" t="n"/>
      <c r="F218" s="83" t="n"/>
      <c r="G218" s="83" t="n"/>
      <c r="H218" s="83" t="n"/>
      <c r="S218">
        <f>IF(15&lt;='設定'!$B$6,"表示","隠す")</f>
        <v/>
      </c>
    </row>
    <row r="219" hidden="1" ht="21" customHeight="1">
      <c r="A219" s="82" t="n"/>
      <c r="B219" s="47">
        <f>'設定'!$I$26</f>
        <v/>
      </c>
      <c r="C219" s="83" t="n"/>
      <c r="D219" s="83" t="n"/>
      <c r="E219" s="83" t="n"/>
      <c r="F219" s="83" t="n"/>
      <c r="G219" s="83" t="n"/>
      <c r="H219" s="83" t="n"/>
      <c r="S219">
        <f>IF(16&lt;='設定'!$B$6,"表示","隠す")</f>
        <v/>
      </c>
    </row>
    <row r="220" hidden="1" ht="21" customHeight="1">
      <c r="A220" s="82" t="n"/>
      <c r="B220" s="47">
        <f>'設定'!$I$27</f>
        <v/>
      </c>
      <c r="C220" s="83" t="n"/>
      <c r="D220" s="83" t="n"/>
      <c r="E220" s="83" t="n"/>
      <c r="F220" s="83" t="n"/>
      <c r="G220" s="83" t="n"/>
      <c r="H220" s="83" t="n"/>
      <c r="S220">
        <f>IF(17&lt;='設定'!$B$6,"表示","隠す")</f>
        <v/>
      </c>
    </row>
    <row r="221" hidden="1" ht="21" customHeight="1">
      <c r="A221" s="82" t="n"/>
      <c r="B221" s="47">
        <f>'設定'!$I$28</f>
        <v/>
      </c>
      <c r="C221" s="83" t="n"/>
      <c r="D221" s="83" t="n"/>
      <c r="E221" s="83" t="n"/>
      <c r="F221" s="83" t="n"/>
      <c r="G221" s="83" t="n"/>
      <c r="H221" s="83" t="n"/>
      <c r="S221">
        <f>IF(18&lt;='設定'!$B$6,"表示","隠す")</f>
        <v/>
      </c>
    </row>
    <row r="222" hidden="1" ht="21" customHeight="1">
      <c r="A222" s="82" t="n"/>
      <c r="B222" s="47">
        <f>'設定'!$I$29</f>
        <v/>
      </c>
      <c r="C222" s="83" t="n"/>
      <c r="D222" s="83" t="n"/>
      <c r="E222" s="83" t="n"/>
      <c r="F222" s="83" t="n"/>
      <c r="G222" s="83" t="n"/>
      <c r="H222" s="83" t="n"/>
      <c r="S222">
        <f>IF(19&lt;='設定'!$B$6,"表示","隠す")</f>
        <v/>
      </c>
    </row>
    <row r="223" hidden="1" ht="21" customHeight="1">
      <c r="A223" s="82" t="n"/>
      <c r="B223" s="47">
        <f>'設定'!$I$30</f>
        <v/>
      </c>
      <c r="C223" s="83" t="n"/>
      <c r="D223" s="83" t="n"/>
      <c r="E223" s="83" t="n"/>
      <c r="F223" s="83" t="n"/>
      <c r="G223" s="83" t="n"/>
      <c r="H223" s="83" t="n"/>
      <c r="S223">
        <f>IF(20&lt;='設定'!$B$6,"表示","隠す")</f>
        <v/>
      </c>
    </row>
    <row r="224" hidden="1" ht="21" customHeight="1">
      <c r="A224" s="82" t="n"/>
      <c r="B224" s="47">
        <f>'設定'!$I$31</f>
        <v/>
      </c>
      <c r="C224" s="83" t="n"/>
      <c r="D224" s="83" t="n"/>
      <c r="E224" s="83" t="n"/>
      <c r="F224" s="83" t="n"/>
      <c r="G224" s="83" t="n"/>
      <c r="H224" s="83" t="n"/>
      <c r="S224">
        <f>IF(21&lt;='設定'!$B$6,"表示","隠す")</f>
        <v/>
      </c>
    </row>
    <row r="225" hidden="1" ht="21" customHeight="1">
      <c r="A225" s="82" t="n"/>
      <c r="B225" s="47">
        <f>'設定'!$I$32</f>
        <v/>
      </c>
      <c r="C225" s="83" t="n"/>
      <c r="D225" s="83" t="n"/>
      <c r="E225" s="83" t="n"/>
      <c r="F225" s="83" t="n"/>
      <c r="G225" s="83" t="n"/>
      <c r="H225" s="83" t="n"/>
      <c r="S225">
        <f>IF(22&lt;='設定'!$B$6,"表示","隠す")</f>
        <v/>
      </c>
    </row>
    <row r="226" hidden="1" ht="21" customHeight="1">
      <c r="A226" s="82" t="n"/>
      <c r="B226" s="47">
        <f>'設定'!$I$33</f>
        <v/>
      </c>
      <c r="C226" s="83" t="n"/>
      <c r="D226" s="83" t="n"/>
      <c r="E226" s="83" t="n"/>
      <c r="F226" s="83" t="n"/>
      <c r="G226" s="83" t="n"/>
      <c r="H226" s="83" t="n"/>
      <c r="S226">
        <f>IF(23&lt;='設定'!$B$6,"表示","隠す")</f>
        <v/>
      </c>
    </row>
    <row r="227" hidden="1" ht="21" customHeight="1">
      <c r="A227" s="82" t="n"/>
      <c r="B227" s="47">
        <f>'設定'!$I$34</f>
        <v/>
      </c>
      <c r="C227" s="83" t="n"/>
      <c r="D227" s="83" t="n"/>
      <c r="E227" s="83" t="n"/>
      <c r="F227" s="83" t="n"/>
      <c r="G227" s="83" t="n"/>
      <c r="H227" s="83" t="n"/>
      <c r="S227">
        <f>IF(24&lt;='設定'!$B$6,"表示","隠す")</f>
        <v/>
      </c>
    </row>
    <row r="228">
      <c r="S228" t="inlineStr">
        <is>
          <t>表示</t>
        </is>
      </c>
    </row>
    <row r="229" ht="26" customHeight="1">
      <c r="B229" s="76">
        <f>IF('名簿'!B13="","（名簿 9行目：なし）",'名簿'!P13)</f>
        <v/>
      </c>
      <c r="C229" s="5" t="n"/>
      <c r="D229" s="5" t="n"/>
      <c r="E229" s="77" t="inlineStr">
        <is>
          <t>提出状況 ▶</t>
        </is>
      </c>
      <c r="F229" s="43" t="inlineStr">
        <is>
          <t>×なし（どこでもOK）</t>
        </is>
      </c>
      <c r="G229" s="34" t="n"/>
      <c r="H229" s="78" t="inlineStr">
        <is>
          <t>状況：</t>
        </is>
      </c>
      <c r="I229" s="79">
        <f>'名簿'!Q13</f>
        <v/>
      </c>
      <c r="J229" s="78" t="inlineStr">
        <is>
          <t>×の数：</t>
        </is>
      </c>
      <c r="K229" s="80">
        <f>'名簿'!R13</f>
        <v/>
      </c>
      <c r="L229" s="81">
        <f>HYPERLINK("#'×入力'!B257","次の人へ ▼")</f>
        <v/>
      </c>
      <c r="S229" t="inlineStr">
        <is>
          <t>表示</t>
        </is>
      </c>
    </row>
    <row r="230" ht="22" customHeight="1">
      <c r="A230" s="35" t="inlineStr">
        <is>
          <t>この日全部 ▶</t>
        </is>
      </c>
      <c r="C230" s="82" t="n"/>
      <c r="D230" s="82" t="n"/>
      <c r="E230" s="82" t="n"/>
      <c r="F230" s="82" t="n"/>
      <c r="G230" s="82" t="n"/>
      <c r="H230" s="82" t="n"/>
      <c r="S230" t="inlineStr">
        <is>
          <t>表示</t>
        </is>
      </c>
    </row>
    <row r="231" ht="28" customHeight="1">
      <c r="A231" s="38" t="inlineStr">
        <is>
          <t>この時間
全部 ▼</t>
        </is>
      </c>
      <c r="B231" s="39" t="inlineStr"/>
      <c r="C231" s="40">
        <f>'設定'!$E$11</f>
        <v/>
      </c>
      <c r="D231" s="40">
        <f>'設定'!$E$12</f>
        <v/>
      </c>
      <c r="E231" s="40">
        <f>'設定'!$E$13</f>
        <v/>
      </c>
      <c r="F231" s="40">
        <f>'設定'!$E$14</f>
        <v/>
      </c>
      <c r="G231" s="40">
        <f>'設定'!$E$15</f>
        <v/>
      </c>
      <c r="H231" s="40">
        <f>'設定'!$E$16</f>
        <v/>
      </c>
      <c r="S231" t="inlineStr">
        <is>
          <t>表示</t>
        </is>
      </c>
    </row>
    <row r="232" ht="21" customHeight="1">
      <c r="A232" s="82" t="n"/>
      <c r="B232" s="47">
        <f>'設定'!$I$11</f>
        <v/>
      </c>
      <c r="C232" s="83" t="n"/>
      <c r="D232" s="83" t="n"/>
      <c r="E232" s="83" t="n"/>
      <c r="F232" s="83" t="n"/>
      <c r="G232" s="83" t="n"/>
      <c r="H232" s="83" t="n"/>
      <c r="S232">
        <f>IF(1&lt;='設定'!$B$6,"表示","隠す")</f>
        <v/>
      </c>
    </row>
    <row r="233" ht="21" customHeight="1">
      <c r="A233" s="82" t="n"/>
      <c r="B233" s="47">
        <f>'設定'!$I$12</f>
        <v/>
      </c>
      <c r="C233" s="83" t="n"/>
      <c r="D233" s="83" t="n"/>
      <c r="E233" s="83" t="n"/>
      <c r="F233" s="83" t="n"/>
      <c r="G233" s="83" t="n"/>
      <c r="H233" s="83" t="n"/>
      <c r="S233">
        <f>IF(2&lt;='設定'!$B$6,"表示","隠す")</f>
        <v/>
      </c>
    </row>
    <row r="234" ht="21" customHeight="1">
      <c r="A234" s="82" t="n"/>
      <c r="B234" s="47">
        <f>'設定'!$I$13</f>
        <v/>
      </c>
      <c r="C234" s="83" t="n"/>
      <c r="D234" s="83" t="n"/>
      <c r="E234" s="83" t="n"/>
      <c r="F234" s="83" t="n"/>
      <c r="G234" s="83" t="n"/>
      <c r="H234" s="83" t="n"/>
      <c r="S234">
        <f>IF(3&lt;='設定'!$B$6,"表示","隠す")</f>
        <v/>
      </c>
    </row>
    <row r="235" ht="21" customHeight="1">
      <c r="A235" s="82" t="n"/>
      <c r="B235" s="47">
        <f>'設定'!$I$14</f>
        <v/>
      </c>
      <c r="C235" s="83" t="n"/>
      <c r="D235" s="83" t="n"/>
      <c r="E235" s="83" t="n"/>
      <c r="F235" s="83" t="n"/>
      <c r="G235" s="83" t="n"/>
      <c r="H235" s="83" t="n"/>
      <c r="S235">
        <f>IF(4&lt;='設定'!$B$6,"表示","隠す")</f>
        <v/>
      </c>
    </row>
    <row r="236" ht="21" customHeight="1">
      <c r="A236" s="82" t="n"/>
      <c r="B236" s="47">
        <f>'設定'!$I$15</f>
        <v/>
      </c>
      <c r="C236" s="83" t="n"/>
      <c r="D236" s="83" t="n"/>
      <c r="E236" s="83" t="n"/>
      <c r="F236" s="83" t="n"/>
      <c r="G236" s="83" t="n"/>
      <c r="H236" s="83" t="n"/>
      <c r="S236">
        <f>IF(5&lt;='設定'!$B$6,"表示","隠す")</f>
        <v/>
      </c>
    </row>
    <row r="237" ht="21" customHeight="1">
      <c r="A237" s="82" t="n"/>
      <c r="B237" s="47">
        <f>'設定'!$I$16</f>
        <v/>
      </c>
      <c r="C237" s="83" t="n"/>
      <c r="D237" s="83" t="n"/>
      <c r="E237" s="83" t="n"/>
      <c r="F237" s="83" t="n"/>
      <c r="G237" s="83" t="n"/>
      <c r="H237" s="83" t="n"/>
      <c r="S237">
        <f>IF(6&lt;='設定'!$B$6,"表示","隠す")</f>
        <v/>
      </c>
    </row>
    <row r="238" ht="21" customHeight="1">
      <c r="A238" s="82" t="n"/>
      <c r="B238" s="47">
        <f>'設定'!$I$17</f>
        <v/>
      </c>
      <c r="C238" s="83" t="n"/>
      <c r="D238" s="83" t="n"/>
      <c r="E238" s="83" t="n"/>
      <c r="F238" s="83" t="n"/>
      <c r="G238" s="83" t="n"/>
      <c r="H238" s="83" t="n"/>
      <c r="S238">
        <f>IF(7&lt;='設定'!$B$6,"表示","隠す")</f>
        <v/>
      </c>
    </row>
    <row r="239" ht="21" customHeight="1">
      <c r="A239" s="82" t="n"/>
      <c r="B239" s="47">
        <f>'設定'!$I$18</f>
        <v/>
      </c>
      <c r="C239" s="83" t="n"/>
      <c r="D239" s="83" t="n"/>
      <c r="E239" s="83" t="n"/>
      <c r="F239" s="83" t="n"/>
      <c r="G239" s="83" t="n"/>
      <c r="H239" s="83" t="n"/>
      <c r="S239">
        <f>IF(8&lt;='設定'!$B$6,"表示","隠す")</f>
        <v/>
      </c>
    </row>
    <row r="240" ht="21" customHeight="1">
      <c r="A240" s="82" t="n"/>
      <c r="B240" s="47">
        <f>'設定'!$I$19</f>
        <v/>
      </c>
      <c r="C240" s="83" t="n"/>
      <c r="D240" s="83" t="n"/>
      <c r="E240" s="83" t="n"/>
      <c r="F240" s="83" t="n"/>
      <c r="G240" s="83" t="n"/>
      <c r="H240" s="83" t="n"/>
      <c r="S240">
        <f>IF(9&lt;='設定'!$B$6,"表示","隠す")</f>
        <v/>
      </c>
    </row>
    <row r="241" hidden="1" ht="21" customHeight="1">
      <c r="A241" s="82" t="n"/>
      <c r="B241" s="47">
        <f>'設定'!$I$20</f>
        <v/>
      </c>
      <c r="C241" s="83" t="n"/>
      <c r="D241" s="83" t="n"/>
      <c r="E241" s="83" t="n"/>
      <c r="F241" s="83" t="n"/>
      <c r="G241" s="83" t="n"/>
      <c r="H241" s="83" t="n"/>
      <c r="S241">
        <f>IF(10&lt;='設定'!$B$6,"表示","隠す")</f>
        <v/>
      </c>
    </row>
    <row r="242" hidden="1" ht="21" customHeight="1">
      <c r="A242" s="82" t="n"/>
      <c r="B242" s="47">
        <f>'設定'!$I$21</f>
        <v/>
      </c>
      <c r="C242" s="83" t="n"/>
      <c r="D242" s="83" t="n"/>
      <c r="E242" s="83" t="n"/>
      <c r="F242" s="83" t="n"/>
      <c r="G242" s="83" t="n"/>
      <c r="H242" s="83" t="n"/>
      <c r="S242">
        <f>IF(11&lt;='設定'!$B$6,"表示","隠す")</f>
        <v/>
      </c>
    </row>
    <row r="243" hidden="1" ht="21" customHeight="1">
      <c r="A243" s="82" t="n"/>
      <c r="B243" s="47">
        <f>'設定'!$I$22</f>
        <v/>
      </c>
      <c r="C243" s="83" t="n"/>
      <c r="D243" s="83" t="n"/>
      <c r="E243" s="83" t="n"/>
      <c r="F243" s="83" t="n"/>
      <c r="G243" s="83" t="n"/>
      <c r="H243" s="83" t="n"/>
      <c r="S243">
        <f>IF(12&lt;='設定'!$B$6,"表示","隠す")</f>
        <v/>
      </c>
    </row>
    <row r="244" hidden="1" ht="21" customHeight="1">
      <c r="A244" s="82" t="n"/>
      <c r="B244" s="47">
        <f>'設定'!$I$23</f>
        <v/>
      </c>
      <c r="C244" s="83" t="n"/>
      <c r="D244" s="83" t="n"/>
      <c r="E244" s="83" t="n"/>
      <c r="F244" s="83" t="n"/>
      <c r="G244" s="83" t="n"/>
      <c r="H244" s="83" t="n"/>
      <c r="S244">
        <f>IF(13&lt;='設定'!$B$6,"表示","隠す")</f>
        <v/>
      </c>
    </row>
    <row r="245" hidden="1" ht="21" customHeight="1">
      <c r="A245" s="82" t="n"/>
      <c r="B245" s="47">
        <f>'設定'!$I$24</f>
        <v/>
      </c>
      <c r="C245" s="83" t="n"/>
      <c r="D245" s="83" t="n"/>
      <c r="E245" s="83" t="n"/>
      <c r="F245" s="83" t="n"/>
      <c r="G245" s="83" t="n"/>
      <c r="H245" s="83" t="n"/>
      <c r="S245">
        <f>IF(14&lt;='設定'!$B$6,"表示","隠す")</f>
        <v/>
      </c>
    </row>
    <row r="246" hidden="1" ht="21" customHeight="1">
      <c r="A246" s="82" t="n"/>
      <c r="B246" s="47">
        <f>'設定'!$I$25</f>
        <v/>
      </c>
      <c r="C246" s="83" t="n"/>
      <c r="D246" s="83" t="n"/>
      <c r="E246" s="83" t="n"/>
      <c r="F246" s="83" t="n"/>
      <c r="G246" s="83" t="n"/>
      <c r="H246" s="83" t="n"/>
      <c r="S246">
        <f>IF(15&lt;='設定'!$B$6,"表示","隠す")</f>
        <v/>
      </c>
    </row>
    <row r="247" hidden="1" ht="21" customHeight="1">
      <c r="A247" s="82" t="n"/>
      <c r="B247" s="47">
        <f>'設定'!$I$26</f>
        <v/>
      </c>
      <c r="C247" s="83" t="n"/>
      <c r="D247" s="83" t="n"/>
      <c r="E247" s="83" t="n"/>
      <c r="F247" s="83" t="n"/>
      <c r="G247" s="83" t="n"/>
      <c r="H247" s="83" t="n"/>
      <c r="S247">
        <f>IF(16&lt;='設定'!$B$6,"表示","隠す")</f>
        <v/>
      </c>
    </row>
    <row r="248" hidden="1" ht="21" customHeight="1">
      <c r="A248" s="82" t="n"/>
      <c r="B248" s="47">
        <f>'設定'!$I$27</f>
        <v/>
      </c>
      <c r="C248" s="83" t="n"/>
      <c r="D248" s="83" t="n"/>
      <c r="E248" s="83" t="n"/>
      <c r="F248" s="83" t="n"/>
      <c r="G248" s="83" t="n"/>
      <c r="H248" s="83" t="n"/>
      <c r="S248">
        <f>IF(17&lt;='設定'!$B$6,"表示","隠す")</f>
        <v/>
      </c>
    </row>
    <row r="249" hidden="1" ht="21" customHeight="1">
      <c r="A249" s="82" t="n"/>
      <c r="B249" s="47">
        <f>'設定'!$I$28</f>
        <v/>
      </c>
      <c r="C249" s="83" t="n"/>
      <c r="D249" s="83" t="n"/>
      <c r="E249" s="83" t="n"/>
      <c r="F249" s="83" t="n"/>
      <c r="G249" s="83" t="n"/>
      <c r="H249" s="83" t="n"/>
      <c r="S249">
        <f>IF(18&lt;='設定'!$B$6,"表示","隠す")</f>
        <v/>
      </c>
    </row>
    <row r="250" hidden="1" ht="21" customHeight="1">
      <c r="A250" s="82" t="n"/>
      <c r="B250" s="47">
        <f>'設定'!$I$29</f>
        <v/>
      </c>
      <c r="C250" s="83" t="n"/>
      <c r="D250" s="83" t="n"/>
      <c r="E250" s="83" t="n"/>
      <c r="F250" s="83" t="n"/>
      <c r="G250" s="83" t="n"/>
      <c r="H250" s="83" t="n"/>
      <c r="S250">
        <f>IF(19&lt;='設定'!$B$6,"表示","隠す")</f>
        <v/>
      </c>
    </row>
    <row r="251" hidden="1" ht="21" customHeight="1">
      <c r="A251" s="82" t="n"/>
      <c r="B251" s="47">
        <f>'設定'!$I$30</f>
        <v/>
      </c>
      <c r="C251" s="83" t="n"/>
      <c r="D251" s="83" t="n"/>
      <c r="E251" s="83" t="n"/>
      <c r="F251" s="83" t="n"/>
      <c r="G251" s="83" t="n"/>
      <c r="H251" s="83" t="n"/>
      <c r="S251">
        <f>IF(20&lt;='設定'!$B$6,"表示","隠す")</f>
        <v/>
      </c>
    </row>
    <row r="252" hidden="1" ht="21" customHeight="1">
      <c r="A252" s="82" t="n"/>
      <c r="B252" s="47">
        <f>'設定'!$I$31</f>
        <v/>
      </c>
      <c r="C252" s="83" t="n"/>
      <c r="D252" s="83" t="n"/>
      <c r="E252" s="83" t="n"/>
      <c r="F252" s="83" t="n"/>
      <c r="G252" s="83" t="n"/>
      <c r="H252" s="83" t="n"/>
      <c r="S252">
        <f>IF(21&lt;='設定'!$B$6,"表示","隠す")</f>
        <v/>
      </c>
    </row>
    <row r="253" hidden="1" ht="21" customHeight="1">
      <c r="A253" s="82" t="n"/>
      <c r="B253" s="47">
        <f>'設定'!$I$32</f>
        <v/>
      </c>
      <c r="C253" s="83" t="n"/>
      <c r="D253" s="83" t="n"/>
      <c r="E253" s="83" t="n"/>
      <c r="F253" s="83" t="n"/>
      <c r="G253" s="83" t="n"/>
      <c r="H253" s="83" t="n"/>
      <c r="S253">
        <f>IF(22&lt;='設定'!$B$6,"表示","隠す")</f>
        <v/>
      </c>
    </row>
    <row r="254" hidden="1" ht="21" customHeight="1">
      <c r="A254" s="82" t="n"/>
      <c r="B254" s="47">
        <f>'設定'!$I$33</f>
        <v/>
      </c>
      <c r="C254" s="83" t="n"/>
      <c r="D254" s="83" t="n"/>
      <c r="E254" s="83" t="n"/>
      <c r="F254" s="83" t="n"/>
      <c r="G254" s="83" t="n"/>
      <c r="H254" s="83" t="n"/>
      <c r="S254">
        <f>IF(23&lt;='設定'!$B$6,"表示","隠す")</f>
        <v/>
      </c>
    </row>
    <row r="255" hidden="1" ht="21" customHeight="1">
      <c r="A255" s="82" t="n"/>
      <c r="B255" s="47">
        <f>'設定'!$I$34</f>
        <v/>
      </c>
      <c r="C255" s="83" t="n"/>
      <c r="D255" s="83" t="n"/>
      <c r="E255" s="83" t="n"/>
      <c r="F255" s="83" t="n"/>
      <c r="G255" s="83" t="n"/>
      <c r="H255" s="83" t="n"/>
      <c r="S255">
        <f>IF(24&lt;='設定'!$B$6,"表示","隠す")</f>
        <v/>
      </c>
    </row>
    <row r="256">
      <c r="S256" t="inlineStr">
        <is>
          <t>表示</t>
        </is>
      </c>
    </row>
    <row r="257" ht="26" customHeight="1">
      <c r="B257" s="76">
        <f>IF('名簿'!B14="","（名簿 10行目：なし）",'名簿'!P14)</f>
        <v/>
      </c>
      <c r="C257" s="5" t="n"/>
      <c r="D257" s="5" t="n"/>
      <c r="E257" s="77" t="inlineStr">
        <is>
          <t>提出状況 ▶</t>
        </is>
      </c>
      <c r="F257" s="43" t="n"/>
      <c r="G257" s="34" t="n"/>
      <c r="H257" s="78" t="inlineStr">
        <is>
          <t>状況：</t>
        </is>
      </c>
      <c r="I257" s="79">
        <f>'名簿'!Q14</f>
        <v/>
      </c>
      <c r="J257" s="78" t="inlineStr">
        <is>
          <t>×の数：</t>
        </is>
      </c>
      <c r="K257" s="80">
        <f>'名簿'!R14</f>
        <v/>
      </c>
      <c r="L257" s="81">
        <f>HYPERLINK("#'×入力'!B285","次の人へ ▼")</f>
        <v/>
      </c>
      <c r="S257" t="inlineStr">
        <is>
          <t>表示</t>
        </is>
      </c>
    </row>
    <row r="258" ht="22" customHeight="1">
      <c r="A258" s="35" t="inlineStr">
        <is>
          <t>この日全部 ▶</t>
        </is>
      </c>
      <c r="C258" s="82" t="n"/>
      <c r="D258" s="82" t="n"/>
      <c r="E258" s="82" t="n"/>
      <c r="F258" s="82" t="n"/>
      <c r="G258" s="82" t="n"/>
      <c r="H258" s="82" t="n"/>
      <c r="S258" t="inlineStr">
        <is>
          <t>表示</t>
        </is>
      </c>
    </row>
    <row r="259" ht="28" customHeight="1">
      <c r="A259" s="38" t="inlineStr">
        <is>
          <t>この時間
全部 ▼</t>
        </is>
      </c>
      <c r="B259" s="39" t="inlineStr"/>
      <c r="C259" s="40">
        <f>'設定'!$E$11</f>
        <v/>
      </c>
      <c r="D259" s="40">
        <f>'設定'!$E$12</f>
        <v/>
      </c>
      <c r="E259" s="40">
        <f>'設定'!$E$13</f>
        <v/>
      </c>
      <c r="F259" s="40">
        <f>'設定'!$E$14</f>
        <v/>
      </c>
      <c r="G259" s="40">
        <f>'設定'!$E$15</f>
        <v/>
      </c>
      <c r="H259" s="40">
        <f>'設定'!$E$16</f>
        <v/>
      </c>
      <c r="S259" t="inlineStr">
        <is>
          <t>表示</t>
        </is>
      </c>
    </row>
    <row r="260" ht="21" customHeight="1">
      <c r="A260" s="82" t="n"/>
      <c r="B260" s="47">
        <f>'設定'!$I$11</f>
        <v/>
      </c>
      <c r="C260" s="83" t="n"/>
      <c r="D260" s="83" t="n"/>
      <c r="E260" s="83" t="inlineStr">
        <is>
          <t>×</t>
        </is>
      </c>
      <c r="F260" s="83" t="n"/>
      <c r="G260" s="83" t="n"/>
      <c r="H260" s="83" t="n"/>
      <c r="S260">
        <f>IF(1&lt;='設定'!$B$6,"表示","隠す")</f>
        <v/>
      </c>
    </row>
    <row r="261" ht="21" customHeight="1">
      <c r="A261" s="82" t="n"/>
      <c r="B261" s="47">
        <f>'設定'!$I$12</f>
        <v/>
      </c>
      <c r="C261" s="83" t="inlineStr">
        <is>
          <t>×</t>
        </is>
      </c>
      <c r="D261" s="83" t="n"/>
      <c r="E261" s="83" t="inlineStr">
        <is>
          <t>×</t>
        </is>
      </c>
      <c r="F261" s="83" t="inlineStr">
        <is>
          <t>×</t>
        </is>
      </c>
      <c r="G261" s="83" t="n"/>
      <c r="H261" s="83" t="n"/>
      <c r="S261">
        <f>IF(2&lt;='設定'!$B$6,"表示","隠す")</f>
        <v/>
      </c>
    </row>
    <row r="262" ht="21" customHeight="1">
      <c r="A262" s="82" t="n"/>
      <c r="B262" s="47">
        <f>'設定'!$I$13</f>
        <v/>
      </c>
      <c r="C262" s="83" t="n"/>
      <c r="D262" s="83" t="n"/>
      <c r="E262" s="83" t="n"/>
      <c r="F262" s="83" t="n"/>
      <c r="G262" s="83" t="n"/>
      <c r="H262" s="83" t="n"/>
      <c r="S262">
        <f>IF(3&lt;='設定'!$B$6,"表示","隠す")</f>
        <v/>
      </c>
    </row>
    <row r="263" ht="21" customHeight="1">
      <c r="A263" s="82" t="n"/>
      <c r="B263" s="47">
        <f>'設定'!$I$14</f>
        <v/>
      </c>
      <c r="C263" s="83" t="n"/>
      <c r="D263" s="83" t="n"/>
      <c r="E263" s="83" t="n"/>
      <c r="F263" s="83" t="n"/>
      <c r="G263" s="83" t="n"/>
      <c r="H263" s="83" t="n"/>
      <c r="S263">
        <f>IF(4&lt;='設定'!$B$6,"表示","隠す")</f>
        <v/>
      </c>
    </row>
    <row r="264" ht="21" customHeight="1">
      <c r="A264" s="82" t="n"/>
      <c r="B264" s="47">
        <f>'設定'!$I$15</f>
        <v/>
      </c>
      <c r="C264" s="83" t="n"/>
      <c r="D264" s="83" t="n"/>
      <c r="E264" s="83" t="n"/>
      <c r="F264" s="83" t="n"/>
      <c r="G264" s="83" t="n"/>
      <c r="H264" s="83" t="n"/>
      <c r="S264">
        <f>IF(5&lt;='設定'!$B$6,"表示","隠す")</f>
        <v/>
      </c>
    </row>
    <row r="265" ht="21" customHeight="1">
      <c r="A265" s="82" t="n"/>
      <c r="B265" s="47">
        <f>'設定'!$I$16</f>
        <v/>
      </c>
      <c r="C265" s="83" t="inlineStr">
        <is>
          <t>×</t>
        </is>
      </c>
      <c r="D265" s="83" t="n"/>
      <c r="E265" s="83" t="n"/>
      <c r="F265" s="83" t="inlineStr">
        <is>
          <t>×</t>
        </is>
      </c>
      <c r="G265" s="83" t="n"/>
      <c r="H265" s="83" t="n"/>
      <c r="S265">
        <f>IF(6&lt;='設定'!$B$6,"表示","隠す")</f>
        <v/>
      </c>
    </row>
    <row r="266" ht="21" customHeight="1">
      <c r="A266" s="82" t="n"/>
      <c r="B266" s="47">
        <f>'設定'!$I$17</f>
        <v/>
      </c>
      <c r="C266" s="83" t="n"/>
      <c r="D266" s="83" t="inlineStr">
        <is>
          <t>×</t>
        </is>
      </c>
      <c r="E266" s="83" t="n"/>
      <c r="F266" s="83" t="inlineStr">
        <is>
          <t>×</t>
        </is>
      </c>
      <c r="G266" s="83" t="n"/>
      <c r="H266" s="83" t="n"/>
      <c r="S266">
        <f>IF(7&lt;='設定'!$B$6,"表示","隠す")</f>
        <v/>
      </c>
    </row>
    <row r="267" ht="21" customHeight="1">
      <c r="A267" s="82" t="n"/>
      <c r="B267" s="47">
        <f>'設定'!$I$18</f>
        <v/>
      </c>
      <c r="C267" s="83" t="n"/>
      <c r="D267" s="83" t="n"/>
      <c r="E267" s="83" t="inlineStr">
        <is>
          <t>×</t>
        </is>
      </c>
      <c r="F267" s="83" t="n"/>
      <c r="G267" s="83" t="n"/>
      <c r="H267" s="83" t="n"/>
      <c r="S267">
        <f>IF(8&lt;='設定'!$B$6,"表示","隠す")</f>
        <v/>
      </c>
    </row>
    <row r="268" ht="21" customHeight="1">
      <c r="A268" s="82" t="n"/>
      <c r="B268" s="47">
        <f>'設定'!$I$19</f>
        <v/>
      </c>
      <c r="C268" s="83" t="inlineStr">
        <is>
          <t>×</t>
        </is>
      </c>
      <c r="D268" s="83" t="inlineStr">
        <is>
          <t>×</t>
        </is>
      </c>
      <c r="E268" s="83" t="inlineStr">
        <is>
          <t>×</t>
        </is>
      </c>
      <c r="F268" s="83" t="n"/>
      <c r="G268" s="83" t="n"/>
      <c r="H268" s="83" t="n"/>
      <c r="S268">
        <f>IF(9&lt;='設定'!$B$6,"表示","隠す")</f>
        <v/>
      </c>
    </row>
    <row r="269" hidden="1" ht="21" customHeight="1">
      <c r="A269" s="82" t="n"/>
      <c r="B269" s="47">
        <f>'設定'!$I$20</f>
        <v/>
      </c>
      <c r="C269" s="83" t="n"/>
      <c r="D269" s="83" t="n"/>
      <c r="E269" s="83" t="n"/>
      <c r="F269" s="83" t="n"/>
      <c r="G269" s="83" t="n"/>
      <c r="H269" s="83" t="n"/>
      <c r="S269">
        <f>IF(10&lt;='設定'!$B$6,"表示","隠す")</f>
        <v/>
      </c>
    </row>
    <row r="270" hidden="1" ht="21" customHeight="1">
      <c r="A270" s="82" t="n"/>
      <c r="B270" s="47">
        <f>'設定'!$I$21</f>
        <v/>
      </c>
      <c r="C270" s="83" t="n"/>
      <c r="D270" s="83" t="n"/>
      <c r="E270" s="83" t="n"/>
      <c r="F270" s="83" t="n"/>
      <c r="G270" s="83" t="n"/>
      <c r="H270" s="83" t="n"/>
      <c r="S270">
        <f>IF(11&lt;='設定'!$B$6,"表示","隠す")</f>
        <v/>
      </c>
    </row>
    <row r="271" hidden="1" ht="21" customHeight="1">
      <c r="A271" s="82" t="n"/>
      <c r="B271" s="47">
        <f>'設定'!$I$22</f>
        <v/>
      </c>
      <c r="C271" s="83" t="n"/>
      <c r="D271" s="83" t="n"/>
      <c r="E271" s="83" t="n"/>
      <c r="F271" s="83" t="n"/>
      <c r="G271" s="83" t="n"/>
      <c r="H271" s="83" t="n"/>
      <c r="S271">
        <f>IF(12&lt;='設定'!$B$6,"表示","隠す")</f>
        <v/>
      </c>
    </row>
    <row r="272" hidden="1" ht="21" customHeight="1">
      <c r="A272" s="82" t="n"/>
      <c r="B272" s="47">
        <f>'設定'!$I$23</f>
        <v/>
      </c>
      <c r="C272" s="83" t="n"/>
      <c r="D272" s="83" t="n"/>
      <c r="E272" s="83" t="n"/>
      <c r="F272" s="83" t="n"/>
      <c r="G272" s="83" t="n"/>
      <c r="H272" s="83" t="n"/>
      <c r="S272">
        <f>IF(13&lt;='設定'!$B$6,"表示","隠す")</f>
        <v/>
      </c>
    </row>
    <row r="273" hidden="1" ht="21" customHeight="1">
      <c r="A273" s="82" t="n"/>
      <c r="B273" s="47">
        <f>'設定'!$I$24</f>
        <v/>
      </c>
      <c r="C273" s="83" t="n"/>
      <c r="D273" s="83" t="n"/>
      <c r="E273" s="83" t="n"/>
      <c r="F273" s="83" t="n"/>
      <c r="G273" s="83" t="n"/>
      <c r="H273" s="83" t="n"/>
      <c r="S273">
        <f>IF(14&lt;='設定'!$B$6,"表示","隠す")</f>
        <v/>
      </c>
    </row>
    <row r="274" hidden="1" ht="21" customHeight="1">
      <c r="A274" s="82" t="n"/>
      <c r="B274" s="47">
        <f>'設定'!$I$25</f>
        <v/>
      </c>
      <c r="C274" s="83" t="n"/>
      <c r="D274" s="83" t="n"/>
      <c r="E274" s="83" t="n"/>
      <c r="F274" s="83" t="n"/>
      <c r="G274" s="83" t="n"/>
      <c r="H274" s="83" t="n"/>
      <c r="S274">
        <f>IF(15&lt;='設定'!$B$6,"表示","隠す")</f>
        <v/>
      </c>
    </row>
    <row r="275" hidden="1" ht="21" customHeight="1">
      <c r="A275" s="82" t="n"/>
      <c r="B275" s="47">
        <f>'設定'!$I$26</f>
        <v/>
      </c>
      <c r="C275" s="83" t="n"/>
      <c r="D275" s="83" t="n"/>
      <c r="E275" s="83" t="n"/>
      <c r="F275" s="83" t="n"/>
      <c r="G275" s="83" t="n"/>
      <c r="H275" s="83" t="n"/>
      <c r="S275">
        <f>IF(16&lt;='設定'!$B$6,"表示","隠す")</f>
        <v/>
      </c>
    </row>
    <row r="276" hidden="1" ht="21" customHeight="1">
      <c r="A276" s="82" t="n"/>
      <c r="B276" s="47">
        <f>'設定'!$I$27</f>
        <v/>
      </c>
      <c r="C276" s="83" t="n"/>
      <c r="D276" s="83" t="n"/>
      <c r="E276" s="83" t="n"/>
      <c r="F276" s="83" t="n"/>
      <c r="G276" s="83" t="n"/>
      <c r="H276" s="83" t="n"/>
      <c r="S276">
        <f>IF(17&lt;='設定'!$B$6,"表示","隠す")</f>
        <v/>
      </c>
    </row>
    <row r="277" hidden="1" ht="21" customHeight="1">
      <c r="A277" s="82" t="n"/>
      <c r="B277" s="47">
        <f>'設定'!$I$28</f>
        <v/>
      </c>
      <c r="C277" s="83" t="n"/>
      <c r="D277" s="83" t="n"/>
      <c r="E277" s="83" t="n"/>
      <c r="F277" s="83" t="n"/>
      <c r="G277" s="83" t="n"/>
      <c r="H277" s="83" t="n"/>
      <c r="S277">
        <f>IF(18&lt;='設定'!$B$6,"表示","隠す")</f>
        <v/>
      </c>
    </row>
    <row r="278" hidden="1" ht="21" customHeight="1">
      <c r="A278" s="82" t="n"/>
      <c r="B278" s="47">
        <f>'設定'!$I$29</f>
        <v/>
      </c>
      <c r="C278" s="83" t="n"/>
      <c r="D278" s="83" t="n"/>
      <c r="E278" s="83" t="n"/>
      <c r="F278" s="83" t="n"/>
      <c r="G278" s="83" t="n"/>
      <c r="H278" s="83" t="n"/>
      <c r="S278">
        <f>IF(19&lt;='設定'!$B$6,"表示","隠す")</f>
        <v/>
      </c>
    </row>
    <row r="279" hidden="1" ht="21" customHeight="1">
      <c r="A279" s="82" t="n"/>
      <c r="B279" s="47">
        <f>'設定'!$I$30</f>
        <v/>
      </c>
      <c r="C279" s="83" t="n"/>
      <c r="D279" s="83" t="n"/>
      <c r="E279" s="83" t="n"/>
      <c r="F279" s="83" t="n"/>
      <c r="G279" s="83" t="n"/>
      <c r="H279" s="83" t="n"/>
      <c r="S279">
        <f>IF(20&lt;='設定'!$B$6,"表示","隠す")</f>
        <v/>
      </c>
    </row>
    <row r="280" hidden="1" ht="21" customHeight="1">
      <c r="A280" s="82" t="n"/>
      <c r="B280" s="47">
        <f>'設定'!$I$31</f>
        <v/>
      </c>
      <c r="C280" s="83" t="n"/>
      <c r="D280" s="83" t="n"/>
      <c r="E280" s="83" t="n"/>
      <c r="F280" s="83" t="n"/>
      <c r="G280" s="83" t="n"/>
      <c r="H280" s="83" t="n"/>
      <c r="S280">
        <f>IF(21&lt;='設定'!$B$6,"表示","隠す")</f>
        <v/>
      </c>
    </row>
    <row r="281" hidden="1" ht="21" customHeight="1">
      <c r="A281" s="82" t="n"/>
      <c r="B281" s="47">
        <f>'設定'!$I$32</f>
        <v/>
      </c>
      <c r="C281" s="83" t="n"/>
      <c r="D281" s="83" t="n"/>
      <c r="E281" s="83" t="n"/>
      <c r="F281" s="83" t="n"/>
      <c r="G281" s="83" t="n"/>
      <c r="H281" s="83" t="n"/>
      <c r="S281">
        <f>IF(22&lt;='設定'!$B$6,"表示","隠す")</f>
        <v/>
      </c>
    </row>
    <row r="282" hidden="1" ht="21" customHeight="1">
      <c r="A282" s="82" t="n"/>
      <c r="B282" s="47">
        <f>'設定'!$I$33</f>
        <v/>
      </c>
      <c r="C282" s="83" t="n"/>
      <c r="D282" s="83" t="n"/>
      <c r="E282" s="83" t="n"/>
      <c r="F282" s="83" t="n"/>
      <c r="G282" s="83" t="n"/>
      <c r="H282" s="83" t="n"/>
      <c r="S282">
        <f>IF(23&lt;='設定'!$B$6,"表示","隠す")</f>
        <v/>
      </c>
    </row>
    <row r="283" hidden="1" ht="21" customHeight="1">
      <c r="A283" s="82" t="n"/>
      <c r="B283" s="47">
        <f>'設定'!$I$34</f>
        <v/>
      </c>
      <c r="C283" s="83" t="n"/>
      <c r="D283" s="83" t="n"/>
      <c r="E283" s="83" t="n"/>
      <c r="F283" s="83" t="n"/>
      <c r="G283" s="83" t="n"/>
      <c r="H283" s="83" t="n"/>
      <c r="S283">
        <f>IF(24&lt;='設定'!$B$6,"表示","隠す")</f>
        <v/>
      </c>
    </row>
    <row r="284">
      <c r="S284" t="inlineStr">
        <is>
          <t>表示</t>
        </is>
      </c>
    </row>
    <row r="285" ht="26" customHeight="1">
      <c r="B285" s="76">
        <f>IF('名簿'!B15="","（名簿 11行目：なし）",'名簿'!P15)</f>
        <v/>
      </c>
      <c r="C285" s="5" t="n"/>
      <c r="D285" s="5" t="n"/>
      <c r="E285" s="77" t="inlineStr">
        <is>
          <t>提出状況 ▶</t>
        </is>
      </c>
      <c r="F285" s="43" t="n"/>
      <c r="G285" s="34" t="n"/>
      <c r="H285" s="78" t="inlineStr">
        <is>
          <t>状況：</t>
        </is>
      </c>
      <c r="I285" s="79">
        <f>'名簿'!Q15</f>
        <v/>
      </c>
      <c r="J285" s="78" t="inlineStr">
        <is>
          <t>×の数：</t>
        </is>
      </c>
      <c r="K285" s="80">
        <f>'名簿'!R15</f>
        <v/>
      </c>
      <c r="L285" s="81">
        <f>HYPERLINK("#'×入力'!B313","次の人へ ▼")</f>
        <v/>
      </c>
      <c r="S285" t="inlineStr">
        <is>
          <t>表示</t>
        </is>
      </c>
    </row>
    <row r="286" ht="22" customHeight="1">
      <c r="A286" s="35" t="inlineStr">
        <is>
          <t>この日全部 ▶</t>
        </is>
      </c>
      <c r="C286" s="82" t="n"/>
      <c r="D286" s="82" t="n"/>
      <c r="E286" s="82" t="n"/>
      <c r="F286" s="82" t="n"/>
      <c r="G286" s="82" t="n"/>
      <c r="H286" s="82" t="n"/>
      <c r="S286" t="inlineStr">
        <is>
          <t>表示</t>
        </is>
      </c>
    </row>
    <row r="287" ht="28" customHeight="1">
      <c r="A287" s="38" t="inlineStr">
        <is>
          <t>この時間
全部 ▼</t>
        </is>
      </c>
      <c r="B287" s="39" t="inlineStr"/>
      <c r="C287" s="40">
        <f>'設定'!$E$11</f>
        <v/>
      </c>
      <c r="D287" s="40">
        <f>'設定'!$E$12</f>
        <v/>
      </c>
      <c r="E287" s="40">
        <f>'設定'!$E$13</f>
        <v/>
      </c>
      <c r="F287" s="40">
        <f>'設定'!$E$14</f>
        <v/>
      </c>
      <c r="G287" s="40">
        <f>'設定'!$E$15</f>
        <v/>
      </c>
      <c r="H287" s="40">
        <f>'設定'!$E$16</f>
        <v/>
      </c>
      <c r="S287" t="inlineStr">
        <is>
          <t>表示</t>
        </is>
      </c>
    </row>
    <row r="288" ht="21" customHeight="1">
      <c r="A288" s="82" t="n"/>
      <c r="B288" s="47">
        <f>'設定'!$I$11</f>
        <v/>
      </c>
      <c r="C288" s="83" t="inlineStr">
        <is>
          <t>×</t>
        </is>
      </c>
      <c r="D288" s="83" t="inlineStr">
        <is>
          <t>×</t>
        </is>
      </c>
      <c r="E288" s="83" t="inlineStr">
        <is>
          <t>×</t>
        </is>
      </c>
      <c r="F288" s="83" t="inlineStr">
        <is>
          <t>×</t>
        </is>
      </c>
      <c r="G288" s="83" t="inlineStr">
        <is>
          <t>×</t>
        </is>
      </c>
      <c r="H288" s="83" t="n"/>
      <c r="S288">
        <f>IF(1&lt;='設定'!$B$6,"表示","隠す")</f>
        <v/>
      </c>
    </row>
    <row r="289" ht="21" customHeight="1">
      <c r="A289" s="82" t="n"/>
      <c r="B289" s="47">
        <f>'設定'!$I$12</f>
        <v/>
      </c>
      <c r="C289" s="83" t="inlineStr">
        <is>
          <t>×</t>
        </is>
      </c>
      <c r="D289" s="83" t="inlineStr">
        <is>
          <t>×</t>
        </is>
      </c>
      <c r="E289" s="83" t="inlineStr">
        <is>
          <t>×</t>
        </is>
      </c>
      <c r="F289" s="83" t="inlineStr">
        <is>
          <t>×</t>
        </is>
      </c>
      <c r="G289" s="83" t="inlineStr">
        <is>
          <t>×</t>
        </is>
      </c>
      <c r="H289" s="83" t="n"/>
      <c r="S289">
        <f>IF(2&lt;='設定'!$B$6,"表示","隠す")</f>
        <v/>
      </c>
    </row>
    <row r="290" ht="21" customHeight="1">
      <c r="A290" s="82" t="n"/>
      <c r="B290" s="47">
        <f>'設定'!$I$13</f>
        <v/>
      </c>
      <c r="C290" s="83" t="inlineStr">
        <is>
          <t>×</t>
        </is>
      </c>
      <c r="D290" s="83" t="inlineStr">
        <is>
          <t>×</t>
        </is>
      </c>
      <c r="E290" s="83" t="inlineStr">
        <is>
          <t>×</t>
        </is>
      </c>
      <c r="F290" s="83" t="inlineStr">
        <is>
          <t>×</t>
        </is>
      </c>
      <c r="G290" s="83" t="inlineStr">
        <is>
          <t>×</t>
        </is>
      </c>
      <c r="H290" s="83" t="n"/>
      <c r="S290">
        <f>IF(3&lt;='設定'!$B$6,"表示","隠す")</f>
        <v/>
      </c>
    </row>
    <row r="291" ht="21" customHeight="1">
      <c r="A291" s="82" t="n"/>
      <c r="B291" s="47">
        <f>'設定'!$I$14</f>
        <v/>
      </c>
      <c r="C291" s="83" t="inlineStr">
        <is>
          <t>×</t>
        </is>
      </c>
      <c r="D291" s="83" t="inlineStr">
        <is>
          <t>×</t>
        </is>
      </c>
      <c r="E291" s="83" t="inlineStr">
        <is>
          <t>×</t>
        </is>
      </c>
      <c r="F291" s="83" t="inlineStr">
        <is>
          <t>×</t>
        </is>
      </c>
      <c r="G291" s="83" t="inlineStr">
        <is>
          <t>×</t>
        </is>
      </c>
      <c r="H291" s="83" t="n"/>
      <c r="S291">
        <f>IF(4&lt;='設定'!$B$6,"表示","隠す")</f>
        <v/>
      </c>
    </row>
    <row r="292" ht="21" customHeight="1">
      <c r="A292" s="82" t="n"/>
      <c r="B292" s="47">
        <f>'設定'!$I$15</f>
        <v/>
      </c>
      <c r="C292" s="83" t="inlineStr">
        <is>
          <t>×</t>
        </is>
      </c>
      <c r="D292" s="83" t="inlineStr">
        <is>
          <t>×</t>
        </is>
      </c>
      <c r="E292" s="83" t="inlineStr">
        <is>
          <t>×</t>
        </is>
      </c>
      <c r="F292" s="83" t="inlineStr">
        <is>
          <t>×</t>
        </is>
      </c>
      <c r="G292" s="83" t="inlineStr">
        <is>
          <t>×</t>
        </is>
      </c>
      <c r="H292" s="83" t="n"/>
      <c r="S292">
        <f>IF(5&lt;='設定'!$B$6,"表示","隠す")</f>
        <v/>
      </c>
    </row>
    <row r="293" ht="21" customHeight="1">
      <c r="A293" s="82" t="n"/>
      <c r="B293" s="47">
        <f>'設定'!$I$16</f>
        <v/>
      </c>
      <c r="C293" s="83" t="n"/>
      <c r="D293" s="83" t="n"/>
      <c r="E293" s="83" t="n"/>
      <c r="F293" s="83" t="n"/>
      <c r="G293" s="83" t="inlineStr">
        <is>
          <t>×</t>
        </is>
      </c>
      <c r="H293" s="83" t="n"/>
      <c r="S293">
        <f>IF(6&lt;='設定'!$B$6,"表示","隠す")</f>
        <v/>
      </c>
    </row>
    <row r="294" ht="21" customHeight="1">
      <c r="A294" s="82" t="n"/>
      <c r="B294" s="47">
        <f>'設定'!$I$17</f>
        <v/>
      </c>
      <c r="C294" s="83" t="n"/>
      <c r="D294" s="83" t="inlineStr">
        <is>
          <t>×</t>
        </is>
      </c>
      <c r="E294" s="83" t="n"/>
      <c r="F294" s="83" t="n"/>
      <c r="G294" s="83" t="n"/>
      <c r="H294" s="83" t="n"/>
      <c r="S294">
        <f>IF(7&lt;='設定'!$B$6,"表示","隠す")</f>
        <v/>
      </c>
    </row>
    <row r="295" ht="21" customHeight="1">
      <c r="A295" s="82" t="n"/>
      <c r="B295" s="47">
        <f>'設定'!$I$18</f>
        <v/>
      </c>
      <c r="C295" s="83" t="inlineStr">
        <is>
          <t>×</t>
        </is>
      </c>
      <c r="D295" s="83" t="inlineStr">
        <is>
          <t>×</t>
        </is>
      </c>
      <c r="E295" s="83" t="n"/>
      <c r="F295" s="83" t="n"/>
      <c r="G295" s="83" t="n"/>
      <c r="H295" s="83" t="n"/>
      <c r="S295">
        <f>IF(8&lt;='設定'!$B$6,"表示","隠す")</f>
        <v/>
      </c>
    </row>
    <row r="296" ht="21" customHeight="1">
      <c r="A296" s="82" t="n"/>
      <c r="B296" s="47">
        <f>'設定'!$I$19</f>
        <v/>
      </c>
      <c r="C296" s="83" t="inlineStr">
        <is>
          <t>×</t>
        </is>
      </c>
      <c r="D296" s="83" t="inlineStr">
        <is>
          <t>×</t>
        </is>
      </c>
      <c r="E296" s="83" t="n"/>
      <c r="F296" s="83" t="n"/>
      <c r="G296" s="83" t="n"/>
      <c r="H296" s="83" t="n"/>
      <c r="S296">
        <f>IF(9&lt;='設定'!$B$6,"表示","隠す")</f>
        <v/>
      </c>
    </row>
    <row r="297" hidden="1" ht="21" customHeight="1">
      <c r="A297" s="82" t="n"/>
      <c r="B297" s="47">
        <f>'設定'!$I$20</f>
        <v/>
      </c>
      <c r="C297" s="83" t="n"/>
      <c r="D297" s="83" t="n"/>
      <c r="E297" s="83" t="n"/>
      <c r="F297" s="83" t="n"/>
      <c r="G297" s="83" t="n"/>
      <c r="H297" s="83" t="n"/>
      <c r="S297">
        <f>IF(10&lt;='設定'!$B$6,"表示","隠す")</f>
        <v/>
      </c>
    </row>
    <row r="298" hidden="1" ht="21" customHeight="1">
      <c r="A298" s="82" t="n"/>
      <c r="B298" s="47">
        <f>'設定'!$I$21</f>
        <v/>
      </c>
      <c r="C298" s="83" t="n"/>
      <c r="D298" s="83" t="n"/>
      <c r="E298" s="83" t="n"/>
      <c r="F298" s="83" t="n"/>
      <c r="G298" s="83" t="n"/>
      <c r="H298" s="83" t="n"/>
      <c r="S298">
        <f>IF(11&lt;='設定'!$B$6,"表示","隠す")</f>
        <v/>
      </c>
    </row>
    <row r="299" hidden="1" ht="21" customHeight="1">
      <c r="A299" s="82" t="n"/>
      <c r="B299" s="47">
        <f>'設定'!$I$22</f>
        <v/>
      </c>
      <c r="C299" s="83" t="n"/>
      <c r="D299" s="83" t="n"/>
      <c r="E299" s="83" t="n"/>
      <c r="F299" s="83" t="n"/>
      <c r="G299" s="83" t="n"/>
      <c r="H299" s="83" t="n"/>
      <c r="S299">
        <f>IF(12&lt;='設定'!$B$6,"表示","隠す")</f>
        <v/>
      </c>
    </row>
    <row r="300" hidden="1" ht="21" customHeight="1">
      <c r="A300" s="82" t="n"/>
      <c r="B300" s="47">
        <f>'設定'!$I$23</f>
        <v/>
      </c>
      <c r="C300" s="83" t="n"/>
      <c r="D300" s="83" t="n"/>
      <c r="E300" s="83" t="n"/>
      <c r="F300" s="83" t="n"/>
      <c r="G300" s="83" t="n"/>
      <c r="H300" s="83" t="n"/>
      <c r="S300">
        <f>IF(13&lt;='設定'!$B$6,"表示","隠す")</f>
        <v/>
      </c>
    </row>
    <row r="301" hidden="1" ht="21" customHeight="1">
      <c r="A301" s="82" t="n"/>
      <c r="B301" s="47">
        <f>'設定'!$I$24</f>
        <v/>
      </c>
      <c r="C301" s="83" t="n"/>
      <c r="D301" s="83" t="n"/>
      <c r="E301" s="83" t="n"/>
      <c r="F301" s="83" t="n"/>
      <c r="G301" s="83" t="n"/>
      <c r="H301" s="83" t="n"/>
      <c r="S301">
        <f>IF(14&lt;='設定'!$B$6,"表示","隠す")</f>
        <v/>
      </c>
    </row>
    <row r="302" hidden="1" ht="21" customHeight="1">
      <c r="A302" s="82" t="n"/>
      <c r="B302" s="47">
        <f>'設定'!$I$25</f>
        <v/>
      </c>
      <c r="C302" s="83" t="n"/>
      <c r="D302" s="83" t="n"/>
      <c r="E302" s="83" t="n"/>
      <c r="F302" s="83" t="n"/>
      <c r="G302" s="83" t="n"/>
      <c r="H302" s="83" t="n"/>
      <c r="S302">
        <f>IF(15&lt;='設定'!$B$6,"表示","隠す")</f>
        <v/>
      </c>
    </row>
    <row r="303" hidden="1" ht="21" customHeight="1">
      <c r="A303" s="82" t="n"/>
      <c r="B303" s="47">
        <f>'設定'!$I$26</f>
        <v/>
      </c>
      <c r="C303" s="83" t="n"/>
      <c r="D303" s="83" t="n"/>
      <c r="E303" s="83" t="n"/>
      <c r="F303" s="83" t="n"/>
      <c r="G303" s="83" t="n"/>
      <c r="H303" s="83" t="n"/>
      <c r="S303">
        <f>IF(16&lt;='設定'!$B$6,"表示","隠す")</f>
        <v/>
      </c>
    </row>
    <row r="304" hidden="1" ht="21" customHeight="1">
      <c r="A304" s="82" t="n"/>
      <c r="B304" s="47">
        <f>'設定'!$I$27</f>
        <v/>
      </c>
      <c r="C304" s="83" t="n"/>
      <c r="D304" s="83" t="n"/>
      <c r="E304" s="83" t="n"/>
      <c r="F304" s="83" t="n"/>
      <c r="G304" s="83" t="n"/>
      <c r="H304" s="83" t="n"/>
      <c r="S304">
        <f>IF(17&lt;='設定'!$B$6,"表示","隠す")</f>
        <v/>
      </c>
    </row>
    <row r="305" hidden="1" ht="21" customHeight="1">
      <c r="A305" s="82" t="n"/>
      <c r="B305" s="47">
        <f>'設定'!$I$28</f>
        <v/>
      </c>
      <c r="C305" s="83" t="n"/>
      <c r="D305" s="83" t="n"/>
      <c r="E305" s="83" t="n"/>
      <c r="F305" s="83" t="n"/>
      <c r="G305" s="83" t="n"/>
      <c r="H305" s="83" t="n"/>
      <c r="S305">
        <f>IF(18&lt;='設定'!$B$6,"表示","隠す")</f>
        <v/>
      </c>
    </row>
    <row r="306" hidden="1" ht="21" customHeight="1">
      <c r="A306" s="82" t="n"/>
      <c r="B306" s="47">
        <f>'設定'!$I$29</f>
        <v/>
      </c>
      <c r="C306" s="83" t="n"/>
      <c r="D306" s="83" t="n"/>
      <c r="E306" s="83" t="n"/>
      <c r="F306" s="83" t="n"/>
      <c r="G306" s="83" t="n"/>
      <c r="H306" s="83" t="n"/>
      <c r="S306">
        <f>IF(19&lt;='設定'!$B$6,"表示","隠す")</f>
        <v/>
      </c>
    </row>
    <row r="307" hidden="1" ht="21" customHeight="1">
      <c r="A307" s="82" t="n"/>
      <c r="B307" s="47">
        <f>'設定'!$I$30</f>
        <v/>
      </c>
      <c r="C307" s="83" t="n"/>
      <c r="D307" s="83" t="n"/>
      <c r="E307" s="83" t="n"/>
      <c r="F307" s="83" t="n"/>
      <c r="G307" s="83" t="n"/>
      <c r="H307" s="83" t="n"/>
      <c r="S307">
        <f>IF(20&lt;='設定'!$B$6,"表示","隠す")</f>
        <v/>
      </c>
    </row>
    <row r="308" hidden="1" ht="21" customHeight="1">
      <c r="A308" s="82" t="n"/>
      <c r="B308" s="47">
        <f>'設定'!$I$31</f>
        <v/>
      </c>
      <c r="C308" s="83" t="n"/>
      <c r="D308" s="83" t="n"/>
      <c r="E308" s="83" t="n"/>
      <c r="F308" s="83" t="n"/>
      <c r="G308" s="83" t="n"/>
      <c r="H308" s="83" t="n"/>
      <c r="S308">
        <f>IF(21&lt;='設定'!$B$6,"表示","隠す")</f>
        <v/>
      </c>
    </row>
    <row r="309" hidden="1" ht="21" customHeight="1">
      <c r="A309" s="82" t="n"/>
      <c r="B309" s="47">
        <f>'設定'!$I$32</f>
        <v/>
      </c>
      <c r="C309" s="83" t="n"/>
      <c r="D309" s="83" t="n"/>
      <c r="E309" s="83" t="n"/>
      <c r="F309" s="83" t="n"/>
      <c r="G309" s="83" t="n"/>
      <c r="H309" s="83" t="n"/>
      <c r="S309">
        <f>IF(22&lt;='設定'!$B$6,"表示","隠す")</f>
        <v/>
      </c>
    </row>
    <row r="310" hidden="1" ht="21" customHeight="1">
      <c r="A310" s="82" t="n"/>
      <c r="B310" s="47">
        <f>'設定'!$I$33</f>
        <v/>
      </c>
      <c r="C310" s="83" t="n"/>
      <c r="D310" s="83" t="n"/>
      <c r="E310" s="83" t="n"/>
      <c r="F310" s="83" t="n"/>
      <c r="G310" s="83" t="n"/>
      <c r="H310" s="83" t="n"/>
      <c r="S310">
        <f>IF(23&lt;='設定'!$B$6,"表示","隠す")</f>
        <v/>
      </c>
    </row>
    <row r="311" hidden="1" ht="21" customHeight="1">
      <c r="A311" s="82" t="n"/>
      <c r="B311" s="47">
        <f>'設定'!$I$34</f>
        <v/>
      </c>
      <c r="C311" s="83" t="n"/>
      <c r="D311" s="83" t="n"/>
      <c r="E311" s="83" t="n"/>
      <c r="F311" s="83" t="n"/>
      <c r="G311" s="83" t="n"/>
      <c r="H311" s="83" t="n"/>
      <c r="S311">
        <f>IF(24&lt;='設定'!$B$6,"表示","隠す")</f>
        <v/>
      </c>
    </row>
    <row r="312">
      <c r="S312" t="inlineStr">
        <is>
          <t>表示</t>
        </is>
      </c>
    </row>
    <row r="313" ht="26" customHeight="1">
      <c r="B313" s="76">
        <f>IF('名簿'!B16="","（名簿 12行目：なし）",'名簿'!P16)</f>
        <v/>
      </c>
      <c r="C313" s="5" t="n"/>
      <c r="D313" s="5" t="n"/>
      <c r="E313" s="77" t="inlineStr">
        <is>
          <t>提出状況 ▶</t>
        </is>
      </c>
      <c r="F313" s="43" t="inlineStr">
        <is>
          <t>未提出</t>
        </is>
      </c>
      <c r="G313" s="34" t="n"/>
      <c r="H313" s="78" t="inlineStr">
        <is>
          <t>状況：</t>
        </is>
      </c>
      <c r="I313" s="79">
        <f>'名簿'!Q16</f>
        <v/>
      </c>
      <c r="J313" s="78" t="inlineStr">
        <is>
          <t>×の数：</t>
        </is>
      </c>
      <c r="K313" s="80">
        <f>'名簿'!R16</f>
        <v/>
      </c>
      <c r="L313" s="81">
        <f>HYPERLINK("#'×入力'!B341","次の人へ ▼")</f>
        <v/>
      </c>
      <c r="S313" t="inlineStr">
        <is>
          <t>表示</t>
        </is>
      </c>
    </row>
    <row r="314" ht="22" customHeight="1">
      <c r="A314" s="35" t="inlineStr">
        <is>
          <t>この日全部 ▶</t>
        </is>
      </c>
      <c r="C314" s="82" t="n"/>
      <c r="D314" s="82" t="n"/>
      <c r="E314" s="82" t="n"/>
      <c r="F314" s="82" t="n"/>
      <c r="G314" s="82" t="n"/>
      <c r="H314" s="82" t="n"/>
      <c r="S314" t="inlineStr">
        <is>
          <t>表示</t>
        </is>
      </c>
    </row>
    <row r="315" ht="28" customHeight="1">
      <c r="A315" s="38" t="inlineStr">
        <is>
          <t>この時間
全部 ▼</t>
        </is>
      </c>
      <c r="B315" s="39" t="inlineStr"/>
      <c r="C315" s="40">
        <f>'設定'!$E$11</f>
        <v/>
      </c>
      <c r="D315" s="40">
        <f>'設定'!$E$12</f>
        <v/>
      </c>
      <c r="E315" s="40">
        <f>'設定'!$E$13</f>
        <v/>
      </c>
      <c r="F315" s="40">
        <f>'設定'!$E$14</f>
        <v/>
      </c>
      <c r="G315" s="40">
        <f>'設定'!$E$15</f>
        <v/>
      </c>
      <c r="H315" s="40">
        <f>'設定'!$E$16</f>
        <v/>
      </c>
      <c r="S315" t="inlineStr">
        <is>
          <t>表示</t>
        </is>
      </c>
    </row>
    <row r="316" ht="21" customHeight="1">
      <c r="A316" s="82" t="n"/>
      <c r="B316" s="47">
        <f>'設定'!$I$11</f>
        <v/>
      </c>
      <c r="C316" s="83" t="n"/>
      <c r="D316" s="83" t="n"/>
      <c r="E316" s="83" t="n"/>
      <c r="F316" s="83" t="n"/>
      <c r="G316" s="83" t="n"/>
      <c r="H316" s="83" t="n"/>
      <c r="S316">
        <f>IF(1&lt;='設定'!$B$6,"表示","隠す")</f>
        <v/>
      </c>
    </row>
    <row r="317" ht="21" customHeight="1">
      <c r="A317" s="82" t="n"/>
      <c r="B317" s="47">
        <f>'設定'!$I$12</f>
        <v/>
      </c>
      <c r="C317" s="83" t="n"/>
      <c r="D317" s="83" t="n"/>
      <c r="E317" s="83" t="n"/>
      <c r="F317" s="83" t="n"/>
      <c r="G317" s="83" t="n"/>
      <c r="H317" s="83" t="n"/>
      <c r="S317">
        <f>IF(2&lt;='設定'!$B$6,"表示","隠す")</f>
        <v/>
      </c>
    </row>
    <row r="318" ht="21" customHeight="1">
      <c r="A318" s="82" t="n"/>
      <c r="B318" s="47">
        <f>'設定'!$I$13</f>
        <v/>
      </c>
      <c r="C318" s="83" t="n"/>
      <c r="D318" s="83" t="n"/>
      <c r="E318" s="83" t="n"/>
      <c r="F318" s="83" t="n"/>
      <c r="G318" s="83" t="n"/>
      <c r="H318" s="83" t="n"/>
      <c r="S318">
        <f>IF(3&lt;='設定'!$B$6,"表示","隠す")</f>
        <v/>
      </c>
    </row>
    <row r="319" ht="21" customHeight="1">
      <c r="A319" s="82" t="n"/>
      <c r="B319" s="47">
        <f>'設定'!$I$14</f>
        <v/>
      </c>
      <c r="C319" s="83" t="n"/>
      <c r="D319" s="83" t="n"/>
      <c r="E319" s="83" t="n"/>
      <c r="F319" s="83" t="n"/>
      <c r="G319" s="83" t="n"/>
      <c r="H319" s="83" t="n"/>
      <c r="S319">
        <f>IF(4&lt;='設定'!$B$6,"表示","隠す")</f>
        <v/>
      </c>
    </row>
    <row r="320" ht="21" customHeight="1">
      <c r="A320" s="82" t="n"/>
      <c r="B320" s="47">
        <f>'設定'!$I$15</f>
        <v/>
      </c>
      <c r="C320" s="83" t="n"/>
      <c r="D320" s="83" t="n"/>
      <c r="E320" s="83" t="n"/>
      <c r="F320" s="83" t="n"/>
      <c r="G320" s="83" t="n"/>
      <c r="H320" s="83" t="n"/>
      <c r="S320">
        <f>IF(5&lt;='設定'!$B$6,"表示","隠す")</f>
        <v/>
      </c>
    </row>
    <row r="321" ht="21" customHeight="1">
      <c r="A321" s="82" t="n"/>
      <c r="B321" s="47">
        <f>'設定'!$I$16</f>
        <v/>
      </c>
      <c r="C321" s="83" t="n"/>
      <c r="D321" s="83" t="n"/>
      <c r="E321" s="83" t="n"/>
      <c r="F321" s="83" t="n"/>
      <c r="G321" s="83" t="n"/>
      <c r="H321" s="83" t="n"/>
      <c r="S321">
        <f>IF(6&lt;='設定'!$B$6,"表示","隠す")</f>
        <v/>
      </c>
    </row>
    <row r="322" ht="21" customHeight="1">
      <c r="A322" s="82" t="n"/>
      <c r="B322" s="47">
        <f>'設定'!$I$17</f>
        <v/>
      </c>
      <c r="C322" s="83" t="n"/>
      <c r="D322" s="83" t="n"/>
      <c r="E322" s="83" t="n"/>
      <c r="F322" s="83" t="n"/>
      <c r="G322" s="83" t="n"/>
      <c r="H322" s="83" t="n"/>
      <c r="S322">
        <f>IF(7&lt;='設定'!$B$6,"表示","隠す")</f>
        <v/>
      </c>
    </row>
    <row r="323" ht="21" customHeight="1">
      <c r="A323" s="82" t="n"/>
      <c r="B323" s="47">
        <f>'設定'!$I$18</f>
        <v/>
      </c>
      <c r="C323" s="83" t="n"/>
      <c r="D323" s="83" t="n"/>
      <c r="E323" s="83" t="n"/>
      <c r="F323" s="83" t="n"/>
      <c r="G323" s="83" t="n"/>
      <c r="H323" s="83" t="n"/>
      <c r="S323">
        <f>IF(8&lt;='設定'!$B$6,"表示","隠す")</f>
        <v/>
      </c>
    </row>
    <row r="324" ht="21" customHeight="1">
      <c r="A324" s="82" t="n"/>
      <c r="B324" s="47">
        <f>'設定'!$I$19</f>
        <v/>
      </c>
      <c r="C324" s="83" t="n"/>
      <c r="D324" s="83" t="n"/>
      <c r="E324" s="83" t="n"/>
      <c r="F324" s="83" t="n"/>
      <c r="G324" s="83" t="n"/>
      <c r="H324" s="83" t="n"/>
      <c r="S324">
        <f>IF(9&lt;='設定'!$B$6,"表示","隠す")</f>
        <v/>
      </c>
    </row>
    <row r="325" hidden="1" ht="21" customHeight="1">
      <c r="A325" s="82" t="n"/>
      <c r="B325" s="47">
        <f>'設定'!$I$20</f>
        <v/>
      </c>
      <c r="C325" s="83" t="n"/>
      <c r="D325" s="83" t="n"/>
      <c r="E325" s="83" t="n"/>
      <c r="F325" s="83" t="n"/>
      <c r="G325" s="83" t="n"/>
      <c r="H325" s="83" t="n"/>
      <c r="S325">
        <f>IF(10&lt;='設定'!$B$6,"表示","隠す")</f>
        <v/>
      </c>
    </row>
    <row r="326" hidden="1" ht="21" customHeight="1">
      <c r="A326" s="82" t="n"/>
      <c r="B326" s="47">
        <f>'設定'!$I$21</f>
        <v/>
      </c>
      <c r="C326" s="83" t="n"/>
      <c r="D326" s="83" t="n"/>
      <c r="E326" s="83" t="n"/>
      <c r="F326" s="83" t="n"/>
      <c r="G326" s="83" t="n"/>
      <c r="H326" s="83" t="n"/>
      <c r="S326">
        <f>IF(11&lt;='設定'!$B$6,"表示","隠す")</f>
        <v/>
      </c>
    </row>
    <row r="327" hidden="1" ht="21" customHeight="1">
      <c r="A327" s="82" t="n"/>
      <c r="B327" s="47">
        <f>'設定'!$I$22</f>
        <v/>
      </c>
      <c r="C327" s="83" t="n"/>
      <c r="D327" s="83" t="n"/>
      <c r="E327" s="83" t="n"/>
      <c r="F327" s="83" t="n"/>
      <c r="G327" s="83" t="n"/>
      <c r="H327" s="83" t="n"/>
      <c r="S327">
        <f>IF(12&lt;='設定'!$B$6,"表示","隠す")</f>
        <v/>
      </c>
    </row>
    <row r="328" hidden="1" ht="21" customHeight="1">
      <c r="A328" s="82" t="n"/>
      <c r="B328" s="47">
        <f>'設定'!$I$23</f>
        <v/>
      </c>
      <c r="C328" s="83" t="n"/>
      <c r="D328" s="83" t="n"/>
      <c r="E328" s="83" t="n"/>
      <c r="F328" s="83" t="n"/>
      <c r="G328" s="83" t="n"/>
      <c r="H328" s="83" t="n"/>
      <c r="S328">
        <f>IF(13&lt;='設定'!$B$6,"表示","隠す")</f>
        <v/>
      </c>
    </row>
    <row r="329" hidden="1" ht="21" customHeight="1">
      <c r="A329" s="82" t="n"/>
      <c r="B329" s="47">
        <f>'設定'!$I$24</f>
        <v/>
      </c>
      <c r="C329" s="83" t="n"/>
      <c r="D329" s="83" t="n"/>
      <c r="E329" s="83" t="n"/>
      <c r="F329" s="83" t="n"/>
      <c r="G329" s="83" t="n"/>
      <c r="H329" s="83" t="n"/>
      <c r="S329">
        <f>IF(14&lt;='設定'!$B$6,"表示","隠す")</f>
        <v/>
      </c>
    </row>
    <row r="330" hidden="1" ht="21" customHeight="1">
      <c r="A330" s="82" t="n"/>
      <c r="B330" s="47">
        <f>'設定'!$I$25</f>
        <v/>
      </c>
      <c r="C330" s="83" t="n"/>
      <c r="D330" s="83" t="n"/>
      <c r="E330" s="83" t="n"/>
      <c r="F330" s="83" t="n"/>
      <c r="G330" s="83" t="n"/>
      <c r="H330" s="83" t="n"/>
      <c r="S330">
        <f>IF(15&lt;='設定'!$B$6,"表示","隠す")</f>
        <v/>
      </c>
    </row>
    <row r="331" hidden="1" ht="21" customHeight="1">
      <c r="A331" s="82" t="n"/>
      <c r="B331" s="47">
        <f>'設定'!$I$26</f>
        <v/>
      </c>
      <c r="C331" s="83" t="n"/>
      <c r="D331" s="83" t="n"/>
      <c r="E331" s="83" t="n"/>
      <c r="F331" s="83" t="n"/>
      <c r="G331" s="83" t="n"/>
      <c r="H331" s="83" t="n"/>
      <c r="S331">
        <f>IF(16&lt;='設定'!$B$6,"表示","隠す")</f>
        <v/>
      </c>
    </row>
    <row r="332" hidden="1" ht="21" customHeight="1">
      <c r="A332" s="82" t="n"/>
      <c r="B332" s="47">
        <f>'設定'!$I$27</f>
        <v/>
      </c>
      <c r="C332" s="83" t="n"/>
      <c r="D332" s="83" t="n"/>
      <c r="E332" s="83" t="n"/>
      <c r="F332" s="83" t="n"/>
      <c r="G332" s="83" t="n"/>
      <c r="H332" s="83" t="n"/>
      <c r="S332">
        <f>IF(17&lt;='設定'!$B$6,"表示","隠す")</f>
        <v/>
      </c>
    </row>
    <row r="333" hidden="1" ht="21" customHeight="1">
      <c r="A333" s="82" t="n"/>
      <c r="B333" s="47">
        <f>'設定'!$I$28</f>
        <v/>
      </c>
      <c r="C333" s="83" t="n"/>
      <c r="D333" s="83" t="n"/>
      <c r="E333" s="83" t="n"/>
      <c r="F333" s="83" t="n"/>
      <c r="G333" s="83" t="n"/>
      <c r="H333" s="83" t="n"/>
      <c r="S333">
        <f>IF(18&lt;='設定'!$B$6,"表示","隠す")</f>
        <v/>
      </c>
    </row>
    <row r="334" hidden="1" ht="21" customHeight="1">
      <c r="A334" s="82" t="n"/>
      <c r="B334" s="47">
        <f>'設定'!$I$29</f>
        <v/>
      </c>
      <c r="C334" s="83" t="n"/>
      <c r="D334" s="83" t="n"/>
      <c r="E334" s="83" t="n"/>
      <c r="F334" s="83" t="n"/>
      <c r="G334" s="83" t="n"/>
      <c r="H334" s="83" t="n"/>
      <c r="S334">
        <f>IF(19&lt;='設定'!$B$6,"表示","隠す")</f>
        <v/>
      </c>
    </row>
    <row r="335" hidden="1" ht="21" customHeight="1">
      <c r="A335" s="82" t="n"/>
      <c r="B335" s="47">
        <f>'設定'!$I$30</f>
        <v/>
      </c>
      <c r="C335" s="83" t="n"/>
      <c r="D335" s="83" t="n"/>
      <c r="E335" s="83" t="n"/>
      <c r="F335" s="83" t="n"/>
      <c r="G335" s="83" t="n"/>
      <c r="H335" s="83" t="n"/>
      <c r="S335">
        <f>IF(20&lt;='設定'!$B$6,"表示","隠す")</f>
        <v/>
      </c>
    </row>
    <row r="336" hidden="1" ht="21" customHeight="1">
      <c r="A336" s="82" t="n"/>
      <c r="B336" s="47">
        <f>'設定'!$I$31</f>
        <v/>
      </c>
      <c r="C336" s="83" t="n"/>
      <c r="D336" s="83" t="n"/>
      <c r="E336" s="83" t="n"/>
      <c r="F336" s="83" t="n"/>
      <c r="G336" s="83" t="n"/>
      <c r="H336" s="83" t="n"/>
      <c r="S336">
        <f>IF(21&lt;='設定'!$B$6,"表示","隠す")</f>
        <v/>
      </c>
    </row>
    <row r="337" hidden="1" ht="21" customHeight="1">
      <c r="A337" s="82" t="n"/>
      <c r="B337" s="47">
        <f>'設定'!$I$32</f>
        <v/>
      </c>
      <c r="C337" s="83" t="n"/>
      <c r="D337" s="83" t="n"/>
      <c r="E337" s="83" t="n"/>
      <c r="F337" s="83" t="n"/>
      <c r="G337" s="83" t="n"/>
      <c r="H337" s="83" t="n"/>
      <c r="S337">
        <f>IF(22&lt;='設定'!$B$6,"表示","隠す")</f>
        <v/>
      </c>
    </row>
    <row r="338" hidden="1" ht="21" customHeight="1">
      <c r="A338" s="82" t="n"/>
      <c r="B338" s="47">
        <f>'設定'!$I$33</f>
        <v/>
      </c>
      <c r="C338" s="83" t="n"/>
      <c r="D338" s="83" t="n"/>
      <c r="E338" s="83" t="n"/>
      <c r="F338" s="83" t="n"/>
      <c r="G338" s="83" t="n"/>
      <c r="H338" s="83" t="n"/>
      <c r="S338">
        <f>IF(23&lt;='設定'!$B$6,"表示","隠す")</f>
        <v/>
      </c>
    </row>
    <row r="339" hidden="1" ht="21" customHeight="1">
      <c r="A339" s="82" t="n"/>
      <c r="B339" s="47">
        <f>'設定'!$I$34</f>
        <v/>
      </c>
      <c r="C339" s="83" t="n"/>
      <c r="D339" s="83" t="n"/>
      <c r="E339" s="83" t="n"/>
      <c r="F339" s="83" t="n"/>
      <c r="G339" s="83" t="n"/>
      <c r="H339" s="83" t="n"/>
      <c r="S339">
        <f>IF(24&lt;='設定'!$B$6,"表示","隠す")</f>
        <v/>
      </c>
    </row>
    <row r="340">
      <c r="S340" t="inlineStr">
        <is>
          <t>表示</t>
        </is>
      </c>
    </row>
    <row r="341" ht="26" customHeight="1">
      <c r="B341" s="76">
        <f>IF('名簿'!B17="","（名簿 13行目：なし）",'名簿'!P17)</f>
        <v/>
      </c>
      <c r="C341" s="5" t="n"/>
      <c r="D341" s="5" t="n"/>
      <c r="E341" s="77" t="inlineStr">
        <is>
          <t>提出状況 ▶</t>
        </is>
      </c>
      <c r="F341" s="43" t="n"/>
      <c r="G341" s="34" t="n"/>
      <c r="H341" s="78" t="inlineStr">
        <is>
          <t>状況：</t>
        </is>
      </c>
      <c r="I341" s="79">
        <f>'名簿'!Q17</f>
        <v/>
      </c>
      <c r="J341" s="78" t="inlineStr">
        <is>
          <t>×の数：</t>
        </is>
      </c>
      <c r="K341" s="80">
        <f>'名簿'!R17</f>
        <v/>
      </c>
      <c r="L341" s="81">
        <f>HYPERLINK("#'×入力'!B369","次の人へ ▼")</f>
        <v/>
      </c>
      <c r="S341" t="inlineStr">
        <is>
          <t>表示</t>
        </is>
      </c>
    </row>
    <row r="342" ht="22" customHeight="1">
      <c r="A342" s="35" t="inlineStr">
        <is>
          <t>この日全部 ▶</t>
        </is>
      </c>
      <c r="C342" s="82" t="n"/>
      <c r="D342" s="82" t="n"/>
      <c r="E342" s="82" t="n"/>
      <c r="F342" s="82" t="n"/>
      <c r="G342" s="82" t="n"/>
      <c r="H342" s="82" t="n"/>
      <c r="S342" t="inlineStr">
        <is>
          <t>表示</t>
        </is>
      </c>
    </row>
    <row r="343" ht="28" customHeight="1">
      <c r="A343" s="38" t="inlineStr">
        <is>
          <t>この時間
全部 ▼</t>
        </is>
      </c>
      <c r="B343" s="39" t="inlineStr"/>
      <c r="C343" s="40">
        <f>'設定'!$E$11</f>
        <v/>
      </c>
      <c r="D343" s="40">
        <f>'設定'!$E$12</f>
        <v/>
      </c>
      <c r="E343" s="40">
        <f>'設定'!$E$13</f>
        <v/>
      </c>
      <c r="F343" s="40">
        <f>'設定'!$E$14</f>
        <v/>
      </c>
      <c r="G343" s="40">
        <f>'設定'!$E$15</f>
        <v/>
      </c>
      <c r="H343" s="40">
        <f>'設定'!$E$16</f>
        <v/>
      </c>
      <c r="S343" t="inlineStr">
        <is>
          <t>表示</t>
        </is>
      </c>
    </row>
    <row r="344" ht="21" customHeight="1">
      <c r="A344" s="82" t="n"/>
      <c r="B344" s="47">
        <f>'設定'!$I$11</f>
        <v/>
      </c>
      <c r="C344" s="83" t="n"/>
      <c r="D344" s="83" t="n"/>
      <c r="E344" s="83" t="n"/>
      <c r="F344" s="83" t="n"/>
      <c r="G344" s="83" t="n"/>
      <c r="H344" s="83" t="n"/>
      <c r="S344">
        <f>IF(1&lt;='設定'!$B$6,"表示","隠す")</f>
        <v/>
      </c>
    </row>
    <row r="345" ht="21" customHeight="1">
      <c r="A345" s="82" t="n"/>
      <c r="B345" s="47">
        <f>'設定'!$I$12</f>
        <v/>
      </c>
      <c r="C345" s="83" t="n"/>
      <c r="D345" s="83" t="n"/>
      <c r="E345" s="83" t="n"/>
      <c r="F345" s="83" t="inlineStr">
        <is>
          <t>×</t>
        </is>
      </c>
      <c r="G345" s="83" t="n"/>
      <c r="H345" s="83" t="n"/>
      <c r="S345">
        <f>IF(2&lt;='設定'!$B$6,"表示","隠す")</f>
        <v/>
      </c>
    </row>
    <row r="346" ht="21" customHeight="1">
      <c r="A346" s="82" t="n"/>
      <c r="B346" s="47">
        <f>'設定'!$I$13</f>
        <v/>
      </c>
      <c r="C346" s="83" t="n"/>
      <c r="D346" s="83" t="inlineStr">
        <is>
          <t>×</t>
        </is>
      </c>
      <c r="E346" s="83" t="n"/>
      <c r="F346" s="83" t="n"/>
      <c r="G346" s="83" t="inlineStr">
        <is>
          <t>×</t>
        </is>
      </c>
      <c r="H346" s="83" t="n"/>
      <c r="S346">
        <f>IF(3&lt;='設定'!$B$6,"表示","隠す")</f>
        <v/>
      </c>
    </row>
    <row r="347" ht="21" customHeight="1">
      <c r="A347" s="82" t="n"/>
      <c r="B347" s="47">
        <f>'設定'!$I$14</f>
        <v/>
      </c>
      <c r="C347" s="83" t="n"/>
      <c r="D347" s="83" t="n"/>
      <c r="E347" s="83" t="n"/>
      <c r="F347" s="83" t="n"/>
      <c r="G347" s="83" t="n"/>
      <c r="H347" s="83" t="n"/>
      <c r="S347">
        <f>IF(4&lt;='設定'!$B$6,"表示","隠す")</f>
        <v/>
      </c>
    </row>
    <row r="348" ht="21" customHeight="1">
      <c r="A348" s="82" t="n"/>
      <c r="B348" s="47">
        <f>'設定'!$I$15</f>
        <v/>
      </c>
      <c r="C348" s="83" t="n"/>
      <c r="D348" s="83" t="n"/>
      <c r="E348" s="83" t="n"/>
      <c r="F348" s="83" t="inlineStr">
        <is>
          <t>×</t>
        </is>
      </c>
      <c r="G348" s="83" t="n"/>
      <c r="H348" s="83" t="n"/>
      <c r="S348">
        <f>IF(5&lt;='設定'!$B$6,"表示","隠す")</f>
        <v/>
      </c>
    </row>
    <row r="349" ht="21" customHeight="1">
      <c r="A349" s="82" t="n"/>
      <c r="B349" s="47">
        <f>'設定'!$I$16</f>
        <v/>
      </c>
      <c r="C349" s="83" t="n"/>
      <c r="D349" s="83" t="n"/>
      <c r="E349" s="83" t="n"/>
      <c r="F349" s="83" t="n"/>
      <c r="G349" s="83" t="n"/>
      <c r="H349" s="83" t="n"/>
      <c r="S349">
        <f>IF(6&lt;='設定'!$B$6,"表示","隠す")</f>
        <v/>
      </c>
    </row>
    <row r="350" ht="21" customHeight="1">
      <c r="A350" s="82" t="n"/>
      <c r="B350" s="47">
        <f>'設定'!$I$17</f>
        <v/>
      </c>
      <c r="C350" s="83" t="n"/>
      <c r="D350" s="83" t="n"/>
      <c r="E350" s="83" t="n"/>
      <c r="F350" s="83" t="n"/>
      <c r="G350" s="83" t="n"/>
      <c r="H350" s="83" t="n"/>
      <c r="S350">
        <f>IF(7&lt;='設定'!$B$6,"表示","隠す")</f>
        <v/>
      </c>
    </row>
    <row r="351" ht="21" customHeight="1">
      <c r="A351" s="82" t="n"/>
      <c r="B351" s="47">
        <f>'設定'!$I$18</f>
        <v/>
      </c>
      <c r="C351" s="83" t="n"/>
      <c r="D351" s="83" t="n"/>
      <c r="E351" s="83" t="n"/>
      <c r="F351" s="83" t="n"/>
      <c r="G351" s="83" t="n"/>
      <c r="H351" s="83" t="n"/>
      <c r="S351">
        <f>IF(8&lt;='設定'!$B$6,"表示","隠す")</f>
        <v/>
      </c>
    </row>
    <row r="352" ht="21" customHeight="1">
      <c r="A352" s="82" t="n"/>
      <c r="B352" s="47">
        <f>'設定'!$I$19</f>
        <v/>
      </c>
      <c r="C352" s="83" t="n"/>
      <c r="D352" s="83" t="n"/>
      <c r="E352" s="83" t="n"/>
      <c r="F352" s="83" t="inlineStr">
        <is>
          <t>×</t>
        </is>
      </c>
      <c r="G352" s="83" t="n"/>
      <c r="H352" s="83" t="n"/>
      <c r="S352">
        <f>IF(9&lt;='設定'!$B$6,"表示","隠す")</f>
        <v/>
      </c>
    </row>
    <row r="353" hidden="1" ht="21" customHeight="1">
      <c r="A353" s="82" t="n"/>
      <c r="B353" s="47">
        <f>'設定'!$I$20</f>
        <v/>
      </c>
      <c r="C353" s="83" t="n"/>
      <c r="D353" s="83" t="n"/>
      <c r="E353" s="83" t="n"/>
      <c r="F353" s="83" t="n"/>
      <c r="G353" s="83" t="n"/>
      <c r="H353" s="83" t="n"/>
      <c r="S353">
        <f>IF(10&lt;='設定'!$B$6,"表示","隠す")</f>
        <v/>
      </c>
    </row>
    <row r="354" hidden="1" ht="21" customHeight="1">
      <c r="A354" s="82" t="n"/>
      <c r="B354" s="47">
        <f>'設定'!$I$21</f>
        <v/>
      </c>
      <c r="C354" s="83" t="n"/>
      <c r="D354" s="83" t="n"/>
      <c r="E354" s="83" t="n"/>
      <c r="F354" s="83" t="n"/>
      <c r="G354" s="83" t="n"/>
      <c r="H354" s="83" t="n"/>
      <c r="S354">
        <f>IF(11&lt;='設定'!$B$6,"表示","隠す")</f>
        <v/>
      </c>
    </row>
    <row r="355" hidden="1" ht="21" customHeight="1">
      <c r="A355" s="82" t="n"/>
      <c r="B355" s="47">
        <f>'設定'!$I$22</f>
        <v/>
      </c>
      <c r="C355" s="83" t="n"/>
      <c r="D355" s="83" t="n"/>
      <c r="E355" s="83" t="n"/>
      <c r="F355" s="83" t="n"/>
      <c r="G355" s="83" t="n"/>
      <c r="H355" s="83" t="n"/>
      <c r="S355">
        <f>IF(12&lt;='設定'!$B$6,"表示","隠す")</f>
        <v/>
      </c>
    </row>
    <row r="356" hidden="1" ht="21" customHeight="1">
      <c r="A356" s="82" t="n"/>
      <c r="B356" s="47">
        <f>'設定'!$I$23</f>
        <v/>
      </c>
      <c r="C356" s="83" t="n"/>
      <c r="D356" s="83" t="n"/>
      <c r="E356" s="83" t="n"/>
      <c r="F356" s="83" t="n"/>
      <c r="G356" s="83" t="n"/>
      <c r="H356" s="83" t="n"/>
      <c r="S356">
        <f>IF(13&lt;='設定'!$B$6,"表示","隠す")</f>
        <v/>
      </c>
    </row>
    <row r="357" hidden="1" ht="21" customHeight="1">
      <c r="A357" s="82" t="n"/>
      <c r="B357" s="47">
        <f>'設定'!$I$24</f>
        <v/>
      </c>
      <c r="C357" s="83" t="n"/>
      <c r="D357" s="83" t="n"/>
      <c r="E357" s="83" t="n"/>
      <c r="F357" s="83" t="n"/>
      <c r="G357" s="83" t="n"/>
      <c r="H357" s="83" t="n"/>
      <c r="S357">
        <f>IF(14&lt;='設定'!$B$6,"表示","隠す")</f>
        <v/>
      </c>
    </row>
    <row r="358" hidden="1" ht="21" customHeight="1">
      <c r="A358" s="82" t="n"/>
      <c r="B358" s="47">
        <f>'設定'!$I$25</f>
        <v/>
      </c>
      <c r="C358" s="83" t="n"/>
      <c r="D358" s="83" t="n"/>
      <c r="E358" s="83" t="n"/>
      <c r="F358" s="83" t="n"/>
      <c r="G358" s="83" t="n"/>
      <c r="H358" s="83" t="n"/>
      <c r="S358">
        <f>IF(15&lt;='設定'!$B$6,"表示","隠す")</f>
        <v/>
      </c>
    </row>
    <row r="359" hidden="1" ht="21" customHeight="1">
      <c r="A359" s="82" t="n"/>
      <c r="B359" s="47">
        <f>'設定'!$I$26</f>
        <v/>
      </c>
      <c r="C359" s="83" t="n"/>
      <c r="D359" s="83" t="n"/>
      <c r="E359" s="83" t="n"/>
      <c r="F359" s="83" t="n"/>
      <c r="G359" s="83" t="n"/>
      <c r="H359" s="83" t="n"/>
      <c r="S359">
        <f>IF(16&lt;='設定'!$B$6,"表示","隠す")</f>
        <v/>
      </c>
    </row>
    <row r="360" hidden="1" ht="21" customHeight="1">
      <c r="A360" s="82" t="n"/>
      <c r="B360" s="47">
        <f>'設定'!$I$27</f>
        <v/>
      </c>
      <c r="C360" s="83" t="n"/>
      <c r="D360" s="83" t="n"/>
      <c r="E360" s="83" t="n"/>
      <c r="F360" s="83" t="n"/>
      <c r="G360" s="83" t="n"/>
      <c r="H360" s="83" t="n"/>
      <c r="S360">
        <f>IF(17&lt;='設定'!$B$6,"表示","隠す")</f>
        <v/>
      </c>
    </row>
    <row r="361" hidden="1" ht="21" customHeight="1">
      <c r="A361" s="82" t="n"/>
      <c r="B361" s="47">
        <f>'設定'!$I$28</f>
        <v/>
      </c>
      <c r="C361" s="83" t="n"/>
      <c r="D361" s="83" t="n"/>
      <c r="E361" s="83" t="n"/>
      <c r="F361" s="83" t="n"/>
      <c r="G361" s="83" t="n"/>
      <c r="H361" s="83" t="n"/>
      <c r="S361">
        <f>IF(18&lt;='設定'!$B$6,"表示","隠す")</f>
        <v/>
      </c>
    </row>
    <row r="362" hidden="1" ht="21" customHeight="1">
      <c r="A362" s="82" t="n"/>
      <c r="B362" s="47">
        <f>'設定'!$I$29</f>
        <v/>
      </c>
      <c r="C362" s="83" t="n"/>
      <c r="D362" s="83" t="n"/>
      <c r="E362" s="83" t="n"/>
      <c r="F362" s="83" t="n"/>
      <c r="G362" s="83" t="n"/>
      <c r="H362" s="83" t="n"/>
      <c r="S362">
        <f>IF(19&lt;='設定'!$B$6,"表示","隠す")</f>
        <v/>
      </c>
    </row>
    <row r="363" hidden="1" ht="21" customHeight="1">
      <c r="A363" s="82" t="n"/>
      <c r="B363" s="47">
        <f>'設定'!$I$30</f>
        <v/>
      </c>
      <c r="C363" s="83" t="n"/>
      <c r="D363" s="83" t="n"/>
      <c r="E363" s="83" t="n"/>
      <c r="F363" s="83" t="n"/>
      <c r="G363" s="83" t="n"/>
      <c r="H363" s="83" t="n"/>
      <c r="S363">
        <f>IF(20&lt;='設定'!$B$6,"表示","隠す")</f>
        <v/>
      </c>
    </row>
    <row r="364" hidden="1" ht="21" customHeight="1">
      <c r="A364" s="82" t="n"/>
      <c r="B364" s="47">
        <f>'設定'!$I$31</f>
        <v/>
      </c>
      <c r="C364" s="83" t="n"/>
      <c r="D364" s="83" t="n"/>
      <c r="E364" s="83" t="n"/>
      <c r="F364" s="83" t="n"/>
      <c r="G364" s="83" t="n"/>
      <c r="H364" s="83" t="n"/>
      <c r="S364">
        <f>IF(21&lt;='設定'!$B$6,"表示","隠す")</f>
        <v/>
      </c>
    </row>
    <row r="365" hidden="1" ht="21" customHeight="1">
      <c r="A365" s="82" t="n"/>
      <c r="B365" s="47">
        <f>'設定'!$I$32</f>
        <v/>
      </c>
      <c r="C365" s="83" t="n"/>
      <c r="D365" s="83" t="n"/>
      <c r="E365" s="83" t="n"/>
      <c r="F365" s="83" t="n"/>
      <c r="G365" s="83" t="n"/>
      <c r="H365" s="83" t="n"/>
      <c r="S365">
        <f>IF(22&lt;='設定'!$B$6,"表示","隠す")</f>
        <v/>
      </c>
    </row>
    <row r="366" hidden="1" ht="21" customHeight="1">
      <c r="A366" s="82" t="n"/>
      <c r="B366" s="47">
        <f>'設定'!$I$33</f>
        <v/>
      </c>
      <c r="C366" s="83" t="n"/>
      <c r="D366" s="83" t="n"/>
      <c r="E366" s="83" t="n"/>
      <c r="F366" s="83" t="n"/>
      <c r="G366" s="83" t="n"/>
      <c r="H366" s="83" t="n"/>
      <c r="S366">
        <f>IF(23&lt;='設定'!$B$6,"表示","隠す")</f>
        <v/>
      </c>
    </row>
    <row r="367" hidden="1" ht="21" customHeight="1">
      <c r="A367" s="82" t="n"/>
      <c r="B367" s="47">
        <f>'設定'!$I$34</f>
        <v/>
      </c>
      <c r="C367" s="83" t="n"/>
      <c r="D367" s="83" t="n"/>
      <c r="E367" s="83" t="n"/>
      <c r="F367" s="83" t="n"/>
      <c r="G367" s="83" t="n"/>
      <c r="H367" s="83" t="n"/>
      <c r="S367">
        <f>IF(24&lt;='設定'!$B$6,"表示","隠す")</f>
        <v/>
      </c>
    </row>
    <row r="368">
      <c r="S368" t="inlineStr">
        <is>
          <t>表示</t>
        </is>
      </c>
    </row>
    <row r="369" ht="26" customHeight="1">
      <c r="B369" s="76">
        <f>IF('名簿'!B18="","（名簿 14行目：なし）",'名簿'!P18)</f>
        <v/>
      </c>
      <c r="C369" s="5" t="n"/>
      <c r="D369" s="5" t="n"/>
      <c r="E369" s="77" t="inlineStr">
        <is>
          <t>提出状況 ▶</t>
        </is>
      </c>
      <c r="F369" s="43" t="n"/>
      <c r="G369" s="34" t="n"/>
      <c r="H369" s="78" t="inlineStr">
        <is>
          <t>状況：</t>
        </is>
      </c>
      <c r="I369" s="79">
        <f>'名簿'!Q18</f>
        <v/>
      </c>
      <c r="J369" s="78" t="inlineStr">
        <is>
          <t>×の数：</t>
        </is>
      </c>
      <c r="K369" s="80">
        <f>'名簿'!R18</f>
        <v/>
      </c>
      <c r="L369" s="81">
        <f>HYPERLINK("#'×入力'!B397","次の人へ ▼")</f>
        <v/>
      </c>
      <c r="S369" t="inlineStr">
        <is>
          <t>表示</t>
        </is>
      </c>
    </row>
    <row r="370" ht="22" customHeight="1">
      <c r="A370" s="35" t="inlineStr">
        <is>
          <t>この日全部 ▶</t>
        </is>
      </c>
      <c r="C370" s="82" t="n"/>
      <c r="D370" s="82" t="n"/>
      <c r="E370" s="82" t="n"/>
      <c r="F370" s="82" t="n"/>
      <c r="G370" s="82" t="n"/>
      <c r="H370" s="82" t="n"/>
      <c r="S370" t="inlineStr">
        <is>
          <t>表示</t>
        </is>
      </c>
    </row>
    <row r="371" ht="28" customHeight="1">
      <c r="A371" s="38" t="inlineStr">
        <is>
          <t>この時間
全部 ▼</t>
        </is>
      </c>
      <c r="B371" s="39" t="inlineStr"/>
      <c r="C371" s="40">
        <f>'設定'!$E$11</f>
        <v/>
      </c>
      <c r="D371" s="40">
        <f>'設定'!$E$12</f>
        <v/>
      </c>
      <c r="E371" s="40">
        <f>'設定'!$E$13</f>
        <v/>
      </c>
      <c r="F371" s="40">
        <f>'設定'!$E$14</f>
        <v/>
      </c>
      <c r="G371" s="40">
        <f>'設定'!$E$15</f>
        <v/>
      </c>
      <c r="H371" s="40">
        <f>'設定'!$E$16</f>
        <v/>
      </c>
      <c r="S371" t="inlineStr">
        <is>
          <t>表示</t>
        </is>
      </c>
    </row>
    <row r="372" ht="21" customHeight="1">
      <c r="A372" s="82" t="n"/>
      <c r="B372" s="47">
        <f>'設定'!$I$11</f>
        <v/>
      </c>
      <c r="C372" s="83" t="n"/>
      <c r="D372" s="83" t="n"/>
      <c r="E372" s="83" t="inlineStr">
        <is>
          <t>×</t>
        </is>
      </c>
      <c r="F372" s="83" t="n"/>
      <c r="G372" s="83" t="n"/>
      <c r="H372" s="83" t="n"/>
      <c r="S372">
        <f>IF(1&lt;='設定'!$B$6,"表示","隠す")</f>
        <v/>
      </c>
    </row>
    <row r="373" ht="21" customHeight="1">
      <c r="A373" s="82" t="n"/>
      <c r="B373" s="47">
        <f>'設定'!$I$12</f>
        <v/>
      </c>
      <c r="C373" s="83" t="inlineStr">
        <is>
          <t>×</t>
        </is>
      </c>
      <c r="D373" s="83" t="n"/>
      <c r="E373" s="83" t="inlineStr">
        <is>
          <t>×</t>
        </is>
      </c>
      <c r="F373" s="83" t="inlineStr">
        <is>
          <t>×</t>
        </is>
      </c>
      <c r="G373" s="83" t="n"/>
      <c r="H373" s="83" t="n"/>
      <c r="S373">
        <f>IF(2&lt;='設定'!$B$6,"表示","隠す")</f>
        <v/>
      </c>
    </row>
    <row r="374" ht="21" customHeight="1">
      <c r="A374" s="82" t="n"/>
      <c r="B374" s="47">
        <f>'設定'!$I$13</f>
        <v/>
      </c>
      <c r="C374" s="83" t="n"/>
      <c r="D374" s="83" t="n"/>
      <c r="E374" s="83" t="inlineStr">
        <is>
          <t>×</t>
        </is>
      </c>
      <c r="F374" s="83" t="n"/>
      <c r="G374" s="83" t="n"/>
      <c r="H374" s="83" t="n"/>
      <c r="S374">
        <f>IF(3&lt;='設定'!$B$6,"表示","隠す")</f>
        <v/>
      </c>
    </row>
    <row r="375" ht="21" customHeight="1">
      <c r="A375" s="82" t="n"/>
      <c r="B375" s="47">
        <f>'設定'!$I$14</f>
        <v/>
      </c>
      <c r="C375" s="83" t="n"/>
      <c r="D375" s="83" t="inlineStr">
        <is>
          <t>×</t>
        </is>
      </c>
      <c r="E375" s="83" t="inlineStr">
        <is>
          <t>×</t>
        </is>
      </c>
      <c r="F375" s="83" t="n"/>
      <c r="G375" s="83" t="n"/>
      <c r="H375" s="83" t="n"/>
      <c r="S375">
        <f>IF(4&lt;='設定'!$B$6,"表示","隠す")</f>
        <v/>
      </c>
    </row>
    <row r="376" ht="21" customHeight="1">
      <c r="A376" s="82" t="n"/>
      <c r="B376" s="47">
        <f>'設定'!$I$15</f>
        <v/>
      </c>
      <c r="C376" s="83" t="n"/>
      <c r="D376" s="83" t="n"/>
      <c r="E376" s="83" t="inlineStr">
        <is>
          <t>×</t>
        </is>
      </c>
      <c r="F376" s="83" t="n"/>
      <c r="G376" s="83" t="n"/>
      <c r="H376" s="83" t="n"/>
      <c r="S376">
        <f>IF(5&lt;='設定'!$B$6,"表示","隠す")</f>
        <v/>
      </c>
    </row>
    <row r="377" ht="21" customHeight="1">
      <c r="A377" s="82" t="n"/>
      <c r="B377" s="47">
        <f>'設定'!$I$16</f>
        <v/>
      </c>
      <c r="C377" s="83" t="n"/>
      <c r="D377" s="83" t="inlineStr">
        <is>
          <t>×</t>
        </is>
      </c>
      <c r="E377" s="83" t="inlineStr">
        <is>
          <t>×</t>
        </is>
      </c>
      <c r="F377" s="83" t="inlineStr">
        <is>
          <t>×</t>
        </is>
      </c>
      <c r="G377" s="83" t="n"/>
      <c r="H377" s="83" t="n"/>
      <c r="S377">
        <f>IF(6&lt;='設定'!$B$6,"表示","隠す")</f>
        <v/>
      </c>
    </row>
    <row r="378" ht="21" customHeight="1">
      <c r="A378" s="82" t="n"/>
      <c r="B378" s="47">
        <f>'設定'!$I$17</f>
        <v/>
      </c>
      <c r="C378" s="83" t="n"/>
      <c r="D378" s="83" t="n"/>
      <c r="E378" s="83" t="inlineStr">
        <is>
          <t>×</t>
        </is>
      </c>
      <c r="F378" s="83" t="inlineStr">
        <is>
          <t>×</t>
        </is>
      </c>
      <c r="G378" s="83" t="n"/>
      <c r="H378" s="83" t="n"/>
      <c r="S378">
        <f>IF(7&lt;='設定'!$B$6,"表示","隠す")</f>
        <v/>
      </c>
    </row>
    <row r="379" ht="21" customHeight="1">
      <c r="A379" s="82" t="n"/>
      <c r="B379" s="47">
        <f>'設定'!$I$18</f>
        <v/>
      </c>
      <c r="C379" s="83" t="n"/>
      <c r="D379" s="83" t="n"/>
      <c r="E379" s="83" t="inlineStr">
        <is>
          <t>×</t>
        </is>
      </c>
      <c r="F379" s="83" t="n"/>
      <c r="G379" s="83" t="inlineStr">
        <is>
          <t>×</t>
        </is>
      </c>
      <c r="H379" s="83" t="n"/>
      <c r="S379">
        <f>IF(8&lt;='設定'!$B$6,"表示","隠す")</f>
        <v/>
      </c>
    </row>
    <row r="380" ht="21" customHeight="1">
      <c r="A380" s="82" t="n"/>
      <c r="B380" s="47">
        <f>'設定'!$I$19</f>
        <v/>
      </c>
      <c r="C380" s="83" t="n"/>
      <c r="D380" s="83" t="n"/>
      <c r="E380" s="83" t="inlineStr">
        <is>
          <t>×</t>
        </is>
      </c>
      <c r="F380" s="83" t="n"/>
      <c r="G380" s="83" t="inlineStr">
        <is>
          <t>×</t>
        </is>
      </c>
      <c r="H380" s="83" t="n"/>
      <c r="S380">
        <f>IF(9&lt;='設定'!$B$6,"表示","隠す")</f>
        <v/>
      </c>
    </row>
    <row r="381" hidden="1" ht="21" customHeight="1">
      <c r="A381" s="82" t="n"/>
      <c r="B381" s="47">
        <f>'設定'!$I$20</f>
        <v/>
      </c>
      <c r="C381" s="83" t="n"/>
      <c r="D381" s="83" t="n"/>
      <c r="E381" s="83" t="n"/>
      <c r="F381" s="83" t="n"/>
      <c r="G381" s="83" t="n"/>
      <c r="H381" s="83" t="n"/>
      <c r="S381">
        <f>IF(10&lt;='設定'!$B$6,"表示","隠す")</f>
        <v/>
      </c>
    </row>
    <row r="382" hidden="1" ht="21" customHeight="1">
      <c r="A382" s="82" t="n"/>
      <c r="B382" s="47">
        <f>'設定'!$I$21</f>
        <v/>
      </c>
      <c r="C382" s="83" t="n"/>
      <c r="D382" s="83" t="n"/>
      <c r="E382" s="83" t="n"/>
      <c r="F382" s="83" t="n"/>
      <c r="G382" s="83" t="n"/>
      <c r="H382" s="83" t="n"/>
      <c r="S382">
        <f>IF(11&lt;='設定'!$B$6,"表示","隠す")</f>
        <v/>
      </c>
    </row>
    <row r="383" hidden="1" ht="21" customHeight="1">
      <c r="A383" s="82" t="n"/>
      <c r="B383" s="47">
        <f>'設定'!$I$22</f>
        <v/>
      </c>
      <c r="C383" s="83" t="n"/>
      <c r="D383" s="83" t="n"/>
      <c r="E383" s="83" t="n"/>
      <c r="F383" s="83" t="n"/>
      <c r="G383" s="83" t="n"/>
      <c r="H383" s="83" t="n"/>
      <c r="S383">
        <f>IF(12&lt;='設定'!$B$6,"表示","隠す")</f>
        <v/>
      </c>
    </row>
    <row r="384" hidden="1" ht="21" customHeight="1">
      <c r="A384" s="82" t="n"/>
      <c r="B384" s="47">
        <f>'設定'!$I$23</f>
        <v/>
      </c>
      <c r="C384" s="83" t="n"/>
      <c r="D384" s="83" t="n"/>
      <c r="E384" s="83" t="n"/>
      <c r="F384" s="83" t="n"/>
      <c r="G384" s="83" t="n"/>
      <c r="H384" s="83" t="n"/>
      <c r="S384">
        <f>IF(13&lt;='設定'!$B$6,"表示","隠す")</f>
        <v/>
      </c>
    </row>
    <row r="385" hidden="1" ht="21" customHeight="1">
      <c r="A385" s="82" t="n"/>
      <c r="B385" s="47">
        <f>'設定'!$I$24</f>
        <v/>
      </c>
      <c r="C385" s="83" t="n"/>
      <c r="D385" s="83" t="n"/>
      <c r="E385" s="83" t="n"/>
      <c r="F385" s="83" t="n"/>
      <c r="G385" s="83" t="n"/>
      <c r="H385" s="83" t="n"/>
      <c r="S385">
        <f>IF(14&lt;='設定'!$B$6,"表示","隠す")</f>
        <v/>
      </c>
    </row>
    <row r="386" hidden="1" ht="21" customHeight="1">
      <c r="A386" s="82" t="n"/>
      <c r="B386" s="47">
        <f>'設定'!$I$25</f>
        <v/>
      </c>
      <c r="C386" s="83" t="n"/>
      <c r="D386" s="83" t="n"/>
      <c r="E386" s="83" t="n"/>
      <c r="F386" s="83" t="n"/>
      <c r="G386" s="83" t="n"/>
      <c r="H386" s="83" t="n"/>
      <c r="S386">
        <f>IF(15&lt;='設定'!$B$6,"表示","隠す")</f>
        <v/>
      </c>
    </row>
    <row r="387" hidden="1" ht="21" customHeight="1">
      <c r="A387" s="82" t="n"/>
      <c r="B387" s="47">
        <f>'設定'!$I$26</f>
        <v/>
      </c>
      <c r="C387" s="83" t="n"/>
      <c r="D387" s="83" t="n"/>
      <c r="E387" s="83" t="n"/>
      <c r="F387" s="83" t="n"/>
      <c r="G387" s="83" t="n"/>
      <c r="H387" s="83" t="n"/>
      <c r="S387">
        <f>IF(16&lt;='設定'!$B$6,"表示","隠す")</f>
        <v/>
      </c>
    </row>
    <row r="388" hidden="1" ht="21" customHeight="1">
      <c r="A388" s="82" t="n"/>
      <c r="B388" s="47">
        <f>'設定'!$I$27</f>
        <v/>
      </c>
      <c r="C388" s="83" t="n"/>
      <c r="D388" s="83" t="n"/>
      <c r="E388" s="83" t="n"/>
      <c r="F388" s="83" t="n"/>
      <c r="G388" s="83" t="n"/>
      <c r="H388" s="83" t="n"/>
      <c r="S388">
        <f>IF(17&lt;='設定'!$B$6,"表示","隠す")</f>
        <v/>
      </c>
    </row>
    <row r="389" hidden="1" ht="21" customHeight="1">
      <c r="A389" s="82" t="n"/>
      <c r="B389" s="47">
        <f>'設定'!$I$28</f>
        <v/>
      </c>
      <c r="C389" s="83" t="n"/>
      <c r="D389" s="83" t="n"/>
      <c r="E389" s="83" t="n"/>
      <c r="F389" s="83" t="n"/>
      <c r="G389" s="83" t="n"/>
      <c r="H389" s="83" t="n"/>
      <c r="S389">
        <f>IF(18&lt;='設定'!$B$6,"表示","隠す")</f>
        <v/>
      </c>
    </row>
    <row r="390" hidden="1" ht="21" customHeight="1">
      <c r="A390" s="82" t="n"/>
      <c r="B390" s="47">
        <f>'設定'!$I$29</f>
        <v/>
      </c>
      <c r="C390" s="83" t="n"/>
      <c r="D390" s="83" t="n"/>
      <c r="E390" s="83" t="n"/>
      <c r="F390" s="83" t="n"/>
      <c r="G390" s="83" t="n"/>
      <c r="H390" s="83" t="n"/>
      <c r="S390">
        <f>IF(19&lt;='設定'!$B$6,"表示","隠す")</f>
        <v/>
      </c>
    </row>
    <row r="391" hidden="1" ht="21" customHeight="1">
      <c r="A391" s="82" t="n"/>
      <c r="B391" s="47">
        <f>'設定'!$I$30</f>
        <v/>
      </c>
      <c r="C391" s="83" t="n"/>
      <c r="D391" s="83" t="n"/>
      <c r="E391" s="83" t="n"/>
      <c r="F391" s="83" t="n"/>
      <c r="G391" s="83" t="n"/>
      <c r="H391" s="83" t="n"/>
      <c r="S391">
        <f>IF(20&lt;='設定'!$B$6,"表示","隠す")</f>
        <v/>
      </c>
    </row>
    <row r="392" hidden="1" ht="21" customHeight="1">
      <c r="A392" s="82" t="n"/>
      <c r="B392" s="47">
        <f>'設定'!$I$31</f>
        <v/>
      </c>
      <c r="C392" s="83" t="n"/>
      <c r="D392" s="83" t="n"/>
      <c r="E392" s="83" t="n"/>
      <c r="F392" s="83" t="n"/>
      <c r="G392" s="83" t="n"/>
      <c r="H392" s="83" t="n"/>
      <c r="S392">
        <f>IF(21&lt;='設定'!$B$6,"表示","隠す")</f>
        <v/>
      </c>
    </row>
    <row r="393" hidden="1" ht="21" customHeight="1">
      <c r="A393" s="82" t="n"/>
      <c r="B393" s="47">
        <f>'設定'!$I$32</f>
        <v/>
      </c>
      <c r="C393" s="83" t="n"/>
      <c r="D393" s="83" t="n"/>
      <c r="E393" s="83" t="n"/>
      <c r="F393" s="83" t="n"/>
      <c r="G393" s="83" t="n"/>
      <c r="H393" s="83" t="n"/>
      <c r="S393">
        <f>IF(22&lt;='設定'!$B$6,"表示","隠す")</f>
        <v/>
      </c>
    </row>
    <row r="394" hidden="1" ht="21" customHeight="1">
      <c r="A394" s="82" t="n"/>
      <c r="B394" s="47">
        <f>'設定'!$I$33</f>
        <v/>
      </c>
      <c r="C394" s="83" t="n"/>
      <c r="D394" s="83" t="n"/>
      <c r="E394" s="83" t="n"/>
      <c r="F394" s="83" t="n"/>
      <c r="G394" s="83" t="n"/>
      <c r="H394" s="83" t="n"/>
      <c r="S394">
        <f>IF(23&lt;='設定'!$B$6,"表示","隠す")</f>
        <v/>
      </c>
    </row>
    <row r="395" hidden="1" ht="21" customHeight="1">
      <c r="A395" s="82" t="n"/>
      <c r="B395" s="47">
        <f>'設定'!$I$34</f>
        <v/>
      </c>
      <c r="C395" s="83" t="n"/>
      <c r="D395" s="83" t="n"/>
      <c r="E395" s="83" t="n"/>
      <c r="F395" s="83" t="n"/>
      <c r="G395" s="83" t="n"/>
      <c r="H395" s="83" t="n"/>
      <c r="S395">
        <f>IF(24&lt;='設定'!$B$6,"表示","隠す")</f>
        <v/>
      </c>
    </row>
    <row r="396">
      <c r="S396" t="inlineStr">
        <is>
          <t>表示</t>
        </is>
      </c>
    </row>
    <row r="397" ht="26" customHeight="1">
      <c r="B397" s="76">
        <f>IF('名簿'!B19="","（名簿 15行目：なし）",'名簿'!P19)</f>
        <v/>
      </c>
      <c r="C397" s="5" t="n"/>
      <c r="D397" s="5" t="n"/>
      <c r="E397" s="77" t="inlineStr">
        <is>
          <t>提出状況 ▶</t>
        </is>
      </c>
      <c r="F397" s="43" t="n"/>
      <c r="G397" s="34" t="n"/>
      <c r="H397" s="78" t="inlineStr">
        <is>
          <t>状況：</t>
        </is>
      </c>
      <c r="I397" s="79">
        <f>'名簿'!Q19</f>
        <v/>
      </c>
      <c r="J397" s="78" t="inlineStr">
        <is>
          <t>×の数：</t>
        </is>
      </c>
      <c r="K397" s="80">
        <f>'名簿'!R19</f>
        <v/>
      </c>
      <c r="L397" s="81">
        <f>HYPERLINK("#'×入力'!B425","次の人へ ▼")</f>
        <v/>
      </c>
      <c r="S397" t="inlineStr">
        <is>
          <t>表示</t>
        </is>
      </c>
    </row>
    <row r="398" ht="22" customHeight="1">
      <c r="A398" s="35" t="inlineStr">
        <is>
          <t>この日全部 ▶</t>
        </is>
      </c>
      <c r="C398" s="82" t="n"/>
      <c r="D398" s="82" t="n"/>
      <c r="E398" s="82" t="n"/>
      <c r="F398" s="82" t="n"/>
      <c r="G398" s="82" t="n"/>
      <c r="H398" s="82" t="n"/>
      <c r="S398" t="inlineStr">
        <is>
          <t>表示</t>
        </is>
      </c>
    </row>
    <row r="399" ht="28" customHeight="1">
      <c r="A399" s="38" t="inlineStr">
        <is>
          <t>この時間
全部 ▼</t>
        </is>
      </c>
      <c r="B399" s="39" t="inlineStr"/>
      <c r="C399" s="40">
        <f>'設定'!$E$11</f>
        <v/>
      </c>
      <c r="D399" s="40">
        <f>'設定'!$E$12</f>
        <v/>
      </c>
      <c r="E399" s="40">
        <f>'設定'!$E$13</f>
        <v/>
      </c>
      <c r="F399" s="40">
        <f>'設定'!$E$14</f>
        <v/>
      </c>
      <c r="G399" s="40">
        <f>'設定'!$E$15</f>
        <v/>
      </c>
      <c r="H399" s="40">
        <f>'設定'!$E$16</f>
        <v/>
      </c>
      <c r="S399" t="inlineStr">
        <is>
          <t>表示</t>
        </is>
      </c>
    </row>
    <row r="400" ht="21" customHeight="1">
      <c r="A400" s="82" t="n"/>
      <c r="B400" s="47">
        <f>'設定'!$I$11</f>
        <v/>
      </c>
      <c r="C400" s="83" t="inlineStr">
        <is>
          <t>×</t>
        </is>
      </c>
      <c r="D400" s="83" t="inlineStr">
        <is>
          <t>×</t>
        </is>
      </c>
      <c r="E400" s="83" t="inlineStr">
        <is>
          <t>×</t>
        </is>
      </c>
      <c r="F400" s="83" t="inlineStr">
        <is>
          <t>×</t>
        </is>
      </c>
      <c r="G400" s="83" t="inlineStr">
        <is>
          <t>×</t>
        </is>
      </c>
      <c r="H400" s="83" t="n"/>
      <c r="S400">
        <f>IF(1&lt;='設定'!$B$6,"表示","隠す")</f>
        <v/>
      </c>
    </row>
    <row r="401" ht="21" customHeight="1">
      <c r="A401" s="82" t="n"/>
      <c r="B401" s="47">
        <f>'設定'!$I$12</f>
        <v/>
      </c>
      <c r="C401" s="83" t="inlineStr">
        <is>
          <t>×</t>
        </is>
      </c>
      <c r="D401" s="83" t="inlineStr">
        <is>
          <t>×</t>
        </is>
      </c>
      <c r="E401" s="83" t="inlineStr">
        <is>
          <t>×</t>
        </is>
      </c>
      <c r="F401" s="83" t="inlineStr">
        <is>
          <t>×</t>
        </is>
      </c>
      <c r="G401" s="83" t="inlineStr">
        <is>
          <t>×</t>
        </is>
      </c>
      <c r="H401" s="83" t="n"/>
      <c r="S401">
        <f>IF(2&lt;='設定'!$B$6,"表示","隠す")</f>
        <v/>
      </c>
    </row>
    <row r="402" ht="21" customHeight="1">
      <c r="A402" s="82" t="n"/>
      <c r="B402" s="47">
        <f>'設定'!$I$13</f>
        <v/>
      </c>
      <c r="C402" s="83" t="inlineStr">
        <is>
          <t>×</t>
        </is>
      </c>
      <c r="D402" s="83" t="inlineStr">
        <is>
          <t>×</t>
        </is>
      </c>
      <c r="E402" s="83" t="inlineStr">
        <is>
          <t>×</t>
        </is>
      </c>
      <c r="F402" s="83" t="inlineStr">
        <is>
          <t>×</t>
        </is>
      </c>
      <c r="G402" s="83" t="inlineStr">
        <is>
          <t>×</t>
        </is>
      </c>
      <c r="H402" s="83" t="n"/>
      <c r="S402">
        <f>IF(3&lt;='設定'!$B$6,"表示","隠す")</f>
        <v/>
      </c>
    </row>
    <row r="403" ht="21" customHeight="1">
      <c r="A403" s="82" t="n"/>
      <c r="B403" s="47">
        <f>'設定'!$I$14</f>
        <v/>
      </c>
      <c r="C403" s="83" t="n"/>
      <c r="D403" s="83" t="n"/>
      <c r="E403" s="83" t="n"/>
      <c r="F403" s="83" t="n"/>
      <c r="G403" s="83" t="n"/>
      <c r="H403" s="83" t="n"/>
      <c r="S403">
        <f>IF(4&lt;='設定'!$B$6,"表示","隠す")</f>
        <v/>
      </c>
    </row>
    <row r="404" ht="21" customHeight="1">
      <c r="A404" s="82" t="n"/>
      <c r="B404" s="47">
        <f>'設定'!$I$15</f>
        <v/>
      </c>
      <c r="C404" s="83" t="n"/>
      <c r="D404" s="83" t="n"/>
      <c r="E404" s="83" t="n"/>
      <c r="F404" s="83" t="n"/>
      <c r="G404" s="83" t="n"/>
      <c r="H404" s="83" t="n"/>
      <c r="S404">
        <f>IF(5&lt;='設定'!$B$6,"表示","隠す")</f>
        <v/>
      </c>
    </row>
    <row r="405" ht="21" customHeight="1">
      <c r="A405" s="82" t="n"/>
      <c r="B405" s="47">
        <f>'設定'!$I$16</f>
        <v/>
      </c>
      <c r="C405" s="83" t="n"/>
      <c r="D405" s="83" t="n"/>
      <c r="E405" s="83" t="n"/>
      <c r="F405" s="83" t="n"/>
      <c r="G405" s="83" t="n"/>
      <c r="H405" s="83" t="n"/>
      <c r="S405">
        <f>IF(6&lt;='設定'!$B$6,"表示","隠す")</f>
        <v/>
      </c>
    </row>
    <row r="406" ht="21" customHeight="1">
      <c r="A406" s="82" t="n"/>
      <c r="B406" s="47">
        <f>'設定'!$I$17</f>
        <v/>
      </c>
      <c r="C406" s="83" t="n"/>
      <c r="D406" s="83" t="n"/>
      <c r="E406" s="83" t="n"/>
      <c r="F406" s="83" t="n"/>
      <c r="G406" s="83" t="n"/>
      <c r="H406" s="83" t="n"/>
      <c r="S406">
        <f>IF(7&lt;='設定'!$B$6,"表示","隠す")</f>
        <v/>
      </c>
    </row>
    <row r="407" ht="21" customHeight="1">
      <c r="A407" s="82" t="n"/>
      <c r="B407" s="47">
        <f>'設定'!$I$18</f>
        <v/>
      </c>
      <c r="C407" s="83" t="n"/>
      <c r="D407" s="83" t="n"/>
      <c r="E407" s="83" t="n"/>
      <c r="F407" s="83" t="n"/>
      <c r="G407" s="83" t="n"/>
      <c r="H407" s="83" t="n"/>
      <c r="S407">
        <f>IF(8&lt;='設定'!$B$6,"表示","隠す")</f>
        <v/>
      </c>
    </row>
    <row r="408" ht="21" customHeight="1">
      <c r="A408" s="82" t="n"/>
      <c r="B408" s="47">
        <f>'設定'!$I$19</f>
        <v/>
      </c>
      <c r="C408" s="83" t="n"/>
      <c r="D408" s="83" t="n"/>
      <c r="E408" s="83" t="inlineStr">
        <is>
          <t>×</t>
        </is>
      </c>
      <c r="F408" s="83" t="n"/>
      <c r="G408" s="83" t="inlineStr">
        <is>
          <t>×</t>
        </is>
      </c>
      <c r="H408" s="83" t="n"/>
      <c r="S408">
        <f>IF(9&lt;='設定'!$B$6,"表示","隠す")</f>
        <v/>
      </c>
    </row>
    <row r="409" hidden="1" ht="21" customHeight="1">
      <c r="A409" s="82" t="n"/>
      <c r="B409" s="47">
        <f>'設定'!$I$20</f>
        <v/>
      </c>
      <c r="C409" s="83" t="n"/>
      <c r="D409" s="83" t="n"/>
      <c r="E409" s="83" t="n"/>
      <c r="F409" s="83" t="n"/>
      <c r="G409" s="83" t="n"/>
      <c r="H409" s="83" t="n"/>
      <c r="S409">
        <f>IF(10&lt;='設定'!$B$6,"表示","隠す")</f>
        <v/>
      </c>
    </row>
    <row r="410" hidden="1" ht="21" customHeight="1">
      <c r="A410" s="82" t="n"/>
      <c r="B410" s="47">
        <f>'設定'!$I$21</f>
        <v/>
      </c>
      <c r="C410" s="83" t="n"/>
      <c r="D410" s="83" t="n"/>
      <c r="E410" s="83" t="n"/>
      <c r="F410" s="83" t="n"/>
      <c r="G410" s="83" t="n"/>
      <c r="H410" s="83" t="n"/>
      <c r="S410">
        <f>IF(11&lt;='設定'!$B$6,"表示","隠す")</f>
        <v/>
      </c>
    </row>
    <row r="411" hidden="1" ht="21" customHeight="1">
      <c r="A411" s="82" t="n"/>
      <c r="B411" s="47">
        <f>'設定'!$I$22</f>
        <v/>
      </c>
      <c r="C411" s="83" t="n"/>
      <c r="D411" s="83" t="n"/>
      <c r="E411" s="83" t="n"/>
      <c r="F411" s="83" t="n"/>
      <c r="G411" s="83" t="n"/>
      <c r="H411" s="83" t="n"/>
      <c r="S411">
        <f>IF(12&lt;='設定'!$B$6,"表示","隠す")</f>
        <v/>
      </c>
    </row>
    <row r="412" hidden="1" ht="21" customHeight="1">
      <c r="A412" s="82" t="n"/>
      <c r="B412" s="47">
        <f>'設定'!$I$23</f>
        <v/>
      </c>
      <c r="C412" s="83" t="n"/>
      <c r="D412" s="83" t="n"/>
      <c r="E412" s="83" t="n"/>
      <c r="F412" s="83" t="n"/>
      <c r="G412" s="83" t="n"/>
      <c r="H412" s="83" t="n"/>
      <c r="S412">
        <f>IF(13&lt;='設定'!$B$6,"表示","隠す")</f>
        <v/>
      </c>
    </row>
    <row r="413" hidden="1" ht="21" customHeight="1">
      <c r="A413" s="82" t="n"/>
      <c r="B413" s="47">
        <f>'設定'!$I$24</f>
        <v/>
      </c>
      <c r="C413" s="83" t="n"/>
      <c r="D413" s="83" t="n"/>
      <c r="E413" s="83" t="n"/>
      <c r="F413" s="83" t="n"/>
      <c r="G413" s="83" t="n"/>
      <c r="H413" s="83" t="n"/>
      <c r="S413">
        <f>IF(14&lt;='設定'!$B$6,"表示","隠す")</f>
        <v/>
      </c>
    </row>
    <row r="414" hidden="1" ht="21" customHeight="1">
      <c r="A414" s="82" t="n"/>
      <c r="B414" s="47">
        <f>'設定'!$I$25</f>
        <v/>
      </c>
      <c r="C414" s="83" t="n"/>
      <c r="D414" s="83" t="n"/>
      <c r="E414" s="83" t="n"/>
      <c r="F414" s="83" t="n"/>
      <c r="G414" s="83" t="n"/>
      <c r="H414" s="83" t="n"/>
      <c r="S414">
        <f>IF(15&lt;='設定'!$B$6,"表示","隠す")</f>
        <v/>
      </c>
    </row>
    <row r="415" hidden="1" ht="21" customHeight="1">
      <c r="A415" s="82" t="n"/>
      <c r="B415" s="47">
        <f>'設定'!$I$26</f>
        <v/>
      </c>
      <c r="C415" s="83" t="n"/>
      <c r="D415" s="83" t="n"/>
      <c r="E415" s="83" t="n"/>
      <c r="F415" s="83" t="n"/>
      <c r="G415" s="83" t="n"/>
      <c r="H415" s="83" t="n"/>
      <c r="S415">
        <f>IF(16&lt;='設定'!$B$6,"表示","隠す")</f>
        <v/>
      </c>
    </row>
    <row r="416" hidden="1" ht="21" customHeight="1">
      <c r="A416" s="82" t="n"/>
      <c r="B416" s="47">
        <f>'設定'!$I$27</f>
        <v/>
      </c>
      <c r="C416" s="83" t="n"/>
      <c r="D416" s="83" t="n"/>
      <c r="E416" s="83" t="n"/>
      <c r="F416" s="83" t="n"/>
      <c r="G416" s="83" t="n"/>
      <c r="H416" s="83" t="n"/>
      <c r="S416">
        <f>IF(17&lt;='設定'!$B$6,"表示","隠す")</f>
        <v/>
      </c>
    </row>
    <row r="417" hidden="1" ht="21" customHeight="1">
      <c r="A417" s="82" t="n"/>
      <c r="B417" s="47">
        <f>'設定'!$I$28</f>
        <v/>
      </c>
      <c r="C417" s="83" t="n"/>
      <c r="D417" s="83" t="n"/>
      <c r="E417" s="83" t="n"/>
      <c r="F417" s="83" t="n"/>
      <c r="G417" s="83" t="n"/>
      <c r="H417" s="83" t="n"/>
      <c r="S417">
        <f>IF(18&lt;='設定'!$B$6,"表示","隠す")</f>
        <v/>
      </c>
    </row>
    <row r="418" hidden="1" ht="21" customHeight="1">
      <c r="A418" s="82" t="n"/>
      <c r="B418" s="47">
        <f>'設定'!$I$29</f>
        <v/>
      </c>
      <c r="C418" s="83" t="n"/>
      <c r="D418" s="83" t="n"/>
      <c r="E418" s="83" t="n"/>
      <c r="F418" s="83" t="n"/>
      <c r="G418" s="83" t="n"/>
      <c r="H418" s="83" t="n"/>
      <c r="S418">
        <f>IF(19&lt;='設定'!$B$6,"表示","隠す")</f>
        <v/>
      </c>
    </row>
    <row r="419" hidden="1" ht="21" customHeight="1">
      <c r="A419" s="82" t="n"/>
      <c r="B419" s="47">
        <f>'設定'!$I$30</f>
        <v/>
      </c>
      <c r="C419" s="83" t="n"/>
      <c r="D419" s="83" t="n"/>
      <c r="E419" s="83" t="n"/>
      <c r="F419" s="83" t="n"/>
      <c r="G419" s="83" t="n"/>
      <c r="H419" s="83" t="n"/>
      <c r="S419">
        <f>IF(20&lt;='設定'!$B$6,"表示","隠す")</f>
        <v/>
      </c>
    </row>
    <row r="420" hidden="1" ht="21" customHeight="1">
      <c r="A420" s="82" t="n"/>
      <c r="B420" s="47">
        <f>'設定'!$I$31</f>
        <v/>
      </c>
      <c r="C420" s="83" t="n"/>
      <c r="D420" s="83" t="n"/>
      <c r="E420" s="83" t="n"/>
      <c r="F420" s="83" t="n"/>
      <c r="G420" s="83" t="n"/>
      <c r="H420" s="83" t="n"/>
      <c r="S420">
        <f>IF(21&lt;='設定'!$B$6,"表示","隠す")</f>
        <v/>
      </c>
    </row>
    <row r="421" hidden="1" ht="21" customHeight="1">
      <c r="A421" s="82" t="n"/>
      <c r="B421" s="47">
        <f>'設定'!$I$32</f>
        <v/>
      </c>
      <c r="C421" s="83" t="n"/>
      <c r="D421" s="83" t="n"/>
      <c r="E421" s="83" t="n"/>
      <c r="F421" s="83" t="n"/>
      <c r="G421" s="83" t="n"/>
      <c r="H421" s="83" t="n"/>
      <c r="S421">
        <f>IF(22&lt;='設定'!$B$6,"表示","隠す")</f>
        <v/>
      </c>
    </row>
    <row r="422" hidden="1" ht="21" customHeight="1">
      <c r="A422" s="82" t="n"/>
      <c r="B422" s="47">
        <f>'設定'!$I$33</f>
        <v/>
      </c>
      <c r="C422" s="83" t="n"/>
      <c r="D422" s="83" t="n"/>
      <c r="E422" s="83" t="n"/>
      <c r="F422" s="83" t="n"/>
      <c r="G422" s="83" t="n"/>
      <c r="H422" s="83" t="n"/>
      <c r="S422">
        <f>IF(23&lt;='設定'!$B$6,"表示","隠す")</f>
        <v/>
      </c>
    </row>
    <row r="423" hidden="1" ht="21" customHeight="1">
      <c r="A423" s="82" t="n"/>
      <c r="B423" s="47">
        <f>'設定'!$I$34</f>
        <v/>
      </c>
      <c r="C423" s="83" t="n"/>
      <c r="D423" s="83" t="n"/>
      <c r="E423" s="83" t="n"/>
      <c r="F423" s="83" t="n"/>
      <c r="G423" s="83" t="n"/>
      <c r="H423" s="83" t="n"/>
      <c r="S423">
        <f>IF(24&lt;='設定'!$B$6,"表示","隠す")</f>
        <v/>
      </c>
    </row>
    <row r="424">
      <c r="S424" t="inlineStr">
        <is>
          <t>表示</t>
        </is>
      </c>
    </row>
    <row r="425" ht="26" customHeight="1">
      <c r="B425" s="76">
        <f>IF('名簿'!B20="","（名簿 16行目：なし）",'名簿'!P20)</f>
        <v/>
      </c>
      <c r="C425" s="5" t="n"/>
      <c r="D425" s="5" t="n"/>
      <c r="E425" s="77" t="inlineStr">
        <is>
          <t>提出状況 ▶</t>
        </is>
      </c>
      <c r="F425" s="43" t="n"/>
      <c r="G425" s="34" t="n"/>
      <c r="H425" s="78" t="inlineStr">
        <is>
          <t>状況：</t>
        </is>
      </c>
      <c r="I425" s="79">
        <f>'名簿'!Q20</f>
        <v/>
      </c>
      <c r="J425" s="78" t="inlineStr">
        <is>
          <t>×の数：</t>
        </is>
      </c>
      <c r="K425" s="80">
        <f>'名簿'!R20</f>
        <v/>
      </c>
      <c r="L425" s="81">
        <f>HYPERLINK("#'×入力'!B453","次の人へ ▼")</f>
        <v/>
      </c>
      <c r="S425" t="inlineStr">
        <is>
          <t>表示</t>
        </is>
      </c>
    </row>
    <row r="426" ht="22" customHeight="1">
      <c r="A426" s="35" t="inlineStr">
        <is>
          <t>この日全部 ▶</t>
        </is>
      </c>
      <c r="C426" s="82" t="n"/>
      <c r="D426" s="82" t="n"/>
      <c r="E426" s="82" t="n"/>
      <c r="F426" s="82" t="n"/>
      <c r="G426" s="82" t="n"/>
      <c r="H426" s="82" t="n"/>
      <c r="S426" t="inlineStr">
        <is>
          <t>表示</t>
        </is>
      </c>
    </row>
    <row r="427" ht="28" customHeight="1">
      <c r="A427" s="38" t="inlineStr">
        <is>
          <t>この時間
全部 ▼</t>
        </is>
      </c>
      <c r="B427" s="39" t="inlineStr"/>
      <c r="C427" s="40">
        <f>'設定'!$E$11</f>
        <v/>
      </c>
      <c r="D427" s="40">
        <f>'設定'!$E$12</f>
        <v/>
      </c>
      <c r="E427" s="40">
        <f>'設定'!$E$13</f>
        <v/>
      </c>
      <c r="F427" s="40">
        <f>'設定'!$E$14</f>
        <v/>
      </c>
      <c r="G427" s="40">
        <f>'設定'!$E$15</f>
        <v/>
      </c>
      <c r="H427" s="40">
        <f>'設定'!$E$16</f>
        <v/>
      </c>
      <c r="S427" t="inlineStr">
        <is>
          <t>表示</t>
        </is>
      </c>
    </row>
    <row r="428" ht="21" customHeight="1">
      <c r="A428" s="82" t="n"/>
      <c r="B428" s="47">
        <f>'設定'!$I$11</f>
        <v/>
      </c>
      <c r="C428" s="83" t="n"/>
      <c r="D428" s="83" t="inlineStr">
        <is>
          <t>×</t>
        </is>
      </c>
      <c r="E428" s="83" t="inlineStr">
        <is>
          <t>×</t>
        </is>
      </c>
      <c r="F428" s="83" t="n"/>
      <c r="G428" s="83" t="inlineStr">
        <is>
          <t>×</t>
        </is>
      </c>
      <c r="H428" s="83" t="n"/>
      <c r="S428">
        <f>IF(1&lt;='設定'!$B$6,"表示","隠す")</f>
        <v/>
      </c>
    </row>
    <row r="429" ht="21" customHeight="1">
      <c r="A429" s="82" t="n"/>
      <c r="B429" s="47">
        <f>'設定'!$I$12</f>
        <v/>
      </c>
      <c r="C429" s="83" t="n"/>
      <c r="D429" s="83" t="inlineStr">
        <is>
          <t>×</t>
        </is>
      </c>
      <c r="E429" s="83" t="inlineStr">
        <is>
          <t>×</t>
        </is>
      </c>
      <c r="F429" s="83" t="n"/>
      <c r="G429" s="83" t="inlineStr">
        <is>
          <t>×</t>
        </is>
      </c>
      <c r="H429" s="83" t="n"/>
      <c r="S429">
        <f>IF(2&lt;='設定'!$B$6,"表示","隠す")</f>
        <v/>
      </c>
    </row>
    <row r="430" ht="21" customHeight="1">
      <c r="A430" s="82" t="n"/>
      <c r="B430" s="47">
        <f>'設定'!$I$13</f>
        <v/>
      </c>
      <c r="C430" s="83" t="n"/>
      <c r="D430" s="83" t="inlineStr">
        <is>
          <t>×</t>
        </is>
      </c>
      <c r="E430" s="83" t="inlineStr">
        <is>
          <t>×</t>
        </is>
      </c>
      <c r="F430" s="83" t="n"/>
      <c r="G430" s="83" t="inlineStr">
        <is>
          <t>×</t>
        </is>
      </c>
      <c r="H430" s="83" t="n"/>
      <c r="S430">
        <f>IF(3&lt;='設定'!$B$6,"表示","隠す")</f>
        <v/>
      </c>
    </row>
    <row r="431" ht="21" customHeight="1">
      <c r="A431" s="82" t="n"/>
      <c r="B431" s="47">
        <f>'設定'!$I$14</f>
        <v/>
      </c>
      <c r="C431" s="83" t="n"/>
      <c r="D431" s="83" t="inlineStr">
        <is>
          <t>×</t>
        </is>
      </c>
      <c r="E431" s="83" t="inlineStr">
        <is>
          <t>×</t>
        </is>
      </c>
      <c r="F431" s="83" t="n"/>
      <c r="G431" s="83" t="inlineStr">
        <is>
          <t>×</t>
        </is>
      </c>
      <c r="H431" s="83" t="n"/>
      <c r="S431">
        <f>IF(4&lt;='設定'!$B$6,"表示","隠す")</f>
        <v/>
      </c>
    </row>
    <row r="432" ht="21" customHeight="1">
      <c r="A432" s="82" t="n"/>
      <c r="B432" s="47">
        <f>'設定'!$I$15</f>
        <v/>
      </c>
      <c r="C432" s="83" t="inlineStr">
        <is>
          <t>×</t>
        </is>
      </c>
      <c r="D432" s="83" t="inlineStr">
        <is>
          <t>×</t>
        </is>
      </c>
      <c r="E432" s="83" t="inlineStr">
        <is>
          <t>×</t>
        </is>
      </c>
      <c r="F432" s="83" t="n"/>
      <c r="G432" s="83" t="inlineStr">
        <is>
          <t>×</t>
        </is>
      </c>
      <c r="H432" s="83" t="n"/>
      <c r="S432">
        <f>IF(5&lt;='設定'!$B$6,"表示","隠す")</f>
        <v/>
      </c>
    </row>
    <row r="433" ht="21" customHeight="1">
      <c r="A433" s="82" t="n"/>
      <c r="B433" s="47">
        <f>'設定'!$I$16</f>
        <v/>
      </c>
      <c r="C433" s="83" t="inlineStr">
        <is>
          <t>×</t>
        </is>
      </c>
      <c r="D433" s="83" t="inlineStr">
        <is>
          <t>×</t>
        </is>
      </c>
      <c r="E433" s="83" t="inlineStr">
        <is>
          <t>×</t>
        </is>
      </c>
      <c r="F433" s="83" t="n"/>
      <c r="G433" s="83" t="inlineStr">
        <is>
          <t>×</t>
        </is>
      </c>
      <c r="H433" s="83" t="n"/>
      <c r="S433">
        <f>IF(6&lt;='設定'!$B$6,"表示","隠す")</f>
        <v/>
      </c>
    </row>
    <row r="434" ht="21" customHeight="1">
      <c r="A434" s="82" t="n"/>
      <c r="B434" s="47">
        <f>'設定'!$I$17</f>
        <v/>
      </c>
      <c r="C434" s="83" t="inlineStr">
        <is>
          <t>×</t>
        </is>
      </c>
      <c r="D434" s="83" t="inlineStr">
        <is>
          <t>×</t>
        </is>
      </c>
      <c r="E434" s="83" t="inlineStr">
        <is>
          <t>×</t>
        </is>
      </c>
      <c r="F434" s="83" t="n"/>
      <c r="G434" s="83" t="inlineStr">
        <is>
          <t>×</t>
        </is>
      </c>
      <c r="H434" s="83" t="n"/>
      <c r="S434">
        <f>IF(7&lt;='設定'!$B$6,"表示","隠す")</f>
        <v/>
      </c>
    </row>
    <row r="435" ht="21" customHeight="1">
      <c r="A435" s="82" t="n"/>
      <c r="B435" s="47">
        <f>'設定'!$I$18</f>
        <v/>
      </c>
      <c r="C435" s="83" t="n"/>
      <c r="D435" s="83" t="inlineStr">
        <is>
          <t>×</t>
        </is>
      </c>
      <c r="E435" s="83" t="inlineStr">
        <is>
          <t>×</t>
        </is>
      </c>
      <c r="F435" s="83" t="n"/>
      <c r="G435" s="83" t="inlineStr">
        <is>
          <t>×</t>
        </is>
      </c>
      <c r="H435" s="83" t="n"/>
      <c r="S435">
        <f>IF(8&lt;='設定'!$B$6,"表示","隠す")</f>
        <v/>
      </c>
    </row>
    <row r="436" ht="21" customHeight="1">
      <c r="A436" s="82" t="n"/>
      <c r="B436" s="47">
        <f>'設定'!$I$19</f>
        <v/>
      </c>
      <c r="C436" s="83" t="n"/>
      <c r="D436" s="83" t="inlineStr">
        <is>
          <t>×</t>
        </is>
      </c>
      <c r="E436" s="83" t="inlineStr">
        <is>
          <t>×</t>
        </is>
      </c>
      <c r="F436" s="83" t="n"/>
      <c r="G436" s="83" t="inlineStr">
        <is>
          <t>×</t>
        </is>
      </c>
      <c r="H436" s="83" t="n"/>
      <c r="S436">
        <f>IF(9&lt;='設定'!$B$6,"表示","隠す")</f>
        <v/>
      </c>
    </row>
    <row r="437" hidden="1" ht="21" customHeight="1">
      <c r="A437" s="82" t="n"/>
      <c r="B437" s="47">
        <f>'設定'!$I$20</f>
        <v/>
      </c>
      <c r="C437" s="83" t="n"/>
      <c r="D437" s="83" t="n"/>
      <c r="E437" s="83" t="n"/>
      <c r="F437" s="83" t="n"/>
      <c r="G437" s="83" t="n"/>
      <c r="H437" s="83" t="n"/>
      <c r="S437">
        <f>IF(10&lt;='設定'!$B$6,"表示","隠す")</f>
        <v/>
      </c>
    </row>
    <row r="438" hidden="1" ht="21" customHeight="1">
      <c r="A438" s="82" t="n"/>
      <c r="B438" s="47">
        <f>'設定'!$I$21</f>
        <v/>
      </c>
      <c r="C438" s="83" t="n"/>
      <c r="D438" s="83" t="n"/>
      <c r="E438" s="83" t="n"/>
      <c r="F438" s="83" t="n"/>
      <c r="G438" s="83" t="n"/>
      <c r="H438" s="83" t="n"/>
      <c r="S438">
        <f>IF(11&lt;='設定'!$B$6,"表示","隠す")</f>
        <v/>
      </c>
    </row>
    <row r="439" hidden="1" ht="21" customHeight="1">
      <c r="A439" s="82" t="n"/>
      <c r="B439" s="47">
        <f>'設定'!$I$22</f>
        <v/>
      </c>
      <c r="C439" s="83" t="n"/>
      <c r="D439" s="83" t="n"/>
      <c r="E439" s="83" t="n"/>
      <c r="F439" s="83" t="n"/>
      <c r="G439" s="83" t="n"/>
      <c r="H439" s="83" t="n"/>
      <c r="S439">
        <f>IF(12&lt;='設定'!$B$6,"表示","隠す")</f>
        <v/>
      </c>
    </row>
    <row r="440" hidden="1" ht="21" customHeight="1">
      <c r="A440" s="82" t="n"/>
      <c r="B440" s="47">
        <f>'設定'!$I$23</f>
        <v/>
      </c>
      <c r="C440" s="83" t="n"/>
      <c r="D440" s="83" t="n"/>
      <c r="E440" s="83" t="n"/>
      <c r="F440" s="83" t="n"/>
      <c r="G440" s="83" t="n"/>
      <c r="H440" s="83" t="n"/>
      <c r="S440">
        <f>IF(13&lt;='設定'!$B$6,"表示","隠す")</f>
        <v/>
      </c>
    </row>
    <row r="441" hidden="1" ht="21" customHeight="1">
      <c r="A441" s="82" t="n"/>
      <c r="B441" s="47">
        <f>'設定'!$I$24</f>
        <v/>
      </c>
      <c r="C441" s="83" t="n"/>
      <c r="D441" s="83" t="n"/>
      <c r="E441" s="83" t="n"/>
      <c r="F441" s="83" t="n"/>
      <c r="G441" s="83" t="n"/>
      <c r="H441" s="83" t="n"/>
      <c r="S441">
        <f>IF(14&lt;='設定'!$B$6,"表示","隠す")</f>
        <v/>
      </c>
    </row>
    <row r="442" hidden="1" ht="21" customHeight="1">
      <c r="A442" s="82" t="n"/>
      <c r="B442" s="47">
        <f>'設定'!$I$25</f>
        <v/>
      </c>
      <c r="C442" s="83" t="n"/>
      <c r="D442" s="83" t="n"/>
      <c r="E442" s="83" t="n"/>
      <c r="F442" s="83" t="n"/>
      <c r="G442" s="83" t="n"/>
      <c r="H442" s="83" t="n"/>
      <c r="S442">
        <f>IF(15&lt;='設定'!$B$6,"表示","隠す")</f>
        <v/>
      </c>
    </row>
    <row r="443" hidden="1" ht="21" customHeight="1">
      <c r="A443" s="82" t="n"/>
      <c r="B443" s="47">
        <f>'設定'!$I$26</f>
        <v/>
      </c>
      <c r="C443" s="83" t="n"/>
      <c r="D443" s="83" t="n"/>
      <c r="E443" s="83" t="n"/>
      <c r="F443" s="83" t="n"/>
      <c r="G443" s="83" t="n"/>
      <c r="H443" s="83" t="n"/>
      <c r="S443">
        <f>IF(16&lt;='設定'!$B$6,"表示","隠す")</f>
        <v/>
      </c>
    </row>
    <row r="444" hidden="1" ht="21" customHeight="1">
      <c r="A444" s="82" t="n"/>
      <c r="B444" s="47">
        <f>'設定'!$I$27</f>
        <v/>
      </c>
      <c r="C444" s="83" t="n"/>
      <c r="D444" s="83" t="n"/>
      <c r="E444" s="83" t="n"/>
      <c r="F444" s="83" t="n"/>
      <c r="G444" s="83" t="n"/>
      <c r="H444" s="83" t="n"/>
      <c r="S444">
        <f>IF(17&lt;='設定'!$B$6,"表示","隠す")</f>
        <v/>
      </c>
    </row>
    <row r="445" hidden="1" ht="21" customHeight="1">
      <c r="A445" s="82" t="n"/>
      <c r="B445" s="47">
        <f>'設定'!$I$28</f>
        <v/>
      </c>
      <c r="C445" s="83" t="n"/>
      <c r="D445" s="83" t="n"/>
      <c r="E445" s="83" t="n"/>
      <c r="F445" s="83" t="n"/>
      <c r="G445" s="83" t="n"/>
      <c r="H445" s="83" t="n"/>
      <c r="S445">
        <f>IF(18&lt;='設定'!$B$6,"表示","隠す")</f>
        <v/>
      </c>
    </row>
    <row r="446" hidden="1" ht="21" customHeight="1">
      <c r="A446" s="82" t="n"/>
      <c r="B446" s="47">
        <f>'設定'!$I$29</f>
        <v/>
      </c>
      <c r="C446" s="83" t="n"/>
      <c r="D446" s="83" t="n"/>
      <c r="E446" s="83" t="n"/>
      <c r="F446" s="83" t="n"/>
      <c r="G446" s="83" t="n"/>
      <c r="H446" s="83" t="n"/>
      <c r="S446">
        <f>IF(19&lt;='設定'!$B$6,"表示","隠す")</f>
        <v/>
      </c>
    </row>
    <row r="447" hidden="1" ht="21" customHeight="1">
      <c r="A447" s="82" t="n"/>
      <c r="B447" s="47">
        <f>'設定'!$I$30</f>
        <v/>
      </c>
      <c r="C447" s="83" t="n"/>
      <c r="D447" s="83" t="n"/>
      <c r="E447" s="83" t="n"/>
      <c r="F447" s="83" t="n"/>
      <c r="G447" s="83" t="n"/>
      <c r="H447" s="83" t="n"/>
      <c r="S447">
        <f>IF(20&lt;='設定'!$B$6,"表示","隠す")</f>
        <v/>
      </c>
    </row>
    <row r="448" hidden="1" ht="21" customHeight="1">
      <c r="A448" s="82" t="n"/>
      <c r="B448" s="47">
        <f>'設定'!$I$31</f>
        <v/>
      </c>
      <c r="C448" s="83" t="n"/>
      <c r="D448" s="83" t="n"/>
      <c r="E448" s="83" t="n"/>
      <c r="F448" s="83" t="n"/>
      <c r="G448" s="83" t="n"/>
      <c r="H448" s="83" t="n"/>
      <c r="S448">
        <f>IF(21&lt;='設定'!$B$6,"表示","隠す")</f>
        <v/>
      </c>
    </row>
    <row r="449" hidden="1" ht="21" customHeight="1">
      <c r="A449" s="82" t="n"/>
      <c r="B449" s="47">
        <f>'設定'!$I$32</f>
        <v/>
      </c>
      <c r="C449" s="83" t="n"/>
      <c r="D449" s="83" t="n"/>
      <c r="E449" s="83" t="n"/>
      <c r="F449" s="83" t="n"/>
      <c r="G449" s="83" t="n"/>
      <c r="H449" s="83" t="n"/>
      <c r="S449">
        <f>IF(22&lt;='設定'!$B$6,"表示","隠す")</f>
        <v/>
      </c>
    </row>
    <row r="450" hidden="1" ht="21" customHeight="1">
      <c r="A450" s="82" t="n"/>
      <c r="B450" s="47">
        <f>'設定'!$I$33</f>
        <v/>
      </c>
      <c r="C450" s="83" t="n"/>
      <c r="D450" s="83" t="n"/>
      <c r="E450" s="83" t="n"/>
      <c r="F450" s="83" t="n"/>
      <c r="G450" s="83" t="n"/>
      <c r="H450" s="83" t="n"/>
      <c r="S450">
        <f>IF(23&lt;='設定'!$B$6,"表示","隠す")</f>
        <v/>
      </c>
    </row>
    <row r="451" hidden="1" ht="21" customHeight="1">
      <c r="A451" s="82" t="n"/>
      <c r="B451" s="47">
        <f>'設定'!$I$34</f>
        <v/>
      </c>
      <c r="C451" s="83" t="n"/>
      <c r="D451" s="83" t="n"/>
      <c r="E451" s="83" t="n"/>
      <c r="F451" s="83" t="n"/>
      <c r="G451" s="83" t="n"/>
      <c r="H451" s="83" t="n"/>
      <c r="S451">
        <f>IF(24&lt;='設定'!$B$6,"表示","隠す")</f>
        <v/>
      </c>
    </row>
    <row r="452">
      <c r="S452" t="inlineStr">
        <is>
          <t>表示</t>
        </is>
      </c>
    </row>
    <row r="453" ht="26" customHeight="1">
      <c r="B453" s="76">
        <f>IF('名簿'!B21="","（名簿 17行目：なし）",'名簿'!P21)</f>
        <v/>
      </c>
      <c r="C453" s="5" t="n"/>
      <c r="D453" s="5" t="n"/>
      <c r="E453" s="77" t="inlineStr">
        <is>
          <t>提出状況 ▶</t>
        </is>
      </c>
      <c r="F453" s="43" t="inlineStr">
        <is>
          <t>×なし（どこでもOK）</t>
        </is>
      </c>
      <c r="G453" s="34" t="n"/>
      <c r="H453" s="78" t="inlineStr">
        <is>
          <t>状況：</t>
        </is>
      </c>
      <c r="I453" s="79">
        <f>'名簿'!Q21</f>
        <v/>
      </c>
      <c r="J453" s="78" t="inlineStr">
        <is>
          <t>×の数：</t>
        </is>
      </c>
      <c r="K453" s="80">
        <f>'名簿'!R21</f>
        <v/>
      </c>
      <c r="L453" s="81">
        <f>HYPERLINK("#'×入力'!B481","次の人へ ▼")</f>
        <v/>
      </c>
      <c r="S453" t="inlineStr">
        <is>
          <t>表示</t>
        </is>
      </c>
    </row>
    <row r="454" ht="22" customHeight="1">
      <c r="A454" s="35" t="inlineStr">
        <is>
          <t>この日全部 ▶</t>
        </is>
      </c>
      <c r="C454" s="82" t="n"/>
      <c r="D454" s="82" t="n"/>
      <c r="E454" s="82" t="n"/>
      <c r="F454" s="82" t="n"/>
      <c r="G454" s="82" t="n"/>
      <c r="H454" s="82" t="n"/>
      <c r="S454" t="inlineStr">
        <is>
          <t>表示</t>
        </is>
      </c>
    </row>
    <row r="455" ht="28" customHeight="1">
      <c r="A455" s="38" t="inlineStr">
        <is>
          <t>この時間
全部 ▼</t>
        </is>
      </c>
      <c r="B455" s="39" t="inlineStr"/>
      <c r="C455" s="40">
        <f>'設定'!$E$11</f>
        <v/>
      </c>
      <c r="D455" s="40">
        <f>'設定'!$E$12</f>
        <v/>
      </c>
      <c r="E455" s="40">
        <f>'設定'!$E$13</f>
        <v/>
      </c>
      <c r="F455" s="40">
        <f>'設定'!$E$14</f>
        <v/>
      </c>
      <c r="G455" s="40">
        <f>'設定'!$E$15</f>
        <v/>
      </c>
      <c r="H455" s="40">
        <f>'設定'!$E$16</f>
        <v/>
      </c>
      <c r="S455" t="inlineStr">
        <is>
          <t>表示</t>
        </is>
      </c>
    </row>
    <row r="456" ht="21" customHeight="1">
      <c r="A456" s="82" t="n"/>
      <c r="B456" s="47">
        <f>'設定'!$I$11</f>
        <v/>
      </c>
      <c r="C456" s="83" t="n"/>
      <c r="D456" s="83" t="n"/>
      <c r="E456" s="83" t="n"/>
      <c r="F456" s="83" t="n"/>
      <c r="G456" s="83" t="n"/>
      <c r="H456" s="83" t="n"/>
      <c r="S456">
        <f>IF(1&lt;='設定'!$B$6,"表示","隠す")</f>
        <v/>
      </c>
    </row>
    <row r="457" ht="21" customHeight="1">
      <c r="A457" s="82" t="n"/>
      <c r="B457" s="47">
        <f>'設定'!$I$12</f>
        <v/>
      </c>
      <c r="C457" s="83" t="n"/>
      <c r="D457" s="83" t="n"/>
      <c r="E457" s="83" t="n"/>
      <c r="F457" s="83" t="n"/>
      <c r="G457" s="83" t="n"/>
      <c r="H457" s="83" t="n"/>
      <c r="S457">
        <f>IF(2&lt;='設定'!$B$6,"表示","隠す")</f>
        <v/>
      </c>
    </row>
    <row r="458" ht="21" customHeight="1">
      <c r="A458" s="82" t="n"/>
      <c r="B458" s="47">
        <f>'設定'!$I$13</f>
        <v/>
      </c>
      <c r="C458" s="83" t="n"/>
      <c r="D458" s="83" t="n"/>
      <c r="E458" s="83" t="n"/>
      <c r="F458" s="83" t="n"/>
      <c r="G458" s="83" t="n"/>
      <c r="H458" s="83" t="n"/>
      <c r="S458">
        <f>IF(3&lt;='設定'!$B$6,"表示","隠す")</f>
        <v/>
      </c>
    </row>
    <row r="459" ht="21" customHeight="1">
      <c r="A459" s="82" t="n"/>
      <c r="B459" s="47">
        <f>'設定'!$I$14</f>
        <v/>
      </c>
      <c r="C459" s="83" t="n"/>
      <c r="D459" s="83" t="n"/>
      <c r="E459" s="83" t="n"/>
      <c r="F459" s="83" t="n"/>
      <c r="G459" s="83" t="n"/>
      <c r="H459" s="83" t="n"/>
      <c r="S459">
        <f>IF(4&lt;='設定'!$B$6,"表示","隠す")</f>
        <v/>
      </c>
    </row>
    <row r="460" ht="21" customHeight="1">
      <c r="A460" s="82" t="n"/>
      <c r="B460" s="47">
        <f>'設定'!$I$15</f>
        <v/>
      </c>
      <c r="C460" s="83" t="n"/>
      <c r="D460" s="83" t="n"/>
      <c r="E460" s="83" t="n"/>
      <c r="F460" s="83" t="n"/>
      <c r="G460" s="83" t="n"/>
      <c r="H460" s="83" t="n"/>
      <c r="S460">
        <f>IF(5&lt;='設定'!$B$6,"表示","隠す")</f>
        <v/>
      </c>
    </row>
    <row r="461" ht="21" customHeight="1">
      <c r="A461" s="82" t="n"/>
      <c r="B461" s="47">
        <f>'設定'!$I$16</f>
        <v/>
      </c>
      <c r="C461" s="83" t="n"/>
      <c r="D461" s="83" t="n"/>
      <c r="E461" s="83" t="n"/>
      <c r="F461" s="83" t="n"/>
      <c r="G461" s="83" t="n"/>
      <c r="H461" s="83" t="n"/>
      <c r="S461">
        <f>IF(6&lt;='設定'!$B$6,"表示","隠す")</f>
        <v/>
      </c>
    </row>
    <row r="462" ht="21" customHeight="1">
      <c r="A462" s="82" t="n"/>
      <c r="B462" s="47">
        <f>'設定'!$I$17</f>
        <v/>
      </c>
      <c r="C462" s="83" t="n"/>
      <c r="D462" s="83" t="n"/>
      <c r="E462" s="83" t="n"/>
      <c r="F462" s="83" t="n"/>
      <c r="G462" s="83" t="n"/>
      <c r="H462" s="83" t="n"/>
      <c r="S462">
        <f>IF(7&lt;='設定'!$B$6,"表示","隠す")</f>
        <v/>
      </c>
    </row>
    <row r="463" ht="21" customHeight="1">
      <c r="A463" s="82" t="n"/>
      <c r="B463" s="47">
        <f>'設定'!$I$18</f>
        <v/>
      </c>
      <c r="C463" s="83" t="n"/>
      <c r="D463" s="83" t="n"/>
      <c r="E463" s="83" t="n"/>
      <c r="F463" s="83" t="n"/>
      <c r="G463" s="83" t="n"/>
      <c r="H463" s="83" t="n"/>
      <c r="S463">
        <f>IF(8&lt;='設定'!$B$6,"表示","隠す")</f>
        <v/>
      </c>
    </row>
    <row r="464" ht="21" customHeight="1">
      <c r="A464" s="82" t="n"/>
      <c r="B464" s="47">
        <f>'設定'!$I$19</f>
        <v/>
      </c>
      <c r="C464" s="83" t="n"/>
      <c r="D464" s="83" t="n"/>
      <c r="E464" s="83" t="n"/>
      <c r="F464" s="83" t="n"/>
      <c r="G464" s="83" t="n"/>
      <c r="H464" s="83" t="n"/>
      <c r="S464">
        <f>IF(9&lt;='設定'!$B$6,"表示","隠す")</f>
        <v/>
      </c>
    </row>
    <row r="465" hidden="1" ht="21" customHeight="1">
      <c r="A465" s="82" t="n"/>
      <c r="B465" s="47">
        <f>'設定'!$I$20</f>
        <v/>
      </c>
      <c r="C465" s="83" t="n"/>
      <c r="D465" s="83" t="n"/>
      <c r="E465" s="83" t="n"/>
      <c r="F465" s="83" t="n"/>
      <c r="G465" s="83" t="n"/>
      <c r="H465" s="83" t="n"/>
      <c r="S465">
        <f>IF(10&lt;='設定'!$B$6,"表示","隠す")</f>
        <v/>
      </c>
    </row>
    <row r="466" hidden="1" ht="21" customHeight="1">
      <c r="A466" s="82" t="n"/>
      <c r="B466" s="47">
        <f>'設定'!$I$21</f>
        <v/>
      </c>
      <c r="C466" s="83" t="n"/>
      <c r="D466" s="83" t="n"/>
      <c r="E466" s="83" t="n"/>
      <c r="F466" s="83" t="n"/>
      <c r="G466" s="83" t="n"/>
      <c r="H466" s="83" t="n"/>
      <c r="S466">
        <f>IF(11&lt;='設定'!$B$6,"表示","隠す")</f>
        <v/>
      </c>
    </row>
    <row r="467" hidden="1" ht="21" customHeight="1">
      <c r="A467" s="82" t="n"/>
      <c r="B467" s="47">
        <f>'設定'!$I$22</f>
        <v/>
      </c>
      <c r="C467" s="83" t="n"/>
      <c r="D467" s="83" t="n"/>
      <c r="E467" s="83" t="n"/>
      <c r="F467" s="83" t="n"/>
      <c r="G467" s="83" t="n"/>
      <c r="H467" s="83" t="n"/>
      <c r="S467">
        <f>IF(12&lt;='設定'!$B$6,"表示","隠す")</f>
        <v/>
      </c>
    </row>
    <row r="468" hidden="1" ht="21" customHeight="1">
      <c r="A468" s="82" t="n"/>
      <c r="B468" s="47">
        <f>'設定'!$I$23</f>
        <v/>
      </c>
      <c r="C468" s="83" t="n"/>
      <c r="D468" s="83" t="n"/>
      <c r="E468" s="83" t="n"/>
      <c r="F468" s="83" t="n"/>
      <c r="G468" s="83" t="n"/>
      <c r="H468" s="83" t="n"/>
      <c r="S468">
        <f>IF(13&lt;='設定'!$B$6,"表示","隠す")</f>
        <v/>
      </c>
    </row>
    <row r="469" hidden="1" ht="21" customHeight="1">
      <c r="A469" s="82" t="n"/>
      <c r="B469" s="47">
        <f>'設定'!$I$24</f>
        <v/>
      </c>
      <c r="C469" s="83" t="n"/>
      <c r="D469" s="83" t="n"/>
      <c r="E469" s="83" t="n"/>
      <c r="F469" s="83" t="n"/>
      <c r="G469" s="83" t="n"/>
      <c r="H469" s="83" t="n"/>
      <c r="S469">
        <f>IF(14&lt;='設定'!$B$6,"表示","隠す")</f>
        <v/>
      </c>
    </row>
    <row r="470" hidden="1" ht="21" customHeight="1">
      <c r="A470" s="82" t="n"/>
      <c r="B470" s="47">
        <f>'設定'!$I$25</f>
        <v/>
      </c>
      <c r="C470" s="83" t="n"/>
      <c r="D470" s="83" t="n"/>
      <c r="E470" s="83" t="n"/>
      <c r="F470" s="83" t="n"/>
      <c r="G470" s="83" t="n"/>
      <c r="H470" s="83" t="n"/>
      <c r="S470">
        <f>IF(15&lt;='設定'!$B$6,"表示","隠す")</f>
        <v/>
      </c>
    </row>
    <row r="471" hidden="1" ht="21" customHeight="1">
      <c r="A471" s="82" t="n"/>
      <c r="B471" s="47">
        <f>'設定'!$I$26</f>
        <v/>
      </c>
      <c r="C471" s="83" t="n"/>
      <c r="D471" s="83" t="n"/>
      <c r="E471" s="83" t="n"/>
      <c r="F471" s="83" t="n"/>
      <c r="G471" s="83" t="n"/>
      <c r="H471" s="83" t="n"/>
      <c r="S471">
        <f>IF(16&lt;='設定'!$B$6,"表示","隠す")</f>
        <v/>
      </c>
    </row>
    <row r="472" hidden="1" ht="21" customHeight="1">
      <c r="A472" s="82" t="n"/>
      <c r="B472" s="47">
        <f>'設定'!$I$27</f>
        <v/>
      </c>
      <c r="C472" s="83" t="n"/>
      <c r="D472" s="83" t="n"/>
      <c r="E472" s="83" t="n"/>
      <c r="F472" s="83" t="n"/>
      <c r="G472" s="83" t="n"/>
      <c r="H472" s="83" t="n"/>
      <c r="S472">
        <f>IF(17&lt;='設定'!$B$6,"表示","隠す")</f>
        <v/>
      </c>
    </row>
    <row r="473" hidden="1" ht="21" customHeight="1">
      <c r="A473" s="82" t="n"/>
      <c r="B473" s="47">
        <f>'設定'!$I$28</f>
        <v/>
      </c>
      <c r="C473" s="83" t="n"/>
      <c r="D473" s="83" t="n"/>
      <c r="E473" s="83" t="n"/>
      <c r="F473" s="83" t="n"/>
      <c r="G473" s="83" t="n"/>
      <c r="H473" s="83" t="n"/>
      <c r="S473">
        <f>IF(18&lt;='設定'!$B$6,"表示","隠す")</f>
        <v/>
      </c>
    </row>
    <row r="474" hidden="1" ht="21" customHeight="1">
      <c r="A474" s="82" t="n"/>
      <c r="B474" s="47">
        <f>'設定'!$I$29</f>
        <v/>
      </c>
      <c r="C474" s="83" t="n"/>
      <c r="D474" s="83" t="n"/>
      <c r="E474" s="83" t="n"/>
      <c r="F474" s="83" t="n"/>
      <c r="G474" s="83" t="n"/>
      <c r="H474" s="83" t="n"/>
      <c r="S474">
        <f>IF(19&lt;='設定'!$B$6,"表示","隠す")</f>
        <v/>
      </c>
    </row>
    <row r="475" hidden="1" ht="21" customHeight="1">
      <c r="A475" s="82" t="n"/>
      <c r="B475" s="47">
        <f>'設定'!$I$30</f>
        <v/>
      </c>
      <c r="C475" s="83" t="n"/>
      <c r="D475" s="83" t="n"/>
      <c r="E475" s="83" t="n"/>
      <c r="F475" s="83" t="n"/>
      <c r="G475" s="83" t="n"/>
      <c r="H475" s="83" t="n"/>
      <c r="S475">
        <f>IF(20&lt;='設定'!$B$6,"表示","隠す")</f>
        <v/>
      </c>
    </row>
    <row r="476" hidden="1" ht="21" customHeight="1">
      <c r="A476" s="82" t="n"/>
      <c r="B476" s="47">
        <f>'設定'!$I$31</f>
        <v/>
      </c>
      <c r="C476" s="83" t="n"/>
      <c r="D476" s="83" t="n"/>
      <c r="E476" s="83" t="n"/>
      <c r="F476" s="83" t="n"/>
      <c r="G476" s="83" t="n"/>
      <c r="H476" s="83" t="n"/>
      <c r="S476">
        <f>IF(21&lt;='設定'!$B$6,"表示","隠す")</f>
        <v/>
      </c>
    </row>
    <row r="477" hidden="1" ht="21" customHeight="1">
      <c r="A477" s="82" t="n"/>
      <c r="B477" s="47">
        <f>'設定'!$I$32</f>
        <v/>
      </c>
      <c r="C477" s="83" t="n"/>
      <c r="D477" s="83" t="n"/>
      <c r="E477" s="83" t="n"/>
      <c r="F477" s="83" t="n"/>
      <c r="G477" s="83" t="n"/>
      <c r="H477" s="83" t="n"/>
      <c r="S477">
        <f>IF(22&lt;='設定'!$B$6,"表示","隠す")</f>
        <v/>
      </c>
    </row>
    <row r="478" hidden="1" ht="21" customHeight="1">
      <c r="A478" s="82" t="n"/>
      <c r="B478" s="47">
        <f>'設定'!$I$33</f>
        <v/>
      </c>
      <c r="C478" s="83" t="n"/>
      <c r="D478" s="83" t="n"/>
      <c r="E478" s="83" t="n"/>
      <c r="F478" s="83" t="n"/>
      <c r="G478" s="83" t="n"/>
      <c r="H478" s="83" t="n"/>
      <c r="S478">
        <f>IF(23&lt;='設定'!$B$6,"表示","隠す")</f>
        <v/>
      </c>
    </row>
    <row r="479" hidden="1" ht="21" customHeight="1">
      <c r="A479" s="82" t="n"/>
      <c r="B479" s="47">
        <f>'設定'!$I$34</f>
        <v/>
      </c>
      <c r="C479" s="83" t="n"/>
      <c r="D479" s="83" t="n"/>
      <c r="E479" s="83" t="n"/>
      <c r="F479" s="83" t="n"/>
      <c r="G479" s="83" t="n"/>
      <c r="H479" s="83" t="n"/>
      <c r="S479">
        <f>IF(24&lt;='設定'!$B$6,"表示","隠す")</f>
        <v/>
      </c>
    </row>
    <row r="480">
      <c r="S480" t="inlineStr">
        <is>
          <t>表示</t>
        </is>
      </c>
    </row>
    <row r="481" ht="26" customHeight="1">
      <c r="B481" s="76">
        <f>IF('名簿'!B22="","（名簿 18行目：なし）",'名簿'!P22)</f>
        <v/>
      </c>
      <c r="C481" s="5" t="n"/>
      <c r="D481" s="5" t="n"/>
      <c r="E481" s="77" t="inlineStr">
        <is>
          <t>提出状況 ▶</t>
        </is>
      </c>
      <c r="F481" s="43" t="n"/>
      <c r="G481" s="34" t="n"/>
      <c r="H481" s="78" t="inlineStr">
        <is>
          <t>状況：</t>
        </is>
      </c>
      <c r="I481" s="79">
        <f>'名簿'!Q22</f>
        <v/>
      </c>
      <c r="J481" s="78" t="inlineStr">
        <is>
          <t>×の数：</t>
        </is>
      </c>
      <c r="K481" s="80">
        <f>'名簿'!R22</f>
        <v/>
      </c>
      <c r="L481" s="81">
        <f>HYPERLINK("#'×入力'!B509","次の人へ ▼")</f>
        <v/>
      </c>
      <c r="S481" t="inlineStr">
        <is>
          <t>表示</t>
        </is>
      </c>
    </row>
    <row r="482" ht="22" customHeight="1">
      <c r="A482" s="35" t="inlineStr">
        <is>
          <t>この日全部 ▶</t>
        </is>
      </c>
      <c r="C482" s="82" t="n"/>
      <c r="D482" s="82" t="n"/>
      <c r="E482" s="82" t="n"/>
      <c r="F482" s="82" t="n"/>
      <c r="G482" s="82" t="n"/>
      <c r="H482" s="82" t="n"/>
      <c r="S482" t="inlineStr">
        <is>
          <t>表示</t>
        </is>
      </c>
    </row>
    <row r="483" ht="28" customHeight="1">
      <c r="A483" s="38" t="inlineStr">
        <is>
          <t>この時間
全部 ▼</t>
        </is>
      </c>
      <c r="B483" s="39" t="inlineStr"/>
      <c r="C483" s="40">
        <f>'設定'!$E$11</f>
        <v/>
      </c>
      <c r="D483" s="40">
        <f>'設定'!$E$12</f>
        <v/>
      </c>
      <c r="E483" s="40">
        <f>'設定'!$E$13</f>
        <v/>
      </c>
      <c r="F483" s="40">
        <f>'設定'!$E$14</f>
        <v/>
      </c>
      <c r="G483" s="40">
        <f>'設定'!$E$15</f>
        <v/>
      </c>
      <c r="H483" s="40">
        <f>'設定'!$E$16</f>
        <v/>
      </c>
      <c r="S483" t="inlineStr">
        <is>
          <t>表示</t>
        </is>
      </c>
    </row>
    <row r="484" ht="21" customHeight="1">
      <c r="A484" s="82" t="n"/>
      <c r="B484" s="47">
        <f>'設定'!$I$11</f>
        <v/>
      </c>
      <c r="C484" s="83" t="inlineStr">
        <is>
          <t>×</t>
        </is>
      </c>
      <c r="D484" s="83" t="inlineStr">
        <is>
          <t>×</t>
        </is>
      </c>
      <c r="E484" s="83" t="n"/>
      <c r="F484" s="83" t="inlineStr">
        <is>
          <t>×</t>
        </is>
      </c>
      <c r="G484" s="83" t="n"/>
      <c r="H484" s="83" t="n"/>
      <c r="S484">
        <f>IF(1&lt;='設定'!$B$6,"表示","隠す")</f>
        <v/>
      </c>
    </row>
    <row r="485" ht="21" customHeight="1">
      <c r="A485" s="82" t="n"/>
      <c r="B485" s="47">
        <f>'設定'!$I$12</f>
        <v/>
      </c>
      <c r="C485" s="83" t="inlineStr">
        <is>
          <t>×</t>
        </is>
      </c>
      <c r="D485" s="83" t="n"/>
      <c r="E485" s="83" t="inlineStr">
        <is>
          <t>×</t>
        </is>
      </c>
      <c r="F485" s="83" t="n"/>
      <c r="G485" s="83" t="n"/>
      <c r="H485" s="83" t="n"/>
      <c r="S485">
        <f>IF(2&lt;='設定'!$B$6,"表示","隠す")</f>
        <v/>
      </c>
    </row>
    <row r="486" ht="21" customHeight="1">
      <c r="A486" s="82" t="n"/>
      <c r="B486" s="47">
        <f>'設定'!$I$13</f>
        <v/>
      </c>
      <c r="C486" s="83" t="n"/>
      <c r="D486" s="83" t="n"/>
      <c r="E486" s="83" t="inlineStr">
        <is>
          <t>×</t>
        </is>
      </c>
      <c r="F486" s="83" t="n"/>
      <c r="G486" s="83" t="n"/>
      <c r="H486" s="83" t="n"/>
      <c r="S486">
        <f>IF(3&lt;='設定'!$B$6,"表示","隠す")</f>
        <v/>
      </c>
    </row>
    <row r="487" ht="21" customHeight="1">
      <c r="A487" s="82" t="n"/>
      <c r="B487" s="47">
        <f>'設定'!$I$14</f>
        <v/>
      </c>
      <c r="C487" s="83" t="n"/>
      <c r="D487" s="83" t="n"/>
      <c r="E487" s="83" t="n"/>
      <c r="F487" s="83" t="n"/>
      <c r="G487" s="83" t="n"/>
      <c r="H487" s="83" t="n"/>
      <c r="S487">
        <f>IF(4&lt;='設定'!$B$6,"表示","隠す")</f>
        <v/>
      </c>
    </row>
    <row r="488" ht="21" customHeight="1">
      <c r="A488" s="82" t="n"/>
      <c r="B488" s="47">
        <f>'設定'!$I$15</f>
        <v/>
      </c>
      <c r="C488" s="83" t="inlineStr">
        <is>
          <t>×</t>
        </is>
      </c>
      <c r="D488" s="83" t="n"/>
      <c r="E488" s="83" t="inlineStr">
        <is>
          <t>×</t>
        </is>
      </c>
      <c r="F488" s="83" t="inlineStr">
        <is>
          <t>×</t>
        </is>
      </c>
      <c r="G488" s="83" t="n"/>
      <c r="H488" s="83" t="n"/>
      <c r="S488">
        <f>IF(5&lt;='設定'!$B$6,"表示","隠す")</f>
        <v/>
      </c>
    </row>
    <row r="489" ht="21" customHeight="1">
      <c r="A489" s="82" t="n"/>
      <c r="B489" s="47">
        <f>'設定'!$I$16</f>
        <v/>
      </c>
      <c r="C489" s="83" t="n"/>
      <c r="D489" s="83" t="n"/>
      <c r="E489" s="83" t="n"/>
      <c r="F489" s="83" t="n"/>
      <c r="G489" s="83" t="inlineStr">
        <is>
          <t>×</t>
        </is>
      </c>
      <c r="H489" s="83" t="n"/>
      <c r="S489">
        <f>IF(6&lt;='設定'!$B$6,"表示","隠す")</f>
        <v/>
      </c>
    </row>
    <row r="490" ht="21" customHeight="1">
      <c r="A490" s="82" t="n"/>
      <c r="B490" s="47">
        <f>'設定'!$I$17</f>
        <v/>
      </c>
      <c r="C490" s="83" t="inlineStr">
        <is>
          <t>×</t>
        </is>
      </c>
      <c r="D490" s="83" t="inlineStr">
        <is>
          <t>×</t>
        </is>
      </c>
      <c r="E490" s="83" t="inlineStr">
        <is>
          <t>×</t>
        </is>
      </c>
      <c r="F490" s="83" t="inlineStr">
        <is>
          <t>×</t>
        </is>
      </c>
      <c r="G490" s="83" t="inlineStr">
        <is>
          <t>×</t>
        </is>
      </c>
      <c r="H490" s="83" t="n"/>
      <c r="S490">
        <f>IF(7&lt;='設定'!$B$6,"表示","隠す")</f>
        <v/>
      </c>
    </row>
    <row r="491" ht="21" customHeight="1">
      <c r="A491" s="82" t="n"/>
      <c r="B491" s="47">
        <f>'設定'!$I$18</f>
        <v/>
      </c>
      <c r="C491" s="83" t="inlineStr">
        <is>
          <t>×</t>
        </is>
      </c>
      <c r="D491" s="83" t="inlineStr">
        <is>
          <t>×</t>
        </is>
      </c>
      <c r="E491" s="83" t="inlineStr">
        <is>
          <t>×</t>
        </is>
      </c>
      <c r="F491" s="83" t="inlineStr">
        <is>
          <t>×</t>
        </is>
      </c>
      <c r="G491" s="83" t="inlineStr">
        <is>
          <t>×</t>
        </is>
      </c>
      <c r="H491" s="83" t="n"/>
      <c r="S491">
        <f>IF(8&lt;='設定'!$B$6,"表示","隠す")</f>
        <v/>
      </c>
    </row>
    <row r="492" ht="21" customHeight="1">
      <c r="A492" s="82" t="n"/>
      <c r="B492" s="47">
        <f>'設定'!$I$19</f>
        <v/>
      </c>
      <c r="C492" s="83" t="inlineStr">
        <is>
          <t>×</t>
        </is>
      </c>
      <c r="D492" s="83" t="inlineStr">
        <is>
          <t>×</t>
        </is>
      </c>
      <c r="E492" s="83" t="inlineStr">
        <is>
          <t>×</t>
        </is>
      </c>
      <c r="F492" s="83" t="inlineStr">
        <is>
          <t>×</t>
        </is>
      </c>
      <c r="G492" s="83" t="inlineStr">
        <is>
          <t>×</t>
        </is>
      </c>
      <c r="H492" s="83" t="n"/>
      <c r="S492">
        <f>IF(9&lt;='設定'!$B$6,"表示","隠す")</f>
        <v/>
      </c>
    </row>
    <row r="493" hidden="1" ht="21" customHeight="1">
      <c r="A493" s="82" t="n"/>
      <c r="B493" s="47">
        <f>'設定'!$I$20</f>
        <v/>
      </c>
      <c r="C493" s="83" t="n"/>
      <c r="D493" s="83" t="n"/>
      <c r="E493" s="83" t="n"/>
      <c r="F493" s="83" t="n"/>
      <c r="G493" s="83" t="n"/>
      <c r="H493" s="83" t="n"/>
      <c r="S493">
        <f>IF(10&lt;='設定'!$B$6,"表示","隠す")</f>
        <v/>
      </c>
    </row>
    <row r="494" hidden="1" ht="21" customHeight="1">
      <c r="A494" s="82" t="n"/>
      <c r="B494" s="47">
        <f>'設定'!$I$21</f>
        <v/>
      </c>
      <c r="C494" s="83" t="n"/>
      <c r="D494" s="83" t="n"/>
      <c r="E494" s="83" t="n"/>
      <c r="F494" s="83" t="n"/>
      <c r="G494" s="83" t="n"/>
      <c r="H494" s="83" t="n"/>
      <c r="S494">
        <f>IF(11&lt;='設定'!$B$6,"表示","隠す")</f>
        <v/>
      </c>
    </row>
    <row r="495" hidden="1" ht="21" customHeight="1">
      <c r="A495" s="82" t="n"/>
      <c r="B495" s="47">
        <f>'設定'!$I$22</f>
        <v/>
      </c>
      <c r="C495" s="83" t="n"/>
      <c r="D495" s="83" t="n"/>
      <c r="E495" s="83" t="n"/>
      <c r="F495" s="83" t="n"/>
      <c r="G495" s="83" t="n"/>
      <c r="H495" s="83" t="n"/>
      <c r="S495">
        <f>IF(12&lt;='設定'!$B$6,"表示","隠す")</f>
        <v/>
      </c>
    </row>
    <row r="496" hidden="1" ht="21" customHeight="1">
      <c r="A496" s="82" t="n"/>
      <c r="B496" s="47">
        <f>'設定'!$I$23</f>
        <v/>
      </c>
      <c r="C496" s="83" t="n"/>
      <c r="D496" s="83" t="n"/>
      <c r="E496" s="83" t="n"/>
      <c r="F496" s="83" t="n"/>
      <c r="G496" s="83" t="n"/>
      <c r="H496" s="83" t="n"/>
      <c r="S496">
        <f>IF(13&lt;='設定'!$B$6,"表示","隠す")</f>
        <v/>
      </c>
    </row>
    <row r="497" hidden="1" ht="21" customHeight="1">
      <c r="A497" s="82" t="n"/>
      <c r="B497" s="47">
        <f>'設定'!$I$24</f>
        <v/>
      </c>
      <c r="C497" s="83" t="n"/>
      <c r="D497" s="83" t="n"/>
      <c r="E497" s="83" t="n"/>
      <c r="F497" s="83" t="n"/>
      <c r="G497" s="83" t="n"/>
      <c r="H497" s="83" t="n"/>
      <c r="S497">
        <f>IF(14&lt;='設定'!$B$6,"表示","隠す")</f>
        <v/>
      </c>
    </row>
    <row r="498" hidden="1" ht="21" customHeight="1">
      <c r="A498" s="82" t="n"/>
      <c r="B498" s="47">
        <f>'設定'!$I$25</f>
        <v/>
      </c>
      <c r="C498" s="83" t="n"/>
      <c r="D498" s="83" t="n"/>
      <c r="E498" s="83" t="n"/>
      <c r="F498" s="83" t="n"/>
      <c r="G498" s="83" t="n"/>
      <c r="H498" s="83" t="n"/>
      <c r="S498">
        <f>IF(15&lt;='設定'!$B$6,"表示","隠す")</f>
        <v/>
      </c>
    </row>
    <row r="499" hidden="1" ht="21" customHeight="1">
      <c r="A499" s="82" t="n"/>
      <c r="B499" s="47">
        <f>'設定'!$I$26</f>
        <v/>
      </c>
      <c r="C499" s="83" t="n"/>
      <c r="D499" s="83" t="n"/>
      <c r="E499" s="83" t="n"/>
      <c r="F499" s="83" t="n"/>
      <c r="G499" s="83" t="n"/>
      <c r="H499" s="83" t="n"/>
      <c r="S499">
        <f>IF(16&lt;='設定'!$B$6,"表示","隠す")</f>
        <v/>
      </c>
    </row>
    <row r="500" hidden="1" ht="21" customHeight="1">
      <c r="A500" s="82" t="n"/>
      <c r="B500" s="47">
        <f>'設定'!$I$27</f>
        <v/>
      </c>
      <c r="C500" s="83" t="n"/>
      <c r="D500" s="83" t="n"/>
      <c r="E500" s="83" t="n"/>
      <c r="F500" s="83" t="n"/>
      <c r="G500" s="83" t="n"/>
      <c r="H500" s="83" t="n"/>
      <c r="S500">
        <f>IF(17&lt;='設定'!$B$6,"表示","隠す")</f>
        <v/>
      </c>
    </row>
    <row r="501" hidden="1" ht="21" customHeight="1">
      <c r="A501" s="82" t="n"/>
      <c r="B501" s="47">
        <f>'設定'!$I$28</f>
        <v/>
      </c>
      <c r="C501" s="83" t="n"/>
      <c r="D501" s="83" t="n"/>
      <c r="E501" s="83" t="n"/>
      <c r="F501" s="83" t="n"/>
      <c r="G501" s="83" t="n"/>
      <c r="H501" s="83" t="n"/>
      <c r="S501">
        <f>IF(18&lt;='設定'!$B$6,"表示","隠す")</f>
        <v/>
      </c>
    </row>
    <row r="502" hidden="1" ht="21" customHeight="1">
      <c r="A502" s="82" t="n"/>
      <c r="B502" s="47">
        <f>'設定'!$I$29</f>
        <v/>
      </c>
      <c r="C502" s="83" t="n"/>
      <c r="D502" s="83" t="n"/>
      <c r="E502" s="83" t="n"/>
      <c r="F502" s="83" t="n"/>
      <c r="G502" s="83" t="n"/>
      <c r="H502" s="83" t="n"/>
      <c r="S502">
        <f>IF(19&lt;='設定'!$B$6,"表示","隠す")</f>
        <v/>
      </c>
    </row>
    <row r="503" hidden="1" ht="21" customHeight="1">
      <c r="A503" s="82" t="n"/>
      <c r="B503" s="47">
        <f>'設定'!$I$30</f>
        <v/>
      </c>
      <c r="C503" s="83" t="n"/>
      <c r="D503" s="83" t="n"/>
      <c r="E503" s="83" t="n"/>
      <c r="F503" s="83" t="n"/>
      <c r="G503" s="83" t="n"/>
      <c r="H503" s="83" t="n"/>
      <c r="S503">
        <f>IF(20&lt;='設定'!$B$6,"表示","隠す")</f>
        <v/>
      </c>
    </row>
    <row r="504" hidden="1" ht="21" customHeight="1">
      <c r="A504" s="82" t="n"/>
      <c r="B504" s="47">
        <f>'設定'!$I$31</f>
        <v/>
      </c>
      <c r="C504" s="83" t="n"/>
      <c r="D504" s="83" t="n"/>
      <c r="E504" s="83" t="n"/>
      <c r="F504" s="83" t="n"/>
      <c r="G504" s="83" t="n"/>
      <c r="H504" s="83" t="n"/>
      <c r="S504">
        <f>IF(21&lt;='設定'!$B$6,"表示","隠す")</f>
        <v/>
      </c>
    </row>
    <row r="505" hidden="1" ht="21" customHeight="1">
      <c r="A505" s="82" t="n"/>
      <c r="B505" s="47">
        <f>'設定'!$I$32</f>
        <v/>
      </c>
      <c r="C505" s="83" t="n"/>
      <c r="D505" s="83" t="n"/>
      <c r="E505" s="83" t="n"/>
      <c r="F505" s="83" t="n"/>
      <c r="G505" s="83" t="n"/>
      <c r="H505" s="83" t="n"/>
      <c r="S505">
        <f>IF(22&lt;='設定'!$B$6,"表示","隠す")</f>
        <v/>
      </c>
    </row>
    <row r="506" hidden="1" ht="21" customHeight="1">
      <c r="A506" s="82" t="n"/>
      <c r="B506" s="47">
        <f>'設定'!$I$33</f>
        <v/>
      </c>
      <c r="C506" s="83" t="n"/>
      <c r="D506" s="83" t="n"/>
      <c r="E506" s="83" t="n"/>
      <c r="F506" s="83" t="n"/>
      <c r="G506" s="83" t="n"/>
      <c r="H506" s="83" t="n"/>
      <c r="S506">
        <f>IF(23&lt;='設定'!$B$6,"表示","隠す")</f>
        <v/>
      </c>
    </row>
    <row r="507" hidden="1" ht="21" customHeight="1">
      <c r="A507" s="82" t="n"/>
      <c r="B507" s="47">
        <f>'設定'!$I$34</f>
        <v/>
      </c>
      <c r="C507" s="83" t="n"/>
      <c r="D507" s="83" t="n"/>
      <c r="E507" s="83" t="n"/>
      <c r="F507" s="83" t="n"/>
      <c r="G507" s="83" t="n"/>
      <c r="H507" s="83" t="n"/>
      <c r="S507">
        <f>IF(24&lt;='設定'!$B$6,"表示","隠す")</f>
        <v/>
      </c>
    </row>
    <row r="508">
      <c r="S508" t="inlineStr">
        <is>
          <t>表示</t>
        </is>
      </c>
    </row>
    <row r="509" ht="26" customHeight="1">
      <c r="B509" s="76">
        <f>IF('名簿'!B23="","（名簿 19行目：なし）",'名簿'!P23)</f>
        <v/>
      </c>
      <c r="C509" s="5" t="n"/>
      <c r="D509" s="5" t="n"/>
      <c r="E509" s="77" t="inlineStr">
        <is>
          <t>提出状況 ▶</t>
        </is>
      </c>
      <c r="F509" s="43" t="n"/>
      <c r="G509" s="34" t="n"/>
      <c r="H509" s="78" t="inlineStr">
        <is>
          <t>状況：</t>
        </is>
      </c>
      <c r="I509" s="79">
        <f>'名簿'!Q23</f>
        <v/>
      </c>
      <c r="J509" s="78" t="inlineStr">
        <is>
          <t>×の数：</t>
        </is>
      </c>
      <c r="K509" s="80">
        <f>'名簿'!R23</f>
        <v/>
      </c>
      <c r="L509" s="81">
        <f>HYPERLINK("#'×入力'!B537","次の人へ ▼")</f>
        <v/>
      </c>
      <c r="S509" t="inlineStr">
        <is>
          <t>表示</t>
        </is>
      </c>
    </row>
    <row r="510" ht="22" customHeight="1">
      <c r="A510" s="35" t="inlineStr">
        <is>
          <t>この日全部 ▶</t>
        </is>
      </c>
      <c r="C510" s="82" t="n"/>
      <c r="D510" s="82" t="n"/>
      <c r="E510" s="82" t="n"/>
      <c r="F510" s="82" t="n"/>
      <c r="G510" s="82" t="n"/>
      <c r="H510" s="82" t="n"/>
      <c r="S510" t="inlineStr">
        <is>
          <t>表示</t>
        </is>
      </c>
    </row>
    <row r="511" ht="28" customHeight="1">
      <c r="A511" s="38" t="inlineStr">
        <is>
          <t>この時間
全部 ▼</t>
        </is>
      </c>
      <c r="B511" s="39" t="inlineStr"/>
      <c r="C511" s="40">
        <f>'設定'!$E$11</f>
        <v/>
      </c>
      <c r="D511" s="40">
        <f>'設定'!$E$12</f>
        <v/>
      </c>
      <c r="E511" s="40">
        <f>'設定'!$E$13</f>
        <v/>
      </c>
      <c r="F511" s="40">
        <f>'設定'!$E$14</f>
        <v/>
      </c>
      <c r="G511" s="40">
        <f>'設定'!$E$15</f>
        <v/>
      </c>
      <c r="H511" s="40">
        <f>'設定'!$E$16</f>
        <v/>
      </c>
      <c r="S511" t="inlineStr">
        <is>
          <t>表示</t>
        </is>
      </c>
    </row>
    <row r="512" ht="21" customHeight="1">
      <c r="A512" s="82" t="n"/>
      <c r="B512" s="47">
        <f>'設定'!$I$11</f>
        <v/>
      </c>
      <c r="C512" s="83" t="n"/>
      <c r="D512" s="83" t="n"/>
      <c r="E512" s="83" t="n"/>
      <c r="F512" s="83" t="n"/>
      <c r="G512" s="83" t="n"/>
      <c r="H512" s="83" t="n"/>
      <c r="S512">
        <f>IF(1&lt;='設定'!$B$6,"表示","隠す")</f>
        <v/>
      </c>
    </row>
    <row r="513" ht="21" customHeight="1">
      <c r="A513" s="82" t="n"/>
      <c r="B513" s="47">
        <f>'設定'!$I$12</f>
        <v/>
      </c>
      <c r="C513" s="83" t="n"/>
      <c r="D513" s="83" t="n"/>
      <c r="E513" s="83" t="n"/>
      <c r="F513" s="83" t="inlineStr">
        <is>
          <t>×</t>
        </is>
      </c>
      <c r="G513" s="83" t="n"/>
      <c r="H513" s="83" t="n"/>
      <c r="S513">
        <f>IF(2&lt;='設定'!$B$6,"表示","隠す")</f>
        <v/>
      </c>
    </row>
    <row r="514" ht="21" customHeight="1">
      <c r="A514" s="82" t="n"/>
      <c r="B514" s="47">
        <f>'設定'!$I$13</f>
        <v/>
      </c>
      <c r="C514" s="83" t="n"/>
      <c r="D514" s="83" t="n"/>
      <c r="E514" s="83" t="n"/>
      <c r="F514" s="83" t="n"/>
      <c r="G514" s="83" t="n"/>
      <c r="H514" s="83" t="n"/>
      <c r="S514">
        <f>IF(3&lt;='設定'!$B$6,"表示","隠す")</f>
        <v/>
      </c>
    </row>
    <row r="515" ht="21" customHeight="1">
      <c r="A515" s="82" t="n"/>
      <c r="B515" s="47">
        <f>'設定'!$I$14</f>
        <v/>
      </c>
      <c r="C515" s="83" t="n"/>
      <c r="D515" s="83" t="n"/>
      <c r="E515" s="83" t="inlineStr">
        <is>
          <t>×</t>
        </is>
      </c>
      <c r="F515" s="83" t="n"/>
      <c r="G515" s="83" t="n"/>
      <c r="H515" s="83" t="n"/>
      <c r="S515">
        <f>IF(4&lt;='設定'!$B$6,"表示","隠す")</f>
        <v/>
      </c>
    </row>
    <row r="516" ht="21" customHeight="1">
      <c r="A516" s="82" t="n"/>
      <c r="B516" s="47">
        <f>'設定'!$I$15</f>
        <v/>
      </c>
      <c r="C516" s="83" t="inlineStr">
        <is>
          <t>×</t>
        </is>
      </c>
      <c r="D516" s="83" t="n"/>
      <c r="E516" s="83" t="inlineStr">
        <is>
          <t>×</t>
        </is>
      </c>
      <c r="F516" s="83" t="n"/>
      <c r="G516" s="83" t="n"/>
      <c r="H516" s="83" t="n"/>
      <c r="S516">
        <f>IF(5&lt;='設定'!$B$6,"表示","隠す")</f>
        <v/>
      </c>
    </row>
    <row r="517" ht="21" customHeight="1">
      <c r="A517" s="82" t="n"/>
      <c r="B517" s="47">
        <f>'設定'!$I$16</f>
        <v/>
      </c>
      <c r="C517" s="83" t="n"/>
      <c r="D517" s="83" t="n"/>
      <c r="E517" s="83" t="inlineStr">
        <is>
          <t>×</t>
        </is>
      </c>
      <c r="F517" s="83" t="inlineStr">
        <is>
          <t>×</t>
        </is>
      </c>
      <c r="G517" s="83" t="n"/>
      <c r="H517" s="83" t="n"/>
      <c r="S517">
        <f>IF(6&lt;='設定'!$B$6,"表示","隠す")</f>
        <v/>
      </c>
    </row>
    <row r="518" ht="21" customHeight="1">
      <c r="A518" s="82" t="n"/>
      <c r="B518" s="47">
        <f>'設定'!$I$17</f>
        <v/>
      </c>
      <c r="C518" s="83" t="inlineStr">
        <is>
          <t>×</t>
        </is>
      </c>
      <c r="D518" s="83" t="n"/>
      <c r="E518" s="83" t="inlineStr">
        <is>
          <t>×</t>
        </is>
      </c>
      <c r="F518" s="83" t="n"/>
      <c r="G518" s="83" t="n"/>
      <c r="H518" s="83" t="n"/>
      <c r="S518">
        <f>IF(7&lt;='設定'!$B$6,"表示","隠す")</f>
        <v/>
      </c>
    </row>
    <row r="519" ht="21" customHeight="1">
      <c r="A519" s="82" t="n"/>
      <c r="B519" s="47">
        <f>'設定'!$I$18</f>
        <v/>
      </c>
      <c r="C519" s="83" t="n"/>
      <c r="D519" s="83" t="n"/>
      <c r="E519" s="83" t="n"/>
      <c r="F519" s="83" t="n"/>
      <c r="G519" s="83" t="inlineStr">
        <is>
          <t>×</t>
        </is>
      </c>
      <c r="H519" s="83" t="n"/>
      <c r="S519">
        <f>IF(8&lt;='設定'!$B$6,"表示","隠す")</f>
        <v/>
      </c>
    </row>
    <row r="520" ht="21" customHeight="1">
      <c r="A520" s="82" t="n"/>
      <c r="B520" s="47">
        <f>'設定'!$I$19</f>
        <v/>
      </c>
      <c r="C520" s="83" t="n"/>
      <c r="D520" s="83" t="n"/>
      <c r="E520" s="83" t="inlineStr">
        <is>
          <t>×</t>
        </is>
      </c>
      <c r="F520" s="83" t="n"/>
      <c r="G520" s="83" t="n"/>
      <c r="H520" s="83" t="n"/>
      <c r="S520">
        <f>IF(9&lt;='設定'!$B$6,"表示","隠す")</f>
        <v/>
      </c>
    </row>
    <row r="521" hidden="1" ht="21" customHeight="1">
      <c r="A521" s="82" t="n"/>
      <c r="B521" s="47">
        <f>'設定'!$I$20</f>
        <v/>
      </c>
      <c r="C521" s="83" t="n"/>
      <c r="D521" s="83" t="n"/>
      <c r="E521" s="83" t="n"/>
      <c r="F521" s="83" t="n"/>
      <c r="G521" s="83" t="n"/>
      <c r="H521" s="83" t="n"/>
      <c r="S521">
        <f>IF(10&lt;='設定'!$B$6,"表示","隠す")</f>
        <v/>
      </c>
    </row>
    <row r="522" hidden="1" ht="21" customHeight="1">
      <c r="A522" s="82" t="n"/>
      <c r="B522" s="47">
        <f>'設定'!$I$21</f>
        <v/>
      </c>
      <c r="C522" s="83" t="n"/>
      <c r="D522" s="83" t="n"/>
      <c r="E522" s="83" t="n"/>
      <c r="F522" s="83" t="n"/>
      <c r="G522" s="83" t="n"/>
      <c r="H522" s="83" t="n"/>
      <c r="S522">
        <f>IF(11&lt;='設定'!$B$6,"表示","隠す")</f>
        <v/>
      </c>
    </row>
    <row r="523" hidden="1" ht="21" customHeight="1">
      <c r="A523" s="82" t="n"/>
      <c r="B523" s="47">
        <f>'設定'!$I$22</f>
        <v/>
      </c>
      <c r="C523" s="83" t="n"/>
      <c r="D523" s="83" t="n"/>
      <c r="E523" s="83" t="n"/>
      <c r="F523" s="83" t="n"/>
      <c r="G523" s="83" t="n"/>
      <c r="H523" s="83" t="n"/>
      <c r="S523">
        <f>IF(12&lt;='設定'!$B$6,"表示","隠す")</f>
        <v/>
      </c>
    </row>
    <row r="524" hidden="1" ht="21" customHeight="1">
      <c r="A524" s="82" t="n"/>
      <c r="B524" s="47">
        <f>'設定'!$I$23</f>
        <v/>
      </c>
      <c r="C524" s="83" t="n"/>
      <c r="D524" s="83" t="n"/>
      <c r="E524" s="83" t="n"/>
      <c r="F524" s="83" t="n"/>
      <c r="G524" s="83" t="n"/>
      <c r="H524" s="83" t="n"/>
      <c r="S524">
        <f>IF(13&lt;='設定'!$B$6,"表示","隠す")</f>
        <v/>
      </c>
    </row>
    <row r="525" hidden="1" ht="21" customHeight="1">
      <c r="A525" s="82" t="n"/>
      <c r="B525" s="47">
        <f>'設定'!$I$24</f>
        <v/>
      </c>
      <c r="C525" s="83" t="n"/>
      <c r="D525" s="83" t="n"/>
      <c r="E525" s="83" t="n"/>
      <c r="F525" s="83" t="n"/>
      <c r="G525" s="83" t="n"/>
      <c r="H525" s="83" t="n"/>
      <c r="S525">
        <f>IF(14&lt;='設定'!$B$6,"表示","隠す")</f>
        <v/>
      </c>
    </row>
    <row r="526" hidden="1" ht="21" customHeight="1">
      <c r="A526" s="82" t="n"/>
      <c r="B526" s="47">
        <f>'設定'!$I$25</f>
        <v/>
      </c>
      <c r="C526" s="83" t="n"/>
      <c r="D526" s="83" t="n"/>
      <c r="E526" s="83" t="n"/>
      <c r="F526" s="83" t="n"/>
      <c r="G526" s="83" t="n"/>
      <c r="H526" s="83" t="n"/>
      <c r="S526">
        <f>IF(15&lt;='設定'!$B$6,"表示","隠す")</f>
        <v/>
      </c>
    </row>
    <row r="527" hidden="1" ht="21" customHeight="1">
      <c r="A527" s="82" t="n"/>
      <c r="B527" s="47">
        <f>'設定'!$I$26</f>
        <v/>
      </c>
      <c r="C527" s="83" t="n"/>
      <c r="D527" s="83" t="n"/>
      <c r="E527" s="83" t="n"/>
      <c r="F527" s="83" t="n"/>
      <c r="G527" s="83" t="n"/>
      <c r="H527" s="83" t="n"/>
      <c r="S527">
        <f>IF(16&lt;='設定'!$B$6,"表示","隠す")</f>
        <v/>
      </c>
    </row>
    <row r="528" hidden="1" ht="21" customHeight="1">
      <c r="A528" s="82" t="n"/>
      <c r="B528" s="47">
        <f>'設定'!$I$27</f>
        <v/>
      </c>
      <c r="C528" s="83" t="n"/>
      <c r="D528" s="83" t="n"/>
      <c r="E528" s="83" t="n"/>
      <c r="F528" s="83" t="n"/>
      <c r="G528" s="83" t="n"/>
      <c r="H528" s="83" t="n"/>
      <c r="S528">
        <f>IF(17&lt;='設定'!$B$6,"表示","隠す")</f>
        <v/>
      </c>
    </row>
    <row r="529" hidden="1" ht="21" customHeight="1">
      <c r="A529" s="82" t="n"/>
      <c r="B529" s="47">
        <f>'設定'!$I$28</f>
        <v/>
      </c>
      <c r="C529" s="83" t="n"/>
      <c r="D529" s="83" t="n"/>
      <c r="E529" s="83" t="n"/>
      <c r="F529" s="83" t="n"/>
      <c r="G529" s="83" t="n"/>
      <c r="H529" s="83" t="n"/>
      <c r="S529">
        <f>IF(18&lt;='設定'!$B$6,"表示","隠す")</f>
        <v/>
      </c>
    </row>
    <row r="530" hidden="1" ht="21" customHeight="1">
      <c r="A530" s="82" t="n"/>
      <c r="B530" s="47">
        <f>'設定'!$I$29</f>
        <v/>
      </c>
      <c r="C530" s="83" t="n"/>
      <c r="D530" s="83" t="n"/>
      <c r="E530" s="83" t="n"/>
      <c r="F530" s="83" t="n"/>
      <c r="G530" s="83" t="n"/>
      <c r="H530" s="83" t="n"/>
      <c r="S530">
        <f>IF(19&lt;='設定'!$B$6,"表示","隠す")</f>
        <v/>
      </c>
    </row>
    <row r="531" hidden="1" ht="21" customHeight="1">
      <c r="A531" s="82" t="n"/>
      <c r="B531" s="47">
        <f>'設定'!$I$30</f>
        <v/>
      </c>
      <c r="C531" s="83" t="n"/>
      <c r="D531" s="83" t="n"/>
      <c r="E531" s="83" t="n"/>
      <c r="F531" s="83" t="n"/>
      <c r="G531" s="83" t="n"/>
      <c r="H531" s="83" t="n"/>
      <c r="S531">
        <f>IF(20&lt;='設定'!$B$6,"表示","隠す")</f>
        <v/>
      </c>
    </row>
    <row r="532" hidden="1" ht="21" customHeight="1">
      <c r="A532" s="82" t="n"/>
      <c r="B532" s="47">
        <f>'設定'!$I$31</f>
        <v/>
      </c>
      <c r="C532" s="83" t="n"/>
      <c r="D532" s="83" t="n"/>
      <c r="E532" s="83" t="n"/>
      <c r="F532" s="83" t="n"/>
      <c r="G532" s="83" t="n"/>
      <c r="H532" s="83" t="n"/>
      <c r="S532">
        <f>IF(21&lt;='設定'!$B$6,"表示","隠す")</f>
        <v/>
      </c>
    </row>
    <row r="533" hidden="1" ht="21" customHeight="1">
      <c r="A533" s="82" t="n"/>
      <c r="B533" s="47">
        <f>'設定'!$I$32</f>
        <v/>
      </c>
      <c r="C533" s="83" t="n"/>
      <c r="D533" s="83" t="n"/>
      <c r="E533" s="83" t="n"/>
      <c r="F533" s="83" t="n"/>
      <c r="G533" s="83" t="n"/>
      <c r="H533" s="83" t="n"/>
      <c r="S533">
        <f>IF(22&lt;='設定'!$B$6,"表示","隠す")</f>
        <v/>
      </c>
    </row>
    <row r="534" hidden="1" ht="21" customHeight="1">
      <c r="A534" s="82" t="n"/>
      <c r="B534" s="47">
        <f>'設定'!$I$33</f>
        <v/>
      </c>
      <c r="C534" s="83" t="n"/>
      <c r="D534" s="83" t="n"/>
      <c r="E534" s="83" t="n"/>
      <c r="F534" s="83" t="n"/>
      <c r="G534" s="83" t="n"/>
      <c r="H534" s="83" t="n"/>
      <c r="S534">
        <f>IF(23&lt;='設定'!$B$6,"表示","隠す")</f>
        <v/>
      </c>
    </row>
    <row r="535" hidden="1" ht="21" customHeight="1">
      <c r="A535" s="82" t="n"/>
      <c r="B535" s="47">
        <f>'設定'!$I$34</f>
        <v/>
      </c>
      <c r="C535" s="83" t="n"/>
      <c r="D535" s="83" t="n"/>
      <c r="E535" s="83" t="n"/>
      <c r="F535" s="83" t="n"/>
      <c r="G535" s="83" t="n"/>
      <c r="H535" s="83" t="n"/>
      <c r="S535">
        <f>IF(24&lt;='設定'!$B$6,"表示","隠す")</f>
        <v/>
      </c>
    </row>
    <row r="536">
      <c r="S536" t="inlineStr">
        <is>
          <t>表示</t>
        </is>
      </c>
    </row>
    <row r="537" ht="26" customHeight="1">
      <c r="B537" s="76">
        <f>IF('名簿'!B24="","（名簿 20行目：なし）",'名簿'!P24)</f>
        <v/>
      </c>
      <c r="C537" s="5" t="n"/>
      <c r="D537" s="5" t="n"/>
      <c r="E537" s="77" t="inlineStr">
        <is>
          <t>提出状況 ▶</t>
        </is>
      </c>
      <c r="F537" s="43" t="n"/>
      <c r="G537" s="34" t="n"/>
      <c r="H537" s="78" t="inlineStr">
        <is>
          <t>状況：</t>
        </is>
      </c>
      <c r="I537" s="79">
        <f>'名簿'!Q24</f>
        <v/>
      </c>
      <c r="J537" s="78" t="inlineStr">
        <is>
          <t>×の数：</t>
        </is>
      </c>
      <c r="K537" s="80">
        <f>'名簿'!R24</f>
        <v/>
      </c>
      <c r="L537" s="81">
        <f>HYPERLINK("#'×入力'!B565","次の人へ ▼")</f>
        <v/>
      </c>
      <c r="S537" t="inlineStr">
        <is>
          <t>表示</t>
        </is>
      </c>
    </row>
    <row r="538" ht="22" customHeight="1">
      <c r="A538" s="35" t="inlineStr">
        <is>
          <t>この日全部 ▶</t>
        </is>
      </c>
      <c r="C538" s="82" t="n"/>
      <c r="D538" s="82" t="n"/>
      <c r="E538" s="82" t="n"/>
      <c r="F538" s="82" t="n"/>
      <c r="G538" s="82" t="inlineStr">
        <is>
          <t>×</t>
        </is>
      </c>
      <c r="H538" s="82" t="n"/>
      <c r="S538" t="inlineStr">
        <is>
          <t>表示</t>
        </is>
      </c>
    </row>
    <row r="539" ht="28" customHeight="1">
      <c r="A539" s="38" t="inlineStr">
        <is>
          <t>この時間
全部 ▼</t>
        </is>
      </c>
      <c r="B539" s="39" t="inlineStr"/>
      <c r="C539" s="40">
        <f>'設定'!$E$11</f>
        <v/>
      </c>
      <c r="D539" s="40">
        <f>'設定'!$E$12</f>
        <v/>
      </c>
      <c r="E539" s="40">
        <f>'設定'!$E$13</f>
        <v/>
      </c>
      <c r="F539" s="40">
        <f>'設定'!$E$14</f>
        <v/>
      </c>
      <c r="G539" s="40">
        <f>'設定'!$E$15</f>
        <v/>
      </c>
      <c r="H539" s="40">
        <f>'設定'!$E$16</f>
        <v/>
      </c>
      <c r="S539" t="inlineStr">
        <is>
          <t>表示</t>
        </is>
      </c>
    </row>
    <row r="540" ht="21" customHeight="1">
      <c r="A540" s="82" t="n"/>
      <c r="B540" s="47">
        <f>'設定'!$I$11</f>
        <v/>
      </c>
      <c r="C540" s="83" t="inlineStr">
        <is>
          <t>×</t>
        </is>
      </c>
      <c r="D540" s="83" t="n"/>
      <c r="E540" s="83" t="n"/>
      <c r="F540" s="83" t="n"/>
      <c r="G540" s="83" t="inlineStr">
        <is>
          <t>×</t>
        </is>
      </c>
      <c r="H540" s="83" t="n"/>
      <c r="S540">
        <f>IF(1&lt;='設定'!$B$6,"表示","隠す")</f>
        <v/>
      </c>
    </row>
    <row r="541" ht="21" customHeight="1">
      <c r="A541" s="82" t="n"/>
      <c r="B541" s="47">
        <f>'設定'!$I$12</f>
        <v/>
      </c>
      <c r="C541" s="83" t="n"/>
      <c r="D541" s="83" t="n"/>
      <c r="E541" s="83" t="n"/>
      <c r="F541" s="83" t="n"/>
      <c r="G541" s="83" t="inlineStr">
        <is>
          <t>×</t>
        </is>
      </c>
      <c r="H541" s="83" t="n"/>
      <c r="S541">
        <f>IF(2&lt;='設定'!$B$6,"表示","隠す")</f>
        <v/>
      </c>
    </row>
    <row r="542" ht="21" customHeight="1">
      <c r="A542" s="82" t="n"/>
      <c r="B542" s="47">
        <f>'設定'!$I$13</f>
        <v/>
      </c>
      <c r="C542" s="83" t="inlineStr">
        <is>
          <t>×</t>
        </is>
      </c>
      <c r="D542" s="83" t="n"/>
      <c r="E542" s="83" t="n"/>
      <c r="F542" s="83" t="n"/>
      <c r="G542" s="83" t="inlineStr">
        <is>
          <t>×</t>
        </is>
      </c>
      <c r="H542" s="83" t="n"/>
      <c r="S542">
        <f>IF(3&lt;='設定'!$B$6,"表示","隠す")</f>
        <v/>
      </c>
    </row>
    <row r="543" ht="21" customHeight="1">
      <c r="A543" s="82" t="n"/>
      <c r="B543" s="47">
        <f>'設定'!$I$14</f>
        <v/>
      </c>
      <c r="C543" s="83" t="n"/>
      <c r="D543" s="83" t="n"/>
      <c r="E543" s="83" t="inlineStr">
        <is>
          <t>×</t>
        </is>
      </c>
      <c r="F543" s="83" t="n"/>
      <c r="G543" s="83" t="n"/>
      <c r="H543" s="83" t="n"/>
      <c r="S543">
        <f>IF(4&lt;='設定'!$B$6,"表示","隠す")</f>
        <v/>
      </c>
    </row>
    <row r="544" ht="21" customHeight="1">
      <c r="A544" s="82" t="n"/>
      <c r="B544" s="47">
        <f>'設定'!$I$15</f>
        <v/>
      </c>
      <c r="C544" s="83" t="inlineStr">
        <is>
          <t>×</t>
        </is>
      </c>
      <c r="D544" s="83" t="inlineStr">
        <is>
          <t>×</t>
        </is>
      </c>
      <c r="E544" s="83" t="inlineStr">
        <is>
          <t>×</t>
        </is>
      </c>
      <c r="F544" s="83" t="inlineStr">
        <is>
          <t>×</t>
        </is>
      </c>
      <c r="G544" s="83" t="inlineStr">
        <is>
          <t>×</t>
        </is>
      </c>
      <c r="H544" s="83" t="n"/>
      <c r="S544">
        <f>IF(5&lt;='設定'!$B$6,"表示","隠す")</f>
        <v/>
      </c>
    </row>
    <row r="545" ht="21" customHeight="1">
      <c r="A545" s="82" t="n"/>
      <c r="B545" s="47">
        <f>'設定'!$I$16</f>
        <v/>
      </c>
      <c r="C545" s="83" t="inlineStr">
        <is>
          <t>×</t>
        </is>
      </c>
      <c r="D545" s="83" t="inlineStr">
        <is>
          <t>×</t>
        </is>
      </c>
      <c r="E545" s="83" t="inlineStr">
        <is>
          <t>×</t>
        </is>
      </c>
      <c r="F545" s="83" t="inlineStr">
        <is>
          <t>×</t>
        </is>
      </c>
      <c r="G545" s="83" t="inlineStr">
        <is>
          <t>×</t>
        </is>
      </c>
      <c r="H545" s="83" t="n"/>
      <c r="S545">
        <f>IF(6&lt;='設定'!$B$6,"表示","隠す")</f>
        <v/>
      </c>
    </row>
    <row r="546" ht="21" customHeight="1">
      <c r="A546" s="82" t="n"/>
      <c r="B546" s="47">
        <f>'設定'!$I$17</f>
        <v/>
      </c>
      <c r="C546" s="83" t="inlineStr">
        <is>
          <t>×</t>
        </is>
      </c>
      <c r="D546" s="83" t="inlineStr">
        <is>
          <t>×</t>
        </is>
      </c>
      <c r="E546" s="83" t="inlineStr">
        <is>
          <t>×</t>
        </is>
      </c>
      <c r="F546" s="83" t="inlineStr">
        <is>
          <t>×</t>
        </is>
      </c>
      <c r="G546" s="83" t="inlineStr">
        <is>
          <t>×</t>
        </is>
      </c>
      <c r="H546" s="83" t="n"/>
      <c r="S546">
        <f>IF(7&lt;='設定'!$B$6,"表示","隠す")</f>
        <v/>
      </c>
    </row>
    <row r="547" ht="21" customHeight="1">
      <c r="A547" s="82" t="n"/>
      <c r="B547" s="47">
        <f>'設定'!$I$18</f>
        <v/>
      </c>
      <c r="C547" s="83" t="inlineStr">
        <is>
          <t>×</t>
        </is>
      </c>
      <c r="D547" s="83" t="inlineStr">
        <is>
          <t>×</t>
        </is>
      </c>
      <c r="E547" s="83" t="inlineStr">
        <is>
          <t>×</t>
        </is>
      </c>
      <c r="F547" s="83" t="inlineStr">
        <is>
          <t>×</t>
        </is>
      </c>
      <c r="G547" s="83" t="inlineStr">
        <is>
          <t>×</t>
        </is>
      </c>
      <c r="H547" s="83" t="n"/>
      <c r="S547">
        <f>IF(8&lt;='設定'!$B$6,"表示","隠す")</f>
        <v/>
      </c>
    </row>
    <row r="548" ht="21" customHeight="1">
      <c r="A548" s="82" t="n"/>
      <c r="B548" s="47">
        <f>'設定'!$I$19</f>
        <v/>
      </c>
      <c r="C548" s="83" t="inlineStr">
        <is>
          <t>×</t>
        </is>
      </c>
      <c r="D548" s="83" t="inlineStr">
        <is>
          <t>×</t>
        </is>
      </c>
      <c r="E548" s="83" t="inlineStr">
        <is>
          <t>×</t>
        </is>
      </c>
      <c r="F548" s="83" t="inlineStr">
        <is>
          <t>×</t>
        </is>
      </c>
      <c r="G548" s="83" t="inlineStr">
        <is>
          <t>×</t>
        </is>
      </c>
      <c r="H548" s="83" t="n"/>
      <c r="S548">
        <f>IF(9&lt;='設定'!$B$6,"表示","隠す")</f>
        <v/>
      </c>
    </row>
    <row r="549" hidden="1" ht="21" customHeight="1">
      <c r="A549" s="82" t="n"/>
      <c r="B549" s="47">
        <f>'設定'!$I$20</f>
        <v/>
      </c>
      <c r="C549" s="83" t="n"/>
      <c r="D549" s="83" t="n"/>
      <c r="E549" s="83" t="n"/>
      <c r="F549" s="83" t="n"/>
      <c r="G549" s="83" t="n"/>
      <c r="H549" s="83" t="n"/>
      <c r="S549">
        <f>IF(10&lt;='設定'!$B$6,"表示","隠す")</f>
        <v/>
      </c>
    </row>
    <row r="550" hidden="1" ht="21" customHeight="1">
      <c r="A550" s="82" t="n"/>
      <c r="B550" s="47">
        <f>'設定'!$I$21</f>
        <v/>
      </c>
      <c r="C550" s="83" t="n"/>
      <c r="D550" s="83" t="n"/>
      <c r="E550" s="83" t="n"/>
      <c r="F550" s="83" t="n"/>
      <c r="G550" s="83" t="n"/>
      <c r="H550" s="83" t="n"/>
      <c r="S550">
        <f>IF(11&lt;='設定'!$B$6,"表示","隠す")</f>
        <v/>
      </c>
    </row>
    <row r="551" hidden="1" ht="21" customHeight="1">
      <c r="A551" s="82" t="n"/>
      <c r="B551" s="47">
        <f>'設定'!$I$22</f>
        <v/>
      </c>
      <c r="C551" s="83" t="n"/>
      <c r="D551" s="83" t="n"/>
      <c r="E551" s="83" t="n"/>
      <c r="F551" s="83" t="n"/>
      <c r="G551" s="83" t="n"/>
      <c r="H551" s="83" t="n"/>
      <c r="S551">
        <f>IF(12&lt;='設定'!$B$6,"表示","隠す")</f>
        <v/>
      </c>
    </row>
    <row r="552" hidden="1" ht="21" customHeight="1">
      <c r="A552" s="82" t="n"/>
      <c r="B552" s="47">
        <f>'設定'!$I$23</f>
        <v/>
      </c>
      <c r="C552" s="83" t="n"/>
      <c r="D552" s="83" t="n"/>
      <c r="E552" s="83" t="n"/>
      <c r="F552" s="83" t="n"/>
      <c r="G552" s="83" t="n"/>
      <c r="H552" s="83" t="n"/>
      <c r="S552">
        <f>IF(13&lt;='設定'!$B$6,"表示","隠す")</f>
        <v/>
      </c>
    </row>
    <row r="553" hidden="1" ht="21" customHeight="1">
      <c r="A553" s="82" t="n"/>
      <c r="B553" s="47">
        <f>'設定'!$I$24</f>
        <v/>
      </c>
      <c r="C553" s="83" t="n"/>
      <c r="D553" s="83" t="n"/>
      <c r="E553" s="83" t="n"/>
      <c r="F553" s="83" t="n"/>
      <c r="G553" s="83" t="n"/>
      <c r="H553" s="83" t="n"/>
      <c r="S553">
        <f>IF(14&lt;='設定'!$B$6,"表示","隠す")</f>
        <v/>
      </c>
    </row>
    <row r="554" hidden="1" ht="21" customHeight="1">
      <c r="A554" s="82" t="n"/>
      <c r="B554" s="47">
        <f>'設定'!$I$25</f>
        <v/>
      </c>
      <c r="C554" s="83" t="n"/>
      <c r="D554" s="83" t="n"/>
      <c r="E554" s="83" t="n"/>
      <c r="F554" s="83" t="n"/>
      <c r="G554" s="83" t="n"/>
      <c r="H554" s="83" t="n"/>
      <c r="S554">
        <f>IF(15&lt;='設定'!$B$6,"表示","隠す")</f>
        <v/>
      </c>
    </row>
    <row r="555" hidden="1" ht="21" customHeight="1">
      <c r="A555" s="82" t="n"/>
      <c r="B555" s="47">
        <f>'設定'!$I$26</f>
        <v/>
      </c>
      <c r="C555" s="83" t="n"/>
      <c r="D555" s="83" t="n"/>
      <c r="E555" s="83" t="n"/>
      <c r="F555" s="83" t="n"/>
      <c r="G555" s="83" t="n"/>
      <c r="H555" s="83" t="n"/>
      <c r="S555">
        <f>IF(16&lt;='設定'!$B$6,"表示","隠す")</f>
        <v/>
      </c>
    </row>
    <row r="556" hidden="1" ht="21" customHeight="1">
      <c r="A556" s="82" t="n"/>
      <c r="B556" s="47">
        <f>'設定'!$I$27</f>
        <v/>
      </c>
      <c r="C556" s="83" t="n"/>
      <c r="D556" s="83" t="n"/>
      <c r="E556" s="83" t="n"/>
      <c r="F556" s="83" t="n"/>
      <c r="G556" s="83" t="n"/>
      <c r="H556" s="83" t="n"/>
      <c r="S556">
        <f>IF(17&lt;='設定'!$B$6,"表示","隠す")</f>
        <v/>
      </c>
    </row>
    <row r="557" hidden="1" ht="21" customHeight="1">
      <c r="A557" s="82" t="n"/>
      <c r="B557" s="47">
        <f>'設定'!$I$28</f>
        <v/>
      </c>
      <c r="C557" s="83" t="n"/>
      <c r="D557" s="83" t="n"/>
      <c r="E557" s="83" t="n"/>
      <c r="F557" s="83" t="n"/>
      <c r="G557" s="83" t="n"/>
      <c r="H557" s="83" t="n"/>
      <c r="S557">
        <f>IF(18&lt;='設定'!$B$6,"表示","隠す")</f>
        <v/>
      </c>
    </row>
    <row r="558" hidden="1" ht="21" customHeight="1">
      <c r="A558" s="82" t="n"/>
      <c r="B558" s="47">
        <f>'設定'!$I$29</f>
        <v/>
      </c>
      <c r="C558" s="83" t="n"/>
      <c r="D558" s="83" t="n"/>
      <c r="E558" s="83" t="n"/>
      <c r="F558" s="83" t="n"/>
      <c r="G558" s="83" t="n"/>
      <c r="H558" s="83" t="n"/>
      <c r="S558">
        <f>IF(19&lt;='設定'!$B$6,"表示","隠す")</f>
        <v/>
      </c>
    </row>
    <row r="559" hidden="1" ht="21" customHeight="1">
      <c r="A559" s="82" t="n"/>
      <c r="B559" s="47">
        <f>'設定'!$I$30</f>
        <v/>
      </c>
      <c r="C559" s="83" t="n"/>
      <c r="D559" s="83" t="n"/>
      <c r="E559" s="83" t="n"/>
      <c r="F559" s="83" t="n"/>
      <c r="G559" s="83" t="n"/>
      <c r="H559" s="83" t="n"/>
      <c r="S559">
        <f>IF(20&lt;='設定'!$B$6,"表示","隠す")</f>
        <v/>
      </c>
    </row>
    <row r="560" hidden="1" ht="21" customHeight="1">
      <c r="A560" s="82" t="n"/>
      <c r="B560" s="47">
        <f>'設定'!$I$31</f>
        <v/>
      </c>
      <c r="C560" s="83" t="n"/>
      <c r="D560" s="83" t="n"/>
      <c r="E560" s="83" t="n"/>
      <c r="F560" s="83" t="n"/>
      <c r="G560" s="83" t="n"/>
      <c r="H560" s="83" t="n"/>
      <c r="S560">
        <f>IF(21&lt;='設定'!$B$6,"表示","隠す")</f>
        <v/>
      </c>
    </row>
    <row r="561" hidden="1" ht="21" customHeight="1">
      <c r="A561" s="82" t="n"/>
      <c r="B561" s="47">
        <f>'設定'!$I$32</f>
        <v/>
      </c>
      <c r="C561" s="83" t="n"/>
      <c r="D561" s="83" t="n"/>
      <c r="E561" s="83" t="n"/>
      <c r="F561" s="83" t="n"/>
      <c r="G561" s="83" t="n"/>
      <c r="H561" s="83" t="n"/>
      <c r="S561">
        <f>IF(22&lt;='設定'!$B$6,"表示","隠す")</f>
        <v/>
      </c>
    </row>
    <row r="562" hidden="1" ht="21" customHeight="1">
      <c r="A562" s="82" t="n"/>
      <c r="B562" s="47">
        <f>'設定'!$I$33</f>
        <v/>
      </c>
      <c r="C562" s="83" t="n"/>
      <c r="D562" s="83" t="n"/>
      <c r="E562" s="83" t="n"/>
      <c r="F562" s="83" t="n"/>
      <c r="G562" s="83" t="n"/>
      <c r="H562" s="83" t="n"/>
      <c r="S562">
        <f>IF(23&lt;='設定'!$B$6,"表示","隠す")</f>
        <v/>
      </c>
    </row>
    <row r="563" hidden="1" ht="21" customHeight="1">
      <c r="A563" s="82" t="n"/>
      <c r="B563" s="47">
        <f>'設定'!$I$34</f>
        <v/>
      </c>
      <c r="C563" s="83" t="n"/>
      <c r="D563" s="83" t="n"/>
      <c r="E563" s="83" t="n"/>
      <c r="F563" s="83" t="n"/>
      <c r="G563" s="83" t="n"/>
      <c r="H563" s="83" t="n"/>
      <c r="S563">
        <f>IF(24&lt;='設定'!$B$6,"表示","隠す")</f>
        <v/>
      </c>
    </row>
    <row r="564">
      <c r="S564" t="inlineStr">
        <is>
          <t>表示</t>
        </is>
      </c>
    </row>
    <row r="565" ht="26" customHeight="1">
      <c r="B565" s="76">
        <f>IF('名簿'!B25="","（名簿 21行目：なし）",'名簿'!P25)</f>
        <v/>
      </c>
      <c r="C565" s="5" t="n"/>
      <c r="D565" s="5" t="n"/>
      <c r="E565" s="77" t="inlineStr">
        <is>
          <t>提出状況 ▶</t>
        </is>
      </c>
      <c r="F565" s="43" t="n"/>
      <c r="G565" s="34" t="n"/>
      <c r="H565" s="78" t="inlineStr">
        <is>
          <t>状況：</t>
        </is>
      </c>
      <c r="I565" s="79">
        <f>'名簿'!Q25</f>
        <v/>
      </c>
      <c r="J565" s="78" t="inlineStr">
        <is>
          <t>×の数：</t>
        </is>
      </c>
      <c r="K565" s="80">
        <f>'名簿'!R25</f>
        <v/>
      </c>
      <c r="L565" s="81">
        <f>HYPERLINK("#'×入力'!B593","次の人へ ▼")</f>
        <v/>
      </c>
      <c r="S565" t="inlineStr">
        <is>
          <t>表示</t>
        </is>
      </c>
    </row>
    <row r="566" ht="22" customHeight="1">
      <c r="A566" s="35" t="inlineStr">
        <is>
          <t>この日全部 ▶</t>
        </is>
      </c>
      <c r="C566" s="82" t="n"/>
      <c r="D566" s="82" t="n"/>
      <c r="E566" s="82" t="n"/>
      <c r="F566" s="82" t="n"/>
      <c r="G566" s="82" t="n"/>
      <c r="H566" s="82" t="n"/>
      <c r="S566" t="inlineStr">
        <is>
          <t>表示</t>
        </is>
      </c>
    </row>
    <row r="567" ht="28" customHeight="1">
      <c r="A567" s="38" t="inlineStr">
        <is>
          <t>この時間
全部 ▼</t>
        </is>
      </c>
      <c r="B567" s="39" t="inlineStr"/>
      <c r="C567" s="40">
        <f>'設定'!$E$11</f>
        <v/>
      </c>
      <c r="D567" s="40">
        <f>'設定'!$E$12</f>
        <v/>
      </c>
      <c r="E567" s="40">
        <f>'設定'!$E$13</f>
        <v/>
      </c>
      <c r="F567" s="40">
        <f>'設定'!$E$14</f>
        <v/>
      </c>
      <c r="G567" s="40">
        <f>'設定'!$E$15</f>
        <v/>
      </c>
      <c r="H567" s="40">
        <f>'設定'!$E$16</f>
        <v/>
      </c>
      <c r="S567" t="inlineStr">
        <is>
          <t>表示</t>
        </is>
      </c>
    </row>
    <row r="568" ht="21" customHeight="1">
      <c r="A568" s="82" t="n"/>
      <c r="B568" s="47">
        <f>'設定'!$I$11</f>
        <v/>
      </c>
      <c r="C568" s="83" t="inlineStr">
        <is>
          <t>×</t>
        </is>
      </c>
      <c r="D568" s="83" t="inlineStr">
        <is>
          <t>×</t>
        </is>
      </c>
      <c r="E568" s="83" t="n"/>
      <c r="F568" s="83" t="n"/>
      <c r="G568" s="83" t="inlineStr">
        <is>
          <t>×</t>
        </is>
      </c>
      <c r="H568" s="83" t="n"/>
      <c r="S568">
        <f>IF(1&lt;='設定'!$B$6,"表示","隠す")</f>
        <v/>
      </c>
    </row>
    <row r="569" ht="21" customHeight="1">
      <c r="A569" s="82" t="n"/>
      <c r="B569" s="47">
        <f>'設定'!$I$12</f>
        <v/>
      </c>
      <c r="C569" s="83" t="n"/>
      <c r="D569" s="83" t="inlineStr">
        <is>
          <t>×</t>
        </is>
      </c>
      <c r="E569" s="83" t="n"/>
      <c r="F569" s="83" t="n"/>
      <c r="G569" s="83" t="inlineStr">
        <is>
          <t>×</t>
        </is>
      </c>
      <c r="H569" s="83" t="n"/>
      <c r="S569">
        <f>IF(2&lt;='設定'!$B$6,"表示","隠す")</f>
        <v/>
      </c>
    </row>
    <row r="570" ht="21" customHeight="1">
      <c r="A570" s="82" t="n"/>
      <c r="B570" s="47">
        <f>'設定'!$I$13</f>
        <v/>
      </c>
      <c r="C570" s="83" t="n"/>
      <c r="D570" s="83" t="inlineStr">
        <is>
          <t>×</t>
        </is>
      </c>
      <c r="E570" s="83" t="n"/>
      <c r="F570" s="83" t="n"/>
      <c r="G570" s="83" t="inlineStr">
        <is>
          <t>×</t>
        </is>
      </c>
      <c r="H570" s="83" t="n"/>
      <c r="S570">
        <f>IF(3&lt;='設定'!$B$6,"表示","隠す")</f>
        <v/>
      </c>
    </row>
    <row r="571" ht="21" customHeight="1">
      <c r="A571" s="82" t="n"/>
      <c r="B571" s="47">
        <f>'設定'!$I$14</f>
        <v/>
      </c>
      <c r="C571" s="83" t="n"/>
      <c r="D571" s="83" t="inlineStr">
        <is>
          <t>×</t>
        </is>
      </c>
      <c r="E571" s="83" t="n"/>
      <c r="F571" s="83" t="n"/>
      <c r="G571" s="83" t="inlineStr">
        <is>
          <t>×</t>
        </is>
      </c>
      <c r="H571" s="83" t="n"/>
      <c r="S571">
        <f>IF(4&lt;='設定'!$B$6,"表示","隠す")</f>
        <v/>
      </c>
    </row>
    <row r="572" ht="21" customHeight="1">
      <c r="A572" s="82" t="n"/>
      <c r="B572" s="47">
        <f>'設定'!$I$15</f>
        <v/>
      </c>
      <c r="C572" s="83" t="n"/>
      <c r="D572" s="83" t="inlineStr">
        <is>
          <t>×</t>
        </is>
      </c>
      <c r="E572" s="83" t="n"/>
      <c r="F572" s="83" t="inlineStr">
        <is>
          <t>×</t>
        </is>
      </c>
      <c r="G572" s="83" t="inlineStr">
        <is>
          <t>×</t>
        </is>
      </c>
      <c r="H572" s="83" t="n"/>
      <c r="S572">
        <f>IF(5&lt;='設定'!$B$6,"表示","隠す")</f>
        <v/>
      </c>
    </row>
    <row r="573" ht="21" customHeight="1">
      <c r="A573" s="82" t="n"/>
      <c r="B573" s="47">
        <f>'設定'!$I$16</f>
        <v/>
      </c>
      <c r="C573" s="83" t="n"/>
      <c r="D573" s="83" t="inlineStr">
        <is>
          <t>×</t>
        </is>
      </c>
      <c r="E573" s="83" t="n"/>
      <c r="F573" s="83" t="n"/>
      <c r="G573" s="83" t="inlineStr">
        <is>
          <t>×</t>
        </is>
      </c>
      <c r="H573" s="83" t="n"/>
      <c r="S573">
        <f>IF(6&lt;='設定'!$B$6,"表示","隠す")</f>
        <v/>
      </c>
    </row>
    <row r="574" ht="21" customHeight="1">
      <c r="A574" s="82" t="n"/>
      <c r="B574" s="47">
        <f>'設定'!$I$17</f>
        <v/>
      </c>
      <c r="C574" s="83" t="n"/>
      <c r="D574" s="83" t="inlineStr">
        <is>
          <t>×</t>
        </is>
      </c>
      <c r="E574" s="83" t="n"/>
      <c r="F574" s="83" t="n"/>
      <c r="G574" s="83" t="inlineStr">
        <is>
          <t>×</t>
        </is>
      </c>
      <c r="H574" s="83" t="n"/>
      <c r="S574">
        <f>IF(7&lt;='設定'!$B$6,"表示","隠す")</f>
        <v/>
      </c>
    </row>
    <row r="575" ht="21" customHeight="1">
      <c r="A575" s="82" t="n"/>
      <c r="B575" s="47">
        <f>'設定'!$I$18</f>
        <v/>
      </c>
      <c r="C575" s="83" t="n"/>
      <c r="D575" s="83" t="inlineStr">
        <is>
          <t>×</t>
        </is>
      </c>
      <c r="E575" s="83" t="n"/>
      <c r="F575" s="83" t="n"/>
      <c r="G575" s="83" t="inlineStr">
        <is>
          <t>×</t>
        </is>
      </c>
      <c r="H575" s="83" t="n"/>
      <c r="S575">
        <f>IF(8&lt;='設定'!$B$6,"表示","隠す")</f>
        <v/>
      </c>
    </row>
    <row r="576" ht="21" customHeight="1">
      <c r="A576" s="82" t="n"/>
      <c r="B576" s="47">
        <f>'設定'!$I$19</f>
        <v/>
      </c>
      <c r="C576" s="83" t="n"/>
      <c r="D576" s="83" t="inlineStr">
        <is>
          <t>×</t>
        </is>
      </c>
      <c r="E576" s="83" t="n"/>
      <c r="F576" s="83" t="n"/>
      <c r="G576" s="83" t="inlineStr">
        <is>
          <t>×</t>
        </is>
      </c>
      <c r="H576" s="83" t="n"/>
      <c r="S576">
        <f>IF(9&lt;='設定'!$B$6,"表示","隠す")</f>
        <v/>
      </c>
    </row>
    <row r="577" hidden="1" ht="21" customHeight="1">
      <c r="A577" s="82" t="n"/>
      <c r="B577" s="47">
        <f>'設定'!$I$20</f>
        <v/>
      </c>
      <c r="C577" s="83" t="n"/>
      <c r="D577" s="83" t="n"/>
      <c r="E577" s="83" t="n"/>
      <c r="F577" s="83" t="n"/>
      <c r="G577" s="83" t="n"/>
      <c r="H577" s="83" t="n"/>
      <c r="S577">
        <f>IF(10&lt;='設定'!$B$6,"表示","隠す")</f>
        <v/>
      </c>
    </row>
    <row r="578" hidden="1" ht="21" customHeight="1">
      <c r="A578" s="82" t="n"/>
      <c r="B578" s="47">
        <f>'設定'!$I$21</f>
        <v/>
      </c>
      <c r="C578" s="83" t="n"/>
      <c r="D578" s="83" t="n"/>
      <c r="E578" s="83" t="n"/>
      <c r="F578" s="83" t="n"/>
      <c r="G578" s="83" t="n"/>
      <c r="H578" s="83" t="n"/>
      <c r="S578">
        <f>IF(11&lt;='設定'!$B$6,"表示","隠す")</f>
        <v/>
      </c>
    </row>
    <row r="579" hidden="1" ht="21" customHeight="1">
      <c r="A579" s="82" t="n"/>
      <c r="B579" s="47">
        <f>'設定'!$I$22</f>
        <v/>
      </c>
      <c r="C579" s="83" t="n"/>
      <c r="D579" s="83" t="n"/>
      <c r="E579" s="83" t="n"/>
      <c r="F579" s="83" t="n"/>
      <c r="G579" s="83" t="n"/>
      <c r="H579" s="83" t="n"/>
      <c r="S579">
        <f>IF(12&lt;='設定'!$B$6,"表示","隠す")</f>
        <v/>
      </c>
    </row>
    <row r="580" hidden="1" ht="21" customHeight="1">
      <c r="A580" s="82" t="n"/>
      <c r="B580" s="47">
        <f>'設定'!$I$23</f>
        <v/>
      </c>
      <c r="C580" s="83" t="n"/>
      <c r="D580" s="83" t="n"/>
      <c r="E580" s="83" t="n"/>
      <c r="F580" s="83" t="n"/>
      <c r="G580" s="83" t="n"/>
      <c r="H580" s="83" t="n"/>
      <c r="S580">
        <f>IF(13&lt;='設定'!$B$6,"表示","隠す")</f>
        <v/>
      </c>
    </row>
    <row r="581" hidden="1" ht="21" customHeight="1">
      <c r="A581" s="82" t="n"/>
      <c r="B581" s="47">
        <f>'設定'!$I$24</f>
        <v/>
      </c>
      <c r="C581" s="83" t="n"/>
      <c r="D581" s="83" t="n"/>
      <c r="E581" s="83" t="n"/>
      <c r="F581" s="83" t="n"/>
      <c r="G581" s="83" t="n"/>
      <c r="H581" s="83" t="n"/>
      <c r="S581">
        <f>IF(14&lt;='設定'!$B$6,"表示","隠す")</f>
        <v/>
      </c>
    </row>
    <row r="582" hidden="1" ht="21" customHeight="1">
      <c r="A582" s="82" t="n"/>
      <c r="B582" s="47">
        <f>'設定'!$I$25</f>
        <v/>
      </c>
      <c r="C582" s="83" t="n"/>
      <c r="D582" s="83" t="n"/>
      <c r="E582" s="83" t="n"/>
      <c r="F582" s="83" t="n"/>
      <c r="G582" s="83" t="n"/>
      <c r="H582" s="83" t="n"/>
      <c r="S582">
        <f>IF(15&lt;='設定'!$B$6,"表示","隠す")</f>
        <v/>
      </c>
    </row>
    <row r="583" hidden="1" ht="21" customHeight="1">
      <c r="A583" s="82" t="n"/>
      <c r="B583" s="47">
        <f>'設定'!$I$26</f>
        <v/>
      </c>
      <c r="C583" s="83" t="n"/>
      <c r="D583" s="83" t="n"/>
      <c r="E583" s="83" t="n"/>
      <c r="F583" s="83" t="n"/>
      <c r="G583" s="83" t="n"/>
      <c r="H583" s="83" t="n"/>
      <c r="S583">
        <f>IF(16&lt;='設定'!$B$6,"表示","隠す")</f>
        <v/>
      </c>
    </row>
    <row r="584" hidden="1" ht="21" customHeight="1">
      <c r="A584" s="82" t="n"/>
      <c r="B584" s="47">
        <f>'設定'!$I$27</f>
        <v/>
      </c>
      <c r="C584" s="83" t="n"/>
      <c r="D584" s="83" t="n"/>
      <c r="E584" s="83" t="n"/>
      <c r="F584" s="83" t="n"/>
      <c r="G584" s="83" t="n"/>
      <c r="H584" s="83" t="n"/>
      <c r="S584">
        <f>IF(17&lt;='設定'!$B$6,"表示","隠す")</f>
        <v/>
      </c>
    </row>
    <row r="585" hidden="1" ht="21" customHeight="1">
      <c r="A585" s="82" t="n"/>
      <c r="B585" s="47">
        <f>'設定'!$I$28</f>
        <v/>
      </c>
      <c r="C585" s="83" t="n"/>
      <c r="D585" s="83" t="n"/>
      <c r="E585" s="83" t="n"/>
      <c r="F585" s="83" t="n"/>
      <c r="G585" s="83" t="n"/>
      <c r="H585" s="83" t="n"/>
      <c r="S585">
        <f>IF(18&lt;='設定'!$B$6,"表示","隠す")</f>
        <v/>
      </c>
    </row>
    <row r="586" hidden="1" ht="21" customHeight="1">
      <c r="A586" s="82" t="n"/>
      <c r="B586" s="47">
        <f>'設定'!$I$29</f>
        <v/>
      </c>
      <c r="C586" s="83" t="n"/>
      <c r="D586" s="83" t="n"/>
      <c r="E586" s="83" t="n"/>
      <c r="F586" s="83" t="n"/>
      <c r="G586" s="83" t="n"/>
      <c r="H586" s="83" t="n"/>
      <c r="S586">
        <f>IF(19&lt;='設定'!$B$6,"表示","隠す")</f>
        <v/>
      </c>
    </row>
    <row r="587" hidden="1" ht="21" customHeight="1">
      <c r="A587" s="82" t="n"/>
      <c r="B587" s="47">
        <f>'設定'!$I$30</f>
        <v/>
      </c>
      <c r="C587" s="83" t="n"/>
      <c r="D587" s="83" t="n"/>
      <c r="E587" s="83" t="n"/>
      <c r="F587" s="83" t="n"/>
      <c r="G587" s="83" t="n"/>
      <c r="H587" s="83" t="n"/>
      <c r="S587">
        <f>IF(20&lt;='設定'!$B$6,"表示","隠す")</f>
        <v/>
      </c>
    </row>
    <row r="588" hidden="1" ht="21" customHeight="1">
      <c r="A588" s="82" t="n"/>
      <c r="B588" s="47">
        <f>'設定'!$I$31</f>
        <v/>
      </c>
      <c r="C588" s="83" t="n"/>
      <c r="D588" s="83" t="n"/>
      <c r="E588" s="83" t="n"/>
      <c r="F588" s="83" t="n"/>
      <c r="G588" s="83" t="n"/>
      <c r="H588" s="83" t="n"/>
      <c r="S588">
        <f>IF(21&lt;='設定'!$B$6,"表示","隠す")</f>
        <v/>
      </c>
    </row>
    <row r="589" hidden="1" ht="21" customHeight="1">
      <c r="A589" s="82" t="n"/>
      <c r="B589" s="47">
        <f>'設定'!$I$32</f>
        <v/>
      </c>
      <c r="C589" s="83" t="n"/>
      <c r="D589" s="83" t="n"/>
      <c r="E589" s="83" t="n"/>
      <c r="F589" s="83" t="n"/>
      <c r="G589" s="83" t="n"/>
      <c r="H589" s="83" t="n"/>
      <c r="S589">
        <f>IF(22&lt;='設定'!$B$6,"表示","隠す")</f>
        <v/>
      </c>
    </row>
    <row r="590" hidden="1" ht="21" customHeight="1">
      <c r="A590" s="82" t="n"/>
      <c r="B590" s="47">
        <f>'設定'!$I$33</f>
        <v/>
      </c>
      <c r="C590" s="83" t="n"/>
      <c r="D590" s="83" t="n"/>
      <c r="E590" s="83" t="n"/>
      <c r="F590" s="83" t="n"/>
      <c r="G590" s="83" t="n"/>
      <c r="H590" s="83" t="n"/>
      <c r="S590">
        <f>IF(23&lt;='設定'!$B$6,"表示","隠す")</f>
        <v/>
      </c>
    </row>
    <row r="591" hidden="1" ht="21" customHeight="1">
      <c r="A591" s="82" t="n"/>
      <c r="B591" s="47">
        <f>'設定'!$I$34</f>
        <v/>
      </c>
      <c r="C591" s="83" t="n"/>
      <c r="D591" s="83" t="n"/>
      <c r="E591" s="83" t="n"/>
      <c r="F591" s="83" t="n"/>
      <c r="G591" s="83" t="n"/>
      <c r="H591" s="83" t="n"/>
      <c r="S591">
        <f>IF(24&lt;='設定'!$B$6,"表示","隠す")</f>
        <v/>
      </c>
    </row>
    <row r="592">
      <c r="S592" t="inlineStr">
        <is>
          <t>表示</t>
        </is>
      </c>
    </row>
    <row r="593" ht="26" customHeight="1">
      <c r="B593" s="76">
        <f>IF('名簿'!B26="","（名簿 22行目：なし）",'名簿'!P26)</f>
        <v/>
      </c>
      <c r="C593" s="5" t="n"/>
      <c r="D593" s="5" t="n"/>
      <c r="E593" s="77" t="inlineStr">
        <is>
          <t>提出状況 ▶</t>
        </is>
      </c>
      <c r="F593" s="43" t="n"/>
      <c r="G593" s="34" t="n"/>
      <c r="H593" s="78" t="inlineStr">
        <is>
          <t>状況：</t>
        </is>
      </c>
      <c r="I593" s="79">
        <f>'名簿'!Q26</f>
        <v/>
      </c>
      <c r="J593" s="78" t="inlineStr">
        <is>
          <t>×の数：</t>
        </is>
      </c>
      <c r="K593" s="80">
        <f>'名簿'!R26</f>
        <v/>
      </c>
      <c r="L593" s="81">
        <f>HYPERLINK("#'×入力'!B621","次の人へ ▼")</f>
        <v/>
      </c>
      <c r="S593" t="inlineStr">
        <is>
          <t>表示</t>
        </is>
      </c>
    </row>
    <row r="594" ht="22" customHeight="1">
      <c r="A594" s="35" t="inlineStr">
        <is>
          <t>この日全部 ▶</t>
        </is>
      </c>
      <c r="C594" s="82" t="n"/>
      <c r="D594" s="82" t="n"/>
      <c r="E594" s="82" t="n"/>
      <c r="F594" s="82" t="n"/>
      <c r="G594" s="82" t="n"/>
      <c r="H594" s="82" t="n"/>
      <c r="S594" t="inlineStr">
        <is>
          <t>表示</t>
        </is>
      </c>
    </row>
    <row r="595" ht="28" customHeight="1">
      <c r="A595" s="38" t="inlineStr">
        <is>
          <t>この時間
全部 ▼</t>
        </is>
      </c>
      <c r="B595" s="39" t="inlineStr"/>
      <c r="C595" s="40">
        <f>'設定'!$E$11</f>
        <v/>
      </c>
      <c r="D595" s="40">
        <f>'設定'!$E$12</f>
        <v/>
      </c>
      <c r="E595" s="40">
        <f>'設定'!$E$13</f>
        <v/>
      </c>
      <c r="F595" s="40">
        <f>'設定'!$E$14</f>
        <v/>
      </c>
      <c r="G595" s="40">
        <f>'設定'!$E$15</f>
        <v/>
      </c>
      <c r="H595" s="40">
        <f>'設定'!$E$16</f>
        <v/>
      </c>
      <c r="S595" t="inlineStr">
        <is>
          <t>表示</t>
        </is>
      </c>
    </row>
    <row r="596" ht="21" customHeight="1">
      <c r="A596" s="82" t="n"/>
      <c r="B596" s="47">
        <f>'設定'!$I$11</f>
        <v/>
      </c>
      <c r="C596" s="83" t="inlineStr">
        <is>
          <t>×</t>
        </is>
      </c>
      <c r="D596" s="83" t="n"/>
      <c r="E596" s="83" t="inlineStr">
        <is>
          <t>×</t>
        </is>
      </c>
      <c r="F596" s="83" t="inlineStr">
        <is>
          <t>×</t>
        </is>
      </c>
      <c r="G596" s="83" t="n"/>
      <c r="H596" s="83" t="n"/>
      <c r="S596">
        <f>IF(1&lt;='設定'!$B$6,"表示","隠す")</f>
        <v/>
      </c>
    </row>
    <row r="597" ht="21" customHeight="1">
      <c r="A597" s="82" t="n"/>
      <c r="B597" s="47">
        <f>'設定'!$I$12</f>
        <v/>
      </c>
      <c r="C597" s="83" t="n"/>
      <c r="D597" s="83" t="inlineStr">
        <is>
          <t>×</t>
        </is>
      </c>
      <c r="E597" s="83" t="inlineStr">
        <is>
          <t>×</t>
        </is>
      </c>
      <c r="F597" s="83" t="inlineStr">
        <is>
          <t>×</t>
        </is>
      </c>
      <c r="G597" s="83" t="n"/>
      <c r="H597" s="83" t="n"/>
      <c r="S597">
        <f>IF(2&lt;='設定'!$B$6,"表示","隠す")</f>
        <v/>
      </c>
    </row>
    <row r="598" ht="21" customHeight="1">
      <c r="A598" s="82" t="n"/>
      <c r="B598" s="47">
        <f>'設定'!$I$13</f>
        <v/>
      </c>
      <c r="C598" s="83" t="n"/>
      <c r="D598" s="83" t="n"/>
      <c r="E598" s="83" t="inlineStr">
        <is>
          <t>×</t>
        </is>
      </c>
      <c r="F598" s="83" t="inlineStr">
        <is>
          <t>×</t>
        </is>
      </c>
      <c r="G598" s="83" t="n"/>
      <c r="H598" s="83" t="n"/>
      <c r="S598">
        <f>IF(3&lt;='設定'!$B$6,"表示","隠す")</f>
        <v/>
      </c>
    </row>
    <row r="599" ht="21" customHeight="1">
      <c r="A599" s="82" t="n"/>
      <c r="B599" s="47">
        <f>'設定'!$I$14</f>
        <v/>
      </c>
      <c r="C599" s="83" t="inlineStr">
        <is>
          <t>×</t>
        </is>
      </c>
      <c r="D599" s="83" t="n"/>
      <c r="E599" s="83" t="inlineStr">
        <is>
          <t>×</t>
        </is>
      </c>
      <c r="F599" s="83" t="inlineStr">
        <is>
          <t>×</t>
        </is>
      </c>
      <c r="G599" s="83" t="n"/>
      <c r="H599" s="83" t="n"/>
      <c r="S599">
        <f>IF(4&lt;='設定'!$B$6,"表示","隠す")</f>
        <v/>
      </c>
    </row>
    <row r="600" ht="21" customHeight="1">
      <c r="A600" s="82" t="n"/>
      <c r="B600" s="47">
        <f>'設定'!$I$15</f>
        <v/>
      </c>
      <c r="C600" s="83" t="n"/>
      <c r="D600" s="83" t="n"/>
      <c r="E600" s="83" t="inlineStr">
        <is>
          <t>×</t>
        </is>
      </c>
      <c r="F600" s="83" t="inlineStr">
        <is>
          <t>×</t>
        </is>
      </c>
      <c r="G600" s="83" t="n"/>
      <c r="H600" s="83" t="n"/>
      <c r="S600">
        <f>IF(5&lt;='設定'!$B$6,"表示","隠す")</f>
        <v/>
      </c>
    </row>
    <row r="601" ht="21" customHeight="1">
      <c r="A601" s="82" t="n"/>
      <c r="B601" s="47">
        <f>'設定'!$I$16</f>
        <v/>
      </c>
      <c r="C601" s="83" t="n"/>
      <c r="D601" s="83" t="n"/>
      <c r="E601" s="83" t="inlineStr">
        <is>
          <t>×</t>
        </is>
      </c>
      <c r="F601" s="83" t="inlineStr">
        <is>
          <t>×</t>
        </is>
      </c>
      <c r="G601" s="83" t="inlineStr">
        <is>
          <t>×</t>
        </is>
      </c>
      <c r="H601" s="83" t="n"/>
      <c r="S601">
        <f>IF(6&lt;='設定'!$B$6,"表示","隠す")</f>
        <v/>
      </c>
    </row>
    <row r="602" ht="21" customHeight="1">
      <c r="A602" s="82" t="n"/>
      <c r="B602" s="47">
        <f>'設定'!$I$17</f>
        <v/>
      </c>
      <c r="C602" s="83" t="n"/>
      <c r="D602" s="83" t="n"/>
      <c r="E602" s="83" t="inlineStr">
        <is>
          <t>×</t>
        </is>
      </c>
      <c r="F602" s="83" t="inlineStr">
        <is>
          <t>×</t>
        </is>
      </c>
      <c r="G602" s="83" t="n"/>
      <c r="H602" s="83" t="n"/>
      <c r="S602">
        <f>IF(7&lt;='設定'!$B$6,"表示","隠す")</f>
        <v/>
      </c>
    </row>
    <row r="603" ht="21" customHeight="1">
      <c r="A603" s="82" t="n"/>
      <c r="B603" s="47">
        <f>'設定'!$I$18</f>
        <v/>
      </c>
      <c r="C603" s="83" t="n"/>
      <c r="D603" s="83" t="inlineStr">
        <is>
          <t>×</t>
        </is>
      </c>
      <c r="E603" s="83" t="inlineStr">
        <is>
          <t>×</t>
        </is>
      </c>
      <c r="F603" s="83" t="inlineStr">
        <is>
          <t>×</t>
        </is>
      </c>
      <c r="G603" s="83" t="n"/>
      <c r="H603" s="83" t="n"/>
      <c r="S603">
        <f>IF(8&lt;='設定'!$B$6,"表示","隠す")</f>
        <v/>
      </c>
    </row>
    <row r="604" ht="21" customHeight="1">
      <c r="A604" s="82" t="n"/>
      <c r="B604" s="47">
        <f>'設定'!$I$19</f>
        <v/>
      </c>
      <c r="C604" s="83" t="inlineStr">
        <is>
          <t>×</t>
        </is>
      </c>
      <c r="D604" s="83" t="inlineStr">
        <is>
          <t>×</t>
        </is>
      </c>
      <c r="E604" s="83" t="inlineStr">
        <is>
          <t>×</t>
        </is>
      </c>
      <c r="F604" s="83" t="inlineStr">
        <is>
          <t>×</t>
        </is>
      </c>
      <c r="G604" s="83" t="n"/>
      <c r="H604" s="83" t="n"/>
      <c r="S604">
        <f>IF(9&lt;='設定'!$B$6,"表示","隠す")</f>
        <v/>
      </c>
    </row>
    <row r="605" hidden="1" ht="21" customHeight="1">
      <c r="A605" s="82" t="n"/>
      <c r="B605" s="47">
        <f>'設定'!$I$20</f>
        <v/>
      </c>
      <c r="C605" s="83" t="n"/>
      <c r="D605" s="83" t="n"/>
      <c r="E605" s="83" t="n"/>
      <c r="F605" s="83" t="n"/>
      <c r="G605" s="83" t="n"/>
      <c r="H605" s="83" t="n"/>
      <c r="S605">
        <f>IF(10&lt;='設定'!$B$6,"表示","隠す")</f>
        <v/>
      </c>
    </row>
    <row r="606" hidden="1" ht="21" customHeight="1">
      <c r="A606" s="82" t="n"/>
      <c r="B606" s="47">
        <f>'設定'!$I$21</f>
        <v/>
      </c>
      <c r="C606" s="83" t="n"/>
      <c r="D606" s="83" t="n"/>
      <c r="E606" s="83" t="n"/>
      <c r="F606" s="83" t="n"/>
      <c r="G606" s="83" t="n"/>
      <c r="H606" s="83" t="n"/>
      <c r="S606">
        <f>IF(11&lt;='設定'!$B$6,"表示","隠す")</f>
        <v/>
      </c>
    </row>
    <row r="607" hidden="1" ht="21" customHeight="1">
      <c r="A607" s="82" t="n"/>
      <c r="B607" s="47">
        <f>'設定'!$I$22</f>
        <v/>
      </c>
      <c r="C607" s="83" t="n"/>
      <c r="D607" s="83" t="n"/>
      <c r="E607" s="83" t="n"/>
      <c r="F607" s="83" t="n"/>
      <c r="G607" s="83" t="n"/>
      <c r="H607" s="83" t="n"/>
      <c r="S607">
        <f>IF(12&lt;='設定'!$B$6,"表示","隠す")</f>
        <v/>
      </c>
    </row>
    <row r="608" hidden="1" ht="21" customHeight="1">
      <c r="A608" s="82" t="n"/>
      <c r="B608" s="47">
        <f>'設定'!$I$23</f>
        <v/>
      </c>
      <c r="C608" s="83" t="n"/>
      <c r="D608" s="83" t="n"/>
      <c r="E608" s="83" t="n"/>
      <c r="F608" s="83" t="n"/>
      <c r="G608" s="83" t="n"/>
      <c r="H608" s="83" t="n"/>
      <c r="S608">
        <f>IF(13&lt;='設定'!$B$6,"表示","隠す")</f>
        <v/>
      </c>
    </row>
    <row r="609" hidden="1" ht="21" customHeight="1">
      <c r="A609" s="82" t="n"/>
      <c r="B609" s="47">
        <f>'設定'!$I$24</f>
        <v/>
      </c>
      <c r="C609" s="83" t="n"/>
      <c r="D609" s="83" t="n"/>
      <c r="E609" s="83" t="n"/>
      <c r="F609" s="83" t="n"/>
      <c r="G609" s="83" t="n"/>
      <c r="H609" s="83" t="n"/>
      <c r="S609">
        <f>IF(14&lt;='設定'!$B$6,"表示","隠す")</f>
        <v/>
      </c>
    </row>
    <row r="610" hidden="1" ht="21" customHeight="1">
      <c r="A610" s="82" t="n"/>
      <c r="B610" s="47">
        <f>'設定'!$I$25</f>
        <v/>
      </c>
      <c r="C610" s="83" t="n"/>
      <c r="D610" s="83" t="n"/>
      <c r="E610" s="83" t="n"/>
      <c r="F610" s="83" t="n"/>
      <c r="G610" s="83" t="n"/>
      <c r="H610" s="83" t="n"/>
      <c r="S610">
        <f>IF(15&lt;='設定'!$B$6,"表示","隠す")</f>
        <v/>
      </c>
    </row>
    <row r="611" hidden="1" ht="21" customHeight="1">
      <c r="A611" s="82" t="n"/>
      <c r="B611" s="47">
        <f>'設定'!$I$26</f>
        <v/>
      </c>
      <c r="C611" s="83" t="n"/>
      <c r="D611" s="83" t="n"/>
      <c r="E611" s="83" t="n"/>
      <c r="F611" s="83" t="n"/>
      <c r="G611" s="83" t="n"/>
      <c r="H611" s="83" t="n"/>
      <c r="S611">
        <f>IF(16&lt;='設定'!$B$6,"表示","隠す")</f>
        <v/>
      </c>
    </row>
    <row r="612" hidden="1" ht="21" customHeight="1">
      <c r="A612" s="82" t="n"/>
      <c r="B612" s="47">
        <f>'設定'!$I$27</f>
        <v/>
      </c>
      <c r="C612" s="83" t="n"/>
      <c r="D612" s="83" t="n"/>
      <c r="E612" s="83" t="n"/>
      <c r="F612" s="83" t="n"/>
      <c r="G612" s="83" t="n"/>
      <c r="H612" s="83" t="n"/>
      <c r="S612">
        <f>IF(17&lt;='設定'!$B$6,"表示","隠す")</f>
        <v/>
      </c>
    </row>
    <row r="613" hidden="1" ht="21" customHeight="1">
      <c r="A613" s="82" t="n"/>
      <c r="B613" s="47">
        <f>'設定'!$I$28</f>
        <v/>
      </c>
      <c r="C613" s="83" t="n"/>
      <c r="D613" s="83" t="n"/>
      <c r="E613" s="83" t="n"/>
      <c r="F613" s="83" t="n"/>
      <c r="G613" s="83" t="n"/>
      <c r="H613" s="83" t="n"/>
      <c r="S613">
        <f>IF(18&lt;='設定'!$B$6,"表示","隠す")</f>
        <v/>
      </c>
    </row>
    <row r="614" hidden="1" ht="21" customHeight="1">
      <c r="A614" s="82" t="n"/>
      <c r="B614" s="47">
        <f>'設定'!$I$29</f>
        <v/>
      </c>
      <c r="C614" s="83" t="n"/>
      <c r="D614" s="83" t="n"/>
      <c r="E614" s="83" t="n"/>
      <c r="F614" s="83" t="n"/>
      <c r="G614" s="83" t="n"/>
      <c r="H614" s="83" t="n"/>
      <c r="S614">
        <f>IF(19&lt;='設定'!$B$6,"表示","隠す")</f>
        <v/>
      </c>
    </row>
    <row r="615" hidden="1" ht="21" customHeight="1">
      <c r="A615" s="82" t="n"/>
      <c r="B615" s="47">
        <f>'設定'!$I$30</f>
        <v/>
      </c>
      <c r="C615" s="83" t="n"/>
      <c r="D615" s="83" t="n"/>
      <c r="E615" s="83" t="n"/>
      <c r="F615" s="83" t="n"/>
      <c r="G615" s="83" t="n"/>
      <c r="H615" s="83" t="n"/>
      <c r="S615">
        <f>IF(20&lt;='設定'!$B$6,"表示","隠す")</f>
        <v/>
      </c>
    </row>
    <row r="616" hidden="1" ht="21" customHeight="1">
      <c r="A616" s="82" t="n"/>
      <c r="B616" s="47">
        <f>'設定'!$I$31</f>
        <v/>
      </c>
      <c r="C616" s="83" t="n"/>
      <c r="D616" s="83" t="n"/>
      <c r="E616" s="83" t="n"/>
      <c r="F616" s="83" t="n"/>
      <c r="G616" s="83" t="n"/>
      <c r="H616" s="83" t="n"/>
      <c r="S616">
        <f>IF(21&lt;='設定'!$B$6,"表示","隠す")</f>
        <v/>
      </c>
    </row>
    <row r="617" hidden="1" ht="21" customHeight="1">
      <c r="A617" s="82" t="n"/>
      <c r="B617" s="47">
        <f>'設定'!$I$32</f>
        <v/>
      </c>
      <c r="C617" s="83" t="n"/>
      <c r="D617" s="83" t="n"/>
      <c r="E617" s="83" t="n"/>
      <c r="F617" s="83" t="n"/>
      <c r="G617" s="83" t="n"/>
      <c r="H617" s="83" t="n"/>
      <c r="S617">
        <f>IF(22&lt;='設定'!$B$6,"表示","隠す")</f>
        <v/>
      </c>
    </row>
    <row r="618" hidden="1" ht="21" customHeight="1">
      <c r="A618" s="82" t="n"/>
      <c r="B618" s="47">
        <f>'設定'!$I$33</f>
        <v/>
      </c>
      <c r="C618" s="83" t="n"/>
      <c r="D618" s="83" t="n"/>
      <c r="E618" s="83" t="n"/>
      <c r="F618" s="83" t="n"/>
      <c r="G618" s="83" t="n"/>
      <c r="H618" s="83" t="n"/>
      <c r="S618">
        <f>IF(23&lt;='設定'!$B$6,"表示","隠す")</f>
        <v/>
      </c>
    </row>
    <row r="619" hidden="1" ht="21" customHeight="1">
      <c r="A619" s="82" t="n"/>
      <c r="B619" s="47">
        <f>'設定'!$I$34</f>
        <v/>
      </c>
      <c r="C619" s="83" t="n"/>
      <c r="D619" s="83" t="n"/>
      <c r="E619" s="83" t="n"/>
      <c r="F619" s="83" t="n"/>
      <c r="G619" s="83" t="n"/>
      <c r="H619" s="83" t="n"/>
      <c r="S619">
        <f>IF(24&lt;='設定'!$B$6,"表示","隠す")</f>
        <v/>
      </c>
    </row>
    <row r="620">
      <c r="S620" t="inlineStr">
        <is>
          <t>表示</t>
        </is>
      </c>
    </row>
    <row r="621" ht="26" customHeight="1">
      <c r="B621" s="76">
        <f>IF('名簿'!B27="","（名簿 23行目：なし）",'名簿'!P27)</f>
        <v/>
      </c>
      <c r="C621" s="5" t="n"/>
      <c r="D621" s="5" t="n"/>
      <c r="E621" s="77" t="inlineStr">
        <is>
          <t>提出状況 ▶</t>
        </is>
      </c>
      <c r="F621" s="43" t="n"/>
      <c r="G621" s="34" t="n"/>
      <c r="H621" s="78" t="inlineStr">
        <is>
          <t>状況：</t>
        </is>
      </c>
      <c r="I621" s="79">
        <f>'名簿'!Q27</f>
        <v/>
      </c>
      <c r="J621" s="78" t="inlineStr">
        <is>
          <t>×の数：</t>
        </is>
      </c>
      <c r="K621" s="80">
        <f>'名簿'!R27</f>
        <v/>
      </c>
      <c r="L621" s="81">
        <f>HYPERLINK("#'×入力'!B649","次の人へ ▼")</f>
        <v/>
      </c>
      <c r="S621" t="inlineStr">
        <is>
          <t>表示</t>
        </is>
      </c>
    </row>
    <row r="622" ht="22" customHeight="1">
      <c r="A622" s="35" t="inlineStr">
        <is>
          <t>この日全部 ▶</t>
        </is>
      </c>
      <c r="C622" s="82" t="n"/>
      <c r="D622" s="82" t="n"/>
      <c r="E622" s="82" t="n"/>
      <c r="F622" s="82" t="n"/>
      <c r="G622" s="82" t="n"/>
      <c r="H622" s="82" t="n"/>
      <c r="S622" t="inlineStr">
        <is>
          <t>表示</t>
        </is>
      </c>
    </row>
    <row r="623" ht="28" customHeight="1">
      <c r="A623" s="38" t="inlineStr">
        <is>
          <t>この時間
全部 ▼</t>
        </is>
      </c>
      <c r="B623" s="39" t="inlineStr"/>
      <c r="C623" s="40">
        <f>'設定'!$E$11</f>
        <v/>
      </c>
      <c r="D623" s="40">
        <f>'設定'!$E$12</f>
        <v/>
      </c>
      <c r="E623" s="40">
        <f>'設定'!$E$13</f>
        <v/>
      </c>
      <c r="F623" s="40">
        <f>'設定'!$E$14</f>
        <v/>
      </c>
      <c r="G623" s="40">
        <f>'設定'!$E$15</f>
        <v/>
      </c>
      <c r="H623" s="40">
        <f>'設定'!$E$16</f>
        <v/>
      </c>
      <c r="S623" t="inlineStr">
        <is>
          <t>表示</t>
        </is>
      </c>
    </row>
    <row r="624" ht="21" customHeight="1">
      <c r="A624" s="82" t="n"/>
      <c r="B624" s="47">
        <f>'設定'!$I$11</f>
        <v/>
      </c>
      <c r="C624" s="83" t="n"/>
      <c r="D624" s="83" t="n"/>
      <c r="E624" s="83" t="n"/>
      <c r="F624" s="83" t="n"/>
      <c r="G624" s="83" t="n"/>
      <c r="H624" s="83" t="n"/>
      <c r="S624">
        <f>IF(1&lt;='設定'!$B$6,"表示","隠す")</f>
        <v/>
      </c>
    </row>
    <row r="625" ht="21" customHeight="1">
      <c r="A625" s="82" t="n"/>
      <c r="B625" s="47">
        <f>'設定'!$I$12</f>
        <v/>
      </c>
      <c r="C625" s="83" t="n"/>
      <c r="D625" s="83" t="n"/>
      <c r="E625" s="83" t="n"/>
      <c r="F625" s="83" t="n"/>
      <c r="G625" s="83" t="n"/>
      <c r="H625" s="83" t="n"/>
      <c r="S625">
        <f>IF(2&lt;='設定'!$B$6,"表示","隠す")</f>
        <v/>
      </c>
    </row>
    <row r="626" ht="21" customHeight="1">
      <c r="A626" s="82" t="n"/>
      <c r="B626" s="47">
        <f>'設定'!$I$13</f>
        <v/>
      </c>
      <c r="C626" s="83" t="n"/>
      <c r="D626" s="83" t="n"/>
      <c r="E626" s="83" t="n"/>
      <c r="F626" s="83" t="n"/>
      <c r="G626" s="83" t="n"/>
      <c r="H626" s="83" t="n"/>
      <c r="S626">
        <f>IF(3&lt;='設定'!$B$6,"表示","隠す")</f>
        <v/>
      </c>
    </row>
    <row r="627" ht="21" customHeight="1">
      <c r="A627" s="82" t="n"/>
      <c r="B627" s="47">
        <f>'設定'!$I$14</f>
        <v/>
      </c>
      <c r="C627" s="83" t="n"/>
      <c r="D627" s="83" t="n"/>
      <c r="E627" s="83" t="n"/>
      <c r="F627" s="83" t="n"/>
      <c r="G627" s="83" t="n"/>
      <c r="H627" s="83" t="n"/>
      <c r="S627">
        <f>IF(4&lt;='設定'!$B$6,"表示","隠す")</f>
        <v/>
      </c>
    </row>
    <row r="628" ht="21" customHeight="1">
      <c r="A628" s="82" t="n"/>
      <c r="B628" s="47">
        <f>'設定'!$I$15</f>
        <v/>
      </c>
      <c r="C628" s="83" t="n"/>
      <c r="D628" s="83" t="n"/>
      <c r="E628" s="83" t="n"/>
      <c r="F628" s="83" t="n"/>
      <c r="G628" s="83" t="n"/>
      <c r="H628" s="83" t="n"/>
      <c r="S628">
        <f>IF(5&lt;='設定'!$B$6,"表示","隠す")</f>
        <v/>
      </c>
    </row>
    <row r="629" ht="21" customHeight="1">
      <c r="A629" s="82" t="n"/>
      <c r="B629" s="47">
        <f>'設定'!$I$16</f>
        <v/>
      </c>
      <c r="C629" s="83" t="n"/>
      <c r="D629" s="83" t="inlineStr">
        <is>
          <t>×</t>
        </is>
      </c>
      <c r="E629" s="83" t="inlineStr">
        <is>
          <t>×</t>
        </is>
      </c>
      <c r="F629" s="83" t="inlineStr">
        <is>
          <t>×</t>
        </is>
      </c>
      <c r="G629" s="83" t="n"/>
      <c r="H629" s="83" t="n"/>
      <c r="S629">
        <f>IF(6&lt;='設定'!$B$6,"表示","隠す")</f>
        <v/>
      </c>
    </row>
    <row r="630" ht="21" customHeight="1">
      <c r="A630" s="82" t="n"/>
      <c r="B630" s="47">
        <f>'設定'!$I$17</f>
        <v/>
      </c>
      <c r="C630" s="83" t="n"/>
      <c r="D630" s="83" t="n"/>
      <c r="E630" s="83" t="n"/>
      <c r="F630" s="83" t="n"/>
      <c r="G630" s="83" t="n"/>
      <c r="H630" s="83" t="n"/>
      <c r="S630">
        <f>IF(7&lt;='設定'!$B$6,"表示","隠す")</f>
        <v/>
      </c>
    </row>
    <row r="631" ht="21" customHeight="1">
      <c r="A631" s="82" t="n"/>
      <c r="B631" s="47">
        <f>'設定'!$I$18</f>
        <v/>
      </c>
      <c r="C631" s="83" t="n"/>
      <c r="D631" s="83" t="n"/>
      <c r="E631" s="83" t="inlineStr">
        <is>
          <t>×</t>
        </is>
      </c>
      <c r="F631" s="83" t="n"/>
      <c r="G631" s="83" t="n"/>
      <c r="H631" s="83" t="n"/>
      <c r="S631">
        <f>IF(8&lt;='設定'!$B$6,"表示","隠す")</f>
        <v/>
      </c>
    </row>
    <row r="632" ht="21" customHeight="1">
      <c r="A632" s="82" t="n"/>
      <c r="B632" s="47">
        <f>'設定'!$I$19</f>
        <v/>
      </c>
      <c r="C632" s="83" t="n"/>
      <c r="D632" s="83" t="inlineStr">
        <is>
          <t>×</t>
        </is>
      </c>
      <c r="E632" s="83" t="n"/>
      <c r="F632" s="83" t="n"/>
      <c r="G632" s="83" t="n"/>
      <c r="H632" s="83" t="n"/>
      <c r="S632">
        <f>IF(9&lt;='設定'!$B$6,"表示","隠す")</f>
        <v/>
      </c>
    </row>
    <row r="633" hidden="1" ht="21" customHeight="1">
      <c r="A633" s="82" t="n"/>
      <c r="B633" s="47">
        <f>'設定'!$I$20</f>
        <v/>
      </c>
      <c r="C633" s="83" t="n"/>
      <c r="D633" s="83" t="n"/>
      <c r="E633" s="83" t="n"/>
      <c r="F633" s="83" t="n"/>
      <c r="G633" s="83" t="n"/>
      <c r="H633" s="83" t="n"/>
      <c r="S633">
        <f>IF(10&lt;='設定'!$B$6,"表示","隠す")</f>
        <v/>
      </c>
    </row>
    <row r="634" hidden="1" ht="21" customHeight="1">
      <c r="A634" s="82" t="n"/>
      <c r="B634" s="47">
        <f>'設定'!$I$21</f>
        <v/>
      </c>
      <c r="C634" s="83" t="n"/>
      <c r="D634" s="83" t="n"/>
      <c r="E634" s="83" t="n"/>
      <c r="F634" s="83" t="n"/>
      <c r="G634" s="83" t="n"/>
      <c r="H634" s="83" t="n"/>
      <c r="S634">
        <f>IF(11&lt;='設定'!$B$6,"表示","隠す")</f>
        <v/>
      </c>
    </row>
    <row r="635" hidden="1" ht="21" customHeight="1">
      <c r="A635" s="82" t="n"/>
      <c r="B635" s="47">
        <f>'設定'!$I$22</f>
        <v/>
      </c>
      <c r="C635" s="83" t="n"/>
      <c r="D635" s="83" t="n"/>
      <c r="E635" s="83" t="n"/>
      <c r="F635" s="83" t="n"/>
      <c r="G635" s="83" t="n"/>
      <c r="H635" s="83" t="n"/>
      <c r="S635">
        <f>IF(12&lt;='設定'!$B$6,"表示","隠す")</f>
        <v/>
      </c>
    </row>
    <row r="636" hidden="1" ht="21" customHeight="1">
      <c r="A636" s="82" t="n"/>
      <c r="B636" s="47">
        <f>'設定'!$I$23</f>
        <v/>
      </c>
      <c r="C636" s="83" t="n"/>
      <c r="D636" s="83" t="n"/>
      <c r="E636" s="83" t="n"/>
      <c r="F636" s="83" t="n"/>
      <c r="G636" s="83" t="n"/>
      <c r="H636" s="83" t="n"/>
      <c r="S636">
        <f>IF(13&lt;='設定'!$B$6,"表示","隠す")</f>
        <v/>
      </c>
    </row>
    <row r="637" hidden="1" ht="21" customHeight="1">
      <c r="A637" s="82" t="n"/>
      <c r="B637" s="47">
        <f>'設定'!$I$24</f>
        <v/>
      </c>
      <c r="C637" s="83" t="n"/>
      <c r="D637" s="83" t="n"/>
      <c r="E637" s="83" t="n"/>
      <c r="F637" s="83" t="n"/>
      <c r="G637" s="83" t="n"/>
      <c r="H637" s="83" t="n"/>
      <c r="S637">
        <f>IF(14&lt;='設定'!$B$6,"表示","隠す")</f>
        <v/>
      </c>
    </row>
    <row r="638" hidden="1" ht="21" customHeight="1">
      <c r="A638" s="82" t="n"/>
      <c r="B638" s="47">
        <f>'設定'!$I$25</f>
        <v/>
      </c>
      <c r="C638" s="83" t="n"/>
      <c r="D638" s="83" t="n"/>
      <c r="E638" s="83" t="n"/>
      <c r="F638" s="83" t="n"/>
      <c r="G638" s="83" t="n"/>
      <c r="H638" s="83" t="n"/>
      <c r="S638">
        <f>IF(15&lt;='設定'!$B$6,"表示","隠す")</f>
        <v/>
      </c>
    </row>
    <row r="639" hidden="1" ht="21" customHeight="1">
      <c r="A639" s="82" t="n"/>
      <c r="B639" s="47">
        <f>'設定'!$I$26</f>
        <v/>
      </c>
      <c r="C639" s="83" t="n"/>
      <c r="D639" s="83" t="n"/>
      <c r="E639" s="83" t="n"/>
      <c r="F639" s="83" t="n"/>
      <c r="G639" s="83" t="n"/>
      <c r="H639" s="83" t="n"/>
      <c r="S639">
        <f>IF(16&lt;='設定'!$B$6,"表示","隠す")</f>
        <v/>
      </c>
    </row>
    <row r="640" hidden="1" ht="21" customHeight="1">
      <c r="A640" s="82" t="n"/>
      <c r="B640" s="47">
        <f>'設定'!$I$27</f>
        <v/>
      </c>
      <c r="C640" s="83" t="n"/>
      <c r="D640" s="83" t="n"/>
      <c r="E640" s="83" t="n"/>
      <c r="F640" s="83" t="n"/>
      <c r="G640" s="83" t="n"/>
      <c r="H640" s="83" t="n"/>
      <c r="S640">
        <f>IF(17&lt;='設定'!$B$6,"表示","隠す")</f>
        <v/>
      </c>
    </row>
    <row r="641" hidden="1" ht="21" customHeight="1">
      <c r="A641" s="82" t="n"/>
      <c r="B641" s="47">
        <f>'設定'!$I$28</f>
        <v/>
      </c>
      <c r="C641" s="83" t="n"/>
      <c r="D641" s="83" t="n"/>
      <c r="E641" s="83" t="n"/>
      <c r="F641" s="83" t="n"/>
      <c r="G641" s="83" t="n"/>
      <c r="H641" s="83" t="n"/>
      <c r="S641">
        <f>IF(18&lt;='設定'!$B$6,"表示","隠す")</f>
        <v/>
      </c>
    </row>
    <row r="642" hidden="1" ht="21" customHeight="1">
      <c r="A642" s="82" t="n"/>
      <c r="B642" s="47">
        <f>'設定'!$I$29</f>
        <v/>
      </c>
      <c r="C642" s="83" t="n"/>
      <c r="D642" s="83" t="n"/>
      <c r="E642" s="83" t="n"/>
      <c r="F642" s="83" t="n"/>
      <c r="G642" s="83" t="n"/>
      <c r="H642" s="83" t="n"/>
      <c r="S642">
        <f>IF(19&lt;='設定'!$B$6,"表示","隠す")</f>
        <v/>
      </c>
    </row>
    <row r="643" hidden="1" ht="21" customHeight="1">
      <c r="A643" s="82" t="n"/>
      <c r="B643" s="47">
        <f>'設定'!$I$30</f>
        <v/>
      </c>
      <c r="C643" s="83" t="n"/>
      <c r="D643" s="83" t="n"/>
      <c r="E643" s="83" t="n"/>
      <c r="F643" s="83" t="n"/>
      <c r="G643" s="83" t="n"/>
      <c r="H643" s="83" t="n"/>
      <c r="S643">
        <f>IF(20&lt;='設定'!$B$6,"表示","隠す")</f>
        <v/>
      </c>
    </row>
    <row r="644" hidden="1" ht="21" customHeight="1">
      <c r="A644" s="82" t="n"/>
      <c r="B644" s="47">
        <f>'設定'!$I$31</f>
        <v/>
      </c>
      <c r="C644" s="83" t="n"/>
      <c r="D644" s="83" t="n"/>
      <c r="E644" s="83" t="n"/>
      <c r="F644" s="83" t="n"/>
      <c r="G644" s="83" t="n"/>
      <c r="H644" s="83" t="n"/>
      <c r="S644">
        <f>IF(21&lt;='設定'!$B$6,"表示","隠す")</f>
        <v/>
      </c>
    </row>
    <row r="645" hidden="1" ht="21" customHeight="1">
      <c r="A645" s="82" t="n"/>
      <c r="B645" s="47">
        <f>'設定'!$I$32</f>
        <v/>
      </c>
      <c r="C645" s="83" t="n"/>
      <c r="D645" s="83" t="n"/>
      <c r="E645" s="83" t="n"/>
      <c r="F645" s="83" t="n"/>
      <c r="G645" s="83" t="n"/>
      <c r="H645" s="83" t="n"/>
      <c r="S645">
        <f>IF(22&lt;='設定'!$B$6,"表示","隠す")</f>
        <v/>
      </c>
    </row>
    <row r="646" hidden="1" ht="21" customHeight="1">
      <c r="A646" s="82" t="n"/>
      <c r="B646" s="47">
        <f>'設定'!$I$33</f>
        <v/>
      </c>
      <c r="C646" s="83" t="n"/>
      <c r="D646" s="83" t="n"/>
      <c r="E646" s="83" t="n"/>
      <c r="F646" s="83" t="n"/>
      <c r="G646" s="83" t="n"/>
      <c r="H646" s="83" t="n"/>
      <c r="S646">
        <f>IF(23&lt;='設定'!$B$6,"表示","隠す")</f>
        <v/>
      </c>
    </row>
    <row r="647" hidden="1" ht="21" customHeight="1">
      <c r="A647" s="82" t="n"/>
      <c r="B647" s="47">
        <f>'設定'!$I$34</f>
        <v/>
      </c>
      <c r="C647" s="83" t="n"/>
      <c r="D647" s="83" t="n"/>
      <c r="E647" s="83" t="n"/>
      <c r="F647" s="83" t="n"/>
      <c r="G647" s="83" t="n"/>
      <c r="H647" s="83" t="n"/>
      <c r="S647">
        <f>IF(24&lt;='設定'!$B$6,"表示","隠す")</f>
        <v/>
      </c>
    </row>
    <row r="648">
      <c r="S648" t="inlineStr">
        <is>
          <t>表示</t>
        </is>
      </c>
    </row>
    <row r="649" ht="26" customHeight="1">
      <c r="B649" s="76">
        <f>IF('名簿'!B28="","（名簿 24行目：なし）",'名簿'!P28)</f>
        <v/>
      </c>
      <c r="C649" s="5" t="n"/>
      <c r="D649" s="5" t="n"/>
      <c r="E649" s="77" t="inlineStr">
        <is>
          <t>提出状況 ▶</t>
        </is>
      </c>
      <c r="F649" s="43" t="n"/>
      <c r="G649" s="34" t="n"/>
      <c r="H649" s="78" t="inlineStr">
        <is>
          <t>状況：</t>
        </is>
      </c>
      <c r="I649" s="79">
        <f>'名簿'!Q28</f>
        <v/>
      </c>
      <c r="J649" s="78" t="inlineStr">
        <is>
          <t>×の数：</t>
        </is>
      </c>
      <c r="K649" s="80">
        <f>'名簿'!R28</f>
        <v/>
      </c>
      <c r="L649" s="81">
        <f>HYPERLINK("#'×入力'!B677","次の人へ ▼")</f>
        <v/>
      </c>
      <c r="S649" t="inlineStr">
        <is>
          <t>表示</t>
        </is>
      </c>
    </row>
    <row r="650" ht="22" customHeight="1">
      <c r="A650" s="35" t="inlineStr">
        <is>
          <t>この日全部 ▶</t>
        </is>
      </c>
      <c r="C650" s="82" t="n"/>
      <c r="D650" s="82" t="n"/>
      <c r="E650" s="82" t="n"/>
      <c r="F650" s="82" t="n"/>
      <c r="G650" s="82" t="n"/>
      <c r="H650" s="82" t="n"/>
      <c r="S650" t="inlineStr">
        <is>
          <t>表示</t>
        </is>
      </c>
    </row>
    <row r="651" ht="28" customHeight="1">
      <c r="A651" s="38" t="inlineStr">
        <is>
          <t>この時間
全部 ▼</t>
        </is>
      </c>
      <c r="B651" s="39" t="inlineStr"/>
      <c r="C651" s="40">
        <f>'設定'!$E$11</f>
        <v/>
      </c>
      <c r="D651" s="40">
        <f>'設定'!$E$12</f>
        <v/>
      </c>
      <c r="E651" s="40">
        <f>'設定'!$E$13</f>
        <v/>
      </c>
      <c r="F651" s="40">
        <f>'設定'!$E$14</f>
        <v/>
      </c>
      <c r="G651" s="40">
        <f>'設定'!$E$15</f>
        <v/>
      </c>
      <c r="H651" s="40">
        <f>'設定'!$E$16</f>
        <v/>
      </c>
      <c r="S651" t="inlineStr">
        <is>
          <t>表示</t>
        </is>
      </c>
    </row>
    <row r="652" ht="21" customHeight="1">
      <c r="A652" s="82" t="n"/>
      <c r="B652" s="47">
        <f>'設定'!$I$11</f>
        <v/>
      </c>
      <c r="C652" s="83" t="n"/>
      <c r="D652" s="83" t="n"/>
      <c r="E652" s="83" t="n"/>
      <c r="F652" s="83" t="inlineStr">
        <is>
          <t>×</t>
        </is>
      </c>
      <c r="G652" s="83" t="n"/>
      <c r="H652" s="83" t="n"/>
      <c r="S652">
        <f>IF(1&lt;='設定'!$B$6,"表示","隠す")</f>
        <v/>
      </c>
    </row>
    <row r="653" ht="21" customHeight="1">
      <c r="A653" s="82" t="n"/>
      <c r="B653" s="47">
        <f>'設定'!$I$12</f>
        <v/>
      </c>
      <c r="C653" s="83" t="n"/>
      <c r="D653" s="83" t="inlineStr">
        <is>
          <t>×</t>
        </is>
      </c>
      <c r="E653" s="83" t="n"/>
      <c r="F653" s="83" t="n"/>
      <c r="G653" s="83" t="n"/>
      <c r="H653" s="83" t="n"/>
      <c r="S653">
        <f>IF(2&lt;='設定'!$B$6,"表示","隠す")</f>
        <v/>
      </c>
    </row>
    <row r="654" ht="21" customHeight="1">
      <c r="A654" s="82" t="n"/>
      <c r="B654" s="47">
        <f>'設定'!$I$13</f>
        <v/>
      </c>
      <c r="C654" s="83" t="n"/>
      <c r="D654" s="83" t="inlineStr">
        <is>
          <t>×</t>
        </is>
      </c>
      <c r="E654" s="83" t="n"/>
      <c r="F654" s="83" t="inlineStr">
        <is>
          <t>×</t>
        </is>
      </c>
      <c r="G654" s="83" t="n"/>
      <c r="H654" s="83" t="n"/>
      <c r="S654">
        <f>IF(3&lt;='設定'!$B$6,"表示","隠す")</f>
        <v/>
      </c>
    </row>
    <row r="655" ht="21" customHeight="1">
      <c r="A655" s="82" t="n"/>
      <c r="B655" s="47">
        <f>'設定'!$I$14</f>
        <v/>
      </c>
      <c r="C655" s="83" t="n"/>
      <c r="D655" s="83" t="n"/>
      <c r="E655" s="83" t="n"/>
      <c r="F655" s="83" t="n"/>
      <c r="G655" s="83" t="n"/>
      <c r="H655" s="83" t="n"/>
      <c r="S655">
        <f>IF(4&lt;='設定'!$B$6,"表示","隠す")</f>
        <v/>
      </c>
    </row>
    <row r="656" ht="21" customHeight="1">
      <c r="A656" s="82" t="n"/>
      <c r="B656" s="47">
        <f>'設定'!$I$15</f>
        <v/>
      </c>
      <c r="C656" s="83" t="n"/>
      <c r="D656" s="83" t="n"/>
      <c r="E656" s="83" t="n"/>
      <c r="F656" s="83" t="inlineStr">
        <is>
          <t>×</t>
        </is>
      </c>
      <c r="G656" s="83" t="inlineStr">
        <is>
          <t>×</t>
        </is>
      </c>
      <c r="H656" s="83" t="n"/>
      <c r="S656">
        <f>IF(5&lt;='設定'!$B$6,"表示","隠す")</f>
        <v/>
      </c>
    </row>
    <row r="657" ht="21" customHeight="1">
      <c r="A657" s="82" t="n"/>
      <c r="B657" s="47">
        <f>'設定'!$I$16</f>
        <v/>
      </c>
      <c r="C657" s="83" t="n"/>
      <c r="D657" s="83" t="n"/>
      <c r="E657" s="83" t="inlineStr">
        <is>
          <t>×</t>
        </is>
      </c>
      <c r="F657" s="83" t="n"/>
      <c r="G657" s="83" t="n"/>
      <c r="H657" s="83" t="n"/>
      <c r="S657">
        <f>IF(6&lt;='設定'!$B$6,"表示","隠す")</f>
        <v/>
      </c>
    </row>
    <row r="658" ht="21" customHeight="1">
      <c r="A658" s="82" t="n"/>
      <c r="B658" s="47">
        <f>'設定'!$I$17</f>
        <v/>
      </c>
      <c r="C658" s="83" t="n"/>
      <c r="D658" s="83" t="n"/>
      <c r="E658" s="83" t="n"/>
      <c r="F658" s="83" t="n"/>
      <c r="G658" s="83" t="n"/>
      <c r="H658" s="83" t="n"/>
      <c r="S658">
        <f>IF(7&lt;='設定'!$B$6,"表示","隠す")</f>
        <v/>
      </c>
    </row>
    <row r="659" ht="21" customHeight="1">
      <c r="A659" s="82" t="n"/>
      <c r="B659" s="47">
        <f>'設定'!$I$18</f>
        <v/>
      </c>
      <c r="C659" s="83" t="n"/>
      <c r="D659" s="83" t="n"/>
      <c r="E659" s="83" t="n"/>
      <c r="F659" s="83" t="n"/>
      <c r="G659" s="83" t="n"/>
      <c r="H659" s="83" t="n"/>
      <c r="S659">
        <f>IF(8&lt;='設定'!$B$6,"表示","隠す")</f>
        <v/>
      </c>
    </row>
    <row r="660" ht="21" customHeight="1">
      <c r="A660" s="82" t="n"/>
      <c r="B660" s="47">
        <f>'設定'!$I$19</f>
        <v/>
      </c>
      <c r="C660" s="83" t="inlineStr">
        <is>
          <t>×</t>
        </is>
      </c>
      <c r="D660" s="83" t="n"/>
      <c r="E660" s="83" t="inlineStr">
        <is>
          <t>×</t>
        </is>
      </c>
      <c r="F660" s="83" t="n"/>
      <c r="G660" s="83" t="n"/>
      <c r="H660" s="83" t="n"/>
      <c r="S660">
        <f>IF(9&lt;='設定'!$B$6,"表示","隠す")</f>
        <v/>
      </c>
    </row>
    <row r="661" hidden="1" ht="21" customHeight="1">
      <c r="A661" s="82" t="n"/>
      <c r="B661" s="47">
        <f>'設定'!$I$20</f>
        <v/>
      </c>
      <c r="C661" s="83" t="n"/>
      <c r="D661" s="83" t="n"/>
      <c r="E661" s="83" t="n"/>
      <c r="F661" s="83" t="n"/>
      <c r="G661" s="83" t="n"/>
      <c r="H661" s="83" t="n"/>
      <c r="S661">
        <f>IF(10&lt;='設定'!$B$6,"表示","隠す")</f>
        <v/>
      </c>
    </row>
    <row r="662" hidden="1" ht="21" customHeight="1">
      <c r="A662" s="82" t="n"/>
      <c r="B662" s="47">
        <f>'設定'!$I$21</f>
        <v/>
      </c>
      <c r="C662" s="83" t="n"/>
      <c r="D662" s="83" t="n"/>
      <c r="E662" s="83" t="n"/>
      <c r="F662" s="83" t="n"/>
      <c r="G662" s="83" t="n"/>
      <c r="H662" s="83" t="n"/>
      <c r="S662">
        <f>IF(11&lt;='設定'!$B$6,"表示","隠す")</f>
        <v/>
      </c>
    </row>
    <row r="663" hidden="1" ht="21" customHeight="1">
      <c r="A663" s="82" t="n"/>
      <c r="B663" s="47">
        <f>'設定'!$I$22</f>
        <v/>
      </c>
      <c r="C663" s="83" t="n"/>
      <c r="D663" s="83" t="n"/>
      <c r="E663" s="83" t="n"/>
      <c r="F663" s="83" t="n"/>
      <c r="G663" s="83" t="n"/>
      <c r="H663" s="83" t="n"/>
      <c r="S663">
        <f>IF(12&lt;='設定'!$B$6,"表示","隠す")</f>
        <v/>
      </c>
    </row>
    <row r="664" hidden="1" ht="21" customHeight="1">
      <c r="A664" s="82" t="n"/>
      <c r="B664" s="47">
        <f>'設定'!$I$23</f>
        <v/>
      </c>
      <c r="C664" s="83" t="n"/>
      <c r="D664" s="83" t="n"/>
      <c r="E664" s="83" t="n"/>
      <c r="F664" s="83" t="n"/>
      <c r="G664" s="83" t="n"/>
      <c r="H664" s="83" t="n"/>
      <c r="S664">
        <f>IF(13&lt;='設定'!$B$6,"表示","隠す")</f>
        <v/>
      </c>
    </row>
    <row r="665" hidden="1" ht="21" customHeight="1">
      <c r="A665" s="82" t="n"/>
      <c r="B665" s="47">
        <f>'設定'!$I$24</f>
        <v/>
      </c>
      <c r="C665" s="83" t="n"/>
      <c r="D665" s="83" t="n"/>
      <c r="E665" s="83" t="n"/>
      <c r="F665" s="83" t="n"/>
      <c r="G665" s="83" t="n"/>
      <c r="H665" s="83" t="n"/>
      <c r="S665">
        <f>IF(14&lt;='設定'!$B$6,"表示","隠す")</f>
        <v/>
      </c>
    </row>
    <row r="666" hidden="1" ht="21" customHeight="1">
      <c r="A666" s="82" t="n"/>
      <c r="B666" s="47">
        <f>'設定'!$I$25</f>
        <v/>
      </c>
      <c r="C666" s="83" t="n"/>
      <c r="D666" s="83" t="n"/>
      <c r="E666" s="83" t="n"/>
      <c r="F666" s="83" t="n"/>
      <c r="G666" s="83" t="n"/>
      <c r="H666" s="83" t="n"/>
      <c r="S666">
        <f>IF(15&lt;='設定'!$B$6,"表示","隠す")</f>
        <v/>
      </c>
    </row>
    <row r="667" hidden="1" ht="21" customHeight="1">
      <c r="A667" s="82" t="n"/>
      <c r="B667" s="47">
        <f>'設定'!$I$26</f>
        <v/>
      </c>
      <c r="C667" s="83" t="n"/>
      <c r="D667" s="83" t="n"/>
      <c r="E667" s="83" t="n"/>
      <c r="F667" s="83" t="n"/>
      <c r="G667" s="83" t="n"/>
      <c r="H667" s="83" t="n"/>
      <c r="S667">
        <f>IF(16&lt;='設定'!$B$6,"表示","隠す")</f>
        <v/>
      </c>
    </row>
    <row r="668" hidden="1" ht="21" customHeight="1">
      <c r="A668" s="82" t="n"/>
      <c r="B668" s="47">
        <f>'設定'!$I$27</f>
        <v/>
      </c>
      <c r="C668" s="83" t="n"/>
      <c r="D668" s="83" t="n"/>
      <c r="E668" s="83" t="n"/>
      <c r="F668" s="83" t="n"/>
      <c r="G668" s="83" t="n"/>
      <c r="H668" s="83" t="n"/>
      <c r="S668">
        <f>IF(17&lt;='設定'!$B$6,"表示","隠す")</f>
        <v/>
      </c>
    </row>
    <row r="669" hidden="1" ht="21" customHeight="1">
      <c r="A669" s="82" t="n"/>
      <c r="B669" s="47">
        <f>'設定'!$I$28</f>
        <v/>
      </c>
      <c r="C669" s="83" t="n"/>
      <c r="D669" s="83" t="n"/>
      <c r="E669" s="83" t="n"/>
      <c r="F669" s="83" t="n"/>
      <c r="G669" s="83" t="n"/>
      <c r="H669" s="83" t="n"/>
      <c r="S669">
        <f>IF(18&lt;='設定'!$B$6,"表示","隠す")</f>
        <v/>
      </c>
    </row>
    <row r="670" hidden="1" ht="21" customHeight="1">
      <c r="A670" s="82" t="n"/>
      <c r="B670" s="47">
        <f>'設定'!$I$29</f>
        <v/>
      </c>
      <c r="C670" s="83" t="n"/>
      <c r="D670" s="83" t="n"/>
      <c r="E670" s="83" t="n"/>
      <c r="F670" s="83" t="n"/>
      <c r="G670" s="83" t="n"/>
      <c r="H670" s="83" t="n"/>
      <c r="S670">
        <f>IF(19&lt;='設定'!$B$6,"表示","隠す")</f>
        <v/>
      </c>
    </row>
    <row r="671" hidden="1" ht="21" customHeight="1">
      <c r="A671" s="82" t="n"/>
      <c r="B671" s="47">
        <f>'設定'!$I$30</f>
        <v/>
      </c>
      <c r="C671" s="83" t="n"/>
      <c r="D671" s="83" t="n"/>
      <c r="E671" s="83" t="n"/>
      <c r="F671" s="83" t="n"/>
      <c r="G671" s="83" t="n"/>
      <c r="H671" s="83" t="n"/>
      <c r="S671">
        <f>IF(20&lt;='設定'!$B$6,"表示","隠す")</f>
        <v/>
      </c>
    </row>
    <row r="672" hidden="1" ht="21" customHeight="1">
      <c r="A672" s="82" t="n"/>
      <c r="B672" s="47">
        <f>'設定'!$I$31</f>
        <v/>
      </c>
      <c r="C672" s="83" t="n"/>
      <c r="D672" s="83" t="n"/>
      <c r="E672" s="83" t="n"/>
      <c r="F672" s="83" t="n"/>
      <c r="G672" s="83" t="n"/>
      <c r="H672" s="83" t="n"/>
      <c r="S672">
        <f>IF(21&lt;='設定'!$B$6,"表示","隠す")</f>
        <v/>
      </c>
    </row>
    <row r="673" hidden="1" ht="21" customHeight="1">
      <c r="A673" s="82" t="n"/>
      <c r="B673" s="47">
        <f>'設定'!$I$32</f>
        <v/>
      </c>
      <c r="C673" s="83" t="n"/>
      <c r="D673" s="83" t="n"/>
      <c r="E673" s="83" t="n"/>
      <c r="F673" s="83" t="n"/>
      <c r="G673" s="83" t="n"/>
      <c r="H673" s="83" t="n"/>
      <c r="S673">
        <f>IF(22&lt;='設定'!$B$6,"表示","隠す")</f>
        <v/>
      </c>
    </row>
    <row r="674" hidden="1" ht="21" customHeight="1">
      <c r="A674" s="82" t="n"/>
      <c r="B674" s="47">
        <f>'設定'!$I$33</f>
        <v/>
      </c>
      <c r="C674" s="83" t="n"/>
      <c r="D674" s="83" t="n"/>
      <c r="E674" s="83" t="n"/>
      <c r="F674" s="83" t="n"/>
      <c r="G674" s="83" t="n"/>
      <c r="H674" s="83" t="n"/>
      <c r="S674">
        <f>IF(23&lt;='設定'!$B$6,"表示","隠す")</f>
        <v/>
      </c>
    </row>
    <row r="675" hidden="1" ht="21" customHeight="1">
      <c r="A675" s="82" t="n"/>
      <c r="B675" s="47">
        <f>'設定'!$I$34</f>
        <v/>
      </c>
      <c r="C675" s="83" t="n"/>
      <c r="D675" s="83" t="n"/>
      <c r="E675" s="83" t="n"/>
      <c r="F675" s="83" t="n"/>
      <c r="G675" s="83" t="n"/>
      <c r="H675" s="83" t="n"/>
      <c r="S675">
        <f>IF(24&lt;='設定'!$B$6,"表示","隠す")</f>
        <v/>
      </c>
    </row>
    <row r="676">
      <c r="S676" t="inlineStr">
        <is>
          <t>表示</t>
        </is>
      </c>
    </row>
    <row r="677" ht="26" customHeight="1">
      <c r="B677" s="76">
        <f>IF('名簿'!B29="","（名簿 25行目：なし）",'名簿'!P29)</f>
        <v/>
      </c>
      <c r="C677" s="5" t="n"/>
      <c r="D677" s="5" t="n"/>
      <c r="E677" s="77" t="inlineStr">
        <is>
          <t>提出状況 ▶</t>
        </is>
      </c>
      <c r="F677" s="43" t="inlineStr">
        <is>
          <t>×なし（どこでもOK）</t>
        </is>
      </c>
      <c r="G677" s="34" t="n"/>
      <c r="H677" s="78" t="inlineStr">
        <is>
          <t>状況：</t>
        </is>
      </c>
      <c r="I677" s="79">
        <f>'名簿'!Q29</f>
        <v/>
      </c>
      <c r="J677" s="78" t="inlineStr">
        <is>
          <t>×の数：</t>
        </is>
      </c>
      <c r="K677" s="80">
        <f>'名簿'!R29</f>
        <v/>
      </c>
      <c r="L677" s="81">
        <f>HYPERLINK("#'×入力'!B705","次の人へ ▼")</f>
        <v/>
      </c>
      <c r="S677" t="inlineStr">
        <is>
          <t>表示</t>
        </is>
      </c>
    </row>
    <row r="678" ht="22" customHeight="1">
      <c r="A678" s="35" t="inlineStr">
        <is>
          <t>この日全部 ▶</t>
        </is>
      </c>
      <c r="C678" s="82" t="n"/>
      <c r="D678" s="82" t="n"/>
      <c r="E678" s="82" t="n"/>
      <c r="F678" s="82" t="n"/>
      <c r="G678" s="82" t="n"/>
      <c r="H678" s="82" t="n"/>
      <c r="S678" t="inlineStr">
        <is>
          <t>表示</t>
        </is>
      </c>
    </row>
    <row r="679" ht="28" customHeight="1">
      <c r="A679" s="38" t="inlineStr">
        <is>
          <t>この時間
全部 ▼</t>
        </is>
      </c>
      <c r="B679" s="39" t="inlineStr"/>
      <c r="C679" s="40">
        <f>'設定'!$E$11</f>
        <v/>
      </c>
      <c r="D679" s="40">
        <f>'設定'!$E$12</f>
        <v/>
      </c>
      <c r="E679" s="40">
        <f>'設定'!$E$13</f>
        <v/>
      </c>
      <c r="F679" s="40">
        <f>'設定'!$E$14</f>
        <v/>
      </c>
      <c r="G679" s="40">
        <f>'設定'!$E$15</f>
        <v/>
      </c>
      <c r="H679" s="40">
        <f>'設定'!$E$16</f>
        <v/>
      </c>
      <c r="S679" t="inlineStr">
        <is>
          <t>表示</t>
        </is>
      </c>
    </row>
    <row r="680" ht="21" customHeight="1">
      <c r="A680" s="82" t="n"/>
      <c r="B680" s="47">
        <f>'設定'!$I$11</f>
        <v/>
      </c>
      <c r="C680" s="83" t="n"/>
      <c r="D680" s="83" t="n"/>
      <c r="E680" s="83" t="n"/>
      <c r="F680" s="83" t="n"/>
      <c r="G680" s="83" t="n"/>
      <c r="H680" s="83" t="n"/>
      <c r="S680">
        <f>IF(1&lt;='設定'!$B$6,"表示","隠す")</f>
        <v/>
      </c>
    </row>
    <row r="681" ht="21" customHeight="1">
      <c r="A681" s="82" t="n"/>
      <c r="B681" s="47">
        <f>'設定'!$I$12</f>
        <v/>
      </c>
      <c r="C681" s="83" t="n"/>
      <c r="D681" s="83" t="n"/>
      <c r="E681" s="83" t="n"/>
      <c r="F681" s="83" t="n"/>
      <c r="G681" s="83" t="n"/>
      <c r="H681" s="83" t="n"/>
      <c r="S681">
        <f>IF(2&lt;='設定'!$B$6,"表示","隠す")</f>
        <v/>
      </c>
    </row>
    <row r="682" ht="21" customHeight="1">
      <c r="A682" s="82" t="n"/>
      <c r="B682" s="47">
        <f>'設定'!$I$13</f>
        <v/>
      </c>
      <c r="C682" s="83" t="n"/>
      <c r="D682" s="83" t="n"/>
      <c r="E682" s="83" t="n"/>
      <c r="F682" s="83" t="n"/>
      <c r="G682" s="83" t="n"/>
      <c r="H682" s="83" t="n"/>
      <c r="S682">
        <f>IF(3&lt;='設定'!$B$6,"表示","隠す")</f>
        <v/>
      </c>
    </row>
    <row r="683" ht="21" customHeight="1">
      <c r="A683" s="82" t="n"/>
      <c r="B683" s="47">
        <f>'設定'!$I$14</f>
        <v/>
      </c>
      <c r="C683" s="83" t="n"/>
      <c r="D683" s="83" t="n"/>
      <c r="E683" s="83" t="n"/>
      <c r="F683" s="83" t="n"/>
      <c r="G683" s="83" t="n"/>
      <c r="H683" s="83" t="n"/>
      <c r="S683">
        <f>IF(4&lt;='設定'!$B$6,"表示","隠す")</f>
        <v/>
      </c>
    </row>
    <row r="684" ht="21" customHeight="1">
      <c r="A684" s="82" t="n"/>
      <c r="B684" s="47">
        <f>'設定'!$I$15</f>
        <v/>
      </c>
      <c r="C684" s="83" t="n"/>
      <c r="D684" s="83" t="n"/>
      <c r="E684" s="83" t="n"/>
      <c r="F684" s="83" t="n"/>
      <c r="G684" s="83" t="n"/>
      <c r="H684" s="83" t="n"/>
      <c r="S684">
        <f>IF(5&lt;='設定'!$B$6,"表示","隠す")</f>
        <v/>
      </c>
    </row>
    <row r="685" ht="21" customHeight="1">
      <c r="A685" s="82" t="n"/>
      <c r="B685" s="47">
        <f>'設定'!$I$16</f>
        <v/>
      </c>
      <c r="C685" s="83" t="n"/>
      <c r="D685" s="83" t="n"/>
      <c r="E685" s="83" t="n"/>
      <c r="F685" s="83" t="n"/>
      <c r="G685" s="83" t="n"/>
      <c r="H685" s="83" t="n"/>
      <c r="S685">
        <f>IF(6&lt;='設定'!$B$6,"表示","隠す")</f>
        <v/>
      </c>
    </row>
    <row r="686" ht="21" customHeight="1">
      <c r="A686" s="82" t="n"/>
      <c r="B686" s="47">
        <f>'設定'!$I$17</f>
        <v/>
      </c>
      <c r="C686" s="83" t="n"/>
      <c r="D686" s="83" t="n"/>
      <c r="E686" s="83" t="n"/>
      <c r="F686" s="83" t="n"/>
      <c r="G686" s="83" t="n"/>
      <c r="H686" s="83" t="n"/>
      <c r="S686">
        <f>IF(7&lt;='設定'!$B$6,"表示","隠す")</f>
        <v/>
      </c>
    </row>
    <row r="687" ht="21" customHeight="1">
      <c r="A687" s="82" t="n"/>
      <c r="B687" s="47">
        <f>'設定'!$I$18</f>
        <v/>
      </c>
      <c r="C687" s="83" t="n"/>
      <c r="D687" s="83" t="n"/>
      <c r="E687" s="83" t="n"/>
      <c r="F687" s="83" t="n"/>
      <c r="G687" s="83" t="n"/>
      <c r="H687" s="83" t="n"/>
      <c r="S687">
        <f>IF(8&lt;='設定'!$B$6,"表示","隠す")</f>
        <v/>
      </c>
    </row>
    <row r="688" ht="21" customHeight="1">
      <c r="A688" s="82" t="n"/>
      <c r="B688" s="47">
        <f>'設定'!$I$19</f>
        <v/>
      </c>
      <c r="C688" s="83" t="n"/>
      <c r="D688" s="83" t="n"/>
      <c r="E688" s="83" t="n"/>
      <c r="F688" s="83" t="n"/>
      <c r="G688" s="83" t="n"/>
      <c r="H688" s="83" t="n"/>
      <c r="S688">
        <f>IF(9&lt;='設定'!$B$6,"表示","隠す")</f>
        <v/>
      </c>
    </row>
    <row r="689" hidden="1" ht="21" customHeight="1">
      <c r="A689" s="82" t="n"/>
      <c r="B689" s="47">
        <f>'設定'!$I$20</f>
        <v/>
      </c>
      <c r="C689" s="83" t="n"/>
      <c r="D689" s="83" t="n"/>
      <c r="E689" s="83" t="n"/>
      <c r="F689" s="83" t="n"/>
      <c r="G689" s="83" t="n"/>
      <c r="H689" s="83" t="n"/>
      <c r="S689">
        <f>IF(10&lt;='設定'!$B$6,"表示","隠す")</f>
        <v/>
      </c>
    </row>
    <row r="690" hidden="1" ht="21" customHeight="1">
      <c r="A690" s="82" t="n"/>
      <c r="B690" s="47">
        <f>'設定'!$I$21</f>
        <v/>
      </c>
      <c r="C690" s="83" t="n"/>
      <c r="D690" s="83" t="n"/>
      <c r="E690" s="83" t="n"/>
      <c r="F690" s="83" t="n"/>
      <c r="G690" s="83" t="n"/>
      <c r="H690" s="83" t="n"/>
      <c r="S690">
        <f>IF(11&lt;='設定'!$B$6,"表示","隠す")</f>
        <v/>
      </c>
    </row>
    <row r="691" hidden="1" ht="21" customHeight="1">
      <c r="A691" s="82" t="n"/>
      <c r="B691" s="47">
        <f>'設定'!$I$22</f>
        <v/>
      </c>
      <c r="C691" s="83" t="n"/>
      <c r="D691" s="83" t="n"/>
      <c r="E691" s="83" t="n"/>
      <c r="F691" s="83" t="n"/>
      <c r="G691" s="83" t="n"/>
      <c r="H691" s="83" t="n"/>
      <c r="S691">
        <f>IF(12&lt;='設定'!$B$6,"表示","隠す")</f>
        <v/>
      </c>
    </row>
    <row r="692" hidden="1" ht="21" customHeight="1">
      <c r="A692" s="82" t="n"/>
      <c r="B692" s="47">
        <f>'設定'!$I$23</f>
        <v/>
      </c>
      <c r="C692" s="83" t="n"/>
      <c r="D692" s="83" t="n"/>
      <c r="E692" s="83" t="n"/>
      <c r="F692" s="83" t="n"/>
      <c r="G692" s="83" t="n"/>
      <c r="H692" s="83" t="n"/>
      <c r="S692">
        <f>IF(13&lt;='設定'!$B$6,"表示","隠す")</f>
        <v/>
      </c>
    </row>
    <row r="693" hidden="1" ht="21" customHeight="1">
      <c r="A693" s="82" t="n"/>
      <c r="B693" s="47">
        <f>'設定'!$I$24</f>
        <v/>
      </c>
      <c r="C693" s="83" t="n"/>
      <c r="D693" s="83" t="n"/>
      <c r="E693" s="83" t="n"/>
      <c r="F693" s="83" t="n"/>
      <c r="G693" s="83" t="n"/>
      <c r="H693" s="83" t="n"/>
      <c r="S693">
        <f>IF(14&lt;='設定'!$B$6,"表示","隠す")</f>
        <v/>
      </c>
    </row>
    <row r="694" hidden="1" ht="21" customHeight="1">
      <c r="A694" s="82" t="n"/>
      <c r="B694" s="47">
        <f>'設定'!$I$25</f>
        <v/>
      </c>
      <c r="C694" s="83" t="n"/>
      <c r="D694" s="83" t="n"/>
      <c r="E694" s="83" t="n"/>
      <c r="F694" s="83" t="n"/>
      <c r="G694" s="83" t="n"/>
      <c r="H694" s="83" t="n"/>
      <c r="S694">
        <f>IF(15&lt;='設定'!$B$6,"表示","隠す")</f>
        <v/>
      </c>
    </row>
    <row r="695" hidden="1" ht="21" customHeight="1">
      <c r="A695" s="82" t="n"/>
      <c r="B695" s="47">
        <f>'設定'!$I$26</f>
        <v/>
      </c>
      <c r="C695" s="83" t="n"/>
      <c r="D695" s="83" t="n"/>
      <c r="E695" s="83" t="n"/>
      <c r="F695" s="83" t="n"/>
      <c r="G695" s="83" t="n"/>
      <c r="H695" s="83" t="n"/>
      <c r="S695">
        <f>IF(16&lt;='設定'!$B$6,"表示","隠す")</f>
        <v/>
      </c>
    </row>
    <row r="696" hidden="1" ht="21" customHeight="1">
      <c r="A696" s="82" t="n"/>
      <c r="B696" s="47">
        <f>'設定'!$I$27</f>
        <v/>
      </c>
      <c r="C696" s="83" t="n"/>
      <c r="D696" s="83" t="n"/>
      <c r="E696" s="83" t="n"/>
      <c r="F696" s="83" t="n"/>
      <c r="G696" s="83" t="n"/>
      <c r="H696" s="83" t="n"/>
      <c r="S696">
        <f>IF(17&lt;='設定'!$B$6,"表示","隠す")</f>
        <v/>
      </c>
    </row>
    <row r="697" hidden="1" ht="21" customHeight="1">
      <c r="A697" s="82" t="n"/>
      <c r="B697" s="47">
        <f>'設定'!$I$28</f>
        <v/>
      </c>
      <c r="C697" s="83" t="n"/>
      <c r="D697" s="83" t="n"/>
      <c r="E697" s="83" t="n"/>
      <c r="F697" s="83" t="n"/>
      <c r="G697" s="83" t="n"/>
      <c r="H697" s="83" t="n"/>
      <c r="S697">
        <f>IF(18&lt;='設定'!$B$6,"表示","隠す")</f>
        <v/>
      </c>
    </row>
    <row r="698" hidden="1" ht="21" customHeight="1">
      <c r="A698" s="82" t="n"/>
      <c r="B698" s="47">
        <f>'設定'!$I$29</f>
        <v/>
      </c>
      <c r="C698" s="83" t="n"/>
      <c r="D698" s="83" t="n"/>
      <c r="E698" s="83" t="n"/>
      <c r="F698" s="83" t="n"/>
      <c r="G698" s="83" t="n"/>
      <c r="H698" s="83" t="n"/>
      <c r="S698">
        <f>IF(19&lt;='設定'!$B$6,"表示","隠す")</f>
        <v/>
      </c>
    </row>
    <row r="699" hidden="1" ht="21" customHeight="1">
      <c r="A699" s="82" t="n"/>
      <c r="B699" s="47">
        <f>'設定'!$I$30</f>
        <v/>
      </c>
      <c r="C699" s="83" t="n"/>
      <c r="D699" s="83" t="n"/>
      <c r="E699" s="83" t="n"/>
      <c r="F699" s="83" t="n"/>
      <c r="G699" s="83" t="n"/>
      <c r="H699" s="83" t="n"/>
      <c r="S699">
        <f>IF(20&lt;='設定'!$B$6,"表示","隠す")</f>
        <v/>
      </c>
    </row>
    <row r="700" hidden="1" ht="21" customHeight="1">
      <c r="A700" s="82" t="n"/>
      <c r="B700" s="47">
        <f>'設定'!$I$31</f>
        <v/>
      </c>
      <c r="C700" s="83" t="n"/>
      <c r="D700" s="83" t="n"/>
      <c r="E700" s="83" t="n"/>
      <c r="F700" s="83" t="n"/>
      <c r="G700" s="83" t="n"/>
      <c r="H700" s="83" t="n"/>
      <c r="S700">
        <f>IF(21&lt;='設定'!$B$6,"表示","隠す")</f>
        <v/>
      </c>
    </row>
    <row r="701" hidden="1" ht="21" customHeight="1">
      <c r="A701" s="82" t="n"/>
      <c r="B701" s="47">
        <f>'設定'!$I$32</f>
        <v/>
      </c>
      <c r="C701" s="83" t="n"/>
      <c r="D701" s="83" t="n"/>
      <c r="E701" s="83" t="n"/>
      <c r="F701" s="83" t="n"/>
      <c r="G701" s="83" t="n"/>
      <c r="H701" s="83" t="n"/>
      <c r="S701">
        <f>IF(22&lt;='設定'!$B$6,"表示","隠す")</f>
        <v/>
      </c>
    </row>
    <row r="702" hidden="1" ht="21" customHeight="1">
      <c r="A702" s="82" t="n"/>
      <c r="B702" s="47">
        <f>'設定'!$I$33</f>
        <v/>
      </c>
      <c r="C702" s="83" t="n"/>
      <c r="D702" s="83" t="n"/>
      <c r="E702" s="83" t="n"/>
      <c r="F702" s="83" t="n"/>
      <c r="G702" s="83" t="n"/>
      <c r="H702" s="83" t="n"/>
      <c r="S702">
        <f>IF(23&lt;='設定'!$B$6,"表示","隠す")</f>
        <v/>
      </c>
    </row>
    <row r="703" hidden="1" ht="21" customHeight="1">
      <c r="A703" s="82" t="n"/>
      <c r="B703" s="47">
        <f>'設定'!$I$34</f>
        <v/>
      </c>
      <c r="C703" s="83" t="n"/>
      <c r="D703" s="83" t="n"/>
      <c r="E703" s="83" t="n"/>
      <c r="F703" s="83" t="n"/>
      <c r="G703" s="83" t="n"/>
      <c r="H703" s="83" t="n"/>
      <c r="S703">
        <f>IF(24&lt;='設定'!$B$6,"表示","隠す")</f>
        <v/>
      </c>
    </row>
    <row r="704">
      <c r="S704" t="inlineStr">
        <is>
          <t>表示</t>
        </is>
      </c>
    </row>
    <row r="705" ht="26" customHeight="1">
      <c r="B705" s="76">
        <f>IF('名簿'!B30="","（名簿 26行目：なし）",'名簿'!P30)</f>
        <v/>
      </c>
      <c r="C705" s="5" t="n"/>
      <c r="D705" s="5" t="n"/>
      <c r="E705" s="77" t="inlineStr">
        <is>
          <t>提出状況 ▶</t>
        </is>
      </c>
      <c r="F705" s="43" t="n"/>
      <c r="G705" s="34" t="n"/>
      <c r="H705" s="78" t="inlineStr">
        <is>
          <t>状況：</t>
        </is>
      </c>
      <c r="I705" s="79">
        <f>'名簿'!Q30</f>
        <v/>
      </c>
      <c r="J705" s="78" t="inlineStr">
        <is>
          <t>×の数：</t>
        </is>
      </c>
      <c r="K705" s="80">
        <f>'名簿'!R30</f>
        <v/>
      </c>
      <c r="L705" s="81">
        <f>HYPERLINK("#'×入力'!B733","次の人へ ▼")</f>
        <v/>
      </c>
      <c r="S705" t="inlineStr">
        <is>
          <t>表示</t>
        </is>
      </c>
    </row>
    <row r="706" ht="22" customHeight="1">
      <c r="A706" s="35" t="inlineStr">
        <is>
          <t>この日全部 ▶</t>
        </is>
      </c>
      <c r="C706" s="82" t="n"/>
      <c r="D706" s="82" t="n"/>
      <c r="E706" s="82" t="n"/>
      <c r="F706" s="82" t="n"/>
      <c r="G706" s="82" t="n"/>
      <c r="H706" s="82" t="n"/>
      <c r="S706" t="inlineStr">
        <is>
          <t>表示</t>
        </is>
      </c>
    </row>
    <row r="707" ht="28" customHeight="1">
      <c r="A707" s="38" t="inlineStr">
        <is>
          <t>この時間
全部 ▼</t>
        </is>
      </c>
      <c r="B707" s="39" t="inlineStr"/>
      <c r="C707" s="40">
        <f>'設定'!$E$11</f>
        <v/>
      </c>
      <c r="D707" s="40">
        <f>'設定'!$E$12</f>
        <v/>
      </c>
      <c r="E707" s="40">
        <f>'設定'!$E$13</f>
        <v/>
      </c>
      <c r="F707" s="40">
        <f>'設定'!$E$14</f>
        <v/>
      </c>
      <c r="G707" s="40">
        <f>'設定'!$E$15</f>
        <v/>
      </c>
      <c r="H707" s="40">
        <f>'設定'!$E$16</f>
        <v/>
      </c>
      <c r="S707" t="inlineStr">
        <is>
          <t>表示</t>
        </is>
      </c>
    </row>
    <row r="708" ht="21" customHeight="1">
      <c r="A708" s="82" t="n"/>
      <c r="B708" s="47">
        <f>'設定'!$I$11</f>
        <v/>
      </c>
      <c r="C708" s="83" t="n"/>
      <c r="D708" s="83" t="n"/>
      <c r="E708" s="83" t="inlineStr">
        <is>
          <t>×</t>
        </is>
      </c>
      <c r="F708" s="83" t="inlineStr">
        <is>
          <t>×</t>
        </is>
      </c>
      <c r="G708" s="83" t="inlineStr">
        <is>
          <t>×</t>
        </is>
      </c>
      <c r="H708" s="83" t="n"/>
      <c r="S708">
        <f>IF(1&lt;='設定'!$B$6,"表示","隠す")</f>
        <v/>
      </c>
    </row>
    <row r="709" ht="21" customHeight="1">
      <c r="A709" s="82" t="n"/>
      <c r="B709" s="47">
        <f>'設定'!$I$12</f>
        <v/>
      </c>
      <c r="C709" s="83" t="n"/>
      <c r="D709" s="83" t="n"/>
      <c r="E709" s="83" t="inlineStr">
        <is>
          <t>×</t>
        </is>
      </c>
      <c r="F709" s="83" t="inlineStr">
        <is>
          <t>×</t>
        </is>
      </c>
      <c r="G709" s="83" t="inlineStr">
        <is>
          <t>×</t>
        </is>
      </c>
      <c r="H709" s="83" t="n"/>
      <c r="S709">
        <f>IF(2&lt;='設定'!$B$6,"表示","隠す")</f>
        <v/>
      </c>
    </row>
    <row r="710" ht="21" customHeight="1">
      <c r="A710" s="82" t="n"/>
      <c r="B710" s="47">
        <f>'設定'!$I$13</f>
        <v/>
      </c>
      <c r="C710" s="83" t="n"/>
      <c r="D710" s="83" t="n"/>
      <c r="E710" s="83" t="inlineStr">
        <is>
          <t>×</t>
        </is>
      </c>
      <c r="F710" s="83" t="inlineStr">
        <is>
          <t>×</t>
        </is>
      </c>
      <c r="G710" s="83" t="inlineStr">
        <is>
          <t>×</t>
        </is>
      </c>
      <c r="H710" s="83" t="n"/>
      <c r="S710">
        <f>IF(3&lt;='設定'!$B$6,"表示","隠す")</f>
        <v/>
      </c>
    </row>
    <row r="711" ht="21" customHeight="1">
      <c r="A711" s="82" t="n"/>
      <c r="B711" s="47">
        <f>'設定'!$I$14</f>
        <v/>
      </c>
      <c r="C711" s="83" t="n"/>
      <c r="D711" s="83" t="n"/>
      <c r="E711" s="83" t="inlineStr">
        <is>
          <t>×</t>
        </is>
      </c>
      <c r="F711" s="83" t="inlineStr">
        <is>
          <t>×</t>
        </is>
      </c>
      <c r="G711" s="83" t="inlineStr">
        <is>
          <t>×</t>
        </is>
      </c>
      <c r="H711" s="83" t="n"/>
      <c r="S711">
        <f>IF(4&lt;='設定'!$B$6,"表示","隠す")</f>
        <v/>
      </c>
    </row>
    <row r="712" ht="21" customHeight="1">
      <c r="A712" s="82" t="n"/>
      <c r="B712" s="47">
        <f>'設定'!$I$15</f>
        <v/>
      </c>
      <c r="C712" s="83" t="n"/>
      <c r="D712" s="83" t="n"/>
      <c r="E712" s="83" t="inlineStr">
        <is>
          <t>×</t>
        </is>
      </c>
      <c r="F712" s="83" t="inlineStr">
        <is>
          <t>×</t>
        </is>
      </c>
      <c r="G712" s="83" t="inlineStr">
        <is>
          <t>×</t>
        </is>
      </c>
      <c r="H712" s="83" t="n"/>
      <c r="S712">
        <f>IF(5&lt;='設定'!$B$6,"表示","隠す")</f>
        <v/>
      </c>
    </row>
    <row r="713" ht="21" customHeight="1">
      <c r="A713" s="82" t="n"/>
      <c r="B713" s="47">
        <f>'設定'!$I$16</f>
        <v/>
      </c>
      <c r="C713" s="83" t="n"/>
      <c r="D713" s="83" t="n"/>
      <c r="E713" s="83" t="inlineStr">
        <is>
          <t>×</t>
        </is>
      </c>
      <c r="F713" s="83" t="inlineStr">
        <is>
          <t>×</t>
        </is>
      </c>
      <c r="G713" s="83" t="inlineStr">
        <is>
          <t>×</t>
        </is>
      </c>
      <c r="H713" s="83" t="n"/>
      <c r="S713">
        <f>IF(6&lt;='設定'!$B$6,"表示","隠す")</f>
        <v/>
      </c>
    </row>
    <row r="714" ht="21" customHeight="1">
      <c r="A714" s="82" t="n"/>
      <c r="B714" s="47">
        <f>'設定'!$I$17</f>
        <v/>
      </c>
      <c r="C714" s="83" t="n"/>
      <c r="D714" s="83" t="n"/>
      <c r="E714" s="83" t="inlineStr">
        <is>
          <t>×</t>
        </is>
      </c>
      <c r="F714" s="83" t="inlineStr">
        <is>
          <t>×</t>
        </is>
      </c>
      <c r="G714" s="83" t="inlineStr">
        <is>
          <t>×</t>
        </is>
      </c>
      <c r="H714" s="83" t="n"/>
      <c r="S714">
        <f>IF(7&lt;='設定'!$B$6,"表示","隠す")</f>
        <v/>
      </c>
    </row>
    <row r="715" ht="21" customHeight="1">
      <c r="A715" s="82" t="n"/>
      <c r="B715" s="47">
        <f>'設定'!$I$18</f>
        <v/>
      </c>
      <c r="C715" s="83" t="n"/>
      <c r="D715" s="83" t="n"/>
      <c r="E715" s="83" t="inlineStr">
        <is>
          <t>×</t>
        </is>
      </c>
      <c r="F715" s="83" t="inlineStr">
        <is>
          <t>×</t>
        </is>
      </c>
      <c r="G715" s="83" t="inlineStr">
        <is>
          <t>×</t>
        </is>
      </c>
      <c r="H715" s="83" t="n"/>
      <c r="S715">
        <f>IF(8&lt;='設定'!$B$6,"表示","隠す")</f>
        <v/>
      </c>
    </row>
    <row r="716" ht="21" customHeight="1">
      <c r="A716" s="82" t="n"/>
      <c r="B716" s="47">
        <f>'設定'!$I$19</f>
        <v/>
      </c>
      <c r="C716" s="83" t="n"/>
      <c r="D716" s="83" t="inlineStr">
        <is>
          <t>×</t>
        </is>
      </c>
      <c r="E716" s="83" t="inlineStr">
        <is>
          <t>×</t>
        </is>
      </c>
      <c r="F716" s="83" t="inlineStr">
        <is>
          <t>×</t>
        </is>
      </c>
      <c r="G716" s="83" t="inlineStr">
        <is>
          <t>×</t>
        </is>
      </c>
      <c r="H716" s="83" t="n"/>
      <c r="S716">
        <f>IF(9&lt;='設定'!$B$6,"表示","隠す")</f>
        <v/>
      </c>
    </row>
    <row r="717" hidden="1" ht="21" customHeight="1">
      <c r="A717" s="82" t="n"/>
      <c r="B717" s="47">
        <f>'設定'!$I$20</f>
        <v/>
      </c>
      <c r="C717" s="83" t="n"/>
      <c r="D717" s="83" t="n"/>
      <c r="E717" s="83" t="n"/>
      <c r="F717" s="83" t="n"/>
      <c r="G717" s="83" t="n"/>
      <c r="H717" s="83" t="n"/>
      <c r="S717">
        <f>IF(10&lt;='設定'!$B$6,"表示","隠す")</f>
        <v/>
      </c>
    </row>
    <row r="718" hidden="1" ht="21" customHeight="1">
      <c r="A718" s="82" t="n"/>
      <c r="B718" s="47">
        <f>'設定'!$I$21</f>
        <v/>
      </c>
      <c r="C718" s="83" t="n"/>
      <c r="D718" s="83" t="n"/>
      <c r="E718" s="83" t="n"/>
      <c r="F718" s="83" t="n"/>
      <c r="G718" s="83" t="n"/>
      <c r="H718" s="83" t="n"/>
      <c r="S718">
        <f>IF(11&lt;='設定'!$B$6,"表示","隠す")</f>
        <v/>
      </c>
    </row>
    <row r="719" hidden="1" ht="21" customHeight="1">
      <c r="A719" s="82" t="n"/>
      <c r="B719" s="47">
        <f>'設定'!$I$22</f>
        <v/>
      </c>
      <c r="C719" s="83" t="n"/>
      <c r="D719" s="83" t="n"/>
      <c r="E719" s="83" t="n"/>
      <c r="F719" s="83" t="n"/>
      <c r="G719" s="83" t="n"/>
      <c r="H719" s="83" t="n"/>
      <c r="S719">
        <f>IF(12&lt;='設定'!$B$6,"表示","隠す")</f>
        <v/>
      </c>
    </row>
    <row r="720" hidden="1" ht="21" customHeight="1">
      <c r="A720" s="82" t="n"/>
      <c r="B720" s="47">
        <f>'設定'!$I$23</f>
        <v/>
      </c>
      <c r="C720" s="83" t="n"/>
      <c r="D720" s="83" t="n"/>
      <c r="E720" s="83" t="n"/>
      <c r="F720" s="83" t="n"/>
      <c r="G720" s="83" t="n"/>
      <c r="H720" s="83" t="n"/>
      <c r="S720">
        <f>IF(13&lt;='設定'!$B$6,"表示","隠す")</f>
        <v/>
      </c>
    </row>
    <row r="721" hidden="1" ht="21" customHeight="1">
      <c r="A721" s="82" t="n"/>
      <c r="B721" s="47">
        <f>'設定'!$I$24</f>
        <v/>
      </c>
      <c r="C721" s="83" t="n"/>
      <c r="D721" s="83" t="n"/>
      <c r="E721" s="83" t="n"/>
      <c r="F721" s="83" t="n"/>
      <c r="G721" s="83" t="n"/>
      <c r="H721" s="83" t="n"/>
      <c r="S721">
        <f>IF(14&lt;='設定'!$B$6,"表示","隠す")</f>
        <v/>
      </c>
    </row>
    <row r="722" hidden="1" ht="21" customHeight="1">
      <c r="A722" s="82" t="n"/>
      <c r="B722" s="47">
        <f>'設定'!$I$25</f>
        <v/>
      </c>
      <c r="C722" s="83" t="n"/>
      <c r="D722" s="83" t="n"/>
      <c r="E722" s="83" t="n"/>
      <c r="F722" s="83" t="n"/>
      <c r="G722" s="83" t="n"/>
      <c r="H722" s="83" t="n"/>
      <c r="S722">
        <f>IF(15&lt;='設定'!$B$6,"表示","隠す")</f>
        <v/>
      </c>
    </row>
    <row r="723" hidden="1" ht="21" customHeight="1">
      <c r="A723" s="82" t="n"/>
      <c r="B723" s="47">
        <f>'設定'!$I$26</f>
        <v/>
      </c>
      <c r="C723" s="83" t="n"/>
      <c r="D723" s="83" t="n"/>
      <c r="E723" s="83" t="n"/>
      <c r="F723" s="83" t="n"/>
      <c r="G723" s="83" t="n"/>
      <c r="H723" s="83" t="n"/>
      <c r="S723">
        <f>IF(16&lt;='設定'!$B$6,"表示","隠す")</f>
        <v/>
      </c>
    </row>
    <row r="724" hidden="1" ht="21" customHeight="1">
      <c r="A724" s="82" t="n"/>
      <c r="B724" s="47">
        <f>'設定'!$I$27</f>
        <v/>
      </c>
      <c r="C724" s="83" t="n"/>
      <c r="D724" s="83" t="n"/>
      <c r="E724" s="83" t="n"/>
      <c r="F724" s="83" t="n"/>
      <c r="G724" s="83" t="n"/>
      <c r="H724" s="83" t="n"/>
      <c r="S724">
        <f>IF(17&lt;='設定'!$B$6,"表示","隠す")</f>
        <v/>
      </c>
    </row>
    <row r="725" hidden="1" ht="21" customHeight="1">
      <c r="A725" s="82" t="n"/>
      <c r="B725" s="47">
        <f>'設定'!$I$28</f>
        <v/>
      </c>
      <c r="C725" s="83" t="n"/>
      <c r="D725" s="83" t="n"/>
      <c r="E725" s="83" t="n"/>
      <c r="F725" s="83" t="n"/>
      <c r="G725" s="83" t="n"/>
      <c r="H725" s="83" t="n"/>
      <c r="S725">
        <f>IF(18&lt;='設定'!$B$6,"表示","隠す")</f>
        <v/>
      </c>
    </row>
    <row r="726" hidden="1" ht="21" customHeight="1">
      <c r="A726" s="82" t="n"/>
      <c r="B726" s="47">
        <f>'設定'!$I$29</f>
        <v/>
      </c>
      <c r="C726" s="83" t="n"/>
      <c r="D726" s="83" t="n"/>
      <c r="E726" s="83" t="n"/>
      <c r="F726" s="83" t="n"/>
      <c r="G726" s="83" t="n"/>
      <c r="H726" s="83" t="n"/>
      <c r="S726">
        <f>IF(19&lt;='設定'!$B$6,"表示","隠す")</f>
        <v/>
      </c>
    </row>
    <row r="727" hidden="1" ht="21" customHeight="1">
      <c r="A727" s="82" t="n"/>
      <c r="B727" s="47">
        <f>'設定'!$I$30</f>
        <v/>
      </c>
      <c r="C727" s="83" t="n"/>
      <c r="D727" s="83" t="n"/>
      <c r="E727" s="83" t="n"/>
      <c r="F727" s="83" t="n"/>
      <c r="G727" s="83" t="n"/>
      <c r="H727" s="83" t="n"/>
      <c r="S727">
        <f>IF(20&lt;='設定'!$B$6,"表示","隠す")</f>
        <v/>
      </c>
    </row>
    <row r="728" hidden="1" ht="21" customHeight="1">
      <c r="A728" s="82" t="n"/>
      <c r="B728" s="47">
        <f>'設定'!$I$31</f>
        <v/>
      </c>
      <c r="C728" s="83" t="n"/>
      <c r="D728" s="83" t="n"/>
      <c r="E728" s="83" t="n"/>
      <c r="F728" s="83" t="n"/>
      <c r="G728" s="83" t="n"/>
      <c r="H728" s="83" t="n"/>
      <c r="S728">
        <f>IF(21&lt;='設定'!$B$6,"表示","隠す")</f>
        <v/>
      </c>
    </row>
    <row r="729" hidden="1" ht="21" customHeight="1">
      <c r="A729" s="82" t="n"/>
      <c r="B729" s="47">
        <f>'設定'!$I$32</f>
        <v/>
      </c>
      <c r="C729" s="83" t="n"/>
      <c r="D729" s="83" t="n"/>
      <c r="E729" s="83" t="n"/>
      <c r="F729" s="83" t="n"/>
      <c r="G729" s="83" t="n"/>
      <c r="H729" s="83" t="n"/>
      <c r="S729">
        <f>IF(22&lt;='設定'!$B$6,"表示","隠す")</f>
        <v/>
      </c>
    </row>
    <row r="730" hidden="1" ht="21" customHeight="1">
      <c r="A730" s="82" t="n"/>
      <c r="B730" s="47">
        <f>'設定'!$I$33</f>
        <v/>
      </c>
      <c r="C730" s="83" t="n"/>
      <c r="D730" s="83" t="n"/>
      <c r="E730" s="83" t="n"/>
      <c r="F730" s="83" t="n"/>
      <c r="G730" s="83" t="n"/>
      <c r="H730" s="83" t="n"/>
      <c r="S730">
        <f>IF(23&lt;='設定'!$B$6,"表示","隠す")</f>
        <v/>
      </c>
    </row>
    <row r="731" hidden="1" ht="21" customHeight="1">
      <c r="A731" s="82" t="n"/>
      <c r="B731" s="47">
        <f>'設定'!$I$34</f>
        <v/>
      </c>
      <c r="C731" s="83" t="n"/>
      <c r="D731" s="83" t="n"/>
      <c r="E731" s="83" t="n"/>
      <c r="F731" s="83" t="n"/>
      <c r="G731" s="83" t="n"/>
      <c r="H731" s="83" t="n"/>
      <c r="S731">
        <f>IF(24&lt;='設定'!$B$6,"表示","隠す")</f>
        <v/>
      </c>
    </row>
    <row r="732">
      <c r="S732" t="inlineStr">
        <is>
          <t>表示</t>
        </is>
      </c>
    </row>
    <row r="733" ht="26" customHeight="1">
      <c r="B733" s="76">
        <f>IF('名簿'!B31="","（名簿 27行目：なし）",'名簿'!P31)</f>
        <v/>
      </c>
      <c r="C733" s="5" t="n"/>
      <c r="D733" s="5" t="n"/>
      <c r="E733" s="77" t="inlineStr">
        <is>
          <t>提出状況 ▶</t>
        </is>
      </c>
      <c r="F733" s="43" t="n"/>
      <c r="G733" s="34" t="n"/>
      <c r="H733" s="78" t="inlineStr">
        <is>
          <t>状況：</t>
        </is>
      </c>
      <c r="I733" s="79">
        <f>'名簿'!Q31</f>
        <v/>
      </c>
      <c r="J733" s="78" t="inlineStr">
        <is>
          <t>×の数：</t>
        </is>
      </c>
      <c r="K733" s="80">
        <f>'名簿'!R31</f>
        <v/>
      </c>
      <c r="L733" s="81">
        <f>HYPERLINK("#'×入力'!B761","次の人へ ▼")</f>
        <v/>
      </c>
      <c r="S733" t="inlineStr">
        <is>
          <t>表示</t>
        </is>
      </c>
    </row>
    <row r="734" ht="22" customHeight="1">
      <c r="A734" s="35" t="inlineStr">
        <is>
          <t>この日全部 ▶</t>
        </is>
      </c>
      <c r="C734" s="82" t="n"/>
      <c r="D734" s="82" t="n"/>
      <c r="E734" s="82" t="n"/>
      <c r="F734" s="82" t="n"/>
      <c r="G734" s="82" t="n"/>
      <c r="H734" s="82" t="n"/>
      <c r="S734" t="inlineStr">
        <is>
          <t>表示</t>
        </is>
      </c>
    </row>
    <row r="735" ht="28" customHeight="1">
      <c r="A735" s="38" t="inlineStr">
        <is>
          <t>この時間
全部 ▼</t>
        </is>
      </c>
      <c r="B735" s="39" t="inlineStr"/>
      <c r="C735" s="40">
        <f>'設定'!$E$11</f>
        <v/>
      </c>
      <c r="D735" s="40">
        <f>'設定'!$E$12</f>
        <v/>
      </c>
      <c r="E735" s="40">
        <f>'設定'!$E$13</f>
        <v/>
      </c>
      <c r="F735" s="40">
        <f>'設定'!$E$14</f>
        <v/>
      </c>
      <c r="G735" s="40">
        <f>'設定'!$E$15</f>
        <v/>
      </c>
      <c r="H735" s="40">
        <f>'設定'!$E$16</f>
        <v/>
      </c>
      <c r="S735" t="inlineStr">
        <is>
          <t>表示</t>
        </is>
      </c>
    </row>
    <row r="736" ht="21" customHeight="1">
      <c r="A736" s="82" t="n"/>
      <c r="B736" s="47">
        <f>'設定'!$I$11</f>
        <v/>
      </c>
      <c r="C736" s="83" t="n"/>
      <c r="D736" s="83" t="inlineStr">
        <is>
          <t>×</t>
        </is>
      </c>
      <c r="E736" s="83" t="inlineStr">
        <is>
          <t>×</t>
        </is>
      </c>
      <c r="F736" s="83" t="inlineStr">
        <is>
          <t>×</t>
        </is>
      </c>
      <c r="G736" s="83" t="n"/>
      <c r="H736" s="83" t="n"/>
      <c r="S736">
        <f>IF(1&lt;='設定'!$B$6,"表示","隠す")</f>
        <v/>
      </c>
    </row>
    <row r="737" ht="21" customHeight="1">
      <c r="A737" s="82" t="n"/>
      <c r="B737" s="47">
        <f>'設定'!$I$12</f>
        <v/>
      </c>
      <c r="C737" s="83" t="n"/>
      <c r="D737" s="83" t="n"/>
      <c r="E737" s="83" t="n"/>
      <c r="F737" s="83" t="inlineStr">
        <is>
          <t>×</t>
        </is>
      </c>
      <c r="G737" s="83" t="n"/>
      <c r="H737" s="83" t="n"/>
      <c r="S737">
        <f>IF(2&lt;='設定'!$B$6,"表示","隠す")</f>
        <v/>
      </c>
    </row>
    <row r="738" ht="21" customHeight="1">
      <c r="A738" s="82" t="n"/>
      <c r="B738" s="47">
        <f>'設定'!$I$13</f>
        <v/>
      </c>
      <c r="C738" s="83" t="n"/>
      <c r="D738" s="83" t="n"/>
      <c r="E738" s="83" t="n"/>
      <c r="F738" s="83" t="inlineStr">
        <is>
          <t>×</t>
        </is>
      </c>
      <c r="G738" s="83" t="n"/>
      <c r="H738" s="83" t="n"/>
      <c r="S738">
        <f>IF(3&lt;='設定'!$B$6,"表示","隠す")</f>
        <v/>
      </c>
    </row>
    <row r="739" ht="21" customHeight="1">
      <c r="A739" s="82" t="n"/>
      <c r="B739" s="47">
        <f>'設定'!$I$14</f>
        <v/>
      </c>
      <c r="C739" s="83" t="n"/>
      <c r="D739" s="83" t="n"/>
      <c r="E739" s="83" t="n"/>
      <c r="F739" s="83" t="inlineStr">
        <is>
          <t>×</t>
        </is>
      </c>
      <c r="G739" s="83" t="inlineStr">
        <is>
          <t>×</t>
        </is>
      </c>
      <c r="H739" s="83" t="n"/>
      <c r="S739">
        <f>IF(4&lt;='設定'!$B$6,"表示","隠す")</f>
        <v/>
      </c>
    </row>
    <row r="740" ht="21" customHeight="1">
      <c r="A740" s="82" t="n"/>
      <c r="B740" s="47">
        <f>'設定'!$I$15</f>
        <v/>
      </c>
      <c r="C740" s="83" t="n"/>
      <c r="D740" s="83" t="inlineStr">
        <is>
          <t>×</t>
        </is>
      </c>
      <c r="E740" s="83" t="n"/>
      <c r="F740" s="83" t="inlineStr">
        <is>
          <t>×</t>
        </is>
      </c>
      <c r="G740" s="83" t="inlineStr">
        <is>
          <t>×</t>
        </is>
      </c>
      <c r="H740" s="83" t="n"/>
      <c r="S740">
        <f>IF(5&lt;='設定'!$B$6,"表示","隠す")</f>
        <v/>
      </c>
    </row>
    <row r="741" ht="21" customHeight="1">
      <c r="A741" s="82" t="n"/>
      <c r="B741" s="47">
        <f>'設定'!$I$16</f>
        <v/>
      </c>
      <c r="C741" s="83" t="n"/>
      <c r="D741" s="83" t="n"/>
      <c r="E741" s="83" t="inlineStr">
        <is>
          <t>×</t>
        </is>
      </c>
      <c r="F741" s="83" t="inlineStr">
        <is>
          <t>×</t>
        </is>
      </c>
      <c r="G741" s="83" t="n"/>
      <c r="H741" s="83" t="n"/>
      <c r="S741">
        <f>IF(6&lt;='設定'!$B$6,"表示","隠す")</f>
        <v/>
      </c>
    </row>
    <row r="742" ht="21" customHeight="1">
      <c r="A742" s="82" t="n"/>
      <c r="B742" s="47">
        <f>'設定'!$I$17</f>
        <v/>
      </c>
      <c r="C742" s="83" t="n"/>
      <c r="D742" s="83" t="inlineStr">
        <is>
          <t>×</t>
        </is>
      </c>
      <c r="E742" s="83" t="n"/>
      <c r="F742" s="83" t="inlineStr">
        <is>
          <t>×</t>
        </is>
      </c>
      <c r="G742" s="83" t="n"/>
      <c r="H742" s="83" t="n"/>
      <c r="S742">
        <f>IF(7&lt;='設定'!$B$6,"表示","隠す")</f>
        <v/>
      </c>
    </row>
    <row r="743" ht="21" customHeight="1">
      <c r="A743" s="82" t="n"/>
      <c r="B743" s="47">
        <f>'設定'!$I$18</f>
        <v/>
      </c>
      <c r="C743" s="83" t="n"/>
      <c r="D743" s="83" t="n"/>
      <c r="E743" s="83" t="n"/>
      <c r="F743" s="83" t="inlineStr">
        <is>
          <t>×</t>
        </is>
      </c>
      <c r="G743" s="83" t="n"/>
      <c r="H743" s="83" t="n"/>
      <c r="S743">
        <f>IF(8&lt;='設定'!$B$6,"表示","隠す")</f>
        <v/>
      </c>
    </row>
    <row r="744" ht="21" customHeight="1">
      <c r="A744" s="82" t="n"/>
      <c r="B744" s="47">
        <f>'設定'!$I$19</f>
        <v/>
      </c>
      <c r="C744" s="83" t="n"/>
      <c r="D744" s="83" t="n"/>
      <c r="E744" s="83" t="inlineStr">
        <is>
          <t>×</t>
        </is>
      </c>
      <c r="F744" s="83" t="inlineStr">
        <is>
          <t>×</t>
        </is>
      </c>
      <c r="G744" s="83" t="n"/>
      <c r="H744" s="83" t="n"/>
      <c r="S744">
        <f>IF(9&lt;='設定'!$B$6,"表示","隠す")</f>
        <v/>
      </c>
    </row>
    <row r="745" hidden="1" ht="21" customHeight="1">
      <c r="A745" s="82" t="n"/>
      <c r="B745" s="47">
        <f>'設定'!$I$20</f>
        <v/>
      </c>
      <c r="C745" s="83" t="n"/>
      <c r="D745" s="83" t="n"/>
      <c r="E745" s="83" t="n"/>
      <c r="F745" s="83" t="n"/>
      <c r="G745" s="83" t="n"/>
      <c r="H745" s="83" t="n"/>
      <c r="S745">
        <f>IF(10&lt;='設定'!$B$6,"表示","隠す")</f>
        <v/>
      </c>
    </row>
    <row r="746" hidden="1" ht="21" customHeight="1">
      <c r="A746" s="82" t="n"/>
      <c r="B746" s="47">
        <f>'設定'!$I$21</f>
        <v/>
      </c>
      <c r="C746" s="83" t="n"/>
      <c r="D746" s="83" t="n"/>
      <c r="E746" s="83" t="n"/>
      <c r="F746" s="83" t="n"/>
      <c r="G746" s="83" t="n"/>
      <c r="H746" s="83" t="n"/>
      <c r="S746">
        <f>IF(11&lt;='設定'!$B$6,"表示","隠す")</f>
        <v/>
      </c>
    </row>
    <row r="747" hidden="1" ht="21" customHeight="1">
      <c r="A747" s="82" t="n"/>
      <c r="B747" s="47">
        <f>'設定'!$I$22</f>
        <v/>
      </c>
      <c r="C747" s="83" t="n"/>
      <c r="D747" s="83" t="n"/>
      <c r="E747" s="83" t="n"/>
      <c r="F747" s="83" t="n"/>
      <c r="G747" s="83" t="n"/>
      <c r="H747" s="83" t="n"/>
      <c r="S747">
        <f>IF(12&lt;='設定'!$B$6,"表示","隠す")</f>
        <v/>
      </c>
    </row>
    <row r="748" hidden="1" ht="21" customHeight="1">
      <c r="A748" s="82" t="n"/>
      <c r="B748" s="47">
        <f>'設定'!$I$23</f>
        <v/>
      </c>
      <c r="C748" s="83" t="n"/>
      <c r="D748" s="83" t="n"/>
      <c r="E748" s="83" t="n"/>
      <c r="F748" s="83" t="n"/>
      <c r="G748" s="83" t="n"/>
      <c r="H748" s="83" t="n"/>
      <c r="S748">
        <f>IF(13&lt;='設定'!$B$6,"表示","隠す")</f>
        <v/>
      </c>
    </row>
    <row r="749" hidden="1" ht="21" customHeight="1">
      <c r="A749" s="82" t="n"/>
      <c r="B749" s="47">
        <f>'設定'!$I$24</f>
        <v/>
      </c>
      <c r="C749" s="83" t="n"/>
      <c r="D749" s="83" t="n"/>
      <c r="E749" s="83" t="n"/>
      <c r="F749" s="83" t="n"/>
      <c r="G749" s="83" t="n"/>
      <c r="H749" s="83" t="n"/>
      <c r="S749">
        <f>IF(14&lt;='設定'!$B$6,"表示","隠す")</f>
        <v/>
      </c>
    </row>
    <row r="750" hidden="1" ht="21" customHeight="1">
      <c r="A750" s="82" t="n"/>
      <c r="B750" s="47">
        <f>'設定'!$I$25</f>
        <v/>
      </c>
      <c r="C750" s="83" t="n"/>
      <c r="D750" s="83" t="n"/>
      <c r="E750" s="83" t="n"/>
      <c r="F750" s="83" t="n"/>
      <c r="G750" s="83" t="n"/>
      <c r="H750" s="83" t="n"/>
      <c r="S750">
        <f>IF(15&lt;='設定'!$B$6,"表示","隠す")</f>
        <v/>
      </c>
    </row>
    <row r="751" hidden="1" ht="21" customHeight="1">
      <c r="A751" s="82" t="n"/>
      <c r="B751" s="47">
        <f>'設定'!$I$26</f>
        <v/>
      </c>
      <c r="C751" s="83" t="n"/>
      <c r="D751" s="83" t="n"/>
      <c r="E751" s="83" t="n"/>
      <c r="F751" s="83" t="n"/>
      <c r="G751" s="83" t="n"/>
      <c r="H751" s="83" t="n"/>
      <c r="S751">
        <f>IF(16&lt;='設定'!$B$6,"表示","隠す")</f>
        <v/>
      </c>
    </row>
    <row r="752" hidden="1" ht="21" customHeight="1">
      <c r="A752" s="82" t="n"/>
      <c r="B752" s="47">
        <f>'設定'!$I$27</f>
        <v/>
      </c>
      <c r="C752" s="83" t="n"/>
      <c r="D752" s="83" t="n"/>
      <c r="E752" s="83" t="n"/>
      <c r="F752" s="83" t="n"/>
      <c r="G752" s="83" t="n"/>
      <c r="H752" s="83" t="n"/>
      <c r="S752">
        <f>IF(17&lt;='設定'!$B$6,"表示","隠す")</f>
        <v/>
      </c>
    </row>
    <row r="753" hidden="1" ht="21" customHeight="1">
      <c r="A753" s="82" t="n"/>
      <c r="B753" s="47">
        <f>'設定'!$I$28</f>
        <v/>
      </c>
      <c r="C753" s="83" t="n"/>
      <c r="D753" s="83" t="n"/>
      <c r="E753" s="83" t="n"/>
      <c r="F753" s="83" t="n"/>
      <c r="G753" s="83" t="n"/>
      <c r="H753" s="83" t="n"/>
      <c r="S753">
        <f>IF(18&lt;='設定'!$B$6,"表示","隠す")</f>
        <v/>
      </c>
    </row>
    <row r="754" hidden="1" ht="21" customHeight="1">
      <c r="A754" s="82" t="n"/>
      <c r="B754" s="47">
        <f>'設定'!$I$29</f>
        <v/>
      </c>
      <c r="C754" s="83" t="n"/>
      <c r="D754" s="83" t="n"/>
      <c r="E754" s="83" t="n"/>
      <c r="F754" s="83" t="n"/>
      <c r="G754" s="83" t="n"/>
      <c r="H754" s="83" t="n"/>
      <c r="S754">
        <f>IF(19&lt;='設定'!$B$6,"表示","隠す")</f>
        <v/>
      </c>
    </row>
    <row r="755" hidden="1" ht="21" customHeight="1">
      <c r="A755" s="82" t="n"/>
      <c r="B755" s="47">
        <f>'設定'!$I$30</f>
        <v/>
      </c>
      <c r="C755" s="83" t="n"/>
      <c r="D755" s="83" t="n"/>
      <c r="E755" s="83" t="n"/>
      <c r="F755" s="83" t="n"/>
      <c r="G755" s="83" t="n"/>
      <c r="H755" s="83" t="n"/>
      <c r="S755">
        <f>IF(20&lt;='設定'!$B$6,"表示","隠す")</f>
        <v/>
      </c>
    </row>
    <row r="756" hidden="1" ht="21" customHeight="1">
      <c r="A756" s="82" t="n"/>
      <c r="B756" s="47">
        <f>'設定'!$I$31</f>
        <v/>
      </c>
      <c r="C756" s="83" t="n"/>
      <c r="D756" s="83" t="n"/>
      <c r="E756" s="83" t="n"/>
      <c r="F756" s="83" t="n"/>
      <c r="G756" s="83" t="n"/>
      <c r="H756" s="83" t="n"/>
      <c r="S756">
        <f>IF(21&lt;='設定'!$B$6,"表示","隠す")</f>
        <v/>
      </c>
    </row>
    <row r="757" hidden="1" ht="21" customHeight="1">
      <c r="A757" s="82" t="n"/>
      <c r="B757" s="47">
        <f>'設定'!$I$32</f>
        <v/>
      </c>
      <c r="C757" s="83" t="n"/>
      <c r="D757" s="83" t="n"/>
      <c r="E757" s="83" t="n"/>
      <c r="F757" s="83" t="n"/>
      <c r="G757" s="83" t="n"/>
      <c r="H757" s="83" t="n"/>
      <c r="S757">
        <f>IF(22&lt;='設定'!$B$6,"表示","隠す")</f>
        <v/>
      </c>
    </row>
    <row r="758" hidden="1" ht="21" customHeight="1">
      <c r="A758" s="82" t="n"/>
      <c r="B758" s="47">
        <f>'設定'!$I$33</f>
        <v/>
      </c>
      <c r="C758" s="83" t="n"/>
      <c r="D758" s="83" t="n"/>
      <c r="E758" s="83" t="n"/>
      <c r="F758" s="83" t="n"/>
      <c r="G758" s="83" t="n"/>
      <c r="H758" s="83" t="n"/>
      <c r="S758">
        <f>IF(23&lt;='設定'!$B$6,"表示","隠す")</f>
        <v/>
      </c>
    </row>
    <row r="759" hidden="1" ht="21" customHeight="1">
      <c r="A759" s="82" t="n"/>
      <c r="B759" s="47">
        <f>'設定'!$I$34</f>
        <v/>
      </c>
      <c r="C759" s="83" t="n"/>
      <c r="D759" s="83" t="n"/>
      <c r="E759" s="83" t="n"/>
      <c r="F759" s="83" t="n"/>
      <c r="G759" s="83" t="n"/>
      <c r="H759" s="83" t="n"/>
      <c r="S759">
        <f>IF(24&lt;='設定'!$B$6,"表示","隠す")</f>
        <v/>
      </c>
    </row>
    <row r="760">
      <c r="S760" t="inlineStr">
        <is>
          <t>表示</t>
        </is>
      </c>
    </row>
    <row r="761" ht="26" customHeight="1">
      <c r="B761" s="76">
        <f>IF('名簿'!B32="","（名簿 28行目：なし）",'名簿'!P32)</f>
        <v/>
      </c>
      <c r="C761" s="5" t="n"/>
      <c r="D761" s="5" t="n"/>
      <c r="E761" s="77" t="inlineStr">
        <is>
          <t>提出状況 ▶</t>
        </is>
      </c>
      <c r="F761" s="43" t="n"/>
      <c r="G761" s="34" t="n"/>
      <c r="H761" s="78" t="inlineStr">
        <is>
          <t>状況：</t>
        </is>
      </c>
      <c r="I761" s="79">
        <f>'名簿'!Q32</f>
        <v/>
      </c>
      <c r="J761" s="78" t="inlineStr">
        <is>
          <t>×の数：</t>
        </is>
      </c>
      <c r="K761" s="80">
        <f>'名簿'!R32</f>
        <v/>
      </c>
      <c r="L761" s="81">
        <f>HYPERLINK("#'×入力'!B789","次の人へ ▼")</f>
        <v/>
      </c>
      <c r="S761" t="inlineStr">
        <is>
          <t>表示</t>
        </is>
      </c>
    </row>
    <row r="762" ht="22" customHeight="1">
      <c r="A762" s="35" t="inlineStr">
        <is>
          <t>この日全部 ▶</t>
        </is>
      </c>
      <c r="C762" s="82" t="n"/>
      <c r="D762" s="82" t="n"/>
      <c r="E762" s="82" t="n"/>
      <c r="F762" s="82" t="n"/>
      <c r="G762" s="82" t="n"/>
      <c r="H762" s="82" t="n"/>
      <c r="S762" t="inlineStr">
        <is>
          <t>表示</t>
        </is>
      </c>
    </row>
    <row r="763" ht="28" customHeight="1">
      <c r="A763" s="38" t="inlineStr">
        <is>
          <t>この時間
全部 ▼</t>
        </is>
      </c>
      <c r="B763" s="39" t="inlineStr"/>
      <c r="C763" s="40">
        <f>'設定'!$E$11</f>
        <v/>
      </c>
      <c r="D763" s="40">
        <f>'設定'!$E$12</f>
        <v/>
      </c>
      <c r="E763" s="40">
        <f>'設定'!$E$13</f>
        <v/>
      </c>
      <c r="F763" s="40">
        <f>'設定'!$E$14</f>
        <v/>
      </c>
      <c r="G763" s="40">
        <f>'設定'!$E$15</f>
        <v/>
      </c>
      <c r="H763" s="40">
        <f>'設定'!$E$16</f>
        <v/>
      </c>
      <c r="S763" t="inlineStr">
        <is>
          <t>表示</t>
        </is>
      </c>
    </row>
    <row r="764" ht="21" customHeight="1">
      <c r="A764" s="82" t="n"/>
      <c r="B764" s="47">
        <f>'設定'!$I$11</f>
        <v/>
      </c>
      <c r="C764" s="83" t="n"/>
      <c r="D764" s="83" t="inlineStr">
        <is>
          <t>×</t>
        </is>
      </c>
      <c r="E764" s="83" t="n"/>
      <c r="F764" s="83" t="n"/>
      <c r="G764" s="83" t="inlineStr">
        <is>
          <t>×</t>
        </is>
      </c>
      <c r="H764" s="83" t="n"/>
      <c r="S764">
        <f>IF(1&lt;='設定'!$B$6,"表示","隠す")</f>
        <v/>
      </c>
    </row>
    <row r="765" ht="21" customHeight="1">
      <c r="A765" s="82" t="n"/>
      <c r="B765" s="47">
        <f>'設定'!$I$12</f>
        <v/>
      </c>
      <c r="C765" s="83" t="n"/>
      <c r="D765" s="83" t="n"/>
      <c r="E765" s="83" t="n"/>
      <c r="F765" s="83" t="n"/>
      <c r="G765" s="83" t="n"/>
      <c r="H765" s="83" t="n"/>
      <c r="S765">
        <f>IF(2&lt;='設定'!$B$6,"表示","隠す")</f>
        <v/>
      </c>
    </row>
    <row r="766" ht="21" customHeight="1">
      <c r="A766" s="82" t="n"/>
      <c r="B766" s="47">
        <f>'設定'!$I$13</f>
        <v/>
      </c>
      <c r="C766" s="83" t="n"/>
      <c r="D766" s="83" t="n"/>
      <c r="E766" s="83" t="n"/>
      <c r="F766" s="83" t="n"/>
      <c r="G766" s="83" t="inlineStr">
        <is>
          <t>×</t>
        </is>
      </c>
      <c r="H766" s="83" t="n"/>
      <c r="S766">
        <f>IF(3&lt;='設定'!$B$6,"表示","隠す")</f>
        <v/>
      </c>
    </row>
    <row r="767" ht="21" customHeight="1">
      <c r="A767" s="82" t="n"/>
      <c r="B767" s="47">
        <f>'設定'!$I$14</f>
        <v/>
      </c>
      <c r="C767" s="83" t="n"/>
      <c r="D767" s="83" t="n"/>
      <c r="E767" s="83" t="inlineStr">
        <is>
          <t>×</t>
        </is>
      </c>
      <c r="F767" s="83" t="n"/>
      <c r="G767" s="83" t="n"/>
      <c r="H767" s="83" t="n"/>
      <c r="S767">
        <f>IF(4&lt;='設定'!$B$6,"表示","隠す")</f>
        <v/>
      </c>
    </row>
    <row r="768" ht="21" customHeight="1">
      <c r="A768" s="82" t="n"/>
      <c r="B768" s="47">
        <f>'設定'!$I$15</f>
        <v/>
      </c>
      <c r="C768" s="83" t="n"/>
      <c r="D768" s="83" t="n"/>
      <c r="E768" s="83" t="n"/>
      <c r="F768" s="83" t="n"/>
      <c r="G768" s="83" t="n"/>
      <c r="H768" s="83" t="n"/>
      <c r="S768">
        <f>IF(5&lt;='設定'!$B$6,"表示","隠す")</f>
        <v/>
      </c>
    </row>
    <row r="769" ht="21" customHeight="1">
      <c r="A769" s="82" t="n"/>
      <c r="B769" s="47">
        <f>'設定'!$I$16</f>
        <v/>
      </c>
      <c r="C769" s="83" t="inlineStr">
        <is>
          <t>×</t>
        </is>
      </c>
      <c r="D769" s="83" t="inlineStr">
        <is>
          <t>×</t>
        </is>
      </c>
      <c r="E769" s="83" t="n"/>
      <c r="F769" s="83" t="inlineStr">
        <is>
          <t>×</t>
        </is>
      </c>
      <c r="G769" s="83" t="n"/>
      <c r="H769" s="83" t="n"/>
      <c r="S769">
        <f>IF(6&lt;='設定'!$B$6,"表示","隠す")</f>
        <v/>
      </c>
    </row>
    <row r="770" ht="21" customHeight="1">
      <c r="A770" s="82" t="n"/>
      <c r="B770" s="47">
        <f>'設定'!$I$17</f>
        <v/>
      </c>
      <c r="C770" s="83" t="n"/>
      <c r="D770" s="83" t="n"/>
      <c r="E770" s="83" t="n"/>
      <c r="F770" s="83" t="n"/>
      <c r="G770" s="83" t="n"/>
      <c r="H770" s="83" t="n"/>
      <c r="S770">
        <f>IF(7&lt;='設定'!$B$6,"表示","隠す")</f>
        <v/>
      </c>
    </row>
    <row r="771" ht="21" customHeight="1">
      <c r="A771" s="82" t="n"/>
      <c r="B771" s="47">
        <f>'設定'!$I$18</f>
        <v/>
      </c>
      <c r="C771" s="83" t="n"/>
      <c r="D771" s="83" t="n"/>
      <c r="E771" s="83" t="n"/>
      <c r="F771" s="83" t="n"/>
      <c r="G771" s="83" t="n"/>
      <c r="H771" s="83" t="n"/>
      <c r="S771">
        <f>IF(8&lt;='設定'!$B$6,"表示","隠す")</f>
        <v/>
      </c>
    </row>
    <row r="772" ht="21" customHeight="1">
      <c r="A772" s="82" t="n"/>
      <c r="B772" s="47">
        <f>'設定'!$I$19</f>
        <v/>
      </c>
      <c r="C772" s="83" t="inlineStr">
        <is>
          <t>×</t>
        </is>
      </c>
      <c r="D772" s="83" t="n"/>
      <c r="E772" s="83" t="n"/>
      <c r="F772" s="83" t="n"/>
      <c r="G772" s="83" t="n"/>
      <c r="H772" s="83" t="n"/>
      <c r="S772">
        <f>IF(9&lt;='設定'!$B$6,"表示","隠す")</f>
        <v/>
      </c>
    </row>
    <row r="773" hidden="1" ht="21" customHeight="1">
      <c r="A773" s="82" t="n"/>
      <c r="B773" s="47">
        <f>'設定'!$I$20</f>
        <v/>
      </c>
      <c r="C773" s="83" t="n"/>
      <c r="D773" s="83" t="n"/>
      <c r="E773" s="83" t="n"/>
      <c r="F773" s="83" t="n"/>
      <c r="G773" s="83" t="n"/>
      <c r="H773" s="83" t="n"/>
      <c r="S773">
        <f>IF(10&lt;='設定'!$B$6,"表示","隠す")</f>
        <v/>
      </c>
    </row>
    <row r="774" hidden="1" ht="21" customHeight="1">
      <c r="A774" s="82" t="n"/>
      <c r="B774" s="47">
        <f>'設定'!$I$21</f>
        <v/>
      </c>
      <c r="C774" s="83" t="n"/>
      <c r="D774" s="83" t="n"/>
      <c r="E774" s="83" t="n"/>
      <c r="F774" s="83" t="n"/>
      <c r="G774" s="83" t="n"/>
      <c r="H774" s="83" t="n"/>
      <c r="S774">
        <f>IF(11&lt;='設定'!$B$6,"表示","隠す")</f>
        <v/>
      </c>
    </row>
    <row r="775" hidden="1" ht="21" customHeight="1">
      <c r="A775" s="82" t="n"/>
      <c r="B775" s="47">
        <f>'設定'!$I$22</f>
        <v/>
      </c>
      <c r="C775" s="83" t="n"/>
      <c r="D775" s="83" t="n"/>
      <c r="E775" s="83" t="n"/>
      <c r="F775" s="83" t="n"/>
      <c r="G775" s="83" t="n"/>
      <c r="H775" s="83" t="n"/>
      <c r="S775">
        <f>IF(12&lt;='設定'!$B$6,"表示","隠す")</f>
        <v/>
      </c>
    </row>
    <row r="776" hidden="1" ht="21" customHeight="1">
      <c r="A776" s="82" t="n"/>
      <c r="B776" s="47">
        <f>'設定'!$I$23</f>
        <v/>
      </c>
      <c r="C776" s="83" t="n"/>
      <c r="D776" s="83" t="n"/>
      <c r="E776" s="83" t="n"/>
      <c r="F776" s="83" t="n"/>
      <c r="G776" s="83" t="n"/>
      <c r="H776" s="83" t="n"/>
      <c r="S776">
        <f>IF(13&lt;='設定'!$B$6,"表示","隠す")</f>
        <v/>
      </c>
    </row>
    <row r="777" hidden="1" ht="21" customHeight="1">
      <c r="A777" s="82" t="n"/>
      <c r="B777" s="47">
        <f>'設定'!$I$24</f>
        <v/>
      </c>
      <c r="C777" s="83" t="n"/>
      <c r="D777" s="83" t="n"/>
      <c r="E777" s="83" t="n"/>
      <c r="F777" s="83" t="n"/>
      <c r="G777" s="83" t="n"/>
      <c r="H777" s="83" t="n"/>
      <c r="S777">
        <f>IF(14&lt;='設定'!$B$6,"表示","隠す")</f>
        <v/>
      </c>
    </row>
    <row r="778" hidden="1" ht="21" customHeight="1">
      <c r="A778" s="82" t="n"/>
      <c r="B778" s="47">
        <f>'設定'!$I$25</f>
        <v/>
      </c>
      <c r="C778" s="83" t="n"/>
      <c r="D778" s="83" t="n"/>
      <c r="E778" s="83" t="n"/>
      <c r="F778" s="83" t="n"/>
      <c r="G778" s="83" t="n"/>
      <c r="H778" s="83" t="n"/>
      <c r="S778">
        <f>IF(15&lt;='設定'!$B$6,"表示","隠す")</f>
        <v/>
      </c>
    </row>
    <row r="779" hidden="1" ht="21" customHeight="1">
      <c r="A779" s="82" t="n"/>
      <c r="B779" s="47">
        <f>'設定'!$I$26</f>
        <v/>
      </c>
      <c r="C779" s="83" t="n"/>
      <c r="D779" s="83" t="n"/>
      <c r="E779" s="83" t="n"/>
      <c r="F779" s="83" t="n"/>
      <c r="G779" s="83" t="n"/>
      <c r="H779" s="83" t="n"/>
      <c r="S779">
        <f>IF(16&lt;='設定'!$B$6,"表示","隠す")</f>
        <v/>
      </c>
    </row>
    <row r="780" hidden="1" ht="21" customHeight="1">
      <c r="A780" s="82" t="n"/>
      <c r="B780" s="47">
        <f>'設定'!$I$27</f>
        <v/>
      </c>
      <c r="C780" s="83" t="n"/>
      <c r="D780" s="83" t="n"/>
      <c r="E780" s="83" t="n"/>
      <c r="F780" s="83" t="n"/>
      <c r="G780" s="83" t="n"/>
      <c r="H780" s="83" t="n"/>
      <c r="S780">
        <f>IF(17&lt;='設定'!$B$6,"表示","隠す")</f>
        <v/>
      </c>
    </row>
    <row r="781" hidden="1" ht="21" customHeight="1">
      <c r="A781" s="82" t="n"/>
      <c r="B781" s="47">
        <f>'設定'!$I$28</f>
        <v/>
      </c>
      <c r="C781" s="83" t="n"/>
      <c r="D781" s="83" t="n"/>
      <c r="E781" s="83" t="n"/>
      <c r="F781" s="83" t="n"/>
      <c r="G781" s="83" t="n"/>
      <c r="H781" s="83" t="n"/>
      <c r="S781">
        <f>IF(18&lt;='設定'!$B$6,"表示","隠す")</f>
        <v/>
      </c>
    </row>
    <row r="782" hidden="1" ht="21" customHeight="1">
      <c r="A782" s="82" t="n"/>
      <c r="B782" s="47">
        <f>'設定'!$I$29</f>
        <v/>
      </c>
      <c r="C782" s="83" t="n"/>
      <c r="D782" s="83" t="n"/>
      <c r="E782" s="83" t="n"/>
      <c r="F782" s="83" t="n"/>
      <c r="G782" s="83" t="n"/>
      <c r="H782" s="83" t="n"/>
      <c r="S782">
        <f>IF(19&lt;='設定'!$B$6,"表示","隠す")</f>
        <v/>
      </c>
    </row>
    <row r="783" hidden="1" ht="21" customHeight="1">
      <c r="A783" s="82" t="n"/>
      <c r="B783" s="47">
        <f>'設定'!$I$30</f>
        <v/>
      </c>
      <c r="C783" s="83" t="n"/>
      <c r="D783" s="83" t="n"/>
      <c r="E783" s="83" t="n"/>
      <c r="F783" s="83" t="n"/>
      <c r="G783" s="83" t="n"/>
      <c r="H783" s="83" t="n"/>
      <c r="S783">
        <f>IF(20&lt;='設定'!$B$6,"表示","隠す")</f>
        <v/>
      </c>
    </row>
    <row r="784" hidden="1" ht="21" customHeight="1">
      <c r="A784" s="82" t="n"/>
      <c r="B784" s="47">
        <f>'設定'!$I$31</f>
        <v/>
      </c>
      <c r="C784" s="83" t="n"/>
      <c r="D784" s="83" t="n"/>
      <c r="E784" s="83" t="n"/>
      <c r="F784" s="83" t="n"/>
      <c r="G784" s="83" t="n"/>
      <c r="H784" s="83" t="n"/>
      <c r="S784">
        <f>IF(21&lt;='設定'!$B$6,"表示","隠す")</f>
        <v/>
      </c>
    </row>
    <row r="785" hidden="1" ht="21" customHeight="1">
      <c r="A785" s="82" t="n"/>
      <c r="B785" s="47">
        <f>'設定'!$I$32</f>
        <v/>
      </c>
      <c r="C785" s="83" t="n"/>
      <c r="D785" s="83" t="n"/>
      <c r="E785" s="83" t="n"/>
      <c r="F785" s="83" t="n"/>
      <c r="G785" s="83" t="n"/>
      <c r="H785" s="83" t="n"/>
      <c r="S785">
        <f>IF(22&lt;='設定'!$B$6,"表示","隠す")</f>
        <v/>
      </c>
    </row>
    <row r="786" hidden="1" ht="21" customHeight="1">
      <c r="A786" s="82" t="n"/>
      <c r="B786" s="47">
        <f>'設定'!$I$33</f>
        <v/>
      </c>
      <c r="C786" s="83" t="n"/>
      <c r="D786" s="83" t="n"/>
      <c r="E786" s="83" t="n"/>
      <c r="F786" s="83" t="n"/>
      <c r="G786" s="83" t="n"/>
      <c r="H786" s="83" t="n"/>
      <c r="S786">
        <f>IF(23&lt;='設定'!$B$6,"表示","隠す")</f>
        <v/>
      </c>
    </row>
    <row r="787" hidden="1" ht="21" customHeight="1">
      <c r="A787" s="82" t="n"/>
      <c r="B787" s="47">
        <f>'設定'!$I$34</f>
        <v/>
      </c>
      <c r="C787" s="83" t="n"/>
      <c r="D787" s="83" t="n"/>
      <c r="E787" s="83" t="n"/>
      <c r="F787" s="83" t="n"/>
      <c r="G787" s="83" t="n"/>
      <c r="H787" s="83" t="n"/>
      <c r="S787">
        <f>IF(24&lt;='設定'!$B$6,"表示","隠す")</f>
        <v/>
      </c>
    </row>
    <row r="788">
      <c r="S788" t="inlineStr">
        <is>
          <t>表示</t>
        </is>
      </c>
    </row>
    <row r="789" ht="26" customHeight="1">
      <c r="B789" s="76">
        <f>IF('名簿'!B33="","（名簿 29行目：なし）",'名簿'!P33)</f>
        <v/>
      </c>
      <c r="C789" s="5" t="n"/>
      <c r="D789" s="5" t="n"/>
      <c r="E789" s="77" t="inlineStr">
        <is>
          <t>提出状況 ▶</t>
        </is>
      </c>
      <c r="F789" s="43" t="n"/>
      <c r="G789" s="34" t="n"/>
      <c r="H789" s="78" t="inlineStr">
        <is>
          <t>状況：</t>
        </is>
      </c>
      <c r="I789" s="79">
        <f>'名簿'!Q33</f>
        <v/>
      </c>
      <c r="J789" s="78" t="inlineStr">
        <is>
          <t>×の数：</t>
        </is>
      </c>
      <c r="K789" s="80">
        <f>'名簿'!R33</f>
        <v/>
      </c>
      <c r="L789" s="81">
        <f>HYPERLINK("#'×入力'!B817","次の人へ ▼")</f>
        <v/>
      </c>
      <c r="S789" t="inlineStr">
        <is>
          <t>表示</t>
        </is>
      </c>
    </row>
    <row r="790" ht="22" customHeight="1">
      <c r="A790" s="35" t="inlineStr">
        <is>
          <t>この日全部 ▶</t>
        </is>
      </c>
      <c r="C790" s="82" t="n"/>
      <c r="D790" s="82" t="n"/>
      <c r="E790" s="82" t="n"/>
      <c r="F790" s="82" t="n"/>
      <c r="G790" s="82" t="n"/>
      <c r="H790" s="82" t="n"/>
      <c r="S790" t="inlineStr">
        <is>
          <t>表示</t>
        </is>
      </c>
    </row>
    <row r="791" ht="28" customHeight="1">
      <c r="A791" s="38" t="inlineStr">
        <is>
          <t>この時間
全部 ▼</t>
        </is>
      </c>
      <c r="B791" s="39" t="inlineStr"/>
      <c r="C791" s="40">
        <f>'設定'!$E$11</f>
        <v/>
      </c>
      <c r="D791" s="40">
        <f>'設定'!$E$12</f>
        <v/>
      </c>
      <c r="E791" s="40">
        <f>'設定'!$E$13</f>
        <v/>
      </c>
      <c r="F791" s="40">
        <f>'設定'!$E$14</f>
        <v/>
      </c>
      <c r="G791" s="40">
        <f>'設定'!$E$15</f>
        <v/>
      </c>
      <c r="H791" s="40">
        <f>'設定'!$E$16</f>
        <v/>
      </c>
      <c r="S791" t="inlineStr">
        <is>
          <t>表示</t>
        </is>
      </c>
    </row>
    <row r="792" ht="21" customHeight="1">
      <c r="A792" s="82" t="n"/>
      <c r="B792" s="47">
        <f>'設定'!$I$11</f>
        <v/>
      </c>
      <c r="C792" s="83" t="n"/>
      <c r="D792" s="83" t="n"/>
      <c r="E792" s="83" t="n"/>
      <c r="F792" s="83" t="n"/>
      <c r="G792" s="83" t="n"/>
      <c r="H792" s="83" t="n"/>
      <c r="S792">
        <f>IF(1&lt;='設定'!$B$6,"表示","隠す")</f>
        <v/>
      </c>
    </row>
    <row r="793" ht="21" customHeight="1">
      <c r="A793" s="82" t="n"/>
      <c r="B793" s="47">
        <f>'設定'!$I$12</f>
        <v/>
      </c>
      <c r="C793" s="83" t="n"/>
      <c r="D793" s="83" t="n"/>
      <c r="E793" s="83" t="n"/>
      <c r="F793" s="83" t="inlineStr">
        <is>
          <t>×</t>
        </is>
      </c>
      <c r="G793" s="83" t="n"/>
      <c r="H793" s="83" t="n"/>
      <c r="S793">
        <f>IF(2&lt;='設定'!$B$6,"表示","隠す")</f>
        <v/>
      </c>
    </row>
    <row r="794" ht="21" customHeight="1">
      <c r="A794" s="82" t="n"/>
      <c r="B794" s="47">
        <f>'設定'!$I$13</f>
        <v/>
      </c>
      <c r="C794" s="83" t="n"/>
      <c r="D794" s="83" t="n"/>
      <c r="E794" s="83" t="n"/>
      <c r="F794" s="83" t="n"/>
      <c r="G794" s="83" t="n"/>
      <c r="H794" s="83" t="n"/>
      <c r="S794">
        <f>IF(3&lt;='設定'!$B$6,"表示","隠す")</f>
        <v/>
      </c>
    </row>
    <row r="795" ht="21" customHeight="1">
      <c r="A795" s="82" t="n"/>
      <c r="B795" s="47">
        <f>'設定'!$I$14</f>
        <v/>
      </c>
      <c r="C795" s="83" t="n"/>
      <c r="D795" s="83" t="n"/>
      <c r="E795" s="83" t="n"/>
      <c r="F795" s="83" t="n"/>
      <c r="G795" s="83" t="n"/>
      <c r="H795" s="83" t="n"/>
      <c r="S795">
        <f>IF(4&lt;='設定'!$B$6,"表示","隠す")</f>
        <v/>
      </c>
    </row>
    <row r="796" ht="21" customHeight="1">
      <c r="A796" s="82" t="n"/>
      <c r="B796" s="47">
        <f>'設定'!$I$15</f>
        <v/>
      </c>
      <c r="C796" s="83" t="n"/>
      <c r="D796" s="83" t="n"/>
      <c r="E796" s="83" t="inlineStr">
        <is>
          <t>×</t>
        </is>
      </c>
      <c r="F796" s="83" t="n"/>
      <c r="G796" s="83" t="n"/>
      <c r="H796" s="83" t="n"/>
      <c r="S796">
        <f>IF(5&lt;='設定'!$B$6,"表示","隠す")</f>
        <v/>
      </c>
    </row>
    <row r="797" ht="21" customHeight="1">
      <c r="A797" s="82" t="n"/>
      <c r="B797" s="47">
        <f>'設定'!$I$16</f>
        <v/>
      </c>
      <c r="C797" s="83" t="inlineStr">
        <is>
          <t>×</t>
        </is>
      </c>
      <c r="D797" s="83" t="inlineStr">
        <is>
          <t>×</t>
        </is>
      </c>
      <c r="E797" s="83" t="inlineStr">
        <is>
          <t>×</t>
        </is>
      </c>
      <c r="F797" s="83" t="inlineStr">
        <is>
          <t>×</t>
        </is>
      </c>
      <c r="G797" s="83" t="inlineStr">
        <is>
          <t>×</t>
        </is>
      </c>
      <c r="H797" s="83" t="n"/>
      <c r="S797">
        <f>IF(6&lt;='設定'!$B$6,"表示","隠す")</f>
        <v/>
      </c>
    </row>
    <row r="798" ht="21" customHeight="1">
      <c r="A798" s="82" t="n"/>
      <c r="B798" s="47">
        <f>'設定'!$I$17</f>
        <v/>
      </c>
      <c r="C798" s="83" t="inlineStr">
        <is>
          <t>×</t>
        </is>
      </c>
      <c r="D798" s="83" t="inlineStr">
        <is>
          <t>×</t>
        </is>
      </c>
      <c r="E798" s="83" t="inlineStr">
        <is>
          <t>×</t>
        </is>
      </c>
      <c r="F798" s="83" t="inlineStr">
        <is>
          <t>×</t>
        </is>
      </c>
      <c r="G798" s="83" t="inlineStr">
        <is>
          <t>×</t>
        </is>
      </c>
      <c r="H798" s="83" t="n"/>
      <c r="S798">
        <f>IF(7&lt;='設定'!$B$6,"表示","隠す")</f>
        <v/>
      </c>
    </row>
    <row r="799" ht="21" customHeight="1">
      <c r="A799" s="82" t="n"/>
      <c r="B799" s="47">
        <f>'設定'!$I$18</f>
        <v/>
      </c>
      <c r="C799" s="83" t="inlineStr">
        <is>
          <t>×</t>
        </is>
      </c>
      <c r="D799" s="83" t="inlineStr">
        <is>
          <t>×</t>
        </is>
      </c>
      <c r="E799" s="83" t="inlineStr">
        <is>
          <t>×</t>
        </is>
      </c>
      <c r="F799" s="83" t="inlineStr">
        <is>
          <t>×</t>
        </is>
      </c>
      <c r="G799" s="83" t="inlineStr">
        <is>
          <t>×</t>
        </is>
      </c>
      <c r="H799" s="83" t="n"/>
      <c r="S799">
        <f>IF(8&lt;='設定'!$B$6,"表示","隠す")</f>
        <v/>
      </c>
    </row>
    <row r="800" ht="21" customHeight="1">
      <c r="A800" s="82" t="n"/>
      <c r="B800" s="47">
        <f>'設定'!$I$19</f>
        <v/>
      </c>
      <c r="C800" s="83" t="inlineStr">
        <is>
          <t>×</t>
        </is>
      </c>
      <c r="D800" s="83" t="inlineStr">
        <is>
          <t>×</t>
        </is>
      </c>
      <c r="E800" s="83" t="inlineStr">
        <is>
          <t>×</t>
        </is>
      </c>
      <c r="F800" s="83" t="inlineStr">
        <is>
          <t>×</t>
        </is>
      </c>
      <c r="G800" s="83" t="inlineStr">
        <is>
          <t>×</t>
        </is>
      </c>
      <c r="H800" s="83" t="n"/>
      <c r="S800">
        <f>IF(9&lt;='設定'!$B$6,"表示","隠す")</f>
        <v/>
      </c>
    </row>
    <row r="801" hidden="1" ht="21" customHeight="1">
      <c r="A801" s="82" t="n"/>
      <c r="B801" s="47">
        <f>'設定'!$I$20</f>
        <v/>
      </c>
      <c r="C801" s="83" t="n"/>
      <c r="D801" s="83" t="n"/>
      <c r="E801" s="83" t="n"/>
      <c r="F801" s="83" t="n"/>
      <c r="G801" s="83" t="n"/>
      <c r="H801" s="83" t="n"/>
      <c r="S801">
        <f>IF(10&lt;='設定'!$B$6,"表示","隠す")</f>
        <v/>
      </c>
    </row>
    <row r="802" hidden="1" ht="21" customHeight="1">
      <c r="A802" s="82" t="n"/>
      <c r="B802" s="47">
        <f>'設定'!$I$21</f>
        <v/>
      </c>
      <c r="C802" s="83" t="n"/>
      <c r="D802" s="83" t="n"/>
      <c r="E802" s="83" t="n"/>
      <c r="F802" s="83" t="n"/>
      <c r="G802" s="83" t="n"/>
      <c r="H802" s="83" t="n"/>
      <c r="S802">
        <f>IF(11&lt;='設定'!$B$6,"表示","隠す")</f>
        <v/>
      </c>
    </row>
    <row r="803" hidden="1" ht="21" customHeight="1">
      <c r="A803" s="82" t="n"/>
      <c r="B803" s="47">
        <f>'設定'!$I$22</f>
        <v/>
      </c>
      <c r="C803" s="83" t="n"/>
      <c r="D803" s="83" t="n"/>
      <c r="E803" s="83" t="n"/>
      <c r="F803" s="83" t="n"/>
      <c r="G803" s="83" t="n"/>
      <c r="H803" s="83" t="n"/>
      <c r="S803">
        <f>IF(12&lt;='設定'!$B$6,"表示","隠す")</f>
        <v/>
      </c>
    </row>
    <row r="804" hidden="1" ht="21" customHeight="1">
      <c r="A804" s="82" t="n"/>
      <c r="B804" s="47">
        <f>'設定'!$I$23</f>
        <v/>
      </c>
      <c r="C804" s="83" t="n"/>
      <c r="D804" s="83" t="n"/>
      <c r="E804" s="83" t="n"/>
      <c r="F804" s="83" t="n"/>
      <c r="G804" s="83" t="n"/>
      <c r="H804" s="83" t="n"/>
      <c r="S804">
        <f>IF(13&lt;='設定'!$B$6,"表示","隠す")</f>
        <v/>
      </c>
    </row>
    <row r="805" hidden="1" ht="21" customHeight="1">
      <c r="A805" s="82" t="n"/>
      <c r="B805" s="47">
        <f>'設定'!$I$24</f>
        <v/>
      </c>
      <c r="C805" s="83" t="n"/>
      <c r="D805" s="83" t="n"/>
      <c r="E805" s="83" t="n"/>
      <c r="F805" s="83" t="n"/>
      <c r="G805" s="83" t="n"/>
      <c r="H805" s="83" t="n"/>
      <c r="S805">
        <f>IF(14&lt;='設定'!$B$6,"表示","隠す")</f>
        <v/>
      </c>
    </row>
    <row r="806" hidden="1" ht="21" customHeight="1">
      <c r="A806" s="82" t="n"/>
      <c r="B806" s="47">
        <f>'設定'!$I$25</f>
        <v/>
      </c>
      <c r="C806" s="83" t="n"/>
      <c r="D806" s="83" t="n"/>
      <c r="E806" s="83" t="n"/>
      <c r="F806" s="83" t="n"/>
      <c r="G806" s="83" t="n"/>
      <c r="H806" s="83" t="n"/>
      <c r="S806">
        <f>IF(15&lt;='設定'!$B$6,"表示","隠す")</f>
        <v/>
      </c>
    </row>
    <row r="807" hidden="1" ht="21" customHeight="1">
      <c r="A807" s="82" t="n"/>
      <c r="B807" s="47">
        <f>'設定'!$I$26</f>
        <v/>
      </c>
      <c r="C807" s="83" t="n"/>
      <c r="D807" s="83" t="n"/>
      <c r="E807" s="83" t="n"/>
      <c r="F807" s="83" t="n"/>
      <c r="G807" s="83" t="n"/>
      <c r="H807" s="83" t="n"/>
      <c r="S807">
        <f>IF(16&lt;='設定'!$B$6,"表示","隠す")</f>
        <v/>
      </c>
    </row>
    <row r="808" hidden="1" ht="21" customHeight="1">
      <c r="A808" s="82" t="n"/>
      <c r="B808" s="47">
        <f>'設定'!$I$27</f>
        <v/>
      </c>
      <c r="C808" s="83" t="n"/>
      <c r="D808" s="83" t="n"/>
      <c r="E808" s="83" t="n"/>
      <c r="F808" s="83" t="n"/>
      <c r="G808" s="83" t="n"/>
      <c r="H808" s="83" t="n"/>
      <c r="S808">
        <f>IF(17&lt;='設定'!$B$6,"表示","隠す")</f>
        <v/>
      </c>
    </row>
    <row r="809" hidden="1" ht="21" customHeight="1">
      <c r="A809" s="82" t="n"/>
      <c r="B809" s="47">
        <f>'設定'!$I$28</f>
        <v/>
      </c>
      <c r="C809" s="83" t="n"/>
      <c r="D809" s="83" t="n"/>
      <c r="E809" s="83" t="n"/>
      <c r="F809" s="83" t="n"/>
      <c r="G809" s="83" t="n"/>
      <c r="H809" s="83" t="n"/>
      <c r="S809">
        <f>IF(18&lt;='設定'!$B$6,"表示","隠す")</f>
        <v/>
      </c>
    </row>
    <row r="810" hidden="1" ht="21" customHeight="1">
      <c r="A810" s="82" t="n"/>
      <c r="B810" s="47">
        <f>'設定'!$I$29</f>
        <v/>
      </c>
      <c r="C810" s="83" t="n"/>
      <c r="D810" s="83" t="n"/>
      <c r="E810" s="83" t="n"/>
      <c r="F810" s="83" t="n"/>
      <c r="G810" s="83" t="n"/>
      <c r="H810" s="83" t="n"/>
      <c r="S810">
        <f>IF(19&lt;='設定'!$B$6,"表示","隠す")</f>
        <v/>
      </c>
    </row>
    <row r="811" hidden="1" ht="21" customHeight="1">
      <c r="A811" s="82" t="n"/>
      <c r="B811" s="47">
        <f>'設定'!$I$30</f>
        <v/>
      </c>
      <c r="C811" s="83" t="n"/>
      <c r="D811" s="83" t="n"/>
      <c r="E811" s="83" t="n"/>
      <c r="F811" s="83" t="n"/>
      <c r="G811" s="83" t="n"/>
      <c r="H811" s="83" t="n"/>
      <c r="S811">
        <f>IF(20&lt;='設定'!$B$6,"表示","隠す")</f>
        <v/>
      </c>
    </row>
    <row r="812" hidden="1" ht="21" customHeight="1">
      <c r="A812" s="82" t="n"/>
      <c r="B812" s="47">
        <f>'設定'!$I$31</f>
        <v/>
      </c>
      <c r="C812" s="83" t="n"/>
      <c r="D812" s="83" t="n"/>
      <c r="E812" s="83" t="n"/>
      <c r="F812" s="83" t="n"/>
      <c r="G812" s="83" t="n"/>
      <c r="H812" s="83" t="n"/>
      <c r="S812">
        <f>IF(21&lt;='設定'!$B$6,"表示","隠す")</f>
        <v/>
      </c>
    </row>
    <row r="813" hidden="1" ht="21" customHeight="1">
      <c r="A813" s="82" t="n"/>
      <c r="B813" s="47">
        <f>'設定'!$I$32</f>
        <v/>
      </c>
      <c r="C813" s="83" t="n"/>
      <c r="D813" s="83" t="n"/>
      <c r="E813" s="83" t="n"/>
      <c r="F813" s="83" t="n"/>
      <c r="G813" s="83" t="n"/>
      <c r="H813" s="83" t="n"/>
      <c r="S813">
        <f>IF(22&lt;='設定'!$B$6,"表示","隠す")</f>
        <v/>
      </c>
    </row>
    <row r="814" hidden="1" ht="21" customHeight="1">
      <c r="A814" s="82" t="n"/>
      <c r="B814" s="47">
        <f>'設定'!$I$33</f>
        <v/>
      </c>
      <c r="C814" s="83" t="n"/>
      <c r="D814" s="83" t="n"/>
      <c r="E814" s="83" t="n"/>
      <c r="F814" s="83" t="n"/>
      <c r="G814" s="83" t="n"/>
      <c r="H814" s="83" t="n"/>
      <c r="S814">
        <f>IF(23&lt;='設定'!$B$6,"表示","隠す")</f>
        <v/>
      </c>
    </row>
    <row r="815" hidden="1" ht="21" customHeight="1">
      <c r="A815" s="82" t="n"/>
      <c r="B815" s="47">
        <f>'設定'!$I$34</f>
        <v/>
      </c>
      <c r="C815" s="83" t="n"/>
      <c r="D815" s="83" t="n"/>
      <c r="E815" s="83" t="n"/>
      <c r="F815" s="83" t="n"/>
      <c r="G815" s="83" t="n"/>
      <c r="H815" s="83" t="n"/>
      <c r="S815">
        <f>IF(24&lt;='設定'!$B$6,"表示","隠す")</f>
        <v/>
      </c>
    </row>
    <row r="816">
      <c r="S816" t="inlineStr">
        <is>
          <t>表示</t>
        </is>
      </c>
    </row>
    <row r="817" ht="26" customHeight="1">
      <c r="B817" s="76">
        <f>IF('名簿'!B34="","（名簿 30行目：なし）",'名簿'!P34)</f>
        <v/>
      </c>
      <c r="C817" s="5" t="n"/>
      <c r="D817" s="5" t="n"/>
      <c r="E817" s="77" t="inlineStr">
        <is>
          <t>提出状況 ▶</t>
        </is>
      </c>
      <c r="F817" s="43" t="n"/>
      <c r="G817" s="34" t="n"/>
      <c r="H817" s="78" t="inlineStr">
        <is>
          <t>状況：</t>
        </is>
      </c>
      <c r="I817" s="79">
        <f>'名簿'!Q34</f>
        <v/>
      </c>
      <c r="J817" s="78" t="inlineStr">
        <is>
          <t>×の数：</t>
        </is>
      </c>
      <c r="K817" s="80">
        <f>'名簿'!R34</f>
        <v/>
      </c>
      <c r="L817" s="81">
        <f>HYPERLINK("#'×入力'!B845","次の人へ ▼")</f>
        <v/>
      </c>
      <c r="S817" t="inlineStr">
        <is>
          <t>表示</t>
        </is>
      </c>
    </row>
    <row r="818" ht="22" customHeight="1">
      <c r="A818" s="35" t="inlineStr">
        <is>
          <t>この日全部 ▶</t>
        </is>
      </c>
      <c r="C818" s="82" t="n"/>
      <c r="D818" s="82" t="n"/>
      <c r="E818" s="82" t="n"/>
      <c r="F818" s="82" t="n"/>
      <c r="G818" s="82" t="n"/>
      <c r="H818" s="82" t="n"/>
      <c r="S818" t="inlineStr">
        <is>
          <t>表示</t>
        </is>
      </c>
    </row>
    <row r="819" ht="28" customHeight="1">
      <c r="A819" s="38" t="inlineStr">
        <is>
          <t>この時間
全部 ▼</t>
        </is>
      </c>
      <c r="B819" s="39" t="inlineStr"/>
      <c r="C819" s="40">
        <f>'設定'!$E$11</f>
        <v/>
      </c>
      <c r="D819" s="40">
        <f>'設定'!$E$12</f>
        <v/>
      </c>
      <c r="E819" s="40">
        <f>'設定'!$E$13</f>
        <v/>
      </c>
      <c r="F819" s="40">
        <f>'設定'!$E$14</f>
        <v/>
      </c>
      <c r="G819" s="40">
        <f>'設定'!$E$15</f>
        <v/>
      </c>
      <c r="H819" s="40">
        <f>'設定'!$E$16</f>
        <v/>
      </c>
      <c r="S819" t="inlineStr">
        <is>
          <t>表示</t>
        </is>
      </c>
    </row>
    <row r="820" ht="21" customHeight="1">
      <c r="A820" s="82" t="n"/>
      <c r="B820" s="47">
        <f>'設定'!$I$11</f>
        <v/>
      </c>
      <c r="C820" s="83" t="inlineStr">
        <is>
          <t>×</t>
        </is>
      </c>
      <c r="D820" s="83" t="inlineStr">
        <is>
          <t>×</t>
        </is>
      </c>
      <c r="E820" s="83" t="inlineStr">
        <is>
          <t>×</t>
        </is>
      </c>
      <c r="F820" s="83" t="inlineStr">
        <is>
          <t>×</t>
        </is>
      </c>
      <c r="G820" s="83" t="inlineStr">
        <is>
          <t>×</t>
        </is>
      </c>
      <c r="H820" s="83" t="n"/>
      <c r="S820">
        <f>IF(1&lt;='設定'!$B$6,"表示","隠す")</f>
        <v/>
      </c>
    </row>
    <row r="821" ht="21" customHeight="1">
      <c r="A821" s="82" t="n"/>
      <c r="B821" s="47">
        <f>'設定'!$I$12</f>
        <v/>
      </c>
      <c r="C821" s="83" t="inlineStr">
        <is>
          <t>×</t>
        </is>
      </c>
      <c r="D821" s="83" t="inlineStr">
        <is>
          <t>×</t>
        </is>
      </c>
      <c r="E821" s="83" t="inlineStr">
        <is>
          <t>×</t>
        </is>
      </c>
      <c r="F821" s="83" t="inlineStr">
        <is>
          <t>×</t>
        </is>
      </c>
      <c r="G821" s="83" t="inlineStr">
        <is>
          <t>×</t>
        </is>
      </c>
      <c r="H821" s="83" t="n"/>
      <c r="S821">
        <f>IF(2&lt;='設定'!$B$6,"表示","隠す")</f>
        <v/>
      </c>
    </row>
    <row r="822" ht="21" customHeight="1">
      <c r="A822" s="82" t="n"/>
      <c r="B822" s="47">
        <f>'設定'!$I$13</f>
        <v/>
      </c>
      <c r="C822" s="83" t="inlineStr">
        <is>
          <t>×</t>
        </is>
      </c>
      <c r="D822" s="83" t="inlineStr">
        <is>
          <t>×</t>
        </is>
      </c>
      <c r="E822" s="83" t="inlineStr">
        <is>
          <t>×</t>
        </is>
      </c>
      <c r="F822" s="83" t="inlineStr">
        <is>
          <t>×</t>
        </is>
      </c>
      <c r="G822" s="83" t="inlineStr">
        <is>
          <t>×</t>
        </is>
      </c>
      <c r="H822" s="83" t="n"/>
      <c r="S822">
        <f>IF(3&lt;='設定'!$B$6,"表示","隠す")</f>
        <v/>
      </c>
    </row>
    <row r="823" ht="21" customHeight="1">
      <c r="A823" s="82" t="n"/>
      <c r="B823" s="47">
        <f>'設定'!$I$14</f>
        <v/>
      </c>
      <c r="C823" s="83" t="inlineStr">
        <is>
          <t>×</t>
        </is>
      </c>
      <c r="D823" s="83" t="inlineStr">
        <is>
          <t>×</t>
        </is>
      </c>
      <c r="E823" s="83" t="inlineStr">
        <is>
          <t>×</t>
        </is>
      </c>
      <c r="F823" s="83" t="inlineStr">
        <is>
          <t>×</t>
        </is>
      </c>
      <c r="G823" s="83" t="inlineStr">
        <is>
          <t>×</t>
        </is>
      </c>
      <c r="H823" s="83" t="n"/>
      <c r="S823">
        <f>IF(4&lt;='設定'!$B$6,"表示","隠す")</f>
        <v/>
      </c>
    </row>
    <row r="824" ht="21" customHeight="1">
      <c r="A824" s="82" t="n"/>
      <c r="B824" s="47">
        <f>'設定'!$I$15</f>
        <v/>
      </c>
      <c r="C824" s="83" t="inlineStr">
        <is>
          <t>×</t>
        </is>
      </c>
      <c r="D824" s="83" t="inlineStr">
        <is>
          <t>×</t>
        </is>
      </c>
      <c r="E824" s="83" t="inlineStr">
        <is>
          <t>×</t>
        </is>
      </c>
      <c r="F824" s="83" t="inlineStr">
        <is>
          <t>×</t>
        </is>
      </c>
      <c r="G824" s="83" t="inlineStr">
        <is>
          <t>×</t>
        </is>
      </c>
      <c r="H824" s="83" t="n"/>
      <c r="S824">
        <f>IF(5&lt;='設定'!$B$6,"表示","隠す")</f>
        <v/>
      </c>
    </row>
    <row r="825" ht="21" customHeight="1">
      <c r="A825" s="82" t="n"/>
      <c r="B825" s="47">
        <f>'設定'!$I$16</f>
        <v/>
      </c>
      <c r="C825" s="83" t="n"/>
      <c r="D825" s="83" t="inlineStr">
        <is>
          <t>×</t>
        </is>
      </c>
      <c r="E825" s="83" t="n"/>
      <c r="F825" s="83" t="inlineStr">
        <is>
          <t>×</t>
        </is>
      </c>
      <c r="G825" s="83" t="n"/>
      <c r="H825" s="83" t="n"/>
      <c r="S825">
        <f>IF(6&lt;='設定'!$B$6,"表示","隠す")</f>
        <v/>
      </c>
    </row>
    <row r="826" ht="21" customHeight="1">
      <c r="A826" s="82" t="n"/>
      <c r="B826" s="47">
        <f>'設定'!$I$17</f>
        <v/>
      </c>
      <c r="C826" s="83" t="n"/>
      <c r="D826" s="83" t="n"/>
      <c r="E826" s="83" t="n"/>
      <c r="F826" s="83" t="n"/>
      <c r="G826" s="83" t="n"/>
      <c r="H826" s="83" t="n"/>
      <c r="S826">
        <f>IF(7&lt;='設定'!$B$6,"表示","隠す")</f>
        <v/>
      </c>
    </row>
    <row r="827" ht="21" customHeight="1">
      <c r="A827" s="82" t="n"/>
      <c r="B827" s="47">
        <f>'設定'!$I$18</f>
        <v/>
      </c>
      <c r="C827" s="83" t="n"/>
      <c r="D827" s="83" t="n"/>
      <c r="E827" s="83" t="n"/>
      <c r="F827" s="83" t="n"/>
      <c r="G827" s="83" t="n"/>
      <c r="H827" s="83" t="n"/>
      <c r="S827">
        <f>IF(8&lt;='設定'!$B$6,"表示","隠す")</f>
        <v/>
      </c>
    </row>
    <row r="828" ht="21" customHeight="1">
      <c r="A828" s="82" t="n"/>
      <c r="B828" s="47">
        <f>'設定'!$I$19</f>
        <v/>
      </c>
      <c r="C828" s="83" t="n"/>
      <c r="D828" s="83" t="n"/>
      <c r="E828" s="83" t="n"/>
      <c r="F828" s="83" t="n"/>
      <c r="G828" s="83" t="inlineStr">
        <is>
          <t>×</t>
        </is>
      </c>
      <c r="H828" s="83" t="n"/>
      <c r="S828">
        <f>IF(9&lt;='設定'!$B$6,"表示","隠す")</f>
        <v/>
      </c>
    </row>
    <row r="829" hidden="1" ht="21" customHeight="1">
      <c r="A829" s="82" t="n"/>
      <c r="B829" s="47">
        <f>'設定'!$I$20</f>
        <v/>
      </c>
      <c r="C829" s="83" t="n"/>
      <c r="D829" s="83" t="n"/>
      <c r="E829" s="83" t="n"/>
      <c r="F829" s="83" t="n"/>
      <c r="G829" s="83" t="n"/>
      <c r="H829" s="83" t="n"/>
      <c r="S829">
        <f>IF(10&lt;='設定'!$B$6,"表示","隠す")</f>
        <v/>
      </c>
    </row>
    <row r="830" hidden="1" ht="21" customHeight="1">
      <c r="A830" s="82" t="n"/>
      <c r="B830" s="47">
        <f>'設定'!$I$21</f>
        <v/>
      </c>
      <c r="C830" s="83" t="n"/>
      <c r="D830" s="83" t="n"/>
      <c r="E830" s="83" t="n"/>
      <c r="F830" s="83" t="n"/>
      <c r="G830" s="83" t="n"/>
      <c r="H830" s="83" t="n"/>
      <c r="S830">
        <f>IF(11&lt;='設定'!$B$6,"表示","隠す")</f>
        <v/>
      </c>
    </row>
    <row r="831" hidden="1" ht="21" customHeight="1">
      <c r="A831" s="82" t="n"/>
      <c r="B831" s="47">
        <f>'設定'!$I$22</f>
        <v/>
      </c>
      <c r="C831" s="83" t="n"/>
      <c r="D831" s="83" t="n"/>
      <c r="E831" s="83" t="n"/>
      <c r="F831" s="83" t="n"/>
      <c r="G831" s="83" t="n"/>
      <c r="H831" s="83" t="n"/>
      <c r="S831">
        <f>IF(12&lt;='設定'!$B$6,"表示","隠す")</f>
        <v/>
      </c>
    </row>
    <row r="832" hidden="1" ht="21" customHeight="1">
      <c r="A832" s="82" t="n"/>
      <c r="B832" s="47">
        <f>'設定'!$I$23</f>
        <v/>
      </c>
      <c r="C832" s="83" t="n"/>
      <c r="D832" s="83" t="n"/>
      <c r="E832" s="83" t="n"/>
      <c r="F832" s="83" t="n"/>
      <c r="G832" s="83" t="n"/>
      <c r="H832" s="83" t="n"/>
      <c r="S832">
        <f>IF(13&lt;='設定'!$B$6,"表示","隠す")</f>
        <v/>
      </c>
    </row>
    <row r="833" hidden="1" ht="21" customHeight="1">
      <c r="A833" s="82" t="n"/>
      <c r="B833" s="47">
        <f>'設定'!$I$24</f>
        <v/>
      </c>
      <c r="C833" s="83" t="n"/>
      <c r="D833" s="83" t="n"/>
      <c r="E833" s="83" t="n"/>
      <c r="F833" s="83" t="n"/>
      <c r="G833" s="83" t="n"/>
      <c r="H833" s="83" t="n"/>
      <c r="S833">
        <f>IF(14&lt;='設定'!$B$6,"表示","隠す")</f>
        <v/>
      </c>
    </row>
    <row r="834" hidden="1" ht="21" customHeight="1">
      <c r="A834" s="82" t="n"/>
      <c r="B834" s="47">
        <f>'設定'!$I$25</f>
        <v/>
      </c>
      <c r="C834" s="83" t="n"/>
      <c r="D834" s="83" t="n"/>
      <c r="E834" s="83" t="n"/>
      <c r="F834" s="83" t="n"/>
      <c r="G834" s="83" t="n"/>
      <c r="H834" s="83" t="n"/>
      <c r="S834">
        <f>IF(15&lt;='設定'!$B$6,"表示","隠す")</f>
        <v/>
      </c>
    </row>
    <row r="835" hidden="1" ht="21" customHeight="1">
      <c r="A835" s="82" t="n"/>
      <c r="B835" s="47">
        <f>'設定'!$I$26</f>
        <v/>
      </c>
      <c r="C835" s="83" t="n"/>
      <c r="D835" s="83" t="n"/>
      <c r="E835" s="83" t="n"/>
      <c r="F835" s="83" t="n"/>
      <c r="G835" s="83" t="n"/>
      <c r="H835" s="83" t="n"/>
      <c r="S835">
        <f>IF(16&lt;='設定'!$B$6,"表示","隠す")</f>
        <v/>
      </c>
    </row>
    <row r="836" hidden="1" ht="21" customHeight="1">
      <c r="A836" s="82" t="n"/>
      <c r="B836" s="47">
        <f>'設定'!$I$27</f>
        <v/>
      </c>
      <c r="C836" s="83" t="n"/>
      <c r="D836" s="83" t="n"/>
      <c r="E836" s="83" t="n"/>
      <c r="F836" s="83" t="n"/>
      <c r="G836" s="83" t="n"/>
      <c r="H836" s="83" t="n"/>
      <c r="S836">
        <f>IF(17&lt;='設定'!$B$6,"表示","隠す")</f>
        <v/>
      </c>
    </row>
    <row r="837" hidden="1" ht="21" customHeight="1">
      <c r="A837" s="82" t="n"/>
      <c r="B837" s="47">
        <f>'設定'!$I$28</f>
        <v/>
      </c>
      <c r="C837" s="83" t="n"/>
      <c r="D837" s="83" t="n"/>
      <c r="E837" s="83" t="n"/>
      <c r="F837" s="83" t="n"/>
      <c r="G837" s="83" t="n"/>
      <c r="H837" s="83" t="n"/>
      <c r="S837">
        <f>IF(18&lt;='設定'!$B$6,"表示","隠す")</f>
        <v/>
      </c>
    </row>
    <row r="838" hidden="1" ht="21" customHeight="1">
      <c r="A838" s="82" t="n"/>
      <c r="B838" s="47">
        <f>'設定'!$I$29</f>
        <v/>
      </c>
      <c r="C838" s="83" t="n"/>
      <c r="D838" s="83" t="n"/>
      <c r="E838" s="83" t="n"/>
      <c r="F838" s="83" t="n"/>
      <c r="G838" s="83" t="n"/>
      <c r="H838" s="83" t="n"/>
      <c r="S838">
        <f>IF(19&lt;='設定'!$B$6,"表示","隠す")</f>
        <v/>
      </c>
    </row>
    <row r="839" hidden="1" ht="21" customHeight="1">
      <c r="A839" s="82" t="n"/>
      <c r="B839" s="47">
        <f>'設定'!$I$30</f>
        <v/>
      </c>
      <c r="C839" s="83" t="n"/>
      <c r="D839" s="83" t="n"/>
      <c r="E839" s="83" t="n"/>
      <c r="F839" s="83" t="n"/>
      <c r="G839" s="83" t="n"/>
      <c r="H839" s="83" t="n"/>
      <c r="S839">
        <f>IF(20&lt;='設定'!$B$6,"表示","隠す")</f>
        <v/>
      </c>
    </row>
    <row r="840" hidden="1" ht="21" customHeight="1">
      <c r="A840" s="82" t="n"/>
      <c r="B840" s="47">
        <f>'設定'!$I$31</f>
        <v/>
      </c>
      <c r="C840" s="83" t="n"/>
      <c r="D840" s="83" t="n"/>
      <c r="E840" s="83" t="n"/>
      <c r="F840" s="83" t="n"/>
      <c r="G840" s="83" t="n"/>
      <c r="H840" s="83" t="n"/>
      <c r="S840">
        <f>IF(21&lt;='設定'!$B$6,"表示","隠す")</f>
        <v/>
      </c>
    </row>
    <row r="841" hidden="1" ht="21" customHeight="1">
      <c r="A841" s="82" t="n"/>
      <c r="B841" s="47">
        <f>'設定'!$I$32</f>
        <v/>
      </c>
      <c r="C841" s="83" t="n"/>
      <c r="D841" s="83" t="n"/>
      <c r="E841" s="83" t="n"/>
      <c r="F841" s="83" t="n"/>
      <c r="G841" s="83" t="n"/>
      <c r="H841" s="83" t="n"/>
      <c r="S841">
        <f>IF(22&lt;='設定'!$B$6,"表示","隠す")</f>
        <v/>
      </c>
    </row>
    <row r="842" hidden="1" ht="21" customHeight="1">
      <c r="A842" s="82" t="n"/>
      <c r="B842" s="47">
        <f>'設定'!$I$33</f>
        <v/>
      </c>
      <c r="C842" s="83" t="n"/>
      <c r="D842" s="83" t="n"/>
      <c r="E842" s="83" t="n"/>
      <c r="F842" s="83" t="n"/>
      <c r="G842" s="83" t="n"/>
      <c r="H842" s="83" t="n"/>
      <c r="S842">
        <f>IF(23&lt;='設定'!$B$6,"表示","隠す")</f>
        <v/>
      </c>
    </row>
    <row r="843" hidden="1" ht="21" customHeight="1">
      <c r="A843" s="82" t="n"/>
      <c r="B843" s="47">
        <f>'設定'!$I$34</f>
        <v/>
      </c>
      <c r="C843" s="83" t="n"/>
      <c r="D843" s="83" t="n"/>
      <c r="E843" s="83" t="n"/>
      <c r="F843" s="83" t="n"/>
      <c r="G843" s="83" t="n"/>
      <c r="H843" s="83" t="n"/>
      <c r="S843">
        <f>IF(24&lt;='設定'!$B$6,"表示","隠す")</f>
        <v/>
      </c>
    </row>
    <row r="844">
      <c r="S844" t="inlineStr">
        <is>
          <t>表示</t>
        </is>
      </c>
    </row>
    <row r="845" ht="26" customHeight="1">
      <c r="B845" s="76">
        <f>IF('名簿'!B35="","（名簿 31行目：なし）",'名簿'!P35)</f>
        <v/>
      </c>
      <c r="C845" s="5" t="n"/>
      <c r="D845" s="5" t="n"/>
      <c r="E845" s="77" t="inlineStr">
        <is>
          <t>提出状況 ▶</t>
        </is>
      </c>
      <c r="F845" s="43" t="inlineStr">
        <is>
          <t>未提出</t>
        </is>
      </c>
      <c r="G845" s="34" t="n"/>
      <c r="H845" s="78" t="inlineStr">
        <is>
          <t>状況：</t>
        </is>
      </c>
      <c r="I845" s="79">
        <f>'名簿'!Q35</f>
        <v/>
      </c>
      <c r="J845" s="78" t="inlineStr">
        <is>
          <t>×の数：</t>
        </is>
      </c>
      <c r="K845" s="80">
        <f>'名簿'!R35</f>
        <v/>
      </c>
      <c r="L845" s="81">
        <f>HYPERLINK("#'×入力'!B873","次の人へ ▼")</f>
        <v/>
      </c>
      <c r="S845" t="inlineStr">
        <is>
          <t>表示</t>
        </is>
      </c>
    </row>
    <row r="846" ht="22" customHeight="1">
      <c r="A846" s="35" t="inlineStr">
        <is>
          <t>この日全部 ▶</t>
        </is>
      </c>
      <c r="C846" s="82" t="n"/>
      <c r="D846" s="82" t="n"/>
      <c r="E846" s="82" t="n"/>
      <c r="F846" s="82" t="n"/>
      <c r="G846" s="82" t="n"/>
      <c r="H846" s="82" t="n"/>
      <c r="S846" t="inlineStr">
        <is>
          <t>表示</t>
        </is>
      </c>
    </row>
    <row r="847" ht="28" customHeight="1">
      <c r="A847" s="38" t="inlineStr">
        <is>
          <t>この時間
全部 ▼</t>
        </is>
      </c>
      <c r="B847" s="39" t="inlineStr"/>
      <c r="C847" s="40">
        <f>'設定'!$E$11</f>
        <v/>
      </c>
      <c r="D847" s="40">
        <f>'設定'!$E$12</f>
        <v/>
      </c>
      <c r="E847" s="40">
        <f>'設定'!$E$13</f>
        <v/>
      </c>
      <c r="F847" s="40">
        <f>'設定'!$E$14</f>
        <v/>
      </c>
      <c r="G847" s="40">
        <f>'設定'!$E$15</f>
        <v/>
      </c>
      <c r="H847" s="40">
        <f>'設定'!$E$16</f>
        <v/>
      </c>
      <c r="S847" t="inlineStr">
        <is>
          <t>表示</t>
        </is>
      </c>
    </row>
    <row r="848" ht="21" customHeight="1">
      <c r="A848" s="82" t="n"/>
      <c r="B848" s="47">
        <f>'設定'!$I$11</f>
        <v/>
      </c>
      <c r="C848" s="83" t="n"/>
      <c r="D848" s="83" t="n"/>
      <c r="E848" s="83" t="n"/>
      <c r="F848" s="83" t="n"/>
      <c r="G848" s="83" t="n"/>
      <c r="H848" s="83" t="n"/>
      <c r="S848">
        <f>IF(1&lt;='設定'!$B$6,"表示","隠す")</f>
        <v/>
      </c>
    </row>
    <row r="849" ht="21" customHeight="1">
      <c r="A849" s="82" t="n"/>
      <c r="B849" s="47">
        <f>'設定'!$I$12</f>
        <v/>
      </c>
      <c r="C849" s="83" t="n"/>
      <c r="D849" s="83" t="n"/>
      <c r="E849" s="83" t="n"/>
      <c r="F849" s="83" t="n"/>
      <c r="G849" s="83" t="n"/>
      <c r="H849" s="83" t="n"/>
      <c r="S849">
        <f>IF(2&lt;='設定'!$B$6,"表示","隠す")</f>
        <v/>
      </c>
    </row>
    <row r="850" ht="21" customHeight="1">
      <c r="A850" s="82" t="n"/>
      <c r="B850" s="47">
        <f>'設定'!$I$13</f>
        <v/>
      </c>
      <c r="C850" s="83" t="n"/>
      <c r="D850" s="83" t="n"/>
      <c r="E850" s="83" t="n"/>
      <c r="F850" s="83" t="n"/>
      <c r="G850" s="83" t="n"/>
      <c r="H850" s="83" t="n"/>
      <c r="S850">
        <f>IF(3&lt;='設定'!$B$6,"表示","隠す")</f>
        <v/>
      </c>
    </row>
    <row r="851" ht="21" customHeight="1">
      <c r="A851" s="82" t="n"/>
      <c r="B851" s="47">
        <f>'設定'!$I$14</f>
        <v/>
      </c>
      <c r="C851" s="83" t="n"/>
      <c r="D851" s="83" t="n"/>
      <c r="E851" s="83" t="n"/>
      <c r="F851" s="83" t="n"/>
      <c r="G851" s="83" t="n"/>
      <c r="H851" s="83" t="n"/>
      <c r="S851">
        <f>IF(4&lt;='設定'!$B$6,"表示","隠す")</f>
        <v/>
      </c>
    </row>
    <row r="852" ht="21" customHeight="1">
      <c r="A852" s="82" t="n"/>
      <c r="B852" s="47">
        <f>'設定'!$I$15</f>
        <v/>
      </c>
      <c r="C852" s="83" t="n"/>
      <c r="D852" s="83" t="n"/>
      <c r="E852" s="83" t="n"/>
      <c r="F852" s="83" t="n"/>
      <c r="G852" s="83" t="n"/>
      <c r="H852" s="83" t="n"/>
      <c r="S852">
        <f>IF(5&lt;='設定'!$B$6,"表示","隠す")</f>
        <v/>
      </c>
    </row>
    <row r="853" ht="21" customHeight="1">
      <c r="A853" s="82" t="n"/>
      <c r="B853" s="47">
        <f>'設定'!$I$16</f>
        <v/>
      </c>
      <c r="C853" s="83" t="n"/>
      <c r="D853" s="83" t="n"/>
      <c r="E853" s="83" t="n"/>
      <c r="F853" s="83" t="n"/>
      <c r="G853" s="83" t="n"/>
      <c r="H853" s="83" t="n"/>
      <c r="S853">
        <f>IF(6&lt;='設定'!$B$6,"表示","隠す")</f>
        <v/>
      </c>
    </row>
    <row r="854" ht="21" customHeight="1">
      <c r="A854" s="82" t="n"/>
      <c r="B854" s="47">
        <f>'設定'!$I$17</f>
        <v/>
      </c>
      <c r="C854" s="83" t="n"/>
      <c r="D854" s="83" t="n"/>
      <c r="E854" s="83" t="n"/>
      <c r="F854" s="83" t="n"/>
      <c r="G854" s="83" t="n"/>
      <c r="H854" s="83" t="n"/>
      <c r="S854">
        <f>IF(7&lt;='設定'!$B$6,"表示","隠す")</f>
        <v/>
      </c>
    </row>
    <row r="855" ht="21" customHeight="1">
      <c r="A855" s="82" t="n"/>
      <c r="B855" s="47">
        <f>'設定'!$I$18</f>
        <v/>
      </c>
      <c r="C855" s="83" t="n"/>
      <c r="D855" s="83" t="n"/>
      <c r="E855" s="83" t="n"/>
      <c r="F855" s="83" t="n"/>
      <c r="G855" s="83" t="n"/>
      <c r="H855" s="83" t="n"/>
      <c r="S855">
        <f>IF(8&lt;='設定'!$B$6,"表示","隠す")</f>
        <v/>
      </c>
    </row>
    <row r="856" ht="21" customHeight="1">
      <c r="A856" s="82" t="n"/>
      <c r="B856" s="47">
        <f>'設定'!$I$19</f>
        <v/>
      </c>
      <c r="C856" s="83" t="n"/>
      <c r="D856" s="83" t="n"/>
      <c r="E856" s="83" t="n"/>
      <c r="F856" s="83" t="n"/>
      <c r="G856" s="83" t="n"/>
      <c r="H856" s="83" t="n"/>
      <c r="S856">
        <f>IF(9&lt;='設定'!$B$6,"表示","隠す")</f>
        <v/>
      </c>
    </row>
    <row r="857" hidden="1" ht="21" customHeight="1">
      <c r="A857" s="82" t="n"/>
      <c r="B857" s="47">
        <f>'設定'!$I$20</f>
        <v/>
      </c>
      <c r="C857" s="83" t="n"/>
      <c r="D857" s="83" t="n"/>
      <c r="E857" s="83" t="n"/>
      <c r="F857" s="83" t="n"/>
      <c r="G857" s="83" t="n"/>
      <c r="H857" s="83" t="n"/>
      <c r="S857">
        <f>IF(10&lt;='設定'!$B$6,"表示","隠す")</f>
        <v/>
      </c>
    </row>
    <row r="858" hidden="1" ht="21" customHeight="1">
      <c r="A858" s="82" t="n"/>
      <c r="B858" s="47">
        <f>'設定'!$I$21</f>
        <v/>
      </c>
      <c r="C858" s="83" t="n"/>
      <c r="D858" s="83" t="n"/>
      <c r="E858" s="83" t="n"/>
      <c r="F858" s="83" t="n"/>
      <c r="G858" s="83" t="n"/>
      <c r="H858" s="83" t="n"/>
      <c r="S858">
        <f>IF(11&lt;='設定'!$B$6,"表示","隠す")</f>
        <v/>
      </c>
    </row>
    <row r="859" hidden="1" ht="21" customHeight="1">
      <c r="A859" s="82" t="n"/>
      <c r="B859" s="47">
        <f>'設定'!$I$22</f>
        <v/>
      </c>
      <c r="C859" s="83" t="n"/>
      <c r="D859" s="83" t="n"/>
      <c r="E859" s="83" t="n"/>
      <c r="F859" s="83" t="n"/>
      <c r="G859" s="83" t="n"/>
      <c r="H859" s="83" t="n"/>
      <c r="S859">
        <f>IF(12&lt;='設定'!$B$6,"表示","隠す")</f>
        <v/>
      </c>
    </row>
    <row r="860" hidden="1" ht="21" customHeight="1">
      <c r="A860" s="82" t="n"/>
      <c r="B860" s="47">
        <f>'設定'!$I$23</f>
        <v/>
      </c>
      <c r="C860" s="83" t="n"/>
      <c r="D860" s="83" t="n"/>
      <c r="E860" s="83" t="n"/>
      <c r="F860" s="83" t="n"/>
      <c r="G860" s="83" t="n"/>
      <c r="H860" s="83" t="n"/>
      <c r="S860">
        <f>IF(13&lt;='設定'!$B$6,"表示","隠す")</f>
        <v/>
      </c>
    </row>
    <row r="861" hidden="1" ht="21" customHeight="1">
      <c r="A861" s="82" t="n"/>
      <c r="B861" s="47">
        <f>'設定'!$I$24</f>
        <v/>
      </c>
      <c r="C861" s="83" t="n"/>
      <c r="D861" s="83" t="n"/>
      <c r="E861" s="83" t="n"/>
      <c r="F861" s="83" t="n"/>
      <c r="G861" s="83" t="n"/>
      <c r="H861" s="83" t="n"/>
      <c r="S861">
        <f>IF(14&lt;='設定'!$B$6,"表示","隠す")</f>
        <v/>
      </c>
    </row>
    <row r="862" hidden="1" ht="21" customHeight="1">
      <c r="A862" s="82" t="n"/>
      <c r="B862" s="47">
        <f>'設定'!$I$25</f>
        <v/>
      </c>
      <c r="C862" s="83" t="n"/>
      <c r="D862" s="83" t="n"/>
      <c r="E862" s="83" t="n"/>
      <c r="F862" s="83" t="n"/>
      <c r="G862" s="83" t="n"/>
      <c r="H862" s="83" t="n"/>
      <c r="S862">
        <f>IF(15&lt;='設定'!$B$6,"表示","隠す")</f>
        <v/>
      </c>
    </row>
    <row r="863" hidden="1" ht="21" customHeight="1">
      <c r="A863" s="82" t="n"/>
      <c r="B863" s="47">
        <f>'設定'!$I$26</f>
        <v/>
      </c>
      <c r="C863" s="83" t="n"/>
      <c r="D863" s="83" t="n"/>
      <c r="E863" s="83" t="n"/>
      <c r="F863" s="83" t="n"/>
      <c r="G863" s="83" t="n"/>
      <c r="H863" s="83" t="n"/>
      <c r="S863">
        <f>IF(16&lt;='設定'!$B$6,"表示","隠す")</f>
        <v/>
      </c>
    </row>
    <row r="864" hidden="1" ht="21" customHeight="1">
      <c r="A864" s="82" t="n"/>
      <c r="B864" s="47">
        <f>'設定'!$I$27</f>
        <v/>
      </c>
      <c r="C864" s="83" t="n"/>
      <c r="D864" s="83" t="n"/>
      <c r="E864" s="83" t="n"/>
      <c r="F864" s="83" t="n"/>
      <c r="G864" s="83" t="n"/>
      <c r="H864" s="83" t="n"/>
      <c r="S864">
        <f>IF(17&lt;='設定'!$B$6,"表示","隠す")</f>
        <v/>
      </c>
    </row>
    <row r="865" hidden="1" ht="21" customHeight="1">
      <c r="A865" s="82" t="n"/>
      <c r="B865" s="47">
        <f>'設定'!$I$28</f>
        <v/>
      </c>
      <c r="C865" s="83" t="n"/>
      <c r="D865" s="83" t="n"/>
      <c r="E865" s="83" t="n"/>
      <c r="F865" s="83" t="n"/>
      <c r="G865" s="83" t="n"/>
      <c r="H865" s="83" t="n"/>
      <c r="S865">
        <f>IF(18&lt;='設定'!$B$6,"表示","隠す")</f>
        <v/>
      </c>
    </row>
    <row r="866" hidden="1" ht="21" customHeight="1">
      <c r="A866" s="82" t="n"/>
      <c r="B866" s="47">
        <f>'設定'!$I$29</f>
        <v/>
      </c>
      <c r="C866" s="83" t="n"/>
      <c r="D866" s="83" t="n"/>
      <c r="E866" s="83" t="n"/>
      <c r="F866" s="83" t="n"/>
      <c r="G866" s="83" t="n"/>
      <c r="H866" s="83" t="n"/>
      <c r="S866">
        <f>IF(19&lt;='設定'!$B$6,"表示","隠す")</f>
        <v/>
      </c>
    </row>
    <row r="867" hidden="1" ht="21" customHeight="1">
      <c r="A867" s="82" t="n"/>
      <c r="B867" s="47">
        <f>'設定'!$I$30</f>
        <v/>
      </c>
      <c r="C867" s="83" t="n"/>
      <c r="D867" s="83" t="n"/>
      <c r="E867" s="83" t="n"/>
      <c r="F867" s="83" t="n"/>
      <c r="G867" s="83" t="n"/>
      <c r="H867" s="83" t="n"/>
      <c r="S867">
        <f>IF(20&lt;='設定'!$B$6,"表示","隠す")</f>
        <v/>
      </c>
    </row>
    <row r="868" hidden="1" ht="21" customHeight="1">
      <c r="A868" s="82" t="n"/>
      <c r="B868" s="47">
        <f>'設定'!$I$31</f>
        <v/>
      </c>
      <c r="C868" s="83" t="n"/>
      <c r="D868" s="83" t="n"/>
      <c r="E868" s="83" t="n"/>
      <c r="F868" s="83" t="n"/>
      <c r="G868" s="83" t="n"/>
      <c r="H868" s="83" t="n"/>
      <c r="S868">
        <f>IF(21&lt;='設定'!$B$6,"表示","隠す")</f>
        <v/>
      </c>
    </row>
    <row r="869" hidden="1" ht="21" customHeight="1">
      <c r="A869" s="82" t="n"/>
      <c r="B869" s="47">
        <f>'設定'!$I$32</f>
        <v/>
      </c>
      <c r="C869" s="83" t="n"/>
      <c r="D869" s="83" t="n"/>
      <c r="E869" s="83" t="n"/>
      <c r="F869" s="83" t="n"/>
      <c r="G869" s="83" t="n"/>
      <c r="H869" s="83" t="n"/>
      <c r="S869">
        <f>IF(22&lt;='設定'!$B$6,"表示","隠す")</f>
        <v/>
      </c>
    </row>
    <row r="870" hidden="1" ht="21" customHeight="1">
      <c r="A870" s="82" t="n"/>
      <c r="B870" s="47">
        <f>'設定'!$I$33</f>
        <v/>
      </c>
      <c r="C870" s="83" t="n"/>
      <c r="D870" s="83" t="n"/>
      <c r="E870" s="83" t="n"/>
      <c r="F870" s="83" t="n"/>
      <c r="G870" s="83" t="n"/>
      <c r="H870" s="83" t="n"/>
      <c r="S870">
        <f>IF(23&lt;='設定'!$B$6,"表示","隠す")</f>
        <v/>
      </c>
    </row>
    <row r="871" hidden="1" ht="21" customHeight="1">
      <c r="A871" s="82" t="n"/>
      <c r="B871" s="47">
        <f>'設定'!$I$34</f>
        <v/>
      </c>
      <c r="C871" s="83" t="n"/>
      <c r="D871" s="83" t="n"/>
      <c r="E871" s="83" t="n"/>
      <c r="F871" s="83" t="n"/>
      <c r="G871" s="83" t="n"/>
      <c r="H871" s="83" t="n"/>
      <c r="S871">
        <f>IF(24&lt;='設定'!$B$6,"表示","隠す")</f>
        <v/>
      </c>
    </row>
    <row r="872">
      <c r="S872" t="inlineStr">
        <is>
          <t>表示</t>
        </is>
      </c>
    </row>
    <row r="873" ht="26" customHeight="1">
      <c r="B873" s="76">
        <f>IF('名簿'!B36="","（名簿 32行目：なし）",'名簿'!P36)</f>
        <v/>
      </c>
      <c r="C873" s="5" t="n"/>
      <c r="D873" s="5" t="n"/>
      <c r="E873" s="77" t="inlineStr">
        <is>
          <t>提出状況 ▶</t>
        </is>
      </c>
      <c r="F873" s="43" t="n"/>
      <c r="G873" s="34" t="n"/>
      <c r="H873" s="78" t="inlineStr">
        <is>
          <t>状況：</t>
        </is>
      </c>
      <c r="I873" s="79">
        <f>'名簿'!Q36</f>
        <v/>
      </c>
      <c r="J873" s="78" t="inlineStr">
        <is>
          <t>×の数：</t>
        </is>
      </c>
      <c r="K873" s="80">
        <f>'名簿'!R36</f>
        <v/>
      </c>
      <c r="L873" s="81">
        <f>HYPERLINK("#'×入力'!B901","次の人へ ▼")</f>
        <v/>
      </c>
      <c r="S873" t="inlineStr">
        <is>
          <t>表示</t>
        </is>
      </c>
    </row>
    <row r="874" ht="22" customHeight="1">
      <c r="A874" s="35" t="inlineStr">
        <is>
          <t>この日全部 ▶</t>
        </is>
      </c>
      <c r="C874" s="82" t="n"/>
      <c r="D874" s="82" t="n"/>
      <c r="E874" s="82" t="n"/>
      <c r="F874" s="82" t="n"/>
      <c r="G874" s="82" t="n"/>
      <c r="H874" s="82" t="n"/>
      <c r="S874" t="inlineStr">
        <is>
          <t>表示</t>
        </is>
      </c>
    </row>
    <row r="875" ht="28" customHeight="1">
      <c r="A875" s="38" t="inlineStr">
        <is>
          <t>この時間
全部 ▼</t>
        </is>
      </c>
      <c r="B875" s="39" t="inlineStr"/>
      <c r="C875" s="40">
        <f>'設定'!$E$11</f>
        <v/>
      </c>
      <c r="D875" s="40">
        <f>'設定'!$E$12</f>
        <v/>
      </c>
      <c r="E875" s="40">
        <f>'設定'!$E$13</f>
        <v/>
      </c>
      <c r="F875" s="40">
        <f>'設定'!$E$14</f>
        <v/>
      </c>
      <c r="G875" s="40">
        <f>'設定'!$E$15</f>
        <v/>
      </c>
      <c r="H875" s="40">
        <f>'設定'!$E$16</f>
        <v/>
      </c>
      <c r="S875" t="inlineStr">
        <is>
          <t>表示</t>
        </is>
      </c>
    </row>
    <row r="876" ht="21" customHeight="1">
      <c r="A876" s="82" t="n"/>
      <c r="B876" s="47">
        <f>'設定'!$I$11</f>
        <v/>
      </c>
      <c r="C876" s="83" t="n"/>
      <c r="D876" s="83" t="n"/>
      <c r="E876" s="83" t="n"/>
      <c r="F876" s="83" t="n"/>
      <c r="G876" s="83" t="n"/>
      <c r="H876" s="83" t="n"/>
      <c r="S876">
        <f>IF(1&lt;='設定'!$B$6,"表示","隠す")</f>
        <v/>
      </c>
    </row>
    <row r="877" ht="21" customHeight="1">
      <c r="A877" s="82" t="n"/>
      <c r="B877" s="47">
        <f>'設定'!$I$12</f>
        <v/>
      </c>
      <c r="C877" s="83" t="n"/>
      <c r="D877" s="83" t="n"/>
      <c r="E877" s="83" t="n"/>
      <c r="F877" s="83" t="n"/>
      <c r="G877" s="83" t="n"/>
      <c r="H877" s="83" t="n"/>
      <c r="S877">
        <f>IF(2&lt;='設定'!$B$6,"表示","隠す")</f>
        <v/>
      </c>
    </row>
    <row r="878" ht="21" customHeight="1">
      <c r="A878" s="82" t="n"/>
      <c r="B878" s="47">
        <f>'設定'!$I$13</f>
        <v/>
      </c>
      <c r="C878" s="83" t="n"/>
      <c r="D878" s="83" t="n"/>
      <c r="E878" s="83" t="n"/>
      <c r="F878" s="83" t="n"/>
      <c r="G878" s="83" t="n"/>
      <c r="H878" s="83" t="n"/>
      <c r="S878">
        <f>IF(3&lt;='設定'!$B$6,"表示","隠す")</f>
        <v/>
      </c>
    </row>
    <row r="879" ht="21" customHeight="1">
      <c r="A879" s="82" t="n"/>
      <c r="B879" s="47">
        <f>'設定'!$I$14</f>
        <v/>
      </c>
      <c r="C879" s="83" t="n"/>
      <c r="D879" s="83" t="n"/>
      <c r="E879" s="83" t="inlineStr">
        <is>
          <t>×</t>
        </is>
      </c>
      <c r="F879" s="83" t="n"/>
      <c r="G879" s="83" t="n"/>
      <c r="H879" s="83" t="n"/>
      <c r="S879">
        <f>IF(4&lt;='設定'!$B$6,"表示","隠す")</f>
        <v/>
      </c>
    </row>
    <row r="880" ht="21" customHeight="1">
      <c r="A880" s="82" t="n"/>
      <c r="B880" s="47">
        <f>'設定'!$I$15</f>
        <v/>
      </c>
      <c r="C880" s="83" t="n"/>
      <c r="D880" s="83" t="n"/>
      <c r="E880" s="83" t="n"/>
      <c r="F880" s="83" t="inlineStr">
        <is>
          <t>×</t>
        </is>
      </c>
      <c r="G880" s="83" t="n"/>
      <c r="H880" s="83" t="n"/>
      <c r="S880">
        <f>IF(5&lt;='設定'!$B$6,"表示","隠す")</f>
        <v/>
      </c>
    </row>
    <row r="881" ht="21" customHeight="1">
      <c r="A881" s="82" t="n"/>
      <c r="B881" s="47">
        <f>'設定'!$I$16</f>
        <v/>
      </c>
      <c r="C881" s="83" t="n"/>
      <c r="D881" s="83" t="inlineStr">
        <is>
          <t>×</t>
        </is>
      </c>
      <c r="E881" s="83" t="n"/>
      <c r="F881" s="83" t="n"/>
      <c r="G881" s="83" t="n"/>
      <c r="H881" s="83" t="n"/>
      <c r="S881">
        <f>IF(6&lt;='設定'!$B$6,"表示","隠す")</f>
        <v/>
      </c>
    </row>
    <row r="882" ht="21" customHeight="1">
      <c r="A882" s="82" t="n"/>
      <c r="B882" s="47">
        <f>'設定'!$I$17</f>
        <v/>
      </c>
      <c r="C882" s="83" t="n"/>
      <c r="D882" s="83" t="n"/>
      <c r="E882" s="83" t="n"/>
      <c r="F882" s="83" t="n"/>
      <c r="G882" s="83" t="n"/>
      <c r="H882" s="83" t="n"/>
      <c r="S882">
        <f>IF(7&lt;='設定'!$B$6,"表示","隠す")</f>
        <v/>
      </c>
    </row>
    <row r="883" ht="21" customHeight="1">
      <c r="A883" s="82" t="n"/>
      <c r="B883" s="47">
        <f>'設定'!$I$18</f>
        <v/>
      </c>
      <c r="C883" s="83" t="n"/>
      <c r="D883" s="83" t="n"/>
      <c r="E883" s="83" t="n"/>
      <c r="F883" s="83" t="n"/>
      <c r="G883" s="83" t="n"/>
      <c r="H883" s="83" t="n"/>
      <c r="S883">
        <f>IF(8&lt;='設定'!$B$6,"表示","隠す")</f>
        <v/>
      </c>
    </row>
    <row r="884" ht="21" customHeight="1">
      <c r="A884" s="82" t="n"/>
      <c r="B884" s="47">
        <f>'設定'!$I$19</f>
        <v/>
      </c>
      <c r="C884" s="83" t="n"/>
      <c r="D884" s="83" t="n"/>
      <c r="E884" s="83" t="n"/>
      <c r="F884" s="83" t="inlineStr">
        <is>
          <t>×</t>
        </is>
      </c>
      <c r="G884" s="83" t="n"/>
      <c r="H884" s="83" t="n"/>
      <c r="S884">
        <f>IF(9&lt;='設定'!$B$6,"表示","隠す")</f>
        <v/>
      </c>
    </row>
    <row r="885" hidden="1" ht="21" customHeight="1">
      <c r="A885" s="82" t="n"/>
      <c r="B885" s="47">
        <f>'設定'!$I$20</f>
        <v/>
      </c>
      <c r="C885" s="83" t="n"/>
      <c r="D885" s="83" t="n"/>
      <c r="E885" s="83" t="n"/>
      <c r="F885" s="83" t="n"/>
      <c r="G885" s="83" t="n"/>
      <c r="H885" s="83" t="n"/>
      <c r="S885">
        <f>IF(10&lt;='設定'!$B$6,"表示","隠す")</f>
        <v/>
      </c>
    </row>
    <row r="886" hidden="1" ht="21" customHeight="1">
      <c r="A886" s="82" t="n"/>
      <c r="B886" s="47">
        <f>'設定'!$I$21</f>
        <v/>
      </c>
      <c r="C886" s="83" t="n"/>
      <c r="D886" s="83" t="n"/>
      <c r="E886" s="83" t="n"/>
      <c r="F886" s="83" t="n"/>
      <c r="G886" s="83" t="n"/>
      <c r="H886" s="83" t="n"/>
      <c r="S886">
        <f>IF(11&lt;='設定'!$B$6,"表示","隠す")</f>
        <v/>
      </c>
    </row>
    <row r="887" hidden="1" ht="21" customHeight="1">
      <c r="A887" s="82" t="n"/>
      <c r="B887" s="47">
        <f>'設定'!$I$22</f>
        <v/>
      </c>
      <c r="C887" s="83" t="n"/>
      <c r="D887" s="83" t="n"/>
      <c r="E887" s="83" t="n"/>
      <c r="F887" s="83" t="n"/>
      <c r="G887" s="83" t="n"/>
      <c r="H887" s="83" t="n"/>
      <c r="S887">
        <f>IF(12&lt;='設定'!$B$6,"表示","隠す")</f>
        <v/>
      </c>
    </row>
    <row r="888" hidden="1" ht="21" customHeight="1">
      <c r="A888" s="82" t="n"/>
      <c r="B888" s="47">
        <f>'設定'!$I$23</f>
        <v/>
      </c>
      <c r="C888" s="83" t="n"/>
      <c r="D888" s="83" t="n"/>
      <c r="E888" s="83" t="n"/>
      <c r="F888" s="83" t="n"/>
      <c r="G888" s="83" t="n"/>
      <c r="H888" s="83" t="n"/>
      <c r="S888">
        <f>IF(13&lt;='設定'!$B$6,"表示","隠す")</f>
        <v/>
      </c>
    </row>
    <row r="889" hidden="1" ht="21" customHeight="1">
      <c r="A889" s="82" t="n"/>
      <c r="B889" s="47">
        <f>'設定'!$I$24</f>
        <v/>
      </c>
      <c r="C889" s="83" t="n"/>
      <c r="D889" s="83" t="n"/>
      <c r="E889" s="83" t="n"/>
      <c r="F889" s="83" t="n"/>
      <c r="G889" s="83" t="n"/>
      <c r="H889" s="83" t="n"/>
      <c r="S889">
        <f>IF(14&lt;='設定'!$B$6,"表示","隠す")</f>
        <v/>
      </c>
    </row>
    <row r="890" hidden="1" ht="21" customHeight="1">
      <c r="A890" s="82" t="n"/>
      <c r="B890" s="47">
        <f>'設定'!$I$25</f>
        <v/>
      </c>
      <c r="C890" s="83" t="n"/>
      <c r="D890" s="83" t="n"/>
      <c r="E890" s="83" t="n"/>
      <c r="F890" s="83" t="n"/>
      <c r="G890" s="83" t="n"/>
      <c r="H890" s="83" t="n"/>
      <c r="S890">
        <f>IF(15&lt;='設定'!$B$6,"表示","隠す")</f>
        <v/>
      </c>
    </row>
    <row r="891" hidden="1" ht="21" customHeight="1">
      <c r="A891" s="82" t="n"/>
      <c r="B891" s="47">
        <f>'設定'!$I$26</f>
        <v/>
      </c>
      <c r="C891" s="83" t="n"/>
      <c r="D891" s="83" t="n"/>
      <c r="E891" s="83" t="n"/>
      <c r="F891" s="83" t="n"/>
      <c r="G891" s="83" t="n"/>
      <c r="H891" s="83" t="n"/>
      <c r="S891">
        <f>IF(16&lt;='設定'!$B$6,"表示","隠す")</f>
        <v/>
      </c>
    </row>
    <row r="892" hidden="1" ht="21" customHeight="1">
      <c r="A892" s="82" t="n"/>
      <c r="B892" s="47">
        <f>'設定'!$I$27</f>
        <v/>
      </c>
      <c r="C892" s="83" t="n"/>
      <c r="D892" s="83" t="n"/>
      <c r="E892" s="83" t="n"/>
      <c r="F892" s="83" t="n"/>
      <c r="G892" s="83" t="n"/>
      <c r="H892" s="83" t="n"/>
      <c r="S892">
        <f>IF(17&lt;='設定'!$B$6,"表示","隠す")</f>
        <v/>
      </c>
    </row>
    <row r="893" hidden="1" ht="21" customHeight="1">
      <c r="A893" s="82" t="n"/>
      <c r="B893" s="47">
        <f>'設定'!$I$28</f>
        <v/>
      </c>
      <c r="C893" s="83" t="n"/>
      <c r="D893" s="83" t="n"/>
      <c r="E893" s="83" t="n"/>
      <c r="F893" s="83" t="n"/>
      <c r="G893" s="83" t="n"/>
      <c r="H893" s="83" t="n"/>
      <c r="S893">
        <f>IF(18&lt;='設定'!$B$6,"表示","隠す")</f>
        <v/>
      </c>
    </row>
    <row r="894" hidden="1" ht="21" customHeight="1">
      <c r="A894" s="82" t="n"/>
      <c r="B894" s="47">
        <f>'設定'!$I$29</f>
        <v/>
      </c>
      <c r="C894" s="83" t="n"/>
      <c r="D894" s="83" t="n"/>
      <c r="E894" s="83" t="n"/>
      <c r="F894" s="83" t="n"/>
      <c r="G894" s="83" t="n"/>
      <c r="H894" s="83" t="n"/>
      <c r="S894">
        <f>IF(19&lt;='設定'!$B$6,"表示","隠す")</f>
        <v/>
      </c>
    </row>
    <row r="895" hidden="1" ht="21" customHeight="1">
      <c r="A895" s="82" t="n"/>
      <c r="B895" s="47">
        <f>'設定'!$I$30</f>
        <v/>
      </c>
      <c r="C895" s="83" t="n"/>
      <c r="D895" s="83" t="n"/>
      <c r="E895" s="83" t="n"/>
      <c r="F895" s="83" t="n"/>
      <c r="G895" s="83" t="n"/>
      <c r="H895" s="83" t="n"/>
      <c r="S895">
        <f>IF(20&lt;='設定'!$B$6,"表示","隠す")</f>
        <v/>
      </c>
    </row>
    <row r="896" hidden="1" ht="21" customHeight="1">
      <c r="A896" s="82" t="n"/>
      <c r="B896" s="47">
        <f>'設定'!$I$31</f>
        <v/>
      </c>
      <c r="C896" s="83" t="n"/>
      <c r="D896" s="83" t="n"/>
      <c r="E896" s="83" t="n"/>
      <c r="F896" s="83" t="n"/>
      <c r="G896" s="83" t="n"/>
      <c r="H896" s="83" t="n"/>
      <c r="S896">
        <f>IF(21&lt;='設定'!$B$6,"表示","隠す")</f>
        <v/>
      </c>
    </row>
    <row r="897" hidden="1" ht="21" customHeight="1">
      <c r="A897" s="82" t="n"/>
      <c r="B897" s="47">
        <f>'設定'!$I$32</f>
        <v/>
      </c>
      <c r="C897" s="83" t="n"/>
      <c r="D897" s="83" t="n"/>
      <c r="E897" s="83" t="n"/>
      <c r="F897" s="83" t="n"/>
      <c r="G897" s="83" t="n"/>
      <c r="H897" s="83" t="n"/>
      <c r="S897">
        <f>IF(22&lt;='設定'!$B$6,"表示","隠す")</f>
        <v/>
      </c>
    </row>
    <row r="898" hidden="1" ht="21" customHeight="1">
      <c r="A898" s="82" t="n"/>
      <c r="B898" s="47">
        <f>'設定'!$I$33</f>
        <v/>
      </c>
      <c r="C898" s="83" t="n"/>
      <c r="D898" s="83" t="n"/>
      <c r="E898" s="83" t="n"/>
      <c r="F898" s="83" t="n"/>
      <c r="G898" s="83" t="n"/>
      <c r="H898" s="83" t="n"/>
      <c r="S898">
        <f>IF(23&lt;='設定'!$B$6,"表示","隠す")</f>
        <v/>
      </c>
    </row>
    <row r="899" hidden="1" ht="21" customHeight="1">
      <c r="A899" s="82" t="n"/>
      <c r="B899" s="47">
        <f>'設定'!$I$34</f>
        <v/>
      </c>
      <c r="C899" s="83" t="n"/>
      <c r="D899" s="83" t="n"/>
      <c r="E899" s="83" t="n"/>
      <c r="F899" s="83" t="n"/>
      <c r="G899" s="83" t="n"/>
      <c r="H899" s="83" t="n"/>
      <c r="S899">
        <f>IF(24&lt;='設定'!$B$6,"表示","隠す")</f>
        <v/>
      </c>
    </row>
    <row r="900">
      <c r="S900" t="inlineStr">
        <is>
          <t>表示</t>
        </is>
      </c>
    </row>
    <row r="901" ht="26" customHeight="1">
      <c r="B901" s="76">
        <f>IF('名簿'!B37="","（名簿 33行目：なし）",'名簿'!P37)</f>
        <v/>
      </c>
      <c r="C901" s="5" t="n"/>
      <c r="D901" s="5" t="n"/>
      <c r="E901" s="77" t="inlineStr">
        <is>
          <t>提出状況 ▶</t>
        </is>
      </c>
      <c r="F901" s="43" t="n"/>
      <c r="G901" s="34" t="n"/>
      <c r="H901" s="78" t="inlineStr">
        <is>
          <t>状況：</t>
        </is>
      </c>
      <c r="I901" s="79">
        <f>'名簿'!Q37</f>
        <v/>
      </c>
      <c r="J901" s="78" t="inlineStr">
        <is>
          <t>×の数：</t>
        </is>
      </c>
      <c r="K901" s="80">
        <f>'名簿'!R37</f>
        <v/>
      </c>
      <c r="L901" s="81">
        <f>HYPERLINK("#'×入力'!B929","次の人へ ▼")</f>
        <v/>
      </c>
      <c r="S901" t="inlineStr">
        <is>
          <t>表示</t>
        </is>
      </c>
    </row>
    <row r="902" ht="22" customHeight="1">
      <c r="A902" s="35" t="inlineStr">
        <is>
          <t>この日全部 ▶</t>
        </is>
      </c>
      <c r="C902" s="82" t="n"/>
      <c r="D902" s="82" t="n"/>
      <c r="E902" s="82" t="n"/>
      <c r="F902" s="82" t="n"/>
      <c r="G902" s="82" t="n"/>
      <c r="H902" s="82" t="n"/>
      <c r="S902" t="inlineStr">
        <is>
          <t>表示</t>
        </is>
      </c>
    </row>
    <row r="903" ht="28" customHeight="1">
      <c r="A903" s="38" t="inlineStr">
        <is>
          <t>この時間
全部 ▼</t>
        </is>
      </c>
      <c r="B903" s="39" t="inlineStr"/>
      <c r="C903" s="40">
        <f>'設定'!$E$11</f>
        <v/>
      </c>
      <c r="D903" s="40">
        <f>'設定'!$E$12</f>
        <v/>
      </c>
      <c r="E903" s="40">
        <f>'設定'!$E$13</f>
        <v/>
      </c>
      <c r="F903" s="40">
        <f>'設定'!$E$14</f>
        <v/>
      </c>
      <c r="G903" s="40">
        <f>'設定'!$E$15</f>
        <v/>
      </c>
      <c r="H903" s="40">
        <f>'設定'!$E$16</f>
        <v/>
      </c>
      <c r="S903" t="inlineStr">
        <is>
          <t>表示</t>
        </is>
      </c>
    </row>
    <row r="904" ht="21" customHeight="1">
      <c r="A904" s="82" t="n"/>
      <c r="B904" s="47">
        <f>'設定'!$I$11</f>
        <v/>
      </c>
      <c r="C904" s="83" t="n"/>
      <c r="D904" s="83" t="n"/>
      <c r="E904" s="83" t="n"/>
      <c r="F904" s="83" t="n"/>
      <c r="G904" s="83" t="n"/>
      <c r="H904" s="83" t="n"/>
      <c r="S904">
        <f>IF(1&lt;='設定'!$B$6,"表示","隠す")</f>
        <v/>
      </c>
    </row>
    <row r="905" ht="21" customHeight="1">
      <c r="A905" s="82" t="n"/>
      <c r="B905" s="47">
        <f>'設定'!$I$12</f>
        <v/>
      </c>
      <c r="C905" s="83" t="n"/>
      <c r="D905" s="83" t="n"/>
      <c r="E905" s="83" t="inlineStr">
        <is>
          <t>×</t>
        </is>
      </c>
      <c r="F905" s="83" t="n"/>
      <c r="G905" s="83" t="n"/>
      <c r="H905" s="83" t="n"/>
      <c r="S905">
        <f>IF(2&lt;='設定'!$B$6,"表示","隠す")</f>
        <v/>
      </c>
    </row>
    <row r="906" ht="21" customHeight="1">
      <c r="A906" s="82" t="n"/>
      <c r="B906" s="47">
        <f>'設定'!$I$13</f>
        <v/>
      </c>
      <c r="C906" s="83" t="n"/>
      <c r="D906" s="83" t="inlineStr">
        <is>
          <t>×</t>
        </is>
      </c>
      <c r="E906" s="83" t="n"/>
      <c r="F906" s="83" t="inlineStr">
        <is>
          <t>×</t>
        </is>
      </c>
      <c r="G906" s="83" t="n"/>
      <c r="H906" s="83" t="n"/>
      <c r="S906">
        <f>IF(3&lt;='設定'!$B$6,"表示","隠す")</f>
        <v/>
      </c>
    </row>
    <row r="907" ht="21" customHeight="1">
      <c r="A907" s="82" t="n"/>
      <c r="B907" s="47">
        <f>'設定'!$I$14</f>
        <v/>
      </c>
      <c r="C907" s="83" t="n"/>
      <c r="D907" s="83" t="inlineStr">
        <is>
          <t>×</t>
        </is>
      </c>
      <c r="E907" s="83" t="n"/>
      <c r="F907" s="83" t="inlineStr">
        <is>
          <t>×</t>
        </is>
      </c>
      <c r="G907" s="83" t="n"/>
      <c r="H907" s="83" t="n"/>
      <c r="S907">
        <f>IF(4&lt;='設定'!$B$6,"表示","隠す")</f>
        <v/>
      </c>
    </row>
    <row r="908" ht="21" customHeight="1">
      <c r="A908" s="82" t="n"/>
      <c r="B908" s="47">
        <f>'設定'!$I$15</f>
        <v/>
      </c>
      <c r="C908" s="83" t="n"/>
      <c r="D908" s="83" t="n"/>
      <c r="E908" s="83" t="inlineStr">
        <is>
          <t>×</t>
        </is>
      </c>
      <c r="F908" s="83" t="inlineStr">
        <is>
          <t>×</t>
        </is>
      </c>
      <c r="G908" s="83" t="n"/>
      <c r="H908" s="83" t="n"/>
      <c r="S908">
        <f>IF(5&lt;='設定'!$B$6,"表示","隠す")</f>
        <v/>
      </c>
    </row>
    <row r="909" ht="21" customHeight="1">
      <c r="A909" s="82" t="n"/>
      <c r="B909" s="47">
        <f>'設定'!$I$16</f>
        <v/>
      </c>
      <c r="C909" s="83" t="n"/>
      <c r="D909" s="83" t="n"/>
      <c r="E909" s="83" t="inlineStr">
        <is>
          <t>×</t>
        </is>
      </c>
      <c r="F909" s="83" t="inlineStr">
        <is>
          <t>×</t>
        </is>
      </c>
      <c r="G909" s="83" t="n"/>
      <c r="H909" s="83" t="n"/>
      <c r="S909">
        <f>IF(6&lt;='設定'!$B$6,"表示","隠す")</f>
        <v/>
      </c>
    </row>
    <row r="910" ht="21" customHeight="1">
      <c r="A910" s="82" t="n"/>
      <c r="B910" s="47">
        <f>'設定'!$I$17</f>
        <v/>
      </c>
      <c r="C910" s="83" t="inlineStr">
        <is>
          <t>×</t>
        </is>
      </c>
      <c r="D910" s="83" t="inlineStr">
        <is>
          <t>×</t>
        </is>
      </c>
      <c r="E910" s="83" t="inlineStr">
        <is>
          <t>×</t>
        </is>
      </c>
      <c r="F910" s="83" t="inlineStr">
        <is>
          <t>×</t>
        </is>
      </c>
      <c r="G910" s="83" t="inlineStr">
        <is>
          <t>×</t>
        </is>
      </c>
      <c r="H910" s="83" t="n"/>
      <c r="S910">
        <f>IF(7&lt;='設定'!$B$6,"表示","隠す")</f>
        <v/>
      </c>
    </row>
    <row r="911" ht="21" customHeight="1">
      <c r="A911" s="82" t="n"/>
      <c r="B911" s="47">
        <f>'設定'!$I$18</f>
        <v/>
      </c>
      <c r="C911" s="83" t="inlineStr">
        <is>
          <t>×</t>
        </is>
      </c>
      <c r="D911" s="83" t="inlineStr">
        <is>
          <t>×</t>
        </is>
      </c>
      <c r="E911" s="83" t="inlineStr">
        <is>
          <t>×</t>
        </is>
      </c>
      <c r="F911" s="83" t="inlineStr">
        <is>
          <t>×</t>
        </is>
      </c>
      <c r="G911" s="83" t="inlineStr">
        <is>
          <t>×</t>
        </is>
      </c>
      <c r="H911" s="83" t="n"/>
      <c r="S911">
        <f>IF(8&lt;='設定'!$B$6,"表示","隠す")</f>
        <v/>
      </c>
    </row>
    <row r="912" ht="21" customHeight="1">
      <c r="A912" s="82" t="n"/>
      <c r="B912" s="47">
        <f>'設定'!$I$19</f>
        <v/>
      </c>
      <c r="C912" s="83" t="inlineStr">
        <is>
          <t>×</t>
        </is>
      </c>
      <c r="D912" s="83" t="inlineStr">
        <is>
          <t>×</t>
        </is>
      </c>
      <c r="E912" s="83" t="inlineStr">
        <is>
          <t>×</t>
        </is>
      </c>
      <c r="F912" s="83" t="inlineStr">
        <is>
          <t>×</t>
        </is>
      </c>
      <c r="G912" s="83" t="inlineStr">
        <is>
          <t>×</t>
        </is>
      </c>
      <c r="H912" s="83" t="n"/>
      <c r="S912">
        <f>IF(9&lt;='設定'!$B$6,"表示","隠す")</f>
        <v/>
      </c>
    </row>
    <row r="913" hidden="1" ht="21" customHeight="1">
      <c r="A913" s="82" t="n"/>
      <c r="B913" s="47">
        <f>'設定'!$I$20</f>
        <v/>
      </c>
      <c r="C913" s="83" t="n"/>
      <c r="D913" s="83" t="n"/>
      <c r="E913" s="83" t="n"/>
      <c r="F913" s="83" t="n"/>
      <c r="G913" s="83" t="n"/>
      <c r="H913" s="83" t="n"/>
      <c r="S913">
        <f>IF(10&lt;='設定'!$B$6,"表示","隠す")</f>
        <v/>
      </c>
    </row>
    <row r="914" hidden="1" ht="21" customHeight="1">
      <c r="A914" s="82" t="n"/>
      <c r="B914" s="47">
        <f>'設定'!$I$21</f>
        <v/>
      </c>
      <c r="C914" s="83" t="n"/>
      <c r="D914" s="83" t="n"/>
      <c r="E914" s="83" t="n"/>
      <c r="F914" s="83" t="n"/>
      <c r="G914" s="83" t="n"/>
      <c r="H914" s="83" t="n"/>
      <c r="S914">
        <f>IF(11&lt;='設定'!$B$6,"表示","隠す")</f>
        <v/>
      </c>
    </row>
    <row r="915" hidden="1" ht="21" customHeight="1">
      <c r="A915" s="82" t="n"/>
      <c r="B915" s="47">
        <f>'設定'!$I$22</f>
        <v/>
      </c>
      <c r="C915" s="83" t="n"/>
      <c r="D915" s="83" t="n"/>
      <c r="E915" s="83" t="n"/>
      <c r="F915" s="83" t="n"/>
      <c r="G915" s="83" t="n"/>
      <c r="H915" s="83" t="n"/>
      <c r="S915">
        <f>IF(12&lt;='設定'!$B$6,"表示","隠す")</f>
        <v/>
      </c>
    </row>
    <row r="916" hidden="1" ht="21" customHeight="1">
      <c r="A916" s="82" t="n"/>
      <c r="B916" s="47">
        <f>'設定'!$I$23</f>
        <v/>
      </c>
      <c r="C916" s="83" t="n"/>
      <c r="D916" s="83" t="n"/>
      <c r="E916" s="83" t="n"/>
      <c r="F916" s="83" t="n"/>
      <c r="G916" s="83" t="n"/>
      <c r="H916" s="83" t="n"/>
      <c r="S916">
        <f>IF(13&lt;='設定'!$B$6,"表示","隠す")</f>
        <v/>
      </c>
    </row>
    <row r="917" hidden="1" ht="21" customHeight="1">
      <c r="A917" s="82" t="n"/>
      <c r="B917" s="47">
        <f>'設定'!$I$24</f>
        <v/>
      </c>
      <c r="C917" s="83" t="n"/>
      <c r="D917" s="83" t="n"/>
      <c r="E917" s="83" t="n"/>
      <c r="F917" s="83" t="n"/>
      <c r="G917" s="83" t="n"/>
      <c r="H917" s="83" t="n"/>
      <c r="S917">
        <f>IF(14&lt;='設定'!$B$6,"表示","隠す")</f>
        <v/>
      </c>
    </row>
    <row r="918" hidden="1" ht="21" customHeight="1">
      <c r="A918" s="82" t="n"/>
      <c r="B918" s="47">
        <f>'設定'!$I$25</f>
        <v/>
      </c>
      <c r="C918" s="83" t="n"/>
      <c r="D918" s="83" t="n"/>
      <c r="E918" s="83" t="n"/>
      <c r="F918" s="83" t="n"/>
      <c r="G918" s="83" t="n"/>
      <c r="H918" s="83" t="n"/>
      <c r="S918">
        <f>IF(15&lt;='設定'!$B$6,"表示","隠す")</f>
        <v/>
      </c>
    </row>
    <row r="919" hidden="1" ht="21" customHeight="1">
      <c r="A919" s="82" t="n"/>
      <c r="B919" s="47">
        <f>'設定'!$I$26</f>
        <v/>
      </c>
      <c r="C919" s="83" t="n"/>
      <c r="D919" s="83" t="n"/>
      <c r="E919" s="83" t="n"/>
      <c r="F919" s="83" t="n"/>
      <c r="G919" s="83" t="n"/>
      <c r="H919" s="83" t="n"/>
      <c r="S919">
        <f>IF(16&lt;='設定'!$B$6,"表示","隠す")</f>
        <v/>
      </c>
    </row>
    <row r="920" hidden="1" ht="21" customHeight="1">
      <c r="A920" s="82" t="n"/>
      <c r="B920" s="47">
        <f>'設定'!$I$27</f>
        <v/>
      </c>
      <c r="C920" s="83" t="n"/>
      <c r="D920" s="83" t="n"/>
      <c r="E920" s="83" t="n"/>
      <c r="F920" s="83" t="n"/>
      <c r="G920" s="83" t="n"/>
      <c r="H920" s="83" t="n"/>
      <c r="S920">
        <f>IF(17&lt;='設定'!$B$6,"表示","隠す")</f>
        <v/>
      </c>
    </row>
    <row r="921" hidden="1" ht="21" customHeight="1">
      <c r="A921" s="82" t="n"/>
      <c r="B921" s="47">
        <f>'設定'!$I$28</f>
        <v/>
      </c>
      <c r="C921" s="83" t="n"/>
      <c r="D921" s="83" t="n"/>
      <c r="E921" s="83" t="n"/>
      <c r="F921" s="83" t="n"/>
      <c r="G921" s="83" t="n"/>
      <c r="H921" s="83" t="n"/>
      <c r="S921">
        <f>IF(18&lt;='設定'!$B$6,"表示","隠す")</f>
        <v/>
      </c>
    </row>
    <row r="922" hidden="1" ht="21" customHeight="1">
      <c r="A922" s="82" t="n"/>
      <c r="B922" s="47">
        <f>'設定'!$I$29</f>
        <v/>
      </c>
      <c r="C922" s="83" t="n"/>
      <c r="D922" s="83" t="n"/>
      <c r="E922" s="83" t="n"/>
      <c r="F922" s="83" t="n"/>
      <c r="G922" s="83" t="n"/>
      <c r="H922" s="83" t="n"/>
      <c r="S922">
        <f>IF(19&lt;='設定'!$B$6,"表示","隠す")</f>
        <v/>
      </c>
    </row>
    <row r="923" hidden="1" ht="21" customHeight="1">
      <c r="A923" s="82" t="n"/>
      <c r="B923" s="47">
        <f>'設定'!$I$30</f>
        <v/>
      </c>
      <c r="C923" s="83" t="n"/>
      <c r="D923" s="83" t="n"/>
      <c r="E923" s="83" t="n"/>
      <c r="F923" s="83" t="n"/>
      <c r="G923" s="83" t="n"/>
      <c r="H923" s="83" t="n"/>
      <c r="S923">
        <f>IF(20&lt;='設定'!$B$6,"表示","隠す")</f>
        <v/>
      </c>
    </row>
    <row r="924" hidden="1" ht="21" customHeight="1">
      <c r="A924" s="82" t="n"/>
      <c r="B924" s="47">
        <f>'設定'!$I$31</f>
        <v/>
      </c>
      <c r="C924" s="83" t="n"/>
      <c r="D924" s="83" t="n"/>
      <c r="E924" s="83" t="n"/>
      <c r="F924" s="83" t="n"/>
      <c r="G924" s="83" t="n"/>
      <c r="H924" s="83" t="n"/>
      <c r="S924">
        <f>IF(21&lt;='設定'!$B$6,"表示","隠す")</f>
        <v/>
      </c>
    </row>
    <row r="925" hidden="1" ht="21" customHeight="1">
      <c r="A925" s="82" t="n"/>
      <c r="B925" s="47">
        <f>'設定'!$I$32</f>
        <v/>
      </c>
      <c r="C925" s="83" t="n"/>
      <c r="D925" s="83" t="n"/>
      <c r="E925" s="83" t="n"/>
      <c r="F925" s="83" t="n"/>
      <c r="G925" s="83" t="n"/>
      <c r="H925" s="83" t="n"/>
      <c r="S925">
        <f>IF(22&lt;='設定'!$B$6,"表示","隠す")</f>
        <v/>
      </c>
    </row>
    <row r="926" hidden="1" ht="21" customHeight="1">
      <c r="A926" s="82" t="n"/>
      <c r="B926" s="47">
        <f>'設定'!$I$33</f>
        <v/>
      </c>
      <c r="C926" s="83" t="n"/>
      <c r="D926" s="83" t="n"/>
      <c r="E926" s="83" t="n"/>
      <c r="F926" s="83" t="n"/>
      <c r="G926" s="83" t="n"/>
      <c r="H926" s="83" t="n"/>
      <c r="S926">
        <f>IF(23&lt;='設定'!$B$6,"表示","隠す")</f>
        <v/>
      </c>
    </row>
    <row r="927" hidden="1" ht="21" customHeight="1">
      <c r="A927" s="82" t="n"/>
      <c r="B927" s="47">
        <f>'設定'!$I$34</f>
        <v/>
      </c>
      <c r="C927" s="83" t="n"/>
      <c r="D927" s="83" t="n"/>
      <c r="E927" s="83" t="n"/>
      <c r="F927" s="83" t="n"/>
      <c r="G927" s="83" t="n"/>
      <c r="H927" s="83" t="n"/>
      <c r="S927">
        <f>IF(24&lt;='設定'!$B$6,"表示","隠す")</f>
        <v/>
      </c>
    </row>
    <row r="928">
      <c r="S928" t="inlineStr">
        <is>
          <t>表示</t>
        </is>
      </c>
    </row>
    <row r="929" ht="26" customHeight="1">
      <c r="B929" s="76">
        <f>IF('名簿'!B38="","（名簿 34行目：なし）",'名簿'!P38)</f>
        <v/>
      </c>
      <c r="C929" s="5" t="n"/>
      <c r="D929" s="5" t="n"/>
      <c r="E929" s="77" t="inlineStr">
        <is>
          <t>提出状況 ▶</t>
        </is>
      </c>
      <c r="F929" s="43" t="n"/>
      <c r="G929" s="34" t="n"/>
      <c r="H929" s="78" t="inlineStr">
        <is>
          <t>状況：</t>
        </is>
      </c>
      <c r="I929" s="79">
        <f>'名簿'!Q38</f>
        <v/>
      </c>
      <c r="J929" s="78" t="inlineStr">
        <is>
          <t>×の数：</t>
        </is>
      </c>
      <c r="K929" s="80">
        <f>'名簿'!R38</f>
        <v/>
      </c>
      <c r="L929" s="81">
        <f>HYPERLINK("#'×入力'!B957","次の人へ ▼")</f>
        <v/>
      </c>
      <c r="S929" t="inlineStr">
        <is>
          <t>表示</t>
        </is>
      </c>
    </row>
    <row r="930" ht="22" customHeight="1">
      <c r="A930" s="35" t="inlineStr">
        <is>
          <t>この日全部 ▶</t>
        </is>
      </c>
      <c r="C930" s="82" t="n"/>
      <c r="D930" s="82" t="n"/>
      <c r="E930" s="82" t="n"/>
      <c r="F930" s="82" t="n"/>
      <c r="G930" s="82" t="n"/>
      <c r="H930" s="82" t="n"/>
      <c r="S930" t="inlineStr">
        <is>
          <t>表示</t>
        </is>
      </c>
    </row>
    <row r="931" ht="28" customHeight="1">
      <c r="A931" s="38" t="inlineStr">
        <is>
          <t>この時間
全部 ▼</t>
        </is>
      </c>
      <c r="B931" s="39" t="inlineStr"/>
      <c r="C931" s="40">
        <f>'設定'!$E$11</f>
        <v/>
      </c>
      <c r="D931" s="40">
        <f>'設定'!$E$12</f>
        <v/>
      </c>
      <c r="E931" s="40">
        <f>'設定'!$E$13</f>
        <v/>
      </c>
      <c r="F931" s="40">
        <f>'設定'!$E$14</f>
        <v/>
      </c>
      <c r="G931" s="40">
        <f>'設定'!$E$15</f>
        <v/>
      </c>
      <c r="H931" s="40">
        <f>'設定'!$E$16</f>
        <v/>
      </c>
      <c r="S931" t="inlineStr">
        <is>
          <t>表示</t>
        </is>
      </c>
    </row>
    <row r="932" ht="21" customHeight="1">
      <c r="A932" s="82" t="n"/>
      <c r="B932" s="47">
        <f>'設定'!$I$11</f>
        <v/>
      </c>
      <c r="C932" s="83" t="n"/>
      <c r="D932" s="83" t="n"/>
      <c r="E932" s="83" t="n"/>
      <c r="F932" s="83" t="n"/>
      <c r="G932" s="83" t="n"/>
      <c r="H932" s="83" t="n"/>
      <c r="S932">
        <f>IF(1&lt;='設定'!$B$6,"表示","隠す")</f>
        <v/>
      </c>
    </row>
    <row r="933" ht="21" customHeight="1">
      <c r="A933" s="82" t="n"/>
      <c r="B933" s="47">
        <f>'設定'!$I$12</f>
        <v/>
      </c>
      <c r="C933" s="83" t="n"/>
      <c r="D933" s="83" t="n"/>
      <c r="E933" s="83" t="inlineStr">
        <is>
          <t>×</t>
        </is>
      </c>
      <c r="F933" s="83" t="n"/>
      <c r="G933" s="83" t="n"/>
      <c r="H933" s="83" t="n"/>
      <c r="S933">
        <f>IF(2&lt;='設定'!$B$6,"表示","隠す")</f>
        <v/>
      </c>
    </row>
    <row r="934" ht="21" customHeight="1">
      <c r="A934" s="82" t="n"/>
      <c r="B934" s="47">
        <f>'設定'!$I$13</f>
        <v/>
      </c>
      <c r="C934" s="83" t="n"/>
      <c r="D934" s="83" t="n"/>
      <c r="E934" s="83" t="inlineStr">
        <is>
          <t>×</t>
        </is>
      </c>
      <c r="F934" s="83" t="n"/>
      <c r="G934" s="83" t="n"/>
      <c r="H934" s="83" t="n"/>
      <c r="S934">
        <f>IF(3&lt;='設定'!$B$6,"表示","隠す")</f>
        <v/>
      </c>
    </row>
    <row r="935" ht="21" customHeight="1">
      <c r="A935" s="82" t="n"/>
      <c r="B935" s="47">
        <f>'設定'!$I$14</f>
        <v/>
      </c>
      <c r="C935" s="83" t="n"/>
      <c r="D935" s="83" t="n"/>
      <c r="E935" s="83" t="n"/>
      <c r="F935" s="83" t="n"/>
      <c r="G935" s="83" t="n"/>
      <c r="H935" s="83" t="n"/>
      <c r="S935">
        <f>IF(4&lt;='設定'!$B$6,"表示","隠す")</f>
        <v/>
      </c>
    </row>
    <row r="936" ht="21" customHeight="1">
      <c r="A936" s="82" t="n"/>
      <c r="B936" s="47">
        <f>'設定'!$I$15</f>
        <v/>
      </c>
      <c r="C936" s="83" t="inlineStr">
        <is>
          <t>×</t>
        </is>
      </c>
      <c r="D936" s="83" t="n"/>
      <c r="E936" s="83" t="n"/>
      <c r="F936" s="83" t="n"/>
      <c r="G936" s="83" t="inlineStr">
        <is>
          <t>×</t>
        </is>
      </c>
      <c r="H936" s="83" t="n"/>
      <c r="S936">
        <f>IF(5&lt;='設定'!$B$6,"表示","隠す")</f>
        <v/>
      </c>
    </row>
    <row r="937" ht="21" customHeight="1">
      <c r="A937" s="82" t="n"/>
      <c r="B937" s="47">
        <f>'設定'!$I$16</f>
        <v/>
      </c>
      <c r="C937" s="83" t="n"/>
      <c r="D937" s="83" t="inlineStr">
        <is>
          <t>×</t>
        </is>
      </c>
      <c r="E937" s="83" t="n"/>
      <c r="F937" s="83" t="n"/>
      <c r="G937" s="83" t="n"/>
      <c r="H937" s="83" t="n"/>
      <c r="S937">
        <f>IF(6&lt;='設定'!$B$6,"表示","隠す")</f>
        <v/>
      </c>
    </row>
    <row r="938" ht="21" customHeight="1">
      <c r="A938" s="82" t="n"/>
      <c r="B938" s="47">
        <f>'設定'!$I$17</f>
        <v/>
      </c>
      <c r="C938" s="83" t="n"/>
      <c r="D938" s="83" t="n"/>
      <c r="E938" s="83" t="inlineStr">
        <is>
          <t>×</t>
        </is>
      </c>
      <c r="F938" s="83" t="inlineStr">
        <is>
          <t>×</t>
        </is>
      </c>
      <c r="G938" s="83" t="n"/>
      <c r="H938" s="83" t="n"/>
      <c r="S938">
        <f>IF(7&lt;='設定'!$B$6,"表示","隠す")</f>
        <v/>
      </c>
    </row>
    <row r="939" ht="21" customHeight="1">
      <c r="A939" s="82" t="n"/>
      <c r="B939" s="47">
        <f>'設定'!$I$18</f>
        <v/>
      </c>
      <c r="C939" s="83" t="n"/>
      <c r="D939" s="83" t="n"/>
      <c r="E939" s="83" t="inlineStr">
        <is>
          <t>×</t>
        </is>
      </c>
      <c r="F939" s="83" t="n"/>
      <c r="G939" s="83" t="n"/>
      <c r="H939" s="83" t="n"/>
      <c r="S939">
        <f>IF(8&lt;='設定'!$B$6,"表示","隠す")</f>
        <v/>
      </c>
    </row>
    <row r="940" ht="21" customHeight="1">
      <c r="A940" s="82" t="n"/>
      <c r="B940" s="47">
        <f>'設定'!$I$19</f>
        <v/>
      </c>
      <c r="C940" s="83" t="inlineStr">
        <is>
          <t>×</t>
        </is>
      </c>
      <c r="D940" s="83" t="inlineStr">
        <is>
          <t>×</t>
        </is>
      </c>
      <c r="E940" s="83" t="n"/>
      <c r="F940" s="83" t="n"/>
      <c r="G940" s="83" t="n"/>
      <c r="H940" s="83" t="n"/>
      <c r="S940">
        <f>IF(9&lt;='設定'!$B$6,"表示","隠す")</f>
        <v/>
      </c>
    </row>
    <row r="941" hidden="1" ht="21" customHeight="1">
      <c r="A941" s="82" t="n"/>
      <c r="B941" s="47">
        <f>'設定'!$I$20</f>
        <v/>
      </c>
      <c r="C941" s="83" t="n"/>
      <c r="D941" s="83" t="n"/>
      <c r="E941" s="83" t="n"/>
      <c r="F941" s="83" t="n"/>
      <c r="G941" s="83" t="n"/>
      <c r="H941" s="83" t="n"/>
      <c r="S941">
        <f>IF(10&lt;='設定'!$B$6,"表示","隠す")</f>
        <v/>
      </c>
    </row>
    <row r="942" hidden="1" ht="21" customHeight="1">
      <c r="A942" s="82" t="n"/>
      <c r="B942" s="47">
        <f>'設定'!$I$21</f>
        <v/>
      </c>
      <c r="C942" s="83" t="n"/>
      <c r="D942" s="83" t="n"/>
      <c r="E942" s="83" t="n"/>
      <c r="F942" s="83" t="n"/>
      <c r="G942" s="83" t="n"/>
      <c r="H942" s="83" t="n"/>
      <c r="S942">
        <f>IF(11&lt;='設定'!$B$6,"表示","隠す")</f>
        <v/>
      </c>
    </row>
    <row r="943" hidden="1" ht="21" customHeight="1">
      <c r="A943" s="82" t="n"/>
      <c r="B943" s="47">
        <f>'設定'!$I$22</f>
        <v/>
      </c>
      <c r="C943" s="83" t="n"/>
      <c r="D943" s="83" t="n"/>
      <c r="E943" s="83" t="n"/>
      <c r="F943" s="83" t="n"/>
      <c r="G943" s="83" t="n"/>
      <c r="H943" s="83" t="n"/>
      <c r="S943">
        <f>IF(12&lt;='設定'!$B$6,"表示","隠す")</f>
        <v/>
      </c>
    </row>
    <row r="944" hidden="1" ht="21" customHeight="1">
      <c r="A944" s="82" t="n"/>
      <c r="B944" s="47">
        <f>'設定'!$I$23</f>
        <v/>
      </c>
      <c r="C944" s="83" t="n"/>
      <c r="D944" s="83" t="n"/>
      <c r="E944" s="83" t="n"/>
      <c r="F944" s="83" t="n"/>
      <c r="G944" s="83" t="n"/>
      <c r="H944" s="83" t="n"/>
      <c r="S944">
        <f>IF(13&lt;='設定'!$B$6,"表示","隠す")</f>
        <v/>
      </c>
    </row>
    <row r="945" hidden="1" ht="21" customHeight="1">
      <c r="A945" s="82" t="n"/>
      <c r="B945" s="47">
        <f>'設定'!$I$24</f>
        <v/>
      </c>
      <c r="C945" s="83" t="n"/>
      <c r="D945" s="83" t="n"/>
      <c r="E945" s="83" t="n"/>
      <c r="F945" s="83" t="n"/>
      <c r="G945" s="83" t="n"/>
      <c r="H945" s="83" t="n"/>
      <c r="S945">
        <f>IF(14&lt;='設定'!$B$6,"表示","隠す")</f>
        <v/>
      </c>
    </row>
    <row r="946" hidden="1" ht="21" customHeight="1">
      <c r="A946" s="82" t="n"/>
      <c r="B946" s="47">
        <f>'設定'!$I$25</f>
        <v/>
      </c>
      <c r="C946" s="83" t="n"/>
      <c r="D946" s="83" t="n"/>
      <c r="E946" s="83" t="n"/>
      <c r="F946" s="83" t="n"/>
      <c r="G946" s="83" t="n"/>
      <c r="H946" s="83" t="n"/>
      <c r="S946">
        <f>IF(15&lt;='設定'!$B$6,"表示","隠す")</f>
        <v/>
      </c>
    </row>
    <row r="947" hidden="1" ht="21" customHeight="1">
      <c r="A947" s="82" t="n"/>
      <c r="B947" s="47">
        <f>'設定'!$I$26</f>
        <v/>
      </c>
      <c r="C947" s="83" t="n"/>
      <c r="D947" s="83" t="n"/>
      <c r="E947" s="83" t="n"/>
      <c r="F947" s="83" t="n"/>
      <c r="G947" s="83" t="n"/>
      <c r="H947" s="83" t="n"/>
      <c r="S947">
        <f>IF(16&lt;='設定'!$B$6,"表示","隠す")</f>
        <v/>
      </c>
    </row>
    <row r="948" hidden="1" ht="21" customHeight="1">
      <c r="A948" s="82" t="n"/>
      <c r="B948" s="47">
        <f>'設定'!$I$27</f>
        <v/>
      </c>
      <c r="C948" s="83" t="n"/>
      <c r="D948" s="83" t="n"/>
      <c r="E948" s="83" t="n"/>
      <c r="F948" s="83" t="n"/>
      <c r="G948" s="83" t="n"/>
      <c r="H948" s="83" t="n"/>
      <c r="S948">
        <f>IF(17&lt;='設定'!$B$6,"表示","隠す")</f>
        <v/>
      </c>
    </row>
    <row r="949" hidden="1" ht="21" customHeight="1">
      <c r="A949" s="82" t="n"/>
      <c r="B949" s="47">
        <f>'設定'!$I$28</f>
        <v/>
      </c>
      <c r="C949" s="83" t="n"/>
      <c r="D949" s="83" t="n"/>
      <c r="E949" s="83" t="n"/>
      <c r="F949" s="83" t="n"/>
      <c r="G949" s="83" t="n"/>
      <c r="H949" s="83" t="n"/>
      <c r="S949">
        <f>IF(18&lt;='設定'!$B$6,"表示","隠す")</f>
        <v/>
      </c>
    </row>
    <row r="950" hidden="1" ht="21" customHeight="1">
      <c r="A950" s="82" t="n"/>
      <c r="B950" s="47">
        <f>'設定'!$I$29</f>
        <v/>
      </c>
      <c r="C950" s="83" t="n"/>
      <c r="D950" s="83" t="n"/>
      <c r="E950" s="83" t="n"/>
      <c r="F950" s="83" t="n"/>
      <c r="G950" s="83" t="n"/>
      <c r="H950" s="83" t="n"/>
      <c r="S950">
        <f>IF(19&lt;='設定'!$B$6,"表示","隠す")</f>
        <v/>
      </c>
    </row>
    <row r="951" hidden="1" ht="21" customHeight="1">
      <c r="A951" s="82" t="n"/>
      <c r="B951" s="47">
        <f>'設定'!$I$30</f>
        <v/>
      </c>
      <c r="C951" s="83" t="n"/>
      <c r="D951" s="83" t="n"/>
      <c r="E951" s="83" t="n"/>
      <c r="F951" s="83" t="n"/>
      <c r="G951" s="83" t="n"/>
      <c r="H951" s="83" t="n"/>
      <c r="S951">
        <f>IF(20&lt;='設定'!$B$6,"表示","隠す")</f>
        <v/>
      </c>
    </row>
    <row r="952" hidden="1" ht="21" customHeight="1">
      <c r="A952" s="82" t="n"/>
      <c r="B952" s="47">
        <f>'設定'!$I$31</f>
        <v/>
      </c>
      <c r="C952" s="83" t="n"/>
      <c r="D952" s="83" t="n"/>
      <c r="E952" s="83" t="n"/>
      <c r="F952" s="83" t="n"/>
      <c r="G952" s="83" t="n"/>
      <c r="H952" s="83" t="n"/>
      <c r="S952">
        <f>IF(21&lt;='設定'!$B$6,"表示","隠す")</f>
        <v/>
      </c>
    </row>
    <row r="953" hidden="1" ht="21" customHeight="1">
      <c r="A953" s="82" t="n"/>
      <c r="B953" s="47">
        <f>'設定'!$I$32</f>
        <v/>
      </c>
      <c r="C953" s="83" t="n"/>
      <c r="D953" s="83" t="n"/>
      <c r="E953" s="83" t="n"/>
      <c r="F953" s="83" t="n"/>
      <c r="G953" s="83" t="n"/>
      <c r="H953" s="83" t="n"/>
      <c r="S953">
        <f>IF(22&lt;='設定'!$B$6,"表示","隠す")</f>
        <v/>
      </c>
    </row>
    <row r="954" hidden="1" ht="21" customHeight="1">
      <c r="A954" s="82" t="n"/>
      <c r="B954" s="47">
        <f>'設定'!$I$33</f>
        <v/>
      </c>
      <c r="C954" s="83" t="n"/>
      <c r="D954" s="83" t="n"/>
      <c r="E954" s="83" t="n"/>
      <c r="F954" s="83" t="n"/>
      <c r="G954" s="83" t="n"/>
      <c r="H954" s="83" t="n"/>
      <c r="S954">
        <f>IF(23&lt;='設定'!$B$6,"表示","隠す")</f>
        <v/>
      </c>
    </row>
    <row r="955" hidden="1" ht="21" customHeight="1">
      <c r="A955" s="82" t="n"/>
      <c r="B955" s="47">
        <f>'設定'!$I$34</f>
        <v/>
      </c>
      <c r="C955" s="83" t="n"/>
      <c r="D955" s="83" t="n"/>
      <c r="E955" s="83" t="n"/>
      <c r="F955" s="83" t="n"/>
      <c r="G955" s="83" t="n"/>
      <c r="H955" s="83" t="n"/>
      <c r="S955">
        <f>IF(24&lt;='設定'!$B$6,"表示","隠す")</f>
        <v/>
      </c>
    </row>
    <row r="956">
      <c r="S956" t="inlineStr">
        <is>
          <t>表示</t>
        </is>
      </c>
    </row>
    <row r="957" ht="26" customHeight="1">
      <c r="B957" s="76">
        <f>IF('名簿'!B39="","（名簿 35行目：なし）",'名簿'!P39)</f>
        <v/>
      </c>
      <c r="C957" s="5" t="n"/>
      <c r="D957" s="5" t="n"/>
      <c r="E957" s="77" t="inlineStr">
        <is>
          <t>提出状況 ▶</t>
        </is>
      </c>
      <c r="F957" s="43" t="n"/>
      <c r="G957" s="34" t="n"/>
      <c r="H957" s="78" t="inlineStr">
        <is>
          <t>状況：</t>
        </is>
      </c>
      <c r="I957" s="79">
        <f>'名簿'!Q39</f>
        <v/>
      </c>
      <c r="J957" s="78" t="inlineStr">
        <is>
          <t>×の数：</t>
        </is>
      </c>
      <c r="K957" s="80">
        <f>'名簿'!R39</f>
        <v/>
      </c>
      <c r="L957" s="81">
        <f>HYPERLINK("#'×入力'!B985","次の人へ ▼")</f>
        <v/>
      </c>
      <c r="S957" t="inlineStr">
        <is>
          <t>表示</t>
        </is>
      </c>
    </row>
    <row r="958" ht="22" customHeight="1">
      <c r="A958" s="35" t="inlineStr">
        <is>
          <t>この日全部 ▶</t>
        </is>
      </c>
      <c r="C958" s="82" t="n"/>
      <c r="D958" s="82" t="n"/>
      <c r="E958" s="82" t="n"/>
      <c r="F958" s="82" t="n"/>
      <c r="G958" s="82" t="n"/>
      <c r="H958" s="82" t="n"/>
      <c r="S958" t="inlineStr">
        <is>
          <t>表示</t>
        </is>
      </c>
    </row>
    <row r="959" ht="28" customHeight="1">
      <c r="A959" s="38" t="inlineStr">
        <is>
          <t>この時間
全部 ▼</t>
        </is>
      </c>
      <c r="B959" s="39" t="inlineStr"/>
      <c r="C959" s="40">
        <f>'設定'!$E$11</f>
        <v/>
      </c>
      <c r="D959" s="40">
        <f>'設定'!$E$12</f>
        <v/>
      </c>
      <c r="E959" s="40">
        <f>'設定'!$E$13</f>
        <v/>
      </c>
      <c r="F959" s="40">
        <f>'設定'!$E$14</f>
        <v/>
      </c>
      <c r="G959" s="40">
        <f>'設定'!$E$15</f>
        <v/>
      </c>
      <c r="H959" s="40">
        <f>'設定'!$E$16</f>
        <v/>
      </c>
      <c r="S959" t="inlineStr">
        <is>
          <t>表示</t>
        </is>
      </c>
    </row>
    <row r="960" ht="21" customHeight="1">
      <c r="A960" s="82" t="n"/>
      <c r="B960" s="47">
        <f>'設定'!$I$11</f>
        <v/>
      </c>
      <c r="C960" s="83" t="n"/>
      <c r="D960" s="83" t="n"/>
      <c r="E960" s="83" t="n"/>
      <c r="F960" s="83" t="n"/>
      <c r="G960" s="83" t="n"/>
      <c r="H960" s="83" t="n"/>
      <c r="S960">
        <f>IF(1&lt;='設定'!$B$6,"表示","隠す")</f>
        <v/>
      </c>
    </row>
    <row r="961" ht="21" customHeight="1">
      <c r="A961" s="82" t="n"/>
      <c r="B961" s="47">
        <f>'設定'!$I$12</f>
        <v/>
      </c>
      <c r="C961" s="83" t="n"/>
      <c r="D961" s="83" t="n"/>
      <c r="E961" s="83" t="n"/>
      <c r="F961" s="83" t="n"/>
      <c r="G961" s="83" t="n"/>
      <c r="H961" s="83" t="n"/>
      <c r="S961">
        <f>IF(2&lt;='設定'!$B$6,"表示","隠す")</f>
        <v/>
      </c>
    </row>
    <row r="962" ht="21" customHeight="1">
      <c r="A962" s="82" t="n"/>
      <c r="B962" s="47">
        <f>'設定'!$I$13</f>
        <v/>
      </c>
      <c r="C962" s="83" t="n"/>
      <c r="D962" s="83" t="n"/>
      <c r="E962" s="83" t="n"/>
      <c r="F962" s="83" t="n"/>
      <c r="G962" s="83" t="n"/>
      <c r="H962" s="83" t="n"/>
      <c r="S962">
        <f>IF(3&lt;='設定'!$B$6,"表示","隠す")</f>
        <v/>
      </c>
    </row>
    <row r="963" ht="21" customHeight="1">
      <c r="A963" s="82" t="n"/>
      <c r="B963" s="47">
        <f>'設定'!$I$14</f>
        <v/>
      </c>
      <c r="C963" s="83" t="n"/>
      <c r="D963" s="83" t="n"/>
      <c r="E963" s="83" t="n"/>
      <c r="F963" s="83" t="n"/>
      <c r="G963" s="83" t="n"/>
      <c r="H963" s="83" t="n"/>
      <c r="S963">
        <f>IF(4&lt;='設定'!$B$6,"表示","隠す")</f>
        <v/>
      </c>
    </row>
    <row r="964" ht="21" customHeight="1">
      <c r="A964" s="82" t="n"/>
      <c r="B964" s="47">
        <f>'設定'!$I$15</f>
        <v/>
      </c>
      <c r="C964" s="83" t="n"/>
      <c r="D964" s="83" t="n"/>
      <c r="E964" s="83" t="n"/>
      <c r="F964" s="83" t="n"/>
      <c r="G964" s="83" t="n"/>
      <c r="H964" s="83" t="n"/>
      <c r="S964">
        <f>IF(5&lt;='設定'!$B$6,"表示","隠す")</f>
        <v/>
      </c>
    </row>
    <row r="965" ht="21" customHeight="1">
      <c r="A965" s="82" t="n"/>
      <c r="B965" s="47">
        <f>'設定'!$I$16</f>
        <v/>
      </c>
      <c r="C965" s="83" t="n"/>
      <c r="D965" s="83" t="n"/>
      <c r="E965" s="83" t="n"/>
      <c r="F965" s="83" t="n"/>
      <c r="G965" s="83" t="n"/>
      <c r="H965" s="83" t="n"/>
      <c r="S965">
        <f>IF(6&lt;='設定'!$B$6,"表示","隠す")</f>
        <v/>
      </c>
    </row>
    <row r="966" ht="21" customHeight="1">
      <c r="A966" s="82" t="n"/>
      <c r="B966" s="47">
        <f>'設定'!$I$17</f>
        <v/>
      </c>
      <c r="C966" s="83" t="n"/>
      <c r="D966" s="83" t="n"/>
      <c r="E966" s="83" t="n"/>
      <c r="F966" s="83" t="n"/>
      <c r="G966" s="83" t="n"/>
      <c r="H966" s="83" t="n"/>
      <c r="S966">
        <f>IF(7&lt;='設定'!$B$6,"表示","隠す")</f>
        <v/>
      </c>
    </row>
    <row r="967" ht="21" customHeight="1">
      <c r="A967" s="82" t="n"/>
      <c r="B967" s="47">
        <f>'設定'!$I$18</f>
        <v/>
      </c>
      <c r="C967" s="83" t="n"/>
      <c r="D967" s="83" t="n"/>
      <c r="E967" s="83" t="n"/>
      <c r="F967" s="83" t="n"/>
      <c r="G967" s="83" t="n"/>
      <c r="H967" s="83" t="n"/>
      <c r="S967">
        <f>IF(8&lt;='設定'!$B$6,"表示","隠す")</f>
        <v/>
      </c>
    </row>
    <row r="968" ht="21" customHeight="1">
      <c r="A968" s="82" t="n"/>
      <c r="B968" s="47">
        <f>'設定'!$I$19</f>
        <v/>
      </c>
      <c r="C968" s="83" t="n"/>
      <c r="D968" s="83" t="n"/>
      <c r="E968" s="83" t="n"/>
      <c r="F968" s="83" t="n"/>
      <c r="G968" s="83" t="n"/>
      <c r="H968" s="83" t="n"/>
      <c r="S968">
        <f>IF(9&lt;='設定'!$B$6,"表示","隠す")</f>
        <v/>
      </c>
    </row>
    <row r="969" hidden="1" ht="21" customHeight="1">
      <c r="A969" s="82" t="n"/>
      <c r="B969" s="47">
        <f>'設定'!$I$20</f>
        <v/>
      </c>
      <c r="C969" s="83" t="n"/>
      <c r="D969" s="83" t="n"/>
      <c r="E969" s="83" t="n"/>
      <c r="F969" s="83" t="n"/>
      <c r="G969" s="83" t="n"/>
      <c r="H969" s="83" t="n"/>
      <c r="S969">
        <f>IF(10&lt;='設定'!$B$6,"表示","隠す")</f>
        <v/>
      </c>
    </row>
    <row r="970" hidden="1" ht="21" customHeight="1">
      <c r="A970" s="82" t="n"/>
      <c r="B970" s="47">
        <f>'設定'!$I$21</f>
        <v/>
      </c>
      <c r="C970" s="83" t="n"/>
      <c r="D970" s="83" t="n"/>
      <c r="E970" s="83" t="n"/>
      <c r="F970" s="83" t="n"/>
      <c r="G970" s="83" t="n"/>
      <c r="H970" s="83" t="n"/>
      <c r="S970">
        <f>IF(11&lt;='設定'!$B$6,"表示","隠す")</f>
        <v/>
      </c>
    </row>
    <row r="971" hidden="1" ht="21" customHeight="1">
      <c r="A971" s="82" t="n"/>
      <c r="B971" s="47">
        <f>'設定'!$I$22</f>
        <v/>
      </c>
      <c r="C971" s="83" t="n"/>
      <c r="D971" s="83" t="n"/>
      <c r="E971" s="83" t="n"/>
      <c r="F971" s="83" t="n"/>
      <c r="G971" s="83" t="n"/>
      <c r="H971" s="83" t="n"/>
      <c r="S971">
        <f>IF(12&lt;='設定'!$B$6,"表示","隠す")</f>
        <v/>
      </c>
    </row>
    <row r="972" hidden="1" ht="21" customHeight="1">
      <c r="A972" s="82" t="n"/>
      <c r="B972" s="47">
        <f>'設定'!$I$23</f>
        <v/>
      </c>
      <c r="C972" s="83" t="n"/>
      <c r="D972" s="83" t="n"/>
      <c r="E972" s="83" t="n"/>
      <c r="F972" s="83" t="n"/>
      <c r="G972" s="83" t="n"/>
      <c r="H972" s="83" t="n"/>
      <c r="S972">
        <f>IF(13&lt;='設定'!$B$6,"表示","隠す")</f>
        <v/>
      </c>
    </row>
    <row r="973" hidden="1" ht="21" customHeight="1">
      <c r="A973" s="82" t="n"/>
      <c r="B973" s="47">
        <f>'設定'!$I$24</f>
        <v/>
      </c>
      <c r="C973" s="83" t="n"/>
      <c r="D973" s="83" t="n"/>
      <c r="E973" s="83" t="n"/>
      <c r="F973" s="83" t="n"/>
      <c r="G973" s="83" t="n"/>
      <c r="H973" s="83" t="n"/>
      <c r="S973">
        <f>IF(14&lt;='設定'!$B$6,"表示","隠す")</f>
        <v/>
      </c>
    </row>
    <row r="974" hidden="1" ht="21" customHeight="1">
      <c r="A974" s="82" t="n"/>
      <c r="B974" s="47">
        <f>'設定'!$I$25</f>
        <v/>
      </c>
      <c r="C974" s="83" t="n"/>
      <c r="D974" s="83" t="n"/>
      <c r="E974" s="83" t="n"/>
      <c r="F974" s="83" t="n"/>
      <c r="G974" s="83" t="n"/>
      <c r="H974" s="83" t="n"/>
      <c r="S974">
        <f>IF(15&lt;='設定'!$B$6,"表示","隠す")</f>
        <v/>
      </c>
    </row>
    <row r="975" hidden="1" ht="21" customHeight="1">
      <c r="A975" s="82" t="n"/>
      <c r="B975" s="47">
        <f>'設定'!$I$26</f>
        <v/>
      </c>
      <c r="C975" s="83" t="n"/>
      <c r="D975" s="83" t="n"/>
      <c r="E975" s="83" t="n"/>
      <c r="F975" s="83" t="n"/>
      <c r="G975" s="83" t="n"/>
      <c r="H975" s="83" t="n"/>
      <c r="S975">
        <f>IF(16&lt;='設定'!$B$6,"表示","隠す")</f>
        <v/>
      </c>
    </row>
    <row r="976" hidden="1" ht="21" customHeight="1">
      <c r="A976" s="82" t="n"/>
      <c r="B976" s="47">
        <f>'設定'!$I$27</f>
        <v/>
      </c>
      <c r="C976" s="83" t="n"/>
      <c r="D976" s="83" t="n"/>
      <c r="E976" s="83" t="n"/>
      <c r="F976" s="83" t="n"/>
      <c r="G976" s="83" t="n"/>
      <c r="H976" s="83" t="n"/>
      <c r="S976">
        <f>IF(17&lt;='設定'!$B$6,"表示","隠す")</f>
        <v/>
      </c>
    </row>
    <row r="977" hidden="1" ht="21" customHeight="1">
      <c r="A977" s="82" t="n"/>
      <c r="B977" s="47">
        <f>'設定'!$I$28</f>
        <v/>
      </c>
      <c r="C977" s="83" t="n"/>
      <c r="D977" s="83" t="n"/>
      <c r="E977" s="83" t="n"/>
      <c r="F977" s="83" t="n"/>
      <c r="G977" s="83" t="n"/>
      <c r="H977" s="83" t="n"/>
      <c r="S977">
        <f>IF(18&lt;='設定'!$B$6,"表示","隠す")</f>
        <v/>
      </c>
    </row>
    <row r="978" hidden="1" ht="21" customHeight="1">
      <c r="A978" s="82" t="n"/>
      <c r="B978" s="47">
        <f>'設定'!$I$29</f>
        <v/>
      </c>
      <c r="C978" s="83" t="n"/>
      <c r="D978" s="83" t="n"/>
      <c r="E978" s="83" t="n"/>
      <c r="F978" s="83" t="n"/>
      <c r="G978" s="83" t="n"/>
      <c r="H978" s="83" t="n"/>
      <c r="S978">
        <f>IF(19&lt;='設定'!$B$6,"表示","隠す")</f>
        <v/>
      </c>
    </row>
    <row r="979" hidden="1" ht="21" customHeight="1">
      <c r="A979" s="82" t="n"/>
      <c r="B979" s="47">
        <f>'設定'!$I$30</f>
        <v/>
      </c>
      <c r="C979" s="83" t="n"/>
      <c r="D979" s="83" t="n"/>
      <c r="E979" s="83" t="n"/>
      <c r="F979" s="83" t="n"/>
      <c r="G979" s="83" t="n"/>
      <c r="H979" s="83" t="n"/>
      <c r="S979">
        <f>IF(20&lt;='設定'!$B$6,"表示","隠す")</f>
        <v/>
      </c>
    </row>
    <row r="980" hidden="1" ht="21" customHeight="1">
      <c r="A980" s="82" t="n"/>
      <c r="B980" s="47">
        <f>'設定'!$I$31</f>
        <v/>
      </c>
      <c r="C980" s="83" t="n"/>
      <c r="D980" s="83" t="n"/>
      <c r="E980" s="83" t="n"/>
      <c r="F980" s="83" t="n"/>
      <c r="G980" s="83" t="n"/>
      <c r="H980" s="83" t="n"/>
      <c r="S980">
        <f>IF(21&lt;='設定'!$B$6,"表示","隠す")</f>
        <v/>
      </c>
    </row>
    <row r="981" hidden="1" ht="21" customHeight="1">
      <c r="A981" s="82" t="n"/>
      <c r="B981" s="47">
        <f>'設定'!$I$32</f>
        <v/>
      </c>
      <c r="C981" s="83" t="n"/>
      <c r="D981" s="83" t="n"/>
      <c r="E981" s="83" t="n"/>
      <c r="F981" s="83" t="n"/>
      <c r="G981" s="83" t="n"/>
      <c r="H981" s="83" t="n"/>
      <c r="S981">
        <f>IF(22&lt;='設定'!$B$6,"表示","隠す")</f>
        <v/>
      </c>
    </row>
    <row r="982" hidden="1" ht="21" customHeight="1">
      <c r="A982" s="82" t="n"/>
      <c r="B982" s="47">
        <f>'設定'!$I$33</f>
        <v/>
      </c>
      <c r="C982" s="83" t="n"/>
      <c r="D982" s="83" t="n"/>
      <c r="E982" s="83" t="n"/>
      <c r="F982" s="83" t="n"/>
      <c r="G982" s="83" t="n"/>
      <c r="H982" s="83" t="n"/>
      <c r="S982">
        <f>IF(23&lt;='設定'!$B$6,"表示","隠す")</f>
        <v/>
      </c>
    </row>
    <row r="983" hidden="1" ht="21" customHeight="1">
      <c r="A983" s="82" t="n"/>
      <c r="B983" s="47">
        <f>'設定'!$I$34</f>
        <v/>
      </c>
      <c r="C983" s="83" t="n"/>
      <c r="D983" s="83" t="n"/>
      <c r="E983" s="83" t="n"/>
      <c r="F983" s="83" t="n"/>
      <c r="G983" s="83" t="n"/>
      <c r="H983" s="83" t="n"/>
      <c r="S983">
        <f>IF(24&lt;='設定'!$B$6,"表示","隠す")</f>
        <v/>
      </c>
    </row>
    <row r="984">
      <c r="S984" t="inlineStr">
        <is>
          <t>表示</t>
        </is>
      </c>
    </row>
    <row r="985" ht="26" customHeight="1">
      <c r="B985" s="76">
        <f>IF('名簿'!B40="","（名簿 36行目：なし）",'名簿'!P40)</f>
        <v/>
      </c>
      <c r="C985" s="5" t="n"/>
      <c r="D985" s="5" t="n"/>
      <c r="E985" s="77" t="inlineStr">
        <is>
          <t>提出状況 ▶</t>
        </is>
      </c>
      <c r="F985" s="43" t="n"/>
      <c r="G985" s="34" t="n"/>
      <c r="H985" s="78" t="inlineStr">
        <is>
          <t>状況：</t>
        </is>
      </c>
      <c r="I985" s="79">
        <f>'名簿'!Q40</f>
        <v/>
      </c>
      <c r="J985" s="78" t="inlineStr">
        <is>
          <t>×の数：</t>
        </is>
      </c>
      <c r="K985" s="80">
        <f>'名簿'!R40</f>
        <v/>
      </c>
      <c r="L985" s="81">
        <f>HYPERLINK("#'×入力'!B1013","次の人へ ▼")</f>
        <v/>
      </c>
      <c r="S985" t="inlineStr">
        <is>
          <t>表示</t>
        </is>
      </c>
    </row>
    <row r="986" ht="22" customHeight="1">
      <c r="A986" s="35" t="inlineStr">
        <is>
          <t>この日全部 ▶</t>
        </is>
      </c>
      <c r="C986" s="82" t="n"/>
      <c r="D986" s="82" t="n"/>
      <c r="E986" s="82" t="n"/>
      <c r="F986" s="82" t="n"/>
      <c r="G986" s="82" t="n"/>
      <c r="H986" s="82" t="n"/>
      <c r="S986" t="inlineStr">
        <is>
          <t>表示</t>
        </is>
      </c>
    </row>
    <row r="987" ht="28" customHeight="1">
      <c r="A987" s="38" t="inlineStr">
        <is>
          <t>この時間
全部 ▼</t>
        </is>
      </c>
      <c r="B987" s="39" t="inlineStr"/>
      <c r="C987" s="40">
        <f>'設定'!$E$11</f>
        <v/>
      </c>
      <c r="D987" s="40">
        <f>'設定'!$E$12</f>
        <v/>
      </c>
      <c r="E987" s="40">
        <f>'設定'!$E$13</f>
        <v/>
      </c>
      <c r="F987" s="40">
        <f>'設定'!$E$14</f>
        <v/>
      </c>
      <c r="G987" s="40">
        <f>'設定'!$E$15</f>
        <v/>
      </c>
      <c r="H987" s="40">
        <f>'設定'!$E$16</f>
        <v/>
      </c>
      <c r="S987" t="inlineStr">
        <is>
          <t>表示</t>
        </is>
      </c>
    </row>
    <row r="988" ht="21" customHeight="1">
      <c r="A988" s="82" t="n"/>
      <c r="B988" s="47">
        <f>'設定'!$I$11</f>
        <v/>
      </c>
      <c r="C988" s="83" t="n"/>
      <c r="D988" s="83" t="n"/>
      <c r="E988" s="83" t="n"/>
      <c r="F988" s="83" t="n"/>
      <c r="G988" s="83" t="n"/>
      <c r="H988" s="83" t="n"/>
      <c r="S988">
        <f>IF(1&lt;='設定'!$B$6,"表示","隠す")</f>
        <v/>
      </c>
    </row>
    <row r="989" ht="21" customHeight="1">
      <c r="A989" s="82" t="n"/>
      <c r="B989" s="47">
        <f>'設定'!$I$12</f>
        <v/>
      </c>
      <c r="C989" s="83" t="n"/>
      <c r="D989" s="83" t="n"/>
      <c r="E989" s="83" t="n"/>
      <c r="F989" s="83" t="n"/>
      <c r="G989" s="83" t="n"/>
      <c r="H989" s="83" t="n"/>
      <c r="S989">
        <f>IF(2&lt;='設定'!$B$6,"表示","隠す")</f>
        <v/>
      </c>
    </row>
    <row r="990" ht="21" customHeight="1">
      <c r="A990" s="82" t="n"/>
      <c r="B990" s="47">
        <f>'設定'!$I$13</f>
        <v/>
      </c>
      <c r="C990" s="83" t="n"/>
      <c r="D990" s="83" t="n"/>
      <c r="E990" s="83" t="n"/>
      <c r="F990" s="83" t="n"/>
      <c r="G990" s="83" t="n"/>
      <c r="H990" s="83" t="n"/>
      <c r="S990">
        <f>IF(3&lt;='設定'!$B$6,"表示","隠す")</f>
        <v/>
      </c>
    </row>
    <row r="991" ht="21" customHeight="1">
      <c r="A991" s="82" t="n"/>
      <c r="B991" s="47">
        <f>'設定'!$I$14</f>
        <v/>
      </c>
      <c r="C991" s="83" t="n"/>
      <c r="D991" s="83" t="n"/>
      <c r="E991" s="83" t="n"/>
      <c r="F991" s="83" t="n"/>
      <c r="G991" s="83" t="n"/>
      <c r="H991" s="83" t="n"/>
      <c r="S991">
        <f>IF(4&lt;='設定'!$B$6,"表示","隠す")</f>
        <v/>
      </c>
    </row>
    <row r="992" ht="21" customHeight="1">
      <c r="A992" s="82" t="n"/>
      <c r="B992" s="47">
        <f>'設定'!$I$15</f>
        <v/>
      </c>
      <c r="C992" s="83" t="n"/>
      <c r="D992" s="83" t="n"/>
      <c r="E992" s="83" t="n"/>
      <c r="F992" s="83" t="n"/>
      <c r="G992" s="83" t="n"/>
      <c r="H992" s="83" t="n"/>
      <c r="S992">
        <f>IF(5&lt;='設定'!$B$6,"表示","隠す")</f>
        <v/>
      </c>
    </row>
    <row r="993" ht="21" customHeight="1">
      <c r="A993" s="82" t="n"/>
      <c r="B993" s="47">
        <f>'設定'!$I$16</f>
        <v/>
      </c>
      <c r="C993" s="83" t="n"/>
      <c r="D993" s="83" t="n"/>
      <c r="E993" s="83" t="n"/>
      <c r="F993" s="83" t="n"/>
      <c r="G993" s="83" t="n"/>
      <c r="H993" s="83" t="n"/>
      <c r="S993">
        <f>IF(6&lt;='設定'!$B$6,"表示","隠す")</f>
        <v/>
      </c>
    </row>
    <row r="994" ht="21" customHeight="1">
      <c r="A994" s="82" t="n"/>
      <c r="B994" s="47">
        <f>'設定'!$I$17</f>
        <v/>
      </c>
      <c r="C994" s="83" t="n"/>
      <c r="D994" s="83" t="n"/>
      <c r="E994" s="83" t="n"/>
      <c r="F994" s="83" t="n"/>
      <c r="G994" s="83" t="n"/>
      <c r="H994" s="83" t="n"/>
      <c r="S994">
        <f>IF(7&lt;='設定'!$B$6,"表示","隠す")</f>
        <v/>
      </c>
    </row>
    <row r="995" ht="21" customHeight="1">
      <c r="A995" s="82" t="n"/>
      <c r="B995" s="47">
        <f>'設定'!$I$18</f>
        <v/>
      </c>
      <c r="C995" s="83" t="n"/>
      <c r="D995" s="83" t="n"/>
      <c r="E995" s="83" t="n"/>
      <c r="F995" s="83" t="n"/>
      <c r="G995" s="83" t="n"/>
      <c r="H995" s="83" t="n"/>
      <c r="S995">
        <f>IF(8&lt;='設定'!$B$6,"表示","隠す")</f>
        <v/>
      </c>
    </row>
    <row r="996" ht="21" customHeight="1">
      <c r="A996" s="82" t="n"/>
      <c r="B996" s="47">
        <f>'設定'!$I$19</f>
        <v/>
      </c>
      <c r="C996" s="83" t="n"/>
      <c r="D996" s="83" t="n"/>
      <c r="E996" s="83" t="n"/>
      <c r="F996" s="83" t="n"/>
      <c r="G996" s="83" t="n"/>
      <c r="H996" s="83" t="n"/>
      <c r="S996">
        <f>IF(9&lt;='設定'!$B$6,"表示","隠す")</f>
        <v/>
      </c>
    </row>
    <row r="997" hidden="1" ht="21" customHeight="1">
      <c r="A997" s="82" t="n"/>
      <c r="B997" s="47">
        <f>'設定'!$I$20</f>
        <v/>
      </c>
      <c r="C997" s="83" t="n"/>
      <c r="D997" s="83" t="n"/>
      <c r="E997" s="83" t="n"/>
      <c r="F997" s="83" t="n"/>
      <c r="G997" s="83" t="n"/>
      <c r="H997" s="83" t="n"/>
      <c r="S997">
        <f>IF(10&lt;='設定'!$B$6,"表示","隠す")</f>
        <v/>
      </c>
    </row>
    <row r="998" hidden="1" ht="21" customHeight="1">
      <c r="A998" s="82" t="n"/>
      <c r="B998" s="47">
        <f>'設定'!$I$21</f>
        <v/>
      </c>
      <c r="C998" s="83" t="n"/>
      <c r="D998" s="83" t="n"/>
      <c r="E998" s="83" t="n"/>
      <c r="F998" s="83" t="n"/>
      <c r="G998" s="83" t="n"/>
      <c r="H998" s="83" t="n"/>
      <c r="S998">
        <f>IF(11&lt;='設定'!$B$6,"表示","隠す")</f>
        <v/>
      </c>
    </row>
    <row r="999" hidden="1" ht="21" customHeight="1">
      <c r="A999" s="82" t="n"/>
      <c r="B999" s="47">
        <f>'設定'!$I$22</f>
        <v/>
      </c>
      <c r="C999" s="83" t="n"/>
      <c r="D999" s="83" t="n"/>
      <c r="E999" s="83" t="n"/>
      <c r="F999" s="83" t="n"/>
      <c r="G999" s="83" t="n"/>
      <c r="H999" s="83" t="n"/>
      <c r="S999">
        <f>IF(12&lt;='設定'!$B$6,"表示","隠す")</f>
        <v/>
      </c>
    </row>
    <row r="1000" hidden="1" ht="21" customHeight="1">
      <c r="A1000" s="82" t="n"/>
      <c r="B1000" s="47">
        <f>'設定'!$I$23</f>
        <v/>
      </c>
      <c r="C1000" s="83" t="n"/>
      <c r="D1000" s="83" t="n"/>
      <c r="E1000" s="83" t="n"/>
      <c r="F1000" s="83" t="n"/>
      <c r="G1000" s="83" t="n"/>
      <c r="H1000" s="83" t="n"/>
      <c r="S1000">
        <f>IF(13&lt;='設定'!$B$6,"表示","隠す")</f>
        <v/>
      </c>
    </row>
    <row r="1001" hidden="1" ht="21" customHeight="1">
      <c r="A1001" s="82" t="n"/>
      <c r="B1001" s="47">
        <f>'設定'!$I$24</f>
        <v/>
      </c>
      <c r="C1001" s="83" t="n"/>
      <c r="D1001" s="83" t="n"/>
      <c r="E1001" s="83" t="n"/>
      <c r="F1001" s="83" t="n"/>
      <c r="G1001" s="83" t="n"/>
      <c r="H1001" s="83" t="n"/>
      <c r="S1001">
        <f>IF(14&lt;='設定'!$B$6,"表示","隠す")</f>
        <v/>
      </c>
    </row>
    <row r="1002" hidden="1" ht="21" customHeight="1">
      <c r="A1002" s="82" t="n"/>
      <c r="B1002" s="47">
        <f>'設定'!$I$25</f>
        <v/>
      </c>
      <c r="C1002" s="83" t="n"/>
      <c r="D1002" s="83" t="n"/>
      <c r="E1002" s="83" t="n"/>
      <c r="F1002" s="83" t="n"/>
      <c r="G1002" s="83" t="n"/>
      <c r="H1002" s="83" t="n"/>
      <c r="S1002">
        <f>IF(15&lt;='設定'!$B$6,"表示","隠す")</f>
        <v/>
      </c>
    </row>
    <row r="1003" hidden="1" ht="21" customHeight="1">
      <c r="A1003" s="82" t="n"/>
      <c r="B1003" s="47">
        <f>'設定'!$I$26</f>
        <v/>
      </c>
      <c r="C1003" s="83" t="n"/>
      <c r="D1003" s="83" t="n"/>
      <c r="E1003" s="83" t="n"/>
      <c r="F1003" s="83" t="n"/>
      <c r="G1003" s="83" t="n"/>
      <c r="H1003" s="83" t="n"/>
      <c r="S1003">
        <f>IF(16&lt;='設定'!$B$6,"表示","隠す")</f>
        <v/>
      </c>
    </row>
    <row r="1004" hidden="1" ht="21" customHeight="1">
      <c r="A1004" s="82" t="n"/>
      <c r="B1004" s="47">
        <f>'設定'!$I$27</f>
        <v/>
      </c>
      <c r="C1004" s="83" t="n"/>
      <c r="D1004" s="83" t="n"/>
      <c r="E1004" s="83" t="n"/>
      <c r="F1004" s="83" t="n"/>
      <c r="G1004" s="83" t="n"/>
      <c r="H1004" s="83" t="n"/>
      <c r="S1004">
        <f>IF(17&lt;='設定'!$B$6,"表示","隠す")</f>
        <v/>
      </c>
    </row>
    <row r="1005" hidden="1" ht="21" customHeight="1">
      <c r="A1005" s="82" t="n"/>
      <c r="B1005" s="47">
        <f>'設定'!$I$28</f>
        <v/>
      </c>
      <c r="C1005" s="83" t="n"/>
      <c r="D1005" s="83" t="n"/>
      <c r="E1005" s="83" t="n"/>
      <c r="F1005" s="83" t="n"/>
      <c r="G1005" s="83" t="n"/>
      <c r="H1005" s="83" t="n"/>
      <c r="S1005">
        <f>IF(18&lt;='設定'!$B$6,"表示","隠す")</f>
        <v/>
      </c>
    </row>
    <row r="1006" hidden="1" ht="21" customHeight="1">
      <c r="A1006" s="82" t="n"/>
      <c r="B1006" s="47">
        <f>'設定'!$I$29</f>
        <v/>
      </c>
      <c r="C1006" s="83" t="n"/>
      <c r="D1006" s="83" t="n"/>
      <c r="E1006" s="83" t="n"/>
      <c r="F1006" s="83" t="n"/>
      <c r="G1006" s="83" t="n"/>
      <c r="H1006" s="83" t="n"/>
      <c r="S1006">
        <f>IF(19&lt;='設定'!$B$6,"表示","隠す")</f>
        <v/>
      </c>
    </row>
    <row r="1007" hidden="1" ht="21" customHeight="1">
      <c r="A1007" s="82" t="n"/>
      <c r="B1007" s="47">
        <f>'設定'!$I$30</f>
        <v/>
      </c>
      <c r="C1007" s="83" t="n"/>
      <c r="D1007" s="83" t="n"/>
      <c r="E1007" s="83" t="n"/>
      <c r="F1007" s="83" t="n"/>
      <c r="G1007" s="83" t="n"/>
      <c r="H1007" s="83" t="n"/>
      <c r="S1007">
        <f>IF(20&lt;='設定'!$B$6,"表示","隠す")</f>
        <v/>
      </c>
    </row>
    <row r="1008" hidden="1" ht="21" customHeight="1">
      <c r="A1008" s="82" t="n"/>
      <c r="B1008" s="47">
        <f>'設定'!$I$31</f>
        <v/>
      </c>
      <c r="C1008" s="83" t="n"/>
      <c r="D1008" s="83" t="n"/>
      <c r="E1008" s="83" t="n"/>
      <c r="F1008" s="83" t="n"/>
      <c r="G1008" s="83" t="n"/>
      <c r="H1008" s="83" t="n"/>
      <c r="S1008">
        <f>IF(21&lt;='設定'!$B$6,"表示","隠す")</f>
        <v/>
      </c>
    </row>
    <row r="1009" hidden="1" ht="21" customHeight="1">
      <c r="A1009" s="82" t="n"/>
      <c r="B1009" s="47">
        <f>'設定'!$I$32</f>
        <v/>
      </c>
      <c r="C1009" s="83" t="n"/>
      <c r="D1009" s="83" t="n"/>
      <c r="E1009" s="83" t="n"/>
      <c r="F1009" s="83" t="n"/>
      <c r="G1009" s="83" t="n"/>
      <c r="H1009" s="83" t="n"/>
      <c r="S1009">
        <f>IF(22&lt;='設定'!$B$6,"表示","隠す")</f>
        <v/>
      </c>
    </row>
    <row r="1010" hidden="1" ht="21" customHeight="1">
      <c r="A1010" s="82" t="n"/>
      <c r="B1010" s="47">
        <f>'設定'!$I$33</f>
        <v/>
      </c>
      <c r="C1010" s="83" t="n"/>
      <c r="D1010" s="83" t="n"/>
      <c r="E1010" s="83" t="n"/>
      <c r="F1010" s="83" t="n"/>
      <c r="G1010" s="83" t="n"/>
      <c r="H1010" s="83" t="n"/>
      <c r="S1010">
        <f>IF(23&lt;='設定'!$B$6,"表示","隠す")</f>
        <v/>
      </c>
    </row>
    <row r="1011" hidden="1" ht="21" customHeight="1">
      <c r="A1011" s="82" t="n"/>
      <c r="B1011" s="47">
        <f>'設定'!$I$34</f>
        <v/>
      </c>
      <c r="C1011" s="83" t="n"/>
      <c r="D1011" s="83" t="n"/>
      <c r="E1011" s="83" t="n"/>
      <c r="F1011" s="83" t="n"/>
      <c r="G1011" s="83" t="n"/>
      <c r="H1011" s="83" t="n"/>
      <c r="S1011">
        <f>IF(24&lt;='設定'!$B$6,"表示","隠す")</f>
        <v/>
      </c>
    </row>
    <row r="1012">
      <c r="S1012" t="inlineStr">
        <is>
          <t>表示</t>
        </is>
      </c>
    </row>
    <row r="1013" ht="26" customHeight="1">
      <c r="B1013" s="76">
        <f>IF('名簿'!B41="","（名簿 37行目：なし）",'名簿'!P41)</f>
        <v/>
      </c>
      <c r="C1013" s="5" t="n"/>
      <c r="D1013" s="5" t="n"/>
      <c r="E1013" s="77" t="inlineStr">
        <is>
          <t>提出状況 ▶</t>
        </is>
      </c>
      <c r="F1013" s="43" t="n"/>
      <c r="G1013" s="34" t="n"/>
      <c r="H1013" s="78" t="inlineStr">
        <is>
          <t>状況：</t>
        </is>
      </c>
      <c r="I1013" s="79">
        <f>'名簿'!Q41</f>
        <v/>
      </c>
      <c r="J1013" s="78" t="inlineStr">
        <is>
          <t>×の数：</t>
        </is>
      </c>
      <c r="K1013" s="80">
        <f>'名簿'!R41</f>
        <v/>
      </c>
      <c r="L1013" s="81">
        <f>HYPERLINK("#'×入力'!B1041","次の人へ ▼")</f>
        <v/>
      </c>
      <c r="S1013" t="inlineStr">
        <is>
          <t>表示</t>
        </is>
      </c>
    </row>
    <row r="1014" ht="22" customHeight="1">
      <c r="A1014" s="35" t="inlineStr">
        <is>
          <t>この日全部 ▶</t>
        </is>
      </c>
      <c r="C1014" s="82" t="n"/>
      <c r="D1014" s="82" t="n"/>
      <c r="E1014" s="82" t="n"/>
      <c r="F1014" s="82" t="n"/>
      <c r="G1014" s="82" t="n"/>
      <c r="H1014" s="82" t="n"/>
      <c r="S1014" t="inlineStr">
        <is>
          <t>表示</t>
        </is>
      </c>
    </row>
    <row r="1015" ht="28" customHeight="1">
      <c r="A1015" s="38" t="inlineStr">
        <is>
          <t>この時間
全部 ▼</t>
        </is>
      </c>
      <c r="B1015" s="39" t="inlineStr"/>
      <c r="C1015" s="40">
        <f>'設定'!$E$11</f>
        <v/>
      </c>
      <c r="D1015" s="40">
        <f>'設定'!$E$12</f>
        <v/>
      </c>
      <c r="E1015" s="40">
        <f>'設定'!$E$13</f>
        <v/>
      </c>
      <c r="F1015" s="40">
        <f>'設定'!$E$14</f>
        <v/>
      </c>
      <c r="G1015" s="40">
        <f>'設定'!$E$15</f>
        <v/>
      </c>
      <c r="H1015" s="40">
        <f>'設定'!$E$16</f>
        <v/>
      </c>
      <c r="S1015" t="inlineStr">
        <is>
          <t>表示</t>
        </is>
      </c>
    </row>
    <row r="1016" ht="21" customHeight="1">
      <c r="A1016" s="82" t="n"/>
      <c r="B1016" s="47">
        <f>'設定'!$I$11</f>
        <v/>
      </c>
      <c r="C1016" s="83" t="n"/>
      <c r="D1016" s="83" t="n"/>
      <c r="E1016" s="83" t="n"/>
      <c r="F1016" s="83" t="n"/>
      <c r="G1016" s="83" t="n"/>
      <c r="H1016" s="83" t="n"/>
      <c r="S1016">
        <f>IF(1&lt;='設定'!$B$6,"表示","隠す")</f>
        <v/>
      </c>
    </row>
    <row r="1017" ht="21" customHeight="1">
      <c r="A1017" s="82" t="n"/>
      <c r="B1017" s="47">
        <f>'設定'!$I$12</f>
        <v/>
      </c>
      <c r="C1017" s="83" t="n"/>
      <c r="D1017" s="83" t="n"/>
      <c r="E1017" s="83" t="n"/>
      <c r="F1017" s="83" t="n"/>
      <c r="G1017" s="83" t="n"/>
      <c r="H1017" s="83" t="n"/>
      <c r="S1017">
        <f>IF(2&lt;='設定'!$B$6,"表示","隠す")</f>
        <v/>
      </c>
    </row>
    <row r="1018" ht="21" customHeight="1">
      <c r="A1018" s="82" t="n"/>
      <c r="B1018" s="47">
        <f>'設定'!$I$13</f>
        <v/>
      </c>
      <c r="C1018" s="83" t="n"/>
      <c r="D1018" s="83" t="n"/>
      <c r="E1018" s="83" t="n"/>
      <c r="F1018" s="83" t="n"/>
      <c r="G1018" s="83" t="n"/>
      <c r="H1018" s="83" t="n"/>
      <c r="S1018">
        <f>IF(3&lt;='設定'!$B$6,"表示","隠す")</f>
        <v/>
      </c>
    </row>
    <row r="1019" ht="21" customHeight="1">
      <c r="A1019" s="82" t="n"/>
      <c r="B1019" s="47">
        <f>'設定'!$I$14</f>
        <v/>
      </c>
      <c r="C1019" s="83" t="n"/>
      <c r="D1019" s="83" t="n"/>
      <c r="E1019" s="83" t="n"/>
      <c r="F1019" s="83" t="n"/>
      <c r="G1019" s="83" t="n"/>
      <c r="H1019" s="83" t="n"/>
      <c r="S1019">
        <f>IF(4&lt;='設定'!$B$6,"表示","隠す")</f>
        <v/>
      </c>
    </row>
    <row r="1020" ht="21" customHeight="1">
      <c r="A1020" s="82" t="n"/>
      <c r="B1020" s="47">
        <f>'設定'!$I$15</f>
        <v/>
      </c>
      <c r="C1020" s="83" t="n"/>
      <c r="D1020" s="83" t="n"/>
      <c r="E1020" s="83" t="n"/>
      <c r="F1020" s="83" t="n"/>
      <c r="G1020" s="83" t="n"/>
      <c r="H1020" s="83" t="n"/>
      <c r="S1020">
        <f>IF(5&lt;='設定'!$B$6,"表示","隠す")</f>
        <v/>
      </c>
    </row>
    <row r="1021" ht="21" customHeight="1">
      <c r="A1021" s="82" t="n"/>
      <c r="B1021" s="47">
        <f>'設定'!$I$16</f>
        <v/>
      </c>
      <c r="C1021" s="83" t="n"/>
      <c r="D1021" s="83" t="n"/>
      <c r="E1021" s="83" t="n"/>
      <c r="F1021" s="83" t="n"/>
      <c r="G1021" s="83" t="n"/>
      <c r="H1021" s="83" t="n"/>
      <c r="S1021">
        <f>IF(6&lt;='設定'!$B$6,"表示","隠す")</f>
        <v/>
      </c>
    </row>
    <row r="1022" ht="21" customHeight="1">
      <c r="A1022" s="82" t="n"/>
      <c r="B1022" s="47">
        <f>'設定'!$I$17</f>
        <v/>
      </c>
      <c r="C1022" s="83" t="n"/>
      <c r="D1022" s="83" t="n"/>
      <c r="E1022" s="83" t="n"/>
      <c r="F1022" s="83" t="n"/>
      <c r="G1022" s="83" t="n"/>
      <c r="H1022" s="83" t="n"/>
      <c r="S1022">
        <f>IF(7&lt;='設定'!$B$6,"表示","隠す")</f>
        <v/>
      </c>
    </row>
    <row r="1023" ht="21" customHeight="1">
      <c r="A1023" s="82" t="n"/>
      <c r="B1023" s="47">
        <f>'設定'!$I$18</f>
        <v/>
      </c>
      <c r="C1023" s="83" t="n"/>
      <c r="D1023" s="83" t="n"/>
      <c r="E1023" s="83" t="n"/>
      <c r="F1023" s="83" t="n"/>
      <c r="G1023" s="83" t="n"/>
      <c r="H1023" s="83" t="n"/>
      <c r="S1023">
        <f>IF(8&lt;='設定'!$B$6,"表示","隠す")</f>
        <v/>
      </c>
    </row>
    <row r="1024" ht="21" customHeight="1">
      <c r="A1024" s="82" t="n"/>
      <c r="B1024" s="47">
        <f>'設定'!$I$19</f>
        <v/>
      </c>
      <c r="C1024" s="83" t="n"/>
      <c r="D1024" s="83" t="n"/>
      <c r="E1024" s="83" t="n"/>
      <c r="F1024" s="83" t="n"/>
      <c r="G1024" s="83" t="n"/>
      <c r="H1024" s="83" t="n"/>
      <c r="S1024">
        <f>IF(9&lt;='設定'!$B$6,"表示","隠す")</f>
        <v/>
      </c>
    </row>
    <row r="1025" hidden="1" ht="21" customHeight="1">
      <c r="A1025" s="82" t="n"/>
      <c r="B1025" s="47">
        <f>'設定'!$I$20</f>
        <v/>
      </c>
      <c r="C1025" s="83" t="n"/>
      <c r="D1025" s="83" t="n"/>
      <c r="E1025" s="83" t="n"/>
      <c r="F1025" s="83" t="n"/>
      <c r="G1025" s="83" t="n"/>
      <c r="H1025" s="83" t="n"/>
      <c r="S1025">
        <f>IF(10&lt;='設定'!$B$6,"表示","隠す")</f>
        <v/>
      </c>
    </row>
    <row r="1026" hidden="1" ht="21" customHeight="1">
      <c r="A1026" s="82" t="n"/>
      <c r="B1026" s="47">
        <f>'設定'!$I$21</f>
        <v/>
      </c>
      <c r="C1026" s="83" t="n"/>
      <c r="D1026" s="83" t="n"/>
      <c r="E1026" s="83" t="n"/>
      <c r="F1026" s="83" t="n"/>
      <c r="G1026" s="83" t="n"/>
      <c r="H1026" s="83" t="n"/>
      <c r="S1026">
        <f>IF(11&lt;='設定'!$B$6,"表示","隠す")</f>
        <v/>
      </c>
    </row>
    <row r="1027" hidden="1" ht="21" customHeight="1">
      <c r="A1027" s="82" t="n"/>
      <c r="B1027" s="47">
        <f>'設定'!$I$22</f>
        <v/>
      </c>
      <c r="C1027" s="83" t="n"/>
      <c r="D1027" s="83" t="n"/>
      <c r="E1027" s="83" t="n"/>
      <c r="F1027" s="83" t="n"/>
      <c r="G1027" s="83" t="n"/>
      <c r="H1027" s="83" t="n"/>
      <c r="S1027">
        <f>IF(12&lt;='設定'!$B$6,"表示","隠す")</f>
        <v/>
      </c>
    </row>
    <row r="1028" hidden="1" ht="21" customHeight="1">
      <c r="A1028" s="82" t="n"/>
      <c r="B1028" s="47">
        <f>'設定'!$I$23</f>
        <v/>
      </c>
      <c r="C1028" s="83" t="n"/>
      <c r="D1028" s="83" t="n"/>
      <c r="E1028" s="83" t="n"/>
      <c r="F1028" s="83" t="n"/>
      <c r="G1028" s="83" t="n"/>
      <c r="H1028" s="83" t="n"/>
      <c r="S1028">
        <f>IF(13&lt;='設定'!$B$6,"表示","隠す")</f>
        <v/>
      </c>
    </row>
    <row r="1029" hidden="1" ht="21" customHeight="1">
      <c r="A1029" s="82" t="n"/>
      <c r="B1029" s="47">
        <f>'設定'!$I$24</f>
        <v/>
      </c>
      <c r="C1029" s="83" t="n"/>
      <c r="D1029" s="83" t="n"/>
      <c r="E1029" s="83" t="n"/>
      <c r="F1029" s="83" t="n"/>
      <c r="G1029" s="83" t="n"/>
      <c r="H1029" s="83" t="n"/>
      <c r="S1029">
        <f>IF(14&lt;='設定'!$B$6,"表示","隠す")</f>
        <v/>
      </c>
    </row>
    <row r="1030" hidden="1" ht="21" customHeight="1">
      <c r="A1030" s="82" t="n"/>
      <c r="B1030" s="47">
        <f>'設定'!$I$25</f>
        <v/>
      </c>
      <c r="C1030" s="83" t="n"/>
      <c r="D1030" s="83" t="n"/>
      <c r="E1030" s="83" t="n"/>
      <c r="F1030" s="83" t="n"/>
      <c r="G1030" s="83" t="n"/>
      <c r="H1030" s="83" t="n"/>
      <c r="S1030">
        <f>IF(15&lt;='設定'!$B$6,"表示","隠す")</f>
        <v/>
      </c>
    </row>
    <row r="1031" hidden="1" ht="21" customHeight="1">
      <c r="A1031" s="82" t="n"/>
      <c r="B1031" s="47">
        <f>'設定'!$I$26</f>
        <v/>
      </c>
      <c r="C1031" s="83" t="n"/>
      <c r="D1031" s="83" t="n"/>
      <c r="E1031" s="83" t="n"/>
      <c r="F1031" s="83" t="n"/>
      <c r="G1031" s="83" t="n"/>
      <c r="H1031" s="83" t="n"/>
      <c r="S1031">
        <f>IF(16&lt;='設定'!$B$6,"表示","隠す")</f>
        <v/>
      </c>
    </row>
    <row r="1032" hidden="1" ht="21" customHeight="1">
      <c r="A1032" s="82" t="n"/>
      <c r="B1032" s="47">
        <f>'設定'!$I$27</f>
        <v/>
      </c>
      <c r="C1032" s="83" t="n"/>
      <c r="D1032" s="83" t="n"/>
      <c r="E1032" s="83" t="n"/>
      <c r="F1032" s="83" t="n"/>
      <c r="G1032" s="83" t="n"/>
      <c r="H1032" s="83" t="n"/>
      <c r="S1032">
        <f>IF(17&lt;='設定'!$B$6,"表示","隠す")</f>
        <v/>
      </c>
    </row>
    <row r="1033" hidden="1" ht="21" customHeight="1">
      <c r="A1033" s="82" t="n"/>
      <c r="B1033" s="47">
        <f>'設定'!$I$28</f>
        <v/>
      </c>
      <c r="C1033" s="83" t="n"/>
      <c r="D1033" s="83" t="n"/>
      <c r="E1033" s="83" t="n"/>
      <c r="F1033" s="83" t="n"/>
      <c r="G1033" s="83" t="n"/>
      <c r="H1033" s="83" t="n"/>
      <c r="S1033">
        <f>IF(18&lt;='設定'!$B$6,"表示","隠す")</f>
        <v/>
      </c>
    </row>
    <row r="1034" hidden="1" ht="21" customHeight="1">
      <c r="A1034" s="82" t="n"/>
      <c r="B1034" s="47">
        <f>'設定'!$I$29</f>
        <v/>
      </c>
      <c r="C1034" s="83" t="n"/>
      <c r="D1034" s="83" t="n"/>
      <c r="E1034" s="83" t="n"/>
      <c r="F1034" s="83" t="n"/>
      <c r="G1034" s="83" t="n"/>
      <c r="H1034" s="83" t="n"/>
      <c r="S1034">
        <f>IF(19&lt;='設定'!$B$6,"表示","隠す")</f>
        <v/>
      </c>
    </row>
    <row r="1035" hidden="1" ht="21" customHeight="1">
      <c r="A1035" s="82" t="n"/>
      <c r="B1035" s="47">
        <f>'設定'!$I$30</f>
        <v/>
      </c>
      <c r="C1035" s="83" t="n"/>
      <c r="D1035" s="83" t="n"/>
      <c r="E1035" s="83" t="n"/>
      <c r="F1035" s="83" t="n"/>
      <c r="G1035" s="83" t="n"/>
      <c r="H1035" s="83" t="n"/>
      <c r="S1035">
        <f>IF(20&lt;='設定'!$B$6,"表示","隠す")</f>
        <v/>
      </c>
    </row>
    <row r="1036" hidden="1" ht="21" customHeight="1">
      <c r="A1036" s="82" t="n"/>
      <c r="B1036" s="47">
        <f>'設定'!$I$31</f>
        <v/>
      </c>
      <c r="C1036" s="83" t="n"/>
      <c r="D1036" s="83" t="n"/>
      <c r="E1036" s="83" t="n"/>
      <c r="F1036" s="83" t="n"/>
      <c r="G1036" s="83" t="n"/>
      <c r="H1036" s="83" t="n"/>
      <c r="S1036">
        <f>IF(21&lt;='設定'!$B$6,"表示","隠す")</f>
        <v/>
      </c>
    </row>
    <row r="1037" hidden="1" ht="21" customHeight="1">
      <c r="A1037" s="82" t="n"/>
      <c r="B1037" s="47">
        <f>'設定'!$I$32</f>
        <v/>
      </c>
      <c r="C1037" s="83" t="n"/>
      <c r="D1037" s="83" t="n"/>
      <c r="E1037" s="83" t="n"/>
      <c r="F1037" s="83" t="n"/>
      <c r="G1037" s="83" t="n"/>
      <c r="H1037" s="83" t="n"/>
      <c r="S1037">
        <f>IF(22&lt;='設定'!$B$6,"表示","隠す")</f>
        <v/>
      </c>
    </row>
    <row r="1038" hidden="1" ht="21" customHeight="1">
      <c r="A1038" s="82" t="n"/>
      <c r="B1038" s="47">
        <f>'設定'!$I$33</f>
        <v/>
      </c>
      <c r="C1038" s="83" t="n"/>
      <c r="D1038" s="83" t="n"/>
      <c r="E1038" s="83" t="n"/>
      <c r="F1038" s="83" t="n"/>
      <c r="G1038" s="83" t="n"/>
      <c r="H1038" s="83" t="n"/>
      <c r="S1038">
        <f>IF(23&lt;='設定'!$B$6,"表示","隠す")</f>
        <v/>
      </c>
    </row>
    <row r="1039" hidden="1" ht="21" customHeight="1">
      <c r="A1039" s="82" t="n"/>
      <c r="B1039" s="47">
        <f>'設定'!$I$34</f>
        <v/>
      </c>
      <c r="C1039" s="83" t="n"/>
      <c r="D1039" s="83" t="n"/>
      <c r="E1039" s="83" t="n"/>
      <c r="F1039" s="83" t="n"/>
      <c r="G1039" s="83" t="n"/>
      <c r="H1039" s="83" t="n"/>
      <c r="S1039">
        <f>IF(24&lt;='設定'!$B$6,"表示","隠す")</f>
        <v/>
      </c>
    </row>
    <row r="1040">
      <c r="S1040" t="inlineStr">
        <is>
          <t>表示</t>
        </is>
      </c>
    </row>
    <row r="1041" ht="26" customHeight="1">
      <c r="B1041" s="76">
        <f>IF('名簿'!B42="","（名簿 38行目：なし）",'名簿'!P42)</f>
        <v/>
      </c>
      <c r="C1041" s="5" t="n"/>
      <c r="D1041" s="5" t="n"/>
      <c r="E1041" s="77" t="inlineStr">
        <is>
          <t>提出状況 ▶</t>
        </is>
      </c>
      <c r="F1041" s="43" t="n"/>
      <c r="G1041" s="34" t="n"/>
      <c r="H1041" s="78" t="inlineStr">
        <is>
          <t>状況：</t>
        </is>
      </c>
      <c r="I1041" s="79">
        <f>'名簿'!Q42</f>
        <v/>
      </c>
      <c r="J1041" s="78" t="inlineStr">
        <is>
          <t>×の数：</t>
        </is>
      </c>
      <c r="K1041" s="80">
        <f>'名簿'!R42</f>
        <v/>
      </c>
      <c r="L1041" s="81">
        <f>HYPERLINK("#'×入力'!B1069","次の人へ ▼")</f>
        <v/>
      </c>
      <c r="S1041" t="inlineStr">
        <is>
          <t>表示</t>
        </is>
      </c>
    </row>
    <row r="1042" ht="22" customHeight="1">
      <c r="A1042" s="35" t="inlineStr">
        <is>
          <t>この日全部 ▶</t>
        </is>
      </c>
      <c r="C1042" s="82" t="n"/>
      <c r="D1042" s="82" t="n"/>
      <c r="E1042" s="82" t="n"/>
      <c r="F1042" s="82" t="n"/>
      <c r="G1042" s="82" t="n"/>
      <c r="H1042" s="82" t="n"/>
      <c r="S1042" t="inlineStr">
        <is>
          <t>表示</t>
        </is>
      </c>
    </row>
    <row r="1043" ht="28" customHeight="1">
      <c r="A1043" s="38" t="inlineStr">
        <is>
          <t>この時間
全部 ▼</t>
        </is>
      </c>
      <c r="B1043" s="39" t="inlineStr"/>
      <c r="C1043" s="40">
        <f>'設定'!$E$11</f>
        <v/>
      </c>
      <c r="D1043" s="40">
        <f>'設定'!$E$12</f>
        <v/>
      </c>
      <c r="E1043" s="40">
        <f>'設定'!$E$13</f>
        <v/>
      </c>
      <c r="F1043" s="40">
        <f>'設定'!$E$14</f>
        <v/>
      </c>
      <c r="G1043" s="40">
        <f>'設定'!$E$15</f>
        <v/>
      </c>
      <c r="H1043" s="40">
        <f>'設定'!$E$16</f>
        <v/>
      </c>
      <c r="S1043" t="inlineStr">
        <is>
          <t>表示</t>
        </is>
      </c>
    </row>
    <row r="1044" ht="21" customHeight="1">
      <c r="A1044" s="82" t="n"/>
      <c r="B1044" s="47">
        <f>'設定'!$I$11</f>
        <v/>
      </c>
      <c r="C1044" s="83" t="n"/>
      <c r="D1044" s="83" t="n"/>
      <c r="E1044" s="83" t="n"/>
      <c r="F1044" s="83" t="n"/>
      <c r="G1044" s="83" t="n"/>
      <c r="H1044" s="83" t="n"/>
      <c r="S1044">
        <f>IF(1&lt;='設定'!$B$6,"表示","隠す")</f>
        <v/>
      </c>
    </row>
    <row r="1045" ht="21" customHeight="1">
      <c r="A1045" s="82" t="n"/>
      <c r="B1045" s="47">
        <f>'設定'!$I$12</f>
        <v/>
      </c>
      <c r="C1045" s="83" t="n"/>
      <c r="D1045" s="83" t="n"/>
      <c r="E1045" s="83" t="n"/>
      <c r="F1045" s="83" t="n"/>
      <c r="G1045" s="83" t="n"/>
      <c r="H1045" s="83" t="n"/>
      <c r="S1045">
        <f>IF(2&lt;='設定'!$B$6,"表示","隠す")</f>
        <v/>
      </c>
    </row>
    <row r="1046" ht="21" customHeight="1">
      <c r="A1046" s="82" t="n"/>
      <c r="B1046" s="47">
        <f>'設定'!$I$13</f>
        <v/>
      </c>
      <c r="C1046" s="83" t="n"/>
      <c r="D1046" s="83" t="n"/>
      <c r="E1046" s="83" t="n"/>
      <c r="F1046" s="83" t="n"/>
      <c r="G1046" s="83" t="n"/>
      <c r="H1046" s="83" t="n"/>
      <c r="S1046">
        <f>IF(3&lt;='設定'!$B$6,"表示","隠す")</f>
        <v/>
      </c>
    </row>
    <row r="1047" ht="21" customHeight="1">
      <c r="A1047" s="82" t="n"/>
      <c r="B1047" s="47">
        <f>'設定'!$I$14</f>
        <v/>
      </c>
      <c r="C1047" s="83" t="n"/>
      <c r="D1047" s="83" t="n"/>
      <c r="E1047" s="83" t="n"/>
      <c r="F1047" s="83" t="n"/>
      <c r="G1047" s="83" t="n"/>
      <c r="H1047" s="83" t="n"/>
      <c r="S1047">
        <f>IF(4&lt;='設定'!$B$6,"表示","隠す")</f>
        <v/>
      </c>
    </row>
    <row r="1048" ht="21" customHeight="1">
      <c r="A1048" s="82" t="n"/>
      <c r="B1048" s="47">
        <f>'設定'!$I$15</f>
        <v/>
      </c>
      <c r="C1048" s="83" t="n"/>
      <c r="D1048" s="83" t="n"/>
      <c r="E1048" s="83" t="n"/>
      <c r="F1048" s="83" t="n"/>
      <c r="G1048" s="83" t="n"/>
      <c r="H1048" s="83" t="n"/>
      <c r="S1048">
        <f>IF(5&lt;='設定'!$B$6,"表示","隠す")</f>
        <v/>
      </c>
    </row>
    <row r="1049" ht="21" customHeight="1">
      <c r="A1049" s="82" t="n"/>
      <c r="B1049" s="47">
        <f>'設定'!$I$16</f>
        <v/>
      </c>
      <c r="C1049" s="83" t="n"/>
      <c r="D1049" s="83" t="n"/>
      <c r="E1049" s="83" t="n"/>
      <c r="F1049" s="83" t="n"/>
      <c r="G1049" s="83" t="n"/>
      <c r="H1049" s="83" t="n"/>
      <c r="S1049">
        <f>IF(6&lt;='設定'!$B$6,"表示","隠す")</f>
        <v/>
      </c>
    </row>
    <row r="1050" ht="21" customHeight="1">
      <c r="A1050" s="82" t="n"/>
      <c r="B1050" s="47">
        <f>'設定'!$I$17</f>
        <v/>
      </c>
      <c r="C1050" s="83" t="n"/>
      <c r="D1050" s="83" t="n"/>
      <c r="E1050" s="83" t="n"/>
      <c r="F1050" s="83" t="n"/>
      <c r="G1050" s="83" t="n"/>
      <c r="H1050" s="83" t="n"/>
      <c r="S1050">
        <f>IF(7&lt;='設定'!$B$6,"表示","隠す")</f>
        <v/>
      </c>
    </row>
    <row r="1051" ht="21" customHeight="1">
      <c r="A1051" s="82" t="n"/>
      <c r="B1051" s="47">
        <f>'設定'!$I$18</f>
        <v/>
      </c>
      <c r="C1051" s="83" t="n"/>
      <c r="D1051" s="83" t="n"/>
      <c r="E1051" s="83" t="n"/>
      <c r="F1051" s="83" t="n"/>
      <c r="G1051" s="83" t="n"/>
      <c r="H1051" s="83" t="n"/>
      <c r="S1051">
        <f>IF(8&lt;='設定'!$B$6,"表示","隠す")</f>
        <v/>
      </c>
    </row>
    <row r="1052" ht="21" customHeight="1">
      <c r="A1052" s="82" t="n"/>
      <c r="B1052" s="47">
        <f>'設定'!$I$19</f>
        <v/>
      </c>
      <c r="C1052" s="83" t="n"/>
      <c r="D1052" s="83" t="n"/>
      <c r="E1052" s="83" t="n"/>
      <c r="F1052" s="83" t="n"/>
      <c r="G1052" s="83" t="n"/>
      <c r="H1052" s="83" t="n"/>
      <c r="S1052">
        <f>IF(9&lt;='設定'!$B$6,"表示","隠す")</f>
        <v/>
      </c>
    </row>
    <row r="1053" hidden="1" ht="21" customHeight="1">
      <c r="A1053" s="82" t="n"/>
      <c r="B1053" s="47">
        <f>'設定'!$I$20</f>
        <v/>
      </c>
      <c r="C1053" s="83" t="n"/>
      <c r="D1053" s="83" t="n"/>
      <c r="E1053" s="83" t="n"/>
      <c r="F1053" s="83" t="n"/>
      <c r="G1053" s="83" t="n"/>
      <c r="H1053" s="83" t="n"/>
      <c r="S1053">
        <f>IF(10&lt;='設定'!$B$6,"表示","隠す")</f>
        <v/>
      </c>
    </row>
    <row r="1054" hidden="1" ht="21" customHeight="1">
      <c r="A1054" s="82" t="n"/>
      <c r="B1054" s="47">
        <f>'設定'!$I$21</f>
        <v/>
      </c>
      <c r="C1054" s="83" t="n"/>
      <c r="D1054" s="83" t="n"/>
      <c r="E1054" s="83" t="n"/>
      <c r="F1054" s="83" t="n"/>
      <c r="G1054" s="83" t="n"/>
      <c r="H1054" s="83" t="n"/>
      <c r="S1054">
        <f>IF(11&lt;='設定'!$B$6,"表示","隠す")</f>
        <v/>
      </c>
    </row>
    <row r="1055" hidden="1" ht="21" customHeight="1">
      <c r="A1055" s="82" t="n"/>
      <c r="B1055" s="47">
        <f>'設定'!$I$22</f>
        <v/>
      </c>
      <c r="C1055" s="83" t="n"/>
      <c r="D1055" s="83" t="n"/>
      <c r="E1055" s="83" t="n"/>
      <c r="F1055" s="83" t="n"/>
      <c r="G1055" s="83" t="n"/>
      <c r="H1055" s="83" t="n"/>
      <c r="S1055">
        <f>IF(12&lt;='設定'!$B$6,"表示","隠す")</f>
        <v/>
      </c>
    </row>
    <row r="1056" hidden="1" ht="21" customHeight="1">
      <c r="A1056" s="82" t="n"/>
      <c r="B1056" s="47">
        <f>'設定'!$I$23</f>
        <v/>
      </c>
      <c r="C1056" s="83" t="n"/>
      <c r="D1056" s="83" t="n"/>
      <c r="E1056" s="83" t="n"/>
      <c r="F1056" s="83" t="n"/>
      <c r="G1056" s="83" t="n"/>
      <c r="H1056" s="83" t="n"/>
      <c r="S1056">
        <f>IF(13&lt;='設定'!$B$6,"表示","隠す")</f>
        <v/>
      </c>
    </row>
    <row r="1057" hidden="1" ht="21" customHeight="1">
      <c r="A1057" s="82" t="n"/>
      <c r="B1057" s="47">
        <f>'設定'!$I$24</f>
        <v/>
      </c>
      <c r="C1057" s="83" t="n"/>
      <c r="D1057" s="83" t="n"/>
      <c r="E1057" s="83" t="n"/>
      <c r="F1057" s="83" t="n"/>
      <c r="G1057" s="83" t="n"/>
      <c r="H1057" s="83" t="n"/>
      <c r="S1057">
        <f>IF(14&lt;='設定'!$B$6,"表示","隠す")</f>
        <v/>
      </c>
    </row>
    <row r="1058" hidden="1" ht="21" customHeight="1">
      <c r="A1058" s="82" t="n"/>
      <c r="B1058" s="47">
        <f>'設定'!$I$25</f>
        <v/>
      </c>
      <c r="C1058" s="83" t="n"/>
      <c r="D1058" s="83" t="n"/>
      <c r="E1058" s="83" t="n"/>
      <c r="F1058" s="83" t="n"/>
      <c r="G1058" s="83" t="n"/>
      <c r="H1058" s="83" t="n"/>
      <c r="S1058">
        <f>IF(15&lt;='設定'!$B$6,"表示","隠す")</f>
        <v/>
      </c>
    </row>
    <row r="1059" hidden="1" ht="21" customHeight="1">
      <c r="A1059" s="82" t="n"/>
      <c r="B1059" s="47">
        <f>'設定'!$I$26</f>
        <v/>
      </c>
      <c r="C1059" s="83" t="n"/>
      <c r="D1059" s="83" t="n"/>
      <c r="E1059" s="83" t="n"/>
      <c r="F1059" s="83" t="n"/>
      <c r="G1059" s="83" t="n"/>
      <c r="H1059" s="83" t="n"/>
      <c r="S1059">
        <f>IF(16&lt;='設定'!$B$6,"表示","隠す")</f>
        <v/>
      </c>
    </row>
    <row r="1060" hidden="1" ht="21" customHeight="1">
      <c r="A1060" s="82" t="n"/>
      <c r="B1060" s="47">
        <f>'設定'!$I$27</f>
        <v/>
      </c>
      <c r="C1060" s="83" t="n"/>
      <c r="D1060" s="83" t="n"/>
      <c r="E1060" s="83" t="n"/>
      <c r="F1060" s="83" t="n"/>
      <c r="G1060" s="83" t="n"/>
      <c r="H1060" s="83" t="n"/>
      <c r="S1060">
        <f>IF(17&lt;='設定'!$B$6,"表示","隠す")</f>
        <v/>
      </c>
    </row>
    <row r="1061" hidden="1" ht="21" customHeight="1">
      <c r="A1061" s="82" t="n"/>
      <c r="B1061" s="47">
        <f>'設定'!$I$28</f>
        <v/>
      </c>
      <c r="C1061" s="83" t="n"/>
      <c r="D1061" s="83" t="n"/>
      <c r="E1061" s="83" t="n"/>
      <c r="F1061" s="83" t="n"/>
      <c r="G1061" s="83" t="n"/>
      <c r="H1061" s="83" t="n"/>
      <c r="S1061">
        <f>IF(18&lt;='設定'!$B$6,"表示","隠す")</f>
        <v/>
      </c>
    </row>
    <row r="1062" hidden="1" ht="21" customHeight="1">
      <c r="A1062" s="82" t="n"/>
      <c r="B1062" s="47">
        <f>'設定'!$I$29</f>
        <v/>
      </c>
      <c r="C1062" s="83" t="n"/>
      <c r="D1062" s="83" t="n"/>
      <c r="E1062" s="83" t="n"/>
      <c r="F1062" s="83" t="n"/>
      <c r="G1062" s="83" t="n"/>
      <c r="H1062" s="83" t="n"/>
      <c r="S1062">
        <f>IF(19&lt;='設定'!$B$6,"表示","隠す")</f>
        <v/>
      </c>
    </row>
    <row r="1063" hidden="1" ht="21" customHeight="1">
      <c r="A1063" s="82" t="n"/>
      <c r="B1063" s="47">
        <f>'設定'!$I$30</f>
        <v/>
      </c>
      <c r="C1063" s="83" t="n"/>
      <c r="D1063" s="83" t="n"/>
      <c r="E1063" s="83" t="n"/>
      <c r="F1063" s="83" t="n"/>
      <c r="G1063" s="83" t="n"/>
      <c r="H1063" s="83" t="n"/>
      <c r="S1063">
        <f>IF(20&lt;='設定'!$B$6,"表示","隠す")</f>
        <v/>
      </c>
    </row>
    <row r="1064" hidden="1" ht="21" customHeight="1">
      <c r="A1064" s="82" t="n"/>
      <c r="B1064" s="47">
        <f>'設定'!$I$31</f>
        <v/>
      </c>
      <c r="C1064" s="83" t="n"/>
      <c r="D1064" s="83" t="n"/>
      <c r="E1064" s="83" t="n"/>
      <c r="F1064" s="83" t="n"/>
      <c r="G1064" s="83" t="n"/>
      <c r="H1064" s="83" t="n"/>
      <c r="S1064">
        <f>IF(21&lt;='設定'!$B$6,"表示","隠す")</f>
        <v/>
      </c>
    </row>
    <row r="1065" hidden="1" ht="21" customHeight="1">
      <c r="A1065" s="82" t="n"/>
      <c r="B1065" s="47">
        <f>'設定'!$I$32</f>
        <v/>
      </c>
      <c r="C1065" s="83" t="n"/>
      <c r="D1065" s="83" t="n"/>
      <c r="E1065" s="83" t="n"/>
      <c r="F1065" s="83" t="n"/>
      <c r="G1065" s="83" t="n"/>
      <c r="H1065" s="83" t="n"/>
      <c r="S1065">
        <f>IF(22&lt;='設定'!$B$6,"表示","隠す")</f>
        <v/>
      </c>
    </row>
    <row r="1066" hidden="1" ht="21" customHeight="1">
      <c r="A1066" s="82" t="n"/>
      <c r="B1066" s="47">
        <f>'設定'!$I$33</f>
        <v/>
      </c>
      <c r="C1066" s="83" t="n"/>
      <c r="D1066" s="83" t="n"/>
      <c r="E1066" s="83" t="n"/>
      <c r="F1066" s="83" t="n"/>
      <c r="G1066" s="83" t="n"/>
      <c r="H1066" s="83" t="n"/>
      <c r="S1066">
        <f>IF(23&lt;='設定'!$B$6,"表示","隠す")</f>
        <v/>
      </c>
    </row>
    <row r="1067" hidden="1" ht="21" customHeight="1">
      <c r="A1067" s="82" t="n"/>
      <c r="B1067" s="47">
        <f>'設定'!$I$34</f>
        <v/>
      </c>
      <c r="C1067" s="83" t="n"/>
      <c r="D1067" s="83" t="n"/>
      <c r="E1067" s="83" t="n"/>
      <c r="F1067" s="83" t="n"/>
      <c r="G1067" s="83" t="n"/>
      <c r="H1067" s="83" t="n"/>
      <c r="S1067">
        <f>IF(24&lt;='設定'!$B$6,"表示","隠す")</f>
        <v/>
      </c>
    </row>
    <row r="1068">
      <c r="S1068" t="inlineStr">
        <is>
          <t>表示</t>
        </is>
      </c>
    </row>
    <row r="1069" ht="26" customHeight="1">
      <c r="B1069" s="76">
        <f>IF('名簿'!B43="","（名簿 39行目：なし）",'名簿'!P43)</f>
        <v/>
      </c>
      <c r="C1069" s="5" t="n"/>
      <c r="D1069" s="5" t="n"/>
      <c r="E1069" s="77" t="inlineStr">
        <is>
          <t>提出状況 ▶</t>
        </is>
      </c>
      <c r="F1069" s="43" t="n"/>
      <c r="G1069" s="34" t="n"/>
      <c r="H1069" s="78" t="inlineStr">
        <is>
          <t>状況：</t>
        </is>
      </c>
      <c r="I1069" s="79">
        <f>'名簿'!Q43</f>
        <v/>
      </c>
      <c r="J1069" s="78" t="inlineStr">
        <is>
          <t>×の数：</t>
        </is>
      </c>
      <c r="K1069" s="80">
        <f>'名簿'!R43</f>
        <v/>
      </c>
      <c r="L1069" s="81">
        <f>HYPERLINK("#'×入力'!B1097","次の人へ ▼")</f>
        <v/>
      </c>
      <c r="S1069" t="inlineStr">
        <is>
          <t>表示</t>
        </is>
      </c>
    </row>
    <row r="1070" ht="22" customHeight="1">
      <c r="A1070" s="35" t="inlineStr">
        <is>
          <t>この日全部 ▶</t>
        </is>
      </c>
      <c r="C1070" s="82" t="n"/>
      <c r="D1070" s="82" t="n"/>
      <c r="E1070" s="82" t="n"/>
      <c r="F1070" s="82" t="n"/>
      <c r="G1070" s="82" t="n"/>
      <c r="H1070" s="82" t="n"/>
      <c r="S1070" t="inlineStr">
        <is>
          <t>表示</t>
        </is>
      </c>
    </row>
    <row r="1071" ht="28" customHeight="1">
      <c r="A1071" s="38" t="inlineStr">
        <is>
          <t>この時間
全部 ▼</t>
        </is>
      </c>
      <c r="B1071" s="39" t="inlineStr"/>
      <c r="C1071" s="40">
        <f>'設定'!$E$11</f>
        <v/>
      </c>
      <c r="D1071" s="40">
        <f>'設定'!$E$12</f>
        <v/>
      </c>
      <c r="E1071" s="40">
        <f>'設定'!$E$13</f>
        <v/>
      </c>
      <c r="F1071" s="40">
        <f>'設定'!$E$14</f>
        <v/>
      </c>
      <c r="G1071" s="40">
        <f>'設定'!$E$15</f>
        <v/>
      </c>
      <c r="H1071" s="40">
        <f>'設定'!$E$16</f>
        <v/>
      </c>
      <c r="S1071" t="inlineStr">
        <is>
          <t>表示</t>
        </is>
      </c>
    </row>
    <row r="1072" ht="21" customHeight="1">
      <c r="A1072" s="82" t="n"/>
      <c r="B1072" s="47">
        <f>'設定'!$I$11</f>
        <v/>
      </c>
      <c r="C1072" s="83" t="n"/>
      <c r="D1072" s="83" t="n"/>
      <c r="E1072" s="83" t="n"/>
      <c r="F1072" s="83" t="n"/>
      <c r="G1072" s="83" t="n"/>
      <c r="H1072" s="83" t="n"/>
      <c r="S1072">
        <f>IF(1&lt;='設定'!$B$6,"表示","隠す")</f>
        <v/>
      </c>
    </row>
    <row r="1073" ht="21" customHeight="1">
      <c r="A1073" s="82" t="n"/>
      <c r="B1073" s="47">
        <f>'設定'!$I$12</f>
        <v/>
      </c>
      <c r="C1073" s="83" t="n"/>
      <c r="D1073" s="83" t="n"/>
      <c r="E1073" s="83" t="n"/>
      <c r="F1073" s="83" t="n"/>
      <c r="G1073" s="83" t="n"/>
      <c r="H1073" s="83" t="n"/>
      <c r="S1073">
        <f>IF(2&lt;='設定'!$B$6,"表示","隠す")</f>
        <v/>
      </c>
    </row>
    <row r="1074" ht="21" customHeight="1">
      <c r="A1074" s="82" t="n"/>
      <c r="B1074" s="47">
        <f>'設定'!$I$13</f>
        <v/>
      </c>
      <c r="C1074" s="83" t="n"/>
      <c r="D1074" s="83" t="n"/>
      <c r="E1074" s="83" t="n"/>
      <c r="F1074" s="83" t="n"/>
      <c r="G1074" s="83" t="n"/>
      <c r="H1074" s="83" t="n"/>
      <c r="S1074">
        <f>IF(3&lt;='設定'!$B$6,"表示","隠す")</f>
        <v/>
      </c>
    </row>
    <row r="1075" ht="21" customHeight="1">
      <c r="A1075" s="82" t="n"/>
      <c r="B1075" s="47">
        <f>'設定'!$I$14</f>
        <v/>
      </c>
      <c r="C1075" s="83" t="n"/>
      <c r="D1075" s="83" t="n"/>
      <c r="E1075" s="83" t="n"/>
      <c r="F1075" s="83" t="n"/>
      <c r="G1075" s="83" t="n"/>
      <c r="H1075" s="83" t="n"/>
      <c r="S1075">
        <f>IF(4&lt;='設定'!$B$6,"表示","隠す")</f>
        <v/>
      </c>
    </row>
    <row r="1076" ht="21" customHeight="1">
      <c r="A1076" s="82" t="n"/>
      <c r="B1076" s="47">
        <f>'設定'!$I$15</f>
        <v/>
      </c>
      <c r="C1076" s="83" t="n"/>
      <c r="D1076" s="83" t="n"/>
      <c r="E1076" s="83" t="n"/>
      <c r="F1076" s="83" t="n"/>
      <c r="G1076" s="83" t="n"/>
      <c r="H1076" s="83" t="n"/>
      <c r="S1076">
        <f>IF(5&lt;='設定'!$B$6,"表示","隠す")</f>
        <v/>
      </c>
    </row>
    <row r="1077" ht="21" customHeight="1">
      <c r="A1077" s="82" t="n"/>
      <c r="B1077" s="47">
        <f>'設定'!$I$16</f>
        <v/>
      </c>
      <c r="C1077" s="83" t="n"/>
      <c r="D1077" s="83" t="n"/>
      <c r="E1077" s="83" t="n"/>
      <c r="F1077" s="83" t="n"/>
      <c r="G1077" s="83" t="n"/>
      <c r="H1077" s="83" t="n"/>
      <c r="S1077">
        <f>IF(6&lt;='設定'!$B$6,"表示","隠す")</f>
        <v/>
      </c>
    </row>
    <row r="1078" ht="21" customHeight="1">
      <c r="A1078" s="82" t="n"/>
      <c r="B1078" s="47">
        <f>'設定'!$I$17</f>
        <v/>
      </c>
      <c r="C1078" s="83" t="n"/>
      <c r="D1078" s="83" t="n"/>
      <c r="E1078" s="83" t="n"/>
      <c r="F1078" s="83" t="n"/>
      <c r="G1078" s="83" t="n"/>
      <c r="H1078" s="83" t="n"/>
      <c r="S1078">
        <f>IF(7&lt;='設定'!$B$6,"表示","隠す")</f>
        <v/>
      </c>
    </row>
    <row r="1079" ht="21" customHeight="1">
      <c r="A1079" s="82" t="n"/>
      <c r="B1079" s="47">
        <f>'設定'!$I$18</f>
        <v/>
      </c>
      <c r="C1079" s="83" t="n"/>
      <c r="D1079" s="83" t="n"/>
      <c r="E1079" s="83" t="n"/>
      <c r="F1079" s="83" t="n"/>
      <c r="G1079" s="83" t="n"/>
      <c r="H1079" s="83" t="n"/>
      <c r="S1079">
        <f>IF(8&lt;='設定'!$B$6,"表示","隠す")</f>
        <v/>
      </c>
    </row>
    <row r="1080" ht="21" customHeight="1">
      <c r="A1080" s="82" t="n"/>
      <c r="B1080" s="47">
        <f>'設定'!$I$19</f>
        <v/>
      </c>
      <c r="C1080" s="83" t="n"/>
      <c r="D1080" s="83" t="n"/>
      <c r="E1080" s="83" t="n"/>
      <c r="F1080" s="83" t="n"/>
      <c r="G1080" s="83" t="n"/>
      <c r="H1080" s="83" t="n"/>
      <c r="S1080">
        <f>IF(9&lt;='設定'!$B$6,"表示","隠す")</f>
        <v/>
      </c>
    </row>
    <row r="1081" hidden="1" ht="21" customHeight="1">
      <c r="A1081" s="82" t="n"/>
      <c r="B1081" s="47">
        <f>'設定'!$I$20</f>
        <v/>
      </c>
      <c r="C1081" s="83" t="n"/>
      <c r="D1081" s="83" t="n"/>
      <c r="E1081" s="83" t="n"/>
      <c r="F1081" s="83" t="n"/>
      <c r="G1081" s="83" t="n"/>
      <c r="H1081" s="83" t="n"/>
      <c r="S1081">
        <f>IF(10&lt;='設定'!$B$6,"表示","隠す")</f>
        <v/>
      </c>
    </row>
    <row r="1082" hidden="1" ht="21" customHeight="1">
      <c r="A1082" s="82" t="n"/>
      <c r="B1082" s="47">
        <f>'設定'!$I$21</f>
        <v/>
      </c>
      <c r="C1082" s="83" t="n"/>
      <c r="D1082" s="83" t="n"/>
      <c r="E1082" s="83" t="n"/>
      <c r="F1082" s="83" t="n"/>
      <c r="G1082" s="83" t="n"/>
      <c r="H1082" s="83" t="n"/>
      <c r="S1082">
        <f>IF(11&lt;='設定'!$B$6,"表示","隠す")</f>
        <v/>
      </c>
    </row>
    <row r="1083" hidden="1" ht="21" customHeight="1">
      <c r="A1083" s="82" t="n"/>
      <c r="B1083" s="47">
        <f>'設定'!$I$22</f>
        <v/>
      </c>
      <c r="C1083" s="83" t="n"/>
      <c r="D1083" s="83" t="n"/>
      <c r="E1083" s="83" t="n"/>
      <c r="F1083" s="83" t="n"/>
      <c r="G1083" s="83" t="n"/>
      <c r="H1083" s="83" t="n"/>
      <c r="S1083">
        <f>IF(12&lt;='設定'!$B$6,"表示","隠す")</f>
        <v/>
      </c>
    </row>
    <row r="1084" hidden="1" ht="21" customHeight="1">
      <c r="A1084" s="82" t="n"/>
      <c r="B1084" s="47">
        <f>'設定'!$I$23</f>
        <v/>
      </c>
      <c r="C1084" s="83" t="n"/>
      <c r="D1084" s="83" t="n"/>
      <c r="E1084" s="83" t="n"/>
      <c r="F1084" s="83" t="n"/>
      <c r="G1084" s="83" t="n"/>
      <c r="H1084" s="83" t="n"/>
      <c r="S1084">
        <f>IF(13&lt;='設定'!$B$6,"表示","隠す")</f>
        <v/>
      </c>
    </row>
    <row r="1085" hidden="1" ht="21" customHeight="1">
      <c r="A1085" s="82" t="n"/>
      <c r="B1085" s="47">
        <f>'設定'!$I$24</f>
        <v/>
      </c>
      <c r="C1085" s="83" t="n"/>
      <c r="D1085" s="83" t="n"/>
      <c r="E1085" s="83" t="n"/>
      <c r="F1085" s="83" t="n"/>
      <c r="G1085" s="83" t="n"/>
      <c r="H1085" s="83" t="n"/>
      <c r="S1085">
        <f>IF(14&lt;='設定'!$B$6,"表示","隠す")</f>
        <v/>
      </c>
    </row>
    <row r="1086" hidden="1" ht="21" customHeight="1">
      <c r="A1086" s="82" t="n"/>
      <c r="B1086" s="47">
        <f>'設定'!$I$25</f>
        <v/>
      </c>
      <c r="C1086" s="83" t="n"/>
      <c r="D1086" s="83" t="n"/>
      <c r="E1086" s="83" t="n"/>
      <c r="F1086" s="83" t="n"/>
      <c r="G1086" s="83" t="n"/>
      <c r="H1086" s="83" t="n"/>
      <c r="S1086">
        <f>IF(15&lt;='設定'!$B$6,"表示","隠す")</f>
        <v/>
      </c>
    </row>
    <row r="1087" hidden="1" ht="21" customHeight="1">
      <c r="A1087" s="82" t="n"/>
      <c r="B1087" s="47">
        <f>'設定'!$I$26</f>
        <v/>
      </c>
      <c r="C1087" s="83" t="n"/>
      <c r="D1087" s="83" t="n"/>
      <c r="E1087" s="83" t="n"/>
      <c r="F1087" s="83" t="n"/>
      <c r="G1087" s="83" t="n"/>
      <c r="H1087" s="83" t="n"/>
      <c r="S1087">
        <f>IF(16&lt;='設定'!$B$6,"表示","隠す")</f>
        <v/>
      </c>
    </row>
    <row r="1088" hidden="1" ht="21" customHeight="1">
      <c r="A1088" s="82" t="n"/>
      <c r="B1088" s="47">
        <f>'設定'!$I$27</f>
        <v/>
      </c>
      <c r="C1088" s="83" t="n"/>
      <c r="D1088" s="83" t="n"/>
      <c r="E1088" s="83" t="n"/>
      <c r="F1088" s="83" t="n"/>
      <c r="G1088" s="83" t="n"/>
      <c r="H1088" s="83" t="n"/>
      <c r="S1088">
        <f>IF(17&lt;='設定'!$B$6,"表示","隠す")</f>
        <v/>
      </c>
    </row>
    <row r="1089" hidden="1" ht="21" customHeight="1">
      <c r="A1089" s="82" t="n"/>
      <c r="B1089" s="47">
        <f>'設定'!$I$28</f>
        <v/>
      </c>
      <c r="C1089" s="83" t="n"/>
      <c r="D1089" s="83" t="n"/>
      <c r="E1089" s="83" t="n"/>
      <c r="F1089" s="83" t="n"/>
      <c r="G1089" s="83" t="n"/>
      <c r="H1089" s="83" t="n"/>
      <c r="S1089">
        <f>IF(18&lt;='設定'!$B$6,"表示","隠す")</f>
        <v/>
      </c>
    </row>
    <row r="1090" hidden="1" ht="21" customHeight="1">
      <c r="A1090" s="82" t="n"/>
      <c r="B1090" s="47">
        <f>'設定'!$I$29</f>
        <v/>
      </c>
      <c r="C1090" s="83" t="n"/>
      <c r="D1090" s="83" t="n"/>
      <c r="E1090" s="83" t="n"/>
      <c r="F1090" s="83" t="n"/>
      <c r="G1090" s="83" t="n"/>
      <c r="H1090" s="83" t="n"/>
      <c r="S1090">
        <f>IF(19&lt;='設定'!$B$6,"表示","隠す")</f>
        <v/>
      </c>
    </row>
    <row r="1091" hidden="1" ht="21" customHeight="1">
      <c r="A1091" s="82" t="n"/>
      <c r="B1091" s="47">
        <f>'設定'!$I$30</f>
        <v/>
      </c>
      <c r="C1091" s="83" t="n"/>
      <c r="D1091" s="83" t="n"/>
      <c r="E1091" s="83" t="n"/>
      <c r="F1091" s="83" t="n"/>
      <c r="G1091" s="83" t="n"/>
      <c r="H1091" s="83" t="n"/>
      <c r="S1091">
        <f>IF(20&lt;='設定'!$B$6,"表示","隠す")</f>
        <v/>
      </c>
    </row>
    <row r="1092" hidden="1" ht="21" customHeight="1">
      <c r="A1092" s="82" t="n"/>
      <c r="B1092" s="47">
        <f>'設定'!$I$31</f>
        <v/>
      </c>
      <c r="C1092" s="83" t="n"/>
      <c r="D1092" s="83" t="n"/>
      <c r="E1092" s="83" t="n"/>
      <c r="F1092" s="83" t="n"/>
      <c r="G1092" s="83" t="n"/>
      <c r="H1092" s="83" t="n"/>
      <c r="S1092">
        <f>IF(21&lt;='設定'!$B$6,"表示","隠す")</f>
        <v/>
      </c>
    </row>
    <row r="1093" hidden="1" ht="21" customHeight="1">
      <c r="A1093" s="82" t="n"/>
      <c r="B1093" s="47">
        <f>'設定'!$I$32</f>
        <v/>
      </c>
      <c r="C1093" s="83" t="n"/>
      <c r="D1093" s="83" t="n"/>
      <c r="E1093" s="83" t="n"/>
      <c r="F1093" s="83" t="n"/>
      <c r="G1093" s="83" t="n"/>
      <c r="H1093" s="83" t="n"/>
      <c r="S1093">
        <f>IF(22&lt;='設定'!$B$6,"表示","隠す")</f>
        <v/>
      </c>
    </row>
    <row r="1094" hidden="1" ht="21" customHeight="1">
      <c r="A1094" s="82" t="n"/>
      <c r="B1094" s="47">
        <f>'設定'!$I$33</f>
        <v/>
      </c>
      <c r="C1094" s="83" t="n"/>
      <c r="D1094" s="83" t="n"/>
      <c r="E1094" s="83" t="n"/>
      <c r="F1094" s="83" t="n"/>
      <c r="G1094" s="83" t="n"/>
      <c r="H1094" s="83" t="n"/>
      <c r="S1094">
        <f>IF(23&lt;='設定'!$B$6,"表示","隠す")</f>
        <v/>
      </c>
    </row>
    <row r="1095" hidden="1" ht="21" customHeight="1">
      <c r="A1095" s="82" t="n"/>
      <c r="B1095" s="47">
        <f>'設定'!$I$34</f>
        <v/>
      </c>
      <c r="C1095" s="83" t="n"/>
      <c r="D1095" s="83" t="n"/>
      <c r="E1095" s="83" t="n"/>
      <c r="F1095" s="83" t="n"/>
      <c r="G1095" s="83" t="n"/>
      <c r="H1095" s="83" t="n"/>
      <c r="S1095">
        <f>IF(24&lt;='設定'!$B$6,"表示","隠す")</f>
        <v/>
      </c>
    </row>
    <row r="1096">
      <c r="S1096" t="inlineStr">
        <is>
          <t>表示</t>
        </is>
      </c>
    </row>
    <row r="1097" ht="26" customHeight="1">
      <c r="B1097" s="76">
        <f>IF('名簿'!B44="","（名簿 40行目：なし）",'名簿'!P44)</f>
        <v/>
      </c>
      <c r="C1097" s="5" t="n"/>
      <c r="D1097" s="5" t="n"/>
      <c r="E1097" s="77" t="inlineStr">
        <is>
          <t>提出状況 ▶</t>
        </is>
      </c>
      <c r="F1097" s="43" t="n"/>
      <c r="G1097" s="34" t="n"/>
      <c r="H1097" s="78" t="inlineStr">
        <is>
          <t>状況：</t>
        </is>
      </c>
      <c r="I1097" s="79">
        <f>'名簿'!Q44</f>
        <v/>
      </c>
      <c r="J1097" s="78" t="inlineStr">
        <is>
          <t>×の数：</t>
        </is>
      </c>
      <c r="K1097" s="80">
        <f>'名簿'!R44</f>
        <v/>
      </c>
      <c r="L1097" s="5" t="n"/>
      <c r="S1097" t="inlineStr">
        <is>
          <t>表示</t>
        </is>
      </c>
    </row>
    <row r="1098" ht="22" customHeight="1">
      <c r="A1098" s="35" t="inlineStr">
        <is>
          <t>この日全部 ▶</t>
        </is>
      </c>
      <c r="C1098" s="82" t="n"/>
      <c r="D1098" s="82" t="n"/>
      <c r="E1098" s="82" t="n"/>
      <c r="F1098" s="82" t="n"/>
      <c r="G1098" s="82" t="n"/>
      <c r="H1098" s="82" t="n"/>
      <c r="S1098" t="inlineStr">
        <is>
          <t>表示</t>
        </is>
      </c>
    </row>
    <row r="1099" ht="28" customHeight="1">
      <c r="A1099" s="38" t="inlineStr">
        <is>
          <t>この時間
全部 ▼</t>
        </is>
      </c>
      <c r="B1099" s="39" t="inlineStr"/>
      <c r="C1099" s="40">
        <f>'設定'!$E$11</f>
        <v/>
      </c>
      <c r="D1099" s="40">
        <f>'設定'!$E$12</f>
        <v/>
      </c>
      <c r="E1099" s="40">
        <f>'設定'!$E$13</f>
        <v/>
      </c>
      <c r="F1099" s="40">
        <f>'設定'!$E$14</f>
        <v/>
      </c>
      <c r="G1099" s="40">
        <f>'設定'!$E$15</f>
        <v/>
      </c>
      <c r="H1099" s="40">
        <f>'設定'!$E$16</f>
        <v/>
      </c>
      <c r="S1099" t="inlineStr">
        <is>
          <t>表示</t>
        </is>
      </c>
    </row>
    <row r="1100" ht="21" customHeight="1">
      <c r="A1100" s="82" t="n"/>
      <c r="B1100" s="47">
        <f>'設定'!$I$11</f>
        <v/>
      </c>
      <c r="C1100" s="83" t="n"/>
      <c r="D1100" s="83" t="n"/>
      <c r="E1100" s="83" t="n"/>
      <c r="F1100" s="83" t="n"/>
      <c r="G1100" s="83" t="n"/>
      <c r="H1100" s="83" t="n"/>
      <c r="S1100">
        <f>IF(1&lt;='設定'!$B$6,"表示","隠す")</f>
        <v/>
      </c>
    </row>
    <row r="1101" ht="21" customHeight="1">
      <c r="A1101" s="82" t="n"/>
      <c r="B1101" s="47">
        <f>'設定'!$I$12</f>
        <v/>
      </c>
      <c r="C1101" s="83" t="n"/>
      <c r="D1101" s="83" t="n"/>
      <c r="E1101" s="83" t="n"/>
      <c r="F1101" s="83" t="n"/>
      <c r="G1101" s="83" t="n"/>
      <c r="H1101" s="83" t="n"/>
      <c r="S1101">
        <f>IF(2&lt;='設定'!$B$6,"表示","隠す")</f>
        <v/>
      </c>
    </row>
    <row r="1102" ht="21" customHeight="1">
      <c r="A1102" s="82" t="n"/>
      <c r="B1102" s="47">
        <f>'設定'!$I$13</f>
        <v/>
      </c>
      <c r="C1102" s="83" t="n"/>
      <c r="D1102" s="83" t="n"/>
      <c r="E1102" s="83" t="n"/>
      <c r="F1102" s="83" t="n"/>
      <c r="G1102" s="83" t="n"/>
      <c r="H1102" s="83" t="n"/>
      <c r="S1102">
        <f>IF(3&lt;='設定'!$B$6,"表示","隠す")</f>
        <v/>
      </c>
    </row>
    <row r="1103" ht="21" customHeight="1">
      <c r="A1103" s="82" t="n"/>
      <c r="B1103" s="47">
        <f>'設定'!$I$14</f>
        <v/>
      </c>
      <c r="C1103" s="83" t="n"/>
      <c r="D1103" s="83" t="n"/>
      <c r="E1103" s="83" t="n"/>
      <c r="F1103" s="83" t="n"/>
      <c r="G1103" s="83" t="n"/>
      <c r="H1103" s="83" t="n"/>
      <c r="S1103">
        <f>IF(4&lt;='設定'!$B$6,"表示","隠す")</f>
        <v/>
      </c>
    </row>
    <row r="1104" ht="21" customHeight="1">
      <c r="A1104" s="82" t="n"/>
      <c r="B1104" s="47">
        <f>'設定'!$I$15</f>
        <v/>
      </c>
      <c r="C1104" s="83" t="n"/>
      <c r="D1104" s="83" t="n"/>
      <c r="E1104" s="83" t="n"/>
      <c r="F1104" s="83" t="n"/>
      <c r="G1104" s="83" t="n"/>
      <c r="H1104" s="83" t="n"/>
      <c r="S1104">
        <f>IF(5&lt;='設定'!$B$6,"表示","隠す")</f>
        <v/>
      </c>
    </row>
    <row r="1105" ht="21" customHeight="1">
      <c r="A1105" s="82" t="n"/>
      <c r="B1105" s="47">
        <f>'設定'!$I$16</f>
        <v/>
      </c>
      <c r="C1105" s="83" t="n"/>
      <c r="D1105" s="83" t="n"/>
      <c r="E1105" s="83" t="n"/>
      <c r="F1105" s="83" t="n"/>
      <c r="G1105" s="83" t="n"/>
      <c r="H1105" s="83" t="n"/>
      <c r="S1105">
        <f>IF(6&lt;='設定'!$B$6,"表示","隠す")</f>
        <v/>
      </c>
    </row>
    <row r="1106" ht="21" customHeight="1">
      <c r="A1106" s="82" t="n"/>
      <c r="B1106" s="47">
        <f>'設定'!$I$17</f>
        <v/>
      </c>
      <c r="C1106" s="83" t="n"/>
      <c r="D1106" s="83" t="n"/>
      <c r="E1106" s="83" t="n"/>
      <c r="F1106" s="83" t="n"/>
      <c r="G1106" s="83" t="n"/>
      <c r="H1106" s="83" t="n"/>
      <c r="S1106">
        <f>IF(7&lt;='設定'!$B$6,"表示","隠す")</f>
        <v/>
      </c>
    </row>
    <row r="1107" ht="21" customHeight="1">
      <c r="A1107" s="82" t="n"/>
      <c r="B1107" s="47">
        <f>'設定'!$I$18</f>
        <v/>
      </c>
      <c r="C1107" s="83" t="n"/>
      <c r="D1107" s="83" t="n"/>
      <c r="E1107" s="83" t="n"/>
      <c r="F1107" s="83" t="n"/>
      <c r="G1107" s="83" t="n"/>
      <c r="H1107" s="83" t="n"/>
      <c r="S1107">
        <f>IF(8&lt;='設定'!$B$6,"表示","隠す")</f>
        <v/>
      </c>
    </row>
    <row r="1108" ht="21" customHeight="1">
      <c r="A1108" s="82" t="n"/>
      <c r="B1108" s="47">
        <f>'設定'!$I$19</f>
        <v/>
      </c>
      <c r="C1108" s="83" t="n"/>
      <c r="D1108" s="83" t="n"/>
      <c r="E1108" s="83" t="n"/>
      <c r="F1108" s="83" t="n"/>
      <c r="G1108" s="83" t="n"/>
      <c r="H1108" s="83" t="n"/>
      <c r="S1108">
        <f>IF(9&lt;='設定'!$B$6,"表示","隠す")</f>
        <v/>
      </c>
    </row>
    <row r="1109" hidden="1" ht="21" customHeight="1">
      <c r="A1109" s="82" t="n"/>
      <c r="B1109" s="47">
        <f>'設定'!$I$20</f>
        <v/>
      </c>
      <c r="C1109" s="83" t="n"/>
      <c r="D1109" s="83" t="n"/>
      <c r="E1109" s="83" t="n"/>
      <c r="F1109" s="83" t="n"/>
      <c r="G1109" s="83" t="n"/>
      <c r="H1109" s="83" t="n"/>
      <c r="S1109">
        <f>IF(10&lt;='設定'!$B$6,"表示","隠す")</f>
        <v/>
      </c>
    </row>
    <row r="1110" hidden="1" ht="21" customHeight="1">
      <c r="A1110" s="82" t="n"/>
      <c r="B1110" s="47">
        <f>'設定'!$I$21</f>
        <v/>
      </c>
      <c r="C1110" s="83" t="n"/>
      <c r="D1110" s="83" t="n"/>
      <c r="E1110" s="83" t="n"/>
      <c r="F1110" s="83" t="n"/>
      <c r="G1110" s="83" t="n"/>
      <c r="H1110" s="83" t="n"/>
      <c r="S1110">
        <f>IF(11&lt;='設定'!$B$6,"表示","隠す")</f>
        <v/>
      </c>
    </row>
    <row r="1111" hidden="1" ht="21" customHeight="1">
      <c r="A1111" s="82" t="n"/>
      <c r="B1111" s="47">
        <f>'設定'!$I$22</f>
        <v/>
      </c>
      <c r="C1111" s="83" t="n"/>
      <c r="D1111" s="83" t="n"/>
      <c r="E1111" s="83" t="n"/>
      <c r="F1111" s="83" t="n"/>
      <c r="G1111" s="83" t="n"/>
      <c r="H1111" s="83" t="n"/>
      <c r="S1111">
        <f>IF(12&lt;='設定'!$B$6,"表示","隠す")</f>
        <v/>
      </c>
    </row>
    <row r="1112" hidden="1" ht="21" customHeight="1">
      <c r="A1112" s="82" t="n"/>
      <c r="B1112" s="47">
        <f>'設定'!$I$23</f>
        <v/>
      </c>
      <c r="C1112" s="83" t="n"/>
      <c r="D1112" s="83" t="n"/>
      <c r="E1112" s="83" t="n"/>
      <c r="F1112" s="83" t="n"/>
      <c r="G1112" s="83" t="n"/>
      <c r="H1112" s="83" t="n"/>
      <c r="S1112">
        <f>IF(13&lt;='設定'!$B$6,"表示","隠す")</f>
        <v/>
      </c>
    </row>
    <row r="1113" hidden="1" ht="21" customHeight="1">
      <c r="A1113" s="82" t="n"/>
      <c r="B1113" s="47">
        <f>'設定'!$I$24</f>
        <v/>
      </c>
      <c r="C1113" s="83" t="n"/>
      <c r="D1113" s="83" t="n"/>
      <c r="E1113" s="83" t="n"/>
      <c r="F1113" s="83" t="n"/>
      <c r="G1113" s="83" t="n"/>
      <c r="H1113" s="83" t="n"/>
      <c r="S1113">
        <f>IF(14&lt;='設定'!$B$6,"表示","隠す")</f>
        <v/>
      </c>
    </row>
    <row r="1114" hidden="1" ht="21" customHeight="1">
      <c r="A1114" s="82" t="n"/>
      <c r="B1114" s="47">
        <f>'設定'!$I$25</f>
        <v/>
      </c>
      <c r="C1114" s="83" t="n"/>
      <c r="D1114" s="83" t="n"/>
      <c r="E1114" s="83" t="n"/>
      <c r="F1114" s="83" t="n"/>
      <c r="G1114" s="83" t="n"/>
      <c r="H1114" s="83" t="n"/>
      <c r="S1114">
        <f>IF(15&lt;='設定'!$B$6,"表示","隠す")</f>
        <v/>
      </c>
    </row>
    <row r="1115" hidden="1" ht="21" customHeight="1">
      <c r="A1115" s="82" t="n"/>
      <c r="B1115" s="47">
        <f>'設定'!$I$26</f>
        <v/>
      </c>
      <c r="C1115" s="83" t="n"/>
      <c r="D1115" s="83" t="n"/>
      <c r="E1115" s="83" t="n"/>
      <c r="F1115" s="83" t="n"/>
      <c r="G1115" s="83" t="n"/>
      <c r="H1115" s="83" t="n"/>
      <c r="S1115">
        <f>IF(16&lt;='設定'!$B$6,"表示","隠す")</f>
        <v/>
      </c>
    </row>
    <row r="1116" hidden="1" ht="21" customHeight="1">
      <c r="A1116" s="82" t="n"/>
      <c r="B1116" s="47">
        <f>'設定'!$I$27</f>
        <v/>
      </c>
      <c r="C1116" s="83" t="n"/>
      <c r="D1116" s="83" t="n"/>
      <c r="E1116" s="83" t="n"/>
      <c r="F1116" s="83" t="n"/>
      <c r="G1116" s="83" t="n"/>
      <c r="H1116" s="83" t="n"/>
      <c r="S1116">
        <f>IF(17&lt;='設定'!$B$6,"表示","隠す")</f>
        <v/>
      </c>
    </row>
    <row r="1117" hidden="1" ht="21" customHeight="1">
      <c r="A1117" s="82" t="n"/>
      <c r="B1117" s="47">
        <f>'設定'!$I$28</f>
        <v/>
      </c>
      <c r="C1117" s="83" t="n"/>
      <c r="D1117" s="83" t="n"/>
      <c r="E1117" s="83" t="n"/>
      <c r="F1117" s="83" t="n"/>
      <c r="G1117" s="83" t="n"/>
      <c r="H1117" s="83" t="n"/>
      <c r="S1117">
        <f>IF(18&lt;='設定'!$B$6,"表示","隠す")</f>
        <v/>
      </c>
    </row>
    <row r="1118" hidden="1" ht="21" customHeight="1">
      <c r="A1118" s="82" t="n"/>
      <c r="B1118" s="47">
        <f>'設定'!$I$29</f>
        <v/>
      </c>
      <c r="C1118" s="83" t="n"/>
      <c r="D1118" s="83" t="n"/>
      <c r="E1118" s="83" t="n"/>
      <c r="F1118" s="83" t="n"/>
      <c r="G1118" s="83" t="n"/>
      <c r="H1118" s="83" t="n"/>
      <c r="S1118">
        <f>IF(19&lt;='設定'!$B$6,"表示","隠す")</f>
        <v/>
      </c>
    </row>
    <row r="1119" hidden="1" ht="21" customHeight="1">
      <c r="A1119" s="82" t="n"/>
      <c r="B1119" s="47">
        <f>'設定'!$I$30</f>
        <v/>
      </c>
      <c r="C1119" s="83" t="n"/>
      <c r="D1119" s="83" t="n"/>
      <c r="E1119" s="83" t="n"/>
      <c r="F1119" s="83" t="n"/>
      <c r="G1119" s="83" t="n"/>
      <c r="H1119" s="83" t="n"/>
      <c r="S1119">
        <f>IF(20&lt;='設定'!$B$6,"表示","隠す")</f>
        <v/>
      </c>
    </row>
    <row r="1120" hidden="1" ht="21" customHeight="1">
      <c r="A1120" s="82" t="n"/>
      <c r="B1120" s="47">
        <f>'設定'!$I$31</f>
        <v/>
      </c>
      <c r="C1120" s="83" t="n"/>
      <c r="D1120" s="83" t="n"/>
      <c r="E1120" s="83" t="n"/>
      <c r="F1120" s="83" t="n"/>
      <c r="G1120" s="83" t="n"/>
      <c r="H1120" s="83" t="n"/>
      <c r="S1120">
        <f>IF(21&lt;='設定'!$B$6,"表示","隠す")</f>
        <v/>
      </c>
    </row>
    <row r="1121" hidden="1" ht="21" customHeight="1">
      <c r="A1121" s="82" t="n"/>
      <c r="B1121" s="47">
        <f>'設定'!$I$32</f>
        <v/>
      </c>
      <c r="C1121" s="83" t="n"/>
      <c r="D1121" s="83" t="n"/>
      <c r="E1121" s="83" t="n"/>
      <c r="F1121" s="83" t="n"/>
      <c r="G1121" s="83" t="n"/>
      <c r="H1121" s="83" t="n"/>
      <c r="S1121">
        <f>IF(22&lt;='設定'!$B$6,"表示","隠す")</f>
        <v/>
      </c>
    </row>
    <row r="1122" hidden="1" ht="21" customHeight="1">
      <c r="A1122" s="82" t="n"/>
      <c r="B1122" s="47">
        <f>'設定'!$I$33</f>
        <v/>
      </c>
      <c r="C1122" s="83" t="n"/>
      <c r="D1122" s="83" t="n"/>
      <c r="E1122" s="83" t="n"/>
      <c r="F1122" s="83" t="n"/>
      <c r="G1122" s="83" t="n"/>
      <c r="H1122" s="83" t="n"/>
      <c r="S1122">
        <f>IF(23&lt;='設定'!$B$6,"表示","隠す")</f>
        <v/>
      </c>
    </row>
    <row r="1123" hidden="1" ht="21" customHeight="1">
      <c r="A1123" s="82" t="n"/>
      <c r="B1123" s="47">
        <f>'設定'!$I$34</f>
        <v/>
      </c>
      <c r="C1123" s="83" t="n"/>
      <c r="D1123" s="83" t="n"/>
      <c r="E1123" s="83" t="n"/>
      <c r="F1123" s="83" t="n"/>
      <c r="G1123" s="83" t="n"/>
      <c r="H1123" s="83" t="n"/>
      <c r="S1123">
        <f>IF(24&lt;='設定'!$B$6,"表示","隠す")</f>
        <v/>
      </c>
    </row>
    <row r="1124">
      <c r="S1124" t="inlineStr">
        <is>
          <t>表示</t>
        </is>
      </c>
    </row>
  </sheetData>
  <autoFilter ref="A4:S112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s>
        <filter val="表示"/>
      </filters>
    </filterColumn>
  </autoFilter>
  <mergeCells count="81">
    <mergeCell ref="F929:G929"/>
    <mergeCell ref="F537:G537"/>
    <mergeCell ref="A1070:B1070"/>
    <mergeCell ref="F1097:G1097"/>
    <mergeCell ref="A398:B398"/>
    <mergeCell ref="A762:B762"/>
    <mergeCell ref="F173:G173"/>
    <mergeCell ref="A90:B90"/>
    <mergeCell ref="F369:G369"/>
    <mergeCell ref="A286:B286"/>
    <mergeCell ref="A930:B930"/>
    <mergeCell ref="A1014:B1014"/>
    <mergeCell ref="A790:B790"/>
    <mergeCell ref="A62:B62"/>
    <mergeCell ref="F341:G341"/>
    <mergeCell ref="A482:B482"/>
    <mergeCell ref="A538:B538"/>
    <mergeCell ref="F761:G761"/>
    <mergeCell ref="F565:G565"/>
    <mergeCell ref="F313:G313"/>
    <mergeCell ref="A230:B230"/>
    <mergeCell ref="A986:B986"/>
    <mergeCell ref="A1042:B1042"/>
    <mergeCell ref="F397:G397"/>
    <mergeCell ref="F817:G817"/>
    <mergeCell ref="F733:G733"/>
    <mergeCell ref="A678:B678"/>
    <mergeCell ref="F5:G5"/>
    <mergeCell ref="A426:B426"/>
    <mergeCell ref="F33:G33"/>
    <mergeCell ref="A566:B566"/>
    <mergeCell ref="F789:G789"/>
    <mergeCell ref="F985:G985"/>
    <mergeCell ref="F593:G593"/>
    <mergeCell ref="A650:B650"/>
    <mergeCell ref="F61:G61"/>
    <mergeCell ref="A342:B342"/>
    <mergeCell ref="F621:G621"/>
    <mergeCell ref="A818:B818"/>
    <mergeCell ref="A622:B622"/>
    <mergeCell ref="A594:B594"/>
    <mergeCell ref="A510:B510"/>
    <mergeCell ref="A34:B34"/>
    <mergeCell ref="F257:G257"/>
    <mergeCell ref="F677:G677"/>
    <mergeCell ref="F89:G89"/>
    <mergeCell ref="A370:B370"/>
    <mergeCell ref="F649:G649"/>
    <mergeCell ref="A846:B846"/>
    <mergeCell ref="F201:G201"/>
    <mergeCell ref="F1013:G1013"/>
    <mergeCell ref="F901:G901"/>
    <mergeCell ref="F705:G705"/>
    <mergeCell ref="A902:B902"/>
    <mergeCell ref="F1041:G1041"/>
    <mergeCell ref="F425:G425"/>
    <mergeCell ref="F229:G229"/>
    <mergeCell ref="F873:G873"/>
    <mergeCell ref="F117:G117"/>
    <mergeCell ref="A454:B454"/>
    <mergeCell ref="A874:B874"/>
    <mergeCell ref="A202:B202"/>
    <mergeCell ref="A258:B258"/>
    <mergeCell ref="B4:L4"/>
    <mergeCell ref="A958:B958"/>
    <mergeCell ref="A146:B146"/>
    <mergeCell ref="A6:B6"/>
    <mergeCell ref="F845:G845"/>
    <mergeCell ref="F285:G285"/>
    <mergeCell ref="A706:B706"/>
    <mergeCell ref="A174:B174"/>
    <mergeCell ref="F453:G453"/>
    <mergeCell ref="A118:B118"/>
    <mergeCell ref="F145:G145"/>
    <mergeCell ref="A734:B734"/>
    <mergeCell ref="F957:G957"/>
    <mergeCell ref="A1098:B1098"/>
    <mergeCell ref="F509:G509"/>
    <mergeCell ref="F481:G481"/>
    <mergeCell ref="F1069:G1069"/>
    <mergeCell ref="A314:B314"/>
  </mergeCells>
  <conditionalFormatting sqref="C8:H31 C36:H59 C64:H87 C92:H115 C120:H143 C148:H171 C176:H199 C204:H227 C232:H255 C260:H283 C288:H311 C316:H339 C344:H367 C372:H395 C400:H423 C428:H451 C456:H479 C484:H507 C512:H535 C540:H563 C568:H591 C596:H619 C624:H647 C652:H675 C680:H703 C708:H731 C736:H759 C764:H787 C792:H815 C820:H843 C848:H871 C876:H899 C904:H927 C932:H955 C960:H983 C988:H1011 C1016:H1039 C1044:H1067 C1072:H1095 C1100:H1123">
    <cfRule type="expression" priority="1" dxfId="3" stopIfTrue="1">
      <formula>INDEX('calcA'!$D$115:$EQ$115,(COLUMN(C8)-3)*24+MOD(ROW(C8)-5,28)-2)=0</formula>
    </cfRule>
    <cfRule type="expression" priority="2" dxfId="11" stopIfTrue="1">
      <formula>INDEX('calcA'!$D$4:$EQ$4,(COLUMN(C8)-3)*24+MOD(ROW(C8)-5,28)-2)=0</formula>
    </cfRule>
    <cfRule type="expression" priority="3" dxfId="5" stopIfTrue="1">
      <formula>OR(C8&lt;&gt;"",INDEX('calcA'!$D$10:$EQ$54,INT((ROW(C8)-5)/28)+1,(COLUMN(C8)-3)*24+MOD(ROW(C8)-5,28)-2)=1)</formula>
    </cfRule>
    <cfRule type="expression" priority="4" dxfId="4">
      <formula>TRUE</formula>
    </cfRule>
  </conditionalFormatting>
  <conditionalFormatting sqref="C6:H6 C34:H34 C62:H62 C90:H90 C118:H118 C146:H146 C174:H174 C202:H202 C230:H230 C258:H258 C286:H286 C314:H314 C342:H342 C370:H370 C398:H398 C426:H426 C454:H454 C482:H482 C510:H510 C538:H538 C566:H566 C594:H594 C622:H622 C650:H650 C678:H678 C706:H706 C734:H734 C762:H762 C790:H790 C818:H818 C846:H846 C874:H874 C902:H902 C930:H930 C958:H958 C986:H986 C1014:H1014 C1042:H1042 C1070:H1070 C1098:H1098">
    <cfRule type="expression" priority="5" dxfId="3" stopIfTrue="1">
      <formula>INDEX('設定'!$B$11:$B$16,COLUMN(C6)-2)=""</formula>
    </cfRule>
    <cfRule type="expression" priority="6" dxfId="4">
      <formula>TRUE</formula>
    </cfRule>
  </conditionalFormatting>
  <conditionalFormatting sqref="A8:A31 A36:A59 A64:A87 A92:A115 A120:A143 A148:A171 A176:A199 A204:A227 A232:A255 A260:A283 A288:A311 A316:A339 A344:A367 A372:A395 A400:A423 A428:A451 A456:A479 A484:A507 A512:A535 A540:A563 A568:A591 A596:A619 A624:A647 A652:A675 A680:A703 A708:A731 A736:A759 A764:A787 A792:A815 A820:A843 A848:A871 A876:A899 A904:A927 A932:A955 A960:A983 A988:A1011 A1016:A1039 A1044:A1067 A1072:A1095 A1100:A1123">
    <cfRule type="expression" priority="7" dxfId="3" stopIfTrue="1">
      <formula>$B8=""</formula>
    </cfRule>
    <cfRule type="expression" priority="8" dxfId="4">
      <formula>TRUE</formula>
    </cfRule>
  </conditionalFormatting>
  <conditionalFormatting sqref="B8:B31 B36:B59 B64:B87 B92:B115 B120:B143 B148:B171 B176:B199 B204:B227 B232:B255 B260:B283 B288:B311 B316:B339 B344:B367 B372:B395 B400:B423 B428:B451 B456:B479 B484:B507 B512:B535 B540:B563 B568:B591 B596:B619 B624:B647 B652:B675 B680:B703 B708:B731 B736:B759 B764:B787 B792:B815 B820:B843 B848:B871 B876:B899 B904:B927 B932:B955 B960:B983 B988:B1011 B1016:B1039 B1044:B1067 B1072:B1095 B1100:B1123">
    <cfRule type="expression" priority="9" dxfId="3" stopIfTrue="1">
      <formula>B8=""</formula>
    </cfRule>
  </conditionalFormatting>
  <conditionalFormatting sqref="B4:L4">
    <cfRule type="expression" priority="10" dxfId="12">
      <formula>$B$4&lt;&gt;""</formula>
    </cfRule>
  </conditionalFormatting>
  <conditionalFormatting sqref="C7:H7 C35:H35 C63:H63 C91:H91 C119:H119 C147:H147 C175:H175 C203:H203 C231:H231 C259:H259 C287:H287 C315:H315 C343:H343 C371:H371 C399:H399 C427:H427 C455:H455 C483:H483 C511:H511 C539:H539 C567:H567 C595:H595 C623:H623 C651:H651 C679:H679 C707:H707 C735:H735 C763:H763 C791:H791 C819:H819 C847:H847 C875:H875 C903:H903 C931:H931 C959:H959 C987:H987 C1015:H1015 C1043:H1043 C1071:H1071 C1099:H1099">
    <cfRule type="expression" priority="11" dxfId="3">
      <formula>C7=""</formula>
    </cfRule>
  </conditionalFormatting>
  <dataValidations count="2">
    <dataValidation sqref="F5 F33 F61 F89 F117 F145 F173 F201 F229 F257 F285 F313 F341 F369 F397 F425 F453 F481 F509 F537 F565 F593 F621 F649 F677 F705 F733 F761 F789 F817 F845 F873 F901 F929 F957 F985 F1013 F1041 F1069 F1097" showDropDown="0" showInputMessage="0" showErrorMessage="0" allowBlank="1" type="list">
      <formula1>"×なし（どこでもOK）,未提出"</formula1>
    </dataValidation>
    <dataValidation sqref="A8:A31 A36:A59 A64:A87 A92:A115 A120:A143 A148:A171 A176:A199 A204:A227 A232:A255 A260:A283 A288:A311 A316:A339 A344:A367 A372:A395 A400:A423 A428:A451 A456:A479 A484:A507 A512:A535 A540:A563 A568:A591 A596:A619 A624:A647 A652:A675 A680:A703 A708:A731 A736:A759 A764:A787 A792:A815 A820:A843 A848:A871 A876:A899 A904:A927 A932:A955 A960:A983 A988:A1011 A1016:A1039 A1044:A1067 A1072:A1095 A1100:A1123 C6:H6 C34:H34 C62:H62 C90:H90 C118:H118 C146:H146 C174:H174 C202:H202 C230:H230 C258:H258 C286:H286 C314:H314 C342:H342 C370:H370 C398:H398 C426:H426 C454:H454 C482:H482 C510:H510 C538:H538 C566:H566 C594:H594 C622:H622 C650:H650 C678:H678 C706:H706 C734:H734 C762:H762 C790:H790 C818:H818 C846:H846 C874:H874 C902:H902 C930:H930 C958:H958 C986:H986 C1014:H1014 C1042:H1042 C1070:H1070 C1098:H1098" showDropDown="0" showInputMessage="0" showErrorMessage="1" allowBlank="1" error="「×」を選んでください（消すときは Delete）。" type="list">
      <formula1>"×"</formula1>
    </dataValidation>
  </dataValidations>
  <pageMargins left="0.75" right="0.75" top="1" bottom="1" header="0.5" footer="0.5"/>
</worksheet>
</file>

<file path=xl/worksheets/sheet5.xml><?xml version="1.0" encoding="utf-8"?>
<worksheet xmlns="http://schemas.openxmlformats.org/spreadsheetml/2006/main">
  <sheetPr>
    <tabColor rgb="003A6DB5"/>
    <outlinePr summaryBelow="1" summaryRight="1"/>
    <pageSetUpPr/>
  </sheetPr>
  <dimension ref="A1:Q29"/>
  <sheetViews>
    <sheetView showGridLines="0" showRowColHeader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30"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s>
  <sheetData>
    <row r="1" ht="44" customHeight="1">
      <c r="A1" s="2" t="n"/>
      <c r="B1" s="72" t="inlineStr">
        <is>
          <t>自動案A（詰める）</t>
        </is>
      </c>
      <c r="C1" s="2" t="n"/>
      <c r="D1" s="2" t="n"/>
      <c r="E1" s="23">
        <f>HYPERLINK("#'ホーム'!A1","ホーム")</f>
        <v/>
      </c>
      <c r="F1" s="23">
        <f>HYPERLINK("#'設定'!A1","① 設定")</f>
        <v/>
      </c>
      <c r="G1" s="23">
        <f>HYPERLINK("#'名簿'!A1","② 名簿")</f>
        <v/>
      </c>
      <c r="H1" s="23">
        <f>HYPERLINK("#'×入力'!A1","③ ×入力")</f>
        <v/>
      </c>
      <c r="I1" s="2" t="n"/>
      <c r="J1" s="2" t="n"/>
      <c r="K1" s="2" t="n"/>
      <c r="L1" s="24">
        <f>HYPERLINK("#'自動案A'!A1","④ 自動案A")</f>
        <v/>
      </c>
      <c r="M1" s="23">
        <f>HYPERLINK("#'自動案B'!A1","④ 自動案B")</f>
        <v/>
      </c>
      <c r="N1" s="23">
        <f>HYPERLINK("#'調整・決定'!A1","⑤ 調整・決定")</f>
        <v/>
      </c>
      <c r="O1" s="23">
        <f>HYPERLINK("#'兄弟確認用'!A1","⑥ 兄弟確認")</f>
        <v/>
      </c>
      <c r="P1" s="23">
        <f>HYPERLINK("#'お手紙（夏）'!A1","⑦ お手紙 夏")</f>
        <v/>
      </c>
      <c r="Q1" s="23">
        <f>HYPERLINK("#'お手紙（秋）'!A1","⑧ お手紙 秋")</f>
        <v/>
      </c>
    </row>
    <row r="2" ht="24" customHeight="1">
      <c r="A2" s="5" t="n"/>
      <c r="B2" s="73" t="inlineStr">
        <is>
          <t>入れられる枠が少ない家庭から順に、設定の「詰め方」で詰めて組んだ案です。緑が新しく入った人。よければ表をコピーし（名前ボックスで「自動案Aの表」）、「調整・決定」の表の左上に［値の貼り付け］をします。</t>
        </is>
      </c>
      <c r="C2" s="5" t="n"/>
      <c r="D2" s="5" t="n"/>
      <c r="E2" s="5" t="n"/>
      <c r="F2" s="5" t="n"/>
      <c r="G2" s="5" t="n"/>
      <c r="H2" s="5" t="n"/>
      <c r="I2" s="5" t="n"/>
      <c r="J2" s="5" t="n"/>
      <c r="K2" s="5" t="n"/>
      <c r="L2" s="5" t="n"/>
      <c r="M2" s="5" t="n"/>
      <c r="N2" s="5" t="n"/>
      <c r="O2" s="5" t="n"/>
      <c r="P2" s="5" t="n"/>
      <c r="Q2" s="5" t="n"/>
    </row>
    <row r="3" ht="40" customHeight="1">
      <c r="C3" s="84" t="inlineStr">
        <is>
          <t>新しく入った人</t>
        </is>
      </c>
      <c r="D3" s="85" t="inlineStr">
        <is>
          <t>後ろを空ける枠</t>
        </is>
      </c>
      <c r="E3" s="86" t="inlineStr">
        <is>
          <t>なるべく空ける日・休憩</t>
        </is>
      </c>
      <c r="F3" s="87" t="inlineStr">
        <is>
          <t>先生の都合で使えない</t>
        </is>
      </c>
      <c r="J3" s="88" t="inlineStr">
        <is>
          <t>集まった分で自動案を作るときは ▶
ここを「自動案を出す」に</t>
        </is>
      </c>
      <c r="K3" s="89" t="inlineStr">
        <is>
          <t>自動案を出す</t>
        </is>
      </c>
    </row>
    <row r="4" ht="56" customHeight="1">
      <c r="C4" s="90">
        <f>IF(calcA!$A$6=1,"⚠ 「調整・決定」に入れた人は、自動案では動きません（その枠に固定されます）。自動案は、まだ入れていない人だけで作り直されます。全部作り直したいときは、「調整・決定」の表の名前を消してください。","⏸ いまは自動案を止めています（×の入力が軽くなります）。集まっている分で自動案を作るときは、右上の黄色い欄を「自動案を出す」に変えてください。あとから届いた分も、×を入れれば作り直されます。")</f>
        <v/>
      </c>
      <c r="D4" s="91" t="n"/>
      <c r="E4" s="91" t="n"/>
      <c r="F4" s="91" t="n"/>
      <c r="G4" s="91" t="n"/>
      <c r="H4" s="92" t="n"/>
    </row>
    <row r="5">
      <c r="B5" s="39" t="inlineStr"/>
      <c r="C5" s="40">
        <f>'設定'!$E$11</f>
        <v/>
      </c>
      <c r="D5" s="40">
        <f>'設定'!$E$12</f>
        <v/>
      </c>
      <c r="E5" s="40">
        <f>'設定'!$E$13</f>
        <v/>
      </c>
      <c r="F5" s="40">
        <f>'設定'!$E$14</f>
        <v/>
      </c>
      <c r="G5" s="40">
        <f>'設定'!$E$15</f>
        <v/>
      </c>
      <c r="H5" s="40">
        <f>'設定'!$E$16</f>
        <v/>
      </c>
      <c r="J5" s="93" t="inlineStr">
        <is>
          <t>決定済み（調整・決定シート）</t>
        </is>
      </c>
      <c r="K5" s="94">
        <f>SUMPRODUCT(('調整・決定'!$C$6:$H$29&lt;&gt;"")*1)&amp;" 人"</f>
        <v/>
      </c>
    </row>
    <row r="6" ht="26" customHeight="1">
      <c r="B6" s="47">
        <f>'設定'!$I$11</f>
        <v/>
      </c>
      <c r="C6" s="28">
        <f>IF('calcA'!D$4=0,"",IF('調整・決定'!C6&lt;&gt;"",'調整・決定'!C6,IFERROR(INDEX('名簿'!$P$5:$P$49,INDEX('calcB'!$B$3:$B$47,MATCH(1,'calcB'!$C$3:$C$47,0))),"")))</f>
        <v/>
      </c>
      <c r="D6" s="28">
        <f>IF('calcA'!AB$4=0,"",IF('調整・決定'!D6&lt;&gt;"",'調整・決定'!D6,IFERROR(INDEX('名簿'!$P$5:$P$49,INDEX('calcB'!$B$3:$B$47,MATCH(25,'calcB'!$C$3:$C$47,0))),"")))</f>
        <v/>
      </c>
      <c r="E6" s="28">
        <f>IF('calcA'!AZ$4=0,"",IF('調整・決定'!E6&lt;&gt;"",'調整・決定'!E6,IFERROR(INDEX('名簿'!$P$5:$P$49,INDEX('calcB'!$B$3:$B$47,MATCH(49,'calcB'!$C$3:$C$47,0))),"")))</f>
        <v/>
      </c>
      <c r="F6" s="28">
        <f>IF('calcA'!BX$4=0,"",IF('調整・決定'!F6&lt;&gt;"",'調整・決定'!F6,IFERROR(INDEX('名簿'!$P$5:$P$49,INDEX('calcB'!$B$3:$B$47,MATCH(73,'calcB'!$C$3:$C$47,0))),"")))</f>
        <v/>
      </c>
      <c r="G6" s="28">
        <f>IF('calcA'!CV$4=0,"",IF('調整・決定'!G6&lt;&gt;"",'調整・決定'!G6,IFERROR(INDEX('名簿'!$P$5:$P$49,INDEX('calcB'!$B$3:$B$47,MATCH(97,'calcB'!$C$3:$C$47,0))),"")))</f>
        <v/>
      </c>
      <c r="H6" s="28">
        <f>IF('calcA'!DT$4=0,"",IF('調整・決定'!H6&lt;&gt;"",'調整・決定'!H6,IFERROR(INDEX('名簿'!$P$5:$P$49,INDEX('calcB'!$B$3:$B$47,MATCH(121,'calcB'!$C$3:$C$47,0))),"")))</f>
        <v/>
      </c>
      <c r="J6" s="93" t="inlineStr">
        <is>
          <t>自動で新しく入った</t>
        </is>
      </c>
      <c r="K6" s="94">
        <f>SUMPRODUCT(('calcB'!$B$3:$B$47&gt;0)*('calcB'!$C$3:$C$47&gt;0))&amp;" 人"</f>
        <v/>
      </c>
    </row>
    <row r="7" ht="26" customHeight="1">
      <c r="B7" s="47">
        <f>'設定'!$I$12</f>
        <v/>
      </c>
      <c r="C7" s="28">
        <f>IF('calcA'!E$4=0,"",IF('調整・決定'!C7&lt;&gt;"",'調整・決定'!C7,IFERROR(INDEX('名簿'!$P$5:$P$49,INDEX('calcB'!$B$3:$B$47,MATCH(2,'calcB'!$C$3:$C$47,0))),"")))</f>
        <v/>
      </c>
      <c r="D7" s="28">
        <f>IF('calcA'!AC$4=0,"",IF('調整・決定'!D7&lt;&gt;"",'調整・決定'!D7,IFERROR(INDEX('名簿'!$P$5:$P$49,INDEX('calcB'!$B$3:$B$47,MATCH(26,'calcB'!$C$3:$C$47,0))),"")))</f>
        <v/>
      </c>
      <c r="E7" s="28">
        <f>IF('calcA'!BA$4=0,"",IF('調整・決定'!E7&lt;&gt;"",'調整・決定'!E7,IFERROR(INDEX('名簿'!$P$5:$P$49,INDEX('calcB'!$B$3:$B$47,MATCH(50,'calcB'!$C$3:$C$47,0))),"")))</f>
        <v/>
      </c>
      <c r="F7" s="28">
        <f>IF('calcA'!BY$4=0,"",IF('調整・決定'!F7&lt;&gt;"",'調整・決定'!F7,IFERROR(INDEX('名簿'!$P$5:$P$49,INDEX('calcB'!$B$3:$B$47,MATCH(74,'calcB'!$C$3:$C$47,0))),"")))</f>
        <v/>
      </c>
      <c r="G7" s="28">
        <f>IF('calcA'!CW$4=0,"",IF('調整・決定'!G7&lt;&gt;"",'調整・決定'!G7,IFERROR(INDEX('名簿'!$P$5:$P$49,INDEX('calcB'!$B$3:$B$47,MATCH(98,'calcB'!$C$3:$C$47,0))),"")))</f>
        <v/>
      </c>
      <c r="H7" s="28">
        <f>IF('calcA'!DU$4=0,"",IF('調整・決定'!H7&lt;&gt;"",'調整・決定'!H7,IFERROR(INDEX('名簿'!$P$5:$P$49,INDEX('calcB'!$B$3:$B$47,MATCH(122,'calcB'!$C$3:$C$47,0))),"")))</f>
        <v/>
      </c>
    </row>
    <row r="8" ht="30" customHeight="1">
      <c r="B8" s="47">
        <f>'設定'!$I$13</f>
        <v/>
      </c>
      <c r="C8" s="28">
        <f>IF('calcA'!F$4=0,"",IF('調整・決定'!C8&lt;&gt;"",'調整・決定'!C8,IFERROR(INDEX('名簿'!$P$5:$P$49,INDEX('calcB'!$B$3:$B$47,MATCH(3,'calcB'!$C$3:$C$47,0))),"")))</f>
        <v/>
      </c>
      <c r="D8" s="28">
        <f>IF('calcA'!AD$4=0,"",IF('調整・決定'!D8&lt;&gt;"",'調整・決定'!D8,IFERROR(INDEX('名簿'!$P$5:$P$49,INDEX('calcB'!$B$3:$B$47,MATCH(27,'calcB'!$C$3:$C$47,0))),"")))</f>
        <v/>
      </c>
      <c r="E8" s="28">
        <f>IF('calcA'!BB$4=0,"",IF('調整・決定'!E8&lt;&gt;"",'調整・決定'!E8,IFERROR(INDEX('名簿'!$P$5:$P$49,INDEX('calcB'!$B$3:$B$47,MATCH(51,'calcB'!$C$3:$C$47,0))),"")))</f>
        <v/>
      </c>
      <c r="F8" s="28">
        <f>IF('calcA'!BZ$4=0,"",IF('調整・決定'!F8&lt;&gt;"",'調整・決定'!F8,IFERROR(INDEX('名簿'!$P$5:$P$49,INDEX('calcB'!$B$3:$B$47,MATCH(75,'calcB'!$C$3:$C$47,0))),"")))</f>
        <v/>
      </c>
      <c r="G8" s="28">
        <f>IF('calcA'!CX$4=0,"",IF('調整・決定'!G8&lt;&gt;"",'調整・決定'!G8,IFERROR(INDEX('名簿'!$P$5:$P$49,INDEX('calcB'!$B$3:$B$47,MATCH(99,'calcB'!$C$3:$C$47,0))),"")))</f>
        <v/>
      </c>
      <c r="H8" s="28">
        <f>IF('calcA'!DV$4=0,"",IF('調整・決定'!H8&lt;&gt;"",'調整・決定'!H8,IFERROR(INDEX('名簿'!$P$5:$P$49,INDEX('calcB'!$B$3:$B$47,MATCH(123,'calcB'!$C$3:$C$47,0))),"")))</f>
        <v/>
      </c>
      <c r="J8" s="95" t="inlineStr">
        <is>
          <t>入る枠がない（×・必ず空けたい）</t>
        </is>
      </c>
      <c r="K8" s="96">
        <f t="array" ref="K8">_xlfn.TEXTJOIN("、",TRUE,IF('calcA'!$IL$10:$IL$54=1,'calcA'!$B$10:$B$54,""))</f>
        <v/>
      </c>
    </row>
    <row r="9" ht="26" customHeight="1">
      <c r="B9" s="47">
        <f>'設定'!$I$14</f>
        <v/>
      </c>
      <c r="C9" s="28">
        <f>IF('calcA'!G$4=0,"",IF('調整・決定'!C9&lt;&gt;"",'調整・決定'!C9,IFERROR(INDEX('名簿'!$P$5:$P$49,INDEX('calcB'!$B$3:$B$47,MATCH(4,'calcB'!$C$3:$C$47,0))),"")))</f>
        <v/>
      </c>
      <c r="D9" s="28">
        <f>IF('calcA'!AE$4=0,"",IF('調整・決定'!D9&lt;&gt;"",'調整・決定'!D9,IFERROR(INDEX('名簿'!$P$5:$P$49,INDEX('calcB'!$B$3:$B$47,MATCH(28,'calcB'!$C$3:$C$47,0))),"")))</f>
        <v/>
      </c>
      <c r="E9" s="28">
        <f>IF('calcA'!BC$4=0,"",IF('調整・決定'!E9&lt;&gt;"",'調整・決定'!E9,IFERROR(INDEX('名簿'!$P$5:$P$49,INDEX('calcB'!$B$3:$B$47,MATCH(52,'calcB'!$C$3:$C$47,0))),"")))</f>
        <v/>
      </c>
      <c r="F9" s="28">
        <f>IF('calcA'!CA$4=0,"",IF('調整・決定'!F9&lt;&gt;"",'調整・決定'!F9,IFERROR(INDEX('名簿'!$P$5:$P$49,INDEX('calcB'!$B$3:$B$47,MATCH(76,'calcB'!$C$3:$C$47,0))),"")))</f>
        <v/>
      </c>
      <c r="G9" s="28">
        <f>IF('calcA'!CY$4=0,"",IF('調整・決定'!G9&lt;&gt;"",'調整・決定'!G9,IFERROR(INDEX('名簿'!$P$5:$P$49,INDEX('calcB'!$B$3:$B$47,MATCH(100,'calcB'!$C$3:$C$47,0))),"")))</f>
        <v/>
      </c>
      <c r="H9" s="28">
        <f>IF('calcA'!DW$4=0,"",IF('調整・決定'!H9&lt;&gt;"",'調整・決定'!H9,IFERROR(INDEX('名簿'!$P$5:$P$49,INDEX('calcB'!$B$3:$B$47,MATCH(124,'calcB'!$C$3:$C$47,0))),"")))</f>
        <v/>
      </c>
    </row>
    <row r="10" ht="30" customHeight="1">
      <c r="B10" s="47">
        <f>'設定'!$I$15</f>
        <v/>
      </c>
      <c r="C10" s="28">
        <f>IF('calcA'!H$4=0,"",IF('調整・決定'!C10&lt;&gt;"",'調整・決定'!C10,IFERROR(INDEX('名簿'!$P$5:$P$49,INDEX('calcB'!$B$3:$B$47,MATCH(5,'calcB'!$C$3:$C$47,0))),"")))</f>
        <v/>
      </c>
      <c r="D10" s="28">
        <f>IF('calcA'!AF$4=0,"",IF('調整・決定'!D10&lt;&gt;"",'調整・決定'!D10,IFERROR(INDEX('名簿'!$P$5:$P$49,INDEX('calcB'!$B$3:$B$47,MATCH(29,'calcB'!$C$3:$C$47,0))),"")))</f>
        <v/>
      </c>
      <c r="E10" s="28">
        <f>IF('calcA'!BD$4=0,"",IF('調整・決定'!E10&lt;&gt;"",'調整・決定'!E10,IFERROR(INDEX('名簿'!$P$5:$P$49,INDEX('calcB'!$B$3:$B$47,MATCH(53,'calcB'!$C$3:$C$47,0))),"")))</f>
        <v/>
      </c>
      <c r="F10" s="28">
        <f>IF('calcA'!CB$4=0,"",IF('調整・決定'!F10&lt;&gt;"",'調整・決定'!F10,IFERROR(INDEX('名簿'!$P$5:$P$49,INDEX('calcB'!$B$3:$B$47,MATCH(77,'calcB'!$C$3:$C$47,0))),"")))</f>
        <v/>
      </c>
      <c r="G10" s="28">
        <f>IF('calcA'!CZ$4=0,"",IF('調整・決定'!G10&lt;&gt;"",'調整・決定'!G10,IFERROR(INDEX('名簿'!$P$5:$P$49,INDEX('calcB'!$B$3:$B$47,MATCH(101,'calcB'!$C$3:$C$47,0))),"")))</f>
        <v/>
      </c>
      <c r="H10" s="28">
        <f>IF('calcA'!DX$4=0,"",IF('調整・決定'!H10&lt;&gt;"",'調整・決定'!H10,IFERROR(INDEX('名簿'!$P$5:$P$49,INDEX('calcB'!$B$3:$B$47,MATCH(125,'calcB'!$C$3:$C$47,0))),"")))</f>
        <v/>
      </c>
      <c r="J10" s="97" t="inlineStr">
        <is>
          <t>未入力・未提出で外した</t>
        </is>
      </c>
      <c r="K10" s="98">
        <f t="array" ref="K10">_xlfn.TEXTJOIN("、",TRUE,IF((('名簿'!$Q$5:$Q$49="未入力")+('名簿'!$Q$5:$Q$49="未提出"))*('calcA'!$IO$10:$IO$54=0),'名簿'!$P$5:$P$49,""))</f>
        <v/>
      </c>
    </row>
    <row r="11" ht="26" customHeight="1">
      <c r="B11" s="47">
        <f>'設定'!$I$16</f>
        <v/>
      </c>
      <c r="C11" s="28">
        <f>IF('calcA'!I$4=0,"",IF('調整・決定'!C11&lt;&gt;"",'調整・決定'!C11,IFERROR(INDEX('名簿'!$P$5:$P$49,INDEX('calcB'!$B$3:$B$47,MATCH(6,'calcB'!$C$3:$C$47,0))),"")))</f>
        <v/>
      </c>
      <c r="D11" s="28">
        <f>IF('calcA'!AG$4=0,"",IF('調整・決定'!D11&lt;&gt;"",'調整・決定'!D11,IFERROR(INDEX('名簿'!$P$5:$P$49,INDEX('calcB'!$B$3:$B$47,MATCH(30,'calcB'!$C$3:$C$47,0))),"")))</f>
        <v/>
      </c>
      <c r="E11" s="28">
        <f>IF('calcA'!BE$4=0,"",IF('調整・決定'!E11&lt;&gt;"",'調整・決定'!E11,IFERROR(INDEX('名簿'!$P$5:$P$49,INDEX('calcB'!$B$3:$B$47,MATCH(54,'calcB'!$C$3:$C$47,0))),"")))</f>
        <v/>
      </c>
      <c r="F11" s="28">
        <f>IF('calcA'!CC$4=0,"",IF('調整・決定'!F11&lt;&gt;"",'調整・決定'!F11,IFERROR(INDEX('名簿'!$P$5:$P$49,INDEX('calcB'!$B$3:$B$47,MATCH(78,'calcB'!$C$3:$C$47,0))),"")))</f>
        <v/>
      </c>
      <c r="G11" s="28">
        <f>IF('calcA'!DA$4=0,"",IF('調整・決定'!G11&lt;&gt;"",'調整・決定'!G11,IFERROR(INDEX('名簿'!$P$5:$P$49,INDEX('calcB'!$B$3:$B$47,MATCH(102,'calcB'!$C$3:$C$47,0))),"")))</f>
        <v/>
      </c>
      <c r="H11" s="28">
        <f>IF('calcA'!DY$4=0,"",IF('調整・決定'!H11&lt;&gt;"",'調整・決定'!H11,IFERROR(INDEX('名簿'!$P$5:$P$49,INDEX('calcB'!$B$3:$B$47,MATCH(126,'calcB'!$C$3:$C$47,0))),"")))</f>
        <v/>
      </c>
    </row>
    <row r="12" ht="26" customHeight="1">
      <c r="B12" s="47">
        <f>'設定'!$I$17</f>
        <v/>
      </c>
      <c r="C12" s="28">
        <f>IF('calcA'!J$4=0,"",IF('調整・決定'!C12&lt;&gt;"",'調整・決定'!C12,IFERROR(INDEX('名簿'!$P$5:$P$49,INDEX('calcB'!$B$3:$B$47,MATCH(7,'calcB'!$C$3:$C$47,0))),"")))</f>
        <v/>
      </c>
      <c r="D12" s="28">
        <f>IF('calcA'!AH$4=0,"",IF('調整・決定'!D12&lt;&gt;"",'調整・決定'!D12,IFERROR(INDEX('名簿'!$P$5:$P$49,INDEX('calcB'!$B$3:$B$47,MATCH(31,'calcB'!$C$3:$C$47,0))),"")))</f>
        <v/>
      </c>
      <c r="E12" s="28">
        <f>IF('calcA'!BF$4=0,"",IF('調整・決定'!E12&lt;&gt;"",'調整・決定'!E12,IFERROR(INDEX('名簿'!$P$5:$P$49,INDEX('calcB'!$B$3:$B$47,MATCH(55,'calcB'!$C$3:$C$47,0))),"")))</f>
        <v/>
      </c>
      <c r="F12" s="28">
        <f>IF('calcA'!CD$4=0,"",IF('調整・決定'!F12&lt;&gt;"",'調整・決定'!F12,IFERROR(INDEX('名簿'!$P$5:$P$49,INDEX('calcB'!$B$3:$B$47,MATCH(79,'calcB'!$C$3:$C$47,0))),"")))</f>
        <v/>
      </c>
      <c r="G12" s="28">
        <f>IF('calcA'!DB$4=0,"",IF('調整・決定'!G12&lt;&gt;"",'調整・決定'!G12,IFERROR(INDEX('名簿'!$P$5:$P$49,INDEX('calcB'!$B$3:$B$47,MATCH(103,'calcB'!$C$3:$C$47,0))),"")))</f>
        <v/>
      </c>
      <c r="H12" s="28">
        <f>IF('calcA'!DZ$4=0,"",IF('調整・決定'!H12&lt;&gt;"",'調整・決定'!H12,IFERROR(INDEX('名簿'!$P$5:$P$49,INDEX('calcB'!$B$3:$B$47,MATCH(127,'calcB'!$C$3:$C$47,0))),"")))</f>
        <v/>
      </c>
      <c r="J12" s="93" t="inlineStr">
        <is>
          <t>なるべく空けたい枠を使った</t>
        </is>
      </c>
      <c r="K12" s="94">
        <f>SUM('calcB'!$D$3:$D$47)&amp;" 枠"</f>
        <v/>
      </c>
    </row>
    <row r="13" ht="26" customHeight="1">
      <c r="B13" s="47">
        <f>'設定'!$I$18</f>
        <v/>
      </c>
      <c r="C13" s="28">
        <f>IF('calcA'!K$4=0,"",IF('調整・決定'!C13&lt;&gt;"",'調整・決定'!C13,IFERROR(INDEX('名簿'!$P$5:$P$49,INDEX('calcB'!$B$3:$B$47,MATCH(8,'calcB'!$C$3:$C$47,0))),"")))</f>
        <v/>
      </c>
      <c r="D13" s="28">
        <f>IF('calcA'!AI$4=0,"",IF('調整・決定'!D13&lt;&gt;"",'調整・決定'!D13,IFERROR(INDEX('名簿'!$P$5:$P$49,INDEX('calcB'!$B$3:$B$47,MATCH(32,'calcB'!$C$3:$C$47,0))),"")))</f>
        <v/>
      </c>
      <c r="E13" s="28">
        <f>IF('calcA'!BG$4=0,"",IF('調整・決定'!E13&lt;&gt;"",'調整・決定'!E13,IFERROR(INDEX('名簿'!$P$5:$P$49,INDEX('calcB'!$B$3:$B$47,MATCH(56,'calcB'!$C$3:$C$47,0))),"")))</f>
        <v/>
      </c>
      <c r="F13" s="28">
        <f>IF('calcA'!CE$4=0,"",IF('調整・決定'!F13&lt;&gt;"",'調整・決定'!F13,IFERROR(INDEX('名簿'!$P$5:$P$49,INDEX('calcB'!$B$3:$B$47,MATCH(80,'calcB'!$C$3:$C$47,0))),"")))</f>
        <v/>
      </c>
      <c r="G13" s="28">
        <f>IF('calcA'!DC$4=0,"",IF('調整・決定'!G13&lt;&gt;"",'調整・決定'!G13,IFERROR(INDEX('名簿'!$P$5:$P$49,INDEX('calcB'!$B$3:$B$47,MATCH(104,'calcB'!$C$3:$C$47,0))),"")))</f>
        <v/>
      </c>
      <c r="H13" s="28">
        <f>IF('calcA'!EA$4=0,"",IF('調整・決定'!H13&lt;&gt;"",'調整・決定'!H13,IFERROR(INDEX('名簿'!$P$5:$P$49,INDEX('calcB'!$B$3:$B$47,MATCH(128,'calcB'!$C$3:$C$47,0))),"")))</f>
        <v/>
      </c>
      <c r="J13" s="93" t="inlineStr">
        <is>
          <t>日ごとの人数</t>
        </is>
      </c>
    </row>
    <row r="14" ht="26" customHeight="1">
      <c r="B14" s="47">
        <f>'設定'!$I$19</f>
        <v/>
      </c>
      <c r="C14" s="28">
        <f>IF('calcA'!L$4=0,"",IF('調整・決定'!C14&lt;&gt;"",'調整・決定'!C14,IFERROR(INDEX('名簿'!$P$5:$P$49,INDEX('calcB'!$B$3:$B$47,MATCH(9,'calcB'!$C$3:$C$47,0))),"")))</f>
        <v/>
      </c>
      <c r="D14" s="28">
        <f>IF('calcA'!AJ$4=0,"",IF('調整・決定'!D14&lt;&gt;"",'調整・決定'!D14,IFERROR(INDEX('名簿'!$P$5:$P$49,INDEX('calcB'!$B$3:$B$47,MATCH(33,'calcB'!$C$3:$C$47,0))),"")))</f>
        <v/>
      </c>
      <c r="E14" s="28">
        <f>IF('calcA'!BH$4=0,"",IF('調整・決定'!E14&lt;&gt;"",'調整・決定'!E14,IFERROR(INDEX('名簿'!$P$5:$P$49,INDEX('calcB'!$B$3:$B$47,MATCH(57,'calcB'!$C$3:$C$47,0))),"")))</f>
        <v/>
      </c>
      <c r="F14" s="28">
        <f>IF('calcA'!CF$4=0,"",IF('調整・決定'!F14&lt;&gt;"",'調整・決定'!F14,IFERROR(INDEX('名簿'!$P$5:$P$49,INDEX('calcB'!$B$3:$B$47,MATCH(81,'calcB'!$C$3:$C$47,0))),"")))</f>
        <v/>
      </c>
      <c r="G14" s="28">
        <f>IF('calcA'!DD$4=0,"",IF('調整・決定'!G14&lt;&gt;"",'調整・決定'!G14,IFERROR(INDEX('名簿'!$P$5:$P$49,INDEX('calcB'!$B$3:$B$47,MATCH(105,'calcB'!$C$3:$C$47,0))),"")))</f>
        <v/>
      </c>
      <c r="H14" s="28">
        <f>IF('calcA'!EB$4=0,"",IF('調整・決定'!H14&lt;&gt;"",'調整・決定'!H14,IFERROR(INDEX('名簿'!$P$5:$P$49,INDEX('calcB'!$B$3:$B$47,MATCH(129,'calcB'!$C$3:$C$47,0))),"")))</f>
        <v/>
      </c>
      <c r="J14" s="99">
        <f>IF('設定'!$E$11="","",'設定'!$E$11)</f>
        <v/>
      </c>
      <c r="K14" s="100">
        <f>IF(J14="","",COUNTIF(C6:C29,"?*")&amp;" 人")</f>
        <v/>
      </c>
    </row>
    <row r="15" ht="26" customHeight="1">
      <c r="B15" s="47">
        <f>'設定'!$I$20</f>
        <v/>
      </c>
      <c r="C15" s="28">
        <f>IF('calcA'!M$4=0,"",IF('調整・決定'!C15&lt;&gt;"",'調整・決定'!C15,IFERROR(INDEX('名簿'!$P$5:$P$49,INDEX('calcB'!$B$3:$B$47,MATCH(10,'calcB'!$C$3:$C$47,0))),"")))</f>
        <v/>
      </c>
      <c r="D15" s="28">
        <f>IF('calcA'!AK$4=0,"",IF('調整・決定'!D15&lt;&gt;"",'調整・決定'!D15,IFERROR(INDEX('名簿'!$P$5:$P$49,INDEX('calcB'!$B$3:$B$47,MATCH(34,'calcB'!$C$3:$C$47,0))),"")))</f>
        <v/>
      </c>
      <c r="E15" s="28">
        <f>IF('calcA'!BI$4=0,"",IF('調整・決定'!E15&lt;&gt;"",'調整・決定'!E15,IFERROR(INDEX('名簿'!$P$5:$P$49,INDEX('calcB'!$B$3:$B$47,MATCH(58,'calcB'!$C$3:$C$47,0))),"")))</f>
        <v/>
      </c>
      <c r="F15" s="28">
        <f>IF('calcA'!CG$4=0,"",IF('調整・決定'!F15&lt;&gt;"",'調整・決定'!F15,IFERROR(INDEX('名簿'!$P$5:$P$49,INDEX('calcB'!$B$3:$B$47,MATCH(82,'calcB'!$C$3:$C$47,0))),"")))</f>
        <v/>
      </c>
      <c r="G15" s="28">
        <f>IF('calcA'!DE$4=0,"",IF('調整・決定'!G15&lt;&gt;"",'調整・決定'!G15,IFERROR(INDEX('名簿'!$P$5:$P$49,INDEX('calcB'!$B$3:$B$47,MATCH(106,'calcB'!$C$3:$C$47,0))),"")))</f>
        <v/>
      </c>
      <c r="H15" s="28">
        <f>IF('calcA'!EC$4=0,"",IF('調整・決定'!H15&lt;&gt;"",'調整・決定'!H15,IFERROR(INDEX('名簿'!$P$5:$P$49,INDEX('calcB'!$B$3:$B$47,MATCH(130,'calcB'!$C$3:$C$47,0))),"")))</f>
        <v/>
      </c>
      <c r="J15" s="99">
        <f>IF('設定'!$E$12="","",'設定'!$E$12)</f>
        <v/>
      </c>
      <c r="K15" s="100">
        <f>IF(J15="","",COUNTIF(D6:D29,"?*")&amp;" 人")</f>
        <v/>
      </c>
    </row>
    <row r="16" ht="26" customHeight="1">
      <c r="B16" s="47">
        <f>'設定'!$I$21</f>
        <v/>
      </c>
      <c r="C16" s="28">
        <f>IF('calcA'!N$4=0,"",IF('調整・決定'!C16&lt;&gt;"",'調整・決定'!C16,IFERROR(INDEX('名簿'!$P$5:$P$49,INDEX('calcB'!$B$3:$B$47,MATCH(11,'calcB'!$C$3:$C$47,0))),"")))</f>
        <v/>
      </c>
      <c r="D16" s="28">
        <f>IF('calcA'!AL$4=0,"",IF('調整・決定'!D16&lt;&gt;"",'調整・決定'!D16,IFERROR(INDEX('名簿'!$P$5:$P$49,INDEX('calcB'!$B$3:$B$47,MATCH(35,'calcB'!$C$3:$C$47,0))),"")))</f>
        <v/>
      </c>
      <c r="E16" s="28">
        <f>IF('calcA'!BJ$4=0,"",IF('調整・決定'!E16&lt;&gt;"",'調整・決定'!E16,IFERROR(INDEX('名簿'!$P$5:$P$49,INDEX('calcB'!$B$3:$B$47,MATCH(59,'calcB'!$C$3:$C$47,0))),"")))</f>
        <v/>
      </c>
      <c r="F16" s="28">
        <f>IF('calcA'!CH$4=0,"",IF('調整・決定'!F16&lt;&gt;"",'調整・決定'!F16,IFERROR(INDEX('名簿'!$P$5:$P$49,INDEX('calcB'!$B$3:$B$47,MATCH(83,'calcB'!$C$3:$C$47,0))),"")))</f>
        <v/>
      </c>
      <c r="G16" s="28">
        <f>IF('calcA'!DF$4=0,"",IF('調整・決定'!G16&lt;&gt;"",'調整・決定'!G16,IFERROR(INDEX('名簿'!$P$5:$P$49,INDEX('calcB'!$B$3:$B$47,MATCH(107,'calcB'!$C$3:$C$47,0))),"")))</f>
        <v/>
      </c>
      <c r="H16" s="28">
        <f>IF('calcA'!ED$4=0,"",IF('調整・決定'!H16&lt;&gt;"",'調整・決定'!H16,IFERROR(INDEX('名簿'!$P$5:$P$49,INDEX('calcB'!$B$3:$B$47,MATCH(131,'calcB'!$C$3:$C$47,0))),"")))</f>
        <v/>
      </c>
      <c r="J16" s="99">
        <f>IF('設定'!$E$13="","",'設定'!$E$13)</f>
        <v/>
      </c>
      <c r="K16" s="100">
        <f>IF(J16="","",COUNTIF(E6:E29,"?*")&amp;" 人")</f>
        <v/>
      </c>
    </row>
    <row r="17" ht="26" customHeight="1">
      <c r="B17" s="47">
        <f>'設定'!$I$22</f>
        <v/>
      </c>
      <c r="C17" s="28">
        <f>IF('calcA'!O$4=0,"",IF('調整・決定'!C17&lt;&gt;"",'調整・決定'!C17,IFERROR(INDEX('名簿'!$P$5:$P$49,INDEX('calcB'!$B$3:$B$47,MATCH(12,'calcB'!$C$3:$C$47,0))),"")))</f>
        <v/>
      </c>
      <c r="D17" s="28">
        <f>IF('calcA'!AM$4=0,"",IF('調整・決定'!D17&lt;&gt;"",'調整・決定'!D17,IFERROR(INDEX('名簿'!$P$5:$P$49,INDEX('calcB'!$B$3:$B$47,MATCH(36,'calcB'!$C$3:$C$47,0))),"")))</f>
        <v/>
      </c>
      <c r="E17" s="28">
        <f>IF('calcA'!BK$4=0,"",IF('調整・決定'!E17&lt;&gt;"",'調整・決定'!E17,IFERROR(INDEX('名簿'!$P$5:$P$49,INDEX('calcB'!$B$3:$B$47,MATCH(60,'calcB'!$C$3:$C$47,0))),"")))</f>
        <v/>
      </c>
      <c r="F17" s="28">
        <f>IF('calcA'!CI$4=0,"",IF('調整・決定'!F17&lt;&gt;"",'調整・決定'!F17,IFERROR(INDEX('名簿'!$P$5:$P$49,INDEX('calcB'!$B$3:$B$47,MATCH(84,'calcB'!$C$3:$C$47,0))),"")))</f>
        <v/>
      </c>
      <c r="G17" s="28">
        <f>IF('calcA'!DG$4=0,"",IF('調整・決定'!G17&lt;&gt;"",'調整・決定'!G17,IFERROR(INDEX('名簿'!$P$5:$P$49,INDEX('calcB'!$B$3:$B$47,MATCH(108,'calcB'!$C$3:$C$47,0))),"")))</f>
        <v/>
      </c>
      <c r="H17" s="28">
        <f>IF('calcA'!EE$4=0,"",IF('調整・決定'!H17&lt;&gt;"",'調整・決定'!H17,IFERROR(INDEX('名簿'!$P$5:$P$49,INDEX('calcB'!$B$3:$B$47,MATCH(132,'calcB'!$C$3:$C$47,0))),"")))</f>
        <v/>
      </c>
      <c r="J17" s="99">
        <f>IF('設定'!$E$14="","",'設定'!$E$14)</f>
        <v/>
      </c>
      <c r="K17" s="100">
        <f>IF(J17="","",COUNTIF(F6:F29,"?*")&amp;" 人")</f>
        <v/>
      </c>
    </row>
    <row r="18" ht="26" customHeight="1">
      <c r="B18" s="47">
        <f>'設定'!$I$23</f>
        <v/>
      </c>
      <c r="C18" s="28">
        <f>IF('calcA'!P$4=0,"",IF('調整・決定'!C18&lt;&gt;"",'調整・決定'!C18,IFERROR(INDEX('名簿'!$P$5:$P$49,INDEX('calcB'!$B$3:$B$47,MATCH(13,'calcB'!$C$3:$C$47,0))),"")))</f>
        <v/>
      </c>
      <c r="D18" s="28">
        <f>IF('calcA'!AN$4=0,"",IF('調整・決定'!D18&lt;&gt;"",'調整・決定'!D18,IFERROR(INDEX('名簿'!$P$5:$P$49,INDEX('calcB'!$B$3:$B$47,MATCH(37,'calcB'!$C$3:$C$47,0))),"")))</f>
        <v/>
      </c>
      <c r="E18" s="28">
        <f>IF('calcA'!BL$4=0,"",IF('調整・決定'!E18&lt;&gt;"",'調整・決定'!E18,IFERROR(INDEX('名簿'!$P$5:$P$49,INDEX('calcB'!$B$3:$B$47,MATCH(61,'calcB'!$C$3:$C$47,0))),"")))</f>
        <v/>
      </c>
      <c r="F18" s="28">
        <f>IF('calcA'!CJ$4=0,"",IF('調整・決定'!F18&lt;&gt;"",'調整・決定'!F18,IFERROR(INDEX('名簿'!$P$5:$P$49,INDEX('calcB'!$B$3:$B$47,MATCH(85,'calcB'!$C$3:$C$47,0))),"")))</f>
        <v/>
      </c>
      <c r="G18" s="28">
        <f>IF('calcA'!DH$4=0,"",IF('調整・決定'!G18&lt;&gt;"",'調整・決定'!G18,IFERROR(INDEX('名簿'!$P$5:$P$49,INDEX('calcB'!$B$3:$B$47,MATCH(109,'calcB'!$C$3:$C$47,0))),"")))</f>
        <v/>
      </c>
      <c r="H18" s="28">
        <f>IF('calcA'!EF$4=0,"",IF('調整・決定'!H18&lt;&gt;"",'調整・決定'!H18,IFERROR(INDEX('名簿'!$P$5:$P$49,INDEX('calcB'!$B$3:$B$47,MATCH(133,'calcB'!$C$3:$C$47,0))),"")))</f>
        <v/>
      </c>
      <c r="J18" s="99">
        <f>IF('設定'!$E$15="","",'設定'!$E$15)</f>
        <v/>
      </c>
      <c r="K18" s="100">
        <f>IF(J18="","",COUNTIF(G6:G29,"?*")&amp;" 人")</f>
        <v/>
      </c>
    </row>
    <row r="19" ht="26" customHeight="1">
      <c r="B19" s="47">
        <f>'設定'!$I$24</f>
        <v/>
      </c>
      <c r="C19" s="28">
        <f>IF('calcA'!Q$4=0,"",IF('調整・決定'!C19&lt;&gt;"",'調整・決定'!C19,IFERROR(INDEX('名簿'!$P$5:$P$49,INDEX('calcB'!$B$3:$B$47,MATCH(14,'calcB'!$C$3:$C$47,0))),"")))</f>
        <v/>
      </c>
      <c r="D19" s="28">
        <f>IF('calcA'!AO$4=0,"",IF('調整・決定'!D19&lt;&gt;"",'調整・決定'!D19,IFERROR(INDEX('名簿'!$P$5:$P$49,INDEX('calcB'!$B$3:$B$47,MATCH(38,'calcB'!$C$3:$C$47,0))),"")))</f>
        <v/>
      </c>
      <c r="E19" s="28">
        <f>IF('calcA'!BM$4=0,"",IF('調整・決定'!E19&lt;&gt;"",'調整・決定'!E19,IFERROR(INDEX('名簿'!$P$5:$P$49,INDEX('calcB'!$B$3:$B$47,MATCH(62,'calcB'!$C$3:$C$47,0))),"")))</f>
        <v/>
      </c>
      <c r="F19" s="28">
        <f>IF('calcA'!CK$4=0,"",IF('調整・決定'!F19&lt;&gt;"",'調整・決定'!F19,IFERROR(INDEX('名簿'!$P$5:$P$49,INDEX('calcB'!$B$3:$B$47,MATCH(86,'calcB'!$C$3:$C$47,0))),"")))</f>
        <v/>
      </c>
      <c r="G19" s="28">
        <f>IF('calcA'!DI$4=0,"",IF('調整・決定'!G19&lt;&gt;"",'調整・決定'!G19,IFERROR(INDEX('名簿'!$P$5:$P$49,INDEX('calcB'!$B$3:$B$47,MATCH(110,'calcB'!$C$3:$C$47,0))),"")))</f>
        <v/>
      </c>
      <c r="H19" s="28">
        <f>IF('calcA'!EG$4=0,"",IF('調整・決定'!H19&lt;&gt;"",'調整・決定'!H19,IFERROR(INDEX('名簿'!$P$5:$P$49,INDEX('calcB'!$B$3:$B$47,MATCH(134,'calcB'!$C$3:$C$47,0))),"")))</f>
        <v/>
      </c>
      <c r="J19" s="99">
        <f>IF('設定'!$E$16="","",'設定'!$E$16)</f>
        <v/>
      </c>
      <c r="K19" s="100">
        <f>IF(J19="","",COUNTIF(H6:H29,"?*")&amp;" 人")</f>
        <v/>
      </c>
    </row>
    <row r="20" ht="26" customHeight="1">
      <c r="B20" s="47">
        <f>'設定'!$I$25</f>
        <v/>
      </c>
      <c r="C20" s="28">
        <f>IF('calcA'!R$4=0,"",IF('調整・決定'!C20&lt;&gt;"",'調整・決定'!C20,IFERROR(INDEX('名簿'!$P$5:$P$49,INDEX('calcB'!$B$3:$B$47,MATCH(15,'calcB'!$C$3:$C$47,0))),"")))</f>
        <v/>
      </c>
      <c r="D20" s="28">
        <f>IF('calcA'!AP$4=0,"",IF('調整・決定'!D20&lt;&gt;"",'調整・決定'!D20,IFERROR(INDEX('名簿'!$P$5:$P$49,INDEX('calcB'!$B$3:$B$47,MATCH(39,'calcB'!$C$3:$C$47,0))),"")))</f>
        <v/>
      </c>
      <c r="E20" s="28">
        <f>IF('calcA'!BN$4=0,"",IF('調整・決定'!E20&lt;&gt;"",'調整・決定'!E20,IFERROR(INDEX('名簿'!$P$5:$P$49,INDEX('calcB'!$B$3:$B$47,MATCH(63,'calcB'!$C$3:$C$47,0))),"")))</f>
        <v/>
      </c>
      <c r="F20" s="28">
        <f>IF('calcA'!CL$4=0,"",IF('調整・決定'!F20&lt;&gt;"",'調整・決定'!F20,IFERROR(INDEX('名簿'!$P$5:$P$49,INDEX('calcB'!$B$3:$B$47,MATCH(87,'calcB'!$C$3:$C$47,0))),"")))</f>
        <v/>
      </c>
      <c r="G20" s="28">
        <f>IF('calcA'!DJ$4=0,"",IF('調整・決定'!G20&lt;&gt;"",'調整・決定'!G20,IFERROR(INDEX('名簿'!$P$5:$P$49,INDEX('calcB'!$B$3:$B$47,MATCH(111,'calcB'!$C$3:$C$47,0))),"")))</f>
        <v/>
      </c>
      <c r="H20" s="28">
        <f>IF('calcA'!EH$4=0,"",IF('調整・決定'!H20&lt;&gt;"",'調整・決定'!H20,IFERROR(INDEX('名簿'!$P$5:$P$49,INDEX('calcB'!$B$3:$B$47,MATCH(135,'calcB'!$C$3:$C$47,0))),"")))</f>
        <v/>
      </c>
    </row>
    <row r="21" ht="26" customHeight="1">
      <c r="B21" s="47">
        <f>'設定'!$I$26</f>
        <v/>
      </c>
      <c r="C21" s="28">
        <f>IF('calcA'!S$4=0,"",IF('調整・決定'!C21&lt;&gt;"",'調整・決定'!C21,IFERROR(INDEX('名簿'!$P$5:$P$49,INDEX('calcB'!$B$3:$B$47,MATCH(16,'calcB'!$C$3:$C$47,0))),"")))</f>
        <v/>
      </c>
      <c r="D21" s="28">
        <f>IF('calcA'!AQ$4=0,"",IF('調整・決定'!D21&lt;&gt;"",'調整・決定'!D21,IFERROR(INDEX('名簿'!$P$5:$P$49,INDEX('calcB'!$B$3:$B$47,MATCH(40,'calcB'!$C$3:$C$47,0))),"")))</f>
        <v/>
      </c>
      <c r="E21" s="28">
        <f>IF('calcA'!BO$4=0,"",IF('調整・決定'!E21&lt;&gt;"",'調整・決定'!E21,IFERROR(INDEX('名簿'!$P$5:$P$49,INDEX('calcB'!$B$3:$B$47,MATCH(64,'calcB'!$C$3:$C$47,0))),"")))</f>
        <v/>
      </c>
      <c r="F21" s="28">
        <f>IF('calcA'!CM$4=0,"",IF('調整・決定'!F21&lt;&gt;"",'調整・決定'!F21,IFERROR(INDEX('名簿'!$P$5:$P$49,INDEX('calcB'!$B$3:$B$47,MATCH(88,'calcB'!$C$3:$C$47,0))),"")))</f>
        <v/>
      </c>
      <c r="G21" s="28">
        <f>IF('calcA'!DK$4=0,"",IF('調整・決定'!G21&lt;&gt;"",'調整・決定'!G21,IFERROR(INDEX('名簿'!$P$5:$P$49,INDEX('calcB'!$B$3:$B$47,MATCH(112,'calcB'!$C$3:$C$47,0))),"")))</f>
        <v/>
      </c>
      <c r="H21" s="28">
        <f>IF('calcA'!EI$4=0,"",IF('調整・決定'!H21&lt;&gt;"",'調整・決定'!H21,IFERROR(INDEX('名簿'!$P$5:$P$49,INDEX('calcB'!$B$3:$B$47,MATCH(136,'calcB'!$C$3:$C$47,0))),"")))</f>
        <v/>
      </c>
      <c r="J21" s="101" t="inlineStr">
        <is>
          <t>「調整・決定」への貼り付けかた</t>
        </is>
      </c>
    </row>
    <row r="22" ht="26" customHeight="1">
      <c r="B22" s="47">
        <f>'設定'!$I$27</f>
        <v/>
      </c>
      <c r="C22" s="28">
        <f>IF('calcA'!T$4=0,"",IF('調整・決定'!C22&lt;&gt;"",'調整・決定'!C22,IFERROR(INDEX('名簿'!$P$5:$P$49,INDEX('calcB'!$B$3:$B$47,MATCH(17,'calcB'!$C$3:$C$47,0))),"")))</f>
        <v/>
      </c>
      <c r="D22" s="28">
        <f>IF('calcA'!AR$4=0,"",IF('調整・決定'!D22&lt;&gt;"",'調整・決定'!D22,IFERROR(INDEX('名簿'!$P$5:$P$49,INDEX('calcB'!$B$3:$B$47,MATCH(41,'calcB'!$C$3:$C$47,0))),"")))</f>
        <v/>
      </c>
      <c r="E22" s="28">
        <f>IF('calcA'!BP$4=0,"",IF('調整・決定'!E22&lt;&gt;"",'調整・決定'!E22,IFERROR(INDEX('名簿'!$P$5:$P$49,INDEX('calcB'!$B$3:$B$47,MATCH(65,'calcB'!$C$3:$C$47,0))),"")))</f>
        <v/>
      </c>
      <c r="F22" s="28">
        <f>IF('calcA'!CN$4=0,"",IF('調整・決定'!F22&lt;&gt;"",'調整・決定'!F22,IFERROR(INDEX('名簿'!$P$5:$P$49,INDEX('calcB'!$B$3:$B$47,MATCH(89,'calcB'!$C$3:$C$47,0))),"")))</f>
        <v/>
      </c>
      <c r="G22" s="28">
        <f>IF('calcA'!DL$4=0,"",IF('調整・決定'!G22&lt;&gt;"",'調整・決定'!G22,IFERROR(INDEX('名簿'!$P$5:$P$49,INDEX('calcB'!$B$3:$B$47,MATCH(113,'calcB'!$C$3:$C$47,0))),"")))</f>
        <v/>
      </c>
      <c r="H22" s="28">
        <f>IF('calcA'!EJ$4=0,"",IF('調整・決定'!H22&lt;&gt;"",'調整・決定'!H22,IFERROR(INDEX('名簿'!$P$5:$P$49,INDEX('calcB'!$B$3:$B$47,MATCH(137,'calcB'!$C$3:$C$47,0))),"")))</f>
        <v/>
      </c>
      <c r="J22" s="102" t="inlineStr">
        <is>
          <t>① 自動案の表を選んで Ctrl + C（名前ボックスで「自動案Aの表」などを選ぶと全体を選べます）</t>
        </is>
      </c>
    </row>
    <row r="23" ht="26" customHeight="1">
      <c r="B23" s="47">
        <f>'設定'!$I$28</f>
        <v/>
      </c>
      <c r="C23" s="28">
        <f>IF('calcA'!U$4=0,"",IF('調整・決定'!C23&lt;&gt;"",'調整・決定'!C23,IFERROR(INDEX('名簿'!$P$5:$P$49,INDEX('calcB'!$B$3:$B$47,MATCH(18,'calcB'!$C$3:$C$47,0))),"")))</f>
        <v/>
      </c>
      <c r="D23" s="28">
        <f>IF('calcA'!AS$4=0,"",IF('調整・決定'!D23&lt;&gt;"",'調整・決定'!D23,IFERROR(INDEX('名簿'!$P$5:$P$49,INDEX('calcB'!$B$3:$B$47,MATCH(42,'calcB'!$C$3:$C$47,0))),"")))</f>
        <v/>
      </c>
      <c r="E23" s="28">
        <f>IF('calcA'!BQ$4=0,"",IF('調整・決定'!E23&lt;&gt;"",'調整・決定'!E23,IFERROR(INDEX('名簿'!$P$5:$P$49,INDEX('calcB'!$B$3:$B$47,MATCH(66,'calcB'!$C$3:$C$47,0))),"")))</f>
        <v/>
      </c>
      <c r="F23" s="28">
        <f>IF('calcA'!CO$4=0,"",IF('調整・決定'!F23&lt;&gt;"",'調整・決定'!F23,IFERROR(INDEX('名簿'!$P$5:$P$49,INDEX('calcB'!$B$3:$B$47,MATCH(90,'calcB'!$C$3:$C$47,0))),"")))</f>
        <v/>
      </c>
      <c r="G23" s="28">
        <f>IF('calcA'!DM$4=0,"",IF('調整・決定'!G23&lt;&gt;"",'調整・決定'!G23,IFERROR(INDEX('名簿'!$P$5:$P$49,INDEX('calcB'!$B$3:$B$47,MATCH(114,'calcB'!$C$3:$C$47,0))),"")))</f>
        <v/>
      </c>
      <c r="H23" s="28">
        <f>IF('calcA'!EK$4=0,"",IF('調整・決定'!H23&lt;&gt;"",'調整・決定'!H23,IFERROR(INDEX('名簿'!$P$5:$P$49,INDEX('calcB'!$B$3:$B$47,MATCH(138,'calcB'!$C$3:$C$47,0))),"")))</f>
        <v/>
      </c>
      <c r="J23" s="102" t="inlineStr">
        <is>
          <t>② 「調整・決定」の表の左上（いちばん早い日・時刻のマス）をクリック</t>
        </is>
      </c>
    </row>
    <row r="24" ht="26" customHeight="1">
      <c r="B24" s="47">
        <f>'設定'!$I$29</f>
        <v/>
      </c>
      <c r="C24" s="28">
        <f>IF('calcA'!V$4=0,"",IF('調整・決定'!C24&lt;&gt;"",'調整・決定'!C24,IFERROR(INDEX('名簿'!$P$5:$P$49,INDEX('calcB'!$B$3:$B$47,MATCH(19,'calcB'!$C$3:$C$47,0))),"")))</f>
        <v/>
      </c>
      <c r="D24" s="28">
        <f>IF('calcA'!AT$4=0,"",IF('調整・決定'!D24&lt;&gt;"",'調整・決定'!D24,IFERROR(INDEX('名簿'!$P$5:$P$49,INDEX('calcB'!$B$3:$B$47,MATCH(43,'calcB'!$C$3:$C$47,0))),"")))</f>
        <v/>
      </c>
      <c r="E24" s="28">
        <f>IF('calcA'!BR$4=0,"",IF('調整・決定'!E24&lt;&gt;"",'調整・決定'!E24,IFERROR(INDEX('名簿'!$P$5:$P$49,INDEX('calcB'!$B$3:$B$47,MATCH(67,'calcB'!$C$3:$C$47,0))),"")))</f>
        <v/>
      </c>
      <c r="F24" s="28">
        <f>IF('calcA'!CP$4=0,"",IF('調整・決定'!F24&lt;&gt;"",'調整・決定'!F24,IFERROR(INDEX('名簿'!$P$5:$P$49,INDEX('calcB'!$B$3:$B$47,MATCH(91,'calcB'!$C$3:$C$47,0))),"")))</f>
        <v/>
      </c>
      <c r="G24" s="28">
        <f>IF('calcA'!DN$4=0,"",IF('調整・決定'!G24&lt;&gt;"",'調整・決定'!G24,IFERROR(INDEX('名簿'!$P$5:$P$49,INDEX('calcB'!$B$3:$B$47,MATCH(115,'calcB'!$C$3:$C$47,0))),"")))</f>
        <v/>
      </c>
      <c r="H24" s="28">
        <f>IF('calcA'!EL$4=0,"",IF('調整・決定'!H24&lt;&gt;"",'調整・決定'!H24,IFERROR(INDEX('名簿'!$P$5:$P$49,INDEX('calcB'!$B$3:$B$47,MATCH(139,'calcB'!$C$3:$C$47,0))),"")))</f>
        <v/>
      </c>
      <c r="J24" s="102" t="inlineStr">
        <is>
          <t>③ 右クリック →［貼り付けのオプション］の「値」（123 の絵）。または Ctrl + Shift + V</t>
        </is>
      </c>
    </row>
    <row r="25" ht="26" customHeight="1">
      <c r="B25" s="47">
        <f>'設定'!$I$30</f>
        <v/>
      </c>
      <c r="C25" s="28">
        <f>IF('calcA'!W$4=0,"",IF('調整・決定'!C25&lt;&gt;"",'調整・決定'!C25,IFERROR(INDEX('名簿'!$P$5:$P$49,INDEX('calcB'!$B$3:$B$47,MATCH(20,'calcB'!$C$3:$C$47,0))),"")))</f>
        <v/>
      </c>
      <c r="D25" s="28">
        <f>IF('calcA'!AU$4=0,"",IF('調整・決定'!D25&lt;&gt;"",'調整・決定'!D25,IFERROR(INDEX('名簿'!$P$5:$P$49,INDEX('calcB'!$B$3:$B$47,MATCH(44,'calcB'!$C$3:$C$47,0))),"")))</f>
        <v/>
      </c>
      <c r="E25" s="28">
        <f>IF('calcA'!BS$4=0,"",IF('調整・決定'!E25&lt;&gt;"",'調整・決定'!E25,IFERROR(INDEX('名簿'!$P$5:$P$49,INDEX('calcB'!$B$3:$B$47,MATCH(68,'calcB'!$C$3:$C$47,0))),"")))</f>
        <v/>
      </c>
      <c r="F25" s="28">
        <f>IF('calcA'!CQ$4=0,"",IF('調整・決定'!F25&lt;&gt;"",'調整・決定'!F25,IFERROR(INDEX('名簿'!$P$5:$P$49,INDEX('calcB'!$B$3:$B$47,MATCH(92,'calcB'!$C$3:$C$47,0))),"")))</f>
        <v/>
      </c>
      <c r="G25" s="28">
        <f>IF('calcA'!DO$4=0,"",IF('調整・決定'!G25&lt;&gt;"",'調整・決定'!G25,IFERROR(INDEX('名簿'!$P$5:$P$49,INDEX('calcB'!$B$3:$B$47,MATCH(116,'calcB'!$C$3:$C$47,0))),"")))</f>
        <v/>
      </c>
      <c r="H25" s="28">
        <f>IF('calcA'!EM$4=0,"",IF('調整・決定'!H25&lt;&gt;"",'調整・決定'!H25,IFERROR(INDEX('名簿'!$P$5:$P$49,INDEX('calcB'!$B$3:$B$47,MATCH(140,'calcB'!$C$3:$C$47,0))),"")))</f>
        <v/>
      </c>
      <c r="J25" s="103" t="inlineStr">
        <is>
          <t>※ ふつうの貼り付け（Ctrl + V）は×。「循環参照」の注意が出たら、すぐ Ctrl + Z で元に戻します。</t>
        </is>
      </c>
    </row>
    <row r="26" ht="26" customHeight="1">
      <c r="B26" s="47">
        <f>'設定'!$I$31</f>
        <v/>
      </c>
      <c r="C26" s="28">
        <f>IF('calcA'!X$4=0,"",IF('調整・決定'!C26&lt;&gt;"",'調整・決定'!C26,IFERROR(INDEX('名簿'!$P$5:$P$49,INDEX('calcB'!$B$3:$B$47,MATCH(21,'calcB'!$C$3:$C$47,0))),"")))</f>
        <v/>
      </c>
      <c r="D26" s="28">
        <f>IF('calcA'!AV$4=0,"",IF('調整・決定'!D26&lt;&gt;"",'調整・決定'!D26,IFERROR(INDEX('名簿'!$P$5:$P$49,INDEX('calcB'!$B$3:$B$47,MATCH(45,'calcB'!$C$3:$C$47,0))),"")))</f>
        <v/>
      </c>
      <c r="E26" s="28">
        <f>IF('calcA'!BT$4=0,"",IF('調整・決定'!E26&lt;&gt;"",'調整・決定'!E26,IFERROR(INDEX('名簿'!$P$5:$P$49,INDEX('calcB'!$B$3:$B$47,MATCH(69,'calcB'!$C$3:$C$47,0))),"")))</f>
        <v/>
      </c>
      <c r="F26" s="28">
        <f>IF('calcA'!CR$4=0,"",IF('調整・決定'!F26&lt;&gt;"",'調整・決定'!F26,IFERROR(INDEX('名簿'!$P$5:$P$49,INDEX('calcB'!$B$3:$B$47,MATCH(93,'calcB'!$C$3:$C$47,0))),"")))</f>
        <v/>
      </c>
      <c r="G26" s="28">
        <f>IF('calcA'!DP$4=0,"",IF('調整・決定'!G26&lt;&gt;"",'調整・決定'!G26,IFERROR(INDEX('名簿'!$P$5:$P$49,INDEX('calcB'!$B$3:$B$47,MATCH(117,'calcB'!$C$3:$C$47,0))),"")))</f>
        <v/>
      </c>
      <c r="H26" s="28">
        <f>IF('calcA'!EN$4=0,"",IF('調整・決定'!H26&lt;&gt;"",'調整・決定'!H26,IFERROR(INDEX('名簿'!$P$5:$P$49,INDEX('calcB'!$B$3:$B$47,MATCH(141,'calcB'!$C$3:$C$47,0))),"")))</f>
        <v/>
      </c>
    </row>
    <row r="27" ht="26" customHeight="1">
      <c r="B27" s="47">
        <f>'設定'!$I$32</f>
        <v/>
      </c>
      <c r="C27" s="28">
        <f>IF('calcA'!Y$4=0,"",IF('調整・決定'!C27&lt;&gt;"",'調整・決定'!C27,IFERROR(INDEX('名簿'!$P$5:$P$49,INDEX('calcB'!$B$3:$B$47,MATCH(22,'calcB'!$C$3:$C$47,0))),"")))</f>
        <v/>
      </c>
      <c r="D27" s="28">
        <f>IF('calcA'!AW$4=0,"",IF('調整・決定'!D27&lt;&gt;"",'調整・決定'!D27,IFERROR(INDEX('名簿'!$P$5:$P$49,INDEX('calcB'!$B$3:$B$47,MATCH(46,'calcB'!$C$3:$C$47,0))),"")))</f>
        <v/>
      </c>
      <c r="E27" s="28">
        <f>IF('calcA'!BU$4=0,"",IF('調整・決定'!E27&lt;&gt;"",'調整・決定'!E27,IFERROR(INDEX('名簿'!$P$5:$P$49,INDEX('calcB'!$B$3:$B$47,MATCH(70,'calcB'!$C$3:$C$47,0))),"")))</f>
        <v/>
      </c>
      <c r="F27" s="28">
        <f>IF('calcA'!CS$4=0,"",IF('調整・決定'!F27&lt;&gt;"",'調整・決定'!F27,IFERROR(INDEX('名簿'!$P$5:$P$49,INDEX('calcB'!$B$3:$B$47,MATCH(94,'calcB'!$C$3:$C$47,0))),"")))</f>
        <v/>
      </c>
      <c r="G27" s="28">
        <f>IF('calcA'!DQ$4=0,"",IF('調整・決定'!G27&lt;&gt;"",'調整・決定'!G27,IFERROR(INDEX('名簿'!$P$5:$P$49,INDEX('calcB'!$B$3:$B$47,MATCH(118,'calcB'!$C$3:$C$47,0))),"")))</f>
        <v/>
      </c>
      <c r="H27" s="28">
        <f>IF('calcA'!EO$4=0,"",IF('調整・決定'!H27&lt;&gt;"",'調整・決定'!H27,IFERROR(INDEX('名簿'!$P$5:$P$49,INDEX('calcB'!$B$3:$B$47,MATCH(142,'calcB'!$C$3:$C$47,0))),"")))</f>
        <v/>
      </c>
    </row>
    <row r="28" ht="26" customHeight="1">
      <c r="B28" s="47">
        <f>'設定'!$I$33</f>
        <v/>
      </c>
      <c r="C28" s="28">
        <f>IF('calcA'!Z$4=0,"",IF('調整・決定'!C28&lt;&gt;"",'調整・決定'!C28,IFERROR(INDEX('名簿'!$P$5:$P$49,INDEX('calcB'!$B$3:$B$47,MATCH(23,'calcB'!$C$3:$C$47,0))),"")))</f>
        <v/>
      </c>
      <c r="D28" s="28">
        <f>IF('calcA'!AX$4=0,"",IF('調整・決定'!D28&lt;&gt;"",'調整・決定'!D28,IFERROR(INDEX('名簿'!$P$5:$P$49,INDEX('calcB'!$B$3:$B$47,MATCH(47,'calcB'!$C$3:$C$47,0))),"")))</f>
        <v/>
      </c>
      <c r="E28" s="28">
        <f>IF('calcA'!BV$4=0,"",IF('調整・決定'!E28&lt;&gt;"",'調整・決定'!E28,IFERROR(INDEX('名簿'!$P$5:$P$49,INDEX('calcB'!$B$3:$B$47,MATCH(71,'calcB'!$C$3:$C$47,0))),"")))</f>
        <v/>
      </c>
      <c r="F28" s="28">
        <f>IF('calcA'!CT$4=0,"",IF('調整・決定'!F28&lt;&gt;"",'調整・決定'!F28,IFERROR(INDEX('名簿'!$P$5:$P$49,INDEX('calcB'!$B$3:$B$47,MATCH(95,'calcB'!$C$3:$C$47,0))),"")))</f>
        <v/>
      </c>
      <c r="G28" s="28">
        <f>IF('calcA'!DR$4=0,"",IF('調整・決定'!G28&lt;&gt;"",'調整・決定'!G28,IFERROR(INDEX('名簿'!$P$5:$P$49,INDEX('calcB'!$B$3:$B$47,MATCH(119,'calcB'!$C$3:$C$47,0))),"")))</f>
        <v/>
      </c>
      <c r="H28" s="28">
        <f>IF('calcA'!EP$4=0,"",IF('調整・決定'!H28&lt;&gt;"",'調整・決定'!H28,IFERROR(INDEX('名簿'!$P$5:$P$49,INDEX('calcB'!$B$3:$B$47,MATCH(143,'calcB'!$C$3:$C$47,0))),"")))</f>
        <v/>
      </c>
    </row>
    <row r="29" ht="26" customHeight="1">
      <c r="B29" s="47">
        <f>'設定'!$I$34</f>
        <v/>
      </c>
      <c r="C29" s="28">
        <f>IF('calcA'!AA$4=0,"",IF('調整・決定'!C29&lt;&gt;"",'調整・決定'!C29,IFERROR(INDEX('名簿'!$P$5:$P$49,INDEX('calcB'!$B$3:$B$47,MATCH(24,'calcB'!$C$3:$C$47,0))),"")))</f>
        <v/>
      </c>
      <c r="D29" s="28">
        <f>IF('calcA'!AY$4=0,"",IF('調整・決定'!D29&lt;&gt;"",'調整・決定'!D29,IFERROR(INDEX('名簿'!$P$5:$P$49,INDEX('calcB'!$B$3:$B$47,MATCH(48,'calcB'!$C$3:$C$47,0))),"")))</f>
        <v/>
      </c>
      <c r="E29" s="28">
        <f>IF('calcA'!BW$4=0,"",IF('調整・決定'!E29&lt;&gt;"",'調整・決定'!E29,IFERROR(INDEX('名簿'!$P$5:$P$49,INDEX('calcB'!$B$3:$B$47,MATCH(72,'calcB'!$C$3:$C$47,0))),"")))</f>
        <v/>
      </c>
      <c r="F29" s="28">
        <f>IF('calcA'!CU$4=0,"",IF('調整・決定'!F29&lt;&gt;"",'調整・決定'!F29,IFERROR(INDEX('名簿'!$P$5:$P$49,INDEX('calcB'!$B$3:$B$47,MATCH(96,'calcB'!$C$3:$C$47,0))),"")))</f>
        <v/>
      </c>
      <c r="G29" s="28">
        <f>IF('calcA'!DS$4=0,"",IF('調整・決定'!G29&lt;&gt;"",'調整・決定'!G29,IFERROR(INDEX('名簿'!$P$5:$P$49,INDEX('calcB'!$B$3:$B$47,MATCH(120,'calcB'!$C$3:$C$47,0))),"")))</f>
        <v/>
      </c>
      <c r="H29" s="28">
        <f>IF('calcA'!EQ$4=0,"",IF('調整・決定'!H29&lt;&gt;"",'調整・決定'!H29,IFERROR(INDEX('名簿'!$P$5:$P$49,INDEX('calcB'!$B$3:$B$47,MATCH(144,'calcB'!$C$3:$C$47,0))),"")))</f>
        <v/>
      </c>
    </row>
  </sheetData>
  <mergeCells count="8">
    <mergeCell ref="J21:K21"/>
    <mergeCell ref="J24:K24"/>
    <mergeCell ref="K8:K9"/>
    <mergeCell ref="J25:K25"/>
    <mergeCell ref="C4:H4"/>
    <mergeCell ref="J23:K23"/>
    <mergeCell ref="J22:K22"/>
    <mergeCell ref="K10:K11"/>
  </mergeCells>
  <conditionalFormatting sqref="B6:B29">
    <cfRule type="expression" priority="1" dxfId="3" stopIfTrue="1">
      <formula>B6=""</formula>
    </cfRule>
  </conditionalFormatting>
  <conditionalFormatting sqref="C6:H29">
    <cfRule type="expression" priority="2" dxfId="3" stopIfTrue="1">
      <formula>INDEX('calcA'!$D$115:$EQ$115,(COLUMN(C6)-3)*24+ROW(C6)-5)=0</formula>
    </cfRule>
    <cfRule type="expression" priority="3" dxfId="11" stopIfTrue="1">
      <formula>INDEX('calcA'!$D$4:$EQ$4,(COLUMN(C6)-3)*24+ROW(C6)-5)=0</formula>
    </cfRule>
    <cfRule type="expression" priority="4" dxfId="13" stopIfTrue="1">
      <formula>AND(C6&lt;&gt;"",'調整・決定'!C6="")</formula>
    </cfRule>
    <cfRule type="expression" priority="5" dxfId="14" stopIfTrue="1">
      <formula>AND(C6="",INDEX('calcA'!$D$107:$EQ$107,(COLUMN(C6)-3)*24+ROW(C6)-5)+INDEX('calcA'!$D$108:$EQ$108,(COLUMN(C6)-3)*24+ROW(C6)-5)&gt;0)</formula>
    </cfRule>
    <cfRule type="expression" priority="6" dxfId="15" stopIfTrue="1">
      <formula>AND(C6="",INDEX('calcA'!$D$5:$EQ$5,(COLUMN(C6)-3)*24+ROW(C6)-5)=1)</formula>
    </cfRule>
    <cfRule type="expression" priority="7" dxfId="4">
      <formula>TRUE</formula>
    </cfRule>
  </conditionalFormatting>
  <conditionalFormatting sqref="C4:H4">
    <cfRule type="expression" priority="8" dxfId="16">
      <formula>calcA!$A$6=0</formula>
    </cfRule>
  </conditionalFormatting>
  <conditionalFormatting sqref="C5:H5">
    <cfRule type="expression" priority="9" dxfId="3">
      <formula>C5=""</formula>
    </cfRule>
  </conditionalFormatting>
  <dataValidations count="1">
    <dataValidation sqref="K3" showDropDown="0" showInputMessage="0" showErrorMessage="0" allowBlank="0" type="list">
      <formula1>"止める（×の入力中）,自動案を出す"</formula1>
    </dataValidation>
  </dataValidations>
  <pageMargins left="0.75" right="0.75" top="1" bottom="1" header="0.5" footer="0.5"/>
</worksheet>
</file>

<file path=xl/worksheets/sheet6.xml><?xml version="1.0" encoding="utf-8"?>
<worksheet xmlns="http://schemas.openxmlformats.org/spreadsheetml/2006/main">
  <sheetPr>
    <tabColor rgb="005B8BD0"/>
    <outlinePr summaryBelow="1" summaryRight="1"/>
    <pageSetUpPr/>
  </sheetPr>
  <dimension ref="A1:Q29"/>
  <sheetViews>
    <sheetView showGridLines="0" showRowColHeader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30"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s>
  <sheetData>
    <row r="1" ht="44" customHeight="1">
      <c r="A1" s="2" t="n"/>
      <c r="B1" s="72" t="inlineStr">
        <is>
          <t>自動案B（散らす）</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4">
        <f>HYPERLINK("#'自動案B'!A1","④ 自動案B")</f>
        <v/>
      </c>
      <c r="N1" s="23">
        <f>HYPERLINK("#'調整・決定'!A1","⑤ 調整・決定")</f>
        <v/>
      </c>
      <c r="O1" s="23">
        <f>HYPERLINK("#'兄弟確認用'!A1","⑥ 兄弟確認")</f>
        <v/>
      </c>
      <c r="P1" s="23">
        <f>HYPERLINK("#'お手紙（夏）'!A1","⑦ お手紙 夏")</f>
        <v/>
      </c>
      <c r="Q1" s="23">
        <f>HYPERLINK("#'お手紙（秋）'!A1","⑧ お手紙 秋")</f>
        <v/>
      </c>
    </row>
    <row r="2" ht="24" customHeight="1">
      <c r="A2" s="5" t="n"/>
      <c r="B2" s="73" t="inlineStr">
        <is>
          <t>日ごとの人数がそろい、面談と面談のあいだがなるべく空くように組んだ案です（希望がある家庭は希望を優先）。よければ表をコピーし（名前ボックスで「自動案Bの表」）、「調整・決定」の表の左上に［値の貼り付け］をします。</t>
        </is>
      </c>
      <c r="C2" s="5" t="n"/>
      <c r="D2" s="5" t="n"/>
      <c r="E2" s="5" t="n"/>
      <c r="F2" s="5" t="n"/>
      <c r="G2" s="5" t="n"/>
      <c r="H2" s="5" t="n"/>
      <c r="I2" s="5" t="n"/>
      <c r="J2" s="5" t="n"/>
      <c r="K2" s="5" t="n"/>
      <c r="L2" s="5" t="n"/>
      <c r="M2" s="5" t="n"/>
      <c r="N2" s="5" t="n"/>
      <c r="O2" s="5" t="n"/>
      <c r="P2" s="5" t="n"/>
      <c r="Q2" s="5" t="n"/>
    </row>
    <row r="3" ht="40" customHeight="1">
      <c r="C3" s="84" t="inlineStr">
        <is>
          <t>新しく入った人</t>
        </is>
      </c>
      <c r="D3" s="85" t="inlineStr">
        <is>
          <t>後ろを空ける枠</t>
        </is>
      </c>
      <c r="E3" s="86" t="inlineStr">
        <is>
          <t>なるべく空ける日・休憩</t>
        </is>
      </c>
      <c r="F3" s="87" t="inlineStr">
        <is>
          <t>先生の都合で使えない</t>
        </is>
      </c>
      <c r="J3" s="104">
        <f>HYPERLINK("#'自動案A'!K3","自動案を出す・止めるの切り替えは「自動案A」のシートの右上です ▶")</f>
        <v/>
      </c>
    </row>
    <row r="4" ht="56" customHeight="1">
      <c r="C4" s="90">
        <f>IF(calcA!$A$6=1,"⚠ 「調整・決定」に入れた人は、自動案では動きません（その枠に固定されます）。自動案は、まだ入れていない人だけで作り直されます。全部作り直したいときは、「調整・決定」の表の名前を消してください。","⏸ いまは自動案を止めています（×の入力が軽くなります）。集まっている分で自動案を作るときは、「自動案A」のシートの右上の黄色い欄を「自動案を出す」に変えてください。あとから届いた分も、×を入れれば作り直されます。")</f>
        <v/>
      </c>
      <c r="D4" s="91" t="n"/>
      <c r="E4" s="91" t="n"/>
      <c r="F4" s="91" t="n"/>
      <c r="G4" s="91" t="n"/>
      <c r="H4" s="92" t="n"/>
    </row>
    <row r="5">
      <c r="B5" s="39" t="inlineStr"/>
      <c r="C5" s="40">
        <f>'設定'!$E$11</f>
        <v/>
      </c>
      <c r="D5" s="40">
        <f>'設定'!$E$12</f>
        <v/>
      </c>
      <c r="E5" s="40">
        <f>'設定'!$E$13</f>
        <v/>
      </c>
      <c r="F5" s="40">
        <f>'設定'!$E$14</f>
        <v/>
      </c>
      <c r="G5" s="40">
        <f>'設定'!$E$15</f>
        <v/>
      </c>
      <c r="H5" s="40">
        <f>'設定'!$E$16</f>
        <v/>
      </c>
      <c r="J5" s="93" t="inlineStr">
        <is>
          <t>決定済み（調整・決定シート）</t>
        </is>
      </c>
      <c r="K5" s="94">
        <f>SUMPRODUCT(('調整・決定'!$C$6:$H$29&lt;&gt;"")*1)&amp;" 人"</f>
        <v/>
      </c>
    </row>
    <row r="6" ht="26" customHeight="1">
      <c r="B6" s="47">
        <f>'設定'!$I$11</f>
        <v/>
      </c>
      <c r="C6" s="28">
        <f>IF('calcA'!D$4=0,"",IF('調整・決定'!C6&lt;&gt;"",'調整・決定'!C6,IFERROR(INDEX('名簿'!$P$5:$P$49,INDEX('calcC'!$B$3:$B$47,MATCH(1,'calcC'!$C$3:$C$47,0))),"")))</f>
        <v/>
      </c>
      <c r="D6" s="28">
        <f>IF('calcA'!AB$4=0,"",IF('調整・決定'!D6&lt;&gt;"",'調整・決定'!D6,IFERROR(INDEX('名簿'!$P$5:$P$49,INDEX('calcC'!$B$3:$B$47,MATCH(25,'calcC'!$C$3:$C$47,0))),"")))</f>
        <v/>
      </c>
      <c r="E6" s="28">
        <f>IF('calcA'!AZ$4=0,"",IF('調整・決定'!E6&lt;&gt;"",'調整・決定'!E6,IFERROR(INDEX('名簿'!$P$5:$P$49,INDEX('calcC'!$B$3:$B$47,MATCH(49,'calcC'!$C$3:$C$47,0))),"")))</f>
        <v/>
      </c>
      <c r="F6" s="28">
        <f>IF('calcA'!BX$4=0,"",IF('調整・決定'!F6&lt;&gt;"",'調整・決定'!F6,IFERROR(INDEX('名簿'!$P$5:$P$49,INDEX('calcC'!$B$3:$B$47,MATCH(73,'calcC'!$C$3:$C$47,0))),"")))</f>
        <v/>
      </c>
      <c r="G6" s="28">
        <f>IF('calcA'!CV$4=0,"",IF('調整・決定'!G6&lt;&gt;"",'調整・決定'!G6,IFERROR(INDEX('名簿'!$P$5:$P$49,INDEX('calcC'!$B$3:$B$47,MATCH(97,'calcC'!$C$3:$C$47,0))),"")))</f>
        <v/>
      </c>
      <c r="H6" s="28">
        <f>IF('calcA'!DT$4=0,"",IF('調整・決定'!H6&lt;&gt;"",'調整・決定'!H6,IFERROR(INDEX('名簿'!$P$5:$P$49,INDEX('calcC'!$B$3:$B$47,MATCH(121,'calcC'!$C$3:$C$47,0))),"")))</f>
        <v/>
      </c>
      <c r="J6" s="93" t="inlineStr">
        <is>
          <t>自動で新しく入った</t>
        </is>
      </c>
      <c r="K6" s="94">
        <f>SUMPRODUCT(('calcC'!$B$3:$B$47&gt;0)*('calcC'!$C$3:$C$47&gt;0))&amp;" 人"</f>
        <v/>
      </c>
    </row>
    <row r="7" ht="26" customHeight="1">
      <c r="B7" s="47">
        <f>'設定'!$I$12</f>
        <v/>
      </c>
      <c r="C7" s="28">
        <f>IF('calcA'!E$4=0,"",IF('調整・決定'!C7&lt;&gt;"",'調整・決定'!C7,IFERROR(INDEX('名簿'!$P$5:$P$49,INDEX('calcC'!$B$3:$B$47,MATCH(2,'calcC'!$C$3:$C$47,0))),"")))</f>
        <v/>
      </c>
      <c r="D7" s="28">
        <f>IF('calcA'!AC$4=0,"",IF('調整・決定'!D7&lt;&gt;"",'調整・決定'!D7,IFERROR(INDEX('名簿'!$P$5:$P$49,INDEX('calcC'!$B$3:$B$47,MATCH(26,'calcC'!$C$3:$C$47,0))),"")))</f>
        <v/>
      </c>
      <c r="E7" s="28">
        <f>IF('calcA'!BA$4=0,"",IF('調整・決定'!E7&lt;&gt;"",'調整・決定'!E7,IFERROR(INDEX('名簿'!$P$5:$P$49,INDEX('calcC'!$B$3:$B$47,MATCH(50,'calcC'!$C$3:$C$47,0))),"")))</f>
        <v/>
      </c>
      <c r="F7" s="28">
        <f>IF('calcA'!BY$4=0,"",IF('調整・決定'!F7&lt;&gt;"",'調整・決定'!F7,IFERROR(INDEX('名簿'!$P$5:$P$49,INDEX('calcC'!$B$3:$B$47,MATCH(74,'calcC'!$C$3:$C$47,0))),"")))</f>
        <v/>
      </c>
      <c r="G7" s="28">
        <f>IF('calcA'!CW$4=0,"",IF('調整・決定'!G7&lt;&gt;"",'調整・決定'!G7,IFERROR(INDEX('名簿'!$P$5:$P$49,INDEX('calcC'!$B$3:$B$47,MATCH(98,'calcC'!$C$3:$C$47,0))),"")))</f>
        <v/>
      </c>
      <c r="H7" s="28">
        <f>IF('calcA'!DU$4=0,"",IF('調整・決定'!H7&lt;&gt;"",'調整・決定'!H7,IFERROR(INDEX('名簿'!$P$5:$P$49,INDEX('calcC'!$B$3:$B$47,MATCH(122,'calcC'!$C$3:$C$47,0))),"")))</f>
        <v/>
      </c>
    </row>
    <row r="8" ht="30" customHeight="1">
      <c r="B8" s="47">
        <f>'設定'!$I$13</f>
        <v/>
      </c>
      <c r="C8" s="28">
        <f>IF('calcA'!F$4=0,"",IF('調整・決定'!C8&lt;&gt;"",'調整・決定'!C8,IFERROR(INDEX('名簿'!$P$5:$P$49,INDEX('calcC'!$B$3:$B$47,MATCH(3,'calcC'!$C$3:$C$47,0))),"")))</f>
        <v/>
      </c>
      <c r="D8" s="28">
        <f>IF('calcA'!AD$4=0,"",IF('調整・決定'!D8&lt;&gt;"",'調整・決定'!D8,IFERROR(INDEX('名簿'!$P$5:$P$49,INDEX('calcC'!$B$3:$B$47,MATCH(27,'calcC'!$C$3:$C$47,0))),"")))</f>
        <v/>
      </c>
      <c r="E8" s="28">
        <f>IF('calcA'!BB$4=0,"",IF('調整・決定'!E8&lt;&gt;"",'調整・決定'!E8,IFERROR(INDEX('名簿'!$P$5:$P$49,INDEX('calcC'!$B$3:$B$47,MATCH(51,'calcC'!$C$3:$C$47,0))),"")))</f>
        <v/>
      </c>
      <c r="F8" s="28">
        <f>IF('calcA'!BZ$4=0,"",IF('調整・決定'!F8&lt;&gt;"",'調整・決定'!F8,IFERROR(INDEX('名簿'!$P$5:$P$49,INDEX('calcC'!$B$3:$B$47,MATCH(75,'calcC'!$C$3:$C$47,0))),"")))</f>
        <v/>
      </c>
      <c r="G8" s="28">
        <f>IF('calcA'!CX$4=0,"",IF('調整・決定'!G8&lt;&gt;"",'調整・決定'!G8,IFERROR(INDEX('名簿'!$P$5:$P$49,INDEX('calcC'!$B$3:$B$47,MATCH(99,'calcC'!$C$3:$C$47,0))),"")))</f>
        <v/>
      </c>
      <c r="H8" s="28">
        <f>IF('calcA'!DV$4=0,"",IF('調整・決定'!H8&lt;&gt;"",'調整・決定'!H8,IFERROR(INDEX('名簿'!$P$5:$P$49,INDEX('calcC'!$B$3:$B$47,MATCH(123,'calcC'!$C$3:$C$47,0))),"")))</f>
        <v/>
      </c>
      <c r="J8" s="95" t="inlineStr">
        <is>
          <t>入る枠がない（×・必ず空けたい）</t>
        </is>
      </c>
      <c r="K8" s="96">
        <f t="array" ref="K8">_xlfn.TEXTJOIN("、",TRUE,IF('calcA'!$IS$10:$IS$54=1,'calcA'!$B$10:$B$54,""))</f>
        <v/>
      </c>
    </row>
    <row r="9" ht="26" customHeight="1">
      <c r="B9" s="47">
        <f>'設定'!$I$14</f>
        <v/>
      </c>
      <c r="C9" s="28">
        <f>IF('calcA'!G$4=0,"",IF('調整・決定'!C9&lt;&gt;"",'調整・決定'!C9,IFERROR(INDEX('名簿'!$P$5:$P$49,INDEX('calcC'!$B$3:$B$47,MATCH(4,'calcC'!$C$3:$C$47,0))),"")))</f>
        <v/>
      </c>
      <c r="D9" s="28">
        <f>IF('calcA'!AE$4=0,"",IF('調整・決定'!D9&lt;&gt;"",'調整・決定'!D9,IFERROR(INDEX('名簿'!$P$5:$P$49,INDEX('calcC'!$B$3:$B$47,MATCH(28,'calcC'!$C$3:$C$47,0))),"")))</f>
        <v/>
      </c>
      <c r="E9" s="28">
        <f>IF('calcA'!BC$4=0,"",IF('調整・決定'!E9&lt;&gt;"",'調整・決定'!E9,IFERROR(INDEX('名簿'!$P$5:$P$49,INDEX('calcC'!$B$3:$B$47,MATCH(52,'calcC'!$C$3:$C$47,0))),"")))</f>
        <v/>
      </c>
      <c r="F9" s="28">
        <f>IF('calcA'!CA$4=0,"",IF('調整・決定'!F9&lt;&gt;"",'調整・決定'!F9,IFERROR(INDEX('名簿'!$P$5:$P$49,INDEX('calcC'!$B$3:$B$47,MATCH(76,'calcC'!$C$3:$C$47,0))),"")))</f>
        <v/>
      </c>
      <c r="G9" s="28">
        <f>IF('calcA'!CY$4=0,"",IF('調整・決定'!G9&lt;&gt;"",'調整・決定'!G9,IFERROR(INDEX('名簿'!$P$5:$P$49,INDEX('calcC'!$B$3:$B$47,MATCH(100,'calcC'!$C$3:$C$47,0))),"")))</f>
        <v/>
      </c>
      <c r="H9" s="28">
        <f>IF('calcA'!DW$4=0,"",IF('調整・決定'!H9&lt;&gt;"",'調整・決定'!H9,IFERROR(INDEX('名簿'!$P$5:$P$49,INDEX('calcC'!$B$3:$B$47,MATCH(124,'calcC'!$C$3:$C$47,0))),"")))</f>
        <v/>
      </c>
    </row>
    <row r="10" ht="30" customHeight="1">
      <c r="B10" s="47">
        <f>'設定'!$I$15</f>
        <v/>
      </c>
      <c r="C10" s="28">
        <f>IF('calcA'!H$4=0,"",IF('調整・決定'!C10&lt;&gt;"",'調整・決定'!C10,IFERROR(INDEX('名簿'!$P$5:$P$49,INDEX('calcC'!$B$3:$B$47,MATCH(5,'calcC'!$C$3:$C$47,0))),"")))</f>
        <v/>
      </c>
      <c r="D10" s="28">
        <f>IF('calcA'!AF$4=0,"",IF('調整・決定'!D10&lt;&gt;"",'調整・決定'!D10,IFERROR(INDEX('名簿'!$P$5:$P$49,INDEX('calcC'!$B$3:$B$47,MATCH(29,'calcC'!$C$3:$C$47,0))),"")))</f>
        <v/>
      </c>
      <c r="E10" s="28">
        <f>IF('calcA'!BD$4=0,"",IF('調整・決定'!E10&lt;&gt;"",'調整・決定'!E10,IFERROR(INDEX('名簿'!$P$5:$P$49,INDEX('calcC'!$B$3:$B$47,MATCH(53,'calcC'!$C$3:$C$47,0))),"")))</f>
        <v/>
      </c>
      <c r="F10" s="28">
        <f>IF('calcA'!CB$4=0,"",IF('調整・決定'!F10&lt;&gt;"",'調整・決定'!F10,IFERROR(INDEX('名簿'!$P$5:$P$49,INDEX('calcC'!$B$3:$B$47,MATCH(77,'calcC'!$C$3:$C$47,0))),"")))</f>
        <v/>
      </c>
      <c r="G10" s="28">
        <f>IF('calcA'!CZ$4=0,"",IF('調整・決定'!G10&lt;&gt;"",'調整・決定'!G10,IFERROR(INDEX('名簿'!$P$5:$P$49,INDEX('calcC'!$B$3:$B$47,MATCH(101,'calcC'!$C$3:$C$47,0))),"")))</f>
        <v/>
      </c>
      <c r="H10" s="28">
        <f>IF('calcA'!DX$4=0,"",IF('調整・決定'!H10&lt;&gt;"",'調整・決定'!H10,IFERROR(INDEX('名簿'!$P$5:$P$49,INDEX('calcC'!$B$3:$B$47,MATCH(125,'calcC'!$C$3:$C$47,0))),"")))</f>
        <v/>
      </c>
      <c r="J10" s="97" t="inlineStr">
        <is>
          <t>未入力・未提出で外した</t>
        </is>
      </c>
      <c r="K10" s="98">
        <f t="array" ref="K10">_xlfn.TEXTJOIN("、",TRUE,IF((('名簿'!$Q$5:$Q$49="未入力")+('名簿'!$Q$5:$Q$49="未提出"))*('calcA'!$IO$10:$IO$54=0),'名簿'!$P$5:$P$49,""))</f>
        <v/>
      </c>
    </row>
    <row r="11" ht="26" customHeight="1">
      <c r="B11" s="47">
        <f>'設定'!$I$16</f>
        <v/>
      </c>
      <c r="C11" s="28">
        <f>IF('calcA'!I$4=0,"",IF('調整・決定'!C11&lt;&gt;"",'調整・決定'!C11,IFERROR(INDEX('名簿'!$P$5:$P$49,INDEX('calcC'!$B$3:$B$47,MATCH(6,'calcC'!$C$3:$C$47,0))),"")))</f>
        <v/>
      </c>
      <c r="D11" s="28">
        <f>IF('calcA'!AG$4=0,"",IF('調整・決定'!D11&lt;&gt;"",'調整・決定'!D11,IFERROR(INDEX('名簿'!$P$5:$P$49,INDEX('calcC'!$B$3:$B$47,MATCH(30,'calcC'!$C$3:$C$47,0))),"")))</f>
        <v/>
      </c>
      <c r="E11" s="28">
        <f>IF('calcA'!BE$4=0,"",IF('調整・決定'!E11&lt;&gt;"",'調整・決定'!E11,IFERROR(INDEX('名簿'!$P$5:$P$49,INDEX('calcC'!$B$3:$B$47,MATCH(54,'calcC'!$C$3:$C$47,0))),"")))</f>
        <v/>
      </c>
      <c r="F11" s="28">
        <f>IF('calcA'!CC$4=0,"",IF('調整・決定'!F11&lt;&gt;"",'調整・決定'!F11,IFERROR(INDEX('名簿'!$P$5:$P$49,INDEX('calcC'!$B$3:$B$47,MATCH(78,'calcC'!$C$3:$C$47,0))),"")))</f>
        <v/>
      </c>
      <c r="G11" s="28">
        <f>IF('calcA'!DA$4=0,"",IF('調整・決定'!G11&lt;&gt;"",'調整・決定'!G11,IFERROR(INDEX('名簿'!$P$5:$P$49,INDEX('calcC'!$B$3:$B$47,MATCH(102,'calcC'!$C$3:$C$47,0))),"")))</f>
        <v/>
      </c>
      <c r="H11" s="28">
        <f>IF('calcA'!DY$4=0,"",IF('調整・決定'!H11&lt;&gt;"",'調整・決定'!H11,IFERROR(INDEX('名簿'!$P$5:$P$49,INDEX('calcC'!$B$3:$B$47,MATCH(126,'calcC'!$C$3:$C$47,0))),"")))</f>
        <v/>
      </c>
    </row>
    <row r="12" ht="26" customHeight="1">
      <c r="B12" s="47">
        <f>'設定'!$I$17</f>
        <v/>
      </c>
      <c r="C12" s="28">
        <f>IF('calcA'!J$4=0,"",IF('調整・決定'!C12&lt;&gt;"",'調整・決定'!C12,IFERROR(INDEX('名簿'!$P$5:$P$49,INDEX('calcC'!$B$3:$B$47,MATCH(7,'calcC'!$C$3:$C$47,0))),"")))</f>
        <v/>
      </c>
      <c r="D12" s="28">
        <f>IF('calcA'!AH$4=0,"",IF('調整・決定'!D12&lt;&gt;"",'調整・決定'!D12,IFERROR(INDEX('名簿'!$P$5:$P$49,INDEX('calcC'!$B$3:$B$47,MATCH(31,'calcC'!$C$3:$C$47,0))),"")))</f>
        <v/>
      </c>
      <c r="E12" s="28">
        <f>IF('calcA'!BF$4=0,"",IF('調整・決定'!E12&lt;&gt;"",'調整・決定'!E12,IFERROR(INDEX('名簿'!$P$5:$P$49,INDEX('calcC'!$B$3:$B$47,MATCH(55,'calcC'!$C$3:$C$47,0))),"")))</f>
        <v/>
      </c>
      <c r="F12" s="28">
        <f>IF('calcA'!CD$4=0,"",IF('調整・決定'!F12&lt;&gt;"",'調整・決定'!F12,IFERROR(INDEX('名簿'!$P$5:$P$49,INDEX('calcC'!$B$3:$B$47,MATCH(79,'calcC'!$C$3:$C$47,0))),"")))</f>
        <v/>
      </c>
      <c r="G12" s="28">
        <f>IF('calcA'!DB$4=0,"",IF('調整・決定'!G12&lt;&gt;"",'調整・決定'!G12,IFERROR(INDEX('名簿'!$P$5:$P$49,INDEX('calcC'!$B$3:$B$47,MATCH(103,'calcC'!$C$3:$C$47,0))),"")))</f>
        <v/>
      </c>
      <c r="H12" s="28">
        <f>IF('calcA'!DZ$4=0,"",IF('調整・決定'!H12&lt;&gt;"",'調整・決定'!H12,IFERROR(INDEX('名簿'!$P$5:$P$49,INDEX('calcC'!$B$3:$B$47,MATCH(127,'calcC'!$C$3:$C$47,0))),"")))</f>
        <v/>
      </c>
      <c r="J12" s="93" t="inlineStr">
        <is>
          <t>なるべく空けたい枠を使った</t>
        </is>
      </c>
      <c r="K12" s="94">
        <f>SUM('calcC'!$D$3:$D$47)&amp;" 枠"</f>
        <v/>
      </c>
    </row>
    <row r="13" ht="26" customHeight="1">
      <c r="B13" s="47">
        <f>'設定'!$I$18</f>
        <v/>
      </c>
      <c r="C13" s="28">
        <f>IF('calcA'!K$4=0,"",IF('調整・決定'!C13&lt;&gt;"",'調整・決定'!C13,IFERROR(INDEX('名簿'!$P$5:$P$49,INDEX('calcC'!$B$3:$B$47,MATCH(8,'calcC'!$C$3:$C$47,0))),"")))</f>
        <v/>
      </c>
      <c r="D13" s="28">
        <f>IF('calcA'!AI$4=0,"",IF('調整・決定'!D13&lt;&gt;"",'調整・決定'!D13,IFERROR(INDEX('名簿'!$P$5:$P$49,INDEX('calcC'!$B$3:$B$47,MATCH(32,'calcC'!$C$3:$C$47,0))),"")))</f>
        <v/>
      </c>
      <c r="E13" s="28">
        <f>IF('calcA'!BG$4=0,"",IF('調整・決定'!E13&lt;&gt;"",'調整・決定'!E13,IFERROR(INDEX('名簿'!$P$5:$P$49,INDEX('calcC'!$B$3:$B$47,MATCH(56,'calcC'!$C$3:$C$47,0))),"")))</f>
        <v/>
      </c>
      <c r="F13" s="28">
        <f>IF('calcA'!CE$4=0,"",IF('調整・決定'!F13&lt;&gt;"",'調整・決定'!F13,IFERROR(INDEX('名簿'!$P$5:$P$49,INDEX('calcC'!$B$3:$B$47,MATCH(80,'calcC'!$C$3:$C$47,0))),"")))</f>
        <v/>
      </c>
      <c r="G13" s="28">
        <f>IF('calcA'!DC$4=0,"",IF('調整・決定'!G13&lt;&gt;"",'調整・決定'!G13,IFERROR(INDEX('名簿'!$P$5:$P$49,INDEX('calcC'!$B$3:$B$47,MATCH(104,'calcC'!$C$3:$C$47,0))),"")))</f>
        <v/>
      </c>
      <c r="H13" s="28">
        <f>IF('calcA'!EA$4=0,"",IF('調整・決定'!H13&lt;&gt;"",'調整・決定'!H13,IFERROR(INDEX('名簿'!$P$5:$P$49,INDEX('calcC'!$B$3:$B$47,MATCH(128,'calcC'!$C$3:$C$47,0))),"")))</f>
        <v/>
      </c>
      <c r="J13" s="93" t="inlineStr">
        <is>
          <t>日ごとの人数</t>
        </is>
      </c>
    </row>
    <row r="14" ht="26" customHeight="1">
      <c r="B14" s="47">
        <f>'設定'!$I$19</f>
        <v/>
      </c>
      <c r="C14" s="28">
        <f>IF('calcA'!L$4=0,"",IF('調整・決定'!C14&lt;&gt;"",'調整・決定'!C14,IFERROR(INDEX('名簿'!$P$5:$P$49,INDEX('calcC'!$B$3:$B$47,MATCH(9,'calcC'!$C$3:$C$47,0))),"")))</f>
        <v/>
      </c>
      <c r="D14" s="28">
        <f>IF('calcA'!AJ$4=0,"",IF('調整・決定'!D14&lt;&gt;"",'調整・決定'!D14,IFERROR(INDEX('名簿'!$P$5:$P$49,INDEX('calcC'!$B$3:$B$47,MATCH(33,'calcC'!$C$3:$C$47,0))),"")))</f>
        <v/>
      </c>
      <c r="E14" s="28">
        <f>IF('calcA'!BH$4=0,"",IF('調整・決定'!E14&lt;&gt;"",'調整・決定'!E14,IFERROR(INDEX('名簿'!$P$5:$P$49,INDEX('calcC'!$B$3:$B$47,MATCH(57,'calcC'!$C$3:$C$47,0))),"")))</f>
        <v/>
      </c>
      <c r="F14" s="28">
        <f>IF('calcA'!CF$4=0,"",IF('調整・決定'!F14&lt;&gt;"",'調整・決定'!F14,IFERROR(INDEX('名簿'!$P$5:$P$49,INDEX('calcC'!$B$3:$B$47,MATCH(81,'calcC'!$C$3:$C$47,0))),"")))</f>
        <v/>
      </c>
      <c r="G14" s="28">
        <f>IF('calcA'!DD$4=0,"",IF('調整・決定'!G14&lt;&gt;"",'調整・決定'!G14,IFERROR(INDEX('名簿'!$P$5:$P$49,INDEX('calcC'!$B$3:$B$47,MATCH(105,'calcC'!$C$3:$C$47,0))),"")))</f>
        <v/>
      </c>
      <c r="H14" s="28">
        <f>IF('calcA'!EB$4=0,"",IF('調整・決定'!H14&lt;&gt;"",'調整・決定'!H14,IFERROR(INDEX('名簿'!$P$5:$P$49,INDEX('calcC'!$B$3:$B$47,MATCH(129,'calcC'!$C$3:$C$47,0))),"")))</f>
        <v/>
      </c>
      <c r="J14" s="99">
        <f>IF('設定'!$E$11="","",'設定'!$E$11)</f>
        <v/>
      </c>
      <c r="K14" s="100">
        <f>IF(J14="","",COUNTIF(C6:C29,"?*")&amp;" 人")</f>
        <v/>
      </c>
    </row>
    <row r="15" ht="26" customHeight="1">
      <c r="B15" s="47">
        <f>'設定'!$I$20</f>
        <v/>
      </c>
      <c r="C15" s="28">
        <f>IF('calcA'!M$4=0,"",IF('調整・決定'!C15&lt;&gt;"",'調整・決定'!C15,IFERROR(INDEX('名簿'!$P$5:$P$49,INDEX('calcC'!$B$3:$B$47,MATCH(10,'calcC'!$C$3:$C$47,0))),"")))</f>
        <v/>
      </c>
      <c r="D15" s="28">
        <f>IF('calcA'!AK$4=0,"",IF('調整・決定'!D15&lt;&gt;"",'調整・決定'!D15,IFERROR(INDEX('名簿'!$P$5:$P$49,INDEX('calcC'!$B$3:$B$47,MATCH(34,'calcC'!$C$3:$C$47,0))),"")))</f>
        <v/>
      </c>
      <c r="E15" s="28">
        <f>IF('calcA'!BI$4=0,"",IF('調整・決定'!E15&lt;&gt;"",'調整・決定'!E15,IFERROR(INDEX('名簿'!$P$5:$P$49,INDEX('calcC'!$B$3:$B$47,MATCH(58,'calcC'!$C$3:$C$47,0))),"")))</f>
        <v/>
      </c>
      <c r="F15" s="28">
        <f>IF('calcA'!CG$4=0,"",IF('調整・決定'!F15&lt;&gt;"",'調整・決定'!F15,IFERROR(INDEX('名簿'!$P$5:$P$49,INDEX('calcC'!$B$3:$B$47,MATCH(82,'calcC'!$C$3:$C$47,0))),"")))</f>
        <v/>
      </c>
      <c r="G15" s="28">
        <f>IF('calcA'!DE$4=0,"",IF('調整・決定'!G15&lt;&gt;"",'調整・決定'!G15,IFERROR(INDEX('名簿'!$P$5:$P$49,INDEX('calcC'!$B$3:$B$47,MATCH(106,'calcC'!$C$3:$C$47,0))),"")))</f>
        <v/>
      </c>
      <c r="H15" s="28">
        <f>IF('calcA'!EC$4=0,"",IF('調整・決定'!H15&lt;&gt;"",'調整・決定'!H15,IFERROR(INDEX('名簿'!$P$5:$P$49,INDEX('calcC'!$B$3:$B$47,MATCH(130,'calcC'!$C$3:$C$47,0))),"")))</f>
        <v/>
      </c>
      <c r="J15" s="99">
        <f>IF('設定'!$E$12="","",'設定'!$E$12)</f>
        <v/>
      </c>
      <c r="K15" s="100">
        <f>IF(J15="","",COUNTIF(D6:D29,"?*")&amp;" 人")</f>
        <v/>
      </c>
    </row>
    <row r="16" ht="26" customHeight="1">
      <c r="B16" s="47">
        <f>'設定'!$I$21</f>
        <v/>
      </c>
      <c r="C16" s="28">
        <f>IF('calcA'!N$4=0,"",IF('調整・決定'!C16&lt;&gt;"",'調整・決定'!C16,IFERROR(INDEX('名簿'!$P$5:$P$49,INDEX('calcC'!$B$3:$B$47,MATCH(11,'calcC'!$C$3:$C$47,0))),"")))</f>
        <v/>
      </c>
      <c r="D16" s="28">
        <f>IF('calcA'!AL$4=0,"",IF('調整・決定'!D16&lt;&gt;"",'調整・決定'!D16,IFERROR(INDEX('名簿'!$P$5:$P$49,INDEX('calcC'!$B$3:$B$47,MATCH(35,'calcC'!$C$3:$C$47,0))),"")))</f>
        <v/>
      </c>
      <c r="E16" s="28">
        <f>IF('calcA'!BJ$4=0,"",IF('調整・決定'!E16&lt;&gt;"",'調整・決定'!E16,IFERROR(INDEX('名簿'!$P$5:$P$49,INDEX('calcC'!$B$3:$B$47,MATCH(59,'calcC'!$C$3:$C$47,0))),"")))</f>
        <v/>
      </c>
      <c r="F16" s="28">
        <f>IF('calcA'!CH$4=0,"",IF('調整・決定'!F16&lt;&gt;"",'調整・決定'!F16,IFERROR(INDEX('名簿'!$P$5:$P$49,INDEX('calcC'!$B$3:$B$47,MATCH(83,'calcC'!$C$3:$C$47,0))),"")))</f>
        <v/>
      </c>
      <c r="G16" s="28">
        <f>IF('calcA'!DF$4=0,"",IF('調整・決定'!G16&lt;&gt;"",'調整・決定'!G16,IFERROR(INDEX('名簿'!$P$5:$P$49,INDEX('calcC'!$B$3:$B$47,MATCH(107,'calcC'!$C$3:$C$47,0))),"")))</f>
        <v/>
      </c>
      <c r="H16" s="28">
        <f>IF('calcA'!ED$4=0,"",IF('調整・決定'!H16&lt;&gt;"",'調整・決定'!H16,IFERROR(INDEX('名簿'!$P$5:$P$49,INDEX('calcC'!$B$3:$B$47,MATCH(131,'calcC'!$C$3:$C$47,0))),"")))</f>
        <v/>
      </c>
      <c r="J16" s="99">
        <f>IF('設定'!$E$13="","",'設定'!$E$13)</f>
        <v/>
      </c>
      <c r="K16" s="100">
        <f>IF(J16="","",COUNTIF(E6:E29,"?*")&amp;" 人")</f>
        <v/>
      </c>
    </row>
    <row r="17" ht="26" customHeight="1">
      <c r="B17" s="47">
        <f>'設定'!$I$22</f>
        <v/>
      </c>
      <c r="C17" s="28">
        <f>IF('calcA'!O$4=0,"",IF('調整・決定'!C17&lt;&gt;"",'調整・決定'!C17,IFERROR(INDEX('名簿'!$P$5:$P$49,INDEX('calcC'!$B$3:$B$47,MATCH(12,'calcC'!$C$3:$C$47,0))),"")))</f>
        <v/>
      </c>
      <c r="D17" s="28">
        <f>IF('calcA'!AM$4=0,"",IF('調整・決定'!D17&lt;&gt;"",'調整・決定'!D17,IFERROR(INDEX('名簿'!$P$5:$P$49,INDEX('calcC'!$B$3:$B$47,MATCH(36,'calcC'!$C$3:$C$47,0))),"")))</f>
        <v/>
      </c>
      <c r="E17" s="28">
        <f>IF('calcA'!BK$4=0,"",IF('調整・決定'!E17&lt;&gt;"",'調整・決定'!E17,IFERROR(INDEX('名簿'!$P$5:$P$49,INDEX('calcC'!$B$3:$B$47,MATCH(60,'calcC'!$C$3:$C$47,0))),"")))</f>
        <v/>
      </c>
      <c r="F17" s="28">
        <f>IF('calcA'!CI$4=0,"",IF('調整・決定'!F17&lt;&gt;"",'調整・決定'!F17,IFERROR(INDEX('名簿'!$P$5:$P$49,INDEX('calcC'!$B$3:$B$47,MATCH(84,'calcC'!$C$3:$C$47,0))),"")))</f>
        <v/>
      </c>
      <c r="G17" s="28">
        <f>IF('calcA'!DG$4=0,"",IF('調整・決定'!G17&lt;&gt;"",'調整・決定'!G17,IFERROR(INDEX('名簿'!$P$5:$P$49,INDEX('calcC'!$B$3:$B$47,MATCH(108,'calcC'!$C$3:$C$47,0))),"")))</f>
        <v/>
      </c>
      <c r="H17" s="28">
        <f>IF('calcA'!EE$4=0,"",IF('調整・決定'!H17&lt;&gt;"",'調整・決定'!H17,IFERROR(INDEX('名簿'!$P$5:$P$49,INDEX('calcC'!$B$3:$B$47,MATCH(132,'calcC'!$C$3:$C$47,0))),"")))</f>
        <v/>
      </c>
      <c r="J17" s="99">
        <f>IF('設定'!$E$14="","",'設定'!$E$14)</f>
        <v/>
      </c>
      <c r="K17" s="100">
        <f>IF(J17="","",COUNTIF(F6:F29,"?*")&amp;" 人")</f>
        <v/>
      </c>
    </row>
    <row r="18" ht="26" customHeight="1">
      <c r="B18" s="47">
        <f>'設定'!$I$23</f>
        <v/>
      </c>
      <c r="C18" s="28">
        <f>IF('calcA'!P$4=0,"",IF('調整・決定'!C18&lt;&gt;"",'調整・決定'!C18,IFERROR(INDEX('名簿'!$P$5:$P$49,INDEX('calcC'!$B$3:$B$47,MATCH(13,'calcC'!$C$3:$C$47,0))),"")))</f>
        <v/>
      </c>
      <c r="D18" s="28">
        <f>IF('calcA'!AN$4=0,"",IF('調整・決定'!D18&lt;&gt;"",'調整・決定'!D18,IFERROR(INDEX('名簿'!$P$5:$P$49,INDEX('calcC'!$B$3:$B$47,MATCH(37,'calcC'!$C$3:$C$47,0))),"")))</f>
        <v/>
      </c>
      <c r="E18" s="28">
        <f>IF('calcA'!BL$4=0,"",IF('調整・決定'!E18&lt;&gt;"",'調整・決定'!E18,IFERROR(INDEX('名簿'!$P$5:$P$49,INDEX('calcC'!$B$3:$B$47,MATCH(61,'calcC'!$C$3:$C$47,0))),"")))</f>
        <v/>
      </c>
      <c r="F18" s="28">
        <f>IF('calcA'!CJ$4=0,"",IF('調整・決定'!F18&lt;&gt;"",'調整・決定'!F18,IFERROR(INDEX('名簿'!$P$5:$P$49,INDEX('calcC'!$B$3:$B$47,MATCH(85,'calcC'!$C$3:$C$47,0))),"")))</f>
        <v/>
      </c>
      <c r="G18" s="28">
        <f>IF('calcA'!DH$4=0,"",IF('調整・決定'!G18&lt;&gt;"",'調整・決定'!G18,IFERROR(INDEX('名簿'!$P$5:$P$49,INDEX('calcC'!$B$3:$B$47,MATCH(109,'calcC'!$C$3:$C$47,0))),"")))</f>
        <v/>
      </c>
      <c r="H18" s="28">
        <f>IF('calcA'!EF$4=0,"",IF('調整・決定'!H18&lt;&gt;"",'調整・決定'!H18,IFERROR(INDEX('名簿'!$P$5:$P$49,INDEX('calcC'!$B$3:$B$47,MATCH(133,'calcC'!$C$3:$C$47,0))),"")))</f>
        <v/>
      </c>
      <c r="J18" s="99">
        <f>IF('設定'!$E$15="","",'設定'!$E$15)</f>
        <v/>
      </c>
      <c r="K18" s="100">
        <f>IF(J18="","",COUNTIF(G6:G29,"?*")&amp;" 人")</f>
        <v/>
      </c>
    </row>
    <row r="19" ht="26" customHeight="1">
      <c r="B19" s="47">
        <f>'設定'!$I$24</f>
        <v/>
      </c>
      <c r="C19" s="28">
        <f>IF('calcA'!Q$4=0,"",IF('調整・決定'!C19&lt;&gt;"",'調整・決定'!C19,IFERROR(INDEX('名簿'!$P$5:$P$49,INDEX('calcC'!$B$3:$B$47,MATCH(14,'calcC'!$C$3:$C$47,0))),"")))</f>
        <v/>
      </c>
      <c r="D19" s="28">
        <f>IF('calcA'!AO$4=0,"",IF('調整・決定'!D19&lt;&gt;"",'調整・決定'!D19,IFERROR(INDEX('名簿'!$P$5:$P$49,INDEX('calcC'!$B$3:$B$47,MATCH(38,'calcC'!$C$3:$C$47,0))),"")))</f>
        <v/>
      </c>
      <c r="E19" s="28">
        <f>IF('calcA'!BM$4=0,"",IF('調整・決定'!E19&lt;&gt;"",'調整・決定'!E19,IFERROR(INDEX('名簿'!$P$5:$P$49,INDEX('calcC'!$B$3:$B$47,MATCH(62,'calcC'!$C$3:$C$47,0))),"")))</f>
        <v/>
      </c>
      <c r="F19" s="28">
        <f>IF('calcA'!CK$4=0,"",IF('調整・決定'!F19&lt;&gt;"",'調整・決定'!F19,IFERROR(INDEX('名簿'!$P$5:$P$49,INDEX('calcC'!$B$3:$B$47,MATCH(86,'calcC'!$C$3:$C$47,0))),"")))</f>
        <v/>
      </c>
      <c r="G19" s="28">
        <f>IF('calcA'!DI$4=0,"",IF('調整・決定'!G19&lt;&gt;"",'調整・決定'!G19,IFERROR(INDEX('名簿'!$P$5:$P$49,INDEX('calcC'!$B$3:$B$47,MATCH(110,'calcC'!$C$3:$C$47,0))),"")))</f>
        <v/>
      </c>
      <c r="H19" s="28">
        <f>IF('calcA'!EG$4=0,"",IF('調整・決定'!H19&lt;&gt;"",'調整・決定'!H19,IFERROR(INDEX('名簿'!$P$5:$P$49,INDEX('calcC'!$B$3:$B$47,MATCH(134,'calcC'!$C$3:$C$47,0))),"")))</f>
        <v/>
      </c>
      <c r="J19" s="99">
        <f>IF('設定'!$E$16="","",'設定'!$E$16)</f>
        <v/>
      </c>
      <c r="K19" s="100">
        <f>IF(J19="","",COUNTIF(H6:H29,"?*")&amp;" 人")</f>
        <v/>
      </c>
    </row>
    <row r="20" ht="26" customHeight="1">
      <c r="B20" s="47">
        <f>'設定'!$I$25</f>
        <v/>
      </c>
      <c r="C20" s="28">
        <f>IF('calcA'!R$4=0,"",IF('調整・決定'!C20&lt;&gt;"",'調整・決定'!C20,IFERROR(INDEX('名簿'!$P$5:$P$49,INDEX('calcC'!$B$3:$B$47,MATCH(15,'calcC'!$C$3:$C$47,0))),"")))</f>
        <v/>
      </c>
      <c r="D20" s="28">
        <f>IF('calcA'!AP$4=0,"",IF('調整・決定'!D20&lt;&gt;"",'調整・決定'!D20,IFERROR(INDEX('名簿'!$P$5:$P$49,INDEX('calcC'!$B$3:$B$47,MATCH(39,'calcC'!$C$3:$C$47,0))),"")))</f>
        <v/>
      </c>
      <c r="E20" s="28">
        <f>IF('calcA'!BN$4=0,"",IF('調整・決定'!E20&lt;&gt;"",'調整・決定'!E20,IFERROR(INDEX('名簿'!$P$5:$P$49,INDEX('calcC'!$B$3:$B$47,MATCH(63,'calcC'!$C$3:$C$47,0))),"")))</f>
        <v/>
      </c>
      <c r="F20" s="28">
        <f>IF('calcA'!CL$4=0,"",IF('調整・決定'!F20&lt;&gt;"",'調整・決定'!F20,IFERROR(INDEX('名簿'!$P$5:$P$49,INDEX('calcC'!$B$3:$B$47,MATCH(87,'calcC'!$C$3:$C$47,0))),"")))</f>
        <v/>
      </c>
      <c r="G20" s="28">
        <f>IF('calcA'!DJ$4=0,"",IF('調整・決定'!G20&lt;&gt;"",'調整・決定'!G20,IFERROR(INDEX('名簿'!$P$5:$P$49,INDEX('calcC'!$B$3:$B$47,MATCH(111,'calcC'!$C$3:$C$47,0))),"")))</f>
        <v/>
      </c>
      <c r="H20" s="28">
        <f>IF('calcA'!EH$4=0,"",IF('調整・決定'!H20&lt;&gt;"",'調整・決定'!H20,IFERROR(INDEX('名簿'!$P$5:$P$49,INDEX('calcC'!$B$3:$B$47,MATCH(135,'calcC'!$C$3:$C$47,0))),"")))</f>
        <v/>
      </c>
    </row>
    <row r="21" ht="26" customHeight="1">
      <c r="B21" s="47">
        <f>'設定'!$I$26</f>
        <v/>
      </c>
      <c r="C21" s="28">
        <f>IF('calcA'!S$4=0,"",IF('調整・決定'!C21&lt;&gt;"",'調整・決定'!C21,IFERROR(INDEX('名簿'!$P$5:$P$49,INDEX('calcC'!$B$3:$B$47,MATCH(16,'calcC'!$C$3:$C$47,0))),"")))</f>
        <v/>
      </c>
      <c r="D21" s="28">
        <f>IF('calcA'!AQ$4=0,"",IF('調整・決定'!D21&lt;&gt;"",'調整・決定'!D21,IFERROR(INDEX('名簿'!$P$5:$P$49,INDEX('calcC'!$B$3:$B$47,MATCH(40,'calcC'!$C$3:$C$47,0))),"")))</f>
        <v/>
      </c>
      <c r="E21" s="28">
        <f>IF('calcA'!BO$4=0,"",IF('調整・決定'!E21&lt;&gt;"",'調整・決定'!E21,IFERROR(INDEX('名簿'!$P$5:$P$49,INDEX('calcC'!$B$3:$B$47,MATCH(64,'calcC'!$C$3:$C$47,0))),"")))</f>
        <v/>
      </c>
      <c r="F21" s="28">
        <f>IF('calcA'!CM$4=0,"",IF('調整・決定'!F21&lt;&gt;"",'調整・決定'!F21,IFERROR(INDEX('名簿'!$P$5:$P$49,INDEX('calcC'!$B$3:$B$47,MATCH(88,'calcC'!$C$3:$C$47,0))),"")))</f>
        <v/>
      </c>
      <c r="G21" s="28">
        <f>IF('calcA'!DK$4=0,"",IF('調整・決定'!G21&lt;&gt;"",'調整・決定'!G21,IFERROR(INDEX('名簿'!$P$5:$P$49,INDEX('calcC'!$B$3:$B$47,MATCH(112,'calcC'!$C$3:$C$47,0))),"")))</f>
        <v/>
      </c>
      <c r="H21" s="28">
        <f>IF('calcA'!EI$4=0,"",IF('調整・決定'!H21&lt;&gt;"",'調整・決定'!H21,IFERROR(INDEX('名簿'!$P$5:$P$49,INDEX('calcC'!$B$3:$B$47,MATCH(136,'calcC'!$C$3:$C$47,0))),"")))</f>
        <v/>
      </c>
      <c r="J21" s="101" t="inlineStr">
        <is>
          <t>「調整・決定」への貼り付けかた</t>
        </is>
      </c>
    </row>
    <row r="22" ht="26" customHeight="1">
      <c r="B22" s="47">
        <f>'設定'!$I$27</f>
        <v/>
      </c>
      <c r="C22" s="28">
        <f>IF('calcA'!T$4=0,"",IF('調整・決定'!C22&lt;&gt;"",'調整・決定'!C22,IFERROR(INDEX('名簿'!$P$5:$P$49,INDEX('calcC'!$B$3:$B$47,MATCH(17,'calcC'!$C$3:$C$47,0))),"")))</f>
        <v/>
      </c>
      <c r="D22" s="28">
        <f>IF('calcA'!AR$4=0,"",IF('調整・決定'!D22&lt;&gt;"",'調整・決定'!D22,IFERROR(INDEX('名簿'!$P$5:$P$49,INDEX('calcC'!$B$3:$B$47,MATCH(41,'calcC'!$C$3:$C$47,0))),"")))</f>
        <v/>
      </c>
      <c r="E22" s="28">
        <f>IF('calcA'!BP$4=0,"",IF('調整・決定'!E22&lt;&gt;"",'調整・決定'!E22,IFERROR(INDEX('名簿'!$P$5:$P$49,INDEX('calcC'!$B$3:$B$47,MATCH(65,'calcC'!$C$3:$C$47,0))),"")))</f>
        <v/>
      </c>
      <c r="F22" s="28">
        <f>IF('calcA'!CN$4=0,"",IF('調整・決定'!F22&lt;&gt;"",'調整・決定'!F22,IFERROR(INDEX('名簿'!$P$5:$P$49,INDEX('calcC'!$B$3:$B$47,MATCH(89,'calcC'!$C$3:$C$47,0))),"")))</f>
        <v/>
      </c>
      <c r="G22" s="28">
        <f>IF('calcA'!DL$4=0,"",IF('調整・決定'!G22&lt;&gt;"",'調整・決定'!G22,IFERROR(INDEX('名簿'!$P$5:$P$49,INDEX('calcC'!$B$3:$B$47,MATCH(113,'calcC'!$C$3:$C$47,0))),"")))</f>
        <v/>
      </c>
      <c r="H22" s="28">
        <f>IF('calcA'!EJ$4=0,"",IF('調整・決定'!H22&lt;&gt;"",'調整・決定'!H22,IFERROR(INDEX('名簿'!$P$5:$P$49,INDEX('calcC'!$B$3:$B$47,MATCH(137,'calcC'!$C$3:$C$47,0))),"")))</f>
        <v/>
      </c>
      <c r="J22" s="102" t="inlineStr">
        <is>
          <t>① 自動案の表を選んで Ctrl + C（名前ボックスで「自動案Aの表」などを選ぶと全体を選べます）</t>
        </is>
      </c>
    </row>
    <row r="23" ht="26" customHeight="1">
      <c r="B23" s="47">
        <f>'設定'!$I$28</f>
        <v/>
      </c>
      <c r="C23" s="28">
        <f>IF('calcA'!U$4=0,"",IF('調整・決定'!C23&lt;&gt;"",'調整・決定'!C23,IFERROR(INDEX('名簿'!$P$5:$P$49,INDEX('calcC'!$B$3:$B$47,MATCH(18,'calcC'!$C$3:$C$47,0))),"")))</f>
        <v/>
      </c>
      <c r="D23" s="28">
        <f>IF('calcA'!AS$4=0,"",IF('調整・決定'!D23&lt;&gt;"",'調整・決定'!D23,IFERROR(INDEX('名簿'!$P$5:$P$49,INDEX('calcC'!$B$3:$B$47,MATCH(42,'calcC'!$C$3:$C$47,0))),"")))</f>
        <v/>
      </c>
      <c r="E23" s="28">
        <f>IF('calcA'!BQ$4=0,"",IF('調整・決定'!E23&lt;&gt;"",'調整・決定'!E23,IFERROR(INDEX('名簿'!$P$5:$P$49,INDEX('calcC'!$B$3:$B$47,MATCH(66,'calcC'!$C$3:$C$47,0))),"")))</f>
        <v/>
      </c>
      <c r="F23" s="28">
        <f>IF('calcA'!CO$4=0,"",IF('調整・決定'!F23&lt;&gt;"",'調整・決定'!F23,IFERROR(INDEX('名簿'!$P$5:$P$49,INDEX('calcC'!$B$3:$B$47,MATCH(90,'calcC'!$C$3:$C$47,0))),"")))</f>
        <v/>
      </c>
      <c r="G23" s="28">
        <f>IF('calcA'!DM$4=0,"",IF('調整・決定'!G23&lt;&gt;"",'調整・決定'!G23,IFERROR(INDEX('名簿'!$P$5:$P$49,INDEX('calcC'!$B$3:$B$47,MATCH(114,'calcC'!$C$3:$C$47,0))),"")))</f>
        <v/>
      </c>
      <c r="H23" s="28">
        <f>IF('calcA'!EK$4=0,"",IF('調整・決定'!H23&lt;&gt;"",'調整・決定'!H23,IFERROR(INDEX('名簿'!$P$5:$P$49,INDEX('calcC'!$B$3:$B$47,MATCH(138,'calcC'!$C$3:$C$47,0))),"")))</f>
        <v/>
      </c>
      <c r="J23" s="102" t="inlineStr">
        <is>
          <t>② 「調整・決定」の表の左上（いちばん早い日・時刻のマス）をクリック</t>
        </is>
      </c>
    </row>
    <row r="24" ht="26" customHeight="1">
      <c r="B24" s="47">
        <f>'設定'!$I$29</f>
        <v/>
      </c>
      <c r="C24" s="28">
        <f>IF('calcA'!V$4=0,"",IF('調整・決定'!C24&lt;&gt;"",'調整・決定'!C24,IFERROR(INDEX('名簿'!$P$5:$P$49,INDEX('calcC'!$B$3:$B$47,MATCH(19,'calcC'!$C$3:$C$47,0))),"")))</f>
        <v/>
      </c>
      <c r="D24" s="28">
        <f>IF('calcA'!AT$4=0,"",IF('調整・決定'!D24&lt;&gt;"",'調整・決定'!D24,IFERROR(INDEX('名簿'!$P$5:$P$49,INDEX('calcC'!$B$3:$B$47,MATCH(43,'calcC'!$C$3:$C$47,0))),"")))</f>
        <v/>
      </c>
      <c r="E24" s="28">
        <f>IF('calcA'!BR$4=0,"",IF('調整・決定'!E24&lt;&gt;"",'調整・決定'!E24,IFERROR(INDEX('名簿'!$P$5:$P$49,INDEX('calcC'!$B$3:$B$47,MATCH(67,'calcC'!$C$3:$C$47,0))),"")))</f>
        <v/>
      </c>
      <c r="F24" s="28">
        <f>IF('calcA'!CP$4=0,"",IF('調整・決定'!F24&lt;&gt;"",'調整・決定'!F24,IFERROR(INDEX('名簿'!$P$5:$P$49,INDEX('calcC'!$B$3:$B$47,MATCH(91,'calcC'!$C$3:$C$47,0))),"")))</f>
        <v/>
      </c>
      <c r="G24" s="28">
        <f>IF('calcA'!DN$4=0,"",IF('調整・決定'!G24&lt;&gt;"",'調整・決定'!G24,IFERROR(INDEX('名簿'!$P$5:$P$49,INDEX('calcC'!$B$3:$B$47,MATCH(115,'calcC'!$C$3:$C$47,0))),"")))</f>
        <v/>
      </c>
      <c r="H24" s="28">
        <f>IF('calcA'!EL$4=0,"",IF('調整・決定'!H24&lt;&gt;"",'調整・決定'!H24,IFERROR(INDEX('名簿'!$P$5:$P$49,INDEX('calcC'!$B$3:$B$47,MATCH(139,'calcC'!$C$3:$C$47,0))),"")))</f>
        <v/>
      </c>
      <c r="J24" s="102" t="inlineStr">
        <is>
          <t>③ 右クリック →［貼り付けのオプション］の「値」（123 の絵）。または Ctrl + Shift + V</t>
        </is>
      </c>
    </row>
    <row r="25" ht="26" customHeight="1">
      <c r="B25" s="47">
        <f>'設定'!$I$30</f>
        <v/>
      </c>
      <c r="C25" s="28">
        <f>IF('calcA'!W$4=0,"",IF('調整・決定'!C25&lt;&gt;"",'調整・決定'!C25,IFERROR(INDEX('名簿'!$P$5:$P$49,INDEX('calcC'!$B$3:$B$47,MATCH(20,'calcC'!$C$3:$C$47,0))),"")))</f>
        <v/>
      </c>
      <c r="D25" s="28">
        <f>IF('calcA'!AU$4=0,"",IF('調整・決定'!D25&lt;&gt;"",'調整・決定'!D25,IFERROR(INDEX('名簿'!$P$5:$P$49,INDEX('calcC'!$B$3:$B$47,MATCH(44,'calcC'!$C$3:$C$47,0))),"")))</f>
        <v/>
      </c>
      <c r="E25" s="28">
        <f>IF('calcA'!BS$4=0,"",IF('調整・決定'!E25&lt;&gt;"",'調整・決定'!E25,IFERROR(INDEX('名簿'!$P$5:$P$49,INDEX('calcC'!$B$3:$B$47,MATCH(68,'calcC'!$C$3:$C$47,0))),"")))</f>
        <v/>
      </c>
      <c r="F25" s="28">
        <f>IF('calcA'!CQ$4=0,"",IF('調整・決定'!F25&lt;&gt;"",'調整・決定'!F25,IFERROR(INDEX('名簿'!$P$5:$P$49,INDEX('calcC'!$B$3:$B$47,MATCH(92,'calcC'!$C$3:$C$47,0))),"")))</f>
        <v/>
      </c>
      <c r="G25" s="28">
        <f>IF('calcA'!DO$4=0,"",IF('調整・決定'!G25&lt;&gt;"",'調整・決定'!G25,IFERROR(INDEX('名簿'!$P$5:$P$49,INDEX('calcC'!$B$3:$B$47,MATCH(116,'calcC'!$C$3:$C$47,0))),"")))</f>
        <v/>
      </c>
      <c r="H25" s="28">
        <f>IF('calcA'!EM$4=0,"",IF('調整・決定'!H25&lt;&gt;"",'調整・決定'!H25,IFERROR(INDEX('名簿'!$P$5:$P$49,INDEX('calcC'!$B$3:$B$47,MATCH(140,'calcC'!$C$3:$C$47,0))),"")))</f>
        <v/>
      </c>
      <c r="J25" s="103" t="inlineStr">
        <is>
          <t>※ ふつうの貼り付け（Ctrl + V）は×。「循環参照」の注意が出たら、すぐ Ctrl + Z で元に戻します。</t>
        </is>
      </c>
    </row>
    <row r="26" ht="26" customHeight="1">
      <c r="B26" s="47">
        <f>'設定'!$I$31</f>
        <v/>
      </c>
      <c r="C26" s="28">
        <f>IF('calcA'!X$4=0,"",IF('調整・決定'!C26&lt;&gt;"",'調整・決定'!C26,IFERROR(INDEX('名簿'!$P$5:$P$49,INDEX('calcC'!$B$3:$B$47,MATCH(21,'calcC'!$C$3:$C$47,0))),"")))</f>
        <v/>
      </c>
      <c r="D26" s="28">
        <f>IF('calcA'!AV$4=0,"",IF('調整・決定'!D26&lt;&gt;"",'調整・決定'!D26,IFERROR(INDEX('名簿'!$P$5:$P$49,INDEX('calcC'!$B$3:$B$47,MATCH(45,'calcC'!$C$3:$C$47,0))),"")))</f>
        <v/>
      </c>
      <c r="E26" s="28">
        <f>IF('calcA'!BT$4=0,"",IF('調整・決定'!E26&lt;&gt;"",'調整・決定'!E26,IFERROR(INDEX('名簿'!$P$5:$P$49,INDEX('calcC'!$B$3:$B$47,MATCH(69,'calcC'!$C$3:$C$47,0))),"")))</f>
        <v/>
      </c>
      <c r="F26" s="28">
        <f>IF('calcA'!CR$4=0,"",IF('調整・決定'!F26&lt;&gt;"",'調整・決定'!F26,IFERROR(INDEX('名簿'!$P$5:$P$49,INDEX('calcC'!$B$3:$B$47,MATCH(93,'calcC'!$C$3:$C$47,0))),"")))</f>
        <v/>
      </c>
      <c r="G26" s="28">
        <f>IF('calcA'!DP$4=0,"",IF('調整・決定'!G26&lt;&gt;"",'調整・決定'!G26,IFERROR(INDEX('名簿'!$P$5:$P$49,INDEX('calcC'!$B$3:$B$47,MATCH(117,'calcC'!$C$3:$C$47,0))),"")))</f>
        <v/>
      </c>
      <c r="H26" s="28">
        <f>IF('calcA'!EN$4=0,"",IF('調整・決定'!H26&lt;&gt;"",'調整・決定'!H26,IFERROR(INDEX('名簿'!$P$5:$P$49,INDEX('calcC'!$B$3:$B$47,MATCH(141,'calcC'!$C$3:$C$47,0))),"")))</f>
        <v/>
      </c>
    </row>
    <row r="27" ht="26" customHeight="1">
      <c r="B27" s="47">
        <f>'設定'!$I$32</f>
        <v/>
      </c>
      <c r="C27" s="28">
        <f>IF('calcA'!Y$4=0,"",IF('調整・決定'!C27&lt;&gt;"",'調整・決定'!C27,IFERROR(INDEX('名簿'!$P$5:$P$49,INDEX('calcC'!$B$3:$B$47,MATCH(22,'calcC'!$C$3:$C$47,0))),"")))</f>
        <v/>
      </c>
      <c r="D27" s="28">
        <f>IF('calcA'!AW$4=0,"",IF('調整・決定'!D27&lt;&gt;"",'調整・決定'!D27,IFERROR(INDEX('名簿'!$P$5:$P$49,INDEX('calcC'!$B$3:$B$47,MATCH(46,'calcC'!$C$3:$C$47,0))),"")))</f>
        <v/>
      </c>
      <c r="E27" s="28">
        <f>IF('calcA'!BU$4=0,"",IF('調整・決定'!E27&lt;&gt;"",'調整・決定'!E27,IFERROR(INDEX('名簿'!$P$5:$P$49,INDEX('calcC'!$B$3:$B$47,MATCH(70,'calcC'!$C$3:$C$47,0))),"")))</f>
        <v/>
      </c>
      <c r="F27" s="28">
        <f>IF('calcA'!CS$4=0,"",IF('調整・決定'!F27&lt;&gt;"",'調整・決定'!F27,IFERROR(INDEX('名簿'!$P$5:$P$49,INDEX('calcC'!$B$3:$B$47,MATCH(94,'calcC'!$C$3:$C$47,0))),"")))</f>
        <v/>
      </c>
      <c r="G27" s="28">
        <f>IF('calcA'!DQ$4=0,"",IF('調整・決定'!G27&lt;&gt;"",'調整・決定'!G27,IFERROR(INDEX('名簿'!$P$5:$P$49,INDEX('calcC'!$B$3:$B$47,MATCH(118,'calcC'!$C$3:$C$47,0))),"")))</f>
        <v/>
      </c>
      <c r="H27" s="28">
        <f>IF('calcA'!EO$4=0,"",IF('調整・決定'!H27&lt;&gt;"",'調整・決定'!H27,IFERROR(INDEX('名簿'!$P$5:$P$49,INDEX('calcC'!$B$3:$B$47,MATCH(142,'calcC'!$C$3:$C$47,0))),"")))</f>
        <v/>
      </c>
    </row>
    <row r="28" ht="26" customHeight="1">
      <c r="B28" s="47">
        <f>'設定'!$I$33</f>
        <v/>
      </c>
      <c r="C28" s="28">
        <f>IF('calcA'!Z$4=0,"",IF('調整・決定'!C28&lt;&gt;"",'調整・決定'!C28,IFERROR(INDEX('名簿'!$P$5:$P$49,INDEX('calcC'!$B$3:$B$47,MATCH(23,'calcC'!$C$3:$C$47,0))),"")))</f>
        <v/>
      </c>
      <c r="D28" s="28">
        <f>IF('calcA'!AX$4=0,"",IF('調整・決定'!D28&lt;&gt;"",'調整・決定'!D28,IFERROR(INDEX('名簿'!$P$5:$P$49,INDEX('calcC'!$B$3:$B$47,MATCH(47,'calcC'!$C$3:$C$47,0))),"")))</f>
        <v/>
      </c>
      <c r="E28" s="28">
        <f>IF('calcA'!BV$4=0,"",IF('調整・決定'!E28&lt;&gt;"",'調整・決定'!E28,IFERROR(INDEX('名簿'!$P$5:$P$49,INDEX('calcC'!$B$3:$B$47,MATCH(71,'calcC'!$C$3:$C$47,0))),"")))</f>
        <v/>
      </c>
      <c r="F28" s="28">
        <f>IF('calcA'!CT$4=0,"",IF('調整・決定'!F28&lt;&gt;"",'調整・決定'!F28,IFERROR(INDEX('名簿'!$P$5:$P$49,INDEX('calcC'!$B$3:$B$47,MATCH(95,'calcC'!$C$3:$C$47,0))),"")))</f>
        <v/>
      </c>
      <c r="G28" s="28">
        <f>IF('calcA'!DR$4=0,"",IF('調整・決定'!G28&lt;&gt;"",'調整・決定'!G28,IFERROR(INDEX('名簿'!$P$5:$P$49,INDEX('calcC'!$B$3:$B$47,MATCH(119,'calcC'!$C$3:$C$47,0))),"")))</f>
        <v/>
      </c>
      <c r="H28" s="28">
        <f>IF('calcA'!EP$4=0,"",IF('調整・決定'!H28&lt;&gt;"",'調整・決定'!H28,IFERROR(INDEX('名簿'!$P$5:$P$49,INDEX('calcC'!$B$3:$B$47,MATCH(143,'calcC'!$C$3:$C$47,0))),"")))</f>
        <v/>
      </c>
    </row>
    <row r="29" ht="26" customHeight="1">
      <c r="B29" s="47">
        <f>'設定'!$I$34</f>
        <v/>
      </c>
      <c r="C29" s="28">
        <f>IF('calcA'!AA$4=0,"",IF('調整・決定'!C29&lt;&gt;"",'調整・決定'!C29,IFERROR(INDEX('名簿'!$P$5:$P$49,INDEX('calcC'!$B$3:$B$47,MATCH(24,'calcC'!$C$3:$C$47,0))),"")))</f>
        <v/>
      </c>
      <c r="D29" s="28">
        <f>IF('calcA'!AY$4=0,"",IF('調整・決定'!D29&lt;&gt;"",'調整・決定'!D29,IFERROR(INDEX('名簿'!$P$5:$P$49,INDEX('calcC'!$B$3:$B$47,MATCH(48,'calcC'!$C$3:$C$47,0))),"")))</f>
        <v/>
      </c>
      <c r="E29" s="28">
        <f>IF('calcA'!BW$4=0,"",IF('調整・決定'!E29&lt;&gt;"",'調整・決定'!E29,IFERROR(INDEX('名簿'!$P$5:$P$49,INDEX('calcC'!$B$3:$B$47,MATCH(72,'calcC'!$C$3:$C$47,0))),"")))</f>
        <v/>
      </c>
      <c r="F29" s="28">
        <f>IF('calcA'!CU$4=0,"",IF('調整・決定'!F29&lt;&gt;"",'調整・決定'!F29,IFERROR(INDEX('名簿'!$P$5:$P$49,INDEX('calcC'!$B$3:$B$47,MATCH(96,'calcC'!$C$3:$C$47,0))),"")))</f>
        <v/>
      </c>
      <c r="G29" s="28">
        <f>IF('calcA'!DS$4=0,"",IF('調整・決定'!G29&lt;&gt;"",'調整・決定'!G29,IFERROR(INDEX('名簿'!$P$5:$P$49,INDEX('calcC'!$B$3:$B$47,MATCH(120,'calcC'!$C$3:$C$47,0))),"")))</f>
        <v/>
      </c>
      <c r="H29" s="28">
        <f>IF('calcA'!EQ$4=0,"",IF('調整・決定'!H29&lt;&gt;"",'調整・決定'!H29,IFERROR(INDEX('名簿'!$P$5:$P$49,INDEX('calcC'!$B$3:$B$47,MATCH(144,'calcC'!$C$3:$C$47,0))),"")))</f>
        <v/>
      </c>
    </row>
  </sheetData>
  <mergeCells count="9">
    <mergeCell ref="J3:K3"/>
    <mergeCell ref="J21:K21"/>
    <mergeCell ref="J24:K24"/>
    <mergeCell ref="K8:K9"/>
    <mergeCell ref="J25:K25"/>
    <mergeCell ref="C4:H4"/>
    <mergeCell ref="J23:K23"/>
    <mergeCell ref="J22:K22"/>
    <mergeCell ref="K10:K11"/>
  </mergeCells>
  <conditionalFormatting sqref="B6:B29">
    <cfRule type="expression" priority="1" dxfId="3" stopIfTrue="1">
      <formula>B6=""</formula>
    </cfRule>
  </conditionalFormatting>
  <conditionalFormatting sqref="C6:H29">
    <cfRule type="expression" priority="2" dxfId="3" stopIfTrue="1">
      <formula>INDEX('calcA'!$D$115:$EQ$115,(COLUMN(C6)-3)*24+ROW(C6)-5)=0</formula>
    </cfRule>
    <cfRule type="expression" priority="3" dxfId="11" stopIfTrue="1">
      <formula>INDEX('calcA'!$D$4:$EQ$4,(COLUMN(C6)-3)*24+ROW(C6)-5)=0</formula>
    </cfRule>
    <cfRule type="expression" priority="4" dxfId="13" stopIfTrue="1">
      <formula>AND(C6&lt;&gt;"",'調整・決定'!C6="")</formula>
    </cfRule>
    <cfRule type="expression" priority="5" dxfId="14" stopIfTrue="1">
      <formula>AND(C6="",INDEX('calcA'!$D$116:$EQ$116,(COLUMN(C6)-3)*24+ROW(C6)-5)+INDEX('calcA'!$D$108:$EQ$108,(COLUMN(C6)-3)*24+ROW(C6)-5)&gt;0)</formula>
    </cfRule>
    <cfRule type="expression" priority="6" dxfId="15" stopIfTrue="1">
      <formula>AND(C6="",INDEX('calcA'!$D$5:$EQ$5,(COLUMN(C6)-3)*24+ROW(C6)-5)=1)</formula>
    </cfRule>
    <cfRule type="expression" priority="7" dxfId="4">
      <formula>TRUE</formula>
    </cfRule>
  </conditionalFormatting>
  <conditionalFormatting sqref="C4:H4">
    <cfRule type="expression" priority="8" dxfId="16">
      <formula>calcA!$A$6=0</formula>
    </cfRule>
  </conditionalFormatting>
  <conditionalFormatting sqref="C5:H5">
    <cfRule type="expression" priority="9" dxfId="3">
      <formula>C5=""</formula>
    </cfRule>
  </conditionalFormatting>
  <pageMargins left="0.75" right="0.75" top="1" bottom="1" header="0.5" footer="0.5"/>
</worksheet>
</file>

<file path=xl/worksheets/sheet7.xml><?xml version="1.0" encoding="utf-8"?>
<worksheet xmlns="http://schemas.openxmlformats.org/spreadsheetml/2006/main">
  <sheetPr>
    <tabColor rgb="00C77D1A"/>
    <outlinePr summaryBelow="1" summaryRight="1"/>
    <pageSetUpPr/>
  </sheetPr>
  <dimension ref="A1:AF58"/>
  <sheetViews>
    <sheetView showGridLines="0" showRowColHeader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22"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44" customHeight="1">
      <c r="A1" s="2" t="n"/>
      <c r="B1" s="72" t="inlineStr">
        <is>
          <t>調整・決定</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3">
        <f>HYPERLINK("#'自動案B'!A1","④ 自動案B")</f>
        <v/>
      </c>
      <c r="N1" s="24">
        <f>HYPERLINK("#'調整・決定'!A1","⑤ 調整・決定")</f>
        <v/>
      </c>
      <c r="O1" s="23">
        <f>HYPERLINK("#'兄弟確認用'!A1","⑥ 兄弟確認")</f>
        <v/>
      </c>
      <c r="P1" s="23">
        <f>HYPERLINK("#'お手紙（夏）'!A1","⑦ お手紙 夏")</f>
        <v/>
      </c>
      <c r="Q1" s="23">
        <f>HYPERLINK("#'お手紙（秋）'!A1","⑧ お手紙 秋")</f>
        <v/>
      </c>
    </row>
    <row r="2" ht="24" customHeight="1">
      <c r="A2" s="5" t="n"/>
      <c r="B2" s="73" t="inlineStr">
        <is>
          <t>ここに入れた人は、自動案では動きません（固定）。自動案を貼り付けたあと、プルダウンで手直しして日程を決めます。右の「児童を選ぶ」で選んだ児童の入れられる枠に色がつきます。</t>
        </is>
      </c>
      <c r="C2" s="5" t="n"/>
      <c r="D2" s="5" t="n"/>
      <c r="E2" s="5" t="n"/>
      <c r="F2" s="5" t="n"/>
      <c r="G2" s="5" t="n"/>
      <c r="H2" s="5" t="n"/>
      <c r="I2" s="5" t="n"/>
      <c r="J2" s="5" t="n"/>
      <c r="K2" s="5" t="n"/>
      <c r="L2" s="5" t="n"/>
      <c r="M2" s="5" t="n"/>
      <c r="N2" s="5" t="n"/>
      <c r="O2" s="5" t="n"/>
      <c r="P2" s="5" t="n"/>
      <c r="Q2" s="5" t="n"/>
    </row>
    <row r="3" ht="56" customHeight="1"/>
    <row r="4" ht="32" customHeight="1">
      <c r="C4" s="105">
        <f t="array" ref="C4">IF(SUMPRODUCT(_xlfn.ISFORMULA(C6:H29)*1)&gt;0,"⚠ ふつうの貼り付けになっています。すぐ Ctrl + Z で元に戻して、［値の貼り付け］（右クリック →「値」）をしてください。","")</f>
        <v/>
      </c>
      <c r="J4" s="94" t="inlineStr">
        <is>
          <t>児童を選ぶ ▼</t>
        </is>
      </c>
    </row>
    <row r="5">
      <c r="B5" s="39" t="inlineStr"/>
      <c r="C5" s="40">
        <f>'設定'!$E$11</f>
        <v/>
      </c>
      <c r="D5" s="40">
        <f>'設定'!$E$12</f>
        <v/>
      </c>
      <c r="E5" s="40">
        <f>'設定'!$E$13</f>
        <v/>
      </c>
      <c r="F5" s="40">
        <f>'設定'!$E$14</f>
        <v/>
      </c>
      <c r="G5" s="40">
        <f>'設定'!$E$15</f>
        <v/>
      </c>
      <c r="H5" s="40">
        <f>'設定'!$E$16</f>
        <v/>
      </c>
      <c r="J5" s="106" t="n"/>
      <c r="K5" s="34" t="n"/>
    </row>
    <row r="6" ht="26" customHeight="1">
      <c r="B6" s="47">
        <f>'設定'!$I$11</f>
        <v/>
      </c>
      <c r="C6" s="28" t="n"/>
      <c r="D6" s="28" t="n"/>
      <c r="E6" s="28" t="n"/>
      <c r="F6" s="28" t="n"/>
      <c r="G6" s="28" t="n"/>
      <c r="H6" s="28" t="n"/>
      <c r="AA6">
        <f>IF(AND(C6="",'calcA'!D$115=0),0,IF(AND(C6&lt;&gt;"",'calcA'!D$4=0),1,IF(IF(C6="",0,IFERROR(INDEX('calcA'!D$10:D$54,MATCH(C6,'calcA'!$B$10:$B$54,0)),0))=1,2,IF(AND(C6&lt;&gt;"",COUNTIF($C$6:$H$29,C6)&gt;1),3,IF('calcA'!D$4=0,4,IF(AND(C6&lt;&gt;"",'calcA'!D$108=1),5,IF(AND(C6="",'calcA'!D$108=1),6,IF(AND(C6&lt;&gt;"",C6=$J$5),7,IF(IF('calcA'!$B$8&gt;0,INDEX('calcA'!D$10:D$54,'calcA'!$B$8),0)=1,8,IF(AND(C6="",IF('calcA'!$B$8&gt;0,INDEX('calcA'!D$60:D$104,'calcA'!$B$8),0)=1),9,IF(AND(C6&lt;&gt;"",IF('calcA'!$B$8&gt;0,INDEX('calcA'!D$60:D$104,'calcA'!$B$8),0)=1),10,IF(AND(C6="",'calcA'!D$5=1),11,12))))))))))))</f>
        <v/>
      </c>
      <c r="AB6">
        <f>IF(AND(D6="",'calcA'!AB$115=0),0,IF(AND(D6&lt;&gt;"",'calcA'!AB$4=0),1,IF(IF(D6="",0,IFERROR(INDEX('calcA'!AB$10:AB$54,MATCH(D6,'calcA'!$B$10:$B$54,0)),0))=1,2,IF(AND(D6&lt;&gt;"",COUNTIF($C$6:$H$29,D6)&gt;1),3,IF('calcA'!AB$4=0,4,IF(AND(D6&lt;&gt;"",'calcA'!AB$108=1),5,IF(AND(D6="",'calcA'!AB$108=1),6,IF(AND(D6&lt;&gt;"",D6=$J$5),7,IF(IF('calcA'!$B$8&gt;0,INDEX('calcA'!AB$10:AB$54,'calcA'!$B$8),0)=1,8,IF(AND(D6="",IF('calcA'!$B$8&gt;0,INDEX('calcA'!AB$60:AB$104,'calcA'!$B$8),0)=1),9,IF(AND(D6&lt;&gt;"",IF('calcA'!$B$8&gt;0,INDEX('calcA'!AB$60:AB$104,'calcA'!$B$8),0)=1),10,IF(AND(D6="",'calcA'!AB$5=1),11,12))))))))))))</f>
        <v/>
      </c>
      <c r="AC6">
        <f>IF(AND(E6="",'calcA'!AZ$115=0),0,IF(AND(E6&lt;&gt;"",'calcA'!AZ$4=0),1,IF(IF(E6="",0,IFERROR(INDEX('calcA'!AZ$10:AZ$54,MATCH(E6,'calcA'!$B$10:$B$54,0)),0))=1,2,IF(AND(E6&lt;&gt;"",COUNTIF($C$6:$H$29,E6)&gt;1),3,IF('calcA'!AZ$4=0,4,IF(AND(E6&lt;&gt;"",'calcA'!AZ$108=1),5,IF(AND(E6="",'calcA'!AZ$108=1),6,IF(AND(E6&lt;&gt;"",E6=$J$5),7,IF(IF('calcA'!$B$8&gt;0,INDEX('calcA'!AZ$10:AZ$54,'calcA'!$B$8),0)=1,8,IF(AND(E6="",IF('calcA'!$B$8&gt;0,INDEX('calcA'!AZ$60:AZ$104,'calcA'!$B$8),0)=1),9,IF(AND(E6&lt;&gt;"",IF('calcA'!$B$8&gt;0,INDEX('calcA'!AZ$60:AZ$104,'calcA'!$B$8),0)=1),10,IF(AND(E6="",'calcA'!AZ$5=1),11,12))))))))))))</f>
        <v/>
      </c>
      <c r="AD6">
        <f>IF(AND(F6="",'calcA'!BX$115=0),0,IF(AND(F6&lt;&gt;"",'calcA'!BX$4=0),1,IF(IF(F6="",0,IFERROR(INDEX('calcA'!BX$10:BX$54,MATCH(F6,'calcA'!$B$10:$B$54,0)),0))=1,2,IF(AND(F6&lt;&gt;"",COUNTIF($C$6:$H$29,F6)&gt;1),3,IF('calcA'!BX$4=0,4,IF(AND(F6&lt;&gt;"",'calcA'!BX$108=1),5,IF(AND(F6="",'calcA'!BX$108=1),6,IF(AND(F6&lt;&gt;"",F6=$J$5),7,IF(IF('calcA'!$B$8&gt;0,INDEX('calcA'!BX$10:BX$54,'calcA'!$B$8),0)=1,8,IF(AND(F6="",IF('calcA'!$B$8&gt;0,INDEX('calcA'!BX$60:BX$104,'calcA'!$B$8),0)=1),9,IF(AND(F6&lt;&gt;"",IF('calcA'!$B$8&gt;0,INDEX('calcA'!BX$60:BX$104,'calcA'!$B$8),0)=1),10,IF(AND(F6="",'calcA'!BX$5=1),11,12))))))))))))</f>
        <v/>
      </c>
      <c r="AE6">
        <f>IF(AND(G6="",'calcA'!CV$115=0),0,IF(AND(G6&lt;&gt;"",'calcA'!CV$4=0),1,IF(IF(G6="",0,IFERROR(INDEX('calcA'!CV$10:CV$54,MATCH(G6,'calcA'!$B$10:$B$54,0)),0))=1,2,IF(AND(G6&lt;&gt;"",COUNTIF($C$6:$H$29,G6)&gt;1),3,IF('calcA'!CV$4=0,4,IF(AND(G6&lt;&gt;"",'calcA'!CV$108=1),5,IF(AND(G6="",'calcA'!CV$108=1),6,IF(AND(G6&lt;&gt;"",G6=$J$5),7,IF(IF('calcA'!$B$8&gt;0,INDEX('calcA'!CV$10:CV$54,'calcA'!$B$8),0)=1,8,IF(AND(G6="",IF('calcA'!$B$8&gt;0,INDEX('calcA'!CV$60:CV$104,'calcA'!$B$8),0)=1),9,IF(AND(G6&lt;&gt;"",IF('calcA'!$B$8&gt;0,INDEX('calcA'!CV$60:CV$104,'calcA'!$B$8),0)=1),10,IF(AND(G6="",'calcA'!CV$5=1),11,12))))))))))))</f>
        <v/>
      </c>
      <c r="AF6">
        <f>IF(AND(H6="",'calcA'!DT$115=0),0,IF(AND(H6&lt;&gt;"",'calcA'!DT$4=0),1,IF(IF(H6="",0,IFERROR(INDEX('calcA'!DT$10:DT$54,MATCH(H6,'calcA'!$B$10:$B$54,0)),0))=1,2,IF(AND(H6&lt;&gt;"",COUNTIF($C$6:$H$29,H6)&gt;1),3,IF('calcA'!DT$4=0,4,IF(AND(H6&lt;&gt;"",'calcA'!DT$108=1),5,IF(AND(H6="",'calcA'!DT$108=1),6,IF(AND(H6&lt;&gt;"",H6=$J$5),7,IF(IF('calcA'!$B$8&gt;0,INDEX('calcA'!DT$10:DT$54,'calcA'!$B$8),0)=1,8,IF(AND(H6="",IF('calcA'!$B$8&gt;0,INDEX('calcA'!DT$60:DT$104,'calcA'!$B$8),0)=1),9,IF(AND(H6&lt;&gt;"",IF('calcA'!$B$8&gt;0,INDEX('calcA'!DT$60:DT$104,'calcA'!$B$8),0)=1),10,IF(AND(H6="",'calcA'!DT$5=1),11,12))))))))))))</f>
        <v/>
      </c>
    </row>
    <row r="7" ht="26" customHeight="1">
      <c r="B7" s="47">
        <f>'設定'!$I$12</f>
        <v/>
      </c>
      <c r="C7" s="28" t="n"/>
      <c r="D7" s="28" t="n"/>
      <c r="E7" s="28" t="n"/>
      <c r="F7" s="28" t="n"/>
      <c r="G7" s="28" t="n"/>
      <c r="H7" s="28" t="n"/>
      <c r="J7" s="93" t="inlineStr">
        <is>
          <t>状況</t>
        </is>
      </c>
      <c r="K7" s="107">
        <f>IF('calcA'!$B$8=0,"",INDEX('名簿'!$Q$5:$Q$49,'calcA'!$B$8))</f>
        <v/>
      </c>
      <c r="AA7">
        <f>IF(AND(C7="",'calcA'!E$115=0),0,IF(AND(C7&lt;&gt;"",'calcA'!E$4=0),1,IF(IF(C7="",0,IFERROR(INDEX('calcA'!E$10:E$54,MATCH(C7,'calcA'!$B$10:$B$54,0)),0))=1,2,IF(AND(C7&lt;&gt;"",COUNTIF($C$6:$H$29,C7)&gt;1),3,IF('calcA'!E$4=0,4,IF(AND(C7&lt;&gt;"",'calcA'!E$108=1),5,IF(AND(C7="",'calcA'!E$108=1),6,IF(AND(C7&lt;&gt;"",C7=$J$5),7,IF(IF('calcA'!$B$8&gt;0,INDEX('calcA'!E$10:E$54,'calcA'!$B$8),0)=1,8,IF(AND(C7="",IF('calcA'!$B$8&gt;0,INDEX('calcA'!E$60:E$104,'calcA'!$B$8),0)=1),9,IF(AND(C7&lt;&gt;"",IF('calcA'!$B$8&gt;0,INDEX('calcA'!E$60:E$104,'calcA'!$B$8),0)=1),10,IF(AND(C7="",'calcA'!E$5=1),11,12))))))))))))</f>
        <v/>
      </c>
      <c r="AB7">
        <f>IF(AND(D7="",'calcA'!AC$115=0),0,IF(AND(D7&lt;&gt;"",'calcA'!AC$4=0),1,IF(IF(D7="",0,IFERROR(INDEX('calcA'!AC$10:AC$54,MATCH(D7,'calcA'!$B$10:$B$54,0)),0))=1,2,IF(AND(D7&lt;&gt;"",COUNTIF($C$6:$H$29,D7)&gt;1),3,IF('calcA'!AC$4=0,4,IF(AND(D7&lt;&gt;"",'calcA'!AC$108=1),5,IF(AND(D7="",'calcA'!AC$108=1),6,IF(AND(D7&lt;&gt;"",D7=$J$5),7,IF(IF('calcA'!$B$8&gt;0,INDEX('calcA'!AC$10:AC$54,'calcA'!$B$8),0)=1,8,IF(AND(D7="",IF('calcA'!$B$8&gt;0,INDEX('calcA'!AC$60:AC$104,'calcA'!$B$8),0)=1),9,IF(AND(D7&lt;&gt;"",IF('calcA'!$B$8&gt;0,INDEX('calcA'!AC$60:AC$104,'calcA'!$B$8),0)=1),10,IF(AND(D7="",'calcA'!AC$5=1),11,12))))))))))))</f>
        <v/>
      </c>
      <c r="AC7">
        <f>IF(AND(E7="",'calcA'!BA$115=0),0,IF(AND(E7&lt;&gt;"",'calcA'!BA$4=0),1,IF(IF(E7="",0,IFERROR(INDEX('calcA'!BA$10:BA$54,MATCH(E7,'calcA'!$B$10:$B$54,0)),0))=1,2,IF(AND(E7&lt;&gt;"",COUNTIF($C$6:$H$29,E7)&gt;1),3,IF('calcA'!BA$4=0,4,IF(AND(E7&lt;&gt;"",'calcA'!BA$108=1),5,IF(AND(E7="",'calcA'!BA$108=1),6,IF(AND(E7&lt;&gt;"",E7=$J$5),7,IF(IF('calcA'!$B$8&gt;0,INDEX('calcA'!BA$10:BA$54,'calcA'!$B$8),0)=1,8,IF(AND(E7="",IF('calcA'!$B$8&gt;0,INDEX('calcA'!BA$60:BA$104,'calcA'!$B$8),0)=1),9,IF(AND(E7&lt;&gt;"",IF('calcA'!$B$8&gt;0,INDEX('calcA'!BA$60:BA$104,'calcA'!$B$8),0)=1),10,IF(AND(E7="",'calcA'!BA$5=1),11,12))))))))))))</f>
        <v/>
      </c>
      <c r="AD7">
        <f>IF(AND(F7="",'calcA'!BY$115=0),0,IF(AND(F7&lt;&gt;"",'calcA'!BY$4=0),1,IF(IF(F7="",0,IFERROR(INDEX('calcA'!BY$10:BY$54,MATCH(F7,'calcA'!$B$10:$B$54,0)),0))=1,2,IF(AND(F7&lt;&gt;"",COUNTIF($C$6:$H$29,F7)&gt;1),3,IF('calcA'!BY$4=0,4,IF(AND(F7&lt;&gt;"",'calcA'!BY$108=1),5,IF(AND(F7="",'calcA'!BY$108=1),6,IF(AND(F7&lt;&gt;"",F7=$J$5),7,IF(IF('calcA'!$B$8&gt;0,INDEX('calcA'!BY$10:BY$54,'calcA'!$B$8),0)=1,8,IF(AND(F7="",IF('calcA'!$B$8&gt;0,INDEX('calcA'!BY$60:BY$104,'calcA'!$B$8),0)=1),9,IF(AND(F7&lt;&gt;"",IF('calcA'!$B$8&gt;0,INDEX('calcA'!BY$60:BY$104,'calcA'!$B$8),0)=1),10,IF(AND(F7="",'calcA'!BY$5=1),11,12))))))))))))</f>
        <v/>
      </c>
      <c r="AE7">
        <f>IF(AND(G7="",'calcA'!CW$115=0),0,IF(AND(G7&lt;&gt;"",'calcA'!CW$4=0),1,IF(IF(G7="",0,IFERROR(INDEX('calcA'!CW$10:CW$54,MATCH(G7,'calcA'!$B$10:$B$54,0)),0))=1,2,IF(AND(G7&lt;&gt;"",COUNTIF($C$6:$H$29,G7)&gt;1),3,IF('calcA'!CW$4=0,4,IF(AND(G7&lt;&gt;"",'calcA'!CW$108=1),5,IF(AND(G7="",'calcA'!CW$108=1),6,IF(AND(G7&lt;&gt;"",G7=$J$5),7,IF(IF('calcA'!$B$8&gt;0,INDEX('calcA'!CW$10:CW$54,'calcA'!$B$8),0)=1,8,IF(AND(G7="",IF('calcA'!$B$8&gt;0,INDEX('calcA'!CW$60:CW$104,'calcA'!$B$8),0)=1),9,IF(AND(G7&lt;&gt;"",IF('calcA'!$B$8&gt;0,INDEX('calcA'!CW$60:CW$104,'calcA'!$B$8),0)=1),10,IF(AND(G7="",'calcA'!CW$5=1),11,12))))))))))))</f>
        <v/>
      </c>
      <c r="AF7">
        <f>IF(AND(H7="",'calcA'!DU$115=0),0,IF(AND(H7&lt;&gt;"",'calcA'!DU$4=0),1,IF(IF(H7="",0,IFERROR(INDEX('calcA'!DU$10:DU$54,MATCH(H7,'calcA'!$B$10:$B$54,0)),0))=1,2,IF(AND(H7&lt;&gt;"",COUNTIF($C$6:$H$29,H7)&gt;1),3,IF('calcA'!DU$4=0,4,IF(AND(H7&lt;&gt;"",'calcA'!DU$108=1),5,IF(AND(H7="",'calcA'!DU$108=1),6,IF(AND(H7&lt;&gt;"",H7=$J$5),7,IF(IF('calcA'!$B$8&gt;0,INDEX('calcA'!DU$10:DU$54,'calcA'!$B$8),0)=1,8,IF(AND(H7="",IF('calcA'!$B$8&gt;0,INDEX('calcA'!DU$60:DU$104,'calcA'!$B$8),0)=1),9,IF(AND(H7&lt;&gt;"",IF('calcA'!$B$8&gt;0,INDEX('calcA'!DU$60:DU$104,'calcA'!$B$8),0)=1),10,IF(AND(H7="",'calcA'!DU$5=1),11,12))))))))))))</f>
        <v/>
      </c>
    </row>
    <row r="8" ht="26" customHeight="1">
      <c r="B8" s="47">
        <f>'設定'!$I$13</f>
        <v/>
      </c>
      <c r="C8" s="28" t="n"/>
      <c r="D8" s="28" t="n"/>
      <c r="E8" s="28" t="n"/>
      <c r="F8" s="28" t="n"/>
      <c r="G8" s="28" t="n"/>
      <c r="H8" s="28" t="n"/>
      <c r="J8" s="93" t="inlineStr">
        <is>
          <t>×の数</t>
        </is>
      </c>
      <c r="K8" s="107">
        <f>IF('calcA'!$B$8=0,"",INDEX('名簿'!$R$5:$R$49,'calcA'!$B$8))</f>
        <v/>
      </c>
      <c r="AA8">
        <f>IF(AND(C8="",'calcA'!F$115=0),0,IF(AND(C8&lt;&gt;"",'calcA'!F$4=0),1,IF(IF(C8="",0,IFERROR(INDEX('calcA'!F$10:F$54,MATCH(C8,'calcA'!$B$10:$B$54,0)),0))=1,2,IF(AND(C8&lt;&gt;"",COUNTIF($C$6:$H$29,C8)&gt;1),3,IF('calcA'!F$4=0,4,IF(AND(C8&lt;&gt;"",'calcA'!F$108=1),5,IF(AND(C8="",'calcA'!F$108=1),6,IF(AND(C8&lt;&gt;"",C8=$J$5),7,IF(IF('calcA'!$B$8&gt;0,INDEX('calcA'!F$10:F$54,'calcA'!$B$8),0)=1,8,IF(AND(C8="",IF('calcA'!$B$8&gt;0,INDEX('calcA'!F$60:F$104,'calcA'!$B$8),0)=1),9,IF(AND(C8&lt;&gt;"",IF('calcA'!$B$8&gt;0,INDEX('calcA'!F$60:F$104,'calcA'!$B$8),0)=1),10,IF(AND(C8="",'calcA'!F$5=1),11,12))))))))))))</f>
        <v/>
      </c>
      <c r="AB8">
        <f>IF(AND(D8="",'calcA'!AD$115=0),0,IF(AND(D8&lt;&gt;"",'calcA'!AD$4=0),1,IF(IF(D8="",0,IFERROR(INDEX('calcA'!AD$10:AD$54,MATCH(D8,'calcA'!$B$10:$B$54,0)),0))=1,2,IF(AND(D8&lt;&gt;"",COUNTIF($C$6:$H$29,D8)&gt;1),3,IF('calcA'!AD$4=0,4,IF(AND(D8&lt;&gt;"",'calcA'!AD$108=1),5,IF(AND(D8="",'calcA'!AD$108=1),6,IF(AND(D8&lt;&gt;"",D8=$J$5),7,IF(IF('calcA'!$B$8&gt;0,INDEX('calcA'!AD$10:AD$54,'calcA'!$B$8),0)=1,8,IF(AND(D8="",IF('calcA'!$B$8&gt;0,INDEX('calcA'!AD$60:AD$104,'calcA'!$B$8),0)=1),9,IF(AND(D8&lt;&gt;"",IF('calcA'!$B$8&gt;0,INDEX('calcA'!AD$60:AD$104,'calcA'!$B$8),0)=1),10,IF(AND(D8="",'calcA'!AD$5=1),11,12))))))))))))</f>
        <v/>
      </c>
      <c r="AC8">
        <f>IF(AND(E8="",'calcA'!BB$115=0),0,IF(AND(E8&lt;&gt;"",'calcA'!BB$4=0),1,IF(IF(E8="",0,IFERROR(INDEX('calcA'!BB$10:BB$54,MATCH(E8,'calcA'!$B$10:$B$54,0)),0))=1,2,IF(AND(E8&lt;&gt;"",COUNTIF($C$6:$H$29,E8)&gt;1),3,IF('calcA'!BB$4=0,4,IF(AND(E8&lt;&gt;"",'calcA'!BB$108=1),5,IF(AND(E8="",'calcA'!BB$108=1),6,IF(AND(E8&lt;&gt;"",E8=$J$5),7,IF(IF('calcA'!$B$8&gt;0,INDEX('calcA'!BB$10:BB$54,'calcA'!$B$8),0)=1,8,IF(AND(E8="",IF('calcA'!$B$8&gt;0,INDEX('calcA'!BB$60:BB$104,'calcA'!$B$8),0)=1),9,IF(AND(E8&lt;&gt;"",IF('calcA'!$B$8&gt;0,INDEX('calcA'!BB$60:BB$104,'calcA'!$B$8),0)=1),10,IF(AND(E8="",'calcA'!BB$5=1),11,12))))))))))))</f>
        <v/>
      </c>
      <c r="AD8">
        <f>IF(AND(F8="",'calcA'!BZ$115=0),0,IF(AND(F8&lt;&gt;"",'calcA'!BZ$4=0),1,IF(IF(F8="",0,IFERROR(INDEX('calcA'!BZ$10:BZ$54,MATCH(F8,'calcA'!$B$10:$B$54,0)),0))=1,2,IF(AND(F8&lt;&gt;"",COUNTIF($C$6:$H$29,F8)&gt;1),3,IF('calcA'!BZ$4=0,4,IF(AND(F8&lt;&gt;"",'calcA'!BZ$108=1),5,IF(AND(F8="",'calcA'!BZ$108=1),6,IF(AND(F8&lt;&gt;"",F8=$J$5),7,IF(IF('calcA'!$B$8&gt;0,INDEX('calcA'!BZ$10:BZ$54,'calcA'!$B$8),0)=1,8,IF(AND(F8="",IF('calcA'!$B$8&gt;0,INDEX('calcA'!BZ$60:BZ$104,'calcA'!$B$8),0)=1),9,IF(AND(F8&lt;&gt;"",IF('calcA'!$B$8&gt;0,INDEX('calcA'!BZ$60:BZ$104,'calcA'!$B$8),0)=1),10,IF(AND(F8="",'calcA'!BZ$5=1),11,12))))))))))))</f>
        <v/>
      </c>
      <c r="AE8">
        <f>IF(AND(G8="",'calcA'!CX$115=0),0,IF(AND(G8&lt;&gt;"",'calcA'!CX$4=0),1,IF(IF(G8="",0,IFERROR(INDEX('calcA'!CX$10:CX$54,MATCH(G8,'calcA'!$B$10:$B$54,0)),0))=1,2,IF(AND(G8&lt;&gt;"",COUNTIF($C$6:$H$29,G8)&gt;1),3,IF('calcA'!CX$4=0,4,IF(AND(G8&lt;&gt;"",'calcA'!CX$108=1),5,IF(AND(G8="",'calcA'!CX$108=1),6,IF(AND(G8&lt;&gt;"",G8=$J$5),7,IF(IF('calcA'!$B$8&gt;0,INDEX('calcA'!CX$10:CX$54,'calcA'!$B$8),0)=1,8,IF(AND(G8="",IF('calcA'!$B$8&gt;0,INDEX('calcA'!CX$60:CX$104,'calcA'!$B$8),0)=1),9,IF(AND(G8&lt;&gt;"",IF('calcA'!$B$8&gt;0,INDEX('calcA'!CX$60:CX$104,'calcA'!$B$8),0)=1),10,IF(AND(G8="",'calcA'!CX$5=1),11,12))))))))))))</f>
        <v/>
      </c>
      <c r="AF8">
        <f>IF(AND(H8="",'calcA'!DV$115=0),0,IF(AND(H8&lt;&gt;"",'calcA'!DV$4=0),1,IF(IF(H8="",0,IFERROR(INDEX('calcA'!DV$10:DV$54,MATCH(H8,'calcA'!$B$10:$B$54,0)),0))=1,2,IF(AND(H8&lt;&gt;"",COUNTIF($C$6:$H$29,H8)&gt;1),3,IF('calcA'!DV$4=0,4,IF(AND(H8&lt;&gt;"",'calcA'!DV$108=1),5,IF(AND(H8="",'calcA'!DV$108=1),6,IF(AND(H8&lt;&gt;"",H8=$J$5),7,IF(IF('calcA'!$B$8&gt;0,INDEX('calcA'!DV$10:DV$54,'calcA'!$B$8),0)=1,8,IF(AND(H8="",IF('calcA'!$B$8&gt;0,INDEX('calcA'!DV$60:DV$104,'calcA'!$B$8),0)=1),9,IF(AND(H8&lt;&gt;"",IF('calcA'!$B$8&gt;0,INDEX('calcA'!DV$60:DV$104,'calcA'!$B$8),0)=1),10,IF(AND(H8="",'calcA'!DV$5=1),11,12))))))))))))</f>
        <v/>
      </c>
    </row>
    <row r="9" ht="26" customHeight="1">
      <c r="B9" s="47">
        <f>'設定'!$I$14</f>
        <v/>
      </c>
      <c r="C9" s="28" t="n"/>
      <c r="D9" s="28" t="n"/>
      <c r="E9" s="28" t="n"/>
      <c r="F9" s="28" t="n"/>
      <c r="G9" s="28" t="n"/>
      <c r="H9" s="28" t="n"/>
      <c r="J9" s="93" t="inlineStr">
        <is>
          <t>今の枠</t>
        </is>
      </c>
      <c r="K9" s="107">
        <f>IF('calcA'!$B$8=0,"",INDEX('名簿'!$U$5:$U$49,'calcA'!$B$8)&amp;" "&amp;INDEX('名簿'!$V$5:$V$49,'calcA'!$B$8))</f>
        <v/>
      </c>
      <c r="AA9">
        <f>IF(AND(C9="",'calcA'!G$115=0),0,IF(AND(C9&lt;&gt;"",'calcA'!G$4=0),1,IF(IF(C9="",0,IFERROR(INDEX('calcA'!G$10:G$54,MATCH(C9,'calcA'!$B$10:$B$54,0)),0))=1,2,IF(AND(C9&lt;&gt;"",COUNTIF($C$6:$H$29,C9)&gt;1),3,IF('calcA'!G$4=0,4,IF(AND(C9&lt;&gt;"",'calcA'!G$108=1),5,IF(AND(C9="",'calcA'!G$108=1),6,IF(AND(C9&lt;&gt;"",C9=$J$5),7,IF(IF('calcA'!$B$8&gt;0,INDEX('calcA'!G$10:G$54,'calcA'!$B$8),0)=1,8,IF(AND(C9="",IF('calcA'!$B$8&gt;0,INDEX('calcA'!G$60:G$104,'calcA'!$B$8),0)=1),9,IF(AND(C9&lt;&gt;"",IF('calcA'!$B$8&gt;0,INDEX('calcA'!G$60:G$104,'calcA'!$B$8),0)=1),10,IF(AND(C9="",'calcA'!G$5=1),11,12))))))))))))</f>
        <v/>
      </c>
      <c r="AB9">
        <f>IF(AND(D9="",'calcA'!AE$115=0),0,IF(AND(D9&lt;&gt;"",'calcA'!AE$4=0),1,IF(IF(D9="",0,IFERROR(INDEX('calcA'!AE$10:AE$54,MATCH(D9,'calcA'!$B$10:$B$54,0)),0))=1,2,IF(AND(D9&lt;&gt;"",COUNTIF($C$6:$H$29,D9)&gt;1),3,IF('calcA'!AE$4=0,4,IF(AND(D9&lt;&gt;"",'calcA'!AE$108=1),5,IF(AND(D9="",'calcA'!AE$108=1),6,IF(AND(D9&lt;&gt;"",D9=$J$5),7,IF(IF('calcA'!$B$8&gt;0,INDEX('calcA'!AE$10:AE$54,'calcA'!$B$8),0)=1,8,IF(AND(D9="",IF('calcA'!$B$8&gt;0,INDEX('calcA'!AE$60:AE$104,'calcA'!$B$8),0)=1),9,IF(AND(D9&lt;&gt;"",IF('calcA'!$B$8&gt;0,INDEX('calcA'!AE$60:AE$104,'calcA'!$B$8),0)=1),10,IF(AND(D9="",'calcA'!AE$5=1),11,12))))))))))))</f>
        <v/>
      </c>
      <c r="AC9">
        <f>IF(AND(E9="",'calcA'!BC$115=0),0,IF(AND(E9&lt;&gt;"",'calcA'!BC$4=0),1,IF(IF(E9="",0,IFERROR(INDEX('calcA'!BC$10:BC$54,MATCH(E9,'calcA'!$B$10:$B$54,0)),0))=1,2,IF(AND(E9&lt;&gt;"",COUNTIF($C$6:$H$29,E9)&gt;1),3,IF('calcA'!BC$4=0,4,IF(AND(E9&lt;&gt;"",'calcA'!BC$108=1),5,IF(AND(E9="",'calcA'!BC$108=1),6,IF(AND(E9&lt;&gt;"",E9=$J$5),7,IF(IF('calcA'!$B$8&gt;0,INDEX('calcA'!BC$10:BC$54,'calcA'!$B$8),0)=1,8,IF(AND(E9="",IF('calcA'!$B$8&gt;0,INDEX('calcA'!BC$60:BC$104,'calcA'!$B$8),0)=1),9,IF(AND(E9&lt;&gt;"",IF('calcA'!$B$8&gt;0,INDEX('calcA'!BC$60:BC$104,'calcA'!$B$8),0)=1),10,IF(AND(E9="",'calcA'!BC$5=1),11,12))))))))))))</f>
        <v/>
      </c>
      <c r="AD9">
        <f>IF(AND(F9="",'calcA'!CA$115=0),0,IF(AND(F9&lt;&gt;"",'calcA'!CA$4=0),1,IF(IF(F9="",0,IFERROR(INDEX('calcA'!CA$10:CA$54,MATCH(F9,'calcA'!$B$10:$B$54,0)),0))=1,2,IF(AND(F9&lt;&gt;"",COUNTIF($C$6:$H$29,F9)&gt;1),3,IF('calcA'!CA$4=0,4,IF(AND(F9&lt;&gt;"",'calcA'!CA$108=1),5,IF(AND(F9="",'calcA'!CA$108=1),6,IF(AND(F9&lt;&gt;"",F9=$J$5),7,IF(IF('calcA'!$B$8&gt;0,INDEX('calcA'!CA$10:CA$54,'calcA'!$B$8),0)=1,8,IF(AND(F9="",IF('calcA'!$B$8&gt;0,INDEX('calcA'!CA$60:CA$104,'calcA'!$B$8),0)=1),9,IF(AND(F9&lt;&gt;"",IF('calcA'!$B$8&gt;0,INDEX('calcA'!CA$60:CA$104,'calcA'!$B$8),0)=1),10,IF(AND(F9="",'calcA'!CA$5=1),11,12))))))))))))</f>
        <v/>
      </c>
      <c r="AE9">
        <f>IF(AND(G9="",'calcA'!CY$115=0),0,IF(AND(G9&lt;&gt;"",'calcA'!CY$4=0),1,IF(IF(G9="",0,IFERROR(INDEX('calcA'!CY$10:CY$54,MATCH(G9,'calcA'!$B$10:$B$54,0)),0))=1,2,IF(AND(G9&lt;&gt;"",COUNTIF($C$6:$H$29,G9)&gt;1),3,IF('calcA'!CY$4=0,4,IF(AND(G9&lt;&gt;"",'calcA'!CY$108=1),5,IF(AND(G9="",'calcA'!CY$108=1),6,IF(AND(G9&lt;&gt;"",G9=$J$5),7,IF(IF('calcA'!$B$8&gt;0,INDEX('calcA'!CY$10:CY$54,'calcA'!$B$8),0)=1,8,IF(AND(G9="",IF('calcA'!$B$8&gt;0,INDEX('calcA'!CY$60:CY$104,'calcA'!$B$8),0)=1),9,IF(AND(G9&lt;&gt;"",IF('calcA'!$B$8&gt;0,INDEX('calcA'!CY$60:CY$104,'calcA'!$B$8),0)=1),10,IF(AND(G9="",'calcA'!CY$5=1),11,12))))))))))))</f>
        <v/>
      </c>
      <c r="AF9">
        <f>IF(AND(H9="",'calcA'!DW$115=0),0,IF(AND(H9&lt;&gt;"",'calcA'!DW$4=0),1,IF(IF(H9="",0,IFERROR(INDEX('calcA'!DW$10:DW$54,MATCH(H9,'calcA'!$B$10:$B$54,0)),0))=1,2,IF(AND(H9&lt;&gt;"",COUNTIF($C$6:$H$29,H9)&gt;1),3,IF('calcA'!DW$4=0,4,IF(AND(H9&lt;&gt;"",'calcA'!DW$108=1),5,IF(AND(H9="",'calcA'!DW$108=1),6,IF(AND(H9&lt;&gt;"",H9=$J$5),7,IF(IF('calcA'!$B$8&gt;0,INDEX('calcA'!DW$10:DW$54,'calcA'!$B$8),0)=1,8,IF(AND(H9="",IF('calcA'!$B$8&gt;0,INDEX('calcA'!DW$60:DW$104,'calcA'!$B$8),0)=1),9,IF(AND(H9&lt;&gt;"",IF('calcA'!$B$8&gt;0,INDEX('calcA'!DW$60:DW$104,'calcA'!$B$8),0)=1),10,IF(AND(H9="",'calcA'!DW$5=1),11,12))))))))))))</f>
        <v/>
      </c>
    </row>
    <row r="10" ht="26" customHeight="1">
      <c r="B10" s="47">
        <f>'設定'!$I$15</f>
        <v/>
      </c>
      <c r="C10" s="28" t="n"/>
      <c r="D10" s="28" t="n"/>
      <c r="E10" s="28" t="n"/>
      <c r="F10" s="28" t="n"/>
      <c r="G10" s="28" t="n"/>
      <c r="H10" s="28" t="n"/>
      <c r="J10" s="93" t="inlineStr">
        <is>
          <t>兄弟</t>
        </is>
      </c>
      <c r="K10" s="107">
        <f>IF('calcA'!$B$8=0,"",IF(INDEX('名簿'!$E$5:$E$49,'calcA'!$B$8)="","",INDEX('名簿'!$F$5:$F$49,'calcA'!$B$8)&amp;"　"&amp;INDEX('名簿'!$G$5:$G$49,'calcA'!$B$8)&amp;" "&amp;INDEX('名簿'!$H$5:$H$49,'calcA'!$B$8)))</f>
        <v/>
      </c>
      <c r="AA10">
        <f>IF(AND(C10="",'calcA'!H$115=0),0,IF(AND(C10&lt;&gt;"",'calcA'!H$4=0),1,IF(IF(C10="",0,IFERROR(INDEX('calcA'!H$10:H$54,MATCH(C10,'calcA'!$B$10:$B$54,0)),0))=1,2,IF(AND(C10&lt;&gt;"",COUNTIF($C$6:$H$29,C10)&gt;1),3,IF('calcA'!H$4=0,4,IF(AND(C10&lt;&gt;"",'calcA'!H$108=1),5,IF(AND(C10="",'calcA'!H$108=1),6,IF(AND(C10&lt;&gt;"",C10=$J$5),7,IF(IF('calcA'!$B$8&gt;0,INDEX('calcA'!H$10:H$54,'calcA'!$B$8),0)=1,8,IF(AND(C10="",IF('calcA'!$B$8&gt;0,INDEX('calcA'!H$60:H$104,'calcA'!$B$8),0)=1),9,IF(AND(C10&lt;&gt;"",IF('calcA'!$B$8&gt;0,INDEX('calcA'!H$60:H$104,'calcA'!$B$8),0)=1),10,IF(AND(C10="",'calcA'!H$5=1),11,12))))))))))))</f>
        <v/>
      </c>
      <c r="AB10">
        <f>IF(AND(D10="",'calcA'!AF$115=0),0,IF(AND(D10&lt;&gt;"",'calcA'!AF$4=0),1,IF(IF(D10="",0,IFERROR(INDEX('calcA'!AF$10:AF$54,MATCH(D10,'calcA'!$B$10:$B$54,0)),0))=1,2,IF(AND(D10&lt;&gt;"",COUNTIF($C$6:$H$29,D10)&gt;1),3,IF('calcA'!AF$4=0,4,IF(AND(D10&lt;&gt;"",'calcA'!AF$108=1),5,IF(AND(D10="",'calcA'!AF$108=1),6,IF(AND(D10&lt;&gt;"",D10=$J$5),7,IF(IF('calcA'!$B$8&gt;0,INDEX('calcA'!AF$10:AF$54,'calcA'!$B$8),0)=1,8,IF(AND(D10="",IF('calcA'!$B$8&gt;0,INDEX('calcA'!AF$60:AF$104,'calcA'!$B$8),0)=1),9,IF(AND(D10&lt;&gt;"",IF('calcA'!$B$8&gt;0,INDEX('calcA'!AF$60:AF$104,'calcA'!$B$8),0)=1),10,IF(AND(D10="",'calcA'!AF$5=1),11,12))))))))))))</f>
        <v/>
      </c>
      <c r="AC10">
        <f>IF(AND(E10="",'calcA'!BD$115=0),0,IF(AND(E10&lt;&gt;"",'calcA'!BD$4=0),1,IF(IF(E10="",0,IFERROR(INDEX('calcA'!BD$10:BD$54,MATCH(E10,'calcA'!$B$10:$B$54,0)),0))=1,2,IF(AND(E10&lt;&gt;"",COUNTIF($C$6:$H$29,E10)&gt;1),3,IF('calcA'!BD$4=0,4,IF(AND(E10&lt;&gt;"",'calcA'!BD$108=1),5,IF(AND(E10="",'calcA'!BD$108=1),6,IF(AND(E10&lt;&gt;"",E10=$J$5),7,IF(IF('calcA'!$B$8&gt;0,INDEX('calcA'!BD$10:BD$54,'calcA'!$B$8),0)=1,8,IF(AND(E10="",IF('calcA'!$B$8&gt;0,INDEX('calcA'!BD$60:BD$104,'calcA'!$B$8),0)=1),9,IF(AND(E10&lt;&gt;"",IF('calcA'!$B$8&gt;0,INDEX('calcA'!BD$60:BD$104,'calcA'!$B$8),0)=1),10,IF(AND(E10="",'calcA'!BD$5=1),11,12))))))))))))</f>
        <v/>
      </c>
      <c r="AD10">
        <f>IF(AND(F10="",'calcA'!CB$115=0),0,IF(AND(F10&lt;&gt;"",'calcA'!CB$4=0),1,IF(IF(F10="",0,IFERROR(INDEX('calcA'!CB$10:CB$54,MATCH(F10,'calcA'!$B$10:$B$54,0)),0))=1,2,IF(AND(F10&lt;&gt;"",COUNTIF($C$6:$H$29,F10)&gt;1),3,IF('calcA'!CB$4=0,4,IF(AND(F10&lt;&gt;"",'calcA'!CB$108=1),5,IF(AND(F10="",'calcA'!CB$108=1),6,IF(AND(F10&lt;&gt;"",F10=$J$5),7,IF(IF('calcA'!$B$8&gt;0,INDEX('calcA'!CB$10:CB$54,'calcA'!$B$8),0)=1,8,IF(AND(F10="",IF('calcA'!$B$8&gt;0,INDEX('calcA'!CB$60:CB$104,'calcA'!$B$8),0)=1),9,IF(AND(F10&lt;&gt;"",IF('calcA'!$B$8&gt;0,INDEX('calcA'!CB$60:CB$104,'calcA'!$B$8),0)=1),10,IF(AND(F10="",'calcA'!CB$5=1),11,12))))))))))))</f>
        <v/>
      </c>
      <c r="AE10">
        <f>IF(AND(G10="",'calcA'!CZ$115=0),0,IF(AND(G10&lt;&gt;"",'calcA'!CZ$4=0),1,IF(IF(G10="",0,IFERROR(INDEX('calcA'!CZ$10:CZ$54,MATCH(G10,'calcA'!$B$10:$B$54,0)),0))=1,2,IF(AND(G10&lt;&gt;"",COUNTIF($C$6:$H$29,G10)&gt;1),3,IF('calcA'!CZ$4=0,4,IF(AND(G10&lt;&gt;"",'calcA'!CZ$108=1),5,IF(AND(G10="",'calcA'!CZ$108=1),6,IF(AND(G10&lt;&gt;"",G10=$J$5),7,IF(IF('calcA'!$B$8&gt;0,INDEX('calcA'!CZ$10:CZ$54,'calcA'!$B$8),0)=1,8,IF(AND(G10="",IF('calcA'!$B$8&gt;0,INDEX('calcA'!CZ$60:CZ$104,'calcA'!$B$8),0)=1),9,IF(AND(G10&lt;&gt;"",IF('calcA'!$B$8&gt;0,INDEX('calcA'!CZ$60:CZ$104,'calcA'!$B$8),0)=1),10,IF(AND(G10="",'calcA'!CZ$5=1),11,12))))))))))))</f>
        <v/>
      </c>
      <c r="AF10">
        <f>IF(AND(H10="",'calcA'!DX$115=0),0,IF(AND(H10&lt;&gt;"",'calcA'!DX$4=0),1,IF(IF(H10="",0,IFERROR(INDEX('calcA'!DX$10:DX$54,MATCH(H10,'calcA'!$B$10:$B$54,0)),0))=1,2,IF(AND(H10&lt;&gt;"",COUNTIF($C$6:$H$29,H10)&gt;1),3,IF('calcA'!DX$4=0,4,IF(AND(H10&lt;&gt;"",'calcA'!DX$108=1),5,IF(AND(H10="",'calcA'!DX$108=1),6,IF(AND(H10&lt;&gt;"",H10=$J$5),7,IF(IF('calcA'!$B$8&gt;0,INDEX('calcA'!DX$10:DX$54,'calcA'!$B$8),0)=1,8,IF(AND(H10="",IF('calcA'!$B$8&gt;0,INDEX('calcA'!DX$60:DX$104,'calcA'!$B$8),0)=1),9,IF(AND(H10&lt;&gt;"",IF('calcA'!$B$8&gt;0,INDEX('calcA'!DX$60:DX$104,'calcA'!$B$8),0)=1),10,IF(AND(H10="",'calcA'!DX$5=1),11,12))))))))))))</f>
        <v/>
      </c>
    </row>
    <row r="11" ht="26" customHeight="1">
      <c r="B11" s="47">
        <f>'設定'!$I$16</f>
        <v/>
      </c>
      <c r="C11" s="28" t="n"/>
      <c r="D11" s="28" t="n"/>
      <c r="E11" s="28" t="n"/>
      <c r="F11" s="28" t="n"/>
      <c r="G11" s="28" t="n"/>
      <c r="H11" s="28" t="n"/>
      <c r="J11" s="93" t="inlineStr">
        <is>
          <t>入れられる空き枠</t>
        </is>
      </c>
      <c r="K11" s="98">
        <f t="array" ref="K11">IFERROR(IF('calcA'!$B$8=0,"",_xlfn.TEXTJOIN("、",TRUE,IF((INDEX('calcA'!$D$60:$EQ$104,'calcA'!$B$8,0)=1)*('calcA'!$D$7:$EQ$7=0),'calcA'!$D$8:$EQ$8,""))),"")</f>
        <v/>
      </c>
      <c r="AA11">
        <f>IF(AND(C11="",'calcA'!I$115=0),0,IF(AND(C11&lt;&gt;"",'calcA'!I$4=0),1,IF(IF(C11="",0,IFERROR(INDEX('calcA'!I$10:I$54,MATCH(C11,'calcA'!$B$10:$B$54,0)),0))=1,2,IF(AND(C11&lt;&gt;"",COUNTIF($C$6:$H$29,C11)&gt;1),3,IF('calcA'!I$4=0,4,IF(AND(C11&lt;&gt;"",'calcA'!I$108=1),5,IF(AND(C11="",'calcA'!I$108=1),6,IF(AND(C11&lt;&gt;"",C11=$J$5),7,IF(IF('calcA'!$B$8&gt;0,INDEX('calcA'!I$10:I$54,'calcA'!$B$8),0)=1,8,IF(AND(C11="",IF('calcA'!$B$8&gt;0,INDEX('calcA'!I$60:I$104,'calcA'!$B$8),0)=1),9,IF(AND(C11&lt;&gt;"",IF('calcA'!$B$8&gt;0,INDEX('calcA'!I$60:I$104,'calcA'!$B$8),0)=1),10,IF(AND(C11="",'calcA'!I$5=1),11,12))))))))))))</f>
        <v/>
      </c>
      <c r="AB11">
        <f>IF(AND(D11="",'calcA'!AG$115=0),0,IF(AND(D11&lt;&gt;"",'calcA'!AG$4=0),1,IF(IF(D11="",0,IFERROR(INDEX('calcA'!AG$10:AG$54,MATCH(D11,'calcA'!$B$10:$B$54,0)),0))=1,2,IF(AND(D11&lt;&gt;"",COUNTIF($C$6:$H$29,D11)&gt;1),3,IF('calcA'!AG$4=0,4,IF(AND(D11&lt;&gt;"",'calcA'!AG$108=1),5,IF(AND(D11="",'calcA'!AG$108=1),6,IF(AND(D11&lt;&gt;"",D11=$J$5),7,IF(IF('calcA'!$B$8&gt;0,INDEX('calcA'!AG$10:AG$54,'calcA'!$B$8),0)=1,8,IF(AND(D11="",IF('calcA'!$B$8&gt;0,INDEX('calcA'!AG$60:AG$104,'calcA'!$B$8),0)=1),9,IF(AND(D11&lt;&gt;"",IF('calcA'!$B$8&gt;0,INDEX('calcA'!AG$60:AG$104,'calcA'!$B$8),0)=1),10,IF(AND(D11="",'calcA'!AG$5=1),11,12))))))))))))</f>
        <v/>
      </c>
      <c r="AC11">
        <f>IF(AND(E11="",'calcA'!BE$115=0),0,IF(AND(E11&lt;&gt;"",'calcA'!BE$4=0),1,IF(IF(E11="",0,IFERROR(INDEX('calcA'!BE$10:BE$54,MATCH(E11,'calcA'!$B$10:$B$54,0)),0))=1,2,IF(AND(E11&lt;&gt;"",COUNTIF($C$6:$H$29,E11)&gt;1),3,IF('calcA'!BE$4=0,4,IF(AND(E11&lt;&gt;"",'calcA'!BE$108=1),5,IF(AND(E11="",'calcA'!BE$108=1),6,IF(AND(E11&lt;&gt;"",E11=$J$5),7,IF(IF('calcA'!$B$8&gt;0,INDEX('calcA'!BE$10:BE$54,'calcA'!$B$8),0)=1,8,IF(AND(E11="",IF('calcA'!$B$8&gt;0,INDEX('calcA'!BE$60:BE$104,'calcA'!$B$8),0)=1),9,IF(AND(E11&lt;&gt;"",IF('calcA'!$B$8&gt;0,INDEX('calcA'!BE$60:BE$104,'calcA'!$B$8),0)=1),10,IF(AND(E11="",'calcA'!BE$5=1),11,12))))))))))))</f>
        <v/>
      </c>
      <c r="AD11">
        <f>IF(AND(F11="",'calcA'!CC$115=0),0,IF(AND(F11&lt;&gt;"",'calcA'!CC$4=0),1,IF(IF(F11="",0,IFERROR(INDEX('calcA'!CC$10:CC$54,MATCH(F11,'calcA'!$B$10:$B$54,0)),0))=1,2,IF(AND(F11&lt;&gt;"",COUNTIF($C$6:$H$29,F11)&gt;1),3,IF('calcA'!CC$4=0,4,IF(AND(F11&lt;&gt;"",'calcA'!CC$108=1),5,IF(AND(F11="",'calcA'!CC$108=1),6,IF(AND(F11&lt;&gt;"",F11=$J$5),7,IF(IF('calcA'!$B$8&gt;0,INDEX('calcA'!CC$10:CC$54,'calcA'!$B$8),0)=1,8,IF(AND(F11="",IF('calcA'!$B$8&gt;0,INDEX('calcA'!CC$60:CC$104,'calcA'!$B$8),0)=1),9,IF(AND(F11&lt;&gt;"",IF('calcA'!$B$8&gt;0,INDEX('calcA'!CC$60:CC$104,'calcA'!$B$8),0)=1),10,IF(AND(F11="",'calcA'!CC$5=1),11,12))))))))))))</f>
        <v/>
      </c>
      <c r="AE11">
        <f>IF(AND(G11="",'calcA'!DA$115=0),0,IF(AND(G11&lt;&gt;"",'calcA'!DA$4=0),1,IF(IF(G11="",0,IFERROR(INDEX('calcA'!DA$10:DA$54,MATCH(G11,'calcA'!$B$10:$B$54,0)),0))=1,2,IF(AND(G11&lt;&gt;"",COUNTIF($C$6:$H$29,G11)&gt;1),3,IF('calcA'!DA$4=0,4,IF(AND(G11&lt;&gt;"",'calcA'!DA$108=1),5,IF(AND(G11="",'calcA'!DA$108=1),6,IF(AND(G11&lt;&gt;"",G11=$J$5),7,IF(IF('calcA'!$B$8&gt;0,INDEX('calcA'!DA$10:DA$54,'calcA'!$B$8),0)=1,8,IF(AND(G11="",IF('calcA'!$B$8&gt;0,INDEX('calcA'!DA$60:DA$104,'calcA'!$B$8),0)=1),9,IF(AND(G11&lt;&gt;"",IF('calcA'!$B$8&gt;0,INDEX('calcA'!DA$60:DA$104,'calcA'!$B$8),0)=1),10,IF(AND(G11="",'calcA'!DA$5=1),11,12))))))))))))</f>
        <v/>
      </c>
      <c r="AF11">
        <f>IF(AND(H11="",'calcA'!DY$115=0),0,IF(AND(H11&lt;&gt;"",'calcA'!DY$4=0),1,IF(IF(H11="",0,IFERROR(INDEX('calcA'!DY$10:DY$54,MATCH(H11,'calcA'!$B$10:$B$54,0)),0))=1,2,IF(AND(H11&lt;&gt;"",COUNTIF($C$6:$H$29,H11)&gt;1),3,IF('calcA'!DY$4=0,4,IF(AND(H11&lt;&gt;"",'calcA'!DY$108=1),5,IF(AND(H11="",'calcA'!DY$108=1),6,IF(AND(H11&lt;&gt;"",H11=$J$5),7,IF(IF('calcA'!$B$8&gt;0,INDEX('calcA'!DY$10:DY$54,'calcA'!$B$8),0)=1,8,IF(AND(H11="",IF('calcA'!$B$8&gt;0,INDEX('calcA'!DY$60:DY$104,'calcA'!$B$8),0)=1),9,IF(AND(H11&lt;&gt;"",IF('calcA'!$B$8&gt;0,INDEX('calcA'!DY$60:DY$104,'calcA'!$B$8),0)=1),10,IF(AND(H11="",'calcA'!DY$5=1),11,12))))))))))))</f>
        <v/>
      </c>
    </row>
    <row r="12" ht="26" customHeight="1">
      <c r="B12" s="47">
        <f>'設定'!$I$17</f>
        <v/>
      </c>
      <c r="C12" s="28" t="n"/>
      <c r="D12" s="28" t="n"/>
      <c r="E12" s="28" t="n"/>
      <c r="F12" s="28" t="n"/>
      <c r="G12" s="28" t="n"/>
      <c r="H12" s="28" t="n"/>
      <c r="AA12">
        <f>IF(AND(C12="",'calcA'!J$115=0),0,IF(AND(C12&lt;&gt;"",'calcA'!J$4=0),1,IF(IF(C12="",0,IFERROR(INDEX('calcA'!J$10:J$54,MATCH(C12,'calcA'!$B$10:$B$54,0)),0))=1,2,IF(AND(C12&lt;&gt;"",COUNTIF($C$6:$H$29,C12)&gt;1),3,IF('calcA'!J$4=0,4,IF(AND(C12&lt;&gt;"",'calcA'!J$108=1),5,IF(AND(C12="",'calcA'!J$108=1),6,IF(AND(C12&lt;&gt;"",C12=$J$5),7,IF(IF('calcA'!$B$8&gt;0,INDEX('calcA'!J$10:J$54,'calcA'!$B$8),0)=1,8,IF(AND(C12="",IF('calcA'!$B$8&gt;0,INDEX('calcA'!J$60:J$104,'calcA'!$B$8),0)=1),9,IF(AND(C12&lt;&gt;"",IF('calcA'!$B$8&gt;0,INDEX('calcA'!J$60:J$104,'calcA'!$B$8),0)=1),10,IF(AND(C12="",'calcA'!J$5=1),11,12))))))))))))</f>
        <v/>
      </c>
      <c r="AB12">
        <f>IF(AND(D12="",'calcA'!AH$115=0),0,IF(AND(D12&lt;&gt;"",'calcA'!AH$4=0),1,IF(IF(D12="",0,IFERROR(INDEX('calcA'!AH$10:AH$54,MATCH(D12,'calcA'!$B$10:$B$54,0)),0))=1,2,IF(AND(D12&lt;&gt;"",COUNTIF($C$6:$H$29,D12)&gt;1),3,IF('calcA'!AH$4=0,4,IF(AND(D12&lt;&gt;"",'calcA'!AH$108=1),5,IF(AND(D12="",'calcA'!AH$108=1),6,IF(AND(D12&lt;&gt;"",D12=$J$5),7,IF(IF('calcA'!$B$8&gt;0,INDEX('calcA'!AH$10:AH$54,'calcA'!$B$8),0)=1,8,IF(AND(D12="",IF('calcA'!$B$8&gt;0,INDEX('calcA'!AH$60:AH$104,'calcA'!$B$8),0)=1),9,IF(AND(D12&lt;&gt;"",IF('calcA'!$B$8&gt;0,INDEX('calcA'!AH$60:AH$104,'calcA'!$B$8),0)=1),10,IF(AND(D12="",'calcA'!AH$5=1),11,12))))))))))))</f>
        <v/>
      </c>
      <c r="AC12">
        <f>IF(AND(E12="",'calcA'!BF$115=0),0,IF(AND(E12&lt;&gt;"",'calcA'!BF$4=0),1,IF(IF(E12="",0,IFERROR(INDEX('calcA'!BF$10:BF$54,MATCH(E12,'calcA'!$B$10:$B$54,0)),0))=1,2,IF(AND(E12&lt;&gt;"",COUNTIF($C$6:$H$29,E12)&gt;1),3,IF('calcA'!BF$4=0,4,IF(AND(E12&lt;&gt;"",'calcA'!BF$108=1),5,IF(AND(E12="",'calcA'!BF$108=1),6,IF(AND(E12&lt;&gt;"",E12=$J$5),7,IF(IF('calcA'!$B$8&gt;0,INDEX('calcA'!BF$10:BF$54,'calcA'!$B$8),0)=1,8,IF(AND(E12="",IF('calcA'!$B$8&gt;0,INDEX('calcA'!BF$60:BF$104,'calcA'!$B$8),0)=1),9,IF(AND(E12&lt;&gt;"",IF('calcA'!$B$8&gt;0,INDEX('calcA'!BF$60:BF$104,'calcA'!$B$8),0)=1),10,IF(AND(E12="",'calcA'!BF$5=1),11,12))))))))))))</f>
        <v/>
      </c>
      <c r="AD12">
        <f>IF(AND(F12="",'calcA'!CD$115=0),0,IF(AND(F12&lt;&gt;"",'calcA'!CD$4=0),1,IF(IF(F12="",0,IFERROR(INDEX('calcA'!CD$10:CD$54,MATCH(F12,'calcA'!$B$10:$B$54,0)),0))=1,2,IF(AND(F12&lt;&gt;"",COUNTIF($C$6:$H$29,F12)&gt;1),3,IF('calcA'!CD$4=0,4,IF(AND(F12&lt;&gt;"",'calcA'!CD$108=1),5,IF(AND(F12="",'calcA'!CD$108=1),6,IF(AND(F12&lt;&gt;"",F12=$J$5),7,IF(IF('calcA'!$B$8&gt;0,INDEX('calcA'!CD$10:CD$54,'calcA'!$B$8),0)=1,8,IF(AND(F12="",IF('calcA'!$B$8&gt;0,INDEX('calcA'!CD$60:CD$104,'calcA'!$B$8),0)=1),9,IF(AND(F12&lt;&gt;"",IF('calcA'!$B$8&gt;0,INDEX('calcA'!CD$60:CD$104,'calcA'!$B$8),0)=1),10,IF(AND(F12="",'calcA'!CD$5=1),11,12))))))))))))</f>
        <v/>
      </c>
      <c r="AE12">
        <f>IF(AND(G12="",'calcA'!DB$115=0),0,IF(AND(G12&lt;&gt;"",'calcA'!DB$4=0),1,IF(IF(G12="",0,IFERROR(INDEX('calcA'!DB$10:DB$54,MATCH(G12,'calcA'!$B$10:$B$54,0)),0))=1,2,IF(AND(G12&lt;&gt;"",COUNTIF($C$6:$H$29,G12)&gt;1),3,IF('calcA'!DB$4=0,4,IF(AND(G12&lt;&gt;"",'calcA'!DB$108=1),5,IF(AND(G12="",'calcA'!DB$108=1),6,IF(AND(G12&lt;&gt;"",G12=$J$5),7,IF(IF('calcA'!$B$8&gt;0,INDEX('calcA'!DB$10:DB$54,'calcA'!$B$8),0)=1,8,IF(AND(G12="",IF('calcA'!$B$8&gt;0,INDEX('calcA'!DB$60:DB$104,'calcA'!$B$8),0)=1),9,IF(AND(G12&lt;&gt;"",IF('calcA'!$B$8&gt;0,INDEX('calcA'!DB$60:DB$104,'calcA'!$B$8),0)=1),10,IF(AND(G12="",'calcA'!DB$5=1),11,12))))))))))))</f>
        <v/>
      </c>
      <c r="AF12">
        <f>IF(AND(H12="",'calcA'!DZ$115=0),0,IF(AND(H12&lt;&gt;"",'calcA'!DZ$4=0),1,IF(IF(H12="",0,IFERROR(INDEX('calcA'!DZ$10:DZ$54,MATCH(H12,'calcA'!$B$10:$B$54,0)),0))=1,2,IF(AND(H12&lt;&gt;"",COUNTIF($C$6:$H$29,H12)&gt;1),3,IF('calcA'!DZ$4=0,4,IF(AND(H12&lt;&gt;"",'calcA'!DZ$108=1),5,IF(AND(H12="",'calcA'!DZ$108=1),6,IF(AND(H12&lt;&gt;"",H12=$J$5),7,IF(IF('calcA'!$B$8&gt;0,INDEX('calcA'!DZ$10:DZ$54,'calcA'!$B$8),0)=1,8,IF(AND(H12="",IF('calcA'!$B$8&gt;0,INDEX('calcA'!DZ$60:DZ$104,'calcA'!$B$8),0)=1),9,IF(AND(H12&lt;&gt;"",IF('calcA'!$B$8&gt;0,INDEX('calcA'!DZ$60:DZ$104,'calcA'!$B$8),0)=1),10,IF(AND(H12="",'calcA'!DZ$5=1),11,12))))))))))))</f>
        <v/>
      </c>
    </row>
    <row r="13" ht="26" customHeight="1">
      <c r="B13" s="47">
        <f>'設定'!$I$18</f>
        <v/>
      </c>
      <c r="C13" s="28" t="n"/>
      <c r="D13" s="28" t="n"/>
      <c r="E13" s="28" t="n"/>
      <c r="F13" s="28" t="n"/>
      <c r="G13" s="28" t="n"/>
      <c r="H13" s="28" t="n"/>
      <c r="AA13">
        <f>IF(AND(C13="",'calcA'!K$115=0),0,IF(AND(C13&lt;&gt;"",'calcA'!K$4=0),1,IF(IF(C13="",0,IFERROR(INDEX('calcA'!K$10:K$54,MATCH(C13,'calcA'!$B$10:$B$54,0)),0))=1,2,IF(AND(C13&lt;&gt;"",COUNTIF($C$6:$H$29,C13)&gt;1),3,IF('calcA'!K$4=0,4,IF(AND(C13&lt;&gt;"",'calcA'!K$108=1),5,IF(AND(C13="",'calcA'!K$108=1),6,IF(AND(C13&lt;&gt;"",C13=$J$5),7,IF(IF('calcA'!$B$8&gt;0,INDEX('calcA'!K$10:K$54,'calcA'!$B$8),0)=1,8,IF(AND(C13="",IF('calcA'!$B$8&gt;0,INDEX('calcA'!K$60:K$104,'calcA'!$B$8),0)=1),9,IF(AND(C13&lt;&gt;"",IF('calcA'!$B$8&gt;0,INDEX('calcA'!K$60:K$104,'calcA'!$B$8),0)=1),10,IF(AND(C13="",'calcA'!K$5=1),11,12))))))))))))</f>
        <v/>
      </c>
      <c r="AB13">
        <f>IF(AND(D13="",'calcA'!AI$115=0),0,IF(AND(D13&lt;&gt;"",'calcA'!AI$4=0),1,IF(IF(D13="",0,IFERROR(INDEX('calcA'!AI$10:AI$54,MATCH(D13,'calcA'!$B$10:$B$54,0)),0))=1,2,IF(AND(D13&lt;&gt;"",COUNTIF($C$6:$H$29,D13)&gt;1),3,IF('calcA'!AI$4=0,4,IF(AND(D13&lt;&gt;"",'calcA'!AI$108=1),5,IF(AND(D13="",'calcA'!AI$108=1),6,IF(AND(D13&lt;&gt;"",D13=$J$5),7,IF(IF('calcA'!$B$8&gt;0,INDEX('calcA'!AI$10:AI$54,'calcA'!$B$8),0)=1,8,IF(AND(D13="",IF('calcA'!$B$8&gt;0,INDEX('calcA'!AI$60:AI$104,'calcA'!$B$8),0)=1),9,IF(AND(D13&lt;&gt;"",IF('calcA'!$B$8&gt;0,INDEX('calcA'!AI$60:AI$104,'calcA'!$B$8),0)=1),10,IF(AND(D13="",'calcA'!AI$5=1),11,12))))))))))))</f>
        <v/>
      </c>
      <c r="AC13">
        <f>IF(AND(E13="",'calcA'!BG$115=0),0,IF(AND(E13&lt;&gt;"",'calcA'!BG$4=0),1,IF(IF(E13="",0,IFERROR(INDEX('calcA'!BG$10:BG$54,MATCH(E13,'calcA'!$B$10:$B$54,0)),0))=1,2,IF(AND(E13&lt;&gt;"",COUNTIF($C$6:$H$29,E13)&gt;1),3,IF('calcA'!BG$4=0,4,IF(AND(E13&lt;&gt;"",'calcA'!BG$108=1),5,IF(AND(E13="",'calcA'!BG$108=1),6,IF(AND(E13&lt;&gt;"",E13=$J$5),7,IF(IF('calcA'!$B$8&gt;0,INDEX('calcA'!BG$10:BG$54,'calcA'!$B$8),0)=1,8,IF(AND(E13="",IF('calcA'!$B$8&gt;0,INDEX('calcA'!BG$60:BG$104,'calcA'!$B$8),0)=1),9,IF(AND(E13&lt;&gt;"",IF('calcA'!$B$8&gt;0,INDEX('calcA'!BG$60:BG$104,'calcA'!$B$8),0)=1),10,IF(AND(E13="",'calcA'!BG$5=1),11,12))))))))))))</f>
        <v/>
      </c>
      <c r="AD13">
        <f>IF(AND(F13="",'calcA'!CE$115=0),0,IF(AND(F13&lt;&gt;"",'calcA'!CE$4=0),1,IF(IF(F13="",0,IFERROR(INDEX('calcA'!CE$10:CE$54,MATCH(F13,'calcA'!$B$10:$B$54,0)),0))=1,2,IF(AND(F13&lt;&gt;"",COUNTIF($C$6:$H$29,F13)&gt;1),3,IF('calcA'!CE$4=0,4,IF(AND(F13&lt;&gt;"",'calcA'!CE$108=1),5,IF(AND(F13="",'calcA'!CE$108=1),6,IF(AND(F13&lt;&gt;"",F13=$J$5),7,IF(IF('calcA'!$B$8&gt;0,INDEX('calcA'!CE$10:CE$54,'calcA'!$B$8),0)=1,8,IF(AND(F13="",IF('calcA'!$B$8&gt;0,INDEX('calcA'!CE$60:CE$104,'calcA'!$B$8),0)=1),9,IF(AND(F13&lt;&gt;"",IF('calcA'!$B$8&gt;0,INDEX('calcA'!CE$60:CE$104,'calcA'!$B$8),0)=1),10,IF(AND(F13="",'calcA'!CE$5=1),11,12))))))))))))</f>
        <v/>
      </c>
      <c r="AE13">
        <f>IF(AND(G13="",'calcA'!DC$115=0),0,IF(AND(G13&lt;&gt;"",'calcA'!DC$4=0),1,IF(IF(G13="",0,IFERROR(INDEX('calcA'!DC$10:DC$54,MATCH(G13,'calcA'!$B$10:$B$54,0)),0))=1,2,IF(AND(G13&lt;&gt;"",COUNTIF($C$6:$H$29,G13)&gt;1),3,IF('calcA'!DC$4=0,4,IF(AND(G13&lt;&gt;"",'calcA'!DC$108=1),5,IF(AND(G13="",'calcA'!DC$108=1),6,IF(AND(G13&lt;&gt;"",G13=$J$5),7,IF(IF('calcA'!$B$8&gt;0,INDEX('calcA'!DC$10:DC$54,'calcA'!$B$8),0)=1,8,IF(AND(G13="",IF('calcA'!$B$8&gt;0,INDEX('calcA'!DC$60:DC$104,'calcA'!$B$8),0)=1),9,IF(AND(G13&lt;&gt;"",IF('calcA'!$B$8&gt;0,INDEX('calcA'!DC$60:DC$104,'calcA'!$B$8),0)=1),10,IF(AND(G13="",'calcA'!DC$5=1),11,12))))))))))))</f>
        <v/>
      </c>
      <c r="AF13">
        <f>IF(AND(H13="",'calcA'!EA$115=0),0,IF(AND(H13&lt;&gt;"",'calcA'!EA$4=0),1,IF(IF(H13="",0,IFERROR(INDEX('calcA'!EA$10:EA$54,MATCH(H13,'calcA'!$B$10:$B$54,0)),0))=1,2,IF(AND(H13&lt;&gt;"",COUNTIF($C$6:$H$29,H13)&gt;1),3,IF('calcA'!EA$4=0,4,IF(AND(H13&lt;&gt;"",'calcA'!EA$108=1),5,IF(AND(H13="",'calcA'!EA$108=1),6,IF(AND(H13&lt;&gt;"",H13=$J$5),7,IF(IF('calcA'!$B$8&gt;0,INDEX('calcA'!EA$10:EA$54,'calcA'!$B$8),0)=1,8,IF(AND(H13="",IF('calcA'!$B$8&gt;0,INDEX('calcA'!EA$60:EA$104,'calcA'!$B$8),0)=1),9,IF(AND(H13&lt;&gt;"",IF('calcA'!$B$8&gt;0,INDEX('calcA'!EA$60:EA$104,'calcA'!$B$8),0)=1),10,IF(AND(H13="",'calcA'!EA$5=1),11,12))))))))))))</f>
        <v/>
      </c>
    </row>
    <row r="14" ht="26" customHeight="1">
      <c r="B14" s="47">
        <f>'設定'!$I$19</f>
        <v/>
      </c>
      <c r="C14" s="28" t="n"/>
      <c r="D14" s="28" t="n"/>
      <c r="E14" s="28" t="n"/>
      <c r="F14" s="28" t="n"/>
      <c r="G14" s="28" t="n"/>
      <c r="H14" s="28" t="n"/>
      <c r="AA14">
        <f>IF(AND(C14="",'calcA'!L$115=0),0,IF(AND(C14&lt;&gt;"",'calcA'!L$4=0),1,IF(IF(C14="",0,IFERROR(INDEX('calcA'!L$10:L$54,MATCH(C14,'calcA'!$B$10:$B$54,0)),0))=1,2,IF(AND(C14&lt;&gt;"",COUNTIF($C$6:$H$29,C14)&gt;1),3,IF('calcA'!L$4=0,4,IF(AND(C14&lt;&gt;"",'calcA'!L$108=1),5,IF(AND(C14="",'calcA'!L$108=1),6,IF(AND(C14&lt;&gt;"",C14=$J$5),7,IF(IF('calcA'!$B$8&gt;0,INDEX('calcA'!L$10:L$54,'calcA'!$B$8),0)=1,8,IF(AND(C14="",IF('calcA'!$B$8&gt;0,INDEX('calcA'!L$60:L$104,'calcA'!$B$8),0)=1),9,IF(AND(C14&lt;&gt;"",IF('calcA'!$B$8&gt;0,INDEX('calcA'!L$60:L$104,'calcA'!$B$8),0)=1),10,IF(AND(C14="",'calcA'!L$5=1),11,12))))))))))))</f>
        <v/>
      </c>
      <c r="AB14">
        <f>IF(AND(D14="",'calcA'!AJ$115=0),0,IF(AND(D14&lt;&gt;"",'calcA'!AJ$4=0),1,IF(IF(D14="",0,IFERROR(INDEX('calcA'!AJ$10:AJ$54,MATCH(D14,'calcA'!$B$10:$B$54,0)),0))=1,2,IF(AND(D14&lt;&gt;"",COUNTIF($C$6:$H$29,D14)&gt;1),3,IF('calcA'!AJ$4=0,4,IF(AND(D14&lt;&gt;"",'calcA'!AJ$108=1),5,IF(AND(D14="",'calcA'!AJ$108=1),6,IF(AND(D14&lt;&gt;"",D14=$J$5),7,IF(IF('calcA'!$B$8&gt;0,INDEX('calcA'!AJ$10:AJ$54,'calcA'!$B$8),0)=1,8,IF(AND(D14="",IF('calcA'!$B$8&gt;0,INDEX('calcA'!AJ$60:AJ$104,'calcA'!$B$8),0)=1),9,IF(AND(D14&lt;&gt;"",IF('calcA'!$B$8&gt;0,INDEX('calcA'!AJ$60:AJ$104,'calcA'!$B$8),0)=1),10,IF(AND(D14="",'calcA'!AJ$5=1),11,12))))))))))))</f>
        <v/>
      </c>
      <c r="AC14">
        <f>IF(AND(E14="",'calcA'!BH$115=0),0,IF(AND(E14&lt;&gt;"",'calcA'!BH$4=0),1,IF(IF(E14="",0,IFERROR(INDEX('calcA'!BH$10:BH$54,MATCH(E14,'calcA'!$B$10:$B$54,0)),0))=1,2,IF(AND(E14&lt;&gt;"",COUNTIF($C$6:$H$29,E14)&gt;1),3,IF('calcA'!BH$4=0,4,IF(AND(E14&lt;&gt;"",'calcA'!BH$108=1),5,IF(AND(E14="",'calcA'!BH$108=1),6,IF(AND(E14&lt;&gt;"",E14=$J$5),7,IF(IF('calcA'!$B$8&gt;0,INDEX('calcA'!BH$10:BH$54,'calcA'!$B$8),0)=1,8,IF(AND(E14="",IF('calcA'!$B$8&gt;0,INDEX('calcA'!BH$60:BH$104,'calcA'!$B$8),0)=1),9,IF(AND(E14&lt;&gt;"",IF('calcA'!$B$8&gt;0,INDEX('calcA'!BH$60:BH$104,'calcA'!$B$8),0)=1),10,IF(AND(E14="",'calcA'!BH$5=1),11,12))))))))))))</f>
        <v/>
      </c>
      <c r="AD14">
        <f>IF(AND(F14="",'calcA'!CF$115=0),0,IF(AND(F14&lt;&gt;"",'calcA'!CF$4=0),1,IF(IF(F14="",0,IFERROR(INDEX('calcA'!CF$10:CF$54,MATCH(F14,'calcA'!$B$10:$B$54,0)),0))=1,2,IF(AND(F14&lt;&gt;"",COUNTIF($C$6:$H$29,F14)&gt;1),3,IF('calcA'!CF$4=0,4,IF(AND(F14&lt;&gt;"",'calcA'!CF$108=1),5,IF(AND(F14="",'calcA'!CF$108=1),6,IF(AND(F14&lt;&gt;"",F14=$J$5),7,IF(IF('calcA'!$B$8&gt;0,INDEX('calcA'!CF$10:CF$54,'calcA'!$B$8),0)=1,8,IF(AND(F14="",IF('calcA'!$B$8&gt;0,INDEX('calcA'!CF$60:CF$104,'calcA'!$B$8),0)=1),9,IF(AND(F14&lt;&gt;"",IF('calcA'!$B$8&gt;0,INDEX('calcA'!CF$60:CF$104,'calcA'!$B$8),0)=1),10,IF(AND(F14="",'calcA'!CF$5=1),11,12))))))))))))</f>
        <v/>
      </c>
      <c r="AE14">
        <f>IF(AND(G14="",'calcA'!DD$115=0),0,IF(AND(G14&lt;&gt;"",'calcA'!DD$4=0),1,IF(IF(G14="",0,IFERROR(INDEX('calcA'!DD$10:DD$54,MATCH(G14,'calcA'!$B$10:$B$54,0)),0))=1,2,IF(AND(G14&lt;&gt;"",COUNTIF($C$6:$H$29,G14)&gt;1),3,IF('calcA'!DD$4=0,4,IF(AND(G14&lt;&gt;"",'calcA'!DD$108=1),5,IF(AND(G14="",'calcA'!DD$108=1),6,IF(AND(G14&lt;&gt;"",G14=$J$5),7,IF(IF('calcA'!$B$8&gt;0,INDEX('calcA'!DD$10:DD$54,'calcA'!$B$8),0)=1,8,IF(AND(G14="",IF('calcA'!$B$8&gt;0,INDEX('calcA'!DD$60:DD$104,'calcA'!$B$8),0)=1),9,IF(AND(G14&lt;&gt;"",IF('calcA'!$B$8&gt;0,INDEX('calcA'!DD$60:DD$104,'calcA'!$B$8),0)=1),10,IF(AND(G14="",'calcA'!DD$5=1),11,12))))))))))))</f>
        <v/>
      </c>
      <c r="AF14">
        <f>IF(AND(H14="",'calcA'!EB$115=0),0,IF(AND(H14&lt;&gt;"",'calcA'!EB$4=0),1,IF(IF(H14="",0,IFERROR(INDEX('calcA'!EB$10:EB$54,MATCH(H14,'calcA'!$B$10:$B$54,0)),0))=1,2,IF(AND(H14&lt;&gt;"",COUNTIF($C$6:$H$29,H14)&gt;1),3,IF('calcA'!EB$4=0,4,IF(AND(H14&lt;&gt;"",'calcA'!EB$108=1),5,IF(AND(H14="",'calcA'!EB$108=1),6,IF(AND(H14&lt;&gt;"",H14=$J$5),7,IF(IF('calcA'!$B$8&gt;0,INDEX('calcA'!EB$10:EB$54,'calcA'!$B$8),0)=1,8,IF(AND(H14="",IF('calcA'!$B$8&gt;0,INDEX('calcA'!EB$60:EB$104,'calcA'!$B$8),0)=1),9,IF(AND(H14&lt;&gt;"",IF('calcA'!$B$8&gt;0,INDEX('calcA'!EB$60:EB$104,'calcA'!$B$8),0)=1),10,IF(AND(H14="",'calcA'!EB$5=1),11,12))))))))))))</f>
        <v/>
      </c>
    </row>
    <row r="15" ht="26" customHeight="1">
      <c r="B15" s="47">
        <f>'設定'!$I$20</f>
        <v/>
      </c>
      <c r="C15" s="28" t="n"/>
      <c r="D15" s="28" t="n"/>
      <c r="E15" s="28" t="n"/>
      <c r="F15" s="28" t="n"/>
      <c r="G15" s="28" t="n"/>
      <c r="H15" s="28" t="n"/>
      <c r="AA15">
        <f>IF(AND(C15="",'calcA'!M$115=0),0,IF(AND(C15&lt;&gt;"",'calcA'!M$4=0),1,IF(IF(C15="",0,IFERROR(INDEX('calcA'!M$10:M$54,MATCH(C15,'calcA'!$B$10:$B$54,0)),0))=1,2,IF(AND(C15&lt;&gt;"",COUNTIF($C$6:$H$29,C15)&gt;1),3,IF('calcA'!M$4=0,4,IF(AND(C15&lt;&gt;"",'calcA'!M$108=1),5,IF(AND(C15="",'calcA'!M$108=1),6,IF(AND(C15&lt;&gt;"",C15=$J$5),7,IF(IF('calcA'!$B$8&gt;0,INDEX('calcA'!M$10:M$54,'calcA'!$B$8),0)=1,8,IF(AND(C15="",IF('calcA'!$B$8&gt;0,INDEX('calcA'!M$60:M$104,'calcA'!$B$8),0)=1),9,IF(AND(C15&lt;&gt;"",IF('calcA'!$B$8&gt;0,INDEX('calcA'!M$60:M$104,'calcA'!$B$8),0)=1),10,IF(AND(C15="",'calcA'!M$5=1),11,12))))))))))))</f>
        <v/>
      </c>
      <c r="AB15">
        <f>IF(AND(D15="",'calcA'!AK$115=0),0,IF(AND(D15&lt;&gt;"",'calcA'!AK$4=0),1,IF(IF(D15="",0,IFERROR(INDEX('calcA'!AK$10:AK$54,MATCH(D15,'calcA'!$B$10:$B$54,0)),0))=1,2,IF(AND(D15&lt;&gt;"",COUNTIF($C$6:$H$29,D15)&gt;1),3,IF('calcA'!AK$4=0,4,IF(AND(D15&lt;&gt;"",'calcA'!AK$108=1),5,IF(AND(D15="",'calcA'!AK$108=1),6,IF(AND(D15&lt;&gt;"",D15=$J$5),7,IF(IF('calcA'!$B$8&gt;0,INDEX('calcA'!AK$10:AK$54,'calcA'!$B$8),0)=1,8,IF(AND(D15="",IF('calcA'!$B$8&gt;0,INDEX('calcA'!AK$60:AK$104,'calcA'!$B$8),0)=1),9,IF(AND(D15&lt;&gt;"",IF('calcA'!$B$8&gt;0,INDEX('calcA'!AK$60:AK$104,'calcA'!$B$8),0)=1),10,IF(AND(D15="",'calcA'!AK$5=1),11,12))))))))))))</f>
        <v/>
      </c>
      <c r="AC15">
        <f>IF(AND(E15="",'calcA'!BI$115=0),0,IF(AND(E15&lt;&gt;"",'calcA'!BI$4=0),1,IF(IF(E15="",0,IFERROR(INDEX('calcA'!BI$10:BI$54,MATCH(E15,'calcA'!$B$10:$B$54,0)),0))=1,2,IF(AND(E15&lt;&gt;"",COUNTIF($C$6:$H$29,E15)&gt;1),3,IF('calcA'!BI$4=0,4,IF(AND(E15&lt;&gt;"",'calcA'!BI$108=1),5,IF(AND(E15="",'calcA'!BI$108=1),6,IF(AND(E15&lt;&gt;"",E15=$J$5),7,IF(IF('calcA'!$B$8&gt;0,INDEX('calcA'!BI$10:BI$54,'calcA'!$B$8),0)=1,8,IF(AND(E15="",IF('calcA'!$B$8&gt;0,INDEX('calcA'!BI$60:BI$104,'calcA'!$B$8),0)=1),9,IF(AND(E15&lt;&gt;"",IF('calcA'!$B$8&gt;0,INDEX('calcA'!BI$60:BI$104,'calcA'!$B$8),0)=1),10,IF(AND(E15="",'calcA'!BI$5=1),11,12))))))))))))</f>
        <v/>
      </c>
      <c r="AD15">
        <f>IF(AND(F15="",'calcA'!CG$115=0),0,IF(AND(F15&lt;&gt;"",'calcA'!CG$4=0),1,IF(IF(F15="",0,IFERROR(INDEX('calcA'!CG$10:CG$54,MATCH(F15,'calcA'!$B$10:$B$54,0)),0))=1,2,IF(AND(F15&lt;&gt;"",COUNTIF($C$6:$H$29,F15)&gt;1),3,IF('calcA'!CG$4=0,4,IF(AND(F15&lt;&gt;"",'calcA'!CG$108=1),5,IF(AND(F15="",'calcA'!CG$108=1),6,IF(AND(F15&lt;&gt;"",F15=$J$5),7,IF(IF('calcA'!$B$8&gt;0,INDEX('calcA'!CG$10:CG$54,'calcA'!$B$8),0)=1,8,IF(AND(F15="",IF('calcA'!$B$8&gt;0,INDEX('calcA'!CG$60:CG$104,'calcA'!$B$8),0)=1),9,IF(AND(F15&lt;&gt;"",IF('calcA'!$B$8&gt;0,INDEX('calcA'!CG$60:CG$104,'calcA'!$B$8),0)=1),10,IF(AND(F15="",'calcA'!CG$5=1),11,12))))))))))))</f>
        <v/>
      </c>
      <c r="AE15">
        <f>IF(AND(G15="",'calcA'!DE$115=0),0,IF(AND(G15&lt;&gt;"",'calcA'!DE$4=0),1,IF(IF(G15="",0,IFERROR(INDEX('calcA'!DE$10:DE$54,MATCH(G15,'calcA'!$B$10:$B$54,0)),0))=1,2,IF(AND(G15&lt;&gt;"",COUNTIF($C$6:$H$29,G15)&gt;1),3,IF('calcA'!DE$4=0,4,IF(AND(G15&lt;&gt;"",'calcA'!DE$108=1),5,IF(AND(G15="",'calcA'!DE$108=1),6,IF(AND(G15&lt;&gt;"",G15=$J$5),7,IF(IF('calcA'!$B$8&gt;0,INDEX('calcA'!DE$10:DE$54,'calcA'!$B$8),0)=1,8,IF(AND(G15="",IF('calcA'!$B$8&gt;0,INDEX('calcA'!DE$60:DE$104,'calcA'!$B$8),0)=1),9,IF(AND(G15&lt;&gt;"",IF('calcA'!$B$8&gt;0,INDEX('calcA'!DE$60:DE$104,'calcA'!$B$8),0)=1),10,IF(AND(G15="",'calcA'!DE$5=1),11,12))))))))))))</f>
        <v/>
      </c>
      <c r="AF15">
        <f>IF(AND(H15="",'calcA'!EC$115=0),0,IF(AND(H15&lt;&gt;"",'calcA'!EC$4=0),1,IF(IF(H15="",0,IFERROR(INDEX('calcA'!EC$10:EC$54,MATCH(H15,'calcA'!$B$10:$B$54,0)),0))=1,2,IF(AND(H15&lt;&gt;"",COUNTIF($C$6:$H$29,H15)&gt;1),3,IF('calcA'!EC$4=0,4,IF(AND(H15&lt;&gt;"",'calcA'!EC$108=1),5,IF(AND(H15="",'calcA'!EC$108=1),6,IF(AND(H15&lt;&gt;"",H15=$J$5),7,IF(IF('calcA'!$B$8&gt;0,INDEX('calcA'!EC$10:EC$54,'calcA'!$B$8),0)=1,8,IF(AND(H15="",IF('calcA'!$B$8&gt;0,INDEX('calcA'!EC$60:EC$104,'calcA'!$B$8),0)=1),9,IF(AND(H15&lt;&gt;"",IF('calcA'!$B$8&gt;0,INDEX('calcA'!EC$60:EC$104,'calcA'!$B$8),0)=1),10,IF(AND(H15="",'calcA'!EC$5=1),11,12))))))))))))</f>
        <v/>
      </c>
    </row>
    <row r="16" ht="26" customHeight="1">
      <c r="B16" s="47">
        <f>'設定'!$I$21</f>
        <v/>
      </c>
      <c r="C16" s="28" t="n"/>
      <c r="D16" s="28" t="n"/>
      <c r="E16" s="28" t="n"/>
      <c r="F16" s="28" t="n"/>
      <c r="G16" s="28" t="n"/>
      <c r="H16" s="28" t="n"/>
      <c r="AA16">
        <f>IF(AND(C16="",'calcA'!N$115=0),0,IF(AND(C16&lt;&gt;"",'calcA'!N$4=0),1,IF(IF(C16="",0,IFERROR(INDEX('calcA'!N$10:N$54,MATCH(C16,'calcA'!$B$10:$B$54,0)),0))=1,2,IF(AND(C16&lt;&gt;"",COUNTIF($C$6:$H$29,C16)&gt;1),3,IF('calcA'!N$4=0,4,IF(AND(C16&lt;&gt;"",'calcA'!N$108=1),5,IF(AND(C16="",'calcA'!N$108=1),6,IF(AND(C16&lt;&gt;"",C16=$J$5),7,IF(IF('calcA'!$B$8&gt;0,INDEX('calcA'!N$10:N$54,'calcA'!$B$8),0)=1,8,IF(AND(C16="",IF('calcA'!$B$8&gt;0,INDEX('calcA'!N$60:N$104,'calcA'!$B$8),0)=1),9,IF(AND(C16&lt;&gt;"",IF('calcA'!$B$8&gt;0,INDEX('calcA'!N$60:N$104,'calcA'!$B$8),0)=1),10,IF(AND(C16="",'calcA'!N$5=1),11,12))))))))))))</f>
        <v/>
      </c>
      <c r="AB16">
        <f>IF(AND(D16="",'calcA'!AL$115=0),0,IF(AND(D16&lt;&gt;"",'calcA'!AL$4=0),1,IF(IF(D16="",0,IFERROR(INDEX('calcA'!AL$10:AL$54,MATCH(D16,'calcA'!$B$10:$B$54,0)),0))=1,2,IF(AND(D16&lt;&gt;"",COUNTIF($C$6:$H$29,D16)&gt;1),3,IF('calcA'!AL$4=0,4,IF(AND(D16&lt;&gt;"",'calcA'!AL$108=1),5,IF(AND(D16="",'calcA'!AL$108=1),6,IF(AND(D16&lt;&gt;"",D16=$J$5),7,IF(IF('calcA'!$B$8&gt;0,INDEX('calcA'!AL$10:AL$54,'calcA'!$B$8),0)=1,8,IF(AND(D16="",IF('calcA'!$B$8&gt;0,INDEX('calcA'!AL$60:AL$104,'calcA'!$B$8),0)=1),9,IF(AND(D16&lt;&gt;"",IF('calcA'!$B$8&gt;0,INDEX('calcA'!AL$60:AL$104,'calcA'!$B$8),0)=1),10,IF(AND(D16="",'calcA'!AL$5=1),11,12))))))))))))</f>
        <v/>
      </c>
      <c r="AC16">
        <f>IF(AND(E16="",'calcA'!BJ$115=0),0,IF(AND(E16&lt;&gt;"",'calcA'!BJ$4=0),1,IF(IF(E16="",0,IFERROR(INDEX('calcA'!BJ$10:BJ$54,MATCH(E16,'calcA'!$B$10:$B$54,0)),0))=1,2,IF(AND(E16&lt;&gt;"",COUNTIF($C$6:$H$29,E16)&gt;1),3,IF('calcA'!BJ$4=0,4,IF(AND(E16&lt;&gt;"",'calcA'!BJ$108=1),5,IF(AND(E16="",'calcA'!BJ$108=1),6,IF(AND(E16&lt;&gt;"",E16=$J$5),7,IF(IF('calcA'!$B$8&gt;0,INDEX('calcA'!BJ$10:BJ$54,'calcA'!$B$8),0)=1,8,IF(AND(E16="",IF('calcA'!$B$8&gt;0,INDEX('calcA'!BJ$60:BJ$104,'calcA'!$B$8),0)=1),9,IF(AND(E16&lt;&gt;"",IF('calcA'!$B$8&gt;0,INDEX('calcA'!BJ$60:BJ$104,'calcA'!$B$8),0)=1),10,IF(AND(E16="",'calcA'!BJ$5=1),11,12))))))))))))</f>
        <v/>
      </c>
      <c r="AD16">
        <f>IF(AND(F16="",'calcA'!CH$115=0),0,IF(AND(F16&lt;&gt;"",'calcA'!CH$4=0),1,IF(IF(F16="",0,IFERROR(INDEX('calcA'!CH$10:CH$54,MATCH(F16,'calcA'!$B$10:$B$54,0)),0))=1,2,IF(AND(F16&lt;&gt;"",COUNTIF($C$6:$H$29,F16)&gt;1),3,IF('calcA'!CH$4=0,4,IF(AND(F16&lt;&gt;"",'calcA'!CH$108=1),5,IF(AND(F16="",'calcA'!CH$108=1),6,IF(AND(F16&lt;&gt;"",F16=$J$5),7,IF(IF('calcA'!$B$8&gt;0,INDEX('calcA'!CH$10:CH$54,'calcA'!$B$8),0)=1,8,IF(AND(F16="",IF('calcA'!$B$8&gt;0,INDEX('calcA'!CH$60:CH$104,'calcA'!$B$8),0)=1),9,IF(AND(F16&lt;&gt;"",IF('calcA'!$B$8&gt;0,INDEX('calcA'!CH$60:CH$104,'calcA'!$B$8),0)=1),10,IF(AND(F16="",'calcA'!CH$5=1),11,12))))))))))))</f>
        <v/>
      </c>
      <c r="AE16">
        <f>IF(AND(G16="",'calcA'!DF$115=0),0,IF(AND(G16&lt;&gt;"",'calcA'!DF$4=0),1,IF(IF(G16="",0,IFERROR(INDEX('calcA'!DF$10:DF$54,MATCH(G16,'calcA'!$B$10:$B$54,0)),0))=1,2,IF(AND(G16&lt;&gt;"",COUNTIF($C$6:$H$29,G16)&gt;1),3,IF('calcA'!DF$4=0,4,IF(AND(G16&lt;&gt;"",'calcA'!DF$108=1),5,IF(AND(G16="",'calcA'!DF$108=1),6,IF(AND(G16&lt;&gt;"",G16=$J$5),7,IF(IF('calcA'!$B$8&gt;0,INDEX('calcA'!DF$10:DF$54,'calcA'!$B$8),0)=1,8,IF(AND(G16="",IF('calcA'!$B$8&gt;0,INDEX('calcA'!DF$60:DF$104,'calcA'!$B$8),0)=1),9,IF(AND(G16&lt;&gt;"",IF('calcA'!$B$8&gt;0,INDEX('calcA'!DF$60:DF$104,'calcA'!$B$8),0)=1),10,IF(AND(G16="",'calcA'!DF$5=1),11,12))))))))))))</f>
        <v/>
      </c>
      <c r="AF16">
        <f>IF(AND(H16="",'calcA'!ED$115=0),0,IF(AND(H16&lt;&gt;"",'calcA'!ED$4=0),1,IF(IF(H16="",0,IFERROR(INDEX('calcA'!ED$10:ED$54,MATCH(H16,'calcA'!$B$10:$B$54,0)),0))=1,2,IF(AND(H16&lt;&gt;"",COUNTIF($C$6:$H$29,H16)&gt;1),3,IF('calcA'!ED$4=0,4,IF(AND(H16&lt;&gt;"",'calcA'!ED$108=1),5,IF(AND(H16="",'calcA'!ED$108=1),6,IF(AND(H16&lt;&gt;"",H16=$J$5),7,IF(IF('calcA'!$B$8&gt;0,INDEX('calcA'!ED$10:ED$54,'calcA'!$B$8),0)=1,8,IF(AND(H16="",IF('calcA'!$B$8&gt;0,INDEX('calcA'!ED$60:ED$104,'calcA'!$B$8),0)=1),9,IF(AND(H16&lt;&gt;"",IF('calcA'!$B$8&gt;0,INDEX('calcA'!ED$60:ED$104,'calcA'!$B$8),0)=1),10,IF(AND(H16="",'calcA'!ED$5=1),11,12))))))))))))</f>
        <v/>
      </c>
    </row>
    <row r="17" ht="26" customHeight="1">
      <c r="B17" s="47">
        <f>'設定'!$I$22</f>
        <v/>
      </c>
      <c r="C17" s="28" t="n"/>
      <c r="D17" s="28" t="n"/>
      <c r="E17" s="28" t="n"/>
      <c r="F17" s="28" t="n"/>
      <c r="G17" s="28" t="n"/>
      <c r="H17" s="28" t="n"/>
      <c r="AA17">
        <f>IF(AND(C17="",'calcA'!O$115=0),0,IF(AND(C17&lt;&gt;"",'calcA'!O$4=0),1,IF(IF(C17="",0,IFERROR(INDEX('calcA'!O$10:O$54,MATCH(C17,'calcA'!$B$10:$B$54,0)),0))=1,2,IF(AND(C17&lt;&gt;"",COUNTIF($C$6:$H$29,C17)&gt;1),3,IF('calcA'!O$4=0,4,IF(AND(C17&lt;&gt;"",'calcA'!O$108=1),5,IF(AND(C17="",'calcA'!O$108=1),6,IF(AND(C17&lt;&gt;"",C17=$J$5),7,IF(IF('calcA'!$B$8&gt;0,INDEX('calcA'!O$10:O$54,'calcA'!$B$8),0)=1,8,IF(AND(C17="",IF('calcA'!$B$8&gt;0,INDEX('calcA'!O$60:O$104,'calcA'!$B$8),0)=1),9,IF(AND(C17&lt;&gt;"",IF('calcA'!$B$8&gt;0,INDEX('calcA'!O$60:O$104,'calcA'!$B$8),0)=1),10,IF(AND(C17="",'calcA'!O$5=1),11,12))))))))))))</f>
        <v/>
      </c>
      <c r="AB17">
        <f>IF(AND(D17="",'calcA'!AM$115=0),0,IF(AND(D17&lt;&gt;"",'calcA'!AM$4=0),1,IF(IF(D17="",0,IFERROR(INDEX('calcA'!AM$10:AM$54,MATCH(D17,'calcA'!$B$10:$B$54,0)),0))=1,2,IF(AND(D17&lt;&gt;"",COUNTIF($C$6:$H$29,D17)&gt;1),3,IF('calcA'!AM$4=0,4,IF(AND(D17&lt;&gt;"",'calcA'!AM$108=1),5,IF(AND(D17="",'calcA'!AM$108=1),6,IF(AND(D17&lt;&gt;"",D17=$J$5),7,IF(IF('calcA'!$B$8&gt;0,INDEX('calcA'!AM$10:AM$54,'calcA'!$B$8),0)=1,8,IF(AND(D17="",IF('calcA'!$B$8&gt;0,INDEX('calcA'!AM$60:AM$104,'calcA'!$B$8),0)=1),9,IF(AND(D17&lt;&gt;"",IF('calcA'!$B$8&gt;0,INDEX('calcA'!AM$60:AM$104,'calcA'!$B$8),0)=1),10,IF(AND(D17="",'calcA'!AM$5=1),11,12))))))))))))</f>
        <v/>
      </c>
      <c r="AC17">
        <f>IF(AND(E17="",'calcA'!BK$115=0),0,IF(AND(E17&lt;&gt;"",'calcA'!BK$4=0),1,IF(IF(E17="",0,IFERROR(INDEX('calcA'!BK$10:BK$54,MATCH(E17,'calcA'!$B$10:$B$54,0)),0))=1,2,IF(AND(E17&lt;&gt;"",COUNTIF($C$6:$H$29,E17)&gt;1),3,IF('calcA'!BK$4=0,4,IF(AND(E17&lt;&gt;"",'calcA'!BK$108=1),5,IF(AND(E17="",'calcA'!BK$108=1),6,IF(AND(E17&lt;&gt;"",E17=$J$5),7,IF(IF('calcA'!$B$8&gt;0,INDEX('calcA'!BK$10:BK$54,'calcA'!$B$8),0)=1,8,IF(AND(E17="",IF('calcA'!$B$8&gt;0,INDEX('calcA'!BK$60:BK$104,'calcA'!$B$8),0)=1),9,IF(AND(E17&lt;&gt;"",IF('calcA'!$B$8&gt;0,INDEX('calcA'!BK$60:BK$104,'calcA'!$B$8),0)=1),10,IF(AND(E17="",'calcA'!BK$5=1),11,12))))))))))))</f>
        <v/>
      </c>
      <c r="AD17">
        <f>IF(AND(F17="",'calcA'!CI$115=0),0,IF(AND(F17&lt;&gt;"",'calcA'!CI$4=0),1,IF(IF(F17="",0,IFERROR(INDEX('calcA'!CI$10:CI$54,MATCH(F17,'calcA'!$B$10:$B$54,0)),0))=1,2,IF(AND(F17&lt;&gt;"",COUNTIF($C$6:$H$29,F17)&gt;1),3,IF('calcA'!CI$4=0,4,IF(AND(F17&lt;&gt;"",'calcA'!CI$108=1),5,IF(AND(F17="",'calcA'!CI$108=1),6,IF(AND(F17&lt;&gt;"",F17=$J$5),7,IF(IF('calcA'!$B$8&gt;0,INDEX('calcA'!CI$10:CI$54,'calcA'!$B$8),0)=1,8,IF(AND(F17="",IF('calcA'!$B$8&gt;0,INDEX('calcA'!CI$60:CI$104,'calcA'!$B$8),0)=1),9,IF(AND(F17&lt;&gt;"",IF('calcA'!$B$8&gt;0,INDEX('calcA'!CI$60:CI$104,'calcA'!$B$8),0)=1),10,IF(AND(F17="",'calcA'!CI$5=1),11,12))))))))))))</f>
        <v/>
      </c>
      <c r="AE17">
        <f>IF(AND(G17="",'calcA'!DG$115=0),0,IF(AND(G17&lt;&gt;"",'calcA'!DG$4=0),1,IF(IF(G17="",0,IFERROR(INDEX('calcA'!DG$10:DG$54,MATCH(G17,'calcA'!$B$10:$B$54,0)),0))=1,2,IF(AND(G17&lt;&gt;"",COUNTIF($C$6:$H$29,G17)&gt;1),3,IF('calcA'!DG$4=0,4,IF(AND(G17&lt;&gt;"",'calcA'!DG$108=1),5,IF(AND(G17="",'calcA'!DG$108=1),6,IF(AND(G17&lt;&gt;"",G17=$J$5),7,IF(IF('calcA'!$B$8&gt;0,INDEX('calcA'!DG$10:DG$54,'calcA'!$B$8),0)=1,8,IF(AND(G17="",IF('calcA'!$B$8&gt;0,INDEX('calcA'!DG$60:DG$104,'calcA'!$B$8),0)=1),9,IF(AND(G17&lt;&gt;"",IF('calcA'!$B$8&gt;0,INDEX('calcA'!DG$60:DG$104,'calcA'!$B$8),0)=1),10,IF(AND(G17="",'calcA'!DG$5=1),11,12))))))))))))</f>
        <v/>
      </c>
      <c r="AF17">
        <f>IF(AND(H17="",'calcA'!EE$115=0),0,IF(AND(H17&lt;&gt;"",'calcA'!EE$4=0),1,IF(IF(H17="",0,IFERROR(INDEX('calcA'!EE$10:EE$54,MATCH(H17,'calcA'!$B$10:$B$54,0)),0))=1,2,IF(AND(H17&lt;&gt;"",COUNTIF($C$6:$H$29,H17)&gt;1),3,IF('calcA'!EE$4=0,4,IF(AND(H17&lt;&gt;"",'calcA'!EE$108=1),5,IF(AND(H17="",'calcA'!EE$108=1),6,IF(AND(H17&lt;&gt;"",H17=$J$5),7,IF(IF('calcA'!$B$8&gt;0,INDEX('calcA'!EE$10:EE$54,'calcA'!$B$8),0)=1,8,IF(AND(H17="",IF('calcA'!$B$8&gt;0,INDEX('calcA'!EE$60:EE$104,'calcA'!$B$8),0)=1),9,IF(AND(H17&lt;&gt;"",IF('calcA'!$B$8&gt;0,INDEX('calcA'!EE$60:EE$104,'calcA'!$B$8),0)=1),10,IF(AND(H17="",'calcA'!EE$5=1),11,12))))))))))))</f>
        <v/>
      </c>
    </row>
    <row r="18" ht="26" customHeight="1">
      <c r="B18" s="47">
        <f>'設定'!$I$23</f>
        <v/>
      </c>
      <c r="C18" s="28" t="n"/>
      <c r="D18" s="28" t="n"/>
      <c r="E18" s="28" t="n"/>
      <c r="F18" s="28" t="n"/>
      <c r="G18" s="28" t="n"/>
      <c r="H18" s="28" t="n"/>
      <c r="J18" s="101" t="inlineStr">
        <is>
          <t>「調整・決定」への貼り付けかた</t>
        </is>
      </c>
      <c r="AA18">
        <f>IF(AND(C18="",'calcA'!P$115=0),0,IF(AND(C18&lt;&gt;"",'calcA'!P$4=0),1,IF(IF(C18="",0,IFERROR(INDEX('calcA'!P$10:P$54,MATCH(C18,'calcA'!$B$10:$B$54,0)),0))=1,2,IF(AND(C18&lt;&gt;"",COUNTIF($C$6:$H$29,C18)&gt;1),3,IF('calcA'!P$4=0,4,IF(AND(C18&lt;&gt;"",'calcA'!P$108=1),5,IF(AND(C18="",'calcA'!P$108=1),6,IF(AND(C18&lt;&gt;"",C18=$J$5),7,IF(IF('calcA'!$B$8&gt;0,INDEX('calcA'!P$10:P$54,'calcA'!$B$8),0)=1,8,IF(AND(C18="",IF('calcA'!$B$8&gt;0,INDEX('calcA'!P$60:P$104,'calcA'!$B$8),0)=1),9,IF(AND(C18&lt;&gt;"",IF('calcA'!$B$8&gt;0,INDEX('calcA'!P$60:P$104,'calcA'!$B$8),0)=1),10,IF(AND(C18="",'calcA'!P$5=1),11,12))))))))))))</f>
        <v/>
      </c>
      <c r="AB18">
        <f>IF(AND(D18="",'calcA'!AN$115=0),0,IF(AND(D18&lt;&gt;"",'calcA'!AN$4=0),1,IF(IF(D18="",0,IFERROR(INDEX('calcA'!AN$10:AN$54,MATCH(D18,'calcA'!$B$10:$B$54,0)),0))=1,2,IF(AND(D18&lt;&gt;"",COUNTIF($C$6:$H$29,D18)&gt;1),3,IF('calcA'!AN$4=0,4,IF(AND(D18&lt;&gt;"",'calcA'!AN$108=1),5,IF(AND(D18="",'calcA'!AN$108=1),6,IF(AND(D18&lt;&gt;"",D18=$J$5),7,IF(IF('calcA'!$B$8&gt;0,INDEX('calcA'!AN$10:AN$54,'calcA'!$B$8),0)=1,8,IF(AND(D18="",IF('calcA'!$B$8&gt;0,INDEX('calcA'!AN$60:AN$104,'calcA'!$B$8),0)=1),9,IF(AND(D18&lt;&gt;"",IF('calcA'!$B$8&gt;0,INDEX('calcA'!AN$60:AN$104,'calcA'!$B$8),0)=1),10,IF(AND(D18="",'calcA'!AN$5=1),11,12))))))))))))</f>
        <v/>
      </c>
      <c r="AC18">
        <f>IF(AND(E18="",'calcA'!BL$115=0),0,IF(AND(E18&lt;&gt;"",'calcA'!BL$4=0),1,IF(IF(E18="",0,IFERROR(INDEX('calcA'!BL$10:BL$54,MATCH(E18,'calcA'!$B$10:$B$54,0)),0))=1,2,IF(AND(E18&lt;&gt;"",COUNTIF($C$6:$H$29,E18)&gt;1),3,IF('calcA'!BL$4=0,4,IF(AND(E18&lt;&gt;"",'calcA'!BL$108=1),5,IF(AND(E18="",'calcA'!BL$108=1),6,IF(AND(E18&lt;&gt;"",E18=$J$5),7,IF(IF('calcA'!$B$8&gt;0,INDEX('calcA'!BL$10:BL$54,'calcA'!$B$8),0)=1,8,IF(AND(E18="",IF('calcA'!$B$8&gt;0,INDEX('calcA'!BL$60:BL$104,'calcA'!$B$8),0)=1),9,IF(AND(E18&lt;&gt;"",IF('calcA'!$B$8&gt;0,INDEX('calcA'!BL$60:BL$104,'calcA'!$B$8),0)=1),10,IF(AND(E18="",'calcA'!BL$5=1),11,12))))))))))))</f>
        <v/>
      </c>
      <c r="AD18">
        <f>IF(AND(F18="",'calcA'!CJ$115=0),0,IF(AND(F18&lt;&gt;"",'calcA'!CJ$4=0),1,IF(IF(F18="",0,IFERROR(INDEX('calcA'!CJ$10:CJ$54,MATCH(F18,'calcA'!$B$10:$B$54,0)),0))=1,2,IF(AND(F18&lt;&gt;"",COUNTIF($C$6:$H$29,F18)&gt;1),3,IF('calcA'!CJ$4=0,4,IF(AND(F18&lt;&gt;"",'calcA'!CJ$108=1),5,IF(AND(F18="",'calcA'!CJ$108=1),6,IF(AND(F18&lt;&gt;"",F18=$J$5),7,IF(IF('calcA'!$B$8&gt;0,INDEX('calcA'!CJ$10:CJ$54,'calcA'!$B$8),0)=1,8,IF(AND(F18="",IF('calcA'!$B$8&gt;0,INDEX('calcA'!CJ$60:CJ$104,'calcA'!$B$8),0)=1),9,IF(AND(F18&lt;&gt;"",IF('calcA'!$B$8&gt;0,INDEX('calcA'!CJ$60:CJ$104,'calcA'!$B$8),0)=1),10,IF(AND(F18="",'calcA'!CJ$5=1),11,12))))))))))))</f>
        <v/>
      </c>
      <c r="AE18">
        <f>IF(AND(G18="",'calcA'!DH$115=0),0,IF(AND(G18&lt;&gt;"",'calcA'!DH$4=0),1,IF(IF(G18="",0,IFERROR(INDEX('calcA'!DH$10:DH$54,MATCH(G18,'calcA'!$B$10:$B$54,0)),0))=1,2,IF(AND(G18&lt;&gt;"",COUNTIF($C$6:$H$29,G18)&gt;1),3,IF('calcA'!DH$4=0,4,IF(AND(G18&lt;&gt;"",'calcA'!DH$108=1),5,IF(AND(G18="",'calcA'!DH$108=1),6,IF(AND(G18&lt;&gt;"",G18=$J$5),7,IF(IF('calcA'!$B$8&gt;0,INDEX('calcA'!DH$10:DH$54,'calcA'!$B$8),0)=1,8,IF(AND(G18="",IF('calcA'!$B$8&gt;0,INDEX('calcA'!DH$60:DH$104,'calcA'!$B$8),0)=1),9,IF(AND(G18&lt;&gt;"",IF('calcA'!$B$8&gt;0,INDEX('calcA'!DH$60:DH$104,'calcA'!$B$8),0)=1),10,IF(AND(G18="",'calcA'!DH$5=1),11,12))))))))))))</f>
        <v/>
      </c>
      <c r="AF18">
        <f>IF(AND(H18="",'calcA'!EF$115=0),0,IF(AND(H18&lt;&gt;"",'calcA'!EF$4=0),1,IF(IF(H18="",0,IFERROR(INDEX('calcA'!EF$10:EF$54,MATCH(H18,'calcA'!$B$10:$B$54,0)),0))=1,2,IF(AND(H18&lt;&gt;"",COUNTIF($C$6:$H$29,H18)&gt;1),3,IF('calcA'!EF$4=0,4,IF(AND(H18&lt;&gt;"",'calcA'!EF$108=1),5,IF(AND(H18="",'calcA'!EF$108=1),6,IF(AND(H18&lt;&gt;"",H18=$J$5),7,IF(IF('calcA'!$B$8&gt;0,INDEX('calcA'!EF$10:EF$54,'calcA'!$B$8),0)=1,8,IF(AND(H18="",IF('calcA'!$B$8&gt;0,INDEX('calcA'!EF$60:EF$104,'calcA'!$B$8),0)=1),9,IF(AND(H18&lt;&gt;"",IF('calcA'!$B$8&gt;0,INDEX('calcA'!EF$60:EF$104,'calcA'!$B$8),0)=1),10,IF(AND(H18="",'calcA'!EF$5=1),11,12))))))))))))</f>
        <v/>
      </c>
    </row>
    <row r="19" ht="26" customHeight="1">
      <c r="B19" s="47">
        <f>'設定'!$I$24</f>
        <v/>
      </c>
      <c r="C19" s="28" t="n"/>
      <c r="D19" s="28" t="n"/>
      <c r="E19" s="28" t="n"/>
      <c r="F19" s="28" t="n"/>
      <c r="G19" s="28" t="n"/>
      <c r="H19" s="28" t="n"/>
      <c r="J19" s="102" t="inlineStr">
        <is>
          <t>① 自動案の表を選んで Ctrl + C（名前ボックスで「自動案Aの表」などを選ぶと全体を選べます）</t>
        </is>
      </c>
      <c r="AA19">
        <f>IF(AND(C19="",'calcA'!Q$115=0),0,IF(AND(C19&lt;&gt;"",'calcA'!Q$4=0),1,IF(IF(C19="",0,IFERROR(INDEX('calcA'!Q$10:Q$54,MATCH(C19,'calcA'!$B$10:$B$54,0)),0))=1,2,IF(AND(C19&lt;&gt;"",COUNTIF($C$6:$H$29,C19)&gt;1),3,IF('calcA'!Q$4=0,4,IF(AND(C19&lt;&gt;"",'calcA'!Q$108=1),5,IF(AND(C19="",'calcA'!Q$108=1),6,IF(AND(C19&lt;&gt;"",C19=$J$5),7,IF(IF('calcA'!$B$8&gt;0,INDEX('calcA'!Q$10:Q$54,'calcA'!$B$8),0)=1,8,IF(AND(C19="",IF('calcA'!$B$8&gt;0,INDEX('calcA'!Q$60:Q$104,'calcA'!$B$8),0)=1),9,IF(AND(C19&lt;&gt;"",IF('calcA'!$B$8&gt;0,INDEX('calcA'!Q$60:Q$104,'calcA'!$B$8),0)=1),10,IF(AND(C19="",'calcA'!Q$5=1),11,12))))))))))))</f>
        <v/>
      </c>
      <c r="AB19">
        <f>IF(AND(D19="",'calcA'!AO$115=0),0,IF(AND(D19&lt;&gt;"",'calcA'!AO$4=0),1,IF(IF(D19="",0,IFERROR(INDEX('calcA'!AO$10:AO$54,MATCH(D19,'calcA'!$B$10:$B$54,0)),0))=1,2,IF(AND(D19&lt;&gt;"",COUNTIF($C$6:$H$29,D19)&gt;1),3,IF('calcA'!AO$4=0,4,IF(AND(D19&lt;&gt;"",'calcA'!AO$108=1),5,IF(AND(D19="",'calcA'!AO$108=1),6,IF(AND(D19&lt;&gt;"",D19=$J$5),7,IF(IF('calcA'!$B$8&gt;0,INDEX('calcA'!AO$10:AO$54,'calcA'!$B$8),0)=1,8,IF(AND(D19="",IF('calcA'!$B$8&gt;0,INDEX('calcA'!AO$60:AO$104,'calcA'!$B$8),0)=1),9,IF(AND(D19&lt;&gt;"",IF('calcA'!$B$8&gt;0,INDEX('calcA'!AO$60:AO$104,'calcA'!$B$8),0)=1),10,IF(AND(D19="",'calcA'!AO$5=1),11,12))))))))))))</f>
        <v/>
      </c>
      <c r="AC19">
        <f>IF(AND(E19="",'calcA'!BM$115=0),0,IF(AND(E19&lt;&gt;"",'calcA'!BM$4=0),1,IF(IF(E19="",0,IFERROR(INDEX('calcA'!BM$10:BM$54,MATCH(E19,'calcA'!$B$10:$B$54,0)),0))=1,2,IF(AND(E19&lt;&gt;"",COUNTIF($C$6:$H$29,E19)&gt;1),3,IF('calcA'!BM$4=0,4,IF(AND(E19&lt;&gt;"",'calcA'!BM$108=1),5,IF(AND(E19="",'calcA'!BM$108=1),6,IF(AND(E19&lt;&gt;"",E19=$J$5),7,IF(IF('calcA'!$B$8&gt;0,INDEX('calcA'!BM$10:BM$54,'calcA'!$B$8),0)=1,8,IF(AND(E19="",IF('calcA'!$B$8&gt;0,INDEX('calcA'!BM$60:BM$104,'calcA'!$B$8),0)=1),9,IF(AND(E19&lt;&gt;"",IF('calcA'!$B$8&gt;0,INDEX('calcA'!BM$60:BM$104,'calcA'!$B$8),0)=1),10,IF(AND(E19="",'calcA'!BM$5=1),11,12))))))))))))</f>
        <v/>
      </c>
      <c r="AD19">
        <f>IF(AND(F19="",'calcA'!CK$115=0),0,IF(AND(F19&lt;&gt;"",'calcA'!CK$4=0),1,IF(IF(F19="",0,IFERROR(INDEX('calcA'!CK$10:CK$54,MATCH(F19,'calcA'!$B$10:$B$54,0)),0))=1,2,IF(AND(F19&lt;&gt;"",COUNTIF($C$6:$H$29,F19)&gt;1),3,IF('calcA'!CK$4=0,4,IF(AND(F19&lt;&gt;"",'calcA'!CK$108=1),5,IF(AND(F19="",'calcA'!CK$108=1),6,IF(AND(F19&lt;&gt;"",F19=$J$5),7,IF(IF('calcA'!$B$8&gt;0,INDEX('calcA'!CK$10:CK$54,'calcA'!$B$8),0)=1,8,IF(AND(F19="",IF('calcA'!$B$8&gt;0,INDEX('calcA'!CK$60:CK$104,'calcA'!$B$8),0)=1),9,IF(AND(F19&lt;&gt;"",IF('calcA'!$B$8&gt;0,INDEX('calcA'!CK$60:CK$104,'calcA'!$B$8),0)=1),10,IF(AND(F19="",'calcA'!CK$5=1),11,12))))))))))))</f>
        <v/>
      </c>
      <c r="AE19">
        <f>IF(AND(G19="",'calcA'!DI$115=0),0,IF(AND(G19&lt;&gt;"",'calcA'!DI$4=0),1,IF(IF(G19="",0,IFERROR(INDEX('calcA'!DI$10:DI$54,MATCH(G19,'calcA'!$B$10:$B$54,0)),0))=1,2,IF(AND(G19&lt;&gt;"",COUNTIF($C$6:$H$29,G19)&gt;1),3,IF('calcA'!DI$4=0,4,IF(AND(G19&lt;&gt;"",'calcA'!DI$108=1),5,IF(AND(G19="",'calcA'!DI$108=1),6,IF(AND(G19&lt;&gt;"",G19=$J$5),7,IF(IF('calcA'!$B$8&gt;0,INDEX('calcA'!DI$10:DI$54,'calcA'!$B$8),0)=1,8,IF(AND(G19="",IF('calcA'!$B$8&gt;0,INDEX('calcA'!DI$60:DI$104,'calcA'!$B$8),0)=1),9,IF(AND(G19&lt;&gt;"",IF('calcA'!$B$8&gt;0,INDEX('calcA'!DI$60:DI$104,'calcA'!$B$8),0)=1),10,IF(AND(G19="",'calcA'!DI$5=1),11,12))))))))))))</f>
        <v/>
      </c>
      <c r="AF19">
        <f>IF(AND(H19="",'calcA'!EG$115=0),0,IF(AND(H19&lt;&gt;"",'calcA'!EG$4=0),1,IF(IF(H19="",0,IFERROR(INDEX('calcA'!EG$10:EG$54,MATCH(H19,'calcA'!$B$10:$B$54,0)),0))=1,2,IF(AND(H19&lt;&gt;"",COUNTIF($C$6:$H$29,H19)&gt;1),3,IF('calcA'!EG$4=0,4,IF(AND(H19&lt;&gt;"",'calcA'!EG$108=1),5,IF(AND(H19="",'calcA'!EG$108=1),6,IF(AND(H19&lt;&gt;"",H19=$J$5),7,IF(IF('calcA'!$B$8&gt;0,INDEX('calcA'!EG$10:EG$54,'calcA'!$B$8),0)=1,8,IF(AND(H19="",IF('calcA'!$B$8&gt;0,INDEX('calcA'!EG$60:EG$104,'calcA'!$B$8),0)=1),9,IF(AND(H19&lt;&gt;"",IF('calcA'!$B$8&gt;0,INDEX('calcA'!EG$60:EG$104,'calcA'!$B$8),0)=1),10,IF(AND(H19="",'calcA'!EG$5=1),11,12))))))))))))</f>
        <v/>
      </c>
    </row>
    <row r="20" ht="26" customHeight="1">
      <c r="B20" s="47">
        <f>'設定'!$I$25</f>
        <v/>
      </c>
      <c r="C20" s="28" t="n"/>
      <c r="D20" s="28" t="n"/>
      <c r="E20" s="28" t="n"/>
      <c r="F20" s="28" t="n"/>
      <c r="G20" s="28" t="n"/>
      <c r="H20" s="28" t="n"/>
      <c r="J20" s="102" t="inlineStr">
        <is>
          <t>② 「調整・決定」の表の左上（いちばん早い日・時刻のマス）をクリック</t>
        </is>
      </c>
      <c r="AA20">
        <f>IF(AND(C20="",'calcA'!R$115=0),0,IF(AND(C20&lt;&gt;"",'calcA'!R$4=0),1,IF(IF(C20="",0,IFERROR(INDEX('calcA'!R$10:R$54,MATCH(C20,'calcA'!$B$10:$B$54,0)),0))=1,2,IF(AND(C20&lt;&gt;"",COUNTIF($C$6:$H$29,C20)&gt;1),3,IF('calcA'!R$4=0,4,IF(AND(C20&lt;&gt;"",'calcA'!R$108=1),5,IF(AND(C20="",'calcA'!R$108=1),6,IF(AND(C20&lt;&gt;"",C20=$J$5),7,IF(IF('calcA'!$B$8&gt;0,INDEX('calcA'!R$10:R$54,'calcA'!$B$8),0)=1,8,IF(AND(C20="",IF('calcA'!$B$8&gt;0,INDEX('calcA'!R$60:R$104,'calcA'!$B$8),0)=1),9,IF(AND(C20&lt;&gt;"",IF('calcA'!$B$8&gt;0,INDEX('calcA'!R$60:R$104,'calcA'!$B$8),0)=1),10,IF(AND(C20="",'calcA'!R$5=1),11,12))))))))))))</f>
        <v/>
      </c>
      <c r="AB20">
        <f>IF(AND(D20="",'calcA'!AP$115=0),0,IF(AND(D20&lt;&gt;"",'calcA'!AP$4=0),1,IF(IF(D20="",0,IFERROR(INDEX('calcA'!AP$10:AP$54,MATCH(D20,'calcA'!$B$10:$B$54,0)),0))=1,2,IF(AND(D20&lt;&gt;"",COUNTIF($C$6:$H$29,D20)&gt;1),3,IF('calcA'!AP$4=0,4,IF(AND(D20&lt;&gt;"",'calcA'!AP$108=1),5,IF(AND(D20="",'calcA'!AP$108=1),6,IF(AND(D20&lt;&gt;"",D20=$J$5),7,IF(IF('calcA'!$B$8&gt;0,INDEX('calcA'!AP$10:AP$54,'calcA'!$B$8),0)=1,8,IF(AND(D20="",IF('calcA'!$B$8&gt;0,INDEX('calcA'!AP$60:AP$104,'calcA'!$B$8),0)=1),9,IF(AND(D20&lt;&gt;"",IF('calcA'!$B$8&gt;0,INDEX('calcA'!AP$60:AP$104,'calcA'!$B$8),0)=1),10,IF(AND(D20="",'calcA'!AP$5=1),11,12))))))))))))</f>
        <v/>
      </c>
      <c r="AC20">
        <f>IF(AND(E20="",'calcA'!BN$115=0),0,IF(AND(E20&lt;&gt;"",'calcA'!BN$4=0),1,IF(IF(E20="",0,IFERROR(INDEX('calcA'!BN$10:BN$54,MATCH(E20,'calcA'!$B$10:$B$54,0)),0))=1,2,IF(AND(E20&lt;&gt;"",COUNTIF($C$6:$H$29,E20)&gt;1),3,IF('calcA'!BN$4=0,4,IF(AND(E20&lt;&gt;"",'calcA'!BN$108=1),5,IF(AND(E20="",'calcA'!BN$108=1),6,IF(AND(E20&lt;&gt;"",E20=$J$5),7,IF(IF('calcA'!$B$8&gt;0,INDEX('calcA'!BN$10:BN$54,'calcA'!$B$8),0)=1,8,IF(AND(E20="",IF('calcA'!$B$8&gt;0,INDEX('calcA'!BN$60:BN$104,'calcA'!$B$8),0)=1),9,IF(AND(E20&lt;&gt;"",IF('calcA'!$B$8&gt;0,INDEX('calcA'!BN$60:BN$104,'calcA'!$B$8),0)=1),10,IF(AND(E20="",'calcA'!BN$5=1),11,12))))))))))))</f>
        <v/>
      </c>
      <c r="AD20">
        <f>IF(AND(F20="",'calcA'!CL$115=0),0,IF(AND(F20&lt;&gt;"",'calcA'!CL$4=0),1,IF(IF(F20="",0,IFERROR(INDEX('calcA'!CL$10:CL$54,MATCH(F20,'calcA'!$B$10:$B$54,0)),0))=1,2,IF(AND(F20&lt;&gt;"",COUNTIF($C$6:$H$29,F20)&gt;1),3,IF('calcA'!CL$4=0,4,IF(AND(F20&lt;&gt;"",'calcA'!CL$108=1),5,IF(AND(F20="",'calcA'!CL$108=1),6,IF(AND(F20&lt;&gt;"",F20=$J$5),7,IF(IF('calcA'!$B$8&gt;0,INDEX('calcA'!CL$10:CL$54,'calcA'!$B$8),0)=1,8,IF(AND(F20="",IF('calcA'!$B$8&gt;0,INDEX('calcA'!CL$60:CL$104,'calcA'!$B$8),0)=1),9,IF(AND(F20&lt;&gt;"",IF('calcA'!$B$8&gt;0,INDEX('calcA'!CL$60:CL$104,'calcA'!$B$8),0)=1),10,IF(AND(F20="",'calcA'!CL$5=1),11,12))))))))))))</f>
        <v/>
      </c>
      <c r="AE20">
        <f>IF(AND(G20="",'calcA'!DJ$115=0),0,IF(AND(G20&lt;&gt;"",'calcA'!DJ$4=0),1,IF(IF(G20="",0,IFERROR(INDEX('calcA'!DJ$10:DJ$54,MATCH(G20,'calcA'!$B$10:$B$54,0)),0))=1,2,IF(AND(G20&lt;&gt;"",COUNTIF($C$6:$H$29,G20)&gt;1),3,IF('calcA'!DJ$4=0,4,IF(AND(G20&lt;&gt;"",'calcA'!DJ$108=1),5,IF(AND(G20="",'calcA'!DJ$108=1),6,IF(AND(G20&lt;&gt;"",G20=$J$5),7,IF(IF('calcA'!$B$8&gt;0,INDEX('calcA'!DJ$10:DJ$54,'calcA'!$B$8),0)=1,8,IF(AND(G20="",IF('calcA'!$B$8&gt;0,INDEX('calcA'!DJ$60:DJ$104,'calcA'!$B$8),0)=1),9,IF(AND(G20&lt;&gt;"",IF('calcA'!$B$8&gt;0,INDEX('calcA'!DJ$60:DJ$104,'calcA'!$B$8),0)=1),10,IF(AND(G20="",'calcA'!DJ$5=1),11,12))))))))))))</f>
        <v/>
      </c>
      <c r="AF20">
        <f>IF(AND(H20="",'calcA'!EH$115=0),0,IF(AND(H20&lt;&gt;"",'calcA'!EH$4=0),1,IF(IF(H20="",0,IFERROR(INDEX('calcA'!EH$10:EH$54,MATCH(H20,'calcA'!$B$10:$B$54,0)),0))=1,2,IF(AND(H20&lt;&gt;"",COUNTIF($C$6:$H$29,H20)&gt;1),3,IF('calcA'!EH$4=0,4,IF(AND(H20&lt;&gt;"",'calcA'!EH$108=1),5,IF(AND(H20="",'calcA'!EH$108=1),6,IF(AND(H20&lt;&gt;"",H20=$J$5),7,IF(IF('calcA'!$B$8&gt;0,INDEX('calcA'!EH$10:EH$54,'calcA'!$B$8),0)=1,8,IF(AND(H20="",IF('calcA'!$B$8&gt;0,INDEX('calcA'!EH$60:EH$104,'calcA'!$B$8),0)=1),9,IF(AND(H20&lt;&gt;"",IF('calcA'!$B$8&gt;0,INDEX('calcA'!EH$60:EH$104,'calcA'!$B$8),0)=1),10,IF(AND(H20="",'calcA'!EH$5=1),11,12))))))))))))</f>
        <v/>
      </c>
    </row>
    <row r="21" ht="26" customHeight="1">
      <c r="B21" s="47">
        <f>'設定'!$I$26</f>
        <v/>
      </c>
      <c r="C21" s="28" t="n"/>
      <c r="D21" s="28" t="n"/>
      <c r="E21" s="28" t="n"/>
      <c r="F21" s="28" t="n"/>
      <c r="G21" s="28" t="n"/>
      <c r="H21" s="28" t="n"/>
      <c r="J21" s="102" t="inlineStr">
        <is>
          <t>③ 右クリック →［貼り付けのオプション］の「値」（123 の絵）。または Ctrl + Shift + V</t>
        </is>
      </c>
      <c r="AA21">
        <f>IF(AND(C21="",'calcA'!S$115=0),0,IF(AND(C21&lt;&gt;"",'calcA'!S$4=0),1,IF(IF(C21="",0,IFERROR(INDEX('calcA'!S$10:S$54,MATCH(C21,'calcA'!$B$10:$B$54,0)),0))=1,2,IF(AND(C21&lt;&gt;"",COUNTIF($C$6:$H$29,C21)&gt;1),3,IF('calcA'!S$4=0,4,IF(AND(C21&lt;&gt;"",'calcA'!S$108=1),5,IF(AND(C21="",'calcA'!S$108=1),6,IF(AND(C21&lt;&gt;"",C21=$J$5),7,IF(IF('calcA'!$B$8&gt;0,INDEX('calcA'!S$10:S$54,'calcA'!$B$8),0)=1,8,IF(AND(C21="",IF('calcA'!$B$8&gt;0,INDEX('calcA'!S$60:S$104,'calcA'!$B$8),0)=1),9,IF(AND(C21&lt;&gt;"",IF('calcA'!$B$8&gt;0,INDEX('calcA'!S$60:S$104,'calcA'!$B$8),0)=1),10,IF(AND(C21="",'calcA'!S$5=1),11,12))))))))))))</f>
        <v/>
      </c>
      <c r="AB21">
        <f>IF(AND(D21="",'calcA'!AQ$115=0),0,IF(AND(D21&lt;&gt;"",'calcA'!AQ$4=0),1,IF(IF(D21="",0,IFERROR(INDEX('calcA'!AQ$10:AQ$54,MATCH(D21,'calcA'!$B$10:$B$54,0)),0))=1,2,IF(AND(D21&lt;&gt;"",COUNTIF($C$6:$H$29,D21)&gt;1),3,IF('calcA'!AQ$4=0,4,IF(AND(D21&lt;&gt;"",'calcA'!AQ$108=1),5,IF(AND(D21="",'calcA'!AQ$108=1),6,IF(AND(D21&lt;&gt;"",D21=$J$5),7,IF(IF('calcA'!$B$8&gt;0,INDEX('calcA'!AQ$10:AQ$54,'calcA'!$B$8),0)=1,8,IF(AND(D21="",IF('calcA'!$B$8&gt;0,INDEX('calcA'!AQ$60:AQ$104,'calcA'!$B$8),0)=1),9,IF(AND(D21&lt;&gt;"",IF('calcA'!$B$8&gt;0,INDEX('calcA'!AQ$60:AQ$104,'calcA'!$B$8),0)=1),10,IF(AND(D21="",'calcA'!AQ$5=1),11,12))))))))))))</f>
        <v/>
      </c>
      <c r="AC21">
        <f>IF(AND(E21="",'calcA'!BO$115=0),0,IF(AND(E21&lt;&gt;"",'calcA'!BO$4=0),1,IF(IF(E21="",0,IFERROR(INDEX('calcA'!BO$10:BO$54,MATCH(E21,'calcA'!$B$10:$B$54,0)),0))=1,2,IF(AND(E21&lt;&gt;"",COUNTIF($C$6:$H$29,E21)&gt;1),3,IF('calcA'!BO$4=0,4,IF(AND(E21&lt;&gt;"",'calcA'!BO$108=1),5,IF(AND(E21="",'calcA'!BO$108=1),6,IF(AND(E21&lt;&gt;"",E21=$J$5),7,IF(IF('calcA'!$B$8&gt;0,INDEX('calcA'!BO$10:BO$54,'calcA'!$B$8),0)=1,8,IF(AND(E21="",IF('calcA'!$B$8&gt;0,INDEX('calcA'!BO$60:BO$104,'calcA'!$B$8),0)=1),9,IF(AND(E21&lt;&gt;"",IF('calcA'!$B$8&gt;0,INDEX('calcA'!BO$60:BO$104,'calcA'!$B$8),0)=1),10,IF(AND(E21="",'calcA'!BO$5=1),11,12))))))))))))</f>
        <v/>
      </c>
      <c r="AD21">
        <f>IF(AND(F21="",'calcA'!CM$115=0),0,IF(AND(F21&lt;&gt;"",'calcA'!CM$4=0),1,IF(IF(F21="",0,IFERROR(INDEX('calcA'!CM$10:CM$54,MATCH(F21,'calcA'!$B$10:$B$54,0)),0))=1,2,IF(AND(F21&lt;&gt;"",COUNTIF($C$6:$H$29,F21)&gt;1),3,IF('calcA'!CM$4=0,4,IF(AND(F21&lt;&gt;"",'calcA'!CM$108=1),5,IF(AND(F21="",'calcA'!CM$108=1),6,IF(AND(F21&lt;&gt;"",F21=$J$5),7,IF(IF('calcA'!$B$8&gt;0,INDEX('calcA'!CM$10:CM$54,'calcA'!$B$8),0)=1,8,IF(AND(F21="",IF('calcA'!$B$8&gt;0,INDEX('calcA'!CM$60:CM$104,'calcA'!$B$8),0)=1),9,IF(AND(F21&lt;&gt;"",IF('calcA'!$B$8&gt;0,INDEX('calcA'!CM$60:CM$104,'calcA'!$B$8),0)=1),10,IF(AND(F21="",'calcA'!CM$5=1),11,12))))))))))))</f>
        <v/>
      </c>
      <c r="AE21">
        <f>IF(AND(G21="",'calcA'!DK$115=0),0,IF(AND(G21&lt;&gt;"",'calcA'!DK$4=0),1,IF(IF(G21="",0,IFERROR(INDEX('calcA'!DK$10:DK$54,MATCH(G21,'calcA'!$B$10:$B$54,0)),0))=1,2,IF(AND(G21&lt;&gt;"",COUNTIF($C$6:$H$29,G21)&gt;1),3,IF('calcA'!DK$4=0,4,IF(AND(G21&lt;&gt;"",'calcA'!DK$108=1),5,IF(AND(G21="",'calcA'!DK$108=1),6,IF(AND(G21&lt;&gt;"",G21=$J$5),7,IF(IF('calcA'!$B$8&gt;0,INDEX('calcA'!DK$10:DK$54,'calcA'!$B$8),0)=1,8,IF(AND(G21="",IF('calcA'!$B$8&gt;0,INDEX('calcA'!DK$60:DK$104,'calcA'!$B$8),0)=1),9,IF(AND(G21&lt;&gt;"",IF('calcA'!$B$8&gt;0,INDEX('calcA'!DK$60:DK$104,'calcA'!$B$8),0)=1),10,IF(AND(G21="",'calcA'!DK$5=1),11,12))))))))))))</f>
        <v/>
      </c>
      <c r="AF21">
        <f>IF(AND(H21="",'calcA'!EI$115=0),0,IF(AND(H21&lt;&gt;"",'calcA'!EI$4=0),1,IF(IF(H21="",0,IFERROR(INDEX('calcA'!EI$10:EI$54,MATCH(H21,'calcA'!$B$10:$B$54,0)),0))=1,2,IF(AND(H21&lt;&gt;"",COUNTIF($C$6:$H$29,H21)&gt;1),3,IF('calcA'!EI$4=0,4,IF(AND(H21&lt;&gt;"",'calcA'!EI$108=1),5,IF(AND(H21="",'calcA'!EI$108=1),6,IF(AND(H21&lt;&gt;"",H21=$J$5),7,IF(IF('calcA'!$B$8&gt;0,INDEX('calcA'!EI$10:EI$54,'calcA'!$B$8),0)=1,8,IF(AND(H21="",IF('calcA'!$B$8&gt;0,INDEX('calcA'!EI$60:EI$104,'calcA'!$B$8),0)=1),9,IF(AND(H21&lt;&gt;"",IF('calcA'!$B$8&gt;0,INDEX('calcA'!EI$60:EI$104,'calcA'!$B$8),0)=1),10,IF(AND(H21="",'calcA'!EI$5=1),11,12))))))))))))</f>
        <v/>
      </c>
    </row>
    <row r="22" ht="26" customHeight="1">
      <c r="B22" s="47">
        <f>'設定'!$I$27</f>
        <v/>
      </c>
      <c r="C22" s="28" t="n"/>
      <c r="D22" s="28" t="n"/>
      <c r="E22" s="28" t="n"/>
      <c r="F22" s="28" t="n"/>
      <c r="G22" s="28" t="n"/>
      <c r="H22" s="28" t="n"/>
      <c r="J22" s="103" t="inlineStr">
        <is>
          <t>※ ふつうの貼り付け（Ctrl + V）は×。「循環参照」の注意が出たら、すぐ Ctrl + Z で元に戻します。</t>
        </is>
      </c>
      <c r="AA22">
        <f>IF(AND(C22="",'calcA'!T$115=0),0,IF(AND(C22&lt;&gt;"",'calcA'!T$4=0),1,IF(IF(C22="",0,IFERROR(INDEX('calcA'!T$10:T$54,MATCH(C22,'calcA'!$B$10:$B$54,0)),0))=1,2,IF(AND(C22&lt;&gt;"",COUNTIF($C$6:$H$29,C22)&gt;1),3,IF('calcA'!T$4=0,4,IF(AND(C22&lt;&gt;"",'calcA'!T$108=1),5,IF(AND(C22="",'calcA'!T$108=1),6,IF(AND(C22&lt;&gt;"",C22=$J$5),7,IF(IF('calcA'!$B$8&gt;0,INDEX('calcA'!T$10:T$54,'calcA'!$B$8),0)=1,8,IF(AND(C22="",IF('calcA'!$B$8&gt;0,INDEX('calcA'!T$60:T$104,'calcA'!$B$8),0)=1),9,IF(AND(C22&lt;&gt;"",IF('calcA'!$B$8&gt;0,INDEX('calcA'!T$60:T$104,'calcA'!$B$8),0)=1),10,IF(AND(C22="",'calcA'!T$5=1),11,12))))))))))))</f>
        <v/>
      </c>
      <c r="AB22">
        <f>IF(AND(D22="",'calcA'!AR$115=0),0,IF(AND(D22&lt;&gt;"",'calcA'!AR$4=0),1,IF(IF(D22="",0,IFERROR(INDEX('calcA'!AR$10:AR$54,MATCH(D22,'calcA'!$B$10:$B$54,0)),0))=1,2,IF(AND(D22&lt;&gt;"",COUNTIF($C$6:$H$29,D22)&gt;1),3,IF('calcA'!AR$4=0,4,IF(AND(D22&lt;&gt;"",'calcA'!AR$108=1),5,IF(AND(D22="",'calcA'!AR$108=1),6,IF(AND(D22&lt;&gt;"",D22=$J$5),7,IF(IF('calcA'!$B$8&gt;0,INDEX('calcA'!AR$10:AR$54,'calcA'!$B$8),0)=1,8,IF(AND(D22="",IF('calcA'!$B$8&gt;0,INDEX('calcA'!AR$60:AR$104,'calcA'!$B$8),0)=1),9,IF(AND(D22&lt;&gt;"",IF('calcA'!$B$8&gt;0,INDEX('calcA'!AR$60:AR$104,'calcA'!$B$8),0)=1),10,IF(AND(D22="",'calcA'!AR$5=1),11,12))))))))))))</f>
        <v/>
      </c>
      <c r="AC22">
        <f>IF(AND(E22="",'calcA'!BP$115=0),0,IF(AND(E22&lt;&gt;"",'calcA'!BP$4=0),1,IF(IF(E22="",0,IFERROR(INDEX('calcA'!BP$10:BP$54,MATCH(E22,'calcA'!$B$10:$B$54,0)),0))=1,2,IF(AND(E22&lt;&gt;"",COUNTIF($C$6:$H$29,E22)&gt;1),3,IF('calcA'!BP$4=0,4,IF(AND(E22&lt;&gt;"",'calcA'!BP$108=1),5,IF(AND(E22="",'calcA'!BP$108=1),6,IF(AND(E22&lt;&gt;"",E22=$J$5),7,IF(IF('calcA'!$B$8&gt;0,INDEX('calcA'!BP$10:BP$54,'calcA'!$B$8),0)=1,8,IF(AND(E22="",IF('calcA'!$B$8&gt;0,INDEX('calcA'!BP$60:BP$104,'calcA'!$B$8),0)=1),9,IF(AND(E22&lt;&gt;"",IF('calcA'!$B$8&gt;0,INDEX('calcA'!BP$60:BP$104,'calcA'!$B$8),0)=1),10,IF(AND(E22="",'calcA'!BP$5=1),11,12))))))))))))</f>
        <v/>
      </c>
      <c r="AD22">
        <f>IF(AND(F22="",'calcA'!CN$115=0),0,IF(AND(F22&lt;&gt;"",'calcA'!CN$4=0),1,IF(IF(F22="",0,IFERROR(INDEX('calcA'!CN$10:CN$54,MATCH(F22,'calcA'!$B$10:$B$54,0)),0))=1,2,IF(AND(F22&lt;&gt;"",COUNTIF($C$6:$H$29,F22)&gt;1),3,IF('calcA'!CN$4=0,4,IF(AND(F22&lt;&gt;"",'calcA'!CN$108=1),5,IF(AND(F22="",'calcA'!CN$108=1),6,IF(AND(F22&lt;&gt;"",F22=$J$5),7,IF(IF('calcA'!$B$8&gt;0,INDEX('calcA'!CN$10:CN$54,'calcA'!$B$8),0)=1,8,IF(AND(F22="",IF('calcA'!$B$8&gt;0,INDEX('calcA'!CN$60:CN$104,'calcA'!$B$8),0)=1),9,IF(AND(F22&lt;&gt;"",IF('calcA'!$B$8&gt;0,INDEX('calcA'!CN$60:CN$104,'calcA'!$B$8),0)=1),10,IF(AND(F22="",'calcA'!CN$5=1),11,12))))))))))))</f>
        <v/>
      </c>
      <c r="AE22">
        <f>IF(AND(G22="",'calcA'!DL$115=0),0,IF(AND(G22&lt;&gt;"",'calcA'!DL$4=0),1,IF(IF(G22="",0,IFERROR(INDEX('calcA'!DL$10:DL$54,MATCH(G22,'calcA'!$B$10:$B$54,0)),0))=1,2,IF(AND(G22&lt;&gt;"",COUNTIF($C$6:$H$29,G22)&gt;1),3,IF('calcA'!DL$4=0,4,IF(AND(G22&lt;&gt;"",'calcA'!DL$108=1),5,IF(AND(G22="",'calcA'!DL$108=1),6,IF(AND(G22&lt;&gt;"",G22=$J$5),7,IF(IF('calcA'!$B$8&gt;0,INDEX('calcA'!DL$10:DL$54,'calcA'!$B$8),0)=1,8,IF(AND(G22="",IF('calcA'!$B$8&gt;0,INDEX('calcA'!DL$60:DL$104,'calcA'!$B$8),0)=1),9,IF(AND(G22&lt;&gt;"",IF('calcA'!$B$8&gt;0,INDEX('calcA'!DL$60:DL$104,'calcA'!$B$8),0)=1),10,IF(AND(G22="",'calcA'!DL$5=1),11,12))))))))))))</f>
        <v/>
      </c>
      <c r="AF22">
        <f>IF(AND(H22="",'calcA'!EJ$115=0),0,IF(AND(H22&lt;&gt;"",'calcA'!EJ$4=0),1,IF(IF(H22="",0,IFERROR(INDEX('calcA'!EJ$10:EJ$54,MATCH(H22,'calcA'!$B$10:$B$54,0)),0))=1,2,IF(AND(H22&lt;&gt;"",COUNTIF($C$6:$H$29,H22)&gt;1),3,IF('calcA'!EJ$4=0,4,IF(AND(H22&lt;&gt;"",'calcA'!EJ$108=1),5,IF(AND(H22="",'calcA'!EJ$108=1),6,IF(AND(H22&lt;&gt;"",H22=$J$5),7,IF(IF('calcA'!$B$8&gt;0,INDEX('calcA'!EJ$10:EJ$54,'calcA'!$B$8),0)=1,8,IF(AND(H22="",IF('calcA'!$B$8&gt;0,INDEX('calcA'!EJ$60:EJ$104,'calcA'!$B$8),0)=1),9,IF(AND(H22&lt;&gt;"",IF('calcA'!$B$8&gt;0,INDEX('calcA'!EJ$60:EJ$104,'calcA'!$B$8),0)=1),10,IF(AND(H22="",'calcA'!EJ$5=1),11,12))))))))))))</f>
        <v/>
      </c>
    </row>
    <row r="23" ht="26" customHeight="1">
      <c r="B23" s="47">
        <f>'設定'!$I$28</f>
        <v/>
      </c>
      <c r="C23" s="28" t="n"/>
      <c r="D23" s="28" t="n"/>
      <c r="E23" s="28" t="n"/>
      <c r="F23" s="28" t="n"/>
      <c r="G23" s="28" t="n"/>
      <c r="H23" s="28" t="n"/>
      <c r="AA23">
        <f>IF(AND(C23="",'calcA'!U$115=0),0,IF(AND(C23&lt;&gt;"",'calcA'!U$4=0),1,IF(IF(C23="",0,IFERROR(INDEX('calcA'!U$10:U$54,MATCH(C23,'calcA'!$B$10:$B$54,0)),0))=1,2,IF(AND(C23&lt;&gt;"",COUNTIF($C$6:$H$29,C23)&gt;1),3,IF('calcA'!U$4=0,4,IF(AND(C23&lt;&gt;"",'calcA'!U$108=1),5,IF(AND(C23="",'calcA'!U$108=1),6,IF(AND(C23&lt;&gt;"",C23=$J$5),7,IF(IF('calcA'!$B$8&gt;0,INDEX('calcA'!U$10:U$54,'calcA'!$B$8),0)=1,8,IF(AND(C23="",IF('calcA'!$B$8&gt;0,INDEX('calcA'!U$60:U$104,'calcA'!$B$8),0)=1),9,IF(AND(C23&lt;&gt;"",IF('calcA'!$B$8&gt;0,INDEX('calcA'!U$60:U$104,'calcA'!$B$8),0)=1),10,IF(AND(C23="",'calcA'!U$5=1),11,12))))))))))))</f>
        <v/>
      </c>
      <c r="AB23">
        <f>IF(AND(D23="",'calcA'!AS$115=0),0,IF(AND(D23&lt;&gt;"",'calcA'!AS$4=0),1,IF(IF(D23="",0,IFERROR(INDEX('calcA'!AS$10:AS$54,MATCH(D23,'calcA'!$B$10:$B$54,0)),0))=1,2,IF(AND(D23&lt;&gt;"",COUNTIF($C$6:$H$29,D23)&gt;1),3,IF('calcA'!AS$4=0,4,IF(AND(D23&lt;&gt;"",'calcA'!AS$108=1),5,IF(AND(D23="",'calcA'!AS$108=1),6,IF(AND(D23&lt;&gt;"",D23=$J$5),7,IF(IF('calcA'!$B$8&gt;0,INDEX('calcA'!AS$10:AS$54,'calcA'!$B$8),0)=1,8,IF(AND(D23="",IF('calcA'!$B$8&gt;0,INDEX('calcA'!AS$60:AS$104,'calcA'!$B$8),0)=1),9,IF(AND(D23&lt;&gt;"",IF('calcA'!$B$8&gt;0,INDEX('calcA'!AS$60:AS$104,'calcA'!$B$8),0)=1),10,IF(AND(D23="",'calcA'!AS$5=1),11,12))))))))))))</f>
        <v/>
      </c>
      <c r="AC23">
        <f>IF(AND(E23="",'calcA'!BQ$115=0),0,IF(AND(E23&lt;&gt;"",'calcA'!BQ$4=0),1,IF(IF(E23="",0,IFERROR(INDEX('calcA'!BQ$10:BQ$54,MATCH(E23,'calcA'!$B$10:$B$54,0)),0))=1,2,IF(AND(E23&lt;&gt;"",COUNTIF($C$6:$H$29,E23)&gt;1),3,IF('calcA'!BQ$4=0,4,IF(AND(E23&lt;&gt;"",'calcA'!BQ$108=1),5,IF(AND(E23="",'calcA'!BQ$108=1),6,IF(AND(E23&lt;&gt;"",E23=$J$5),7,IF(IF('calcA'!$B$8&gt;0,INDEX('calcA'!BQ$10:BQ$54,'calcA'!$B$8),0)=1,8,IF(AND(E23="",IF('calcA'!$B$8&gt;0,INDEX('calcA'!BQ$60:BQ$104,'calcA'!$B$8),0)=1),9,IF(AND(E23&lt;&gt;"",IF('calcA'!$B$8&gt;0,INDEX('calcA'!BQ$60:BQ$104,'calcA'!$B$8),0)=1),10,IF(AND(E23="",'calcA'!BQ$5=1),11,12))))))))))))</f>
        <v/>
      </c>
      <c r="AD23">
        <f>IF(AND(F23="",'calcA'!CO$115=0),0,IF(AND(F23&lt;&gt;"",'calcA'!CO$4=0),1,IF(IF(F23="",0,IFERROR(INDEX('calcA'!CO$10:CO$54,MATCH(F23,'calcA'!$B$10:$B$54,0)),0))=1,2,IF(AND(F23&lt;&gt;"",COUNTIF($C$6:$H$29,F23)&gt;1),3,IF('calcA'!CO$4=0,4,IF(AND(F23&lt;&gt;"",'calcA'!CO$108=1),5,IF(AND(F23="",'calcA'!CO$108=1),6,IF(AND(F23&lt;&gt;"",F23=$J$5),7,IF(IF('calcA'!$B$8&gt;0,INDEX('calcA'!CO$10:CO$54,'calcA'!$B$8),0)=1,8,IF(AND(F23="",IF('calcA'!$B$8&gt;0,INDEX('calcA'!CO$60:CO$104,'calcA'!$B$8),0)=1),9,IF(AND(F23&lt;&gt;"",IF('calcA'!$B$8&gt;0,INDEX('calcA'!CO$60:CO$104,'calcA'!$B$8),0)=1),10,IF(AND(F23="",'calcA'!CO$5=1),11,12))))))))))))</f>
        <v/>
      </c>
      <c r="AE23">
        <f>IF(AND(G23="",'calcA'!DM$115=0),0,IF(AND(G23&lt;&gt;"",'calcA'!DM$4=0),1,IF(IF(G23="",0,IFERROR(INDEX('calcA'!DM$10:DM$54,MATCH(G23,'calcA'!$B$10:$B$54,0)),0))=1,2,IF(AND(G23&lt;&gt;"",COUNTIF($C$6:$H$29,G23)&gt;1),3,IF('calcA'!DM$4=0,4,IF(AND(G23&lt;&gt;"",'calcA'!DM$108=1),5,IF(AND(G23="",'calcA'!DM$108=1),6,IF(AND(G23&lt;&gt;"",G23=$J$5),7,IF(IF('calcA'!$B$8&gt;0,INDEX('calcA'!DM$10:DM$54,'calcA'!$B$8),0)=1,8,IF(AND(G23="",IF('calcA'!$B$8&gt;0,INDEX('calcA'!DM$60:DM$104,'calcA'!$B$8),0)=1),9,IF(AND(G23&lt;&gt;"",IF('calcA'!$B$8&gt;0,INDEX('calcA'!DM$60:DM$104,'calcA'!$B$8),0)=1),10,IF(AND(G23="",'calcA'!DM$5=1),11,12))))))))))))</f>
        <v/>
      </c>
      <c r="AF23">
        <f>IF(AND(H23="",'calcA'!EK$115=0),0,IF(AND(H23&lt;&gt;"",'calcA'!EK$4=0),1,IF(IF(H23="",0,IFERROR(INDEX('calcA'!EK$10:EK$54,MATCH(H23,'calcA'!$B$10:$B$54,0)),0))=1,2,IF(AND(H23&lt;&gt;"",COUNTIF($C$6:$H$29,H23)&gt;1),3,IF('calcA'!EK$4=0,4,IF(AND(H23&lt;&gt;"",'calcA'!EK$108=1),5,IF(AND(H23="",'calcA'!EK$108=1),6,IF(AND(H23&lt;&gt;"",H23=$J$5),7,IF(IF('calcA'!$B$8&gt;0,INDEX('calcA'!EK$10:EK$54,'calcA'!$B$8),0)=1,8,IF(AND(H23="",IF('calcA'!$B$8&gt;0,INDEX('calcA'!EK$60:EK$104,'calcA'!$B$8),0)=1),9,IF(AND(H23&lt;&gt;"",IF('calcA'!$B$8&gt;0,INDEX('calcA'!EK$60:EK$104,'calcA'!$B$8),0)=1),10,IF(AND(H23="",'calcA'!EK$5=1),11,12))))))))))))</f>
        <v/>
      </c>
    </row>
    <row r="24" ht="26" customHeight="1">
      <c r="B24" s="47">
        <f>'設定'!$I$29</f>
        <v/>
      </c>
      <c r="C24" s="28" t="n"/>
      <c r="D24" s="28" t="n"/>
      <c r="E24" s="28" t="n"/>
      <c r="F24" s="28" t="n"/>
      <c r="G24" s="28" t="n"/>
      <c r="H24" s="28" t="n"/>
      <c r="AA24">
        <f>IF(AND(C24="",'calcA'!V$115=0),0,IF(AND(C24&lt;&gt;"",'calcA'!V$4=0),1,IF(IF(C24="",0,IFERROR(INDEX('calcA'!V$10:V$54,MATCH(C24,'calcA'!$B$10:$B$54,0)),0))=1,2,IF(AND(C24&lt;&gt;"",COUNTIF($C$6:$H$29,C24)&gt;1),3,IF('calcA'!V$4=0,4,IF(AND(C24&lt;&gt;"",'calcA'!V$108=1),5,IF(AND(C24="",'calcA'!V$108=1),6,IF(AND(C24&lt;&gt;"",C24=$J$5),7,IF(IF('calcA'!$B$8&gt;0,INDEX('calcA'!V$10:V$54,'calcA'!$B$8),0)=1,8,IF(AND(C24="",IF('calcA'!$B$8&gt;0,INDEX('calcA'!V$60:V$104,'calcA'!$B$8),0)=1),9,IF(AND(C24&lt;&gt;"",IF('calcA'!$B$8&gt;0,INDEX('calcA'!V$60:V$104,'calcA'!$B$8),0)=1),10,IF(AND(C24="",'calcA'!V$5=1),11,12))))))))))))</f>
        <v/>
      </c>
      <c r="AB24">
        <f>IF(AND(D24="",'calcA'!AT$115=0),0,IF(AND(D24&lt;&gt;"",'calcA'!AT$4=0),1,IF(IF(D24="",0,IFERROR(INDEX('calcA'!AT$10:AT$54,MATCH(D24,'calcA'!$B$10:$B$54,0)),0))=1,2,IF(AND(D24&lt;&gt;"",COUNTIF($C$6:$H$29,D24)&gt;1),3,IF('calcA'!AT$4=0,4,IF(AND(D24&lt;&gt;"",'calcA'!AT$108=1),5,IF(AND(D24="",'calcA'!AT$108=1),6,IF(AND(D24&lt;&gt;"",D24=$J$5),7,IF(IF('calcA'!$B$8&gt;0,INDEX('calcA'!AT$10:AT$54,'calcA'!$B$8),0)=1,8,IF(AND(D24="",IF('calcA'!$B$8&gt;0,INDEX('calcA'!AT$60:AT$104,'calcA'!$B$8),0)=1),9,IF(AND(D24&lt;&gt;"",IF('calcA'!$B$8&gt;0,INDEX('calcA'!AT$60:AT$104,'calcA'!$B$8),0)=1),10,IF(AND(D24="",'calcA'!AT$5=1),11,12))))))))))))</f>
        <v/>
      </c>
      <c r="AC24">
        <f>IF(AND(E24="",'calcA'!BR$115=0),0,IF(AND(E24&lt;&gt;"",'calcA'!BR$4=0),1,IF(IF(E24="",0,IFERROR(INDEX('calcA'!BR$10:BR$54,MATCH(E24,'calcA'!$B$10:$B$54,0)),0))=1,2,IF(AND(E24&lt;&gt;"",COUNTIF($C$6:$H$29,E24)&gt;1),3,IF('calcA'!BR$4=0,4,IF(AND(E24&lt;&gt;"",'calcA'!BR$108=1),5,IF(AND(E24="",'calcA'!BR$108=1),6,IF(AND(E24&lt;&gt;"",E24=$J$5),7,IF(IF('calcA'!$B$8&gt;0,INDEX('calcA'!BR$10:BR$54,'calcA'!$B$8),0)=1,8,IF(AND(E24="",IF('calcA'!$B$8&gt;0,INDEX('calcA'!BR$60:BR$104,'calcA'!$B$8),0)=1),9,IF(AND(E24&lt;&gt;"",IF('calcA'!$B$8&gt;0,INDEX('calcA'!BR$60:BR$104,'calcA'!$B$8),0)=1),10,IF(AND(E24="",'calcA'!BR$5=1),11,12))))))))))))</f>
        <v/>
      </c>
      <c r="AD24">
        <f>IF(AND(F24="",'calcA'!CP$115=0),0,IF(AND(F24&lt;&gt;"",'calcA'!CP$4=0),1,IF(IF(F24="",0,IFERROR(INDEX('calcA'!CP$10:CP$54,MATCH(F24,'calcA'!$B$10:$B$54,0)),0))=1,2,IF(AND(F24&lt;&gt;"",COUNTIF($C$6:$H$29,F24)&gt;1),3,IF('calcA'!CP$4=0,4,IF(AND(F24&lt;&gt;"",'calcA'!CP$108=1),5,IF(AND(F24="",'calcA'!CP$108=1),6,IF(AND(F24&lt;&gt;"",F24=$J$5),7,IF(IF('calcA'!$B$8&gt;0,INDEX('calcA'!CP$10:CP$54,'calcA'!$B$8),0)=1,8,IF(AND(F24="",IF('calcA'!$B$8&gt;0,INDEX('calcA'!CP$60:CP$104,'calcA'!$B$8),0)=1),9,IF(AND(F24&lt;&gt;"",IF('calcA'!$B$8&gt;0,INDEX('calcA'!CP$60:CP$104,'calcA'!$B$8),0)=1),10,IF(AND(F24="",'calcA'!CP$5=1),11,12))))))))))))</f>
        <v/>
      </c>
      <c r="AE24">
        <f>IF(AND(G24="",'calcA'!DN$115=0),0,IF(AND(G24&lt;&gt;"",'calcA'!DN$4=0),1,IF(IF(G24="",0,IFERROR(INDEX('calcA'!DN$10:DN$54,MATCH(G24,'calcA'!$B$10:$B$54,0)),0))=1,2,IF(AND(G24&lt;&gt;"",COUNTIF($C$6:$H$29,G24)&gt;1),3,IF('calcA'!DN$4=0,4,IF(AND(G24&lt;&gt;"",'calcA'!DN$108=1),5,IF(AND(G24="",'calcA'!DN$108=1),6,IF(AND(G24&lt;&gt;"",G24=$J$5),7,IF(IF('calcA'!$B$8&gt;0,INDEX('calcA'!DN$10:DN$54,'calcA'!$B$8),0)=1,8,IF(AND(G24="",IF('calcA'!$B$8&gt;0,INDEX('calcA'!DN$60:DN$104,'calcA'!$B$8),0)=1),9,IF(AND(G24&lt;&gt;"",IF('calcA'!$B$8&gt;0,INDEX('calcA'!DN$60:DN$104,'calcA'!$B$8),0)=1),10,IF(AND(G24="",'calcA'!DN$5=1),11,12))))))))))))</f>
        <v/>
      </c>
      <c r="AF24">
        <f>IF(AND(H24="",'calcA'!EL$115=0),0,IF(AND(H24&lt;&gt;"",'calcA'!EL$4=0),1,IF(IF(H24="",0,IFERROR(INDEX('calcA'!EL$10:EL$54,MATCH(H24,'calcA'!$B$10:$B$54,0)),0))=1,2,IF(AND(H24&lt;&gt;"",COUNTIF($C$6:$H$29,H24)&gt;1),3,IF('calcA'!EL$4=0,4,IF(AND(H24&lt;&gt;"",'calcA'!EL$108=1),5,IF(AND(H24="",'calcA'!EL$108=1),6,IF(AND(H24&lt;&gt;"",H24=$J$5),7,IF(IF('calcA'!$B$8&gt;0,INDEX('calcA'!EL$10:EL$54,'calcA'!$B$8),0)=1,8,IF(AND(H24="",IF('calcA'!$B$8&gt;0,INDEX('calcA'!EL$60:EL$104,'calcA'!$B$8),0)=1),9,IF(AND(H24&lt;&gt;"",IF('calcA'!$B$8&gt;0,INDEX('calcA'!EL$60:EL$104,'calcA'!$B$8),0)=1),10,IF(AND(H24="",'calcA'!EL$5=1),11,12))))))))))))</f>
        <v/>
      </c>
    </row>
    <row r="25" ht="26" customHeight="1">
      <c r="B25" s="47">
        <f>'設定'!$I$30</f>
        <v/>
      </c>
      <c r="C25" s="28" t="n"/>
      <c r="D25" s="28" t="n"/>
      <c r="E25" s="28" t="n"/>
      <c r="F25" s="28" t="n"/>
      <c r="G25" s="28" t="n"/>
      <c r="H25" s="28" t="n"/>
      <c r="AA25">
        <f>IF(AND(C25="",'calcA'!W$115=0),0,IF(AND(C25&lt;&gt;"",'calcA'!W$4=0),1,IF(IF(C25="",0,IFERROR(INDEX('calcA'!W$10:W$54,MATCH(C25,'calcA'!$B$10:$B$54,0)),0))=1,2,IF(AND(C25&lt;&gt;"",COUNTIF($C$6:$H$29,C25)&gt;1),3,IF('calcA'!W$4=0,4,IF(AND(C25&lt;&gt;"",'calcA'!W$108=1),5,IF(AND(C25="",'calcA'!W$108=1),6,IF(AND(C25&lt;&gt;"",C25=$J$5),7,IF(IF('calcA'!$B$8&gt;0,INDEX('calcA'!W$10:W$54,'calcA'!$B$8),0)=1,8,IF(AND(C25="",IF('calcA'!$B$8&gt;0,INDEX('calcA'!W$60:W$104,'calcA'!$B$8),0)=1),9,IF(AND(C25&lt;&gt;"",IF('calcA'!$B$8&gt;0,INDEX('calcA'!W$60:W$104,'calcA'!$B$8),0)=1),10,IF(AND(C25="",'calcA'!W$5=1),11,12))))))))))))</f>
        <v/>
      </c>
      <c r="AB25">
        <f>IF(AND(D25="",'calcA'!AU$115=0),0,IF(AND(D25&lt;&gt;"",'calcA'!AU$4=0),1,IF(IF(D25="",0,IFERROR(INDEX('calcA'!AU$10:AU$54,MATCH(D25,'calcA'!$B$10:$B$54,0)),0))=1,2,IF(AND(D25&lt;&gt;"",COUNTIF($C$6:$H$29,D25)&gt;1),3,IF('calcA'!AU$4=0,4,IF(AND(D25&lt;&gt;"",'calcA'!AU$108=1),5,IF(AND(D25="",'calcA'!AU$108=1),6,IF(AND(D25&lt;&gt;"",D25=$J$5),7,IF(IF('calcA'!$B$8&gt;0,INDEX('calcA'!AU$10:AU$54,'calcA'!$B$8),0)=1,8,IF(AND(D25="",IF('calcA'!$B$8&gt;0,INDEX('calcA'!AU$60:AU$104,'calcA'!$B$8),0)=1),9,IF(AND(D25&lt;&gt;"",IF('calcA'!$B$8&gt;0,INDEX('calcA'!AU$60:AU$104,'calcA'!$B$8),0)=1),10,IF(AND(D25="",'calcA'!AU$5=1),11,12))))))))))))</f>
        <v/>
      </c>
      <c r="AC25">
        <f>IF(AND(E25="",'calcA'!BS$115=0),0,IF(AND(E25&lt;&gt;"",'calcA'!BS$4=0),1,IF(IF(E25="",0,IFERROR(INDEX('calcA'!BS$10:BS$54,MATCH(E25,'calcA'!$B$10:$B$54,0)),0))=1,2,IF(AND(E25&lt;&gt;"",COUNTIF($C$6:$H$29,E25)&gt;1),3,IF('calcA'!BS$4=0,4,IF(AND(E25&lt;&gt;"",'calcA'!BS$108=1),5,IF(AND(E25="",'calcA'!BS$108=1),6,IF(AND(E25&lt;&gt;"",E25=$J$5),7,IF(IF('calcA'!$B$8&gt;0,INDEX('calcA'!BS$10:BS$54,'calcA'!$B$8),0)=1,8,IF(AND(E25="",IF('calcA'!$B$8&gt;0,INDEX('calcA'!BS$60:BS$104,'calcA'!$B$8),0)=1),9,IF(AND(E25&lt;&gt;"",IF('calcA'!$B$8&gt;0,INDEX('calcA'!BS$60:BS$104,'calcA'!$B$8),0)=1),10,IF(AND(E25="",'calcA'!BS$5=1),11,12))))))))))))</f>
        <v/>
      </c>
      <c r="AD25">
        <f>IF(AND(F25="",'calcA'!CQ$115=0),0,IF(AND(F25&lt;&gt;"",'calcA'!CQ$4=0),1,IF(IF(F25="",0,IFERROR(INDEX('calcA'!CQ$10:CQ$54,MATCH(F25,'calcA'!$B$10:$B$54,0)),0))=1,2,IF(AND(F25&lt;&gt;"",COUNTIF($C$6:$H$29,F25)&gt;1),3,IF('calcA'!CQ$4=0,4,IF(AND(F25&lt;&gt;"",'calcA'!CQ$108=1),5,IF(AND(F25="",'calcA'!CQ$108=1),6,IF(AND(F25&lt;&gt;"",F25=$J$5),7,IF(IF('calcA'!$B$8&gt;0,INDEX('calcA'!CQ$10:CQ$54,'calcA'!$B$8),0)=1,8,IF(AND(F25="",IF('calcA'!$B$8&gt;0,INDEX('calcA'!CQ$60:CQ$104,'calcA'!$B$8),0)=1),9,IF(AND(F25&lt;&gt;"",IF('calcA'!$B$8&gt;0,INDEX('calcA'!CQ$60:CQ$104,'calcA'!$B$8),0)=1),10,IF(AND(F25="",'calcA'!CQ$5=1),11,12))))))))))))</f>
        <v/>
      </c>
      <c r="AE25">
        <f>IF(AND(G25="",'calcA'!DO$115=0),0,IF(AND(G25&lt;&gt;"",'calcA'!DO$4=0),1,IF(IF(G25="",0,IFERROR(INDEX('calcA'!DO$10:DO$54,MATCH(G25,'calcA'!$B$10:$B$54,0)),0))=1,2,IF(AND(G25&lt;&gt;"",COUNTIF($C$6:$H$29,G25)&gt;1),3,IF('calcA'!DO$4=0,4,IF(AND(G25&lt;&gt;"",'calcA'!DO$108=1),5,IF(AND(G25="",'calcA'!DO$108=1),6,IF(AND(G25&lt;&gt;"",G25=$J$5),7,IF(IF('calcA'!$B$8&gt;0,INDEX('calcA'!DO$10:DO$54,'calcA'!$B$8),0)=1,8,IF(AND(G25="",IF('calcA'!$B$8&gt;0,INDEX('calcA'!DO$60:DO$104,'calcA'!$B$8),0)=1),9,IF(AND(G25&lt;&gt;"",IF('calcA'!$B$8&gt;0,INDEX('calcA'!DO$60:DO$104,'calcA'!$B$8),0)=1),10,IF(AND(G25="",'calcA'!DO$5=1),11,12))))))))))))</f>
        <v/>
      </c>
      <c r="AF25">
        <f>IF(AND(H25="",'calcA'!EM$115=0),0,IF(AND(H25&lt;&gt;"",'calcA'!EM$4=0),1,IF(IF(H25="",0,IFERROR(INDEX('calcA'!EM$10:EM$54,MATCH(H25,'calcA'!$B$10:$B$54,0)),0))=1,2,IF(AND(H25&lt;&gt;"",COUNTIF($C$6:$H$29,H25)&gt;1),3,IF('calcA'!EM$4=0,4,IF(AND(H25&lt;&gt;"",'calcA'!EM$108=1),5,IF(AND(H25="",'calcA'!EM$108=1),6,IF(AND(H25&lt;&gt;"",H25=$J$5),7,IF(IF('calcA'!$B$8&gt;0,INDEX('calcA'!EM$10:EM$54,'calcA'!$B$8),0)=1,8,IF(AND(H25="",IF('calcA'!$B$8&gt;0,INDEX('calcA'!EM$60:EM$104,'calcA'!$B$8),0)=1),9,IF(AND(H25&lt;&gt;"",IF('calcA'!$B$8&gt;0,INDEX('calcA'!EM$60:EM$104,'calcA'!$B$8),0)=1),10,IF(AND(H25="",'calcA'!EM$5=1),11,12))))))))))))</f>
        <v/>
      </c>
    </row>
    <row r="26" ht="26" customHeight="1">
      <c r="B26" s="47">
        <f>'設定'!$I$31</f>
        <v/>
      </c>
      <c r="C26" s="28" t="n"/>
      <c r="D26" s="28" t="n"/>
      <c r="E26" s="28" t="n"/>
      <c r="F26" s="28" t="n"/>
      <c r="G26" s="28" t="n"/>
      <c r="H26" s="28" t="n"/>
      <c r="AA26">
        <f>IF(AND(C26="",'calcA'!X$115=0),0,IF(AND(C26&lt;&gt;"",'calcA'!X$4=0),1,IF(IF(C26="",0,IFERROR(INDEX('calcA'!X$10:X$54,MATCH(C26,'calcA'!$B$10:$B$54,0)),0))=1,2,IF(AND(C26&lt;&gt;"",COUNTIF($C$6:$H$29,C26)&gt;1),3,IF('calcA'!X$4=0,4,IF(AND(C26&lt;&gt;"",'calcA'!X$108=1),5,IF(AND(C26="",'calcA'!X$108=1),6,IF(AND(C26&lt;&gt;"",C26=$J$5),7,IF(IF('calcA'!$B$8&gt;0,INDEX('calcA'!X$10:X$54,'calcA'!$B$8),0)=1,8,IF(AND(C26="",IF('calcA'!$B$8&gt;0,INDEX('calcA'!X$60:X$104,'calcA'!$B$8),0)=1),9,IF(AND(C26&lt;&gt;"",IF('calcA'!$B$8&gt;0,INDEX('calcA'!X$60:X$104,'calcA'!$B$8),0)=1),10,IF(AND(C26="",'calcA'!X$5=1),11,12))))))))))))</f>
        <v/>
      </c>
      <c r="AB26">
        <f>IF(AND(D26="",'calcA'!AV$115=0),0,IF(AND(D26&lt;&gt;"",'calcA'!AV$4=0),1,IF(IF(D26="",0,IFERROR(INDEX('calcA'!AV$10:AV$54,MATCH(D26,'calcA'!$B$10:$B$54,0)),0))=1,2,IF(AND(D26&lt;&gt;"",COUNTIF($C$6:$H$29,D26)&gt;1),3,IF('calcA'!AV$4=0,4,IF(AND(D26&lt;&gt;"",'calcA'!AV$108=1),5,IF(AND(D26="",'calcA'!AV$108=1),6,IF(AND(D26&lt;&gt;"",D26=$J$5),7,IF(IF('calcA'!$B$8&gt;0,INDEX('calcA'!AV$10:AV$54,'calcA'!$B$8),0)=1,8,IF(AND(D26="",IF('calcA'!$B$8&gt;0,INDEX('calcA'!AV$60:AV$104,'calcA'!$B$8),0)=1),9,IF(AND(D26&lt;&gt;"",IF('calcA'!$B$8&gt;0,INDEX('calcA'!AV$60:AV$104,'calcA'!$B$8),0)=1),10,IF(AND(D26="",'calcA'!AV$5=1),11,12))))))))))))</f>
        <v/>
      </c>
      <c r="AC26">
        <f>IF(AND(E26="",'calcA'!BT$115=0),0,IF(AND(E26&lt;&gt;"",'calcA'!BT$4=0),1,IF(IF(E26="",0,IFERROR(INDEX('calcA'!BT$10:BT$54,MATCH(E26,'calcA'!$B$10:$B$54,0)),0))=1,2,IF(AND(E26&lt;&gt;"",COUNTIF($C$6:$H$29,E26)&gt;1),3,IF('calcA'!BT$4=0,4,IF(AND(E26&lt;&gt;"",'calcA'!BT$108=1),5,IF(AND(E26="",'calcA'!BT$108=1),6,IF(AND(E26&lt;&gt;"",E26=$J$5),7,IF(IF('calcA'!$B$8&gt;0,INDEX('calcA'!BT$10:BT$54,'calcA'!$B$8),0)=1,8,IF(AND(E26="",IF('calcA'!$B$8&gt;0,INDEX('calcA'!BT$60:BT$104,'calcA'!$B$8),0)=1),9,IF(AND(E26&lt;&gt;"",IF('calcA'!$B$8&gt;0,INDEX('calcA'!BT$60:BT$104,'calcA'!$B$8),0)=1),10,IF(AND(E26="",'calcA'!BT$5=1),11,12))))))))))))</f>
        <v/>
      </c>
      <c r="AD26">
        <f>IF(AND(F26="",'calcA'!CR$115=0),0,IF(AND(F26&lt;&gt;"",'calcA'!CR$4=0),1,IF(IF(F26="",0,IFERROR(INDEX('calcA'!CR$10:CR$54,MATCH(F26,'calcA'!$B$10:$B$54,0)),0))=1,2,IF(AND(F26&lt;&gt;"",COUNTIF($C$6:$H$29,F26)&gt;1),3,IF('calcA'!CR$4=0,4,IF(AND(F26&lt;&gt;"",'calcA'!CR$108=1),5,IF(AND(F26="",'calcA'!CR$108=1),6,IF(AND(F26&lt;&gt;"",F26=$J$5),7,IF(IF('calcA'!$B$8&gt;0,INDEX('calcA'!CR$10:CR$54,'calcA'!$B$8),0)=1,8,IF(AND(F26="",IF('calcA'!$B$8&gt;0,INDEX('calcA'!CR$60:CR$104,'calcA'!$B$8),0)=1),9,IF(AND(F26&lt;&gt;"",IF('calcA'!$B$8&gt;0,INDEX('calcA'!CR$60:CR$104,'calcA'!$B$8),0)=1),10,IF(AND(F26="",'calcA'!CR$5=1),11,12))))))))))))</f>
        <v/>
      </c>
      <c r="AE26">
        <f>IF(AND(G26="",'calcA'!DP$115=0),0,IF(AND(G26&lt;&gt;"",'calcA'!DP$4=0),1,IF(IF(G26="",0,IFERROR(INDEX('calcA'!DP$10:DP$54,MATCH(G26,'calcA'!$B$10:$B$54,0)),0))=1,2,IF(AND(G26&lt;&gt;"",COUNTIF($C$6:$H$29,G26)&gt;1),3,IF('calcA'!DP$4=0,4,IF(AND(G26&lt;&gt;"",'calcA'!DP$108=1),5,IF(AND(G26="",'calcA'!DP$108=1),6,IF(AND(G26&lt;&gt;"",G26=$J$5),7,IF(IF('calcA'!$B$8&gt;0,INDEX('calcA'!DP$10:DP$54,'calcA'!$B$8),0)=1,8,IF(AND(G26="",IF('calcA'!$B$8&gt;0,INDEX('calcA'!DP$60:DP$104,'calcA'!$B$8),0)=1),9,IF(AND(G26&lt;&gt;"",IF('calcA'!$B$8&gt;0,INDEX('calcA'!DP$60:DP$104,'calcA'!$B$8),0)=1),10,IF(AND(G26="",'calcA'!DP$5=1),11,12))))))))))))</f>
        <v/>
      </c>
      <c r="AF26">
        <f>IF(AND(H26="",'calcA'!EN$115=0),0,IF(AND(H26&lt;&gt;"",'calcA'!EN$4=0),1,IF(IF(H26="",0,IFERROR(INDEX('calcA'!EN$10:EN$54,MATCH(H26,'calcA'!$B$10:$B$54,0)),0))=1,2,IF(AND(H26&lt;&gt;"",COUNTIF($C$6:$H$29,H26)&gt;1),3,IF('calcA'!EN$4=0,4,IF(AND(H26&lt;&gt;"",'calcA'!EN$108=1),5,IF(AND(H26="",'calcA'!EN$108=1),6,IF(AND(H26&lt;&gt;"",H26=$J$5),7,IF(IF('calcA'!$B$8&gt;0,INDEX('calcA'!EN$10:EN$54,'calcA'!$B$8),0)=1,8,IF(AND(H26="",IF('calcA'!$B$8&gt;0,INDEX('calcA'!EN$60:EN$104,'calcA'!$B$8),0)=1),9,IF(AND(H26&lt;&gt;"",IF('calcA'!$B$8&gt;0,INDEX('calcA'!EN$60:EN$104,'calcA'!$B$8),0)=1),10,IF(AND(H26="",'calcA'!EN$5=1),11,12))))))))))))</f>
        <v/>
      </c>
    </row>
    <row r="27" ht="26" customHeight="1">
      <c r="B27" s="47">
        <f>'設定'!$I$32</f>
        <v/>
      </c>
      <c r="C27" s="28" t="n"/>
      <c r="D27" s="28" t="n"/>
      <c r="E27" s="28" t="n"/>
      <c r="F27" s="28" t="n"/>
      <c r="G27" s="28" t="n"/>
      <c r="H27" s="28" t="n"/>
      <c r="AA27">
        <f>IF(AND(C27="",'calcA'!Y$115=0),0,IF(AND(C27&lt;&gt;"",'calcA'!Y$4=0),1,IF(IF(C27="",0,IFERROR(INDEX('calcA'!Y$10:Y$54,MATCH(C27,'calcA'!$B$10:$B$54,0)),0))=1,2,IF(AND(C27&lt;&gt;"",COUNTIF($C$6:$H$29,C27)&gt;1),3,IF('calcA'!Y$4=0,4,IF(AND(C27&lt;&gt;"",'calcA'!Y$108=1),5,IF(AND(C27="",'calcA'!Y$108=1),6,IF(AND(C27&lt;&gt;"",C27=$J$5),7,IF(IF('calcA'!$B$8&gt;0,INDEX('calcA'!Y$10:Y$54,'calcA'!$B$8),0)=1,8,IF(AND(C27="",IF('calcA'!$B$8&gt;0,INDEX('calcA'!Y$60:Y$104,'calcA'!$B$8),0)=1),9,IF(AND(C27&lt;&gt;"",IF('calcA'!$B$8&gt;0,INDEX('calcA'!Y$60:Y$104,'calcA'!$B$8),0)=1),10,IF(AND(C27="",'calcA'!Y$5=1),11,12))))))))))))</f>
        <v/>
      </c>
      <c r="AB27">
        <f>IF(AND(D27="",'calcA'!AW$115=0),0,IF(AND(D27&lt;&gt;"",'calcA'!AW$4=0),1,IF(IF(D27="",0,IFERROR(INDEX('calcA'!AW$10:AW$54,MATCH(D27,'calcA'!$B$10:$B$54,0)),0))=1,2,IF(AND(D27&lt;&gt;"",COUNTIF($C$6:$H$29,D27)&gt;1),3,IF('calcA'!AW$4=0,4,IF(AND(D27&lt;&gt;"",'calcA'!AW$108=1),5,IF(AND(D27="",'calcA'!AW$108=1),6,IF(AND(D27&lt;&gt;"",D27=$J$5),7,IF(IF('calcA'!$B$8&gt;0,INDEX('calcA'!AW$10:AW$54,'calcA'!$B$8),0)=1,8,IF(AND(D27="",IF('calcA'!$B$8&gt;0,INDEX('calcA'!AW$60:AW$104,'calcA'!$B$8),0)=1),9,IF(AND(D27&lt;&gt;"",IF('calcA'!$B$8&gt;0,INDEX('calcA'!AW$60:AW$104,'calcA'!$B$8),0)=1),10,IF(AND(D27="",'calcA'!AW$5=1),11,12))))))))))))</f>
        <v/>
      </c>
      <c r="AC27">
        <f>IF(AND(E27="",'calcA'!BU$115=0),0,IF(AND(E27&lt;&gt;"",'calcA'!BU$4=0),1,IF(IF(E27="",0,IFERROR(INDEX('calcA'!BU$10:BU$54,MATCH(E27,'calcA'!$B$10:$B$54,0)),0))=1,2,IF(AND(E27&lt;&gt;"",COUNTIF($C$6:$H$29,E27)&gt;1),3,IF('calcA'!BU$4=0,4,IF(AND(E27&lt;&gt;"",'calcA'!BU$108=1),5,IF(AND(E27="",'calcA'!BU$108=1),6,IF(AND(E27&lt;&gt;"",E27=$J$5),7,IF(IF('calcA'!$B$8&gt;0,INDEX('calcA'!BU$10:BU$54,'calcA'!$B$8),0)=1,8,IF(AND(E27="",IF('calcA'!$B$8&gt;0,INDEX('calcA'!BU$60:BU$104,'calcA'!$B$8),0)=1),9,IF(AND(E27&lt;&gt;"",IF('calcA'!$B$8&gt;0,INDEX('calcA'!BU$60:BU$104,'calcA'!$B$8),0)=1),10,IF(AND(E27="",'calcA'!BU$5=1),11,12))))))))))))</f>
        <v/>
      </c>
      <c r="AD27">
        <f>IF(AND(F27="",'calcA'!CS$115=0),0,IF(AND(F27&lt;&gt;"",'calcA'!CS$4=0),1,IF(IF(F27="",0,IFERROR(INDEX('calcA'!CS$10:CS$54,MATCH(F27,'calcA'!$B$10:$B$54,0)),0))=1,2,IF(AND(F27&lt;&gt;"",COUNTIF($C$6:$H$29,F27)&gt;1),3,IF('calcA'!CS$4=0,4,IF(AND(F27&lt;&gt;"",'calcA'!CS$108=1),5,IF(AND(F27="",'calcA'!CS$108=1),6,IF(AND(F27&lt;&gt;"",F27=$J$5),7,IF(IF('calcA'!$B$8&gt;0,INDEX('calcA'!CS$10:CS$54,'calcA'!$B$8),0)=1,8,IF(AND(F27="",IF('calcA'!$B$8&gt;0,INDEX('calcA'!CS$60:CS$104,'calcA'!$B$8),0)=1),9,IF(AND(F27&lt;&gt;"",IF('calcA'!$B$8&gt;0,INDEX('calcA'!CS$60:CS$104,'calcA'!$B$8),0)=1),10,IF(AND(F27="",'calcA'!CS$5=1),11,12))))))))))))</f>
        <v/>
      </c>
      <c r="AE27">
        <f>IF(AND(G27="",'calcA'!DQ$115=0),0,IF(AND(G27&lt;&gt;"",'calcA'!DQ$4=0),1,IF(IF(G27="",0,IFERROR(INDEX('calcA'!DQ$10:DQ$54,MATCH(G27,'calcA'!$B$10:$B$54,0)),0))=1,2,IF(AND(G27&lt;&gt;"",COUNTIF($C$6:$H$29,G27)&gt;1),3,IF('calcA'!DQ$4=0,4,IF(AND(G27&lt;&gt;"",'calcA'!DQ$108=1),5,IF(AND(G27="",'calcA'!DQ$108=1),6,IF(AND(G27&lt;&gt;"",G27=$J$5),7,IF(IF('calcA'!$B$8&gt;0,INDEX('calcA'!DQ$10:DQ$54,'calcA'!$B$8),0)=1,8,IF(AND(G27="",IF('calcA'!$B$8&gt;0,INDEX('calcA'!DQ$60:DQ$104,'calcA'!$B$8),0)=1),9,IF(AND(G27&lt;&gt;"",IF('calcA'!$B$8&gt;0,INDEX('calcA'!DQ$60:DQ$104,'calcA'!$B$8),0)=1),10,IF(AND(G27="",'calcA'!DQ$5=1),11,12))))))))))))</f>
        <v/>
      </c>
      <c r="AF27">
        <f>IF(AND(H27="",'calcA'!EO$115=0),0,IF(AND(H27&lt;&gt;"",'calcA'!EO$4=0),1,IF(IF(H27="",0,IFERROR(INDEX('calcA'!EO$10:EO$54,MATCH(H27,'calcA'!$B$10:$B$54,0)),0))=1,2,IF(AND(H27&lt;&gt;"",COUNTIF($C$6:$H$29,H27)&gt;1),3,IF('calcA'!EO$4=0,4,IF(AND(H27&lt;&gt;"",'calcA'!EO$108=1),5,IF(AND(H27="",'calcA'!EO$108=1),6,IF(AND(H27&lt;&gt;"",H27=$J$5),7,IF(IF('calcA'!$B$8&gt;0,INDEX('calcA'!EO$10:EO$54,'calcA'!$B$8),0)=1,8,IF(AND(H27="",IF('calcA'!$B$8&gt;0,INDEX('calcA'!EO$60:EO$104,'calcA'!$B$8),0)=1),9,IF(AND(H27&lt;&gt;"",IF('calcA'!$B$8&gt;0,INDEX('calcA'!EO$60:EO$104,'calcA'!$B$8),0)=1),10,IF(AND(H27="",'calcA'!EO$5=1),11,12))))))))))))</f>
        <v/>
      </c>
    </row>
    <row r="28" ht="26" customHeight="1">
      <c r="B28" s="47">
        <f>'設定'!$I$33</f>
        <v/>
      </c>
      <c r="C28" s="28" t="n"/>
      <c r="D28" s="28" t="n"/>
      <c r="E28" s="28" t="n"/>
      <c r="F28" s="28" t="n"/>
      <c r="G28" s="28" t="n"/>
      <c r="H28" s="28" t="n"/>
      <c r="AA28">
        <f>IF(AND(C28="",'calcA'!Z$115=0),0,IF(AND(C28&lt;&gt;"",'calcA'!Z$4=0),1,IF(IF(C28="",0,IFERROR(INDEX('calcA'!Z$10:Z$54,MATCH(C28,'calcA'!$B$10:$B$54,0)),0))=1,2,IF(AND(C28&lt;&gt;"",COUNTIF($C$6:$H$29,C28)&gt;1),3,IF('calcA'!Z$4=0,4,IF(AND(C28&lt;&gt;"",'calcA'!Z$108=1),5,IF(AND(C28="",'calcA'!Z$108=1),6,IF(AND(C28&lt;&gt;"",C28=$J$5),7,IF(IF('calcA'!$B$8&gt;0,INDEX('calcA'!Z$10:Z$54,'calcA'!$B$8),0)=1,8,IF(AND(C28="",IF('calcA'!$B$8&gt;0,INDEX('calcA'!Z$60:Z$104,'calcA'!$B$8),0)=1),9,IF(AND(C28&lt;&gt;"",IF('calcA'!$B$8&gt;0,INDEX('calcA'!Z$60:Z$104,'calcA'!$B$8),0)=1),10,IF(AND(C28="",'calcA'!Z$5=1),11,12))))))))))))</f>
        <v/>
      </c>
      <c r="AB28">
        <f>IF(AND(D28="",'calcA'!AX$115=0),0,IF(AND(D28&lt;&gt;"",'calcA'!AX$4=0),1,IF(IF(D28="",0,IFERROR(INDEX('calcA'!AX$10:AX$54,MATCH(D28,'calcA'!$B$10:$B$54,0)),0))=1,2,IF(AND(D28&lt;&gt;"",COUNTIF($C$6:$H$29,D28)&gt;1),3,IF('calcA'!AX$4=0,4,IF(AND(D28&lt;&gt;"",'calcA'!AX$108=1),5,IF(AND(D28="",'calcA'!AX$108=1),6,IF(AND(D28&lt;&gt;"",D28=$J$5),7,IF(IF('calcA'!$B$8&gt;0,INDEX('calcA'!AX$10:AX$54,'calcA'!$B$8),0)=1,8,IF(AND(D28="",IF('calcA'!$B$8&gt;0,INDEX('calcA'!AX$60:AX$104,'calcA'!$B$8),0)=1),9,IF(AND(D28&lt;&gt;"",IF('calcA'!$B$8&gt;0,INDEX('calcA'!AX$60:AX$104,'calcA'!$B$8),0)=1),10,IF(AND(D28="",'calcA'!AX$5=1),11,12))))))))))))</f>
        <v/>
      </c>
      <c r="AC28">
        <f>IF(AND(E28="",'calcA'!BV$115=0),0,IF(AND(E28&lt;&gt;"",'calcA'!BV$4=0),1,IF(IF(E28="",0,IFERROR(INDEX('calcA'!BV$10:BV$54,MATCH(E28,'calcA'!$B$10:$B$54,0)),0))=1,2,IF(AND(E28&lt;&gt;"",COUNTIF($C$6:$H$29,E28)&gt;1),3,IF('calcA'!BV$4=0,4,IF(AND(E28&lt;&gt;"",'calcA'!BV$108=1),5,IF(AND(E28="",'calcA'!BV$108=1),6,IF(AND(E28&lt;&gt;"",E28=$J$5),7,IF(IF('calcA'!$B$8&gt;0,INDEX('calcA'!BV$10:BV$54,'calcA'!$B$8),0)=1,8,IF(AND(E28="",IF('calcA'!$B$8&gt;0,INDEX('calcA'!BV$60:BV$104,'calcA'!$B$8),0)=1),9,IF(AND(E28&lt;&gt;"",IF('calcA'!$B$8&gt;0,INDEX('calcA'!BV$60:BV$104,'calcA'!$B$8),0)=1),10,IF(AND(E28="",'calcA'!BV$5=1),11,12))))))))))))</f>
        <v/>
      </c>
      <c r="AD28">
        <f>IF(AND(F28="",'calcA'!CT$115=0),0,IF(AND(F28&lt;&gt;"",'calcA'!CT$4=0),1,IF(IF(F28="",0,IFERROR(INDEX('calcA'!CT$10:CT$54,MATCH(F28,'calcA'!$B$10:$B$54,0)),0))=1,2,IF(AND(F28&lt;&gt;"",COUNTIF($C$6:$H$29,F28)&gt;1),3,IF('calcA'!CT$4=0,4,IF(AND(F28&lt;&gt;"",'calcA'!CT$108=1),5,IF(AND(F28="",'calcA'!CT$108=1),6,IF(AND(F28&lt;&gt;"",F28=$J$5),7,IF(IF('calcA'!$B$8&gt;0,INDEX('calcA'!CT$10:CT$54,'calcA'!$B$8),0)=1,8,IF(AND(F28="",IF('calcA'!$B$8&gt;0,INDEX('calcA'!CT$60:CT$104,'calcA'!$B$8),0)=1),9,IF(AND(F28&lt;&gt;"",IF('calcA'!$B$8&gt;0,INDEX('calcA'!CT$60:CT$104,'calcA'!$B$8),0)=1),10,IF(AND(F28="",'calcA'!CT$5=1),11,12))))))))))))</f>
        <v/>
      </c>
      <c r="AE28">
        <f>IF(AND(G28="",'calcA'!DR$115=0),0,IF(AND(G28&lt;&gt;"",'calcA'!DR$4=0),1,IF(IF(G28="",0,IFERROR(INDEX('calcA'!DR$10:DR$54,MATCH(G28,'calcA'!$B$10:$B$54,0)),0))=1,2,IF(AND(G28&lt;&gt;"",COUNTIF($C$6:$H$29,G28)&gt;1),3,IF('calcA'!DR$4=0,4,IF(AND(G28&lt;&gt;"",'calcA'!DR$108=1),5,IF(AND(G28="",'calcA'!DR$108=1),6,IF(AND(G28&lt;&gt;"",G28=$J$5),7,IF(IF('calcA'!$B$8&gt;0,INDEX('calcA'!DR$10:DR$54,'calcA'!$B$8),0)=1,8,IF(AND(G28="",IF('calcA'!$B$8&gt;0,INDEX('calcA'!DR$60:DR$104,'calcA'!$B$8),0)=1),9,IF(AND(G28&lt;&gt;"",IF('calcA'!$B$8&gt;0,INDEX('calcA'!DR$60:DR$104,'calcA'!$B$8),0)=1),10,IF(AND(G28="",'calcA'!DR$5=1),11,12))))))))))))</f>
        <v/>
      </c>
      <c r="AF28">
        <f>IF(AND(H28="",'calcA'!EP$115=0),0,IF(AND(H28&lt;&gt;"",'calcA'!EP$4=0),1,IF(IF(H28="",0,IFERROR(INDEX('calcA'!EP$10:EP$54,MATCH(H28,'calcA'!$B$10:$B$54,0)),0))=1,2,IF(AND(H28&lt;&gt;"",COUNTIF($C$6:$H$29,H28)&gt;1),3,IF('calcA'!EP$4=0,4,IF(AND(H28&lt;&gt;"",'calcA'!EP$108=1),5,IF(AND(H28="",'calcA'!EP$108=1),6,IF(AND(H28&lt;&gt;"",H28=$J$5),7,IF(IF('calcA'!$B$8&gt;0,INDEX('calcA'!EP$10:EP$54,'calcA'!$B$8),0)=1,8,IF(AND(H28="",IF('calcA'!$B$8&gt;0,INDEX('calcA'!EP$60:EP$104,'calcA'!$B$8),0)=1),9,IF(AND(H28&lt;&gt;"",IF('calcA'!$B$8&gt;0,INDEX('calcA'!EP$60:EP$104,'calcA'!$B$8),0)=1),10,IF(AND(H28="",'calcA'!EP$5=1),11,12))))))))))))</f>
        <v/>
      </c>
    </row>
    <row r="29" ht="26" customHeight="1">
      <c r="B29" s="47">
        <f>'設定'!$I$34</f>
        <v/>
      </c>
      <c r="C29" s="28" t="n"/>
      <c r="D29" s="28" t="n"/>
      <c r="E29" s="28" t="n"/>
      <c r="F29" s="28" t="n"/>
      <c r="G29" s="28" t="n"/>
      <c r="H29" s="28" t="n"/>
      <c r="AA29">
        <f>IF(AND(C29="",'calcA'!AA$115=0),0,IF(AND(C29&lt;&gt;"",'calcA'!AA$4=0),1,IF(IF(C29="",0,IFERROR(INDEX('calcA'!AA$10:AA$54,MATCH(C29,'calcA'!$B$10:$B$54,0)),0))=1,2,IF(AND(C29&lt;&gt;"",COUNTIF($C$6:$H$29,C29)&gt;1),3,IF('calcA'!AA$4=0,4,IF(AND(C29&lt;&gt;"",'calcA'!AA$108=1),5,IF(AND(C29="",'calcA'!AA$108=1),6,IF(AND(C29&lt;&gt;"",C29=$J$5),7,IF(IF('calcA'!$B$8&gt;0,INDEX('calcA'!AA$10:AA$54,'calcA'!$B$8),0)=1,8,IF(AND(C29="",IF('calcA'!$B$8&gt;0,INDEX('calcA'!AA$60:AA$104,'calcA'!$B$8),0)=1),9,IF(AND(C29&lt;&gt;"",IF('calcA'!$B$8&gt;0,INDEX('calcA'!AA$60:AA$104,'calcA'!$B$8),0)=1),10,IF(AND(C29="",'calcA'!AA$5=1),11,12))))))))))))</f>
        <v/>
      </c>
      <c r="AB29">
        <f>IF(AND(D29="",'calcA'!AY$115=0),0,IF(AND(D29&lt;&gt;"",'calcA'!AY$4=0),1,IF(IF(D29="",0,IFERROR(INDEX('calcA'!AY$10:AY$54,MATCH(D29,'calcA'!$B$10:$B$54,0)),0))=1,2,IF(AND(D29&lt;&gt;"",COUNTIF($C$6:$H$29,D29)&gt;1),3,IF('calcA'!AY$4=0,4,IF(AND(D29&lt;&gt;"",'calcA'!AY$108=1),5,IF(AND(D29="",'calcA'!AY$108=1),6,IF(AND(D29&lt;&gt;"",D29=$J$5),7,IF(IF('calcA'!$B$8&gt;0,INDEX('calcA'!AY$10:AY$54,'calcA'!$B$8),0)=1,8,IF(AND(D29="",IF('calcA'!$B$8&gt;0,INDEX('calcA'!AY$60:AY$104,'calcA'!$B$8),0)=1),9,IF(AND(D29&lt;&gt;"",IF('calcA'!$B$8&gt;0,INDEX('calcA'!AY$60:AY$104,'calcA'!$B$8),0)=1),10,IF(AND(D29="",'calcA'!AY$5=1),11,12))))))))))))</f>
        <v/>
      </c>
      <c r="AC29">
        <f>IF(AND(E29="",'calcA'!BW$115=0),0,IF(AND(E29&lt;&gt;"",'calcA'!BW$4=0),1,IF(IF(E29="",0,IFERROR(INDEX('calcA'!BW$10:BW$54,MATCH(E29,'calcA'!$B$10:$B$54,0)),0))=1,2,IF(AND(E29&lt;&gt;"",COUNTIF($C$6:$H$29,E29)&gt;1),3,IF('calcA'!BW$4=0,4,IF(AND(E29&lt;&gt;"",'calcA'!BW$108=1),5,IF(AND(E29="",'calcA'!BW$108=1),6,IF(AND(E29&lt;&gt;"",E29=$J$5),7,IF(IF('calcA'!$B$8&gt;0,INDEX('calcA'!BW$10:BW$54,'calcA'!$B$8),0)=1,8,IF(AND(E29="",IF('calcA'!$B$8&gt;0,INDEX('calcA'!BW$60:BW$104,'calcA'!$B$8),0)=1),9,IF(AND(E29&lt;&gt;"",IF('calcA'!$B$8&gt;0,INDEX('calcA'!BW$60:BW$104,'calcA'!$B$8),0)=1),10,IF(AND(E29="",'calcA'!BW$5=1),11,12))))))))))))</f>
        <v/>
      </c>
      <c r="AD29">
        <f>IF(AND(F29="",'calcA'!CU$115=0),0,IF(AND(F29&lt;&gt;"",'calcA'!CU$4=0),1,IF(IF(F29="",0,IFERROR(INDEX('calcA'!CU$10:CU$54,MATCH(F29,'calcA'!$B$10:$B$54,0)),0))=1,2,IF(AND(F29&lt;&gt;"",COUNTIF($C$6:$H$29,F29)&gt;1),3,IF('calcA'!CU$4=0,4,IF(AND(F29&lt;&gt;"",'calcA'!CU$108=1),5,IF(AND(F29="",'calcA'!CU$108=1),6,IF(AND(F29&lt;&gt;"",F29=$J$5),7,IF(IF('calcA'!$B$8&gt;0,INDEX('calcA'!CU$10:CU$54,'calcA'!$B$8),0)=1,8,IF(AND(F29="",IF('calcA'!$B$8&gt;0,INDEX('calcA'!CU$60:CU$104,'calcA'!$B$8),0)=1),9,IF(AND(F29&lt;&gt;"",IF('calcA'!$B$8&gt;0,INDEX('calcA'!CU$60:CU$104,'calcA'!$B$8),0)=1),10,IF(AND(F29="",'calcA'!CU$5=1),11,12))))))))))))</f>
        <v/>
      </c>
      <c r="AE29">
        <f>IF(AND(G29="",'calcA'!DS$115=0),0,IF(AND(G29&lt;&gt;"",'calcA'!DS$4=0),1,IF(IF(G29="",0,IFERROR(INDEX('calcA'!DS$10:DS$54,MATCH(G29,'calcA'!$B$10:$B$54,0)),0))=1,2,IF(AND(G29&lt;&gt;"",COUNTIF($C$6:$H$29,G29)&gt;1),3,IF('calcA'!DS$4=0,4,IF(AND(G29&lt;&gt;"",'calcA'!DS$108=1),5,IF(AND(G29="",'calcA'!DS$108=1),6,IF(AND(G29&lt;&gt;"",G29=$J$5),7,IF(IF('calcA'!$B$8&gt;0,INDEX('calcA'!DS$10:DS$54,'calcA'!$B$8),0)=1,8,IF(AND(G29="",IF('calcA'!$B$8&gt;0,INDEX('calcA'!DS$60:DS$104,'calcA'!$B$8),0)=1),9,IF(AND(G29&lt;&gt;"",IF('calcA'!$B$8&gt;0,INDEX('calcA'!DS$60:DS$104,'calcA'!$B$8),0)=1),10,IF(AND(G29="",'calcA'!DS$5=1),11,12))))))))))))</f>
        <v/>
      </c>
      <c r="AF29">
        <f>IF(AND(H29="",'calcA'!EQ$115=0),0,IF(AND(H29&lt;&gt;"",'calcA'!EQ$4=0),1,IF(IF(H29="",0,IFERROR(INDEX('calcA'!EQ$10:EQ$54,MATCH(H29,'calcA'!$B$10:$B$54,0)),0))=1,2,IF(AND(H29&lt;&gt;"",COUNTIF($C$6:$H$29,H29)&gt;1),3,IF('calcA'!EQ$4=0,4,IF(AND(H29&lt;&gt;"",'calcA'!EQ$108=1),5,IF(AND(H29="",'calcA'!EQ$108=1),6,IF(AND(H29&lt;&gt;"",H29=$J$5),7,IF(IF('calcA'!$B$8&gt;0,INDEX('calcA'!EQ$10:EQ$54,'calcA'!$B$8),0)=1,8,IF(AND(H29="",IF('calcA'!$B$8&gt;0,INDEX('calcA'!EQ$60:EQ$104,'calcA'!$B$8),0)=1),9,IF(AND(H29&lt;&gt;"",IF('calcA'!$B$8&gt;0,INDEX('calcA'!EQ$60:EQ$104,'calcA'!$B$8),0)=1),10,IF(AND(H29="",'calcA'!EQ$5=1),11,12))))))))))))</f>
        <v/>
      </c>
    </row>
    <row r="32">
      <c r="B32" s="108" t="inlineStr">
        <is>
          <t>候補（その枠に入れられる、まだ決まっていない児童）</t>
        </is>
      </c>
    </row>
    <row r="33">
      <c r="B33" s="74" t="inlineStr">
        <is>
          <t>未入力・未提出の家庭は含みません。0人の枠は赤、1人の枠はオレンジです。</t>
        </is>
      </c>
    </row>
    <row r="34">
      <c r="B34" s="39" t="inlineStr"/>
      <c r="C34" s="40">
        <f>'設定'!$E$11</f>
        <v/>
      </c>
      <c r="D34" s="40">
        <f>'設定'!$E$12</f>
        <v/>
      </c>
      <c r="E34" s="40">
        <f>'設定'!$E$13</f>
        <v/>
      </c>
      <c r="F34" s="40">
        <f>'設定'!$E$14</f>
        <v/>
      </c>
      <c r="G34" s="40">
        <f>'設定'!$E$15</f>
        <v/>
      </c>
      <c r="H34" s="40">
        <f>'設定'!$E$16</f>
        <v/>
      </c>
    </row>
    <row r="35" ht="44" customHeight="1">
      <c r="B35" s="47">
        <f>'設定'!$I$11</f>
        <v/>
      </c>
      <c r="C35" s="109">
        <f t="array" ref="C35">IF('calcA'!D$4=0,"",IF(C6&lt;&gt;"","（決定）",IF('calcA'!D$108=1,"（空ける）",SUMPRODUCT(('calcA'!D$60:D$104=1)*('calcA'!$C$10:$C$54=1))&amp;"人："&amp;_xlfn.TEXTJOIN("、",TRUE,IF(('calcA'!D$60:D$104=1)*('calcA'!$C$10:$C$54=1),'calcA'!$B$10:$B$54,"")))))</f>
        <v/>
      </c>
      <c r="D35" s="109">
        <f t="array" ref="D35">IF('calcA'!AB$4=0,"",IF(D6&lt;&gt;"","（決定）",IF('calcA'!AB$108=1,"（空ける）",SUMPRODUCT(('calcA'!AB$60:AB$104=1)*('calcA'!$C$10:$C$54=1))&amp;"人："&amp;_xlfn.TEXTJOIN("、",TRUE,IF(('calcA'!AB$60:AB$104=1)*('calcA'!$C$10:$C$54=1),'calcA'!$B$10:$B$54,"")))))</f>
        <v/>
      </c>
      <c r="E35" s="109">
        <f t="array" ref="E35">IF('calcA'!AZ$4=0,"",IF(E6&lt;&gt;"","（決定）",IF('calcA'!AZ$108=1,"（空ける）",SUMPRODUCT(('calcA'!AZ$60:AZ$104=1)*('calcA'!$C$10:$C$54=1))&amp;"人："&amp;_xlfn.TEXTJOIN("、",TRUE,IF(('calcA'!AZ$60:AZ$104=1)*('calcA'!$C$10:$C$54=1),'calcA'!$B$10:$B$54,"")))))</f>
        <v/>
      </c>
      <c r="F35" s="109">
        <f t="array" ref="F35">IF('calcA'!BX$4=0,"",IF(F6&lt;&gt;"","（決定）",IF('calcA'!BX$108=1,"（空ける）",SUMPRODUCT(('calcA'!BX$60:BX$104=1)*('calcA'!$C$10:$C$54=1))&amp;"人："&amp;_xlfn.TEXTJOIN("、",TRUE,IF(('calcA'!BX$60:BX$104=1)*('calcA'!$C$10:$C$54=1),'calcA'!$B$10:$B$54,"")))))</f>
        <v/>
      </c>
      <c r="G35" s="109">
        <f t="array" ref="G35">IF('calcA'!CV$4=0,"",IF(G6&lt;&gt;"","（決定）",IF('calcA'!CV$108=1,"（空ける）",SUMPRODUCT(('calcA'!CV$60:CV$104=1)*('calcA'!$C$10:$C$54=1))&amp;"人："&amp;_xlfn.TEXTJOIN("、",TRUE,IF(('calcA'!CV$60:CV$104=1)*('calcA'!$C$10:$C$54=1),'calcA'!$B$10:$B$54,"")))))</f>
        <v/>
      </c>
      <c r="H35" s="109">
        <f t="array" ref="H35">IF('calcA'!DT$4=0,"",IF(H6&lt;&gt;"","（決定）",IF('calcA'!DT$108=1,"（空ける）",SUMPRODUCT(('calcA'!DT$60:DT$104=1)*('calcA'!$C$10:$C$54=1))&amp;"人："&amp;_xlfn.TEXTJOIN("、",TRUE,IF(('calcA'!DT$60:DT$104=1)*('calcA'!$C$10:$C$54=1),'calcA'!$B$10:$B$54,"")))))</f>
        <v/>
      </c>
      <c r="AA35">
        <f>IF('calcA'!D$115=0,0,IF('calcA'!D$4=0,1,IF(LEFT(C35,2)="0人",2,IF(LEFT(C35,2)="1人",3,4))))</f>
        <v/>
      </c>
      <c r="AB35">
        <f>IF('calcA'!AB$115=0,0,IF('calcA'!AB$4=0,1,IF(LEFT(D35,2)="0人",2,IF(LEFT(D35,2)="1人",3,4))))</f>
        <v/>
      </c>
      <c r="AC35">
        <f>IF('calcA'!AZ$115=0,0,IF('calcA'!AZ$4=0,1,IF(LEFT(E35,2)="0人",2,IF(LEFT(E35,2)="1人",3,4))))</f>
        <v/>
      </c>
      <c r="AD35">
        <f>IF('calcA'!BX$115=0,0,IF('calcA'!BX$4=0,1,IF(LEFT(F35,2)="0人",2,IF(LEFT(F35,2)="1人",3,4))))</f>
        <v/>
      </c>
      <c r="AE35">
        <f>IF('calcA'!CV$115=0,0,IF('calcA'!CV$4=0,1,IF(LEFT(G35,2)="0人",2,IF(LEFT(G35,2)="1人",3,4))))</f>
        <v/>
      </c>
      <c r="AF35">
        <f>IF('calcA'!DT$115=0,0,IF('calcA'!DT$4=0,1,IF(LEFT(H35,2)="0人",2,IF(LEFT(H35,2)="1人",3,4))))</f>
        <v/>
      </c>
    </row>
    <row r="36" ht="44" customHeight="1">
      <c r="B36" s="47">
        <f>'設定'!$I$12</f>
        <v/>
      </c>
      <c r="C36" s="109">
        <f t="array" ref="C36">IF('calcA'!E$4=0,"",IF(C7&lt;&gt;"","（決定）",IF('calcA'!E$108=1,"（空ける）",SUMPRODUCT(('calcA'!E$60:E$104=1)*('calcA'!$C$10:$C$54=1))&amp;"人："&amp;_xlfn.TEXTJOIN("、",TRUE,IF(('calcA'!E$60:E$104=1)*('calcA'!$C$10:$C$54=1),'calcA'!$B$10:$B$54,"")))))</f>
        <v/>
      </c>
      <c r="D36" s="109">
        <f t="array" ref="D36">IF('calcA'!AC$4=0,"",IF(D7&lt;&gt;"","（決定）",IF('calcA'!AC$108=1,"（空ける）",SUMPRODUCT(('calcA'!AC$60:AC$104=1)*('calcA'!$C$10:$C$54=1))&amp;"人："&amp;_xlfn.TEXTJOIN("、",TRUE,IF(('calcA'!AC$60:AC$104=1)*('calcA'!$C$10:$C$54=1),'calcA'!$B$10:$B$54,"")))))</f>
        <v/>
      </c>
      <c r="E36" s="109">
        <f t="array" ref="E36">IF('calcA'!BA$4=0,"",IF(E7&lt;&gt;"","（決定）",IF('calcA'!BA$108=1,"（空ける）",SUMPRODUCT(('calcA'!BA$60:BA$104=1)*('calcA'!$C$10:$C$54=1))&amp;"人："&amp;_xlfn.TEXTJOIN("、",TRUE,IF(('calcA'!BA$60:BA$104=1)*('calcA'!$C$10:$C$54=1),'calcA'!$B$10:$B$54,"")))))</f>
        <v/>
      </c>
      <c r="F36" s="109">
        <f t="array" ref="F36">IF('calcA'!BY$4=0,"",IF(F7&lt;&gt;"","（決定）",IF('calcA'!BY$108=1,"（空ける）",SUMPRODUCT(('calcA'!BY$60:BY$104=1)*('calcA'!$C$10:$C$54=1))&amp;"人："&amp;_xlfn.TEXTJOIN("、",TRUE,IF(('calcA'!BY$60:BY$104=1)*('calcA'!$C$10:$C$54=1),'calcA'!$B$10:$B$54,"")))))</f>
        <v/>
      </c>
      <c r="G36" s="109">
        <f t="array" ref="G36">IF('calcA'!CW$4=0,"",IF(G7&lt;&gt;"","（決定）",IF('calcA'!CW$108=1,"（空ける）",SUMPRODUCT(('calcA'!CW$60:CW$104=1)*('calcA'!$C$10:$C$54=1))&amp;"人："&amp;_xlfn.TEXTJOIN("、",TRUE,IF(('calcA'!CW$60:CW$104=1)*('calcA'!$C$10:$C$54=1),'calcA'!$B$10:$B$54,"")))))</f>
        <v/>
      </c>
      <c r="H36" s="109">
        <f t="array" ref="H36">IF('calcA'!DU$4=0,"",IF(H7&lt;&gt;"","（決定）",IF('calcA'!DU$108=1,"（空ける）",SUMPRODUCT(('calcA'!DU$60:DU$104=1)*('calcA'!$C$10:$C$54=1))&amp;"人："&amp;_xlfn.TEXTJOIN("、",TRUE,IF(('calcA'!DU$60:DU$104=1)*('calcA'!$C$10:$C$54=1),'calcA'!$B$10:$B$54,"")))))</f>
        <v/>
      </c>
      <c r="AA36">
        <f>IF('calcA'!E$115=0,0,IF('calcA'!E$4=0,1,IF(LEFT(C36,2)="0人",2,IF(LEFT(C36,2)="1人",3,4))))</f>
        <v/>
      </c>
      <c r="AB36">
        <f>IF('calcA'!AC$115=0,0,IF('calcA'!AC$4=0,1,IF(LEFT(D36,2)="0人",2,IF(LEFT(D36,2)="1人",3,4))))</f>
        <v/>
      </c>
      <c r="AC36">
        <f>IF('calcA'!BA$115=0,0,IF('calcA'!BA$4=0,1,IF(LEFT(E36,2)="0人",2,IF(LEFT(E36,2)="1人",3,4))))</f>
        <v/>
      </c>
      <c r="AD36">
        <f>IF('calcA'!BY$115=0,0,IF('calcA'!BY$4=0,1,IF(LEFT(F36,2)="0人",2,IF(LEFT(F36,2)="1人",3,4))))</f>
        <v/>
      </c>
      <c r="AE36">
        <f>IF('calcA'!CW$115=0,0,IF('calcA'!CW$4=0,1,IF(LEFT(G36,2)="0人",2,IF(LEFT(G36,2)="1人",3,4))))</f>
        <v/>
      </c>
      <c r="AF36">
        <f>IF('calcA'!DU$115=0,0,IF('calcA'!DU$4=0,1,IF(LEFT(H36,2)="0人",2,IF(LEFT(H36,2)="1人",3,4))))</f>
        <v/>
      </c>
    </row>
    <row r="37" ht="44" customHeight="1">
      <c r="B37" s="47">
        <f>'設定'!$I$13</f>
        <v/>
      </c>
      <c r="C37" s="109">
        <f t="array" ref="C37">IF('calcA'!F$4=0,"",IF(C8&lt;&gt;"","（決定）",IF('calcA'!F$108=1,"（空ける）",SUMPRODUCT(('calcA'!F$60:F$104=1)*('calcA'!$C$10:$C$54=1))&amp;"人："&amp;_xlfn.TEXTJOIN("、",TRUE,IF(('calcA'!F$60:F$104=1)*('calcA'!$C$10:$C$54=1),'calcA'!$B$10:$B$54,"")))))</f>
        <v/>
      </c>
      <c r="D37" s="109">
        <f t="array" ref="D37">IF('calcA'!AD$4=0,"",IF(D8&lt;&gt;"","（決定）",IF('calcA'!AD$108=1,"（空ける）",SUMPRODUCT(('calcA'!AD$60:AD$104=1)*('calcA'!$C$10:$C$54=1))&amp;"人："&amp;_xlfn.TEXTJOIN("、",TRUE,IF(('calcA'!AD$60:AD$104=1)*('calcA'!$C$10:$C$54=1),'calcA'!$B$10:$B$54,"")))))</f>
        <v/>
      </c>
      <c r="E37" s="109">
        <f t="array" ref="E37">IF('calcA'!BB$4=0,"",IF(E8&lt;&gt;"","（決定）",IF('calcA'!BB$108=1,"（空ける）",SUMPRODUCT(('calcA'!BB$60:BB$104=1)*('calcA'!$C$10:$C$54=1))&amp;"人："&amp;_xlfn.TEXTJOIN("、",TRUE,IF(('calcA'!BB$60:BB$104=1)*('calcA'!$C$10:$C$54=1),'calcA'!$B$10:$B$54,"")))))</f>
        <v/>
      </c>
      <c r="F37" s="109">
        <f t="array" ref="F37">IF('calcA'!BZ$4=0,"",IF(F8&lt;&gt;"","（決定）",IF('calcA'!BZ$108=1,"（空ける）",SUMPRODUCT(('calcA'!BZ$60:BZ$104=1)*('calcA'!$C$10:$C$54=1))&amp;"人："&amp;_xlfn.TEXTJOIN("、",TRUE,IF(('calcA'!BZ$60:BZ$104=1)*('calcA'!$C$10:$C$54=1),'calcA'!$B$10:$B$54,"")))))</f>
        <v/>
      </c>
      <c r="G37" s="109">
        <f t="array" ref="G37">IF('calcA'!CX$4=0,"",IF(G8&lt;&gt;"","（決定）",IF('calcA'!CX$108=1,"（空ける）",SUMPRODUCT(('calcA'!CX$60:CX$104=1)*('calcA'!$C$10:$C$54=1))&amp;"人："&amp;_xlfn.TEXTJOIN("、",TRUE,IF(('calcA'!CX$60:CX$104=1)*('calcA'!$C$10:$C$54=1),'calcA'!$B$10:$B$54,"")))))</f>
        <v/>
      </c>
      <c r="H37" s="109">
        <f t="array" ref="H37">IF('calcA'!DV$4=0,"",IF(H8&lt;&gt;"","（決定）",IF('calcA'!DV$108=1,"（空ける）",SUMPRODUCT(('calcA'!DV$60:DV$104=1)*('calcA'!$C$10:$C$54=1))&amp;"人："&amp;_xlfn.TEXTJOIN("、",TRUE,IF(('calcA'!DV$60:DV$104=1)*('calcA'!$C$10:$C$54=1),'calcA'!$B$10:$B$54,"")))))</f>
        <v/>
      </c>
      <c r="AA37">
        <f>IF('calcA'!F$115=0,0,IF('calcA'!F$4=0,1,IF(LEFT(C37,2)="0人",2,IF(LEFT(C37,2)="1人",3,4))))</f>
        <v/>
      </c>
      <c r="AB37">
        <f>IF('calcA'!AD$115=0,0,IF('calcA'!AD$4=0,1,IF(LEFT(D37,2)="0人",2,IF(LEFT(D37,2)="1人",3,4))))</f>
        <v/>
      </c>
      <c r="AC37">
        <f>IF('calcA'!BB$115=0,0,IF('calcA'!BB$4=0,1,IF(LEFT(E37,2)="0人",2,IF(LEFT(E37,2)="1人",3,4))))</f>
        <v/>
      </c>
      <c r="AD37">
        <f>IF('calcA'!BZ$115=0,0,IF('calcA'!BZ$4=0,1,IF(LEFT(F37,2)="0人",2,IF(LEFT(F37,2)="1人",3,4))))</f>
        <v/>
      </c>
      <c r="AE37">
        <f>IF('calcA'!CX$115=0,0,IF('calcA'!CX$4=0,1,IF(LEFT(G37,2)="0人",2,IF(LEFT(G37,2)="1人",3,4))))</f>
        <v/>
      </c>
      <c r="AF37">
        <f>IF('calcA'!DV$115=0,0,IF('calcA'!DV$4=0,1,IF(LEFT(H37,2)="0人",2,IF(LEFT(H37,2)="1人",3,4))))</f>
        <v/>
      </c>
    </row>
    <row r="38" ht="44" customHeight="1">
      <c r="B38" s="47">
        <f>'設定'!$I$14</f>
        <v/>
      </c>
      <c r="C38" s="109">
        <f t="array" ref="C38">IF('calcA'!G$4=0,"",IF(C9&lt;&gt;"","（決定）",IF('calcA'!G$108=1,"（空ける）",SUMPRODUCT(('calcA'!G$60:G$104=1)*('calcA'!$C$10:$C$54=1))&amp;"人："&amp;_xlfn.TEXTJOIN("、",TRUE,IF(('calcA'!G$60:G$104=1)*('calcA'!$C$10:$C$54=1),'calcA'!$B$10:$B$54,"")))))</f>
        <v/>
      </c>
      <c r="D38" s="109">
        <f t="array" ref="D38">IF('calcA'!AE$4=0,"",IF(D9&lt;&gt;"","（決定）",IF('calcA'!AE$108=1,"（空ける）",SUMPRODUCT(('calcA'!AE$60:AE$104=1)*('calcA'!$C$10:$C$54=1))&amp;"人："&amp;_xlfn.TEXTJOIN("、",TRUE,IF(('calcA'!AE$60:AE$104=1)*('calcA'!$C$10:$C$54=1),'calcA'!$B$10:$B$54,"")))))</f>
        <v/>
      </c>
      <c r="E38" s="109">
        <f t="array" ref="E38">IF('calcA'!BC$4=0,"",IF(E9&lt;&gt;"","（決定）",IF('calcA'!BC$108=1,"（空ける）",SUMPRODUCT(('calcA'!BC$60:BC$104=1)*('calcA'!$C$10:$C$54=1))&amp;"人："&amp;_xlfn.TEXTJOIN("、",TRUE,IF(('calcA'!BC$60:BC$104=1)*('calcA'!$C$10:$C$54=1),'calcA'!$B$10:$B$54,"")))))</f>
        <v/>
      </c>
      <c r="F38" s="109">
        <f t="array" ref="F38">IF('calcA'!CA$4=0,"",IF(F9&lt;&gt;"","（決定）",IF('calcA'!CA$108=1,"（空ける）",SUMPRODUCT(('calcA'!CA$60:CA$104=1)*('calcA'!$C$10:$C$54=1))&amp;"人："&amp;_xlfn.TEXTJOIN("、",TRUE,IF(('calcA'!CA$60:CA$104=1)*('calcA'!$C$10:$C$54=1),'calcA'!$B$10:$B$54,"")))))</f>
        <v/>
      </c>
      <c r="G38" s="109">
        <f t="array" ref="G38">IF('calcA'!CY$4=0,"",IF(G9&lt;&gt;"","（決定）",IF('calcA'!CY$108=1,"（空ける）",SUMPRODUCT(('calcA'!CY$60:CY$104=1)*('calcA'!$C$10:$C$54=1))&amp;"人："&amp;_xlfn.TEXTJOIN("、",TRUE,IF(('calcA'!CY$60:CY$104=1)*('calcA'!$C$10:$C$54=1),'calcA'!$B$10:$B$54,"")))))</f>
        <v/>
      </c>
      <c r="H38" s="109">
        <f t="array" ref="H38">IF('calcA'!DW$4=0,"",IF(H9&lt;&gt;"","（決定）",IF('calcA'!DW$108=1,"（空ける）",SUMPRODUCT(('calcA'!DW$60:DW$104=1)*('calcA'!$C$10:$C$54=1))&amp;"人："&amp;_xlfn.TEXTJOIN("、",TRUE,IF(('calcA'!DW$60:DW$104=1)*('calcA'!$C$10:$C$54=1),'calcA'!$B$10:$B$54,"")))))</f>
        <v/>
      </c>
      <c r="AA38">
        <f>IF('calcA'!G$115=0,0,IF('calcA'!G$4=0,1,IF(LEFT(C38,2)="0人",2,IF(LEFT(C38,2)="1人",3,4))))</f>
        <v/>
      </c>
      <c r="AB38">
        <f>IF('calcA'!AE$115=0,0,IF('calcA'!AE$4=0,1,IF(LEFT(D38,2)="0人",2,IF(LEFT(D38,2)="1人",3,4))))</f>
        <v/>
      </c>
      <c r="AC38">
        <f>IF('calcA'!BC$115=0,0,IF('calcA'!BC$4=0,1,IF(LEFT(E38,2)="0人",2,IF(LEFT(E38,2)="1人",3,4))))</f>
        <v/>
      </c>
      <c r="AD38">
        <f>IF('calcA'!CA$115=0,0,IF('calcA'!CA$4=0,1,IF(LEFT(F38,2)="0人",2,IF(LEFT(F38,2)="1人",3,4))))</f>
        <v/>
      </c>
      <c r="AE38">
        <f>IF('calcA'!CY$115=0,0,IF('calcA'!CY$4=0,1,IF(LEFT(G38,2)="0人",2,IF(LEFT(G38,2)="1人",3,4))))</f>
        <v/>
      </c>
      <c r="AF38">
        <f>IF('calcA'!DW$115=0,0,IF('calcA'!DW$4=0,1,IF(LEFT(H38,2)="0人",2,IF(LEFT(H38,2)="1人",3,4))))</f>
        <v/>
      </c>
    </row>
    <row r="39" ht="44" customHeight="1">
      <c r="B39" s="47">
        <f>'設定'!$I$15</f>
        <v/>
      </c>
      <c r="C39" s="109">
        <f t="array" ref="C39">IF('calcA'!H$4=0,"",IF(C10&lt;&gt;"","（決定）",IF('calcA'!H$108=1,"（空ける）",SUMPRODUCT(('calcA'!H$60:H$104=1)*('calcA'!$C$10:$C$54=1))&amp;"人："&amp;_xlfn.TEXTJOIN("、",TRUE,IF(('calcA'!H$60:H$104=1)*('calcA'!$C$10:$C$54=1),'calcA'!$B$10:$B$54,"")))))</f>
        <v/>
      </c>
      <c r="D39" s="109">
        <f t="array" ref="D39">IF('calcA'!AF$4=0,"",IF(D10&lt;&gt;"","（決定）",IF('calcA'!AF$108=1,"（空ける）",SUMPRODUCT(('calcA'!AF$60:AF$104=1)*('calcA'!$C$10:$C$54=1))&amp;"人："&amp;_xlfn.TEXTJOIN("、",TRUE,IF(('calcA'!AF$60:AF$104=1)*('calcA'!$C$10:$C$54=1),'calcA'!$B$10:$B$54,"")))))</f>
        <v/>
      </c>
      <c r="E39" s="109">
        <f t="array" ref="E39">IF('calcA'!BD$4=0,"",IF(E10&lt;&gt;"","（決定）",IF('calcA'!BD$108=1,"（空ける）",SUMPRODUCT(('calcA'!BD$60:BD$104=1)*('calcA'!$C$10:$C$54=1))&amp;"人："&amp;_xlfn.TEXTJOIN("、",TRUE,IF(('calcA'!BD$60:BD$104=1)*('calcA'!$C$10:$C$54=1),'calcA'!$B$10:$B$54,"")))))</f>
        <v/>
      </c>
      <c r="F39" s="109">
        <f t="array" ref="F39">IF('calcA'!CB$4=0,"",IF(F10&lt;&gt;"","（決定）",IF('calcA'!CB$108=1,"（空ける）",SUMPRODUCT(('calcA'!CB$60:CB$104=1)*('calcA'!$C$10:$C$54=1))&amp;"人："&amp;_xlfn.TEXTJOIN("、",TRUE,IF(('calcA'!CB$60:CB$104=1)*('calcA'!$C$10:$C$54=1),'calcA'!$B$10:$B$54,"")))))</f>
        <v/>
      </c>
      <c r="G39" s="109">
        <f t="array" ref="G39">IF('calcA'!CZ$4=0,"",IF(G10&lt;&gt;"","（決定）",IF('calcA'!CZ$108=1,"（空ける）",SUMPRODUCT(('calcA'!CZ$60:CZ$104=1)*('calcA'!$C$10:$C$54=1))&amp;"人："&amp;_xlfn.TEXTJOIN("、",TRUE,IF(('calcA'!CZ$60:CZ$104=1)*('calcA'!$C$10:$C$54=1),'calcA'!$B$10:$B$54,"")))))</f>
        <v/>
      </c>
      <c r="H39" s="109">
        <f t="array" ref="H39">IF('calcA'!DX$4=0,"",IF(H10&lt;&gt;"","（決定）",IF('calcA'!DX$108=1,"（空ける）",SUMPRODUCT(('calcA'!DX$60:DX$104=1)*('calcA'!$C$10:$C$54=1))&amp;"人："&amp;_xlfn.TEXTJOIN("、",TRUE,IF(('calcA'!DX$60:DX$104=1)*('calcA'!$C$10:$C$54=1),'calcA'!$B$10:$B$54,"")))))</f>
        <v/>
      </c>
      <c r="AA39">
        <f>IF('calcA'!H$115=0,0,IF('calcA'!H$4=0,1,IF(LEFT(C39,2)="0人",2,IF(LEFT(C39,2)="1人",3,4))))</f>
        <v/>
      </c>
      <c r="AB39">
        <f>IF('calcA'!AF$115=0,0,IF('calcA'!AF$4=0,1,IF(LEFT(D39,2)="0人",2,IF(LEFT(D39,2)="1人",3,4))))</f>
        <v/>
      </c>
      <c r="AC39">
        <f>IF('calcA'!BD$115=0,0,IF('calcA'!BD$4=0,1,IF(LEFT(E39,2)="0人",2,IF(LEFT(E39,2)="1人",3,4))))</f>
        <v/>
      </c>
      <c r="AD39">
        <f>IF('calcA'!CB$115=0,0,IF('calcA'!CB$4=0,1,IF(LEFT(F39,2)="0人",2,IF(LEFT(F39,2)="1人",3,4))))</f>
        <v/>
      </c>
      <c r="AE39">
        <f>IF('calcA'!CZ$115=0,0,IF('calcA'!CZ$4=0,1,IF(LEFT(G39,2)="0人",2,IF(LEFT(G39,2)="1人",3,4))))</f>
        <v/>
      </c>
      <c r="AF39">
        <f>IF('calcA'!DX$115=0,0,IF('calcA'!DX$4=0,1,IF(LEFT(H39,2)="0人",2,IF(LEFT(H39,2)="1人",3,4))))</f>
        <v/>
      </c>
    </row>
    <row r="40" ht="44" customHeight="1">
      <c r="B40" s="47">
        <f>'設定'!$I$16</f>
        <v/>
      </c>
      <c r="C40" s="109">
        <f t="array" ref="C40">IF('calcA'!I$4=0,"",IF(C11&lt;&gt;"","（決定）",IF('calcA'!I$108=1,"（空ける）",SUMPRODUCT(('calcA'!I$60:I$104=1)*('calcA'!$C$10:$C$54=1))&amp;"人："&amp;_xlfn.TEXTJOIN("、",TRUE,IF(('calcA'!I$60:I$104=1)*('calcA'!$C$10:$C$54=1),'calcA'!$B$10:$B$54,"")))))</f>
        <v/>
      </c>
      <c r="D40" s="109">
        <f t="array" ref="D40">IF('calcA'!AG$4=0,"",IF(D11&lt;&gt;"","（決定）",IF('calcA'!AG$108=1,"（空ける）",SUMPRODUCT(('calcA'!AG$60:AG$104=1)*('calcA'!$C$10:$C$54=1))&amp;"人："&amp;_xlfn.TEXTJOIN("、",TRUE,IF(('calcA'!AG$60:AG$104=1)*('calcA'!$C$10:$C$54=1),'calcA'!$B$10:$B$54,"")))))</f>
        <v/>
      </c>
      <c r="E40" s="109">
        <f t="array" ref="E40">IF('calcA'!BE$4=0,"",IF(E11&lt;&gt;"","（決定）",IF('calcA'!BE$108=1,"（空ける）",SUMPRODUCT(('calcA'!BE$60:BE$104=1)*('calcA'!$C$10:$C$54=1))&amp;"人："&amp;_xlfn.TEXTJOIN("、",TRUE,IF(('calcA'!BE$60:BE$104=1)*('calcA'!$C$10:$C$54=1),'calcA'!$B$10:$B$54,"")))))</f>
        <v/>
      </c>
      <c r="F40" s="109">
        <f t="array" ref="F40">IF('calcA'!CC$4=0,"",IF(F11&lt;&gt;"","（決定）",IF('calcA'!CC$108=1,"（空ける）",SUMPRODUCT(('calcA'!CC$60:CC$104=1)*('calcA'!$C$10:$C$54=1))&amp;"人："&amp;_xlfn.TEXTJOIN("、",TRUE,IF(('calcA'!CC$60:CC$104=1)*('calcA'!$C$10:$C$54=1),'calcA'!$B$10:$B$54,"")))))</f>
        <v/>
      </c>
      <c r="G40" s="109">
        <f t="array" ref="G40">IF('calcA'!DA$4=0,"",IF(G11&lt;&gt;"","（決定）",IF('calcA'!DA$108=1,"（空ける）",SUMPRODUCT(('calcA'!DA$60:DA$104=1)*('calcA'!$C$10:$C$54=1))&amp;"人："&amp;_xlfn.TEXTJOIN("、",TRUE,IF(('calcA'!DA$60:DA$104=1)*('calcA'!$C$10:$C$54=1),'calcA'!$B$10:$B$54,"")))))</f>
        <v/>
      </c>
      <c r="H40" s="109">
        <f t="array" ref="H40">IF('calcA'!DY$4=0,"",IF(H11&lt;&gt;"","（決定）",IF('calcA'!DY$108=1,"（空ける）",SUMPRODUCT(('calcA'!DY$60:DY$104=1)*('calcA'!$C$10:$C$54=1))&amp;"人："&amp;_xlfn.TEXTJOIN("、",TRUE,IF(('calcA'!DY$60:DY$104=1)*('calcA'!$C$10:$C$54=1),'calcA'!$B$10:$B$54,"")))))</f>
        <v/>
      </c>
      <c r="AA40">
        <f>IF('calcA'!I$115=0,0,IF('calcA'!I$4=0,1,IF(LEFT(C40,2)="0人",2,IF(LEFT(C40,2)="1人",3,4))))</f>
        <v/>
      </c>
      <c r="AB40">
        <f>IF('calcA'!AG$115=0,0,IF('calcA'!AG$4=0,1,IF(LEFT(D40,2)="0人",2,IF(LEFT(D40,2)="1人",3,4))))</f>
        <v/>
      </c>
      <c r="AC40">
        <f>IF('calcA'!BE$115=0,0,IF('calcA'!BE$4=0,1,IF(LEFT(E40,2)="0人",2,IF(LEFT(E40,2)="1人",3,4))))</f>
        <v/>
      </c>
      <c r="AD40">
        <f>IF('calcA'!CC$115=0,0,IF('calcA'!CC$4=0,1,IF(LEFT(F40,2)="0人",2,IF(LEFT(F40,2)="1人",3,4))))</f>
        <v/>
      </c>
      <c r="AE40">
        <f>IF('calcA'!DA$115=0,0,IF('calcA'!DA$4=0,1,IF(LEFT(G40,2)="0人",2,IF(LEFT(G40,2)="1人",3,4))))</f>
        <v/>
      </c>
      <c r="AF40">
        <f>IF('calcA'!DY$115=0,0,IF('calcA'!DY$4=0,1,IF(LEFT(H40,2)="0人",2,IF(LEFT(H40,2)="1人",3,4))))</f>
        <v/>
      </c>
    </row>
    <row r="41" ht="44" customHeight="1">
      <c r="B41" s="47">
        <f>'設定'!$I$17</f>
        <v/>
      </c>
      <c r="C41" s="109">
        <f t="array" ref="C41">IF('calcA'!J$4=0,"",IF(C12&lt;&gt;"","（決定）",IF('calcA'!J$108=1,"（空ける）",SUMPRODUCT(('calcA'!J$60:J$104=1)*('calcA'!$C$10:$C$54=1))&amp;"人："&amp;_xlfn.TEXTJOIN("、",TRUE,IF(('calcA'!J$60:J$104=1)*('calcA'!$C$10:$C$54=1),'calcA'!$B$10:$B$54,"")))))</f>
        <v/>
      </c>
      <c r="D41" s="109">
        <f t="array" ref="D41">IF('calcA'!AH$4=0,"",IF(D12&lt;&gt;"","（決定）",IF('calcA'!AH$108=1,"（空ける）",SUMPRODUCT(('calcA'!AH$60:AH$104=1)*('calcA'!$C$10:$C$54=1))&amp;"人："&amp;_xlfn.TEXTJOIN("、",TRUE,IF(('calcA'!AH$60:AH$104=1)*('calcA'!$C$10:$C$54=1),'calcA'!$B$10:$B$54,"")))))</f>
        <v/>
      </c>
      <c r="E41" s="109">
        <f t="array" ref="E41">IF('calcA'!BF$4=0,"",IF(E12&lt;&gt;"","（決定）",IF('calcA'!BF$108=1,"（空ける）",SUMPRODUCT(('calcA'!BF$60:BF$104=1)*('calcA'!$C$10:$C$54=1))&amp;"人："&amp;_xlfn.TEXTJOIN("、",TRUE,IF(('calcA'!BF$60:BF$104=1)*('calcA'!$C$10:$C$54=1),'calcA'!$B$10:$B$54,"")))))</f>
        <v/>
      </c>
      <c r="F41" s="109">
        <f t="array" ref="F41">IF('calcA'!CD$4=0,"",IF(F12&lt;&gt;"","（決定）",IF('calcA'!CD$108=1,"（空ける）",SUMPRODUCT(('calcA'!CD$60:CD$104=1)*('calcA'!$C$10:$C$54=1))&amp;"人："&amp;_xlfn.TEXTJOIN("、",TRUE,IF(('calcA'!CD$60:CD$104=1)*('calcA'!$C$10:$C$54=1),'calcA'!$B$10:$B$54,"")))))</f>
        <v/>
      </c>
      <c r="G41" s="109">
        <f t="array" ref="G41">IF('calcA'!DB$4=0,"",IF(G12&lt;&gt;"","（決定）",IF('calcA'!DB$108=1,"（空ける）",SUMPRODUCT(('calcA'!DB$60:DB$104=1)*('calcA'!$C$10:$C$54=1))&amp;"人："&amp;_xlfn.TEXTJOIN("、",TRUE,IF(('calcA'!DB$60:DB$104=1)*('calcA'!$C$10:$C$54=1),'calcA'!$B$10:$B$54,"")))))</f>
        <v/>
      </c>
      <c r="H41" s="109">
        <f t="array" ref="H41">IF('calcA'!DZ$4=0,"",IF(H12&lt;&gt;"","（決定）",IF('calcA'!DZ$108=1,"（空ける）",SUMPRODUCT(('calcA'!DZ$60:DZ$104=1)*('calcA'!$C$10:$C$54=1))&amp;"人："&amp;_xlfn.TEXTJOIN("、",TRUE,IF(('calcA'!DZ$60:DZ$104=1)*('calcA'!$C$10:$C$54=1),'calcA'!$B$10:$B$54,"")))))</f>
        <v/>
      </c>
      <c r="AA41">
        <f>IF('calcA'!J$115=0,0,IF('calcA'!J$4=0,1,IF(LEFT(C41,2)="0人",2,IF(LEFT(C41,2)="1人",3,4))))</f>
        <v/>
      </c>
      <c r="AB41">
        <f>IF('calcA'!AH$115=0,0,IF('calcA'!AH$4=0,1,IF(LEFT(D41,2)="0人",2,IF(LEFT(D41,2)="1人",3,4))))</f>
        <v/>
      </c>
      <c r="AC41">
        <f>IF('calcA'!BF$115=0,0,IF('calcA'!BF$4=0,1,IF(LEFT(E41,2)="0人",2,IF(LEFT(E41,2)="1人",3,4))))</f>
        <v/>
      </c>
      <c r="AD41">
        <f>IF('calcA'!CD$115=0,0,IF('calcA'!CD$4=0,1,IF(LEFT(F41,2)="0人",2,IF(LEFT(F41,2)="1人",3,4))))</f>
        <v/>
      </c>
      <c r="AE41">
        <f>IF('calcA'!DB$115=0,0,IF('calcA'!DB$4=0,1,IF(LEFT(G41,2)="0人",2,IF(LEFT(G41,2)="1人",3,4))))</f>
        <v/>
      </c>
      <c r="AF41">
        <f>IF('calcA'!DZ$115=0,0,IF('calcA'!DZ$4=0,1,IF(LEFT(H41,2)="0人",2,IF(LEFT(H41,2)="1人",3,4))))</f>
        <v/>
      </c>
    </row>
    <row r="42" ht="44" customHeight="1">
      <c r="B42" s="47">
        <f>'設定'!$I$18</f>
        <v/>
      </c>
      <c r="C42" s="109">
        <f t="array" ref="C42">IF('calcA'!K$4=0,"",IF(C13&lt;&gt;"","（決定）",IF('calcA'!K$108=1,"（空ける）",SUMPRODUCT(('calcA'!K$60:K$104=1)*('calcA'!$C$10:$C$54=1))&amp;"人："&amp;_xlfn.TEXTJOIN("、",TRUE,IF(('calcA'!K$60:K$104=1)*('calcA'!$C$10:$C$54=1),'calcA'!$B$10:$B$54,"")))))</f>
        <v/>
      </c>
      <c r="D42" s="109">
        <f t="array" ref="D42">IF('calcA'!AI$4=0,"",IF(D13&lt;&gt;"","（決定）",IF('calcA'!AI$108=1,"（空ける）",SUMPRODUCT(('calcA'!AI$60:AI$104=1)*('calcA'!$C$10:$C$54=1))&amp;"人："&amp;_xlfn.TEXTJOIN("、",TRUE,IF(('calcA'!AI$60:AI$104=1)*('calcA'!$C$10:$C$54=1),'calcA'!$B$10:$B$54,"")))))</f>
        <v/>
      </c>
      <c r="E42" s="109">
        <f t="array" ref="E42">IF('calcA'!BG$4=0,"",IF(E13&lt;&gt;"","（決定）",IF('calcA'!BG$108=1,"（空ける）",SUMPRODUCT(('calcA'!BG$60:BG$104=1)*('calcA'!$C$10:$C$54=1))&amp;"人："&amp;_xlfn.TEXTJOIN("、",TRUE,IF(('calcA'!BG$60:BG$104=1)*('calcA'!$C$10:$C$54=1),'calcA'!$B$10:$B$54,"")))))</f>
        <v/>
      </c>
      <c r="F42" s="109">
        <f t="array" ref="F42">IF('calcA'!CE$4=0,"",IF(F13&lt;&gt;"","（決定）",IF('calcA'!CE$108=1,"（空ける）",SUMPRODUCT(('calcA'!CE$60:CE$104=1)*('calcA'!$C$10:$C$54=1))&amp;"人："&amp;_xlfn.TEXTJOIN("、",TRUE,IF(('calcA'!CE$60:CE$104=1)*('calcA'!$C$10:$C$54=1),'calcA'!$B$10:$B$54,"")))))</f>
        <v/>
      </c>
      <c r="G42" s="109">
        <f t="array" ref="G42">IF('calcA'!DC$4=0,"",IF(G13&lt;&gt;"","（決定）",IF('calcA'!DC$108=1,"（空ける）",SUMPRODUCT(('calcA'!DC$60:DC$104=1)*('calcA'!$C$10:$C$54=1))&amp;"人："&amp;_xlfn.TEXTJOIN("、",TRUE,IF(('calcA'!DC$60:DC$104=1)*('calcA'!$C$10:$C$54=1),'calcA'!$B$10:$B$54,"")))))</f>
        <v/>
      </c>
      <c r="H42" s="109">
        <f t="array" ref="H42">IF('calcA'!EA$4=0,"",IF(H13&lt;&gt;"","（決定）",IF('calcA'!EA$108=1,"（空ける）",SUMPRODUCT(('calcA'!EA$60:EA$104=1)*('calcA'!$C$10:$C$54=1))&amp;"人："&amp;_xlfn.TEXTJOIN("、",TRUE,IF(('calcA'!EA$60:EA$104=1)*('calcA'!$C$10:$C$54=1),'calcA'!$B$10:$B$54,"")))))</f>
        <v/>
      </c>
      <c r="AA42">
        <f>IF('calcA'!K$115=0,0,IF('calcA'!K$4=0,1,IF(LEFT(C42,2)="0人",2,IF(LEFT(C42,2)="1人",3,4))))</f>
        <v/>
      </c>
      <c r="AB42">
        <f>IF('calcA'!AI$115=0,0,IF('calcA'!AI$4=0,1,IF(LEFT(D42,2)="0人",2,IF(LEFT(D42,2)="1人",3,4))))</f>
        <v/>
      </c>
      <c r="AC42">
        <f>IF('calcA'!BG$115=0,0,IF('calcA'!BG$4=0,1,IF(LEFT(E42,2)="0人",2,IF(LEFT(E42,2)="1人",3,4))))</f>
        <v/>
      </c>
      <c r="AD42">
        <f>IF('calcA'!CE$115=0,0,IF('calcA'!CE$4=0,1,IF(LEFT(F42,2)="0人",2,IF(LEFT(F42,2)="1人",3,4))))</f>
        <v/>
      </c>
      <c r="AE42">
        <f>IF('calcA'!DC$115=0,0,IF('calcA'!DC$4=0,1,IF(LEFT(G42,2)="0人",2,IF(LEFT(G42,2)="1人",3,4))))</f>
        <v/>
      </c>
      <c r="AF42">
        <f>IF('calcA'!EA$115=0,0,IF('calcA'!EA$4=0,1,IF(LEFT(H42,2)="0人",2,IF(LEFT(H42,2)="1人",3,4))))</f>
        <v/>
      </c>
    </row>
    <row r="43" ht="44" customHeight="1">
      <c r="B43" s="47">
        <f>'設定'!$I$19</f>
        <v/>
      </c>
      <c r="C43" s="109">
        <f t="array" ref="C43">IF('calcA'!L$4=0,"",IF(C14&lt;&gt;"","（決定）",IF('calcA'!L$108=1,"（空ける）",SUMPRODUCT(('calcA'!L$60:L$104=1)*('calcA'!$C$10:$C$54=1))&amp;"人："&amp;_xlfn.TEXTJOIN("、",TRUE,IF(('calcA'!L$60:L$104=1)*('calcA'!$C$10:$C$54=1),'calcA'!$B$10:$B$54,"")))))</f>
        <v/>
      </c>
      <c r="D43" s="109">
        <f t="array" ref="D43">IF('calcA'!AJ$4=0,"",IF(D14&lt;&gt;"","（決定）",IF('calcA'!AJ$108=1,"（空ける）",SUMPRODUCT(('calcA'!AJ$60:AJ$104=1)*('calcA'!$C$10:$C$54=1))&amp;"人："&amp;_xlfn.TEXTJOIN("、",TRUE,IF(('calcA'!AJ$60:AJ$104=1)*('calcA'!$C$10:$C$54=1),'calcA'!$B$10:$B$54,"")))))</f>
        <v/>
      </c>
      <c r="E43" s="109">
        <f t="array" ref="E43">IF('calcA'!BH$4=0,"",IF(E14&lt;&gt;"","（決定）",IF('calcA'!BH$108=1,"（空ける）",SUMPRODUCT(('calcA'!BH$60:BH$104=1)*('calcA'!$C$10:$C$54=1))&amp;"人："&amp;_xlfn.TEXTJOIN("、",TRUE,IF(('calcA'!BH$60:BH$104=1)*('calcA'!$C$10:$C$54=1),'calcA'!$B$10:$B$54,"")))))</f>
        <v/>
      </c>
      <c r="F43" s="109">
        <f t="array" ref="F43">IF('calcA'!CF$4=0,"",IF(F14&lt;&gt;"","（決定）",IF('calcA'!CF$108=1,"（空ける）",SUMPRODUCT(('calcA'!CF$60:CF$104=1)*('calcA'!$C$10:$C$54=1))&amp;"人："&amp;_xlfn.TEXTJOIN("、",TRUE,IF(('calcA'!CF$60:CF$104=1)*('calcA'!$C$10:$C$54=1),'calcA'!$B$10:$B$54,"")))))</f>
        <v/>
      </c>
      <c r="G43" s="109">
        <f t="array" ref="G43">IF('calcA'!DD$4=0,"",IF(G14&lt;&gt;"","（決定）",IF('calcA'!DD$108=1,"（空ける）",SUMPRODUCT(('calcA'!DD$60:DD$104=1)*('calcA'!$C$10:$C$54=1))&amp;"人："&amp;_xlfn.TEXTJOIN("、",TRUE,IF(('calcA'!DD$60:DD$104=1)*('calcA'!$C$10:$C$54=1),'calcA'!$B$10:$B$54,"")))))</f>
        <v/>
      </c>
      <c r="H43" s="109">
        <f t="array" ref="H43">IF('calcA'!EB$4=0,"",IF(H14&lt;&gt;"","（決定）",IF('calcA'!EB$108=1,"（空ける）",SUMPRODUCT(('calcA'!EB$60:EB$104=1)*('calcA'!$C$10:$C$54=1))&amp;"人："&amp;_xlfn.TEXTJOIN("、",TRUE,IF(('calcA'!EB$60:EB$104=1)*('calcA'!$C$10:$C$54=1),'calcA'!$B$10:$B$54,"")))))</f>
        <v/>
      </c>
      <c r="AA43">
        <f>IF('calcA'!L$115=0,0,IF('calcA'!L$4=0,1,IF(LEFT(C43,2)="0人",2,IF(LEFT(C43,2)="1人",3,4))))</f>
        <v/>
      </c>
      <c r="AB43">
        <f>IF('calcA'!AJ$115=0,0,IF('calcA'!AJ$4=0,1,IF(LEFT(D43,2)="0人",2,IF(LEFT(D43,2)="1人",3,4))))</f>
        <v/>
      </c>
      <c r="AC43">
        <f>IF('calcA'!BH$115=0,0,IF('calcA'!BH$4=0,1,IF(LEFT(E43,2)="0人",2,IF(LEFT(E43,2)="1人",3,4))))</f>
        <v/>
      </c>
      <c r="AD43">
        <f>IF('calcA'!CF$115=0,0,IF('calcA'!CF$4=0,1,IF(LEFT(F43,2)="0人",2,IF(LEFT(F43,2)="1人",3,4))))</f>
        <v/>
      </c>
      <c r="AE43">
        <f>IF('calcA'!DD$115=0,0,IF('calcA'!DD$4=0,1,IF(LEFT(G43,2)="0人",2,IF(LEFT(G43,2)="1人",3,4))))</f>
        <v/>
      </c>
      <c r="AF43">
        <f>IF('calcA'!EB$115=0,0,IF('calcA'!EB$4=0,1,IF(LEFT(H43,2)="0人",2,IF(LEFT(H43,2)="1人",3,4))))</f>
        <v/>
      </c>
    </row>
    <row r="44" ht="44" customHeight="1">
      <c r="B44" s="47">
        <f>'設定'!$I$20</f>
        <v/>
      </c>
      <c r="C44" s="109">
        <f t="array" ref="C44">IF('calcA'!M$4=0,"",IF(C15&lt;&gt;"","（決定）",IF('calcA'!M$108=1,"（空ける）",SUMPRODUCT(('calcA'!M$60:M$104=1)*('calcA'!$C$10:$C$54=1))&amp;"人："&amp;_xlfn.TEXTJOIN("、",TRUE,IF(('calcA'!M$60:M$104=1)*('calcA'!$C$10:$C$54=1),'calcA'!$B$10:$B$54,"")))))</f>
        <v/>
      </c>
      <c r="D44" s="109">
        <f t="array" ref="D44">IF('calcA'!AK$4=0,"",IF(D15&lt;&gt;"","（決定）",IF('calcA'!AK$108=1,"（空ける）",SUMPRODUCT(('calcA'!AK$60:AK$104=1)*('calcA'!$C$10:$C$54=1))&amp;"人："&amp;_xlfn.TEXTJOIN("、",TRUE,IF(('calcA'!AK$60:AK$104=1)*('calcA'!$C$10:$C$54=1),'calcA'!$B$10:$B$54,"")))))</f>
        <v/>
      </c>
      <c r="E44" s="109">
        <f t="array" ref="E44">IF('calcA'!BI$4=0,"",IF(E15&lt;&gt;"","（決定）",IF('calcA'!BI$108=1,"（空ける）",SUMPRODUCT(('calcA'!BI$60:BI$104=1)*('calcA'!$C$10:$C$54=1))&amp;"人："&amp;_xlfn.TEXTJOIN("、",TRUE,IF(('calcA'!BI$60:BI$104=1)*('calcA'!$C$10:$C$54=1),'calcA'!$B$10:$B$54,"")))))</f>
        <v/>
      </c>
      <c r="F44" s="109">
        <f t="array" ref="F44">IF('calcA'!CG$4=0,"",IF(F15&lt;&gt;"","（決定）",IF('calcA'!CG$108=1,"（空ける）",SUMPRODUCT(('calcA'!CG$60:CG$104=1)*('calcA'!$C$10:$C$54=1))&amp;"人："&amp;_xlfn.TEXTJOIN("、",TRUE,IF(('calcA'!CG$60:CG$104=1)*('calcA'!$C$10:$C$54=1),'calcA'!$B$10:$B$54,"")))))</f>
        <v/>
      </c>
      <c r="G44" s="109">
        <f t="array" ref="G44">IF('calcA'!DE$4=0,"",IF(G15&lt;&gt;"","（決定）",IF('calcA'!DE$108=1,"（空ける）",SUMPRODUCT(('calcA'!DE$60:DE$104=1)*('calcA'!$C$10:$C$54=1))&amp;"人："&amp;_xlfn.TEXTJOIN("、",TRUE,IF(('calcA'!DE$60:DE$104=1)*('calcA'!$C$10:$C$54=1),'calcA'!$B$10:$B$54,"")))))</f>
        <v/>
      </c>
      <c r="H44" s="109">
        <f t="array" ref="H44">IF('calcA'!EC$4=0,"",IF(H15&lt;&gt;"","（決定）",IF('calcA'!EC$108=1,"（空ける）",SUMPRODUCT(('calcA'!EC$60:EC$104=1)*('calcA'!$C$10:$C$54=1))&amp;"人："&amp;_xlfn.TEXTJOIN("、",TRUE,IF(('calcA'!EC$60:EC$104=1)*('calcA'!$C$10:$C$54=1),'calcA'!$B$10:$B$54,"")))))</f>
        <v/>
      </c>
      <c r="AA44">
        <f>IF('calcA'!M$115=0,0,IF('calcA'!M$4=0,1,IF(LEFT(C44,2)="0人",2,IF(LEFT(C44,2)="1人",3,4))))</f>
        <v/>
      </c>
      <c r="AB44">
        <f>IF('calcA'!AK$115=0,0,IF('calcA'!AK$4=0,1,IF(LEFT(D44,2)="0人",2,IF(LEFT(D44,2)="1人",3,4))))</f>
        <v/>
      </c>
      <c r="AC44">
        <f>IF('calcA'!BI$115=0,0,IF('calcA'!BI$4=0,1,IF(LEFT(E44,2)="0人",2,IF(LEFT(E44,2)="1人",3,4))))</f>
        <v/>
      </c>
      <c r="AD44">
        <f>IF('calcA'!CG$115=0,0,IF('calcA'!CG$4=0,1,IF(LEFT(F44,2)="0人",2,IF(LEFT(F44,2)="1人",3,4))))</f>
        <v/>
      </c>
      <c r="AE44">
        <f>IF('calcA'!DE$115=0,0,IF('calcA'!DE$4=0,1,IF(LEFT(G44,2)="0人",2,IF(LEFT(G44,2)="1人",3,4))))</f>
        <v/>
      </c>
      <c r="AF44">
        <f>IF('calcA'!EC$115=0,0,IF('calcA'!EC$4=0,1,IF(LEFT(H44,2)="0人",2,IF(LEFT(H44,2)="1人",3,4))))</f>
        <v/>
      </c>
    </row>
    <row r="45" ht="44" customHeight="1">
      <c r="B45" s="47">
        <f>'設定'!$I$21</f>
        <v/>
      </c>
      <c r="C45" s="109">
        <f t="array" ref="C45">IF('calcA'!N$4=0,"",IF(C16&lt;&gt;"","（決定）",IF('calcA'!N$108=1,"（空ける）",SUMPRODUCT(('calcA'!N$60:N$104=1)*('calcA'!$C$10:$C$54=1))&amp;"人："&amp;_xlfn.TEXTJOIN("、",TRUE,IF(('calcA'!N$60:N$104=1)*('calcA'!$C$10:$C$54=1),'calcA'!$B$10:$B$54,"")))))</f>
        <v/>
      </c>
      <c r="D45" s="109">
        <f t="array" ref="D45">IF('calcA'!AL$4=0,"",IF(D16&lt;&gt;"","（決定）",IF('calcA'!AL$108=1,"（空ける）",SUMPRODUCT(('calcA'!AL$60:AL$104=1)*('calcA'!$C$10:$C$54=1))&amp;"人："&amp;_xlfn.TEXTJOIN("、",TRUE,IF(('calcA'!AL$60:AL$104=1)*('calcA'!$C$10:$C$54=1),'calcA'!$B$10:$B$54,"")))))</f>
        <v/>
      </c>
      <c r="E45" s="109">
        <f t="array" ref="E45">IF('calcA'!BJ$4=0,"",IF(E16&lt;&gt;"","（決定）",IF('calcA'!BJ$108=1,"（空ける）",SUMPRODUCT(('calcA'!BJ$60:BJ$104=1)*('calcA'!$C$10:$C$54=1))&amp;"人："&amp;_xlfn.TEXTJOIN("、",TRUE,IF(('calcA'!BJ$60:BJ$104=1)*('calcA'!$C$10:$C$54=1),'calcA'!$B$10:$B$54,"")))))</f>
        <v/>
      </c>
      <c r="F45" s="109">
        <f t="array" ref="F45">IF('calcA'!CH$4=0,"",IF(F16&lt;&gt;"","（決定）",IF('calcA'!CH$108=1,"（空ける）",SUMPRODUCT(('calcA'!CH$60:CH$104=1)*('calcA'!$C$10:$C$54=1))&amp;"人："&amp;_xlfn.TEXTJOIN("、",TRUE,IF(('calcA'!CH$60:CH$104=1)*('calcA'!$C$10:$C$54=1),'calcA'!$B$10:$B$54,"")))))</f>
        <v/>
      </c>
      <c r="G45" s="109">
        <f t="array" ref="G45">IF('calcA'!DF$4=0,"",IF(G16&lt;&gt;"","（決定）",IF('calcA'!DF$108=1,"（空ける）",SUMPRODUCT(('calcA'!DF$60:DF$104=1)*('calcA'!$C$10:$C$54=1))&amp;"人："&amp;_xlfn.TEXTJOIN("、",TRUE,IF(('calcA'!DF$60:DF$104=1)*('calcA'!$C$10:$C$54=1),'calcA'!$B$10:$B$54,"")))))</f>
        <v/>
      </c>
      <c r="H45" s="109">
        <f t="array" ref="H45">IF('calcA'!ED$4=0,"",IF(H16&lt;&gt;"","（決定）",IF('calcA'!ED$108=1,"（空ける）",SUMPRODUCT(('calcA'!ED$60:ED$104=1)*('calcA'!$C$10:$C$54=1))&amp;"人："&amp;_xlfn.TEXTJOIN("、",TRUE,IF(('calcA'!ED$60:ED$104=1)*('calcA'!$C$10:$C$54=1),'calcA'!$B$10:$B$54,"")))))</f>
        <v/>
      </c>
      <c r="AA45">
        <f>IF('calcA'!N$115=0,0,IF('calcA'!N$4=0,1,IF(LEFT(C45,2)="0人",2,IF(LEFT(C45,2)="1人",3,4))))</f>
        <v/>
      </c>
      <c r="AB45">
        <f>IF('calcA'!AL$115=0,0,IF('calcA'!AL$4=0,1,IF(LEFT(D45,2)="0人",2,IF(LEFT(D45,2)="1人",3,4))))</f>
        <v/>
      </c>
      <c r="AC45">
        <f>IF('calcA'!BJ$115=0,0,IF('calcA'!BJ$4=0,1,IF(LEFT(E45,2)="0人",2,IF(LEFT(E45,2)="1人",3,4))))</f>
        <v/>
      </c>
      <c r="AD45">
        <f>IF('calcA'!CH$115=0,0,IF('calcA'!CH$4=0,1,IF(LEFT(F45,2)="0人",2,IF(LEFT(F45,2)="1人",3,4))))</f>
        <v/>
      </c>
      <c r="AE45">
        <f>IF('calcA'!DF$115=0,0,IF('calcA'!DF$4=0,1,IF(LEFT(G45,2)="0人",2,IF(LEFT(G45,2)="1人",3,4))))</f>
        <v/>
      </c>
      <c r="AF45">
        <f>IF('calcA'!ED$115=0,0,IF('calcA'!ED$4=0,1,IF(LEFT(H45,2)="0人",2,IF(LEFT(H45,2)="1人",3,4))))</f>
        <v/>
      </c>
    </row>
    <row r="46" ht="44" customHeight="1">
      <c r="B46" s="47">
        <f>'設定'!$I$22</f>
        <v/>
      </c>
      <c r="C46" s="109">
        <f t="array" ref="C46">IF('calcA'!O$4=0,"",IF(C17&lt;&gt;"","（決定）",IF('calcA'!O$108=1,"（空ける）",SUMPRODUCT(('calcA'!O$60:O$104=1)*('calcA'!$C$10:$C$54=1))&amp;"人："&amp;_xlfn.TEXTJOIN("、",TRUE,IF(('calcA'!O$60:O$104=1)*('calcA'!$C$10:$C$54=1),'calcA'!$B$10:$B$54,"")))))</f>
        <v/>
      </c>
      <c r="D46" s="109">
        <f t="array" ref="D46">IF('calcA'!AM$4=0,"",IF(D17&lt;&gt;"","（決定）",IF('calcA'!AM$108=1,"（空ける）",SUMPRODUCT(('calcA'!AM$60:AM$104=1)*('calcA'!$C$10:$C$54=1))&amp;"人："&amp;_xlfn.TEXTJOIN("、",TRUE,IF(('calcA'!AM$60:AM$104=1)*('calcA'!$C$10:$C$54=1),'calcA'!$B$10:$B$54,"")))))</f>
        <v/>
      </c>
      <c r="E46" s="109">
        <f t="array" ref="E46">IF('calcA'!BK$4=0,"",IF(E17&lt;&gt;"","（決定）",IF('calcA'!BK$108=1,"（空ける）",SUMPRODUCT(('calcA'!BK$60:BK$104=1)*('calcA'!$C$10:$C$54=1))&amp;"人："&amp;_xlfn.TEXTJOIN("、",TRUE,IF(('calcA'!BK$60:BK$104=1)*('calcA'!$C$10:$C$54=1),'calcA'!$B$10:$B$54,"")))))</f>
        <v/>
      </c>
      <c r="F46" s="109">
        <f t="array" ref="F46">IF('calcA'!CI$4=0,"",IF(F17&lt;&gt;"","（決定）",IF('calcA'!CI$108=1,"（空ける）",SUMPRODUCT(('calcA'!CI$60:CI$104=1)*('calcA'!$C$10:$C$54=1))&amp;"人："&amp;_xlfn.TEXTJOIN("、",TRUE,IF(('calcA'!CI$60:CI$104=1)*('calcA'!$C$10:$C$54=1),'calcA'!$B$10:$B$54,"")))))</f>
        <v/>
      </c>
      <c r="G46" s="109">
        <f t="array" ref="G46">IF('calcA'!DG$4=0,"",IF(G17&lt;&gt;"","（決定）",IF('calcA'!DG$108=1,"（空ける）",SUMPRODUCT(('calcA'!DG$60:DG$104=1)*('calcA'!$C$10:$C$54=1))&amp;"人："&amp;_xlfn.TEXTJOIN("、",TRUE,IF(('calcA'!DG$60:DG$104=1)*('calcA'!$C$10:$C$54=1),'calcA'!$B$10:$B$54,"")))))</f>
        <v/>
      </c>
      <c r="H46" s="109">
        <f t="array" ref="H46">IF('calcA'!EE$4=0,"",IF(H17&lt;&gt;"","（決定）",IF('calcA'!EE$108=1,"（空ける）",SUMPRODUCT(('calcA'!EE$60:EE$104=1)*('calcA'!$C$10:$C$54=1))&amp;"人："&amp;_xlfn.TEXTJOIN("、",TRUE,IF(('calcA'!EE$60:EE$104=1)*('calcA'!$C$10:$C$54=1),'calcA'!$B$10:$B$54,"")))))</f>
        <v/>
      </c>
      <c r="AA46">
        <f>IF('calcA'!O$115=0,0,IF('calcA'!O$4=0,1,IF(LEFT(C46,2)="0人",2,IF(LEFT(C46,2)="1人",3,4))))</f>
        <v/>
      </c>
      <c r="AB46">
        <f>IF('calcA'!AM$115=0,0,IF('calcA'!AM$4=0,1,IF(LEFT(D46,2)="0人",2,IF(LEFT(D46,2)="1人",3,4))))</f>
        <v/>
      </c>
      <c r="AC46">
        <f>IF('calcA'!BK$115=0,0,IF('calcA'!BK$4=0,1,IF(LEFT(E46,2)="0人",2,IF(LEFT(E46,2)="1人",3,4))))</f>
        <v/>
      </c>
      <c r="AD46">
        <f>IF('calcA'!CI$115=0,0,IF('calcA'!CI$4=0,1,IF(LEFT(F46,2)="0人",2,IF(LEFT(F46,2)="1人",3,4))))</f>
        <v/>
      </c>
      <c r="AE46">
        <f>IF('calcA'!DG$115=0,0,IF('calcA'!DG$4=0,1,IF(LEFT(G46,2)="0人",2,IF(LEFT(G46,2)="1人",3,4))))</f>
        <v/>
      </c>
      <c r="AF46">
        <f>IF('calcA'!EE$115=0,0,IF('calcA'!EE$4=0,1,IF(LEFT(H46,2)="0人",2,IF(LEFT(H46,2)="1人",3,4))))</f>
        <v/>
      </c>
    </row>
    <row r="47" ht="44" customHeight="1">
      <c r="B47" s="47">
        <f>'設定'!$I$23</f>
        <v/>
      </c>
      <c r="C47" s="109">
        <f t="array" ref="C47">IF('calcA'!P$4=0,"",IF(C18&lt;&gt;"","（決定）",IF('calcA'!P$108=1,"（空ける）",SUMPRODUCT(('calcA'!P$60:P$104=1)*('calcA'!$C$10:$C$54=1))&amp;"人："&amp;_xlfn.TEXTJOIN("、",TRUE,IF(('calcA'!P$60:P$104=1)*('calcA'!$C$10:$C$54=1),'calcA'!$B$10:$B$54,"")))))</f>
        <v/>
      </c>
      <c r="D47" s="109">
        <f t="array" ref="D47">IF('calcA'!AN$4=0,"",IF(D18&lt;&gt;"","（決定）",IF('calcA'!AN$108=1,"（空ける）",SUMPRODUCT(('calcA'!AN$60:AN$104=1)*('calcA'!$C$10:$C$54=1))&amp;"人："&amp;_xlfn.TEXTJOIN("、",TRUE,IF(('calcA'!AN$60:AN$104=1)*('calcA'!$C$10:$C$54=1),'calcA'!$B$10:$B$54,"")))))</f>
        <v/>
      </c>
      <c r="E47" s="109">
        <f t="array" ref="E47">IF('calcA'!BL$4=0,"",IF(E18&lt;&gt;"","（決定）",IF('calcA'!BL$108=1,"（空ける）",SUMPRODUCT(('calcA'!BL$60:BL$104=1)*('calcA'!$C$10:$C$54=1))&amp;"人："&amp;_xlfn.TEXTJOIN("、",TRUE,IF(('calcA'!BL$60:BL$104=1)*('calcA'!$C$10:$C$54=1),'calcA'!$B$10:$B$54,"")))))</f>
        <v/>
      </c>
      <c r="F47" s="109">
        <f t="array" ref="F47">IF('calcA'!CJ$4=0,"",IF(F18&lt;&gt;"","（決定）",IF('calcA'!CJ$108=1,"（空ける）",SUMPRODUCT(('calcA'!CJ$60:CJ$104=1)*('calcA'!$C$10:$C$54=1))&amp;"人："&amp;_xlfn.TEXTJOIN("、",TRUE,IF(('calcA'!CJ$60:CJ$104=1)*('calcA'!$C$10:$C$54=1),'calcA'!$B$10:$B$54,"")))))</f>
        <v/>
      </c>
      <c r="G47" s="109">
        <f t="array" ref="G47">IF('calcA'!DH$4=0,"",IF(G18&lt;&gt;"","（決定）",IF('calcA'!DH$108=1,"（空ける）",SUMPRODUCT(('calcA'!DH$60:DH$104=1)*('calcA'!$C$10:$C$54=1))&amp;"人："&amp;_xlfn.TEXTJOIN("、",TRUE,IF(('calcA'!DH$60:DH$104=1)*('calcA'!$C$10:$C$54=1),'calcA'!$B$10:$B$54,"")))))</f>
        <v/>
      </c>
      <c r="H47" s="109">
        <f t="array" ref="H47">IF('calcA'!EF$4=0,"",IF(H18&lt;&gt;"","（決定）",IF('calcA'!EF$108=1,"（空ける）",SUMPRODUCT(('calcA'!EF$60:EF$104=1)*('calcA'!$C$10:$C$54=1))&amp;"人："&amp;_xlfn.TEXTJOIN("、",TRUE,IF(('calcA'!EF$60:EF$104=1)*('calcA'!$C$10:$C$54=1),'calcA'!$B$10:$B$54,"")))))</f>
        <v/>
      </c>
      <c r="AA47">
        <f>IF('calcA'!P$115=0,0,IF('calcA'!P$4=0,1,IF(LEFT(C47,2)="0人",2,IF(LEFT(C47,2)="1人",3,4))))</f>
        <v/>
      </c>
      <c r="AB47">
        <f>IF('calcA'!AN$115=0,0,IF('calcA'!AN$4=0,1,IF(LEFT(D47,2)="0人",2,IF(LEFT(D47,2)="1人",3,4))))</f>
        <v/>
      </c>
      <c r="AC47">
        <f>IF('calcA'!BL$115=0,0,IF('calcA'!BL$4=0,1,IF(LEFT(E47,2)="0人",2,IF(LEFT(E47,2)="1人",3,4))))</f>
        <v/>
      </c>
      <c r="AD47">
        <f>IF('calcA'!CJ$115=0,0,IF('calcA'!CJ$4=0,1,IF(LEFT(F47,2)="0人",2,IF(LEFT(F47,2)="1人",3,4))))</f>
        <v/>
      </c>
      <c r="AE47">
        <f>IF('calcA'!DH$115=0,0,IF('calcA'!DH$4=0,1,IF(LEFT(G47,2)="0人",2,IF(LEFT(G47,2)="1人",3,4))))</f>
        <v/>
      </c>
      <c r="AF47">
        <f>IF('calcA'!EF$115=0,0,IF('calcA'!EF$4=0,1,IF(LEFT(H47,2)="0人",2,IF(LEFT(H47,2)="1人",3,4))))</f>
        <v/>
      </c>
    </row>
    <row r="48" ht="44" customHeight="1">
      <c r="B48" s="47">
        <f>'設定'!$I$24</f>
        <v/>
      </c>
      <c r="C48" s="109">
        <f t="array" ref="C48">IF('calcA'!Q$4=0,"",IF(C19&lt;&gt;"","（決定）",IF('calcA'!Q$108=1,"（空ける）",SUMPRODUCT(('calcA'!Q$60:Q$104=1)*('calcA'!$C$10:$C$54=1))&amp;"人："&amp;_xlfn.TEXTJOIN("、",TRUE,IF(('calcA'!Q$60:Q$104=1)*('calcA'!$C$10:$C$54=1),'calcA'!$B$10:$B$54,"")))))</f>
        <v/>
      </c>
      <c r="D48" s="109">
        <f t="array" ref="D48">IF('calcA'!AO$4=0,"",IF(D19&lt;&gt;"","（決定）",IF('calcA'!AO$108=1,"（空ける）",SUMPRODUCT(('calcA'!AO$60:AO$104=1)*('calcA'!$C$10:$C$54=1))&amp;"人："&amp;_xlfn.TEXTJOIN("、",TRUE,IF(('calcA'!AO$60:AO$104=1)*('calcA'!$C$10:$C$54=1),'calcA'!$B$10:$B$54,"")))))</f>
        <v/>
      </c>
      <c r="E48" s="109">
        <f t="array" ref="E48">IF('calcA'!BM$4=0,"",IF(E19&lt;&gt;"","（決定）",IF('calcA'!BM$108=1,"（空ける）",SUMPRODUCT(('calcA'!BM$60:BM$104=1)*('calcA'!$C$10:$C$54=1))&amp;"人："&amp;_xlfn.TEXTJOIN("、",TRUE,IF(('calcA'!BM$60:BM$104=1)*('calcA'!$C$10:$C$54=1),'calcA'!$B$10:$B$54,"")))))</f>
        <v/>
      </c>
      <c r="F48" s="109">
        <f t="array" ref="F48">IF('calcA'!CK$4=0,"",IF(F19&lt;&gt;"","（決定）",IF('calcA'!CK$108=1,"（空ける）",SUMPRODUCT(('calcA'!CK$60:CK$104=1)*('calcA'!$C$10:$C$54=1))&amp;"人："&amp;_xlfn.TEXTJOIN("、",TRUE,IF(('calcA'!CK$60:CK$104=1)*('calcA'!$C$10:$C$54=1),'calcA'!$B$10:$B$54,"")))))</f>
        <v/>
      </c>
      <c r="G48" s="109">
        <f t="array" ref="G48">IF('calcA'!DI$4=0,"",IF(G19&lt;&gt;"","（決定）",IF('calcA'!DI$108=1,"（空ける）",SUMPRODUCT(('calcA'!DI$60:DI$104=1)*('calcA'!$C$10:$C$54=1))&amp;"人："&amp;_xlfn.TEXTJOIN("、",TRUE,IF(('calcA'!DI$60:DI$104=1)*('calcA'!$C$10:$C$54=1),'calcA'!$B$10:$B$54,"")))))</f>
        <v/>
      </c>
      <c r="H48" s="109">
        <f t="array" ref="H48">IF('calcA'!EG$4=0,"",IF(H19&lt;&gt;"","（決定）",IF('calcA'!EG$108=1,"（空ける）",SUMPRODUCT(('calcA'!EG$60:EG$104=1)*('calcA'!$C$10:$C$54=1))&amp;"人："&amp;_xlfn.TEXTJOIN("、",TRUE,IF(('calcA'!EG$60:EG$104=1)*('calcA'!$C$10:$C$54=1),'calcA'!$B$10:$B$54,"")))))</f>
        <v/>
      </c>
      <c r="AA48">
        <f>IF('calcA'!Q$115=0,0,IF('calcA'!Q$4=0,1,IF(LEFT(C48,2)="0人",2,IF(LEFT(C48,2)="1人",3,4))))</f>
        <v/>
      </c>
      <c r="AB48">
        <f>IF('calcA'!AO$115=0,0,IF('calcA'!AO$4=0,1,IF(LEFT(D48,2)="0人",2,IF(LEFT(D48,2)="1人",3,4))))</f>
        <v/>
      </c>
      <c r="AC48">
        <f>IF('calcA'!BM$115=0,0,IF('calcA'!BM$4=0,1,IF(LEFT(E48,2)="0人",2,IF(LEFT(E48,2)="1人",3,4))))</f>
        <v/>
      </c>
      <c r="AD48">
        <f>IF('calcA'!CK$115=0,0,IF('calcA'!CK$4=0,1,IF(LEFT(F48,2)="0人",2,IF(LEFT(F48,2)="1人",3,4))))</f>
        <v/>
      </c>
      <c r="AE48">
        <f>IF('calcA'!DI$115=0,0,IF('calcA'!DI$4=0,1,IF(LEFT(G48,2)="0人",2,IF(LEFT(G48,2)="1人",3,4))))</f>
        <v/>
      </c>
      <c r="AF48">
        <f>IF('calcA'!EG$115=0,0,IF('calcA'!EG$4=0,1,IF(LEFT(H48,2)="0人",2,IF(LEFT(H48,2)="1人",3,4))))</f>
        <v/>
      </c>
    </row>
    <row r="49" ht="44" customHeight="1">
      <c r="B49" s="47">
        <f>'設定'!$I$25</f>
        <v/>
      </c>
      <c r="C49" s="109">
        <f t="array" ref="C49">IF('calcA'!R$4=0,"",IF(C20&lt;&gt;"","（決定）",IF('calcA'!R$108=1,"（空ける）",SUMPRODUCT(('calcA'!R$60:R$104=1)*('calcA'!$C$10:$C$54=1))&amp;"人："&amp;_xlfn.TEXTJOIN("、",TRUE,IF(('calcA'!R$60:R$104=1)*('calcA'!$C$10:$C$54=1),'calcA'!$B$10:$B$54,"")))))</f>
        <v/>
      </c>
      <c r="D49" s="109">
        <f t="array" ref="D49">IF('calcA'!AP$4=0,"",IF(D20&lt;&gt;"","（決定）",IF('calcA'!AP$108=1,"（空ける）",SUMPRODUCT(('calcA'!AP$60:AP$104=1)*('calcA'!$C$10:$C$54=1))&amp;"人："&amp;_xlfn.TEXTJOIN("、",TRUE,IF(('calcA'!AP$60:AP$104=1)*('calcA'!$C$10:$C$54=1),'calcA'!$B$10:$B$54,"")))))</f>
        <v/>
      </c>
      <c r="E49" s="109">
        <f t="array" ref="E49">IF('calcA'!BN$4=0,"",IF(E20&lt;&gt;"","（決定）",IF('calcA'!BN$108=1,"（空ける）",SUMPRODUCT(('calcA'!BN$60:BN$104=1)*('calcA'!$C$10:$C$54=1))&amp;"人："&amp;_xlfn.TEXTJOIN("、",TRUE,IF(('calcA'!BN$60:BN$104=1)*('calcA'!$C$10:$C$54=1),'calcA'!$B$10:$B$54,"")))))</f>
        <v/>
      </c>
      <c r="F49" s="109">
        <f t="array" ref="F49">IF('calcA'!CL$4=0,"",IF(F20&lt;&gt;"","（決定）",IF('calcA'!CL$108=1,"（空ける）",SUMPRODUCT(('calcA'!CL$60:CL$104=1)*('calcA'!$C$10:$C$54=1))&amp;"人："&amp;_xlfn.TEXTJOIN("、",TRUE,IF(('calcA'!CL$60:CL$104=1)*('calcA'!$C$10:$C$54=1),'calcA'!$B$10:$B$54,"")))))</f>
        <v/>
      </c>
      <c r="G49" s="109">
        <f t="array" ref="G49">IF('calcA'!DJ$4=0,"",IF(G20&lt;&gt;"","（決定）",IF('calcA'!DJ$108=1,"（空ける）",SUMPRODUCT(('calcA'!DJ$60:DJ$104=1)*('calcA'!$C$10:$C$54=1))&amp;"人："&amp;_xlfn.TEXTJOIN("、",TRUE,IF(('calcA'!DJ$60:DJ$104=1)*('calcA'!$C$10:$C$54=1),'calcA'!$B$10:$B$54,"")))))</f>
        <v/>
      </c>
      <c r="H49" s="109">
        <f t="array" ref="H49">IF('calcA'!EH$4=0,"",IF(H20&lt;&gt;"","（決定）",IF('calcA'!EH$108=1,"（空ける）",SUMPRODUCT(('calcA'!EH$60:EH$104=1)*('calcA'!$C$10:$C$54=1))&amp;"人："&amp;_xlfn.TEXTJOIN("、",TRUE,IF(('calcA'!EH$60:EH$104=1)*('calcA'!$C$10:$C$54=1),'calcA'!$B$10:$B$54,"")))))</f>
        <v/>
      </c>
      <c r="AA49">
        <f>IF('calcA'!R$115=0,0,IF('calcA'!R$4=0,1,IF(LEFT(C49,2)="0人",2,IF(LEFT(C49,2)="1人",3,4))))</f>
        <v/>
      </c>
      <c r="AB49">
        <f>IF('calcA'!AP$115=0,0,IF('calcA'!AP$4=0,1,IF(LEFT(D49,2)="0人",2,IF(LEFT(D49,2)="1人",3,4))))</f>
        <v/>
      </c>
      <c r="AC49">
        <f>IF('calcA'!BN$115=0,0,IF('calcA'!BN$4=0,1,IF(LEFT(E49,2)="0人",2,IF(LEFT(E49,2)="1人",3,4))))</f>
        <v/>
      </c>
      <c r="AD49">
        <f>IF('calcA'!CL$115=0,0,IF('calcA'!CL$4=0,1,IF(LEFT(F49,2)="0人",2,IF(LEFT(F49,2)="1人",3,4))))</f>
        <v/>
      </c>
      <c r="AE49">
        <f>IF('calcA'!DJ$115=0,0,IF('calcA'!DJ$4=0,1,IF(LEFT(G49,2)="0人",2,IF(LEFT(G49,2)="1人",3,4))))</f>
        <v/>
      </c>
      <c r="AF49">
        <f>IF('calcA'!EH$115=0,0,IF('calcA'!EH$4=0,1,IF(LEFT(H49,2)="0人",2,IF(LEFT(H49,2)="1人",3,4))))</f>
        <v/>
      </c>
    </row>
    <row r="50" ht="44" customHeight="1">
      <c r="B50" s="47">
        <f>'設定'!$I$26</f>
        <v/>
      </c>
      <c r="C50" s="109">
        <f t="array" ref="C50">IF('calcA'!S$4=0,"",IF(C21&lt;&gt;"","（決定）",IF('calcA'!S$108=1,"（空ける）",SUMPRODUCT(('calcA'!S$60:S$104=1)*('calcA'!$C$10:$C$54=1))&amp;"人："&amp;_xlfn.TEXTJOIN("、",TRUE,IF(('calcA'!S$60:S$104=1)*('calcA'!$C$10:$C$54=1),'calcA'!$B$10:$B$54,"")))))</f>
        <v/>
      </c>
      <c r="D50" s="109">
        <f t="array" ref="D50">IF('calcA'!AQ$4=0,"",IF(D21&lt;&gt;"","（決定）",IF('calcA'!AQ$108=1,"（空ける）",SUMPRODUCT(('calcA'!AQ$60:AQ$104=1)*('calcA'!$C$10:$C$54=1))&amp;"人："&amp;_xlfn.TEXTJOIN("、",TRUE,IF(('calcA'!AQ$60:AQ$104=1)*('calcA'!$C$10:$C$54=1),'calcA'!$B$10:$B$54,"")))))</f>
        <v/>
      </c>
      <c r="E50" s="109">
        <f t="array" ref="E50">IF('calcA'!BO$4=0,"",IF(E21&lt;&gt;"","（決定）",IF('calcA'!BO$108=1,"（空ける）",SUMPRODUCT(('calcA'!BO$60:BO$104=1)*('calcA'!$C$10:$C$54=1))&amp;"人："&amp;_xlfn.TEXTJOIN("、",TRUE,IF(('calcA'!BO$60:BO$104=1)*('calcA'!$C$10:$C$54=1),'calcA'!$B$10:$B$54,"")))))</f>
        <v/>
      </c>
      <c r="F50" s="109">
        <f t="array" ref="F50">IF('calcA'!CM$4=0,"",IF(F21&lt;&gt;"","（決定）",IF('calcA'!CM$108=1,"（空ける）",SUMPRODUCT(('calcA'!CM$60:CM$104=1)*('calcA'!$C$10:$C$54=1))&amp;"人："&amp;_xlfn.TEXTJOIN("、",TRUE,IF(('calcA'!CM$60:CM$104=1)*('calcA'!$C$10:$C$54=1),'calcA'!$B$10:$B$54,"")))))</f>
        <v/>
      </c>
      <c r="G50" s="109">
        <f t="array" ref="G50">IF('calcA'!DK$4=0,"",IF(G21&lt;&gt;"","（決定）",IF('calcA'!DK$108=1,"（空ける）",SUMPRODUCT(('calcA'!DK$60:DK$104=1)*('calcA'!$C$10:$C$54=1))&amp;"人："&amp;_xlfn.TEXTJOIN("、",TRUE,IF(('calcA'!DK$60:DK$104=1)*('calcA'!$C$10:$C$54=1),'calcA'!$B$10:$B$54,"")))))</f>
        <v/>
      </c>
      <c r="H50" s="109">
        <f t="array" ref="H50">IF('calcA'!EI$4=0,"",IF(H21&lt;&gt;"","（決定）",IF('calcA'!EI$108=1,"（空ける）",SUMPRODUCT(('calcA'!EI$60:EI$104=1)*('calcA'!$C$10:$C$54=1))&amp;"人："&amp;_xlfn.TEXTJOIN("、",TRUE,IF(('calcA'!EI$60:EI$104=1)*('calcA'!$C$10:$C$54=1),'calcA'!$B$10:$B$54,"")))))</f>
        <v/>
      </c>
      <c r="AA50">
        <f>IF('calcA'!S$115=0,0,IF('calcA'!S$4=0,1,IF(LEFT(C50,2)="0人",2,IF(LEFT(C50,2)="1人",3,4))))</f>
        <v/>
      </c>
      <c r="AB50">
        <f>IF('calcA'!AQ$115=0,0,IF('calcA'!AQ$4=0,1,IF(LEFT(D50,2)="0人",2,IF(LEFT(D50,2)="1人",3,4))))</f>
        <v/>
      </c>
      <c r="AC50">
        <f>IF('calcA'!BO$115=0,0,IF('calcA'!BO$4=0,1,IF(LEFT(E50,2)="0人",2,IF(LEFT(E50,2)="1人",3,4))))</f>
        <v/>
      </c>
      <c r="AD50">
        <f>IF('calcA'!CM$115=0,0,IF('calcA'!CM$4=0,1,IF(LEFT(F50,2)="0人",2,IF(LEFT(F50,2)="1人",3,4))))</f>
        <v/>
      </c>
      <c r="AE50">
        <f>IF('calcA'!DK$115=0,0,IF('calcA'!DK$4=0,1,IF(LEFT(G50,2)="0人",2,IF(LEFT(G50,2)="1人",3,4))))</f>
        <v/>
      </c>
      <c r="AF50">
        <f>IF('calcA'!EI$115=0,0,IF('calcA'!EI$4=0,1,IF(LEFT(H50,2)="0人",2,IF(LEFT(H50,2)="1人",3,4))))</f>
        <v/>
      </c>
    </row>
    <row r="51" ht="44" customHeight="1">
      <c r="B51" s="47">
        <f>'設定'!$I$27</f>
        <v/>
      </c>
      <c r="C51" s="109">
        <f t="array" ref="C51">IF('calcA'!T$4=0,"",IF(C22&lt;&gt;"","（決定）",IF('calcA'!T$108=1,"（空ける）",SUMPRODUCT(('calcA'!T$60:T$104=1)*('calcA'!$C$10:$C$54=1))&amp;"人："&amp;_xlfn.TEXTJOIN("、",TRUE,IF(('calcA'!T$60:T$104=1)*('calcA'!$C$10:$C$54=1),'calcA'!$B$10:$B$54,"")))))</f>
        <v/>
      </c>
      <c r="D51" s="109">
        <f t="array" ref="D51">IF('calcA'!AR$4=0,"",IF(D22&lt;&gt;"","（決定）",IF('calcA'!AR$108=1,"（空ける）",SUMPRODUCT(('calcA'!AR$60:AR$104=1)*('calcA'!$C$10:$C$54=1))&amp;"人："&amp;_xlfn.TEXTJOIN("、",TRUE,IF(('calcA'!AR$60:AR$104=1)*('calcA'!$C$10:$C$54=1),'calcA'!$B$10:$B$54,"")))))</f>
        <v/>
      </c>
      <c r="E51" s="109">
        <f t="array" ref="E51">IF('calcA'!BP$4=0,"",IF(E22&lt;&gt;"","（決定）",IF('calcA'!BP$108=1,"（空ける）",SUMPRODUCT(('calcA'!BP$60:BP$104=1)*('calcA'!$C$10:$C$54=1))&amp;"人："&amp;_xlfn.TEXTJOIN("、",TRUE,IF(('calcA'!BP$60:BP$104=1)*('calcA'!$C$10:$C$54=1),'calcA'!$B$10:$B$54,"")))))</f>
        <v/>
      </c>
      <c r="F51" s="109">
        <f t="array" ref="F51">IF('calcA'!CN$4=0,"",IF(F22&lt;&gt;"","（決定）",IF('calcA'!CN$108=1,"（空ける）",SUMPRODUCT(('calcA'!CN$60:CN$104=1)*('calcA'!$C$10:$C$54=1))&amp;"人："&amp;_xlfn.TEXTJOIN("、",TRUE,IF(('calcA'!CN$60:CN$104=1)*('calcA'!$C$10:$C$54=1),'calcA'!$B$10:$B$54,"")))))</f>
        <v/>
      </c>
      <c r="G51" s="109">
        <f t="array" ref="G51">IF('calcA'!DL$4=0,"",IF(G22&lt;&gt;"","（決定）",IF('calcA'!DL$108=1,"（空ける）",SUMPRODUCT(('calcA'!DL$60:DL$104=1)*('calcA'!$C$10:$C$54=1))&amp;"人："&amp;_xlfn.TEXTJOIN("、",TRUE,IF(('calcA'!DL$60:DL$104=1)*('calcA'!$C$10:$C$54=1),'calcA'!$B$10:$B$54,"")))))</f>
        <v/>
      </c>
      <c r="H51" s="109">
        <f t="array" ref="H51">IF('calcA'!EJ$4=0,"",IF(H22&lt;&gt;"","（決定）",IF('calcA'!EJ$108=1,"（空ける）",SUMPRODUCT(('calcA'!EJ$60:EJ$104=1)*('calcA'!$C$10:$C$54=1))&amp;"人："&amp;_xlfn.TEXTJOIN("、",TRUE,IF(('calcA'!EJ$60:EJ$104=1)*('calcA'!$C$10:$C$54=1),'calcA'!$B$10:$B$54,"")))))</f>
        <v/>
      </c>
      <c r="AA51">
        <f>IF('calcA'!T$115=0,0,IF('calcA'!T$4=0,1,IF(LEFT(C51,2)="0人",2,IF(LEFT(C51,2)="1人",3,4))))</f>
        <v/>
      </c>
      <c r="AB51">
        <f>IF('calcA'!AR$115=0,0,IF('calcA'!AR$4=0,1,IF(LEFT(D51,2)="0人",2,IF(LEFT(D51,2)="1人",3,4))))</f>
        <v/>
      </c>
      <c r="AC51">
        <f>IF('calcA'!BP$115=0,0,IF('calcA'!BP$4=0,1,IF(LEFT(E51,2)="0人",2,IF(LEFT(E51,2)="1人",3,4))))</f>
        <v/>
      </c>
      <c r="AD51">
        <f>IF('calcA'!CN$115=0,0,IF('calcA'!CN$4=0,1,IF(LEFT(F51,2)="0人",2,IF(LEFT(F51,2)="1人",3,4))))</f>
        <v/>
      </c>
      <c r="AE51">
        <f>IF('calcA'!DL$115=0,0,IF('calcA'!DL$4=0,1,IF(LEFT(G51,2)="0人",2,IF(LEFT(G51,2)="1人",3,4))))</f>
        <v/>
      </c>
      <c r="AF51">
        <f>IF('calcA'!EJ$115=0,0,IF('calcA'!EJ$4=0,1,IF(LEFT(H51,2)="0人",2,IF(LEFT(H51,2)="1人",3,4))))</f>
        <v/>
      </c>
    </row>
    <row r="52" ht="44" customHeight="1">
      <c r="B52" s="47">
        <f>'設定'!$I$28</f>
        <v/>
      </c>
      <c r="C52" s="109">
        <f t="array" ref="C52">IF('calcA'!U$4=0,"",IF(C23&lt;&gt;"","（決定）",IF('calcA'!U$108=1,"（空ける）",SUMPRODUCT(('calcA'!U$60:U$104=1)*('calcA'!$C$10:$C$54=1))&amp;"人："&amp;_xlfn.TEXTJOIN("、",TRUE,IF(('calcA'!U$60:U$104=1)*('calcA'!$C$10:$C$54=1),'calcA'!$B$10:$B$54,"")))))</f>
        <v/>
      </c>
      <c r="D52" s="109">
        <f t="array" ref="D52">IF('calcA'!AS$4=0,"",IF(D23&lt;&gt;"","（決定）",IF('calcA'!AS$108=1,"（空ける）",SUMPRODUCT(('calcA'!AS$60:AS$104=1)*('calcA'!$C$10:$C$54=1))&amp;"人："&amp;_xlfn.TEXTJOIN("、",TRUE,IF(('calcA'!AS$60:AS$104=1)*('calcA'!$C$10:$C$54=1),'calcA'!$B$10:$B$54,"")))))</f>
        <v/>
      </c>
      <c r="E52" s="109">
        <f t="array" ref="E52">IF('calcA'!BQ$4=0,"",IF(E23&lt;&gt;"","（決定）",IF('calcA'!BQ$108=1,"（空ける）",SUMPRODUCT(('calcA'!BQ$60:BQ$104=1)*('calcA'!$C$10:$C$54=1))&amp;"人："&amp;_xlfn.TEXTJOIN("、",TRUE,IF(('calcA'!BQ$60:BQ$104=1)*('calcA'!$C$10:$C$54=1),'calcA'!$B$10:$B$54,"")))))</f>
        <v/>
      </c>
      <c r="F52" s="109">
        <f t="array" ref="F52">IF('calcA'!CO$4=0,"",IF(F23&lt;&gt;"","（決定）",IF('calcA'!CO$108=1,"（空ける）",SUMPRODUCT(('calcA'!CO$60:CO$104=1)*('calcA'!$C$10:$C$54=1))&amp;"人："&amp;_xlfn.TEXTJOIN("、",TRUE,IF(('calcA'!CO$60:CO$104=1)*('calcA'!$C$10:$C$54=1),'calcA'!$B$10:$B$54,"")))))</f>
        <v/>
      </c>
      <c r="G52" s="109">
        <f t="array" ref="G52">IF('calcA'!DM$4=0,"",IF(G23&lt;&gt;"","（決定）",IF('calcA'!DM$108=1,"（空ける）",SUMPRODUCT(('calcA'!DM$60:DM$104=1)*('calcA'!$C$10:$C$54=1))&amp;"人："&amp;_xlfn.TEXTJOIN("、",TRUE,IF(('calcA'!DM$60:DM$104=1)*('calcA'!$C$10:$C$54=1),'calcA'!$B$10:$B$54,"")))))</f>
        <v/>
      </c>
      <c r="H52" s="109">
        <f t="array" ref="H52">IF('calcA'!EK$4=0,"",IF(H23&lt;&gt;"","（決定）",IF('calcA'!EK$108=1,"（空ける）",SUMPRODUCT(('calcA'!EK$60:EK$104=1)*('calcA'!$C$10:$C$54=1))&amp;"人："&amp;_xlfn.TEXTJOIN("、",TRUE,IF(('calcA'!EK$60:EK$104=1)*('calcA'!$C$10:$C$54=1),'calcA'!$B$10:$B$54,"")))))</f>
        <v/>
      </c>
      <c r="AA52">
        <f>IF('calcA'!U$115=0,0,IF('calcA'!U$4=0,1,IF(LEFT(C52,2)="0人",2,IF(LEFT(C52,2)="1人",3,4))))</f>
        <v/>
      </c>
      <c r="AB52">
        <f>IF('calcA'!AS$115=0,0,IF('calcA'!AS$4=0,1,IF(LEFT(D52,2)="0人",2,IF(LEFT(D52,2)="1人",3,4))))</f>
        <v/>
      </c>
      <c r="AC52">
        <f>IF('calcA'!BQ$115=0,0,IF('calcA'!BQ$4=0,1,IF(LEFT(E52,2)="0人",2,IF(LEFT(E52,2)="1人",3,4))))</f>
        <v/>
      </c>
      <c r="AD52">
        <f>IF('calcA'!CO$115=0,0,IF('calcA'!CO$4=0,1,IF(LEFT(F52,2)="0人",2,IF(LEFT(F52,2)="1人",3,4))))</f>
        <v/>
      </c>
      <c r="AE52">
        <f>IF('calcA'!DM$115=0,0,IF('calcA'!DM$4=0,1,IF(LEFT(G52,2)="0人",2,IF(LEFT(G52,2)="1人",3,4))))</f>
        <v/>
      </c>
      <c r="AF52">
        <f>IF('calcA'!EK$115=0,0,IF('calcA'!EK$4=0,1,IF(LEFT(H52,2)="0人",2,IF(LEFT(H52,2)="1人",3,4))))</f>
        <v/>
      </c>
    </row>
    <row r="53" ht="44" customHeight="1">
      <c r="B53" s="47">
        <f>'設定'!$I$29</f>
        <v/>
      </c>
      <c r="C53" s="109">
        <f t="array" ref="C53">IF('calcA'!V$4=0,"",IF(C24&lt;&gt;"","（決定）",IF('calcA'!V$108=1,"（空ける）",SUMPRODUCT(('calcA'!V$60:V$104=1)*('calcA'!$C$10:$C$54=1))&amp;"人："&amp;_xlfn.TEXTJOIN("、",TRUE,IF(('calcA'!V$60:V$104=1)*('calcA'!$C$10:$C$54=1),'calcA'!$B$10:$B$54,"")))))</f>
        <v/>
      </c>
      <c r="D53" s="109">
        <f t="array" ref="D53">IF('calcA'!AT$4=0,"",IF(D24&lt;&gt;"","（決定）",IF('calcA'!AT$108=1,"（空ける）",SUMPRODUCT(('calcA'!AT$60:AT$104=1)*('calcA'!$C$10:$C$54=1))&amp;"人："&amp;_xlfn.TEXTJOIN("、",TRUE,IF(('calcA'!AT$60:AT$104=1)*('calcA'!$C$10:$C$54=1),'calcA'!$B$10:$B$54,"")))))</f>
        <v/>
      </c>
      <c r="E53" s="109">
        <f t="array" ref="E53">IF('calcA'!BR$4=0,"",IF(E24&lt;&gt;"","（決定）",IF('calcA'!BR$108=1,"（空ける）",SUMPRODUCT(('calcA'!BR$60:BR$104=1)*('calcA'!$C$10:$C$54=1))&amp;"人："&amp;_xlfn.TEXTJOIN("、",TRUE,IF(('calcA'!BR$60:BR$104=1)*('calcA'!$C$10:$C$54=1),'calcA'!$B$10:$B$54,"")))))</f>
        <v/>
      </c>
      <c r="F53" s="109">
        <f t="array" ref="F53">IF('calcA'!CP$4=0,"",IF(F24&lt;&gt;"","（決定）",IF('calcA'!CP$108=1,"（空ける）",SUMPRODUCT(('calcA'!CP$60:CP$104=1)*('calcA'!$C$10:$C$54=1))&amp;"人："&amp;_xlfn.TEXTJOIN("、",TRUE,IF(('calcA'!CP$60:CP$104=1)*('calcA'!$C$10:$C$54=1),'calcA'!$B$10:$B$54,"")))))</f>
        <v/>
      </c>
      <c r="G53" s="109">
        <f t="array" ref="G53">IF('calcA'!DN$4=0,"",IF(G24&lt;&gt;"","（決定）",IF('calcA'!DN$108=1,"（空ける）",SUMPRODUCT(('calcA'!DN$60:DN$104=1)*('calcA'!$C$10:$C$54=1))&amp;"人："&amp;_xlfn.TEXTJOIN("、",TRUE,IF(('calcA'!DN$60:DN$104=1)*('calcA'!$C$10:$C$54=1),'calcA'!$B$10:$B$54,"")))))</f>
        <v/>
      </c>
      <c r="H53" s="109">
        <f t="array" ref="H53">IF('calcA'!EL$4=0,"",IF(H24&lt;&gt;"","（決定）",IF('calcA'!EL$108=1,"（空ける）",SUMPRODUCT(('calcA'!EL$60:EL$104=1)*('calcA'!$C$10:$C$54=1))&amp;"人："&amp;_xlfn.TEXTJOIN("、",TRUE,IF(('calcA'!EL$60:EL$104=1)*('calcA'!$C$10:$C$54=1),'calcA'!$B$10:$B$54,"")))))</f>
        <v/>
      </c>
      <c r="AA53">
        <f>IF('calcA'!V$115=0,0,IF('calcA'!V$4=0,1,IF(LEFT(C53,2)="0人",2,IF(LEFT(C53,2)="1人",3,4))))</f>
        <v/>
      </c>
      <c r="AB53">
        <f>IF('calcA'!AT$115=0,0,IF('calcA'!AT$4=0,1,IF(LEFT(D53,2)="0人",2,IF(LEFT(D53,2)="1人",3,4))))</f>
        <v/>
      </c>
      <c r="AC53">
        <f>IF('calcA'!BR$115=0,0,IF('calcA'!BR$4=0,1,IF(LEFT(E53,2)="0人",2,IF(LEFT(E53,2)="1人",3,4))))</f>
        <v/>
      </c>
      <c r="AD53">
        <f>IF('calcA'!CP$115=0,0,IF('calcA'!CP$4=0,1,IF(LEFT(F53,2)="0人",2,IF(LEFT(F53,2)="1人",3,4))))</f>
        <v/>
      </c>
      <c r="AE53">
        <f>IF('calcA'!DN$115=0,0,IF('calcA'!DN$4=0,1,IF(LEFT(G53,2)="0人",2,IF(LEFT(G53,2)="1人",3,4))))</f>
        <v/>
      </c>
      <c r="AF53">
        <f>IF('calcA'!EL$115=0,0,IF('calcA'!EL$4=0,1,IF(LEFT(H53,2)="0人",2,IF(LEFT(H53,2)="1人",3,4))))</f>
        <v/>
      </c>
    </row>
    <row r="54" ht="44" customHeight="1">
      <c r="B54" s="47">
        <f>'設定'!$I$30</f>
        <v/>
      </c>
      <c r="C54" s="109">
        <f t="array" ref="C54">IF('calcA'!W$4=0,"",IF(C25&lt;&gt;"","（決定）",IF('calcA'!W$108=1,"（空ける）",SUMPRODUCT(('calcA'!W$60:W$104=1)*('calcA'!$C$10:$C$54=1))&amp;"人："&amp;_xlfn.TEXTJOIN("、",TRUE,IF(('calcA'!W$60:W$104=1)*('calcA'!$C$10:$C$54=1),'calcA'!$B$10:$B$54,"")))))</f>
        <v/>
      </c>
      <c r="D54" s="109">
        <f t="array" ref="D54">IF('calcA'!AU$4=0,"",IF(D25&lt;&gt;"","（決定）",IF('calcA'!AU$108=1,"（空ける）",SUMPRODUCT(('calcA'!AU$60:AU$104=1)*('calcA'!$C$10:$C$54=1))&amp;"人："&amp;_xlfn.TEXTJOIN("、",TRUE,IF(('calcA'!AU$60:AU$104=1)*('calcA'!$C$10:$C$54=1),'calcA'!$B$10:$B$54,"")))))</f>
        <v/>
      </c>
      <c r="E54" s="109">
        <f t="array" ref="E54">IF('calcA'!BS$4=0,"",IF(E25&lt;&gt;"","（決定）",IF('calcA'!BS$108=1,"（空ける）",SUMPRODUCT(('calcA'!BS$60:BS$104=1)*('calcA'!$C$10:$C$54=1))&amp;"人："&amp;_xlfn.TEXTJOIN("、",TRUE,IF(('calcA'!BS$60:BS$104=1)*('calcA'!$C$10:$C$54=1),'calcA'!$B$10:$B$54,"")))))</f>
        <v/>
      </c>
      <c r="F54" s="109">
        <f t="array" ref="F54">IF('calcA'!CQ$4=0,"",IF(F25&lt;&gt;"","（決定）",IF('calcA'!CQ$108=1,"（空ける）",SUMPRODUCT(('calcA'!CQ$60:CQ$104=1)*('calcA'!$C$10:$C$54=1))&amp;"人："&amp;_xlfn.TEXTJOIN("、",TRUE,IF(('calcA'!CQ$60:CQ$104=1)*('calcA'!$C$10:$C$54=1),'calcA'!$B$10:$B$54,"")))))</f>
        <v/>
      </c>
      <c r="G54" s="109">
        <f t="array" ref="G54">IF('calcA'!DO$4=0,"",IF(G25&lt;&gt;"","（決定）",IF('calcA'!DO$108=1,"（空ける）",SUMPRODUCT(('calcA'!DO$60:DO$104=1)*('calcA'!$C$10:$C$54=1))&amp;"人："&amp;_xlfn.TEXTJOIN("、",TRUE,IF(('calcA'!DO$60:DO$104=1)*('calcA'!$C$10:$C$54=1),'calcA'!$B$10:$B$54,"")))))</f>
        <v/>
      </c>
      <c r="H54" s="109">
        <f t="array" ref="H54">IF('calcA'!EM$4=0,"",IF(H25&lt;&gt;"","（決定）",IF('calcA'!EM$108=1,"（空ける）",SUMPRODUCT(('calcA'!EM$60:EM$104=1)*('calcA'!$C$10:$C$54=1))&amp;"人："&amp;_xlfn.TEXTJOIN("、",TRUE,IF(('calcA'!EM$60:EM$104=1)*('calcA'!$C$10:$C$54=1),'calcA'!$B$10:$B$54,"")))))</f>
        <v/>
      </c>
      <c r="AA54">
        <f>IF('calcA'!W$115=0,0,IF('calcA'!W$4=0,1,IF(LEFT(C54,2)="0人",2,IF(LEFT(C54,2)="1人",3,4))))</f>
        <v/>
      </c>
      <c r="AB54">
        <f>IF('calcA'!AU$115=0,0,IF('calcA'!AU$4=0,1,IF(LEFT(D54,2)="0人",2,IF(LEFT(D54,2)="1人",3,4))))</f>
        <v/>
      </c>
      <c r="AC54">
        <f>IF('calcA'!BS$115=0,0,IF('calcA'!BS$4=0,1,IF(LEFT(E54,2)="0人",2,IF(LEFT(E54,2)="1人",3,4))))</f>
        <v/>
      </c>
      <c r="AD54">
        <f>IF('calcA'!CQ$115=0,0,IF('calcA'!CQ$4=0,1,IF(LEFT(F54,2)="0人",2,IF(LEFT(F54,2)="1人",3,4))))</f>
        <v/>
      </c>
      <c r="AE54">
        <f>IF('calcA'!DO$115=0,0,IF('calcA'!DO$4=0,1,IF(LEFT(G54,2)="0人",2,IF(LEFT(G54,2)="1人",3,4))))</f>
        <v/>
      </c>
      <c r="AF54">
        <f>IF('calcA'!EM$115=0,0,IF('calcA'!EM$4=0,1,IF(LEFT(H54,2)="0人",2,IF(LEFT(H54,2)="1人",3,4))))</f>
        <v/>
      </c>
    </row>
    <row r="55" ht="44" customHeight="1">
      <c r="B55" s="47">
        <f>'設定'!$I$31</f>
        <v/>
      </c>
      <c r="C55" s="109">
        <f t="array" ref="C55">IF('calcA'!X$4=0,"",IF(C26&lt;&gt;"","（決定）",IF('calcA'!X$108=1,"（空ける）",SUMPRODUCT(('calcA'!X$60:X$104=1)*('calcA'!$C$10:$C$54=1))&amp;"人："&amp;_xlfn.TEXTJOIN("、",TRUE,IF(('calcA'!X$60:X$104=1)*('calcA'!$C$10:$C$54=1),'calcA'!$B$10:$B$54,"")))))</f>
        <v/>
      </c>
      <c r="D55" s="109">
        <f t="array" ref="D55">IF('calcA'!AV$4=0,"",IF(D26&lt;&gt;"","（決定）",IF('calcA'!AV$108=1,"（空ける）",SUMPRODUCT(('calcA'!AV$60:AV$104=1)*('calcA'!$C$10:$C$54=1))&amp;"人："&amp;_xlfn.TEXTJOIN("、",TRUE,IF(('calcA'!AV$60:AV$104=1)*('calcA'!$C$10:$C$54=1),'calcA'!$B$10:$B$54,"")))))</f>
        <v/>
      </c>
      <c r="E55" s="109">
        <f t="array" ref="E55">IF('calcA'!BT$4=0,"",IF(E26&lt;&gt;"","（決定）",IF('calcA'!BT$108=1,"（空ける）",SUMPRODUCT(('calcA'!BT$60:BT$104=1)*('calcA'!$C$10:$C$54=1))&amp;"人："&amp;_xlfn.TEXTJOIN("、",TRUE,IF(('calcA'!BT$60:BT$104=1)*('calcA'!$C$10:$C$54=1),'calcA'!$B$10:$B$54,"")))))</f>
        <v/>
      </c>
      <c r="F55" s="109">
        <f t="array" ref="F55">IF('calcA'!CR$4=0,"",IF(F26&lt;&gt;"","（決定）",IF('calcA'!CR$108=1,"（空ける）",SUMPRODUCT(('calcA'!CR$60:CR$104=1)*('calcA'!$C$10:$C$54=1))&amp;"人："&amp;_xlfn.TEXTJOIN("、",TRUE,IF(('calcA'!CR$60:CR$104=1)*('calcA'!$C$10:$C$54=1),'calcA'!$B$10:$B$54,"")))))</f>
        <v/>
      </c>
      <c r="G55" s="109">
        <f t="array" ref="G55">IF('calcA'!DP$4=0,"",IF(G26&lt;&gt;"","（決定）",IF('calcA'!DP$108=1,"（空ける）",SUMPRODUCT(('calcA'!DP$60:DP$104=1)*('calcA'!$C$10:$C$54=1))&amp;"人："&amp;_xlfn.TEXTJOIN("、",TRUE,IF(('calcA'!DP$60:DP$104=1)*('calcA'!$C$10:$C$54=1),'calcA'!$B$10:$B$54,"")))))</f>
        <v/>
      </c>
      <c r="H55" s="109">
        <f t="array" ref="H55">IF('calcA'!EN$4=0,"",IF(H26&lt;&gt;"","（決定）",IF('calcA'!EN$108=1,"（空ける）",SUMPRODUCT(('calcA'!EN$60:EN$104=1)*('calcA'!$C$10:$C$54=1))&amp;"人："&amp;_xlfn.TEXTJOIN("、",TRUE,IF(('calcA'!EN$60:EN$104=1)*('calcA'!$C$10:$C$54=1),'calcA'!$B$10:$B$54,"")))))</f>
        <v/>
      </c>
      <c r="AA55">
        <f>IF('calcA'!X$115=0,0,IF('calcA'!X$4=0,1,IF(LEFT(C55,2)="0人",2,IF(LEFT(C55,2)="1人",3,4))))</f>
        <v/>
      </c>
      <c r="AB55">
        <f>IF('calcA'!AV$115=0,0,IF('calcA'!AV$4=0,1,IF(LEFT(D55,2)="0人",2,IF(LEFT(D55,2)="1人",3,4))))</f>
        <v/>
      </c>
      <c r="AC55">
        <f>IF('calcA'!BT$115=0,0,IF('calcA'!BT$4=0,1,IF(LEFT(E55,2)="0人",2,IF(LEFT(E55,2)="1人",3,4))))</f>
        <v/>
      </c>
      <c r="AD55">
        <f>IF('calcA'!CR$115=0,0,IF('calcA'!CR$4=0,1,IF(LEFT(F55,2)="0人",2,IF(LEFT(F55,2)="1人",3,4))))</f>
        <v/>
      </c>
      <c r="AE55">
        <f>IF('calcA'!DP$115=0,0,IF('calcA'!DP$4=0,1,IF(LEFT(G55,2)="0人",2,IF(LEFT(G55,2)="1人",3,4))))</f>
        <v/>
      </c>
      <c r="AF55">
        <f>IF('calcA'!EN$115=0,0,IF('calcA'!EN$4=0,1,IF(LEFT(H55,2)="0人",2,IF(LEFT(H55,2)="1人",3,4))))</f>
        <v/>
      </c>
    </row>
    <row r="56" ht="44" customHeight="1">
      <c r="B56" s="47">
        <f>'設定'!$I$32</f>
        <v/>
      </c>
      <c r="C56" s="109">
        <f t="array" ref="C56">IF('calcA'!Y$4=0,"",IF(C27&lt;&gt;"","（決定）",IF('calcA'!Y$108=1,"（空ける）",SUMPRODUCT(('calcA'!Y$60:Y$104=1)*('calcA'!$C$10:$C$54=1))&amp;"人："&amp;_xlfn.TEXTJOIN("、",TRUE,IF(('calcA'!Y$60:Y$104=1)*('calcA'!$C$10:$C$54=1),'calcA'!$B$10:$B$54,"")))))</f>
        <v/>
      </c>
      <c r="D56" s="109">
        <f t="array" ref="D56">IF('calcA'!AW$4=0,"",IF(D27&lt;&gt;"","（決定）",IF('calcA'!AW$108=1,"（空ける）",SUMPRODUCT(('calcA'!AW$60:AW$104=1)*('calcA'!$C$10:$C$54=1))&amp;"人："&amp;_xlfn.TEXTJOIN("、",TRUE,IF(('calcA'!AW$60:AW$104=1)*('calcA'!$C$10:$C$54=1),'calcA'!$B$10:$B$54,"")))))</f>
        <v/>
      </c>
      <c r="E56" s="109">
        <f t="array" ref="E56">IF('calcA'!BU$4=0,"",IF(E27&lt;&gt;"","（決定）",IF('calcA'!BU$108=1,"（空ける）",SUMPRODUCT(('calcA'!BU$60:BU$104=1)*('calcA'!$C$10:$C$54=1))&amp;"人："&amp;_xlfn.TEXTJOIN("、",TRUE,IF(('calcA'!BU$60:BU$104=1)*('calcA'!$C$10:$C$54=1),'calcA'!$B$10:$B$54,"")))))</f>
        <v/>
      </c>
      <c r="F56" s="109">
        <f t="array" ref="F56">IF('calcA'!CS$4=0,"",IF(F27&lt;&gt;"","（決定）",IF('calcA'!CS$108=1,"（空ける）",SUMPRODUCT(('calcA'!CS$60:CS$104=1)*('calcA'!$C$10:$C$54=1))&amp;"人："&amp;_xlfn.TEXTJOIN("、",TRUE,IF(('calcA'!CS$60:CS$104=1)*('calcA'!$C$10:$C$54=1),'calcA'!$B$10:$B$54,"")))))</f>
        <v/>
      </c>
      <c r="G56" s="109">
        <f t="array" ref="G56">IF('calcA'!DQ$4=0,"",IF(G27&lt;&gt;"","（決定）",IF('calcA'!DQ$108=1,"（空ける）",SUMPRODUCT(('calcA'!DQ$60:DQ$104=1)*('calcA'!$C$10:$C$54=1))&amp;"人："&amp;_xlfn.TEXTJOIN("、",TRUE,IF(('calcA'!DQ$60:DQ$104=1)*('calcA'!$C$10:$C$54=1),'calcA'!$B$10:$B$54,"")))))</f>
        <v/>
      </c>
      <c r="H56" s="109">
        <f t="array" ref="H56">IF('calcA'!EO$4=0,"",IF(H27&lt;&gt;"","（決定）",IF('calcA'!EO$108=1,"（空ける）",SUMPRODUCT(('calcA'!EO$60:EO$104=1)*('calcA'!$C$10:$C$54=1))&amp;"人："&amp;_xlfn.TEXTJOIN("、",TRUE,IF(('calcA'!EO$60:EO$104=1)*('calcA'!$C$10:$C$54=1),'calcA'!$B$10:$B$54,"")))))</f>
        <v/>
      </c>
      <c r="AA56">
        <f>IF('calcA'!Y$115=0,0,IF('calcA'!Y$4=0,1,IF(LEFT(C56,2)="0人",2,IF(LEFT(C56,2)="1人",3,4))))</f>
        <v/>
      </c>
      <c r="AB56">
        <f>IF('calcA'!AW$115=0,0,IF('calcA'!AW$4=0,1,IF(LEFT(D56,2)="0人",2,IF(LEFT(D56,2)="1人",3,4))))</f>
        <v/>
      </c>
      <c r="AC56">
        <f>IF('calcA'!BU$115=0,0,IF('calcA'!BU$4=0,1,IF(LEFT(E56,2)="0人",2,IF(LEFT(E56,2)="1人",3,4))))</f>
        <v/>
      </c>
      <c r="AD56">
        <f>IF('calcA'!CS$115=0,0,IF('calcA'!CS$4=0,1,IF(LEFT(F56,2)="0人",2,IF(LEFT(F56,2)="1人",3,4))))</f>
        <v/>
      </c>
      <c r="AE56">
        <f>IF('calcA'!DQ$115=0,0,IF('calcA'!DQ$4=0,1,IF(LEFT(G56,2)="0人",2,IF(LEFT(G56,2)="1人",3,4))))</f>
        <v/>
      </c>
      <c r="AF56">
        <f>IF('calcA'!EO$115=0,0,IF('calcA'!EO$4=0,1,IF(LEFT(H56,2)="0人",2,IF(LEFT(H56,2)="1人",3,4))))</f>
        <v/>
      </c>
    </row>
    <row r="57" ht="44" customHeight="1">
      <c r="B57" s="47">
        <f>'設定'!$I$33</f>
        <v/>
      </c>
      <c r="C57" s="109">
        <f t="array" ref="C57">IF('calcA'!Z$4=0,"",IF(C28&lt;&gt;"","（決定）",IF('calcA'!Z$108=1,"（空ける）",SUMPRODUCT(('calcA'!Z$60:Z$104=1)*('calcA'!$C$10:$C$54=1))&amp;"人："&amp;_xlfn.TEXTJOIN("、",TRUE,IF(('calcA'!Z$60:Z$104=1)*('calcA'!$C$10:$C$54=1),'calcA'!$B$10:$B$54,"")))))</f>
        <v/>
      </c>
      <c r="D57" s="109">
        <f t="array" ref="D57">IF('calcA'!AX$4=0,"",IF(D28&lt;&gt;"","（決定）",IF('calcA'!AX$108=1,"（空ける）",SUMPRODUCT(('calcA'!AX$60:AX$104=1)*('calcA'!$C$10:$C$54=1))&amp;"人："&amp;_xlfn.TEXTJOIN("、",TRUE,IF(('calcA'!AX$60:AX$104=1)*('calcA'!$C$10:$C$54=1),'calcA'!$B$10:$B$54,"")))))</f>
        <v/>
      </c>
      <c r="E57" s="109">
        <f t="array" ref="E57">IF('calcA'!BV$4=0,"",IF(E28&lt;&gt;"","（決定）",IF('calcA'!BV$108=1,"（空ける）",SUMPRODUCT(('calcA'!BV$60:BV$104=1)*('calcA'!$C$10:$C$54=1))&amp;"人："&amp;_xlfn.TEXTJOIN("、",TRUE,IF(('calcA'!BV$60:BV$104=1)*('calcA'!$C$10:$C$54=1),'calcA'!$B$10:$B$54,"")))))</f>
        <v/>
      </c>
      <c r="F57" s="109">
        <f t="array" ref="F57">IF('calcA'!CT$4=0,"",IF(F28&lt;&gt;"","（決定）",IF('calcA'!CT$108=1,"（空ける）",SUMPRODUCT(('calcA'!CT$60:CT$104=1)*('calcA'!$C$10:$C$54=1))&amp;"人："&amp;_xlfn.TEXTJOIN("、",TRUE,IF(('calcA'!CT$60:CT$104=1)*('calcA'!$C$10:$C$54=1),'calcA'!$B$10:$B$54,"")))))</f>
        <v/>
      </c>
      <c r="G57" s="109">
        <f t="array" ref="G57">IF('calcA'!DR$4=0,"",IF(G28&lt;&gt;"","（決定）",IF('calcA'!DR$108=1,"（空ける）",SUMPRODUCT(('calcA'!DR$60:DR$104=1)*('calcA'!$C$10:$C$54=1))&amp;"人："&amp;_xlfn.TEXTJOIN("、",TRUE,IF(('calcA'!DR$60:DR$104=1)*('calcA'!$C$10:$C$54=1),'calcA'!$B$10:$B$54,"")))))</f>
        <v/>
      </c>
      <c r="H57" s="109">
        <f t="array" ref="H57">IF('calcA'!EP$4=0,"",IF(H28&lt;&gt;"","（決定）",IF('calcA'!EP$108=1,"（空ける）",SUMPRODUCT(('calcA'!EP$60:EP$104=1)*('calcA'!$C$10:$C$54=1))&amp;"人："&amp;_xlfn.TEXTJOIN("、",TRUE,IF(('calcA'!EP$60:EP$104=1)*('calcA'!$C$10:$C$54=1),'calcA'!$B$10:$B$54,"")))))</f>
        <v/>
      </c>
      <c r="AA57">
        <f>IF('calcA'!Z$115=0,0,IF('calcA'!Z$4=0,1,IF(LEFT(C57,2)="0人",2,IF(LEFT(C57,2)="1人",3,4))))</f>
        <v/>
      </c>
      <c r="AB57">
        <f>IF('calcA'!AX$115=0,0,IF('calcA'!AX$4=0,1,IF(LEFT(D57,2)="0人",2,IF(LEFT(D57,2)="1人",3,4))))</f>
        <v/>
      </c>
      <c r="AC57">
        <f>IF('calcA'!BV$115=0,0,IF('calcA'!BV$4=0,1,IF(LEFT(E57,2)="0人",2,IF(LEFT(E57,2)="1人",3,4))))</f>
        <v/>
      </c>
      <c r="AD57">
        <f>IF('calcA'!CT$115=0,0,IF('calcA'!CT$4=0,1,IF(LEFT(F57,2)="0人",2,IF(LEFT(F57,2)="1人",3,4))))</f>
        <v/>
      </c>
      <c r="AE57">
        <f>IF('calcA'!DR$115=0,0,IF('calcA'!DR$4=0,1,IF(LEFT(G57,2)="0人",2,IF(LEFT(G57,2)="1人",3,4))))</f>
        <v/>
      </c>
      <c r="AF57">
        <f>IF('calcA'!EP$115=0,0,IF('calcA'!EP$4=0,1,IF(LEFT(H57,2)="0人",2,IF(LEFT(H57,2)="1人",3,4))))</f>
        <v/>
      </c>
    </row>
    <row r="58" ht="44" customHeight="1">
      <c r="B58" s="47">
        <f>'設定'!$I$34</f>
        <v/>
      </c>
      <c r="C58" s="109">
        <f t="array" ref="C58">IF('calcA'!AA$4=0,"",IF(C29&lt;&gt;"","（決定）",IF('calcA'!AA$108=1,"（空ける）",SUMPRODUCT(('calcA'!AA$60:AA$104=1)*('calcA'!$C$10:$C$54=1))&amp;"人："&amp;_xlfn.TEXTJOIN("、",TRUE,IF(('calcA'!AA$60:AA$104=1)*('calcA'!$C$10:$C$54=1),'calcA'!$B$10:$B$54,"")))))</f>
        <v/>
      </c>
      <c r="D58" s="109">
        <f t="array" ref="D58">IF('calcA'!AY$4=0,"",IF(D29&lt;&gt;"","（決定）",IF('calcA'!AY$108=1,"（空ける）",SUMPRODUCT(('calcA'!AY$60:AY$104=1)*('calcA'!$C$10:$C$54=1))&amp;"人："&amp;_xlfn.TEXTJOIN("、",TRUE,IF(('calcA'!AY$60:AY$104=1)*('calcA'!$C$10:$C$54=1),'calcA'!$B$10:$B$54,"")))))</f>
        <v/>
      </c>
      <c r="E58" s="109">
        <f t="array" ref="E58">IF('calcA'!BW$4=0,"",IF(E29&lt;&gt;"","（決定）",IF('calcA'!BW$108=1,"（空ける）",SUMPRODUCT(('calcA'!BW$60:BW$104=1)*('calcA'!$C$10:$C$54=1))&amp;"人："&amp;_xlfn.TEXTJOIN("、",TRUE,IF(('calcA'!BW$60:BW$104=1)*('calcA'!$C$10:$C$54=1),'calcA'!$B$10:$B$54,"")))))</f>
        <v/>
      </c>
      <c r="F58" s="109">
        <f t="array" ref="F58">IF('calcA'!CU$4=0,"",IF(F29&lt;&gt;"","（決定）",IF('calcA'!CU$108=1,"（空ける）",SUMPRODUCT(('calcA'!CU$60:CU$104=1)*('calcA'!$C$10:$C$54=1))&amp;"人："&amp;_xlfn.TEXTJOIN("、",TRUE,IF(('calcA'!CU$60:CU$104=1)*('calcA'!$C$10:$C$54=1),'calcA'!$B$10:$B$54,"")))))</f>
        <v/>
      </c>
      <c r="G58" s="109">
        <f t="array" ref="G58">IF('calcA'!DS$4=0,"",IF(G29&lt;&gt;"","（決定）",IF('calcA'!DS$108=1,"（空ける）",SUMPRODUCT(('calcA'!DS$60:DS$104=1)*('calcA'!$C$10:$C$54=1))&amp;"人："&amp;_xlfn.TEXTJOIN("、",TRUE,IF(('calcA'!DS$60:DS$104=1)*('calcA'!$C$10:$C$54=1),'calcA'!$B$10:$B$54,"")))))</f>
        <v/>
      </c>
      <c r="H58" s="109">
        <f t="array" ref="H58">IF('calcA'!EQ$4=0,"",IF(H29&lt;&gt;"","（決定）",IF('calcA'!EQ$108=1,"（空ける）",SUMPRODUCT(('calcA'!EQ$60:EQ$104=1)*('calcA'!$C$10:$C$54=1))&amp;"人："&amp;_xlfn.TEXTJOIN("、",TRUE,IF(('calcA'!EQ$60:EQ$104=1)*('calcA'!$C$10:$C$54=1),'calcA'!$B$10:$B$54,"")))))</f>
        <v/>
      </c>
      <c r="AA58">
        <f>IF('calcA'!AA$115=0,0,IF('calcA'!AA$4=0,1,IF(LEFT(C58,2)="0人",2,IF(LEFT(C58,2)="1人",3,4))))</f>
        <v/>
      </c>
      <c r="AB58">
        <f>IF('calcA'!AY$115=0,0,IF('calcA'!AY$4=0,1,IF(LEFT(D58,2)="0人",2,IF(LEFT(D58,2)="1人",3,4))))</f>
        <v/>
      </c>
      <c r="AC58">
        <f>IF('calcA'!BW$115=0,0,IF('calcA'!BW$4=0,1,IF(LEFT(E58,2)="0人",2,IF(LEFT(E58,2)="1人",3,4))))</f>
        <v/>
      </c>
      <c r="AD58">
        <f>IF('calcA'!CU$115=0,0,IF('calcA'!CU$4=0,1,IF(LEFT(F58,2)="0人",2,IF(LEFT(F58,2)="1人",3,4))))</f>
        <v/>
      </c>
      <c r="AE58">
        <f>IF('calcA'!DS$115=0,0,IF('calcA'!DS$4=0,1,IF(LEFT(G58,2)="0人",2,IF(LEFT(G58,2)="1人",3,4))))</f>
        <v/>
      </c>
      <c r="AF58">
        <f>IF('calcA'!EQ$115=0,0,IF('calcA'!EQ$4=0,1,IF(LEFT(H58,2)="0人",2,IF(LEFT(H58,2)="1人",3,4))))</f>
        <v/>
      </c>
    </row>
  </sheetData>
  <mergeCells count="8">
    <mergeCell ref="J21:K21"/>
    <mergeCell ref="J20:K20"/>
    <mergeCell ref="J5:K5"/>
    <mergeCell ref="J18:K18"/>
    <mergeCell ref="J19:K19"/>
    <mergeCell ref="K11:K16"/>
    <mergeCell ref="C4:H4"/>
    <mergeCell ref="J22:K22"/>
  </mergeCells>
  <conditionalFormatting sqref="B6:B29">
    <cfRule type="expression" priority="1" dxfId="3" stopIfTrue="1">
      <formula>B6=""</formula>
    </cfRule>
  </conditionalFormatting>
  <conditionalFormatting sqref="C6:H29">
    <cfRule type="expression" priority="2" dxfId="3" stopIfTrue="1">
      <formula>AA6=0</formula>
    </cfRule>
    <cfRule type="expression" priority="3" dxfId="17" stopIfTrue="1">
      <formula>AA6=1</formula>
    </cfRule>
    <cfRule type="expression" priority="4" dxfId="17" stopIfTrue="1">
      <formula>AA6=2</formula>
    </cfRule>
    <cfRule type="expression" priority="5" dxfId="18" stopIfTrue="1">
      <formula>AA6=3</formula>
    </cfRule>
    <cfRule type="expression" priority="6" dxfId="11" stopIfTrue="1">
      <formula>AA6=4</formula>
    </cfRule>
    <cfRule type="expression" priority="7" dxfId="19" stopIfTrue="1">
      <formula>AA6=5</formula>
    </cfRule>
    <cfRule type="expression" priority="8" dxfId="14" stopIfTrue="1">
      <formula>AA6=6</formula>
    </cfRule>
    <cfRule type="expression" priority="9" dxfId="20" stopIfTrue="1">
      <formula>AA6=7</formula>
    </cfRule>
    <cfRule type="expression" priority="10" dxfId="5" stopIfTrue="1">
      <formula>AA6=8</formula>
    </cfRule>
    <cfRule type="expression" priority="11" dxfId="21" stopIfTrue="1">
      <formula>AA6=9</formula>
    </cfRule>
    <cfRule type="expression" priority="12" dxfId="22" stopIfTrue="1">
      <formula>AA6=10</formula>
    </cfRule>
    <cfRule type="expression" priority="13" dxfId="15" stopIfTrue="1">
      <formula>AA6=11</formula>
    </cfRule>
    <cfRule type="expression" priority="14" dxfId="4">
      <formula>TRUE</formula>
    </cfRule>
  </conditionalFormatting>
  <conditionalFormatting sqref="C35:H58">
    <cfRule type="expression" priority="15" dxfId="3" stopIfTrue="1">
      <formula>AA35=0</formula>
    </cfRule>
    <cfRule type="expression" priority="16" dxfId="11" stopIfTrue="1">
      <formula>AA35=1</formula>
    </cfRule>
    <cfRule type="expression" priority="17" dxfId="23" stopIfTrue="1">
      <formula>AA35=2</formula>
    </cfRule>
    <cfRule type="expression" priority="18" dxfId="24" stopIfTrue="1">
      <formula>AA35=3</formula>
    </cfRule>
    <cfRule type="expression" priority="19" dxfId="4">
      <formula>TRUE</formula>
    </cfRule>
  </conditionalFormatting>
  <conditionalFormatting sqref="B35:B58">
    <cfRule type="expression" priority="20" dxfId="3" stopIfTrue="1">
      <formula>B35=""</formula>
    </cfRule>
  </conditionalFormatting>
  <conditionalFormatting sqref="C5:H5">
    <cfRule type="expression" priority="21" dxfId="3">
      <formula>C5=""</formula>
    </cfRule>
  </conditionalFormatting>
  <conditionalFormatting sqref="C34:H34">
    <cfRule type="expression" priority="22" dxfId="3">
      <formula>C34=""</formula>
    </cfRule>
  </conditionalFormatting>
  <dataValidations count="1">
    <dataValidation sqref="C6:H29 J5" showDropDown="0" showInputMessage="0" showErrorMessage="1" allowBlank="1" error="名簿にある児童を選んでください。" type="list">
      <formula1>='名簿'!$P$5:$P$49</formula1>
    </dataValidation>
  </dataValidation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7A5BA8"/>
    <outlinePr summaryBelow="1" summaryRight="1"/>
    <pageSetUpPr fitToPage="1"/>
  </sheetPr>
  <dimension ref="A1:AF29"/>
  <sheetViews>
    <sheetView showGridLines="0" showRowColHeader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11.27" customWidth="1" min="2" max="2"/>
    <col width="15.43" customWidth="1" min="3" max="3"/>
    <col width="15.43" customWidth="1" min="4" max="4"/>
    <col width="15.43" customWidth="1" min="5" max="5"/>
    <col width="15.43" customWidth="1" min="6" max="6"/>
    <col width="15.43" customWidth="1" min="7" max="7"/>
    <col width="15.43" customWidth="1" min="8" max="8"/>
    <col width="3" customWidth="1" min="9" max="9"/>
    <col width="20" customWidth="1" min="10" max="10"/>
    <col width="22" customWidth="1" min="11" max="11"/>
    <col width="15" customWidth="1" min="12" max="12"/>
    <col width="15" customWidth="1" min="13" max="13"/>
    <col width="15" customWidth="1" min="14" max="14"/>
    <col width="15" customWidth="1" min="15" max="15"/>
    <col width="15" customWidth="1" min="16" max="16"/>
    <col width="15" customWidth="1" min="17" max="17"/>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44" customHeight="1">
      <c r="A1" s="2" t="n"/>
      <c r="B1" s="72" t="inlineStr">
        <is>
          <t>兄弟確認用</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3">
        <f>HYPERLINK("#'自動案B'!A1","④ 自動案B")</f>
        <v/>
      </c>
      <c r="N1" s="23">
        <f>HYPERLINK("#'調整・決定'!A1","⑤ 調整・決定")</f>
        <v/>
      </c>
      <c r="O1" s="24">
        <f>HYPERLINK("#'兄弟確認用'!A1","⑥ 兄弟確認")</f>
        <v/>
      </c>
      <c r="P1" s="23">
        <f>HYPERLINK("#'お手紙（夏）'!A1","⑦ お手紙 夏")</f>
        <v/>
      </c>
      <c r="Q1" s="23">
        <f>HYPERLINK("#'お手紙（秋）'!A1","⑧ お手紙 秋")</f>
        <v/>
      </c>
    </row>
    <row r="2" ht="24" customHeight="1">
      <c r="A2" s="5" t="n"/>
      <c r="B2" s="73" t="inlineStr">
        <is>
          <t>「調整・決定」で決めた日程を、予定表と同じ形で印刷します（A4たて）。兄弟がいる子は色付きで、名前の下に兄弟のクラスが出ます。表の上の黄色の欄は自由に書けます。</t>
        </is>
      </c>
      <c r="C2" s="5" t="n"/>
      <c r="D2" s="5" t="n"/>
      <c r="E2" s="5" t="n"/>
      <c r="F2" s="5" t="n"/>
      <c r="G2" s="5" t="n"/>
      <c r="H2" s="5" t="n"/>
      <c r="I2" s="5" t="n"/>
      <c r="J2" s="5" t="n"/>
      <c r="K2" s="5" t="n"/>
      <c r="L2" s="5" t="n"/>
      <c r="M2" s="5" t="n"/>
      <c r="N2" s="5" t="n"/>
      <c r="O2" s="5" t="n"/>
      <c r="P2" s="5" t="n"/>
      <c r="Q2" s="5" t="n"/>
    </row>
    <row r="3" ht="28" customHeight="1">
      <c r="B3" s="110">
        <f>IF('設定'!$B$36="個人面談","個人面談",IF('設定'!$B$36="進路面談","進路面談",IF(OR(IF(RIGHT('設定'!$B$31,1)="年",LEFT('設定'!$B$31,LEN('設定'!$B$31)-1),'設定'!$B$31)&amp;""="6",IF(RIGHT('設定'!$B$31,1)="年",LEFT('設定'!$B$31,LEN('設定'!$B$31)-1),'設定'!$B$31)&amp;""="６"),"進路面談","個人面談")))&amp;"日程　"&amp;IF('設定'!$B$31="","　",IF(RIGHT('設定'!$B$31,1)="年",LEFT('設定'!$B$31,LEN('設定'!$B$31)-1),'設定'!$B$31))&amp;"年"&amp;IF('設定'!$B$32="","　",IF(RIGHT('設定'!$B$32,1)="組",LEFT('設定'!$B$32,LEN('設定'!$B$32)-1),'設定'!$B$32))&amp;"組"&amp;"　担任　"&amp;'設定'!$B$33</f>
        <v/>
      </c>
    </row>
    <row r="4" ht="48" customHeight="1">
      <c r="B4" s="111" t="n"/>
      <c r="J4" s="65" t="inlineStr">
        <is>
          <t>◀ 自由に書けます（例：組んでみました。都合が悪ければお知らせください。）</t>
        </is>
      </c>
    </row>
    <row r="5">
      <c r="B5" s="39" t="inlineStr"/>
      <c r="C5" s="40">
        <f>'設定'!$E$11</f>
        <v/>
      </c>
      <c r="D5" s="40">
        <f>'設定'!$E$12</f>
        <v/>
      </c>
      <c r="E5" s="40">
        <f>'設定'!$E$13</f>
        <v/>
      </c>
      <c r="F5" s="40">
        <f>'設定'!$E$14</f>
        <v/>
      </c>
      <c r="G5" s="40">
        <f>'設定'!$E$15</f>
        <v/>
      </c>
      <c r="H5" s="40">
        <f>'設定'!$E$16</f>
        <v/>
      </c>
    </row>
    <row r="6" ht="34" customHeight="1">
      <c r="B6" s="47">
        <f>'設定'!$I$11</f>
        <v/>
      </c>
      <c r="C6" s="28">
        <f>IF('調整・決定'!C6="","",'調整・決定'!C6&amp;IF(IFERROR(INDEX('名簿'!$E$5:$E$49,MATCH('調整・決定'!C6,'名簿'!$P$5:$P$49,0))&lt;&gt;"",FALSE),CHAR(10)&amp;INDEX('名簿'!$F$5:$F$49,MATCH('調整・決定'!C6,'名簿'!$P$5:$P$49,0)),""))</f>
        <v/>
      </c>
      <c r="D6" s="28">
        <f>IF('調整・決定'!D6="","",'調整・決定'!D6&amp;IF(IFERROR(INDEX('名簿'!$E$5:$E$49,MATCH('調整・決定'!D6,'名簿'!$P$5:$P$49,0))&lt;&gt;"",FALSE),CHAR(10)&amp;INDEX('名簿'!$F$5:$F$49,MATCH('調整・決定'!D6,'名簿'!$P$5:$P$49,0)),""))</f>
        <v/>
      </c>
      <c r="E6" s="28">
        <f>IF('調整・決定'!E6="","",'調整・決定'!E6&amp;IF(IFERROR(INDEX('名簿'!$E$5:$E$49,MATCH('調整・決定'!E6,'名簿'!$P$5:$P$49,0))&lt;&gt;"",FALSE),CHAR(10)&amp;INDEX('名簿'!$F$5:$F$49,MATCH('調整・決定'!E6,'名簿'!$P$5:$P$49,0)),""))</f>
        <v/>
      </c>
      <c r="F6" s="28">
        <f>IF('調整・決定'!F6="","",'調整・決定'!F6&amp;IF(IFERROR(INDEX('名簿'!$E$5:$E$49,MATCH('調整・決定'!F6,'名簿'!$P$5:$P$49,0))&lt;&gt;"",FALSE),CHAR(10)&amp;INDEX('名簿'!$F$5:$F$49,MATCH('調整・決定'!F6,'名簿'!$P$5:$P$49,0)),""))</f>
        <v/>
      </c>
      <c r="G6" s="28">
        <f>IF('調整・決定'!G6="","",'調整・決定'!G6&amp;IF(IFERROR(INDEX('名簿'!$E$5:$E$49,MATCH('調整・決定'!G6,'名簿'!$P$5:$P$49,0))&lt;&gt;"",FALSE),CHAR(10)&amp;INDEX('名簿'!$F$5:$F$49,MATCH('調整・決定'!G6,'名簿'!$P$5:$P$49,0)),""))</f>
        <v/>
      </c>
      <c r="H6" s="28">
        <f>IF('調整・決定'!H6="","",'調整・決定'!H6&amp;IF(IFERROR(INDEX('名簿'!$E$5:$E$49,MATCH('調整・決定'!H6,'名簿'!$P$5:$P$49,0))&lt;&gt;"",FALSE),CHAR(10)&amp;INDEX('名簿'!$F$5:$F$49,MATCH('調整・決定'!H6,'名簿'!$P$5:$P$49,0)),""))</f>
        <v/>
      </c>
      <c r="AA6">
        <f>IF('calcA'!D$115=0,0,IF(IFERROR(INDEX('名簿'!$E$5:$E$49,MATCH('調整・決定'!C6,'名簿'!$P$5:$P$49,0))&lt;&gt;"",FALSE),1,2))</f>
        <v/>
      </c>
      <c r="AB6">
        <f>IF('calcA'!AB$115=0,0,IF(IFERROR(INDEX('名簿'!$E$5:$E$49,MATCH('調整・決定'!D6,'名簿'!$P$5:$P$49,0))&lt;&gt;"",FALSE),1,2))</f>
        <v/>
      </c>
      <c r="AC6">
        <f>IF('calcA'!AZ$115=0,0,IF(IFERROR(INDEX('名簿'!$E$5:$E$49,MATCH('調整・決定'!E6,'名簿'!$P$5:$P$49,0))&lt;&gt;"",FALSE),1,2))</f>
        <v/>
      </c>
      <c r="AD6">
        <f>IF('calcA'!BX$115=0,0,IF(IFERROR(INDEX('名簿'!$E$5:$E$49,MATCH('調整・決定'!F6,'名簿'!$P$5:$P$49,0))&lt;&gt;"",FALSE),1,2))</f>
        <v/>
      </c>
      <c r="AE6">
        <f>IF('calcA'!CV$115=0,0,IF(IFERROR(INDEX('名簿'!$E$5:$E$49,MATCH('調整・決定'!G6,'名簿'!$P$5:$P$49,0))&lt;&gt;"",FALSE),1,2))</f>
        <v/>
      </c>
      <c r="AF6">
        <f>IF('calcA'!DT$115=0,0,IF(IFERROR(INDEX('名簿'!$E$5:$E$49,MATCH('調整・決定'!H6,'名簿'!$P$5:$P$49,0))&lt;&gt;"",FALSE),1,2))</f>
        <v/>
      </c>
    </row>
    <row r="7" ht="34" customHeight="1">
      <c r="B7" s="47">
        <f>'設定'!$I$12</f>
        <v/>
      </c>
      <c r="C7" s="28">
        <f>IF('調整・決定'!C7="","",'調整・決定'!C7&amp;IF(IFERROR(INDEX('名簿'!$E$5:$E$49,MATCH('調整・決定'!C7,'名簿'!$P$5:$P$49,0))&lt;&gt;"",FALSE),CHAR(10)&amp;INDEX('名簿'!$F$5:$F$49,MATCH('調整・決定'!C7,'名簿'!$P$5:$P$49,0)),""))</f>
        <v/>
      </c>
      <c r="D7" s="28">
        <f>IF('調整・決定'!D7="","",'調整・決定'!D7&amp;IF(IFERROR(INDEX('名簿'!$E$5:$E$49,MATCH('調整・決定'!D7,'名簿'!$P$5:$P$49,0))&lt;&gt;"",FALSE),CHAR(10)&amp;INDEX('名簿'!$F$5:$F$49,MATCH('調整・決定'!D7,'名簿'!$P$5:$P$49,0)),""))</f>
        <v/>
      </c>
      <c r="E7" s="28">
        <f>IF('調整・決定'!E7="","",'調整・決定'!E7&amp;IF(IFERROR(INDEX('名簿'!$E$5:$E$49,MATCH('調整・決定'!E7,'名簿'!$P$5:$P$49,0))&lt;&gt;"",FALSE),CHAR(10)&amp;INDEX('名簿'!$F$5:$F$49,MATCH('調整・決定'!E7,'名簿'!$P$5:$P$49,0)),""))</f>
        <v/>
      </c>
      <c r="F7" s="28">
        <f>IF('調整・決定'!F7="","",'調整・決定'!F7&amp;IF(IFERROR(INDEX('名簿'!$E$5:$E$49,MATCH('調整・決定'!F7,'名簿'!$P$5:$P$49,0))&lt;&gt;"",FALSE),CHAR(10)&amp;INDEX('名簿'!$F$5:$F$49,MATCH('調整・決定'!F7,'名簿'!$P$5:$P$49,0)),""))</f>
        <v/>
      </c>
      <c r="G7" s="28">
        <f>IF('調整・決定'!G7="","",'調整・決定'!G7&amp;IF(IFERROR(INDEX('名簿'!$E$5:$E$49,MATCH('調整・決定'!G7,'名簿'!$P$5:$P$49,0))&lt;&gt;"",FALSE),CHAR(10)&amp;INDEX('名簿'!$F$5:$F$49,MATCH('調整・決定'!G7,'名簿'!$P$5:$P$49,0)),""))</f>
        <v/>
      </c>
      <c r="H7" s="28">
        <f>IF('調整・決定'!H7="","",'調整・決定'!H7&amp;IF(IFERROR(INDEX('名簿'!$E$5:$E$49,MATCH('調整・決定'!H7,'名簿'!$P$5:$P$49,0))&lt;&gt;"",FALSE),CHAR(10)&amp;INDEX('名簿'!$F$5:$F$49,MATCH('調整・決定'!H7,'名簿'!$P$5:$P$49,0)),""))</f>
        <v/>
      </c>
      <c r="AA7">
        <f>IF('calcA'!E$115=0,0,IF(IFERROR(INDEX('名簿'!$E$5:$E$49,MATCH('調整・決定'!C7,'名簿'!$P$5:$P$49,0))&lt;&gt;"",FALSE),1,2))</f>
        <v/>
      </c>
      <c r="AB7">
        <f>IF('calcA'!AC$115=0,0,IF(IFERROR(INDEX('名簿'!$E$5:$E$49,MATCH('調整・決定'!D7,'名簿'!$P$5:$P$49,0))&lt;&gt;"",FALSE),1,2))</f>
        <v/>
      </c>
      <c r="AC7">
        <f>IF('calcA'!BA$115=0,0,IF(IFERROR(INDEX('名簿'!$E$5:$E$49,MATCH('調整・決定'!E7,'名簿'!$P$5:$P$49,0))&lt;&gt;"",FALSE),1,2))</f>
        <v/>
      </c>
      <c r="AD7">
        <f>IF('calcA'!BY$115=0,0,IF(IFERROR(INDEX('名簿'!$E$5:$E$49,MATCH('調整・決定'!F7,'名簿'!$P$5:$P$49,0))&lt;&gt;"",FALSE),1,2))</f>
        <v/>
      </c>
      <c r="AE7">
        <f>IF('calcA'!CW$115=0,0,IF(IFERROR(INDEX('名簿'!$E$5:$E$49,MATCH('調整・決定'!G7,'名簿'!$P$5:$P$49,0))&lt;&gt;"",FALSE),1,2))</f>
        <v/>
      </c>
      <c r="AF7">
        <f>IF('calcA'!DU$115=0,0,IF(IFERROR(INDEX('名簿'!$E$5:$E$49,MATCH('調整・決定'!H7,'名簿'!$P$5:$P$49,0))&lt;&gt;"",FALSE),1,2))</f>
        <v/>
      </c>
    </row>
    <row r="8" ht="34" customHeight="1">
      <c r="B8" s="47">
        <f>'設定'!$I$13</f>
        <v/>
      </c>
      <c r="C8" s="28">
        <f>IF('調整・決定'!C8="","",'調整・決定'!C8&amp;IF(IFERROR(INDEX('名簿'!$E$5:$E$49,MATCH('調整・決定'!C8,'名簿'!$P$5:$P$49,0))&lt;&gt;"",FALSE),CHAR(10)&amp;INDEX('名簿'!$F$5:$F$49,MATCH('調整・決定'!C8,'名簿'!$P$5:$P$49,0)),""))</f>
        <v/>
      </c>
      <c r="D8" s="28">
        <f>IF('調整・決定'!D8="","",'調整・決定'!D8&amp;IF(IFERROR(INDEX('名簿'!$E$5:$E$49,MATCH('調整・決定'!D8,'名簿'!$P$5:$P$49,0))&lt;&gt;"",FALSE),CHAR(10)&amp;INDEX('名簿'!$F$5:$F$49,MATCH('調整・決定'!D8,'名簿'!$P$5:$P$49,0)),""))</f>
        <v/>
      </c>
      <c r="E8" s="28">
        <f>IF('調整・決定'!E8="","",'調整・決定'!E8&amp;IF(IFERROR(INDEX('名簿'!$E$5:$E$49,MATCH('調整・決定'!E8,'名簿'!$P$5:$P$49,0))&lt;&gt;"",FALSE),CHAR(10)&amp;INDEX('名簿'!$F$5:$F$49,MATCH('調整・決定'!E8,'名簿'!$P$5:$P$49,0)),""))</f>
        <v/>
      </c>
      <c r="F8" s="28">
        <f>IF('調整・決定'!F8="","",'調整・決定'!F8&amp;IF(IFERROR(INDEX('名簿'!$E$5:$E$49,MATCH('調整・決定'!F8,'名簿'!$P$5:$P$49,0))&lt;&gt;"",FALSE),CHAR(10)&amp;INDEX('名簿'!$F$5:$F$49,MATCH('調整・決定'!F8,'名簿'!$P$5:$P$49,0)),""))</f>
        <v/>
      </c>
      <c r="G8" s="28">
        <f>IF('調整・決定'!G8="","",'調整・決定'!G8&amp;IF(IFERROR(INDEX('名簿'!$E$5:$E$49,MATCH('調整・決定'!G8,'名簿'!$P$5:$P$49,0))&lt;&gt;"",FALSE),CHAR(10)&amp;INDEX('名簿'!$F$5:$F$49,MATCH('調整・決定'!G8,'名簿'!$P$5:$P$49,0)),""))</f>
        <v/>
      </c>
      <c r="H8" s="28">
        <f>IF('調整・決定'!H8="","",'調整・決定'!H8&amp;IF(IFERROR(INDEX('名簿'!$E$5:$E$49,MATCH('調整・決定'!H8,'名簿'!$P$5:$P$49,0))&lt;&gt;"",FALSE),CHAR(10)&amp;INDEX('名簿'!$F$5:$F$49,MATCH('調整・決定'!H8,'名簿'!$P$5:$P$49,0)),""))</f>
        <v/>
      </c>
      <c r="AA8">
        <f>IF('calcA'!F$115=0,0,IF(IFERROR(INDEX('名簿'!$E$5:$E$49,MATCH('調整・決定'!C8,'名簿'!$P$5:$P$49,0))&lt;&gt;"",FALSE),1,2))</f>
        <v/>
      </c>
      <c r="AB8">
        <f>IF('calcA'!AD$115=0,0,IF(IFERROR(INDEX('名簿'!$E$5:$E$49,MATCH('調整・決定'!D8,'名簿'!$P$5:$P$49,0))&lt;&gt;"",FALSE),1,2))</f>
        <v/>
      </c>
      <c r="AC8">
        <f>IF('calcA'!BB$115=0,0,IF(IFERROR(INDEX('名簿'!$E$5:$E$49,MATCH('調整・決定'!E8,'名簿'!$P$5:$P$49,0))&lt;&gt;"",FALSE),1,2))</f>
        <v/>
      </c>
      <c r="AD8">
        <f>IF('calcA'!BZ$115=0,0,IF(IFERROR(INDEX('名簿'!$E$5:$E$49,MATCH('調整・決定'!F8,'名簿'!$P$5:$P$49,0))&lt;&gt;"",FALSE),1,2))</f>
        <v/>
      </c>
      <c r="AE8">
        <f>IF('calcA'!CX$115=0,0,IF(IFERROR(INDEX('名簿'!$E$5:$E$49,MATCH('調整・決定'!G8,'名簿'!$P$5:$P$49,0))&lt;&gt;"",FALSE),1,2))</f>
        <v/>
      </c>
      <c r="AF8">
        <f>IF('calcA'!DV$115=0,0,IF(IFERROR(INDEX('名簿'!$E$5:$E$49,MATCH('調整・決定'!H8,'名簿'!$P$5:$P$49,0))&lt;&gt;"",FALSE),1,2))</f>
        <v/>
      </c>
    </row>
    <row r="9" ht="34" customHeight="1">
      <c r="B9" s="47">
        <f>'設定'!$I$14</f>
        <v/>
      </c>
      <c r="C9" s="28">
        <f>IF('調整・決定'!C9="","",'調整・決定'!C9&amp;IF(IFERROR(INDEX('名簿'!$E$5:$E$49,MATCH('調整・決定'!C9,'名簿'!$P$5:$P$49,0))&lt;&gt;"",FALSE),CHAR(10)&amp;INDEX('名簿'!$F$5:$F$49,MATCH('調整・決定'!C9,'名簿'!$P$5:$P$49,0)),""))</f>
        <v/>
      </c>
      <c r="D9" s="28">
        <f>IF('調整・決定'!D9="","",'調整・決定'!D9&amp;IF(IFERROR(INDEX('名簿'!$E$5:$E$49,MATCH('調整・決定'!D9,'名簿'!$P$5:$P$49,0))&lt;&gt;"",FALSE),CHAR(10)&amp;INDEX('名簿'!$F$5:$F$49,MATCH('調整・決定'!D9,'名簿'!$P$5:$P$49,0)),""))</f>
        <v/>
      </c>
      <c r="E9" s="28">
        <f>IF('調整・決定'!E9="","",'調整・決定'!E9&amp;IF(IFERROR(INDEX('名簿'!$E$5:$E$49,MATCH('調整・決定'!E9,'名簿'!$P$5:$P$49,0))&lt;&gt;"",FALSE),CHAR(10)&amp;INDEX('名簿'!$F$5:$F$49,MATCH('調整・決定'!E9,'名簿'!$P$5:$P$49,0)),""))</f>
        <v/>
      </c>
      <c r="F9" s="28">
        <f>IF('調整・決定'!F9="","",'調整・決定'!F9&amp;IF(IFERROR(INDEX('名簿'!$E$5:$E$49,MATCH('調整・決定'!F9,'名簿'!$P$5:$P$49,0))&lt;&gt;"",FALSE),CHAR(10)&amp;INDEX('名簿'!$F$5:$F$49,MATCH('調整・決定'!F9,'名簿'!$P$5:$P$49,0)),""))</f>
        <v/>
      </c>
      <c r="G9" s="28">
        <f>IF('調整・決定'!G9="","",'調整・決定'!G9&amp;IF(IFERROR(INDEX('名簿'!$E$5:$E$49,MATCH('調整・決定'!G9,'名簿'!$P$5:$P$49,0))&lt;&gt;"",FALSE),CHAR(10)&amp;INDEX('名簿'!$F$5:$F$49,MATCH('調整・決定'!G9,'名簿'!$P$5:$P$49,0)),""))</f>
        <v/>
      </c>
      <c r="H9" s="28">
        <f>IF('調整・決定'!H9="","",'調整・決定'!H9&amp;IF(IFERROR(INDEX('名簿'!$E$5:$E$49,MATCH('調整・決定'!H9,'名簿'!$P$5:$P$49,0))&lt;&gt;"",FALSE),CHAR(10)&amp;INDEX('名簿'!$F$5:$F$49,MATCH('調整・決定'!H9,'名簿'!$P$5:$P$49,0)),""))</f>
        <v/>
      </c>
      <c r="AA9">
        <f>IF('calcA'!G$115=0,0,IF(IFERROR(INDEX('名簿'!$E$5:$E$49,MATCH('調整・決定'!C9,'名簿'!$P$5:$P$49,0))&lt;&gt;"",FALSE),1,2))</f>
        <v/>
      </c>
      <c r="AB9">
        <f>IF('calcA'!AE$115=0,0,IF(IFERROR(INDEX('名簿'!$E$5:$E$49,MATCH('調整・決定'!D9,'名簿'!$P$5:$P$49,0))&lt;&gt;"",FALSE),1,2))</f>
        <v/>
      </c>
      <c r="AC9">
        <f>IF('calcA'!BC$115=0,0,IF(IFERROR(INDEX('名簿'!$E$5:$E$49,MATCH('調整・決定'!E9,'名簿'!$P$5:$P$49,0))&lt;&gt;"",FALSE),1,2))</f>
        <v/>
      </c>
      <c r="AD9">
        <f>IF('calcA'!CA$115=0,0,IF(IFERROR(INDEX('名簿'!$E$5:$E$49,MATCH('調整・決定'!F9,'名簿'!$P$5:$P$49,0))&lt;&gt;"",FALSE),1,2))</f>
        <v/>
      </c>
      <c r="AE9">
        <f>IF('calcA'!CY$115=0,0,IF(IFERROR(INDEX('名簿'!$E$5:$E$49,MATCH('調整・決定'!G9,'名簿'!$P$5:$P$49,0))&lt;&gt;"",FALSE),1,2))</f>
        <v/>
      </c>
      <c r="AF9">
        <f>IF('calcA'!DW$115=0,0,IF(IFERROR(INDEX('名簿'!$E$5:$E$49,MATCH('調整・決定'!H9,'名簿'!$P$5:$P$49,0))&lt;&gt;"",FALSE),1,2))</f>
        <v/>
      </c>
    </row>
    <row r="10" ht="34" customHeight="1">
      <c r="B10" s="47">
        <f>'設定'!$I$15</f>
        <v/>
      </c>
      <c r="C10" s="28">
        <f>IF('調整・決定'!C10="","",'調整・決定'!C10&amp;IF(IFERROR(INDEX('名簿'!$E$5:$E$49,MATCH('調整・決定'!C10,'名簿'!$P$5:$P$49,0))&lt;&gt;"",FALSE),CHAR(10)&amp;INDEX('名簿'!$F$5:$F$49,MATCH('調整・決定'!C10,'名簿'!$P$5:$P$49,0)),""))</f>
        <v/>
      </c>
      <c r="D10" s="28">
        <f>IF('調整・決定'!D10="","",'調整・決定'!D10&amp;IF(IFERROR(INDEX('名簿'!$E$5:$E$49,MATCH('調整・決定'!D10,'名簿'!$P$5:$P$49,0))&lt;&gt;"",FALSE),CHAR(10)&amp;INDEX('名簿'!$F$5:$F$49,MATCH('調整・決定'!D10,'名簿'!$P$5:$P$49,0)),""))</f>
        <v/>
      </c>
      <c r="E10" s="28">
        <f>IF('調整・決定'!E10="","",'調整・決定'!E10&amp;IF(IFERROR(INDEX('名簿'!$E$5:$E$49,MATCH('調整・決定'!E10,'名簿'!$P$5:$P$49,0))&lt;&gt;"",FALSE),CHAR(10)&amp;INDEX('名簿'!$F$5:$F$49,MATCH('調整・決定'!E10,'名簿'!$P$5:$P$49,0)),""))</f>
        <v/>
      </c>
      <c r="F10" s="28">
        <f>IF('調整・決定'!F10="","",'調整・決定'!F10&amp;IF(IFERROR(INDEX('名簿'!$E$5:$E$49,MATCH('調整・決定'!F10,'名簿'!$P$5:$P$49,0))&lt;&gt;"",FALSE),CHAR(10)&amp;INDEX('名簿'!$F$5:$F$49,MATCH('調整・決定'!F10,'名簿'!$P$5:$P$49,0)),""))</f>
        <v/>
      </c>
      <c r="G10" s="28">
        <f>IF('調整・決定'!G10="","",'調整・決定'!G10&amp;IF(IFERROR(INDEX('名簿'!$E$5:$E$49,MATCH('調整・決定'!G10,'名簿'!$P$5:$P$49,0))&lt;&gt;"",FALSE),CHAR(10)&amp;INDEX('名簿'!$F$5:$F$49,MATCH('調整・決定'!G10,'名簿'!$P$5:$P$49,0)),""))</f>
        <v/>
      </c>
      <c r="H10" s="28">
        <f>IF('調整・決定'!H10="","",'調整・決定'!H10&amp;IF(IFERROR(INDEX('名簿'!$E$5:$E$49,MATCH('調整・決定'!H10,'名簿'!$P$5:$P$49,0))&lt;&gt;"",FALSE),CHAR(10)&amp;INDEX('名簿'!$F$5:$F$49,MATCH('調整・決定'!H10,'名簿'!$P$5:$P$49,0)),""))</f>
        <v/>
      </c>
      <c r="AA10">
        <f>IF('calcA'!H$115=0,0,IF(IFERROR(INDEX('名簿'!$E$5:$E$49,MATCH('調整・決定'!C10,'名簿'!$P$5:$P$49,0))&lt;&gt;"",FALSE),1,2))</f>
        <v/>
      </c>
      <c r="AB10">
        <f>IF('calcA'!AF$115=0,0,IF(IFERROR(INDEX('名簿'!$E$5:$E$49,MATCH('調整・決定'!D10,'名簿'!$P$5:$P$49,0))&lt;&gt;"",FALSE),1,2))</f>
        <v/>
      </c>
      <c r="AC10">
        <f>IF('calcA'!BD$115=0,0,IF(IFERROR(INDEX('名簿'!$E$5:$E$49,MATCH('調整・決定'!E10,'名簿'!$P$5:$P$49,0))&lt;&gt;"",FALSE),1,2))</f>
        <v/>
      </c>
      <c r="AD10">
        <f>IF('calcA'!CB$115=0,0,IF(IFERROR(INDEX('名簿'!$E$5:$E$49,MATCH('調整・決定'!F10,'名簿'!$P$5:$P$49,0))&lt;&gt;"",FALSE),1,2))</f>
        <v/>
      </c>
      <c r="AE10">
        <f>IF('calcA'!CZ$115=0,0,IF(IFERROR(INDEX('名簿'!$E$5:$E$49,MATCH('調整・決定'!G10,'名簿'!$P$5:$P$49,0))&lt;&gt;"",FALSE),1,2))</f>
        <v/>
      </c>
      <c r="AF10">
        <f>IF('calcA'!DX$115=0,0,IF(IFERROR(INDEX('名簿'!$E$5:$E$49,MATCH('調整・決定'!H10,'名簿'!$P$5:$P$49,0))&lt;&gt;"",FALSE),1,2))</f>
        <v/>
      </c>
    </row>
    <row r="11" ht="34" customHeight="1">
      <c r="B11" s="47">
        <f>'設定'!$I$16</f>
        <v/>
      </c>
      <c r="C11" s="28">
        <f>IF('調整・決定'!C11="","",'調整・決定'!C11&amp;IF(IFERROR(INDEX('名簿'!$E$5:$E$49,MATCH('調整・決定'!C11,'名簿'!$P$5:$P$49,0))&lt;&gt;"",FALSE),CHAR(10)&amp;INDEX('名簿'!$F$5:$F$49,MATCH('調整・決定'!C11,'名簿'!$P$5:$P$49,0)),""))</f>
        <v/>
      </c>
      <c r="D11" s="28">
        <f>IF('調整・決定'!D11="","",'調整・決定'!D11&amp;IF(IFERROR(INDEX('名簿'!$E$5:$E$49,MATCH('調整・決定'!D11,'名簿'!$P$5:$P$49,0))&lt;&gt;"",FALSE),CHAR(10)&amp;INDEX('名簿'!$F$5:$F$49,MATCH('調整・決定'!D11,'名簿'!$P$5:$P$49,0)),""))</f>
        <v/>
      </c>
      <c r="E11" s="28">
        <f>IF('調整・決定'!E11="","",'調整・決定'!E11&amp;IF(IFERROR(INDEX('名簿'!$E$5:$E$49,MATCH('調整・決定'!E11,'名簿'!$P$5:$P$49,0))&lt;&gt;"",FALSE),CHAR(10)&amp;INDEX('名簿'!$F$5:$F$49,MATCH('調整・決定'!E11,'名簿'!$P$5:$P$49,0)),""))</f>
        <v/>
      </c>
      <c r="F11" s="28">
        <f>IF('調整・決定'!F11="","",'調整・決定'!F11&amp;IF(IFERROR(INDEX('名簿'!$E$5:$E$49,MATCH('調整・決定'!F11,'名簿'!$P$5:$P$49,0))&lt;&gt;"",FALSE),CHAR(10)&amp;INDEX('名簿'!$F$5:$F$49,MATCH('調整・決定'!F11,'名簿'!$P$5:$P$49,0)),""))</f>
        <v/>
      </c>
      <c r="G11" s="28">
        <f>IF('調整・決定'!G11="","",'調整・決定'!G11&amp;IF(IFERROR(INDEX('名簿'!$E$5:$E$49,MATCH('調整・決定'!G11,'名簿'!$P$5:$P$49,0))&lt;&gt;"",FALSE),CHAR(10)&amp;INDEX('名簿'!$F$5:$F$49,MATCH('調整・決定'!G11,'名簿'!$P$5:$P$49,0)),""))</f>
        <v/>
      </c>
      <c r="H11" s="28">
        <f>IF('調整・決定'!H11="","",'調整・決定'!H11&amp;IF(IFERROR(INDEX('名簿'!$E$5:$E$49,MATCH('調整・決定'!H11,'名簿'!$P$5:$P$49,0))&lt;&gt;"",FALSE),CHAR(10)&amp;INDEX('名簿'!$F$5:$F$49,MATCH('調整・決定'!H11,'名簿'!$P$5:$P$49,0)),""))</f>
        <v/>
      </c>
      <c r="AA11">
        <f>IF('calcA'!I$115=0,0,IF(IFERROR(INDEX('名簿'!$E$5:$E$49,MATCH('調整・決定'!C11,'名簿'!$P$5:$P$49,0))&lt;&gt;"",FALSE),1,2))</f>
        <v/>
      </c>
      <c r="AB11">
        <f>IF('calcA'!AG$115=0,0,IF(IFERROR(INDEX('名簿'!$E$5:$E$49,MATCH('調整・決定'!D11,'名簿'!$P$5:$P$49,0))&lt;&gt;"",FALSE),1,2))</f>
        <v/>
      </c>
      <c r="AC11">
        <f>IF('calcA'!BE$115=0,0,IF(IFERROR(INDEX('名簿'!$E$5:$E$49,MATCH('調整・決定'!E11,'名簿'!$P$5:$P$49,0))&lt;&gt;"",FALSE),1,2))</f>
        <v/>
      </c>
      <c r="AD11">
        <f>IF('calcA'!CC$115=0,0,IF(IFERROR(INDEX('名簿'!$E$5:$E$49,MATCH('調整・決定'!F11,'名簿'!$P$5:$P$49,0))&lt;&gt;"",FALSE),1,2))</f>
        <v/>
      </c>
      <c r="AE11">
        <f>IF('calcA'!DA$115=0,0,IF(IFERROR(INDEX('名簿'!$E$5:$E$49,MATCH('調整・決定'!G11,'名簿'!$P$5:$P$49,0))&lt;&gt;"",FALSE),1,2))</f>
        <v/>
      </c>
      <c r="AF11">
        <f>IF('calcA'!DY$115=0,0,IF(IFERROR(INDEX('名簿'!$E$5:$E$49,MATCH('調整・決定'!H11,'名簿'!$P$5:$P$49,0))&lt;&gt;"",FALSE),1,2))</f>
        <v/>
      </c>
    </row>
    <row r="12" ht="34" customHeight="1">
      <c r="B12" s="47">
        <f>'設定'!$I$17</f>
        <v/>
      </c>
      <c r="C12" s="28">
        <f>IF('調整・決定'!C12="","",'調整・決定'!C12&amp;IF(IFERROR(INDEX('名簿'!$E$5:$E$49,MATCH('調整・決定'!C12,'名簿'!$P$5:$P$49,0))&lt;&gt;"",FALSE),CHAR(10)&amp;INDEX('名簿'!$F$5:$F$49,MATCH('調整・決定'!C12,'名簿'!$P$5:$P$49,0)),""))</f>
        <v/>
      </c>
      <c r="D12" s="28">
        <f>IF('調整・決定'!D12="","",'調整・決定'!D12&amp;IF(IFERROR(INDEX('名簿'!$E$5:$E$49,MATCH('調整・決定'!D12,'名簿'!$P$5:$P$49,0))&lt;&gt;"",FALSE),CHAR(10)&amp;INDEX('名簿'!$F$5:$F$49,MATCH('調整・決定'!D12,'名簿'!$P$5:$P$49,0)),""))</f>
        <v/>
      </c>
      <c r="E12" s="28">
        <f>IF('調整・決定'!E12="","",'調整・決定'!E12&amp;IF(IFERROR(INDEX('名簿'!$E$5:$E$49,MATCH('調整・決定'!E12,'名簿'!$P$5:$P$49,0))&lt;&gt;"",FALSE),CHAR(10)&amp;INDEX('名簿'!$F$5:$F$49,MATCH('調整・決定'!E12,'名簿'!$P$5:$P$49,0)),""))</f>
        <v/>
      </c>
      <c r="F12" s="28">
        <f>IF('調整・決定'!F12="","",'調整・決定'!F12&amp;IF(IFERROR(INDEX('名簿'!$E$5:$E$49,MATCH('調整・決定'!F12,'名簿'!$P$5:$P$49,0))&lt;&gt;"",FALSE),CHAR(10)&amp;INDEX('名簿'!$F$5:$F$49,MATCH('調整・決定'!F12,'名簿'!$P$5:$P$49,0)),""))</f>
        <v/>
      </c>
      <c r="G12" s="28">
        <f>IF('調整・決定'!G12="","",'調整・決定'!G12&amp;IF(IFERROR(INDEX('名簿'!$E$5:$E$49,MATCH('調整・決定'!G12,'名簿'!$P$5:$P$49,0))&lt;&gt;"",FALSE),CHAR(10)&amp;INDEX('名簿'!$F$5:$F$49,MATCH('調整・決定'!G12,'名簿'!$P$5:$P$49,0)),""))</f>
        <v/>
      </c>
      <c r="H12" s="28">
        <f>IF('調整・決定'!H12="","",'調整・決定'!H12&amp;IF(IFERROR(INDEX('名簿'!$E$5:$E$49,MATCH('調整・決定'!H12,'名簿'!$P$5:$P$49,0))&lt;&gt;"",FALSE),CHAR(10)&amp;INDEX('名簿'!$F$5:$F$49,MATCH('調整・決定'!H12,'名簿'!$P$5:$P$49,0)),""))</f>
        <v/>
      </c>
      <c r="AA12">
        <f>IF('calcA'!J$115=0,0,IF(IFERROR(INDEX('名簿'!$E$5:$E$49,MATCH('調整・決定'!C12,'名簿'!$P$5:$P$49,0))&lt;&gt;"",FALSE),1,2))</f>
        <v/>
      </c>
      <c r="AB12">
        <f>IF('calcA'!AH$115=0,0,IF(IFERROR(INDEX('名簿'!$E$5:$E$49,MATCH('調整・決定'!D12,'名簿'!$P$5:$P$49,0))&lt;&gt;"",FALSE),1,2))</f>
        <v/>
      </c>
      <c r="AC12">
        <f>IF('calcA'!BF$115=0,0,IF(IFERROR(INDEX('名簿'!$E$5:$E$49,MATCH('調整・決定'!E12,'名簿'!$P$5:$P$49,0))&lt;&gt;"",FALSE),1,2))</f>
        <v/>
      </c>
      <c r="AD12">
        <f>IF('calcA'!CD$115=0,0,IF(IFERROR(INDEX('名簿'!$E$5:$E$49,MATCH('調整・決定'!F12,'名簿'!$P$5:$P$49,0))&lt;&gt;"",FALSE),1,2))</f>
        <v/>
      </c>
      <c r="AE12">
        <f>IF('calcA'!DB$115=0,0,IF(IFERROR(INDEX('名簿'!$E$5:$E$49,MATCH('調整・決定'!G12,'名簿'!$P$5:$P$49,0))&lt;&gt;"",FALSE),1,2))</f>
        <v/>
      </c>
      <c r="AF12">
        <f>IF('calcA'!DZ$115=0,0,IF(IFERROR(INDEX('名簿'!$E$5:$E$49,MATCH('調整・決定'!H12,'名簿'!$P$5:$P$49,0))&lt;&gt;"",FALSE),1,2))</f>
        <v/>
      </c>
    </row>
    <row r="13" ht="34" customHeight="1">
      <c r="B13" s="47">
        <f>'設定'!$I$18</f>
        <v/>
      </c>
      <c r="C13" s="28">
        <f>IF('調整・決定'!C13="","",'調整・決定'!C13&amp;IF(IFERROR(INDEX('名簿'!$E$5:$E$49,MATCH('調整・決定'!C13,'名簿'!$P$5:$P$49,0))&lt;&gt;"",FALSE),CHAR(10)&amp;INDEX('名簿'!$F$5:$F$49,MATCH('調整・決定'!C13,'名簿'!$P$5:$P$49,0)),""))</f>
        <v/>
      </c>
      <c r="D13" s="28">
        <f>IF('調整・決定'!D13="","",'調整・決定'!D13&amp;IF(IFERROR(INDEX('名簿'!$E$5:$E$49,MATCH('調整・決定'!D13,'名簿'!$P$5:$P$49,0))&lt;&gt;"",FALSE),CHAR(10)&amp;INDEX('名簿'!$F$5:$F$49,MATCH('調整・決定'!D13,'名簿'!$P$5:$P$49,0)),""))</f>
        <v/>
      </c>
      <c r="E13" s="28">
        <f>IF('調整・決定'!E13="","",'調整・決定'!E13&amp;IF(IFERROR(INDEX('名簿'!$E$5:$E$49,MATCH('調整・決定'!E13,'名簿'!$P$5:$P$49,0))&lt;&gt;"",FALSE),CHAR(10)&amp;INDEX('名簿'!$F$5:$F$49,MATCH('調整・決定'!E13,'名簿'!$P$5:$P$49,0)),""))</f>
        <v/>
      </c>
      <c r="F13" s="28">
        <f>IF('調整・決定'!F13="","",'調整・決定'!F13&amp;IF(IFERROR(INDEX('名簿'!$E$5:$E$49,MATCH('調整・決定'!F13,'名簿'!$P$5:$P$49,0))&lt;&gt;"",FALSE),CHAR(10)&amp;INDEX('名簿'!$F$5:$F$49,MATCH('調整・決定'!F13,'名簿'!$P$5:$P$49,0)),""))</f>
        <v/>
      </c>
      <c r="G13" s="28">
        <f>IF('調整・決定'!G13="","",'調整・決定'!G13&amp;IF(IFERROR(INDEX('名簿'!$E$5:$E$49,MATCH('調整・決定'!G13,'名簿'!$P$5:$P$49,0))&lt;&gt;"",FALSE),CHAR(10)&amp;INDEX('名簿'!$F$5:$F$49,MATCH('調整・決定'!G13,'名簿'!$P$5:$P$49,0)),""))</f>
        <v/>
      </c>
      <c r="H13" s="28">
        <f>IF('調整・決定'!H13="","",'調整・決定'!H13&amp;IF(IFERROR(INDEX('名簿'!$E$5:$E$49,MATCH('調整・決定'!H13,'名簿'!$P$5:$P$49,0))&lt;&gt;"",FALSE),CHAR(10)&amp;INDEX('名簿'!$F$5:$F$49,MATCH('調整・決定'!H13,'名簿'!$P$5:$P$49,0)),""))</f>
        <v/>
      </c>
      <c r="AA13">
        <f>IF('calcA'!K$115=0,0,IF(IFERROR(INDEX('名簿'!$E$5:$E$49,MATCH('調整・決定'!C13,'名簿'!$P$5:$P$49,0))&lt;&gt;"",FALSE),1,2))</f>
        <v/>
      </c>
      <c r="AB13">
        <f>IF('calcA'!AI$115=0,0,IF(IFERROR(INDEX('名簿'!$E$5:$E$49,MATCH('調整・決定'!D13,'名簿'!$P$5:$P$49,0))&lt;&gt;"",FALSE),1,2))</f>
        <v/>
      </c>
      <c r="AC13">
        <f>IF('calcA'!BG$115=0,0,IF(IFERROR(INDEX('名簿'!$E$5:$E$49,MATCH('調整・決定'!E13,'名簿'!$P$5:$P$49,0))&lt;&gt;"",FALSE),1,2))</f>
        <v/>
      </c>
      <c r="AD13">
        <f>IF('calcA'!CE$115=0,0,IF(IFERROR(INDEX('名簿'!$E$5:$E$49,MATCH('調整・決定'!F13,'名簿'!$P$5:$P$49,0))&lt;&gt;"",FALSE),1,2))</f>
        <v/>
      </c>
      <c r="AE13">
        <f>IF('calcA'!DC$115=0,0,IF(IFERROR(INDEX('名簿'!$E$5:$E$49,MATCH('調整・決定'!G13,'名簿'!$P$5:$P$49,0))&lt;&gt;"",FALSE),1,2))</f>
        <v/>
      </c>
      <c r="AF13">
        <f>IF('calcA'!EA$115=0,0,IF(IFERROR(INDEX('名簿'!$E$5:$E$49,MATCH('調整・決定'!H13,'名簿'!$P$5:$P$49,0))&lt;&gt;"",FALSE),1,2))</f>
        <v/>
      </c>
    </row>
    <row r="14" ht="34" customHeight="1">
      <c r="B14" s="47">
        <f>'設定'!$I$19</f>
        <v/>
      </c>
      <c r="C14" s="28">
        <f>IF('調整・決定'!C14="","",'調整・決定'!C14&amp;IF(IFERROR(INDEX('名簿'!$E$5:$E$49,MATCH('調整・決定'!C14,'名簿'!$P$5:$P$49,0))&lt;&gt;"",FALSE),CHAR(10)&amp;INDEX('名簿'!$F$5:$F$49,MATCH('調整・決定'!C14,'名簿'!$P$5:$P$49,0)),""))</f>
        <v/>
      </c>
      <c r="D14" s="28">
        <f>IF('調整・決定'!D14="","",'調整・決定'!D14&amp;IF(IFERROR(INDEX('名簿'!$E$5:$E$49,MATCH('調整・決定'!D14,'名簿'!$P$5:$P$49,0))&lt;&gt;"",FALSE),CHAR(10)&amp;INDEX('名簿'!$F$5:$F$49,MATCH('調整・決定'!D14,'名簿'!$P$5:$P$49,0)),""))</f>
        <v/>
      </c>
      <c r="E14" s="28">
        <f>IF('調整・決定'!E14="","",'調整・決定'!E14&amp;IF(IFERROR(INDEX('名簿'!$E$5:$E$49,MATCH('調整・決定'!E14,'名簿'!$P$5:$P$49,0))&lt;&gt;"",FALSE),CHAR(10)&amp;INDEX('名簿'!$F$5:$F$49,MATCH('調整・決定'!E14,'名簿'!$P$5:$P$49,0)),""))</f>
        <v/>
      </c>
      <c r="F14" s="28">
        <f>IF('調整・決定'!F14="","",'調整・決定'!F14&amp;IF(IFERROR(INDEX('名簿'!$E$5:$E$49,MATCH('調整・決定'!F14,'名簿'!$P$5:$P$49,0))&lt;&gt;"",FALSE),CHAR(10)&amp;INDEX('名簿'!$F$5:$F$49,MATCH('調整・決定'!F14,'名簿'!$P$5:$P$49,0)),""))</f>
        <v/>
      </c>
      <c r="G14" s="28">
        <f>IF('調整・決定'!G14="","",'調整・決定'!G14&amp;IF(IFERROR(INDEX('名簿'!$E$5:$E$49,MATCH('調整・決定'!G14,'名簿'!$P$5:$P$49,0))&lt;&gt;"",FALSE),CHAR(10)&amp;INDEX('名簿'!$F$5:$F$49,MATCH('調整・決定'!G14,'名簿'!$P$5:$P$49,0)),""))</f>
        <v/>
      </c>
      <c r="H14" s="28">
        <f>IF('調整・決定'!H14="","",'調整・決定'!H14&amp;IF(IFERROR(INDEX('名簿'!$E$5:$E$49,MATCH('調整・決定'!H14,'名簿'!$P$5:$P$49,0))&lt;&gt;"",FALSE),CHAR(10)&amp;INDEX('名簿'!$F$5:$F$49,MATCH('調整・決定'!H14,'名簿'!$P$5:$P$49,0)),""))</f>
        <v/>
      </c>
      <c r="AA14">
        <f>IF('calcA'!L$115=0,0,IF(IFERROR(INDEX('名簿'!$E$5:$E$49,MATCH('調整・決定'!C14,'名簿'!$P$5:$P$49,0))&lt;&gt;"",FALSE),1,2))</f>
        <v/>
      </c>
      <c r="AB14">
        <f>IF('calcA'!AJ$115=0,0,IF(IFERROR(INDEX('名簿'!$E$5:$E$49,MATCH('調整・決定'!D14,'名簿'!$P$5:$P$49,0))&lt;&gt;"",FALSE),1,2))</f>
        <v/>
      </c>
      <c r="AC14">
        <f>IF('calcA'!BH$115=0,0,IF(IFERROR(INDEX('名簿'!$E$5:$E$49,MATCH('調整・決定'!E14,'名簿'!$P$5:$P$49,0))&lt;&gt;"",FALSE),1,2))</f>
        <v/>
      </c>
      <c r="AD14">
        <f>IF('calcA'!CF$115=0,0,IF(IFERROR(INDEX('名簿'!$E$5:$E$49,MATCH('調整・決定'!F14,'名簿'!$P$5:$P$49,0))&lt;&gt;"",FALSE),1,2))</f>
        <v/>
      </c>
      <c r="AE14">
        <f>IF('calcA'!DD$115=0,0,IF(IFERROR(INDEX('名簿'!$E$5:$E$49,MATCH('調整・決定'!G14,'名簿'!$P$5:$P$49,0))&lt;&gt;"",FALSE),1,2))</f>
        <v/>
      </c>
      <c r="AF14">
        <f>IF('calcA'!EB$115=0,0,IF(IFERROR(INDEX('名簿'!$E$5:$E$49,MATCH('調整・決定'!H14,'名簿'!$P$5:$P$49,0))&lt;&gt;"",FALSE),1,2))</f>
        <v/>
      </c>
    </row>
    <row r="15" ht="34" customHeight="1">
      <c r="B15" s="47">
        <f>'設定'!$I$20</f>
        <v/>
      </c>
      <c r="C15" s="28">
        <f>IF('調整・決定'!C15="","",'調整・決定'!C15&amp;IF(IFERROR(INDEX('名簿'!$E$5:$E$49,MATCH('調整・決定'!C15,'名簿'!$P$5:$P$49,0))&lt;&gt;"",FALSE),CHAR(10)&amp;INDEX('名簿'!$F$5:$F$49,MATCH('調整・決定'!C15,'名簿'!$P$5:$P$49,0)),""))</f>
        <v/>
      </c>
      <c r="D15" s="28">
        <f>IF('調整・決定'!D15="","",'調整・決定'!D15&amp;IF(IFERROR(INDEX('名簿'!$E$5:$E$49,MATCH('調整・決定'!D15,'名簿'!$P$5:$P$49,0))&lt;&gt;"",FALSE),CHAR(10)&amp;INDEX('名簿'!$F$5:$F$49,MATCH('調整・決定'!D15,'名簿'!$P$5:$P$49,0)),""))</f>
        <v/>
      </c>
      <c r="E15" s="28">
        <f>IF('調整・決定'!E15="","",'調整・決定'!E15&amp;IF(IFERROR(INDEX('名簿'!$E$5:$E$49,MATCH('調整・決定'!E15,'名簿'!$P$5:$P$49,0))&lt;&gt;"",FALSE),CHAR(10)&amp;INDEX('名簿'!$F$5:$F$49,MATCH('調整・決定'!E15,'名簿'!$P$5:$P$49,0)),""))</f>
        <v/>
      </c>
      <c r="F15" s="28">
        <f>IF('調整・決定'!F15="","",'調整・決定'!F15&amp;IF(IFERROR(INDEX('名簿'!$E$5:$E$49,MATCH('調整・決定'!F15,'名簿'!$P$5:$P$49,0))&lt;&gt;"",FALSE),CHAR(10)&amp;INDEX('名簿'!$F$5:$F$49,MATCH('調整・決定'!F15,'名簿'!$P$5:$P$49,0)),""))</f>
        <v/>
      </c>
      <c r="G15" s="28">
        <f>IF('調整・決定'!G15="","",'調整・決定'!G15&amp;IF(IFERROR(INDEX('名簿'!$E$5:$E$49,MATCH('調整・決定'!G15,'名簿'!$P$5:$P$49,0))&lt;&gt;"",FALSE),CHAR(10)&amp;INDEX('名簿'!$F$5:$F$49,MATCH('調整・決定'!G15,'名簿'!$P$5:$P$49,0)),""))</f>
        <v/>
      </c>
      <c r="H15" s="28">
        <f>IF('調整・決定'!H15="","",'調整・決定'!H15&amp;IF(IFERROR(INDEX('名簿'!$E$5:$E$49,MATCH('調整・決定'!H15,'名簿'!$P$5:$P$49,0))&lt;&gt;"",FALSE),CHAR(10)&amp;INDEX('名簿'!$F$5:$F$49,MATCH('調整・決定'!H15,'名簿'!$P$5:$P$49,0)),""))</f>
        <v/>
      </c>
      <c r="AA15">
        <f>IF('calcA'!M$115=0,0,IF(IFERROR(INDEX('名簿'!$E$5:$E$49,MATCH('調整・決定'!C15,'名簿'!$P$5:$P$49,0))&lt;&gt;"",FALSE),1,2))</f>
        <v/>
      </c>
      <c r="AB15">
        <f>IF('calcA'!AK$115=0,0,IF(IFERROR(INDEX('名簿'!$E$5:$E$49,MATCH('調整・決定'!D15,'名簿'!$P$5:$P$49,0))&lt;&gt;"",FALSE),1,2))</f>
        <v/>
      </c>
      <c r="AC15">
        <f>IF('calcA'!BI$115=0,0,IF(IFERROR(INDEX('名簿'!$E$5:$E$49,MATCH('調整・決定'!E15,'名簿'!$P$5:$P$49,0))&lt;&gt;"",FALSE),1,2))</f>
        <v/>
      </c>
      <c r="AD15">
        <f>IF('calcA'!CG$115=0,0,IF(IFERROR(INDEX('名簿'!$E$5:$E$49,MATCH('調整・決定'!F15,'名簿'!$P$5:$P$49,0))&lt;&gt;"",FALSE),1,2))</f>
        <v/>
      </c>
      <c r="AE15">
        <f>IF('calcA'!DE$115=0,0,IF(IFERROR(INDEX('名簿'!$E$5:$E$49,MATCH('調整・決定'!G15,'名簿'!$P$5:$P$49,0))&lt;&gt;"",FALSE),1,2))</f>
        <v/>
      </c>
      <c r="AF15">
        <f>IF('calcA'!EC$115=0,0,IF(IFERROR(INDEX('名簿'!$E$5:$E$49,MATCH('調整・決定'!H15,'名簿'!$P$5:$P$49,0))&lt;&gt;"",FALSE),1,2))</f>
        <v/>
      </c>
    </row>
    <row r="16" ht="34" customHeight="1">
      <c r="B16" s="47">
        <f>'設定'!$I$21</f>
        <v/>
      </c>
      <c r="C16" s="28">
        <f>IF('調整・決定'!C16="","",'調整・決定'!C16&amp;IF(IFERROR(INDEX('名簿'!$E$5:$E$49,MATCH('調整・決定'!C16,'名簿'!$P$5:$P$49,0))&lt;&gt;"",FALSE),CHAR(10)&amp;INDEX('名簿'!$F$5:$F$49,MATCH('調整・決定'!C16,'名簿'!$P$5:$P$49,0)),""))</f>
        <v/>
      </c>
      <c r="D16" s="28">
        <f>IF('調整・決定'!D16="","",'調整・決定'!D16&amp;IF(IFERROR(INDEX('名簿'!$E$5:$E$49,MATCH('調整・決定'!D16,'名簿'!$P$5:$P$49,0))&lt;&gt;"",FALSE),CHAR(10)&amp;INDEX('名簿'!$F$5:$F$49,MATCH('調整・決定'!D16,'名簿'!$P$5:$P$49,0)),""))</f>
        <v/>
      </c>
      <c r="E16" s="28">
        <f>IF('調整・決定'!E16="","",'調整・決定'!E16&amp;IF(IFERROR(INDEX('名簿'!$E$5:$E$49,MATCH('調整・決定'!E16,'名簿'!$P$5:$P$49,0))&lt;&gt;"",FALSE),CHAR(10)&amp;INDEX('名簿'!$F$5:$F$49,MATCH('調整・決定'!E16,'名簿'!$P$5:$P$49,0)),""))</f>
        <v/>
      </c>
      <c r="F16" s="28">
        <f>IF('調整・決定'!F16="","",'調整・決定'!F16&amp;IF(IFERROR(INDEX('名簿'!$E$5:$E$49,MATCH('調整・決定'!F16,'名簿'!$P$5:$P$49,0))&lt;&gt;"",FALSE),CHAR(10)&amp;INDEX('名簿'!$F$5:$F$49,MATCH('調整・決定'!F16,'名簿'!$P$5:$P$49,0)),""))</f>
        <v/>
      </c>
      <c r="G16" s="28">
        <f>IF('調整・決定'!G16="","",'調整・決定'!G16&amp;IF(IFERROR(INDEX('名簿'!$E$5:$E$49,MATCH('調整・決定'!G16,'名簿'!$P$5:$P$49,0))&lt;&gt;"",FALSE),CHAR(10)&amp;INDEX('名簿'!$F$5:$F$49,MATCH('調整・決定'!G16,'名簿'!$P$5:$P$49,0)),""))</f>
        <v/>
      </c>
      <c r="H16" s="28">
        <f>IF('調整・決定'!H16="","",'調整・決定'!H16&amp;IF(IFERROR(INDEX('名簿'!$E$5:$E$49,MATCH('調整・決定'!H16,'名簿'!$P$5:$P$49,0))&lt;&gt;"",FALSE),CHAR(10)&amp;INDEX('名簿'!$F$5:$F$49,MATCH('調整・決定'!H16,'名簿'!$P$5:$P$49,0)),""))</f>
        <v/>
      </c>
      <c r="AA16">
        <f>IF('calcA'!N$115=0,0,IF(IFERROR(INDEX('名簿'!$E$5:$E$49,MATCH('調整・決定'!C16,'名簿'!$P$5:$P$49,0))&lt;&gt;"",FALSE),1,2))</f>
        <v/>
      </c>
      <c r="AB16">
        <f>IF('calcA'!AL$115=0,0,IF(IFERROR(INDEX('名簿'!$E$5:$E$49,MATCH('調整・決定'!D16,'名簿'!$P$5:$P$49,0))&lt;&gt;"",FALSE),1,2))</f>
        <v/>
      </c>
      <c r="AC16">
        <f>IF('calcA'!BJ$115=0,0,IF(IFERROR(INDEX('名簿'!$E$5:$E$49,MATCH('調整・決定'!E16,'名簿'!$P$5:$P$49,0))&lt;&gt;"",FALSE),1,2))</f>
        <v/>
      </c>
      <c r="AD16">
        <f>IF('calcA'!CH$115=0,0,IF(IFERROR(INDEX('名簿'!$E$5:$E$49,MATCH('調整・決定'!F16,'名簿'!$P$5:$P$49,0))&lt;&gt;"",FALSE),1,2))</f>
        <v/>
      </c>
      <c r="AE16">
        <f>IF('calcA'!DF$115=0,0,IF(IFERROR(INDEX('名簿'!$E$5:$E$49,MATCH('調整・決定'!G16,'名簿'!$P$5:$P$49,0))&lt;&gt;"",FALSE),1,2))</f>
        <v/>
      </c>
      <c r="AF16">
        <f>IF('calcA'!ED$115=0,0,IF(IFERROR(INDEX('名簿'!$E$5:$E$49,MATCH('調整・決定'!H16,'名簿'!$P$5:$P$49,0))&lt;&gt;"",FALSE),1,2))</f>
        <v/>
      </c>
    </row>
    <row r="17" ht="34" customHeight="1">
      <c r="B17" s="47">
        <f>'設定'!$I$22</f>
        <v/>
      </c>
      <c r="C17" s="28">
        <f>IF('調整・決定'!C17="","",'調整・決定'!C17&amp;IF(IFERROR(INDEX('名簿'!$E$5:$E$49,MATCH('調整・決定'!C17,'名簿'!$P$5:$P$49,0))&lt;&gt;"",FALSE),CHAR(10)&amp;INDEX('名簿'!$F$5:$F$49,MATCH('調整・決定'!C17,'名簿'!$P$5:$P$49,0)),""))</f>
        <v/>
      </c>
      <c r="D17" s="28">
        <f>IF('調整・決定'!D17="","",'調整・決定'!D17&amp;IF(IFERROR(INDEX('名簿'!$E$5:$E$49,MATCH('調整・決定'!D17,'名簿'!$P$5:$P$49,0))&lt;&gt;"",FALSE),CHAR(10)&amp;INDEX('名簿'!$F$5:$F$49,MATCH('調整・決定'!D17,'名簿'!$P$5:$P$49,0)),""))</f>
        <v/>
      </c>
      <c r="E17" s="28">
        <f>IF('調整・決定'!E17="","",'調整・決定'!E17&amp;IF(IFERROR(INDEX('名簿'!$E$5:$E$49,MATCH('調整・決定'!E17,'名簿'!$P$5:$P$49,0))&lt;&gt;"",FALSE),CHAR(10)&amp;INDEX('名簿'!$F$5:$F$49,MATCH('調整・決定'!E17,'名簿'!$P$5:$P$49,0)),""))</f>
        <v/>
      </c>
      <c r="F17" s="28">
        <f>IF('調整・決定'!F17="","",'調整・決定'!F17&amp;IF(IFERROR(INDEX('名簿'!$E$5:$E$49,MATCH('調整・決定'!F17,'名簿'!$P$5:$P$49,0))&lt;&gt;"",FALSE),CHAR(10)&amp;INDEX('名簿'!$F$5:$F$49,MATCH('調整・決定'!F17,'名簿'!$P$5:$P$49,0)),""))</f>
        <v/>
      </c>
      <c r="G17" s="28">
        <f>IF('調整・決定'!G17="","",'調整・決定'!G17&amp;IF(IFERROR(INDEX('名簿'!$E$5:$E$49,MATCH('調整・決定'!G17,'名簿'!$P$5:$P$49,0))&lt;&gt;"",FALSE),CHAR(10)&amp;INDEX('名簿'!$F$5:$F$49,MATCH('調整・決定'!G17,'名簿'!$P$5:$P$49,0)),""))</f>
        <v/>
      </c>
      <c r="H17" s="28">
        <f>IF('調整・決定'!H17="","",'調整・決定'!H17&amp;IF(IFERROR(INDEX('名簿'!$E$5:$E$49,MATCH('調整・決定'!H17,'名簿'!$P$5:$P$49,0))&lt;&gt;"",FALSE),CHAR(10)&amp;INDEX('名簿'!$F$5:$F$49,MATCH('調整・決定'!H17,'名簿'!$P$5:$P$49,0)),""))</f>
        <v/>
      </c>
      <c r="AA17">
        <f>IF('calcA'!O$115=0,0,IF(IFERROR(INDEX('名簿'!$E$5:$E$49,MATCH('調整・決定'!C17,'名簿'!$P$5:$P$49,0))&lt;&gt;"",FALSE),1,2))</f>
        <v/>
      </c>
      <c r="AB17">
        <f>IF('calcA'!AM$115=0,0,IF(IFERROR(INDEX('名簿'!$E$5:$E$49,MATCH('調整・決定'!D17,'名簿'!$P$5:$P$49,0))&lt;&gt;"",FALSE),1,2))</f>
        <v/>
      </c>
      <c r="AC17">
        <f>IF('calcA'!BK$115=0,0,IF(IFERROR(INDEX('名簿'!$E$5:$E$49,MATCH('調整・決定'!E17,'名簿'!$P$5:$P$49,0))&lt;&gt;"",FALSE),1,2))</f>
        <v/>
      </c>
      <c r="AD17">
        <f>IF('calcA'!CI$115=0,0,IF(IFERROR(INDEX('名簿'!$E$5:$E$49,MATCH('調整・決定'!F17,'名簿'!$P$5:$P$49,0))&lt;&gt;"",FALSE),1,2))</f>
        <v/>
      </c>
      <c r="AE17">
        <f>IF('calcA'!DG$115=0,0,IF(IFERROR(INDEX('名簿'!$E$5:$E$49,MATCH('調整・決定'!G17,'名簿'!$P$5:$P$49,0))&lt;&gt;"",FALSE),1,2))</f>
        <v/>
      </c>
      <c r="AF17">
        <f>IF('calcA'!EE$115=0,0,IF(IFERROR(INDEX('名簿'!$E$5:$E$49,MATCH('調整・決定'!H17,'名簿'!$P$5:$P$49,0))&lt;&gt;"",FALSE),1,2))</f>
        <v/>
      </c>
    </row>
    <row r="18" ht="34" customHeight="1">
      <c r="B18" s="47">
        <f>'設定'!$I$23</f>
        <v/>
      </c>
      <c r="C18" s="28">
        <f>IF('調整・決定'!C18="","",'調整・決定'!C18&amp;IF(IFERROR(INDEX('名簿'!$E$5:$E$49,MATCH('調整・決定'!C18,'名簿'!$P$5:$P$49,0))&lt;&gt;"",FALSE),CHAR(10)&amp;INDEX('名簿'!$F$5:$F$49,MATCH('調整・決定'!C18,'名簿'!$P$5:$P$49,0)),""))</f>
        <v/>
      </c>
      <c r="D18" s="28">
        <f>IF('調整・決定'!D18="","",'調整・決定'!D18&amp;IF(IFERROR(INDEX('名簿'!$E$5:$E$49,MATCH('調整・決定'!D18,'名簿'!$P$5:$P$49,0))&lt;&gt;"",FALSE),CHAR(10)&amp;INDEX('名簿'!$F$5:$F$49,MATCH('調整・決定'!D18,'名簿'!$P$5:$P$49,0)),""))</f>
        <v/>
      </c>
      <c r="E18" s="28">
        <f>IF('調整・決定'!E18="","",'調整・決定'!E18&amp;IF(IFERROR(INDEX('名簿'!$E$5:$E$49,MATCH('調整・決定'!E18,'名簿'!$P$5:$P$49,0))&lt;&gt;"",FALSE),CHAR(10)&amp;INDEX('名簿'!$F$5:$F$49,MATCH('調整・決定'!E18,'名簿'!$P$5:$P$49,0)),""))</f>
        <v/>
      </c>
      <c r="F18" s="28">
        <f>IF('調整・決定'!F18="","",'調整・決定'!F18&amp;IF(IFERROR(INDEX('名簿'!$E$5:$E$49,MATCH('調整・決定'!F18,'名簿'!$P$5:$P$49,0))&lt;&gt;"",FALSE),CHAR(10)&amp;INDEX('名簿'!$F$5:$F$49,MATCH('調整・決定'!F18,'名簿'!$P$5:$P$49,0)),""))</f>
        <v/>
      </c>
      <c r="G18" s="28">
        <f>IF('調整・決定'!G18="","",'調整・決定'!G18&amp;IF(IFERROR(INDEX('名簿'!$E$5:$E$49,MATCH('調整・決定'!G18,'名簿'!$P$5:$P$49,0))&lt;&gt;"",FALSE),CHAR(10)&amp;INDEX('名簿'!$F$5:$F$49,MATCH('調整・決定'!G18,'名簿'!$P$5:$P$49,0)),""))</f>
        <v/>
      </c>
      <c r="H18" s="28">
        <f>IF('調整・決定'!H18="","",'調整・決定'!H18&amp;IF(IFERROR(INDEX('名簿'!$E$5:$E$49,MATCH('調整・決定'!H18,'名簿'!$P$5:$P$49,0))&lt;&gt;"",FALSE),CHAR(10)&amp;INDEX('名簿'!$F$5:$F$49,MATCH('調整・決定'!H18,'名簿'!$P$5:$P$49,0)),""))</f>
        <v/>
      </c>
      <c r="AA18">
        <f>IF('calcA'!P$115=0,0,IF(IFERROR(INDEX('名簿'!$E$5:$E$49,MATCH('調整・決定'!C18,'名簿'!$P$5:$P$49,0))&lt;&gt;"",FALSE),1,2))</f>
        <v/>
      </c>
      <c r="AB18">
        <f>IF('calcA'!AN$115=0,0,IF(IFERROR(INDEX('名簿'!$E$5:$E$49,MATCH('調整・決定'!D18,'名簿'!$P$5:$P$49,0))&lt;&gt;"",FALSE),1,2))</f>
        <v/>
      </c>
      <c r="AC18">
        <f>IF('calcA'!BL$115=0,0,IF(IFERROR(INDEX('名簿'!$E$5:$E$49,MATCH('調整・決定'!E18,'名簿'!$P$5:$P$49,0))&lt;&gt;"",FALSE),1,2))</f>
        <v/>
      </c>
      <c r="AD18">
        <f>IF('calcA'!CJ$115=0,0,IF(IFERROR(INDEX('名簿'!$E$5:$E$49,MATCH('調整・決定'!F18,'名簿'!$P$5:$P$49,0))&lt;&gt;"",FALSE),1,2))</f>
        <v/>
      </c>
      <c r="AE18">
        <f>IF('calcA'!DH$115=0,0,IF(IFERROR(INDEX('名簿'!$E$5:$E$49,MATCH('調整・決定'!G18,'名簿'!$P$5:$P$49,0))&lt;&gt;"",FALSE),1,2))</f>
        <v/>
      </c>
      <c r="AF18">
        <f>IF('calcA'!EF$115=0,0,IF(IFERROR(INDEX('名簿'!$E$5:$E$49,MATCH('調整・決定'!H18,'名簿'!$P$5:$P$49,0))&lt;&gt;"",FALSE),1,2))</f>
        <v/>
      </c>
    </row>
    <row r="19" ht="34" customHeight="1">
      <c r="B19" s="47">
        <f>'設定'!$I$24</f>
        <v/>
      </c>
      <c r="C19" s="28">
        <f>IF('調整・決定'!C19="","",'調整・決定'!C19&amp;IF(IFERROR(INDEX('名簿'!$E$5:$E$49,MATCH('調整・決定'!C19,'名簿'!$P$5:$P$49,0))&lt;&gt;"",FALSE),CHAR(10)&amp;INDEX('名簿'!$F$5:$F$49,MATCH('調整・決定'!C19,'名簿'!$P$5:$P$49,0)),""))</f>
        <v/>
      </c>
      <c r="D19" s="28">
        <f>IF('調整・決定'!D19="","",'調整・決定'!D19&amp;IF(IFERROR(INDEX('名簿'!$E$5:$E$49,MATCH('調整・決定'!D19,'名簿'!$P$5:$P$49,0))&lt;&gt;"",FALSE),CHAR(10)&amp;INDEX('名簿'!$F$5:$F$49,MATCH('調整・決定'!D19,'名簿'!$P$5:$P$49,0)),""))</f>
        <v/>
      </c>
      <c r="E19" s="28">
        <f>IF('調整・決定'!E19="","",'調整・決定'!E19&amp;IF(IFERROR(INDEX('名簿'!$E$5:$E$49,MATCH('調整・決定'!E19,'名簿'!$P$5:$P$49,0))&lt;&gt;"",FALSE),CHAR(10)&amp;INDEX('名簿'!$F$5:$F$49,MATCH('調整・決定'!E19,'名簿'!$P$5:$P$49,0)),""))</f>
        <v/>
      </c>
      <c r="F19" s="28">
        <f>IF('調整・決定'!F19="","",'調整・決定'!F19&amp;IF(IFERROR(INDEX('名簿'!$E$5:$E$49,MATCH('調整・決定'!F19,'名簿'!$P$5:$P$49,0))&lt;&gt;"",FALSE),CHAR(10)&amp;INDEX('名簿'!$F$5:$F$49,MATCH('調整・決定'!F19,'名簿'!$P$5:$P$49,0)),""))</f>
        <v/>
      </c>
      <c r="G19" s="28">
        <f>IF('調整・決定'!G19="","",'調整・決定'!G19&amp;IF(IFERROR(INDEX('名簿'!$E$5:$E$49,MATCH('調整・決定'!G19,'名簿'!$P$5:$P$49,0))&lt;&gt;"",FALSE),CHAR(10)&amp;INDEX('名簿'!$F$5:$F$49,MATCH('調整・決定'!G19,'名簿'!$P$5:$P$49,0)),""))</f>
        <v/>
      </c>
      <c r="H19" s="28">
        <f>IF('調整・決定'!H19="","",'調整・決定'!H19&amp;IF(IFERROR(INDEX('名簿'!$E$5:$E$49,MATCH('調整・決定'!H19,'名簿'!$P$5:$P$49,0))&lt;&gt;"",FALSE),CHAR(10)&amp;INDEX('名簿'!$F$5:$F$49,MATCH('調整・決定'!H19,'名簿'!$P$5:$P$49,0)),""))</f>
        <v/>
      </c>
      <c r="AA19">
        <f>IF('calcA'!Q$115=0,0,IF(IFERROR(INDEX('名簿'!$E$5:$E$49,MATCH('調整・決定'!C19,'名簿'!$P$5:$P$49,0))&lt;&gt;"",FALSE),1,2))</f>
        <v/>
      </c>
      <c r="AB19">
        <f>IF('calcA'!AO$115=0,0,IF(IFERROR(INDEX('名簿'!$E$5:$E$49,MATCH('調整・決定'!D19,'名簿'!$P$5:$P$49,0))&lt;&gt;"",FALSE),1,2))</f>
        <v/>
      </c>
      <c r="AC19">
        <f>IF('calcA'!BM$115=0,0,IF(IFERROR(INDEX('名簿'!$E$5:$E$49,MATCH('調整・決定'!E19,'名簿'!$P$5:$P$49,0))&lt;&gt;"",FALSE),1,2))</f>
        <v/>
      </c>
      <c r="AD19">
        <f>IF('calcA'!CK$115=0,0,IF(IFERROR(INDEX('名簿'!$E$5:$E$49,MATCH('調整・決定'!F19,'名簿'!$P$5:$P$49,0))&lt;&gt;"",FALSE),1,2))</f>
        <v/>
      </c>
      <c r="AE19">
        <f>IF('calcA'!DI$115=0,0,IF(IFERROR(INDEX('名簿'!$E$5:$E$49,MATCH('調整・決定'!G19,'名簿'!$P$5:$P$49,0))&lt;&gt;"",FALSE),1,2))</f>
        <v/>
      </c>
      <c r="AF19">
        <f>IF('calcA'!EG$115=0,0,IF(IFERROR(INDEX('名簿'!$E$5:$E$49,MATCH('調整・決定'!H19,'名簿'!$P$5:$P$49,0))&lt;&gt;"",FALSE),1,2))</f>
        <v/>
      </c>
    </row>
    <row r="20" ht="34" customHeight="1">
      <c r="B20" s="47">
        <f>'設定'!$I$25</f>
        <v/>
      </c>
      <c r="C20" s="28">
        <f>IF('調整・決定'!C20="","",'調整・決定'!C20&amp;IF(IFERROR(INDEX('名簿'!$E$5:$E$49,MATCH('調整・決定'!C20,'名簿'!$P$5:$P$49,0))&lt;&gt;"",FALSE),CHAR(10)&amp;INDEX('名簿'!$F$5:$F$49,MATCH('調整・決定'!C20,'名簿'!$P$5:$P$49,0)),""))</f>
        <v/>
      </c>
      <c r="D20" s="28">
        <f>IF('調整・決定'!D20="","",'調整・決定'!D20&amp;IF(IFERROR(INDEX('名簿'!$E$5:$E$49,MATCH('調整・決定'!D20,'名簿'!$P$5:$P$49,0))&lt;&gt;"",FALSE),CHAR(10)&amp;INDEX('名簿'!$F$5:$F$49,MATCH('調整・決定'!D20,'名簿'!$P$5:$P$49,0)),""))</f>
        <v/>
      </c>
      <c r="E20" s="28">
        <f>IF('調整・決定'!E20="","",'調整・決定'!E20&amp;IF(IFERROR(INDEX('名簿'!$E$5:$E$49,MATCH('調整・決定'!E20,'名簿'!$P$5:$P$49,0))&lt;&gt;"",FALSE),CHAR(10)&amp;INDEX('名簿'!$F$5:$F$49,MATCH('調整・決定'!E20,'名簿'!$P$5:$P$49,0)),""))</f>
        <v/>
      </c>
      <c r="F20" s="28">
        <f>IF('調整・決定'!F20="","",'調整・決定'!F20&amp;IF(IFERROR(INDEX('名簿'!$E$5:$E$49,MATCH('調整・決定'!F20,'名簿'!$P$5:$P$49,0))&lt;&gt;"",FALSE),CHAR(10)&amp;INDEX('名簿'!$F$5:$F$49,MATCH('調整・決定'!F20,'名簿'!$P$5:$P$49,0)),""))</f>
        <v/>
      </c>
      <c r="G20" s="28">
        <f>IF('調整・決定'!G20="","",'調整・決定'!G20&amp;IF(IFERROR(INDEX('名簿'!$E$5:$E$49,MATCH('調整・決定'!G20,'名簿'!$P$5:$P$49,0))&lt;&gt;"",FALSE),CHAR(10)&amp;INDEX('名簿'!$F$5:$F$49,MATCH('調整・決定'!G20,'名簿'!$P$5:$P$49,0)),""))</f>
        <v/>
      </c>
      <c r="H20" s="28">
        <f>IF('調整・決定'!H20="","",'調整・決定'!H20&amp;IF(IFERROR(INDEX('名簿'!$E$5:$E$49,MATCH('調整・決定'!H20,'名簿'!$P$5:$P$49,0))&lt;&gt;"",FALSE),CHAR(10)&amp;INDEX('名簿'!$F$5:$F$49,MATCH('調整・決定'!H20,'名簿'!$P$5:$P$49,0)),""))</f>
        <v/>
      </c>
      <c r="AA20">
        <f>IF('calcA'!R$115=0,0,IF(IFERROR(INDEX('名簿'!$E$5:$E$49,MATCH('調整・決定'!C20,'名簿'!$P$5:$P$49,0))&lt;&gt;"",FALSE),1,2))</f>
        <v/>
      </c>
      <c r="AB20">
        <f>IF('calcA'!AP$115=0,0,IF(IFERROR(INDEX('名簿'!$E$5:$E$49,MATCH('調整・決定'!D20,'名簿'!$P$5:$P$49,0))&lt;&gt;"",FALSE),1,2))</f>
        <v/>
      </c>
      <c r="AC20">
        <f>IF('calcA'!BN$115=0,0,IF(IFERROR(INDEX('名簿'!$E$5:$E$49,MATCH('調整・決定'!E20,'名簿'!$P$5:$P$49,0))&lt;&gt;"",FALSE),1,2))</f>
        <v/>
      </c>
      <c r="AD20">
        <f>IF('calcA'!CL$115=0,0,IF(IFERROR(INDEX('名簿'!$E$5:$E$49,MATCH('調整・決定'!F20,'名簿'!$P$5:$P$49,0))&lt;&gt;"",FALSE),1,2))</f>
        <v/>
      </c>
      <c r="AE20">
        <f>IF('calcA'!DJ$115=0,0,IF(IFERROR(INDEX('名簿'!$E$5:$E$49,MATCH('調整・決定'!G20,'名簿'!$P$5:$P$49,0))&lt;&gt;"",FALSE),1,2))</f>
        <v/>
      </c>
      <c r="AF20">
        <f>IF('calcA'!EH$115=0,0,IF(IFERROR(INDEX('名簿'!$E$5:$E$49,MATCH('調整・決定'!H20,'名簿'!$P$5:$P$49,0))&lt;&gt;"",FALSE),1,2))</f>
        <v/>
      </c>
    </row>
    <row r="21" ht="34" customHeight="1">
      <c r="B21" s="47">
        <f>'設定'!$I$26</f>
        <v/>
      </c>
      <c r="C21" s="28">
        <f>IF('調整・決定'!C21="","",'調整・決定'!C21&amp;IF(IFERROR(INDEX('名簿'!$E$5:$E$49,MATCH('調整・決定'!C21,'名簿'!$P$5:$P$49,0))&lt;&gt;"",FALSE),CHAR(10)&amp;INDEX('名簿'!$F$5:$F$49,MATCH('調整・決定'!C21,'名簿'!$P$5:$P$49,0)),""))</f>
        <v/>
      </c>
      <c r="D21" s="28">
        <f>IF('調整・決定'!D21="","",'調整・決定'!D21&amp;IF(IFERROR(INDEX('名簿'!$E$5:$E$49,MATCH('調整・決定'!D21,'名簿'!$P$5:$P$49,0))&lt;&gt;"",FALSE),CHAR(10)&amp;INDEX('名簿'!$F$5:$F$49,MATCH('調整・決定'!D21,'名簿'!$P$5:$P$49,0)),""))</f>
        <v/>
      </c>
      <c r="E21" s="28">
        <f>IF('調整・決定'!E21="","",'調整・決定'!E21&amp;IF(IFERROR(INDEX('名簿'!$E$5:$E$49,MATCH('調整・決定'!E21,'名簿'!$P$5:$P$49,0))&lt;&gt;"",FALSE),CHAR(10)&amp;INDEX('名簿'!$F$5:$F$49,MATCH('調整・決定'!E21,'名簿'!$P$5:$P$49,0)),""))</f>
        <v/>
      </c>
      <c r="F21" s="28">
        <f>IF('調整・決定'!F21="","",'調整・決定'!F21&amp;IF(IFERROR(INDEX('名簿'!$E$5:$E$49,MATCH('調整・決定'!F21,'名簿'!$P$5:$P$49,0))&lt;&gt;"",FALSE),CHAR(10)&amp;INDEX('名簿'!$F$5:$F$49,MATCH('調整・決定'!F21,'名簿'!$P$5:$P$49,0)),""))</f>
        <v/>
      </c>
      <c r="G21" s="28">
        <f>IF('調整・決定'!G21="","",'調整・決定'!G21&amp;IF(IFERROR(INDEX('名簿'!$E$5:$E$49,MATCH('調整・決定'!G21,'名簿'!$P$5:$P$49,0))&lt;&gt;"",FALSE),CHAR(10)&amp;INDEX('名簿'!$F$5:$F$49,MATCH('調整・決定'!G21,'名簿'!$P$5:$P$49,0)),""))</f>
        <v/>
      </c>
      <c r="H21" s="28">
        <f>IF('調整・決定'!H21="","",'調整・決定'!H21&amp;IF(IFERROR(INDEX('名簿'!$E$5:$E$49,MATCH('調整・決定'!H21,'名簿'!$P$5:$P$49,0))&lt;&gt;"",FALSE),CHAR(10)&amp;INDEX('名簿'!$F$5:$F$49,MATCH('調整・決定'!H21,'名簿'!$P$5:$P$49,0)),""))</f>
        <v/>
      </c>
      <c r="AA21">
        <f>IF('calcA'!S$115=0,0,IF(IFERROR(INDEX('名簿'!$E$5:$E$49,MATCH('調整・決定'!C21,'名簿'!$P$5:$P$49,0))&lt;&gt;"",FALSE),1,2))</f>
        <v/>
      </c>
      <c r="AB21">
        <f>IF('calcA'!AQ$115=0,0,IF(IFERROR(INDEX('名簿'!$E$5:$E$49,MATCH('調整・決定'!D21,'名簿'!$P$5:$P$49,0))&lt;&gt;"",FALSE),1,2))</f>
        <v/>
      </c>
      <c r="AC21">
        <f>IF('calcA'!BO$115=0,0,IF(IFERROR(INDEX('名簿'!$E$5:$E$49,MATCH('調整・決定'!E21,'名簿'!$P$5:$P$49,0))&lt;&gt;"",FALSE),1,2))</f>
        <v/>
      </c>
      <c r="AD21">
        <f>IF('calcA'!CM$115=0,0,IF(IFERROR(INDEX('名簿'!$E$5:$E$49,MATCH('調整・決定'!F21,'名簿'!$P$5:$P$49,0))&lt;&gt;"",FALSE),1,2))</f>
        <v/>
      </c>
      <c r="AE21">
        <f>IF('calcA'!DK$115=0,0,IF(IFERROR(INDEX('名簿'!$E$5:$E$49,MATCH('調整・決定'!G21,'名簿'!$P$5:$P$49,0))&lt;&gt;"",FALSE),1,2))</f>
        <v/>
      </c>
      <c r="AF21">
        <f>IF('calcA'!EI$115=0,0,IF(IFERROR(INDEX('名簿'!$E$5:$E$49,MATCH('調整・決定'!H21,'名簿'!$P$5:$P$49,0))&lt;&gt;"",FALSE),1,2))</f>
        <v/>
      </c>
    </row>
    <row r="22" ht="34" customHeight="1">
      <c r="B22" s="47">
        <f>'設定'!$I$27</f>
        <v/>
      </c>
      <c r="C22" s="28">
        <f>IF('調整・決定'!C22="","",'調整・決定'!C22&amp;IF(IFERROR(INDEX('名簿'!$E$5:$E$49,MATCH('調整・決定'!C22,'名簿'!$P$5:$P$49,0))&lt;&gt;"",FALSE),CHAR(10)&amp;INDEX('名簿'!$F$5:$F$49,MATCH('調整・決定'!C22,'名簿'!$P$5:$P$49,0)),""))</f>
        <v/>
      </c>
      <c r="D22" s="28">
        <f>IF('調整・決定'!D22="","",'調整・決定'!D22&amp;IF(IFERROR(INDEX('名簿'!$E$5:$E$49,MATCH('調整・決定'!D22,'名簿'!$P$5:$P$49,0))&lt;&gt;"",FALSE),CHAR(10)&amp;INDEX('名簿'!$F$5:$F$49,MATCH('調整・決定'!D22,'名簿'!$P$5:$P$49,0)),""))</f>
        <v/>
      </c>
      <c r="E22" s="28">
        <f>IF('調整・決定'!E22="","",'調整・決定'!E22&amp;IF(IFERROR(INDEX('名簿'!$E$5:$E$49,MATCH('調整・決定'!E22,'名簿'!$P$5:$P$49,0))&lt;&gt;"",FALSE),CHAR(10)&amp;INDEX('名簿'!$F$5:$F$49,MATCH('調整・決定'!E22,'名簿'!$P$5:$P$49,0)),""))</f>
        <v/>
      </c>
      <c r="F22" s="28">
        <f>IF('調整・決定'!F22="","",'調整・決定'!F22&amp;IF(IFERROR(INDEX('名簿'!$E$5:$E$49,MATCH('調整・決定'!F22,'名簿'!$P$5:$P$49,0))&lt;&gt;"",FALSE),CHAR(10)&amp;INDEX('名簿'!$F$5:$F$49,MATCH('調整・決定'!F22,'名簿'!$P$5:$P$49,0)),""))</f>
        <v/>
      </c>
      <c r="G22" s="28">
        <f>IF('調整・決定'!G22="","",'調整・決定'!G22&amp;IF(IFERROR(INDEX('名簿'!$E$5:$E$49,MATCH('調整・決定'!G22,'名簿'!$P$5:$P$49,0))&lt;&gt;"",FALSE),CHAR(10)&amp;INDEX('名簿'!$F$5:$F$49,MATCH('調整・決定'!G22,'名簿'!$P$5:$P$49,0)),""))</f>
        <v/>
      </c>
      <c r="H22" s="28">
        <f>IF('調整・決定'!H22="","",'調整・決定'!H22&amp;IF(IFERROR(INDEX('名簿'!$E$5:$E$49,MATCH('調整・決定'!H22,'名簿'!$P$5:$P$49,0))&lt;&gt;"",FALSE),CHAR(10)&amp;INDEX('名簿'!$F$5:$F$49,MATCH('調整・決定'!H22,'名簿'!$P$5:$P$49,0)),""))</f>
        <v/>
      </c>
      <c r="AA22">
        <f>IF('calcA'!T$115=0,0,IF(IFERROR(INDEX('名簿'!$E$5:$E$49,MATCH('調整・決定'!C22,'名簿'!$P$5:$P$49,0))&lt;&gt;"",FALSE),1,2))</f>
        <v/>
      </c>
      <c r="AB22">
        <f>IF('calcA'!AR$115=0,0,IF(IFERROR(INDEX('名簿'!$E$5:$E$49,MATCH('調整・決定'!D22,'名簿'!$P$5:$P$49,0))&lt;&gt;"",FALSE),1,2))</f>
        <v/>
      </c>
      <c r="AC22">
        <f>IF('calcA'!BP$115=0,0,IF(IFERROR(INDEX('名簿'!$E$5:$E$49,MATCH('調整・決定'!E22,'名簿'!$P$5:$P$49,0))&lt;&gt;"",FALSE),1,2))</f>
        <v/>
      </c>
      <c r="AD22">
        <f>IF('calcA'!CN$115=0,0,IF(IFERROR(INDEX('名簿'!$E$5:$E$49,MATCH('調整・決定'!F22,'名簿'!$P$5:$P$49,0))&lt;&gt;"",FALSE),1,2))</f>
        <v/>
      </c>
      <c r="AE22">
        <f>IF('calcA'!DL$115=0,0,IF(IFERROR(INDEX('名簿'!$E$5:$E$49,MATCH('調整・決定'!G22,'名簿'!$P$5:$P$49,0))&lt;&gt;"",FALSE),1,2))</f>
        <v/>
      </c>
      <c r="AF22">
        <f>IF('calcA'!EJ$115=0,0,IF(IFERROR(INDEX('名簿'!$E$5:$E$49,MATCH('調整・決定'!H22,'名簿'!$P$5:$P$49,0))&lt;&gt;"",FALSE),1,2))</f>
        <v/>
      </c>
    </row>
    <row r="23" ht="34" customHeight="1">
      <c r="B23" s="47">
        <f>'設定'!$I$28</f>
        <v/>
      </c>
      <c r="C23" s="28">
        <f>IF('調整・決定'!C23="","",'調整・決定'!C23&amp;IF(IFERROR(INDEX('名簿'!$E$5:$E$49,MATCH('調整・決定'!C23,'名簿'!$P$5:$P$49,0))&lt;&gt;"",FALSE),CHAR(10)&amp;INDEX('名簿'!$F$5:$F$49,MATCH('調整・決定'!C23,'名簿'!$P$5:$P$49,0)),""))</f>
        <v/>
      </c>
      <c r="D23" s="28">
        <f>IF('調整・決定'!D23="","",'調整・決定'!D23&amp;IF(IFERROR(INDEX('名簿'!$E$5:$E$49,MATCH('調整・決定'!D23,'名簿'!$P$5:$P$49,0))&lt;&gt;"",FALSE),CHAR(10)&amp;INDEX('名簿'!$F$5:$F$49,MATCH('調整・決定'!D23,'名簿'!$P$5:$P$49,0)),""))</f>
        <v/>
      </c>
      <c r="E23" s="28">
        <f>IF('調整・決定'!E23="","",'調整・決定'!E23&amp;IF(IFERROR(INDEX('名簿'!$E$5:$E$49,MATCH('調整・決定'!E23,'名簿'!$P$5:$P$49,0))&lt;&gt;"",FALSE),CHAR(10)&amp;INDEX('名簿'!$F$5:$F$49,MATCH('調整・決定'!E23,'名簿'!$P$5:$P$49,0)),""))</f>
        <v/>
      </c>
      <c r="F23" s="28">
        <f>IF('調整・決定'!F23="","",'調整・決定'!F23&amp;IF(IFERROR(INDEX('名簿'!$E$5:$E$49,MATCH('調整・決定'!F23,'名簿'!$P$5:$P$49,0))&lt;&gt;"",FALSE),CHAR(10)&amp;INDEX('名簿'!$F$5:$F$49,MATCH('調整・決定'!F23,'名簿'!$P$5:$P$49,0)),""))</f>
        <v/>
      </c>
      <c r="G23" s="28">
        <f>IF('調整・決定'!G23="","",'調整・決定'!G23&amp;IF(IFERROR(INDEX('名簿'!$E$5:$E$49,MATCH('調整・決定'!G23,'名簿'!$P$5:$P$49,0))&lt;&gt;"",FALSE),CHAR(10)&amp;INDEX('名簿'!$F$5:$F$49,MATCH('調整・決定'!G23,'名簿'!$P$5:$P$49,0)),""))</f>
        <v/>
      </c>
      <c r="H23" s="28">
        <f>IF('調整・決定'!H23="","",'調整・決定'!H23&amp;IF(IFERROR(INDEX('名簿'!$E$5:$E$49,MATCH('調整・決定'!H23,'名簿'!$P$5:$P$49,0))&lt;&gt;"",FALSE),CHAR(10)&amp;INDEX('名簿'!$F$5:$F$49,MATCH('調整・決定'!H23,'名簿'!$P$5:$P$49,0)),""))</f>
        <v/>
      </c>
      <c r="AA23">
        <f>IF('calcA'!U$115=0,0,IF(IFERROR(INDEX('名簿'!$E$5:$E$49,MATCH('調整・決定'!C23,'名簿'!$P$5:$P$49,0))&lt;&gt;"",FALSE),1,2))</f>
        <v/>
      </c>
      <c r="AB23">
        <f>IF('calcA'!AS$115=0,0,IF(IFERROR(INDEX('名簿'!$E$5:$E$49,MATCH('調整・決定'!D23,'名簿'!$P$5:$P$49,0))&lt;&gt;"",FALSE),1,2))</f>
        <v/>
      </c>
      <c r="AC23">
        <f>IF('calcA'!BQ$115=0,0,IF(IFERROR(INDEX('名簿'!$E$5:$E$49,MATCH('調整・決定'!E23,'名簿'!$P$5:$P$49,0))&lt;&gt;"",FALSE),1,2))</f>
        <v/>
      </c>
      <c r="AD23">
        <f>IF('calcA'!CO$115=0,0,IF(IFERROR(INDEX('名簿'!$E$5:$E$49,MATCH('調整・決定'!F23,'名簿'!$P$5:$P$49,0))&lt;&gt;"",FALSE),1,2))</f>
        <v/>
      </c>
      <c r="AE23">
        <f>IF('calcA'!DM$115=0,0,IF(IFERROR(INDEX('名簿'!$E$5:$E$49,MATCH('調整・決定'!G23,'名簿'!$P$5:$P$49,0))&lt;&gt;"",FALSE),1,2))</f>
        <v/>
      </c>
      <c r="AF23">
        <f>IF('calcA'!EK$115=0,0,IF(IFERROR(INDEX('名簿'!$E$5:$E$49,MATCH('調整・決定'!H23,'名簿'!$P$5:$P$49,0))&lt;&gt;"",FALSE),1,2))</f>
        <v/>
      </c>
    </row>
    <row r="24" ht="34" customHeight="1">
      <c r="B24" s="47">
        <f>'設定'!$I$29</f>
        <v/>
      </c>
      <c r="C24" s="28">
        <f>IF('調整・決定'!C24="","",'調整・決定'!C24&amp;IF(IFERROR(INDEX('名簿'!$E$5:$E$49,MATCH('調整・決定'!C24,'名簿'!$P$5:$P$49,0))&lt;&gt;"",FALSE),CHAR(10)&amp;INDEX('名簿'!$F$5:$F$49,MATCH('調整・決定'!C24,'名簿'!$P$5:$P$49,0)),""))</f>
        <v/>
      </c>
      <c r="D24" s="28">
        <f>IF('調整・決定'!D24="","",'調整・決定'!D24&amp;IF(IFERROR(INDEX('名簿'!$E$5:$E$49,MATCH('調整・決定'!D24,'名簿'!$P$5:$P$49,0))&lt;&gt;"",FALSE),CHAR(10)&amp;INDEX('名簿'!$F$5:$F$49,MATCH('調整・決定'!D24,'名簿'!$P$5:$P$49,0)),""))</f>
        <v/>
      </c>
      <c r="E24" s="28">
        <f>IF('調整・決定'!E24="","",'調整・決定'!E24&amp;IF(IFERROR(INDEX('名簿'!$E$5:$E$49,MATCH('調整・決定'!E24,'名簿'!$P$5:$P$49,0))&lt;&gt;"",FALSE),CHAR(10)&amp;INDEX('名簿'!$F$5:$F$49,MATCH('調整・決定'!E24,'名簿'!$P$5:$P$49,0)),""))</f>
        <v/>
      </c>
      <c r="F24" s="28">
        <f>IF('調整・決定'!F24="","",'調整・決定'!F24&amp;IF(IFERROR(INDEX('名簿'!$E$5:$E$49,MATCH('調整・決定'!F24,'名簿'!$P$5:$P$49,0))&lt;&gt;"",FALSE),CHAR(10)&amp;INDEX('名簿'!$F$5:$F$49,MATCH('調整・決定'!F24,'名簿'!$P$5:$P$49,0)),""))</f>
        <v/>
      </c>
      <c r="G24" s="28">
        <f>IF('調整・決定'!G24="","",'調整・決定'!G24&amp;IF(IFERROR(INDEX('名簿'!$E$5:$E$49,MATCH('調整・決定'!G24,'名簿'!$P$5:$P$49,0))&lt;&gt;"",FALSE),CHAR(10)&amp;INDEX('名簿'!$F$5:$F$49,MATCH('調整・決定'!G24,'名簿'!$P$5:$P$49,0)),""))</f>
        <v/>
      </c>
      <c r="H24" s="28">
        <f>IF('調整・決定'!H24="","",'調整・決定'!H24&amp;IF(IFERROR(INDEX('名簿'!$E$5:$E$49,MATCH('調整・決定'!H24,'名簿'!$P$5:$P$49,0))&lt;&gt;"",FALSE),CHAR(10)&amp;INDEX('名簿'!$F$5:$F$49,MATCH('調整・決定'!H24,'名簿'!$P$5:$P$49,0)),""))</f>
        <v/>
      </c>
      <c r="AA24">
        <f>IF('calcA'!V$115=0,0,IF(IFERROR(INDEX('名簿'!$E$5:$E$49,MATCH('調整・決定'!C24,'名簿'!$P$5:$P$49,0))&lt;&gt;"",FALSE),1,2))</f>
        <v/>
      </c>
      <c r="AB24">
        <f>IF('calcA'!AT$115=0,0,IF(IFERROR(INDEX('名簿'!$E$5:$E$49,MATCH('調整・決定'!D24,'名簿'!$P$5:$P$49,0))&lt;&gt;"",FALSE),1,2))</f>
        <v/>
      </c>
      <c r="AC24">
        <f>IF('calcA'!BR$115=0,0,IF(IFERROR(INDEX('名簿'!$E$5:$E$49,MATCH('調整・決定'!E24,'名簿'!$P$5:$P$49,0))&lt;&gt;"",FALSE),1,2))</f>
        <v/>
      </c>
      <c r="AD24">
        <f>IF('calcA'!CP$115=0,0,IF(IFERROR(INDEX('名簿'!$E$5:$E$49,MATCH('調整・決定'!F24,'名簿'!$P$5:$P$49,0))&lt;&gt;"",FALSE),1,2))</f>
        <v/>
      </c>
      <c r="AE24">
        <f>IF('calcA'!DN$115=0,0,IF(IFERROR(INDEX('名簿'!$E$5:$E$49,MATCH('調整・決定'!G24,'名簿'!$P$5:$P$49,0))&lt;&gt;"",FALSE),1,2))</f>
        <v/>
      </c>
      <c r="AF24">
        <f>IF('calcA'!EL$115=0,0,IF(IFERROR(INDEX('名簿'!$E$5:$E$49,MATCH('調整・決定'!H24,'名簿'!$P$5:$P$49,0))&lt;&gt;"",FALSE),1,2))</f>
        <v/>
      </c>
    </row>
    <row r="25" ht="34" customHeight="1">
      <c r="B25" s="47">
        <f>'設定'!$I$30</f>
        <v/>
      </c>
      <c r="C25" s="28">
        <f>IF('調整・決定'!C25="","",'調整・決定'!C25&amp;IF(IFERROR(INDEX('名簿'!$E$5:$E$49,MATCH('調整・決定'!C25,'名簿'!$P$5:$P$49,0))&lt;&gt;"",FALSE),CHAR(10)&amp;INDEX('名簿'!$F$5:$F$49,MATCH('調整・決定'!C25,'名簿'!$P$5:$P$49,0)),""))</f>
        <v/>
      </c>
      <c r="D25" s="28">
        <f>IF('調整・決定'!D25="","",'調整・決定'!D25&amp;IF(IFERROR(INDEX('名簿'!$E$5:$E$49,MATCH('調整・決定'!D25,'名簿'!$P$5:$P$49,0))&lt;&gt;"",FALSE),CHAR(10)&amp;INDEX('名簿'!$F$5:$F$49,MATCH('調整・決定'!D25,'名簿'!$P$5:$P$49,0)),""))</f>
        <v/>
      </c>
      <c r="E25" s="28">
        <f>IF('調整・決定'!E25="","",'調整・決定'!E25&amp;IF(IFERROR(INDEX('名簿'!$E$5:$E$49,MATCH('調整・決定'!E25,'名簿'!$P$5:$P$49,0))&lt;&gt;"",FALSE),CHAR(10)&amp;INDEX('名簿'!$F$5:$F$49,MATCH('調整・決定'!E25,'名簿'!$P$5:$P$49,0)),""))</f>
        <v/>
      </c>
      <c r="F25" s="28">
        <f>IF('調整・決定'!F25="","",'調整・決定'!F25&amp;IF(IFERROR(INDEX('名簿'!$E$5:$E$49,MATCH('調整・決定'!F25,'名簿'!$P$5:$P$49,0))&lt;&gt;"",FALSE),CHAR(10)&amp;INDEX('名簿'!$F$5:$F$49,MATCH('調整・決定'!F25,'名簿'!$P$5:$P$49,0)),""))</f>
        <v/>
      </c>
      <c r="G25" s="28">
        <f>IF('調整・決定'!G25="","",'調整・決定'!G25&amp;IF(IFERROR(INDEX('名簿'!$E$5:$E$49,MATCH('調整・決定'!G25,'名簿'!$P$5:$P$49,0))&lt;&gt;"",FALSE),CHAR(10)&amp;INDEX('名簿'!$F$5:$F$49,MATCH('調整・決定'!G25,'名簿'!$P$5:$P$49,0)),""))</f>
        <v/>
      </c>
      <c r="H25" s="28">
        <f>IF('調整・決定'!H25="","",'調整・決定'!H25&amp;IF(IFERROR(INDEX('名簿'!$E$5:$E$49,MATCH('調整・決定'!H25,'名簿'!$P$5:$P$49,0))&lt;&gt;"",FALSE),CHAR(10)&amp;INDEX('名簿'!$F$5:$F$49,MATCH('調整・決定'!H25,'名簿'!$P$5:$P$49,0)),""))</f>
        <v/>
      </c>
      <c r="AA25">
        <f>IF('calcA'!W$115=0,0,IF(IFERROR(INDEX('名簿'!$E$5:$E$49,MATCH('調整・決定'!C25,'名簿'!$P$5:$P$49,0))&lt;&gt;"",FALSE),1,2))</f>
        <v/>
      </c>
      <c r="AB25">
        <f>IF('calcA'!AU$115=0,0,IF(IFERROR(INDEX('名簿'!$E$5:$E$49,MATCH('調整・決定'!D25,'名簿'!$P$5:$P$49,0))&lt;&gt;"",FALSE),1,2))</f>
        <v/>
      </c>
      <c r="AC25">
        <f>IF('calcA'!BS$115=0,0,IF(IFERROR(INDEX('名簿'!$E$5:$E$49,MATCH('調整・決定'!E25,'名簿'!$P$5:$P$49,0))&lt;&gt;"",FALSE),1,2))</f>
        <v/>
      </c>
      <c r="AD25">
        <f>IF('calcA'!CQ$115=0,0,IF(IFERROR(INDEX('名簿'!$E$5:$E$49,MATCH('調整・決定'!F25,'名簿'!$P$5:$P$49,0))&lt;&gt;"",FALSE),1,2))</f>
        <v/>
      </c>
      <c r="AE25">
        <f>IF('calcA'!DO$115=0,0,IF(IFERROR(INDEX('名簿'!$E$5:$E$49,MATCH('調整・決定'!G25,'名簿'!$P$5:$P$49,0))&lt;&gt;"",FALSE),1,2))</f>
        <v/>
      </c>
      <c r="AF25">
        <f>IF('calcA'!EM$115=0,0,IF(IFERROR(INDEX('名簿'!$E$5:$E$49,MATCH('調整・決定'!H25,'名簿'!$P$5:$P$49,0))&lt;&gt;"",FALSE),1,2))</f>
        <v/>
      </c>
    </row>
    <row r="26" ht="34" customHeight="1">
      <c r="B26" s="47">
        <f>'設定'!$I$31</f>
        <v/>
      </c>
      <c r="C26" s="28">
        <f>IF('調整・決定'!C26="","",'調整・決定'!C26&amp;IF(IFERROR(INDEX('名簿'!$E$5:$E$49,MATCH('調整・決定'!C26,'名簿'!$P$5:$P$49,0))&lt;&gt;"",FALSE),CHAR(10)&amp;INDEX('名簿'!$F$5:$F$49,MATCH('調整・決定'!C26,'名簿'!$P$5:$P$49,0)),""))</f>
        <v/>
      </c>
      <c r="D26" s="28">
        <f>IF('調整・決定'!D26="","",'調整・決定'!D26&amp;IF(IFERROR(INDEX('名簿'!$E$5:$E$49,MATCH('調整・決定'!D26,'名簿'!$P$5:$P$49,0))&lt;&gt;"",FALSE),CHAR(10)&amp;INDEX('名簿'!$F$5:$F$49,MATCH('調整・決定'!D26,'名簿'!$P$5:$P$49,0)),""))</f>
        <v/>
      </c>
      <c r="E26" s="28">
        <f>IF('調整・決定'!E26="","",'調整・決定'!E26&amp;IF(IFERROR(INDEX('名簿'!$E$5:$E$49,MATCH('調整・決定'!E26,'名簿'!$P$5:$P$49,0))&lt;&gt;"",FALSE),CHAR(10)&amp;INDEX('名簿'!$F$5:$F$49,MATCH('調整・決定'!E26,'名簿'!$P$5:$P$49,0)),""))</f>
        <v/>
      </c>
      <c r="F26" s="28">
        <f>IF('調整・決定'!F26="","",'調整・決定'!F26&amp;IF(IFERROR(INDEX('名簿'!$E$5:$E$49,MATCH('調整・決定'!F26,'名簿'!$P$5:$P$49,0))&lt;&gt;"",FALSE),CHAR(10)&amp;INDEX('名簿'!$F$5:$F$49,MATCH('調整・決定'!F26,'名簿'!$P$5:$P$49,0)),""))</f>
        <v/>
      </c>
      <c r="G26" s="28">
        <f>IF('調整・決定'!G26="","",'調整・決定'!G26&amp;IF(IFERROR(INDEX('名簿'!$E$5:$E$49,MATCH('調整・決定'!G26,'名簿'!$P$5:$P$49,0))&lt;&gt;"",FALSE),CHAR(10)&amp;INDEX('名簿'!$F$5:$F$49,MATCH('調整・決定'!G26,'名簿'!$P$5:$P$49,0)),""))</f>
        <v/>
      </c>
      <c r="H26" s="28">
        <f>IF('調整・決定'!H26="","",'調整・決定'!H26&amp;IF(IFERROR(INDEX('名簿'!$E$5:$E$49,MATCH('調整・決定'!H26,'名簿'!$P$5:$P$49,0))&lt;&gt;"",FALSE),CHAR(10)&amp;INDEX('名簿'!$F$5:$F$49,MATCH('調整・決定'!H26,'名簿'!$P$5:$P$49,0)),""))</f>
        <v/>
      </c>
      <c r="AA26">
        <f>IF('calcA'!X$115=0,0,IF(IFERROR(INDEX('名簿'!$E$5:$E$49,MATCH('調整・決定'!C26,'名簿'!$P$5:$P$49,0))&lt;&gt;"",FALSE),1,2))</f>
        <v/>
      </c>
      <c r="AB26">
        <f>IF('calcA'!AV$115=0,0,IF(IFERROR(INDEX('名簿'!$E$5:$E$49,MATCH('調整・決定'!D26,'名簿'!$P$5:$P$49,0))&lt;&gt;"",FALSE),1,2))</f>
        <v/>
      </c>
      <c r="AC26">
        <f>IF('calcA'!BT$115=0,0,IF(IFERROR(INDEX('名簿'!$E$5:$E$49,MATCH('調整・決定'!E26,'名簿'!$P$5:$P$49,0))&lt;&gt;"",FALSE),1,2))</f>
        <v/>
      </c>
      <c r="AD26">
        <f>IF('calcA'!CR$115=0,0,IF(IFERROR(INDEX('名簿'!$E$5:$E$49,MATCH('調整・決定'!F26,'名簿'!$P$5:$P$49,0))&lt;&gt;"",FALSE),1,2))</f>
        <v/>
      </c>
      <c r="AE26">
        <f>IF('calcA'!DP$115=0,0,IF(IFERROR(INDEX('名簿'!$E$5:$E$49,MATCH('調整・決定'!G26,'名簿'!$P$5:$P$49,0))&lt;&gt;"",FALSE),1,2))</f>
        <v/>
      </c>
      <c r="AF26">
        <f>IF('calcA'!EN$115=0,0,IF(IFERROR(INDEX('名簿'!$E$5:$E$49,MATCH('調整・決定'!H26,'名簿'!$P$5:$P$49,0))&lt;&gt;"",FALSE),1,2))</f>
        <v/>
      </c>
    </row>
    <row r="27" ht="34" customHeight="1">
      <c r="B27" s="47">
        <f>'設定'!$I$32</f>
        <v/>
      </c>
      <c r="C27" s="28">
        <f>IF('調整・決定'!C27="","",'調整・決定'!C27&amp;IF(IFERROR(INDEX('名簿'!$E$5:$E$49,MATCH('調整・決定'!C27,'名簿'!$P$5:$P$49,0))&lt;&gt;"",FALSE),CHAR(10)&amp;INDEX('名簿'!$F$5:$F$49,MATCH('調整・決定'!C27,'名簿'!$P$5:$P$49,0)),""))</f>
        <v/>
      </c>
      <c r="D27" s="28">
        <f>IF('調整・決定'!D27="","",'調整・決定'!D27&amp;IF(IFERROR(INDEX('名簿'!$E$5:$E$49,MATCH('調整・決定'!D27,'名簿'!$P$5:$P$49,0))&lt;&gt;"",FALSE),CHAR(10)&amp;INDEX('名簿'!$F$5:$F$49,MATCH('調整・決定'!D27,'名簿'!$P$5:$P$49,0)),""))</f>
        <v/>
      </c>
      <c r="E27" s="28">
        <f>IF('調整・決定'!E27="","",'調整・決定'!E27&amp;IF(IFERROR(INDEX('名簿'!$E$5:$E$49,MATCH('調整・決定'!E27,'名簿'!$P$5:$P$49,0))&lt;&gt;"",FALSE),CHAR(10)&amp;INDEX('名簿'!$F$5:$F$49,MATCH('調整・決定'!E27,'名簿'!$P$5:$P$49,0)),""))</f>
        <v/>
      </c>
      <c r="F27" s="28">
        <f>IF('調整・決定'!F27="","",'調整・決定'!F27&amp;IF(IFERROR(INDEX('名簿'!$E$5:$E$49,MATCH('調整・決定'!F27,'名簿'!$P$5:$P$49,0))&lt;&gt;"",FALSE),CHAR(10)&amp;INDEX('名簿'!$F$5:$F$49,MATCH('調整・決定'!F27,'名簿'!$P$5:$P$49,0)),""))</f>
        <v/>
      </c>
      <c r="G27" s="28">
        <f>IF('調整・決定'!G27="","",'調整・決定'!G27&amp;IF(IFERROR(INDEX('名簿'!$E$5:$E$49,MATCH('調整・決定'!G27,'名簿'!$P$5:$P$49,0))&lt;&gt;"",FALSE),CHAR(10)&amp;INDEX('名簿'!$F$5:$F$49,MATCH('調整・決定'!G27,'名簿'!$P$5:$P$49,0)),""))</f>
        <v/>
      </c>
      <c r="H27" s="28">
        <f>IF('調整・決定'!H27="","",'調整・決定'!H27&amp;IF(IFERROR(INDEX('名簿'!$E$5:$E$49,MATCH('調整・決定'!H27,'名簿'!$P$5:$P$49,0))&lt;&gt;"",FALSE),CHAR(10)&amp;INDEX('名簿'!$F$5:$F$49,MATCH('調整・決定'!H27,'名簿'!$P$5:$P$49,0)),""))</f>
        <v/>
      </c>
      <c r="AA27">
        <f>IF('calcA'!Y$115=0,0,IF(IFERROR(INDEX('名簿'!$E$5:$E$49,MATCH('調整・決定'!C27,'名簿'!$P$5:$P$49,0))&lt;&gt;"",FALSE),1,2))</f>
        <v/>
      </c>
      <c r="AB27">
        <f>IF('calcA'!AW$115=0,0,IF(IFERROR(INDEX('名簿'!$E$5:$E$49,MATCH('調整・決定'!D27,'名簿'!$P$5:$P$49,0))&lt;&gt;"",FALSE),1,2))</f>
        <v/>
      </c>
      <c r="AC27">
        <f>IF('calcA'!BU$115=0,0,IF(IFERROR(INDEX('名簿'!$E$5:$E$49,MATCH('調整・決定'!E27,'名簿'!$P$5:$P$49,0))&lt;&gt;"",FALSE),1,2))</f>
        <v/>
      </c>
      <c r="AD27">
        <f>IF('calcA'!CS$115=0,0,IF(IFERROR(INDEX('名簿'!$E$5:$E$49,MATCH('調整・決定'!F27,'名簿'!$P$5:$P$49,0))&lt;&gt;"",FALSE),1,2))</f>
        <v/>
      </c>
      <c r="AE27">
        <f>IF('calcA'!DQ$115=0,0,IF(IFERROR(INDEX('名簿'!$E$5:$E$49,MATCH('調整・決定'!G27,'名簿'!$P$5:$P$49,0))&lt;&gt;"",FALSE),1,2))</f>
        <v/>
      </c>
      <c r="AF27">
        <f>IF('calcA'!EO$115=0,0,IF(IFERROR(INDEX('名簿'!$E$5:$E$49,MATCH('調整・決定'!H27,'名簿'!$P$5:$P$49,0))&lt;&gt;"",FALSE),1,2))</f>
        <v/>
      </c>
    </row>
    <row r="28" ht="34" customHeight="1">
      <c r="B28" s="47">
        <f>'設定'!$I$33</f>
        <v/>
      </c>
      <c r="C28" s="28">
        <f>IF('調整・決定'!C28="","",'調整・決定'!C28&amp;IF(IFERROR(INDEX('名簿'!$E$5:$E$49,MATCH('調整・決定'!C28,'名簿'!$P$5:$P$49,0))&lt;&gt;"",FALSE),CHAR(10)&amp;INDEX('名簿'!$F$5:$F$49,MATCH('調整・決定'!C28,'名簿'!$P$5:$P$49,0)),""))</f>
        <v/>
      </c>
      <c r="D28" s="28">
        <f>IF('調整・決定'!D28="","",'調整・決定'!D28&amp;IF(IFERROR(INDEX('名簿'!$E$5:$E$49,MATCH('調整・決定'!D28,'名簿'!$P$5:$P$49,0))&lt;&gt;"",FALSE),CHAR(10)&amp;INDEX('名簿'!$F$5:$F$49,MATCH('調整・決定'!D28,'名簿'!$P$5:$P$49,0)),""))</f>
        <v/>
      </c>
      <c r="E28" s="28">
        <f>IF('調整・決定'!E28="","",'調整・決定'!E28&amp;IF(IFERROR(INDEX('名簿'!$E$5:$E$49,MATCH('調整・決定'!E28,'名簿'!$P$5:$P$49,0))&lt;&gt;"",FALSE),CHAR(10)&amp;INDEX('名簿'!$F$5:$F$49,MATCH('調整・決定'!E28,'名簿'!$P$5:$P$49,0)),""))</f>
        <v/>
      </c>
      <c r="F28" s="28">
        <f>IF('調整・決定'!F28="","",'調整・決定'!F28&amp;IF(IFERROR(INDEX('名簿'!$E$5:$E$49,MATCH('調整・決定'!F28,'名簿'!$P$5:$P$49,0))&lt;&gt;"",FALSE),CHAR(10)&amp;INDEX('名簿'!$F$5:$F$49,MATCH('調整・決定'!F28,'名簿'!$P$5:$P$49,0)),""))</f>
        <v/>
      </c>
      <c r="G28" s="28">
        <f>IF('調整・決定'!G28="","",'調整・決定'!G28&amp;IF(IFERROR(INDEX('名簿'!$E$5:$E$49,MATCH('調整・決定'!G28,'名簿'!$P$5:$P$49,0))&lt;&gt;"",FALSE),CHAR(10)&amp;INDEX('名簿'!$F$5:$F$49,MATCH('調整・決定'!G28,'名簿'!$P$5:$P$49,0)),""))</f>
        <v/>
      </c>
      <c r="H28" s="28">
        <f>IF('調整・決定'!H28="","",'調整・決定'!H28&amp;IF(IFERROR(INDEX('名簿'!$E$5:$E$49,MATCH('調整・決定'!H28,'名簿'!$P$5:$P$49,0))&lt;&gt;"",FALSE),CHAR(10)&amp;INDEX('名簿'!$F$5:$F$49,MATCH('調整・決定'!H28,'名簿'!$P$5:$P$49,0)),""))</f>
        <v/>
      </c>
      <c r="AA28">
        <f>IF('calcA'!Z$115=0,0,IF(IFERROR(INDEX('名簿'!$E$5:$E$49,MATCH('調整・決定'!C28,'名簿'!$P$5:$P$49,0))&lt;&gt;"",FALSE),1,2))</f>
        <v/>
      </c>
      <c r="AB28">
        <f>IF('calcA'!AX$115=0,0,IF(IFERROR(INDEX('名簿'!$E$5:$E$49,MATCH('調整・決定'!D28,'名簿'!$P$5:$P$49,0))&lt;&gt;"",FALSE),1,2))</f>
        <v/>
      </c>
      <c r="AC28">
        <f>IF('calcA'!BV$115=0,0,IF(IFERROR(INDEX('名簿'!$E$5:$E$49,MATCH('調整・決定'!E28,'名簿'!$P$5:$P$49,0))&lt;&gt;"",FALSE),1,2))</f>
        <v/>
      </c>
      <c r="AD28">
        <f>IF('calcA'!CT$115=0,0,IF(IFERROR(INDEX('名簿'!$E$5:$E$49,MATCH('調整・決定'!F28,'名簿'!$P$5:$P$49,0))&lt;&gt;"",FALSE),1,2))</f>
        <v/>
      </c>
      <c r="AE28">
        <f>IF('calcA'!DR$115=0,0,IF(IFERROR(INDEX('名簿'!$E$5:$E$49,MATCH('調整・決定'!G28,'名簿'!$P$5:$P$49,0))&lt;&gt;"",FALSE),1,2))</f>
        <v/>
      </c>
      <c r="AF28">
        <f>IF('calcA'!EP$115=0,0,IF(IFERROR(INDEX('名簿'!$E$5:$E$49,MATCH('調整・決定'!H28,'名簿'!$P$5:$P$49,0))&lt;&gt;"",FALSE),1,2))</f>
        <v/>
      </c>
    </row>
    <row r="29" ht="34" customHeight="1">
      <c r="B29" s="47">
        <f>'設定'!$I$34</f>
        <v/>
      </c>
      <c r="C29" s="28">
        <f>IF('調整・決定'!C29="","",'調整・決定'!C29&amp;IF(IFERROR(INDEX('名簿'!$E$5:$E$49,MATCH('調整・決定'!C29,'名簿'!$P$5:$P$49,0))&lt;&gt;"",FALSE),CHAR(10)&amp;INDEX('名簿'!$F$5:$F$49,MATCH('調整・決定'!C29,'名簿'!$P$5:$P$49,0)),""))</f>
        <v/>
      </c>
      <c r="D29" s="28">
        <f>IF('調整・決定'!D29="","",'調整・決定'!D29&amp;IF(IFERROR(INDEX('名簿'!$E$5:$E$49,MATCH('調整・決定'!D29,'名簿'!$P$5:$P$49,0))&lt;&gt;"",FALSE),CHAR(10)&amp;INDEX('名簿'!$F$5:$F$49,MATCH('調整・決定'!D29,'名簿'!$P$5:$P$49,0)),""))</f>
        <v/>
      </c>
      <c r="E29" s="28">
        <f>IF('調整・決定'!E29="","",'調整・決定'!E29&amp;IF(IFERROR(INDEX('名簿'!$E$5:$E$49,MATCH('調整・決定'!E29,'名簿'!$P$5:$P$49,0))&lt;&gt;"",FALSE),CHAR(10)&amp;INDEX('名簿'!$F$5:$F$49,MATCH('調整・決定'!E29,'名簿'!$P$5:$P$49,0)),""))</f>
        <v/>
      </c>
      <c r="F29" s="28">
        <f>IF('調整・決定'!F29="","",'調整・決定'!F29&amp;IF(IFERROR(INDEX('名簿'!$E$5:$E$49,MATCH('調整・決定'!F29,'名簿'!$P$5:$P$49,0))&lt;&gt;"",FALSE),CHAR(10)&amp;INDEX('名簿'!$F$5:$F$49,MATCH('調整・決定'!F29,'名簿'!$P$5:$P$49,0)),""))</f>
        <v/>
      </c>
      <c r="G29" s="28">
        <f>IF('調整・決定'!G29="","",'調整・決定'!G29&amp;IF(IFERROR(INDEX('名簿'!$E$5:$E$49,MATCH('調整・決定'!G29,'名簿'!$P$5:$P$49,0))&lt;&gt;"",FALSE),CHAR(10)&amp;INDEX('名簿'!$F$5:$F$49,MATCH('調整・決定'!G29,'名簿'!$P$5:$P$49,0)),""))</f>
        <v/>
      </c>
      <c r="H29" s="28">
        <f>IF('調整・決定'!H29="","",'調整・決定'!H29&amp;IF(IFERROR(INDEX('名簿'!$E$5:$E$49,MATCH('調整・決定'!H29,'名簿'!$P$5:$P$49,0))&lt;&gt;"",FALSE),CHAR(10)&amp;INDEX('名簿'!$F$5:$F$49,MATCH('調整・決定'!H29,'名簿'!$P$5:$P$49,0)),""))</f>
        <v/>
      </c>
      <c r="AA29">
        <f>IF('calcA'!AA$115=0,0,IF(IFERROR(INDEX('名簿'!$E$5:$E$49,MATCH('調整・決定'!C29,'名簿'!$P$5:$P$49,0))&lt;&gt;"",FALSE),1,2))</f>
        <v/>
      </c>
      <c r="AB29">
        <f>IF('calcA'!AY$115=0,0,IF(IFERROR(INDEX('名簿'!$E$5:$E$49,MATCH('調整・決定'!D29,'名簿'!$P$5:$P$49,0))&lt;&gt;"",FALSE),1,2))</f>
        <v/>
      </c>
      <c r="AC29">
        <f>IF('calcA'!BW$115=0,0,IF(IFERROR(INDEX('名簿'!$E$5:$E$49,MATCH('調整・決定'!E29,'名簿'!$P$5:$P$49,0))&lt;&gt;"",FALSE),1,2))</f>
        <v/>
      </c>
      <c r="AD29">
        <f>IF('calcA'!CU$115=0,0,IF(IFERROR(INDEX('名簿'!$E$5:$E$49,MATCH('調整・決定'!F29,'名簿'!$P$5:$P$49,0))&lt;&gt;"",FALSE),1,2))</f>
        <v/>
      </c>
      <c r="AE29">
        <f>IF('calcA'!DS$115=0,0,IF(IFERROR(INDEX('名簿'!$E$5:$E$49,MATCH('調整・決定'!G29,'名簿'!$P$5:$P$49,0))&lt;&gt;"",FALSE),1,2))</f>
        <v/>
      </c>
      <c r="AF29">
        <f>IF('calcA'!EQ$115=0,0,IF(IFERROR(INDEX('名簿'!$E$5:$E$49,MATCH('調整・決定'!H29,'名簿'!$P$5:$P$49,0))&lt;&gt;"",FALSE),1,2))</f>
        <v/>
      </c>
    </row>
  </sheetData>
  <mergeCells count="3">
    <mergeCell ref="B3:H3"/>
    <mergeCell ref="J4:K4"/>
    <mergeCell ref="B4:H4"/>
  </mergeCells>
  <conditionalFormatting sqref="B6:B29">
    <cfRule type="expression" priority="1" dxfId="3" stopIfTrue="1">
      <formula>B6=""</formula>
    </cfRule>
  </conditionalFormatting>
  <conditionalFormatting sqref="B4:H4">
    <cfRule type="expression" priority="2" dxfId="25">
      <formula>$B$4=""</formula>
    </cfRule>
    <cfRule type="expression" priority="3" dxfId="4">
      <formula>TRUE</formula>
    </cfRule>
  </conditionalFormatting>
  <conditionalFormatting sqref="C6:H29">
    <cfRule type="expression" priority="4" dxfId="3" stopIfTrue="1">
      <formula>AA6=0</formula>
    </cfRule>
    <cfRule type="expression" priority="5" dxfId="26" stopIfTrue="1">
      <formula>AA6=1</formula>
    </cfRule>
    <cfRule type="expression" priority="6" dxfId="4">
      <formula>TRUE</formula>
    </cfRule>
  </conditionalFormatting>
  <conditionalFormatting sqref="C5:H5">
    <cfRule type="expression" priority="7" dxfId="3">
      <formula>C5=""</formula>
    </cfRule>
  </conditionalFormatting>
  <printOptions horizontalCentered="1"/>
  <pageMargins left="0.75" right="0.75" top="1" bottom="1" header="0.5" footer="0.5"/>
  <pageSetup orientation="portrait" paperSize="9" fitToHeight="1" fitToWidth="1"/>
</worksheet>
</file>

<file path=xl/worksheets/sheet9.xml><?xml version="1.0" encoding="utf-8"?>
<worksheet xmlns="http://schemas.openxmlformats.org/spreadsheetml/2006/main">
  <sheetPr>
    <tabColor rgb="001E90A0"/>
    <outlinePr summaryBelow="1" summaryRight="1"/>
    <pageSetUpPr fitToPage="1"/>
  </sheetPr>
  <dimension ref="A1:Q67"/>
  <sheetViews>
    <sheetView showGridLines="0" showRowColHeaders="0" workbookViewId="0">
      <selection activeCell="A1" sqref="A1"/>
    </sheetView>
  </sheetViews>
  <sheetFormatPr baseColWidth="8" defaultRowHeight="15"/>
  <cols>
    <col width="0.91" customWidth="1" min="1" max="1"/>
    <col width="13.65" customWidth="1" min="2" max="2"/>
    <col width="15.97" customWidth="1" min="3" max="3"/>
    <col width="15.48" customWidth="1" min="4" max="4"/>
    <col width="15.48" customWidth="1" min="5" max="5"/>
    <col width="15.48" customWidth="1" min="6" max="6"/>
    <col width="15.48" customWidth="1" min="7" max="7"/>
    <col width="15.48" customWidth="1" min="8" max="8"/>
    <col width="15" customWidth="1" min="12" max="12"/>
    <col hidden="1" width="15" customWidth="1" min="13" max="13"/>
    <col width="15" customWidth="1" min="14" max="14"/>
    <col width="15" customWidth="1" min="15" max="15"/>
    <col width="15" customWidth="1" min="16" max="16"/>
    <col width="15" customWidth="1" min="17" max="17"/>
  </cols>
  <sheetData>
    <row r="1" ht="44" customHeight="1">
      <c r="A1" s="2" t="n"/>
      <c r="B1" s="72" t="inlineStr">
        <is>
          <t>お手紙（夏）</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3">
        <f>HYPERLINK("#'自動案B'!A1","④ 自動案B")</f>
        <v/>
      </c>
      <c r="N1" s="23">
        <f>HYPERLINK("#'調整・決定'!A1","⑤ 調整・決定")</f>
        <v/>
      </c>
      <c r="O1" s="23">
        <f>HYPERLINK("#'兄弟確認用'!A1","⑥ 兄弟確認")</f>
        <v/>
      </c>
      <c r="P1" s="24">
        <f>HYPERLINK("#'お手紙（夏）'!A1","⑦ お手紙 夏")</f>
        <v/>
      </c>
      <c r="Q1" s="23">
        <f>HYPERLINK("#'お手紙（秋）'!A1","⑧ お手紙 秋")</f>
        <v/>
      </c>
    </row>
    <row r="2" ht="24" customHeight="1">
      <c r="A2" s="5" t="n"/>
      <c r="B2" s="73" t="inlineStr">
        <is>
          <t>保護者へのお知らせ（夏用：午前・午後の枠が多いときの形）。宛名・日付・本文などは「設定」のいちばん下で決めます。このまま印刷できます（A4たて）。</t>
        </is>
      </c>
      <c r="C2" s="5" t="n"/>
      <c r="D2" s="5" t="n"/>
      <c r="E2" s="5" t="n"/>
      <c r="F2" s="5" t="n"/>
      <c r="G2" s="5" t="n"/>
      <c r="H2" s="5" t="n"/>
      <c r="I2" s="5" t="n"/>
      <c r="J2" s="5" t="n"/>
      <c r="K2" s="5" t="n"/>
      <c r="L2" s="5" t="n"/>
      <c r="M2" s="5" t="n"/>
      <c r="N2" s="5" t="n"/>
      <c r="O2" s="5" t="n"/>
      <c r="P2" s="5" t="n"/>
      <c r="Q2" s="5" t="n"/>
    </row>
    <row r="3" ht="48" customHeight="1">
      <c r="B3" s="112">
        <f>IF(SUBTOTAL(103,M14:M67)&lt;&gt;COUNTIF(M14:M67,"表示"),"⚠ 設定で枠の数が変わりました。このシートで Ctrl＋Alt＋L を押してください"&amp;CHAR(10)&amp;"（押さないと、増えた時刻の行が印刷されません）","")</f>
        <v/>
      </c>
    </row>
    <row r="4" ht="26.1" customHeight="1"/>
    <row r="5" ht="18" customHeight="1">
      <c r="B5" s="113">
        <f>IF('設定'!$B$31="","　",IF(RIGHT('設定'!$B$31,1)="年",LEFT('設定'!$B$31,LEN('設定'!$B$31)-1),'設定'!$B$31))&amp;"年"&amp;IF('設定'!$B$32="","　",IF(RIGHT('設定'!$B$32,1)="組",LEFT('設定'!$B$32,LEN('設定'!$B$32)-1),'設定'!$B$32))&amp;"組"&amp;"　保護者様"</f>
        <v/>
      </c>
      <c r="F5" s="114">
        <f>IFERROR(IF('設定'!$B$35="","","令和"&amp;(YEAR('設定'!$B$35)-2018)&amp;"年"&amp;MONTH('設定'!$B$35)&amp;"月"&amp;DAY('設定'!$B$35)&amp;"日（"&amp;CHOOSE(WEEKDAY('設定'!$B$35),"日","月","火","水","木","金","土")&amp;"）"),'設定'!$B$35&amp;"")</f>
        <v/>
      </c>
    </row>
    <row r="6" ht="18" customHeight="1">
      <c r="F6" s="114">
        <f>IF('設定'!$B$34="","",'設定'!$B$34)</f>
        <v/>
      </c>
    </row>
    <row r="7" ht="18" customHeight="1">
      <c r="F7" s="114">
        <f>IF('設定'!$B$31="","　",IF(RIGHT('設定'!$B$31,1)="年",LEFT('設定'!$B$31,LEN('設定'!$B$31)-1),'設定'!$B$31))&amp;"年"&amp;IF('設定'!$B$32="","　",IF(RIGHT('設定'!$B$32,1)="組",LEFT('設定'!$B$32,LEN('設定'!$B$32)-1),'設定'!$B$32))&amp;"組"&amp;"　担任　"&amp;'設定'!$B$33</f>
        <v/>
      </c>
    </row>
    <row r="8" ht="36" customHeight="1">
      <c r="B8" s="115">
        <f>IF('設定'!$B$36="個人面談","個人面談",IF('設定'!$B$36="進路面談","進路面談",IF(OR(IF(RIGHT('設定'!$B$31,1)="年",LEFT('設定'!$B$31,LEN('設定'!$B$31)-1),'設定'!$B$31)&amp;""="6",IF(RIGHT('設定'!$B$31,1)="年",LEFT('設定'!$B$31,LEN('設定'!$B$31)-1),'設定'!$B$31)&amp;""="６"),"進路面談","個人面談")))&amp;"のお知らせ"</f>
        <v/>
      </c>
    </row>
    <row r="9" ht="18" customHeight="1"/>
    <row r="10" ht="18" customHeight="1">
      <c r="B10" s="113">
        <f>MID(SUBSTITUTE('設定'!$B$43,"【面談】",IF('設定'!$B$36="個人面談","個人面談",IF('設定'!$B$36="進路面談","進路面談",IF(OR(IF(RIGHT('設定'!$B$31,1)="年",LEFT('設定'!$B$31,LEN('設定'!$B$31)-1),'設定'!$B$31)&amp;""="6",IF(RIGHT('設定'!$B$31,1)="年",LEFT('設定'!$B$31,LEN('設定'!$B$31)-1),'設定'!$B$31)&amp;""="６"),"進路面談","個人面談")))),1,41)</f>
        <v/>
      </c>
    </row>
    <row r="11" ht="18" customHeight="1">
      <c r="B11" s="113">
        <f>MID(SUBSTITUTE('設定'!$B$43,"【面談】",IF('設定'!$B$36="個人面談","個人面談",IF('設定'!$B$36="進路面談","進路面談",IF(OR(IF(RIGHT('設定'!$B$31,1)="年",LEFT('設定'!$B$31,LEN('設定'!$B$31)-1),'設定'!$B$31)&amp;""="6",IF(RIGHT('設定'!$B$31,1)="年",LEFT('設定'!$B$31,LEN('設定'!$B$31)-1),'設定'!$B$31)&amp;""="６"),"進路面談","個人面談")))),42,41)</f>
        <v/>
      </c>
    </row>
    <row r="12" ht="18" customHeight="1">
      <c r="B12" s="116" t="inlineStr">
        <is>
          <t>記</t>
        </is>
      </c>
    </row>
    <row r="13" ht="18" customHeight="1">
      <c r="M13" t="inlineStr">
        <is>
          <t>表示</t>
        </is>
      </c>
    </row>
    <row r="14" ht="18" customHeight="1">
      <c r="B14" s="113">
        <f>IF('設定'!$B$45="","",'設定'!$B$45)</f>
        <v/>
      </c>
      <c r="M14">
        <f>IF(B14="","隠す","表示")</f>
        <v/>
      </c>
    </row>
    <row r="15" hidden="1" ht="18" customHeight="1">
      <c r="B15" s="113">
        <f>IF('設定'!$B$46="","",'設定'!$B$46)</f>
        <v/>
      </c>
      <c r="M15">
        <f>IF(B15="","隠す","表示")</f>
        <v/>
      </c>
    </row>
    <row r="16" hidden="1" ht="18" customHeight="1">
      <c r="B16" s="113">
        <f>IF('設定'!$B$47="","",'設定'!$B$47)</f>
        <v/>
      </c>
      <c r="M16">
        <f>IF(B16="","隠す","表示")</f>
        <v/>
      </c>
    </row>
    <row r="17" ht="13.7" customHeight="1">
      <c r="M17" t="inlineStr">
        <is>
          <t>表示</t>
        </is>
      </c>
    </row>
    <row r="18" ht="23.5" customHeight="1">
      <c r="C18" s="117">
        <f>SUBSTITUTE(SUBSTITUTE(SUBSTITUTE(SUBSTITUTE(SUBSTITUTE(SUBSTITUTE(SUBSTITUTE(SUBSTITUTE(SUBSTITUTE(SUBSTITUTE(SUBSTITUTE('設定'!$E$11,"0","０"),"1","１"),"2","２"),"3","３"),"4","４"),"5","５"),"6","６"),"7","７"),"8","８"),"9","９"),":","：")</f>
        <v/>
      </c>
      <c r="D18" s="117">
        <f>SUBSTITUTE(SUBSTITUTE(SUBSTITUTE(SUBSTITUTE(SUBSTITUTE(SUBSTITUTE(SUBSTITUTE(SUBSTITUTE(SUBSTITUTE(SUBSTITUTE(SUBSTITUTE('設定'!$E$12,"0","０"),"1","１"),"2","２"),"3","３"),"4","４"),"5","５"),"6","６"),"7","７"),"8","８"),"9","９"),":","：")</f>
        <v/>
      </c>
      <c r="E18" s="117">
        <f>SUBSTITUTE(SUBSTITUTE(SUBSTITUTE(SUBSTITUTE(SUBSTITUTE(SUBSTITUTE(SUBSTITUTE(SUBSTITUTE(SUBSTITUTE(SUBSTITUTE(SUBSTITUTE('設定'!$E$13,"0","０"),"1","１"),"2","２"),"3","３"),"4","４"),"5","５"),"6","６"),"7","７"),"8","８"),"9","９"),":","：")</f>
        <v/>
      </c>
      <c r="F18" s="117">
        <f>SUBSTITUTE(SUBSTITUTE(SUBSTITUTE(SUBSTITUTE(SUBSTITUTE(SUBSTITUTE(SUBSTITUTE(SUBSTITUTE(SUBSTITUTE(SUBSTITUTE(SUBSTITUTE('設定'!$E$14,"0","０"),"1","１"),"2","２"),"3","３"),"4","４"),"5","５"),"6","６"),"7","７"),"8","８"),"9","９"),":","：")</f>
        <v/>
      </c>
      <c r="G18" s="117">
        <f>SUBSTITUTE(SUBSTITUTE(SUBSTITUTE(SUBSTITUTE(SUBSTITUTE(SUBSTITUTE(SUBSTITUTE(SUBSTITUTE(SUBSTITUTE(SUBSTITUTE(SUBSTITUTE('設定'!$E$15,"0","０"),"1","１"),"2","２"),"3","３"),"4","４"),"5","５"),"6","６"),"7","７"),"8","８"),"9","９"),":","：")</f>
        <v/>
      </c>
      <c r="H18" s="117">
        <f>SUBSTITUTE(SUBSTITUTE(SUBSTITUTE(SUBSTITUTE(SUBSTITUTE(SUBSTITUTE(SUBSTITUTE(SUBSTITUTE(SUBSTITUTE(SUBSTITUTE(SUBSTITUTE('設定'!$E$16,"0","０"),"1","１"),"2","２"),"3","３"),"4","４"),"5","５"),"6","６"),"7","７"),"8","８"),"9","９"),":","：")</f>
        <v/>
      </c>
      <c r="M18" t="inlineStr">
        <is>
          <t>表示</t>
        </is>
      </c>
    </row>
    <row r="19" ht="20.9" customHeight="1">
      <c r="B19" s="117">
        <f>IFERROR(IF(INDEX('設定'!$I$11:$I$34,1)="","",SUBSTITUTE(SUBSTITUTE(SUBSTITUTE(SUBSTITUTE(SUBSTITUTE(SUBSTITUTE(SUBSTITUTE(SUBSTITUTE(SUBSTITUTE(SUBSTITUTE(SUBSTITUTE(SUBSTITUTE(INDEX('設定'!$I$11:$I$34,1),"〜",""),"0","０"),"1","１"),"2","２"),"3","３"),"4","４"),"5","５"),"6","６"),"7","７"),"8","８"),"9","９"),":","：")),"")</f>
        <v/>
      </c>
      <c r="C19" s="118">
        <f>IFERROR(IF(INDEX('調整・決定'!$C$6:$C$29,1)="","",INDEX('調整・決定'!$C$6:$C$29,1)),"")</f>
        <v/>
      </c>
      <c r="D19" s="118">
        <f>IFERROR(IF(INDEX('調整・決定'!$D$6:$D$29,1)="","",INDEX('調整・決定'!$D$6:$D$29,1)),"")</f>
        <v/>
      </c>
      <c r="E19" s="118">
        <f>IFERROR(IF(INDEX('調整・決定'!$E$6:$E$29,1)="","",INDEX('調整・決定'!$E$6:$E$29,1)),"")</f>
        <v/>
      </c>
      <c r="F19" s="118">
        <f>IFERROR(IF(INDEX('調整・決定'!$F$6:$F$29,1)="","",INDEX('調整・決定'!$F$6:$F$29,1)),"")</f>
        <v/>
      </c>
      <c r="G19" s="118">
        <f>IFERROR(IF(INDEX('調整・決定'!$G$6:$G$29,1)="","",INDEX('調整・決定'!$G$6:$G$29,1)),"")</f>
        <v/>
      </c>
      <c r="H19" s="118">
        <f>IFERROR(IF(INDEX('調整・決定'!$H$6:$H$29,1)="","",INDEX('調整・決定'!$H$6:$H$29,1)),"")</f>
        <v/>
      </c>
      <c r="M19">
        <f>IF(1&lt;=MIN(calcA!$A$3,'設定'!$B$6),"表示","隠す")</f>
        <v/>
      </c>
    </row>
    <row r="20" ht="20.9" customHeight="1">
      <c r="B20" s="117">
        <f>IFERROR(IF(INDEX('設定'!$I$11:$I$34,2)="","",SUBSTITUTE(SUBSTITUTE(SUBSTITUTE(SUBSTITUTE(SUBSTITUTE(SUBSTITUTE(SUBSTITUTE(SUBSTITUTE(SUBSTITUTE(SUBSTITUTE(SUBSTITUTE(SUBSTITUTE(INDEX('設定'!$I$11:$I$34,2),"〜",""),"0","０"),"1","１"),"2","２"),"3","３"),"4","４"),"5","５"),"6","６"),"7","７"),"8","８"),"9","９"),":","：")),"")</f>
        <v/>
      </c>
      <c r="C20" s="118">
        <f>IFERROR(IF(INDEX('調整・決定'!$C$6:$C$29,2)="","",INDEX('調整・決定'!$C$6:$C$29,2)),"")</f>
        <v/>
      </c>
      <c r="D20" s="118">
        <f>IFERROR(IF(INDEX('調整・決定'!$D$6:$D$29,2)="","",INDEX('調整・決定'!$D$6:$D$29,2)),"")</f>
        <v/>
      </c>
      <c r="E20" s="118">
        <f>IFERROR(IF(INDEX('調整・決定'!$E$6:$E$29,2)="","",INDEX('調整・決定'!$E$6:$E$29,2)),"")</f>
        <v/>
      </c>
      <c r="F20" s="118">
        <f>IFERROR(IF(INDEX('調整・決定'!$F$6:$F$29,2)="","",INDEX('調整・決定'!$F$6:$F$29,2)),"")</f>
        <v/>
      </c>
      <c r="G20" s="118">
        <f>IFERROR(IF(INDEX('調整・決定'!$G$6:$G$29,2)="","",INDEX('調整・決定'!$G$6:$G$29,2)),"")</f>
        <v/>
      </c>
      <c r="H20" s="118">
        <f>IFERROR(IF(INDEX('調整・決定'!$H$6:$H$29,2)="","",INDEX('調整・決定'!$H$6:$H$29,2)),"")</f>
        <v/>
      </c>
      <c r="M20">
        <f>IF(2&lt;=MIN(calcA!$A$3,'設定'!$B$6),"表示","隠す")</f>
        <v/>
      </c>
    </row>
    <row r="21" ht="20.9" customHeight="1">
      <c r="B21" s="117">
        <f>IFERROR(IF(INDEX('設定'!$I$11:$I$34,3)="","",SUBSTITUTE(SUBSTITUTE(SUBSTITUTE(SUBSTITUTE(SUBSTITUTE(SUBSTITUTE(SUBSTITUTE(SUBSTITUTE(SUBSTITUTE(SUBSTITUTE(SUBSTITUTE(SUBSTITUTE(INDEX('設定'!$I$11:$I$34,3),"〜",""),"0","０"),"1","１"),"2","２"),"3","３"),"4","４"),"5","５"),"6","６"),"7","７"),"8","８"),"9","９"),":","：")),"")</f>
        <v/>
      </c>
      <c r="C21" s="118">
        <f>IFERROR(IF(INDEX('調整・決定'!$C$6:$C$29,3)="","",INDEX('調整・決定'!$C$6:$C$29,3)),"")</f>
        <v/>
      </c>
      <c r="D21" s="118">
        <f>IFERROR(IF(INDEX('調整・決定'!$D$6:$D$29,3)="","",INDEX('調整・決定'!$D$6:$D$29,3)),"")</f>
        <v/>
      </c>
      <c r="E21" s="118">
        <f>IFERROR(IF(INDEX('調整・決定'!$E$6:$E$29,3)="","",INDEX('調整・決定'!$E$6:$E$29,3)),"")</f>
        <v/>
      </c>
      <c r="F21" s="118">
        <f>IFERROR(IF(INDEX('調整・決定'!$F$6:$F$29,3)="","",INDEX('調整・決定'!$F$6:$F$29,3)),"")</f>
        <v/>
      </c>
      <c r="G21" s="118">
        <f>IFERROR(IF(INDEX('調整・決定'!$G$6:$G$29,3)="","",INDEX('調整・決定'!$G$6:$G$29,3)),"")</f>
        <v/>
      </c>
      <c r="H21" s="118">
        <f>IFERROR(IF(INDEX('調整・決定'!$H$6:$H$29,3)="","",INDEX('調整・決定'!$H$6:$H$29,3)),"")</f>
        <v/>
      </c>
      <c r="M21">
        <f>IF(3&lt;=MIN(calcA!$A$3,'設定'!$B$6),"表示","隠す")</f>
        <v/>
      </c>
    </row>
    <row r="22" ht="20.9" customHeight="1">
      <c r="B22" s="117">
        <f>IFERROR(IF(INDEX('設定'!$I$11:$I$34,4)="","",SUBSTITUTE(SUBSTITUTE(SUBSTITUTE(SUBSTITUTE(SUBSTITUTE(SUBSTITUTE(SUBSTITUTE(SUBSTITUTE(SUBSTITUTE(SUBSTITUTE(SUBSTITUTE(SUBSTITUTE(INDEX('設定'!$I$11:$I$34,4),"〜",""),"0","０"),"1","１"),"2","２"),"3","３"),"4","４"),"5","５"),"6","６"),"7","７"),"8","８"),"9","９"),":","：")),"")</f>
        <v/>
      </c>
      <c r="C22" s="118">
        <f>IFERROR(IF(INDEX('調整・決定'!$C$6:$C$29,4)="","",INDEX('調整・決定'!$C$6:$C$29,4)),"")</f>
        <v/>
      </c>
      <c r="D22" s="118">
        <f>IFERROR(IF(INDEX('調整・決定'!$D$6:$D$29,4)="","",INDEX('調整・決定'!$D$6:$D$29,4)),"")</f>
        <v/>
      </c>
      <c r="E22" s="118">
        <f>IFERROR(IF(INDEX('調整・決定'!$E$6:$E$29,4)="","",INDEX('調整・決定'!$E$6:$E$29,4)),"")</f>
        <v/>
      </c>
      <c r="F22" s="118">
        <f>IFERROR(IF(INDEX('調整・決定'!$F$6:$F$29,4)="","",INDEX('調整・決定'!$F$6:$F$29,4)),"")</f>
        <v/>
      </c>
      <c r="G22" s="118">
        <f>IFERROR(IF(INDEX('調整・決定'!$G$6:$G$29,4)="","",INDEX('調整・決定'!$G$6:$G$29,4)),"")</f>
        <v/>
      </c>
      <c r="H22" s="118">
        <f>IFERROR(IF(INDEX('調整・決定'!$H$6:$H$29,4)="","",INDEX('調整・決定'!$H$6:$H$29,4)),"")</f>
        <v/>
      </c>
      <c r="M22">
        <f>IF(4&lt;=MIN(calcA!$A$3,'設定'!$B$6),"表示","隠す")</f>
        <v/>
      </c>
    </row>
    <row r="23" ht="20.9" customHeight="1">
      <c r="B23" s="117">
        <f>IFERROR(IF(INDEX('設定'!$I$11:$I$34,5)="","",SUBSTITUTE(SUBSTITUTE(SUBSTITUTE(SUBSTITUTE(SUBSTITUTE(SUBSTITUTE(SUBSTITUTE(SUBSTITUTE(SUBSTITUTE(SUBSTITUTE(SUBSTITUTE(SUBSTITUTE(INDEX('設定'!$I$11:$I$34,5),"〜",""),"0","０"),"1","１"),"2","２"),"3","３"),"4","４"),"5","５"),"6","６"),"7","７"),"8","８"),"9","９"),":","：")),"")</f>
        <v/>
      </c>
      <c r="C23" s="118">
        <f>IFERROR(IF(INDEX('調整・決定'!$C$6:$C$29,5)="","",INDEX('調整・決定'!$C$6:$C$29,5)),"")</f>
        <v/>
      </c>
      <c r="D23" s="118">
        <f>IFERROR(IF(INDEX('調整・決定'!$D$6:$D$29,5)="","",INDEX('調整・決定'!$D$6:$D$29,5)),"")</f>
        <v/>
      </c>
      <c r="E23" s="118">
        <f>IFERROR(IF(INDEX('調整・決定'!$E$6:$E$29,5)="","",INDEX('調整・決定'!$E$6:$E$29,5)),"")</f>
        <v/>
      </c>
      <c r="F23" s="118">
        <f>IFERROR(IF(INDEX('調整・決定'!$F$6:$F$29,5)="","",INDEX('調整・決定'!$F$6:$F$29,5)),"")</f>
        <v/>
      </c>
      <c r="G23" s="118">
        <f>IFERROR(IF(INDEX('調整・決定'!$G$6:$G$29,5)="","",INDEX('調整・決定'!$G$6:$G$29,5)),"")</f>
        <v/>
      </c>
      <c r="H23" s="118">
        <f>IFERROR(IF(INDEX('調整・決定'!$H$6:$H$29,5)="","",INDEX('調整・決定'!$H$6:$H$29,5)),"")</f>
        <v/>
      </c>
      <c r="M23">
        <f>IF(5&lt;=MIN(calcA!$A$3,'設定'!$B$6),"表示","隠す")</f>
        <v/>
      </c>
    </row>
    <row r="24" ht="20.9" customHeight="1">
      <c r="B24" s="117">
        <f>IFERROR(IF(INDEX('設定'!$I$11:$I$34,6)="","",SUBSTITUTE(SUBSTITUTE(SUBSTITUTE(SUBSTITUTE(SUBSTITUTE(SUBSTITUTE(SUBSTITUTE(SUBSTITUTE(SUBSTITUTE(SUBSTITUTE(SUBSTITUTE(SUBSTITUTE(INDEX('設定'!$I$11:$I$34,6),"〜",""),"0","０"),"1","１"),"2","２"),"3","３"),"4","４"),"5","５"),"6","６"),"7","７"),"8","８"),"9","９"),":","：")),"")</f>
        <v/>
      </c>
      <c r="C24" s="118">
        <f>IFERROR(IF(INDEX('調整・決定'!$C$6:$C$29,6)="","",INDEX('調整・決定'!$C$6:$C$29,6)),"")</f>
        <v/>
      </c>
      <c r="D24" s="118">
        <f>IFERROR(IF(INDEX('調整・決定'!$D$6:$D$29,6)="","",INDEX('調整・決定'!$D$6:$D$29,6)),"")</f>
        <v/>
      </c>
      <c r="E24" s="118">
        <f>IFERROR(IF(INDEX('調整・決定'!$E$6:$E$29,6)="","",INDEX('調整・決定'!$E$6:$E$29,6)),"")</f>
        <v/>
      </c>
      <c r="F24" s="118">
        <f>IFERROR(IF(INDEX('調整・決定'!$F$6:$F$29,6)="","",INDEX('調整・決定'!$F$6:$F$29,6)),"")</f>
        <v/>
      </c>
      <c r="G24" s="118">
        <f>IFERROR(IF(INDEX('調整・決定'!$G$6:$G$29,6)="","",INDEX('調整・決定'!$G$6:$G$29,6)),"")</f>
        <v/>
      </c>
      <c r="H24" s="118">
        <f>IFERROR(IF(INDEX('調整・決定'!$H$6:$H$29,6)="","",INDEX('調整・決定'!$H$6:$H$29,6)),"")</f>
        <v/>
      </c>
      <c r="M24">
        <f>IF(6&lt;=MIN(calcA!$A$3,'設定'!$B$6),"表示","隠す")</f>
        <v/>
      </c>
    </row>
    <row r="25" ht="20.9" customHeight="1">
      <c r="B25" s="117">
        <f>IFERROR(IF(INDEX('設定'!$I$11:$I$34,7)="","",SUBSTITUTE(SUBSTITUTE(SUBSTITUTE(SUBSTITUTE(SUBSTITUTE(SUBSTITUTE(SUBSTITUTE(SUBSTITUTE(SUBSTITUTE(SUBSTITUTE(SUBSTITUTE(SUBSTITUTE(INDEX('設定'!$I$11:$I$34,7),"〜",""),"0","０"),"1","１"),"2","２"),"3","３"),"4","４"),"5","５"),"6","６"),"7","７"),"8","８"),"9","９"),":","：")),"")</f>
        <v/>
      </c>
      <c r="C25" s="118">
        <f>IFERROR(IF(INDEX('調整・決定'!$C$6:$C$29,7)="","",INDEX('調整・決定'!$C$6:$C$29,7)),"")</f>
        <v/>
      </c>
      <c r="D25" s="118">
        <f>IFERROR(IF(INDEX('調整・決定'!$D$6:$D$29,7)="","",INDEX('調整・決定'!$D$6:$D$29,7)),"")</f>
        <v/>
      </c>
      <c r="E25" s="118">
        <f>IFERROR(IF(INDEX('調整・決定'!$E$6:$E$29,7)="","",INDEX('調整・決定'!$E$6:$E$29,7)),"")</f>
        <v/>
      </c>
      <c r="F25" s="118">
        <f>IFERROR(IF(INDEX('調整・決定'!$F$6:$F$29,7)="","",INDEX('調整・決定'!$F$6:$F$29,7)),"")</f>
        <v/>
      </c>
      <c r="G25" s="118">
        <f>IFERROR(IF(INDEX('調整・決定'!$G$6:$G$29,7)="","",INDEX('調整・決定'!$G$6:$G$29,7)),"")</f>
        <v/>
      </c>
      <c r="H25" s="118">
        <f>IFERROR(IF(INDEX('調整・決定'!$H$6:$H$29,7)="","",INDEX('調整・決定'!$H$6:$H$29,7)),"")</f>
        <v/>
      </c>
      <c r="M25">
        <f>IF(7&lt;=MIN(calcA!$A$3,'設定'!$B$6),"表示","隠す")</f>
        <v/>
      </c>
    </row>
    <row r="26" ht="20.9" customHeight="1">
      <c r="B26" s="117">
        <f>IFERROR(IF(INDEX('設定'!$I$11:$I$34,8)="","",SUBSTITUTE(SUBSTITUTE(SUBSTITUTE(SUBSTITUTE(SUBSTITUTE(SUBSTITUTE(SUBSTITUTE(SUBSTITUTE(SUBSTITUTE(SUBSTITUTE(SUBSTITUTE(SUBSTITUTE(INDEX('設定'!$I$11:$I$34,8),"〜",""),"0","０"),"1","１"),"2","２"),"3","３"),"4","４"),"5","５"),"6","６"),"7","７"),"8","８"),"9","９"),":","：")),"")</f>
        <v/>
      </c>
      <c r="C26" s="118">
        <f>IFERROR(IF(INDEX('調整・決定'!$C$6:$C$29,8)="","",INDEX('調整・決定'!$C$6:$C$29,8)),"")</f>
        <v/>
      </c>
      <c r="D26" s="118">
        <f>IFERROR(IF(INDEX('調整・決定'!$D$6:$D$29,8)="","",INDEX('調整・決定'!$D$6:$D$29,8)),"")</f>
        <v/>
      </c>
      <c r="E26" s="118">
        <f>IFERROR(IF(INDEX('調整・決定'!$E$6:$E$29,8)="","",INDEX('調整・決定'!$E$6:$E$29,8)),"")</f>
        <v/>
      </c>
      <c r="F26" s="118">
        <f>IFERROR(IF(INDEX('調整・決定'!$F$6:$F$29,8)="","",INDEX('調整・決定'!$F$6:$F$29,8)),"")</f>
        <v/>
      </c>
      <c r="G26" s="118">
        <f>IFERROR(IF(INDEX('調整・決定'!$G$6:$G$29,8)="","",INDEX('調整・決定'!$G$6:$G$29,8)),"")</f>
        <v/>
      </c>
      <c r="H26" s="118">
        <f>IFERROR(IF(INDEX('調整・決定'!$H$6:$H$29,8)="","",INDEX('調整・決定'!$H$6:$H$29,8)),"")</f>
        <v/>
      </c>
      <c r="M26">
        <f>IF(8&lt;=MIN(calcA!$A$3,'設定'!$B$6),"表示","隠す")</f>
        <v/>
      </c>
    </row>
    <row r="27" ht="20.9" customHeight="1">
      <c r="B27" s="117">
        <f>IFERROR(IF(INDEX('設定'!$I$11:$I$34,9)="","",SUBSTITUTE(SUBSTITUTE(SUBSTITUTE(SUBSTITUTE(SUBSTITUTE(SUBSTITUTE(SUBSTITUTE(SUBSTITUTE(SUBSTITUTE(SUBSTITUTE(SUBSTITUTE(SUBSTITUTE(INDEX('設定'!$I$11:$I$34,9),"〜",""),"0","０"),"1","１"),"2","２"),"3","３"),"4","４"),"5","５"),"6","６"),"7","７"),"8","８"),"9","９"),":","：")),"")</f>
        <v/>
      </c>
      <c r="C27" s="118">
        <f>IFERROR(IF(INDEX('調整・決定'!$C$6:$C$29,9)="","",INDEX('調整・決定'!$C$6:$C$29,9)),"")</f>
        <v/>
      </c>
      <c r="D27" s="118">
        <f>IFERROR(IF(INDEX('調整・決定'!$D$6:$D$29,9)="","",INDEX('調整・決定'!$D$6:$D$29,9)),"")</f>
        <v/>
      </c>
      <c r="E27" s="118">
        <f>IFERROR(IF(INDEX('調整・決定'!$E$6:$E$29,9)="","",INDEX('調整・決定'!$E$6:$E$29,9)),"")</f>
        <v/>
      </c>
      <c r="F27" s="118">
        <f>IFERROR(IF(INDEX('調整・決定'!$F$6:$F$29,9)="","",INDEX('調整・決定'!$F$6:$F$29,9)),"")</f>
        <v/>
      </c>
      <c r="G27" s="118">
        <f>IFERROR(IF(INDEX('調整・決定'!$G$6:$G$29,9)="","",INDEX('調整・決定'!$G$6:$G$29,9)),"")</f>
        <v/>
      </c>
      <c r="H27" s="118">
        <f>IFERROR(IF(INDEX('調整・決定'!$H$6:$H$29,9)="","",INDEX('調整・決定'!$H$6:$H$29,9)),"")</f>
        <v/>
      </c>
      <c r="M27">
        <f>IF(9&lt;=MIN(calcA!$A$3,'設定'!$B$6),"表示","隠す")</f>
        <v/>
      </c>
    </row>
    <row r="28" hidden="1" ht="20.9" customHeight="1">
      <c r="B28" s="117">
        <f>IFERROR(IF(INDEX('設定'!$I$11:$I$34,10)="","",SUBSTITUTE(SUBSTITUTE(SUBSTITUTE(SUBSTITUTE(SUBSTITUTE(SUBSTITUTE(SUBSTITUTE(SUBSTITUTE(SUBSTITUTE(SUBSTITUTE(SUBSTITUTE(SUBSTITUTE(INDEX('設定'!$I$11:$I$34,10),"〜",""),"0","０"),"1","１"),"2","２"),"3","３"),"4","４"),"5","５"),"6","６"),"7","７"),"8","８"),"9","９"),":","：")),"")</f>
        <v/>
      </c>
      <c r="C28" s="118">
        <f>IFERROR(IF(INDEX('調整・決定'!$C$6:$C$29,10)="","",INDEX('調整・決定'!$C$6:$C$29,10)),"")</f>
        <v/>
      </c>
      <c r="D28" s="118">
        <f>IFERROR(IF(INDEX('調整・決定'!$D$6:$D$29,10)="","",INDEX('調整・決定'!$D$6:$D$29,10)),"")</f>
        <v/>
      </c>
      <c r="E28" s="118">
        <f>IFERROR(IF(INDEX('調整・決定'!$E$6:$E$29,10)="","",INDEX('調整・決定'!$E$6:$E$29,10)),"")</f>
        <v/>
      </c>
      <c r="F28" s="118">
        <f>IFERROR(IF(INDEX('調整・決定'!$F$6:$F$29,10)="","",INDEX('調整・決定'!$F$6:$F$29,10)),"")</f>
        <v/>
      </c>
      <c r="G28" s="118">
        <f>IFERROR(IF(INDEX('調整・決定'!$G$6:$G$29,10)="","",INDEX('調整・決定'!$G$6:$G$29,10)),"")</f>
        <v/>
      </c>
      <c r="H28" s="118">
        <f>IFERROR(IF(INDEX('調整・決定'!$H$6:$H$29,10)="","",INDEX('調整・決定'!$H$6:$H$29,10)),"")</f>
        <v/>
      </c>
      <c r="M28">
        <f>IF(10&lt;=MIN(calcA!$A$3,'設定'!$B$6),"表示","隠す")</f>
        <v/>
      </c>
    </row>
    <row r="29" hidden="1" ht="20.9" customHeight="1">
      <c r="B29" s="117">
        <f>IFERROR(IF(INDEX('設定'!$I$11:$I$34,11)="","",SUBSTITUTE(SUBSTITUTE(SUBSTITUTE(SUBSTITUTE(SUBSTITUTE(SUBSTITUTE(SUBSTITUTE(SUBSTITUTE(SUBSTITUTE(SUBSTITUTE(SUBSTITUTE(SUBSTITUTE(INDEX('設定'!$I$11:$I$34,11),"〜",""),"0","０"),"1","１"),"2","２"),"3","３"),"4","４"),"5","５"),"6","６"),"7","７"),"8","８"),"9","９"),":","：")),"")</f>
        <v/>
      </c>
      <c r="C29" s="118">
        <f>IFERROR(IF(INDEX('調整・決定'!$C$6:$C$29,11)="","",INDEX('調整・決定'!$C$6:$C$29,11)),"")</f>
        <v/>
      </c>
      <c r="D29" s="118">
        <f>IFERROR(IF(INDEX('調整・決定'!$D$6:$D$29,11)="","",INDEX('調整・決定'!$D$6:$D$29,11)),"")</f>
        <v/>
      </c>
      <c r="E29" s="118">
        <f>IFERROR(IF(INDEX('調整・決定'!$E$6:$E$29,11)="","",INDEX('調整・決定'!$E$6:$E$29,11)),"")</f>
        <v/>
      </c>
      <c r="F29" s="118">
        <f>IFERROR(IF(INDEX('調整・決定'!$F$6:$F$29,11)="","",INDEX('調整・決定'!$F$6:$F$29,11)),"")</f>
        <v/>
      </c>
      <c r="G29" s="118">
        <f>IFERROR(IF(INDEX('調整・決定'!$G$6:$G$29,11)="","",INDEX('調整・決定'!$G$6:$G$29,11)),"")</f>
        <v/>
      </c>
      <c r="H29" s="118">
        <f>IFERROR(IF(INDEX('調整・決定'!$H$6:$H$29,11)="","",INDEX('調整・決定'!$H$6:$H$29,11)),"")</f>
        <v/>
      </c>
      <c r="M29">
        <f>IF(11&lt;=MIN(calcA!$A$3,'設定'!$B$6),"表示","隠す")</f>
        <v/>
      </c>
    </row>
    <row r="30" hidden="1" ht="20.9" customHeight="1">
      <c r="B30" s="117">
        <f>IFERROR(IF(INDEX('設定'!$I$11:$I$34,12)="","",SUBSTITUTE(SUBSTITUTE(SUBSTITUTE(SUBSTITUTE(SUBSTITUTE(SUBSTITUTE(SUBSTITUTE(SUBSTITUTE(SUBSTITUTE(SUBSTITUTE(SUBSTITUTE(SUBSTITUTE(INDEX('設定'!$I$11:$I$34,12),"〜",""),"0","０"),"1","１"),"2","２"),"3","３"),"4","４"),"5","５"),"6","６"),"7","７"),"8","８"),"9","９"),":","：")),"")</f>
        <v/>
      </c>
      <c r="C30" s="118">
        <f>IFERROR(IF(INDEX('調整・決定'!$C$6:$C$29,12)="","",INDEX('調整・決定'!$C$6:$C$29,12)),"")</f>
        <v/>
      </c>
      <c r="D30" s="118">
        <f>IFERROR(IF(INDEX('調整・決定'!$D$6:$D$29,12)="","",INDEX('調整・決定'!$D$6:$D$29,12)),"")</f>
        <v/>
      </c>
      <c r="E30" s="118">
        <f>IFERROR(IF(INDEX('調整・決定'!$E$6:$E$29,12)="","",INDEX('調整・決定'!$E$6:$E$29,12)),"")</f>
        <v/>
      </c>
      <c r="F30" s="118">
        <f>IFERROR(IF(INDEX('調整・決定'!$F$6:$F$29,12)="","",INDEX('調整・決定'!$F$6:$F$29,12)),"")</f>
        <v/>
      </c>
      <c r="G30" s="118">
        <f>IFERROR(IF(INDEX('調整・決定'!$G$6:$G$29,12)="","",INDEX('調整・決定'!$G$6:$G$29,12)),"")</f>
        <v/>
      </c>
      <c r="H30" s="118">
        <f>IFERROR(IF(INDEX('調整・決定'!$H$6:$H$29,12)="","",INDEX('調整・決定'!$H$6:$H$29,12)),"")</f>
        <v/>
      </c>
      <c r="M30">
        <f>IF(12&lt;=MIN(calcA!$A$3,'設定'!$B$6),"表示","隠す")</f>
        <v/>
      </c>
    </row>
    <row r="31" hidden="1" ht="20.9" customHeight="1">
      <c r="B31" s="117">
        <f>IFERROR(IF(INDEX('設定'!$I$11:$I$34,13)="","",SUBSTITUTE(SUBSTITUTE(SUBSTITUTE(SUBSTITUTE(SUBSTITUTE(SUBSTITUTE(SUBSTITUTE(SUBSTITUTE(SUBSTITUTE(SUBSTITUTE(SUBSTITUTE(SUBSTITUTE(INDEX('設定'!$I$11:$I$34,13),"〜",""),"0","０"),"1","１"),"2","２"),"3","３"),"4","４"),"5","５"),"6","６"),"7","７"),"8","８"),"9","９"),":","：")),"")</f>
        <v/>
      </c>
      <c r="C31" s="118">
        <f>IFERROR(IF(INDEX('調整・決定'!$C$6:$C$29,13)="","",INDEX('調整・決定'!$C$6:$C$29,13)),"")</f>
        <v/>
      </c>
      <c r="D31" s="118">
        <f>IFERROR(IF(INDEX('調整・決定'!$D$6:$D$29,13)="","",INDEX('調整・決定'!$D$6:$D$29,13)),"")</f>
        <v/>
      </c>
      <c r="E31" s="118">
        <f>IFERROR(IF(INDEX('調整・決定'!$E$6:$E$29,13)="","",INDEX('調整・決定'!$E$6:$E$29,13)),"")</f>
        <v/>
      </c>
      <c r="F31" s="118">
        <f>IFERROR(IF(INDEX('調整・決定'!$F$6:$F$29,13)="","",INDEX('調整・決定'!$F$6:$F$29,13)),"")</f>
        <v/>
      </c>
      <c r="G31" s="118">
        <f>IFERROR(IF(INDEX('調整・決定'!$G$6:$G$29,13)="","",INDEX('調整・決定'!$G$6:$G$29,13)),"")</f>
        <v/>
      </c>
      <c r="H31" s="118">
        <f>IFERROR(IF(INDEX('調整・決定'!$H$6:$H$29,13)="","",INDEX('調整・決定'!$H$6:$H$29,13)),"")</f>
        <v/>
      </c>
      <c r="M31">
        <f>IF(13&lt;=MIN(calcA!$A$3,'設定'!$B$6),"表示","隠す")</f>
        <v/>
      </c>
    </row>
    <row r="32" hidden="1" ht="20.9" customHeight="1">
      <c r="B32" s="117">
        <f>IFERROR(IF(INDEX('設定'!$I$11:$I$34,14)="","",SUBSTITUTE(SUBSTITUTE(SUBSTITUTE(SUBSTITUTE(SUBSTITUTE(SUBSTITUTE(SUBSTITUTE(SUBSTITUTE(SUBSTITUTE(SUBSTITUTE(SUBSTITUTE(SUBSTITUTE(INDEX('設定'!$I$11:$I$34,14),"〜",""),"0","０"),"1","１"),"2","２"),"3","３"),"4","４"),"5","５"),"6","６"),"7","７"),"8","８"),"9","９"),":","：")),"")</f>
        <v/>
      </c>
      <c r="C32" s="118">
        <f>IFERROR(IF(INDEX('調整・決定'!$C$6:$C$29,14)="","",INDEX('調整・決定'!$C$6:$C$29,14)),"")</f>
        <v/>
      </c>
      <c r="D32" s="118">
        <f>IFERROR(IF(INDEX('調整・決定'!$D$6:$D$29,14)="","",INDEX('調整・決定'!$D$6:$D$29,14)),"")</f>
        <v/>
      </c>
      <c r="E32" s="118">
        <f>IFERROR(IF(INDEX('調整・決定'!$E$6:$E$29,14)="","",INDEX('調整・決定'!$E$6:$E$29,14)),"")</f>
        <v/>
      </c>
      <c r="F32" s="118">
        <f>IFERROR(IF(INDEX('調整・決定'!$F$6:$F$29,14)="","",INDEX('調整・決定'!$F$6:$F$29,14)),"")</f>
        <v/>
      </c>
      <c r="G32" s="118">
        <f>IFERROR(IF(INDEX('調整・決定'!$G$6:$G$29,14)="","",INDEX('調整・決定'!$G$6:$G$29,14)),"")</f>
        <v/>
      </c>
      <c r="H32" s="118">
        <f>IFERROR(IF(INDEX('調整・決定'!$H$6:$H$29,14)="","",INDEX('調整・決定'!$H$6:$H$29,14)),"")</f>
        <v/>
      </c>
      <c r="M32">
        <f>IF(14&lt;=MIN(calcA!$A$3,'設定'!$B$6),"表示","隠す")</f>
        <v/>
      </c>
    </row>
    <row r="33" hidden="1" ht="20.9" customHeight="1">
      <c r="B33" s="117">
        <f>IFERROR(IF(INDEX('設定'!$I$11:$I$34,15)="","",SUBSTITUTE(SUBSTITUTE(SUBSTITUTE(SUBSTITUTE(SUBSTITUTE(SUBSTITUTE(SUBSTITUTE(SUBSTITUTE(SUBSTITUTE(SUBSTITUTE(SUBSTITUTE(SUBSTITUTE(INDEX('設定'!$I$11:$I$34,15),"〜",""),"0","０"),"1","１"),"2","２"),"3","３"),"4","４"),"5","５"),"6","６"),"7","７"),"8","８"),"9","９"),":","：")),"")</f>
        <v/>
      </c>
      <c r="C33" s="118">
        <f>IFERROR(IF(INDEX('調整・決定'!$C$6:$C$29,15)="","",INDEX('調整・決定'!$C$6:$C$29,15)),"")</f>
        <v/>
      </c>
      <c r="D33" s="118">
        <f>IFERROR(IF(INDEX('調整・決定'!$D$6:$D$29,15)="","",INDEX('調整・決定'!$D$6:$D$29,15)),"")</f>
        <v/>
      </c>
      <c r="E33" s="118">
        <f>IFERROR(IF(INDEX('調整・決定'!$E$6:$E$29,15)="","",INDEX('調整・決定'!$E$6:$E$29,15)),"")</f>
        <v/>
      </c>
      <c r="F33" s="118">
        <f>IFERROR(IF(INDEX('調整・決定'!$F$6:$F$29,15)="","",INDEX('調整・決定'!$F$6:$F$29,15)),"")</f>
        <v/>
      </c>
      <c r="G33" s="118">
        <f>IFERROR(IF(INDEX('調整・決定'!$G$6:$G$29,15)="","",INDEX('調整・決定'!$G$6:$G$29,15)),"")</f>
        <v/>
      </c>
      <c r="H33" s="118">
        <f>IFERROR(IF(INDEX('調整・決定'!$H$6:$H$29,15)="","",INDEX('調整・決定'!$H$6:$H$29,15)),"")</f>
        <v/>
      </c>
      <c r="M33">
        <f>IF(15&lt;=MIN(calcA!$A$3,'設定'!$B$6),"表示","隠す")</f>
        <v/>
      </c>
    </row>
    <row r="34" hidden="1" ht="20.9" customHeight="1">
      <c r="B34" s="117">
        <f>IFERROR(IF(INDEX('設定'!$I$11:$I$34,16)="","",SUBSTITUTE(SUBSTITUTE(SUBSTITUTE(SUBSTITUTE(SUBSTITUTE(SUBSTITUTE(SUBSTITUTE(SUBSTITUTE(SUBSTITUTE(SUBSTITUTE(SUBSTITUTE(SUBSTITUTE(INDEX('設定'!$I$11:$I$34,16),"〜",""),"0","０"),"1","１"),"2","２"),"3","３"),"4","４"),"5","５"),"6","６"),"7","７"),"8","８"),"9","９"),":","：")),"")</f>
        <v/>
      </c>
      <c r="C34" s="118">
        <f>IFERROR(IF(INDEX('調整・決定'!$C$6:$C$29,16)="","",INDEX('調整・決定'!$C$6:$C$29,16)),"")</f>
        <v/>
      </c>
      <c r="D34" s="118">
        <f>IFERROR(IF(INDEX('調整・決定'!$D$6:$D$29,16)="","",INDEX('調整・決定'!$D$6:$D$29,16)),"")</f>
        <v/>
      </c>
      <c r="E34" s="118">
        <f>IFERROR(IF(INDEX('調整・決定'!$E$6:$E$29,16)="","",INDEX('調整・決定'!$E$6:$E$29,16)),"")</f>
        <v/>
      </c>
      <c r="F34" s="118">
        <f>IFERROR(IF(INDEX('調整・決定'!$F$6:$F$29,16)="","",INDEX('調整・決定'!$F$6:$F$29,16)),"")</f>
        <v/>
      </c>
      <c r="G34" s="118">
        <f>IFERROR(IF(INDEX('調整・決定'!$G$6:$G$29,16)="","",INDEX('調整・決定'!$G$6:$G$29,16)),"")</f>
        <v/>
      </c>
      <c r="H34" s="118">
        <f>IFERROR(IF(INDEX('調整・決定'!$H$6:$H$29,16)="","",INDEX('調整・決定'!$H$6:$H$29,16)),"")</f>
        <v/>
      </c>
      <c r="M34">
        <f>IF(16&lt;=MIN(calcA!$A$3,'設定'!$B$6),"表示","隠す")</f>
        <v/>
      </c>
    </row>
    <row r="35" hidden="1" ht="20.9" customHeight="1">
      <c r="B35" s="117">
        <f>IFERROR(IF(INDEX('設定'!$I$11:$I$34,17)="","",SUBSTITUTE(SUBSTITUTE(SUBSTITUTE(SUBSTITUTE(SUBSTITUTE(SUBSTITUTE(SUBSTITUTE(SUBSTITUTE(SUBSTITUTE(SUBSTITUTE(SUBSTITUTE(SUBSTITUTE(INDEX('設定'!$I$11:$I$34,17),"〜",""),"0","０"),"1","１"),"2","２"),"3","３"),"4","４"),"5","５"),"6","６"),"7","７"),"8","８"),"9","９"),":","：")),"")</f>
        <v/>
      </c>
      <c r="C35" s="118">
        <f>IFERROR(IF(INDEX('調整・決定'!$C$6:$C$29,17)="","",INDEX('調整・決定'!$C$6:$C$29,17)),"")</f>
        <v/>
      </c>
      <c r="D35" s="118">
        <f>IFERROR(IF(INDEX('調整・決定'!$D$6:$D$29,17)="","",INDEX('調整・決定'!$D$6:$D$29,17)),"")</f>
        <v/>
      </c>
      <c r="E35" s="118">
        <f>IFERROR(IF(INDEX('調整・決定'!$E$6:$E$29,17)="","",INDEX('調整・決定'!$E$6:$E$29,17)),"")</f>
        <v/>
      </c>
      <c r="F35" s="118">
        <f>IFERROR(IF(INDEX('調整・決定'!$F$6:$F$29,17)="","",INDEX('調整・決定'!$F$6:$F$29,17)),"")</f>
        <v/>
      </c>
      <c r="G35" s="118">
        <f>IFERROR(IF(INDEX('調整・決定'!$G$6:$G$29,17)="","",INDEX('調整・決定'!$G$6:$G$29,17)),"")</f>
        <v/>
      </c>
      <c r="H35" s="118">
        <f>IFERROR(IF(INDEX('調整・決定'!$H$6:$H$29,17)="","",INDEX('調整・決定'!$H$6:$H$29,17)),"")</f>
        <v/>
      </c>
      <c r="M35">
        <f>IF(17&lt;=MIN(calcA!$A$3,'設定'!$B$6),"表示","隠す")</f>
        <v/>
      </c>
    </row>
    <row r="36" hidden="1" ht="20.9" customHeight="1">
      <c r="B36" s="117">
        <f>IFERROR(IF(INDEX('設定'!$I$11:$I$34,18)="","",SUBSTITUTE(SUBSTITUTE(SUBSTITUTE(SUBSTITUTE(SUBSTITUTE(SUBSTITUTE(SUBSTITUTE(SUBSTITUTE(SUBSTITUTE(SUBSTITUTE(SUBSTITUTE(SUBSTITUTE(INDEX('設定'!$I$11:$I$34,18),"〜",""),"0","０"),"1","１"),"2","２"),"3","３"),"4","４"),"5","５"),"6","６"),"7","７"),"8","８"),"9","９"),":","：")),"")</f>
        <v/>
      </c>
      <c r="C36" s="118">
        <f>IFERROR(IF(INDEX('調整・決定'!$C$6:$C$29,18)="","",INDEX('調整・決定'!$C$6:$C$29,18)),"")</f>
        <v/>
      </c>
      <c r="D36" s="118">
        <f>IFERROR(IF(INDEX('調整・決定'!$D$6:$D$29,18)="","",INDEX('調整・決定'!$D$6:$D$29,18)),"")</f>
        <v/>
      </c>
      <c r="E36" s="118">
        <f>IFERROR(IF(INDEX('調整・決定'!$E$6:$E$29,18)="","",INDEX('調整・決定'!$E$6:$E$29,18)),"")</f>
        <v/>
      </c>
      <c r="F36" s="118">
        <f>IFERROR(IF(INDEX('調整・決定'!$F$6:$F$29,18)="","",INDEX('調整・決定'!$F$6:$F$29,18)),"")</f>
        <v/>
      </c>
      <c r="G36" s="118">
        <f>IFERROR(IF(INDEX('調整・決定'!$G$6:$G$29,18)="","",INDEX('調整・決定'!$G$6:$G$29,18)),"")</f>
        <v/>
      </c>
      <c r="H36" s="118">
        <f>IFERROR(IF(INDEX('調整・決定'!$H$6:$H$29,18)="","",INDEX('調整・決定'!$H$6:$H$29,18)),"")</f>
        <v/>
      </c>
      <c r="M36">
        <f>IF(18&lt;=MIN(calcA!$A$3,'設定'!$B$6),"表示","隠す")</f>
        <v/>
      </c>
    </row>
    <row r="37" hidden="1" ht="20.9" customHeight="1">
      <c r="B37" s="117">
        <f>IFERROR(IF(INDEX('設定'!$I$11:$I$34,19)="","",SUBSTITUTE(SUBSTITUTE(SUBSTITUTE(SUBSTITUTE(SUBSTITUTE(SUBSTITUTE(SUBSTITUTE(SUBSTITUTE(SUBSTITUTE(SUBSTITUTE(SUBSTITUTE(SUBSTITUTE(INDEX('設定'!$I$11:$I$34,19),"〜",""),"0","０"),"1","１"),"2","２"),"3","３"),"4","４"),"5","５"),"6","６"),"7","７"),"8","８"),"9","９"),":","：")),"")</f>
        <v/>
      </c>
      <c r="C37" s="118">
        <f>IFERROR(IF(INDEX('調整・決定'!$C$6:$C$29,19)="","",INDEX('調整・決定'!$C$6:$C$29,19)),"")</f>
        <v/>
      </c>
      <c r="D37" s="118">
        <f>IFERROR(IF(INDEX('調整・決定'!$D$6:$D$29,19)="","",INDEX('調整・決定'!$D$6:$D$29,19)),"")</f>
        <v/>
      </c>
      <c r="E37" s="118">
        <f>IFERROR(IF(INDEX('調整・決定'!$E$6:$E$29,19)="","",INDEX('調整・決定'!$E$6:$E$29,19)),"")</f>
        <v/>
      </c>
      <c r="F37" s="118">
        <f>IFERROR(IF(INDEX('調整・決定'!$F$6:$F$29,19)="","",INDEX('調整・決定'!$F$6:$F$29,19)),"")</f>
        <v/>
      </c>
      <c r="G37" s="118">
        <f>IFERROR(IF(INDEX('調整・決定'!$G$6:$G$29,19)="","",INDEX('調整・決定'!$G$6:$G$29,19)),"")</f>
        <v/>
      </c>
      <c r="H37" s="118">
        <f>IFERROR(IF(INDEX('調整・決定'!$H$6:$H$29,19)="","",INDEX('調整・決定'!$H$6:$H$29,19)),"")</f>
        <v/>
      </c>
      <c r="M37">
        <f>IF(19&lt;=MIN(calcA!$A$3,'設定'!$B$6),"表示","隠す")</f>
        <v/>
      </c>
    </row>
    <row r="38" hidden="1" ht="20.9" customHeight="1">
      <c r="B38" s="117">
        <f>IFERROR(IF(INDEX('設定'!$I$11:$I$34,20)="","",SUBSTITUTE(SUBSTITUTE(SUBSTITUTE(SUBSTITUTE(SUBSTITUTE(SUBSTITUTE(SUBSTITUTE(SUBSTITUTE(SUBSTITUTE(SUBSTITUTE(SUBSTITUTE(SUBSTITUTE(INDEX('設定'!$I$11:$I$34,20),"〜",""),"0","０"),"1","１"),"2","２"),"3","３"),"4","４"),"5","５"),"6","６"),"7","７"),"8","８"),"9","９"),":","：")),"")</f>
        <v/>
      </c>
      <c r="C38" s="118">
        <f>IFERROR(IF(INDEX('調整・決定'!$C$6:$C$29,20)="","",INDEX('調整・決定'!$C$6:$C$29,20)),"")</f>
        <v/>
      </c>
      <c r="D38" s="118">
        <f>IFERROR(IF(INDEX('調整・決定'!$D$6:$D$29,20)="","",INDEX('調整・決定'!$D$6:$D$29,20)),"")</f>
        <v/>
      </c>
      <c r="E38" s="118">
        <f>IFERROR(IF(INDEX('調整・決定'!$E$6:$E$29,20)="","",INDEX('調整・決定'!$E$6:$E$29,20)),"")</f>
        <v/>
      </c>
      <c r="F38" s="118">
        <f>IFERROR(IF(INDEX('調整・決定'!$F$6:$F$29,20)="","",INDEX('調整・決定'!$F$6:$F$29,20)),"")</f>
        <v/>
      </c>
      <c r="G38" s="118">
        <f>IFERROR(IF(INDEX('調整・決定'!$G$6:$G$29,20)="","",INDEX('調整・決定'!$G$6:$G$29,20)),"")</f>
        <v/>
      </c>
      <c r="H38" s="118">
        <f>IFERROR(IF(INDEX('調整・決定'!$H$6:$H$29,20)="","",INDEX('調整・決定'!$H$6:$H$29,20)),"")</f>
        <v/>
      </c>
      <c r="M38">
        <f>IF(20&lt;=MIN(calcA!$A$3,'設定'!$B$6),"表示","隠す")</f>
        <v/>
      </c>
    </row>
    <row r="39" hidden="1" ht="20.9" customHeight="1">
      <c r="B39" s="117">
        <f>IFERROR(IF(INDEX('設定'!$I$11:$I$34,21)="","",SUBSTITUTE(SUBSTITUTE(SUBSTITUTE(SUBSTITUTE(SUBSTITUTE(SUBSTITUTE(SUBSTITUTE(SUBSTITUTE(SUBSTITUTE(SUBSTITUTE(SUBSTITUTE(SUBSTITUTE(INDEX('設定'!$I$11:$I$34,21),"〜",""),"0","０"),"1","１"),"2","２"),"3","３"),"4","４"),"5","５"),"6","６"),"7","７"),"8","８"),"9","９"),":","：")),"")</f>
        <v/>
      </c>
      <c r="C39" s="118">
        <f>IFERROR(IF(INDEX('調整・決定'!$C$6:$C$29,21)="","",INDEX('調整・決定'!$C$6:$C$29,21)),"")</f>
        <v/>
      </c>
      <c r="D39" s="118">
        <f>IFERROR(IF(INDEX('調整・決定'!$D$6:$D$29,21)="","",INDEX('調整・決定'!$D$6:$D$29,21)),"")</f>
        <v/>
      </c>
      <c r="E39" s="118">
        <f>IFERROR(IF(INDEX('調整・決定'!$E$6:$E$29,21)="","",INDEX('調整・決定'!$E$6:$E$29,21)),"")</f>
        <v/>
      </c>
      <c r="F39" s="118">
        <f>IFERROR(IF(INDEX('調整・決定'!$F$6:$F$29,21)="","",INDEX('調整・決定'!$F$6:$F$29,21)),"")</f>
        <v/>
      </c>
      <c r="G39" s="118">
        <f>IFERROR(IF(INDEX('調整・決定'!$G$6:$G$29,21)="","",INDEX('調整・決定'!$G$6:$G$29,21)),"")</f>
        <v/>
      </c>
      <c r="H39" s="118">
        <f>IFERROR(IF(INDEX('調整・決定'!$H$6:$H$29,21)="","",INDEX('調整・決定'!$H$6:$H$29,21)),"")</f>
        <v/>
      </c>
      <c r="M39">
        <f>IF(21&lt;=MIN(calcA!$A$3,'設定'!$B$6),"表示","隠す")</f>
        <v/>
      </c>
    </row>
    <row r="40" hidden="1" ht="20.9" customHeight="1">
      <c r="B40" s="117">
        <f>IFERROR(IF(INDEX('設定'!$I$11:$I$34,22)="","",SUBSTITUTE(SUBSTITUTE(SUBSTITUTE(SUBSTITUTE(SUBSTITUTE(SUBSTITUTE(SUBSTITUTE(SUBSTITUTE(SUBSTITUTE(SUBSTITUTE(SUBSTITUTE(SUBSTITUTE(INDEX('設定'!$I$11:$I$34,22),"〜",""),"0","０"),"1","１"),"2","２"),"3","３"),"4","４"),"5","５"),"6","６"),"7","７"),"8","８"),"9","９"),":","：")),"")</f>
        <v/>
      </c>
      <c r="C40" s="118">
        <f>IFERROR(IF(INDEX('調整・決定'!$C$6:$C$29,22)="","",INDEX('調整・決定'!$C$6:$C$29,22)),"")</f>
        <v/>
      </c>
      <c r="D40" s="118">
        <f>IFERROR(IF(INDEX('調整・決定'!$D$6:$D$29,22)="","",INDEX('調整・決定'!$D$6:$D$29,22)),"")</f>
        <v/>
      </c>
      <c r="E40" s="118">
        <f>IFERROR(IF(INDEX('調整・決定'!$E$6:$E$29,22)="","",INDEX('調整・決定'!$E$6:$E$29,22)),"")</f>
        <v/>
      </c>
      <c r="F40" s="118">
        <f>IFERROR(IF(INDEX('調整・決定'!$F$6:$F$29,22)="","",INDEX('調整・決定'!$F$6:$F$29,22)),"")</f>
        <v/>
      </c>
      <c r="G40" s="118">
        <f>IFERROR(IF(INDEX('調整・決定'!$G$6:$G$29,22)="","",INDEX('調整・決定'!$G$6:$G$29,22)),"")</f>
        <v/>
      </c>
      <c r="H40" s="118">
        <f>IFERROR(IF(INDEX('調整・決定'!$H$6:$H$29,22)="","",INDEX('調整・決定'!$H$6:$H$29,22)),"")</f>
        <v/>
      </c>
      <c r="M40">
        <f>IF(22&lt;=MIN(calcA!$A$3,'設定'!$B$6),"表示","隠す")</f>
        <v/>
      </c>
    </row>
    <row r="41" hidden="1" ht="20.9" customHeight="1">
      <c r="B41" s="117">
        <f>IFERROR(IF(INDEX('設定'!$I$11:$I$34,23)="","",SUBSTITUTE(SUBSTITUTE(SUBSTITUTE(SUBSTITUTE(SUBSTITUTE(SUBSTITUTE(SUBSTITUTE(SUBSTITUTE(SUBSTITUTE(SUBSTITUTE(SUBSTITUTE(SUBSTITUTE(INDEX('設定'!$I$11:$I$34,23),"〜",""),"0","０"),"1","１"),"2","２"),"3","３"),"4","４"),"5","５"),"6","６"),"7","７"),"8","８"),"9","９"),":","：")),"")</f>
        <v/>
      </c>
      <c r="C41" s="118">
        <f>IFERROR(IF(INDEX('調整・決定'!$C$6:$C$29,23)="","",INDEX('調整・決定'!$C$6:$C$29,23)),"")</f>
        <v/>
      </c>
      <c r="D41" s="118">
        <f>IFERROR(IF(INDEX('調整・決定'!$D$6:$D$29,23)="","",INDEX('調整・決定'!$D$6:$D$29,23)),"")</f>
        <v/>
      </c>
      <c r="E41" s="118">
        <f>IFERROR(IF(INDEX('調整・決定'!$E$6:$E$29,23)="","",INDEX('調整・決定'!$E$6:$E$29,23)),"")</f>
        <v/>
      </c>
      <c r="F41" s="118">
        <f>IFERROR(IF(INDEX('調整・決定'!$F$6:$F$29,23)="","",INDEX('調整・決定'!$F$6:$F$29,23)),"")</f>
        <v/>
      </c>
      <c r="G41" s="118">
        <f>IFERROR(IF(INDEX('調整・決定'!$G$6:$G$29,23)="","",INDEX('調整・決定'!$G$6:$G$29,23)),"")</f>
        <v/>
      </c>
      <c r="H41" s="118">
        <f>IFERROR(IF(INDEX('調整・決定'!$H$6:$H$29,23)="","",INDEX('調整・決定'!$H$6:$H$29,23)),"")</f>
        <v/>
      </c>
      <c r="M41">
        <f>IF(23&lt;=MIN(calcA!$A$3,'設定'!$B$6),"表示","隠す")</f>
        <v/>
      </c>
    </row>
    <row r="42" hidden="1" ht="20.9" customHeight="1">
      <c r="B42" s="117">
        <f>IFERROR(IF(INDEX('設定'!$I$11:$I$34,24)="","",SUBSTITUTE(SUBSTITUTE(SUBSTITUTE(SUBSTITUTE(SUBSTITUTE(SUBSTITUTE(SUBSTITUTE(SUBSTITUTE(SUBSTITUTE(SUBSTITUTE(SUBSTITUTE(SUBSTITUTE(INDEX('設定'!$I$11:$I$34,24),"〜",""),"0","０"),"1","１"),"2","２"),"3","３"),"4","４"),"5","５"),"6","６"),"7","７"),"8","８"),"9","９"),":","：")),"")</f>
        <v/>
      </c>
      <c r="C42" s="118">
        <f>IFERROR(IF(INDEX('調整・決定'!$C$6:$C$29,24)="","",INDEX('調整・決定'!$C$6:$C$29,24)),"")</f>
        <v/>
      </c>
      <c r="D42" s="118">
        <f>IFERROR(IF(INDEX('調整・決定'!$D$6:$D$29,24)="","",INDEX('調整・決定'!$D$6:$D$29,24)),"")</f>
        <v/>
      </c>
      <c r="E42" s="118">
        <f>IFERROR(IF(INDEX('調整・決定'!$E$6:$E$29,24)="","",INDEX('調整・決定'!$E$6:$E$29,24)),"")</f>
        <v/>
      </c>
      <c r="F42" s="118">
        <f>IFERROR(IF(INDEX('調整・決定'!$F$6:$F$29,24)="","",INDEX('調整・決定'!$F$6:$F$29,24)),"")</f>
        <v/>
      </c>
      <c r="G42" s="118">
        <f>IFERROR(IF(INDEX('調整・決定'!$G$6:$G$29,24)="","",INDEX('調整・決定'!$G$6:$G$29,24)),"")</f>
        <v/>
      </c>
      <c r="H42" s="118">
        <f>IFERROR(IF(INDEX('調整・決定'!$H$6:$H$29,24)="","",INDEX('調整・決定'!$H$6:$H$29,24)),"")</f>
        <v/>
      </c>
      <c r="M42">
        <f>IF(24&lt;=MIN(calcA!$A$3,'設定'!$B$6),"表示","隠す")</f>
        <v/>
      </c>
    </row>
    <row r="43" hidden="1" ht="2.5" customHeight="1">
      <c r="M43">
        <f>IF('設定'!$B$6&gt;MIN(calcA!$A$3,'設定'!$B$6),"表示","隠す")</f>
        <v/>
      </c>
    </row>
    <row r="44" hidden="1" ht="20.9" customHeight="1">
      <c r="B44" s="117">
        <f>IFERROR(IF(INDEX('設定'!$I$11:$I$34,MIN(calcA!$A$3,'設定'!$B$6)+1)="","",SUBSTITUTE(SUBSTITUTE(SUBSTITUTE(SUBSTITUTE(SUBSTITUTE(SUBSTITUTE(SUBSTITUTE(SUBSTITUTE(SUBSTITUTE(SUBSTITUTE(SUBSTITUTE(SUBSTITUTE(INDEX('設定'!$I$11:$I$34,MIN(calcA!$A$3,'設定'!$B$6)+1),"〜",""),"0","０"),"1","１"),"2","２"),"3","３"),"4","４"),"5","５"),"6","６"),"7","７"),"8","８"),"9","９"),":","：")),"")</f>
        <v/>
      </c>
      <c r="C44" s="118">
        <f>IFERROR(IF(INDEX('調整・決定'!$C$6:$C$29,MIN(calcA!$A$3,'設定'!$B$6)+1)="","",INDEX('調整・決定'!$C$6:$C$29,MIN(calcA!$A$3,'設定'!$B$6)+1)),"")</f>
        <v/>
      </c>
      <c r="D44" s="118">
        <f>IFERROR(IF(INDEX('調整・決定'!$D$6:$D$29,MIN(calcA!$A$3,'設定'!$B$6)+1)="","",INDEX('調整・決定'!$D$6:$D$29,MIN(calcA!$A$3,'設定'!$B$6)+1)),"")</f>
        <v/>
      </c>
      <c r="E44" s="118">
        <f>IFERROR(IF(INDEX('調整・決定'!$E$6:$E$29,MIN(calcA!$A$3,'設定'!$B$6)+1)="","",INDEX('調整・決定'!$E$6:$E$29,MIN(calcA!$A$3,'設定'!$B$6)+1)),"")</f>
        <v/>
      </c>
      <c r="F44" s="118">
        <f>IFERROR(IF(INDEX('調整・決定'!$F$6:$F$29,MIN(calcA!$A$3,'設定'!$B$6)+1)="","",INDEX('調整・決定'!$F$6:$F$29,MIN(calcA!$A$3,'設定'!$B$6)+1)),"")</f>
        <v/>
      </c>
      <c r="G44" s="118">
        <f>IFERROR(IF(INDEX('調整・決定'!$G$6:$G$29,MIN(calcA!$A$3,'設定'!$B$6)+1)="","",INDEX('調整・決定'!$G$6:$G$29,MIN(calcA!$A$3,'設定'!$B$6)+1)),"")</f>
        <v/>
      </c>
      <c r="H44" s="118">
        <f>IFERROR(IF(INDEX('調整・決定'!$H$6:$H$29,MIN(calcA!$A$3,'設定'!$B$6)+1)="","",INDEX('調整・決定'!$H$6:$H$29,MIN(calcA!$A$3,'設定'!$B$6)+1)),"")</f>
        <v/>
      </c>
      <c r="M44">
        <f>IF(MIN(calcA!$A$3,'設定'!$B$6)+1&lt;='設定'!$B$6,"表示","隠す")</f>
        <v/>
      </c>
    </row>
    <row r="45" hidden="1" ht="20.9" customHeight="1">
      <c r="B45" s="117">
        <f>IFERROR(IF(INDEX('設定'!$I$11:$I$34,MIN(calcA!$A$3,'設定'!$B$6)+2)="","",SUBSTITUTE(SUBSTITUTE(SUBSTITUTE(SUBSTITUTE(SUBSTITUTE(SUBSTITUTE(SUBSTITUTE(SUBSTITUTE(SUBSTITUTE(SUBSTITUTE(SUBSTITUTE(SUBSTITUTE(INDEX('設定'!$I$11:$I$34,MIN(calcA!$A$3,'設定'!$B$6)+2),"〜",""),"0","０"),"1","１"),"2","２"),"3","３"),"4","４"),"5","５"),"6","６"),"7","７"),"8","８"),"9","９"),":","：")),"")</f>
        <v/>
      </c>
      <c r="C45" s="118">
        <f>IFERROR(IF(INDEX('調整・決定'!$C$6:$C$29,MIN(calcA!$A$3,'設定'!$B$6)+2)="","",INDEX('調整・決定'!$C$6:$C$29,MIN(calcA!$A$3,'設定'!$B$6)+2)),"")</f>
        <v/>
      </c>
      <c r="D45" s="118">
        <f>IFERROR(IF(INDEX('調整・決定'!$D$6:$D$29,MIN(calcA!$A$3,'設定'!$B$6)+2)="","",INDEX('調整・決定'!$D$6:$D$29,MIN(calcA!$A$3,'設定'!$B$6)+2)),"")</f>
        <v/>
      </c>
      <c r="E45" s="118">
        <f>IFERROR(IF(INDEX('調整・決定'!$E$6:$E$29,MIN(calcA!$A$3,'設定'!$B$6)+2)="","",INDEX('調整・決定'!$E$6:$E$29,MIN(calcA!$A$3,'設定'!$B$6)+2)),"")</f>
        <v/>
      </c>
      <c r="F45" s="118">
        <f>IFERROR(IF(INDEX('調整・決定'!$F$6:$F$29,MIN(calcA!$A$3,'設定'!$B$6)+2)="","",INDEX('調整・決定'!$F$6:$F$29,MIN(calcA!$A$3,'設定'!$B$6)+2)),"")</f>
        <v/>
      </c>
      <c r="G45" s="118">
        <f>IFERROR(IF(INDEX('調整・決定'!$G$6:$G$29,MIN(calcA!$A$3,'設定'!$B$6)+2)="","",INDEX('調整・決定'!$G$6:$G$29,MIN(calcA!$A$3,'設定'!$B$6)+2)),"")</f>
        <v/>
      </c>
      <c r="H45" s="118">
        <f>IFERROR(IF(INDEX('調整・決定'!$H$6:$H$29,MIN(calcA!$A$3,'設定'!$B$6)+2)="","",INDEX('調整・決定'!$H$6:$H$29,MIN(calcA!$A$3,'設定'!$B$6)+2)),"")</f>
        <v/>
      </c>
      <c r="M45">
        <f>IF(MIN(calcA!$A$3,'設定'!$B$6)+2&lt;='設定'!$B$6,"表示","隠す")</f>
        <v/>
      </c>
    </row>
    <row r="46" hidden="1" ht="20.9" customHeight="1">
      <c r="B46" s="117">
        <f>IFERROR(IF(INDEX('設定'!$I$11:$I$34,MIN(calcA!$A$3,'設定'!$B$6)+3)="","",SUBSTITUTE(SUBSTITUTE(SUBSTITUTE(SUBSTITUTE(SUBSTITUTE(SUBSTITUTE(SUBSTITUTE(SUBSTITUTE(SUBSTITUTE(SUBSTITUTE(SUBSTITUTE(SUBSTITUTE(INDEX('設定'!$I$11:$I$34,MIN(calcA!$A$3,'設定'!$B$6)+3),"〜",""),"0","０"),"1","１"),"2","２"),"3","３"),"4","４"),"5","５"),"6","６"),"7","７"),"8","８"),"9","９"),":","：")),"")</f>
        <v/>
      </c>
      <c r="C46" s="118">
        <f>IFERROR(IF(INDEX('調整・決定'!$C$6:$C$29,MIN(calcA!$A$3,'設定'!$B$6)+3)="","",INDEX('調整・決定'!$C$6:$C$29,MIN(calcA!$A$3,'設定'!$B$6)+3)),"")</f>
        <v/>
      </c>
      <c r="D46" s="118">
        <f>IFERROR(IF(INDEX('調整・決定'!$D$6:$D$29,MIN(calcA!$A$3,'設定'!$B$6)+3)="","",INDEX('調整・決定'!$D$6:$D$29,MIN(calcA!$A$3,'設定'!$B$6)+3)),"")</f>
        <v/>
      </c>
      <c r="E46" s="118">
        <f>IFERROR(IF(INDEX('調整・決定'!$E$6:$E$29,MIN(calcA!$A$3,'設定'!$B$6)+3)="","",INDEX('調整・決定'!$E$6:$E$29,MIN(calcA!$A$3,'設定'!$B$6)+3)),"")</f>
        <v/>
      </c>
      <c r="F46" s="118">
        <f>IFERROR(IF(INDEX('調整・決定'!$F$6:$F$29,MIN(calcA!$A$3,'設定'!$B$6)+3)="","",INDEX('調整・決定'!$F$6:$F$29,MIN(calcA!$A$3,'設定'!$B$6)+3)),"")</f>
        <v/>
      </c>
      <c r="G46" s="118">
        <f>IFERROR(IF(INDEX('調整・決定'!$G$6:$G$29,MIN(calcA!$A$3,'設定'!$B$6)+3)="","",INDEX('調整・決定'!$G$6:$G$29,MIN(calcA!$A$3,'設定'!$B$6)+3)),"")</f>
        <v/>
      </c>
      <c r="H46" s="118">
        <f>IFERROR(IF(INDEX('調整・決定'!$H$6:$H$29,MIN(calcA!$A$3,'設定'!$B$6)+3)="","",INDEX('調整・決定'!$H$6:$H$29,MIN(calcA!$A$3,'設定'!$B$6)+3)),"")</f>
        <v/>
      </c>
      <c r="M46">
        <f>IF(MIN(calcA!$A$3,'設定'!$B$6)+3&lt;='設定'!$B$6,"表示","隠す")</f>
        <v/>
      </c>
    </row>
    <row r="47" hidden="1" ht="20.9" customHeight="1">
      <c r="B47" s="117">
        <f>IFERROR(IF(INDEX('設定'!$I$11:$I$34,MIN(calcA!$A$3,'設定'!$B$6)+4)="","",SUBSTITUTE(SUBSTITUTE(SUBSTITUTE(SUBSTITUTE(SUBSTITUTE(SUBSTITUTE(SUBSTITUTE(SUBSTITUTE(SUBSTITUTE(SUBSTITUTE(SUBSTITUTE(SUBSTITUTE(INDEX('設定'!$I$11:$I$34,MIN(calcA!$A$3,'設定'!$B$6)+4),"〜",""),"0","０"),"1","１"),"2","２"),"3","３"),"4","４"),"5","５"),"6","６"),"7","７"),"8","８"),"9","９"),":","：")),"")</f>
        <v/>
      </c>
      <c r="C47" s="118">
        <f>IFERROR(IF(INDEX('調整・決定'!$C$6:$C$29,MIN(calcA!$A$3,'設定'!$B$6)+4)="","",INDEX('調整・決定'!$C$6:$C$29,MIN(calcA!$A$3,'設定'!$B$6)+4)),"")</f>
        <v/>
      </c>
      <c r="D47" s="118">
        <f>IFERROR(IF(INDEX('調整・決定'!$D$6:$D$29,MIN(calcA!$A$3,'設定'!$B$6)+4)="","",INDEX('調整・決定'!$D$6:$D$29,MIN(calcA!$A$3,'設定'!$B$6)+4)),"")</f>
        <v/>
      </c>
      <c r="E47" s="118">
        <f>IFERROR(IF(INDEX('調整・決定'!$E$6:$E$29,MIN(calcA!$A$3,'設定'!$B$6)+4)="","",INDEX('調整・決定'!$E$6:$E$29,MIN(calcA!$A$3,'設定'!$B$6)+4)),"")</f>
        <v/>
      </c>
      <c r="F47" s="118">
        <f>IFERROR(IF(INDEX('調整・決定'!$F$6:$F$29,MIN(calcA!$A$3,'設定'!$B$6)+4)="","",INDEX('調整・決定'!$F$6:$F$29,MIN(calcA!$A$3,'設定'!$B$6)+4)),"")</f>
        <v/>
      </c>
      <c r="G47" s="118">
        <f>IFERROR(IF(INDEX('調整・決定'!$G$6:$G$29,MIN(calcA!$A$3,'設定'!$B$6)+4)="","",INDEX('調整・決定'!$G$6:$G$29,MIN(calcA!$A$3,'設定'!$B$6)+4)),"")</f>
        <v/>
      </c>
      <c r="H47" s="118">
        <f>IFERROR(IF(INDEX('調整・決定'!$H$6:$H$29,MIN(calcA!$A$3,'設定'!$B$6)+4)="","",INDEX('調整・決定'!$H$6:$H$29,MIN(calcA!$A$3,'設定'!$B$6)+4)),"")</f>
        <v/>
      </c>
      <c r="M47">
        <f>IF(MIN(calcA!$A$3,'設定'!$B$6)+4&lt;='設定'!$B$6,"表示","隠す")</f>
        <v/>
      </c>
    </row>
    <row r="48" hidden="1" ht="20.9" customHeight="1">
      <c r="B48" s="117">
        <f>IFERROR(IF(INDEX('設定'!$I$11:$I$34,MIN(calcA!$A$3,'設定'!$B$6)+5)="","",SUBSTITUTE(SUBSTITUTE(SUBSTITUTE(SUBSTITUTE(SUBSTITUTE(SUBSTITUTE(SUBSTITUTE(SUBSTITUTE(SUBSTITUTE(SUBSTITUTE(SUBSTITUTE(SUBSTITUTE(INDEX('設定'!$I$11:$I$34,MIN(calcA!$A$3,'設定'!$B$6)+5),"〜",""),"0","０"),"1","１"),"2","２"),"3","３"),"4","４"),"5","５"),"6","６"),"7","７"),"8","８"),"9","９"),":","：")),"")</f>
        <v/>
      </c>
      <c r="C48" s="118">
        <f>IFERROR(IF(INDEX('調整・決定'!$C$6:$C$29,MIN(calcA!$A$3,'設定'!$B$6)+5)="","",INDEX('調整・決定'!$C$6:$C$29,MIN(calcA!$A$3,'設定'!$B$6)+5)),"")</f>
        <v/>
      </c>
      <c r="D48" s="118">
        <f>IFERROR(IF(INDEX('調整・決定'!$D$6:$D$29,MIN(calcA!$A$3,'設定'!$B$6)+5)="","",INDEX('調整・決定'!$D$6:$D$29,MIN(calcA!$A$3,'設定'!$B$6)+5)),"")</f>
        <v/>
      </c>
      <c r="E48" s="118">
        <f>IFERROR(IF(INDEX('調整・決定'!$E$6:$E$29,MIN(calcA!$A$3,'設定'!$B$6)+5)="","",INDEX('調整・決定'!$E$6:$E$29,MIN(calcA!$A$3,'設定'!$B$6)+5)),"")</f>
        <v/>
      </c>
      <c r="F48" s="118">
        <f>IFERROR(IF(INDEX('調整・決定'!$F$6:$F$29,MIN(calcA!$A$3,'設定'!$B$6)+5)="","",INDEX('調整・決定'!$F$6:$F$29,MIN(calcA!$A$3,'設定'!$B$6)+5)),"")</f>
        <v/>
      </c>
      <c r="G48" s="118">
        <f>IFERROR(IF(INDEX('調整・決定'!$G$6:$G$29,MIN(calcA!$A$3,'設定'!$B$6)+5)="","",INDEX('調整・決定'!$G$6:$G$29,MIN(calcA!$A$3,'設定'!$B$6)+5)),"")</f>
        <v/>
      </c>
      <c r="H48" s="118">
        <f>IFERROR(IF(INDEX('調整・決定'!$H$6:$H$29,MIN(calcA!$A$3,'設定'!$B$6)+5)="","",INDEX('調整・決定'!$H$6:$H$29,MIN(calcA!$A$3,'設定'!$B$6)+5)),"")</f>
        <v/>
      </c>
      <c r="M48">
        <f>IF(MIN(calcA!$A$3,'設定'!$B$6)+5&lt;='設定'!$B$6,"表示","隠す")</f>
        <v/>
      </c>
    </row>
    <row r="49" hidden="1" ht="20.9" customHeight="1">
      <c r="B49" s="117">
        <f>IFERROR(IF(INDEX('設定'!$I$11:$I$34,MIN(calcA!$A$3,'設定'!$B$6)+6)="","",SUBSTITUTE(SUBSTITUTE(SUBSTITUTE(SUBSTITUTE(SUBSTITUTE(SUBSTITUTE(SUBSTITUTE(SUBSTITUTE(SUBSTITUTE(SUBSTITUTE(SUBSTITUTE(SUBSTITUTE(INDEX('設定'!$I$11:$I$34,MIN(calcA!$A$3,'設定'!$B$6)+6),"〜",""),"0","０"),"1","１"),"2","２"),"3","３"),"4","４"),"5","５"),"6","６"),"7","７"),"8","８"),"9","９"),":","：")),"")</f>
        <v/>
      </c>
      <c r="C49" s="118">
        <f>IFERROR(IF(INDEX('調整・決定'!$C$6:$C$29,MIN(calcA!$A$3,'設定'!$B$6)+6)="","",INDEX('調整・決定'!$C$6:$C$29,MIN(calcA!$A$3,'設定'!$B$6)+6)),"")</f>
        <v/>
      </c>
      <c r="D49" s="118">
        <f>IFERROR(IF(INDEX('調整・決定'!$D$6:$D$29,MIN(calcA!$A$3,'設定'!$B$6)+6)="","",INDEX('調整・決定'!$D$6:$D$29,MIN(calcA!$A$3,'設定'!$B$6)+6)),"")</f>
        <v/>
      </c>
      <c r="E49" s="118">
        <f>IFERROR(IF(INDEX('調整・決定'!$E$6:$E$29,MIN(calcA!$A$3,'設定'!$B$6)+6)="","",INDEX('調整・決定'!$E$6:$E$29,MIN(calcA!$A$3,'設定'!$B$6)+6)),"")</f>
        <v/>
      </c>
      <c r="F49" s="118">
        <f>IFERROR(IF(INDEX('調整・決定'!$F$6:$F$29,MIN(calcA!$A$3,'設定'!$B$6)+6)="","",INDEX('調整・決定'!$F$6:$F$29,MIN(calcA!$A$3,'設定'!$B$6)+6)),"")</f>
        <v/>
      </c>
      <c r="G49" s="118">
        <f>IFERROR(IF(INDEX('調整・決定'!$G$6:$G$29,MIN(calcA!$A$3,'設定'!$B$6)+6)="","",INDEX('調整・決定'!$G$6:$G$29,MIN(calcA!$A$3,'設定'!$B$6)+6)),"")</f>
        <v/>
      </c>
      <c r="H49" s="118">
        <f>IFERROR(IF(INDEX('調整・決定'!$H$6:$H$29,MIN(calcA!$A$3,'設定'!$B$6)+6)="","",INDEX('調整・決定'!$H$6:$H$29,MIN(calcA!$A$3,'設定'!$B$6)+6)),"")</f>
        <v/>
      </c>
      <c r="M49">
        <f>IF(MIN(calcA!$A$3,'設定'!$B$6)+6&lt;='設定'!$B$6,"表示","隠す")</f>
        <v/>
      </c>
    </row>
    <row r="50" hidden="1" ht="20.9" customHeight="1">
      <c r="B50" s="117">
        <f>IFERROR(IF(INDEX('設定'!$I$11:$I$34,MIN(calcA!$A$3,'設定'!$B$6)+7)="","",SUBSTITUTE(SUBSTITUTE(SUBSTITUTE(SUBSTITUTE(SUBSTITUTE(SUBSTITUTE(SUBSTITUTE(SUBSTITUTE(SUBSTITUTE(SUBSTITUTE(SUBSTITUTE(SUBSTITUTE(INDEX('設定'!$I$11:$I$34,MIN(calcA!$A$3,'設定'!$B$6)+7),"〜",""),"0","０"),"1","１"),"2","２"),"3","３"),"4","４"),"5","５"),"6","６"),"7","７"),"8","８"),"9","９"),":","：")),"")</f>
        <v/>
      </c>
      <c r="C50" s="118">
        <f>IFERROR(IF(INDEX('調整・決定'!$C$6:$C$29,MIN(calcA!$A$3,'設定'!$B$6)+7)="","",INDEX('調整・決定'!$C$6:$C$29,MIN(calcA!$A$3,'設定'!$B$6)+7)),"")</f>
        <v/>
      </c>
      <c r="D50" s="118">
        <f>IFERROR(IF(INDEX('調整・決定'!$D$6:$D$29,MIN(calcA!$A$3,'設定'!$B$6)+7)="","",INDEX('調整・決定'!$D$6:$D$29,MIN(calcA!$A$3,'設定'!$B$6)+7)),"")</f>
        <v/>
      </c>
      <c r="E50" s="118">
        <f>IFERROR(IF(INDEX('調整・決定'!$E$6:$E$29,MIN(calcA!$A$3,'設定'!$B$6)+7)="","",INDEX('調整・決定'!$E$6:$E$29,MIN(calcA!$A$3,'設定'!$B$6)+7)),"")</f>
        <v/>
      </c>
      <c r="F50" s="118">
        <f>IFERROR(IF(INDEX('調整・決定'!$F$6:$F$29,MIN(calcA!$A$3,'設定'!$B$6)+7)="","",INDEX('調整・決定'!$F$6:$F$29,MIN(calcA!$A$3,'設定'!$B$6)+7)),"")</f>
        <v/>
      </c>
      <c r="G50" s="118">
        <f>IFERROR(IF(INDEX('調整・決定'!$G$6:$G$29,MIN(calcA!$A$3,'設定'!$B$6)+7)="","",INDEX('調整・決定'!$G$6:$G$29,MIN(calcA!$A$3,'設定'!$B$6)+7)),"")</f>
        <v/>
      </c>
      <c r="H50" s="118">
        <f>IFERROR(IF(INDEX('調整・決定'!$H$6:$H$29,MIN(calcA!$A$3,'設定'!$B$6)+7)="","",INDEX('調整・決定'!$H$6:$H$29,MIN(calcA!$A$3,'設定'!$B$6)+7)),"")</f>
        <v/>
      </c>
      <c r="M50">
        <f>IF(MIN(calcA!$A$3,'設定'!$B$6)+7&lt;='設定'!$B$6,"表示","隠す")</f>
        <v/>
      </c>
    </row>
    <row r="51" hidden="1" ht="20.9" customHeight="1">
      <c r="B51" s="117">
        <f>IFERROR(IF(INDEX('設定'!$I$11:$I$34,MIN(calcA!$A$3,'設定'!$B$6)+8)="","",SUBSTITUTE(SUBSTITUTE(SUBSTITUTE(SUBSTITUTE(SUBSTITUTE(SUBSTITUTE(SUBSTITUTE(SUBSTITUTE(SUBSTITUTE(SUBSTITUTE(SUBSTITUTE(SUBSTITUTE(INDEX('設定'!$I$11:$I$34,MIN(calcA!$A$3,'設定'!$B$6)+8),"〜",""),"0","０"),"1","１"),"2","２"),"3","３"),"4","４"),"5","５"),"6","６"),"7","７"),"8","８"),"9","９"),":","：")),"")</f>
        <v/>
      </c>
      <c r="C51" s="118">
        <f>IFERROR(IF(INDEX('調整・決定'!$C$6:$C$29,MIN(calcA!$A$3,'設定'!$B$6)+8)="","",INDEX('調整・決定'!$C$6:$C$29,MIN(calcA!$A$3,'設定'!$B$6)+8)),"")</f>
        <v/>
      </c>
      <c r="D51" s="118">
        <f>IFERROR(IF(INDEX('調整・決定'!$D$6:$D$29,MIN(calcA!$A$3,'設定'!$B$6)+8)="","",INDEX('調整・決定'!$D$6:$D$29,MIN(calcA!$A$3,'設定'!$B$6)+8)),"")</f>
        <v/>
      </c>
      <c r="E51" s="118">
        <f>IFERROR(IF(INDEX('調整・決定'!$E$6:$E$29,MIN(calcA!$A$3,'設定'!$B$6)+8)="","",INDEX('調整・決定'!$E$6:$E$29,MIN(calcA!$A$3,'設定'!$B$6)+8)),"")</f>
        <v/>
      </c>
      <c r="F51" s="118">
        <f>IFERROR(IF(INDEX('調整・決定'!$F$6:$F$29,MIN(calcA!$A$3,'設定'!$B$6)+8)="","",INDEX('調整・決定'!$F$6:$F$29,MIN(calcA!$A$3,'設定'!$B$6)+8)),"")</f>
        <v/>
      </c>
      <c r="G51" s="118">
        <f>IFERROR(IF(INDEX('調整・決定'!$G$6:$G$29,MIN(calcA!$A$3,'設定'!$B$6)+8)="","",INDEX('調整・決定'!$G$6:$G$29,MIN(calcA!$A$3,'設定'!$B$6)+8)),"")</f>
        <v/>
      </c>
      <c r="H51" s="118">
        <f>IFERROR(IF(INDEX('調整・決定'!$H$6:$H$29,MIN(calcA!$A$3,'設定'!$B$6)+8)="","",INDEX('調整・決定'!$H$6:$H$29,MIN(calcA!$A$3,'設定'!$B$6)+8)),"")</f>
        <v/>
      </c>
      <c r="M51">
        <f>IF(MIN(calcA!$A$3,'設定'!$B$6)+8&lt;='設定'!$B$6,"表示","隠す")</f>
        <v/>
      </c>
    </row>
    <row r="52" hidden="1" ht="20.9" customHeight="1">
      <c r="B52" s="117">
        <f>IFERROR(IF(INDEX('設定'!$I$11:$I$34,MIN(calcA!$A$3,'設定'!$B$6)+9)="","",SUBSTITUTE(SUBSTITUTE(SUBSTITUTE(SUBSTITUTE(SUBSTITUTE(SUBSTITUTE(SUBSTITUTE(SUBSTITUTE(SUBSTITUTE(SUBSTITUTE(SUBSTITUTE(SUBSTITUTE(INDEX('設定'!$I$11:$I$34,MIN(calcA!$A$3,'設定'!$B$6)+9),"〜",""),"0","０"),"1","１"),"2","２"),"3","３"),"4","４"),"5","５"),"6","６"),"7","７"),"8","８"),"9","９"),":","：")),"")</f>
        <v/>
      </c>
      <c r="C52" s="118">
        <f>IFERROR(IF(INDEX('調整・決定'!$C$6:$C$29,MIN(calcA!$A$3,'設定'!$B$6)+9)="","",INDEX('調整・決定'!$C$6:$C$29,MIN(calcA!$A$3,'設定'!$B$6)+9)),"")</f>
        <v/>
      </c>
      <c r="D52" s="118">
        <f>IFERROR(IF(INDEX('調整・決定'!$D$6:$D$29,MIN(calcA!$A$3,'設定'!$B$6)+9)="","",INDEX('調整・決定'!$D$6:$D$29,MIN(calcA!$A$3,'設定'!$B$6)+9)),"")</f>
        <v/>
      </c>
      <c r="E52" s="118">
        <f>IFERROR(IF(INDEX('調整・決定'!$E$6:$E$29,MIN(calcA!$A$3,'設定'!$B$6)+9)="","",INDEX('調整・決定'!$E$6:$E$29,MIN(calcA!$A$3,'設定'!$B$6)+9)),"")</f>
        <v/>
      </c>
      <c r="F52" s="118">
        <f>IFERROR(IF(INDEX('調整・決定'!$F$6:$F$29,MIN(calcA!$A$3,'設定'!$B$6)+9)="","",INDEX('調整・決定'!$F$6:$F$29,MIN(calcA!$A$3,'設定'!$B$6)+9)),"")</f>
        <v/>
      </c>
      <c r="G52" s="118">
        <f>IFERROR(IF(INDEX('調整・決定'!$G$6:$G$29,MIN(calcA!$A$3,'設定'!$B$6)+9)="","",INDEX('調整・決定'!$G$6:$G$29,MIN(calcA!$A$3,'設定'!$B$6)+9)),"")</f>
        <v/>
      </c>
      <c r="H52" s="118">
        <f>IFERROR(IF(INDEX('調整・決定'!$H$6:$H$29,MIN(calcA!$A$3,'設定'!$B$6)+9)="","",INDEX('調整・決定'!$H$6:$H$29,MIN(calcA!$A$3,'設定'!$B$6)+9)),"")</f>
        <v/>
      </c>
      <c r="M52">
        <f>IF(MIN(calcA!$A$3,'設定'!$B$6)+9&lt;='設定'!$B$6,"表示","隠す")</f>
        <v/>
      </c>
    </row>
    <row r="53" hidden="1" ht="20.9" customHeight="1">
      <c r="B53" s="117">
        <f>IFERROR(IF(INDEX('設定'!$I$11:$I$34,MIN(calcA!$A$3,'設定'!$B$6)+10)="","",SUBSTITUTE(SUBSTITUTE(SUBSTITUTE(SUBSTITUTE(SUBSTITUTE(SUBSTITUTE(SUBSTITUTE(SUBSTITUTE(SUBSTITUTE(SUBSTITUTE(SUBSTITUTE(SUBSTITUTE(INDEX('設定'!$I$11:$I$34,MIN(calcA!$A$3,'設定'!$B$6)+10),"〜",""),"0","０"),"1","１"),"2","２"),"3","３"),"4","４"),"5","５"),"6","６"),"7","７"),"8","８"),"9","９"),":","：")),"")</f>
        <v/>
      </c>
      <c r="C53" s="118">
        <f>IFERROR(IF(INDEX('調整・決定'!$C$6:$C$29,MIN(calcA!$A$3,'設定'!$B$6)+10)="","",INDEX('調整・決定'!$C$6:$C$29,MIN(calcA!$A$3,'設定'!$B$6)+10)),"")</f>
        <v/>
      </c>
      <c r="D53" s="118">
        <f>IFERROR(IF(INDEX('調整・決定'!$D$6:$D$29,MIN(calcA!$A$3,'設定'!$B$6)+10)="","",INDEX('調整・決定'!$D$6:$D$29,MIN(calcA!$A$3,'設定'!$B$6)+10)),"")</f>
        <v/>
      </c>
      <c r="E53" s="118">
        <f>IFERROR(IF(INDEX('調整・決定'!$E$6:$E$29,MIN(calcA!$A$3,'設定'!$B$6)+10)="","",INDEX('調整・決定'!$E$6:$E$29,MIN(calcA!$A$3,'設定'!$B$6)+10)),"")</f>
        <v/>
      </c>
      <c r="F53" s="118">
        <f>IFERROR(IF(INDEX('調整・決定'!$F$6:$F$29,MIN(calcA!$A$3,'設定'!$B$6)+10)="","",INDEX('調整・決定'!$F$6:$F$29,MIN(calcA!$A$3,'設定'!$B$6)+10)),"")</f>
        <v/>
      </c>
      <c r="G53" s="118">
        <f>IFERROR(IF(INDEX('調整・決定'!$G$6:$G$29,MIN(calcA!$A$3,'設定'!$B$6)+10)="","",INDEX('調整・決定'!$G$6:$G$29,MIN(calcA!$A$3,'設定'!$B$6)+10)),"")</f>
        <v/>
      </c>
      <c r="H53" s="118">
        <f>IFERROR(IF(INDEX('調整・決定'!$H$6:$H$29,MIN(calcA!$A$3,'設定'!$B$6)+10)="","",INDEX('調整・決定'!$H$6:$H$29,MIN(calcA!$A$3,'設定'!$B$6)+10)),"")</f>
        <v/>
      </c>
      <c r="M53">
        <f>IF(MIN(calcA!$A$3,'設定'!$B$6)+10&lt;='設定'!$B$6,"表示","隠す")</f>
        <v/>
      </c>
    </row>
    <row r="54" hidden="1" ht="20.9" customHeight="1">
      <c r="B54" s="117">
        <f>IFERROR(IF(INDEX('設定'!$I$11:$I$34,MIN(calcA!$A$3,'設定'!$B$6)+11)="","",SUBSTITUTE(SUBSTITUTE(SUBSTITUTE(SUBSTITUTE(SUBSTITUTE(SUBSTITUTE(SUBSTITUTE(SUBSTITUTE(SUBSTITUTE(SUBSTITUTE(SUBSTITUTE(SUBSTITUTE(INDEX('設定'!$I$11:$I$34,MIN(calcA!$A$3,'設定'!$B$6)+11),"〜",""),"0","０"),"1","１"),"2","２"),"3","３"),"4","４"),"5","５"),"6","６"),"7","７"),"8","８"),"9","９"),":","：")),"")</f>
        <v/>
      </c>
      <c r="C54" s="118">
        <f>IFERROR(IF(INDEX('調整・決定'!$C$6:$C$29,MIN(calcA!$A$3,'設定'!$B$6)+11)="","",INDEX('調整・決定'!$C$6:$C$29,MIN(calcA!$A$3,'設定'!$B$6)+11)),"")</f>
        <v/>
      </c>
      <c r="D54" s="118">
        <f>IFERROR(IF(INDEX('調整・決定'!$D$6:$D$29,MIN(calcA!$A$3,'設定'!$B$6)+11)="","",INDEX('調整・決定'!$D$6:$D$29,MIN(calcA!$A$3,'設定'!$B$6)+11)),"")</f>
        <v/>
      </c>
      <c r="E54" s="118">
        <f>IFERROR(IF(INDEX('調整・決定'!$E$6:$E$29,MIN(calcA!$A$3,'設定'!$B$6)+11)="","",INDEX('調整・決定'!$E$6:$E$29,MIN(calcA!$A$3,'設定'!$B$6)+11)),"")</f>
        <v/>
      </c>
      <c r="F54" s="118">
        <f>IFERROR(IF(INDEX('調整・決定'!$F$6:$F$29,MIN(calcA!$A$3,'設定'!$B$6)+11)="","",INDEX('調整・決定'!$F$6:$F$29,MIN(calcA!$A$3,'設定'!$B$6)+11)),"")</f>
        <v/>
      </c>
      <c r="G54" s="118">
        <f>IFERROR(IF(INDEX('調整・決定'!$G$6:$G$29,MIN(calcA!$A$3,'設定'!$B$6)+11)="","",INDEX('調整・決定'!$G$6:$G$29,MIN(calcA!$A$3,'設定'!$B$6)+11)),"")</f>
        <v/>
      </c>
      <c r="H54" s="118">
        <f>IFERROR(IF(INDEX('調整・決定'!$H$6:$H$29,MIN(calcA!$A$3,'設定'!$B$6)+11)="","",INDEX('調整・決定'!$H$6:$H$29,MIN(calcA!$A$3,'設定'!$B$6)+11)),"")</f>
        <v/>
      </c>
      <c r="M54">
        <f>IF(MIN(calcA!$A$3,'設定'!$B$6)+11&lt;='設定'!$B$6,"表示","隠す")</f>
        <v/>
      </c>
    </row>
    <row r="55" hidden="1" ht="20.9" customHeight="1">
      <c r="B55" s="117">
        <f>IFERROR(IF(INDEX('設定'!$I$11:$I$34,MIN(calcA!$A$3,'設定'!$B$6)+12)="","",SUBSTITUTE(SUBSTITUTE(SUBSTITUTE(SUBSTITUTE(SUBSTITUTE(SUBSTITUTE(SUBSTITUTE(SUBSTITUTE(SUBSTITUTE(SUBSTITUTE(SUBSTITUTE(SUBSTITUTE(INDEX('設定'!$I$11:$I$34,MIN(calcA!$A$3,'設定'!$B$6)+12),"〜",""),"0","０"),"1","１"),"2","２"),"3","３"),"4","４"),"5","５"),"6","６"),"7","７"),"8","８"),"9","９"),":","：")),"")</f>
        <v/>
      </c>
      <c r="C55" s="118">
        <f>IFERROR(IF(INDEX('調整・決定'!$C$6:$C$29,MIN(calcA!$A$3,'設定'!$B$6)+12)="","",INDEX('調整・決定'!$C$6:$C$29,MIN(calcA!$A$3,'設定'!$B$6)+12)),"")</f>
        <v/>
      </c>
      <c r="D55" s="118">
        <f>IFERROR(IF(INDEX('調整・決定'!$D$6:$D$29,MIN(calcA!$A$3,'設定'!$B$6)+12)="","",INDEX('調整・決定'!$D$6:$D$29,MIN(calcA!$A$3,'設定'!$B$6)+12)),"")</f>
        <v/>
      </c>
      <c r="E55" s="118">
        <f>IFERROR(IF(INDEX('調整・決定'!$E$6:$E$29,MIN(calcA!$A$3,'設定'!$B$6)+12)="","",INDEX('調整・決定'!$E$6:$E$29,MIN(calcA!$A$3,'設定'!$B$6)+12)),"")</f>
        <v/>
      </c>
      <c r="F55" s="118">
        <f>IFERROR(IF(INDEX('調整・決定'!$F$6:$F$29,MIN(calcA!$A$3,'設定'!$B$6)+12)="","",INDEX('調整・決定'!$F$6:$F$29,MIN(calcA!$A$3,'設定'!$B$6)+12)),"")</f>
        <v/>
      </c>
      <c r="G55" s="118">
        <f>IFERROR(IF(INDEX('調整・決定'!$G$6:$G$29,MIN(calcA!$A$3,'設定'!$B$6)+12)="","",INDEX('調整・決定'!$G$6:$G$29,MIN(calcA!$A$3,'設定'!$B$6)+12)),"")</f>
        <v/>
      </c>
      <c r="H55" s="118">
        <f>IFERROR(IF(INDEX('調整・決定'!$H$6:$H$29,MIN(calcA!$A$3,'設定'!$B$6)+12)="","",INDEX('調整・決定'!$H$6:$H$29,MIN(calcA!$A$3,'設定'!$B$6)+12)),"")</f>
        <v/>
      </c>
      <c r="M55">
        <f>IF(MIN(calcA!$A$3,'設定'!$B$6)+12&lt;='設定'!$B$6,"表示","隠す")</f>
        <v/>
      </c>
    </row>
    <row r="56" hidden="1" ht="20.9" customHeight="1">
      <c r="B56" s="117">
        <f>IFERROR(IF(INDEX('設定'!$I$11:$I$34,MIN(calcA!$A$3,'設定'!$B$6)+13)="","",SUBSTITUTE(SUBSTITUTE(SUBSTITUTE(SUBSTITUTE(SUBSTITUTE(SUBSTITUTE(SUBSTITUTE(SUBSTITUTE(SUBSTITUTE(SUBSTITUTE(SUBSTITUTE(SUBSTITUTE(INDEX('設定'!$I$11:$I$34,MIN(calcA!$A$3,'設定'!$B$6)+13),"〜",""),"0","０"),"1","１"),"2","２"),"3","３"),"4","４"),"5","５"),"6","６"),"7","７"),"8","８"),"9","９"),":","：")),"")</f>
        <v/>
      </c>
      <c r="C56" s="118">
        <f>IFERROR(IF(INDEX('調整・決定'!$C$6:$C$29,MIN(calcA!$A$3,'設定'!$B$6)+13)="","",INDEX('調整・決定'!$C$6:$C$29,MIN(calcA!$A$3,'設定'!$B$6)+13)),"")</f>
        <v/>
      </c>
      <c r="D56" s="118">
        <f>IFERROR(IF(INDEX('調整・決定'!$D$6:$D$29,MIN(calcA!$A$3,'設定'!$B$6)+13)="","",INDEX('調整・決定'!$D$6:$D$29,MIN(calcA!$A$3,'設定'!$B$6)+13)),"")</f>
        <v/>
      </c>
      <c r="E56" s="118">
        <f>IFERROR(IF(INDEX('調整・決定'!$E$6:$E$29,MIN(calcA!$A$3,'設定'!$B$6)+13)="","",INDEX('調整・決定'!$E$6:$E$29,MIN(calcA!$A$3,'設定'!$B$6)+13)),"")</f>
        <v/>
      </c>
      <c r="F56" s="118">
        <f>IFERROR(IF(INDEX('調整・決定'!$F$6:$F$29,MIN(calcA!$A$3,'設定'!$B$6)+13)="","",INDEX('調整・決定'!$F$6:$F$29,MIN(calcA!$A$3,'設定'!$B$6)+13)),"")</f>
        <v/>
      </c>
      <c r="G56" s="118">
        <f>IFERROR(IF(INDEX('調整・決定'!$G$6:$G$29,MIN(calcA!$A$3,'設定'!$B$6)+13)="","",INDEX('調整・決定'!$G$6:$G$29,MIN(calcA!$A$3,'設定'!$B$6)+13)),"")</f>
        <v/>
      </c>
      <c r="H56" s="118">
        <f>IFERROR(IF(INDEX('調整・決定'!$H$6:$H$29,MIN(calcA!$A$3,'設定'!$B$6)+13)="","",INDEX('調整・決定'!$H$6:$H$29,MIN(calcA!$A$3,'設定'!$B$6)+13)),"")</f>
        <v/>
      </c>
      <c r="M56">
        <f>IF(MIN(calcA!$A$3,'設定'!$B$6)+13&lt;='設定'!$B$6,"表示","隠す")</f>
        <v/>
      </c>
    </row>
    <row r="57" hidden="1" ht="20.9" customHeight="1">
      <c r="B57" s="117">
        <f>IFERROR(IF(INDEX('設定'!$I$11:$I$34,MIN(calcA!$A$3,'設定'!$B$6)+14)="","",SUBSTITUTE(SUBSTITUTE(SUBSTITUTE(SUBSTITUTE(SUBSTITUTE(SUBSTITUTE(SUBSTITUTE(SUBSTITUTE(SUBSTITUTE(SUBSTITUTE(SUBSTITUTE(SUBSTITUTE(INDEX('設定'!$I$11:$I$34,MIN(calcA!$A$3,'設定'!$B$6)+14),"〜",""),"0","０"),"1","１"),"2","２"),"3","３"),"4","４"),"5","５"),"6","６"),"7","７"),"8","８"),"9","９"),":","：")),"")</f>
        <v/>
      </c>
      <c r="C57" s="118">
        <f>IFERROR(IF(INDEX('調整・決定'!$C$6:$C$29,MIN(calcA!$A$3,'設定'!$B$6)+14)="","",INDEX('調整・決定'!$C$6:$C$29,MIN(calcA!$A$3,'設定'!$B$6)+14)),"")</f>
        <v/>
      </c>
      <c r="D57" s="118">
        <f>IFERROR(IF(INDEX('調整・決定'!$D$6:$D$29,MIN(calcA!$A$3,'設定'!$B$6)+14)="","",INDEX('調整・決定'!$D$6:$D$29,MIN(calcA!$A$3,'設定'!$B$6)+14)),"")</f>
        <v/>
      </c>
      <c r="E57" s="118">
        <f>IFERROR(IF(INDEX('調整・決定'!$E$6:$E$29,MIN(calcA!$A$3,'設定'!$B$6)+14)="","",INDEX('調整・決定'!$E$6:$E$29,MIN(calcA!$A$3,'設定'!$B$6)+14)),"")</f>
        <v/>
      </c>
      <c r="F57" s="118">
        <f>IFERROR(IF(INDEX('調整・決定'!$F$6:$F$29,MIN(calcA!$A$3,'設定'!$B$6)+14)="","",INDEX('調整・決定'!$F$6:$F$29,MIN(calcA!$A$3,'設定'!$B$6)+14)),"")</f>
        <v/>
      </c>
      <c r="G57" s="118">
        <f>IFERROR(IF(INDEX('調整・決定'!$G$6:$G$29,MIN(calcA!$A$3,'設定'!$B$6)+14)="","",INDEX('調整・決定'!$G$6:$G$29,MIN(calcA!$A$3,'設定'!$B$6)+14)),"")</f>
        <v/>
      </c>
      <c r="H57" s="118">
        <f>IFERROR(IF(INDEX('調整・決定'!$H$6:$H$29,MIN(calcA!$A$3,'設定'!$B$6)+14)="","",INDEX('調整・決定'!$H$6:$H$29,MIN(calcA!$A$3,'設定'!$B$6)+14)),"")</f>
        <v/>
      </c>
      <c r="M57">
        <f>IF(MIN(calcA!$A$3,'設定'!$B$6)+14&lt;='設定'!$B$6,"表示","隠す")</f>
        <v/>
      </c>
    </row>
    <row r="58" hidden="1" ht="20.9" customHeight="1">
      <c r="B58" s="117">
        <f>IFERROR(IF(INDEX('設定'!$I$11:$I$34,MIN(calcA!$A$3,'設定'!$B$6)+15)="","",SUBSTITUTE(SUBSTITUTE(SUBSTITUTE(SUBSTITUTE(SUBSTITUTE(SUBSTITUTE(SUBSTITUTE(SUBSTITUTE(SUBSTITUTE(SUBSTITUTE(SUBSTITUTE(SUBSTITUTE(INDEX('設定'!$I$11:$I$34,MIN(calcA!$A$3,'設定'!$B$6)+15),"〜",""),"0","０"),"1","１"),"2","２"),"3","３"),"4","４"),"5","５"),"6","６"),"7","７"),"8","８"),"9","９"),":","：")),"")</f>
        <v/>
      </c>
      <c r="C58" s="118">
        <f>IFERROR(IF(INDEX('調整・決定'!$C$6:$C$29,MIN(calcA!$A$3,'設定'!$B$6)+15)="","",INDEX('調整・決定'!$C$6:$C$29,MIN(calcA!$A$3,'設定'!$B$6)+15)),"")</f>
        <v/>
      </c>
      <c r="D58" s="118">
        <f>IFERROR(IF(INDEX('調整・決定'!$D$6:$D$29,MIN(calcA!$A$3,'設定'!$B$6)+15)="","",INDEX('調整・決定'!$D$6:$D$29,MIN(calcA!$A$3,'設定'!$B$6)+15)),"")</f>
        <v/>
      </c>
      <c r="E58" s="118">
        <f>IFERROR(IF(INDEX('調整・決定'!$E$6:$E$29,MIN(calcA!$A$3,'設定'!$B$6)+15)="","",INDEX('調整・決定'!$E$6:$E$29,MIN(calcA!$A$3,'設定'!$B$6)+15)),"")</f>
        <v/>
      </c>
      <c r="F58" s="118">
        <f>IFERROR(IF(INDEX('調整・決定'!$F$6:$F$29,MIN(calcA!$A$3,'設定'!$B$6)+15)="","",INDEX('調整・決定'!$F$6:$F$29,MIN(calcA!$A$3,'設定'!$B$6)+15)),"")</f>
        <v/>
      </c>
      <c r="G58" s="118">
        <f>IFERROR(IF(INDEX('調整・決定'!$G$6:$G$29,MIN(calcA!$A$3,'設定'!$B$6)+15)="","",INDEX('調整・決定'!$G$6:$G$29,MIN(calcA!$A$3,'設定'!$B$6)+15)),"")</f>
        <v/>
      </c>
      <c r="H58" s="118">
        <f>IFERROR(IF(INDEX('調整・決定'!$H$6:$H$29,MIN(calcA!$A$3,'設定'!$B$6)+15)="","",INDEX('調整・決定'!$H$6:$H$29,MIN(calcA!$A$3,'設定'!$B$6)+15)),"")</f>
        <v/>
      </c>
      <c r="M58">
        <f>IF(MIN(calcA!$A$3,'設定'!$B$6)+15&lt;='設定'!$B$6,"表示","隠す")</f>
        <v/>
      </c>
    </row>
    <row r="59" hidden="1" ht="20.9" customHeight="1">
      <c r="B59" s="117">
        <f>IFERROR(IF(INDEX('設定'!$I$11:$I$34,MIN(calcA!$A$3,'設定'!$B$6)+16)="","",SUBSTITUTE(SUBSTITUTE(SUBSTITUTE(SUBSTITUTE(SUBSTITUTE(SUBSTITUTE(SUBSTITUTE(SUBSTITUTE(SUBSTITUTE(SUBSTITUTE(SUBSTITUTE(SUBSTITUTE(INDEX('設定'!$I$11:$I$34,MIN(calcA!$A$3,'設定'!$B$6)+16),"〜",""),"0","０"),"1","１"),"2","２"),"3","３"),"4","４"),"5","５"),"6","６"),"7","７"),"8","８"),"9","９"),":","：")),"")</f>
        <v/>
      </c>
      <c r="C59" s="118">
        <f>IFERROR(IF(INDEX('調整・決定'!$C$6:$C$29,MIN(calcA!$A$3,'設定'!$B$6)+16)="","",INDEX('調整・決定'!$C$6:$C$29,MIN(calcA!$A$3,'設定'!$B$6)+16)),"")</f>
        <v/>
      </c>
      <c r="D59" s="118">
        <f>IFERROR(IF(INDEX('調整・決定'!$D$6:$D$29,MIN(calcA!$A$3,'設定'!$B$6)+16)="","",INDEX('調整・決定'!$D$6:$D$29,MIN(calcA!$A$3,'設定'!$B$6)+16)),"")</f>
        <v/>
      </c>
      <c r="E59" s="118">
        <f>IFERROR(IF(INDEX('調整・決定'!$E$6:$E$29,MIN(calcA!$A$3,'設定'!$B$6)+16)="","",INDEX('調整・決定'!$E$6:$E$29,MIN(calcA!$A$3,'設定'!$B$6)+16)),"")</f>
        <v/>
      </c>
      <c r="F59" s="118">
        <f>IFERROR(IF(INDEX('調整・決定'!$F$6:$F$29,MIN(calcA!$A$3,'設定'!$B$6)+16)="","",INDEX('調整・決定'!$F$6:$F$29,MIN(calcA!$A$3,'設定'!$B$6)+16)),"")</f>
        <v/>
      </c>
      <c r="G59" s="118">
        <f>IFERROR(IF(INDEX('調整・決定'!$G$6:$G$29,MIN(calcA!$A$3,'設定'!$B$6)+16)="","",INDEX('調整・決定'!$G$6:$G$29,MIN(calcA!$A$3,'設定'!$B$6)+16)),"")</f>
        <v/>
      </c>
      <c r="H59" s="118">
        <f>IFERROR(IF(INDEX('調整・決定'!$H$6:$H$29,MIN(calcA!$A$3,'設定'!$B$6)+16)="","",INDEX('調整・決定'!$H$6:$H$29,MIN(calcA!$A$3,'設定'!$B$6)+16)),"")</f>
        <v/>
      </c>
      <c r="M59">
        <f>IF(MIN(calcA!$A$3,'設定'!$B$6)+16&lt;='設定'!$B$6,"表示","隠す")</f>
        <v/>
      </c>
    </row>
    <row r="60" hidden="1" ht="20.9" customHeight="1">
      <c r="B60" s="117">
        <f>IFERROR(IF(INDEX('設定'!$I$11:$I$34,MIN(calcA!$A$3,'設定'!$B$6)+17)="","",SUBSTITUTE(SUBSTITUTE(SUBSTITUTE(SUBSTITUTE(SUBSTITUTE(SUBSTITUTE(SUBSTITUTE(SUBSTITUTE(SUBSTITUTE(SUBSTITUTE(SUBSTITUTE(SUBSTITUTE(INDEX('設定'!$I$11:$I$34,MIN(calcA!$A$3,'設定'!$B$6)+17),"〜",""),"0","０"),"1","１"),"2","２"),"3","３"),"4","４"),"5","５"),"6","６"),"7","７"),"8","８"),"9","９"),":","：")),"")</f>
        <v/>
      </c>
      <c r="C60" s="118">
        <f>IFERROR(IF(INDEX('調整・決定'!$C$6:$C$29,MIN(calcA!$A$3,'設定'!$B$6)+17)="","",INDEX('調整・決定'!$C$6:$C$29,MIN(calcA!$A$3,'設定'!$B$6)+17)),"")</f>
        <v/>
      </c>
      <c r="D60" s="118">
        <f>IFERROR(IF(INDEX('調整・決定'!$D$6:$D$29,MIN(calcA!$A$3,'設定'!$B$6)+17)="","",INDEX('調整・決定'!$D$6:$D$29,MIN(calcA!$A$3,'設定'!$B$6)+17)),"")</f>
        <v/>
      </c>
      <c r="E60" s="118">
        <f>IFERROR(IF(INDEX('調整・決定'!$E$6:$E$29,MIN(calcA!$A$3,'設定'!$B$6)+17)="","",INDEX('調整・決定'!$E$6:$E$29,MIN(calcA!$A$3,'設定'!$B$6)+17)),"")</f>
        <v/>
      </c>
      <c r="F60" s="118">
        <f>IFERROR(IF(INDEX('調整・決定'!$F$6:$F$29,MIN(calcA!$A$3,'設定'!$B$6)+17)="","",INDEX('調整・決定'!$F$6:$F$29,MIN(calcA!$A$3,'設定'!$B$6)+17)),"")</f>
        <v/>
      </c>
      <c r="G60" s="118">
        <f>IFERROR(IF(INDEX('調整・決定'!$G$6:$G$29,MIN(calcA!$A$3,'設定'!$B$6)+17)="","",INDEX('調整・決定'!$G$6:$G$29,MIN(calcA!$A$3,'設定'!$B$6)+17)),"")</f>
        <v/>
      </c>
      <c r="H60" s="118">
        <f>IFERROR(IF(INDEX('調整・決定'!$H$6:$H$29,MIN(calcA!$A$3,'設定'!$B$6)+17)="","",INDEX('調整・決定'!$H$6:$H$29,MIN(calcA!$A$3,'設定'!$B$6)+17)),"")</f>
        <v/>
      </c>
      <c r="M60">
        <f>IF(MIN(calcA!$A$3,'設定'!$B$6)+17&lt;='設定'!$B$6,"表示","隠す")</f>
        <v/>
      </c>
    </row>
    <row r="61" hidden="1" ht="20.9" customHeight="1">
      <c r="B61" s="117">
        <f>IFERROR(IF(INDEX('設定'!$I$11:$I$34,MIN(calcA!$A$3,'設定'!$B$6)+18)="","",SUBSTITUTE(SUBSTITUTE(SUBSTITUTE(SUBSTITUTE(SUBSTITUTE(SUBSTITUTE(SUBSTITUTE(SUBSTITUTE(SUBSTITUTE(SUBSTITUTE(SUBSTITUTE(SUBSTITUTE(INDEX('設定'!$I$11:$I$34,MIN(calcA!$A$3,'設定'!$B$6)+18),"〜",""),"0","０"),"1","１"),"2","２"),"3","３"),"4","４"),"5","５"),"6","６"),"7","７"),"8","８"),"9","９"),":","：")),"")</f>
        <v/>
      </c>
      <c r="C61" s="118">
        <f>IFERROR(IF(INDEX('調整・決定'!$C$6:$C$29,MIN(calcA!$A$3,'設定'!$B$6)+18)="","",INDEX('調整・決定'!$C$6:$C$29,MIN(calcA!$A$3,'設定'!$B$6)+18)),"")</f>
        <v/>
      </c>
      <c r="D61" s="118">
        <f>IFERROR(IF(INDEX('調整・決定'!$D$6:$D$29,MIN(calcA!$A$3,'設定'!$B$6)+18)="","",INDEX('調整・決定'!$D$6:$D$29,MIN(calcA!$A$3,'設定'!$B$6)+18)),"")</f>
        <v/>
      </c>
      <c r="E61" s="118">
        <f>IFERROR(IF(INDEX('調整・決定'!$E$6:$E$29,MIN(calcA!$A$3,'設定'!$B$6)+18)="","",INDEX('調整・決定'!$E$6:$E$29,MIN(calcA!$A$3,'設定'!$B$6)+18)),"")</f>
        <v/>
      </c>
      <c r="F61" s="118">
        <f>IFERROR(IF(INDEX('調整・決定'!$F$6:$F$29,MIN(calcA!$A$3,'設定'!$B$6)+18)="","",INDEX('調整・決定'!$F$6:$F$29,MIN(calcA!$A$3,'設定'!$B$6)+18)),"")</f>
        <v/>
      </c>
      <c r="G61" s="118">
        <f>IFERROR(IF(INDEX('調整・決定'!$G$6:$G$29,MIN(calcA!$A$3,'設定'!$B$6)+18)="","",INDEX('調整・決定'!$G$6:$G$29,MIN(calcA!$A$3,'設定'!$B$6)+18)),"")</f>
        <v/>
      </c>
      <c r="H61" s="118">
        <f>IFERROR(IF(INDEX('調整・決定'!$H$6:$H$29,MIN(calcA!$A$3,'設定'!$B$6)+18)="","",INDEX('調整・決定'!$H$6:$H$29,MIN(calcA!$A$3,'設定'!$B$6)+18)),"")</f>
        <v/>
      </c>
      <c r="M61">
        <f>IF(MIN(calcA!$A$3,'設定'!$B$6)+18&lt;='設定'!$B$6,"表示","隠す")</f>
        <v/>
      </c>
    </row>
    <row r="62" hidden="1" ht="20.9" customHeight="1">
      <c r="B62" s="117">
        <f>IFERROR(IF(INDEX('設定'!$I$11:$I$34,MIN(calcA!$A$3,'設定'!$B$6)+19)="","",SUBSTITUTE(SUBSTITUTE(SUBSTITUTE(SUBSTITUTE(SUBSTITUTE(SUBSTITUTE(SUBSTITUTE(SUBSTITUTE(SUBSTITUTE(SUBSTITUTE(SUBSTITUTE(SUBSTITUTE(INDEX('設定'!$I$11:$I$34,MIN(calcA!$A$3,'設定'!$B$6)+19),"〜",""),"0","０"),"1","１"),"2","２"),"3","３"),"4","４"),"5","５"),"6","６"),"7","７"),"8","８"),"9","９"),":","：")),"")</f>
        <v/>
      </c>
      <c r="C62" s="118">
        <f>IFERROR(IF(INDEX('調整・決定'!$C$6:$C$29,MIN(calcA!$A$3,'設定'!$B$6)+19)="","",INDEX('調整・決定'!$C$6:$C$29,MIN(calcA!$A$3,'設定'!$B$6)+19)),"")</f>
        <v/>
      </c>
      <c r="D62" s="118">
        <f>IFERROR(IF(INDEX('調整・決定'!$D$6:$D$29,MIN(calcA!$A$3,'設定'!$B$6)+19)="","",INDEX('調整・決定'!$D$6:$D$29,MIN(calcA!$A$3,'設定'!$B$6)+19)),"")</f>
        <v/>
      </c>
      <c r="E62" s="118">
        <f>IFERROR(IF(INDEX('調整・決定'!$E$6:$E$29,MIN(calcA!$A$3,'設定'!$B$6)+19)="","",INDEX('調整・決定'!$E$6:$E$29,MIN(calcA!$A$3,'設定'!$B$6)+19)),"")</f>
        <v/>
      </c>
      <c r="F62" s="118">
        <f>IFERROR(IF(INDEX('調整・決定'!$F$6:$F$29,MIN(calcA!$A$3,'設定'!$B$6)+19)="","",INDEX('調整・決定'!$F$6:$F$29,MIN(calcA!$A$3,'設定'!$B$6)+19)),"")</f>
        <v/>
      </c>
      <c r="G62" s="118">
        <f>IFERROR(IF(INDEX('調整・決定'!$G$6:$G$29,MIN(calcA!$A$3,'設定'!$B$6)+19)="","",INDEX('調整・決定'!$G$6:$G$29,MIN(calcA!$A$3,'設定'!$B$6)+19)),"")</f>
        <v/>
      </c>
      <c r="H62" s="118">
        <f>IFERROR(IF(INDEX('調整・決定'!$H$6:$H$29,MIN(calcA!$A$3,'設定'!$B$6)+19)="","",INDEX('調整・決定'!$H$6:$H$29,MIN(calcA!$A$3,'設定'!$B$6)+19)),"")</f>
        <v/>
      </c>
      <c r="M62">
        <f>IF(MIN(calcA!$A$3,'設定'!$B$6)+19&lt;='設定'!$B$6,"表示","隠す")</f>
        <v/>
      </c>
    </row>
    <row r="63" hidden="1" ht="20.9" customHeight="1">
      <c r="B63" s="117">
        <f>IFERROR(IF(INDEX('設定'!$I$11:$I$34,MIN(calcA!$A$3,'設定'!$B$6)+20)="","",SUBSTITUTE(SUBSTITUTE(SUBSTITUTE(SUBSTITUTE(SUBSTITUTE(SUBSTITUTE(SUBSTITUTE(SUBSTITUTE(SUBSTITUTE(SUBSTITUTE(SUBSTITUTE(SUBSTITUTE(INDEX('設定'!$I$11:$I$34,MIN(calcA!$A$3,'設定'!$B$6)+20),"〜",""),"0","０"),"1","１"),"2","２"),"3","３"),"4","４"),"5","５"),"6","６"),"7","７"),"8","８"),"9","９"),":","：")),"")</f>
        <v/>
      </c>
      <c r="C63" s="118">
        <f>IFERROR(IF(INDEX('調整・決定'!$C$6:$C$29,MIN(calcA!$A$3,'設定'!$B$6)+20)="","",INDEX('調整・決定'!$C$6:$C$29,MIN(calcA!$A$3,'設定'!$B$6)+20)),"")</f>
        <v/>
      </c>
      <c r="D63" s="118">
        <f>IFERROR(IF(INDEX('調整・決定'!$D$6:$D$29,MIN(calcA!$A$3,'設定'!$B$6)+20)="","",INDEX('調整・決定'!$D$6:$D$29,MIN(calcA!$A$3,'設定'!$B$6)+20)),"")</f>
        <v/>
      </c>
      <c r="E63" s="118">
        <f>IFERROR(IF(INDEX('調整・決定'!$E$6:$E$29,MIN(calcA!$A$3,'設定'!$B$6)+20)="","",INDEX('調整・決定'!$E$6:$E$29,MIN(calcA!$A$3,'設定'!$B$6)+20)),"")</f>
        <v/>
      </c>
      <c r="F63" s="118">
        <f>IFERROR(IF(INDEX('調整・決定'!$F$6:$F$29,MIN(calcA!$A$3,'設定'!$B$6)+20)="","",INDEX('調整・決定'!$F$6:$F$29,MIN(calcA!$A$3,'設定'!$B$6)+20)),"")</f>
        <v/>
      </c>
      <c r="G63" s="118">
        <f>IFERROR(IF(INDEX('調整・決定'!$G$6:$G$29,MIN(calcA!$A$3,'設定'!$B$6)+20)="","",INDEX('調整・決定'!$G$6:$G$29,MIN(calcA!$A$3,'設定'!$B$6)+20)),"")</f>
        <v/>
      </c>
      <c r="H63" s="118">
        <f>IFERROR(IF(INDEX('調整・決定'!$H$6:$H$29,MIN(calcA!$A$3,'設定'!$B$6)+20)="","",INDEX('調整・決定'!$H$6:$H$29,MIN(calcA!$A$3,'設定'!$B$6)+20)),"")</f>
        <v/>
      </c>
      <c r="M63">
        <f>IF(MIN(calcA!$A$3,'設定'!$B$6)+20&lt;='設定'!$B$6,"表示","隠す")</f>
        <v/>
      </c>
    </row>
    <row r="64" hidden="1" ht="20.9" customHeight="1">
      <c r="B64" s="117">
        <f>IFERROR(IF(INDEX('設定'!$I$11:$I$34,MIN(calcA!$A$3,'設定'!$B$6)+21)="","",SUBSTITUTE(SUBSTITUTE(SUBSTITUTE(SUBSTITUTE(SUBSTITUTE(SUBSTITUTE(SUBSTITUTE(SUBSTITUTE(SUBSTITUTE(SUBSTITUTE(SUBSTITUTE(SUBSTITUTE(INDEX('設定'!$I$11:$I$34,MIN(calcA!$A$3,'設定'!$B$6)+21),"〜",""),"0","０"),"1","１"),"2","２"),"3","３"),"4","４"),"5","５"),"6","６"),"7","７"),"8","８"),"9","９"),":","：")),"")</f>
        <v/>
      </c>
      <c r="C64" s="118">
        <f>IFERROR(IF(INDEX('調整・決定'!$C$6:$C$29,MIN(calcA!$A$3,'設定'!$B$6)+21)="","",INDEX('調整・決定'!$C$6:$C$29,MIN(calcA!$A$3,'設定'!$B$6)+21)),"")</f>
        <v/>
      </c>
      <c r="D64" s="118">
        <f>IFERROR(IF(INDEX('調整・決定'!$D$6:$D$29,MIN(calcA!$A$3,'設定'!$B$6)+21)="","",INDEX('調整・決定'!$D$6:$D$29,MIN(calcA!$A$3,'設定'!$B$6)+21)),"")</f>
        <v/>
      </c>
      <c r="E64" s="118">
        <f>IFERROR(IF(INDEX('調整・決定'!$E$6:$E$29,MIN(calcA!$A$3,'設定'!$B$6)+21)="","",INDEX('調整・決定'!$E$6:$E$29,MIN(calcA!$A$3,'設定'!$B$6)+21)),"")</f>
        <v/>
      </c>
      <c r="F64" s="118">
        <f>IFERROR(IF(INDEX('調整・決定'!$F$6:$F$29,MIN(calcA!$A$3,'設定'!$B$6)+21)="","",INDEX('調整・決定'!$F$6:$F$29,MIN(calcA!$A$3,'設定'!$B$6)+21)),"")</f>
        <v/>
      </c>
      <c r="G64" s="118">
        <f>IFERROR(IF(INDEX('調整・決定'!$G$6:$G$29,MIN(calcA!$A$3,'設定'!$B$6)+21)="","",INDEX('調整・決定'!$G$6:$G$29,MIN(calcA!$A$3,'設定'!$B$6)+21)),"")</f>
        <v/>
      </c>
      <c r="H64" s="118">
        <f>IFERROR(IF(INDEX('調整・決定'!$H$6:$H$29,MIN(calcA!$A$3,'設定'!$B$6)+21)="","",INDEX('調整・決定'!$H$6:$H$29,MIN(calcA!$A$3,'設定'!$B$6)+21)),"")</f>
        <v/>
      </c>
      <c r="M64">
        <f>IF(MIN(calcA!$A$3,'設定'!$B$6)+21&lt;='設定'!$B$6,"表示","隠す")</f>
        <v/>
      </c>
    </row>
    <row r="65" hidden="1" ht="20.9" customHeight="1">
      <c r="B65" s="117">
        <f>IFERROR(IF(INDEX('設定'!$I$11:$I$34,MIN(calcA!$A$3,'設定'!$B$6)+22)="","",SUBSTITUTE(SUBSTITUTE(SUBSTITUTE(SUBSTITUTE(SUBSTITUTE(SUBSTITUTE(SUBSTITUTE(SUBSTITUTE(SUBSTITUTE(SUBSTITUTE(SUBSTITUTE(SUBSTITUTE(INDEX('設定'!$I$11:$I$34,MIN(calcA!$A$3,'設定'!$B$6)+22),"〜",""),"0","０"),"1","１"),"2","２"),"3","３"),"4","４"),"5","５"),"6","６"),"7","７"),"8","８"),"9","９"),":","：")),"")</f>
        <v/>
      </c>
      <c r="C65" s="118">
        <f>IFERROR(IF(INDEX('調整・決定'!$C$6:$C$29,MIN(calcA!$A$3,'設定'!$B$6)+22)="","",INDEX('調整・決定'!$C$6:$C$29,MIN(calcA!$A$3,'設定'!$B$6)+22)),"")</f>
        <v/>
      </c>
      <c r="D65" s="118">
        <f>IFERROR(IF(INDEX('調整・決定'!$D$6:$D$29,MIN(calcA!$A$3,'設定'!$B$6)+22)="","",INDEX('調整・決定'!$D$6:$D$29,MIN(calcA!$A$3,'設定'!$B$6)+22)),"")</f>
        <v/>
      </c>
      <c r="E65" s="118">
        <f>IFERROR(IF(INDEX('調整・決定'!$E$6:$E$29,MIN(calcA!$A$3,'設定'!$B$6)+22)="","",INDEX('調整・決定'!$E$6:$E$29,MIN(calcA!$A$3,'設定'!$B$6)+22)),"")</f>
        <v/>
      </c>
      <c r="F65" s="118">
        <f>IFERROR(IF(INDEX('調整・決定'!$F$6:$F$29,MIN(calcA!$A$3,'設定'!$B$6)+22)="","",INDEX('調整・決定'!$F$6:$F$29,MIN(calcA!$A$3,'設定'!$B$6)+22)),"")</f>
        <v/>
      </c>
      <c r="G65" s="118">
        <f>IFERROR(IF(INDEX('調整・決定'!$G$6:$G$29,MIN(calcA!$A$3,'設定'!$B$6)+22)="","",INDEX('調整・決定'!$G$6:$G$29,MIN(calcA!$A$3,'設定'!$B$6)+22)),"")</f>
        <v/>
      </c>
      <c r="H65" s="118">
        <f>IFERROR(IF(INDEX('調整・決定'!$H$6:$H$29,MIN(calcA!$A$3,'設定'!$B$6)+22)="","",INDEX('調整・決定'!$H$6:$H$29,MIN(calcA!$A$3,'設定'!$B$6)+22)),"")</f>
        <v/>
      </c>
      <c r="M65">
        <f>IF(MIN(calcA!$A$3,'設定'!$B$6)+22&lt;='設定'!$B$6,"表示","隠す")</f>
        <v/>
      </c>
    </row>
    <row r="66" hidden="1" ht="20.9" customHeight="1">
      <c r="B66" s="117">
        <f>IFERROR(IF(INDEX('設定'!$I$11:$I$34,MIN(calcA!$A$3,'設定'!$B$6)+23)="","",SUBSTITUTE(SUBSTITUTE(SUBSTITUTE(SUBSTITUTE(SUBSTITUTE(SUBSTITUTE(SUBSTITUTE(SUBSTITUTE(SUBSTITUTE(SUBSTITUTE(SUBSTITUTE(SUBSTITUTE(INDEX('設定'!$I$11:$I$34,MIN(calcA!$A$3,'設定'!$B$6)+23),"〜",""),"0","０"),"1","１"),"2","２"),"3","３"),"4","４"),"5","５"),"6","６"),"7","７"),"8","８"),"9","９"),":","：")),"")</f>
        <v/>
      </c>
      <c r="C66" s="118">
        <f>IFERROR(IF(INDEX('調整・決定'!$C$6:$C$29,MIN(calcA!$A$3,'設定'!$B$6)+23)="","",INDEX('調整・決定'!$C$6:$C$29,MIN(calcA!$A$3,'設定'!$B$6)+23)),"")</f>
        <v/>
      </c>
      <c r="D66" s="118">
        <f>IFERROR(IF(INDEX('調整・決定'!$D$6:$D$29,MIN(calcA!$A$3,'設定'!$B$6)+23)="","",INDEX('調整・決定'!$D$6:$D$29,MIN(calcA!$A$3,'設定'!$B$6)+23)),"")</f>
        <v/>
      </c>
      <c r="E66" s="118">
        <f>IFERROR(IF(INDEX('調整・決定'!$E$6:$E$29,MIN(calcA!$A$3,'設定'!$B$6)+23)="","",INDEX('調整・決定'!$E$6:$E$29,MIN(calcA!$A$3,'設定'!$B$6)+23)),"")</f>
        <v/>
      </c>
      <c r="F66" s="118">
        <f>IFERROR(IF(INDEX('調整・決定'!$F$6:$F$29,MIN(calcA!$A$3,'設定'!$B$6)+23)="","",INDEX('調整・決定'!$F$6:$F$29,MIN(calcA!$A$3,'設定'!$B$6)+23)),"")</f>
        <v/>
      </c>
      <c r="G66" s="118">
        <f>IFERROR(IF(INDEX('調整・決定'!$G$6:$G$29,MIN(calcA!$A$3,'設定'!$B$6)+23)="","",INDEX('調整・決定'!$G$6:$G$29,MIN(calcA!$A$3,'設定'!$B$6)+23)),"")</f>
        <v/>
      </c>
      <c r="H66" s="118">
        <f>IFERROR(IF(INDEX('調整・決定'!$H$6:$H$29,MIN(calcA!$A$3,'設定'!$B$6)+23)="","",INDEX('調整・決定'!$H$6:$H$29,MIN(calcA!$A$3,'設定'!$B$6)+23)),"")</f>
        <v/>
      </c>
      <c r="M66">
        <f>IF(MIN(calcA!$A$3,'設定'!$B$6)+23&lt;='設定'!$B$6,"表示","隠す")</f>
        <v/>
      </c>
    </row>
    <row r="67" hidden="1" ht="20.9" customHeight="1">
      <c r="B67" s="117">
        <f>IFERROR(IF(INDEX('設定'!$I$11:$I$34,MIN(calcA!$A$3,'設定'!$B$6)+24)="","",SUBSTITUTE(SUBSTITUTE(SUBSTITUTE(SUBSTITUTE(SUBSTITUTE(SUBSTITUTE(SUBSTITUTE(SUBSTITUTE(SUBSTITUTE(SUBSTITUTE(SUBSTITUTE(SUBSTITUTE(INDEX('設定'!$I$11:$I$34,MIN(calcA!$A$3,'設定'!$B$6)+24),"〜",""),"0","０"),"1","１"),"2","２"),"3","３"),"4","４"),"5","５"),"6","６"),"7","７"),"8","８"),"9","９"),":","：")),"")</f>
        <v/>
      </c>
      <c r="C67" s="118">
        <f>IFERROR(IF(INDEX('調整・決定'!$C$6:$C$29,MIN(calcA!$A$3,'設定'!$B$6)+24)="","",INDEX('調整・決定'!$C$6:$C$29,MIN(calcA!$A$3,'設定'!$B$6)+24)),"")</f>
        <v/>
      </c>
      <c r="D67" s="118">
        <f>IFERROR(IF(INDEX('調整・決定'!$D$6:$D$29,MIN(calcA!$A$3,'設定'!$B$6)+24)="","",INDEX('調整・決定'!$D$6:$D$29,MIN(calcA!$A$3,'設定'!$B$6)+24)),"")</f>
        <v/>
      </c>
      <c r="E67" s="118">
        <f>IFERROR(IF(INDEX('調整・決定'!$E$6:$E$29,MIN(calcA!$A$3,'設定'!$B$6)+24)="","",INDEX('調整・決定'!$E$6:$E$29,MIN(calcA!$A$3,'設定'!$B$6)+24)),"")</f>
        <v/>
      </c>
      <c r="F67" s="118">
        <f>IFERROR(IF(INDEX('調整・決定'!$F$6:$F$29,MIN(calcA!$A$3,'設定'!$B$6)+24)="","",INDEX('調整・決定'!$F$6:$F$29,MIN(calcA!$A$3,'設定'!$B$6)+24)),"")</f>
        <v/>
      </c>
      <c r="G67" s="118">
        <f>IFERROR(IF(INDEX('調整・決定'!$G$6:$G$29,MIN(calcA!$A$3,'設定'!$B$6)+24)="","",INDEX('調整・決定'!$G$6:$G$29,MIN(calcA!$A$3,'設定'!$B$6)+24)),"")</f>
        <v/>
      </c>
      <c r="H67" s="118">
        <f>IFERROR(IF(INDEX('調整・決定'!$H$6:$H$29,MIN(calcA!$A$3,'設定'!$B$6)+24)="","",INDEX('調整・決定'!$H$6:$H$29,MIN(calcA!$A$3,'設定'!$B$6)+24)),"")</f>
        <v/>
      </c>
      <c r="M67">
        <f>IF(MIN(calcA!$A$3,'設定'!$B$6)+24&lt;='設定'!$B$6,"表示","隠す")</f>
        <v/>
      </c>
    </row>
  </sheetData>
  <autoFilter ref="B13:M67">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s>
        <filter val="表示"/>
      </filters>
    </filterColumn>
  </autoFilter>
  <mergeCells count="6">
    <mergeCell ref="F5:G5"/>
    <mergeCell ref="B8:G8"/>
    <mergeCell ref="F6:G6"/>
    <mergeCell ref="B12:G12"/>
    <mergeCell ref="B3:H3"/>
    <mergeCell ref="F7:G7"/>
  </mergeCells>
  <conditionalFormatting sqref="B43">
    <cfRule type="expression" priority="1" dxfId="27">
      <formula>TRUE</formula>
    </cfRule>
  </conditionalFormatting>
  <conditionalFormatting sqref="C43">
    <cfRule type="expression" priority="2" dxfId="27">
      <formula>C$18&lt;&gt;""</formula>
    </cfRule>
  </conditionalFormatting>
  <conditionalFormatting sqref="D43">
    <cfRule type="expression" priority="3" dxfId="27">
      <formula>D$18&lt;&gt;""</formula>
    </cfRule>
  </conditionalFormatting>
  <conditionalFormatting sqref="E43">
    <cfRule type="expression" priority="4" dxfId="27">
      <formula>E$18&lt;&gt;""</formula>
    </cfRule>
  </conditionalFormatting>
  <conditionalFormatting sqref="F43">
    <cfRule type="expression" priority="5" dxfId="27">
      <formula>F$18&lt;&gt;""</formula>
    </cfRule>
  </conditionalFormatting>
  <conditionalFormatting sqref="G43">
    <cfRule type="expression" priority="6" dxfId="27">
      <formula>G$18&lt;&gt;""</formula>
    </cfRule>
  </conditionalFormatting>
  <conditionalFormatting sqref="H43">
    <cfRule type="expression" priority="7" dxfId="27">
      <formula>H$18&lt;&gt;""</formula>
    </cfRule>
  </conditionalFormatting>
  <conditionalFormatting sqref="B18">
    <cfRule type="expression" priority="8" dxfId="28">
      <formula>TRUE</formula>
    </cfRule>
  </conditionalFormatting>
  <conditionalFormatting sqref="B19:B67">
    <cfRule type="expression" priority="9" dxfId="28">
      <formula>$B19&lt;&gt;""</formula>
    </cfRule>
  </conditionalFormatting>
  <conditionalFormatting sqref="C18:C67">
    <cfRule type="expression" priority="10" dxfId="28">
      <formula>AND(C$18&lt;&gt;"",OR(ROW()=18,$B18&lt;&gt;""))</formula>
    </cfRule>
  </conditionalFormatting>
  <conditionalFormatting sqref="D18:D67">
    <cfRule type="expression" priority="11" dxfId="28">
      <formula>AND(D$18&lt;&gt;"",OR(ROW()=18,$B18&lt;&gt;""))</formula>
    </cfRule>
  </conditionalFormatting>
  <conditionalFormatting sqref="E18:E67">
    <cfRule type="expression" priority="12" dxfId="28">
      <formula>AND(E$18&lt;&gt;"",OR(ROW()=18,$B18&lt;&gt;""))</formula>
    </cfRule>
  </conditionalFormatting>
  <conditionalFormatting sqref="F18:F67">
    <cfRule type="expression" priority="13" dxfId="28">
      <formula>AND(F$18&lt;&gt;"",OR(ROW()=18,$B18&lt;&gt;""))</formula>
    </cfRule>
  </conditionalFormatting>
  <conditionalFormatting sqref="G18:G67">
    <cfRule type="expression" priority="14" dxfId="28">
      <formula>AND(G$18&lt;&gt;"",OR(ROW()=18,$B18&lt;&gt;""))</formula>
    </cfRule>
  </conditionalFormatting>
  <conditionalFormatting sqref="H18:H67">
    <cfRule type="expression" priority="15" dxfId="28">
      <formula>AND(H$18&lt;&gt;"",OR(ROW()=18,$B18&lt;&gt;""))</formula>
    </cfRule>
  </conditionalFormatting>
  <conditionalFormatting sqref="B3:H3">
    <cfRule type="expression" priority="16" dxfId="12">
      <formula>$B$3&lt;&gt;""</formula>
    </cfRule>
  </conditionalFormatting>
  <pageMargins left="0.5" right="0.5" top="0.5" bottom="0.5" header="0" footer="0"/>
  <pageSetup orientation="portrait" paperSize="9" fitToHeight="1" fitToWidth="1"/>
</worksheet>
</file>

<file path=xl/worksheets/sheet10.xml><?xml version="1.0" encoding="utf-8"?>
<worksheet xmlns="http://schemas.openxmlformats.org/spreadsheetml/2006/main">
  <sheetPr>
    <tabColor rgb="002E8B57"/>
    <outlinePr summaryBelow="1" summaryRight="1"/>
    <pageSetUpPr fitToPage="1"/>
  </sheetPr>
  <dimension ref="A1:Q46"/>
  <sheetViews>
    <sheetView showGridLines="0" showRowColHeaders="0" workbookViewId="0">
      <selection activeCell="A1" sqref="A1"/>
    </sheetView>
  </sheetViews>
  <sheetFormatPr baseColWidth="8" defaultRowHeight="15"/>
  <cols>
    <col width="0.91" customWidth="1" min="1" max="1"/>
    <col width="5.2" customWidth="1" min="2" max="2"/>
    <col width="5.36" customWidth="1" min="3" max="3"/>
    <col width="15.43" customWidth="1" min="4" max="4"/>
    <col width="15.43" customWidth="1" min="5" max="5"/>
    <col width="9.41" customWidth="1" min="6" max="6"/>
    <col width="5.31" customWidth="1" min="7" max="7"/>
    <col width="15.43" customWidth="1" min="8" max="8"/>
    <col width="9.52" customWidth="1" min="9" max="9"/>
    <col width="5.2" customWidth="1" min="10" max="10"/>
    <col width="15.43" customWidth="1" min="11" max="11"/>
    <col hidden="1" width="15" customWidth="1" min="12" max="12"/>
    <col width="15" customWidth="1" min="13" max="13"/>
    <col width="15" customWidth="1" min="14" max="14"/>
    <col width="15" customWidth="1" min="15" max="15"/>
    <col width="15" customWidth="1" min="16" max="16"/>
    <col width="15" customWidth="1" min="17" max="17"/>
  </cols>
  <sheetData>
    <row r="1" ht="44" customHeight="1">
      <c r="A1" s="2" t="n"/>
      <c r="B1" s="72" t="inlineStr">
        <is>
          <t>お手紙（秋）</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3">
        <f>HYPERLINK("#'自動案B'!A1","④ 自動案B")</f>
        <v/>
      </c>
      <c r="N1" s="23">
        <f>HYPERLINK("#'調整・決定'!A1","⑤ 調整・決定")</f>
        <v/>
      </c>
      <c r="O1" s="23">
        <f>HYPERLINK("#'兄弟確認用'!A1","⑥ 兄弟確認")</f>
        <v/>
      </c>
      <c r="P1" s="23">
        <f>HYPERLINK("#'お手紙（夏）'!A1","⑦ お手紙 夏")</f>
        <v/>
      </c>
      <c r="Q1" s="24">
        <f>HYPERLINK("#'お手紙（秋）'!A1","⑧ お手紙 秋")</f>
        <v/>
      </c>
    </row>
    <row r="2" ht="24" customHeight="1">
      <c r="A2" s="5" t="n"/>
      <c r="B2" s="73" t="inlineStr">
        <is>
          <t>保護者へのお知らせです。宛名・日付・本文などは「設定」のいちばん下で決めます。このまま印刷できます（A4たて）。</t>
        </is>
      </c>
      <c r="C2" s="5" t="n"/>
      <c r="D2" s="5" t="n"/>
      <c r="E2" s="5" t="n"/>
      <c r="F2" s="5" t="n"/>
      <c r="G2" s="5" t="n"/>
      <c r="H2" s="5" t="n"/>
      <c r="I2" s="5" t="n"/>
      <c r="J2" s="5" t="n"/>
      <c r="K2" s="5" t="n"/>
      <c r="L2" s="5" t="n"/>
      <c r="M2" s="5" t="n"/>
      <c r="N2" s="5" t="n"/>
      <c r="O2" s="5" t="n"/>
      <c r="P2" s="5" t="n"/>
      <c r="Q2" s="5" t="n"/>
    </row>
    <row r="3" ht="48" customHeight="1">
      <c r="B3" s="112">
        <f>IF(SUBTOTAL(103,L17:L46)&lt;&gt;COUNTIF(L17:L46,"表示"),"⚠ 設定で枠の数が変わりました。このシートで Ctrl＋Alt＋L を押してください"&amp;CHAR(10)&amp;"（押さないと、増えた時刻の行が印刷されません）","")</f>
        <v/>
      </c>
    </row>
    <row r="4" ht="23.8" customHeight="1"/>
    <row r="5" ht="18" customHeight="1">
      <c r="C5" s="113">
        <f>IF('設定'!$B$31="","　",IF(RIGHT('設定'!$B$31,1)="年",LEFT('設定'!$B$31,LEN('設定'!$B$31)-1),'設定'!$B$31))&amp;"年"&amp;IF('設定'!$B$32="","　",IF(RIGHT('設定'!$B$32,1)="組",LEFT('設定'!$B$32,LEN('設定'!$B$32)-1),'設定'!$B$32))&amp;"組"&amp;"　保護者様"</f>
        <v/>
      </c>
      <c r="G5" s="114">
        <f>IFERROR(IF('設定'!$B$35="","","令和"&amp;(YEAR('設定'!$B$35)-2018)&amp;"年"&amp;MONTH('設定'!$B$35)&amp;"月"&amp;DAY('設定'!$B$35)&amp;"日（"&amp;CHOOSE(WEEKDAY('設定'!$B$35),"日","月","火","水","木","金","土")&amp;"）"),'設定'!$B$35&amp;"")</f>
        <v/>
      </c>
    </row>
    <row r="6" ht="18" customHeight="1">
      <c r="G6" s="114">
        <f>IF('設定'!$B$34="","",'設定'!$B$34)</f>
        <v/>
      </c>
    </row>
    <row r="7" ht="18" customHeight="1">
      <c r="G7" s="114">
        <f>IF('設定'!$B$31="","　",IF(RIGHT('設定'!$B$31,1)="年",LEFT('設定'!$B$31,LEN('設定'!$B$31)-1),'設定'!$B$31))&amp;"年"&amp;IF('設定'!$B$32="","　",IF(RIGHT('設定'!$B$32,1)="組",LEFT('設定'!$B$32,LEN('設定'!$B$32)-1),'設定'!$B$32))&amp;"組"&amp;"　担任　"&amp;'設定'!$B$33</f>
        <v/>
      </c>
    </row>
    <row r="8" ht="36" customHeight="1">
      <c r="C8" s="119">
        <f>IF('設定'!$B$36="個人面談","個人面談",IF('設定'!$B$36="進路面談","進路面談",IF(OR(IF(RIGHT('設定'!$B$31,1)="年",LEFT('設定'!$B$31,LEN('設定'!$B$31)-1),'設定'!$B$31)&amp;""="6",IF(RIGHT('設定'!$B$31,1)="年",LEFT('設定'!$B$31,LEN('設定'!$B$31)-1),'設定'!$B$31)&amp;""="６"),"進路面談","個人面談")))&amp;"のお知らせ"</f>
        <v/>
      </c>
    </row>
    <row r="9" ht="18" customHeight="1"/>
    <row r="10" ht="18" customHeight="1">
      <c r="C10" s="113">
        <f>MID(SUBSTITUTE('設定'!$B$37,"【面談】",IF('設定'!$B$36="個人面談","個人面談",IF('設定'!$B$36="進路面談","進路面談",IF(OR(IF(RIGHT('設定'!$B$31,1)="年",LEFT('設定'!$B$31,LEN('設定'!$B$31)-1),'設定'!$B$31)&amp;""="6",IF(RIGHT('設定'!$B$31,1)="年",LEFT('設定'!$B$31,LEN('設定'!$B$31)-1),'設定'!$B$31)&amp;""="６"),"進路面談","個人面談")))),1,35)</f>
        <v/>
      </c>
    </row>
    <row r="11" ht="18" customHeight="1">
      <c r="C11" s="113">
        <f>MID(SUBSTITUTE('設定'!$B$37,"【面談】",IF('設定'!$B$36="個人面談","個人面談",IF('設定'!$B$36="進路面談","進路面談",IF(OR(IF(RIGHT('設定'!$B$31,1)="年",LEFT('設定'!$B$31,LEN('設定'!$B$31)-1),'設定'!$B$31)&amp;""="6",IF(RIGHT('設定'!$B$31,1)="年",LEFT('設定'!$B$31,LEN('設定'!$B$31)-1),'設定'!$B$31)&amp;""="６"),"進路面談","個人面談")))),36,35)</f>
        <v/>
      </c>
    </row>
    <row r="12" ht="18" customHeight="1">
      <c r="C12" s="113">
        <f>MID(SUBSTITUTE('設定'!$B$37,"【面談】",IF('設定'!$B$36="個人面談","個人面談",IF('設定'!$B$36="進路面談","進路面談",IF(OR(IF(RIGHT('設定'!$B$31,1)="年",LEFT('設定'!$B$31,LEN('設定'!$B$31)-1),'設定'!$B$31)&amp;""="6",IF(RIGHT('設定'!$B$31,1)="年",LEFT('設定'!$B$31,LEN('設定'!$B$31)-1),'設定'!$B$31)&amp;""="６"),"進路面談","個人面談")))),71,35)</f>
        <v/>
      </c>
    </row>
    <row r="13" ht="18" customHeight="1">
      <c r="C13" s="113">
        <f>MID(SUBSTITUTE('設定'!$B$37,"【面談】",IF('設定'!$B$36="個人面談","個人面談",IF('設定'!$B$36="進路面談","進路面談",IF(OR(IF(RIGHT('設定'!$B$31,1)="年",LEFT('設定'!$B$31,LEN('設定'!$B$31)-1),'設定'!$B$31)&amp;""="6",IF(RIGHT('設定'!$B$31,1)="年",LEFT('設定'!$B$31,LEN('設定'!$B$31)-1),'設定'!$B$31)&amp;""="６"),"進路面談","個人面談")))),106,35)</f>
        <v/>
      </c>
    </row>
    <row r="14" ht="18" customHeight="1">
      <c r="C14" s="116" t="inlineStr">
        <is>
          <t>記</t>
        </is>
      </c>
    </row>
    <row r="15" ht="11.2" customHeight="1"/>
    <row r="16" ht="17.3" customHeight="1">
      <c r="D16" s="120">
        <f>SUBSTITUTE(SUBSTITUTE(SUBSTITUTE(SUBSTITUTE(SUBSTITUTE(SUBSTITUTE(SUBSTITUTE(SUBSTITUTE(SUBSTITUTE(SUBSTITUTE(SUBSTITUTE('設定'!$E$11,"0","０"),"1","１"),"2","２"),"3","３"),"4","４"),"5","５"),"6","６"),"7","７"),"8","８"),"9","９"),":","：")</f>
        <v/>
      </c>
      <c r="E16" s="120">
        <f>SUBSTITUTE(SUBSTITUTE(SUBSTITUTE(SUBSTITUTE(SUBSTITUTE(SUBSTITUTE(SUBSTITUTE(SUBSTITUTE(SUBSTITUTE(SUBSTITUTE(SUBSTITUTE('設定'!$E$12,"0","０"),"1","１"),"2","２"),"3","３"),"4","４"),"5","５"),"6","６"),"7","７"),"8","８"),"9","９"),":","：")</f>
        <v/>
      </c>
      <c r="F16" s="120">
        <f>SUBSTITUTE(SUBSTITUTE(SUBSTITUTE(SUBSTITUTE(SUBSTITUTE(SUBSTITUTE(SUBSTITUTE(SUBSTITUTE(SUBSTITUTE(SUBSTITUTE(SUBSTITUTE('設定'!$E$13,"0","０"),"1","１"),"2","２"),"3","３"),"4","４"),"5","５"),"6","６"),"7","７"),"8","８"),"9","９"),":","：")</f>
        <v/>
      </c>
      <c r="H16" s="120">
        <f>SUBSTITUTE(SUBSTITUTE(SUBSTITUTE(SUBSTITUTE(SUBSTITUTE(SUBSTITUTE(SUBSTITUTE(SUBSTITUTE(SUBSTITUTE(SUBSTITUTE(SUBSTITUTE('設定'!$E$14,"0","０"),"1","１"),"2","２"),"3","３"),"4","４"),"5","５"),"6","６"),"7","７"),"8","８"),"9","９"),":","：")</f>
        <v/>
      </c>
      <c r="I16" s="120">
        <f>SUBSTITUTE(SUBSTITUTE(SUBSTITUTE(SUBSTITUTE(SUBSTITUTE(SUBSTITUTE(SUBSTITUTE(SUBSTITUTE(SUBSTITUTE(SUBSTITUTE(SUBSTITUTE('設定'!$E$15,"0","０"),"1","１"),"2","２"),"3","３"),"4","４"),"5","５"),"6","６"),"7","７"),"8","８"),"9","９"),":","：")</f>
        <v/>
      </c>
      <c r="K16" s="120">
        <f>SUBSTITUTE(SUBSTITUTE(SUBSTITUTE(SUBSTITUTE(SUBSTITUTE(SUBSTITUTE(SUBSTITUTE(SUBSTITUTE(SUBSTITUTE(SUBSTITUTE(SUBSTITUTE('設定'!$E$16,"0","０"),"1","１"),"2","２"),"3","３"),"4","４"),"5","５"),"6","６"),"7","７"),"8","８"),"9","９"),":","：")</f>
        <v/>
      </c>
      <c r="L16" t="inlineStr">
        <is>
          <t>表示</t>
        </is>
      </c>
    </row>
    <row r="17" ht="33.5" customHeight="1">
      <c r="B17" s="117">
        <f>IF('設定'!$I$11="","",SUBSTITUTE(SUBSTITUTE(SUBSTITUTE(SUBSTITUTE(SUBSTITUTE(SUBSTITUTE(SUBSTITUTE(SUBSTITUTE(SUBSTITUTE(SUBSTITUTE(SUBSTITUTE(SUBSTITUTE('設定'!$I$11,"〜",""),"0","０"),"1","１"),"2","２"),"3","３"),"4","４"),"5","５"),"6","６"),"7","７"),"8","８"),"9","９"),":","：")&amp;"～")</f>
        <v/>
      </c>
      <c r="D17" s="118">
        <f>IF('調整・決定'!C6="","",'調整・決定'!C6)</f>
        <v/>
      </c>
      <c r="E17" s="118">
        <f>IF('調整・決定'!D6="","",'調整・決定'!D6)</f>
        <v/>
      </c>
      <c r="F17" s="118">
        <f>IF('調整・決定'!E6="","",'調整・決定'!E6)</f>
        <v/>
      </c>
      <c r="H17" s="118">
        <f>IF('調整・決定'!F6="","",'調整・決定'!F6)</f>
        <v/>
      </c>
      <c r="I17" s="118">
        <f>IF('調整・決定'!G6="","",'調整・決定'!G6)</f>
        <v/>
      </c>
      <c r="K17" s="118">
        <f>IF('調整・決定'!H6="","",'調整・決定'!H6)</f>
        <v/>
      </c>
      <c r="L17">
        <f>IF(1&lt;='設定'!$B$6,"表示","隠す")</f>
        <v/>
      </c>
    </row>
    <row r="18" ht="33.5" customHeight="1">
      <c r="B18" s="117">
        <f>IF('設定'!$I$12="","",SUBSTITUTE(SUBSTITUTE(SUBSTITUTE(SUBSTITUTE(SUBSTITUTE(SUBSTITUTE(SUBSTITUTE(SUBSTITUTE(SUBSTITUTE(SUBSTITUTE(SUBSTITUTE(SUBSTITUTE('設定'!$I$12,"〜",""),"0","０"),"1","１"),"2","２"),"3","３"),"4","４"),"5","５"),"6","６"),"7","７"),"8","８"),"9","９"),":","：")&amp;"～")</f>
        <v/>
      </c>
      <c r="D18" s="118">
        <f>IF('調整・決定'!C7="","",'調整・決定'!C7)</f>
        <v/>
      </c>
      <c r="E18" s="118">
        <f>IF('調整・決定'!D7="","",'調整・決定'!D7)</f>
        <v/>
      </c>
      <c r="F18" s="118">
        <f>IF('調整・決定'!E7="","",'調整・決定'!E7)</f>
        <v/>
      </c>
      <c r="H18" s="118">
        <f>IF('調整・決定'!F7="","",'調整・決定'!F7)</f>
        <v/>
      </c>
      <c r="I18" s="118">
        <f>IF('調整・決定'!G7="","",'調整・決定'!G7)</f>
        <v/>
      </c>
      <c r="K18" s="118">
        <f>IF('調整・決定'!H7="","",'調整・決定'!H7)</f>
        <v/>
      </c>
      <c r="L18">
        <f>IF(2&lt;='設定'!$B$6,"表示","隠す")</f>
        <v/>
      </c>
    </row>
    <row r="19" ht="33.5" customHeight="1">
      <c r="B19" s="117">
        <f>IF('設定'!$I$13="","",SUBSTITUTE(SUBSTITUTE(SUBSTITUTE(SUBSTITUTE(SUBSTITUTE(SUBSTITUTE(SUBSTITUTE(SUBSTITUTE(SUBSTITUTE(SUBSTITUTE(SUBSTITUTE(SUBSTITUTE('設定'!$I$13,"〜",""),"0","０"),"1","１"),"2","２"),"3","３"),"4","４"),"5","５"),"6","６"),"7","７"),"8","８"),"9","９"),":","：")&amp;"～")</f>
        <v/>
      </c>
      <c r="D19" s="118">
        <f>IF('調整・決定'!C8="","",'調整・決定'!C8)</f>
        <v/>
      </c>
      <c r="E19" s="118">
        <f>IF('調整・決定'!D8="","",'調整・決定'!D8)</f>
        <v/>
      </c>
      <c r="F19" s="118">
        <f>IF('調整・決定'!E8="","",'調整・決定'!E8)</f>
        <v/>
      </c>
      <c r="H19" s="118">
        <f>IF('調整・決定'!F8="","",'調整・決定'!F8)</f>
        <v/>
      </c>
      <c r="I19" s="118">
        <f>IF('調整・決定'!G8="","",'調整・決定'!G8)</f>
        <v/>
      </c>
      <c r="K19" s="118">
        <f>IF('調整・決定'!H8="","",'調整・決定'!H8)</f>
        <v/>
      </c>
      <c r="L19">
        <f>IF(3&lt;='設定'!$B$6,"表示","隠す")</f>
        <v/>
      </c>
    </row>
    <row r="20" ht="33.5" customHeight="1">
      <c r="B20" s="117">
        <f>IF('設定'!$I$14="","",SUBSTITUTE(SUBSTITUTE(SUBSTITUTE(SUBSTITUTE(SUBSTITUTE(SUBSTITUTE(SUBSTITUTE(SUBSTITUTE(SUBSTITUTE(SUBSTITUTE(SUBSTITUTE(SUBSTITUTE('設定'!$I$14,"〜",""),"0","０"),"1","１"),"2","２"),"3","３"),"4","４"),"5","５"),"6","６"),"7","７"),"8","８"),"9","９"),":","：")&amp;"～")</f>
        <v/>
      </c>
      <c r="D20" s="118">
        <f>IF('調整・決定'!C9="","",'調整・決定'!C9)</f>
        <v/>
      </c>
      <c r="E20" s="118">
        <f>IF('調整・決定'!D9="","",'調整・決定'!D9)</f>
        <v/>
      </c>
      <c r="F20" s="118">
        <f>IF('調整・決定'!E9="","",'調整・決定'!E9)</f>
        <v/>
      </c>
      <c r="H20" s="118">
        <f>IF('調整・決定'!F9="","",'調整・決定'!F9)</f>
        <v/>
      </c>
      <c r="I20" s="118">
        <f>IF('調整・決定'!G9="","",'調整・決定'!G9)</f>
        <v/>
      </c>
      <c r="K20" s="118">
        <f>IF('調整・決定'!H9="","",'調整・決定'!H9)</f>
        <v/>
      </c>
      <c r="L20">
        <f>IF(4&lt;='設定'!$B$6,"表示","隠す")</f>
        <v/>
      </c>
    </row>
    <row r="21" ht="33.5" customHeight="1">
      <c r="B21" s="117">
        <f>IF('設定'!$I$15="","",SUBSTITUTE(SUBSTITUTE(SUBSTITUTE(SUBSTITUTE(SUBSTITUTE(SUBSTITUTE(SUBSTITUTE(SUBSTITUTE(SUBSTITUTE(SUBSTITUTE(SUBSTITUTE(SUBSTITUTE('設定'!$I$15,"〜",""),"0","０"),"1","１"),"2","２"),"3","３"),"4","４"),"5","５"),"6","６"),"7","７"),"8","８"),"9","９"),":","：")&amp;"～")</f>
        <v/>
      </c>
      <c r="D21" s="118">
        <f>IF('調整・決定'!C10="","",'調整・決定'!C10)</f>
        <v/>
      </c>
      <c r="E21" s="118">
        <f>IF('調整・決定'!D10="","",'調整・決定'!D10)</f>
        <v/>
      </c>
      <c r="F21" s="118">
        <f>IF('調整・決定'!E10="","",'調整・決定'!E10)</f>
        <v/>
      </c>
      <c r="H21" s="118">
        <f>IF('調整・決定'!F10="","",'調整・決定'!F10)</f>
        <v/>
      </c>
      <c r="I21" s="118">
        <f>IF('調整・決定'!G10="","",'調整・決定'!G10)</f>
        <v/>
      </c>
      <c r="K21" s="118">
        <f>IF('調整・決定'!H10="","",'調整・決定'!H10)</f>
        <v/>
      </c>
      <c r="L21">
        <f>IF(5&lt;='設定'!$B$6,"表示","隠す")</f>
        <v/>
      </c>
    </row>
    <row r="22" ht="33.5" customHeight="1">
      <c r="B22" s="117">
        <f>IF('設定'!$I$16="","",SUBSTITUTE(SUBSTITUTE(SUBSTITUTE(SUBSTITUTE(SUBSTITUTE(SUBSTITUTE(SUBSTITUTE(SUBSTITUTE(SUBSTITUTE(SUBSTITUTE(SUBSTITUTE(SUBSTITUTE('設定'!$I$16,"〜",""),"0","０"),"1","１"),"2","２"),"3","３"),"4","４"),"5","５"),"6","６"),"7","７"),"8","８"),"9","９"),":","：")&amp;"～")</f>
        <v/>
      </c>
      <c r="D22" s="118">
        <f>IF('調整・決定'!C11="","",'調整・決定'!C11)</f>
        <v/>
      </c>
      <c r="E22" s="118">
        <f>IF('調整・決定'!D11="","",'調整・決定'!D11)</f>
        <v/>
      </c>
      <c r="F22" s="118">
        <f>IF('調整・決定'!E11="","",'調整・決定'!E11)</f>
        <v/>
      </c>
      <c r="H22" s="118">
        <f>IF('調整・決定'!F11="","",'調整・決定'!F11)</f>
        <v/>
      </c>
      <c r="I22" s="118">
        <f>IF('調整・決定'!G11="","",'調整・決定'!G11)</f>
        <v/>
      </c>
      <c r="K22" s="118">
        <f>IF('調整・決定'!H11="","",'調整・決定'!H11)</f>
        <v/>
      </c>
      <c r="L22">
        <f>IF(6&lt;='設定'!$B$6,"表示","隠す")</f>
        <v/>
      </c>
    </row>
    <row r="23" ht="33.5" customHeight="1">
      <c r="B23" s="117">
        <f>IF('設定'!$I$17="","",SUBSTITUTE(SUBSTITUTE(SUBSTITUTE(SUBSTITUTE(SUBSTITUTE(SUBSTITUTE(SUBSTITUTE(SUBSTITUTE(SUBSTITUTE(SUBSTITUTE(SUBSTITUTE(SUBSTITUTE('設定'!$I$17,"〜",""),"0","０"),"1","１"),"2","２"),"3","３"),"4","４"),"5","５"),"6","６"),"7","７"),"8","８"),"9","９"),":","：")&amp;"～")</f>
        <v/>
      </c>
      <c r="D23" s="118">
        <f>IF('調整・決定'!C12="","",'調整・決定'!C12)</f>
        <v/>
      </c>
      <c r="E23" s="118">
        <f>IF('調整・決定'!D12="","",'調整・決定'!D12)</f>
        <v/>
      </c>
      <c r="F23" s="118">
        <f>IF('調整・決定'!E12="","",'調整・決定'!E12)</f>
        <v/>
      </c>
      <c r="H23" s="118">
        <f>IF('調整・決定'!F12="","",'調整・決定'!F12)</f>
        <v/>
      </c>
      <c r="I23" s="118">
        <f>IF('調整・決定'!G12="","",'調整・決定'!G12)</f>
        <v/>
      </c>
      <c r="K23" s="118">
        <f>IF('調整・決定'!H12="","",'調整・決定'!H12)</f>
        <v/>
      </c>
      <c r="L23">
        <f>IF(7&lt;='設定'!$B$6,"表示","隠す")</f>
        <v/>
      </c>
    </row>
    <row r="24" ht="33.5" customHeight="1">
      <c r="B24" s="117">
        <f>IF('設定'!$I$18="","",SUBSTITUTE(SUBSTITUTE(SUBSTITUTE(SUBSTITUTE(SUBSTITUTE(SUBSTITUTE(SUBSTITUTE(SUBSTITUTE(SUBSTITUTE(SUBSTITUTE(SUBSTITUTE(SUBSTITUTE('設定'!$I$18,"〜",""),"0","０"),"1","１"),"2","２"),"3","３"),"4","４"),"5","５"),"6","６"),"7","７"),"8","８"),"9","９"),":","：")&amp;"～")</f>
        <v/>
      </c>
      <c r="D24" s="118">
        <f>IF('調整・決定'!C13="","",'調整・決定'!C13)</f>
        <v/>
      </c>
      <c r="E24" s="118">
        <f>IF('調整・決定'!D13="","",'調整・決定'!D13)</f>
        <v/>
      </c>
      <c r="F24" s="118">
        <f>IF('調整・決定'!E13="","",'調整・決定'!E13)</f>
        <v/>
      </c>
      <c r="H24" s="118">
        <f>IF('調整・決定'!F13="","",'調整・決定'!F13)</f>
        <v/>
      </c>
      <c r="I24" s="118">
        <f>IF('調整・決定'!G13="","",'調整・決定'!G13)</f>
        <v/>
      </c>
      <c r="K24" s="118">
        <f>IF('調整・決定'!H13="","",'調整・決定'!H13)</f>
        <v/>
      </c>
      <c r="L24">
        <f>IF(8&lt;='設定'!$B$6,"表示","隠す")</f>
        <v/>
      </c>
    </row>
    <row r="25" ht="33.5" customHeight="1">
      <c r="B25" s="117">
        <f>IF('設定'!$I$19="","",SUBSTITUTE(SUBSTITUTE(SUBSTITUTE(SUBSTITUTE(SUBSTITUTE(SUBSTITUTE(SUBSTITUTE(SUBSTITUTE(SUBSTITUTE(SUBSTITUTE(SUBSTITUTE(SUBSTITUTE('設定'!$I$19,"〜",""),"0","０"),"1","１"),"2","２"),"3","３"),"4","４"),"5","５"),"6","６"),"7","７"),"8","８"),"9","９"),":","：")&amp;"～")</f>
        <v/>
      </c>
      <c r="D25" s="118">
        <f>IF('調整・決定'!C14="","",'調整・決定'!C14)</f>
        <v/>
      </c>
      <c r="E25" s="118">
        <f>IF('調整・決定'!D14="","",'調整・決定'!D14)</f>
        <v/>
      </c>
      <c r="F25" s="118">
        <f>IF('調整・決定'!E14="","",'調整・決定'!E14)</f>
        <v/>
      </c>
      <c r="H25" s="118">
        <f>IF('調整・決定'!F14="","",'調整・決定'!F14)</f>
        <v/>
      </c>
      <c r="I25" s="118">
        <f>IF('調整・決定'!G14="","",'調整・決定'!G14)</f>
        <v/>
      </c>
      <c r="K25" s="118">
        <f>IF('調整・決定'!H14="","",'調整・決定'!H14)</f>
        <v/>
      </c>
      <c r="L25">
        <f>IF(9&lt;='設定'!$B$6,"表示","隠す")</f>
        <v/>
      </c>
    </row>
    <row r="26" hidden="1" ht="33.5" customHeight="1">
      <c r="B26" s="117">
        <f>IF('設定'!$I$20="","",SUBSTITUTE(SUBSTITUTE(SUBSTITUTE(SUBSTITUTE(SUBSTITUTE(SUBSTITUTE(SUBSTITUTE(SUBSTITUTE(SUBSTITUTE(SUBSTITUTE(SUBSTITUTE(SUBSTITUTE('設定'!$I$20,"〜",""),"0","０"),"1","１"),"2","２"),"3","３"),"4","４"),"5","５"),"6","６"),"7","７"),"8","８"),"9","９"),":","：")&amp;"～")</f>
        <v/>
      </c>
      <c r="D26" s="118">
        <f>IF('調整・決定'!C15="","",'調整・決定'!C15)</f>
        <v/>
      </c>
      <c r="E26" s="118">
        <f>IF('調整・決定'!D15="","",'調整・決定'!D15)</f>
        <v/>
      </c>
      <c r="F26" s="118">
        <f>IF('調整・決定'!E15="","",'調整・決定'!E15)</f>
        <v/>
      </c>
      <c r="H26" s="118">
        <f>IF('調整・決定'!F15="","",'調整・決定'!F15)</f>
        <v/>
      </c>
      <c r="I26" s="118">
        <f>IF('調整・決定'!G15="","",'調整・決定'!G15)</f>
        <v/>
      </c>
      <c r="K26" s="118">
        <f>IF('調整・決定'!H15="","",'調整・決定'!H15)</f>
        <v/>
      </c>
      <c r="L26">
        <f>IF(10&lt;='設定'!$B$6,"表示","隠す")</f>
        <v/>
      </c>
    </row>
    <row r="27" hidden="1" ht="33.5" customHeight="1">
      <c r="B27" s="117">
        <f>IF('設定'!$I$21="","",SUBSTITUTE(SUBSTITUTE(SUBSTITUTE(SUBSTITUTE(SUBSTITUTE(SUBSTITUTE(SUBSTITUTE(SUBSTITUTE(SUBSTITUTE(SUBSTITUTE(SUBSTITUTE(SUBSTITUTE('設定'!$I$21,"〜",""),"0","０"),"1","１"),"2","２"),"3","３"),"4","４"),"5","５"),"6","６"),"7","７"),"8","８"),"9","９"),":","：")&amp;"～")</f>
        <v/>
      </c>
      <c r="D27" s="118">
        <f>IF('調整・決定'!C16="","",'調整・決定'!C16)</f>
        <v/>
      </c>
      <c r="E27" s="118">
        <f>IF('調整・決定'!D16="","",'調整・決定'!D16)</f>
        <v/>
      </c>
      <c r="F27" s="118">
        <f>IF('調整・決定'!E16="","",'調整・決定'!E16)</f>
        <v/>
      </c>
      <c r="H27" s="118">
        <f>IF('調整・決定'!F16="","",'調整・決定'!F16)</f>
        <v/>
      </c>
      <c r="I27" s="118">
        <f>IF('調整・決定'!G16="","",'調整・決定'!G16)</f>
        <v/>
      </c>
      <c r="K27" s="118">
        <f>IF('調整・決定'!H16="","",'調整・決定'!H16)</f>
        <v/>
      </c>
      <c r="L27">
        <f>IF(11&lt;='設定'!$B$6,"表示","隠す")</f>
        <v/>
      </c>
    </row>
    <row r="28" hidden="1" ht="33.5" customHeight="1">
      <c r="B28" s="117">
        <f>IF('設定'!$I$22="","",SUBSTITUTE(SUBSTITUTE(SUBSTITUTE(SUBSTITUTE(SUBSTITUTE(SUBSTITUTE(SUBSTITUTE(SUBSTITUTE(SUBSTITUTE(SUBSTITUTE(SUBSTITUTE(SUBSTITUTE('設定'!$I$22,"〜",""),"0","０"),"1","１"),"2","２"),"3","３"),"4","４"),"5","５"),"6","６"),"7","７"),"8","８"),"9","９"),":","：")&amp;"～")</f>
        <v/>
      </c>
      <c r="D28" s="118">
        <f>IF('調整・決定'!C17="","",'調整・決定'!C17)</f>
        <v/>
      </c>
      <c r="E28" s="118">
        <f>IF('調整・決定'!D17="","",'調整・決定'!D17)</f>
        <v/>
      </c>
      <c r="F28" s="118">
        <f>IF('調整・決定'!E17="","",'調整・決定'!E17)</f>
        <v/>
      </c>
      <c r="H28" s="118">
        <f>IF('調整・決定'!F17="","",'調整・決定'!F17)</f>
        <v/>
      </c>
      <c r="I28" s="118">
        <f>IF('調整・決定'!G17="","",'調整・決定'!G17)</f>
        <v/>
      </c>
      <c r="K28" s="118">
        <f>IF('調整・決定'!H17="","",'調整・決定'!H17)</f>
        <v/>
      </c>
      <c r="L28">
        <f>IF(12&lt;='設定'!$B$6,"表示","隠す")</f>
        <v/>
      </c>
    </row>
    <row r="29" hidden="1" ht="33.5" customHeight="1">
      <c r="B29" s="117">
        <f>IF('設定'!$I$23="","",SUBSTITUTE(SUBSTITUTE(SUBSTITUTE(SUBSTITUTE(SUBSTITUTE(SUBSTITUTE(SUBSTITUTE(SUBSTITUTE(SUBSTITUTE(SUBSTITUTE(SUBSTITUTE(SUBSTITUTE('設定'!$I$23,"〜",""),"0","０"),"1","１"),"2","２"),"3","３"),"4","４"),"5","５"),"6","６"),"7","７"),"8","８"),"9","９"),":","：")&amp;"～")</f>
        <v/>
      </c>
      <c r="D29" s="118">
        <f>IF('調整・決定'!C18="","",'調整・決定'!C18)</f>
        <v/>
      </c>
      <c r="E29" s="118">
        <f>IF('調整・決定'!D18="","",'調整・決定'!D18)</f>
        <v/>
      </c>
      <c r="F29" s="118">
        <f>IF('調整・決定'!E18="","",'調整・決定'!E18)</f>
        <v/>
      </c>
      <c r="H29" s="118">
        <f>IF('調整・決定'!F18="","",'調整・決定'!F18)</f>
        <v/>
      </c>
      <c r="I29" s="118">
        <f>IF('調整・決定'!G18="","",'調整・決定'!G18)</f>
        <v/>
      </c>
      <c r="K29" s="118">
        <f>IF('調整・決定'!H18="","",'調整・決定'!H18)</f>
        <v/>
      </c>
      <c r="L29">
        <f>IF(13&lt;='設定'!$B$6,"表示","隠す")</f>
        <v/>
      </c>
    </row>
    <row r="30" hidden="1" ht="33.5" customHeight="1">
      <c r="B30" s="117">
        <f>IF('設定'!$I$24="","",SUBSTITUTE(SUBSTITUTE(SUBSTITUTE(SUBSTITUTE(SUBSTITUTE(SUBSTITUTE(SUBSTITUTE(SUBSTITUTE(SUBSTITUTE(SUBSTITUTE(SUBSTITUTE(SUBSTITUTE('設定'!$I$24,"〜",""),"0","０"),"1","１"),"2","２"),"3","３"),"4","４"),"5","５"),"6","６"),"7","７"),"8","８"),"9","９"),":","：")&amp;"～")</f>
        <v/>
      </c>
      <c r="D30" s="118">
        <f>IF('調整・決定'!C19="","",'調整・決定'!C19)</f>
        <v/>
      </c>
      <c r="E30" s="118">
        <f>IF('調整・決定'!D19="","",'調整・決定'!D19)</f>
        <v/>
      </c>
      <c r="F30" s="118">
        <f>IF('調整・決定'!E19="","",'調整・決定'!E19)</f>
        <v/>
      </c>
      <c r="H30" s="118">
        <f>IF('調整・決定'!F19="","",'調整・決定'!F19)</f>
        <v/>
      </c>
      <c r="I30" s="118">
        <f>IF('調整・決定'!G19="","",'調整・決定'!G19)</f>
        <v/>
      </c>
      <c r="K30" s="118">
        <f>IF('調整・決定'!H19="","",'調整・決定'!H19)</f>
        <v/>
      </c>
      <c r="L30">
        <f>IF(14&lt;='設定'!$B$6,"表示","隠す")</f>
        <v/>
      </c>
    </row>
    <row r="31" hidden="1" ht="33.5" customHeight="1">
      <c r="B31" s="117">
        <f>IF('設定'!$I$25="","",SUBSTITUTE(SUBSTITUTE(SUBSTITUTE(SUBSTITUTE(SUBSTITUTE(SUBSTITUTE(SUBSTITUTE(SUBSTITUTE(SUBSTITUTE(SUBSTITUTE(SUBSTITUTE(SUBSTITUTE('設定'!$I$25,"〜",""),"0","０"),"1","１"),"2","２"),"3","３"),"4","４"),"5","５"),"6","６"),"7","７"),"8","８"),"9","９"),":","：")&amp;"～")</f>
        <v/>
      </c>
      <c r="D31" s="118">
        <f>IF('調整・決定'!C20="","",'調整・決定'!C20)</f>
        <v/>
      </c>
      <c r="E31" s="118">
        <f>IF('調整・決定'!D20="","",'調整・決定'!D20)</f>
        <v/>
      </c>
      <c r="F31" s="118">
        <f>IF('調整・決定'!E20="","",'調整・決定'!E20)</f>
        <v/>
      </c>
      <c r="H31" s="118">
        <f>IF('調整・決定'!F20="","",'調整・決定'!F20)</f>
        <v/>
      </c>
      <c r="I31" s="118">
        <f>IF('調整・決定'!G20="","",'調整・決定'!G20)</f>
        <v/>
      </c>
      <c r="K31" s="118">
        <f>IF('調整・決定'!H20="","",'調整・決定'!H20)</f>
        <v/>
      </c>
      <c r="L31">
        <f>IF(15&lt;='設定'!$B$6,"表示","隠す")</f>
        <v/>
      </c>
    </row>
    <row r="32" hidden="1" ht="33.5" customHeight="1">
      <c r="B32" s="117">
        <f>IF('設定'!$I$26="","",SUBSTITUTE(SUBSTITUTE(SUBSTITUTE(SUBSTITUTE(SUBSTITUTE(SUBSTITUTE(SUBSTITUTE(SUBSTITUTE(SUBSTITUTE(SUBSTITUTE(SUBSTITUTE(SUBSTITUTE('設定'!$I$26,"〜",""),"0","０"),"1","１"),"2","２"),"3","３"),"4","４"),"5","５"),"6","６"),"7","７"),"8","８"),"9","９"),":","：")&amp;"～")</f>
        <v/>
      </c>
      <c r="D32" s="118">
        <f>IF('調整・決定'!C21="","",'調整・決定'!C21)</f>
        <v/>
      </c>
      <c r="E32" s="118">
        <f>IF('調整・決定'!D21="","",'調整・決定'!D21)</f>
        <v/>
      </c>
      <c r="F32" s="118">
        <f>IF('調整・決定'!E21="","",'調整・決定'!E21)</f>
        <v/>
      </c>
      <c r="H32" s="118">
        <f>IF('調整・決定'!F21="","",'調整・決定'!F21)</f>
        <v/>
      </c>
      <c r="I32" s="118">
        <f>IF('調整・決定'!G21="","",'調整・決定'!G21)</f>
        <v/>
      </c>
      <c r="K32" s="118">
        <f>IF('調整・決定'!H21="","",'調整・決定'!H21)</f>
        <v/>
      </c>
      <c r="L32">
        <f>IF(16&lt;='設定'!$B$6,"表示","隠す")</f>
        <v/>
      </c>
    </row>
    <row r="33" hidden="1" ht="33.5" customHeight="1">
      <c r="B33" s="117">
        <f>IF('設定'!$I$27="","",SUBSTITUTE(SUBSTITUTE(SUBSTITUTE(SUBSTITUTE(SUBSTITUTE(SUBSTITUTE(SUBSTITUTE(SUBSTITUTE(SUBSTITUTE(SUBSTITUTE(SUBSTITUTE(SUBSTITUTE('設定'!$I$27,"〜",""),"0","０"),"1","１"),"2","２"),"3","３"),"4","４"),"5","５"),"6","６"),"7","７"),"8","８"),"9","９"),":","：")&amp;"～")</f>
        <v/>
      </c>
      <c r="D33" s="118">
        <f>IF('調整・決定'!C22="","",'調整・決定'!C22)</f>
        <v/>
      </c>
      <c r="E33" s="118">
        <f>IF('調整・決定'!D22="","",'調整・決定'!D22)</f>
        <v/>
      </c>
      <c r="F33" s="118">
        <f>IF('調整・決定'!E22="","",'調整・決定'!E22)</f>
        <v/>
      </c>
      <c r="H33" s="118">
        <f>IF('調整・決定'!F22="","",'調整・決定'!F22)</f>
        <v/>
      </c>
      <c r="I33" s="118">
        <f>IF('調整・決定'!G22="","",'調整・決定'!G22)</f>
        <v/>
      </c>
      <c r="K33" s="118">
        <f>IF('調整・決定'!H22="","",'調整・決定'!H22)</f>
        <v/>
      </c>
      <c r="L33">
        <f>IF(17&lt;='設定'!$B$6,"表示","隠す")</f>
        <v/>
      </c>
    </row>
    <row r="34" hidden="1" ht="33.5" customHeight="1">
      <c r="B34" s="117">
        <f>IF('設定'!$I$28="","",SUBSTITUTE(SUBSTITUTE(SUBSTITUTE(SUBSTITUTE(SUBSTITUTE(SUBSTITUTE(SUBSTITUTE(SUBSTITUTE(SUBSTITUTE(SUBSTITUTE(SUBSTITUTE(SUBSTITUTE('設定'!$I$28,"〜",""),"0","０"),"1","１"),"2","２"),"3","３"),"4","４"),"5","５"),"6","６"),"7","７"),"8","８"),"9","９"),":","：")&amp;"～")</f>
        <v/>
      </c>
      <c r="D34" s="118">
        <f>IF('調整・決定'!C23="","",'調整・決定'!C23)</f>
        <v/>
      </c>
      <c r="E34" s="118">
        <f>IF('調整・決定'!D23="","",'調整・決定'!D23)</f>
        <v/>
      </c>
      <c r="F34" s="118">
        <f>IF('調整・決定'!E23="","",'調整・決定'!E23)</f>
        <v/>
      </c>
      <c r="H34" s="118">
        <f>IF('調整・決定'!F23="","",'調整・決定'!F23)</f>
        <v/>
      </c>
      <c r="I34" s="118">
        <f>IF('調整・決定'!G23="","",'調整・決定'!G23)</f>
        <v/>
      </c>
      <c r="K34" s="118">
        <f>IF('調整・決定'!H23="","",'調整・決定'!H23)</f>
        <v/>
      </c>
      <c r="L34">
        <f>IF(18&lt;='設定'!$B$6,"表示","隠す")</f>
        <v/>
      </c>
    </row>
    <row r="35" hidden="1" ht="33.5" customHeight="1">
      <c r="B35" s="117">
        <f>IF('設定'!$I$29="","",SUBSTITUTE(SUBSTITUTE(SUBSTITUTE(SUBSTITUTE(SUBSTITUTE(SUBSTITUTE(SUBSTITUTE(SUBSTITUTE(SUBSTITUTE(SUBSTITUTE(SUBSTITUTE(SUBSTITUTE('設定'!$I$29,"〜",""),"0","０"),"1","１"),"2","２"),"3","３"),"4","４"),"5","５"),"6","６"),"7","７"),"8","８"),"9","９"),":","：")&amp;"～")</f>
        <v/>
      </c>
      <c r="D35" s="118">
        <f>IF('調整・決定'!C24="","",'調整・決定'!C24)</f>
        <v/>
      </c>
      <c r="E35" s="118">
        <f>IF('調整・決定'!D24="","",'調整・決定'!D24)</f>
        <v/>
      </c>
      <c r="F35" s="118">
        <f>IF('調整・決定'!E24="","",'調整・決定'!E24)</f>
        <v/>
      </c>
      <c r="H35" s="118">
        <f>IF('調整・決定'!F24="","",'調整・決定'!F24)</f>
        <v/>
      </c>
      <c r="I35" s="118">
        <f>IF('調整・決定'!G24="","",'調整・決定'!G24)</f>
        <v/>
      </c>
      <c r="K35" s="118">
        <f>IF('調整・決定'!H24="","",'調整・決定'!H24)</f>
        <v/>
      </c>
      <c r="L35">
        <f>IF(19&lt;='設定'!$B$6,"表示","隠す")</f>
        <v/>
      </c>
    </row>
    <row r="36" hidden="1" ht="33.5" customHeight="1">
      <c r="B36" s="117">
        <f>IF('設定'!$I$30="","",SUBSTITUTE(SUBSTITUTE(SUBSTITUTE(SUBSTITUTE(SUBSTITUTE(SUBSTITUTE(SUBSTITUTE(SUBSTITUTE(SUBSTITUTE(SUBSTITUTE(SUBSTITUTE(SUBSTITUTE('設定'!$I$30,"〜",""),"0","０"),"1","１"),"2","２"),"3","３"),"4","４"),"5","５"),"6","６"),"7","７"),"8","８"),"9","９"),":","：")&amp;"～")</f>
        <v/>
      </c>
      <c r="D36" s="118">
        <f>IF('調整・決定'!C25="","",'調整・決定'!C25)</f>
        <v/>
      </c>
      <c r="E36" s="118">
        <f>IF('調整・決定'!D25="","",'調整・決定'!D25)</f>
        <v/>
      </c>
      <c r="F36" s="118">
        <f>IF('調整・決定'!E25="","",'調整・決定'!E25)</f>
        <v/>
      </c>
      <c r="H36" s="118">
        <f>IF('調整・決定'!F25="","",'調整・決定'!F25)</f>
        <v/>
      </c>
      <c r="I36" s="118">
        <f>IF('調整・決定'!G25="","",'調整・決定'!G25)</f>
        <v/>
      </c>
      <c r="K36" s="118">
        <f>IF('調整・決定'!H25="","",'調整・決定'!H25)</f>
        <v/>
      </c>
      <c r="L36">
        <f>IF(20&lt;='設定'!$B$6,"表示","隠す")</f>
        <v/>
      </c>
    </row>
    <row r="37" hidden="1" ht="33.5" customHeight="1">
      <c r="B37" s="117">
        <f>IF('設定'!$I$31="","",SUBSTITUTE(SUBSTITUTE(SUBSTITUTE(SUBSTITUTE(SUBSTITUTE(SUBSTITUTE(SUBSTITUTE(SUBSTITUTE(SUBSTITUTE(SUBSTITUTE(SUBSTITUTE(SUBSTITUTE('設定'!$I$31,"〜",""),"0","０"),"1","１"),"2","２"),"3","３"),"4","４"),"5","５"),"6","６"),"7","７"),"8","８"),"9","９"),":","：")&amp;"～")</f>
        <v/>
      </c>
      <c r="D37" s="118">
        <f>IF('調整・決定'!C26="","",'調整・決定'!C26)</f>
        <v/>
      </c>
      <c r="E37" s="118">
        <f>IF('調整・決定'!D26="","",'調整・決定'!D26)</f>
        <v/>
      </c>
      <c r="F37" s="118">
        <f>IF('調整・決定'!E26="","",'調整・決定'!E26)</f>
        <v/>
      </c>
      <c r="H37" s="118">
        <f>IF('調整・決定'!F26="","",'調整・決定'!F26)</f>
        <v/>
      </c>
      <c r="I37" s="118">
        <f>IF('調整・決定'!G26="","",'調整・決定'!G26)</f>
        <v/>
      </c>
      <c r="K37" s="118">
        <f>IF('調整・決定'!H26="","",'調整・決定'!H26)</f>
        <v/>
      </c>
      <c r="L37">
        <f>IF(21&lt;='設定'!$B$6,"表示","隠す")</f>
        <v/>
      </c>
    </row>
    <row r="38" hidden="1" ht="33.5" customHeight="1">
      <c r="B38" s="117">
        <f>IF('設定'!$I$32="","",SUBSTITUTE(SUBSTITUTE(SUBSTITUTE(SUBSTITUTE(SUBSTITUTE(SUBSTITUTE(SUBSTITUTE(SUBSTITUTE(SUBSTITUTE(SUBSTITUTE(SUBSTITUTE(SUBSTITUTE('設定'!$I$32,"〜",""),"0","０"),"1","１"),"2","２"),"3","３"),"4","４"),"5","５"),"6","６"),"7","７"),"8","８"),"9","９"),":","：")&amp;"～")</f>
        <v/>
      </c>
      <c r="D38" s="118">
        <f>IF('調整・決定'!C27="","",'調整・決定'!C27)</f>
        <v/>
      </c>
      <c r="E38" s="118">
        <f>IF('調整・決定'!D27="","",'調整・決定'!D27)</f>
        <v/>
      </c>
      <c r="F38" s="118">
        <f>IF('調整・決定'!E27="","",'調整・決定'!E27)</f>
        <v/>
      </c>
      <c r="H38" s="118">
        <f>IF('調整・決定'!F27="","",'調整・決定'!F27)</f>
        <v/>
      </c>
      <c r="I38" s="118">
        <f>IF('調整・決定'!G27="","",'調整・決定'!G27)</f>
        <v/>
      </c>
      <c r="K38" s="118">
        <f>IF('調整・決定'!H27="","",'調整・決定'!H27)</f>
        <v/>
      </c>
      <c r="L38">
        <f>IF(22&lt;='設定'!$B$6,"表示","隠す")</f>
        <v/>
      </c>
    </row>
    <row r="39" hidden="1" ht="33.5" customHeight="1">
      <c r="B39" s="117">
        <f>IF('設定'!$I$33="","",SUBSTITUTE(SUBSTITUTE(SUBSTITUTE(SUBSTITUTE(SUBSTITUTE(SUBSTITUTE(SUBSTITUTE(SUBSTITUTE(SUBSTITUTE(SUBSTITUTE(SUBSTITUTE(SUBSTITUTE('設定'!$I$33,"〜",""),"0","０"),"1","１"),"2","２"),"3","３"),"4","４"),"5","５"),"6","６"),"7","７"),"8","８"),"9","９"),":","：")&amp;"～")</f>
        <v/>
      </c>
      <c r="D39" s="118">
        <f>IF('調整・決定'!C28="","",'調整・決定'!C28)</f>
        <v/>
      </c>
      <c r="E39" s="118">
        <f>IF('調整・決定'!D28="","",'調整・決定'!D28)</f>
        <v/>
      </c>
      <c r="F39" s="118">
        <f>IF('調整・決定'!E28="","",'調整・決定'!E28)</f>
        <v/>
      </c>
      <c r="H39" s="118">
        <f>IF('調整・決定'!F28="","",'調整・決定'!F28)</f>
        <v/>
      </c>
      <c r="I39" s="118">
        <f>IF('調整・決定'!G28="","",'調整・決定'!G28)</f>
        <v/>
      </c>
      <c r="K39" s="118">
        <f>IF('調整・決定'!H28="","",'調整・決定'!H28)</f>
        <v/>
      </c>
      <c r="L39">
        <f>IF(23&lt;='設定'!$B$6,"表示","隠す")</f>
        <v/>
      </c>
    </row>
    <row r="40" hidden="1" ht="33.5" customHeight="1">
      <c r="B40" s="117">
        <f>IF('設定'!$I$34="","",SUBSTITUTE(SUBSTITUTE(SUBSTITUTE(SUBSTITUTE(SUBSTITUTE(SUBSTITUTE(SUBSTITUTE(SUBSTITUTE(SUBSTITUTE(SUBSTITUTE(SUBSTITUTE(SUBSTITUTE('設定'!$I$34,"〜",""),"0","０"),"1","１"),"2","２"),"3","３"),"4","４"),"5","５"),"6","６"),"7","７"),"8","８"),"9","９"),":","：")&amp;"～")</f>
        <v/>
      </c>
      <c r="D40" s="118">
        <f>IF('調整・決定'!C29="","",'調整・決定'!C29)</f>
        <v/>
      </c>
      <c r="E40" s="118">
        <f>IF('調整・決定'!D29="","",'調整・決定'!D29)</f>
        <v/>
      </c>
      <c r="F40" s="118">
        <f>IF('調整・決定'!E29="","",'調整・決定'!E29)</f>
        <v/>
      </c>
      <c r="H40" s="118">
        <f>IF('調整・決定'!F29="","",'調整・決定'!F29)</f>
        <v/>
      </c>
      <c r="I40" s="118">
        <f>IF('調整・決定'!G29="","",'調整・決定'!G29)</f>
        <v/>
      </c>
      <c r="K40" s="118">
        <f>IF('調整・決定'!H29="","",'調整・決定'!H29)</f>
        <v/>
      </c>
      <c r="L40">
        <f>IF(24&lt;='設定'!$B$6,"表示","隠す")</f>
        <v/>
      </c>
    </row>
    <row r="41" ht="18" customHeight="1">
      <c r="L41" t="inlineStr">
        <is>
          <t>表示</t>
        </is>
      </c>
    </row>
    <row r="42" ht="18" customHeight="1">
      <c r="I42" s="121" t="inlineStr">
        <is>
          <t>（敬称略）</t>
        </is>
      </c>
      <c r="L42" t="inlineStr">
        <is>
          <t>表示</t>
        </is>
      </c>
    </row>
    <row r="43" ht="18" customHeight="1">
      <c r="L43" t="inlineStr">
        <is>
          <t>表示</t>
        </is>
      </c>
    </row>
    <row r="44" ht="18" customHeight="1">
      <c r="C44" s="113">
        <f>IF('設定'!$B$40="","",'設定'!$B$40)</f>
        <v/>
      </c>
      <c r="L44" t="inlineStr">
        <is>
          <t>表示</t>
        </is>
      </c>
    </row>
    <row r="45" ht="18" customHeight="1">
      <c r="C45" s="113">
        <f>IF('設定'!$B$41="","",'設定'!$B$41)</f>
        <v/>
      </c>
      <c r="L45" t="inlineStr">
        <is>
          <t>表示</t>
        </is>
      </c>
    </row>
    <row r="46" ht="18" customHeight="1">
      <c r="C46" s="113">
        <f>IF('設定'!$B$42="","",'設定'!$B$42)</f>
        <v/>
      </c>
      <c r="L46" t="inlineStr">
        <is>
          <t>表示</t>
        </is>
      </c>
    </row>
  </sheetData>
  <autoFilter ref="B16:L46">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s>
        <filter val="表示"/>
      </filters>
    </filterColumn>
  </autoFilter>
  <mergeCells count="81">
    <mergeCell ref="F29:G29"/>
    <mergeCell ref="F16:G16"/>
    <mergeCell ref="F25:G25"/>
    <mergeCell ref="B22:C22"/>
    <mergeCell ref="B31:C31"/>
    <mergeCell ref="I26:J26"/>
    <mergeCell ref="B21:C21"/>
    <mergeCell ref="I16:J16"/>
    <mergeCell ref="I25:J25"/>
    <mergeCell ref="I18:J18"/>
    <mergeCell ref="C14:I14"/>
    <mergeCell ref="B38:C38"/>
    <mergeCell ref="F23:G23"/>
    <mergeCell ref="B40:C40"/>
    <mergeCell ref="B24:C24"/>
    <mergeCell ref="I20:J20"/>
    <mergeCell ref="B33:C33"/>
    <mergeCell ref="B32:C32"/>
    <mergeCell ref="B26:C26"/>
    <mergeCell ref="B35:C35"/>
    <mergeCell ref="I30:J30"/>
    <mergeCell ref="B16:C16"/>
    <mergeCell ref="G6:I6"/>
    <mergeCell ref="B25:C25"/>
    <mergeCell ref="C8:I8"/>
    <mergeCell ref="F19:G19"/>
    <mergeCell ref="F34:G34"/>
    <mergeCell ref="B18:C18"/>
    <mergeCell ref="B27:C27"/>
    <mergeCell ref="F30:G30"/>
    <mergeCell ref="I32:J32"/>
    <mergeCell ref="F20:G20"/>
    <mergeCell ref="F18:G18"/>
    <mergeCell ref="F33:G33"/>
    <mergeCell ref="F17:G17"/>
    <mergeCell ref="B29:C29"/>
    <mergeCell ref="I24:J24"/>
    <mergeCell ref="B37:C37"/>
    <mergeCell ref="I33:J33"/>
    <mergeCell ref="F31:G31"/>
    <mergeCell ref="F28:G28"/>
    <mergeCell ref="I17:J17"/>
    <mergeCell ref="F39:G39"/>
    <mergeCell ref="I35:J35"/>
    <mergeCell ref="I19:J19"/>
    <mergeCell ref="F21:G21"/>
    <mergeCell ref="G5:I5"/>
    <mergeCell ref="F36:G36"/>
    <mergeCell ref="I37:J37"/>
    <mergeCell ref="B17:C17"/>
    <mergeCell ref="I21:J21"/>
    <mergeCell ref="B19:C19"/>
    <mergeCell ref="B34:C34"/>
    <mergeCell ref="B28:C28"/>
    <mergeCell ref="F22:G22"/>
    <mergeCell ref="I23:J23"/>
    <mergeCell ref="B30:C30"/>
    <mergeCell ref="B20:C20"/>
    <mergeCell ref="G7:I7"/>
    <mergeCell ref="I34:J34"/>
    <mergeCell ref="I27:J27"/>
    <mergeCell ref="I36:J36"/>
    <mergeCell ref="F40:G40"/>
    <mergeCell ref="B39:C39"/>
    <mergeCell ref="F24:G24"/>
    <mergeCell ref="B23:C23"/>
    <mergeCell ref="I22:J22"/>
    <mergeCell ref="I28:J28"/>
    <mergeCell ref="F32:G32"/>
    <mergeCell ref="F26:G26"/>
    <mergeCell ref="F35:G35"/>
    <mergeCell ref="B3:K3"/>
    <mergeCell ref="F38:G38"/>
    <mergeCell ref="I39:J39"/>
    <mergeCell ref="F27:G27"/>
    <mergeCell ref="F37:G37"/>
    <mergeCell ref="I29:J29"/>
    <mergeCell ref="I38:J38"/>
    <mergeCell ref="B36:C36"/>
    <mergeCell ref="I31:J31"/>
    <mergeCell ref="I40:J40"/>
  </mergeCells>
  <conditionalFormatting sqref="B16:C16">
    <cfRule type="expression" priority="1" dxfId="28">
      <formula>TRUE</formula>
    </cfRule>
  </conditionalFormatting>
  <conditionalFormatting sqref="D16:D40">
    <cfRule type="expression" priority="2" dxfId="28">
      <formula>$D$16&lt;&gt;""</formula>
    </cfRule>
  </conditionalFormatting>
  <conditionalFormatting sqref="E16:E40">
    <cfRule type="expression" priority="3" dxfId="28">
      <formula>$E$16&lt;&gt;""</formula>
    </cfRule>
  </conditionalFormatting>
  <conditionalFormatting sqref="F16:G40">
    <cfRule type="expression" priority="4" dxfId="28">
      <formula>$F$16&lt;&gt;""</formula>
    </cfRule>
  </conditionalFormatting>
  <conditionalFormatting sqref="H16:H40">
    <cfRule type="expression" priority="5" dxfId="28">
      <formula>$H$16&lt;&gt;""</formula>
    </cfRule>
  </conditionalFormatting>
  <conditionalFormatting sqref="I16:J40">
    <cfRule type="expression" priority="6" dxfId="28">
      <formula>$I$16&lt;&gt;""</formula>
    </cfRule>
  </conditionalFormatting>
  <conditionalFormatting sqref="K16:K40">
    <cfRule type="expression" priority="7" dxfId="28">
      <formula>$K$16&lt;&gt;""</formula>
    </cfRule>
  </conditionalFormatting>
  <conditionalFormatting sqref="B17:C40">
    <cfRule type="expression" priority="8" dxfId="28">
      <formula>$B17&lt;&gt;""</formula>
    </cfRule>
  </conditionalFormatting>
  <conditionalFormatting sqref="B3:K3">
    <cfRule type="expression" priority="9" dxfId="12">
      <formula>$B$3&lt;&gt;""</formula>
    </cfRule>
  </conditionalFormatting>
  <printOptions horizontalCentered="1"/>
  <pageMargins left="0.75" right="0.75" top="1.377952755905512" bottom="1.181102362204724" header="0" footer="0"/>
  <pageSetup orientation="portrait" paperSize="9" fitToHeight="1" fitToWidth="1"/>
</worksheet>
</file>

<file path=xl/worksheets/sheet11.xml><?xml version="1.0" encoding="utf-8"?>
<worksheet xmlns="http://schemas.openxmlformats.org/spreadsheetml/2006/main">
  <sheetPr>
    <outlinePr summaryBelow="1" summaryRight="1"/>
    <pageSetUpPr/>
  </sheetPr>
  <dimension ref="A1:JG219"/>
  <sheetViews>
    <sheetView showGridLines="0" workbookViewId="0">
      <selection activeCell="A1" sqref="A1"/>
    </sheetView>
  </sheetViews>
  <sheetFormatPr baseColWidth="8" defaultRowHeight="15"/>
  <sheetData>
    <row r="1">
      <c r="A1" s="95" t="inlineStr">
        <is>
          <t>計算用（さわらないでください）</t>
        </is>
      </c>
      <c r="C1" s="122" t="inlineStr">
        <is>
          <t>枠番号</t>
        </is>
      </c>
      <c r="D1" t="n">
        <v>1</v>
      </c>
      <c r="E1" t="n">
        <v>2</v>
      </c>
      <c r="F1" t="n">
        <v>3</v>
      </c>
      <c r="G1" t="n">
        <v>4</v>
      </c>
      <c r="H1" t="n">
        <v>5</v>
      </c>
      <c r="I1" t="n">
        <v>6</v>
      </c>
      <c r="J1" t="n">
        <v>7</v>
      </c>
      <c r="K1" t="n">
        <v>8</v>
      </c>
      <c r="L1" t="n">
        <v>9</v>
      </c>
      <c r="M1" t="n">
        <v>10</v>
      </c>
      <c r="N1" t="n">
        <v>11</v>
      </c>
      <c r="O1" t="n">
        <v>12</v>
      </c>
      <c r="P1" t="n">
        <v>13</v>
      </c>
      <c r="Q1" t="n">
        <v>14</v>
      </c>
      <c r="R1" t="n">
        <v>15</v>
      </c>
      <c r="S1" t="n">
        <v>16</v>
      </c>
      <c r="T1" t="n">
        <v>17</v>
      </c>
      <c r="U1" t="n">
        <v>18</v>
      </c>
      <c r="V1" t="n">
        <v>19</v>
      </c>
      <c r="W1" t="n">
        <v>20</v>
      </c>
      <c r="X1" t="n">
        <v>21</v>
      </c>
      <c r="Y1" t="n">
        <v>22</v>
      </c>
      <c r="Z1" t="n">
        <v>23</v>
      </c>
      <c r="AA1" t="n">
        <v>24</v>
      </c>
      <c r="AB1" t="n">
        <v>25</v>
      </c>
      <c r="AC1" t="n">
        <v>26</v>
      </c>
      <c r="AD1" t="n">
        <v>27</v>
      </c>
      <c r="AE1" t="n">
        <v>28</v>
      </c>
      <c r="AF1" t="n">
        <v>29</v>
      </c>
      <c r="AG1" t="n">
        <v>30</v>
      </c>
      <c r="AH1" t="n">
        <v>31</v>
      </c>
      <c r="AI1" t="n">
        <v>32</v>
      </c>
      <c r="AJ1" t="n">
        <v>33</v>
      </c>
      <c r="AK1" t="n">
        <v>34</v>
      </c>
      <c r="AL1" t="n">
        <v>35</v>
      </c>
      <c r="AM1" t="n">
        <v>36</v>
      </c>
      <c r="AN1" t="n">
        <v>37</v>
      </c>
      <c r="AO1" t="n">
        <v>38</v>
      </c>
      <c r="AP1" t="n">
        <v>39</v>
      </c>
      <c r="AQ1" t="n">
        <v>40</v>
      </c>
      <c r="AR1" t="n">
        <v>41</v>
      </c>
      <c r="AS1" t="n">
        <v>42</v>
      </c>
      <c r="AT1" t="n">
        <v>43</v>
      </c>
      <c r="AU1" t="n">
        <v>44</v>
      </c>
      <c r="AV1" t="n">
        <v>45</v>
      </c>
      <c r="AW1" t="n">
        <v>46</v>
      </c>
      <c r="AX1" t="n">
        <v>47</v>
      </c>
      <c r="AY1" t="n">
        <v>48</v>
      </c>
      <c r="AZ1" t="n">
        <v>49</v>
      </c>
      <c r="BA1" t="n">
        <v>50</v>
      </c>
      <c r="BB1" t="n">
        <v>51</v>
      </c>
      <c r="BC1" t="n">
        <v>52</v>
      </c>
      <c r="BD1" t="n">
        <v>53</v>
      </c>
      <c r="BE1" t="n">
        <v>54</v>
      </c>
      <c r="BF1" t="n">
        <v>55</v>
      </c>
      <c r="BG1" t="n">
        <v>56</v>
      </c>
      <c r="BH1" t="n">
        <v>57</v>
      </c>
      <c r="BI1" t="n">
        <v>58</v>
      </c>
      <c r="BJ1" t="n">
        <v>59</v>
      </c>
      <c r="BK1" t="n">
        <v>60</v>
      </c>
      <c r="BL1" t="n">
        <v>61</v>
      </c>
      <c r="BM1" t="n">
        <v>62</v>
      </c>
      <c r="BN1" t="n">
        <v>63</v>
      </c>
      <c r="BO1" t="n">
        <v>64</v>
      </c>
      <c r="BP1" t="n">
        <v>65</v>
      </c>
      <c r="BQ1" t="n">
        <v>66</v>
      </c>
      <c r="BR1" t="n">
        <v>67</v>
      </c>
      <c r="BS1" t="n">
        <v>68</v>
      </c>
      <c r="BT1" t="n">
        <v>69</v>
      </c>
      <c r="BU1" t="n">
        <v>70</v>
      </c>
      <c r="BV1" t="n">
        <v>71</v>
      </c>
      <c r="BW1" t="n">
        <v>72</v>
      </c>
      <c r="BX1" t="n">
        <v>73</v>
      </c>
      <c r="BY1" t="n">
        <v>74</v>
      </c>
      <c r="BZ1" t="n">
        <v>75</v>
      </c>
      <c r="CA1" t="n">
        <v>76</v>
      </c>
      <c r="CB1" t="n">
        <v>77</v>
      </c>
      <c r="CC1" t="n">
        <v>78</v>
      </c>
      <c r="CD1" t="n">
        <v>79</v>
      </c>
      <c r="CE1" t="n">
        <v>80</v>
      </c>
      <c r="CF1" t="n">
        <v>81</v>
      </c>
      <c r="CG1" t="n">
        <v>82</v>
      </c>
      <c r="CH1" t="n">
        <v>83</v>
      </c>
      <c r="CI1" t="n">
        <v>84</v>
      </c>
      <c r="CJ1" t="n">
        <v>85</v>
      </c>
      <c r="CK1" t="n">
        <v>86</v>
      </c>
      <c r="CL1" t="n">
        <v>87</v>
      </c>
      <c r="CM1" t="n">
        <v>88</v>
      </c>
      <c r="CN1" t="n">
        <v>89</v>
      </c>
      <c r="CO1" t="n">
        <v>90</v>
      </c>
      <c r="CP1" t="n">
        <v>91</v>
      </c>
      <c r="CQ1" t="n">
        <v>92</v>
      </c>
      <c r="CR1" t="n">
        <v>93</v>
      </c>
      <c r="CS1" t="n">
        <v>94</v>
      </c>
      <c r="CT1" t="n">
        <v>95</v>
      </c>
      <c r="CU1" t="n">
        <v>96</v>
      </c>
      <c r="CV1" t="n">
        <v>97</v>
      </c>
      <c r="CW1" t="n">
        <v>98</v>
      </c>
      <c r="CX1" t="n">
        <v>99</v>
      </c>
      <c r="CY1" t="n">
        <v>100</v>
      </c>
      <c r="CZ1" t="n">
        <v>101</v>
      </c>
      <c r="DA1" t="n">
        <v>102</v>
      </c>
      <c r="DB1" t="n">
        <v>103</v>
      </c>
      <c r="DC1" t="n">
        <v>104</v>
      </c>
      <c r="DD1" t="n">
        <v>105</v>
      </c>
      <c r="DE1" t="n">
        <v>106</v>
      </c>
      <c r="DF1" t="n">
        <v>107</v>
      </c>
      <c r="DG1" t="n">
        <v>108</v>
      </c>
      <c r="DH1" t="n">
        <v>109</v>
      </c>
      <c r="DI1" t="n">
        <v>110</v>
      </c>
      <c r="DJ1" t="n">
        <v>111</v>
      </c>
      <c r="DK1" t="n">
        <v>112</v>
      </c>
      <c r="DL1" t="n">
        <v>113</v>
      </c>
      <c r="DM1" t="n">
        <v>114</v>
      </c>
      <c r="DN1" t="n">
        <v>115</v>
      </c>
      <c r="DO1" t="n">
        <v>116</v>
      </c>
      <c r="DP1" t="n">
        <v>117</v>
      </c>
      <c r="DQ1" t="n">
        <v>118</v>
      </c>
      <c r="DR1" t="n">
        <v>119</v>
      </c>
      <c r="DS1" t="n">
        <v>120</v>
      </c>
      <c r="DT1" t="n">
        <v>121</v>
      </c>
      <c r="DU1" t="n">
        <v>122</v>
      </c>
      <c r="DV1" t="n">
        <v>123</v>
      </c>
      <c r="DW1" t="n">
        <v>124</v>
      </c>
      <c r="DX1" t="n">
        <v>125</v>
      </c>
      <c r="DY1" t="n">
        <v>126</v>
      </c>
      <c r="DZ1" t="n">
        <v>127</v>
      </c>
      <c r="EA1" t="n">
        <v>128</v>
      </c>
      <c r="EB1" t="n">
        <v>129</v>
      </c>
      <c r="EC1" t="n">
        <v>130</v>
      </c>
      <c r="ED1" t="n">
        <v>131</v>
      </c>
      <c r="EE1" t="n">
        <v>132</v>
      </c>
      <c r="EF1" t="n">
        <v>133</v>
      </c>
      <c r="EG1" t="n">
        <v>134</v>
      </c>
      <c r="EH1" t="n">
        <v>135</v>
      </c>
      <c r="EI1" t="n">
        <v>136</v>
      </c>
      <c r="EJ1" t="n">
        <v>137</v>
      </c>
      <c r="EK1" t="n">
        <v>138</v>
      </c>
      <c r="EL1" t="n">
        <v>139</v>
      </c>
      <c r="EM1" t="n">
        <v>140</v>
      </c>
      <c r="EN1" t="n">
        <v>141</v>
      </c>
      <c r="EO1" t="n">
        <v>142</v>
      </c>
      <c r="EP1" t="n">
        <v>143</v>
      </c>
      <c r="EQ1" t="n">
        <v>144</v>
      </c>
    </row>
    <row r="2">
      <c r="A2" s="122" t="inlineStr">
        <is>
          <t>時間帯の枠数</t>
        </is>
      </c>
      <c r="C2" s="122" t="inlineStr">
        <is>
          <t>日</t>
        </is>
      </c>
      <c r="D2" t="n">
        <v>1</v>
      </c>
      <c r="E2" t="n">
        <v>1</v>
      </c>
      <c r="F2" t="n">
        <v>1</v>
      </c>
      <c r="G2" t="n">
        <v>1</v>
      </c>
      <c r="H2" t="n">
        <v>1</v>
      </c>
      <c r="I2" t="n">
        <v>1</v>
      </c>
      <c r="J2" t="n">
        <v>1</v>
      </c>
      <c r="K2" t="n">
        <v>1</v>
      </c>
      <c r="L2" t="n">
        <v>1</v>
      </c>
      <c r="M2" t="n">
        <v>1</v>
      </c>
      <c r="N2" t="n">
        <v>1</v>
      </c>
      <c r="O2" t="n">
        <v>1</v>
      </c>
      <c r="P2" t="n">
        <v>1</v>
      </c>
      <c r="Q2" t="n">
        <v>1</v>
      </c>
      <c r="R2" t="n">
        <v>1</v>
      </c>
      <c r="S2" t="n">
        <v>1</v>
      </c>
      <c r="T2" t="n">
        <v>1</v>
      </c>
      <c r="U2" t="n">
        <v>1</v>
      </c>
      <c r="V2" t="n">
        <v>1</v>
      </c>
      <c r="W2" t="n">
        <v>1</v>
      </c>
      <c r="X2" t="n">
        <v>1</v>
      </c>
      <c r="Y2" t="n">
        <v>1</v>
      </c>
      <c r="Z2" t="n">
        <v>1</v>
      </c>
      <c r="AA2" t="n">
        <v>1</v>
      </c>
      <c r="AB2" t="n">
        <v>2</v>
      </c>
      <c r="AC2" t="n">
        <v>2</v>
      </c>
      <c r="AD2" t="n">
        <v>2</v>
      </c>
      <c r="AE2" t="n">
        <v>2</v>
      </c>
      <c r="AF2" t="n">
        <v>2</v>
      </c>
      <c r="AG2" t="n">
        <v>2</v>
      </c>
      <c r="AH2" t="n">
        <v>2</v>
      </c>
      <c r="AI2" t="n">
        <v>2</v>
      </c>
      <c r="AJ2" t="n">
        <v>2</v>
      </c>
      <c r="AK2" t="n">
        <v>2</v>
      </c>
      <c r="AL2" t="n">
        <v>2</v>
      </c>
      <c r="AM2" t="n">
        <v>2</v>
      </c>
      <c r="AN2" t="n">
        <v>2</v>
      </c>
      <c r="AO2" t="n">
        <v>2</v>
      </c>
      <c r="AP2" t="n">
        <v>2</v>
      </c>
      <c r="AQ2" t="n">
        <v>2</v>
      </c>
      <c r="AR2" t="n">
        <v>2</v>
      </c>
      <c r="AS2" t="n">
        <v>2</v>
      </c>
      <c r="AT2" t="n">
        <v>2</v>
      </c>
      <c r="AU2" t="n">
        <v>2</v>
      </c>
      <c r="AV2" t="n">
        <v>2</v>
      </c>
      <c r="AW2" t="n">
        <v>2</v>
      </c>
      <c r="AX2" t="n">
        <v>2</v>
      </c>
      <c r="AY2" t="n">
        <v>2</v>
      </c>
      <c r="AZ2" t="n">
        <v>3</v>
      </c>
      <c r="BA2" t="n">
        <v>3</v>
      </c>
      <c r="BB2" t="n">
        <v>3</v>
      </c>
      <c r="BC2" t="n">
        <v>3</v>
      </c>
      <c r="BD2" t="n">
        <v>3</v>
      </c>
      <c r="BE2" t="n">
        <v>3</v>
      </c>
      <c r="BF2" t="n">
        <v>3</v>
      </c>
      <c r="BG2" t="n">
        <v>3</v>
      </c>
      <c r="BH2" t="n">
        <v>3</v>
      </c>
      <c r="BI2" t="n">
        <v>3</v>
      </c>
      <c r="BJ2" t="n">
        <v>3</v>
      </c>
      <c r="BK2" t="n">
        <v>3</v>
      </c>
      <c r="BL2" t="n">
        <v>3</v>
      </c>
      <c r="BM2" t="n">
        <v>3</v>
      </c>
      <c r="BN2" t="n">
        <v>3</v>
      </c>
      <c r="BO2" t="n">
        <v>3</v>
      </c>
      <c r="BP2" t="n">
        <v>3</v>
      </c>
      <c r="BQ2" t="n">
        <v>3</v>
      </c>
      <c r="BR2" t="n">
        <v>3</v>
      </c>
      <c r="BS2" t="n">
        <v>3</v>
      </c>
      <c r="BT2" t="n">
        <v>3</v>
      </c>
      <c r="BU2" t="n">
        <v>3</v>
      </c>
      <c r="BV2" t="n">
        <v>3</v>
      </c>
      <c r="BW2" t="n">
        <v>3</v>
      </c>
      <c r="BX2" t="n">
        <v>4</v>
      </c>
      <c r="BY2" t="n">
        <v>4</v>
      </c>
      <c r="BZ2" t="n">
        <v>4</v>
      </c>
      <c r="CA2" t="n">
        <v>4</v>
      </c>
      <c r="CB2" t="n">
        <v>4</v>
      </c>
      <c r="CC2" t="n">
        <v>4</v>
      </c>
      <c r="CD2" t="n">
        <v>4</v>
      </c>
      <c r="CE2" t="n">
        <v>4</v>
      </c>
      <c r="CF2" t="n">
        <v>4</v>
      </c>
      <c r="CG2" t="n">
        <v>4</v>
      </c>
      <c r="CH2" t="n">
        <v>4</v>
      </c>
      <c r="CI2" t="n">
        <v>4</v>
      </c>
      <c r="CJ2" t="n">
        <v>4</v>
      </c>
      <c r="CK2" t="n">
        <v>4</v>
      </c>
      <c r="CL2" t="n">
        <v>4</v>
      </c>
      <c r="CM2" t="n">
        <v>4</v>
      </c>
      <c r="CN2" t="n">
        <v>4</v>
      </c>
      <c r="CO2" t="n">
        <v>4</v>
      </c>
      <c r="CP2" t="n">
        <v>4</v>
      </c>
      <c r="CQ2" t="n">
        <v>4</v>
      </c>
      <c r="CR2" t="n">
        <v>4</v>
      </c>
      <c r="CS2" t="n">
        <v>4</v>
      </c>
      <c r="CT2" t="n">
        <v>4</v>
      </c>
      <c r="CU2" t="n">
        <v>4</v>
      </c>
      <c r="CV2" t="n">
        <v>5</v>
      </c>
      <c r="CW2" t="n">
        <v>5</v>
      </c>
      <c r="CX2" t="n">
        <v>5</v>
      </c>
      <c r="CY2" t="n">
        <v>5</v>
      </c>
      <c r="CZ2" t="n">
        <v>5</v>
      </c>
      <c r="DA2" t="n">
        <v>5</v>
      </c>
      <c r="DB2" t="n">
        <v>5</v>
      </c>
      <c r="DC2" t="n">
        <v>5</v>
      </c>
      <c r="DD2" t="n">
        <v>5</v>
      </c>
      <c r="DE2" t="n">
        <v>5</v>
      </c>
      <c r="DF2" t="n">
        <v>5</v>
      </c>
      <c r="DG2" t="n">
        <v>5</v>
      </c>
      <c r="DH2" t="n">
        <v>5</v>
      </c>
      <c r="DI2" t="n">
        <v>5</v>
      </c>
      <c r="DJ2" t="n">
        <v>5</v>
      </c>
      <c r="DK2" t="n">
        <v>5</v>
      </c>
      <c r="DL2" t="n">
        <v>5</v>
      </c>
      <c r="DM2" t="n">
        <v>5</v>
      </c>
      <c r="DN2" t="n">
        <v>5</v>
      </c>
      <c r="DO2" t="n">
        <v>5</v>
      </c>
      <c r="DP2" t="n">
        <v>5</v>
      </c>
      <c r="DQ2" t="n">
        <v>5</v>
      </c>
      <c r="DR2" t="n">
        <v>5</v>
      </c>
      <c r="DS2" t="n">
        <v>5</v>
      </c>
      <c r="DT2" t="n">
        <v>6</v>
      </c>
      <c r="DU2" t="n">
        <v>6</v>
      </c>
      <c r="DV2" t="n">
        <v>6</v>
      </c>
      <c r="DW2" t="n">
        <v>6</v>
      </c>
      <c r="DX2" t="n">
        <v>6</v>
      </c>
      <c r="DY2" t="n">
        <v>6</v>
      </c>
      <c r="DZ2" t="n">
        <v>6</v>
      </c>
      <c r="EA2" t="n">
        <v>6</v>
      </c>
      <c r="EB2" t="n">
        <v>6</v>
      </c>
      <c r="EC2" t="n">
        <v>6</v>
      </c>
      <c r="ED2" t="n">
        <v>6</v>
      </c>
      <c r="EE2" t="n">
        <v>6</v>
      </c>
      <c r="EF2" t="n">
        <v>6</v>
      </c>
      <c r="EG2" t="n">
        <v>6</v>
      </c>
      <c r="EH2" t="n">
        <v>6</v>
      </c>
      <c r="EI2" t="n">
        <v>6</v>
      </c>
      <c r="EJ2" t="n">
        <v>6</v>
      </c>
      <c r="EK2" t="n">
        <v>6</v>
      </c>
      <c r="EL2" t="n">
        <v>6</v>
      </c>
      <c r="EM2" t="n">
        <v>6</v>
      </c>
      <c r="EN2" t="n">
        <v>6</v>
      </c>
      <c r="EO2" t="n">
        <v>6</v>
      </c>
      <c r="EP2" t="n">
        <v>6</v>
      </c>
      <c r="EQ2" t="n">
        <v>6</v>
      </c>
    </row>
    <row r="3">
      <c r="A3" s="122">
        <f>IF(AND(ISNUMBER('設定'!$B$3),ISNUMBER('設定'!$D$3),ISNUMBER('設定'!$B$5)),IF(AND('設定'!$B$5&gt;0,'設定'!$D$3&gt;='設定'!$B$3),ROUND(('設定'!$D$3-'設定'!$B$3)*1440/'設定'!$B$5,0)+1,0),0)</f>
        <v/>
      </c>
      <c r="B3" s="122" t="inlineStr">
        <is>
          <t>←時間帯1</t>
        </is>
      </c>
      <c r="C3" s="122" t="inlineStr">
        <is>
          <t>時</t>
        </is>
      </c>
      <c r="D3" t="n">
        <v>1</v>
      </c>
      <c r="E3" t="n">
        <v>2</v>
      </c>
      <c r="F3" t="n">
        <v>3</v>
      </c>
      <c r="G3" t="n">
        <v>4</v>
      </c>
      <c r="H3" t="n">
        <v>5</v>
      </c>
      <c r="I3" t="n">
        <v>6</v>
      </c>
      <c r="J3" t="n">
        <v>7</v>
      </c>
      <c r="K3" t="n">
        <v>8</v>
      </c>
      <c r="L3" t="n">
        <v>9</v>
      </c>
      <c r="M3" t="n">
        <v>10</v>
      </c>
      <c r="N3" t="n">
        <v>11</v>
      </c>
      <c r="O3" t="n">
        <v>12</v>
      </c>
      <c r="P3" t="n">
        <v>13</v>
      </c>
      <c r="Q3" t="n">
        <v>14</v>
      </c>
      <c r="R3" t="n">
        <v>15</v>
      </c>
      <c r="S3" t="n">
        <v>16</v>
      </c>
      <c r="T3" t="n">
        <v>17</v>
      </c>
      <c r="U3" t="n">
        <v>18</v>
      </c>
      <c r="V3" t="n">
        <v>19</v>
      </c>
      <c r="W3" t="n">
        <v>20</v>
      </c>
      <c r="X3" t="n">
        <v>21</v>
      </c>
      <c r="Y3" t="n">
        <v>22</v>
      </c>
      <c r="Z3" t="n">
        <v>23</v>
      </c>
      <c r="AA3" t="n">
        <v>24</v>
      </c>
      <c r="AB3" t="n">
        <v>1</v>
      </c>
      <c r="AC3" t="n">
        <v>2</v>
      </c>
      <c r="AD3" t="n">
        <v>3</v>
      </c>
      <c r="AE3" t="n">
        <v>4</v>
      </c>
      <c r="AF3" t="n">
        <v>5</v>
      </c>
      <c r="AG3" t="n">
        <v>6</v>
      </c>
      <c r="AH3" t="n">
        <v>7</v>
      </c>
      <c r="AI3" t="n">
        <v>8</v>
      </c>
      <c r="AJ3" t="n">
        <v>9</v>
      </c>
      <c r="AK3" t="n">
        <v>10</v>
      </c>
      <c r="AL3" t="n">
        <v>11</v>
      </c>
      <c r="AM3" t="n">
        <v>12</v>
      </c>
      <c r="AN3" t="n">
        <v>13</v>
      </c>
      <c r="AO3" t="n">
        <v>14</v>
      </c>
      <c r="AP3" t="n">
        <v>15</v>
      </c>
      <c r="AQ3" t="n">
        <v>16</v>
      </c>
      <c r="AR3" t="n">
        <v>17</v>
      </c>
      <c r="AS3" t="n">
        <v>18</v>
      </c>
      <c r="AT3" t="n">
        <v>19</v>
      </c>
      <c r="AU3" t="n">
        <v>20</v>
      </c>
      <c r="AV3" t="n">
        <v>21</v>
      </c>
      <c r="AW3" t="n">
        <v>22</v>
      </c>
      <c r="AX3" t="n">
        <v>23</v>
      </c>
      <c r="AY3" t="n">
        <v>24</v>
      </c>
      <c r="AZ3" t="n">
        <v>1</v>
      </c>
      <c r="BA3" t="n">
        <v>2</v>
      </c>
      <c r="BB3" t="n">
        <v>3</v>
      </c>
      <c r="BC3" t="n">
        <v>4</v>
      </c>
      <c r="BD3" t="n">
        <v>5</v>
      </c>
      <c r="BE3" t="n">
        <v>6</v>
      </c>
      <c r="BF3" t="n">
        <v>7</v>
      </c>
      <c r="BG3" t="n">
        <v>8</v>
      </c>
      <c r="BH3" t="n">
        <v>9</v>
      </c>
      <c r="BI3" t="n">
        <v>10</v>
      </c>
      <c r="BJ3" t="n">
        <v>11</v>
      </c>
      <c r="BK3" t="n">
        <v>12</v>
      </c>
      <c r="BL3" t="n">
        <v>13</v>
      </c>
      <c r="BM3" t="n">
        <v>14</v>
      </c>
      <c r="BN3" t="n">
        <v>15</v>
      </c>
      <c r="BO3" t="n">
        <v>16</v>
      </c>
      <c r="BP3" t="n">
        <v>17</v>
      </c>
      <c r="BQ3" t="n">
        <v>18</v>
      </c>
      <c r="BR3" t="n">
        <v>19</v>
      </c>
      <c r="BS3" t="n">
        <v>20</v>
      </c>
      <c r="BT3" t="n">
        <v>21</v>
      </c>
      <c r="BU3" t="n">
        <v>22</v>
      </c>
      <c r="BV3" t="n">
        <v>23</v>
      </c>
      <c r="BW3" t="n">
        <v>24</v>
      </c>
      <c r="BX3" t="n">
        <v>1</v>
      </c>
      <c r="BY3" t="n">
        <v>2</v>
      </c>
      <c r="BZ3" t="n">
        <v>3</v>
      </c>
      <c r="CA3" t="n">
        <v>4</v>
      </c>
      <c r="CB3" t="n">
        <v>5</v>
      </c>
      <c r="CC3" t="n">
        <v>6</v>
      </c>
      <c r="CD3" t="n">
        <v>7</v>
      </c>
      <c r="CE3" t="n">
        <v>8</v>
      </c>
      <c r="CF3" t="n">
        <v>9</v>
      </c>
      <c r="CG3" t="n">
        <v>10</v>
      </c>
      <c r="CH3" t="n">
        <v>11</v>
      </c>
      <c r="CI3" t="n">
        <v>12</v>
      </c>
      <c r="CJ3" t="n">
        <v>13</v>
      </c>
      <c r="CK3" t="n">
        <v>14</v>
      </c>
      <c r="CL3" t="n">
        <v>15</v>
      </c>
      <c r="CM3" t="n">
        <v>16</v>
      </c>
      <c r="CN3" t="n">
        <v>17</v>
      </c>
      <c r="CO3" t="n">
        <v>18</v>
      </c>
      <c r="CP3" t="n">
        <v>19</v>
      </c>
      <c r="CQ3" t="n">
        <v>20</v>
      </c>
      <c r="CR3" t="n">
        <v>21</v>
      </c>
      <c r="CS3" t="n">
        <v>22</v>
      </c>
      <c r="CT3" t="n">
        <v>23</v>
      </c>
      <c r="CU3" t="n">
        <v>24</v>
      </c>
      <c r="CV3" t="n">
        <v>1</v>
      </c>
      <c r="CW3" t="n">
        <v>2</v>
      </c>
      <c r="CX3" t="n">
        <v>3</v>
      </c>
      <c r="CY3" t="n">
        <v>4</v>
      </c>
      <c r="CZ3" t="n">
        <v>5</v>
      </c>
      <c r="DA3" t="n">
        <v>6</v>
      </c>
      <c r="DB3" t="n">
        <v>7</v>
      </c>
      <c r="DC3" t="n">
        <v>8</v>
      </c>
      <c r="DD3" t="n">
        <v>9</v>
      </c>
      <c r="DE3" t="n">
        <v>10</v>
      </c>
      <c r="DF3" t="n">
        <v>11</v>
      </c>
      <c r="DG3" t="n">
        <v>12</v>
      </c>
      <c r="DH3" t="n">
        <v>13</v>
      </c>
      <c r="DI3" t="n">
        <v>14</v>
      </c>
      <c r="DJ3" t="n">
        <v>15</v>
      </c>
      <c r="DK3" t="n">
        <v>16</v>
      </c>
      <c r="DL3" t="n">
        <v>17</v>
      </c>
      <c r="DM3" t="n">
        <v>18</v>
      </c>
      <c r="DN3" t="n">
        <v>19</v>
      </c>
      <c r="DO3" t="n">
        <v>20</v>
      </c>
      <c r="DP3" t="n">
        <v>21</v>
      </c>
      <c r="DQ3" t="n">
        <v>22</v>
      </c>
      <c r="DR3" t="n">
        <v>23</v>
      </c>
      <c r="DS3" t="n">
        <v>24</v>
      </c>
      <c r="DT3" t="n">
        <v>1</v>
      </c>
      <c r="DU3" t="n">
        <v>2</v>
      </c>
      <c r="DV3" t="n">
        <v>3</v>
      </c>
      <c r="DW3" t="n">
        <v>4</v>
      </c>
      <c r="DX3" t="n">
        <v>5</v>
      </c>
      <c r="DY3" t="n">
        <v>6</v>
      </c>
      <c r="DZ3" t="n">
        <v>7</v>
      </c>
      <c r="EA3" t="n">
        <v>8</v>
      </c>
      <c r="EB3" t="n">
        <v>9</v>
      </c>
      <c r="EC3" t="n">
        <v>10</v>
      </c>
      <c r="ED3" t="n">
        <v>11</v>
      </c>
      <c r="EE3" t="n">
        <v>12</v>
      </c>
      <c r="EF3" t="n">
        <v>13</v>
      </c>
      <c r="EG3" t="n">
        <v>14</v>
      </c>
      <c r="EH3" t="n">
        <v>15</v>
      </c>
      <c r="EI3" t="n">
        <v>16</v>
      </c>
      <c r="EJ3" t="n">
        <v>17</v>
      </c>
      <c r="EK3" t="n">
        <v>18</v>
      </c>
      <c r="EL3" t="n">
        <v>19</v>
      </c>
      <c r="EM3" t="n">
        <v>20</v>
      </c>
      <c r="EN3" t="n">
        <v>21</v>
      </c>
      <c r="EO3" t="n">
        <v>22</v>
      </c>
      <c r="EP3" t="n">
        <v>23</v>
      </c>
      <c r="EQ3" t="n">
        <v>24</v>
      </c>
    </row>
    <row r="4">
      <c r="A4" s="122">
        <f>IF(AND(A3&gt;0,ISNUMBER('設定'!$B$4),ISNUMBER('設定'!$D$4)),IF(AND('設定'!$D$4&gt;='設定'!$B$4,'設定'!$B$4&gt;'設定'!$D$3),ROUND(('設定'!$D$4-'設定'!$B$4)*1440/'設定'!$B$5,0)+1,0),0)</f>
        <v/>
      </c>
      <c r="B4" s="122" t="inlineStr">
        <is>
          <t>←時間帯2</t>
        </is>
      </c>
      <c r="C4" s="122" t="inlineStr">
        <is>
          <t>使える</t>
        </is>
      </c>
      <c r="D4">
        <f>IF(AND(D115=1,INDEX('設定'!$M$9:$R$9,D2)="",INDEX('設定'!$K$11:$K$34,D3)="",INDEX('設定'!$M$11:$R$34,D3,D2)=""),1,0)</f>
        <v/>
      </c>
      <c r="E4">
        <f>IF(AND(E115=1,INDEX('設定'!$M$9:$R$9,E2)="",INDEX('設定'!$K$11:$K$34,E3)="",INDEX('設定'!$M$11:$R$34,E3,E2)=""),1,0)</f>
        <v/>
      </c>
      <c r="F4">
        <f>IF(AND(F115=1,INDEX('設定'!$M$9:$R$9,F2)="",INDEX('設定'!$K$11:$K$34,F3)="",INDEX('設定'!$M$11:$R$34,F3,F2)=""),1,0)</f>
        <v/>
      </c>
      <c r="G4">
        <f>IF(AND(G115=1,INDEX('設定'!$M$9:$R$9,G2)="",INDEX('設定'!$K$11:$K$34,G3)="",INDEX('設定'!$M$11:$R$34,G3,G2)=""),1,0)</f>
        <v/>
      </c>
      <c r="H4">
        <f>IF(AND(H115=1,INDEX('設定'!$M$9:$R$9,H2)="",INDEX('設定'!$K$11:$K$34,H3)="",INDEX('設定'!$M$11:$R$34,H3,H2)=""),1,0)</f>
        <v/>
      </c>
      <c r="I4">
        <f>IF(AND(I115=1,INDEX('設定'!$M$9:$R$9,I2)="",INDEX('設定'!$K$11:$K$34,I3)="",INDEX('設定'!$M$11:$R$34,I3,I2)=""),1,0)</f>
        <v/>
      </c>
      <c r="J4">
        <f>IF(AND(J115=1,INDEX('設定'!$M$9:$R$9,J2)="",INDEX('設定'!$K$11:$K$34,J3)="",INDEX('設定'!$M$11:$R$34,J3,J2)=""),1,0)</f>
        <v/>
      </c>
      <c r="K4">
        <f>IF(AND(K115=1,INDEX('設定'!$M$9:$R$9,K2)="",INDEX('設定'!$K$11:$K$34,K3)="",INDEX('設定'!$M$11:$R$34,K3,K2)=""),1,0)</f>
        <v/>
      </c>
      <c r="L4">
        <f>IF(AND(L115=1,INDEX('設定'!$M$9:$R$9,L2)="",INDEX('設定'!$K$11:$K$34,L3)="",INDEX('設定'!$M$11:$R$34,L3,L2)=""),1,0)</f>
        <v/>
      </c>
      <c r="M4">
        <f>IF(AND(M115=1,INDEX('設定'!$M$9:$R$9,M2)="",INDEX('設定'!$K$11:$K$34,M3)="",INDEX('設定'!$M$11:$R$34,M3,M2)=""),1,0)</f>
        <v/>
      </c>
      <c r="N4">
        <f>IF(AND(N115=1,INDEX('設定'!$M$9:$R$9,N2)="",INDEX('設定'!$K$11:$K$34,N3)="",INDEX('設定'!$M$11:$R$34,N3,N2)=""),1,0)</f>
        <v/>
      </c>
      <c r="O4">
        <f>IF(AND(O115=1,INDEX('設定'!$M$9:$R$9,O2)="",INDEX('設定'!$K$11:$K$34,O3)="",INDEX('設定'!$M$11:$R$34,O3,O2)=""),1,0)</f>
        <v/>
      </c>
      <c r="P4">
        <f>IF(AND(P115=1,INDEX('設定'!$M$9:$R$9,P2)="",INDEX('設定'!$K$11:$K$34,P3)="",INDEX('設定'!$M$11:$R$34,P3,P2)=""),1,0)</f>
        <v/>
      </c>
      <c r="Q4">
        <f>IF(AND(Q115=1,INDEX('設定'!$M$9:$R$9,Q2)="",INDEX('設定'!$K$11:$K$34,Q3)="",INDEX('設定'!$M$11:$R$34,Q3,Q2)=""),1,0)</f>
        <v/>
      </c>
      <c r="R4">
        <f>IF(AND(R115=1,INDEX('設定'!$M$9:$R$9,R2)="",INDEX('設定'!$K$11:$K$34,R3)="",INDEX('設定'!$M$11:$R$34,R3,R2)=""),1,0)</f>
        <v/>
      </c>
      <c r="S4">
        <f>IF(AND(S115=1,INDEX('設定'!$M$9:$R$9,S2)="",INDEX('設定'!$K$11:$K$34,S3)="",INDEX('設定'!$M$11:$R$34,S3,S2)=""),1,0)</f>
        <v/>
      </c>
      <c r="T4">
        <f>IF(AND(T115=1,INDEX('設定'!$M$9:$R$9,T2)="",INDEX('設定'!$K$11:$K$34,T3)="",INDEX('設定'!$M$11:$R$34,T3,T2)=""),1,0)</f>
        <v/>
      </c>
      <c r="U4">
        <f>IF(AND(U115=1,INDEX('設定'!$M$9:$R$9,U2)="",INDEX('設定'!$K$11:$K$34,U3)="",INDEX('設定'!$M$11:$R$34,U3,U2)=""),1,0)</f>
        <v/>
      </c>
      <c r="V4">
        <f>IF(AND(V115=1,INDEX('設定'!$M$9:$R$9,V2)="",INDEX('設定'!$K$11:$K$34,V3)="",INDEX('設定'!$M$11:$R$34,V3,V2)=""),1,0)</f>
        <v/>
      </c>
      <c r="W4">
        <f>IF(AND(W115=1,INDEX('設定'!$M$9:$R$9,W2)="",INDEX('設定'!$K$11:$K$34,W3)="",INDEX('設定'!$M$11:$R$34,W3,W2)=""),1,0)</f>
        <v/>
      </c>
      <c r="X4">
        <f>IF(AND(X115=1,INDEX('設定'!$M$9:$R$9,X2)="",INDEX('設定'!$K$11:$K$34,X3)="",INDEX('設定'!$M$11:$R$34,X3,X2)=""),1,0)</f>
        <v/>
      </c>
      <c r="Y4">
        <f>IF(AND(Y115=1,INDEX('設定'!$M$9:$R$9,Y2)="",INDEX('設定'!$K$11:$K$34,Y3)="",INDEX('設定'!$M$11:$R$34,Y3,Y2)=""),1,0)</f>
        <v/>
      </c>
      <c r="Z4">
        <f>IF(AND(Z115=1,INDEX('設定'!$M$9:$R$9,Z2)="",INDEX('設定'!$K$11:$K$34,Z3)="",INDEX('設定'!$M$11:$R$34,Z3,Z2)=""),1,0)</f>
        <v/>
      </c>
      <c r="AA4">
        <f>IF(AND(AA115=1,INDEX('設定'!$M$9:$R$9,AA2)="",INDEX('設定'!$K$11:$K$34,AA3)="",INDEX('設定'!$M$11:$R$34,AA3,AA2)=""),1,0)</f>
        <v/>
      </c>
      <c r="AB4">
        <f>IF(AND(AB115=1,INDEX('設定'!$M$9:$R$9,AB2)="",INDEX('設定'!$K$11:$K$34,AB3)="",INDEX('設定'!$M$11:$R$34,AB3,AB2)=""),1,0)</f>
        <v/>
      </c>
      <c r="AC4">
        <f>IF(AND(AC115=1,INDEX('設定'!$M$9:$R$9,AC2)="",INDEX('設定'!$K$11:$K$34,AC3)="",INDEX('設定'!$M$11:$R$34,AC3,AC2)=""),1,0)</f>
        <v/>
      </c>
      <c r="AD4">
        <f>IF(AND(AD115=1,INDEX('設定'!$M$9:$R$9,AD2)="",INDEX('設定'!$K$11:$K$34,AD3)="",INDEX('設定'!$M$11:$R$34,AD3,AD2)=""),1,0)</f>
        <v/>
      </c>
      <c r="AE4">
        <f>IF(AND(AE115=1,INDEX('設定'!$M$9:$R$9,AE2)="",INDEX('設定'!$K$11:$K$34,AE3)="",INDEX('設定'!$M$11:$R$34,AE3,AE2)=""),1,0)</f>
        <v/>
      </c>
      <c r="AF4">
        <f>IF(AND(AF115=1,INDEX('設定'!$M$9:$R$9,AF2)="",INDEX('設定'!$K$11:$K$34,AF3)="",INDEX('設定'!$M$11:$R$34,AF3,AF2)=""),1,0)</f>
        <v/>
      </c>
      <c r="AG4">
        <f>IF(AND(AG115=1,INDEX('設定'!$M$9:$R$9,AG2)="",INDEX('設定'!$K$11:$K$34,AG3)="",INDEX('設定'!$M$11:$R$34,AG3,AG2)=""),1,0)</f>
        <v/>
      </c>
      <c r="AH4">
        <f>IF(AND(AH115=1,INDEX('設定'!$M$9:$R$9,AH2)="",INDEX('設定'!$K$11:$K$34,AH3)="",INDEX('設定'!$M$11:$R$34,AH3,AH2)=""),1,0)</f>
        <v/>
      </c>
      <c r="AI4">
        <f>IF(AND(AI115=1,INDEX('設定'!$M$9:$R$9,AI2)="",INDEX('設定'!$K$11:$K$34,AI3)="",INDEX('設定'!$M$11:$R$34,AI3,AI2)=""),1,0)</f>
        <v/>
      </c>
      <c r="AJ4">
        <f>IF(AND(AJ115=1,INDEX('設定'!$M$9:$R$9,AJ2)="",INDEX('設定'!$K$11:$K$34,AJ3)="",INDEX('設定'!$M$11:$R$34,AJ3,AJ2)=""),1,0)</f>
        <v/>
      </c>
      <c r="AK4">
        <f>IF(AND(AK115=1,INDEX('設定'!$M$9:$R$9,AK2)="",INDEX('設定'!$K$11:$K$34,AK3)="",INDEX('設定'!$M$11:$R$34,AK3,AK2)=""),1,0)</f>
        <v/>
      </c>
      <c r="AL4">
        <f>IF(AND(AL115=1,INDEX('設定'!$M$9:$R$9,AL2)="",INDEX('設定'!$K$11:$K$34,AL3)="",INDEX('設定'!$M$11:$R$34,AL3,AL2)=""),1,0)</f>
        <v/>
      </c>
      <c r="AM4">
        <f>IF(AND(AM115=1,INDEX('設定'!$M$9:$R$9,AM2)="",INDEX('設定'!$K$11:$K$34,AM3)="",INDEX('設定'!$M$11:$R$34,AM3,AM2)=""),1,0)</f>
        <v/>
      </c>
      <c r="AN4">
        <f>IF(AND(AN115=1,INDEX('設定'!$M$9:$R$9,AN2)="",INDEX('設定'!$K$11:$K$34,AN3)="",INDEX('設定'!$M$11:$R$34,AN3,AN2)=""),1,0)</f>
        <v/>
      </c>
      <c r="AO4">
        <f>IF(AND(AO115=1,INDEX('設定'!$M$9:$R$9,AO2)="",INDEX('設定'!$K$11:$K$34,AO3)="",INDEX('設定'!$M$11:$R$34,AO3,AO2)=""),1,0)</f>
        <v/>
      </c>
      <c r="AP4">
        <f>IF(AND(AP115=1,INDEX('設定'!$M$9:$R$9,AP2)="",INDEX('設定'!$K$11:$K$34,AP3)="",INDEX('設定'!$M$11:$R$34,AP3,AP2)=""),1,0)</f>
        <v/>
      </c>
      <c r="AQ4">
        <f>IF(AND(AQ115=1,INDEX('設定'!$M$9:$R$9,AQ2)="",INDEX('設定'!$K$11:$K$34,AQ3)="",INDEX('設定'!$M$11:$R$34,AQ3,AQ2)=""),1,0)</f>
        <v/>
      </c>
      <c r="AR4">
        <f>IF(AND(AR115=1,INDEX('設定'!$M$9:$R$9,AR2)="",INDEX('設定'!$K$11:$K$34,AR3)="",INDEX('設定'!$M$11:$R$34,AR3,AR2)=""),1,0)</f>
        <v/>
      </c>
      <c r="AS4">
        <f>IF(AND(AS115=1,INDEX('設定'!$M$9:$R$9,AS2)="",INDEX('設定'!$K$11:$K$34,AS3)="",INDEX('設定'!$M$11:$R$34,AS3,AS2)=""),1,0)</f>
        <v/>
      </c>
      <c r="AT4">
        <f>IF(AND(AT115=1,INDEX('設定'!$M$9:$R$9,AT2)="",INDEX('設定'!$K$11:$K$34,AT3)="",INDEX('設定'!$M$11:$R$34,AT3,AT2)=""),1,0)</f>
        <v/>
      </c>
      <c r="AU4">
        <f>IF(AND(AU115=1,INDEX('設定'!$M$9:$R$9,AU2)="",INDEX('設定'!$K$11:$K$34,AU3)="",INDEX('設定'!$M$11:$R$34,AU3,AU2)=""),1,0)</f>
        <v/>
      </c>
      <c r="AV4">
        <f>IF(AND(AV115=1,INDEX('設定'!$M$9:$R$9,AV2)="",INDEX('設定'!$K$11:$K$34,AV3)="",INDEX('設定'!$M$11:$R$34,AV3,AV2)=""),1,0)</f>
        <v/>
      </c>
      <c r="AW4">
        <f>IF(AND(AW115=1,INDEX('設定'!$M$9:$R$9,AW2)="",INDEX('設定'!$K$11:$K$34,AW3)="",INDEX('設定'!$M$11:$R$34,AW3,AW2)=""),1,0)</f>
        <v/>
      </c>
      <c r="AX4">
        <f>IF(AND(AX115=1,INDEX('設定'!$M$9:$R$9,AX2)="",INDEX('設定'!$K$11:$K$34,AX3)="",INDEX('設定'!$M$11:$R$34,AX3,AX2)=""),1,0)</f>
        <v/>
      </c>
      <c r="AY4">
        <f>IF(AND(AY115=1,INDEX('設定'!$M$9:$R$9,AY2)="",INDEX('設定'!$K$11:$K$34,AY3)="",INDEX('設定'!$M$11:$R$34,AY3,AY2)=""),1,0)</f>
        <v/>
      </c>
      <c r="AZ4">
        <f>IF(AND(AZ115=1,INDEX('設定'!$M$9:$R$9,AZ2)="",INDEX('設定'!$K$11:$K$34,AZ3)="",INDEX('設定'!$M$11:$R$34,AZ3,AZ2)=""),1,0)</f>
        <v/>
      </c>
      <c r="BA4">
        <f>IF(AND(BA115=1,INDEX('設定'!$M$9:$R$9,BA2)="",INDEX('設定'!$K$11:$K$34,BA3)="",INDEX('設定'!$M$11:$R$34,BA3,BA2)=""),1,0)</f>
        <v/>
      </c>
      <c r="BB4">
        <f>IF(AND(BB115=1,INDEX('設定'!$M$9:$R$9,BB2)="",INDEX('設定'!$K$11:$K$34,BB3)="",INDEX('設定'!$M$11:$R$34,BB3,BB2)=""),1,0)</f>
        <v/>
      </c>
      <c r="BC4">
        <f>IF(AND(BC115=1,INDEX('設定'!$M$9:$R$9,BC2)="",INDEX('設定'!$K$11:$K$34,BC3)="",INDEX('設定'!$M$11:$R$34,BC3,BC2)=""),1,0)</f>
        <v/>
      </c>
      <c r="BD4">
        <f>IF(AND(BD115=1,INDEX('設定'!$M$9:$R$9,BD2)="",INDEX('設定'!$K$11:$K$34,BD3)="",INDEX('設定'!$M$11:$R$34,BD3,BD2)=""),1,0)</f>
        <v/>
      </c>
      <c r="BE4">
        <f>IF(AND(BE115=1,INDEX('設定'!$M$9:$R$9,BE2)="",INDEX('設定'!$K$11:$K$34,BE3)="",INDEX('設定'!$M$11:$R$34,BE3,BE2)=""),1,0)</f>
        <v/>
      </c>
      <c r="BF4">
        <f>IF(AND(BF115=1,INDEX('設定'!$M$9:$R$9,BF2)="",INDEX('設定'!$K$11:$K$34,BF3)="",INDEX('設定'!$M$11:$R$34,BF3,BF2)=""),1,0)</f>
        <v/>
      </c>
      <c r="BG4">
        <f>IF(AND(BG115=1,INDEX('設定'!$M$9:$R$9,BG2)="",INDEX('設定'!$K$11:$K$34,BG3)="",INDEX('設定'!$M$11:$R$34,BG3,BG2)=""),1,0)</f>
        <v/>
      </c>
      <c r="BH4">
        <f>IF(AND(BH115=1,INDEX('設定'!$M$9:$R$9,BH2)="",INDEX('設定'!$K$11:$K$34,BH3)="",INDEX('設定'!$M$11:$R$34,BH3,BH2)=""),1,0)</f>
        <v/>
      </c>
      <c r="BI4">
        <f>IF(AND(BI115=1,INDEX('設定'!$M$9:$R$9,BI2)="",INDEX('設定'!$K$11:$K$34,BI3)="",INDEX('設定'!$M$11:$R$34,BI3,BI2)=""),1,0)</f>
        <v/>
      </c>
      <c r="BJ4">
        <f>IF(AND(BJ115=1,INDEX('設定'!$M$9:$R$9,BJ2)="",INDEX('設定'!$K$11:$K$34,BJ3)="",INDEX('設定'!$M$11:$R$34,BJ3,BJ2)=""),1,0)</f>
        <v/>
      </c>
      <c r="BK4">
        <f>IF(AND(BK115=1,INDEX('設定'!$M$9:$R$9,BK2)="",INDEX('設定'!$K$11:$K$34,BK3)="",INDEX('設定'!$M$11:$R$34,BK3,BK2)=""),1,0)</f>
        <v/>
      </c>
      <c r="BL4">
        <f>IF(AND(BL115=1,INDEX('設定'!$M$9:$R$9,BL2)="",INDEX('設定'!$K$11:$K$34,BL3)="",INDEX('設定'!$M$11:$R$34,BL3,BL2)=""),1,0)</f>
        <v/>
      </c>
      <c r="BM4">
        <f>IF(AND(BM115=1,INDEX('設定'!$M$9:$R$9,BM2)="",INDEX('設定'!$K$11:$K$34,BM3)="",INDEX('設定'!$M$11:$R$34,BM3,BM2)=""),1,0)</f>
        <v/>
      </c>
      <c r="BN4">
        <f>IF(AND(BN115=1,INDEX('設定'!$M$9:$R$9,BN2)="",INDEX('設定'!$K$11:$K$34,BN3)="",INDEX('設定'!$M$11:$R$34,BN3,BN2)=""),1,0)</f>
        <v/>
      </c>
      <c r="BO4">
        <f>IF(AND(BO115=1,INDEX('設定'!$M$9:$R$9,BO2)="",INDEX('設定'!$K$11:$K$34,BO3)="",INDEX('設定'!$M$11:$R$34,BO3,BO2)=""),1,0)</f>
        <v/>
      </c>
      <c r="BP4">
        <f>IF(AND(BP115=1,INDEX('設定'!$M$9:$R$9,BP2)="",INDEX('設定'!$K$11:$K$34,BP3)="",INDEX('設定'!$M$11:$R$34,BP3,BP2)=""),1,0)</f>
        <v/>
      </c>
      <c r="BQ4">
        <f>IF(AND(BQ115=1,INDEX('設定'!$M$9:$R$9,BQ2)="",INDEX('設定'!$K$11:$K$34,BQ3)="",INDEX('設定'!$M$11:$R$34,BQ3,BQ2)=""),1,0)</f>
        <v/>
      </c>
      <c r="BR4">
        <f>IF(AND(BR115=1,INDEX('設定'!$M$9:$R$9,BR2)="",INDEX('設定'!$K$11:$K$34,BR3)="",INDEX('設定'!$M$11:$R$34,BR3,BR2)=""),1,0)</f>
        <v/>
      </c>
      <c r="BS4">
        <f>IF(AND(BS115=1,INDEX('設定'!$M$9:$R$9,BS2)="",INDEX('設定'!$K$11:$K$34,BS3)="",INDEX('設定'!$M$11:$R$34,BS3,BS2)=""),1,0)</f>
        <v/>
      </c>
      <c r="BT4">
        <f>IF(AND(BT115=1,INDEX('設定'!$M$9:$R$9,BT2)="",INDEX('設定'!$K$11:$K$34,BT3)="",INDEX('設定'!$M$11:$R$34,BT3,BT2)=""),1,0)</f>
        <v/>
      </c>
      <c r="BU4">
        <f>IF(AND(BU115=1,INDEX('設定'!$M$9:$R$9,BU2)="",INDEX('設定'!$K$11:$K$34,BU3)="",INDEX('設定'!$M$11:$R$34,BU3,BU2)=""),1,0)</f>
        <v/>
      </c>
      <c r="BV4">
        <f>IF(AND(BV115=1,INDEX('設定'!$M$9:$R$9,BV2)="",INDEX('設定'!$K$11:$K$34,BV3)="",INDEX('設定'!$M$11:$R$34,BV3,BV2)=""),1,0)</f>
        <v/>
      </c>
      <c r="BW4">
        <f>IF(AND(BW115=1,INDEX('設定'!$M$9:$R$9,BW2)="",INDEX('設定'!$K$11:$K$34,BW3)="",INDEX('設定'!$M$11:$R$34,BW3,BW2)=""),1,0)</f>
        <v/>
      </c>
      <c r="BX4">
        <f>IF(AND(BX115=1,INDEX('設定'!$M$9:$R$9,BX2)="",INDEX('設定'!$K$11:$K$34,BX3)="",INDEX('設定'!$M$11:$R$34,BX3,BX2)=""),1,0)</f>
        <v/>
      </c>
      <c r="BY4">
        <f>IF(AND(BY115=1,INDEX('設定'!$M$9:$R$9,BY2)="",INDEX('設定'!$K$11:$K$34,BY3)="",INDEX('設定'!$M$11:$R$34,BY3,BY2)=""),1,0)</f>
        <v/>
      </c>
      <c r="BZ4">
        <f>IF(AND(BZ115=1,INDEX('設定'!$M$9:$R$9,BZ2)="",INDEX('設定'!$K$11:$K$34,BZ3)="",INDEX('設定'!$M$11:$R$34,BZ3,BZ2)=""),1,0)</f>
        <v/>
      </c>
      <c r="CA4">
        <f>IF(AND(CA115=1,INDEX('設定'!$M$9:$R$9,CA2)="",INDEX('設定'!$K$11:$K$34,CA3)="",INDEX('設定'!$M$11:$R$34,CA3,CA2)=""),1,0)</f>
        <v/>
      </c>
      <c r="CB4">
        <f>IF(AND(CB115=1,INDEX('設定'!$M$9:$R$9,CB2)="",INDEX('設定'!$K$11:$K$34,CB3)="",INDEX('設定'!$M$11:$R$34,CB3,CB2)=""),1,0)</f>
        <v/>
      </c>
      <c r="CC4">
        <f>IF(AND(CC115=1,INDEX('設定'!$M$9:$R$9,CC2)="",INDEX('設定'!$K$11:$K$34,CC3)="",INDEX('設定'!$M$11:$R$34,CC3,CC2)=""),1,0)</f>
        <v/>
      </c>
      <c r="CD4">
        <f>IF(AND(CD115=1,INDEX('設定'!$M$9:$R$9,CD2)="",INDEX('設定'!$K$11:$K$34,CD3)="",INDEX('設定'!$M$11:$R$34,CD3,CD2)=""),1,0)</f>
        <v/>
      </c>
      <c r="CE4">
        <f>IF(AND(CE115=1,INDEX('設定'!$M$9:$R$9,CE2)="",INDEX('設定'!$K$11:$K$34,CE3)="",INDEX('設定'!$M$11:$R$34,CE3,CE2)=""),1,0)</f>
        <v/>
      </c>
      <c r="CF4">
        <f>IF(AND(CF115=1,INDEX('設定'!$M$9:$R$9,CF2)="",INDEX('設定'!$K$11:$K$34,CF3)="",INDEX('設定'!$M$11:$R$34,CF3,CF2)=""),1,0)</f>
        <v/>
      </c>
      <c r="CG4">
        <f>IF(AND(CG115=1,INDEX('設定'!$M$9:$R$9,CG2)="",INDEX('設定'!$K$11:$K$34,CG3)="",INDEX('設定'!$M$11:$R$34,CG3,CG2)=""),1,0)</f>
        <v/>
      </c>
      <c r="CH4">
        <f>IF(AND(CH115=1,INDEX('設定'!$M$9:$R$9,CH2)="",INDEX('設定'!$K$11:$K$34,CH3)="",INDEX('設定'!$M$11:$R$34,CH3,CH2)=""),1,0)</f>
        <v/>
      </c>
      <c r="CI4">
        <f>IF(AND(CI115=1,INDEX('設定'!$M$9:$R$9,CI2)="",INDEX('設定'!$K$11:$K$34,CI3)="",INDEX('設定'!$M$11:$R$34,CI3,CI2)=""),1,0)</f>
        <v/>
      </c>
      <c r="CJ4">
        <f>IF(AND(CJ115=1,INDEX('設定'!$M$9:$R$9,CJ2)="",INDEX('設定'!$K$11:$K$34,CJ3)="",INDEX('設定'!$M$11:$R$34,CJ3,CJ2)=""),1,0)</f>
        <v/>
      </c>
      <c r="CK4">
        <f>IF(AND(CK115=1,INDEX('設定'!$M$9:$R$9,CK2)="",INDEX('設定'!$K$11:$K$34,CK3)="",INDEX('設定'!$M$11:$R$34,CK3,CK2)=""),1,0)</f>
        <v/>
      </c>
      <c r="CL4">
        <f>IF(AND(CL115=1,INDEX('設定'!$M$9:$R$9,CL2)="",INDEX('設定'!$K$11:$K$34,CL3)="",INDEX('設定'!$M$11:$R$34,CL3,CL2)=""),1,0)</f>
        <v/>
      </c>
      <c r="CM4">
        <f>IF(AND(CM115=1,INDEX('設定'!$M$9:$R$9,CM2)="",INDEX('設定'!$K$11:$K$34,CM3)="",INDEX('設定'!$M$11:$R$34,CM3,CM2)=""),1,0)</f>
        <v/>
      </c>
      <c r="CN4">
        <f>IF(AND(CN115=1,INDEX('設定'!$M$9:$R$9,CN2)="",INDEX('設定'!$K$11:$K$34,CN3)="",INDEX('設定'!$M$11:$R$34,CN3,CN2)=""),1,0)</f>
        <v/>
      </c>
      <c r="CO4">
        <f>IF(AND(CO115=1,INDEX('設定'!$M$9:$R$9,CO2)="",INDEX('設定'!$K$11:$K$34,CO3)="",INDEX('設定'!$M$11:$R$34,CO3,CO2)=""),1,0)</f>
        <v/>
      </c>
      <c r="CP4">
        <f>IF(AND(CP115=1,INDEX('設定'!$M$9:$R$9,CP2)="",INDEX('設定'!$K$11:$K$34,CP3)="",INDEX('設定'!$M$11:$R$34,CP3,CP2)=""),1,0)</f>
        <v/>
      </c>
      <c r="CQ4">
        <f>IF(AND(CQ115=1,INDEX('設定'!$M$9:$R$9,CQ2)="",INDEX('設定'!$K$11:$K$34,CQ3)="",INDEX('設定'!$M$11:$R$34,CQ3,CQ2)=""),1,0)</f>
        <v/>
      </c>
      <c r="CR4">
        <f>IF(AND(CR115=1,INDEX('設定'!$M$9:$R$9,CR2)="",INDEX('設定'!$K$11:$K$34,CR3)="",INDEX('設定'!$M$11:$R$34,CR3,CR2)=""),1,0)</f>
        <v/>
      </c>
      <c r="CS4">
        <f>IF(AND(CS115=1,INDEX('設定'!$M$9:$R$9,CS2)="",INDEX('設定'!$K$11:$K$34,CS3)="",INDEX('設定'!$M$11:$R$34,CS3,CS2)=""),1,0)</f>
        <v/>
      </c>
      <c r="CT4">
        <f>IF(AND(CT115=1,INDEX('設定'!$M$9:$R$9,CT2)="",INDEX('設定'!$K$11:$K$34,CT3)="",INDEX('設定'!$M$11:$R$34,CT3,CT2)=""),1,0)</f>
        <v/>
      </c>
      <c r="CU4">
        <f>IF(AND(CU115=1,INDEX('設定'!$M$9:$R$9,CU2)="",INDEX('設定'!$K$11:$K$34,CU3)="",INDEX('設定'!$M$11:$R$34,CU3,CU2)=""),1,0)</f>
        <v/>
      </c>
      <c r="CV4">
        <f>IF(AND(CV115=1,INDEX('設定'!$M$9:$R$9,CV2)="",INDEX('設定'!$K$11:$K$34,CV3)="",INDEX('設定'!$M$11:$R$34,CV3,CV2)=""),1,0)</f>
        <v/>
      </c>
      <c r="CW4">
        <f>IF(AND(CW115=1,INDEX('設定'!$M$9:$R$9,CW2)="",INDEX('設定'!$K$11:$K$34,CW3)="",INDEX('設定'!$M$11:$R$34,CW3,CW2)=""),1,0)</f>
        <v/>
      </c>
      <c r="CX4">
        <f>IF(AND(CX115=1,INDEX('設定'!$M$9:$R$9,CX2)="",INDEX('設定'!$K$11:$K$34,CX3)="",INDEX('設定'!$M$11:$R$34,CX3,CX2)=""),1,0)</f>
        <v/>
      </c>
      <c r="CY4">
        <f>IF(AND(CY115=1,INDEX('設定'!$M$9:$R$9,CY2)="",INDEX('設定'!$K$11:$K$34,CY3)="",INDEX('設定'!$M$11:$R$34,CY3,CY2)=""),1,0)</f>
        <v/>
      </c>
      <c r="CZ4">
        <f>IF(AND(CZ115=1,INDEX('設定'!$M$9:$R$9,CZ2)="",INDEX('設定'!$K$11:$K$34,CZ3)="",INDEX('設定'!$M$11:$R$34,CZ3,CZ2)=""),1,0)</f>
        <v/>
      </c>
      <c r="DA4">
        <f>IF(AND(DA115=1,INDEX('設定'!$M$9:$R$9,DA2)="",INDEX('設定'!$K$11:$K$34,DA3)="",INDEX('設定'!$M$11:$R$34,DA3,DA2)=""),1,0)</f>
        <v/>
      </c>
      <c r="DB4">
        <f>IF(AND(DB115=1,INDEX('設定'!$M$9:$R$9,DB2)="",INDEX('設定'!$K$11:$K$34,DB3)="",INDEX('設定'!$M$11:$R$34,DB3,DB2)=""),1,0)</f>
        <v/>
      </c>
      <c r="DC4">
        <f>IF(AND(DC115=1,INDEX('設定'!$M$9:$R$9,DC2)="",INDEX('設定'!$K$11:$K$34,DC3)="",INDEX('設定'!$M$11:$R$34,DC3,DC2)=""),1,0)</f>
        <v/>
      </c>
      <c r="DD4">
        <f>IF(AND(DD115=1,INDEX('設定'!$M$9:$R$9,DD2)="",INDEX('設定'!$K$11:$K$34,DD3)="",INDEX('設定'!$M$11:$R$34,DD3,DD2)=""),1,0)</f>
        <v/>
      </c>
      <c r="DE4">
        <f>IF(AND(DE115=1,INDEX('設定'!$M$9:$R$9,DE2)="",INDEX('設定'!$K$11:$K$34,DE3)="",INDEX('設定'!$M$11:$R$34,DE3,DE2)=""),1,0)</f>
        <v/>
      </c>
      <c r="DF4">
        <f>IF(AND(DF115=1,INDEX('設定'!$M$9:$R$9,DF2)="",INDEX('設定'!$K$11:$K$34,DF3)="",INDEX('設定'!$M$11:$R$34,DF3,DF2)=""),1,0)</f>
        <v/>
      </c>
      <c r="DG4">
        <f>IF(AND(DG115=1,INDEX('設定'!$M$9:$R$9,DG2)="",INDEX('設定'!$K$11:$K$34,DG3)="",INDEX('設定'!$M$11:$R$34,DG3,DG2)=""),1,0)</f>
        <v/>
      </c>
      <c r="DH4">
        <f>IF(AND(DH115=1,INDEX('設定'!$M$9:$R$9,DH2)="",INDEX('設定'!$K$11:$K$34,DH3)="",INDEX('設定'!$M$11:$R$34,DH3,DH2)=""),1,0)</f>
        <v/>
      </c>
      <c r="DI4">
        <f>IF(AND(DI115=1,INDEX('設定'!$M$9:$R$9,DI2)="",INDEX('設定'!$K$11:$K$34,DI3)="",INDEX('設定'!$M$11:$R$34,DI3,DI2)=""),1,0)</f>
        <v/>
      </c>
      <c r="DJ4">
        <f>IF(AND(DJ115=1,INDEX('設定'!$M$9:$R$9,DJ2)="",INDEX('設定'!$K$11:$K$34,DJ3)="",INDEX('設定'!$M$11:$R$34,DJ3,DJ2)=""),1,0)</f>
        <v/>
      </c>
      <c r="DK4">
        <f>IF(AND(DK115=1,INDEX('設定'!$M$9:$R$9,DK2)="",INDEX('設定'!$K$11:$K$34,DK3)="",INDEX('設定'!$M$11:$R$34,DK3,DK2)=""),1,0)</f>
        <v/>
      </c>
      <c r="DL4">
        <f>IF(AND(DL115=1,INDEX('設定'!$M$9:$R$9,DL2)="",INDEX('設定'!$K$11:$K$34,DL3)="",INDEX('設定'!$M$11:$R$34,DL3,DL2)=""),1,0)</f>
        <v/>
      </c>
      <c r="DM4">
        <f>IF(AND(DM115=1,INDEX('設定'!$M$9:$R$9,DM2)="",INDEX('設定'!$K$11:$K$34,DM3)="",INDEX('設定'!$M$11:$R$34,DM3,DM2)=""),1,0)</f>
        <v/>
      </c>
      <c r="DN4">
        <f>IF(AND(DN115=1,INDEX('設定'!$M$9:$R$9,DN2)="",INDEX('設定'!$K$11:$K$34,DN3)="",INDEX('設定'!$M$11:$R$34,DN3,DN2)=""),1,0)</f>
        <v/>
      </c>
      <c r="DO4">
        <f>IF(AND(DO115=1,INDEX('設定'!$M$9:$R$9,DO2)="",INDEX('設定'!$K$11:$K$34,DO3)="",INDEX('設定'!$M$11:$R$34,DO3,DO2)=""),1,0)</f>
        <v/>
      </c>
      <c r="DP4">
        <f>IF(AND(DP115=1,INDEX('設定'!$M$9:$R$9,DP2)="",INDEX('設定'!$K$11:$K$34,DP3)="",INDEX('設定'!$M$11:$R$34,DP3,DP2)=""),1,0)</f>
        <v/>
      </c>
      <c r="DQ4">
        <f>IF(AND(DQ115=1,INDEX('設定'!$M$9:$R$9,DQ2)="",INDEX('設定'!$K$11:$K$34,DQ3)="",INDEX('設定'!$M$11:$R$34,DQ3,DQ2)=""),1,0)</f>
        <v/>
      </c>
      <c r="DR4">
        <f>IF(AND(DR115=1,INDEX('設定'!$M$9:$R$9,DR2)="",INDEX('設定'!$K$11:$K$34,DR3)="",INDEX('設定'!$M$11:$R$34,DR3,DR2)=""),1,0)</f>
        <v/>
      </c>
      <c r="DS4">
        <f>IF(AND(DS115=1,INDEX('設定'!$M$9:$R$9,DS2)="",INDEX('設定'!$K$11:$K$34,DS3)="",INDEX('設定'!$M$11:$R$34,DS3,DS2)=""),1,0)</f>
        <v/>
      </c>
      <c r="DT4">
        <f>IF(AND(DT115=1,INDEX('設定'!$M$9:$R$9,DT2)="",INDEX('設定'!$K$11:$K$34,DT3)="",INDEX('設定'!$M$11:$R$34,DT3,DT2)=""),1,0)</f>
        <v/>
      </c>
      <c r="DU4">
        <f>IF(AND(DU115=1,INDEX('設定'!$M$9:$R$9,DU2)="",INDEX('設定'!$K$11:$K$34,DU3)="",INDEX('設定'!$M$11:$R$34,DU3,DU2)=""),1,0)</f>
        <v/>
      </c>
      <c r="DV4">
        <f>IF(AND(DV115=1,INDEX('設定'!$M$9:$R$9,DV2)="",INDEX('設定'!$K$11:$K$34,DV3)="",INDEX('設定'!$M$11:$R$34,DV3,DV2)=""),1,0)</f>
        <v/>
      </c>
      <c r="DW4">
        <f>IF(AND(DW115=1,INDEX('設定'!$M$9:$R$9,DW2)="",INDEX('設定'!$K$11:$K$34,DW3)="",INDEX('設定'!$M$11:$R$34,DW3,DW2)=""),1,0)</f>
        <v/>
      </c>
      <c r="DX4">
        <f>IF(AND(DX115=1,INDEX('設定'!$M$9:$R$9,DX2)="",INDEX('設定'!$K$11:$K$34,DX3)="",INDEX('設定'!$M$11:$R$34,DX3,DX2)=""),1,0)</f>
        <v/>
      </c>
      <c r="DY4">
        <f>IF(AND(DY115=1,INDEX('設定'!$M$9:$R$9,DY2)="",INDEX('設定'!$K$11:$K$34,DY3)="",INDEX('設定'!$M$11:$R$34,DY3,DY2)=""),1,0)</f>
        <v/>
      </c>
      <c r="DZ4">
        <f>IF(AND(DZ115=1,INDEX('設定'!$M$9:$R$9,DZ2)="",INDEX('設定'!$K$11:$K$34,DZ3)="",INDEX('設定'!$M$11:$R$34,DZ3,DZ2)=""),1,0)</f>
        <v/>
      </c>
      <c r="EA4">
        <f>IF(AND(EA115=1,INDEX('設定'!$M$9:$R$9,EA2)="",INDEX('設定'!$K$11:$K$34,EA3)="",INDEX('設定'!$M$11:$R$34,EA3,EA2)=""),1,0)</f>
        <v/>
      </c>
      <c r="EB4">
        <f>IF(AND(EB115=1,INDEX('設定'!$M$9:$R$9,EB2)="",INDEX('設定'!$K$11:$K$34,EB3)="",INDEX('設定'!$M$11:$R$34,EB3,EB2)=""),1,0)</f>
        <v/>
      </c>
      <c r="EC4">
        <f>IF(AND(EC115=1,INDEX('設定'!$M$9:$R$9,EC2)="",INDEX('設定'!$K$11:$K$34,EC3)="",INDEX('設定'!$M$11:$R$34,EC3,EC2)=""),1,0)</f>
        <v/>
      </c>
      <c r="ED4">
        <f>IF(AND(ED115=1,INDEX('設定'!$M$9:$R$9,ED2)="",INDEX('設定'!$K$11:$K$34,ED3)="",INDEX('設定'!$M$11:$R$34,ED3,ED2)=""),1,0)</f>
        <v/>
      </c>
      <c r="EE4">
        <f>IF(AND(EE115=1,INDEX('設定'!$M$9:$R$9,EE2)="",INDEX('設定'!$K$11:$K$34,EE3)="",INDEX('設定'!$M$11:$R$34,EE3,EE2)=""),1,0)</f>
        <v/>
      </c>
      <c r="EF4">
        <f>IF(AND(EF115=1,INDEX('設定'!$M$9:$R$9,EF2)="",INDEX('設定'!$K$11:$K$34,EF3)="",INDEX('設定'!$M$11:$R$34,EF3,EF2)=""),1,0)</f>
        <v/>
      </c>
      <c r="EG4">
        <f>IF(AND(EG115=1,INDEX('設定'!$M$9:$R$9,EG2)="",INDEX('設定'!$K$11:$K$34,EG3)="",INDEX('設定'!$M$11:$R$34,EG3,EG2)=""),1,0)</f>
        <v/>
      </c>
      <c r="EH4">
        <f>IF(AND(EH115=1,INDEX('設定'!$M$9:$R$9,EH2)="",INDEX('設定'!$K$11:$K$34,EH3)="",INDEX('設定'!$M$11:$R$34,EH3,EH2)=""),1,0)</f>
        <v/>
      </c>
      <c r="EI4">
        <f>IF(AND(EI115=1,INDEX('設定'!$M$9:$R$9,EI2)="",INDEX('設定'!$K$11:$K$34,EI3)="",INDEX('設定'!$M$11:$R$34,EI3,EI2)=""),1,0)</f>
        <v/>
      </c>
      <c r="EJ4">
        <f>IF(AND(EJ115=1,INDEX('設定'!$M$9:$R$9,EJ2)="",INDEX('設定'!$K$11:$K$34,EJ3)="",INDEX('設定'!$M$11:$R$34,EJ3,EJ2)=""),1,0)</f>
        <v/>
      </c>
      <c r="EK4">
        <f>IF(AND(EK115=1,INDEX('設定'!$M$9:$R$9,EK2)="",INDEX('設定'!$K$11:$K$34,EK3)="",INDEX('設定'!$M$11:$R$34,EK3,EK2)=""),1,0)</f>
        <v/>
      </c>
      <c r="EL4">
        <f>IF(AND(EL115=1,INDEX('設定'!$M$9:$R$9,EL2)="",INDEX('設定'!$K$11:$K$34,EL3)="",INDEX('設定'!$M$11:$R$34,EL3,EL2)=""),1,0)</f>
        <v/>
      </c>
      <c r="EM4">
        <f>IF(AND(EM115=1,INDEX('設定'!$M$9:$R$9,EM2)="",INDEX('設定'!$K$11:$K$34,EM3)="",INDEX('設定'!$M$11:$R$34,EM3,EM2)=""),1,0)</f>
        <v/>
      </c>
      <c r="EN4">
        <f>IF(AND(EN115=1,INDEX('設定'!$M$9:$R$9,EN2)="",INDEX('設定'!$K$11:$K$34,EN3)="",INDEX('設定'!$M$11:$R$34,EN3,EN2)=""),1,0)</f>
        <v/>
      </c>
      <c r="EO4">
        <f>IF(AND(EO115=1,INDEX('設定'!$M$9:$R$9,EO2)="",INDEX('設定'!$K$11:$K$34,EO3)="",INDEX('設定'!$M$11:$R$34,EO3,EO2)=""),1,0)</f>
        <v/>
      </c>
      <c r="EP4">
        <f>IF(AND(EP115=1,INDEX('設定'!$M$9:$R$9,EP2)="",INDEX('設定'!$K$11:$K$34,EP3)="",INDEX('設定'!$M$11:$R$34,EP3,EP2)=""),1,0)</f>
        <v/>
      </c>
      <c r="EQ4">
        <f>IF(AND(EQ115=1,INDEX('設定'!$M$9:$R$9,EQ2)="",INDEX('設定'!$K$11:$K$34,EQ3)="",INDEX('設定'!$M$11:$R$34,EQ3,EQ2)=""),1,0)</f>
        <v/>
      </c>
    </row>
    <row r="5">
      <c r="C5" s="122" t="inlineStr">
        <is>
          <t>空けたい</t>
        </is>
      </c>
      <c r="D5">
        <f>IF(OR(INDEX('設定'!$D$11:$D$16,D2)&lt;&gt;"",INDEX('設定'!$H$11:$H$34,D3)&lt;&gt;""),1,0)</f>
        <v/>
      </c>
      <c r="E5">
        <f>IF(OR(INDEX('設定'!$D$11:$D$16,E2)&lt;&gt;"",INDEX('設定'!$H$11:$H$34,E3)&lt;&gt;""),1,0)</f>
        <v/>
      </c>
      <c r="F5">
        <f>IF(OR(INDEX('設定'!$D$11:$D$16,F2)&lt;&gt;"",INDEX('設定'!$H$11:$H$34,F3)&lt;&gt;""),1,0)</f>
        <v/>
      </c>
      <c r="G5">
        <f>IF(OR(INDEX('設定'!$D$11:$D$16,G2)&lt;&gt;"",INDEX('設定'!$H$11:$H$34,G3)&lt;&gt;""),1,0)</f>
        <v/>
      </c>
      <c r="H5">
        <f>IF(OR(INDEX('設定'!$D$11:$D$16,H2)&lt;&gt;"",INDEX('設定'!$H$11:$H$34,H3)&lt;&gt;""),1,0)</f>
        <v/>
      </c>
      <c r="I5">
        <f>IF(OR(INDEX('設定'!$D$11:$D$16,I2)&lt;&gt;"",INDEX('設定'!$H$11:$H$34,I3)&lt;&gt;""),1,0)</f>
        <v/>
      </c>
      <c r="J5">
        <f>IF(OR(INDEX('設定'!$D$11:$D$16,J2)&lt;&gt;"",INDEX('設定'!$H$11:$H$34,J3)&lt;&gt;""),1,0)</f>
        <v/>
      </c>
      <c r="K5">
        <f>IF(OR(INDEX('設定'!$D$11:$D$16,K2)&lt;&gt;"",INDEX('設定'!$H$11:$H$34,K3)&lt;&gt;""),1,0)</f>
        <v/>
      </c>
      <c r="L5">
        <f>IF(OR(INDEX('設定'!$D$11:$D$16,L2)&lt;&gt;"",INDEX('設定'!$H$11:$H$34,L3)&lt;&gt;""),1,0)</f>
        <v/>
      </c>
      <c r="M5">
        <f>IF(OR(INDEX('設定'!$D$11:$D$16,M2)&lt;&gt;"",INDEX('設定'!$H$11:$H$34,M3)&lt;&gt;""),1,0)</f>
        <v/>
      </c>
      <c r="N5">
        <f>IF(OR(INDEX('設定'!$D$11:$D$16,N2)&lt;&gt;"",INDEX('設定'!$H$11:$H$34,N3)&lt;&gt;""),1,0)</f>
        <v/>
      </c>
      <c r="O5">
        <f>IF(OR(INDEX('設定'!$D$11:$D$16,O2)&lt;&gt;"",INDEX('設定'!$H$11:$H$34,O3)&lt;&gt;""),1,0)</f>
        <v/>
      </c>
      <c r="P5">
        <f>IF(OR(INDEX('設定'!$D$11:$D$16,P2)&lt;&gt;"",INDEX('設定'!$H$11:$H$34,P3)&lt;&gt;""),1,0)</f>
        <v/>
      </c>
      <c r="Q5">
        <f>IF(OR(INDEX('設定'!$D$11:$D$16,Q2)&lt;&gt;"",INDEX('設定'!$H$11:$H$34,Q3)&lt;&gt;""),1,0)</f>
        <v/>
      </c>
      <c r="R5">
        <f>IF(OR(INDEX('設定'!$D$11:$D$16,R2)&lt;&gt;"",INDEX('設定'!$H$11:$H$34,R3)&lt;&gt;""),1,0)</f>
        <v/>
      </c>
      <c r="S5">
        <f>IF(OR(INDEX('設定'!$D$11:$D$16,S2)&lt;&gt;"",INDEX('設定'!$H$11:$H$34,S3)&lt;&gt;""),1,0)</f>
        <v/>
      </c>
      <c r="T5">
        <f>IF(OR(INDEX('設定'!$D$11:$D$16,T2)&lt;&gt;"",INDEX('設定'!$H$11:$H$34,T3)&lt;&gt;""),1,0)</f>
        <v/>
      </c>
      <c r="U5">
        <f>IF(OR(INDEX('設定'!$D$11:$D$16,U2)&lt;&gt;"",INDEX('設定'!$H$11:$H$34,U3)&lt;&gt;""),1,0)</f>
        <v/>
      </c>
      <c r="V5">
        <f>IF(OR(INDEX('設定'!$D$11:$D$16,V2)&lt;&gt;"",INDEX('設定'!$H$11:$H$34,V3)&lt;&gt;""),1,0)</f>
        <v/>
      </c>
      <c r="W5">
        <f>IF(OR(INDEX('設定'!$D$11:$D$16,W2)&lt;&gt;"",INDEX('設定'!$H$11:$H$34,W3)&lt;&gt;""),1,0)</f>
        <v/>
      </c>
      <c r="X5">
        <f>IF(OR(INDEX('設定'!$D$11:$D$16,X2)&lt;&gt;"",INDEX('設定'!$H$11:$H$34,X3)&lt;&gt;""),1,0)</f>
        <v/>
      </c>
      <c r="Y5">
        <f>IF(OR(INDEX('設定'!$D$11:$D$16,Y2)&lt;&gt;"",INDEX('設定'!$H$11:$H$34,Y3)&lt;&gt;""),1,0)</f>
        <v/>
      </c>
      <c r="Z5">
        <f>IF(OR(INDEX('設定'!$D$11:$D$16,Z2)&lt;&gt;"",INDEX('設定'!$H$11:$H$34,Z3)&lt;&gt;""),1,0)</f>
        <v/>
      </c>
      <c r="AA5">
        <f>IF(OR(INDEX('設定'!$D$11:$D$16,AA2)&lt;&gt;"",INDEX('設定'!$H$11:$H$34,AA3)&lt;&gt;""),1,0)</f>
        <v/>
      </c>
      <c r="AB5">
        <f>IF(OR(INDEX('設定'!$D$11:$D$16,AB2)&lt;&gt;"",INDEX('設定'!$H$11:$H$34,AB3)&lt;&gt;""),1,0)</f>
        <v/>
      </c>
      <c r="AC5">
        <f>IF(OR(INDEX('設定'!$D$11:$D$16,AC2)&lt;&gt;"",INDEX('設定'!$H$11:$H$34,AC3)&lt;&gt;""),1,0)</f>
        <v/>
      </c>
      <c r="AD5">
        <f>IF(OR(INDEX('設定'!$D$11:$D$16,AD2)&lt;&gt;"",INDEX('設定'!$H$11:$H$34,AD3)&lt;&gt;""),1,0)</f>
        <v/>
      </c>
      <c r="AE5">
        <f>IF(OR(INDEX('設定'!$D$11:$D$16,AE2)&lt;&gt;"",INDEX('設定'!$H$11:$H$34,AE3)&lt;&gt;""),1,0)</f>
        <v/>
      </c>
      <c r="AF5">
        <f>IF(OR(INDEX('設定'!$D$11:$D$16,AF2)&lt;&gt;"",INDEX('設定'!$H$11:$H$34,AF3)&lt;&gt;""),1,0)</f>
        <v/>
      </c>
      <c r="AG5">
        <f>IF(OR(INDEX('設定'!$D$11:$D$16,AG2)&lt;&gt;"",INDEX('設定'!$H$11:$H$34,AG3)&lt;&gt;""),1,0)</f>
        <v/>
      </c>
      <c r="AH5">
        <f>IF(OR(INDEX('設定'!$D$11:$D$16,AH2)&lt;&gt;"",INDEX('設定'!$H$11:$H$34,AH3)&lt;&gt;""),1,0)</f>
        <v/>
      </c>
      <c r="AI5">
        <f>IF(OR(INDEX('設定'!$D$11:$D$16,AI2)&lt;&gt;"",INDEX('設定'!$H$11:$H$34,AI3)&lt;&gt;""),1,0)</f>
        <v/>
      </c>
      <c r="AJ5">
        <f>IF(OR(INDEX('設定'!$D$11:$D$16,AJ2)&lt;&gt;"",INDEX('設定'!$H$11:$H$34,AJ3)&lt;&gt;""),1,0)</f>
        <v/>
      </c>
      <c r="AK5">
        <f>IF(OR(INDEX('設定'!$D$11:$D$16,AK2)&lt;&gt;"",INDEX('設定'!$H$11:$H$34,AK3)&lt;&gt;""),1,0)</f>
        <v/>
      </c>
      <c r="AL5">
        <f>IF(OR(INDEX('設定'!$D$11:$D$16,AL2)&lt;&gt;"",INDEX('設定'!$H$11:$H$34,AL3)&lt;&gt;""),1,0)</f>
        <v/>
      </c>
      <c r="AM5">
        <f>IF(OR(INDEX('設定'!$D$11:$D$16,AM2)&lt;&gt;"",INDEX('設定'!$H$11:$H$34,AM3)&lt;&gt;""),1,0)</f>
        <v/>
      </c>
      <c r="AN5">
        <f>IF(OR(INDEX('設定'!$D$11:$D$16,AN2)&lt;&gt;"",INDEX('設定'!$H$11:$H$34,AN3)&lt;&gt;""),1,0)</f>
        <v/>
      </c>
      <c r="AO5">
        <f>IF(OR(INDEX('設定'!$D$11:$D$16,AO2)&lt;&gt;"",INDEX('設定'!$H$11:$H$34,AO3)&lt;&gt;""),1,0)</f>
        <v/>
      </c>
      <c r="AP5">
        <f>IF(OR(INDEX('設定'!$D$11:$D$16,AP2)&lt;&gt;"",INDEX('設定'!$H$11:$H$34,AP3)&lt;&gt;""),1,0)</f>
        <v/>
      </c>
      <c r="AQ5">
        <f>IF(OR(INDEX('設定'!$D$11:$D$16,AQ2)&lt;&gt;"",INDEX('設定'!$H$11:$H$34,AQ3)&lt;&gt;""),1,0)</f>
        <v/>
      </c>
      <c r="AR5">
        <f>IF(OR(INDEX('設定'!$D$11:$D$16,AR2)&lt;&gt;"",INDEX('設定'!$H$11:$H$34,AR3)&lt;&gt;""),1,0)</f>
        <v/>
      </c>
      <c r="AS5">
        <f>IF(OR(INDEX('設定'!$D$11:$D$16,AS2)&lt;&gt;"",INDEX('設定'!$H$11:$H$34,AS3)&lt;&gt;""),1,0)</f>
        <v/>
      </c>
      <c r="AT5">
        <f>IF(OR(INDEX('設定'!$D$11:$D$16,AT2)&lt;&gt;"",INDEX('設定'!$H$11:$H$34,AT3)&lt;&gt;""),1,0)</f>
        <v/>
      </c>
      <c r="AU5">
        <f>IF(OR(INDEX('設定'!$D$11:$D$16,AU2)&lt;&gt;"",INDEX('設定'!$H$11:$H$34,AU3)&lt;&gt;""),1,0)</f>
        <v/>
      </c>
      <c r="AV5">
        <f>IF(OR(INDEX('設定'!$D$11:$D$16,AV2)&lt;&gt;"",INDEX('設定'!$H$11:$H$34,AV3)&lt;&gt;""),1,0)</f>
        <v/>
      </c>
      <c r="AW5">
        <f>IF(OR(INDEX('設定'!$D$11:$D$16,AW2)&lt;&gt;"",INDEX('設定'!$H$11:$H$34,AW3)&lt;&gt;""),1,0)</f>
        <v/>
      </c>
      <c r="AX5">
        <f>IF(OR(INDEX('設定'!$D$11:$D$16,AX2)&lt;&gt;"",INDEX('設定'!$H$11:$H$34,AX3)&lt;&gt;""),1,0)</f>
        <v/>
      </c>
      <c r="AY5">
        <f>IF(OR(INDEX('設定'!$D$11:$D$16,AY2)&lt;&gt;"",INDEX('設定'!$H$11:$H$34,AY3)&lt;&gt;""),1,0)</f>
        <v/>
      </c>
      <c r="AZ5">
        <f>IF(OR(INDEX('設定'!$D$11:$D$16,AZ2)&lt;&gt;"",INDEX('設定'!$H$11:$H$34,AZ3)&lt;&gt;""),1,0)</f>
        <v/>
      </c>
      <c r="BA5">
        <f>IF(OR(INDEX('設定'!$D$11:$D$16,BA2)&lt;&gt;"",INDEX('設定'!$H$11:$H$34,BA3)&lt;&gt;""),1,0)</f>
        <v/>
      </c>
      <c r="BB5">
        <f>IF(OR(INDEX('設定'!$D$11:$D$16,BB2)&lt;&gt;"",INDEX('設定'!$H$11:$H$34,BB3)&lt;&gt;""),1,0)</f>
        <v/>
      </c>
      <c r="BC5">
        <f>IF(OR(INDEX('設定'!$D$11:$D$16,BC2)&lt;&gt;"",INDEX('設定'!$H$11:$H$34,BC3)&lt;&gt;""),1,0)</f>
        <v/>
      </c>
      <c r="BD5">
        <f>IF(OR(INDEX('設定'!$D$11:$D$16,BD2)&lt;&gt;"",INDEX('設定'!$H$11:$H$34,BD3)&lt;&gt;""),1,0)</f>
        <v/>
      </c>
      <c r="BE5">
        <f>IF(OR(INDEX('設定'!$D$11:$D$16,BE2)&lt;&gt;"",INDEX('設定'!$H$11:$H$34,BE3)&lt;&gt;""),1,0)</f>
        <v/>
      </c>
      <c r="BF5">
        <f>IF(OR(INDEX('設定'!$D$11:$D$16,BF2)&lt;&gt;"",INDEX('設定'!$H$11:$H$34,BF3)&lt;&gt;""),1,0)</f>
        <v/>
      </c>
      <c r="BG5">
        <f>IF(OR(INDEX('設定'!$D$11:$D$16,BG2)&lt;&gt;"",INDEX('設定'!$H$11:$H$34,BG3)&lt;&gt;""),1,0)</f>
        <v/>
      </c>
      <c r="BH5">
        <f>IF(OR(INDEX('設定'!$D$11:$D$16,BH2)&lt;&gt;"",INDEX('設定'!$H$11:$H$34,BH3)&lt;&gt;""),1,0)</f>
        <v/>
      </c>
      <c r="BI5">
        <f>IF(OR(INDEX('設定'!$D$11:$D$16,BI2)&lt;&gt;"",INDEX('設定'!$H$11:$H$34,BI3)&lt;&gt;""),1,0)</f>
        <v/>
      </c>
      <c r="BJ5">
        <f>IF(OR(INDEX('設定'!$D$11:$D$16,BJ2)&lt;&gt;"",INDEX('設定'!$H$11:$H$34,BJ3)&lt;&gt;""),1,0)</f>
        <v/>
      </c>
      <c r="BK5">
        <f>IF(OR(INDEX('設定'!$D$11:$D$16,BK2)&lt;&gt;"",INDEX('設定'!$H$11:$H$34,BK3)&lt;&gt;""),1,0)</f>
        <v/>
      </c>
      <c r="BL5">
        <f>IF(OR(INDEX('設定'!$D$11:$D$16,BL2)&lt;&gt;"",INDEX('設定'!$H$11:$H$34,BL3)&lt;&gt;""),1,0)</f>
        <v/>
      </c>
      <c r="BM5">
        <f>IF(OR(INDEX('設定'!$D$11:$D$16,BM2)&lt;&gt;"",INDEX('設定'!$H$11:$H$34,BM3)&lt;&gt;""),1,0)</f>
        <v/>
      </c>
      <c r="BN5">
        <f>IF(OR(INDEX('設定'!$D$11:$D$16,BN2)&lt;&gt;"",INDEX('設定'!$H$11:$H$34,BN3)&lt;&gt;""),1,0)</f>
        <v/>
      </c>
      <c r="BO5">
        <f>IF(OR(INDEX('設定'!$D$11:$D$16,BO2)&lt;&gt;"",INDEX('設定'!$H$11:$H$34,BO3)&lt;&gt;""),1,0)</f>
        <v/>
      </c>
      <c r="BP5">
        <f>IF(OR(INDEX('設定'!$D$11:$D$16,BP2)&lt;&gt;"",INDEX('設定'!$H$11:$H$34,BP3)&lt;&gt;""),1,0)</f>
        <v/>
      </c>
      <c r="BQ5">
        <f>IF(OR(INDEX('設定'!$D$11:$D$16,BQ2)&lt;&gt;"",INDEX('設定'!$H$11:$H$34,BQ3)&lt;&gt;""),1,0)</f>
        <v/>
      </c>
      <c r="BR5">
        <f>IF(OR(INDEX('設定'!$D$11:$D$16,BR2)&lt;&gt;"",INDEX('設定'!$H$11:$H$34,BR3)&lt;&gt;""),1,0)</f>
        <v/>
      </c>
      <c r="BS5">
        <f>IF(OR(INDEX('設定'!$D$11:$D$16,BS2)&lt;&gt;"",INDEX('設定'!$H$11:$H$34,BS3)&lt;&gt;""),1,0)</f>
        <v/>
      </c>
      <c r="BT5">
        <f>IF(OR(INDEX('設定'!$D$11:$D$16,BT2)&lt;&gt;"",INDEX('設定'!$H$11:$H$34,BT3)&lt;&gt;""),1,0)</f>
        <v/>
      </c>
      <c r="BU5">
        <f>IF(OR(INDEX('設定'!$D$11:$D$16,BU2)&lt;&gt;"",INDEX('設定'!$H$11:$H$34,BU3)&lt;&gt;""),1,0)</f>
        <v/>
      </c>
      <c r="BV5">
        <f>IF(OR(INDEX('設定'!$D$11:$D$16,BV2)&lt;&gt;"",INDEX('設定'!$H$11:$H$34,BV3)&lt;&gt;""),1,0)</f>
        <v/>
      </c>
      <c r="BW5">
        <f>IF(OR(INDEX('設定'!$D$11:$D$16,BW2)&lt;&gt;"",INDEX('設定'!$H$11:$H$34,BW3)&lt;&gt;""),1,0)</f>
        <v/>
      </c>
      <c r="BX5">
        <f>IF(OR(INDEX('設定'!$D$11:$D$16,BX2)&lt;&gt;"",INDEX('設定'!$H$11:$H$34,BX3)&lt;&gt;""),1,0)</f>
        <v/>
      </c>
      <c r="BY5">
        <f>IF(OR(INDEX('設定'!$D$11:$D$16,BY2)&lt;&gt;"",INDEX('設定'!$H$11:$H$34,BY3)&lt;&gt;""),1,0)</f>
        <v/>
      </c>
      <c r="BZ5">
        <f>IF(OR(INDEX('設定'!$D$11:$D$16,BZ2)&lt;&gt;"",INDEX('設定'!$H$11:$H$34,BZ3)&lt;&gt;""),1,0)</f>
        <v/>
      </c>
      <c r="CA5">
        <f>IF(OR(INDEX('設定'!$D$11:$D$16,CA2)&lt;&gt;"",INDEX('設定'!$H$11:$H$34,CA3)&lt;&gt;""),1,0)</f>
        <v/>
      </c>
      <c r="CB5">
        <f>IF(OR(INDEX('設定'!$D$11:$D$16,CB2)&lt;&gt;"",INDEX('設定'!$H$11:$H$34,CB3)&lt;&gt;""),1,0)</f>
        <v/>
      </c>
      <c r="CC5">
        <f>IF(OR(INDEX('設定'!$D$11:$D$16,CC2)&lt;&gt;"",INDEX('設定'!$H$11:$H$34,CC3)&lt;&gt;""),1,0)</f>
        <v/>
      </c>
      <c r="CD5">
        <f>IF(OR(INDEX('設定'!$D$11:$D$16,CD2)&lt;&gt;"",INDEX('設定'!$H$11:$H$34,CD3)&lt;&gt;""),1,0)</f>
        <v/>
      </c>
      <c r="CE5">
        <f>IF(OR(INDEX('設定'!$D$11:$D$16,CE2)&lt;&gt;"",INDEX('設定'!$H$11:$H$34,CE3)&lt;&gt;""),1,0)</f>
        <v/>
      </c>
      <c r="CF5">
        <f>IF(OR(INDEX('設定'!$D$11:$D$16,CF2)&lt;&gt;"",INDEX('設定'!$H$11:$H$34,CF3)&lt;&gt;""),1,0)</f>
        <v/>
      </c>
      <c r="CG5">
        <f>IF(OR(INDEX('設定'!$D$11:$D$16,CG2)&lt;&gt;"",INDEX('設定'!$H$11:$H$34,CG3)&lt;&gt;""),1,0)</f>
        <v/>
      </c>
      <c r="CH5">
        <f>IF(OR(INDEX('設定'!$D$11:$D$16,CH2)&lt;&gt;"",INDEX('設定'!$H$11:$H$34,CH3)&lt;&gt;""),1,0)</f>
        <v/>
      </c>
      <c r="CI5">
        <f>IF(OR(INDEX('設定'!$D$11:$D$16,CI2)&lt;&gt;"",INDEX('設定'!$H$11:$H$34,CI3)&lt;&gt;""),1,0)</f>
        <v/>
      </c>
      <c r="CJ5">
        <f>IF(OR(INDEX('設定'!$D$11:$D$16,CJ2)&lt;&gt;"",INDEX('設定'!$H$11:$H$34,CJ3)&lt;&gt;""),1,0)</f>
        <v/>
      </c>
      <c r="CK5">
        <f>IF(OR(INDEX('設定'!$D$11:$D$16,CK2)&lt;&gt;"",INDEX('設定'!$H$11:$H$34,CK3)&lt;&gt;""),1,0)</f>
        <v/>
      </c>
      <c r="CL5">
        <f>IF(OR(INDEX('設定'!$D$11:$D$16,CL2)&lt;&gt;"",INDEX('設定'!$H$11:$H$34,CL3)&lt;&gt;""),1,0)</f>
        <v/>
      </c>
      <c r="CM5">
        <f>IF(OR(INDEX('設定'!$D$11:$D$16,CM2)&lt;&gt;"",INDEX('設定'!$H$11:$H$34,CM3)&lt;&gt;""),1,0)</f>
        <v/>
      </c>
      <c r="CN5">
        <f>IF(OR(INDEX('設定'!$D$11:$D$16,CN2)&lt;&gt;"",INDEX('設定'!$H$11:$H$34,CN3)&lt;&gt;""),1,0)</f>
        <v/>
      </c>
      <c r="CO5">
        <f>IF(OR(INDEX('設定'!$D$11:$D$16,CO2)&lt;&gt;"",INDEX('設定'!$H$11:$H$34,CO3)&lt;&gt;""),1,0)</f>
        <v/>
      </c>
      <c r="CP5">
        <f>IF(OR(INDEX('設定'!$D$11:$D$16,CP2)&lt;&gt;"",INDEX('設定'!$H$11:$H$34,CP3)&lt;&gt;""),1,0)</f>
        <v/>
      </c>
      <c r="CQ5">
        <f>IF(OR(INDEX('設定'!$D$11:$D$16,CQ2)&lt;&gt;"",INDEX('設定'!$H$11:$H$34,CQ3)&lt;&gt;""),1,0)</f>
        <v/>
      </c>
      <c r="CR5">
        <f>IF(OR(INDEX('設定'!$D$11:$D$16,CR2)&lt;&gt;"",INDEX('設定'!$H$11:$H$34,CR3)&lt;&gt;""),1,0)</f>
        <v/>
      </c>
      <c r="CS5">
        <f>IF(OR(INDEX('設定'!$D$11:$D$16,CS2)&lt;&gt;"",INDEX('設定'!$H$11:$H$34,CS3)&lt;&gt;""),1,0)</f>
        <v/>
      </c>
      <c r="CT5">
        <f>IF(OR(INDEX('設定'!$D$11:$D$16,CT2)&lt;&gt;"",INDEX('設定'!$H$11:$H$34,CT3)&lt;&gt;""),1,0)</f>
        <v/>
      </c>
      <c r="CU5">
        <f>IF(OR(INDEX('設定'!$D$11:$D$16,CU2)&lt;&gt;"",INDEX('設定'!$H$11:$H$34,CU3)&lt;&gt;""),1,0)</f>
        <v/>
      </c>
      <c r="CV5">
        <f>IF(OR(INDEX('設定'!$D$11:$D$16,CV2)&lt;&gt;"",INDEX('設定'!$H$11:$H$34,CV3)&lt;&gt;""),1,0)</f>
        <v/>
      </c>
      <c r="CW5">
        <f>IF(OR(INDEX('設定'!$D$11:$D$16,CW2)&lt;&gt;"",INDEX('設定'!$H$11:$H$34,CW3)&lt;&gt;""),1,0)</f>
        <v/>
      </c>
      <c r="CX5">
        <f>IF(OR(INDEX('設定'!$D$11:$D$16,CX2)&lt;&gt;"",INDEX('設定'!$H$11:$H$34,CX3)&lt;&gt;""),1,0)</f>
        <v/>
      </c>
      <c r="CY5">
        <f>IF(OR(INDEX('設定'!$D$11:$D$16,CY2)&lt;&gt;"",INDEX('設定'!$H$11:$H$34,CY3)&lt;&gt;""),1,0)</f>
        <v/>
      </c>
      <c r="CZ5">
        <f>IF(OR(INDEX('設定'!$D$11:$D$16,CZ2)&lt;&gt;"",INDEX('設定'!$H$11:$H$34,CZ3)&lt;&gt;""),1,0)</f>
        <v/>
      </c>
      <c r="DA5">
        <f>IF(OR(INDEX('設定'!$D$11:$D$16,DA2)&lt;&gt;"",INDEX('設定'!$H$11:$H$34,DA3)&lt;&gt;""),1,0)</f>
        <v/>
      </c>
      <c r="DB5">
        <f>IF(OR(INDEX('設定'!$D$11:$D$16,DB2)&lt;&gt;"",INDEX('設定'!$H$11:$H$34,DB3)&lt;&gt;""),1,0)</f>
        <v/>
      </c>
      <c r="DC5">
        <f>IF(OR(INDEX('設定'!$D$11:$D$16,DC2)&lt;&gt;"",INDEX('設定'!$H$11:$H$34,DC3)&lt;&gt;""),1,0)</f>
        <v/>
      </c>
      <c r="DD5">
        <f>IF(OR(INDEX('設定'!$D$11:$D$16,DD2)&lt;&gt;"",INDEX('設定'!$H$11:$H$34,DD3)&lt;&gt;""),1,0)</f>
        <v/>
      </c>
      <c r="DE5">
        <f>IF(OR(INDEX('設定'!$D$11:$D$16,DE2)&lt;&gt;"",INDEX('設定'!$H$11:$H$34,DE3)&lt;&gt;""),1,0)</f>
        <v/>
      </c>
      <c r="DF5">
        <f>IF(OR(INDEX('設定'!$D$11:$D$16,DF2)&lt;&gt;"",INDEX('設定'!$H$11:$H$34,DF3)&lt;&gt;""),1,0)</f>
        <v/>
      </c>
      <c r="DG5">
        <f>IF(OR(INDEX('設定'!$D$11:$D$16,DG2)&lt;&gt;"",INDEX('設定'!$H$11:$H$34,DG3)&lt;&gt;""),1,0)</f>
        <v/>
      </c>
      <c r="DH5">
        <f>IF(OR(INDEX('設定'!$D$11:$D$16,DH2)&lt;&gt;"",INDEX('設定'!$H$11:$H$34,DH3)&lt;&gt;""),1,0)</f>
        <v/>
      </c>
      <c r="DI5">
        <f>IF(OR(INDEX('設定'!$D$11:$D$16,DI2)&lt;&gt;"",INDEX('設定'!$H$11:$H$34,DI3)&lt;&gt;""),1,0)</f>
        <v/>
      </c>
      <c r="DJ5">
        <f>IF(OR(INDEX('設定'!$D$11:$D$16,DJ2)&lt;&gt;"",INDEX('設定'!$H$11:$H$34,DJ3)&lt;&gt;""),1,0)</f>
        <v/>
      </c>
      <c r="DK5">
        <f>IF(OR(INDEX('設定'!$D$11:$D$16,DK2)&lt;&gt;"",INDEX('設定'!$H$11:$H$34,DK3)&lt;&gt;""),1,0)</f>
        <v/>
      </c>
      <c r="DL5">
        <f>IF(OR(INDEX('設定'!$D$11:$D$16,DL2)&lt;&gt;"",INDEX('設定'!$H$11:$H$34,DL3)&lt;&gt;""),1,0)</f>
        <v/>
      </c>
      <c r="DM5">
        <f>IF(OR(INDEX('設定'!$D$11:$D$16,DM2)&lt;&gt;"",INDEX('設定'!$H$11:$H$34,DM3)&lt;&gt;""),1,0)</f>
        <v/>
      </c>
      <c r="DN5">
        <f>IF(OR(INDEX('設定'!$D$11:$D$16,DN2)&lt;&gt;"",INDEX('設定'!$H$11:$H$34,DN3)&lt;&gt;""),1,0)</f>
        <v/>
      </c>
      <c r="DO5">
        <f>IF(OR(INDEX('設定'!$D$11:$D$16,DO2)&lt;&gt;"",INDEX('設定'!$H$11:$H$34,DO3)&lt;&gt;""),1,0)</f>
        <v/>
      </c>
      <c r="DP5">
        <f>IF(OR(INDEX('設定'!$D$11:$D$16,DP2)&lt;&gt;"",INDEX('設定'!$H$11:$H$34,DP3)&lt;&gt;""),1,0)</f>
        <v/>
      </c>
      <c r="DQ5">
        <f>IF(OR(INDEX('設定'!$D$11:$D$16,DQ2)&lt;&gt;"",INDEX('設定'!$H$11:$H$34,DQ3)&lt;&gt;""),1,0)</f>
        <v/>
      </c>
      <c r="DR5">
        <f>IF(OR(INDEX('設定'!$D$11:$D$16,DR2)&lt;&gt;"",INDEX('設定'!$H$11:$H$34,DR3)&lt;&gt;""),1,0)</f>
        <v/>
      </c>
      <c r="DS5">
        <f>IF(OR(INDEX('設定'!$D$11:$D$16,DS2)&lt;&gt;"",INDEX('設定'!$H$11:$H$34,DS3)&lt;&gt;""),1,0)</f>
        <v/>
      </c>
      <c r="DT5">
        <f>IF(OR(INDEX('設定'!$D$11:$D$16,DT2)&lt;&gt;"",INDEX('設定'!$H$11:$H$34,DT3)&lt;&gt;""),1,0)</f>
        <v/>
      </c>
      <c r="DU5">
        <f>IF(OR(INDEX('設定'!$D$11:$D$16,DU2)&lt;&gt;"",INDEX('設定'!$H$11:$H$34,DU3)&lt;&gt;""),1,0)</f>
        <v/>
      </c>
      <c r="DV5">
        <f>IF(OR(INDEX('設定'!$D$11:$D$16,DV2)&lt;&gt;"",INDEX('設定'!$H$11:$H$34,DV3)&lt;&gt;""),1,0)</f>
        <v/>
      </c>
      <c r="DW5">
        <f>IF(OR(INDEX('設定'!$D$11:$D$16,DW2)&lt;&gt;"",INDEX('設定'!$H$11:$H$34,DW3)&lt;&gt;""),1,0)</f>
        <v/>
      </c>
      <c r="DX5">
        <f>IF(OR(INDEX('設定'!$D$11:$D$16,DX2)&lt;&gt;"",INDEX('設定'!$H$11:$H$34,DX3)&lt;&gt;""),1,0)</f>
        <v/>
      </c>
      <c r="DY5">
        <f>IF(OR(INDEX('設定'!$D$11:$D$16,DY2)&lt;&gt;"",INDEX('設定'!$H$11:$H$34,DY3)&lt;&gt;""),1,0)</f>
        <v/>
      </c>
      <c r="DZ5">
        <f>IF(OR(INDEX('設定'!$D$11:$D$16,DZ2)&lt;&gt;"",INDEX('設定'!$H$11:$H$34,DZ3)&lt;&gt;""),1,0)</f>
        <v/>
      </c>
      <c r="EA5">
        <f>IF(OR(INDEX('設定'!$D$11:$D$16,EA2)&lt;&gt;"",INDEX('設定'!$H$11:$H$34,EA3)&lt;&gt;""),1,0)</f>
        <v/>
      </c>
      <c r="EB5">
        <f>IF(OR(INDEX('設定'!$D$11:$D$16,EB2)&lt;&gt;"",INDEX('設定'!$H$11:$H$34,EB3)&lt;&gt;""),1,0)</f>
        <v/>
      </c>
      <c r="EC5">
        <f>IF(OR(INDEX('設定'!$D$11:$D$16,EC2)&lt;&gt;"",INDEX('設定'!$H$11:$H$34,EC3)&lt;&gt;""),1,0)</f>
        <v/>
      </c>
      <c r="ED5">
        <f>IF(OR(INDEX('設定'!$D$11:$D$16,ED2)&lt;&gt;"",INDEX('設定'!$H$11:$H$34,ED3)&lt;&gt;""),1,0)</f>
        <v/>
      </c>
      <c r="EE5">
        <f>IF(OR(INDEX('設定'!$D$11:$D$16,EE2)&lt;&gt;"",INDEX('設定'!$H$11:$H$34,EE3)&lt;&gt;""),1,0)</f>
        <v/>
      </c>
      <c r="EF5">
        <f>IF(OR(INDEX('設定'!$D$11:$D$16,EF2)&lt;&gt;"",INDEX('設定'!$H$11:$H$34,EF3)&lt;&gt;""),1,0)</f>
        <v/>
      </c>
      <c r="EG5">
        <f>IF(OR(INDEX('設定'!$D$11:$D$16,EG2)&lt;&gt;"",INDEX('設定'!$H$11:$H$34,EG3)&lt;&gt;""),1,0)</f>
        <v/>
      </c>
      <c r="EH5">
        <f>IF(OR(INDEX('設定'!$D$11:$D$16,EH2)&lt;&gt;"",INDEX('設定'!$H$11:$H$34,EH3)&lt;&gt;""),1,0)</f>
        <v/>
      </c>
      <c r="EI5">
        <f>IF(OR(INDEX('設定'!$D$11:$D$16,EI2)&lt;&gt;"",INDEX('設定'!$H$11:$H$34,EI3)&lt;&gt;""),1,0)</f>
        <v/>
      </c>
      <c r="EJ5">
        <f>IF(OR(INDEX('設定'!$D$11:$D$16,EJ2)&lt;&gt;"",INDEX('設定'!$H$11:$H$34,EJ3)&lt;&gt;""),1,0)</f>
        <v/>
      </c>
      <c r="EK5">
        <f>IF(OR(INDEX('設定'!$D$11:$D$16,EK2)&lt;&gt;"",INDEX('設定'!$H$11:$H$34,EK3)&lt;&gt;""),1,0)</f>
        <v/>
      </c>
      <c r="EL5">
        <f>IF(OR(INDEX('設定'!$D$11:$D$16,EL2)&lt;&gt;"",INDEX('設定'!$H$11:$H$34,EL3)&lt;&gt;""),1,0)</f>
        <v/>
      </c>
      <c r="EM5">
        <f>IF(OR(INDEX('設定'!$D$11:$D$16,EM2)&lt;&gt;"",INDEX('設定'!$H$11:$H$34,EM3)&lt;&gt;""),1,0)</f>
        <v/>
      </c>
      <c r="EN5">
        <f>IF(OR(INDEX('設定'!$D$11:$D$16,EN2)&lt;&gt;"",INDEX('設定'!$H$11:$H$34,EN3)&lt;&gt;""),1,0)</f>
        <v/>
      </c>
      <c r="EO5">
        <f>IF(OR(INDEX('設定'!$D$11:$D$16,EO2)&lt;&gt;"",INDEX('設定'!$H$11:$H$34,EO3)&lt;&gt;""),1,0)</f>
        <v/>
      </c>
      <c r="EP5">
        <f>IF(OR(INDEX('設定'!$D$11:$D$16,EP2)&lt;&gt;"",INDEX('設定'!$H$11:$H$34,EP3)&lt;&gt;""),1,0)</f>
        <v/>
      </c>
      <c r="EQ5">
        <f>IF(OR(INDEX('設定'!$D$11:$D$16,EQ2)&lt;&gt;"",INDEX('設定'!$H$11:$H$34,EQ3)&lt;&gt;""),1,0)</f>
        <v/>
      </c>
    </row>
    <row r="6">
      <c r="A6">
        <f>IF('自動案A'!$K$3="自動案を出す",1,0)</f>
        <v/>
      </c>
      <c r="B6" s="122" t="inlineStr">
        <is>
          <t>←自動案を出す（1）／止める（0）</t>
        </is>
      </c>
      <c r="C6" s="122" t="inlineStr">
        <is>
          <t>優先順</t>
        </is>
      </c>
      <c r="D6">
        <f>IF(LEFT('設定'!$B$8,3)="日付順",(D2-1)*24+D3,(D3-1)*6+D2)+D5*10000</f>
        <v/>
      </c>
      <c r="E6">
        <f>IF(LEFT('設定'!$B$8,3)="日付順",(E2-1)*24+E3,(E3-1)*6+E2)+E5*10000</f>
        <v/>
      </c>
      <c r="F6">
        <f>IF(LEFT('設定'!$B$8,3)="日付順",(F2-1)*24+F3,(F3-1)*6+F2)+F5*10000</f>
        <v/>
      </c>
      <c r="G6">
        <f>IF(LEFT('設定'!$B$8,3)="日付順",(G2-1)*24+G3,(G3-1)*6+G2)+G5*10000</f>
        <v/>
      </c>
      <c r="H6">
        <f>IF(LEFT('設定'!$B$8,3)="日付順",(H2-1)*24+H3,(H3-1)*6+H2)+H5*10000</f>
        <v/>
      </c>
      <c r="I6">
        <f>IF(LEFT('設定'!$B$8,3)="日付順",(I2-1)*24+I3,(I3-1)*6+I2)+I5*10000</f>
        <v/>
      </c>
      <c r="J6">
        <f>IF(LEFT('設定'!$B$8,3)="日付順",(J2-1)*24+J3,(J3-1)*6+J2)+J5*10000</f>
        <v/>
      </c>
      <c r="K6">
        <f>IF(LEFT('設定'!$B$8,3)="日付順",(K2-1)*24+K3,(K3-1)*6+K2)+K5*10000</f>
        <v/>
      </c>
      <c r="L6">
        <f>IF(LEFT('設定'!$B$8,3)="日付順",(L2-1)*24+L3,(L3-1)*6+L2)+L5*10000</f>
        <v/>
      </c>
      <c r="M6">
        <f>IF(LEFT('設定'!$B$8,3)="日付順",(M2-1)*24+M3,(M3-1)*6+M2)+M5*10000</f>
        <v/>
      </c>
      <c r="N6">
        <f>IF(LEFT('設定'!$B$8,3)="日付順",(N2-1)*24+N3,(N3-1)*6+N2)+N5*10000</f>
        <v/>
      </c>
      <c r="O6">
        <f>IF(LEFT('設定'!$B$8,3)="日付順",(O2-1)*24+O3,(O3-1)*6+O2)+O5*10000</f>
        <v/>
      </c>
      <c r="P6">
        <f>IF(LEFT('設定'!$B$8,3)="日付順",(P2-1)*24+P3,(P3-1)*6+P2)+P5*10000</f>
        <v/>
      </c>
      <c r="Q6">
        <f>IF(LEFT('設定'!$B$8,3)="日付順",(Q2-1)*24+Q3,(Q3-1)*6+Q2)+Q5*10000</f>
        <v/>
      </c>
      <c r="R6">
        <f>IF(LEFT('設定'!$B$8,3)="日付順",(R2-1)*24+R3,(R3-1)*6+R2)+R5*10000</f>
        <v/>
      </c>
      <c r="S6">
        <f>IF(LEFT('設定'!$B$8,3)="日付順",(S2-1)*24+S3,(S3-1)*6+S2)+S5*10000</f>
        <v/>
      </c>
      <c r="T6">
        <f>IF(LEFT('設定'!$B$8,3)="日付順",(T2-1)*24+T3,(T3-1)*6+T2)+T5*10000</f>
        <v/>
      </c>
      <c r="U6">
        <f>IF(LEFT('設定'!$B$8,3)="日付順",(U2-1)*24+U3,(U3-1)*6+U2)+U5*10000</f>
        <v/>
      </c>
      <c r="V6">
        <f>IF(LEFT('設定'!$B$8,3)="日付順",(V2-1)*24+V3,(V3-1)*6+V2)+V5*10000</f>
        <v/>
      </c>
      <c r="W6">
        <f>IF(LEFT('設定'!$B$8,3)="日付順",(W2-1)*24+W3,(W3-1)*6+W2)+W5*10000</f>
        <v/>
      </c>
      <c r="X6">
        <f>IF(LEFT('設定'!$B$8,3)="日付順",(X2-1)*24+X3,(X3-1)*6+X2)+X5*10000</f>
        <v/>
      </c>
      <c r="Y6">
        <f>IF(LEFT('設定'!$B$8,3)="日付順",(Y2-1)*24+Y3,(Y3-1)*6+Y2)+Y5*10000</f>
        <v/>
      </c>
      <c r="Z6">
        <f>IF(LEFT('設定'!$B$8,3)="日付順",(Z2-1)*24+Z3,(Z3-1)*6+Z2)+Z5*10000</f>
        <v/>
      </c>
      <c r="AA6">
        <f>IF(LEFT('設定'!$B$8,3)="日付順",(AA2-1)*24+AA3,(AA3-1)*6+AA2)+AA5*10000</f>
        <v/>
      </c>
      <c r="AB6">
        <f>IF(LEFT('設定'!$B$8,3)="日付順",(AB2-1)*24+AB3,(AB3-1)*6+AB2)+AB5*10000</f>
        <v/>
      </c>
      <c r="AC6">
        <f>IF(LEFT('設定'!$B$8,3)="日付順",(AC2-1)*24+AC3,(AC3-1)*6+AC2)+AC5*10000</f>
        <v/>
      </c>
      <c r="AD6">
        <f>IF(LEFT('設定'!$B$8,3)="日付順",(AD2-1)*24+AD3,(AD3-1)*6+AD2)+AD5*10000</f>
        <v/>
      </c>
      <c r="AE6">
        <f>IF(LEFT('設定'!$B$8,3)="日付順",(AE2-1)*24+AE3,(AE3-1)*6+AE2)+AE5*10000</f>
        <v/>
      </c>
      <c r="AF6">
        <f>IF(LEFT('設定'!$B$8,3)="日付順",(AF2-1)*24+AF3,(AF3-1)*6+AF2)+AF5*10000</f>
        <v/>
      </c>
      <c r="AG6">
        <f>IF(LEFT('設定'!$B$8,3)="日付順",(AG2-1)*24+AG3,(AG3-1)*6+AG2)+AG5*10000</f>
        <v/>
      </c>
      <c r="AH6">
        <f>IF(LEFT('設定'!$B$8,3)="日付順",(AH2-1)*24+AH3,(AH3-1)*6+AH2)+AH5*10000</f>
        <v/>
      </c>
      <c r="AI6">
        <f>IF(LEFT('設定'!$B$8,3)="日付順",(AI2-1)*24+AI3,(AI3-1)*6+AI2)+AI5*10000</f>
        <v/>
      </c>
      <c r="AJ6">
        <f>IF(LEFT('設定'!$B$8,3)="日付順",(AJ2-1)*24+AJ3,(AJ3-1)*6+AJ2)+AJ5*10000</f>
        <v/>
      </c>
      <c r="AK6">
        <f>IF(LEFT('設定'!$B$8,3)="日付順",(AK2-1)*24+AK3,(AK3-1)*6+AK2)+AK5*10000</f>
        <v/>
      </c>
      <c r="AL6">
        <f>IF(LEFT('設定'!$B$8,3)="日付順",(AL2-1)*24+AL3,(AL3-1)*6+AL2)+AL5*10000</f>
        <v/>
      </c>
      <c r="AM6">
        <f>IF(LEFT('設定'!$B$8,3)="日付順",(AM2-1)*24+AM3,(AM3-1)*6+AM2)+AM5*10000</f>
        <v/>
      </c>
      <c r="AN6">
        <f>IF(LEFT('設定'!$B$8,3)="日付順",(AN2-1)*24+AN3,(AN3-1)*6+AN2)+AN5*10000</f>
        <v/>
      </c>
      <c r="AO6">
        <f>IF(LEFT('設定'!$B$8,3)="日付順",(AO2-1)*24+AO3,(AO3-1)*6+AO2)+AO5*10000</f>
        <v/>
      </c>
      <c r="AP6">
        <f>IF(LEFT('設定'!$B$8,3)="日付順",(AP2-1)*24+AP3,(AP3-1)*6+AP2)+AP5*10000</f>
        <v/>
      </c>
      <c r="AQ6">
        <f>IF(LEFT('設定'!$B$8,3)="日付順",(AQ2-1)*24+AQ3,(AQ3-1)*6+AQ2)+AQ5*10000</f>
        <v/>
      </c>
      <c r="AR6">
        <f>IF(LEFT('設定'!$B$8,3)="日付順",(AR2-1)*24+AR3,(AR3-1)*6+AR2)+AR5*10000</f>
        <v/>
      </c>
      <c r="AS6">
        <f>IF(LEFT('設定'!$B$8,3)="日付順",(AS2-1)*24+AS3,(AS3-1)*6+AS2)+AS5*10000</f>
        <v/>
      </c>
      <c r="AT6">
        <f>IF(LEFT('設定'!$B$8,3)="日付順",(AT2-1)*24+AT3,(AT3-1)*6+AT2)+AT5*10000</f>
        <v/>
      </c>
      <c r="AU6">
        <f>IF(LEFT('設定'!$B$8,3)="日付順",(AU2-1)*24+AU3,(AU3-1)*6+AU2)+AU5*10000</f>
        <v/>
      </c>
      <c r="AV6">
        <f>IF(LEFT('設定'!$B$8,3)="日付順",(AV2-1)*24+AV3,(AV3-1)*6+AV2)+AV5*10000</f>
        <v/>
      </c>
      <c r="AW6">
        <f>IF(LEFT('設定'!$B$8,3)="日付順",(AW2-1)*24+AW3,(AW3-1)*6+AW2)+AW5*10000</f>
        <v/>
      </c>
      <c r="AX6">
        <f>IF(LEFT('設定'!$B$8,3)="日付順",(AX2-1)*24+AX3,(AX3-1)*6+AX2)+AX5*10000</f>
        <v/>
      </c>
      <c r="AY6">
        <f>IF(LEFT('設定'!$B$8,3)="日付順",(AY2-1)*24+AY3,(AY3-1)*6+AY2)+AY5*10000</f>
        <v/>
      </c>
      <c r="AZ6">
        <f>IF(LEFT('設定'!$B$8,3)="日付順",(AZ2-1)*24+AZ3,(AZ3-1)*6+AZ2)+AZ5*10000</f>
        <v/>
      </c>
      <c r="BA6">
        <f>IF(LEFT('設定'!$B$8,3)="日付順",(BA2-1)*24+BA3,(BA3-1)*6+BA2)+BA5*10000</f>
        <v/>
      </c>
      <c r="BB6">
        <f>IF(LEFT('設定'!$B$8,3)="日付順",(BB2-1)*24+BB3,(BB3-1)*6+BB2)+BB5*10000</f>
        <v/>
      </c>
      <c r="BC6">
        <f>IF(LEFT('設定'!$B$8,3)="日付順",(BC2-1)*24+BC3,(BC3-1)*6+BC2)+BC5*10000</f>
        <v/>
      </c>
      <c r="BD6">
        <f>IF(LEFT('設定'!$B$8,3)="日付順",(BD2-1)*24+BD3,(BD3-1)*6+BD2)+BD5*10000</f>
        <v/>
      </c>
      <c r="BE6">
        <f>IF(LEFT('設定'!$B$8,3)="日付順",(BE2-1)*24+BE3,(BE3-1)*6+BE2)+BE5*10000</f>
        <v/>
      </c>
      <c r="BF6">
        <f>IF(LEFT('設定'!$B$8,3)="日付順",(BF2-1)*24+BF3,(BF3-1)*6+BF2)+BF5*10000</f>
        <v/>
      </c>
      <c r="BG6">
        <f>IF(LEFT('設定'!$B$8,3)="日付順",(BG2-1)*24+BG3,(BG3-1)*6+BG2)+BG5*10000</f>
        <v/>
      </c>
      <c r="BH6">
        <f>IF(LEFT('設定'!$B$8,3)="日付順",(BH2-1)*24+BH3,(BH3-1)*6+BH2)+BH5*10000</f>
        <v/>
      </c>
      <c r="BI6">
        <f>IF(LEFT('設定'!$B$8,3)="日付順",(BI2-1)*24+BI3,(BI3-1)*6+BI2)+BI5*10000</f>
        <v/>
      </c>
      <c r="BJ6">
        <f>IF(LEFT('設定'!$B$8,3)="日付順",(BJ2-1)*24+BJ3,(BJ3-1)*6+BJ2)+BJ5*10000</f>
        <v/>
      </c>
      <c r="BK6">
        <f>IF(LEFT('設定'!$B$8,3)="日付順",(BK2-1)*24+BK3,(BK3-1)*6+BK2)+BK5*10000</f>
        <v/>
      </c>
      <c r="BL6">
        <f>IF(LEFT('設定'!$B$8,3)="日付順",(BL2-1)*24+BL3,(BL3-1)*6+BL2)+BL5*10000</f>
        <v/>
      </c>
      <c r="BM6">
        <f>IF(LEFT('設定'!$B$8,3)="日付順",(BM2-1)*24+BM3,(BM3-1)*6+BM2)+BM5*10000</f>
        <v/>
      </c>
      <c r="BN6">
        <f>IF(LEFT('設定'!$B$8,3)="日付順",(BN2-1)*24+BN3,(BN3-1)*6+BN2)+BN5*10000</f>
        <v/>
      </c>
      <c r="BO6">
        <f>IF(LEFT('設定'!$B$8,3)="日付順",(BO2-1)*24+BO3,(BO3-1)*6+BO2)+BO5*10000</f>
        <v/>
      </c>
      <c r="BP6">
        <f>IF(LEFT('設定'!$B$8,3)="日付順",(BP2-1)*24+BP3,(BP3-1)*6+BP2)+BP5*10000</f>
        <v/>
      </c>
      <c r="BQ6">
        <f>IF(LEFT('設定'!$B$8,3)="日付順",(BQ2-1)*24+BQ3,(BQ3-1)*6+BQ2)+BQ5*10000</f>
        <v/>
      </c>
      <c r="BR6">
        <f>IF(LEFT('設定'!$B$8,3)="日付順",(BR2-1)*24+BR3,(BR3-1)*6+BR2)+BR5*10000</f>
        <v/>
      </c>
      <c r="BS6">
        <f>IF(LEFT('設定'!$B$8,3)="日付順",(BS2-1)*24+BS3,(BS3-1)*6+BS2)+BS5*10000</f>
        <v/>
      </c>
      <c r="BT6">
        <f>IF(LEFT('設定'!$B$8,3)="日付順",(BT2-1)*24+BT3,(BT3-1)*6+BT2)+BT5*10000</f>
        <v/>
      </c>
      <c r="BU6">
        <f>IF(LEFT('設定'!$B$8,3)="日付順",(BU2-1)*24+BU3,(BU3-1)*6+BU2)+BU5*10000</f>
        <v/>
      </c>
      <c r="BV6">
        <f>IF(LEFT('設定'!$B$8,3)="日付順",(BV2-1)*24+BV3,(BV3-1)*6+BV2)+BV5*10000</f>
        <v/>
      </c>
      <c r="BW6">
        <f>IF(LEFT('設定'!$B$8,3)="日付順",(BW2-1)*24+BW3,(BW3-1)*6+BW2)+BW5*10000</f>
        <v/>
      </c>
      <c r="BX6">
        <f>IF(LEFT('設定'!$B$8,3)="日付順",(BX2-1)*24+BX3,(BX3-1)*6+BX2)+BX5*10000</f>
        <v/>
      </c>
      <c r="BY6">
        <f>IF(LEFT('設定'!$B$8,3)="日付順",(BY2-1)*24+BY3,(BY3-1)*6+BY2)+BY5*10000</f>
        <v/>
      </c>
      <c r="BZ6">
        <f>IF(LEFT('設定'!$B$8,3)="日付順",(BZ2-1)*24+BZ3,(BZ3-1)*6+BZ2)+BZ5*10000</f>
        <v/>
      </c>
      <c r="CA6">
        <f>IF(LEFT('設定'!$B$8,3)="日付順",(CA2-1)*24+CA3,(CA3-1)*6+CA2)+CA5*10000</f>
        <v/>
      </c>
      <c r="CB6">
        <f>IF(LEFT('設定'!$B$8,3)="日付順",(CB2-1)*24+CB3,(CB3-1)*6+CB2)+CB5*10000</f>
        <v/>
      </c>
      <c r="CC6">
        <f>IF(LEFT('設定'!$B$8,3)="日付順",(CC2-1)*24+CC3,(CC3-1)*6+CC2)+CC5*10000</f>
        <v/>
      </c>
      <c r="CD6">
        <f>IF(LEFT('設定'!$B$8,3)="日付順",(CD2-1)*24+CD3,(CD3-1)*6+CD2)+CD5*10000</f>
        <v/>
      </c>
      <c r="CE6">
        <f>IF(LEFT('設定'!$B$8,3)="日付順",(CE2-1)*24+CE3,(CE3-1)*6+CE2)+CE5*10000</f>
        <v/>
      </c>
      <c r="CF6">
        <f>IF(LEFT('設定'!$B$8,3)="日付順",(CF2-1)*24+CF3,(CF3-1)*6+CF2)+CF5*10000</f>
        <v/>
      </c>
      <c r="CG6">
        <f>IF(LEFT('設定'!$B$8,3)="日付順",(CG2-1)*24+CG3,(CG3-1)*6+CG2)+CG5*10000</f>
        <v/>
      </c>
      <c r="CH6">
        <f>IF(LEFT('設定'!$B$8,3)="日付順",(CH2-1)*24+CH3,(CH3-1)*6+CH2)+CH5*10000</f>
        <v/>
      </c>
      <c r="CI6">
        <f>IF(LEFT('設定'!$B$8,3)="日付順",(CI2-1)*24+CI3,(CI3-1)*6+CI2)+CI5*10000</f>
        <v/>
      </c>
      <c r="CJ6">
        <f>IF(LEFT('設定'!$B$8,3)="日付順",(CJ2-1)*24+CJ3,(CJ3-1)*6+CJ2)+CJ5*10000</f>
        <v/>
      </c>
      <c r="CK6">
        <f>IF(LEFT('設定'!$B$8,3)="日付順",(CK2-1)*24+CK3,(CK3-1)*6+CK2)+CK5*10000</f>
        <v/>
      </c>
      <c r="CL6">
        <f>IF(LEFT('設定'!$B$8,3)="日付順",(CL2-1)*24+CL3,(CL3-1)*6+CL2)+CL5*10000</f>
        <v/>
      </c>
      <c r="CM6">
        <f>IF(LEFT('設定'!$B$8,3)="日付順",(CM2-1)*24+CM3,(CM3-1)*6+CM2)+CM5*10000</f>
        <v/>
      </c>
      <c r="CN6">
        <f>IF(LEFT('設定'!$B$8,3)="日付順",(CN2-1)*24+CN3,(CN3-1)*6+CN2)+CN5*10000</f>
        <v/>
      </c>
      <c r="CO6">
        <f>IF(LEFT('設定'!$B$8,3)="日付順",(CO2-1)*24+CO3,(CO3-1)*6+CO2)+CO5*10000</f>
        <v/>
      </c>
      <c r="CP6">
        <f>IF(LEFT('設定'!$B$8,3)="日付順",(CP2-1)*24+CP3,(CP3-1)*6+CP2)+CP5*10000</f>
        <v/>
      </c>
      <c r="CQ6">
        <f>IF(LEFT('設定'!$B$8,3)="日付順",(CQ2-1)*24+CQ3,(CQ3-1)*6+CQ2)+CQ5*10000</f>
        <v/>
      </c>
      <c r="CR6">
        <f>IF(LEFT('設定'!$B$8,3)="日付順",(CR2-1)*24+CR3,(CR3-1)*6+CR2)+CR5*10000</f>
        <v/>
      </c>
      <c r="CS6">
        <f>IF(LEFT('設定'!$B$8,3)="日付順",(CS2-1)*24+CS3,(CS3-1)*6+CS2)+CS5*10000</f>
        <v/>
      </c>
      <c r="CT6">
        <f>IF(LEFT('設定'!$B$8,3)="日付順",(CT2-1)*24+CT3,(CT3-1)*6+CT2)+CT5*10000</f>
        <v/>
      </c>
      <c r="CU6">
        <f>IF(LEFT('設定'!$B$8,3)="日付順",(CU2-1)*24+CU3,(CU3-1)*6+CU2)+CU5*10000</f>
        <v/>
      </c>
      <c r="CV6">
        <f>IF(LEFT('設定'!$B$8,3)="日付順",(CV2-1)*24+CV3,(CV3-1)*6+CV2)+CV5*10000</f>
        <v/>
      </c>
      <c r="CW6">
        <f>IF(LEFT('設定'!$B$8,3)="日付順",(CW2-1)*24+CW3,(CW3-1)*6+CW2)+CW5*10000</f>
        <v/>
      </c>
      <c r="CX6">
        <f>IF(LEFT('設定'!$B$8,3)="日付順",(CX2-1)*24+CX3,(CX3-1)*6+CX2)+CX5*10000</f>
        <v/>
      </c>
      <c r="CY6">
        <f>IF(LEFT('設定'!$B$8,3)="日付順",(CY2-1)*24+CY3,(CY3-1)*6+CY2)+CY5*10000</f>
        <v/>
      </c>
      <c r="CZ6">
        <f>IF(LEFT('設定'!$B$8,3)="日付順",(CZ2-1)*24+CZ3,(CZ3-1)*6+CZ2)+CZ5*10000</f>
        <v/>
      </c>
      <c r="DA6">
        <f>IF(LEFT('設定'!$B$8,3)="日付順",(DA2-1)*24+DA3,(DA3-1)*6+DA2)+DA5*10000</f>
        <v/>
      </c>
      <c r="DB6">
        <f>IF(LEFT('設定'!$B$8,3)="日付順",(DB2-1)*24+DB3,(DB3-1)*6+DB2)+DB5*10000</f>
        <v/>
      </c>
      <c r="DC6">
        <f>IF(LEFT('設定'!$B$8,3)="日付順",(DC2-1)*24+DC3,(DC3-1)*6+DC2)+DC5*10000</f>
        <v/>
      </c>
      <c r="DD6">
        <f>IF(LEFT('設定'!$B$8,3)="日付順",(DD2-1)*24+DD3,(DD3-1)*6+DD2)+DD5*10000</f>
        <v/>
      </c>
      <c r="DE6">
        <f>IF(LEFT('設定'!$B$8,3)="日付順",(DE2-1)*24+DE3,(DE3-1)*6+DE2)+DE5*10000</f>
        <v/>
      </c>
      <c r="DF6">
        <f>IF(LEFT('設定'!$B$8,3)="日付順",(DF2-1)*24+DF3,(DF3-1)*6+DF2)+DF5*10000</f>
        <v/>
      </c>
      <c r="DG6">
        <f>IF(LEFT('設定'!$B$8,3)="日付順",(DG2-1)*24+DG3,(DG3-1)*6+DG2)+DG5*10000</f>
        <v/>
      </c>
      <c r="DH6">
        <f>IF(LEFT('設定'!$B$8,3)="日付順",(DH2-1)*24+DH3,(DH3-1)*6+DH2)+DH5*10000</f>
        <v/>
      </c>
      <c r="DI6">
        <f>IF(LEFT('設定'!$B$8,3)="日付順",(DI2-1)*24+DI3,(DI3-1)*6+DI2)+DI5*10000</f>
        <v/>
      </c>
      <c r="DJ6">
        <f>IF(LEFT('設定'!$B$8,3)="日付順",(DJ2-1)*24+DJ3,(DJ3-1)*6+DJ2)+DJ5*10000</f>
        <v/>
      </c>
      <c r="DK6">
        <f>IF(LEFT('設定'!$B$8,3)="日付順",(DK2-1)*24+DK3,(DK3-1)*6+DK2)+DK5*10000</f>
        <v/>
      </c>
      <c r="DL6">
        <f>IF(LEFT('設定'!$B$8,3)="日付順",(DL2-1)*24+DL3,(DL3-1)*6+DL2)+DL5*10000</f>
        <v/>
      </c>
      <c r="DM6">
        <f>IF(LEFT('設定'!$B$8,3)="日付順",(DM2-1)*24+DM3,(DM3-1)*6+DM2)+DM5*10000</f>
        <v/>
      </c>
      <c r="DN6">
        <f>IF(LEFT('設定'!$B$8,3)="日付順",(DN2-1)*24+DN3,(DN3-1)*6+DN2)+DN5*10000</f>
        <v/>
      </c>
      <c r="DO6">
        <f>IF(LEFT('設定'!$B$8,3)="日付順",(DO2-1)*24+DO3,(DO3-1)*6+DO2)+DO5*10000</f>
        <v/>
      </c>
      <c r="DP6">
        <f>IF(LEFT('設定'!$B$8,3)="日付順",(DP2-1)*24+DP3,(DP3-1)*6+DP2)+DP5*10000</f>
        <v/>
      </c>
      <c r="DQ6">
        <f>IF(LEFT('設定'!$B$8,3)="日付順",(DQ2-1)*24+DQ3,(DQ3-1)*6+DQ2)+DQ5*10000</f>
        <v/>
      </c>
      <c r="DR6">
        <f>IF(LEFT('設定'!$B$8,3)="日付順",(DR2-1)*24+DR3,(DR3-1)*6+DR2)+DR5*10000</f>
        <v/>
      </c>
      <c r="DS6">
        <f>IF(LEFT('設定'!$B$8,3)="日付順",(DS2-1)*24+DS3,(DS3-1)*6+DS2)+DS5*10000</f>
        <v/>
      </c>
      <c r="DT6">
        <f>IF(LEFT('設定'!$B$8,3)="日付順",(DT2-1)*24+DT3,(DT3-1)*6+DT2)+DT5*10000</f>
        <v/>
      </c>
      <c r="DU6">
        <f>IF(LEFT('設定'!$B$8,3)="日付順",(DU2-1)*24+DU3,(DU3-1)*6+DU2)+DU5*10000</f>
        <v/>
      </c>
      <c r="DV6">
        <f>IF(LEFT('設定'!$B$8,3)="日付順",(DV2-1)*24+DV3,(DV3-1)*6+DV2)+DV5*10000</f>
        <v/>
      </c>
      <c r="DW6">
        <f>IF(LEFT('設定'!$B$8,3)="日付順",(DW2-1)*24+DW3,(DW3-1)*6+DW2)+DW5*10000</f>
        <v/>
      </c>
      <c r="DX6">
        <f>IF(LEFT('設定'!$B$8,3)="日付順",(DX2-1)*24+DX3,(DX3-1)*6+DX2)+DX5*10000</f>
        <v/>
      </c>
      <c r="DY6">
        <f>IF(LEFT('設定'!$B$8,3)="日付順",(DY2-1)*24+DY3,(DY3-1)*6+DY2)+DY5*10000</f>
        <v/>
      </c>
      <c r="DZ6">
        <f>IF(LEFT('設定'!$B$8,3)="日付順",(DZ2-1)*24+DZ3,(DZ3-1)*6+DZ2)+DZ5*10000</f>
        <v/>
      </c>
      <c r="EA6">
        <f>IF(LEFT('設定'!$B$8,3)="日付順",(EA2-1)*24+EA3,(EA3-1)*6+EA2)+EA5*10000</f>
        <v/>
      </c>
      <c r="EB6">
        <f>IF(LEFT('設定'!$B$8,3)="日付順",(EB2-1)*24+EB3,(EB3-1)*6+EB2)+EB5*10000</f>
        <v/>
      </c>
      <c r="EC6">
        <f>IF(LEFT('設定'!$B$8,3)="日付順",(EC2-1)*24+EC3,(EC3-1)*6+EC2)+EC5*10000</f>
        <v/>
      </c>
      <c r="ED6">
        <f>IF(LEFT('設定'!$B$8,3)="日付順",(ED2-1)*24+ED3,(ED3-1)*6+ED2)+ED5*10000</f>
        <v/>
      </c>
      <c r="EE6">
        <f>IF(LEFT('設定'!$B$8,3)="日付順",(EE2-1)*24+EE3,(EE3-1)*6+EE2)+EE5*10000</f>
        <v/>
      </c>
      <c r="EF6">
        <f>IF(LEFT('設定'!$B$8,3)="日付順",(EF2-1)*24+EF3,(EF3-1)*6+EF2)+EF5*10000</f>
        <v/>
      </c>
      <c r="EG6">
        <f>IF(LEFT('設定'!$B$8,3)="日付順",(EG2-1)*24+EG3,(EG3-1)*6+EG2)+EG5*10000</f>
        <v/>
      </c>
      <c r="EH6">
        <f>IF(LEFT('設定'!$B$8,3)="日付順",(EH2-1)*24+EH3,(EH3-1)*6+EH2)+EH5*10000</f>
        <v/>
      </c>
      <c r="EI6">
        <f>IF(LEFT('設定'!$B$8,3)="日付順",(EI2-1)*24+EI3,(EI3-1)*6+EI2)+EI5*10000</f>
        <v/>
      </c>
      <c r="EJ6">
        <f>IF(LEFT('設定'!$B$8,3)="日付順",(EJ2-1)*24+EJ3,(EJ3-1)*6+EJ2)+EJ5*10000</f>
        <v/>
      </c>
      <c r="EK6">
        <f>IF(LEFT('設定'!$B$8,3)="日付順",(EK2-1)*24+EK3,(EK3-1)*6+EK2)+EK5*10000</f>
        <v/>
      </c>
      <c r="EL6">
        <f>IF(LEFT('設定'!$B$8,3)="日付順",(EL2-1)*24+EL3,(EL3-1)*6+EL2)+EL5*10000</f>
        <v/>
      </c>
      <c r="EM6">
        <f>IF(LEFT('設定'!$B$8,3)="日付順",(EM2-1)*24+EM3,(EM3-1)*6+EM2)+EM5*10000</f>
        <v/>
      </c>
      <c r="EN6">
        <f>IF(LEFT('設定'!$B$8,3)="日付順",(EN2-1)*24+EN3,(EN3-1)*6+EN2)+EN5*10000</f>
        <v/>
      </c>
      <c r="EO6">
        <f>IF(LEFT('設定'!$B$8,3)="日付順",(EO2-1)*24+EO3,(EO3-1)*6+EO2)+EO5*10000</f>
        <v/>
      </c>
      <c r="EP6">
        <f>IF(LEFT('設定'!$B$8,3)="日付順",(EP2-1)*24+EP3,(EP3-1)*6+EP2)+EP5*10000</f>
        <v/>
      </c>
      <c r="EQ6">
        <f>IF(LEFT('設定'!$B$8,3)="日付順",(EQ2-1)*24+EQ3,(EQ3-1)*6+EQ2)+EQ5*10000</f>
        <v/>
      </c>
    </row>
    <row r="7">
      <c r="C7" s="122" t="inlineStr">
        <is>
          <t>決定済み</t>
        </is>
      </c>
      <c r="D7">
        <f>MAX(D109,D108)</f>
        <v/>
      </c>
      <c r="E7">
        <f>MAX(E109,E108)</f>
        <v/>
      </c>
      <c r="F7">
        <f>MAX(F109,F108)</f>
        <v/>
      </c>
      <c r="G7">
        <f>MAX(G109,G108)</f>
        <v/>
      </c>
      <c r="H7">
        <f>MAX(H109,H108)</f>
        <v/>
      </c>
      <c r="I7">
        <f>MAX(I109,I108)</f>
        <v/>
      </c>
      <c r="J7">
        <f>MAX(J109,J108)</f>
        <v/>
      </c>
      <c r="K7">
        <f>MAX(K109,K108)</f>
        <v/>
      </c>
      <c r="L7">
        <f>MAX(L109,L108)</f>
        <v/>
      </c>
      <c r="M7">
        <f>MAX(M109,M108)</f>
        <v/>
      </c>
      <c r="N7">
        <f>MAX(N109,N108)</f>
        <v/>
      </c>
      <c r="O7">
        <f>MAX(O109,O108)</f>
        <v/>
      </c>
      <c r="P7">
        <f>MAX(P109,P108)</f>
        <v/>
      </c>
      <c r="Q7">
        <f>MAX(Q109,Q108)</f>
        <v/>
      </c>
      <c r="R7">
        <f>MAX(R109,R108)</f>
        <v/>
      </c>
      <c r="S7">
        <f>MAX(S109,S108)</f>
        <v/>
      </c>
      <c r="T7">
        <f>MAX(T109,T108)</f>
        <v/>
      </c>
      <c r="U7">
        <f>MAX(U109,U108)</f>
        <v/>
      </c>
      <c r="V7">
        <f>MAX(V109,V108)</f>
        <v/>
      </c>
      <c r="W7">
        <f>MAX(W109,W108)</f>
        <v/>
      </c>
      <c r="X7">
        <f>MAX(X109,X108)</f>
        <v/>
      </c>
      <c r="Y7">
        <f>MAX(Y109,Y108)</f>
        <v/>
      </c>
      <c r="Z7">
        <f>MAX(Z109,Z108)</f>
        <v/>
      </c>
      <c r="AA7">
        <f>MAX(AA109,AA108)</f>
        <v/>
      </c>
      <c r="AB7">
        <f>MAX(AB109,AB108)</f>
        <v/>
      </c>
      <c r="AC7">
        <f>MAX(AC109,AC108)</f>
        <v/>
      </c>
      <c r="AD7">
        <f>MAX(AD109,AD108)</f>
        <v/>
      </c>
      <c r="AE7">
        <f>MAX(AE109,AE108)</f>
        <v/>
      </c>
      <c r="AF7">
        <f>MAX(AF109,AF108)</f>
        <v/>
      </c>
      <c r="AG7">
        <f>MAX(AG109,AG108)</f>
        <v/>
      </c>
      <c r="AH7">
        <f>MAX(AH109,AH108)</f>
        <v/>
      </c>
      <c r="AI7">
        <f>MAX(AI109,AI108)</f>
        <v/>
      </c>
      <c r="AJ7">
        <f>MAX(AJ109,AJ108)</f>
        <v/>
      </c>
      <c r="AK7">
        <f>MAX(AK109,AK108)</f>
        <v/>
      </c>
      <c r="AL7">
        <f>MAX(AL109,AL108)</f>
        <v/>
      </c>
      <c r="AM7">
        <f>MAX(AM109,AM108)</f>
        <v/>
      </c>
      <c r="AN7">
        <f>MAX(AN109,AN108)</f>
        <v/>
      </c>
      <c r="AO7">
        <f>MAX(AO109,AO108)</f>
        <v/>
      </c>
      <c r="AP7">
        <f>MAX(AP109,AP108)</f>
        <v/>
      </c>
      <c r="AQ7">
        <f>MAX(AQ109,AQ108)</f>
        <v/>
      </c>
      <c r="AR7">
        <f>MAX(AR109,AR108)</f>
        <v/>
      </c>
      <c r="AS7">
        <f>MAX(AS109,AS108)</f>
        <v/>
      </c>
      <c r="AT7">
        <f>MAX(AT109,AT108)</f>
        <v/>
      </c>
      <c r="AU7">
        <f>MAX(AU109,AU108)</f>
        <v/>
      </c>
      <c r="AV7">
        <f>MAX(AV109,AV108)</f>
        <v/>
      </c>
      <c r="AW7">
        <f>MAX(AW109,AW108)</f>
        <v/>
      </c>
      <c r="AX7">
        <f>MAX(AX109,AX108)</f>
        <v/>
      </c>
      <c r="AY7">
        <f>MAX(AY109,AY108)</f>
        <v/>
      </c>
      <c r="AZ7">
        <f>MAX(AZ109,AZ108)</f>
        <v/>
      </c>
      <c r="BA7">
        <f>MAX(BA109,BA108)</f>
        <v/>
      </c>
      <c r="BB7">
        <f>MAX(BB109,BB108)</f>
        <v/>
      </c>
      <c r="BC7">
        <f>MAX(BC109,BC108)</f>
        <v/>
      </c>
      <c r="BD7">
        <f>MAX(BD109,BD108)</f>
        <v/>
      </c>
      <c r="BE7">
        <f>MAX(BE109,BE108)</f>
        <v/>
      </c>
      <c r="BF7">
        <f>MAX(BF109,BF108)</f>
        <v/>
      </c>
      <c r="BG7">
        <f>MAX(BG109,BG108)</f>
        <v/>
      </c>
      <c r="BH7">
        <f>MAX(BH109,BH108)</f>
        <v/>
      </c>
      <c r="BI7">
        <f>MAX(BI109,BI108)</f>
        <v/>
      </c>
      <c r="BJ7">
        <f>MAX(BJ109,BJ108)</f>
        <v/>
      </c>
      <c r="BK7">
        <f>MAX(BK109,BK108)</f>
        <v/>
      </c>
      <c r="BL7">
        <f>MAX(BL109,BL108)</f>
        <v/>
      </c>
      <c r="BM7">
        <f>MAX(BM109,BM108)</f>
        <v/>
      </c>
      <c r="BN7">
        <f>MAX(BN109,BN108)</f>
        <v/>
      </c>
      <c r="BO7">
        <f>MAX(BO109,BO108)</f>
        <v/>
      </c>
      <c r="BP7">
        <f>MAX(BP109,BP108)</f>
        <v/>
      </c>
      <c r="BQ7">
        <f>MAX(BQ109,BQ108)</f>
        <v/>
      </c>
      <c r="BR7">
        <f>MAX(BR109,BR108)</f>
        <v/>
      </c>
      <c r="BS7">
        <f>MAX(BS109,BS108)</f>
        <v/>
      </c>
      <c r="BT7">
        <f>MAX(BT109,BT108)</f>
        <v/>
      </c>
      <c r="BU7">
        <f>MAX(BU109,BU108)</f>
        <v/>
      </c>
      <c r="BV7">
        <f>MAX(BV109,BV108)</f>
        <v/>
      </c>
      <c r="BW7">
        <f>MAX(BW109,BW108)</f>
        <v/>
      </c>
      <c r="BX7">
        <f>MAX(BX109,BX108)</f>
        <v/>
      </c>
      <c r="BY7">
        <f>MAX(BY109,BY108)</f>
        <v/>
      </c>
      <c r="BZ7">
        <f>MAX(BZ109,BZ108)</f>
        <v/>
      </c>
      <c r="CA7">
        <f>MAX(CA109,CA108)</f>
        <v/>
      </c>
      <c r="CB7">
        <f>MAX(CB109,CB108)</f>
        <v/>
      </c>
      <c r="CC7">
        <f>MAX(CC109,CC108)</f>
        <v/>
      </c>
      <c r="CD7">
        <f>MAX(CD109,CD108)</f>
        <v/>
      </c>
      <c r="CE7">
        <f>MAX(CE109,CE108)</f>
        <v/>
      </c>
      <c r="CF7">
        <f>MAX(CF109,CF108)</f>
        <v/>
      </c>
      <c r="CG7">
        <f>MAX(CG109,CG108)</f>
        <v/>
      </c>
      <c r="CH7">
        <f>MAX(CH109,CH108)</f>
        <v/>
      </c>
      <c r="CI7">
        <f>MAX(CI109,CI108)</f>
        <v/>
      </c>
      <c r="CJ7">
        <f>MAX(CJ109,CJ108)</f>
        <v/>
      </c>
      <c r="CK7">
        <f>MAX(CK109,CK108)</f>
        <v/>
      </c>
      <c r="CL7">
        <f>MAX(CL109,CL108)</f>
        <v/>
      </c>
      <c r="CM7">
        <f>MAX(CM109,CM108)</f>
        <v/>
      </c>
      <c r="CN7">
        <f>MAX(CN109,CN108)</f>
        <v/>
      </c>
      <c r="CO7">
        <f>MAX(CO109,CO108)</f>
        <v/>
      </c>
      <c r="CP7">
        <f>MAX(CP109,CP108)</f>
        <v/>
      </c>
      <c r="CQ7">
        <f>MAX(CQ109,CQ108)</f>
        <v/>
      </c>
      <c r="CR7">
        <f>MAX(CR109,CR108)</f>
        <v/>
      </c>
      <c r="CS7">
        <f>MAX(CS109,CS108)</f>
        <v/>
      </c>
      <c r="CT7">
        <f>MAX(CT109,CT108)</f>
        <v/>
      </c>
      <c r="CU7">
        <f>MAX(CU109,CU108)</f>
        <v/>
      </c>
      <c r="CV7">
        <f>MAX(CV109,CV108)</f>
        <v/>
      </c>
      <c r="CW7">
        <f>MAX(CW109,CW108)</f>
        <v/>
      </c>
      <c r="CX7">
        <f>MAX(CX109,CX108)</f>
        <v/>
      </c>
      <c r="CY7">
        <f>MAX(CY109,CY108)</f>
        <v/>
      </c>
      <c r="CZ7">
        <f>MAX(CZ109,CZ108)</f>
        <v/>
      </c>
      <c r="DA7">
        <f>MAX(DA109,DA108)</f>
        <v/>
      </c>
      <c r="DB7">
        <f>MAX(DB109,DB108)</f>
        <v/>
      </c>
      <c r="DC7">
        <f>MAX(DC109,DC108)</f>
        <v/>
      </c>
      <c r="DD7">
        <f>MAX(DD109,DD108)</f>
        <v/>
      </c>
      <c r="DE7">
        <f>MAX(DE109,DE108)</f>
        <v/>
      </c>
      <c r="DF7">
        <f>MAX(DF109,DF108)</f>
        <v/>
      </c>
      <c r="DG7">
        <f>MAX(DG109,DG108)</f>
        <v/>
      </c>
      <c r="DH7">
        <f>MAX(DH109,DH108)</f>
        <v/>
      </c>
      <c r="DI7">
        <f>MAX(DI109,DI108)</f>
        <v/>
      </c>
      <c r="DJ7">
        <f>MAX(DJ109,DJ108)</f>
        <v/>
      </c>
      <c r="DK7">
        <f>MAX(DK109,DK108)</f>
        <v/>
      </c>
      <c r="DL7">
        <f>MAX(DL109,DL108)</f>
        <v/>
      </c>
      <c r="DM7">
        <f>MAX(DM109,DM108)</f>
        <v/>
      </c>
      <c r="DN7">
        <f>MAX(DN109,DN108)</f>
        <v/>
      </c>
      <c r="DO7">
        <f>MAX(DO109,DO108)</f>
        <v/>
      </c>
      <c r="DP7">
        <f>MAX(DP109,DP108)</f>
        <v/>
      </c>
      <c r="DQ7">
        <f>MAX(DQ109,DQ108)</f>
        <v/>
      </c>
      <c r="DR7">
        <f>MAX(DR109,DR108)</f>
        <v/>
      </c>
      <c r="DS7">
        <f>MAX(DS109,DS108)</f>
        <v/>
      </c>
      <c r="DT7">
        <f>MAX(DT109,DT108)</f>
        <v/>
      </c>
      <c r="DU7">
        <f>MAX(DU109,DU108)</f>
        <v/>
      </c>
      <c r="DV7">
        <f>MAX(DV109,DV108)</f>
        <v/>
      </c>
      <c r="DW7">
        <f>MAX(DW109,DW108)</f>
        <v/>
      </c>
      <c r="DX7">
        <f>MAX(DX109,DX108)</f>
        <v/>
      </c>
      <c r="DY7">
        <f>MAX(DY109,DY108)</f>
        <v/>
      </c>
      <c r="DZ7">
        <f>MAX(DZ109,DZ108)</f>
        <v/>
      </c>
      <c r="EA7">
        <f>MAX(EA109,EA108)</f>
        <v/>
      </c>
      <c r="EB7">
        <f>MAX(EB109,EB108)</f>
        <v/>
      </c>
      <c r="EC7">
        <f>MAX(EC109,EC108)</f>
        <v/>
      </c>
      <c r="ED7">
        <f>MAX(ED109,ED108)</f>
        <v/>
      </c>
      <c r="EE7">
        <f>MAX(EE109,EE108)</f>
        <v/>
      </c>
      <c r="EF7">
        <f>MAX(EF109,EF108)</f>
        <v/>
      </c>
      <c r="EG7">
        <f>MAX(EG109,EG108)</f>
        <v/>
      </c>
      <c r="EH7">
        <f>MAX(EH109,EH108)</f>
        <v/>
      </c>
      <c r="EI7">
        <f>MAX(EI109,EI108)</f>
        <v/>
      </c>
      <c r="EJ7">
        <f>MAX(EJ109,EJ108)</f>
        <v/>
      </c>
      <c r="EK7">
        <f>MAX(EK109,EK108)</f>
        <v/>
      </c>
      <c r="EL7">
        <f>MAX(EL109,EL108)</f>
        <v/>
      </c>
      <c r="EM7">
        <f>MAX(EM109,EM108)</f>
        <v/>
      </c>
      <c r="EN7">
        <f>MAX(EN109,EN108)</f>
        <v/>
      </c>
      <c r="EO7">
        <f>MAX(EO109,EO108)</f>
        <v/>
      </c>
      <c r="EP7">
        <f>MAX(EP109,EP108)</f>
        <v/>
      </c>
      <c r="EQ7">
        <f>MAX(EQ109,EQ108)</f>
        <v/>
      </c>
    </row>
    <row r="8">
      <c r="A8" s="122" t="inlineStr">
        <is>
          <t>選択中→</t>
        </is>
      </c>
      <c r="B8" s="122">
        <f>IF('調整・決定'!$J$5="",0,IFERROR(MATCH('調整・決定'!$J$5,$B$10:$B$54,0),0))</f>
        <v/>
      </c>
      <c r="C8" s="122" t="inlineStr">
        <is>
          <t>表示</t>
        </is>
      </c>
      <c r="D8">
        <f>IF(D4=1,INDEX('設定'!$E$11:$E$16,D2)&amp;" "&amp;INDEX('設定'!$I$11:$I$34,D3),"")</f>
        <v/>
      </c>
      <c r="E8">
        <f>IF(E4=1,INDEX('設定'!$E$11:$E$16,E2)&amp;" "&amp;INDEX('設定'!$I$11:$I$34,E3),"")</f>
        <v/>
      </c>
      <c r="F8">
        <f>IF(F4=1,INDEX('設定'!$E$11:$E$16,F2)&amp;" "&amp;INDEX('設定'!$I$11:$I$34,F3),"")</f>
        <v/>
      </c>
      <c r="G8">
        <f>IF(G4=1,INDEX('設定'!$E$11:$E$16,G2)&amp;" "&amp;INDEX('設定'!$I$11:$I$34,G3),"")</f>
        <v/>
      </c>
      <c r="H8">
        <f>IF(H4=1,INDEX('設定'!$E$11:$E$16,H2)&amp;" "&amp;INDEX('設定'!$I$11:$I$34,H3),"")</f>
        <v/>
      </c>
      <c r="I8">
        <f>IF(I4=1,INDEX('設定'!$E$11:$E$16,I2)&amp;" "&amp;INDEX('設定'!$I$11:$I$34,I3),"")</f>
        <v/>
      </c>
      <c r="J8">
        <f>IF(J4=1,INDEX('設定'!$E$11:$E$16,J2)&amp;" "&amp;INDEX('設定'!$I$11:$I$34,J3),"")</f>
        <v/>
      </c>
      <c r="K8">
        <f>IF(K4=1,INDEX('設定'!$E$11:$E$16,K2)&amp;" "&amp;INDEX('設定'!$I$11:$I$34,K3),"")</f>
        <v/>
      </c>
      <c r="L8">
        <f>IF(L4=1,INDEX('設定'!$E$11:$E$16,L2)&amp;" "&amp;INDEX('設定'!$I$11:$I$34,L3),"")</f>
        <v/>
      </c>
      <c r="M8">
        <f>IF(M4=1,INDEX('設定'!$E$11:$E$16,M2)&amp;" "&amp;INDEX('設定'!$I$11:$I$34,M3),"")</f>
        <v/>
      </c>
      <c r="N8">
        <f>IF(N4=1,INDEX('設定'!$E$11:$E$16,N2)&amp;" "&amp;INDEX('設定'!$I$11:$I$34,N3),"")</f>
        <v/>
      </c>
      <c r="O8">
        <f>IF(O4=1,INDEX('設定'!$E$11:$E$16,O2)&amp;" "&amp;INDEX('設定'!$I$11:$I$34,O3),"")</f>
        <v/>
      </c>
      <c r="P8">
        <f>IF(P4=1,INDEX('設定'!$E$11:$E$16,P2)&amp;" "&amp;INDEX('設定'!$I$11:$I$34,P3),"")</f>
        <v/>
      </c>
      <c r="Q8">
        <f>IF(Q4=1,INDEX('設定'!$E$11:$E$16,Q2)&amp;" "&amp;INDEX('設定'!$I$11:$I$34,Q3),"")</f>
        <v/>
      </c>
      <c r="R8">
        <f>IF(R4=1,INDEX('設定'!$E$11:$E$16,R2)&amp;" "&amp;INDEX('設定'!$I$11:$I$34,R3),"")</f>
        <v/>
      </c>
      <c r="S8">
        <f>IF(S4=1,INDEX('設定'!$E$11:$E$16,S2)&amp;" "&amp;INDEX('設定'!$I$11:$I$34,S3),"")</f>
        <v/>
      </c>
      <c r="T8">
        <f>IF(T4=1,INDEX('設定'!$E$11:$E$16,T2)&amp;" "&amp;INDEX('設定'!$I$11:$I$34,T3),"")</f>
        <v/>
      </c>
      <c r="U8">
        <f>IF(U4=1,INDEX('設定'!$E$11:$E$16,U2)&amp;" "&amp;INDEX('設定'!$I$11:$I$34,U3),"")</f>
        <v/>
      </c>
      <c r="V8">
        <f>IF(V4=1,INDEX('設定'!$E$11:$E$16,V2)&amp;" "&amp;INDEX('設定'!$I$11:$I$34,V3),"")</f>
        <v/>
      </c>
      <c r="W8">
        <f>IF(W4=1,INDEX('設定'!$E$11:$E$16,W2)&amp;" "&amp;INDEX('設定'!$I$11:$I$34,W3),"")</f>
        <v/>
      </c>
      <c r="X8">
        <f>IF(X4=1,INDEX('設定'!$E$11:$E$16,X2)&amp;" "&amp;INDEX('設定'!$I$11:$I$34,X3),"")</f>
        <v/>
      </c>
      <c r="Y8">
        <f>IF(Y4=1,INDEX('設定'!$E$11:$E$16,Y2)&amp;" "&amp;INDEX('設定'!$I$11:$I$34,Y3),"")</f>
        <v/>
      </c>
      <c r="Z8">
        <f>IF(Z4=1,INDEX('設定'!$E$11:$E$16,Z2)&amp;" "&amp;INDEX('設定'!$I$11:$I$34,Z3),"")</f>
        <v/>
      </c>
      <c r="AA8">
        <f>IF(AA4=1,INDEX('設定'!$E$11:$E$16,AA2)&amp;" "&amp;INDEX('設定'!$I$11:$I$34,AA3),"")</f>
        <v/>
      </c>
      <c r="AB8">
        <f>IF(AB4=1,INDEX('設定'!$E$11:$E$16,AB2)&amp;" "&amp;INDEX('設定'!$I$11:$I$34,AB3),"")</f>
        <v/>
      </c>
      <c r="AC8">
        <f>IF(AC4=1,INDEX('設定'!$E$11:$E$16,AC2)&amp;" "&amp;INDEX('設定'!$I$11:$I$34,AC3),"")</f>
        <v/>
      </c>
      <c r="AD8">
        <f>IF(AD4=1,INDEX('設定'!$E$11:$E$16,AD2)&amp;" "&amp;INDEX('設定'!$I$11:$I$34,AD3),"")</f>
        <v/>
      </c>
      <c r="AE8">
        <f>IF(AE4=1,INDEX('設定'!$E$11:$E$16,AE2)&amp;" "&amp;INDEX('設定'!$I$11:$I$34,AE3),"")</f>
        <v/>
      </c>
      <c r="AF8">
        <f>IF(AF4=1,INDEX('設定'!$E$11:$E$16,AF2)&amp;" "&amp;INDEX('設定'!$I$11:$I$34,AF3),"")</f>
        <v/>
      </c>
      <c r="AG8">
        <f>IF(AG4=1,INDEX('設定'!$E$11:$E$16,AG2)&amp;" "&amp;INDEX('設定'!$I$11:$I$34,AG3),"")</f>
        <v/>
      </c>
      <c r="AH8">
        <f>IF(AH4=1,INDEX('設定'!$E$11:$E$16,AH2)&amp;" "&amp;INDEX('設定'!$I$11:$I$34,AH3),"")</f>
        <v/>
      </c>
      <c r="AI8">
        <f>IF(AI4=1,INDEX('設定'!$E$11:$E$16,AI2)&amp;" "&amp;INDEX('設定'!$I$11:$I$34,AI3),"")</f>
        <v/>
      </c>
      <c r="AJ8">
        <f>IF(AJ4=1,INDEX('設定'!$E$11:$E$16,AJ2)&amp;" "&amp;INDEX('設定'!$I$11:$I$34,AJ3),"")</f>
        <v/>
      </c>
      <c r="AK8">
        <f>IF(AK4=1,INDEX('設定'!$E$11:$E$16,AK2)&amp;" "&amp;INDEX('設定'!$I$11:$I$34,AK3),"")</f>
        <v/>
      </c>
      <c r="AL8">
        <f>IF(AL4=1,INDEX('設定'!$E$11:$E$16,AL2)&amp;" "&amp;INDEX('設定'!$I$11:$I$34,AL3),"")</f>
        <v/>
      </c>
      <c r="AM8">
        <f>IF(AM4=1,INDEX('設定'!$E$11:$E$16,AM2)&amp;" "&amp;INDEX('設定'!$I$11:$I$34,AM3),"")</f>
        <v/>
      </c>
      <c r="AN8">
        <f>IF(AN4=1,INDEX('設定'!$E$11:$E$16,AN2)&amp;" "&amp;INDEX('設定'!$I$11:$I$34,AN3),"")</f>
        <v/>
      </c>
      <c r="AO8">
        <f>IF(AO4=1,INDEX('設定'!$E$11:$E$16,AO2)&amp;" "&amp;INDEX('設定'!$I$11:$I$34,AO3),"")</f>
        <v/>
      </c>
      <c r="AP8">
        <f>IF(AP4=1,INDEX('設定'!$E$11:$E$16,AP2)&amp;" "&amp;INDEX('設定'!$I$11:$I$34,AP3),"")</f>
        <v/>
      </c>
      <c r="AQ8">
        <f>IF(AQ4=1,INDEX('設定'!$E$11:$E$16,AQ2)&amp;" "&amp;INDEX('設定'!$I$11:$I$34,AQ3),"")</f>
        <v/>
      </c>
      <c r="AR8">
        <f>IF(AR4=1,INDEX('設定'!$E$11:$E$16,AR2)&amp;" "&amp;INDEX('設定'!$I$11:$I$34,AR3),"")</f>
        <v/>
      </c>
      <c r="AS8">
        <f>IF(AS4=1,INDEX('設定'!$E$11:$E$16,AS2)&amp;" "&amp;INDEX('設定'!$I$11:$I$34,AS3),"")</f>
        <v/>
      </c>
      <c r="AT8">
        <f>IF(AT4=1,INDEX('設定'!$E$11:$E$16,AT2)&amp;" "&amp;INDEX('設定'!$I$11:$I$34,AT3),"")</f>
        <v/>
      </c>
      <c r="AU8">
        <f>IF(AU4=1,INDEX('設定'!$E$11:$E$16,AU2)&amp;" "&amp;INDEX('設定'!$I$11:$I$34,AU3),"")</f>
        <v/>
      </c>
      <c r="AV8">
        <f>IF(AV4=1,INDEX('設定'!$E$11:$E$16,AV2)&amp;" "&amp;INDEX('設定'!$I$11:$I$34,AV3),"")</f>
        <v/>
      </c>
      <c r="AW8">
        <f>IF(AW4=1,INDEX('設定'!$E$11:$E$16,AW2)&amp;" "&amp;INDEX('設定'!$I$11:$I$34,AW3),"")</f>
        <v/>
      </c>
      <c r="AX8">
        <f>IF(AX4=1,INDEX('設定'!$E$11:$E$16,AX2)&amp;" "&amp;INDEX('設定'!$I$11:$I$34,AX3),"")</f>
        <v/>
      </c>
      <c r="AY8">
        <f>IF(AY4=1,INDEX('設定'!$E$11:$E$16,AY2)&amp;" "&amp;INDEX('設定'!$I$11:$I$34,AY3),"")</f>
        <v/>
      </c>
      <c r="AZ8">
        <f>IF(AZ4=1,INDEX('設定'!$E$11:$E$16,AZ2)&amp;" "&amp;INDEX('設定'!$I$11:$I$34,AZ3),"")</f>
        <v/>
      </c>
      <c r="BA8">
        <f>IF(BA4=1,INDEX('設定'!$E$11:$E$16,BA2)&amp;" "&amp;INDEX('設定'!$I$11:$I$34,BA3),"")</f>
        <v/>
      </c>
      <c r="BB8">
        <f>IF(BB4=1,INDEX('設定'!$E$11:$E$16,BB2)&amp;" "&amp;INDEX('設定'!$I$11:$I$34,BB3),"")</f>
        <v/>
      </c>
      <c r="BC8">
        <f>IF(BC4=1,INDEX('設定'!$E$11:$E$16,BC2)&amp;" "&amp;INDEX('設定'!$I$11:$I$34,BC3),"")</f>
        <v/>
      </c>
      <c r="BD8">
        <f>IF(BD4=1,INDEX('設定'!$E$11:$E$16,BD2)&amp;" "&amp;INDEX('設定'!$I$11:$I$34,BD3),"")</f>
        <v/>
      </c>
      <c r="BE8">
        <f>IF(BE4=1,INDEX('設定'!$E$11:$E$16,BE2)&amp;" "&amp;INDEX('設定'!$I$11:$I$34,BE3),"")</f>
        <v/>
      </c>
      <c r="BF8">
        <f>IF(BF4=1,INDEX('設定'!$E$11:$E$16,BF2)&amp;" "&amp;INDEX('設定'!$I$11:$I$34,BF3),"")</f>
        <v/>
      </c>
      <c r="BG8">
        <f>IF(BG4=1,INDEX('設定'!$E$11:$E$16,BG2)&amp;" "&amp;INDEX('設定'!$I$11:$I$34,BG3),"")</f>
        <v/>
      </c>
      <c r="BH8">
        <f>IF(BH4=1,INDEX('設定'!$E$11:$E$16,BH2)&amp;" "&amp;INDEX('設定'!$I$11:$I$34,BH3),"")</f>
        <v/>
      </c>
      <c r="BI8">
        <f>IF(BI4=1,INDEX('設定'!$E$11:$E$16,BI2)&amp;" "&amp;INDEX('設定'!$I$11:$I$34,BI3),"")</f>
        <v/>
      </c>
      <c r="BJ8">
        <f>IF(BJ4=1,INDEX('設定'!$E$11:$E$16,BJ2)&amp;" "&amp;INDEX('設定'!$I$11:$I$34,BJ3),"")</f>
        <v/>
      </c>
      <c r="BK8">
        <f>IF(BK4=1,INDEX('設定'!$E$11:$E$16,BK2)&amp;" "&amp;INDEX('設定'!$I$11:$I$34,BK3),"")</f>
        <v/>
      </c>
      <c r="BL8">
        <f>IF(BL4=1,INDEX('設定'!$E$11:$E$16,BL2)&amp;" "&amp;INDEX('設定'!$I$11:$I$34,BL3),"")</f>
        <v/>
      </c>
      <c r="BM8">
        <f>IF(BM4=1,INDEX('設定'!$E$11:$E$16,BM2)&amp;" "&amp;INDEX('設定'!$I$11:$I$34,BM3),"")</f>
        <v/>
      </c>
      <c r="BN8">
        <f>IF(BN4=1,INDEX('設定'!$E$11:$E$16,BN2)&amp;" "&amp;INDEX('設定'!$I$11:$I$34,BN3),"")</f>
        <v/>
      </c>
      <c r="BO8">
        <f>IF(BO4=1,INDEX('設定'!$E$11:$E$16,BO2)&amp;" "&amp;INDEX('設定'!$I$11:$I$34,BO3),"")</f>
        <v/>
      </c>
      <c r="BP8">
        <f>IF(BP4=1,INDEX('設定'!$E$11:$E$16,BP2)&amp;" "&amp;INDEX('設定'!$I$11:$I$34,BP3),"")</f>
        <v/>
      </c>
      <c r="BQ8">
        <f>IF(BQ4=1,INDEX('設定'!$E$11:$E$16,BQ2)&amp;" "&amp;INDEX('設定'!$I$11:$I$34,BQ3),"")</f>
        <v/>
      </c>
      <c r="BR8">
        <f>IF(BR4=1,INDEX('設定'!$E$11:$E$16,BR2)&amp;" "&amp;INDEX('設定'!$I$11:$I$34,BR3),"")</f>
        <v/>
      </c>
      <c r="BS8">
        <f>IF(BS4=1,INDEX('設定'!$E$11:$E$16,BS2)&amp;" "&amp;INDEX('設定'!$I$11:$I$34,BS3),"")</f>
        <v/>
      </c>
      <c r="BT8">
        <f>IF(BT4=1,INDEX('設定'!$E$11:$E$16,BT2)&amp;" "&amp;INDEX('設定'!$I$11:$I$34,BT3),"")</f>
        <v/>
      </c>
      <c r="BU8">
        <f>IF(BU4=1,INDEX('設定'!$E$11:$E$16,BU2)&amp;" "&amp;INDEX('設定'!$I$11:$I$34,BU3),"")</f>
        <v/>
      </c>
      <c r="BV8">
        <f>IF(BV4=1,INDEX('設定'!$E$11:$E$16,BV2)&amp;" "&amp;INDEX('設定'!$I$11:$I$34,BV3),"")</f>
        <v/>
      </c>
      <c r="BW8">
        <f>IF(BW4=1,INDEX('設定'!$E$11:$E$16,BW2)&amp;" "&amp;INDEX('設定'!$I$11:$I$34,BW3),"")</f>
        <v/>
      </c>
      <c r="BX8">
        <f>IF(BX4=1,INDEX('設定'!$E$11:$E$16,BX2)&amp;" "&amp;INDEX('設定'!$I$11:$I$34,BX3),"")</f>
        <v/>
      </c>
      <c r="BY8">
        <f>IF(BY4=1,INDEX('設定'!$E$11:$E$16,BY2)&amp;" "&amp;INDEX('設定'!$I$11:$I$34,BY3),"")</f>
        <v/>
      </c>
      <c r="BZ8">
        <f>IF(BZ4=1,INDEX('設定'!$E$11:$E$16,BZ2)&amp;" "&amp;INDEX('設定'!$I$11:$I$34,BZ3),"")</f>
        <v/>
      </c>
      <c r="CA8">
        <f>IF(CA4=1,INDEX('設定'!$E$11:$E$16,CA2)&amp;" "&amp;INDEX('設定'!$I$11:$I$34,CA3),"")</f>
        <v/>
      </c>
      <c r="CB8">
        <f>IF(CB4=1,INDEX('設定'!$E$11:$E$16,CB2)&amp;" "&amp;INDEX('設定'!$I$11:$I$34,CB3),"")</f>
        <v/>
      </c>
      <c r="CC8">
        <f>IF(CC4=1,INDEX('設定'!$E$11:$E$16,CC2)&amp;" "&amp;INDEX('設定'!$I$11:$I$34,CC3),"")</f>
        <v/>
      </c>
      <c r="CD8">
        <f>IF(CD4=1,INDEX('設定'!$E$11:$E$16,CD2)&amp;" "&amp;INDEX('設定'!$I$11:$I$34,CD3),"")</f>
        <v/>
      </c>
      <c r="CE8">
        <f>IF(CE4=1,INDEX('設定'!$E$11:$E$16,CE2)&amp;" "&amp;INDEX('設定'!$I$11:$I$34,CE3),"")</f>
        <v/>
      </c>
      <c r="CF8">
        <f>IF(CF4=1,INDEX('設定'!$E$11:$E$16,CF2)&amp;" "&amp;INDEX('設定'!$I$11:$I$34,CF3),"")</f>
        <v/>
      </c>
      <c r="CG8">
        <f>IF(CG4=1,INDEX('設定'!$E$11:$E$16,CG2)&amp;" "&amp;INDEX('設定'!$I$11:$I$34,CG3),"")</f>
        <v/>
      </c>
      <c r="CH8">
        <f>IF(CH4=1,INDEX('設定'!$E$11:$E$16,CH2)&amp;" "&amp;INDEX('設定'!$I$11:$I$34,CH3),"")</f>
        <v/>
      </c>
      <c r="CI8">
        <f>IF(CI4=1,INDEX('設定'!$E$11:$E$16,CI2)&amp;" "&amp;INDEX('設定'!$I$11:$I$34,CI3),"")</f>
        <v/>
      </c>
      <c r="CJ8">
        <f>IF(CJ4=1,INDEX('設定'!$E$11:$E$16,CJ2)&amp;" "&amp;INDEX('設定'!$I$11:$I$34,CJ3),"")</f>
        <v/>
      </c>
      <c r="CK8">
        <f>IF(CK4=1,INDEX('設定'!$E$11:$E$16,CK2)&amp;" "&amp;INDEX('設定'!$I$11:$I$34,CK3),"")</f>
        <v/>
      </c>
      <c r="CL8">
        <f>IF(CL4=1,INDEX('設定'!$E$11:$E$16,CL2)&amp;" "&amp;INDEX('設定'!$I$11:$I$34,CL3),"")</f>
        <v/>
      </c>
      <c r="CM8">
        <f>IF(CM4=1,INDEX('設定'!$E$11:$E$16,CM2)&amp;" "&amp;INDEX('設定'!$I$11:$I$34,CM3),"")</f>
        <v/>
      </c>
      <c r="CN8">
        <f>IF(CN4=1,INDEX('設定'!$E$11:$E$16,CN2)&amp;" "&amp;INDEX('設定'!$I$11:$I$34,CN3),"")</f>
        <v/>
      </c>
      <c r="CO8">
        <f>IF(CO4=1,INDEX('設定'!$E$11:$E$16,CO2)&amp;" "&amp;INDEX('設定'!$I$11:$I$34,CO3),"")</f>
        <v/>
      </c>
      <c r="CP8">
        <f>IF(CP4=1,INDEX('設定'!$E$11:$E$16,CP2)&amp;" "&amp;INDEX('設定'!$I$11:$I$34,CP3),"")</f>
        <v/>
      </c>
      <c r="CQ8">
        <f>IF(CQ4=1,INDEX('設定'!$E$11:$E$16,CQ2)&amp;" "&amp;INDEX('設定'!$I$11:$I$34,CQ3),"")</f>
        <v/>
      </c>
      <c r="CR8">
        <f>IF(CR4=1,INDEX('設定'!$E$11:$E$16,CR2)&amp;" "&amp;INDEX('設定'!$I$11:$I$34,CR3),"")</f>
        <v/>
      </c>
      <c r="CS8">
        <f>IF(CS4=1,INDEX('設定'!$E$11:$E$16,CS2)&amp;" "&amp;INDEX('設定'!$I$11:$I$34,CS3),"")</f>
        <v/>
      </c>
      <c r="CT8">
        <f>IF(CT4=1,INDEX('設定'!$E$11:$E$16,CT2)&amp;" "&amp;INDEX('設定'!$I$11:$I$34,CT3),"")</f>
        <v/>
      </c>
      <c r="CU8">
        <f>IF(CU4=1,INDEX('設定'!$E$11:$E$16,CU2)&amp;" "&amp;INDEX('設定'!$I$11:$I$34,CU3),"")</f>
        <v/>
      </c>
      <c r="CV8">
        <f>IF(CV4=1,INDEX('設定'!$E$11:$E$16,CV2)&amp;" "&amp;INDEX('設定'!$I$11:$I$34,CV3),"")</f>
        <v/>
      </c>
      <c r="CW8">
        <f>IF(CW4=1,INDEX('設定'!$E$11:$E$16,CW2)&amp;" "&amp;INDEX('設定'!$I$11:$I$34,CW3),"")</f>
        <v/>
      </c>
      <c r="CX8">
        <f>IF(CX4=1,INDEX('設定'!$E$11:$E$16,CX2)&amp;" "&amp;INDEX('設定'!$I$11:$I$34,CX3),"")</f>
        <v/>
      </c>
      <c r="CY8">
        <f>IF(CY4=1,INDEX('設定'!$E$11:$E$16,CY2)&amp;" "&amp;INDEX('設定'!$I$11:$I$34,CY3),"")</f>
        <v/>
      </c>
      <c r="CZ8">
        <f>IF(CZ4=1,INDEX('設定'!$E$11:$E$16,CZ2)&amp;" "&amp;INDEX('設定'!$I$11:$I$34,CZ3),"")</f>
        <v/>
      </c>
      <c r="DA8">
        <f>IF(DA4=1,INDEX('設定'!$E$11:$E$16,DA2)&amp;" "&amp;INDEX('設定'!$I$11:$I$34,DA3),"")</f>
        <v/>
      </c>
      <c r="DB8">
        <f>IF(DB4=1,INDEX('設定'!$E$11:$E$16,DB2)&amp;" "&amp;INDEX('設定'!$I$11:$I$34,DB3),"")</f>
        <v/>
      </c>
      <c r="DC8">
        <f>IF(DC4=1,INDEX('設定'!$E$11:$E$16,DC2)&amp;" "&amp;INDEX('設定'!$I$11:$I$34,DC3),"")</f>
        <v/>
      </c>
      <c r="DD8">
        <f>IF(DD4=1,INDEX('設定'!$E$11:$E$16,DD2)&amp;" "&amp;INDEX('設定'!$I$11:$I$34,DD3),"")</f>
        <v/>
      </c>
      <c r="DE8">
        <f>IF(DE4=1,INDEX('設定'!$E$11:$E$16,DE2)&amp;" "&amp;INDEX('設定'!$I$11:$I$34,DE3),"")</f>
        <v/>
      </c>
      <c r="DF8">
        <f>IF(DF4=1,INDEX('設定'!$E$11:$E$16,DF2)&amp;" "&amp;INDEX('設定'!$I$11:$I$34,DF3),"")</f>
        <v/>
      </c>
      <c r="DG8">
        <f>IF(DG4=1,INDEX('設定'!$E$11:$E$16,DG2)&amp;" "&amp;INDEX('設定'!$I$11:$I$34,DG3),"")</f>
        <v/>
      </c>
      <c r="DH8">
        <f>IF(DH4=1,INDEX('設定'!$E$11:$E$16,DH2)&amp;" "&amp;INDEX('設定'!$I$11:$I$34,DH3),"")</f>
        <v/>
      </c>
      <c r="DI8">
        <f>IF(DI4=1,INDEX('設定'!$E$11:$E$16,DI2)&amp;" "&amp;INDEX('設定'!$I$11:$I$34,DI3),"")</f>
        <v/>
      </c>
      <c r="DJ8">
        <f>IF(DJ4=1,INDEX('設定'!$E$11:$E$16,DJ2)&amp;" "&amp;INDEX('設定'!$I$11:$I$34,DJ3),"")</f>
        <v/>
      </c>
      <c r="DK8">
        <f>IF(DK4=1,INDEX('設定'!$E$11:$E$16,DK2)&amp;" "&amp;INDEX('設定'!$I$11:$I$34,DK3),"")</f>
        <v/>
      </c>
      <c r="DL8">
        <f>IF(DL4=1,INDEX('設定'!$E$11:$E$16,DL2)&amp;" "&amp;INDEX('設定'!$I$11:$I$34,DL3),"")</f>
        <v/>
      </c>
      <c r="DM8">
        <f>IF(DM4=1,INDEX('設定'!$E$11:$E$16,DM2)&amp;" "&amp;INDEX('設定'!$I$11:$I$34,DM3),"")</f>
        <v/>
      </c>
      <c r="DN8">
        <f>IF(DN4=1,INDEX('設定'!$E$11:$E$16,DN2)&amp;" "&amp;INDEX('設定'!$I$11:$I$34,DN3),"")</f>
        <v/>
      </c>
      <c r="DO8">
        <f>IF(DO4=1,INDEX('設定'!$E$11:$E$16,DO2)&amp;" "&amp;INDEX('設定'!$I$11:$I$34,DO3),"")</f>
        <v/>
      </c>
      <c r="DP8">
        <f>IF(DP4=1,INDEX('設定'!$E$11:$E$16,DP2)&amp;" "&amp;INDEX('設定'!$I$11:$I$34,DP3),"")</f>
        <v/>
      </c>
      <c r="DQ8">
        <f>IF(DQ4=1,INDEX('設定'!$E$11:$E$16,DQ2)&amp;" "&amp;INDEX('設定'!$I$11:$I$34,DQ3),"")</f>
        <v/>
      </c>
      <c r="DR8">
        <f>IF(DR4=1,INDEX('設定'!$E$11:$E$16,DR2)&amp;" "&amp;INDEX('設定'!$I$11:$I$34,DR3),"")</f>
        <v/>
      </c>
      <c r="DS8">
        <f>IF(DS4=1,INDEX('設定'!$E$11:$E$16,DS2)&amp;" "&amp;INDEX('設定'!$I$11:$I$34,DS3),"")</f>
        <v/>
      </c>
      <c r="DT8">
        <f>IF(DT4=1,INDEX('設定'!$E$11:$E$16,DT2)&amp;" "&amp;INDEX('設定'!$I$11:$I$34,DT3),"")</f>
        <v/>
      </c>
      <c r="DU8">
        <f>IF(DU4=1,INDEX('設定'!$E$11:$E$16,DU2)&amp;" "&amp;INDEX('設定'!$I$11:$I$34,DU3),"")</f>
        <v/>
      </c>
      <c r="DV8">
        <f>IF(DV4=1,INDEX('設定'!$E$11:$E$16,DV2)&amp;" "&amp;INDEX('設定'!$I$11:$I$34,DV3),"")</f>
        <v/>
      </c>
      <c r="DW8">
        <f>IF(DW4=1,INDEX('設定'!$E$11:$E$16,DW2)&amp;" "&amp;INDEX('設定'!$I$11:$I$34,DW3),"")</f>
        <v/>
      </c>
      <c r="DX8">
        <f>IF(DX4=1,INDEX('設定'!$E$11:$E$16,DX2)&amp;" "&amp;INDEX('設定'!$I$11:$I$34,DX3),"")</f>
        <v/>
      </c>
      <c r="DY8">
        <f>IF(DY4=1,INDEX('設定'!$E$11:$E$16,DY2)&amp;" "&amp;INDEX('設定'!$I$11:$I$34,DY3),"")</f>
        <v/>
      </c>
      <c r="DZ8">
        <f>IF(DZ4=1,INDEX('設定'!$E$11:$E$16,DZ2)&amp;" "&amp;INDEX('設定'!$I$11:$I$34,DZ3),"")</f>
        <v/>
      </c>
      <c r="EA8">
        <f>IF(EA4=1,INDEX('設定'!$E$11:$E$16,EA2)&amp;" "&amp;INDEX('設定'!$I$11:$I$34,EA3),"")</f>
        <v/>
      </c>
      <c r="EB8">
        <f>IF(EB4=1,INDEX('設定'!$E$11:$E$16,EB2)&amp;" "&amp;INDEX('設定'!$I$11:$I$34,EB3),"")</f>
        <v/>
      </c>
      <c r="EC8">
        <f>IF(EC4=1,INDEX('設定'!$E$11:$E$16,EC2)&amp;" "&amp;INDEX('設定'!$I$11:$I$34,EC3),"")</f>
        <v/>
      </c>
      <c r="ED8">
        <f>IF(ED4=1,INDEX('設定'!$E$11:$E$16,ED2)&amp;" "&amp;INDEX('設定'!$I$11:$I$34,ED3),"")</f>
        <v/>
      </c>
      <c r="EE8">
        <f>IF(EE4=1,INDEX('設定'!$E$11:$E$16,EE2)&amp;" "&amp;INDEX('設定'!$I$11:$I$34,EE3),"")</f>
        <v/>
      </c>
      <c r="EF8">
        <f>IF(EF4=1,INDEX('設定'!$E$11:$E$16,EF2)&amp;" "&amp;INDEX('設定'!$I$11:$I$34,EF3),"")</f>
        <v/>
      </c>
      <c r="EG8">
        <f>IF(EG4=1,INDEX('設定'!$E$11:$E$16,EG2)&amp;" "&amp;INDEX('設定'!$I$11:$I$34,EG3),"")</f>
        <v/>
      </c>
      <c r="EH8">
        <f>IF(EH4=1,INDEX('設定'!$E$11:$E$16,EH2)&amp;" "&amp;INDEX('設定'!$I$11:$I$34,EH3),"")</f>
        <v/>
      </c>
      <c r="EI8">
        <f>IF(EI4=1,INDEX('設定'!$E$11:$E$16,EI2)&amp;" "&amp;INDEX('設定'!$I$11:$I$34,EI3),"")</f>
        <v/>
      </c>
      <c r="EJ8">
        <f>IF(EJ4=1,INDEX('設定'!$E$11:$E$16,EJ2)&amp;" "&amp;INDEX('設定'!$I$11:$I$34,EJ3),"")</f>
        <v/>
      </c>
      <c r="EK8">
        <f>IF(EK4=1,INDEX('設定'!$E$11:$E$16,EK2)&amp;" "&amp;INDEX('設定'!$I$11:$I$34,EK3),"")</f>
        <v/>
      </c>
      <c r="EL8">
        <f>IF(EL4=1,INDEX('設定'!$E$11:$E$16,EL2)&amp;" "&amp;INDEX('設定'!$I$11:$I$34,EL3),"")</f>
        <v/>
      </c>
      <c r="EM8">
        <f>IF(EM4=1,INDEX('設定'!$E$11:$E$16,EM2)&amp;" "&amp;INDEX('設定'!$I$11:$I$34,EM3),"")</f>
        <v/>
      </c>
      <c r="EN8">
        <f>IF(EN4=1,INDEX('設定'!$E$11:$E$16,EN2)&amp;" "&amp;INDEX('設定'!$I$11:$I$34,EN3),"")</f>
        <v/>
      </c>
      <c r="EO8">
        <f>IF(EO4=1,INDEX('設定'!$E$11:$E$16,EO2)&amp;" "&amp;INDEX('設定'!$I$11:$I$34,EO3),"")</f>
        <v/>
      </c>
      <c r="EP8">
        <f>IF(EP4=1,INDEX('設定'!$E$11:$E$16,EP2)&amp;" "&amp;INDEX('設定'!$I$11:$I$34,EP3),"")</f>
        <v/>
      </c>
      <c r="EQ8">
        <f>IF(EQ4=1,INDEX('設定'!$E$11:$E$16,EQ2)&amp;" "&amp;INDEX('設定'!$I$11:$I$34,EQ3),"")</f>
        <v/>
      </c>
    </row>
    <row r="9">
      <c r="A9" t="inlineStr">
        <is>
          <t>i</t>
        </is>
      </c>
      <c r="B9" t="inlineStr">
        <is>
          <t>表示名</t>
        </is>
      </c>
      <c r="C9" t="inlineStr">
        <is>
          <t>自動の対象</t>
        </is>
      </c>
      <c r="IK9" t="inlineStr">
        <is>
          <t>自動案Aの枠</t>
        </is>
      </c>
      <c r="IL9" t="inlineStr">
        <is>
          <t>Aで入らない</t>
        </is>
      </c>
      <c r="IM9" t="inlineStr">
        <is>
          <t>空き枠数</t>
        </is>
      </c>
      <c r="IN9" t="inlineStr">
        <is>
          <t>×の数</t>
        </is>
      </c>
      <c r="IO9" t="inlineStr">
        <is>
          <t>決定した枠</t>
        </is>
      </c>
      <c r="IP9" t="inlineStr">
        <is>
          <t>希望</t>
        </is>
      </c>
      <c r="IQ9" t="inlineStr">
        <is>
          <t>後ろ空け</t>
        </is>
      </c>
      <c r="IR9" t="inlineStr">
        <is>
          <t>自動案Bの枠</t>
        </is>
      </c>
      <c r="IS9" t="inlineStr">
        <is>
          <t>Bで入らない</t>
        </is>
      </c>
      <c r="IT9" t="inlineStr">
        <is>
          <t>兄弟①の枠</t>
        </is>
      </c>
      <c r="IV9" t="inlineStr">
        <is>
          <t>兄弟の前後OK</t>
        </is>
      </c>
      <c r="IW9" t="inlineStr">
        <is>
          <t>兄弟あり</t>
        </is>
      </c>
      <c r="IX9" t="inlineStr">
        <is>
          <t>空けない</t>
        </is>
      </c>
      <c r="IY9" t="inlineStr">
        <is>
          <t>兄弟②の枠</t>
        </is>
      </c>
      <c r="IZ9" t="inlineStr">
        <is>
          <t>兄弟③の枠</t>
        </is>
      </c>
      <c r="JC9" t="inlineStr">
        <is>
          <t>①順番</t>
        </is>
      </c>
      <c r="JD9" t="inlineStr">
        <is>
          <t>②順番</t>
        </is>
      </c>
      <c r="JE9" t="inlineStr">
        <is>
          <t>③順番</t>
        </is>
      </c>
      <c r="JF9" t="inlineStr">
        <is>
          <t>兄弟の時間あり</t>
        </is>
      </c>
      <c r="JG9" t="inlineStr">
        <is>
          <t>表にない日時</t>
        </is>
      </c>
    </row>
    <row r="10">
      <c r="A10" t="n">
        <v>1</v>
      </c>
      <c r="B10">
        <f>'名簿'!P5</f>
        <v/>
      </c>
      <c r="C10">
        <f>IF(AND(B10&lt;&gt;"",OR('名簿'!Q5="入力済み",'名簿'!Q5="×なし"),IO10=0,COUNTIF('調整・決定'!$C$6:$H$29,B10)=0),1,0)</f>
        <v/>
      </c>
      <c r="D10">
        <f>IF(D$4=1,IF(OR(INDEX('×入力'!$A$1:$L$1300,7+D$3,2+D$2)&lt;&gt;"",INDEX('×入力'!$A$1:$L$1300,6,2+D$2)&lt;&gt;"",INDEX('×入力'!$A$1:$L$1300,7+D$3,1)&lt;&gt;""),1,0),0)</f>
        <v/>
      </c>
      <c r="E10">
        <f>IF(E$4=1,IF(OR(INDEX('×入力'!$A$1:$L$1300,7+E$3,2+E$2)&lt;&gt;"",INDEX('×入力'!$A$1:$L$1300,6,2+E$2)&lt;&gt;"",INDEX('×入力'!$A$1:$L$1300,7+E$3,1)&lt;&gt;""),1,0),0)</f>
        <v/>
      </c>
      <c r="F10">
        <f>IF(F$4=1,IF(OR(INDEX('×入力'!$A$1:$L$1300,7+F$3,2+F$2)&lt;&gt;"",INDEX('×入力'!$A$1:$L$1300,6,2+F$2)&lt;&gt;"",INDEX('×入力'!$A$1:$L$1300,7+F$3,1)&lt;&gt;""),1,0),0)</f>
        <v/>
      </c>
      <c r="G10">
        <f>IF(G$4=1,IF(OR(INDEX('×入力'!$A$1:$L$1300,7+G$3,2+G$2)&lt;&gt;"",INDEX('×入力'!$A$1:$L$1300,6,2+G$2)&lt;&gt;"",INDEX('×入力'!$A$1:$L$1300,7+G$3,1)&lt;&gt;""),1,0),0)</f>
        <v/>
      </c>
      <c r="H10">
        <f>IF(H$4=1,IF(OR(INDEX('×入力'!$A$1:$L$1300,7+H$3,2+H$2)&lt;&gt;"",INDEX('×入力'!$A$1:$L$1300,6,2+H$2)&lt;&gt;"",INDEX('×入力'!$A$1:$L$1300,7+H$3,1)&lt;&gt;""),1,0),0)</f>
        <v/>
      </c>
      <c r="I10">
        <f>IF(I$4=1,IF(OR(INDEX('×入力'!$A$1:$L$1300,7+I$3,2+I$2)&lt;&gt;"",INDEX('×入力'!$A$1:$L$1300,6,2+I$2)&lt;&gt;"",INDEX('×入力'!$A$1:$L$1300,7+I$3,1)&lt;&gt;""),1,0),0)</f>
        <v/>
      </c>
      <c r="J10">
        <f>IF(J$4=1,IF(OR(INDEX('×入力'!$A$1:$L$1300,7+J$3,2+J$2)&lt;&gt;"",INDEX('×入力'!$A$1:$L$1300,6,2+J$2)&lt;&gt;"",INDEX('×入力'!$A$1:$L$1300,7+J$3,1)&lt;&gt;""),1,0),0)</f>
        <v/>
      </c>
      <c r="K10">
        <f>IF(K$4=1,IF(OR(INDEX('×入力'!$A$1:$L$1300,7+K$3,2+K$2)&lt;&gt;"",INDEX('×入力'!$A$1:$L$1300,6,2+K$2)&lt;&gt;"",INDEX('×入力'!$A$1:$L$1300,7+K$3,1)&lt;&gt;""),1,0),0)</f>
        <v/>
      </c>
      <c r="L10">
        <f>IF(L$4=1,IF(OR(INDEX('×入力'!$A$1:$L$1300,7+L$3,2+L$2)&lt;&gt;"",INDEX('×入力'!$A$1:$L$1300,6,2+L$2)&lt;&gt;"",INDEX('×入力'!$A$1:$L$1300,7+L$3,1)&lt;&gt;""),1,0),0)</f>
        <v/>
      </c>
      <c r="M10">
        <f>IF(M$4=1,IF(OR(INDEX('×入力'!$A$1:$L$1300,7+M$3,2+M$2)&lt;&gt;"",INDEX('×入力'!$A$1:$L$1300,6,2+M$2)&lt;&gt;"",INDEX('×入力'!$A$1:$L$1300,7+M$3,1)&lt;&gt;""),1,0),0)</f>
        <v/>
      </c>
      <c r="N10">
        <f>IF(N$4=1,IF(OR(INDEX('×入力'!$A$1:$L$1300,7+N$3,2+N$2)&lt;&gt;"",INDEX('×入力'!$A$1:$L$1300,6,2+N$2)&lt;&gt;"",INDEX('×入力'!$A$1:$L$1300,7+N$3,1)&lt;&gt;""),1,0),0)</f>
        <v/>
      </c>
      <c r="O10">
        <f>IF(O$4=1,IF(OR(INDEX('×入力'!$A$1:$L$1300,7+O$3,2+O$2)&lt;&gt;"",INDEX('×入力'!$A$1:$L$1300,6,2+O$2)&lt;&gt;"",INDEX('×入力'!$A$1:$L$1300,7+O$3,1)&lt;&gt;""),1,0),0)</f>
        <v/>
      </c>
      <c r="P10">
        <f>IF(P$4=1,IF(OR(INDEX('×入力'!$A$1:$L$1300,7+P$3,2+P$2)&lt;&gt;"",INDEX('×入力'!$A$1:$L$1300,6,2+P$2)&lt;&gt;"",INDEX('×入力'!$A$1:$L$1300,7+P$3,1)&lt;&gt;""),1,0),0)</f>
        <v/>
      </c>
      <c r="Q10">
        <f>IF(Q$4=1,IF(OR(INDEX('×入力'!$A$1:$L$1300,7+Q$3,2+Q$2)&lt;&gt;"",INDEX('×入力'!$A$1:$L$1300,6,2+Q$2)&lt;&gt;"",INDEX('×入力'!$A$1:$L$1300,7+Q$3,1)&lt;&gt;""),1,0),0)</f>
        <v/>
      </c>
      <c r="R10">
        <f>IF(R$4=1,IF(OR(INDEX('×入力'!$A$1:$L$1300,7+R$3,2+R$2)&lt;&gt;"",INDEX('×入力'!$A$1:$L$1300,6,2+R$2)&lt;&gt;"",INDEX('×入力'!$A$1:$L$1300,7+R$3,1)&lt;&gt;""),1,0),0)</f>
        <v/>
      </c>
      <c r="S10">
        <f>IF(S$4=1,IF(OR(INDEX('×入力'!$A$1:$L$1300,7+S$3,2+S$2)&lt;&gt;"",INDEX('×入力'!$A$1:$L$1300,6,2+S$2)&lt;&gt;"",INDEX('×入力'!$A$1:$L$1300,7+S$3,1)&lt;&gt;""),1,0),0)</f>
        <v/>
      </c>
      <c r="T10">
        <f>IF(T$4=1,IF(OR(INDEX('×入力'!$A$1:$L$1300,7+T$3,2+T$2)&lt;&gt;"",INDEX('×入力'!$A$1:$L$1300,6,2+T$2)&lt;&gt;"",INDEX('×入力'!$A$1:$L$1300,7+T$3,1)&lt;&gt;""),1,0),0)</f>
        <v/>
      </c>
      <c r="U10">
        <f>IF(U$4=1,IF(OR(INDEX('×入力'!$A$1:$L$1300,7+U$3,2+U$2)&lt;&gt;"",INDEX('×入力'!$A$1:$L$1300,6,2+U$2)&lt;&gt;"",INDEX('×入力'!$A$1:$L$1300,7+U$3,1)&lt;&gt;""),1,0),0)</f>
        <v/>
      </c>
      <c r="V10">
        <f>IF(V$4=1,IF(OR(INDEX('×入力'!$A$1:$L$1300,7+V$3,2+V$2)&lt;&gt;"",INDEX('×入力'!$A$1:$L$1300,6,2+V$2)&lt;&gt;"",INDEX('×入力'!$A$1:$L$1300,7+V$3,1)&lt;&gt;""),1,0),0)</f>
        <v/>
      </c>
      <c r="W10">
        <f>IF(W$4=1,IF(OR(INDEX('×入力'!$A$1:$L$1300,7+W$3,2+W$2)&lt;&gt;"",INDEX('×入力'!$A$1:$L$1300,6,2+W$2)&lt;&gt;"",INDEX('×入力'!$A$1:$L$1300,7+W$3,1)&lt;&gt;""),1,0),0)</f>
        <v/>
      </c>
      <c r="X10">
        <f>IF(X$4=1,IF(OR(INDEX('×入力'!$A$1:$L$1300,7+X$3,2+X$2)&lt;&gt;"",INDEX('×入力'!$A$1:$L$1300,6,2+X$2)&lt;&gt;"",INDEX('×入力'!$A$1:$L$1300,7+X$3,1)&lt;&gt;""),1,0),0)</f>
        <v/>
      </c>
      <c r="Y10">
        <f>IF(Y$4=1,IF(OR(INDEX('×入力'!$A$1:$L$1300,7+Y$3,2+Y$2)&lt;&gt;"",INDEX('×入力'!$A$1:$L$1300,6,2+Y$2)&lt;&gt;"",INDEX('×入力'!$A$1:$L$1300,7+Y$3,1)&lt;&gt;""),1,0),0)</f>
        <v/>
      </c>
      <c r="Z10">
        <f>IF(Z$4=1,IF(OR(INDEX('×入力'!$A$1:$L$1300,7+Z$3,2+Z$2)&lt;&gt;"",INDEX('×入力'!$A$1:$L$1300,6,2+Z$2)&lt;&gt;"",INDEX('×入力'!$A$1:$L$1300,7+Z$3,1)&lt;&gt;""),1,0),0)</f>
        <v/>
      </c>
      <c r="AA10">
        <f>IF(AA$4=1,IF(OR(INDEX('×入力'!$A$1:$L$1300,7+AA$3,2+AA$2)&lt;&gt;"",INDEX('×入力'!$A$1:$L$1300,6,2+AA$2)&lt;&gt;"",INDEX('×入力'!$A$1:$L$1300,7+AA$3,1)&lt;&gt;""),1,0),0)</f>
        <v/>
      </c>
      <c r="AB10">
        <f>IF(AB$4=1,IF(OR(INDEX('×入力'!$A$1:$L$1300,7+AB$3,2+AB$2)&lt;&gt;"",INDEX('×入力'!$A$1:$L$1300,6,2+AB$2)&lt;&gt;"",INDEX('×入力'!$A$1:$L$1300,7+AB$3,1)&lt;&gt;""),1,0),0)</f>
        <v/>
      </c>
      <c r="AC10">
        <f>IF(AC$4=1,IF(OR(INDEX('×入力'!$A$1:$L$1300,7+AC$3,2+AC$2)&lt;&gt;"",INDEX('×入力'!$A$1:$L$1300,6,2+AC$2)&lt;&gt;"",INDEX('×入力'!$A$1:$L$1300,7+AC$3,1)&lt;&gt;""),1,0),0)</f>
        <v/>
      </c>
      <c r="AD10">
        <f>IF(AD$4=1,IF(OR(INDEX('×入力'!$A$1:$L$1300,7+AD$3,2+AD$2)&lt;&gt;"",INDEX('×入力'!$A$1:$L$1300,6,2+AD$2)&lt;&gt;"",INDEX('×入力'!$A$1:$L$1300,7+AD$3,1)&lt;&gt;""),1,0),0)</f>
        <v/>
      </c>
      <c r="AE10">
        <f>IF(AE$4=1,IF(OR(INDEX('×入力'!$A$1:$L$1300,7+AE$3,2+AE$2)&lt;&gt;"",INDEX('×入力'!$A$1:$L$1300,6,2+AE$2)&lt;&gt;"",INDEX('×入力'!$A$1:$L$1300,7+AE$3,1)&lt;&gt;""),1,0),0)</f>
        <v/>
      </c>
      <c r="AF10">
        <f>IF(AF$4=1,IF(OR(INDEX('×入力'!$A$1:$L$1300,7+AF$3,2+AF$2)&lt;&gt;"",INDEX('×入力'!$A$1:$L$1300,6,2+AF$2)&lt;&gt;"",INDEX('×入力'!$A$1:$L$1300,7+AF$3,1)&lt;&gt;""),1,0),0)</f>
        <v/>
      </c>
      <c r="AG10">
        <f>IF(AG$4=1,IF(OR(INDEX('×入力'!$A$1:$L$1300,7+AG$3,2+AG$2)&lt;&gt;"",INDEX('×入力'!$A$1:$L$1300,6,2+AG$2)&lt;&gt;"",INDEX('×入力'!$A$1:$L$1300,7+AG$3,1)&lt;&gt;""),1,0),0)</f>
        <v/>
      </c>
      <c r="AH10">
        <f>IF(AH$4=1,IF(OR(INDEX('×入力'!$A$1:$L$1300,7+AH$3,2+AH$2)&lt;&gt;"",INDEX('×入力'!$A$1:$L$1300,6,2+AH$2)&lt;&gt;"",INDEX('×入力'!$A$1:$L$1300,7+AH$3,1)&lt;&gt;""),1,0),0)</f>
        <v/>
      </c>
      <c r="AI10">
        <f>IF(AI$4=1,IF(OR(INDEX('×入力'!$A$1:$L$1300,7+AI$3,2+AI$2)&lt;&gt;"",INDEX('×入力'!$A$1:$L$1300,6,2+AI$2)&lt;&gt;"",INDEX('×入力'!$A$1:$L$1300,7+AI$3,1)&lt;&gt;""),1,0),0)</f>
        <v/>
      </c>
      <c r="AJ10">
        <f>IF(AJ$4=1,IF(OR(INDEX('×入力'!$A$1:$L$1300,7+AJ$3,2+AJ$2)&lt;&gt;"",INDEX('×入力'!$A$1:$L$1300,6,2+AJ$2)&lt;&gt;"",INDEX('×入力'!$A$1:$L$1300,7+AJ$3,1)&lt;&gt;""),1,0),0)</f>
        <v/>
      </c>
      <c r="AK10">
        <f>IF(AK$4=1,IF(OR(INDEX('×入力'!$A$1:$L$1300,7+AK$3,2+AK$2)&lt;&gt;"",INDEX('×入力'!$A$1:$L$1300,6,2+AK$2)&lt;&gt;"",INDEX('×入力'!$A$1:$L$1300,7+AK$3,1)&lt;&gt;""),1,0),0)</f>
        <v/>
      </c>
      <c r="AL10">
        <f>IF(AL$4=1,IF(OR(INDEX('×入力'!$A$1:$L$1300,7+AL$3,2+AL$2)&lt;&gt;"",INDEX('×入力'!$A$1:$L$1300,6,2+AL$2)&lt;&gt;"",INDEX('×入力'!$A$1:$L$1300,7+AL$3,1)&lt;&gt;""),1,0),0)</f>
        <v/>
      </c>
      <c r="AM10">
        <f>IF(AM$4=1,IF(OR(INDEX('×入力'!$A$1:$L$1300,7+AM$3,2+AM$2)&lt;&gt;"",INDEX('×入力'!$A$1:$L$1300,6,2+AM$2)&lt;&gt;"",INDEX('×入力'!$A$1:$L$1300,7+AM$3,1)&lt;&gt;""),1,0),0)</f>
        <v/>
      </c>
      <c r="AN10">
        <f>IF(AN$4=1,IF(OR(INDEX('×入力'!$A$1:$L$1300,7+AN$3,2+AN$2)&lt;&gt;"",INDEX('×入力'!$A$1:$L$1300,6,2+AN$2)&lt;&gt;"",INDEX('×入力'!$A$1:$L$1300,7+AN$3,1)&lt;&gt;""),1,0),0)</f>
        <v/>
      </c>
      <c r="AO10">
        <f>IF(AO$4=1,IF(OR(INDEX('×入力'!$A$1:$L$1300,7+AO$3,2+AO$2)&lt;&gt;"",INDEX('×入力'!$A$1:$L$1300,6,2+AO$2)&lt;&gt;"",INDEX('×入力'!$A$1:$L$1300,7+AO$3,1)&lt;&gt;""),1,0),0)</f>
        <v/>
      </c>
      <c r="AP10">
        <f>IF(AP$4=1,IF(OR(INDEX('×入力'!$A$1:$L$1300,7+AP$3,2+AP$2)&lt;&gt;"",INDEX('×入力'!$A$1:$L$1300,6,2+AP$2)&lt;&gt;"",INDEX('×入力'!$A$1:$L$1300,7+AP$3,1)&lt;&gt;""),1,0),0)</f>
        <v/>
      </c>
      <c r="AQ10">
        <f>IF(AQ$4=1,IF(OR(INDEX('×入力'!$A$1:$L$1300,7+AQ$3,2+AQ$2)&lt;&gt;"",INDEX('×入力'!$A$1:$L$1300,6,2+AQ$2)&lt;&gt;"",INDEX('×入力'!$A$1:$L$1300,7+AQ$3,1)&lt;&gt;""),1,0),0)</f>
        <v/>
      </c>
      <c r="AR10">
        <f>IF(AR$4=1,IF(OR(INDEX('×入力'!$A$1:$L$1300,7+AR$3,2+AR$2)&lt;&gt;"",INDEX('×入力'!$A$1:$L$1300,6,2+AR$2)&lt;&gt;"",INDEX('×入力'!$A$1:$L$1300,7+AR$3,1)&lt;&gt;""),1,0),0)</f>
        <v/>
      </c>
      <c r="AS10">
        <f>IF(AS$4=1,IF(OR(INDEX('×入力'!$A$1:$L$1300,7+AS$3,2+AS$2)&lt;&gt;"",INDEX('×入力'!$A$1:$L$1300,6,2+AS$2)&lt;&gt;"",INDEX('×入力'!$A$1:$L$1300,7+AS$3,1)&lt;&gt;""),1,0),0)</f>
        <v/>
      </c>
      <c r="AT10">
        <f>IF(AT$4=1,IF(OR(INDEX('×入力'!$A$1:$L$1300,7+AT$3,2+AT$2)&lt;&gt;"",INDEX('×入力'!$A$1:$L$1300,6,2+AT$2)&lt;&gt;"",INDEX('×入力'!$A$1:$L$1300,7+AT$3,1)&lt;&gt;""),1,0),0)</f>
        <v/>
      </c>
      <c r="AU10">
        <f>IF(AU$4=1,IF(OR(INDEX('×入力'!$A$1:$L$1300,7+AU$3,2+AU$2)&lt;&gt;"",INDEX('×入力'!$A$1:$L$1300,6,2+AU$2)&lt;&gt;"",INDEX('×入力'!$A$1:$L$1300,7+AU$3,1)&lt;&gt;""),1,0),0)</f>
        <v/>
      </c>
      <c r="AV10">
        <f>IF(AV$4=1,IF(OR(INDEX('×入力'!$A$1:$L$1300,7+AV$3,2+AV$2)&lt;&gt;"",INDEX('×入力'!$A$1:$L$1300,6,2+AV$2)&lt;&gt;"",INDEX('×入力'!$A$1:$L$1300,7+AV$3,1)&lt;&gt;""),1,0),0)</f>
        <v/>
      </c>
      <c r="AW10">
        <f>IF(AW$4=1,IF(OR(INDEX('×入力'!$A$1:$L$1300,7+AW$3,2+AW$2)&lt;&gt;"",INDEX('×入力'!$A$1:$L$1300,6,2+AW$2)&lt;&gt;"",INDEX('×入力'!$A$1:$L$1300,7+AW$3,1)&lt;&gt;""),1,0),0)</f>
        <v/>
      </c>
      <c r="AX10">
        <f>IF(AX$4=1,IF(OR(INDEX('×入力'!$A$1:$L$1300,7+AX$3,2+AX$2)&lt;&gt;"",INDEX('×入力'!$A$1:$L$1300,6,2+AX$2)&lt;&gt;"",INDEX('×入力'!$A$1:$L$1300,7+AX$3,1)&lt;&gt;""),1,0),0)</f>
        <v/>
      </c>
      <c r="AY10">
        <f>IF(AY$4=1,IF(OR(INDEX('×入力'!$A$1:$L$1300,7+AY$3,2+AY$2)&lt;&gt;"",INDEX('×入力'!$A$1:$L$1300,6,2+AY$2)&lt;&gt;"",INDEX('×入力'!$A$1:$L$1300,7+AY$3,1)&lt;&gt;""),1,0),0)</f>
        <v/>
      </c>
      <c r="AZ10">
        <f>IF(AZ$4=1,IF(OR(INDEX('×入力'!$A$1:$L$1300,7+AZ$3,2+AZ$2)&lt;&gt;"",INDEX('×入力'!$A$1:$L$1300,6,2+AZ$2)&lt;&gt;"",INDEX('×入力'!$A$1:$L$1300,7+AZ$3,1)&lt;&gt;""),1,0),0)</f>
        <v/>
      </c>
      <c r="BA10">
        <f>IF(BA$4=1,IF(OR(INDEX('×入力'!$A$1:$L$1300,7+BA$3,2+BA$2)&lt;&gt;"",INDEX('×入力'!$A$1:$L$1300,6,2+BA$2)&lt;&gt;"",INDEX('×入力'!$A$1:$L$1300,7+BA$3,1)&lt;&gt;""),1,0),0)</f>
        <v/>
      </c>
      <c r="BB10">
        <f>IF(BB$4=1,IF(OR(INDEX('×入力'!$A$1:$L$1300,7+BB$3,2+BB$2)&lt;&gt;"",INDEX('×入力'!$A$1:$L$1300,6,2+BB$2)&lt;&gt;"",INDEX('×入力'!$A$1:$L$1300,7+BB$3,1)&lt;&gt;""),1,0),0)</f>
        <v/>
      </c>
      <c r="BC10">
        <f>IF(BC$4=1,IF(OR(INDEX('×入力'!$A$1:$L$1300,7+BC$3,2+BC$2)&lt;&gt;"",INDEX('×入力'!$A$1:$L$1300,6,2+BC$2)&lt;&gt;"",INDEX('×入力'!$A$1:$L$1300,7+BC$3,1)&lt;&gt;""),1,0),0)</f>
        <v/>
      </c>
      <c r="BD10">
        <f>IF(BD$4=1,IF(OR(INDEX('×入力'!$A$1:$L$1300,7+BD$3,2+BD$2)&lt;&gt;"",INDEX('×入力'!$A$1:$L$1300,6,2+BD$2)&lt;&gt;"",INDEX('×入力'!$A$1:$L$1300,7+BD$3,1)&lt;&gt;""),1,0),0)</f>
        <v/>
      </c>
      <c r="BE10">
        <f>IF(BE$4=1,IF(OR(INDEX('×入力'!$A$1:$L$1300,7+BE$3,2+BE$2)&lt;&gt;"",INDEX('×入力'!$A$1:$L$1300,6,2+BE$2)&lt;&gt;"",INDEX('×入力'!$A$1:$L$1300,7+BE$3,1)&lt;&gt;""),1,0),0)</f>
        <v/>
      </c>
      <c r="BF10">
        <f>IF(BF$4=1,IF(OR(INDEX('×入力'!$A$1:$L$1300,7+BF$3,2+BF$2)&lt;&gt;"",INDEX('×入力'!$A$1:$L$1300,6,2+BF$2)&lt;&gt;"",INDEX('×入力'!$A$1:$L$1300,7+BF$3,1)&lt;&gt;""),1,0),0)</f>
        <v/>
      </c>
      <c r="BG10">
        <f>IF(BG$4=1,IF(OR(INDEX('×入力'!$A$1:$L$1300,7+BG$3,2+BG$2)&lt;&gt;"",INDEX('×入力'!$A$1:$L$1300,6,2+BG$2)&lt;&gt;"",INDEX('×入力'!$A$1:$L$1300,7+BG$3,1)&lt;&gt;""),1,0),0)</f>
        <v/>
      </c>
      <c r="BH10">
        <f>IF(BH$4=1,IF(OR(INDEX('×入力'!$A$1:$L$1300,7+BH$3,2+BH$2)&lt;&gt;"",INDEX('×入力'!$A$1:$L$1300,6,2+BH$2)&lt;&gt;"",INDEX('×入力'!$A$1:$L$1300,7+BH$3,1)&lt;&gt;""),1,0),0)</f>
        <v/>
      </c>
      <c r="BI10">
        <f>IF(BI$4=1,IF(OR(INDEX('×入力'!$A$1:$L$1300,7+BI$3,2+BI$2)&lt;&gt;"",INDEX('×入力'!$A$1:$L$1300,6,2+BI$2)&lt;&gt;"",INDEX('×入力'!$A$1:$L$1300,7+BI$3,1)&lt;&gt;""),1,0),0)</f>
        <v/>
      </c>
      <c r="BJ10">
        <f>IF(BJ$4=1,IF(OR(INDEX('×入力'!$A$1:$L$1300,7+BJ$3,2+BJ$2)&lt;&gt;"",INDEX('×入力'!$A$1:$L$1300,6,2+BJ$2)&lt;&gt;"",INDEX('×入力'!$A$1:$L$1300,7+BJ$3,1)&lt;&gt;""),1,0),0)</f>
        <v/>
      </c>
      <c r="BK10">
        <f>IF(BK$4=1,IF(OR(INDEX('×入力'!$A$1:$L$1300,7+BK$3,2+BK$2)&lt;&gt;"",INDEX('×入力'!$A$1:$L$1300,6,2+BK$2)&lt;&gt;"",INDEX('×入力'!$A$1:$L$1300,7+BK$3,1)&lt;&gt;""),1,0),0)</f>
        <v/>
      </c>
      <c r="BL10">
        <f>IF(BL$4=1,IF(OR(INDEX('×入力'!$A$1:$L$1300,7+BL$3,2+BL$2)&lt;&gt;"",INDEX('×入力'!$A$1:$L$1300,6,2+BL$2)&lt;&gt;"",INDEX('×入力'!$A$1:$L$1300,7+BL$3,1)&lt;&gt;""),1,0),0)</f>
        <v/>
      </c>
      <c r="BM10">
        <f>IF(BM$4=1,IF(OR(INDEX('×入力'!$A$1:$L$1300,7+BM$3,2+BM$2)&lt;&gt;"",INDEX('×入力'!$A$1:$L$1300,6,2+BM$2)&lt;&gt;"",INDEX('×入力'!$A$1:$L$1300,7+BM$3,1)&lt;&gt;""),1,0),0)</f>
        <v/>
      </c>
      <c r="BN10">
        <f>IF(BN$4=1,IF(OR(INDEX('×入力'!$A$1:$L$1300,7+BN$3,2+BN$2)&lt;&gt;"",INDEX('×入力'!$A$1:$L$1300,6,2+BN$2)&lt;&gt;"",INDEX('×入力'!$A$1:$L$1300,7+BN$3,1)&lt;&gt;""),1,0),0)</f>
        <v/>
      </c>
      <c r="BO10">
        <f>IF(BO$4=1,IF(OR(INDEX('×入力'!$A$1:$L$1300,7+BO$3,2+BO$2)&lt;&gt;"",INDEX('×入力'!$A$1:$L$1300,6,2+BO$2)&lt;&gt;"",INDEX('×入力'!$A$1:$L$1300,7+BO$3,1)&lt;&gt;""),1,0),0)</f>
        <v/>
      </c>
      <c r="BP10">
        <f>IF(BP$4=1,IF(OR(INDEX('×入力'!$A$1:$L$1300,7+BP$3,2+BP$2)&lt;&gt;"",INDEX('×入力'!$A$1:$L$1300,6,2+BP$2)&lt;&gt;"",INDEX('×入力'!$A$1:$L$1300,7+BP$3,1)&lt;&gt;""),1,0),0)</f>
        <v/>
      </c>
      <c r="BQ10">
        <f>IF(BQ$4=1,IF(OR(INDEX('×入力'!$A$1:$L$1300,7+BQ$3,2+BQ$2)&lt;&gt;"",INDEX('×入力'!$A$1:$L$1300,6,2+BQ$2)&lt;&gt;"",INDEX('×入力'!$A$1:$L$1300,7+BQ$3,1)&lt;&gt;""),1,0),0)</f>
        <v/>
      </c>
      <c r="BR10">
        <f>IF(BR$4=1,IF(OR(INDEX('×入力'!$A$1:$L$1300,7+BR$3,2+BR$2)&lt;&gt;"",INDEX('×入力'!$A$1:$L$1300,6,2+BR$2)&lt;&gt;"",INDEX('×入力'!$A$1:$L$1300,7+BR$3,1)&lt;&gt;""),1,0),0)</f>
        <v/>
      </c>
      <c r="BS10">
        <f>IF(BS$4=1,IF(OR(INDEX('×入力'!$A$1:$L$1300,7+BS$3,2+BS$2)&lt;&gt;"",INDEX('×入力'!$A$1:$L$1300,6,2+BS$2)&lt;&gt;"",INDEX('×入力'!$A$1:$L$1300,7+BS$3,1)&lt;&gt;""),1,0),0)</f>
        <v/>
      </c>
      <c r="BT10">
        <f>IF(BT$4=1,IF(OR(INDEX('×入力'!$A$1:$L$1300,7+BT$3,2+BT$2)&lt;&gt;"",INDEX('×入力'!$A$1:$L$1300,6,2+BT$2)&lt;&gt;"",INDEX('×入力'!$A$1:$L$1300,7+BT$3,1)&lt;&gt;""),1,0),0)</f>
        <v/>
      </c>
      <c r="BU10">
        <f>IF(BU$4=1,IF(OR(INDEX('×入力'!$A$1:$L$1300,7+BU$3,2+BU$2)&lt;&gt;"",INDEX('×入力'!$A$1:$L$1300,6,2+BU$2)&lt;&gt;"",INDEX('×入力'!$A$1:$L$1300,7+BU$3,1)&lt;&gt;""),1,0),0)</f>
        <v/>
      </c>
      <c r="BV10">
        <f>IF(BV$4=1,IF(OR(INDEX('×入力'!$A$1:$L$1300,7+BV$3,2+BV$2)&lt;&gt;"",INDEX('×入力'!$A$1:$L$1300,6,2+BV$2)&lt;&gt;"",INDEX('×入力'!$A$1:$L$1300,7+BV$3,1)&lt;&gt;""),1,0),0)</f>
        <v/>
      </c>
      <c r="BW10">
        <f>IF(BW$4=1,IF(OR(INDEX('×入力'!$A$1:$L$1300,7+BW$3,2+BW$2)&lt;&gt;"",INDEX('×入力'!$A$1:$L$1300,6,2+BW$2)&lt;&gt;"",INDEX('×入力'!$A$1:$L$1300,7+BW$3,1)&lt;&gt;""),1,0),0)</f>
        <v/>
      </c>
      <c r="BX10">
        <f>IF(BX$4=1,IF(OR(INDEX('×入力'!$A$1:$L$1300,7+BX$3,2+BX$2)&lt;&gt;"",INDEX('×入力'!$A$1:$L$1300,6,2+BX$2)&lt;&gt;"",INDEX('×入力'!$A$1:$L$1300,7+BX$3,1)&lt;&gt;""),1,0),0)</f>
        <v/>
      </c>
      <c r="BY10">
        <f>IF(BY$4=1,IF(OR(INDEX('×入力'!$A$1:$L$1300,7+BY$3,2+BY$2)&lt;&gt;"",INDEX('×入力'!$A$1:$L$1300,6,2+BY$2)&lt;&gt;"",INDEX('×入力'!$A$1:$L$1300,7+BY$3,1)&lt;&gt;""),1,0),0)</f>
        <v/>
      </c>
      <c r="BZ10">
        <f>IF(BZ$4=1,IF(OR(INDEX('×入力'!$A$1:$L$1300,7+BZ$3,2+BZ$2)&lt;&gt;"",INDEX('×入力'!$A$1:$L$1300,6,2+BZ$2)&lt;&gt;"",INDEX('×入力'!$A$1:$L$1300,7+BZ$3,1)&lt;&gt;""),1,0),0)</f>
        <v/>
      </c>
      <c r="CA10">
        <f>IF(CA$4=1,IF(OR(INDEX('×入力'!$A$1:$L$1300,7+CA$3,2+CA$2)&lt;&gt;"",INDEX('×入力'!$A$1:$L$1300,6,2+CA$2)&lt;&gt;"",INDEX('×入力'!$A$1:$L$1300,7+CA$3,1)&lt;&gt;""),1,0),0)</f>
        <v/>
      </c>
      <c r="CB10">
        <f>IF(CB$4=1,IF(OR(INDEX('×入力'!$A$1:$L$1300,7+CB$3,2+CB$2)&lt;&gt;"",INDEX('×入力'!$A$1:$L$1300,6,2+CB$2)&lt;&gt;"",INDEX('×入力'!$A$1:$L$1300,7+CB$3,1)&lt;&gt;""),1,0),0)</f>
        <v/>
      </c>
      <c r="CC10">
        <f>IF(CC$4=1,IF(OR(INDEX('×入力'!$A$1:$L$1300,7+CC$3,2+CC$2)&lt;&gt;"",INDEX('×入力'!$A$1:$L$1300,6,2+CC$2)&lt;&gt;"",INDEX('×入力'!$A$1:$L$1300,7+CC$3,1)&lt;&gt;""),1,0),0)</f>
        <v/>
      </c>
      <c r="CD10">
        <f>IF(CD$4=1,IF(OR(INDEX('×入力'!$A$1:$L$1300,7+CD$3,2+CD$2)&lt;&gt;"",INDEX('×入力'!$A$1:$L$1300,6,2+CD$2)&lt;&gt;"",INDEX('×入力'!$A$1:$L$1300,7+CD$3,1)&lt;&gt;""),1,0),0)</f>
        <v/>
      </c>
      <c r="CE10">
        <f>IF(CE$4=1,IF(OR(INDEX('×入力'!$A$1:$L$1300,7+CE$3,2+CE$2)&lt;&gt;"",INDEX('×入力'!$A$1:$L$1300,6,2+CE$2)&lt;&gt;"",INDEX('×入力'!$A$1:$L$1300,7+CE$3,1)&lt;&gt;""),1,0),0)</f>
        <v/>
      </c>
      <c r="CF10">
        <f>IF(CF$4=1,IF(OR(INDEX('×入力'!$A$1:$L$1300,7+CF$3,2+CF$2)&lt;&gt;"",INDEX('×入力'!$A$1:$L$1300,6,2+CF$2)&lt;&gt;"",INDEX('×入力'!$A$1:$L$1300,7+CF$3,1)&lt;&gt;""),1,0),0)</f>
        <v/>
      </c>
      <c r="CG10">
        <f>IF(CG$4=1,IF(OR(INDEX('×入力'!$A$1:$L$1300,7+CG$3,2+CG$2)&lt;&gt;"",INDEX('×入力'!$A$1:$L$1300,6,2+CG$2)&lt;&gt;"",INDEX('×入力'!$A$1:$L$1300,7+CG$3,1)&lt;&gt;""),1,0),0)</f>
        <v/>
      </c>
      <c r="CH10">
        <f>IF(CH$4=1,IF(OR(INDEX('×入力'!$A$1:$L$1300,7+CH$3,2+CH$2)&lt;&gt;"",INDEX('×入力'!$A$1:$L$1300,6,2+CH$2)&lt;&gt;"",INDEX('×入力'!$A$1:$L$1300,7+CH$3,1)&lt;&gt;""),1,0),0)</f>
        <v/>
      </c>
      <c r="CI10">
        <f>IF(CI$4=1,IF(OR(INDEX('×入力'!$A$1:$L$1300,7+CI$3,2+CI$2)&lt;&gt;"",INDEX('×入力'!$A$1:$L$1300,6,2+CI$2)&lt;&gt;"",INDEX('×入力'!$A$1:$L$1300,7+CI$3,1)&lt;&gt;""),1,0),0)</f>
        <v/>
      </c>
      <c r="CJ10">
        <f>IF(CJ$4=1,IF(OR(INDEX('×入力'!$A$1:$L$1300,7+CJ$3,2+CJ$2)&lt;&gt;"",INDEX('×入力'!$A$1:$L$1300,6,2+CJ$2)&lt;&gt;"",INDEX('×入力'!$A$1:$L$1300,7+CJ$3,1)&lt;&gt;""),1,0),0)</f>
        <v/>
      </c>
      <c r="CK10">
        <f>IF(CK$4=1,IF(OR(INDEX('×入力'!$A$1:$L$1300,7+CK$3,2+CK$2)&lt;&gt;"",INDEX('×入力'!$A$1:$L$1300,6,2+CK$2)&lt;&gt;"",INDEX('×入力'!$A$1:$L$1300,7+CK$3,1)&lt;&gt;""),1,0),0)</f>
        <v/>
      </c>
      <c r="CL10">
        <f>IF(CL$4=1,IF(OR(INDEX('×入力'!$A$1:$L$1300,7+CL$3,2+CL$2)&lt;&gt;"",INDEX('×入力'!$A$1:$L$1300,6,2+CL$2)&lt;&gt;"",INDEX('×入力'!$A$1:$L$1300,7+CL$3,1)&lt;&gt;""),1,0),0)</f>
        <v/>
      </c>
      <c r="CM10">
        <f>IF(CM$4=1,IF(OR(INDEX('×入力'!$A$1:$L$1300,7+CM$3,2+CM$2)&lt;&gt;"",INDEX('×入力'!$A$1:$L$1300,6,2+CM$2)&lt;&gt;"",INDEX('×入力'!$A$1:$L$1300,7+CM$3,1)&lt;&gt;""),1,0),0)</f>
        <v/>
      </c>
      <c r="CN10">
        <f>IF(CN$4=1,IF(OR(INDEX('×入力'!$A$1:$L$1300,7+CN$3,2+CN$2)&lt;&gt;"",INDEX('×入力'!$A$1:$L$1300,6,2+CN$2)&lt;&gt;"",INDEX('×入力'!$A$1:$L$1300,7+CN$3,1)&lt;&gt;""),1,0),0)</f>
        <v/>
      </c>
      <c r="CO10">
        <f>IF(CO$4=1,IF(OR(INDEX('×入力'!$A$1:$L$1300,7+CO$3,2+CO$2)&lt;&gt;"",INDEX('×入力'!$A$1:$L$1300,6,2+CO$2)&lt;&gt;"",INDEX('×入力'!$A$1:$L$1300,7+CO$3,1)&lt;&gt;""),1,0),0)</f>
        <v/>
      </c>
      <c r="CP10">
        <f>IF(CP$4=1,IF(OR(INDEX('×入力'!$A$1:$L$1300,7+CP$3,2+CP$2)&lt;&gt;"",INDEX('×入力'!$A$1:$L$1300,6,2+CP$2)&lt;&gt;"",INDEX('×入力'!$A$1:$L$1300,7+CP$3,1)&lt;&gt;""),1,0),0)</f>
        <v/>
      </c>
      <c r="CQ10">
        <f>IF(CQ$4=1,IF(OR(INDEX('×入力'!$A$1:$L$1300,7+CQ$3,2+CQ$2)&lt;&gt;"",INDEX('×入力'!$A$1:$L$1300,6,2+CQ$2)&lt;&gt;"",INDEX('×入力'!$A$1:$L$1300,7+CQ$3,1)&lt;&gt;""),1,0),0)</f>
        <v/>
      </c>
      <c r="CR10">
        <f>IF(CR$4=1,IF(OR(INDEX('×入力'!$A$1:$L$1300,7+CR$3,2+CR$2)&lt;&gt;"",INDEX('×入力'!$A$1:$L$1300,6,2+CR$2)&lt;&gt;"",INDEX('×入力'!$A$1:$L$1300,7+CR$3,1)&lt;&gt;""),1,0),0)</f>
        <v/>
      </c>
      <c r="CS10">
        <f>IF(CS$4=1,IF(OR(INDEX('×入力'!$A$1:$L$1300,7+CS$3,2+CS$2)&lt;&gt;"",INDEX('×入力'!$A$1:$L$1300,6,2+CS$2)&lt;&gt;"",INDEX('×入力'!$A$1:$L$1300,7+CS$3,1)&lt;&gt;""),1,0),0)</f>
        <v/>
      </c>
      <c r="CT10">
        <f>IF(CT$4=1,IF(OR(INDEX('×入力'!$A$1:$L$1300,7+CT$3,2+CT$2)&lt;&gt;"",INDEX('×入力'!$A$1:$L$1300,6,2+CT$2)&lt;&gt;"",INDEX('×入力'!$A$1:$L$1300,7+CT$3,1)&lt;&gt;""),1,0),0)</f>
        <v/>
      </c>
      <c r="CU10">
        <f>IF(CU$4=1,IF(OR(INDEX('×入力'!$A$1:$L$1300,7+CU$3,2+CU$2)&lt;&gt;"",INDEX('×入力'!$A$1:$L$1300,6,2+CU$2)&lt;&gt;"",INDEX('×入力'!$A$1:$L$1300,7+CU$3,1)&lt;&gt;""),1,0),0)</f>
        <v/>
      </c>
      <c r="CV10">
        <f>IF(CV$4=1,IF(OR(INDEX('×入力'!$A$1:$L$1300,7+CV$3,2+CV$2)&lt;&gt;"",INDEX('×入力'!$A$1:$L$1300,6,2+CV$2)&lt;&gt;"",INDEX('×入力'!$A$1:$L$1300,7+CV$3,1)&lt;&gt;""),1,0),0)</f>
        <v/>
      </c>
      <c r="CW10">
        <f>IF(CW$4=1,IF(OR(INDEX('×入力'!$A$1:$L$1300,7+CW$3,2+CW$2)&lt;&gt;"",INDEX('×入力'!$A$1:$L$1300,6,2+CW$2)&lt;&gt;"",INDEX('×入力'!$A$1:$L$1300,7+CW$3,1)&lt;&gt;""),1,0),0)</f>
        <v/>
      </c>
      <c r="CX10">
        <f>IF(CX$4=1,IF(OR(INDEX('×入力'!$A$1:$L$1300,7+CX$3,2+CX$2)&lt;&gt;"",INDEX('×入力'!$A$1:$L$1300,6,2+CX$2)&lt;&gt;"",INDEX('×入力'!$A$1:$L$1300,7+CX$3,1)&lt;&gt;""),1,0),0)</f>
        <v/>
      </c>
      <c r="CY10">
        <f>IF(CY$4=1,IF(OR(INDEX('×入力'!$A$1:$L$1300,7+CY$3,2+CY$2)&lt;&gt;"",INDEX('×入力'!$A$1:$L$1300,6,2+CY$2)&lt;&gt;"",INDEX('×入力'!$A$1:$L$1300,7+CY$3,1)&lt;&gt;""),1,0),0)</f>
        <v/>
      </c>
      <c r="CZ10">
        <f>IF(CZ$4=1,IF(OR(INDEX('×入力'!$A$1:$L$1300,7+CZ$3,2+CZ$2)&lt;&gt;"",INDEX('×入力'!$A$1:$L$1300,6,2+CZ$2)&lt;&gt;"",INDEX('×入力'!$A$1:$L$1300,7+CZ$3,1)&lt;&gt;""),1,0),0)</f>
        <v/>
      </c>
      <c r="DA10">
        <f>IF(DA$4=1,IF(OR(INDEX('×入力'!$A$1:$L$1300,7+DA$3,2+DA$2)&lt;&gt;"",INDEX('×入力'!$A$1:$L$1300,6,2+DA$2)&lt;&gt;"",INDEX('×入力'!$A$1:$L$1300,7+DA$3,1)&lt;&gt;""),1,0),0)</f>
        <v/>
      </c>
      <c r="DB10">
        <f>IF(DB$4=1,IF(OR(INDEX('×入力'!$A$1:$L$1300,7+DB$3,2+DB$2)&lt;&gt;"",INDEX('×入力'!$A$1:$L$1300,6,2+DB$2)&lt;&gt;"",INDEX('×入力'!$A$1:$L$1300,7+DB$3,1)&lt;&gt;""),1,0),0)</f>
        <v/>
      </c>
      <c r="DC10">
        <f>IF(DC$4=1,IF(OR(INDEX('×入力'!$A$1:$L$1300,7+DC$3,2+DC$2)&lt;&gt;"",INDEX('×入力'!$A$1:$L$1300,6,2+DC$2)&lt;&gt;"",INDEX('×入力'!$A$1:$L$1300,7+DC$3,1)&lt;&gt;""),1,0),0)</f>
        <v/>
      </c>
      <c r="DD10">
        <f>IF(DD$4=1,IF(OR(INDEX('×入力'!$A$1:$L$1300,7+DD$3,2+DD$2)&lt;&gt;"",INDEX('×入力'!$A$1:$L$1300,6,2+DD$2)&lt;&gt;"",INDEX('×入力'!$A$1:$L$1300,7+DD$3,1)&lt;&gt;""),1,0),0)</f>
        <v/>
      </c>
      <c r="DE10">
        <f>IF(DE$4=1,IF(OR(INDEX('×入力'!$A$1:$L$1300,7+DE$3,2+DE$2)&lt;&gt;"",INDEX('×入力'!$A$1:$L$1300,6,2+DE$2)&lt;&gt;"",INDEX('×入力'!$A$1:$L$1300,7+DE$3,1)&lt;&gt;""),1,0),0)</f>
        <v/>
      </c>
      <c r="DF10">
        <f>IF(DF$4=1,IF(OR(INDEX('×入力'!$A$1:$L$1300,7+DF$3,2+DF$2)&lt;&gt;"",INDEX('×入力'!$A$1:$L$1300,6,2+DF$2)&lt;&gt;"",INDEX('×入力'!$A$1:$L$1300,7+DF$3,1)&lt;&gt;""),1,0),0)</f>
        <v/>
      </c>
      <c r="DG10">
        <f>IF(DG$4=1,IF(OR(INDEX('×入力'!$A$1:$L$1300,7+DG$3,2+DG$2)&lt;&gt;"",INDEX('×入力'!$A$1:$L$1300,6,2+DG$2)&lt;&gt;"",INDEX('×入力'!$A$1:$L$1300,7+DG$3,1)&lt;&gt;""),1,0),0)</f>
        <v/>
      </c>
      <c r="DH10">
        <f>IF(DH$4=1,IF(OR(INDEX('×入力'!$A$1:$L$1300,7+DH$3,2+DH$2)&lt;&gt;"",INDEX('×入力'!$A$1:$L$1300,6,2+DH$2)&lt;&gt;"",INDEX('×入力'!$A$1:$L$1300,7+DH$3,1)&lt;&gt;""),1,0),0)</f>
        <v/>
      </c>
      <c r="DI10">
        <f>IF(DI$4=1,IF(OR(INDEX('×入力'!$A$1:$L$1300,7+DI$3,2+DI$2)&lt;&gt;"",INDEX('×入力'!$A$1:$L$1300,6,2+DI$2)&lt;&gt;"",INDEX('×入力'!$A$1:$L$1300,7+DI$3,1)&lt;&gt;""),1,0),0)</f>
        <v/>
      </c>
      <c r="DJ10">
        <f>IF(DJ$4=1,IF(OR(INDEX('×入力'!$A$1:$L$1300,7+DJ$3,2+DJ$2)&lt;&gt;"",INDEX('×入力'!$A$1:$L$1300,6,2+DJ$2)&lt;&gt;"",INDEX('×入力'!$A$1:$L$1300,7+DJ$3,1)&lt;&gt;""),1,0),0)</f>
        <v/>
      </c>
      <c r="DK10">
        <f>IF(DK$4=1,IF(OR(INDEX('×入力'!$A$1:$L$1300,7+DK$3,2+DK$2)&lt;&gt;"",INDEX('×入力'!$A$1:$L$1300,6,2+DK$2)&lt;&gt;"",INDEX('×入力'!$A$1:$L$1300,7+DK$3,1)&lt;&gt;""),1,0),0)</f>
        <v/>
      </c>
      <c r="DL10">
        <f>IF(DL$4=1,IF(OR(INDEX('×入力'!$A$1:$L$1300,7+DL$3,2+DL$2)&lt;&gt;"",INDEX('×入力'!$A$1:$L$1300,6,2+DL$2)&lt;&gt;"",INDEX('×入力'!$A$1:$L$1300,7+DL$3,1)&lt;&gt;""),1,0),0)</f>
        <v/>
      </c>
      <c r="DM10">
        <f>IF(DM$4=1,IF(OR(INDEX('×入力'!$A$1:$L$1300,7+DM$3,2+DM$2)&lt;&gt;"",INDEX('×入力'!$A$1:$L$1300,6,2+DM$2)&lt;&gt;"",INDEX('×入力'!$A$1:$L$1300,7+DM$3,1)&lt;&gt;""),1,0),0)</f>
        <v/>
      </c>
      <c r="DN10">
        <f>IF(DN$4=1,IF(OR(INDEX('×入力'!$A$1:$L$1300,7+DN$3,2+DN$2)&lt;&gt;"",INDEX('×入力'!$A$1:$L$1300,6,2+DN$2)&lt;&gt;"",INDEX('×入力'!$A$1:$L$1300,7+DN$3,1)&lt;&gt;""),1,0),0)</f>
        <v/>
      </c>
      <c r="DO10">
        <f>IF(DO$4=1,IF(OR(INDEX('×入力'!$A$1:$L$1300,7+DO$3,2+DO$2)&lt;&gt;"",INDEX('×入力'!$A$1:$L$1300,6,2+DO$2)&lt;&gt;"",INDEX('×入力'!$A$1:$L$1300,7+DO$3,1)&lt;&gt;""),1,0),0)</f>
        <v/>
      </c>
      <c r="DP10">
        <f>IF(DP$4=1,IF(OR(INDEX('×入力'!$A$1:$L$1300,7+DP$3,2+DP$2)&lt;&gt;"",INDEX('×入力'!$A$1:$L$1300,6,2+DP$2)&lt;&gt;"",INDEX('×入力'!$A$1:$L$1300,7+DP$3,1)&lt;&gt;""),1,0),0)</f>
        <v/>
      </c>
      <c r="DQ10">
        <f>IF(DQ$4=1,IF(OR(INDEX('×入力'!$A$1:$L$1300,7+DQ$3,2+DQ$2)&lt;&gt;"",INDEX('×入力'!$A$1:$L$1300,6,2+DQ$2)&lt;&gt;"",INDEX('×入力'!$A$1:$L$1300,7+DQ$3,1)&lt;&gt;""),1,0),0)</f>
        <v/>
      </c>
      <c r="DR10">
        <f>IF(DR$4=1,IF(OR(INDEX('×入力'!$A$1:$L$1300,7+DR$3,2+DR$2)&lt;&gt;"",INDEX('×入力'!$A$1:$L$1300,6,2+DR$2)&lt;&gt;"",INDEX('×入力'!$A$1:$L$1300,7+DR$3,1)&lt;&gt;""),1,0),0)</f>
        <v/>
      </c>
      <c r="DS10">
        <f>IF(DS$4=1,IF(OR(INDEX('×入力'!$A$1:$L$1300,7+DS$3,2+DS$2)&lt;&gt;"",INDEX('×入力'!$A$1:$L$1300,6,2+DS$2)&lt;&gt;"",INDEX('×入力'!$A$1:$L$1300,7+DS$3,1)&lt;&gt;""),1,0),0)</f>
        <v/>
      </c>
      <c r="DT10">
        <f>IF(DT$4=1,IF(OR(INDEX('×入力'!$A$1:$L$1300,7+DT$3,2+DT$2)&lt;&gt;"",INDEX('×入力'!$A$1:$L$1300,6,2+DT$2)&lt;&gt;"",INDEX('×入力'!$A$1:$L$1300,7+DT$3,1)&lt;&gt;""),1,0),0)</f>
        <v/>
      </c>
      <c r="DU10">
        <f>IF(DU$4=1,IF(OR(INDEX('×入力'!$A$1:$L$1300,7+DU$3,2+DU$2)&lt;&gt;"",INDEX('×入力'!$A$1:$L$1300,6,2+DU$2)&lt;&gt;"",INDEX('×入力'!$A$1:$L$1300,7+DU$3,1)&lt;&gt;""),1,0),0)</f>
        <v/>
      </c>
      <c r="DV10">
        <f>IF(DV$4=1,IF(OR(INDEX('×入力'!$A$1:$L$1300,7+DV$3,2+DV$2)&lt;&gt;"",INDEX('×入力'!$A$1:$L$1300,6,2+DV$2)&lt;&gt;"",INDEX('×入力'!$A$1:$L$1300,7+DV$3,1)&lt;&gt;""),1,0),0)</f>
        <v/>
      </c>
      <c r="DW10">
        <f>IF(DW$4=1,IF(OR(INDEX('×入力'!$A$1:$L$1300,7+DW$3,2+DW$2)&lt;&gt;"",INDEX('×入力'!$A$1:$L$1300,6,2+DW$2)&lt;&gt;"",INDEX('×入力'!$A$1:$L$1300,7+DW$3,1)&lt;&gt;""),1,0),0)</f>
        <v/>
      </c>
      <c r="DX10">
        <f>IF(DX$4=1,IF(OR(INDEX('×入力'!$A$1:$L$1300,7+DX$3,2+DX$2)&lt;&gt;"",INDEX('×入力'!$A$1:$L$1300,6,2+DX$2)&lt;&gt;"",INDEX('×入力'!$A$1:$L$1300,7+DX$3,1)&lt;&gt;""),1,0),0)</f>
        <v/>
      </c>
      <c r="DY10">
        <f>IF(DY$4=1,IF(OR(INDEX('×入力'!$A$1:$L$1300,7+DY$3,2+DY$2)&lt;&gt;"",INDEX('×入力'!$A$1:$L$1300,6,2+DY$2)&lt;&gt;"",INDEX('×入力'!$A$1:$L$1300,7+DY$3,1)&lt;&gt;""),1,0),0)</f>
        <v/>
      </c>
      <c r="DZ10">
        <f>IF(DZ$4=1,IF(OR(INDEX('×入力'!$A$1:$L$1300,7+DZ$3,2+DZ$2)&lt;&gt;"",INDEX('×入力'!$A$1:$L$1300,6,2+DZ$2)&lt;&gt;"",INDEX('×入力'!$A$1:$L$1300,7+DZ$3,1)&lt;&gt;""),1,0),0)</f>
        <v/>
      </c>
      <c r="EA10">
        <f>IF(EA$4=1,IF(OR(INDEX('×入力'!$A$1:$L$1300,7+EA$3,2+EA$2)&lt;&gt;"",INDEX('×入力'!$A$1:$L$1300,6,2+EA$2)&lt;&gt;"",INDEX('×入力'!$A$1:$L$1300,7+EA$3,1)&lt;&gt;""),1,0),0)</f>
        <v/>
      </c>
      <c r="EB10">
        <f>IF(EB$4=1,IF(OR(INDEX('×入力'!$A$1:$L$1300,7+EB$3,2+EB$2)&lt;&gt;"",INDEX('×入力'!$A$1:$L$1300,6,2+EB$2)&lt;&gt;"",INDEX('×入力'!$A$1:$L$1300,7+EB$3,1)&lt;&gt;""),1,0),0)</f>
        <v/>
      </c>
      <c r="EC10">
        <f>IF(EC$4=1,IF(OR(INDEX('×入力'!$A$1:$L$1300,7+EC$3,2+EC$2)&lt;&gt;"",INDEX('×入力'!$A$1:$L$1300,6,2+EC$2)&lt;&gt;"",INDEX('×入力'!$A$1:$L$1300,7+EC$3,1)&lt;&gt;""),1,0),0)</f>
        <v/>
      </c>
      <c r="ED10">
        <f>IF(ED$4=1,IF(OR(INDEX('×入力'!$A$1:$L$1300,7+ED$3,2+ED$2)&lt;&gt;"",INDEX('×入力'!$A$1:$L$1300,6,2+ED$2)&lt;&gt;"",INDEX('×入力'!$A$1:$L$1300,7+ED$3,1)&lt;&gt;""),1,0),0)</f>
        <v/>
      </c>
      <c r="EE10">
        <f>IF(EE$4=1,IF(OR(INDEX('×入力'!$A$1:$L$1300,7+EE$3,2+EE$2)&lt;&gt;"",INDEX('×入力'!$A$1:$L$1300,6,2+EE$2)&lt;&gt;"",INDEX('×入力'!$A$1:$L$1300,7+EE$3,1)&lt;&gt;""),1,0),0)</f>
        <v/>
      </c>
      <c r="EF10">
        <f>IF(EF$4=1,IF(OR(INDEX('×入力'!$A$1:$L$1300,7+EF$3,2+EF$2)&lt;&gt;"",INDEX('×入力'!$A$1:$L$1300,6,2+EF$2)&lt;&gt;"",INDEX('×入力'!$A$1:$L$1300,7+EF$3,1)&lt;&gt;""),1,0),0)</f>
        <v/>
      </c>
      <c r="EG10">
        <f>IF(EG$4=1,IF(OR(INDEX('×入力'!$A$1:$L$1300,7+EG$3,2+EG$2)&lt;&gt;"",INDEX('×入力'!$A$1:$L$1300,6,2+EG$2)&lt;&gt;"",INDEX('×入力'!$A$1:$L$1300,7+EG$3,1)&lt;&gt;""),1,0),0)</f>
        <v/>
      </c>
      <c r="EH10">
        <f>IF(EH$4=1,IF(OR(INDEX('×入力'!$A$1:$L$1300,7+EH$3,2+EH$2)&lt;&gt;"",INDEX('×入力'!$A$1:$L$1300,6,2+EH$2)&lt;&gt;"",INDEX('×入力'!$A$1:$L$1300,7+EH$3,1)&lt;&gt;""),1,0),0)</f>
        <v/>
      </c>
      <c r="EI10">
        <f>IF(EI$4=1,IF(OR(INDEX('×入力'!$A$1:$L$1300,7+EI$3,2+EI$2)&lt;&gt;"",INDEX('×入力'!$A$1:$L$1300,6,2+EI$2)&lt;&gt;"",INDEX('×入力'!$A$1:$L$1300,7+EI$3,1)&lt;&gt;""),1,0),0)</f>
        <v/>
      </c>
      <c r="EJ10">
        <f>IF(EJ$4=1,IF(OR(INDEX('×入力'!$A$1:$L$1300,7+EJ$3,2+EJ$2)&lt;&gt;"",INDEX('×入力'!$A$1:$L$1300,6,2+EJ$2)&lt;&gt;"",INDEX('×入力'!$A$1:$L$1300,7+EJ$3,1)&lt;&gt;""),1,0),0)</f>
        <v/>
      </c>
      <c r="EK10">
        <f>IF(EK$4=1,IF(OR(INDEX('×入力'!$A$1:$L$1300,7+EK$3,2+EK$2)&lt;&gt;"",INDEX('×入力'!$A$1:$L$1300,6,2+EK$2)&lt;&gt;"",INDEX('×入力'!$A$1:$L$1300,7+EK$3,1)&lt;&gt;""),1,0),0)</f>
        <v/>
      </c>
      <c r="EL10">
        <f>IF(EL$4=1,IF(OR(INDEX('×入力'!$A$1:$L$1300,7+EL$3,2+EL$2)&lt;&gt;"",INDEX('×入力'!$A$1:$L$1300,6,2+EL$2)&lt;&gt;"",INDEX('×入力'!$A$1:$L$1300,7+EL$3,1)&lt;&gt;""),1,0),0)</f>
        <v/>
      </c>
      <c r="EM10">
        <f>IF(EM$4=1,IF(OR(INDEX('×入力'!$A$1:$L$1300,7+EM$3,2+EM$2)&lt;&gt;"",INDEX('×入力'!$A$1:$L$1300,6,2+EM$2)&lt;&gt;"",INDEX('×入力'!$A$1:$L$1300,7+EM$3,1)&lt;&gt;""),1,0),0)</f>
        <v/>
      </c>
      <c r="EN10">
        <f>IF(EN$4=1,IF(OR(INDEX('×入力'!$A$1:$L$1300,7+EN$3,2+EN$2)&lt;&gt;"",INDEX('×入力'!$A$1:$L$1300,6,2+EN$2)&lt;&gt;"",INDEX('×入力'!$A$1:$L$1300,7+EN$3,1)&lt;&gt;""),1,0),0)</f>
        <v/>
      </c>
      <c r="EO10">
        <f>IF(EO$4=1,IF(OR(INDEX('×入力'!$A$1:$L$1300,7+EO$3,2+EO$2)&lt;&gt;"",INDEX('×入力'!$A$1:$L$1300,6,2+EO$2)&lt;&gt;"",INDEX('×入力'!$A$1:$L$1300,7+EO$3,1)&lt;&gt;""),1,0),0)</f>
        <v/>
      </c>
      <c r="EP10">
        <f>IF(EP$4=1,IF(OR(INDEX('×入力'!$A$1:$L$1300,7+EP$3,2+EP$2)&lt;&gt;"",INDEX('×入力'!$A$1:$L$1300,6,2+EP$2)&lt;&gt;"",INDEX('×入力'!$A$1:$L$1300,7+EP$3,1)&lt;&gt;""),1,0),0)</f>
        <v/>
      </c>
      <c r="EQ10">
        <f>IF(EQ$4=1,IF(OR(INDEX('×入力'!$A$1:$L$1300,7+EQ$3,2+EQ$2)&lt;&gt;"",INDEX('×入力'!$A$1:$L$1300,6,2+EQ$2)&lt;&gt;"",INDEX('×入力'!$A$1:$L$1300,7+EQ$3,1)&lt;&gt;""),1,0),0)</f>
        <v/>
      </c>
      <c r="HA10">
        <f>MAX(0,IT10)</f>
        <v/>
      </c>
      <c r="HB10">
        <f>IF(HA10=0,0,INDEX($D$2:$EQ$2,HA10))</f>
        <v/>
      </c>
      <c r="HC10">
        <f>IF(HA10=0,0,INDEX($D$3:$EQ$3,HA10))</f>
        <v/>
      </c>
      <c r="HD10">
        <f>MAX(0,IY10)</f>
        <v/>
      </c>
      <c r="HE10">
        <f>IF(HD10=0,0,INDEX($D$2:$EQ$2,HD10))</f>
        <v/>
      </c>
      <c r="HF10">
        <f>IF(HD10=0,0,INDEX($D$3:$EQ$3,HD10))</f>
        <v/>
      </c>
      <c r="HG10">
        <f>MAX(0,IZ10)</f>
        <v/>
      </c>
      <c r="HH10">
        <f>IF(HG10=0,0,INDEX($D$2:$EQ$2,HG10))</f>
        <v/>
      </c>
      <c r="HI10">
        <f>IF(HG10=0,0,INDEX($D$3:$EQ$3,HG10))</f>
        <v/>
      </c>
      <c r="HJ10">
        <f>IF(AND(HA10&gt;0,HC10&gt;1,OR(HC10-1&lt;&gt;$A$3,$A$4=0)),HA10-1,-1)</f>
        <v/>
      </c>
      <c r="HK10">
        <f>IF(AND(HA10&gt;0,HC10&lt;24,OR(HC10&lt;&gt;$A$3,$A$4=0)),HA10+1,-1)</f>
        <v/>
      </c>
      <c r="HL10">
        <f>IF(AND(HD10&gt;0,HF10&gt;1,OR(HF10-1&lt;&gt;$A$3,$A$4=0)),HD10-1,-1)</f>
        <v/>
      </c>
      <c r="HM10">
        <f>IF(AND(HD10&gt;0,HF10&lt;24,OR(HF10&lt;&gt;$A$3,$A$4=0)),HD10+1,-1)</f>
        <v/>
      </c>
      <c r="HN10">
        <f>IF(AND(HG10&gt;0,HI10&gt;1,OR(HI10-1&lt;&gt;$A$3,$A$4=0)),HG10-1,-1)</f>
        <v/>
      </c>
      <c r="HO10">
        <f>IF(AND(HG10&gt;0,HI10&lt;24,OR(HI10&lt;&gt;$A$3,$A$4=0)),HG10+1,-1)</f>
        <v/>
      </c>
      <c r="IK10">
        <f>IFERROR(INDEX('calcB'!$C$3:$C$47,MATCH(A10,'calcB'!$B$3:$B$47,0)),0)</f>
        <v/>
      </c>
      <c r="IL10">
        <f>IF(AND(C10=1,IK10=0,calcA!$A$6=1),1,0)</f>
        <v/>
      </c>
      <c r="IM10">
        <f>SUMPRODUCT(D60:EQ60*(1-$D$7:$EQ$7))</f>
        <v/>
      </c>
      <c r="IN10">
        <f>SUM(D10:EQ10)</f>
        <v/>
      </c>
      <c r="IO10">
        <f>IF(B10="",0,IF(COUNTIF('調整・決定'!$C$6:$H$29,B10)=1,SUMPRODUCT(('調整・決定'!$C$6:$H$29=B10)*((COLUMN('調整・決定'!$C$6:$H$29)-3)*24+ROW('調整・決定'!$C$6:$H$29)-5)),0))</f>
        <v/>
      </c>
      <c r="IP10">
        <f>IFERROR(MATCH('名簿'!C5,{"早い時刻","遅い時刻","早い日","遅い日"},0),0)</f>
        <v/>
      </c>
      <c r="IQ10">
        <f>IF('名簿'!D5="必ず空けたい",2,IF('名簿'!D5="出来れば空けたい",1,0))</f>
        <v/>
      </c>
      <c r="IR10">
        <f>IFERROR(INDEX('calcC'!$C$3:$C$47,MATCH(A10,'calcC'!$B$3:$B$47,0)),0)</f>
        <v/>
      </c>
      <c r="IS10">
        <f>IF(AND(C10=1,IR10=0,calcA!$A$6=1),1,0)</f>
        <v/>
      </c>
      <c r="IT10">
        <f>IF(OR('名簿'!G5="",'名簿'!H5=""),0,IFERROR((MATCH('名簿'!G5,'設定'!$E$11:$E$16,0)-1)*24+MATCH('名簿'!H5,'設定'!$I$11:$I$34,0),-1))</f>
        <v/>
      </c>
      <c r="IV10">
        <f>IF(OR(JF10=0,IO10=0),1,IF(OR(IF(IT10&gt;0,AND(INDEX($D$2:$EQ$2,IO10)=INDEX($D$2:$EQ$2,IT10),OR(AND(IO10=IT10+1,OR(INDEX($D$3:$EQ$3,IT10)&lt;&gt;$A$3,$A$4=0)),AND(IO10=IT10-1,OR(INDEX($D$3:$EQ$3,IO10)&lt;&gt;$A$3,$A$4=0)))),FALSE),IF(IY10&gt;0,AND(INDEX($D$2:$EQ$2,IO10)=INDEX($D$2:$EQ$2,IY10),OR(AND(IO10=IY10+1,OR(INDEX($D$3:$EQ$3,IY10)&lt;&gt;$A$3,$A$4=0)),AND(IO10=IY10-1,OR(INDEX($D$3:$EQ$3,IO10)&lt;&gt;$A$3,$A$4=0)))),FALSE),IF(IZ10&gt;0,AND(INDEX($D$2:$EQ$2,IO10)=INDEX($D$2:$EQ$2,IZ10),OR(AND(IO10=IZ10+1,OR(INDEX($D$3:$EQ$3,IZ10)&lt;&gt;$A$3,$A$4=0)),AND(IO10=IZ10-1,OR(INDEX($D$3:$EQ$3,IO10)&lt;&gt;$A$3,$A$4=0)))),FALSE)),1,0))</f>
        <v/>
      </c>
      <c r="IW10">
        <f>IF(AND('名簿'!E5&lt;&gt;"",JF10=0),1,0)</f>
        <v/>
      </c>
      <c r="IX10">
        <f>IF('名簿'!D5="空けない",1,0)</f>
        <v/>
      </c>
      <c r="IY10">
        <f>IF(OR('名簿'!J5="",'名簿'!K5=""),0,IFERROR((MATCH('名簿'!J5,'設定'!$E$11:$E$16,0)-1)*24+MATCH('名簿'!K5,'設定'!$I$11:$I$34,0),-1))</f>
        <v/>
      </c>
      <c r="IZ10">
        <f>IF(OR('名簿'!M5="",'名簿'!N5=""),0,IFERROR((MATCH('名簿'!M5,'設定'!$E$11:$E$16,0)-1)*24+MATCH('名簿'!N5,'設定'!$I$11:$I$34,0),-1))</f>
        <v/>
      </c>
      <c r="JC10">
        <f>IF(RIGHT('名簿'!I5,2)="の前",1,IF(RIGHT('名簿'!I5,2)="の後",2,0))</f>
        <v/>
      </c>
      <c r="JD10">
        <f>IF(RIGHT('名簿'!L5,2)="の前",1,IF(RIGHT('名簿'!L5,2)="の後",2,0))</f>
        <v/>
      </c>
      <c r="JE10">
        <f>IF(RIGHT('名簿'!O5,2)="の前",1,IF(RIGHT('名簿'!O5,2)="の後",2,0))</f>
        <v/>
      </c>
      <c r="JF10">
        <f>IF(OR(IT10&gt;0,IY10&gt;0,IZ10&gt;0),1,0)</f>
        <v/>
      </c>
      <c r="JG10">
        <f>IF(OR(IT10&lt;0,IY10&lt;0,IZ10&lt;0),1,0)</f>
        <v/>
      </c>
    </row>
    <row r="11">
      <c r="A11" t="n">
        <v>2</v>
      </c>
      <c r="B11">
        <f>'名簿'!P6</f>
        <v/>
      </c>
      <c r="C11">
        <f>IF(AND(B11&lt;&gt;"",OR('名簿'!Q6="入力済み",'名簿'!Q6="×なし"),IO11=0,COUNTIF('調整・決定'!$C$6:$H$29,B11)=0),1,0)</f>
        <v/>
      </c>
      <c r="D11">
        <f>IF(D$4=1,IF(OR(INDEX('×入力'!$A$1:$L$1300,35+D$3,2+D$2)&lt;&gt;"",INDEX('×入力'!$A$1:$L$1300,34,2+D$2)&lt;&gt;"",INDEX('×入力'!$A$1:$L$1300,35+D$3,1)&lt;&gt;""),1,0),0)</f>
        <v/>
      </c>
      <c r="E11">
        <f>IF(E$4=1,IF(OR(INDEX('×入力'!$A$1:$L$1300,35+E$3,2+E$2)&lt;&gt;"",INDEX('×入力'!$A$1:$L$1300,34,2+E$2)&lt;&gt;"",INDEX('×入力'!$A$1:$L$1300,35+E$3,1)&lt;&gt;""),1,0),0)</f>
        <v/>
      </c>
      <c r="F11">
        <f>IF(F$4=1,IF(OR(INDEX('×入力'!$A$1:$L$1300,35+F$3,2+F$2)&lt;&gt;"",INDEX('×入力'!$A$1:$L$1300,34,2+F$2)&lt;&gt;"",INDEX('×入力'!$A$1:$L$1300,35+F$3,1)&lt;&gt;""),1,0),0)</f>
        <v/>
      </c>
      <c r="G11">
        <f>IF(G$4=1,IF(OR(INDEX('×入力'!$A$1:$L$1300,35+G$3,2+G$2)&lt;&gt;"",INDEX('×入力'!$A$1:$L$1300,34,2+G$2)&lt;&gt;"",INDEX('×入力'!$A$1:$L$1300,35+G$3,1)&lt;&gt;""),1,0),0)</f>
        <v/>
      </c>
      <c r="H11">
        <f>IF(H$4=1,IF(OR(INDEX('×入力'!$A$1:$L$1300,35+H$3,2+H$2)&lt;&gt;"",INDEX('×入力'!$A$1:$L$1300,34,2+H$2)&lt;&gt;"",INDEX('×入力'!$A$1:$L$1300,35+H$3,1)&lt;&gt;""),1,0),0)</f>
        <v/>
      </c>
      <c r="I11">
        <f>IF(I$4=1,IF(OR(INDEX('×入力'!$A$1:$L$1300,35+I$3,2+I$2)&lt;&gt;"",INDEX('×入力'!$A$1:$L$1300,34,2+I$2)&lt;&gt;"",INDEX('×入力'!$A$1:$L$1300,35+I$3,1)&lt;&gt;""),1,0),0)</f>
        <v/>
      </c>
      <c r="J11">
        <f>IF(J$4=1,IF(OR(INDEX('×入力'!$A$1:$L$1300,35+J$3,2+J$2)&lt;&gt;"",INDEX('×入力'!$A$1:$L$1300,34,2+J$2)&lt;&gt;"",INDEX('×入力'!$A$1:$L$1300,35+J$3,1)&lt;&gt;""),1,0),0)</f>
        <v/>
      </c>
      <c r="K11">
        <f>IF(K$4=1,IF(OR(INDEX('×入力'!$A$1:$L$1300,35+K$3,2+K$2)&lt;&gt;"",INDEX('×入力'!$A$1:$L$1300,34,2+K$2)&lt;&gt;"",INDEX('×入力'!$A$1:$L$1300,35+K$3,1)&lt;&gt;""),1,0),0)</f>
        <v/>
      </c>
      <c r="L11">
        <f>IF(L$4=1,IF(OR(INDEX('×入力'!$A$1:$L$1300,35+L$3,2+L$2)&lt;&gt;"",INDEX('×入力'!$A$1:$L$1300,34,2+L$2)&lt;&gt;"",INDEX('×入力'!$A$1:$L$1300,35+L$3,1)&lt;&gt;""),1,0),0)</f>
        <v/>
      </c>
      <c r="M11">
        <f>IF(M$4=1,IF(OR(INDEX('×入力'!$A$1:$L$1300,35+M$3,2+M$2)&lt;&gt;"",INDEX('×入力'!$A$1:$L$1300,34,2+M$2)&lt;&gt;"",INDEX('×入力'!$A$1:$L$1300,35+M$3,1)&lt;&gt;""),1,0),0)</f>
        <v/>
      </c>
      <c r="N11">
        <f>IF(N$4=1,IF(OR(INDEX('×入力'!$A$1:$L$1300,35+N$3,2+N$2)&lt;&gt;"",INDEX('×入力'!$A$1:$L$1300,34,2+N$2)&lt;&gt;"",INDEX('×入力'!$A$1:$L$1300,35+N$3,1)&lt;&gt;""),1,0),0)</f>
        <v/>
      </c>
      <c r="O11">
        <f>IF(O$4=1,IF(OR(INDEX('×入力'!$A$1:$L$1300,35+O$3,2+O$2)&lt;&gt;"",INDEX('×入力'!$A$1:$L$1300,34,2+O$2)&lt;&gt;"",INDEX('×入力'!$A$1:$L$1300,35+O$3,1)&lt;&gt;""),1,0),0)</f>
        <v/>
      </c>
      <c r="P11">
        <f>IF(P$4=1,IF(OR(INDEX('×入力'!$A$1:$L$1300,35+P$3,2+P$2)&lt;&gt;"",INDEX('×入力'!$A$1:$L$1300,34,2+P$2)&lt;&gt;"",INDEX('×入力'!$A$1:$L$1300,35+P$3,1)&lt;&gt;""),1,0),0)</f>
        <v/>
      </c>
      <c r="Q11">
        <f>IF(Q$4=1,IF(OR(INDEX('×入力'!$A$1:$L$1300,35+Q$3,2+Q$2)&lt;&gt;"",INDEX('×入力'!$A$1:$L$1300,34,2+Q$2)&lt;&gt;"",INDEX('×入力'!$A$1:$L$1300,35+Q$3,1)&lt;&gt;""),1,0),0)</f>
        <v/>
      </c>
      <c r="R11">
        <f>IF(R$4=1,IF(OR(INDEX('×入力'!$A$1:$L$1300,35+R$3,2+R$2)&lt;&gt;"",INDEX('×入力'!$A$1:$L$1300,34,2+R$2)&lt;&gt;"",INDEX('×入力'!$A$1:$L$1300,35+R$3,1)&lt;&gt;""),1,0),0)</f>
        <v/>
      </c>
      <c r="S11">
        <f>IF(S$4=1,IF(OR(INDEX('×入力'!$A$1:$L$1300,35+S$3,2+S$2)&lt;&gt;"",INDEX('×入力'!$A$1:$L$1300,34,2+S$2)&lt;&gt;"",INDEX('×入力'!$A$1:$L$1300,35+S$3,1)&lt;&gt;""),1,0),0)</f>
        <v/>
      </c>
      <c r="T11">
        <f>IF(T$4=1,IF(OR(INDEX('×入力'!$A$1:$L$1300,35+T$3,2+T$2)&lt;&gt;"",INDEX('×入力'!$A$1:$L$1300,34,2+T$2)&lt;&gt;"",INDEX('×入力'!$A$1:$L$1300,35+T$3,1)&lt;&gt;""),1,0),0)</f>
        <v/>
      </c>
      <c r="U11">
        <f>IF(U$4=1,IF(OR(INDEX('×入力'!$A$1:$L$1300,35+U$3,2+U$2)&lt;&gt;"",INDEX('×入力'!$A$1:$L$1300,34,2+U$2)&lt;&gt;"",INDEX('×入力'!$A$1:$L$1300,35+U$3,1)&lt;&gt;""),1,0),0)</f>
        <v/>
      </c>
      <c r="V11">
        <f>IF(V$4=1,IF(OR(INDEX('×入力'!$A$1:$L$1300,35+V$3,2+V$2)&lt;&gt;"",INDEX('×入力'!$A$1:$L$1300,34,2+V$2)&lt;&gt;"",INDEX('×入力'!$A$1:$L$1300,35+V$3,1)&lt;&gt;""),1,0),0)</f>
        <v/>
      </c>
      <c r="W11">
        <f>IF(W$4=1,IF(OR(INDEX('×入力'!$A$1:$L$1300,35+W$3,2+W$2)&lt;&gt;"",INDEX('×入力'!$A$1:$L$1300,34,2+W$2)&lt;&gt;"",INDEX('×入力'!$A$1:$L$1300,35+W$3,1)&lt;&gt;""),1,0),0)</f>
        <v/>
      </c>
      <c r="X11">
        <f>IF(X$4=1,IF(OR(INDEX('×入力'!$A$1:$L$1300,35+X$3,2+X$2)&lt;&gt;"",INDEX('×入力'!$A$1:$L$1300,34,2+X$2)&lt;&gt;"",INDEX('×入力'!$A$1:$L$1300,35+X$3,1)&lt;&gt;""),1,0),0)</f>
        <v/>
      </c>
      <c r="Y11">
        <f>IF(Y$4=1,IF(OR(INDEX('×入力'!$A$1:$L$1300,35+Y$3,2+Y$2)&lt;&gt;"",INDEX('×入力'!$A$1:$L$1300,34,2+Y$2)&lt;&gt;"",INDEX('×入力'!$A$1:$L$1300,35+Y$3,1)&lt;&gt;""),1,0),0)</f>
        <v/>
      </c>
      <c r="Z11">
        <f>IF(Z$4=1,IF(OR(INDEX('×入力'!$A$1:$L$1300,35+Z$3,2+Z$2)&lt;&gt;"",INDEX('×入力'!$A$1:$L$1300,34,2+Z$2)&lt;&gt;"",INDEX('×入力'!$A$1:$L$1300,35+Z$3,1)&lt;&gt;""),1,0),0)</f>
        <v/>
      </c>
      <c r="AA11">
        <f>IF(AA$4=1,IF(OR(INDEX('×入力'!$A$1:$L$1300,35+AA$3,2+AA$2)&lt;&gt;"",INDEX('×入力'!$A$1:$L$1300,34,2+AA$2)&lt;&gt;"",INDEX('×入力'!$A$1:$L$1300,35+AA$3,1)&lt;&gt;""),1,0),0)</f>
        <v/>
      </c>
      <c r="AB11">
        <f>IF(AB$4=1,IF(OR(INDEX('×入力'!$A$1:$L$1300,35+AB$3,2+AB$2)&lt;&gt;"",INDEX('×入力'!$A$1:$L$1300,34,2+AB$2)&lt;&gt;"",INDEX('×入力'!$A$1:$L$1300,35+AB$3,1)&lt;&gt;""),1,0),0)</f>
        <v/>
      </c>
      <c r="AC11">
        <f>IF(AC$4=1,IF(OR(INDEX('×入力'!$A$1:$L$1300,35+AC$3,2+AC$2)&lt;&gt;"",INDEX('×入力'!$A$1:$L$1300,34,2+AC$2)&lt;&gt;"",INDEX('×入力'!$A$1:$L$1300,35+AC$3,1)&lt;&gt;""),1,0),0)</f>
        <v/>
      </c>
      <c r="AD11">
        <f>IF(AD$4=1,IF(OR(INDEX('×入力'!$A$1:$L$1300,35+AD$3,2+AD$2)&lt;&gt;"",INDEX('×入力'!$A$1:$L$1300,34,2+AD$2)&lt;&gt;"",INDEX('×入力'!$A$1:$L$1300,35+AD$3,1)&lt;&gt;""),1,0),0)</f>
        <v/>
      </c>
      <c r="AE11">
        <f>IF(AE$4=1,IF(OR(INDEX('×入力'!$A$1:$L$1300,35+AE$3,2+AE$2)&lt;&gt;"",INDEX('×入力'!$A$1:$L$1300,34,2+AE$2)&lt;&gt;"",INDEX('×入力'!$A$1:$L$1300,35+AE$3,1)&lt;&gt;""),1,0),0)</f>
        <v/>
      </c>
      <c r="AF11">
        <f>IF(AF$4=1,IF(OR(INDEX('×入力'!$A$1:$L$1300,35+AF$3,2+AF$2)&lt;&gt;"",INDEX('×入力'!$A$1:$L$1300,34,2+AF$2)&lt;&gt;"",INDEX('×入力'!$A$1:$L$1300,35+AF$3,1)&lt;&gt;""),1,0),0)</f>
        <v/>
      </c>
      <c r="AG11">
        <f>IF(AG$4=1,IF(OR(INDEX('×入力'!$A$1:$L$1300,35+AG$3,2+AG$2)&lt;&gt;"",INDEX('×入力'!$A$1:$L$1300,34,2+AG$2)&lt;&gt;"",INDEX('×入力'!$A$1:$L$1300,35+AG$3,1)&lt;&gt;""),1,0),0)</f>
        <v/>
      </c>
      <c r="AH11">
        <f>IF(AH$4=1,IF(OR(INDEX('×入力'!$A$1:$L$1300,35+AH$3,2+AH$2)&lt;&gt;"",INDEX('×入力'!$A$1:$L$1300,34,2+AH$2)&lt;&gt;"",INDEX('×入力'!$A$1:$L$1300,35+AH$3,1)&lt;&gt;""),1,0),0)</f>
        <v/>
      </c>
      <c r="AI11">
        <f>IF(AI$4=1,IF(OR(INDEX('×入力'!$A$1:$L$1300,35+AI$3,2+AI$2)&lt;&gt;"",INDEX('×入力'!$A$1:$L$1300,34,2+AI$2)&lt;&gt;"",INDEX('×入力'!$A$1:$L$1300,35+AI$3,1)&lt;&gt;""),1,0),0)</f>
        <v/>
      </c>
      <c r="AJ11">
        <f>IF(AJ$4=1,IF(OR(INDEX('×入力'!$A$1:$L$1300,35+AJ$3,2+AJ$2)&lt;&gt;"",INDEX('×入力'!$A$1:$L$1300,34,2+AJ$2)&lt;&gt;"",INDEX('×入力'!$A$1:$L$1300,35+AJ$3,1)&lt;&gt;""),1,0),0)</f>
        <v/>
      </c>
      <c r="AK11">
        <f>IF(AK$4=1,IF(OR(INDEX('×入力'!$A$1:$L$1300,35+AK$3,2+AK$2)&lt;&gt;"",INDEX('×入力'!$A$1:$L$1300,34,2+AK$2)&lt;&gt;"",INDEX('×入力'!$A$1:$L$1300,35+AK$3,1)&lt;&gt;""),1,0),0)</f>
        <v/>
      </c>
      <c r="AL11">
        <f>IF(AL$4=1,IF(OR(INDEX('×入力'!$A$1:$L$1300,35+AL$3,2+AL$2)&lt;&gt;"",INDEX('×入力'!$A$1:$L$1300,34,2+AL$2)&lt;&gt;"",INDEX('×入力'!$A$1:$L$1300,35+AL$3,1)&lt;&gt;""),1,0),0)</f>
        <v/>
      </c>
      <c r="AM11">
        <f>IF(AM$4=1,IF(OR(INDEX('×入力'!$A$1:$L$1300,35+AM$3,2+AM$2)&lt;&gt;"",INDEX('×入力'!$A$1:$L$1300,34,2+AM$2)&lt;&gt;"",INDEX('×入力'!$A$1:$L$1300,35+AM$3,1)&lt;&gt;""),1,0),0)</f>
        <v/>
      </c>
      <c r="AN11">
        <f>IF(AN$4=1,IF(OR(INDEX('×入力'!$A$1:$L$1300,35+AN$3,2+AN$2)&lt;&gt;"",INDEX('×入力'!$A$1:$L$1300,34,2+AN$2)&lt;&gt;"",INDEX('×入力'!$A$1:$L$1300,35+AN$3,1)&lt;&gt;""),1,0),0)</f>
        <v/>
      </c>
      <c r="AO11">
        <f>IF(AO$4=1,IF(OR(INDEX('×入力'!$A$1:$L$1300,35+AO$3,2+AO$2)&lt;&gt;"",INDEX('×入力'!$A$1:$L$1300,34,2+AO$2)&lt;&gt;"",INDEX('×入力'!$A$1:$L$1300,35+AO$3,1)&lt;&gt;""),1,0),0)</f>
        <v/>
      </c>
      <c r="AP11">
        <f>IF(AP$4=1,IF(OR(INDEX('×入力'!$A$1:$L$1300,35+AP$3,2+AP$2)&lt;&gt;"",INDEX('×入力'!$A$1:$L$1300,34,2+AP$2)&lt;&gt;"",INDEX('×入力'!$A$1:$L$1300,35+AP$3,1)&lt;&gt;""),1,0),0)</f>
        <v/>
      </c>
      <c r="AQ11">
        <f>IF(AQ$4=1,IF(OR(INDEX('×入力'!$A$1:$L$1300,35+AQ$3,2+AQ$2)&lt;&gt;"",INDEX('×入力'!$A$1:$L$1300,34,2+AQ$2)&lt;&gt;"",INDEX('×入力'!$A$1:$L$1300,35+AQ$3,1)&lt;&gt;""),1,0),0)</f>
        <v/>
      </c>
      <c r="AR11">
        <f>IF(AR$4=1,IF(OR(INDEX('×入力'!$A$1:$L$1300,35+AR$3,2+AR$2)&lt;&gt;"",INDEX('×入力'!$A$1:$L$1300,34,2+AR$2)&lt;&gt;"",INDEX('×入力'!$A$1:$L$1300,35+AR$3,1)&lt;&gt;""),1,0),0)</f>
        <v/>
      </c>
      <c r="AS11">
        <f>IF(AS$4=1,IF(OR(INDEX('×入力'!$A$1:$L$1300,35+AS$3,2+AS$2)&lt;&gt;"",INDEX('×入力'!$A$1:$L$1300,34,2+AS$2)&lt;&gt;"",INDEX('×入力'!$A$1:$L$1300,35+AS$3,1)&lt;&gt;""),1,0),0)</f>
        <v/>
      </c>
      <c r="AT11">
        <f>IF(AT$4=1,IF(OR(INDEX('×入力'!$A$1:$L$1300,35+AT$3,2+AT$2)&lt;&gt;"",INDEX('×入力'!$A$1:$L$1300,34,2+AT$2)&lt;&gt;"",INDEX('×入力'!$A$1:$L$1300,35+AT$3,1)&lt;&gt;""),1,0),0)</f>
        <v/>
      </c>
      <c r="AU11">
        <f>IF(AU$4=1,IF(OR(INDEX('×入力'!$A$1:$L$1300,35+AU$3,2+AU$2)&lt;&gt;"",INDEX('×入力'!$A$1:$L$1300,34,2+AU$2)&lt;&gt;"",INDEX('×入力'!$A$1:$L$1300,35+AU$3,1)&lt;&gt;""),1,0),0)</f>
        <v/>
      </c>
      <c r="AV11">
        <f>IF(AV$4=1,IF(OR(INDEX('×入力'!$A$1:$L$1300,35+AV$3,2+AV$2)&lt;&gt;"",INDEX('×入力'!$A$1:$L$1300,34,2+AV$2)&lt;&gt;"",INDEX('×入力'!$A$1:$L$1300,35+AV$3,1)&lt;&gt;""),1,0),0)</f>
        <v/>
      </c>
      <c r="AW11">
        <f>IF(AW$4=1,IF(OR(INDEX('×入力'!$A$1:$L$1300,35+AW$3,2+AW$2)&lt;&gt;"",INDEX('×入力'!$A$1:$L$1300,34,2+AW$2)&lt;&gt;"",INDEX('×入力'!$A$1:$L$1300,35+AW$3,1)&lt;&gt;""),1,0),0)</f>
        <v/>
      </c>
      <c r="AX11">
        <f>IF(AX$4=1,IF(OR(INDEX('×入力'!$A$1:$L$1300,35+AX$3,2+AX$2)&lt;&gt;"",INDEX('×入力'!$A$1:$L$1300,34,2+AX$2)&lt;&gt;"",INDEX('×入力'!$A$1:$L$1300,35+AX$3,1)&lt;&gt;""),1,0),0)</f>
        <v/>
      </c>
      <c r="AY11">
        <f>IF(AY$4=1,IF(OR(INDEX('×入力'!$A$1:$L$1300,35+AY$3,2+AY$2)&lt;&gt;"",INDEX('×入力'!$A$1:$L$1300,34,2+AY$2)&lt;&gt;"",INDEX('×入力'!$A$1:$L$1300,35+AY$3,1)&lt;&gt;""),1,0),0)</f>
        <v/>
      </c>
      <c r="AZ11">
        <f>IF(AZ$4=1,IF(OR(INDEX('×入力'!$A$1:$L$1300,35+AZ$3,2+AZ$2)&lt;&gt;"",INDEX('×入力'!$A$1:$L$1300,34,2+AZ$2)&lt;&gt;"",INDEX('×入力'!$A$1:$L$1300,35+AZ$3,1)&lt;&gt;""),1,0),0)</f>
        <v/>
      </c>
      <c r="BA11">
        <f>IF(BA$4=1,IF(OR(INDEX('×入力'!$A$1:$L$1300,35+BA$3,2+BA$2)&lt;&gt;"",INDEX('×入力'!$A$1:$L$1300,34,2+BA$2)&lt;&gt;"",INDEX('×入力'!$A$1:$L$1300,35+BA$3,1)&lt;&gt;""),1,0),0)</f>
        <v/>
      </c>
      <c r="BB11">
        <f>IF(BB$4=1,IF(OR(INDEX('×入力'!$A$1:$L$1300,35+BB$3,2+BB$2)&lt;&gt;"",INDEX('×入力'!$A$1:$L$1300,34,2+BB$2)&lt;&gt;"",INDEX('×入力'!$A$1:$L$1300,35+BB$3,1)&lt;&gt;""),1,0),0)</f>
        <v/>
      </c>
      <c r="BC11">
        <f>IF(BC$4=1,IF(OR(INDEX('×入力'!$A$1:$L$1300,35+BC$3,2+BC$2)&lt;&gt;"",INDEX('×入力'!$A$1:$L$1300,34,2+BC$2)&lt;&gt;"",INDEX('×入力'!$A$1:$L$1300,35+BC$3,1)&lt;&gt;""),1,0),0)</f>
        <v/>
      </c>
      <c r="BD11">
        <f>IF(BD$4=1,IF(OR(INDEX('×入力'!$A$1:$L$1300,35+BD$3,2+BD$2)&lt;&gt;"",INDEX('×入力'!$A$1:$L$1300,34,2+BD$2)&lt;&gt;"",INDEX('×入力'!$A$1:$L$1300,35+BD$3,1)&lt;&gt;""),1,0),0)</f>
        <v/>
      </c>
      <c r="BE11">
        <f>IF(BE$4=1,IF(OR(INDEX('×入力'!$A$1:$L$1300,35+BE$3,2+BE$2)&lt;&gt;"",INDEX('×入力'!$A$1:$L$1300,34,2+BE$2)&lt;&gt;"",INDEX('×入力'!$A$1:$L$1300,35+BE$3,1)&lt;&gt;""),1,0),0)</f>
        <v/>
      </c>
      <c r="BF11">
        <f>IF(BF$4=1,IF(OR(INDEX('×入力'!$A$1:$L$1300,35+BF$3,2+BF$2)&lt;&gt;"",INDEX('×入力'!$A$1:$L$1300,34,2+BF$2)&lt;&gt;"",INDEX('×入力'!$A$1:$L$1300,35+BF$3,1)&lt;&gt;""),1,0),0)</f>
        <v/>
      </c>
      <c r="BG11">
        <f>IF(BG$4=1,IF(OR(INDEX('×入力'!$A$1:$L$1300,35+BG$3,2+BG$2)&lt;&gt;"",INDEX('×入力'!$A$1:$L$1300,34,2+BG$2)&lt;&gt;"",INDEX('×入力'!$A$1:$L$1300,35+BG$3,1)&lt;&gt;""),1,0),0)</f>
        <v/>
      </c>
      <c r="BH11">
        <f>IF(BH$4=1,IF(OR(INDEX('×入力'!$A$1:$L$1300,35+BH$3,2+BH$2)&lt;&gt;"",INDEX('×入力'!$A$1:$L$1300,34,2+BH$2)&lt;&gt;"",INDEX('×入力'!$A$1:$L$1300,35+BH$3,1)&lt;&gt;""),1,0),0)</f>
        <v/>
      </c>
      <c r="BI11">
        <f>IF(BI$4=1,IF(OR(INDEX('×入力'!$A$1:$L$1300,35+BI$3,2+BI$2)&lt;&gt;"",INDEX('×入力'!$A$1:$L$1300,34,2+BI$2)&lt;&gt;"",INDEX('×入力'!$A$1:$L$1300,35+BI$3,1)&lt;&gt;""),1,0),0)</f>
        <v/>
      </c>
      <c r="BJ11">
        <f>IF(BJ$4=1,IF(OR(INDEX('×入力'!$A$1:$L$1300,35+BJ$3,2+BJ$2)&lt;&gt;"",INDEX('×入力'!$A$1:$L$1300,34,2+BJ$2)&lt;&gt;"",INDEX('×入力'!$A$1:$L$1300,35+BJ$3,1)&lt;&gt;""),1,0),0)</f>
        <v/>
      </c>
      <c r="BK11">
        <f>IF(BK$4=1,IF(OR(INDEX('×入力'!$A$1:$L$1300,35+BK$3,2+BK$2)&lt;&gt;"",INDEX('×入力'!$A$1:$L$1300,34,2+BK$2)&lt;&gt;"",INDEX('×入力'!$A$1:$L$1300,35+BK$3,1)&lt;&gt;""),1,0),0)</f>
        <v/>
      </c>
      <c r="BL11">
        <f>IF(BL$4=1,IF(OR(INDEX('×入力'!$A$1:$L$1300,35+BL$3,2+BL$2)&lt;&gt;"",INDEX('×入力'!$A$1:$L$1300,34,2+BL$2)&lt;&gt;"",INDEX('×入力'!$A$1:$L$1300,35+BL$3,1)&lt;&gt;""),1,0),0)</f>
        <v/>
      </c>
      <c r="BM11">
        <f>IF(BM$4=1,IF(OR(INDEX('×入力'!$A$1:$L$1300,35+BM$3,2+BM$2)&lt;&gt;"",INDEX('×入力'!$A$1:$L$1300,34,2+BM$2)&lt;&gt;"",INDEX('×入力'!$A$1:$L$1300,35+BM$3,1)&lt;&gt;""),1,0),0)</f>
        <v/>
      </c>
      <c r="BN11">
        <f>IF(BN$4=1,IF(OR(INDEX('×入力'!$A$1:$L$1300,35+BN$3,2+BN$2)&lt;&gt;"",INDEX('×入力'!$A$1:$L$1300,34,2+BN$2)&lt;&gt;"",INDEX('×入力'!$A$1:$L$1300,35+BN$3,1)&lt;&gt;""),1,0),0)</f>
        <v/>
      </c>
      <c r="BO11">
        <f>IF(BO$4=1,IF(OR(INDEX('×入力'!$A$1:$L$1300,35+BO$3,2+BO$2)&lt;&gt;"",INDEX('×入力'!$A$1:$L$1300,34,2+BO$2)&lt;&gt;"",INDEX('×入力'!$A$1:$L$1300,35+BO$3,1)&lt;&gt;""),1,0),0)</f>
        <v/>
      </c>
      <c r="BP11">
        <f>IF(BP$4=1,IF(OR(INDEX('×入力'!$A$1:$L$1300,35+BP$3,2+BP$2)&lt;&gt;"",INDEX('×入力'!$A$1:$L$1300,34,2+BP$2)&lt;&gt;"",INDEX('×入力'!$A$1:$L$1300,35+BP$3,1)&lt;&gt;""),1,0),0)</f>
        <v/>
      </c>
      <c r="BQ11">
        <f>IF(BQ$4=1,IF(OR(INDEX('×入力'!$A$1:$L$1300,35+BQ$3,2+BQ$2)&lt;&gt;"",INDEX('×入力'!$A$1:$L$1300,34,2+BQ$2)&lt;&gt;"",INDEX('×入力'!$A$1:$L$1300,35+BQ$3,1)&lt;&gt;""),1,0),0)</f>
        <v/>
      </c>
      <c r="BR11">
        <f>IF(BR$4=1,IF(OR(INDEX('×入力'!$A$1:$L$1300,35+BR$3,2+BR$2)&lt;&gt;"",INDEX('×入力'!$A$1:$L$1300,34,2+BR$2)&lt;&gt;"",INDEX('×入力'!$A$1:$L$1300,35+BR$3,1)&lt;&gt;""),1,0),0)</f>
        <v/>
      </c>
      <c r="BS11">
        <f>IF(BS$4=1,IF(OR(INDEX('×入力'!$A$1:$L$1300,35+BS$3,2+BS$2)&lt;&gt;"",INDEX('×入力'!$A$1:$L$1300,34,2+BS$2)&lt;&gt;"",INDEX('×入力'!$A$1:$L$1300,35+BS$3,1)&lt;&gt;""),1,0),0)</f>
        <v/>
      </c>
      <c r="BT11">
        <f>IF(BT$4=1,IF(OR(INDEX('×入力'!$A$1:$L$1300,35+BT$3,2+BT$2)&lt;&gt;"",INDEX('×入力'!$A$1:$L$1300,34,2+BT$2)&lt;&gt;"",INDEX('×入力'!$A$1:$L$1300,35+BT$3,1)&lt;&gt;""),1,0),0)</f>
        <v/>
      </c>
      <c r="BU11">
        <f>IF(BU$4=1,IF(OR(INDEX('×入力'!$A$1:$L$1300,35+BU$3,2+BU$2)&lt;&gt;"",INDEX('×入力'!$A$1:$L$1300,34,2+BU$2)&lt;&gt;"",INDEX('×入力'!$A$1:$L$1300,35+BU$3,1)&lt;&gt;""),1,0),0)</f>
        <v/>
      </c>
      <c r="BV11">
        <f>IF(BV$4=1,IF(OR(INDEX('×入力'!$A$1:$L$1300,35+BV$3,2+BV$2)&lt;&gt;"",INDEX('×入力'!$A$1:$L$1300,34,2+BV$2)&lt;&gt;"",INDEX('×入力'!$A$1:$L$1300,35+BV$3,1)&lt;&gt;""),1,0),0)</f>
        <v/>
      </c>
      <c r="BW11">
        <f>IF(BW$4=1,IF(OR(INDEX('×入力'!$A$1:$L$1300,35+BW$3,2+BW$2)&lt;&gt;"",INDEX('×入力'!$A$1:$L$1300,34,2+BW$2)&lt;&gt;"",INDEX('×入力'!$A$1:$L$1300,35+BW$3,1)&lt;&gt;""),1,0),0)</f>
        <v/>
      </c>
      <c r="BX11">
        <f>IF(BX$4=1,IF(OR(INDEX('×入力'!$A$1:$L$1300,35+BX$3,2+BX$2)&lt;&gt;"",INDEX('×入力'!$A$1:$L$1300,34,2+BX$2)&lt;&gt;"",INDEX('×入力'!$A$1:$L$1300,35+BX$3,1)&lt;&gt;""),1,0),0)</f>
        <v/>
      </c>
      <c r="BY11">
        <f>IF(BY$4=1,IF(OR(INDEX('×入力'!$A$1:$L$1300,35+BY$3,2+BY$2)&lt;&gt;"",INDEX('×入力'!$A$1:$L$1300,34,2+BY$2)&lt;&gt;"",INDEX('×入力'!$A$1:$L$1300,35+BY$3,1)&lt;&gt;""),1,0),0)</f>
        <v/>
      </c>
      <c r="BZ11">
        <f>IF(BZ$4=1,IF(OR(INDEX('×入力'!$A$1:$L$1300,35+BZ$3,2+BZ$2)&lt;&gt;"",INDEX('×入力'!$A$1:$L$1300,34,2+BZ$2)&lt;&gt;"",INDEX('×入力'!$A$1:$L$1300,35+BZ$3,1)&lt;&gt;""),1,0),0)</f>
        <v/>
      </c>
      <c r="CA11">
        <f>IF(CA$4=1,IF(OR(INDEX('×入力'!$A$1:$L$1300,35+CA$3,2+CA$2)&lt;&gt;"",INDEX('×入力'!$A$1:$L$1300,34,2+CA$2)&lt;&gt;"",INDEX('×入力'!$A$1:$L$1300,35+CA$3,1)&lt;&gt;""),1,0),0)</f>
        <v/>
      </c>
      <c r="CB11">
        <f>IF(CB$4=1,IF(OR(INDEX('×入力'!$A$1:$L$1300,35+CB$3,2+CB$2)&lt;&gt;"",INDEX('×入力'!$A$1:$L$1300,34,2+CB$2)&lt;&gt;"",INDEX('×入力'!$A$1:$L$1300,35+CB$3,1)&lt;&gt;""),1,0),0)</f>
        <v/>
      </c>
      <c r="CC11">
        <f>IF(CC$4=1,IF(OR(INDEX('×入力'!$A$1:$L$1300,35+CC$3,2+CC$2)&lt;&gt;"",INDEX('×入力'!$A$1:$L$1300,34,2+CC$2)&lt;&gt;"",INDEX('×入力'!$A$1:$L$1300,35+CC$3,1)&lt;&gt;""),1,0),0)</f>
        <v/>
      </c>
      <c r="CD11">
        <f>IF(CD$4=1,IF(OR(INDEX('×入力'!$A$1:$L$1300,35+CD$3,2+CD$2)&lt;&gt;"",INDEX('×入力'!$A$1:$L$1300,34,2+CD$2)&lt;&gt;"",INDEX('×入力'!$A$1:$L$1300,35+CD$3,1)&lt;&gt;""),1,0),0)</f>
        <v/>
      </c>
      <c r="CE11">
        <f>IF(CE$4=1,IF(OR(INDEX('×入力'!$A$1:$L$1300,35+CE$3,2+CE$2)&lt;&gt;"",INDEX('×入力'!$A$1:$L$1300,34,2+CE$2)&lt;&gt;"",INDEX('×入力'!$A$1:$L$1300,35+CE$3,1)&lt;&gt;""),1,0),0)</f>
        <v/>
      </c>
      <c r="CF11">
        <f>IF(CF$4=1,IF(OR(INDEX('×入力'!$A$1:$L$1300,35+CF$3,2+CF$2)&lt;&gt;"",INDEX('×入力'!$A$1:$L$1300,34,2+CF$2)&lt;&gt;"",INDEX('×入力'!$A$1:$L$1300,35+CF$3,1)&lt;&gt;""),1,0),0)</f>
        <v/>
      </c>
      <c r="CG11">
        <f>IF(CG$4=1,IF(OR(INDEX('×入力'!$A$1:$L$1300,35+CG$3,2+CG$2)&lt;&gt;"",INDEX('×入力'!$A$1:$L$1300,34,2+CG$2)&lt;&gt;"",INDEX('×入力'!$A$1:$L$1300,35+CG$3,1)&lt;&gt;""),1,0),0)</f>
        <v/>
      </c>
      <c r="CH11">
        <f>IF(CH$4=1,IF(OR(INDEX('×入力'!$A$1:$L$1300,35+CH$3,2+CH$2)&lt;&gt;"",INDEX('×入力'!$A$1:$L$1300,34,2+CH$2)&lt;&gt;"",INDEX('×入力'!$A$1:$L$1300,35+CH$3,1)&lt;&gt;""),1,0),0)</f>
        <v/>
      </c>
      <c r="CI11">
        <f>IF(CI$4=1,IF(OR(INDEX('×入力'!$A$1:$L$1300,35+CI$3,2+CI$2)&lt;&gt;"",INDEX('×入力'!$A$1:$L$1300,34,2+CI$2)&lt;&gt;"",INDEX('×入力'!$A$1:$L$1300,35+CI$3,1)&lt;&gt;""),1,0),0)</f>
        <v/>
      </c>
      <c r="CJ11">
        <f>IF(CJ$4=1,IF(OR(INDEX('×入力'!$A$1:$L$1300,35+CJ$3,2+CJ$2)&lt;&gt;"",INDEX('×入力'!$A$1:$L$1300,34,2+CJ$2)&lt;&gt;"",INDEX('×入力'!$A$1:$L$1300,35+CJ$3,1)&lt;&gt;""),1,0),0)</f>
        <v/>
      </c>
      <c r="CK11">
        <f>IF(CK$4=1,IF(OR(INDEX('×入力'!$A$1:$L$1300,35+CK$3,2+CK$2)&lt;&gt;"",INDEX('×入力'!$A$1:$L$1300,34,2+CK$2)&lt;&gt;"",INDEX('×入力'!$A$1:$L$1300,35+CK$3,1)&lt;&gt;""),1,0),0)</f>
        <v/>
      </c>
      <c r="CL11">
        <f>IF(CL$4=1,IF(OR(INDEX('×入力'!$A$1:$L$1300,35+CL$3,2+CL$2)&lt;&gt;"",INDEX('×入力'!$A$1:$L$1300,34,2+CL$2)&lt;&gt;"",INDEX('×入力'!$A$1:$L$1300,35+CL$3,1)&lt;&gt;""),1,0),0)</f>
        <v/>
      </c>
      <c r="CM11">
        <f>IF(CM$4=1,IF(OR(INDEX('×入力'!$A$1:$L$1300,35+CM$3,2+CM$2)&lt;&gt;"",INDEX('×入力'!$A$1:$L$1300,34,2+CM$2)&lt;&gt;"",INDEX('×入力'!$A$1:$L$1300,35+CM$3,1)&lt;&gt;""),1,0),0)</f>
        <v/>
      </c>
      <c r="CN11">
        <f>IF(CN$4=1,IF(OR(INDEX('×入力'!$A$1:$L$1300,35+CN$3,2+CN$2)&lt;&gt;"",INDEX('×入力'!$A$1:$L$1300,34,2+CN$2)&lt;&gt;"",INDEX('×入力'!$A$1:$L$1300,35+CN$3,1)&lt;&gt;""),1,0),0)</f>
        <v/>
      </c>
      <c r="CO11">
        <f>IF(CO$4=1,IF(OR(INDEX('×入力'!$A$1:$L$1300,35+CO$3,2+CO$2)&lt;&gt;"",INDEX('×入力'!$A$1:$L$1300,34,2+CO$2)&lt;&gt;"",INDEX('×入力'!$A$1:$L$1300,35+CO$3,1)&lt;&gt;""),1,0),0)</f>
        <v/>
      </c>
      <c r="CP11">
        <f>IF(CP$4=1,IF(OR(INDEX('×入力'!$A$1:$L$1300,35+CP$3,2+CP$2)&lt;&gt;"",INDEX('×入力'!$A$1:$L$1300,34,2+CP$2)&lt;&gt;"",INDEX('×入力'!$A$1:$L$1300,35+CP$3,1)&lt;&gt;""),1,0),0)</f>
        <v/>
      </c>
      <c r="CQ11">
        <f>IF(CQ$4=1,IF(OR(INDEX('×入力'!$A$1:$L$1300,35+CQ$3,2+CQ$2)&lt;&gt;"",INDEX('×入力'!$A$1:$L$1300,34,2+CQ$2)&lt;&gt;"",INDEX('×入力'!$A$1:$L$1300,35+CQ$3,1)&lt;&gt;""),1,0),0)</f>
        <v/>
      </c>
      <c r="CR11">
        <f>IF(CR$4=1,IF(OR(INDEX('×入力'!$A$1:$L$1300,35+CR$3,2+CR$2)&lt;&gt;"",INDEX('×入力'!$A$1:$L$1300,34,2+CR$2)&lt;&gt;"",INDEX('×入力'!$A$1:$L$1300,35+CR$3,1)&lt;&gt;""),1,0),0)</f>
        <v/>
      </c>
      <c r="CS11">
        <f>IF(CS$4=1,IF(OR(INDEX('×入力'!$A$1:$L$1300,35+CS$3,2+CS$2)&lt;&gt;"",INDEX('×入力'!$A$1:$L$1300,34,2+CS$2)&lt;&gt;"",INDEX('×入力'!$A$1:$L$1300,35+CS$3,1)&lt;&gt;""),1,0),0)</f>
        <v/>
      </c>
      <c r="CT11">
        <f>IF(CT$4=1,IF(OR(INDEX('×入力'!$A$1:$L$1300,35+CT$3,2+CT$2)&lt;&gt;"",INDEX('×入力'!$A$1:$L$1300,34,2+CT$2)&lt;&gt;"",INDEX('×入力'!$A$1:$L$1300,35+CT$3,1)&lt;&gt;""),1,0),0)</f>
        <v/>
      </c>
      <c r="CU11">
        <f>IF(CU$4=1,IF(OR(INDEX('×入力'!$A$1:$L$1300,35+CU$3,2+CU$2)&lt;&gt;"",INDEX('×入力'!$A$1:$L$1300,34,2+CU$2)&lt;&gt;"",INDEX('×入力'!$A$1:$L$1300,35+CU$3,1)&lt;&gt;""),1,0),0)</f>
        <v/>
      </c>
      <c r="CV11">
        <f>IF(CV$4=1,IF(OR(INDEX('×入力'!$A$1:$L$1300,35+CV$3,2+CV$2)&lt;&gt;"",INDEX('×入力'!$A$1:$L$1300,34,2+CV$2)&lt;&gt;"",INDEX('×入力'!$A$1:$L$1300,35+CV$3,1)&lt;&gt;""),1,0),0)</f>
        <v/>
      </c>
      <c r="CW11">
        <f>IF(CW$4=1,IF(OR(INDEX('×入力'!$A$1:$L$1300,35+CW$3,2+CW$2)&lt;&gt;"",INDEX('×入力'!$A$1:$L$1300,34,2+CW$2)&lt;&gt;"",INDEX('×入力'!$A$1:$L$1300,35+CW$3,1)&lt;&gt;""),1,0),0)</f>
        <v/>
      </c>
      <c r="CX11">
        <f>IF(CX$4=1,IF(OR(INDEX('×入力'!$A$1:$L$1300,35+CX$3,2+CX$2)&lt;&gt;"",INDEX('×入力'!$A$1:$L$1300,34,2+CX$2)&lt;&gt;"",INDEX('×入力'!$A$1:$L$1300,35+CX$3,1)&lt;&gt;""),1,0),0)</f>
        <v/>
      </c>
      <c r="CY11">
        <f>IF(CY$4=1,IF(OR(INDEX('×入力'!$A$1:$L$1300,35+CY$3,2+CY$2)&lt;&gt;"",INDEX('×入力'!$A$1:$L$1300,34,2+CY$2)&lt;&gt;"",INDEX('×入力'!$A$1:$L$1300,35+CY$3,1)&lt;&gt;""),1,0),0)</f>
        <v/>
      </c>
      <c r="CZ11">
        <f>IF(CZ$4=1,IF(OR(INDEX('×入力'!$A$1:$L$1300,35+CZ$3,2+CZ$2)&lt;&gt;"",INDEX('×入力'!$A$1:$L$1300,34,2+CZ$2)&lt;&gt;"",INDEX('×入力'!$A$1:$L$1300,35+CZ$3,1)&lt;&gt;""),1,0),0)</f>
        <v/>
      </c>
      <c r="DA11">
        <f>IF(DA$4=1,IF(OR(INDEX('×入力'!$A$1:$L$1300,35+DA$3,2+DA$2)&lt;&gt;"",INDEX('×入力'!$A$1:$L$1300,34,2+DA$2)&lt;&gt;"",INDEX('×入力'!$A$1:$L$1300,35+DA$3,1)&lt;&gt;""),1,0),0)</f>
        <v/>
      </c>
      <c r="DB11">
        <f>IF(DB$4=1,IF(OR(INDEX('×入力'!$A$1:$L$1300,35+DB$3,2+DB$2)&lt;&gt;"",INDEX('×入力'!$A$1:$L$1300,34,2+DB$2)&lt;&gt;"",INDEX('×入力'!$A$1:$L$1300,35+DB$3,1)&lt;&gt;""),1,0),0)</f>
        <v/>
      </c>
      <c r="DC11">
        <f>IF(DC$4=1,IF(OR(INDEX('×入力'!$A$1:$L$1300,35+DC$3,2+DC$2)&lt;&gt;"",INDEX('×入力'!$A$1:$L$1300,34,2+DC$2)&lt;&gt;"",INDEX('×入力'!$A$1:$L$1300,35+DC$3,1)&lt;&gt;""),1,0),0)</f>
        <v/>
      </c>
      <c r="DD11">
        <f>IF(DD$4=1,IF(OR(INDEX('×入力'!$A$1:$L$1300,35+DD$3,2+DD$2)&lt;&gt;"",INDEX('×入力'!$A$1:$L$1300,34,2+DD$2)&lt;&gt;"",INDEX('×入力'!$A$1:$L$1300,35+DD$3,1)&lt;&gt;""),1,0),0)</f>
        <v/>
      </c>
      <c r="DE11">
        <f>IF(DE$4=1,IF(OR(INDEX('×入力'!$A$1:$L$1300,35+DE$3,2+DE$2)&lt;&gt;"",INDEX('×入力'!$A$1:$L$1300,34,2+DE$2)&lt;&gt;"",INDEX('×入力'!$A$1:$L$1300,35+DE$3,1)&lt;&gt;""),1,0),0)</f>
        <v/>
      </c>
      <c r="DF11">
        <f>IF(DF$4=1,IF(OR(INDEX('×入力'!$A$1:$L$1300,35+DF$3,2+DF$2)&lt;&gt;"",INDEX('×入力'!$A$1:$L$1300,34,2+DF$2)&lt;&gt;"",INDEX('×入力'!$A$1:$L$1300,35+DF$3,1)&lt;&gt;""),1,0),0)</f>
        <v/>
      </c>
      <c r="DG11">
        <f>IF(DG$4=1,IF(OR(INDEX('×入力'!$A$1:$L$1300,35+DG$3,2+DG$2)&lt;&gt;"",INDEX('×入力'!$A$1:$L$1300,34,2+DG$2)&lt;&gt;"",INDEX('×入力'!$A$1:$L$1300,35+DG$3,1)&lt;&gt;""),1,0),0)</f>
        <v/>
      </c>
      <c r="DH11">
        <f>IF(DH$4=1,IF(OR(INDEX('×入力'!$A$1:$L$1300,35+DH$3,2+DH$2)&lt;&gt;"",INDEX('×入力'!$A$1:$L$1300,34,2+DH$2)&lt;&gt;"",INDEX('×入力'!$A$1:$L$1300,35+DH$3,1)&lt;&gt;""),1,0),0)</f>
        <v/>
      </c>
      <c r="DI11">
        <f>IF(DI$4=1,IF(OR(INDEX('×入力'!$A$1:$L$1300,35+DI$3,2+DI$2)&lt;&gt;"",INDEX('×入力'!$A$1:$L$1300,34,2+DI$2)&lt;&gt;"",INDEX('×入力'!$A$1:$L$1300,35+DI$3,1)&lt;&gt;""),1,0),0)</f>
        <v/>
      </c>
      <c r="DJ11">
        <f>IF(DJ$4=1,IF(OR(INDEX('×入力'!$A$1:$L$1300,35+DJ$3,2+DJ$2)&lt;&gt;"",INDEX('×入力'!$A$1:$L$1300,34,2+DJ$2)&lt;&gt;"",INDEX('×入力'!$A$1:$L$1300,35+DJ$3,1)&lt;&gt;""),1,0),0)</f>
        <v/>
      </c>
      <c r="DK11">
        <f>IF(DK$4=1,IF(OR(INDEX('×入力'!$A$1:$L$1300,35+DK$3,2+DK$2)&lt;&gt;"",INDEX('×入力'!$A$1:$L$1300,34,2+DK$2)&lt;&gt;"",INDEX('×入力'!$A$1:$L$1300,35+DK$3,1)&lt;&gt;""),1,0),0)</f>
        <v/>
      </c>
      <c r="DL11">
        <f>IF(DL$4=1,IF(OR(INDEX('×入力'!$A$1:$L$1300,35+DL$3,2+DL$2)&lt;&gt;"",INDEX('×入力'!$A$1:$L$1300,34,2+DL$2)&lt;&gt;"",INDEX('×入力'!$A$1:$L$1300,35+DL$3,1)&lt;&gt;""),1,0),0)</f>
        <v/>
      </c>
      <c r="DM11">
        <f>IF(DM$4=1,IF(OR(INDEX('×入力'!$A$1:$L$1300,35+DM$3,2+DM$2)&lt;&gt;"",INDEX('×入力'!$A$1:$L$1300,34,2+DM$2)&lt;&gt;"",INDEX('×入力'!$A$1:$L$1300,35+DM$3,1)&lt;&gt;""),1,0),0)</f>
        <v/>
      </c>
      <c r="DN11">
        <f>IF(DN$4=1,IF(OR(INDEX('×入力'!$A$1:$L$1300,35+DN$3,2+DN$2)&lt;&gt;"",INDEX('×入力'!$A$1:$L$1300,34,2+DN$2)&lt;&gt;"",INDEX('×入力'!$A$1:$L$1300,35+DN$3,1)&lt;&gt;""),1,0),0)</f>
        <v/>
      </c>
      <c r="DO11">
        <f>IF(DO$4=1,IF(OR(INDEX('×入力'!$A$1:$L$1300,35+DO$3,2+DO$2)&lt;&gt;"",INDEX('×入力'!$A$1:$L$1300,34,2+DO$2)&lt;&gt;"",INDEX('×入力'!$A$1:$L$1300,35+DO$3,1)&lt;&gt;""),1,0),0)</f>
        <v/>
      </c>
      <c r="DP11">
        <f>IF(DP$4=1,IF(OR(INDEX('×入力'!$A$1:$L$1300,35+DP$3,2+DP$2)&lt;&gt;"",INDEX('×入力'!$A$1:$L$1300,34,2+DP$2)&lt;&gt;"",INDEX('×入力'!$A$1:$L$1300,35+DP$3,1)&lt;&gt;""),1,0),0)</f>
        <v/>
      </c>
      <c r="DQ11">
        <f>IF(DQ$4=1,IF(OR(INDEX('×入力'!$A$1:$L$1300,35+DQ$3,2+DQ$2)&lt;&gt;"",INDEX('×入力'!$A$1:$L$1300,34,2+DQ$2)&lt;&gt;"",INDEX('×入力'!$A$1:$L$1300,35+DQ$3,1)&lt;&gt;""),1,0),0)</f>
        <v/>
      </c>
      <c r="DR11">
        <f>IF(DR$4=1,IF(OR(INDEX('×入力'!$A$1:$L$1300,35+DR$3,2+DR$2)&lt;&gt;"",INDEX('×入力'!$A$1:$L$1300,34,2+DR$2)&lt;&gt;"",INDEX('×入力'!$A$1:$L$1300,35+DR$3,1)&lt;&gt;""),1,0),0)</f>
        <v/>
      </c>
      <c r="DS11">
        <f>IF(DS$4=1,IF(OR(INDEX('×入力'!$A$1:$L$1300,35+DS$3,2+DS$2)&lt;&gt;"",INDEX('×入力'!$A$1:$L$1300,34,2+DS$2)&lt;&gt;"",INDEX('×入力'!$A$1:$L$1300,35+DS$3,1)&lt;&gt;""),1,0),0)</f>
        <v/>
      </c>
      <c r="DT11">
        <f>IF(DT$4=1,IF(OR(INDEX('×入力'!$A$1:$L$1300,35+DT$3,2+DT$2)&lt;&gt;"",INDEX('×入力'!$A$1:$L$1300,34,2+DT$2)&lt;&gt;"",INDEX('×入力'!$A$1:$L$1300,35+DT$3,1)&lt;&gt;""),1,0),0)</f>
        <v/>
      </c>
      <c r="DU11">
        <f>IF(DU$4=1,IF(OR(INDEX('×入力'!$A$1:$L$1300,35+DU$3,2+DU$2)&lt;&gt;"",INDEX('×入力'!$A$1:$L$1300,34,2+DU$2)&lt;&gt;"",INDEX('×入力'!$A$1:$L$1300,35+DU$3,1)&lt;&gt;""),1,0),0)</f>
        <v/>
      </c>
      <c r="DV11">
        <f>IF(DV$4=1,IF(OR(INDEX('×入力'!$A$1:$L$1300,35+DV$3,2+DV$2)&lt;&gt;"",INDEX('×入力'!$A$1:$L$1300,34,2+DV$2)&lt;&gt;"",INDEX('×入力'!$A$1:$L$1300,35+DV$3,1)&lt;&gt;""),1,0),0)</f>
        <v/>
      </c>
      <c r="DW11">
        <f>IF(DW$4=1,IF(OR(INDEX('×入力'!$A$1:$L$1300,35+DW$3,2+DW$2)&lt;&gt;"",INDEX('×入力'!$A$1:$L$1300,34,2+DW$2)&lt;&gt;"",INDEX('×入力'!$A$1:$L$1300,35+DW$3,1)&lt;&gt;""),1,0),0)</f>
        <v/>
      </c>
      <c r="DX11">
        <f>IF(DX$4=1,IF(OR(INDEX('×入力'!$A$1:$L$1300,35+DX$3,2+DX$2)&lt;&gt;"",INDEX('×入力'!$A$1:$L$1300,34,2+DX$2)&lt;&gt;"",INDEX('×入力'!$A$1:$L$1300,35+DX$3,1)&lt;&gt;""),1,0),0)</f>
        <v/>
      </c>
      <c r="DY11">
        <f>IF(DY$4=1,IF(OR(INDEX('×入力'!$A$1:$L$1300,35+DY$3,2+DY$2)&lt;&gt;"",INDEX('×入力'!$A$1:$L$1300,34,2+DY$2)&lt;&gt;"",INDEX('×入力'!$A$1:$L$1300,35+DY$3,1)&lt;&gt;""),1,0),0)</f>
        <v/>
      </c>
      <c r="DZ11">
        <f>IF(DZ$4=1,IF(OR(INDEX('×入力'!$A$1:$L$1300,35+DZ$3,2+DZ$2)&lt;&gt;"",INDEX('×入力'!$A$1:$L$1300,34,2+DZ$2)&lt;&gt;"",INDEX('×入力'!$A$1:$L$1300,35+DZ$3,1)&lt;&gt;""),1,0),0)</f>
        <v/>
      </c>
      <c r="EA11">
        <f>IF(EA$4=1,IF(OR(INDEX('×入力'!$A$1:$L$1300,35+EA$3,2+EA$2)&lt;&gt;"",INDEX('×入力'!$A$1:$L$1300,34,2+EA$2)&lt;&gt;"",INDEX('×入力'!$A$1:$L$1300,35+EA$3,1)&lt;&gt;""),1,0),0)</f>
        <v/>
      </c>
      <c r="EB11">
        <f>IF(EB$4=1,IF(OR(INDEX('×入力'!$A$1:$L$1300,35+EB$3,2+EB$2)&lt;&gt;"",INDEX('×入力'!$A$1:$L$1300,34,2+EB$2)&lt;&gt;"",INDEX('×入力'!$A$1:$L$1300,35+EB$3,1)&lt;&gt;""),1,0),0)</f>
        <v/>
      </c>
      <c r="EC11">
        <f>IF(EC$4=1,IF(OR(INDEX('×入力'!$A$1:$L$1300,35+EC$3,2+EC$2)&lt;&gt;"",INDEX('×入力'!$A$1:$L$1300,34,2+EC$2)&lt;&gt;"",INDEX('×入力'!$A$1:$L$1300,35+EC$3,1)&lt;&gt;""),1,0),0)</f>
        <v/>
      </c>
      <c r="ED11">
        <f>IF(ED$4=1,IF(OR(INDEX('×入力'!$A$1:$L$1300,35+ED$3,2+ED$2)&lt;&gt;"",INDEX('×入力'!$A$1:$L$1300,34,2+ED$2)&lt;&gt;"",INDEX('×入力'!$A$1:$L$1300,35+ED$3,1)&lt;&gt;""),1,0),0)</f>
        <v/>
      </c>
      <c r="EE11">
        <f>IF(EE$4=1,IF(OR(INDEX('×入力'!$A$1:$L$1300,35+EE$3,2+EE$2)&lt;&gt;"",INDEX('×入力'!$A$1:$L$1300,34,2+EE$2)&lt;&gt;"",INDEX('×入力'!$A$1:$L$1300,35+EE$3,1)&lt;&gt;""),1,0),0)</f>
        <v/>
      </c>
      <c r="EF11">
        <f>IF(EF$4=1,IF(OR(INDEX('×入力'!$A$1:$L$1300,35+EF$3,2+EF$2)&lt;&gt;"",INDEX('×入力'!$A$1:$L$1300,34,2+EF$2)&lt;&gt;"",INDEX('×入力'!$A$1:$L$1300,35+EF$3,1)&lt;&gt;""),1,0),0)</f>
        <v/>
      </c>
      <c r="EG11">
        <f>IF(EG$4=1,IF(OR(INDEX('×入力'!$A$1:$L$1300,35+EG$3,2+EG$2)&lt;&gt;"",INDEX('×入力'!$A$1:$L$1300,34,2+EG$2)&lt;&gt;"",INDEX('×入力'!$A$1:$L$1300,35+EG$3,1)&lt;&gt;""),1,0),0)</f>
        <v/>
      </c>
      <c r="EH11">
        <f>IF(EH$4=1,IF(OR(INDEX('×入力'!$A$1:$L$1300,35+EH$3,2+EH$2)&lt;&gt;"",INDEX('×入力'!$A$1:$L$1300,34,2+EH$2)&lt;&gt;"",INDEX('×入力'!$A$1:$L$1300,35+EH$3,1)&lt;&gt;""),1,0),0)</f>
        <v/>
      </c>
      <c r="EI11">
        <f>IF(EI$4=1,IF(OR(INDEX('×入力'!$A$1:$L$1300,35+EI$3,2+EI$2)&lt;&gt;"",INDEX('×入力'!$A$1:$L$1300,34,2+EI$2)&lt;&gt;"",INDEX('×入力'!$A$1:$L$1300,35+EI$3,1)&lt;&gt;""),1,0),0)</f>
        <v/>
      </c>
      <c r="EJ11">
        <f>IF(EJ$4=1,IF(OR(INDEX('×入力'!$A$1:$L$1300,35+EJ$3,2+EJ$2)&lt;&gt;"",INDEX('×入力'!$A$1:$L$1300,34,2+EJ$2)&lt;&gt;"",INDEX('×入力'!$A$1:$L$1300,35+EJ$3,1)&lt;&gt;""),1,0),0)</f>
        <v/>
      </c>
      <c r="EK11">
        <f>IF(EK$4=1,IF(OR(INDEX('×入力'!$A$1:$L$1300,35+EK$3,2+EK$2)&lt;&gt;"",INDEX('×入力'!$A$1:$L$1300,34,2+EK$2)&lt;&gt;"",INDEX('×入力'!$A$1:$L$1300,35+EK$3,1)&lt;&gt;""),1,0),0)</f>
        <v/>
      </c>
      <c r="EL11">
        <f>IF(EL$4=1,IF(OR(INDEX('×入力'!$A$1:$L$1300,35+EL$3,2+EL$2)&lt;&gt;"",INDEX('×入力'!$A$1:$L$1300,34,2+EL$2)&lt;&gt;"",INDEX('×入力'!$A$1:$L$1300,35+EL$3,1)&lt;&gt;""),1,0),0)</f>
        <v/>
      </c>
      <c r="EM11">
        <f>IF(EM$4=1,IF(OR(INDEX('×入力'!$A$1:$L$1300,35+EM$3,2+EM$2)&lt;&gt;"",INDEX('×入力'!$A$1:$L$1300,34,2+EM$2)&lt;&gt;"",INDEX('×入力'!$A$1:$L$1300,35+EM$3,1)&lt;&gt;""),1,0),0)</f>
        <v/>
      </c>
      <c r="EN11">
        <f>IF(EN$4=1,IF(OR(INDEX('×入力'!$A$1:$L$1300,35+EN$3,2+EN$2)&lt;&gt;"",INDEX('×入力'!$A$1:$L$1300,34,2+EN$2)&lt;&gt;"",INDEX('×入力'!$A$1:$L$1300,35+EN$3,1)&lt;&gt;""),1,0),0)</f>
        <v/>
      </c>
      <c r="EO11">
        <f>IF(EO$4=1,IF(OR(INDEX('×入力'!$A$1:$L$1300,35+EO$3,2+EO$2)&lt;&gt;"",INDEX('×入力'!$A$1:$L$1300,34,2+EO$2)&lt;&gt;"",INDEX('×入力'!$A$1:$L$1300,35+EO$3,1)&lt;&gt;""),1,0),0)</f>
        <v/>
      </c>
      <c r="EP11">
        <f>IF(EP$4=1,IF(OR(INDEX('×入力'!$A$1:$L$1300,35+EP$3,2+EP$2)&lt;&gt;"",INDEX('×入力'!$A$1:$L$1300,34,2+EP$2)&lt;&gt;"",INDEX('×入力'!$A$1:$L$1300,35+EP$3,1)&lt;&gt;""),1,0),0)</f>
        <v/>
      </c>
      <c r="EQ11">
        <f>IF(EQ$4=1,IF(OR(INDEX('×入力'!$A$1:$L$1300,35+EQ$3,2+EQ$2)&lt;&gt;"",INDEX('×入力'!$A$1:$L$1300,34,2+EQ$2)&lt;&gt;"",INDEX('×入力'!$A$1:$L$1300,35+EQ$3,1)&lt;&gt;""),1,0),0)</f>
        <v/>
      </c>
      <c r="HA11">
        <f>MAX(0,IT11)</f>
        <v/>
      </c>
      <c r="HB11">
        <f>IF(HA11=0,0,INDEX($D$2:$EQ$2,HA11))</f>
        <v/>
      </c>
      <c r="HC11">
        <f>IF(HA11=0,0,INDEX($D$3:$EQ$3,HA11))</f>
        <v/>
      </c>
      <c r="HD11">
        <f>MAX(0,IY11)</f>
        <v/>
      </c>
      <c r="HE11">
        <f>IF(HD11=0,0,INDEX($D$2:$EQ$2,HD11))</f>
        <v/>
      </c>
      <c r="HF11">
        <f>IF(HD11=0,0,INDEX($D$3:$EQ$3,HD11))</f>
        <v/>
      </c>
      <c r="HG11">
        <f>MAX(0,IZ11)</f>
        <v/>
      </c>
      <c r="HH11">
        <f>IF(HG11=0,0,INDEX($D$2:$EQ$2,HG11))</f>
        <v/>
      </c>
      <c r="HI11">
        <f>IF(HG11=0,0,INDEX($D$3:$EQ$3,HG11))</f>
        <v/>
      </c>
      <c r="HJ11">
        <f>IF(AND(HA11&gt;0,HC11&gt;1,OR(HC11-1&lt;&gt;$A$3,$A$4=0)),HA11-1,-1)</f>
        <v/>
      </c>
      <c r="HK11">
        <f>IF(AND(HA11&gt;0,HC11&lt;24,OR(HC11&lt;&gt;$A$3,$A$4=0)),HA11+1,-1)</f>
        <v/>
      </c>
      <c r="HL11">
        <f>IF(AND(HD11&gt;0,HF11&gt;1,OR(HF11-1&lt;&gt;$A$3,$A$4=0)),HD11-1,-1)</f>
        <v/>
      </c>
      <c r="HM11">
        <f>IF(AND(HD11&gt;0,HF11&lt;24,OR(HF11&lt;&gt;$A$3,$A$4=0)),HD11+1,-1)</f>
        <v/>
      </c>
      <c r="HN11">
        <f>IF(AND(HG11&gt;0,HI11&gt;1,OR(HI11-1&lt;&gt;$A$3,$A$4=0)),HG11-1,-1)</f>
        <v/>
      </c>
      <c r="HO11">
        <f>IF(AND(HG11&gt;0,HI11&lt;24,OR(HI11&lt;&gt;$A$3,$A$4=0)),HG11+1,-1)</f>
        <v/>
      </c>
      <c r="IK11">
        <f>IFERROR(INDEX('calcB'!$C$3:$C$47,MATCH(A11,'calcB'!$B$3:$B$47,0)),0)</f>
        <v/>
      </c>
      <c r="IL11">
        <f>IF(AND(C11=1,IK11=0,calcA!$A$6=1),1,0)</f>
        <v/>
      </c>
      <c r="IM11">
        <f>SUMPRODUCT(D61:EQ61*(1-$D$7:$EQ$7))</f>
        <v/>
      </c>
      <c r="IN11">
        <f>SUM(D11:EQ11)</f>
        <v/>
      </c>
      <c r="IO11">
        <f>IF(B11="",0,IF(COUNTIF('調整・決定'!$C$6:$H$29,B11)=1,SUMPRODUCT(('調整・決定'!$C$6:$H$29=B11)*((COLUMN('調整・決定'!$C$6:$H$29)-3)*24+ROW('調整・決定'!$C$6:$H$29)-5)),0))</f>
        <v/>
      </c>
      <c r="IP11">
        <f>IFERROR(MATCH('名簿'!C6,{"早い時刻","遅い時刻","早い日","遅い日"},0),0)</f>
        <v/>
      </c>
      <c r="IQ11">
        <f>IF('名簿'!D6="必ず空けたい",2,IF('名簿'!D6="出来れば空けたい",1,0))</f>
        <v/>
      </c>
      <c r="IR11">
        <f>IFERROR(INDEX('calcC'!$C$3:$C$47,MATCH(A11,'calcC'!$B$3:$B$47,0)),0)</f>
        <v/>
      </c>
      <c r="IS11">
        <f>IF(AND(C11=1,IR11=0,calcA!$A$6=1),1,0)</f>
        <v/>
      </c>
      <c r="IT11">
        <f>IF(OR('名簿'!G6="",'名簿'!H6=""),0,IFERROR((MATCH('名簿'!G6,'設定'!$E$11:$E$16,0)-1)*24+MATCH('名簿'!H6,'設定'!$I$11:$I$34,0),-1))</f>
        <v/>
      </c>
      <c r="IV11">
        <f>IF(OR(JF11=0,IO11=0),1,IF(OR(IF(IT11&gt;0,AND(INDEX($D$2:$EQ$2,IO11)=INDEX($D$2:$EQ$2,IT11),OR(AND(IO11=IT11+1,OR(INDEX($D$3:$EQ$3,IT11)&lt;&gt;$A$3,$A$4=0)),AND(IO11=IT11-1,OR(INDEX($D$3:$EQ$3,IO11)&lt;&gt;$A$3,$A$4=0)))),FALSE),IF(IY11&gt;0,AND(INDEX($D$2:$EQ$2,IO11)=INDEX($D$2:$EQ$2,IY11),OR(AND(IO11=IY11+1,OR(INDEX($D$3:$EQ$3,IY11)&lt;&gt;$A$3,$A$4=0)),AND(IO11=IY11-1,OR(INDEX($D$3:$EQ$3,IO11)&lt;&gt;$A$3,$A$4=0)))),FALSE),IF(IZ11&gt;0,AND(INDEX($D$2:$EQ$2,IO11)=INDEX($D$2:$EQ$2,IZ11),OR(AND(IO11=IZ11+1,OR(INDEX($D$3:$EQ$3,IZ11)&lt;&gt;$A$3,$A$4=0)),AND(IO11=IZ11-1,OR(INDEX($D$3:$EQ$3,IO11)&lt;&gt;$A$3,$A$4=0)))),FALSE)),1,0))</f>
        <v/>
      </c>
      <c r="IW11">
        <f>IF(AND('名簿'!E6&lt;&gt;"",JF11=0),1,0)</f>
        <v/>
      </c>
      <c r="IX11">
        <f>IF('名簿'!D6="空けない",1,0)</f>
        <v/>
      </c>
      <c r="IY11">
        <f>IF(OR('名簿'!J6="",'名簿'!K6=""),0,IFERROR((MATCH('名簿'!J6,'設定'!$E$11:$E$16,0)-1)*24+MATCH('名簿'!K6,'設定'!$I$11:$I$34,0),-1))</f>
        <v/>
      </c>
      <c r="IZ11">
        <f>IF(OR('名簿'!M6="",'名簿'!N6=""),0,IFERROR((MATCH('名簿'!M6,'設定'!$E$11:$E$16,0)-1)*24+MATCH('名簿'!N6,'設定'!$I$11:$I$34,0),-1))</f>
        <v/>
      </c>
      <c r="JC11">
        <f>IF(RIGHT('名簿'!I6,2)="の前",1,IF(RIGHT('名簿'!I6,2)="の後",2,0))</f>
        <v/>
      </c>
      <c r="JD11">
        <f>IF(RIGHT('名簿'!L6,2)="の前",1,IF(RIGHT('名簿'!L6,2)="の後",2,0))</f>
        <v/>
      </c>
      <c r="JE11">
        <f>IF(RIGHT('名簿'!O6,2)="の前",1,IF(RIGHT('名簿'!O6,2)="の後",2,0))</f>
        <v/>
      </c>
      <c r="JF11">
        <f>IF(OR(IT11&gt;0,IY11&gt;0,IZ11&gt;0),1,0)</f>
        <v/>
      </c>
      <c r="JG11">
        <f>IF(OR(IT11&lt;0,IY11&lt;0,IZ11&lt;0),1,0)</f>
        <v/>
      </c>
    </row>
    <row r="12">
      <c r="A12" t="n">
        <v>3</v>
      </c>
      <c r="B12">
        <f>'名簿'!P7</f>
        <v/>
      </c>
      <c r="C12">
        <f>IF(AND(B12&lt;&gt;"",OR('名簿'!Q7="入力済み",'名簿'!Q7="×なし"),IO12=0,COUNTIF('調整・決定'!$C$6:$H$29,B12)=0),1,0)</f>
        <v/>
      </c>
      <c r="D12">
        <f>IF(D$4=1,IF(OR(INDEX('×入力'!$A$1:$L$1300,63+D$3,2+D$2)&lt;&gt;"",INDEX('×入力'!$A$1:$L$1300,62,2+D$2)&lt;&gt;"",INDEX('×入力'!$A$1:$L$1300,63+D$3,1)&lt;&gt;""),1,0),0)</f>
        <v/>
      </c>
      <c r="E12">
        <f>IF(E$4=1,IF(OR(INDEX('×入力'!$A$1:$L$1300,63+E$3,2+E$2)&lt;&gt;"",INDEX('×入力'!$A$1:$L$1300,62,2+E$2)&lt;&gt;"",INDEX('×入力'!$A$1:$L$1300,63+E$3,1)&lt;&gt;""),1,0),0)</f>
        <v/>
      </c>
      <c r="F12">
        <f>IF(F$4=1,IF(OR(INDEX('×入力'!$A$1:$L$1300,63+F$3,2+F$2)&lt;&gt;"",INDEX('×入力'!$A$1:$L$1300,62,2+F$2)&lt;&gt;"",INDEX('×入力'!$A$1:$L$1300,63+F$3,1)&lt;&gt;""),1,0),0)</f>
        <v/>
      </c>
      <c r="G12">
        <f>IF(G$4=1,IF(OR(INDEX('×入力'!$A$1:$L$1300,63+G$3,2+G$2)&lt;&gt;"",INDEX('×入力'!$A$1:$L$1300,62,2+G$2)&lt;&gt;"",INDEX('×入力'!$A$1:$L$1300,63+G$3,1)&lt;&gt;""),1,0),0)</f>
        <v/>
      </c>
      <c r="H12">
        <f>IF(H$4=1,IF(OR(INDEX('×入力'!$A$1:$L$1300,63+H$3,2+H$2)&lt;&gt;"",INDEX('×入力'!$A$1:$L$1300,62,2+H$2)&lt;&gt;"",INDEX('×入力'!$A$1:$L$1300,63+H$3,1)&lt;&gt;""),1,0),0)</f>
        <v/>
      </c>
      <c r="I12">
        <f>IF(I$4=1,IF(OR(INDEX('×入力'!$A$1:$L$1300,63+I$3,2+I$2)&lt;&gt;"",INDEX('×入力'!$A$1:$L$1300,62,2+I$2)&lt;&gt;"",INDEX('×入力'!$A$1:$L$1300,63+I$3,1)&lt;&gt;""),1,0),0)</f>
        <v/>
      </c>
      <c r="J12">
        <f>IF(J$4=1,IF(OR(INDEX('×入力'!$A$1:$L$1300,63+J$3,2+J$2)&lt;&gt;"",INDEX('×入力'!$A$1:$L$1300,62,2+J$2)&lt;&gt;"",INDEX('×入力'!$A$1:$L$1300,63+J$3,1)&lt;&gt;""),1,0),0)</f>
        <v/>
      </c>
      <c r="K12">
        <f>IF(K$4=1,IF(OR(INDEX('×入力'!$A$1:$L$1300,63+K$3,2+K$2)&lt;&gt;"",INDEX('×入力'!$A$1:$L$1300,62,2+K$2)&lt;&gt;"",INDEX('×入力'!$A$1:$L$1300,63+K$3,1)&lt;&gt;""),1,0),0)</f>
        <v/>
      </c>
      <c r="L12">
        <f>IF(L$4=1,IF(OR(INDEX('×入力'!$A$1:$L$1300,63+L$3,2+L$2)&lt;&gt;"",INDEX('×入力'!$A$1:$L$1300,62,2+L$2)&lt;&gt;"",INDEX('×入力'!$A$1:$L$1300,63+L$3,1)&lt;&gt;""),1,0),0)</f>
        <v/>
      </c>
      <c r="M12">
        <f>IF(M$4=1,IF(OR(INDEX('×入力'!$A$1:$L$1300,63+M$3,2+M$2)&lt;&gt;"",INDEX('×入力'!$A$1:$L$1300,62,2+M$2)&lt;&gt;"",INDEX('×入力'!$A$1:$L$1300,63+M$3,1)&lt;&gt;""),1,0),0)</f>
        <v/>
      </c>
      <c r="N12">
        <f>IF(N$4=1,IF(OR(INDEX('×入力'!$A$1:$L$1300,63+N$3,2+N$2)&lt;&gt;"",INDEX('×入力'!$A$1:$L$1300,62,2+N$2)&lt;&gt;"",INDEX('×入力'!$A$1:$L$1300,63+N$3,1)&lt;&gt;""),1,0),0)</f>
        <v/>
      </c>
      <c r="O12">
        <f>IF(O$4=1,IF(OR(INDEX('×入力'!$A$1:$L$1300,63+O$3,2+O$2)&lt;&gt;"",INDEX('×入力'!$A$1:$L$1300,62,2+O$2)&lt;&gt;"",INDEX('×入力'!$A$1:$L$1300,63+O$3,1)&lt;&gt;""),1,0),0)</f>
        <v/>
      </c>
      <c r="P12">
        <f>IF(P$4=1,IF(OR(INDEX('×入力'!$A$1:$L$1300,63+P$3,2+P$2)&lt;&gt;"",INDEX('×入力'!$A$1:$L$1300,62,2+P$2)&lt;&gt;"",INDEX('×入力'!$A$1:$L$1300,63+P$3,1)&lt;&gt;""),1,0),0)</f>
        <v/>
      </c>
      <c r="Q12">
        <f>IF(Q$4=1,IF(OR(INDEX('×入力'!$A$1:$L$1300,63+Q$3,2+Q$2)&lt;&gt;"",INDEX('×入力'!$A$1:$L$1300,62,2+Q$2)&lt;&gt;"",INDEX('×入力'!$A$1:$L$1300,63+Q$3,1)&lt;&gt;""),1,0),0)</f>
        <v/>
      </c>
      <c r="R12">
        <f>IF(R$4=1,IF(OR(INDEX('×入力'!$A$1:$L$1300,63+R$3,2+R$2)&lt;&gt;"",INDEX('×入力'!$A$1:$L$1300,62,2+R$2)&lt;&gt;"",INDEX('×入力'!$A$1:$L$1300,63+R$3,1)&lt;&gt;""),1,0),0)</f>
        <v/>
      </c>
      <c r="S12">
        <f>IF(S$4=1,IF(OR(INDEX('×入力'!$A$1:$L$1300,63+S$3,2+S$2)&lt;&gt;"",INDEX('×入力'!$A$1:$L$1300,62,2+S$2)&lt;&gt;"",INDEX('×入力'!$A$1:$L$1300,63+S$3,1)&lt;&gt;""),1,0),0)</f>
        <v/>
      </c>
      <c r="T12">
        <f>IF(T$4=1,IF(OR(INDEX('×入力'!$A$1:$L$1300,63+T$3,2+T$2)&lt;&gt;"",INDEX('×入力'!$A$1:$L$1300,62,2+T$2)&lt;&gt;"",INDEX('×入力'!$A$1:$L$1300,63+T$3,1)&lt;&gt;""),1,0),0)</f>
        <v/>
      </c>
      <c r="U12">
        <f>IF(U$4=1,IF(OR(INDEX('×入力'!$A$1:$L$1300,63+U$3,2+U$2)&lt;&gt;"",INDEX('×入力'!$A$1:$L$1300,62,2+U$2)&lt;&gt;"",INDEX('×入力'!$A$1:$L$1300,63+U$3,1)&lt;&gt;""),1,0),0)</f>
        <v/>
      </c>
      <c r="V12">
        <f>IF(V$4=1,IF(OR(INDEX('×入力'!$A$1:$L$1300,63+V$3,2+V$2)&lt;&gt;"",INDEX('×入力'!$A$1:$L$1300,62,2+V$2)&lt;&gt;"",INDEX('×入力'!$A$1:$L$1300,63+V$3,1)&lt;&gt;""),1,0),0)</f>
        <v/>
      </c>
      <c r="W12">
        <f>IF(W$4=1,IF(OR(INDEX('×入力'!$A$1:$L$1300,63+W$3,2+W$2)&lt;&gt;"",INDEX('×入力'!$A$1:$L$1300,62,2+W$2)&lt;&gt;"",INDEX('×入力'!$A$1:$L$1300,63+W$3,1)&lt;&gt;""),1,0),0)</f>
        <v/>
      </c>
      <c r="X12">
        <f>IF(X$4=1,IF(OR(INDEX('×入力'!$A$1:$L$1300,63+X$3,2+X$2)&lt;&gt;"",INDEX('×入力'!$A$1:$L$1300,62,2+X$2)&lt;&gt;"",INDEX('×入力'!$A$1:$L$1300,63+X$3,1)&lt;&gt;""),1,0),0)</f>
        <v/>
      </c>
      <c r="Y12">
        <f>IF(Y$4=1,IF(OR(INDEX('×入力'!$A$1:$L$1300,63+Y$3,2+Y$2)&lt;&gt;"",INDEX('×入力'!$A$1:$L$1300,62,2+Y$2)&lt;&gt;"",INDEX('×入力'!$A$1:$L$1300,63+Y$3,1)&lt;&gt;""),1,0),0)</f>
        <v/>
      </c>
      <c r="Z12">
        <f>IF(Z$4=1,IF(OR(INDEX('×入力'!$A$1:$L$1300,63+Z$3,2+Z$2)&lt;&gt;"",INDEX('×入力'!$A$1:$L$1300,62,2+Z$2)&lt;&gt;"",INDEX('×入力'!$A$1:$L$1300,63+Z$3,1)&lt;&gt;""),1,0),0)</f>
        <v/>
      </c>
      <c r="AA12">
        <f>IF(AA$4=1,IF(OR(INDEX('×入力'!$A$1:$L$1300,63+AA$3,2+AA$2)&lt;&gt;"",INDEX('×入力'!$A$1:$L$1300,62,2+AA$2)&lt;&gt;"",INDEX('×入力'!$A$1:$L$1300,63+AA$3,1)&lt;&gt;""),1,0),0)</f>
        <v/>
      </c>
      <c r="AB12">
        <f>IF(AB$4=1,IF(OR(INDEX('×入力'!$A$1:$L$1300,63+AB$3,2+AB$2)&lt;&gt;"",INDEX('×入力'!$A$1:$L$1300,62,2+AB$2)&lt;&gt;"",INDEX('×入力'!$A$1:$L$1300,63+AB$3,1)&lt;&gt;""),1,0),0)</f>
        <v/>
      </c>
      <c r="AC12">
        <f>IF(AC$4=1,IF(OR(INDEX('×入力'!$A$1:$L$1300,63+AC$3,2+AC$2)&lt;&gt;"",INDEX('×入力'!$A$1:$L$1300,62,2+AC$2)&lt;&gt;"",INDEX('×入力'!$A$1:$L$1300,63+AC$3,1)&lt;&gt;""),1,0),0)</f>
        <v/>
      </c>
      <c r="AD12">
        <f>IF(AD$4=1,IF(OR(INDEX('×入力'!$A$1:$L$1300,63+AD$3,2+AD$2)&lt;&gt;"",INDEX('×入力'!$A$1:$L$1300,62,2+AD$2)&lt;&gt;"",INDEX('×入力'!$A$1:$L$1300,63+AD$3,1)&lt;&gt;""),1,0),0)</f>
        <v/>
      </c>
      <c r="AE12">
        <f>IF(AE$4=1,IF(OR(INDEX('×入力'!$A$1:$L$1300,63+AE$3,2+AE$2)&lt;&gt;"",INDEX('×入力'!$A$1:$L$1300,62,2+AE$2)&lt;&gt;"",INDEX('×入力'!$A$1:$L$1300,63+AE$3,1)&lt;&gt;""),1,0),0)</f>
        <v/>
      </c>
      <c r="AF12">
        <f>IF(AF$4=1,IF(OR(INDEX('×入力'!$A$1:$L$1300,63+AF$3,2+AF$2)&lt;&gt;"",INDEX('×入力'!$A$1:$L$1300,62,2+AF$2)&lt;&gt;"",INDEX('×入力'!$A$1:$L$1300,63+AF$3,1)&lt;&gt;""),1,0),0)</f>
        <v/>
      </c>
      <c r="AG12">
        <f>IF(AG$4=1,IF(OR(INDEX('×入力'!$A$1:$L$1300,63+AG$3,2+AG$2)&lt;&gt;"",INDEX('×入力'!$A$1:$L$1300,62,2+AG$2)&lt;&gt;"",INDEX('×入力'!$A$1:$L$1300,63+AG$3,1)&lt;&gt;""),1,0),0)</f>
        <v/>
      </c>
      <c r="AH12">
        <f>IF(AH$4=1,IF(OR(INDEX('×入力'!$A$1:$L$1300,63+AH$3,2+AH$2)&lt;&gt;"",INDEX('×入力'!$A$1:$L$1300,62,2+AH$2)&lt;&gt;"",INDEX('×入力'!$A$1:$L$1300,63+AH$3,1)&lt;&gt;""),1,0),0)</f>
        <v/>
      </c>
      <c r="AI12">
        <f>IF(AI$4=1,IF(OR(INDEX('×入力'!$A$1:$L$1300,63+AI$3,2+AI$2)&lt;&gt;"",INDEX('×入力'!$A$1:$L$1300,62,2+AI$2)&lt;&gt;"",INDEX('×入力'!$A$1:$L$1300,63+AI$3,1)&lt;&gt;""),1,0),0)</f>
        <v/>
      </c>
      <c r="AJ12">
        <f>IF(AJ$4=1,IF(OR(INDEX('×入力'!$A$1:$L$1300,63+AJ$3,2+AJ$2)&lt;&gt;"",INDEX('×入力'!$A$1:$L$1300,62,2+AJ$2)&lt;&gt;"",INDEX('×入力'!$A$1:$L$1300,63+AJ$3,1)&lt;&gt;""),1,0),0)</f>
        <v/>
      </c>
      <c r="AK12">
        <f>IF(AK$4=1,IF(OR(INDEX('×入力'!$A$1:$L$1300,63+AK$3,2+AK$2)&lt;&gt;"",INDEX('×入力'!$A$1:$L$1300,62,2+AK$2)&lt;&gt;"",INDEX('×入力'!$A$1:$L$1300,63+AK$3,1)&lt;&gt;""),1,0),0)</f>
        <v/>
      </c>
      <c r="AL12">
        <f>IF(AL$4=1,IF(OR(INDEX('×入力'!$A$1:$L$1300,63+AL$3,2+AL$2)&lt;&gt;"",INDEX('×入力'!$A$1:$L$1300,62,2+AL$2)&lt;&gt;"",INDEX('×入力'!$A$1:$L$1300,63+AL$3,1)&lt;&gt;""),1,0),0)</f>
        <v/>
      </c>
      <c r="AM12">
        <f>IF(AM$4=1,IF(OR(INDEX('×入力'!$A$1:$L$1300,63+AM$3,2+AM$2)&lt;&gt;"",INDEX('×入力'!$A$1:$L$1300,62,2+AM$2)&lt;&gt;"",INDEX('×入力'!$A$1:$L$1300,63+AM$3,1)&lt;&gt;""),1,0),0)</f>
        <v/>
      </c>
      <c r="AN12">
        <f>IF(AN$4=1,IF(OR(INDEX('×入力'!$A$1:$L$1300,63+AN$3,2+AN$2)&lt;&gt;"",INDEX('×入力'!$A$1:$L$1300,62,2+AN$2)&lt;&gt;"",INDEX('×入力'!$A$1:$L$1300,63+AN$3,1)&lt;&gt;""),1,0),0)</f>
        <v/>
      </c>
      <c r="AO12">
        <f>IF(AO$4=1,IF(OR(INDEX('×入力'!$A$1:$L$1300,63+AO$3,2+AO$2)&lt;&gt;"",INDEX('×入力'!$A$1:$L$1300,62,2+AO$2)&lt;&gt;"",INDEX('×入力'!$A$1:$L$1300,63+AO$3,1)&lt;&gt;""),1,0),0)</f>
        <v/>
      </c>
      <c r="AP12">
        <f>IF(AP$4=1,IF(OR(INDEX('×入力'!$A$1:$L$1300,63+AP$3,2+AP$2)&lt;&gt;"",INDEX('×入力'!$A$1:$L$1300,62,2+AP$2)&lt;&gt;"",INDEX('×入力'!$A$1:$L$1300,63+AP$3,1)&lt;&gt;""),1,0),0)</f>
        <v/>
      </c>
      <c r="AQ12">
        <f>IF(AQ$4=1,IF(OR(INDEX('×入力'!$A$1:$L$1300,63+AQ$3,2+AQ$2)&lt;&gt;"",INDEX('×入力'!$A$1:$L$1300,62,2+AQ$2)&lt;&gt;"",INDEX('×入力'!$A$1:$L$1300,63+AQ$3,1)&lt;&gt;""),1,0),0)</f>
        <v/>
      </c>
      <c r="AR12">
        <f>IF(AR$4=1,IF(OR(INDEX('×入力'!$A$1:$L$1300,63+AR$3,2+AR$2)&lt;&gt;"",INDEX('×入力'!$A$1:$L$1300,62,2+AR$2)&lt;&gt;"",INDEX('×入力'!$A$1:$L$1300,63+AR$3,1)&lt;&gt;""),1,0),0)</f>
        <v/>
      </c>
      <c r="AS12">
        <f>IF(AS$4=1,IF(OR(INDEX('×入力'!$A$1:$L$1300,63+AS$3,2+AS$2)&lt;&gt;"",INDEX('×入力'!$A$1:$L$1300,62,2+AS$2)&lt;&gt;"",INDEX('×入力'!$A$1:$L$1300,63+AS$3,1)&lt;&gt;""),1,0),0)</f>
        <v/>
      </c>
      <c r="AT12">
        <f>IF(AT$4=1,IF(OR(INDEX('×入力'!$A$1:$L$1300,63+AT$3,2+AT$2)&lt;&gt;"",INDEX('×入力'!$A$1:$L$1300,62,2+AT$2)&lt;&gt;"",INDEX('×入力'!$A$1:$L$1300,63+AT$3,1)&lt;&gt;""),1,0),0)</f>
        <v/>
      </c>
      <c r="AU12">
        <f>IF(AU$4=1,IF(OR(INDEX('×入力'!$A$1:$L$1300,63+AU$3,2+AU$2)&lt;&gt;"",INDEX('×入力'!$A$1:$L$1300,62,2+AU$2)&lt;&gt;"",INDEX('×入力'!$A$1:$L$1300,63+AU$3,1)&lt;&gt;""),1,0),0)</f>
        <v/>
      </c>
      <c r="AV12">
        <f>IF(AV$4=1,IF(OR(INDEX('×入力'!$A$1:$L$1300,63+AV$3,2+AV$2)&lt;&gt;"",INDEX('×入力'!$A$1:$L$1300,62,2+AV$2)&lt;&gt;"",INDEX('×入力'!$A$1:$L$1300,63+AV$3,1)&lt;&gt;""),1,0),0)</f>
        <v/>
      </c>
      <c r="AW12">
        <f>IF(AW$4=1,IF(OR(INDEX('×入力'!$A$1:$L$1300,63+AW$3,2+AW$2)&lt;&gt;"",INDEX('×入力'!$A$1:$L$1300,62,2+AW$2)&lt;&gt;"",INDEX('×入力'!$A$1:$L$1300,63+AW$3,1)&lt;&gt;""),1,0),0)</f>
        <v/>
      </c>
      <c r="AX12">
        <f>IF(AX$4=1,IF(OR(INDEX('×入力'!$A$1:$L$1300,63+AX$3,2+AX$2)&lt;&gt;"",INDEX('×入力'!$A$1:$L$1300,62,2+AX$2)&lt;&gt;"",INDEX('×入力'!$A$1:$L$1300,63+AX$3,1)&lt;&gt;""),1,0),0)</f>
        <v/>
      </c>
      <c r="AY12">
        <f>IF(AY$4=1,IF(OR(INDEX('×入力'!$A$1:$L$1300,63+AY$3,2+AY$2)&lt;&gt;"",INDEX('×入力'!$A$1:$L$1300,62,2+AY$2)&lt;&gt;"",INDEX('×入力'!$A$1:$L$1300,63+AY$3,1)&lt;&gt;""),1,0),0)</f>
        <v/>
      </c>
      <c r="AZ12">
        <f>IF(AZ$4=1,IF(OR(INDEX('×入力'!$A$1:$L$1300,63+AZ$3,2+AZ$2)&lt;&gt;"",INDEX('×入力'!$A$1:$L$1300,62,2+AZ$2)&lt;&gt;"",INDEX('×入力'!$A$1:$L$1300,63+AZ$3,1)&lt;&gt;""),1,0),0)</f>
        <v/>
      </c>
      <c r="BA12">
        <f>IF(BA$4=1,IF(OR(INDEX('×入力'!$A$1:$L$1300,63+BA$3,2+BA$2)&lt;&gt;"",INDEX('×入力'!$A$1:$L$1300,62,2+BA$2)&lt;&gt;"",INDEX('×入力'!$A$1:$L$1300,63+BA$3,1)&lt;&gt;""),1,0),0)</f>
        <v/>
      </c>
      <c r="BB12">
        <f>IF(BB$4=1,IF(OR(INDEX('×入力'!$A$1:$L$1300,63+BB$3,2+BB$2)&lt;&gt;"",INDEX('×入力'!$A$1:$L$1300,62,2+BB$2)&lt;&gt;"",INDEX('×入力'!$A$1:$L$1300,63+BB$3,1)&lt;&gt;""),1,0),0)</f>
        <v/>
      </c>
      <c r="BC12">
        <f>IF(BC$4=1,IF(OR(INDEX('×入力'!$A$1:$L$1300,63+BC$3,2+BC$2)&lt;&gt;"",INDEX('×入力'!$A$1:$L$1300,62,2+BC$2)&lt;&gt;"",INDEX('×入力'!$A$1:$L$1300,63+BC$3,1)&lt;&gt;""),1,0),0)</f>
        <v/>
      </c>
      <c r="BD12">
        <f>IF(BD$4=1,IF(OR(INDEX('×入力'!$A$1:$L$1300,63+BD$3,2+BD$2)&lt;&gt;"",INDEX('×入力'!$A$1:$L$1300,62,2+BD$2)&lt;&gt;"",INDEX('×入力'!$A$1:$L$1300,63+BD$3,1)&lt;&gt;""),1,0),0)</f>
        <v/>
      </c>
      <c r="BE12">
        <f>IF(BE$4=1,IF(OR(INDEX('×入力'!$A$1:$L$1300,63+BE$3,2+BE$2)&lt;&gt;"",INDEX('×入力'!$A$1:$L$1300,62,2+BE$2)&lt;&gt;"",INDEX('×入力'!$A$1:$L$1300,63+BE$3,1)&lt;&gt;""),1,0),0)</f>
        <v/>
      </c>
      <c r="BF12">
        <f>IF(BF$4=1,IF(OR(INDEX('×入力'!$A$1:$L$1300,63+BF$3,2+BF$2)&lt;&gt;"",INDEX('×入力'!$A$1:$L$1300,62,2+BF$2)&lt;&gt;"",INDEX('×入力'!$A$1:$L$1300,63+BF$3,1)&lt;&gt;""),1,0),0)</f>
        <v/>
      </c>
      <c r="BG12">
        <f>IF(BG$4=1,IF(OR(INDEX('×入力'!$A$1:$L$1300,63+BG$3,2+BG$2)&lt;&gt;"",INDEX('×入力'!$A$1:$L$1300,62,2+BG$2)&lt;&gt;"",INDEX('×入力'!$A$1:$L$1300,63+BG$3,1)&lt;&gt;""),1,0),0)</f>
        <v/>
      </c>
      <c r="BH12">
        <f>IF(BH$4=1,IF(OR(INDEX('×入力'!$A$1:$L$1300,63+BH$3,2+BH$2)&lt;&gt;"",INDEX('×入力'!$A$1:$L$1300,62,2+BH$2)&lt;&gt;"",INDEX('×入力'!$A$1:$L$1300,63+BH$3,1)&lt;&gt;""),1,0),0)</f>
        <v/>
      </c>
      <c r="BI12">
        <f>IF(BI$4=1,IF(OR(INDEX('×入力'!$A$1:$L$1300,63+BI$3,2+BI$2)&lt;&gt;"",INDEX('×入力'!$A$1:$L$1300,62,2+BI$2)&lt;&gt;"",INDEX('×入力'!$A$1:$L$1300,63+BI$3,1)&lt;&gt;""),1,0),0)</f>
        <v/>
      </c>
      <c r="BJ12">
        <f>IF(BJ$4=1,IF(OR(INDEX('×入力'!$A$1:$L$1300,63+BJ$3,2+BJ$2)&lt;&gt;"",INDEX('×入力'!$A$1:$L$1300,62,2+BJ$2)&lt;&gt;"",INDEX('×入力'!$A$1:$L$1300,63+BJ$3,1)&lt;&gt;""),1,0),0)</f>
        <v/>
      </c>
      <c r="BK12">
        <f>IF(BK$4=1,IF(OR(INDEX('×入力'!$A$1:$L$1300,63+BK$3,2+BK$2)&lt;&gt;"",INDEX('×入力'!$A$1:$L$1300,62,2+BK$2)&lt;&gt;"",INDEX('×入力'!$A$1:$L$1300,63+BK$3,1)&lt;&gt;""),1,0),0)</f>
        <v/>
      </c>
      <c r="BL12">
        <f>IF(BL$4=1,IF(OR(INDEX('×入力'!$A$1:$L$1300,63+BL$3,2+BL$2)&lt;&gt;"",INDEX('×入力'!$A$1:$L$1300,62,2+BL$2)&lt;&gt;"",INDEX('×入力'!$A$1:$L$1300,63+BL$3,1)&lt;&gt;""),1,0),0)</f>
        <v/>
      </c>
      <c r="BM12">
        <f>IF(BM$4=1,IF(OR(INDEX('×入力'!$A$1:$L$1300,63+BM$3,2+BM$2)&lt;&gt;"",INDEX('×入力'!$A$1:$L$1300,62,2+BM$2)&lt;&gt;"",INDEX('×入力'!$A$1:$L$1300,63+BM$3,1)&lt;&gt;""),1,0),0)</f>
        <v/>
      </c>
      <c r="BN12">
        <f>IF(BN$4=1,IF(OR(INDEX('×入力'!$A$1:$L$1300,63+BN$3,2+BN$2)&lt;&gt;"",INDEX('×入力'!$A$1:$L$1300,62,2+BN$2)&lt;&gt;"",INDEX('×入力'!$A$1:$L$1300,63+BN$3,1)&lt;&gt;""),1,0),0)</f>
        <v/>
      </c>
      <c r="BO12">
        <f>IF(BO$4=1,IF(OR(INDEX('×入力'!$A$1:$L$1300,63+BO$3,2+BO$2)&lt;&gt;"",INDEX('×入力'!$A$1:$L$1300,62,2+BO$2)&lt;&gt;"",INDEX('×入力'!$A$1:$L$1300,63+BO$3,1)&lt;&gt;""),1,0),0)</f>
        <v/>
      </c>
      <c r="BP12">
        <f>IF(BP$4=1,IF(OR(INDEX('×入力'!$A$1:$L$1300,63+BP$3,2+BP$2)&lt;&gt;"",INDEX('×入力'!$A$1:$L$1300,62,2+BP$2)&lt;&gt;"",INDEX('×入力'!$A$1:$L$1300,63+BP$3,1)&lt;&gt;""),1,0),0)</f>
        <v/>
      </c>
      <c r="BQ12">
        <f>IF(BQ$4=1,IF(OR(INDEX('×入力'!$A$1:$L$1300,63+BQ$3,2+BQ$2)&lt;&gt;"",INDEX('×入力'!$A$1:$L$1300,62,2+BQ$2)&lt;&gt;"",INDEX('×入力'!$A$1:$L$1300,63+BQ$3,1)&lt;&gt;""),1,0),0)</f>
        <v/>
      </c>
      <c r="BR12">
        <f>IF(BR$4=1,IF(OR(INDEX('×入力'!$A$1:$L$1300,63+BR$3,2+BR$2)&lt;&gt;"",INDEX('×入力'!$A$1:$L$1300,62,2+BR$2)&lt;&gt;"",INDEX('×入力'!$A$1:$L$1300,63+BR$3,1)&lt;&gt;""),1,0),0)</f>
        <v/>
      </c>
      <c r="BS12">
        <f>IF(BS$4=1,IF(OR(INDEX('×入力'!$A$1:$L$1300,63+BS$3,2+BS$2)&lt;&gt;"",INDEX('×入力'!$A$1:$L$1300,62,2+BS$2)&lt;&gt;"",INDEX('×入力'!$A$1:$L$1300,63+BS$3,1)&lt;&gt;""),1,0),0)</f>
        <v/>
      </c>
      <c r="BT12">
        <f>IF(BT$4=1,IF(OR(INDEX('×入力'!$A$1:$L$1300,63+BT$3,2+BT$2)&lt;&gt;"",INDEX('×入力'!$A$1:$L$1300,62,2+BT$2)&lt;&gt;"",INDEX('×入力'!$A$1:$L$1300,63+BT$3,1)&lt;&gt;""),1,0),0)</f>
        <v/>
      </c>
      <c r="BU12">
        <f>IF(BU$4=1,IF(OR(INDEX('×入力'!$A$1:$L$1300,63+BU$3,2+BU$2)&lt;&gt;"",INDEX('×入力'!$A$1:$L$1300,62,2+BU$2)&lt;&gt;"",INDEX('×入力'!$A$1:$L$1300,63+BU$3,1)&lt;&gt;""),1,0),0)</f>
        <v/>
      </c>
      <c r="BV12">
        <f>IF(BV$4=1,IF(OR(INDEX('×入力'!$A$1:$L$1300,63+BV$3,2+BV$2)&lt;&gt;"",INDEX('×入力'!$A$1:$L$1300,62,2+BV$2)&lt;&gt;"",INDEX('×入力'!$A$1:$L$1300,63+BV$3,1)&lt;&gt;""),1,0),0)</f>
        <v/>
      </c>
      <c r="BW12">
        <f>IF(BW$4=1,IF(OR(INDEX('×入力'!$A$1:$L$1300,63+BW$3,2+BW$2)&lt;&gt;"",INDEX('×入力'!$A$1:$L$1300,62,2+BW$2)&lt;&gt;"",INDEX('×入力'!$A$1:$L$1300,63+BW$3,1)&lt;&gt;""),1,0),0)</f>
        <v/>
      </c>
      <c r="BX12">
        <f>IF(BX$4=1,IF(OR(INDEX('×入力'!$A$1:$L$1300,63+BX$3,2+BX$2)&lt;&gt;"",INDEX('×入力'!$A$1:$L$1300,62,2+BX$2)&lt;&gt;"",INDEX('×入力'!$A$1:$L$1300,63+BX$3,1)&lt;&gt;""),1,0),0)</f>
        <v/>
      </c>
      <c r="BY12">
        <f>IF(BY$4=1,IF(OR(INDEX('×入力'!$A$1:$L$1300,63+BY$3,2+BY$2)&lt;&gt;"",INDEX('×入力'!$A$1:$L$1300,62,2+BY$2)&lt;&gt;"",INDEX('×入力'!$A$1:$L$1300,63+BY$3,1)&lt;&gt;""),1,0),0)</f>
        <v/>
      </c>
      <c r="BZ12">
        <f>IF(BZ$4=1,IF(OR(INDEX('×入力'!$A$1:$L$1300,63+BZ$3,2+BZ$2)&lt;&gt;"",INDEX('×入力'!$A$1:$L$1300,62,2+BZ$2)&lt;&gt;"",INDEX('×入力'!$A$1:$L$1300,63+BZ$3,1)&lt;&gt;""),1,0),0)</f>
        <v/>
      </c>
      <c r="CA12">
        <f>IF(CA$4=1,IF(OR(INDEX('×入力'!$A$1:$L$1300,63+CA$3,2+CA$2)&lt;&gt;"",INDEX('×入力'!$A$1:$L$1300,62,2+CA$2)&lt;&gt;"",INDEX('×入力'!$A$1:$L$1300,63+CA$3,1)&lt;&gt;""),1,0),0)</f>
        <v/>
      </c>
      <c r="CB12">
        <f>IF(CB$4=1,IF(OR(INDEX('×入力'!$A$1:$L$1300,63+CB$3,2+CB$2)&lt;&gt;"",INDEX('×入力'!$A$1:$L$1300,62,2+CB$2)&lt;&gt;"",INDEX('×入力'!$A$1:$L$1300,63+CB$3,1)&lt;&gt;""),1,0),0)</f>
        <v/>
      </c>
      <c r="CC12">
        <f>IF(CC$4=1,IF(OR(INDEX('×入力'!$A$1:$L$1300,63+CC$3,2+CC$2)&lt;&gt;"",INDEX('×入力'!$A$1:$L$1300,62,2+CC$2)&lt;&gt;"",INDEX('×入力'!$A$1:$L$1300,63+CC$3,1)&lt;&gt;""),1,0),0)</f>
        <v/>
      </c>
      <c r="CD12">
        <f>IF(CD$4=1,IF(OR(INDEX('×入力'!$A$1:$L$1300,63+CD$3,2+CD$2)&lt;&gt;"",INDEX('×入力'!$A$1:$L$1300,62,2+CD$2)&lt;&gt;"",INDEX('×入力'!$A$1:$L$1300,63+CD$3,1)&lt;&gt;""),1,0),0)</f>
        <v/>
      </c>
      <c r="CE12">
        <f>IF(CE$4=1,IF(OR(INDEX('×入力'!$A$1:$L$1300,63+CE$3,2+CE$2)&lt;&gt;"",INDEX('×入力'!$A$1:$L$1300,62,2+CE$2)&lt;&gt;"",INDEX('×入力'!$A$1:$L$1300,63+CE$3,1)&lt;&gt;""),1,0),0)</f>
        <v/>
      </c>
      <c r="CF12">
        <f>IF(CF$4=1,IF(OR(INDEX('×入力'!$A$1:$L$1300,63+CF$3,2+CF$2)&lt;&gt;"",INDEX('×入力'!$A$1:$L$1300,62,2+CF$2)&lt;&gt;"",INDEX('×入力'!$A$1:$L$1300,63+CF$3,1)&lt;&gt;""),1,0),0)</f>
        <v/>
      </c>
      <c r="CG12">
        <f>IF(CG$4=1,IF(OR(INDEX('×入力'!$A$1:$L$1300,63+CG$3,2+CG$2)&lt;&gt;"",INDEX('×入力'!$A$1:$L$1300,62,2+CG$2)&lt;&gt;"",INDEX('×入力'!$A$1:$L$1300,63+CG$3,1)&lt;&gt;""),1,0),0)</f>
        <v/>
      </c>
      <c r="CH12">
        <f>IF(CH$4=1,IF(OR(INDEX('×入力'!$A$1:$L$1300,63+CH$3,2+CH$2)&lt;&gt;"",INDEX('×入力'!$A$1:$L$1300,62,2+CH$2)&lt;&gt;"",INDEX('×入力'!$A$1:$L$1300,63+CH$3,1)&lt;&gt;""),1,0),0)</f>
        <v/>
      </c>
      <c r="CI12">
        <f>IF(CI$4=1,IF(OR(INDEX('×入力'!$A$1:$L$1300,63+CI$3,2+CI$2)&lt;&gt;"",INDEX('×入力'!$A$1:$L$1300,62,2+CI$2)&lt;&gt;"",INDEX('×入力'!$A$1:$L$1300,63+CI$3,1)&lt;&gt;""),1,0),0)</f>
        <v/>
      </c>
      <c r="CJ12">
        <f>IF(CJ$4=1,IF(OR(INDEX('×入力'!$A$1:$L$1300,63+CJ$3,2+CJ$2)&lt;&gt;"",INDEX('×入力'!$A$1:$L$1300,62,2+CJ$2)&lt;&gt;"",INDEX('×入力'!$A$1:$L$1300,63+CJ$3,1)&lt;&gt;""),1,0),0)</f>
        <v/>
      </c>
      <c r="CK12">
        <f>IF(CK$4=1,IF(OR(INDEX('×入力'!$A$1:$L$1300,63+CK$3,2+CK$2)&lt;&gt;"",INDEX('×入力'!$A$1:$L$1300,62,2+CK$2)&lt;&gt;"",INDEX('×入力'!$A$1:$L$1300,63+CK$3,1)&lt;&gt;""),1,0),0)</f>
        <v/>
      </c>
      <c r="CL12">
        <f>IF(CL$4=1,IF(OR(INDEX('×入力'!$A$1:$L$1300,63+CL$3,2+CL$2)&lt;&gt;"",INDEX('×入力'!$A$1:$L$1300,62,2+CL$2)&lt;&gt;"",INDEX('×入力'!$A$1:$L$1300,63+CL$3,1)&lt;&gt;""),1,0),0)</f>
        <v/>
      </c>
      <c r="CM12">
        <f>IF(CM$4=1,IF(OR(INDEX('×入力'!$A$1:$L$1300,63+CM$3,2+CM$2)&lt;&gt;"",INDEX('×入力'!$A$1:$L$1300,62,2+CM$2)&lt;&gt;"",INDEX('×入力'!$A$1:$L$1300,63+CM$3,1)&lt;&gt;""),1,0),0)</f>
        <v/>
      </c>
      <c r="CN12">
        <f>IF(CN$4=1,IF(OR(INDEX('×入力'!$A$1:$L$1300,63+CN$3,2+CN$2)&lt;&gt;"",INDEX('×入力'!$A$1:$L$1300,62,2+CN$2)&lt;&gt;"",INDEX('×入力'!$A$1:$L$1300,63+CN$3,1)&lt;&gt;""),1,0),0)</f>
        <v/>
      </c>
      <c r="CO12">
        <f>IF(CO$4=1,IF(OR(INDEX('×入力'!$A$1:$L$1300,63+CO$3,2+CO$2)&lt;&gt;"",INDEX('×入力'!$A$1:$L$1300,62,2+CO$2)&lt;&gt;"",INDEX('×入力'!$A$1:$L$1300,63+CO$3,1)&lt;&gt;""),1,0),0)</f>
        <v/>
      </c>
      <c r="CP12">
        <f>IF(CP$4=1,IF(OR(INDEX('×入力'!$A$1:$L$1300,63+CP$3,2+CP$2)&lt;&gt;"",INDEX('×入力'!$A$1:$L$1300,62,2+CP$2)&lt;&gt;"",INDEX('×入力'!$A$1:$L$1300,63+CP$3,1)&lt;&gt;""),1,0),0)</f>
        <v/>
      </c>
      <c r="CQ12">
        <f>IF(CQ$4=1,IF(OR(INDEX('×入力'!$A$1:$L$1300,63+CQ$3,2+CQ$2)&lt;&gt;"",INDEX('×入力'!$A$1:$L$1300,62,2+CQ$2)&lt;&gt;"",INDEX('×入力'!$A$1:$L$1300,63+CQ$3,1)&lt;&gt;""),1,0),0)</f>
        <v/>
      </c>
      <c r="CR12">
        <f>IF(CR$4=1,IF(OR(INDEX('×入力'!$A$1:$L$1300,63+CR$3,2+CR$2)&lt;&gt;"",INDEX('×入力'!$A$1:$L$1300,62,2+CR$2)&lt;&gt;"",INDEX('×入力'!$A$1:$L$1300,63+CR$3,1)&lt;&gt;""),1,0),0)</f>
        <v/>
      </c>
      <c r="CS12">
        <f>IF(CS$4=1,IF(OR(INDEX('×入力'!$A$1:$L$1300,63+CS$3,2+CS$2)&lt;&gt;"",INDEX('×入力'!$A$1:$L$1300,62,2+CS$2)&lt;&gt;"",INDEX('×入力'!$A$1:$L$1300,63+CS$3,1)&lt;&gt;""),1,0),0)</f>
        <v/>
      </c>
      <c r="CT12">
        <f>IF(CT$4=1,IF(OR(INDEX('×入力'!$A$1:$L$1300,63+CT$3,2+CT$2)&lt;&gt;"",INDEX('×入力'!$A$1:$L$1300,62,2+CT$2)&lt;&gt;"",INDEX('×入力'!$A$1:$L$1300,63+CT$3,1)&lt;&gt;""),1,0),0)</f>
        <v/>
      </c>
      <c r="CU12">
        <f>IF(CU$4=1,IF(OR(INDEX('×入力'!$A$1:$L$1300,63+CU$3,2+CU$2)&lt;&gt;"",INDEX('×入力'!$A$1:$L$1300,62,2+CU$2)&lt;&gt;"",INDEX('×入力'!$A$1:$L$1300,63+CU$3,1)&lt;&gt;""),1,0),0)</f>
        <v/>
      </c>
      <c r="CV12">
        <f>IF(CV$4=1,IF(OR(INDEX('×入力'!$A$1:$L$1300,63+CV$3,2+CV$2)&lt;&gt;"",INDEX('×入力'!$A$1:$L$1300,62,2+CV$2)&lt;&gt;"",INDEX('×入力'!$A$1:$L$1300,63+CV$3,1)&lt;&gt;""),1,0),0)</f>
        <v/>
      </c>
      <c r="CW12">
        <f>IF(CW$4=1,IF(OR(INDEX('×入力'!$A$1:$L$1300,63+CW$3,2+CW$2)&lt;&gt;"",INDEX('×入力'!$A$1:$L$1300,62,2+CW$2)&lt;&gt;"",INDEX('×入力'!$A$1:$L$1300,63+CW$3,1)&lt;&gt;""),1,0),0)</f>
        <v/>
      </c>
      <c r="CX12">
        <f>IF(CX$4=1,IF(OR(INDEX('×入力'!$A$1:$L$1300,63+CX$3,2+CX$2)&lt;&gt;"",INDEX('×入力'!$A$1:$L$1300,62,2+CX$2)&lt;&gt;"",INDEX('×入力'!$A$1:$L$1300,63+CX$3,1)&lt;&gt;""),1,0),0)</f>
        <v/>
      </c>
      <c r="CY12">
        <f>IF(CY$4=1,IF(OR(INDEX('×入力'!$A$1:$L$1300,63+CY$3,2+CY$2)&lt;&gt;"",INDEX('×入力'!$A$1:$L$1300,62,2+CY$2)&lt;&gt;"",INDEX('×入力'!$A$1:$L$1300,63+CY$3,1)&lt;&gt;""),1,0),0)</f>
        <v/>
      </c>
      <c r="CZ12">
        <f>IF(CZ$4=1,IF(OR(INDEX('×入力'!$A$1:$L$1300,63+CZ$3,2+CZ$2)&lt;&gt;"",INDEX('×入力'!$A$1:$L$1300,62,2+CZ$2)&lt;&gt;"",INDEX('×入力'!$A$1:$L$1300,63+CZ$3,1)&lt;&gt;""),1,0),0)</f>
        <v/>
      </c>
      <c r="DA12">
        <f>IF(DA$4=1,IF(OR(INDEX('×入力'!$A$1:$L$1300,63+DA$3,2+DA$2)&lt;&gt;"",INDEX('×入力'!$A$1:$L$1300,62,2+DA$2)&lt;&gt;"",INDEX('×入力'!$A$1:$L$1300,63+DA$3,1)&lt;&gt;""),1,0),0)</f>
        <v/>
      </c>
      <c r="DB12">
        <f>IF(DB$4=1,IF(OR(INDEX('×入力'!$A$1:$L$1300,63+DB$3,2+DB$2)&lt;&gt;"",INDEX('×入力'!$A$1:$L$1300,62,2+DB$2)&lt;&gt;"",INDEX('×入力'!$A$1:$L$1300,63+DB$3,1)&lt;&gt;""),1,0),0)</f>
        <v/>
      </c>
      <c r="DC12">
        <f>IF(DC$4=1,IF(OR(INDEX('×入力'!$A$1:$L$1300,63+DC$3,2+DC$2)&lt;&gt;"",INDEX('×入力'!$A$1:$L$1300,62,2+DC$2)&lt;&gt;"",INDEX('×入力'!$A$1:$L$1300,63+DC$3,1)&lt;&gt;""),1,0),0)</f>
        <v/>
      </c>
      <c r="DD12">
        <f>IF(DD$4=1,IF(OR(INDEX('×入力'!$A$1:$L$1300,63+DD$3,2+DD$2)&lt;&gt;"",INDEX('×入力'!$A$1:$L$1300,62,2+DD$2)&lt;&gt;"",INDEX('×入力'!$A$1:$L$1300,63+DD$3,1)&lt;&gt;""),1,0),0)</f>
        <v/>
      </c>
      <c r="DE12">
        <f>IF(DE$4=1,IF(OR(INDEX('×入力'!$A$1:$L$1300,63+DE$3,2+DE$2)&lt;&gt;"",INDEX('×入力'!$A$1:$L$1300,62,2+DE$2)&lt;&gt;"",INDEX('×入力'!$A$1:$L$1300,63+DE$3,1)&lt;&gt;""),1,0),0)</f>
        <v/>
      </c>
      <c r="DF12">
        <f>IF(DF$4=1,IF(OR(INDEX('×入力'!$A$1:$L$1300,63+DF$3,2+DF$2)&lt;&gt;"",INDEX('×入力'!$A$1:$L$1300,62,2+DF$2)&lt;&gt;"",INDEX('×入力'!$A$1:$L$1300,63+DF$3,1)&lt;&gt;""),1,0),0)</f>
        <v/>
      </c>
      <c r="DG12">
        <f>IF(DG$4=1,IF(OR(INDEX('×入力'!$A$1:$L$1300,63+DG$3,2+DG$2)&lt;&gt;"",INDEX('×入力'!$A$1:$L$1300,62,2+DG$2)&lt;&gt;"",INDEX('×入力'!$A$1:$L$1300,63+DG$3,1)&lt;&gt;""),1,0),0)</f>
        <v/>
      </c>
      <c r="DH12">
        <f>IF(DH$4=1,IF(OR(INDEX('×入力'!$A$1:$L$1300,63+DH$3,2+DH$2)&lt;&gt;"",INDEX('×入力'!$A$1:$L$1300,62,2+DH$2)&lt;&gt;"",INDEX('×入力'!$A$1:$L$1300,63+DH$3,1)&lt;&gt;""),1,0),0)</f>
        <v/>
      </c>
      <c r="DI12">
        <f>IF(DI$4=1,IF(OR(INDEX('×入力'!$A$1:$L$1300,63+DI$3,2+DI$2)&lt;&gt;"",INDEX('×入力'!$A$1:$L$1300,62,2+DI$2)&lt;&gt;"",INDEX('×入力'!$A$1:$L$1300,63+DI$3,1)&lt;&gt;""),1,0),0)</f>
        <v/>
      </c>
      <c r="DJ12">
        <f>IF(DJ$4=1,IF(OR(INDEX('×入力'!$A$1:$L$1300,63+DJ$3,2+DJ$2)&lt;&gt;"",INDEX('×入力'!$A$1:$L$1300,62,2+DJ$2)&lt;&gt;"",INDEX('×入力'!$A$1:$L$1300,63+DJ$3,1)&lt;&gt;""),1,0),0)</f>
        <v/>
      </c>
      <c r="DK12">
        <f>IF(DK$4=1,IF(OR(INDEX('×入力'!$A$1:$L$1300,63+DK$3,2+DK$2)&lt;&gt;"",INDEX('×入力'!$A$1:$L$1300,62,2+DK$2)&lt;&gt;"",INDEX('×入力'!$A$1:$L$1300,63+DK$3,1)&lt;&gt;""),1,0),0)</f>
        <v/>
      </c>
      <c r="DL12">
        <f>IF(DL$4=1,IF(OR(INDEX('×入力'!$A$1:$L$1300,63+DL$3,2+DL$2)&lt;&gt;"",INDEX('×入力'!$A$1:$L$1300,62,2+DL$2)&lt;&gt;"",INDEX('×入力'!$A$1:$L$1300,63+DL$3,1)&lt;&gt;""),1,0),0)</f>
        <v/>
      </c>
      <c r="DM12">
        <f>IF(DM$4=1,IF(OR(INDEX('×入力'!$A$1:$L$1300,63+DM$3,2+DM$2)&lt;&gt;"",INDEX('×入力'!$A$1:$L$1300,62,2+DM$2)&lt;&gt;"",INDEX('×入力'!$A$1:$L$1300,63+DM$3,1)&lt;&gt;""),1,0),0)</f>
        <v/>
      </c>
      <c r="DN12">
        <f>IF(DN$4=1,IF(OR(INDEX('×入力'!$A$1:$L$1300,63+DN$3,2+DN$2)&lt;&gt;"",INDEX('×入力'!$A$1:$L$1300,62,2+DN$2)&lt;&gt;"",INDEX('×入力'!$A$1:$L$1300,63+DN$3,1)&lt;&gt;""),1,0),0)</f>
        <v/>
      </c>
      <c r="DO12">
        <f>IF(DO$4=1,IF(OR(INDEX('×入力'!$A$1:$L$1300,63+DO$3,2+DO$2)&lt;&gt;"",INDEX('×入力'!$A$1:$L$1300,62,2+DO$2)&lt;&gt;"",INDEX('×入力'!$A$1:$L$1300,63+DO$3,1)&lt;&gt;""),1,0),0)</f>
        <v/>
      </c>
      <c r="DP12">
        <f>IF(DP$4=1,IF(OR(INDEX('×入力'!$A$1:$L$1300,63+DP$3,2+DP$2)&lt;&gt;"",INDEX('×入力'!$A$1:$L$1300,62,2+DP$2)&lt;&gt;"",INDEX('×入力'!$A$1:$L$1300,63+DP$3,1)&lt;&gt;""),1,0),0)</f>
        <v/>
      </c>
      <c r="DQ12">
        <f>IF(DQ$4=1,IF(OR(INDEX('×入力'!$A$1:$L$1300,63+DQ$3,2+DQ$2)&lt;&gt;"",INDEX('×入力'!$A$1:$L$1300,62,2+DQ$2)&lt;&gt;"",INDEX('×入力'!$A$1:$L$1300,63+DQ$3,1)&lt;&gt;""),1,0),0)</f>
        <v/>
      </c>
      <c r="DR12">
        <f>IF(DR$4=1,IF(OR(INDEX('×入力'!$A$1:$L$1300,63+DR$3,2+DR$2)&lt;&gt;"",INDEX('×入力'!$A$1:$L$1300,62,2+DR$2)&lt;&gt;"",INDEX('×入力'!$A$1:$L$1300,63+DR$3,1)&lt;&gt;""),1,0),0)</f>
        <v/>
      </c>
      <c r="DS12">
        <f>IF(DS$4=1,IF(OR(INDEX('×入力'!$A$1:$L$1300,63+DS$3,2+DS$2)&lt;&gt;"",INDEX('×入力'!$A$1:$L$1300,62,2+DS$2)&lt;&gt;"",INDEX('×入力'!$A$1:$L$1300,63+DS$3,1)&lt;&gt;""),1,0),0)</f>
        <v/>
      </c>
      <c r="DT12">
        <f>IF(DT$4=1,IF(OR(INDEX('×入力'!$A$1:$L$1300,63+DT$3,2+DT$2)&lt;&gt;"",INDEX('×入力'!$A$1:$L$1300,62,2+DT$2)&lt;&gt;"",INDEX('×入力'!$A$1:$L$1300,63+DT$3,1)&lt;&gt;""),1,0),0)</f>
        <v/>
      </c>
      <c r="DU12">
        <f>IF(DU$4=1,IF(OR(INDEX('×入力'!$A$1:$L$1300,63+DU$3,2+DU$2)&lt;&gt;"",INDEX('×入力'!$A$1:$L$1300,62,2+DU$2)&lt;&gt;"",INDEX('×入力'!$A$1:$L$1300,63+DU$3,1)&lt;&gt;""),1,0),0)</f>
        <v/>
      </c>
      <c r="DV12">
        <f>IF(DV$4=1,IF(OR(INDEX('×入力'!$A$1:$L$1300,63+DV$3,2+DV$2)&lt;&gt;"",INDEX('×入力'!$A$1:$L$1300,62,2+DV$2)&lt;&gt;"",INDEX('×入力'!$A$1:$L$1300,63+DV$3,1)&lt;&gt;""),1,0),0)</f>
        <v/>
      </c>
      <c r="DW12">
        <f>IF(DW$4=1,IF(OR(INDEX('×入力'!$A$1:$L$1300,63+DW$3,2+DW$2)&lt;&gt;"",INDEX('×入力'!$A$1:$L$1300,62,2+DW$2)&lt;&gt;"",INDEX('×入力'!$A$1:$L$1300,63+DW$3,1)&lt;&gt;""),1,0),0)</f>
        <v/>
      </c>
      <c r="DX12">
        <f>IF(DX$4=1,IF(OR(INDEX('×入力'!$A$1:$L$1300,63+DX$3,2+DX$2)&lt;&gt;"",INDEX('×入力'!$A$1:$L$1300,62,2+DX$2)&lt;&gt;"",INDEX('×入力'!$A$1:$L$1300,63+DX$3,1)&lt;&gt;""),1,0),0)</f>
        <v/>
      </c>
      <c r="DY12">
        <f>IF(DY$4=1,IF(OR(INDEX('×入力'!$A$1:$L$1300,63+DY$3,2+DY$2)&lt;&gt;"",INDEX('×入力'!$A$1:$L$1300,62,2+DY$2)&lt;&gt;"",INDEX('×入力'!$A$1:$L$1300,63+DY$3,1)&lt;&gt;""),1,0),0)</f>
        <v/>
      </c>
      <c r="DZ12">
        <f>IF(DZ$4=1,IF(OR(INDEX('×入力'!$A$1:$L$1300,63+DZ$3,2+DZ$2)&lt;&gt;"",INDEX('×入力'!$A$1:$L$1300,62,2+DZ$2)&lt;&gt;"",INDEX('×入力'!$A$1:$L$1300,63+DZ$3,1)&lt;&gt;""),1,0),0)</f>
        <v/>
      </c>
      <c r="EA12">
        <f>IF(EA$4=1,IF(OR(INDEX('×入力'!$A$1:$L$1300,63+EA$3,2+EA$2)&lt;&gt;"",INDEX('×入力'!$A$1:$L$1300,62,2+EA$2)&lt;&gt;"",INDEX('×入力'!$A$1:$L$1300,63+EA$3,1)&lt;&gt;""),1,0),0)</f>
        <v/>
      </c>
      <c r="EB12">
        <f>IF(EB$4=1,IF(OR(INDEX('×入力'!$A$1:$L$1300,63+EB$3,2+EB$2)&lt;&gt;"",INDEX('×入力'!$A$1:$L$1300,62,2+EB$2)&lt;&gt;"",INDEX('×入力'!$A$1:$L$1300,63+EB$3,1)&lt;&gt;""),1,0),0)</f>
        <v/>
      </c>
      <c r="EC12">
        <f>IF(EC$4=1,IF(OR(INDEX('×入力'!$A$1:$L$1300,63+EC$3,2+EC$2)&lt;&gt;"",INDEX('×入力'!$A$1:$L$1300,62,2+EC$2)&lt;&gt;"",INDEX('×入力'!$A$1:$L$1300,63+EC$3,1)&lt;&gt;""),1,0),0)</f>
        <v/>
      </c>
      <c r="ED12">
        <f>IF(ED$4=1,IF(OR(INDEX('×入力'!$A$1:$L$1300,63+ED$3,2+ED$2)&lt;&gt;"",INDEX('×入力'!$A$1:$L$1300,62,2+ED$2)&lt;&gt;"",INDEX('×入力'!$A$1:$L$1300,63+ED$3,1)&lt;&gt;""),1,0),0)</f>
        <v/>
      </c>
      <c r="EE12">
        <f>IF(EE$4=1,IF(OR(INDEX('×入力'!$A$1:$L$1300,63+EE$3,2+EE$2)&lt;&gt;"",INDEX('×入力'!$A$1:$L$1300,62,2+EE$2)&lt;&gt;"",INDEX('×入力'!$A$1:$L$1300,63+EE$3,1)&lt;&gt;""),1,0),0)</f>
        <v/>
      </c>
      <c r="EF12">
        <f>IF(EF$4=1,IF(OR(INDEX('×入力'!$A$1:$L$1300,63+EF$3,2+EF$2)&lt;&gt;"",INDEX('×入力'!$A$1:$L$1300,62,2+EF$2)&lt;&gt;"",INDEX('×入力'!$A$1:$L$1300,63+EF$3,1)&lt;&gt;""),1,0),0)</f>
        <v/>
      </c>
      <c r="EG12">
        <f>IF(EG$4=1,IF(OR(INDEX('×入力'!$A$1:$L$1300,63+EG$3,2+EG$2)&lt;&gt;"",INDEX('×入力'!$A$1:$L$1300,62,2+EG$2)&lt;&gt;"",INDEX('×入力'!$A$1:$L$1300,63+EG$3,1)&lt;&gt;""),1,0),0)</f>
        <v/>
      </c>
      <c r="EH12">
        <f>IF(EH$4=1,IF(OR(INDEX('×入力'!$A$1:$L$1300,63+EH$3,2+EH$2)&lt;&gt;"",INDEX('×入力'!$A$1:$L$1300,62,2+EH$2)&lt;&gt;"",INDEX('×入力'!$A$1:$L$1300,63+EH$3,1)&lt;&gt;""),1,0),0)</f>
        <v/>
      </c>
      <c r="EI12">
        <f>IF(EI$4=1,IF(OR(INDEX('×入力'!$A$1:$L$1300,63+EI$3,2+EI$2)&lt;&gt;"",INDEX('×入力'!$A$1:$L$1300,62,2+EI$2)&lt;&gt;"",INDEX('×入力'!$A$1:$L$1300,63+EI$3,1)&lt;&gt;""),1,0),0)</f>
        <v/>
      </c>
      <c r="EJ12">
        <f>IF(EJ$4=1,IF(OR(INDEX('×入力'!$A$1:$L$1300,63+EJ$3,2+EJ$2)&lt;&gt;"",INDEX('×入力'!$A$1:$L$1300,62,2+EJ$2)&lt;&gt;"",INDEX('×入力'!$A$1:$L$1300,63+EJ$3,1)&lt;&gt;""),1,0),0)</f>
        <v/>
      </c>
      <c r="EK12">
        <f>IF(EK$4=1,IF(OR(INDEX('×入力'!$A$1:$L$1300,63+EK$3,2+EK$2)&lt;&gt;"",INDEX('×入力'!$A$1:$L$1300,62,2+EK$2)&lt;&gt;"",INDEX('×入力'!$A$1:$L$1300,63+EK$3,1)&lt;&gt;""),1,0),0)</f>
        <v/>
      </c>
      <c r="EL12">
        <f>IF(EL$4=1,IF(OR(INDEX('×入力'!$A$1:$L$1300,63+EL$3,2+EL$2)&lt;&gt;"",INDEX('×入力'!$A$1:$L$1300,62,2+EL$2)&lt;&gt;"",INDEX('×入力'!$A$1:$L$1300,63+EL$3,1)&lt;&gt;""),1,0),0)</f>
        <v/>
      </c>
      <c r="EM12">
        <f>IF(EM$4=1,IF(OR(INDEX('×入力'!$A$1:$L$1300,63+EM$3,2+EM$2)&lt;&gt;"",INDEX('×入力'!$A$1:$L$1300,62,2+EM$2)&lt;&gt;"",INDEX('×入力'!$A$1:$L$1300,63+EM$3,1)&lt;&gt;""),1,0),0)</f>
        <v/>
      </c>
      <c r="EN12">
        <f>IF(EN$4=1,IF(OR(INDEX('×入力'!$A$1:$L$1300,63+EN$3,2+EN$2)&lt;&gt;"",INDEX('×入力'!$A$1:$L$1300,62,2+EN$2)&lt;&gt;"",INDEX('×入力'!$A$1:$L$1300,63+EN$3,1)&lt;&gt;""),1,0),0)</f>
        <v/>
      </c>
      <c r="EO12">
        <f>IF(EO$4=1,IF(OR(INDEX('×入力'!$A$1:$L$1300,63+EO$3,2+EO$2)&lt;&gt;"",INDEX('×入力'!$A$1:$L$1300,62,2+EO$2)&lt;&gt;"",INDEX('×入力'!$A$1:$L$1300,63+EO$3,1)&lt;&gt;""),1,0),0)</f>
        <v/>
      </c>
      <c r="EP12">
        <f>IF(EP$4=1,IF(OR(INDEX('×入力'!$A$1:$L$1300,63+EP$3,2+EP$2)&lt;&gt;"",INDEX('×入力'!$A$1:$L$1300,62,2+EP$2)&lt;&gt;"",INDEX('×入力'!$A$1:$L$1300,63+EP$3,1)&lt;&gt;""),1,0),0)</f>
        <v/>
      </c>
      <c r="EQ12">
        <f>IF(EQ$4=1,IF(OR(INDEX('×入力'!$A$1:$L$1300,63+EQ$3,2+EQ$2)&lt;&gt;"",INDEX('×入力'!$A$1:$L$1300,62,2+EQ$2)&lt;&gt;"",INDEX('×入力'!$A$1:$L$1300,63+EQ$3,1)&lt;&gt;""),1,0),0)</f>
        <v/>
      </c>
      <c r="HA12">
        <f>MAX(0,IT12)</f>
        <v/>
      </c>
      <c r="HB12">
        <f>IF(HA12=0,0,INDEX($D$2:$EQ$2,HA12))</f>
        <v/>
      </c>
      <c r="HC12">
        <f>IF(HA12=0,0,INDEX($D$3:$EQ$3,HA12))</f>
        <v/>
      </c>
      <c r="HD12">
        <f>MAX(0,IY12)</f>
        <v/>
      </c>
      <c r="HE12">
        <f>IF(HD12=0,0,INDEX($D$2:$EQ$2,HD12))</f>
        <v/>
      </c>
      <c r="HF12">
        <f>IF(HD12=0,0,INDEX($D$3:$EQ$3,HD12))</f>
        <v/>
      </c>
      <c r="HG12">
        <f>MAX(0,IZ12)</f>
        <v/>
      </c>
      <c r="HH12">
        <f>IF(HG12=0,0,INDEX($D$2:$EQ$2,HG12))</f>
        <v/>
      </c>
      <c r="HI12">
        <f>IF(HG12=0,0,INDEX($D$3:$EQ$3,HG12))</f>
        <v/>
      </c>
      <c r="HJ12">
        <f>IF(AND(HA12&gt;0,HC12&gt;1,OR(HC12-1&lt;&gt;$A$3,$A$4=0)),HA12-1,-1)</f>
        <v/>
      </c>
      <c r="HK12">
        <f>IF(AND(HA12&gt;0,HC12&lt;24,OR(HC12&lt;&gt;$A$3,$A$4=0)),HA12+1,-1)</f>
        <v/>
      </c>
      <c r="HL12">
        <f>IF(AND(HD12&gt;0,HF12&gt;1,OR(HF12-1&lt;&gt;$A$3,$A$4=0)),HD12-1,-1)</f>
        <v/>
      </c>
      <c r="HM12">
        <f>IF(AND(HD12&gt;0,HF12&lt;24,OR(HF12&lt;&gt;$A$3,$A$4=0)),HD12+1,-1)</f>
        <v/>
      </c>
      <c r="HN12">
        <f>IF(AND(HG12&gt;0,HI12&gt;1,OR(HI12-1&lt;&gt;$A$3,$A$4=0)),HG12-1,-1)</f>
        <v/>
      </c>
      <c r="HO12">
        <f>IF(AND(HG12&gt;0,HI12&lt;24,OR(HI12&lt;&gt;$A$3,$A$4=0)),HG12+1,-1)</f>
        <v/>
      </c>
      <c r="IK12">
        <f>IFERROR(INDEX('calcB'!$C$3:$C$47,MATCH(A12,'calcB'!$B$3:$B$47,0)),0)</f>
        <v/>
      </c>
      <c r="IL12">
        <f>IF(AND(C12=1,IK12=0,calcA!$A$6=1),1,0)</f>
        <v/>
      </c>
      <c r="IM12">
        <f>SUMPRODUCT(D62:EQ62*(1-$D$7:$EQ$7))</f>
        <v/>
      </c>
      <c r="IN12">
        <f>SUM(D12:EQ12)</f>
        <v/>
      </c>
      <c r="IO12">
        <f>IF(B12="",0,IF(COUNTIF('調整・決定'!$C$6:$H$29,B12)=1,SUMPRODUCT(('調整・決定'!$C$6:$H$29=B12)*((COLUMN('調整・決定'!$C$6:$H$29)-3)*24+ROW('調整・決定'!$C$6:$H$29)-5)),0))</f>
        <v/>
      </c>
      <c r="IP12">
        <f>IFERROR(MATCH('名簿'!C7,{"早い時刻","遅い時刻","早い日","遅い日"},0),0)</f>
        <v/>
      </c>
      <c r="IQ12">
        <f>IF('名簿'!D7="必ず空けたい",2,IF('名簿'!D7="出来れば空けたい",1,0))</f>
        <v/>
      </c>
      <c r="IR12">
        <f>IFERROR(INDEX('calcC'!$C$3:$C$47,MATCH(A12,'calcC'!$B$3:$B$47,0)),0)</f>
        <v/>
      </c>
      <c r="IS12">
        <f>IF(AND(C12=1,IR12=0,calcA!$A$6=1),1,0)</f>
        <v/>
      </c>
      <c r="IT12">
        <f>IF(OR('名簿'!G7="",'名簿'!H7=""),0,IFERROR((MATCH('名簿'!G7,'設定'!$E$11:$E$16,0)-1)*24+MATCH('名簿'!H7,'設定'!$I$11:$I$34,0),-1))</f>
        <v/>
      </c>
      <c r="IV12">
        <f>IF(OR(JF12=0,IO12=0),1,IF(OR(IF(IT12&gt;0,AND(INDEX($D$2:$EQ$2,IO12)=INDEX($D$2:$EQ$2,IT12),OR(AND(IO12=IT12+1,OR(INDEX($D$3:$EQ$3,IT12)&lt;&gt;$A$3,$A$4=0)),AND(IO12=IT12-1,OR(INDEX($D$3:$EQ$3,IO12)&lt;&gt;$A$3,$A$4=0)))),FALSE),IF(IY12&gt;0,AND(INDEX($D$2:$EQ$2,IO12)=INDEX($D$2:$EQ$2,IY12),OR(AND(IO12=IY12+1,OR(INDEX($D$3:$EQ$3,IY12)&lt;&gt;$A$3,$A$4=0)),AND(IO12=IY12-1,OR(INDEX($D$3:$EQ$3,IO12)&lt;&gt;$A$3,$A$4=0)))),FALSE),IF(IZ12&gt;0,AND(INDEX($D$2:$EQ$2,IO12)=INDEX($D$2:$EQ$2,IZ12),OR(AND(IO12=IZ12+1,OR(INDEX($D$3:$EQ$3,IZ12)&lt;&gt;$A$3,$A$4=0)),AND(IO12=IZ12-1,OR(INDEX($D$3:$EQ$3,IO12)&lt;&gt;$A$3,$A$4=0)))),FALSE)),1,0))</f>
        <v/>
      </c>
      <c r="IW12">
        <f>IF(AND('名簿'!E7&lt;&gt;"",JF12=0),1,0)</f>
        <v/>
      </c>
      <c r="IX12">
        <f>IF('名簿'!D7="空けない",1,0)</f>
        <v/>
      </c>
      <c r="IY12">
        <f>IF(OR('名簿'!J7="",'名簿'!K7=""),0,IFERROR((MATCH('名簿'!J7,'設定'!$E$11:$E$16,0)-1)*24+MATCH('名簿'!K7,'設定'!$I$11:$I$34,0),-1))</f>
        <v/>
      </c>
      <c r="IZ12">
        <f>IF(OR('名簿'!M7="",'名簿'!N7=""),0,IFERROR((MATCH('名簿'!M7,'設定'!$E$11:$E$16,0)-1)*24+MATCH('名簿'!N7,'設定'!$I$11:$I$34,0),-1))</f>
        <v/>
      </c>
      <c r="JC12">
        <f>IF(RIGHT('名簿'!I7,2)="の前",1,IF(RIGHT('名簿'!I7,2)="の後",2,0))</f>
        <v/>
      </c>
      <c r="JD12">
        <f>IF(RIGHT('名簿'!L7,2)="の前",1,IF(RIGHT('名簿'!L7,2)="の後",2,0))</f>
        <v/>
      </c>
      <c r="JE12">
        <f>IF(RIGHT('名簿'!O7,2)="の前",1,IF(RIGHT('名簿'!O7,2)="の後",2,0))</f>
        <v/>
      </c>
      <c r="JF12">
        <f>IF(OR(IT12&gt;0,IY12&gt;0,IZ12&gt;0),1,0)</f>
        <v/>
      </c>
      <c r="JG12">
        <f>IF(OR(IT12&lt;0,IY12&lt;0,IZ12&lt;0),1,0)</f>
        <v/>
      </c>
    </row>
    <row r="13">
      <c r="A13" t="n">
        <v>4</v>
      </c>
      <c r="B13">
        <f>'名簿'!P8</f>
        <v/>
      </c>
      <c r="C13">
        <f>IF(AND(B13&lt;&gt;"",OR('名簿'!Q8="入力済み",'名簿'!Q8="×なし"),IO13=0,COUNTIF('調整・決定'!$C$6:$H$29,B13)=0),1,0)</f>
        <v/>
      </c>
      <c r="D13">
        <f>IF(D$4=1,IF(OR(INDEX('×入力'!$A$1:$L$1300,91+D$3,2+D$2)&lt;&gt;"",INDEX('×入力'!$A$1:$L$1300,90,2+D$2)&lt;&gt;"",INDEX('×入力'!$A$1:$L$1300,91+D$3,1)&lt;&gt;""),1,0),0)</f>
        <v/>
      </c>
      <c r="E13">
        <f>IF(E$4=1,IF(OR(INDEX('×入力'!$A$1:$L$1300,91+E$3,2+E$2)&lt;&gt;"",INDEX('×入力'!$A$1:$L$1300,90,2+E$2)&lt;&gt;"",INDEX('×入力'!$A$1:$L$1300,91+E$3,1)&lt;&gt;""),1,0),0)</f>
        <v/>
      </c>
      <c r="F13">
        <f>IF(F$4=1,IF(OR(INDEX('×入力'!$A$1:$L$1300,91+F$3,2+F$2)&lt;&gt;"",INDEX('×入力'!$A$1:$L$1300,90,2+F$2)&lt;&gt;"",INDEX('×入力'!$A$1:$L$1300,91+F$3,1)&lt;&gt;""),1,0),0)</f>
        <v/>
      </c>
      <c r="G13">
        <f>IF(G$4=1,IF(OR(INDEX('×入力'!$A$1:$L$1300,91+G$3,2+G$2)&lt;&gt;"",INDEX('×入力'!$A$1:$L$1300,90,2+G$2)&lt;&gt;"",INDEX('×入力'!$A$1:$L$1300,91+G$3,1)&lt;&gt;""),1,0),0)</f>
        <v/>
      </c>
      <c r="H13">
        <f>IF(H$4=1,IF(OR(INDEX('×入力'!$A$1:$L$1300,91+H$3,2+H$2)&lt;&gt;"",INDEX('×入力'!$A$1:$L$1300,90,2+H$2)&lt;&gt;"",INDEX('×入力'!$A$1:$L$1300,91+H$3,1)&lt;&gt;""),1,0),0)</f>
        <v/>
      </c>
      <c r="I13">
        <f>IF(I$4=1,IF(OR(INDEX('×入力'!$A$1:$L$1300,91+I$3,2+I$2)&lt;&gt;"",INDEX('×入力'!$A$1:$L$1300,90,2+I$2)&lt;&gt;"",INDEX('×入力'!$A$1:$L$1300,91+I$3,1)&lt;&gt;""),1,0),0)</f>
        <v/>
      </c>
      <c r="J13">
        <f>IF(J$4=1,IF(OR(INDEX('×入力'!$A$1:$L$1300,91+J$3,2+J$2)&lt;&gt;"",INDEX('×入力'!$A$1:$L$1300,90,2+J$2)&lt;&gt;"",INDEX('×入力'!$A$1:$L$1300,91+J$3,1)&lt;&gt;""),1,0),0)</f>
        <v/>
      </c>
      <c r="K13">
        <f>IF(K$4=1,IF(OR(INDEX('×入力'!$A$1:$L$1300,91+K$3,2+K$2)&lt;&gt;"",INDEX('×入力'!$A$1:$L$1300,90,2+K$2)&lt;&gt;"",INDEX('×入力'!$A$1:$L$1300,91+K$3,1)&lt;&gt;""),1,0),0)</f>
        <v/>
      </c>
      <c r="L13">
        <f>IF(L$4=1,IF(OR(INDEX('×入力'!$A$1:$L$1300,91+L$3,2+L$2)&lt;&gt;"",INDEX('×入力'!$A$1:$L$1300,90,2+L$2)&lt;&gt;"",INDEX('×入力'!$A$1:$L$1300,91+L$3,1)&lt;&gt;""),1,0),0)</f>
        <v/>
      </c>
      <c r="M13">
        <f>IF(M$4=1,IF(OR(INDEX('×入力'!$A$1:$L$1300,91+M$3,2+M$2)&lt;&gt;"",INDEX('×入力'!$A$1:$L$1300,90,2+M$2)&lt;&gt;"",INDEX('×入力'!$A$1:$L$1300,91+M$3,1)&lt;&gt;""),1,0),0)</f>
        <v/>
      </c>
      <c r="N13">
        <f>IF(N$4=1,IF(OR(INDEX('×入力'!$A$1:$L$1300,91+N$3,2+N$2)&lt;&gt;"",INDEX('×入力'!$A$1:$L$1300,90,2+N$2)&lt;&gt;"",INDEX('×入力'!$A$1:$L$1300,91+N$3,1)&lt;&gt;""),1,0),0)</f>
        <v/>
      </c>
      <c r="O13">
        <f>IF(O$4=1,IF(OR(INDEX('×入力'!$A$1:$L$1300,91+O$3,2+O$2)&lt;&gt;"",INDEX('×入力'!$A$1:$L$1300,90,2+O$2)&lt;&gt;"",INDEX('×入力'!$A$1:$L$1300,91+O$3,1)&lt;&gt;""),1,0),0)</f>
        <v/>
      </c>
      <c r="P13">
        <f>IF(P$4=1,IF(OR(INDEX('×入力'!$A$1:$L$1300,91+P$3,2+P$2)&lt;&gt;"",INDEX('×入力'!$A$1:$L$1300,90,2+P$2)&lt;&gt;"",INDEX('×入力'!$A$1:$L$1300,91+P$3,1)&lt;&gt;""),1,0),0)</f>
        <v/>
      </c>
      <c r="Q13">
        <f>IF(Q$4=1,IF(OR(INDEX('×入力'!$A$1:$L$1300,91+Q$3,2+Q$2)&lt;&gt;"",INDEX('×入力'!$A$1:$L$1300,90,2+Q$2)&lt;&gt;"",INDEX('×入力'!$A$1:$L$1300,91+Q$3,1)&lt;&gt;""),1,0),0)</f>
        <v/>
      </c>
      <c r="R13">
        <f>IF(R$4=1,IF(OR(INDEX('×入力'!$A$1:$L$1300,91+R$3,2+R$2)&lt;&gt;"",INDEX('×入力'!$A$1:$L$1300,90,2+R$2)&lt;&gt;"",INDEX('×入力'!$A$1:$L$1300,91+R$3,1)&lt;&gt;""),1,0),0)</f>
        <v/>
      </c>
      <c r="S13">
        <f>IF(S$4=1,IF(OR(INDEX('×入力'!$A$1:$L$1300,91+S$3,2+S$2)&lt;&gt;"",INDEX('×入力'!$A$1:$L$1300,90,2+S$2)&lt;&gt;"",INDEX('×入力'!$A$1:$L$1300,91+S$3,1)&lt;&gt;""),1,0),0)</f>
        <v/>
      </c>
      <c r="T13">
        <f>IF(T$4=1,IF(OR(INDEX('×入力'!$A$1:$L$1300,91+T$3,2+T$2)&lt;&gt;"",INDEX('×入力'!$A$1:$L$1300,90,2+T$2)&lt;&gt;"",INDEX('×入力'!$A$1:$L$1300,91+T$3,1)&lt;&gt;""),1,0),0)</f>
        <v/>
      </c>
      <c r="U13">
        <f>IF(U$4=1,IF(OR(INDEX('×入力'!$A$1:$L$1300,91+U$3,2+U$2)&lt;&gt;"",INDEX('×入力'!$A$1:$L$1300,90,2+U$2)&lt;&gt;"",INDEX('×入力'!$A$1:$L$1300,91+U$3,1)&lt;&gt;""),1,0),0)</f>
        <v/>
      </c>
      <c r="V13">
        <f>IF(V$4=1,IF(OR(INDEX('×入力'!$A$1:$L$1300,91+V$3,2+V$2)&lt;&gt;"",INDEX('×入力'!$A$1:$L$1300,90,2+V$2)&lt;&gt;"",INDEX('×入力'!$A$1:$L$1300,91+V$3,1)&lt;&gt;""),1,0),0)</f>
        <v/>
      </c>
      <c r="W13">
        <f>IF(W$4=1,IF(OR(INDEX('×入力'!$A$1:$L$1300,91+W$3,2+W$2)&lt;&gt;"",INDEX('×入力'!$A$1:$L$1300,90,2+W$2)&lt;&gt;"",INDEX('×入力'!$A$1:$L$1300,91+W$3,1)&lt;&gt;""),1,0),0)</f>
        <v/>
      </c>
      <c r="X13">
        <f>IF(X$4=1,IF(OR(INDEX('×入力'!$A$1:$L$1300,91+X$3,2+X$2)&lt;&gt;"",INDEX('×入力'!$A$1:$L$1300,90,2+X$2)&lt;&gt;"",INDEX('×入力'!$A$1:$L$1300,91+X$3,1)&lt;&gt;""),1,0),0)</f>
        <v/>
      </c>
      <c r="Y13">
        <f>IF(Y$4=1,IF(OR(INDEX('×入力'!$A$1:$L$1300,91+Y$3,2+Y$2)&lt;&gt;"",INDEX('×入力'!$A$1:$L$1300,90,2+Y$2)&lt;&gt;"",INDEX('×入力'!$A$1:$L$1300,91+Y$3,1)&lt;&gt;""),1,0),0)</f>
        <v/>
      </c>
      <c r="Z13">
        <f>IF(Z$4=1,IF(OR(INDEX('×入力'!$A$1:$L$1300,91+Z$3,2+Z$2)&lt;&gt;"",INDEX('×入力'!$A$1:$L$1300,90,2+Z$2)&lt;&gt;"",INDEX('×入力'!$A$1:$L$1300,91+Z$3,1)&lt;&gt;""),1,0),0)</f>
        <v/>
      </c>
      <c r="AA13">
        <f>IF(AA$4=1,IF(OR(INDEX('×入力'!$A$1:$L$1300,91+AA$3,2+AA$2)&lt;&gt;"",INDEX('×入力'!$A$1:$L$1300,90,2+AA$2)&lt;&gt;"",INDEX('×入力'!$A$1:$L$1300,91+AA$3,1)&lt;&gt;""),1,0),0)</f>
        <v/>
      </c>
      <c r="AB13">
        <f>IF(AB$4=1,IF(OR(INDEX('×入力'!$A$1:$L$1300,91+AB$3,2+AB$2)&lt;&gt;"",INDEX('×入力'!$A$1:$L$1300,90,2+AB$2)&lt;&gt;"",INDEX('×入力'!$A$1:$L$1300,91+AB$3,1)&lt;&gt;""),1,0),0)</f>
        <v/>
      </c>
      <c r="AC13">
        <f>IF(AC$4=1,IF(OR(INDEX('×入力'!$A$1:$L$1300,91+AC$3,2+AC$2)&lt;&gt;"",INDEX('×入力'!$A$1:$L$1300,90,2+AC$2)&lt;&gt;"",INDEX('×入力'!$A$1:$L$1300,91+AC$3,1)&lt;&gt;""),1,0),0)</f>
        <v/>
      </c>
      <c r="AD13">
        <f>IF(AD$4=1,IF(OR(INDEX('×入力'!$A$1:$L$1300,91+AD$3,2+AD$2)&lt;&gt;"",INDEX('×入力'!$A$1:$L$1300,90,2+AD$2)&lt;&gt;"",INDEX('×入力'!$A$1:$L$1300,91+AD$3,1)&lt;&gt;""),1,0),0)</f>
        <v/>
      </c>
      <c r="AE13">
        <f>IF(AE$4=1,IF(OR(INDEX('×入力'!$A$1:$L$1300,91+AE$3,2+AE$2)&lt;&gt;"",INDEX('×入力'!$A$1:$L$1300,90,2+AE$2)&lt;&gt;"",INDEX('×入力'!$A$1:$L$1300,91+AE$3,1)&lt;&gt;""),1,0),0)</f>
        <v/>
      </c>
      <c r="AF13">
        <f>IF(AF$4=1,IF(OR(INDEX('×入力'!$A$1:$L$1300,91+AF$3,2+AF$2)&lt;&gt;"",INDEX('×入力'!$A$1:$L$1300,90,2+AF$2)&lt;&gt;"",INDEX('×入力'!$A$1:$L$1300,91+AF$3,1)&lt;&gt;""),1,0),0)</f>
        <v/>
      </c>
      <c r="AG13">
        <f>IF(AG$4=1,IF(OR(INDEX('×入力'!$A$1:$L$1300,91+AG$3,2+AG$2)&lt;&gt;"",INDEX('×入力'!$A$1:$L$1300,90,2+AG$2)&lt;&gt;"",INDEX('×入力'!$A$1:$L$1300,91+AG$3,1)&lt;&gt;""),1,0),0)</f>
        <v/>
      </c>
      <c r="AH13">
        <f>IF(AH$4=1,IF(OR(INDEX('×入力'!$A$1:$L$1300,91+AH$3,2+AH$2)&lt;&gt;"",INDEX('×入力'!$A$1:$L$1300,90,2+AH$2)&lt;&gt;"",INDEX('×入力'!$A$1:$L$1300,91+AH$3,1)&lt;&gt;""),1,0),0)</f>
        <v/>
      </c>
      <c r="AI13">
        <f>IF(AI$4=1,IF(OR(INDEX('×入力'!$A$1:$L$1300,91+AI$3,2+AI$2)&lt;&gt;"",INDEX('×入力'!$A$1:$L$1300,90,2+AI$2)&lt;&gt;"",INDEX('×入力'!$A$1:$L$1300,91+AI$3,1)&lt;&gt;""),1,0),0)</f>
        <v/>
      </c>
      <c r="AJ13">
        <f>IF(AJ$4=1,IF(OR(INDEX('×入力'!$A$1:$L$1300,91+AJ$3,2+AJ$2)&lt;&gt;"",INDEX('×入力'!$A$1:$L$1300,90,2+AJ$2)&lt;&gt;"",INDEX('×入力'!$A$1:$L$1300,91+AJ$3,1)&lt;&gt;""),1,0),0)</f>
        <v/>
      </c>
      <c r="AK13">
        <f>IF(AK$4=1,IF(OR(INDEX('×入力'!$A$1:$L$1300,91+AK$3,2+AK$2)&lt;&gt;"",INDEX('×入力'!$A$1:$L$1300,90,2+AK$2)&lt;&gt;"",INDEX('×入力'!$A$1:$L$1300,91+AK$3,1)&lt;&gt;""),1,0),0)</f>
        <v/>
      </c>
      <c r="AL13">
        <f>IF(AL$4=1,IF(OR(INDEX('×入力'!$A$1:$L$1300,91+AL$3,2+AL$2)&lt;&gt;"",INDEX('×入力'!$A$1:$L$1300,90,2+AL$2)&lt;&gt;"",INDEX('×入力'!$A$1:$L$1300,91+AL$3,1)&lt;&gt;""),1,0),0)</f>
        <v/>
      </c>
      <c r="AM13">
        <f>IF(AM$4=1,IF(OR(INDEX('×入力'!$A$1:$L$1300,91+AM$3,2+AM$2)&lt;&gt;"",INDEX('×入力'!$A$1:$L$1300,90,2+AM$2)&lt;&gt;"",INDEX('×入力'!$A$1:$L$1300,91+AM$3,1)&lt;&gt;""),1,0),0)</f>
        <v/>
      </c>
      <c r="AN13">
        <f>IF(AN$4=1,IF(OR(INDEX('×入力'!$A$1:$L$1300,91+AN$3,2+AN$2)&lt;&gt;"",INDEX('×入力'!$A$1:$L$1300,90,2+AN$2)&lt;&gt;"",INDEX('×入力'!$A$1:$L$1300,91+AN$3,1)&lt;&gt;""),1,0),0)</f>
        <v/>
      </c>
      <c r="AO13">
        <f>IF(AO$4=1,IF(OR(INDEX('×入力'!$A$1:$L$1300,91+AO$3,2+AO$2)&lt;&gt;"",INDEX('×入力'!$A$1:$L$1300,90,2+AO$2)&lt;&gt;"",INDEX('×入力'!$A$1:$L$1300,91+AO$3,1)&lt;&gt;""),1,0),0)</f>
        <v/>
      </c>
      <c r="AP13">
        <f>IF(AP$4=1,IF(OR(INDEX('×入力'!$A$1:$L$1300,91+AP$3,2+AP$2)&lt;&gt;"",INDEX('×入力'!$A$1:$L$1300,90,2+AP$2)&lt;&gt;"",INDEX('×入力'!$A$1:$L$1300,91+AP$3,1)&lt;&gt;""),1,0),0)</f>
        <v/>
      </c>
      <c r="AQ13">
        <f>IF(AQ$4=1,IF(OR(INDEX('×入力'!$A$1:$L$1300,91+AQ$3,2+AQ$2)&lt;&gt;"",INDEX('×入力'!$A$1:$L$1300,90,2+AQ$2)&lt;&gt;"",INDEX('×入力'!$A$1:$L$1300,91+AQ$3,1)&lt;&gt;""),1,0),0)</f>
        <v/>
      </c>
      <c r="AR13">
        <f>IF(AR$4=1,IF(OR(INDEX('×入力'!$A$1:$L$1300,91+AR$3,2+AR$2)&lt;&gt;"",INDEX('×入力'!$A$1:$L$1300,90,2+AR$2)&lt;&gt;"",INDEX('×入力'!$A$1:$L$1300,91+AR$3,1)&lt;&gt;""),1,0),0)</f>
        <v/>
      </c>
      <c r="AS13">
        <f>IF(AS$4=1,IF(OR(INDEX('×入力'!$A$1:$L$1300,91+AS$3,2+AS$2)&lt;&gt;"",INDEX('×入力'!$A$1:$L$1300,90,2+AS$2)&lt;&gt;"",INDEX('×入力'!$A$1:$L$1300,91+AS$3,1)&lt;&gt;""),1,0),0)</f>
        <v/>
      </c>
      <c r="AT13">
        <f>IF(AT$4=1,IF(OR(INDEX('×入力'!$A$1:$L$1300,91+AT$3,2+AT$2)&lt;&gt;"",INDEX('×入力'!$A$1:$L$1300,90,2+AT$2)&lt;&gt;"",INDEX('×入力'!$A$1:$L$1300,91+AT$3,1)&lt;&gt;""),1,0),0)</f>
        <v/>
      </c>
      <c r="AU13">
        <f>IF(AU$4=1,IF(OR(INDEX('×入力'!$A$1:$L$1300,91+AU$3,2+AU$2)&lt;&gt;"",INDEX('×入力'!$A$1:$L$1300,90,2+AU$2)&lt;&gt;"",INDEX('×入力'!$A$1:$L$1300,91+AU$3,1)&lt;&gt;""),1,0),0)</f>
        <v/>
      </c>
      <c r="AV13">
        <f>IF(AV$4=1,IF(OR(INDEX('×入力'!$A$1:$L$1300,91+AV$3,2+AV$2)&lt;&gt;"",INDEX('×入力'!$A$1:$L$1300,90,2+AV$2)&lt;&gt;"",INDEX('×入力'!$A$1:$L$1300,91+AV$3,1)&lt;&gt;""),1,0),0)</f>
        <v/>
      </c>
      <c r="AW13">
        <f>IF(AW$4=1,IF(OR(INDEX('×入力'!$A$1:$L$1300,91+AW$3,2+AW$2)&lt;&gt;"",INDEX('×入力'!$A$1:$L$1300,90,2+AW$2)&lt;&gt;"",INDEX('×入力'!$A$1:$L$1300,91+AW$3,1)&lt;&gt;""),1,0),0)</f>
        <v/>
      </c>
      <c r="AX13">
        <f>IF(AX$4=1,IF(OR(INDEX('×入力'!$A$1:$L$1300,91+AX$3,2+AX$2)&lt;&gt;"",INDEX('×入力'!$A$1:$L$1300,90,2+AX$2)&lt;&gt;"",INDEX('×入力'!$A$1:$L$1300,91+AX$3,1)&lt;&gt;""),1,0),0)</f>
        <v/>
      </c>
      <c r="AY13">
        <f>IF(AY$4=1,IF(OR(INDEX('×入力'!$A$1:$L$1300,91+AY$3,2+AY$2)&lt;&gt;"",INDEX('×入力'!$A$1:$L$1300,90,2+AY$2)&lt;&gt;"",INDEX('×入力'!$A$1:$L$1300,91+AY$3,1)&lt;&gt;""),1,0),0)</f>
        <v/>
      </c>
      <c r="AZ13">
        <f>IF(AZ$4=1,IF(OR(INDEX('×入力'!$A$1:$L$1300,91+AZ$3,2+AZ$2)&lt;&gt;"",INDEX('×入力'!$A$1:$L$1300,90,2+AZ$2)&lt;&gt;"",INDEX('×入力'!$A$1:$L$1300,91+AZ$3,1)&lt;&gt;""),1,0),0)</f>
        <v/>
      </c>
      <c r="BA13">
        <f>IF(BA$4=1,IF(OR(INDEX('×入力'!$A$1:$L$1300,91+BA$3,2+BA$2)&lt;&gt;"",INDEX('×入力'!$A$1:$L$1300,90,2+BA$2)&lt;&gt;"",INDEX('×入力'!$A$1:$L$1300,91+BA$3,1)&lt;&gt;""),1,0),0)</f>
        <v/>
      </c>
      <c r="BB13">
        <f>IF(BB$4=1,IF(OR(INDEX('×入力'!$A$1:$L$1300,91+BB$3,2+BB$2)&lt;&gt;"",INDEX('×入力'!$A$1:$L$1300,90,2+BB$2)&lt;&gt;"",INDEX('×入力'!$A$1:$L$1300,91+BB$3,1)&lt;&gt;""),1,0),0)</f>
        <v/>
      </c>
      <c r="BC13">
        <f>IF(BC$4=1,IF(OR(INDEX('×入力'!$A$1:$L$1300,91+BC$3,2+BC$2)&lt;&gt;"",INDEX('×入力'!$A$1:$L$1300,90,2+BC$2)&lt;&gt;"",INDEX('×入力'!$A$1:$L$1300,91+BC$3,1)&lt;&gt;""),1,0),0)</f>
        <v/>
      </c>
      <c r="BD13">
        <f>IF(BD$4=1,IF(OR(INDEX('×入力'!$A$1:$L$1300,91+BD$3,2+BD$2)&lt;&gt;"",INDEX('×入力'!$A$1:$L$1300,90,2+BD$2)&lt;&gt;"",INDEX('×入力'!$A$1:$L$1300,91+BD$3,1)&lt;&gt;""),1,0),0)</f>
        <v/>
      </c>
      <c r="BE13">
        <f>IF(BE$4=1,IF(OR(INDEX('×入力'!$A$1:$L$1300,91+BE$3,2+BE$2)&lt;&gt;"",INDEX('×入力'!$A$1:$L$1300,90,2+BE$2)&lt;&gt;"",INDEX('×入力'!$A$1:$L$1300,91+BE$3,1)&lt;&gt;""),1,0),0)</f>
        <v/>
      </c>
      <c r="BF13">
        <f>IF(BF$4=1,IF(OR(INDEX('×入力'!$A$1:$L$1300,91+BF$3,2+BF$2)&lt;&gt;"",INDEX('×入力'!$A$1:$L$1300,90,2+BF$2)&lt;&gt;"",INDEX('×入力'!$A$1:$L$1300,91+BF$3,1)&lt;&gt;""),1,0),0)</f>
        <v/>
      </c>
      <c r="BG13">
        <f>IF(BG$4=1,IF(OR(INDEX('×入力'!$A$1:$L$1300,91+BG$3,2+BG$2)&lt;&gt;"",INDEX('×入力'!$A$1:$L$1300,90,2+BG$2)&lt;&gt;"",INDEX('×入力'!$A$1:$L$1300,91+BG$3,1)&lt;&gt;""),1,0),0)</f>
        <v/>
      </c>
      <c r="BH13">
        <f>IF(BH$4=1,IF(OR(INDEX('×入力'!$A$1:$L$1300,91+BH$3,2+BH$2)&lt;&gt;"",INDEX('×入力'!$A$1:$L$1300,90,2+BH$2)&lt;&gt;"",INDEX('×入力'!$A$1:$L$1300,91+BH$3,1)&lt;&gt;""),1,0),0)</f>
        <v/>
      </c>
      <c r="BI13">
        <f>IF(BI$4=1,IF(OR(INDEX('×入力'!$A$1:$L$1300,91+BI$3,2+BI$2)&lt;&gt;"",INDEX('×入力'!$A$1:$L$1300,90,2+BI$2)&lt;&gt;"",INDEX('×入力'!$A$1:$L$1300,91+BI$3,1)&lt;&gt;""),1,0),0)</f>
        <v/>
      </c>
      <c r="BJ13">
        <f>IF(BJ$4=1,IF(OR(INDEX('×入力'!$A$1:$L$1300,91+BJ$3,2+BJ$2)&lt;&gt;"",INDEX('×入力'!$A$1:$L$1300,90,2+BJ$2)&lt;&gt;"",INDEX('×入力'!$A$1:$L$1300,91+BJ$3,1)&lt;&gt;""),1,0),0)</f>
        <v/>
      </c>
      <c r="BK13">
        <f>IF(BK$4=1,IF(OR(INDEX('×入力'!$A$1:$L$1300,91+BK$3,2+BK$2)&lt;&gt;"",INDEX('×入力'!$A$1:$L$1300,90,2+BK$2)&lt;&gt;"",INDEX('×入力'!$A$1:$L$1300,91+BK$3,1)&lt;&gt;""),1,0),0)</f>
        <v/>
      </c>
      <c r="BL13">
        <f>IF(BL$4=1,IF(OR(INDEX('×入力'!$A$1:$L$1300,91+BL$3,2+BL$2)&lt;&gt;"",INDEX('×入力'!$A$1:$L$1300,90,2+BL$2)&lt;&gt;"",INDEX('×入力'!$A$1:$L$1300,91+BL$3,1)&lt;&gt;""),1,0),0)</f>
        <v/>
      </c>
      <c r="BM13">
        <f>IF(BM$4=1,IF(OR(INDEX('×入力'!$A$1:$L$1300,91+BM$3,2+BM$2)&lt;&gt;"",INDEX('×入力'!$A$1:$L$1300,90,2+BM$2)&lt;&gt;"",INDEX('×入力'!$A$1:$L$1300,91+BM$3,1)&lt;&gt;""),1,0),0)</f>
        <v/>
      </c>
      <c r="BN13">
        <f>IF(BN$4=1,IF(OR(INDEX('×入力'!$A$1:$L$1300,91+BN$3,2+BN$2)&lt;&gt;"",INDEX('×入力'!$A$1:$L$1300,90,2+BN$2)&lt;&gt;"",INDEX('×入力'!$A$1:$L$1300,91+BN$3,1)&lt;&gt;""),1,0),0)</f>
        <v/>
      </c>
      <c r="BO13">
        <f>IF(BO$4=1,IF(OR(INDEX('×入力'!$A$1:$L$1300,91+BO$3,2+BO$2)&lt;&gt;"",INDEX('×入力'!$A$1:$L$1300,90,2+BO$2)&lt;&gt;"",INDEX('×入力'!$A$1:$L$1300,91+BO$3,1)&lt;&gt;""),1,0),0)</f>
        <v/>
      </c>
      <c r="BP13">
        <f>IF(BP$4=1,IF(OR(INDEX('×入力'!$A$1:$L$1300,91+BP$3,2+BP$2)&lt;&gt;"",INDEX('×入力'!$A$1:$L$1300,90,2+BP$2)&lt;&gt;"",INDEX('×入力'!$A$1:$L$1300,91+BP$3,1)&lt;&gt;""),1,0),0)</f>
        <v/>
      </c>
      <c r="BQ13">
        <f>IF(BQ$4=1,IF(OR(INDEX('×入力'!$A$1:$L$1300,91+BQ$3,2+BQ$2)&lt;&gt;"",INDEX('×入力'!$A$1:$L$1300,90,2+BQ$2)&lt;&gt;"",INDEX('×入力'!$A$1:$L$1300,91+BQ$3,1)&lt;&gt;""),1,0),0)</f>
        <v/>
      </c>
      <c r="BR13">
        <f>IF(BR$4=1,IF(OR(INDEX('×入力'!$A$1:$L$1300,91+BR$3,2+BR$2)&lt;&gt;"",INDEX('×入力'!$A$1:$L$1300,90,2+BR$2)&lt;&gt;"",INDEX('×入力'!$A$1:$L$1300,91+BR$3,1)&lt;&gt;""),1,0),0)</f>
        <v/>
      </c>
      <c r="BS13">
        <f>IF(BS$4=1,IF(OR(INDEX('×入力'!$A$1:$L$1300,91+BS$3,2+BS$2)&lt;&gt;"",INDEX('×入力'!$A$1:$L$1300,90,2+BS$2)&lt;&gt;"",INDEX('×入力'!$A$1:$L$1300,91+BS$3,1)&lt;&gt;""),1,0),0)</f>
        <v/>
      </c>
      <c r="BT13">
        <f>IF(BT$4=1,IF(OR(INDEX('×入力'!$A$1:$L$1300,91+BT$3,2+BT$2)&lt;&gt;"",INDEX('×入力'!$A$1:$L$1300,90,2+BT$2)&lt;&gt;"",INDEX('×入力'!$A$1:$L$1300,91+BT$3,1)&lt;&gt;""),1,0),0)</f>
        <v/>
      </c>
      <c r="BU13">
        <f>IF(BU$4=1,IF(OR(INDEX('×入力'!$A$1:$L$1300,91+BU$3,2+BU$2)&lt;&gt;"",INDEX('×入力'!$A$1:$L$1300,90,2+BU$2)&lt;&gt;"",INDEX('×入力'!$A$1:$L$1300,91+BU$3,1)&lt;&gt;""),1,0),0)</f>
        <v/>
      </c>
      <c r="BV13">
        <f>IF(BV$4=1,IF(OR(INDEX('×入力'!$A$1:$L$1300,91+BV$3,2+BV$2)&lt;&gt;"",INDEX('×入力'!$A$1:$L$1300,90,2+BV$2)&lt;&gt;"",INDEX('×入力'!$A$1:$L$1300,91+BV$3,1)&lt;&gt;""),1,0),0)</f>
        <v/>
      </c>
      <c r="BW13">
        <f>IF(BW$4=1,IF(OR(INDEX('×入力'!$A$1:$L$1300,91+BW$3,2+BW$2)&lt;&gt;"",INDEX('×入力'!$A$1:$L$1300,90,2+BW$2)&lt;&gt;"",INDEX('×入力'!$A$1:$L$1300,91+BW$3,1)&lt;&gt;""),1,0),0)</f>
        <v/>
      </c>
      <c r="BX13">
        <f>IF(BX$4=1,IF(OR(INDEX('×入力'!$A$1:$L$1300,91+BX$3,2+BX$2)&lt;&gt;"",INDEX('×入力'!$A$1:$L$1300,90,2+BX$2)&lt;&gt;"",INDEX('×入力'!$A$1:$L$1300,91+BX$3,1)&lt;&gt;""),1,0),0)</f>
        <v/>
      </c>
      <c r="BY13">
        <f>IF(BY$4=1,IF(OR(INDEX('×入力'!$A$1:$L$1300,91+BY$3,2+BY$2)&lt;&gt;"",INDEX('×入力'!$A$1:$L$1300,90,2+BY$2)&lt;&gt;"",INDEX('×入力'!$A$1:$L$1300,91+BY$3,1)&lt;&gt;""),1,0),0)</f>
        <v/>
      </c>
      <c r="BZ13">
        <f>IF(BZ$4=1,IF(OR(INDEX('×入力'!$A$1:$L$1300,91+BZ$3,2+BZ$2)&lt;&gt;"",INDEX('×入力'!$A$1:$L$1300,90,2+BZ$2)&lt;&gt;"",INDEX('×入力'!$A$1:$L$1300,91+BZ$3,1)&lt;&gt;""),1,0),0)</f>
        <v/>
      </c>
      <c r="CA13">
        <f>IF(CA$4=1,IF(OR(INDEX('×入力'!$A$1:$L$1300,91+CA$3,2+CA$2)&lt;&gt;"",INDEX('×入力'!$A$1:$L$1300,90,2+CA$2)&lt;&gt;"",INDEX('×入力'!$A$1:$L$1300,91+CA$3,1)&lt;&gt;""),1,0),0)</f>
        <v/>
      </c>
      <c r="CB13">
        <f>IF(CB$4=1,IF(OR(INDEX('×入力'!$A$1:$L$1300,91+CB$3,2+CB$2)&lt;&gt;"",INDEX('×入力'!$A$1:$L$1300,90,2+CB$2)&lt;&gt;"",INDEX('×入力'!$A$1:$L$1300,91+CB$3,1)&lt;&gt;""),1,0),0)</f>
        <v/>
      </c>
      <c r="CC13">
        <f>IF(CC$4=1,IF(OR(INDEX('×入力'!$A$1:$L$1300,91+CC$3,2+CC$2)&lt;&gt;"",INDEX('×入力'!$A$1:$L$1300,90,2+CC$2)&lt;&gt;"",INDEX('×入力'!$A$1:$L$1300,91+CC$3,1)&lt;&gt;""),1,0),0)</f>
        <v/>
      </c>
      <c r="CD13">
        <f>IF(CD$4=1,IF(OR(INDEX('×入力'!$A$1:$L$1300,91+CD$3,2+CD$2)&lt;&gt;"",INDEX('×入力'!$A$1:$L$1300,90,2+CD$2)&lt;&gt;"",INDEX('×入力'!$A$1:$L$1300,91+CD$3,1)&lt;&gt;""),1,0),0)</f>
        <v/>
      </c>
      <c r="CE13">
        <f>IF(CE$4=1,IF(OR(INDEX('×入力'!$A$1:$L$1300,91+CE$3,2+CE$2)&lt;&gt;"",INDEX('×入力'!$A$1:$L$1300,90,2+CE$2)&lt;&gt;"",INDEX('×入力'!$A$1:$L$1300,91+CE$3,1)&lt;&gt;""),1,0),0)</f>
        <v/>
      </c>
      <c r="CF13">
        <f>IF(CF$4=1,IF(OR(INDEX('×入力'!$A$1:$L$1300,91+CF$3,2+CF$2)&lt;&gt;"",INDEX('×入力'!$A$1:$L$1300,90,2+CF$2)&lt;&gt;"",INDEX('×入力'!$A$1:$L$1300,91+CF$3,1)&lt;&gt;""),1,0),0)</f>
        <v/>
      </c>
      <c r="CG13">
        <f>IF(CG$4=1,IF(OR(INDEX('×入力'!$A$1:$L$1300,91+CG$3,2+CG$2)&lt;&gt;"",INDEX('×入力'!$A$1:$L$1300,90,2+CG$2)&lt;&gt;"",INDEX('×入力'!$A$1:$L$1300,91+CG$3,1)&lt;&gt;""),1,0),0)</f>
        <v/>
      </c>
      <c r="CH13">
        <f>IF(CH$4=1,IF(OR(INDEX('×入力'!$A$1:$L$1300,91+CH$3,2+CH$2)&lt;&gt;"",INDEX('×入力'!$A$1:$L$1300,90,2+CH$2)&lt;&gt;"",INDEX('×入力'!$A$1:$L$1300,91+CH$3,1)&lt;&gt;""),1,0),0)</f>
        <v/>
      </c>
      <c r="CI13">
        <f>IF(CI$4=1,IF(OR(INDEX('×入力'!$A$1:$L$1300,91+CI$3,2+CI$2)&lt;&gt;"",INDEX('×入力'!$A$1:$L$1300,90,2+CI$2)&lt;&gt;"",INDEX('×入力'!$A$1:$L$1300,91+CI$3,1)&lt;&gt;""),1,0),0)</f>
        <v/>
      </c>
      <c r="CJ13">
        <f>IF(CJ$4=1,IF(OR(INDEX('×入力'!$A$1:$L$1300,91+CJ$3,2+CJ$2)&lt;&gt;"",INDEX('×入力'!$A$1:$L$1300,90,2+CJ$2)&lt;&gt;"",INDEX('×入力'!$A$1:$L$1300,91+CJ$3,1)&lt;&gt;""),1,0),0)</f>
        <v/>
      </c>
      <c r="CK13">
        <f>IF(CK$4=1,IF(OR(INDEX('×入力'!$A$1:$L$1300,91+CK$3,2+CK$2)&lt;&gt;"",INDEX('×入力'!$A$1:$L$1300,90,2+CK$2)&lt;&gt;"",INDEX('×入力'!$A$1:$L$1300,91+CK$3,1)&lt;&gt;""),1,0),0)</f>
        <v/>
      </c>
      <c r="CL13">
        <f>IF(CL$4=1,IF(OR(INDEX('×入力'!$A$1:$L$1300,91+CL$3,2+CL$2)&lt;&gt;"",INDEX('×入力'!$A$1:$L$1300,90,2+CL$2)&lt;&gt;"",INDEX('×入力'!$A$1:$L$1300,91+CL$3,1)&lt;&gt;""),1,0),0)</f>
        <v/>
      </c>
      <c r="CM13">
        <f>IF(CM$4=1,IF(OR(INDEX('×入力'!$A$1:$L$1300,91+CM$3,2+CM$2)&lt;&gt;"",INDEX('×入力'!$A$1:$L$1300,90,2+CM$2)&lt;&gt;"",INDEX('×入力'!$A$1:$L$1300,91+CM$3,1)&lt;&gt;""),1,0),0)</f>
        <v/>
      </c>
      <c r="CN13">
        <f>IF(CN$4=1,IF(OR(INDEX('×入力'!$A$1:$L$1300,91+CN$3,2+CN$2)&lt;&gt;"",INDEX('×入力'!$A$1:$L$1300,90,2+CN$2)&lt;&gt;"",INDEX('×入力'!$A$1:$L$1300,91+CN$3,1)&lt;&gt;""),1,0),0)</f>
        <v/>
      </c>
      <c r="CO13">
        <f>IF(CO$4=1,IF(OR(INDEX('×入力'!$A$1:$L$1300,91+CO$3,2+CO$2)&lt;&gt;"",INDEX('×入力'!$A$1:$L$1300,90,2+CO$2)&lt;&gt;"",INDEX('×入力'!$A$1:$L$1300,91+CO$3,1)&lt;&gt;""),1,0),0)</f>
        <v/>
      </c>
      <c r="CP13">
        <f>IF(CP$4=1,IF(OR(INDEX('×入力'!$A$1:$L$1300,91+CP$3,2+CP$2)&lt;&gt;"",INDEX('×入力'!$A$1:$L$1300,90,2+CP$2)&lt;&gt;"",INDEX('×入力'!$A$1:$L$1300,91+CP$3,1)&lt;&gt;""),1,0),0)</f>
        <v/>
      </c>
      <c r="CQ13">
        <f>IF(CQ$4=1,IF(OR(INDEX('×入力'!$A$1:$L$1300,91+CQ$3,2+CQ$2)&lt;&gt;"",INDEX('×入力'!$A$1:$L$1300,90,2+CQ$2)&lt;&gt;"",INDEX('×入力'!$A$1:$L$1300,91+CQ$3,1)&lt;&gt;""),1,0),0)</f>
        <v/>
      </c>
      <c r="CR13">
        <f>IF(CR$4=1,IF(OR(INDEX('×入力'!$A$1:$L$1300,91+CR$3,2+CR$2)&lt;&gt;"",INDEX('×入力'!$A$1:$L$1300,90,2+CR$2)&lt;&gt;"",INDEX('×入力'!$A$1:$L$1300,91+CR$3,1)&lt;&gt;""),1,0),0)</f>
        <v/>
      </c>
      <c r="CS13">
        <f>IF(CS$4=1,IF(OR(INDEX('×入力'!$A$1:$L$1300,91+CS$3,2+CS$2)&lt;&gt;"",INDEX('×入力'!$A$1:$L$1300,90,2+CS$2)&lt;&gt;"",INDEX('×入力'!$A$1:$L$1300,91+CS$3,1)&lt;&gt;""),1,0),0)</f>
        <v/>
      </c>
      <c r="CT13">
        <f>IF(CT$4=1,IF(OR(INDEX('×入力'!$A$1:$L$1300,91+CT$3,2+CT$2)&lt;&gt;"",INDEX('×入力'!$A$1:$L$1300,90,2+CT$2)&lt;&gt;"",INDEX('×入力'!$A$1:$L$1300,91+CT$3,1)&lt;&gt;""),1,0),0)</f>
        <v/>
      </c>
      <c r="CU13">
        <f>IF(CU$4=1,IF(OR(INDEX('×入力'!$A$1:$L$1300,91+CU$3,2+CU$2)&lt;&gt;"",INDEX('×入力'!$A$1:$L$1300,90,2+CU$2)&lt;&gt;"",INDEX('×入力'!$A$1:$L$1300,91+CU$3,1)&lt;&gt;""),1,0),0)</f>
        <v/>
      </c>
      <c r="CV13">
        <f>IF(CV$4=1,IF(OR(INDEX('×入力'!$A$1:$L$1300,91+CV$3,2+CV$2)&lt;&gt;"",INDEX('×入力'!$A$1:$L$1300,90,2+CV$2)&lt;&gt;"",INDEX('×入力'!$A$1:$L$1300,91+CV$3,1)&lt;&gt;""),1,0),0)</f>
        <v/>
      </c>
      <c r="CW13">
        <f>IF(CW$4=1,IF(OR(INDEX('×入力'!$A$1:$L$1300,91+CW$3,2+CW$2)&lt;&gt;"",INDEX('×入力'!$A$1:$L$1300,90,2+CW$2)&lt;&gt;"",INDEX('×入力'!$A$1:$L$1300,91+CW$3,1)&lt;&gt;""),1,0),0)</f>
        <v/>
      </c>
      <c r="CX13">
        <f>IF(CX$4=1,IF(OR(INDEX('×入力'!$A$1:$L$1300,91+CX$3,2+CX$2)&lt;&gt;"",INDEX('×入力'!$A$1:$L$1300,90,2+CX$2)&lt;&gt;"",INDEX('×入力'!$A$1:$L$1300,91+CX$3,1)&lt;&gt;""),1,0),0)</f>
        <v/>
      </c>
      <c r="CY13">
        <f>IF(CY$4=1,IF(OR(INDEX('×入力'!$A$1:$L$1300,91+CY$3,2+CY$2)&lt;&gt;"",INDEX('×入力'!$A$1:$L$1300,90,2+CY$2)&lt;&gt;"",INDEX('×入力'!$A$1:$L$1300,91+CY$3,1)&lt;&gt;""),1,0),0)</f>
        <v/>
      </c>
      <c r="CZ13">
        <f>IF(CZ$4=1,IF(OR(INDEX('×入力'!$A$1:$L$1300,91+CZ$3,2+CZ$2)&lt;&gt;"",INDEX('×入力'!$A$1:$L$1300,90,2+CZ$2)&lt;&gt;"",INDEX('×入力'!$A$1:$L$1300,91+CZ$3,1)&lt;&gt;""),1,0),0)</f>
        <v/>
      </c>
      <c r="DA13">
        <f>IF(DA$4=1,IF(OR(INDEX('×入力'!$A$1:$L$1300,91+DA$3,2+DA$2)&lt;&gt;"",INDEX('×入力'!$A$1:$L$1300,90,2+DA$2)&lt;&gt;"",INDEX('×入力'!$A$1:$L$1300,91+DA$3,1)&lt;&gt;""),1,0),0)</f>
        <v/>
      </c>
      <c r="DB13">
        <f>IF(DB$4=1,IF(OR(INDEX('×入力'!$A$1:$L$1300,91+DB$3,2+DB$2)&lt;&gt;"",INDEX('×入力'!$A$1:$L$1300,90,2+DB$2)&lt;&gt;"",INDEX('×入力'!$A$1:$L$1300,91+DB$3,1)&lt;&gt;""),1,0),0)</f>
        <v/>
      </c>
      <c r="DC13">
        <f>IF(DC$4=1,IF(OR(INDEX('×入力'!$A$1:$L$1300,91+DC$3,2+DC$2)&lt;&gt;"",INDEX('×入力'!$A$1:$L$1300,90,2+DC$2)&lt;&gt;"",INDEX('×入力'!$A$1:$L$1300,91+DC$3,1)&lt;&gt;""),1,0),0)</f>
        <v/>
      </c>
      <c r="DD13">
        <f>IF(DD$4=1,IF(OR(INDEX('×入力'!$A$1:$L$1300,91+DD$3,2+DD$2)&lt;&gt;"",INDEX('×入力'!$A$1:$L$1300,90,2+DD$2)&lt;&gt;"",INDEX('×入力'!$A$1:$L$1300,91+DD$3,1)&lt;&gt;""),1,0),0)</f>
        <v/>
      </c>
      <c r="DE13">
        <f>IF(DE$4=1,IF(OR(INDEX('×入力'!$A$1:$L$1300,91+DE$3,2+DE$2)&lt;&gt;"",INDEX('×入力'!$A$1:$L$1300,90,2+DE$2)&lt;&gt;"",INDEX('×入力'!$A$1:$L$1300,91+DE$3,1)&lt;&gt;""),1,0),0)</f>
        <v/>
      </c>
      <c r="DF13">
        <f>IF(DF$4=1,IF(OR(INDEX('×入力'!$A$1:$L$1300,91+DF$3,2+DF$2)&lt;&gt;"",INDEX('×入力'!$A$1:$L$1300,90,2+DF$2)&lt;&gt;"",INDEX('×入力'!$A$1:$L$1300,91+DF$3,1)&lt;&gt;""),1,0),0)</f>
        <v/>
      </c>
      <c r="DG13">
        <f>IF(DG$4=1,IF(OR(INDEX('×入力'!$A$1:$L$1300,91+DG$3,2+DG$2)&lt;&gt;"",INDEX('×入力'!$A$1:$L$1300,90,2+DG$2)&lt;&gt;"",INDEX('×入力'!$A$1:$L$1300,91+DG$3,1)&lt;&gt;""),1,0),0)</f>
        <v/>
      </c>
      <c r="DH13">
        <f>IF(DH$4=1,IF(OR(INDEX('×入力'!$A$1:$L$1300,91+DH$3,2+DH$2)&lt;&gt;"",INDEX('×入力'!$A$1:$L$1300,90,2+DH$2)&lt;&gt;"",INDEX('×入力'!$A$1:$L$1300,91+DH$3,1)&lt;&gt;""),1,0),0)</f>
        <v/>
      </c>
      <c r="DI13">
        <f>IF(DI$4=1,IF(OR(INDEX('×入力'!$A$1:$L$1300,91+DI$3,2+DI$2)&lt;&gt;"",INDEX('×入力'!$A$1:$L$1300,90,2+DI$2)&lt;&gt;"",INDEX('×入力'!$A$1:$L$1300,91+DI$3,1)&lt;&gt;""),1,0),0)</f>
        <v/>
      </c>
      <c r="DJ13">
        <f>IF(DJ$4=1,IF(OR(INDEX('×入力'!$A$1:$L$1300,91+DJ$3,2+DJ$2)&lt;&gt;"",INDEX('×入力'!$A$1:$L$1300,90,2+DJ$2)&lt;&gt;"",INDEX('×入力'!$A$1:$L$1300,91+DJ$3,1)&lt;&gt;""),1,0),0)</f>
        <v/>
      </c>
      <c r="DK13">
        <f>IF(DK$4=1,IF(OR(INDEX('×入力'!$A$1:$L$1300,91+DK$3,2+DK$2)&lt;&gt;"",INDEX('×入力'!$A$1:$L$1300,90,2+DK$2)&lt;&gt;"",INDEX('×入力'!$A$1:$L$1300,91+DK$3,1)&lt;&gt;""),1,0),0)</f>
        <v/>
      </c>
      <c r="DL13">
        <f>IF(DL$4=1,IF(OR(INDEX('×入力'!$A$1:$L$1300,91+DL$3,2+DL$2)&lt;&gt;"",INDEX('×入力'!$A$1:$L$1300,90,2+DL$2)&lt;&gt;"",INDEX('×入力'!$A$1:$L$1300,91+DL$3,1)&lt;&gt;""),1,0),0)</f>
        <v/>
      </c>
      <c r="DM13">
        <f>IF(DM$4=1,IF(OR(INDEX('×入力'!$A$1:$L$1300,91+DM$3,2+DM$2)&lt;&gt;"",INDEX('×入力'!$A$1:$L$1300,90,2+DM$2)&lt;&gt;"",INDEX('×入力'!$A$1:$L$1300,91+DM$3,1)&lt;&gt;""),1,0),0)</f>
        <v/>
      </c>
      <c r="DN13">
        <f>IF(DN$4=1,IF(OR(INDEX('×入力'!$A$1:$L$1300,91+DN$3,2+DN$2)&lt;&gt;"",INDEX('×入力'!$A$1:$L$1300,90,2+DN$2)&lt;&gt;"",INDEX('×入力'!$A$1:$L$1300,91+DN$3,1)&lt;&gt;""),1,0),0)</f>
        <v/>
      </c>
      <c r="DO13">
        <f>IF(DO$4=1,IF(OR(INDEX('×入力'!$A$1:$L$1300,91+DO$3,2+DO$2)&lt;&gt;"",INDEX('×入力'!$A$1:$L$1300,90,2+DO$2)&lt;&gt;"",INDEX('×入力'!$A$1:$L$1300,91+DO$3,1)&lt;&gt;""),1,0),0)</f>
        <v/>
      </c>
      <c r="DP13">
        <f>IF(DP$4=1,IF(OR(INDEX('×入力'!$A$1:$L$1300,91+DP$3,2+DP$2)&lt;&gt;"",INDEX('×入力'!$A$1:$L$1300,90,2+DP$2)&lt;&gt;"",INDEX('×入力'!$A$1:$L$1300,91+DP$3,1)&lt;&gt;""),1,0),0)</f>
        <v/>
      </c>
      <c r="DQ13">
        <f>IF(DQ$4=1,IF(OR(INDEX('×入力'!$A$1:$L$1300,91+DQ$3,2+DQ$2)&lt;&gt;"",INDEX('×入力'!$A$1:$L$1300,90,2+DQ$2)&lt;&gt;"",INDEX('×入力'!$A$1:$L$1300,91+DQ$3,1)&lt;&gt;""),1,0),0)</f>
        <v/>
      </c>
      <c r="DR13">
        <f>IF(DR$4=1,IF(OR(INDEX('×入力'!$A$1:$L$1300,91+DR$3,2+DR$2)&lt;&gt;"",INDEX('×入力'!$A$1:$L$1300,90,2+DR$2)&lt;&gt;"",INDEX('×入力'!$A$1:$L$1300,91+DR$3,1)&lt;&gt;""),1,0),0)</f>
        <v/>
      </c>
      <c r="DS13">
        <f>IF(DS$4=1,IF(OR(INDEX('×入力'!$A$1:$L$1300,91+DS$3,2+DS$2)&lt;&gt;"",INDEX('×入力'!$A$1:$L$1300,90,2+DS$2)&lt;&gt;"",INDEX('×入力'!$A$1:$L$1300,91+DS$3,1)&lt;&gt;""),1,0),0)</f>
        <v/>
      </c>
      <c r="DT13">
        <f>IF(DT$4=1,IF(OR(INDEX('×入力'!$A$1:$L$1300,91+DT$3,2+DT$2)&lt;&gt;"",INDEX('×入力'!$A$1:$L$1300,90,2+DT$2)&lt;&gt;"",INDEX('×入力'!$A$1:$L$1300,91+DT$3,1)&lt;&gt;""),1,0),0)</f>
        <v/>
      </c>
      <c r="DU13">
        <f>IF(DU$4=1,IF(OR(INDEX('×入力'!$A$1:$L$1300,91+DU$3,2+DU$2)&lt;&gt;"",INDEX('×入力'!$A$1:$L$1300,90,2+DU$2)&lt;&gt;"",INDEX('×入力'!$A$1:$L$1300,91+DU$3,1)&lt;&gt;""),1,0),0)</f>
        <v/>
      </c>
      <c r="DV13">
        <f>IF(DV$4=1,IF(OR(INDEX('×入力'!$A$1:$L$1300,91+DV$3,2+DV$2)&lt;&gt;"",INDEX('×入力'!$A$1:$L$1300,90,2+DV$2)&lt;&gt;"",INDEX('×入力'!$A$1:$L$1300,91+DV$3,1)&lt;&gt;""),1,0),0)</f>
        <v/>
      </c>
      <c r="DW13">
        <f>IF(DW$4=1,IF(OR(INDEX('×入力'!$A$1:$L$1300,91+DW$3,2+DW$2)&lt;&gt;"",INDEX('×入力'!$A$1:$L$1300,90,2+DW$2)&lt;&gt;"",INDEX('×入力'!$A$1:$L$1300,91+DW$3,1)&lt;&gt;""),1,0),0)</f>
        <v/>
      </c>
      <c r="DX13">
        <f>IF(DX$4=1,IF(OR(INDEX('×入力'!$A$1:$L$1300,91+DX$3,2+DX$2)&lt;&gt;"",INDEX('×入力'!$A$1:$L$1300,90,2+DX$2)&lt;&gt;"",INDEX('×入力'!$A$1:$L$1300,91+DX$3,1)&lt;&gt;""),1,0),0)</f>
        <v/>
      </c>
      <c r="DY13">
        <f>IF(DY$4=1,IF(OR(INDEX('×入力'!$A$1:$L$1300,91+DY$3,2+DY$2)&lt;&gt;"",INDEX('×入力'!$A$1:$L$1300,90,2+DY$2)&lt;&gt;"",INDEX('×入力'!$A$1:$L$1300,91+DY$3,1)&lt;&gt;""),1,0),0)</f>
        <v/>
      </c>
      <c r="DZ13">
        <f>IF(DZ$4=1,IF(OR(INDEX('×入力'!$A$1:$L$1300,91+DZ$3,2+DZ$2)&lt;&gt;"",INDEX('×入力'!$A$1:$L$1300,90,2+DZ$2)&lt;&gt;"",INDEX('×入力'!$A$1:$L$1300,91+DZ$3,1)&lt;&gt;""),1,0),0)</f>
        <v/>
      </c>
      <c r="EA13">
        <f>IF(EA$4=1,IF(OR(INDEX('×入力'!$A$1:$L$1300,91+EA$3,2+EA$2)&lt;&gt;"",INDEX('×入力'!$A$1:$L$1300,90,2+EA$2)&lt;&gt;"",INDEX('×入力'!$A$1:$L$1300,91+EA$3,1)&lt;&gt;""),1,0),0)</f>
        <v/>
      </c>
      <c r="EB13">
        <f>IF(EB$4=1,IF(OR(INDEX('×入力'!$A$1:$L$1300,91+EB$3,2+EB$2)&lt;&gt;"",INDEX('×入力'!$A$1:$L$1300,90,2+EB$2)&lt;&gt;"",INDEX('×入力'!$A$1:$L$1300,91+EB$3,1)&lt;&gt;""),1,0),0)</f>
        <v/>
      </c>
      <c r="EC13">
        <f>IF(EC$4=1,IF(OR(INDEX('×入力'!$A$1:$L$1300,91+EC$3,2+EC$2)&lt;&gt;"",INDEX('×入力'!$A$1:$L$1300,90,2+EC$2)&lt;&gt;"",INDEX('×入力'!$A$1:$L$1300,91+EC$3,1)&lt;&gt;""),1,0),0)</f>
        <v/>
      </c>
      <c r="ED13">
        <f>IF(ED$4=1,IF(OR(INDEX('×入力'!$A$1:$L$1300,91+ED$3,2+ED$2)&lt;&gt;"",INDEX('×入力'!$A$1:$L$1300,90,2+ED$2)&lt;&gt;"",INDEX('×入力'!$A$1:$L$1300,91+ED$3,1)&lt;&gt;""),1,0),0)</f>
        <v/>
      </c>
      <c r="EE13">
        <f>IF(EE$4=1,IF(OR(INDEX('×入力'!$A$1:$L$1300,91+EE$3,2+EE$2)&lt;&gt;"",INDEX('×入力'!$A$1:$L$1300,90,2+EE$2)&lt;&gt;"",INDEX('×入力'!$A$1:$L$1300,91+EE$3,1)&lt;&gt;""),1,0),0)</f>
        <v/>
      </c>
      <c r="EF13">
        <f>IF(EF$4=1,IF(OR(INDEX('×入力'!$A$1:$L$1300,91+EF$3,2+EF$2)&lt;&gt;"",INDEX('×入力'!$A$1:$L$1300,90,2+EF$2)&lt;&gt;"",INDEX('×入力'!$A$1:$L$1300,91+EF$3,1)&lt;&gt;""),1,0),0)</f>
        <v/>
      </c>
      <c r="EG13">
        <f>IF(EG$4=1,IF(OR(INDEX('×入力'!$A$1:$L$1300,91+EG$3,2+EG$2)&lt;&gt;"",INDEX('×入力'!$A$1:$L$1300,90,2+EG$2)&lt;&gt;"",INDEX('×入力'!$A$1:$L$1300,91+EG$3,1)&lt;&gt;""),1,0),0)</f>
        <v/>
      </c>
      <c r="EH13">
        <f>IF(EH$4=1,IF(OR(INDEX('×入力'!$A$1:$L$1300,91+EH$3,2+EH$2)&lt;&gt;"",INDEX('×入力'!$A$1:$L$1300,90,2+EH$2)&lt;&gt;"",INDEX('×入力'!$A$1:$L$1300,91+EH$3,1)&lt;&gt;""),1,0),0)</f>
        <v/>
      </c>
      <c r="EI13">
        <f>IF(EI$4=1,IF(OR(INDEX('×入力'!$A$1:$L$1300,91+EI$3,2+EI$2)&lt;&gt;"",INDEX('×入力'!$A$1:$L$1300,90,2+EI$2)&lt;&gt;"",INDEX('×入力'!$A$1:$L$1300,91+EI$3,1)&lt;&gt;""),1,0),0)</f>
        <v/>
      </c>
      <c r="EJ13">
        <f>IF(EJ$4=1,IF(OR(INDEX('×入力'!$A$1:$L$1300,91+EJ$3,2+EJ$2)&lt;&gt;"",INDEX('×入力'!$A$1:$L$1300,90,2+EJ$2)&lt;&gt;"",INDEX('×入力'!$A$1:$L$1300,91+EJ$3,1)&lt;&gt;""),1,0),0)</f>
        <v/>
      </c>
      <c r="EK13">
        <f>IF(EK$4=1,IF(OR(INDEX('×入力'!$A$1:$L$1300,91+EK$3,2+EK$2)&lt;&gt;"",INDEX('×入力'!$A$1:$L$1300,90,2+EK$2)&lt;&gt;"",INDEX('×入力'!$A$1:$L$1300,91+EK$3,1)&lt;&gt;""),1,0),0)</f>
        <v/>
      </c>
      <c r="EL13">
        <f>IF(EL$4=1,IF(OR(INDEX('×入力'!$A$1:$L$1300,91+EL$3,2+EL$2)&lt;&gt;"",INDEX('×入力'!$A$1:$L$1300,90,2+EL$2)&lt;&gt;"",INDEX('×入力'!$A$1:$L$1300,91+EL$3,1)&lt;&gt;""),1,0),0)</f>
        <v/>
      </c>
      <c r="EM13">
        <f>IF(EM$4=1,IF(OR(INDEX('×入力'!$A$1:$L$1300,91+EM$3,2+EM$2)&lt;&gt;"",INDEX('×入力'!$A$1:$L$1300,90,2+EM$2)&lt;&gt;"",INDEX('×入力'!$A$1:$L$1300,91+EM$3,1)&lt;&gt;""),1,0),0)</f>
        <v/>
      </c>
      <c r="EN13">
        <f>IF(EN$4=1,IF(OR(INDEX('×入力'!$A$1:$L$1300,91+EN$3,2+EN$2)&lt;&gt;"",INDEX('×入力'!$A$1:$L$1300,90,2+EN$2)&lt;&gt;"",INDEX('×入力'!$A$1:$L$1300,91+EN$3,1)&lt;&gt;""),1,0),0)</f>
        <v/>
      </c>
      <c r="EO13">
        <f>IF(EO$4=1,IF(OR(INDEX('×入力'!$A$1:$L$1300,91+EO$3,2+EO$2)&lt;&gt;"",INDEX('×入力'!$A$1:$L$1300,90,2+EO$2)&lt;&gt;"",INDEX('×入力'!$A$1:$L$1300,91+EO$3,1)&lt;&gt;""),1,0),0)</f>
        <v/>
      </c>
      <c r="EP13">
        <f>IF(EP$4=1,IF(OR(INDEX('×入力'!$A$1:$L$1300,91+EP$3,2+EP$2)&lt;&gt;"",INDEX('×入力'!$A$1:$L$1300,90,2+EP$2)&lt;&gt;"",INDEX('×入力'!$A$1:$L$1300,91+EP$3,1)&lt;&gt;""),1,0),0)</f>
        <v/>
      </c>
      <c r="EQ13">
        <f>IF(EQ$4=1,IF(OR(INDEX('×入力'!$A$1:$L$1300,91+EQ$3,2+EQ$2)&lt;&gt;"",INDEX('×入力'!$A$1:$L$1300,90,2+EQ$2)&lt;&gt;"",INDEX('×入力'!$A$1:$L$1300,91+EQ$3,1)&lt;&gt;""),1,0),0)</f>
        <v/>
      </c>
      <c r="HA13">
        <f>MAX(0,IT13)</f>
        <v/>
      </c>
      <c r="HB13">
        <f>IF(HA13=0,0,INDEX($D$2:$EQ$2,HA13))</f>
        <v/>
      </c>
      <c r="HC13">
        <f>IF(HA13=0,0,INDEX($D$3:$EQ$3,HA13))</f>
        <v/>
      </c>
      <c r="HD13">
        <f>MAX(0,IY13)</f>
        <v/>
      </c>
      <c r="HE13">
        <f>IF(HD13=0,0,INDEX($D$2:$EQ$2,HD13))</f>
        <v/>
      </c>
      <c r="HF13">
        <f>IF(HD13=0,0,INDEX($D$3:$EQ$3,HD13))</f>
        <v/>
      </c>
      <c r="HG13">
        <f>MAX(0,IZ13)</f>
        <v/>
      </c>
      <c r="HH13">
        <f>IF(HG13=0,0,INDEX($D$2:$EQ$2,HG13))</f>
        <v/>
      </c>
      <c r="HI13">
        <f>IF(HG13=0,0,INDEX($D$3:$EQ$3,HG13))</f>
        <v/>
      </c>
      <c r="HJ13">
        <f>IF(AND(HA13&gt;0,HC13&gt;1,OR(HC13-1&lt;&gt;$A$3,$A$4=0)),HA13-1,-1)</f>
        <v/>
      </c>
      <c r="HK13">
        <f>IF(AND(HA13&gt;0,HC13&lt;24,OR(HC13&lt;&gt;$A$3,$A$4=0)),HA13+1,-1)</f>
        <v/>
      </c>
      <c r="HL13">
        <f>IF(AND(HD13&gt;0,HF13&gt;1,OR(HF13-1&lt;&gt;$A$3,$A$4=0)),HD13-1,-1)</f>
        <v/>
      </c>
      <c r="HM13">
        <f>IF(AND(HD13&gt;0,HF13&lt;24,OR(HF13&lt;&gt;$A$3,$A$4=0)),HD13+1,-1)</f>
        <v/>
      </c>
      <c r="HN13">
        <f>IF(AND(HG13&gt;0,HI13&gt;1,OR(HI13-1&lt;&gt;$A$3,$A$4=0)),HG13-1,-1)</f>
        <v/>
      </c>
      <c r="HO13">
        <f>IF(AND(HG13&gt;0,HI13&lt;24,OR(HI13&lt;&gt;$A$3,$A$4=0)),HG13+1,-1)</f>
        <v/>
      </c>
      <c r="IK13">
        <f>IFERROR(INDEX('calcB'!$C$3:$C$47,MATCH(A13,'calcB'!$B$3:$B$47,0)),0)</f>
        <v/>
      </c>
      <c r="IL13">
        <f>IF(AND(C13=1,IK13=0,calcA!$A$6=1),1,0)</f>
        <v/>
      </c>
      <c r="IM13">
        <f>SUMPRODUCT(D63:EQ63*(1-$D$7:$EQ$7))</f>
        <v/>
      </c>
      <c r="IN13">
        <f>SUM(D13:EQ13)</f>
        <v/>
      </c>
      <c r="IO13">
        <f>IF(B13="",0,IF(COUNTIF('調整・決定'!$C$6:$H$29,B13)=1,SUMPRODUCT(('調整・決定'!$C$6:$H$29=B13)*((COLUMN('調整・決定'!$C$6:$H$29)-3)*24+ROW('調整・決定'!$C$6:$H$29)-5)),0))</f>
        <v/>
      </c>
      <c r="IP13">
        <f>IFERROR(MATCH('名簿'!C8,{"早い時刻","遅い時刻","早い日","遅い日"},0),0)</f>
        <v/>
      </c>
      <c r="IQ13">
        <f>IF('名簿'!D8="必ず空けたい",2,IF('名簿'!D8="出来れば空けたい",1,0))</f>
        <v/>
      </c>
      <c r="IR13">
        <f>IFERROR(INDEX('calcC'!$C$3:$C$47,MATCH(A13,'calcC'!$B$3:$B$47,0)),0)</f>
        <v/>
      </c>
      <c r="IS13">
        <f>IF(AND(C13=1,IR13=0,calcA!$A$6=1),1,0)</f>
        <v/>
      </c>
      <c r="IT13">
        <f>IF(OR('名簿'!G8="",'名簿'!H8=""),0,IFERROR((MATCH('名簿'!G8,'設定'!$E$11:$E$16,0)-1)*24+MATCH('名簿'!H8,'設定'!$I$11:$I$34,0),-1))</f>
        <v/>
      </c>
      <c r="IV13">
        <f>IF(OR(JF13=0,IO13=0),1,IF(OR(IF(IT13&gt;0,AND(INDEX($D$2:$EQ$2,IO13)=INDEX($D$2:$EQ$2,IT13),OR(AND(IO13=IT13+1,OR(INDEX($D$3:$EQ$3,IT13)&lt;&gt;$A$3,$A$4=0)),AND(IO13=IT13-1,OR(INDEX($D$3:$EQ$3,IO13)&lt;&gt;$A$3,$A$4=0)))),FALSE),IF(IY13&gt;0,AND(INDEX($D$2:$EQ$2,IO13)=INDEX($D$2:$EQ$2,IY13),OR(AND(IO13=IY13+1,OR(INDEX($D$3:$EQ$3,IY13)&lt;&gt;$A$3,$A$4=0)),AND(IO13=IY13-1,OR(INDEX($D$3:$EQ$3,IO13)&lt;&gt;$A$3,$A$4=0)))),FALSE),IF(IZ13&gt;0,AND(INDEX($D$2:$EQ$2,IO13)=INDEX($D$2:$EQ$2,IZ13),OR(AND(IO13=IZ13+1,OR(INDEX($D$3:$EQ$3,IZ13)&lt;&gt;$A$3,$A$4=0)),AND(IO13=IZ13-1,OR(INDEX($D$3:$EQ$3,IO13)&lt;&gt;$A$3,$A$4=0)))),FALSE)),1,0))</f>
        <v/>
      </c>
      <c r="IW13">
        <f>IF(AND('名簿'!E8&lt;&gt;"",JF13=0),1,0)</f>
        <v/>
      </c>
      <c r="IX13">
        <f>IF('名簿'!D8="空けない",1,0)</f>
        <v/>
      </c>
      <c r="IY13">
        <f>IF(OR('名簿'!J8="",'名簿'!K8=""),0,IFERROR((MATCH('名簿'!J8,'設定'!$E$11:$E$16,0)-1)*24+MATCH('名簿'!K8,'設定'!$I$11:$I$34,0),-1))</f>
        <v/>
      </c>
      <c r="IZ13">
        <f>IF(OR('名簿'!M8="",'名簿'!N8=""),0,IFERROR((MATCH('名簿'!M8,'設定'!$E$11:$E$16,0)-1)*24+MATCH('名簿'!N8,'設定'!$I$11:$I$34,0),-1))</f>
        <v/>
      </c>
      <c r="JC13">
        <f>IF(RIGHT('名簿'!I8,2)="の前",1,IF(RIGHT('名簿'!I8,2)="の後",2,0))</f>
        <v/>
      </c>
      <c r="JD13">
        <f>IF(RIGHT('名簿'!L8,2)="の前",1,IF(RIGHT('名簿'!L8,2)="の後",2,0))</f>
        <v/>
      </c>
      <c r="JE13">
        <f>IF(RIGHT('名簿'!O8,2)="の前",1,IF(RIGHT('名簿'!O8,2)="の後",2,0))</f>
        <v/>
      </c>
      <c r="JF13">
        <f>IF(OR(IT13&gt;0,IY13&gt;0,IZ13&gt;0),1,0)</f>
        <v/>
      </c>
      <c r="JG13">
        <f>IF(OR(IT13&lt;0,IY13&lt;0,IZ13&lt;0),1,0)</f>
        <v/>
      </c>
    </row>
    <row r="14">
      <c r="A14" t="n">
        <v>5</v>
      </c>
      <c r="B14">
        <f>'名簿'!P9</f>
        <v/>
      </c>
      <c r="C14">
        <f>IF(AND(B14&lt;&gt;"",OR('名簿'!Q9="入力済み",'名簿'!Q9="×なし"),IO14=0,COUNTIF('調整・決定'!$C$6:$H$29,B14)=0),1,0)</f>
        <v/>
      </c>
      <c r="D14">
        <f>IF(D$4=1,IF(OR(INDEX('×入力'!$A$1:$L$1300,119+D$3,2+D$2)&lt;&gt;"",INDEX('×入力'!$A$1:$L$1300,118,2+D$2)&lt;&gt;"",INDEX('×入力'!$A$1:$L$1300,119+D$3,1)&lt;&gt;""),1,0),0)</f>
        <v/>
      </c>
      <c r="E14">
        <f>IF(E$4=1,IF(OR(INDEX('×入力'!$A$1:$L$1300,119+E$3,2+E$2)&lt;&gt;"",INDEX('×入力'!$A$1:$L$1300,118,2+E$2)&lt;&gt;"",INDEX('×入力'!$A$1:$L$1300,119+E$3,1)&lt;&gt;""),1,0),0)</f>
        <v/>
      </c>
      <c r="F14">
        <f>IF(F$4=1,IF(OR(INDEX('×入力'!$A$1:$L$1300,119+F$3,2+F$2)&lt;&gt;"",INDEX('×入力'!$A$1:$L$1300,118,2+F$2)&lt;&gt;"",INDEX('×入力'!$A$1:$L$1300,119+F$3,1)&lt;&gt;""),1,0),0)</f>
        <v/>
      </c>
      <c r="G14">
        <f>IF(G$4=1,IF(OR(INDEX('×入力'!$A$1:$L$1300,119+G$3,2+G$2)&lt;&gt;"",INDEX('×入力'!$A$1:$L$1300,118,2+G$2)&lt;&gt;"",INDEX('×入力'!$A$1:$L$1300,119+G$3,1)&lt;&gt;""),1,0),0)</f>
        <v/>
      </c>
      <c r="H14">
        <f>IF(H$4=1,IF(OR(INDEX('×入力'!$A$1:$L$1300,119+H$3,2+H$2)&lt;&gt;"",INDEX('×入力'!$A$1:$L$1300,118,2+H$2)&lt;&gt;"",INDEX('×入力'!$A$1:$L$1300,119+H$3,1)&lt;&gt;""),1,0),0)</f>
        <v/>
      </c>
      <c r="I14">
        <f>IF(I$4=1,IF(OR(INDEX('×入力'!$A$1:$L$1300,119+I$3,2+I$2)&lt;&gt;"",INDEX('×入力'!$A$1:$L$1300,118,2+I$2)&lt;&gt;"",INDEX('×入力'!$A$1:$L$1300,119+I$3,1)&lt;&gt;""),1,0),0)</f>
        <v/>
      </c>
      <c r="J14">
        <f>IF(J$4=1,IF(OR(INDEX('×入力'!$A$1:$L$1300,119+J$3,2+J$2)&lt;&gt;"",INDEX('×入力'!$A$1:$L$1300,118,2+J$2)&lt;&gt;"",INDEX('×入力'!$A$1:$L$1300,119+J$3,1)&lt;&gt;""),1,0),0)</f>
        <v/>
      </c>
      <c r="K14">
        <f>IF(K$4=1,IF(OR(INDEX('×入力'!$A$1:$L$1300,119+K$3,2+K$2)&lt;&gt;"",INDEX('×入力'!$A$1:$L$1300,118,2+K$2)&lt;&gt;"",INDEX('×入力'!$A$1:$L$1300,119+K$3,1)&lt;&gt;""),1,0),0)</f>
        <v/>
      </c>
      <c r="L14">
        <f>IF(L$4=1,IF(OR(INDEX('×入力'!$A$1:$L$1300,119+L$3,2+L$2)&lt;&gt;"",INDEX('×入力'!$A$1:$L$1300,118,2+L$2)&lt;&gt;"",INDEX('×入力'!$A$1:$L$1300,119+L$3,1)&lt;&gt;""),1,0),0)</f>
        <v/>
      </c>
      <c r="M14">
        <f>IF(M$4=1,IF(OR(INDEX('×入力'!$A$1:$L$1300,119+M$3,2+M$2)&lt;&gt;"",INDEX('×入力'!$A$1:$L$1300,118,2+M$2)&lt;&gt;"",INDEX('×入力'!$A$1:$L$1300,119+M$3,1)&lt;&gt;""),1,0),0)</f>
        <v/>
      </c>
      <c r="N14">
        <f>IF(N$4=1,IF(OR(INDEX('×入力'!$A$1:$L$1300,119+N$3,2+N$2)&lt;&gt;"",INDEX('×入力'!$A$1:$L$1300,118,2+N$2)&lt;&gt;"",INDEX('×入力'!$A$1:$L$1300,119+N$3,1)&lt;&gt;""),1,0),0)</f>
        <v/>
      </c>
      <c r="O14">
        <f>IF(O$4=1,IF(OR(INDEX('×入力'!$A$1:$L$1300,119+O$3,2+O$2)&lt;&gt;"",INDEX('×入力'!$A$1:$L$1300,118,2+O$2)&lt;&gt;"",INDEX('×入力'!$A$1:$L$1300,119+O$3,1)&lt;&gt;""),1,0),0)</f>
        <v/>
      </c>
      <c r="P14">
        <f>IF(P$4=1,IF(OR(INDEX('×入力'!$A$1:$L$1300,119+P$3,2+P$2)&lt;&gt;"",INDEX('×入力'!$A$1:$L$1300,118,2+P$2)&lt;&gt;"",INDEX('×入力'!$A$1:$L$1300,119+P$3,1)&lt;&gt;""),1,0),0)</f>
        <v/>
      </c>
      <c r="Q14">
        <f>IF(Q$4=1,IF(OR(INDEX('×入力'!$A$1:$L$1300,119+Q$3,2+Q$2)&lt;&gt;"",INDEX('×入力'!$A$1:$L$1300,118,2+Q$2)&lt;&gt;"",INDEX('×入力'!$A$1:$L$1300,119+Q$3,1)&lt;&gt;""),1,0),0)</f>
        <v/>
      </c>
      <c r="R14">
        <f>IF(R$4=1,IF(OR(INDEX('×入力'!$A$1:$L$1300,119+R$3,2+R$2)&lt;&gt;"",INDEX('×入力'!$A$1:$L$1300,118,2+R$2)&lt;&gt;"",INDEX('×入力'!$A$1:$L$1300,119+R$3,1)&lt;&gt;""),1,0),0)</f>
        <v/>
      </c>
      <c r="S14">
        <f>IF(S$4=1,IF(OR(INDEX('×入力'!$A$1:$L$1300,119+S$3,2+S$2)&lt;&gt;"",INDEX('×入力'!$A$1:$L$1300,118,2+S$2)&lt;&gt;"",INDEX('×入力'!$A$1:$L$1300,119+S$3,1)&lt;&gt;""),1,0),0)</f>
        <v/>
      </c>
      <c r="T14">
        <f>IF(T$4=1,IF(OR(INDEX('×入力'!$A$1:$L$1300,119+T$3,2+T$2)&lt;&gt;"",INDEX('×入力'!$A$1:$L$1300,118,2+T$2)&lt;&gt;"",INDEX('×入力'!$A$1:$L$1300,119+T$3,1)&lt;&gt;""),1,0),0)</f>
        <v/>
      </c>
      <c r="U14">
        <f>IF(U$4=1,IF(OR(INDEX('×入力'!$A$1:$L$1300,119+U$3,2+U$2)&lt;&gt;"",INDEX('×入力'!$A$1:$L$1300,118,2+U$2)&lt;&gt;"",INDEX('×入力'!$A$1:$L$1300,119+U$3,1)&lt;&gt;""),1,0),0)</f>
        <v/>
      </c>
      <c r="V14">
        <f>IF(V$4=1,IF(OR(INDEX('×入力'!$A$1:$L$1300,119+V$3,2+V$2)&lt;&gt;"",INDEX('×入力'!$A$1:$L$1300,118,2+V$2)&lt;&gt;"",INDEX('×入力'!$A$1:$L$1300,119+V$3,1)&lt;&gt;""),1,0),0)</f>
        <v/>
      </c>
      <c r="W14">
        <f>IF(W$4=1,IF(OR(INDEX('×入力'!$A$1:$L$1300,119+W$3,2+W$2)&lt;&gt;"",INDEX('×入力'!$A$1:$L$1300,118,2+W$2)&lt;&gt;"",INDEX('×入力'!$A$1:$L$1300,119+W$3,1)&lt;&gt;""),1,0),0)</f>
        <v/>
      </c>
      <c r="X14">
        <f>IF(X$4=1,IF(OR(INDEX('×入力'!$A$1:$L$1300,119+X$3,2+X$2)&lt;&gt;"",INDEX('×入力'!$A$1:$L$1300,118,2+X$2)&lt;&gt;"",INDEX('×入力'!$A$1:$L$1300,119+X$3,1)&lt;&gt;""),1,0),0)</f>
        <v/>
      </c>
      <c r="Y14">
        <f>IF(Y$4=1,IF(OR(INDEX('×入力'!$A$1:$L$1300,119+Y$3,2+Y$2)&lt;&gt;"",INDEX('×入力'!$A$1:$L$1300,118,2+Y$2)&lt;&gt;"",INDEX('×入力'!$A$1:$L$1300,119+Y$3,1)&lt;&gt;""),1,0),0)</f>
        <v/>
      </c>
      <c r="Z14">
        <f>IF(Z$4=1,IF(OR(INDEX('×入力'!$A$1:$L$1300,119+Z$3,2+Z$2)&lt;&gt;"",INDEX('×入力'!$A$1:$L$1300,118,2+Z$2)&lt;&gt;"",INDEX('×入力'!$A$1:$L$1300,119+Z$3,1)&lt;&gt;""),1,0),0)</f>
        <v/>
      </c>
      <c r="AA14">
        <f>IF(AA$4=1,IF(OR(INDEX('×入力'!$A$1:$L$1300,119+AA$3,2+AA$2)&lt;&gt;"",INDEX('×入力'!$A$1:$L$1300,118,2+AA$2)&lt;&gt;"",INDEX('×入力'!$A$1:$L$1300,119+AA$3,1)&lt;&gt;""),1,0),0)</f>
        <v/>
      </c>
      <c r="AB14">
        <f>IF(AB$4=1,IF(OR(INDEX('×入力'!$A$1:$L$1300,119+AB$3,2+AB$2)&lt;&gt;"",INDEX('×入力'!$A$1:$L$1300,118,2+AB$2)&lt;&gt;"",INDEX('×入力'!$A$1:$L$1300,119+AB$3,1)&lt;&gt;""),1,0),0)</f>
        <v/>
      </c>
      <c r="AC14">
        <f>IF(AC$4=1,IF(OR(INDEX('×入力'!$A$1:$L$1300,119+AC$3,2+AC$2)&lt;&gt;"",INDEX('×入力'!$A$1:$L$1300,118,2+AC$2)&lt;&gt;"",INDEX('×入力'!$A$1:$L$1300,119+AC$3,1)&lt;&gt;""),1,0),0)</f>
        <v/>
      </c>
      <c r="AD14">
        <f>IF(AD$4=1,IF(OR(INDEX('×入力'!$A$1:$L$1300,119+AD$3,2+AD$2)&lt;&gt;"",INDEX('×入力'!$A$1:$L$1300,118,2+AD$2)&lt;&gt;"",INDEX('×入力'!$A$1:$L$1300,119+AD$3,1)&lt;&gt;""),1,0),0)</f>
        <v/>
      </c>
      <c r="AE14">
        <f>IF(AE$4=1,IF(OR(INDEX('×入力'!$A$1:$L$1300,119+AE$3,2+AE$2)&lt;&gt;"",INDEX('×入力'!$A$1:$L$1300,118,2+AE$2)&lt;&gt;"",INDEX('×入力'!$A$1:$L$1300,119+AE$3,1)&lt;&gt;""),1,0),0)</f>
        <v/>
      </c>
      <c r="AF14">
        <f>IF(AF$4=1,IF(OR(INDEX('×入力'!$A$1:$L$1300,119+AF$3,2+AF$2)&lt;&gt;"",INDEX('×入力'!$A$1:$L$1300,118,2+AF$2)&lt;&gt;"",INDEX('×入力'!$A$1:$L$1300,119+AF$3,1)&lt;&gt;""),1,0),0)</f>
        <v/>
      </c>
      <c r="AG14">
        <f>IF(AG$4=1,IF(OR(INDEX('×入力'!$A$1:$L$1300,119+AG$3,2+AG$2)&lt;&gt;"",INDEX('×入力'!$A$1:$L$1300,118,2+AG$2)&lt;&gt;"",INDEX('×入力'!$A$1:$L$1300,119+AG$3,1)&lt;&gt;""),1,0),0)</f>
        <v/>
      </c>
      <c r="AH14">
        <f>IF(AH$4=1,IF(OR(INDEX('×入力'!$A$1:$L$1300,119+AH$3,2+AH$2)&lt;&gt;"",INDEX('×入力'!$A$1:$L$1300,118,2+AH$2)&lt;&gt;"",INDEX('×入力'!$A$1:$L$1300,119+AH$3,1)&lt;&gt;""),1,0),0)</f>
        <v/>
      </c>
      <c r="AI14">
        <f>IF(AI$4=1,IF(OR(INDEX('×入力'!$A$1:$L$1300,119+AI$3,2+AI$2)&lt;&gt;"",INDEX('×入力'!$A$1:$L$1300,118,2+AI$2)&lt;&gt;"",INDEX('×入力'!$A$1:$L$1300,119+AI$3,1)&lt;&gt;""),1,0),0)</f>
        <v/>
      </c>
      <c r="AJ14">
        <f>IF(AJ$4=1,IF(OR(INDEX('×入力'!$A$1:$L$1300,119+AJ$3,2+AJ$2)&lt;&gt;"",INDEX('×入力'!$A$1:$L$1300,118,2+AJ$2)&lt;&gt;"",INDEX('×入力'!$A$1:$L$1300,119+AJ$3,1)&lt;&gt;""),1,0),0)</f>
        <v/>
      </c>
      <c r="AK14">
        <f>IF(AK$4=1,IF(OR(INDEX('×入力'!$A$1:$L$1300,119+AK$3,2+AK$2)&lt;&gt;"",INDEX('×入力'!$A$1:$L$1300,118,2+AK$2)&lt;&gt;"",INDEX('×入力'!$A$1:$L$1300,119+AK$3,1)&lt;&gt;""),1,0),0)</f>
        <v/>
      </c>
      <c r="AL14">
        <f>IF(AL$4=1,IF(OR(INDEX('×入力'!$A$1:$L$1300,119+AL$3,2+AL$2)&lt;&gt;"",INDEX('×入力'!$A$1:$L$1300,118,2+AL$2)&lt;&gt;"",INDEX('×入力'!$A$1:$L$1300,119+AL$3,1)&lt;&gt;""),1,0),0)</f>
        <v/>
      </c>
      <c r="AM14">
        <f>IF(AM$4=1,IF(OR(INDEX('×入力'!$A$1:$L$1300,119+AM$3,2+AM$2)&lt;&gt;"",INDEX('×入力'!$A$1:$L$1300,118,2+AM$2)&lt;&gt;"",INDEX('×入力'!$A$1:$L$1300,119+AM$3,1)&lt;&gt;""),1,0),0)</f>
        <v/>
      </c>
      <c r="AN14">
        <f>IF(AN$4=1,IF(OR(INDEX('×入力'!$A$1:$L$1300,119+AN$3,2+AN$2)&lt;&gt;"",INDEX('×入力'!$A$1:$L$1300,118,2+AN$2)&lt;&gt;"",INDEX('×入力'!$A$1:$L$1300,119+AN$3,1)&lt;&gt;""),1,0),0)</f>
        <v/>
      </c>
      <c r="AO14">
        <f>IF(AO$4=1,IF(OR(INDEX('×入力'!$A$1:$L$1300,119+AO$3,2+AO$2)&lt;&gt;"",INDEX('×入力'!$A$1:$L$1300,118,2+AO$2)&lt;&gt;"",INDEX('×入力'!$A$1:$L$1300,119+AO$3,1)&lt;&gt;""),1,0),0)</f>
        <v/>
      </c>
      <c r="AP14">
        <f>IF(AP$4=1,IF(OR(INDEX('×入力'!$A$1:$L$1300,119+AP$3,2+AP$2)&lt;&gt;"",INDEX('×入力'!$A$1:$L$1300,118,2+AP$2)&lt;&gt;"",INDEX('×入力'!$A$1:$L$1300,119+AP$3,1)&lt;&gt;""),1,0),0)</f>
        <v/>
      </c>
      <c r="AQ14">
        <f>IF(AQ$4=1,IF(OR(INDEX('×入力'!$A$1:$L$1300,119+AQ$3,2+AQ$2)&lt;&gt;"",INDEX('×入力'!$A$1:$L$1300,118,2+AQ$2)&lt;&gt;"",INDEX('×入力'!$A$1:$L$1300,119+AQ$3,1)&lt;&gt;""),1,0),0)</f>
        <v/>
      </c>
      <c r="AR14">
        <f>IF(AR$4=1,IF(OR(INDEX('×入力'!$A$1:$L$1300,119+AR$3,2+AR$2)&lt;&gt;"",INDEX('×入力'!$A$1:$L$1300,118,2+AR$2)&lt;&gt;"",INDEX('×入力'!$A$1:$L$1300,119+AR$3,1)&lt;&gt;""),1,0),0)</f>
        <v/>
      </c>
      <c r="AS14">
        <f>IF(AS$4=1,IF(OR(INDEX('×入力'!$A$1:$L$1300,119+AS$3,2+AS$2)&lt;&gt;"",INDEX('×入力'!$A$1:$L$1300,118,2+AS$2)&lt;&gt;"",INDEX('×入力'!$A$1:$L$1300,119+AS$3,1)&lt;&gt;""),1,0),0)</f>
        <v/>
      </c>
      <c r="AT14">
        <f>IF(AT$4=1,IF(OR(INDEX('×入力'!$A$1:$L$1300,119+AT$3,2+AT$2)&lt;&gt;"",INDEX('×入力'!$A$1:$L$1300,118,2+AT$2)&lt;&gt;"",INDEX('×入力'!$A$1:$L$1300,119+AT$3,1)&lt;&gt;""),1,0),0)</f>
        <v/>
      </c>
      <c r="AU14">
        <f>IF(AU$4=1,IF(OR(INDEX('×入力'!$A$1:$L$1300,119+AU$3,2+AU$2)&lt;&gt;"",INDEX('×入力'!$A$1:$L$1300,118,2+AU$2)&lt;&gt;"",INDEX('×入力'!$A$1:$L$1300,119+AU$3,1)&lt;&gt;""),1,0),0)</f>
        <v/>
      </c>
      <c r="AV14">
        <f>IF(AV$4=1,IF(OR(INDEX('×入力'!$A$1:$L$1300,119+AV$3,2+AV$2)&lt;&gt;"",INDEX('×入力'!$A$1:$L$1300,118,2+AV$2)&lt;&gt;"",INDEX('×入力'!$A$1:$L$1300,119+AV$3,1)&lt;&gt;""),1,0),0)</f>
        <v/>
      </c>
      <c r="AW14">
        <f>IF(AW$4=1,IF(OR(INDEX('×入力'!$A$1:$L$1300,119+AW$3,2+AW$2)&lt;&gt;"",INDEX('×入力'!$A$1:$L$1300,118,2+AW$2)&lt;&gt;"",INDEX('×入力'!$A$1:$L$1300,119+AW$3,1)&lt;&gt;""),1,0),0)</f>
        <v/>
      </c>
      <c r="AX14">
        <f>IF(AX$4=1,IF(OR(INDEX('×入力'!$A$1:$L$1300,119+AX$3,2+AX$2)&lt;&gt;"",INDEX('×入力'!$A$1:$L$1300,118,2+AX$2)&lt;&gt;"",INDEX('×入力'!$A$1:$L$1300,119+AX$3,1)&lt;&gt;""),1,0),0)</f>
        <v/>
      </c>
      <c r="AY14">
        <f>IF(AY$4=1,IF(OR(INDEX('×入力'!$A$1:$L$1300,119+AY$3,2+AY$2)&lt;&gt;"",INDEX('×入力'!$A$1:$L$1300,118,2+AY$2)&lt;&gt;"",INDEX('×入力'!$A$1:$L$1300,119+AY$3,1)&lt;&gt;""),1,0),0)</f>
        <v/>
      </c>
      <c r="AZ14">
        <f>IF(AZ$4=1,IF(OR(INDEX('×入力'!$A$1:$L$1300,119+AZ$3,2+AZ$2)&lt;&gt;"",INDEX('×入力'!$A$1:$L$1300,118,2+AZ$2)&lt;&gt;"",INDEX('×入力'!$A$1:$L$1300,119+AZ$3,1)&lt;&gt;""),1,0),0)</f>
        <v/>
      </c>
      <c r="BA14">
        <f>IF(BA$4=1,IF(OR(INDEX('×入力'!$A$1:$L$1300,119+BA$3,2+BA$2)&lt;&gt;"",INDEX('×入力'!$A$1:$L$1300,118,2+BA$2)&lt;&gt;"",INDEX('×入力'!$A$1:$L$1300,119+BA$3,1)&lt;&gt;""),1,0),0)</f>
        <v/>
      </c>
      <c r="BB14">
        <f>IF(BB$4=1,IF(OR(INDEX('×入力'!$A$1:$L$1300,119+BB$3,2+BB$2)&lt;&gt;"",INDEX('×入力'!$A$1:$L$1300,118,2+BB$2)&lt;&gt;"",INDEX('×入力'!$A$1:$L$1300,119+BB$3,1)&lt;&gt;""),1,0),0)</f>
        <v/>
      </c>
      <c r="BC14">
        <f>IF(BC$4=1,IF(OR(INDEX('×入力'!$A$1:$L$1300,119+BC$3,2+BC$2)&lt;&gt;"",INDEX('×入力'!$A$1:$L$1300,118,2+BC$2)&lt;&gt;"",INDEX('×入力'!$A$1:$L$1300,119+BC$3,1)&lt;&gt;""),1,0),0)</f>
        <v/>
      </c>
      <c r="BD14">
        <f>IF(BD$4=1,IF(OR(INDEX('×入力'!$A$1:$L$1300,119+BD$3,2+BD$2)&lt;&gt;"",INDEX('×入力'!$A$1:$L$1300,118,2+BD$2)&lt;&gt;"",INDEX('×入力'!$A$1:$L$1300,119+BD$3,1)&lt;&gt;""),1,0),0)</f>
        <v/>
      </c>
      <c r="BE14">
        <f>IF(BE$4=1,IF(OR(INDEX('×入力'!$A$1:$L$1300,119+BE$3,2+BE$2)&lt;&gt;"",INDEX('×入力'!$A$1:$L$1300,118,2+BE$2)&lt;&gt;"",INDEX('×入力'!$A$1:$L$1300,119+BE$3,1)&lt;&gt;""),1,0),0)</f>
        <v/>
      </c>
      <c r="BF14">
        <f>IF(BF$4=1,IF(OR(INDEX('×入力'!$A$1:$L$1300,119+BF$3,2+BF$2)&lt;&gt;"",INDEX('×入力'!$A$1:$L$1300,118,2+BF$2)&lt;&gt;"",INDEX('×入力'!$A$1:$L$1300,119+BF$3,1)&lt;&gt;""),1,0),0)</f>
        <v/>
      </c>
      <c r="BG14">
        <f>IF(BG$4=1,IF(OR(INDEX('×入力'!$A$1:$L$1300,119+BG$3,2+BG$2)&lt;&gt;"",INDEX('×入力'!$A$1:$L$1300,118,2+BG$2)&lt;&gt;"",INDEX('×入力'!$A$1:$L$1300,119+BG$3,1)&lt;&gt;""),1,0),0)</f>
        <v/>
      </c>
      <c r="BH14">
        <f>IF(BH$4=1,IF(OR(INDEX('×入力'!$A$1:$L$1300,119+BH$3,2+BH$2)&lt;&gt;"",INDEX('×入力'!$A$1:$L$1300,118,2+BH$2)&lt;&gt;"",INDEX('×入力'!$A$1:$L$1300,119+BH$3,1)&lt;&gt;""),1,0),0)</f>
        <v/>
      </c>
      <c r="BI14">
        <f>IF(BI$4=1,IF(OR(INDEX('×入力'!$A$1:$L$1300,119+BI$3,2+BI$2)&lt;&gt;"",INDEX('×入力'!$A$1:$L$1300,118,2+BI$2)&lt;&gt;"",INDEX('×入力'!$A$1:$L$1300,119+BI$3,1)&lt;&gt;""),1,0),0)</f>
        <v/>
      </c>
      <c r="BJ14">
        <f>IF(BJ$4=1,IF(OR(INDEX('×入力'!$A$1:$L$1300,119+BJ$3,2+BJ$2)&lt;&gt;"",INDEX('×入力'!$A$1:$L$1300,118,2+BJ$2)&lt;&gt;"",INDEX('×入力'!$A$1:$L$1300,119+BJ$3,1)&lt;&gt;""),1,0),0)</f>
        <v/>
      </c>
      <c r="BK14">
        <f>IF(BK$4=1,IF(OR(INDEX('×入力'!$A$1:$L$1300,119+BK$3,2+BK$2)&lt;&gt;"",INDEX('×入力'!$A$1:$L$1300,118,2+BK$2)&lt;&gt;"",INDEX('×入力'!$A$1:$L$1300,119+BK$3,1)&lt;&gt;""),1,0),0)</f>
        <v/>
      </c>
      <c r="BL14">
        <f>IF(BL$4=1,IF(OR(INDEX('×入力'!$A$1:$L$1300,119+BL$3,2+BL$2)&lt;&gt;"",INDEX('×入力'!$A$1:$L$1300,118,2+BL$2)&lt;&gt;"",INDEX('×入力'!$A$1:$L$1300,119+BL$3,1)&lt;&gt;""),1,0),0)</f>
        <v/>
      </c>
      <c r="BM14">
        <f>IF(BM$4=1,IF(OR(INDEX('×入力'!$A$1:$L$1300,119+BM$3,2+BM$2)&lt;&gt;"",INDEX('×入力'!$A$1:$L$1300,118,2+BM$2)&lt;&gt;"",INDEX('×入力'!$A$1:$L$1300,119+BM$3,1)&lt;&gt;""),1,0),0)</f>
        <v/>
      </c>
      <c r="BN14">
        <f>IF(BN$4=1,IF(OR(INDEX('×入力'!$A$1:$L$1300,119+BN$3,2+BN$2)&lt;&gt;"",INDEX('×入力'!$A$1:$L$1300,118,2+BN$2)&lt;&gt;"",INDEX('×入力'!$A$1:$L$1300,119+BN$3,1)&lt;&gt;""),1,0),0)</f>
        <v/>
      </c>
      <c r="BO14">
        <f>IF(BO$4=1,IF(OR(INDEX('×入力'!$A$1:$L$1300,119+BO$3,2+BO$2)&lt;&gt;"",INDEX('×入力'!$A$1:$L$1300,118,2+BO$2)&lt;&gt;"",INDEX('×入力'!$A$1:$L$1300,119+BO$3,1)&lt;&gt;""),1,0),0)</f>
        <v/>
      </c>
      <c r="BP14">
        <f>IF(BP$4=1,IF(OR(INDEX('×入力'!$A$1:$L$1300,119+BP$3,2+BP$2)&lt;&gt;"",INDEX('×入力'!$A$1:$L$1300,118,2+BP$2)&lt;&gt;"",INDEX('×入力'!$A$1:$L$1300,119+BP$3,1)&lt;&gt;""),1,0),0)</f>
        <v/>
      </c>
      <c r="BQ14">
        <f>IF(BQ$4=1,IF(OR(INDEX('×入力'!$A$1:$L$1300,119+BQ$3,2+BQ$2)&lt;&gt;"",INDEX('×入力'!$A$1:$L$1300,118,2+BQ$2)&lt;&gt;"",INDEX('×入力'!$A$1:$L$1300,119+BQ$3,1)&lt;&gt;""),1,0),0)</f>
        <v/>
      </c>
      <c r="BR14">
        <f>IF(BR$4=1,IF(OR(INDEX('×入力'!$A$1:$L$1300,119+BR$3,2+BR$2)&lt;&gt;"",INDEX('×入力'!$A$1:$L$1300,118,2+BR$2)&lt;&gt;"",INDEX('×入力'!$A$1:$L$1300,119+BR$3,1)&lt;&gt;""),1,0),0)</f>
        <v/>
      </c>
      <c r="BS14">
        <f>IF(BS$4=1,IF(OR(INDEX('×入力'!$A$1:$L$1300,119+BS$3,2+BS$2)&lt;&gt;"",INDEX('×入力'!$A$1:$L$1300,118,2+BS$2)&lt;&gt;"",INDEX('×入力'!$A$1:$L$1300,119+BS$3,1)&lt;&gt;""),1,0),0)</f>
        <v/>
      </c>
      <c r="BT14">
        <f>IF(BT$4=1,IF(OR(INDEX('×入力'!$A$1:$L$1300,119+BT$3,2+BT$2)&lt;&gt;"",INDEX('×入力'!$A$1:$L$1300,118,2+BT$2)&lt;&gt;"",INDEX('×入力'!$A$1:$L$1300,119+BT$3,1)&lt;&gt;""),1,0),0)</f>
        <v/>
      </c>
      <c r="BU14">
        <f>IF(BU$4=1,IF(OR(INDEX('×入力'!$A$1:$L$1300,119+BU$3,2+BU$2)&lt;&gt;"",INDEX('×入力'!$A$1:$L$1300,118,2+BU$2)&lt;&gt;"",INDEX('×入力'!$A$1:$L$1300,119+BU$3,1)&lt;&gt;""),1,0),0)</f>
        <v/>
      </c>
      <c r="BV14">
        <f>IF(BV$4=1,IF(OR(INDEX('×入力'!$A$1:$L$1300,119+BV$3,2+BV$2)&lt;&gt;"",INDEX('×入力'!$A$1:$L$1300,118,2+BV$2)&lt;&gt;"",INDEX('×入力'!$A$1:$L$1300,119+BV$3,1)&lt;&gt;""),1,0),0)</f>
        <v/>
      </c>
      <c r="BW14">
        <f>IF(BW$4=1,IF(OR(INDEX('×入力'!$A$1:$L$1300,119+BW$3,2+BW$2)&lt;&gt;"",INDEX('×入力'!$A$1:$L$1300,118,2+BW$2)&lt;&gt;"",INDEX('×入力'!$A$1:$L$1300,119+BW$3,1)&lt;&gt;""),1,0),0)</f>
        <v/>
      </c>
      <c r="BX14">
        <f>IF(BX$4=1,IF(OR(INDEX('×入力'!$A$1:$L$1300,119+BX$3,2+BX$2)&lt;&gt;"",INDEX('×入力'!$A$1:$L$1300,118,2+BX$2)&lt;&gt;"",INDEX('×入力'!$A$1:$L$1300,119+BX$3,1)&lt;&gt;""),1,0),0)</f>
        <v/>
      </c>
      <c r="BY14">
        <f>IF(BY$4=1,IF(OR(INDEX('×入力'!$A$1:$L$1300,119+BY$3,2+BY$2)&lt;&gt;"",INDEX('×入力'!$A$1:$L$1300,118,2+BY$2)&lt;&gt;"",INDEX('×入力'!$A$1:$L$1300,119+BY$3,1)&lt;&gt;""),1,0),0)</f>
        <v/>
      </c>
      <c r="BZ14">
        <f>IF(BZ$4=1,IF(OR(INDEX('×入力'!$A$1:$L$1300,119+BZ$3,2+BZ$2)&lt;&gt;"",INDEX('×入力'!$A$1:$L$1300,118,2+BZ$2)&lt;&gt;"",INDEX('×入力'!$A$1:$L$1300,119+BZ$3,1)&lt;&gt;""),1,0),0)</f>
        <v/>
      </c>
      <c r="CA14">
        <f>IF(CA$4=1,IF(OR(INDEX('×入力'!$A$1:$L$1300,119+CA$3,2+CA$2)&lt;&gt;"",INDEX('×入力'!$A$1:$L$1300,118,2+CA$2)&lt;&gt;"",INDEX('×入力'!$A$1:$L$1300,119+CA$3,1)&lt;&gt;""),1,0),0)</f>
        <v/>
      </c>
      <c r="CB14">
        <f>IF(CB$4=1,IF(OR(INDEX('×入力'!$A$1:$L$1300,119+CB$3,2+CB$2)&lt;&gt;"",INDEX('×入力'!$A$1:$L$1300,118,2+CB$2)&lt;&gt;"",INDEX('×入力'!$A$1:$L$1300,119+CB$3,1)&lt;&gt;""),1,0),0)</f>
        <v/>
      </c>
      <c r="CC14">
        <f>IF(CC$4=1,IF(OR(INDEX('×入力'!$A$1:$L$1300,119+CC$3,2+CC$2)&lt;&gt;"",INDEX('×入力'!$A$1:$L$1300,118,2+CC$2)&lt;&gt;"",INDEX('×入力'!$A$1:$L$1300,119+CC$3,1)&lt;&gt;""),1,0),0)</f>
        <v/>
      </c>
      <c r="CD14">
        <f>IF(CD$4=1,IF(OR(INDEX('×入力'!$A$1:$L$1300,119+CD$3,2+CD$2)&lt;&gt;"",INDEX('×入力'!$A$1:$L$1300,118,2+CD$2)&lt;&gt;"",INDEX('×入力'!$A$1:$L$1300,119+CD$3,1)&lt;&gt;""),1,0),0)</f>
        <v/>
      </c>
      <c r="CE14">
        <f>IF(CE$4=1,IF(OR(INDEX('×入力'!$A$1:$L$1300,119+CE$3,2+CE$2)&lt;&gt;"",INDEX('×入力'!$A$1:$L$1300,118,2+CE$2)&lt;&gt;"",INDEX('×入力'!$A$1:$L$1300,119+CE$3,1)&lt;&gt;""),1,0),0)</f>
        <v/>
      </c>
      <c r="CF14">
        <f>IF(CF$4=1,IF(OR(INDEX('×入力'!$A$1:$L$1300,119+CF$3,2+CF$2)&lt;&gt;"",INDEX('×入力'!$A$1:$L$1300,118,2+CF$2)&lt;&gt;"",INDEX('×入力'!$A$1:$L$1300,119+CF$3,1)&lt;&gt;""),1,0),0)</f>
        <v/>
      </c>
      <c r="CG14">
        <f>IF(CG$4=1,IF(OR(INDEX('×入力'!$A$1:$L$1300,119+CG$3,2+CG$2)&lt;&gt;"",INDEX('×入力'!$A$1:$L$1300,118,2+CG$2)&lt;&gt;"",INDEX('×入力'!$A$1:$L$1300,119+CG$3,1)&lt;&gt;""),1,0),0)</f>
        <v/>
      </c>
      <c r="CH14">
        <f>IF(CH$4=1,IF(OR(INDEX('×入力'!$A$1:$L$1300,119+CH$3,2+CH$2)&lt;&gt;"",INDEX('×入力'!$A$1:$L$1300,118,2+CH$2)&lt;&gt;"",INDEX('×入力'!$A$1:$L$1300,119+CH$3,1)&lt;&gt;""),1,0),0)</f>
        <v/>
      </c>
      <c r="CI14">
        <f>IF(CI$4=1,IF(OR(INDEX('×入力'!$A$1:$L$1300,119+CI$3,2+CI$2)&lt;&gt;"",INDEX('×入力'!$A$1:$L$1300,118,2+CI$2)&lt;&gt;"",INDEX('×入力'!$A$1:$L$1300,119+CI$3,1)&lt;&gt;""),1,0),0)</f>
        <v/>
      </c>
      <c r="CJ14">
        <f>IF(CJ$4=1,IF(OR(INDEX('×入力'!$A$1:$L$1300,119+CJ$3,2+CJ$2)&lt;&gt;"",INDEX('×入力'!$A$1:$L$1300,118,2+CJ$2)&lt;&gt;"",INDEX('×入力'!$A$1:$L$1300,119+CJ$3,1)&lt;&gt;""),1,0),0)</f>
        <v/>
      </c>
      <c r="CK14">
        <f>IF(CK$4=1,IF(OR(INDEX('×入力'!$A$1:$L$1300,119+CK$3,2+CK$2)&lt;&gt;"",INDEX('×入力'!$A$1:$L$1300,118,2+CK$2)&lt;&gt;"",INDEX('×入力'!$A$1:$L$1300,119+CK$3,1)&lt;&gt;""),1,0),0)</f>
        <v/>
      </c>
      <c r="CL14">
        <f>IF(CL$4=1,IF(OR(INDEX('×入力'!$A$1:$L$1300,119+CL$3,2+CL$2)&lt;&gt;"",INDEX('×入力'!$A$1:$L$1300,118,2+CL$2)&lt;&gt;"",INDEX('×入力'!$A$1:$L$1300,119+CL$3,1)&lt;&gt;""),1,0),0)</f>
        <v/>
      </c>
      <c r="CM14">
        <f>IF(CM$4=1,IF(OR(INDEX('×入力'!$A$1:$L$1300,119+CM$3,2+CM$2)&lt;&gt;"",INDEX('×入力'!$A$1:$L$1300,118,2+CM$2)&lt;&gt;"",INDEX('×入力'!$A$1:$L$1300,119+CM$3,1)&lt;&gt;""),1,0),0)</f>
        <v/>
      </c>
      <c r="CN14">
        <f>IF(CN$4=1,IF(OR(INDEX('×入力'!$A$1:$L$1300,119+CN$3,2+CN$2)&lt;&gt;"",INDEX('×入力'!$A$1:$L$1300,118,2+CN$2)&lt;&gt;"",INDEX('×入力'!$A$1:$L$1300,119+CN$3,1)&lt;&gt;""),1,0),0)</f>
        <v/>
      </c>
      <c r="CO14">
        <f>IF(CO$4=1,IF(OR(INDEX('×入力'!$A$1:$L$1300,119+CO$3,2+CO$2)&lt;&gt;"",INDEX('×入力'!$A$1:$L$1300,118,2+CO$2)&lt;&gt;"",INDEX('×入力'!$A$1:$L$1300,119+CO$3,1)&lt;&gt;""),1,0),0)</f>
        <v/>
      </c>
      <c r="CP14">
        <f>IF(CP$4=1,IF(OR(INDEX('×入力'!$A$1:$L$1300,119+CP$3,2+CP$2)&lt;&gt;"",INDEX('×入力'!$A$1:$L$1300,118,2+CP$2)&lt;&gt;"",INDEX('×入力'!$A$1:$L$1300,119+CP$3,1)&lt;&gt;""),1,0),0)</f>
        <v/>
      </c>
      <c r="CQ14">
        <f>IF(CQ$4=1,IF(OR(INDEX('×入力'!$A$1:$L$1300,119+CQ$3,2+CQ$2)&lt;&gt;"",INDEX('×入力'!$A$1:$L$1300,118,2+CQ$2)&lt;&gt;"",INDEX('×入力'!$A$1:$L$1300,119+CQ$3,1)&lt;&gt;""),1,0),0)</f>
        <v/>
      </c>
      <c r="CR14">
        <f>IF(CR$4=1,IF(OR(INDEX('×入力'!$A$1:$L$1300,119+CR$3,2+CR$2)&lt;&gt;"",INDEX('×入力'!$A$1:$L$1300,118,2+CR$2)&lt;&gt;"",INDEX('×入力'!$A$1:$L$1300,119+CR$3,1)&lt;&gt;""),1,0),0)</f>
        <v/>
      </c>
      <c r="CS14">
        <f>IF(CS$4=1,IF(OR(INDEX('×入力'!$A$1:$L$1300,119+CS$3,2+CS$2)&lt;&gt;"",INDEX('×入力'!$A$1:$L$1300,118,2+CS$2)&lt;&gt;"",INDEX('×入力'!$A$1:$L$1300,119+CS$3,1)&lt;&gt;""),1,0),0)</f>
        <v/>
      </c>
      <c r="CT14">
        <f>IF(CT$4=1,IF(OR(INDEX('×入力'!$A$1:$L$1300,119+CT$3,2+CT$2)&lt;&gt;"",INDEX('×入力'!$A$1:$L$1300,118,2+CT$2)&lt;&gt;"",INDEX('×入力'!$A$1:$L$1300,119+CT$3,1)&lt;&gt;""),1,0),0)</f>
        <v/>
      </c>
      <c r="CU14">
        <f>IF(CU$4=1,IF(OR(INDEX('×入力'!$A$1:$L$1300,119+CU$3,2+CU$2)&lt;&gt;"",INDEX('×入力'!$A$1:$L$1300,118,2+CU$2)&lt;&gt;"",INDEX('×入力'!$A$1:$L$1300,119+CU$3,1)&lt;&gt;""),1,0),0)</f>
        <v/>
      </c>
      <c r="CV14">
        <f>IF(CV$4=1,IF(OR(INDEX('×入力'!$A$1:$L$1300,119+CV$3,2+CV$2)&lt;&gt;"",INDEX('×入力'!$A$1:$L$1300,118,2+CV$2)&lt;&gt;"",INDEX('×入力'!$A$1:$L$1300,119+CV$3,1)&lt;&gt;""),1,0),0)</f>
        <v/>
      </c>
      <c r="CW14">
        <f>IF(CW$4=1,IF(OR(INDEX('×入力'!$A$1:$L$1300,119+CW$3,2+CW$2)&lt;&gt;"",INDEX('×入力'!$A$1:$L$1300,118,2+CW$2)&lt;&gt;"",INDEX('×入力'!$A$1:$L$1300,119+CW$3,1)&lt;&gt;""),1,0),0)</f>
        <v/>
      </c>
      <c r="CX14">
        <f>IF(CX$4=1,IF(OR(INDEX('×入力'!$A$1:$L$1300,119+CX$3,2+CX$2)&lt;&gt;"",INDEX('×入力'!$A$1:$L$1300,118,2+CX$2)&lt;&gt;"",INDEX('×入力'!$A$1:$L$1300,119+CX$3,1)&lt;&gt;""),1,0),0)</f>
        <v/>
      </c>
      <c r="CY14">
        <f>IF(CY$4=1,IF(OR(INDEX('×入力'!$A$1:$L$1300,119+CY$3,2+CY$2)&lt;&gt;"",INDEX('×入力'!$A$1:$L$1300,118,2+CY$2)&lt;&gt;"",INDEX('×入力'!$A$1:$L$1300,119+CY$3,1)&lt;&gt;""),1,0),0)</f>
        <v/>
      </c>
      <c r="CZ14">
        <f>IF(CZ$4=1,IF(OR(INDEX('×入力'!$A$1:$L$1300,119+CZ$3,2+CZ$2)&lt;&gt;"",INDEX('×入力'!$A$1:$L$1300,118,2+CZ$2)&lt;&gt;"",INDEX('×入力'!$A$1:$L$1300,119+CZ$3,1)&lt;&gt;""),1,0),0)</f>
        <v/>
      </c>
      <c r="DA14">
        <f>IF(DA$4=1,IF(OR(INDEX('×入力'!$A$1:$L$1300,119+DA$3,2+DA$2)&lt;&gt;"",INDEX('×入力'!$A$1:$L$1300,118,2+DA$2)&lt;&gt;"",INDEX('×入力'!$A$1:$L$1300,119+DA$3,1)&lt;&gt;""),1,0),0)</f>
        <v/>
      </c>
      <c r="DB14">
        <f>IF(DB$4=1,IF(OR(INDEX('×入力'!$A$1:$L$1300,119+DB$3,2+DB$2)&lt;&gt;"",INDEX('×入力'!$A$1:$L$1300,118,2+DB$2)&lt;&gt;"",INDEX('×入力'!$A$1:$L$1300,119+DB$3,1)&lt;&gt;""),1,0),0)</f>
        <v/>
      </c>
      <c r="DC14">
        <f>IF(DC$4=1,IF(OR(INDEX('×入力'!$A$1:$L$1300,119+DC$3,2+DC$2)&lt;&gt;"",INDEX('×入力'!$A$1:$L$1300,118,2+DC$2)&lt;&gt;"",INDEX('×入力'!$A$1:$L$1300,119+DC$3,1)&lt;&gt;""),1,0),0)</f>
        <v/>
      </c>
      <c r="DD14">
        <f>IF(DD$4=1,IF(OR(INDEX('×入力'!$A$1:$L$1300,119+DD$3,2+DD$2)&lt;&gt;"",INDEX('×入力'!$A$1:$L$1300,118,2+DD$2)&lt;&gt;"",INDEX('×入力'!$A$1:$L$1300,119+DD$3,1)&lt;&gt;""),1,0),0)</f>
        <v/>
      </c>
      <c r="DE14">
        <f>IF(DE$4=1,IF(OR(INDEX('×入力'!$A$1:$L$1300,119+DE$3,2+DE$2)&lt;&gt;"",INDEX('×入力'!$A$1:$L$1300,118,2+DE$2)&lt;&gt;"",INDEX('×入力'!$A$1:$L$1300,119+DE$3,1)&lt;&gt;""),1,0),0)</f>
        <v/>
      </c>
      <c r="DF14">
        <f>IF(DF$4=1,IF(OR(INDEX('×入力'!$A$1:$L$1300,119+DF$3,2+DF$2)&lt;&gt;"",INDEX('×入力'!$A$1:$L$1300,118,2+DF$2)&lt;&gt;"",INDEX('×入力'!$A$1:$L$1300,119+DF$3,1)&lt;&gt;""),1,0),0)</f>
        <v/>
      </c>
      <c r="DG14">
        <f>IF(DG$4=1,IF(OR(INDEX('×入力'!$A$1:$L$1300,119+DG$3,2+DG$2)&lt;&gt;"",INDEX('×入力'!$A$1:$L$1300,118,2+DG$2)&lt;&gt;"",INDEX('×入力'!$A$1:$L$1300,119+DG$3,1)&lt;&gt;""),1,0),0)</f>
        <v/>
      </c>
      <c r="DH14">
        <f>IF(DH$4=1,IF(OR(INDEX('×入力'!$A$1:$L$1300,119+DH$3,2+DH$2)&lt;&gt;"",INDEX('×入力'!$A$1:$L$1300,118,2+DH$2)&lt;&gt;"",INDEX('×入力'!$A$1:$L$1300,119+DH$3,1)&lt;&gt;""),1,0),0)</f>
        <v/>
      </c>
      <c r="DI14">
        <f>IF(DI$4=1,IF(OR(INDEX('×入力'!$A$1:$L$1300,119+DI$3,2+DI$2)&lt;&gt;"",INDEX('×入力'!$A$1:$L$1300,118,2+DI$2)&lt;&gt;"",INDEX('×入力'!$A$1:$L$1300,119+DI$3,1)&lt;&gt;""),1,0),0)</f>
        <v/>
      </c>
      <c r="DJ14">
        <f>IF(DJ$4=1,IF(OR(INDEX('×入力'!$A$1:$L$1300,119+DJ$3,2+DJ$2)&lt;&gt;"",INDEX('×入力'!$A$1:$L$1300,118,2+DJ$2)&lt;&gt;"",INDEX('×入力'!$A$1:$L$1300,119+DJ$3,1)&lt;&gt;""),1,0),0)</f>
        <v/>
      </c>
      <c r="DK14">
        <f>IF(DK$4=1,IF(OR(INDEX('×入力'!$A$1:$L$1300,119+DK$3,2+DK$2)&lt;&gt;"",INDEX('×入力'!$A$1:$L$1300,118,2+DK$2)&lt;&gt;"",INDEX('×入力'!$A$1:$L$1300,119+DK$3,1)&lt;&gt;""),1,0),0)</f>
        <v/>
      </c>
      <c r="DL14">
        <f>IF(DL$4=1,IF(OR(INDEX('×入力'!$A$1:$L$1300,119+DL$3,2+DL$2)&lt;&gt;"",INDEX('×入力'!$A$1:$L$1300,118,2+DL$2)&lt;&gt;"",INDEX('×入力'!$A$1:$L$1300,119+DL$3,1)&lt;&gt;""),1,0),0)</f>
        <v/>
      </c>
      <c r="DM14">
        <f>IF(DM$4=1,IF(OR(INDEX('×入力'!$A$1:$L$1300,119+DM$3,2+DM$2)&lt;&gt;"",INDEX('×入力'!$A$1:$L$1300,118,2+DM$2)&lt;&gt;"",INDEX('×入力'!$A$1:$L$1300,119+DM$3,1)&lt;&gt;""),1,0),0)</f>
        <v/>
      </c>
      <c r="DN14">
        <f>IF(DN$4=1,IF(OR(INDEX('×入力'!$A$1:$L$1300,119+DN$3,2+DN$2)&lt;&gt;"",INDEX('×入力'!$A$1:$L$1300,118,2+DN$2)&lt;&gt;"",INDEX('×入力'!$A$1:$L$1300,119+DN$3,1)&lt;&gt;""),1,0),0)</f>
        <v/>
      </c>
      <c r="DO14">
        <f>IF(DO$4=1,IF(OR(INDEX('×入力'!$A$1:$L$1300,119+DO$3,2+DO$2)&lt;&gt;"",INDEX('×入力'!$A$1:$L$1300,118,2+DO$2)&lt;&gt;"",INDEX('×入力'!$A$1:$L$1300,119+DO$3,1)&lt;&gt;""),1,0),0)</f>
        <v/>
      </c>
      <c r="DP14">
        <f>IF(DP$4=1,IF(OR(INDEX('×入力'!$A$1:$L$1300,119+DP$3,2+DP$2)&lt;&gt;"",INDEX('×入力'!$A$1:$L$1300,118,2+DP$2)&lt;&gt;"",INDEX('×入力'!$A$1:$L$1300,119+DP$3,1)&lt;&gt;""),1,0),0)</f>
        <v/>
      </c>
      <c r="DQ14">
        <f>IF(DQ$4=1,IF(OR(INDEX('×入力'!$A$1:$L$1300,119+DQ$3,2+DQ$2)&lt;&gt;"",INDEX('×入力'!$A$1:$L$1300,118,2+DQ$2)&lt;&gt;"",INDEX('×入力'!$A$1:$L$1300,119+DQ$3,1)&lt;&gt;""),1,0),0)</f>
        <v/>
      </c>
      <c r="DR14">
        <f>IF(DR$4=1,IF(OR(INDEX('×入力'!$A$1:$L$1300,119+DR$3,2+DR$2)&lt;&gt;"",INDEX('×入力'!$A$1:$L$1300,118,2+DR$2)&lt;&gt;"",INDEX('×入力'!$A$1:$L$1300,119+DR$3,1)&lt;&gt;""),1,0),0)</f>
        <v/>
      </c>
      <c r="DS14">
        <f>IF(DS$4=1,IF(OR(INDEX('×入力'!$A$1:$L$1300,119+DS$3,2+DS$2)&lt;&gt;"",INDEX('×入力'!$A$1:$L$1300,118,2+DS$2)&lt;&gt;"",INDEX('×入力'!$A$1:$L$1300,119+DS$3,1)&lt;&gt;""),1,0),0)</f>
        <v/>
      </c>
      <c r="DT14">
        <f>IF(DT$4=1,IF(OR(INDEX('×入力'!$A$1:$L$1300,119+DT$3,2+DT$2)&lt;&gt;"",INDEX('×入力'!$A$1:$L$1300,118,2+DT$2)&lt;&gt;"",INDEX('×入力'!$A$1:$L$1300,119+DT$3,1)&lt;&gt;""),1,0),0)</f>
        <v/>
      </c>
      <c r="DU14">
        <f>IF(DU$4=1,IF(OR(INDEX('×入力'!$A$1:$L$1300,119+DU$3,2+DU$2)&lt;&gt;"",INDEX('×入力'!$A$1:$L$1300,118,2+DU$2)&lt;&gt;"",INDEX('×入力'!$A$1:$L$1300,119+DU$3,1)&lt;&gt;""),1,0),0)</f>
        <v/>
      </c>
      <c r="DV14">
        <f>IF(DV$4=1,IF(OR(INDEX('×入力'!$A$1:$L$1300,119+DV$3,2+DV$2)&lt;&gt;"",INDEX('×入力'!$A$1:$L$1300,118,2+DV$2)&lt;&gt;"",INDEX('×入力'!$A$1:$L$1300,119+DV$3,1)&lt;&gt;""),1,0),0)</f>
        <v/>
      </c>
      <c r="DW14">
        <f>IF(DW$4=1,IF(OR(INDEX('×入力'!$A$1:$L$1300,119+DW$3,2+DW$2)&lt;&gt;"",INDEX('×入力'!$A$1:$L$1300,118,2+DW$2)&lt;&gt;"",INDEX('×入力'!$A$1:$L$1300,119+DW$3,1)&lt;&gt;""),1,0),0)</f>
        <v/>
      </c>
      <c r="DX14">
        <f>IF(DX$4=1,IF(OR(INDEX('×入力'!$A$1:$L$1300,119+DX$3,2+DX$2)&lt;&gt;"",INDEX('×入力'!$A$1:$L$1300,118,2+DX$2)&lt;&gt;"",INDEX('×入力'!$A$1:$L$1300,119+DX$3,1)&lt;&gt;""),1,0),0)</f>
        <v/>
      </c>
      <c r="DY14">
        <f>IF(DY$4=1,IF(OR(INDEX('×入力'!$A$1:$L$1300,119+DY$3,2+DY$2)&lt;&gt;"",INDEX('×入力'!$A$1:$L$1300,118,2+DY$2)&lt;&gt;"",INDEX('×入力'!$A$1:$L$1300,119+DY$3,1)&lt;&gt;""),1,0),0)</f>
        <v/>
      </c>
      <c r="DZ14">
        <f>IF(DZ$4=1,IF(OR(INDEX('×入力'!$A$1:$L$1300,119+DZ$3,2+DZ$2)&lt;&gt;"",INDEX('×入力'!$A$1:$L$1300,118,2+DZ$2)&lt;&gt;"",INDEX('×入力'!$A$1:$L$1300,119+DZ$3,1)&lt;&gt;""),1,0),0)</f>
        <v/>
      </c>
      <c r="EA14">
        <f>IF(EA$4=1,IF(OR(INDEX('×入力'!$A$1:$L$1300,119+EA$3,2+EA$2)&lt;&gt;"",INDEX('×入力'!$A$1:$L$1300,118,2+EA$2)&lt;&gt;"",INDEX('×入力'!$A$1:$L$1300,119+EA$3,1)&lt;&gt;""),1,0),0)</f>
        <v/>
      </c>
      <c r="EB14">
        <f>IF(EB$4=1,IF(OR(INDEX('×入力'!$A$1:$L$1300,119+EB$3,2+EB$2)&lt;&gt;"",INDEX('×入力'!$A$1:$L$1300,118,2+EB$2)&lt;&gt;"",INDEX('×入力'!$A$1:$L$1300,119+EB$3,1)&lt;&gt;""),1,0),0)</f>
        <v/>
      </c>
      <c r="EC14">
        <f>IF(EC$4=1,IF(OR(INDEX('×入力'!$A$1:$L$1300,119+EC$3,2+EC$2)&lt;&gt;"",INDEX('×入力'!$A$1:$L$1300,118,2+EC$2)&lt;&gt;"",INDEX('×入力'!$A$1:$L$1300,119+EC$3,1)&lt;&gt;""),1,0),0)</f>
        <v/>
      </c>
      <c r="ED14">
        <f>IF(ED$4=1,IF(OR(INDEX('×入力'!$A$1:$L$1300,119+ED$3,2+ED$2)&lt;&gt;"",INDEX('×入力'!$A$1:$L$1300,118,2+ED$2)&lt;&gt;"",INDEX('×入力'!$A$1:$L$1300,119+ED$3,1)&lt;&gt;""),1,0),0)</f>
        <v/>
      </c>
      <c r="EE14">
        <f>IF(EE$4=1,IF(OR(INDEX('×入力'!$A$1:$L$1300,119+EE$3,2+EE$2)&lt;&gt;"",INDEX('×入力'!$A$1:$L$1300,118,2+EE$2)&lt;&gt;"",INDEX('×入力'!$A$1:$L$1300,119+EE$3,1)&lt;&gt;""),1,0),0)</f>
        <v/>
      </c>
      <c r="EF14">
        <f>IF(EF$4=1,IF(OR(INDEX('×入力'!$A$1:$L$1300,119+EF$3,2+EF$2)&lt;&gt;"",INDEX('×入力'!$A$1:$L$1300,118,2+EF$2)&lt;&gt;"",INDEX('×入力'!$A$1:$L$1300,119+EF$3,1)&lt;&gt;""),1,0),0)</f>
        <v/>
      </c>
      <c r="EG14">
        <f>IF(EG$4=1,IF(OR(INDEX('×入力'!$A$1:$L$1300,119+EG$3,2+EG$2)&lt;&gt;"",INDEX('×入力'!$A$1:$L$1300,118,2+EG$2)&lt;&gt;"",INDEX('×入力'!$A$1:$L$1300,119+EG$3,1)&lt;&gt;""),1,0),0)</f>
        <v/>
      </c>
      <c r="EH14">
        <f>IF(EH$4=1,IF(OR(INDEX('×入力'!$A$1:$L$1300,119+EH$3,2+EH$2)&lt;&gt;"",INDEX('×入力'!$A$1:$L$1300,118,2+EH$2)&lt;&gt;"",INDEX('×入力'!$A$1:$L$1300,119+EH$3,1)&lt;&gt;""),1,0),0)</f>
        <v/>
      </c>
      <c r="EI14">
        <f>IF(EI$4=1,IF(OR(INDEX('×入力'!$A$1:$L$1300,119+EI$3,2+EI$2)&lt;&gt;"",INDEX('×入力'!$A$1:$L$1300,118,2+EI$2)&lt;&gt;"",INDEX('×入力'!$A$1:$L$1300,119+EI$3,1)&lt;&gt;""),1,0),0)</f>
        <v/>
      </c>
      <c r="EJ14">
        <f>IF(EJ$4=1,IF(OR(INDEX('×入力'!$A$1:$L$1300,119+EJ$3,2+EJ$2)&lt;&gt;"",INDEX('×入力'!$A$1:$L$1300,118,2+EJ$2)&lt;&gt;"",INDEX('×入力'!$A$1:$L$1300,119+EJ$3,1)&lt;&gt;""),1,0),0)</f>
        <v/>
      </c>
      <c r="EK14">
        <f>IF(EK$4=1,IF(OR(INDEX('×入力'!$A$1:$L$1300,119+EK$3,2+EK$2)&lt;&gt;"",INDEX('×入力'!$A$1:$L$1300,118,2+EK$2)&lt;&gt;"",INDEX('×入力'!$A$1:$L$1300,119+EK$3,1)&lt;&gt;""),1,0),0)</f>
        <v/>
      </c>
      <c r="EL14">
        <f>IF(EL$4=1,IF(OR(INDEX('×入力'!$A$1:$L$1300,119+EL$3,2+EL$2)&lt;&gt;"",INDEX('×入力'!$A$1:$L$1300,118,2+EL$2)&lt;&gt;"",INDEX('×入力'!$A$1:$L$1300,119+EL$3,1)&lt;&gt;""),1,0),0)</f>
        <v/>
      </c>
      <c r="EM14">
        <f>IF(EM$4=1,IF(OR(INDEX('×入力'!$A$1:$L$1300,119+EM$3,2+EM$2)&lt;&gt;"",INDEX('×入力'!$A$1:$L$1300,118,2+EM$2)&lt;&gt;"",INDEX('×入力'!$A$1:$L$1300,119+EM$3,1)&lt;&gt;""),1,0),0)</f>
        <v/>
      </c>
      <c r="EN14">
        <f>IF(EN$4=1,IF(OR(INDEX('×入力'!$A$1:$L$1300,119+EN$3,2+EN$2)&lt;&gt;"",INDEX('×入力'!$A$1:$L$1300,118,2+EN$2)&lt;&gt;"",INDEX('×入力'!$A$1:$L$1300,119+EN$3,1)&lt;&gt;""),1,0),0)</f>
        <v/>
      </c>
      <c r="EO14">
        <f>IF(EO$4=1,IF(OR(INDEX('×入力'!$A$1:$L$1300,119+EO$3,2+EO$2)&lt;&gt;"",INDEX('×入力'!$A$1:$L$1300,118,2+EO$2)&lt;&gt;"",INDEX('×入力'!$A$1:$L$1300,119+EO$3,1)&lt;&gt;""),1,0),0)</f>
        <v/>
      </c>
      <c r="EP14">
        <f>IF(EP$4=1,IF(OR(INDEX('×入力'!$A$1:$L$1300,119+EP$3,2+EP$2)&lt;&gt;"",INDEX('×入力'!$A$1:$L$1300,118,2+EP$2)&lt;&gt;"",INDEX('×入力'!$A$1:$L$1300,119+EP$3,1)&lt;&gt;""),1,0),0)</f>
        <v/>
      </c>
      <c r="EQ14">
        <f>IF(EQ$4=1,IF(OR(INDEX('×入力'!$A$1:$L$1300,119+EQ$3,2+EQ$2)&lt;&gt;"",INDEX('×入力'!$A$1:$L$1300,118,2+EQ$2)&lt;&gt;"",INDEX('×入力'!$A$1:$L$1300,119+EQ$3,1)&lt;&gt;""),1,0),0)</f>
        <v/>
      </c>
      <c r="HA14">
        <f>MAX(0,IT14)</f>
        <v/>
      </c>
      <c r="HB14">
        <f>IF(HA14=0,0,INDEX($D$2:$EQ$2,HA14))</f>
        <v/>
      </c>
      <c r="HC14">
        <f>IF(HA14=0,0,INDEX($D$3:$EQ$3,HA14))</f>
        <v/>
      </c>
      <c r="HD14">
        <f>MAX(0,IY14)</f>
        <v/>
      </c>
      <c r="HE14">
        <f>IF(HD14=0,0,INDEX($D$2:$EQ$2,HD14))</f>
        <v/>
      </c>
      <c r="HF14">
        <f>IF(HD14=0,0,INDEX($D$3:$EQ$3,HD14))</f>
        <v/>
      </c>
      <c r="HG14">
        <f>MAX(0,IZ14)</f>
        <v/>
      </c>
      <c r="HH14">
        <f>IF(HG14=0,0,INDEX($D$2:$EQ$2,HG14))</f>
        <v/>
      </c>
      <c r="HI14">
        <f>IF(HG14=0,0,INDEX($D$3:$EQ$3,HG14))</f>
        <v/>
      </c>
      <c r="HJ14">
        <f>IF(AND(HA14&gt;0,HC14&gt;1,OR(HC14-1&lt;&gt;$A$3,$A$4=0)),HA14-1,-1)</f>
        <v/>
      </c>
      <c r="HK14">
        <f>IF(AND(HA14&gt;0,HC14&lt;24,OR(HC14&lt;&gt;$A$3,$A$4=0)),HA14+1,-1)</f>
        <v/>
      </c>
      <c r="HL14">
        <f>IF(AND(HD14&gt;0,HF14&gt;1,OR(HF14-1&lt;&gt;$A$3,$A$4=0)),HD14-1,-1)</f>
        <v/>
      </c>
      <c r="HM14">
        <f>IF(AND(HD14&gt;0,HF14&lt;24,OR(HF14&lt;&gt;$A$3,$A$4=0)),HD14+1,-1)</f>
        <v/>
      </c>
      <c r="HN14">
        <f>IF(AND(HG14&gt;0,HI14&gt;1,OR(HI14-1&lt;&gt;$A$3,$A$4=0)),HG14-1,-1)</f>
        <v/>
      </c>
      <c r="HO14">
        <f>IF(AND(HG14&gt;0,HI14&lt;24,OR(HI14&lt;&gt;$A$3,$A$4=0)),HG14+1,-1)</f>
        <v/>
      </c>
      <c r="IK14">
        <f>IFERROR(INDEX('calcB'!$C$3:$C$47,MATCH(A14,'calcB'!$B$3:$B$47,0)),0)</f>
        <v/>
      </c>
      <c r="IL14">
        <f>IF(AND(C14=1,IK14=0,calcA!$A$6=1),1,0)</f>
        <v/>
      </c>
      <c r="IM14">
        <f>SUMPRODUCT(D64:EQ64*(1-$D$7:$EQ$7))</f>
        <v/>
      </c>
      <c r="IN14">
        <f>SUM(D14:EQ14)</f>
        <v/>
      </c>
      <c r="IO14">
        <f>IF(B14="",0,IF(COUNTIF('調整・決定'!$C$6:$H$29,B14)=1,SUMPRODUCT(('調整・決定'!$C$6:$H$29=B14)*((COLUMN('調整・決定'!$C$6:$H$29)-3)*24+ROW('調整・決定'!$C$6:$H$29)-5)),0))</f>
        <v/>
      </c>
      <c r="IP14">
        <f>IFERROR(MATCH('名簿'!C9,{"早い時刻","遅い時刻","早い日","遅い日"},0),0)</f>
        <v/>
      </c>
      <c r="IQ14">
        <f>IF('名簿'!D9="必ず空けたい",2,IF('名簿'!D9="出来れば空けたい",1,0))</f>
        <v/>
      </c>
      <c r="IR14">
        <f>IFERROR(INDEX('calcC'!$C$3:$C$47,MATCH(A14,'calcC'!$B$3:$B$47,0)),0)</f>
        <v/>
      </c>
      <c r="IS14">
        <f>IF(AND(C14=1,IR14=0,calcA!$A$6=1),1,0)</f>
        <v/>
      </c>
      <c r="IT14">
        <f>IF(OR('名簿'!G9="",'名簿'!H9=""),0,IFERROR((MATCH('名簿'!G9,'設定'!$E$11:$E$16,0)-1)*24+MATCH('名簿'!H9,'設定'!$I$11:$I$34,0),-1))</f>
        <v/>
      </c>
      <c r="IV14">
        <f>IF(OR(JF14=0,IO14=0),1,IF(OR(IF(IT14&gt;0,AND(INDEX($D$2:$EQ$2,IO14)=INDEX($D$2:$EQ$2,IT14),OR(AND(IO14=IT14+1,OR(INDEX($D$3:$EQ$3,IT14)&lt;&gt;$A$3,$A$4=0)),AND(IO14=IT14-1,OR(INDEX($D$3:$EQ$3,IO14)&lt;&gt;$A$3,$A$4=0)))),FALSE),IF(IY14&gt;0,AND(INDEX($D$2:$EQ$2,IO14)=INDEX($D$2:$EQ$2,IY14),OR(AND(IO14=IY14+1,OR(INDEX($D$3:$EQ$3,IY14)&lt;&gt;$A$3,$A$4=0)),AND(IO14=IY14-1,OR(INDEX($D$3:$EQ$3,IO14)&lt;&gt;$A$3,$A$4=0)))),FALSE),IF(IZ14&gt;0,AND(INDEX($D$2:$EQ$2,IO14)=INDEX($D$2:$EQ$2,IZ14),OR(AND(IO14=IZ14+1,OR(INDEX($D$3:$EQ$3,IZ14)&lt;&gt;$A$3,$A$4=0)),AND(IO14=IZ14-1,OR(INDEX($D$3:$EQ$3,IO14)&lt;&gt;$A$3,$A$4=0)))),FALSE)),1,0))</f>
        <v/>
      </c>
      <c r="IW14">
        <f>IF(AND('名簿'!E9&lt;&gt;"",JF14=0),1,0)</f>
        <v/>
      </c>
      <c r="IX14">
        <f>IF('名簿'!D9="空けない",1,0)</f>
        <v/>
      </c>
      <c r="IY14">
        <f>IF(OR('名簿'!J9="",'名簿'!K9=""),0,IFERROR((MATCH('名簿'!J9,'設定'!$E$11:$E$16,0)-1)*24+MATCH('名簿'!K9,'設定'!$I$11:$I$34,0),-1))</f>
        <v/>
      </c>
      <c r="IZ14">
        <f>IF(OR('名簿'!M9="",'名簿'!N9=""),0,IFERROR((MATCH('名簿'!M9,'設定'!$E$11:$E$16,0)-1)*24+MATCH('名簿'!N9,'設定'!$I$11:$I$34,0),-1))</f>
        <v/>
      </c>
      <c r="JC14">
        <f>IF(RIGHT('名簿'!I9,2)="の前",1,IF(RIGHT('名簿'!I9,2)="の後",2,0))</f>
        <v/>
      </c>
      <c r="JD14">
        <f>IF(RIGHT('名簿'!L9,2)="の前",1,IF(RIGHT('名簿'!L9,2)="の後",2,0))</f>
        <v/>
      </c>
      <c r="JE14">
        <f>IF(RIGHT('名簿'!O9,2)="の前",1,IF(RIGHT('名簿'!O9,2)="の後",2,0))</f>
        <v/>
      </c>
      <c r="JF14">
        <f>IF(OR(IT14&gt;0,IY14&gt;0,IZ14&gt;0),1,0)</f>
        <v/>
      </c>
      <c r="JG14">
        <f>IF(OR(IT14&lt;0,IY14&lt;0,IZ14&lt;0),1,0)</f>
        <v/>
      </c>
    </row>
    <row r="15">
      <c r="A15" t="n">
        <v>6</v>
      </c>
      <c r="B15">
        <f>'名簿'!P10</f>
        <v/>
      </c>
      <c r="C15">
        <f>IF(AND(B15&lt;&gt;"",OR('名簿'!Q10="入力済み",'名簿'!Q10="×なし"),IO15=0,COUNTIF('調整・決定'!$C$6:$H$29,B15)=0),1,0)</f>
        <v/>
      </c>
      <c r="D15">
        <f>IF(D$4=1,IF(OR(INDEX('×入力'!$A$1:$L$1300,147+D$3,2+D$2)&lt;&gt;"",INDEX('×入力'!$A$1:$L$1300,146,2+D$2)&lt;&gt;"",INDEX('×入力'!$A$1:$L$1300,147+D$3,1)&lt;&gt;""),1,0),0)</f>
        <v/>
      </c>
      <c r="E15">
        <f>IF(E$4=1,IF(OR(INDEX('×入力'!$A$1:$L$1300,147+E$3,2+E$2)&lt;&gt;"",INDEX('×入力'!$A$1:$L$1300,146,2+E$2)&lt;&gt;"",INDEX('×入力'!$A$1:$L$1300,147+E$3,1)&lt;&gt;""),1,0),0)</f>
        <v/>
      </c>
      <c r="F15">
        <f>IF(F$4=1,IF(OR(INDEX('×入力'!$A$1:$L$1300,147+F$3,2+F$2)&lt;&gt;"",INDEX('×入力'!$A$1:$L$1300,146,2+F$2)&lt;&gt;"",INDEX('×入力'!$A$1:$L$1300,147+F$3,1)&lt;&gt;""),1,0),0)</f>
        <v/>
      </c>
      <c r="G15">
        <f>IF(G$4=1,IF(OR(INDEX('×入力'!$A$1:$L$1300,147+G$3,2+G$2)&lt;&gt;"",INDEX('×入力'!$A$1:$L$1300,146,2+G$2)&lt;&gt;"",INDEX('×入力'!$A$1:$L$1300,147+G$3,1)&lt;&gt;""),1,0),0)</f>
        <v/>
      </c>
      <c r="H15">
        <f>IF(H$4=1,IF(OR(INDEX('×入力'!$A$1:$L$1300,147+H$3,2+H$2)&lt;&gt;"",INDEX('×入力'!$A$1:$L$1300,146,2+H$2)&lt;&gt;"",INDEX('×入力'!$A$1:$L$1300,147+H$3,1)&lt;&gt;""),1,0),0)</f>
        <v/>
      </c>
      <c r="I15">
        <f>IF(I$4=1,IF(OR(INDEX('×入力'!$A$1:$L$1300,147+I$3,2+I$2)&lt;&gt;"",INDEX('×入力'!$A$1:$L$1300,146,2+I$2)&lt;&gt;"",INDEX('×入力'!$A$1:$L$1300,147+I$3,1)&lt;&gt;""),1,0),0)</f>
        <v/>
      </c>
      <c r="J15">
        <f>IF(J$4=1,IF(OR(INDEX('×入力'!$A$1:$L$1300,147+J$3,2+J$2)&lt;&gt;"",INDEX('×入力'!$A$1:$L$1300,146,2+J$2)&lt;&gt;"",INDEX('×入力'!$A$1:$L$1300,147+J$3,1)&lt;&gt;""),1,0),0)</f>
        <v/>
      </c>
      <c r="K15">
        <f>IF(K$4=1,IF(OR(INDEX('×入力'!$A$1:$L$1300,147+K$3,2+K$2)&lt;&gt;"",INDEX('×入力'!$A$1:$L$1300,146,2+K$2)&lt;&gt;"",INDEX('×入力'!$A$1:$L$1300,147+K$3,1)&lt;&gt;""),1,0),0)</f>
        <v/>
      </c>
      <c r="L15">
        <f>IF(L$4=1,IF(OR(INDEX('×入力'!$A$1:$L$1300,147+L$3,2+L$2)&lt;&gt;"",INDEX('×入力'!$A$1:$L$1300,146,2+L$2)&lt;&gt;"",INDEX('×入力'!$A$1:$L$1300,147+L$3,1)&lt;&gt;""),1,0),0)</f>
        <v/>
      </c>
      <c r="M15">
        <f>IF(M$4=1,IF(OR(INDEX('×入力'!$A$1:$L$1300,147+M$3,2+M$2)&lt;&gt;"",INDEX('×入力'!$A$1:$L$1300,146,2+M$2)&lt;&gt;"",INDEX('×入力'!$A$1:$L$1300,147+M$3,1)&lt;&gt;""),1,0),0)</f>
        <v/>
      </c>
      <c r="N15">
        <f>IF(N$4=1,IF(OR(INDEX('×入力'!$A$1:$L$1300,147+N$3,2+N$2)&lt;&gt;"",INDEX('×入力'!$A$1:$L$1300,146,2+N$2)&lt;&gt;"",INDEX('×入力'!$A$1:$L$1300,147+N$3,1)&lt;&gt;""),1,0),0)</f>
        <v/>
      </c>
      <c r="O15">
        <f>IF(O$4=1,IF(OR(INDEX('×入力'!$A$1:$L$1300,147+O$3,2+O$2)&lt;&gt;"",INDEX('×入力'!$A$1:$L$1300,146,2+O$2)&lt;&gt;"",INDEX('×入力'!$A$1:$L$1300,147+O$3,1)&lt;&gt;""),1,0),0)</f>
        <v/>
      </c>
      <c r="P15">
        <f>IF(P$4=1,IF(OR(INDEX('×入力'!$A$1:$L$1300,147+P$3,2+P$2)&lt;&gt;"",INDEX('×入力'!$A$1:$L$1300,146,2+P$2)&lt;&gt;"",INDEX('×入力'!$A$1:$L$1300,147+P$3,1)&lt;&gt;""),1,0),0)</f>
        <v/>
      </c>
      <c r="Q15">
        <f>IF(Q$4=1,IF(OR(INDEX('×入力'!$A$1:$L$1300,147+Q$3,2+Q$2)&lt;&gt;"",INDEX('×入力'!$A$1:$L$1300,146,2+Q$2)&lt;&gt;"",INDEX('×入力'!$A$1:$L$1300,147+Q$3,1)&lt;&gt;""),1,0),0)</f>
        <v/>
      </c>
      <c r="R15">
        <f>IF(R$4=1,IF(OR(INDEX('×入力'!$A$1:$L$1300,147+R$3,2+R$2)&lt;&gt;"",INDEX('×入力'!$A$1:$L$1300,146,2+R$2)&lt;&gt;"",INDEX('×入力'!$A$1:$L$1300,147+R$3,1)&lt;&gt;""),1,0),0)</f>
        <v/>
      </c>
      <c r="S15">
        <f>IF(S$4=1,IF(OR(INDEX('×入力'!$A$1:$L$1300,147+S$3,2+S$2)&lt;&gt;"",INDEX('×入力'!$A$1:$L$1300,146,2+S$2)&lt;&gt;"",INDEX('×入力'!$A$1:$L$1300,147+S$3,1)&lt;&gt;""),1,0),0)</f>
        <v/>
      </c>
      <c r="T15">
        <f>IF(T$4=1,IF(OR(INDEX('×入力'!$A$1:$L$1300,147+T$3,2+T$2)&lt;&gt;"",INDEX('×入力'!$A$1:$L$1300,146,2+T$2)&lt;&gt;"",INDEX('×入力'!$A$1:$L$1300,147+T$3,1)&lt;&gt;""),1,0),0)</f>
        <v/>
      </c>
      <c r="U15">
        <f>IF(U$4=1,IF(OR(INDEX('×入力'!$A$1:$L$1300,147+U$3,2+U$2)&lt;&gt;"",INDEX('×入力'!$A$1:$L$1300,146,2+U$2)&lt;&gt;"",INDEX('×入力'!$A$1:$L$1300,147+U$3,1)&lt;&gt;""),1,0),0)</f>
        <v/>
      </c>
      <c r="V15">
        <f>IF(V$4=1,IF(OR(INDEX('×入力'!$A$1:$L$1300,147+V$3,2+V$2)&lt;&gt;"",INDEX('×入力'!$A$1:$L$1300,146,2+V$2)&lt;&gt;"",INDEX('×入力'!$A$1:$L$1300,147+V$3,1)&lt;&gt;""),1,0),0)</f>
        <v/>
      </c>
      <c r="W15">
        <f>IF(W$4=1,IF(OR(INDEX('×入力'!$A$1:$L$1300,147+W$3,2+W$2)&lt;&gt;"",INDEX('×入力'!$A$1:$L$1300,146,2+W$2)&lt;&gt;"",INDEX('×入力'!$A$1:$L$1300,147+W$3,1)&lt;&gt;""),1,0),0)</f>
        <v/>
      </c>
      <c r="X15">
        <f>IF(X$4=1,IF(OR(INDEX('×入力'!$A$1:$L$1300,147+X$3,2+X$2)&lt;&gt;"",INDEX('×入力'!$A$1:$L$1300,146,2+X$2)&lt;&gt;"",INDEX('×入力'!$A$1:$L$1300,147+X$3,1)&lt;&gt;""),1,0),0)</f>
        <v/>
      </c>
      <c r="Y15">
        <f>IF(Y$4=1,IF(OR(INDEX('×入力'!$A$1:$L$1300,147+Y$3,2+Y$2)&lt;&gt;"",INDEX('×入力'!$A$1:$L$1300,146,2+Y$2)&lt;&gt;"",INDEX('×入力'!$A$1:$L$1300,147+Y$3,1)&lt;&gt;""),1,0),0)</f>
        <v/>
      </c>
      <c r="Z15">
        <f>IF(Z$4=1,IF(OR(INDEX('×入力'!$A$1:$L$1300,147+Z$3,2+Z$2)&lt;&gt;"",INDEX('×入力'!$A$1:$L$1300,146,2+Z$2)&lt;&gt;"",INDEX('×入力'!$A$1:$L$1300,147+Z$3,1)&lt;&gt;""),1,0),0)</f>
        <v/>
      </c>
      <c r="AA15">
        <f>IF(AA$4=1,IF(OR(INDEX('×入力'!$A$1:$L$1300,147+AA$3,2+AA$2)&lt;&gt;"",INDEX('×入力'!$A$1:$L$1300,146,2+AA$2)&lt;&gt;"",INDEX('×入力'!$A$1:$L$1300,147+AA$3,1)&lt;&gt;""),1,0),0)</f>
        <v/>
      </c>
      <c r="AB15">
        <f>IF(AB$4=1,IF(OR(INDEX('×入力'!$A$1:$L$1300,147+AB$3,2+AB$2)&lt;&gt;"",INDEX('×入力'!$A$1:$L$1300,146,2+AB$2)&lt;&gt;"",INDEX('×入力'!$A$1:$L$1300,147+AB$3,1)&lt;&gt;""),1,0),0)</f>
        <v/>
      </c>
      <c r="AC15">
        <f>IF(AC$4=1,IF(OR(INDEX('×入力'!$A$1:$L$1300,147+AC$3,2+AC$2)&lt;&gt;"",INDEX('×入力'!$A$1:$L$1300,146,2+AC$2)&lt;&gt;"",INDEX('×入力'!$A$1:$L$1300,147+AC$3,1)&lt;&gt;""),1,0),0)</f>
        <v/>
      </c>
      <c r="AD15">
        <f>IF(AD$4=1,IF(OR(INDEX('×入力'!$A$1:$L$1300,147+AD$3,2+AD$2)&lt;&gt;"",INDEX('×入力'!$A$1:$L$1300,146,2+AD$2)&lt;&gt;"",INDEX('×入力'!$A$1:$L$1300,147+AD$3,1)&lt;&gt;""),1,0),0)</f>
        <v/>
      </c>
      <c r="AE15">
        <f>IF(AE$4=1,IF(OR(INDEX('×入力'!$A$1:$L$1300,147+AE$3,2+AE$2)&lt;&gt;"",INDEX('×入力'!$A$1:$L$1300,146,2+AE$2)&lt;&gt;"",INDEX('×入力'!$A$1:$L$1300,147+AE$3,1)&lt;&gt;""),1,0),0)</f>
        <v/>
      </c>
      <c r="AF15">
        <f>IF(AF$4=1,IF(OR(INDEX('×入力'!$A$1:$L$1300,147+AF$3,2+AF$2)&lt;&gt;"",INDEX('×入力'!$A$1:$L$1300,146,2+AF$2)&lt;&gt;"",INDEX('×入力'!$A$1:$L$1300,147+AF$3,1)&lt;&gt;""),1,0),0)</f>
        <v/>
      </c>
      <c r="AG15">
        <f>IF(AG$4=1,IF(OR(INDEX('×入力'!$A$1:$L$1300,147+AG$3,2+AG$2)&lt;&gt;"",INDEX('×入力'!$A$1:$L$1300,146,2+AG$2)&lt;&gt;"",INDEX('×入力'!$A$1:$L$1300,147+AG$3,1)&lt;&gt;""),1,0),0)</f>
        <v/>
      </c>
      <c r="AH15">
        <f>IF(AH$4=1,IF(OR(INDEX('×入力'!$A$1:$L$1300,147+AH$3,2+AH$2)&lt;&gt;"",INDEX('×入力'!$A$1:$L$1300,146,2+AH$2)&lt;&gt;"",INDEX('×入力'!$A$1:$L$1300,147+AH$3,1)&lt;&gt;""),1,0),0)</f>
        <v/>
      </c>
      <c r="AI15">
        <f>IF(AI$4=1,IF(OR(INDEX('×入力'!$A$1:$L$1300,147+AI$3,2+AI$2)&lt;&gt;"",INDEX('×入力'!$A$1:$L$1300,146,2+AI$2)&lt;&gt;"",INDEX('×入力'!$A$1:$L$1300,147+AI$3,1)&lt;&gt;""),1,0),0)</f>
        <v/>
      </c>
      <c r="AJ15">
        <f>IF(AJ$4=1,IF(OR(INDEX('×入力'!$A$1:$L$1300,147+AJ$3,2+AJ$2)&lt;&gt;"",INDEX('×入力'!$A$1:$L$1300,146,2+AJ$2)&lt;&gt;"",INDEX('×入力'!$A$1:$L$1300,147+AJ$3,1)&lt;&gt;""),1,0),0)</f>
        <v/>
      </c>
      <c r="AK15">
        <f>IF(AK$4=1,IF(OR(INDEX('×入力'!$A$1:$L$1300,147+AK$3,2+AK$2)&lt;&gt;"",INDEX('×入力'!$A$1:$L$1300,146,2+AK$2)&lt;&gt;"",INDEX('×入力'!$A$1:$L$1300,147+AK$3,1)&lt;&gt;""),1,0),0)</f>
        <v/>
      </c>
      <c r="AL15">
        <f>IF(AL$4=1,IF(OR(INDEX('×入力'!$A$1:$L$1300,147+AL$3,2+AL$2)&lt;&gt;"",INDEX('×入力'!$A$1:$L$1300,146,2+AL$2)&lt;&gt;"",INDEX('×入力'!$A$1:$L$1300,147+AL$3,1)&lt;&gt;""),1,0),0)</f>
        <v/>
      </c>
      <c r="AM15">
        <f>IF(AM$4=1,IF(OR(INDEX('×入力'!$A$1:$L$1300,147+AM$3,2+AM$2)&lt;&gt;"",INDEX('×入力'!$A$1:$L$1300,146,2+AM$2)&lt;&gt;"",INDEX('×入力'!$A$1:$L$1300,147+AM$3,1)&lt;&gt;""),1,0),0)</f>
        <v/>
      </c>
      <c r="AN15">
        <f>IF(AN$4=1,IF(OR(INDEX('×入力'!$A$1:$L$1300,147+AN$3,2+AN$2)&lt;&gt;"",INDEX('×入力'!$A$1:$L$1300,146,2+AN$2)&lt;&gt;"",INDEX('×入力'!$A$1:$L$1300,147+AN$3,1)&lt;&gt;""),1,0),0)</f>
        <v/>
      </c>
      <c r="AO15">
        <f>IF(AO$4=1,IF(OR(INDEX('×入力'!$A$1:$L$1300,147+AO$3,2+AO$2)&lt;&gt;"",INDEX('×入力'!$A$1:$L$1300,146,2+AO$2)&lt;&gt;"",INDEX('×入力'!$A$1:$L$1300,147+AO$3,1)&lt;&gt;""),1,0),0)</f>
        <v/>
      </c>
      <c r="AP15">
        <f>IF(AP$4=1,IF(OR(INDEX('×入力'!$A$1:$L$1300,147+AP$3,2+AP$2)&lt;&gt;"",INDEX('×入力'!$A$1:$L$1300,146,2+AP$2)&lt;&gt;"",INDEX('×入力'!$A$1:$L$1300,147+AP$3,1)&lt;&gt;""),1,0),0)</f>
        <v/>
      </c>
      <c r="AQ15">
        <f>IF(AQ$4=1,IF(OR(INDEX('×入力'!$A$1:$L$1300,147+AQ$3,2+AQ$2)&lt;&gt;"",INDEX('×入力'!$A$1:$L$1300,146,2+AQ$2)&lt;&gt;"",INDEX('×入力'!$A$1:$L$1300,147+AQ$3,1)&lt;&gt;""),1,0),0)</f>
        <v/>
      </c>
      <c r="AR15">
        <f>IF(AR$4=1,IF(OR(INDEX('×入力'!$A$1:$L$1300,147+AR$3,2+AR$2)&lt;&gt;"",INDEX('×入力'!$A$1:$L$1300,146,2+AR$2)&lt;&gt;"",INDEX('×入力'!$A$1:$L$1300,147+AR$3,1)&lt;&gt;""),1,0),0)</f>
        <v/>
      </c>
      <c r="AS15">
        <f>IF(AS$4=1,IF(OR(INDEX('×入力'!$A$1:$L$1300,147+AS$3,2+AS$2)&lt;&gt;"",INDEX('×入力'!$A$1:$L$1300,146,2+AS$2)&lt;&gt;"",INDEX('×入力'!$A$1:$L$1300,147+AS$3,1)&lt;&gt;""),1,0),0)</f>
        <v/>
      </c>
      <c r="AT15">
        <f>IF(AT$4=1,IF(OR(INDEX('×入力'!$A$1:$L$1300,147+AT$3,2+AT$2)&lt;&gt;"",INDEX('×入力'!$A$1:$L$1300,146,2+AT$2)&lt;&gt;"",INDEX('×入力'!$A$1:$L$1300,147+AT$3,1)&lt;&gt;""),1,0),0)</f>
        <v/>
      </c>
      <c r="AU15">
        <f>IF(AU$4=1,IF(OR(INDEX('×入力'!$A$1:$L$1300,147+AU$3,2+AU$2)&lt;&gt;"",INDEX('×入力'!$A$1:$L$1300,146,2+AU$2)&lt;&gt;"",INDEX('×入力'!$A$1:$L$1300,147+AU$3,1)&lt;&gt;""),1,0),0)</f>
        <v/>
      </c>
      <c r="AV15">
        <f>IF(AV$4=1,IF(OR(INDEX('×入力'!$A$1:$L$1300,147+AV$3,2+AV$2)&lt;&gt;"",INDEX('×入力'!$A$1:$L$1300,146,2+AV$2)&lt;&gt;"",INDEX('×入力'!$A$1:$L$1300,147+AV$3,1)&lt;&gt;""),1,0),0)</f>
        <v/>
      </c>
      <c r="AW15">
        <f>IF(AW$4=1,IF(OR(INDEX('×入力'!$A$1:$L$1300,147+AW$3,2+AW$2)&lt;&gt;"",INDEX('×入力'!$A$1:$L$1300,146,2+AW$2)&lt;&gt;"",INDEX('×入力'!$A$1:$L$1300,147+AW$3,1)&lt;&gt;""),1,0),0)</f>
        <v/>
      </c>
      <c r="AX15">
        <f>IF(AX$4=1,IF(OR(INDEX('×入力'!$A$1:$L$1300,147+AX$3,2+AX$2)&lt;&gt;"",INDEX('×入力'!$A$1:$L$1300,146,2+AX$2)&lt;&gt;"",INDEX('×入力'!$A$1:$L$1300,147+AX$3,1)&lt;&gt;""),1,0),0)</f>
        <v/>
      </c>
      <c r="AY15">
        <f>IF(AY$4=1,IF(OR(INDEX('×入力'!$A$1:$L$1300,147+AY$3,2+AY$2)&lt;&gt;"",INDEX('×入力'!$A$1:$L$1300,146,2+AY$2)&lt;&gt;"",INDEX('×入力'!$A$1:$L$1300,147+AY$3,1)&lt;&gt;""),1,0),0)</f>
        <v/>
      </c>
      <c r="AZ15">
        <f>IF(AZ$4=1,IF(OR(INDEX('×入力'!$A$1:$L$1300,147+AZ$3,2+AZ$2)&lt;&gt;"",INDEX('×入力'!$A$1:$L$1300,146,2+AZ$2)&lt;&gt;"",INDEX('×入力'!$A$1:$L$1300,147+AZ$3,1)&lt;&gt;""),1,0),0)</f>
        <v/>
      </c>
      <c r="BA15">
        <f>IF(BA$4=1,IF(OR(INDEX('×入力'!$A$1:$L$1300,147+BA$3,2+BA$2)&lt;&gt;"",INDEX('×入力'!$A$1:$L$1300,146,2+BA$2)&lt;&gt;"",INDEX('×入力'!$A$1:$L$1300,147+BA$3,1)&lt;&gt;""),1,0),0)</f>
        <v/>
      </c>
      <c r="BB15">
        <f>IF(BB$4=1,IF(OR(INDEX('×入力'!$A$1:$L$1300,147+BB$3,2+BB$2)&lt;&gt;"",INDEX('×入力'!$A$1:$L$1300,146,2+BB$2)&lt;&gt;"",INDEX('×入力'!$A$1:$L$1300,147+BB$3,1)&lt;&gt;""),1,0),0)</f>
        <v/>
      </c>
      <c r="BC15">
        <f>IF(BC$4=1,IF(OR(INDEX('×入力'!$A$1:$L$1300,147+BC$3,2+BC$2)&lt;&gt;"",INDEX('×入力'!$A$1:$L$1300,146,2+BC$2)&lt;&gt;"",INDEX('×入力'!$A$1:$L$1300,147+BC$3,1)&lt;&gt;""),1,0),0)</f>
        <v/>
      </c>
      <c r="BD15">
        <f>IF(BD$4=1,IF(OR(INDEX('×入力'!$A$1:$L$1300,147+BD$3,2+BD$2)&lt;&gt;"",INDEX('×入力'!$A$1:$L$1300,146,2+BD$2)&lt;&gt;"",INDEX('×入力'!$A$1:$L$1300,147+BD$3,1)&lt;&gt;""),1,0),0)</f>
        <v/>
      </c>
      <c r="BE15">
        <f>IF(BE$4=1,IF(OR(INDEX('×入力'!$A$1:$L$1300,147+BE$3,2+BE$2)&lt;&gt;"",INDEX('×入力'!$A$1:$L$1300,146,2+BE$2)&lt;&gt;"",INDEX('×入力'!$A$1:$L$1300,147+BE$3,1)&lt;&gt;""),1,0),0)</f>
        <v/>
      </c>
      <c r="BF15">
        <f>IF(BF$4=1,IF(OR(INDEX('×入力'!$A$1:$L$1300,147+BF$3,2+BF$2)&lt;&gt;"",INDEX('×入力'!$A$1:$L$1300,146,2+BF$2)&lt;&gt;"",INDEX('×入力'!$A$1:$L$1300,147+BF$3,1)&lt;&gt;""),1,0),0)</f>
        <v/>
      </c>
      <c r="BG15">
        <f>IF(BG$4=1,IF(OR(INDEX('×入力'!$A$1:$L$1300,147+BG$3,2+BG$2)&lt;&gt;"",INDEX('×入力'!$A$1:$L$1300,146,2+BG$2)&lt;&gt;"",INDEX('×入力'!$A$1:$L$1300,147+BG$3,1)&lt;&gt;""),1,0),0)</f>
        <v/>
      </c>
      <c r="BH15">
        <f>IF(BH$4=1,IF(OR(INDEX('×入力'!$A$1:$L$1300,147+BH$3,2+BH$2)&lt;&gt;"",INDEX('×入力'!$A$1:$L$1300,146,2+BH$2)&lt;&gt;"",INDEX('×入力'!$A$1:$L$1300,147+BH$3,1)&lt;&gt;""),1,0),0)</f>
        <v/>
      </c>
      <c r="BI15">
        <f>IF(BI$4=1,IF(OR(INDEX('×入力'!$A$1:$L$1300,147+BI$3,2+BI$2)&lt;&gt;"",INDEX('×入力'!$A$1:$L$1300,146,2+BI$2)&lt;&gt;"",INDEX('×入力'!$A$1:$L$1300,147+BI$3,1)&lt;&gt;""),1,0),0)</f>
        <v/>
      </c>
      <c r="BJ15">
        <f>IF(BJ$4=1,IF(OR(INDEX('×入力'!$A$1:$L$1300,147+BJ$3,2+BJ$2)&lt;&gt;"",INDEX('×入力'!$A$1:$L$1300,146,2+BJ$2)&lt;&gt;"",INDEX('×入力'!$A$1:$L$1300,147+BJ$3,1)&lt;&gt;""),1,0),0)</f>
        <v/>
      </c>
      <c r="BK15">
        <f>IF(BK$4=1,IF(OR(INDEX('×入力'!$A$1:$L$1300,147+BK$3,2+BK$2)&lt;&gt;"",INDEX('×入力'!$A$1:$L$1300,146,2+BK$2)&lt;&gt;"",INDEX('×入力'!$A$1:$L$1300,147+BK$3,1)&lt;&gt;""),1,0),0)</f>
        <v/>
      </c>
      <c r="BL15">
        <f>IF(BL$4=1,IF(OR(INDEX('×入力'!$A$1:$L$1300,147+BL$3,2+BL$2)&lt;&gt;"",INDEX('×入力'!$A$1:$L$1300,146,2+BL$2)&lt;&gt;"",INDEX('×入力'!$A$1:$L$1300,147+BL$3,1)&lt;&gt;""),1,0),0)</f>
        <v/>
      </c>
      <c r="BM15">
        <f>IF(BM$4=1,IF(OR(INDEX('×入力'!$A$1:$L$1300,147+BM$3,2+BM$2)&lt;&gt;"",INDEX('×入力'!$A$1:$L$1300,146,2+BM$2)&lt;&gt;"",INDEX('×入力'!$A$1:$L$1300,147+BM$3,1)&lt;&gt;""),1,0),0)</f>
        <v/>
      </c>
      <c r="BN15">
        <f>IF(BN$4=1,IF(OR(INDEX('×入力'!$A$1:$L$1300,147+BN$3,2+BN$2)&lt;&gt;"",INDEX('×入力'!$A$1:$L$1300,146,2+BN$2)&lt;&gt;"",INDEX('×入力'!$A$1:$L$1300,147+BN$3,1)&lt;&gt;""),1,0),0)</f>
        <v/>
      </c>
      <c r="BO15">
        <f>IF(BO$4=1,IF(OR(INDEX('×入力'!$A$1:$L$1300,147+BO$3,2+BO$2)&lt;&gt;"",INDEX('×入力'!$A$1:$L$1300,146,2+BO$2)&lt;&gt;"",INDEX('×入力'!$A$1:$L$1300,147+BO$3,1)&lt;&gt;""),1,0),0)</f>
        <v/>
      </c>
      <c r="BP15">
        <f>IF(BP$4=1,IF(OR(INDEX('×入力'!$A$1:$L$1300,147+BP$3,2+BP$2)&lt;&gt;"",INDEX('×入力'!$A$1:$L$1300,146,2+BP$2)&lt;&gt;"",INDEX('×入力'!$A$1:$L$1300,147+BP$3,1)&lt;&gt;""),1,0),0)</f>
        <v/>
      </c>
      <c r="BQ15">
        <f>IF(BQ$4=1,IF(OR(INDEX('×入力'!$A$1:$L$1300,147+BQ$3,2+BQ$2)&lt;&gt;"",INDEX('×入力'!$A$1:$L$1300,146,2+BQ$2)&lt;&gt;"",INDEX('×入力'!$A$1:$L$1300,147+BQ$3,1)&lt;&gt;""),1,0),0)</f>
        <v/>
      </c>
      <c r="BR15">
        <f>IF(BR$4=1,IF(OR(INDEX('×入力'!$A$1:$L$1300,147+BR$3,2+BR$2)&lt;&gt;"",INDEX('×入力'!$A$1:$L$1300,146,2+BR$2)&lt;&gt;"",INDEX('×入力'!$A$1:$L$1300,147+BR$3,1)&lt;&gt;""),1,0),0)</f>
        <v/>
      </c>
      <c r="BS15">
        <f>IF(BS$4=1,IF(OR(INDEX('×入力'!$A$1:$L$1300,147+BS$3,2+BS$2)&lt;&gt;"",INDEX('×入力'!$A$1:$L$1300,146,2+BS$2)&lt;&gt;"",INDEX('×入力'!$A$1:$L$1300,147+BS$3,1)&lt;&gt;""),1,0),0)</f>
        <v/>
      </c>
      <c r="BT15">
        <f>IF(BT$4=1,IF(OR(INDEX('×入力'!$A$1:$L$1300,147+BT$3,2+BT$2)&lt;&gt;"",INDEX('×入力'!$A$1:$L$1300,146,2+BT$2)&lt;&gt;"",INDEX('×入力'!$A$1:$L$1300,147+BT$3,1)&lt;&gt;""),1,0),0)</f>
        <v/>
      </c>
      <c r="BU15">
        <f>IF(BU$4=1,IF(OR(INDEX('×入力'!$A$1:$L$1300,147+BU$3,2+BU$2)&lt;&gt;"",INDEX('×入力'!$A$1:$L$1300,146,2+BU$2)&lt;&gt;"",INDEX('×入力'!$A$1:$L$1300,147+BU$3,1)&lt;&gt;""),1,0),0)</f>
        <v/>
      </c>
      <c r="BV15">
        <f>IF(BV$4=1,IF(OR(INDEX('×入力'!$A$1:$L$1300,147+BV$3,2+BV$2)&lt;&gt;"",INDEX('×入力'!$A$1:$L$1300,146,2+BV$2)&lt;&gt;"",INDEX('×入力'!$A$1:$L$1300,147+BV$3,1)&lt;&gt;""),1,0),0)</f>
        <v/>
      </c>
      <c r="BW15">
        <f>IF(BW$4=1,IF(OR(INDEX('×入力'!$A$1:$L$1300,147+BW$3,2+BW$2)&lt;&gt;"",INDEX('×入力'!$A$1:$L$1300,146,2+BW$2)&lt;&gt;"",INDEX('×入力'!$A$1:$L$1300,147+BW$3,1)&lt;&gt;""),1,0),0)</f>
        <v/>
      </c>
      <c r="BX15">
        <f>IF(BX$4=1,IF(OR(INDEX('×入力'!$A$1:$L$1300,147+BX$3,2+BX$2)&lt;&gt;"",INDEX('×入力'!$A$1:$L$1300,146,2+BX$2)&lt;&gt;"",INDEX('×入力'!$A$1:$L$1300,147+BX$3,1)&lt;&gt;""),1,0),0)</f>
        <v/>
      </c>
      <c r="BY15">
        <f>IF(BY$4=1,IF(OR(INDEX('×入力'!$A$1:$L$1300,147+BY$3,2+BY$2)&lt;&gt;"",INDEX('×入力'!$A$1:$L$1300,146,2+BY$2)&lt;&gt;"",INDEX('×入力'!$A$1:$L$1300,147+BY$3,1)&lt;&gt;""),1,0),0)</f>
        <v/>
      </c>
      <c r="BZ15">
        <f>IF(BZ$4=1,IF(OR(INDEX('×入力'!$A$1:$L$1300,147+BZ$3,2+BZ$2)&lt;&gt;"",INDEX('×入力'!$A$1:$L$1300,146,2+BZ$2)&lt;&gt;"",INDEX('×入力'!$A$1:$L$1300,147+BZ$3,1)&lt;&gt;""),1,0),0)</f>
        <v/>
      </c>
      <c r="CA15">
        <f>IF(CA$4=1,IF(OR(INDEX('×入力'!$A$1:$L$1300,147+CA$3,2+CA$2)&lt;&gt;"",INDEX('×入力'!$A$1:$L$1300,146,2+CA$2)&lt;&gt;"",INDEX('×入力'!$A$1:$L$1300,147+CA$3,1)&lt;&gt;""),1,0),0)</f>
        <v/>
      </c>
      <c r="CB15">
        <f>IF(CB$4=1,IF(OR(INDEX('×入力'!$A$1:$L$1300,147+CB$3,2+CB$2)&lt;&gt;"",INDEX('×入力'!$A$1:$L$1300,146,2+CB$2)&lt;&gt;"",INDEX('×入力'!$A$1:$L$1300,147+CB$3,1)&lt;&gt;""),1,0),0)</f>
        <v/>
      </c>
      <c r="CC15">
        <f>IF(CC$4=1,IF(OR(INDEX('×入力'!$A$1:$L$1300,147+CC$3,2+CC$2)&lt;&gt;"",INDEX('×入力'!$A$1:$L$1300,146,2+CC$2)&lt;&gt;"",INDEX('×入力'!$A$1:$L$1300,147+CC$3,1)&lt;&gt;""),1,0),0)</f>
        <v/>
      </c>
      <c r="CD15">
        <f>IF(CD$4=1,IF(OR(INDEX('×入力'!$A$1:$L$1300,147+CD$3,2+CD$2)&lt;&gt;"",INDEX('×入力'!$A$1:$L$1300,146,2+CD$2)&lt;&gt;"",INDEX('×入力'!$A$1:$L$1300,147+CD$3,1)&lt;&gt;""),1,0),0)</f>
        <v/>
      </c>
      <c r="CE15">
        <f>IF(CE$4=1,IF(OR(INDEX('×入力'!$A$1:$L$1300,147+CE$3,2+CE$2)&lt;&gt;"",INDEX('×入力'!$A$1:$L$1300,146,2+CE$2)&lt;&gt;"",INDEX('×入力'!$A$1:$L$1300,147+CE$3,1)&lt;&gt;""),1,0),0)</f>
        <v/>
      </c>
      <c r="CF15">
        <f>IF(CF$4=1,IF(OR(INDEX('×入力'!$A$1:$L$1300,147+CF$3,2+CF$2)&lt;&gt;"",INDEX('×入力'!$A$1:$L$1300,146,2+CF$2)&lt;&gt;"",INDEX('×入力'!$A$1:$L$1300,147+CF$3,1)&lt;&gt;""),1,0),0)</f>
        <v/>
      </c>
      <c r="CG15">
        <f>IF(CG$4=1,IF(OR(INDEX('×入力'!$A$1:$L$1300,147+CG$3,2+CG$2)&lt;&gt;"",INDEX('×入力'!$A$1:$L$1300,146,2+CG$2)&lt;&gt;"",INDEX('×入力'!$A$1:$L$1300,147+CG$3,1)&lt;&gt;""),1,0),0)</f>
        <v/>
      </c>
      <c r="CH15">
        <f>IF(CH$4=1,IF(OR(INDEX('×入力'!$A$1:$L$1300,147+CH$3,2+CH$2)&lt;&gt;"",INDEX('×入力'!$A$1:$L$1300,146,2+CH$2)&lt;&gt;"",INDEX('×入力'!$A$1:$L$1300,147+CH$3,1)&lt;&gt;""),1,0),0)</f>
        <v/>
      </c>
      <c r="CI15">
        <f>IF(CI$4=1,IF(OR(INDEX('×入力'!$A$1:$L$1300,147+CI$3,2+CI$2)&lt;&gt;"",INDEX('×入力'!$A$1:$L$1300,146,2+CI$2)&lt;&gt;"",INDEX('×入力'!$A$1:$L$1300,147+CI$3,1)&lt;&gt;""),1,0),0)</f>
        <v/>
      </c>
      <c r="CJ15">
        <f>IF(CJ$4=1,IF(OR(INDEX('×入力'!$A$1:$L$1300,147+CJ$3,2+CJ$2)&lt;&gt;"",INDEX('×入力'!$A$1:$L$1300,146,2+CJ$2)&lt;&gt;"",INDEX('×入力'!$A$1:$L$1300,147+CJ$3,1)&lt;&gt;""),1,0),0)</f>
        <v/>
      </c>
      <c r="CK15">
        <f>IF(CK$4=1,IF(OR(INDEX('×入力'!$A$1:$L$1300,147+CK$3,2+CK$2)&lt;&gt;"",INDEX('×入力'!$A$1:$L$1300,146,2+CK$2)&lt;&gt;"",INDEX('×入力'!$A$1:$L$1300,147+CK$3,1)&lt;&gt;""),1,0),0)</f>
        <v/>
      </c>
      <c r="CL15">
        <f>IF(CL$4=1,IF(OR(INDEX('×入力'!$A$1:$L$1300,147+CL$3,2+CL$2)&lt;&gt;"",INDEX('×入力'!$A$1:$L$1300,146,2+CL$2)&lt;&gt;"",INDEX('×入力'!$A$1:$L$1300,147+CL$3,1)&lt;&gt;""),1,0),0)</f>
        <v/>
      </c>
      <c r="CM15">
        <f>IF(CM$4=1,IF(OR(INDEX('×入力'!$A$1:$L$1300,147+CM$3,2+CM$2)&lt;&gt;"",INDEX('×入力'!$A$1:$L$1300,146,2+CM$2)&lt;&gt;"",INDEX('×入力'!$A$1:$L$1300,147+CM$3,1)&lt;&gt;""),1,0),0)</f>
        <v/>
      </c>
      <c r="CN15">
        <f>IF(CN$4=1,IF(OR(INDEX('×入力'!$A$1:$L$1300,147+CN$3,2+CN$2)&lt;&gt;"",INDEX('×入力'!$A$1:$L$1300,146,2+CN$2)&lt;&gt;"",INDEX('×入力'!$A$1:$L$1300,147+CN$3,1)&lt;&gt;""),1,0),0)</f>
        <v/>
      </c>
      <c r="CO15">
        <f>IF(CO$4=1,IF(OR(INDEX('×入力'!$A$1:$L$1300,147+CO$3,2+CO$2)&lt;&gt;"",INDEX('×入力'!$A$1:$L$1300,146,2+CO$2)&lt;&gt;"",INDEX('×入力'!$A$1:$L$1300,147+CO$3,1)&lt;&gt;""),1,0),0)</f>
        <v/>
      </c>
      <c r="CP15">
        <f>IF(CP$4=1,IF(OR(INDEX('×入力'!$A$1:$L$1300,147+CP$3,2+CP$2)&lt;&gt;"",INDEX('×入力'!$A$1:$L$1300,146,2+CP$2)&lt;&gt;"",INDEX('×入力'!$A$1:$L$1300,147+CP$3,1)&lt;&gt;""),1,0),0)</f>
        <v/>
      </c>
      <c r="CQ15">
        <f>IF(CQ$4=1,IF(OR(INDEX('×入力'!$A$1:$L$1300,147+CQ$3,2+CQ$2)&lt;&gt;"",INDEX('×入力'!$A$1:$L$1300,146,2+CQ$2)&lt;&gt;"",INDEX('×入力'!$A$1:$L$1300,147+CQ$3,1)&lt;&gt;""),1,0),0)</f>
        <v/>
      </c>
      <c r="CR15">
        <f>IF(CR$4=1,IF(OR(INDEX('×入力'!$A$1:$L$1300,147+CR$3,2+CR$2)&lt;&gt;"",INDEX('×入力'!$A$1:$L$1300,146,2+CR$2)&lt;&gt;"",INDEX('×入力'!$A$1:$L$1300,147+CR$3,1)&lt;&gt;""),1,0),0)</f>
        <v/>
      </c>
      <c r="CS15">
        <f>IF(CS$4=1,IF(OR(INDEX('×入力'!$A$1:$L$1300,147+CS$3,2+CS$2)&lt;&gt;"",INDEX('×入力'!$A$1:$L$1300,146,2+CS$2)&lt;&gt;"",INDEX('×入力'!$A$1:$L$1300,147+CS$3,1)&lt;&gt;""),1,0),0)</f>
        <v/>
      </c>
      <c r="CT15">
        <f>IF(CT$4=1,IF(OR(INDEX('×入力'!$A$1:$L$1300,147+CT$3,2+CT$2)&lt;&gt;"",INDEX('×入力'!$A$1:$L$1300,146,2+CT$2)&lt;&gt;"",INDEX('×入力'!$A$1:$L$1300,147+CT$3,1)&lt;&gt;""),1,0),0)</f>
        <v/>
      </c>
      <c r="CU15">
        <f>IF(CU$4=1,IF(OR(INDEX('×入力'!$A$1:$L$1300,147+CU$3,2+CU$2)&lt;&gt;"",INDEX('×入力'!$A$1:$L$1300,146,2+CU$2)&lt;&gt;"",INDEX('×入力'!$A$1:$L$1300,147+CU$3,1)&lt;&gt;""),1,0),0)</f>
        <v/>
      </c>
      <c r="CV15">
        <f>IF(CV$4=1,IF(OR(INDEX('×入力'!$A$1:$L$1300,147+CV$3,2+CV$2)&lt;&gt;"",INDEX('×入力'!$A$1:$L$1300,146,2+CV$2)&lt;&gt;"",INDEX('×入力'!$A$1:$L$1300,147+CV$3,1)&lt;&gt;""),1,0),0)</f>
        <v/>
      </c>
      <c r="CW15">
        <f>IF(CW$4=1,IF(OR(INDEX('×入力'!$A$1:$L$1300,147+CW$3,2+CW$2)&lt;&gt;"",INDEX('×入力'!$A$1:$L$1300,146,2+CW$2)&lt;&gt;"",INDEX('×入力'!$A$1:$L$1300,147+CW$3,1)&lt;&gt;""),1,0),0)</f>
        <v/>
      </c>
      <c r="CX15">
        <f>IF(CX$4=1,IF(OR(INDEX('×入力'!$A$1:$L$1300,147+CX$3,2+CX$2)&lt;&gt;"",INDEX('×入力'!$A$1:$L$1300,146,2+CX$2)&lt;&gt;"",INDEX('×入力'!$A$1:$L$1300,147+CX$3,1)&lt;&gt;""),1,0),0)</f>
        <v/>
      </c>
      <c r="CY15">
        <f>IF(CY$4=1,IF(OR(INDEX('×入力'!$A$1:$L$1300,147+CY$3,2+CY$2)&lt;&gt;"",INDEX('×入力'!$A$1:$L$1300,146,2+CY$2)&lt;&gt;"",INDEX('×入力'!$A$1:$L$1300,147+CY$3,1)&lt;&gt;""),1,0),0)</f>
        <v/>
      </c>
      <c r="CZ15">
        <f>IF(CZ$4=1,IF(OR(INDEX('×入力'!$A$1:$L$1300,147+CZ$3,2+CZ$2)&lt;&gt;"",INDEX('×入力'!$A$1:$L$1300,146,2+CZ$2)&lt;&gt;"",INDEX('×入力'!$A$1:$L$1300,147+CZ$3,1)&lt;&gt;""),1,0),0)</f>
        <v/>
      </c>
      <c r="DA15">
        <f>IF(DA$4=1,IF(OR(INDEX('×入力'!$A$1:$L$1300,147+DA$3,2+DA$2)&lt;&gt;"",INDEX('×入力'!$A$1:$L$1300,146,2+DA$2)&lt;&gt;"",INDEX('×入力'!$A$1:$L$1300,147+DA$3,1)&lt;&gt;""),1,0),0)</f>
        <v/>
      </c>
      <c r="DB15">
        <f>IF(DB$4=1,IF(OR(INDEX('×入力'!$A$1:$L$1300,147+DB$3,2+DB$2)&lt;&gt;"",INDEX('×入力'!$A$1:$L$1300,146,2+DB$2)&lt;&gt;"",INDEX('×入力'!$A$1:$L$1300,147+DB$3,1)&lt;&gt;""),1,0),0)</f>
        <v/>
      </c>
      <c r="DC15">
        <f>IF(DC$4=1,IF(OR(INDEX('×入力'!$A$1:$L$1300,147+DC$3,2+DC$2)&lt;&gt;"",INDEX('×入力'!$A$1:$L$1300,146,2+DC$2)&lt;&gt;"",INDEX('×入力'!$A$1:$L$1300,147+DC$3,1)&lt;&gt;""),1,0),0)</f>
        <v/>
      </c>
      <c r="DD15">
        <f>IF(DD$4=1,IF(OR(INDEX('×入力'!$A$1:$L$1300,147+DD$3,2+DD$2)&lt;&gt;"",INDEX('×入力'!$A$1:$L$1300,146,2+DD$2)&lt;&gt;"",INDEX('×入力'!$A$1:$L$1300,147+DD$3,1)&lt;&gt;""),1,0),0)</f>
        <v/>
      </c>
      <c r="DE15">
        <f>IF(DE$4=1,IF(OR(INDEX('×入力'!$A$1:$L$1300,147+DE$3,2+DE$2)&lt;&gt;"",INDEX('×入力'!$A$1:$L$1300,146,2+DE$2)&lt;&gt;"",INDEX('×入力'!$A$1:$L$1300,147+DE$3,1)&lt;&gt;""),1,0),0)</f>
        <v/>
      </c>
      <c r="DF15">
        <f>IF(DF$4=1,IF(OR(INDEX('×入力'!$A$1:$L$1300,147+DF$3,2+DF$2)&lt;&gt;"",INDEX('×入力'!$A$1:$L$1300,146,2+DF$2)&lt;&gt;"",INDEX('×入力'!$A$1:$L$1300,147+DF$3,1)&lt;&gt;""),1,0),0)</f>
        <v/>
      </c>
      <c r="DG15">
        <f>IF(DG$4=1,IF(OR(INDEX('×入力'!$A$1:$L$1300,147+DG$3,2+DG$2)&lt;&gt;"",INDEX('×入力'!$A$1:$L$1300,146,2+DG$2)&lt;&gt;"",INDEX('×入力'!$A$1:$L$1300,147+DG$3,1)&lt;&gt;""),1,0),0)</f>
        <v/>
      </c>
      <c r="DH15">
        <f>IF(DH$4=1,IF(OR(INDEX('×入力'!$A$1:$L$1300,147+DH$3,2+DH$2)&lt;&gt;"",INDEX('×入力'!$A$1:$L$1300,146,2+DH$2)&lt;&gt;"",INDEX('×入力'!$A$1:$L$1300,147+DH$3,1)&lt;&gt;""),1,0),0)</f>
        <v/>
      </c>
      <c r="DI15">
        <f>IF(DI$4=1,IF(OR(INDEX('×入力'!$A$1:$L$1300,147+DI$3,2+DI$2)&lt;&gt;"",INDEX('×入力'!$A$1:$L$1300,146,2+DI$2)&lt;&gt;"",INDEX('×入力'!$A$1:$L$1300,147+DI$3,1)&lt;&gt;""),1,0),0)</f>
        <v/>
      </c>
      <c r="DJ15">
        <f>IF(DJ$4=1,IF(OR(INDEX('×入力'!$A$1:$L$1300,147+DJ$3,2+DJ$2)&lt;&gt;"",INDEX('×入力'!$A$1:$L$1300,146,2+DJ$2)&lt;&gt;"",INDEX('×入力'!$A$1:$L$1300,147+DJ$3,1)&lt;&gt;""),1,0),0)</f>
        <v/>
      </c>
      <c r="DK15">
        <f>IF(DK$4=1,IF(OR(INDEX('×入力'!$A$1:$L$1300,147+DK$3,2+DK$2)&lt;&gt;"",INDEX('×入力'!$A$1:$L$1300,146,2+DK$2)&lt;&gt;"",INDEX('×入力'!$A$1:$L$1300,147+DK$3,1)&lt;&gt;""),1,0),0)</f>
        <v/>
      </c>
      <c r="DL15">
        <f>IF(DL$4=1,IF(OR(INDEX('×入力'!$A$1:$L$1300,147+DL$3,2+DL$2)&lt;&gt;"",INDEX('×入力'!$A$1:$L$1300,146,2+DL$2)&lt;&gt;"",INDEX('×入力'!$A$1:$L$1300,147+DL$3,1)&lt;&gt;""),1,0),0)</f>
        <v/>
      </c>
      <c r="DM15">
        <f>IF(DM$4=1,IF(OR(INDEX('×入力'!$A$1:$L$1300,147+DM$3,2+DM$2)&lt;&gt;"",INDEX('×入力'!$A$1:$L$1300,146,2+DM$2)&lt;&gt;"",INDEX('×入力'!$A$1:$L$1300,147+DM$3,1)&lt;&gt;""),1,0),0)</f>
        <v/>
      </c>
      <c r="DN15">
        <f>IF(DN$4=1,IF(OR(INDEX('×入力'!$A$1:$L$1300,147+DN$3,2+DN$2)&lt;&gt;"",INDEX('×入力'!$A$1:$L$1300,146,2+DN$2)&lt;&gt;"",INDEX('×入力'!$A$1:$L$1300,147+DN$3,1)&lt;&gt;""),1,0),0)</f>
        <v/>
      </c>
      <c r="DO15">
        <f>IF(DO$4=1,IF(OR(INDEX('×入力'!$A$1:$L$1300,147+DO$3,2+DO$2)&lt;&gt;"",INDEX('×入力'!$A$1:$L$1300,146,2+DO$2)&lt;&gt;"",INDEX('×入力'!$A$1:$L$1300,147+DO$3,1)&lt;&gt;""),1,0),0)</f>
        <v/>
      </c>
      <c r="DP15">
        <f>IF(DP$4=1,IF(OR(INDEX('×入力'!$A$1:$L$1300,147+DP$3,2+DP$2)&lt;&gt;"",INDEX('×入力'!$A$1:$L$1300,146,2+DP$2)&lt;&gt;"",INDEX('×入力'!$A$1:$L$1300,147+DP$3,1)&lt;&gt;""),1,0),0)</f>
        <v/>
      </c>
      <c r="DQ15">
        <f>IF(DQ$4=1,IF(OR(INDEX('×入力'!$A$1:$L$1300,147+DQ$3,2+DQ$2)&lt;&gt;"",INDEX('×入力'!$A$1:$L$1300,146,2+DQ$2)&lt;&gt;"",INDEX('×入力'!$A$1:$L$1300,147+DQ$3,1)&lt;&gt;""),1,0),0)</f>
        <v/>
      </c>
      <c r="DR15">
        <f>IF(DR$4=1,IF(OR(INDEX('×入力'!$A$1:$L$1300,147+DR$3,2+DR$2)&lt;&gt;"",INDEX('×入力'!$A$1:$L$1300,146,2+DR$2)&lt;&gt;"",INDEX('×入力'!$A$1:$L$1300,147+DR$3,1)&lt;&gt;""),1,0),0)</f>
        <v/>
      </c>
      <c r="DS15">
        <f>IF(DS$4=1,IF(OR(INDEX('×入力'!$A$1:$L$1300,147+DS$3,2+DS$2)&lt;&gt;"",INDEX('×入力'!$A$1:$L$1300,146,2+DS$2)&lt;&gt;"",INDEX('×入力'!$A$1:$L$1300,147+DS$3,1)&lt;&gt;""),1,0),0)</f>
        <v/>
      </c>
      <c r="DT15">
        <f>IF(DT$4=1,IF(OR(INDEX('×入力'!$A$1:$L$1300,147+DT$3,2+DT$2)&lt;&gt;"",INDEX('×入力'!$A$1:$L$1300,146,2+DT$2)&lt;&gt;"",INDEX('×入力'!$A$1:$L$1300,147+DT$3,1)&lt;&gt;""),1,0),0)</f>
        <v/>
      </c>
      <c r="DU15">
        <f>IF(DU$4=1,IF(OR(INDEX('×入力'!$A$1:$L$1300,147+DU$3,2+DU$2)&lt;&gt;"",INDEX('×入力'!$A$1:$L$1300,146,2+DU$2)&lt;&gt;"",INDEX('×入力'!$A$1:$L$1300,147+DU$3,1)&lt;&gt;""),1,0),0)</f>
        <v/>
      </c>
      <c r="DV15">
        <f>IF(DV$4=1,IF(OR(INDEX('×入力'!$A$1:$L$1300,147+DV$3,2+DV$2)&lt;&gt;"",INDEX('×入力'!$A$1:$L$1300,146,2+DV$2)&lt;&gt;"",INDEX('×入力'!$A$1:$L$1300,147+DV$3,1)&lt;&gt;""),1,0),0)</f>
        <v/>
      </c>
      <c r="DW15">
        <f>IF(DW$4=1,IF(OR(INDEX('×入力'!$A$1:$L$1300,147+DW$3,2+DW$2)&lt;&gt;"",INDEX('×入力'!$A$1:$L$1300,146,2+DW$2)&lt;&gt;"",INDEX('×入力'!$A$1:$L$1300,147+DW$3,1)&lt;&gt;""),1,0),0)</f>
        <v/>
      </c>
      <c r="DX15">
        <f>IF(DX$4=1,IF(OR(INDEX('×入力'!$A$1:$L$1300,147+DX$3,2+DX$2)&lt;&gt;"",INDEX('×入力'!$A$1:$L$1300,146,2+DX$2)&lt;&gt;"",INDEX('×入力'!$A$1:$L$1300,147+DX$3,1)&lt;&gt;""),1,0),0)</f>
        <v/>
      </c>
      <c r="DY15">
        <f>IF(DY$4=1,IF(OR(INDEX('×入力'!$A$1:$L$1300,147+DY$3,2+DY$2)&lt;&gt;"",INDEX('×入力'!$A$1:$L$1300,146,2+DY$2)&lt;&gt;"",INDEX('×入力'!$A$1:$L$1300,147+DY$3,1)&lt;&gt;""),1,0),0)</f>
        <v/>
      </c>
      <c r="DZ15">
        <f>IF(DZ$4=1,IF(OR(INDEX('×入力'!$A$1:$L$1300,147+DZ$3,2+DZ$2)&lt;&gt;"",INDEX('×入力'!$A$1:$L$1300,146,2+DZ$2)&lt;&gt;"",INDEX('×入力'!$A$1:$L$1300,147+DZ$3,1)&lt;&gt;""),1,0),0)</f>
        <v/>
      </c>
      <c r="EA15">
        <f>IF(EA$4=1,IF(OR(INDEX('×入力'!$A$1:$L$1300,147+EA$3,2+EA$2)&lt;&gt;"",INDEX('×入力'!$A$1:$L$1300,146,2+EA$2)&lt;&gt;"",INDEX('×入力'!$A$1:$L$1300,147+EA$3,1)&lt;&gt;""),1,0),0)</f>
        <v/>
      </c>
      <c r="EB15">
        <f>IF(EB$4=1,IF(OR(INDEX('×入力'!$A$1:$L$1300,147+EB$3,2+EB$2)&lt;&gt;"",INDEX('×入力'!$A$1:$L$1300,146,2+EB$2)&lt;&gt;"",INDEX('×入力'!$A$1:$L$1300,147+EB$3,1)&lt;&gt;""),1,0),0)</f>
        <v/>
      </c>
      <c r="EC15">
        <f>IF(EC$4=1,IF(OR(INDEX('×入力'!$A$1:$L$1300,147+EC$3,2+EC$2)&lt;&gt;"",INDEX('×入力'!$A$1:$L$1300,146,2+EC$2)&lt;&gt;"",INDEX('×入力'!$A$1:$L$1300,147+EC$3,1)&lt;&gt;""),1,0),0)</f>
        <v/>
      </c>
      <c r="ED15">
        <f>IF(ED$4=1,IF(OR(INDEX('×入力'!$A$1:$L$1300,147+ED$3,2+ED$2)&lt;&gt;"",INDEX('×入力'!$A$1:$L$1300,146,2+ED$2)&lt;&gt;"",INDEX('×入力'!$A$1:$L$1300,147+ED$3,1)&lt;&gt;""),1,0),0)</f>
        <v/>
      </c>
      <c r="EE15">
        <f>IF(EE$4=1,IF(OR(INDEX('×入力'!$A$1:$L$1300,147+EE$3,2+EE$2)&lt;&gt;"",INDEX('×入力'!$A$1:$L$1300,146,2+EE$2)&lt;&gt;"",INDEX('×入力'!$A$1:$L$1300,147+EE$3,1)&lt;&gt;""),1,0),0)</f>
        <v/>
      </c>
      <c r="EF15">
        <f>IF(EF$4=1,IF(OR(INDEX('×入力'!$A$1:$L$1300,147+EF$3,2+EF$2)&lt;&gt;"",INDEX('×入力'!$A$1:$L$1300,146,2+EF$2)&lt;&gt;"",INDEX('×入力'!$A$1:$L$1300,147+EF$3,1)&lt;&gt;""),1,0),0)</f>
        <v/>
      </c>
      <c r="EG15">
        <f>IF(EG$4=1,IF(OR(INDEX('×入力'!$A$1:$L$1300,147+EG$3,2+EG$2)&lt;&gt;"",INDEX('×入力'!$A$1:$L$1300,146,2+EG$2)&lt;&gt;"",INDEX('×入力'!$A$1:$L$1300,147+EG$3,1)&lt;&gt;""),1,0),0)</f>
        <v/>
      </c>
      <c r="EH15">
        <f>IF(EH$4=1,IF(OR(INDEX('×入力'!$A$1:$L$1300,147+EH$3,2+EH$2)&lt;&gt;"",INDEX('×入力'!$A$1:$L$1300,146,2+EH$2)&lt;&gt;"",INDEX('×入力'!$A$1:$L$1300,147+EH$3,1)&lt;&gt;""),1,0),0)</f>
        <v/>
      </c>
      <c r="EI15">
        <f>IF(EI$4=1,IF(OR(INDEX('×入力'!$A$1:$L$1300,147+EI$3,2+EI$2)&lt;&gt;"",INDEX('×入力'!$A$1:$L$1300,146,2+EI$2)&lt;&gt;"",INDEX('×入力'!$A$1:$L$1300,147+EI$3,1)&lt;&gt;""),1,0),0)</f>
        <v/>
      </c>
      <c r="EJ15">
        <f>IF(EJ$4=1,IF(OR(INDEX('×入力'!$A$1:$L$1300,147+EJ$3,2+EJ$2)&lt;&gt;"",INDEX('×入力'!$A$1:$L$1300,146,2+EJ$2)&lt;&gt;"",INDEX('×入力'!$A$1:$L$1300,147+EJ$3,1)&lt;&gt;""),1,0),0)</f>
        <v/>
      </c>
      <c r="EK15">
        <f>IF(EK$4=1,IF(OR(INDEX('×入力'!$A$1:$L$1300,147+EK$3,2+EK$2)&lt;&gt;"",INDEX('×入力'!$A$1:$L$1300,146,2+EK$2)&lt;&gt;"",INDEX('×入力'!$A$1:$L$1300,147+EK$3,1)&lt;&gt;""),1,0),0)</f>
        <v/>
      </c>
      <c r="EL15">
        <f>IF(EL$4=1,IF(OR(INDEX('×入力'!$A$1:$L$1300,147+EL$3,2+EL$2)&lt;&gt;"",INDEX('×入力'!$A$1:$L$1300,146,2+EL$2)&lt;&gt;"",INDEX('×入力'!$A$1:$L$1300,147+EL$3,1)&lt;&gt;""),1,0),0)</f>
        <v/>
      </c>
      <c r="EM15">
        <f>IF(EM$4=1,IF(OR(INDEX('×入力'!$A$1:$L$1300,147+EM$3,2+EM$2)&lt;&gt;"",INDEX('×入力'!$A$1:$L$1300,146,2+EM$2)&lt;&gt;"",INDEX('×入力'!$A$1:$L$1300,147+EM$3,1)&lt;&gt;""),1,0),0)</f>
        <v/>
      </c>
      <c r="EN15">
        <f>IF(EN$4=1,IF(OR(INDEX('×入力'!$A$1:$L$1300,147+EN$3,2+EN$2)&lt;&gt;"",INDEX('×入力'!$A$1:$L$1300,146,2+EN$2)&lt;&gt;"",INDEX('×入力'!$A$1:$L$1300,147+EN$3,1)&lt;&gt;""),1,0),0)</f>
        <v/>
      </c>
      <c r="EO15">
        <f>IF(EO$4=1,IF(OR(INDEX('×入力'!$A$1:$L$1300,147+EO$3,2+EO$2)&lt;&gt;"",INDEX('×入力'!$A$1:$L$1300,146,2+EO$2)&lt;&gt;"",INDEX('×入力'!$A$1:$L$1300,147+EO$3,1)&lt;&gt;""),1,0),0)</f>
        <v/>
      </c>
      <c r="EP15">
        <f>IF(EP$4=1,IF(OR(INDEX('×入力'!$A$1:$L$1300,147+EP$3,2+EP$2)&lt;&gt;"",INDEX('×入力'!$A$1:$L$1300,146,2+EP$2)&lt;&gt;"",INDEX('×入力'!$A$1:$L$1300,147+EP$3,1)&lt;&gt;""),1,0),0)</f>
        <v/>
      </c>
      <c r="EQ15">
        <f>IF(EQ$4=1,IF(OR(INDEX('×入力'!$A$1:$L$1300,147+EQ$3,2+EQ$2)&lt;&gt;"",INDEX('×入力'!$A$1:$L$1300,146,2+EQ$2)&lt;&gt;"",INDEX('×入力'!$A$1:$L$1300,147+EQ$3,1)&lt;&gt;""),1,0),0)</f>
        <v/>
      </c>
      <c r="HA15">
        <f>MAX(0,IT15)</f>
        <v/>
      </c>
      <c r="HB15">
        <f>IF(HA15=0,0,INDEX($D$2:$EQ$2,HA15))</f>
        <v/>
      </c>
      <c r="HC15">
        <f>IF(HA15=0,0,INDEX($D$3:$EQ$3,HA15))</f>
        <v/>
      </c>
      <c r="HD15">
        <f>MAX(0,IY15)</f>
        <v/>
      </c>
      <c r="HE15">
        <f>IF(HD15=0,0,INDEX($D$2:$EQ$2,HD15))</f>
        <v/>
      </c>
      <c r="HF15">
        <f>IF(HD15=0,0,INDEX($D$3:$EQ$3,HD15))</f>
        <v/>
      </c>
      <c r="HG15">
        <f>MAX(0,IZ15)</f>
        <v/>
      </c>
      <c r="HH15">
        <f>IF(HG15=0,0,INDEX($D$2:$EQ$2,HG15))</f>
        <v/>
      </c>
      <c r="HI15">
        <f>IF(HG15=0,0,INDEX($D$3:$EQ$3,HG15))</f>
        <v/>
      </c>
      <c r="HJ15">
        <f>IF(AND(HA15&gt;0,HC15&gt;1,OR(HC15-1&lt;&gt;$A$3,$A$4=0)),HA15-1,-1)</f>
        <v/>
      </c>
      <c r="HK15">
        <f>IF(AND(HA15&gt;0,HC15&lt;24,OR(HC15&lt;&gt;$A$3,$A$4=0)),HA15+1,-1)</f>
        <v/>
      </c>
      <c r="HL15">
        <f>IF(AND(HD15&gt;0,HF15&gt;1,OR(HF15-1&lt;&gt;$A$3,$A$4=0)),HD15-1,-1)</f>
        <v/>
      </c>
      <c r="HM15">
        <f>IF(AND(HD15&gt;0,HF15&lt;24,OR(HF15&lt;&gt;$A$3,$A$4=0)),HD15+1,-1)</f>
        <v/>
      </c>
      <c r="HN15">
        <f>IF(AND(HG15&gt;0,HI15&gt;1,OR(HI15-1&lt;&gt;$A$3,$A$4=0)),HG15-1,-1)</f>
        <v/>
      </c>
      <c r="HO15">
        <f>IF(AND(HG15&gt;0,HI15&lt;24,OR(HI15&lt;&gt;$A$3,$A$4=0)),HG15+1,-1)</f>
        <v/>
      </c>
      <c r="IK15">
        <f>IFERROR(INDEX('calcB'!$C$3:$C$47,MATCH(A15,'calcB'!$B$3:$B$47,0)),0)</f>
        <v/>
      </c>
      <c r="IL15">
        <f>IF(AND(C15=1,IK15=0,calcA!$A$6=1),1,0)</f>
        <v/>
      </c>
      <c r="IM15">
        <f>SUMPRODUCT(D65:EQ65*(1-$D$7:$EQ$7))</f>
        <v/>
      </c>
      <c r="IN15">
        <f>SUM(D15:EQ15)</f>
        <v/>
      </c>
      <c r="IO15">
        <f>IF(B15="",0,IF(COUNTIF('調整・決定'!$C$6:$H$29,B15)=1,SUMPRODUCT(('調整・決定'!$C$6:$H$29=B15)*((COLUMN('調整・決定'!$C$6:$H$29)-3)*24+ROW('調整・決定'!$C$6:$H$29)-5)),0))</f>
        <v/>
      </c>
      <c r="IP15">
        <f>IFERROR(MATCH('名簿'!C10,{"早い時刻","遅い時刻","早い日","遅い日"},0),0)</f>
        <v/>
      </c>
      <c r="IQ15">
        <f>IF('名簿'!D10="必ず空けたい",2,IF('名簿'!D10="出来れば空けたい",1,0))</f>
        <v/>
      </c>
      <c r="IR15">
        <f>IFERROR(INDEX('calcC'!$C$3:$C$47,MATCH(A15,'calcC'!$B$3:$B$47,0)),0)</f>
        <v/>
      </c>
      <c r="IS15">
        <f>IF(AND(C15=1,IR15=0,calcA!$A$6=1),1,0)</f>
        <v/>
      </c>
      <c r="IT15">
        <f>IF(OR('名簿'!G10="",'名簿'!H10=""),0,IFERROR((MATCH('名簿'!G10,'設定'!$E$11:$E$16,0)-1)*24+MATCH('名簿'!H10,'設定'!$I$11:$I$34,0),-1))</f>
        <v/>
      </c>
      <c r="IV15">
        <f>IF(OR(JF15=0,IO15=0),1,IF(OR(IF(IT15&gt;0,AND(INDEX($D$2:$EQ$2,IO15)=INDEX($D$2:$EQ$2,IT15),OR(AND(IO15=IT15+1,OR(INDEX($D$3:$EQ$3,IT15)&lt;&gt;$A$3,$A$4=0)),AND(IO15=IT15-1,OR(INDEX($D$3:$EQ$3,IO15)&lt;&gt;$A$3,$A$4=0)))),FALSE),IF(IY15&gt;0,AND(INDEX($D$2:$EQ$2,IO15)=INDEX($D$2:$EQ$2,IY15),OR(AND(IO15=IY15+1,OR(INDEX($D$3:$EQ$3,IY15)&lt;&gt;$A$3,$A$4=0)),AND(IO15=IY15-1,OR(INDEX($D$3:$EQ$3,IO15)&lt;&gt;$A$3,$A$4=0)))),FALSE),IF(IZ15&gt;0,AND(INDEX($D$2:$EQ$2,IO15)=INDEX($D$2:$EQ$2,IZ15),OR(AND(IO15=IZ15+1,OR(INDEX($D$3:$EQ$3,IZ15)&lt;&gt;$A$3,$A$4=0)),AND(IO15=IZ15-1,OR(INDEX($D$3:$EQ$3,IO15)&lt;&gt;$A$3,$A$4=0)))),FALSE)),1,0))</f>
        <v/>
      </c>
      <c r="IW15">
        <f>IF(AND('名簿'!E10&lt;&gt;"",JF15=0),1,0)</f>
        <v/>
      </c>
      <c r="IX15">
        <f>IF('名簿'!D10="空けない",1,0)</f>
        <v/>
      </c>
      <c r="IY15">
        <f>IF(OR('名簿'!J10="",'名簿'!K10=""),0,IFERROR((MATCH('名簿'!J10,'設定'!$E$11:$E$16,0)-1)*24+MATCH('名簿'!K10,'設定'!$I$11:$I$34,0),-1))</f>
        <v/>
      </c>
      <c r="IZ15">
        <f>IF(OR('名簿'!M10="",'名簿'!N10=""),0,IFERROR((MATCH('名簿'!M10,'設定'!$E$11:$E$16,0)-1)*24+MATCH('名簿'!N10,'設定'!$I$11:$I$34,0),-1))</f>
        <v/>
      </c>
      <c r="JC15">
        <f>IF(RIGHT('名簿'!I10,2)="の前",1,IF(RIGHT('名簿'!I10,2)="の後",2,0))</f>
        <v/>
      </c>
      <c r="JD15">
        <f>IF(RIGHT('名簿'!L10,2)="の前",1,IF(RIGHT('名簿'!L10,2)="の後",2,0))</f>
        <v/>
      </c>
      <c r="JE15">
        <f>IF(RIGHT('名簿'!O10,2)="の前",1,IF(RIGHT('名簿'!O10,2)="の後",2,0))</f>
        <v/>
      </c>
      <c r="JF15">
        <f>IF(OR(IT15&gt;0,IY15&gt;0,IZ15&gt;0),1,0)</f>
        <v/>
      </c>
      <c r="JG15">
        <f>IF(OR(IT15&lt;0,IY15&lt;0,IZ15&lt;0),1,0)</f>
        <v/>
      </c>
    </row>
    <row r="16">
      <c r="A16" t="n">
        <v>7</v>
      </c>
      <c r="B16">
        <f>'名簿'!P11</f>
        <v/>
      </c>
      <c r="C16">
        <f>IF(AND(B16&lt;&gt;"",OR('名簿'!Q11="入力済み",'名簿'!Q11="×なし"),IO16=0,COUNTIF('調整・決定'!$C$6:$H$29,B16)=0),1,0)</f>
        <v/>
      </c>
      <c r="D16">
        <f>IF(D$4=1,IF(OR(INDEX('×入力'!$A$1:$L$1300,175+D$3,2+D$2)&lt;&gt;"",INDEX('×入力'!$A$1:$L$1300,174,2+D$2)&lt;&gt;"",INDEX('×入力'!$A$1:$L$1300,175+D$3,1)&lt;&gt;""),1,0),0)</f>
        <v/>
      </c>
      <c r="E16">
        <f>IF(E$4=1,IF(OR(INDEX('×入力'!$A$1:$L$1300,175+E$3,2+E$2)&lt;&gt;"",INDEX('×入力'!$A$1:$L$1300,174,2+E$2)&lt;&gt;"",INDEX('×入力'!$A$1:$L$1300,175+E$3,1)&lt;&gt;""),1,0),0)</f>
        <v/>
      </c>
      <c r="F16">
        <f>IF(F$4=1,IF(OR(INDEX('×入力'!$A$1:$L$1300,175+F$3,2+F$2)&lt;&gt;"",INDEX('×入力'!$A$1:$L$1300,174,2+F$2)&lt;&gt;"",INDEX('×入力'!$A$1:$L$1300,175+F$3,1)&lt;&gt;""),1,0),0)</f>
        <v/>
      </c>
      <c r="G16">
        <f>IF(G$4=1,IF(OR(INDEX('×入力'!$A$1:$L$1300,175+G$3,2+G$2)&lt;&gt;"",INDEX('×入力'!$A$1:$L$1300,174,2+G$2)&lt;&gt;"",INDEX('×入力'!$A$1:$L$1300,175+G$3,1)&lt;&gt;""),1,0),0)</f>
        <v/>
      </c>
      <c r="H16">
        <f>IF(H$4=1,IF(OR(INDEX('×入力'!$A$1:$L$1300,175+H$3,2+H$2)&lt;&gt;"",INDEX('×入力'!$A$1:$L$1300,174,2+H$2)&lt;&gt;"",INDEX('×入力'!$A$1:$L$1300,175+H$3,1)&lt;&gt;""),1,0),0)</f>
        <v/>
      </c>
      <c r="I16">
        <f>IF(I$4=1,IF(OR(INDEX('×入力'!$A$1:$L$1300,175+I$3,2+I$2)&lt;&gt;"",INDEX('×入力'!$A$1:$L$1300,174,2+I$2)&lt;&gt;"",INDEX('×入力'!$A$1:$L$1300,175+I$3,1)&lt;&gt;""),1,0),0)</f>
        <v/>
      </c>
      <c r="J16">
        <f>IF(J$4=1,IF(OR(INDEX('×入力'!$A$1:$L$1300,175+J$3,2+J$2)&lt;&gt;"",INDEX('×入力'!$A$1:$L$1300,174,2+J$2)&lt;&gt;"",INDEX('×入力'!$A$1:$L$1300,175+J$3,1)&lt;&gt;""),1,0),0)</f>
        <v/>
      </c>
      <c r="K16">
        <f>IF(K$4=1,IF(OR(INDEX('×入力'!$A$1:$L$1300,175+K$3,2+K$2)&lt;&gt;"",INDEX('×入力'!$A$1:$L$1300,174,2+K$2)&lt;&gt;"",INDEX('×入力'!$A$1:$L$1300,175+K$3,1)&lt;&gt;""),1,0),0)</f>
        <v/>
      </c>
      <c r="L16">
        <f>IF(L$4=1,IF(OR(INDEX('×入力'!$A$1:$L$1300,175+L$3,2+L$2)&lt;&gt;"",INDEX('×入力'!$A$1:$L$1300,174,2+L$2)&lt;&gt;"",INDEX('×入力'!$A$1:$L$1300,175+L$3,1)&lt;&gt;""),1,0),0)</f>
        <v/>
      </c>
      <c r="M16">
        <f>IF(M$4=1,IF(OR(INDEX('×入力'!$A$1:$L$1300,175+M$3,2+M$2)&lt;&gt;"",INDEX('×入力'!$A$1:$L$1300,174,2+M$2)&lt;&gt;"",INDEX('×入力'!$A$1:$L$1300,175+M$3,1)&lt;&gt;""),1,0),0)</f>
        <v/>
      </c>
      <c r="N16">
        <f>IF(N$4=1,IF(OR(INDEX('×入力'!$A$1:$L$1300,175+N$3,2+N$2)&lt;&gt;"",INDEX('×入力'!$A$1:$L$1300,174,2+N$2)&lt;&gt;"",INDEX('×入力'!$A$1:$L$1300,175+N$3,1)&lt;&gt;""),1,0),0)</f>
        <v/>
      </c>
      <c r="O16">
        <f>IF(O$4=1,IF(OR(INDEX('×入力'!$A$1:$L$1300,175+O$3,2+O$2)&lt;&gt;"",INDEX('×入力'!$A$1:$L$1300,174,2+O$2)&lt;&gt;"",INDEX('×入力'!$A$1:$L$1300,175+O$3,1)&lt;&gt;""),1,0),0)</f>
        <v/>
      </c>
      <c r="P16">
        <f>IF(P$4=1,IF(OR(INDEX('×入力'!$A$1:$L$1300,175+P$3,2+P$2)&lt;&gt;"",INDEX('×入力'!$A$1:$L$1300,174,2+P$2)&lt;&gt;"",INDEX('×入力'!$A$1:$L$1300,175+P$3,1)&lt;&gt;""),1,0),0)</f>
        <v/>
      </c>
      <c r="Q16">
        <f>IF(Q$4=1,IF(OR(INDEX('×入力'!$A$1:$L$1300,175+Q$3,2+Q$2)&lt;&gt;"",INDEX('×入力'!$A$1:$L$1300,174,2+Q$2)&lt;&gt;"",INDEX('×入力'!$A$1:$L$1300,175+Q$3,1)&lt;&gt;""),1,0),0)</f>
        <v/>
      </c>
      <c r="R16">
        <f>IF(R$4=1,IF(OR(INDEX('×入力'!$A$1:$L$1300,175+R$3,2+R$2)&lt;&gt;"",INDEX('×入力'!$A$1:$L$1300,174,2+R$2)&lt;&gt;"",INDEX('×入力'!$A$1:$L$1300,175+R$3,1)&lt;&gt;""),1,0),0)</f>
        <v/>
      </c>
      <c r="S16">
        <f>IF(S$4=1,IF(OR(INDEX('×入力'!$A$1:$L$1300,175+S$3,2+S$2)&lt;&gt;"",INDEX('×入力'!$A$1:$L$1300,174,2+S$2)&lt;&gt;"",INDEX('×入力'!$A$1:$L$1300,175+S$3,1)&lt;&gt;""),1,0),0)</f>
        <v/>
      </c>
      <c r="T16">
        <f>IF(T$4=1,IF(OR(INDEX('×入力'!$A$1:$L$1300,175+T$3,2+T$2)&lt;&gt;"",INDEX('×入力'!$A$1:$L$1300,174,2+T$2)&lt;&gt;"",INDEX('×入力'!$A$1:$L$1300,175+T$3,1)&lt;&gt;""),1,0),0)</f>
        <v/>
      </c>
      <c r="U16">
        <f>IF(U$4=1,IF(OR(INDEX('×入力'!$A$1:$L$1300,175+U$3,2+U$2)&lt;&gt;"",INDEX('×入力'!$A$1:$L$1300,174,2+U$2)&lt;&gt;"",INDEX('×入力'!$A$1:$L$1300,175+U$3,1)&lt;&gt;""),1,0),0)</f>
        <v/>
      </c>
      <c r="V16">
        <f>IF(V$4=1,IF(OR(INDEX('×入力'!$A$1:$L$1300,175+V$3,2+V$2)&lt;&gt;"",INDEX('×入力'!$A$1:$L$1300,174,2+V$2)&lt;&gt;"",INDEX('×入力'!$A$1:$L$1300,175+V$3,1)&lt;&gt;""),1,0),0)</f>
        <v/>
      </c>
      <c r="W16">
        <f>IF(W$4=1,IF(OR(INDEX('×入力'!$A$1:$L$1300,175+W$3,2+W$2)&lt;&gt;"",INDEX('×入力'!$A$1:$L$1300,174,2+W$2)&lt;&gt;"",INDEX('×入力'!$A$1:$L$1300,175+W$3,1)&lt;&gt;""),1,0),0)</f>
        <v/>
      </c>
      <c r="X16">
        <f>IF(X$4=1,IF(OR(INDEX('×入力'!$A$1:$L$1300,175+X$3,2+X$2)&lt;&gt;"",INDEX('×入力'!$A$1:$L$1300,174,2+X$2)&lt;&gt;"",INDEX('×入力'!$A$1:$L$1300,175+X$3,1)&lt;&gt;""),1,0),0)</f>
        <v/>
      </c>
      <c r="Y16">
        <f>IF(Y$4=1,IF(OR(INDEX('×入力'!$A$1:$L$1300,175+Y$3,2+Y$2)&lt;&gt;"",INDEX('×入力'!$A$1:$L$1300,174,2+Y$2)&lt;&gt;"",INDEX('×入力'!$A$1:$L$1300,175+Y$3,1)&lt;&gt;""),1,0),0)</f>
        <v/>
      </c>
      <c r="Z16">
        <f>IF(Z$4=1,IF(OR(INDEX('×入力'!$A$1:$L$1300,175+Z$3,2+Z$2)&lt;&gt;"",INDEX('×入力'!$A$1:$L$1300,174,2+Z$2)&lt;&gt;"",INDEX('×入力'!$A$1:$L$1300,175+Z$3,1)&lt;&gt;""),1,0),0)</f>
        <v/>
      </c>
      <c r="AA16">
        <f>IF(AA$4=1,IF(OR(INDEX('×入力'!$A$1:$L$1300,175+AA$3,2+AA$2)&lt;&gt;"",INDEX('×入力'!$A$1:$L$1300,174,2+AA$2)&lt;&gt;"",INDEX('×入力'!$A$1:$L$1300,175+AA$3,1)&lt;&gt;""),1,0),0)</f>
        <v/>
      </c>
      <c r="AB16">
        <f>IF(AB$4=1,IF(OR(INDEX('×入力'!$A$1:$L$1300,175+AB$3,2+AB$2)&lt;&gt;"",INDEX('×入力'!$A$1:$L$1300,174,2+AB$2)&lt;&gt;"",INDEX('×入力'!$A$1:$L$1300,175+AB$3,1)&lt;&gt;""),1,0),0)</f>
        <v/>
      </c>
      <c r="AC16">
        <f>IF(AC$4=1,IF(OR(INDEX('×入力'!$A$1:$L$1300,175+AC$3,2+AC$2)&lt;&gt;"",INDEX('×入力'!$A$1:$L$1300,174,2+AC$2)&lt;&gt;"",INDEX('×入力'!$A$1:$L$1300,175+AC$3,1)&lt;&gt;""),1,0),0)</f>
        <v/>
      </c>
      <c r="AD16">
        <f>IF(AD$4=1,IF(OR(INDEX('×入力'!$A$1:$L$1300,175+AD$3,2+AD$2)&lt;&gt;"",INDEX('×入力'!$A$1:$L$1300,174,2+AD$2)&lt;&gt;"",INDEX('×入力'!$A$1:$L$1300,175+AD$3,1)&lt;&gt;""),1,0),0)</f>
        <v/>
      </c>
      <c r="AE16">
        <f>IF(AE$4=1,IF(OR(INDEX('×入力'!$A$1:$L$1300,175+AE$3,2+AE$2)&lt;&gt;"",INDEX('×入力'!$A$1:$L$1300,174,2+AE$2)&lt;&gt;"",INDEX('×入力'!$A$1:$L$1300,175+AE$3,1)&lt;&gt;""),1,0),0)</f>
        <v/>
      </c>
      <c r="AF16">
        <f>IF(AF$4=1,IF(OR(INDEX('×入力'!$A$1:$L$1300,175+AF$3,2+AF$2)&lt;&gt;"",INDEX('×入力'!$A$1:$L$1300,174,2+AF$2)&lt;&gt;"",INDEX('×入力'!$A$1:$L$1300,175+AF$3,1)&lt;&gt;""),1,0),0)</f>
        <v/>
      </c>
      <c r="AG16">
        <f>IF(AG$4=1,IF(OR(INDEX('×入力'!$A$1:$L$1300,175+AG$3,2+AG$2)&lt;&gt;"",INDEX('×入力'!$A$1:$L$1300,174,2+AG$2)&lt;&gt;"",INDEX('×入力'!$A$1:$L$1300,175+AG$3,1)&lt;&gt;""),1,0),0)</f>
        <v/>
      </c>
      <c r="AH16">
        <f>IF(AH$4=1,IF(OR(INDEX('×入力'!$A$1:$L$1300,175+AH$3,2+AH$2)&lt;&gt;"",INDEX('×入力'!$A$1:$L$1300,174,2+AH$2)&lt;&gt;"",INDEX('×入力'!$A$1:$L$1300,175+AH$3,1)&lt;&gt;""),1,0),0)</f>
        <v/>
      </c>
      <c r="AI16">
        <f>IF(AI$4=1,IF(OR(INDEX('×入力'!$A$1:$L$1300,175+AI$3,2+AI$2)&lt;&gt;"",INDEX('×入力'!$A$1:$L$1300,174,2+AI$2)&lt;&gt;"",INDEX('×入力'!$A$1:$L$1300,175+AI$3,1)&lt;&gt;""),1,0),0)</f>
        <v/>
      </c>
      <c r="AJ16">
        <f>IF(AJ$4=1,IF(OR(INDEX('×入力'!$A$1:$L$1300,175+AJ$3,2+AJ$2)&lt;&gt;"",INDEX('×入力'!$A$1:$L$1300,174,2+AJ$2)&lt;&gt;"",INDEX('×入力'!$A$1:$L$1300,175+AJ$3,1)&lt;&gt;""),1,0),0)</f>
        <v/>
      </c>
      <c r="AK16">
        <f>IF(AK$4=1,IF(OR(INDEX('×入力'!$A$1:$L$1300,175+AK$3,2+AK$2)&lt;&gt;"",INDEX('×入力'!$A$1:$L$1300,174,2+AK$2)&lt;&gt;"",INDEX('×入力'!$A$1:$L$1300,175+AK$3,1)&lt;&gt;""),1,0),0)</f>
        <v/>
      </c>
      <c r="AL16">
        <f>IF(AL$4=1,IF(OR(INDEX('×入力'!$A$1:$L$1300,175+AL$3,2+AL$2)&lt;&gt;"",INDEX('×入力'!$A$1:$L$1300,174,2+AL$2)&lt;&gt;"",INDEX('×入力'!$A$1:$L$1300,175+AL$3,1)&lt;&gt;""),1,0),0)</f>
        <v/>
      </c>
      <c r="AM16">
        <f>IF(AM$4=1,IF(OR(INDEX('×入力'!$A$1:$L$1300,175+AM$3,2+AM$2)&lt;&gt;"",INDEX('×入力'!$A$1:$L$1300,174,2+AM$2)&lt;&gt;"",INDEX('×入力'!$A$1:$L$1300,175+AM$3,1)&lt;&gt;""),1,0),0)</f>
        <v/>
      </c>
      <c r="AN16">
        <f>IF(AN$4=1,IF(OR(INDEX('×入力'!$A$1:$L$1300,175+AN$3,2+AN$2)&lt;&gt;"",INDEX('×入力'!$A$1:$L$1300,174,2+AN$2)&lt;&gt;"",INDEX('×入力'!$A$1:$L$1300,175+AN$3,1)&lt;&gt;""),1,0),0)</f>
        <v/>
      </c>
      <c r="AO16">
        <f>IF(AO$4=1,IF(OR(INDEX('×入力'!$A$1:$L$1300,175+AO$3,2+AO$2)&lt;&gt;"",INDEX('×入力'!$A$1:$L$1300,174,2+AO$2)&lt;&gt;"",INDEX('×入力'!$A$1:$L$1300,175+AO$3,1)&lt;&gt;""),1,0),0)</f>
        <v/>
      </c>
      <c r="AP16">
        <f>IF(AP$4=1,IF(OR(INDEX('×入力'!$A$1:$L$1300,175+AP$3,2+AP$2)&lt;&gt;"",INDEX('×入力'!$A$1:$L$1300,174,2+AP$2)&lt;&gt;"",INDEX('×入力'!$A$1:$L$1300,175+AP$3,1)&lt;&gt;""),1,0),0)</f>
        <v/>
      </c>
      <c r="AQ16">
        <f>IF(AQ$4=1,IF(OR(INDEX('×入力'!$A$1:$L$1300,175+AQ$3,2+AQ$2)&lt;&gt;"",INDEX('×入力'!$A$1:$L$1300,174,2+AQ$2)&lt;&gt;"",INDEX('×入力'!$A$1:$L$1300,175+AQ$3,1)&lt;&gt;""),1,0),0)</f>
        <v/>
      </c>
      <c r="AR16">
        <f>IF(AR$4=1,IF(OR(INDEX('×入力'!$A$1:$L$1300,175+AR$3,2+AR$2)&lt;&gt;"",INDEX('×入力'!$A$1:$L$1300,174,2+AR$2)&lt;&gt;"",INDEX('×入力'!$A$1:$L$1300,175+AR$3,1)&lt;&gt;""),1,0),0)</f>
        <v/>
      </c>
      <c r="AS16">
        <f>IF(AS$4=1,IF(OR(INDEX('×入力'!$A$1:$L$1300,175+AS$3,2+AS$2)&lt;&gt;"",INDEX('×入力'!$A$1:$L$1300,174,2+AS$2)&lt;&gt;"",INDEX('×入力'!$A$1:$L$1300,175+AS$3,1)&lt;&gt;""),1,0),0)</f>
        <v/>
      </c>
      <c r="AT16">
        <f>IF(AT$4=1,IF(OR(INDEX('×入力'!$A$1:$L$1300,175+AT$3,2+AT$2)&lt;&gt;"",INDEX('×入力'!$A$1:$L$1300,174,2+AT$2)&lt;&gt;"",INDEX('×入力'!$A$1:$L$1300,175+AT$3,1)&lt;&gt;""),1,0),0)</f>
        <v/>
      </c>
      <c r="AU16">
        <f>IF(AU$4=1,IF(OR(INDEX('×入力'!$A$1:$L$1300,175+AU$3,2+AU$2)&lt;&gt;"",INDEX('×入力'!$A$1:$L$1300,174,2+AU$2)&lt;&gt;"",INDEX('×入力'!$A$1:$L$1300,175+AU$3,1)&lt;&gt;""),1,0),0)</f>
        <v/>
      </c>
      <c r="AV16">
        <f>IF(AV$4=1,IF(OR(INDEX('×入力'!$A$1:$L$1300,175+AV$3,2+AV$2)&lt;&gt;"",INDEX('×入力'!$A$1:$L$1300,174,2+AV$2)&lt;&gt;"",INDEX('×入力'!$A$1:$L$1300,175+AV$3,1)&lt;&gt;""),1,0),0)</f>
        <v/>
      </c>
      <c r="AW16">
        <f>IF(AW$4=1,IF(OR(INDEX('×入力'!$A$1:$L$1300,175+AW$3,2+AW$2)&lt;&gt;"",INDEX('×入力'!$A$1:$L$1300,174,2+AW$2)&lt;&gt;"",INDEX('×入力'!$A$1:$L$1300,175+AW$3,1)&lt;&gt;""),1,0),0)</f>
        <v/>
      </c>
      <c r="AX16">
        <f>IF(AX$4=1,IF(OR(INDEX('×入力'!$A$1:$L$1300,175+AX$3,2+AX$2)&lt;&gt;"",INDEX('×入力'!$A$1:$L$1300,174,2+AX$2)&lt;&gt;"",INDEX('×入力'!$A$1:$L$1300,175+AX$3,1)&lt;&gt;""),1,0),0)</f>
        <v/>
      </c>
      <c r="AY16">
        <f>IF(AY$4=1,IF(OR(INDEX('×入力'!$A$1:$L$1300,175+AY$3,2+AY$2)&lt;&gt;"",INDEX('×入力'!$A$1:$L$1300,174,2+AY$2)&lt;&gt;"",INDEX('×入力'!$A$1:$L$1300,175+AY$3,1)&lt;&gt;""),1,0),0)</f>
        <v/>
      </c>
      <c r="AZ16">
        <f>IF(AZ$4=1,IF(OR(INDEX('×入力'!$A$1:$L$1300,175+AZ$3,2+AZ$2)&lt;&gt;"",INDEX('×入力'!$A$1:$L$1300,174,2+AZ$2)&lt;&gt;"",INDEX('×入力'!$A$1:$L$1300,175+AZ$3,1)&lt;&gt;""),1,0),0)</f>
        <v/>
      </c>
      <c r="BA16">
        <f>IF(BA$4=1,IF(OR(INDEX('×入力'!$A$1:$L$1300,175+BA$3,2+BA$2)&lt;&gt;"",INDEX('×入力'!$A$1:$L$1300,174,2+BA$2)&lt;&gt;"",INDEX('×入力'!$A$1:$L$1300,175+BA$3,1)&lt;&gt;""),1,0),0)</f>
        <v/>
      </c>
      <c r="BB16">
        <f>IF(BB$4=1,IF(OR(INDEX('×入力'!$A$1:$L$1300,175+BB$3,2+BB$2)&lt;&gt;"",INDEX('×入力'!$A$1:$L$1300,174,2+BB$2)&lt;&gt;"",INDEX('×入力'!$A$1:$L$1300,175+BB$3,1)&lt;&gt;""),1,0),0)</f>
        <v/>
      </c>
      <c r="BC16">
        <f>IF(BC$4=1,IF(OR(INDEX('×入力'!$A$1:$L$1300,175+BC$3,2+BC$2)&lt;&gt;"",INDEX('×入力'!$A$1:$L$1300,174,2+BC$2)&lt;&gt;"",INDEX('×入力'!$A$1:$L$1300,175+BC$3,1)&lt;&gt;""),1,0),0)</f>
        <v/>
      </c>
      <c r="BD16">
        <f>IF(BD$4=1,IF(OR(INDEX('×入力'!$A$1:$L$1300,175+BD$3,2+BD$2)&lt;&gt;"",INDEX('×入力'!$A$1:$L$1300,174,2+BD$2)&lt;&gt;"",INDEX('×入力'!$A$1:$L$1300,175+BD$3,1)&lt;&gt;""),1,0),0)</f>
        <v/>
      </c>
      <c r="BE16">
        <f>IF(BE$4=1,IF(OR(INDEX('×入力'!$A$1:$L$1300,175+BE$3,2+BE$2)&lt;&gt;"",INDEX('×入力'!$A$1:$L$1300,174,2+BE$2)&lt;&gt;"",INDEX('×入力'!$A$1:$L$1300,175+BE$3,1)&lt;&gt;""),1,0),0)</f>
        <v/>
      </c>
      <c r="BF16">
        <f>IF(BF$4=1,IF(OR(INDEX('×入力'!$A$1:$L$1300,175+BF$3,2+BF$2)&lt;&gt;"",INDEX('×入力'!$A$1:$L$1300,174,2+BF$2)&lt;&gt;"",INDEX('×入力'!$A$1:$L$1300,175+BF$3,1)&lt;&gt;""),1,0),0)</f>
        <v/>
      </c>
      <c r="BG16">
        <f>IF(BG$4=1,IF(OR(INDEX('×入力'!$A$1:$L$1300,175+BG$3,2+BG$2)&lt;&gt;"",INDEX('×入力'!$A$1:$L$1300,174,2+BG$2)&lt;&gt;"",INDEX('×入力'!$A$1:$L$1300,175+BG$3,1)&lt;&gt;""),1,0),0)</f>
        <v/>
      </c>
      <c r="BH16">
        <f>IF(BH$4=1,IF(OR(INDEX('×入力'!$A$1:$L$1300,175+BH$3,2+BH$2)&lt;&gt;"",INDEX('×入力'!$A$1:$L$1300,174,2+BH$2)&lt;&gt;"",INDEX('×入力'!$A$1:$L$1300,175+BH$3,1)&lt;&gt;""),1,0),0)</f>
        <v/>
      </c>
      <c r="BI16">
        <f>IF(BI$4=1,IF(OR(INDEX('×入力'!$A$1:$L$1300,175+BI$3,2+BI$2)&lt;&gt;"",INDEX('×入力'!$A$1:$L$1300,174,2+BI$2)&lt;&gt;"",INDEX('×入力'!$A$1:$L$1300,175+BI$3,1)&lt;&gt;""),1,0),0)</f>
        <v/>
      </c>
      <c r="BJ16">
        <f>IF(BJ$4=1,IF(OR(INDEX('×入力'!$A$1:$L$1300,175+BJ$3,2+BJ$2)&lt;&gt;"",INDEX('×入力'!$A$1:$L$1300,174,2+BJ$2)&lt;&gt;"",INDEX('×入力'!$A$1:$L$1300,175+BJ$3,1)&lt;&gt;""),1,0),0)</f>
        <v/>
      </c>
      <c r="BK16">
        <f>IF(BK$4=1,IF(OR(INDEX('×入力'!$A$1:$L$1300,175+BK$3,2+BK$2)&lt;&gt;"",INDEX('×入力'!$A$1:$L$1300,174,2+BK$2)&lt;&gt;"",INDEX('×入力'!$A$1:$L$1300,175+BK$3,1)&lt;&gt;""),1,0),0)</f>
        <v/>
      </c>
      <c r="BL16">
        <f>IF(BL$4=1,IF(OR(INDEX('×入力'!$A$1:$L$1300,175+BL$3,2+BL$2)&lt;&gt;"",INDEX('×入力'!$A$1:$L$1300,174,2+BL$2)&lt;&gt;"",INDEX('×入力'!$A$1:$L$1300,175+BL$3,1)&lt;&gt;""),1,0),0)</f>
        <v/>
      </c>
      <c r="BM16">
        <f>IF(BM$4=1,IF(OR(INDEX('×入力'!$A$1:$L$1300,175+BM$3,2+BM$2)&lt;&gt;"",INDEX('×入力'!$A$1:$L$1300,174,2+BM$2)&lt;&gt;"",INDEX('×入力'!$A$1:$L$1300,175+BM$3,1)&lt;&gt;""),1,0),0)</f>
        <v/>
      </c>
      <c r="BN16">
        <f>IF(BN$4=1,IF(OR(INDEX('×入力'!$A$1:$L$1300,175+BN$3,2+BN$2)&lt;&gt;"",INDEX('×入力'!$A$1:$L$1300,174,2+BN$2)&lt;&gt;"",INDEX('×入力'!$A$1:$L$1300,175+BN$3,1)&lt;&gt;""),1,0),0)</f>
        <v/>
      </c>
      <c r="BO16">
        <f>IF(BO$4=1,IF(OR(INDEX('×入力'!$A$1:$L$1300,175+BO$3,2+BO$2)&lt;&gt;"",INDEX('×入力'!$A$1:$L$1300,174,2+BO$2)&lt;&gt;"",INDEX('×入力'!$A$1:$L$1300,175+BO$3,1)&lt;&gt;""),1,0),0)</f>
        <v/>
      </c>
      <c r="BP16">
        <f>IF(BP$4=1,IF(OR(INDEX('×入力'!$A$1:$L$1300,175+BP$3,2+BP$2)&lt;&gt;"",INDEX('×入力'!$A$1:$L$1300,174,2+BP$2)&lt;&gt;"",INDEX('×入力'!$A$1:$L$1300,175+BP$3,1)&lt;&gt;""),1,0),0)</f>
        <v/>
      </c>
      <c r="BQ16">
        <f>IF(BQ$4=1,IF(OR(INDEX('×入力'!$A$1:$L$1300,175+BQ$3,2+BQ$2)&lt;&gt;"",INDEX('×入力'!$A$1:$L$1300,174,2+BQ$2)&lt;&gt;"",INDEX('×入力'!$A$1:$L$1300,175+BQ$3,1)&lt;&gt;""),1,0),0)</f>
        <v/>
      </c>
      <c r="BR16">
        <f>IF(BR$4=1,IF(OR(INDEX('×入力'!$A$1:$L$1300,175+BR$3,2+BR$2)&lt;&gt;"",INDEX('×入力'!$A$1:$L$1300,174,2+BR$2)&lt;&gt;"",INDEX('×入力'!$A$1:$L$1300,175+BR$3,1)&lt;&gt;""),1,0),0)</f>
        <v/>
      </c>
      <c r="BS16">
        <f>IF(BS$4=1,IF(OR(INDEX('×入力'!$A$1:$L$1300,175+BS$3,2+BS$2)&lt;&gt;"",INDEX('×入力'!$A$1:$L$1300,174,2+BS$2)&lt;&gt;"",INDEX('×入力'!$A$1:$L$1300,175+BS$3,1)&lt;&gt;""),1,0),0)</f>
        <v/>
      </c>
      <c r="BT16">
        <f>IF(BT$4=1,IF(OR(INDEX('×入力'!$A$1:$L$1300,175+BT$3,2+BT$2)&lt;&gt;"",INDEX('×入力'!$A$1:$L$1300,174,2+BT$2)&lt;&gt;"",INDEX('×入力'!$A$1:$L$1300,175+BT$3,1)&lt;&gt;""),1,0),0)</f>
        <v/>
      </c>
      <c r="BU16">
        <f>IF(BU$4=1,IF(OR(INDEX('×入力'!$A$1:$L$1300,175+BU$3,2+BU$2)&lt;&gt;"",INDEX('×入力'!$A$1:$L$1300,174,2+BU$2)&lt;&gt;"",INDEX('×入力'!$A$1:$L$1300,175+BU$3,1)&lt;&gt;""),1,0),0)</f>
        <v/>
      </c>
      <c r="BV16">
        <f>IF(BV$4=1,IF(OR(INDEX('×入力'!$A$1:$L$1300,175+BV$3,2+BV$2)&lt;&gt;"",INDEX('×入力'!$A$1:$L$1300,174,2+BV$2)&lt;&gt;"",INDEX('×入力'!$A$1:$L$1300,175+BV$3,1)&lt;&gt;""),1,0),0)</f>
        <v/>
      </c>
      <c r="BW16">
        <f>IF(BW$4=1,IF(OR(INDEX('×入力'!$A$1:$L$1300,175+BW$3,2+BW$2)&lt;&gt;"",INDEX('×入力'!$A$1:$L$1300,174,2+BW$2)&lt;&gt;"",INDEX('×入力'!$A$1:$L$1300,175+BW$3,1)&lt;&gt;""),1,0),0)</f>
        <v/>
      </c>
      <c r="BX16">
        <f>IF(BX$4=1,IF(OR(INDEX('×入力'!$A$1:$L$1300,175+BX$3,2+BX$2)&lt;&gt;"",INDEX('×入力'!$A$1:$L$1300,174,2+BX$2)&lt;&gt;"",INDEX('×入力'!$A$1:$L$1300,175+BX$3,1)&lt;&gt;""),1,0),0)</f>
        <v/>
      </c>
      <c r="BY16">
        <f>IF(BY$4=1,IF(OR(INDEX('×入力'!$A$1:$L$1300,175+BY$3,2+BY$2)&lt;&gt;"",INDEX('×入力'!$A$1:$L$1300,174,2+BY$2)&lt;&gt;"",INDEX('×入力'!$A$1:$L$1300,175+BY$3,1)&lt;&gt;""),1,0),0)</f>
        <v/>
      </c>
      <c r="BZ16">
        <f>IF(BZ$4=1,IF(OR(INDEX('×入力'!$A$1:$L$1300,175+BZ$3,2+BZ$2)&lt;&gt;"",INDEX('×入力'!$A$1:$L$1300,174,2+BZ$2)&lt;&gt;"",INDEX('×入力'!$A$1:$L$1300,175+BZ$3,1)&lt;&gt;""),1,0),0)</f>
        <v/>
      </c>
      <c r="CA16">
        <f>IF(CA$4=1,IF(OR(INDEX('×入力'!$A$1:$L$1300,175+CA$3,2+CA$2)&lt;&gt;"",INDEX('×入力'!$A$1:$L$1300,174,2+CA$2)&lt;&gt;"",INDEX('×入力'!$A$1:$L$1300,175+CA$3,1)&lt;&gt;""),1,0),0)</f>
        <v/>
      </c>
      <c r="CB16">
        <f>IF(CB$4=1,IF(OR(INDEX('×入力'!$A$1:$L$1300,175+CB$3,2+CB$2)&lt;&gt;"",INDEX('×入力'!$A$1:$L$1300,174,2+CB$2)&lt;&gt;"",INDEX('×入力'!$A$1:$L$1300,175+CB$3,1)&lt;&gt;""),1,0),0)</f>
        <v/>
      </c>
      <c r="CC16">
        <f>IF(CC$4=1,IF(OR(INDEX('×入力'!$A$1:$L$1300,175+CC$3,2+CC$2)&lt;&gt;"",INDEX('×入力'!$A$1:$L$1300,174,2+CC$2)&lt;&gt;"",INDEX('×入力'!$A$1:$L$1300,175+CC$3,1)&lt;&gt;""),1,0),0)</f>
        <v/>
      </c>
      <c r="CD16">
        <f>IF(CD$4=1,IF(OR(INDEX('×入力'!$A$1:$L$1300,175+CD$3,2+CD$2)&lt;&gt;"",INDEX('×入力'!$A$1:$L$1300,174,2+CD$2)&lt;&gt;"",INDEX('×入力'!$A$1:$L$1300,175+CD$3,1)&lt;&gt;""),1,0),0)</f>
        <v/>
      </c>
      <c r="CE16">
        <f>IF(CE$4=1,IF(OR(INDEX('×入力'!$A$1:$L$1300,175+CE$3,2+CE$2)&lt;&gt;"",INDEX('×入力'!$A$1:$L$1300,174,2+CE$2)&lt;&gt;"",INDEX('×入力'!$A$1:$L$1300,175+CE$3,1)&lt;&gt;""),1,0),0)</f>
        <v/>
      </c>
      <c r="CF16">
        <f>IF(CF$4=1,IF(OR(INDEX('×入力'!$A$1:$L$1300,175+CF$3,2+CF$2)&lt;&gt;"",INDEX('×入力'!$A$1:$L$1300,174,2+CF$2)&lt;&gt;"",INDEX('×入力'!$A$1:$L$1300,175+CF$3,1)&lt;&gt;""),1,0),0)</f>
        <v/>
      </c>
      <c r="CG16">
        <f>IF(CG$4=1,IF(OR(INDEX('×入力'!$A$1:$L$1300,175+CG$3,2+CG$2)&lt;&gt;"",INDEX('×入力'!$A$1:$L$1300,174,2+CG$2)&lt;&gt;"",INDEX('×入力'!$A$1:$L$1300,175+CG$3,1)&lt;&gt;""),1,0),0)</f>
        <v/>
      </c>
      <c r="CH16">
        <f>IF(CH$4=1,IF(OR(INDEX('×入力'!$A$1:$L$1300,175+CH$3,2+CH$2)&lt;&gt;"",INDEX('×入力'!$A$1:$L$1300,174,2+CH$2)&lt;&gt;"",INDEX('×入力'!$A$1:$L$1300,175+CH$3,1)&lt;&gt;""),1,0),0)</f>
        <v/>
      </c>
      <c r="CI16">
        <f>IF(CI$4=1,IF(OR(INDEX('×入力'!$A$1:$L$1300,175+CI$3,2+CI$2)&lt;&gt;"",INDEX('×入力'!$A$1:$L$1300,174,2+CI$2)&lt;&gt;"",INDEX('×入力'!$A$1:$L$1300,175+CI$3,1)&lt;&gt;""),1,0),0)</f>
        <v/>
      </c>
      <c r="CJ16">
        <f>IF(CJ$4=1,IF(OR(INDEX('×入力'!$A$1:$L$1300,175+CJ$3,2+CJ$2)&lt;&gt;"",INDEX('×入力'!$A$1:$L$1300,174,2+CJ$2)&lt;&gt;"",INDEX('×入力'!$A$1:$L$1300,175+CJ$3,1)&lt;&gt;""),1,0),0)</f>
        <v/>
      </c>
      <c r="CK16">
        <f>IF(CK$4=1,IF(OR(INDEX('×入力'!$A$1:$L$1300,175+CK$3,2+CK$2)&lt;&gt;"",INDEX('×入力'!$A$1:$L$1300,174,2+CK$2)&lt;&gt;"",INDEX('×入力'!$A$1:$L$1300,175+CK$3,1)&lt;&gt;""),1,0),0)</f>
        <v/>
      </c>
      <c r="CL16">
        <f>IF(CL$4=1,IF(OR(INDEX('×入力'!$A$1:$L$1300,175+CL$3,2+CL$2)&lt;&gt;"",INDEX('×入力'!$A$1:$L$1300,174,2+CL$2)&lt;&gt;"",INDEX('×入力'!$A$1:$L$1300,175+CL$3,1)&lt;&gt;""),1,0),0)</f>
        <v/>
      </c>
      <c r="CM16">
        <f>IF(CM$4=1,IF(OR(INDEX('×入力'!$A$1:$L$1300,175+CM$3,2+CM$2)&lt;&gt;"",INDEX('×入力'!$A$1:$L$1300,174,2+CM$2)&lt;&gt;"",INDEX('×入力'!$A$1:$L$1300,175+CM$3,1)&lt;&gt;""),1,0),0)</f>
        <v/>
      </c>
      <c r="CN16">
        <f>IF(CN$4=1,IF(OR(INDEX('×入力'!$A$1:$L$1300,175+CN$3,2+CN$2)&lt;&gt;"",INDEX('×入力'!$A$1:$L$1300,174,2+CN$2)&lt;&gt;"",INDEX('×入力'!$A$1:$L$1300,175+CN$3,1)&lt;&gt;""),1,0),0)</f>
        <v/>
      </c>
      <c r="CO16">
        <f>IF(CO$4=1,IF(OR(INDEX('×入力'!$A$1:$L$1300,175+CO$3,2+CO$2)&lt;&gt;"",INDEX('×入力'!$A$1:$L$1300,174,2+CO$2)&lt;&gt;"",INDEX('×入力'!$A$1:$L$1300,175+CO$3,1)&lt;&gt;""),1,0),0)</f>
        <v/>
      </c>
      <c r="CP16">
        <f>IF(CP$4=1,IF(OR(INDEX('×入力'!$A$1:$L$1300,175+CP$3,2+CP$2)&lt;&gt;"",INDEX('×入力'!$A$1:$L$1300,174,2+CP$2)&lt;&gt;"",INDEX('×入力'!$A$1:$L$1300,175+CP$3,1)&lt;&gt;""),1,0),0)</f>
        <v/>
      </c>
      <c r="CQ16">
        <f>IF(CQ$4=1,IF(OR(INDEX('×入力'!$A$1:$L$1300,175+CQ$3,2+CQ$2)&lt;&gt;"",INDEX('×入力'!$A$1:$L$1300,174,2+CQ$2)&lt;&gt;"",INDEX('×入力'!$A$1:$L$1300,175+CQ$3,1)&lt;&gt;""),1,0),0)</f>
        <v/>
      </c>
      <c r="CR16">
        <f>IF(CR$4=1,IF(OR(INDEX('×入力'!$A$1:$L$1300,175+CR$3,2+CR$2)&lt;&gt;"",INDEX('×入力'!$A$1:$L$1300,174,2+CR$2)&lt;&gt;"",INDEX('×入力'!$A$1:$L$1300,175+CR$3,1)&lt;&gt;""),1,0),0)</f>
        <v/>
      </c>
      <c r="CS16">
        <f>IF(CS$4=1,IF(OR(INDEX('×入力'!$A$1:$L$1300,175+CS$3,2+CS$2)&lt;&gt;"",INDEX('×入力'!$A$1:$L$1300,174,2+CS$2)&lt;&gt;"",INDEX('×入力'!$A$1:$L$1300,175+CS$3,1)&lt;&gt;""),1,0),0)</f>
        <v/>
      </c>
      <c r="CT16">
        <f>IF(CT$4=1,IF(OR(INDEX('×入力'!$A$1:$L$1300,175+CT$3,2+CT$2)&lt;&gt;"",INDEX('×入力'!$A$1:$L$1300,174,2+CT$2)&lt;&gt;"",INDEX('×入力'!$A$1:$L$1300,175+CT$3,1)&lt;&gt;""),1,0),0)</f>
        <v/>
      </c>
      <c r="CU16">
        <f>IF(CU$4=1,IF(OR(INDEX('×入力'!$A$1:$L$1300,175+CU$3,2+CU$2)&lt;&gt;"",INDEX('×入力'!$A$1:$L$1300,174,2+CU$2)&lt;&gt;"",INDEX('×入力'!$A$1:$L$1300,175+CU$3,1)&lt;&gt;""),1,0),0)</f>
        <v/>
      </c>
      <c r="CV16">
        <f>IF(CV$4=1,IF(OR(INDEX('×入力'!$A$1:$L$1300,175+CV$3,2+CV$2)&lt;&gt;"",INDEX('×入力'!$A$1:$L$1300,174,2+CV$2)&lt;&gt;"",INDEX('×入力'!$A$1:$L$1300,175+CV$3,1)&lt;&gt;""),1,0),0)</f>
        <v/>
      </c>
      <c r="CW16">
        <f>IF(CW$4=1,IF(OR(INDEX('×入力'!$A$1:$L$1300,175+CW$3,2+CW$2)&lt;&gt;"",INDEX('×入力'!$A$1:$L$1300,174,2+CW$2)&lt;&gt;"",INDEX('×入力'!$A$1:$L$1300,175+CW$3,1)&lt;&gt;""),1,0),0)</f>
        <v/>
      </c>
      <c r="CX16">
        <f>IF(CX$4=1,IF(OR(INDEX('×入力'!$A$1:$L$1300,175+CX$3,2+CX$2)&lt;&gt;"",INDEX('×入力'!$A$1:$L$1300,174,2+CX$2)&lt;&gt;"",INDEX('×入力'!$A$1:$L$1300,175+CX$3,1)&lt;&gt;""),1,0),0)</f>
        <v/>
      </c>
      <c r="CY16">
        <f>IF(CY$4=1,IF(OR(INDEX('×入力'!$A$1:$L$1300,175+CY$3,2+CY$2)&lt;&gt;"",INDEX('×入力'!$A$1:$L$1300,174,2+CY$2)&lt;&gt;"",INDEX('×入力'!$A$1:$L$1300,175+CY$3,1)&lt;&gt;""),1,0),0)</f>
        <v/>
      </c>
      <c r="CZ16">
        <f>IF(CZ$4=1,IF(OR(INDEX('×入力'!$A$1:$L$1300,175+CZ$3,2+CZ$2)&lt;&gt;"",INDEX('×入力'!$A$1:$L$1300,174,2+CZ$2)&lt;&gt;"",INDEX('×入力'!$A$1:$L$1300,175+CZ$3,1)&lt;&gt;""),1,0),0)</f>
        <v/>
      </c>
      <c r="DA16">
        <f>IF(DA$4=1,IF(OR(INDEX('×入力'!$A$1:$L$1300,175+DA$3,2+DA$2)&lt;&gt;"",INDEX('×入力'!$A$1:$L$1300,174,2+DA$2)&lt;&gt;"",INDEX('×入力'!$A$1:$L$1300,175+DA$3,1)&lt;&gt;""),1,0),0)</f>
        <v/>
      </c>
      <c r="DB16">
        <f>IF(DB$4=1,IF(OR(INDEX('×入力'!$A$1:$L$1300,175+DB$3,2+DB$2)&lt;&gt;"",INDEX('×入力'!$A$1:$L$1300,174,2+DB$2)&lt;&gt;"",INDEX('×入力'!$A$1:$L$1300,175+DB$3,1)&lt;&gt;""),1,0),0)</f>
        <v/>
      </c>
      <c r="DC16">
        <f>IF(DC$4=1,IF(OR(INDEX('×入力'!$A$1:$L$1300,175+DC$3,2+DC$2)&lt;&gt;"",INDEX('×入力'!$A$1:$L$1300,174,2+DC$2)&lt;&gt;"",INDEX('×入力'!$A$1:$L$1300,175+DC$3,1)&lt;&gt;""),1,0),0)</f>
        <v/>
      </c>
      <c r="DD16">
        <f>IF(DD$4=1,IF(OR(INDEX('×入力'!$A$1:$L$1300,175+DD$3,2+DD$2)&lt;&gt;"",INDEX('×入力'!$A$1:$L$1300,174,2+DD$2)&lt;&gt;"",INDEX('×入力'!$A$1:$L$1300,175+DD$3,1)&lt;&gt;""),1,0),0)</f>
        <v/>
      </c>
      <c r="DE16">
        <f>IF(DE$4=1,IF(OR(INDEX('×入力'!$A$1:$L$1300,175+DE$3,2+DE$2)&lt;&gt;"",INDEX('×入力'!$A$1:$L$1300,174,2+DE$2)&lt;&gt;"",INDEX('×入力'!$A$1:$L$1300,175+DE$3,1)&lt;&gt;""),1,0),0)</f>
        <v/>
      </c>
      <c r="DF16">
        <f>IF(DF$4=1,IF(OR(INDEX('×入力'!$A$1:$L$1300,175+DF$3,2+DF$2)&lt;&gt;"",INDEX('×入力'!$A$1:$L$1300,174,2+DF$2)&lt;&gt;"",INDEX('×入力'!$A$1:$L$1300,175+DF$3,1)&lt;&gt;""),1,0),0)</f>
        <v/>
      </c>
      <c r="DG16">
        <f>IF(DG$4=1,IF(OR(INDEX('×入力'!$A$1:$L$1300,175+DG$3,2+DG$2)&lt;&gt;"",INDEX('×入力'!$A$1:$L$1300,174,2+DG$2)&lt;&gt;"",INDEX('×入力'!$A$1:$L$1300,175+DG$3,1)&lt;&gt;""),1,0),0)</f>
        <v/>
      </c>
      <c r="DH16">
        <f>IF(DH$4=1,IF(OR(INDEX('×入力'!$A$1:$L$1300,175+DH$3,2+DH$2)&lt;&gt;"",INDEX('×入力'!$A$1:$L$1300,174,2+DH$2)&lt;&gt;"",INDEX('×入力'!$A$1:$L$1300,175+DH$3,1)&lt;&gt;""),1,0),0)</f>
        <v/>
      </c>
      <c r="DI16">
        <f>IF(DI$4=1,IF(OR(INDEX('×入力'!$A$1:$L$1300,175+DI$3,2+DI$2)&lt;&gt;"",INDEX('×入力'!$A$1:$L$1300,174,2+DI$2)&lt;&gt;"",INDEX('×入力'!$A$1:$L$1300,175+DI$3,1)&lt;&gt;""),1,0),0)</f>
        <v/>
      </c>
      <c r="DJ16">
        <f>IF(DJ$4=1,IF(OR(INDEX('×入力'!$A$1:$L$1300,175+DJ$3,2+DJ$2)&lt;&gt;"",INDEX('×入力'!$A$1:$L$1300,174,2+DJ$2)&lt;&gt;"",INDEX('×入力'!$A$1:$L$1300,175+DJ$3,1)&lt;&gt;""),1,0),0)</f>
        <v/>
      </c>
      <c r="DK16">
        <f>IF(DK$4=1,IF(OR(INDEX('×入力'!$A$1:$L$1300,175+DK$3,2+DK$2)&lt;&gt;"",INDEX('×入力'!$A$1:$L$1300,174,2+DK$2)&lt;&gt;"",INDEX('×入力'!$A$1:$L$1300,175+DK$3,1)&lt;&gt;""),1,0),0)</f>
        <v/>
      </c>
      <c r="DL16">
        <f>IF(DL$4=1,IF(OR(INDEX('×入力'!$A$1:$L$1300,175+DL$3,2+DL$2)&lt;&gt;"",INDEX('×入力'!$A$1:$L$1300,174,2+DL$2)&lt;&gt;"",INDEX('×入力'!$A$1:$L$1300,175+DL$3,1)&lt;&gt;""),1,0),0)</f>
        <v/>
      </c>
      <c r="DM16">
        <f>IF(DM$4=1,IF(OR(INDEX('×入力'!$A$1:$L$1300,175+DM$3,2+DM$2)&lt;&gt;"",INDEX('×入力'!$A$1:$L$1300,174,2+DM$2)&lt;&gt;"",INDEX('×入力'!$A$1:$L$1300,175+DM$3,1)&lt;&gt;""),1,0),0)</f>
        <v/>
      </c>
      <c r="DN16">
        <f>IF(DN$4=1,IF(OR(INDEX('×入力'!$A$1:$L$1300,175+DN$3,2+DN$2)&lt;&gt;"",INDEX('×入力'!$A$1:$L$1300,174,2+DN$2)&lt;&gt;"",INDEX('×入力'!$A$1:$L$1300,175+DN$3,1)&lt;&gt;""),1,0),0)</f>
        <v/>
      </c>
      <c r="DO16">
        <f>IF(DO$4=1,IF(OR(INDEX('×入力'!$A$1:$L$1300,175+DO$3,2+DO$2)&lt;&gt;"",INDEX('×入力'!$A$1:$L$1300,174,2+DO$2)&lt;&gt;"",INDEX('×入力'!$A$1:$L$1300,175+DO$3,1)&lt;&gt;""),1,0),0)</f>
        <v/>
      </c>
      <c r="DP16">
        <f>IF(DP$4=1,IF(OR(INDEX('×入力'!$A$1:$L$1300,175+DP$3,2+DP$2)&lt;&gt;"",INDEX('×入力'!$A$1:$L$1300,174,2+DP$2)&lt;&gt;"",INDEX('×入力'!$A$1:$L$1300,175+DP$3,1)&lt;&gt;""),1,0),0)</f>
        <v/>
      </c>
      <c r="DQ16">
        <f>IF(DQ$4=1,IF(OR(INDEX('×入力'!$A$1:$L$1300,175+DQ$3,2+DQ$2)&lt;&gt;"",INDEX('×入力'!$A$1:$L$1300,174,2+DQ$2)&lt;&gt;"",INDEX('×入力'!$A$1:$L$1300,175+DQ$3,1)&lt;&gt;""),1,0),0)</f>
        <v/>
      </c>
      <c r="DR16">
        <f>IF(DR$4=1,IF(OR(INDEX('×入力'!$A$1:$L$1300,175+DR$3,2+DR$2)&lt;&gt;"",INDEX('×入力'!$A$1:$L$1300,174,2+DR$2)&lt;&gt;"",INDEX('×入力'!$A$1:$L$1300,175+DR$3,1)&lt;&gt;""),1,0),0)</f>
        <v/>
      </c>
      <c r="DS16">
        <f>IF(DS$4=1,IF(OR(INDEX('×入力'!$A$1:$L$1300,175+DS$3,2+DS$2)&lt;&gt;"",INDEX('×入力'!$A$1:$L$1300,174,2+DS$2)&lt;&gt;"",INDEX('×入力'!$A$1:$L$1300,175+DS$3,1)&lt;&gt;""),1,0),0)</f>
        <v/>
      </c>
      <c r="DT16">
        <f>IF(DT$4=1,IF(OR(INDEX('×入力'!$A$1:$L$1300,175+DT$3,2+DT$2)&lt;&gt;"",INDEX('×入力'!$A$1:$L$1300,174,2+DT$2)&lt;&gt;"",INDEX('×入力'!$A$1:$L$1300,175+DT$3,1)&lt;&gt;""),1,0),0)</f>
        <v/>
      </c>
      <c r="DU16">
        <f>IF(DU$4=1,IF(OR(INDEX('×入力'!$A$1:$L$1300,175+DU$3,2+DU$2)&lt;&gt;"",INDEX('×入力'!$A$1:$L$1300,174,2+DU$2)&lt;&gt;"",INDEX('×入力'!$A$1:$L$1300,175+DU$3,1)&lt;&gt;""),1,0),0)</f>
        <v/>
      </c>
      <c r="DV16">
        <f>IF(DV$4=1,IF(OR(INDEX('×入力'!$A$1:$L$1300,175+DV$3,2+DV$2)&lt;&gt;"",INDEX('×入力'!$A$1:$L$1300,174,2+DV$2)&lt;&gt;"",INDEX('×入力'!$A$1:$L$1300,175+DV$3,1)&lt;&gt;""),1,0),0)</f>
        <v/>
      </c>
      <c r="DW16">
        <f>IF(DW$4=1,IF(OR(INDEX('×入力'!$A$1:$L$1300,175+DW$3,2+DW$2)&lt;&gt;"",INDEX('×入力'!$A$1:$L$1300,174,2+DW$2)&lt;&gt;"",INDEX('×入力'!$A$1:$L$1300,175+DW$3,1)&lt;&gt;""),1,0),0)</f>
        <v/>
      </c>
      <c r="DX16">
        <f>IF(DX$4=1,IF(OR(INDEX('×入力'!$A$1:$L$1300,175+DX$3,2+DX$2)&lt;&gt;"",INDEX('×入力'!$A$1:$L$1300,174,2+DX$2)&lt;&gt;"",INDEX('×入力'!$A$1:$L$1300,175+DX$3,1)&lt;&gt;""),1,0),0)</f>
        <v/>
      </c>
      <c r="DY16">
        <f>IF(DY$4=1,IF(OR(INDEX('×入力'!$A$1:$L$1300,175+DY$3,2+DY$2)&lt;&gt;"",INDEX('×入力'!$A$1:$L$1300,174,2+DY$2)&lt;&gt;"",INDEX('×入力'!$A$1:$L$1300,175+DY$3,1)&lt;&gt;""),1,0),0)</f>
        <v/>
      </c>
      <c r="DZ16">
        <f>IF(DZ$4=1,IF(OR(INDEX('×入力'!$A$1:$L$1300,175+DZ$3,2+DZ$2)&lt;&gt;"",INDEX('×入力'!$A$1:$L$1300,174,2+DZ$2)&lt;&gt;"",INDEX('×入力'!$A$1:$L$1300,175+DZ$3,1)&lt;&gt;""),1,0),0)</f>
        <v/>
      </c>
      <c r="EA16">
        <f>IF(EA$4=1,IF(OR(INDEX('×入力'!$A$1:$L$1300,175+EA$3,2+EA$2)&lt;&gt;"",INDEX('×入力'!$A$1:$L$1300,174,2+EA$2)&lt;&gt;"",INDEX('×入力'!$A$1:$L$1300,175+EA$3,1)&lt;&gt;""),1,0),0)</f>
        <v/>
      </c>
      <c r="EB16">
        <f>IF(EB$4=1,IF(OR(INDEX('×入力'!$A$1:$L$1300,175+EB$3,2+EB$2)&lt;&gt;"",INDEX('×入力'!$A$1:$L$1300,174,2+EB$2)&lt;&gt;"",INDEX('×入力'!$A$1:$L$1300,175+EB$3,1)&lt;&gt;""),1,0),0)</f>
        <v/>
      </c>
      <c r="EC16">
        <f>IF(EC$4=1,IF(OR(INDEX('×入力'!$A$1:$L$1300,175+EC$3,2+EC$2)&lt;&gt;"",INDEX('×入力'!$A$1:$L$1300,174,2+EC$2)&lt;&gt;"",INDEX('×入力'!$A$1:$L$1300,175+EC$3,1)&lt;&gt;""),1,0),0)</f>
        <v/>
      </c>
      <c r="ED16">
        <f>IF(ED$4=1,IF(OR(INDEX('×入力'!$A$1:$L$1300,175+ED$3,2+ED$2)&lt;&gt;"",INDEX('×入力'!$A$1:$L$1300,174,2+ED$2)&lt;&gt;"",INDEX('×入力'!$A$1:$L$1300,175+ED$3,1)&lt;&gt;""),1,0),0)</f>
        <v/>
      </c>
      <c r="EE16">
        <f>IF(EE$4=1,IF(OR(INDEX('×入力'!$A$1:$L$1300,175+EE$3,2+EE$2)&lt;&gt;"",INDEX('×入力'!$A$1:$L$1300,174,2+EE$2)&lt;&gt;"",INDEX('×入力'!$A$1:$L$1300,175+EE$3,1)&lt;&gt;""),1,0),0)</f>
        <v/>
      </c>
      <c r="EF16">
        <f>IF(EF$4=1,IF(OR(INDEX('×入力'!$A$1:$L$1300,175+EF$3,2+EF$2)&lt;&gt;"",INDEX('×入力'!$A$1:$L$1300,174,2+EF$2)&lt;&gt;"",INDEX('×入力'!$A$1:$L$1300,175+EF$3,1)&lt;&gt;""),1,0),0)</f>
        <v/>
      </c>
      <c r="EG16">
        <f>IF(EG$4=1,IF(OR(INDEX('×入力'!$A$1:$L$1300,175+EG$3,2+EG$2)&lt;&gt;"",INDEX('×入力'!$A$1:$L$1300,174,2+EG$2)&lt;&gt;"",INDEX('×入力'!$A$1:$L$1300,175+EG$3,1)&lt;&gt;""),1,0),0)</f>
        <v/>
      </c>
      <c r="EH16">
        <f>IF(EH$4=1,IF(OR(INDEX('×入力'!$A$1:$L$1300,175+EH$3,2+EH$2)&lt;&gt;"",INDEX('×入力'!$A$1:$L$1300,174,2+EH$2)&lt;&gt;"",INDEX('×入力'!$A$1:$L$1300,175+EH$3,1)&lt;&gt;""),1,0),0)</f>
        <v/>
      </c>
      <c r="EI16">
        <f>IF(EI$4=1,IF(OR(INDEX('×入力'!$A$1:$L$1300,175+EI$3,2+EI$2)&lt;&gt;"",INDEX('×入力'!$A$1:$L$1300,174,2+EI$2)&lt;&gt;"",INDEX('×入力'!$A$1:$L$1300,175+EI$3,1)&lt;&gt;""),1,0),0)</f>
        <v/>
      </c>
      <c r="EJ16">
        <f>IF(EJ$4=1,IF(OR(INDEX('×入力'!$A$1:$L$1300,175+EJ$3,2+EJ$2)&lt;&gt;"",INDEX('×入力'!$A$1:$L$1300,174,2+EJ$2)&lt;&gt;"",INDEX('×入力'!$A$1:$L$1300,175+EJ$3,1)&lt;&gt;""),1,0),0)</f>
        <v/>
      </c>
      <c r="EK16">
        <f>IF(EK$4=1,IF(OR(INDEX('×入力'!$A$1:$L$1300,175+EK$3,2+EK$2)&lt;&gt;"",INDEX('×入力'!$A$1:$L$1300,174,2+EK$2)&lt;&gt;"",INDEX('×入力'!$A$1:$L$1300,175+EK$3,1)&lt;&gt;""),1,0),0)</f>
        <v/>
      </c>
      <c r="EL16">
        <f>IF(EL$4=1,IF(OR(INDEX('×入力'!$A$1:$L$1300,175+EL$3,2+EL$2)&lt;&gt;"",INDEX('×入力'!$A$1:$L$1300,174,2+EL$2)&lt;&gt;"",INDEX('×入力'!$A$1:$L$1300,175+EL$3,1)&lt;&gt;""),1,0),0)</f>
        <v/>
      </c>
      <c r="EM16">
        <f>IF(EM$4=1,IF(OR(INDEX('×入力'!$A$1:$L$1300,175+EM$3,2+EM$2)&lt;&gt;"",INDEX('×入力'!$A$1:$L$1300,174,2+EM$2)&lt;&gt;"",INDEX('×入力'!$A$1:$L$1300,175+EM$3,1)&lt;&gt;""),1,0),0)</f>
        <v/>
      </c>
      <c r="EN16">
        <f>IF(EN$4=1,IF(OR(INDEX('×入力'!$A$1:$L$1300,175+EN$3,2+EN$2)&lt;&gt;"",INDEX('×入力'!$A$1:$L$1300,174,2+EN$2)&lt;&gt;"",INDEX('×入力'!$A$1:$L$1300,175+EN$3,1)&lt;&gt;""),1,0),0)</f>
        <v/>
      </c>
      <c r="EO16">
        <f>IF(EO$4=1,IF(OR(INDEX('×入力'!$A$1:$L$1300,175+EO$3,2+EO$2)&lt;&gt;"",INDEX('×入力'!$A$1:$L$1300,174,2+EO$2)&lt;&gt;"",INDEX('×入力'!$A$1:$L$1300,175+EO$3,1)&lt;&gt;""),1,0),0)</f>
        <v/>
      </c>
      <c r="EP16">
        <f>IF(EP$4=1,IF(OR(INDEX('×入力'!$A$1:$L$1300,175+EP$3,2+EP$2)&lt;&gt;"",INDEX('×入力'!$A$1:$L$1300,174,2+EP$2)&lt;&gt;"",INDEX('×入力'!$A$1:$L$1300,175+EP$3,1)&lt;&gt;""),1,0),0)</f>
        <v/>
      </c>
      <c r="EQ16">
        <f>IF(EQ$4=1,IF(OR(INDEX('×入力'!$A$1:$L$1300,175+EQ$3,2+EQ$2)&lt;&gt;"",INDEX('×入力'!$A$1:$L$1300,174,2+EQ$2)&lt;&gt;"",INDEX('×入力'!$A$1:$L$1300,175+EQ$3,1)&lt;&gt;""),1,0),0)</f>
        <v/>
      </c>
      <c r="HA16">
        <f>MAX(0,IT16)</f>
        <v/>
      </c>
      <c r="HB16">
        <f>IF(HA16=0,0,INDEX($D$2:$EQ$2,HA16))</f>
        <v/>
      </c>
      <c r="HC16">
        <f>IF(HA16=0,0,INDEX($D$3:$EQ$3,HA16))</f>
        <v/>
      </c>
      <c r="HD16">
        <f>MAX(0,IY16)</f>
        <v/>
      </c>
      <c r="HE16">
        <f>IF(HD16=0,0,INDEX($D$2:$EQ$2,HD16))</f>
        <v/>
      </c>
      <c r="HF16">
        <f>IF(HD16=0,0,INDEX($D$3:$EQ$3,HD16))</f>
        <v/>
      </c>
      <c r="HG16">
        <f>MAX(0,IZ16)</f>
        <v/>
      </c>
      <c r="HH16">
        <f>IF(HG16=0,0,INDEX($D$2:$EQ$2,HG16))</f>
        <v/>
      </c>
      <c r="HI16">
        <f>IF(HG16=0,0,INDEX($D$3:$EQ$3,HG16))</f>
        <v/>
      </c>
      <c r="HJ16">
        <f>IF(AND(HA16&gt;0,HC16&gt;1,OR(HC16-1&lt;&gt;$A$3,$A$4=0)),HA16-1,-1)</f>
        <v/>
      </c>
      <c r="HK16">
        <f>IF(AND(HA16&gt;0,HC16&lt;24,OR(HC16&lt;&gt;$A$3,$A$4=0)),HA16+1,-1)</f>
        <v/>
      </c>
      <c r="HL16">
        <f>IF(AND(HD16&gt;0,HF16&gt;1,OR(HF16-1&lt;&gt;$A$3,$A$4=0)),HD16-1,-1)</f>
        <v/>
      </c>
      <c r="HM16">
        <f>IF(AND(HD16&gt;0,HF16&lt;24,OR(HF16&lt;&gt;$A$3,$A$4=0)),HD16+1,-1)</f>
        <v/>
      </c>
      <c r="HN16">
        <f>IF(AND(HG16&gt;0,HI16&gt;1,OR(HI16-1&lt;&gt;$A$3,$A$4=0)),HG16-1,-1)</f>
        <v/>
      </c>
      <c r="HO16">
        <f>IF(AND(HG16&gt;0,HI16&lt;24,OR(HI16&lt;&gt;$A$3,$A$4=0)),HG16+1,-1)</f>
        <v/>
      </c>
      <c r="IK16">
        <f>IFERROR(INDEX('calcB'!$C$3:$C$47,MATCH(A16,'calcB'!$B$3:$B$47,0)),0)</f>
        <v/>
      </c>
      <c r="IL16">
        <f>IF(AND(C16=1,IK16=0,calcA!$A$6=1),1,0)</f>
        <v/>
      </c>
      <c r="IM16">
        <f>SUMPRODUCT(D66:EQ66*(1-$D$7:$EQ$7))</f>
        <v/>
      </c>
      <c r="IN16">
        <f>SUM(D16:EQ16)</f>
        <v/>
      </c>
      <c r="IO16">
        <f>IF(B16="",0,IF(COUNTIF('調整・決定'!$C$6:$H$29,B16)=1,SUMPRODUCT(('調整・決定'!$C$6:$H$29=B16)*((COLUMN('調整・決定'!$C$6:$H$29)-3)*24+ROW('調整・決定'!$C$6:$H$29)-5)),0))</f>
        <v/>
      </c>
      <c r="IP16">
        <f>IFERROR(MATCH('名簿'!C11,{"早い時刻","遅い時刻","早い日","遅い日"},0),0)</f>
        <v/>
      </c>
      <c r="IQ16">
        <f>IF('名簿'!D11="必ず空けたい",2,IF('名簿'!D11="出来れば空けたい",1,0))</f>
        <v/>
      </c>
      <c r="IR16">
        <f>IFERROR(INDEX('calcC'!$C$3:$C$47,MATCH(A16,'calcC'!$B$3:$B$47,0)),0)</f>
        <v/>
      </c>
      <c r="IS16">
        <f>IF(AND(C16=1,IR16=0,calcA!$A$6=1),1,0)</f>
        <v/>
      </c>
      <c r="IT16">
        <f>IF(OR('名簿'!G11="",'名簿'!H11=""),0,IFERROR((MATCH('名簿'!G11,'設定'!$E$11:$E$16,0)-1)*24+MATCH('名簿'!H11,'設定'!$I$11:$I$34,0),-1))</f>
        <v/>
      </c>
      <c r="IV16">
        <f>IF(OR(JF16=0,IO16=0),1,IF(OR(IF(IT16&gt;0,AND(INDEX($D$2:$EQ$2,IO16)=INDEX($D$2:$EQ$2,IT16),OR(AND(IO16=IT16+1,OR(INDEX($D$3:$EQ$3,IT16)&lt;&gt;$A$3,$A$4=0)),AND(IO16=IT16-1,OR(INDEX($D$3:$EQ$3,IO16)&lt;&gt;$A$3,$A$4=0)))),FALSE),IF(IY16&gt;0,AND(INDEX($D$2:$EQ$2,IO16)=INDEX($D$2:$EQ$2,IY16),OR(AND(IO16=IY16+1,OR(INDEX($D$3:$EQ$3,IY16)&lt;&gt;$A$3,$A$4=0)),AND(IO16=IY16-1,OR(INDEX($D$3:$EQ$3,IO16)&lt;&gt;$A$3,$A$4=0)))),FALSE),IF(IZ16&gt;0,AND(INDEX($D$2:$EQ$2,IO16)=INDEX($D$2:$EQ$2,IZ16),OR(AND(IO16=IZ16+1,OR(INDEX($D$3:$EQ$3,IZ16)&lt;&gt;$A$3,$A$4=0)),AND(IO16=IZ16-1,OR(INDEX($D$3:$EQ$3,IO16)&lt;&gt;$A$3,$A$4=0)))),FALSE)),1,0))</f>
        <v/>
      </c>
      <c r="IW16">
        <f>IF(AND('名簿'!E11&lt;&gt;"",JF16=0),1,0)</f>
        <v/>
      </c>
      <c r="IX16">
        <f>IF('名簿'!D11="空けない",1,0)</f>
        <v/>
      </c>
      <c r="IY16">
        <f>IF(OR('名簿'!J11="",'名簿'!K11=""),0,IFERROR((MATCH('名簿'!J11,'設定'!$E$11:$E$16,0)-1)*24+MATCH('名簿'!K11,'設定'!$I$11:$I$34,0),-1))</f>
        <v/>
      </c>
      <c r="IZ16">
        <f>IF(OR('名簿'!M11="",'名簿'!N11=""),0,IFERROR((MATCH('名簿'!M11,'設定'!$E$11:$E$16,0)-1)*24+MATCH('名簿'!N11,'設定'!$I$11:$I$34,0),-1))</f>
        <v/>
      </c>
      <c r="JC16">
        <f>IF(RIGHT('名簿'!I11,2)="の前",1,IF(RIGHT('名簿'!I11,2)="の後",2,0))</f>
        <v/>
      </c>
      <c r="JD16">
        <f>IF(RIGHT('名簿'!L11,2)="の前",1,IF(RIGHT('名簿'!L11,2)="の後",2,0))</f>
        <v/>
      </c>
      <c r="JE16">
        <f>IF(RIGHT('名簿'!O11,2)="の前",1,IF(RIGHT('名簿'!O11,2)="の後",2,0))</f>
        <v/>
      </c>
      <c r="JF16">
        <f>IF(OR(IT16&gt;0,IY16&gt;0,IZ16&gt;0),1,0)</f>
        <v/>
      </c>
      <c r="JG16">
        <f>IF(OR(IT16&lt;0,IY16&lt;0,IZ16&lt;0),1,0)</f>
        <v/>
      </c>
    </row>
    <row r="17">
      <c r="A17" t="n">
        <v>8</v>
      </c>
      <c r="B17">
        <f>'名簿'!P12</f>
        <v/>
      </c>
      <c r="C17">
        <f>IF(AND(B17&lt;&gt;"",OR('名簿'!Q12="入力済み",'名簿'!Q12="×なし"),IO17=0,COUNTIF('調整・決定'!$C$6:$H$29,B17)=0),1,0)</f>
        <v/>
      </c>
      <c r="D17">
        <f>IF(D$4=1,IF(OR(INDEX('×入力'!$A$1:$L$1300,203+D$3,2+D$2)&lt;&gt;"",INDEX('×入力'!$A$1:$L$1300,202,2+D$2)&lt;&gt;"",INDEX('×入力'!$A$1:$L$1300,203+D$3,1)&lt;&gt;""),1,0),0)</f>
        <v/>
      </c>
      <c r="E17">
        <f>IF(E$4=1,IF(OR(INDEX('×入力'!$A$1:$L$1300,203+E$3,2+E$2)&lt;&gt;"",INDEX('×入力'!$A$1:$L$1300,202,2+E$2)&lt;&gt;"",INDEX('×入力'!$A$1:$L$1300,203+E$3,1)&lt;&gt;""),1,0),0)</f>
        <v/>
      </c>
      <c r="F17">
        <f>IF(F$4=1,IF(OR(INDEX('×入力'!$A$1:$L$1300,203+F$3,2+F$2)&lt;&gt;"",INDEX('×入力'!$A$1:$L$1300,202,2+F$2)&lt;&gt;"",INDEX('×入力'!$A$1:$L$1300,203+F$3,1)&lt;&gt;""),1,0),0)</f>
        <v/>
      </c>
      <c r="G17">
        <f>IF(G$4=1,IF(OR(INDEX('×入力'!$A$1:$L$1300,203+G$3,2+G$2)&lt;&gt;"",INDEX('×入力'!$A$1:$L$1300,202,2+G$2)&lt;&gt;"",INDEX('×入力'!$A$1:$L$1300,203+G$3,1)&lt;&gt;""),1,0),0)</f>
        <v/>
      </c>
      <c r="H17">
        <f>IF(H$4=1,IF(OR(INDEX('×入力'!$A$1:$L$1300,203+H$3,2+H$2)&lt;&gt;"",INDEX('×入力'!$A$1:$L$1300,202,2+H$2)&lt;&gt;"",INDEX('×入力'!$A$1:$L$1300,203+H$3,1)&lt;&gt;""),1,0),0)</f>
        <v/>
      </c>
      <c r="I17">
        <f>IF(I$4=1,IF(OR(INDEX('×入力'!$A$1:$L$1300,203+I$3,2+I$2)&lt;&gt;"",INDEX('×入力'!$A$1:$L$1300,202,2+I$2)&lt;&gt;"",INDEX('×入力'!$A$1:$L$1300,203+I$3,1)&lt;&gt;""),1,0),0)</f>
        <v/>
      </c>
      <c r="J17">
        <f>IF(J$4=1,IF(OR(INDEX('×入力'!$A$1:$L$1300,203+J$3,2+J$2)&lt;&gt;"",INDEX('×入力'!$A$1:$L$1300,202,2+J$2)&lt;&gt;"",INDEX('×入力'!$A$1:$L$1300,203+J$3,1)&lt;&gt;""),1,0),0)</f>
        <v/>
      </c>
      <c r="K17">
        <f>IF(K$4=1,IF(OR(INDEX('×入力'!$A$1:$L$1300,203+K$3,2+K$2)&lt;&gt;"",INDEX('×入力'!$A$1:$L$1300,202,2+K$2)&lt;&gt;"",INDEX('×入力'!$A$1:$L$1300,203+K$3,1)&lt;&gt;""),1,0),0)</f>
        <v/>
      </c>
      <c r="L17">
        <f>IF(L$4=1,IF(OR(INDEX('×入力'!$A$1:$L$1300,203+L$3,2+L$2)&lt;&gt;"",INDEX('×入力'!$A$1:$L$1300,202,2+L$2)&lt;&gt;"",INDEX('×入力'!$A$1:$L$1300,203+L$3,1)&lt;&gt;""),1,0),0)</f>
        <v/>
      </c>
      <c r="M17">
        <f>IF(M$4=1,IF(OR(INDEX('×入力'!$A$1:$L$1300,203+M$3,2+M$2)&lt;&gt;"",INDEX('×入力'!$A$1:$L$1300,202,2+M$2)&lt;&gt;"",INDEX('×入力'!$A$1:$L$1300,203+M$3,1)&lt;&gt;""),1,0),0)</f>
        <v/>
      </c>
      <c r="N17">
        <f>IF(N$4=1,IF(OR(INDEX('×入力'!$A$1:$L$1300,203+N$3,2+N$2)&lt;&gt;"",INDEX('×入力'!$A$1:$L$1300,202,2+N$2)&lt;&gt;"",INDEX('×入力'!$A$1:$L$1300,203+N$3,1)&lt;&gt;""),1,0),0)</f>
        <v/>
      </c>
      <c r="O17">
        <f>IF(O$4=1,IF(OR(INDEX('×入力'!$A$1:$L$1300,203+O$3,2+O$2)&lt;&gt;"",INDEX('×入力'!$A$1:$L$1300,202,2+O$2)&lt;&gt;"",INDEX('×入力'!$A$1:$L$1300,203+O$3,1)&lt;&gt;""),1,0),0)</f>
        <v/>
      </c>
      <c r="P17">
        <f>IF(P$4=1,IF(OR(INDEX('×入力'!$A$1:$L$1300,203+P$3,2+P$2)&lt;&gt;"",INDEX('×入力'!$A$1:$L$1300,202,2+P$2)&lt;&gt;"",INDEX('×入力'!$A$1:$L$1300,203+P$3,1)&lt;&gt;""),1,0),0)</f>
        <v/>
      </c>
      <c r="Q17">
        <f>IF(Q$4=1,IF(OR(INDEX('×入力'!$A$1:$L$1300,203+Q$3,2+Q$2)&lt;&gt;"",INDEX('×入力'!$A$1:$L$1300,202,2+Q$2)&lt;&gt;"",INDEX('×入力'!$A$1:$L$1300,203+Q$3,1)&lt;&gt;""),1,0),0)</f>
        <v/>
      </c>
      <c r="R17">
        <f>IF(R$4=1,IF(OR(INDEX('×入力'!$A$1:$L$1300,203+R$3,2+R$2)&lt;&gt;"",INDEX('×入力'!$A$1:$L$1300,202,2+R$2)&lt;&gt;"",INDEX('×入力'!$A$1:$L$1300,203+R$3,1)&lt;&gt;""),1,0),0)</f>
        <v/>
      </c>
      <c r="S17">
        <f>IF(S$4=1,IF(OR(INDEX('×入力'!$A$1:$L$1300,203+S$3,2+S$2)&lt;&gt;"",INDEX('×入力'!$A$1:$L$1300,202,2+S$2)&lt;&gt;"",INDEX('×入力'!$A$1:$L$1300,203+S$3,1)&lt;&gt;""),1,0),0)</f>
        <v/>
      </c>
      <c r="T17">
        <f>IF(T$4=1,IF(OR(INDEX('×入力'!$A$1:$L$1300,203+T$3,2+T$2)&lt;&gt;"",INDEX('×入力'!$A$1:$L$1300,202,2+T$2)&lt;&gt;"",INDEX('×入力'!$A$1:$L$1300,203+T$3,1)&lt;&gt;""),1,0),0)</f>
        <v/>
      </c>
      <c r="U17">
        <f>IF(U$4=1,IF(OR(INDEX('×入力'!$A$1:$L$1300,203+U$3,2+U$2)&lt;&gt;"",INDEX('×入力'!$A$1:$L$1300,202,2+U$2)&lt;&gt;"",INDEX('×入力'!$A$1:$L$1300,203+U$3,1)&lt;&gt;""),1,0),0)</f>
        <v/>
      </c>
      <c r="V17">
        <f>IF(V$4=1,IF(OR(INDEX('×入力'!$A$1:$L$1300,203+V$3,2+V$2)&lt;&gt;"",INDEX('×入力'!$A$1:$L$1300,202,2+V$2)&lt;&gt;"",INDEX('×入力'!$A$1:$L$1300,203+V$3,1)&lt;&gt;""),1,0),0)</f>
        <v/>
      </c>
      <c r="W17">
        <f>IF(W$4=1,IF(OR(INDEX('×入力'!$A$1:$L$1300,203+W$3,2+W$2)&lt;&gt;"",INDEX('×入力'!$A$1:$L$1300,202,2+W$2)&lt;&gt;"",INDEX('×入力'!$A$1:$L$1300,203+W$3,1)&lt;&gt;""),1,0),0)</f>
        <v/>
      </c>
      <c r="X17">
        <f>IF(X$4=1,IF(OR(INDEX('×入力'!$A$1:$L$1300,203+X$3,2+X$2)&lt;&gt;"",INDEX('×入力'!$A$1:$L$1300,202,2+X$2)&lt;&gt;"",INDEX('×入力'!$A$1:$L$1300,203+X$3,1)&lt;&gt;""),1,0),0)</f>
        <v/>
      </c>
      <c r="Y17">
        <f>IF(Y$4=1,IF(OR(INDEX('×入力'!$A$1:$L$1300,203+Y$3,2+Y$2)&lt;&gt;"",INDEX('×入力'!$A$1:$L$1300,202,2+Y$2)&lt;&gt;"",INDEX('×入力'!$A$1:$L$1300,203+Y$3,1)&lt;&gt;""),1,0),0)</f>
        <v/>
      </c>
      <c r="Z17">
        <f>IF(Z$4=1,IF(OR(INDEX('×入力'!$A$1:$L$1300,203+Z$3,2+Z$2)&lt;&gt;"",INDEX('×入力'!$A$1:$L$1300,202,2+Z$2)&lt;&gt;"",INDEX('×入力'!$A$1:$L$1300,203+Z$3,1)&lt;&gt;""),1,0),0)</f>
        <v/>
      </c>
      <c r="AA17">
        <f>IF(AA$4=1,IF(OR(INDEX('×入力'!$A$1:$L$1300,203+AA$3,2+AA$2)&lt;&gt;"",INDEX('×入力'!$A$1:$L$1300,202,2+AA$2)&lt;&gt;"",INDEX('×入力'!$A$1:$L$1300,203+AA$3,1)&lt;&gt;""),1,0),0)</f>
        <v/>
      </c>
      <c r="AB17">
        <f>IF(AB$4=1,IF(OR(INDEX('×入力'!$A$1:$L$1300,203+AB$3,2+AB$2)&lt;&gt;"",INDEX('×入力'!$A$1:$L$1300,202,2+AB$2)&lt;&gt;"",INDEX('×入力'!$A$1:$L$1300,203+AB$3,1)&lt;&gt;""),1,0),0)</f>
        <v/>
      </c>
      <c r="AC17">
        <f>IF(AC$4=1,IF(OR(INDEX('×入力'!$A$1:$L$1300,203+AC$3,2+AC$2)&lt;&gt;"",INDEX('×入力'!$A$1:$L$1300,202,2+AC$2)&lt;&gt;"",INDEX('×入力'!$A$1:$L$1300,203+AC$3,1)&lt;&gt;""),1,0),0)</f>
        <v/>
      </c>
      <c r="AD17">
        <f>IF(AD$4=1,IF(OR(INDEX('×入力'!$A$1:$L$1300,203+AD$3,2+AD$2)&lt;&gt;"",INDEX('×入力'!$A$1:$L$1300,202,2+AD$2)&lt;&gt;"",INDEX('×入力'!$A$1:$L$1300,203+AD$3,1)&lt;&gt;""),1,0),0)</f>
        <v/>
      </c>
      <c r="AE17">
        <f>IF(AE$4=1,IF(OR(INDEX('×入力'!$A$1:$L$1300,203+AE$3,2+AE$2)&lt;&gt;"",INDEX('×入力'!$A$1:$L$1300,202,2+AE$2)&lt;&gt;"",INDEX('×入力'!$A$1:$L$1300,203+AE$3,1)&lt;&gt;""),1,0),0)</f>
        <v/>
      </c>
      <c r="AF17">
        <f>IF(AF$4=1,IF(OR(INDEX('×入力'!$A$1:$L$1300,203+AF$3,2+AF$2)&lt;&gt;"",INDEX('×入力'!$A$1:$L$1300,202,2+AF$2)&lt;&gt;"",INDEX('×入力'!$A$1:$L$1300,203+AF$3,1)&lt;&gt;""),1,0),0)</f>
        <v/>
      </c>
      <c r="AG17">
        <f>IF(AG$4=1,IF(OR(INDEX('×入力'!$A$1:$L$1300,203+AG$3,2+AG$2)&lt;&gt;"",INDEX('×入力'!$A$1:$L$1300,202,2+AG$2)&lt;&gt;"",INDEX('×入力'!$A$1:$L$1300,203+AG$3,1)&lt;&gt;""),1,0),0)</f>
        <v/>
      </c>
      <c r="AH17">
        <f>IF(AH$4=1,IF(OR(INDEX('×入力'!$A$1:$L$1300,203+AH$3,2+AH$2)&lt;&gt;"",INDEX('×入力'!$A$1:$L$1300,202,2+AH$2)&lt;&gt;"",INDEX('×入力'!$A$1:$L$1300,203+AH$3,1)&lt;&gt;""),1,0),0)</f>
        <v/>
      </c>
      <c r="AI17">
        <f>IF(AI$4=1,IF(OR(INDEX('×入力'!$A$1:$L$1300,203+AI$3,2+AI$2)&lt;&gt;"",INDEX('×入力'!$A$1:$L$1300,202,2+AI$2)&lt;&gt;"",INDEX('×入力'!$A$1:$L$1300,203+AI$3,1)&lt;&gt;""),1,0),0)</f>
        <v/>
      </c>
      <c r="AJ17">
        <f>IF(AJ$4=1,IF(OR(INDEX('×入力'!$A$1:$L$1300,203+AJ$3,2+AJ$2)&lt;&gt;"",INDEX('×入力'!$A$1:$L$1300,202,2+AJ$2)&lt;&gt;"",INDEX('×入力'!$A$1:$L$1300,203+AJ$3,1)&lt;&gt;""),1,0),0)</f>
        <v/>
      </c>
      <c r="AK17">
        <f>IF(AK$4=1,IF(OR(INDEX('×入力'!$A$1:$L$1300,203+AK$3,2+AK$2)&lt;&gt;"",INDEX('×入力'!$A$1:$L$1300,202,2+AK$2)&lt;&gt;"",INDEX('×入力'!$A$1:$L$1300,203+AK$3,1)&lt;&gt;""),1,0),0)</f>
        <v/>
      </c>
      <c r="AL17">
        <f>IF(AL$4=1,IF(OR(INDEX('×入力'!$A$1:$L$1300,203+AL$3,2+AL$2)&lt;&gt;"",INDEX('×入力'!$A$1:$L$1300,202,2+AL$2)&lt;&gt;"",INDEX('×入力'!$A$1:$L$1300,203+AL$3,1)&lt;&gt;""),1,0),0)</f>
        <v/>
      </c>
      <c r="AM17">
        <f>IF(AM$4=1,IF(OR(INDEX('×入力'!$A$1:$L$1300,203+AM$3,2+AM$2)&lt;&gt;"",INDEX('×入力'!$A$1:$L$1300,202,2+AM$2)&lt;&gt;"",INDEX('×入力'!$A$1:$L$1300,203+AM$3,1)&lt;&gt;""),1,0),0)</f>
        <v/>
      </c>
      <c r="AN17">
        <f>IF(AN$4=1,IF(OR(INDEX('×入力'!$A$1:$L$1300,203+AN$3,2+AN$2)&lt;&gt;"",INDEX('×入力'!$A$1:$L$1300,202,2+AN$2)&lt;&gt;"",INDEX('×入力'!$A$1:$L$1300,203+AN$3,1)&lt;&gt;""),1,0),0)</f>
        <v/>
      </c>
      <c r="AO17">
        <f>IF(AO$4=1,IF(OR(INDEX('×入力'!$A$1:$L$1300,203+AO$3,2+AO$2)&lt;&gt;"",INDEX('×入力'!$A$1:$L$1300,202,2+AO$2)&lt;&gt;"",INDEX('×入力'!$A$1:$L$1300,203+AO$3,1)&lt;&gt;""),1,0),0)</f>
        <v/>
      </c>
      <c r="AP17">
        <f>IF(AP$4=1,IF(OR(INDEX('×入力'!$A$1:$L$1300,203+AP$3,2+AP$2)&lt;&gt;"",INDEX('×入力'!$A$1:$L$1300,202,2+AP$2)&lt;&gt;"",INDEX('×入力'!$A$1:$L$1300,203+AP$3,1)&lt;&gt;""),1,0),0)</f>
        <v/>
      </c>
      <c r="AQ17">
        <f>IF(AQ$4=1,IF(OR(INDEX('×入力'!$A$1:$L$1300,203+AQ$3,2+AQ$2)&lt;&gt;"",INDEX('×入力'!$A$1:$L$1300,202,2+AQ$2)&lt;&gt;"",INDEX('×入力'!$A$1:$L$1300,203+AQ$3,1)&lt;&gt;""),1,0),0)</f>
        <v/>
      </c>
      <c r="AR17">
        <f>IF(AR$4=1,IF(OR(INDEX('×入力'!$A$1:$L$1300,203+AR$3,2+AR$2)&lt;&gt;"",INDEX('×入力'!$A$1:$L$1300,202,2+AR$2)&lt;&gt;"",INDEX('×入力'!$A$1:$L$1300,203+AR$3,1)&lt;&gt;""),1,0),0)</f>
        <v/>
      </c>
      <c r="AS17">
        <f>IF(AS$4=1,IF(OR(INDEX('×入力'!$A$1:$L$1300,203+AS$3,2+AS$2)&lt;&gt;"",INDEX('×入力'!$A$1:$L$1300,202,2+AS$2)&lt;&gt;"",INDEX('×入力'!$A$1:$L$1300,203+AS$3,1)&lt;&gt;""),1,0),0)</f>
        <v/>
      </c>
      <c r="AT17">
        <f>IF(AT$4=1,IF(OR(INDEX('×入力'!$A$1:$L$1300,203+AT$3,2+AT$2)&lt;&gt;"",INDEX('×入力'!$A$1:$L$1300,202,2+AT$2)&lt;&gt;"",INDEX('×入力'!$A$1:$L$1300,203+AT$3,1)&lt;&gt;""),1,0),0)</f>
        <v/>
      </c>
      <c r="AU17">
        <f>IF(AU$4=1,IF(OR(INDEX('×入力'!$A$1:$L$1300,203+AU$3,2+AU$2)&lt;&gt;"",INDEX('×入力'!$A$1:$L$1300,202,2+AU$2)&lt;&gt;"",INDEX('×入力'!$A$1:$L$1300,203+AU$3,1)&lt;&gt;""),1,0),0)</f>
        <v/>
      </c>
      <c r="AV17">
        <f>IF(AV$4=1,IF(OR(INDEX('×入力'!$A$1:$L$1300,203+AV$3,2+AV$2)&lt;&gt;"",INDEX('×入力'!$A$1:$L$1300,202,2+AV$2)&lt;&gt;"",INDEX('×入力'!$A$1:$L$1300,203+AV$3,1)&lt;&gt;""),1,0),0)</f>
        <v/>
      </c>
      <c r="AW17">
        <f>IF(AW$4=1,IF(OR(INDEX('×入力'!$A$1:$L$1300,203+AW$3,2+AW$2)&lt;&gt;"",INDEX('×入力'!$A$1:$L$1300,202,2+AW$2)&lt;&gt;"",INDEX('×入力'!$A$1:$L$1300,203+AW$3,1)&lt;&gt;""),1,0),0)</f>
        <v/>
      </c>
      <c r="AX17">
        <f>IF(AX$4=1,IF(OR(INDEX('×入力'!$A$1:$L$1300,203+AX$3,2+AX$2)&lt;&gt;"",INDEX('×入力'!$A$1:$L$1300,202,2+AX$2)&lt;&gt;"",INDEX('×入力'!$A$1:$L$1300,203+AX$3,1)&lt;&gt;""),1,0),0)</f>
        <v/>
      </c>
      <c r="AY17">
        <f>IF(AY$4=1,IF(OR(INDEX('×入力'!$A$1:$L$1300,203+AY$3,2+AY$2)&lt;&gt;"",INDEX('×入力'!$A$1:$L$1300,202,2+AY$2)&lt;&gt;"",INDEX('×入力'!$A$1:$L$1300,203+AY$3,1)&lt;&gt;""),1,0),0)</f>
        <v/>
      </c>
      <c r="AZ17">
        <f>IF(AZ$4=1,IF(OR(INDEX('×入力'!$A$1:$L$1300,203+AZ$3,2+AZ$2)&lt;&gt;"",INDEX('×入力'!$A$1:$L$1300,202,2+AZ$2)&lt;&gt;"",INDEX('×入力'!$A$1:$L$1300,203+AZ$3,1)&lt;&gt;""),1,0),0)</f>
        <v/>
      </c>
      <c r="BA17">
        <f>IF(BA$4=1,IF(OR(INDEX('×入力'!$A$1:$L$1300,203+BA$3,2+BA$2)&lt;&gt;"",INDEX('×入力'!$A$1:$L$1300,202,2+BA$2)&lt;&gt;"",INDEX('×入力'!$A$1:$L$1300,203+BA$3,1)&lt;&gt;""),1,0),0)</f>
        <v/>
      </c>
      <c r="BB17">
        <f>IF(BB$4=1,IF(OR(INDEX('×入力'!$A$1:$L$1300,203+BB$3,2+BB$2)&lt;&gt;"",INDEX('×入力'!$A$1:$L$1300,202,2+BB$2)&lt;&gt;"",INDEX('×入力'!$A$1:$L$1300,203+BB$3,1)&lt;&gt;""),1,0),0)</f>
        <v/>
      </c>
      <c r="BC17">
        <f>IF(BC$4=1,IF(OR(INDEX('×入力'!$A$1:$L$1300,203+BC$3,2+BC$2)&lt;&gt;"",INDEX('×入力'!$A$1:$L$1300,202,2+BC$2)&lt;&gt;"",INDEX('×入力'!$A$1:$L$1300,203+BC$3,1)&lt;&gt;""),1,0),0)</f>
        <v/>
      </c>
      <c r="BD17">
        <f>IF(BD$4=1,IF(OR(INDEX('×入力'!$A$1:$L$1300,203+BD$3,2+BD$2)&lt;&gt;"",INDEX('×入力'!$A$1:$L$1300,202,2+BD$2)&lt;&gt;"",INDEX('×入力'!$A$1:$L$1300,203+BD$3,1)&lt;&gt;""),1,0),0)</f>
        <v/>
      </c>
      <c r="BE17">
        <f>IF(BE$4=1,IF(OR(INDEX('×入力'!$A$1:$L$1300,203+BE$3,2+BE$2)&lt;&gt;"",INDEX('×入力'!$A$1:$L$1300,202,2+BE$2)&lt;&gt;"",INDEX('×入力'!$A$1:$L$1300,203+BE$3,1)&lt;&gt;""),1,0),0)</f>
        <v/>
      </c>
      <c r="BF17">
        <f>IF(BF$4=1,IF(OR(INDEX('×入力'!$A$1:$L$1300,203+BF$3,2+BF$2)&lt;&gt;"",INDEX('×入力'!$A$1:$L$1300,202,2+BF$2)&lt;&gt;"",INDEX('×入力'!$A$1:$L$1300,203+BF$3,1)&lt;&gt;""),1,0),0)</f>
        <v/>
      </c>
      <c r="BG17">
        <f>IF(BG$4=1,IF(OR(INDEX('×入力'!$A$1:$L$1300,203+BG$3,2+BG$2)&lt;&gt;"",INDEX('×入力'!$A$1:$L$1300,202,2+BG$2)&lt;&gt;"",INDEX('×入力'!$A$1:$L$1300,203+BG$3,1)&lt;&gt;""),1,0),0)</f>
        <v/>
      </c>
      <c r="BH17">
        <f>IF(BH$4=1,IF(OR(INDEX('×入力'!$A$1:$L$1300,203+BH$3,2+BH$2)&lt;&gt;"",INDEX('×入力'!$A$1:$L$1300,202,2+BH$2)&lt;&gt;"",INDEX('×入力'!$A$1:$L$1300,203+BH$3,1)&lt;&gt;""),1,0),0)</f>
        <v/>
      </c>
      <c r="BI17">
        <f>IF(BI$4=1,IF(OR(INDEX('×入力'!$A$1:$L$1300,203+BI$3,2+BI$2)&lt;&gt;"",INDEX('×入力'!$A$1:$L$1300,202,2+BI$2)&lt;&gt;"",INDEX('×入力'!$A$1:$L$1300,203+BI$3,1)&lt;&gt;""),1,0),0)</f>
        <v/>
      </c>
      <c r="BJ17">
        <f>IF(BJ$4=1,IF(OR(INDEX('×入力'!$A$1:$L$1300,203+BJ$3,2+BJ$2)&lt;&gt;"",INDEX('×入力'!$A$1:$L$1300,202,2+BJ$2)&lt;&gt;"",INDEX('×入力'!$A$1:$L$1300,203+BJ$3,1)&lt;&gt;""),1,0),0)</f>
        <v/>
      </c>
      <c r="BK17">
        <f>IF(BK$4=1,IF(OR(INDEX('×入力'!$A$1:$L$1300,203+BK$3,2+BK$2)&lt;&gt;"",INDEX('×入力'!$A$1:$L$1300,202,2+BK$2)&lt;&gt;"",INDEX('×入力'!$A$1:$L$1300,203+BK$3,1)&lt;&gt;""),1,0),0)</f>
        <v/>
      </c>
      <c r="BL17">
        <f>IF(BL$4=1,IF(OR(INDEX('×入力'!$A$1:$L$1300,203+BL$3,2+BL$2)&lt;&gt;"",INDEX('×入力'!$A$1:$L$1300,202,2+BL$2)&lt;&gt;"",INDEX('×入力'!$A$1:$L$1300,203+BL$3,1)&lt;&gt;""),1,0),0)</f>
        <v/>
      </c>
      <c r="BM17">
        <f>IF(BM$4=1,IF(OR(INDEX('×入力'!$A$1:$L$1300,203+BM$3,2+BM$2)&lt;&gt;"",INDEX('×入力'!$A$1:$L$1300,202,2+BM$2)&lt;&gt;"",INDEX('×入力'!$A$1:$L$1300,203+BM$3,1)&lt;&gt;""),1,0),0)</f>
        <v/>
      </c>
      <c r="BN17">
        <f>IF(BN$4=1,IF(OR(INDEX('×入力'!$A$1:$L$1300,203+BN$3,2+BN$2)&lt;&gt;"",INDEX('×入力'!$A$1:$L$1300,202,2+BN$2)&lt;&gt;"",INDEX('×入力'!$A$1:$L$1300,203+BN$3,1)&lt;&gt;""),1,0),0)</f>
        <v/>
      </c>
      <c r="BO17">
        <f>IF(BO$4=1,IF(OR(INDEX('×入力'!$A$1:$L$1300,203+BO$3,2+BO$2)&lt;&gt;"",INDEX('×入力'!$A$1:$L$1300,202,2+BO$2)&lt;&gt;"",INDEX('×入力'!$A$1:$L$1300,203+BO$3,1)&lt;&gt;""),1,0),0)</f>
        <v/>
      </c>
      <c r="BP17">
        <f>IF(BP$4=1,IF(OR(INDEX('×入力'!$A$1:$L$1300,203+BP$3,2+BP$2)&lt;&gt;"",INDEX('×入力'!$A$1:$L$1300,202,2+BP$2)&lt;&gt;"",INDEX('×入力'!$A$1:$L$1300,203+BP$3,1)&lt;&gt;""),1,0),0)</f>
        <v/>
      </c>
      <c r="BQ17">
        <f>IF(BQ$4=1,IF(OR(INDEX('×入力'!$A$1:$L$1300,203+BQ$3,2+BQ$2)&lt;&gt;"",INDEX('×入力'!$A$1:$L$1300,202,2+BQ$2)&lt;&gt;"",INDEX('×入力'!$A$1:$L$1300,203+BQ$3,1)&lt;&gt;""),1,0),0)</f>
        <v/>
      </c>
      <c r="BR17">
        <f>IF(BR$4=1,IF(OR(INDEX('×入力'!$A$1:$L$1300,203+BR$3,2+BR$2)&lt;&gt;"",INDEX('×入力'!$A$1:$L$1300,202,2+BR$2)&lt;&gt;"",INDEX('×入力'!$A$1:$L$1300,203+BR$3,1)&lt;&gt;""),1,0),0)</f>
        <v/>
      </c>
      <c r="BS17">
        <f>IF(BS$4=1,IF(OR(INDEX('×入力'!$A$1:$L$1300,203+BS$3,2+BS$2)&lt;&gt;"",INDEX('×入力'!$A$1:$L$1300,202,2+BS$2)&lt;&gt;"",INDEX('×入力'!$A$1:$L$1300,203+BS$3,1)&lt;&gt;""),1,0),0)</f>
        <v/>
      </c>
      <c r="BT17">
        <f>IF(BT$4=1,IF(OR(INDEX('×入力'!$A$1:$L$1300,203+BT$3,2+BT$2)&lt;&gt;"",INDEX('×入力'!$A$1:$L$1300,202,2+BT$2)&lt;&gt;"",INDEX('×入力'!$A$1:$L$1300,203+BT$3,1)&lt;&gt;""),1,0),0)</f>
        <v/>
      </c>
      <c r="BU17">
        <f>IF(BU$4=1,IF(OR(INDEX('×入力'!$A$1:$L$1300,203+BU$3,2+BU$2)&lt;&gt;"",INDEX('×入力'!$A$1:$L$1300,202,2+BU$2)&lt;&gt;"",INDEX('×入力'!$A$1:$L$1300,203+BU$3,1)&lt;&gt;""),1,0),0)</f>
        <v/>
      </c>
      <c r="BV17">
        <f>IF(BV$4=1,IF(OR(INDEX('×入力'!$A$1:$L$1300,203+BV$3,2+BV$2)&lt;&gt;"",INDEX('×入力'!$A$1:$L$1300,202,2+BV$2)&lt;&gt;"",INDEX('×入力'!$A$1:$L$1300,203+BV$3,1)&lt;&gt;""),1,0),0)</f>
        <v/>
      </c>
      <c r="BW17">
        <f>IF(BW$4=1,IF(OR(INDEX('×入力'!$A$1:$L$1300,203+BW$3,2+BW$2)&lt;&gt;"",INDEX('×入力'!$A$1:$L$1300,202,2+BW$2)&lt;&gt;"",INDEX('×入力'!$A$1:$L$1300,203+BW$3,1)&lt;&gt;""),1,0),0)</f>
        <v/>
      </c>
      <c r="BX17">
        <f>IF(BX$4=1,IF(OR(INDEX('×入力'!$A$1:$L$1300,203+BX$3,2+BX$2)&lt;&gt;"",INDEX('×入力'!$A$1:$L$1300,202,2+BX$2)&lt;&gt;"",INDEX('×入力'!$A$1:$L$1300,203+BX$3,1)&lt;&gt;""),1,0),0)</f>
        <v/>
      </c>
      <c r="BY17">
        <f>IF(BY$4=1,IF(OR(INDEX('×入力'!$A$1:$L$1300,203+BY$3,2+BY$2)&lt;&gt;"",INDEX('×入力'!$A$1:$L$1300,202,2+BY$2)&lt;&gt;"",INDEX('×入力'!$A$1:$L$1300,203+BY$3,1)&lt;&gt;""),1,0),0)</f>
        <v/>
      </c>
      <c r="BZ17">
        <f>IF(BZ$4=1,IF(OR(INDEX('×入力'!$A$1:$L$1300,203+BZ$3,2+BZ$2)&lt;&gt;"",INDEX('×入力'!$A$1:$L$1300,202,2+BZ$2)&lt;&gt;"",INDEX('×入力'!$A$1:$L$1300,203+BZ$3,1)&lt;&gt;""),1,0),0)</f>
        <v/>
      </c>
      <c r="CA17">
        <f>IF(CA$4=1,IF(OR(INDEX('×入力'!$A$1:$L$1300,203+CA$3,2+CA$2)&lt;&gt;"",INDEX('×入力'!$A$1:$L$1300,202,2+CA$2)&lt;&gt;"",INDEX('×入力'!$A$1:$L$1300,203+CA$3,1)&lt;&gt;""),1,0),0)</f>
        <v/>
      </c>
      <c r="CB17">
        <f>IF(CB$4=1,IF(OR(INDEX('×入力'!$A$1:$L$1300,203+CB$3,2+CB$2)&lt;&gt;"",INDEX('×入力'!$A$1:$L$1300,202,2+CB$2)&lt;&gt;"",INDEX('×入力'!$A$1:$L$1300,203+CB$3,1)&lt;&gt;""),1,0),0)</f>
        <v/>
      </c>
      <c r="CC17">
        <f>IF(CC$4=1,IF(OR(INDEX('×入力'!$A$1:$L$1300,203+CC$3,2+CC$2)&lt;&gt;"",INDEX('×入力'!$A$1:$L$1300,202,2+CC$2)&lt;&gt;"",INDEX('×入力'!$A$1:$L$1300,203+CC$3,1)&lt;&gt;""),1,0),0)</f>
        <v/>
      </c>
      <c r="CD17">
        <f>IF(CD$4=1,IF(OR(INDEX('×入力'!$A$1:$L$1300,203+CD$3,2+CD$2)&lt;&gt;"",INDEX('×入力'!$A$1:$L$1300,202,2+CD$2)&lt;&gt;"",INDEX('×入力'!$A$1:$L$1300,203+CD$3,1)&lt;&gt;""),1,0),0)</f>
        <v/>
      </c>
      <c r="CE17">
        <f>IF(CE$4=1,IF(OR(INDEX('×入力'!$A$1:$L$1300,203+CE$3,2+CE$2)&lt;&gt;"",INDEX('×入力'!$A$1:$L$1300,202,2+CE$2)&lt;&gt;"",INDEX('×入力'!$A$1:$L$1300,203+CE$3,1)&lt;&gt;""),1,0),0)</f>
        <v/>
      </c>
      <c r="CF17">
        <f>IF(CF$4=1,IF(OR(INDEX('×入力'!$A$1:$L$1300,203+CF$3,2+CF$2)&lt;&gt;"",INDEX('×入力'!$A$1:$L$1300,202,2+CF$2)&lt;&gt;"",INDEX('×入力'!$A$1:$L$1300,203+CF$3,1)&lt;&gt;""),1,0),0)</f>
        <v/>
      </c>
      <c r="CG17">
        <f>IF(CG$4=1,IF(OR(INDEX('×入力'!$A$1:$L$1300,203+CG$3,2+CG$2)&lt;&gt;"",INDEX('×入力'!$A$1:$L$1300,202,2+CG$2)&lt;&gt;"",INDEX('×入力'!$A$1:$L$1300,203+CG$3,1)&lt;&gt;""),1,0),0)</f>
        <v/>
      </c>
      <c r="CH17">
        <f>IF(CH$4=1,IF(OR(INDEX('×入力'!$A$1:$L$1300,203+CH$3,2+CH$2)&lt;&gt;"",INDEX('×入力'!$A$1:$L$1300,202,2+CH$2)&lt;&gt;"",INDEX('×入力'!$A$1:$L$1300,203+CH$3,1)&lt;&gt;""),1,0),0)</f>
        <v/>
      </c>
      <c r="CI17">
        <f>IF(CI$4=1,IF(OR(INDEX('×入力'!$A$1:$L$1300,203+CI$3,2+CI$2)&lt;&gt;"",INDEX('×入力'!$A$1:$L$1300,202,2+CI$2)&lt;&gt;"",INDEX('×入力'!$A$1:$L$1300,203+CI$3,1)&lt;&gt;""),1,0),0)</f>
        <v/>
      </c>
      <c r="CJ17">
        <f>IF(CJ$4=1,IF(OR(INDEX('×入力'!$A$1:$L$1300,203+CJ$3,2+CJ$2)&lt;&gt;"",INDEX('×入力'!$A$1:$L$1300,202,2+CJ$2)&lt;&gt;"",INDEX('×入力'!$A$1:$L$1300,203+CJ$3,1)&lt;&gt;""),1,0),0)</f>
        <v/>
      </c>
      <c r="CK17">
        <f>IF(CK$4=1,IF(OR(INDEX('×入力'!$A$1:$L$1300,203+CK$3,2+CK$2)&lt;&gt;"",INDEX('×入力'!$A$1:$L$1300,202,2+CK$2)&lt;&gt;"",INDEX('×入力'!$A$1:$L$1300,203+CK$3,1)&lt;&gt;""),1,0),0)</f>
        <v/>
      </c>
      <c r="CL17">
        <f>IF(CL$4=1,IF(OR(INDEX('×入力'!$A$1:$L$1300,203+CL$3,2+CL$2)&lt;&gt;"",INDEX('×入力'!$A$1:$L$1300,202,2+CL$2)&lt;&gt;"",INDEX('×入力'!$A$1:$L$1300,203+CL$3,1)&lt;&gt;""),1,0),0)</f>
        <v/>
      </c>
      <c r="CM17">
        <f>IF(CM$4=1,IF(OR(INDEX('×入力'!$A$1:$L$1300,203+CM$3,2+CM$2)&lt;&gt;"",INDEX('×入力'!$A$1:$L$1300,202,2+CM$2)&lt;&gt;"",INDEX('×入力'!$A$1:$L$1300,203+CM$3,1)&lt;&gt;""),1,0),0)</f>
        <v/>
      </c>
      <c r="CN17">
        <f>IF(CN$4=1,IF(OR(INDEX('×入力'!$A$1:$L$1300,203+CN$3,2+CN$2)&lt;&gt;"",INDEX('×入力'!$A$1:$L$1300,202,2+CN$2)&lt;&gt;"",INDEX('×入力'!$A$1:$L$1300,203+CN$3,1)&lt;&gt;""),1,0),0)</f>
        <v/>
      </c>
      <c r="CO17">
        <f>IF(CO$4=1,IF(OR(INDEX('×入力'!$A$1:$L$1300,203+CO$3,2+CO$2)&lt;&gt;"",INDEX('×入力'!$A$1:$L$1300,202,2+CO$2)&lt;&gt;"",INDEX('×入力'!$A$1:$L$1300,203+CO$3,1)&lt;&gt;""),1,0),0)</f>
        <v/>
      </c>
      <c r="CP17">
        <f>IF(CP$4=1,IF(OR(INDEX('×入力'!$A$1:$L$1300,203+CP$3,2+CP$2)&lt;&gt;"",INDEX('×入力'!$A$1:$L$1300,202,2+CP$2)&lt;&gt;"",INDEX('×入力'!$A$1:$L$1300,203+CP$3,1)&lt;&gt;""),1,0),0)</f>
        <v/>
      </c>
      <c r="CQ17">
        <f>IF(CQ$4=1,IF(OR(INDEX('×入力'!$A$1:$L$1300,203+CQ$3,2+CQ$2)&lt;&gt;"",INDEX('×入力'!$A$1:$L$1300,202,2+CQ$2)&lt;&gt;"",INDEX('×入力'!$A$1:$L$1300,203+CQ$3,1)&lt;&gt;""),1,0),0)</f>
        <v/>
      </c>
      <c r="CR17">
        <f>IF(CR$4=1,IF(OR(INDEX('×入力'!$A$1:$L$1300,203+CR$3,2+CR$2)&lt;&gt;"",INDEX('×入力'!$A$1:$L$1300,202,2+CR$2)&lt;&gt;"",INDEX('×入力'!$A$1:$L$1300,203+CR$3,1)&lt;&gt;""),1,0),0)</f>
        <v/>
      </c>
      <c r="CS17">
        <f>IF(CS$4=1,IF(OR(INDEX('×入力'!$A$1:$L$1300,203+CS$3,2+CS$2)&lt;&gt;"",INDEX('×入力'!$A$1:$L$1300,202,2+CS$2)&lt;&gt;"",INDEX('×入力'!$A$1:$L$1300,203+CS$3,1)&lt;&gt;""),1,0),0)</f>
        <v/>
      </c>
      <c r="CT17">
        <f>IF(CT$4=1,IF(OR(INDEX('×入力'!$A$1:$L$1300,203+CT$3,2+CT$2)&lt;&gt;"",INDEX('×入力'!$A$1:$L$1300,202,2+CT$2)&lt;&gt;"",INDEX('×入力'!$A$1:$L$1300,203+CT$3,1)&lt;&gt;""),1,0),0)</f>
        <v/>
      </c>
      <c r="CU17">
        <f>IF(CU$4=1,IF(OR(INDEX('×入力'!$A$1:$L$1300,203+CU$3,2+CU$2)&lt;&gt;"",INDEX('×入力'!$A$1:$L$1300,202,2+CU$2)&lt;&gt;"",INDEX('×入力'!$A$1:$L$1300,203+CU$3,1)&lt;&gt;""),1,0),0)</f>
        <v/>
      </c>
      <c r="CV17">
        <f>IF(CV$4=1,IF(OR(INDEX('×入力'!$A$1:$L$1300,203+CV$3,2+CV$2)&lt;&gt;"",INDEX('×入力'!$A$1:$L$1300,202,2+CV$2)&lt;&gt;"",INDEX('×入力'!$A$1:$L$1300,203+CV$3,1)&lt;&gt;""),1,0),0)</f>
        <v/>
      </c>
      <c r="CW17">
        <f>IF(CW$4=1,IF(OR(INDEX('×入力'!$A$1:$L$1300,203+CW$3,2+CW$2)&lt;&gt;"",INDEX('×入力'!$A$1:$L$1300,202,2+CW$2)&lt;&gt;"",INDEX('×入力'!$A$1:$L$1300,203+CW$3,1)&lt;&gt;""),1,0),0)</f>
        <v/>
      </c>
      <c r="CX17">
        <f>IF(CX$4=1,IF(OR(INDEX('×入力'!$A$1:$L$1300,203+CX$3,2+CX$2)&lt;&gt;"",INDEX('×入力'!$A$1:$L$1300,202,2+CX$2)&lt;&gt;"",INDEX('×入力'!$A$1:$L$1300,203+CX$3,1)&lt;&gt;""),1,0),0)</f>
        <v/>
      </c>
      <c r="CY17">
        <f>IF(CY$4=1,IF(OR(INDEX('×入力'!$A$1:$L$1300,203+CY$3,2+CY$2)&lt;&gt;"",INDEX('×入力'!$A$1:$L$1300,202,2+CY$2)&lt;&gt;"",INDEX('×入力'!$A$1:$L$1300,203+CY$3,1)&lt;&gt;""),1,0),0)</f>
        <v/>
      </c>
      <c r="CZ17">
        <f>IF(CZ$4=1,IF(OR(INDEX('×入力'!$A$1:$L$1300,203+CZ$3,2+CZ$2)&lt;&gt;"",INDEX('×入力'!$A$1:$L$1300,202,2+CZ$2)&lt;&gt;"",INDEX('×入力'!$A$1:$L$1300,203+CZ$3,1)&lt;&gt;""),1,0),0)</f>
        <v/>
      </c>
      <c r="DA17">
        <f>IF(DA$4=1,IF(OR(INDEX('×入力'!$A$1:$L$1300,203+DA$3,2+DA$2)&lt;&gt;"",INDEX('×入力'!$A$1:$L$1300,202,2+DA$2)&lt;&gt;"",INDEX('×入力'!$A$1:$L$1300,203+DA$3,1)&lt;&gt;""),1,0),0)</f>
        <v/>
      </c>
      <c r="DB17">
        <f>IF(DB$4=1,IF(OR(INDEX('×入力'!$A$1:$L$1300,203+DB$3,2+DB$2)&lt;&gt;"",INDEX('×入力'!$A$1:$L$1300,202,2+DB$2)&lt;&gt;"",INDEX('×入力'!$A$1:$L$1300,203+DB$3,1)&lt;&gt;""),1,0),0)</f>
        <v/>
      </c>
      <c r="DC17">
        <f>IF(DC$4=1,IF(OR(INDEX('×入力'!$A$1:$L$1300,203+DC$3,2+DC$2)&lt;&gt;"",INDEX('×入力'!$A$1:$L$1300,202,2+DC$2)&lt;&gt;"",INDEX('×入力'!$A$1:$L$1300,203+DC$3,1)&lt;&gt;""),1,0),0)</f>
        <v/>
      </c>
      <c r="DD17">
        <f>IF(DD$4=1,IF(OR(INDEX('×入力'!$A$1:$L$1300,203+DD$3,2+DD$2)&lt;&gt;"",INDEX('×入力'!$A$1:$L$1300,202,2+DD$2)&lt;&gt;"",INDEX('×入力'!$A$1:$L$1300,203+DD$3,1)&lt;&gt;""),1,0),0)</f>
        <v/>
      </c>
      <c r="DE17">
        <f>IF(DE$4=1,IF(OR(INDEX('×入力'!$A$1:$L$1300,203+DE$3,2+DE$2)&lt;&gt;"",INDEX('×入力'!$A$1:$L$1300,202,2+DE$2)&lt;&gt;"",INDEX('×入力'!$A$1:$L$1300,203+DE$3,1)&lt;&gt;""),1,0),0)</f>
        <v/>
      </c>
      <c r="DF17">
        <f>IF(DF$4=1,IF(OR(INDEX('×入力'!$A$1:$L$1300,203+DF$3,2+DF$2)&lt;&gt;"",INDEX('×入力'!$A$1:$L$1300,202,2+DF$2)&lt;&gt;"",INDEX('×入力'!$A$1:$L$1300,203+DF$3,1)&lt;&gt;""),1,0),0)</f>
        <v/>
      </c>
      <c r="DG17">
        <f>IF(DG$4=1,IF(OR(INDEX('×入力'!$A$1:$L$1300,203+DG$3,2+DG$2)&lt;&gt;"",INDEX('×入力'!$A$1:$L$1300,202,2+DG$2)&lt;&gt;"",INDEX('×入力'!$A$1:$L$1300,203+DG$3,1)&lt;&gt;""),1,0),0)</f>
        <v/>
      </c>
      <c r="DH17">
        <f>IF(DH$4=1,IF(OR(INDEX('×入力'!$A$1:$L$1300,203+DH$3,2+DH$2)&lt;&gt;"",INDEX('×入力'!$A$1:$L$1300,202,2+DH$2)&lt;&gt;"",INDEX('×入力'!$A$1:$L$1300,203+DH$3,1)&lt;&gt;""),1,0),0)</f>
        <v/>
      </c>
      <c r="DI17">
        <f>IF(DI$4=1,IF(OR(INDEX('×入力'!$A$1:$L$1300,203+DI$3,2+DI$2)&lt;&gt;"",INDEX('×入力'!$A$1:$L$1300,202,2+DI$2)&lt;&gt;"",INDEX('×入力'!$A$1:$L$1300,203+DI$3,1)&lt;&gt;""),1,0),0)</f>
        <v/>
      </c>
      <c r="DJ17">
        <f>IF(DJ$4=1,IF(OR(INDEX('×入力'!$A$1:$L$1300,203+DJ$3,2+DJ$2)&lt;&gt;"",INDEX('×入力'!$A$1:$L$1300,202,2+DJ$2)&lt;&gt;"",INDEX('×入力'!$A$1:$L$1300,203+DJ$3,1)&lt;&gt;""),1,0),0)</f>
        <v/>
      </c>
      <c r="DK17">
        <f>IF(DK$4=1,IF(OR(INDEX('×入力'!$A$1:$L$1300,203+DK$3,2+DK$2)&lt;&gt;"",INDEX('×入力'!$A$1:$L$1300,202,2+DK$2)&lt;&gt;"",INDEX('×入力'!$A$1:$L$1300,203+DK$3,1)&lt;&gt;""),1,0),0)</f>
        <v/>
      </c>
      <c r="DL17">
        <f>IF(DL$4=1,IF(OR(INDEX('×入力'!$A$1:$L$1300,203+DL$3,2+DL$2)&lt;&gt;"",INDEX('×入力'!$A$1:$L$1300,202,2+DL$2)&lt;&gt;"",INDEX('×入力'!$A$1:$L$1300,203+DL$3,1)&lt;&gt;""),1,0),0)</f>
        <v/>
      </c>
      <c r="DM17">
        <f>IF(DM$4=1,IF(OR(INDEX('×入力'!$A$1:$L$1300,203+DM$3,2+DM$2)&lt;&gt;"",INDEX('×入力'!$A$1:$L$1300,202,2+DM$2)&lt;&gt;"",INDEX('×入力'!$A$1:$L$1300,203+DM$3,1)&lt;&gt;""),1,0),0)</f>
        <v/>
      </c>
      <c r="DN17">
        <f>IF(DN$4=1,IF(OR(INDEX('×入力'!$A$1:$L$1300,203+DN$3,2+DN$2)&lt;&gt;"",INDEX('×入力'!$A$1:$L$1300,202,2+DN$2)&lt;&gt;"",INDEX('×入力'!$A$1:$L$1300,203+DN$3,1)&lt;&gt;""),1,0),0)</f>
        <v/>
      </c>
      <c r="DO17">
        <f>IF(DO$4=1,IF(OR(INDEX('×入力'!$A$1:$L$1300,203+DO$3,2+DO$2)&lt;&gt;"",INDEX('×入力'!$A$1:$L$1300,202,2+DO$2)&lt;&gt;"",INDEX('×入力'!$A$1:$L$1300,203+DO$3,1)&lt;&gt;""),1,0),0)</f>
        <v/>
      </c>
      <c r="DP17">
        <f>IF(DP$4=1,IF(OR(INDEX('×入力'!$A$1:$L$1300,203+DP$3,2+DP$2)&lt;&gt;"",INDEX('×入力'!$A$1:$L$1300,202,2+DP$2)&lt;&gt;"",INDEX('×入力'!$A$1:$L$1300,203+DP$3,1)&lt;&gt;""),1,0),0)</f>
        <v/>
      </c>
      <c r="DQ17">
        <f>IF(DQ$4=1,IF(OR(INDEX('×入力'!$A$1:$L$1300,203+DQ$3,2+DQ$2)&lt;&gt;"",INDEX('×入力'!$A$1:$L$1300,202,2+DQ$2)&lt;&gt;"",INDEX('×入力'!$A$1:$L$1300,203+DQ$3,1)&lt;&gt;""),1,0),0)</f>
        <v/>
      </c>
      <c r="DR17">
        <f>IF(DR$4=1,IF(OR(INDEX('×入力'!$A$1:$L$1300,203+DR$3,2+DR$2)&lt;&gt;"",INDEX('×入力'!$A$1:$L$1300,202,2+DR$2)&lt;&gt;"",INDEX('×入力'!$A$1:$L$1300,203+DR$3,1)&lt;&gt;""),1,0),0)</f>
        <v/>
      </c>
      <c r="DS17">
        <f>IF(DS$4=1,IF(OR(INDEX('×入力'!$A$1:$L$1300,203+DS$3,2+DS$2)&lt;&gt;"",INDEX('×入力'!$A$1:$L$1300,202,2+DS$2)&lt;&gt;"",INDEX('×入力'!$A$1:$L$1300,203+DS$3,1)&lt;&gt;""),1,0),0)</f>
        <v/>
      </c>
      <c r="DT17">
        <f>IF(DT$4=1,IF(OR(INDEX('×入力'!$A$1:$L$1300,203+DT$3,2+DT$2)&lt;&gt;"",INDEX('×入力'!$A$1:$L$1300,202,2+DT$2)&lt;&gt;"",INDEX('×入力'!$A$1:$L$1300,203+DT$3,1)&lt;&gt;""),1,0),0)</f>
        <v/>
      </c>
      <c r="DU17">
        <f>IF(DU$4=1,IF(OR(INDEX('×入力'!$A$1:$L$1300,203+DU$3,2+DU$2)&lt;&gt;"",INDEX('×入力'!$A$1:$L$1300,202,2+DU$2)&lt;&gt;"",INDEX('×入力'!$A$1:$L$1300,203+DU$3,1)&lt;&gt;""),1,0),0)</f>
        <v/>
      </c>
      <c r="DV17">
        <f>IF(DV$4=1,IF(OR(INDEX('×入力'!$A$1:$L$1300,203+DV$3,2+DV$2)&lt;&gt;"",INDEX('×入力'!$A$1:$L$1300,202,2+DV$2)&lt;&gt;"",INDEX('×入力'!$A$1:$L$1300,203+DV$3,1)&lt;&gt;""),1,0),0)</f>
        <v/>
      </c>
      <c r="DW17">
        <f>IF(DW$4=1,IF(OR(INDEX('×入力'!$A$1:$L$1300,203+DW$3,2+DW$2)&lt;&gt;"",INDEX('×入力'!$A$1:$L$1300,202,2+DW$2)&lt;&gt;"",INDEX('×入力'!$A$1:$L$1300,203+DW$3,1)&lt;&gt;""),1,0),0)</f>
        <v/>
      </c>
      <c r="DX17">
        <f>IF(DX$4=1,IF(OR(INDEX('×入力'!$A$1:$L$1300,203+DX$3,2+DX$2)&lt;&gt;"",INDEX('×入力'!$A$1:$L$1300,202,2+DX$2)&lt;&gt;"",INDEX('×入力'!$A$1:$L$1300,203+DX$3,1)&lt;&gt;""),1,0),0)</f>
        <v/>
      </c>
      <c r="DY17">
        <f>IF(DY$4=1,IF(OR(INDEX('×入力'!$A$1:$L$1300,203+DY$3,2+DY$2)&lt;&gt;"",INDEX('×入力'!$A$1:$L$1300,202,2+DY$2)&lt;&gt;"",INDEX('×入力'!$A$1:$L$1300,203+DY$3,1)&lt;&gt;""),1,0),0)</f>
        <v/>
      </c>
      <c r="DZ17">
        <f>IF(DZ$4=1,IF(OR(INDEX('×入力'!$A$1:$L$1300,203+DZ$3,2+DZ$2)&lt;&gt;"",INDEX('×入力'!$A$1:$L$1300,202,2+DZ$2)&lt;&gt;"",INDEX('×入力'!$A$1:$L$1300,203+DZ$3,1)&lt;&gt;""),1,0),0)</f>
        <v/>
      </c>
      <c r="EA17">
        <f>IF(EA$4=1,IF(OR(INDEX('×入力'!$A$1:$L$1300,203+EA$3,2+EA$2)&lt;&gt;"",INDEX('×入力'!$A$1:$L$1300,202,2+EA$2)&lt;&gt;"",INDEX('×入力'!$A$1:$L$1300,203+EA$3,1)&lt;&gt;""),1,0),0)</f>
        <v/>
      </c>
      <c r="EB17">
        <f>IF(EB$4=1,IF(OR(INDEX('×入力'!$A$1:$L$1300,203+EB$3,2+EB$2)&lt;&gt;"",INDEX('×入力'!$A$1:$L$1300,202,2+EB$2)&lt;&gt;"",INDEX('×入力'!$A$1:$L$1300,203+EB$3,1)&lt;&gt;""),1,0),0)</f>
        <v/>
      </c>
      <c r="EC17">
        <f>IF(EC$4=1,IF(OR(INDEX('×入力'!$A$1:$L$1300,203+EC$3,2+EC$2)&lt;&gt;"",INDEX('×入力'!$A$1:$L$1300,202,2+EC$2)&lt;&gt;"",INDEX('×入力'!$A$1:$L$1300,203+EC$3,1)&lt;&gt;""),1,0),0)</f>
        <v/>
      </c>
      <c r="ED17">
        <f>IF(ED$4=1,IF(OR(INDEX('×入力'!$A$1:$L$1300,203+ED$3,2+ED$2)&lt;&gt;"",INDEX('×入力'!$A$1:$L$1300,202,2+ED$2)&lt;&gt;"",INDEX('×入力'!$A$1:$L$1300,203+ED$3,1)&lt;&gt;""),1,0),0)</f>
        <v/>
      </c>
      <c r="EE17">
        <f>IF(EE$4=1,IF(OR(INDEX('×入力'!$A$1:$L$1300,203+EE$3,2+EE$2)&lt;&gt;"",INDEX('×入力'!$A$1:$L$1300,202,2+EE$2)&lt;&gt;"",INDEX('×入力'!$A$1:$L$1300,203+EE$3,1)&lt;&gt;""),1,0),0)</f>
        <v/>
      </c>
      <c r="EF17">
        <f>IF(EF$4=1,IF(OR(INDEX('×入力'!$A$1:$L$1300,203+EF$3,2+EF$2)&lt;&gt;"",INDEX('×入力'!$A$1:$L$1300,202,2+EF$2)&lt;&gt;"",INDEX('×入力'!$A$1:$L$1300,203+EF$3,1)&lt;&gt;""),1,0),0)</f>
        <v/>
      </c>
      <c r="EG17">
        <f>IF(EG$4=1,IF(OR(INDEX('×入力'!$A$1:$L$1300,203+EG$3,2+EG$2)&lt;&gt;"",INDEX('×入力'!$A$1:$L$1300,202,2+EG$2)&lt;&gt;"",INDEX('×入力'!$A$1:$L$1300,203+EG$3,1)&lt;&gt;""),1,0),0)</f>
        <v/>
      </c>
      <c r="EH17">
        <f>IF(EH$4=1,IF(OR(INDEX('×入力'!$A$1:$L$1300,203+EH$3,2+EH$2)&lt;&gt;"",INDEX('×入力'!$A$1:$L$1300,202,2+EH$2)&lt;&gt;"",INDEX('×入力'!$A$1:$L$1300,203+EH$3,1)&lt;&gt;""),1,0),0)</f>
        <v/>
      </c>
      <c r="EI17">
        <f>IF(EI$4=1,IF(OR(INDEX('×入力'!$A$1:$L$1300,203+EI$3,2+EI$2)&lt;&gt;"",INDEX('×入力'!$A$1:$L$1300,202,2+EI$2)&lt;&gt;"",INDEX('×入力'!$A$1:$L$1300,203+EI$3,1)&lt;&gt;""),1,0),0)</f>
        <v/>
      </c>
      <c r="EJ17">
        <f>IF(EJ$4=1,IF(OR(INDEX('×入力'!$A$1:$L$1300,203+EJ$3,2+EJ$2)&lt;&gt;"",INDEX('×入力'!$A$1:$L$1300,202,2+EJ$2)&lt;&gt;"",INDEX('×入力'!$A$1:$L$1300,203+EJ$3,1)&lt;&gt;""),1,0),0)</f>
        <v/>
      </c>
      <c r="EK17">
        <f>IF(EK$4=1,IF(OR(INDEX('×入力'!$A$1:$L$1300,203+EK$3,2+EK$2)&lt;&gt;"",INDEX('×入力'!$A$1:$L$1300,202,2+EK$2)&lt;&gt;"",INDEX('×入力'!$A$1:$L$1300,203+EK$3,1)&lt;&gt;""),1,0),0)</f>
        <v/>
      </c>
      <c r="EL17">
        <f>IF(EL$4=1,IF(OR(INDEX('×入力'!$A$1:$L$1300,203+EL$3,2+EL$2)&lt;&gt;"",INDEX('×入力'!$A$1:$L$1300,202,2+EL$2)&lt;&gt;"",INDEX('×入力'!$A$1:$L$1300,203+EL$3,1)&lt;&gt;""),1,0),0)</f>
        <v/>
      </c>
      <c r="EM17">
        <f>IF(EM$4=1,IF(OR(INDEX('×入力'!$A$1:$L$1300,203+EM$3,2+EM$2)&lt;&gt;"",INDEX('×入力'!$A$1:$L$1300,202,2+EM$2)&lt;&gt;"",INDEX('×入力'!$A$1:$L$1300,203+EM$3,1)&lt;&gt;""),1,0),0)</f>
        <v/>
      </c>
      <c r="EN17">
        <f>IF(EN$4=1,IF(OR(INDEX('×入力'!$A$1:$L$1300,203+EN$3,2+EN$2)&lt;&gt;"",INDEX('×入力'!$A$1:$L$1300,202,2+EN$2)&lt;&gt;"",INDEX('×入力'!$A$1:$L$1300,203+EN$3,1)&lt;&gt;""),1,0),0)</f>
        <v/>
      </c>
      <c r="EO17">
        <f>IF(EO$4=1,IF(OR(INDEX('×入力'!$A$1:$L$1300,203+EO$3,2+EO$2)&lt;&gt;"",INDEX('×入力'!$A$1:$L$1300,202,2+EO$2)&lt;&gt;"",INDEX('×入力'!$A$1:$L$1300,203+EO$3,1)&lt;&gt;""),1,0),0)</f>
        <v/>
      </c>
      <c r="EP17">
        <f>IF(EP$4=1,IF(OR(INDEX('×入力'!$A$1:$L$1300,203+EP$3,2+EP$2)&lt;&gt;"",INDEX('×入力'!$A$1:$L$1300,202,2+EP$2)&lt;&gt;"",INDEX('×入力'!$A$1:$L$1300,203+EP$3,1)&lt;&gt;""),1,0),0)</f>
        <v/>
      </c>
      <c r="EQ17">
        <f>IF(EQ$4=1,IF(OR(INDEX('×入力'!$A$1:$L$1300,203+EQ$3,2+EQ$2)&lt;&gt;"",INDEX('×入力'!$A$1:$L$1300,202,2+EQ$2)&lt;&gt;"",INDEX('×入力'!$A$1:$L$1300,203+EQ$3,1)&lt;&gt;""),1,0),0)</f>
        <v/>
      </c>
      <c r="HA17">
        <f>MAX(0,IT17)</f>
        <v/>
      </c>
      <c r="HB17">
        <f>IF(HA17=0,0,INDEX($D$2:$EQ$2,HA17))</f>
        <v/>
      </c>
      <c r="HC17">
        <f>IF(HA17=0,0,INDEX($D$3:$EQ$3,HA17))</f>
        <v/>
      </c>
      <c r="HD17">
        <f>MAX(0,IY17)</f>
        <v/>
      </c>
      <c r="HE17">
        <f>IF(HD17=0,0,INDEX($D$2:$EQ$2,HD17))</f>
        <v/>
      </c>
      <c r="HF17">
        <f>IF(HD17=0,0,INDEX($D$3:$EQ$3,HD17))</f>
        <v/>
      </c>
      <c r="HG17">
        <f>MAX(0,IZ17)</f>
        <v/>
      </c>
      <c r="HH17">
        <f>IF(HG17=0,0,INDEX($D$2:$EQ$2,HG17))</f>
        <v/>
      </c>
      <c r="HI17">
        <f>IF(HG17=0,0,INDEX($D$3:$EQ$3,HG17))</f>
        <v/>
      </c>
      <c r="HJ17">
        <f>IF(AND(HA17&gt;0,HC17&gt;1,OR(HC17-1&lt;&gt;$A$3,$A$4=0)),HA17-1,-1)</f>
        <v/>
      </c>
      <c r="HK17">
        <f>IF(AND(HA17&gt;0,HC17&lt;24,OR(HC17&lt;&gt;$A$3,$A$4=0)),HA17+1,-1)</f>
        <v/>
      </c>
      <c r="HL17">
        <f>IF(AND(HD17&gt;0,HF17&gt;1,OR(HF17-1&lt;&gt;$A$3,$A$4=0)),HD17-1,-1)</f>
        <v/>
      </c>
      <c r="HM17">
        <f>IF(AND(HD17&gt;0,HF17&lt;24,OR(HF17&lt;&gt;$A$3,$A$4=0)),HD17+1,-1)</f>
        <v/>
      </c>
      <c r="HN17">
        <f>IF(AND(HG17&gt;0,HI17&gt;1,OR(HI17-1&lt;&gt;$A$3,$A$4=0)),HG17-1,-1)</f>
        <v/>
      </c>
      <c r="HO17">
        <f>IF(AND(HG17&gt;0,HI17&lt;24,OR(HI17&lt;&gt;$A$3,$A$4=0)),HG17+1,-1)</f>
        <v/>
      </c>
      <c r="IK17">
        <f>IFERROR(INDEX('calcB'!$C$3:$C$47,MATCH(A17,'calcB'!$B$3:$B$47,0)),0)</f>
        <v/>
      </c>
      <c r="IL17">
        <f>IF(AND(C17=1,IK17=0,calcA!$A$6=1),1,0)</f>
        <v/>
      </c>
      <c r="IM17">
        <f>SUMPRODUCT(D67:EQ67*(1-$D$7:$EQ$7))</f>
        <v/>
      </c>
      <c r="IN17">
        <f>SUM(D17:EQ17)</f>
        <v/>
      </c>
      <c r="IO17">
        <f>IF(B17="",0,IF(COUNTIF('調整・決定'!$C$6:$H$29,B17)=1,SUMPRODUCT(('調整・決定'!$C$6:$H$29=B17)*((COLUMN('調整・決定'!$C$6:$H$29)-3)*24+ROW('調整・決定'!$C$6:$H$29)-5)),0))</f>
        <v/>
      </c>
      <c r="IP17">
        <f>IFERROR(MATCH('名簿'!C12,{"早い時刻","遅い時刻","早い日","遅い日"},0),0)</f>
        <v/>
      </c>
      <c r="IQ17">
        <f>IF('名簿'!D12="必ず空けたい",2,IF('名簿'!D12="出来れば空けたい",1,0))</f>
        <v/>
      </c>
      <c r="IR17">
        <f>IFERROR(INDEX('calcC'!$C$3:$C$47,MATCH(A17,'calcC'!$B$3:$B$47,0)),0)</f>
        <v/>
      </c>
      <c r="IS17">
        <f>IF(AND(C17=1,IR17=0,calcA!$A$6=1),1,0)</f>
        <v/>
      </c>
      <c r="IT17">
        <f>IF(OR('名簿'!G12="",'名簿'!H12=""),0,IFERROR((MATCH('名簿'!G12,'設定'!$E$11:$E$16,0)-1)*24+MATCH('名簿'!H12,'設定'!$I$11:$I$34,0),-1))</f>
        <v/>
      </c>
      <c r="IV17">
        <f>IF(OR(JF17=0,IO17=0),1,IF(OR(IF(IT17&gt;0,AND(INDEX($D$2:$EQ$2,IO17)=INDEX($D$2:$EQ$2,IT17),OR(AND(IO17=IT17+1,OR(INDEX($D$3:$EQ$3,IT17)&lt;&gt;$A$3,$A$4=0)),AND(IO17=IT17-1,OR(INDEX($D$3:$EQ$3,IO17)&lt;&gt;$A$3,$A$4=0)))),FALSE),IF(IY17&gt;0,AND(INDEX($D$2:$EQ$2,IO17)=INDEX($D$2:$EQ$2,IY17),OR(AND(IO17=IY17+1,OR(INDEX($D$3:$EQ$3,IY17)&lt;&gt;$A$3,$A$4=0)),AND(IO17=IY17-1,OR(INDEX($D$3:$EQ$3,IO17)&lt;&gt;$A$3,$A$4=0)))),FALSE),IF(IZ17&gt;0,AND(INDEX($D$2:$EQ$2,IO17)=INDEX($D$2:$EQ$2,IZ17),OR(AND(IO17=IZ17+1,OR(INDEX($D$3:$EQ$3,IZ17)&lt;&gt;$A$3,$A$4=0)),AND(IO17=IZ17-1,OR(INDEX($D$3:$EQ$3,IO17)&lt;&gt;$A$3,$A$4=0)))),FALSE)),1,0))</f>
        <v/>
      </c>
      <c r="IW17">
        <f>IF(AND('名簿'!E12&lt;&gt;"",JF17=0),1,0)</f>
        <v/>
      </c>
      <c r="IX17">
        <f>IF('名簿'!D12="空けない",1,0)</f>
        <v/>
      </c>
      <c r="IY17">
        <f>IF(OR('名簿'!J12="",'名簿'!K12=""),0,IFERROR((MATCH('名簿'!J12,'設定'!$E$11:$E$16,0)-1)*24+MATCH('名簿'!K12,'設定'!$I$11:$I$34,0),-1))</f>
        <v/>
      </c>
      <c r="IZ17">
        <f>IF(OR('名簿'!M12="",'名簿'!N12=""),0,IFERROR((MATCH('名簿'!M12,'設定'!$E$11:$E$16,0)-1)*24+MATCH('名簿'!N12,'設定'!$I$11:$I$34,0),-1))</f>
        <v/>
      </c>
      <c r="JC17">
        <f>IF(RIGHT('名簿'!I12,2)="の前",1,IF(RIGHT('名簿'!I12,2)="の後",2,0))</f>
        <v/>
      </c>
      <c r="JD17">
        <f>IF(RIGHT('名簿'!L12,2)="の前",1,IF(RIGHT('名簿'!L12,2)="の後",2,0))</f>
        <v/>
      </c>
      <c r="JE17">
        <f>IF(RIGHT('名簿'!O12,2)="の前",1,IF(RIGHT('名簿'!O12,2)="の後",2,0))</f>
        <v/>
      </c>
      <c r="JF17">
        <f>IF(OR(IT17&gt;0,IY17&gt;0,IZ17&gt;0),1,0)</f>
        <v/>
      </c>
      <c r="JG17">
        <f>IF(OR(IT17&lt;0,IY17&lt;0,IZ17&lt;0),1,0)</f>
        <v/>
      </c>
    </row>
    <row r="18">
      <c r="A18" t="n">
        <v>9</v>
      </c>
      <c r="B18">
        <f>'名簿'!P13</f>
        <v/>
      </c>
      <c r="C18">
        <f>IF(AND(B18&lt;&gt;"",OR('名簿'!Q13="入力済み",'名簿'!Q13="×なし"),IO18=0,COUNTIF('調整・決定'!$C$6:$H$29,B18)=0),1,0)</f>
        <v/>
      </c>
      <c r="D18">
        <f>IF(D$4=1,IF(OR(INDEX('×入力'!$A$1:$L$1300,231+D$3,2+D$2)&lt;&gt;"",INDEX('×入力'!$A$1:$L$1300,230,2+D$2)&lt;&gt;"",INDEX('×入力'!$A$1:$L$1300,231+D$3,1)&lt;&gt;""),1,0),0)</f>
        <v/>
      </c>
      <c r="E18">
        <f>IF(E$4=1,IF(OR(INDEX('×入力'!$A$1:$L$1300,231+E$3,2+E$2)&lt;&gt;"",INDEX('×入力'!$A$1:$L$1300,230,2+E$2)&lt;&gt;"",INDEX('×入力'!$A$1:$L$1300,231+E$3,1)&lt;&gt;""),1,0),0)</f>
        <v/>
      </c>
      <c r="F18">
        <f>IF(F$4=1,IF(OR(INDEX('×入力'!$A$1:$L$1300,231+F$3,2+F$2)&lt;&gt;"",INDEX('×入力'!$A$1:$L$1300,230,2+F$2)&lt;&gt;"",INDEX('×入力'!$A$1:$L$1300,231+F$3,1)&lt;&gt;""),1,0),0)</f>
        <v/>
      </c>
      <c r="G18">
        <f>IF(G$4=1,IF(OR(INDEX('×入力'!$A$1:$L$1300,231+G$3,2+G$2)&lt;&gt;"",INDEX('×入力'!$A$1:$L$1300,230,2+G$2)&lt;&gt;"",INDEX('×入力'!$A$1:$L$1300,231+G$3,1)&lt;&gt;""),1,0),0)</f>
        <v/>
      </c>
      <c r="H18">
        <f>IF(H$4=1,IF(OR(INDEX('×入力'!$A$1:$L$1300,231+H$3,2+H$2)&lt;&gt;"",INDEX('×入力'!$A$1:$L$1300,230,2+H$2)&lt;&gt;"",INDEX('×入力'!$A$1:$L$1300,231+H$3,1)&lt;&gt;""),1,0),0)</f>
        <v/>
      </c>
      <c r="I18">
        <f>IF(I$4=1,IF(OR(INDEX('×入力'!$A$1:$L$1300,231+I$3,2+I$2)&lt;&gt;"",INDEX('×入力'!$A$1:$L$1300,230,2+I$2)&lt;&gt;"",INDEX('×入力'!$A$1:$L$1300,231+I$3,1)&lt;&gt;""),1,0),0)</f>
        <v/>
      </c>
      <c r="J18">
        <f>IF(J$4=1,IF(OR(INDEX('×入力'!$A$1:$L$1300,231+J$3,2+J$2)&lt;&gt;"",INDEX('×入力'!$A$1:$L$1300,230,2+J$2)&lt;&gt;"",INDEX('×入力'!$A$1:$L$1300,231+J$3,1)&lt;&gt;""),1,0),0)</f>
        <v/>
      </c>
      <c r="K18">
        <f>IF(K$4=1,IF(OR(INDEX('×入力'!$A$1:$L$1300,231+K$3,2+K$2)&lt;&gt;"",INDEX('×入力'!$A$1:$L$1300,230,2+K$2)&lt;&gt;"",INDEX('×入力'!$A$1:$L$1300,231+K$3,1)&lt;&gt;""),1,0),0)</f>
        <v/>
      </c>
      <c r="L18">
        <f>IF(L$4=1,IF(OR(INDEX('×入力'!$A$1:$L$1300,231+L$3,2+L$2)&lt;&gt;"",INDEX('×入力'!$A$1:$L$1300,230,2+L$2)&lt;&gt;"",INDEX('×入力'!$A$1:$L$1300,231+L$3,1)&lt;&gt;""),1,0),0)</f>
        <v/>
      </c>
      <c r="M18">
        <f>IF(M$4=1,IF(OR(INDEX('×入力'!$A$1:$L$1300,231+M$3,2+M$2)&lt;&gt;"",INDEX('×入力'!$A$1:$L$1300,230,2+M$2)&lt;&gt;"",INDEX('×入力'!$A$1:$L$1300,231+M$3,1)&lt;&gt;""),1,0),0)</f>
        <v/>
      </c>
      <c r="N18">
        <f>IF(N$4=1,IF(OR(INDEX('×入力'!$A$1:$L$1300,231+N$3,2+N$2)&lt;&gt;"",INDEX('×入力'!$A$1:$L$1300,230,2+N$2)&lt;&gt;"",INDEX('×入力'!$A$1:$L$1300,231+N$3,1)&lt;&gt;""),1,0),0)</f>
        <v/>
      </c>
      <c r="O18">
        <f>IF(O$4=1,IF(OR(INDEX('×入力'!$A$1:$L$1300,231+O$3,2+O$2)&lt;&gt;"",INDEX('×入力'!$A$1:$L$1300,230,2+O$2)&lt;&gt;"",INDEX('×入力'!$A$1:$L$1300,231+O$3,1)&lt;&gt;""),1,0),0)</f>
        <v/>
      </c>
      <c r="P18">
        <f>IF(P$4=1,IF(OR(INDEX('×入力'!$A$1:$L$1300,231+P$3,2+P$2)&lt;&gt;"",INDEX('×入力'!$A$1:$L$1300,230,2+P$2)&lt;&gt;"",INDEX('×入力'!$A$1:$L$1300,231+P$3,1)&lt;&gt;""),1,0),0)</f>
        <v/>
      </c>
      <c r="Q18">
        <f>IF(Q$4=1,IF(OR(INDEX('×入力'!$A$1:$L$1300,231+Q$3,2+Q$2)&lt;&gt;"",INDEX('×入力'!$A$1:$L$1300,230,2+Q$2)&lt;&gt;"",INDEX('×入力'!$A$1:$L$1300,231+Q$3,1)&lt;&gt;""),1,0),0)</f>
        <v/>
      </c>
      <c r="R18">
        <f>IF(R$4=1,IF(OR(INDEX('×入力'!$A$1:$L$1300,231+R$3,2+R$2)&lt;&gt;"",INDEX('×入力'!$A$1:$L$1300,230,2+R$2)&lt;&gt;"",INDEX('×入力'!$A$1:$L$1300,231+R$3,1)&lt;&gt;""),1,0),0)</f>
        <v/>
      </c>
      <c r="S18">
        <f>IF(S$4=1,IF(OR(INDEX('×入力'!$A$1:$L$1300,231+S$3,2+S$2)&lt;&gt;"",INDEX('×入力'!$A$1:$L$1300,230,2+S$2)&lt;&gt;"",INDEX('×入力'!$A$1:$L$1300,231+S$3,1)&lt;&gt;""),1,0),0)</f>
        <v/>
      </c>
      <c r="T18">
        <f>IF(T$4=1,IF(OR(INDEX('×入力'!$A$1:$L$1300,231+T$3,2+T$2)&lt;&gt;"",INDEX('×入力'!$A$1:$L$1300,230,2+T$2)&lt;&gt;"",INDEX('×入力'!$A$1:$L$1300,231+T$3,1)&lt;&gt;""),1,0),0)</f>
        <v/>
      </c>
      <c r="U18">
        <f>IF(U$4=1,IF(OR(INDEX('×入力'!$A$1:$L$1300,231+U$3,2+U$2)&lt;&gt;"",INDEX('×入力'!$A$1:$L$1300,230,2+U$2)&lt;&gt;"",INDEX('×入力'!$A$1:$L$1300,231+U$3,1)&lt;&gt;""),1,0),0)</f>
        <v/>
      </c>
      <c r="V18">
        <f>IF(V$4=1,IF(OR(INDEX('×入力'!$A$1:$L$1300,231+V$3,2+V$2)&lt;&gt;"",INDEX('×入力'!$A$1:$L$1300,230,2+V$2)&lt;&gt;"",INDEX('×入力'!$A$1:$L$1300,231+V$3,1)&lt;&gt;""),1,0),0)</f>
        <v/>
      </c>
      <c r="W18">
        <f>IF(W$4=1,IF(OR(INDEX('×入力'!$A$1:$L$1300,231+W$3,2+W$2)&lt;&gt;"",INDEX('×入力'!$A$1:$L$1300,230,2+W$2)&lt;&gt;"",INDEX('×入力'!$A$1:$L$1300,231+W$3,1)&lt;&gt;""),1,0),0)</f>
        <v/>
      </c>
      <c r="X18">
        <f>IF(X$4=1,IF(OR(INDEX('×入力'!$A$1:$L$1300,231+X$3,2+X$2)&lt;&gt;"",INDEX('×入力'!$A$1:$L$1300,230,2+X$2)&lt;&gt;"",INDEX('×入力'!$A$1:$L$1300,231+X$3,1)&lt;&gt;""),1,0),0)</f>
        <v/>
      </c>
      <c r="Y18">
        <f>IF(Y$4=1,IF(OR(INDEX('×入力'!$A$1:$L$1300,231+Y$3,2+Y$2)&lt;&gt;"",INDEX('×入力'!$A$1:$L$1300,230,2+Y$2)&lt;&gt;"",INDEX('×入力'!$A$1:$L$1300,231+Y$3,1)&lt;&gt;""),1,0),0)</f>
        <v/>
      </c>
      <c r="Z18">
        <f>IF(Z$4=1,IF(OR(INDEX('×入力'!$A$1:$L$1300,231+Z$3,2+Z$2)&lt;&gt;"",INDEX('×入力'!$A$1:$L$1300,230,2+Z$2)&lt;&gt;"",INDEX('×入力'!$A$1:$L$1300,231+Z$3,1)&lt;&gt;""),1,0),0)</f>
        <v/>
      </c>
      <c r="AA18">
        <f>IF(AA$4=1,IF(OR(INDEX('×入力'!$A$1:$L$1300,231+AA$3,2+AA$2)&lt;&gt;"",INDEX('×入力'!$A$1:$L$1300,230,2+AA$2)&lt;&gt;"",INDEX('×入力'!$A$1:$L$1300,231+AA$3,1)&lt;&gt;""),1,0),0)</f>
        <v/>
      </c>
      <c r="AB18">
        <f>IF(AB$4=1,IF(OR(INDEX('×入力'!$A$1:$L$1300,231+AB$3,2+AB$2)&lt;&gt;"",INDEX('×入力'!$A$1:$L$1300,230,2+AB$2)&lt;&gt;"",INDEX('×入力'!$A$1:$L$1300,231+AB$3,1)&lt;&gt;""),1,0),0)</f>
        <v/>
      </c>
      <c r="AC18">
        <f>IF(AC$4=1,IF(OR(INDEX('×入力'!$A$1:$L$1300,231+AC$3,2+AC$2)&lt;&gt;"",INDEX('×入力'!$A$1:$L$1300,230,2+AC$2)&lt;&gt;"",INDEX('×入力'!$A$1:$L$1300,231+AC$3,1)&lt;&gt;""),1,0),0)</f>
        <v/>
      </c>
      <c r="AD18">
        <f>IF(AD$4=1,IF(OR(INDEX('×入力'!$A$1:$L$1300,231+AD$3,2+AD$2)&lt;&gt;"",INDEX('×入力'!$A$1:$L$1300,230,2+AD$2)&lt;&gt;"",INDEX('×入力'!$A$1:$L$1300,231+AD$3,1)&lt;&gt;""),1,0),0)</f>
        <v/>
      </c>
      <c r="AE18">
        <f>IF(AE$4=1,IF(OR(INDEX('×入力'!$A$1:$L$1300,231+AE$3,2+AE$2)&lt;&gt;"",INDEX('×入力'!$A$1:$L$1300,230,2+AE$2)&lt;&gt;"",INDEX('×入力'!$A$1:$L$1300,231+AE$3,1)&lt;&gt;""),1,0),0)</f>
        <v/>
      </c>
      <c r="AF18">
        <f>IF(AF$4=1,IF(OR(INDEX('×入力'!$A$1:$L$1300,231+AF$3,2+AF$2)&lt;&gt;"",INDEX('×入力'!$A$1:$L$1300,230,2+AF$2)&lt;&gt;"",INDEX('×入力'!$A$1:$L$1300,231+AF$3,1)&lt;&gt;""),1,0),0)</f>
        <v/>
      </c>
      <c r="AG18">
        <f>IF(AG$4=1,IF(OR(INDEX('×入力'!$A$1:$L$1300,231+AG$3,2+AG$2)&lt;&gt;"",INDEX('×入力'!$A$1:$L$1300,230,2+AG$2)&lt;&gt;"",INDEX('×入力'!$A$1:$L$1300,231+AG$3,1)&lt;&gt;""),1,0),0)</f>
        <v/>
      </c>
      <c r="AH18">
        <f>IF(AH$4=1,IF(OR(INDEX('×入力'!$A$1:$L$1300,231+AH$3,2+AH$2)&lt;&gt;"",INDEX('×入力'!$A$1:$L$1300,230,2+AH$2)&lt;&gt;"",INDEX('×入力'!$A$1:$L$1300,231+AH$3,1)&lt;&gt;""),1,0),0)</f>
        <v/>
      </c>
      <c r="AI18">
        <f>IF(AI$4=1,IF(OR(INDEX('×入力'!$A$1:$L$1300,231+AI$3,2+AI$2)&lt;&gt;"",INDEX('×入力'!$A$1:$L$1300,230,2+AI$2)&lt;&gt;"",INDEX('×入力'!$A$1:$L$1300,231+AI$3,1)&lt;&gt;""),1,0),0)</f>
        <v/>
      </c>
      <c r="AJ18">
        <f>IF(AJ$4=1,IF(OR(INDEX('×入力'!$A$1:$L$1300,231+AJ$3,2+AJ$2)&lt;&gt;"",INDEX('×入力'!$A$1:$L$1300,230,2+AJ$2)&lt;&gt;"",INDEX('×入力'!$A$1:$L$1300,231+AJ$3,1)&lt;&gt;""),1,0),0)</f>
        <v/>
      </c>
      <c r="AK18">
        <f>IF(AK$4=1,IF(OR(INDEX('×入力'!$A$1:$L$1300,231+AK$3,2+AK$2)&lt;&gt;"",INDEX('×入力'!$A$1:$L$1300,230,2+AK$2)&lt;&gt;"",INDEX('×入力'!$A$1:$L$1300,231+AK$3,1)&lt;&gt;""),1,0),0)</f>
        <v/>
      </c>
      <c r="AL18">
        <f>IF(AL$4=1,IF(OR(INDEX('×入力'!$A$1:$L$1300,231+AL$3,2+AL$2)&lt;&gt;"",INDEX('×入力'!$A$1:$L$1300,230,2+AL$2)&lt;&gt;"",INDEX('×入力'!$A$1:$L$1300,231+AL$3,1)&lt;&gt;""),1,0),0)</f>
        <v/>
      </c>
      <c r="AM18">
        <f>IF(AM$4=1,IF(OR(INDEX('×入力'!$A$1:$L$1300,231+AM$3,2+AM$2)&lt;&gt;"",INDEX('×入力'!$A$1:$L$1300,230,2+AM$2)&lt;&gt;"",INDEX('×入力'!$A$1:$L$1300,231+AM$3,1)&lt;&gt;""),1,0),0)</f>
        <v/>
      </c>
      <c r="AN18">
        <f>IF(AN$4=1,IF(OR(INDEX('×入力'!$A$1:$L$1300,231+AN$3,2+AN$2)&lt;&gt;"",INDEX('×入力'!$A$1:$L$1300,230,2+AN$2)&lt;&gt;"",INDEX('×入力'!$A$1:$L$1300,231+AN$3,1)&lt;&gt;""),1,0),0)</f>
        <v/>
      </c>
      <c r="AO18">
        <f>IF(AO$4=1,IF(OR(INDEX('×入力'!$A$1:$L$1300,231+AO$3,2+AO$2)&lt;&gt;"",INDEX('×入力'!$A$1:$L$1300,230,2+AO$2)&lt;&gt;"",INDEX('×入力'!$A$1:$L$1300,231+AO$3,1)&lt;&gt;""),1,0),0)</f>
        <v/>
      </c>
      <c r="AP18">
        <f>IF(AP$4=1,IF(OR(INDEX('×入力'!$A$1:$L$1300,231+AP$3,2+AP$2)&lt;&gt;"",INDEX('×入力'!$A$1:$L$1300,230,2+AP$2)&lt;&gt;"",INDEX('×入力'!$A$1:$L$1300,231+AP$3,1)&lt;&gt;""),1,0),0)</f>
        <v/>
      </c>
      <c r="AQ18">
        <f>IF(AQ$4=1,IF(OR(INDEX('×入力'!$A$1:$L$1300,231+AQ$3,2+AQ$2)&lt;&gt;"",INDEX('×入力'!$A$1:$L$1300,230,2+AQ$2)&lt;&gt;"",INDEX('×入力'!$A$1:$L$1300,231+AQ$3,1)&lt;&gt;""),1,0),0)</f>
        <v/>
      </c>
      <c r="AR18">
        <f>IF(AR$4=1,IF(OR(INDEX('×入力'!$A$1:$L$1300,231+AR$3,2+AR$2)&lt;&gt;"",INDEX('×入力'!$A$1:$L$1300,230,2+AR$2)&lt;&gt;"",INDEX('×入力'!$A$1:$L$1300,231+AR$3,1)&lt;&gt;""),1,0),0)</f>
        <v/>
      </c>
      <c r="AS18">
        <f>IF(AS$4=1,IF(OR(INDEX('×入力'!$A$1:$L$1300,231+AS$3,2+AS$2)&lt;&gt;"",INDEX('×入力'!$A$1:$L$1300,230,2+AS$2)&lt;&gt;"",INDEX('×入力'!$A$1:$L$1300,231+AS$3,1)&lt;&gt;""),1,0),0)</f>
        <v/>
      </c>
      <c r="AT18">
        <f>IF(AT$4=1,IF(OR(INDEX('×入力'!$A$1:$L$1300,231+AT$3,2+AT$2)&lt;&gt;"",INDEX('×入力'!$A$1:$L$1300,230,2+AT$2)&lt;&gt;"",INDEX('×入力'!$A$1:$L$1300,231+AT$3,1)&lt;&gt;""),1,0),0)</f>
        <v/>
      </c>
      <c r="AU18">
        <f>IF(AU$4=1,IF(OR(INDEX('×入力'!$A$1:$L$1300,231+AU$3,2+AU$2)&lt;&gt;"",INDEX('×入力'!$A$1:$L$1300,230,2+AU$2)&lt;&gt;"",INDEX('×入力'!$A$1:$L$1300,231+AU$3,1)&lt;&gt;""),1,0),0)</f>
        <v/>
      </c>
      <c r="AV18">
        <f>IF(AV$4=1,IF(OR(INDEX('×入力'!$A$1:$L$1300,231+AV$3,2+AV$2)&lt;&gt;"",INDEX('×入力'!$A$1:$L$1300,230,2+AV$2)&lt;&gt;"",INDEX('×入力'!$A$1:$L$1300,231+AV$3,1)&lt;&gt;""),1,0),0)</f>
        <v/>
      </c>
      <c r="AW18">
        <f>IF(AW$4=1,IF(OR(INDEX('×入力'!$A$1:$L$1300,231+AW$3,2+AW$2)&lt;&gt;"",INDEX('×入力'!$A$1:$L$1300,230,2+AW$2)&lt;&gt;"",INDEX('×入力'!$A$1:$L$1300,231+AW$3,1)&lt;&gt;""),1,0),0)</f>
        <v/>
      </c>
      <c r="AX18">
        <f>IF(AX$4=1,IF(OR(INDEX('×入力'!$A$1:$L$1300,231+AX$3,2+AX$2)&lt;&gt;"",INDEX('×入力'!$A$1:$L$1300,230,2+AX$2)&lt;&gt;"",INDEX('×入力'!$A$1:$L$1300,231+AX$3,1)&lt;&gt;""),1,0),0)</f>
        <v/>
      </c>
      <c r="AY18">
        <f>IF(AY$4=1,IF(OR(INDEX('×入力'!$A$1:$L$1300,231+AY$3,2+AY$2)&lt;&gt;"",INDEX('×入力'!$A$1:$L$1300,230,2+AY$2)&lt;&gt;"",INDEX('×入力'!$A$1:$L$1300,231+AY$3,1)&lt;&gt;""),1,0),0)</f>
        <v/>
      </c>
      <c r="AZ18">
        <f>IF(AZ$4=1,IF(OR(INDEX('×入力'!$A$1:$L$1300,231+AZ$3,2+AZ$2)&lt;&gt;"",INDEX('×入力'!$A$1:$L$1300,230,2+AZ$2)&lt;&gt;"",INDEX('×入力'!$A$1:$L$1300,231+AZ$3,1)&lt;&gt;""),1,0),0)</f>
        <v/>
      </c>
      <c r="BA18">
        <f>IF(BA$4=1,IF(OR(INDEX('×入力'!$A$1:$L$1300,231+BA$3,2+BA$2)&lt;&gt;"",INDEX('×入力'!$A$1:$L$1300,230,2+BA$2)&lt;&gt;"",INDEX('×入力'!$A$1:$L$1300,231+BA$3,1)&lt;&gt;""),1,0),0)</f>
        <v/>
      </c>
      <c r="BB18">
        <f>IF(BB$4=1,IF(OR(INDEX('×入力'!$A$1:$L$1300,231+BB$3,2+BB$2)&lt;&gt;"",INDEX('×入力'!$A$1:$L$1300,230,2+BB$2)&lt;&gt;"",INDEX('×入力'!$A$1:$L$1300,231+BB$3,1)&lt;&gt;""),1,0),0)</f>
        <v/>
      </c>
      <c r="BC18">
        <f>IF(BC$4=1,IF(OR(INDEX('×入力'!$A$1:$L$1300,231+BC$3,2+BC$2)&lt;&gt;"",INDEX('×入力'!$A$1:$L$1300,230,2+BC$2)&lt;&gt;"",INDEX('×入力'!$A$1:$L$1300,231+BC$3,1)&lt;&gt;""),1,0),0)</f>
        <v/>
      </c>
      <c r="BD18">
        <f>IF(BD$4=1,IF(OR(INDEX('×入力'!$A$1:$L$1300,231+BD$3,2+BD$2)&lt;&gt;"",INDEX('×入力'!$A$1:$L$1300,230,2+BD$2)&lt;&gt;"",INDEX('×入力'!$A$1:$L$1300,231+BD$3,1)&lt;&gt;""),1,0),0)</f>
        <v/>
      </c>
      <c r="BE18">
        <f>IF(BE$4=1,IF(OR(INDEX('×入力'!$A$1:$L$1300,231+BE$3,2+BE$2)&lt;&gt;"",INDEX('×入力'!$A$1:$L$1300,230,2+BE$2)&lt;&gt;"",INDEX('×入力'!$A$1:$L$1300,231+BE$3,1)&lt;&gt;""),1,0),0)</f>
        <v/>
      </c>
      <c r="BF18">
        <f>IF(BF$4=1,IF(OR(INDEX('×入力'!$A$1:$L$1300,231+BF$3,2+BF$2)&lt;&gt;"",INDEX('×入力'!$A$1:$L$1300,230,2+BF$2)&lt;&gt;"",INDEX('×入力'!$A$1:$L$1300,231+BF$3,1)&lt;&gt;""),1,0),0)</f>
        <v/>
      </c>
      <c r="BG18">
        <f>IF(BG$4=1,IF(OR(INDEX('×入力'!$A$1:$L$1300,231+BG$3,2+BG$2)&lt;&gt;"",INDEX('×入力'!$A$1:$L$1300,230,2+BG$2)&lt;&gt;"",INDEX('×入力'!$A$1:$L$1300,231+BG$3,1)&lt;&gt;""),1,0),0)</f>
        <v/>
      </c>
      <c r="BH18">
        <f>IF(BH$4=1,IF(OR(INDEX('×入力'!$A$1:$L$1300,231+BH$3,2+BH$2)&lt;&gt;"",INDEX('×入力'!$A$1:$L$1300,230,2+BH$2)&lt;&gt;"",INDEX('×入力'!$A$1:$L$1300,231+BH$3,1)&lt;&gt;""),1,0),0)</f>
        <v/>
      </c>
      <c r="BI18">
        <f>IF(BI$4=1,IF(OR(INDEX('×入力'!$A$1:$L$1300,231+BI$3,2+BI$2)&lt;&gt;"",INDEX('×入力'!$A$1:$L$1300,230,2+BI$2)&lt;&gt;"",INDEX('×入力'!$A$1:$L$1300,231+BI$3,1)&lt;&gt;""),1,0),0)</f>
        <v/>
      </c>
      <c r="BJ18">
        <f>IF(BJ$4=1,IF(OR(INDEX('×入力'!$A$1:$L$1300,231+BJ$3,2+BJ$2)&lt;&gt;"",INDEX('×入力'!$A$1:$L$1300,230,2+BJ$2)&lt;&gt;"",INDEX('×入力'!$A$1:$L$1300,231+BJ$3,1)&lt;&gt;""),1,0),0)</f>
        <v/>
      </c>
      <c r="BK18">
        <f>IF(BK$4=1,IF(OR(INDEX('×入力'!$A$1:$L$1300,231+BK$3,2+BK$2)&lt;&gt;"",INDEX('×入力'!$A$1:$L$1300,230,2+BK$2)&lt;&gt;"",INDEX('×入力'!$A$1:$L$1300,231+BK$3,1)&lt;&gt;""),1,0),0)</f>
        <v/>
      </c>
      <c r="BL18">
        <f>IF(BL$4=1,IF(OR(INDEX('×入力'!$A$1:$L$1300,231+BL$3,2+BL$2)&lt;&gt;"",INDEX('×入力'!$A$1:$L$1300,230,2+BL$2)&lt;&gt;"",INDEX('×入力'!$A$1:$L$1300,231+BL$3,1)&lt;&gt;""),1,0),0)</f>
        <v/>
      </c>
      <c r="BM18">
        <f>IF(BM$4=1,IF(OR(INDEX('×入力'!$A$1:$L$1300,231+BM$3,2+BM$2)&lt;&gt;"",INDEX('×入力'!$A$1:$L$1300,230,2+BM$2)&lt;&gt;"",INDEX('×入力'!$A$1:$L$1300,231+BM$3,1)&lt;&gt;""),1,0),0)</f>
        <v/>
      </c>
      <c r="BN18">
        <f>IF(BN$4=1,IF(OR(INDEX('×入力'!$A$1:$L$1300,231+BN$3,2+BN$2)&lt;&gt;"",INDEX('×入力'!$A$1:$L$1300,230,2+BN$2)&lt;&gt;"",INDEX('×入力'!$A$1:$L$1300,231+BN$3,1)&lt;&gt;""),1,0),0)</f>
        <v/>
      </c>
      <c r="BO18">
        <f>IF(BO$4=1,IF(OR(INDEX('×入力'!$A$1:$L$1300,231+BO$3,2+BO$2)&lt;&gt;"",INDEX('×入力'!$A$1:$L$1300,230,2+BO$2)&lt;&gt;"",INDEX('×入力'!$A$1:$L$1300,231+BO$3,1)&lt;&gt;""),1,0),0)</f>
        <v/>
      </c>
      <c r="BP18">
        <f>IF(BP$4=1,IF(OR(INDEX('×入力'!$A$1:$L$1300,231+BP$3,2+BP$2)&lt;&gt;"",INDEX('×入力'!$A$1:$L$1300,230,2+BP$2)&lt;&gt;"",INDEX('×入力'!$A$1:$L$1300,231+BP$3,1)&lt;&gt;""),1,0),0)</f>
        <v/>
      </c>
      <c r="BQ18">
        <f>IF(BQ$4=1,IF(OR(INDEX('×入力'!$A$1:$L$1300,231+BQ$3,2+BQ$2)&lt;&gt;"",INDEX('×入力'!$A$1:$L$1300,230,2+BQ$2)&lt;&gt;"",INDEX('×入力'!$A$1:$L$1300,231+BQ$3,1)&lt;&gt;""),1,0),0)</f>
        <v/>
      </c>
      <c r="BR18">
        <f>IF(BR$4=1,IF(OR(INDEX('×入力'!$A$1:$L$1300,231+BR$3,2+BR$2)&lt;&gt;"",INDEX('×入力'!$A$1:$L$1300,230,2+BR$2)&lt;&gt;"",INDEX('×入力'!$A$1:$L$1300,231+BR$3,1)&lt;&gt;""),1,0),0)</f>
        <v/>
      </c>
      <c r="BS18">
        <f>IF(BS$4=1,IF(OR(INDEX('×入力'!$A$1:$L$1300,231+BS$3,2+BS$2)&lt;&gt;"",INDEX('×入力'!$A$1:$L$1300,230,2+BS$2)&lt;&gt;"",INDEX('×入力'!$A$1:$L$1300,231+BS$3,1)&lt;&gt;""),1,0),0)</f>
        <v/>
      </c>
      <c r="BT18">
        <f>IF(BT$4=1,IF(OR(INDEX('×入力'!$A$1:$L$1300,231+BT$3,2+BT$2)&lt;&gt;"",INDEX('×入力'!$A$1:$L$1300,230,2+BT$2)&lt;&gt;"",INDEX('×入力'!$A$1:$L$1300,231+BT$3,1)&lt;&gt;""),1,0),0)</f>
        <v/>
      </c>
      <c r="BU18">
        <f>IF(BU$4=1,IF(OR(INDEX('×入力'!$A$1:$L$1300,231+BU$3,2+BU$2)&lt;&gt;"",INDEX('×入力'!$A$1:$L$1300,230,2+BU$2)&lt;&gt;"",INDEX('×入力'!$A$1:$L$1300,231+BU$3,1)&lt;&gt;""),1,0),0)</f>
        <v/>
      </c>
      <c r="BV18">
        <f>IF(BV$4=1,IF(OR(INDEX('×入力'!$A$1:$L$1300,231+BV$3,2+BV$2)&lt;&gt;"",INDEX('×入力'!$A$1:$L$1300,230,2+BV$2)&lt;&gt;"",INDEX('×入力'!$A$1:$L$1300,231+BV$3,1)&lt;&gt;""),1,0),0)</f>
        <v/>
      </c>
      <c r="BW18">
        <f>IF(BW$4=1,IF(OR(INDEX('×入力'!$A$1:$L$1300,231+BW$3,2+BW$2)&lt;&gt;"",INDEX('×入力'!$A$1:$L$1300,230,2+BW$2)&lt;&gt;"",INDEX('×入力'!$A$1:$L$1300,231+BW$3,1)&lt;&gt;""),1,0),0)</f>
        <v/>
      </c>
      <c r="BX18">
        <f>IF(BX$4=1,IF(OR(INDEX('×入力'!$A$1:$L$1300,231+BX$3,2+BX$2)&lt;&gt;"",INDEX('×入力'!$A$1:$L$1300,230,2+BX$2)&lt;&gt;"",INDEX('×入力'!$A$1:$L$1300,231+BX$3,1)&lt;&gt;""),1,0),0)</f>
        <v/>
      </c>
      <c r="BY18">
        <f>IF(BY$4=1,IF(OR(INDEX('×入力'!$A$1:$L$1300,231+BY$3,2+BY$2)&lt;&gt;"",INDEX('×入力'!$A$1:$L$1300,230,2+BY$2)&lt;&gt;"",INDEX('×入力'!$A$1:$L$1300,231+BY$3,1)&lt;&gt;""),1,0),0)</f>
        <v/>
      </c>
      <c r="BZ18">
        <f>IF(BZ$4=1,IF(OR(INDEX('×入力'!$A$1:$L$1300,231+BZ$3,2+BZ$2)&lt;&gt;"",INDEX('×入力'!$A$1:$L$1300,230,2+BZ$2)&lt;&gt;"",INDEX('×入力'!$A$1:$L$1300,231+BZ$3,1)&lt;&gt;""),1,0),0)</f>
        <v/>
      </c>
      <c r="CA18">
        <f>IF(CA$4=1,IF(OR(INDEX('×入力'!$A$1:$L$1300,231+CA$3,2+CA$2)&lt;&gt;"",INDEX('×入力'!$A$1:$L$1300,230,2+CA$2)&lt;&gt;"",INDEX('×入力'!$A$1:$L$1300,231+CA$3,1)&lt;&gt;""),1,0),0)</f>
        <v/>
      </c>
      <c r="CB18">
        <f>IF(CB$4=1,IF(OR(INDEX('×入力'!$A$1:$L$1300,231+CB$3,2+CB$2)&lt;&gt;"",INDEX('×入力'!$A$1:$L$1300,230,2+CB$2)&lt;&gt;"",INDEX('×入力'!$A$1:$L$1300,231+CB$3,1)&lt;&gt;""),1,0),0)</f>
        <v/>
      </c>
      <c r="CC18">
        <f>IF(CC$4=1,IF(OR(INDEX('×入力'!$A$1:$L$1300,231+CC$3,2+CC$2)&lt;&gt;"",INDEX('×入力'!$A$1:$L$1300,230,2+CC$2)&lt;&gt;"",INDEX('×入力'!$A$1:$L$1300,231+CC$3,1)&lt;&gt;""),1,0),0)</f>
        <v/>
      </c>
      <c r="CD18">
        <f>IF(CD$4=1,IF(OR(INDEX('×入力'!$A$1:$L$1300,231+CD$3,2+CD$2)&lt;&gt;"",INDEX('×入力'!$A$1:$L$1300,230,2+CD$2)&lt;&gt;"",INDEX('×入力'!$A$1:$L$1300,231+CD$3,1)&lt;&gt;""),1,0),0)</f>
        <v/>
      </c>
      <c r="CE18">
        <f>IF(CE$4=1,IF(OR(INDEX('×入力'!$A$1:$L$1300,231+CE$3,2+CE$2)&lt;&gt;"",INDEX('×入力'!$A$1:$L$1300,230,2+CE$2)&lt;&gt;"",INDEX('×入力'!$A$1:$L$1300,231+CE$3,1)&lt;&gt;""),1,0),0)</f>
        <v/>
      </c>
      <c r="CF18">
        <f>IF(CF$4=1,IF(OR(INDEX('×入力'!$A$1:$L$1300,231+CF$3,2+CF$2)&lt;&gt;"",INDEX('×入力'!$A$1:$L$1300,230,2+CF$2)&lt;&gt;"",INDEX('×入力'!$A$1:$L$1300,231+CF$3,1)&lt;&gt;""),1,0),0)</f>
        <v/>
      </c>
      <c r="CG18">
        <f>IF(CG$4=1,IF(OR(INDEX('×入力'!$A$1:$L$1300,231+CG$3,2+CG$2)&lt;&gt;"",INDEX('×入力'!$A$1:$L$1300,230,2+CG$2)&lt;&gt;"",INDEX('×入力'!$A$1:$L$1300,231+CG$3,1)&lt;&gt;""),1,0),0)</f>
        <v/>
      </c>
      <c r="CH18">
        <f>IF(CH$4=1,IF(OR(INDEX('×入力'!$A$1:$L$1300,231+CH$3,2+CH$2)&lt;&gt;"",INDEX('×入力'!$A$1:$L$1300,230,2+CH$2)&lt;&gt;"",INDEX('×入力'!$A$1:$L$1300,231+CH$3,1)&lt;&gt;""),1,0),0)</f>
        <v/>
      </c>
      <c r="CI18">
        <f>IF(CI$4=1,IF(OR(INDEX('×入力'!$A$1:$L$1300,231+CI$3,2+CI$2)&lt;&gt;"",INDEX('×入力'!$A$1:$L$1300,230,2+CI$2)&lt;&gt;"",INDEX('×入力'!$A$1:$L$1300,231+CI$3,1)&lt;&gt;""),1,0),0)</f>
        <v/>
      </c>
      <c r="CJ18">
        <f>IF(CJ$4=1,IF(OR(INDEX('×入力'!$A$1:$L$1300,231+CJ$3,2+CJ$2)&lt;&gt;"",INDEX('×入力'!$A$1:$L$1300,230,2+CJ$2)&lt;&gt;"",INDEX('×入力'!$A$1:$L$1300,231+CJ$3,1)&lt;&gt;""),1,0),0)</f>
        <v/>
      </c>
      <c r="CK18">
        <f>IF(CK$4=1,IF(OR(INDEX('×入力'!$A$1:$L$1300,231+CK$3,2+CK$2)&lt;&gt;"",INDEX('×入力'!$A$1:$L$1300,230,2+CK$2)&lt;&gt;"",INDEX('×入力'!$A$1:$L$1300,231+CK$3,1)&lt;&gt;""),1,0),0)</f>
        <v/>
      </c>
      <c r="CL18">
        <f>IF(CL$4=1,IF(OR(INDEX('×入力'!$A$1:$L$1300,231+CL$3,2+CL$2)&lt;&gt;"",INDEX('×入力'!$A$1:$L$1300,230,2+CL$2)&lt;&gt;"",INDEX('×入力'!$A$1:$L$1300,231+CL$3,1)&lt;&gt;""),1,0),0)</f>
        <v/>
      </c>
      <c r="CM18">
        <f>IF(CM$4=1,IF(OR(INDEX('×入力'!$A$1:$L$1300,231+CM$3,2+CM$2)&lt;&gt;"",INDEX('×入力'!$A$1:$L$1300,230,2+CM$2)&lt;&gt;"",INDEX('×入力'!$A$1:$L$1300,231+CM$3,1)&lt;&gt;""),1,0),0)</f>
        <v/>
      </c>
      <c r="CN18">
        <f>IF(CN$4=1,IF(OR(INDEX('×入力'!$A$1:$L$1300,231+CN$3,2+CN$2)&lt;&gt;"",INDEX('×入力'!$A$1:$L$1300,230,2+CN$2)&lt;&gt;"",INDEX('×入力'!$A$1:$L$1300,231+CN$3,1)&lt;&gt;""),1,0),0)</f>
        <v/>
      </c>
      <c r="CO18">
        <f>IF(CO$4=1,IF(OR(INDEX('×入力'!$A$1:$L$1300,231+CO$3,2+CO$2)&lt;&gt;"",INDEX('×入力'!$A$1:$L$1300,230,2+CO$2)&lt;&gt;"",INDEX('×入力'!$A$1:$L$1300,231+CO$3,1)&lt;&gt;""),1,0),0)</f>
        <v/>
      </c>
      <c r="CP18">
        <f>IF(CP$4=1,IF(OR(INDEX('×入力'!$A$1:$L$1300,231+CP$3,2+CP$2)&lt;&gt;"",INDEX('×入力'!$A$1:$L$1300,230,2+CP$2)&lt;&gt;"",INDEX('×入力'!$A$1:$L$1300,231+CP$3,1)&lt;&gt;""),1,0),0)</f>
        <v/>
      </c>
      <c r="CQ18">
        <f>IF(CQ$4=1,IF(OR(INDEX('×入力'!$A$1:$L$1300,231+CQ$3,2+CQ$2)&lt;&gt;"",INDEX('×入力'!$A$1:$L$1300,230,2+CQ$2)&lt;&gt;"",INDEX('×入力'!$A$1:$L$1300,231+CQ$3,1)&lt;&gt;""),1,0),0)</f>
        <v/>
      </c>
      <c r="CR18">
        <f>IF(CR$4=1,IF(OR(INDEX('×入力'!$A$1:$L$1300,231+CR$3,2+CR$2)&lt;&gt;"",INDEX('×入力'!$A$1:$L$1300,230,2+CR$2)&lt;&gt;"",INDEX('×入力'!$A$1:$L$1300,231+CR$3,1)&lt;&gt;""),1,0),0)</f>
        <v/>
      </c>
      <c r="CS18">
        <f>IF(CS$4=1,IF(OR(INDEX('×入力'!$A$1:$L$1300,231+CS$3,2+CS$2)&lt;&gt;"",INDEX('×入力'!$A$1:$L$1300,230,2+CS$2)&lt;&gt;"",INDEX('×入力'!$A$1:$L$1300,231+CS$3,1)&lt;&gt;""),1,0),0)</f>
        <v/>
      </c>
      <c r="CT18">
        <f>IF(CT$4=1,IF(OR(INDEX('×入力'!$A$1:$L$1300,231+CT$3,2+CT$2)&lt;&gt;"",INDEX('×入力'!$A$1:$L$1300,230,2+CT$2)&lt;&gt;"",INDEX('×入力'!$A$1:$L$1300,231+CT$3,1)&lt;&gt;""),1,0),0)</f>
        <v/>
      </c>
      <c r="CU18">
        <f>IF(CU$4=1,IF(OR(INDEX('×入力'!$A$1:$L$1300,231+CU$3,2+CU$2)&lt;&gt;"",INDEX('×入力'!$A$1:$L$1300,230,2+CU$2)&lt;&gt;"",INDEX('×入力'!$A$1:$L$1300,231+CU$3,1)&lt;&gt;""),1,0),0)</f>
        <v/>
      </c>
      <c r="CV18">
        <f>IF(CV$4=1,IF(OR(INDEX('×入力'!$A$1:$L$1300,231+CV$3,2+CV$2)&lt;&gt;"",INDEX('×入力'!$A$1:$L$1300,230,2+CV$2)&lt;&gt;"",INDEX('×入力'!$A$1:$L$1300,231+CV$3,1)&lt;&gt;""),1,0),0)</f>
        <v/>
      </c>
      <c r="CW18">
        <f>IF(CW$4=1,IF(OR(INDEX('×入力'!$A$1:$L$1300,231+CW$3,2+CW$2)&lt;&gt;"",INDEX('×入力'!$A$1:$L$1300,230,2+CW$2)&lt;&gt;"",INDEX('×入力'!$A$1:$L$1300,231+CW$3,1)&lt;&gt;""),1,0),0)</f>
        <v/>
      </c>
      <c r="CX18">
        <f>IF(CX$4=1,IF(OR(INDEX('×入力'!$A$1:$L$1300,231+CX$3,2+CX$2)&lt;&gt;"",INDEX('×入力'!$A$1:$L$1300,230,2+CX$2)&lt;&gt;"",INDEX('×入力'!$A$1:$L$1300,231+CX$3,1)&lt;&gt;""),1,0),0)</f>
        <v/>
      </c>
      <c r="CY18">
        <f>IF(CY$4=1,IF(OR(INDEX('×入力'!$A$1:$L$1300,231+CY$3,2+CY$2)&lt;&gt;"",INDEX('×入力'!$A$1:$L$1300,230,2+CY$2)&lt;&gt;"",INDEX('×入力'!$A$1:$L$1300,231+CY$3,1)&lt;&gt;""),1,0),0)</f>
        <v/>
      </c>
      <c r="CZ18">
        <f>IF(CZ$4=1,IF(OR(INDEX('×入力'!$A$1:$L$1300,231+CZ$3,2+CZ$2)&lt;&gt;"",INDEX('×入力'!$A$1:$L$1300,230,2+CZ$2)&lt;&gt;"",INDEX('×入力'!$A$1:$L$1300,231+CZ$3,1)&lt;&gt;""),1,0),0)</f>
        <v/>
      </c>
      <c r="DA18">
        <f>IF(DA$4=1,IF(OR(INDEX('×入力'!$A$1:$L$1300,231+DA$3,2+DA$2)&lt;&gt;"",INDEX('×入力'!$A$1:$L$1300,230,2+DA$2)&lt;&gt;"",INDEX('×入力'!$A$1:$L$1300,231+DA$3,1)&lt;&gt;""),1,0),0)</f>
        <v/>
      </c>
      <c r="DB18">
        <f>IF(DB$4=1,IF(OR(INDEX('×入力'!$A$1:$L$1300,231+DB$3,2+DB$2)&lt;&gt;"",INDEX('×入力'!$A$1:$L$1300,230,2+DB$2)&lt;&gt;"",INDEX('×入力'!$A$1:$L$1300,231+DB$3,1)&lt;&gt;""),1,0),0)</f>
        <v/>
      </c>
      <c r="DC18">
        <f>IF(DC$4=1,IF(OR(INDEX('×入力'!$A$1:$L$1300,231+DC$3,2+DC$2)&lt;&gt;"",INDEX('×入力'!$A$1:$L$1300,230,2+DC$2)&lt;&gt;"",INDEX('×入力'!$A$1:$L$1300,231+DC$3,1)&lt;&gt;""),1,0),0)</f>
        <v/>
      </c>
      <c r="DD18">
        <f>IF(DD$4=1,IF(OR(INDEX('×入力'!$A$1:$L$1300,231+DD$3,2+DD$2)&lt;&gt;"",INDEX('×入力'!$A$1:$L$1300,230,2+DD$2)&lt;&gt;"",INDEX('×入力'!$A$1:$L$1300,231+DD$3,1)&lt;&gt;""),1,0),0)</f>
        <v/>
      </c>
      <c r="DE18">
        <f>IF(DE$4=1,IF(OR(INDEX('×入力'!$A$1:$L$1300,231+DE$3,2+DE$2)&lt;&gt;"",INDEX('×入力'!$A$1:$L$1300,230,2+DE$2)&lt;&gt;"",INDEX('×入力'!$A$1:$L$1300,231+DE$3,1)&lt;&gt;""),1,0),0)</f>
        <v/>
      </c>
      <c r="DF18">
        <f>IF(DF$4=1,IF(OR(INDEX('×入力'!$A$1:$L$1300,231+DF$3,2+DF$2)&lt;&gt;"",INDEX('×入力'!$A$1:$L$1300,230,2+DF$2)&lt;&gt;"",INDEX('×入力'!$A$1:$L$1300,231+DF$3,1)&lt;&gt;""),1,0),0)</f>
        <v/>
      </c>
      <c r="DG18">
        <f>IF(DG$4=1,IF(OR(INDEX('×入力'!$A$1:$L$1300,231+DG$3,2+DG$2)&lt;&gt;"",INDEX('×入力'!$A$1:$L$1300,230,2+DG$2)&lt;&gt;"",INDEX('×入力'!$A$1:$L$1300,231+DG$3,1)&lt;&gt;""),1,0),0)</f>
        <v/>
      </c>
      <c r="DH18">
        <f>IF(DH$4=1,IF(OR(INDEX('×入力'!$A$1:$L$1300,231+DH$3,2+DH$2)&lt;&gt;"",INDEX('×入力'!$A$1:$L$1300,230,2+DH$2)&lt;&gt;"",INDEX('×入力'!$A$1:$L$1300,231+DH$3,1)&lt;&gt;""),1,0),0)</f>
        <v/>
      </c>
      <c r="DI18">
        <f>IF(DI$4=1,IF(OR(INDEX('×入力'!$A$1:$L$1300,231+DI$3,2+DI$2)&lt;&gt;"",INDEX('×入力'!$A$1:$L$1300,230,2+DI$2)&lt;&gt;"",INDEX('×入力'!$A$1:$L$1300,231+DI$3,1)&lt;&gt;""),1,0),0)</f>
        <v/>
      </c>
      <c r="DJ18">
        <f>IF(DJ$4=1,IF(OR(INDEX('×入力'!$A$1:$L$1300,231+DJ$3,2+DJ$2)&lt;&gt;"",INDEX('×入力'!$A$1:$L$1300,230,2+DJ$2)&lt;&gt;"",INDEX('×入力'!$A$1:$L$1300,231+DJ$3,1)&lt;&gt;""),1,0),0)</f>
        <v/>
      </c>
      <c r="DK18">
        <f>IF(DK$4=1,IF(OR(INDEX('×入力'!$A$1:$L$1300,231+DK$3,2+DK$2)&lt;&gt;"",INDEX('×入力'!$A$1:$L$1300,230,2+DK$2)&lt;&gt;"",INDEX('×入力'!$A$1:$L$1300,231+DK$3,1)&lt;&gt;""),1,0),0)</f>
        <v/>
      </c>
      <c r="DL18">
        <f>IF(DL$4=1,IF(OR(INDEX('×入力'!$A$1:$L$1300,231+DL$3,2+DL$2)&lt;&gt;"",INDEX('×入力'!$A$1:$L$1300,230,2+DL$2)&lt;&gt;"",INDEX('×入力'!$A$1:$L$1300,231+DL$3,1)&lt;&gt;""),1,0),0)</f>
        <v/>
      </c>
      <c r="DM18">
        <f>IF(DM$4=1,IF(OR(INDEX('×入力'!$A$1:$L$1300,231+DM$3,2+DM$2)&lt;&gt;"",INDEX('×入力'!$A$1:$L$1300,230,2+DM$2)&lt;&gt;"",INDEX('×入力'!$A$1:$L$1300,231+DM$3,1)&lt;&gt;""),1,0),0)</f>
        <v/>
      </c>
      <c r="DN18">
        <f>IF(DN$4=1,IF(OR(INDEX('×入力'!$A$1:$L$1300,231+DN$3,2+DN$2)&lt;&gt;"",INDEX('×入力'!$A$1:$L$1300,230,2+DN$2)&lt;&gt;"",INDEX('×入力'!$A$1:$L$1300,231+DN$3,1)&lt;&gt;""),1,0),0)</f>
        <v/>
      </c>
      <c r="DO18">
        <f>IF(DO$4=1,IF(OR(INDEX('×入力'!$A$1:$L$1300,231+DO$3,2+DO$2)&lt;&gt;"",INDEX('×入力'!$A$1:$L$1300,230,2+DO$2)&lt;&gt;"",INDEX('×入力'!$A$1:$L$1300,231+DO$3,1)&lt;&gt;""),1,0),0)</f>
        <v/>
      </c>
      <c r="DP18">
        <f>IF(DP$4=1,IF(OR(INDEX('×入力'!$A$1:$L$1300,231+DP$3,2+DP$2)&lt;&gt;"",INDEX('×入力'!$A$1:$L$1300,230,2+DP$2)&lt;&gt;"",INDEX('×入力'!$A$1:$L$1300,231+DP$3,1)&lt;&gt;""),1,0),0)</f>
        <v/>
      </c>
      <c r="DQ18">
        <f>IF(DQ$4=1,IF(OR(INDEX('×入力'!$A$1:$L$1300,231+DQ$3,2+DQ$2)&lt;&gt;"",INDEX('×入力'!$A$1:$L$1300,230,2+DQ$2)&lt;&gt;"",INDEX('×入力'!$A$1:$L$1300,231+DQ$3,1)&lt;&gt;""),1,0),0)</f>
        <v/>
      </c>
      <c r="DR18">
        <f>IF(DR$4=1,IF(OR(INDEX('×入力'!$A$1:$L$1300,231+DR$3,2+DR$2)&lt;&gt;"",INDEX('×入力'!$A$1:$L$1300,230,2+DR$2)&lt;&gt;"",INDEX('×入力'!$A$1:$L$1300,231+DR$3,1)&lt;&gt;""),1,0),0)</f>
        <v/>
      </c>
      <c r="DS18">
        <f>IF(DS$4=1,IF(OR(INDEX('×入力'!$A$1:$L$1300,231+DS$3,2+DS$2)&lt;&gt;"",INDEX('×入力'!$A$1:$L$1300,230,2+DS$2)&lt;&gt;"",INDEX('×入力'!$A$1:$L$1300,231+DS$3,1)&lt;&gt;""),1,0),0)</f>
        <v/>
      </c>
      <c r="DT18">
        <f>IF(DT$4=1,IF(OR(INDEX('×入力'!$A$1:$L$1300,231+DT$3,2+DT$2)&lt;&gt;"",INDEX('×入力'!$A$1:$L$1300,230,2+DT$2)&lt;&gt;"",INDEX('×入力'!$A$1:$L$1300,231+DT$3,1)&lt;&gt;""),1,0),0)</f>
        <v/>
      </c>
      <c r="DU18">
        <f>IF(DU$4=1,IF(OR(INDEX('×入力'!$A$1:$L$1300,231+DU$3,2+DU$2)&lt;&gt;"",INDEX('×入力'!$A$1:$L$1300,230,2+DU$2)&lt;&gt;"",INDEX('×入力'!$A$1:$L$1300,231+DU$3,1)&lt;&gt;""),1,0),0)</f>
        <v/>
      </c>
      <c r="DV18">
        <f>IF(DV$4=1,IF(OR(INDEX('×入力'!$A$1:$L$1300,231+DV$3,2+DV$2)&lt;&gt;"",INDEX('×入力'!$A$1:$L$1300,230,2+DV$2)&lt;&gt;"",INDEX('×入力'!$A$1:$L$1300,231+DV$3,1)&lt;&gt;""),1,0),0)</f>
        <v/>
      </c>
      <c r="DW18">
        <f>IF(DW$4=1,IF(OR(INDEX('×入力'!$A$1:$L$1300,231+DW$3,2+DW$2)&lt;&gt;"",INDEX('×入力'!$A$1:$L$1300,230,2+DW$2)&lt;&gt;"",INDEX('×入力'!$A$1:$L$1300,231+DW$3,1)&lt;&gt;""),1,0),0)</f>
        <v/>
      </c>
      <c r="DX18">
        <f>IF(DX$4=1,IF(OR(INDEX('×入力'!$A$1:$L$1300,231+DX$3,2+DX$2)&lt;&gt;"",INDEX('×入力'!$A$1:$L$1300,230,2+DX$2)&lt;&gt;"",INDEX('×入力'!$A$1:$L$1300,231+DX$3,1)&lt;&gt;""),1,0),0)</f>
        <v/>
      </c>
      <c r="DY18">
        <f>IF(DY$4=1,IF(OR(INDEX('×入力'!$A$1:$L$1300,231+DY$3,2+DY$2)&lt;&gt;"",INDEX('×入力'!$A$1:$L$1300,230,2+DY$2)&lt;&gt;"",INDEX('×入力'!$A$1:$L$1300,231+DY$3,1)&lt;&gt;""),1,0),0)</f>
        <v/>
      </c>
      <c r="DZ18">
        <f>IF(DZ$4=1,IF(OR(INDEX('×入力'!$A$1:$L$1300,231+DZ$3,2+DZ$2)&lt;&gt;"",INDEX('×入力'!$A$1:$L$1300,230,2+DZ$2)&lt;&gt;"",INDEX('×入力'!$A$1:$L$1300,231+DZ$3,1)&lt;&gt;""),1,0),0)</f>
        <v/>
      </c>
      <c r="EA18">
        <f>IF(EA$4=1,IF(OR(INDEX('×入力'!$A$1:$L$1300,231+EA$3,2+EA$2)&lt;&gt;"",INDEX('×入力'!$A$1:$L$1300,230,2+EA$2)&lt;&gt;"",INDEX('×入力'!$A$1:$L$1300,231+EA$3,1)&lt;&gt;""),1,0),0)</f>
        <v/>
      </c>
      <c r="EB18">
        <f>IF(EB$4=1,IF(OR(INDEX('×入力'!$A$1:$L$1300,231+EB$3,2+EB$2)&lt;&gt;"",INDEX('×入力'!$A$1:$L$1300,230,2+EB$2)&lt;&gt;"",INDEX('×入力'!$A$1:$L$1300,231+EB$3,1)&lt;&gt;""),1,0),0)</f>
        <v/>
      </c>
      <c r="EC18">
        <f>IF(EC$4=1,IF(OR(INDEX('×入力'!$A$1:$L$1300,231+EC$3,2+EC$2)&lt;&gt;"",INDEX('×入力'!$A$1:$L$1300,230,2+EC$2)&lt;&gt;"",INDEX('×入力'!$A$1:$L$1300,231+EC$3,1)&lt;&gt;""),1,0),0)</f>
        <v/>
      </c>
      <c r="ED18">
        <f>IF(ED$4=1,IF(OR(INDEX('×入力'!$A$1:$L$1300,231+ED$3,2+ED$2)&lt;&gt;"",INDEX('×入力'!$A$1:$L$1300,230,2+ED$2)&lt;&gt;"",INDEX('×入力'!$A$1:$L$1300,231+ED$3,1)&lt;&gt;""),1,0),0)</f>
        <v/>
      </c>
      <c r="EE18">
        <f>IF(EE$4=1,IF(OR(INDEX('×入力'!$A$1:$L$1300,231+EE$3,2+EE$2)&lt;&gt;"",INDEX('×入力'!$A$1:$L$1300,230,2+EE$2)&lt;&gt;"",INDEX('×入力'!$A$1:$L$1300,231+EE$3,1)&lt;&gt;""),1,0),0)</f>
        <v/>
      </c>
      <c r="EF18">
        <f>IF(EF$4=1,IF(OR(INDEX('×入力'!$A$1:$L$1300,231+EF$3,2+EF$2)&lt;&gt;"",INDEX('×入力'!$A$1:$L$1300,230,2+EF$2)&lt;&gt;"",INDEX('×入力'!$A$1:$L$1300,231+EF$3,1)&lt;&gt;""),1,0),0)</f>
        <v/>
      </c>
      <c r="EG18">
        <f>IF(EG$4=1,IF(OR(INDEX('×入力'!$A$1:$L$1300,231+EG$3,2+EG$2)&lt;&gt;"",INDEX('×入力'!$A$1:$L$1300,230,2+EG$2)&lt;&gt;"",INDEX('×入力'!$A$1:$L$1300,231+EG$3,1)&lt;&gt;""),1,0),0)</f>
        <v/>
      </c>
      <c r="EH18">
        <f>IF(EH$4=1,IF(OR(INDEX('×入力'!$A$1:$L$1300,231+EH$3,2+EH$2)&lt;&gt;"",INDEX('×入力'!$A$1:$L$1300,230,2+EH$2)&lt;&gt;"",INDEX('×入力'!$A$1:$L$1300,231+EH$3,1)&lt;&gt;""),1,0),0)</f>
        <v/>
      </c>
      <c r="EI18">
        <f>IF(EI$4=1,IF(OR(INDEX('×入力'!$A$1:$L$1300,231+EI$3,2+EI$2)&lt;&gt;"",INDEX('×入力'!$A$1:$L$1300,230,2+EI$2)&lt;&gt;"",INDEX('×入力'!$A$1:$L$1300,231+EI$3,1)&lt;&gt;""),1,0),0)</f>
        <v/>
      </c>
      <c r="EJ18">
        <f>IF(EJ$4=1,IF(OR(INDEX('×入力'!$A$1:$L$1300,231+EJ$3,2+EJ$2)&lt;&gt;"",INDEX('×入力'!$A$1:$L$1300,230,2+EJ$2)&lt;&gt;"",INDEX('×入力'!$A$1:$L$1300,231+EJ$3,1)&lt;&gt;""),1,0),0)</f>
        <v/>
      </c>
      <c r="EK18">
        <f>IF(EK$4=1,IF(OR(INDEX('×入力'!$A$1:$L$1300,231+EK$3,2+EK$2)&lt;&gt;"",INDEX('×入力'!$A$1:$L$1300,230,2+EK$2)&lt;&gt;"",INDEX('×入力'!$A$1:$L$1300,231+EK$3,1)&lt;&gt;""),1,0),0)</f>
        <v/>
      </c>
      <c r="EL18">
        <f>IF(EL$4=1,IF(OR(INDEX('×入力'!$A$1:$L$1300,231+EL$3,2+EL$2)&lt;&gt;"",INDEX('×入力'!$A$1:$L$1300,230,2+EL$2)&lt;&gt;"",INDEX('×入力'!$A$1:$L$1300,231+EL$3,1)&lt;&gt;""),1,0),0)</f>
        <v/>
      </c>
      <c r="EM18">
        <f>IF(EM$4=1,IF(OR(INDEX('×入力'!$A$1:$L$1300,231+EM$3,2+EM$2)&lt;&gt;"",INDEX('×入力'!$A$1:$L$1300,230,2+EM$2)&lt;&gt;"",INDEX('×入力'!$A$1:$L$1300,231+EM$3,1)&lt;&gt;""),1,0),0)</f>
        <v/>
      </c>
      <c r="EN18">
        <f>IF(EN$4=1,IF(OR(INDEX('×入力'!$A$1:$L$1300,231+EN$3,2+EN$2)&lt;&gt;"",INDEX('×入力'!$A$1:$L$1300,230,2+EN$2)&lt;&gt;"",INDEX('×入力'!$A$1:$L$1300,231+EN$3,1)&lt;&gt;""),1,0),0)</f>
        <v/>
      </c>
      <c r="EO18">
        <f>IF(EO$4=1,IF(OR(INDEX('×入力'!$A$1:$L$1300,231+EO$3,2+EO$2)&lt;&gt;"",INDEX('×入力'!$A$1:$L$1300,230,2+EO$2)&lt;&gt;"",INDEX('×入力'!$A$1:$L$1300,231+EO$3,1)&lt;&gt;""),1,0),0)</f>
        <v/>
      </c>
      <c r="EP18">
        <f>IF(EP$4=1,IF(OR(INDEX('×入力'!$A$1:$L$1300,231+EP$3,2+EP$2)&lt;&gt;"",INDEX('×入力'!$A$1:$L$1300,230,2+EP$2)&lt;&gt;"",INDEX('×入力'!$A$1:$L$1300,231+EP$3,1)&lt;&gt;""),1,0),0)</f>
        <v/>
      </c>
      <c r="EQ18">
        <f>IF(EQ$4=1,IF(OR(INDEX('×入力'!$A$1:$L$1300,231+EQ$3,2+EQ$2)&lt;&gt;"",INDEX('×入力'!$A$1:$L$1300,230,2+EQ$2)&lt;&gt;"",INDEX('×入力'!$A$1:$L$1300,231+EQ$3,1)&lt;&gt;""),1,0),0)</f>
        <v/>
      </c>
      <c r="HA18">
        <f>MAX(0,IT18)</f>
        <v/>
      </c>
      <c r="HB18">
        <f>IF(HA18=0,0,INDEX($D$2:$EQ$2,HA18))</f>
        <v/>
      </c>
      <c r="HC18">
        <f>IF(HA18=0,0,INDEX($D$3:$EQ$3,HA18))</f>
        <v/>
      </c>
      <c r="HD18">
        <f>MAX(0,IY18)</f>
        <v/>
      </c>
      <c r="HE18">
        <f>IF(HD18=0,0,INDEX($D$2:$EQ$2,HD18))</f>
        <v/>
      </c>
      <c r="HF18">
        <f>IF(HD18=0,0,INDEX($D$3:$EQ$3,HD18))</f>
        <v/>
      </c>
      <c r="HG18">
        <f>MAX(0,IZ18)</f>
        <v/>
      </c>
      <c r="HH18">
        <f>IF(HG18=0,0,INDEX($D$2:$EQ$2,HG18))</f>
        <v/>
      </c>
      <c r="HI18">
        <f>IF(HG18=0,0,INDEX($D$3:$EQ$3,HG18))</f>
        <v/>
      </c>
      <c r="HJ18">
        <f>IF(AND(HA18&gt;0,HC18&gt;1,OR(HC18-1&lt;&gt;$A$3,$A$4=0)),HA18-1,-1)</f>
        <v/>
      </c>
      <c r="HK18">
        <f>IF(AND(HA18&gt;0,HC18&lt;24,OR(HC18&lt;&gt;$A$3,$A$4=0)),HA18+1,-1)</f>
        <v/>
      </c>
      <c r="HL18">
        <f>IF(AND(HD18&gt;0,HF18&gt;1,OR(HF18-1&lt;&gt;$A$3,$A$4=0)),HD18-1,-1)</f>
        <v/>
      </c>
      <c r="HM18">
        <f>IF(AND(HD18&gt;0,HF18&lt;24,OR(HF18&lt;&gt;$A$3,$A$4=0)),HD18+1,-1)</f>
        <v/>
      </c>
      <c r="HN18">
        <f>IF(AND(HG18&gt;0,HI18&gt;1,OR(HI18-1&lt;&gt;$A$3,$A$4=0)),HG18-1,-1)</f>
        <v/>
      </c>
      <c r="HO18">
        <f>IF(AND(HG18&gt;0,HI18&lt;24,OR(HI18&lt;&gt;$A$3,$A$4=0)),HG18+1,-1)</f>
        <v/>
      </c>
      <c r="IK18">
        <f>IFERROR(INDEX('calcB'!$C$3:$C$47,MATCH(A18,'calcB'!$B$3:$B$47,0)),0)</f>
        <v/>
      </c>
      <c r="IL18">
        <f>IF(AND(C18=1,IK18=0,calcA!$A$6=1),1,0)</f>
        <v/>
      </c>
      <c r="IM18">
        <f>SUMPRODUCT(D68:EQ68*(1-$D$7:$EQ$7))</f>
        <v/>
      </c>
      <c r="IN18">
        <f>SUM(D18:EQ18)</f>
        <v/>
      </c>
      <c r="IO18">
        <f>IF(B18="",0,IF(COUNTIF('調整・決定'!$C$6:$H$29,B18)=1,SUMPRODUCT(('調整・決定'!$C$6:$H$29=B18)*((COLUMN('調整・決定'!$C$6:$H$29)-3)*24+ROW('調整・決定'!$C$6:$H$29)-5)),0))</f>
        <v/>
      </c>
      <c r="IP18">
        <f>IFERROR(MATCH('名簿'!C13,{"早い時刻","遅い時刻","早い日","遅い日"},0),0)</f>
        <v/>
      </c>
      <c r="IQ18">
        <f>IF('名簿'!D13="必ず空けたい",2,IF('名簿'!D13="出来れば空けたい",1,0))</f>
        <v/>
      </c>
      <c r="IR18">
        <f>IFERROR(INDEX('calcC'!$C$3:$C$47,MATCH(A18,'calcC'!$B$3:$B$47,0)),0)</f>
        <v/>
      </c>
      <c r="IS18">
        <f>IF(AND(C18=1,IR18=0,calcA!$A$6=1),1,0)</f>
        <v/>
      </c>
      <c r="IT18">
        <f>IF(OR('名簿'!G13="",'名簿'!H13=""),0,IFERROR((MATCH('名簿'!G13,'設定'!$E$11:$E$16,0)-1)*24+MATCH('名簿'!H13,'設定'!$I$11:$I$34,0),-1))</f>
        <v/>
      </c>
      <c r="IV18">
        <f>IF(OR(JF18=0,IO18=0),1,IF(OR(IF(IT18&gt;0,AND(INDEX($D$2:$EQ$2,IO18)=INDEX($D$2:$EQ$2,IT18),OR(AND(IO18=IT18+1,OR(INDEX($D$3:$EQ$3,IT18)&lt;&gt;$A$3,$A$4=0)),AND(IO18=IT18-1,OR(INDEX($D$3:$EQ$3,IO18)&lt;&gt;$A$3,$A$4=0)))),FALSE),IF(IY18&gt;0,AND(INDEX($D$2:$EQ$2,IO18)=INDEX($D$2:$EQ$2,IY18),OR(AND(IO18=IY18+1,OR(INDEX($D$3:$EQ$3,IY18)&lt;&gt;$A$3,$A$4=0)),AND(IO18=IY18-1,OR(INDEX($D$3:$EQ$3,IO18)&lt;&gt;$A$3,$A$4=0)))),FALSE),IF(IZ18&gt;0,AND(INDEX($D$2:$EQ$2,IO18)=INDEX($D$2:$EQ$2,IZ18),OR(AND(IO18=IZ18+1,OR(INDEX($D$3:$EQ$3,IZ18)&lt;&gt;$A$3,$A$4=0)),AND(IO18=IZ18-1,OR(INDEX($D$3:$EQ$3,IO18)&lt;&gt;$A$3,$A$4=0)))),FALSE)),1,0))</f>
        <v/>
      </c>
      <c r="IW18">
        <f>IF(AND('名簿'!E13&lt;&gt;"",JF18=0),1,0)</f>
        <v/>
      </c>
      <c r="IX18">
        <f>IF('名簿'!D13="空けない",1,0)</f>
        <v/>
      </c>
      <c r="IY18">
        <f>IF(OR('名簿'!J13="",'名簿'!K13=""),0,IFERROR((MATCH('名簿'!J13,'設定'!$E$11:$E$16,0)-1)*24+MATCH('名簿'!K13,'設定'!$I$11:$I$34,0),-1))</f>
        <v/>
      </c>
      <c r="IZ18">
        <f>IF(OR('名簿'!M13="",'名簿'!N13=""),0,IFERROR((MATCH('名簿'!M13,'設定'!$E$11:$E$16,0)-1)*24+MATCH('名簿'!N13,'設定'!$I$11:$I$34,0),-1))</f>
        <v/>
      </c>
      <c r="JC18">
        <f>IF(RIGHT('名簿'!I13,2)="の前",1,IF(RIGHT('名簿'!I13,2)="の後",2,0))</f>
        <v/>
      </c>
      <c r="JD18">
        <f>IF(RIGHT('名簿'!L13,2)="の前",1,IF(RIGHT('名簿'!L13,2)="の後",2,0))</f>
        <v/>
      </c>
      <c r="JE18">
        <f>IF(RIGHT('名簿'!O13,2)="の前",1,IF(RIGHT('名簿'!O13,2)="の後",2,0))</f>
        <v/>
      </c>
      <c r="JF18">
        <f>IF(OR(IT18&gt;0,IY18&gt;0,IZ18&gt;0),1,0)</f>
        <v/>
      </c>
      <c r="JG18">
        <f>IF(OR(IT18&lt;0,IY18&lt;0,IZ18&lt;0),1,0)</f>
        <v/>
      </c>
    </row>
    <row r="19">
      <c r="A19" t="n">
        <v>10</v>
      </c>
      <c r="B19">
        <f>'名簿'!P14</f>
        <v/>
      </c>
      <c r="C19">
        <f>IF(AND(B19&lt;&gt;"",OR('名簿'!Q14="入力済み",'名簿'!Q14="×なし"),IO19=0,COUNTIF('調整・決定'!$C$6:$H$29,B19)=0),1,0)</f>
        <v/>
      </c>
      <c r="D19">
        <f>IF(D$4=1,IF(OR(INDEX('×入力'!$A$1:$L$1300,259+D$3,2+D$2)&lt;&gt;"",INDEX('×入力'!$A$1:$L$1300,258,2+D$2)&lt;&gt;"",INDEX('×入力'!$A$1:$L$1300,259+D$3,1)&lt;&gt;""),1,0),0)</f>
        <v/>
      </c>
      <c r="E19">
        <f>IF(E$4=1,IF(OR(INDEX('×入力'!$A$1:$L$1300,259+E$3,2+E$2)&lt;&gt;"",INDEX('×入力'!$A$1:$L$1300,258,2+E$2)&lt;&gt;"",INDEX('×入力'!$A$1:$L$1300,259+E$3,1)&lt;&gt;""),1,0),0)</f>
        <v/>
      </c>
      <c r="F19">
        <f>IF(F$4=1,IF(OR(INDEX('×入力'!$A$1:$L$1300,259+F$3,2+F$2)&lt;&gt;"",INDEX('×入力'!$A$1:$L$1300,258,2+F$2)&lt;&gt;"",INDEX('×入力'!$A$1:$L$1300,259+F$3,1)&lt;&gt;""),1,0),0)</f>
        <v/>
      </c>
      <c r="G19">
        <f>IF(G$4=1,IF(OR(INDEX('×入力'!$A$1:$L$1300,259+G$3,2+G$2)&lt;&gt;"",INDEX('×入力'!$A$1:$L$1300,258,2+G$2)&lt;&gt;"",INDEX('×入力'!$A$1:$L$1300,259+G$3,1)&lt;&gt;""),1,0),0)</f>
        <v/>
      </c>
      <c r="H19">
        <f>IF(H$4=1,IF(OR(INDEX('×入力'!$A$1:$L$1300,259+H$3,2+H$2)&lt;&gt;"",INDEX('×入力'!$A$1:$L$1300,258,2+H$2)&lt;&gt;"",INDEX('×入力'!$A$1:$L$1300,259+H$3,1)&lt;&gt;""),1,0),0)</f>
        <v/>
      </c>
      <c r="I19">
        <f>IF(I$4=1,IF(OR(INDEX('×入力'!$A$1:$L$1300,259+I$3,2+I$2)&lt;&gt;"",INDEX('×入力'!$A$1:$L$1300,258,2+I$2)&lt;&gt;"",INDEX('×入力'!$A$1:$L$1300,259+I$3,1)&lt;&gt;""),1,0),0)</f>
        <v/>
      </c>
      <c r="J19">
        <f>IF(J$4=1,IF(OR(INDEX('×入力'!$A$1:$L$1300,259+J$3,2+J$2)&lt;&gt;"",INDEX('×入力'!$A$1:$L$1300,258,2+J$2)&lt;&gt;"",INDEX('×入力'!$A$1:$L$1300,259+J$3,1)&lt;&gt;""),1,0),0)</f>
        <v/>
      </c>
      <c r="K19">
        <f>IF(K$4=1,IF(OR(INDEX('×入力'!$A$1:$L$1300,259+K$3,2+K$2)&lt;&gt;"",INDEX('×入力'!$A$1:$L$1300,258,2+K$2)&lt;&gt;"",INDEX('×入力'!$A$1:$L$1300,259+K$3,1)&lt;&gt;""),1,0),0)</f>
        <v/>
      </c>
      <c r="L19">
        <f>IF(L$4=1,IF(OR(INDEX('×入力'!$A$1:$L$1300,259+L$3,2+L$2)&lt;&gt;"",INDEX('×入力'!$A$1:$L$1300,258,2+L$2)&lt;&gt;"",INDEX('×入力'!$A$1:$L$1300,259+L$3,1)&lt;&gt;""),1,0),0)</f>
        <v/>
      </c>
      <c r="M19">
        <f>IF(M$4=1,IF(OR(INDEX('×入力'!$A$1:$L$1300,259+M$3,2+M$2)&lt;&gt;"",INDEX('×入力'!$A$1:$L$1300,258,2+M$2)&lt;&gt;"",INDEX('×入力'!$A$1:$L$1300,259+M$3,1)&lt;&gt;""),1,0),0)</f>
        <v/>
      </c>
      <c r="N19">
        <f>IF(N$4=1,IF(OR(INDEX('×入力'!$A$1:$L$1300,259+N$3,2+N$2)&lt;&gt;"",INDEX('×入力'!$A$1:$L$1300,258,2+N$2)&lt;&gt;"",INDEX('×入力'!$A$1:$L$1300,259+N$3,1)&lt;&gt;""),1,0),0)</f>
        <v/>
      </c>
      <c r="O19">
        <f>IF(O$4=1,IF(OR(INDEX('×入力'!$A$1:$L$1300,259+O$3,2+O$2)&lt;&gt;"",INDEX('×入力'!$A$1:$L$1300,258,2+O$2)&lt;&gt;"",INDEX('×入力'!$A$1:$L$1300,259+O$3,1)&lt;&gt;""),1,0),0)</f>
        <v/>
      </c>
      <c r="P19">
        <f>IF(P$4=1,IF(OR(INDEX('×入力'!$A$1:$L$1300,259+P$3,2+P$2)&lt;&gt;"",INDEX('×入力'!$A$1:$L$1300,258,2+P$2)&lt;&gt;"",INDEX('×入力'!$A$1:$L$1300,259+P$3,1)&lt;&gt;""),1,0),0)</f>
        <v/>
      </c>
      <c r="Q19">
        <f>IF(Q$4=1,IF(OR(INDEX('×入力'!$A$1:$L$1300,259+Q$3,2+Q$2)&lt;&gt;"",INDEX('×入力'!$A$1:$L$1300,258,2+Q$2)&lt;&gt;"",INDEX('×入力'!$A$1:$L$1300,259+Q$3,1)&lt;&gt;""),1,0),0)</f>
        <v/>
      </c>
      <c r="R19">
        <f>IF(R$4=1,IF(OR(INDEX('×入力'!$A$1:$L$1300,259+R$3,2+R$2)&lt;&gt;"",INDEX('×入力'!$A$1:$L$1300,258,2+R$2)&lt;&gt;"",INDEX('×入力'!$A$1:$L$1300,259+R$3,1)&lt;&gt;""),1,0),0)</f>
        <v/>
      </c>
      <c r="S19">
        <f>IF(S$4=1,IF(OR(INDEX('×入力'!$A$1:$L$1300,259+S$3,2+S$2)&lt;&gt;"",INDEX('×入力'!$A$1:$L$1300,258,2+S$2)&lt;&gt;"",INDEX('×入力'!$A$1:$L$1300,259+S$3,1)&lt;&gt;""),1,0),0)</f>
        <v/>
      </c>
      <c r="T19">
        <f>IF(T$4=1,IF(OR(INDEX('×入力'!$A$1:$L$1300,259+T$3,2+T$2)&lt;&gt;"",INDEX('×入力'!$A$1:$L$1300,258,2+T$2)&lt;&gt;"",INDEX('×入力'!$A$1:$L$1300,259+T$3,1)&lt;&gt;""),1,0),0)</f>
        <v/>
      </c>
      <c r="U19">
        <f>IF(U$4=1,IF(OR(INDEX('×入力'!$A$1:$L$1300,259+U$3,2+U$2)&lt;&gt;"",INDEX('×入力'!$A$1:$L$1300,258,2+U$2)&lt;&gt;"",INDEX('×入力'!$A$1:$L$1300,259+U$3,1)&lt;&gt;""),1,0),0)</f>
        <v/>
      </c>
      <c r="V19">
        <f>IF(V$4=1,IF(OR(INDEX('×入力'!$A$1:$L$1300,259+V$3,2+V$2)&lt;&gt;"",INDEX('×入力'!$A$1:$L$1300,258,2+V$2)&lt;&gt;"",INDEX('×入力'!$A$1:$L$1300,259+V$3,1)&lt;&gt;""),1,0),0)</f>
        <v/>
      </c>
      <c r="W19">
        <f>IF(W$4=1,IF(OR(INDEX('×入力'!$A$1:$L$1300,259+W$3,2+W$2)&lt;&gt;"",INDEX('×入力'!$A$1:$L$1300,258,2+W$2)&lt;&gt;"",INDEX('×入力'!$A$1:$L$1300,259+W$3,1)&lt;&gt;""),1,0),0)</f>
        <v/>
      </c>
      <c r="X19">
        <f>IF(X$4=1,IF(OR(INDEX('×入力'!$A$1:$L$1300,259+X$3,2+X$2)&lt;&gt;"",INDEX('×入力'!$A$1:$L$1300,258,2+X$2)&lt;&gt;"",INDEX('×入力'!$A$1:$L$1300,259+X$3,1)&lt;&gt;""),1,0),0)</f>
        <v/>
      </c>
      <c r="Y19">
        <f>IF(Y$4=1,IF(OR(INDEX('×入力'!$A$1:$L$1300,259+Y$3,2+Y$2)&lt;&gt;"",INDEX('×入力'!$A$1:$L$1300,258,2+Y$2)&lt;&gt;"",INDEX('×入力'!$A$1:$L$1300,259+Y$3,1)&lt;&gt;""),1,0),0)</f>
        <v/>
      </c>
      <c r="Z19">
        <f>IF(Z$4=1,IF(OR(INDEX('×入力'!$A$1:$L$1300,259+Z$3,2+Z$2)&lt;&gt;"",INDEX('×入力'!$A$1:$L$1300,258,2+Z$2)&lt;&gt;"",INDEX('×入力'!$A$1:$L$1300,259+Z$3,1)&lt;&gt;""),1,0),0)</f>
        <v/>
      </c>
      <c r="AA19">
        <f>IF(AA$4=1,IF(OR(INDEX('×入力'!$A$1:$L$1300,259+AA$3,2+AA$2)&lt;&gt;"",INDEX('×入力'!$A$1:$L$1300,258,2+AA$2)&lt;&gt;"",INDEX('×入力'!$A$1:$L$1300,259+AA$3,1)&lt;&gt;""),1,0),0)</f>
        <v/>
      </c>
      <c r="AB19">
        <f>IF(AB$4=1,IF(OR(INDEX('×入力'!$A$1:$L$1300,259+AB$3,2+AB$2)&lt;&gt;"",INDEX('×入力'!$A$1:$L$1300,258,2+AB$2)&lt;&gt;"",INDEX('×入力'!$A$1:$L$1300,259+AB$3,1)&lt;&gt;""),1,0),0)</f>
        <v/>
      </c>
      <c r="AC19">
        <f>IF(AC$4=1,IF(OR(INDEX('×入力'!$A$1:$L$1300,259+AC$3,2+AC$2)&lt;&gt;"",INDEX('×入力'!$A$1:$L$1300,258,2+AC$2)&lt;&gt;"",INDEX('×入力'!$A$1:$L$1300,259+AC$3,1)&lt;&gt;""),1,0),0)</f>
        <v/>
      </c>
      <c r="AD19">
        <f>IF(AD$4=1,IF(OR(INDEX('×入力'!$A$1:$L$1300,259+AD$3,2+AD$2)&lt;&gt;"",INDEX('×入力'!$A$1:$L$1300,258,2+AD$2)&lt;&gt;"",INDEX('×入力'!$A$1:$L$1300,259+AD$3,1)&lt;&gt;""),1,0),0)</f>
        <v/>
      </c>
      <c r="AE19">
        <f>IF(AE$4=1,IF(OR(INDEX('×入力'!$A$1:$L$1300,259+AE$3,2+AE$2)&lt;&gt;"",INDEX('×入力'!$A$1:$L$1300,258,2+AE$2)&lt;&gt;"",INDEX('×入力'!$A$1:$L$1300,259+AE$3,1)&lt;&gt;""),1,0),0)</f>
        <v/>
      </c>
      <c r="AF19">
        <f>IF(AF$4=1,IF(OR(INDEX('×入力'!$A$1:$L$1300,259+AF$3,2+AF$2)&lt;&gt;"",INDEX('×入力'!$A$1:$L$1300,258,2+AF$2)&lt;&gt;"",INDEX('×入力'!$A$1:$L$1300,259+AF$3,1)&lt;&gt;""),1,0),0)</f>
        <v/>
      </c>
      <c r="AG19">
        <f>IF(AG$4=1,IF(OR(INDEX('×入力'!$A$1:$L$1300,259+AG$3,2+AG$2)&lt;&gt;"",INDEX('×入力'!$A$1:$L$1300,258,2+AG$2)&lt;&gt;"",INDEX('×入力'!$A$1:$L$1300,259+AG$3,1)&lt;&gt;""),1,0),0)</f>
        <v/>
      </c>
      <c r="AH19">
        <f>IF(AH$4=1,IF(OR(INDEX('×入力'!$A$1:$L$1300,259+AH$3,2+AH$2)&lt;&gt;"",INDEX('×入力'!$A$1:$L$1300,258,2+AH$2)&lt;&gt;"",INDEX('×入力'!$A$1:$L$1300,259+AH$3,1)&lt;&gt;""),1,0),0)</f>
        <v/>
      </c>
      <c r="AI19">
        <f>IF(AI$4=1,IF(OR(INDEX('×入力'!$A$1:$L$1300,259+AI$3,2+AI$2)&lt;&gt;"",INDEX('×入力'!$A$1:$L$1300,258,2+AI$2)&lt;&gt;"",INDEX('×入力'!$A$1:$L$1300,259+AI$3,1)&lt;&gt;""),1,0),0)</f>
        <v/>
      </c>
      <c r="AJ19">
        <f>IF(AJ$4=1,IF(OR(INDEX('×入力'!$A$1:$L$1300,259+AJ$3,2+AJ$2)&lt;&gt;"",INDEX('×入力'!$A$1:$L$1300,258,2+AJ$2)&lt;&gt;"",INDEX('×入力'!$A$1:$L$1300,259+AJ$3,1)&lt;&gt;""),1,0),0)</f>
        <v/>
      </c>
      <c r="AK19">
        <f>IF(AK$4=1,IF(OR(INDEX('×入力'!$A$1:$L$1300,259+AK$3,2+AK$2)&lt;&gt;"",INDEX('×入力'!$A$1:$L$1300,258,2+AK$2)&lt;&gt;"",INDEX('×入力'!$A$1:$L$1300,259+AK$3,1)&lt;&gt;""),1,0),0)</f>
        <v/>
      </c>
      <c r="AL19">
        <f>IF(AL$4=1,IF(OR(INDEX('×入力'!$A$1:$L$1300,259+AL$3,2+AL$2)&lt;&gt;"",INDEX('×入力'!$A$1:$L$1300,258,2+AL$2)&lt;&gt;"",INDEX('×入力'!$A$1:$L$1300,259+AL$3,1)&lt;&gt;""),1,0),0)</f>
        <v/>
      </c>
      <c r="AM19">
        <f>IF(AM$4=1,IF(OR(INDEX('×入力'!$A$1:$L$1300,259+AM$3,2+AM$2)&lt;&gt;"",INDEX('×入力'!$A$1:$L$1300,258,2+AM$2)&lt;&gt;"",INDEX('×入力'!$A$1:$L$1300,259+AM$3,1)&lt;&gt;""),1,0),0)</f>
        <v/>
      </c>
      <c r="AN19">
        <f>IF(AN$4=1,IF(OR(INDEX('×入力'!$A$1:$L$1300,259+AN$3,2+AN$2)&lt;&gt;"",INDEX('×入力'!$A$1:$L$1300,258,2+AN$2)&lt;&gt;"",INDEX('×入力'!$A$1:$L$1300,259+AN$3,1)&lt;&gt;""),1,0),0)</f>
        <v/>
      </c>
      <c r="AO19">
        <f>IF(AO$4=1,IF(OR(INDEX('×入力'!$A$1:$L$1300,259+AO$3,2+AO$2)&lt;&gt;"",INDEX('×入力'!$A$1:$L$1300,258,2+AO$2)&lt;&gt;"",INDEX('×入力'!$A$1:$L$1300,259+AO$3,1)&lt;&gt;""),1,0),0)</f>
        <v/>
      </c>
      <c r="AP19">
        <f>IF(AP$4=1,IF(OR(INDEX('×入力'!$A$1:$L$1300,259+AP$3,2+AP$2)&lt;&gt;"",INDEX('×入力'!$A$1:$L$1300,258,2+AP$2)&lt;&gt;"",INDEX('×入力'!$A$1:$L$1300,259+AP$3,1)&lt;&gt;""),1,0),0)</f>
        <v/>
      </c>
      <c r="AQ19">
        <f>IF(AQ$4=1,IF(OR(INDEX('×入力'!$A$1:$L$1300,259+AQ$3,2+AQ$2)&lt;&gt;"",INDEX('×入力'!$A$1:$L$1300,258,2+AQ$2)&lt;&gt;"",INDEX('×入力'!$A$1:$L$1300,259+AQ$3,1)&lt;&gt;""),1,0),0)</f>
        <v/>
      </c>
      <c r="AR19">
        <f>IF(AR$4=1,IF(OR(INDEX('×入力'!$A$1:$L$1300,259+AR$3,2+AR$2)&lt;&gt;"",INDEX('×入力'!$A$1:$L$1300,258,2+AR$2)&lt;&gt;"",INDEX('×入力'!$A$1:$L$1300,259+AR$3,1)&lt;&gt;""),1,0),0)</f>
        <v/>
      </c>
      <c r="AS19">
        <f>IF(AS$4=1,IF(OR(INDEX('×入力'!$A$1:$L$1300,259+AS$3,2+AS$2)&lt;&gt;"",INDEX('×入力'!$A$1:$L$1300,258,2+AS$2)&lt;&gt;"",INDEX('×入力'!$A$1:$L$1300,259+AS$3,1)&lt;&gt;""),1,0),0)</f>
        <v/>
      </c>
      <c r="AT19">
        <f>IF(AT$4=1,IF(OR(INDEX('×入力'!$A$1:$L$1300,259+AT$3,2+AT$2)&lt;&gt;"",INDEX('×入力'!$A$1:$L$1300,258,2+AT$2)&lt;&gt;"",INDEX('×入力'!$A$1:$L$1300,259+AT$3,1)&lt;&gt;""),1,0),0)</f>
        <v/>
      </c>
      <c r="AU19">
        <f>IF(AU$4=1,IF(OR(INDEX('×入力'!$A$1:$L$1300,259+AU$3,2+AU$2)&lt;&gt;"",INDEX('×入力'!$A$1:$L$1300,258,2+AU$2)&lt;&gt;"",INDEX('×入力'!$A$1:$L$1300,259+AU$3,1)&lt;&gt;""),1,0),0)</f>
        <v/>
      </c>
      <c r="AV19">
        <f>IF(AV$4=1,IF(OR(INDEX('×入力'!$A$1:$L$1300,259+AV$3,2+AV$2)&lt;&gt;"",INDEX('×入力'!$A$1:$L$1300,258,2+AV$2)&lt;&gt;"",INDEX('×入力'!$A$1:$L$1300,259+AV$3,1)&lt;&gt;""),1,0),0)</f>
        <v/>
      </c>
      <c r="AW19">
        <f>IF(AW$4=1,IF(OR(INDEX('×入力'!$A$1:$L$1300,259+AW$3,2+AW$2)&lt;&gt;"",INDEX('×入力'!$A$1:$L$1300,258,2+AW$2)&lt;&gt;"",INDEX('×入力'!$A$1:$L$1300,259+AW$3,1)&lt;&gt;""),1,0),0)</f>
        <v/>
      </c>
      <c r="AX19">
        <f>IF(AX$4=1,IF(OR(INDEX('×入力'!$A$1:$L$1300,259+AX$3,2+AX$2)&lt;&gt;"",INDEX('×入力'!$A$1:$L$1300,258,2+AX$2)&lt;&gt;"",INDEX('×入力'!$A$1:$L$1300,259+AX$3,1)&lt;&gt;""),1,0),0)</f>
        <v/>
      </c>
      <c r="AY19">
        <f>IF(AY$4=1,IF(OR(INDEX('×入力'!$A$1:$L$1300,259+AY$3,2+AY$2)&lt;&gt;"",INDEX('×入力'!$A$1:$L$1300,258,2+AY$2)&lt;&gt;"",INDEX('×入力'!$A$1:$L$1300,259+AY$3,1)&lt;&gt;""),1,0),0)</f>
        <v/>
      </c>
      <c r="AZ19">
        <f>IF(AZ$4=1,IF(OR(INDEX('×入力'!$A$1:$L$1300,259+AZ$3,2+AZ$2)&lt;&gt;"",INDEX('×入力'!$A$1:$L$1300,258,2+AZ$2)&lt;&gt;"",INDEX('×入力'!$A$1:$L$1300,259+AZ$3,1)&lt;&gt;""),1,0),0)</f>
        <v/>
      </c>
      <c r="BA19">
        <f>IF(BA$4=1,IF(OR(INDEX('×入力'!$A$1:$L$1300,259+BA$3,2+BA$2)&lt;&gt;"",INDEX('×入力'!$A$1:$L$1300,258,2+BA$2)&lt;&gt;"",INDEX('×入力'!$A$1:$L$1300,259+BA$3,1)&lt;&gt;""),1,0),0)</f>
        <v/>
      </c>
      <c r="BB19">
        <f>IF(BB$4=1,IF(OR(INDEX('×入力'!$A$1:$L$1300,259+BB$3,2+BB$2)&lt;&gt;"",INDEX('×入力'!$A$1:$L$1300,258,2+BB$2)&lt;&gt;"",INDEX('×入力'!$A$1:$L$1300,259+BB$3,1)&lt;&gt;""),1,0),0)</f>
        <v/>
      </c>
      <c r="BC19">
        <f>IF(BC$4=1,IF(OR(INDEX('×入力'!$A$1:$L$1300,259+BC$3,2+BC$2)&lt;&gt;"",INDEX('×入力'!$A$1:$L$1300,258,2+BC$2)&lt;&gt;"",INDEX('×入力'!$A$1:$L$1300,259+BC$3,1)&lt;&gt;""),1,0),0)</f>
        <v/>
      </c>
      <c r="BD19">
        <f>IF(BD$4=1,IF(OR(INDEX('×入力'!$A$1:$L$1300,259+BD$3,2+BD$2)&lt;&gt;"",INDEX('×入力'!$A$1:$L$1300,258,2+BD$2)&lt;&gt;"",INDEX('×入力'!$A$1:$L$1300,259+BD$3,1)&lt;&gt;""),1,0),0)</f>
        <v/>
      </c>
      <c r="BE19">
        <f>IF(BE$4=1,IF(OR(INDEX('×入力'!$A$1:$L$1300,259+BE$3,2+BE$2)&lt;&gt;"",INDEX('×入力'!$A$1:$L$1300,258,2+BE$2)&lt;&gt;"",INDEX('×入力'!$A$1:$L$1300,259+BE$3,1)&lt;&gt;""),1,0),0)</f>
        <v/>
      </c>
      <c r="BF19">
        <f>IF(BF$4=1,IF(OR(INDEX('×入力'!$A$1:$L$1300,259+BF$3,2+BF$2)&lt;&gt;"",INDEX('×入力'!$A$1:$L$1300,258,2+BF$2)&lt;&gt;"",INDEX('×入力'!$A$1:$L$1300,259+BF$3,1)&lt;&gt;""),1,0),0)</f>
        <v/>
      </c>
      <c r="BG19">
        <f>IF(BG$4=1,IF(OR(INDEX('×入力'!$A$1:$L$1300,259+BG$3,2+BG$2)&lt;&gt;"",INDEX('×入力'!$A$1:$L$1300,258,2+BG$2)&lt;&gt;"",INDEX('×入力'!$A$1:$L$1300,259+BG$3,1)&lt;&gt;""),1,0),0)</f>
        <v/>
      </c>
      <c r="BH19">
        <f>IF(BH$4=1,IF(OR(INDEX('×入力'!$A$1:$L$1300,259+BH$3,2+BH$2)&lt;&gt;"",INDEX('×入力'!$A$1:$L$1300,258,2+BH$2)&lt;&gt;"",INDEX('×入力'!$A$1:$L$1300,259+BH$3,1)&lt;&gt;""),1,0),0)</f>
        <v/>
      </c>
      <c r="BI19">
        <f>IF(BI$4=1,IF(OR(INDEX('×入力'!$A$1:$L$1300,259+BI$3,2+BI$2)&lt;&gt;"",INDEX('×入力'!$A$1:$L$1300,258,2+BI$2)&lt;&gt;"",INDEX('×入力'!$A$1:$L$1300,259+BI$3,1)&lt;&gt;""),1,0),0)</f>
        <v/>
      </c>
      <c r="BJ19">
        <f>IF(BJ$4=1,IF(OR(INDEX('×入力'!$A$1:$L$1300,259+BJ$3,2+BJ$2)&lt;&gt;"",INDEX('×入力'!$A$1:$L$1300,258,2+BJ$2)&lt;&gt;"",INDEX('×入力'!$A$1:$L$1300,259+BJ$3,1)&lt;&gt;""),1,0),0)</f>
        <v/>
      </c>
      <c r="BK19">
        <f>IF(BK$4=1,IF(OR(INDEX('×入力'!$A$1:$L$1300,259+BK$3,2+BK$2)&lt;&gt;"",INDEX('×入力'!$A$1:$L$1300,258,2+BK$2)&lt;&gt;"",INDEX('×入力'!$A$1:$L$1300,259+BK$3,1)&lt;&gt;""),1,0),0)</f>
        <v/>
      </c>
      <c r="BL19">
        <f>IF(BL$4=1,IF(OR(INDEX('×入力'!$A$1:$L$1300,259+BL$3,2+BL$2)&lt;&gt;"",INDEX('×入力'!$A$1:$L$1300,258,2+BL$2)&lt;&gt;"",INDEX('×入力'!$A$1:$L$1300,259+BL$3,1)&lt;&gt;""),1,0),0)</f>
        <v/>
      </c>
      <c r="BM19">
        <f>IF(BM$4=1,IF(OR(INDEX('×入力'!$A$1:$L$1300,259+BM$3,2+BM$2)&lt;&gt;"",INDEX('×入力'!$A$1:$L$1300,258,2+BM$2)&lt;&gt;"",INDEX('×入力'!$A$1:$L$1300,259+BM$3,1)&lt;&gt;""),1,0),0)</f>
        <v/>
      </c>
      <c r="BN19">
        <f>IF(BN$4=1,IF(OR(INDEX('×入力'!$A$1:$L$1300,259+BN$3,2+BN$2)&lt;&gt;"",INDEX('×入力'!$A$1:$L$1300,258,2+BN$2)&lt;&gt;"",INDEX('×入力'!$A$1:$L$1300,259+BN$3,1)&lt;&gt;""),1,0),0)</f>
        <v/>
      </c>
      <c r="BO19">
        <f>IF(BO$4=1,IF(OR(INDEX('×入力'!$A$1:$L$1300,259+BO$3,2+BO$2)&lt;&gt;"",INDEX('×入力'!$A$1:$L$1300,258,2+BO$2)&lt;&gt;"",INDEX('×入力'!$A$1:$L$1300,259+BO$3,1)&lt;&gt;""),1,0),0)</f>
        <v/>
      </c>
      <c r="BP19">
        <f>IF(BP$4=1,IF(OR(INDEX('×入力'!$A$1:$L$1300,259+BP$3,2+BP$2)&lt;&gt;"",INDEX('×入力'!$A$1:$L$1300,258,2+BP$2)&lt;&gt;"",INDEX('×入力'!$A$1:$L$1300,259+BP$3,1)&lt;&gt;""),1,0),0)</f>
        <v/>
      </c>
      <c r="BQ19">
        <f>IF(BQ$4=1,IF(OR(INDEX('×入力'!$A$1:$L$1300,259+BQ$3,2+BQ$2)&lt;&gt;"",INDEX('×入力'!$A$1:$L$1300,258,2+BQ$2)&lt;&gt;"",INDEX('×入力'!$A$1:$L$1300,259+BQ$3,1)&lt;&gt;""),1,0),0)</f>
        <v/>
      </c>
      <c r="BR19">
        <f>IF(BR$4=1,IF(OR(INDEX('×入力'!$A$1:$L$1300,259+BR$3,2+BR$2)&lt;&gt;"",INDEX('×入力'!$A$1:$L$1300,258,2+BR$2)&lt;&gt;"",INDEX('×入力'!$A$1:$L$1300,259+BR$3,1)&lt;&gt;""),1,0),0)</f>
        <v/>
      </c>
      <c r="BS19">
        <f>IF(BS$4=1,IF(OR(INDEX('×入力'!$A$1:$L$1300,259+BS$3,2+BS$2)&lt;&gt;"",INDEX('×入力'!$A$1:$L$1300,258,2+BS$2)&lt;&gt;"",INDEX('×入力'!$A$1:$L$1300,259+BS$3,1)&lt;&gt;""),1,0),0)</f>
        <v/>
      </c>
      <c r="BT19">
        <f>IF(BT$4=1,IF(OR(INDEX('×入力'!$A$1:$L$1300,259+BT$3,2+BT$2)&lt;&gt;"",INDEX('×入力'!$A$1:$L$1300,258,2+BT$2)&lt;&gt;"",INDEX('×入力'!$A$1:$L$1300,259+BT$3,1)&lt;&gt;""),1,0),0)</f>
        <v/>
      </c>
      <c r="BU19">
        <f>IF(BU$4=1,IF(OR(INDEX('×入力'!$A$1:$L$1300,259+BU$3,2+BU$2)&lt;&gt;"",INDEX('×入力'!$A$1:$L$1300,258,2+BU$2)&lt;&gt;"",INDEX('×入力'!$A$1:$L$1300,259+BU$3,1)&lt;&gt;""),1,0),0)</f>
        <v/>
      </c>
      <c r="BV19">
        <f>IF(BV$4=1,IF(OR(INDEX('×入力'!$A$1:$L$1300,259+BV$3,2+BV$2)&lt;&gt;"",INDEX('×入力'!$A$1:$L$1300,258,2+BV$2)&lt;&gt;"",INDEX('×入力'!$A$1:$L$1300,259+BV$3,1)&lt;&gt;""),1,0),0)</f>
        <v/>
      </c>
      <c r="BW19">
        <f>IF(BW$4=1,IF(OR(INDEX('×入力'!$A$1:$L$1300,259+BW$3,2+BW$2)&lt;&gt;"",INDEX('×入力'!$A$1:$L$1300,258,2+BW$2)&lt;&gt;"",INDEX('×入力'!$A$1:$L$1300,259+BW$3,1)&lt;&gt;""),1,0),0)</f>
        <v/>
      </c>
      <c r="BX19">
        <f>IF(BX$4=1,IF(OR(INDEX('×入力'!$A$1:$L$1300,259+BX$3,2+BX$2)&lt;&gt;"",INDEX('×入力'!$A$1:$L$1300,258,2+BX$2)&lt;&gt;"",INDEX('×入力'!$A$1:$L$1300,259+BX$3,1)&lt;&gt;""),1,0),0)</f>
        <v/>
      </c>
      <c r="BY19">
        <f>IF(BY$4=1,IF(OR(INDEX('×入力'!$A$1:$L$1300,259+BY$3,2+BY$2)&lt;&gt;"",INDEX('×入力'!$A$1:$L$1300,258,2+BY$2)&lt;&gt;"",INDEX('×入力'!$A$1:$L$1300,259+BY$3,1)&lt;&gt;""),1,0),0)</f>
        <v/>
      </c>
      <c r="BZ19">
        <f>IF(BZ$4=1,IF(OR(INDEX('×入力'!$A$1:$L$1300,259+BZ$3,2+BZ$2)&lt;&gt;"",INDEX('×入力'!$A$1:$L$1300,258,2+BZ$2)&lt;&gt;"",INDEX('×入力'!$A$1:$L$1300,259+BZ$3,1)&lt;&gt;""),1,0),0)</f>
        <v/>
      </c>
      <c r="CA19">
        <f>IF(CA$4=1,IF(OR(INDEX('×入力'!$A$1:$L$1300,259+CA$3,2+CA$2)&lt;&gt;"",INDEX('×入力'!$A$1:$L$1300,258,2+CA$2)&lt;&gt;"",INDEX('×入力'!$A$1:$L$1300,259+CA$3,1)&lt;&gt;""),1,0),0)</f>
        <v/>
      </c>
      <c r="CB19">
        <f>IF(CB$4=1,IF(OR(INDEX('×入力'!$A$1:$L$1300,259+CB$3,2+CB$2)&lt;&gt;"",INDEX('×入力'!$A$1:$L$1300,258,2+CB$2)&lt;&gt;"",INDEX('×入力'!$A$1:$L$1300,259+CB$3,1)&lt;&gt;""),1,0),0)</f>
        <v/>
      </c>
      <c r="CC19">
        <f>IF(CC$4=1,IF(OR(INDEX('×入力'!$A$1:$L$1300,259+CC$3,2+CC$2)&lt;&gt;"",INDEX('×入力'!$A$1:$L$1300,258,2+CC$2)&lt;&gt;"",INDEX('×入力'!$A$1:$L$1300,259+CC$3,1)&lt;&gt;""),1,0),0)</f>
        <v/>
      </c>
      <c r="CD19">
        <f>IF(CD$4=1,IF(OR(INDEX('×入力'!$A$1:$L$1300,259+CD$3,2+CD$2)&lt;&gt;"",INDEX('×入力'!$A$1:$L$1300,258,2+CD$2)&lt;&gt;"",INDEX('×入力'!$A$1:$L$1300,259+CD$3,1)&lt;&gt;""),1,0),0)</f>
        <v/>
      </c>
      <c r="CE19">
        <f>IF(CE$4=1,IF(OR(INDEX('×入力'!$A$1:$L$1300,259+CE$3,2+CE$2)&lt;&gt;"",INDEX('×入力'!$A$1:$L$1300,258,2+CE$2)&lt;&gt;"",INDEX('×入力'!$A$1:$L$1300,259+CE$3,1)&lt;&gt;""),1,0),0)</f>
        <v/>
      </c>
      <c r="CF19">
        <f>IF(CF$4=1,IF(OR(INDEX('×入力'!$A$1:$L$1300,259+CF$3,2+CF$2)&lt;&gt;"",INDEX('×入力'!$A$1:$L$1300,258,2+CF$2)&lt;&gt;"",INDEX('×入力'!$A$1:$L$1300,259+CF$3,1)&lt;&gt;""),1,0),0)</f>
        <v/>
      </c>
      <c r="CG19">
        <f>IF(CG$4=1,IF(OR(INDEX('×入力'!$A$1:$L$1300,259+CG$3,2+CG$2)&lt;&gt;"",INDEX('×入力'!$A$1:$L$1300,258,2+CG$2)&lt;&gt;"",INDEX('×入力'!$A$1:$L$1300,259+CG$3,1)&lt;&gt;""),1,0),0)</f>
        <v/>
      </c>
      <c r="CH19">
        <f>IF(CH$4=1,IF(OR(INDEX('×入力'!$A$1:$L$1300,259+CH$3,2+CH$2)&lt;&gt;"",INDEX('×入力'!$A$1:$L$1300,258,2+CH$2)&lt;&gt;"",INDEX('×入力'!$A$1:$L$1300,259+CH$3,1)&lt;&gt;""),1,0),0)</f>
        <v/>
      </c>
      <c r="CI19">
        <f>IF(CI$4=1,IF(OR(INDEX('×入力'!$A$1:$L$1300,259+CI$3,2+CI$2)&lt;&gt;"",INDEX('×入力'!$A$1:$L$1300,258,2+CI$2)&lt;&gt;"",INDEX('×入力'!$A$1:$L$1300,259+CI$3,1)&lt;&gt;""),1,0),0)</f>
        <v/>
      </c>
      <c r="CJ19">
        <f>IF(CJ$4=1,IF(OR(INDEX('×入力'!$A$1:$L$1300,259+CJ$3,2+CJ$2)&lt;&gt;"",INDEX('×入力'!$A$1:$L$1300,258,2+CJ$2)&lt;&gt;"",INDEX('×入力'!$A$1:$L$1300,259+CJ$3,1)&lt;&gt;""),1,0),0)</f>
        <v/>
      </c>
      <c r="CK19">
        <f>IF(CK$4=1,IF(OR(INDEX('×入力'!$A$1:$L$1300,259+CK$3,2+CK$2)&lt;&gt;"",INDEX('×入力'!$A$1:$L$1300,258,2+CK$2)&lt;&gt;"",INDEX('×入力'!$A$1:$L$1300,259+CK$3,1)&lt;&gt;""),1,0),0)</f>
        <v/>
      </c>
      <c r="CL19">
        <f>IF(CL$4=1,IF(OR(INDEX('×入力'!$A$1:$L$1300,259+CL$3,2+CL$2)&lt;&gt;"",INDEX('×入力'!$A$1:$L$1300,258,2+CL$2)&lt;&gt;"",INDEX('×入力'!$A$1:$L$1300,259+CL$3,1)&lt;&gt;""),1,0),0)</f>
        <v/>
      </c>
      <c r="CM19">
        <f>IF(CM$4=1,IF(OR(INDEX('×入力'!$A$1:$L$1300,259+CM$3,2+CM$2)&lt;&gt;"",INDEX('×入力'!$A$1:$L$1300,258,2+CM$2)&lt;&gt;"",INDEX('×入力'!$A$1:$L$1300,259+CM$3,1)&lt;&gt;""),1,0),0)</f>
        <v/>
      </c>
      <c r="CN19">
        <f>IF(CN$4=1,IF(OR(INDEX('×入力'!$A$1:$L$1300,259+CN$3,2+CN$2)&lt;&gt;"",INDEX('×入力'!$A$1:$L$1300,258,2+CN$2)&lt;&gt;"",INDEX('×入力'!$A$1:$L$1300,259+CN$3,1)&lt;&gt;""),1,0),0)</f>
        <v/>
      </c>
      <c r="CO19">
        <f>IF(CO$4=1,IF(OR(INDEX('×入力'!$A$1:$L$1300,259+CO$3,2+CO$2)&lt;&gt;"",INDEX('×入力'!$A$1:$L$1300,258,2+CO$2)&lt;&gt;"",INDEX('×入力'!$A$1:$L$1300,259+CO$3,1)&lt;&gt;""),1,0),0)</f>
        <v/>
      </c>
      <c r="CP19">
        <f>IF(CP$4=1,IF(OR(INDEX('×入力'!$A$1:$L$1300,259+CP$3,2+CP$2)&lt;&gt;"",INDEX('×入力'!$A$1:$L$1300,258,2+CP$2)&lt;&gt;"",INDEX('×入力'!$A$1:$L$1300,259+CP$3,1)&lt;&gt;""),1,0),0)</f>
        <v/>
      </c>
      <c r="CQ19">
        <f>IF(CQ$4=1,IF(OR(INDEX('×入力'!$A$1:$L$1300,259+CQ$3,2+CQ$2)&lt;&gt;"",INDEX('×入力'!$A$1:$L$1300,258,2+CQ$2)&lt;&gt;"",INDEX('×入力'!$A$1:$L$1300,259+CQ$3,1)&lt;&gt;""),1,0),0)</f>
        <v/>
      </c>
      <c r="CR19">
        <f>IF(CR$4=1,IF(OR(INDEX('×入力'!$A$1:$L$1300,259+CR$3,2+CR$2)&lt;&gt;"",INDEX('×入力'!$A$1:$L$1300,258,2+CR$2)&lt;&gt;"",INDEX('×入力'!$A$1:$L$1300,259+CR$3,1)&lt;&gt;""),1,0),0)</f>
        <v/>
      </c>
      <c r="CS19">
        <f>IF(CS$4=1,IF(OR(INDEX('×入力'!$A$1:$L$1300,259+CS$3,2+CS$2)&lt;&gt;"",INDEX('×入力'!$A$1:$L$1300,258,2+CS$2)&lt;&gt;"",INDEX('×入力'!$A$1:$L$1300,259+CS$3,1)&lt;&gt;""),1,0),0)</f>
        <v/>
      </c>
      <c r="CT19">
        <f>IF(CT$4=1,IF(OR(INDEX('×入力'!$A$1:$L$1300,259+CT$3,2+CT$2)&lt;&gt;"",INDEX('×入力'!$A$1:$L$1300,258,2+CT$2)&lt;&gt;"",INDEX('×入力'!$A$1:$L$1300,259+CT$3,1)&lt;&gt;""),1,0),0)</f>
        <v/>
      </c>
      <c r="CU19">
        <f>IF(CU$4=1,IF(OR(INDEX('×入力'!$A$1:$L$1300,259+CU$3,2+CU$2)&lt;&gt;"",INDEX('×入力'!$A$1:$L$1300,258,2+CU$2)&lt;&gt;"",INDEX('×入力'!$A$1:$L$1300,259+CU$3,1)&lt;&gt;""),1,0),0)</f>
        <v/>
      </c>
      <c r="CV19">
        <f>IF(CV$4=1,IF(OR(INDEX('×入力'!$A$1:$L$1300,259+CV$3,2+CV$2)&lt;&gt;"",INDEX('×入力'!$A$1:$L$1300,258,2+CV$2)&lt;&gt;"",INDEX('×入力'!$A$1:$L$1300,259+CV$3,1)&lt;&gt;""),1,0),0)</f>
        <v/>
      </c>
      <c r="CW19">
        <f>IF(CW$4=1,IF(OR(INDEX('×入力'!$A$1:$L$1300,259+CW$3,2+CW$2)&lt;&gt;"",INDEX('×入力'!$A$1:$L$1300,258,2+CW$2)&lt;&gt;"",INDEX('×入力'!$A$1:$L$1300,259+CW$3,1)&lt;&gt;""),1,0),0)</f>
        <v/>
      </c>
      <c r="CX19">
        <f>IF(CX$4=1,IF(OR(INDEX('×入力'!$A$1:$L$1300,259+CX$3,2+CX$2)&lt;&gt;"",INDEX('×入力'!$A$1:$L$1300,258,2+CX$2)&lt;&gt;"",INDEX('×入力'!$A$1:$L$1300,259+CX$3,1)&lt;&gt;""),1,0),0)</f>
        <v/>
      </c>
      <c r="CY19">
        <f>IF(CY$4=1,IF(OR(INDEX('×入力'!$A$1:$L$1300,259+CY$3,2+CY$2)&lt;&gt;"",INDEX('×入力'!$A$1:$L$1300,258,2+CY$2)&lt;&gt;"",INDEX('×入力'!$A$1:$L$1300,259+CY$3,1)&lt;&gt;""),1,0),0)</f>
        <v/>
      </c>
      <c r="CZ19">
        <f>IF(CZ$4=1,IF(OR(INDEX('×入力'!$A$1:$L$1300,259+CZ$3,2+CZ$2)&lt;&gt;"",INDEX('×入力'!$A$1:$L$1300,258,2+CZ$2)&lt;&gt;"",INDEX('×入力'!$A$1:$L$1300,259+CZ$3,1)&lt;&gt;""),1,0),0)</f>
        <v/>
      </c>
      <c r="DA19">
        <f>IF(DA$4=1,IF(OR(INDEX('×入力'!$A$1:$L$1300,259+DA$3,2+DA$2)&lt;&gt;"",INDEX('×入力'!$A$1:$L$1300,258,2+DA$2)&lt;&gt;"",INDEX('×入力'!$A$1:$L$1300,259+DA$3,1)&lt;&gt;""),1,0),0)</f>
        <v/>
      </c>
      <c r="DB19">
        <f>IF(DB$4=1,IF(OR(INDEX('×入力'!$A$1:$L$1300,259+DB$3,2+DB$2)&lt;&gt;"",INDEX('×入力'!$A$1:$L$1300,258,2+DB$2)&lt;&gt;"",INDEX('×入力'!$A$1:$L$1300,259+DB$3,1)&lt;&gt;""),1,0),0)</f>
        <v/>
      </c>
      <c r="DC19">
        <f>IF(DC$4=1,IF(OR(INDEX('×入力'!$A$1:$L$1300,259+DC$3,2+DC$2)&lt;&gt;"",INDEX('×入力'!$A$1:$L$1300,258,2+DC$2)&lt;&gt;"",INDEX('×入力'!$A$1:$L$1300,259+DC$3,1)&lt;&gt;""),1,0),0)</f>
        <v/>
      </c>
      <c r="DD19">
        <f>IF(DD$4=1,IF(OR(INDEX('×入力'!$A$1:$L$1300,259+DD$3,2+DD$2)&lt;&gt;"",INDEX('×入力'!$A$1:$L$1300,258,2+DD$2)&lt;&gt;"",INDEX('×入力'!$A$1:$L$1300,259+DD$3,1)&lt;&gt;""),1,0),0)</f>
        <v/>
      </c>
      <c r="DE19">
        <f>IF(DE$4=1,IF(OR(INDEX('×入力'!$A$1:$L$1300,259+DE$3,2+DE$2)&lt;&gt;"",INDEX('×入力'!$A$1:$L$1300,258,2+DE$2)&lt;&gt;"",INDEX('×入力'!$A$1:$L$1300,259+DE$3,1)&lt;&gt;""),1,0),0)</f>
        <v/>
      </c>
      <c r="DF19">
        <f>IF(DF$4=1,IF(OR(INDEX('×入力'!$A$1:$L$1300,259+DF$3,2+DF$2)&lt;&gt;"",INDEX('×入力'!$A$1:$L$1300,258,2+DF$2)&lt;&gt;"",INDEX('×入力'!$A$1:$L$1300,259+DF$3,1)&lt;&gt;""),1,0),0)</f>
        <v/>
      </c>
      <c r="DG19">
        <f>IF(DG$4=1,IF(OR(INDEX('×入力'!$A$1:$L$1300,259+DG$3,2+DG$2)&lt;&gt;"",INDEX('×入力'!$A$1:$L$1300,258,2+DG$2)&lt;&gt;"",INDEX('×入力'!$A$1:$L$1300,259+DG$3,1)&lt;&gt;""),1,0),0)</f>
        <v/>
      </c>
      <c r="DH19">
        <f>IF(DH$4=1,IF(OR(INDEX('×入力'!$A$1:$L$1300,259+DH$3,2+DH$2)&lt;&gt;"",INDEX('×入力'!$A$1:$L$1300,258,2+DH$2)&lt;&gt;"",INDEX('×入力'!$A$1:$L$1300,259+DH$3,1)&lt;&gt;""),1,0),0)</f>
        <v/>
      </c>
      <c r="DI19">
        <f>IF(DI$4=1,IF(OR(INDEX('×入力'!$A$1:$L$1300,259+DI$3,2+DI$2)&lt;&gt;"",INDEX('×入力'!$A$1:$L$1300,258,2+DI$2)&lt;&gt;"",INDEX('×入力'!$A$1:$L$1300,259+DI$3,1)&lt;&gt;""),1,0),0)</f>
        <v/>
      </c>
      <c r="DJ19">
        <f>IF(DJ$4=1,IF(OR(INDEX('×入力'!$A$1:$L$1300,259+DJ$3,2+DJ$2)&lt;&gt;"",INDEX('×入力'!$A$1:$L$1300,258,2+DJ$2)&lt;&gt;"",INDEX('×入力'!$A$1:$L$1300,259+DJ$3,1)&lt;&gt;""),1,0),0)</f>
        <v/>
      </c>
      <c r="DK19">
        <f>IF(DK$4=1,IF(OR(INDEX('×入力'!$A$1:$L$1300,259+DK$3,2+DK$2)&lt;&gt;"",INDEX('×入力'!$A$1:$L$1300,258,2+DK$2)&lt;&gt;"",INDEX('×入力'!$A$1:$L$1300,259+DK$3,1)&lt;&gt;""),1,0),0)</f>
        <v/>
      </c>
      <c r="DL19">
        <f>IF(DL$4=1,IF(OR(INDEX('×入力'!$A$1:$L$1300,259+DL$3,2+DL$2)&lt;&gt;"",INDEX('×入力'!$A$1:$L$1300,258,2+DL$2)&lt;&gt;"",INDEX('×入力'!$A$1:$L$1300,259+DL$3,1)&lt;&gt;""),1,0),0)</f>
        <v/>
      </c>
      <c r="DM19">
        <f>IF(DM$4=1,IF(OR(INDEX('×入力'!$A$1:$L$1300,259+DM$3,2+DM$2)&lt;&gt;"",INDEX('×入力'!$A$1:$L$1300,258,2+DM$2)&lt;&gt;"",INDEX('×入力'!$A$1:$L$1300,259+DM$3,1)&lt;&gt;""),1,0),0)</f>
        <v/>
      </c>
      <c r="DN19">
        <f>IF(DN$4=1,IF(OR(INDEX('×入力'!$A$1:$L$1300,259+DN$3,2+DN$2)&lt;&gt;"",INDEX('×入力'!$A$1:$L$1300,258,2+DN$2)&lt;&gt;"",INDEX('×入力'!$A$1:$L$1300,259+DN$3,1)&lt;&gt;""),1,0),0)</f>
        <v/>
      </c>
      <c r="DO19">
        <f>IF(DO$4=1,IF(OR(INDEX('×入力'!$A$1:$L$1300,259+DO$3,2+DO$2)&lt;&gt;"",INDEX('×入力'!$A$1:$L$1300,258,2+DO$2)&lt;&gt;"",INDEX('×入力'!$A$1:$L$1300,259+DO$3,1)&lt;&gt;""),1,0),0)</f>
        <v/>
      </c>
      <c r="DP19">
        <f>IF(DP$4=1,IF(OR(INDEX('×入力'!$A$1:$L$1300,259+DP$3,2+DP$2)&lt;&gt;"",INDEX('×入力'!$A$1:$L$1300,258,2+DP$2)&lt;&gt;"",INDEX('×入力'!$A$1:$L$1300,259+DP$3,1)&lt;&gt;""),1,0),0)</f>
        <v/>
      </c>
      <c r="DQ19">
        <f>IF(DQ$4=1,IF(OR(INDEX('×入力'!$A$1:$L$1300,259+DQ$3,2+DQ$2)&lt;&gt;"",INDEX('×入力'!$A$1:$L$1300,258,2+DQ$2)&lt;&gt;"",INDEX('×入力'!$A$1:$L$1300,259+DQ$3,1)&lt;&gt;""),1,0),0)</f>
        <v/>
      </c>
      <c r="DR19">
        <f>IF(DR$4=1,IF(OR(INDEX('×入力'!$A$1:$L$1300,259+DR$3,2+DR$2)&lt;&gt;"",INDEX('×入力'!$A$1:$L$1300,258,2+DR$2)&lt;&gt;"",INDEX('×入力'!$A$1:$L$1300,259+DR$3,1)&lt;&gt;""),1,0),0)</f>
        <v/>
      </c>
      <c r="DS19">
        <f>IF(DS$4=1,IF(OR(INDEX('×入力'!$A$1:$L$1300,259+DS$3,2+DS$2)&lt;&gt;"",INDEX('×入力'!$A$1:$L$1300,258,2+DS$2)&lt;&gt;"",INDEX('×入力'!$A$1:$L$1300,259+DS$3,1)&lt;&gt;""),1,0),0)</f>
        <v/>
      </c>
      <c r="DT19">
        <f>IF(DT$4=1,IF(OR(INDEX('×入力'!$A$1:$L$1300,259+DT$3,2+DT$2)&lt;&gt;"",INDEX('×入力'!$A$1:$L$1300,258,2+DT$2)&lt;&gt;"",INDEX('×入力'!$A$1:$L$1300,259+DT$3,1)&lt;&gt;""),1,0),0)</f>
        <v/>
      </c>
      <c r="DU19">
        <f>IF(DU$4=1,IF(OR(INDEX('×入力'!$A$1:$L$1300,259+DU$3,2+DU$2)&lt;&gt;"",INDEX('×入力'!$A$1:$L$1300,258,2+DU$2)&lt;&gt;"",INDEX('×入力'!$A$1:$L$1300,259+DU$3,1)&lt;&gt;""),1,0),0)</f>
        <v/>
      </c>
      <c r="DV19">
        <f>IF(DV$4=1,IF(OR(INDEX('×入力'!$A$1:$L$1300,259+DV$3,2+DV$2)&lt;&gt;"",INDEX('×入力'!$A$1:$L$1300,258,2+DV$2)&lt;&gt;"",INDEX('×入力'!$A$1:$L$1300,259+DV$3,1)&lt;&gt;""),1,0),0)</f>
        <v/>
      </c>
      <c r="DW19">
        <f>IF(DW$4=1,IF(OR(INDEX('×入力'!$A$1:$L$1300,259+DW$3,2+DW$2)&lt;&gt;"",INDEX('×入力'!$A$1:$L$1300,258,2+DW$2)&lt;&gt;"",INDEX('×入力'!$A$1:$L$1300,259+DW$3,1)&lt;&gt;""),1,0),0)</f>
        <v/>
      </c>
      <c r="DX19">
        <f>IF(DX$4=1,IF(OR(INDEX('×入力'!$A$1:$L$1300,259+DX$3,2+DX$2)&lt;&gt;"",INDEX('×入力'!$A$1:$L$1300,258,2+DX$2)&lt;&gt;"",INDEX('×入力'!$A$1:$L$1300,259+DX$3,1)&lt;&gt;""),1,0),0)</f>
        <v/>
      </c>
      <c r="DY19">
        <f>IF(DY$4=1,IF(OR(INDEX('×入力'!$A$1:$L$1300,259+DY$3,2+DY$2)&lt;&gt;"",INDEX('×入力'!$A$1:$L$1300,258,2+DY$2)&lt;&gt;"",INDEX('×入力'!$A$1:$L$1300,259+DY$3,1)&lt;&gt;""),1,0),0)</f>
        <v/>
      </c>
      <c r="DZ19">
        <f>IF(DZ$4=1,IF(OR(INDEX('×入力'!$A$1:$L$1300,259+DZ$3,2+DZ$2)&lt;&gt;"",INDEX('×入力'!$A$1:$L$1300,258,2+DZ$2)&lt;&gt;"",INDEX('×入力'!$A$1:$L$1300,259+DZ$3,1)&lt;&gt;""),1,0),0)</f>
        <v/>
      </c>
      <c r="EA19">
        <f>IF(EA$4=1,IF(OR(INDEX('×入力'!$A$1:$L$1300,259+EA$3,2+EA$2)&lt;&gt;"",INDEX('×入力'!$A$1:$L$1300,258,2+EA$2)&lt;&gt;"",INDEX('×入力'!$A$1:$L$1300,259+EA$3,1)&lt;&gt;""),1,0),0)</f>
        <v/>
      </c>
      <c r="EB19">
        <f>IF(EB$4=1,IF(OR(INDEX('×入力'!$A$1:$L$1300,259+EB$3,2+EB$2)&lt;&gt;"",INDEX('×入力'!$A$1:$L$1300,258,2+EB$2)&lt;&gt;"",INDEX('×入力'!$A$1:$L$1300,259+EB$3,1)&lt;&gt;""),1,0),0)</f>
        <v/>
      </c>
      <c r="EC19">
        <f>IF(EC$4=1,IF(OR(INDEX('×入力'!$A$1:$L$1300,259+EC$3,2+EC$2)&lt;&gt;"",INDEX('×入力'!$A$1:$L$1300,258,2+EC$2)&lt;&gt;"",INDEX('×入力'!$A$1:$L$1300,259+EC$3,1)&lt;&gt;""),1,0),0)</f>
        <v/>
      </c>
      <c r="ED19">
        <f>IF(ED$4=1,IF(OR(INDEX('×入力'!$A$1:$L$1300,259+ED$3,2+ED$2)&lt;&gt;"",INDEX('×入力'!$A$1:$L$1300,258,2+ED$2)&lt;&gt;"",INDEX('×入力'!$A$1:$L$1300,259+ED$3,1)&lt;&gt;""),1,0),0)</f>
        <v/>
      </c>
      <c r="EE19">
        <f>IF(EE$4=1,IF(OR(INDEX('×入力'!$A$1:$L$1300,259+EE$3,2+EE$2)&lt;&gt;"",INDEX('×入力'!$A$1:$L$1300,258,2+EE$2)&lt;&gt;"",INDEX('×入力'!$A$1:$L$1300,259+EE$3,1)&lt;&gt;""),1,0),0)</f>
        <v/>
      </c>
      <c r="EF19">
        <f>IF(EF$4=1,IF(OR(INDEX('×入力'!$A$1:$L$1300,259+EF$3,2+EF$2)&lt;&gt;"",INDEX('×入力'!$A$1:$L$1300,258,2+EF$2)&lt;&gt;"",INDEX('×入力'!$A$1:$L$1300,259+EF$3,1)&lt;&gt;""),1,0),0)</f>
        <v/>
      </c>
      <c r="EG19">
        <f>IF(EG$4=1,IF(OR(INDEX('×入力'!$A$1:$L$1300,259+EG$3,2+EG$2)&lt;&gt;"",INDEX('×入力'!$A$1:$L$1300,258,2+EG$2)&lt;&gt;"",INDEX('×入力'!$A$1:$L$1300,259+EG$3,1)&lt;&gt;""),1,0),0)</f>
        <v/>
      </c>
      <c r="EH19">
        <f>IF(EH$4=1,IF(OR(INDEX('×入力'!$A$1:$L$1300,259+EH$3,2+EH$2)&lt;&gt;"",INDEX('×入力'!$A$1:$L$1300,258,2+EH$2)&lt;&gt;"",INDEX('×入力'!$A$1:$L$1300,259+EH$3,1)&lt;&gt;""),1,0),0)</f>
        <v/>
      </c>
      <c r="EI19">
        <f>IF(EI$4=1,IF(OR(INDEX('×入力'!$A$1:$L$1300,259+EI$3,2+EI$2)&lt;&gt;"",INDEX('×入力'!$A$1:$L$1300,258,2+EI$2)&lt;&gt;"",INDEX('×入力'!$A$1:$L$1300,259+EI$3,1)&lt;&gt;""),1,0),0)</f>
        <v/>
      </c>
      <c r="EJ19">
        <f>IF(EJ$4=1,IF(OR(INDEX('×入力'!$A$1:$L$1300,259+EJ$3,2+EJ$2)&lt;&gt;"",INDEX('×入力'!$A$1:$L$1300,258,2+EJ$2)&lt;&gt;"",INDEX('×入力'!$A$1:$L$1300,259+EJ$3,1)&lt;&gt;""),1,0),0)</f>
        <v/>
      </c>
      <c r="EK19">
        <f>IF(EK$4=1,IF(OR(INDEX('×入力'!$A$1:$L$1300,259+EK$3,2+EK$2)&lt;&gt;"",INDEX('×入力'!$A$1:$L$1300,258,2+EK$2)&lt;&gt;"",INDEX('×入力'!$A$1:$L$1300,259+EK$3,1)&lt;&gt;""),1,0),0)</f>
        <v/>
      </c>
      <c r="EL19">
        <f>IF(EL$4=1,IF(OR(INDEX('×入力'!$A$1:$L$1300,259+EL$3,2+EL$2)&lt;&gt;"",INDEX('×入力'!$A$1:$L$1300,258,2+EL$2)&lt;&gt;"",INDEX('×入力'!$A$1:$L$1300,259+EL$3,1)&lt;&gt;""),1,0),0)</f>
        <v/>
      </c>
      <c r="EM19">
        <f>IF(EM$4=1,IF(OR(INDEX('×入力'!$A$1:$L$1300,259+EM$3,2+EM$2)&lt;&gt;"",INDEX('×入力'!$A$1:$L$1300,258,2+EM$2)&lt;&gt;"",INDEX('×入力'!$A$1:$L$1300,259+EM$3,1)&lt;&gt;""),1,0),0)</f>
        <v/>
      </c>
      <c r="EN19">
        <f>IF(EN$4=1,IF(OR(INDEX('×入力'!$A$1:$L$1300,259+EN$3,2+EN$2)&lt;&gt;"",INDEX('×入力'!$A$1:$L$1300,258,2+EN$2)&lt;&gt;"",INDEX('×入力'!$A$1:$L$1300,259+EN$3,1)&lt;&gt;""),1,0),0)</f>
        <v/>
      </c>
      <c r="EO19">
        <f>IF(EO$4=1,IF(OR(INDEX('×入力'!$A$1:$L$1300,259+EO$3,2+EO$2)&lt;&gt;"",INDEX('×入力'!$A$1:$L$1300,258,2+EO$2)&lt;&gt;"",INDEX('×入力'!$A$1:$L$1300,259+EO$3,1)&lt;&gt;""),1,0),0)</f>
        <v/>
      </c>
      <c r="EP19">
        <f>IF(EP$4=1,IF(OR(INDEX('×入力'!$A$1:$L$1300,259+EP$3,2+EP$2)&lt;&gt;"",INDEX('×入力'!$A$1:$L$1300,258,2+EP$2)&lt;&gt;"",INDEX('×入力'!$A$1:$L$1300,259+EP$3,1)&lt;&gt;""),1,0),0)</f>
        <v/>
      </c>
      <c r="EQ19">
        <f>IF(EQ$4=1,IF(OR(INDEX('×入力'!$A$1:$L$1300,259+EQ$3,2+EQ$2)&lt;&gt;"",INDEX('×入力'!$A$1:$L$1300,258,2+EQ$2)&lt;&gt;"",INDEX('×入力'!$A$1:$L$1300,259+EQ$3,1)&lt;&gt;""),1,0),0)</f>
        <v/>
      </c>
      <c r="HA19">
        <f>MAX(0,IT19)</f>
        <v/>
      </c>
      <c r="HB19">
        <f>IF(HA19=0,0,INDEX($D$2:$EQ$2,HA19))</f>
        <v/>
      </c>
      <c r="HC19">
        <f>IF(HA19=0,0,INDEX($D$3:$EQ$3,HA19))</f>
        <v/>
      </c>
      <c r="HD19">
        <f>MAX(0,IY19)</f>
        <v/>
      </c>
      <c r="HE19">
        <f>IF(HD19=0,0,INDEX($D$2:$EQ$2,HD19))</f>
        <v/>
      </c>
      <c r="HF19">
        <f>IF(HD19=0,0,INDEX($D$3:$EQ$3,HD19))</f>
        <v/>
      </c>
      <c r="HG19">
        <f>MAX(0,IZ19)</f>
        <v/>
      </c>
      <c r="HH19">
        <f>IF(HG19=0,0,INDEX($D$2:$EQ$2,HG19))</f>
        <v/>
      </c>
      <c r="HI19">
        <f>IF(HG19=0,0,INDEX($D$3:$EQ$3,HG19))</f>
        <v/>
      </c>
      <c r="HJ19">
        <f>IF(AND(HA19&gt;0,HC19&gt;1,OR(HC19-1&lt;&gt;$A$3,$A$4=0)),HA19-1,-1)</f>
        <v/>
      </c>
      <c r="HK19">
        <f>IF(AND(HA19&gt;0,HC19&lt;24,OR(HC19&lt;&gt;$A$3,$A$4=0)),HA19+1,-1)</f>
        <v/>
      </c>
      <c r="HL19">
        <f>IF(AND(HD19&gt;0,HF19&gt;1,OR(HF19-1&lt;&gt;$A$3,$A$4=0)),HD19-1,-1)</f>
        <v/>
      </c>
      <c r="HM19">
        <f>IF(AND(HD19&gt;0,HF19&lt;24,OR(HF19&lt;&gt;$A$3,$A$4=0)),HD19+1,-1)</f>
        <v/>
      </c>
      <c r="HN19">
        <f>IF(AND(HG19&gt;0,HI19&gt;1,OR(HI19-1&lt;&gt;$A$3,$A$4=0)),HG19-1,-1)</f>
        <v/>
      </c>
      <c r="HO19">
        <f>IF(AND(HG19&gt;0,HI19&lt;24,OR(HI19&lt;&gt;$A$3,$A$4=0)),HG19+1,-1)</f>
        <v/>
      </c>
      <c r="IK19">
        <f>IFERROR(INDEX('calcB'!$C$3:$C$47,MATCH(A19,'calcB'!$B$3:$B$47,0)),0)</f>
        <v/>
      </c>
      <c r="IL19">
        <f>IF(AND(C19=1,IK19=0,calcA!$A$6=1),1,0)</f>
        <v/>
      </c>
      <c r="IM19">
        <f>SUMPRODUCT(D69:EQ69*(1-$D$7:$EQ$7))</f>
        <v/>
      </c>
      <c r="IN19">
        <f>SUM(D19:EQ19)</f>
        <v/>
      </c>
      <c r="IO19">
        <f>IF(B19="",0,IF(COUNTIF('調整・決定'!$C$6:$H$29,B19)=1,SUMPRODUCT(('調整・決定'!$C$6:$H$29=B19)*((COLUMN('調整・決定'!$C$6:$H$29)-3)*24+ROW('調整・決定'!$C$6:$H$29)-5)),0))</f>
        <v/>
      </c>
      <c r="IP19">
        <f>IFERROR(MATCH('名簿'!C14,{"早い時刻","遅い時刻","早い日","遅い日"},0),0)</f>
        <v/>
      </c>
      <c r="IQ19">
        <f>IF('名簿'!D14="必ず空けたい",2,IF('名簿'!D14="出来れば空けたい",1,0))</f>
        <v/>
      </c>
      <c r="IR19">
        <f>IFERROR(INDEX('calcC'!$C$3:$C$47,MATCH(A19,'calcC'!$B$3:$B$47,0)),0)</f>
        <v/>
      </c>
      <c r="IS19">
        <f>IF(AND(C19=1,IR19=0,calcA!$A$6=1),1,0)</f>
        <v/>
      </c>
      <c r="IT19">
        <f>IF(OR('名簿'!G14="",'名簿'!H14=""),0,IFERROR((MATCH('名簿'!G14,'設定'!$E$11:$E$16,0)-1)*24+MATCH('名簿'!H14,'設定'!$I$11:$I$34,0),-1))</f>
        <v/>
      </c>
      <c r="IV19">
        <f>IF(OR(JF19=0,IO19=0),1,IF(OR(IF(IT19&gt;0,AND(INDEX($D$2:$EQ$2,IO19)=INDEX($D$2:$EQ$2,IT19),OR(AND(IO19=IT19+1,OR(INDEX($D$3:$EQ$3,IT19)&lt;&gt;$A$3,$A$4=0)),AND(IO19=IT19-1,OR(INDEX($D$3:$EQ$3,IO19)&lt;&gt;$A$3,$A$4=0)))),FALSE),IF(IY19&gt;0,AND(INDEX($D$2:$EQ$2,IO19)=INDEX($D$2:$EQ$2,IY19),OR(AND(IO19=IY19+1,OR(INDEX($D$3:$EQ$3,IY19)&lt;&gt;$A$3,$A$4=0)),AND(IO19=IY19-1,OR(INDEX($D$3:$EQ$3,IO19)&lt;&gt;$A$3,$A$4=0)))),FALSE),IF(IZ19&gt;0,AND(INDEX($D$2:$EQ$2,IO19)=INDEX($D$2:$EQ$2,IZ19),OR(AND(IO19=IZ19+1,OR(INDEX($D$3:$EQ$3,IZ19)&lt;&gt;$A$3,$A$4=0)),AND(IO19=IZ19-1,OR(INDEX($D$3:$EQ$3,IO19)&lt;&gt;$A$3,$A$4=0)))),FALSE)),1,0))</f>
        <v/>
      </c>
      <c r="IW19">
        <f>IF(AND('名簿'!E14&lt;&gt;"",JF19=0),1,0)</f>
        <v/>
      </c>
      <c r="IX19">
        <f>IF('名簿'!D14="空けない",1,0)</f>
        <v/>
      </c>
      <c r="IY19">
        <f>IF(OR('名簿'!J14="",'名簿'!K14=""),0,IFERROR((MATCH('名簿'!J14,'設定'!$E$11:$E$16,0)-1)*24+MATCH('名簿'!K14,'設定'!$I$11:$I$34,0),-1))</f>
        <v/>
      </c>
      <c r="IZ19">
        <f>IF(OR('名簿'!M14="",'名簿'!N14=""),0,IFERROR((MATCH('名簿'!M14,'設定'!$E$11:$E$16,0)-1)*24+MATCH('名簿'!N14,'設定'!$I$11:$I$34,0),-1))</f>
        <v/>
      </c>
      <c r="JC19">
        <f>IF(RIGHT('名簿'!I14,2)="の前",1,IF(RIGHT('名簿'!I14,2)="の後",2,0))</f>
        <v/>
      </c>
      <c r="JD19">
        <f>IF(RIGHT('名簿'!L14,2)="の前",1,IF(RIGHT('名簿'!L14,2)="の後",2,0))</f>
        <v/>
      </c>
      <c r="JE19">
        <f>IF(RIGHT('名簿'!O14,2)="の前",1,IF(RIGHT('名簿'!O14,2)="の後",2,0))</f>
        <v/>
      </c>
      <c r="JF19">
        <f>IF(OR(IT19&gt;0,IY19&gt;0,IZ19&gt;0),1,0)</f>
        <v/>
      </c>
      <c r="JG19">
        <f>IF(OR(IT19&lt;0,IY19&lt;0,IZ19&lt;0),1,0)</f>
        <v/>
      </c>
    </row>
    <row r="20">
      <c r="A20" t="n">
        <v>11</v>
      </c>
      <c r="B20">
        <f>'名簿'!P15</f>
        <v/>
      </c>
      <c r="C20">
        <f>IF(AND(B20&lt;&gt;"",OR('名簿'!Q15="入力済み",'名簿'!Q15="×なし"),IO20=0,COUNTIF('調整・決定'!$C$6:$H$29,B20)=0),1,0)</f>
        <v/>
      </c>
      <c r="D20">
        <f>IF(D$4=1,IF(OR(INDEX('×入力'!$A$1:$L$1300,287+D$3,2+D$2)&lt;&gt;"",INDEX('×入力'!$A$1:$L$1300,286,2+D$2)&lt;&gt;"",INDEX('×入力'!$A$1:$L$1300,287+D$3,1)&lt;&gt;""),1,0),0)</f>
        <v/>
      </c>
      <c r="E20">
        <f>IF(E$4=1,IF(OR(INDEX('×入力'!$A$1:$L$1300,287+E$3,2+E$2)&lt;&gt;"",INDEX('×入力'!$A$1:$L$1300,286,2+E$2)&lt;&gt;"",INDEX('×入力'!$A$1:$L$1300,287+E$3,1)&lt;&gt;""),1,0),0)</f>
        <v/>
      </c>
      <c r="F20">
        <f>IF(F$4=1,IF(OR(INDEX('×入力'!$A$1:$L$1300,287+F$3,2+F$2)&lt;&gt;"",INDEX('×入力'!$A$1:$L$1300,286,2+F$2)&lt;&gt;"",INDEX('×入力'!$A$1:$L$1300,287+F$3,1)&lt;&gt;""),1,0),0)</f>
        <v/>
      </c>
      <c r="G20">
        <f>IF(G$4=1,IF(OR(INDEX('×入力'!$A$1:$L$1300,287+G$3,2+G$2)&lt;&gt;"",INDEX('×入力'!$A$1:$L$1300,286,2+G$2)&lt;&gt;"",INDEX('×入力'!$A$1:$L$1300,287+G$3,1)&lt;&gt;""),1,0),0)</f>
        <v/>
      </c>
      <c r="H20">
        <f>IF(H$4=1,IF(OR(INDEX('×入力'!$A$1:$L$1300,287+H$3,2+H$2)&lt;&gt;"",INDEX('×入力'!$A$1:$L$1300,286,2+H$2)&lt;&gt;"",INDEX('×入力'!$A$1:$L$1300,287+H$3,1)&lt;&gt;""),1,0),0)</f>
        <v/>
      </c>
      <c r="I20">
        <f>IF(I$4=1,IF(OR(INDEX('×入力'!$A$1:$L$1300,287+I$3,2+I$2)&lt;&gt;"",INDEX('×入力'!$A$1:$L$1300,286,2+I$2)&lt;&gt;"",INDEX('×入力'!$A$1:$L$1300,287+I$3,1)&lt;&gt;""),1,0),0)</f>
        <v/>
      </c>
      <c r="J20">
        <f>IF(J$4=1,IF(OR(INDEX('×入力'!$A$1:$L$1300,287+J$3,2+J$2)&lt;&gt;"",INDEX('×入力'!$A$1:$L$1300,286,2+J$2)&lt;&gt;"",INDEX('×入力'!$A$1:$L$1300,287+J$3,1)&lt;&gt;""),1,0),0)</f>
        <v/>
      </c>
      <c r="K20">
        <f>IF(K$4=1,IF(OR(INDEX('×入力'!$A$1:$L$1300,287+K$3,2+K$2)&lt;&gt;"",INDEX('×入力'!$A$1:$L$1300,286,2+K$2)&lt;&gt;"",INDEX('×入力'!$A$1:$L$1300,287+K$3,1)&lt;&gt;""),1,0),0)</f>
        <v/>
      </c>
      <c r="L20">
        <f>IF(L$4=1,IF(OR(INDEX('×入力'!$A$1:$L$1300,287+L$3,2+L$2)&lt;&gt;"",INDEX('×入力'!$A$1:$L$1300,286,2+L$2)&lt;&gt;"",INDEX('×入力'!$A$1:$L$1300,287+L$3,1)&lt;&gt;""),1,0),0)</f>
        <v/>
      </c>
      <c r="M20">
        <f>IF(M$4=1,IF(OR(INDEX('×入力'!$A$1:$L$1300,287+M$3,2+M$2)&lt;&gt;"",INDEX('×入力'!$A$1:$L$1300,286,2+M$2)&lt;&gt;"",INDEX('×入力'!$A$1:$L$1300,287+M$3,1)&lt;&gt;""),1,0),0)</f>
        <v/>
      </c>
      <c r="N20">
        <f>IF(N$4=1,IF(OR(INDEX('×入力'!$A$1:$L$1300,287+N$3,2+N$2)&lt;&gt;"",INDEX('×入力'!$A$1:$L$1300,286,2+N$2)&lt;&gt;"",INDEX('×入力'!$A$1:$L$1300,287+N$3,1)&lt;&gt;""),1,0),0)</f>
        <v/>
      </c>
      <c r="O20">
        <f>IF(O$4=1,IF(OR(INDEX('×入力'!$A$1:$L$1300,287+O$3,2+O$2)&lt;&gt;"",INDEX('×入力'!$A$1:$L$1300,286,2+O$2)&lt;&gt;"",INDEX('×入力'!$A$1:$L$1300,287+O$3,1)&lt;&gt;""),1,0),0)</f>
        <v/>
      </c>
      <c r="P20">
        <f>IF(P$4=1,IF(OR(INDEX('×入力'!$A$1:$L$1300,287+P$3,2+P$2)&lt;&gt;"",INDEX('×入力'!$A$1:$L$1300,286,2+P$2)&lt;&gt;"",INDEX('×入力'!$A$1:$L$1300,287+P$3,1)&lt;&gt;""),1,0),0)</f>
        <v/>
      </c>
      <c r="Q20">
        <f>IF(Q$4=1,IF(OR(INDEX('×入力'!$A$1:$L$1300,287+Q$3,2+Q$2)&lt;&gt;"",INDEX('×入力'!$A$1:$L$1300,286,2+Q$2)&lt;&gt;"",INDEX('×入力'!$A$1:$L$1300,287+Q$3,1)&lt;&gt;""),1,0),0)</f>
        <v/>
      </c>
      <c r="R20">
        <f>IF(R$4=1,IF(OR(INDEX('×入力'!$A$1:$L$1300,287+R$3,2+R$2)&lt;&gt;"",INDEX('×入力'!$A$1:$L$1300,286,2+R$2)&lt;&gt;"",INDEX('×入力'!$A$1:$L$1300,287+R$3,1)&lt;&gt;""),1,0),0)</f>
        <v/>
      </c>
      <c r="S20">
        <f>IF(S$4=1,IF(OR(INDEX('×入力'!$A$1:$L$1300,287+S$3,2+S$2)&lt;&gt;"",INDEX('×入力'!$A$1:$L$1300,286,2+S$2)&lt;&gt;"",INDEX('×入力'!$A$1:$L$1300,287+S$3,1)&lt;&gt;""),1,0),0)</f>
        <v/>
      </c>
      <c r="T20">
        <f>IF(T$4=1,IF(OR(INDEX('×入力'!$A$1:$L$1300,287+T$3,2+T$2)&lt;&gt;"",INDEX('×入力'!$A$1:$L$1300,286,2+T$2)&lt;&gt;"",INDEX('×入力'!$A$1:$L$1300,287+T$3,1)&lt;&gt;""),1,0),0)</f>
        <v/>
      </c>
      <c r="U20">
        <f>IF(U$4=1,IF(OR(INDEX('×入力'!$A$1:$L$1300,287+U$3,2+U$2)&lt;&gt;"",INDEX('×入力'!$A$1:$L$1300,286,2+U$2)&lt;&gt;"",INDEX('×入力'!$A$1:$L$1300,287+U$3,1)&lt;&gt;""),1,0),0)</f>
        <v/>
      </c>
      <c r="V20">
        <f>IF(V$4=1,IF(OR(INDEX('×入力'!$A$1:$L$1300,287+V$3,2+V$2)&lt;&gt;"",INDEX('×入力'!$A$1:$L$1300,286,2+V$2)&lt;&gt;"",INDEX('×入力'!$A$1:$L$1300,287+V$3,1)&lt;&gt;""),1,0),0)</f>
        <v/>
      </c>
      <c r="W20">
        <f>IF(W$4=1,IF(OR(INDEX('×入力'!$A$1:$L$1300,287+W$3,2+W$2)&lt;&gt;"",INDEX('×入力'!$A$1:$L$1300,286,2+W$2)&lt;&gt;"",INDEX('×入力'!$A$1:$L$1300,287+W$3,1)&lt;&gt;""),1,0),0)</f>
        <v/>
      </c>
      <c r="X20">
        <f>IF(X$4=1,IF(OR(INDEX('×入力'!$A$1:$L$1300,287+X$3,2+X$2)&lt;&gt;"",INDEX('×入力'!$A$1:$L$1300,286,2+X$2)&lt;&gt;"",INDEX('×入力'!$A$1:$L$1300,287+X$3,1)&lt;&gt;""),1,0),0)</f>
        <v/>
      </c>
      <c r="Y20">
        <f>IF(Y$4=1,IF(OR(INDEX('×入力'!$A$1:$L$1300,287+Y$3,2+Y$2)&lt;&gt;"",INDEX('×入力'!$A$1:$L$1300,286,2+Y$2)&lt;&gt;"",INDEX('×入力'!$A$1:$L$1300,287+Y$3,1)&lt;&gt;""),1,0),0)</f>
        <v/>
      </c>
      <c r="Z20">
        <f>IF(Z$4=1,IF(OR(INDEX('×入力'!$A$1:$L$1300,287+Z$3,2+Z$2)&lt;&gt;"",INDEX('×入力'!$A$1:$L$1300,286,2+Z$2)&lt;&gt;"",INDEX('×入力'!$A$1:$L$1300,287+Z$3,1)&lt;&gt;""),1,0),0)</f>
        <v/>
      </c>
      <c r="AA20">
        <f>IF(AA$4=1,IF(OR(INDEX('×入力'!$A$1:$L$1300,287+AA$3,2+AA$2)&lt;&gt;"",INDEX('×入力'!$A$1:$L$1300,286,2+AA$2)&lt;&gt;"",INDEX('×入力'!$A$1:$L$1300,287+AA$3,1)&lt;&gt;""),1,0),0)</f>
        <v/>
      </c>
      <c r="AB20">
        <f>IF(AB$4=1,IF(OR(INDEX('×入力'!$A$1:$L$1300,287+AB$3,2+AB$2)&lt;&gt;"",INDEX('×入力'!$A$1:$L$1300,286,2+AB$2)&lt;&gt;"",INDEX('×入力'!$A$1:$L$1300,287+AB$3,1)&lt;&gt;""),1,0),0)</f>
        <v/>
      </c>
      <c r="AC20">
        <f>IF(AC$4=1,IF(OR(INDEX('×入力'!$A$1:$L$1300,287+AC$3,2+AC$2)&lt;&gt;"",INDEX('×入力'!$A$1:$L$1300,286,2+AC$2)&lt;&gt;"",INDEX('×入力'!$A$1:$L$1300,287+AC$3,1)&lt;&gt;""),1,0),0)</f>
        <v/>
      </c>
      <c r="AD20">
        <f>IF(AD$4=1,IF(OR(INDEX('×入力'!$A$1:$L$1300,287+AD$3,2+AD$2)&lt;&gt;"",INDEX('×入力'!$A$1:$L$1300,286,2+AD$2)&lt;&gt;"",INDEX('×入力'!$A$1:$L$1300,287+AD$3,1)&lt;&gt;""),1,0),0)</f>
        <v/>
      </c>
      <c r="AE20">
        <f>IF(AE$4=1,IF(OR(INDEX('×入力'!$A$1:$L$1300,287+AE$3,2+AE$2)&lt;&gt;"",INDEX('×入力'!$A$1:$L$1300,286,2+AE$2)&lt;&gt;"",INDEX('×入力'!$A$1:$L$1300,287+AE$3,1)&lt;&gt;""),1,0),0)</f>
        <v/>
      </c>
      <c r="AF20">
        <f>IF(AF$4=1,IF(OR(INDEX('×入力'!$A$1:$L$1300,287+AF$3,2+AF$2)&lt;&gt;"",INDEX('×入力'!$A$1:$L$1300,286,2+AF$2)&lt;&gt;"",INDEX('×入力'!$A$1:$L$1300,287+AF$3,1)&lt;&gt;""),1,0),0)</f>
        <v/>
      </c>
      <c r="AG20">
        <f>IF(AG$4=1,IF(OR(INDEX('×入力'!$A$1:$L$1300,287+AG$3,2+AG$2)&lt;&gt;"",INDEX('×入力'!$A$1:$L$1300,286,2+AG$2)&lt;&gt;"",INDEX('×入力'!$A$1:$L$1300,287+AG$3,1)&lt;&gt;""),1,0),0)</f>
        <v/>
      </c>
      <c r="AH20">
        <f>IF(AH$4=1,IF(OR(INDEX('×入力'!$A$1:$L$1300,287+AH$3,2+AH$2)&lt;&gt;"",INDEX('×入力'!$A$1:$L$1300,286,2+AH$2)&lt;&gt;"",INDEX('×入力'!$A$1:$L$1300,287+AH$3,1)&lt;&gt;""),1,0),0)</f>
        <v/>
      </c>
      <c r="AI20">
        <f>IF(AI$4=1,IF(OR(INDEX('×入力'!$A$1:$L$1300,287+AI$3,2+AI$2)&lt;&gt;"",INDEX('×入力'!$A$1:$L$1300,286,2+AI$2)&lt;&gt;"",INDEX('×入力'!$A$1:$L$1300,287+AI$3,1)&lt;&gt;""),1,0),0)</f>
        <v/>
      </c>
      <c r="AJ20">
        <f>IF(AJ$4=1,IF(OR(INDEX('×入力'!$A$1:$L$1300,287+AJ$3,2+AJ$2)&lt;&gt;"",INDEX('×入力'!$A$1:$L$1300,286,2+AJ$2)&lt;&gt;"",INDEX('×入力'!$A$1:$L$1300,287+AJ$3,1)&lt;&gt;""),1,0),0)</f>
        <v/>
      </c>
      <c r="AK20">
        <f>IF(AK$4=1,IF(OR(INDEX('×入力'!$A$1:$L$1300,287+AK$3,2+AK$2)&lt;&gt;"",INDEX('×入力'!$A$1:$L$1300,286,2+AK$2)&lt;&gt;"",INDEX('×入力'!$A$1:$L$1300,287+AK$3,1)&lt;&gt;""),1,0),0)</f>
        <v/>
      </c>
      <c r="AL20">
        <f>IF(AL$4=1,IF(OR(INDEX('×入力'!$A$1:$L$1300,287+AL$3,2+AL$2)&lt;&gt;"",INDEX('×入力'!$A$1:$L$1300,286,2+AL$2)&lt;&gt;"",INDEX('×入力'!$A$1:$L$1300,287+AL$3,1)&lt;&gt;""),1,0),0)</f>
        <v/>
      </c>
      <c r="AM20">
        <f>IF(AM$4=1,IF(OR(INDEX('×入力'!$A$1:$L$1300,287+AM$3,2+AM$2)&lt;&gt;"",INDEX('×入力'!$A$1:$L$1300,286,2+AM$2)&lt;&gt;"",INDEX('×入力'!$A$1:$L$1300,287+AM$3,1)&lt;&gt;""),1,0),0)</f>
        <v/>
      </c>
      <c r="AN20">
        <f>IF(AN$4=1,IF(OR(INDEX('×入力'!$A$1:$L$1300,287+AN$3,2+AN$2)&lt;&gt;"",INDEX('×入力'!$A$1:$L$1300,286,2+AN$2)&lt;&gt;"",INDEX('×入力'!$A$1:$L$1300,287+AN$3,1)&lt;&gt;""),1,0),0)</f>
        <v/>
      </c>
      <c r="AO20">
        <f>IF(AO$4=1,IF(OR(INDEX('×入力'!$A$1:$L$1300,287+AO$3,2+AO$2)&lt;&gt;"",INDEX('×入力'!$A$1:$L$1300,286,2+AO$2)&lt;&gt;"",INDEX('×入力'!$A$1:$L$1300,287+AO$3,1)&lt;&gt;""),1,0),0)</f>
        <v/>
      </c>
      <c r="AP20">
        <f>IF(AP$4=1,IF(OR(INDEX('×入力'!$A$1:$L$1300,287+AP$3,2+AP$2)&lt;&gt;"",INDEX('×入力'!$A$1:$L$1300,286,2+AP$2)&lt;&gt;"",INDEX('×入力'!$A$1:$L$1300,287+AP$3,1)&lt;&gt;""),1,0),0)</f>
        <v/>
      </c>
      <c r="AQ20">
        <f>IF(AQ$4=1,IF(OR(INDEX('×入力'!$A$1:$L$1300,287+AQ$3,2+AQ$2)&lt;&gt;"",INDEX('×入力'!$A$1:$L$1300,286,2+AQ$2)&lt;&gt;"",INDEX('×入力'!$A$1:$L$1300,287+AQ$3,1)&lt;&gt;""),1,0),0)</f>
        <v/>
      </c>
      <c r="AR20">
        <f>IF(AR$4=1,IF(OR(INDEX('×入力'!$A$1:$L$1300,287+AR$3,2+AR$2)&lt;&gt;"",INDEX('×入力'!$A$1:$L$1300,286,2+AR$2)&lt;&gt;"",INDEX('×入力'!$A$1:$L$1300,287+AR$3,1)&lt;&gt;""),1,0),0)</f>
        <v/>
      </c>
      <c r="AS20">
        <f>IF(AS$4=1,IF(OR(INDEX('×入力'!$A$1:$L$1300,287+AS$3,2+AS$2)&lt;&gt;"",INDEX('×入力'!$A$1:$L$1300,286,2+AS$2)&lt;&gt;"",INDEX('×入力'!$A$1:$L$1300,287+AS$3,1)&lt;&gt;""),1,0),0)</f>
        <v/>
      </c>
      <c r="AT20">
        <f>IF(AT$4=1,IF(OR(INDEX('×入力'!$A$1:$L$1300,287+AT$3,2+AT$2)&lt;&gt;"",INDEX('×入力'!$A$1:$L$1300,286,2+AT$2)&lt;&gt;"",INDEX('×入力'!$A$1:$L$1300,287+AT$3,1)&lt;&gt;""),1,0),0)</f>
        <v/>
      </c>
      <c r="AU20">
        <f>IF(AU$4=1,IF(OR(INDEX('×入力'!$A$1:$L$1300,287+AU$3,2+AU$2)&lt;&gt;"",INDEX('×入力'!$A$1:$L$1300,286,2+AU$2)&lt;&gt;"",INDEX('×入力'!$A$1:$L$1300,287+AU$3,1)&lt;&gt;""),1,0),0)</f>
        <v/>
      </c>
      <c r="AV20">
        <f>IF(AV$4=1,IF(OR(INDEX('×入力'!$A$1:$L$1300,287+AV$3,2+AV$2)&lt;&gt;"",INDEX('×入力'!$A$1:$L$1300,286,2+AV$2)&lt;&gt;"",INDEX('×入力'!$A$1:$L$1300,287+AV$3,1)&lt;&gt;""),1,0),0)</f>
        <v/>
      </c>
      <c r="AW20">
        <f>IF(AW$4=1,IF(OR(INDEX('×入力'!$A$1:$L$1300,287+AW$3,2+AW$2)&lt;&gt;"",INDEX('×入力'!$A$1:$L$1300,286,2+AW$2)&lt;&gt;"",INDEX('×入力'!$A$1:$L$1300,287+AW$3,1)&lt;&gt;""),1,0),0)</f>
        <v/>
      </c>
      <c r="AX20">
        <f>IF(AX$4=1,IF(OR(INDEX('×入力'!$A$1:$L$1300,287+AX$3,2+AX$2)&lt;&gt;"",INDEX('×入力'!$A$1:$L$1300,286,2+AX$2)&lt;&gt;"",INDEX('×入力'!$A$1:$L$1300,287+AX$3,1)&lt;&gt;""),1,0),0)</f>
        <v/>
      </c>
      <c r="AY20">
        <f>IF(AY$4=1,IF(OR(INDEX('×入力'!$A$1:$L$1300,287+AY$3,2+AY$2)&lt;&gt;"",INDEX('×入力'!$A$1:$L$1300,286,2+AY$2)&lt;&gt;"",INDEX('×入力'!$A$1:$L$1300,287+AY$3,1)&lt;&gt;""),1,0),0)</f>
        <v/>
      </c>
      <c r="AZ20">
        <f>IF(AZ$4=1,IF(OR(INDEX('×入力'!$A$1:$L$1300,287+AZ$3,2+AZ$2)&lt;&gt;"",INDEX('×入力'!$A$1:$L$1300,286,2+AZ$2)&lt;&gt;"",INDEX('×入力'!$A$1:$L$1300,287+AZ$3,1)&lt;&gt;""),1,0),0)</f>
        <v/>
      </c>
      <c r="BA20">
        <f>IF(BA$4=1,IF(OR(INDEX('×入力'!$A$1:$L$1300,287+BA$3,2+BA$2)&lt;&gt;"",INDEX('×入力'!$A$1:$L$1300,286,2+BA$2)&lt;&gt;"",INDEX('×入力'!$A$1:$L$1300,287+BA$3,1)&lt;&gt;""),1,0),0)</f>
        <v/>
      </c>
      <c r="BB20">
        <f>IF(BB$4=1,IF(OR(INDEX('×入力'!$A$1:$L$1300,287+BB$3,2+BB$2)&lt;&gt;"",INDEX('×入力'!$A$1:$L$1300,286,2+BB$2)&lt;&gt;"",INDEX('×入力'!$A$1:$L$1300,287+BB$3,1)&lt;&gt;""),1,0),0)</f>
        <v/>
      </c>
      <c r="BC20">
        <f>IF(BC$4=1,IF(OR(INDEX('×入力'!$A$1:$L$1300,287+BC$3,2+BC$2)&lt;&gt;"",INDEX('×入力'!$A$1:$L$1300,286,2+BC$2)&lt;&gt;"",INDEX('×入力'!$A$1:$L$1300,287+BC$3,1)&lt;&gt;""),1,0),0)</f>
        <v/>
      </c>
      <c r="BD20">
        <f>IF(BD$4=1,IF(OR(INDEX('×入力'!$A$1:$L$1300,287+BD$3,2+BD$2)&lt;&gt;"",INDEX('×入力'!$A$1:$L$1300,286,2+BD$2)&lt;&gt;"",INDEX('×入力'!$A$1:$L$1300,287+BD$3,1)&lt;&gt;""),1,0),0)</f>
        <v/>
      </c>
      <c r="BE20">
        <f>IF(BE$4=1,IF(OR(INDEX('×入力'!$A$1:$L$1300,287+BE$3,2+BE$2)&lt;&gt;"",INDEX('×入力'!$A$1:$L$1300,286,2+BE$2)&lt;&gt;"",INDEX('×入力'!$A$1:$L$1300,287+BE$3,1)&lt;&gt;""),1,0),0)</f>
        <v/>
      </c>
      <c r="BF20">
        <f>IF(BF$4=1,IF(OR(INDEX('×入力'!$A$1:$L$1300,287+BF$3,2+BF$2)&lt;&gt;"",INDEX('×入力'!$A$1:$L$1300,286,2+BF$2)&lt;&gt;"",INDEX('×入力'!$A$1:$L$1300,287+BF$3,1)&lt;&gt;""),1,0),0)</f>
        <v/>
      </c>
      <c r="BG20">
        <f>IF(BG$4=1,IF(OR(INDEX('×入力'!$A$1:$L$1300,287+BG$3,2+BG$2)&lt;&gt;"",INDEX('×入力'!$A$1:$L$1300,286,2+BG$2)&lt;&gt;"",INDEX('×入力'!$A$1:$L$1300,287+BG$3,1)&lt;&gt;""),1,0),0)</f>
        <v/>
      </c>
      <c r="BH20">
        <f>IF(BH$4=1,IF(OR(INDEX('×入力'!$A$1:$L$1300,287+BH$3,2+BH$2)&lt;&gt;"",INDEX('×入力'!$A$1:$L$1300,286,2+BH$2)&lt;&gt;"",INDEX('×入力'!$A$1:$L$1300,287+BH$3,1)&lt;&gt;""),1,0),0)</f>
        <v/>
      </c>
      <c r="BI20">
        <f>IF(BI$4=1,IF(OR(INDEX('×入力'!$A$1:$L$1300,287+BI$3,2+BI$2)&lt;&gt;"",INDEX('×入力'!$A$1:$L$1300,286,2+BI$2)&lt;&gt;"",INDEX('×入力'!$A$1:$L$1300,287+BI$3,1)&lt;&gt;""),1,0),0)</f>
        <v/>
      </c>
      <c r="BJ20">
        <f>IF(BJ$4=1,IF(OR(INDEX('×入力'!$A$1:$L$1300,287+BJ$3,2+BJ$2)&lt;&gt;"",INDEX('×入力'!$A$1:$L$1300,286,2+BJ$2)&lt;&gt;"",INDEX('×入力'!$A$1:$L$1300,287+BJ$3,1)&lt;&gt;""),1,0),0)</f>
        <v/>
      </c>
      <c r="BK20">
        <f>IF(BK$4=1,IF(OR(INDEX('×入力'!$A$1:$L$1300,287+BK$3,2+BK$2)&lt;&gt;"",INDEX('×入力'!$A$1:$L$1300,286,2+BK$2)&lt;&gt;"",INDEX('×入力'!$A$1:$L$1300,287+BK$3,1)&lt;&gt;""),1,0),0)</f>
        <v/>
      </c>
      <c r="BL20">
        <f>IF(BL$4=1,IF(OR(INDEX('×入力'!$A$1:$L$1300,287+BL$3,2+BL$2)&lt;&gt;"",INDEX('×入力'!$A$1:$L$1300,286,2+BL$2)&lt;&gt;"",INDEX('×入力'!$A$1:$L$1300,287+BL$3,1)&lt;&gt;""),1,0),0)</f>
        <v/>
      </c>
      <c r="BM20">
        <f>IF(BM$4=1,IF(OR(INDEX('×入力'!$A$1:$L$1300,287+BM$3,2+BM$2)&lt;&gt;"",INDEX('×入力'!$A$1:$L$1300,286,2+BM$2)&lt;&gt;"",INDEX('×入力'!$A$1:$L$1300,287+BM$3,1)&lt;&gt;""),1,0),0)</f>
        <v/>
      </c>
      <c r="BN20">
        <f>IF(BN$4=1,IF(OR(INDEX('×入力'!$A$1:$L$1300,287+BN$3,2+BN$2)&lt;&gt;"",INDEX('×入力'!$A$1:$L$1300,286,2+BN$2)&lt;&gt;"",INDEX('×入力'!$A$1:$L$1300,287+BN$3,1)&lt;&gt;""),1,0),0)</f>
        <v/>
      </c>
      <c r="BO20">
        <f>IF(BO$4=1,IF(OR(INDEX('×入力'!$A$1:$L$1300,287+BO$3,2+BO$2)&lt;&gt;"",INDEX('×入力'!$A$1:$L$1300,286,2+BO$2)&lt;&gt;"",INDEX('×入力'!$A$1:$L$1300,287+BO$3,1)&lt;&gt;""),1,0),0)</f>
        <v/>
      </c>
      <c r="BP20">
        <f>IF(BP$4=1,IF(OR(INDEX('×入力'!$A$1:$L$1300,287+BP$3,2+BP$2)&lt;&gt;"",INDEX('×入力'!$A$1:$L$1300,286,2+BP$2)&lt;&gt;"",INDEX('×入力'!$A$1:$L$1300,287+BP$3,1)&lt;&gt;""),1,0),0)</f>
        <v/>
      </c>
      <c r="BQ20">
        <f>IF(BQ$4=1,IF(OR(INDEX('×入力'!$A$1:$L$1300,287+BQ$3,2+BQ$2)&lt;&gt;"",INDEX('×入力'!$A$1:$L$1300,286,2+BQ$2)&lt;&gt;"",INDEX('×入力'!$A$1:$L$1300,287+BQ$3,1)&lt;&gt;""),1,0),0)</f>
        <v/>
      </c>
      <c r="BR20">
        <f>IF(BR$4=1,IF(OR(INDEX('×入力'!$A$1:$L$1300,287+BR$3,2+BR$2)&lt;&gt;"",INDEX('×入力'!$A$1:$L$1300,286,2+BR$2)&lt;&gt;"",INDEX('×入力'!$A$1:$L$1300,287+BR$3,1)&lt;&gt;""),1,0),0)</f>
        <v/>
      </c>
      <c r="BS20">
        <f>IF(BS$4=1,IF(OR(INDEX('×入力'!$A$1:$L$1300,287+BS$3,2+BS$2)&lt;&gt;"",INDEX('×入力'!$A$1:$L$1300,286,2+BS$2)&lt;&gt;"",INDEX('×入力'!$A$1:$L$1300,287+BS$3,1)&lt;&gt;""),1,0),0)</f>
        <v/>
      </c>
      <c r="BT20">
        <f>IF(BT$4=1,IF(OR(INDEX('×入力'!$A$1:$L$1300,287+BT$3,2+BT$2)&lt;&gt;"",INDEX('×入力'!$A$1:$L$1300,286,2+BT$2)&lt;&gt;"",INDEX('×入力'!$A$1:$L$1300,287+BT$3,1)&lt;&gt;""),1,0),0)</f>
        <v/>
      </c>
      <c r="BU20">
        <f>IF(BU$4=1,IF(OR(INDEX('×入力'!$A$1:$L$1300,287+BU$3,2+BU$2)&lt;&gt;"",INDEX('×入力'!$A$1:$L$1300,286,2+BU$2)&lt;&gt;"",INDEX('×入力'!$A$1:$L$1300,287+BU$3,1)&lt;&gt;""),1,0),0)</f>
        <v/>
      </c>
      <c r="BV20">
        <f>IF(BV$4=1,IF(OR(INDEX('×入力'!$A$1:$L$1300,287+BV$3,2+BV$2)&lt;&gt;"",INDEX('×入力'!$A$1:$L$1300,286,2+BV$2)&lt;&gt;"",INDEX('×入力'!$A$1:$L$1300,287+BV$3,1)&lt;&gt;""),1,0),0)</f>
        <v/>
      </c>
      <c r="BW20">
        <f>IF(BW$4=1,IF(OR(INDEX('×入力'!$A$1:$L$1300,287+BW$3,2+BW$2)&lt;&gt;"",INDEX('×入力'!$A$1:$L$1300,286,2+BW$2)&lt;&gt;"",INDEX('×入力'!$A$1:$L$1300,287+BW$3,1)&lt;&gt;""),1,0),0)</f>
        <v/>
      </c>
      <c r="BX20">
        <f>IF(BX$4=1,IF(OR(INDEX('×入力'!$A$1:$L$1300,287+BX$3,2+BX$2)&lt;&gt;"",INDEX('×入力'!$A$1:$L$1300,286,2+BX$2)&lt;&gt;"",INDEX('×入力'!$A$1:$L$1300,287+BX$3,1)&lt;&gt;""),1,0),0)</f>
        <v/>
      </c>
      <c r="BY20">
        <f>IF(BY$4=1,IF(OR(INDEX('×入力'!$A$1:$L$1300,287+BY$3,2+BY$2)&lt;&gt;"",INDEX('×入力'!$A$1:$L$1300,286,2+BY$2)&lt;&gt;"",INDEX('×入力'!$A$1:$L$1300,287+BY$3,1)&lt;&gt;""),1,0),0)</f>
        <v/>
      </c>
      <c r="BZ20">
        <f>IF(BZ$4=1,IF(OR(INDEX('×入力'!$A$1:$L$1300,287+BZ$3,2+BZ$2)&lt;&gt;"",INDEX('×入力'!$A$1:$L$1300,286,2+BZ$2)&lt;&gt;"",INDEX('×入力'!$A$1:$L$1300,287+BZ$3,1)&lt;&gt;""),1,0),0)</f>
        <v/>
      </c>
      <c r="CA20">
        <f>IF(CA$4=1,IF(OR(INDEX('×入力'!$A$1:$L$1300,287+CA$3,2+CA$2)&lt;&gt;"",INDEX('×入力'!$A$1:$L$1300,286,2+CA$2)&lt;&gt;"",INDEX('×入力'!$A$1:$L$1300,287+CA$3,1)&lt;&gt;""),1,0),0)</f>
        <v/>
      </c>
      <c r="CB20">
        <f>IF(CB$4=1,IF(OR(INDEX('×入力'!$A$1:$L$1300,287+CB$3,2+CB$2)&lt;&gt;"",INDEX('×入力'!$A$1:$L$1300,286,2+CB$2)&lt;&gt;"",INDEX('×入力'!$A$1:$L$1300,287+CB$3,1)&lt;&gt;""),1,0),0)</f>
        <v/>
      </c>
      <c r="CC20">
        <f>IF(CC$4=1,IF(OR(INDEX('×入力'!$A$1:$L$1300,287+CC$3,2+CC$2)&lt;&gt;"",INDEX('×入力'!$A$1:$L$1300,286,2+CC$2)&lt;&gt;"",INDEX('×入力'!$A$1:$L$1300,287+CC$3,1)&lt;&gt;""),1,0),0)</f>
        <v/>
      </c>
      <c r="CD20">
        <f>IF(CD$4=1,IF(OR(INDEX('×入力'!$A$1:$L$1300,287+CD$3,2+CD$2)&lt;&gt;"",INDEX('×入力'!$A$1:$L$1300,286,2+CD$2)&lt;&gt;"",INDEX('×入力'!$A$1:$L$1300,287+CD$3,1)&lt;&gt;""),1,0),0)</f>
        <v/>
      </c>
      <c r="CE20">
        <f>IF(CE$4=1,IF(OR(INDEX('×入力'!$A$1:$L$1300,287+CE$3,2+CE$2)&lt;&gt;"",INDEX('×入力'!$A$1:$L$1300,286,2+CE$2)&lt;&gt;"",INDEX('×入力'!$A$1:$L$1300,287+CE$3,1)&lt;&gt;""),1,0),0)</f>
        <v/>
      </c>
      <c r="CF20">
        <f>IF(CF$4=1,IF(OR(INDEX('×入力'!$A$1:$L$1300,287+CF$3,2+CF$2)&lt;&gt;"",INDEX('×入力'!$A$1:$L$1300,286,2+CF$2)&lt;&gt;"",INDEX('×入力'!$A$1:$L$1300,287+CF$3,1)&lt;&gt;""),1,0),0)</f>
        <v/>
      </c>
      <c r="CG20">
        <f>IF(CG$4=1,IF(OR(INDEX('×入力'!$A$1:$L$1300,287+CG$3,2+CG$2)&lt;&gt;"",INDEX('×入力'!$A$1:$L$1300,286,2+CG$2)&lt;&gt;"",INDEX('×入力'!$A$1:$L$1300,287+CG$3,1)&lt;&gt;""),1,0),0)</f>
        <v/>
      </c>
      <c r="CH20">
        <f>IF(CH$4=1,IF(OR(INDEX('×入力'!$A$1:$L$1300,287+CH$3,2+CH$2)&lt;&gt;"",INDEX('×入力'!$A$1:$L$1300,286,2+CH$2)&lt;&gt;"",INDEX('×入力'!$A$1:$L$1300,287+CH$3,1)&lt;&gt;""),1,0),0)</f>
        <v/>
      </c>
      <c r="CI20">
        <f>IF(CI$4=1,IF(OR(INDEX('×入力'!$A$1:$L$1300,287+CI$3,2+CI$2)&lt;&gt;"",INDEX('×入力'!$A$1:$L$1300,286,2+CI$2)&lt;&gt;"",INDEX('×入力'!$A$1:$L$1300,287+CI$3,1)&lt;&gt;""),1,0),0)</f>
        <v/>
      </c>
      <c r="CJ20">
        <f>IF(CJ$4=1,IF(OR(INDEX('×入力'!$A$1:$L$1300,287+CJ$3,2+CJ$2)&lt;&gt;"",INDEX('×入力'!$A$1:$L$1300,286,2+CJ$2)&lt;&gt;"",INDEX('×入力'!$A$1:$L$1300,287+CJ$3,1)&lt;&gt;""),1,0),0)</f>
        <v/>
      </c>
      <c r="CK20">
        <f>IF(CK$4=1,IF(OR(INDEX('×入力'!$A$1:$L$1300,287+CK$3,2+CK$2)&lt;&gt;"",INDEX('×入力'!$A$1:$L$1300,286,2+CK$2)&lt;&gt;"",INDEX('×入力'!$A$1:$L$1300,287+CK$3,1)&lt;&gt;""),1,0),0)</f>
        <v/>
      </c>
      <c r="CL20">
        <f>IF(CL$4=1,IF(OR(INDEX('×入力'!$A$1:$L$1300,287+CL$3,2+CL$2)&lt;&gt;"",INDEX('×入力'!$A$1:$L$1300,286,2+CL$2)&lt;&gt;"",INDEX('×入力'!$A$1:$L$1300,287+CL$3,1)&lt;&gt;""),1,0),0)</f>
        <v/>
      </c>
      <c r="CM20">
        <f>IF(CM$4=1,IF(OR(INDEX('×入力'!$A$1:$L$1300,287+CM$3,2+CM$2)&lt;&gt;"",INDEX('×入力'!$A$1:$L$1300,286,2+CM$2)&lt;&gt;"",INDEX('×入力'!$A$1:$L$1300,287+CM$3,1)&lt;&gt;""),1,0),0)</f>
        <v/>
      </c>
      <c r="CN20">
        <f>IF(CN$4=1,IF(OR(INDEX('×入力'!$A$1:$L$1300,287+CN$3,2+CN$2)&lt;&gt;"",INDEX('×入力'!$A$1:$L$1300,286,2+CN$2)&lt;&gt;"",INDEX('×入力'!$A$1:$L$1300,287+CN$3,1)&lt;&gt;""),1,0),0)</f>
        <v/>
      </c>
      <c r="CO20">
        <f>IF(CO$4=1,IF(OR(INDEX('×入力'!$A$1:$L$1300,287+CO$3,2+CO$2)&lt;&gt;"",INDEX('×入力'!$A$1:$L$1300,286,2+CO$2)&lt;&gt;"",INDEX('×入力'!$A$1:$L$1300,287+CO$3,1)&lt;&gt;""),1,0),0)</f>
        <v/>
      </c>
      <c r="CP20">
        <f>IF(CP$4=1,IF(OR(INDEX('×入力'!$A$1:$L$1300,287+CP$3,2+CP$2)&lt;&gt;"",INDEX('×入力'!$A$1:$L$1300,286,2+CP$2)&lt;&gt;"",INDEX('×入力'!$A$1:$L$1300,287+CP$3,1)&lt;&gt;""),1,0),0)</f>
        <v/>
      </c>
      <c r="CQ20">
        <f>IF(CQ$4=1,IF(OR(INDEX('×入力'!$A$1:$L$1300,287+CQ$3,2+CQ$2)&lt;&gt;"",INDEX('×入力'!$A$1:$L$1300,286,2+CQ$2)&lt;&gt;"",INDEX('×入力'!$A$1:$L$1300,287+CQ$3,1)&lt;&gt;""),1,0),0)</f>
        <v/>
      </c>
      <c r="CR20">
        <f>IF(CR$4=1,IF(OR(INDEX('×入力'!$A$1:$L$1300,287+CR$3,2+CR$2)&lt;&gt;"",INDEX('×入力'!$A$1:$L$1300,286,2+CR$2)&lt;&gt;"",INDEX('×入力'!$A$1:$L$1300,287+CR$3,1)&lt;&gt;""),1,0),0)</f>
        <v/>
      </c>
      <c r="CS20">
        <f>IF(CS$4=1,IF(OR(INDEX('×入力'!$A$1:$L$1300,287+CS$3,2+CS$2)&lt;&gt;"",INDEX('×入力'!$A$1:$L$1300,286,2+CS$2)&lt;&gt;"",INDEX('×入力'!$A$1:$L$1300,287+CS$3,1)&lt;&gt;""),1,0),0)</f>
        <v/>
      </c>
      <c r="CT20">
        <f>IF(CT$4=1,IF(OR(INDEX('×入力'!$A$1:$L$1300,287+CT$3,2+CT$2)&lt;&gt;"",INDEX('×入力'!$A$1:$L$1300,286,2+CT$2)&lt;&gt;"",INDEX('×入力'!$A$1:$L$1300,287+CT$3,1)&lt;&gt;""),1,0),0)</f>
        <v/>
      </c>
      <c r="CU20">
        <f>IF(CU$4=1,IF(OR(INDEX('×入力'!$A$1:$L$1300,287+CU$3,2+CU$2)&lt;&gt;"",INDEX('×入力'!$A$1:$L$1300,286,2+CU$2)&lt;&gt;"",INDEX('×入力'!$A$1:$L$1300,287+CU$3,1)&lt;&gt;""),1,0),0)</f>
        <v/>
      </c>
      <c r="CV20">
        <f>IF(CV$4=1,IF(OR(INDEX('×入力'!$A$1:$L$1300,287+CV$3,2+CV$2)&lt;&gt;"",INDEX('×入力'!$A$1:$L$1300,286,2+CV$2)&lt;&gt;"",INDEX('×入力'!$A$1:$L$1300,287+CV$3,1)&lt;&gt;""),1,0),0)</f>
        <v/>
      </c>
      <c r="CW20">
        <f>IF(CW$4=1,IF(OR(INDEX('×入力'!$A$1:$L$1300,287+CW$3,2+CW$2)&lt;&gt;"",INDEX('×入力'!$A$1:$L$1300,286,2+CW$2)&lt;&gt;"",INDEX('×入力'!$A$1:$L$1300,287+CW$3,1)&lt;&gt;""),1,0),0)</f>
        <v/>
      </c>
      <c r="CX20">
        <f>IF(CX$4=1,IF(OR(INDEX('×入力'!$A$1:$L$1300,287+CX$3,2+CX$2)&lt;&gt;"",INDEX('×入力'!$A$1:$L$1300,286,2+CX$2)&lt;&gt;"",INDEX('×入力'!$A$1:$L$1300,287+CX$3,1)&lt;&gt;""),1,0),0)</f>
        <v/>
      </c>
      <c r="CY20">
        <f>IF(CY$4=1,IF(OR(INDEX('×入力'!$A$1:$L$1300,287+CY$3,2+CY$2)&lt;&gt;"",INDEX('×入力'!$A$1:$L$1300,286,2+CY$2)&lt;&gt;"",INDEX('×入力'!$A$1:$L$1300,287+CY$3,1)&lt;&gt;""),1,0),0)</f>
        <v/>
      </c>
      <c r="CZ20">
        <f>IF(CZ$4=1,IF(OR(INDEX('×入力'!$A$1:$L$1300,287+CZ$3,2+CZ$2)&lt;&gt;"",INDEX('×入力'!$A$1:$L$1300,286,2+CZ$2)&lt;&gt;"",INDEX('×入力'!$A$1:$L$1300,287+CZ$3,1)&lt;&gt;""),1,0),0)</f>
        <v/>
      </c>
      <c r="DA20">
        <f>IF(DA$4=1,IF(OR(INDEX('×入力'!$A$1:$L$1300,287+DA$3,2+DA$2)&lt;&gt;"",INDEX('×入力'!$A$1:$L$1300,286,2+DA$2)&lt;&gt;"",INDEX('×入力'!$A$1:$L$1300,287+DA$3,1)&lt;&gt;""),1,0),0)</f>
        <v/>
      </c>
      <c r="DB20">
        <f>IF(DB$4=1,IF(OR(INDEX('×入力'!$A$1:$L$1300,287+DB$3,2+DB$2)&lt;&gt;"",INDEX('×入力'!$A$1:$L$1300,286,2+DB$2)&lt;&gt;"",INDEX('×入力'!$A$1:$L$1300,287+DB$3,1)&lt;&gt;""),1,0),0)</f>
        <v/>
      </c>
      <c r="DC20">
        <f>IF(DC$4=1,IF(OR(INDEX('×入力'!$A$1:$L$1300,287+DC$3,2+DC$2)&lt;&gt;"",INDEX('×入力'!$A$1:$L$1300,286,2+DC$2)&lt;&gt;"",INDEX('×入力'!$A$1:$L$1300,287+DC$3,1)&lt;&gt;""),1,0),0)</f>
        <v/>
      </c>
      <c r="DD20">
        <f>IF(DD$4=1,IF(OR(INDEX('×入力'!$A$1:$L$1300,287+DD$3,2+DD$2)&lt;&gt;"",INDEX('×入力'!$A$1:$L$1300,286,2+DD$2)&lt;&gt;"",INDEX('×入力'!$A$1:$L$1300,287+DD$3,1)&lt;&gt;""),1,0),0)</f>
        <v/>
      </c>
      <c r="DE20">
        <f>IF(DE$4=1,IF(OR(INDEX('×入力'!$A$1:$L$1300,287+DE$3,2+DE$2)&lt;&gt;"",INDEX('×入力'!$A$1:$L$1300,286,2+DE$2)&lt;&gt;"",INDEX('×入力'!$A$1:$L$1300,287+DE$3,1)&lt;&gt;""),1,0),0)</f>
        <v/>
      </c>
      <c r="DF20">
        <f>IF(DF$4=1,IF(OR(INDEX('×入力'!$A$1:$L$1300,287+DF$3,2+DF$2)&lt;&gt;"",INDEX('×入力'!$A$1:$L$1300,286,2+DF$2)&lt;&gt;"",INDEX('×入力'!$A$1:$L$1300,287+DF$3,1)&lt;&gt;""),1,0),0)</f>
        <v/>
      </c>
      <c r="DG20">
        <f>IF(DG$4=1,IF(OR(INDEX('×入力'!$A$1:$L$1300,287+DG$3,2+DG$2)&lt;&gt;"",INDEX('×入力'!$A$1:$L$1300,286,2+DG$2)&lt;&gt;"",INDEX('×入力'!$A$1:$L$1300,287+DG$3,1)&lt;&gt;""),1,0),0)</f>
        <v/>
      </c>
      <c r="DH20">
        <f>IF(DH$4=1,IF(OR(INDEX('×入力'!$A$1:$L$1300,287+DH$3,2+DH$2)&lt;&gt;"",INDEX('×入力'!$A$1:$L$1300,286,2+DH$2)&lt;&gt;"",INDEX('×入力'!$A$1:$L$1300,287+DH$3,1)&lt;&gt;""),1,0),0)</f>
        <v/>
      </c>
      <c r="DI20">
        <f>IF(DI$4=1,IF(OR(INDEX('×入力'!$A$1:$L$1300,287+DI$3,2+DI$2)&lt;&gt;"",INDEX('×入力'!$A$1:$L$1300,286,2+DI$2)&lt;&gt;"",INDEX('×入力'!$A$1:$L$1300,287+DI$3,1)&lt;&gt;""),1,0),0)</f>
        <v/>
      </c>
      <c r="DJ20">
        <f>IF(DJ$4=1,IF(OR(INDEX('×入力'!$A$1:$L$1300,287+DJ$3,2+DJ$2)&lt;&gt;"",INDEX('×入力'!$A$1:$L$1300,286,2+DJ$2)&lt;&gt;"",INDEX('×入力'!$A$1:$L$1300,287+DJ$3,1)&lt;&gt;""),1,0),0)</f>
        <v/>
      </c>
      <c r="DK20">
        <f>IF(DK$4=1,IF(OR(INDEX('×入力'!$A$1:$L$1300,287+DK$3,2+DK$2)&lt;&gt;"",INDEX('×入力'!$A$1:$L$1300,286,2+DK$2)&lt;&gt;"",INDEX('×入力'!$A$1:$L$1300,287+DK$3,1)&lt;&gt;""),1,0),0)</f>
        <v/>
      </c>
      <c r="DL20">
        <f>IF(DL$4=1,IF(OR(INDEX('×入力'!$A$1:$L$1300,287+DL$3,2+DL$2)&lt;&gt;"",INDEX('×入力'!$A$1:$L$1300,286,2+DL$2)&lt;&gt;"",INDEX('×入力'!$A$1:$L$1300,287+DL$3,1)&lt;&gt;""),1,0),0)</f>
        <v/>
      </c>
      <c r="DM20">
        <f>IF(DM$4=1,IF(OR(INDEX('×入力'!$A$1:$L$1300,287+DM$3,2+DM$2)&lt;&gt;"",INDEX('×入力'!$A$1:$L$1300,286,2+DM$2)&lt;&gt;"",INDEX('×入力'!$A$1:$L$1300,287+DM$3,1)&lt;&gt;""),1,0),0)</f>
        <v/>
      </c>
      <c r="DN20">
        <f>IF(DN$4=1,IF(OR(INDEX('×入力'!$A$1:$L$1300,287+DN$3,2+DN$2)&lt;&gt;"",INDEX('×入力'!$A$1:$L$1300,286,2+DN$2)&lt;&gt;"",INDEX('×入力'!$A$1:$L$1300,287+DN$3,1)&lt;&gt;""),1,0),0)</f>
        <v/>
      </c>
      <c r="DO20">
        <f>IF(DO$4=1,IF(OR(INDEX('×入力'!$A$1:$L$1300,287+DO$3,2+DO$2)&lt;&gt;"",INDEX('×入力'!$A$1:$L$1300,286,2+DO$2)&lt;&gt;"",INDEX('×入力'!$A$1:$L$1300,287+DO$3,1)&lt;&gt;""),1,0),0)</f>
        <v/>
      </c>
      <c r="DP20">
        <f>IF(DP$4=1,IF(OR(INDEX('×入力'!$A$1:$L$1300,287+DP$3,2+DP$2)&lt;&gt;"",INDEX('×入力'!$A$1:$L$1300,286,2+DP$2)&lt;&gt;"",INDEX('×入力'!$A$1:$L$1300,287+DP$3,1)&lt;&gt;""),1,0),0)</f>
        <v/>
      </c>
      <c r="DQ20">
        <f>IF(DQ$4=1,IF(OR(INDEX('×入力'!$A$1:$L$1300,287+DQ$3,2+DQ$2)&lt;&gt;"",INDEX('×入力'!$A$1:$L$1300,286,2+DQ$2)&lt;&gt;"",INDEX('×入力'!$A$1:$L$1300,287+DQ$3,1)&lt;&gt;""),1,0),0)</f>
        <v/>
      </c>
      <c r="DR20">
        <f>IF(DR$4=1,IF(OR(INDEX('×入力'!$A$1:$L$1300,287+DR$3,2+DR$2)&lt;&gt;"",INDEX('×入力'!$A$1:$L$1300,286,2+DR$2)&lt;&gt;"",INDEX('×入力'!$A$1:$L$1300,287+DR$3,1)&lt;&gt;""),1,0),0)</f>
        <v/>
      </c>
      <c r="DS20">
        <f>IF(DS$4=1,IF(OR(INDEX('×入力'!$A$1:$L$1300,287+DS$3,2+DS$2)&lt;&gt;"",INDEX('×入力'!$A$1:$L$1300,286,2+DS$2)&lt;&gt;"",INDEX('×入力'!$A$1:$L$1300,287+DS$3,1)&lt;&gt;""),1,0),0)</f>
        <v/>
      </c>
      <c r="DT20">
        <f>IF(DT$4=1,IF(OR(INDEX('×入力'!$A$1:$L$1300,287+DT$3,2+DT$2)&lt;&gt;"",INDEX('×入力'!$A$1:$L$1300,286,2+DT$2)&lt;&gt;"",INDEX('×入力'!$A$1:$L$1300,287+DT$3,1)&lt;&gt;""),1,0),0)</f>
        <v/>
      </c>
      <c r="DU20">
        <f>IF(DU$4=1,IF(OR(INDEX('×入力'!$A$1:$L$1300,287+DU$3,2+DU$2)&lt;&gt;"",INDEX('×入力'!$A$1:$L$1300,286,2+DU$2)&lt;&gt;"",INDEX('×入力'!$A$1:$L$1300,287+DU$3,1)&lt;&gt;""),1,0),0)</f>
        <v/>
      </c>
      <c r="DV20">
        <f>IF(DV$4=1,IF(OR(INDEX('×入力'!$A$1:$L$1300,287+DV$3,2+DV$2)&lt;&gt;"",INDEX('×入力'!$A$1:$L$1300,286,2+DV$2)&lt;&gt;"",INDEX('×入力'!$A$1:$L$1300,287+DV$3,1)&lt;&gt;""),1,0),0)</f>
        <v/>
      </c>
      <c r="DW20">
        <f>IF(DW$4=1,IF(OR(INDEX('×入力'!$A$1:$L$1300,287+DW$3,2+DW$2)&lt;&gt;"",INDEX('×入力'!$A$1:$L$1300,286,2+DW$2)&lt;&gt;"",INDEX('×入力'!$A$1:$L$1300,287+DW$3,1)&lt;&gt;""),1,0),0)</f>
        <v/>
      </c>
      <c r="DX20">
        <f>IF(DX$4=1,IF(OR(INDEX('×入力'!$A$1:$L$1300,287+DX$3,2+DX$2)&lt;&gt;"",INDEX('×入力'!$A$1:$L$1300,286,2+DX$2)&lt;&gt;"",INDEX('×入力'!$A$1:$L$1300,287+DX$3,1)&lt;&gt;""),1,0),0)</f>
        <v/>
      </c>
      <c r="DY20">
        <f>IF(DY$4=1,IF(OR(INDEX('×入力'!$A$1:$L$1300,287+DY$3,2+DY$2)&lt;&gt;"",INDEX('×入力'!$A$1:$L$1300,286,2+DY$2)&lt;&gt;"",INDEX('×入力'!$A$1:$L$1300,287+DY$3,1)&lt;&gt;""),1,0),0)</f>
        <v/>
      </c>
      <c r="DZ20">
        <f>IF(DZ$4=1,IF(OR(INDEX('×入力'!$A$1:$L$1300,287+DZ$3,2+DZ$2)&lt;&gt;"",INDEX('×入力'!$A$1:$L$1300,286,2+DZ$2)&lt;&gt;"",INDEX('×入力'!$A$1:$L$1300,287+DZ$3,1)&lt;&gt;""),1,0),0)</f>
        <v/>
      </c>
      <c r="EA20">
        <f>IF(EA$4=1,IF(OR(INDEX('×入力'!$A$1:$L$1300,287+EA$3,2+EA$2)&lt;&gt;"",INDEX('×入力'!$A$1:$L$1300,286,2+EA$2)&lt;&gt;"",INDEX('×入力'!$A$1:$L$1300,287+EA$3,1)&lt;&gt;""),1,0),0)</f>
        <v/>
      </c>
      <c r="EB20">
        <f>IF(EB$4=1,IF(OR(INDEX('×入力'!$A$1:$L$1300,287+EB$3,2+EB$2)&lt;&gt;"",INDEX('×入力'!$A$1:$L$1300,286,2+EB$2)&lt;&gt;"",INDEX('×入力'!$A$1:$L$1300,287+EB$3,1)&lt;&gt;""),1,0),0)</f>
        <v/>
      </c>
      <c r="EC20">
        <f>IF(EC$4=1,IF(OR(INDEX('×入力'!$A$1:$L$1300,287+EC$3,2+EC$2)&lt;&gt;"",INDEX('×入力'!$A$1:$L$1300,286,2+EC$2)&lt;&gt;"",INDEX('×入力'!$A$1:$L$1300,287+EC$3,1)&lt;&gt;""),1,0),0)</f>
        <v/>
      </c>
      <c r="ED20">
        <f>IF(ED$4=1,IF(OR(INDEX('×入力'!$A$1:$L$1300,287+ED$3,2+ED$2)&lt;&gt;"",INDEX('×入力'!$A$1:$L$1300,286,2+ED$2)&lt;&gt;"",INDEX('×入力'!$A$1:$L$1300,287+ED$3,1)&lt;&gt;""),1,0),0)</f>
        <v/>
      </c>
      <c r="EE20">
        <f>IF(EE$4=1,IF(OR(INDEX('×入力'!$A$1:$L$1300,287+EE$3,2+EE$2)&lt;&gt;"",INDEX('×入力'!$A$1:$L$1300,286,2+EE$2)&lt;&gt;"",INDEX('×入力'!$A$1:$L$1300,287+EE$3,1)&lt;&gt;""),1,0),0)</f>
        <v/>
      </c>
      <c r="EF20">
        <f>IF(EF$4=1,IF(OR(INDEX('×入力'!$A$1:$L$1300,287+EF$3,2+EF$2)&lt;&gt;"",INDEX('×入力'!$A$1:$L$1300,286,2+EF$2)&lt;&gt;"",INDEX('×入力'!$A$1:$L$1300,287+EF$3,1)&lt;&gt;""),1,0),0)</f>
        <v/>
      </c>
      <c r="EG20">
        <f>IF(EG$4=1,IF(OR(INDEX('×入力'!$A$1:$L$1300,287+EG$3,2+EG$2)&lt;&gt;"",INDEX('×入力'!$A$1:$L$1300,286,2+EG$2)&lt;&gt;"",INDEX('×入力'!$A$1:$L$1300,287+EG$3,1)&lt;&gt;""),1,0),0)</f>
        <v/>
      </c>
      <c r="EH20">
        <f>IF(EH$4=1,IF(OR(INDEX('×入力'!$A$1:$L$1300,287+EH$3,2+EH$2)&lt;&gt;"",INDEX('×入力'!$A$1:$L$1300,286,2+EH$2)&lt;&gt;"",INDEX('×入力'!$A$1:$L$1300,287+EH$3,1)&lt;&gt;""),1,0),0)</f>
        <v/>
      </c>
      <c r="EI20">
        <f>IF(EI$4=1,IF(OR(INDEX('×入力'!$A$1:$L$1300,287+EI$3,2+EI$2)&lt;&gt;"",INDEX('×入力'!$A$1:$L$1300,286,2+EI$2)&lt;&gt;"",INDEX('×入力'!$A$1:$L$1300,287+EI$3,1)&lt;&gt;""),1,0),0)</f>
        <v/>
      </c>
      <c r="EJ20">
        <f>IF(EJ$4=1,IF(OR(INDEX('×入力'!$A$1:$L$1300,287+EJ$3,2+EJ$2)&lt;&gt;"",INDEX('×入力'!$A$1:$L$1300,286,2+EJ$2)&lt;&gt;"",INDEX('×入力'!$A$1:$L$1300,287+EJ$3,1)&lt;&gt;""),1,0),0)</f>
        <v/>
      </c>
      <c r="EK20">
        <f>IF(EK$4=1,IF(OR(INDEX('×入力'!$A$1:$L$1300,287+EK$3,2+EK$2)&lt;&gt;"",INDEX('×入力'!$A$1:$L$1300,286,2+EK$2)&lt;&gt;"",INDEX('×入力'!$A$1:$L$1300,287+EK$3,1)&lt;&gt;""),1,0),0)</f>
        <v/>
      </c>
      <c r="EL20">
        <f>IF(EL$4=1,IF(OR(INDEX('×入力'!$A$1:$L$1300,287+EL$3,2+EL$2)&lt;&gt;"",INDEX('×入力'!$A$1:$L$1300,286,2+EL$2)&lt;&gt;"",INDEX('×入力'!$A$1:$L$1300,287+EL$3,1)&lt;&gt;""),1,0),0)</f>
        <v/>
      </c>
      <c r="EM20">
        <f>IF(EM$4=1,IF(OR(INDEX('×入力'!$A$1:$L$1300,287+EM$3,2+EM$2)&lt;&gt;"",INDEX('×入力'!$A$1:$L$1300,286,2+EM$2)&lt;&gt;"",INDEX('×入力'!$A$1:$L$1300,287+EM$3,1)&lt;&gt;""),1,0),0)</f>
        <v/>
      </c>
      <c r="EN20">
        <f>IF(EN$4=1,IF(OR(INDEX('×入力'!$A$1:$L$1300,287+EN$3,2+EN$2)&lt;&gt;"",INDEX('×入力'!$A$1:$L$1300,286,2+EN$2)&lt;&gt;"",INDEX('×入力'!$A$1:$L$1300,287+EN$3,1)&lt;&gt;""),1,0),0)</f>
        <v/>
      </c>
      <c r="EO20">
        <f>IF(EO$4=1,IF(OR(INDEX('×入力'!$A$1:$L$1300,287+EO$3,2+EO$2)&lt;&gt;"",INDEX('×入力'!$A$1:$L$1300,286,2+EO$2)&lt;&gt;"",INDEX('×入力'!$A$1:$L$1300,287+EO$3,1)&lt;&gt;""),1,0),0)</f>
        <v/>
      </c>
      <c r="EP20">
        <f>IF(EP$4=1,IF(OR(INDEX('×入力'!$A$1:$L$1300,287+EP$3,2+EP$2)&lt;&gt;"",INDEX('×入力'!$A$1:$L$1300,286,2+EP$2)&lt;&gt;"",INDEX('×入力'!$A$1:$L$1300,287+EP$3,1)&lt;&gt;""),1,0),0)</f>
        <v/>
      </c>
      <c r="EQ20">
        <f>IF(EQ$4=1,IF(OR(INDEX('×入力'!$A$1:$L$1300,287+EQ$3,2+EQ$2)&lt;&gt;"",INDEX('×入力'!$A$1:$L$1300,286,2+EQ$2)&lt;&gt;"",INDEX('×入力'!$A$1:$L$1300,287+EQ$3,1)&lt;&gt;""),1,0),0)</f>
        <v/>
      </c>
      <c r="HA20">
        <f>MAX(0,IT20)</f>
        <v/>
      </c>
      <c r="HB20">
        <f>IF(HA20=0,0,INDEX($D$2:$EQ$2,HA20))</f>
        <v/>
      </c>
      <c r="HC20">
        <f>IF(HA20=0,0,INDEX($D$3:$EQ$3,HA20))</f>
        <v/>
      </c>
      <c r="HD20">
        <f>MAX(0,IY20)</f>
        <v/>
      </c>
      <c r="HE20">
        <f>IF(HD20=0,0,INDEX($D$2:$EQ$2,HD20))</f>
        <v/>
      </c>
      <c r="HF20">
        <f>IF(HD20=0,0,INDEX($D$3:$EQ$3,HD20))</f>
        <v/>
      </c>
      <c r="HG20">
        <f>MAX(0,IZ20)</f>
        <v/>
      </c>
      <c r="HH20">
        <f>IF(HG20=0,0,INDEX($D$2:$EQ$2,HG20))</f>
        <v/>
      </c>
      <c r="HI20">
        <f>IF(HG20=0,0,INDEX($D$3:$EQ$3,HG20))</f>
        <v/>
      </c>
      <c r="HJ20">
        <f>IF(AND(HA20&gt;0,HC20&gt;1,OR(HC20-1&lt;&gt;$A$3,$A$4=0)),HA20-1,-1)</f>
        <v/>
      </c>
      <c r="HK20">
        <f>IF(AND(HA20&gt;0,HC20&lt;24,OR(HC20&lt;&gt;$A$3,$A$4=0)),HA20+1,-1)</f>
        <v/>
      </c>
      <c r="HL20">
        <f>IF(AND(HD20&gt;0,HF20&gt;1,OR(HF20-1&lt;&gt;$A$3,$A$4=0)),HD20-1,-1)</f>
        <v/>
      </c>
      <c r="HM20">
        <f>IF(AND(HD20&gt;0,HF20&lt;24,OR(HF20&lt;&gt;$A$3,$A$4=0)),HD20+1,-1)</f>
        <v/>
      </c>
      <c r="HN20">
        <f>IF(AND(HG20&gt;0,HI20&gt;1,OR(HI20-1&lt;&gt;$A$3,$A$4=0)),HG20-1,-1)</f>
        <v/>
      </c>
      <c r="HO20">
        <f>IF(AND(HG20&gt;0,HI20&lt;24,OR(HI20&lt;&gt;$A$3,$A$4=0)),HG20+1,-1)</f>
        <v/>
      </c>
      <c r="IK20">
        <f>IFERROR(INDEX('calcB'!$C$3:$C$47,MATCH(A20,'calcB'!$B$3:$B$47,0)),0)</f>
        <v/>
      </c>
      <c r="IL20">
        <f>IF(AND(C20=1,IK20=0,calcA!$A$6=1),1,0)</f>
        <v/>
      </c>
      <c r="IM20">
        <f>SUMPRODUCT(D70:EQ70*(1-$D$7:$EQ$7))</f>
        <v/>
      </c>
      <c r="IN20">
        <f>SUM(D20:EQ20)</f>
        <v/>
      </c>
      <c r="IO20">
        <f>IF(B20="",0,IF(COUNTIF('調整・決定'!$C$6:$H$29,B20)=1,SUMPRODUCT(('調整・決定'!$C$6:$H$29=B20)*((COLUMN('調整・決定'!$C$6:$H$29)-3)*24+ROW('調整・決定'!$C$6:$H$29)-5)),0))</f>
        <v/>
      </c>
      <c r="IP20">
        <f>IFERROR(MATCH('名簿'!C15,{"早い時刻","遅い時刻","早い日","遅い日"},0),0)</f>
        <v/>
      </c>
      <c r="IQ20">
        <f>IF('名簿'!D15="必ず空けたい",2,IF('名簿'!D15="出来れば空けたい",1,0))</f>
        <v/>
      </c>
      <c r="IR20">
        <f>IFERROR(INDEX('calcC'!$C$3:$C$47,MATCH(A20,'calcC'!$B$3:$B$47,0)),0)</f>
        <v/>
      </c>
      <c r="IS20">
        <f>IF(AND(C20=1,IR20=0,calcA!$A$6=1),1,0)</f>
        <v/>
      </c>
      <c r="IT20">
        <f>IF(OR('名簿'!G15="",'名簿'!H15=""),0,IFERROR((MATCH('名簿'!G15,'設定'!$E$11:$E$16,0)-1)*24+MATCH('名簿'!H15,'設定'!$I$11:$I$34,0),-1))</f>
        <v/>
      </c>
      <c r="IV20">
        <f>IF(OR(JF20=0,IO20=0),1,IF(OR(IF(IT20&gt;0,AND(INDEX($D$2:$EQ$2,IO20)=INDEX($D$2:$EQ$2,IT20),OR(AND(IO20=IT20+1,OR(INDEX($D$3:$EQ$3,IT20)&lt;&gt;$A$3,$A$4=0)),AND(IO20=IT20-1,OR(INDEX($D$3:$EQ$3,IO20)&lt;&gt;$A$3,$A$4=0)))),FALSE),IF(IY20&gt;0,AND(INDEX($D$2:$EQ$2,IO20)=INDEX($D$2:$EQ$2,IY20),OR(AND(IO20=IY20+1,OR(INDEX($D$3:$EQ$3,IY20)&lt;&gt;$A$3,$A$4=0)),AND(IO20=IY20-1,OR(INDEX($D$3:$EQ$3,IO20)&lt;&gt;$A$3,$A$4=0)))),FALSE),IF(IZ20&gt;0,AND(INDEX($D$2:$EQ$2,IO20)=INDEX($D$2:$EQ$2,IZ20),OR(AND(IO20=IZ20+1,OR(INDEX($D$3:$EQ$3,IZ20)&lt;&gt;$A$3,$A$4=0)),AND(IO20=IZ20-1,OR(INDEX($D$3:$EQ$3,IO20)&lt;&gt;$A$3,$A$4=0)))),FALSE)),1,0))</f>
        <v/>
      </c>
      <c r="IW20">
        <f>IF(AND('名簿'!E15&lt;&gt;"",JF20=0),1,0)</f>
        <v/>
      </c>
      <c r="IX20">
        <f>IF('名簿'!D15="空けない",1,0)</f>
        <v/>
      </c>
      <c r="IY20">
        <f>IF(OR('名簿'!J15="",'名簿'!K15=""),0,IFERROR((MATCH('名簿'!J15,'設定'!$E$11:$E$16,0)-1)*24+MATCH('名簿'!K15,'設定'!$I$11:$I$34,0),-1))</f>
        <v/>
      </c>
      <c r="IZ20">
        <f>IF(OR('名簿'!M15="",'名簿'!N15=""),0,IFERROR((MATCH('名簿'!M15,'設定'!$E$11:$E$16,0)-1)*24+MATCH('名簿'!N15,'設定'!$I$11:$I$34,0),-1))</f>
        <v/>
      </c>
      <c r="JC20">
        <f>IF(RIGHT('名簿'!I15,2)="の前",1,IF(RIGHT('名簿'!I15,2)="の後",2,0))</f>
        <v/>
      </c>
      <c r="JD20">
        <f>IF(RIGHT('名簿'!L15,2)="の前",1,IF(RIGHT('名簿'!L15,2)="の後",2,0))</f>
        <v/>
      </c>
      <c r="JE20">
        <f>IF(RIGHT('名簿'!O15,2)="の前",1,IF(RIGHT('名簿'!O15,2)="の後",2,0))</f>
        <v/>
      </c>
      <c r="JF20">
        <f>IF(OR(IT20&gt;0,IY20&gt;0,IZ20&gt;0),1,0)</f>
        <v/>
      </c>
      <c r="JG20">
        <f>IF(OR(IT20&lt;0,IY20&lt;0,IZ20&lt;0),1,0)</f>
        <v/>
      </c>
    </row>
    <row r="21">
      <c r="A21" t="n">
        <v>12</v>
      </c>
      <c r="B21">
        <f>'名簿'!P16</f>
        <v/>
      </c>
      <c r="C21">
        <f>IF(AND(B21&lt;&gt;"",OR('名簿'!Q16="入力済み",'名簿'!Q16="×なし"),IO21=0,COUNTIF('調整・決定'!$C$6:$H$29,B21)=0),1,0)</f>
        <v/>
      </c>
      <c r="D21">
        <f>IF(D$4=1,IF(OR(INDEX('×入力'!$A$1:$L$1300,315+D$3,2+D$2)&lt;&gt;"",INDEX('×入力'!$A$1:$L$1300,314,2+D$2)&lt;&gt;"",INDEX('×入力'!$A$1:$L$1300,315+D$3,1)&lt;&gt;""),1,0),0)</f>
        <v/>
      </c>
      <c r="E21">
        <f>IF(E$4=1,IF(OR(INDEX('×入力'!$A$1:$L$1300,315+E$3,2+E$2)&lt;&gt;"",INDEX('×入力'!$A$1:$L$1300,314,2+E$2)&lt;&gt;"",INDEX('×入力'!$A$1:$L$1300,315+E$3,1)&lt;&gt;""),1,0),0)</f>
        <v/>
      </c>
      <c r="F21">
        <f>IF(F$4=1,IF(OR(INDEX('×入力'!$A$1:$L$1300,315+F$3,2+F$2)&lt;&gt;"",INDEX('×入力'!$A$1:$L$1300,314,2+F$2)&lt;&gt;"",INDEX('×入力'!$A$1:$L$1300,315+F$3,1)&lt;&gt;""),1,0),0)</f>
        <v/>
      </c>
      <c r="G21">
        <f>IF(G$4=1,IF(OR(INDEX('×入力'!$A$1:$L$1300,315+G$3,2+G$2)&lt;&gt;"",INDEX('×入力'!$A$1:$L$1300,314,2+G$2)&lt;&gt;"",INDEX('×入力'!$A$1:$L$1300,315+G$3,1)&lt;&gt;""),1,0),0)</f>
        <v/>
      </c>
      <c r="H21">
        <f>IF(H$4=1,IF(OR(INDEX('×入力'!$A$1:$L$1300,315+H$3,2+H$2)&lt;&gt;"",INDEX('×入力'!$A$1:$L$1300,314,2+H$2)&lt;&gt;"",INDEX('×入力'!$A$1:$L$1300,315+H$3,1)&lt;&gt;""),1,0),0)</f>
        <v/>
      </c>
      <c r="I21">
        <f>IF(I$4=1,IF(OR(INDEX('×入力'!$A$1:$L$1300,315+I$3,2+I$2)&lt;&gt;"",INDEX('×入力'!$A$1:$L$1300,314,2+I$2)&lt;&gt;"",INDEX('×入力'!$A$1:$L$1300,315+I$3,1)&lt;&gt;""),1,0),0)</f>
        <v/>
      </c>
      <c r="J21">
        <f>IF(J$4=1,IF(OR(INDEX('×入力'!$A$1:$L$1300,315+J$3,2+J$2)&lt;&gt;"",INDEX('×入力'!$A$1:$L$1300,314,2+J$2)&lt;&gt;"",INDEX('×入力'!$A$1:$L$1300,315+J$3,1)&lt;&gt;""),1,0),0)</f>
        <v/>
      </c>
      <c r="K21">
        <f>IF(K$4=1,IF(OR(INDEX('×入力'!$A$1:$L$1300,315+K$3,2+K$2)&lt;&gt;"",INDEX('×入力'!$A$1:$L$1300,314,2+K$2)&lt;&gt;"",INDEX('×入力'!$A$1:$L$1300,315+K$3,1)&lt;&gt;""),1,0),0)</f>
        <v/>
      </c>
      <c r="L21">
        <f>IF(L$4=1,IF(OR(INDEX('×入力'!$A$1:$L$1300,315+L$3,2+L$2)&lt;&gt;"",INDEX('×入力'!$A$1:$L$1300,314,2+L$2)&lt;&gt;"",INDEX('×入力'!$A$1:$L$1300,315+L$3,1)&lt;&gt;""),1,0),0)</f>
        <v/>
      </c>
      <c r="M21">
        <f>IF(M$4=1,IF(OR(INDEX('×入力'!$A$1:$L$1300,315+M$3,2+M$2)&lt;&gt;"",INDEX('×入力'!$A$1:$L$1300,314,2+M$2)&lt;&gt;"",INDEX('×入力'!$A$1:$L$1300,315+M$3,1)&lt;&gt;""),1,0),0)</f>
        <v/>
      </c>
      <c r="N21">
        <f>IF(N$4=1,IF(OR(INDEX('×入力'!$A$1:$L$1300,315+N$3,2+N$2)&lt;&gt;"",INDEX('×入力'!$A$1:$L$1300,314,2+N$2)&lt;&gt;"",INDEX('×入力'!$A$1:$L$1300,315+N$3,1)&lt;&gt;""),1,0),0)</f>
        <v/>
      </c>
      <c r="O21">
        <f>IF(O$4=1,IF(OR(INDEX('×入力'!$A$1:$L$1300,315+O$3,2+O$2)&lt;&gt;"",INDEX('×入力'!$A$1:$L$1300,314,2+O$2)&lt;&gt;"",INDEX('×入力'!$A$1:$L$1300,315+O$3,1)&lt;&gt;""),1,0),0)</f>
        <v/>
      </c>
      <c r="P21">
        <f>IF(P$4=1,IF(OR(INDEX('×入力'!$A$1:$L$1300,315+P$3,2+P$2)&lt;&gt;"",INDEX('×入力'!$A$1:$L$1300,314,2+P$2)&lt;&gt;"",INDEX('×入力'!$A$1:$L$1300,315+P$3,1)&lt;&gt;""),1,0),0)</f>
        <v/>
      </c>
      <c r="Q21">
        <f>IF(Q$4=1,IF(OR(INDEX('×入力'!$A$1:$L$1300,315+Q$3,2+Q$2)&lt;&gt;"",INDEX('×入力'!$A$1:$L$1300,314,2+Q$2)&lt;&gt;"",INDEX('×入力'!$A$1:$L$1300,315+Q$3,1)&lt;&gt;""),1,0),0)</f>
        <v/>
      </c>
      <c r="R21">
        <f>IF(R$4=1,IF(OR(INDEX('×入力'!$A$1:$L$1300,315+R$3,2+R$2)&lt;&gt;"",INDEX('×入力'!$A$1:$L$1300,314,2+R$2)&lt;&gt;"",INDEX('×入力'!$A$1:$L$1300,315+R$3,1)&lt;&gt;""),1,0),0)</f>
        <v/>
      </c>
      <c r="S21">
        <f>IF(S$4=1,IF(OR(INDEX('×入力'!$A$1:$L$1300,315+S$3,2+S$2)&lt;&gt;"",INDEX('×入力'!$A$1:$L$1300,314,2+S$2)&lt;&gt;"",INDEX('×入力'!$A$1:$L$1300,315+S$3,1)&lt;&gt;""),1,0),0)</f>
        <v/>
      </c>
      <c r="T21">
        <f>IF(T$4=1,IF(OR(INDEX('×入力'!$A$1:$L$1300,315+T$3,2+T$2)&lt;&gt;"",INDEX('×入力'!$A$1:$L$1300,314,2+T$2)&lt;&gt;"",INDEX('×入力'!$A$1:$L$1300,315+T$3,1)&lt;&gt;""),1,0),0)</f>
        <v/>
      </c>
      <c r="U21">
        <f>IF(U$4=1,IF(OR(INDEX('×入力'!$A$1:$L$1300,315+U$3,2+U$2)&lt;&gt;"",INDEX('×入力'!$A$1:$L$1300,314,2+U$2)&lt;&gt;"",INDEX('×入力'!$A$1:$L$1300,315+U$3,1)&lt;&gt;""),1,0),0)</f>
        <v/>
      </c>
      <c r="V21">
        <f>IF(V$4=1,IF(OR(INDEX('×入力'!$A$1:$L$1300,315+V$3,2+V$2)&lt;&gt;"",INDEX('×入力'!$A$1:$L$1300,314,2+V$2)&lt;&gt;"",INDEX('×入力'!$A$1:$L$1300,315+V$3,1)&lt;&gt;""),1,0),0)</f>
        <v/>
      </c>
      <c r="W21">
        <f>IF(W$4=1,IF(OR(INDEX('×入力'!$A$1:$L$1300,315+W$3,2+W$2)&lt;&gt;"",INDEX('×入力'!$A$1:$L$1300,314,2+W$2)&lt;&gt;"",INDEX('×入力'!$A$1:$L$1300,315+W$3,1)&lt;&gt;""),1,0),0)</f>
        <v/>
      </c>
      <c r="X21">
        <f>IF(X$4=1,IF(OR(INDEX('×入力'!$A$1:$L$1300,315+X$3,2+X$2)&lt;&gt;"",INDEX('×入力'!$A$1:$L$1300,314,2+X$2)&lt;&gt;"",INDEX('×入力'!$A$1:$L$1300,315+X$3,1)&lt;&gt;""),1,0),0)</f>
        <v/>
      </c>
      <c r="Y21">
        <f>IF(Y$4=1,IF(OR(INDEX('×入力'!$A$1:$L$1300,315+Y$3,2+Y$2)&lt;&gt;"",INDEX('×入力'!$A$1:$L$1300,314,2+Y$2)&lt;&gt;"",INDEX('×入力'!$A$1:$L$1300,315+Y$3,1)&lt;&gt;""),1,0),0)</f>
        <v/>
      </c>
      <c r="Z21">
        <f>IF(Z$4=1,IF(OR(INDEX('×入力'!$A$1:$L$1300,315+Z$3,2+Z$2)&lt;&gt;"",INDEX('×入力'!$A$1:$L$1300,314,2+Z$2)&lt;&gt;"",INDEX('×入力'!$A$1:$L$1300,315+Z$3,1)&lt;&gt;""),1,0),0)</f>
        <v/>
      </c>
      <c r="AA21">
        <f>IF(AA$4=1,IF(OR(INDEX('×入力'!$A$1:$L$1300,315+AA$3,2+AA$2)&lt;&gt;"",INDEX('×入力'!$A$1:$L$1300,314,2+AA$2)&lt;&gt;"",INDEX('×入力'!$A$1:$L$1300,315+AA$3,1)&lt;&gt;""),1,0),0)</f>
        <v/>
      </c>
      <c r="AB21">
        <f>IF(AB$4=1,IF(OR(INDEX('×入力'!$A$1:$L$1300,315+AB$3,2+AB$2)&lt;&gt;"",INDEX('×入力'!$A$1:$L$1300,314,2+AB$2)&lt;&gt;"",INDEX('×入力'!$A$1:$L$1300,315+AB$3,1)&lt;&gt;""),1,0),0)</f>
        <v/>
      </c>
      <c r="AC21">
        <f>IF(AC$4=1,IF(OR(INDEX('×入力'!$A$1:$L$1300,315+AC$3,2+AC$2)&lt;&gt;"",INDEX('×入力'!$A$1:$L$1300,314,2+AC$2)&lt;&gt;"",INDEX('×入力'!$A$1:$L$1300,315+AC$3,1)&lt;&gt;""),1,0),0)</f>
        <v/>
      </c>
      <c r="AD21">
        <f>IF(AD$4=1,IF(OR(INDEX('×入力'!$A$1:$L$1300,315+AD$3,2+AD$2)&lt;&gt;"",INDEX('×入力'!$A$1:$L$1300,314,2+AD$2)&lt;&gt;"",INDEX('×入力'!$A$1:$L$1300,315+AD$3,1)&lt;&gt;""),1,0),0)</f>
        <v/>
      </c>
      <c r="AE21">
        <f>IF(AE$4=1,IF(OR(INDEX('×入力'!$A$1:$L$1300,315+AE$3,2+AE$2)&lt;&gt;"",INDEX('×入力'!$A$1:$L$1300,314,2+AE$2)&lt;&gt;"",INDEX('×入力'!$A$1:$L$1300,315+AE$3,1)&lt;&gt;""),1,0),0)</f>
        <v/>
      </c>
      <c r="AF21">
        <f>IF(AF$4=1,IF(OR(INDEX('×入力'!$A$1:$L$1300,315+AF$3,2+AF$2)&lt;&gt;"",INDEX('×入力'!$A$1:$L$1300,314,2+AF$2)&lt;&gt;"",INDEX('×入力'!$A$1:$L$1300,315+AF$3,1)&lt;&gt;""),1,0),0)</f>
        <v/>
      </c>
      <c r="AG21">
        <f>IF(AG$4=1,IF(OR(INDEX('×入力'!$A$1:$L$1300,315+AG$3,2+AG$2)&lt;&gt;"",INDEX('×入力'!$A$1:$L$1300,314,2+AG$2)&lt;&gt;"",INDEX('×入力'!$A$1:$L$1300,315+AG$3,1)&lt;&gt;""),1,0),0)</f>
        <v/>
      </c>
      <c r="AH21">
        <f>IF(AH$4=1,IF(OR(INDEX('×入力'!$A$1:$L$1300,315+AH$3,2+AH$2)&lt;&gt;"",INDEX('×入力'!$A$1:$L$1300,314,2+AH$2)&lt;&gt;"",INDEX('×入力'!$A$1:$L$1300,315+AH$3,1)&lt;&gt;""),1,0),0)</f>
        <v/>
      </c>
      <c r="AI21">
        <f>IF(AI$4=1,IF(OR(INDEX('×入力'!$A$1:$L$1300,315+AI$3,2+AI$2)&lt;&gt;"",INDEX('×入力'!$A$1:$L$1300,314,2+AI$2)&lt;&gt;"",INDEX('×入力'!$A$1:$L$1300,315+AI$3,1)&lt;&gt;""),1,0),0)</f>
        <v/>
      </c>
      <c r="AJ21">
        <f>IF(AJ$4=1,IF(OR(INDEX('×入力'!$A$1:$L$1300,315+AJ$3,2+AJ$2)&lt;&gt;"",INDEX('×入力'!$A$1:$L$1300,314,2+AJ$2)&lt;&gt;"",INDEX('×入力'!$A$1:$L$1300,315+AJ$3,1)&lt;&gt;""),1,0),0)</f>
        <v/>
      </c>
      <c r="AK21">
        <f>IF(AK$4=1,IF(OR(INDEX('×入力'!$A$1:$L$1300,315+AK$3,2+AK$2)&lt;&gt;"",INDEX('×入力'!$A$1:$L$1300,314,2+AK$2)&lt;&gt;"",INDEX('×入力'!$A$1:$L$1300,315+AK$3,1)&lt;&gt;""),1,0),0)</f>
        <v/>
      </c>
      <c r="AL21">
        <f>IF(AL$4=1,IF(OR(INDEX('×入力'!$A$1:$L$1300,315+AL$3,2+AL$2)&lt;&gt;"",INDEX('×入力'!$A$1:$L$1300,314,2+AL$2)&lt;&gt;"",INDEX('×入力'!$A$1:$L$1300,315+AL$3,1)&lt;&gt;""),1,0),0)</f>
        <v/>
      </c>
      <c r="AM21">
        <f>IF(AM$4=1,IF(OR(INDEX('×入力'!$A$1:$L$1300,315+AM$3,2+AM$2)&lt;&gt;"",INDEX('×入力'!$A$1:$L$1300,314,2+AM$2)&lt;&gt;"",INDEX('×入力'!$A$1:$L$1300,315+AM$3,1)&lt;&gt;""),1,0),0)</f>
        <v/>
      </c>
      <c r="AN21">
        <f>IF(AN$4=1,IF(OR(INDEX('×入力'!$A$1:$L$1300,315+AN$3,2+AN$2)&lt;&gt;"",INDEX('×入力'!$A$1:$L$1300,314,2+AN$2)&lt;&gt;"",INDEX('×入力'!$A$1:$L$1300,315+AN$3,1)&lt;&gt;""),1,0),0)</f>
        <v/>
      </c>
      <c r="AO21">
        <f>IF(AO$4=1,IF(OR(INDEX('×入力'!$A$1:$L$1300,315+AO$3,2+AO$2)&lt;&gt;"",INDEX('×入力'!$A$1:$L$1300,314,2+AO$2)&lt;&gt;"",INDEX('×入力'!$A$1:$L$1300,315+AO$3,1)&lt;&gt;""),1,0),0)</f>
        <v/>
      </c>
      <c r="AP21">
        <f>IF(AP$4=1,IF(OR(INDEX('×入力'!$A$1:$L$1300,315+AP$3,2+AP$2)&lt;&gt;"",INDEX('×入力'!$A$1:$L$1300,314,2+AP$2)&lt;&gt;"",INDEX('×入力'!$A$1:$L$1300,315+AP$3,1)&lt;&gt;""),1,0),0)</f>
        <v/>
      </c>
      <c r="AQ21">
        <f>IF(AQ$4=1,IF(OR(INDEX('×入力'!$A$1:$L$1300,315+AQ$3,2+AQ$2)&lt;&gt;"",INDEX('×入力'!$A$1:$L$1300,314,2+AQ$2)&lt;&gt;"",INDEX('×入力'!$A$1:$L$1300,315+AQ$3,1)&lt;&gt;""),1,0),0)</f>
        <v/>
      </c>
      <c r="AR21">
        <f>IF(AR$4=1,IF(OR(INDEX('×入力'!$A$1:$L$1300,315+AR$3,2+AR$2)&lt;&gt;"",INDEX('×入力'!$A$1:$L$1300,314,2+AR$2)&lt;&gt;"",INDEX('×入力'!$A$1:$L$1300,315+AR$3,1)&lt;&gt;""),1,0),0)</f>
        <v/>
      </c>
      <c r="AS21">
        <f>IF(AS$4=1,IF(OR(INDEX('×入力'!$A$1:$L$1300,315+AS$3,2+AS$2)&lt;&gt;"",INDEX('×入力'!$A$1:$L$1300,314,2+AS$2)&lt;&gt;"",INDEX('×入力'!$A$1:$L$1300,315+AS$3,1)&lt;&gt;""),1,0),0)</f>
        <v/>
      </c>
      <c r="AT21">
        <f>IF(AT$4=1,IF(OR(INDEX('×入力'!$A$1:$L$1300,315+AT$3,2+AT$2)&lt;&gt;"",INDEX('×入力'!$A$1:$L$1300,314,2+AT$2)&lt;&gt;"",INDEX('×入力'!$A$1:$L$1300,315+AT$3,1)&lt;&gt;""),1,0),0)</f>
        <v/>
      </c>
      <c r="AU21">
        <f>IF(AU$4=1,IF(OR(INDEX('×入力'!$A$1:$L$1300,315+AU$3,2+AU$2)&lt;&gt;"",INDEX('×入力'!$A$1:$L$1300,314,2+AU$2)&lt;&gt;"",INDEX('×入力'!$A$1:$L$1300,315+AU$3,1)&lt;&gt;""),1,0),0)</f>
        <v/>
      </c>
      <c r="AV21">
        <f>IF(AV$4=1,IF(OR(INDEX('×入力'!$A$1:$L$1300,315+AV$3,2+AV$2)&lt;&gt;"",INDEX('×入力'!$A$1:$L$1300,314,2+AV$2)&lt;&gt;"",INDEX('×入力'!$A$1:$L$1300,315+AV$3,1)&lt;&gt;""),1,0),0)</f>
        <v/>
      </c>
      <c r="AW21">
        <f>IF(AW$4=1,IF(OR(INDEX('×入力'!$A$1:$L$1300,315+AW$3,2+AW$2)&lt;&gt;"",INDEX('×入力'!$A$1:$L$1300,314,2+AW$2)&lt;&gt;"",INDEX('×入力'!$A$1:$L$1300,315+AW$3,1)&lt;&gt;""),1,0),0)</f>
        <v/>
      </c>
      <c r="AX21">
        <f>IF(AX$4=1,IF(OR(INDEX('×入力'!$A$1:$L$1300,315+AX$3,2+AX$2)&lt;&gt;"",INDEX('×入力'!$A$1:$L$1300,314,2+AX$2)&lt;&gt;"",INDEX('×入力'!$A$1:$L$1300,315+AX$3,1)&lt;&gt;""),1,0),0)</f>
        <v/>
      </c>
      <c r="AY21">
        <f>IF(AY$4=1,IF(OR(INDEX('×入力'!$A$1:$L$1300,315+AY$3,2+AY$2)&lt;&gt;"",INDEX('×入力'!$A$1:$L$1300,314,2+AY$2)&lt;&gt;"",INDEX('×入力'!$A$1:$L$1300,315+AY$3,1)&lt;&gt;""),1,0),0)</f>
        <v/>
      </c>
      <c r="AZ21">
        <f>IF(AZ$4=1,IF(OR(INDEX('×入力'!$A$1:$L$1300,315+AZ$3,2+AZ$2)&lt;&gt;"",INDEX('×入力'!$A$1:$L$1300,314,2+AZ$2)&lt;&gt;"",INDEX('×入力'!$A$1:$L$1300,315+AZ$3,1)&lt;&gt;""),1,0),0)</f>
        <v/>
      </c>
      <c r="BA21">
        <f>IF(BA$4=1,IF(OR(INDEX('×入力'!$A$1:$L$1300,315+BA$3,2+BA$2)&lt;&gt;"",INDEX('×入力'!$A$1:$L$1300,314,2+BA$2)&lt;&gt;"",INDEX('×入力'!$A$1:$L$1300,315+BA$3,1)&lt;&gt;""),1,0),0)</f>
        <v/>
      </c>
      <c r="BB21">
        <f>IF(BB$4=1,IF(OR(INDEX('×入力'!$A$1:$L$1300,315+BB$3,2+BB$2)&lt;&gt;"",INDEX('×入力'!$A$1:$L$1300,314,2+BB$2)&lt;&gt;"",INDEX('×入力'!$A$1:$L$1300,315+BB$3,1)&lt;&gt;""),1,0),0)</f>
        <v/>
      </c>
      <c r="BC21">
        <f>IF(BC$4=1,IF(OR(INDEX('×入力'!$A$1:$L$1300,315+BC$3,2+BC$2)&lt;&gt;"",INDEX('×入力'!$A$1:$L$1300,314,2+BC$2)&lt;&gt;"",INDEX('×入力'!$A$1:$L$1300,315+BC$3,1)&lt;&gt;""),1,0),0)</f>
        <v/>
      </c>
      <c r="BD21">
        <f>IF(BD$4=1,IF(OR(INDEX('×入力'!$A$1:$L$1300,315+BD$3,2+BD$2)&lt;&gt;"",INDEX('×入力'!$A$1:$L$1300,314,2+BD$2)&lt;&gt;"",INDEX('×入力'!$A$1:$L$1300,315+BD$3,1)&lt;&gt;""),1,0),0)</f>
        <v/>
      </c>
      <c r="BE21">
        <f>IF(BE$4=1,IF(OR(INDEX('×入力'!$A$1:$L$1300,315+BE$3,2+BE$2)&lt;&gt;"",INDEX('×入力'!$A$1:$L$1300,314,2+BE$2)&lt;&gt;"",INDEX('×入力'!$A$1:$L$1300,315+BE$3,1)&lt;&gt;""),1,0),0)</f>
        <v/>
      </c>
      <c r="BF21">
        <f>IF(BF$4=1,IF(OR(INDEX('×入力'!$A$1:$L$1300,315+BF$3,2+BF$2)&lt;&gt;"",INDEX('×入力'!$A$1:$L$1300,314,2+BF$2)&lt;&gt;"",INDEX('×入力'!$A$1:$L$1300,315+BF$3,1)&lt;&gt;""),1,0),0)</f>
        <v/>
      </c>
      <c r="BG21">
        <f>IF(BG$4=1,IF(OR(INDEX('×入力'!$A$1:$L$1300,315+BG$3,2+BG$2)&lt;&gt;"",INDEX('×入力'!$A$1:$L$1300,314,2+BG$2)&lt;&gt;"",INDEX('×入力'!$A$1:$L$1300,315+BG$3,1)&lt;&gt;""),1,0),0)</f>
        <v/>
      </c>
      <c r="BH21">
        <f>IF(BH$4=1,IF(OR(INDEX('×入力'!$A$1:$L$1300,315+BH$3,2+BH$2)&lt;&gt;"",INDEX('×入力'!$A$1:$L$1300,314,2+BH$2)&lt;&gt;"",INDEX('×入力'!$A$1:$L$1300,315+BH$3,1)&lt;&gt;""),1,0),0)</f>
        <v/>
      </c>
      <c r="BI21">
        <f>IF(BI$4=1,IF(OR(INDEX('×入力'!$A$1:$L$1300,315+BI$3,2+BI$2)&lt;&gt;"",INDEX('×入力'!$A$1:$L$1300,314,2+BI$2)&lt;&gt;"",INDEX('×入力'!$A$1:$L$1300,315+BI$3,1)&lt;&gt;""),1,0),0)</f>
        <v/>
      </c>
      <c r="BJ21">
        <f>IF(BJ$4=1,IF(OR(INDEX('×入力'!$A$1:$L$1300,315+BJ$3,2+BJ$2)&lt;&gt;"",INDEX('×入力'!$A$1:$L$1300,314,2+BJ$2)&lt;&gt;"",INDEX('×入力'!$A$1:$L$1300,315+BJ$3,1)&lt;&gt;""),1,0),0)</f>
        <v/>
      </c>
      <c r="BK21">
        <f>IF(BK$4=1,IF(OR(INDEX('×入力'!$A$1:$L$1300,315+BK$3,2+BK$2)&lt;&gt;"",INDEX('×入力'!$A$1:$L$1300,314,2+BK$2)&lt;&gt;"",INDEX('×入力'!$A$1:$L$1300,315+BK$3,1)&lt;&gt;""),1,0),0)</f>
        <v/>
      </c>
      <c r="BL21">
        <f>IF(BL$4=1,IF(OR(INDEX('×入力'!$A$1:$L$1300,315+BL$3,2+BL$2)&lt;&gt;"",INDEX('×入力'!$A$1:$L$1300,314,2+BL$2)&lt;&gt;"",INDEX('×入力'!$A$1:$L$1300,315+BL$3,1)&lt;&gt;""),1,0),0)</f>
        <v/>
      </c>
      <c r="BM21">
        <f>IF(BM$4=1,IF(OR(INDEX('×入力'!$A$1:$L$1300,315+BM$3,2+BM$2)&lt;&gt;"",INDEX('×入力'!$A$1:$L$1300,314,2+BM$2)&lt;&gt;"",INDEX('×入力'!$A$1:$L$1300,315+BM$3,1)&lt;&gt;""),1,0),0)</f>
        <v/>
      </c>
      <c r="BN21">
        <f>IF(BN$4=1,IF(OR(INDEX('×入力'!$A$1:$L$1300,315+BN$3,2+BN$2)&lt;&gt;"",INDEX('×入力'!$A$1:$L$1300,314,2+BN$2)&lt;&gt;"",INDEX('×入力'!$A$1:$L$1300,315+BN$3,1)&lt;&gt;""),1,0),0)</f>
        <v/>
      </c>
      <c r="BO21">
        <f>IF(BO$4=1,IF(OR(INDEX('×入力'!$A$1:$L$1300,315+BO$3,2+BO$2)&lt;&gt;"",INDEX('×入力'!$A$1:$L$1300,314,2+BO$2)&lt;&gt;"",INDEX('×入力'!$A$1:$L$1300,315+BO$3,1)&lt;&gt;""),1,0),0)</f>
        <v/>
      </c>
      <c r="BP21">
        <f>IF(BP$4=1,IF(OR(INDEX('×入力'!$A$1:$L$1300,315+BP$3,2+BP$2)&lt;&gt;"",INDEX('×入力'!$A$1:$L$1300,314,2+BP$2)&lt;&gt;"",INDEX('×入力'!$A$1:$L$1300,315+BP$3,1)&lt;&gt;""),1,0),0)</f>
        <v/>
      </c>
      <c r="BQ21">
        <f>IF(BQ$4=1,IF(OR(INDEX('×入力'!$A$1:$L$1300,315+BQ$3,2+BQ$2)&lt;&gt;"",INDEX('×入力'!$A$1:$L$1300,314,2+BQ$2)&lt;&gt;"",INDEX('×入力'!$A$1:$L$1300,315+BQ$3,1)&lt;&gt;""),1,0),0)</f>
        <v/>
      </c>
      <c r="BR21">
        <f>IF(BR$4=1,IF(OR(INDEX('×入力'!$A$1:$L$1300,315+BR$3,2+BR$2)&lt;&gt;"",INDEX('×入力'!$A$1:$L$1300,314,2+BR$2)&lt;&gt;"",INDEX('×入力'!$A$1:$L$1300,315+BR$3,1)&lt;&gt;""),1,0),0)</f>
        <v/>
      </c>
      <c r="BS21">
        <f>IF(BS$4=1,IF(OR(INDEX('×入力'!$A$1:$L$1300,315+BS$3,2+BS$2)&lt;&gt;"",INDEX('×入力'!$A$1:$L$1300,314,2+BS$2)&lt;&gt;"",INDEX('×入力'!$A$1:$L$1300,315+BS$3,1)&lt;&gt;""),1,0),0)</f>
        <v/>
      </c>
      <c r="BT21">
        <f>IF(BT$4=1,IF(OR(INDEX('×入力'!$A$1:$L$1300,315+BT$3,2+BT$2)&lt;&gt;"",INDEX('×入力'!$A$1:$L$1300,314,2+BT$2)&lt;&gt;"",INDEX('×入力'!$A$1:$L$1300,315+BT$3,1)&lt;&gt;""),1,0),0)</f>
        <v/>
      </c>
      <c r="BU21">
        <f>IF(BU$4=1,IF(OR(INDEX('×入力'!$A$1:$L$1300,315+BU$3,2+BU$2)&lt;&gt;"",INDEX('×入力'!$A$1:$L$1300,314,2+BU$2)&lt;&gt;"",INDEX('×入力'!$A$1:$L$1300,315+BU$3,1)&lt;&gt;""),1,0),0)</f>
        <v/>
      </c>
      <c r="BV21">
        <f>IF(BV$4=1,IF(OR(INDEX('×入力'!$A$1:$L$1300,315+BV$3,2+BV$2)&lt;&gt;"",INDEX('×入力'!$A$1:$L$1300,314,2+BV$2)&lt;&gt;"",INDEX('×入力'!$A$1:$L$1300,315+BV$3,1)&lt;&gt;""),1,0),0)</f>
        <v/>
      </c>
      <c r="BW21">
        <f>IF(BW$4=1,IF(OR(INDEX('×入力'!$A$1:$L$1300,315+BW$3,2+BW$2)&lt;&gt;"",INDEX('×入力'!$A$1:$L$1300,314,2+BW$2)&lt;&gt;"",INDEX('×入力'!$A$1:$L$1300,315+BW$3,1)&lt;&gt;""),1,0),0)</f>
        <v/>
      </c>
      <c r="BX21">
        <f>IF(BX$4=1,IF(OR(INDEX('×入力'!$A$1:$L$1300,315+BX$3,2+BX$2)&lt;&gt;"",INDEX('×入力'!$A$1:$L$1300,314,2+BX$2)&lt;&gt;"",INDEX('×入力'!$A$1:$L$1300,315+BX$3,1)&lt;&gt;""),1,0),0)</f>
        <v/>
      </c>
      <c r="BY21">
        <f>IF(BY$4=1,IF(OR(INDEX('×入力'!$A$1:$L$1300,315+BY$3,2+BY$2)&lt;&gt;"",INDEX('×入力'!$A$1:$L$1300,314,2+BY$2)&lt;&gt;"",INDEX('×入力'!$A$1:$L$1300,315+BY$3,1)&lt;&gt;""),1,0),0)</f>
        <v/>
      </c>
      <c r="BZ21">
        <f>IF(BZ$4=1,IF(OR(INDEX('×入力'!$A$1:$L$1300,315+BZ$3,2+BZ$2)&lt;&gt;"",INDEX('×入力'!$A$1:$L$1300,314,2+BZ$2)&lt;&gt;"",INDEX('×入力'!$A$1:$L$1300,315+BZ$3,1)&lt;&gt;""),1,0),0)</f>
        <v/>
      </c>
      <c r="CA21">
        <f>IF(CA$4=1,IF(OR(INDEX('×入力'!$A$1:$L$1300,315+CA$3,2+CA$2)&lt;&gt;"",INDEX('×入力'!$A$1:$L$1300,314,2+CA$2)&lt;&gt;"",INDEX('×入力'!$A$1:$L$1300,315+CA$3,1)&lt;&gt;""),1,0),0)</f>
        <v/>
      </c>
      <c r="CB21">
        <f>IF(CB$4=1,IF(OR(INDEX('×入力'!$A$1:$L$1300,315+CB$3,2+CB$2)&lt;&gt;"",INDEX('×入力'!$A$1:$L$1300,314,2+CB$2)&lt;&gt;"",INDEX('×入力'!$A$1:$L$1300,315+CB$3,1)&lt;&gt;""),1,0),0)</f>
        <v/>
      </c>
      <c r="CC21">
        <f>IF(CC$4=1,IF(OR(INDEX('×入力'!$A$1:$L$1300,315+CC$3,2+CC$2)&lt;&gt;"",INDEX('×入力'!$A$1:$L$1300,314,2+CC$2)&lt;&gt;"",INDEX('×入力'!$A$1:$L$1300,315+CC$3,1)&lt;&gt;""),1,0),0)</f>
        <v/>
      </c>
      <c r="CD21">
        <f>IF(CD$4=1,IF(OR(INDEX('×入力'!$A$1:$L$1300,315+CD$3,2+CD$2)&lt;&gt;"",INDEX('×入力'!$A$1:$L$1300,314,2+CD$2)&lt;&gt;"",INDEX('×入力'!$A$1:$L$1300,315+CD$3,1)&lt;&gt;""),1,0),0)</f>
        <v/>
      </c>
      <c r="CE21">
        <f>IF(CE$4=1,IF(OR(INDEX('×入力'!$A$1:$L$1300,315+CE$3,2+CE$2)&lt;&gt;"",INDEX('×入力'!$A$1:$L$1300,314,2+CE$2)&lt;&gt;"",INDEX('×入力'!$A$1:$L$1300,315+CE$3,1)&lt;&gt;""),1,0),0)</f>
        <v/>
      </c>
      <c r="CF21">
        <f>IF(CF$4=1,IF(OR(INDEX('×入力'!$A$1:$L$1300,315+CF$3,2+CF$2)&lt;&gt;"",INDEX('×入力'!$A$1:$L$1300,314,2+CF$2)&lt;&gt;"",INDEX('×入力'!$A$1:$L$1300,315+CF$3,1)&lt;&gt;""),1,0),0)</f>
        <v/>
      </c>
      <c r="CG21">
        <f>IF(CG$4=1,IF(OR(INDEX('×入力'!$A$1:$L$1300,315+CG$3,2+CG$2)&lt;&gt;"",INDEX('×入力'!$A$1:$L$1300,314,2+CG$2)&lt;&gt;"",INDEX('×入力'!$A$1:$L$1300,315+CG$3,1)&lt;&gt;""),1,0),0)</f>
        <v/>
      </c>
      <c r="CH21">
        <f>IF(CH$4=1,IF(OR(INDEX('×入力'!$A$1:$L$1300,315+CH$3,2+CH$2)&lt;&gt;"",INDEX('×入力'!$A$1:$L$1300,314,2+CH$2)&lt;&gt;"",INDEX('×入力'!$A$1:$L$1300,315+CH$3,1)&lt;&gt;""),1,0),0)</f>
        <v/>
      </c>
      <c r="CI21">
        <f>IF(CI$4=1,IF(OR(INDEX('×入力'!$A$1:$L$1300,315+CI$3,2+CI$2)&lt;&gt;"",INDEX('×入力'!$A$1:$L$1300,314,2+CI$2)&lt;&gt;"",INDEX('×入力'!$A$1:$L$1300,315+CI$3,1)&lt;&gt;""),1,0),0)</f>
        <v/>
      </c>
      <c r="CJ21">
        <f>IF(CJ$4=1,IF(OR(INDEX('×入力'!$A$1:$L$1300,315+CJ$3,2+CJ$2)&lt;&gt;"",INDEX('×入力'!$A$1:$L$1300,314,2+CJ$2)&lt;&gt;"",INDEX('×入力'!$A$1:$L$1300,315+CJ$3,1)&lt;&gt;""),1,0),0)</f>
        <v/>
      </c>
      <c r="CK21">
        <f>IF(CK$4=1,IF(OR(INDEX('×入力'!$A$1:$L$1300,315+CK$3,2+CK$2)&lt;&gt;"",INDEX('×入力'!$A$1:$L$1300,314,2+CK$2)&lt;&gt;"",INDEX('×入力'!$A$1:$L$1300,315+CK$3,1)&lt;&gt;""),1,0),0)</f>
        <v/>
      </c>
      <c r="CL21">
        <f>IF(CL$4=1,IF(OR(INDEX('×入力'!$A$1:$L$1300,315+CL$3,2+CL$2)&lt;&gt;"",INDEX('×入力'!$A$1:$L$1300,314,2+CL$2)&lt;&gt;"",INDEX('×入力'!$A$1:$L$1300,315+CL$3,1)&lt;&gt;""),1,0),0)</f>
        <v/>
      </c>
      <c r="CM21">
        <f>IF(CM$4=1,IF(OR(INDEX('×入力'!$A$1:$L$1300,315+CM$3,2+CM$2)&lt;&gt;"",INDEX('×入力'!$A$1:$L$1300,314,2+CM$2)&lt;&gt;"",INDEX('×入力'!$A$1:$L$1300,315+CM$3,1)&lt;&gt;""),1,0),0)</f>
        <v/>
      </c>
      <c r="CN21">
        <f>IF(CN$4=1,IF(OR(INDEX('×入力'!$A$1:$L$1300,315+CN$3,2+CN$2)&lt;&gt;"",INDEX('×入力'!$A$1:$L$1300,314,2+CN$2)&lt;&gt;"",INDEX('×入力'!$A$1:$L$1300,315+CN$3,1)&lt;&gt;""),1,0),0)</f>
        <v/>
      </c>
      <c r="CO21">
        <f>IF(CO$4=1,IF(OR(INDEX('×入力'!$A$1:$L$1300,315+CO$3,2+CO$2)&lt;&gt;"",INDEX('×入力'!$A$1:$L$1300,314,2+CO$2)&lt;&gt;"",INDEX('×入力'!$A$1:$L$1300,315+CO$3,1)&lt;&gt;""),1,0),0)</f>
        <v/>
      </c>
      <c r="CP21">
        <f>IF(CP$4=1,IF(OR(INDEX('×入力'!$A$1:$L$1300,315+CP$3,2+CP$2)&lt;&gt;"",INDEX('×入力'!$A$1:$L$1300,314,2+CP$2)&lt;&gt;"",INDEX('×入力'!$A$1:$L$1300,315+CP$3,1)&lt;&gt;""),1,0),0)</f>
        <v/>
      </c>
      <c r="CQ21">
        <f>IF(CQ$4=1,IF(OR(INDEX('×入力'!$A$1:$L$1300,315+CQ$3,2+CQ$2)&lt;&gt;"",INDEX('×入力'!$A$1:$L$1300,314,2+CQ$2)&lt;&gt;"",INDEX('×入力'!$A$1:$L$1300,315+CQ$3,1)&lt;&gt;""),1,0),0)</f>
        <v/>
      </c>
      <c r="CR21">
        <f>IF(CR$4=1,IF(OR(INDEX('×入力'!$A$1:$L$1300,315+CR$3,2+CR$2)&lt;&gt;"",INDEX('×入力'!$A$1:$L$1300,314,2+CR$2)&lt;&gt;"",INDEX('×入力'!$A$1:$L$1300,315+CR$3,1)&lt;&gt;""),1,0),0)</f>
        <v/>
      </c>
      <c r="CS21">
        <f>IF(CS$4=1,IF(OR(INDEX('×入力'!$A$1:$L$1300,315+CS$3,2+CS$2)&lt;&gt;"",INDEX('×入力'!$A$1:$L$1300,314,2+CS$2)&lt;&gt;"",INDEX('×入力'!$A$1:$L$1300,315+CS$3,1)&lt;&gt;""),1,0),0)</f>
        <v/>
      </c>
      <c r="CT21">
        <f>IF(CT$4=1,IF(OR(INDEX('×入力'!$A$1:$L$1300,315+CT$3,2+CT$2)&lt;&gt;"",INDEX('×入力'!$A$1:$L$1300,314,2+CT$2)&lt;&gt;"",INDEX('×入力'!$A$1:$L$1300,315+CT$3,1)&lt;&gt;""),1,0),0)</f>
        <v/>
      </c>
      <c r="CU21">
        <f>IF(CU$4=1,IF(OR(INDEX('×入力'!$A$1:$L$1300,315+CU$3,2+CU$2)&lt;&gt;"",INDEX('×入力'!$A$1:$L$1300,314,2+CU$2)&lt;&gt;"",INDEX('×入力'!$A$1:$L$1300,315+CU$3,1)&lt;&gt;""),1,0),0)</f>
        <v/>
      </c>
      <c r="CV21">
        <f>IF(CV$4=1,IF(OR(INDEX('×入力'!$A$1:$L$1300,315+CV$3,2+CV$2)&lt;&gt;"",INDEX('×入力'!$A$1:$L$1300,314,2+CV$2)&lt;&gt;"",INDEX('×入力'!$A$1:$L$1300,315+CV$3,1)&lt;&gt;""),1,0),0)</f>
        <v/>
      </c>
      <c r="CW21">
        <f>IF(CW$4=1,IF(OR(INDEX('×入力'!$A$1:$L$1300,315+CW$3,2+CW$2)&lt;&gt;"",INDEX('×入力'!$A$1:$L$1300,314,2+CW$2)&lt;&gt;"",INDEX('×入力'!$A$1:$L$1300,315+CW$3,1)&lt;&gt;""),1,0),0)</f>
        <v/>
      </c>
      <c r="CX21">
        <f>IF(CX$4=1,IF(OR(INDEX('×入力'!$A$1:$L$1300,315+CX$3,2+CX$2)&lt;&gt;"",INDEX('×入力'!$A$1:$L$1300,314,2+CX$2)&lt;&gt;"",INDEX('×入力'!$A$1:$L$1300,315+CX$3,1)&lt;&gt;""),1,0),0)</f>
        <v/>
      </c>
      <c r="CY21">
        <f>IF(CY$4=1,IF(OR(INDEX('×入力'!$A$1:$L$1300,315+CY$3,2+CY$2)&lt;&gt;"",INDEX('×入力'!$A$1:$L$1300,314,2+CY$2)&lt;&gt;"",INDEX('×入力'!$A$1:$L$1300,315+CY$3,1)&lt;&gt;""),1,0),0)</f>
        <v/>
      </c>
      <c r="CZ21">
        <f>IF(CZ$4=1,IF(OR(INDEX('×入力'!$A$1:$L$1300,315+CZ$3,2+CZ$2)&lt;&gt;"",INDEX('×入力'!$A$1:$L$1300,314,2+CZ$2)&lt;&gt;"",INDEX('×入力'!$A$1:$L$1300,315+CZ$3,1)&lt;&gt;""),1,0),0)</f>
        <v/>
      </c>
      <c r="DA21">
        <f>IF(DA$4=1,IF(OR(INDEX('×入力'!$A$1:$L$1300,315+DA$3,2+DA$2)&lt;&gt;"",INDEX('×入力'!$A$1:$L$1300,314,2+DA$2)&lt;&gt;"",INDEX('×入力'!$A$1:$L$1300,315+DA$3,1)&lt;&gt;""),1,0),0)</f>
        <v/>
      </c>
      <c r="DB21">
        <f>IF(DB$4=1,IF(OR(INDEX('×入力'!$A$1:$L$1300,315+DB$3,2+DB$2)&lt;&gt;"",INDEX('×入力'!$A$1:$L$1300,314,2+DB$2)&lt;&gt;"",INDEX('×入力'!$A$1:$L$1300,315+DB$3,1)&lt;&gt;""),1,0),0)</f>
        <v/>
      </c>
      <c r="DC21">
        <f>IF(DC$4=1,IF(OR(INDEX('×入力'!$A$1:$L$1300,315+DC$3,2+DC$2)&lt;&gt;"",INDEX('×入力'!$A$1:$L$1300,314,2+DC$2)&lt;&gt;"",INDEX('×入力'!$A$1:$L$1300,315+DC$3,1)&lt;&gt;""),1,0),0)</f>
        <v/>
      </c>
      <c r="DD21">
        <f>IF(DD$4=1,IF(OR(INDEX('×入力'!$A$1:$L$1300,315+DD$3,2+DD$2)&lt;&gt;"",INDEX('×入力'!$A$1:$L$1300,314,2+DD$2)&lt;&gt;"",INDEX('×入力'!$A$1:$L$1300,315+DD$3,1)&lt;&gt;""),1,0),0)</f>
        <v/>
      </c>
      <c r="DE21">
        <f>IF(DE$4=1,IF(OR(INDEX('×入力'!$A$1:$L$1300,315+DE$3,2+DE$2)&lt;&gt;"",INDEX('×入力'!$A$1:$L$1300,314,2+DE$2)&lt;&gt;"",INDEX('×入力'!$A$1:$L$1300,315+DE$3,1)&lt;&gt;""),1,0),0)</f>
        <v/>
      </c>
      <c r="DF21">
        <f>IF(DF$4=1,IF(OR(INDEX('×入力'!$A$1:$L$1300,315+DF$3,2+DF$2)&lt;&gt;"",INDEX('×入力'!$A$1:$L$1300,314,2+DF$2)&lt;&gt;"",INDEX('×入力'!$A$1:$L$1300,315+DF$3,1)&lt;&gt;""),1,0),0)</f>
        <v/>
      </c>
      <c r="DG21">
        <f>IF(DG$4=1,IF(OR(INDEX('×入力'!$A$1:$L$1300,315+DG$3,2+DG$2)&lt;&gt;"",INDEX('×入力'!$A$1:$L$1300,314,2+DG$2)&lt;&gt;"",INDEX('×入力'!$A$1:$L$1300,315+DG$3,1)&lt;&gt;""),1,0),0)</f>
        <v/>
      </c>
      <c r="DH21">
        <f>IF(DH$4=1,IF(OR(INDEX('×入力'!$A$1:$L$1300,315+DH$3,2+DH$2)&lt;&gt;"",INDEX('×入力'!$A$1:$L$1300,314,2+DH$2)&lt;&gt;"",INDEX('×入力'!$A$1:$L$1300,315+DH$3,1)&lt;&gt;""),1,0),0)</f>
        <v/>
      </c>
      <c r="DI21">
        <f>IF(DI$4=1,IF(OR(INDEX('×入力'!$A$1:$L$1300,315+DI$3,2+DI$2)&lt;&gt;"",INDEX('×入力'!$A$1:$L$1300,314,2+DI$2)&lt;&gt;"",INDEX('×入力'!$A$1:$L$1300,315+DI$3,1)&lt;&gt;""),1,0),0)</f>
        <v/>
      </c>
      <c r="DJ21">
        <f>IF(DJ$4=1,IF(OR(INDEX('×入力'!$A$1:$L$1300,315+DJ$3,2+DJ$2)&lt;&gt;"",INDEX('×入力'!$A$1:$L$1300,314,2+DJ$2)&lt;&gt;"",INDEX('×入力'!$A$1:$L$1300,315+DJ$3,1)&lt;&gt;""),1,0),0)</f>
        <v/>
      </c>
      <c r="DK21">
        <f>IF(DK$4=1,IF(OR(INDEX('×入力'!$A$1:$L$1300,315+DK$3,2+DK$2)&lt;&gt;"",INDEX('×入力'!$A$1:$L$1300,314,2+DK$2)&lt;&gt;"",INDEX('×入力'!$A$1:$L$1300,315+DK$3,1)&lt;&gt;""),1,0),0)</f>
        <v/>
      </c>
      <c r="DL21">
        <f>IF(DL$4=1,IF(OR(INDEX('×入力'!$A$1:$L$1300,315+DL$3,2+DL$2)&lt;&gt;"",INDEX('×入力'!$A$1:$L$1300,314,2+DL$2)&lt;&gt;"",INDEX('×入力'!$A$1:$L$1300,315+DL$3,1)&lt;&gt;""),1,0),0)</f>
        <v/>
      </c>
      <c r="DM21">
        <f>IF(DM$4=1,IF(OR(INDEX('×入力'!$A$1:$L$1300,315+DM$3,2+DM$2)&lt;&gt;"",INDEX('×入力'!$A$1:$L$1300,314,2+DM$2)&lt;&gt;"",INDEX('×入力'!$A$1:$L$1300,315+DM$3,1)&lt;&gt;""),1,0),0)</f>
        <v/>
      </c>
      <c r="DN21">
        <f>IF(DN$4=1,IF(OR(INDEX('×入力'!$A$1:$L$1300,315+DN$3,2+DN$2)&lt;&gt;"",INDEX('×入力'!$A$1:$L$1300,314,2+DN$2)&lt;&gt;"",INDEX('×入力'!$A$1:$L$1300,315+DN$3,1)&lt;&gt;""),1,0),0)</f>
        <v/>
      </c>
      <c r="DO21">
        <f>IF(DO$4=1,IF(OR(INDEX('×入力'!$A$1:$L$1300,315+DO$3,2+DO$2)&lt;&gt;"",INDEX('×入力'!$A$1:$L$1300,314,2+DO$2)&lt;&gt;"",INDEX('×入力'!$A$1:$L$1300,315+DO$3,1)&lt;&gt;""),1,0),0)</f>
        <v/>
      </c>
      <c r="DP21">
        <f>IF(DP$4=1,IF(OR(INDEX('×入力'!$A$1:$L$1300,315+DP$3,2+DP$2)&lt;&gt;"",INDEX('×入力'!$A$1:$L$1300,314,2+DP$2)&lt;&gt;"",INDEX('×入力'!$A$1:$L$1300,315+DP$3,1)&lt;&gt;""),1,0),0)</f>
        <v/>
      </c>
      <c r="DQ21">
        <f>IF(DQ$4=1,IF(OR(INDEX('×入力'!$A$1:$L$1300,315+DQ$3,2+DQ$2)&lt;&gt;"",INDEX('×入力'!$A$1:$L$1300,314,2+DQ$2)&lt;&gt;"",INDEX('×入力'!$A$1:$L$1300,315+DQ$3,1)&lt;&gt;""),1,0),0)</f>
        <v/>
      </c>
      <c r="DR21">
        <f>IF(DR$4=1,IF(OR(INDEX('×入力'!$A$1:$L$1300,315+DR$3,2+DR$2)&lt;&gt;"",INDEX('×入力'!$A$1:$L$1300,314,2+DR$2)&lt;&gt;"",INDEX('×入力'!$A$1:$L$1300,315+DR$3,1)&lt;&gt;""),1,0),0)</f>
        <v/>
      </c>
      <c r="DS21">
        <f>IF(DS$4=1,IF(OR(INDEX('×入力'!$A$1:$L$1300,315+DS$3,2+DS$2)&lt;&gt;"",INDEX('×入力'!$A$1:$L$1300,314,2+DS$2)&lt;&gt;"",INDEX('×入力'!$A$1:$L$1300,315+DS$3,1)&lt;&gt;""),1,0),0)</f>
        <v/>
      </c>
      <c r="DT21">
        <f>IF(DT$4=1,IF(OR(INDEX('×入力'!$A$1:$L$1300,315+DT$3,2+DT$2)&lt;&gt;"",INDEX('×入力'!$A$1:$L$1300,314,2+DT$2)&lt;&gt;"",INDEX('×入力'!$A$1:$L$1300,315+DT$3,1)&lt;&gt;""),1,0),0)</f>
        <v/>
      </c>
      <c r="DU21">
        <f>IF(DU$4=1,IF(OR(INDEX('×入力'!$A$1:$L$1300,315+DU$3,2+DU$2)&lt;&gt;"",INDEX('×入力'!$A$1:$L$1300,314,2+DU$2)&lt;&gt;"",INDEX('×入力'!$A$1:$L$1300,315+DU$3,1)&lt;&gt;""),1,0),0)</f>
        <v/>
      </c>
      <c r="DV21">
        <f>IF(DV$4=1,IF(OR(INDEX('×入力'!$A$1:$L$1300,315+DV$3,2+DV$2)&lt;&gt;"",INDEX('×入力'!$A$1:$L$1300,314,2+DV$2)&lt;&gt;"",INDEX('×入力'!$A$1:$L$1300,315+DV$3,1)&lt;&gt;""),1,0),0)</f>
        <v/>
      </c>
      <c r="DW21">
        <f>IF(DW$4=1,IF(OR(INDEX('×入力'!$A$1:$L$1300,315+DW$3,2+DW$2)&lt;&gt;"",INDEX('×入力'!$A$1:$L$1300,314,2+DW$2)&lt;&gt;"",INDEX('×入力'!$A$1:$L$1300,315+DW$3,1)&lt;&gt;""),1,0),0)</f>
        <v/>
      </c>
      <c r="DX21">
        <f>IF(DX$4=1,IF(OR(INDEX('×入力'!$A$1:$L$1300,315+DX$3,2+DX$2)&lt;&gt;"",INDEX('×入力'!$A$1:$L$1300,314,2+DX$2)&lt;&gt;"",INDEX('×入力'!$A$1:$L$1300,315+DX$3,1)&lt;&gt;""),1,0),0)</f>
        <v/>
      </c>
      <c r="DY21">
        <f>IF(DY$4=1,IF(OR(INDEX('×入力'!$A$1:$L$1300,315+DY$3,2+DY$2)&lt;&gt;"",INDEX('×入力'!$A$1:$L$1300,314,2+DY$2)&lt;&gt;"",INDEX('×入力'!$A$1:$L$1300,315+DY$3,1)&lt;&gt;""),1,0),0)</f>
        <v/>
      </c>
      <c r="DZ21">
        <f>IF(DZ$4=1,IF(OR(INDEX('×入力'!$A$1:$L$1300,315+DZ$3,2+DZ$2)&lt;&gt;"",INDEX('×入力'!$A$1:$L$1300,314,2+DZ$2)&lt;&gt;"",INDEX('×入力'!$A$1:$L$1300,315+DZ$3,1)&lt;&gt;""),1,0),0)</f>
        <v/>
      </c>
      <c r="EA21">
        <f>IF(EA$4=1,IF(OR(INDEX('×入力'!$A$1:$L$1300,315+EA$3,2+EA$2)&lt;&gt;"",INDEX('×入力'!$A$1:$L$1300,314,2+EA$2)&lt;&gt;"",INDEX('×入力'!$A$1:$L$1300,315+EA$3,1)&lt;&gt;""),1,0),0)</f>
        <v/>
      </c>
      <c r="EB21">
        <f>IF(EB$4=1,IF(OR(INDEX('×入力'!$A$1:$L$1300,315+EB$3,2+EB$2)&lt;&gt;"",INDEX('×入力'!$A$1:$L$1300,314,2+EB$2)&lt;&gt;"",INDEX('×入力'!$A$1:$L$1300,315+EB$3,1)&lt;&gt;""),1,0),0)</f>
        <v/>
      </c>
      <c r="EC21">
        <f>IF(EC$4=1,IF(OR(INDEX('×入力'!$A$1:$L$1300,315+EC$3,2+EC$2)&lt;&gt;"",INDEX('×入力'!$A$1:$L$1300,314,2+EC$2)&lt;&gt;"",INDEX('×入力'!$A$1:$L$1300,315+EC$3,1)&lt;&gt;""),1,0),0)</f>
        <v/>
      </c>
      <c r="ED21">
        <f>IF(ED$4=1,IF(OR(INDEX('×入力'!$A$1:$L$1300,315+ED$3,2+ED$2)&lt;&gt;"",INDEX('×入力'!$A$1:$L$1300,314,2+ED$2)&lt;&gt;"",INDEX('×入力'!$A$1:$L$1300,315+ED$3,1)&lt;&gt;""),1,0),0)</f>
        <v/>
      </c>
      <c r="EE21">
        <f>IF(EE$4=1,IF(OR(INDEX('×入力'!$A$1:$L$1300,315+EE$3,2+EE$2)&lt;&gt;"",INDEX('×入力'!$A$1:$L$1300,314,2+EE$2)&lt;&gt;"",INDEX('×入力'!$A$1:$L$1300,315+EE$3,1)&lt;&gt;""),1,0),0)</f>
        <v/>
      </c>
      <c r="EF21">
        <f>IF(EF$4=1,IF(OR(INDEX('×入力'!$A$1:$L$1300,315+EF$3,2+EF$2)&lt;&gt;"",INDEX('×入力'!$A$1:$L$1300,314,2+EF$2)&lt;&gt;"",INDEX('×入力'!$A$1:$L$1300,315+EF$3,1)&lt;&gt;""),1,0),0)</f>
        <v/>
      </c>
      <c r="EG21">
        <f>IF(EG$4=1,IF(OR(INDEX('×入力'!$A$1:$L$1300,315+EG$3,2+EG$2)&lt;&gt;"",INDEX('×入力'!$A$1:$L$1300,314,2+EG$2)&lt;&gt;"",INDEX('×入力'!$A$1:$L$1300,315+EG$3,1)&lt;&gt;""),1,0),0)</f>
        <v/>
      </c>
      <c r="EH21">
        <f>IF(EH$4=1,IF(OR(INDEX('×入力'!$A$1:$L$1300,315+EH$3,2+EH$2)&lt;&gt;"",INDEX('×入力'!$A$1:$L$1300,314,2+EH$2)&lt;&gt;"",INDEX('×入力'!$A$1:$L$1300,315+EH$3,1)&lt;&gt;""),1,0),0)</f>
        <v/>
      </c>
      <c r="EI21">
        <f>IF(EI$4=1,IF(OR(INDEX('×入力'!$A$1:$L$1300,315+EI$3,2+EI$2)&lt;&gt;"",INDEX('×入力'!$A$1:$L$1300,314,2+EI$2)&lt;&gt;"",INDEX('×入力'!$A$1:$L$1300,315+EI$3,1)&lt;&gt;""),1,0),0)</f>
        <v/>
      </c>
      <c r="EJ21">
        <f>IF(EJ$4=1,IF(OR(INDEX('×入力'!$A$1:$L$1300,315+EJ$3,2+EJ$2)&lt;&gt;"",INDEX('×入力'!$A$1:$L$1300,314,2+EJ$2)&lt;&gt;"",INDEX('×入力'!$A$1:$L$1300,315+EJ$3,1)&lt;&gt;""),1,0),0)</f>
        <v/>
      </c>
      <c r="EK21">
        <f>IF(EK$4=1,IF(OR(INDEX('×入力'!$A$1:$L$1300,315+EK$3,2+EK$2)&lt;&gt;"",INDEX('×入力'!$A$1:$L$1300,314,2+EK$2)&lt;&gt;"",INDEX('×入力'!$A$1:$L$1300,315+EK$3,1)&lt;&gt;""),1,0),0)</f>
        <v/>
      </c>
      <c r="EL21">
        <f>IF(EL$4=1,IF(OR(INDEX('×入力'!$A$1:$L$1300,315+EL$3,2+EL$2)&lt;&gt;"",INDEX('×入力'!$A$1:$L$1300,314,2+EL$2)&lt;&gt;"",INDEX('×入力'!$A$1:$L$1300,315+EL$3,1)&lt;&gt;""),1,0),0)</f>
        <v/>
      </c>
      <c r="EM21">
        <f>IF(EM$4=1,IF(OR(INDEX('×入力'!$A$1:$L$1300,315+EM$3,2+EM$2)&lt;&gt;"",INDEX('×入力'!$A$1:$L$1300,314,2+EM$2)&lt;&gt;"",INDEX('×入力'!$A$1:$L$1300,315+EM$3,1)&lt;&gt;""),1,0),0)</f>
        <v/>
      </c>
      <c r="EN21">
        <f>IF(EN$4=1,IF(OR(INDEX('×入力'!$A$1:$L$1300,315+EN$3,2+EN$2)&lt;&gt;"",INDEX('×入力'!$A$1:$L$1300,314,2+EN$2)&lt;&gt;"",INDEX('×入力'!$A$1:$L$1300,315+EN$3,1)&lt;&gt;""),1,0),0)</f>
        <v/>
      </c>
      <c r="EO21">
        <f>IF(EO$4=1,IF(OR(INDEX('×入力'!$A$1:$L$1300,315+EO$3,2+EO$2)&lt;&gt;"",INDEX('×入力'!$A$1:$L$1300,314,2+EO$2)&lt;&gt;"",INDEX('×入力'!$A$1:$L$1300,315+EO$3,1)&lt;&gt;""),1,0),0)</f>
        <v/>
      </c>
      <c r="EP21">
        <f>IF(EP$4=1,IF(OR(INDEX('×入力'!$A$1:$L$1300,315+EP$3,2+EP$2)&lt;&gt;"",INDEX('×入力'!$A$1:$L$1300,314,2+EP$2)&lt;&gt;"",INDEX('×入力'!$A$1:$L$1300,315+EP$3,1)&lt;&gt;""),1,0),0)</f>
        <v/>
      </c>
      <c r="EQ21">
        <f>IF(EQ$4=1,IF(OR(INDEX('×入力'!$A$1:$L$1300,315+EQ$3,2+EQ$2)&lt;&gt;"",INDEX('×入力'!$A$1:$L$1300,314,2+EQ$2)&lt;&gt;"",INDEX('×入力'!$A$1:$L$1300,315+EQ$3,1)&lt;&gt;""),1,0),0)</f>
        <v/>
      </c>
      <c r="HA21">
        <f>MAX(0,IT21)</f>
        <v/>
      </c>
      <c r="HB21">
        <f>IF(HA21=0,0,INDEX($D$2:$EQ$2,HA21))</f>
        <v/>
      </c>
      <c r="HC21">
        <f>IF(HA21=0,0,INDEX($D$3:$EQ$3,HA21))</f>
        <v/>
      </c>
      <c r="HD21">
        <f>MAX(0,IY21)</f>
        <v/>
      </c>
      <c r="HE21">
        <f>IF(HD21=0,0,INDEX($D$2:$EQ$2,HD21))</f>
        <v/>
      </c>
      <c r="HF21">
        <f>IF(HD21=0,0,INDEX($D$3:$EQ$3,HD21))</f>
        <v/>
      </c>
      <c r="HG21">
        <f>MAX(0,IZ21)</f>
        <v/>
      </c>
      <c r="HH21">
        <f>IF(HG21=0,0,INDEX($D$2:$EQ$2,HG21))</f>
        <v/>
      </c>
      <c r="HI21">
        <f>IF(HG21=0,0,INDEX($D$3:$EQ$3,HG21))</f>
        <v/>
      </c>
      <c r="HJ21">
        <f>IF(AND(HA21&gt;0,HC21&gt;1,OR(HC21-1&lt;&gt;$A$3,$A$4=0)),HA21-1,-1)</f>
        <v/>
      </c>
      <c r="HK21">
        <f>IF(AND(HA21&gt;0,HC21&lt;24,OR(HC21&lt;&gt;$A$3,$A$4=0)),HA21+1,-1)</f>
        <v/>
      </c>
      <c r="HL21">
        <f>IF(AND(HD21&gt;0,HF21&gt;1,OR(HF21-1&lt;&gt;$A$3,$A$4=0)),HD21-1,-1)</f>
        <v/>
      </c>
      <c r="HM21">
        <f>IF(AND(HD21&gt;0,HF21&lt;24,OR(HF21&lt;&gt;$A$3,$A$4=0)),HD21+1,-1)</f>
        <v/>
      </c>
      <c r="HN21">
        <f>IF(AND(HG21&gt;0,HI21&gt;1,OR(HI21-1&lt;&gt;$A$3,$A$4=0)),HG21-1,-1)</f>
        <v/>
      </c>
      <c r="HO21">
        <f>IF(AND(HG21&gt;0,HI21&lt;24,OR(HI21&lt;&gt;$A$3,$A$4=0)),HG21+1,-1)</f>
        <v/>
      </c>
      <c r="IK21">
        <f>IFERROR(INDEX('calcB'!$C$3:$C$47,MATCH(A21,'calcB'!$B$3:$B$47,0)),0)</f>
        <v/>
      </c>
      <c r="IL21">
        <f>IF(AND(C21=1,IK21=0,calcA!$A$6=1),1,0)</f>
        <v/>
      </c>
      <c r="IM21">
        <f>SUMPRODUCT(D71:EQ71*(1-$D$7:$EQ$7))</f>
        <v/>
      </c>
      <c r="IN21">
        <f>SUM(D21:EQ21)</f>
        <v/>
      </c>
      <c r="IO21">
        <f>IF(B21="",0,IF(COUNTIF('調整・決定'!$C$6:$H$29,B21)=1,SUMPRODUCT(('調整・決定'!$C$6:$H$29=B21)*((COLUMN('調整・決定'!$C$6:$H$29)-3)*24+ROW('調整・決定'!$C$6:$H$29)-5)),0))</f>
        <v/>
      </c>
      <c r="IP21">
        <f>IFERROR(MATCH('名簿'!C16,{"早い時刻","遅い時刻","早い日","遅い日"},0),0)</f>
        <v/>
      </c>
      <c r="IQ21">
        <f>IF('名簿'!D16="必ず空けたい",2,IF('名簿'!D16="出来れば空けたい",1,0))</f>
        <v/>
      </c>
      <c r="IR21">
        <f>IFERROR(INDEX('calcC'!$C$3:$C$47,MATCH(A21,'calcC'!$B$3:$B$47,0)),0)</f>
        <v/>
      </c>
      <c r="IS21">
        <f>IF(AND(C21=1,IR21=0,calcA!$A$6=1),1,0)</f>
        <v/>
      </c>
      <c r="IT21">
        <f>IF(OR('名簿'!G16="",'名簿'!H16=""),0,IFERROR((MATCH('名簿'!G16,'設定'!$E$11:$E$16,0)-1)*24+MATCH('名簿'!H16,'設定'!$I$11:$I$34,0),-1))</f>
        <v/>
      </c>
      <c r="IV21">
        <f>IF(OR(JF21=0,IO21=0),1,IF(OR(IF(IT21&gt;0,AND(INDEX($D$2:$EQ$2,IO21)=INDEX($D$2:$EQ$2,IT21),OR(AND(IO21=IT21+1,OR(INDEX($D$3:$EQ$3,IT21)&lt;&gt;$A$3,$A$4=0)),AND(IO21=IT21-1,OR(INDEX($D$3:$EQ$3,IO21)&lt;&gt;$A$3,$A$4=0)))),FALSE),IF(IY21&gt;0,AND(INDEX($D$2:$EQ$2,IO21)=INDEX($D$2:$EQ$2,IY21),OR(AND(IO21=IY21+1,OR(INDEX($D$3:$EQ$3,IY21)&lt;&gt;$A$3,$A$4=0)),AND(IO21=IY21-1,OR(INDEX($D$3:$EQ$3,IO21)&lt;&gt;$A$3,$A$4=0)))),FALSE),IF(IZ21&gt;0,AND(INDEX($D$2:$EQ$2,IO21)=INDEX($D$2:$EQ$2,IZ21),OR(AND(IO21=IZ21+1,OR(INDEX($D$3:$EQ$3,IZ21)&lt;&gt;$A$3,$A$4=0)),AND(IO21=IZ21-1,OR(INDEX($D$3:$EQ$3,IO21)&lt;&gt;$A$3,$A$4=0)))),FALSE)),1,0))</f>
        <v/>
      </c>
      <c r="IW21">
        <f>IF(AND('名簿'!E16&lt;&gt;"",JF21=0),1,0)</f>
        <v/>
      </c>
      <c r="IX21">
        <f>IF('名簿'!D16="空けない",1,0)</f>
        <v/>
      </c>
      <c r="IY21">
        <f>IF(OR('名簿'!J16="",'名簿'!K16=""),0,IFERROR((MATCH('名簿'!J16,'設定'!$E$11:$E$16,0)-1)*24+MATCH('名簿'!K16,'設定'!$I$11:$I$34,0),-1))</f>
        <v/>
      </c>
      <c r="IZ21">
        <f>IF(OR('名簿'!M16="",'名簿'!N16=""),0,IFERROR((MATCH('名簿'!M16,'設定'!$E$11:$E$16,0)-1)*24+MATCH('名簿'!N16,'設定'!$I$11:$I$34,0),-1))</f>
        <v/>
      </c>
      <c r="JC21">
        <f>IF(RIGHT('名簿'!I16,2)="の前",1,IF(RIGHT('名簿'!I16,2)="の後",2,0))</f>
        <v/>
      </c>
      <c r="JD21">
        <f>IF(RIGHT('名簿'!L16,2)="の前",1,IF(RIGHT('名簿'!L16,2)="の後",2,0))</f>
        <v/>
      </c>
      <c r="JE21">
        <f>IF(RIGHT('名簿'!O16,2)="の前",1,IF(RIGHT('名簿'!O16,2)="の後",2,0))</f>
        <v/>
      </c>
      <c r="JF21">
        <f>IF(OR(IT21&gt;0,IY21&gt;0,IZ21&gt;0),1,0)</f>
        <v/>
      </c>
      <c r="JG21">
        <f>IF(OR(IT21&lt;0,IY21&lt;0,IZ21&lt;0),1,0)</f>
        <v/>
      </c>
    </row>
    <row r="22">
      <c r="A22" t="n">
        <v>13</v>
      </c>
      <c r="B22">
        <f>'名簿'!P17</f>
        <v/>
      </c>
      <c r="C22">
        <f>IF(AND(B22&lt;&gt;"",OR('名簿'!Q17="入力済み",'名簿'!Q17="×なし"),IO22=0,COUNTIF('調整・決定'!$C$6:$H$29,B22)=0),1,0)</f>
        <v/>
      </c>
      <c r="D22">
        <f>IF(D$4=1,IF(OR(INDEX('×入力'!$A$1:$L$1300,343+D$3,2+D$2)&lt;&gt;"",INDEX('×入力'!$A$1:$L$1300,342,2+D$2)&lt;&gt;"",INDEX('×入力'!$A$1:$L$1300,343+D$3,1)&lt;&gt;""),1,0),0)</f>
        <v/>
      </c>
      <c r="E22">
        <f>IF(E$4=1,IF(OR(INDEX('×入力'!$A$1:$L$1300,343+E$3,2+E$2)&lt;&gt;"",INDEX('×入力'!$A$1:$L$1300,342,2+E$2)&lt;&gt;"",INDEX('×入力'!$A$1:$L$1300,343+E$3,1)&lt;&gt;""),1,0),0)</f>
        <v/>
      </c>
      <c r="F22">
        <f>IF(F$4=1,IF(OR(INDEX('×入力'!$A$1:$L$1300,343+F$3,2+F$2)&lt;&gt;"",INDEX('×入力'!$A$1:$L$1300,342,2+F$2)&lt;&gt;"",INDEX('×入力'!$A$1:$L$1300,343+F$3,1)&lt;&gt;""),1,0),0)</f>
        <v/>
      </c>
      <c r="G22">
        <f>IF(G$4=1,IF(OR(INDEX('×入力'!$A$1:$L$1300,343+G$3,2+G$2)&lt;&gt;"",INDEX('×入力'!$A$1:$L$1300,342,2+G$2)&lt;&gt;"",INDEX('×入力'!$A$1:$L$1300,343+G$3,1)&lt;&gt;""),1,0),0)</f>
        <v/>
      </c>
      <c r="H22">
        <f>IF(H$4=1,IF(OR(INDEX('×入力'!$A$1:$L$1300,343+H$3,2+H$2)&lt;&gt;"",INDEX('×入力'!$A$1:$L$1300,342,2+H$2)&lt;&gt;"",INDEX('×入力'!$A$1:$L$1300,343+H$3,1)&lt;&gt;""),1,0),0)</f>
        <v/>
      </c>
      <c r="I22">
        <f>IF(I$4=1,IF(OR(INDEX('×入力'!$A$1:$L$1300,343+I$3,2+I$2)&lt;&gt;"",INDEX('×入力'!$A$1:$L$1300,342,2+I$2)&lt;&gt;"",INDEX('×入力'!$A$1:$L$1300,343+I$3,1)&lt;&gt;""),1,0),0)</f>
        <v/>
      </c>
      <c r="J22">
        <f>IF(J$4=1,IF(OR(INDEX('×入力'!$A$1:$L$1300,343+J$3,2+J$2)&lt;&gt;"",INDEX('×入力'!$A$1:$L$1300,342,2+J$2)&lt;&gt;"",INDEX('×入力'!$A$1:$L$1300,343+J$3,1)&lt;&gt;""),1,0),0)</f>
        <v/>
      </c>
      <c r="K22">
        <f>IF(K$4=1,IF(OR(INDEX('×入力'!$A$1:$L$1300,343+K$3,2+K$2)&lt;&gt;"",INDEX('×入力'!$A$1:$L$1300,342,2+K$2)&lt;&gt;"",INDEX('×入力'!$A$1:$L$1300,343+K$3,1)&lt;&gt;""),1,0),0)</f>
        <v/>
      </c>
      <c r="L22">
        <f>IF(L$4=1,IF(OR(INDEX('×入力'!$A$1:$L$1300,343+L$3,2+L$2)&lt;&gt;"",INDEX('×入力'!$A$1:$L$1300,342,2+L$2)&lt;&gt;"",INDEX('×入力'!$A$1:$L$1300,343+L$3,1)&lt;&gt;""),1,0),0)</f>
        <v/>
      </c>
      <c r="M22">
        <f>IF(M$4=1,IF(OR(INDEX('×入力'!$A$1:$L$1300,343+M$3,2+M$2)&lt;&gt;"",INDEX('×入力'!$A$1:$L$1300,342,2+M$2)&lt;&gt;"",INDEX('×入力'!$A$1:$L$1300,343+M$3,1)&lt;&gt;""),1,0),0)</f>
        <v/>
      </c>
      <c r="N22">
        <f>IF(N$4=1,IF(OR(INDEX('×入力'!$A$1:$L$1300,343+N$3,2+N$2)&lt;&gt;"",INDEX('×入力'!$A$1:$L$1300,342,2+N$2)&lt;&gt;"",INDEX('×入力'!$A$1:$L$1300,343+N$3,1)&lt;&gt;""),1,0),0)</f>
        <v/>
      </c>
      <c r="O22">
        <f>IF(O$4=1,IF(OR(INDEX('×入力'!$A$1:$L$1300,343+O$3,2+O$2)&lt;&gt;"",INDEX('×入力'!$A$1:$L$1300,342,2+O$2)&lt;&gt;"",INDEX('×入力'!$A$1:$L$1300,343+O$3,1)&lt;&gt;""),1,0),0)</f>
        <v/>
      </c>
      <c r="P22">
        <f>IF(P$4=1,IF(OR(INDEX('×入力'!$A$1:$L$1300,343+P$3,2+P$2)&lt;&gt;"",INDEX('×入力'!$A$1:$L$1300,342,2+P$2)&lt;&gt;"",INDEX('×入力'!$A$1:$L$1300,343+P$3,1)&lt;&gt;""),1,0),0)</f>
        <v/>
      </c>
      <c r="Q22">
        <f>IF(Q$4=1,IF(OR(INDEX('×入力'!$A$1:$L$1300,343+Q$3,2+Q$2)&lt;&gt;"",INDEX('×入力'!$A$1:$L$1300,342,2+Q$2)&lt;&gt;"",INDEX('×入力'!$A$1:$L$1300,343+Q$3,1)&lt;&gt;""),1,0),0)</f>
        <v/>
      </c>
      <c r="R22">
        <f>IF(R$4=1,IF(OR(INDEX('×入力'!$A$1:$L$1300,343+R$3,2+R$2)&lt;&gt;"",INDEX('×入力'!$A$1:$L$1300,342,2+R$2)&lt;&gt;"",INDEX('×入力'!$A$1:$L$1300,343+R$3,1)&lt;&gt;""),1,0),0)</f>
        <v/>
      </c>
      <c r="S22">
        <f>IF(S$4=1,IF(OR(INDEX('×入力'!$A$1:$L$1300,343+S$3,2+S$2)&lt;&gt;"",INDEX('×入力'!$A$1:$L$1300,342,2+S$2)&lt;&gt;"",INDEX('×入力'!$A$1:$L$1300,343+S$3,1)&lt;&gt;""),1,0),0)</f>
        <v/>
      </c>
      <c r="T22">
        <f>IF(T$4=1,IF(OR(INDEX('×入力'!$A$1:$L$1300,343+T$3,2+T$2)&lt;&gt;"",INDEX('×入力'!$A$1:$L$1300,342,2+T$2)&lt;&gt;"",INDEX('×入力'!$A$1:$L$1300,343+T$3,1)&lt;&gt;""),1,0),0)</f>
        <v/>
      </c>
      <c r="U22">
        <f>IF(U$4=1,IF(OR(INDEX('×入力'!$A$1:$L$1300,343+U$3,2+U$2)&lt;&gt;"",INDEX('×入力'!$A$1:$L$1300,342,2+U$2)&lt;&gt;"",INDEX('×入力'!$A$1:$L$1300,343+U$3,1)&lt;&gt;""),1,0),0)</f>
        <v/>
      </c>
      <c r="V22">
        <f>IF(V$4=1,IF(OR(INDEX('×入力'!$A$1:$L$1300,343+V$3,2+V$2)&lt;&gt;"",INDEX('×入力'!$A$1:$L$1300,342,2+V$2)&lt;&gt;"",INDEX('×入力'!$A$1:$L$1300,343+V$3,1)&lt;&gt;""),1,0),0)</f>
        <v/>
      </c>
      <c r="W22">
        <f>IF(W$4=1,IF(OR(INDEX('×入力'!$A$1:$L$1300,343+W$3,2+W$2)&lt;&gt;"",INDEX('×入力'!$A$1:$L$1300,342,2+W$2)&lt;&gt;"",INDEX('×入力'!$A$1:$L$1300,343+W$3,1)&lt;&gt;""),1,0),0)</f>
        <v/>
      </c>
      <c r="X22">
        <f>IF(X$4=1,IF(OR(INDEX('×入力'!$A$1:$L$1300,343+X$3,2+X$2)&lt;&gt;"",INDEX('×入力'!$A$1:$L$1300,342,2+X$2)&lt;&gt;"",INDEX('×入力'!$A$1:$L$1300,343+X$3,1)&lt;&gt;""),1,0),0)</f>
        <v/>
      </c>
      <c r="Y22">
        <f>IF(Y$4=1,IF(OR(INDEX('×入力'!$A$1:$L$1300,343+Y$3,2+Y$2)&lt;&gt;"",INDEX('×入力'!$A$1:$L$1300,342,2+Y$2)&lt;&gt;"",INDEX('×入力'!$A$1:$L$1300,343+Y$3,1)&lt;&gt;""),1,0),0)</f>
        <v/>
      </c>
      <c r="Z22">
        <f>IF(Z$4=1,IF(OR(INDEX('×入力'!$A$1:$L$1300,343+Z$3,2+Z$2)&lt;&gt;"",INDEX('×入力'!$A$1:$L$1300,342,2+Z$2)&lt;&gt;"",INDEX('×入力'!$A$1:$L$1300,343+Z$3,1)&lt;&gt;""),1,0),0)</f>
        <v/>
      </c>
      <c r="AA22">
        <f>IF(AA$4=1,IF(OR(INDEX('×入力'!$A$1:$L$1300,343+AA$3,2+AA$2)&lt;&gt;"",INDEX('×入力'!$A$1:$L$1300,342,2+AA$2)&lt;&gt;"",INDEX('×入力'!$A$1:$L$1300,343+AA$3,1)&lt;&gt;""),1,0),0)</f>
        <v/>
      </c>
      <c r="AB22">
        <f>IF(AB$4=1,IF(OR(INDEX('×入力'!$A$1:$L$1300,343+AB$3,2+AB$2)&lt;&gt;"",INDEX('×入力'!$A$1:$L$1300,342,2+AB$2)&lt;&gt;"",INDEX('×入力'!$A$1:$L$1300,343+AB$3,1)&lt;&gt;""),1,0),0)</f>
        <v/>
      </c>
      <c r="AC22">
        <f>IF(AC$4=1,IF(OR(INDEX('×入力'!$A$1:$L$1300,343+AC$3,2+AC$2)&lt;&gt;"",INDEX('×入力'!$A$1:$L$1300,342,2+AC$2)&lt;&gt;"",INDEX('×入力'!$A$1:$L$1300,343+AC$3,1)&lt;&gt;""),1,0),0)</f>
        <v/>
      </c>
      <c r="AD22">
        <f>IF(AD$4=1,IF(OR(INDEX('×入力'!$A$1:$L$1300,343+AD$3,2+AD$2)&lt;&gt;"",INDEX('×入力'!$A$1:$L$1300,342,2+AD$2)&lt;&gt;"",INDEX('×入力'!$A$1:$L$1300,343+AD$3,1)&lt;&gt;""),1,0),0)</f>
        <v/>
      </c>
      <c r="AE22">
        <f>IF(AE$4=1,IF(OR(INDEX('×入力'!$A$1:$L$1300,343+AE$3,2+AE$2)&lt;&gt;"",INDEX('×入力'!$A$1:$L$1300,342,2+AE$2)&lt;&gt;"",INDEX('×入力'!$A$1:$L$1300,343+AE$3,1)&lt;&gt;""),1,0),0)</f>
        <v/>
      </c>
      <c r="AF22">
        <f>IF(AF$4=1,IF(OR(INDEX('×入力'!$A$1:$L$1300,343+AF$3,2+AF$2)&lt;&gt;"",INDEX('×入力'!$A$1:$L$1300,342,2+AF$2)&lt;&gt;"",INDEX('×入力'!$A$1:$L$1300,343+AF$3,1)&lt;&gt;""),1,0),0)</f>
        <v/>
      </c>
      <c r="AG22">
        <f>IF(AG$4=1,IF(OR(INDEX('×入力'!$A$1:$L$1300,343+AG$3,2+AG$2)&lt;&gt;"",INDEX('×入力'!$A$1:$L$1300,342,2+AG$2)&lt;&gt;"",INDEX('×入力'!$A$1:$L$1300,343+AG$3,1)&lt;&gt;""),1,0),0)</f>
        <v/>
      </c>
      <c r="AH22">
        <f>IF(AH$4=1,IF(OR(INDEX('×入力'!$A$1:$L$1300,343+AH$3,2+AH$2)&lt;&gt;"",INDEX('×入力'!$A$1:$L$1300,342,2+AH$2)&lt;&gt;"",INDEX('×入力'!$A$1:$L$1300,343+AH$3,1)&lt;&gt;""),1,0),0)</f>
        <v/>
      </c>
      <c r="AI22">
        <f>IF(AI$4=1,IF(OR(INDEX('×入力'!$A$1:$L$1300,343+AI$3,2+AI$2)&lt;&gt;"",INDEX('×入力'!$A$1:$L$1300,342,2+AI$2)&lt;&gt;"",INDEX('×入力'!$A$1:$L$1300,343+AI$3,1)&lt;&gt;""),1,0),0)</f>
        <v/>
      </c>
      <c r="AJ22">
        <f>IF(AJ$4=1,IF(OR(INDEX('×入力'!$A$1:$L$1300,343+AJ$3,2+AJ$2)&lt;&gt;"",INDEX('×入力'!$A$1:$L$1300,342,2+AJ$2)&lt;&gt;"",INDEX('×入力'!$A$1:$L$1300,343+AJ$3,1)&lt;&gt;""),1,0),0)</f>
        <v/>
      </c>
      <c r="AK22">
        <f>IF(AK$4=1,IF(OR(INDEX('×入力'!$A$1:$L$1300,343+AK$3,2+AK$2)&lt;&gt;"",INDEX('×入力'!$A$1:$L$1300,342,2+AK$2)&lt;&gt;"",INDEX('×入力'!$A$1:$L$1300,343+AK$3,1)&lt;&gt;""),1,0),0)</f>
        <v/>
      </c>
      <c r="AL22">
        <f>IF(AL$4=1,IF(OR(INDEX('×入力'!$A$1:$L$1300,343+AL$3,2+AL$2)&lt;&gt;"",INDEX('×入力'!$A$1:$L$1300,342,2+AL$2)&lt;&gt;"",INDEX('×入力'!$A$1:$L$1300,343+AL$3,1)&lt;&gt;""),1,0),0)</f>
        <v/>
      </c>
      <c r="AM22">
        <f>IF(AM$4=1,IF(OR(INDEX('×入力'!$A$1:$L$1300,343+AM$3,2+AM$2)&lt;&gt;"",INDEX('×入力'!$A$1:$L$1300,342,2+AM$2)&lt;&gt;"",INDEX('×入力'!$A$1:$L$1300,343+AM$3,1)&lt;&gt;""),1,0),0)</f>
        <v/>
      </c>
      <c r="AN22">
        <f>IF(AN$4=1,IF(OR(INDEX('×入力'!$A$1:$L$1300,343+AN$3,2+AN$2)&lt;&gt;"",INDEX('×入力'!$A$1:$L$1300,342,2+AN$2)&lt;&gt;"",INDEX('×入力'!$A$1:$L$1300,343+AN$3,1)&lt;&gt;""),1,0),0)</f>
        <v/>
      </c>
      <c r="AO22">
        <f>IF(AO$4=1,IF(OR(INDEX('×入力'!$A$1:$L$1300,343+AO$3,2+AO$2)&lt;&gt;"",INDEX('×入力'!$A$1:$L$1300,342,2+AO$2)&lt;&gt;"",INDEX('×入力'!$A$1:$L$1300,343+AO$3,1)&lt;&gt;""),1,0),0)</f>
        <v/>
      </c>
      <c r="AP22">
        <f>IF(AP$4=1,IF(OR(INDEX('×入力'!$A$1:$L$1300,343+AP$3,2+AP$2)&lt;&gt;"",INDEX('×入力'!$A$1:$L$1300,342,2+AP$2)&lt;&gt;"",INDEX('×入力'!$A$1:$L$1300,343+AP$3,1)&lt;&gt;""),1,0),0)</f>
        <v/>
      </c>
      <c r="AQ22">
        <f>IF(AQ$4=1,IF(OR(INDEX('×入力'!$A$1:$L$1300,343+AQ$3,2+AQ$2)&lt;&gt;"",INDEX('×入力'!$A$1:$L$1300,342,2+AQ$2)&lt;&gt;"",INDEX('×入力'!$A$1:$L$1300,343+AQ$3,1)&lt;&gt;""),1,0),0)</f>
        <v/>
      </c>
      <c r="AR22">
        <f>IF(AR$4=1,IF(OR(INDEX('×入力'!$A$1:$L$1300,343+AR$3,2+AR$2)&lt;&gt;"",INDEX('×入力'!$A$1:$L$1300,342,2+AR$2)&lt;&gt;"",INDEX('×入力'!$A$1:$L$1300,343+AR$3,1)&lt;&gt;""),1,0),0)</f>
        <v/>
      </c>
      <c r="AS22">
        <f>IF(AS$4=1,IF(OR(INDEX('×入力'!$A$1:$L$1300,343+AS$3,2+AS$2)&lt;&gt;"",INDEX('×入力'!$A$1:$L$1300,342,2+AS$2)&lt;&gt;"",INDEX('×入力'!$A$1:$L$1300,343+AS$3,1)&lt;&gt;""),1,0),0)</f>
        <v/>
      </c>
      <c r="AT22">
        <f>IF(AT$4=1,IF(OR(INDEX('×入力'!$A$1:$L$1300,343+AT$3,2+AT$2)&lt;&gt;"",INDEX('×入力'!$A$1:$L$1300,342,2+AT$2)&lt;&gt;"",INDEX('×入力'!$A$1:$L$1300,343+AT$3,1)&lt;&gt;""),1,0),0)</f>
        <v/>
      </c>
      <c r="AU22">
        <f>IF(AU$4=1,IF(OR(INDEX('×入力'!$A$1:$L$1300,343+AU$3,2+AU$2)&lt;&gt;"",INDEX('×入力'!$A$1:$L$1300,342,2+AU$2)&lt;&gt;"",INDEX('×入力'!$A$1:$L$1300,343+AU$3,1)&lt;&gt;""),1,0),0)</f>
        <v/>
      </c>
      <c r="AV22">
        <f>IF(AV$4=1,IF(OR(INDEX('×入力'!$A$1:$L$1300,343+AV$3,2+AV$2)&lt;&gt;"",INDEX('×入力'!$A$1:$L$1300,342,2+AV$2)&lt;&gt;"",INDEX('×入力'!$A$1:$L$1300,343+AV$3,1)&lt;&gt;""),1,0),0)</f>
        <v/>
      </c>
      <c r="AW22">
        <f>IF(AW$4=1,IF(OR(INDEX('×入力'!$A$1:$L$1300,343+AW$3,2+AW$2)&lt;&gt;"",INDEX('×入力'!$A$1:$L$1300,342,2+AW$2)&lt;&gt;"",INDEX('×入力'!$A$1:$L$1300,343+AW$3,1)&lt;&gt;""),1,0),0)</f>
        <v/>
      </c>
      <c r="AX22">
        <f>IF(AX$4=1,IF(OR(INDEX('×入力'!$A$1:$L$1300,343+AX$3,2+AX$2)&lt;&gt;"",INDEX('×入力'!$A$1:$L$1300,342,2+AX$2)&lt;&gt;"",INDEX('×入力'!$A$1:$L$1300,343+AX$3,1)&lt;&gt;""),1,0),0)</f>
        <v/>
      </c>
      <c r="AY22">
        <f>IF(AY$4=1,IF(OR(INDEX('×入力'!$A$1:$L$1300,343+AY$3,2+AY$2)&lt;&gt;"",INDEX('×入力'!$A$1:$L$1300,342,2+AY$2)&lt;&gt;"",INDEX('×入力'!$A$1:$L$1300,343+AY$3,1)&lt;&gt;""),1,0),0)</f>
        <v/>
      </c>
      <c r="AZ22">
        <f>IF(AZ$4=1,IF(OR(INDEX('×入力'!$A$1:$L$1300,343+AZ$3,2+AZ$2)&lt;&gt;"",INDEX('×入力'!$A$1:$L$1300,342,2+AZ$2)&lt;&gt;"",INDEX('×入力'!$A$1:$L$1300,343+AZ$3,1)&lt;&gt;""),1,0),0)</f>
        <v/>
      </c>
      <c r="BA22">
        <f>IF(BA$4=1,IF(OR(INDEX('×入力'!$A$1:$L$1300,343+BA$3,2+BA$2)&lt;&gt;"",INDEX('×入力'!$A$1:$L$1300,342,2+BA$2)&lt;&gt;"",INDEX('×入力'!$A$1:$L$1300,343+BA$3,1)&lt;&gt;""),1,0),0)</f>
        <v/>
      </c>
      <c r="BB22">
        <f>IF(BB$4=1,IF(OR(INDEX('×入力'!$A$1:$L$1300,343+BB$3,2+BB$2)&lt;&gt;"",INDEX('×入力'!$A$1:$L$1300,342,2+BB$2)&lt;&gt;"",INDEX('×入力'!$A$1:$L$1300,343+BB$3,1)&lt;&gt;""),1,0),0)</f>
        <v/>
      </c>
      <c r="BC22">
        <f>IF(BC$4=1,IF(OR(INDEX('×入力'!$A$1:$L$1300,343+BC$3,2+BC$2)&lt;&gt;"",INDEX('×入力'!$A$1:$L$1300,342,2+BC$2)&lt;&gt;"",INDEX('×入力'!$A$1:$L$1300,343+BC$3,1)&lt;&gt;""),1,0),0)</f>
        <v/>
      </c>
      <c r="BD22">
        <f>IF(BD$4=1,IF(OR(INDEX('×入力'!$A$1:$L$1300,343+BD$3,2+BD$2)&lt;&gt;"",INDEX('×入力'!$A$1:$L$1300,342,2+BD$2)&lt;&gt;"",INDEX('×入力'!$A$1:$L$1300,343+BD$3,1)&lt;&gt;""),1,0),0)</f>
        <v/>
      </c>
      <c r="BE22">
        <f>IF(BE$4=1,IF(OR(INDEX('×入力'!$A$1:$L$1300,343+BE$3,2+BE$2)&lt;&gt;"",INDEX('×入力'!$A$1:$L$1300,342,2+BE$2)&lt;&gt;"",INDEX('×入力'!$A$1:$L$1300,343+BE$3,1)&lt;&gt;""),1,0),0)</f>
        <v/>
      </c>
      <c r="BF22">
        <f>IF(BF$4=1,IF(OR(INDEX('×入力'!$A$1:$L$1300,343+BF$3,2+BF$2)&lt;&gt;"",INDEX('×入力'!$A$1:$L$1300,342,2+BF$2)&lt;&gt;"",INDEX('×入力'!$A$1:$L$1300,343+BF$3,1)&lt;&gt;""),1,0),0)</f>
        <v/>
      </c>
      <c r="BG22">
        <f>IF(BG$4=1,IF(OR(INDEX('×入力'!$A$1:$L$1300,343+BG$3,2+BG$2)&lt;&gt;"",INDEX('×入力'!$A$1:$L$1300,342,2+BG$2)&lt;&gt;"",INDEX('×入力'!$A$1:$L$1300,343+BG$3,1)&lt;&gt;""),1,0),0)</f>
        <v/>
      </c>
      <c r="BH22">
        <f>IF(BH$4=1,IF(OR(INDEX('×入力'!$A$1:$L$1300,343+BH$3,2+BH$2)&lt;&gt;"",INDEX('×入力'!$A$1:$L$1300,342,2+BH$2)&lt;&gt;"",INDEX('×入力'!$A$1:$L$1300,343+BH$3,1)&lt;&gt;""),1,0),0)</f>
        <v/>
      </c>
      <c r="BI22">
        <f>IF(BI$4=1,IF(OR(INDEX('×入力'!$A$1:$L$1300,343+BI$3,2+BI$2)&lt;&gt;"",INDEX('×入力'!$A$1:$L$1300,342,2+BI$2)&lt;&gt;"",INDEX('×入力'!$A$1:$L$1300,343+BI$3,1)&lt;&gt;""),1,0),0)</f>
        <v/>
      </c>
      <c r="BJ22">
        <f>IF(BJ$4=1,IF(OR(INDEX('×入力'!$A$1:$L$1300,343+BJ$3,2+BJ$2)&lt;&gt;"",INDEX('×入力'!$A$1:$L$1300,342,2+BJ$2)&lt;&gt;"",INDEX('×入力'!$A$1:$L$1300,343+BJ$3,1)&lt;&gt;""),1,0),0)</f>
        <v/>
      </c>
      <c r="BK22">
        <f>IF(BK$4=1,IF(OR(INDEX('×入力'!$A$1:$L$1300,343+BK$3,2+BK$2)&lt;&gt;"",INDEX('×入力'!$A$1:$L$1300,342,2+BK$2)&lt;&gt;"",INDEX('×入力'!$A$1:$L$1300,343+BK$3,1)&lt;&gt;""),1,0),0)</f>
        <v/>
      </c>
      <c r="BL22">
        <f>IF(BL$4=1,IF(OR(INDEX('×入力'!$A$1:$L$1300,343+BL$3,2+BL$2)&lt;&gt;"",INDEX('×入力'!$A$1:$L$1300,342,2+BL$2)&lt;&gt;"",INDEX('×入力'!$A$1:$L$1300,343+BL$3,1)&lt;&gt;""),1,0),0)</f>
        <v/>
      </c>
      <c r="BM22">
        <f>IF(BM$4=1,IF(OR(INDEX('×入力'!$A$1:$L$1300,343+BM$3,2+BM$2)&lt;&gt;"",INDEX('×入力'!$A$1:$L$1300,342,2+BM$2)&lt;&gt;"",INDEX('×入力'!$A$1:$L$1300,343+BM$3,1)&lt;&gt;""),1,0),0)</f>
        <v/>
      </c>
      <c r="BN22">
        <f>IF(BN$4=1,IF(OR(INDEX('×入力'!$A$1:$L$1300,343+BN$3,2+BN$2)&lt;&gt;"",INDEX('×入力'!$A$1:$L$1300,342,2+BN$2)&lt;&gt;"",INDEX('×入力'!$A$1:$L$1300,343+BN$3,1)&lt;&gt;""),1,0),0)</f>
        <v/>
      </c>
      <c r="BO22">
        <f>IF(BO$4=1,IF(OR(INDEX('×入力'!$A$1:$L$1300,343+BO$3,2+BO$2)&lt;&gt;"",INDEX('×入力'!$A$1:$L$1300,342,2+BO$2)&lt;&gt;"",INDEX('×入力'!$A$1:$L$1300,343+BO$3,1)&lt;&gt;""),1,0),0)</f>
        <v/>
      </c>
      <c r="BP22">
        <f>IF(BP$4=1,IF(OR(INDEX('×入力'!$A$1:$L$1300,343+BP$3,2+BP$2)&lt;&gt;"",INDEX('×入力'!$A$1:$L$1300,342,2+BP$2)&lt;&gt;"",INDEX('×入力'!$A$1:$L$1300,343+BP$3,1)&lt;&gt;""),1,0),0)</f>
        <v/>
      </c>
      <c r="BQ22">
        <f>IF(BQ$4=1,IF(OR(INDEX('×入力'!$A$1:$L$1300,343+BQ$3,2+BQ$2)&lt;&gt;"",INDEX('×入力'!$A$1:$L$1300,342,2+BQ$2)&lt;&gt;"",INDEX('×入力'!$A$1:$L$1300,343+BQ$3,1)&lt;&gt;""),1,0),0)</f>
        <v/>
      </c>
      <c r="BR22">
        <f>IF(BR$4=1,IF(OR(INDEX('×入力'!$A$1:$L$1300,343+BR$3,2+BR$2)&lt;&gt;"",INDEX('×入力'!$A$1:$L$1300,342,2+BR$2)&lt;&gt;"",INDEX('×入力'!$A$1:$L$1300,343+BR$3,1)&lt;&gt;""),1,0),0)</f>
        <v/>
      </c>
      <c r="BS22">
        <f>IF(BS$4=1,IF(OR(INDEX('×入力'!$A$1:$L$1300,343+BS$3,2+BS$2)&lt;&gt;"",INDEX('×入力'!$A$1:$L$1300,342,2+BS$2)&lt;&gt;"",INDEX('×入力'!$A$1:$L$1300,343+BS$3,1)&lt;&gt;""),1,0),0)</f>
        <v/>
      </c>
      <c r="BT22">
        <f>IF(BT$4=1,IF(OR(INDEX('×入力'!$A$1:$L$1300,343+BT$3,2+BT$2)&lt;&gt;"",INDEX('×入力'!$A$1:$L$1300,342,2+BT$2)&lt;&gt;"",INDEX('×入力'!$A$1:$L$1300,343+BT$3,1)&lt;&gt;""),1,0),0)</f>
        <v/>
      </c>
      <c r="BU22">
        <f>IF(BU$4=1,IF(OR(INDEX('×入力'!$A$1:$L$1300,343+BU$3,2+BU$2)&lt;&gt;"",INDEX('×入力'!$A$1:$L$1300,342,2+BU$2)&lt;&gt;"",INDEX('×入力'!$A$1:$L$1300,343+BU$3,1)&lt;&gt;""),1,0),0)</f>
        <v/>
      </c>
      <c r="BV22">
        <f>IF(BV$4=1,IF(OR(INDEX('×入力'!$A$1:$L$1300,343+BV$3,2+BV$2)&lt;&gt;"",INDEX('×入力'!$A$1:$L$1300,342,2+BV$2)&lt;&gt;"",INDEX('×入力'!$A$1:$L$1300,343+BV$3,1)&lt;&gt;""),1,0),0)</f>
        <v/>
      </c>
      <c r="BW22">
        <f>IF(BW$4=1,IF(OR(INDEX('×入力'!$A$1:$L$1300,343+BW$3,2+BW$2)&lt;&gt;"",INDEX('×入力'!$A$1:$L$1300,342,2+BW$2)&lt;&gt;"",INDEX('×入力'!$A$1:$L$1300,343+BW$3,1)&lt;&gt;""),1,0),0)</f>
        <v/>
      </c>
      <c r="BX22">
        <f>IF(BX$4=1,IF(OR(INDEX('×入力'!$A$1:$L$1300,343+BX$3,2+BX$2)&lt;&gt;"",INDEX('×入力'!$A$1:$L$1300,342,2+BX$2)&lt;&gt;"",INDEX('×入力'!$A$1:$L$1300,343+BX$3,1)&lt;&gt;""),1,0),0)</f>
        <v/>
      </c>
      <c r="BY22">
        <f>IF(BY$4=1,IF(OR(INDEX('×入力'!$A$1:$L$1300,343+BY$3,2+BY$2)&lt;&gt;"",INDEX('×入力'!$A$1:$L$1300,342,2+BY$2)&lt;&gt;"",INDEX('×入力'!$A$1:$L$1300,343+BY$3,1)&lt;&gt;""),1,0),0)</f>
        <v/>
      </c>
      <c r="BZ22">
        <f>IF(BZ$4=1,IF(OR(INDEX('×入力'!$A$1:$L$1300,343+BZ$3,2+BZ$2)&lt;&gt;"",INDEX('×入力'!$A$1:$L$1300,342,2+BZ$2)&lt;&gt;"",INDEX('×入力'!$A$1:$L$1300,343+BZ$3,1)&lt;&gt;""),1,0),0)</f>
        <v/>
      </c>
      <c r="CA22">
        <f>IF(CA$4=1,IF(OR(INDEX('×入力'!$A$1:$L$1300,343+CA$3,2+CA$2)&lt;&gt;"",INDEX('×入力'!$A$1:$L$1300,342,2+CA$2)&lt;&gt;"",INDEX('×入力'!$A$1:$L$1300,343+CA$3,1)&lt;&gt;""),1,0),0)</f>
        <v/>
      </c>
      <c r="CB22">
        <f>IF(CB$4=1,IF(OR(INDEX('×入力'!$A$1:$L$1300,343+CB$3,2+CB$2)&lt;&gt;"",INDEX('×入力'!$A$1:$L$1300,342,2+CB$2)&lt;&gt;"",INDEX('×入力'!$A$1:$L$1300,343+CB$3,1)&lt;&gt;""),1,0),0)</f>
        <v/>
      </c>
      <c r="CC22">
        <f>IF(CC$4=1,IF(OR(INDEX('×入力'!$A$1:$L$1300,343+CC$3,2+CC$2)&lt;&gt;"",INDEX('×入力'!$A$1:$L$1300,342,2+CC$2)&lt;&gt;"",INDEX('×入力'!$A$1:$L$1300,343+CC$3,1)&lt;&gt;""),1,0),0)</f>
        <v/>
      </c>
      <c r="CD22">
        <f>IF(CD$4=1,IF(OR(INDEX('×入力'!$A$1:$L$1300,343+CD$3,2+CD$2)&lt;&gt;"",INDEX('×入力'!$A$1:$L$1300,342,2+CD$2)&lt;&gt;"",INDEX('×入力'!$A$1:$L$1300,343+CD$3,1)&lt;&gt;""),1,0),0)</f>
        <v/>
      </c>
      <c r="CE22">
        <f>IF(CE$4=1,IF(OR(INDEX('×入力'!$A$1:$L$1300,343+CE$3,2+CE$2)&lt;&gt;"",INDEX('×入力'!$A$1:$L$1300,342,2+CE$2)&lt;&gt;"",INDEX('×入力'!$A$1:$L$1300,343+CE$3,1)&lt;&gt;""),1,0),0)</f>
        <v/>
      </c>
      <c r="CF22">
        <f>IF(CF$4=1,IF(OR(INDEX('×入力'!$A$1:$L$1300,343+CF$3,2+CF$2)&lt;&gt;"",INDEX('×入力'!$A$1:$L$1300,342,2+CF$2)&lt;&gt;"",INDEX('×入力'!$A$1:$L$1300,343+CF$3,1)&lt;&gt;""),1,0),0)</f>
        <v/>
      </c>
      <c r="CG22">
        <f>IF(CG$4=1,IF(OR(INDEX('×入力'!$A$1:$L$1300,343+CG$3,2+CG$2)&lt;&gt;"",INDEX('×入力'!$A$1:$L$1300,342,2+CG$2)&lt;&gt;"",INDEX('×入力'!$A$1:$L$1300,343+CG$3,1)&lt;&gt;""),1,0),0)</f>
        <v/>
      </c>
      <c r="CH22">
        <f>IF(CH$4=1,IF(OR(INDEX('×入力'!$A$1:$L$1300,343+CH$3,2+CH$2)&lt;&gt;"",INDEX('×入力'!$A$1:$L$1300,342,2+CH$2)&lt;&gt;"",INDEX('×入力'!$A$1:$L$1300,343+CH$3,1)&lt;&gt;""),1,0),0)</f>
        <v/>
      </c>
      <c r="CI22">
        <f>IF(CI$4=1,IF(OR(INDEX('×入力'!$A$1:$L$1300,343+CI$3,2+CI$2)&lt;&gt;"",INDEX('×入力'!$A$1:$L$1300,342,2+CI$2)&lt;&gt;"",INDEX('×入力'!$A$1:$L$1300,343+CI$3,1)&lt;&gt;""),1,0),0)</f>
        <v/>
      </c>
      <c r="CJ22">
        <f>IF(CJ$4=1,IF(OR(INDEX('×入力'!$A$1:$L$1300,343+CJ$3,2+CJ$2)&lt;&gt;"",INDEX('×入力'!$A$1:$L$1300,342,2+CJ$2)&lt;&gt;"",INDEX('×入力'!$A$1:$L$1300,343+CJ$3,1)&lt;&gt;""),1,0),0)</f>
        <v/>
      </c>
      <c r="CK22">
        <f>IF(CK$4=1,IF(OR(INDEX('×入力'!$A$1:$L$1300,343+CK$3,2+CK$2)&lt;&gt;"",INDEX('×入力'!$A$1:$L$1300,342,2+CK$2)&lt;&gt;"",INDEX('×入力'!$A$1:$L$1300,343+CK$3,1)&lt;&gt;""),1,0),0)</f>
        <v/>
      </c>
      <c r="CL22">
        <f>IF(CL$4=1,IF(OR(INDEX('×入力'!$A$1:$L$1300,343+CL$3,2+CL$2)&lt;&gt;"",INDEX('×入力'!$A$1:$L$1300,342,2+CL$2)&lt;&gt;"",INDEX('×入力'!$A$1:$L$1300,343+CL$3,1)&lt;&gt;""),1,0),0)</f>
        <v/>
      </c>
      <c r="CM22">
        <f>IF(CM$4=1,IF(OR(INDEX('×入力'!$A$1:$L$1300,343+CM$3,2+CM$2)&lt;&gt;"",INDEX('×入力'!$A$1:$L$1300,342,2+CM$2)&lt;&gt;"",INDEX('×入力'!$A$1:$L$1300,343+CM$3,1)&lt;&gt;""),1,0),0)</f>
        <v/>
      </c>
      <c r="CN22">
        <f>IF(CN$4=1,IF(OR(INDEX('×入力'!$A$1:$L$1300,343+CN$3,2+CN$2)&lt;&gt;"",INDEX('×入力'!$A$1:$L$1300,342,2+CN$2)&lt;&gt;"",INDEX('×入力'!$A$1:$L$1300,343+CN$3,1)&lt;&gt;""),1,0),0)</f>
        <v/>
      </c>
      <c r="CO22">
        <f>IF(CO$4=1,IF(OR(INDEX('×入力'!$A$1:$L$1300,343+CO$3,2+CO$2)&lt;&gt;"",INDEX('×入力'!$A$1:$L$1300,342,2+CO$2)&lt;&gt;"",INDEX('×入力'!$A$1:$L$1300,343+CO$3,1)&lt;&gt;""),1,0),0)</f>
        <v/>
      </c>
      <c r="CP22">
        <f>IF(CP$4=1,IF(OR(INDEX('×入力'!$A$1:$L$1300,343+CP$3,2+CP$2)&lt;&gt;"",INDEX('×入力'!$A$1:$L$1300,342,2+CP$2)&lt;&gt;"",INDEX('×入力'!$A$1:$L$1300,343+CP$3,1)&lt;&gt;""),1,0),0)</f>
        <v/>
      </c>
      <c r="CQ22">
        <f>IF(CQ$4=1,IF(OR(INDEX('×入力'!$A$1:$L$1300,343+CQ$3,2+CQ$2)&lt;&gt;"",INDEX('×入力'!$A$1:$L$1300,342,2+CQ$2)&lt;&gt;"",INDEX('×入力'!$A$1:$L$1300,343+CQ$3,1)&lt;&gt;""),1,0),0)</f>
        <v/>
      </c>
      <c r="CR22">
        <f>IF(CR$4=1,IF(OR(INDEX('×入力'!$A$1:$L$1300,343+CR$3,2+CR$2)&lt;&gt;"",INDEX('×入力'!$A$1:$L$1300,342,2+CR$2)&lt;&gt;"",INDEX('×入力'!$A$1:$L$1300,343+CR$3,1)&lt;&gt;""),1,0),0)</f>
        <v/>
      </c>
      <c r="CS22">
        <f>IF(CS$4=1,IF(OR(INDEX('×入力'!$A$1:$L$1300,343+CS$3,2+CS$2)&lt;&gt;"",INDEX('×入力'!$A$1:$L$1300,342,2+CS$2)&lt;&gt;"",INDEX('×入力'!$A$1:$L$1300,343+CS$3,1)&lt;&gt;""),1,0),0)</f>
        <v/>
      </c>
      <c r="CT22">
        <f>IF(CT$4=1,IF(OR(INDEX('×入力'!$A$1:$L$1300,343+CT$3,2+CT$2)&lt;&gt;"",INDEX('×入力'!$A$1:$L$1300,342,2+CT$2)&lt;&gt;"",INDEX('×入力'!$A$1:$L$1300,343+CT$3,1)&lt;&gt;""),1,0),0)</f>
        <v/>
      </c>
      <c r="CU22">
        <f>IF(CU$4=1,IF(OR(INDEX('×入力'!$A$1:$L$1300,343+CU$3,2+CU$2)&lt;&gt;"",INDEX('×入力'!$A$1:$L$1300,342,2+CU$2)&lt;&gt;"",INDEX('×入力'!$A$1:$L$1300,343+CU$3,1)&lt;&gt;""),1,0),0)</f>
        <v/>
      </c>
      <c r="CV22">
        <f>IF(CV$4=1,IF(OR(INDEX('×入力'!$A$1:$L$1300,343+CV$3,2+CV$2)&lt;&gt;"",INDEX('×入力'!$A$1:$L$1300,342,2+CV$2)&lt;&gt;"",INDEX('×入力'!$A$1:$L$1300,343+CV$3,1)&lt;&gt;""),1,0),0)</f>
        <v/>
      </c>
      <c r="CW22">
        <f>IF(CW$4=1,IF(OR(INDEX('×入力'!$A$1:$L$1300,343+CW$3,2+CW$2)&lt;&gt;"",INDEX('×入力'!$A$1:$L$1300,342,2+CW$2)&lt;&gt;"",INDEX('×入力'!$A$1:$L$1300,343+CW$3,1)&lt;&gt;""),1,0),0)</f>
        <v/>
      </c>
      <c r="CX22">
        <f>IF(CX$4=1,IF(OR(INDEX('×入力'!$A$1:$L$1300,343+CX$3,2+CX$2)&lt;&gt;"",INDEX('×入力'!$A$1:$L$1300,342,2+CX$2)&lt;&gt;"",INDEX('×入力'!$A$1:$L$1300,343+CX$3,1)&lt;&gt;""),1,0),0)</f>
        <v/>
      </c>
      <c r="CY22">
        <f>IF(CY$4=1,IF(OR(INDEX('×入力'!$A$1:$L$1300,343+CY$3,2+CY$2)&lt;&gt;"",INDEX('×入力'!$A$1:$L$1300,342,2+CY$2)&lt;&gt;"",INDEX('×入力'!$A$1:$L$1300,343+CY$3,1)&lt;&gt;""),1,0),0)</f>
        <v/>
      </c>
      <c r="CZ22">
        <f>IF(CZ$4=1,IF(OR(INDEX('×入力'!$A$1:$L$1300,343+CZ$3,2+CZ$2)&lt;&gt;"",INDEX('×入力'!$A$1:$L$1300,342,2+CZ$2)&lt;&gt;"",INDEX('×入力'!$A$1:$L$1300,343+CZ$3,1)&lt;&gt;""),1,0),0)</f>
        <v/>
      </c>
      <c r="DA22">
        <f>IF(DA$4=1,IF(OR(INDEX('×入力'!$A$1:$L$1300,343+DA$3,2+DA$2)&lt;&gt;"",INDEX('×入力'!$A$1:$L$1300,342,2+DA$2)&lt;&gt;"",INDEX('×入力'!$A$1:$L$1300,343+DA$3,1)&lt;&gt;""),1,0),0)</f>
        <v/>
      </c>
      <c r="DB22">
        <f>IF(DB$4=1,IF(OR(INDEX('×入力'!$A$1:$L$1300,343+DB$3,2+DB$2)&lt;&gt;"",INDEX('×入力'!$A$1:$L$1300,342,2+DB$2)&lt;&gt;"",INDEX('×入力'!$A$1:$L$1300,343+DB$3,1)&lt;&gt;""),1,0),0)</f>
        <v/>
      </c>
      <c r="DC22">
        <f>IF(DC$4=1,IF(OR(INDEX('×入力'!$A$1:$L$1300,343+DC$3,2+DC$2)&lt;&gt;"",INDEX('×入力'!$A$1:$L$1300,342,2+DC$2)&lt;&gt;"",INDEX('×入力'!$A$1:$L$1300,343+DC$3,1)&lt;&gt;""),1,0),0)</f>
        <v/>
      </c>
      <c r="DD22">
        <f>IF(DD$4=1,IF(OR(INDEX('×入力'!$A$1:$L$1300,343+DD$3,2+DD$2)&lt;&gt;"",INDEX('×入力'!$A$1:$L$1300,342,2+DD$2)&lt;&gt;"",INDEX('×入力'!$A$1:$L$1300,343+DD$3,1)&lt;&gt;""),1,0),0)</f>
        <v/>
      </c>
      <c r="DE22">
        <f>IF(DE$4=1,IF(OR(INDEX('×入力'!$A$1:$L$1300,343+DE$3,2+DE$2)&lt;&gt;"",INDEX('×入力'!$A$1:$L$1300,342,2+DE$2)&lt;&gt;"",INDEX('×入力'!$A$1:$L$1300,343+DE$3,1)&lt;&gt;""),1,0),0)</f>
        <v/>
      </c>
      <c r="DF22">
        <f>IF(DF$4=1,IF(OR(INDEX('×入力'!$A$1:$L$1300,343+DF$3,2+DF$2)&lt;&gt;"",INDEX('×入力'!$A$1:$L$1300,342,2+DF$2)&lt;&gt;"",INDEX('×入力'!$A$1:$L$1300,343+DF$3,1)&lt;&gt;""),1,0),0)</f>
        <v/>
      </c>
      <c r="DG22">
        <f>IF(DG$4=1,IF(OR(INDEX('×入力'!$A$1:$L$1300,343+DG$3,2+DG$2)&lt;&gt;"",INDEX('×入力'!$A$1:$L$1300,342,2+DG$2)&lt;&gt;"",INDEX('×入力'!$A$1:$L$1300,343+DG$3,1)&lt;&gt;""),1,0),0)</f>
        <v/>
      </c>
      <c r="DH22">
        <f>IF(DH$4=1,IF(OR(INDEX('×入力'!$A$1:$L$1300,343+DH$3,2+DH$2)&lt;&gt;"",INDEX('×入力'!$A$1:$L$1300,342,2+DH$2)&lt;&gt;"",INDEX('×入力'!$A$1:$L$1300,343+DH$3,1)&lt;&gt;""),1,0),0)</f>
        <v/>
      </c>
      <c r="DI22">
        <f>IF(DI$4=1,IF(OR(INDEX('×入力'!$A$1:$L$1300,343+DI$3,2+DI$2)&lt;&gt;"",INDEX('×入力'!$A$1:$L$1300,342,2+DI$2)&lt;&gt;"",INDEX('×入力'!$A$1:$L$1300,343+DI$3,1)&lt;&gt;""),1,0),0)</f>
        <v/>
      </c>
      <c r="DJ22">
        <f>IF(DJ$4=1,IF(OR(INDEX('×入力'!$A$1:$L$1300,343+DJ$3,2+DJ$2)&lt;&gt;"",INDEX('×入力'!$A$1:$L$1300,342,2+DJ$2)&lt;&gt;"",INDEX('×入力'!$A$1:$L$1300,343+DJ$3,1)&lt;&gt;""),1,0),0)</f>
        <v/>
      </c>
      <c r="DK22">
        <f>IF(DK$4=1,IF(OR(INDEX('×入力'!$A$1:$L$1300,343+DK$3,2+DK$2)&lt;&gt;"",INDEX('×入力'!$A$1:$L$1300,342,2+DK$2)&lt;&gt;"",INDEX('×入力'!$A$1:$L$1300,343+DK$3,1)&lt;&gt;""),1,0),0)</f>
        <v/>
      </c>
      <c r="DL22">
        <f>IF(DL$4=1,IF(OR(INDEX('×入力'!$A$1:$L$1300,343+DL$3,2+DL$2)&lt;&gt;"",INDEX('×入力'!$A$1:$L$1300,342,2+DL$2)&lt;&gt;"",INDEX('×入力'!$A$1:$L$1300,343+DL$3,1)&lt;&gt;""),1,0),0)</f>
        <v/>
      </c>
      <c r="DM22">
        <f>IF(DM$4=1,IF(OR(INDEX('×入力'!$A$1:$L$1300,343+DM$3,2+DM$2)&lt;&gt;"",INDEX('×入力'!$A$1:$L$1300,342,2+DM$2)&lt;&gt;"",INDEX('×入力'!$A$1:$L$1300,343+DM$3,1)&lt;&gt;""),1,0),0)</f>
        <v/>
      </c>
      <c r="DN22">
        <f>IF(DN$4=1,IF(OR(INDEX('×入力'!$A$1:$L$1300,343+DN$3,2+DN$2)&lt;&gt;"",INDEX('×入力'!$A$1:$L$1300,342,2+DN$2)&lt;&gt;"",INDEX('×入力'!$A$1:$L$1300,343+DN$3,1)&lt;&gt;""),1,0),0)</f>
        <v/>
      </c>
      <c r="DO22">
        <f>IF(DO$4=1,IF(OR(INDEX('×入力'!$A$1:$L$1300,343+DO$3,2+DO$2)&lt;&gt;"",INDEX('×入力'!$A$1:$L$1300,342,2+DO$2)&lt;&gt;"",INDEX('×入力'!$A$1:$L$1300,343+DO$3,1)&lt;&gt;""),1,0),0)</f>
        <v/>
      </c>
      <c r="DP22">
        <f>IF(DP$4=1,IF(OR(INDEX('×入力'!$A$1:$L$1300,343+DP$3,2+DP$2)&lt;&gt;"",INDEX('×入力'!$A$1:$L$1300,342,2+DP$2)&lt;&gt;"",INDEX('×入力'!$A$1:$L$1300,343+DP$3,1)&lt;&gt;""),1,0),0)</f>
        <v/>
      </c>
      <c r="DQ22">
        <f>IF(DQ$4=1,IF(OR(INDEX('×入力'!$A$1:$L$1300,343+DQ$3,2+DQ$2)&lt;&gt;"",INDEX('×入力'!$A$1:$L$1300,342,2+DQ$2)&lt;&gt;"",INDEX('×入力'!$A$1:$L$1300,343+DQ$3,1)&lt;&gt;""),1,0),0)</f>
        <v/>
      </c>
      <c r="DR22">
        <f>IF(DR$4=1,IF(OR(INDEX('×入力'!$A$1:$L$1300,343+DR$3,2+DR$2)&lt;&gt;"",INDEX('×入力'!$A$1:$L$1300,342,2+DR$2)&lt;&gt;"",INDEX('×入力'!$A$1:$L$1300,343+DR$3,1)&lt;&gt;""),1,0),0)</f>
        <v/>
      </c>
      <c r="DS22">
        <f>IF(DS$4=1,IF(OR(INDEX('×入力'!$A$1:$L$1300,343+DS$3,2+DS$2)&lt;&gt;"",INDEX('×入力'!$A$1:$L$1300,342,2+DS$2)&lt;&gt;"",INDEX('×入力'!$A$1:$L$1300,343+DS$3,1)&lt;&gt;""),1,0),0)</f>
        <v/>
      </c>
      <c r="DT22">
        <f>IF(DT$4=1,IF(OR(INDEX('×入力'!$A$1:$L$1300,343+DT$3,2+DT$2)&lt;&gt;"",INDEX('×入力'!$A$1:$L$1300,342,2+DT$2)&lt;&gt;"",INDEX('×入力'!$A$1:$L$1300,343+DT$3,1)&lt;&gt;""),1,0),0)</f>
        <v/>
      </c>
      <c r="DU22">
        <f>IF(DU$4=1,IF(OR(INDEX('×入力'!$A$1:$L$1300,343+DU$3,2+DU$2)&lt;&gt;"",INDEX('×入力'!$A$1:$L$1300,342,2+DU$2)&lt;&gt;"",INDEX('×入力'!$A$1:$L$1300,343+DU$3,1)&lt;&gt;""),1,0),0)</f>
        <v/>
      </c>
      <c r="DV22">
        <f>IF(DV$4=1,IF(OR(INDEX('×入力'!$A$1:$L$1300,343+DV$3,2+DV$2)&lt;&gt;"",INDEX('×入力'!$A$1:$L$1300,342,2+DV$2)&lt;&gt;"",INDEX('×入力'!$A$1:$L$1300,343+DV$3,1)&lt;&gt;""),1,0),0)</f>
        <v/>
      </c>
      <c r="DW22">
        <f>IF(DW$4=1,IF(OR(INDEX('×入力'!$A$1:$L$1300,343+DW$3,2+DW$2)&lt;&gt;"",INDEX('×入力'!$A$1:$L$1300,342,2+DW$2)&lt;&gt;"",INDEX('×入力'!$A$1:$L$1300,343+DW$3,1)&lt;&gt;""),1,0),0)</f>
        <v/>
      </c>
      <c r="DX22">
        <f>IF(DX$4=1,IF(OR(INDEX('×入力'!$A$1:$L$1300,343+DX$3,2+DX$2)&lt;&gt;"",INDEX('×入力'!$A$1:$L$1300,342,2+DX$2)&lt;&gt;"",INDEX('×入力'!$A$1:$L$1300,343+DX$3,1)&lt;&gt;""),1,0),0)</f>
        <v/>
      </c>
      <c r="DY22">
        <f>IF(DY$4=1,IF(OR(INDEX('×入力'!$A$1:$L$1300,343+DY$3,2+DY$2)&lt;&gt;"",INDEX('×入力'!$A$1:$L$1300,342,2+DY$2)&lt;&gt;"",INDEX('×入力'!$A$1:$L$1300,343+DY$3,1)&lt;&gt;""),1,0),0)</f>
        <v/>
      </c>
      <c r="DZ22">
        <f>IF(DZ$4=1,IF(OR(INDEX('×入力'!$A$1:$L$1300,343+DZ$3,2+DZ$2)&lt;&gt;"",INDEX('×入力'!$A$1:$L$1300,342,2+DZ$2)&lt;&gt;"",INDEX('×入力'!$A$1:$L$1300,343+DZ$3,1)&lt;&gt;""),1,0),0)</f>
        <v/>
      </c>
      <c r="EA22">
        <f>IF(EA$4=1,IF(OR(INDEX('×入力'!$A$1:$L$1300,343+EA$3,2+EA$2)&lt;&gt;"",INDEX('×入力'!$A$1:$L$1300,342,2+EA$2)&lt;&gt;"",INDEX('×入力'!$A$1:$L$1300,343+EA$3,1)&lt;&gt;""),1,0),0)</f>
        <v/>
      </c>
      <c r="EB22">
        <f>IF(EB$4=1,IF(OR(INDEX('×入力'!$A$1:$L$1300,343+EB$3,2+EB$2)&lt;&gt;"",INDEX('×入力'!$A$1:$L$1300,342,2+EB$2)&lt;&gt;"",INDEX('×入力'!$A$1:$L$1300,343+EB$3,1)&lt;&gt;""),1,0),0)</f>
        <v/>
      </c>
      <c r="EC22">
        <f>IF(EC$4=1,IF(OR(INDEX('×入力'!$A$1:$L$1300,343+EC$3,2+EC$2)&lt;&gt;"",INDEX('×入力'!$A$1:$L$1300,342,2+EC$2)&lt;&gt;"",INDEX('×入力'!$A$1:$L$1300,343+EC$3,1)&lt;&gt;""),1,0),0)</f>
        <v/>
      </c>
      <c r="ED22">
        <f>IF(ED$4=1,IF(OR(INDEX('×入力'!$A$1:$L$1300,343+ED$3,2+ED$2)&lt;&gt;"",INDEX('×入力'!$A$1:$L$1300,342,2+ED$2)&lt;&gt;"",INDEX('×入力'!$A$1:$L$1300,343+ED$3,1)&lt;&gt;""),1,0),0)</f>
        <v/>
      </c>
      <c r="EE22">
        <f>IF(EE$4=1,IF(OR(INDEX('×入力'!$A$1:$L$1300,343+EE$3,2+EE$2)&lt;&gt;"",INDEX('×入力'!$A$1:$L$1300,342,2+EE$2)&lt;&gt;"",INDEX('×入力'!$A$1:$L$1300,343+EE$3,1)&lt;&gt;""),1,0),0)</f>
        <v/>
      </c>
      <c r="EF22">
        <f>IF(EF$4=1,IF(OR(INDEX('×入力'!$A$1:$L$1300,343+EF$3,2+EF$2)&lt;&gt;"",INDEX('×入力'!$A$1:$L$1300,342,2+EF$2)&lt;&gt;"",INDEX('×入力'!$A$1:$L$1300,343+EF$3,1)&lt;&gt;""),1,0),0)</f>
        <v/>
      </c>
      <c r="EG22">
        <f>IF(EG$4=1,IF(OR(INDEX('×入力'!$A$1:$L$1300,343+EG$3,2+EG$2)&lt;&gt;"",INDEX('×入力'!$A$1:$L$1300,342,2+EG$2)&lt;&gt;"",INDEX('×入力'!$A$1:$L$1300,343+EG$3,1)&lt;&gt;""),1,0),0)</f>
        <v/>
      </c>
      <c r="EH22">
        <f>IF(EH$4=1,IF(OR(INDEX('×入力'!$A$1:$L$1300,343+EH$3,2+EH$2)&lt;&gt;"",INDEX('×入力'!$A$1:$L$1300,342,2+EH$2)&lt;&gt;"",INDEX('×入力'!$A$1:$L$1300,343+EH$3,1)&lt;&gt;""),1,0),0)</f>
        <v/>
      </c>
      <c r="EI22">
        <f>IF(EI$4=1,IF(OR(INDEX('×入力'!$A$1:$L$1300,343+EI$3,2+EI$2)&lt;&gt;"",INDEX('×入力'!$A$1:$L$1300,342,2+EI$2)&lt;&gt;"",INDEX('×入力'!$A$1:$L$1300,343+EI$3,1)&lt;&gt;""),1,0),0)</f>
        <v/>
      </c>
      <c r="EJ22">
        <f>IF(EJ$4=1,IF(OR(INDEX('×入力'!$A$1:$L$1300,343+EJ$3,2+EJ$2)&lt;&gt;"",INDEX('×入力'!$A$1:$L$1300,342,2+EJ$2)&lt;&gt;"",INDEX('×入力'!$A$1:$L$1300,343+EJ$3,1)&lt;&gt;""),1,0),0)</f>
        <v/>
      </c>
      <c r="EK22">
        <f>IF(EK$4=1,IF(OR(INDEX('×入力'!$A$1:$L$1300,343+EK$3,2+EK$2)&lt;&gt;"",INDEX('×入力'!$A$1:$L$1300,342,2+EK$2)&lt;&gt;"",INDEX('×入力'!$A$1:$L$1300,343+EK$3,1)&lt;&gt;""),1,0),0)</f>
        <v/>
      </c>
      <c r="EL22">
        <f>IF(EL$4=1,IF(OR(INDEX('×入力'!$A$1:$L$1300,343+EL$3,2+EL$2)&lt;&gt;"",INDEX('×入力'!$A$1:$L$1300,342,2+EL$2)&lt;&gt;"",INDEX('×入力'!$A$1:$L$1300,343+EL$3,1)&lt;&gt;""),1,0),0)</f>
        <v/>
      </c>
      <c r="EM22">
        <f>IF(EM$4=1,IF(OR(INDEX('×入力'!$A$1:$L$1300,343+EM$3,2+EM$2)&lt;&gt;"",INDEX('×入力'!$A$1:$L$1300,342,2+EM$2)&lt;&gt;"",INDEX('×入力'!$A$1:$L$1300,343+EM$3,1)&lt;&gt;""),1,0),0)</f>
        <v/>
      </c>
      <c r="EN22">
        <f>IF(EN$4=1,IF(OR(INDEX('×入力'!$A$1:$L$1300,343+EN$3,2+EN$2)&lt;&gt;"",INDEX('×入力'!$A$1:$L$1300,342,2+EN$2)&lt;&gt;"",INDEX('×入力'!$A$1:$L$1300,343+EN$3,1)&lt;&gt;""),1,0),0)</f>
        <v/>
      </c>
      <c r="EO22">
        <f>IF(EO$4=1,IF(OR(INDEX('×入力'!$A$1:$L$1300,343+EO$3,2+EO$2)&lt;&gt;"",INDEX('×入力'!$A$1:$L$1300,342,2+EO$2)&lt;&gt;"",INDEX('×入力'!$A$1:$L$1300,343+EO$3,1)&lt;&gt;""),1,0),0)</f>
        <v/>
      </c>
      <c r="EP22">
        <f>IF(EP$4=1,IF(OR(INDEX('×入力'!$A$1:$L$1300,343+EP$3,2+EP$2)&lt;&gt;"",INDEX('×入力'!$A$1:$L$1300,342,2+EP$2)&lt;&gt;"",INDEX('×入力'!$A$1:$L$1300,343+EP$3,1)&lt;&gt;""),1,0),0)</f>
        <v/>
      </c>
      <c r="EQ22">
        <f>IF(EQ$4=1,IF(OR(INDEX('×入力'!$A$1:$L$1300,343+EQ$3,2+EQ$2)&lt;&gt;"",INDEX('×入力'!$A$1:$L$1300,342,2+EQ$2)&lt;&gt;"",INDEX('×入力'!$A$1:$L$1300,343+EQ$3,1)&lt;&gt;""),1,0),0)</f>
        <v/>
      </c>
      <c r="HA22">
        <f>MAX(0,IT22)</f>
        <v/>
      </c>
      <c r="HB22">
        <f>IF(HA22=0,0,INDEX($D$2:$EQ$2,HA22))</f>
        <v/>
      </c>
      <c r="HC22">
        <f>IF(HA22=0,0,INDEX($D$3:$EQ$3,HA22))</f>
        <v/>
      </c>
      <c r="HD22">
        <f>MAX(0,IY22)</f>
        <v/>
      </c>
      <c r="HE22">
        <f>IF(HD22=0,0,INDEX($D$2:$EQ$2,HD22))</f>
        <v/>
      </c>
      <c r="HF22">
        <f>IF(HD22=0,0,INDEX($D$3:$EQ$3,HD22))</f>
        <v/>
      </c>
      <c r="HG22">
        <f>MAX(0,IZ22)</f>
        <v/>
      </c>
      <c r="HH22">
        <f>IF(HG22=0,0,INDEX($D$2:$EQ$2,HG22))</f>
        <v/>
      </c>
      <c r="HI22">
        <f>IF(HG22=0,0,INDEX($D$3:$EQ$3,HG22))</f>
        <v/>
      </c>
      <c r="HJ22">
        <f>IF(AND(HA22&gt;0,HC22&gt;1,OR(HC22-1&lt;&gt;$A$3,$A$4=0)),HA22-1,-1)</f>
        <v/>
      </c>
      <c r="HK22">
        <f>IF(AND(HA22&gt;0,HC22&lt;24,OR(HC22&lt;&gt;$A$3,$A$4=0)),HA22+1,-1)</f>
        <v/>
      </c>
      <c r="HL22">
        <f>IF(AND(HD22&gt;0,HF22&gt;1,OR(HF22-1&lt;&gt;$A$3,$A$4=0)),HD22-1,-1)</f>
        <v/>
      </c>
      <c r="HM22">
        <f>IF(AND(HD22&gt;0,HF22&lt;24,OR(HF22&lt;&gt;$A$3,$A$4=0)),HD22+1,-1)</f>
        <v/>
      </c>
      <c r="HN22">
        <f>IF(AND(HG22&gt;0,HI22&gt;1,OR(HI22-1&lt;&gt;$A$3,$A$4=0)),HG22-1,-1)</f>
        <v/>
      </c>
      <c r="HO22">
        <f>IF(AND(HG22&gt;0,HI22&lt;24,OR(HI22&lt;&gt;$A$3,$A$4=0)),HG22+1,-1)</f>
        <v/>
      </c>
      <c r="IK22">
        <f>IFERROR(INDEX('calcB'!$C$3:$C$47,MATCH(A22,'calcB'!$B$3:$B$47,0)),0)</f>
        <v/>
      </c>
      <c r="IL22">
        <f>IF(AND(C22=1,IK22=0,calcA!$A$6=1),1,0)</f>
        <v/>
      </c>
      <c r="IM22">
        <f>SUMPRODUCT(D72:EQ72*(1-$D$7:$EQ$7))</f>
        <v/>
      </c>
      <c r="IN22">
        <f>SUM(D22:EQ22)</f>
        <v/>
      </c>
      <c r="IO22">
        <f>IF(B22="",0,IF(COUNTIF('調整・決定'!$C$6:$H$29,B22)=1,SUMPRODUCT(('調整・決定'!$C$6:$H$29=B22)*((COLUMN('調整・決定'!$C$6:$H$29)-3)*24+ROW('調整・決定'!$C$6:$H$29)-5)),0))</f>
        <v/>
      </c>
      <c r="IP22">
        <f>IFERROR(MATCH('名簿'!C17,{"早い時刻","遅い時刻","早い日","遅い日"},0),0)</f>
        <v/>
      </c>
      <c r="IQ22">
        <f>IF('名簿'!D17="必ず空けたい",2,IF('名簿'!D17="出来れば空けたい",1,0))</f>
        <v/>
      </c>
      <c r="IR22">
        <f>IFERROR(INDEX('calcC'!$C$3:$C$47,MATCH(A22,'calcC'!$B$3:$B$47,0)),0)</f>
        <v/>
      </c>
      <c r="IS22">
        <f>IF(AND(C22=1,IR22=0,calcA!$A$6=1),1,0)</f>
        <v/>
      </c>
      <c r="IT22">
        <f>IF(OR('名簿'!G17="",'名簿'!H17=""),0,IFERROR((MATCH('名簿'!G17,'設定'!$E$11:$E$16,0)-1)*24+MATCH('名簿'!H17,'設定'!$I$11:$I$34,0),-1))</f>
        <v/>
      </c>
      <c r="IV22">
        <f>IF(OR(JF22=0,IO22=0),1,IF(OR(IF(IT22&gt;0,AND(INDEX($D$2:$EQ$2,IO22)=INDEX($D$2:$EQ$2,IT22),OR(AND(IO22=IT22+1,OR(INDEX($D$3:$EQ$3,IT22)&lt;&gt;$A$3,$A$4=0)),AND(IO22=IT22-1,OR(INDEX($D$3:$EQ$3,IO22)&lt;&gt;$A$3,$A$4=0)))),FALSE),IF(IY22&gt;0,AND(INDEX($D$2:$EQ$2,IO22)=INDEX($D$2:$EQ$2,IY22),OR(AND(IO22=IY22+1,OR(INDEX($D$3:$EQ$3,IY22)&lt;&gt;$A$3,$A$4=0)),AND(IO22=IY22-1,OR(INDEX($D$3:$EQ$3,IO22)&lt;&gt;$A$3,$A$4=0)))),FALSE),IF(IZ22&gt;0,AND(INDEX($D$2:$EQ$2,IO22)=INDEX($D$2:$EQ$2,IZ22),OR(AND(IO22=IZ22+1,OR(INDEX($D$3:$EQ$3,IZ22)&lt;&gt;$A$3,$A$4=0)),AND(IO22=IZ22-1,OR(INDEX($D$3:$EQ$3,IO22)&lt;&gt;$A$3,$A$4=0)))),FALSE)),1,0))</f>
        <v/>
      </c>
      <c r="IW22">
        <f>IF(AND('名簿'!E17&lt;&gt;"",JF22=0),1,0)</f>
        <v/>
      </c>
      <c r="IX22">
        <f>IF('名簿'!D17="空けない",1,0)</f>
        <v/>
      </c>
      <c r="IY22">
        <f>IF(OR('名簿'!J17="",'名簿'!K17=""),0,IFERROR((MATCH('名簿'!J17,'設定'!$E$11:$E$16,0)-1)*24+MATCH('名簿'!K17,'設定'!$I$11:$I$34,0),-1))</f>
        <v/>
      </c>
      <c r="IZ22">
        <f>IF(OR('名簿'!M17="",'名簿'!N17=""),0,IFERROR((MATCH('名簿'!M17,'設定'!$E$11:$E$16,0)-1)*24+MATCH('名簿'!N17,'設定'!$I$11:$I$34,0),-1))</f>
        <v/>
      </c>
      <c r="JC22">
        <f>IF(RIGHT('名簿'!I17,2)="の前",1,IF(RIGHT('名簿'!I17,2)="の後",2,0))</f>
        <v/>
      </c>
      <c r="JD22">
        <f>IF(RIGHT('名簿'!L17,2)="の前",1,IF(RIGHT('名簿'!L17,2)="の後",2,0))</f>
        <v/>
      </c>
      <c r="JE22">
        <f>IF(RIGHT('名簿'!O17,2)="の前",1,IF(RIGHT('名簿'!O17,2)="の後",2,0))</f>
        <v/>
      </c>
      <c r="JF22">
        <f>IF(OR(IT22&gt;0,IY22&gt;0,IZ22&gt;0),1,0)</f>
        <v/>
      </c>
      <c r="JG22">
        <f>IF(OR(IT22&lt;0,IY22&lt;0,IZ22&lt;0),1,0)</f>
        <v/>
      </c>
    </row>
    <row r="23">
      <c r="A23" t="n">
        <v>14</v>
      </c>
      <c r="B23">
        <f>'名簿'!P18</f>
        <v/>
      </c>
      <c r="C23">
        <f>IF(AND(B23&lt;&gt;"",OR('名簿'!Q18="入力済み",'名簿'!Q18="×なし"),IO23=0,COUNTIF('調整・決定'!$C$6:$H$29,B23)=0),1,0)</f>
        <v/>
      </c>
      <c r="D23">
        <f>IF(D$4=1,IF(OR(INDEX('×入力'!$A$1:$L$1300,371+D$3,2+D$2)&lt;&gt;"",INDEX('×入力'!$A$1:$L$1300,370,2+D$2)&lt;&gt;"",INDEX('×入力'!$A$1:$L$1300,371+D$3,1)&lt;&gt;""),1,0),0)</f>
        <v/>
      </c>
      <c r="E23">
        <f>IF(E$4=1,IF(OR(INDEX('×入力'!$A$1:$L$1300,371+E$3,2+E$2)&lt;&gt;"",INDEX('×入力'!$A$1:$L$1300,370,2+E$2)&lt;&gt;"",INDEX('×入力'!$A$1:$L$1300,371+E$3,1)&lt;&gt;""),1,0),0)</f>
        <v/>
      </c>
      <c r="F23">
        <f>IF(F$4=1,IF(OR(INDEX('×入力'!$A$1:$L$1300,371+F$3,2+F$2)&lt;&gt;"",INDEX('×入力'!$A$1:$L$1300,370,2+F$2)&lt;&gt;"",INDEX('×入力'!$A$1:$L$1300,371+F$3,1)&lt;&gt;""),1,0),0)</f>
        <v/>
      </c>
      <c r="G23">
        <f>IF(G$4=1,IF(OR(INDEX('×入力'!$A$1:$L$1300,371+G$3,2+G$2)&lt;&gt;"",INDEX('×入力'!$A$1:$L$1300,370,2+G$2)&lt;&gt;"",INDEX('×入力'!$A$1:$L$1300,371+G$3,1)&lt;&gt;""),1,0),0)</f>
        <v/>
      </c>
      <c r="H23">
        <f>IF(H$4=1,IF(OR(INDEX('×入力'!$A$1:$L$1300,371+H$3,2+H$2)&lt;&gt;"",INDEX('×入力'!$A$1:$L$1300,370,2+H$2)&lt;&gt;"",INDEX('×入力'!$A$1:$L$1300,371+H$3,1)&lt;&gt;""),1,0),0)</f>
        <v/>
      </c>
      <c r="I23">
        <f>IF(I$4=1,IF(OR(INDEX('×入力'!$A$1:$L$1300,371+I$3,2+I$2)&lt;&gt;"",INDEX('×入力'!$A$1:$L$1300,370,2+I$2)&lt;&gt;"",INDEX('×入力'!$A$1:$L$1300,371+I$3,1)&lt;&gt;""),1,0),0)</f>
        <v/>
      </c>
      <c r="J23">
        <f>IF(J$4=1,IF(OR(INDEX('×入力'!$A$1:$L$1300,371+J$3,2+J$2)&lt;&gt;"",INDEX('×入力'!$A$1:$L$1300,370,2+J$2)&lt;&gt;"",INDEX('×入力'!$A$1:$L$1300,371+J$3,1)&lt;&gt;""),1,0),0)</f>
        <v/>
      </c>
      <c r="K23">
        <f>IF(K$4=1,IF(OR(INDEX('×入力'!$A$1:$L$1300,371+K$3,2+K$2)&lt;&gt;"",INDEX('×入力'!$A$1:$L$1300,370,2+K$2)&lt;&gt;"",INDEX('×入力'!$A$1:$L$1300,371+K$3,1)&lt;&gt;""),1,0),0)</f>
        <v/>
      </c>
      <c r="L23">
        <f>IF(L$4=1,IF(OR(INDEX('×入力'!$A$1:$L$1300,371+L$3,2+L$2)&lt;&gt;"",INDEX('×入力'!$A$1:$L$1300,370,2+L$2)&lt;&gt;"",INDEX('×入力'!$A$1:$L$1300,371+L$3,1)&lt;&gt;""),1,0),0)</f>
        <v/>
      </c>
      <c r="M23">
        <f>IF(M$4=1,IF(OR(INDEX('×入力'!$A$1:$L$1300,371+M$3,2+M$2)&lt;&gt;"",INDEX('×入力'!$A$1:$L$1300,370,2+M$2)&lt;&gt;"",INDEX('×入力'!$A$1:$L$1300,371+M$3,1)&lt;&gt;""),1,0),0)</f>
        <v/>
      </c>
      <c r="N23">
        <f>IF(N$4=1,IF(OR(INDEX('×入力'!$A$1:$L$1300,371+N$3,2+N$2)&lt;&gt;"",INDEX('×入力'!$A$1:$L$1300,370,2+N$2)&lt;&gt;"",INDEX('×入力'!$A$1:$L$1300,371+N$3,1)&lt;&gt;""),1,0),0)</f>
        <v/>
      </c>
      <c r="O23">
        <f>IF(O$4=1,IF(OR(INDEX('×入力'!$A$1:$L$1300,371+O$3,2+O$2)&lt;&gt;"",INDEX('×入力'!$A$1:$L$1300,370,2+O$2)&lt;&gt;"",INDEX('×入力'!$A$1:$L$1300,371+O$3,1)&lt;&gt;""),1,0),0)</f>
        <v/>
      </c>
      <c r="P23">
        <f>IF(P$4=1,IF(OR(INDEX('×入力'!$A$1:$L$1300,371+P$3,2+P$2)&lt;&gt;"",INDEX('×入力'!$A$1:$L$1300,370,2+P$2)&lt;&gt;"",INDEX('×入力'!$A$1:$L$1300,371+P$3,1)&lt;&gt;""),1,0),0)</f>
        <v/>
      </c>
      <c r="Q23">
        <f>IF(Q$4=1,IF(OR(INDEX('×入力'!$A$1:$L$1300,371+Q$3,2+Q$2)&lt;&gt;"",INDEX('×入力'!$A$1:$L$1300,370,2+Q$2)&lt;&gt;"",INDEX('×入力'!$A$1:$L$1300,371+Q$3,1)&lt;&gt;""),1,0),0)</f>
        <v/>
      </c>
      <c r="R23">
        <f>IF(R$4=1,IF(OR(INDEX('×入力'!$A$1:$L$1300,371+R$3,2+R$2)&lt;&gt;"",INDEX('×入力'!$A$1:$L$1300,370,2+R$2)&lt;&gt;"",INDEX('×入力'!$A$1:$L$1300,371+R$3,1)&lt;&gt;""),1,0),0)</f>
        <v/>
      </c>
      <c r="S23">
        <f>IF(S$4=1,IF(OR(INDEX('×入力'!$A$1:$L$1300,371+S$3,2+S$2)&lt;&gt;"",INDEX('×入力'!$A$1:$L$1300,370,2+S$2)&lt;&gt;"",INDEX('×入力'!$A$1:$L$1300,371+S$3,1)&lt;&gt;""),1,0),0)</f>
        <v/>
      </c>
      <c r="T23">
        <f>IF(T$4=1,IF(OR(INDEX('×入力'!$A$1:$L$1300,371+T$3,2+T$2)&lt;&gt;"",INDEX('×入力'!$A$1:$L$1300,370,2+T$2)&lt;&gt;"",INDEX('×入力'!$A$1:$L$1300,371+T$3,1)&lt;&gt;""),1,0),0)</f>
        <v/>
      </c>
      <c r="U23">
        <f>IF(U$4=1,IF(OR(INDEX('×入力'!$A$1:$L$1300,371+U$3,2+U$2)&lt;&gt;"",INDEX('×入力'!$A$1:$L$1300,370,2+U$2)&lt;&gt;"",INDEX('×入力'!$A$1:$L$1300,371+U$3,1)&lt;&gt;""),1,0),0)</f>
        <v/>
      </c>
      <c r="V23">
        <f>IF(V$4=1,IF(OR(INDEX('×入力'!$A$1:$L$1300,371+V$3,2+V$2)&lt;&gt;"",INDEX('×入力'!$A$1:$L$1300,370,2+V$2)&lt;&gt;"",INDEX('×入力'!$A$1:$L$1300,371+V$3,1)&lt;&gt;""),1,0),0)</f>
        <v/>
      </c>
      <c r="W23">
        <f>IF(W$4=1,IF(OR(INDEX('×入力'!$A$1:$L$1300,371+W$3,2+W$2)&lt;&gt;"",INDEX('×入力'!$A$1:$L$1300,370,2+W$2)&lt;&gt;"",INDEX('×入力'!$A$1:$L$1300,371+W$3,1)&lt;&gt;""),1,0),0)</f>
        <v/>
      </c>
      <c r="X23">
        <f>IF(X$4=1,IF(OR(INDEX('×入力'!$A$1:$L$1300,371+X$3,2+X$2)&lt;&gt;"",INDEX('×入力'!$A$1:$L$1300,370,2+X$2)&lt;&gt;"",INDEX('×入力'!$A$1:$L$1300,371+X$3,1)&lt;&gt;""),1,0),0)</f>
        <v/>
      </c>
      <c r="Y23">
        <f>IF(Y$4=1,IF(OR(INDEX('×入力'!$A$1:$L$1300,371+Y$3,2+Y$2)&lt;&gt;"",INDEX('×入力'!$A$1:$L$1300,370,2+Y$2)&lt;&gt;"",INDEX('×入力'!$A$1:$L$1300,371+Y$3,1)&lt;&gt;""),1,0),0)</f>
        <v/>
      </c>
      <c r="Z23">
        <f>IF(Z$4=1,IF(OR(INDEX('×入力'!$A$1:$L$1300,371+Z$3,2+Z$2)&lt;&gt;"",INDEX('×入力'!$A$1:$L$1300,370,2+Z$2)&lt;&gt;"",INDEX('×入力'!$A$1:$L$1300,371+Z$3,1)&lt;&gt;""),1,0),0)</f>
        <v/>
      </c>
      <c r="AA23">
        <f>IF(AA$4=1,IF(OR(INDEX('×入力'!$A$1:$L$1300,371+AA$3,2+AA$2)&lt;&gt;"",INDEX('×入力'!$A$1:$L$1300,370,2+AA$2)&lt;&gt;"",INDEX('×入力'!$A$1:$L$1300,371+AA$3,1)&lt;&gt;""),1,0),0)</f>
        <v/>
      </c>
      <c r="AB23">
        <f>IF(AB$4=1,IF(OR(INDEX('×入力'!$A$1:$L$1300,371+AB$3,2+AB$2)&lt;&gt;"",INDEX('×入力'!$A$1:$L$1300,370,2+AB$2)&lt;&gt;"",INDEX('×入力'!$A$1:$L$1300,371+AB$3,1)&lt;&gt;""),1,0),0)</f>
        <v/>
      </c>
      <c r="AC23">
        <f>IF(AC$4=1,IF(OR(INDEX('×入力'!$A$1:$L$1300,371+AC$3,2+AC$2)&lt;&gt;"",INDEX('×入力'!$A$1:$L$1300,370,2+AC$2)&lt;&gt;"",INDEX('×入力'!$A$1:$L$1300,371+AC$3,1)&lt;&gt;""),1,0),0)</f>
        <v/>
      </c>
      <c r="AD23">
        <f>IF(AD$4=1,IF(OR(INDEX('×入力'!$A$1:$L$1300,371+AD$3,2+AD$2)&lt;&gt;"",INDEX('×入力'!$A$1:$L$1300,370,2+AD$2)&lt;&gt;"",INDEX('×入力'!$A$1:$L$1300,371+AD$3,1)&lt;&gt;""),1,0),0)</f>
        <v/>
      </c>
      <c r="AE23">
        <f>IF(AE$4=1,IF(OR(INDEX('×入力'!$A$1:$L$1300,371+AE$3,2+AE$2)&lt;&gt;"",INDEX('×入力'!$A$1:$L$1300,370,2+AE$2)&lt;&gt;"",INDEX('×入力'!$A$1:$L$1300,371+AE$3,1)&lt;&gt;""),1,0),0)</f>
        <v/>
      </c>
      <c r="AF23">
        <f>IF(AF$4=1,IF(OR(INDEX('×入力'!$A$1:$L$1300,371+AF$3,2+AF$2)&lt;&gt;"",INDEX('×入力'!$A$1:$L$1300,370,2+AF$2)&lt;&gt;"",INDEX('×入力'!$A$1:$L$1300,371+AF$3,1)&lt;&gt;""),1,0),0)</f>
        <v/>
      </c>
      <c r="AG23">
        <f>IF(AG$4=1,IF(OR(INDEX('×入力'!$A$1:$L$1300,371+AG$3,2+AG$2)&lt;&gt;"",INDEX('×入力'!$A$1:$L$1300,370,2+AG$2)&lt;&gt;"",INDEX('×入力'!$A$1:$L$1300,371+AG$3,1)&lt;&gt;""),1,0),0)</f>
        <v/>
      </c>
      <c r="AH23">
        <f>IF(AH$4=1,IF(OR(INDEX('×入力'!$A$1:$L$1300,371+AH$3,2+AH$2)&lt;&gt;"",INDEX('×入力'!$A$1:$L$1300,370,2+AH$2)&lt;&gt;"",INDEX('×入力'!$A$1:$L$1300,371+AH$3,1)&lt;&gt;""),1,0),0)</f>
        <v/>
      </c>
      <c r="AI23">
        <f>IF(AI$4=1,IF(OR(INDEX('×入力'!$A$1:$L$1300,371+AI$3,2+AI$2)&lt;&gt;"",INDEX('×入力'!$A$1:$L$1300,370,2+AI$2)&lt;&gt;"",INDEX('×入力'!$A$1:$L$1300,371+AI$3,1)&lt;&gt;""),1,0),0)</f>
        <v/>
      </c>
      <c r="AJ23">
        <f>IF(AJ$4=1,IF(OR(INDEX('×入力'!$A$1:$L$1300,371+AJ$3,2+AJ$2)&lt;&gt;"",INDEX('×入力'!$A$1:$L$1300,370,2+AJ$2)&lt;&gt;"",INDEX('×入力'!$A$1:$L$1300,371+AJ$3,1)&lt;&gt;""),1,0),0)</f>
        <v/>
      </c>
      <c r="AK23">
        <f>IF(AK$4=1,IF(OR(INDEX('×入力'!$A$1:$L$1300,371+AK$3,2+AK$2)&lt;&gt;"",INDEX('×入力'!$A$1:$L$1300,370,2+AK$2)&lt;&gt;"",INDEX('×入力'!$A$1:$L$1300,371+AK$3,1)&lt;&gt;""),1,0),0)</f>
        <v/>
      </c>
      <c r="AL23">
        <f>IF(AL$4=1,IF(OR(INDEX('×入力'!$A$1:$L$1300,371+AL$3,2+AL$2)&lt;&gt;"",INDEX('×入力'!$A$1:$L$1300,370,2+AL$2)&lt;&gt;"",INDEX('×入力'!$A$1:$L$1300,371+AL$3,1)&lt;&gt;""),1,0),0)</f>
        <v/>
      </c>
      <c r="AM23">
        <f>IF(AM$4=1,IF(OR(INDEX('×入力'!$A$1:$L$1300,371+AM$3,2+AM$2)&lt;&gt;"",INDEX('×入力'!$A$1:$L$1300,370,2+AM$2)&lt;&gt;"",INDEX('×入力'!$A$1:$L$1300,371+AM$3,1)&lt;&gt;""),1,0),0)</f>
        <v/>
      </c>
      <c r="AN23">
        <f>IF(AN$4=1,IF(OR(INDEX('×入力'!$A$1:$L$1300,371+AN$3,2+AN$2)&lt;&gt;"",INDEX('×入力'!$A$1:$L$1300,370,2+AN$2)&lt;&gt;"",INDEX('×入力'!$A$1:$L$1300,371+AN$3,1)&lt;&gt;""),1,0),0)</f>
        <v/>
      </c>
      <c r="AO23">
        <f>IF(AO$4=1,IF(OR(INDEX('×入力'!$A$1:$L$1300,371+AO$3,2+AO$2)&lt;&gt;"",INDEX('×入力'!$A$1:$L$1300,370,2+AO$2)&lt;&gt;"",INDEX('×入力'!$A$1:$L$1300,371+AO$3,1)&lt;&gt;""),1,0),0)</f>
        <v/>
      </c>
      <c r="AP23">
        <f>IF(AP$4=1,IF(OR(INDEX('×入力'!$A$1:$L$1300,371+AP$3,2+AP$2)&lt;&gt;"",INDEX('×入力'!$A$1:$L$1300,370,2+AP$2)&lt;&gt;"",INDEX('×入力'!$A$1:$L$1300,371+AP$3,1)&lt;&gt;""),1,0),0)</f>
        <v/>
      </c>
      <c r="AQ23">
        <f>IF(AQ$4=1,IF(OR(INDEX('×入力'!$A$1:$L$1300,371+AQ$3,2+AQ$2)&lt;&gt;"",INDEX('×入力'!$A$1:$L$1300,370,2+AQ$2)&lt;&gt;"",INDEX('×入力'!$A$1:$L$1300,371+AQ$3,1)&lt;&gt;""),1,0),0)</f>
        <v/>
      </c>
      <c r="AR23">
        <f>IF(AR$4=1,IF(OR(INDEX('×入力'!$A$1:$L$1300,371+AR$3,2+AR$2)&lt;&gt;"",INDEX('×入力'!$A$1:$L$1300,370,2+AR$2)&lt;&gt;"",INDEX('×入力'!$A$1:$L$1300,371+AR$3,1)&lt;&gt;""),1,0),0)</f>
        <v/>
      </c>
      <c r="AS23">
        <f>IF(AS$4=1,IF(OR(INDEX('×入力'!$A$1:$L$1300,371+AS$3,2+AS$2)&lt;&gt;"",INDEX('×入力'!$A$1:$L$1300,370,2+AS$2)&lt;&gt;"",INDEX('×入力'!$A$1:$L$1300,371+AS$3,1)&lt;&gt;""),1,0),0)</f>
        <v/>
      </c>
      <c r="AT23">
        <f>IF(AT$4=1,IF(OR(INDEX('×入力'!$A$1:$L$1300,371+AT$3,2+AT$2)&lt;&gt;"",INDEX('×入力'!$A$1:$L$1300,370,2+AT$2)&lt;&gt;"",INDEX('×入力'!$A$1:$L$1300,371+AT$3,1)&lt;&gt;""),1,0),0)</f>
        <v/>
      </c>
      <c r="AU23">
        <f>IF(AU$4=1,IF(OR(INDEX('×入力'!$A$1:$L$1300,371+AU$3,2+AU$2)&lt;&gt;"",INDEX('×入力'!$A$1:$L$1300,370,2+AU$2)&lt;&gt;"",INDEX('×入力'!$A$1:$L$1300,371+AU$3,1)&lt;&gt;""),1,0),0)</f>
        <v/>
      </c>
      <c r="AV23">
        <f>IF(AV$4=1,IF(OR(INDEX('×入力'!$A$1:$L$1300,371+AV$3,2+AV$2)&lt;&gt;"",INDEX('×入力'!$A$1:$L$1300,370,2+AV$2)&lt;&gt;"",INDEX('×入力'!$A$1:$L$1300,371+AV$3,1)&lt;&gt;""),1,0),0)</f>
        <v/>
      </c>
      <c r="AW23">
        <f>IF(AW$4=1,IF(OR(INDEX('×入力'!$A$1:$L$1300,371+AW$3,2+AW$2)&lt;&gt;"",INDEX('×入力'!$A$1:$L$1300,370,2+AW$2)&lt;&gt;"",INDEX('×入力'!$A$1:$L$1300,371+AW$3,1)&lt;&gt;""),1,0),0)</f>
        <v/>
      </c>
      <c r="AX23">
        <f>IF(AX$4=1,IF(OR(INDEX('×入力'!$A$1:$L$1300,371+AX$3,2+AX$2)&lt;&gt;"",INDEX('×入力'!$A$1:$L$1300,370,2+AX$2)&lt;&gt;"",INDEX('×入力'!$A$1:$L$1300,371+AX$3,1)&lt;&gt;""),1,0),0)</f>
        <v/>
      </c>
      <c r="AY23">
        <f>IF(AY$4=1,IF(OR(INDEX('×入力'!$A$1:$L$1300,371+AY$3,2+AY$2)&lt;&gt;"",INDEX('×入力'!$A$1:$L$1300,370,2+AY$2)&lt;&gt;"",INDEX('×入力'!$A$1:$L$1300,371+AY$3,1)&lt;&gt;""),1,0),0)</f>
        <v/>
      </c>
      <c r="AZ23">
        <f>IF(AZ$4=1,IF(OR(INDEX('×入力'!$A$1:$L$1300,371+AZ$3,2+AZ$2)&lt;&gt;"",INDEX('×入力'!$A$1:$L$1300,370,2+AZ$2)&lt;&gt;"",INDEX('×入力'!$A$1:$L$1300,371+AZ$3,1)&lt;&gt;""),1,0),0)</f>
        <v/>
      </c>
      <c r="BA23">
        <f>IF(BA$4=1,IF(OR(INDEX('×入力'!$A$1:$L$1300,371+BA$3,2+BA$2)&lt;&gt;"",INDEX('×入力'!$A$1:$L$1300,370,2+BA$2)&lt;&gt;"",INDEX('×入力'!$A$1:$L$1300,371+BA$3,1)&lt;&gt;""),1,0),0)</f>
        <v/>
      </c>
      <c r="BB23">
        <f>IF(BB$4=1,IF(OR(INDEX('×入力'!$A$1:$L$1300,371+BB$3,2+BB$2)&lt;&gt;"",INDEX('×入力'!$A$1:$L$1300,370,2+BB$2)&lt;&gt;"",INDEX('×入力'!$A$1:$L$1300,371+BB$3,1)&lt;&gt;""),1,0),0)</f>
        <v/>
      </c>
      <c r="BC23">
        <f>IF(BC$4=1,IF(OR(INDEX('×入力'!$A$1:$L$1300,371+BC$3,2+BC$2)&lt;&gt;"",INDEX('×入力'!$A$1:$L$1300,370,2+BC$2)&lt;&gt;"",INDEX('×入力'!$A$1:$L$1300,371+BC$3,1)&lt;&gt;""),1,0),0)</f>
        <v/>
      </c>
      <c r="BD23">
        <f>IF(BD$4=1,IF(OR(INDEX('×入力'!$A$1:$L$1300,371+BD$3,2+BD$2)&lt;&gt;"",INDEX('×入力'!$A$1:$L$1300,370,2+BD$2)&lt;&gt;"",INDEX('×入力'!$A$1:$L$1300,371+BD$3,1)&lt;&gt;""),1,0),0)</f>
        <v/>
      </c>
      <c r="BE23">
        <f>IF(BE$4=1,IF(OR(INDEX('×入力'!$A$1:$L$1300,371+BE$3,2+BE$2)&lt;&gt;"",INDEX('×入力'!$A$1:$L$1300,370,2+BE$2)&lt;&gt;"",INDEX('×入力'!$A$1:$L$1300,371+BE$3,1)&lt;&gt;""),1,0),0)</f>
        <v/>
      </c>
      <c r="BF23">
        <f>IF(BF$4=1,IF(OR(INDEX('×入力'!$A$1:$L$1300,371+BF$3,2+BF$2)&lt;&gt;"",INDEX('×入力'!$A$1:$L$1300,370,2+BF$2)&lt;&gt;"",INDEX('×入力'!$A$1:$L$1300,371+BF$3,1)&lt;&gt;""),1,0),0)</f>
        <v/>
      </c>
      <c r="BG23">
        <f>IF(BG$4=1,IF(OR(INDEX('×入力'!$A$1:$L$1300,371+BG$3,2+BG$2)&lt;&gt;"",INDEX('×入力'!$A$1:$L$1300,370,2+BG$2)&lt;&gt;"",INDEX('×入力'!$A$1:$L$1300,371+BG$3,1)&lt;&gt;""),1,0),0)</f>
        <v/>
      </c>
      <c r="BH23">
        <f>IF(BH$4=1,IF(OR(INDEX('×入力'!$A$1:$L$1300,371+BH$3,2+BH$2)&lt;&gt;"",INDEX('×入力'!$A$1:$L$1300,370,2+BH$2)&lt;&gt;"",INDEX('×入力'!$A$1:$L$1300,371+BH$3,1)&lt;&gt;""),1,0),0)</f>
        <v/>
      </c>
      <c r="BI23">
        <f>IF(BI$4=1,IF(OR(INDEX('×入力'!$A$1:$L$1300,371+BI$3,2+BI$2)&lt;&gt;"",INDEX('×入力'!$A$1:$L$1300,370,2+BI$2)&lt;&gt;"",INDEX('×入力'!$A$1:$L$1300,371+BI$3,1)&lt;&gt;""),1,0),0)</f>
        <v/>
      </c>
      <c r="BJ23">
        <f>IF(BJ$4=1,IF(OR(INDEX('×入力'!$A$1:$L$1300,371+BJ$3,2+BJ$2)&lt;&gt;"",INDEX('×入力'!$A$1:$L$1300,370,2+BJ$2)&lt;&gt;"",INDEX('×入力'!$A$1:$L$1300,371+BJ$3,1)&lt;&gt;""),1,0),0)</f>
        <v/>
      </c>
      <c r="BK23">
        <f>IF(BK$4=1,IF(OR(INDEX('×入力'!$A$1:$L$1300,371+BK$3,2+BK$2)&lt;&gt;"",INDEX('×入力'!$A$1:$L$1300,370,2+BK$2)&lt;&gt;"",INDEX('×入力'!$A$1:$L$1300,371+BK$3,1)&lt;&gt;""),1,0),0)</f>
        <v/>
      </c>
      <c r="BL23">
        <f>IF(BL$4=1,IF(OR(INDEX('×入力'!$A$1:$L$1300,371+BL$3,2+BL$2)&lt;&gt;"",INDEX('×入力'!$A$1:$L$1300,370,2+BL$2)&lt;&gt;"",INDEX('×入力'!$A$1:$L$1300,371+BL$3,1)&lt;&gt;""),1,0),0)</f>
        <v/>
      </c>
      <c r="BM23">
        <f>IF(BM$4=1,IF(OR(INDEX('×入力'!$A$1:$L$1300,371+BM$3,2+BM$2)&lt;&gt;"",INDEX('×入力'!$A$1:$L$1300,370,2+BM$2)&lt;&gt;"",INDEX('×入力'!$A$1:$L$1300,371+BM$3,1)&lt;&gt;""),1,0),0)</f>
        <v/>
      </c>
      <c r="BN23">
        <f>IF(BN$4=1,IF(OR(INDEX('×入力'!$A$1:$L$1300,371+BN$3,2+BN$2)&lt;&gt;"",INDEX('×入力'!$A$1:$L$1300,370,2+BN$2)&lt;&gt;"",INDEX('×入力'!$A$1:$L$1300,371+BN$3,1)&lt;&gt;""),1,0),0)</f>
        <v/>
      </c>
      <c r="BO23">
        <f>IF(BO$4=1,IF(OR(INDEX('×入力'!$A$1:$L$1300,371+BO$3,2+BO$2)&lt;&gt;"",INDEX('×入力'!$A$1:$L$1300,370,2+BO$2)&lt;&gt;"",INDEX('×入力'!$A$1:$L$1300,371+BO$3,1)&lt;&gt;""),1,0),0)</f>
        <v/>
      </c>
      <c r="BP23">
        <f>IF(BP$4=1,IF(OR(INDEX('×入力'!$A$1:$L$1300,371+BP$3,2+BP$2)&lt;&gt;"",INDEX('×入力'!$A$1:$L$1300,370,2+BP$2)&lt;&gt;"",INDEX('×入力'!$A$1:$L$1300,371+BP$3,1)&lt;&gt;""),1,0),0)</f>
        <v/>
      </c>
      <c r="BQ23">
        <f>IF(BQ$4=1,IF(OR(INDEX('×入力'!$A$1:$L$1300,371+BQ$3,2+BQ$2)&lt;&gt;"",INDEX('×入力'!$A$1:$L$1300,370,2+BQ$2)&lt;&gt;"",INDEX('×入力'!$A$1:$L$1300,371+BQ$3,1)&lt;&gt;""),1,0),0)</f>
        <v/>
      </c>
      <c r="BR23">
        <f>IF(BR$4=1,IF(OR(INDEX('×入力'!$A$1:$L$1300,371+BR$3,2+BR$2)&lt;&gt;"",INDEX('×入力'!$A$1:$L$1300,370,2+BR$2)&lt;&gt;"",INDEX('×入力'!$A$1:$L$1300,371+BR$3,1)&lt;&gt;""),1,0),0)</f>
        <v/>
      </c>
      <c r="BS23">
        <f>IF(BS$4=1,IF(OR(INDEX('×入力'!$A$1:$L$1300,371+BS$3,2+BS$2)&lt;&gt;"",INDEX('×入力'!$A$1:$L$1300,370,2+BS$2)&lt;&gt;"",INDEX('×入力'!$A$1:$L$1300,371+BS$3,1)&lt;&gt;""),1,0),0)</f>
        <v/>
      </c>
      <c r="BT23">
        <f>IF(BT$4=1,IF(OR(INDEX('×入力'!$A$1:$L$1300,371+BT$3,2+BT$2)&lt;&gt;"",INDEX('×入力'!$A$1:$L$1300,370,2+BT$2)&lt;&gt;"",INDEX('×入力'!$A$1:$L$1300,371+BT$3,1)&lt;&gt;""),1,0),0)</f>
        <v/>
      </c>
      <c r="BU23">
        <f>IF(BU$4=1,IF(OR(INDEX('×入力'!$A$1:$L$1300,371+BU$3,2+BU$2)&lt;&gt;"",INDEX('×入力'!$A$1:$L$1300,370,2+BU$2)&lt;&gt;"",INDEX('×入力'!$A$1:$L$1300,371+BU$3,1)&lt;&gt;""),1,0),0)</f>
        <v/>
      </c>
      <c r="BV23">
        <f>IF(BV$4=1,IF(OR(INDEX('×入力'!$A$1:$L$1300,371+BV$3,2+BV$2)&lt;&gt;"",INDEX('×入力'!$A$1:$L$1300,370,2+BV$2)&lt;&gt;"",INDEX('×入力'!$A$1:$L$1300,371+BV$3,1)&lt;&gt;""),1,0),0)</f>
        <v/>
      </c>
      <c r="BW23">
        <f>IF(BW$4=1,IF(OR(INDEX('×入力'!$A$1:$L$1300,371+BW$3,2+BW$2)&lt;&gt;"",INDEX('×入力'!$A$1:$L$1300,370,2+BW$2)&lt;&gt;"",INDEX('×入力'!$A$1:$L$1300,371+BW$3,1)&lt;&gt;""),1,0),0)</f>
        <v/>
      </c>
      <c r="BX23">
        <f>IF(BX$4=1,IF(OR(INDEX('×入力'!$A$1:$L$1300,371+BX$3,2+BX$2)&lt;&gt;"",INDEX('×入力'!$A$1:$L$1300,370,2+BX$2)&lt;&gt;"",INDEX('×入力'!$A$1:$L$1300,371+BX$3,1)&lt;&gt;""),1,0),0)</f>
        <v/>
      </c>
      <c r="BY23">
        <f>IF(BY$4=1,IF(OR(INDEX('×入力'!$A$1:$L$1300,371+BY$3,2+BY$2)&lt;&gt;"",INDEX('×入力'!$A$1:$L$1300,370,2+BY$2)&lt;&gt;"",INDEX('×入力'!$A$1:$L$1300,371+BY$3,1)&lt;&gt;""),1,0),0)</f>
        <v/>
      </c>
      <c r="BZ23">
        <f>IF(BZ$4=1,IF(OR(INDEX('×入力'!$A$1:$L$1300,371+BZ$3,2+BZ$2)&lt;&gt;"",INDEX('×入力'!$A$1:$L$1300,370,2+BZ$2)&lt;&gt;"",INDEX('×入力'!$A$1:$L$1300,371+BZ$3,1)&lt;&gt;""),1,0),0)</f>
        <v/>
      </c>
      <c r="CA23">
        <f>IF(CA$4=1,IF(OR(INDEX('×入力'!$A$1:$L$1300,371+CA$3,2+CA$2)&lt;&gt;"",INDEX('×入力'!$A$1:$L$1300,370,2+CA$2)&lt;&gt;"",INDEX('×入力'!$A$1:$L$1300,371+CA$3,1)&lt;&gt;""),1,0),0)</f>
        <v/>
      </c>
      <c r="CB23">
        <f>IF(CB$4=1,IF(OR(INDEX('×入力'!$A$1:$L$1300,371+CB$3,2+CB$2)&lt;&gt;"",INDEX('×入力'!$A$1:$L$1300,370,2+CB$2)&lt;&gt;"",INDEX('×入力'!$A$1:$L$1300,371+CB$3,1)&lt;&gt;""),1,0),0)</f>
        <v/>
      </c>
      <c r="CC23">
        <f>IF(CC$4=1,IF(OR(INDEX('×入力'!$A$1:$L$1300,371+CC$3,2+CC$2)&lt;&gt;"",INDEX('×入力'!$A$1:$L$1300,370,2+CC$2)&lt;&gt;"",INDEX('×入力'!$A$1:$L$1300,371+CC$3,1)&lt;&gt;""),1,0),0)</f>
        <v/>
      </c>
      <c r="CD23">
        <f>IF(CD$4=1,IF(OR(INDEX('×入力'!$A$1:$L$1300,371+CD$3,2+CD$2)&lt;&gt;"",INDEX('×入力'!$A$1:$L$1300,370,2+CD$2)&lt;&gt;"",INDEX('×入力'!$A$1:$L$1300,371+CD$3,1)&lt;&gt;""),1,0),0)</f>
        <v/>
      </c>
      <c r="CE23">
        <f>IF(CE$4=1,IF(OR(INDEX('×入力'!$A$1:$L$1300,371+CE$3,2+CE$2)&lt;&gt;"",INDEX('×入力'!$A$1:$L$1300,370,2+CE$2)&lt;&gt;"",INDEX('×入力'!$A$1:$L$1300,371+CE$3,1)&lt;&gt;""),1,0),0)</f>
        <v/>
      </c>
      <c r="CF23">
        <f>IF(CF$4=1,IF(OR(INDEX('×入力'!$A$1:$L$1300,371+CF$3,2+CF$2)&lt;&gt;"",INDEX('×入力'!$A$1:$L$1300,370,2+CF$2)&lt;&gt;"",INDEX('×入力'!$A$1:$L$1300,371+CF$3,1)&lt;&gt;""),1,0),0)</f>
        <v/>
      </c>
      <c r="CG23">
        <f>IF(CG$4=1,IF(OR(INDEX('×入力'!$A$1:$L$1300,371+CG$3,2+CG$2)&lt;&gt;"",INDEX('×入力'!$A$1:$L$1300,370,2+CG$2)&lt;&gt;"",INDEX('×入力'!$A$1:$L$1300,371+CG$3,1)&lt;&gt;""),1,0),0)</f>
        <v/>
      </c>
      <c r="CH23">
        <f>IF(CH$4=1,IF(OR(INDEX('×入力'!$A$1:$L$1300,371+CH$3,2+CH$2)&lt;&gt;"",INDEX('×入力'!$A$1:$L$1300,370,2+CH$2)&lt;&gt;"",INDEX('×入力'!$A$1:$L$1300,371+CH$3,1)&lt;&gt;""),1,0),0)</f>
        <v/>
      </c>
      <c r="CI23">
        <f>IF(CI$4=1,IF(OR(INDEX('×入力'!$A$1:$L$1300,371+CI$3,2+CI$2)&lt;&gt;"",INDEX('×入力'!$A$1:$L$1300,370,2+CI$2)&lt;&gt;"",INDEX('×入力'!$A$1:$L$1300,371+CI$3,1)&lt;&gt;""),1,0),0)</f>
        <v/>
      </c>
      <c r="CJ23">
        <f>IF(CJ$4=1,IF(OR(INDEX('×入力'!$A$1:$L$1300,371+CJ$3,2+CJ$2)&lt;&gt;"",INDEX('×入力'!$A$1:$L$1300,370,2+CJ$2)&lt;&gt;"",INDEX('×入力'!$A$1:$L$1300,371+CJ$3,1)&lt;&gt;""),1,0),0)</f>
        <v/>
      </c>
      <c r="CK23">
        <f>IF(CK$4=1,IF(OR(INDEX('×入力'!$A$1:$L$1300,371+CK$3,2+CK$2)&lt;&gt;"",INDEX('×入力'!$A$1:$L$1300,370,2+CK$2)&lt;&gt;"",INDEX('×入力'!$A$1:$L$1300,371+CK$3,1)&lt;&gt;""),1,0),0)</f>
        <v/>
      </c>
      <c r="CL23">
        <f>IF(CL$4=1,IF(OR(INDEX('×入力'!$A$1:$L$1300,371+CL$3,2+CL$2)&lt;&gt;"",INDEX('×入力'!$A$1:$L$1300,370,2+CL$2)&lt;&gt;"",INDEX('×入力'!$A$1:$L$1300,371+CL$3,1)&lt;&gt;""),1,0),0)</f>
        <v/>
      </c>
      <c r="CM23">
        <f>IF(CM$4=1,IF(OR(INDEX('×入力'!$A$1:$L$1300,371+CM$3,2+CM$2)&lt;&gt;"",INDEX('×入力'!$A$1:$L$1300,370,2+CM$2)&lt;&gt;"",INDEX('×入力'!$A$1:$L$1300,371+CM$3,1)&lt;&gt;""),1,0),0)</f>
        <v/>
      </c>
      <c r="CN23">
        <f>IF(CN$4=1,IF(OR(INDEX('×入力'!$A$1:$L$1300,371+CN$3,2+CN$2)&lt;&gt;"",INDEX('×入力'!$A$1:$L$1300,370,2+CN$2)&lt;&gt;"",INDEX('×入力'!$A$1:$L$1300,371+CN$3,1)&lt;&gt;""),1,0),0)</f>
        <v/>
      </c>
      <c r="CO23">
        <f>IF(CO$4=1,IF(OR(INDEX('×入力'!$A$1:$L$1300,371+CO$3,2+CO$2)&lt;&gt;"",INDEX('×入力'!$A$1:$L$1300,370,2+CO$2)&lt;&gt;"",INDEX('×入力'!$A$1:$L$1300,371+CO$3,1)&lt;&gt;""),1,0),0)</f>
        <v/>
      </c>
      <c r="CP23">
        <f>IF(CP$4=1,IF(OR(INDEX('×入力'!$A$1:$L$1300,371+CP$3,2+CP$2)&lt;&gt;"",INDEX('×入力'!$A$1:$L$1300,370,2+CP$2)&lt;&gt;"",INDEX('×入力'!$A$1:$L$1300,371+CP$3,1)&lt;&gt;""),1,0),0)</f>
        <v/>
      </c>
      <c r="CQ23">
        <f>IF(CQ$4=1,IF(OR(INDEX('×入力'!$A$1:$L$1300,371+CQ$3,2+CQ$2)&lt;&gt;"",INDEX('×入力'!$A$1:$L$1300,370,2+CQ$2)&lt;&gt;"",INDEX('×入力'!$A$1:$L$1300,371+CQ$3,1)&lt;&gt;""),1,0),0)</f>
        <v/>
      </c>
      <c r="CR23">
        <f>IF(CR$4=1,IF(OR(INDEX('×入力'!$A$1:$L$1300,371+CR$3,2+CR$2)&lt;&gt;"",INDEX('×入力'!$A$1:$L$1300,370,2+CR$2)&lt;&gt;"",INDEX('×入力'!$A$1:$L$1300,371+CR$3,1)&lt;&gt;""),1,0),0)</f>
        <v/>
      </c>
      <c r="CS23">
        <f>IF(CS$4=1,IF(OR(INDEX('×入力'!$A$1:$L$1300,371+CS$3,2+CS$2)&lt;&gt;"",INDEX('×入力'!$A$1:$L$1300,370,2+CS$2)&lt;&gt;"",INDEX('×入力'!$A$1:$L$1300,371+CS$3,1)&lt;&gt;""),1,0),0)</f>
        <v/>
      </c>
      <c r="CT23">
        <f>IF(CT$4=1,IF(OR(INDEX('×入力'!$A$1:$L$1300,371+CT$3,2+CT$2)&lt;&gt;"",INDEX('×入力'!$A$1:$L$1300,370,2+CT$2)&lt;&gt;"",INDEX('×入力'!$A$1:$L$1300,371+CT$3,1)&lt;&gt;""),1,0),0)</f>
        <v/>
      </c>
      <c r="CU23">
        <f>IF(CU$4=1,IF(OR(INDEX('×入力'!$A$1:$L$1300,371+CU$3,2+CU$2)&lt;&gt;"",INDEX('×入力'!$A$1:$L$1300,370,2+CU$2)&lt;&gt;"",INDEX('×入力'!$A$1:$L$1300,371+CU$3,1)&lt;&gt;""),1,0),0)</f>
        <v/>
      </c>
      <c r="CV23">
        <f>IF(CV$4=1,IF(OR(INDEX('×入力'!$A$1:$L$1300,371+CV$3,2+CV$2)&lt;&gt;"",INDEX('×入力'!$A$1:$L$1300,370,2+CV$2)&lt;&gt;"",INDEX('×入力'!$A$1:$L$1300,371+CV$3,1)&lt;&gt;""),1,0),0)</f>
        <v/>
      </c>
      <c r="CW23">
        <f>IF(CW$4=1,IF(OR(INDEX('×入力'!$A$1:$L$1300,371+CW$3,2+CW$2)&lt;&gt;"",INDEX('×入力'!$A$1:$L$1300,370,2+CW$2)&lt;&gt;"",INDEX('×入力'!$A$1:$L$1300,371+CW$3,1)&lt;&gt;""),1,0),0)</f>
        <v/>
      </c>
      <c r="CX23">
        <f>IF(CX$4=1,IF(OR(INDEX('×入力'!$A$1:$L$1300,371+CX$3,2+CX$2)&lt;&gt;"",INDEX('×入力'!$A$1:$L$1300,370,2+CX$2)&lt;&gt;"",INDEX('×入力'!$A$1:$L$1300,371+CX$3,1)&lt;&gt;""),1,0),0)</f>
        <v/>
      </c>
      <c r="CY23">
        <f>IF(CY$4=1,IF(OR(INDEX('×入力'!$A$1:$L$1300,371+CY$3,2+CY$2)&lt;&gt;"",INDEX('×入力'!$A$1:$L$1300,370,2+CY$2)&lt;&gt;"",INDEX('×入力'!$A$1:$L$1300,371+CY$3,1)&lt;&gt;""),1,0),0)</f>
        <v/>
      </c>
      <c r="CZ23">
        <f>IF(CZ$4=1,IF(OR(INDEX('×入力'!$A$1:$L$1300,371+CZ$3,2+CZ$2)&lt;&gt;"",INDEX('×入力'!$A$1:$L$1300,370,2+CZ$2)&lt;&gt;"",INDEX('×入力'!$A$1:$L$1300,371+CZ$3,1)&lt;&gt;""),1,0),0)</f>
        <v/>
      </c>
      <c r="DA23">
        <f>IF(DA$4=1,IF(OR(INDEX('×入力'!$A$1:$L$1300,371+DA$3,2+DA$2)&lt;&gt;"",INDEX('×入力'!$A$1:$L$1300,370,2+DA$2)&lt;&gt;"",INDEX('×入力'!$A$1:$L$1300,371+DA$3,1)&lt;&gt;""),1,0),0)</f>
        <v/>
      </c>
      <c r="DB23">
        <f>IF(DB$4=1,IF(OR(INDEX('×入力'!$A$1:$L$1300,371+DB$3,2+DB$2)&lt;&gt;"",INDEX('×入力'!$A$1:$L$1300,370,2+DB$2)&lt;&gt;"",INDEX('×入力'!$A$1:$L$1300,371+DB$3,1)&lt;&gt;""),1,0),0)</f>
        <v/>
      </c>
      <c r="DC23">
        <f>IF(DC$4=1,IF(OR(INDEX('×入力'!$A$1:$L$1300,371+DC$3,2+DC$2)&lt;&gt;"",INDEX('×入力'!$A$1:$L$1300,370,2+DC$2)&lt;&gt;"",INDEX('×入力'!$A$1:$L$1300,371+DC$3,1)&lt;&gt;""),1,0),0)</f>
        <v/>
      </c>
      <c r="DD23">
        <f>IF(DD$4=1,IF(OR(INDEX('×入力'!$A$1:$L$1300,371+DD$3,2+DD$2)&lt;&gt;"",INDEX('×入力'!$A$1:$L$1300,370,2+DD$2)&lt;&gt;"",INDEX('×入力'!$A$1:$L$1300,371+DD$3,1)&lt;&gt;""),1,0),0)</f>
        <v/>
      </c>
      <c r="DE23">
        <f>IF(DE$4=1,IF(OR(INDEX('×入力'!$A$1:$L$1300,371+DE$3,2+DE$2)&lt;&gt;"",INDEX('×入力'!$A$1:$L$1300,370,2+DE$2)&lt;&gt;"",INDEX('×入力'!$A$1:$L$1300,371+DE$3,1)&lt;&gt;""),1,0),0)</f>
        <v/>
      </c>
      <c r="DF23">
        <f>IF(DF$4=1,IF(OR(INDEX('×入力'!$A$1:$L$1300,371+DF$3,2+DF$2)&lt;&gt;"",INDEX('×入力'!$A$1:$L$1300,370,2+DF$2)&lt;&gt;"",INDEX('×入力'!$A$1:$L$1300,371+DF$3,1)&lt;&gt;""),1,0),0)</f>
        <v/>
      </c>
      <c r="DG23">
        <f>IF(DG$4=1,IF(OR(INDEX('×入力'!$A$1:$L$1300,371+DG$3,2+DG$2)&lt;&gt;"",INDEX('×入力'!$A$1:$L$1300,370,2+DG$2)&lt;&gt;"",INDEX('×入力'!$A$1:$L$1300,371+DG$3,1)&lt;&gt;""),1,0),0)</f>
        <v/>
      </c>
      <c r="DH23">
        <f>IF(DH$4=1,IF(OR(INDEX('×入力'!$A$1:$L$1300,371+DH$3,2+DH$2)&lt;&gt;"",INDEX('×入力'!$A$1:$L$1300,370,2+DH$2)&lt;&gt;"",INDEX('×入力'!$A$1:$L$1300,371+DH$3,1)&lt;&gt;""),1,0),0)</f>
        <v/>
      </c>
      <c r="DI23">
        <f>IF(DI$4=1,IF(OR(INDEX('×入力'!$A$1:$L$1300,371+DI$3,2+DI$2)&lt;&gt;"",INDEX('×入力'!$A$1:$L$1300,370,2+DI$2)&lt;&gt;"",INDEX('×入力'!$A$1:$L$1300,371+DI$3,1)&lt;&gt;""),1,0),0)</f>
        <v/>
      </c>
      <c r="DJ23">
        <f>IF(DJ$4=1,IF(OR(INDEX('×入力'!$A$1:$L$1300,371+DJ$3,2+DJ$2)&lt;&gt;"",INDEX('×入力'!$A$1:$L$1300,370,2+DJ$2)&lt;&gt;"",INDEX('×入力'!$A$1:$L$1300,371+DJ$3,1)&lt;&gt;""),1,0),0)</f>
        <v/>
      </c>
      <c r="DK23">
        <f>IF(DK$4=1,IF(OR(INDEX('×入力'!$A$1:$L$1300,371+DK$3,2+DK$2)&lt;&gt;"",INDEX('×入力'!$A$1:$L$1300,370,2+DK$2)&lt;&gt;"",INDEX('×入力'!$A$1:$L$1300,371+DK$3,1)&lt;&gt;""),1,0),0)</f>
        <v/>
      </c>
      <c r="DL23">
        <f>IF(DL$4=1,IF(OR(INDEX('×入力'!$A$1:$L$1300,371+DL$3,2+DL$2)&lt;&gt;"",INDEX('×入力'!$A$1:$L$1300,370,2+DL$2)&lt;&gt;"",INDEX('×入力'!$A$1:$L$1300,371+DL$3,1)&lt;&gt;""),1,0),0)</f>
        <v/>
      </c>
      <c r="DM23">
        <f>IF(DM$4=1,IF(OR(INDEX('×入力'!$A$1:$L$1300,371+DM$3,2+DM$2)&lt;&gt;"",INDEX('×入力'!$A$1:$L$1300,370,2+DM$2)&lt;&gt;"",INDEX('×入力'!$A$1:$L$1300,371+DM$3,1)&lt;&gt;""),1,0),0)</f>
        <v/>
      </c>
      <c r="DN23">
        <f>IF(DN$4=1,IF(OR(INDEX('×入力'!$A$1:$L$1300,371+DN$3,2+DN$2)&lt;&gt;"",INDEX('×入力'!$A$1:$L$1300,370,2+DN$2)&lt;&gt;"",INDEX('×入力'!$A$1:$L$1300,371+DN$3,1)&lt;&gt;""),1,0),0)</f>
        <v/>
      </c>
      <c r="DO23">
        <f>IF(DO$4=1,IF(OR(INDEX('×入力'!$A$1:$L$1300,371+DO$3,2+DO$2)&lt;&gt;"",INDEX('×入力'!$A$1:$L$1300,370,2+DO$2)&lt;&gt;"",INDEX('×入力'!$A$1:$L$1300,371+DO$3,1)&lt;&gt;""),1,0),0)</f>
        <v/>
      </c>
      <c r="DP23">
        <f>IF(DP$4=1,IF(OR(INDEX('×入力'!$A$1:$L$1300,371+DP$3,2+DP$2)&lt;&gt;"",INDEX('×入力'!$A$1:$L$1300,370,2+DP$2)&lt;&gt;"",INDEX('×入力'!$A$1:$L$1300,371+DP$3,1)&lt;&gt;""),1,0),0)</f>
        <v/>
      </c>
      <c r="DQ23">
        <f>IF(DQ$4=1,IF(OR(INDEX('×入力'!$A$1:$L$1300,371+DQ$3,2+DQ$2)&lt;&gt;"",INDEX('×入力'!$A$1:$L$1300,370,2+DQ$2)&lt;&gt;"",INDEX('×入力'!$A$1:$L$1300,371+DQ$3,1)&lt;&gt;""),1,0),0)</f>
        <v/>
      </c>
      <c r="DR23">
        <f>IF(DR$4=1,IF(OR(INDEX('×入力'!$A$1:$L$1300,371+DR$3,2+DR$2)&lt;&gt;"",INDEX('×入力'!$A$1:$L$1300,370,2+DR$2)&lt;&gt;"",INDEX('×入力'!$A$1:$L$1300,371+DR$3,1)&lt;&gt;""),1,0),0)</f>
        <v/>
      </c>
      <c r="DS23">
        <f>IF(DS$4=1,IF(OR(INDEX('×入力'!$A$1:$L$1300,371+DS$3,2+DS$2)&lt;&gt;"",INDEX('×入力'!$A$1:$L$1300,370,2+DS$2)&lt;&gt;"",INDEX('×入力'!$A$1:$L$1300,371+DS$3,1)&lt;&gt;""),1,0),0)</f>
        <v/>
      </c>
      <c r="DT23">
        <f>IF(DT$4=1,IF(OR(INDEX('×入力'!$A$1:$L$1300,371+DT$3,2+DT$2)&lt;&gt;"",INDEX('×入力'!$A$1:$L$1300,370,2+DT$2)&lt;&gt;"",INDEX('×入力'!$A$1:$L$1300,371+DT$3,1)&lt;&gt;""),1,0),0)</f>
        <v/>
      </c>
      <c r="DU23">
        <f>IF(DU$4=1,IF(OR(INDEX('×入力'!$A$1:$L$1300,371+DU$3,2+DU$2)&lt;&gt;"",INDEX('×入力'!$A$1:$L$1300,370,2+DU$2)&lt;&gt;"",INDEX('×入力'!$A$1:$L$1300,371+DU$3,1)&lt;&gt;""),1,0),0)</f>
        <v/>
      </c>
      <c r="DV23">
        <f>IF(DV$4=1,IF(OR(INDEX('×入力'!$A$1:$L$1300,371+DV$3,2+DV$2)&lt;&gt;"",INDEX('×入力'!$A$1:$L$1300,370,2+DV$2)&lt;&gt;"",INDEX('×入力'!$A$1:$L$1300,371+DV$3,1)&lt;&gt;""),1,0),0)</f>
        <v/>
      </c>
      <c r="DW23">
        <f>IF(DW$4=1,IF(OR(INDEX('×入力'!$A$1:$L$1300,371+DW$3,2+DW$2)&lt;&gt;"",INDEX('×入力'!$A$1:$L$1300,370,2+DW$2)&lt;&gt;"",INDEX('×入力'!$A$1:$L$1300,371+DW$3,1)&lt;&gt;""),1,0),0)</f>
        <v/>
      </c>
      <c r="DX23">
        <f>IF(DX$4=1,IF(OR(INDEX('×入力'!$A$1:$L$1300,371+DX$3,2+DX$2)&lt;&gt;"",INDEX('×入力'!$A$1:$L$1300,370,2+DX$2)&lt;&gt;"",INDEX('×入力'!$A$1:$L$1300,371+DX$3,1)&lt;&gt;""),1,0),0)</f>
        <v/>
      </c>
      <c r="DY23">
        <f>IF(DY$4=1,IF(OR(INDEX('×入力'!$A$1:$L$1300,371+DY$3,2+DY$2)&lt;&gt;"",INDEX('×入力'!$A$1:$L$1300,370,2+DY$2)&lt;&gt;"",INDEX('×入力'!$A$1:$L$1300,371+DY$3,1)&lt;&gt;""),1,0),0)</f>
        <v/>
      </c>
      <c r="DZ23">
        <f>IF(DZ$4=1,IF(OR(INDEX('×入力'!$A$1:$L$1300,371+DZ$3,2+DZ$2)&lt;&gt;"",INDEX('×入力'!$A$1:$L$1300,370,2+DZ$2)&lt;&gt;"",INDEX('×入力'!$A$1:$L$1300,371+DZ$3,1)&lt;&gt;""),1,0),0)</f>
        <v/>
      </c>
      <c r="EA23">
        <f>IF(EA$4=1,IF(OR(INDEX('×入力'!$A$1:$L$1300,371+EA$3,2+EA$2)&lt;&gt;"",INDEX('×入力'!$A$1:$L$1300,370,2+EA$2)&lt;&gt;"",INDEX('×入力'!$A$1:$L$1300,371+EA$3,1)&lt;&gt;""),1,0),0)</f>
        <v/>
      </c>
      <c r="EB23">
        <f>IF(EB$4=1,IF(OR(INDEX('×入力'!$A$1:$L$1300,371+EB$3,2+EB$2)&lt;&gt;"",INDEX('×入力'!$A$1:$L$1300,370,2+EB$2)&lt;&gt;"",INDEX('×入力'!$A$1:$L$1300,371+EB$3,1)&lt;&gt;""),1,0),0)</f>
        <v/>
      </c>
      <c r="EC23">
        <f>IF(EC$4=1,IF(OR(INDEX('×入力'!$A$1:$L$1300,371+EC$3,2+EC$2)&lt;&gt;"",INDEX('×入力'!$A$1:$L$1300,370,2+EC$2)&lt;&gt;"",INDEX('×入力'!$A$1:$L$1300,371+EC$3,1)&lt;&gt;""),1,0),0)</f>
        <v/>
      </c>
      <c r="ED23">
        <f>IF(ED$4=1,IF(OR(INDEX('×入力'!$A$1:$L$1300,371+ED$3,2+ED$2)&lt;&gt;"",INDEX('×入力'!$A$1:$L$1300,370,2+ED$2)&lt;&gt;"",INDEX('×入力'!$A$1:$L$1300,371+ED$3,1)&lt;&gt;""),1,0),0)</f>
        <v/>
      </c>
      <c r="EE23">
        <f>IF(EE$4=1,IF(OR(INDEX('×入力'!$A$1:$L$1300,371+EE$3,2+EE$2)&lt;&gt;"",INDEX('×入力'!$A$1:$L$1300,370,2+EE$2)&lt;&gt;"",INDEX('×入力'!$A$1:$L$1300,371+EE$3,1)&lt;&gt;""),1,0),0)</f>
        <v/>
      </c>
      <c r="EF23">
        <f>IF(EF$4=1,IF(OR(INDEX('×入力'!$A$1:$L$1300,371+EF$3,2+EF$2)&lt;&gt;"",INDEX('×入力'!$A$1:$L$1300,370,2+EF$2)&lt;&gt;"",INDEX('×入力'!$A$1:$L$1300,371+EF$3,1)&lt;&gt;""),1,0),0)</f>
        <v/>
      </c>
      <c r="EG23">
        <f>IF(EG$4=1,IF(OR(INDEX('×入力'!$A$1:$L$1300,371+EG$3,2+EG$2)&lt;&gt;"",INDEX('×入力'!$A$1:$L$1300,370,2+EG$2)&lt;&gt;"",INDEX('×入力'!$A$1:$L$1300,371+EG$3,1)&lt;&gt;""),1,0),0)</f>
        <v/>
      </c>
      <c r="EH23">
        <f>IF(EH$4=1,IF(OR(INDEX('×入力'!$A$1:$L$1300,371+EH$3,2+EH$2)&lt;&gt;"",INDEX('×入力'!$A$1:$L$1300,370,2+EH$2)&lt;&gt;"",INDEX('×入力'!$A$1:$L$1300,371+EH$3,1)&lt;&gt;""),1,0),0)</f>
        <v/>
      </c>
      <c r="EI23">
        <f>IF(EI$4=1,IF(OR(INDEX('×入力'!$A$1:$L$1300,371+EI$3,2+EI$2)&lt;&gt;"",INDEX('×入力'!$A$1:$L$1300,370,2+EI$2)&lt;&gt;"",INDEX('×入力'!$A$1:$L$1300,371+EI$3,1)&lt;&gt;""),1,0),0)</f>
        <v/>
      </c>
      <c r="EJ23">
        <f>IF(EJ$4=1,IF(OR(INDEX('×入力'!$A$1:$L$1300,371+EJ$3,2+EJ$2)&lt;&gt;"",INDEX('×入力'!$A$1:$L$1300,370,2+EJ$2)&lt;&gt;"",INDEX('×入力'!$A$1:$L$1300,371+EJ$3,1)&lt;&gt;""),1,0),0)</f>
        <v/>
      </c>
      <c r="EK23">
        <f>IF(EK$4=1,IF(OR(INDEX('×入力'!$A$1:$L$1300,371+EK$3,2+EK$2)&lt;&gt;"",INDEX('×入力'!$A$1:$L$1300,370,2+EK$2)&lt;&gt;"",INDEX('×入力'!$A$1:$L$1300,371+EK$3,1)&lt;&gt;""),1,0),0)</f>
        <v/>
      </c>
      <c r="EL23">
        <f>IF(EL$4=1,IF(OR(INDEX('×入力'!$A$1:$L$1300,371+EL$3,2+EL$2)&lt;&gt;"",INDEX('×入力'!$A$1:$L$1300,370,2+EL$2)&lt;&gt;"",INDEX('×入力'!$A$1:$L$1300,371+EL$3,1)&lt;&gt;""),1,0),0)</f>
        <v/>
      </c>
      <c r="EM23">
        <f>IF(EM$4=1,IF(OR(INDEX('×入力'!$A$1:$L$1300,371+EM$3,2+EM$2)&lt;&gt;"",INDEX('×入力'!$A$1:$L$1300,370,2+EM$2)&lt;&gt;"",INDEX('×入力'!$A$1:$L$1300,371+EM$3,1)&lt;&gt;""),1,0),0)</f>
        <v/>
      </c>
      <c r="EN23">
        <f>IF(EN$4=1,IF(OR(INDEX('×入力'!$A$1:$L$1300,371+EN$3,2+EN$2)&lt;&gt;"",INDEX('×入力'!$A$1:$L$1300,370,2+EN$2)&lt;&gt;"",INDEX('×入力'!$A$1:$L$1300,371+EN$3,1)&lt;&gt;""),1,0),0)</f>
        <v/>
      </c>
      <c r="EO23">
        <f>IF(EO$4=1,IF(OR(INDEX('×入力'!$A$1:$L$1300,371+EO$3,2+EO$2)&lt;&gt;"",INDEX('×入力'!$A$1:$L$1300,370,2+EO$2)&lt;&gt;"",INDEX('×入力'!$A$1:$L$1300,371+EO$3,1)&lt;&gt;""),1,0),0)</f>
        <v/>
      </c>
      <c r="EP23">
        <f>IF(EP$4=1,IF(OR(INDEX('×入力'!$A$1:$L$1300,371+EP$3,2+EP$2)&lt;&gt;"",INDEX('×入力'!$A$1:$L$1300,370,2+EP$2)&lt;&gt;"",INDEX('×入力'!$A$1:$L$1300,371+EP$3,1)&lt;&gt;""),1,0),0)</f>
        <v/>
      </c>
      <c r="EQ23">
        <f>IF(EQ$4=1,IF(OR(INDEX('×入力'!$A$1:$L$1300,371+EQ$3,2+EQ$2)&lt;&gt;"",INDEX('×入力'!$A$1:$L$1300,370,2+EQ$2)&lt;&gt;"",INDEX('×入力'!$A$1:$L$1300,371+EQ$3,1)&lt;&gt;""),1,0),0)</f>
        <v/>
      </c>
      <c r="HA23">
        <f>MAX(0,IT23)</f>
        <v/>
      </c>
      <c r="HB23">
        <f>IF(HA23=0,0,INDEX($D$2:$EQ$2,HA23))</f>
        <v/>
      </c>
      <c r="HC23">
        <f>IF(HA23=0,0,INDEX($D$3:$EQ$3,HA23))</f>
        <v/>
      </c>
      <c r="HD23">
        <f>MAX(0,IY23)</f>
        <v/>
      </c>
      <c r="HE23">
        <f>IF(HD23=0,0,INDEX($D$2:$EQ$2,HD23))</f>
        <v/>
      </c>
      <c r="HF23">
        <f>IF(HD23=0,0,INDEX($D$3:$EQ$3,HD23))</f>
        <v/>
      </c>
      <c r="HG23">
        <f>MAX(0,IZ23)</f>
        <v/>
      </c>
      <c r="HH23">
        <f>IF(HG23=0,0,INDEX($D$2:$EQ$2,HG23))</f>
        <v/>
      </c>
      <c r="HI23">
        <f>IF(HG23=0,0,INDEX($D$3:$EQ$3,HG23))</f>
        <v/>
      </c>
      <c r="HJ23">
        <f>IF(AND(HA23&gt;0,HC23&gt;1,OR(HC23-1&lt;&gt;$A$3,$A$4=0)),HA23-1,-1)</f>
        <v/>
      </c>
      <c r="HK23">
        <f>IF(AND(HA23&gt;0,HC23&lt;24,OR(HC23&lt;&gt;$A$3,$A$4=0)),HA23+1,-1)</f>
        <v/>
      </c>
      <c r="HL23">
        <f>IF(AND(HD23&gt;0,HF23&gt;1,OR(HF23-1&lt;&gt;$A$3,$A$4=0)),HD23-1,-1)</f>
        <v/>
      </c>
      <c r="HM23">
        <f>IF(AND(HD23&gt;0,HF23&lt;24,OR(HF23&lt;&gt;$A$3,$A$4=0)),HD23+1,-1)</f>
        <v/>
      </c>
      <c r="HN23">
        <f>IF(AND(HG23&gt;0,HI23&gt;1,OR(HI23-1&lt;&gt;$A$3,$A$4=0)),HG23-1,-1)</f>
        <v/>
      </c>
      <c r="HO23">
        <f>IF(AND(HG23&gt;0,HI23&lt;24,OR(HI23&lt;&gt;$A$3,$A$4=0)),HG23+1,-1)</f>
        <v/>
      </c>
      <c r="IK23">
        <f>IFERROR(INDEX('calcB'!$C$3:$C$47,MATCH(A23,'calcB'!$B$3:$B$47,0)),0)</f>
        <v/>
      </c>
      <c r="IL23">
        <f>IF(AND(C23=1,IK23=0,calcA!$A$6=1),1,0)</f>
        <v/>
      </c>
      <c r="IM23">
        <f>SUMPRODUCT(D73:EQ73*(1-$D$7:$EQ$7))</f>
        <v/>
      </c>
      <c r="IN23">
        <f>SUM(D23:EQ23)</f>
        <v/>
      </c>
      <c r="IO23">
        <f>IF(B23="",0,IF(COUNTIF('調整・決定'!$C$6:$H$29,B23)=1,SUMPRODUCT(('調整・決定'!$C$6:$H$29=B23)*((COLUMN('調整・決定'!$C$6:$H$29)-3)*24+ROW('調整・決定'!$C$6:$H$29)-5)),0))</f>
        <v/>
      </c>
      <c r="IP23">
        <f>IFERROR(MATCH('名簿'!C18,{"早い時刻","遅い時刻","早い日","遅い日"},0),0)</f>
        <v/>
      </c>
      <c r="IQ23">
        <f>IF('名簿'!D18="必ず空けたい",2,IF('名簿'!D18="出来れば空けたい",1,0))</f>
        <v/>
      </c>
      <c r="IR23">
        <f>IFERROR(INDEX('calcC'!$C$3:$C$47,MATCH(A23,'calcC'!$B$3:$B$47,0)),0)</f>
        <v/>
      </c>
      <c r="IS23">
        <f>IF(AND(C23=1,IR23=0,calcA!$A$6=1),1,0)</f>
        <v/>
      </c>
      <c r="IT23">
        <f>IF(OR('名簿'!G18="",'名簿'!H18=""),0,IFERROR((MATCH('名簿'!G18,'設定'!$E$11:$E$16,0)-1)*24+MATCH('名簿'!H18,'設定'!$I$11:$I$34,0),-1))</f>
        <v/>
      </c>
      <c r="IV23">
        <f>IF(OR(JF23=0,IO23=0),1,IF(OR(IF(IT23&gt;0,AND(INDEX($D$2:$EQ$2,IO23)=INDEX($D$2:$EQ$2,IT23),OR(AND(IO23=IT23+1,OR(INDEX($D$3:$EQ$3,IT23)&lt;&gt;$A$3,$A$4=0)),AND(IO23=IT23-1,OR(INDEX($D$3:$EQ$3,IO23)&lt;&gt;$A$3,$A$4=0)))),FALSE),IF(IY23&gt;0,AND(INDEX($D$2:$EQ$2,IO23)=INDEX($D$2:$EQ$2,IY23),OR(AND(IO23=IY23+1,OR(INDEX($D$3:$EQ$3,IY23)&lt;&gt;$A$3,$A$4=0)),AND(IO23=IY23-1,OR(INDEX($D$3:$EQ$3,IO23)&lt;&gt;$A$3,$A$4=0)))),FALSE),IF(IZ23&gt;0,AND(INDEX($D$2:$EQ$2,IO23)=INDEX($D$2:$EQ$2,IZ23),OR(AND(IO23=IZ23+1,OR(INDEX($D$3:$EQ$3,IZ23)&lt;&gt;$A$3,$A$4=0)),AND(IO23=IZ23-1,OR(INDEX($D$3:$EQ$3,IO23)&lt;&gt;$A$3,$A$4=0)))),FALSE)),1,0))</f>
        <v/>
      </c>
      <c r="IW23">
        <f>IF(AND('名簿'!E18&lt;&gt;"",JF23=0),1,0)</f>
        <v/>
      </c>
      <c r="IX23">
        <f>IF('名簿'!D18="空けない",1,0)</f>
        <v/>
      </c>
      <c r="IY23">
        <f>IF(OR('名簿'!J18="",'名簿'!K18=""),0,IFERROR((MATCH('名簿'!J18,'設定'!$E$11:$E$16,0)-1)*24+MATCH('名簿'!K18,'設定'!$I$11:$I$34,0),-1))</f>
        <v/>
      </c>
      <c r="IZ23">
        <f>IF(OR('名簿'!M18="",'名簿'!N18=""),0,IFERROR((MATCH('名簿'!M18,'設定'!$E$11:$E$16,0)-1)*24+MATCH('名簿'!N18,'設定'!$I$11:$I$34,0),-1))</f>
        <v/>
      </c>
      <c r="JC23">
        <f>IF(RIGHT('名簿'!I18,2)="の前",1,IF(RIGHT('名簿'!I18,2)="の後",2,0))</f>
        <v/>
      </c>
      <c r="JD23">
        <f>IF(RIGHT('名簿'!L18,2)="の前",1,IF(RIGHT('名簿'!L18,2)="の後",2,0))</f>
        <v/>
      </c>
      <c r="JE23">
        <f>IF(RIGHT('名簿'!O18,2)="の前",1,IF(RIGHT('名簿'!O18,2)="の後",2,0))</f>
        <v/>
      </c>
      <c r="JF23">
        <f>IF(OR(IT23&gt;0,IY23&gt;0,IZ23&gt;0),1,0)</f>
        <v/>
      </c>
      <c r="JG23">
        <f>IF(OR(IT23&lt;0,IY23&lt;0,IZ23&lt;0),1,0)</f>
        <v/>
      </c>
    </row>
    <row r="24">
      <c r="A24" t="n">
        <v>15</v>
      </c>
      <c r="B24">
        <f>'名簿'!P19</f>
        <v/>
      </c>
      <c r="C24">
        <f>IF(AND(B24&lt;&gt;"",OR('名簿'!Q19="入力済み",'名簿'!Q19="×なし"),IO24=0,COUNTIF('調整・決定'!$C$6:$H$29,B24)=0),1,0)</f>
        <v/>
      </c>
      <c r="D24">
        <f>IF(D$4=1,IF(OR(INDEX('×入力'!$A$1:$L$1300,399+D$3,2+D$2)&lt;&gt;"",INDEX('×入力'!$A$1:$L$1300,398,2+D$2)&lt;&gt;"",INDEX('×入力'!$A$1:$L$1300,399+D$3,1)&lt;&gt;""),1,0),0)</f>
        <v/>
      </c>
      <c r="E24">
        <f>IF(E$4=1,IF(OR(INDEX('×入力'!$A$1:$L$1300,399+E$3,2+E$2)&lt;&gt;"",INDEX('×入力'!$A$1:$L$1300,398,2+E$2)&lt;&gt;"",INDEX('×入力'!$A$1:$L$1300,399+E$3,1)&lt;&gt;""),1,0),0)</f>
        <v/>
      </c>
      <c r="F24">
        <f>IF(F$4=1,IF(OR(INDEX('×入力'!$A$1:$L$1300,399+F$3,2+F$2)&lt;&gt;"",INDEX('×入力'!$A$1:$L$1300,398,2+F$2)&lt;&gt;"",INDEX('×入力'!$A$1:$L$1300,399+F$3,1)&lt;&gt;""),1,0),0)</f>
        <v/>
      </c>
      <c r="G24">
        <f>IF(G$4=1,IF(OR(INDEX('×入力'!$A$1:$L$1300,399+G$3,2+G$2)&lt;&gt;"",INDEX('×入力'!$A$1:$L$1300,398,2+G$2)&lt;&gt;"",INDEX('×入力'!$A$1:$L$1300,399+G$3,1)&lt;&gt;""),1,0),0)</f>
        <v/>
      </c>
      <c r="H24">
        <f>IF(H$4=1,IF(OR(INDEX('×入力'!$A$1:$L$1300,399+H$3,2+H$2)&lt;&gt;"",INDEX('×入力'!$A$1:$L$1300,398,2+H$2)&lt;&gt;"",INDEX('×入力'!$A$1:$L$1300,399+H$3,1)&lt;&gt;""),1,0),0)</f>
        <v/>
      </c>
      <c r="I24">
        <f>IF(I$4=1,IF(OR(INDEX('×入力'!$A$1:$L$1300,399+I$3,2+I$2)&lt;&gt;"",INDEX('×入力'!$A$1:$L$1300,398,2+I$2)&lt;&gt;"",INDEX('×入力'!$A$1:$L$1300,399+I$3,1)&lt;&gt;""),1,0),0)</f>
        <v/>
      </c>
      <c r="J24">
        <f>IF(J$4=1,IF(OR(INDEX('×入力'!$A$1:$L$1300,399+J$3,2+J$2)&lt;&gt;"",INDEX('×入力'!$A$1:$L$1300,398,2+J$2)&lt;&gt;"",INDEX('×入力'!$A$1:$L$1300,399+J$3,1)&lt;&gt;""),1,0),0)</f>
        <v/>
      </c>
      <c r="K24">
        <f>IF(K$4=1,IF(OR(INDEX('×入力'!$A$1:$L$1300,399+K$3,2+K$2)&lt;&gt;"",INDEX('×入力'!$A$1:$L$1300,398,2+K$2)&lt;&gt;"",INDEX('×入力'!$A$1:$L$1300,399+K$3,1)&lt;&gt;""),1,0),0)</f>
        <v/>
      </c>
      <c r="L24">
        <f>IF(L$4=1,IF(OR(INDEX('×入力'!$A$1:$L$1300,399+L$3,2+L$2)&lt;&gt;"",INDEX('×入力'!$A$1:$L$1300,398,2+L$2)&lt;&gt;"",INDEX('×入力'!$A$1:$L$1300,399+L$3,1)&lt;&gt;""),1,0),0)</f>
        <v/>
      </c>
      <c r="M24">
        <f>IF(M$4=1,IF(OR(INDEX('×入力'!$A$1:$L$1300,399+M$3,2+M$2)&lt;&gt;"",INDEX('×入力'!$A$1:$L$1300,398,2+M$2)&lt;&gt;"",INDEX('×入力'!$A$1:$L$1300,399+M$3,1)&lt;&gt;""),1,0),0)</f>
        <v/>
      </c>
      <c r="N24">
        <f>IF(N$4=1,IF(OR(INDEX('×入力'!$A$1:$L$1300,399+N$3,2+N$2)&lt;&gt;"",INDEX('×入力'!$A$1:$L$1300,398,2+N$2)&lt;&gt;"",INDEX('×入力'!$A$1:$L$1300,399+N$3,1)&lt;&gt;""),1,0),0)</f>
        <v/>
      </c>
      <c r="O24">
        <f>IF(O$4=1,IF(OR(INDEX('×入力'!$A$1:$L$1300,399+O$3,2+O$2)&lt;&gt;"",INDEX('×入力'!$A$1:$L$1300,398,2+O$2)&lt;&gt;"",INDEX('×入力'!$A$1:$L$1300,399+O$3,1)&lt;&gt;""),1,0),0)</f>
        <v/>
      </c>
      <c r="P24">
        <f>IF(P$4=1,IF(OR(INDEX('×入力'!$A$1:$L$1300,399+P$3,2+P$2)&lt;&gt;"",INDEX('×入力'!$A$1:$L$1300,398,2+P$2)&lt;&gt;"",INDEX('×入力'!$A$1:$L$1300,399+P$3,1)&lt;&gt;""),1,0),0)</f>
        <v/>
      </c>
      <c r="Q24">
        <f>IF(Q$4=1,IF(OR(INDEX('×入力'!$A$1:$L$1300,399+Q$3,2+Q$2)&lt;&gt;"",INDEX('×入力'!$A$1:$L$1300,398,2+Q$2)&lt;&gt;"",INDEX('×入力'!$A$1:$L$1300,399+Q$3,1)&lt;&gt;""),1,0),0)</f>
        <v/>
      </c>
      <c r="R24">
        <f>IF(R$4=1,IF(OR(INDEX('×入力'!$A$1:$L$1300,399+R$3,2+R$2)&lt;&gt;"",INDEX('×入力'!$A$1:$L$1300,398,2+R$2)&lt;&gt;"",INDEX('×入力'!$A$1:$L$1300,399+R$3,1)&lt;&gt;""),1,0),0)</f>
        <v/>
      </c>
      <c r="S24">
        <f>IF(S$4=1,IF(OR(INDEX('×入力'!$A$1:$L$1300,399+S$3,2+S$2)&lt;&gt;"",INDEX('×入力'!$A$1:$L$1300,398,2+S$2)&lt;&gt;"",INDEX('×入力'!$A$1:$L$1300,399+S$3,1)&lt;&gt;""),1,0),0)</f>
        <v/>
      </c>
      <c r="T24">
        <f>IF(T$4=1,IF(OR(INDEX('×入力'!$A$1:$L$1300,399+T$3,2+T$2)&lt;&gt;"",INDEX('×入力'!$A$1:$L$1300,398,2+T$2)&lt;&gt;"",INDEX('×入力'!$A$1:$L$1300,399+T$3,1)&lt;&gt;""),1,0),0)</f>
        <v/>
      </c>
      <c r="U24">
        <f>IF(U$4=1,IF(OR(INDEX('×入力'!$A$1:$L$1300,399+U$3,2+U$2)&lt;&gt;"",INDEX('×入力'!$A$1:$L$1300,398,2+U$2)&lt;&gt;"",INDEX('×入力'!$A$1:$L$1300,399+U$3,1)&lt;&gt;""),1,0),0)</f>
        <v/>
      </c>
      <c r="V24">
        <f>IF(V$4=1,IF(OR(INDEX('×入力'!$A$1:$L$1300,399+V$3,2+V$2)&lt;&gt;"",INDEX('×入力'!$A$1:$L$1300,398,2+V$2)&lt;&gt;"",INDEX('×入力'!$A$1:$L$1300,399+V$3,1)&lt;&gt;""),1,0),0)</f>
        <v/>
      </c>
      <c r="W24">
        <f>IF(W$4=1,IF(OR(INDEX('×入力'!$A$1:$L$1300,399+W$3,2+W$2)&lt;&gt;"",INDEX('×入力'!$A$1:$L$1300,398,2+W$2)&lt;&gt;"",INDEX('×入力'!$A$1:$L$1300,399+W$3,1)&lt;&gt;""),1,0),0)</f>
        <v/>
      </c>
      <c r="X24">
        <f>IF(X$4=1,IF(OR(INDEX('×入力'!$A$1:$L$1300,399+X$3,2+X$2)&lt;&gt;"",INDEX('×入力'!$A$1:$L$1300,398,2+X$2)&lt;&gt;"",INDEX('×入力'!$A$1:$L$1300,399+X$3,1)&lt;&gt;""),1,0),0)</f>
        <v/>
      </c>
      <c r="Y24">
        <f>IF(Y$4=1,IF(OR(INDEX('×入力'!$A$1:$L$1300,399+Y$3,2+Y$2)&lt;&gt;"",INDEX('×入力'!$A$1:$L$1300,398,2+Y$2)&lt;&gt;"",INDEX('×入力'!$A$1:$L$1300,399+Y$3,1)&lt;&gt;""),1,0),0)</f>
        <v/>
      </c>
      <c r="Z24">
        <f>IF(Z$4=1,IF(OR(INDEX('×入力'!$A$1:$L$1300,399+Z$3,2+Z$2)&lt;&gt;"",INDEX('×入力'!$A$1:$L$1300,398,2+Z$2)&lt;&gt;"",INDEX('×入力'!$A$1:$L$1300,399+Z$3,1)&lt;&gt;""),1,0),0)</f>
        <v/>
      </c>
      <c r="AA24">
        <f>IF(AA$4=1,IF(OR(INDEX('×入力'!$A$1:$L$1300,399+AA$3,2+AA$2)&lt;&gt;"",INDEX('×入力'!$A$1:$L$1300,398,2+AA$2)&lt;&gt;"",INDEX('×入力'!$A$1:$L$1300,399+AA$3,1)&lt;&gt;""),1,0),0)</f>
        <v/>
      </c>
      <c r="AB24">
        <f>IF(AB$4=1,IF(OR(INDEX('×入力'!$A$1:$L$1300,399+AB$3,2+AB$2)&lt;&gt;"",INDEX('×入力'!$A$1:$L$1300,398,2+AB$2)&lt;&gt;"",INDEX('×入力'!$A$1:$L$1300,399+AB$3,1)&lt;&gt;""),1,0),0)</f>
        <v/>
      </c>
      <c r="AC24">
        <f>IF(AC$4=1,IF(OR(INDEX('×入力'!$A$1:$L$1300,399+AC$3,2+AC$2)&lt;&gt;"",INDEX('×入力'!$A$1:$L$1300,398,2+AC$2)&lt;&gt;"",INDEX('×入力'!$A$1:$L$1300,399+AC$3,1)&lt;&gt;""),1,0),0)</f>
        <v/>
      </c>
      <c r="AD24">
        <f>IF(AD$4=1,IF(OR(INDEX('×入力'!$A$1:$L$1300,399+AD$3,2+AD$2)&lt;&gt;"",INDEX('×入力'!$A$1:$L$1300,398,2+AD$2)&lt;&gt;"",INDEX('×入力'!$A$1:$L$1300,399+AD$3,1)&lt;&gt;""),1,0),0)</f>
        <v/>
      </c>
      <c r="AE24">
        <f>IF(AE$4=1,IF(OR(INDEX('×入力'!$A$1:$L$1300,399+AE$3,2+AE$2)&lt;&gt;"",INDEX('×入力'!$A$1:$L$1300,398,2+AE$2)&lt;&gt;"",INDEX('×入力'!$A$1:$L$1300,399+AE$3,1)&lt;&gt;""),1,0),0)</f>
        <v/>
      </c>
      <c r="AF24">
        <f>IF(AF$4=1,IF(OR(INDEX('×入力'!$A$1:$L$1300,399+AF$3,2+AF$2)&lt;&gt;"",INDEX('×入力'!$A$1:$L$1300,398,2+AF$2)&lt;&gt;"",INDEX('×入力'!$A$1:$L$1300,399+AF$3,1)&lt;&gt;""),1,0),0)</f>
        <v/>
      </c>
      <c r="AG24">
        <f>IF(AG$4=1,IF(OR(INDEX('×入力'!$A$1:$L$1300,399+AG$3,2+AG$2)&lt;&gt;"",INDEX('×入力'!$A$1:$L$1300,398,2+AG$2)&lt;&gt;"",INDEX('×入力'!$A$1:$L$1300,399+AG$3,1)&lt;&gt;""),1,0),0)</f>
        <v/>
      </c>
      <c r="AH24">
        <f>IF(AH$4=1,IF(OR(INDEX('×入力'!$A$1:$L$1300,399+AH$3,2+AH$2)&lt;&gt;"",INDEX('×入力'!$A$1:$L$1300,398,2+AH$2)&lt;&gt;"",INDEX('×入力'!$A$1:$L$1300,399+AH$3,1)&lt;&gt;""),1,0),0)</f>
        <v/>
      </c>
      <c r="AI24">
        <f>IF(AI$4=1,IF(OR(INDEX('×入力'!$A$1:$L$1300,399+AI$3,2+AI$2)&lt;&gt;"",INDEX('×入力'!$A$1:$L$1300,398,2+AI$2)&lt;&gt;"",INDEX('×入力'!$A$1:$L$1300,399+AI$3,1)&lt;&gt;""),1,0),0)</f>
        <v/>
      </c>
      <c r="AJ24">
        <f>IF(AJ$4=1,IF(OR(INDEX('×入力'!$A$1:$L$1300,399+AJ$3,2+AJ$2)&lt;&gt;"",INDEX('×入力'!$A$1:$L$1300,398,2+AJ$2)&lt;&gt;"",INDEX('×入力'!$A$1:$L$1300,399+AJ$3,1)&lt;&gt;""),1,0),0)</f>
        <v/>
      </c>
      <c r="AK24">
        <f>IF(AK$4=1,IF(OR(INDEX('×入力'!$A$1:$L$1300,399+AK$3,2+AK$2)&lt;&gt;"",INDEX('×入力'!$A$1:$L$1300,398,2+AK$2)&lt;&gt;"",INDEX('×入力'!$A$1:$L$1300,399+AK$3,1)&lt;&gt;""),1,0),0)</f>
        <v/>
      </c>
      <c r="AL24">
        <f>IF(AL$4=1,IF(OR(INDEX('×入力'!$A$1:$L$1300,399+AL$3,2+AL$2)&lt;&gt;"",INDEX('×入力'!$A$1:$L$1300,398,2+AL$2)&lt;&gt;"",INDEX('×入力'!$A$1:$L$1300,399+AL$3,1)&lt;&gt;""),1,0),0)</f>
        <v/>
      </c>
      <c r="AM24">
        <f>IF(AM$4=1,IF(OR(INDEX('×入力'!$A$1:$L$1300,399+AM$3,2+AM$2)&lt;&gt;"",INDEX('×入力'!$A$1:$L$1300,398,2+AM$2)&lt;&gt;"",INDEX('×入力'!$A$1:$L$1300,399+AM$3,1)&lt;&gt;""),1,0),0)</f>
        <v/>
      </c>
      <c r="AN24">
        <f>IF(AN$4=1,IF(OR(INDEX('×入力'!$A$1:$L$1300,399+AN$3,2+AN$2)&lt;&gt;"",INDEX('×入力'!$A$1:$L$1300,398,2+AN$2)&lt;&gt;"",INDEX('×入力'!$A$1:$L$1300,399+AN$3,1)&lt;&gt;""),1,0),0)</f>
        <v/>
      </c>
      <c r="AO24">
        <f>IF(AO$4=1,IF(OR(INDEX('×入力'!$A$1:$L$1300,399+AO$3,2+AO$2)&lt;&gt;"",INDEX('×入力'!$A$1:$L$1300,398,2+AO$2)&lt;&gt;"",INDEX('×入力'!$A$1:$L$1300,399+AO$3,1)&lt;&gt;""),1,0),0)</f>
        <v/>
      </c>
      <c r="AP24">
        <f>IF(AP$4=1,IF(OR(INDEX('×入力'!$A$1:$L$1300,399+AP$3,2+AP$2)&lt;&gt;"",INDEX('×入力'!$A$1:$L$1300,398,2+AP$2)&lt;&gt;"",INDEX('×入力'!$A$1:$L$1300,399+AP$3,1)&lt;&gt;""),1,0),0)</f>
        <v/>
      </c>
      <c r="AQ24">
        <f>IF(AQ$4=1,IF(OR(INDEX('×入力'!$A$1:$L$1300,399+AQ$3,2+AQ$2)&lt;&gt;"",INDEX('×入力'!$A$1:$L$1300,398,2+AQ$2)&lt;&gt;"",INDEX('×入力'!$A$1:$L$1300,399+AQ$3,1)&lt;&gt;""),1,0),0)</f>
        <v/>
      </c>
      <c r="AR24">
        <f>IF(AR$4=1,IF(OR(INDEX('×入力'!$A$1:$L$1300,399+AR$3,2+AR$2)&lt;&gt;"",INDEX('×入力'!$A$1:$L$1300,398,2+AR$2)&lt;&gt;"",INDEX('×入力'!$A$1:$L$1300,399+AR$3,1)&lt;&gt;""),1,0),0)</f>
        <v/>
      </c>
      <c r="AS24">
        <f>IF(AS$4=1,IF(OR(INDEX('×入力'!$A$1:$L$1300,399+AS$3,2+AS$2)&lt;&gt;"",INDEX('×入力'!$A$1:$L$1300,398,2+AS$2)&lt;&gt;"",INDEX('×入力'!$A$1:$L$1300,399+AS$3,1)&lt;&gt;""),1,0),0)</f>
        <v/>
      </c>
      <c r="AT24">
        <f>IF(AT$4=1,IF(OR(INDEX('×入力'!$A$1:$L$1300,399+AT$3,2+AT$2)&lt;&gt;"",INDEX('×入力'!$A$1:$L$1300,398,2+AT$2)&lt;&gt;"",INDEX('×入力'!$A$1:$L$1300,399+AT$3,1)&lt;&gt;""),1,0),0)</f>
        <v/>
      </c>
      <c r="AU24">
        <f>IF(AU$4=1,IF(OR(INDEX('×入力'!$A$1:$L$1300,399+AU$3,2+AU$2)&lt;&gt;"",INDEX('×入力'!$A$1:$L$1300,398,2+AU$2)&lt;&gt;"",INDEX('×入力'!$A$1:$L$1300,399+AU$3,1)&lt;&gt;""),1,0),0)</f>
        <v/>
      </c>
      <c r="AV24">
        <f>IF(AV$4=1,IF(OR(INDEX('×入力'!$A$1:$L$1300,399+AV$3,2+AV$2)&lt;&gt;"",INDEX('×入力'!$A$1:$L$1300,398,2+AV$2)&lt;&gt;"",INDEX('×入力'!$A$1:$L$1300,399+AV$3,1)&lt;&gt;""),1,0),0)</f>
        <v/>
      </c>
      <c r="AW24">
        <f>IF(AW$4=1,IF(OR(INDEX('×入力'!$A$1:$L$1300,399+AW$3,2+AW$2)&lt;&gt;"",INDEX('×入力'!$A$1:$L$1300,398,2+AW$2)&lt;&gt;"",INDEX('×入力'!$A$1:$L$1300,399+AW$3,1)&lt;&gt;""),1,0),0)</f>
        <v/>
      </c>
      <c r="AX24">
        <f>IF(AX$4=1,IF(OR(INDEX('×入力'!$A$1:$L$1300,399+AX$3,2+AX$2)&lt;&gt;"",INDEX('×入力'!$A$1:$L$1300,398,2+AX$2)&lt;&gt;"",INDEX('×入力'!$A$1:$L$1300,399+AX$3,1)&lt;&gt;""),1,0),0)</f>
        <v/>
      </c>
      <c r="AY24">
        <f>IF(AY$4=1,IF(OR(INDEX('×入力'!$A$1:$L$1300,399+AY$3,2+AY$2)&lt;&gt;"",INDEX('×入力'!$A$1:$L$1300,398,2+AY$2)&lt;&gt;"",INDEX('×入力'!$A$1:$L$1300,399+AY$3,1)&lt;&gt;""),1,0),0)</f>
        <v/>
      </c>
      <c r="AZ24">
        <f>IF(AZ$4=1,IF(OR(INDEX('×入力'!$A$1:$L$1300,399+AZ$3,2+AZ$2)&lt;&gt;"",INDEX('×入力'!$A$1:$L$1300,398,2+AZ$2)&lt;&gt;"",INDEX('×入力'!$A$1:$L$1300,399+AZ$3,1)&lt;&gt;""),1,0),0)</f>
        <v/>
      </c>
      <c r="BA24">
        <f>IF(BA$4=1,IF(OR(INDEX('×入力'!$A$1:$L$1300,399+BA$3,2+BA$2)&lt;&gt;"",INDEX('×入力'!$A$1:$L$1300,398,2+BA$2)&lt;&gt;"",INDEX('×入力'!$A$1:$L$1300,399+BA$3,1)&lt;&gt;""),1,0),0)</f>
        <v/>
      </c>
      <c r="BB24">
        <f>IF(BB$4=1,IF(OR(INDEX('×入力'!$A$1:$L$1300,399+BB$3,2+BB$2)&lt;&gt;"",INDEX('×入力'!$A$1:$L$1300,398,2+BB$2)&lt;&gt;"",INDEX('×入力'!$A$1:$L$1300,399+BB$3,1)&lt;&gt;""),1,0),0)</f>
        <v/>
      </c>
      <c r="BC24">
        <f>IF(BC$4=1,IF(OR(INDEX('×入力'!$A$1:$L$1300,399+BC$3,2+BC$2)&lt;&gt;"",INDEX('×入力'!$A$1:$L$1300,398,2+BC$2)&lt;&gt;"",INDEX('×入力'!$A$1:$L$1300,399+BC$3,1)&lt;&gt;""),1,0),0)</f>
        <v/>
      </c>
      <c r="BD24">
        <f>IF(BD$4=1,IF(OR(INDEX('×入力'!$A$1:$L$1300,399+BD$3,2+BD$2)&lt;&gt;"",INDEX('×入力'!$A$1:$L$1300,398,2+BD$2)&lt;&gt;"",INDEX('×入力'!$A$1:$L$1300,399+BD$3,1)&lt;&gt;""),1,0),0)</f>
        <v/>
      </c>
      <c r="BE24">
        <f>IF(BE$4=1,IF(OR(INDEX('×入力'!$A$1:$L$1300,399+BE$3,2+BE$2)&lt;&gt;"",INDEX('×入力'!$A$1:$L$1300,398,2+BE$2)&lt;&gt;"",INDEX('×入力'!$A$1:$L$1300,399+BE$3,1)&lt;&gt;""),1,0),0)</f>
        <v/>
      </c>
      <c r="BF24">
        <f>IF(BF$4=1,IF(OR(INDEX('×入力'!$A$1:$L$1300,399+BF$3,2+BF$2)&lt;&gt;"",INDEX('×入力'!$A$1:$L$1300,398,2+BF$2)&lt;&gt;"",INDEX('×入力'!$A$1:$L$1300,399+BF$3,1)&lt;&gt;""),1,0),0)</f>
        <v/>
      </c>
      <c r="BG24">
        <f>IF(BG$4=1,IF(OR(INDEX('×入力'!$A$1:$L$1300,399+BG$3,2+BG$2)&lt;&gt;"",INDEX('×入力'!$A$1:$L$1300,398,2+BG$2)&lt;&gt;"",INDEX('×入力'!$A$1:$L$1300,399+BG$3,1)&lt;&gt;""),1,0),0)</f>
        <v/>
      </c>
      <c r="BH24">
        <f>IF(BH$4=1,IF(OR(INDEX('×入力'!$A$1:$L$1300,399+BH$3,2+BH$2)&lt;&gt;"",INDEX('×入力'!$A$1:$L$1300,398,2+BH$2)&lt;&gt;"",INDEX('×入力'!$A$1:$L$1300,399+BH$3,1)&lt;&gt;""),1,0),0)</f>
        <v/>
      </c>
      <c r="BI24">
        <f>IF(BI$4=1,IF(OR(INDEX('×入力'!$A$1:$L$1300,399+BI$3,2+BI$2)&lt;&gt;"",INDEX('×入力'!$A$1:$L$1300,398,2+BI$2)&lt;&gt;"",INDEX('×入力'!$A$1:$L$1300,399+BI$3,1)&lt;&gt;""),1,0),0)</f>
        <v/>
      </c>
      <c r="BJ24">
        <f>IF(BJ$4=1,IF(OR(INDEX('×入力'!$A$1:$L$1300,399+BJ$3,2+BJ$2)&lt;&gt;"",INDEX('×入力'!$A$1:$L$1300,398,2+BJ$2)&lt;&gt;"",INDEX('×入力'!$A$1:$L$1300,399+BJ$3,1)&lt;&gt;""),1,0),0)</f>
        <v/>
      </c>
      <c r="BK24">
        <f>IF(BK$4=1,IF(OR(INDEX('×入力'!$A$1:$L$1300,399+BK$3,2+BK$2)&lt;&gt;"",INDEX('×入力'!$A$1:$L$1300,398,2+BK$2)&lt;&gt;"",INDEX('×入力'!$A$1:$L$1300,399+BK$3,1)&lt;&gt;""),1,0),0)</f>
        <v/>
      </c>
      <c r="BL24">
        <f>IF(BL$4=1,IF(OR(INDEX('×入力'!$A$1:$L$1300,399+BL$3,2+BL$2)&lt;&gt;"",INDEX('×入力'!$A$1:$L$1300,398,2+BL$2)&lt;&gt;"",INDEX('×入力'!$A$1:$L$1300,399+BL$3,1)&lt;&gt;""),1,0),0)</f>
        <v/>
      </c>
      <c r="BM24">
        <f>IF(BM$4=1,IF(OR(INDEX('×入力'!$A$1:$L$1300,399+BM$3,2+BM$2)&lt;&gt;"",INDEX('×入力'!$A$1:$L$1300,398,2+BM$2)&lt;&gt;"",INDEX('×入力'!$A$1:$L$1300,399+BM$3,1)&lt;&gt;""),1,0),0)</f>
        <v/>
      </c>
      <c r="BN24">
        <f>IF(BN$4=1,IF(OR(INDEX('×入力'!$A$1:$L$1300,399+BN$3,2+BN$2)&lt;&gt;"",INDEX('×入力'!$A$1:$L$1300,398,2+BN$2)&lt;&gt;"",INDEX('×入力'!$A$1:$L$1300,399+BN$3,1)&lt;&gt;""),1,0),0)</f>
        <v/>
      </c>
      <c r="BO24">
        <f>IF(BO$4=1,IF(OR(INDEX('×入力'!$A$1:$L$1300,399+BO$3,2+BO$2)&lt;&gt;"",INDEX('×入力'!$A$1:$L$1300,398,2+BO$2)&lt;&gt;"",INDEX('×入力'!$A$1:$L$1300,399+BO$3,1)&lt;&gt;""),1,0),0)</f>
        <v/>
      </c>
      <c r="BP24">
        <f>IF(BP$4=1,IF(OR(INDEX('×入力'!$A$1:$L$1300,399+BP$3,2+BP$2)&lt;&gt;"",INDEX('×入力'!$A$1:$L$1300,398,2+BP$2)&lt;&gt;"",INDEX('×入力'!$A$1:$L$1300,399+BP$3,1)&lt;&gt;""),1,0),0)</f>
        <v/>
      </c>
      <c r="BQ24">
        <f>IF(BQ$4=1,IF(OR(INDEX('×入力'!$A$1:$L$1300,399+BQ$3,2+BQ$2)&lt;&gt;"",INDEX('×入力'!$A$1:$L$1300,398,2+BQ$2)&lt;&gt;"",INDEX('×入力'!$A$1:$L$1300,399+BQ$3,1)&lt;&gt;""),1,0),0)</f>
        <v/>
      </c>
      <c r="BR24">
        <f>IF(BR$4=1,IF(OR(INDEX('×入力'!$A$1:$L$1300,399+BR$3,2+BR$2)&lt;&gt;"",INDEX('×入力'!$A$1:$L$1300,398,2+BR$2)&lt;&gt;"",INDEX('×入力'!$A$1:$L$1300,399+BR$3,1)&lt;&gt;""),1,0),0)</f>
        <v/>
      </c>
      <c r="BS24">
        <f>IF(BS$4=1,IF(OR(INDEX('×入力'!$A$1:$L$1300,399+BS$3,2+BS$2)&lt;&gt;"",INDEX('×入力'!$A$1:$L$1300,398,2+BS$2)&lt;&gt;"",INDEX('×入力'!$A$1:$L$1300,399+BS$3,1)&lt;&gt;""),1,0),0)</f>
        <v/>
      </c>
      <c r="BT24">
        <f>IF(BT$4=1,IF(OR(INDEX('×入力'!$A$1:$L$1300,399+BT$3,2+BT$2)&lt;&gt;"",INDEX('×入力'!$A$1:$L$1300,398,2+BT$2)&lt;&gt;"",INDEX('×入力'!$A$1:$L$1300,399+BT$3,1)&lt;&gt;""),1,0),0)</f>
        <v/>
      </c>
      <c r="BU24">
        <f>IF(BU$4=1,IF(OR(INDEX('×入力'!$A$1:$L$1300,399+BU$3,2+BU$2)&lt;&gt;"",INDEX('×入力'!$A$1:$L$1300,398,2+BU$2)&lt;&gt;"",INDEX('×入力'!$A$1:$L$1300,399+BU$3,1)&lt;&gt;""),1,0),0)</f>
        <v/>
      </c>
      <c r="BV24">
        <f>IF(BV$4=1,IF(OR(INDEX('×入力'!$A$1:$L$1300,399+BV$3,2+BV$2)&lt;&gt;"",INDEX('×入力'!$A$1:$L$1300,398,2+BV$2)&lt;&gt;"",INDEX('×入力'!$A$1:$L$1300,399+BV$3,1)&lt;&gt;""),1,0),0)</f>
        <v/>
      </c>
      <c r="BW24">
        <f>IF(BW$4=1,IF(OR(INDEX('×入力'!$A$1:$L$1300,399+BW$3,2+BW$2)&lt;&gt;"",INDEX('×入力'!$A$1:$L$1300,398,2+BW$2)&lt;&gt;"",INDEX('×入力'!$A$1:$L$1300,399+BW$3,1)&lt;&gt;""),1,0),0)</f>
        <v/>
      </c>
      <c r="BX24">
        <f>IF(BX$4=1,IF(OR(INDEX('×入力'!$A$1:$L$1300,399+BX$3,2+BX$2)&lt;&gt;"",INDEX('×入力'!$A$1:$L$1300,398,2+BX$2)&lt;&gt;"",INDEX('×入力'!$A$1:$L$1300,399+BX$3,1)&lt;&gt;""),1,0),0)</f>
        <v/>
      </c>
      <c r="BY24">
        <f>IF(BY$4=1,IF(OR(INDEX('×入力'!$A$1:$L$1300,399+BY$3,2+BY$2)&lt;&gt;"",INDEX('×入力'!$A$1:$L$1300,398,2+BY$2)&lt;&gt;"",INDEX('×入力'!$A$1:$L$1300,399+BY$3,1)&lt;&gt;""),1,0),0)</f>
        <v/>
      </c>
      <c r="BZ24">
        <f>IF(BZ$4=1,IF(OR(INDEX('×入力'!$A$1:$L$1300,399+BZ$3,2+BZ$2)&lt;&gt;"",INDEX('×入力'!$A$1:$L$1300,398,2+BZ$2)&lt;&gt;"",INDEX('×入力'!$A$1:$L$1300,399+BZ$3,1)&lt;&gt;""),1,0),0)</f>
        <v/>
      </c>
      <c r="CA24">
        <f>IF(CA$4=1,IF(OR(INDEX('×入力'!$A$1:$L$1300,399+CA$3,2+CA$2)&lt;&gt;"",INDEX('×入力'!$A$1:$L$1300,398,2+CA$2)&lt;&gt;"",INDEX('×入力'!$A$1:$L$1300,399+CA$3,1)&lt;&gt;""),1,0),0)</f>
        <v/>
      </c>
      <c r="CB24">
        <f>IF(CB$4=1,IF(OR(INDEX('×入力'!$A$1:$L$1300,399+CB$3,2+CB$2)&lt;&gt;"",INDEX('×入力'!$A$1:$L$1300,398,2+CB$2)&lt;&gt;"",INDEX('×入力'!$A$1:$L$1300,399+CB$3,1)&lt;&gt;""),1,0),0)</f>
        <v/>
      </c>
      <c r="CC24">
        <f>IF(CC$4=1,IF(OR(INDEX('×入力'!$A$1:$L$1300,399+CC$3,2+CC$2)&lt;&gt;"",INDEX('×入力'!$A$1:$L$1300,398,2+CC$2)&lt;&gt;"",INDEX('×入力'!$A$1:$L$1300,399+CC$3,1)&lt;&gt;""),1,0),0)</f>
        <v/>
      </c>
      <c r="CD24">
        <f>IF(CD$4=1,IF(OR(INDEX('×入力'!$A$1:$L$1300,399+CD$3,2+CD$2)&lt;&gt;"",INDEX('×入力'!$A$1:$L$1300,398,2+CD$2)&lt;&gt;"",INDEX('×入力'!$A$1:$L$1300,399+CD$3,1)&lt;&gt;""),1,0),0)</f>
        <v/>
      </c>
      <c r="CE24">
        <f>IF(CE$4=1,IF(OR(INDEX('×入力'!$A$1:$L$1300,399+CE$3,2+CE$2)&lt;&gt;"",INDEX('×入力'!$A$1:$L$1300,398,2+CE$2)&lt;&gt;"",INDEX('×入力'!$A$1:$L$1300,399+CE$3,1)&lt;&gt;""),1,0),0)</f>
        <v/>
      </c>
      <c r="CF24">
        <f>IF(CF$4=1,IF(OR(INDEX('×入力'!$A$1:$L$1300,399+CF$3,2+CF$2)&lt;&gt;"",INDEX('×入力'!$A$1:$L$1300,398,2+CF$2)&lt;&gt;"",INDEX('×入力'!$A$1:$L$1300,399+CF$3,1)&lt;&gt;""),1,0),0)</f>
        <v/>
      </c>
      <c r="CG24">
        <f>IF(CG$4=1,IF(OR(INDEX('×入力'!$A$1:$L$1300,399+CG$3,2+CG$2)&lt;&gt;"",INDEX('×入力'!$A$1:$L$1300,398,2+CG$2)&lt;&gt;"",INDEX('×入力'!$A$1:$L$1300,399+CG$3,1)&lt;&gt;""),1,0),0)</f>
        <v/>
      </c>
      <c r="CH24">
        <f>IF(CH$4=1,IF(OR(INDEX('×入力'!$A$1:$L$1300,399+CH$3,2+CH$2)&lt;&gt;"",INDEX('×入力'!$A$1:$L$1300,398,2+CH$2)&lt;&gt;"",INDEX('×入力'!$A$1:$L$1300,399+CH$3,1)&lt;&gt;""),1,0),0)</f>
        <v/>
      </c>
      <c r="CI24">
        <f>IF(CI$4=1,IF(OR(INDEX('×入力'!$A$1:$L$1300,399+CI$3,2+CI$2)&lt;&gt;"",INDEX('×入力'!$A$1:$L$1300,398,2+CI$2)&lt;&gt;"",INDEX('×入力'!$A$1:$L$1300,399+CI$3,1)&lt;&gt;""),1,0),0)</f>
        <v/>
      </c>
      <c r="CJ24">
        <f>IF(CJ$4=1,IF(OR(INDEX('×入力'!$A$1:$L$1300,399+CJ$3,2+CJ$2)&lt;&gt;"",INDEX('×入力'!$A$1:$L$1300,398,2+CJ$2)&lt;&gt;"",INDEX('×入力'!$A$1:$L$1300,399+CJ$3,1)&lt;&gt;""),1,0),0)</f>
        <v/>
      </c>
      <c r="CK24">
        <f>IF(CK$4=1,IF(OR(INDEX('×入力'!$A$1:$L$1300,399+CK$3,2+CK$2)&lt;&gt;"",INDEX('×入力'!$A$1:$L$1300,398,2+CK$2)&lt;&gt;"",INDEX('×入力'!$A$1:$L$1300,399+CK$3,1)&lt;&gt;""),1,0),0)</f>
        <v/>
      </c>
      <c r="CL24">
        <f>IF(CL$4=1,IF(OR(INDEX('×入力'!$A$1:$L$1300,399+CL$3,2+CL$2)&lt;&gt;"",INDEX('×入力'!$A$1:$L$1300,398,2+CL$2)&lt;&gt;"",INDEX('×入力'!$A$1:$L$1300,399+CL$3,1)&lt;&gt;""),1,0),0)</f>
        <v/>
      </c>
      <c r="CM24">
        <f>IF(CM$4=1,IF(OR(INDEX('×入力'!$A$1:$L$1300,399+CM$3,2+CM$2)&lt;&gt;"",INDEX('×入力'!$A$1:$L$1300,398,2+CM$2)&lt;&gt;"",INDEX('×入力'!$A$1:$L$1300,399+CM$3,1)&lt;&gt;""),1,0),0)</f>
        <v/>
      </c>
      <c r="CN24">
        <f>IF(CN$4=1,IF(OR(INDEX('×入力'!$A$1:$L$1300,399+CN$3,2+CN$2)&lt;&gt;"",INDEX('×入力'!$A$1:$L$1300,398,2+CN$2)&lt;&gt;"",INDEX('×入力'!$A$1:$L$1300,399+CN$3,1)&lt;&gt;""),1,0),0)</f>
        <v/>
      </c>
      <c r="CO24">
        <f>IF(CO$4=1,IF(OR(INDEX('×入力'!$A$1:$L$1300,399+CO$3,2+CO$2)&lt;&gt;"",INDEX('×入力'!$A$1:$L$1300,398,2+CO$2)&lt;&gt;"",INDEX('×入力'!$A$1:$L$1300,399+CO$3,1)&lt;&gt;""),1,0),0)</f>
        <v/>
      </c>
      <c r="CP24">
        <f>IF(CP$4=1,IF(OR(INDEX('×入力'!$A$1:$L$1300,399+CP$3,2+CP$2)&lt;&gt;"",INDEX('×入力'!$A$1:$L$1300,398,2+CP$2)&lt;&gt;"",INDEX('×入力'!$A$1:$L$1300,399+CP$3,1)&lt;&gt;""),1,0),0)</f>
        <v/>
      </c>
      <c r="CQ24">
        <f>IF(CQ$4=1,IF(OR(INDEX('×入力'!$A$1:$L$1300,399+CQ$3,2+CQ$2)&lt;&gt;"",INDEX('×入力'!$A$1:$L$1300,398,2+CQ$2)&lt;&gt;"",INDEX('×入力'!$A$1:$L$1300,399+CQ$3,1)&lt;&gt;""),1,0),0)</f>
        <v/>
      </c>
      <c r="CR24">
        <f>IF(CR$4=1,IF(OR(INDEX('×入力'!$A$1:$L$1300,399+CR$3,2+CR$2)&lt;&gt;"",INDEX('×入力'!$A$1:$L$1300,398,2+CR$2)&lt;&gt;"",INDEX('×入力'!$A$1:$L$1300,399+CR$3,1)&lt;&gt;""),1,0),0)</f>
        <v/>
      </c>
      <c r="CS24">
        <f>IF(CS$4=1,IF(OR(INDEX('×入力'!$A$1:$L$1300,399+CS$3,2+CS$2)&lt;&gt;"",INDEX('×入力'!$A$1:$L$1300,398,2+CS$2)&lt;&gt;"",INDEX('×入力'!$A$1:$L$1300,399+CS$3,1)&lt;&gt;""),1,0),0)</f>
        <v/>
      </c>
      <c r="CT24">
        <f>IF(CT$4=1,IF(OR(INDEX('×入力'!$A$1:$L$1300,399+CT$3,2+CT$2)&lt;&gt;"",INDEX('×入力'!$A$1:$L$1300,398,2+CT$2)&lt;&gt;"",INDEX('×入力'!$A$1:$L$1300,399+CT$3,1)&lt;&gt;""),1,0),0)</f>
        <v/>
      </c>
      <c r="CU24">
        <f>IF(CU$4=1,IF(OR(INDEX('×入力'!$A$1:$L$1300,399+CU$3,2+CU$2)&lt;&gt;"",INDEX('×入力'!$A$1:$L$1300,398,2+CU$2)&lt;&gt;"",INDEX('×入力'!$A$1:$L$1300,399+CU$3,1)&lt;&gt;""),1,0),0)</f>
        <v/>
      </c>
      <c r="CV24">
        <f>IF(CV$4=1,IF(OR(INDEX('×入力'!$A$1:$L$1300,399+CV$3,2+CV$2)&lt;&gt;"",INDEX('×入力'!$A$1:$L$1300,398,2+CV$2)&lt;&gt;"",INDEX('×入力'!$A$1:$L$1300,399+CV$3,1)&lt;&gt;""),1,0),0)</f>
        <v/>
      </c>
      <c r="CW24">
        <f>IF(CW$4=1,IF(OR(INDEX('×入力'!$A$1:$L$1300,399+CW$3,2+CW$2)&lt;&gt;"",INDEX('×入力'!$A$1:$L$1300,398,2+CW$2)&lt;&gt;"",INDEX('×入力'!$A$1:$L$1300,399+CW$3,1)&lt;&gt;""),1,0),0)</f>
        <v/>
      </c>
      <c r="CX24">
        <f>IF(CX$4=1,IF(OR(INDEX('×入力'!$A$1:$L$1300,399+CX$3,2+CX$2)&lt;&gt;"",INDEX('×入力'!$A$1:$L$1300,398,2+CX$2)&lt;&gt;"",INDEX('×入力'!$A$1:$L$1300,399+CX$3,1)&lt;&gt;""),1,0),0)</f>
        <v/>
      </c>
      <c r="CY24">
        <f>IF(CY$4=1,IF(OR(INDEX('×入力'!$A$1:$L$1300,399+CY$3,2+CY$2)&lt;&gt;"",INDEX('×入力'!$A$1:$L$1300,398,2+CY$2)&lt;&gt;"",INDEX('×入力'!$A$1:$L$1300,399+CY$3,1)&lt;&gt;""),1,0),0)</f>
        <v/>
      </c>
      <c r="CZ24">
        <f>IF(CZ$4=1,IF(OR(INDEX('×入力'!$A$1:$L$1300,399+CZ$3,2+CZ$2)&lt;&gt;"",INDEX('×入力'!$A$1:$L$1300,398,2+CZ$2)&lt;&gt;"",INDEX('×入力'!$A$1:$L$1300,399+CZ$3,1)&lt;&gt;""),1,0),0)</f>
        <v/>
      </c>
      <c r="DA24">
        <f>IF(DA$4=1,IF(OR(INDEX('×入力'!$A$1:$L$1300,399+DA$3,2+DA$2)&lt;&gt;"",INDEX('×入力'!$A$1:$L$1300,398,2+DA$2)&lt;&gt;"",INDEX('×入力'!$A$1:$L$1300,399+DA$3,1)&lt;&gt;""),1,0),0)</f>
        <v/>
      </c>
      <c r="DB24">
        <f>IF(DB$4=1,IF(OR(INDEX('×入力'!$A$1:$L$1300,399+DB$3,2+DB$2)&lt;&gt;"",INDEX('×入力'!$A$1:$L$1300,398,2+DB$2)&lt;&gt;"",INDEX('×入力'!$A$1:$L$1300,399+DB$3,1)&lt;&gt;""),1,0),0)</f>
        <v/>
      </c>
      <c r="DC24">
        <f>IF(DC$4=1,IF(OR(INDEX('×入力'!$A$1:$L$1300,399+DC$3,2+DC$2)&lt;&gt;"",INDEX('×入力'!$A$1:$L$1300,398,2+DC$2)&lt;&gt;"",INDEX('×入力'!$A$1:$L$1300,399+DC$3,1)&lt;&gt;""),1,0),0)</f>
        <v/>
      </c>
      <c r="DD24">
        <f>IF(DD$4=1,IF(OR(INDEX('×入力'!$A$1:$L$1300,399+DD$3,2+DD$2)&lt;&gt;"",INDEX('×入力'!$A$1:$L$1300,398,2+DD$2)&lt;&gt;"",INDEX('×入力'!$A$1:$L$1300,399+DD$3,1)&lt;&gt;""),1,0),0)</f>
        <v/>
      </c>
      <c r="DE24">
        <f>IF(DE$4=1,IF(OR(INDEX('×入力'!$A$1:$L$1300,399+DE$3,2+DE$2)&lt;&gt;"",INDEX('×入力'!$A$1:$L$1300,398,2+DE$2)&lt;&gt;"",INDEX('×入力'!$A$1:$L$1300,399+DE$3,1)&lt;&gt;""),1,0),0)</f>
        <v/>
      </c>
      <c r="DF24">
        <f>IF(DF$4=1,IF(OR(INDEX('×入力'!$A$1:$L$1300,399+DF$3,2+DF$2)&lt;&gt;"",INDEX('×入力'!$A$1:$L$1300,398,2+DF$2)&lt;&gt;"",INDEX('×入力'!$A$1:$L$1300,399+DF$3,1)&lt;&gt;""),1,0),0)</f>
        <v/>
      </c>
      <c r="DG24">
        <f>IF(DG$4=1,IF(OR(INDEX('×入力'!$A$1:$L$1300,399+DG$3,2+DG$2)&lt;&gt;"",INDEX('×入力'!$A$1:$L$1300,398,2+DG$2)&lt;&gt;"",INDEX('×入力'!$A$1:$L$1300,399+DG$3,1)&lt;&gt;""),1,0),0)</f>
        <v/>
      </c>
      <c r="DH24">
        <f>IF(DH$4=1,IF(OR(INDEX('×入力'!$A$1:$L$1300,399+DH$3,2+DH$2)&lt;&gt;"",INDEX('×入力'!$A$1:$L$1300,398,2+DH$2)&lt;&gt;"",INDEX('×入力'!$A$1:$L$1300,399+DH$3,1)&lt;&gt;""),1,0),0)</f>
        <v/>
      </c>
      <c r="DI24">
        <f>IF(DI$4=1,IF(OR(INDEX('×入力'!$A$1:$L$1300,399+DI$3,2+DI$2)&lt;&gt;"",INDEX('×入力'!$A$1:$L$1300,398,2+DI$2)&lt;&gt;"",INDEX('×入力'!$A$1:$L$1300,399+DI$3,1)&lt;&gt;""),1,0),0)</f>
        <v/>
      </c>
      <c r="DJ24">
        <f>IF(DJ$4=1,IF(OR(INDEX('×入力'!$A$1:$L$1300,399+DJ$3,2+DJ$2)&lt;&gt;"",INDEX('×入力'!$A$1:$L$1300,398,2+DJ$2)&lt;&gt;"",INDEX('×入力'!$A$1:$L$1300,399+DJ$3,1)&lt;&gt;""),1,0),0)</f>
        <v/>
      </c>
      <c r="DK24">
        <f>IF(DK$4=1,IF(OR(INDEX('×入力'!$A$1:$L$1300,399+DK$3,2+DK$2)&lt;&gt;"",INDEX('×入力'!$A$1:$L$1300,398,2+DK$2)&lt;&gt;"",INDEX('×入力'!$A$1:$L$1300,399+DK$3,1)&lt;&gt;""),1,0),0)</f>
        <v/>
      </c>
      <c r="DL24">
        <f>IF(DL$4=1,IF(OR(INDEX('×入力'!$A$1:$L$1300,399+DL$3,2+DL$2)&lt;&gt;"",INDEX('×入力'!$A$1:$L$1300,398,2+DL$2)&lt;&gt;"",INDEX('×入力'!$A$1:$L$1300,399+DL$3,1)&lt;&gt;""),1,0),0)</f>
        <v/>
      </c>
      <c r="DM24">
        <f>IF(DM$4=1,IF(OR(INDEX('×入力'!$A$1:$L$1300,399+DM$3,2+DM$2)&lt;&gt;"",INDEX('×入力'!$A$1:$L$1300,398,2+DM$2)&lt;&gt;"",INDEX('×入力'!$A$1:$L$1300,399+DM$3,1)&lt;&gt;""),1,0),0)</f>
        <v/>
      </c>
      <c r="DN24">
        <f>IF(DN$4=1,IF(OR(INDEX('×入力'!$A$1:$L$1300,399+DN$3,2+DN$2)&lt;&gt;"",INDEX('×入力'!$A$1:$L$1300,398,2+DN$2)&lt;&gt;"",INDEX('×入力'!$A$1:$L$1300,399+DN$3,1)&lt;&gt;""),1,0),0)</f>
        <v/>
      </c>
      <c r="DO24">
        <f>IF(DO$4=1,IF(OR(INDEX('×入力'!$A$1:$L$1300,399+DO$3,2+DO$2)&lt;&gt;"",INDEX('×入力'!$A$1:$L$1300,398,2+DO$2)&lt;&gt;"",INDEX('×入力'!$A$1:$L$1300,399+DO$3,1)&lt;&gt;""),1,0),0)</f>
        <v/>
      </c>
      <c r="DP24">
        <f>IF(DP$4=1,IF(OR(INDEX('×入力'!$A$1:$L$1300,399+DP$3,2+DP$2)&lt;&gt;"",INDEX('×入力'!$A$1:$L$1300,398,2+DP$2)&lt;&gt;"",INDEX('×入力'!$A$1:$L$1300,399+DP$3,1)&lt;&gt;""),1,0),0)</f>
        <v/>
      </c>
      <c r="DQ24">
        <f>IF(DQ$4=1,IF(OR(INDEX('×入力'!$A$1:$L$1300,399+DQ$3,2+DQ$2)&lt;&gt;"",INDEX('×入力'!$A$1:$L$1300,398,2+DQ$2)&lt;&gt;"",INDEX('×入力'!$A$1:$L$1300,399+DQ$3,1)&lt;&gt;""),1,0),0)</f>
        <v/>
      </c>
      <c r="DR24">
        <f>IF(DR$4=1,IF(OR(INDEX('×入力'!$A$1:$L$1300,399+DR$3,2+DR$2)&lt;&gt;"",INDEX('×入力'!$A$1:$L$1300,398,2+DR$2)&lt;&gt;"",INDEX('×入力'!$A$1:$L$1300,399+DR$3,1)&lt;&gt;""),1,0),0)</f>
        <v/>
      </c>
      <c r="DS24">
        <f>IF(DS$4=1,IF(OR(INDEX('×入力'!$A$1:$L$1300,399+DS$3,2+DS$2)&lt;&gt;"",INDEX('×入力'!$A$1:$L$1300,398,2+DS$2)&lt;&gt;"",INDEX('×入力'!$A$1:$L$1300,399+DS$3,1)&lt;&gt;""),1,0),0)</f>
        <v/>
      </c>
      <c r="DT24">
        <f>IF(DT$4=1,IF(OR(INDEX('×入力'!$A$1:$L$1300,399+DT$3,2+DT$2)&lt;&gt;"",INDEX('×入力'!$A$1:$L$1300,398,2+DT$2)&lt;&gt;"",INDEX('×入力'!$A$1:$L$1300,399+DT$3,1)&lt;&gt;""),1,0),0)</f>
        <v/>
      </c>
      <c r="DU24">
        <f>IF(DU$4=1,IF(OR(INDEX('×入力'!$A$1:$L$1300,399+DU$3,2+DU$2)&lt;&gt;"",INDEX('×入力'!$A$1:$L$1300,398,2+DU$2)&lt;&gt;"",INDEX('×入力'!$A$1:$L$1300,399+DU$3,1)&lt;&gt;""),1,0),0)</f>
        <v/>
      </c>
      <c r="DV24">
        <f>IF(DV$4=1,IF(OR(INDEX('×入力'!$A$1:$L$1300,399+DV$3,2+DV$2)&lt;&gt;"",INDEX('×入力'!$A$1:$L$1300,398,2+DV$2)&lt;&gt;"",INDEX('×入力'!$A$1:$L$1300,399+DV$3,1)&lt;&gt;""),1,0),0)</f>
        <v/>
      </c>
      <c r="DW24">
        <f>IF(DW$4=1,IF(OR(INDEX('×入力'!$A$1:$L$1300,399+DW$3,2+DW$2)&lt;&gt;"",INDEX('×入力'!$A$1:$L$1300,398,2+DW$2)&lt;&gt;"",INDEX('×入力'!$A$1:$L$1300,399+DW$3,1)&lt;&gt;""),1,0),0)</f>
        <v/>
      </c>
      <c r="DX24">
        <f>IF(DX$4=1,IF(OR(INDEX('×入力'!$A$1:$L$1300,399+DX$3,2+DX$2)&lt;&gt;"",INDEX('×入力'!$A$1:$L$1300,398,2+DX$2)&lt;&gt;"",INDEX('×入力'!$A$1:$L$1300,399+DX$3,1)&lt;&gt;""),1,0),0)</f>
        <v/>
      </c>
      <c r="DY24">
        <f>IF(DY$4=1,IF(OR(INDEX('×入力'!$A$1:$L$1300,399+DY$3,2+DY$2)&lt;&gt;"",INDEX('×入力'!$A$1:$L$1300,398,2+DY$2)&lt;&gt;"",INDEX('×入力'!$A$1:$L$1300,399+DY$3,1)&lt;&gt;""),1,0),0)</f>
        <v/>
      </c>
      <c r="DZ24">
        <f>IF(DZ$4=1,IF(OR(INDEX('×入力'!$A$1:$L$1300,399+DZ$3,2+DZ$2)&lt;&gt;"",INDEX('×入力'!$A$1:$L$1300,398,2+DZ$2)&lt;&gt;"",INDEX('×入力'!$A$1:$L$1300,399+DZ$3,1)&lt;&gt;""),1,0),0)</f>
        <v/>
      </c>
      <c r="EA24">
        <f>IF(EA$4=1,IF(OR(INDEX('×入力'!$A$1:$L$1300,399+EA$3,2+EA$2)&lt;&gt;"",INDEX('×入力'!$A$1:$L$1300,398,2+EA$2)&lt;&gt;"",INDEX('×入力'!$A$1:$L$1300,399+EA$3,1)&lt;&gt;""),1,0),0)</f>
        <v/>
      </c>
      <c r="EB24">
        <f>IF(EB$4=1,IF(OR(INDEX('×入力'!$A$1:$L$1300,399+EB$3,2+EB$2)&lt;&gt;"",INDEX('×入力'!$A$1:$L$1300,398,2+EB$2)&lt;&gt;"",INDEX('×入力'!$A$1:$L$1300,399+EB$3,1)&lt;&gt;""),1,0),0)</f>
        <v/>
      </c>
      <c r="EC24">
        <f>IF(EC$4=1,IF(OR(INDEX('×入力'!$A$1:$L$1300,399+EC$3,2+EC$2)&lt;&gt;"",INDEX('×入力'!$A$1:$L$1300,398,2+EC$2)&lt;&gt;"",INDEX('×入力'!$A$1:$L$1300,399+EC$3,1)&lt;&gt;""),1,0),0)</f>
        <v/>
      </c>
      <c r="ED24">
        <f>IF(ED$4=1,IF(OR(INDEX('×入力'!$A$1:$L$1300,399+ED$3,2+ED$2)&lt;&gt;"",INDEX('×入力'!$A$1:$L$1300,398,2+ED$2)&lt;&gt;"",INDEX('×入力'!$A$1:$L$1300,399+ED$3,1)&lt;&gt;""),1,0),0)</f>
        <v/>
      </c>
      <c r="EE24">
        <f>IF(EE$4=1,IF(OR(INDEX('×入力'!$A$1:$L$1300,399+EE$3,2+EE$2)&lt;&gt;"",INDEX('×入力'!$A$1:$L$1300,398,2+EE$2)&lt;&gt;"",INDEX('×入力'!$A$1:$L$1300,399+EE$3,1)&lt;&gt;""),1,0),0)</f>
        <v/>
      </c>
      <c r="EF24">
        <f>IF(EF$4=1,IF(OR(INDEX('×入力'!$A$1:$L$1300,399+EF$3,2+EF$2)&lt;&gt;"",INDEX('×入力'!$A$1:$L$1300,398,2+EF$2)&lt;&gt;"",INDEX('×入力'!$A$1:$L$1300,399+EF$3,1)&lt;&gt;""),1,0),0)</f>
        <v/>
      </c>
      <c r="EG24">
        <f>IF(EG$4=1,IF(OR(INDEX('×入力'!$A$1:$L$1300,399+EG$3,2+EG$2)&lt;&gt;"",INDEX('×入力'!$A$1:$L$1300,398,2+EG$2)&lt;&gt;"",INDEX('×入力'!$A$1:$L$1300,399+EG$3,1)&lt;&gt;""),1,0),0)</f>
        <v/>
      </c>
      <c r="EH24">
        <f>IF(EH$4=1,IF(OR(INDEX('×入力'!$A$1:$L$1300,399+EH$3,2+EH$2)&lt;&gt;"",INDEX('×入力'!$A$1:$L$1300,398,2+EH$2)&lt;&gt;"",INDEX('×入力'!$A$1:$L$1300,399+EH$3,1)&lt;&gt;""),1,0),0)</f>
        <v/>
      </c>
      <c r="EI24">
        <f>IF(EI$4=1,IF(OR(INDEX('×入力'!$A$1:$L$1300,399+EI$3,2+EI$2)&lt;&gt;"",INDEX('×入力'!$A$1:$L$1300,398,2+EI$2)&lt;&gt;"",INDEX('×入力'!$A$1:$L$1300,399+EI$3,1)&lt;&gt;""),1,0),0)</f>
        <v/>
      </c>
      <c r="EJ24">
        <f>IF(EJ$4=1,IF(OR(INDEX('×入力'!$A$1:$L$1300,399+EJ$3,2+EJ$2)&lt;&gt;"",INDEX('×入力'!$A$1:$L$1300,398,2+EJ$2)&lt;&gt;"",INDEX('×入力'!$A$1:$L$1300,399+EJ$3,1)&lt;&gt;""),1,0),0)</f>
        <v/>
      </c>
      <c r="EK24">
        <f>IF(EK$4=1,IF(OR(INDEX('×入力'!$A$1:$L$1300,399+EK$3,2+EK$2)&lt;&gt;"",INDEX('×入力'!$A$1:$L$1300,398,2+EK$2)&lt;&gt;"",INDEX('×入力'!$A$1:$L$1300,399+EK$3,1)&lt;&gt;""),1,0),0)</f>
        <v/>
      </c>
      <c r="EL24">
        <f>IF(EL$4=1,IF(OR(INDEX('×入力'!$A$1:$L$1300,399+EL$3,2+EL$2)&lt;&gt;"",INDEX('×入力'!$A$1:$L$1300,398,2+EL$2)&lt;&gt;"",INDEX('×入力'!$A$1:$L$1300,399+EL$3,1)&lt;&gt;""),1,0),0)</f>
        <v/>
      </c>
      <c r="EM24">
        <f>IF(EM$4=1,IF(OR(INDEX('×入力'!$A$1:$L$1300,399+EM$3,2+EM$2)&lt;&gt;"",INDEX('×入力'!$A$1:$L$1300,398,2+EM$2)&lt;&gt;"",INDEX('×入力'!$A$1:$L$1300,399+EM$3,1)&lt;&gt;""),1,0),0)</f>
        <v/>
      </c>
      <c r="EN24">
        <f>IF(EN$4=1,IF(OR(INDEX('×入力'!$A$1:$L$1300,399+EN$3,2+EN$2)&lt;&gt;"",INDEX('×入力'!$A$1:$L$1300,398,2+EN$2)&lt;&gt;"",INDEX('×入力'!$A$1:$L$1300,399+EN$3,1)&lt;&gt;""),1,0),0)</f>
        <v/>
      </c>
      <c r="EO24">
        <f>IF(EO$4=1,IF(OR(INDEX('×入力'!$A$1:$L$1300,399+EO$3,2+EO$2)&lt;&gt;"",INDEX('×入力'!$A$1:$L$1300,398,2+EO$2)&lt;&gt;"",INDEX('×入力'!$A$1:$L$1300,399+EO$3,1)&lt;&gt;""),1,0),0)</f>
        <v/>
      </c>
      <c r="EP24">
        <f>IF(EP$4=1,IF(OR(INDEX('×入力'!$A$1:$L$1300,399+EP$3,2+EP$2)&lt;&gt;"",INDEX('×入力'!$A$1:$L$1300,398,2+EP$2)&lt;&gt;"",INDEX('×入力'!$A$1:$L$1300,399+EP$3,1)&lt;&gt;""),1,0),0)</f>
        <v/>
      </c>
      <c r="EQ24">
        <f>IF(EQ$4=1,IF(OR(INDEX('×入力'!$A$1:$L$1300,399+EQ$3,2+EQ$2)&lt;&gt;"",INDEX('×入力'!$A$1:$L$1300,398,2+EQ$2)&lt;&gt;"",INDEX('×入力'!$A$1:$L$1300,399+EQ$3,1)&lt;&gt;""),1,0),0)</f>
        <v/>
      </c>
      <c r="HA24">
        <f>MAX(0,IT24)</f>
        <v/>
      </c>
      <c r="HB24">
        <f>IF(HA24=0,0,INDEX($D$2:$EQ$2,HA24))</f>
        <v/>
      </c>
      <c r="HC24">
        <f>IF(HA24=0,0,INDEX($D$3:$EQ$3,HA24))</f>
        <v/>
      </c>
      <c r="HD24">
        <f>MAX(0,IY24)</f>
        <v/>
      </c>
      <c r="HE24">
        <f>IF(HD24=0,0,INDEX($D$2:$EQ$2,HD24))</f>
        <v/>
      </c>
      <c r="HF24">
        <f>IF(HD24=0,0,INDEX($D$3:$EQ$3,HD24))</f>
        <v/>
      </c>
      <c r="HG24">
        <f>MAX(0,IZ24)</f>
        <v/>
      </c>
      <c r="HH24">
        <f>IF(HG24=0,0,INDEX($D$2:$EQ$2,HG24))</f>
        <v/>
      </c>
      <c r="HI24">
        <f>IF(HG24=0,0,INDEX($D$3:$EQ$3,HG24))</f>
        <v/>
      </c>
      <c r="HJ24">
        <f>IF(AND(HA24&gt;0,HC24&gt;1,OR(HC24-1&lt;&gt;$A$3,$A$4=0)),HA24-1,-1)</f>
        <v/>
      </c>
      <c r="HK24">
        <f>IF(AND(HA24&gt;0,HC24&lt;24,OR(HC24&lt;&gt;$A$3,$A$4=0)),HA24+1,-1)</f>
        <v/>
      </c>
      <c r="HL24">
        <f>IF(AND(HD24&gt;0,HF24&gt;1,OR(HF24-1&lt;&gt;$A$3,$A$4=0)),HD24-1,-1)</f>
        <v/>
      </c>
      <c r="HM24">
        <f>IF(AND(HD24&gt;0,HF24&lt;24,OR(HF24&lt;&gt;$A$3,$A$4=0)),HD24+1,-1)</f>
        <v/>
      </c>
      <c r="HN24">
        <f>IF(AND(HG24&gt;0,HI24&gt;1,OR(HI24-1&lt;&gt;$A$3,$A$4=0)),HG24-1,-1)</f>
        <v/>
      </c>
      <c r="HO24">
        <f>IF(AND(HG24&gt;0,HI24&lt;24,OR(HI24&lt;&gt;$A$3,$A$4=0)),HG24+1,-1)</f>
        <v/>
      </c>
      <c r="IK24">
        <f>IFERROR(INDEX('calcB'!$C$3:$C$47,MATCH(A24,'calcB'!$B$3:$B$47,0)),0)</f>
        <v/>
      </c>
      <c r="IL24">
        <f>IF(AND(C24=1,IK24=0,calcA!$A$6=1),1,0)</f>
        <v/>
      </c>
      <c r="IM24">
        <f>SUMPRODUCT(D74:EQ74*(1-$D$7:$EQ$7))</f>
        <v/>
      </c>
      <c r="IN24">
        <f>SUM(D24:EQ24)</f>
        <v/>
      </c>
      <c r="IO24">
        <f>IF(B24="",0,IF(COUNTIF('調整・決定'!$C$6:$H$29,B24)=1,SUMPRODUCT(('調整・決定'!$C$6:$H$29=B24)*((COLUMN('調整・決定'!$C$6:$H$29)-3)*24+ROW('調整・決定'!$C$6:$H$29)-5)),0))</f>
        <v/>
      </c>
      <c r="IP24">
        <f>IFERROR(MATCH('名簿'!C19,{"早い時刻","遅い時刻","早い日","遅い日"},0),0)</f>
        <v/>
      </c>
      <c r="IQ24">
        <f>IF('名簿'!D19="必ず空けたい",2,IF('名簿'!D19="出来れば空けたい",1,0))</f>
        <v/>
      </c>
      <c r="IR24">
        <f>IFERROR(INDEX('calcC'!$C$3:$C$47,MATCH(A24,'calcC'!$B$3:$B$47,0)),0)</f>
        <v/>
      </c>
      <c r="IS24">
        <f>IF(AND(C24=1,IR24=0,calcA!$A$6=1),1,0)</f>
        <v/>
      </c>
      <c r="IT24">
        <f>IF(OR('名簿'!G19="",'名簿'!H19=""),0,IFERROR((MATCH('名簿'!G19,'設定'!$E$11:$E$16,0)-1)*24+MATCH('名簿'!H19,'設定'!$I$11:$I$34,0),-1))</f>
        <v/>
      </c>
      <c r="IV24">
        <f>IF(OR(JF24=0,IO24=0),1,IF(OR(IF(IT24&gt;0,AND(INDEX($D$2:$EQ$2,IO24)=INDEX($D$2:$EQ$2,IT24),OR(AND(IO24=IT24+1,OR(INDEX($D$3:$EQ$3,IT24)&lt;&gt;$A$3,$A$4=0)),AND(IO24=IT24-1,OR(INDEX($D$3:$EQ$3,IO24)&lt;&gt;$A$3,$A$4=0)))),FALSE),IF(IY24&gt;0,AND(INDEX($D$2:$EQ$2,IO24)=INDEX($D$2:$EQ$2,IY24),OR(AND(IO24=IY24+1,OR(INDEX($D$3:$EQ$3,IY24)&lt;&gt;$A$3,$A$4=0)),AND(IO24=IY24-1,OR(INDEX($D$3:$EQ$3,IO24)&lt;&gt;$A$3,$A$4=0)))),FALSE),IF(IZ24&gt;0,AND(INDEX($D$2:$EQ$2,IO24)=INDEX($D$2:$EQ$2,IZ24),OR(AND(IO24=IZ24+1,OR(INDEX($D$3:$EQ$3,IZ24)&lt;&gt;$A$3,$A$4=0)),AND(IO24=IZ24-1,OR(INDEX($D$3:$EQ$3,IO24)&lt;&gt;$A$3,$A$4=0)))),FALSE)),1,0))</f>
        <v/>
      </c>
      <c r="IW24">
        <f>IF(AND('名簿'!E19&lt;&gt;"",JF24=0),1,0)</f>
        <v/>
      </c>
      <c r="IX24">
        <f>IF('名簿'!D19="空けない",1,0)</f>
        <v/>
      </c>
      <c r="IY24">
        <f>IF(OR('名簿'!J19="",'名簿'!K19=""),0,IFERROR((MATCH('名簿'!J19,'設定'!$E$11:$E$16,0)-1)*24+MATCH('名簿'!K19,'設定'!$I$11:$I$34,0),-1))</f>
        <v/>
      </c>
      <c r="IZ24">
        <f>IF(OR('名簿'!M19="",'名簿'!N19=""),0,IFERROR((MATCH('名簿'!M19,'設定'!$E$11:$E$16,0)-1)*24+MATCH('名簿'!N19,'設定'!$I$11:$I$34,0),-1))</f>
        <v/>
      </c>
      <c r="JC24">
        <f>IF(RIGHT('名簿'!I19,2)="の前",1,IF(RIGHT('名簿'!I19,2)="の後",2,0))</f>
        <v/>
      </c>
      <c r="JD24">
        <f>IF(RIGHT('名簿'!L19,2)="の前",1,IF(RIGHT('名簿'!L19,2)="の後",2,0))</f>
        <v/>
      </c>
      <c r="JE24">
        <f>IF(RIGHT('名簿'!O19,2)="の前",1,IF(RIGHT('名簿'!O19,2)="の後",2,0))</f>
        <v/>
      </c>
      <c r="JF24">
        <f>IF(OR(IT24&gt;0,IY24&gt;0,IZ24&gt;0),1,0)</f>
        <v/>
      </c>
      <c r="JG24">
        <f>IF(OR(IT24&lt;0,IY24&lt;0,IZ24&lt;0),1,0)</f>
        <v/>
      </c>
    </row>
    <row r="25">
      <c r="A25" t="n">
        <v>16</v>
      </c>
      <c r="B25">
        <f>'名簿'!P20</f>
        <v/>
      </c>
      <c r="C25">
        <f>IF(AND(B25&lt;&gt;"",OR('名簿'!Q20="入力済み",'名簿'!Q20="×なし"),IO25=0,COUNTIF('調整・決定'!$C$6:$H$29,B25)=0),1,0)</f>
        <v/>
      </c>
      <c r="D25">
        <f>IF(D$4=1,IF(OR(INDEX('×入力'!$A$1:$L$1300,427+D$3,2+D$2)&lt;&gt;"",INDEX('×入力'!$A$1:$L$1300,426,2+D$2)&lt;&gt;"",INDEX('×入力'!$A$1:$L$1300,427+D$3,1)&lt;&gt;""),1,0),0)</f>
        <v/>
      </c>
      <c r="E25">
        <f>IF(E$4=1,IF(OR(INDEX('×入力'!$A$1:$L$1300,427+E$3,2+E$2)&lt;&gt;"",INDEX('×入力'!$A$1:$L$1300,426,2+E$2)&lt;&gt;"",INDEX('×入力'!$A$1:$L$1300,427+E$3,1)&lt;&gt;""),1,0),0)</f>
        <v/>
      </c>
      <c r="F25">
        <f>IF(F$4=1,IF(OR(INDEX('×入力'!$A$1:$L$1300,427+F$3,2+F$2)&lt;&gt;"",INDEX('×入力'!$A$1:$L$1300,426,2+F$2)&lt;&gt;"",INDEX('×入力'!$A$1:$L$1300,427+F$3,1)&lt;&gt;""),1,0),0)</f>
        <v/>
      </c>
      <c r="G25">
        <f>IF(G$4=1,IF(OR(INDEX('×入力'!$A$1:$L$1300,427+G$3,2+G$2)&lt;&gt;"",INDEX('×入力'!$A$1:$L$1300,426,2+G$2)&lt;&gt;"",INDEX('×入力'!$A$1:$L$1300,427+G$3,1)&lt;&gt;""),1,0),0)</f>
        <v/>
      </c>
      <c r="H25">
        <f>IF(H$4=1,IF(OR(INDEX('×入力'!$A$1:$L$1300,427+H$3,2+H$2)&lt;&gt;"",INDEX('×入力'!$A$1:$L$1300,426,2+H$2)&lt;&gt;"",INDEX('×入力'!$A$1:$L$1300,427+H$3,1)&lt;&gt;""),1,0),0)</f>
        <v/>
      </c>
      <c r="I25">
        <f>IF(I$4=1,IF(OR(INDEX('×入力'!$A$1:$L$1300,427+I$3,2+I$2)&lt;&gt;"",INDEX('×入力'!$A$1:$L$1300,426,2+I$2)&lt;&gt;"",INDEX('×入力'!$A$1:$L$1300,427+I$3,1)&lt;&gt;""),1,0),0)</f>
        <v/>
      </c>
      <c r="J25">
        <f>IF(J$4=1,IF(OR(INDEX('×入力'!$A$1:$L$1300,427+J$3,2+J$2)&lt;&gt;"",INDEX('×入力'!$A$1:$L$1300,426,2+J$2)&lt;&gt;"",INDEX('×入力'!$A$1:$L$1300,427+J$3,1)&lt;&gt;""),1,0),0)</f>
        <v/>
      </c>
      <c r="K25">
        <f>IF(K$4=1,IF(OR(INDEX('×入力'!$A$1:$L$1300,427+K$3,2+K$2)&lt;&gt;"",INDEX('×入力'!$A$1:$L$1300,426,2+K$2)&lt;&gt;"",INDEX('×入力'!$A$1:$L$1300,427+K$3,1)&lt;&gt;""),1,0),0)</f>
        <v/>
      </c>
      <c r="L25">
        <f>IF(L$4=1,IF(OR(INDEX('×入力'!$A$1:$L$1300,427+L$3,2+L$2)&lt;&gt;"",INDEX('×入力'!$A$1:$L$1300,426,2+L$2)&lt;&gt;"",INDEX('×入力'!$A$1:$L$1300,427+L$3,1)&lt;&gt;""),1,0),0)</f>
        <v/>
      </c>
      <c r="M25">
        <f>IF(M$4=1,IF(OR(INDEX('×入力'!$A$1:$L$1300,427+M$3,2+M$2)&lt;&gt;"",INDEX('×入力'!$A$1:$L$1300,426,2+M$2)&lt;&gt;"",INDEX('×入力'!$A$1:$L$1300,427+M$3,1)&lt;&gt;""),1,0),0)</f>
        <v/>
      </c>
      <c r="N25">
        <f>IF(N$4=1,IF(OR(INDEX('×入力'!$A$1:$L$1300,427+N$3,2+N$2)&lt;&gt;"",INDEX('×入力'!$A$1:$L$1300,426,2+N$2)&lt;&gt;"",INDEX('×入力'!$A$1:$L$1300,427+N$3,1)&lt;&gt;""),1,0),0)</f>
        <v/>
      </c>
      <c r="O25">
        <f>IF(O$4=1,IF(OR(INDEX('×入力'!$A$1:$L$1300,427+O$3,2+O$2)&lt;&gt;"",INDEX('×入力'!$A$1:$L$1300,426,2+O$2)&lt;&gt;"",INDEX('×入力'!$A$1:$L$1300,427+O$3,1)&lt;&gt;""),1,0),0)</f>
        <v/>
      </c>
      <c r="P25">
        <f>IF(P$4=1,IF(OR(INDEX('×入力'!$A$1:$L$1300,427+P$3,2+P$2)&lt;&gt;"",INDEX('×入力'!$A$1:$L$1300,426,2+P$2)&lt;&gt;"",INDEX('×入力'!$A$1:$L$1300,427+P$3,1)&lt;&gt;""),1,0),0)</f>
        <v/>
      </c>
      <c r="Q25">
        <f>IF(Q$4=1,IF(OR(INDEX('×入力'!$A$1:$L$1300,427+Q$3,2+Q$2)&lt;&gt;"",INDEX('×入力'!$A$1:$L$1300,426,2+Q$2)&lt;&gt;"",INDEX('×入力'!$A$1:$L$1300,427+Q$3,1)&lt;&gt;""),1,0),0)</f>
        <v/>
      </c>
      <c r="R25">
        <f>IF(R$4=1,IF(OR(INDEX('×入力'!$A$1:$L$1300,427+R$3,2+R$2)&lt;&gt;"",INDEX('×入力'!$A$1:$L$1300,426,2+R$2)&lt;&gt;"",INDEX('×入力'!$A$1:$L$1300,427+R$3,1)&lt;&gt;""),1,0),0)</f>
        <v/>
      </c>
      <c r="S25">
        <f>IF(S$4=1,IF(OR(INDEX('×入力'!$A$1:$L$1300,427+S$3,2+S$2)&lt;&gt;"",INDEX('×入力'!$A$1:$L$1300,426,2+S$2)&lt;&gt;"",INDEX('×入力'!$A$1:$L$1300,427+S$3,1)&lt;&gt;""),1,0),0)</f>
        <v/>
      </c>
      <c r="T25">
        <f>IF(T$4=1,IF(OR(INDEX('×入力'!$A$1:$L$1300,427+T$3,2+T$2)&lt;&gt;"",INDEX('×入力'!$A$1:$L$1300,426,2+T$2)&lt;&gt;"",INDEX('×入力'!$A$1:$L$1300,427+T$3,1)&lt;&gt;""),1,0),0)</f>
        <v/>
      </c>
      <c r="U25">
        <f>IF(U$4=1,IF(OR(INDEX('×入力'!$A$1:$L$1300,427+U$3,2+U$2)&lt;&gt;"",INDEX('×入力'!$A$1:$L$1300,426,2+U$2)&lt;&gt;"",INDEX('×入力'!$A$1:$L$1300,427+U$3,1)&lt;&gt;""),1,0),0)</f>
        <v/>
      </c>
      <c r="V25">
        <f>IF(V$4=1,IF(OR(INDEX('×入力'!$A$1:$L$1300,427+V$3,2+V$2)&lt;&gt;"",INDEX('×入力'!$A$1:$L$1300,426,2+V$2)&lt;&gt;"",INDEX('×入力'!$A$1:$L$1300,427+V$3,1)&lt;&gt;""),1,0),0)</f>
        <v/>
      </c>
      <c r="W25">
        <f>IF(W$4=1,IF(OR(INDEX('×入力'!$A$1:$L$1300,427+W$3,2+W$2)&lt;&gt;"",INDEX('×入力'!$A$1:$L$1300,426,2+W$2)&lt;&gt;"",INDEX('×入力'!$A$1:$L$1300,427+W$3,1)&lt;&gt;""),1,0),0)</f>
        <v/>
      </c>
      <c r="X25">
        <f>IF(X$4=1,IF(OR(INDEX('×入力'!$A$1:$L$1300,427+X$3,2+X$2)&lt;&gt;"",INDEX('×入力'!$A$1:$L$1300,426,2+X$2)&lt;&gt;"",INDEX('×入力'!$A$1:$L$1300,427+X$3,1)&lt;&gt;""),1,0),0)</f>
        <v/>
      </c>
      <c r="Y25">
        <f>IF(Y$4=1,IF(OR(INDEX('×入力'!$A$1:$L$1300,427+Y$3,2+Y$2)&lt;&gt;"",INDEX('×入力'!$A$1:$L$1300,426,2+Y$2)&lt;&gt;"",INDEX('×入力'!$A$1:$L$1300,427+Y$3,1)&lt;&gt;""),1,0),0)</f>
        <v/>
      </c>
      <c r="Z25">
        <f>IF(Z$4=1,IF(OR(INDEX('×入力'!$A$1:$L$1300,427+Z$3,2+Z$2)&lt;&gt;"",INDEX('×入力'!$A$1:$L$1300,426,2+Z$2)&lt;&gt;"",INDEX('×入力'!$A$1:$L$1300,427+Z$3,1)&lt;&gt;""),1,0),0)</f>
        <v/>
      </c>
      <c r="AA25">
        <f>IF(AA$4=1,IF(OR(INDEX('×入力'!$A$1:$L$1300,427+AA$3,2+AA$2)&lt;&gt;"",INDEX('×入力'!$A$1:$L$1300,426,2+AA$2)&lt;&gt;"",INDEX('×入力'!$A$1:$L$1300,427+AA$3,1)&lt;&gt;""),1,0),0)</f>
        <v/>
      </c>
      <c r="AB25">
        <f>IF(AB$4=1,IF(OR(INDEX('×入力'!$A$1:$L$1300,427+AB$3,2+AB$2)&lt;&gt;"",INDEX('×入力'!$A$1:$L$1300,426,2+AB$2)&lt;&gt;"",INDEX('×入力'!$A$1:$L$1300,427+AB$3,1)&lt;&gt;""),1,0),0)</f>
        <v/>
      </c>
      <c r="AC25">
        <f>IF(AC$4=1,IF(OR(INDEX('×入力'!$A$1:$L$1300,427+AC$3,2+AC$2)&lt;&gt;"",INDEX('×入力'!$A$1:$L$1300,426,2+AC$2)&lt;&gt;"",INDEX('×入力'!$A$1:$L$1300,427+AC$3,1)&lt;&gt;""),1,0),0)</f>
        <v/>
      </c>
      <c r="AD25">
        <f>IF(AD$4=1,IF(OR(INDEX('×入力'!$A$1:$L$1300,427+AD$3,2+AD$2)&lt;&gt;"",INDEX('×入力'!$A$1:$L$1300,426,2+AD$2)&lt;&gt;"",INDEX('×入力'!$A$1:$L$1300,427+AD$3,1)&lt;&gt;""),1,0),0)</f>
        <v/>
      </c>
      <c r="AE25">
        <f>IF(AE$4=1,IF(OR(INDEX('×入力'!$A$1:$L$1300,427+AE$3,2+AE$2)&lt;&gt;"",INDEX('×入力'!$A$1:$L$1300,426,2+AE$2)&lt;&gt;"",INDEX('×入力'!$A$1:$L$1300,427+AE$3,1)&lt;&gt;""),1,0),0)</f>
        <v/>
      </c>
      <c r="AF25">
        <f>IF(AF$4=1,IF(OR(INDEX('×入力'!$A$1:$L$1300,427+AF$3,2+AF$2)&lt;&gt;"",INDEX('×入力'!$A$1:$L$1300,426,2+AF$2)&lt;&gt;"",INDEX('×入力'!$A$1:$L$1300,427+AF$3,1)&lt;&gt;""),1,0),0)</f>
        <v/>
      </c>
      <c r="AG25">
        <f>IF(AG$4=1,IF(OR(INDEX('×入力'!$A$1:$L$1300,427+AG$3,2+AG$2)&lt;&gt;"",INDEX('×入力'!$A$1:$L$1300,426,2+AG$2)&lt;&gt;"",INDEX('×入力'!$A$1:$L$1300,427+AG$3,1)&lt;&gt;""),1,0),0)</f>
        <v/>
      </c>
      <c r="AH25">
        <f>IF(AH$4=1,IF(OR(INDEX('×入力'!$A$1:$L$1300,427+AH$3,2+AH$2)&lt;&gt;"",INDEX('×入力'!$A$1:$L$1300,426,2+AH$2)&lt;&gt;"",INDEX('×入力'!$A$1:$L$1300,427+AH$3,1)&lt;&gt;""),1,0),0)</f>
        <v/>
      </c>
      <c r="AI25">
        <f>IF(AI$4=1,IF(OR(INDEX('×入力'!$A$1:$L$1300,427+AI$3,2+AI$2)&lt;&gt;"",INDEX('×入力'!$A$1:$L$1300,426,2+AI$2)&lt;&gt;"",INDEX('×入力'!$A$1:$L$1300,427+AI$3,1)&lt;&gt;""),1,0),0)</f>
        <v/>
      </c>
      <c r="AJ25">
        <f>IF(AJ$4=1,IF(OR(INDEX('×入力'!$A$1:$L$1300,427+AJ$3,2+AJ$2)&lt;&gt;"",INDEX('×入力'!$A$1:$L$1300,426,2+AJ$2)&lt;&gt;"",INDEX('×入力'!$A$1:$L$1300,427+AJ$3,1)&lt;&gt;""),1,0),0)</f>
        <v/>
      </c>
      <c r="AK25">
        <f>IF(AK$4=1,IF(OR(INDEX('×入力'!$A$1:$L$1300,427+AK$3,2+AK$2)&lt;&gt;"",INDEX('×入力'!$A$1:$L$1300,426,2+AK$2)&lt;&gt;"",INDEX('×入力'!$A$1:$L$1300,427+AK$3,1)&lt;&gt;""),1,0),0)</f>
        <v/>
      </c>
      <c r="AL25">
        <f>IF(AL$4=1,IF(OR(INDEX('×入力'!$A$1:$L$1300,427+AL$3,2+AL$2)&lt;&gt;"",INDEX('×入力'!$A$1:$L$1300,426,2+AL$2)&lt;&gt;"",INDEX('×入力'!$A$1:$L$1300,427+AL$3,1)&lt;&gt;""),1,0),0)</f>
        <v/>
      </c>
      <c r="AM25">
        <f>IF(AM$4=1,IF(OR(INDEX('×入力'!$A$1:$L$1300,427+AM$3,2+AM$2)&lt;&gt;"",INDEX('×入力'!$A$1:$L$1300,426,2+AM$2)&lt;&gt;"",INDEX('×入力'!$A$1:$L$1300,427+AM$3,1)&lt;&gt;""),1,0),0)</f>
        <v/>
      </c>
      <c r="AN25">
        <f>IF(AN$4=1,IF(OR(INDEX('×入力'!$A$1:$L$1300,427+AN$3,2+AN$2)&lt;&gt;"",INDEX('×入力'!$A$1:$L$1300,426,2+AN$2)&lt;&gt;"",INDEX('×入力'!$A$1:$L$1300,427+AN$3,1)&lt;&gt;""),1,0),0)</f>
        <v/>
      </c>
      <c r="AO25">
        <f>IF(AO$4=1,IF(OR(INDEX('×入力'!$A$1:$L$1300,427+AO$3,2+AO$2)&lt;&gt;"",INDEX('×入力'!$A$1:$L$1300,426,2+AO$2)&lt;&gt;"",INDEX('×入力'!$A$1:$L$1300,427+AO$3,1)&lt;&gt;""),1,0),0)</f>
        <v/>
      </c>
      <c r="AP25">
        <f>IF(AP$4=1,IF(OR(INDEX('×入力'!$A$1:$L$1300,427+AP$3,2+AP$2)&lt;&gt;"",INDEX('×入力'!$A$1:$L$1300,426,2+AP$2)&lt;&gt;"",INDEX('×入力'!$A$1:$L$1300,427+AP$3,1)&lt;&gt;""),1,0),0)</f>
        <v/>
      </c>
      <c r="AQ25">
        <f>IF(AQ$4=1,IF(OR(INDEX('×入力'!$A$1:$L$1300,427+AQ$3,2+AQ$2)&lt;&gt;"",INDEX('×入力'!$A$1:$L$1300,426,2+AQ$2)&lt;&gt;"",INDEX('×入力'!$A$1:$L$1300,427+AQ$3,1)&lt;&gt;""),1,0),0)</f>
        <v/>
      </c>
      <c r="AR25">
        <f>IF(AR$4=1,IF(OR(INDEX('×入力'!$A$1:$L$1300,427+AR$3,2+AR$2)&lt;&gt;"",INDEX('×入力'!$A$1:$L$1300,426,2+AR$2)&lt;&gt;"",INDEX('×入力'!$A$1:$L$1300,427+AR$3,1)&lt;&gt;""),1,0),0)</f>
        <v/>
      </c>
      <c r="AS25">
        <f>IF(AS$4=1,IF(OR(INDEX('×入力'!$A$1:$L$1300,427+AS$3,2+AS$2)&lt;&gt;"",INDEX('×入力'!$A$1:$L$1300,426,2+AS$2)&lt;&gt;"",INDEX('×入力'!$A$1:$L$1300,427+AS$3,1)&lt;&gt;""),1,0),0)</f>
        <v/>
      </c>
      <c r="AT25">
        <f>IF(AT$4=1,IF(OR(INDEX('×入力'!$A$1:$L$1300,427+AT$3,2+AT$2)&lt;&gt;"",INDEX('×入力'!$A$1:$L$1300,426,2+AT$2)&lt;&gt;"",INDEX('×入力'!$A$1:$L$1300,427+AT$3,1)&lt;&gt;""),1,0),0)</f>
        <v/>
      </c>
      <c r="AU25">
        <f>IF(AU$4=1,IF(OR(INDEX('×入力'!$A$1:$L$1300,427+AU$3,2+AU$2)&lt;&gt;"",INDEX('×入力'!$A$1:$L$1300,426,2+AU$2)&lt;&gt;"",INDEX('×入力'!$A$1:$L$1300,427+AU$3,1)&lt;&gt;""),1,0),0)</f>
        <v/>
      </c>
      <c r="AV25">
        <f>IF(AV$4=1,IF(OR(INDEX('×入力'!$A$1:$L$1300,427+AV$3,2+AV$2)&lt;&gt;"",INDEX('×入力'!$A$1:$L$1300,426,2+AV$2)&lt;&gt;"",INDEX('×入力'!$A$1:$L$1300,427+AV$3,1)&lt;&gt;""),1,0),0)</f>
        <v/>
      </c>
      <c r="AW25">
        <f>IF(AW$4=1,IF(OR(INDEX('×入力'!$A$1:$L$1300,427+AW$3,2+AW$2)&lt;&gt;"",INDEX('×入力'!$A$1:$L$1300,426,2+AW$2)&lt;&gt;"",INDEX('×入力'!$A$1:$L$1300,427+AW$3,1)&lt;&gt;""),1,0),0)</f>
        <v/>
      </c>
      <c r="AX25">
        <f>IF(AX$4=1,IF(OR(INDEX('×入力'!$A$1:$L$1300,427+AX$3,2+AX$2)&lt;&gt;"",INDEX('×入力'!$A$1:$L$1300,426,2+AX$2)&lt;&gt;"",INDEX('×入力'!$A$1:$L$1300,427+AX$3,1)&lt;&gt;""),1,0),0)</f>
        <v/>
      </c>
      <c r="AY25">
        <f>IF(AY$4=1,IF(OR(INDEX('×入力'!$A$1:$L$1300,427+AY$3,2+AY$2)&lt;&gt;"",INDEX('×入力'!$A$1:$L$1300,426,2+AY$2)&lt;&gt;"",INDEX('×入力'!$A$1:$L$1300,427+AY$3,1)&lt;&gt;""),1,0),0)</f>
        <v/>
      </c>
      <c r="AZ25">
        <f>IF(AZ$4=1,IF(OR(INDEX('×入力'!$A$1:$L$1300,427+AZ$3,2+AZ$2)&lt;&gt;"",INDEX('×入力'!$A$1:$L$1300,426,2+AZ$2)&lt;&gt;"",INDEX('×入力'!$A$1:$L$1300,427+AZ$3,1)&lt;&gt;""),1,0),0)</f>
        <v/>
      </c>
      <c r="BA25">
        <f>IF(BA$4=1,IF(OR(INDEX('×入力'!$A$1:$L$1300,427+BA$3,2+BA$2)&lt;&gt;"",INDEX('×入力'!$A$1:$L$1300,426,2+BA$2)&lt;&gt;"",INDEX('×入力'!$A$1:$L$1300,427+BA$3,1)&lt;&gt;""),1,0),0)</f>
        <v/>
      </c>
      <c r="BB25">
        <f>IF(BB$4=1,IF(OR(INDEX('×入力'!$A$1:$L$1300,427+BB$3,2+BB$2)&lt;&gt;"",INDEX('×入力'!$A$1:$L$1300,426,2+BB$2)&lt;&gt;"",INDEX('×入力'!$A$1:$L$1300,427+BB$3,1)&lt;&gt;""),1,0),0)</f>
        <v/>
      </c>
      <c r="BC25">
        <f>IF(BC$4=1,IF(OR(INDEX('×入力'!$A$1:$L$1300,427+BC$3,2+BC$2)&lt;&gt;"",INDEX('×入力'!$A$1:$L$1300,426,2+BC$2)&lt;&gt;"",INDEX('×入力'!$A$1:$L$1300,427+BC$3,1)&lt;&gt;""),1,0),0)</f>
        <v/>
      </c>
      <c r="BD25">
        <f>IF(BD$4=1,IF(OR(INDEX('×入力'!$A$1:$L$1300,427+BD$3,2+BD$2)&lt;&gt;"",INDEX('×入力'!$A$1:$L$1300,426,2+BD$2)&lt;&gt;"",INDEX('×入力'!$A$1:$L$1300,427+BD$3,1)&lt;&gt;""),1,0),0)</f>
        <v/>
      </c>
      <c r="BE25">
        <f>IF(BE$4=1,IF(OR(INDEX('×入力'!$A$1:$L$1300,427+BE$3,2+BE$2)&lt;&gt;"",INDEX('×入力'!$A$1:$L$1300,426,2+BE$2)&lt;&gt;"",INDEX('×入力'!$A$1:$L$1300,427+BE$3,1)&lt;&gt;""),1,0),0)</f>
        <v/>
      </c>
      <c r="BF25">
        <f>IF(BF$4=1,IF(OR(INDEX('×入力'!$A$1:$L$1300,427+BF$3,2+BF$2)&lt;&gt;"",INDEX('×入力'!$A$1:$L$1300,426,2+BF$2)&lt;&gt;"",INDEX('×入力'!$A$1:$L$1300,427+BF$3,1)&lt;&gt;""),1,0),0)</f>
        <v/>
      </c>
      <c r="BG25">
        <f>IF(BG$4=1,IF(OR(INDEX('×入力'!$A$1:$L$1300,427+BG$3,2+BG$2)&lt;&gt;"",INDEX('×入力'!$A$1:$L$1300,426,2+BG$2)&lt;&gt;"",INDEX('×入力'!$A$1:$L$1300,427+BG$3,1)&lt;&gt;""),1,0),0)</f>
        <v/>
      </c>
      <c r="BH25">
        <f>IF(BH$4=1,IF(OR(INDEX('×入力'!$A$1:$L$1300,427+BH$3,2+BH$2)&lt;&gt;"",INDEX('×入力'!$A$1:$L$1300,426,2+BH$2)&lt;&gt;"",INDEX('×入力'!$A$1:$L$1300,427+BH$3,1)&lt;&gt;""),1,0),0)</f>
        <v/>
      </c>
      <c r="BI25">
        <f>IF(BI$4=1,IF(OR(INDEX('×入力'!$A$1:$L$1300,427+BI$3,2+BI$2)&lt;&gt;"",INDEX('×入力'!$A$1:$L$1300,426,2+BI$2)&lt;&gt;"",INDEX('×入力'!$A$1:$L$1300,427+BI$3,1)&lt;&gt;""),1,0),0)</f>
        <v/>
      </c>
      <c r="BJ25">
        <f>IF(BJ$4=1,IF(OR(INDEX('×入力'!$A$1:$L$1300,427+BJ$3,2+BJ$2)&lt;&gt;"",INDEX('×入力'!$A$1:$L$1300,426,2+BJ$2)&lt;&gt;"",INDEX('×入力'!$A$1:$L$1300,427+BJ$3,1)&lt;&gt;""),1,0),0)</f>
        <v/>
      </c>
      <c r="BK25">
        <f>IF(BK$4=1,IF(OR(INDEX('×入力'!$A$1:$L$1300,427+BK$3,2+BK$2)&lt;&gt;"",INDEX('×入力'!$A$1:$L$1300,426,2+BK$2)&lt;&gt;"",INDEX('×入力'!$A$1:$L$1300,427+BK$3,1)&lt;&gt;""),1,0),0)</f>
        <v/>
      </c>
      <c r="BL25">
        <f>IF(BL$4=1,IF(OR(INDEX('×入力'!$A$1:$L$1300,427+BL$3,2+BL$2)&lt;&gt;"",INDEX('×入力'!$A$1:$L$1300,426,2+BL$2)&lt;&gt;"",INDEX('×入力'!$A$1:$L$1300,427+BL$3,1)&lt;&gt;""),1,0),0)</f>
        <v/>
      </c>
      <c r="BM25">
        <f>IF(BM$4=1,IF(OR(INDEX('×入力'!$A$1:$L$1300,427+BM$3,2+BM$2)&lt;&gt;"",INDEX('×入力'!$A$1:$L$1300,426,2+BM$2)&lt;&gt;"",INDEX('×入力'!$A$1:$L$1300,427+BM$3,1)&lt;&gt;""),1,0),0)</f>
        <v/>
      </c>
      <c r="BN25">
        <f>IF(BN$4=1,IF(OR(INDEX('×入力'!$A$1:$L$1300,427+BN$3,2+BN$2)&lt;&gt;"",INDEX('×入力'!$A$1:$L$1300,426,2+BN$2)&lt;&gt;"",INDEX('×入力'!$A$1:$L$1300,427+BN$3,1)&lt;&gt;""),1,0),0)</f>
        <v/>
      </c>
      <c r="BO25">
        <f>IF(BO$4=1,IF(OR(INDEX('×入力'!$A$1:$L$1300,427+BO$3,2+BO$2)&lt;&gt;"",INDEX('×入力'!$A$1:$L$1300,426,2+BO$2)&lt;&gt;"",INDEX('×入力'!$A$1:$L$1300,427+BO$3,1)&lt;&gt;""),1,0),0)</f>
        <v/>
      </c>
      <c r="BP25">
        <f>IF(BP$4=1,IF(OR(INDEX('×入力'!$A$1:$L$1300,427+BP$3,2+BP$2)&lt;&gt;"",INDEX('×入力'!$A$1:$L$1300,426,2+BP$2)&lt;&gt;"",INDEX('×入力'!$A$1:$L$1300,427+BP$3,1)&lt;&gt;""),1,0),0)</f>
        <v/>
      </c>
      <c r="BQ25">
        <f>IF(BQ$4=1,IF(OR(INDEX('×入力'!$A$1:$L$1300,427+BQ$3,2+BQ$2)&lt;&gt;"",INDEX('×入力'!$A$1:$L$1300,426,2+BQ$2)&lt;&gt;"",INDEX('×入力'!$A$1:$L$1300,427+BQ$3,1)&lt;&gt;""),1,0),0)</f>
        <v/>
      </c>
      <c r="BR25">
        <f>IF(BR$4=1,IF(OR(INDEX('×入力'!$A$1:$L$1300,427+BR$3,2+BR$2)&lt;&gt;"",INDEX('×入力'!$A$1:$L$1300,426,2+BR$2)&lt;&gt;"",INDEX('×入力'!$A$1:$L$1300,427+BR$3,1)&lt;&gt;""),1,0),0)</f>
        <v/>
      </c>
      <c r="BS25">
        <f>IF(BS$4=1,IF(OR(INDEX('×入力'!$A$1:$L$1300,427+BS$3,2+BS$2)&lt;&gt;"",INDEX('×入力'!$A$1:$L$1300,426,2+BS$2)&lt;&gt;"",INDEX('×入力'!$A$1:$L$1300,427+BS$3,1)&lt;&gt;""),1,0),0)</f>
        <v/>
      </c>
      <c r="BT25">
        <f>IF(BT$4=1,IF(OR(INDEX('×入力'!$A$1:$L$1300,427+BT$3,2+BT$2)&lt;&gt;"",INDEX('×入力'!$A$1:$L$1300,426,2+BT$2)&lt;&gt;"",INDEX('×入力'!$A$1:$L$1300,427+BT$3,1)&lt;&gt;""),1,0),0)</f>
        <v/>
      </c>
      <c r="BU25">
        <f>IF(BU$4=1,IF(OR(INDEX('×入力'!$A$1:$L$1300,427+BU$3,2+BU$2)&lt;&gt;"",INDEX('×入力'!$A$1:$L$1300,426,2+BU$2)&lt;&gt;"",INDEX('×入力'!$A$1:$L$1300,427+BU$3,1)&lt;&gt;""),1,0),0)</f>
        <v/>
      </c>
      <c r="BV25">
        <f>IF(BV$4=1,IF(OR(INDEX('×入力'!$A$1:$L$1300,427+BV$3,2+BV$2)&lt;&gt;"",INDEX('×入力'!$A$1:$L$1300,426,2+BV$2)&lt;&gt;"",INDEX('×入力'!$A$1:$L$1300,427+BV$3,1)&lt;&gt;""),1,0),0)</f>
        <v/>
      </c>
      <c r="BW25">
        <f>IF(BW$4=1,IF(OR(INDEX('×入力'!$A$1:$L$1300,427+BW$3,2+BW$2)&lt;&gt;"",INDEX('×入力'!$A$1:$L$1300,426,2+BW$2)&lt;&gt;"",INDEX('×入力'!$A$1:$L$1300,427+BW$3,1)&lt;&gt;""),1,0),0)</f>
        <v/>
      </c>
      <c r="BX25">
        <f>IF(BX$4=1,IF(OR(INDEX('×入力'!$A$1:$L$1300,427+BX$3,2+BX$2)&lt;&gt;"",INDEX('×入力'!$A$1:$L$1300,426,2+BX$2)&lt;&gt;"",INDEX('×入力'!$A$1:$L$1300,427+BX$3,1)&lt;&gt;""),1,0),0)</f>
        <v/>
      </c>
      <c r="BY25">
        <f>IF(BY$4=1,IF(OR(INDEX('×入力'!$A$1:$L$1300,427+BY$3,2+BY$2)&lt;&gt;"",INDEX('×入力'!$A$1:$L$1300,426,2+BY$2)&lt;&gt;"",INDEX('×入力'!$A$1:$L$1300,427+BY$3,1)&lt;&gt;""),1,0),0)</f>
        <v/>
      </c>
      <c r="BZ25">
        <f>IF(BZ$4=1,IF(OR(INDEX('×入力'!$A$1:$L$1300,427+BZ$3,2+BZ$2)&lt;&gt;"",INDEX('×入力'!$A$1:$L$1300,426,2+BZ$2)&lt;&gt;"",INDEX('×入力'!$A$1:$L$1300,427+BZ$3,1)&lt;&gt;""),1,0),0)</f>
        <v/>
      </c>
      <c r="CA25">
        <f>IF(CA$4=1,IF(OR(INDEX('×入力'!$A$1:$L$1300,427+CA$3,2+CA$2)&lt;&gt;"",INDEX('×入力'!$A$1:$L$1300,426,2+CA$2)&lt;&gt;"",INDEX('×入力'!$A$1:$L$1300,427+CA$3,1)&lt;&gt;""),1,0),0)</f>
        <v/>
      </c>
      <c r="CB25">
        <f>IF(CB$4=1,IF(OR(INDEX('×入力'!$A$1:$L$1300,427+CB$3,2+CB$2)&lt;&gt;"",INDEX('×入力'!$A$1:$L$1300,426,2+CB$2)&lt;&gt;"",INDEX('×入力'!$A$1:$L$1300,427+CB$3,1)&lt;&gt;""),1,0),0)</f>
        <v/>
      </c>
      <c r="CC25">
        <f>IF(CC$4=1,IF(OR(INDEX('×入力'!$A$1:$L$1300,427+CC$3,2+CC$2)&lt;&gt;"",INDEX('×入力'!$A$1:$L$1300,426,2+CC$2)&lt;&gt;"",INDEX('×入力'!$A$1:$L$1300,427+CC$3,1)&lt;&gt;""),1,0),0)</f>
        <v/>
      </c>
      <c r="CD25">
        <f>IF(CD$4=1,IF(OR(INDEX('×入力'!$A$1:$L$1300,427+CD$3,2+CD$2)&lt;&gt;"",INDEX('×入力'!$A$1:$L$1300,426,2+CD$2)&lt;&gt;"",INDEX('×入力'!$A$1:$L$1300,427+CD$3,1)&lt;&gt;""),1,0),0)</f>
        <v/>
      </c>
      <c r="CE25">
        <f>IF(CE$4=1,IF(OR(INDEX('×入力'!$A$1:$L$1300,427+CE$3,2+CE$2)&lt;&gt;"",INDEX('×入力'!$A$1:$L$1300,426,2+CE$2)&lt;&gt;"",INDEX('×入力'!$A$1:$L$1300,427+CE$3,1)&lt;&gt;""),1,0),0)</f>
        <v/>
      </c>
      <c r="CF25">
        <f>IF(CF$4=1,IF(OR(INDEX('×入力'!$A$1:$L$1300,427+CF$3,2+CF$2)&lt;&gt;"",INDEX('×入力'!$A$1:$L$1300,426,2+CF$2)&lt;&gt;"",INDEX('×入力'!$A$1:$L$1300,427+CF$3,1)&lt;&gt;""),1,0),0)</f>
        <v/>
      </c>
      <c r="CG25">
        <f>IF(CG$4=1,IF(OR(INDEX('×入力'!$A$1:$L$1300,427+CG$3,2+CG$2)&lt;&gt;"",INDEX('×入力'!$A$1:$L$1300,426,2+CG$2)&lt;&gt;"",INDEX('×入力'!$A$1:$L$1300,427+CG$3,1)&lt;&gt;""),1,0),0)</f>
        <v/>
      </c>
      <c r="CH25">
        <f>IF(CH$4=1,IF(OR(INDEX('×入力'!$A$1:$L$1300,427+CH$3,2+CH$2)&lt;&gt;"",INDEX('×入力'!$A$1:$L$1300,426,2+CH$2)&lt;&gt;"",INDEX('×入力'!$A$1:$L$1300,427+CH$3,1)&lt;&gt;""),1,0),0)</f>
        <v/>
      </c>
      <c r="CI25">
        <f>IF(CI$4=1,IF(OR(INDEX('×入力'!$A$1:$L$1300,427+CI$3,2+CI$2)&lt;&gt;"",INDEX('×入力'!$A$1:$L$1300,426,2+CI$2)&lt;&gt;"",INDEX('×入力'!$A$1:$L$1300,427+CI$3,1)&lt;&gt;""),1,0),0)</f>
        <v/>
      </c>
      <c r="CJ25">
        <f>IF(CJ$4=1,IF(OR(INDEX('×入力'!$A$1:$L$1300,427+CJ$3,2+CJ$2)&lt;&gt;"",INDEX('×入力'!$A$1:$L$1300,426,2+CJ$2)&lt;&gt;"",INDEX('×入力'!$A$1:$L$1300,427+CJ$3,1)&lt;&gt;""),1,0),0)</f>
        <v/>
      </c>
      <c r="CK25">
        <f>IF(CK$4=1,IF(OR(INDEX('×入力'!$A$1:$L$1300,427+CK$3,2+CK$2)&lt;&gt;"",INDEX('×入力'!$A$1:$L$1300,426,2+CK$2)&lt;&gt;"",INDEX('×入力'!$A$1:$L$1300,427+CK$3,1)&lt;&gt;""),1,0),0)</f>
        <v/>
      </c>
      <c r="CL25">
        <f>IF(CL$4=1,IF(OR(INDEX('×入力'!$A$1:$L$1300,427+CL$3,2+CL$2)&lt;&gt;"",INDEX('×入力'!$A$1:$L$1300,426,2+CL$2)&lt;&gt;"",INDEX('×入力'!$A$1:$L$1300,427+CL$3,1)&lt;&gt;""),1,0),0)</f>
        <v/>
      </c>
      <c r="CM25">
        <f>IF(CM$4=1,IF(OR(INDEX('×入力'!$A$1:$L$1300,427+CM$3,2+CM$2)&lt;&gt;"",INDEX('×入力'!$A$1:$L$1300,426,2+CM$2)&lt;&gt;"",INDEX('×入力'!$A$1:$L$1300,427+CM$3,1)&lt;&gt;""),1,0),0)</f>
        <v/>
      </c>
      <c r="CN25">
        <f>IF(CN$4=1,IF(OR(INDEX('×入力'!$A$1:$L$1300,427+CN$3,2+CN$2)&lt;&gt;"",INDEX('×入力'!$A$1:$L$1300,426,2+CN$2)&lt;&gt;"",INDEX('×入力'!$A$1:$L$1300,427+CN$3,1)&lt;&gt;""),1,0),0)</f>
        <v/>
      </c>
      <c r="CO25">
        <f>IF(CO$4=1,IF(OR(INDEX('×入力'!$A$1:$L$1300,427+CO$3,2+CO$2)&lt;&gt;"",INDEX('×入力'!$A$1:$L$1300,426,2+CO$2)&lt;&gt;"",INDEX('×入力'!$A$1:$L$1300,427+CO$3,1)&lt;&gt;""),1,0),0)</f>
        <v/>
      </c>
      <c r="CP25">
        <f>IF(CP$4=1,IF(OR(INDEX('×入力'!$A$1:$L$1300,427+CP$3,2+CP$2)&lt;&gt;"",INDEX('×入力'!$A$1:$L$1300,426,2+CP$2)&lt;&gt;"",INDEX('×入力'!$A$1:$L$1300,427+CP$3,1)&lt;&gt;""),1,0),0)</f>
        <v/>
      </c>
      <c r="CQ25">
        <f>IF(CQ$4=1,IF(OR(INDEX('×入力'!$A$1:$L$1300,427+CQ$3,2+CQ$2)&lt;&gt;"",INDEX('×入力'!$A$1:$L$1300,426,2+CQ$2)&lt;&gt;"",INDEX('×入力'!$A$1:$L$1300,427+CQ$3,1)&lt;&gt;""),1,0),0)</f>
        <v/>
      </c>
      <c r="CR25">
        <f>IF(CR$4=1,IF(OR(INDEX('×入力'!$A$1:$L$1300,427+CR$3,2+CR$2)&lt;&gt;"",INDEX('×入力'!$A$1:$L$1300,426,2+CR$2)&lt;&gt;"",INDEX('×入力'!$A$1:$L$1300,427+CR$3,1)&lt;&gt;""),1,0),0)</f>
        <v/>
      </c>
      <c r="CS25">
        <f>IF(CS$4=1,IF(OR(INDEX('×入力'!$A$1:$L$1300,427+CS$3,2+CS$2)&lt;&gt;"",INDEX('×入力'!$A$1:$L$1300,426,2+CS$2)&lt;&gt;"",INDEX('×入力'!$A$1:$L$1300,427+CS$3,1)&lt;&gt;""),1,0),0)</f>
        <v/>
      </c>
      <c r="CT25">
        <f>IF(CT$4=1,IF(OR(INDEX('×入力'!$A$1:$L$1300,427+CT$3,2+CT$2)&lt;&gt;"",INDEX('×入力'!$A$1:$L$1300,426,2+CT$2)&lt;&gt;"",INDEX('×入力'!$A$1:$L$1300,427+CT$3,1)&lt;&gt;""),1,0),0)</f>
        <v/>
      </c>
      <c r="CU25">
        <f>IF(CU$4=1,IF(OR(INDEX('×入力'!$A$1:$L$1300,427+CU$3,2+CU$2)&lt;&gt;"",INDEX('×入力'!$A$1:$L$1300,426,2+CU$2)&lt;&gt;"",INDEX('×入力'!$A$1:$L$1300,427+CU$3,1)&lt;&gt;""),1,0),0)</f>
        <v/>
      </c>
      <c r="CV25">
        <f>IF(CV$4=1,IF(OR(INDEX('×入力'!$A$1:$L$1300,427+CV$3,2+CV$2)&lt;&gt;"",INDEX('×入力'!$A$1:$L$1300,426,2+CV$2)&lt;&gt;"",INDEX('×入力'!$A$1:$L$1300,427+CV$3,1)&lt;&gt;""),1,0),0)</f>
        <v/>
      </c>
      <c r="CW25">
        <f>IF(CW$4=1,IF(OR(INDEX('×入力'!$A$1:$L$1300,427+CW$3,2+CW$2)&lt;&gt;"",INDEX('×入力'!$A$1:$L$1300,426,2+CW$2)&lt;&gt;"",INDEX('×入力'!$A$1:$L$1300,427+CW$3,1)&lt;&gt;""),1,0),0)</f>
        <v/>
      </c>
      <c r="CX25">
        <f>IF(CX$4=1,IF(OR(INDEX('×入力'!$A$1:$L$1300,427+CX$3,2+CX$2)&lt;&gt;"",INDEX('×入力'!$A$1:$L$1300,426,2+CX$2)&lt;&gt;"",INDEX('×入力'!$A$1:$L$1300,427+CX$3,1)&lt;&gt;""),1,0),0)</f>
        <v/>
      </c>
      <c r="CY25">
        <f>IF(CY$4=1,IF(OR(INDEX('×入力'!$A$1:$L$1300,427+CY$3,2+CY$2)&lt;&gt;"",INDEX('×入力'!$A$1:$L$1300,426,2+CY$2)&lt;&gt;"",INDEX('×入力'!$A$1:$L$1300,427+CY$3,1)&lt;&gt;""),1,0),0)</f>
        <v/>
      </c>
      <c r="CZ25">
        <f>IF(CZ$4=1,IF(OR(INDEX('×入力'!$A$1:$L$1300,427+CZ$3,2+CZ$2)&lt;&gt;"",INDEX('×入力'!$A$1:$L$1300,426,2+CZ$2)&lt;&gt;"",INDEX('×入力'!$A$1:$L$1300,427+CZ$3,1)&lt;&gt;""),1,0),0)</f>
        <v/>
      </c>
      <c r="DA25">
        <f>IF(DA$4=1,IF(OR(INDEX('×入力'!$A$1:$L$1300,427+DA$3,2+DA$2)&lt;&gt;"",INDEX('×入力'!$A$1:$L$1300,426,2+DA$2)&lt;&gt;"",INDEX('×入力'!$A$1:$L$1300,427+DA$3,1)&lt;&gt;""),1,0),0)</f>
        <v/>
      </c>
      <c r="DB25">
        <f>IF(DB$4=1,IF(OR(INDEX('×入力'!$A$1:$L$1300,427+DB$3,2+DB$2)&lt;&gt;"",INDEX('×入力'!$A$1:$L$1300,426,2+DB$2)&lt;&gt;"",INDEX('×入力'!$A$1:$L$1300,427+DB$3,1)&lt;&gt;""),1,0),0)</f>
        <v/>
      </c>
      <c r="DC25">
        <f>IF(DC$4=1,IF(OR(INDEX('×入力'!$A$1:$L$1300,427+DC$3,2+DC$2)&lt;&gt;"",INDEX('×入力'!$A$1:$L$1300,426,2+DC$2)&lt;&gt;"",INDEX('×入力'!$A$1:$L$1300,427+DC$3,1)&lt;&gt;""),1,0),0)</f>
        <v/>
      </c>
      <c r="DD25">
        <f>IF(DD$4=1,IF(OR(INDEX('×入力'!$A$1:$L$1300,427+DD$3,2+DD$2)&lt;&gt;"",INDEX('×入力'!$A$1:$L$1300,426,2+DD$2)&lt;&gt;"",INDEX('×入力'!$A$1:$L$1300,427+DD$3,1)&lt;&gt;""),1,0),0)</f>
        <v/>
      </c>
      <c r="DE25">
        <f>IF(DE$4=1,IF(OR(INDEX('×入力'!$A$1:$L$1300,427+DE$3,2+DE$2)&lt;&gt;"",INDEX('×入力'!$A$1:$L$1300,426,2+DE$2)&lt;&gt;"",INDEX('×入力'!$A$1:$L$1300,427+DE$3,1)&lt;&gt;""),1,0),0)</f>
        <v/>
      </c>
      <c r="DF25">
        <f>IF(DF$4=1,IF(OR(INDEX('×入力'!$A$1:$L$1300,427+DF$3,2+DF$2)&lt;&gt;"",INDEX('×入力'!$A$1:$L$1300,426,2+DF$2)&lt;&gt;"",INDEX('×入力'!$A$1:$L$1300,427+DF$3,1)&lt;&gt;""),1,0),0)</f>
        <v/>
      </c>
      <c r="DG25">
        <f>IF(DG$4=1,IF(OR(INDEX('×入力'!$A$1:$L$1300,427+DG$3,2+DG$2)&lt;&gt;"",INDEX('×入力'!$A$1:$L$1300,426,2+DG$2)&lt;&gt;"",INDEX('×入力'!$A$1:$L$1300,427+DG$3,1)&lt;&gt;""),1,0),0)</f>
        <v/>
      </c>
      <c r="DH25">
        <f>IF(DH$4=1,IF(OR(INDEX('×入力'!$A$1:$L$1300,427+DH$3,2+DH$2)&lt;&gt;"",INDEX('×入力'!$A$1:$L$1300,426,2+DH$2)&lt;&gt;"",INDEX('×入力'!$A$1:$L$1300,427+DH$3,1)&lt;&gt;""),1,0),0)</f>
        <v/>
      </c>
      <c r="DI25">
        <f>IF(DI$4=1,IF(OR(INDEX('×入力'!$A$1:$L$1300,427+DI$3,2+DI$2)&lt;&gt;"",INDEX('×入力'!$A$1:$L$1300,426,2+DI$2)&lt;&gt;"",INDEX('×入力'!$A$1:$L$1300,427+DI$3,1)&lt;&gt;""),1,0),0)</f>
        <v/>
      </c>
      <c r="DJ25">
        <f>IF(DJ$4=1,IF(OR(INDEX('×入力'!$A$1:$L$1300,427+DJ$3,2+DJ$2)&lt;&gt;"",INDEX('×入力'!$A$1:$L$1300,426,2+DJ$2)&lt;&gt;"",INDEX('×入力'!$A$1:$L$1300,427+DJ$3,1)&lt;&gt;""),1,0),0)</f>
        <v/>
      </c>
      <c r="DK25">
        <f>IF(DK$4=1,IF(OR(INDEX('×入力'!$A$1:$L$1300,427+DK$3,2+DK$2)&lt;&gt;"",INDEX('×入力'!$A$1:$L$1300,426,2+DK$2)&lt;&gt;"",INDEX('×入力'!$A$1:$L$1300,427+DK$3,1)&lt;&gt;""),1,0),0)</f>
        <v/>
      </c>
      <c r="DL25">
        <f>IF(DL$4=1,IF(OR(INDEX('×入力'!$A$1:$L$1300,427+DL$3,2+DL$2)&lt;&gt;"",INDEX('×入力'!$A$1:$L$1300,426,2+DL$2)&lt;&gt;"",INDEX('×入力'!$A$1:$L$1300,427+DL$3,1)&lt;&gt;""),1,0),0)</f>
        <v/>
      </c>
      <c r="DM25">
        <f>IF(DM$4=1,IF(OR(INDEX('×入力'!$A$1:$L$1300,427+DM$3,2+DM$2)&lt;&gt;"",INDEX('×入力'!$A$1:$L$1300,426,2+DM$2)&lt;&gt;"",INDEX('×入力'!$A$1:$L$1300,427+DM$3,1)&lt;&gt;""),1,0),0)</f>
        <v/>
      </c>
      <c r="DN25">
        <f>IF(DN$4=1,IF(OR(INDEX('×入力'!$A$1:$L$1300,427+DN$3,2+DN$2)&lt;&gt;"",INDEX('×入力'!$A$1:$L$1300,426,2+DN$2)&lt;&gt;"",INDEX('×入力'!$A$1:$L$1300,427+DN$3,1)&lt;&gt;""),1,0),0)</f>
        <v/>
      </c>
      <c r="DO25">
        <f>IF(DO$4=1,IF(OR(INDEX('×入力'!$A$1:$L$1300,427+DO$3,2+DO$2)&lt;&gt;"",INDEX('×入力'!$A$1:$L$1300,426,2+DO$2)&lt;&gt;"",INDEX('×入力'!$A$1:$L$1300,427+DO$3,1)&lt;&gt;""),1,0),0)</f>
        <v/>
      </c>
      <c r="DP25">
        <f>IF(DP$4=1,IF(OR(INDEX('×入力'!$A$1:$L$1300,427+DP$3,2+DP$2)&lt;&gt;"",INDEX('×入力'!$A$1:$L$1300,426,2+DP$2)&lt;&gt;"",INDEX('×入力'!$A$1:$L$1300,427+DP$3,1)&lt;&gt;""),1,0),0)</f>
        <v/>
      </c>
      <c r="DQ25">
        <f>IF(DQ$4=1,IF(OR(INDEX('×入力'!$A$1:$L$1300,427+DQ$3,2+DQ$2)&lt;&gt;"",INDEX('×入力'!$A$1:$L$1300,426,2+DQ$2)&lt;&gt;"",INDEX('×入力'!$A$1:$L$1300,427+DQ$3,1)&lt;&gt;""),1,0),0)</f>
        <v/>
      </c>
      <c r="DR25">
        <f>IF(DR$4=1,IF(OR(INDEX('×入力'!$A$1:$L$1300,427+DR$3,2+DR$2)&lt;&gt;"",INDEX('×入力'!$A$1:$L$1300,426,2+DR$2)&lt;&gt;"",INDEX('×入力'!$A$1:$L$1300,427+DR$3,1)&lt;&gt;""),1,0),0)</f>
        <v/>
      </c>
      <c r="DS25">
        <f>IF(DS$4=1,IF(OR(INDEX('×入力'!$A$1:$L$1300,427+DS$3,2+DS$2)&lt;&gt;"",INDEX('×入力'!$A$1:$L$1300,426,2+DS$2)&lt;&gt;"",INDEX('×入力'!$A$1:$L$1300,427+DS$3,1)&lt;&gt;""),1,0),0)</f>
        <v/>
      </c>
      <c r="DT25">
        <f>IF(DT$4=1,IF(OR(INDEX('×入力'!$A$1:$L$1300,427+DT$3,2+DT$2)&lt;&gt;"",INDEX('×入力'!$A$1:$L$1300,426,2+DT$2)&lt;&gt;"",INDEX('×入力'!$A$1:$L$1300,427+DT$3,1)&lt;&gt;""),1,0),0)</f>
        <v/>
      </c>
      <c r="DU25">
        <f>IF(DU$4=1,IF(OR(INDEX('×入力'!$A$1:$L$1300,427+DU$3,2+DU$2)&lt;&gt;"",INDEX('×入力'!$A$1:$L$1300,426,2+DU$2)&lt;&gt;"",INDEX('×入力'!$A$1:$L$1300,427+DU$3,1)&lt;&gt;""),1,0),0)</f>
        <v/>
      </c>
      <c r="DV25">
        <f>IF(DV$4=1,IF(OR(INDEX('×入力'!$A$1:$L$1300,427+DV$3,2+DV$2)&lt;&gt;"",INDEX('×入力'!$A$1:$L$1300,426,2+DV$2)&lt;&gt;"",INDEX('×入力'!$A$1:$L$1300,427+DV$3,1)&lt;&gt;""),1,0),0)</f>
        <v/>
      </c>
      <c r="DW25">
        <f>IF(DW$4=1,IF(OR(INDEX('×入力'!$A$1:$L$1300,427+DW$3,2+DW$2)&lt;&gt;"",INDEX('×入力'!$A$1:$L$1300,426,2+DW$2)&lt;&gt;"",INDEX('×入力'!$A$1:$L$1300,427+DW$3,1)&lt;&gt;""),1,0),0)</f>
        <v/>
      </c>
      <c r="DX25">
        <f>IF(DX$4=1,IF(OR(INDEX('×入力'!$A$1:$L$1300,427+DX$3,2+DX$2)&lt;&gt;"",INDEX('×入力'!$A$1:$L$1300,426,2+DX$2)&lt;&gt;"",INDEX('×入力'!$A$1:$L$1300,427+DX$3,1)&lt;&gt;""),1,0),0)</f>
        <v/>
      </c>
      <c r="DY25">
        <f>IF(DY$4=1,IF(OR(INDEX('×入力'!$A$1:$L$1300,427+DY$3,2+DY$2)&lt;&gt;"",INDEX('×入力'!$A$1:$L$1300,426,2+DY$2)&lt;&gt;"",INDEX('×入力'!$A$1:$L$1300,427+DY$3,1)&lt;&gt;""),1,0),0)</f>
        <v/>
      </c>
      <c r="DZ25">
        <f>IF(DZ$4=1,IF(OR(INDEX('×入力'!$A$1:$L$1300,427+DZ$3,2+DZ$2)&lt;&gt;"",INDEX('×入力'!$A$1:$L$1300,426,2+DZ$2)&lt;&gt;"",INDEX('×入力'!$A$1:$L$1300,427+DZ$3,1)&lt;&gt;""),1,0),0)</f>
        <v/>
      </c>
      <c r="EA25">
        <f>IF(EA$4=1,IF(OR(INDEX('×入力'!$A$1:$L$1300,427+EA$3,2+EA$2)&lt;&gt;"",INDEX('×入力'!$A$1:$L$1300,426,2+EA$2)&lt;&gt;"",INDEX('×入力'!$A$1:$L$1300,427+EA$3,1)&lt;&gt;""),1,0),0)</f>
        <v/>
      </c>
      <c r="EB25">
        <f>IF(EB$4=1,IF(OR(INDEX('×入力'!$A$1:$L$1300,427+EB$3,2+EB$2)&lt;&gt;"",INDEX('×入力'!$A$1:$L$1300,426,2+EB$2)&lt;&gt;"",INDEX('×入力'!$A$1:$L$1300,427+EB$3,1)&lt;&gt;""),1,0),0)</f>
        <v/>
      </c>
      <c r="EC25">
        <f>IF(EC$4=1,IF(OR(INDEX('×入力'!$A$1:$L$1300,427+EC$3,2+EC$2)&lt;&gt;"",INDEX('×入力'!$A$1:$L$1300,426,2+EC$2)&lt;&gt;"",INDEX('×入力'!$A$1:$L$1300,427+EC$3,1)&lt;&gt;""),1,0),0)</f>
        <v/>
      </c>
      <c r="ED25">
        <f>IF(ED$4=1,IF(OR(INDEX('×入力'!$A$1:$L$1300,427+ED$3,2+ED$2)&lt;&gt;"",INDEX('×入力'!$A$1:$L$1300,426,2+ED$2)&lt;&gt;"",INDEX('×入力'!$A$1:$L$1300,427+ED$3,1)&lt;&gt;""),1,0),0)</f>
        <v/>
      </c>
      <c r="EE25">
        <f>IF(EE$4=1,IF(OR(INDEX('×入力'!$A$1:$L$1300,427+EE$3,2+EE$2)&lt;&gt;"",INDEX('×入力'!$A$1:$L$1300,426,2+EE$2)&lt;&gt;"",INDEX('×入力'!$A$1:$L$1300,427+EE$3,1)&lt;&gt;""),1,0),0)</f>
        <v/>
      </c>
      <c r="EF25">
        <f>IF(EF$4=1,IF(OR(INDEX('×入力'!$A$1:$L$1300,427+EF$3,2+EF$2)&lt;&gt;"",INDEX('×入力'!$A$1:$L$1300,426,2+EF$2)&lt;&gt;"",INDEX('×入力'!$A$1:$L$1300,427+EF$3,1)&lt;&gt;""),1,0),0)</f>
        <v/>
      </c>
      <c r="EG25">
        <f>IF(EG$4=1,IF(OR(INDEX('×入力'!$A$1:$L$1300,427+EG$3,2+EG$2)&lt;&gt;"",INDEX('×入力'!$A$1:$L$1300,426,2+EG$2)&lt;&gt;"",INDEX('×入力'!$A$1:$L$1300,427+EG$3,1)&lt;&gt;""),1,0),0)</f>
        <v/>
      </c>
      <c r="EH25">
        <f>IF(EH$4=1,IF(OR(INDEX('×入力'!$A$1:$L$1300,427+EH$3,2+EH$2)&lt;&gt;"",INDEX('×入力'!$A$1:$L$1300,426,2+EH$2)&lt;&gt;"",INDEX('×入力'!$A$1:$L$1300,427+EH$3,1)&lt;&gt;""),1,0),0)</f>
        <v/>
      </c>
      <c r="EI25">
        <f>IF(EI$4=1,IF(OR(INDEX('×入力'!$A$1:$L$1300,427+EI$3,2+EI$2)&lt;&gt;"",INDEX('×入力'!$A$1:$L$1300,426,2+EI$2)&lt;&gt;"",INDEX('×入力'!$A$1:$L$1300,427+EI$3,1)&lt;&gt;""),1,0),0)</f>
        <v/>
      </c>
      <c r="EJ25">
        <f>IF(EJ$4=1,IF(OR(INDEX('×入力'!$A$1:$L$1300,427+EJ$3,2+EJ$2)&lt;&gt;"",INDEX('×入力'!$A$1:$L$1300,426,2+EJ$2)&lt;&gt;"",INDEX('×入力'!$A$1:$L$1300,427+EJ$3,1)&lt;&gt;""),1,0),0)</f>
        <v/>
      </c>
      <c r="EK25">
        <f>IF(EK$4=1,IF(OR(INDEX('×入力'!$A$1:$L$1300,427+EK$3,2+EK$2)&lt;&gt;"",INDEX('×入力'!$A$1:$L$1300,426,2+EK$2)&lt;&gt;"",INDEX('×入力'!$A$1:$L$1300,427+EK$3,1)&lt;&gt;""),1,0),0)</f>
        <v/>
      </c>
      <c r="EL25">
        <f>IF(EL$4=1,IF(OR(INDEX('×入力'!$A$1:$L$1300,427+EL$3,2+EL$2)&lt;&gt;"",INDEX('×入力'!$A$1:$L$1300,426,2+EL$2)&lt;&gt;"",INDEX('×入力'!$A$1:$L$1300,427+EL$3,1)&lt;&gt;""),1,0),0)</f>
        <v/>
      </c>
      <c r="EM25">
        <f>IF(EM$4=1,IF(OR(INDEX('×入力'!$A$1:$L$1300,427+EM$3,2+EM$2)&lt;&gt;"",INDEX('×入力'!$A$1:$L$1300,426,2+EM$2)&lt;&gt;"",INDEX('×入力'!$A$1:$L$1300,427+EM$3,1)&lt;&gt;""),1,0),0)</f>
        <v/>
      </c>
      <c r="EN25">
        <f>IF(EN$4=1,IF(OR(INDEX('×入力'!$A$1:$L$1300,427+EN$3,2+EN$2)&lt;&gt;"",INDEX('×入力'!$A$1:$L$1300,426,2+EN$2)&lt;&gt;"",INDEX('×入力'!$A$1:$L$1300,427+EN$3,1)&lt;&gt;""),1,0),0)</f>
        <v/>
      </c>
      <c r="EO25">
        <f>IF(EO$4=1,IF(OR(INDEX('×入力'!$A$1:$L$1300,427+EO$3,2+EO$2)&lt;&gt;"",INDEX('×入力'!$A$1:$L$1300,426,2+EO$2)&lt;&gt;"",INDEX('×入力'!$A$1:$L$1300,427+EO$3,1)&lt;&gt;""),1,0),0)</f>
        <v/>
      </c>
      <c r="EP25">
        <f>IF(EP$4=1,IF(OR(INDEX('×入力'!$A$1:$L$1300,427+EP$3,2+EP$2)&lt;&gt;"",INDEX('×入力'!$A$1:$L$1300,426,2+EP$2)&lt;&gt;"",INDEX('×入力'!$A$1:$L$1300,427+EP$3,1)&lt;&gt;""),1,0),0)</f>
        <v/>
      </c>
      <c r="EQ25">
        <f>IF(EQ$4=1,IF(OR(INDEX('×入力'!$A$1:$L$1300,427+EQ$3,2+EQ$2)&lt;&gt;"",INDEX('×入力'!$A$1:$L$1300,426,2+EQ$2)&lt;&gt;"",INDEX('×入力'!$A$1:$L$1300,427+EQ$3,1)&lt;&gt;""),1,0),0)</f>
        <v/>
      </c>
      <c r="HA25">
        <f>MAX(0,IT25)</f>
        <v/>
      </c>
      <c r="HB25">
        <f>IF(HA25=0,0,INDEX($D$2:$EQ$2,HA25))</f>
        <v/>
      </c>
      <c r="HC25">
        <f>IF(HA25=0,0,INDEX($D$3:$EQ$3,HA25))</f>
        <v/>
      </c>
      <c r="HD25">
        <f>MAX(0,IY25)</f>
        <v/>
      </c>
      <c r="HE25">
        <f>IF(HD25=0,0,INDEX($D$2:$EQ$2,HD25))</f>
        <v/>
      </c>
      <c r="HF25">
        <f>IF(HD25=0,0,INDEX($D$3:$EQ$3,HD25))</f>
        <v/>
      </c>
      <c r="HG25">
        <f>MAX(0,IZ25)</f>
        <v/>
      </c>
      <c r="HH25">
        <f>IF(HG25=0,0,INDEX($D$2:$EQ$2,HG25))</f>
        <v/>
      </c>
      <c r="HI25">
        <f>IF(HG25=0,0,INDEX($D$3:$EQ$3,HG25))</f>
        <v/>
      </c>
      <c r="HJ25">
        <f>IF(AND(HA25&gt;0,HC25&gt;1,OR(HC25-1&lt;&gt;$A$3,$A$4=0)),HA25-1,-1)</f>
        <v/>
      </c>
      <c r="HK25">
        <f>IF(AND(HA25&gt;0,HC25&lt;24,OR(HC25&lt;&gt;$A$3,$A$4=0)),HA25+1,-1)</f>
        <v/>
      </c>
      <c r="HL25">
        <f>IF(AND(HD25&gt;0,HF25&gt;1,OR(HF25-1&lt;&gt;$A$3,$A$4=0)),HD25-1,-1)</f>
        <v/>
      </c>
      <c r="HM25">
        <f>IF(AND(HD25&gt;0,HF25&lt;24,OR(HF25&lt;&gt;$A$3,$A$4=0)),HD25+1,-1)</f>
        <v/>
      </c>
      <c r="HN25">
        <f>IF(AND(HG25&gt;0,HI25&gt;1,OR(HI25-1&lt;&gt;$A$3,$A$4=0)),HG25-1,-1)</f>
        <v/>
      </c>
      <c r="HO25">
        <f>IF(AND(HG25&gt;0,HI25&lt;24,OR(HI25&lt;&gt;$A$3,$A$4=0)),HG25+1,-1)</f>
        <v/>
      </c>
      <c r="IK25">
        <f>IFERROR(INDEX('calcB'!$C$3:$C$47,MATCH(A25,'calcB'!$B$3:$B$47,0)),0)</f>
        <v/>
      </c>
      <c r="IL25">
        <f>IF(AND(C25=1,IK25=0,calcA!$A$6=1),1,0)</f>
        <v/>
      </c>
      <c r="IM25">
        <f>SUMPRODUCT(D75:EQ75*(1-$D$7:$EQ$7))</f>
        <v/>
      </c>
      <c r="IN25">
        <f>SUM(D25:EQ25)</f>
        <v/>
      </c>
      <c r="IO25">
        <f>IF(B25="",0,IF(COUNTIF('調整・決定'!$C$6:$H$29,B25)=1,SUMPRODUCT(('調整・決定'!$C$6:$H$29=B25)*((COLUMN('調整・決定'!$C$6:$H$29)-3)*24+ROW('調整・決定'!$C$6:$H$29)-5)),0))</f>
        <v/>
      </c>
      <c r="IP25">
        <f>IFERROR(MATCH('名簿'!C20,{"早い時刻","遅い時刻","早い日","遅い日"},0),0)</f>
        <v/>
      </c>
      <c r="IQ25">
        <f>IF('名簿'!D20="必ず空けたい",2,IF('名簿'!D20="出来れば空けたい",1,0))</f>
        <v/>
      </c>
      <c r="IR25">
        <f>IFERROR(INDEX('calcC'!$C$3:$C$47,MATCH(A25,'calcC'!$B$3:$B$47,0)),0)</f>
        <v/>
      </c>
      <c r="IS25">
        <f>IF(AND(C25=1,IR25=0,calcA!$A$6=1),1,0)</f>
        <v/>
      </c>
      <c r="IT25">
        <f>IF(OR('名簿'!G20="",'名簿'!H20=""),0,IFERROR((MATCH('名簿'!G20,'設定'!$E$11:$E$16,0)-1)*24+MATCH('名簿'!H20,'設定'!$I$11:$I$34,0),-1))</f>
        <v/>
      </c>
      <c r="IV25">
        <f>IF(OR(JF25=0,IO25=0),1,IF(OR(IF(IT25&gt;0,AND(INDEX($D$2:$EQ$2,IO25)=INDEX($D$2:$EQ$2,IT25),OR(AND(IO25=IT25+1,OR(INDEX($D$3:$EQ$3,IT25)&lt;&gt;$A$3,$A$4=0)),AND(IO25=IT25-1,OR(INDEX($D$3:$EQ$3,IO25)&lt;&gt;$A$3,$A$4=0)))),FALSE),IF(IY25&gt;0,AND(INDEX($D$2:$EQ$2,IO25)=INDEX($D$2:$EQ$2,IY25),OR(AND(IO25=IY25+1,OR(INDEX($D$3:$EQ$3,IY25)&lt;&gt;$A$3,$A$4=0)),AND(IO25=IY25-1,OR(INDEX($D$3:$EQ$3,IO25)&lt;&gt;$A$3,$A$4=0)))),FALSE),IF(IZ25&gt;0,AND(INDEX($D$2:$EQ$2,IO25)=INDEX($D$2:$EQ$2,IZ25),OR(AND(IO25=IZ25+1,OR(INDEX($D$3:$EQ$3,IZ25)&lt;&gt;$A$3,$A$4=0)),AND(IO25=IZ25-1,OR(INDEX($D$3:$EQ$3,IO25)&lt;&gt;$A$3,$A$4=0)))),FALSE)),1,0))</f>
        <v/>
      </c>
      <c r="IW25">
        <f>IF(AND('名簿'!E20&lt;&gt;"",JF25=0),1,0)</f>
        <v/>
      </c>
      <c r="IX25">
        <f>IF('名簿'!D20="空けない",1,0)</f>
        <v/>
      </c>
      <c r="IY25">
        <f>IF(OR('名簿'!J20="",'名簿'!K20=""),0,IFERROR((MATCH('名簿'!J20,'設定'!$E$11:$E$16,0)-1)*24+MATCH('名簿'!K20,'設定'!$I$11:$I$34,0),-1))</f>
        <v/>
      </c>
      <c r="IZ25">
        <f>IF(OR('名簿'!M20="",'名簿'!N20=""),0,IFERROR((MATCH('名簿'!M20,'設定'!$E$11:$E$16,0)-1)*24+MATCH('名簿'!N20,'設定'!$I$11:$I$34,0),-1))</f>
        <v/>
      </c>
      <c r="JC25">
        <f>IF(RIGHT('名簿'!I20,2)="の前",1,IF(RIGHT('名簿'!I20,2)="の後",2,0))</f>
        <v/>
      </c>
      <c r="JD25">
        <f>IF(RIGHT('名簿'!L20,2)="の前",1,IF(RIGHT('名簿'!L20,2)="の後",2,0))</f>
        <v/>
      </c>
      <c r="JE25">
        <f>IF(RIGHT('名簿'!O20,2)="の前",1,IF(RIGHT('名簿'!O20,2)="の後",2,0))</f>
        <v/>
      </c>
      <c r="JF25">
        <f>IF(OR(IT25&gt;0,IY25&gt;0,IZ25&gt;0),1,0)</f>
        <v/>
      </c>
      <c r="JG25">
        <f>IF(OR(IT25&lt;0,IY25&lt;0,IZ25&lt;0),1,0)</f>
        <v/>
      </c>
    </row>
    <row r="26">
      <c r="A26" t="n">
        <v>17</v>
      </c>
      <c r="B26">
        <f>'名簿'!P21</f>
        <v/>
      </c>
      <c r="C26">
        <f>IF(AND(B26&lt;&gt;"",OR('名簿'!Q21="入力済み",'名簿'!Q21="×なし"),IO26=0,COUNTIF('調整・決定'!$C$6:$H$29,B26)=0),1,0)</f>
        <v/>
      </c>
      <c r="D26">
        <f>IF(D$4=1,IF(OR(INDEX('×入力'!$A$1:$L$1300,455+D$3,2+D$2)&lt;&gt;"",INDEX('×入力'!$A$1:$L$1300,454,2+D$2)&lt;&gt;"",INDEX('×入力'!$A$1:$L$1300,455+D$3,1)&lt;&gt;""),1,0),0)</f>
        <v/>
      </c>
      <c r="E26">
        <f>IF(E$4=1,IF(OR(INDEX('×入力'!$A$1:$L$1300,455+E$3,2+E$2)&lt;&gt;"",INDEX('×入力'!$A$1:$L$1300,454,2+E$2)&lt;&gt;"",INDEX('×入力'!$A$1:$L$1300,455+E$3,1)&lt;&gt;""),1,0),0)</f>
        <v/>
      </c>
      <c r="F26">
        <f>IF(F$4=1,IF(OR(INDEX('×入力'!$A$1:$L$1300,455+F$3,2+F$2)&lt;&gt;"",INDEX('×入力'!$A$1:$L$1300,454,2+F$2)&lt;&gt;"",INDEX('×入力'!$A$1:$L$1300,455+F$3,1)&lt;&gt;""),1,0),0)</f>
        <v/>
      </c>
      <c r="G26">
        <f>IF(G$4=1,IF(OR(INDEX('×入力'!$A$1:$L$1300,455+G$3,2+G$2)&lt;&gt;"",INDEX('×入力'!$A$1:$L$1300,454,2+G$2)&lt;&gt;"",INDEX('×入力'!$A$1:$L$1300,455+G$3,1)&lt;&gt;""),1,0),0)</f>
        <v/>
      </c>
      <c r="H26">
        <f>IF(H$4=1,IF(OR(INDEX('×入力'!$A$1:$L$1300,455+H$3,2+H$2)&lt;&gt;"",INDEX('×入力'!$A$1:$L$1300,454,2+H$2)&lt;&gt;"",INDEX('×入力'!$A$1:$L$1300,455+H$3,1)&lt;&gt;""),1,0),0)</f>
        <v/>
      </c>
      <c r="I26">
        <f>IF(I$4=1,IF(OR(INDEX('×入力'!$A$1:$L$1300,455+I$3,2+I$2)&lt;&gt;"",INDEX('×入力'!$A$1:$L$1300,454,2+I$2)&lt;&gt;"",INDEX('×入力'!$A$1:$L$1300,455+I$3,1)&lt;&gt;""),1,0),0)</f>
        <v/>
      </c>
      <c r="J26">
        <f>IF(J$4=1,IF(OR(INDEX('×入力'!$A$1:$L$1300,455+J$3,2+J$2)&lt;&gt;"",INDEX('×入力'!$A$1:$L$1300,454,2+J$2)&lt;&gt;"",INDEX('×入力'!$A$1:$L$1300,455+J$3,1)&lt;&gt;""),1,0),0)</f>
        <v/>
      </c>
      <c r="K26">
        <f>IF(K$4=1,IF(OR(INDEX('×入力'!$A$1:$L$1300,455+K$3,2+K$2)&lt;&gt;"",INDEX('×入力'!$A$1:$L$1300,454,2+K$2)&lt;&gt;"",INDEX('×入力'!$A$1:$L$1300,455+K$3,1)&lt;&gt;""),1,0),0)</f>
        <v/>
      </c>
      <c r="L26">
        <f>IF(L$4=1,IF(OR(INDEX('×入力'!$A$1:$L$1300,455+L$3,2+L$2)&lt;&gt;"",INDEX('×入力'!$A$1:$L$1300,454,2+L$2)&lt;&gt;"",INDEX('×入力'!$A$1:$L$1300,455+L$3,1)&lt;&gt;""),1,0),0)</f>
        <v/>
      </c>
      <c r="M26">
        <f>IF(M$4=1,IF(OR(INDEX('×入力'!$A$1:$L$1300,455+M$3,2+M$2)&lt;&gt;"",INDEX('×入力'!$A$1:$L$1300,454,2+M$2)&lt;&gt;"",INDEX('×入力'!$A$1:$L$1300,455+M$3,1)&lt;&gt;""),1,0),0)</f>
        <v/>
      </c>
      <c r="N26">
        <f>IF(N$4=1,IF(OR(INDEX('×入力'!$A$1:$L$1300,455+N$3,2+N$2)&lt;&gt;"",INDEX('×入力'!$A$1:$L$1300,454,2+N$2)&lt;&gt;"",INDEX('×入力'!$A$1:$L$1300,455+N$3,1)&lt;&gt;""),1,0),0)</f>
        <v/>
      </c>
      <c r="O26">
        <f>IF(O$4=1,IF(OR(INDEX('×入力'!$A$1:$L$1300,455+O$3,2+O$2)&lt;&gt;"",INDEX('×入力'!$A$1:$L$1300,454,2+O$2)&lt;&gt;"",INDEX('×入力'!$A$1:$L$1300,455+O$3,1)&lt;&gt;""),1,0),0)</f>
        <v/>
      </c>
      <c r="P26">
        <f>IF(P$4=1,IF(OR(INDEX('×入力'!$A$1:$L$1300,455+P$3,2+P$2)&lt;&gt;"",INDEX('×入力'!$A$1:$L$1300,454,2+P$2)&lt;&gt;"",INDEX('×入力'!$A$1:$L$1300,455+P$3,1)&lt;&gt;""),1,0),0)</f>
        <v/>
      </c>
      <c r="Q26">
        <f>IF(Q$4=1,IF(OR(INDEX('×入力'!$A$1:$L$1300,455+Q$3,2+Q$2)&lt;&gt;"",INDEX('×入力'!$A$1:$L$1300,454,2+Q$2)&lt;&gt;"",INDEX('×入力'!$A$1:$L$1300,455+Q$3,1)&lt;&gt;""),1,0),0)</f>
        <v/>
      </c>
      <c r="R26">
        <f>IF(R$4=1,IF(OR(INDEX('×入力'!$A$1:$L$1300,455+R$3,2+R$2)&lt;&gt;"",INDEX('×入力'!$A$1:$L$1300,454,2+R$2)&lt;&gt;"",INDEX('×入力'!$A$1:$L$1300,455+R$3,1)&lt;&gt;""),1,0),0)</f>
        <v/>
      </c>
      <c r="S26">
        <f>IF(S$4=1,IF(OR(INDEX('×入力'!$A$1:$L$1300,455+S$3,2+S$2)&lt;&gt;"",INDEX('×入力'!$A$1:$L$1300,454,2+S$2)&lt;&gt;"",INDEX('×入力'!$A$1:$L$1300,455+S$3,1)&lt;&gt;""),1,0),0)</f>
        <v/>
      </c>
      <c r="T26">
        <f>IF(T$4=1,IF(OR(INDEX('×入力'!$A$1:$L$1300,455+T$3,2+T$2)&lt;&gt;"",INDEX('×入力'!$A$1:$L$1300,454,2+T$2)&lt;&gt;"",INDEX('×入力'!$A$1:$L$1300,455+T$3,1)&lt;&gt;""),1,0),0)</f>
        <v/>
      </c>
      <c r="U26">
        <f>IF(U$4=1,IF(OR(INDEX('×入力'!$A$1:$L$1300,455+U$3,2+U$2)&lt;&gt;"",INDEX('×入力'!$A$1:$L$1300,454,2+U$2)&lt;&gt;"",INDEX('×入力'!$A$1:$L$1300,455+U$3,1)&lt;&gt;""),1,0),0)</f>
        <v/>
      </c>
      <c r="V26">
        <f>IF(V$4=1,IF(OR(INDEX('×入力'!$A$1:$L$1300,455+V$3,2+V$2)&lt;&gt;"",INDEX('×入力'!$A$1:$L$1300,454,2+V$2)&lt;&gt;"",INDEX('×入力'!$A$1:$L$1300,455+V$3,1)&lt;&gt;""),1,0),0)</f>
        <v/>
      </c>
      <c r="W26">
        <f>IF(W$4=1,IF(OR(INDEX('×入力'!$A$1:$L$1300,455+W$3,2+W$2)&lt;&gt;"",INDEX('×入力'!$A$1:$L$1300,454,2+W$2)&lt;&gt;"",INDEX('×入力'!$A$1:$L$1300,455+W$3,1)&lt;&gt;""),1,0),0)</f>
        <v/>
      </c>
      <c r="X26">
        <f>IF(X$4=1,IF(OR(INDEX('×入力'!$A$1:$L$1300,455+X$3,2+X$2)&lt;&gt;"",INDEX('×入力'!$A$1:$L$1300,454,2+X$2)&lt;&gt;"",INDEX('×入力'!$A$1:$L$1300,455+X$3,1)&lt;&gt;""),1,0),0)</f>
        <v/>
      </c>
      <c r="Y26">
        <f>IF(Y$4=1,IF(OR(INDEX('×入力'!$A$1:$L$1300,455+Y$3,2+Y$2)&lt;&gt;"",INDEX('×入力'!$A$1:$L$1300,454,2+Y$2)&lt;&gt;"",INDEX('×入力'!$A$1:$L$1300,455+Y$3,1)&lt;&gt;""),1,0),0)</f>
        <v/>
      </c>
      <c r="Z26">
        <f>IF(Z$4=1,IF(OR(INDEX('×入力'!$A$1:$L$1300,455+Z$3,2+Z$2)&lt;&gt;"",INDEX('×入力'!$A$1:$L$1300,454,2+Z$2)&lt;&gt;"",INDEX('×入力'!$A$1:$L$1300,455+Z$3,1)&lt;&gt;""),1,0),0)</f>
        <v/>
      </c>
      <c r="AA26">
        <f>IF(AA$4=1,IF(OR(INDEX('×入力'!$A$1:$L$1300,455+AA$3,2+AA$2)&lt;&gt;"",INDEX('×入力'!$A$1:$L$1300,454,2+AA$2)&lt;&gt;"",INDEX('×入力'!$A$1:$L$1300,455+AA$3,1)&lt;&gt;""),1,0),0)</f>
        <v/>
      </c>
      <c r="AB26">
        <f>IF(AB$4=1,IF(OR(INDEX('×入力'!$A$1:$L$1300,455+AB$3,2+AB$2)&lt;&gt;"",INDEX('×入力'!$A$1:$L$1300,454,2+AB$2)&lt;&gt;"",INDEX('×入力'!$A$1:$L$1300,455+AB$3,1)&lt;&gt;""),1,0),0)</f>
        <v/>
      </c>
      <c r="AC26">
        <f>IF(AC$4=1,IF(OR(INDEX('×入力'!$A$1:$L$1300,455+AC$3,2+AC$2)&lt;&gt;"",INDEX('×入力'!$A$1:$L$1300,454,2+AC$2)&lt;&gt;"",INDEX('×入力'!$A$1:$L$1300,455+AC$3,1)&lt;&gt;""),1,0),0)</f>
        <v/>
      </c>
      <c r="AD26">
        <f>IF(AD$4=1,IF(OR(INDEX('×入力'!$A$1:$L$1300,455+AD$3,2+AD$2)&lt;&gt;"",INDEX('×入力'!$A$1:$L$1300,454,2+AD$2)&lt;&gt;"",INDEX('×入力'!$A$1:$L$1300,455+AD$3,1)&lt;&gt;""),1,0),0)</f>
        <v/>
      </c>
      <c r="AE26">
        <f>IF(AE$4=1,IF(OR(INDEX('×入力'!$A$1:$L$1300,455+AE$3,2+AE$2)&lt;&gt;"",INDEX('×入力'!$A$1:$L$1300,454,2+AE$2)&lt;&gt;"",INDEX('×入力'!$A$1:$L$1300,455+AE$3,1)&lt;&gt;""),1,0),0)</f>
        <v/>
      </c>
      <c r="AF26">
        <f>IF(AF$4=1,IF(OR(INDEX('×入力'!$A$1:$L$1300,455+AF$3,2+AF$2)&lt;&gt;"",INDEX('×入力'!$A$1:$L$1300,454,2+AF$2)&lt;&gt;"",INDEX('×入力'!$A$1:$L$1300,455+AF$3,1)&lt;&gt;""),1,0),0)</f>
        <v/>
      </c>
      <c r="AG26">
        <f>IF(AG$4=1,IF(OR(INDEX('×入力'!$A$1:$L$1300,455+AG$3,2+AG$2)&lt;&gt;"",INDEX('×入力'!$A$1:$L$1300,454,2+AG$2)&lt;&gt;"",INDEX('×入力'!$A$1:$L$1300,455+AG$3,1)&lt;&gt;""),1,0),0)</f>
        <v/>
      </c>
      <c r="AH26">
        <f>IF(AH$4=1,IF(OR(INDEX('×入力'!$A$1:$L$1300,455+AH$3,2+AH$2)&lt;&gt;"",INDEX('×入力'!$A$1:$L$1300,454,2+AH$2)&lt;&gt;"",INDEX('×入力'!$A$1:$L$1300,455+AH$3,1)&lt;&gt;""),1,0),0)</f>
        <v/>
      </c>
      <c r="AI26">
        <f>IF(AI$4=1,IF(OR(INDEX('×入力'!$A$1:$L$1300,455+AI$3,2+AI$2)&lt;&gt;"",INDEX('×入力'!$A$1:$L$1300,454,2+AI$2)&lt;&gt;"",INDEX('×入力'!$A$1:$L$1300,455+AI$3,1)&lt;&gt;""),1,0),0)</f>
        <v/>
      </c>
      <c r="AJ26">
        <f>IF(AJ$4=1,IF(OR(INDEX('×入力'!$A$1:$L$1300,455+AJ$3,2+AJ$2)&lt;&gt;"",INDEX('×入力'!$A$1:$L$1300,454,2+AJ$2)&lt;&gt;"",INDEX('×入力'!$A$1:$L$1300,455+AJ$3,1)&lt;&gt;""),1,0),0)</f>
        <v/>
      </c>
      <c r="AK26">
        <f>IF(AK$4=1,IF(OR(INDEX('×入力'!$A$1:$L$1300,455+AK$3,2+AK$2)&lt;&gt;"",INDEX('×入力'!$A$1:$L$1300,454,2+AK$2)&lt;&gt;"",INDEX('×入力'!$A$1:$L$1300,455+AK$3,1)&lt;&gt;""),1,0),0)</f>
        <v/>
      </c>
      <c r="AL26">
        <f>IF(AL$4=1,IF(OR(INDEX('×入力'!$A$1:$L$1300,455+AL$3,2+AL$2)&lt;&gt;"",INDEX('×入力'!$A$1:$L$1300,454,2+AL$2)&lt;&gt;"",INDEX('×入力'!$A$1:$L$1300,455+AL$3,1)&lt;&gt;""),1,0),0)</f>
        <v/>
      </c>
      <c r="AM26">
        <f>IF(AM$4=1,IF(OR(INDEX('×入力'!$A$1:$L$1300,455+AM$3,2+AM$2)&lt;&gt;"",INDEX('×入力'!$A$1:$L$1300,454,2+AM$2)&lt;&gt;"",INDEX('×入力'!$A$1:$L$1300,455+AM$3,1)&lt;&gt;""),1,0),0)</f>
        <v/>
      </c>
      <c r="AN26">
        <f>IF(AN$4=1,IF(OR(INDEX('×入力'!$A$1:$L$1300,455+AN$3,2+AN$2)&lt;&gt;"",INDEX('×入力'!$A$1:$L$1300,454,2+AN$2)&lt;&gt;"",INDEX('×入力'!$A$1:$L$1300,455+AN$3,1)&lt;&gt;""),1,0),0)</f>
        <v/>
      </c>
      <c r="AO26">
        <f>IF(AO$4=1,IF(OR(INDEX('×入力'!$A$1:$L$1300,455+AO$3,2+AO$2)&lt;&gt;"",INDEX('×入力'!$A$1:$L$1300,454,2+AO$2)&lt;&gt;"",INDEX('×入力'!$A$1:$L$1300,455+AO$3,1)&lt;&gt;""),1,0),0)</f>
        <v/>
      </c>
      <c r="AP26">
        <f>IF(AP$4=1,IF(OR(INDEX('×入力'!$A$1:$L$1300,455+AP$3,2+AP$2)&lt;&gt;"",INDEX('×入力'!$A$1:$L$1300,454,2+AP$2)&lt;&gt;"",INDEX('×入力'!$A$1:$L$1300,455+AP$3,1)&lt;&gt;""),1,0),0)</f>
        <v/>
      </c>
      <c r="AQ26">
        <f>IF(AQ$4=1,IF(OR(INDEX('×入力'!$A$1:$L$1300,455+AQ$3,2+AQ$2)&lt;&gt;"",INDEX('×入力'!$A$1:$L$1300,454,2+AQ$2)&lt;&gt;"",INDEX('×入力'!$A$1:$L$1300,455+AQ$3,1)&lt;&gt;""),1,0),0)</f>
        <v/>
      </c>
      <c r="AR26">
        <f>IF(AR$4=1,IF(OR(INDEX('×入力'!$A$1:$L$1300,455+AR$3,2+AR$2)&lt;&gt;"",INDEX('×入力'!$A$1:$L$1300,454,2+AR$2)&lt;&gt;"",INDEX('×入力'!$A$1:$L$1300,455+AR$3,1)&lt;&gt;""),1,0),0)</f>
        <v/>
      </c>
      <c r="AS26">
        <f>IF(AS$4=1,IF(OR(INDEX('×入力'!$A$1:$L$1300,455+AS$3,2+AS$2)&lt;&gt;"",INDEX('×入力'!$A$1:$L$1300,454,2+AS$2)&lt;&gt;"",INDEX('×入力'!$A$1:$L$1300,455+AS$3,1)&lt;&gt;""),1,0),0)</f>
        <v/>
      </c>
      <c r="AT26">
        <f>IF(AT$4=1,IF(OR(INDEX('×入力'!$A$1:$L$1300,455+AT$3,2+AT$2)&lt;&gt;"",INDEX('×入力'!$A$1:$L$1300,454,2+AT$2)&lt;&gt;"",INDEX('×入力'!$A$1:$L$1300,455+AT$3,1)&lt;&gt;""),1,0),0)</f>
        <v/>
      </c>
      <c r="AU26">
        <f>IF(AU$4=1,IF(OR(INDEX('×入力'!$A$1:$L$1300,455+AU$3,2+AU$2)&lt;&gt;"",INDEX('×入力'!$A$1:$L$1300,454,2+AU$2)&lt;&gt;"",INDEX('×入力'!$A$1:$L$1300,455+AU$3,1)&lt;&gt;""),1,0),0)</f>
        <v/>
      </c>
      <c r="AV26">
        <f>IF(AV$4=1,IF(OR(INDEX('×入力'!$A$1:$L$1300,455+AV$3,2+AV$2)&lt;&gt;"",INDEX('×入力'!$A$1:$L$1300,454,2+AV$2)&lt;&gt;"",INDEX('×入力'!$A$1:$L$1300,455+AV$3,1)&lt;&gt;""),1,0),0)</f>
        <v/>
      </c>
      <c r="AW26">
        <f>IF(AW$4=1,IF(OR(INDEX('×入力'!$A$1:$L$1300,455+AW$3,2+AW$2)&lt;&gt;"",INDEX('×入力'!$A$1:$L$1300,454,2+AW$2)&lt;&gt;"",INDEX('×入力'!$A$1:$L$1300,455+AW$3,1)&lt;&gt;""),1,0),0)</f>
        <v/>
      </c>
      <c r="AX26">
        <f>IF(AX$4=1,IF(OR(INDEX('×入力'!$A$1:$L$1300,455+AX$3,2+AX$2)&lt;&gt;"",INDEX('×入力'!$A$1:$L$1300,454,2+AX$2)&lt;&gt;"",INDEX('×入力'!$A$1:$L$1300,455+AX$3,1)&lt;&gt;""),1,0),0)</f>
        <v/>
      </c>
      <c r="AY26">
        <f>IF(AY$4=1,IF(OR(INDEX('×入力'!$A$1:$L$1300,455+AY$3,2+AY$2)&lt;&gt;"",INDEX('×入力'!$A$1:$L$1300,454,2+AY$2)&lt;&gt;"",INDEX('×入力'!$A$1:$L$1300,455+AY$3,1)&lt;&gt;""),1,0),0)</f>
        <v/>
      </c>
      <c r="AZ26">
        <f>IF(AZ$4=1,IF(OR(INDEX('×入力'!$A$1:$L$1300,455+AZ$3,2+AZ$2)&lt;&gt;"",INDEX('×入力'!$A$1:$L$1300,454,2+AZ$2)&lt;&gt;"",INDEX('×入力'!$A$1:$L$1300,455+AZ$3,1)&lt;&gt;""),1,0),0)</f>
        <v/>
      </c>
      <c r="BA26">
        <f>IF(BA$4=1,IF(OR(INDEX('×入力'!$A$1:$L$1300,455+BA$3,2+BA$2)&lt;&gt;"",INDEX('×入力'!$A$1:$L$1300,454,2+BA$2)&lt;&gt;"",INDEX('×入力'!$A$1:$L$1300,455+BA$3,1)&lt;&gt;""),1,0),0)</f>
        <v/>
      </c>
      <c r="BB26">
        <f>IF(BB$4=1,IF(OR(INDEX('×入力'!$A$1:$L$1300,455+BB$3,2+BB$2)&lt;&gt;"",INDEX('×入力'!$A$1:$L$1300,454,2+BB$2)&lt;&gt;"",INDEX('×入力'!$A$1:$L$1300,455+BB$3,1)&lt;&gt;""),1,0),0)</f>
        <v/>
      </c>
      <c r="BC26">
        <f>IF(BC$4=1,IF(OR(INDEX('×入力'!$A$1:$L$1300,455+BC$3,2+BC$2)&lt;&gt;"",INDEX('×入力'!$A$1:$L$1300,454,2+BC$2)&lt;&gt;"",INDEX('×入力'!$A$1:$L$1300,455+BC$3,1)&lt;&gt;""),1,0),0)</f>
        <v/>
      </c>
      <c r="BD26">
        <f>IF(BD$4=1,IF(OR(INDEX('×入力'!$A$1:$L$1300,455+BD$3,2+BD$2)&lt;&gt;"",INDEX('×入力'!$A$1:$L$1300,454,2+BD$2)&lt;&gt;"",INDEX('×入力'!$A$1:$L$1300,455+BD$3,1)&lt;&gt;""),1,0),0)</f>
        <v/>
      </c>
      <c r="BE26">
        <f>IF(BE$4=1,IF(OR(INDEX('×入力'!$A$1:$L$1300,455+BE$3,2+BE$2)&lt;&gt;"",INDEX('×入力'!$A$1:$L$1300,454,2+BE$2)&lt;&gt;"",INDEX('×入力'!$A$1:$L$1300,455+BE$3,1)&lt;&gt;""),1,0),0)</f>
        <v/>
      </c>
      <c r="BF26">
        <f>IF(BF$4=1,IF(OR(INDEX('×入力'!$A$1:$L$1300,455+BF$3,2+BF$2)&lt;&gt;"",INDEX('×入力'!$A$1:$L$1300,454,2+BF$2)&lt;&gt;"",INDEX('×入力'!$A$1:$L$1300,455+BF$3,1)&lt;&gt;""),1,0),0)</f>
        <v/>
      </c>
      <c r="BG26">
        <f>IF(BG$4=1,IF(OR(INDEX('×入力'!$A$1:$L$1300,455+BG$3,2+BG$2)&lt;&gt;"",INDEX('×入力'!$A$1:$L$1300,454,2+BG$2)&lt;&gt;"",INDEX('×入力'!$A$1:$L$1300,455+BG$3,1)&lt;&gt;""),1,0),0)</f>
        <v/>
      </c>
      <c r="BH26">
        <f>IF(BH$4=1,IF(OR(INDEX('×入力'!$A$1:$L$1300,455+BH$3,2+BH$2)&lt;&gt;"",INDEX('×入力'!$A$1:$L$1300,454,2+BH$2)&lt;&gt;"",INDEX('×入力'!$A$1:$L$1300,455+BH$3,1)&lt;&gt;""),1,0),0)</f>
        <v/>
      </c>
      <c r="BI26">
        <f>IF(BI$4=1,IF(OR(INDEX('×入力'!$A$1:$L$1300,455+BI$3,2+BI$2)&lt;&gt;"",INDEX('×入力'!$A$1:$L$1300,454,2+BI$2)&lt;&gt;"",INDEX('×入力'!$A$1:$L$1300,455+BI$3,1)&lt;&gt;""),1,0),0)</f>
        <v/>
      </c>
      <c r="BJ26">
        <f>IF(BJ$4=1,IF(OR(INDEX('×入力'!$A$1:$L$1300,455+BJ$3,2+BJ$2)&lt;&gt;"",INDEX('×入力'!$A$1:$L$1300,454,2+BJ$2)&lt;&gt;"",INDEX('×入力'!$A$1:$L$1300,455+BJ$3,1)&lt;&gt;""),1,0),0)</f>
        <v/>
      </c>
      <c r="BK26">
        <f>IF(BK$4=1,IF(OR(INDEX('×入力'!$A$1:$L$1300,455+BK$3,2+BK$2)&lt;&gt;"",INDEX('×入力'!$A$1:$L$1300,454,2+BK$2)&lt;&gt;"",INDEX('×入力'!$A$1:$L$1300,455+BK$3,1)&lt;&gt;""),1,0),0)</f>
        <v/>
      </c>
      <c r="BL26">
        <f>IF(BL$4=1,IF(OR(INDEX('×入力'!$A$1:$L$1300,455+BL$3,2+BL$2)&lt;&gt;"",INDEX('×入力'!$A$1:$L$1300,454,2+BL$2)&lt;&gt;"",INDEX('×入力'!$A$1:$L$1300,455+BL$3,1)&lt;&gt;""),1,0),0)</f>
        <v/>
      </c>
      <c r="BM26">
        <f>IF(BM$4=1,IF(OR(INDEX('×入力'!$A$1:$L$1300,455+BM$3,2+BM$2)&lt;&gt;"",INDEX('×入力'!$A$1:$L$1300,454,2+BM$2)&lt;&gt;"",INDEX('×入力'!$A$1:$L$1300,455+BM$3,1)&lt;&gt;""),1,0),0)</f>
        <v/>
      </c>
      <c r="BN26">
        <f>IF(BN$4=1,IF(OR(INDEX('×入力'!$A$1:$L$1300,455+BN$3,2+BN$2)&lt;&gt;"",INDEX('×入力'!$A$1:$L$1300,454,2+BN$2)&lt;&gt;"",INDEX('×入力'!$A$1:$L$1300,455+BN$3,1)&lt;&gt;""),1,0),0)</f>
        <v/>
      </c>
      <c r="BO26">
        <f>IF(BO$4=1,IF(OR(INDEX('×入力'!$A$1:$L$1300,455+BO$3,2+BO$2)&lt;&gt;"",INDEX('×入力'!$A$1:$L$1300,454,2+BO$2)&lt;&gt;"",INDEX('×入力'!$A$1:$L$1300,455+BO$3,1)&lt;&gt;""),1,0),0)</f>
        <v/>
      </c>
      <c r="BP26">
        <f>IF(BP$4=1,IF(OR(INDEX('×入力'!$A$1:$L$1300,455+BP$3,2+BP$2)&lt;&gt;"",INDEX('×入力'!$A$1:$L$1300,454,2+BP$2)&lt;&gt;"",INDEX('×入力'!$A$1:$L$1300,455+BP$3,1)&lt;&gt;""),1,0),0)</f>
        <v/>
      </c>
      <c r="BQ26">
        <f>IF(BQ$4=1,IF(OR(INDEX('×入力'!$A$1:$L$1300,455+BQ$3,2+BQ$2)&lt;&gt;"",INDEX('×入力'!$A$1:$L$1300,454,2+BQ$2)&lt;&gt;"",INDEX('×入力'!$A$1:$L$1300,455+BQ$3,1)&lt;&gt;""),1,0),0)</f>
        <v/>
      </c>
      <c r="BR26">
        <f>IF(BR$4=1,IF(OR(INDEX('×入力'!$A$1:$L$1300,455+BR$3,2+BR$2)&lt;&gt;"",INDEX('×入力'!$A$1:$L$1300,454,2+BR$2)&lt;&gt;"",INDEX('×入力'!$A$1:$L$1300,455+BR$3,1)&lt;&gt;""),1,0),0)</f>
        <v/>
      </c>
      <c r="BS26">
        <f>IF(BS$4=1,IF(OR(INDEX('×入力'!$A$1:$L$1300,455+BS$3,2+BS$2)&lt;&gt;"",INDEX('×入力'!$A$1:$L$1300,454,2+BS$2)&lt;&gt;"",INDEX('×入力'!$A$1:$L$1300,455+BS$3,1)&lt;&gt;""),1,0),0)</f>
        <v/>
      </c>
      <c r="BT26">
        <f>IF(BT$4=1,IF(OR(INDEX('×入力'!$A$1:$L$1300,455+BT$3,2+BT$2)&lt;&gt;"",INDEX('×入力'!$A$1:$L$1300,454,2+BT$2)&lt;&gt;"",INDEX('×入力'!$A$1:$L$1300,455+BT$3,1)&lt;&gt;""),1,0),0)</f>
        <v/>
      </c>
      <c r="BU26">
        <f>IF(BU$4=1,IF(OR(INDEX('×入力'!$A$1:$L$1300,455+BU$3,2+BU$2)&lt;&gt;"",INDEX('×入力'!$A$1:$L$1300,454,2+BU$2)&lt;&gt;"",INDEX('×入力'!$A$1:$L$1300,455+BU$3,1)&lt;&gt;""),1,0),0)</f>
        <v/>
      </c>
      <c r="BV26">
        <f>IF(BV$4=1,IF(OR(INDEX('×入力'!$A$1:$L$1300,455+BV$3,2+BV$2)&lt;&gt;"",INDEX('×入力'!$A$1:$L$1300,454,2+BV$2)&lt;&gt;"",INDEX('×入力'!$A$1:$L$1300,455+BV$3,1)&lt;&gt;""),1,0),0)</f>
        <v/>
      </c>
      <c r="BW26">
        <f>IF(BW$4=1,IF(OR(INDEX('×入力'!$A$1:$L$1300,455+BW$3,2+BW$2)&lt;&gt;"",INDEX('×入力'!$A$1:$L$1300,454,2+BW$2)&lt;&gt;"",INDEX('×入力'!$A$1:$L$1300,455+BW$3,1)&lt;&gt;""),1,0),0)</f>
        <v/>
      </c>
      <c r="BX26">
        <f>IF(BX$4=1,IF(OR(INDEX('×入力'!$A$1:$L$1300,455+BX$3,2+BX$2)&lt;&gt;"",INDEX('×入力'!$A$1:$L$1300,454,2+BX$2)&lt;&gt;"",INDEX('×入力'!$A$1:$L$1300,455+BX$3,1)&lt;&gt;""),1,0),0)</f>
        <v/>
      </c>
      <c r="BY26">
        <f>IF(BY$4=1,IF(OR(INDEX('×入力'!$A$1:$L$1300,455+BY$3,2+BY$2)&lt;&gt;"",INDEX('×入力'!$A$1:$L$1300,454,2+BY$2)&lt;&gt;"",INDEX('×入力'!$A$1:$L$1300,455+BY$3,1)&lt;&gt;""),1,0),0)</f>
        <v/>
      </c>
      <c r="BZ26">
        <f>IF(BZ$4=1,IF(OR(INDEX('×入力'!$A$1:$L$1300,455+BZ$3,2+BZ$2)&lt;&gt;"",INDEX('×入力'!$A$1:$L$1300,454,2+BZ$2)&lt;&gt;"",INDEX('×入力'!$A$1:$L$1300,455+BZ$3,1)&lt;&gt;""),1,0),0)</f>
        <v/>
      </c>
      <c r="CA26">
        <f>IF(CA$4=1,IF(OR(INDEX('×入力'!$A$1:$L$1300,455+CA$3,2+CA$2)&lt;&gt;"",INDEX('×入力'!$A$1:$L$1300,454,2+CA$2)&lt;&gt;"",INDEX('×入力'!$A$1:$L$1300,455+CA$3,1)&lt;&gt;""),1,0),0)</f>
        <v/>
      </c>
      <c r="CB26">
        <f>IF(CB$4=1,IF(OR(INDEX('×入力'!$A$1:$L$1300,455+CB$3,2+CB$2)&lt;&gt;"",INDEX('×入力'!$A$1:$L$1300,454,2+CB$2)&lt;&gt;"",INDEX('×入力'!$A$1:$L$1300,455+CB$3,1)&lt;&gt;""),1,0),0)</f>
        <v/>
      </c>
      <c r="CC26">
        <f>IF(CC$4=1,IF(OR(INDEX('×入力'!$A$1:$L$1300,455+CC$3,2+CC$2)&lt;&gt;"",INDEX('×入力'!$A$1:$L$1300,454,2+CC$2)&lt;&gt;"",INDEX('×入力'!$A$1:$L$1300,455+CC$3,1)&lt;&gt;""),1,0),0)</f>
        <v/>
      </c>
      <c r="CD26">
        <f>IF(CD$4=1,IF(OR(INDEX('×入力'!$A$1:$L$1300,455+CD$3,2+CD$2)&lt;&gt;"",INDEX('×入力'!$A$1:$L$1300,454,2+CD$2)&lt;&gt;"",INDEX('×入力'!$A$1:$L$1300,455+CD$3,1)&lt;&gt;""),1,0),0)</f>
        <v/>
      </c>
      <c r="CE26">
        <f>IF(CE$4=1,IF(OR(INDEX('×入力'!$A$1:$L$1300,455+CE$3,2+CE$2)&lt;&gt;"",INDEX('×入力'!$A$1:$L$1300,454,2+CE$2)&lt;&gt;"",INDEX('×入力'!$A$1:$L$1300,455+CE$3,1)&lt;&gt;""),1,0),0)</f>
        <v/>
      </c>
      <c r="CF26">
        <f>IF(CF$4=1,IF(OR(INDEX('×入力'!$A$1:$L$1300,455+CF$3,2+CF$2)&lt;&gt;"",INDEX('×入力'!$A$1:$L$1300,454,2+CF$2)&lt;&gt;"",INDEX('×入力'!$A$1:$L$1300,455+CF$3,1)&lt;&gt;""),1,0),0)</f>
        <v/>
      </c>
      <c r="CG26">
        <f>IF(CG$4=1,IF(OR(INDEX('×入力'!$A$1:$L$1300,455+CG$3,2+CG$2)&lt;&gt;"",INDEX('×入力'!$A$1:$L$1300,454,2+CG$2)&lt;&gt;"",INDEX('×入力'!$A$1:$L$1300,455+CG$3,1)&lt;&gt;""),1,0),0)</f>
        <v/>
      </c>
      <c r="CH26">
        <f>IF(CH$4=1,IF(OR(INDEX('×入力'!$A$1:$L$1300,455+CH$3,2+CH$2)&lt;&gt;"",INDEX('×入力'!$A$1:$L$1300,454,2+CH$2)&lt;&gt;"",INDEX('×入力'!$A$1:$L$1300,455+CH$3,1)&lt;&gt;""),1,0),0)</f>
        <v/>
      </c>
      <c r="CI26">
        <f>IF(CI$4=1,IF(OR(INDEX('×入力'!$A$1:$L$1300,455+CI$3,2+CI$2)&lt;&gt;"",INDEX('×入力'!$A$1:$L$1300,454,2+CI$2)&lt;&gt;"",INDEX('×入力'!$A$1:$L$1300,455+CI$3,1)&lt;&gt;""),1,0),0)</f>
        <v/>
      </c>
      <c r="CJ26">
        <f>IF(CJ$4=1,IF(OR(INDEX('×入力'!$A$1:$L$1300,455+CJ$3,2+CJ$2)&lt;&gt;"",INDEX('×入力'!$A$1:$L$1300,454,2+CJ$2)&lt;&gt;"",INDEX('×入力'!$A$1:$L$1300,455+CJ$3,1)&lt;&gt;""),1,0),0)</f>
        <v/>
      </c>
      <c r="CK26">
        <f>IF(CK$4=1,IF(OR(INDEX('×入力'!$A$1:$L$1300,455+CK$3,2+CK$2)&lt;&gt;"",INDEX('×入力'!$A$1:$L$1300,454,2+CK$2)&lt;&gt;"",INDEX('×入力'!$A$1:$L$1300,455+CK$3,1)&lt;&gt;""),1,0),0)</f>
        <v/>
      </c>
      <c r="CL26">
        <f>IF(CL$4=1,IF(OR(INDEX('×入力'!$A$1:$L$1300,455+CL$3,2+CL$2)&lt;&gt;"",INDEX('×入力'!$A$1:$L$1300,454,2+CL$2)&lt;&gt;"",INDEX('×入力'!$A$1:$L$1300,455+CL$3,1)&lt;&gt;""),1,0),0)</f>
        <v/>
      </c>
      <c r="CM26">
        <f>IF(CM$4=1,IF(OR(INDEX('×入力'!$A$1:$L$1300,455+CM$3,2+CM$2)&lt;&gt;"",INDEX('×入力'!$A$1:$L$1300,454,2+CM$2)&lt;&gt;"",INDEX('×入力'!$A$1:$L$1300,455+CM$3,1)&lt;&gt;""),1,0),0)</f>
        <v/>
      </c>
      <c r="CN26">
        <f>IF(CN$4=1,IF(OR(INDEX('×入力'!$A$1:$L$1300,455+CN$3,2+CN$2)&lt;&gt;"",INDEX('×入力'!$A$1:$L$1300,454,2+CN$2)&lt;&gt;"",INDEX('×入力'!$A$1:$L$1300,455+CN$3,1)&lt;&gt;""),1,0),0)</f>
        <v/>
      </c>
      <c r="CO26">
        <f>IF(CO$4=1,IF(OR(INDEX('×入力'!$A$1:$L$1300,455+CO$3,2+CO$2)&lt;&gt;"",INDEX('×入力'!$A$1:$L$1300,454,2+CO$2)&lt;&gt;"",INDEX('×入力'!$A$1:$L$1300,455+CO$3,1)&lt;&gt;""),1,0),0)</f>
        <v/>
      </c>
      <c r="CP26">
        <f>IF(CP$4=1,IF(OR(INDEX('×入力'!$A$1:$L$1300,455+CP$3,2+CP$2)&lt;&gt;"",INDEX('×入力'!$A$1:$L$1300,454,2+CP$2)&lt;&gt;"",INDEX('×入力'!$A$1:$L$1300,455+CP$3,1)&lt;&gt;""),1,0),0)</f>
        <v/>
      </c>
      <c r="CQ26">
        <f>IF(CQ$4=1,IF(OR(INDEX('×入力'!$A$1:$L$1300,455+CQ$3,2+CQ$2)&lt;&gt;"",INDEX('×入力'!$A$1:$L$1300,454,2+CQ$2)&lt;&gt;"",INDEX('×入力'!$A$1:$L$1300,455+CQ$3,1)&lt;&gt;""),1,0),0)</f>
        <v/>
      </c>
      <c r="CR26">
        <f>IF(CR$4=1,IF(OR(INDEX('×入力'!$A$1:$L$1300,455+CR$3,2+CR$2)&lt;&gt;"",INDEX('×入力'!$A$1:$L$1300,454,2+CR$2)&lt;&gt;"",INDEX('×入力'!$A$1:$L$1300,455+CR$3,1)&lt;&gt;""),1,0),0)</f>
        <v/>
      </c>
      <c r="CS26">
        <f>IF(CS$4=1,IF(OR(INDEX('×入力'!$A$1:$L$1300,455+CS$3,2+CS$2)&lt;&gt;"",INDEX('×入力'!$A$1:$L$1300,454,2+CS$2)&lt;&gt;"",INDEX('×入力'!$A$1:$L$1300,455+CS$3,1)&lt;&gt;""),1,0),0)</f>
        <v/>
      </c>
      <c r="CT26">
        <f>IF(CT$4=1,IF(OR(INDEX('×入力'!$A$1:$L$1300,455+CT$3,2+CT$2)&lt;&gt;"",INDEX('×入力'!$A$1:$L$1300,454,2+CT$2)&lt;&gt;"",INDEX('×入力'!$A$1:$L$1300,455+CT$3,1)&lt;&gt;""),1,0),0)</f>
        <v/>
      </c>
      <c r="CU26">
        <f>IF(CU$4=1,IF(OR(INDEX('×入力'!$A$1:$L$1300,455+CU$3,2+CU$2)&lt;&gt;"",INDEX('×入力'!$A$1:$L$1300,454,2+CU$2)&lt;&gt;"",INDEX('×入力'!$A$1:$L$1300,455+CU$3,1)&lt;&gt;""),1,0),0)</f>
        <v/>
      </c>
      <c r="CV26">
        <f>IF(CV$4=1,IF(OR(INDEX('×入力'!$A$1:$L$1300,455+CV$3,2+CV$2)&lt;&gt;"",INDEX('×入力'!$A$1:$L$1300,454,2+CV$2)&lt;&gt;"",INDEX('×入力'!$A$1:$L$1300,455+CV$3,1)&lt;&gt;""),1,0),0)</f>
        <v/>
      </c>
      <c r="CW26">
        <f>IF(CW$4=1,IF(OR(INDEX('×入力'!$A$1:$L$1300,455+CW$3,2+CW$2)&lt;&gt;"",INDEX('×入力'!$A$1:$L$1300,454,2+CW$2)&lt;&gt;"",INDEX('×入力'!$A$1:$L$1300,455+CW$3,1)&lt;&gt;""),1,0),0)</f>
        <v/>
      </c>
      <c r="CX26">
        <f>IF(CX$4=1,IF(OR(INDEX('×入力'!$A$1:$L$1300,455+CX$3,2+CX$2)&lt;&gt;"",INDEX('×入力'!$A$1:$L$1300,454,2+CX$2)&lt;&gt;"",INDEX('×入力'!$A$1:$L$1300,455+CX$3,1)&lt;&gt;""),1,0),0)</f>
        <v/>
      </c>
      <c r="CY26">
        <f>IF(CY$4=1,IF(OR(INDEX('×入力'!$A$1:$L$1300,455+CY$3,2+CY$2)&lt;&gt;"",INDEX('×入力'!$A$1:$L$1300,454,2+CY$2)&lt;&gt;"",INDEX('×入力'!$A$1:$L$1300,455+CY$3,1)&lt;&gt;""),1,0),0)</f>
        <v/>
      </c>
      <c r="CZ26">
        <f>IF(CZ$4=1,IF(OR(INDEX('×入力'!$A$1:$L$1300,455+CZ$3,2+CZ$2)&lt;&gt;"",INDEX('×入力'!$A$1:$L$1300,454,2+CZ$2)&lt;&gt;"",INDEX('×入力'!$A$1:$L$1300,455+CZ$3,1)&lt;&gt;""),1,0),0)</f>
        <v/>
      </c>
      <c r="DA26">
        <f>IF(DA$4=1,IF(OR(INDEX('×入力'!$A$1:$L$1300,455+DA$3,2+DA$2)&lt;&gt;"",INDEX('×入力'!$A$1:$L$1300,454,2+DA$2)&lt;&gt;"",INDEX('×入力'!$A$1:$L$1300,455+DA$3,1)&lt;&gt;""),1,0),0)</f>
        <v/>
      </c>
      <c r="DB26">
        <f>IF(DB$4=1,IF(OR(INDEX('×入力'!$A$1:$L$1300,455+DB$3,2+DB$2)&lt;&gt;"",INDEX('×入力'!$A$1:$L$1300,454,2+DB$2)&lt;&gt;"",INDEX('×入力'!$A$1:$L$1300,455+DB$3,1)&lt;&gt;""),1,0),0)</f>
        <v/>
      </c>
      <c r="DC26">
        <f>IF(DC$4=1,IF(OR(INDEX('×入力'!$A$1:$L$1300,455+DC$3,2+DC$2)&lt;&gt;"",INDEX('×入力'!$A$1:$L$1300,454,2+DC$2)&lt;&gt;"",INDEX('×入力'!$A$1:$L$1300,455+DC$3,1)&lt;&gt;""),1,0),0)</f>
        <v/>
      </c>
      <c r="DD26">
        <f>IF(DD$4=1,IF(OR(INDEX('×入力'!$A$1:$L$1300,455+DD$3,2+DD$2)&lt;&gt;"",INDEX('×入力'!$A$1:$L$1300,454,2+DD$2)&lt;&gt;"",INDEX('×入力'!$A$1:$L$1300,455+DD$3,1)&lt;&gt;""),1,0),0)</f>
        <v/>
      </c>
      <c r="DE26">
        <f>IF(DE$4=1,IF(OR(INDEX('×入力'!$A$1:$L$1300,455+DE$3,2+DE$2)&lt;&gt;"",INDEX('×入力'!$A$1:$L$1300,454,2+DE$2)&lt;&gt;"",INDEX('×入力'!$A$1:$L$1300,455+DE$3,1)&lt;&gt;""),1,0),0)</f>
        <v/>
      </c>
      <c r="DF26">
        <f>IF(DF$4=1,IF(OR(INDEX('×入力'!$A$1:$L$1300,455+DF$3,2+DF$2)&lt;&gt;"",INDEX('×入力'!$A$1:$L$1300,454,2+DF$2)&lt;&gt;"",INDEX('×入力'!$A$1:$L$1300,455+DF$3,1)&lt;&gt;""),1,0),0)</f>
        <v/>
      </c>
      <c r="DG26">
        <f>IF(DG$4=1,IF(OR(INDEX('×入力'!$A$1:$L$1300,455+DG$3,2+DG$2)&lt;&gt;"",INDEX('×入力'!$A$1:$L$1300,454,2+DG$2)&lt;&gt;"",INDEX('×入力'!$A$1:$L$1300,455+DG$3,1)&lt;&gt;""),1,0),0)</f>
        <v/>
      </c>
      <c r="DH26">
        <f>IF(DH$4=1,IF(OR(INDEX('×入力'!$A$1:$L$1300,455+DH$3,2+DH$2)&lt;&gt;"",INDEX('×入力'!$A$1:$L$1300,454,2+DH$2)&lt;&gt;"",INDEX('×入力'!$A$1:$L$1300,455+DH$3,1)&lt;&gt;""),1,0),0)</f>
        <v/>
      </c>
      <c r="DI26">
        <f>IF(DI$4=1,IF(OR(INDEX('×入力'!$A$1:$L$1300,455+DI$3,2+DI$2)&lt;&gt;"",INDEX('×入力'!$A$1:$L$1300,454,2+DI$2)&lt;&gt;"",INDEX('×入力'!$A$1:$L$1300,455+DI$3,1)&lt;&gt;""),1,0),0)</f>
        <v/>
      </c>
      <c r="DJ26">
        <f>IF(DJ$4=1,IF(OR(INDEX('×入力'!$A$1:$L$1300,455+DJ$3,2+DJ$2)&lt;&gt;"",INDEX('×入力'!$A$1:$L$1300,454,2+DJ$2)&lt;&gt;"",INDEX('×入力'!$A$1:$L$1300,455+DJ$3,1)&lt;&gt;""),1,0),0)</f>
        <v/>
      </c>
      <c r="DK26">
        <f>IF(DK$4=1,IF(OR(INDEX('×入力'!$A$1:$L$1300,455+DK$3,2+DK$2)&lt;&gt;"",INDEX('×入力'!$A$1:$L$1300,454,2+DK$2)&lt;&gt;"",INDEX('×入力'!$A$1:$L$1300,455+DK$3,1)&lt;&gt;""),1,0),0)</f>
        <v/>
      </c>
      <c r="DL26">
        <f>IF(DL$4=1,IF(OR(INDEX('×入力'!$A$1:$L$1300,455+DL$3,2+DL$2)&lt;&gt;"",INDEX('×入力'!$A$1:$L$1300,454,2+DL$2)&lt;&gt;"",INDEX('×入力'!$A$1:$L$1300,455+DL$3,1)&lt;&gt;""),1,0),0)</f>
        <v/>
      </c>
      <c r="DM26">
        <f>IF(DM$4=1,IF(OR(INDEX('×入力'!$A$1:$L$1300,455+DM$3,2+DM$2)&lt;&gt;"",INDEX('×入力'!$A$1:$L$1300,454,2+DM$2)&lt;&gt;"",INDEX('×入力'!$A$1:$L$1300,455+DM$3,1)&lt;&gt;""),1,0),0)</f>
        <v/>
      </c>
      <c r="DN26">
        <f>IF(DN$4=1,IF(OR(INDEX('×入力'!$A$1:$L$1300,455+DN$3,2+DN$2)&lt;&gt;"",INDEX('×入力'!$A$1:$L$1300,454,2+DN$2)&lt;&gt;"",INDEX('×入力'!$A$1:$L$1300,455+DN$3,1)&lt;&gt;""),1,0),0)</f>
        <v/>
      </c>
      <c r="DO26">
        <f>IF(DO$4=1,IF(OR(INDEX('×入力'!$A$1:$L$1300,455+DO$3,2+DO$2)&lt;&gt;"",INDEX('×入力'!$A$1:$L$1300,454,2+DO$2)&lt;&gt;"",INDEX('×入力'!$A$1:$L$1300,455+DO$3,1)&lt;&gt;""),1,0),0)</f>
        <v/>
      </c>
      <c r="DP26">
        <f>IF(DP$4=1,IF(OR(INDEX('×入力'!$A$1:$L$1300,455+DP$3,2+DP$2)&lt;&gt;"",INDEX('×入力'!$A$1:$L$1300,454,2+DP$2)&lt;&gt;"",INDEX('×入力'!$A$1:$L$1300,455+DP$3,1)&lt;&gt;""),1,0),0)</f>
        <v/>
      </c>
      <c r="DQ26">
        <f>IF(DQ$4=1,IF(OR(INDEX('×入力'!$A$1:$L$1300,455+DQ$3,2+DQ$2)&lt;&gt;"",INDEX('×入力'!$A$1:$L$1300,454,2+DQ$2)&lt;&gt;"",INDEX('×入力'!$A$1:$L$1300,455+DQ$3,1)&lt;&gt;""),1,0),0)</f>
        <v/>
      </c>
      <c r="DR26">
        <f>IF(DR$4=1,IF(OR(INDEX('×入力'!$A$1:$L$1300,455+DR$3,2+DR$2)&lt;&gt;"",INDEX('×入力'!$A$1:$L$1300,454,2+DR$2)&lt;&gt;"",INDEX('×入力'!$A$1:$L$1300,455+DR$3,1)&lt;&gt;""),1,0),0)</f>
        <v/>
      </c>
      <c r="DS26">
        <f>IF(DS$4=1,IF(OR(INDEX('×入力'!$A$1:$L$1300,455+DS$3,2+DS$2)&lt;&gt;"",INDEX('×入力'!$A$1:$L$1300,454,2+DS$2)&lt;&gt;"",INDEX('×入力'!$A$1:$L$1300,455+DS$3,1)&lt;&gt;""),1,0),0)</f>
        <v/>
      </c>
      <c r="DT26">
        <f>IF(DT$4=1,IF(OR(INDEX('×入力'!$A$1:$L$1300,455+DT$3,2+DT$2)&lt;&gt;"",INDEX('×入力'!$A$1:$L$1300,454,2+DT$2)&lt;&gt;"",INDEX('×入力'!$A$1:$L$1300,455+DT$3,1)&lt;&gt;""),1,0),0)</f>
        <v/>
      </c>
      <c r="DU26">
        <f>IF(DU$4=1,IF(OR(INDEX('×入力'!$A$1:$L$1300,455+DU$3,2+DU$2)&lt;&gt;"",INDEX('×入力'!$A$1:$L$1300,454,2+DU$2)&lt;&gt;"",INDEX('×入力'!$A$1:$L$1300,455+DU$3,1)&lt;&gt;""),1,0),0)</f>
        <v/>
      </c>
      <c r="DV26">
        <f>IF(DV$4=1,IF(OR(INDEX('×入力'!$A$1:$L$1300,455+DV$3,2+DV$2)&lt;&gt;"",INDEX('×入力'!$A$1:$L$1300,454,2+DV$2)&lt;&gt;"",INDEX('×入力'!$A$1:$L$1300,455+DV$3,1)&lt;&gt;""),1,0),0)</f>
        <v/>
      </c>
      <c r="DW26">
        <f>IF(DW$4=1,IF(OR(INDEX('×入力'!$A$1:$L$1300,455+DW$3,2+DW$2)&lt;&gt;"",INDEX('×入力'!$A$1:$L$1300,454,2+DW$2)&lt;&gt;"",INDEX('×入力'!$A$1:$L$1300,455+DW$3,1)&lt;&gt;""),1,0),0)</f>
        <v/>
      </c>
      <c r="DX26">
        <f>IF(DX$4=1,IF(OR(INDEX('×入力'!$A$1:$L$1300,455+DX$3,2+DX$2)&lt;&gt;"",INDEX('×入力'!$A$1:$L$1300,454,2+DX$2)&lt;&gt;"",INDEX('×入力'!$A$1:$L$1300,455+DX$3,1)&lt;&gt;""),1,0),0)</f>
        <v/>
      </c>
      <c r="DY26">
        <f>IF(DY$4=1,IF(OR(INDEX('×入力'!$A$1:$L$1300,455+DY$3,2+DY$2)&lt;&gt;"",INDEX('×入力'!$A$1:$L$1300,454,2+DY$2)&lt;&gt;"",INDEX('×入力'!$A$1:$L$1300,455+DY$3,1)&lt;&gt;""),1,0),0)</f>
        <v/>
      </c>
      <c r="DZ26">
        <f>IF(DZ$4=1,IF(OR(INDEX('×入力'!$A$1:$L$1300,455+DZ$3,2+DZ$2)&lt;&gt;"",INDEX('×入力'!$A$1:$L$1300,454,2+DZ$2)&lt;&gt;"",INDEX('×入力'!$A$1:$L$1300,455+DZ$3,1)&lt;&gt;""),1,0),0)</f>
        <v/>
      </c>
      <c r="EA26">
        <f>IF(EA$4=1,IF(OR(INDEX('×入力'!$A$1:$L$1300,455+EA$3,2+EA$2)&lt;&gt;"",INDEX('×入力'!$A$1:$L$1300,454,2+EA$2)&lt;&gt;"",INDEX('×入力'!$A$1:$L$1300,455+EA$3,1)&lt;&gt;""),1,0),0)</f>
        <v/>
      </c>
      <c r="EB26">
        <f>IF(EB$4=1,IF(OR(INDEX('×入力'!$A$1:$L$1300,455+EB$3,2+EB$2)&lt;&gt;"",INDEX('×入力'!$A$1:$L$1300,454,2+EB$2)&lt;&gt;"",INDEX('×入力'!$A$1:$L$1300,455+EB$3,1)&lt;&gt;""),1,0),0)</f>
        <v/>
      </c>
      <c r="EC26">
        <f>IF(EC$4=1,IF(OR(INDEX('×入力'!$A$1:$L$1300,455+EC$3,2+EC$2)&lt;&gt;"",INDEX('×入力'!$A$1:$L$1300,454,2+EC$2)&lt;&gt;"",INDEX('×入力'!$A$1:$L$1300,455+EC$3,1)&lt;&gt;""),1,0),0)</f>
        <v/>
      </c>
      <c r="ED26">
        <f>IF(ED$4=1,IF(OR(INDEX('×入力'!$A$1:$L$1300,455+ED$3,2+ED$2)&lt;&gt;"",INDEX('×入力'!$A$1:$L$1300,454,2+ED$2)&lt;&gt;"",INDEX('×入力'!$A$1:$L$1300,455+ED$3,1)&lt;&gt;""),1,0),0)</f>
        <v/>
      </c>
      <c r="EE26">
        <f>IF(EE$4=1,IF(OR(INDEX('×入力'!$A$1:$L$1300,455+EE$3,2+EE$2)&lt;&gt;"",INDEX('×入力'!$A$1:$L$1300,454,2+EE$2)&lt;&gt;"",INDEX('×入力'!$A$1:$L$1300,455+EE$3,1)&lt;&gt;""),1,0),0)</f>
        <v/>
      </c>
      <c r="EF26">
        <f>IF(EF$4=1,IF(OR(INDEX('×入力'!$A$1:$L$1300,455+EF$3,2+EF$2)&lt;&gt;"",INDEX('×入力'!$A$1:$L$1300,454,2+EF$2)&lt;&gt;"",INDEX('×入力'!$A$1:$L$1300,455+EF$3,1)&lt;&gt;""),1,0),0)</f>
        <v/>
      </c>
      <c r="EG26">
        <f>IF(EG$4=1,IF(OR(INDEX('×入力'!$A$1:$L$1300,455+EG$3,2+EG$2)&lt;&gt;"",INDEX('×入力'!$A$1:$L$1300,454,2+EG$2)&lt;&gt;"",INDEX('×入力'!$A$1:$L$1300,455+EG$3,1)&lt;&gt;""),1,0),0)</f>
        <v/>
      </c>
      <c r="EH26">
        <f>IF(EH$4=1,IF(OR(INDEX('×入力'!$A$1:$L$1300,455+EH$3,2+EH$2)&lt;&gt;"",INDEX('×入力'!$A$1:$L$1300,454,2+EH$2)&lt;&gt;"",INDEX('×入力'!$A$1:$L$1300,455+EH$3,1)&lt;&gt;""),1,0),0)</f>
        <v/>
      </c>
      <c r="EI26">
        <f>IF(EI$4=1,IF(OR(INDEX('×入力'!$A$1:$L$1300,455+EI$3,2+EI$2)&lt;&gt;"",INDEX('×入力'!$A$1:$L$1300,454,2+EI$2)&lt;&gt;"",INDEX('×入力'!$A$1:$L$1300,455+EI$3,1)&lt;&gt;""),1,0),0)</f>
        <v/>
      </c>
      <c r="EJ26">
        <f>IF(EJ$4=1,IF(OR(INDEX('×入力'!$A$1:$L$1300,455+EJ$3,2+EJ$2)&lt;&gt;"",INDEX('×入力'!$A$1:$L$1300,454,2+EJ$2)&lt;&gt;"",INDEX('×入力'!$A$1:$L$1300,455+EJ$3,1)&lt;&gt;""),1,0),0)</f>
        <v/>
      </c>
      <c r="EK26">
        <f>IF(EK$4=1,IF(OR(INDEX('×入力'!$A$1:$L$1300,455+EK$3,2+EK$2)&lt;&gt;"",INDEX('×入力'!$A$1:$L$1300,454,2+EK$2)&lt;&gt;"",INDEX('×入力'!$A$1:$L$1300,455+EK$3,1)&lt;&gt;""),1,0),0)</f>
        <v/>
      </c>
      <c r="EL26">
        <f>IF(EL$4=1,IF(OR(INDEX('×入力'!$A$1:$L$1300,455+EL$3,2+EL$2)&lt;&gt;"",INDEX('×入力'!$A$1:$L$1300,454,2+EL$2)&lt;&gt;"",INDEX('×入力'!$A$1:$L$1300,455+EL$3,1)&lt;&gt;""),1,0),0)</f>
        <v/>
      </c>
      <c r="EM26">
        <f>IF(EM$4=1,IF(OR(INDEX('×入力'!$A$1:$L$1300,455+EM$3,2+EM$2)&lt;&gt;"",INDEX('×入力'!$A$1:$L$1300,454,2+EM$2)&lt;&gt;"",INDEX('×入力'!$A$1:$L$1300,455+EM$3,1)&lt;&gt;""),1,0),0)</f>
        <v/>
      </c>
      <c r="EN26">
        <f>IF(EN$4=1,IF(OR(INDEX('×入力'!$A$1:$L$1300,455+EN$3,2+EN$2)&lt;&gt;"",INDEX('×入力'!$A$1:$L$1300,454,2+EN$2)&lt;&gt;"",INDEX('×入力'!$A$1:$L$1300,455+EN$3,1)&lt;&gt;""),1,0),0)</f>
        <v/>
      </c>
      <c r="EO26">
        <f>IF(EO$4=1,IF(OR(INDEX('×入力'!$A$1:$L$1300,455+EO$3,2+EO$2)&lt;&gt;"",INDEX('×入力'!$A$1:$L$1300,454,2+EO$2)&lt;&gt;"",INDEX('×入力'!$A$1:$L$1300,455+EO$3,1)&lt;&gt;""),1,0),0)</f>
        <v/>
      </c>
      <c r="EP26">
        <f>IF(EP$4=1,IF(OR(INDEX('×入力'!$A$1:$L$1300,455+EP$3,2+EP$2)&lt;&gt;"",INDEX('×入力'!$A$1:$L$1300,454,2+EP$2)&lt;&gt;"",INDEX('×入力'!$A$1:$L$1300,455+EP$3,1)&lt;&gt;""),1,0),0)</f>
        <v/>
      </c>
      <c r="EQ26">
        <f>IF(EQ$4=1,IF(OR(INDEX('×入力'!$A$1:$L$1300,455+EQ$3,2+EQ$2)&lt;&gt;"",INDEX('×入力'!$A$1:$L$1300,454,2+EQ$2)&lt;&gt;"",INDEX('×入力'!$A$1:$L$1300,455+EQ$3,1)&lt;&gt;""),1,0),0)</f>
        <v/>
      </c>
      <c r="HA26">
        <f>MAX(0,IT26)</f>
        <v/>
      </c>
      <c r="HB26">
        <f>IF(HA26=0,0,INDEX($D$2:$EQ$2,HA26))</f>
        <v/>
      </c>
      <c r="HC26">
        <f>IF(HA26=0,0,INDEX($D$3:$EQ$3,HA26))</f>
        <v/>
      </c>
      <c r="HD26">
        <f>MAX(0,IY26)</f>
        <v/>
      </c>
      <c r="HE26">
        <f>IF(HD26=0,0,INDEX($D$2:$EQ$2,HD26))</f>
        <v/>
      </c>
      <c r="HF26">
        <f>IF(HD26=0,0,INDEX($D$3:$EQ$3,HD26))</f>
        <v/>
      </c>
      <c r="HG26">
        <f>MAX(0,IZ26)</f>
        <v/>
      </c>
      <c r="HH26">
        <f>IF(HG26=0,0,INDEX($D$2:$EQ$2,HG26))</f>
        <v/>
      </c>
      <c r="HI26">
        <f>IF(HG26=0,0,INDEX($D$3:$EQ$3,HG26))</f>
        <v/>
      </c>
      <c r="HJ26">
        <f>IF(AND(HA26&gt;0,HC26&gt;1,OR(HC26-1&lt;&gt;$A$3,$A$4=0)),HA26-1,-1)</f>
        <v/>
      </c>
      <c r="HK26">
        <f>IF(AND(HA26&gt;0,HC26&lt;24,OR(HC26&lt;&gt;$A$3,$A$4=0)),HA26+1,-1)</f>
        <v/>
      </c>
      <c r="HL26">
        <f>IF(AND(HD26&gt;0,HF26&gt;1,OR(HF26-1&lt;&gt;$A$3,$A$4=0)),HD26-1,-1)</f>
        <v/>
      </c>
      <c r="HM26">
        <f>IF(AND(HD26&gt;0,HF26&lt;24,OR(HF26&lt;&gt;$A$3,$A$4=0)),HD26+1,-1)</f>
        <v/>
      </c>
      <c r="HN26">
        <f>IF(AND(HG26&gt;0,HI26&gt;1,OR(HI26-1&lt;&gt;$A$3,$A$4=0)),HG26-1,-1)</f>
        <v/>
      </c>
      <c r="HO26">
        <f>IF(AND(HG26&gt;0,HI26&lt;24,OR(HI26&lt;&gt;$A$3,$A$4=0)),HG26+1,-1)</f>
        <v/>
      </c>
      <c r="IK26">
        <f>IFERROR(INDEX('calcB'!$C$3:$C$47,MATCH(A26,'calcB'!$B$3:$B$47,0)),0)</f>
        <v/>
      </c>
      <c r="IL26">
        <f>IF(AND(C26=1,IK26=0,calcA!$A$6=1),1,0)</f>
        <v/>
      </c>
      <c r="IM26">
        <f>SUMPRODUCT(D76:EQ76*(1-$D$7:$EQ$7))</f>
        <v/>
      </c>
      <c r="IN26">
        <f>SUM(D26:EQ26)</f>
        <v/>
      </c>
      <c r="IO26">
        <f>IF(B26="",0,IF(COUNTIF('調整・決定'!$C$6:$H$29,B26)=1,SUMPRODUCT(('調整・決定'!$C$6:$H$29=B26)*((COLUMN('調整・決定'!$C$6:$H$29)-3)*24+ROW('調整・決定'!$C$6:$H$29)-5)),0))</f>
        <v/>
      </c>
      <c r="IP26">
        <f>IFERROR(MATCH('名簿'!C21,{"早い時刻","遅い時刻","早い日","遅い日"},0),0)</f>
        <v/>
      </c>
      <c r="IQ26">
        <f>IF('名簿'!D21="必ず空けたい",2,IF('名簿'!D21="出来れば空けたい",1,0))</f>
        <v/>
      </c>
      <c r="IR26">
        <f>IFERROR(INDEX('calcC'!$C$3:$C$47,MATCH(A26,'calcC'!$B$3:$B$47,0)),0)</f>
        <v/>
      </c>
      <c r="IS26">
        <f>IF(AND(C26=1,IR26=0,calcA!$A$6=1),1,0)</f>
        <v/>
      </c>
      <c r="IT26">
        <f>IF(OR('名簿'!G21="",'名簿'!H21=""),0,IFERROR((MATCH('名簿'!G21,'設定'!$E$11:$E$16,0)-1)*24+MATCH('名簿'!H21,'設定'!$I$11:$I$34,0),-1))</f>
        <v/>
      </c>
      <c r="IV26">
        <f>IF(OR(JF26=0,IO26=0),1,IF(OR(IF(IT26&gt;0,AND(INDEX($D$2:$EQ$2,IO26)=INDEX($D$2:$EQ$2,IT26),OR(AND(IO26=IT26+1,OR(INDEX($D$3:$EQ$3,IT26)&lt;&gt;$A$3,$A$4=0)),AND(IO26=IT26-1,OR(INDEX($D$3:$EQ$3,IO26)&lt;&gt;$A$3,$A$4=0)))),FALSE),IF(IY26&gt;0,AND(INDEX($D$2:$EQ$2,IO26)=INDEX($D$2:$EQ$2,IY26),OR(AND(IO26=IY26+1,OR(INDEX($D$3:$EQ$3,IY26)&lt;&gt;$A$3,$A$4=0)),AND(IO26=IY26-1,OR(INDEX($D$3:$EQ$3,IO26)&lt;&gt;$A$3,$A$4=0)))),FALSE),IF(IZ26&gt;0,AND(INDEX($D$2:$EQ$2,IO26)=INDEX($D$2:$EQ$2,IZ26),OR(AND(IO26=IZ26+1,OR(INDEX($D$3:$EQ$3,IZ26)&lt;&gt;$A$3,$A$4=0)),AND(IO26=IZ26-1,OR(INDEX($D$3:$EQ$3,IO26)&lt;&gt;$A$3,$A$4=0)))),FALSE)),1,0))</f>
        <v/>
      </c>
      <c r="IW26">
        <f>IF(AND('名簿'!E21&lt;&gt;"",JF26=0),1,0)</f>
        <v/>
      </c>
      <c r="IX26">
        <f>IF('名簿'!D21="空けない",1,0)</f>
        <v/>
      </c>
      <c r="IY26">
        <f>IF(OR('名簿'!J21="",'名簿'!K21=""),0,IFERROR((MATCH('名簿'!J21,'設定'!$E$11:$E$16,0)-1)*24+MATCH('名簿'!K21,'設定'!$I$11:$I$34,0),-1))</f>
        <v/>
      </c>
      <c r="IZ26">
        <f>IF(OR('名簿'!M21="",'名簿'!N21=""),0,IFERROR((MATCH('名簿'!M21,'設定'!$E$11:$E$16,0)-1)*24+MATCH('名簿'!N21,'設定'!$I$11:$I$34,0),-1))</f>
        <v/>
      </c>
      <c r="JC26">
        <f>IF(RIGHT('名簿'!I21,2)="の前",1,IF(RIGHT('名簿'!I21,2)="の後",2,0))</f>
        <v/>
      </c>
      <c r="JD26">
        <f>IF(RIGHT('名簿'!L21,2)="の前",1,IF(RIGHT('名簿'!L21,2)="の後",2,0))</f>
        <v/>
      </c>
      <c r="JE26">
        <f>IF(RIGHT('名簿'!O21,2)="の前",1,IF(RIGHT('名簿'!O21,2)="の後",2,0))</f>
        <v/>
      </c>
      <c r="JF26">
        <f>IF(OR(IT26&gt;0,IY26&gt;0,IZ26&gt;0),1,0)</f>
        <v/>
      </c>
      <c r="JG26">
        <f>IF(OR(IT26&lt;0,IY26&lt;0,IZ26&lt;0),1,0)</f>
        <v/>
      </c>
    </row>
    <row r="27">
      <c r="A27" t="n">
        <v>18</v>
      </c>
      <c r="B27">
        <f>'名簿'!P22</f>
        <v/>
      </c>
      <c r="C27">
        <f>IF(AND(B27&lt;&gt;"",OR('名簿'!Q22="入力済み",'名簿'!Q22="×なし"),IO27=0,COUNTIF('調整・決定'!$C$6:$H$29,B27)=0),1,0)</f>
        <v/>
      </c>
      <c r="D27">
        <f>IF(D$4=1,IF(OR(INDEX('×入力'!$A$1:$L$1300,483+D$3,2+D$2)&lt;&gt;"",INDEX('×入力'!$A$1:$L$1300,482,2+D$2)&lt;&gt;"",INDEX('×入力'!$A$1:$L$1300,483+D$3,1)&lt;&gt;""),1,0),0)</f>
        <v/>
      </c>
      <c r="E27">
        <f>IF(E$4=1,IF(OR(INDEX('×入力'!$A$1:$L$1300,483+E$3,2+E$2)&lt;&gt;"",INDEX('×入力'!$A$1:$L$1300,482,2+E$2)&lt;&gt;"",INDEX('×入力'!$A$1:$L$1300,483+E$3,1)&lt;&gt;""),1,0),0)</f>
        <v/>
      </c>
      <c r="F27">
        <f>IF(F$4=1,IF(OR(INDEX('×入力'!$A$1:$L$1300,483+F$3,2+F$2)&lt;&gt;"",INDEX('×入力'!$A$1:$L$1300,482,2+F$2)&lt;&gt;"",INDEX('×入力'!$A$1:$L$1300,483+F$3,1)&lt;&gt;""),1,0),0)</f>
        <v/>
      </c>
      <c r="G27">
        <f>IF(G$4=1,IF(OR(INDEX('×入力'!$A$1:$L$1300,483+G$3,2+G$2)&lt;&gt;"",INDEX('×入力'!$A$1:$L$1300,482,2+G$2)&lt;&gt;"",INDEX('×入力'!$A$1:$L$1300,483+G$3,1)&lt;&gt;""),1,0),0)</f>
        <v/>
      </c>
      <c r="H27">
        <f>IF(H$4=1,IF(OR(INDEX('×入力'!$A$1:$L$1300,483+H$3,2+H$2)&lt;&gt;"",INDEX('×入力'!$A$1:$L$1300,482,2+H$2)&lt;&gt;"",INDEX('×入力'!$A$1:$L$1300,483+H$3,1)&lt;&gt;""),1,0),0)</f>
        <v/>
      </c>
      <c r="I27">
        <f>IF(I$4=1,IF(OR(INDEX('×入力'!$A$1:$L$1300,483+I$3,2+I$2)&lt;&gt;"",INDEX('×入力'!$A$1:$L$1300,482,2+I$2)&lt;&gt;"",INDEX('×入力'!$A$1:$L$1300,483+I$3,1)&lt;&gt;""),1,0),0)</f>
        <v/>
      </c>
      <c r="J27">
        <f>IF(J$4=1,IF(OR(INDEX('×入力'!$A$1:$L$1300,483+J$3,2+J$2)&lt;&gt;"",INDEX('×入力'!$A$1:$L$1300,482,2+J$2)&lt;&gt;"",INDEX('×入力'!$A$1:$L$1300,483+J$3,1)&lt;&gt;""),1,0),0)</f>
        <v/>
      </c>
      <c r="K27">
        <f>IF(K$4=1,IF(OR(INDEX('×入力'!$A$1:$L$1300,483+K$3,2+K$2)&lt;&gt;"",INDEX('×入力'!$A$1:$L$1300,482,2+K$2)&lt;&gt;"",INDEX('×入力'!$A$1:$L$1300,483+K$3,1)&lt;&gt;""),1,0),0)</f>
        <v/>
      </c>
      <c r="L27">
        <f>IF(L$4=1,IF(OR(INDEX('×入力'!$A$1:$L$1300,483+L$3,2+L$2)&lt;&gt;"",INDEX('×入力'!$A$1:$L$1300,482,2+L$2)&lt;&gt;"",INDEX('×入力'!$A$1:$L$1300,483+L$3,1)&lt;&gt;""),1,0),0)</f>
        <v/>
      </c>
      <c r="M27">
        <f>IF(M$4=1,IF(OR(INDEX('×入力'!$A$1:$L$1300,483+M$3,2+M$2)&lt;&gt;"",INDEX('×入力'!$A$1:$L$1300,482,2+M$2)&lt;&gt;"",INDEX('×入力'!$A$1:$L$1300,483+M$3,1)&lt;&gt;""),1,0),0)</f>
        <v/>
      </c>
      <c r="N27">
        <f>IF(N$4=1,IF(OR(INDEX('×入力'!$A$1:$L$1300,483+N$3,2+N$2)&lt;&gt;"",INDEX('×入力'!$A$1:$L$1300,482,2+N$2)&lt;&gt;"",INDEX('×入力'!$A$1:$L$1300,483+N$3,1)&lt;&gt;""),1,0),0)</f>
        <v/>
      </c>
      <c r="O27">
        <f>IF(O$4=1,IF(OR(INDEX('×入力'!$A$1:$L$1300,483+O$3,2+O$2)&lt;&gt;"",INDEX('×入力'!$A$1:$L$1300,482,2+O$2)&lt;&gt;"",INDEX('×入力'!$A$1:$L$1300,483+O$3,1)&lt;&gt;""),1,0),0)</f>
        <v/>
      </c>
      <c r="P27">
        <f>IF(P$4=1,IF(OR(INDEX('×入力'!$A$1:$L$1300,483+P$3,2+P$2)&lt;&gt;"",INDEX('×入力'!$A$1:$L$1300,482,2+P$2)&lt;&gt;"",INDEX('×入力'!$A$1:$L$1300,483+P$3,1)&lt;&gt;""),1,0),0)</f>
        <v/>
      </c>
      <c r="Q27">
        <f>IF(Q$4=1,IF(OR(INDEX('×入力'!$A$1:$L$1300,483+Q$3,2+Q$2)&lt;&gt;"",INDEX('×入力'!$A$1:$L$1300,482,2+Q$2)&lt;&gt;"",INDEX('×入力'!$A$1:$L$1300,483+Q$3,1)&lt;&gt;""),1,0),0)</f>
        <v/>
      </c>
      <c r="R27">
        <f>IF(R$4=1,IF(OR(INDEX('×入力'!$A$1:$L$1300,483+R$3,2+R$2)&lt;&gt;"",INDEX('×入力'!$A$1:$L$1300,482,2+R$2)&lt;&gt;"",INDEX('×入力'!$A$1:$L$1300,483+R$3,1)&lt;&gt;""),1,0),0)</f>
        <v/>
      </c>
      <c r="S27">
        <f>IF(S$4=1,IF(OR(INDEX('×入力'!$A$1:$L$1300,483+S$3,2+S$2)&lt;&gt;"",INDEX('×入力'!$A$1:$L$1300,482,2+S$2)&lt;&gt;"",INDEX('×入力'!$A$1:$L$1300,483+S$3,1)&lt;&gt;""),1,0),0)</f>
        <v/>
      </c>
      <c r="T27">
        <f>IF(T$4=1,IF(OR(INDEX('×入力'!$A$1:$L$1300,483+T$3,2+T$2)&lt;&gt;"",INDEX('×入力'!$A$1:$L$1300,482,2+T$2)&lt;&gt;"",INDEX('×入力'!$A$1:$L$1300,483+T$3,1)&lt;&gt;""),1,0),0)</f>
        <v/>
      </c>
      <c r="U27">
        <f>IF(U$4=1,IF(OR(INDEX('×入力'!$A$1:$L$1300,483+U$3,2+U$2)&lt;&gt;"",INDEX('×入力'!$A$1:$L$1300,482,2+U$2)&lt;&gt;"",INDEX('×入力'!$A$1:$L$1300,483+U$3,1)&lt;&gt;""),1,0),0)</f>
        <v/>
      </c>
      <c r="V27">
        <f>IF(V$4=1,IF(OR(INDEX('×入力'!$A$1:$L$1300,483+V$3,2+V$2)&lt;&gt;"",INDEX('×入力'!$A$1:$L$1300,482,2+V$2)&lt;&gt;"",INDEX('×入力'!$A$1:$L$1300,483+V$3,1)&lt;&gt;""),1,0),0)</f>
        <v/>
      </c>
      <c r="W27">
        <f>IF(W$4=1,IF(OR(INDEX('×入力'!$A$1:$L$1300,483+W$3,2+W$2)&lt;&gt;"",INDEX('×入力'!$A$1:$L$1300,482,2+W$2)&lt;&gt;"",INDEX('×入力'!$A$1:$L$1300,483+W$3,1)&lt;&gt;""),1,0),0)</f>
        <v/>
      </c>
      <c r="X27">
        <f>IF(X$4=1,IF(OR(INDEX('×入力'!$A$1:$L$1300,483+X$3,2+X$2)&lt;&gt;"",INDEX('×入力'!$A$1:$L$1300,482,2+X$2)&lt;&gt;"",INDEX('×入力'!$A$1:$L$1300,483+X$3,1)&lt;&gt;""),1,0),0)</f>
        <v/>
      </c>
      <c r="Y27">
        <f>IF(Y$4=1,IF(OR(INDEX('×入力'!$A$1:$L$1300,483+Y$3,2+Y$2)&lt;&gt;"",INDEX('×入力'!$A$1:$L$1300,482,2+Y$2)&lt;&gt;"",INDEX('×入力'!$A$1:$L$1300,483+Y$3,1)&lt;&gt;""),1,0),0)</f>
        <v/>
      </c>
      <c r="Z27">
        <f>IF(Z$4=1,IF(OR(INDEX('×入力'!$A$1:$L$1300,483+Z$3,2+Z$2)&lt;&gt;"",INDEX('×入力'!$A$1:$L$1300,482,2+Z$2)&lt;&gt;"",INDEX('×入力'!$A$1:$L$1300,483+Z$3,1)&lt;&gt;""),1,0),0)</f>
        <v/>
      </c>
      <c r="AA27">
        <f>IF(AA$4=1,IF(OR(INDEX('×入力'!$A$1:$L$1300,483+AA$3,2+AA$2)&lt;&gt;"",INDEX('×入力'!$A$1:$L$1300,482,2+AA$2)&lt;&gt;"",INDEX('×入力'!$A$1:$L$1300,483+AA$3,1)&lt;&gt;""),1,0),0)</f>
        <v/>
      </c>
      <c r="AB27">
        <f>IF(AB$4=1,IF(OR(INDEX('×入力'!$A$1:$L$1300,483+AB$3,2+AB$2)&lt;&gt;"",INDEX('×入力'!$A$1:$L$1300,482,2+AB$2)&lt;&gt;"",INDEX('×入力'!$A$1:$L$1300,483+AB$3,1)&lt;&gt;""),1,0),0)</f>
        <v/>
      </c>
      <c r="AC27">
        <f>IF(AC$4=1,IF(OR(INDEX('×入力'!$A$1:$L$1300,483+AC$3,2+AC$2)&lt;&gt;"",INDEX('×入力'!$A$1:$L$1300,482,2+AC$2)&lt;&gt;"",INDEX('×入力'!$A$1:$L$1300,483+AC$3,1)&lt;&gt;""),1,0),0)</f>
        <v/>
      </c>
      <c r="AD27">
        <f>IF(AD$4=1,IF(OR(INDEX('×入力'!$A$1:$L$1300,483+AD$3,2+AD$2)&lt;&gt;"",INDEX('×入力'!$A$1:$L$1300,482,2+AD$2)&lt;&gt;"",INDEX('×入力'!$A$1:$L$1300,483+AD$3,1)&lt;&gt;""),1,0),0)</f>
        <v/>
      </c>
      <c r="AE27">
        <f>IF(AE$4=1,IF(OR(INDEX('×入力'!$A$1:$L$1300,483+AE$3,2+AE$2)&lt;&gt;"",INDEX('×入力'!$A$1:$L$1300,482,2+AE$2)&lt;&gt;"",INDEX('×入力'!$A$1:$L$1300,483+AE$3,1)&lt;&gt;""),1,0),0)</f>
        <v/>
      </c>
      <c r="AF27">
        <f>IF(AF$4=1,IF(OR(INDEX('×入力'!$A$1:$L$1300,483+AF$3,2+AF$2)&lt;&gt;"",INDEX('×入力'!$A$1:$L$1300,482,2+AF$2)&lt;&gt;"",INDEX('×入力'!$A$1:$L$1300,483+AF$3,1)&lt;&gt;""),1,0),0)</f>
        <v/>
      </c>
      <c r="AG27">
        <f>IF(AG$4=1,IF(OR(INDEX('×入力'!$A$1:$L$1300,483+AG$3,2+AG$2)&lt;&gt;"",INDEX('×入力'!$A$1:$L$1300,482,2+AG$2)&lt;&gt;"",INDEX('×入力'!$A$1:$L$1300,483+AG$3,1)&lt;&gt;""),1,0),0)</f>
        <v/>
      </c>
      <c r="AH27">
        <f>IF(AH$4=1,IF(OR(INDEX('×入力'!$A$1:$L$1300,483+AH$3,2+AH$2)&lt;&gt;"",INDEX('×入力'!$A$1:$L$1300,482,2+AH$2)&lt;&gt;"",INDEX('×入力'!$A$1:$L$1300,483+AH$3,1)&lt;&gt;""),1,0),0)</f>
        <v/>
      </c>
      <c r="AI27">
        <f>IF(AI$4=1,IF(OR(INDEX('×入力'!$A$1:$L$1300,483+AI$3,2+AI$2)&lt;&gt;"",INDEX('×入力'!$A$1:$L$1300,482,2+AI$2)&lt;&gt;"",INDEX('×入力'!$A$1:$L$1300,483+AI$3,1)&lt;&gt;""),1,0),0)</f>
        <v/>
      </c>
      <c r="AJ27">
        <f>IF(AJ$4=1,IF(OR(INDEX('×入力'!$A$1:$L$1300,483+AJ$3,2+AJ$2)&lt;&gt;"",INDEX('×入力'!$A$1:$L$1300,482,2+AJ$2)&lt;&gt;"",INDEX('×入力'!$A$1:$L$1300,483+AJ$3,1)&lt;&gt;""),1,0),0)</f>
        <v/>
      </c>
      <c r="AK27">
        <f>IF(AK$4=1,IF(OR(INDEX('×入力'!$A$1:$L$1300,483+AK$3,2+AK$2)&lt;&gt;"",INDEX('×入力'!$A$1:$L$1300,482,2+AK$2)&lt;&gt;"",INDEX('×入力'!$A$1:$L$1300,483+AK$3,1)&lt;&gt;""),1,0),0)</f>
        <v/>
      </c>
      <c r="AL27">
        <f>IF(AL$4=1,IF(OR(INDEX('×入力'!$A$1:$L$1300,483+AL$3,2+AL$2)&lt;&gt;"",INDEX('×入力'!$A$1:$L$1300,482,2+AL$2)&lt;&gt;"",INDEX('×入力'!$A$1:$L$1300,483+AL$3,1)&lt;&gt;""),1,0),0)</f>
        <v/>
      </c>
      <c r="AM27">
        <f>IF(AM$4=1,IF(OR(INDEX('×入力'!$A$1:$L$1300,483+AM$3,2+AM$2)&lt;&gt;"",INDEX('×入力'!$A$1:$L$1300,482,2+AM$2)&lt;&gt;"",INDEX('×入力'!$A$1:$L$1300,483+AM$3,1)&lt;&gt;""),1,0),0)</f>
        <v/>
      </c>
      <c r="AN27">
        <f>IF(AN$4=1,IF(OR(INDEX('×入力'!$A$1:$L$1300,483+AN$3,2+AN$2)&lt;&gt;"",INDEX('×入力'!$A$1:$L$1300,482,2+AN$2)&lt;&gt;"",INDEX('×入力'!$A$1:$L$1300,483+AN$3,1)&lt;&gt;""),1,0),0)</f>
        <v/>
      </c>
      <c r="AO27">
        <f>IF(AO$4=1,IF(OR(INDEX('×入力'!$A$1:$L$1300,483+AO$3,2+AO$2)&lt;&gt;"",INDEX('×入力'!$A$1:$L$1300,482,2+AO$2)&lt;&gt;"",INDEX('×入力'!$A$1:$L$1300,483+AO$3,1)&lt;&gt;""),1,0),0)</f>
        <v/>
      </c>
      <c r="AP27">
        <f>IF(AP$4=1,IF(OR(INDEX('×入力'!$A$1:$L$1300,483+AP$3,2+AP$2)&lt;&gt;"",INDEX('×入力'!$A$1:$L$1300,482,2+AP$2)&lt;&gt;"",INDEX('×入力'!$A$1:$L$1300,483+AP$3,1)&lt;&gt;""),1,0),0)</f>
        <v/>
      </c>
      <c r="AQ27">
        <f>IF(AQ$4=1,IF(OR(INDEX('×入力'!$A$1:$L$1300,483+AQ$3,2+AQ$2)&lt;&gt;"",INDEX('×入力'!$A$1:$L$1300,482,2+AQ$2)&lt;&gt;"",INDEX('×入力'!$A$1:$L$1300,483+AQ$3,1)&lt;&gt;""),1,0),0)</f>
        <v/>
      </c>
      <c r="AR27">
        <f>IF(AR$4=1,IF(OR(INDEX('×入力'!$A$1:$L$1300,483+AR$3,2+AR$2)&lt;&gt;"",INDEX('×入力'!$A$1:$L$1300,482,2+AR$2)&lt;&gt;"",INDEX('×入力'!$A$1:$L$1300,483+AR$3,1)&lt;&gt;""),1,0),0)</f>
        <v/>
      </c>
      <c r="AS27">
        <f>IF(AS$4=1,IF(OR(INDEX('×入力'!$A$1:$L$1300,483+AS$3,2+AS$2)&lt;&gt;"",INDEX('×入力'!$A$1:$L$1300,482,2+AS$2)&lt;&gt;"",INDEX('×入力'!$A$1:$L$1300,483+AS$3,1)&lt;&gt;""),1,0),0)</f>
        <v/>
      </c>
      <c r="AT27">
        <f>IF(AT$4=1,IF(OR(INDEX('×入力'!$A$1:$L$1300,483+AT$3,2+AT$2)&lt;&gt;"",INDEX('×入力'!$A$1:$L$1300,482,2+AT$2)&lt;&gt;"",INDEX('×入力'!$A$1:$L$1300,483+AT$3,1)&lt;&gt;""),1,0),0)</f>
        <v/>
      </c>
      <c r="AU27">
        <f>IF(AU$4=1,IF(OR(INDEX('×入力'!$A$1:$L$1300,483+AU$3,2+AU$2)&lt;&gt;"",INDEX('×入力'!$A$1:$L$1300,482,2+AU$2)&lt;&gt;"",INDEX('×入力'!$A$1:$L$1300,483+AU$3,1)&lt;&gt;""),1,0),0)</f>
        <v/>
      </c>
      <c r="AV27">
        <f>IF(AV$4=1,IF(OR(INDEX('×入力'!$A$1:$L$1300,483+AV$3,2+AV$2)&lt;&gt;"",INDEX('×入力'!$A$1:$L$1300,482,2+AV$2)&lt;&gt;"",INDEX('×入力'!$A$1:$L$1300,483+AV$3,1)&lt;&gt;""),1,0),0)</f>
        <v/>
      </c>
      <c r="AW27">
        <f>IF(AW$4=1,IF(OR(INDEX('×入力'!$A$1:$L$1300,483+AW$3,2+AW$2)&lt;&gt;"",INDEX('×入力'!$A$1:$L$1300,482,2+AW$2)&lt;&gt;"",INDEX('×入力'!$A$1:$L$1300,483+AW$3,1)&lt;&gt;""),1,0),0)</f>
        <v/>
      </c>
      <c r="AX27">
        <f>IF(AX$4=1,IF(OR(INDEX('×入力'!$A$1:$L$1300,483+AX$3,2+AX$2)&lt;&gt;"",INDEX('×入力'!$A$1:$L$1300,482,2+AX$2)&lt;&gt;"",INDEX('×入力'!$A$1:$L$1300,483+AX$3,1)&lt;&gt;""),1,0),0)</f>
        <v/>
      </c>
      <c r="AY27">
        <f>IF(AY$4=1,IF(OR(INDEX('×入力'!$A$1:$L$1300,483+AY$3,2+AY$2)&lt;&gt;"",INDEX('×入力'!$A$1:$L$1300,482,2+AY$2)&lt;&gt;"",INDEX('×入力'!$A$1:$L$1300,483+AY$3,1)&lt;&gt;""),1,0),0)</f>
        <v/>
      </c>
      <c r="AZ27">
        <f>IF(AZ$4=1,IF(OR(INDEX('×入力'!$A$1:$L$1300,483+AZ$3,2+AZ$2)&lt;&gt;"",INDEX('×入力'!$A$1:$L$1300,482,2+AZ$2)&lt;&gt;"",INDEX('×入力'!$A$1:$L$1300,483+AZ$3,1)&lt;&gt;""),1,0),0)</f>
        <v/>
      </c>
      <c r="BA27">
        <f>IF(BA$4=1,IF(OR(INDEX('×入力'!$A$1:$L$1300,483+BA$3,2+BA$2)&lt;&gt;"",INDEX('×入力'!$A$1:$L$1300,482,2+BA$2)&lt;&gt;"",INDEX('×入力'!$A$1:$L$1300,483+BA$3,1)&lt;&gt;""),1,0),0)</f>
        <v/>
      </c>
      <c r="BB27">
        <f>IF(BB$4=1,IF(OR(INDEX('×入力'!$A$1:$L$1300,483+BB$3,2+BB$2)&lt;&gt;"",INDEX('×入力'!$A$1:$L$1300,482,2+BB$2)&lt;&gt;"",INDEX('×入力'!$A$1:$L$1300,483+BB$3,1)&lt;&gt;""),1,0),0)</f>
        <v/>
      </c>
      <c r="BC27">
        <f>IF(BC$4=1,IF(OR(INDEX('×入力'!$A$1:$L$1300,483+BC$3,2+BC$2)&lt;&gt;"",INDEX('×入力'!$A$1:$L$1300,482,2+BC$2)&lt;&gt;"",INDEX('×入力'!$A$1:$L$1300,483+BC$3,1)&lt;&gt;""),1,0),0)</f>
        <v/>
      </c>
      <c r="BD27">
        <f>IF(BD$4=1,IF(OR(INDEX('×入力'!$A$1:$L$1300,483+BD$3,2+BD$2)&lt;&gt;"",INDEX('×入力'!$A$1:$L$1300,482,2+BD$2)&lt;&gt;"",INDEX('×入力'!$A$1:$L$1300,483+BD$3,1)&lt;&gt;""),1,0),0)</f>
        <v/>
      </c>
      <c r="BE27">
        <f>IF(BE$4=1,IF(OR(INDEX('×入力'!$A$1:$L$1300,483+BE$3,2+BE$2)&lt;&gt;"",INDEX('×入力'!$A$1:$L$1300,482,2+BE$2)&lt;&gt;"",INDEX('×入力'!$A$1:$L$1300,483+BE$3,1)&lt;&gt;""),1,0),0)</f>
        <v/>
      </c>
      <c r="BF27">
        <f>IF(BF$4=1,IF(OR(INDEX('×入力'!$A$1:$L$1300,483+BF$3,2+BF$2)&lt;&gt;"",INDEX('×入力'!$A$1:$L$1300,482,2+BF$2)&lt;&gt;"",INDEX('×入力'!$A$1:$L$1300,483+BF$3,1)&lt;&gt;""),1,0),0)</f>
        <v/>
      </c>
      <c r="BG27">
        <f>IF(BG$4=1,IF(OR(INDEX('×入力'!$A$1:$L$1300,483+BG$3,2+BG$2)&lt;&gt;"",INDEX('×入力'!$A$1:$L$1300,482,2+BG$2)&lt;&gt;"",INDEX('×入力'!$A$1:$L$1300,483+BG$3,1)&lt;&gt;""),1,0),0)</f>
        <v/>
      </c>
      <c r="BH27">
        <f>IF(BH$4=1,IF(OR(INDEX('×入力'!$A$1:$L$1300,483+BH$3,2+BH$2)&lt;&gt;"",INDEX('×入力'!$A$1:$L$1300,482,2+BH$2)&lt;&gt;"",INDEX('×入力'!$A$1:$L$1300,483+BH$3,1)&lt;&gt;""),1,0),0)</f>
        <v/>
      </c>
      <c r="BI27">
        <f>IF(BI$4=1,IF(OR(INDEX('×入力'!$A$1:$L$1300,483+BI$3,2+BI$2)&lt;&gt;"",INDEX('×入力'!$A$1:$L$1300,482,2+BI$2)&lt;&gt;"",INDEX('×入力'!$A$1:$L$1300,483+BI$3,1)&lt;&gt;""),1,0),0)</f>
        <v/>
      </c>
      <c r="BJ27">
        <f>IF(BJ$4=1,IF(OR(INDEX('×入力'!$A$1:$L$1300,483+BJ$3,2+BJ$2)&lt;&gt;"",INDEX('×入力'!$A$1:$L$1300,482,2+BJ$2)&lt;&gt;"",INDEX('×入力'!$A$1:$L$1300,483+BJ$3,1)&lt;&gt;""),1,0),0)</f>
        <v/>
      </c>
      <c r="BK27">
        <f>IF(BK$4=1,IF(OR(INDEX('×入力'!$A$1:$L$1300,483+BK$3,2+BK$2)&lt;&gt;"",INDEX('×入力'!$A$1:$L$1300,482,2+BK$2)&lt;&gt;"",INDEX('×入力'!$A$1:$L$1300,483+BK$3,1)&lt;&gt;""),1,0),0)</f>
        <v/>
      </c>
      <c r="BL27">
        <f>IF(BL$4=1,IF(OR(INDEX('×入力'!$A$1:$L$1300,483+BL$3,2+BL$2)&lt;&gt;"",INDEX('×入力'!$A$1:$L$1300,482,2+BL$2)&lt;&gt;"",INDEX('×入力'!$A$1:$L$1300,483+BL$3,1)&lt;&gt;""),1,0),0)</f>
        <v/>
      </c>
      <c r="BM27">
        <f>IF(BM$4=1,IF(OR(INDEX('×入力'!$A$1:$L$1300,483+BM$3,2+BM$2)&lt;&gt;"",INDEX('×入力'!$A$1:$L$1300,482,2+BM$2)&lt;&gt;"",INDEX('×入力'!$A$1:$L$1300,483+BM$3,1)&lt;&gt;""),1,0),0)</f>
        <v/>
      </c>
      <c r="BN27">
        <f>IF(BN$4=1,IF(OR(INDEX('×入力'!$A$1:$L$1300,483+BN$3,2+BN$2)&lt;&gt;"",INDEX('×入力'!$A$1:$L$1300,482,2+BN$2)&lt;&gt;"",INDEX('×入力'!$A$1:$L$1300,483+BN$3,1)&lt;&gt;""),1,0),0)</f>
        <v/>
      </c>
      <c r="BO27">
        <f>IF(BO$4=1,IF(OR(INDEX('×入力'!$A$1:$L$1300,483+BO$3,2+BO$2)&lt;&gt;"",INDEX('×入力'!$A$1:$L$1300,482,2+BO$2)&lt;&gt;"",INDEX('×入力'!$A$1:$L$1300,483+BO$3,1)&lt;&gt;""),1,0),0)</f>
        <v/>
      </c>
      <c r="BP27">
        <f>IF(BP$4=1,IF(OR(INDEX('×入力'!$A$1:$L$1300,483+BP$3,2+BP$2)&lt;&gt;"",INDEX('×入力'!$A$1:$L$1300,482,2+BP$2)&lt;&gt;"",INDEX('×入力'!$A$1:$L$1300,483+BP$3,1)&lt;&gt;""),1,0),0)</f>
        <v/>
      </c>
      <c r="BQ27">
        <f>IF(BQ$4=1,IF(OR(INDEX('×入力'!$A$1:$L$1300,483+BQ$3,2+BQ$2)&lt;&gt;"",INDEX('×入力'!$A$1:$L$1300,482,2+BQ$2)&lt;&gt;"",INDEX('×入力'!$A$1:$L$1300,483+BQ$3,1)&lt;&gt;""),1,0),0)</f>
        <v/>
      </c>
      <c r="BR27">
        <f>IF(BR$4=1,IF(OR(INDEX('×入力'!$A$1:$L$1300,483+BR$3,2+BR$2)&lt;&gt;"",INDEX('×入力'!$A$1:$L$1300,482,2+BR$2)&lt;&gt;"",INDEX('×入力'!$A$1:$L$1300,483+BR$3,1)&lt;&gt;""),1,0),0)</f>
        <v/>
      </c>
      <c r="BS27">
        <f>IF(BS$4=1,IF(OR(INDEX('×入力'!$A$1:$L$1300,483+BS$3,2+BS$2)&lt;&gt;"",INDEX('×入力'!$A$1:$L$1300,482,2+BS$2)&lt;&gt;"",INDEX('×入力'!$A$1:$L$1300,483+BS$3,1)&lt;&gt;""),1,0),0)</f>
        <v/>
      </c>
      <c r="BT27">
        <f>IF(BT$4=1,IF(OR(INDEX('×入力'!$A$1:$L$1300,483+BT$3,2+BT$2)&lt;&gt;"",INDEX('×入力'!$A$1:$L$1300,482,2+BT$2)&lt;&gt;"",INDEX('×入力'!$A$1:$L$1300,483+BT$3,1)&lt;&gt;""),1,0),0)</f>
        <v/>
      </c>
      <c r="BU27">
        <f>IF(BU$4=1,IF(OR(INDEX('×入力'!$A$1:$L$1300,483+BU$3,2+BU$2)&lt;&gt;"",INDEX('×入力'!$A$1:$L$1300,482,2+BU$2)&lt;&gt;"",INDEX('×入力'!$A$1:$L$1300,483+BU$3,1)&lt;&gt;""),1,0),0)</f>
        <v/>
      </c>
      <c r="BV27">
        <f>IF(BV$4=1,IF(OR(INDEX('×入力'!$A$1:$L$1300,483+BV$3,2+BV$2)&lt;&gt;"",INDEX('×入力'!$A$1:$L$1300,482,2+BV$2)&lt;&gt;"",INDEX('×入力'!$A$1:$L$1300,483+BV$3,1)&lt;&gt;""),1,0),0)</f>
        <v/>
      </c>
      <c r="BW27">
        <f>IF(BW$4=1,IF(OR(INDEX('×入力'!$A$1:$L$1300,483+BW$3,2+BW$2)&lt;&gt;"",INDEX('×入力'!$A$1:$L$1300,482,2+BW$2)&lt;&gt;"",INDEX('×入力'!$A$1:$L$1300,483+BW$3,1)&lt;&gt;""),1,0),0)</f>
        <v/>
      </c>
      <c r="BX27">
        <f>IF(BX$4=1,IF(OR(INDEX('×入力'!$A$1:$L$1300,483+BX$3,2+BX$2)&lt;&gt;"",INDEX('×入力'!$A$1:$L$1300,482,2+BX$2)&lt;&gt;"",INDEX('×入力'!$A$1:$L$1300,483+BX$3,1)&lt;&gt;""),1,0),0)</f>
        <v/>
      </c>
      <c r="BY27">
        <f>IF(BY$4=1,IF(OR(INDEX('×入力'!$A$1:$L$1300,483+BY$3,2+BY$2)&lt;&gt;"",INDEX('×入力'!$A$1:$L$1300,482,2+BY$2)&lt;&gt;"",INDEX('×入力'!$A$1:$L$1300,483+BY$3,1)&lt;&gt;""),1,0),0)</f>
        <v/>
      </c>
      <c r="BZ27">
        <f>IF(BZ$4=1,IF(OR(INDEX('×入力'!$A$1:$L$1300,483+BZ$3,2+BZ$2)&lt;&gt;"",INDEX('×入力'!$A$1:$L$1300,482,2+BZ$2)&lt;&gt;"",INDEX('×入力'!$A$1:$L$1300,483+BZ$3,1)&lt;&gt;""),1,0),0)</f>
        <v/>
      </c>
      <c r="CA27">
        <f>IF(CA$4=1,IF(OR(INDEX('×入力'!$A$1:$L$1300,483+CA$3,2+CA$2)&lt;&gt;"",INDEX('×入力'!$A$1:$L$1300,482,2+CA$2)&lt;&gt;"",INDEX('×入力'!$A$1:$L$1300,483+CA$3,1)&lt;&gt;""),1,0),0)</f>
        <v/>
      </c>
      <c r="CB27">
        <f>IF(CB$4=1,IF(OR(INDEX('×入力'!$A$1:$L$1300,483+CB$3,2+CB$2)&lt;&gt;"",INDEX('×入力'!$A$1:$L$1300,482,2+CB$2)&lt;&gt;"",INDEX('×入力'!$A$1:$L$1300,483+CB$3,1)&lt;&gt;""),1,0),0)</f>
        <v/>
      </c>
      <c r="CC27">
        <f>IF(CC$4=1,IF(OR(INDEX('×入力'!$A$1:$L$1300,483+CC$3,2+CC$2)&lt;&gt;"",INDEX('×入力'!$A$1:$L$1300,482,2+CC$2)&lt;&gt;"",INDEX('×入力'!$A$1:$L$1300,483+CC$3,1)&lt;&gt;""),1,0),0)</f>
        <v/>
      </c>
      <c r="CD27">
        <f>IF(CD$4=1,IF(OR(INDEX('×入力'!$A$1:$L$1300,483+CD$3,2+CD$2)&lt;&gt;"",INDEX('×入力'!$A$1:$L$1300,482,2+CD$2)&lt;&gt;"",INDEX('×入力'!$A$1:$L$1300,483+CD$3,1)&lt;&gt;""),1,0),0)</f>
        <v/>
      </c>
      <c r="CE27">
        <f>IF(CE$4=1,IF(OR(INDEX('×入力'!$A$1:$L$1300,483+CE$3,2+CE$2)&lt;&gt;"",INDEX('×入力'!$A$1:$L$1300,482,2+CE$2)&lt;&gt;"",INDEX('×入力'!$A$1:$L$1300,483+CE$3,1)&lt;&gt;""),1,0),0)</f>
        <v/>
      </c>
      <c r="CF27">
        <f>IF(CF$4=1,IF(OR(INDEX('×入力'!$A$1:$L$1300,483+CF$3,2+CF$2)&lt;&gt;"",INDEX('×入力'!$A$1:$L$1300,482,2+CF$2)&lt;&gt;"",INDEX('×入力'!$A$1:$L$1300,483+CF$3,1)&lt;&gt;""),1,0),0)</f>
        <v/>
      </c>
      <c r="CG27">
        <f>IF(CG$4=1,IF(OR(INDEX('×入力'!$A$1:$L$1300,483+CG$3,2+CG$2)&lt;&gt;"",INDEX('×入力'!$A$1:$L$1300,482,2+CG$2)&lt;&gt;"",INDEX('×入力'!$A$1:$L$1300,483+CG$3,1)&lt;&gt;""),1,0),0)</f>
        <v/>
      </c>
      <c r="CH27">
        <f>IF(CH$4=1,IF(OR(INDEX('×入力'!$A$1:$L$1300,483+CH$3,2+CH$2)&lt;&gt;"",INDEX('×入力'!$A$1:$L$1300,482,2+CH$2)&lt;&gt;"",INDEX('×入力'!$A$1:$L$1300,483+CH$3,1)&lt;&gt;""),1,0),0)</f>
        <v/>
      </c>
      <c r="CI27">
        <f>IF(CI$4=1,IF(OR(INDEX('×入力'!$A$1:$L$1300,483+CI$3,2+CI$2)&lt;&gt;"",INDEX('×入力'!$A$1:$L$1300,482,2+CI$2)&lt;&gt;"",INDEX('×入力'!$A$1:$L$1300,483+CI$3,1)&lt;&gt;""),1,0),0)</f>
        <v/>
      </c>
      <c r="CJ27">
        <f>IF(CJ$4=1,IF(OR(INDEX('×入力'!$A$1:$L$1300,483+CJ$3,2+CJ$2)&lt;&gt;"",INDEX('×入力'!$A$1:$L$1300,482,2+CJ$2)&lt;&gt;"",INDEX('×入力'!$A$1:$L$1300,483+CJ$3,1)&lt;&gt;""),1,0),0)</f>
        <v/>
      </c>
      <c r="CK27">
        <f>IF(CK$4=1,IF(OR(INDEX('×入力'!$A$1:$L$1300,483+CK$3,2+CK$2)&lt;&gt;"",INDEX('×入力'!$A$1:$L$1300,482,2+CK$2)&lt;&gt;"",INDEX('×入力'!$A$1:$L$1300,483+CK$3,1)&lt;&gt;""),1,0),0)</f>
        <v/>
      </c>
      <c r="CL27">
        <f>IF(CL$4=1,IF(OR(INDEX('×入力'!$A$1:$L$1300,483+CL$3,2+CL$2)&lt;&gt;"",INDEX('×入力'!$A$1:$L$1300,482,2+CL$2)&lt;&gt;"",INDEX('×入力'!$A$1:$L$1300,483+CL$3,1)&lt;&gt;""),1,0),0)</f>
        <v/>
      </c>
      <c r="CM27">
        <f>IF(CM$4=1,IF(OR(INDEX('×入力'!$A$1:$L$1300,483+CM$3,2+CM$2)&lt;&gt;"",INDEX('×入力'!$A$1:$L$1300,482,2+CM$2)&lt;&gt;"",INDEX('×入力'!$A$1:$L$1300,483+CM$3,1)&lt;&gt;""),1,0),0)</f>
        <v/>
      </c>
      <c r="CN27">
        <f>IF(CN$4=1,IF(OR(INDEX('×入力'!$A$1:$L$1300,483+CN$3,2+CN$2)&lt;&gt;"",INDEX('×入力'!$A$1:$L$1300,482,2+CN$2)&lt;&gt;"",INDEX('×入力'!$A$1:$L$1300,483+CN$3,1)&lt;&gt;""),1,0),0)</f>
        <v/>
      </c>
      <c r="CO27">
        <f>IF(CO$4=1,IF(OR(INDEX('×入力'!$A$1:$L$1300,483+CO$3,2+CO$2)&lt;&gt;"",INDEX('×入力'!$A$1:$L$1300,482,2+CO$2)&lt;&gt;"",INDEX('×入力'!$A$1:$L$1300,483+CO$3,1)&lt;&gt;""),1,0),0)</f>
        <v/>
      </c>
      <c r="CP27">
        <f>IF(CP$4=1,IF(OR(INDEX('×入力'!$A$1:$L$1300,483+CP$3,2+CP$2)&lt;&gt;"",INDEX('×入力'!$A$1:$L$1300,482,2+CP$2)&lt;&gt;"",INDEX('×入力'!$A$1:$L$1300,483+CP$3,1)&lt;&gt;""),1,0),0)</f>
        <v/>
      </c>
      <c r="CQ27">
        <f>IF(CQ$4=1,IF(OR(INDEX('×入力'!$A$1:$L$1300,483+CQ$3,2+CQ$2)&lt;&gt;"",INDEX('×入力'!$A$1:$L$1300,482,2+CQ$2)&lt;&gt;"",INDEX('×入力'!$A$1:$L$1300,483+CQ$3,1)&lt;&gt;""),1,0),0)</f>
        <v/>
      </c>
      <c r="CR27">
        <f>IF(CR$4=1,IF(OR(INDEX('×入力'!$A$1:$L$1300,483+CR$3,2+CR$2)&lt;&gt;"",INDEX('×入力'!$A$1:$L$1300,482,2+CR$2)&lt;&gt;"",INDEX('×入力'!$A$1:$L$1300,483+CR$3,1)&lt;&gt;""),1,0),0)</f>
        <v/>
      </c>
      <c r="CS27">
        <f>IF(CS$4=1,IF(OR(INDEX('×入力'!$A$1:$L$1300,483+CS$3,2+CS$2)&lt;&gt;"",INDEX('×入力'!$A$1:$L$1300,482,2+CS$2)&lt;&gt;"",INDEX('×入力'!$A$1:$L$1300,483+CS$3,1)&lt;&gt;""),1,0),0)</f>
        <v/>
      </c>
      <c r="CT27">
        <f>IF(CT$4=1,IF(OR(INDEX('×入力'!$A$1:$L$1300,483+CT$3,2+CT$2)&lt;&gt;"",INDEX('×入力'!$A$1:$L$1300,482,2+CT$2)&lt;&gt;"",INDEX('×入力'!$A$1:$L$1300,483+CT$3,1)&lt;&gt;""),1,0),0)</f>
        <v/>
      </c>
      <c r="CU27">
        <f>IF(CU$4=1,IF(OR(INDEX('×入力'!$A$1:$L$1300,483+CU$3,2+CU$2)&lt;&gt;"",INDEX('×入力'!$A$1:$L$1300,482,2+CU$2)&lt;&gt;"",INDEX('×入力'!$A$1:$L$1300,483+CU$3,1)&lt;&gt;""),1,0),0)</f>
        <v/>
      </c>
      <c r="CV27">
        <f>IF(CV$4=1,IF(OR(INDEX('×入力'!$A$1:$L$1300,483+CV$3,2+CV$2)&lt;&gt;"",INDEX('×入力'!$A$1:$L$1300,482,2+CV$2)&lt;&gt;"",INDEX('×入力'!$A$1:$L$1300,483+CV$3,1)&lt;&gt;""),1,0),0)</f>
        <v/>
      </c>
      <c r="CW27">
        <f>IF(CW$4=1,IF(OR(INDEX('×入力'!$A$1:$L$1300,483+CW$3,2+CW$2)&lt;&gt;"",INDEX('×入力'!$A$1:$L$1300,482,2+CW$2)&lt;&gt;"",INDEX('×入力'!$A$1:$L$1300,483+CW$3,1)&lt;&gt;""),1,0),0)</f>
        <v/>
      </c>
      <c r="CX27">
        <f>IF(CX$4=1,IF(OR(INDEX('×入力'!$A$1:$L$1300,483+CX$3,2+CX$2)&lt;&gt;"",INDEX('×入力'!$A$1:$L$1300,482,2+CX$2)&lt;&gt;"",INDEX('×入力'!$A$1:$L$1300,483+CX$3,1)&lt;&gt;""),1,0),0)</f>
        <v/>
      </c>
      <c r="CY27">
        <f>IF(CY$4=1,IF(OR(INDEX('×入力'!$A$1:$L$1300,483+CY$3,2+CY$2)&lt;&gt;"",INDEX('×入力'!$A$1:$L$1300,482,2+CY$2)&lt;&gt;"",INDEX('×入力'!$A$1:$L$1300,483+CY$3,1)&lt;&gt;""),1,0),0)</f>
        <v/>
      </c>
      <c r="CZ27">
        <f>IF(CZ$4=1,IF(OR(INDEX('×入力'!$A$1:$L$1300,483+CZ$3,2+CZ$2)&lt;&gt;"",INDEX('×入力'!$A$1:$L$1300,482,2+CZ$2)&lt;&gt;"",INDEX('×入力'!$A$1:$L$1300,483+CZ$3,1)&lt;&gt;""),1,0),0)</f>
        <v/>
      </c>
      <c r="DA27">
        <f>IF(DA$4=1,IF(OR(INDEX('×入力'!$A$1:$L$1300,483+DA$3,2+DA$2)&lt;&gt;"",INDEX('×入力'!$A$1:$L$1300,482,2+DA$2)&lt;&gt;"",INDEX('×入力'!$A$1:$L$1300,483+DA$3,1)&lt;&gt;""),1,0),0)</f>
        <v/>
      </c>
      <c r="DB27">
        <f>IF(DB$4=1,IF(OR(INDEX('×入力'!$A$1:$L$1300,483+DB$3,2+DB$2)&lt;&gt;"",INDEX('×入力'!$A$1:$L$1300,482,2+DB$2)&lt;&gt;"",INDEX('×入力'!$A$1:$L$1300,483+DB$3,1)&lt;&gt;""),1,0),0)</f>
        <v/>
      </c>
      <c r="DC27">
        <f>IF(DC$4=1,IF(OR(INDEX('×入力'!$A$1:$L$1300,483+DC$3,2+DC$2)&lt;&gt;"",INDEX('×入力'!$A$1:$L$1300,482,2+DC$2)&lt;&gt;"",INDEX('×入力'!$A$1:$L$1300,483+DC$3,1)&lt;&gt;""),1,0),0)</f>
        <v/>
      </c>
      <c r="DD27">
        <f>IF(DD$4=1,IF(OR(INDEX('×入力'!$A$1:$L$1300,483+DD$3,2+DD$2)&lt;&gt;"",INDEX('×入力'!$A$1:$L$1300,482,2+DD$2)&lt;&gt;"",INDEX('×入力'!$A$1:$L$1300,483+DD$3,1)&lt;&gt;""),1,0),0)</f>
        <v/>
      </c>
      <c r="DE27">
        <f>IF(DE$4=1,IF(OR(INDEX('×入力'!$A$1:$L$1300,483+DE$3,2+DE$2)&lt;&gt;"",INDEX('×入力'!$A$1:$L$1300,482,2+DE$2)&lt;&gt;"",INDEX('×入力'!$A$1:$L$1300,483+DE$3,1)&lt;&gt;""),1,0),0)</f>
        <v/>
      </c>
      <c r="DF27">
        <f>IF(DF$4=1,IF(OR(INDEX('×入力'!$A$1:$L$1300,483+DF$3,2+DF$2)&lt;&gt;"",INDEX('×入力'!$A$1:$L$1300,482,2+DF$2)&lt;&gt;"",INDEX('×入力'!$A$1:$L$1300,483+DF$3,1)&lt;&gt;""),1,0),0)</f>
        <v/>
      </c>
      <c r="DG27">
        <f>IF(DG$4=1,IF(OR(INDEX('×入力'!$A$1:$L$1300,483+DG$3,2+DG$2)&lt;&gt;"",INDEX('×入力'!$A$1:$L$1300,482,2+DG$2)&lt;&gt;"",INDEX('×入力'!$A$1:$L$1300,483+DG$3,1)&lt;&gt;""),1,0),0)</f>
        <v/>
      </c>
      <c r="DH27">
        <f>IF(DH$4=1,IF(OR(INDEX('×入力'!$A$1:$L$1300,483+DH$3,2+DH$2)&lt;&gt;"",INDEX('×入力'!$A$1:$L$1300,482,2+DH$2)&lt;&gt;"",INDEX('×入力'!$A$1:$L$1300,483+DH$3,1)&lt;&gt;""),1,0),0)</f>
        <v/>
      </c>
      <c r="DI27">
        <f>IF(DI$4=1,IF(OR(INDEX('×入力'!$A$1:$L$1300,483+DI$3,2+DI$2)&lt;&gt;"",INDEX('×入力'!$A$1:$L$1300,482,2+DI$2)&lt;&gt;"",INDEX('×入力'!$A$1:$L$1300,483+DI$3,1)&lt;&gt;""),1,0),0)</f>
        <v/>
      </c>
      <c r="DJ27">
        <f>IF(DJ$4=1,IF(OR(INDEX('×入力'!$A$1:$L$1300,483+DJ$3,2+DJ$2)&lt;&gt;"",INDEX('×入力'!$A$1:$L$1300,482,2+DJ$2)&lt;&gt;"",INDEX('×入力'!$A$1:$L$1300,483+DJ$3,1)&lt;&gt;""),1,0),0)</f>
        <v/>
      </c>
      <c r="DK27">
        <f>IF(DK$4=1,IF(OR(INDEX('×入力'!$A$1:$L$1300,483+DK$3,2+DK$2)&lt;&gt;"",INDEX('×入力'!$A$1:$L$1300,482,2+DK$2)&lt;&gt;"",INDEX('×入力'!$A$1:$L$1300,483+DK$3,1)&lt;&gt;""),1,0),0)</f>
        <v/>
      </c>
      <c r="DL27">
        <f>IF(DL$4=1,IF(OR(INDEX('×入力'!$A$1:$L$1300,483+DL$3,2+DL$2)&lt;&gt;"",INDEX('×入力'!$A$1:$L$1300,482,2+DL$2)&lt;&gt;"",INDEX('×入力'!$A$1:$L$1300,483+DL$3,1)&lt;&gt;""),1,0),0)</f>
        <v/>
      </c>
      <c r="DM27">
        <f>IF(DM$4=1,IF(OR(INDEX('×入力'!$A$1:$L$1300,483+DM$3,2+DM$2)&lt;&gt;"",INDEX('×入力'!$A$1:$L$1300,482,2+DM$2)&lt;&gt;"",INDEX('×入力'!$A$1:$L$1300,483+DM$3,1)&lt;&gt;""),1,0),0)</f>
        <v/>
      </c>
      <c r="DN27">
        <f>IF(DN$4=1,IF(OR(INDEX('×入力'!$A$1:$L$1300,483+DN$3,2+DN$2)&lt;&gt;"",INDEX('×入力'!$A$1:$L$1300,482,2+DN$2)&lt;&gt;"",INDEX('×入力'!$A$1:$L$1300,483+DN$3,1)&lt;&gt;""),1,0),0)</f>
        <v/>
      </c>
      <c r="DO27">
        <f>IF(DO$4=1,IF(OR(INDEX('×入力'!$A$1:$L$1300,483+DO$3,2+DO$2)&lt;&gt;"",INDEX('×入力'!$A$1:$L$1300,482,2+DO$2)&lt;&gt;"",INDEX('×入力'!$A$1:$L$1300,483+DO$3,1)&lt;&gt;""),1,0),0)</f>
        <v/>
      </c>
      <c r="DP27">
        <f>IF(DP$4=1,IF(OR(INDEX('×入力'!$A$1:$L$1300,483+DP$3,2+DP$2)&lt;&gt;"",INDEX('×入力'!$A$1:$L$1300,482,2+DP$2)&lt;&gt;"",INDEX('×入力'!$A$1:$L$1300,483+DP$3,1)&lt;&gt;""),1,0),0)</f>
        <v/>
      </c>
      <c r="DQ27">
        <f>IF(DQ$4=1,IF(OR(INDEX('×入力'!$A$1:$L$1300,483+DQ$3,2+DQ$2)&lt;&gt;"",INDEX('×入力'!$A$1:$L$1300,482,2+DQ$2)&lt;&gt;"",INDEX('×入力'!$A$1:$L$1300,483+DQ$3,1)&lt;&gt;""),1,0),0)</f>
        <v/>
      </c>
      <c r="DR27">
        <f>IF(DR$4=1,IF(OR(INDEX('×入力'!$A$1:$L$1300,483+DR$3,2+DR$2)&lt;&gt;"",INDEX('×入力'!$A$1:$L$1300,482,2+DR$2)&lt;&gt;"",INDEX('×入力'!$A$1:$L$1300,483+DR$3,1)&lt;&gt;""),1,0),0)</f>
        <v/>
      </c>
      <c r="DS27">
        <f>IF(DS$4=1,IF(OR(INDEX('×入力'!$A$1:$L$1300,483+DS$3,2+DS$2)&lt;&gt;"",INDEX('×入力'!$A$1:$L$1300,482,2+DS$2)&lt;&gt;"",INDEX('×入力'!$A$1:$L$1300,483+DS$3,1)&lt;&gt;""),1,0),0)</f>
        <v/>
      </c>
      <c r="DT27">
        <f>IF(DT$4=1,IF(OR(INDEX('×入力'!$A$1:$L$1300,483+DT$3,2+DT$2)&lt;&gt;"",INDEX('×入力'!$A$1:$L$1300,482,2+DT$2)&lt;&gt;"",INDEX('×入力'!$A$1:$L$1300,483+DT$3,1)&lt;&gt;""),1,0),0)</f>
        <v/>
      </c>
      <c r="DU27">
        <f>IF(DU$4=1,IF(OR(INDEX('×入力'!$A$1:$L$1300,483+DU$3,2+DU$2)&lt;&gt;"",INDEX('×入力'!$A$1:$L$1300,482,2+DU$2)&lt;&gt;"",INDEX('×入力'!$A$1:$L$1300,483+DU$3,1)&lt;&gt;""),1,0),0)</f>
        <v/>
      </c>
      <c r="DV27">
        <f>IF(DV$4=1,IF(OR(INDEX('×入力'!$A$1:$L$1300,483+DV$3,2+DV$2)&lt;&gt;"",INDEX('×入力'!$A$1:$L$1300,482,2+DV$2)&lt;&gt;"",INDEX('×入力'!$A$1:$L$1300,483+DV$3,1)&lt;&gt;""),1,0),0)</f>
        <v/>
      </c>
      <c r="DW27">
        <f>IF(DW$4=1,IF(OR(INDEX('×入力'!$A$1:$L$1300,483+DW$3,2+DW$2)&lt;&gt;"",INDEX('×入力'!$A$1:$L$1300,482,2+DW$2)&lt;&gt;"",INDEX('×入力'!$A$1:$L$1300,483+DW$3,1)&lt;&gt;""),1,0),0)</f>
        <v/>
      </c>
      <c r="DX27">
        <f>IF(DX$4=1,IF(OR(INDEX('×入力'!$A$1:$L$1300,483+DX$3,2+DX$2)&lt;&gt;"",INDEX('×入力'!$A$1:$L$1300,482,2+DX$2)&lt;&gt;"",INDEX('×入力'!$A$1:$L$1300,483+DX$3,1)&lt;&gt;""),1,0),0)</f>
        <v/>
      </c>
      <c r="DY27">
        <f>IF(DY$4=1,IF(OR(INDEX('×入力'!$A$1:$L$1300,483+DY$3,2+DY$2)&lt;&gt;"",INDEX('×入力'!$A$1:$L$1300,482,2+DY$2)&lt;&gt;"",INDEX('×入力'!$A$1:$L$1300,483+DY$3,1)&lt;&gt;""),1,0),0)</f>
        <v/>
      </c>
      <c r="DZ27">
        <f>IF(DZ$4=1,IF(OR(INDEX('×入力'!$A$1:$L$1300,483+DZ$3,2+DZ$2)&lt;&gt;"",INDEX('×入力'!$A$1:$L$1300,482,2+DZ$2)&lt;&gt;"",INDEX('×入力'!$A$1:$L$1300,483+DZ$3,1)&lt;&gt;""),1,0),0)</f>
        <v/>
      </c>
      <c r="EA27">
        <f>IF(EA$4=1,IF(OR(INDEX('×入力'!$A$1:$L$1300,483+EA$3,2+EA$2)&lt;&gt;"",INDEX('×入力'!$A$1:$L$1300,482,2+EA$2)&lt;&gt;"",INDEX('×入力'!$A$1:$L$1300,483+EA$3,1)&lt;&gt;""),1,0),0)</f>
        <v/>
      </c>
      <c r="EB27">
        <f>IF(EB$4=1,IF(OR(INDEX('×入力'!$A$1:$L$1300,483+EB$3,2+EB$2)&lt;&gt;"",INDEX('×入力'!$A$1:$L$1300,482,2+EB$2)&lt;&gt;"",INDEX('×入力'!$A$1:$L$1300,483+EB$3,1)&lt;&gt;""),1,0),0)</f>
        <v/>
      </c>
      <c r="EC27">
        <f>IF(EC$4=1,IF(OR(INDEX('×入力'!$A$1:$L$1300,483+EC$3,2+EC$2)&lt;&gt;"",INDEX('×入力'!$A$1:$L$1300,482,2+EC$2)&lt;&gt;"",INDEX('×入力'!$A$1:$L$1300,483+EC$3,1)&lt;&gt;""),1,0),0)</f>
        <v/>
      </c>
      <c r="ED27">
        <f>IF(ED$4=1,IF(OR(INDEX('×入力'!$A$1:$L$1300,483+ED$3,2+ED$2)&lt;&gt;"",INDEX('×入力'!$A$1:$L$1300,482,2+ED$2)&lt;&gt;"",INDEX('×入力'!$A$1:$L$1300,483+ED$3,1)&lt;&gt;""),1,0),0)</f>
        <v/>
      </c>
      <c r="EE27">
        <f>IF(EE$4=1,IF(OR(INDEX('×入力'!$A$1:$L$1300,483+EE$3,2+EE$2)&lt;&gt;"",INDEX('×入力'!$A$1:$L$1300,482,2+EE$2)&lt;&gt;"",INDEX('×入力'!$A$1:$L$1300,483+EE$3,1)&lt;&gt;""),1,0),0)</f>
        <v/>
      </c>
      <c r="EF27">
        <f>IF(EF$4=1,IF(OR(INDEX('×入力'!$A$1:$L$1300,483+EF$3,2+EF$2)&lt;&gt;"",INDEX('×入力'!$A$1:$L$1300,482,2+EF$2)&lt;&gt;"",INDEX('×入力'!$A$1:$L$1300,483+EF$3,1)&lt;&gt;""),1,0),0)</f>
        <v/>
      </c>
      <c r="EG27">
        <f>IF(EG$4=1,IF(OR(INDEX('×入力'!$A$1:$L$1300,483+EG$3,2+EG$2)&lt;&gt;"",INDEX('×入力'!$A$1:$L$1300,482,2+EG$2)&lt;&gt;"",INDEX('×入力'!$A$1:$L$1300,483+EG$3,1)&lt;&gt;""),1,0),0)</f>
        <v/>
      </c>
      <c r="EH27">
        <f>IF(EH$4=1,IF(OR(INDEX('×入力'!$A$1:$L$1300,483+EH$3,2+EH$2)&lt;&gt;"",INDEX('×入力'!$A$1:$L$1300,482,2+EH$2)&lt;&gt;"",INDEX('×入力'!$A$1:$L$1300,483+EH$3,1)&lt;&gt;""),1,0),0)</f>
        <v/>
      </c>
      <c r="EI27">
        <f>IF(EI$4=1,IF(OR(INDEX('×入力'!$A$1:$L$1300,483+EI$3,2+EI$2)&lt;&gt;"",INDEX('×入力'!$A$1:$L$1300,482,2+EI$2)&lt;&gt;"",INDEX('×入力'!$A$1:$L$1300,483+EI$3,1)&lt;&gt;""),1,0),0)</f>
        <v/>
      </c>
      <c r="EJ27">
        <f>IF(EJ$4=1,IF(OR(INDEX('×入力'!$A$1:$L$1300,483+EJ$3,2+EJ$2)&lt;&gt;"",INDEX('×入力'!$A$1:$L$1300,482,2+EJ$2)&lt;&gt;"",INDEX('×入力'!$A$1:$L$1300,483+EJ$3,1)&lt;&gt;""),1,0),0)</f>
        <v/>
      </c>
      <c r="EK27">
        <f>IF(EK$4=1,IF(OR(INDEX('×入力'!$A$1:$L$1300,483+EK$3,2+EK$2)&lt;&gt;"",INDEX('×入力'!$A$1:$L$1300,482,2+EK$2)&lt;&gt;"",INDEX('×入力'!$A$1:$L$1300,483+EK$3,1)&lt;&gt;""),1,0),0)</f>
        <v/>
      </c>
      <c r="EL27">
        <f>IF(EL$4=1,IF(OR(INDEX('×入力'!$A$1:$L$1300,483+EL$3,2+EL$2)&lt;&gt;"",INDEX('×入力'!$A$1:$L$1300,482,2+EL$2)&lt;&gt;"",INDEX('×入力'!$A$1:$L$1300,483+EL$3,1)&lt;&gt;""),1,0),0)</f>
        <v/>
      </c>
      <c r="EM27">
        <f>IF(EM$4=1,IF(OR(INDEX('×入力'!$A$1:$L$1300,483+EM$3,2+EM$2)&lt;&gt;"",INDEX('×入力'!$A$1:$L$1300,482,2+EM$2)&lt;&gt;"",INDEX('×入力'!$A$1:$L$1300,483+EM$3,1)&lt;&gt;""),1,0),0)</f>
        <v/>
      </c>
      <c r="EN27">
        <f>IF(EN$4=1,IF(OR(INDEX('×入力'!$A$1:$L$1300,483+EN$3,2+EN$2)&lt;&gt;"",INDEX('×入力'!$A$1:$L$1300,482,2+EN$2)&lt;&gt;"",INDEX('×入力'!$A$1:$L$1300,483+EN$3,1)&lt;&gt;""),1,0),0)</f>
        <v/>
      </c>
      <c r="EO27">
        <f>IF(EO$4=1,IF(OR(INDEX('×入力'!$A$1:$L$1300,483+EO$3,2+EO$2)&lt;&gt;"",INDEX('×入力'!$A$1:$L$1300,482,2+EO$2)&lt;&gt;"",INDEX('×入力'!$A$1:$L$1300,483+EO$3,1)&lt;&gt;""),1,0),0)</f>
        <v/>
      </c>
      <c r="EP27">
        <f>IF(EP$4=1,IF(OR(INDEX('×入力'!$A$1:$L$1300,483+EP$3,2+EP$2)&lt;&gt;"",INDEX('×入力'!$A$1:$L$1300,482,2+EP$2)&lt;&gt;"",INDEX('×入力'!$A$1:$L$1300,483+EP$3,1)&lt;&gt;""),1,0),0)</f>
        <v/>
      </c>
      <c r="EQ27">
        <f>IF(EQ$4=1,IF(OR(INDEX('×入力'!$A$1:$L$1300,483+EQ$3,2+EQ$2)&lt;&gt;"",INDEX('×入力'!$A$1:$L$1300,482,2+EQ$2)&lt;&gt;"",INDEX('×入力'!$A$1:$L$1300,483+EQ$3,1)&lt;&gt;""),1,0),0)</f>
        <v/>
      </c>
      <c r="HA27">
        <f>MAX(0,IT27)</f>
        <v/>
      </c>
      <c r="HB27">
        <f>IF(HA27=0,0,INDEX($D$2:$EQ$2,HA27))</f>
        <v/>
      </c>
      <c r="HC27">
        <f>IF(HA27=0,0,INDEX($D$3:$EQ$3,HA27))</f>
        <v/>
      </c>
      <c r="HD27">
        <f>MAX(0,IY27)</f>
        <v/>
      </c>
      <c r="HE27">
        <f>IF(HD27=0,0,INDEX($D$2:$EQ$2,HD27))</f>
        <v/>
      </c>
      <c r="HF27">
        <f>IF(HD27=0,0,INDEX($D$3:$EQ$3,HD27))</f>
        <v/>
      </c>
      <c r="HG27">
        <f>MAX(0,IZ27)</f>
        <v/>
      </c>
      <c r="HH27">
        <f>IF(HG27=0,0,INDEX($D$2:$EQ$2,HG27))</f>
        <v/>
      </c>
      <c r="HI27">
        <f>IF(HG27=0,0,INDEX($D$3:$EQ$3,HG27))</f>
        <v/>
      </c>
      <c r="HJ27">
        <f>IF(AND(HA27&gt;0,HC27&gt;1,OR(HC27-1&lt;&gt;$A$3,$A$4=0)),HA27-1,-1)</f>
        <v/>
      </c>
      <c r="HK27">
        <f>IF(AND(HA27&gt;0,HC27&lt;24,OR(HC27&lt;&gt;$A$3,$A$4=0)),HA27+1,-1)</f>
        <v/>
      </c>
      <c r="HL27">
        <f>IF(AND(HD27&gt;0,HF27&gt;1,OR(HF27-1&lt;&gt;$A$3,$A$4=0)),HD27-1,-1)</f>
        <v/>
      </c>
      <c r="HM27">
        <f>IF(AND(HD27&gt;0,HF27&lt;24,OR(HF27&lt;&gt;$A$3,$A$4=0)),HD27+1,-1)</f>
        <v/>
      </c>
      <c r="HN27">
        <f>IF(AND(HG27&gt;0,HI27&gt;1,OR(HI27-1&lt;&gt;$A$3,$A$4=0)),HG27-1,-1)</f>
        <v/>
      </c>
      <c r="HO27">
        <f>IF(AND(HG27&gt;0,HI27&lt;24,OR(HI27&lt;&gt;$A$3,$A$4=0)),HG27+1,-1)</f>
        <v/>
      </c>
      <c r="IK27">
        <f>IFERROR(INDEX('calcB'!$C$3:$C$47,MATCH(A27,'calcB'!$B$3:$B$47,0)),0)</f>
        <v/>
      </c>
      <c r="IL27">
        <f>IF(AND(C27=1,IK27=0,calcA!$A$6=1),1,0)</f>
        <v/>
      </c>
      <c r="IM27">
        <f>SUMPRODUCT(D77:EQ77*(1-$D$7:$EQ$7))</f>
        <v/>
      </c>
      <c r="IN27">
        <f>SUM(D27:EQ27)</f>
        <v/>
      </c>
      <c r="IO27">
        <f>IF(B27="",0,IF(COUNTIF('調整・決定'!$C$6:$H$29,B27)=1,SUMPRODUCT(('調整・決定'!$C$6:$H$29=B27)*((COLUMN('調整・決定'!$C$6:$H$29)-3)*24+ROW('調整・決定'!$C$6:$H$29)-5)),0))</f>
        <v/>
      </c>
      <c r="IP27">
        <f>IFERROR(MATCH('名簿'!C22,{"早い時刻","遅い時刻","早い日","遅い日"},0),0)</f>
        <v/>
      </c>
      <c r="IQ27">
        <f>IF('名簿'!D22="必ず空けたい",2,IF('名簿'!D22="出来れば空けたい",1,0))</f>
        <v/>
      </c>
      <c r="IR27">
        <f>IFERROR(INDEX('calcC'!$C$3:$C$47,MATCH(A27,'calcC'!$B$3:$B$47,0)),0)</f>
        <v/>
      </c>
      <c r="IS27">
        <f>IF(AND(C27=1,IR27=0,calcA!$A$6=1),1,0)</f>
        <v/>
      </c>
      <c r="IT27">
        <f>IF(OR('名簿'!G22="",'名簿'!H22=""),0,IFERROR((MATCH('名簿'!G22,'設定'!$E$11:$E$16,0)-1)*24+MATCH('名簿'!H22,'設定'!$I$11:$I$34,0),-1))</f>
        <v/>
      </c>
      <c r="IV27">
        <f>IF(OR(JF27=0,IO27=0),1,IF(OR(IF(IT27&gt;0,AND(INDEX($D$2:$EQ$2,IO27)=INDEX($D$2:$EQ$2,IT27),OR(AND(IO27=IT27+1,OR(INDEX($D$3:$EQ$3,IT27)&lt;&gt;$A$3,$A$4=0)),AND(IO27=IT27-1,OR(INDEX($D$3:$EQ$3,IO27)&lt;&gt;$A$3,$A$4=0)))),FALSE),IF(IY27&gt;0,AND(INDEX($D$2:$EQ$2,IO27)=INDEX($D$2:$EQ$2,IY27),OR(AND(IO27=IY27+1,OR(INDEX($D$3:$EQ$3,IY27)&lt;&gt;$A$3,$A$4=0)),AND(IO27=IY27-1,OR(INDEX($D$3:$EQ$3,IO27)&lt;&gt;$A$3,$A$4=0)))),FALSE),IF(IZ27&gt;0,AND(INDEX($D$2:$EQ$2,IO27)=INDEX($D$2:$EQ$2,IZ27),OR(AND(IO27=IZ27+1,OR(INDEX($D$3:$EQ$3,IZ27)&lt;&gt;$A$3,$A$4=0)),AND(IO27=IZ27-1,OR(INDEX($D$3:$EQ$3,IO27)&lt;&gt;$A$3,$A$4=0)))),FALSE)),1,0))</f>
        <v/>
      </c>
      <c r="IW27">
        <f>IF(AND('名簿'!E22&lt;&gt;"",JF27=0),1,0)</f>
        <v/>
      </c>
      <c r="IX27">
        <f>IF('名簿'!D22="空けない",1,0)</f>
        <v/>
      </c>
      <c r="IY27">
        <f>IF(OR('名簿'!J22="",'名簿'!K22=""),0,IFERROR((MATCH('名簿'!J22,'設定'!$E$11:$E$16,0)-1)*24+MATCH('名簿'!K22,'設定'!$I$11:$I$34,0),-1))</f>
        <v/>
      </c>
      <c r="IZ27">
        <f>IF(OR('名簿'!M22="",'名簿'!N22=""),0,IFERROR((MATCH('名簿'!M22,'設定'!$E$11:$E$16,0)-1)*24+MATCH('名簿'!N22,'設定'!$I$11:$I$34,0),-1))</f>
        <v/>
      </c>
      <c r="JC27">
        <f>IF(RIGHT('名簿'!I22,2)="の前",1,IF(RIGHT('名簿'!I22,2)="の後",2,0))</f>
        <v/>
      </c>
      <c r="JD27">
        <f>IF(RIGHT('名簿'!L22,2)="の前",1,IF(RIGHT('名簿'!L22,2)="の後",2,0))</f>
        <v/>
      </c>
      <c r="JE27">
        <f>IF(RIGHT('名簿'!O22,2)="の前",1,IF(RIGHT('名簿'!O22,2)="の後",2,0))</f>
        <v/>
      </c>
      <c r="JF27">
        <f>IF(OR(IT27&gt;0,IY27&gt;0,IZ27&gt;0),1,0)</f>
        <v/>
      </c>
      <c r="JG27">
        <f>IF(OR(IT27&lt;0,IY27&lt;0,IZ27&lt;0),1,0)</f>
        <v/>
      </c>
    </row>
    <row r="28">
      <c r="A28" t="n">
        <v>19</v>
      </c>
      <c r="B28">
        <f>'名簿'!P23</f>
        <v/>
      </c>
      <c r="C28">
        <f>IF(AND(B28&lt;&gt;"",OR('名簿'!Q23="入力済み",'名簿'!Q23="×なし"),IO28=0,COUNTIF('調整・決定'!$C$6:$H$29,B28)=0),1,0)</f>
        <v/>
      </c>
      <c r="D28">
        <f>IF(D$4=1,IF(OR(INDEX('×入力'!$A$1:$L$1300,511+D$3,2+D$2)&lt;&gt;"",INDEX('×入力'!$A$1:$L$1300,510,2+D$2)&lt;&gt;"",INDEX('×入力'!$A$1:$L$1300,511+D$3,1)&lt;&gt;""),1,0),0)</f>
        <v/>
      </c>
      <c r="E28">
        <f>IF(E$4=1,IF(OR(INDEX('×入力'!$A$1:$L$1300,511+E$3,2+E$2)&lt;&gt;"",INDEX('×入力'!$A$1:$L$1300,510,2+E$2)&lt;&gt;"",INDEX('×入力'!$A$1:$L$1300,511+E$3,1)&lt;&gt;""),1,0),0)</f>
        <v/>
      </c>
      <c r="F28">
        <f>IF(F$4=1,IF(OR(INDEX('×入力'!$A$1:$L$1300,511+F$3,2+F$2)&lt;&gt;"",INDEX('×入力'!$A$1:$L$1300,510,2+F$2)&lt;&gt;"",INDEX('×入力'!$A$1:$L$1300,511+F$3,1)&lt;&gt;""),1,0),0)</f>
        <v/>
      </c>
      <c r="G28">
        <f>IF(G$4=1,IF(OR(INDEX('×入力'!$A$1:$L$1300,511+G$3,2+G$2)&lt;&gt;"",INDEX('×入力'!$A$1:$L$1300,510,2+G$2)&lt;&gt;"",INDEX('×入力'!$A$1:$L$1300,511+G$3,1)&lt;&gt;""),1,0),0)</f>
        <v/>
      </c>
      <c r="H28">
        <f>IF(H$4=1,IF(OR(INDEX('×入力'!$A$1:$L$1300,511+H$3,2+H$2)&lt;&gt;"",INDEX('×入力'!$A$1:$L$1300,510,2+H$2)&lt;&gt;"",INDEX('×入力'!$A$1:$L$1300,511+H$3,1)&lt;&gt;""),1,0),0)</f>
        <v/>
      </c>
      <c r="I28">
        <f>IF(I$4=1,IF(OR(INDEX('×入力'!$A$1:$L$1300,511+I$3,2+I$2)&lt;&gt;"",INDEX('×入力'!$A$1:$L$1300,510,2+I$2)&lt;&gt;"",INDEX('×入力'!$A$1:$L$1300,511+I$3,1)&lt;&gt;""),1,0),0)</f>
        <v/>
      </c>
      <c r="J28">
        <f>IF(J$4=1,IF(OR(INDEX('×入力'!$A$1:$L$1300,511+J$3,2+J$2)&lt;&gt;"",INDEX('×入力'!$A$1:$L$1300,510,2+J$2)&lt;&gt;"",INDEX('×入力'!$A$1:$L$1300,511+J$3,1)&lt;&gt;""),1,0),0)</f>
        <v/>
      </c>
      <c r="K28">
        <f>IF(K$4=1,IF(OR(INDEX('×入力'!$A$1:$L$1300,511+K$3,2+K$2)&lt;&gt;"",INDEX('×入力'!$A$1:$L$1300,510,2+K$2)&lt;&gt;"",INDEX('×入力'!$A$1:$L$1300,511+K$3,1)&lt;&gt;""),1,0),0)</f>
        <v/>
      </c>
      <c r="L28">
        <f>IF(L$4=1,IF(OR(INDEX('×入力'!$A$1:$L$1300,511+L$3,2+L$2)&lt;&gt;"",INDEX('×入力'!$A$1:$L$1300,510,2+L$2)&lt;&gt;"",INDEX('×入力'!$A$1:$L$1300,511+L$3,1)&lt;&gt;""),1,0),0)</f>
        <v/>
      </c>
      <c r="M28">
        <f>IF(M$4=1,IF(OR(INDEX('×入力'!$A$1:$L$1300,511+M$3,2+M$2)&lt;&gt;"",INDEX('×入力'!$A$1:$L$1300,510,2+M$2)&lt;&gt;"",INDEX('×入力'!$A$1:$L$1300,511+M$3,1)&lt;&gt;""),1,0),0)</f>
        <v/>
      </c>
      <c r="N28">
        <f>IF(N$4=1,IF(OR(INDEX('×入力'!$A$1:$L$1300,511+N$3,2+N$2)&lt;&gt;"",INDEX('×入力'!$A$1:$L$1300,510,2+N$2)&lt;&gt;"",INDEX('×入力'!$A$1:$L$1300,511+N$3,1)&lt;&gt;""),1,0),0)</f>
        <v/>
      </c>
      <c r="O28">
        <f>IF(O$4=1,IF(OR(INDEX('×入力'!$A$1:$L$1300,511+O$3,2+O$2)&lt;&gt;"",INDEX('×入力'!$A$1:$L$1300,510,2+O$2)&lt;&gt;"",INDEX('×入力'!$A$1:$L$1300,511+O$3,1)&lt;&gt;""),1,0),0)</f>
        <v/>
      </c>
      <c r="P28">
        <f>IF(P$4=1,IF(OR(INDEX('×入力'!$A$1:$L$1300,511+P$3,2+P$2)&lt;&gt;"",INDEX('×入力'!$A$1:$L$1300,510,2+P$2)&lt;&gt;"",INDEX('×入力'!$A$1:$L$1300,511+P$3,1)&lt;&gt;""),1,0),0)</f>
        <v/>
      </c>
      <c r="Q28">
        <f>IF(Q$4=1,IF(OR(INDEX('×入力'!$A$1:$L$1300,511+Q$3,2+Q$2)&lt;&gt;"",INDEX('×入力'!$A$1:$L$1300,510,2+Q$2)&lt;&gt;"",INDEX('×入力'!$A$1:$L$1300,511+Q$3,1)&lt;&gt;""),1,0),0)</f>
        <v/>
      </c>
      <c r="R28">
        <f>IF(R$4=1,IF(OR(INDEX('×入力'!$A$1:$L$1300,511+R$3,2+R$2)&lt;&gt;"",INDEX('×入力'!$A$1:$L$1300,510,2+R$2)&lt;&gt;"",INDEX('×入力'!$A$1:$L$1300,511+R$3,1)&lt;&gt;""),1,0),0)</f>
        <v/>
      </c>
      <c r="S28">
        <f>IF(S$4=1,IF(OR(INDEX('×入力'!$A$1:$L$1300,511+S$3,2+S$2)&lt;&gt;"",INDEX('×入力'!$A$1:$L$1300,510,2+S$2)&lt;&gt;"",INDEX('×入力'!$A$1:$L$1300,511+S$3,1)&lt;&gt;""),1,0),0)</f>
        <v/>
      </c>
      <c r="T28">
        <f>IF(T$4=1,IF(OR(INDEX('×入力'!$A$1:$L$1300,511+T$3,2+T$2)&lt;&gt;"",INDEX('×入力'!$A$1:$L$1300,510,2+T$2)&lt;&gt;"",INDEX('×入力'!$A$1:$L$1300,511+T$3,1)&lt;&gt;""),1,0),0)</f>
        <v/>
      </c>
      <c r="U28">
        <f>IF(U$4=1,IF(OR(INDEX('×入力'!$A$1:$L$1300,511+U$3,2+U$2)&lt;&gt;"",INDEX('×入力'!$A$1:$L$1300,510,2+U$2)&lt;&gt;"",INDEX('×入力'!$A$1:$L$1300,511+U$3,1)&lt;&gt;""),1,0),0)</f>
        <v/>
      </c>
      <c r="V28">
        <f>IF(V$4=1,IF(OR(INDEX('×入力'!$A$1:$L$1300,511+V$3,2+V$2)&lt;&gt;"",INDEX('×入力'!$A$1:$L$1300,510,2+V$2)&lt;&gt;"",INDEX('×入力'!$A$1:$L$1300,511+V$3,1)&lt;&gt;""),1,0),0)</f>
        <v/>
      </c>
      <c r="W28">
        <f>IF(W$4=1,IF(OR(INDEX('×入力'!$A$1:$L$1300,511+W$3,2+W$2)&lt;&gt;"",INDEX('×入力'!$A$1:$L$1300,510,2+W$2)&lt;&gt;"",INDEX('×入力'!$A$1:$L$1300,511+W$3,1)&lt;&gt;""),1,0),0)</f>
        <v/>
      </c>
      <c r="X28">
        <f>IF(X$4=1,IF(OR(INDEX('×入力'!$A$1:$L$1300,511+X$3,2+X$2)&lt;&gt;"",INDEX('×入力'!$A$1:$L$1300,510,2+X$2)&lt;&gt;"",INDEX('×入力'!$A$1:$L$1300,511+X$3,1)&lt;&gt;""),1,0),0)</f>
        <v/>
      </c>
      <c r="Y28">
        <f>IF(Y$4=1,IF(OR(INDEX('×入力'!$A$1:$L$1300,511+Y$3,2+Y$2)&lt;&gt;"",INDEX('×入力'!$A$1:$L$1300,510,2+Y$2)&lt;&gt;"",INDEX('×入力'!$A$1:$L$1300,511+Y$3,1)&lt;&gt;""),1,0),0)</f>
        <v/>
      </c>
      <c r="Z28">
        <f>IF(Z$4=1,IF(OR(INDEX('×入力'!$A$1:$L$1300,511+Z$3,2+Z$2)&lt;&gt;"",INDEX('×入力'!$A$1:$L$1300,510,2+Z$2)&lt;&gt;"",INDEX('×入力'!$A$1:$L$1300,511+Z$3,1)&lt;&gt;""),1,0),0)</f>
        <v/>
      </c>
      <c r="AA28">
        <f>IF(AA$4=1,IF(OR(INDEX('×入力'!$A$1:$L$1300,511+AA$3,2+AA$2)&lt;&gt;"",INDEX('×入力'!$A$1:$L$1300,510,2+AA$2)&lt;&gt;"",INDEX('×入力'!$A$1:$L$1300,511+AA$3,1)&lt;&gt;""),1,0),0)</f>
        <v/>
      </c>
      <c r="AB28">
        <f>IF(AB$4=1,IF(OR(INDEX('×入力'!$A$1:$L$1300,511+AB$3,2+AB$2)&lt;&gt;"",INDEX('×入力'!$A$1:$L$1300,510,2+AB$2)&lt;&gt;"",INDEX('×入力'!$A$1:$L$1300,511+AB$3,1)&lt;&gt;""),1,0),0)</f>
        <v/>
      </c>
      <c r="AC28">
        <f>IF(AC$4=1,IF(OR(INDEX('×入力'!$A$1:$L$1300,511+AC$3,2+AC$2)&lt;&gt;"",INDEX('×入力'!$A$1:$L$1300,510,2+AC$2)&lt;&gt;"",INDEX('×入力'!$A$1:$L$1300,511+AC$3,1)&lt;&gt;""),1,0),0)</f>
        <v/>
      </c>
      <c r="AD28">
        <f>IF(AD$4=1,IF(OR(INDEX('×入力'!$A$1:$L$1300,511+AD$3,2+AD$2)&lt;&gt;"",INDEX('×入力'!$A$1:$L$1300,510,2+AD$2)&lt;&gt;"",INDEX('×入力'!$A$1:$L$1300,511+AD$3,1)&lt;&gt;""),1,0),0)</f>
        <v/>
      </c>
      <c r="AE28">
        <f>IF(AE$4=1,IF(OR(INDEX('×入力'!$A$1:$L$1300,511+AE$3,2+AE$2)&lt;&gt;"",INDEX('×入力'!$A$1:$L$1300,510,2+AE$2)&lt;&gt;"",INDEX('×入力'!$A$1:$L$1300,511+AE$3,1)&lt;&gt;""),1,0),0)</f>
        <v/>
      </c>
      <c r="AF28">
        <f>IF(AF$4=1,IF(OR(INDEX('×入力'!$A$1:$L$1300,511+AF$3,2+AF$2)&lt;&gt;"",INDEX('×入力'!$A$1:$L$1300,510,2+AF$2)&lt;&gt;"",INDEX('×入力'!$A$1:$L$1300,511+AF$3,1)&lt;&gt;""),1,0),0)</f>
        <v/>
      </c>
      <c r="AG28">
        <f>IF(AG$4=1,IF(OR(INDEX('×入力'!$A$1:$L$1300,511+AG$3,2+AG$2)&lt;&gt;"",INDEX('×入力'!$A$1:$L$1300,510,2+AG$2)&lt;&gt;"",INDEX('×入力'!$A$1:$L$1300,511+AG$3,1)&lt;&gt;""),1,0),0)</f>
        <v/>
      </c>
      <c r="AH28">
        <f>IF(AH$4=1,IF(OR(INDEX('×入力'!$A$1:$L$1300,511+AH$3,2+AH$2)&lt;&gt;"",INDEX('×入力'!$A$1:$L$1300,510,2+AH$2)&lt;&gt;"",INDEX('×入力'!$A$1:$L$1300,511+AH$3,1)&lt;&gt;""),1,0),0)</f>
        <v/>
      </c>
      <c r="AI28">
        <f>IF(AI$4=1,IF(OR(INDEX('×入力'!$A$1:$L$1300,511+AI$3,2+AI$2)&lt;&gt;"",INDEX('×入力'!$A$1:$L$1300,510,2+AI$2)&lt;&gt;"",INDEX('×入力'!$A$1:$L$1300,511+AI$3,1)&lt;&gt;""),1,0),0)</f>
        <v/>
      </c>
      <c r="AJ28">
        <f>IF(AJ$4=1,IF(OR(INDEX('×入力'!$A$1:$L$1300,511+AJ$3,2+AJ$2)&lt;&gt;"",INDEX('×入力'!$A$1:$L$1300,510,2+AJ$2)&lt;&gt;"",INDEX('×入力'!$A$1:$L$1300,511+AJ$3,1)&lt;&gt;""),1,0),0)</f>
        <v/>
      </c>
      <c r="AK28">
        <f>IF(AK$4=1,IF(OR(INDEX('×入力'!$A$1:$L$1300,511+AK$3,2+AK$2)&lt;&gt;"",INDEX('×入力'!$A$1:$L$1300,510,2+AK$2)&lt;&gt;"",INDEX('×入力'!$A$1:$L$1300,511+AK$3,1)&lt;&gt;""),1,0),0)</f>
        <v/>
      </c>
      <c r="AL28">
        <f>IF(AL$4=1,IF(OR(INDEX('×入力'!$A$1:$L$1300,511+AL$3,2+AL$2)&lt;&gt;"",INDEX('×入力'!$A$1:$L$1300,510,2+AL$2)&lt;&gt;"",INDEX('×入力'!$A$1:$L$1300,511+AL$3,1)&lt;&gt;""),1,0),0)</f>
        <v/>
      </c>
      <c r="AM28">
        <f>IF(AM$4=1,IF(OR(INDEX('×入力'!$A$1:$L$1300,511+AM$3,2+AM$2)&lt;&gt;"",INDEX('×入力'!$A$1:$L$1300,510,2+AM$2)&lt;&gt;"",INDEX('×入力'!$A$1:$L$1300,511+AM$3,1)&lt;&gt;""),1,0),0)</f>
        <v/>
      </c>
      <c r="AN28">
        <f>IF(AN$4=1,IF(OR(INDEX('×入力'!$A$1:$L$1300,511+AN$3,2+AN$2)&lt;&gt;"",INDEX('×入力'!$A$1:$L$1300,510,2+AN$2)&lt;&gt;"",INDEX('×入力'!$A$1:$L$1300,511+AN$3,1)&lt;&gt;""),1,0),0)</f>
        <v/>
      </c>
      <c r="AO28">
        <f>IF(AO$4=1,IF(OR(INDEX('×入力'!$A$1:$L$1300,511+AO$3,2+AO$2)&lt;&gt;"",INDEX('×入力'!$A$1:$L$1300,510,2+AO$2)&lt;&gt;"",INDEX('×入力'!$A$1:$L$1300,511+AO$3,1)&lt;&gt;""),1,0),0)</f>
        <v/>
      </c>
      <c r="AP28">
        <f>IF(AP$4=1,IF(OR(INDEX('×入力'!$A$1:$L$1300,511+AP$3,2+AP$2)&lt;&gt;"",INDEX('×入力'!$A$1:$L$1300,510,2+AP$2)&lt;&gt;"",INDEX('×入力'!$A$1:$L$1300,511+AP$3,1)&lt;&gt;""),1,0),0)</f>
        <v/>
      </c>
      <c r="AQ28">
        <f>IF(AQ$4=1,IF(OR(INDEX('×入力'!$A$1:$L$1300,511+AQ$3,2+AQ$2)&lt;&gt;"",INDEX('×入力'!$A$1:$L$1300,510,2+AQ$2)&lt;&gt;"",INDEX('×入力'!$A$1:$L$1300,511+AQ$3,1)&lt;&gt;""),1,0),0)</f>
        <v/>
      </c>
      <c r="AR28">
        <f>IF(AR$4=1,IF(OR(INDEX('×入力'!$A$1:$L$1300,511+AR$3,2+AR$2)&lt;&gt;"",INDEX('×入力'!$A$1:$L$1300,510,2+AR$2)&lt;&gt;"",INDEX('×入力'!$A$1:$L$1300,511+AR$3,1)&lt;&gt;""),1,0),0)</f>
        <v/>
      </c>
      <c r="AS28">
        <f>IF(AS$4=1,IF(OR(INDEX('×入力'!$A$1:$L$1300,511+AS$3,2+AS$2)&lt;&gt;"",INDEX('×入力'!$A$1:$L$1300,510,2+AS$2)&lt;&gt;"",INDEX('×入力'!$A$1:$L$1300,511+AS$3,1)&lt;&gt;""),1,0),0)</f>
        <v/>
      </c>
      <c r="AT28">
        <f>IF(AT$4=1,IF(OR(INDEX('×入力'!$A$1:$L$1300,511+AT$3,2+AT$2)&lt;&gt;"",INDEX('×入力'!$A$1:$L$1300,510,2+AT$2)&lt;&gt;"",INDEX('×入力'!$A$1:$L$1300,511+AT$3,1)&lt;&gt;""),1,0),0)</f>
        <v/>
      </c>
      <c r="AU28">
        <f>IF(AU$4=1,IF(OR(INDEX('×入力'!$A$1:$L$1300,511+AU$3,2+AU$2)&lt;&gt;"",INDEX('×入力'!$A$1:$L$1300,510,2+AU$2)&lt;&gt;"",INDEX('×入力'!$A$1:$L$1300,511+AU$3,1)&lt;&gt;""),1,0),0)</f>
        <v/>
      </c>
      <c r="AV28">
        <f>IF(AV$4=1,IF(OR(INDEX('×入力'!$A$1:$L$1300,511+AV$3,2+AV$2)&lt;&gt;"",INDEX('×入力'!$A$1:$L$1300,510,2+AV$2)&lt;&gt;"",INDEX('×入力'!$A$1:$L$1300,511+AV$3,1)&lt;&gt;""),1,0),0)</f>
        <v/>
      </c>
      <c r="AW28">
        <f>IF(AW$4=1,IF(OR(INDEX('×入力'!$A$1:$L$1300,511+AW$3,2+AW$2)&lt;&gt;"",INDEX('×入力'!$A$1:$L$1300,510,2+AW$2)&lt;&gt;"",INDEX('×入力'!$A$1:$L$1300,511+AW$3,1)&lt;&gt;""),1,0),0)</f>
        <v/>
      </c>
      <c r="AX28">
        <f>IF(AX$4=1,IF(OR(INDEX('×入力'!$A$1:$L$1300,511+AX$3,2+AX$2)&lt;&gt;"",INDEX('×入力'!$A$1:$L$1300,510,2+AX$2)&lt;&gt;"",INDEX('×入力'!$A$1:$L$1300,511+AX$3,1)&lt;&gt;""),1,0),0)</f>
        <v/>
      </c>
      <c r="AY28">
        <f>IF(AY$4=1,IF(OR(INDEX('×入力'!$A$1:$L$1300,511+AY$3,2+AY$2)&lt;&gt;"",INDEX('×入力'!$A$1:$L$1300,510,2+AY$2)&lt;&gt;"",INDEX('×入力'!$A$1:$L$1300,511+AY$3,1)&lt;&gt;""),1,0),0)</f>
        <v/>
      </c>
      <c r="AZ28">
        <f>IF(AZ$4=1,IF(OR(INDEX('×入力'!$A$1:$L$1300,511+AZ$3,2+AZ$2)&lt;&gt;"",INDEX('×入力'!$A$1:$L$1300,510,2+AZ$2)&lt;&gt;"",INDEX('×入力'!$A$1:$L$1300,511+AZ$3,1)&lt;&gt;""),1,0),0)</f>
        <v/>
      </c>
      <c r="BA28">
        <f>IF(BA$4=1,IF(OR(INDEX('×入力'!$A$1:$L$1300,511+BA$3,2+BA$2)&lt;&gt;"",INDEX('×入力'!$A$1:$L$1300,510,2+BA$2)&lt;&gt;"",INDEX('×入力'!$A$1:$L$1300,511+BA$3,1)&lt;&gt;""),1,0),0)</f>
        <v/>
      </c>
      <c r="BB28">
        <f>IF(BB$4=1,IF(OR(INDEX('×入力'!$A$1:$L$1300,511+BB$3,2+BB$2)&lt;&gt;"",INDEX('×入力'!$A$1:$L$1300,510,2+BB$2)&lt;&gt;"",INDEX('×入力'!$A$1:$L$1300,511+BB$3,1)&lt;&gt;""),1,0),0)</f>
        <v/>
      </c>
      <c r="BC28">
        <f>IF(BC$4=1,IF(OR(INDEX('×入力'!$A$1:$L$1300,511+BC$3,2+BC$2)&lt;&gt;"",INDEX('×入力'!$A$1:$L$1300,510,2+BC$2)&lt;&gt;"",INDEX('×入力'!$A$1:$L$1300,511+BC$3,1)&lt;&gt;""),1,0),0)</f>
        <v/>
      </c>
      <c r="BD28">
        <f>IF(BD$4=1,IF(OR(INDEX('×入力'!$A$1:$L$1300,511+BD$3,2+BD$2)&lt;&gt;"",INDEX('×入力'!$A$1:$L$1300,510,2+BD$2)&lt;&gt;"",INDEX('×入力'!$A$1:$L$1300,511+BD$3,1)&lt;&gt;""),1,0),0)</f>
        <v/>
      </c>
      <c r="BE28">
        <f>IF(BE$4=1,IF(OR(INDEX('×入力'!$A$1:$L$1300,511+BE$3,2+BE$2)&lt;&gt;"",INDEX('×入力'!$A$1:$L$1300,510,2+BE$2)&lt;&gt;"",INDEX('×入力'!$A$1:$L$1300,511+BE$3,1)&lt;&gt;""),1,0),0)</f>
        <v/>
      </c>
      <c r="BF28">
        <f>IF(BF$4=1,IF(OR(INDEX('×入力'!$A$1:$L$1300,511+BF$3,2+BF$2)&lt;&gt;"",INDEX('×入力'!$A$1:$L$1300,510,2+BF$2)&lt;&gt;"",INDEX('×入力'!$A$1:$L$1300,511+BF$3,1)&lt;&gt;""),1,0),0)</f>
        <v/>
      </c>
      <c r="BG28">
        <f>IF(BG$4=1,IF(OR(INDEX('×入力'!$A$1:$L$1300,511+BG$3,2+BG$2)&lt;&gt;"",INDEX('×入力'!$A$1:$L$1300,510,2+BG$2)&lt;&gt;"",INDEX('×入力'!$A$1:$L$1300,511+BG$3,1)&lt;&gt;""),1,0),0)</f>
        <v/>
      </c>
      <c r="BH28">
        <f>IF(BH$4=1,IF(OR(INDEX('×入力'!$A$1:$L$1300,511+BH$3,2+BH$2)&lt;&gt;"",INDEX('×入力'!$A$1:$L$1300,510,2+BH$2)&lt;&gt;"",INDEX('×入力'!$A$1:$L$1300,511+BH$3,1)&lt;&gt;""),1,0),0)</f>
        <v/>
      </c>
      <c r="BI28">
        <f>IF(BI$4=1,IF(OR(INDEX('×入力'!$A$1:$L$1300,511+BI$3,2+BI$2)&lt;&gt;"",INDEX('×入力'!$A$1:$L$1300,510,2+BI$2)&lt;&gt;"",INDEX('×入力'!$A$1:$L$1300,511+BI$3,1)&lt;&gt;""),1,0),0)</f>
        <v/>
      </c>
      <c r="BJ28">
        <f>IF(BJ$4=1,IF(OR(INDEX('×入力'!$A$1:$L$1300,511+BJ$3,2+BJ$2)&lt;&gt;"",INDEX('×入力'!$A$1:$L$1300,510,2+BJ$2)&lt;&gt;"",INDEX('×入力'!$A$1:$L$1300,511+BJ$3,1)&lt;&gt;""),1,0),0)</f>
        <v/>
      </c>
      <c r="BK28">
        <f>IF(BK$4=1,IF(OR(INDEX('×入力'!$A$1:$L$1300,511+BK$3,2+BK$2)&lt;&gt;"",INDEX('×入力'!$A$1:$L$1300,510,2+BK$2)&lt;&gt;"",INDEX('×入力'!$A$1:$L$1300,511+BK$3,1)&lt;&gt;""),1,0),0)</f>
        <v/>
      </c>
      <c r="BL28">
        <f>IF(BL$4=1,IF(OR(INDEX('×入力'!$A$1:$L$1300,511+BL$3,2+BL$2)&lt;&gt;"",INDEX('×入力'!$A$1:$L$1300,510,2+BL$2)&lt;&gt;"",INDEX('×入力'!$A$1:$L$1300,511+BL$3,1)&lt;&gt;""),1,0),0)</f>
        <v/>
      </c>
      <c r="BM28">
        <f>IF(BM$4=1,IF(OR(INDEX('×入力'!$A$1:$L$1300,511+BM$3,2+BM$2)&lt;&gt;"",INDEX('×入力'!$A$1:$L$1300,510,2+BM$2)&lt;&gt;"",INDEX('×入力'!$A$1:$L$1300,511+BM$3,1)&lt;&gt;""),1,0),0)</f>
        <v/>
      </c>
      <c r="BN28">
        <f>IF(BN$4=1,IF(OR(INDEX('×入力'!$A$1:$L$1300,511+BN$3,2+BN$2)&lt;&gt;"",INDEX('×入力'!$A$1:$L$1300,510,2+BN$2)&lt;&gt;"",INDEX('×入力'!$A$1:$L$1300,511+BN$3,1)&lt;&gt;""),1,0),0)</f>
        <v/>
      </c>
      <c r="BO28">
        <f>IF(BO$4=1,IF(OR(INDEX('×入力'!$A$1:$L$1300,511+BO$3,2+BO$2)&lt;&gt;"",INDEX('×入力'!$A$1:$L$1300,510,2+BO$2)&lt;&gt;"",INDEX('×入力'!$A$1:$L$1300,511+BO$3,1)&lt;&gt;""),1,0),0)</f>
        <v/>
      </c>
      <c r="BP28">
        <f>IF(BP$4=1,IF(OR(INDEX('×入力'!$A$1:$L$1300,511+BP$3,2+BP$2)&lt;&gt;"",INDEX('×入力'!$A$1:$L$1300,510,2+BP$2)&lt;&gt;"",INDEX('×入力'!$A$1:$L$1300,511+BP$3,1)&lt;&gt;""),1,0),0)</f>
        <v/>
      </c>
      <c r="BQ28">
        <f>IF(BQ$4=1,IF(OR(INDEX('×入力'!$A$1:$L$1300,511+BQ$3,2+BQ$2)&lt;&gt;"",INDEX('×入力'!$A$1:$L$1300,510,2+BQ$2)&lt;&gt;"",INDEX('×入力'!$A$1:$L$1300,511+BQ$3,1)&lt;&gt;""),1,0),0)</f>
        <v/>
      </c>
      <c r="BR28">
        <f>IF(BR$4=1,IF(OR(INDEX('×入力'!$A$1:$L$1300,511+BR$3,2+BR$2)&lt;&gt;"",INDEX('×入力'!$A$1:$L$1300,510,2+BR$2)&lt;&gt;"",INDEX('×入力'!$A$1:$L$1300,511+BR$3,1)&lt;&gt;""),1,0),0)</f>
        <v/>
      </c>
      <c r="BS28">
        <f>IF(BS$4=1,IF(OR(INDEX('×入力'!$A$1:$L$1300,511+BS$3,2+BS$2)&lt;&gt;"",INDEX('×入力'!$A$1:$L$1300,510,2+BS$2)&lt;&gt;"",INDEX('×入力'!$A$1:$L$1300,511+BS$3,1)&lt;&gt;""),1,0),0)</f>
        <v/>
      </c>
      <c r="BT28">
        <f>IF(BT$4=1,IF(OR(INDEX('×入力'!$A$1:$L$1300,511+BT$3,2+BT$2)&lt;&gt;"",INDEX('×入力'!$A$1:$L$1300,510,2+BT$2)&lt;&gt;"",INDEX('×入力'!$A$1:$L$1300,511+BT$3,1)&lt;&gt;""),1,0),0)</f>
        <v/>
      </c>
      <c r="BU28">
        <f>IF(BU$4=1,IF(OR(INDEX('×入力'!$A$1:$L$1300,511+BU$3,2+BU$2)&lt;&gt;"",INDEX('×入力'!$A$1:$L$1300,510,2+BU$2)&lt;&gt;"",INDEX('×入力'!$A$1:$L$1300,511+BU$3,1)&lt;&gt;""),1,0),0)</f>
        <v/>
      </c>
      <c r="BV28">
        <f>IF(BV$4=1,IF(OR(INDEX('×入力'!$A$1:$L$1300,511+BV$3,2+BV$2)&lt;&gt;"",INDEX('×入力'!$A$1:$L$1300,510,2+BV$2)&lt;&gt;"",INDEX('×入力'!$A$1:$L$1300,511+BV$3,1)&lt;&gt;""),1,0),0)</f>
        <v/>
      </c>
      <c r="BW28">
        <f>IF(BW$4=1,IF(OR(INDEX('×入力'!$A$1:$L$1300,511+BW$3,2+BW$2)&lt;&gt;"",INDEX('×入力'!$A$1:$L$1300,510,2+BW$2)&lt;&gt;"",INDEX('×入力'!$A$1:$L$1300,511+BW$3,1)&lt;&gt;""),1,0),0)</f>
        <v/>
      </c>
      <c r="BX28">
        <f>IF(BX$4=1,IF(OR(INDEX('×入力'!$A$1:$L$1300,511+BX$3,2+BX$2)&lt;&gt;"",INDEX('×入力'!$A$1:$L$1300,510,2+BX$2)&lt;&gt;"",INDEX('×入力'!$A$1:$L$1300,511+BX$3,1)&lt;&gt;""),1,0),0)</f>
        <v/>
      </c>
      <c r="BY28">
        <f>IF(BY$4=1,IF(OR(INDEX('×入力'!$A$1:$L$1300,511+BY$3,2+BY$2)&lt;&gt;"",INDEX('×入力'!$A$1:$L$1300,510,2+BY$2)&lt;&gt;"",INDEX('×入力'!$A$1:$L$1300,511+BY$3,1)&lt;&gt;""),1,0),0)</f>
        <v/>
      </c>
      <c r="BZ28">
        <f>IF(BZ$4=1,IF(OR(INDEX('×入力'!$A$1:$L$1300,511+BZ$3,2+BZ$2)&lt;&gt;"",INDEX('×入力'!$A$1:$L$1300,510,2+BZ$2)&lt;&gt;"",INDEX('×入力'!$A$1:$L$1300,511+BZ$3,1)&lt;&gt;""),1,0),0)</f>
        <v/>
      </c>
      <c r="CA28">
        <f>IF(CA$4=1,IF(OR(INDEX('×入力'!$A$1:$L$1300,511+CA$3,2+CA$2)&lt;&gt;"",INDEX('×入力'!$A$1:$L$1300,510,2+CA$2)&lt;&gt;"",INDEX('×入力'!$A$1:$L$1300,511+CA$3,1)&lt;&gt;""),1,0),0)</f>
        <v/>
      </c>
      <c r="CB28">
        <f>IF(CB$4=1,IF(OR(INDEX('×入力'!$A$1:$L$1300,511+CB$3,2+CB$2)&lt;&gt;"",INDEX('×入力'!$A$1:$L$1300,510,2+CB$2)&lt;&gt;"",INDEX('×入力'!$A$1:$L$1300,511+CB$3,1)&lt;&gt;""),1,0),0)</f>
        <v/>
      </c>
      <c r="CC28">
        <f>IF(CC$4=1,IF(OR(INDEX('×入力'!$A$1:$L$1300,511+CC$3,2+CC$2)&lt;&gt;"",INDEX('×入力'!$A$1:$L$1300,510,2+CC$2)&lt;&gt;"",INDEX('×入力'!$A$1:$L$1300,511+CC$3,1)&lt;&gt;""),1,0),0)</f>
        <v/>
      </c>
      <c r="CD28">
        <f>IF(CD$4=1,IF(OR(INDEX('×入力'!$A$1:$L$1300,511+CD$3,2+CD$2)&lt;&gt;"",INDEX('×入力'!$A$1:$L$1300,510,2+CD$2)&lt;&gt;"",INDEX('×入力'!$A$1:$L$1300,511+CD$3,1)&lt;&gt;""),1,0),0)</f>
        <v/>
      </c>
      <c r="CE28">
        <f>IF(CE$4=1,IF(OR(INDEX('×入力'!$A$1:$L$1300,511+CE$3,2+CE$2)&lt;&gt;"",INDEX('×入力'!$A$1:$L$1300,510,2+CE$2)&lt;&gt;"",INDEX('×入力'!$A$1:$L$1300,511+CE$3,1)&lt;&gt;""),1,0),0)</f>
        <v/>
      </c>
      <c r="CF28">
        <f>IF(CF$4=1,IF(OR(INDEX('×入力'!$A$1:$L$1300,511+CF$3,2+CF$2)&lt;&gt;"",INDEX('×入力'!$A$1:$L$1300,510,2+CF$2)&lt;&gt;"",INDEX('×入力'!$A$1:$L$1300,511+CF$3,1)&lt;&gt;""),1,0),0)</f>
        <v/>
      </c>
      <c r="CG28">
        <f>IF(CG$4=1,IF(OR(INDEX('×入力'!$A$1:$L$1300,511+CG$3,2+CG$2)&lt;&gt;"",INDEX('×入力'!$A$1:$L$1300,510,2+CG$2)&lt;&gt;"",INDEX('×入力'!$A$1:$L$1300,511+CG$3,1)&lt;&gt;""),1,0),0)</f>
        <v/>
      </c>
      <c r="CH28">
        <f>IF(CH$4=1,IF(OR(INDEX('×入力'!$A$1:$L$1300,511+CH$3,2+CH$2)&lt;&gt;"",INDEX('×入力'!$A$1:$L$1300,510,2+CH$2)&lt;&gt;"",INDEX('×入力'!$A$1:$L$1300,511+CH$3,1)&lt;&gt;""),1,0),0)</f>
        <v/>
      </c>
      <c r="CI28">
        <f>IF(CI$4=1,IF(OR(INDEX('×入力'!$A$1:$L$1300,511+CI$3,2+CI$2)&lt;&gt;"",INDEX('×入力'!$A$1:$L$1300,510,2+CI$2)&lt;&gt;"",INDEX('×入力'!$A$1:$L$1300,511+CI$3,1)&lt;&gt;""),1,0),0)</f>
        <v/>
      </c>
      <c r="CJ28">
        <f>IF(CJ$4=1,IF(OR(INDEX('×入力'!$A$1:$L$1300,511+CJ$3,2+CJ$2)&lt;&gt;"",INDEX('×入力'!$A$1:$L$1300,510,2+CJ$2)&lt;&gt;"",INDEX('×入力'!$A$1:$L$1300,511+CJ$3,1)&lt;&gt;""),1,0),0)</f>
        <v/>
      </c>
      <c r="CK28">
        <f>IF(CK$4=1,IF(OR(INDEX('×入力'!$A$1:$L$1300,511+CK$3,2+CK$2)&lt;&gt;"",INDEX('×入力'!$A$1:$L$1300,510,2+CK$2)&lt;&gt;"",INDEX('×入力'!$A$1:$L$1300,511+CK$3,1)&lt;&gt;""),1,0),0)</f>
        <v/>
      </c>
      <c r="CL28">
        <f>IF(CL$4=1,IF(OR(INDEX('×入力'!$A$1:$L$1300,511+CL$3,2+CL$2)&lt;&gt;"",INDEX('×入力'!$A$1:$L$1300,510,2+CL$2)&lt;&gt;"",INDEX('×入力'!$A$1:$L$1300,511+CL$3,1)&lt;&gt;""),1,0),0)</f>
        <v/>
      </c>
      <c r="CM28">
        <f>IF(CM$4=1,IF(OR(INDEX('×入力'!$A$1:$L$1300,511+CM$3,2+CM$2)&lt;&gt;"",INDEX('×入力'!$A$1:$L$1300,510,2+CM$2)&lt;&gt;"",INDEX('×入力'!$A$1:$L$1300,511+CM$3,1)&lt;&gt;""),1,0),0)</f>
        <v/>
      </c>
      <c r="CN28">
        <f>IF(CN$4=1,IF(OR(INDEX('×入力'!$A$1:$L$1300,511+CN$3,2+CN$2)&lt;&gt;"",INDEX('×入力'!$A$1:$L$1300,510,2+CN$2)&lt;&gt;"",INDEX('×入力'!$A$1:$L$1300,511+CN$3,1)&lt;&gt;""),1,0),0)</f>
        <v/>
      </c>
      <c r="CO28">
        <f>IF(CO$4=1,IF(OR(INDEX('×入力'!$A$1:$L$1300,511+CO$3,2+CO$2)&lt;&gt;"",INDEX('×入力'!$A$1:$L$1300,510,2+CO$2)&lt;&gt;"",INDEX('×入力'!$A$1:$L$1300,511+CO$3,1)&lt;&gt;""),1,0),0)</f>
        <v/>
      </c>
      <c r="CP28">
        <f>IF(CP$4=1,IF(OR(INDEX('×入力'!$A$1:$L$1300,511+CP$3,2+CP$2)&lt;&gt;"",INDEX('×入力'!$A$1:$L$1300,510,2+CP$2)&lt;&gt;"",INDEX('×入力'!$A$1:$L$1300,511+CP$3,1)&lt;&gt;""),1,0),0)</f>
        <v/>
      </c>
      <c r="CQ28">
        <f>IF(CQ$4=1,IF(OR(INDEX('×入力'!$A$1:$L$1300,511+CQ$3,2+CQ$2)&lt;&gt;"",INDEX('×入力'!$A$1:$L$1300,510,2+CQ$2)&lt;&gt;"",INDEX('×入力'!$A$1:$L$1300,511+CQ$3,1)&lt;&gt;""),1,0),0)</f>
        <v/>
      </c>
      <c r="CR28">
        <f>IF(CR$4=1,IF(OR(INDEX('×入力'!$A$1:$L$1300,511+CR$3,2+CR$2)&lt;&gt;"",INDEX('×入力'!$A$1:$L$1300,510,2+CR$2)&lt;&gt;"",INDEX('×入力'!$A$1:$L$1300,511+CR$3,1)&lt;&gt;""),1,0),0)</f>
        <v/>
      </c>
      <c r="CS28">
        <f>IF(CS$4=1,IF(OR(INDEX('×入力'!$A$1:$L$1300,511+CS$3,2+CS$2)&lt;&gt;"",INDEX('×入力'!$A$1:$L$1300,510,2+CS$2)&lt;&gt;"",INDEX('×入力'!$A$1:$L$1300,511+CS$3,1)&lt;&gt;""),1,0),0)</f>
        <v/>
      </c>
      <c r="CT28">
        <f>IF(CT$4=1,IF(OR(INDEX('×入力'!$A$1:$L$1300,511+CT$3,2+CT$2)&lt;&gt;"",INDEX('×入力'!$A$1:$L$1300,510,2+CT$2)&lt;&gt;"",INDEX('×入力'!$A$1:$L$1300,511+CT$3,1)&lt;&gt;""),1,0),0)</f>
        <v/>
      </c>
      <c r="CU28">
        <f>IF(CU$4=1,IF(OR(INDEX('×入力'!$A$1:$L$1300,511+CU$3,2+CU$2)&lt;&gt;"",INDEX('×入力'!$A$1:$L$1300,510,2+CU$2)&lt;&gt;"",INDEX('×入力'!$A$1:$L$1300,511+CU$3,1)&lt;&gt;""),1,0),0)</f>
        <v/>
      </c>
      <c r="CV28">
        <f>IF(CV$4=1,IF(OR(INDEX('×入力'!$A$1:$L$1300,511+CV$3,2+CV$2)&lt;&gt;"",INDEX('×入力'!$A$1:$L$1300,510,2+CV$2)&lt;&gt;"",INDEX('×入力'!$A$1:$L$1300,511+CV$3,1)&lt;&gt;""),1,0),0)</f>
        <v/>
      </c>
      <c r="CW28">
        <f>IF(CW$4=1,IF(OR(INDEX('×入力'!$A$1:$L$1300,511+CW$3,2+CW$2)&lt;&gt;"",INDEX('×入力'!$A$1:$L$1300,510,2+CW$2)&lt;&gt;"",INDEX('×入力'!$A$1:$L$1300,511+CW$3,1)&lt;&gt;""),1,0),0)</f>
        <v/>
      </c>
      <c r="CX28">
        <f>IF(CX$4=1,IF(OR(INDEX('×入力'!$A$1:$L$1300,511+CX$3,2+CX$2)&lt;&gt;"",INDEX('×入力'!$A$1:$L$1300,510,2+CX$2)&lt;&gt;"",INDEX('×入力'!$A$1:$L$1300,511+CX$3,1)&lt;&gt;""),1,0),0)</f>
        <v/>
      </c>
      <c r="CY28">
        <f>IF(CY$4=1,IF(OR(INDEX('×入力'!$A$1:$L$1300,511+CY$3,2+CY$2)&lt;&gt;"",INDEX('×入力'!$A$1:$L$1300,510,2+CY$2)&lt;&gt;"",INDEX('×入力'!$A$1:$L$1300,511+CY$3,1)&lt;&gt;""),1,0),0)</f>
        <v/>
      </c>
      <c r="CZ28">
        <f>IF(CZ$4=1,IF(OR(INDEX('×入力'!$A$1:$L$1300,511+CZ$3,2+CZ$2)&lt;&gt;"",INDEX('×入力'!$A$1:$L$1300,510,2+CZ$2)&lt;&gt;"",INDEX('×入力'!$A$1:$L$1300,511+CZ$3,1)&lt;&gt;""),1,0),0)</f>
        <v/>
      </c>
      <c r="DA28">
        <f>IF(DA$4=1,IF(OR(INDEX('×入力'!$A$1:$L$1300,511+DA$3,2+DA$2)&lt;&gt;"",INDEX('×入力'!$A$1:$L$1300,510,2+DA$2)&lt;&gt;"",INDEX('×入力'!$A$1:$L$1300,511+DA$3,1)&lt;&gt;""),1,0),0)</f>
        <v/>
      </c>
      <c r="DB28">
        <f>IF(DB$4=1,IF(OR(INDEX('×入力'!$A$1:$L$1300,511+DB$3,2+DB$2)&lt;&gt;"",INDEX('×入力'!$A$1:$L$1300,510,2+DB$2)&lt;&gt;"",INDEX('×入力'!$A$1:$L$1300,511+DB$3,1)&lt;&gt;""),1,0),0)</f>
        <v/>
      </c>
      <c r="DC28">
        <f>IF(DC$4=1,IF(OR(INDEX('×入力'!$A$1:$L$1300,511+DC$3,2+DC$2)&lt;&gt;"",INDEX('×入力'!$A$1:$L$1300,510,2+DC$2)&lt;&gt;"",INDEX('×入力'!$A$1:$L$1300,511+DC$3,1)&lt;&gt;""),1,0),0)</f>
        <v/>
      </c>
      <c r="DD28">
        <f>IF(DD$4=1,IF(OR(INDEX('×入力'!$A$1:$L$1300,511+DD$3,2+DD$2)&lt;&gt;"",INDEX('×入力'!$A$1:$L$1300,510,2+DD$2)&lt;&gt;"",INDEX('×入力'!$A$1:$L$1300,511+DD$3,1)&lt;&gt;""),1,0),0)</f>
        <v/>
      </c>
      <c r="DE28">
        <f>IF(DE$4=1,IF(OR(INDEX('×入力'!$A$1:$L$1300,511+DE$3,2+DE$2)&lt;&gt;"",INDEX('×入力'!$A$1:$L$1300,510,2+DE$2)&lt;&gt;"",INDEX('×入力'!$A$1:$L$1300,511+DE$3,1)&lt;&gt;""),1,0),0)</f>
        <v/>
      </c>
      <c r="DF28">
        <f>IF(DF$4=1,IF(OR(INDEX('×入力'!$A$1:$L$1300,511+DF$3,2+DF$2)&lt;&gt;"",INDEX('×入力'!$A$1:$L$1300,510,2+DF$2)&lt;&gt;"",INDEX('×入力'!$A$1:$L$1300,511+DF$3,1)&lt;&gt;""),1,0),0)</f>
        <v/>
      </c>
      <c r="DG28">
        <f>IF(DG$4=1,IF(OR(INDEX('×入力'!$A$1:$L$1300,511+DG$3,2+DG$2)&lt;&gt;"",INDEX('×入力'!$A$1:$L$1300,510,2+DG$2)&lt;&gt;"",INDEX('×入力'!$A$1:$L$1300,511+DG$3,1)&lt;&gt;""),1,0),0)</f>
        <v/>
      </c>
      <c r="DH28">
        <f>IF(DH$4=1,IF(OR(INDEX('×入力'!$A$1:$L$1300,511+DH$3,2+DH$2)&lt;&gt;"",INDEX('×入力'!$A$1:$L$1300,510,2+DH$2)&lt;&gt;"",INDEX('×入力'!$A$1:$L$1300,511+DH$3,1)&lt;&gt;""),1,0),0)</f>
        <v/>
      </c>
      <c r="DI28">
        <f>IF(DI$4=1,IF(OR(INDEX('×入力'!$A$1:$L$1300,511+DI$3,2+DI$2)&lt;&gt;"",INDEX('×入力'!$A$1:$L$1300,510,2+DI$2)&lt;&gt;"",INDEX('×入力'!$A$1:$L$1300,511+DI$3,1)&lt;&gt;""),1,0),0)</f>
        <v/>
      </c>
      <c r="DJ28">
        <f>IF(DJ$4=1,IF(OR(INDEX('×入力'!$A$1:$L$1300,511+DJ$3,2+DJ$2)&lt;&gt;"",INDEX('×入力'!$A$1:$L$1300,510,2+DJ$2)&lt;&gt;"",INDEX('×入力'!$A$1:$L$1300,511+DJ$3,1)&lt;&gt;""),1,0),0)</f>
        <v/>
      </c>
      <c r="DK28">
        <f>IF(DK$4=1,IF(OR(INDEX('×入力'!$A$1:$L$1300,511+DK$3,2+DK$2)&lt;&gt;"",INDEX('×入力'!$A$1:$L$1300,510,2+DK$2)&lt;&gt;"",INDEX('×入力'!$A$1:$L$1300,511+DK$3,1)&lt;&gt;""),1,0),0)</f>
        <v/>
      </c>
      <c r="DL28">
        <f>IF(DL$4=1,IF(OR(INDEX('×入力'!$A$1:$L$1300,511+DL$3,2+DL$2)&lt;&gt;"",INDEX('×入力'!$A$1:$L$1300,510,2+DL$2)&lt;&gt;"",INDEX('×入力'!$A$1:$L$1300,511+DL$3,1)&lt;&gt;""),1,0),0)</f>
        <v/>
      </c>
      <c r="DM28">
        <f>IF(DM$4=1,IF(OR(INDEX('×入力'!$A$1:$L$1300,511+DM$3,2+DM$2)&lt;&gt;"",INDEX('×入力'!$A$1:$L$1300,510,2+DM$2)&lt;&gt;"",INDEX('×入力'!$A$1:$L$1300,511+DM$3,1)&lt;&gt;""),1,0),0)</f>
        <v/>
      </c>
      <c r="DN28">
        <f>IF(DN$4=1,IF(OR(INDEX('×入力'!$A$1:$L$1300,511+DN$3,2+DN$2)&lt;&gt;"",INDEX('×入力'!$A$1:$L$1300,510,2+DN$2)&lt;&gt;"",INDEX('×入力'!$A$1:$L$1300,511+DN$3,1)&lt;&gt;""),1,0),0)</f>
        <v/>
      </c>
      <c r="DO28">
        <f>IF(DO$4=1,IF(OR(INDEX('×入力'!$A$1:$L$1300,511+DO$3,2+DO$2)&lt;&gt;"",INDEX('×入力'!$A$1:$L$1300,510,2+DO$2)&lt;&gt;"",INDEX('×入力'!$A$1:$L$1300,511+DO$3,1)&lt;&gt;""),1,0),0)</f>
        <v/>
      </c>
      <c r="DP28">
        <f>IF(DP$4=1,IF(OR(INDEX('×入力'!$A$1:$L$1300,511+DP$3,2+DP$2)&lt;&gt;"",INDEX('×入力'!$A$1:$L$1300,510,2+DP$2)&lt;&gt;"",INDEX('×入力'!$A$1:$L$1300,511+DP$3,1)&lt;&gt;""),1,0),0)</f>
        <v/>
      </c>
      <c r="DQ28">
        <f>IF(DQ$4=1,IF(OR(INDEX('×入力'!$A$1:$L$1300,511+DQ$3,2+DQ$2)&lt;&gt;"",INDEX('×入力'!$A$1:$L$1300,510,2+DQ$2)&lt;&gt;"",INDEX('×入力'!$A$1:$L$1300,511+DQ$3,1)&lt;&gt;""),1,0),0)</f>
        <v/>
      </c>
      <c r="DR28">
        <f>IF(DR$4=1,IF(OR(INDEX('×入力'!$A$1:$L$1300,511+DR$3,2+DR$2)&lt;&gt;"",INDEX('×入力'!$A$1:$L$1300,510,2+DR$2)&lt;&gt;"",INDEX('×入力'!$A$1:$L$1300,511+DR$3,1)&lt;&gt;""),1,0),0)</f>
        <v/>
      </c>
      <c r="DS28">
        <f>IF(DS$4=1,IF(OR(INDEX('×入力'!$A$1:$L$1300,511+DS$3,2+DS$2)&lt;&gt;"",INDEX('×入力'!$A$1:$L$1300,510,2+DS$2)&lt;&gt;"",INDEX('×入力'!$A$1:$L$1300,511+DS$3,1)&lt;&gt;""),1,0),0)</f>
        <v/>
      </c>
      <c r="DT28">
        <f>IF(DT$4=1,IF(OR(INDEX('×入力'!$A$1:$L$1300,511+DT$3,2+DT$2)&lt;&gt;"",INDEX('×入力'!$A$1:$L$1300,510,2+DT$2)&lt;&gt;"",INDEX('×入力'!$A$1:$L$1300,511+DT$3,1)&lt;&gt;""),1,0),0)</f>
        <v/>
      </c>
      <c r="DU28">
        <f>IF(DU$4=1,IF(OR(INDEX('×入力'!$A$1:$L$1300,511+DU$3,2+DU$2)&lt;&gt;"",INDEX('×入力'!$A$1:$L$1300,510,2+DU$2)&lt;&gt;"",INDEX('×入力'!$A$1:$L$1300,511+DU$3,1)&lt;&gt;""),1,0),0)</f>
        <v/>
      </c>
      <c r="DV28">
        <f>IF(DV$4=1,IF(OR(INDEX('×入力'!$A$1:$L$1300,511+DV$3,2+DV$2)&lt;&gt;"",INDEX('×入力'!$A$1:$L$1300,510,2+DV$2)&lt;&gt;"",INDEX('×入力'!$A$1:$L$1300,511+DV$3,1)&lt;&gt;""),1,0),0)</f>
        <v/>
      </c>
      <c r="DW28">
        <f>IF(DW$4=1,IF(OR(INDEX('×入力'!$A$1:$L$1300,511+DW$3,2+DW$2)&lt;&gt;"",INDEX('×入力'!$A$1:$L$1300,510,2+DW$2)&lt;&gt;"",INDEX('×入力'!$A$1:$L$1300,511+DW$3,1)&lt;&gt;""),1,0),0)</f>
        <v/>
      </c>
      <c r="DX28">
        <f>IF(DX$4=1,IF(OR(INDEX('×入力'!$A$1:$L$1300,511+DX$3,2+DX$2)&lt;&gt;"",INDEX('×入力'!$A$1:$L$1300,510,2+DX$2)&lt;&gt;"",INDEX('×入力'!$A$1:$L$1300,511+DX$3,1)&lt;&gt;""),1,0),0)</f>
        <v/>
      </c>
      <c r="DY28">
        <f>IF(DY$4=1,IF(OR(INDEX('×入力'!$A$1:$L$1300,511+DY$3,2+DY$2)&lt;&gt;"",INDEX('×入力'!$A$1:$L$1300,510,2+DY$2)&lt;&gt;"",INDEX('×入力'!$A$1:$L$1300,511+DY$3,1)&lt;&gt;""),1,0),0)</f>
        <v/>
      </c>
      <c r="DZ28">
        <f>IF(DZ$4=1,IF(OR(INDEX('×入力'!$A$1:$L$1300,511+DZ$3,2+DZ$2)&lt;&gt;"",INDEX('×入力'!$A$1:$L$1300,510,2+DZ$2)&lt;&gt;"",INDEX('×入力'!$A$1:$L$1300,511+DZ$3,1)&lt;&gt;""),1,0),0)</f>
        <v/>
      </c>
      <c r="EA28">
        <f>IF(EA$4=1,IF(OR(INDEX('×入力'!$A$1:$L$1300,511+EA$3,2+EA$2)&lt;&gt;"",INDEX('×入力'!$A$1:$L$1300,510,2+EA$2)&lt;&gt;"",INDEX('×入力'!$A$1:$L$1300,511+EA$3,1)&lt;&gt;""),1,0),0)</f>
        <v/>
      </c>
      <c r="EB28">
        <f>IF(EB$4=1,IF(OR(INDEX('×入力'!$A$1:$L$1300,511+EB$3,2+EB$2)&lt;&gt;"",INDEX('×入力'!$A$1:$L$1300,510,2+EB$2)&lt;&gt;"",INDEX('×入力'!$A$1:$L$1300,511+EB$3,1)&lt;&gt;""),1,0),0)</f>
        <v/>
      </c>
      <c r="EC28">
        <f>IF(EC$4=1,IF(OR(INDEX('×入力'!$A$1:$L$1300,511+EC$3,2+EC$2)&lt;&gt;"",INDEX('×入力'!$A$1:$L$1300,510,2+EC$2)&lt;&gt;"",INDEX('×入力'!$A$1:$L$1300,511+EC$3,1)&lt;&gt;""),1,0),0)</f>
        <v/>
      </c>
      <c r="ED28">
        <f>IF(ED$4=1,IF(OR(INDEX('×入力'!$A$1:$L$1300,511+ED$3,2+ED$2)&lt;&gt;"",INDEX('×入力'!$A$1:$L$1300,510,2+ED$2)&lt;&gt;"",INDEX('×入力'!$A$1:$L$1300,511+ED$3,1)&lt;&gt;""),1,0),0)</f>
        <v/>
      </c>
      <c r="EE28">
        <f>IF(EE$4=1,IF(OR(INDEX('×入力'!$A$1:$L$1300,511+EE$3,2+EE$2)&lt;&gt;"",INDEX('×入力'!$A$1:$L$1300,510,2+EE$2)&lt;&gt;"",INDEX('×入力'!$A$1:$L$1300,511+EE$3,1)&lt;&gt;""),1,0),0)</f>
        <v/>
      </c>
      <c r="EF28">
        <f>IF(EF$4=1,IF(OR(INDEX('×入力'!$A$1:$L$1300,511+EF$3,2+EF$2)&lt;&gt;"",INDEX('×入力'!$A$1:$L$1300,510,2+EF$2)&lt;&gt;"",INDEX('×入力'!$A$1:$L$1300,511+EF$3,1)&lt;&gt;""),1,0),0)</f>
        <v/>
      </c>
      <c r="EG28">
        <f>IF(EG$4=1,IF(OR(INDEX('×入力'!$A$1:$L$1300,511+EG$3,2+EG$2)&lt;&gt;"",INDEX('×入力'!$A$1:$L$1300,510,2+EG$2)&lt;&gt;"",INDEX('×入力'!$A$1:$L$1300,511+EG$3,1)&lt;&gt;""),1,0),0)</f>
        <v/>
      </c>
      <c r="EH28">
        <f>IF(EH$4=1,IF(OR(INDEX('×入力'!$A$1:$L$1300,511+EH$3,2+EH$2)&lt;&gt;"",INDEX('×入力'!$A$1:$L$1300,510,2+EH$2)&lt;&gt;"",INDEX('×入力'!$A$1:$L$1300,511+EH$3,1)&lt;&gt;""),1,0),0)</f>
        <v/>
      </c>
      <c r="EI28">
        <f>IF(EI$4=1,IF(OR(INDEX('×入力'!$A$1:$L$1300,511+EI$3,2+EI$2)&lt;&gt;"",INDEX('×入力'!$A$1:$L$1300,510,2+EI$2)&lt;&gt;"",INDEX('×入力'!$A$1:$L$1300,511+EI$3,1)&lt;&gt;""),1,0),0)</f>
        <v/>
      </c>
      <c r="EJ28">
        <f>IF(EJ$4=1,IF(OR(INDEX('×入力'!$A$1:$L$1300,511+EJ$3,2+EJ$2)&lt;&gt;"",INDEX('×入力'!$A$1:$L$1300,510,2+EJ$2)&lt;&gt;"",INDEX('×入力'!$A$1:$L$1300,511+EJ$3,1)&lt;&gt;""),1,0),0)</f>
        <v/>
      </c>
      <c r="EK28">
        <f>IF(EK$4=1,IF(OR(INDEX('×入力'!$A$1:$L$1300,511+EK$3,2+EK$2)&lt;&gt;"",INDEX('×入力'!$A$1:$L$1300,510,2+EK$2)&lt;&gt;"",INDEX('×入力'!$A$1:$L$1300,511+EK$3,1)&lt;&gt;""),1,0),0)</f>
        <v/>
      </c>
      <c r="EL28">
        <f>IF(EL$4=1,IF(OR(INDEX('×入力'!$A$1:$L$1300,511+EL$3,2+EL$2)&lt;&gt;"",INDEX('×入力'!$A$1:$L$1300,510,2+EL$2)&lt;&gt;"",INDEX('×入力'!$A$1:$L$1300,511+EL$3,1)&lt;&gt;""),1,0),0)</f>
        <v/>
      </c>
      <c r="EM28">
        <f>IF(EM$4=1,IF(OR(INDEX('×入力'!$A$1:$L$1300,511+EM$3,2+EM$2)&lt;&gt;"",INDEX('×入力'!$A$1:$L$1300,510,2+EM$2)&lt;&gt;"",INDEX('×入力'!$A$1:$L$1300,511+EM$3,1)&lt;&gt;""),1,0),0)</f>
        <v/>
      </c>
      <c r="EN28">
        <f>IF(EN$4=1,IF(OR(INDEX('×入力'!$A$1:$L$1300,511+EN$3,2+EN$2)&lt;&gt;"",INDEX('×入力'!$A$1:$L$1300,510,2+EN$2)&lt;&gt;"",INDEX('×入力'!$A$1:$L$1300,511+EN$3,1)&lt;&gt;""),1,0),0)</f>
        <v/>
      </c>
      <c r="EO28">
        <f>IF(EO$4=1,IF(OR(INDEX('×入力'!$A$1:$L$1300,511+EO$3,2+EO$2)&lt;&gt;"",INDEX('×入力'!$A$1:$L$1300,510,2+EO$2)&lt;&gt;"",INDEX('×入力'!$A$1:$L$1300,511+EO$3,1)&lt;&gt;""),1,0),0)</f>
        <v/>
      </c>
      <c r="EP28">
        <f>IF(EP$4=1,IF(OR(INDEX('×入力'!$A$1:$L$1300,511+EP$3,2+EP$2)&lt;&gt;"",INDEX('×入力'!$A$1:$L$1300,510,2+EP$2)&lt;&gt;"",INDEX('×入力'!$A$1:$L$1300,511+EP$3,1)&lt;&gt;""),1,0),0)</f>
        <v/>
      </c>
      <c r="EQ28">
        <f>IF(EQ$4=1,IF(OR(INDEX('×入力'!$A$1:$L$1300,511+EQ$3,2+EQ$2)&lt;&gt;"",INDEX('×入力'!$A$1:$L$1300,510,2+EQ$2)&lt;&gt;"",INDEX('×入力'!$A$1:$L$1300,511+EQ$3,1)&lt;&gt;""),1,0),0)</f>
        <v/>
      </c>
      <c r="HA28">
        <f>MAX(0,IT28)</f>
        <v/>
      </c>
      <c r="HB28">
        <f>IF(HA28=0,0,INDEX($D$2:$EQ$2,HA28))</f>
        <v/>
      </c>
      <c r="HC28">
        <f>IF(HA28=0,0,INDEX($D$3:$EQ$3,HA28))</f>
        <v/>
      </c>
      <c r="HD28">
        <f>MAX(0,IY28)</f>
        <v/>
      </c>
      <c r="HE28">
        <f>IF(HD28=0,0,INDEX($D$2:$EQ$2,HD28))</f>
        <v/>
      </c>
      <c r="HF28">
        <f>IF(HD28=0,0,INDEX($D$3:$EQ$3,HD28))</f>
        <v/>
      </c>
      <c r="HG28">
        <f>MAX(0,IZ28)</f>
        <v/>
      </c>
      <c r="HH28">
        <f>IF(HG28=0,0,INDEX($D$2:$EQ$2,HG28))</f>
        <v/>
      </c>
      <c r="HI28">
        <f>IF(HG28=0,0,INDEX($D$3:$EQ$3,HG28))</f>
        <v/>
      </c>
      <c r="HJ28">
        <f>IF(AND(HA28&gt;0,HC28&gt;1,OR(HC28-1&lt;&gt;$A$3,$A$4=0)),HA28-1,-1)</f>
        <v/>
      </c>
      <c r="HK28">
        <f>IF(AND(HA28&gt;0,HC28&lt;24,OR(HC28&lt;&gt;$A$3,$A$4=0)),HA28+1,-1)</f>
        <v/>
      </c>
      <c r="HL28">
        <f>IF(AND(HD28&gt;0,HF28&gt;1,OR(HF28-1&lt;&gt;$A$3,$A$4=0)),HD28-1,-1)</f>
        <v/>
      </c>
      <c r="HM28">
        <f>IF(AND(HD28&gt;0,HF28&lt;24,OR(HF28&lt;&gt;$A$3,$A$4=0)),HD28+1,-1)</f>
        <v/>
      </c>
      <c r="HN28">
        <f>IF(AND(HG28&gt;0,HI28&gt;1,OR(HI28-1&lt;&gt;$A$3,$A$4=0)),HG28-1,-1)</f>
        <v/>
      </c>
      <c r="HO28">
        <f>IF(AND(HG28&gt;0,HI28&lt;24,OR(HI28&lt;&gt;$A$3,$A$4=0)),HG28+1,-1)</f>
        <v/>
      </c>
      <c r="IK28">
        <f>IFERROR(INDEX('calcB'!$C$3:$C$47,MATCH(A28,'calcB'!$B$3:$B$47,0)),0)</f>
        <v/>
      </c>
      <c r="IL28">
        <f>IF(AND(C28=1,IK28=0,calcA!$A$6=1),1,0)</f>
        <v/>
      </c>
      <c r="IM28">
        <f>SUMPRODUCT(D78:EQ78*(1-$D$7:$EQ$7))</f>
        <v/>
      </c>
      <c r="IN28">
        <f>SUM(D28:EQ28)</f>
        <v/>
      </c>
      <c r="IO28">
        <f>IF(B28="",0,IF(COUNTIF('調整・決定'!$C$6:$H$29,B28)=1,SUMPRODUCT(('調整・決定'!$C$6:$H$29=B28)*((COLUMN('調整・決定'!$C$6:$H$29)-3)*24+ROW('調整・決定'!$C$6:$H$29)-5)),0))</f>
        <v/>
      </c>
      <c r="IP28">
        <f>IFERROR(MATCH('名簿'!C23,{"早い時刻","遅い時刻","早い日","遅い日"},0),0)</f>
        <v/>
      </c>
      <c r="IQ28">
        <f>IF('名簿'!D23="必ず空けたい",2,IF('名簿'!D23="出来れば空けたい",1,0))</f>
        <v/>
      </c>
      <c r="IR28">
        <f>IFERROR(INDEX('calcC'!$C$3:$C$47,MATCH(A28,'calcC'!$B$3:$B$47,0)),0)</f>
        <v/>
      </c>
      <c r="IS28">
        <f>IF(AND(C28=1,IR28=0,calcA!$A$6=1),1,0)</f>
        <v/>
      </c>
      <c r="IT28">
        <f>IF(OR('名簿'!G23="",'名簿'!H23=""),0,IFERROR((MATCH('名簿'!G23,'設定'!$E$11:$E$16,0)-1)*24+MATCH('名簿'!H23,'設定'!$I$11:$I$34,0),-1))</f>
        <v/>
      </c>
      <c r="IV28">
        <f>IF(OR(JF28=0,IO28=0),1,IF(OR(IF(IT28&gt;0,AND(INDEX($D$2:$EQ$2,IO28)=INDEX($D$2:$EQ$2,IT28),OR(AND(IO28=IT28+1,OR(INDEX($D$3:$EQ$3,IT28)&lt;&gt;$A$3,$A$4=0)),AND(IO28=IT28-1,OR(INDEX($D$3:$EQ$3,IO28)&lt;&gt;$A$3,$A$4=0)))),FALSE),IF(IY28&gt;0,AND(INDEX($D$2:$EQ$2,IO28)=INDEX($D$2:$EQ$2,IY28),OR(AND(IO28=IY28+1,OR(INDEX($D$3:$EQ$3,IY28)&lt;&gt;$A$3,$A$4=0)),AND(IO28=IY28-1,OR(INDEX($D$3:$EQ$3,IO28)&lt;&gt;$A$3,$A$4=0)))),FALSE),IF(IZ28&gt;0,AND(INDEX($D$2:$EQ$2,IO28)=INDEX($D$2:$EQ$2,IZ28),OR(AND(IO28=IZ28+1,OR(INDEX($D$3:$EQ$3,IZ28)&lt;&gt;$A$3,$A$4=0)),AND(IO28=IZ28-1,OR(INDEX($D$3:$EQ$3,IO28)&lt;&gt;$A$3,$A$4=0)))),FALSE)),1,0))</f>
        <v/>
      </c>
      <c r="IW28">
        <f>IF(AND('名簿'!E23&lt;&gt;"",JF28=0),1,0)</f>
        <v/>
      </c>
      <c r="IX28">
        <f>IF('名簿'!D23="空けない",1,0)</f>
        <v/>
      </c>
      <c r="IY28">
        <f>IF(OR('名簿'!J23="",'名簿'!K23=""),0,IFERROR((MATCH('名簿'!J23,'設定'!$E$11:$E$16,0)-1)*24+MATCH('名簿'!K23,'設定'!$I$11:$I$34,0),-1))</f>
        <v/>
      </c>
      <c r="IZ28">
        <f>IF(OR('名簿'!M23="",'名簿'!N23=""),0,IFERROR((MATCH('名簿'!M23,'設定'!$E$11:$E$16,0)-1)*24+MATCH('名簿'!N23,'設定'!$I$11:$I$34,0),-1))</f>
        <v/>
      </c>
      <c r="JC28">
        <f>IF(RIGHT('名簿'!I23,2)="の前",1,IF(RIGHT('名簿'!I23,2)="の後",2,0))</f>
        <v/>
      </c>
      <c r="JD28">
        <f>IF(RIGHT('名簿'!L23,2)="の前",1,IF(RIGHT('名簿'!L23,2)="の後",2,0))</f>
        <v/>
      </c>
      <c r="JE28">
        <f>IF(RIGHT('名簿'!O23,2)="の前",1,IF(RIGHT('名簿'!O23,2)="の後",2,0))</f>
        <v/>
      </c>
      <c r="JF28">
        <f>IF(OR(IT28&gt;0,IY28&gt;0,IZ28&gt;0),1,0)</f>
        <v/>
      </c>
      <c r="JG28">
        <f>IF(OR(IT28&lt;0,IY28&lt;0,IZ28&lt;0),1,0)</f>
        <v/>
      </c>
    </row>
    <row r="29">
      <c r="A29" t="n">
        <v>20</v>
      </c>
      <c r="B29">
        <f>'名簿'!P24</f>
        <v/>
      </c>
      <c r="C29">
        <f>IF(AND(B29&lt;&gt;"",OR('名簿'!Q24="入力済み",'名簿'!Q24="×なし"),IO29=0,COUNTIF('調整・決定'!$C$6:$H$29,B29)=0),1,0)</f>
        <v/>
      </c>
      <c r="D29">
        <f>IF(D$4=1,IF(OR(INDEX('×入力'!$A$1:$L$1300,539+D$3,2+D$2)&lt;&gt;"",INDEX('×入力'!$A$1:$L$1300,538,2+D$2)&lt;&gt;"",INDEX('×入力'!$A$1:$L$1300,539+D$3,1)&lt;&gt;""),1,0),0)</f>
        <v/>
      </c>
      <c r="E29">
        <f>IF(E$4=1,IF(OR(INDEX('×入力'!$A$1:$L$1300,539+E$3,2+E$2)&lt;&gt;"",INDEX('×入力'!$A$1:$L$1300,538,2+E$2)&lt;&gt;"",INDEX('×入力'!$A$1:$L$1300,539+E$3,1)&lt;&gt;""),1,0),0)</f>
        <v/>
      </c>
      <c r="F29">
        <f>IF(F$4=1,IF(OR(INDEX('×入力'!$A$1:$L$1300,539+F$3,2+F$2)&lt;&gt;"",INDEX('×入力'!$A$1:$L$1300,538,2+F$2)&lt;&gt;"",INDEX('×入力'!$A$1:$L$1300,539+F$3,1)&lt;&gt;""),1,0),0)</f>
        <v/>
      </c>
      <c r="G29">
        <f>IF(G$4=1,IF(OR(INDEX('×入力'!$A$1:$L$1300,539+G$3,2+G$2)&lt;&gt;"",INDEX('×入力'!$A$1:$L$1300,538,2+G$2)&lt;&gt;"",INDEX('×入力'!$A$1:$L$1300,539+G$3,1)&lt;&gt;""),1,0),0)</f>
        <v/>
      </c>
      <c r="H29">
        <f>IF(H$4=1,IF(OR(INDEX('×入力'!$A$1:$L$1300,539+H$3,2+H$2)&lt;&gt;"",INDEX('×入力'!$A$1:$L$1300,538,2+H$2)&lt;&gt;"",INDEX('×入力'!$A$1:$L$1300,539+H$3,1)&lt;&gt;""),1,0),0)</f>
        <v/>
      </c>
      <c r="I29">
        <f>IF(I$4=1,IF(OR(INDEX('×入力'!$A$1:$L$1300,539+I$3,2+I$2)&lt;&gt;"",INDEX('×入力'!$A$1:$L$1300,538,2+I$2)&lt;&gt;"",INDEX('×入力'!$A$1:$L$1300,539+I$3,1)&lt;&gt;""),1,0),0)</f>
        <v/>
      </c>
      <c r="J29">
        <f>IF(J$4=1,IF(OR(INDEX('×入力'!$A$1:$L$1300,539+J$3,2+J$2)&lt;&gt;"",INDEX('×入力'!$A$1:$L$1300,538,2+J$2)&lt;&gt;"",INDEX('×入力'!$A$1:$L$1300,539+J$3,1)&lt;&gt;""),1,0),0)</f>
        <v/>
      </c>
      <c r="K29">
        <f>IF(K$4=1,IF(OR(INDEX('×入力'!$A$1:$L$1300,539+K$3,2+K$2)&lt;&gt;"",INDEX('×入力'!$A$1:$L$1300,538,2+K$2)&lt;&gt;"",INDEX('×入力'!$A$1:$L$1300,539+K$3,1)&lt;&gt;""),1,0),0)</f>
        <v/>
      </c>
      <c r="L29">
        <f>IF(L$4=1,IF(OR(INDEX('×入力'!$A$1:$L$1300,539+L$3,2+L$2)&lt;&gt;"",INDEX('×入力'!$A$1:$L$1300,538,2+L$2)&lt;&gt;"",INDEX('×入力'!$A$1:$L$1300,539+L$3,1)&lt;&gt;""),1,0),0)</f>
        <v/>
      </c>
      <c r="M29">
        <f>IF(M$4=1,IF(OR(INDEX('×入力'!$A$1:$L$1300,539+M$3,2+M$2)&lt;&gt;"",INDEX('×入力'!$A$1:$L$1300,538,2+M$2)&lt;&gt;"",INDEX('×入力'!$A$1:$L$1300,539+M$3,1)&lt;&gt;""),1,0),0)</f>
        <v/>
      </c>
      <c r="N29">
        <f>IF(N$4=1,IF(OR(INDEX('×入力'!$A$1:$L$1300,539+N$3,2+N$2)&lt;&gt;"",INDEX('×入力'!$A$1:$L$1300,538,2+N$2)&lt;&gt;"",INDEX('×入力'!$A$1:$L$1300,539+N$3,1)&lt;&gt;""),1,0),0)</f>
        <v/>
      </c>
      <c r="O29">
        <f>IF(O$4=1,IF(OR(INDEX('×入力'!$A$1:$L$1300,539+O$3,2+O$2)&lt;&gt;"",INDEX('×入力'!$A$1:$L$1300,538,2+O$2)&lt;&gt;"",INDEX('×入力'!$A$1:$L$1300,539+O$3,1)&lt;&gt;""),1,0),0)</f>
        <v/>
      </c>
      <c r="P29">
        <f>IF(P$4=1,IF(OR(INDEX('×入力'!$A$1:$L$1300,539+P$3,2+P$2)&lt;&gt;"",INDEX('×入力'!$A$1:$L$1300,538,2+P$2)&lt;&gt;"",INDEX('×入力'!$A$1:$L$1300,539+P$3,1)&lt;&gt;""),1,0),0)</f>
        <v/>
      </c>
      <c r="Q29">
        <f>IF(Q$4=1,IF(OR(INDEX('×入力'!$A$1:$L$1300,539+Q$3,2+Q$2)&lt;&gt;"",INDEX('×入力'!$A$1:$L$1300,538,2+Q$2)&lt;&gt;"",INDEX('×入力'!$A$1:$L$1300,539+Q$3,1)&lt;&gt;""),1,0),0)</f>
        <v/>
      </c>
      <c r="R29">
        <f>IF(R$4=1,IF(OR(INDEX('×入力'!$A$1:$L$1300,539+R$3,2+R$2)&lt;&gt;"",INDEX('×入力'!$A$1:$L$1300,538,2+R$2)&lt;&gt;"",INDEX('×入力'!$A$1:$L$1300,539+R$3,1)&lt;&gt;""),1,0),0)</f>
        <v/>
      </c>
      <c r="S29">
        <f>IF(S$4=1,IF(OR(INDEX('×入力'!$A$1:$L$1300,539+S$3,2+S$2)&lt;&gt;"",INDEX('×入力'!$A$1:$L$1300,538,2+S$2)&lt;&gt;"",INDEX('×入力'!$A$1:$L$1300,539+S$3,1)&lt;&gt;""),1,0),0)</f>
        <v/>
      </c>
      <c r="T29">
        <f>IF(T$4=1,IF(OR(INDEX('×入力'!$A$1:$L$1300,539+T$3,2+T$2)&lt;&gt;"",INDEX('×入力'!$A$1:$L$1300,538,2+T$2)&lt;&gt;"",INDEX('×入力'!$A$1:$L$1300,539+T$3,1)&lt;&gt;""),1,0),0)</f>
        <v/>
      </c>
      <c r="U29">
        <f>IF(U$4=1,IF(OR(INDEX('×入力'!$A$1:$L$1300,539+U$3,2+U$2)&lt;&gt;"",INDEX('×入力'!$A$1:$L$1300,538,2+U$2)&lt;&gt;"",INDEX('×入力'!$A$1:$L$1300,539+U$3,1)&lt;&gt;""),1,0),0)</f>
        <v/>
      </c>
      <c r="V29">
        <f>IF(V$4=1,IF(OR(INDEX('×入力'!$A$1:$L$1300,539+V$3,2+V$2)&lt;&gt;"",INDEX('×入力'!$A$1:$L$1300,538,2+V$2)&lt;&gt;"",INDEX('×入力'!$A$1:$L$1300,539+V$3,1)&lt;&gt;""),1,0),0)</f>
        <v/>
      </c>
      <c r="W29">
        <f>IF(W$4=1,IF(OR(INDEX('×入力'!$A$1:$L$1300,539+W$3,2+W$2)&lt;&gt;"",INDEX('×入力'!$A$1:$L$1300,538,2+W$2)&lt;&gt;"",INDEX('×入力'!$A$1:$L$1300,539+W$3,1)&lt;&gt;""),1,0),0)</f>
        <v/>
      </c>
      <c r="X29">
        <f>IF(X$4=1,IF(OR(INDEX('×入力'!$A$1:$L$1300,539+X$3,2+X$2)&lt;&gt;"",INDEX('×入力'!$A$1:$L$1300,538,2+X$2)&lt;&gt;"",INDEX('×入力'!$A$1:$L$1300,539+X$3,1)&lt;&gt;""),1,0),0)</f>
        <v/>
      </c>
      <c r="Y29">
        <f>IF(Y$4=1,IF(OR(INDEX('×入力'!$A$1:$L$1300,539+Y$3,2+Y$2)&lt;&gt;"",INDEX('×入力'!$A$1:$L$1300,538,2+Y$2)&lt;&gt;"",INDEX('×入力'!$A$1:$L$1300,539+Y$3,1)&lt;&gt;""),1,0),0)</f>
        <v/>
      </c>
      <c r="Z29">
        <f>IF(Z$4=1,IF(OR(INDEX('×入力'!$A$1:$L$1300,539+Z$3,2+Z$2)&lt;&gt;"",INDEX('×入力'!$A$1:$L$1300,538,2+Z$2)&lt;&gt;"",INDEX('×入力'!$A$1:$L$1300,539+Z$3,1)&lt;&gt;""),1,0),0)</f>
        <v/>
      </c>
      <c r="AA29">
        <f>IF(AA$4=1,IF(OR(INDEX('×入力'!$A$1:$L$1300,539+AA$3,2+AA$2)&lt;&gt;"",INDEX('×入力'!$A$1:$L$1300,538,2+AA$2)&lt;&gt;"",INDEX('×入力'!$A$1:$L$1300,539+AA$3,1)&lt;&gt;""),1,0),0)</f>
        <v/>
      </c>
      <c r="AB29">
        <f>IF(AB$4=1,IF(OR(INDEX('×入力'!$A$1:$L$1300,539+AB$3,2+AB$2)&lt;&gt;"",INDEX('×入力'!$A$1:$L$1300,538,2+AB$2)&lt;&gt;"",INDEX('×入力'!$A$1:$L$1300,539+AB$3,1)&lt;&gt;""),1,0),0)</f>
        <v/>
      </c>
      <c r="AC29">
        <f>IF(AC$4=1,IF(OR(INDEX('×入力'!$A$1:$L$1300,539+AC$3,2+AC$2)&lt;&gt;"",INDEX('×入力'!$A$1:$L$1300,538,2+AC$2)&lt;&gt;"",INDEX('×入力'!$A$1:$L$1300,539+AC$3,1)&lt;&gt;""),1,0),0)</f>
        <v/>
      </c>
      <c r="AD29">
        <f>IF(AD$4=1,IF(OR(INDEX('×入力'!$A$1:$L$1300,539+AD$3,2+AD$2)&lt;&gt;"",INDEX('×入力'!$A$1:$L$1300,538,2+AD$2)&lt;&gt;"",INDEX('×入力'!$A$1:$L$1300,539+AD$3,1)&lt;&gt;""),1,0),0)</f>
        <v/>
      </c>
      <c r="AE29">
        <f>IF(AE$4=1,IF(OR(INDEX('×入力'!$A$1:$L$1300,539+AE$3,2+AE$2)&lt;&gt;"",INDEX('×入力'!$A$1:$L$1300,538,2+AE$2)&lt;&gt;"",INDEX('×入力'!$A$1:$L$1300,539+AE$3,1)&lt;&gt;""),1,0),0)</f>
        <v/>
      </c>
      <c r="AF29">
        <f>IF(AF$4=1,IF(OR(INDEX('×入力'!$A$1:$L$1300,539+AF$3,2+AF$2)&lt;&gt;"",INDEX('×入力'!$A$1:$L$1300,538,2+AF$2)&lt;&gt;"",INDEX('×入力'!$A$1:$L$1300,539+AF$3,1)&lt;&gt;""),1,0),0)</f>
        <v/>
      </c>
      <c r="AG29">
        <f>IF(AG$4=1,IF(OR(INDEX('×入力'!$A$1:$L$1300,539+AG$3,2+AG$2)&lt;&gt;"",INDEX('×入力'!$A$1:$L$1300,538,2+AG$2)&lt;&gt;"",INDEX('×入力'!$A$1:$L$1300,539+AG$3,1)&lt;&gt;""),1,0),0)</f>
        <v/>
      </c>
      <c r="AH29">
        <f>IF(AH$4=1,IF(OR(INDEX('×入力'!$A$1:$L$1300,539+AH$3,2+AH$2)&lt;&gt;"",INDEX('×入力'!$A$1:$L$1300,538,2+AH$2)&lt;&gt;"",INDEX('×入力'!$A$1:$L$1300,539+AH$3,1)&lt;&gt;""),1,0),0)</f>
        <v/>
      </c>
      <c r="AI29">
        <f>IF(AI$4=1,IF(OR(INDEX('×入力'!$A$1:$L$1300,539+AI$3,2+AI$2)&lt;&gt;"",INDEX('×入力'!$A$1:$L$1300,538,2+AI$2)&lt;&gt;"",INDEX('×入力'!$A$1:$L$1300,539+AI$3,1)&lt;&gt;""),1,0),0)</f>
        <v/>
      </c>
      <c r="AJ29">
        <f>IF(AJ$4=1,IF(OR(INDEX('×入力'!$A$1:$L$1300,539+AJ$3,2+AJ$2)&lt;&gt;"",INDEX('×入力'!$A$1:$L$1300,538,2+AJ$2)&lt;&gt;"",INDEX('×入力'!$A$1:$L$1300,539+AJ$3,1)&lt;&gt;""),1,0),0)</f>
        <v/>
      </c>
      <c r="AK29">
        <f>IF(AK$4=1,IF(OR(INDEX('×入力'!$A$1:$L$1300,539+AK$3,2+AK$2)&lt;&gt;"",INDEX('×入力'!$A$1:$L$1300,538,2+AK$2)&lt;&gt;"",INDEX('×入力'!$A$1:$L$1300,539+AK$3,1)&lt;&gt;""),1,0),0)</f>
        <v/>
      </c>
      <c r="AL29">
        <f>IF(AL$4=1,IF(OR(INDEX('×入力'!$A$1:$L$1300,539+AL$3,2+AL$2)&lt;&gt;"",INDEX('×入力'!$A$1:$L$1300,538,2+AL$2)&lt;&gt;"",INDEX('×入力'!$A$1:$L$1300,539+AL$3,1)&lt;&gt;""),1,0),0)</f>
        <v/>
      </c>
      <c r="AM29">
        <f>IF(AM$4=1,IF(OR(INDEX('×入力'!$A$1:$L$1300,539+AM$3,2+AM$2)&lt;&gt;"",INDEX('×入力'!$A$1:$L$1300,538,2+AM$2)&lt;&gt;"",INDEX('×入力'!$A$1:$L$1300,539+AM$3,1)&lt;&gt;""),1,0),0)</f>
        <v/>
      </c>
      <c r="AN29">
        <f>IF(AN$4=1,IF(OR(INDEX('×入力'!$A$1:$L$1300,539+AN$3,2+AN$2)&lt;&gt;"",INDEX('×入力'!$A$1:$L$1300,538,2+AN$2)&lt;&gt;"",INDEX('×入力'!$A$1:$L$1300,539+AN$3,1)&lt;&gt;""),1,0),0)</f>
        <v/>
      </c>
      <c r="AO29">
        <f>IF(AO$4=1,IF(OR(INDEX('×入力'!$A$1:$L$1300,539+AO$3,2+AO$2)&lt;&gt;"",INDEX('×入力'!$A$1:$L$1300,538,2+AO$2)&lt;&gt;"",INDEX('×入力'!$A$1:$L$1300,539+AO$3,1)&lt;&gt;""),1,0),0)</f>
        <v/>
      </c>
      <c r="AP29">
        <f>IF(AP$4=1,IF(OR(INDEX('×入力'!$A$1:$L$1300,539+AP$3,2+AP$2)&lt;&gt;"",INDEX('×入力'!$A$1:$L$1300,538,2+AP$2)&lt;&gt;"",INDEX('×入力'!$A$1:$L$1300,539+AP$3,1)&lt;&gt;""),1,0),0)</f>
        <v/>
      </c>
      <c r="AQ29">
        <f>IF(AQ$4=1,IF(OR(INDEX('×入力'!$A$1:$L$1300,539+AQ$3,2+AQ$2)&lt;&gt;"",INDEX('×入力'!$A$1:$L$1300,538,2+AQ$2)&lt;&gt;"",INDEX('×入力'!$A$1:$L$1300,539+AQ$3,1)&lt;&gt;""),1,0),0)</f>
        <v/>
      </c>
      <c r="AR29">
        <f>IF(AR$4=1,IF(OR(INDEX('×入力'!$A$1:$L$1300,539+AR$3,2+AR$2)&lt;&gt;"",INDEX('×入力'!$A$1:$L$1300,538,2+AR$2)&lt;&gt;"",INDEX('×入力'!$A$1:$L$1300,539+AR$3,1)&lt;&gt;""),1,0),0)</f>
        <v/>
      </c>
      <c r="AS29">
        <f>IF(AS$4=1,IF(OR(INDEX('×入力'!$A$1:$L$1300,539+AS$3,2+AS$2)&lt;&gt;"",INDEX('×入力'!$A$1:$L$1300,538,2+AS$2)&lt;&gt;"",INDEX('×入力'!$A$1:$L$1300,539+AS$3,1)&lt;&gt;""),1,0),0)</f>
        <v/>
      </c>
      <c r="AT29">
        <f>IF(AT$4=1,IF(OR(INDEX('×入力'!$A$1:$L$1300,539+AT$3,2+AT$2)&lt;&gt;"",INDEX('×入力'!$A$1:$L$1300,538,2+AT$2)&lt;&gt;"",INDEX('×入力'!$A$1:$L$1300,539+AT$3,1)&lt;&gt;""),1,0),0)</f>
        <v/>
      </c>
      <c r="AU29">
        <f>IF(AU$4=1,IF(OR(INDEX('×入力'!$A$1:$L$1300,539+AU$3,2+AU$2)&lt;&gt;"",INDEX('×入力'!$A$1:$L$1300,538,2+AU$2)&lt;&gt;"",INDEX('×入力'!$A$1:$L$1300,539+AU$3,1)&lt;&gt;""),1,0),0)</f>
        <v/>
      </c>
      <c r="AV29">
        <f>IF(AV$4=1,IF(OR(INDEX('×入力'!$A$1:$L$1300,539+AV$3,2+AV$2)&lt;&gt;"",INDEX('×入力'!$A$1:$L$1300,538,2+AV$2)&lt;&gt;"",INDEX('×入力'!$A$1:$L$1300,539+AV$3,1)&lt;&gt;""),1,0),0)</f>
        <v/>
      </c>
      <c r="AW29">
        <f>IF(AW$4=1,IF(OR(INDEX('×入力'!$A$1:$L$1300,539+AW$3,2+AW$2)&lt;&gt;"",INDEX('×入力'!$A$1:$L$1300,538,2+AW$2)&lt;&gt;"",INDEX('×入力'!$A$1:$L$1300,539+AW$3,1)&lt;&gt;""),1,0),0)</f>
        <v/>
      </c>
      <c r="AX29">
        <f>IF(AX$4=1,IF(OR(INDEX('×入力'!$A$1:$L$1300,539+AX$3,2+AX$2)&lt;&gt;"",INDEX('×入力'!$A$1:$L$1300,538,2+AX$2)&lt;&gt;"",INDEX('×入力'!$A$1:$L$1300,539+AX$3,1)&lt;&gt;""),1,0),0)</f>
        <v/>
      </c>
      <c r="AY29">
        <f>IF(AY$4=1,IF(OR(INDEX('×入力'!$A$1:$L$1300,539+AY$3,2+AY$2)&lt;&gt;"",INDEX('×入力'!$A$1:$L$1300,538,2+AY$2)&lt;&gt;"",INDEX('×入力'!$A$1:$L$1300,539+AY$3,1)&lt;&gt;""),1,0),0)</f>
        <v/>
      </c>
      <c r="AZ29">
        <f>IF(AZ$4=1,IF(OR(INDEX('×入力'!$A$1:$L$1300,539+AZ$3,2+AZ$2)&lt;&gt;"",INDEX('×入力'!$A$1:$L$1300,538,2+AZ$2)&lt;&gt;"",INDEX('×入力'!$A$1:$L$1300,539+AZ$3,1)&lt;&gt;""),1,0),0)</f>
        <v/>
      </c>
      <c r="BA29">
        <f>IF(BA$4=1,IF(OR(INDEX('×入力'!$A$1:$L$1300,539+BA$3,2+BA$2)&lt;&gt;"",INDEX('×入力'!$A$1:$L$1300,538,2+BA$2)&lt;&gt;"",INDEX('×入力'!$A$1:$L$1300,539+BA$3,1)&lt;&gt;""),1,0),0)</f>
        <v/>
      </c>
      <c r="BB29">
        <f>IF(BB$4=1,IF(OR(INDEX('×入力'!$A$1:$L$1300,539+BB$3,2+BB$2)&lt;&gt;"",INDEX('×入力'!$A$1:$L$1300,538,2+BB$2)&lt;&gt;"",INDEX('×入力'!$A$1:$L$1300,539+BB$3,1)&lt;&gt;""),1,0),0)</f>
        <v/>
      </c>
      <c r="BC29">
        <f>IF(BC$4=1,IF(OR(INDEX('×入力'!$A$1:$L$1300,539+BC$3,2+BC$2)&lt;&gt;"",INDEX('×入力'!$A$1:$L$1300,538,2+BC$2)&lt;&gt;"",INDEX('×入力'!$A$1:$L$1300,539+BC$3,1)&lt;&gt;""),1,0),0)</f>
        <v/>
      </c>
      <c r="BD29">
        <f>IF(BD$4=1,IF(OR(INDEX('×入力'!$A$1:$L$1300,539+BD$3,2+BD$2)&lt;&gt;"",INDEX('×入力'!$A$1:$L$1300,538,2+BD$2)&lt;&gt;"",INDEX('×入力'!$A$1:$L$1300,539+BD$3,1)&lt;&gt;""),1,0),0)</f>
        <v/>
      </c>
      <c r="BE29">
        <f>IF(BE$4=1,IF(OR(INDEX('×入力'!$A$1:$L$1300,539+BE$3,2+BE$2)&lt;&gt;"",INDEX('×入力'!$A$1:$L$1300,538,2+BE$2)&lt;&gt;"",INDEX('×入力'!$A$1:$L$1300,539+BE$3,1)&lt;&gt;""),1,0),0)</f>
        <v/>
      </c>
      <c r="BF29">
        <f>IF(BF$4=1,IF(OR(INDEX('×入力'!$A$1:$L$1300,539+BF$3,2+BF$2)&lt;&gt;"",INDEX('×入力'!$A$1:$L$1300,538,2+BF$2)&lt;&gt;"",INDEX('×入力'!$A$1:$L$1300,539+BF$3,1)&lt;&gt;""),1,0),0)</f>
        <v/>
      </c>
      <c r="BG29">
        <f>IF(BG$4=1,IF(OR(INDEX('×入力'!$A$1:$L$1300,539+BG$3,2+BG$2)&lt;&gt;"",INDEX('×入力'!$A$1:$L$1300,538,2+BG$2)&lt;&gt;"",INDEX('×入力'!$A$1:$L$1300,539+BG$3,1)&lt;&gt;""),1,0),0)</f>
        <v/>
      </c>
      <c r="BH29">
        <f>IF(BH$4=1,IF(OR(INDEX('×入力'!$A$1:$L$1300,539+BH$3,2+BH$2)&lt;&gt;"",INDEX('×入力'!$A$1:$L$1300,538,2+BH$2)&lt;&gt;"",INDEX('×入力'!$A$1:$L$1300,539+BH$3,1)&lt;&gt;""),1,0),0)</f>
        <v/>
      </c>
      <c r="BI29">
        <f>IF(BI$4=1,IF(OR(INDEX('×入力'!$A$1:$L$1300,539+BI$3,2+BI$2)&lt;&gt;"",INDEX('×入力'!$A$1:$L$1300,538,2+BI$2)&lt;&gt;"",INDEX('×入力'!$A$1:$L$1300,539+BI$3,1)&lt;&gt;""),1,0),0)</f>
        <v/>
      </c>
      <c r="BJ29">
        <f>IF(BJ$4=1,IF(OR(INDEX('×入力'!$A$1:$L$1300,539+BJ$3,2+BJ$2)&lt;&gt;"",INDEX('×入力'!$A$1:$L$1300,538,2+BJ$2)&lt;&gt;"",INDEX('×入力'!$A$1:$L$1300,539+BJ$3,1)&lt;&gt;""),1,0),0)</f>
        <v/>
      </c>
      <c r="BK29">
        <f>IF(BK$4=1,IF(OR(INDEX('×入力'!$A$1:$L$1300,539+BK$3,2+BK$2)&lt;&gt;"",INDEX('×入力'!$A$1:$L$1300,538,2+BK$2)&lt;&gt;"",INDEX('×入力'!$A$1:$L$1300,539+BK$3,1)&lt;&gt;""),1,0),0)</f>
        <v/>
      </c>
      <c r="BL29">
        <f>IF(BL$4=1,IF(OR(INDEX('×入力'!$A$1:$L$1300,539+BL$3,2+BL$2)&lt;&gt;"",INDEX('×入力'!$A$1:$L$1300,538,2+BL$2)&lt;&gt;"",INDEX('×入力'!$A$1:$L$1300,539+BL$3,1)&lt;&gt;""),1,0),0)</f>
        <v/>
      </c>
      <c r="BM29">
        <f>IF(BM$4=1,IF(OR(INDEX('×入力'!$A$1:$L$1300,539+BM$3,2+BM$2)&lt;&gt;"",INDEX('×入力'!$A$1:$L$1300,538,2+BM$2)&lt;&gt;"",INDEX('×入力'!$A$1:$L$1300,539+BM$3,1)&lt;&gt;""),1,0),0)</f>
        <v/>
      </c>
      <c r="BN29">
        <f>IF(BN$4=1,IF(OR(INDEX('×入力'!$A$1:$L$1300,539+BN$3,2+BN$2)&lt;&gt;"",INDEX('×入力'!$A$1:$L$1300,538,2+BN$2)&lt;&gt;"",INDEX('×入力'!$A$1:$L$1300,539+BN$3,1)&lt;&gt;""),1,0),0)</f>
        <v/>
      </c>
      <c r="BO29">
        <f>IF(BO$4=1,IF(OR(INDEX('×入力'!$A$1:$L$1300,539+BO$3,2+BO$2)&lt;&gt;"",INDEX('×入力'!$A$1:$L$1300,538,2+BO$2)&lt;&gt;"",INDEX('×入力'!$A$1:$L$1300,539+BO$3,1)&lt;&gt;""),1,0),0)</f>
        <v/>
      </c>
      <c r="BP29">
        <f>IF(BP$4=1,IF(OR(INDEX('×入力'!$A$1:$L$1300,539+BP$3,2+BP$2)&lt;&gt;"",INDEX('×入力'!$A$1:$L$1300,538,2+BP$2)&lt;&gt;"",INDEX('×入力'!$A$1:$L$1300,539+BP$3,1)&lt;&gt;""),1,0),0)</f>
        <v/>
      </c>
      <c r="BQ29">
        <f>IF(BQ$4=1,IF(OR(INDEX('×入力'!$A$1:$L$1300,539+BQ$3,2+BQ$2)&lt;&gt;"",INDEX('×入力'!$A$1:$L$1300,538,2+BQ$2)&lt;&gt;"",INDEX('×入力'!$A$1:$L$1300,539+BQ$3,1)&lt;&gt;""),1,0),0)</f>
        <v/>
      </c>
      <c r="BR29">
        <f>IF(BR$4=1,IF(OR(INDEX('×入力'!$A$1:$L$1300,539+BR$3,2+BR$2)&lt;&gt;"",INDEX('×入力'!$A$1:$L$1300,538,2+BR$2)&lt;&gt;"",INDEX('×入力'!$A$1:$L$1300,539+BR$3,1)&lt;&gt;""),1,0),0)</f>
        <v/>
      </c>
      <c r="BS29">
        <f>IF(BS$4=1,IF(OR(INDEX('×入力'!$A$1:$L$1300,539+BS$3,2+BS$2)&lt;&gt;"",INDEX('×入力'!$A$1:$L$1300,538,2+BS$2)&lt;&gt;"",INDEX('×入力'!$A$1:$L$1300,539+BS$3,1)&lt;&gt;""),1,0),0)</f>
        <v/>
      </c>
      <c r="BT29">
        <f>IF(BT$4=1,IF(OR(INDEX('×入力'!$A$1:$L$1300,539+BT$3,2+BT$2)&lt;&gt;"",INDEX('×入力'!$A$1:$L$1300,538,2+BT$2)&lt;&gt;"",INDEX('×入力'!$A$1:$L$1300,539+BT$3,1)&lt;&gt;""),1,0),0)</f>
        <v/>
      </c>
      <c r="BU29">
        <f>IF(BU$4=1,IF(OR(INDEX('×入力'!$A$1:$L$1300,539+BU$3,2+BU$2)&lt;&gt;"",INDEX('×入力'!$A$1:$L$1300,538,2+BU$2)&lt;&gt;"",INDEX('×入力'!$A$1:$L$1300,539+BU$3,1)&lt;&gt;""),1,0),0)</f>
        <v/>
      </c>
      <c r="BV29">
        <f>IF(BV$4=1,IF(OR(INDEX('×入力'!$A$1:$L$1300,539+BV$3,2+BV$2)&lt;&gt;"",INDEX('×入力'!$A$1:$L$1300,538,2+BV$2)&lt;&gt;"",INDEX('×入力'!$A$1:$L$1300,539+BV$3,1)&lt;&gt;""),1,0),0)</f>
        <v/>
      </c>
      <c r="BW29">
        <f>IF(BW$4=1,IF(OR(INDEX('×入力'!$A$1:$L$1300,539+BW$3,2+BW$2)&lt;&gt;"",INDEX('×入力'!$A$1:$L$1300,538,2+BW$2)&lt;&gt;"",INDEX('×入力'!$A$1:$L$1300,539+BW$3,1)&lt;&gt;""),1,0),0)</f>
        <v/>
      </c>
      <c r="BX29">
        <f>IF(BX$4=1,IF(OR(INDEX('×入力'!$A$1:$L$1300,539+BX$3,2+BX$2)&lt;&gt;"",INDEX('×入力'!$A$1:$L$1300,538,2+BX$2)&lt;&gt;"",INDEX('×入力'!$A$1:$L$1300,539+BX$3,1)&lt;&gt;""),1,0),0)</f>
        <v/>
      </c>
      <c r="BY29">
        <f>IF(BY$4=1,IF(OR(INDEX('×入力'!$A$1:$L$1300,539+BY$3,2+BY$2)&lt;&gt;"",INDEX('×入力'!$A$1:$L$1300,538,2+BY$2)&lt;&gt;"",INDEX('×入力'!$A$1:$L$1300,539+BY$3,1)&lt;&gt;""),1,0),0)</f>
        <v/>
      </c>
      <c r="BZ29">
        <f>IF(BZ$4=1,IF(OR(INDEX('×入力'!$A$1:$L$1300,539+BZ$3,2+BZ$2)&lt;&gt;"",INDEX('×入力'!$A$1:$L$1300,538,2+BZ$2)&lt;&gt;"",INDEX('×入力'!$A$1:$L$1300,539+BZ$3,1)&lt;&gt;""),1,0),0)</f>
        <v/>
      </c>
      <c r="CA29">
        <f>IF(CA$4=1,IF(OR(INDEX('×入力'!$A$1:$L$1300,539+CA$3,2+CA$2)&lt;&gt;"",INDEX('×入力'!$A$1:$L$1300,538,2+CA$2)&lt;&gt;"",INDEX('×入力'!$A$1:$L$1300,539+CA$3,1)&lt;&gt;""),1,0),0)</f>
        <v/>
      </c>
      <c r="CB29">
        <f>IF(CB$4=1,IF(OR(INDEX('×入力'!$A$1:$L$1300,539+CB$3,2+CB$2)&lt;&gt;"",INDEX('×入力'!$A$1:$L$1300,538,2+CB$2)&lt;&gt;"",INDEX('×入力'!$A$1:$L$1300,539+CB$3,1)&lt;&gt;""),1,0),0)</f>
        <v/>
      </c>
      <c r="CC29">
        <f>IF(CC$4=1,IF(OR(INDEX('×入力'!$A$1:$L$1300,539+CC$3,2+CC$2)&lt;&gt;"",INDEX('×入力'!$A$1:$L$1300,538,2+CC$2)&lt;&gt;"",INDEX('×入力'!$A$1:$L$1300,539+CC$3,1)&lt;&gt;""),1,0),0)</f>
        <v/>
      </c>
      <c r="CD29">
        <f>IF(CD$4=1,IF(OR(INDEX('×入力'!$A$1:$L$1300,539+CD$3,2+CD$2)&lt;&gt;"",INDEX('×入力'!$A$1:$L$1300,538,2+CD$2)&lt;&gt;"",INDEX('×入力'!$A$1:$L$1300,539+CD$3,1)&lt;&gt;""),1,0),0)</f>
        <v/>
      </c>
      <c r="CE29">
        <f>IF(CE$4=1,IF(OR(INDEX('×入力'!$A$1:$L$1300,539+CE$3,2+CE$2)&lt;&gt;"",INDEX('×入力'!$A$1:$L$1300,538,2+CE$2)&lt;&gt;"",INDEX('×入力'!$A$1:$L$1300,539+CE$3,1)&lt;&gt;""),1,0),0)</f>
        <v/>
      </c>
      <c r="CF29">
        <f>IF(CF$4=1,IF(OR(INDEX('×入力'!$A$1:$L$1300,539+CF$3,2+CF$2)&lt;&gt;"",INDEX('×入力'!$A$1:$L$1300,538,2+CF$2)&lt;&gt;"",INDEX('×入力'!$A$1:$L$1300,539+CF$3,1)&lt;&gt;""),1,0),0)</f>
        <v/>
      </c>
      <c r="CG29">
        <f>IF(CG$4=1,IF(OR(INDEX('×入力'!$A$1:$L$1300,539+CG$3,2+CG$2)&lt;&gt;"",INDEX('×入力'!$A$1:$L$1300,538,2+CG$2)&lt;&gt;"",INDEX('×入力'!$A$1:$L$1300,539+CG$3,1)&lt;&gt;""),1,0),0)</f>
        <v/>
      </c>
      <c r="CH29">
        <f>IF(CH$4=1,IF(OR(INDEX('×入力'!$A$1:$L$1300,539+CH$3,2+CH$2)&lt;&gt;"",INDEX('×入力'!$A$1:$L$1300,538,2+CH$2)&lt;&gt;"",INDEX('×入力'!$A$1:$L$1300,539+CH$3,1)&lt;&gt;""),1,0),0)</f>
        <v/>
      </c>
      <c r="CI29">
        <f>IF(CI$4=1,IF(OR(INDEX('×入力'!$A$1:$L$1300,539+CI$3,2+CI$2)&lt;&gt;"",INDEX('×入力'!$A$1:$L$1300,538,2+CI$2)&lt;&gt;"",INDEX('×入力'!$A$1:$L$1300,539+CI$3,1)&lt;&gt;""),1,0),0)</f>
        <v/>
      </c>
      <c r="CJ29">
        <f>IF(CJ$4=1,IF(OR(INDEX('×入力'!$A$1:$L$1300,539+CJ$3,2+CJ$2)&lt;&gt;"",INDEX('×入力'!$A$1:$L$1300,538,2+CJ$2)&lt;&gt;"",INDEX('×入力'!$A$1:$L$1300,539+CJ$3,1)&lt;&gt;""),1,0),0)</f>
        <v/>
      </c>
      <c r="CK29">
        <f>IF(CK$4=1,IF(OR(INDEX('×入力'!$A$1:$L$1300,539+CK$3,2+CK$2)&lt;&gt;"",INDEX('×入力'!$A$1:$L$1300,538,2+CK$2)&lt;&gt;"",INDEX('×入力'!$A$1:$L$1300,539+CK$3,1)&lt;&gt;""),1,0),0)</f>
        <v/>
      </c>
      <c r="CL29">
        <f>IF(CL$4=1,IF(OR(INDEX('×入力'!$A$1:$L$1300,539+CL$3,2+CL$2)&lt;&gt;"",INDEX('×入力'!$A$1:$L$1300,538,2+CL$2)&lt;&gt;"",INDEX('×入力'!$A$1:$L$1300,539+CL$3,1)&lt;&gt;""),1,0),0)</f>
        <v/>
      </c>
      <c r="CM29">
        <f>IF(CM$4=1,IF(OR(INDEX('×入力'!$A$1:$L$1300,539+CM$3,2+CM$2)&lt;&gt;"",INDEX('×入力'!$A$1:$L$1300,538,2+CM$2)&lt;&gt;"",INDEX('×入力'!$A$1:$L$1300,539+CM$3,1)&lt;&gt;""),1,0),0)</f>
        <v/>
      </c>
      <c r="CN29">
        <f>IF(CN$4=1,IF(OR(INDEX('×入力'!$A$1:$L$1300,539+CN$3,2+CN$2)&lt;&gt;"",INDEX('×入力'!$A$1:$L$1300,538,2+CN$2)&lt;&gt;"",INDEX('×入力'!$A$1:$L$1300,539+CN$3,1)&lt;&gt;""),1,0),0)</f>
        <v/>
      </c>
      <c r="CO29">
        <f>IF(CO$4=1,IF(OR(INDEX('×入力'!$A$1:$L$1300,539+CO$3,2+CO$2)&lt;&gt;"",INDEX('×入力'!$A$1:$L$1300,538,2+CO$2)&lt;&gt;"",INDEX('×入力'!$A$1:$L$1300,539+CO$3,1)&lt;&gt;""),1,0),0)</f>
        <v/>
      </c>
      <c r="CP29">
        <f>IF(CP$4=1,IF(OR(INDEX('×入力'!$A$1:$L$1300,539+CP$3,2+CP$2)&lt;&gt;"",INDEX('×入力'!$A$1:$L$1300,538,2+CP$2)&lt;&gt;"",INDEX('×入力'!$A$1:$L$1300,539+CP$3,1)&lt;&gt;""),1,0),0)</f>
        <v/>
      </c>
      <c r="CQ29">
        <f>IF(CQ$4=1,IF(OR(INDEX('×入力'!$A$1:$L$1300,539+CQ$3,2+CQ$2)&lt;&gt;"",INDEX('×入力'!$A$1:$L$1300,538,2+CQ$2)&lt;&gt;"",INDEX('×入力'!$A$1:$L$1300,539+CQ$3,1)&lt;&gt;""),1,0),0)</f>
        <v/>
      </c>
      <c r="CR29">
        <f>IF(CR$4=1,IF(OR(INDEX('×入力'!$A$1:$L$1300,539+CR$3,2+CR$2)&lt;&gt;"",INDEX('×入力'!$A$1:$L$1300,538,2+CR$2)&lt;&gt;"",INDEX('×入力'!$A$1:$L$1300,539+CR$3,1)&lt;&gt;""),1,0),0)</f>
        <v/>
      </c>
      <c r="CS29">
        <f>IF(CS$4=1,IF(OR(INDEX('×入力'!$A$1:$L$1300,539+CS$3,2+CS$2)&lt;&gt;"",INDEX('×入力'!$A$1:$L$1300,538,2+CS$2)&lt;&gt;"",INDEX('×入力'!$A$1:$L$1300,539+CS$3,1)&lt;&gt;""),1,0),0)</f>
        <v/>
      </c>
      <c r="CT29">
        <f>IF(CT$4=1,IF(OR(INDEX('×入力'!$A$1:$L$1300,539+CT$3,2+CT$2)&lt;&gt;"",INDEX('×入力'!$A$1:$L$1300,538,2+CT$2)&lt;&gt;"",INDEX('×入力'!$A$1:$L$1300,539+CT$3,1)&lt;&gt;""),1,0),0)</f>
        <v/>
      </c>
      <c r="CU29">
        <f>IF(CU$4=1,IF(OR(INDEX('×入力'!$A$1:$L$1300,539+CU$3,2+CU$2)&lt;&gt;"",INDEX('×入力'!$A$1:$L$1300,538,2+CU$2)&lt;&gt;"",INDEX('×入力'!$A$1:$L$1300,539+CU$3,1)&lt;&gt;""),1,0),0)</f>
        <v/>
      </c>
      <c r="CV29">
        <f>IF(CV$4=1,IF(OR(INDEX('×入力'!$A$1:$L$1300,539+CV$3,2+CV$2)&lt;&gt;"",INDEX('×入力'!$A$1:$L$1300,538,2+CV$2)&lt;&gt;"",INDEX('×入力'!$A$1:$L$1300,539+CV$3,1)&lt;&gt;""),1,0),0)</f>
        <v/>
      </c>
      <c r="CW29">
        <f>IF(CW$4=1,IF(OR(INDEX('×入力'!$A$1:$L$1300,539+CW$3,2+CW$2)&lt;&gt;"",INDEX('×入力'!$A$1:$L$1300,538,2+CW$2)&lt;&gt;"",INDEX('×入力'!$A$1:$L$1300,539+CW$3,1)&lt;&gt;""),1,0),0)</f>
        <v/>
      </c>
      <c r="CX29">
        <f>IF(CX$4=1,IF(OR(INDEX('×入力'!$A$1:$L$1300,539+CX$3,2+CX$2)&lt;&gt;"",INDEX('×入力'!$A$1:$L$1300,538,2+CX$2)&lt;&gt;"",INDEX('×入力'!$A$1:$L$1300,539+CX$3,1)&lt;&gt;""),1,0),0)</f>
        <v/>
      </c>
      <c r="CY29">
        <f>IF(CY$4=1,IF(OR(INDEX('×入力'!$A$1:$L$1300,539+CY$3,2+CY$2)&lt;&gt;"",INDEX('×入力'!$A$1:$L$1300,538,2+CY$2)&lt;&gt;"",INDEX('×入力'!$A$1:$L$1300,539+CY$3,1)&lt;&gt;""),1,0),0)</f>
        <v/>
      </c>
      <c r="CZ29">
        <f>IF(CZ$4=1,IF(OR(INDEX('×入力'!$A$1:$L$1300,539+CZ$3,2+CZ$2)&lt;&gt;"",INDEX('×入力'!$A$1:$L$1300,538,2+CZ$2)&lt;&gt;"",INDEX('×入力'!$A$1:$L$1300,539+CZ$3,1)&lt;&gt;""),1,0),0)</f>
        <v/>
      </c>
      <c r="DA29">
        <f>IF(DA$4=1,IF(OR(INDEX('×入力'!$A$1:$L$1300,539+DA$3,2+DA$2)&lt;&gt;"",INDEX('×入力'!$A$1:$L$1300,538,2+DA$2)&lt;&gt;"",INDEX('×入力'!$A$1:$L$1300,539+DA$3,1)&lt;&gt;""),1,0),0)</f>
        <v/>
      </c>
      <c r="DB29">
        <f>IF(DB$4=1,IF(OR(INDEX('×入力'!$A$1:$L$1300,539+DB$3,2+DB$2)&lt;&gt;"",INDEX('×入力'!$A$1:$L$1300,538,2+DB$2)&lt;&gt;"",INDEX('×入力'!$A$1:$L$1300,539+DB$3,1)&lt;&gt;""),1,0),0)</f>
        <v/>
      </c>
      <c r="DC29">
        <f>IF(DC$4=1,IF(OR(INDEX('×入力'!$A$1:$L$1300,539+DC$3,2+DC$2)&lt;&gt;"",INDEX('×入力'!$A$1:$L$1300,538,2+DC$2)&lt;&gt;"",INDEX('×入力'!$A$1:$L$1300,539+DC$3,1)&lt;&gt;""),1,0),0)</f>
        <v/>
      </c>
      <c r="DD29">
        <f>IF(DD$4=1,IF(OR(INDEX('×入力'!$A$1:$L$1300,539+DD$3,2+DD$2)&lt;&gt;"",INDEX('×入力'!$A$1:$L$1300,538,2+DD$2)&lt;&gt;"",INDEX('×入力'!$A$1:$L$1300,539+DD$3,1)&lt;&gt;""),1,0),0)</f>
        <v/>
      </c>
      <c r="DE29">
        <f>IF(DE$4=1,IF(OR(INDEX('×入力'!$A$1:$L$1300,539+DE$3,2+DE$2)&lt;&gt;"",INDEX('×入力'!$A$1:$L$1300,538,2+DE$2)&lt;&gt;"",INDEX('×入力'!$A$1:$L$1300,539+DE$3,1)&lt;&gt;""),1,0),0)</f>
        <v/>
      </c>
      <c r="DF29">
        <f>IF(DF$4=1,IF(OR(INDEX('×入力'!$A$1:$L$1300,539+DF$3,2+DF$2)&lt;&gt;"",INDEX('×入力'!$A$1:$L$1300,538,2+DF$2)&lt;&gt;"",INDEX('×入力'!$A$1:$L$1300,539+DF$3,1)&lt;&gt;""),1,0),0)</f>
        <v/>
      </c>
      <c r="DG29">
        <f>IF(DG$4=1,IF(OR(INDEX('×入力'!$A$1:$L$1300,539+DG$3,2+DG$2)&lt;&gt;"",INDEX('×入力'!$A$1:$L$1300,538,2+DG$2)&lt;&gt;"",INDEX('×入力'!$A$1:$L$1300,539+DG$3,1)&lt;&gt;""),1,0),0)</f>
        <v/>
      </c>
      <c r="DH29">
        <f>IF(DH$4=1,IF(OR(INDEX('×入力'!$A$1:$L$1300,539+DH$3,2+DH$2)&lt;&gt;"",INDEX('×入力'!$A$1:$L$1300,538,2+DH$2)&lt;&gt;"",INDEX('×入力'!$A$1:$L$1300,539+DH$3,1)&lt;&gt;""),1,0),0)</f>
        <v/>
      </c>
      <c r="DI29">
        <f>IF(DI$4=1,IF(OR(INDEX('×入力'!$A$1:$L$1300,539+DI$3,2+DI$2)&lt;&gt;"",INDEX('×入力'!$A$1:$L$1300,538,2+DI$2)&lt;&gt;"",INDEX('×入力'!$A$1:$L$1300,539+DI$3,1)&lt;&gt;""),1,0),0)</f>
        <v/>
      </c>
      <c r="DJ29">
        <f>IF(DJ$4=1,IF(OR(INDEX('×入力'!$A$1:$L$1300,539+DJ$3,2+DJ$2)&lt;&gt;"",INDEX('×入力'!$A$1:$L$1300,538,2+DJ$2)&lt;&gt;"",INDEX('×入力'!$A$1:$L$1300,539+DJ$3,1)&lt;&gt;""),1,0),0)</f>
        <v/>
      </c>
      <c r="DK29">
        <f>IF(DK$4=1,IF(OR(INDEX('×入力'!$A$1:$L$1300,539+DK$3,2+DK$2)&lt;&gt;"",INDEX('×入力'!$A$1:$L$1300,538,2+DK$2)&lt;&gt;"",INDEX('×入力'!$A$1:$L$1300,539+DK$3,1)&lt;&gt;""),1,0),0)</f>
        <v/>
      </c>
      <c r="DL29">
        <f>IF(DL$4=1,IF(OR(INDEX('×入力'!$A$1:$L$1300,539+DL$3,2+DL$2)&lt;&gt;"",INDEX('×入力'!$A$1:$L$1300,538,2+DL$2)&lt;&gt;"",INDEX('×入力'!$A$1:$L$1300,539+DL$3,1)&lt;&gt;""),1,0),0)</f>
        <v/>
      </c>
      <c r="DM29">
        <f>IF(DM$4=1,IF(OR(INDEX('×入力'!$A$1:$L$1300,539+DM$3,2+DM$2)&lt;&gt;"",INDEX('×入力'!$A$1:$L$1300,538,2+DM$2)&lt;&gt;"",INDEX('×入力'!$A$1:$L$1300,539+DM$3,1)&lt;&gt;""),1,0),0)</f>
        <v/>
      </c>
      <c r="DN29">
        <f>IF(DN$4=1,IF(OR(INDEX('×入力'!$A$1:$L$1300,539+DN$3,2+DN$2)&lt;&gt;"",INDEX('×入力'!$A$1:$L$1300,538,2+DN$2)&lt;&gt;"",INDEX('×入力'!$A$1:$L$1300,539+DN$3,1)&lt;&gt;""),1,0),0)</f>
        <v/>
      </c>
      <c r="DO29">
        <f>IF(DO$4=1,IF(OR(INDEX('×入力'!$A$1:$L$1300,539+DO$3,2+DO$2)&lt;&gt;"",INDEX('×入力'!$A$1:$L$1300,538,2+DO$2)&lt;&gt;"",INDEX('×入力'!$A$1:$L$1300,539+DO$3,1)&lt;&gt;""),1,0),0)</f>
        <v/>
      </c>
      <c r="DP29">
        <f>IF(DP$4=1,IF(OR(INDEX('×入力'!$A$1:$L$1300,539+DP$3,2+DP$2)&lt;&gt;"",INDEX('×入力'!$A$1:$L$1300,538,2+DP$2)&lt;&gt;"",INDEX('×入力'!$A$1:$L$1300,539+DP$3,1)&lt;&gt;""),1,0),0)</f>
        <v/>
      </c>
      <c r="DQ29">
        <f>IF(DQ$4=1,IF(OR(INDEX('×入力'!$A$1:$L$1300,539+DQ$3,2+DQ$2)&lt;&gt;"",INDEX('×入力'!$A$1:$L$1300,538,2+DQ$2)&lt;&gt;"",INDEX('×入力'!$A$1:$L$1300,539+DQ$3,1)&lt;&gt;""),1,0),0)</f>
        <v/>
      </c>
      <c r="DR29">
        <f>IF(DR$4=1,IF(OR(INDEX('×入力'!$A$1:$L$1300,539+DR$3,2+DR$2)&lt;&gt;"",INDEX('×入力'!$A$1:$L$1300,538,2+DR$2)&lt;&gt;"",INDEX('×入力'!$A$1:$L$1300,539+DR$3,1)&lt;&gt;""),1,0),0)</f>
        <v/>
      </c>
      <c r="DS29">
        <f>IF(DS$4=1,IF(OR(INDEX('×入力'!$A$1:$L$1300,539+DS$3,2+DS$2)&lt;&gt;"",INDEX('×入力'!$A$1:$L$1300,538,2+DS$2)&lt;&gt;"",INDEX('×入力'!$A$1:$L$1300,539+DS$3,1)&lt;&gt;""),1,0),0)</f>
        <v/>
      </c>
      <c r="DT29">
        <f>IF(DT$4=1,IF(OR(INDEX('×入力'!$A$1:$L$1300,539+DT$3,2+DT$2)&lt;&gt;"",INDEX('×入力'!$A$1:$L$1300,538,2+DT$2)&lt;&gt;"",INDEX('×入力'!$A$1:$L$1300,539+DT$3,1)&lt;&gt;""),1,0),0)</f>
        <v/>
      </c>
      <c r="DU29">
        <f>IF(DU$4=1,IF(OR(INDEX('×入力'!$A$1:$L$1300,539+DU$3,2+DU$2)&lt;&gt;"",INDEX('×入力'!$A$1:$L$1300,538,2+DU$2)&lt;&gt;"",INDEX('×入力'!$A$1:$L$1300,539+DU$3,1)&lt;&gt;""),1,0),0)</f>
        <v/>
      </c>
      <c r="DV29">
        <f>IF(DV$4=1,IF(OR(INDEX('×入力'!$A$1:$L$1300,539+DV$3,2+DV$2)&lt;&gt;"",INDEX('×入力'!$A$1:$L$1300,538,2+DV$2)&lt;&gt;"",INDEX('×入力'!$A$1:$L$1300,539+DV$3,1)&lt;&gt;""),1,0),0)</f>
        <v/>
      </c>
      <c r="DW29">
        <f>IF(DW$4=1,IF(OR(INDEX('×入力'!$A$1:$L$1300,539+DW$3,2+DW$2)&lt;&gt;"",INDEX('×入力'!$A$1:$L$1300,538,2+DW$2)&lt;&gt;"",INDEX('×入力'!$A$1:$L$1300,539+DW$3,1)&lt;&gt;""),1,0),0)</f>
        <v/>
      </c>
      <c r="DX29">
        <f>IF(DX$4=1,IF(OR(INDEX('×入力'!$A$1:$L$1300,539+DX$3,2+DX$2)&lt;&gt;"",INDEX('×入力'!$A$1:$L$1300,538,2+DX$2)&lt;&gt;"",INDEX('×入力'!$A$1:$L$1300,539+DX$3,1)&lt;&gt;""),1,0),0)</f>
        <v/>
      </c>
      <c r="DY29">
        <f>IF(DY$4=1,IF(OR(INDEX('×入力'!$A$1:$L$1300,539+DY$3,2+DY$2)&lt;&gt;"",INDEX('×入力'!$A$1:$L$1300,538,2+DY$2)&lt;&gt;"",INDEX('×入力'!$A$1:$L$1300,539+DY$3,1)&lt;&gt;""),1,0),0)</f>
        <v/>
      </c>
      <c r="DZ29">
        <f>IF(DZ$4=1,IF(OR(INDEX('×入力'!$A$1:$L$1300,539+DZ$3,2+DZ$2)&lt;&gt;"",INDEX('×入力'!$A$1:$L$1300,538,2+DZ$2)&lt;&gt;"",INDEX('×入力'!$A$1:$L$1300,539+DZ$3,1)&lt;&gt;""),1,0),0)</f>
        <v/>
      </c>
      <c r="EA29">
        <f>IF(EA$4=1,IF(OR(INDEX('×入力'!$A$1:$L$1300,539+EA$3,2+EA$2)&lt;&gt;"",INDEX('×入力'!$A$1:$L$1300,538,2+EA$2)&lt;&gt;"",INDEX('×入力'!$A$1:$L$1300,539+EA$3,1)&lt;&gt;""),1,0),0)</f>
        <v/>
      </c>
      <c r="EB29">
        <f>IF(EB$4=1,IF(OR(INDEX('×入力'!$A$1:$L$1300,539+EB$3,2+EB$2)&lt;&gt;"",INDEX('×入力'!$A$1:$L$1300,538,2+EB$2)&lt;&gt;"",INDEX('×入力'!$A$1:$L$1300,539+EB$3,1)&lt;&gt;""),1,0),0)</f>
        <v/>
      </c>
      <c r="EC29">
        <f>IF(EC$4=1,IF(OR(INDEX('×入力'!$A$1:$L$1300,539+EC$3,2+EC$2)&lt;&gt;"",INDEX('×入力'!$A$1:$L$1300,538,2+EC$2)&lt;&gt;"",INDEX('×入力'!$A$1:$L$1300,539+EC$3,1)&lt;&gt;""),1,0),0)</f>
        <v/>
      </c>
      <c r="ED29">
        <f>IF(ED$4=1,IF(OR(INDEX('×入力'!$A$1:$L$1300,539+ED$3,2+ED$2)&lt;&gt;"",INDEX('×入力'!$A$1:$L$1300,538,2+ED$2)&lt;&gt;"",INDEX('×入力'!$A$1:$L$1300,539+ED$3,1)&lt;&gt;""),1,0),0)</f>
        <v/>
      </c>
      <c r="EE29">
        <f>IF(EE$4=1,IF(OR(INDEX('×入力'!$A$1:$L$1300,539+EE$3,2+EE$2)&lt;&gt;"",INDEX('×入力'!$A$1:$L$1300,538,2+EE$2)&lt;&gt;"",INDEX('×入力'!$A$1:$L$1300,539+EE$3,1)&lt;&gt;""),1,0),0)</f>
        <v/>
      </c>
      <c r="EF29">
        <f>IF(EF$4=1,IF(OR(INDEX('×入力'!$A$1:$L$1300,539+EF$3,2+EF$2)&lt;&gt;"",INDEX('×入力'!$A$1:$L$1300,538,2+EF$2)&lt;&gt;"",INDEX('×入力'!$A$1:$L$1300,539+EF$3,1)&lt;&gt;""),1,0),0)</f>
        <v/>
      </c>
      <c r="EG29">
        <f>IF(EG$4=1,IF(OR(INDEX('×入力'!$A$1:$L$1300,539+EG$3,2+EG$2)&lt;&gt;"",INDEX('×入力'!$A$1:$L$1300,538,2+EG$2)&lt;&gt;"",INDEX('×入力'!$A$1:$L$1300,539+EG$3,1)&lt;&gt;""),1,0),0)</f>
        <v/>
      </c>
      <c r="EH29">
        <f>IF(EH$4=1,IF(OR(INDEX('×入力'!$A$1:$L$1300,539+EH$3,2+EH$2)&lt;&gt;"",INDEX('×入力'!$A$1:$L$1300,538,2+EH$2)&lt;&gt;"",INDEX('×入力'!$A$1:$L$1300,539+EH$3,1)&lt;&gt;""),1,0),0)</f>
        <v/>
      </c>
      <c r="EI29">
        <f>IF(EI$4=1,IF(OR(INDEX('×入力'!$A$1:$L$1300,539+EI$3,2+EI$2)&lt;&gt;"",INDEX('×入力'!$A$1:$L$1300,538,2+EI$2)&lt;&gt;"",INDEX('×入力'!$A$1:$L$1300,539+EI$3,1)&lt;&gt;""),1,0),0)</f>
        <v/>
      </c>
      <c r="EJ29">
        <f>IF(EJ$4=1,IF(OR(INDEX('×入力'!$A$1:$L$1300,539+EJ$3,2+EJ$2)&lt;&gt;"",INDEX('×入力'!$A$1:$L$1300,538,2+EJ$2)&lt;&gt;"",INDEX('×入力'!$A$1:$L$1300,539+EJ$3,1)&lt;&gt;""),1,0),0)</f>
        <v/>
      </c>
      <c r="EK29">
        <f>IF(EK$4=1,IF(OR(INDEX('×入力'!$A$1:$L$1300,539+EK$3,2+EK$2)&lt;&gt;"",INDEX('×入力'!$A$1:$L$1300,538,2+EK$2)&lt;&gt;"",INDEX('×入力'!$A$1:$L$1300,539+EK$3,1)&lt;&gt;""),1,0),0)</f>
        <v/>
      </c>
      <c r="EL29">
        <f>IF(EL$4=1,IF(OR(INDEX('×入力'!$A$1:$L$1300,539+EL$3,2+EL$2)&lt;&gt;"",INDEX('×入力'!$A$1:$L$1300,538,2+EL$2)&lt;&gt;"",INDEX('×入力'!$A$1:$L$1300,539+EL$3,1)&lt;&gt;""),1,0),0)</f>
        <v/>
      </c>
      <c r="EM29">
        <f>IF(EM$4=1,IF(OR(INDEX('×入力'!$A$1:$L$1300,539+EM$3,2+EM$2)&lt;&gt;"",INDEX('×入力'!$A$1:$L$1300,538,2+EM$2)&lt;&gt;"",INDEX('×入力'!$A$1:$L$1300,539+EM$3,1)&lt;&gt;""),1,0),0)</f>
        <v/>
      </c>
      <c r="EN29">
        <f>IF(EN$4=1,IF(OR(INDEX('×入力'!$A$1:$L$1300,539+EN$3,2+EN$2)&lt;&gt;"",INDEX('×入力'!$A$1:$L$1300,538,2+EN$2)&lt;&gt;"",INDEX('×入力'!$A$1:$L$1300,539+EN$3,1)&lt;&gt;""),1,0),0)</f>
        <v/>
      </c>
      <c r="EO29">
        <f>IF(EO$4=1,IF(OR(INDEX('×入力'!$A$1:$L$1300,539+EO$3,2+EO$2)&lt;&gt;"",INDEX('×入力'!$A$1:$L$1300,538,2+EO$2)&lt;&gt;"",INDEX('×入力'!$A$1:$L$1300,539+EO$3,1)&lt;&gt;""),1,0),0)</f>
        <v/>
      </c>
      <c r="EP29">
        <f>IF(EP$4=1,IF(OR(INDEX('×入力'!$A$1:$L$1300,539+EP$3,2+EP$2)&lt;&gt;"",INDEX('×入力'!$A$1:$L$1300,538,2+EP$2)&lt;&gt;"",INDEX('×入力'!$A$1:$L$1300,539+EP$3,1)&lt;&gt;""),1,0),0)</f>
        <v/>
      </c>
      <c r="EQ29">
        <f>IF(EQ$4=1,IF(OR(INDEX('×入力'!$A$1:$L$1300,539+EQ$3,2+EQ$2)&lt;&gt;"",INDEX('×入力'!$A$1:$L$1300,538,2+EQ$2)&lt;&gt;"",INDEX('×入力'!$A$1:$L$1300,539+EQ$3,1)&lt;&gt;""),1,0),0)</f>
        <v/>
      </c>
      <c r="HA29">
        <f>MAX(0,IT29)</f>
        <v/>
      </c>
      <c r="HB29">
        <f>IF(HA29=0,0,INDEX($D$2:$EQ$2,HA29))</f>
        <v/>
      </c>
      <c r="HC29">
        <f>IF(HA29=0,0,INDEX($D$3:$EQ$3,HA29))</f>
        <v/>
      </c>
      <c r="HD29">
        <f>MAX(0,IY29)</f>
        <v/>
      </c>
      <c r="HE29">
        <f>IF(HD29=0,0,INDEX($D$2:$EQ$2,HD29))</f>
        <v/>
      </c>
      <c r="HF29">
        <f>IF(HD29=0,0,INDEX($D$3:$EQ$3,HD29))</f>
        <v/>
      </c>
      <c r="HG29">
        <f>MAX(0,IZ29)</f>
        <v/>
      </c>
      <c r="HH29">
        <f>IF(HG29=0,0,INDEX($D$2:$EQ$2,HG29))</f>
        <v/>
      </c>
      <c r="HI29">
        <f>IF(HG29=0,0,INDEX($D$3:$EQ$3,HG29))</f>
        <v/>
      </c>
      <c r="HJ29">
        <f>IF(AND(HA29&gt;0,HC29&gt;1,OR(HC29-1&lt;&gt;$A$3,$A$4=0)),HA29-1,-1)</f>
        <v/>
      </c>
      <c r="HK29">
        <f>IF(AND(HA29&gt;0,HC29&lt;24,OR(HC29&lt;&gt;$A$3,$A$4=0)),HA29+1,-1)</f>
        <v/>
      </c>
      <c r="HL29">
        <f>IF(AND(HD29&gt;0,HF29&gt;1,OR(HF29-1&lt;&gt;$A$3,$A$4=0)),HD29-1,-1)</f>
        <v/>
      </c>
      <c r="HM29">
        <f>IF(AND(HD29&gt;0,HF29&lt;24,OR(HF29&lt;&gt;$A$3,$A$4=0)),HD29+1,-1)</f>
        <v/>
      </c>
      <c r="HN29">
        <f>IF(AND(HG29&gt;0,HI29&gt;1,OR(HI29-1&lt;&gt;$A$3,$A$4=0)),HG29-1,-1)</f>
        <v/>
      </c>
      <c r="HO29">
        <f>IF(AND(HG29&gt;0,HI29&lt;24,OR(HI29&lt;&gt;$A$3,$A$4=0)),HG29+1,-1)</f>
        <v/>
      </c>
      <c r="IK29">
        <f>IFERROR(INDEX('calcB'!$C$3:$C$47,MATCH(A29,'calcB'!$B$3:$B$47,0)),0)</f>
        <v/>
      </c>
      <c r="IL29">
        <f>IF(AND(C29=1,IK29=0,calcA!$A$6=1),1,0)</f>
        <v/>
      </c>
      <c r="IM29">
        <f>SUMPRODUCT(D79:EQ79*(1-$D$7:$EQ$7))</f>
        <v/>
      </c>
      <c r="IN29">
        <f>SUM(D29:EQ29)</f>
        <v/>
      </c>
      <c r="IO29">
        <f>IF(B29="",0,IF(COUNTIF('調整・決定'!$C$6:$H$29,B29)=1,SUMPRODUCT(('調整・決定'!$C$6:$H$29=B29)*((COLUMN('調整・決定'!$C$6:$H$29)-3)*24+ROW('調整・決定'!$C$6:$H$29)-5)),0))</f>
        <v/>
      </c>
      <c r="IP29">
        <f>IFERROR(MATCH('名簿'!C24,{"早い時刻","遅い時刻","早い日","遅い日"},0),0)</f>
        <v/>
      </c>
      <c r="IQ29">
        <f>IF('名簿'!D24="必ず空けたい",2,IF('名簿'!D24="出来れば空けたい",1,0))</f>
        <v/>
      </c>
      <c r="IR29">
        <f>IFERROR(INDEX('calcC'!$C$3:$C$47,MATCH(A29,'calcC'!$B$3:$B$47,0)),0)</f>
        <v/>
      </c>
      <c r="IS29">
        <f>IF(AND(C29=1,IR29=0,calcA!$A$6=1),1,0)</f>
        <v/>
      </c>
      <c r="IT29">
        <f>IF(OR('名簿'!G24="",'名簿'!H24=""),0,IFERROR((MATCH('名簿'!G24,'設定'!$E$11:$E$16,0)-1)*24+MATCH('名簿'!H24,'設定'!$I$11:$I$34,0),-1))</f>
        <v/>
      </c>
      <c r="IV29">
        <f>IF(OR(JF29=0,IO29=0),1,IF(OR(IF(IT29&gt;0,AND(INDEX($D$2:$EQ$2,IO29)=INDEX($D$2:$EQ$2,IT29),OR(AND(IO29=IT29+1,OR(INDEX($D$3:$EQ$3,IT29)&lt;&gt;$A$3,$A$4=0)),AND(IO29=IT29-1,OR(INDEX($D$3:$EQ$3,IO29)&lt;&gt;$A$3,$A$4=0)))),FALSE),IF(IY29&gt;0,AND(INDEX($D$2:$EQ$2,IO29)=INDEX($D$2:$EQ$2,IY29),OR(AND(IO29=IY29+1,OR(INDEX($D$3:$EQ$3,IY29)&lt;&gt;$A$3,$A$4=0)),AND(IO29=IY29-1,OR(INDEX($D$3:$EQ$3,IO29)&lt;&gt;$A$3,$A$4=0)))),FALSE),IF(IZ29&gt;0,AND(INDEX($D$2:$EQ$2,IO29)=INDEX($D$2:$EQ$2,IZ29),OR(AND(IO29=IZ29+1,OR(INDEX($D$3:$EQ$3,IZ29)&lt;&gt;$A$3,$A$4=0)),AND(IO29=IZ29-1,OR(INDEX($D$3:$EQ$3,IO29)&lt;&gt;$A$3,$A$4=0)))),FALSE)),1,0))</f>
        <v/>
      </c>
      <c r="IW29">
        <f>IF(AND('名簿'!E24&lt;&gt;"",JF29=0),1,0)</f>
        <v/>
      </c>
      <c r="IX29">
        <f>IF('名簿'!D24="空けない",1,0)</f>
        <v/>
      </c>
      <c r="IY29">
        <f>IF(OR('名簿'!J24="",'名簿'!K24=""),0,IFERROR((MATCH('名簿'!J24,'設定'!$E$11:$E$16,0)-1)*24+MATCH('名簿'!K24,'設定'!$I$11:$I$34,0),-1))</f>
        <v/>
      </c>
      <c r="IZ29">
        <f>IF(OR('名簿'!M24="",'名簿'!N24=""),0,IFERROR((MATCH('名簿'!M24,'設定'!$E$11:$E$16,0)-1)*24+MATCH('名簿'!N24,'設定'!$I$11:$I$34,0),-1))</f>
        <v/>
      </c>
      <c r="JC29">
        <f>IF(RIGHT('名簿'!I24,2)="の前",1,IF(RIGHT('名簿'!I24,2)="の後",2,0))</f>
        <v/>
      </c>
      <c r="JD29">
        <f>IF(RIGHT('名簿'!L24,2)="の前",1,IF(RIGHT('名簿'!L24,2)="の後",2,0))</f>
        <v/>
      </c>
      <c r="JE29">
        <f>IF(RIGHT('名簿'!O24,2)="の前",1,IF(RIGHT('名簿'!O24,2)="の後",2,0))</f>
        <v/>
      </c>
      <c r="JF29">
        <f>IF(OR(IT29&gt;0,IY29&gt;0,IZ29&gt;0),1,0)</f>
        <v/>
      </c>
      <c r="JG29">
        <f>IF(OR(IT29&lt;0,IY29&lt;0,IZ29&lt;0),1,0)</f>
        <v/>
      </c>
    </row>
    <row r="30">
      <c r="A30" t="n">
        <v>21</v>
      </c>
      <c r="B30">
        <f>'名簿'!P25</f>
        <v/>
      </c>
      <c r="C30">
        <f>IF(AND(B30&lt;&gt;"",OR('名簿'!Q25="入力済み",'名簿'!Q25="×なし"),IO30=0,COUNTIF('調整・決定'!$C$6:$H$29,B30)=0),1,0)</f>
        <v/>
      </c>
      <c r="D30">
        <f>IF(D$4=1,IF(OR(INDEX('×入力'!$A$1:$L$1300,567+D$3,2+D$2)&lt;&gt;"",INDEX('×入力'!$A$1:$L$1300,566,2+D$2)&lt;&gt;"",INDEX('×入力'!$A$1:$L$1300,567+D$3,1)&lt;&gt;""),1,0),0)</f>
        <v/>
      </c>
      <c r="E30">
        <f>IF(E$4=1,IF(OR(INDEX('×入力'!$A$1:$L$1300,567+E$3,2+E$2)&lt;&gt;"",INDEX('×入力'!$A$1:$L$1300,566,2+E$2)&lt;&gt;"",INDEX('×入力'!$A$1:$L$1300,567+E$3,1)&lt;&gt;""),1,0),0)</f>
        <v/>
      </c>
      <c r="F30">
        <f>IF(F$4=1,IF(OR(INDEX('×入力'!$A$1:$L$1300,567+F$3,2+F$2)&lt;&gt;"",INDEX('×入力'!$A$1:$L$1300,566,2+F$2)&lt;&gt;"",INDEX('×入力'!$A$1:$L$1300,567+F$3,1)&lt;&gt;""),1,0),0)</f>
        <v/>
      </c>
      <c r="G30">
        <f>IF(G$4=1,IF(OR(INDEX('×入力'!$A$1:$L$1300,567+G$3,2+G$2)&lt;&gt;"",INDEX('×入力'!$A$1:$L$1300,566,2+G$2)&lt;&gt;"",INDEX('×入力'!$A$1:$L$1300,567+G$3,1)&lt;&gt;""),1,0),0)</f>
        <v/>
      </c>
      <c r="H30">
        <f>IF(H$4=1,IF(OR(INDEX('×入力'!$A$1:$L$1300,567+H$3,2+H$2)&lt;&gt;"",INDEX('×入力'!$A$1:$L$1300,566,2+H$2)&lt;&gt;"",INDEX('×入力'!$A$1:$L$1300,567+H$3,1)&lt;&gt;""),1,0),0)</f>
        <v/>
      </c>
      <c r="I30">
        <f>IF(I$4=1,IF(OR(INDEX('×入力'!$A$1:$L$1300,567+I$3,2+I$2)&lt;&gt;"",INDEX('×入力'!$A$1:$L$1300,566,2+I$2)&lt;&gt;"",INDEX('×入力'!$A$1:$L$1300,567+I$3,1)&lt;&gt;""),1,0),0)</f>
        <v/>
      </c>
      <c r="J30">
        <f>IF(J$4=1,IF(OR(INDEX('×入力'!$A$1:$L$1300,567+J$3,2+J$2)&lt;&gt;"",INDEX('×入力'!$A$1:$L$1300,566,2+J$2)&lt;&gt;"",INDEX('×入力'!$A$1:$L$1300,567+J$3,1)&lt;&gt;""),1,0),0)</f>
        <v/>
      </c>
      <c r="K30">
        <f>IF(K$4=1,IF(OR(INDEX('×入力'!$A$1:$L$1300,567+K$3,2+K$2)&lt;&gt;"",INDEX('×入力'!$A$1:$L$1300,566,2+K$2)&lt;&gt;"",INDEX('×入力'!$A$1:$L$1300,567+K$3,1)&lt;&gt;""),1,0),0)</f>
        <v/>
      </c>
      <c r="L30">
        <f>IF(L$4=1,IF(OR(INDEX('×入力'!$A$1:$L$1300,567+L$3,2+L$2)&lt;&gt;"",INDEX('×入力'!$A$1:$L$1300,566,2+L$2)&lt;&gt;"",INDEX('×入力'!$A$1:$L$1300,567+L$3,1)&lt;&gt;""),1,0),0)</f>
        <v/>
      </c>
      <c r="M30">
        <f>IF(M$4=1,IF(OR(INDEX('×入力'!$A$1:$L$1300,567+M$3,2+M$2)&lt;&gt;"",INDEX('×入力'!$A$1:$L$1300,566,2+M$2)&lt;&gt;"",INDEX('×入力'!$A$1:$L$1300,567+M$3,1)&lt;&gt;""),1,0),0)</f>
        <v/>
      </c>
      <c r="N30">
        <f>IF(N$4=1,IF(OR(INDEX('×入力'!$A$1:$L$1300,567+N$3,2+N$2)&lt;&gt;"",INDEX('×入力'!$A$1:$L$1300,566,2+N$2)&lt;&gt;"",INDEX('×入力'!$A$1:$L$1300,567+N$3,1)&lt;&gt;""),1,0),0)</f>
        <v/>
      </c>
      <c r="O30">
        <f>IF(O$4=1,IF(OR(INDEX('×入力'!$A$1:$L$1300,567+O$3,2+O$2)&lt;&gt;"",INDEX('×入力'!$A$1:$L$1300,566,2+O$2)&lt;&gt;"",INDEX('×入力'!$A$1:$L$1300,567+O$3,1)&lt;&gt;""),1,0),0)</f>
        <v/>
      </c>
      <c r="P30">
        <f>IF(P$4=1,IF(OR(INDEX('×入力'!$A$1:$L$1300,567+P$3,2+P$2)&lt;&gt;"",INDEX('×入力'!$A$1:$L$1300,566,2+P$2)&lt;&gt;"",INDEX('×入力'!$A$1:$L$1300,567+P$3,1)&lt;&gt;""),1,0),0)</f>
        <v/>
      </c>
      <c r="Q30">
        <f>IF(Q$4=1,IF(OR(INDEX('×入力'!$A$1:$L$1300,567+Q$3,2+Q$2)&lt;&gt;"",INDEX('×入力'!$A$1:$L$1300,566,2+Q$2)&lt;&gt;"",INDEX('×入力'!$A$1:$L$1300,567+Q$3,1)&lt;&gt;""),1,0),0)</f>
        <v/>
      </c>
      <c r="R30">
        <f>IF(R$4=1,IF(OR(INDEX('×入力'!$A$1:$L$1300,567+R$3,2+R$2)&lt;&gt;"",INDEX('×入力'!$A$1:$L$1300,566,2+R$2)&lt;&gt;"",INDEX('×入力'!$A$1:$L$1300,567+R$3,1)&lt;&gt;""),1,0),0)</f>
        <v/>
      </c>
      <c r="S30">
        <f>IF(S$4=1,IF(OR(INDEX('×入力'!$A$1:$L$1300,567+S$3,2+S$2)&lt;&gt;"",INDEX('×入力'!$A$1:$L$1300,566,2+S$2)&lt;&gt;"",INDEX('×入力'!$A$1:$L$1300,567+S$3,1)&lt;&gt;""),1,0),0)</f>
        <v/>
      </c>
      <c r="T30">
        <f>IF(T$4=1,IF(OR(INDEX('×入力'!$A$1:$L$1300,567+T$3,2+T$2)&lt;&gt;"",INDEX('×入力'!$A$1:$L$1300,566,2+T$2)&lt;&gt;"",INDEX('×入力'!$A$1:$L$1300,567+T$3,1)&lt;&gt;""),1,0),0)</f>
        <v/>
      </c>
      <c r="U30">
        <f>IF(U$4=1,IF(OR(INDEX('×入力'!$A$1:$L$1300,567+U$3,2+U$2)&lt;&gt;"",INDEX('×入力'!$A$1:$L$1300,566,2+U$2)&lt;&gt;"",INDEX('×入力'!$A$1:$L$1300,567+U$3,1)&lt;&gt;""),1,0),0)</f>
        <v/>
      </c>
      <c r="V30">
        <f>IF(V$4=1,IF(OR(INDEX('×入力'!$A$1:$L$1300,567+V$3,2+V$2)&lt;&gt;"",INDEX('×入力'!$A$1:$L$1300,566,2+V$2)&lt;&gt;"",INDEX('×入力'!$A$1:$L$1300,567+V$3,1)&lt;&gt;""),1,0),0)</f>
        <v/>
      </c>
      <c r="W30">
        <f>IF(W$4=1,IF(OR(INDEX('×入力'!$A$1:$L$1300,567+W$3,2+W$2)&lt;&gt;"",INDEX('×入力'!$A$1:$L$1300,566,2+W$2)&lt;&gt;"",INDEX('×入力'!$A$1:$L$1300,567+W$3,1)&lt;&gt;""),1,0),0)</f>
        <v/>
      </c>
      <c r="X30">
        <f>IF(X$4=1,IF(OR(INDEX('×入力'!$A$1:$L$1300,567+X$3,2+X$2)&lt;&gt;"",INDEX('×入力'!$A$1:$L$1300,566,2+X$2)&lt;&gt;"",INDEX('×入力'!$A$1:$L$1300,567+X$3,1)&lt;&gt;""),1,0),0)</f>
        <v/>
      </c>
      <c r="Y30">
        <f>IF(Y$4=1,IF(OR(INDEX('×入力'!$A$1:$L$1300,567+Y$3,2+Y$2)&lt;&gt;"",INDEX('×入力'!$A$1:$L$1300,566,2+Y$2)&lt;&gt;"",INDEX('×入力'!$A$1:$L$1300,567+Y$3,1)&lt;&gt;""),1,0),0)</f>
        <v/>
      </c>
      <c r="Z30">
        <f>IF(Z$4=1,IF(OR(INDEX('×入力'!$A$1:$L$1300,567+Z$3,2+Z$2)&lt;&gt;"",INDEX('×入力'!$A$1:$L$1300,566,2+Z$2)&lt;&gt;"",INDEX('×入力'!$A$1:$L$1300,567+Z$3,1)&lt;&gt;""),1,0),0)</f>
        <v/>
      </c>
      <c r="AA30">
        <f>IF(AA$4=1,IF(OR(INDEX('×入力'!$A$1:$L$1300,567+AA$3,2+AA$2)&lt;&gt;"",INDEX('×入力'!$A$1:$L$1300,566,2+AA$2)&lt;&gt;"",INDEX('×入力'!$A$1:$L$1300,567+AA$3,1)&lt;&gt;""),1,0),0)</f>
        <v/>
      </c>
      <c r="AB30">
        <f>IF(AB$4=1,IF(OR(INDEX('×入力'!$A$1:$L$1300,567+AB$3,2+AB$2)&lt;&gt;"",INDEX('×入力'!$A$1:$L$1300,566,2+AB$2)&lt;&gt;"",INDEX('×入力'!$A$1:$L$1300,567+AB$3,1)&lt;&gt;""),1,0),0)</f>
        <v/>
      </c>
      <c r="AC30">
        <f>IF(AC$4=1,IF(OR(INDEX('×入力'!$A$1:$L$1300,567+AC$3,2+AC$2)&lt;&gt;"",INDEX('×入力'!$A$1:$L$1300,566,2+AC$2)&lt;&gt;"",INDEX('×入力'!$A$1:$L$1300,567+AC$3,1)&lt;&gt;""),1,0),0)</f>
        <v/>
      </c>
      <c r="AD30">
        <f>IF(AD$4=1,IF(OR(INDEX('×入力'!$A$1:$L$1300,567+AD$3,2+AD$2)&lt;&gt;"",INDEX('×入力'!$A$1:$L$1300,566,2+AD$2)&lt;&gt;"",INDEX('×入力'!$A$1:$L$1300,567+AD$3,1)&lt;&gt;""),1,0),0)</f>
        <v/>
      </c>
      <c r="AE30">
        <f>IF(AE$4=1,IF(OR(INDEX('×入力'!$A$1:$L$1300,567+AE$3,2+AE$2)&lt;&gt;"",INDEX('×入力'!$A$1:$L$1300,566,2+AE$2)&lt;&gt;"",INDEX('×入力'!$A$1:$L$1300,567+AE$3,1)&lt;&gt;""),1,0),0)</f>
        <v/>
      </c>
      <c r="AF30">
        <f>IF(AF$4=1,IF(OR(INDEX('×入力'!$A$1:$L$1300,567+AF$3,2+AF$2)&lt;&gt;"",INDEX('×入力'!$A$1:$L$1300,566,2+AF$2)&lt;&gt;"",INDEX('×入力'!$A$1:$L$1300,567+AF$3,1)&lt;&gt;""),1,0),0)</f>
        <v/>
      </c>
      <c r="AG30">
        <f>IF(AG$4=1,IF(OR(INDEX('×入力'!$A$1:$L$1300,567+AG$3,2+AG$2)&lt;&gt;"",INDEX('×入力'!$A$1:$L$1300,566,2+AG$2)&lt;&gt;"",INDEX('×入力'!$A$1:$L$1300,567+AG$3,1)&lt;&gt;""),1,0),0)</f>
        <v/>
      </c>
      <c r="AH30">
        <f>IF(AH$4=1,IF(OR(INDEX('×入力'!$A$1:$L$1300,567+AH$3,2+AH$2)&lt;&gt;"",INDEX('×入力'!$A$1:$L$1300,566,2+AH$2)&lt;&gt;"",INDEX('×入力'!$A$1:$L$1300,567+AH$3,1)&lt;&gt;""),1,0),0)</f>
        <v/>
      </c>
      <c r="AI30">
        <f>IF(AI$4=1,IF(OR(INDEX('×入力'!$A$1:$L$1300,567+AI$3,2+AI$2)&lt;&gt;"",INDEX('×入力'!$A$1:$L$1300,566,2+AI$2)&lt;&gt;"",INDEX('×入力'!$A$1:$L$1300,567+AI$3,1)&lt;&gt;""),1,0),0)</f>
        <v/>
      </c>
      <c r="AJ30">
        <f>IF(AJ$4=1,IF(OR(INDEX('×入力'!$A$1:$L$1300,567+AJ$3,2+AJ$2)&lt;&gt;"",INDEX('×入力'!$A$1:$L$1300,566,2+AJ$2)&lt;&gt;"",INDEX('×入力'!$A$1:$L$1300,567+AJ$3,1)&lt;&gt;""),1,0),0)</f>
        <v/>
      </c>
      <c r="AK30">
        <f>IF(AK$4=1,IF(OR(INDEX('×入力'!$A$1:$L$1300,567+AK$3,2+AK$2)&lt;&gt;"",INDEX('×入力'!$A$1:$L$1300,566,2+AK$2)&lt;&gt;"",INDEX('×入力'!$A$1:$L$1300,567+AK$3,1)&lt;&gt;""),1,0),0)</f>
        <v/>
      </c>
      <c r="AL30">
        <f>IF(AL$4=1,IF(OR(INDEX('×入力'!$A$1:$L$1300,567+AL$3,2+AL$2)&lt;&gt;"",INDEX('×入力'!$A$1:$L$1300,566,2+AL$2)&lt;&gt;"",INDEX('×入力'!$A$1:$L$1300,567+AL$3,1)&lt;&gt;""),1,0),0)</f>
        <v/>
      </c>
      <c r="AM30">
        <f>IF(AM$4=1,IF(OR(INDEX('×入力'!$A$1:$L$1300,567+AM$3,2+AM$2)&lt;&gt;"",INDEX('×入力'!$A$1:$L$1300,566,2+AM$2)&lt;&gt;"",INDEX('×入力'!$A$1:$L$1300,567+AM$3,1)&lt;&gt;""),1,0),0)</f>
        <v/>
      </c>
      <c r="AN30">
        <f>IF(AN$4=1,IF(OR(INDEX('×入力'!$A$1:$L$1300,567+AN$3,2+AN$2)&lt;&gt;"",INDEX('×入力'!$A$1:$L$1300,566,2+AN$2)&lt;&gt;"",INDEX('×入力'!$A$1:$L$1300,567+AN$3,1)&lt;&gt;""),1,0),0)</f>
        <v/>
      </c>
      <c r="AO30">
        <f>IF(AO$4=1,IF(OR(INDEX('×入力'!$A$1:$L$1300,567+AO$3,2+AO$2)&lt;&gt;"",INDEX('×入力'!$A$1:$L$1300,566,2+AO$2)&lt;&gt;"",INDEX('×入力'!$A$1:$L$1300,567+AO$3,1)&lt;&gt;""),1,0),0)</f>
        <v/>
      </c>
      <c r="AP30">
        <f>IF(AP$4=1,IF(OR(INDEX('×入力'!$A$1:$L$1300,567+AP$3,2+AP$2)&lt;&gt;"",INDEX('×入力'!$A$1:$L$1300,566,2+AP$2)&lt;&gt;"",INDEX('×入力'!$A$1:$L$1300,567+AP$3,1)&lt;&gt;""),1,0),0)</f>
        <v/>
      </c>
      <c r="AQ30">
        <f>IF(AQ$4=1,IF(OR(INDEX('×入力'!$A$1:$L$1300,567+AQ$3,2+AQ$2)&lt;&gt;"",INDEX('×入力'!$A$1:$L$1300,566,2+AQ$2)&lt;&gt;"",INDEX('×入力'!$A$1:$L$1300,567+AQ$3,1)&lt;&gt;""),1,0),0)</f>
        <v/>
      </c>
      <c r="AR30">
        <f>IF(AR$4=1,IF(OR(INDEX('×入力'!$A$1:$L$1300,567+AR$3,2+AR$2)&lt;&gt;"",INDEX('×入力'!$A$1:$L$1300,566,2+AR$2)&lt;&gt;"",INDEX('×入力'!$A$1:$L$1300,567+AR$3,1)&lt;&gt;""),1,0),0)</f>
        <v/>
      </c>
      <c r="AS30">
        <f>IF(AS$4=1,IF(OR(INDEX('×入力'!$A$1:$L$1300,567+AS$3,2+AS$2)&lt;&gt;"",INDEX('×入力'!$A$1:$L$1300,566,2+AS$2)&lt;&gt;"",INDEX('×入力'!$A$1:$L$1300,567+AS$3,1)&lt;&gt;""),1,0),0)</f>
        <v/>
      </c>
      <c r="AT30">
        <f>IF(AT$4=1,IF(OR(INDEX('×入力'!$A$1:$L$1300,567+AT$3,2+AT$2)&lt;&gt;"",INDEX('×入力'!$A$1:$L$1300,566,2+AT$2)&lt;&gt;"",INDEX('×入力'!$A$1:$L$1300,567+AT$3,1)&lt;&gt;""),1,0),0)</f>
        <v/>
      </c>
      <c r="AU30">
        <f>IF(AU$4=1,IF(OR(INDEX('×入力'!$A$1:$L$1300,567+AU$3,2+AU$2)&lt;&gt;"",INDEX('×入力'!$A$1:$L$1300,566,2+AU$2)&lt;&gt;"",INDEX('×入力'!$A$1:$L$1300,567+AU$3,1)&lt;&gt;""),1,0),0)</f>
        <v/>
      </c>
      <c r="AV30">
        <f>IF(AV$4=1,IF(OR(INDEX('×入力'!$A$1:$L$1300,567+AV$3,2+AV$2)&lt;&gt;"",INDEX('×入力'!$A$1:$L$1300,566,2+AV$2)&lt;&gt;"",INDEX('×入力'!$A$1:$L$1300,567+AV$3,1)&lt;&gt;""),1,0),0)</f>
        <v/>
      </c>
      <c r="AW30">
        <f>IF(AW$4=1,IF(OR(INDEX('×入力'!$A$1:$L$1300,567+AW$3,2+AW$2)&lt;&gt;"",INDEX('×入力'!$A$1:$L$1300,566,2+AW$2)&lt;&gt;"",INDEX('×入力'!$A$1:$L$1300,567+AW$3,1)&lt;&gt;""),1,0),0)</f>
        <v/>
      </c>
      <c r="AX30">
        <f>IF(AX$4=1,IF(OR(INDEX('×入力'!$A$1:$L$1300,567+AX$3,2+AX$2)&lt;&gt;"",INDEX('×入力'!$A$1:$L$1300,566,2+AX$2)&lt;&gt;"",INDEX('×入力'!$A$1:$L$1300,567+AX$3,1)&lt;&gt;""),1,0),0)</f>
        <v/>
      </c>
      <c r="AY30">
        <f>IF(AY$4=1,IF(OR(INDEX('×入力'!$A$1:$L$1300,567+AY$3,2+AY$2)&lt;&gt;"",INDEX('×入力'!$A$1:$L$1300,566,2+AY$2)&lt;&gt;"",INDEX('×入力'!$A$1:$L$1300,567+AY$3,1)&lt;&gt;""),1,0),0)</f>
        <v/>
      </c>
      <c r="AZ30">
        <f>IF(AZ$4=1,IF(OR(INDEX('×入力'!$A$1:$L$1300,567+AZ$3,2+AZ$2)&lt;&gt;"",INDEX('×入力'!$A$1:$L$1300,566,2+AZ$2)&lt;&gt;"",INDEX('×入力'!$A$1:$L$1300,567+AZ$3,1)&lt;&gt;""),1,0),0)</f>
        <v/>
      </c>
      <c r="BA30">
        <f>IF(BA$4=1,IF(OR(INDEX('×入力'!$A$1:$L$1300,567+BA$3,2+BA$2)&lt;&gt;"",INDEX('×入力'!$A$1:$L$1300,566,2+BA$2)&lt;&gt;"",INDEX('×入力'!$A$1:$L$1300,567+BA$3,1)&lt;&gt;""),1,0),0)</f>
        <v/>
      </c>
      <c r="BB30">
        <f>IF(BB$4=1,IF(OR(INDEX('×入力'!$A$1:$L$1300,567+BB$3,2+BB$2)&lt;&gt;"",INDEX('×入力'!$A$1:$L$1300,566,2+BB$2)&lt;&gt;"",INDEX('×入力'!$A$1:$L$1300,567+BB$3,1)&lt;&gt;""),1,0),0)</f>
        <v/>
      </c>
      <c r="BC30">
        <f>IF(BC$4=1,IF(OR(INDEX('×入力'!$A$1:$L$1300,567+BC$3,2+BC$2)&lt;&gt;"",INDEX('×入力'!$A$1:$L$1300,566,2+BC$2)&lt;&gt;"",INDEX('×入力'!$A$1:$L$1300,567+BC$3,1)&lt;&gt;""),1,0),0)</f>
        <v/>
      </c>
      <c r="BD30">
        <f>IF(BD$4=1,IF(OR(INDEX('×入力'!$A$1:$L$1300,567+BD$3,2+BD$2)&lt;&gt;"",INDEX('×入力'!$A$1:$L$1300,566,2+BD$2)&lt;&gt;"",INDEX('×入力'!$A$1:$L$1300,567+BD$3,1)&lt;&gt;""),1,0),0)</f>
        <v/>
      </c>
      <c r="BE30">
        <f>IF(BE$4=1,IF(OR(INDEX('×入力'!$A$1:$L$1300,567+BE$3,2+BE$2)&lt;&gt;"",INDEX('×入力'!$A$1:$L$1300,566,2+BE$2)&lt;&gt;"",INDEX('×入力'!$A$1:$L$1300,567+BE$3,1)&lt;&gt;""),1,0),0)</f>
        <v/>
      </c>
      <c r="BF30">
        <f>IF(BF$4=1,IF(OR(INDEX('×入力'!$A$1:$L$1300,567+BF$3,2+BF$2)&lt;&gt;"",INDEX('×入力'!$A$1:$L$1300,566,2+BF$2)&lt;&gt;"",INDEX('×入力'!$A$1:$L$1300,567+BF$3,1)&lt;&gt;""),1,0),0)</f>
        <v/>
      </c>
      <c r="BG30">
        <f>IF(BG$4=1,IF(OR(INDEX('×入力'!$A$1:$L$1300,567+BG$3,2+BG$2)&lt;&gt;"",INDEX('×入力'!$A$1:$L$1300,566,2+BG$2)&lt;&gt;"",INDEX('×入力'!$A$1:$L$1300,567+BG$3,1)&lt;&gt;""),1,0),0)</f>
        <v/>
      </c>
      <c r="BH30">
        <f>IF(BH$4=1,IF(OR(INDEX('×入力'!$A$1:$L$1300,567+BH$3,2+BH$2)&lt;&gt;"",INDEX('×入力'!$A$1:$L$1300,566,2+BH$2)&lt;&gt;"",INDEX('×入力'!$A$1:$L$1300,567+BH$3,1)&lt;&gt;""),1,0),0)</f>
        <v/>
      </c>
      <c r="BI30">
        <f>IF(BI$4=1,IF(OR(INDEX('×入力'!$A$1:$L$1300,567+BI$3,2+BI$2)&lt;&gt;"",INDEX('×入力'!$A$1:$L$1300,566,2+BI$2)&lt;&gt;"",INDEX('×入力'!$A$1:$L$1300,567+BI$3,1)&lt;&gt;""),1,0),0)</f>
        <v/>
      </c>
      <c r="BJ30">
        <f>IF(BJ$4=1,IF(OR(INDEX('×入力'!$A$1:$L$1300,567+BJ$3,2+BJ$2)&lt;&gt;"",INDEX('×入力'!$A$1:$L$1300,566,2+BJ$2)&lt;&gt;"",INDEX('×入力'!$A$1:$L$1300,567+BJ$3,1)&lt;&gt;""),1,0),0)</f>
        <v/>
      </c>
      <c r="BK30">
        <f>IF(BK$4=1,IF(OR(INDEX('×入力'!$A$1:$L$1300,567+BK$3,2+BK$2)&lt;&gt;"",INDEX('×入力'!$A$1:$L$1300,566,2+BK$2)&lt;&gt;"",INDEX('×入力'!$A$1:$L$1300,567+BK$3,1)&lt;&gt;""),1,0),0)</f>
        <v/>
      </c>
      <c r="BL30">
        <f>IF(BL$4=1,IF(OR(INDEX('×入力'!$A$1:$L$1300,567+BL$3,2+BL$2)&lt;&gt;"",INDEX('×入力'!$A$1:$L$1300,566,2+BL$2)&lt;&gt;"",INDEX('×入力'!$A$1:$L$1300,567+BL$3,1)&lt;&gt;""),1,0),0)</f>
        <v/>
      </c>
      <c r="BM30">
        <f>IF(BM$4=1,IF(OR(INDEX('×入力'!$A$1:$L$1300,567+BM$3,2+BM$2)&lt;&gt;"",INDEX('×入力'!$A$1:$L$1300,566,2+BM$2)&lt;&gt;"",INDEX('×入力'!$A$1:$L$1300,567+BM$3,1)&lt;&gt;""),1,0),0)</f>
        <v/>
      </c>
      <c r="BN30">
        <f>IF(BN$4=1,IF(OR(INDEX('×入力'!$A$1:$L$1300,567+BN$3,2+BN$2)&lt;&gt;"",INDEX('×入力'!$A$1:$L$1300,566,2+BN$2)&lt;&gt;"",INDEX('×入力'!$A$1:$L$1300,567+BN$3,1)&lt;&gt;""),1,0),0)</f>
        <v/>
      </c>
      <c r="BO30">
        <f>IF(BO$4=1,IF(OR(INDEX('×入力'!$A$1:$L$1300,567+BO$3,2+BO$2)&lt;&gt;"",INDEX('×入力'!$A$1:$L$1300,566,2+BO$2)&lt;&gt;"",INDEX('×入力'!$A$1:$L$1300,567+BO$3,1)&lt;&gt;""),1,0),0)</f>
        <v/>
      </c>
      <c r="BP30">
        <f>IF(BP$4=1,IF(OR(INDEX('×入力'!$A$1:$L$1300,567+BP$3,2+BP$2)&lt;&gt;"",INDEX('×入力'!$A$1:$L$1300,566,2+BP$2)&lt;&gt;"",INDEX('×入力'!$A$1:$L$1300,567+BP$3,1)&lt;&gt;""),1,0),0)</f>
        <v/>
      </c>
      <c r="BQ30">
        <f>IF(BQ$4=1,IF(OR(INDEX('×入力'!$A$1:$L$1300,567+BQ$3,2+BQ$2)&lt;&gt;"",INDEX('×入力'!$A$1:$L$1300,566,2+BQ$2)&lt;&gt;"",INDEX('×入力'!$A$1:$L$1300,567+BQ$3,1)&lt;&gt;""),1,0),0)</f>
        <v/>
      </c>
      <c r="BR30">
        <f>IF(BR$4=1,IF(OR(INDEX('×入力'!$A$1:$L$1300,567+BR$3,2+BR$2)&lt;&gt;"",INDEX('×入力'!$A$1:$L$1300,566,2+BR$2)&lt;&gt;"",INDEX('×入力'!$A$1:$L$1300,567+BR$3,1)&lt;&gt;""),1,0),0)</f>
        <v/>
      </c>
      <c r="BS30">
        <f>IF(BS$4=1,IF(OR(INDEX('×入力'!$A$1:$L$1300,567+BS$3,2+BS$2)&lt;&gt;"",INDEX('×入力'!$A$1:$L$1300,566,2+BS$2)&lt;&gt;"",INDEX('×入力'!$A$1:$L$1300,567+BS$3,1)&lt;&gt;""),1,0),0)</f>
        <v/>
      </c>
      <c r="BT30">
        <f>IF(BT$4=1,IF(OR(INDEX('×入力'!$A$1:$L$1300,567+BT$3,2+BT$2)&lt;&gt;"",INDEX('×入力'!$A$1:$L$1300,566,2+BT$2)&lt;&gt;"",INDEX('×入力'!$A$1:$L$1300,567+BT$3,1)&lt;&gt;""),1,0),0)</f>
        <v/>
      </c>
      <c r="BU30">
        <f>IF(BU$4=1,IF(OR(INDEX('×入力'!$A$1:$L$1300,567+BU$3,2+BU$2)&lt;&gt;"",INDEX('×入力'!$A$1:$L$1300,566,2+BU$2)&lt;&gt;"",INDEX('×入力'!$A$1:$L$1300,567+BU$3,1)&lt;&gt;""),1,0),0)</f>
        <v/>
      </c>
      <c r="BV30">
        <f>IF(BV$4=1,IF(OR(INDEX('×入力'!$A$1:$L$1300,567+BV$3,2+BV$2)&lt;&gt;"",INDEX('×入力'!$A$1:$L$1300,566,2+BV$2)&lt;&gt;"",INDEX('×入力'!$A$1:$L$1300,567+BV$3,1)&lt;&gt;""),1,0),0)</f>
        <v/>
      </c>
      <c r="BW30">
        <f>IF(BW$4=1,IF(OR(INDEX('×入力'!$A$1:$L$1300,567+BW$3,2+BW$2)&lt;&gt;"",INDEX('×入力'!$A$1:$L$1300,566,2+BW$2)&lt;&gt;"",INDEX('×入力'!$A$1:$L$1300,567+BW$3,1)&lt;&gt;""),1,0),0)</f>
        <v/>
      </c>
      <c r="BX30">
        <f>IF(BX$4=1,IF(OR(INDEX('×入力'!$A$1:$L$1300,567+BX$3,2+BX$2)&lt;&gt;"",INDEX('×入力'!$A$1:$L$1300,566,2+BX$2)&lt;&gt;"",INDEX('×入力'!$A$1:$L$1300,567+BX$3,1)&lt;&gt;""),1,0),0)</f>
        <v/>
      </c>
      <c r="BY30">
        <f>IF(BY$4=1,IF(OR(INDEX('×入力'!$A$1:$L$1300,567+BY$3,2+BY$2)&lt;&gt;"",INDEX('×入力'!$A$1:$L$1300,566,2+BY$2)&lt;&gt;"",INDEX('×入力'!$A$1:$L$1300,567+BY$3,1)&lt;&gt;""),1,0),0)</f>
        <v/>
      </c>
      <c r="BZ30">
        <f>IF(BZ$4=1,IF(OR(INDEX('×入力'!$A$1:$L$1300,567+BZ$3,2+BZ$2)&lt;&gt;"",INDEX('×入力'!$A$1:$L$1300,566,2+BZ$2)&lt;&gt;"",INDEX('×入力'!$A$1:$L$1300,567+BZ$3,1)&lt;&gt;""),1,0),0)</f>
        <v/>
      </c>
      <c r="CA30">
        <f>IF(CA$4=1,IF(OR(INDEX('×入力'!$A$1:$L$1300,567+CA$3,2+CA$2)&lt;&gt;"",INDEX('×入力'!$A$1:$L$1300,566,2+CA$2)&lt;&gt;"",INDEX('×入力'!$A$1:$L$1300,567+CA$3,1)&lt;&gt;""),1,0),0)</f>
        <v/>
      </c>
      <c r="CB30">
        <f>IF(CB$4=1,IF(OR(INDEX('×入力'!$A$1:$L$1300,567+CB$3,2+CB$2)&lt;&gt;"",INDEX('×入力'!$A$1:$L$1300,566,2+CB$2)&lt;&gt;"",INDEX('×入力'!$A$1:$L$1300,567+CB$3,1)&lt;&gt;""),1,0),0)</f>
        <v/>
      </c>
      <c r="CC30">
        <f>IF(CC$4=1,IF(OR(INDEX('×入力'!$A$1:$L$1300,567+CC$3,2+CC$2)&lt;&gt;"",INDEX('×入力'!$A$1:$L$1300,566,2+CC$2)&lt;&gt;"",INDEX('×入力'!$A$1:$L$1300,567+CC$3,1)&lt;&gt;""),1,0),0)</f>
        <v/>
      </c>
      <c r="CD30">
        <f>IF(CD$4=1,IF(OR(INDEX('×入力'!$A$1:$L$1300,567+CD$3,2+CD$2)&lt;&gt;"",INDEX('×入力'!$A$1:$L$1300,566,2+CD$2)&lt;&gt;"",INDEX('×入力'!$A$1:$L$1300,567+CD$3,1)&lt;&gt;""),1,0),0)</f>
        <v/>
      </c>
      <c r="CE30">
        <f>IF(CE$4=1,IF(OR(INDEX('×入力'!$A$1:$L$1300,567+CE$3,2+CE$2)&lt;&gt;"",INDEX('×入力'!$A$1:$L$1300,566,2+CE$2)&lt;&gt;"",INDEX('×入力'!$A$1:$L$1300,567+CE$3,1)&lt;&gt;""),1,0),0)</f>
        <v/>
      </c>
      <c r="CF30">
        <f>IF(CF$4=1,IF(OR(INDEX('×入力'!$A$1:$L$1300,567+CF$3,2+CF$2)&lt;&gt;"",INDEX('×入力'!$A$1:$L$1300,566,2+CF$2)&lt;&gt;"",INDEX('×入力'!$A$1:$L$1300,567+CF$3,1)&lt;&gt;""),1,0),0)</f>
        <v/>
      </c>
      <c r="CG30">
        <f>IF(CG$4=1,IF(OR(INDEX('×入力'!$A$1:$L$1300,567+CG$3,2+CG$2)&lt;&gt;"",INDEX('×入力'!$A$1:$L$1300,566,2+CG$2)&lt;&gt;"",INDEX('×入力'!$A$1:$L$1300,567+CG$3,1)&lt;&gt;""),1,0),0)</f>
        <v/>
      </c>
      <c r="CH30">
        <f>IF(CH$4=1,IF(OR(INDEX('×入力'!$A$1:$L$1300,567+CH$3,2+CH$2)&lt;&gt;"",INDEX('×入力'!$A$1:$L$1300,566,2+CH$2)&lt;&gt;"",INDEX('×入力'!$A$1:$L$1300,567+CH$3,1)&lt;&gt;""),1,0),0)</f>
        <v/>
      </c>
      <c r="CI30">
        <f>IF(CI$4=1,IF(OR(INDEX('×入力'!$A$1:$L$1300,567+CI$3,2+CI$2)&lt;&gt;"",INDEX('×入力'!$A$1:$L$1300,566,2+CI$2)&lt;&gt;"",INDEX('×入力'!$A$1:$L$1300,567+CI$3,1)&lt;&gt;""),1,0),0)</f>
        <v/>
      </c>
      <c r="CJ30">
        <f>IF(CJ$4=1,IF(OR(INDEX('×入力'!$A$1:$L$1300,567+CJ$3,2+CJ$2)&lt;&gt;"",INDEX('×入力'!$A$1:$L$1300,566,2+CJ$2)&lt;&gt;"",INDEX('×入力'!$A$1:$L$1300,567+CJ$3,1)&lt;&gt;""),1,0),0)</f>
        <v/>
      </c>
      <c r="CK30">
        <f>IF(CK$4=1,IF(OR(INDEX('×入力'!$A$1:$L$1300,567+CK$3,2+CK$2)&lt;&gt;"",INDEX('×入力'!$A$1:$L$1300,566,2+CK$2)&lt;&gt;"",INDEX('×入力'!$A$1:$L$1300,567+CK$3,1)&lt;&gt;""),1,0),0)</f>
        <v/>
      </c>
      <c r="CL30">
        <f>IF(CL$4=1,IF(OR(INDEX('×入力'!$A$1:$L$1300,567+CL$3,2+CL$2)&lt;&gt;"",INDEX('×入力'!$A$1:$L$1300,566,2+CL$2)&lt;&gt;"",INDEX('×入力'!$A$1:$L$1300,567+CL$3,1)&lt;&gt;""),1,0),0)</f>
        <v/>
      </c>
      <c r="CM30">
        <f>IF(CM$4=1,IF(OR(INDEX('×入力'!$A$1:$L$1300,567+CM$3,2+CM$2)&lt;&gt;"",INDEX('×入力'!$A$1:$L$1300,566,2+CM$2)&lt;&gt;"",INDEX('×入力'!$A$1:$L$1300,567+CM$3,1)&lt;&gt;""),1,0),0)</f>
        <v/>
      </c>
      <c r="CN30">
        <f>IF(CN$4=1,IF(OR(INDEX('×入力'!$A$1:$L$1300,567+CN$3,2+CN$2)&lt;&gt;"",INDEX('×入力'!$A$1:$L$1300,566,2+CN$2)&lt;&gt;"",INDEX('×入力'!$A$1:$L$1300,567+CN$3,1)&lt;&gt;""),1,0),0)</f>
        <v/>
      </c>
      <c r="CO30">
        <f>IF(CO$4=1,IF(OR(INDEX('×入力'!$A$1:$L$1300,567+CO$3,2+CO$2)&lt;&gt;"",INDEX('×入力'!$A$1:$L$1300,566,2+CO$2)&lt;&gt;"",INDEX('×入力'!$A$1:$L$1300,567+CO$3,1)&lt;&gt;""),1,0),0)</f>
        <v/>
      </c>
      <c r="CP30">
        <f>IF(CP$4=1,IF(OR(INDEX('×入力'!$A$1:$L$1300,567+CP$3,2+CP$2)&lt;&gt;"",INDEX('×入力'!$A$1:$L$1300,566,2+CP$2)&lt;&gt;"",INDEX('×入力'!$A$1:$L$1300,567+CP$3,1)&lt;&gt;""),1,0),0)</f>
        <v/>
      </c>
      <c r="CQ30">
        <f>IF(CQ$4=1,IF(OR(INDEX('×入力'!$A$1:$L$1300,567+CQ$3,2+CQ$2)&lt;&gt;"",INDEX('×入力'!$A$1:$L$1300,566,2+CQ$2)&lt;&gt;"",INDEX('×入力'!$A$1:$L$1300,567+CQ$3,1)&lt;&gt;""),1,0),0)</f>
        <v/>
      </c>
      <c r="CR30">
        <f>IF(CR$4=1,IF(OR(INDEX('×入力'!$A$1:$L$1300,567+CR$3,2+CR$2)&lt;&gt;"",INDEX('×入力'!$A$1:$L$1300,566,2+CR$2)&lt;&gt;"",INDEX('×入力'!$A$1:$L$1300,567+CR$3,1)&lt;&gt;""),1,0),0)</f>
        <v/>
      </c>
      <c r="CS30">
        <f>IF(CS$4=1,IF(OR(INDEX('×入力'!$A$1:$L$1300,567+CS$3,2+CS$2)&lt;&gt;"",INDEX('×入力'!$A$1:$L$1300,566,2+CS$2)&lt;&gt;"",INDEX('×入力'!$A$1:$L$1300,567+CS$3,1)&lt;&gt;""),1,0),0)</f>
        <v/>
      </c>
      <c r="CT30">
        <f>IF(CT$4=1,IF(OR(INDEX('×入力'!$A$1:$L$1300,567+CT$3,2+CT$2)&lt;&gt;"",INDEX('×入力'!$A$1:$L$1300,566,2+CT$2)&lt;&gt;"",INDEX('×入力'!$A$1:$L$1300,567+CT$3,1)&lt;&gt;""),1,0),0)</f>
        <v/>
      </c>
      <c r="CU30">
        <f>IF(CU$4=1,IF(OR(INDEX('×入力'!$A$1:$L$1300,567+CU$3,2+CU$2)&lt;&gt;"",INDEX('×入力'!$A$1:$L$1300,566,2+CU$2)&lt;&gt;"",INDEX('×入力'!$A$1:$L$1300,567+CU$3,1)&lt;&gt;""),1,0),0)</f>
        <v/>
      </c>
      <c r="CV30">
        <f>IF(CV$4=1,IF(OR(INDEX('×入力'!$A$1:$L$1300,567+CV$3,2+CV$2)&lt;&gt;"",INDEX('×入力'!$A$1:$L$1300,566,2+CV$2)&lt;&gt;"",INDEX('×入力'!$A$1:$L$1300,567+CV$3,1)&lt;&gt;""),1,0),0)</f>
        <v/>
      </c>
      <c r="CW30">
        <f>IF(CW$4=1,IF(OR(INDEX('×入力'!$A$1:$L$1300,567+CW$3,2+CW$2)&lt;&gt;"",INDEX('×入力'!$A$1:$L$1300,566,2+CW$2)&lt;&gt;"",INDEX('×入力'!$A$1:$L$1300,567+CW$3,1)&lt;&gt;""),1,0),0)</f>
        <v/>
      </c>
      <c r="CX30">
        <f>IF(CX$4=1,IF(OR(INDEX('×入力'!$A$1:$L$1300,567+CX$3,2+CX$2)&lt;&gt;"",INDEX('×入力'!$A$1:$L$1300,566,2+CX$2)&lt;&gt;"",INDEX('×入力'!$A$1:$L$1300,567+CX$3,1)&lt;&gt;""),1,0),0)</f>
        <v/>
      </c>
      <c r="CY30">
        <f>IF(CY$4=1,IF(OR(INDEX('×入力'!$A$1:$L$1300,567+CY$3,2+CY$2)&lt;&gt;"",INDEX('×入力'!$A$1:$L$1300,566,2+CY$2)&lt;&gt;"",INDEX('×入力'!$A$1:$L$1300,567+CY$3,1)&lt;&gt;""),1,0),0)</f>
        <v/>
      </c>
      <c r="CZ30">
        <f>IF(CZ$4=1,IF(OR(INDEX('×入力'!$A$1:$L$1300,567+CZ$3,2+CZ$2)&lt;&gt;"",INDEX('×入力'!$A$1:$L$1300,566,2+CZ$2)&lt;&gt;"",INDEX('×入力'!$A$1:$L$1300,567+CZ$3,1)&lt;&gt;""),1,0),0)</f>
        <v/>
      </c>
      <c r="DA30">
        <f>IF(DA$4=1,IF(OR(INDEX('×入力'!$A$1:$L$1300,567+DA$3,2+DA$2)&lt;&gt;"",INDEX('×入力'!$A$1:$L$1300,566,2+DA$2)&lt;&gt;"",INDEX('×入力'!$A$1:$L$1300,567+DA$3,1)&lt;&gt;""),1,0),0)</f>
        <v/>
      </c>
      <c r="DB30">
        <f>IF(DB$4=1,IF(OR(INDEX('×入力'!$A$1:$L$1300,567+DB$3,2+DB$2)&lt;&gt;"",INDEX('×入力'!$A$1:$L$1300,566,2+DB$2)&lt;&gt;"",INDEX('×入力'!$A$1:$L$1300,567+DB$3,1)&lt;&gt;""),1,0),0)</f>
        <v/>
      </c>
      <c r="DC30">
        <f>IF(DC$4=1,IF(OR(INDEX('×入力'!$A$1:$L$1300,567+DC$3,2+DC$2)&lt;&gt;"",INDEX('×入力'!$A$1:$L$1300,566,2+DC$2)&lt;&gt;"",INDEX('×入力'!$A$1:$L$1300,567+DC$3,1)&lt;&gt;""),1,0),0)</f>
        <v/>
      </c>
      <c r="DD30">
        <f>IF(DD$4=1,IF(OR(INDEX('×入力'!$A$1:$L$1300,567+DD$3,2+DD$2)&lt;&gt;"",INDEX('×入力'!$A$1:$L$1300,566,2+DD$2)&lt;&gt;"",INDEX('×入力'!$A$1:$L$1300,567+DD$3,1)&lt;&gt;""),1,0),0)</f>
        <v/>
      </c>
      <c r="DE30">
        <f>IF(DE$4=1,IF(OR(INDEX('×入力'!$A$1:$L$1300,567+DE$3,2+DE$2)&lt;&gt;"",INDEX('×入力'!$A$1:$L$1300,566,2+DE$2)&lt;&gt;"",INDEX('×入力'!$A$1:$L$1300,567+DE$3,1)&lt;&gt;""),1,0),0)</f>
        <v/>
      </c>
      <c r="DF30">
        <f>IF(DF$4=1,IF(OR(INDEX('×入力'!$A$1:$L$1300,567+DF$3,2+DF$2)&lt;&gt;"",INDEX('×入力'!$A$1:$L$1300,566,2+DF$2)&lt;&gt;"",INDEX('×入力'!$A$1:$L$1300,567+DF$3,1)&lt;&gt;""),1,0),0)</f>
        <v/>
      </c>
      <c r="DG30">
        <f>IF(DG$4=1,IF(OR(INDEX('×入力'!$A$1:$L$1300,567+DG$3,2+DG$2)&lt;&gt;"",INDEX('×入力'!$A$1:$L$1300,566,2+DG$2)&lt;&gt;"",INDEX('×入力'!$A$1:$L$1300,567+DG$3,1)&lt;&gt;""),1,0),0)</f>
        <v/>
      </c>
      <c r="DH30">
        <f>IF(DH$4=1,IF(OR(INDEX('×入力'!$A$1:$L$1300,567+DH$3,2+DH$2)&lt;&gt;"",INDEX('×入力'!$A$1:$L$1300,566,2+DH$2)&lt;&gt;"",INDEX('×入力'!$A$1:$L$1300,567+DH$3,1)&lt;&gt;""),1,0),0)</f>
        <v/>
      </c>
      <c r="DI30">
        <f>IF(DI$4=1,IF(OR(INDEX('×入力'!$A$1:$L$1300,567+DI$3,2+DI$2)&lt;&gt;"",INDEX('×入力'!$A$1:$L$1300,566,2+DI$2)&lt;&gt;"",INDEX('×入力'!$A$1:$L$1300,567+DI$3,1)&lt;&gt;""),1,0),0)</f>
        <v/>
      </c>
      <c r="DJ30">
        <f>IF(DJ$4=1,IF(OR(INDEX('×入力'!$A$1:$L$1300,567+DJ$3,2+DJ$2)&lt;&gt;"",INDEX('×入力'!$A$1:$L$1300,566,2+DJ$2)&lt;&gt;"",INDEX('×入力'!$A$1:$L$1300,567+DJ$3,1)&lt;&gt;""),1,0),0)</f>
        <v/>
      </c>
      <c r="DK30">
        <f>IF(DK$4=1,IF(OR(INDEX('×入力'!$A$1:$L$1300,567+DK$3,2+DK$2)&lt;&gt;"",INDEX('×入力'!$A$1:$L$1300,566,2+DK$2)&lt;&gt;"",INDEX('×入力'!$A$1:$L$1300,567+DK$3,1)&lt;&gt;""),1,0),0)</f>
        <v/>
      </c>
      <c r="DL30">
        <f>IF(DL$4=1,IF(OR(INDEX('×入力'!$A$1:$L$1300,567+DL$3,2+DL$2)&lt;&gt;"",INDEX('×入力'!$A$1:$L$1300,566,2+DL$2)&lt;&gt;"",INDEX('×入力'!$A$1:$L$1300,567+DL$3,1)&lt;&gt;""),1,0),0)</f>
        <v/>
      </c>
      <c r="DM30">
        <f>IF(DM$4=1,IF(OR(INDEX('×入力'!$A$1:$L$1300,567+DM$3,2+DM$2)&lt;&gt;"",INDEX('×入力'!$A$1:$L$1300,566,2+DM$2)&lt;&gt;"",INDEX('×入力'!$A$1:$L$1300,567+DM$3,1)&lt;&gt;""),1,0),0)</f>
        <v/>
      </c>
      <c r="DN30">
        <f>IF(DN$4=1,IF(OR(INDEX('×入力'!$A$1:$L$1300,567+DN$3,2+DN$2)&lt;&gt;"",INDEX('×入力'!$A$1:$L$1300,566,2+DN$2)&lt;&gt;"",INDEX('×入力'!$A$1:$L$1300,567+DN$3,1)&lt;&gt;""),1,0),0)</f>
        <v/>
      </c>
      <c r="DO30">
        <f>IF(DO$4=1,IF(OR(INDEX('×入力'!$A$1:$L$1300,567+DO$3,2+DO$2)&lt;&gt;"",INDEX('×入力'!$A$1:$L$1300,566,2+DO$2)&lt;&gt;"",INDEX('×入力'!$A$1:$L$1300,567+DO$3,1)&lt;&gt;""),1,0),0)</f>
        <v/>
      </c>
      <c r="DP30">
        <f>IF(DP$4=1,IF(OR(INDEX('×入力'!$A$1:$L$1300,567+DP$3,2+DP$2)&lt;&gt;"",INDEX('×入力'!$A$1:$L$1300,566,2+DP$2)&lt;&gt;"",INDEX('×入力'!$A$1:$L$1300,567+DP$3,1)&lt;&gt;""),1,0),0)</f>
        <v/>
      </c>
      <c r="DQ30">
        <f>IF(DQ$4=1,IF(OR(INDEX('×入力'!$A$1:$L$1300,567+DQ$3,2+DQ$2)&lt;&gt;"",INDEX('×入力'!$A$1:$L$1300,566,2+DQ$2)&lt;&gt;"",INDEX('×入力'!$A$1:$L$1300,567+DQ$3,1)&lt;&gt;""),1,0),0)</f>
        <v/>
      </c>
      <c r="DR30">
        <f>IF(DR$4=1,IF(OR(INDEX('×入力'!$A$1:$L$1300,567+DR$3,2+DR$2)&lt;&gt;"",INDEX('×入力'!$A$1:$L$1300,566,2+DR$2)&lt;&gt;"",INDEX('×入力'!$A$1:$L$1300,567+DR$3,1)&lt;&gt;""),1,0),0)</f>
        <v/>
      </c>
      <c r="DS30">
        <f>IF(DS$4=1,IF(OR(INDEX('×入力'!$A$1:$L$1300,567+DS$3,2+DS$2)&lt;&gt;"",INDEX('×入力'!$A$1:$L$1300,566,2+DS$2)&lt;&gt;"",INDEX('×入力'!$A$1:$L$1300,567+DS$3,1)&lt;&gt;""),1,0),0)</f>
        <v/>
      </c>
      <c r="DT30">
        <f>IF(DT$4=1,IF(OR(INDEX('×入力'!$A$1:$L$1300,567+DT$3,2+DT$2)&lt;&gt;"",INDEX('×入力'!$A$1:$L$1300,566,2+DT$2)&lt;&gt;"",INDEX('×入力'!$A$1:$L$1300,567+DT$3,1)&lt;&gt;""),1,0),0)</f>
        <v/>
      </c>
      <c r="DU30">
        <f>IF(DU$4=1,IF(OR(INDEX('×入力'!$A$1:$L$1300,567+DU$3,2+DU$2)&lt;&gt;"",INDEX('×入力'!$A$1:$L$1300,566,2+DU$2)&lt;&gt;"",INDEX('×入力'!$A$1:$L$1300,567+DU$3,1)&lt;&gt;""),1,0),0)</f>
        <v/>
      </c>
      <c r="DV30">
        <f>IF(DV$4=1,IF(OR(INDEX('×入力'!$A$1:$L$1300,567+DV$3,2+DV$2)&lt;&gt;"",INDEX('×入力'!$A$1:$L$1300,566,2+DV$2)&lt;&gt;"",INDEX('×入力'!$A$1:$L$1300,567+DV$3,1)&lt;&gt;""),1,0),0)</f>
        <v/>
      </c>
      <c r="DW30">
        <f>IF(DW$4=1,IF(OR(INDEX('×入力'!$A$1:$L$1300,567+DW$3,2+DW$2)&lt;&gt;"",INDEX('×入力'!$A$1:$L$1300,566,2+DW$2)&lt;&gt;"",INDEX('×入力'!$A$1:$L$1300,567+DW$3,1)&lt;&gt;""),1,0),0)</f>
        <v/>
      </c>
      <c r="DX30">
        <f>IF(DX$4=1,IF(OR(INDEX('×入力'!$A$1:$L$1300,567+DX$3,2+DX$2)&lt;&gt;"",INDEX('×入力'!$A$1:$L$1300,566,2+DX$2)&lt;&gt;"",INDEX('×入力'!$A$1:$L$1300,567+DX$3,1)&lt;&gt;""),1,0),0)</f>
        <v/>
      </c>
      <c r="DY30">
        <f>IF(DY$4=1,IF(OR(INDEX('×入力'!$A$1:$L$1300,567+DY$3,2+DY$2)&lt;&gt;"",INDEX('×入力'!$A$1:$L$1300,566,2+DY$2)&lt;&gt;"",INDEX('×入力'!$A$1:$L$1300,567+DY$3,1)&lt;&gt;""),1,0),0)</f>
        <v/>
      </c>
      <c r="DZ30">
        <f>IF(DZ$4=1,IF(OR(INDEX('×入力'!$A$1:$L$1300,567+DZ$3,2+DZ$2)&lt;&gt;"",INDEX('×入力'!$A$1:$L$1300,566,2+DZ$2)&lt;&gt;"",INDEX('×入力'!$A$1:$L$1300,567+DZ$3,1)&lt;&gt;""),1,0),0)</f>
        <v/>
      </c>
      <c r="EA30">
        <f>IF(EA$4=1,IF(OR(INDEX('×入力'!$A$1:$L$1300,567+EA$3,2+EA$2)&lt;&gt;"",INDEX('×入力'!$A$1:$L$1300,566,2+EA$2)&lt;&gt;"",INDEX('×入力'!$A$1:$L$1300,567+EA$3,1)&lt;&gt;""),1,0),0)</f>
        <v/>
      </c>
      <c r="EB30">
        <f>IF(EB$4=1,IF(OR(INDEX('×入力'!$A$1:$L$1300,567+EB$3,2+EB$2)&lt;&gt;"",INDEX('×入力'!$A$1:$L$1300,566,2+EB$2)&lt;&gt;"",INDEX('×入力'!$A$1:$L$1300,567+EB$3,1)&lt;&gt;""),1,0),0)</f>
        <v/>
      </c>
      <c r="EC30">
        <f>IF(EC$4=1,IF(OR(INDEX('×入力'!$A$1:$L$1300,567+EC$3,2+EC$2)&lt;&gt;"",INDEX('×入力'!$A$1:$L$1300,566,2+EC$2)&lt;&gt;"",INDEX('×入力'!$A$1:$L$1300,567+EC$3,1)&lt;&gt;""),1,0),0)</f>
        <v/>
      </c>
      <c r="ED30">
        <f>IF(ED$4=1,IF(OR(INDEX('×入力'!$A$1:$L$1300,567+ED$3,2+ED$2)&lt;&gt;"",INDEX('×入力'!$A$1:$L$1300,566,2+ED$2)&lt;&gt;"",INDEX('×入力'!$A$1:$L$1300,567+ED$3,1)&lt;&gt;""),1,0),0)</f>
        <v/>
      </c>
      <c r="EE30">
        <f>IF(EE$4=1,IF(OR(INDEX('×入力'!$A$1:$L$1300,567+EE$3,2+EE$2)&lt;&gt;"",INDEX('×入力'!$A$1:$L$1300,566,2+EE$2)&lt;&gt;"",INDEX('×入力'!$A$1:$L$1300,567+EE$3,1)&lt;&gt;""),1,0),0)</f>
        <v/>
      </c>
      <c r="EF30">
        <f>IF(EF$4=1,IF(OR(INDEX('×入力'!$A$1:$L$1300,567+EF$3,2+EF$2)&lt;&gt;"",INDEX('×入力'!$A$1:$L$1300,566,2+EF$2)&lt;&gt;"",INDEX('×入力'!$A$1:$L$1300,567+EF$3,1)&lt;&gt;""),1,0),0)</f>
        <v/>
      </c>
      <c r="EG30">
        <f>IF(EG$4=1,IF(OR(INDEX('×入力'!$A$1:$L$1300,567+EG$3,2+EG$2)&lt;&gt;"",INDEX('×入力'!$A$1:$L$1300,566,2+EG$2)&lt;&gt;"",INDEX('×入力'!$A$1:$L$1300,567+EG$3,1)&lt;&gt;""),1,0),0)</f>
        <v/>
      </c>
      <c r="EH30">
        <f>IF(EH$4=1,IF(OR(INDEX('×入力'!$A$1:$L$1300,567+EH$3,2+EH$2)&lt;&gt;"",INDEX('×入力'!$A$1:$L$1300,566,2+EH$2)&lt;&gt;"",INDEX('×入力'!$A$1:$L$1300,567+EH$3,1)&lt;&gt;""),1,0),0)</f>
        <v/>
      </c>
      <c r="EI30">
        <f>IF(EI$4=1,IF(OR(INDEX('×入力'!$A$1:$L$1300,567+EI$3,2+EI$2)&lt;&gt;"",INDEX('×入力'!$A$1:$L$1300,566,2+EI$2)&lt;&gt;"",INDEX('×入力'!$A$1:$L$1300,567+EI$3,1)&lt;&gt;""),1,0),0)</f>
        <v/>
      </c>
      <c r="EJ30">
        <f>IF(EJ$4=1,IF(OR(INDEX('×入力'!$A$1:$L$1300,567+EJ$3,2+EJ$2)&lt;&gt;"",INDEX('×入力'!$A$1:$L$1300,566,2+EJ$2)&lt;&gt;"",INDEX('×入力'!$A$1:$L$1300,567+EJ$3,1)&lt;&gt;""),1,0),0)</f>
        <v/>
      </c>
      <c r="EK30">
        <f>IF(EK$4=1,IF(OR(INDEX('×入力'!$A$1:$L$1300,567+EK$3,2+EK$2)&lt;&gt;"",INDEX('×入力'!$A$1:$L$1300,566,2+EK$2)&lt;&gt;"",INDEX('×入力'!$A$1:$L$1300,567+EK$3,1)&lt;&gt;""),1,0),0)</f>
        <v/>
      </c>
      <c r="EL30">
        <f>IF(EL$4=1,IF(OR(INDEX('×入力'!$A$1:$L$1300,567+EL$3,2+EL$2)&lt;&gt;"",INDEX('×入力'!$A$1:$L$1300,566,2+EL$2)&lt;&gt;"",INDEX('×入力'!$A$1:$L$1300,567+EL$3,1)&lt;&gt;""),1,0),0)</f>
        <v/>
      </c>
      <c r="EM30">
        <f>IF(EM$4=1,IF(OR(INDEX('×入力'!$A$1:$L$1300,567+EM$3,2+EM$2)&lt;&gt;"",INDEX('×入力'!$A$1:$L$1300,566,2+EM$2)&lt;&gt;"",INDEX('×入力'!$A$1:$L$1300,567+EM$3,1)&lt;&gt;""),1,0),0)</f>
        <v/>
      </c>
      <c r="EN30">
        <f>IF(EN$4=1,IF(OR(INDEX('×入力'!$A$1:$L$1300,567+EN$3,2+EN$2)&lt;&gt;"",INDEX('×入力'!$A$1:$L$1300,566,2+EN$2)&lt;&gt;"",INDEX('×入力'!$A$1:$L$1300,567+EN$3,1)&lt;&gt;""),1,0),0)</f>
        <v/>
      </c>
      <c r="EO30">
        <f>IF(EO$4=1,IF(OR(INDEX('×入力'!$A$1:$L$1300,567+EO$3,2+EO$2)&lt;&gt;"",INDEX('×入力'!$A$1:$L$1300,566,2+EO$2)&lt;&gt;"",INDEX('×入力'!$A$1:$L$1300,567+EO$3,1)&lt;&gt;""),1,0),0)</f>
        <v/>
      </c>
      <c r="EP30">
        <f>IF(EP$4=1,IF(OR(INDEX('×入力'!$A$1:$L$1300,567+EP$3,2+EP$2)&lt;&gt;"",INDEX('×入力'!$A$1:$L$1300,566,2+EP$2)&lt;&gt;"",INDEX('×入力'!$A$1:$L$1300,567+EP$3,1)&lt;&gt;""),1,0),0)</f>
        <v/>
      </c>
      <c r="EQ30">
        <f>IF(EQ$4=1,IF(OR(INDEX('×入力'!$A$1:$L$1300,567+EQ$3,2+EQ$2)&lt;&gt;"",INDEX('×入力'!$A$1:$L$1300,566,2+EQ$2)&lt;&gt;"",INDEX('×入力'!$A$1:$L$1300,567+EQ$3,1)&lt;&gt;""),1,0),0)</f>
        <v/>
      </c>
      <c r="HA30">
        <f>MAX(0,IT30)</f>
        <v/>
      </c>
      <c r="HB30">
        <f>IF(HA30=0,0,INDEX($D$2:$EQ$2,HA30))</f>
        <v/>
      </c>
      <c r="HC30">
        <f>IF(HA30=0,0,INDEX($D$3:$EQ$3,HA30))</f>
        <v/>
      </c>
      <c r="HD30">
        <f>MAX(0,IY30)</f>
        <v/>
      </c>
      <c r="HE30">
        <f>IF(HD30=0,0,INDEX($D$2:$EQ$2,HD30))</f>
        <v/>
      </c>
      <c r="HF30">
        <f>IF(HD30=0,0,INDEX($D$3:$EQ$3,HD30))</f>
        <v/>
      </c>
      <c r="HG30">
        <f>MAX(0,IZ30)</f>
        <v/>
      </c>
      <c r="HH30">
        <f>IF(HG30=0,0,INDEX($D$2:$EQ$2,HG30))</f>
        <v/>
      </c>
      <c r="HI30">
        <f>IF(HG30=0,0,INDEX($D$3:$EQ$3,HG30))</f>
        <v/>
      </c>
      <c r="HJ30">
        <f>IF(AND(HA30&gt;0,HC30&gt;1,OR(HC30-1&lt;&gt;$A$3,$A$4=0)),HA30-1,-1)</f>
        <v/>
      </c>
      <c r="HK30">
        <f>IF(AND(HA30&gt;0,HC30&lt;24,OR(HC30&lt;&gt;$A$3,$A$4=0)),HA30+1,-1)</f>
        <v/>
      </c>
      <c r="HL30">
        <f>IF(AND(HD30&gt;0,HF30&gt;1,OR(HF30-1&lt;&gt;$A$3,$A$4=0)),HD30-1,-1)</f>
        <v/>
      </c>
      <c r="HM30">
        <f>IF(AND(HD30&gt;0,HF30&lt;24,OR(HF30&lt;&gt;$A$3,$A$4=0)),HD30+1,-1)</f>
        <v/>
      </c>
      <c r="HN30">
        <f>IF(AND(HG30&gt;0,HI30&gt;1,OR(HI30-1&lt;&gt;$A$3,$A$4=0)),HG30-1,-1)</f>
        <v/>
      </c>
      <c r="HO30">
        <f>IF(AND(HG30&gt;0,HI30&lt;24,OR(HI30&lt;&gt;$A$3,$A$4=0)),HG30+1,-1)</f>
        <v/>
      </c>
      <c r="IK30">
        <f>IFERROR(INDEX('calcB'!$C$3:$C$47,MATCH(A30,'calcB'!$B$3:$B$47,0)),0)</f>
        <v/>
      </c>
      <c r="IL30">
        <f>IF(AND(C30=1,IK30=0,calcA!$A$6=1),1,0)</f>
        <v/>
      </c>
      <c r="IM30">
        <f>SUMPRODUCT(D80:EQ80*(1-$D$7:$EQ$7))</f>
        <v/>
      </c>
      <c r="IN30">
        <f>SUM(D30:EQ30)</f>
        <v/>
      </c>
      <c r="IO30">
        <f>IF(B30="",0,IF(COUNTIF('調整・決定'!$C$6:$H$29,B30)=1,SUMPRODUCT(('調整・決定'!$C$6:$H$29=B30)*((COLUMN('調整・決定'!$C$6:$H$29)-3)*24+ROW('調整・決定'!$C$6:$H$29)-5)),0))</f>
        <v/>
      </c>
      <c r="IP30">
        <f>IFERROR(MATCH('名簿'!C25,{"早い時刻","遅い時刻","早い日","遅い日"},0),0)</f>
        <v/>
      </c>
      <c r="IQ30">
        <f>IF('名簿'!D25="必ず空けたい",2,IF('名簿'!D25="出来れば空けたい",1,0))</f>
        <v/>
      </c>
      <c r="IR30">
        <f>IFERROR(INDEX('calcC'!$C$3:$C$47,MATCH(A30,'calcC'!$B$3:$B$47,0)),0)</f>
        <v/>
      </c>
      <c r="IS30">
        <f>IF(AND(C30=1,IR30=0,calcA!$A$6=1),1,0)</f>
        <v/>
      </c>
      <c r="IT30">
        <f>IF(OR('名簿'!G25="",'名簿'!H25=""),0,IFERROR((MATCH('名簿'!G25,'設定'!$E$11:$E$16,0)-1)*24+MATCH('名簿'!H25,'設定'!$I$11:$I$34,0),-1))</f>
        <v/>
      </c>
      <c r="IV30">
        <f>IF(OR(JF30=0,IO30=0),1,IF(OR(IF(IT30&gt;0,AND(INDEX($D$2:$EQ$2,IO30)=INDEX($D$2:$EQ$2,IT30),OR(AND(IO30=IT30+1,OR(INDEX($D$3:$EQ$3,IT30)&lt;&gt;$A$3,$A$4=0)),AND(IO30=IT30-1,OR(INDEX($D$3:$EQ$3,IO30)&lt;&gt;$A$3,$A$4=0)))),FALSE),IF(IY30&gt;0,AND(INDEX($D$2:$EQ$2,IO30)=INDEX($D$2:$EQ$2,IY30),OR(AND(IO30=IY30+1,OR(INDEX($D$3:$EQ$3,IY30)&lt;&gt;$A$3,$A$4=0)),AND(IO30=IY30-1,OR(INDEX($D$3:$EQ$3,IO30)&lt;&gt;$A$3,$A$4=0)))),FALSE),IF(IZ30&gt;0,AND(INDEX($D$2:$EQ$2,IO30)=INDEX($D$2:$EQ$2,IZ30),OR(AND(IO30=IZ30+1,OR(INDEX($D$3:$EQ$3,IZ30)&lt;&gt;$A$3,$A$4=0)),AND(IO30=IZ30-1,OR(INDEX($D$3:$EQ$3,IO30)&lt;&gt;$A$3,$A$4=0)))),FALSE)),1,0))</f>
        <v/>
      </c>
      <c r="IW30">
        <f>IF(AND('名簿'!E25&lt;&gt;"",JF30=0),1,0)</f>
        <v/>
      </c>
      <c r="IX30">
        <f>IF('名簿'!D25="空けない",1,0)</f>
        <v/>
      </c>
      <c r="IY30">
        <f>IF(OR('名簿'!J25="",'名簿'!K25=""),0,IFERROR((MATCH('名簿'!J25,'設定'!$E$11:$E$16,0)-1)*24+MATCH('名簿'!K25,'設定'!$I$11:$I$34,0),-1))</f>
        <v/>
      </c>
      <c r="IZ30">
        <f>IF(OR('名簿'!M25="",'名簿'!N25=""),0,IFERROR((MATCH('名簿'!M25,'設定'!$E$11:$E$16,0)-1)*24+MATCH('名簿'!N25,'設定'!$I$11:$I$34,0),-1))</f>
        <v/>
      </c>
      <c r="JC30">
        <f>IF(RIGHT('名簿'!I25,2)="の前",1,IF(RIGHT('名簿'!I25,2)="の後",2,0))</f>
        <v/>
      </c>
      <c r="JD30">
        <f>IF(RIGHT('名簿'!L25,2)="の前",1,IF(RIGHT('名簿'!L25,2)="の後",2,0))</f>
        <v/>
      </c>
      <c r="JE30">
        <f>IF(RIGHT('名簿'!O25,2)="の前",1,IF(RIGHT('名簿'!O25,2)="の後",2,0))</f>
        <v/>
      </c>
      <c r="JF30">
        <f>IF(OR(IT30&gt;0,IY30&gt;0,IZ30&gt;0),1,0)</f>
        <v/>
      </c>
      <c r="JG30">
        <f>IF(OR(IT30&lt;0,IY30&lt;0,IZ30&lt;0),1,0)</f>
        <v/>
      </c>
    </row>
    <row r="31">
      <c r="A31" t="n">
        <v>22</v>
      </c>
      <c r="B31">
        <f>'名簿'!P26</f>
        <v/>
      </c>
      <c r="C31">
        <f>IF(AND(B31&lt;&gt;"",OR('名簿'!Q26="入力済み",'名簿'!Q26="×なし"),IO31=0,COUNTIF('調整・決定'!$C$6:$H$29,B31)=0),1,0)</f>
        <v/>
      </c>
      <c r="D31">
        <f>IF(D$4=1,IF(OR(INDEX('×入力'!$A$1:$L$1300,595+D$3,2+D$2)&lt;&gt;"",INDEX('×入力'!$A$1:$L$1300,594,2+D$2)&lt;&gt;"",INDEX('×入力'!$A$1:$L$1300,595+D$3,1)&lt;&gt;""),1,0),0)</f>
        <v/>
      </c>
      <c r="E31">
        <f>IF(E$4=1,IF(OR(INDEX('×入力'!$A$1:$L$1300,595+E$3,2+E$2)&lt;&gt;"",INDEX('×入力'!$A$1:$L$1300,594,2+E$2)&lt;&gt;"",INDEX('×入力'!$A$1:$L$1300,595+E$3,1)&lt;&gt;""),1,0),0)</f>
        <v/>
      </c>
      <c r="F31">
        <f>IF(F$4=1,IF(OR(INDEX('×入力'!$A$1:$L$1300,595+F$3,2+F$2)&lt;&gt;"",INDEX('×入力'!$A$1:$L$1300,594,2+F$2)&lt;&gt;"",INDEX('×入力'!$A$1:$L$1300,595+F$3,1)&lt;&gt;""),1,0),0)</f>
        <v/>
      </c>
      <c r="G31">
        <f>IF(G$4=1,IF(OR(INDEX('×入力'!$A$1:$L$1300,595+G$3,2+G$2)&lt;&gt;"",INDEX('×入力'!$A$1:$L$1300,594,2+G$2)&lt;&gt;"",INDEX('×入力'!$A$1:$L$1300,595+G$3,1)&lt;&gt;""),1,0),0)</f>
        <v/>
      </c>
      <c r="H31">
        <f>IF(H$4=1,IF(OR(INDEX('×入力'!$A$1:$L$1300,595+H$3,2+H$2)&lt;&gt;"",INDEX('×入力'!$A$1:$L$1300,594,2+H$2)&lt;&gt;"",INDEX('×入力'!$A$1:$L$1300,595+H$3,1)&lt;&gt;""),1,0),0)</f>
        <v/>
      </c>
      <c r="I31">
        <f>IF(I$4=1,IF(OR(INDEX('×入力'!$A$1:$L$1300,595+I$3,2+I$2)&lt;&gt;"",INDEX('×入力'!$A$1:$L$1300,594,2+I$2)&lt;&gt;"",INDEX('×入力'!$A$1:$L$1300,595+I$3,1)&lt;&gt;""),1,0),0)</f>
        <v/>
      </c>
      <c r="J31">
        <f>IF(J$4=1,IF(OR(INDEX('×入力'!$A$1:$L$1300,595+J$3,2+J$2)&lt;&gt;"",INDEX('×入力'!$A$1:$L$1300,594,2+J$2)&lt;&gt;"",INDEX('×入力'!$A$1:$L$1300,595+J$3,1)&lt;&gt;""),1,0),0)</f>
        <v/>
      </c>
      <c r="K31">
        <f>IF(K$4=1,IF(OR(INDEX('×入力'!$A$1:$L$1300,595+K$3,2+K$2)&lt;&gt;"",INDEX('×入力'!$A$1:$L$1300,594,2+K$2)&lt;&gt;"",INDEX('×入力'!$A$1:$L$1300,595+K$3,1)&lt;&gt;""),1,0),0)</f>
        <v/>
      </c>
      <c r="L31">
        <f>IF(L$4=1,IF(OR(INDEX('×入力'!$A$1:$L$1300,595+L$3,2+L$2)&lt;&gt;"",INDEX('×入力'!$A$1:$L$1300,594,2+L$2)&lt;&gt;"",INDEX('×入力'!$A$1:$L$1300,595+L$3,1)&lt;&gt;""),1,0),0)</f>
        <v/>
      </c>
      <c r="M31">
        <f>IF(M$4=1,IF(OR(INDEX('×入力'!$A$1:$L$1300,595+M$3,2+M$2)&lt;&gt;"",INDEX('×入力'!$A$1:$L$1300,594,2+M$2)&lt;&gt;"",INDEX('×入力'!$A$1:$L$1300,595+M$3,1)&lt;&gt;""),1,0),0)</f>
        <v/>
      </c>
      <c r="N31">
        <f>IF(N$4=1,IF(OR(INDEX('×入力'!$A$1:$L$1300,595+N$3,2+N$2)&lt;&gt;"",INDEX('×入力'!$A$1:$L$1300,594,2+N$2)&lt;&gt;"",INDEX('×入力'!$A$1:$L$1300,595+N$3,1)&lt;&gt;""),1,0),0)</f>
        <v/>
      </c>
      <c r="O31">
        <f>IF(O$4=1,IF(OR(INDEX('×入力'!$A$1:$L$1300,595+O$3,2+O$2)&lt;&gt;"",INDEX('×入力'!$A$1:$L$1300,594,2+O$2)&lt;&gt;"",INDEX('×入力'!$A$1:$L$1300,595+O$3,1)&lt;&gt;""),1,0),0)</f>
        <v/>
      </c>
      <c r="P31">
        <f>IF(P$4=1,IF(OR(INDEX('×入力'!$A$1:$L$1300,595+P$3,2+P$2)&lt;&gt;"",INDEX('×入力'!$A$1:$L$1300,594,2+P$2)&lt;&gt;"",INDEX('×入力'!$A$1:$L$1300,595+P$3,1)&lt;&gt;""),1,0),0)</f>
        <v/>
      </c>
      <c r="Q31">
        <f>IF(Q$4=1,IF(OR(INDEX('×入力'!$A$1:$L$1300,595+Q$3,2+Q$2)&lt;&gt;"",INDEX('×入力'!$A$1:$L$1300,594,2+Q$2)&lt;&gt;"",INDEX('×入力'!$A$1:$L$1300,595+Q$3,1)&lt;&gt;""),1,0),0)</f>
        <v/>
      </c>
      <c r="R31">
        <f>IF(R$4=1,IF(OR(INDEX('×入力'!$A$1:$L$1300,595+R$3,2+R$2)&lt;&gt;"",INDEX('×入力'!$A$1:$L$1300,594,2+R$2)&lt;&gt;"",INDEX('×入力'!$A$1:$L$1300,595+R$3,1)&lt;&gt;""),1,0),0)</f>
        <v/>
      </c>
      <c r="S31">
        <f>IF(S$4=1,IF(OR(INDEX('×入力'!$A$1:$L$1300,595+S$3,2+S$2)&lt;&gt;"",INDEX('×入力'!$A$1:$L$1300,594,2+S$2)&lt;&gt;"",INDEX('×入力'!$A$1:$L$1300,595+S$3,1)&lt;&gt;""),1,0),0)</f>
        <v/>
      </c>
      <c r="T31">
        <f>IF(T$4=1,IF(OR(INDEX('×入力'!$A$1:$L$1300,595+T$3,2+T$2)&lt;&gt;"",INDEX('×入力'!$A$1:$L$1300,594,2+T$2)&lt;&gt;"",INDEX('×入力'!$A$1:$L$1300,595+T$3,1)&lt;&gt;""),1,0),0)</f>
        <v/>
      </c>
      <c r="U31">
        <f>IF(U$4=1,IF(OR(INDEX('×入力'!$A$1:$L$1300,595+U$3,2+U$2)&lt;&gt;"",INDEX('×入力'!$A$1:$L$1300,594,2+U$2)&lt;&gt;"",INDEX('×入力'!$A$1:$L$1300,595+U$3,1)&lt;&gt;""),1,0),0)</f>
        <v/>
      </c>
      <c r="V31">
        <f>IF(V$4=1,IF(OR(INDEX('×入力'!$A$1:$L$1300,595+V$3,2+V$2)&lt;&gt;"",INDEX('×入力'!$A$1:$L$1300,594,2+V$2)&lt;&gt;"",INDEX('×入力'!$A$1:$L$1300,595+V$3,1)&lt;&gt;""),1,0),0)</f>
        <v/>
      </c>
      <c r="W31">
        <f>IF(W$4=1,IF(OR(INDEX('×入力'!$A$1:$L$1300,595+W$3,2+W$2)&lt;&gt;"",INDEX('×入力'!$A$1:$L$1300,594,2+W$2)&lt;&gt;"",INDEX('×入力'!$A$1:$L$1300,595+W$3,1)&lt;&gt;""),1,0),0)</f>
        <v/>
      </c>
      <c r="X31">
        <f>IF(X$4=1,IF(OR(INDEX('×入力'!$A$1:$L$1300,595+X$3,2+X$2)&lt;&gt;"",INDEX('×入力'!$A$1:$L$1300,594,2+X$2)&lt;&gt;"",INDEX('×入力'!$A$1:$L$1300,595+X$3,1)&lt;&gt;""),1,0),0)</f>
        <v/>
      </c>
      <c r="Y31">
        <f>IF(Y$4=1,IF(OR(INDEX('×入力'!$A$1:$L$1300,595+Y$3,2+Y$2)&lt;&gt;"",INDEX('×入力'!$A$1:$L$1300,594,2+Y$2)&lt;&gt;"",INDEX('×入力'!$A$1:$L$1300,595+Y$3,1)&lt;&gt;""),1,0),0)</f>
        <v/>
      </c>
      <c r="Z31">
        <f>IF(Z$4=1,IF(OR(INDEX('×入力'!$A$1:$L$1300,595+Z$3,2+Z$2)&lt;&gt;"",INDEX('×入力'!$A$1:$L$1300,594,2+Z$2)&lt;&gt;"",INDEX('×入力'!$A$1:$L$1300,595+Z$3,1)&lt;&gt;""),1,0),0)</f>
        <v/>
      </c>
      <c r="AA31">
        <f>IF(AA$4=1,IF(OR(INDEX('×入力'!$A$1:$L$1300,595+AA$3,2+AA$2)&lt;&gt;"",INDEX('×入力'!$A$1:$L$1300,594,2+AA$2)&lt;&gt;"",INDEX('×入力'!$A$1:$L$1300,595+AA$3,1)&lt;&gt;""),1,0),0)</f>
        <v/>
      </c>
      <c r="AB31">
        <f>IF(AB$4=1,IF(OR(INDEX('×入力'!$A$1:$L$1300,595+AB$3,2+AB$2)&lt;&gt;"",INDEX('×入力'!$A$1:$L$1300,594,2+AB$2)&lt;&gt;"",INDEX('×入力'!$A$1:$L$1300,595+AB$3,1)&lt;&gt;""),1,0),0)</f>
        <v/>
      </c>
      <c r="AC31">
        <f>IF(AC$4=1,IF(OR(INDEX('×入力'!$A$1:$L$1300,595+AC$3,2+AC$2)&lt;&gt;"",INDEX('×入力'!$A$1:$L$1300,594,2+AC$2)&lt;&gt;"",INDEX('×入力'!$A$1:$L$1300,595+AC$3,1)&lt;&gt;""),1,0),0)</f>
        <v/>
      </c>
      <c r="AD31">
        <f>IF(AD$4=1,IF(OR(INDEX('×入力'!$A$1:$L$1300,595+AD$3,2+AD$2)&lt;&gt;"",INDEX('×入力'!$A$1:$L$1300,594,2+AD$2)&lt;&gt;"",INDEX('×入力'!$A$1:$L$1300,595+AD$3,1)&lt;&gt;""),1,0),0)</f>
        <v/>
      </c>
      <c r="AE31">
        <f>IF(AE$4=1,IF(OR(INDEX('×入力'!$A$1:$L$1300,595+AE$3,2+AE$2)&lt;&gt;"",INDEX('×入力'!$A$1:$L$1300,594,2+AE$2)&lt;&gt;"",INDEX('×入力'!$A$1:$L$1300,595+AE$3,1)&lt;&gt;""),1,0),0)</f>
        <v/>
      </c>
      <c r="AF31">
        <f>IF(AF$4=1,IF(OR(INDEX('×入力'!$A$1:$L$1300,595+AF$3,2+AF$2)&lt;&gt;"",INDEX('×入力'!$A$1:$L$1300,594,2+AF$2)&lt;&gt;"",INDEX('×入力'!$A$1:$L$1300,595+AF$3,1)&lt;&gt;""),1,0),0)</f>
        <v/>
      </c>
      <c r="AG31">
        <f>IF(AG$4=1,IF(OR(INDEX('×入力'!$A$1:$L$1300,595+AG$3,2+AG$2)&lt;&gt;"",INDEX('×入力'!$A$1:$L$1300,594,2+AG$2)&lt;&gt;"",INDEX('×入力'!$A$1:$L$1300,595+AG$3,1)&lt;&gt;""),1,0),0)</f>
        <v/>
      </c>
      <c r="AH31">
        <f>IF(AH$4=1,IF(OR(INDEX('×入力'!$A$1:$L$1300,595+AH$3,2+AH$2)&lt;&gt;"",INDEX('×入力'!$A$1:$L$1300,594,2+AH$2)&lt;&gt;"",INDEX('×入力'!$A$1:$L$1300,595+AH$3,1)&lt;&gt;""),1,0),0)</f>
        <v/>
      </c>
      <c r="AI31">
        <f>IF(AI$4=1,IF(OR(INDEX('×入力'!$A$1:$L$1300,595+AI$3,2+AI$2)&lt;&gt;"",INDEX('×入力'!$A$1:$L$1300,594,2+AI$2)&lt;&gt;"",INDEX('×入力'!$A$1:$L$1300,595+AI$3,1)&lt;&gt;""),1,0),0)</f>
        <v/>
      </c>
      <c r="AJ31">
        <f>IF(AJ$4=1,IF(OR(INDEX('×入力'!$A$1:$L$1300,595+AJ$3,2+AJ$2)&lt;&gt;"",INDEX('×入力'!$A$1:$L$1300,594,2+AJ$2)&lt;&gt;"",INDEX('×入力'!$A$1:$L$1300,595+AJ$3,1)&lt;&gt;""),1,0),0)</f>
        <v/>
      </c>
      <c r="AK31">
        <f>IF(AK$4=1,IF(OR(INDEX('×入力'!$A$1:$L$1300,595+AK$3,2+AK$2)&lt;&gt;"",INDEX('×入力'!$A$1:$L$1300,594,2+AK$2)&lt;&gt;"",INDEX('×入力'!$A$1:$L$1300,595+AK$3,1)&lt;&gt;""),1,0),0)</f>
        <v/>
      </c>
      <c r="AL31">
        <f>IF(AL$4=1,IF(OR(INDEX('×入力'!$A$1:$L$1300,595+AL$3,2+AL$2)&lt;&gt;"",INDEX('×入力'!$A$1:$L$1300,594,2+AL$2)&lt;&gt;"",INDEX('×入力'!$A$1:$L$1300,595+AL$3,1)&lt;&gt;""),1,0),0)</f>
        <v/>
      </c>
      <c r="AM31">
        <f>IF(AM$4=1,IF(OR(INDEX('×入力'!$A$1:$L$1300,595+AM$3,2+AM$2)&lt;&gt;"",INDEX('×入力'!$A$1:$L$1300,594,2+AM$2)&lt;&gt;"",INDEX('×入力'!$A$1:$L$1300,595+AM$3,1)&lt;&gt;""),1,0),0)</f>
        <v/>
      </c>
      <c r="AN31">
        <f>IF(AN$4=1,IF(OR(INDEX('×入力'!$A$1:$L$1300,595+AN$3,2+AN$2)&lt;&gt;"",INDEX('×入力'!$A$1:$L$1300,594,2+AN$2)&lt;&gt;"",INDEX('×入力'!$A$1:$L$1300,595+AN$3,1)&lt;&gt;""),1,0),0)</f>
        <v/>
      </c>
      <c r="AO31">
        <f>IF(AO$4=1,IF(OR(INDEX('×入力'!$A$1:$L$1300,595+AO$3,2+AO$2)&lt;&gt;"",INDEX('×入力'!$A$1:$L$1300,594,2+AO$2)&lt;&gt;"",INDEX('×入力'!$A$1:$L$1300,595+AO$3,1)&lt;&gt;""),1,0),0)</f>
        <v/>
      </c>
      <c r="AP31">
        <f>IF(AP$4=1,IF(OR(INDEX('×入力'!$A$1:$L$1300,595+AP$3,2+AP$2)&lt;&gt;"",INDEX('×入力'!$A$1:$L$1300,594,2+AP$2)&lt;&gt;"",INDEX('×入力'!$A$1:$L$1300,595+AP$3,1)&lt;&gt;""),1,0),0)</f>
        <v/>
      </c>
      <c r="AQ31">
        <f>IF(AQ$4=1,IF(OR(INDEX('×入力'!$A$1:$L$1300,595+AQ$3,2+AQ$2)&lt;&gt;"",INDEX('×入力'!$A$1:$L$1300,594,2+AQ$2)&lt;&gt;"",INDEX('×入力'!$A$1:$L$1300,595+AQ$3,1)&lt;&gt;""),1,0),0)</f>
        <v/>
      </c>
      <c r="AR31">
        <f>IF(AR$4=1,IF(OR(INDEX('×入力'!$A$1:$L$1300,595+AR$3,2+AR$2)&lt;&gt;"",INDEX('×入力'!$A$1:$L$1300,594,2+AR$2)&lt;&gt;"",INDEX('×入力'!$A$1:$L$1300,595+AR$3,1)&lt;&gt;""),1,0),0)</f>
        <v/>
      </c>
      <c r="AS31">
        <f>IF(AS$4=1,IF(OR(INDEX('×入力'!$A$1:$L$1300,595+AS$3,2+AS$2)&lt;&gt;"",INDEX('×入力'!$A$1:$L$1300,594,2+AS$2)&lt;&gt;"",INDEX('×入力'!$A$1:$L$1300,595+AS$3,1)&lt;&gt;""),1,0),0)</f>
        <v/>
      </c>
      <c r="AT31">
        <f>IF(AT$4=1,IF(OR(INDEX('×入力'!$A$1:$L$1300,595+AT$3,2+AT$2)&lt;&gt;"",INDEX('×入力'!$A$1:$L$1300,594,2+AT$2)&lt;&gt;"",INDEX('×入力'!$A$1:$L$1300,595+AT$3,1)&lt;&gt;""),1,0),0)</f>
        <v/>
      </c>
      <c r="AU31">
        <f>IF(AU$4=1,IF(OR(INDEX('×入力'!$A$1:$L$1300,595+AU$3,2+AU$2)&lt;&gt;"",INDEX('×入力'!$A$1:$L$1300,594,2+AU$2)&lt;&gt;"",INDEX('×入力'!$A$1:$L$1300,595+AU$3,1)&lt;&gt;""),1,0),0)</f>
        <v/>
      </c>
      <c r="AV31">
        <f>IF(AV$4=1,IF(OR(INDEX('×入力'!$A$1:$L$1300,595+AV$3,2+AV$2)&lt;&gt;"",INDEX('×入力'!$A$1:$L$1300,594,2+AV$2)&lt;&gt;"",INDEX('×入力'!$A$1:$L$1300,595+AV$3,1)&lt;&gt;""),1,0),0)</f>
        <v/>
      </c>
      <c r="AW31">
        <f>IF(AW$4=1,IF(OR(INDEX('×入力'!$A$1:$L$1300,595+AW$3,2+AW$2)&lt;&gt;"",INDEX('×入力'!$A$1:$L$1300,594,2+AW$2)&lt;&gt;"",INDEX('×入力'!$A$1:$L$1300,595+AW$3,1)&lt;&gt;""),1,0),0)</f>
        <v/>
      </c>
      <c r="AX31">
        <f>IF(AX$4=1,IF(OR(INDEX('×入力'!$A$1:$L$1300,595+AX$3,2+AX$2)&lt;&gt;"",INDEX('×入力'!$A$1:$L$1300,594,2+AX$2)&lt;&gt;"",INDEX('×入力'!$A$1:$L$1300,595+AX$3,1)&lt;&gt;""),1,0),0)</f>
        <v/>
      </c>
      <c r="AY31">
        <f>IF(AY$4=1,IF(OR(INDEX('×入力'!$A$1:$L$1300,595+AY$3,2+AY$2)&lt;&gt;"",INDEX('×入力'!$A$1:$L$1300,594,2+AY$2)&lt;&gt;"",INDEX('×入力'!$A$1:$L$1300,595+AY$3,1)&lt;&gt;""),1,0),0)</f>
        <v/>
      </c>
      <c r="AZ31">
        <f>IF(AZ$4=1,IF(OR(INDEX('×入力'!$A$1:$L$1300,595+AZ$3,2+AZ$2)&lt;&gt;"",INDEX('×入力'!$A$1:$L$1300,594,2+AZ$2)&lt;&gt;"",INDEX('×入力'!$A$1:$L$1300,595+AZ$3,1)&lt;&gt;""),1,0),0)</f>
        <v/>
      </c>
      <c r="BA31">
        <f>IF(BA$4=1,IF(OR(INDEX('×入力'!$A$1:$L$1300,595+BA$3,2+BA$2)&lt;&gt;"",INDEX('×入力'!$A$1:$L$1300,594,2+BA$2)&lt;&gt;"",INDEX('×入力'!$A$1:$L$1300,595+BA$3,1)&lt;&gt;""),1,0),0)</f>
        <v/>
      </c>
      <c r="BB31">
        <f>IF(BB$4=1,IF(OR(INDEX('×入力'!$A$1:$L$1300,595+BB$3,2+BB$2)&lt;&gt;"",INDEX('×入力'!$A$1:$L$1300,594,2+BB$2)&lt;&gt;"",INDEX('×入力'!$A$1:$L$1300,595+BB$3,1)&lt;&gt;""),1,0),0)</f>
        <v/>
      </c>
      <c r="BC31">
        <f>IF(BC$4=1,IF(OR(INDEX('×入力'!$A$1:$L$1300,595+BC$3,2+BC$2)&lt;&gt;"",INDEX('×入力'!$A$1:$L$1300,594,2+BC$2)&lt;&gt;"",INDEX('×入力'!$A$1:$L$1300,595+BC$3,1)&lt;&gt;""),1,0),0)</f>
        <v/>
      </c>
      <c r="BD31">
        <f>IF(BD$4=1,IF(OR(INDEX('×入力'!$A$1:$L$1300,595+BD$3,2+BD$2)&lt;&gt;"",INDEX('×入力'!$A$1:$L$1300,594,2+BD$2)&lt;&gt;"",INDEX('×入力'!$A$1:$L$1300,595+BD$3,1)&lt;&gt;""),1,0),0)</f>
        <v/>
      </c>
      <c r="BE31">
        <f>IF(BE$4=1,IF(OR(INDEX('×入力'!$A$1:$L$1300,595+BE$3,2+BE$2)&lt;&gt;"",INDEX('×入力'!$A$1:$L$1300,594,2+BE$2)&lt;&gt;"",INDEX('×入力'!$A$1:$L$1300,595+BE$3,1)&lt;&gt;""),1,0),0)</f>
        <v/>
      </c>
      <c r="BF31">
        <f>IF(BF$4=1,IF(OR(INDEX('×入力'!$A$1:$L$1300,595+BF$3,2+BF$2)&lt;&gt;"",INDEX('×入力'!$A$1:$L$1300,594,2+BF$2)&lt;&gt;"",INDEX('×入力'!$A$1:$L$1300,595+BF$3,1)&lt;&gt;""),1,0),0)</f>
        <v/>
      </c>
      <c r="BG31">
        <f>IF(BG$4=1,IF(OR(INDEX('×入力'!$A$1:$L$1300,595+BG$3,2+BG$2)&lt;&gt;"",INDEX('×入力'!$A$1:$L$1300,594,2+BG$2)&lt;&gt;"",INDEX('×入力'!$A$1:$L$1300,595+BG$3,1)&lt;&gt;""),1,0),0)</f>
        <v/>
      </c>
      <c r="BH31">
        <f>IF(BH$4=1,IF(OR(INDEX('×入力'!$A$1:$L$1300,595+BH$3,2+BH$2)&lt;&gt;"",INDEX('×入力'!$A$1:$L$1300,594,2+BH$2)&lt;&gt;"",INDEX('×入力'!$A$1:$L$1300,595+BH$3,1)&lt;&gt;""),1,0),0)</f>
        <v/>
      </c>
      <c r="BI31">
        <f>IF(BI$4=1,IF(OR(INDEX('×入力'!$A$1:$L$1300,595+BI$3,2+BI$2)&lt;&gt;"",INDEX('×入力'!$A$1:$L$1300,594,2+BI$2)&lt;&gt;"",INDEX('×入力'!$A$1:$L$1300,595+BI$3,1)&lt;&gt;""),1,0),0)</f>
        <v/>
      </c>
      <c r="BJ31">
        <f>IF(BJ$4=1,IF(OR(INDEX('×入力'!$A$1:$L$1300,595+BJ$3,2+BJ$2)&lt;&gt;"",INDEX('×入力'!$A$1:$L$1300,594,2+BJ$2)&lt;&gt;"",INDEX('×入力'!$A$1:$L$1300,595+BJ$3,1)&lt;&gt;""),1,0),0)</f>
        <v/>
      </c>
      <c r="BK31">
        <f>IF(BK$4=1,IF(OR(INDEX('×入力'!$A$1:$L$1300,595+BK$3,2+BK$2)&lt;&gt;"",INDEX('×入力'!$A$1:$L$1300,594,2+BK$2)&lt;&gt;"",INDEX('×入力'!$A$1:$L$1300,595+BK$3,1)&lt;&gt;""),1,0),0)</f>
        <v/>
      </c>
      <c r="BL31">
        <f>IF(BL$4=1,IF(OR(INDEX('×入力'!$A$1:$L$1300,595+BL$3,2+BL$2)&lt;&gt;"",INDEX('×入力'!$A$1:$L$1300,594,2+BL$2)&lt;&gt;"",INDEX('×入力'!$A$1:$L$1300,595+BL$3,1)&lt;&gt;""),1,0),0)</f>
        <v/>
      </c>
      <c r="BM31">
        <f>IF(BM$4=1,IF(OR(INDEX('×入力'!$A$1:$L$1300,595+BM$3,2+BM$2)&lt;&gt;"",INDEX('×入力'!$A$1:$L$1300,594,2+BM$2)&lt;&gt;"",INDEX('×入力'!$A$1:$L$1300,595+BM$3,1)&lt;&gt;""),1,0),0)</f>
        <v/>
      </c>
      <c r="BN31">
        <f>IF(BN$4=1,IF(OR(INDEX('×入力'!$A$1:$L$1300,595+BN$3,2+BN$2)&lt;&gt;"",INDEX('×入力'!$A$1:$L$1300,594,2+BN$2)&lt;&gt;"",INDEX('×入力'!$A$1:$L$1300,595+BN$3,1)&lt;&gt;""),1,0),0)</f>
        <v/>
      </c>
      <c r="BO31">
        <f>IF(BO$4=1,IF(OR(INDEX('×入力'!$A$1:$L$1300,595+BO$3,2+BO$2)&lt;&gt;"",INDEX('×入力'!$A$1:$L$1300,594,2+BO$2)&lt;&gt;"",INDEX('×入力'!$A$1:$L$1300,595+BO$3,1)&lt;&gt;""),1,0),0)</f>
        <v/>
      </c>
      <c r="BP31">
        <f>IF(BP$4=1,IF(OR(INDEX('×入力'!$A$1:$L$1300,595+BP$3,2+BP$2)&lt;&gt;"",INDEX('×入力'!$A$1:$L$1300,594,2+BP$2)&lt;&gt;"",INDEX('×入力'!$A$1:$L$1300,595+BP$3,1)&lt;&gt;""),1,0),0)</f>
        <v/>
      </c>
      <c r="BQ31">
        <f>IF(BQ$4=1,IF(OR(INDEX('×入力'!$A$1:$L$1300,595+BQ$3,2+BQ$2)&lt;&gt;"",INDEX('×入力'!$A$1:$L$1300,594,2+BQ$2)&lt;&gt;"",INDEX('×入力'!$A$1:$L$1300,595+BQ$3,1)&lt;&gt;""),1,0),0)</f>
        <v/>
      </c>
      <c r="BR31">
        <f>IF(BR$4=1,IF(OR(INDEX('×入力'!$A$1:$L$1300,595+BR$3,2+BR$2)&lt;&gt;"",INDEX('×入力'!$A$1:$L$1300,594,2+BR$2)&lt;&gt;"",INDEX('×入力'!$A$1:$L$1300,595+BR$3,1)&lt;&gt;""),1,0),0)</f>
        <v/>
      </c>
      <c r="BS31">
        <f>IF(BS$4=1,IF(OR(INDEX('×入力'!$A$1:$L$1300,595+BS$3,2+BS$2)&lt;&gt;"",INDEX('×入力'!$A$1:$L$1300,594,2+BS$2)&lt;&gt;"",INDEX('×入力'!$A$1:$L$1300,595+BS$3,1)&lt;&gt;""),1,0),0)</f>
        <v/>
      </c>
      <c r="BT31">
        <f>IF(BT$4=1,IF(OR(INDEX('×入力'!$A$1:$L$1300,595+BT$3,2+BT$2)&lt;&gt;"",INDEX('×入力'!$A$1:$L$1300,594,2+BT$2)&lt;&gt;"",INDEX('×入力'!$A$1:$L$1300,595+BT$3,1)&lt;&gt;""),1,0),0)</f>
        <v/>
      </c>
      <c r="BU31">
        <f>IF(BU$4=1,IF(OR(INDEX('×入力'!$A$1:$L$1300,595+BU$3,2+BU$2)&lt;&gt;"",INDEX('×入力'!$A$1:$L$1300,594,2+BU$2)&lt;&gt;"",INDEX('×入力'!$A$1:$L$1300,595+BU$3,1)&lt;&gt;""),1,0),0)</f>
        <v/>
      </c>
      <c r="BV31">
        <f>IF(BV$4=1,IF(OR(INDEX('×入力'!$A$1:$L$1300,595+BV$3,2+BV$2)&lt;&gt;"",INDEX('×入力'!$A$1:$L$1300,594,2+BV$2)&lt;&gt;"",INDEX('×入力'!$A$1:$L$1300,595+BV$3,1)&lt;&gt;""),1,0),0)</f>
        <v/>
      </c>
      <c r="BW31">
        <f>IF(BW$4=1,IF(OR(INDEX('×入力'!$A$1:$L$1300,595+BW$3,2+BW$2)&lt;&gt;"",INDEX('×入力'!$A$1:$L$1300,594,2+BW$2)&lt;&gt;"",INDEX('×入力'!$A$1:$L$1300,595+BW$3,1)&lt;&gt;""),1,0),0)</f>
        <v/>
      </c>
      <c r="BX31">
        <f>IF(BX$4=1,IF(OR(INDEX('×入力'!$A$1:$L$1300,595+BX$3,2+BX$2)&lt;&gt;"",INDEX('×入力'!$A$1:$L$1300,594,2+BX$2)&lt;&gt;"",INDEX('×入力'!$A$1:$L$1300,595+BX$3,1)&lt;&gt;""),1,0),0)</f>
        <v/>
      </c>
      <c r="BY31">
        <f>IF(BY$4=1,IF(OR(INDEX('×入力'!$A$1:$L$1300,595+BY$3,2+BY$2)&lt;&gt;"",INDEX('×入力'!$A$1:$L$1300,594,2+BY$2)&lt;&gt;"",INDEX('×入力'!$A$1:$L$1300,595+BY$3,1)&lt;&gt;""),1,0),0)</f>
        <v/>
      </c>
      <c r="BZ31">
        <f>IF(BZ$4=1,IF(OR(INDEX('×入力'!$A$1:$L$1300,595+BZ$3,2+BZ$2)&lt;&gt;"",INDEX('×入力'!$A$1:$L$1300,594,2+BZ$2)&lt;&gt;"",INDEX('×入力'!$A$1:$L$1300,595+BZ$3,1)&lt;&gt;""),1,0),0)</f>
        <v/>
      </c>
      <c r="CA31">
        <f>IF(CA$4=1,IF(OR(INDEX('×入力'!$A$1:$L$1300,595+CA$3,2+CA$2)&lt;&gt;"",INDEX('×入力'!$A$1:$L$1300,594,2+CA$2)&lt;&gt;"",INDEX('×入力'!$A$1:$L$1300,595+CA$3,1)&lt;&gt;""),1,0),0)</f>
        <v/>
      </c>
      <c r="CB31">
        <f>IF(CB$4=1,IF(OR(INDEX('×入力'!$A$1:$L$1300,595+CB$3,2+CB$2)&lt;&gt;"",INDEX('×入力'!$A$1:$L$1300,594,2+CB$2)&lt;&gt;"",INDEX('×入力'!$A$1:$L$1300,595+CB$3,1)&lt;&gt;""),1,0),0)</f>
        <v/>
      </c>
      <c r="CC31">
        <f>IF(CC$4=1,IF(OR(INDEX('×入力'!$A$1:$L$1300,595+CC$3,2+CC$2)&lt;&gt;"",INDEX('×入力'!$A$1:$L$1300,594,2+CC$2)&lt;&gt;"",INDEX('×入力'!$A$1:$L$1300,595+CC$3,1)&lt;&gt;""),1,0),0)</f>
        <v/>
      </c>
      <c r="CD31">
        <f>IF(CD$4=1,IF(OR(INDEX('×入力'!$A$1:$L$1300,595+CD$3,2+CD$2)&lt;&gt;"",INDEX('×入力'!$A$1:$L$1300,594,2+CD$2)&lt;&gt;"",INDEX('×入力'!$A$1:$L$1300,595+CD$3,1)&lt;&gt;""),1,0),0)</f>
        <v/>
      </c>
      <c r="CE31">
        <f>IF(CE$4=1,IF(OR(INDEX('×入力'!$A$1:$L$1300,595+CE$3,2+CE$2)&lt;&gt;"",INDEX('×入力'!$A$1:$L$1300,594,2+CE$2)&lt;&gt;"",INDEX('×入力'!$A$1:$L$1300,595+CE$3,1)&lt;&gt;""),1,0),0)</f>
        <v/>
      </c>
      <c r="CF31">
        <f>IF(CF$4=1,IF(OR(INDEX('×入力'!$A$1:$L$1300,595+CF$3,2+CF$2)&lt;&gt;"",INDEX('×入力'!$A$1:$L$1300,594,2+CF$2)&lt;&gt;"",INDEX('×入力'!$A$1:$L$1300,595+CF$3,1)&lt;&gt;""),1,0),0)</f>
        <v/>
      </c>
      <c r="CG31">
        <f>IF(CG$4=1,IF(OR(INDEX('×入力'!$A$1:$L$1300,595+CG$3,2+CG$2)&lt;&gt;"",INDEX('×入力'!$A$1:$L$1300,594,2+CG$2)&lt;&gt;"",INDEX('×入力'!$A$1:$L$1300,595+CG$3,1)&lt;&gt;""),1,0),0)</f>
        <v/>
      </c>
      <c r="CH31">
        <f>IF(CH$4=1,IF(OR(INDEX('×入力'!$A$1:$L$1300,595+CH$3,2+CH$2)&lt;&gt;"",INDEX('×入力'!$A$1:$L$1300,594,2+CH$2)&lt;&gt;"",INDEX('×入力'!$A$1:$L$1300,595+CH$3,1)&lt;&gt;""),1,0),0)</f>
        <v/>
      </c>
      <c r="CI31">
        <f>IF(CI$4=1,IF(OR(INDEX('×入力'!$A$1:$L$1300,595+CI$3,2+CI$2)&lt;&gt;"",INDEX('×入力'!$A$1:$L$1300,594,2+CI$2)&lt;&gt;"",INDEX('×入力'!$A$1:$L$1300,595+CI$3,1)&lt;&gt;""),1,0),0)</f>
        <v/>
      </c>
      <c r="CJ31">
        <f>IF(CJ$4=1,IF(OR(INDEX('×入力'!$A$1:$L$1300,595+CJ$3,2+CJ$2)&lt;&gt;"",INDEX('×入力'!$A$1:$L$1300,594,2+CJ$2)&lt;&gt;"",INDEX('×入力'!$A$1:$L$1300,595+CJ$3,1)&lt;&gt;""),1,0),0)</f>
        <v/>
      </c>
      <c r="CK31">
        <f>IF(CK$4=1,IF(OR(INDEX('×入力'!$A$1:$L$1300,595+CK$3,2+CK$2)&lt;&gt;"",INDEX('×入力'!$A$1:$L$1300,594,2+CK$2)&lt;&gt;"",INDEX('×入力'!$A$1:$L$1300,595+CK$3,1)&lt;&gt;""),1,0),0)</f>
        <v/>
      </c>
      <c r="CL31">
        <f>IF(CL$4=1,IF(OR(INDEX('×入力'!$A$1:$L$1300,595+CL$3,2+CL$2)&lt;&gt;"",INDEX('×入力'!$A$1:$L$1300,594,2+CL$2)&lt;&gt;"",INDEX('×入力'!$A$1:$L$1300,595+CL$3,1)&lt;&gt;""),1,0),0)</f>
        <v/>
      </c>
      <c r="CM31">
        <f>IF(CM$4=1,IF(OR(INDEX('×入力'!$A$1:$L$1300,595+CM$3,2+CM$2)&lt;&gt;"",INDEX('×入力'!$A$1:$L$1300,594,2+CM$2)&lt;&gt;"",INDEX('×入力'!$A$1:$L$1300,595+CM$3,1)&lt;&gt;""),1,0),0)</f>
        <v/>
      </c>
      <c r="CN31">
        <f>IF(CN$4=1,IF(OR(INDEX('×入力'!$A$1:$L$1300,595+CN$3,2+CN$2)&lt;&gt;"",INDEX('×入力'!$A$1:$L$1300,594,2+CN$2)&lt;&gt;"",INDEX('×入力'!$A$1:$L$1300,595+CN$3,1)&lt;&gt;""),1,0),0)</f>
        <v/>
      </c>
      <c r="CO31">
        <f>IF(CO$4=1,IF(OR(INDEX('×入力'!$A$1:$L$1300,595+CO$3,2+CO$2)&lt;&gt;"",INDEX('×入力'!$A$1:$L$1300,594,2+CO$2)&lt;&gt;"",INDEX('×入力'!$A$1:$L$1300,595+CO$3,1)&lt;&gt;""),1,0),0)</f>
        <v/>
      </c>
      <c r="CP31">
        <f>IF(CP$4=1,IF(OR(INDEX('×入力'!$A$1:$L$1300,595+CP$3,2+CP$2)&lt;&gt;"",INDEX('×入力'!$A$1:$L$1300,594,2+CP$2)&lt;&gt;"",INDEX('×入力'!$A$1:$L$1300,595+CP$3,1)&lt;&gt;""),1,0),0)</f>
        <v/>
      </c>
      <c r="CQ31">
        <f>IF(CQ$4=1,IF(OR(INDEX('×入力'!$A$1:$L$1300,595+CQ$3,2+CQ$2)&lt;&gt;"",INDEX('×入力'!$A$1:$L$1300,594,2+CQ$2)&lt;&gt;"",INDEX('×入力'!$A$1:$L$1300,595+CQ$3,1)&lt;&gt;""),1,0),0)</f>
        <v/>
      </c>
      <c r="CR31">
        <f>IF(CR$4=1,IF(OR(INDEX('×入力'!$A$1:$L$1300,595+CR$3,2+CR$2)&lt;&gt;"",INDEX('×入力'!$A$1:$L$1300,594,2+CR$2)&lt;&gt;"",INDEX('×入力'!$A$1:$L$1300,595+CR$3,1)&lt;&gt;""),1,0),0)</f>
        <v/>
      </c>
      <c r="CS31">
        <f>IF(CS$4=1,IF(OR(INDEX('×入力'!$A$1:$L$1300,595+CS$3,2+CS$2)&lt;&gt;"",INDEX('×入力'!$A$1:$L$1300,594,2+CS$2)&lt;&gt;"",INDEX('×入力'!$A$1:$L$1300,595+CS$3,1)&lt;&gt;""),1,0),0)</f>
        <v/>
      </c>
      <c r="CT31">
        <f>IF(CT$4=1,IF(OR(INDEX('×入力'!$A$1:$L$1300,595+CT$3,2+CT$2)&lt;&gt;"",INDEX('×入力'!$A$1:$L$1300,594,2+CT$2)&lt;&gt;"",INDEX('×入力'!$A$1:$L$1300,595+CT$3,1)&lt;&gt;""),1,0),0)</f>
        <v/>
      </c>
      <c r="CU31">
        <f>IF(CU$4=1,IF(OR(INDEX('×入力'!$A$1:$L$1300,595+CU$3,2+CU$2)&lt;&gt;"",INDEX('×入力'!$A$1:$L$1300,594,2+CU$2)&lt;&gt;"",INDEX('×入力'!$A$1:$L$1300,595+CU$3,1)&lt;&gt;""),1,0),0)</f>
        <v/>
      </c>
      <c r="CV31">
        <f>IF(CV$4=1,IF(OR(INDEX('×入力'!$A$1:$L$1300,595+CV$3,2+CV$2)&lt;&gt;"",INDEX('×入力'!$A$1:$L$1300,594,2+CV$2)&lt;&gt;"",INDEX('×入力'!$A$1:$L$1300,595+CV$3,1)&lt;&gt;""),1,0),0)</f>
        <v/>
      </c>
      <c r="CW31">
        <f>IF(CW$4=1,IF(OR(INDEX('×入力'!$A$1:$L$1300,595+CW$3,2+CW$2)&lt;&gt;"",INDEX('×入力'!$A$1:$L$1300,594,2+CW$2)&lt;&gt;"",INDEX('×入力'!$A$1:$L$1300,595+CW$3,1)&lt;&gt;""),1,0),0)</f>
        <v/>
      </c>
      <c r="CX31">
        <f>IF(CX$4=1,IF(OR(INDEX('×入力'!$A$1:$L$1300,595+CX$3,2+CX$2)&lt;&gt;"",INDEX('×入力'!$A$1:$L$1300,594,2+CX$2)&lt;&gt;"",INDEX('×入力'!$A$1:$L$1300,595+CX$3,1)&lt;&gt;""),1,0),0)</f>
        <v/>
      </c>
      <c r="CY31">
        <f>IF(CY$4=1,IF(OR(INDEX('×入力'!$A$1:$L$1300,595+CY$3,2+CY$2)&lt;&gt;"",INDEX('×入力'!$A$1:$L$1300,594,2+CY$2)&lt;&gt;"",INDEX('×入力'!$A$1:$L$1300,595+CY$3,1)&lt;&gt;""),1,0),0)</f>
        <v/>
      </c>
      <c r="CZ31">
        <f>IF(CZ$4=1,IF(OR(INDEX('×入力'!$A$1:$L$1300,595+CZ$3,2+CZ$2)&lt;&gt;"",INDEX('×入力'!$A$1:$L$1300,594,2+CZ$2)&lt;&gt;"",INDEX('×入力'!$A$1:$L$1300,595+CZ$3,1)&lt;&gt;""),1,0),0)</f>
        <v/>
      </c>
      <c r="DA31">
        <f>IF(DA$4=1,IF(OR(INDEX('×入力'!$A$1:$L$1300,595+DA$3,2+DA$2)&lt;&gt;"",INDEX('×入力'!$A$1:$L$1300,594,2+DA$2)&lt;&gt;"",INDEX('×入力'!$A$1:$L$1300,595+DA$3,1)&lt;&gt;""),1,0),0)</f>
        <v/>
      </c>
      <c r="DB31">
        <f>IF(DB$4=1,IF(OR(INDEX('×入力'!$A$1:$L$1300,595+DB$3,2+DB$2)&lt;&gt;"",INDEX('×入力'!$A$1:$L$1300,594,2+DB$2)&lt;&gt;"",INDEX('×入力'!$A$1:$L$1300,595+DB$3,1)&lt;&gt;""),1,0),0)</f>
        <v/>
      </c>
      <c r="DC31">
        <f>IF(DC$4=1,IF(OR(INDEX('×入力'!$A$1:$L$1300,595+DC$3,2+DC$2)&lt;&gt;"",INDEX('×入力'!$A$1:$L$1300,594,2+DC$2)&lt;&gt;"",INDEX('×入力'!$A$1:$L$1300,595+DC$3,1)&lt;&gt;""),1,0),0)</f>
        <v/>
      </c>
      <c r="DD31">
        <f>IF(DD$4=1,IF(OR(INDEX('×入力'!$A$1:$L$1300,595+DD$3,2+DD$2)&lt;&gt;"",INDEX('×入力'!$A$1:$L$1300,594,2+DD$2)&lt;&gt;"",INDEX('×入力'!$A$1:$L$1300,595+DD$3,1)&lt;&gt;""),1,0),0)</f>
        <v/>
      </c>
      <c r="DE31">
        <f>IF(DE$4=1,IF(OR(INDEX('×入力'!$A$1:$L$1300,595+DE$3,2+DE$2)&lt;&gt;"",INDEX('×入力'!$A$1:$L$1300,594,2+DE$2)&lt;&gt;"",INDEX('×入力'!$A$1:$L$1300,595+DE$3,1)&lt;&gt;""),1,0),0)</f>
        <v/>
      </c>
      <c r="DF31">
        <f>IF(DF$4=1,IF(OR(INDEX('×入力'!$A$1:$L$1300,595+DF$3,2+DF$2)&lt;&gt;"",INDEX('×入力'!$A$1:$L$1300,594,2+DF$2)&lt;&gt;"",INDEX('×入力'!$A$1:$L$1300,595+DF$3,1)&lt;&gt;""),1,0),0)</f>
        <v/>
      </c>
      <c r="DG31">
        <f>IF(DG$4=1,IF(OR(INDEX('×入力'!$A$1:$L$1300,595+DG$3,2+DG$2)&lt;&gt;"",INDEX('×入力'!$A$1:$L$1300,594,2+DG$2)&lt;&gt;"",INDEX('×入力'!$A$1:$L$1300,595+DG$3,1)&lt;&gt;""),1,0),0)</f>
        <v/>
      </c>
      <c r="DH31">
        <f>IF(DH$4=1,IF(OR(INDEX('×入力'!$A$1:$L$1300,595+DH$3,2+DH$2)&lt;&gt;"",INDEX('×入力'!$A$1:$L$1300,594,2+DH$2)&lt;&gt;"",INDEX('×入力'!$A$1:$L$1300,595+DH$3,1)&lt;&gt;""),1,0),0)</f>
        <v/>
      </c>
      <c r="DI31">
        <f>IF(DI$4=1,IF(OR(INDEX('×入力'!$A$1:$L$1300,595+DI$3,2+DI$2)&lt;&gt;"",INDEX('×入力'!$A$1:$L$1300,594,2+DI$2)&lt;&gt;"",INDEX('×入力'!$A$1:$L$1300,595+DI$3,1)&lt;&gt;""),1,0),0)</f>
        <v/>
      </c>
      <c r="DJ31">
        <f>IF(DJ$4=1,IF(OR(INDEX('×入力'!$A$1:$L$1300,595+DJ$3,2+DJ$2)&lt;&gt;"",INDEX('×入力'!$A$1:$L$1300,594,2+DJ$2)&lt;&gt;"",INDEX('×入力'!$A$1:$L$1300,595+DJ$3,1)&lt;&gt;""),1,0),0)</f>
        <v/>
      </c>
      <c r="DK31">
        <f>IF(DK$4=1,IF(OR(INDEX('×入力'!$A$1:$L$1300,595+DK$3,2+DK$2)&lt;&gt;"",INDEX('×入力'!$A$1:$L$1300,594,2+DK$2)&lt;&gt;"",INDEX('×入力'!$A$1:$L$1300,595+DK$3,1)&lt;&gt;""),1,0),0)</f>
        <v/>
      </c>
      <c r="DL31">
        <f>IF(DL$4=1,IF(OR(INDEX('×入力'!$A$1:$L$1300,595+DL$3,2+DL$2)&lt;&gt;"",INDEX('×入力'!$A$1:$L$1300,594,2+DL$2)&lt;&gt;"",INDEX('×入力'!$A$1:$L$1300,595+DL$3,1)&lt;&gt;""),1,0),0)</f>
        <v/>
      </c>
      <c r="DM31">
        <f>IF(DM$4=1,IF(OR(INDEX('×入力'!$A$1:$L$1300,595+DM$3,2+DM$2)&lt;&gt;"",INDEX('×入力'!$A$1:$L$1300,594,2+DM$2)&lt;&gt;"",INDEX('×入力'!$A$1:$L$1300,595+DM$3,1)&lt;&gt;""),1,0),0)</f>
        <v/>
      </c>
      <c r="DN31">
        <f>IF(DN$4=1,IF(OR(INDEX('×入力'!$A$1:$L$1300,595+DN$3,2+DN$2)&lt;&gt;"",INDEX('×入力'!$A$1:$L$1300,594,2+DN$2)&lt;&gt;"",INDEX('×入力'!$A$1:$L$1300,595+DN$3,1)&lt;&gt;""),1,0),0)</f>
        <v/>
      </c>
      <c r="DO31">
        <f>IF(DO$4=1,IF(OR(INDEX('×入力'!$A$1:$L$1300,595+DO$3,2+DO$2)&lt;&gt;"",INDEX('×入力'!$A$1:$L$1300,594,2+DO$2)&lt;&gt;"",INDEX('×入力'!$A$1:$L$1300,595+DO$3,1)&lt;&gt;""),1,0),0)</f>
        <v/>
      </c>
      <c r="DP31">
        <f>IF(DP$4=1,IF(OR(INDEX('×入力'!$A$1:$L$1300,595+DP$3,2+DP$2)&lt;&gt;"",INDEX('×入力'!$A$1:$L$1300,594,2+DP$2)&lt;&gt;"",INDEX('×入力'!$A$1:$L$1300,595+DP$3,1)&lt;&gt;""),1,0),0)</f>
        <v/>
      </c>
      <c r="DQ31">
        <f>IF(DQ$4=1,IF(OR(INDEX('×入力'!$A$1:$L$1300,595+DQ$3,2+DQ$2)&lt;&gt;"",INDEX('×入力'!$A$1:$L$1300,594,2+DQ$2)&lt;&gt;"",INDEX('×入力'!$A$1:$L$1300,595+DQ$3,1)&lt;&gt;""),1,0),0)</f>
        <v/>
      </c>
      <c r="DR31">
        <f>IF(DR$4=1,IF(OR(INDEX('×入力'!$A$1:$L$1300,595+DR$3,2+DR$2)&lt;&gt;"",INDEX('×入力'!$A$1:$L$1300,594,2+DR$2)&lt;&gt;"",INDEX('×入力'!$A$1:$L$1300,595+DR$3,1)&lt;&gt;""),1,0),0)</f>
        <v/>
      </c>
      <c r="DS31">
        <f>IF(DS$4=1,IF(OR(INDEX('×入力'!$A$1:$L$1300,595+DS$3,2+DS$2)&lt;&gt;"",INDEX('×入力'!$A$1:$L$1300,594,2+DS$2)&lt;&gt;"",INDEX('×入力'!$A$1:$L$1300,595+DS$3,1)&lt;&gt;""),1,0),0)</f>
        <v/>
      </c>
      <c r="DT31">
        <f>IF(DT$4=1,IF(OR(INDEX('×入力'!$A$1:$L$1300,595+DT$3,2+DT$2)&lt;&gt;"",INDEX('×入力'!$A$1:$L$1300,594,2+DT$2)&lt;&gt;"",INDEX('×入力'!$A$1:$L$1300,595+DT$3,1)&lt;&gt;""),1,0),0)</f>
        <v/>
      </c>
      <c r="DU31">
        <f>IF(DU$4=1,IF(OR(INDEX('×入力'!$A$1:$L$1300,595+DU$3,2+DU$2)&lt;&gt;"",INDEX('×入力'!$A$1:$L$1300,594,2+DU$2)&lt;&gt;"",INDEX('×入力'!$A$1:$L$1300,595+DU$3,1)&lt;&gt;""),1,0),0)</f>
        <v/>
      </c>
      <c r="DV31">
        <f>IF(DV$4=1,IF(OR(INDEX('×入力'!$A$1:$L$1300,595+DV$3,2+DV$2)&lt;&gt;"",INDEX('×入力'!$A$1:$L$1300,594,2+DV$2)&lt;&gt;"",INDEX('×入力'!$A$1:$L$1300,595+DV$3,1)&lt;&gt;""),1,0),0)</f>
        <v/>
      </c>
      <c r="DW31">
        <f>IF(DW$4=1,IF(OR(INDEX('×入力'!$A$1:$L$1300,595+DW$3,2+DW$2)&lt;&gt;"",INDEX('×入力'!$A$1:$L$1300,594,2+DW$2)&lt;&gt;"",INDEX('×入力'!$A$1:$L$1300,595+DW$3,1)&lt;&gt;""),1,0),0)</f>
        <v/>
      </c>
      <c r="DX31">
        <f>IF(DX$4=1,IF(OR(INDEX('×入力'!$A$1:$L$1300,595+DX$3,2+DX$2)&lt;&gt;"",INDEX('×入力'!$A$1:$L$1300,594,2+DX$2)&lt;&gt;"",INDEX('×入力'!$A$1:$L$1300,595+DX$3,1)&lt;&gt;""),1,0),0)</f>
        <v/>
      </c>
      <c r="DY31">
        <f>IF(DY$4=1,IF(OR(INDEX('×入力'!$A$1:$L$1300,595+DY$3,2+DY$2)&lt;&gt;"",INDEX('×入力'!$A$1:$L$1300,594,2+DY$2)&lt;&gt;"",INDEX('×入力'!$A$1:$L$1300,595+DY$3,1)&lt;&gt;""),1,0),0)</f>
        <v/>
      </c>
      <c r="DZ31">
        <f>IF(DZ$4=1,IF(OR(INDEX('×入力'!$A$1:$L$1300,595+DZ$3,2+DZ$2)&lt;&gt;"",INDEX('×入力'!$A$1:$L$1300,594,2+DZ$2)&lt;&gt;"",INDEX('×入力'!$A$1:$L$1300,595+DZ$3,1)&lt;&gt;""),1,0),0)</f>
        <v/>
      </c>
      <c r="EA31">
        <f>IF(EA$4=1,IF(OR(INDEX('×入力'!$A$1:$L$1300,595+EA$3,2+EA$2)&lt;&gt;"",INDEX('×入力'!$A$1:$L$1300,594,2+EA$2)&lt;&gt;"",INDEX('×入力'!$A$1:$L$1300,595+EA$3,1)&lt;&gt;""),1,0),0)</f>
        <v/>
      </c>
      <c r="EB31">
        <f>IF(EB$4=1,IF(OR(INDEX('×入力'!$A$1:$L$1300,595+EB$3,2+EB$2)&lt;&gt;"",INDEX('×入力'!$A$1:$L$1300,594,2+EB$2)&lt;&gt;"",INDEX('×入力'!$A$1:$L$1300,595+EB$3,1)&lt;&gt;""),1,0),0)</f>
        <v/>
      </c>
      <c r="EC31">
        <f>IF(EC$4=1,IF(OR(INDEX('×入力'!$A$1:$L$1300,595+EC$3,2+EC$2)&lt;&gt;"",INDEX('×入力'!$A$1:$L$1300,594,2+EC$2)&lt;&gt;"",INDEX('×入力'!$A$1:$L$1300,595+EC$3,1)&lt;&gt;""),1,0),0)</f>
        <v/>
      </c>
      <c r="ED31">
        <f>IF(ED$4=1,IF(OR(INDEX('×入力'!$A$1:$L$1300,595+ED$3,2+ED$2)&lt;&gt;"",INDEX('×入力'!$A$1:$L$1300,594,2+ED$2)&lt;&gt;"",INDEX('×入力'!$A$1:$L$1300,595+ED$3,1)&lt;&gt;""),1,0),0)</f>
        <v/>
      </c>
      <c r="EE31">
        <f>IF(EE$4=1,IF(OR(INDEX('×入力'!$A$1:$L$1300,595+EE$3,2+EE$2)&lt;&gt;"",INDEX('×入力'!$A$1:$L$1300,594,2+EE$2)&lt;&gt;"",INDEX('×入力'!$A$1:$L$1300,595+EE$3,1)&lt;&gt;""),1,0),0)</f>
        <v/>
      </c>
      <c r="EF31">
        <f>IF(EF$4=1,IF(OR(INDEX('×入力'!$A$1:$L$1300,595+EF$3,2+EF$2)&lt;&gt;"",INDEX('×入力'!$A$1:$L$1300,594,2+EF$2)&lt;&gt;"",INDEX('×入力'!$A$1:$L$1300,595+EF$3,1)&lt;&gt;""),1,0),0)</f>
        <v/>
      </c>
      <c r="EG31">
        <f>IF(EG$4=1,IF(OR(INDEX('×入力'!$A$1:$L$1300,595+EG$3,2+EG$2)&lt;&gt;"",INDEX('×入力'!$A$1:$L$1300,594,2+EG$2)&lt;&gt;"",INDEX('×入力'!$A$1:$L$1300,595+EG$3,1)&lt;&gt;""),1,0),0)</f>
        <v/>
      </c>
      <c r="EH31">
        <f>IF(EH$4=1,IF(OR(INDEX('×入力'!$A$1:$L$1300,595+EH$3,2+EH$2)&lt;&gt;"",INDEX('×入力'!$A$1:$L$1300,594,2+EH$2)&lt;&gt;"",INDEX('×入力'!$A$1:$L$1300,595+EH$3,1)&lt;&gt;""),1,0),0)</f>
        <v/>
      </c>
      <c r="EI31">
        <f>IF(EI$4=1,IF(OR(INDEX('×入力'!$A$1:$L$1300,595+EI$3,2+EI$2)&lt;&gt;"",INDEX('×入力'!$A$1:$L$1300,594,2+EI$2)&lt;&gt;"",INDEX('×入力'!$A$1:$L$1300,595+EI$3,1)&lt;&gt;""),1,0),0)</f>
        <v/>
      </c>
      <c r="EJ31">
        <f>IF(EJ$4=1,IF(OR(INDEX('×入力'!$A$1:$L$1300,595+EJ$3,2+EJ$2)&lt;&gt;"",INDEX('×入力'!$A$1:$L$1300,594,2+EJ$2)&lt;&gt;"",INDEX('×入力'!$A$1:$L$1300,595+EJ$3,1)&lt;&gt;""),1,0),0)</f>
        <v/>
      </c>
      <c r="EK31">
        <f>IF(EK$4=1,IF(OR(INDEX('×入力'!$A$1:$L$1300,595+EK$3,2+EK$2)&lt;&gt;"",INDEX('×入力'!$A$1:$L$1300,594,2+EK$2)&lt;&gt;"",INDEX('×入力'!$A$1:$L$1300,595+EK$3,1)&lt;&gt;""),1,0),0)</f>
        <v/>
      </c>
      <c r="EL31">
        <f>IF(EL$4=1,IF(OR(INDEX('×入力'!$A$1:$L$1300,595+EL$3,2+EL$2)&lt;&gt;"",INDEX('×入力'!$A$1:$L$1300,594,2+EL$2)&lt;&gt;"",INDEX('×入力'!$A$1:$L$1300,595+EL$3,1)&lt;&gt;""),1,0),0)</f>
        <v/>
      </c>
      <c r="EM31">
        <f>IF(EM$4=1,IF(OR(INDEX('×入力'!$A$1:$L$1300,595+EM$3,2+EM$2)&lt;&gt;"",INDEX('×入力'!$A$1:$L$1300,594,2+EM$2)&lt;&gt;"",INDEX('×入力'!$A$1:$L$1300,595+EM$3,1)&lt;&gt;""),1,0),0)</f>
        <v/>
      </c>
      <c r="EN31">
        <f>IF(EN$4=1,IF(OR(INDEX('×入力'!$A$1:$L$1300,595+EN$3,2+EN$2)&lt;&gt;"",INDEX('×入力'!$A$1:$L$1300,594,2+EN$2)&lt;&gt;"",INDEX('×入力'!$A$1:$L$1300,595+EN$3,1)&lt;&gt;""),1,0),0)</f>
        <v/>
      </c>
      <c r="EO31">
        <f>IF(EO$4=1,IF(OR(INDEX('×入力'!$A$1:$L$1300,595+EO$3,2+EO$2)&lt;&gt;"",INDEX('×入力'!$A$1:$L$1300,594,2+EO$2)&lt;&gt;"",INDEX('×入力'!$A$1:$L$1300,595+EO$3,1)&lt;&gt;""),1,0),0)</f>
        <v/>
      </c>
      <c r="EP31">
        <f>IF(EP$4=1,IF(OR(INDEX('×入力'!$A$1:$L$1300,595+EP$3,2+EP$2)&lt;&gt;"",INDEX('×入力'!$A$1:$L$1300,594,2+EP$2)&lt;&gt;"",INDEX('×入力'!$A$1:$L$1300,595+EP$3,1)&lt;&gt;""),1,0),0)</f>
        <v/>
      </c>
      <c r="EQ31">
        <f>IF(EQ$4=1,IF(OR(INDEX('×入力'!$A$1:$L$1300,595+EQ$3,2+EQ$2)&lt;&gt;"",INDEX('×入力'!$A$1:$L$1300,594,2+EQ$2)&lt;&gt;"",INDEX('×入力'!$A$1:$L$1300,595+EQ$3,1)&lt;&gt;""),1,0),0)</f>
        <v/>
      </c>
      <c r="HA31">
        <f>MAX(0,IT31)</f>
        <v/>
      </c>
      <c r="HB31">
        <f>IF(HA31=0,0,INDEX($D$2:$EQ$2,HA31))</f>
        <v/>
      </c>
      <c r="HC31">
        <f>IF(HA31=0,0,INDEX($D$3:$EQ$3,HA31))</f>
        <v/>
      </c>
      <c r="HD31">
        <f>MAX(0,IY31)</f>
        <v/>
      </c>
      <c r="HE31">
        <f>IF(HD31=0,0,INDEX($D$2:$EQ$2,HD31))</f>
        <v/>
      </c>
      <c r="HF31">
        <f>IF(HD31=0,0,INDEX($D$3:$EQ$3,HD31))</f>
        <v/>
      </c>
      <c r="HG31">
        <f>MAX(0,IZ31)</f>
        <v/>
      </c>
      <c r="HH31">
        <f>IF(HG31=0,0,INDEX($D$2:$EQ$2,HG31))</f>
        <v/>
      </c>
      <c r="HI31">
        <f>IF(HG31=0,0,INDEX($D$3:$EQ$3,HG31))</f>
        <v/>
      </c>
      <c r="HJ31">
        <f>IF(AND(HA31&gt;0,HC31&gt;1,OR(HC31-1&lt;&gt;$A$3,$A$4=0)),HA31-1,-1)</f>
        <v/>
      </c>
      <c r="HK31">
        <f>IF(AND(HA31&gt;0,HC31&lt;24,OR(HC31&lt;&gt;$A$3,$A$4=0)),HA31+1,-1)</f>
        <v/>
      </c>
      <c r="HL31">
        <f>IF(AND(HD31&gt;0,HF31&gt;1,OR(HF31-1&lt;&gt;$A$3,$A$4=0)),HD31-1,-1)</f>
        <v/>
      </c>
      <c r="HM31">
        <f>IF(AND(HD31&gt;0,HF31&lt;24,OR(HF31&lt;&gt;$A$3,$A$4=0)),HD31+1,-1)</f>
        <v/>
      </c>
      <c r="HN31">
        <f>IF(AND(HG31&gt;0,HI31&gt;1,OR(HI31-1&lt;&gt;$A$3,$A$4=0)),HG31-1,-1)</f>
        <v/>
      </c>
      <c r="HO31">
        <f>IF(AND(HG31&gt;0,HI31&lt;24,OR(HI31&lt;&gt;$A$3,$A$4=0)),HG31+1,-1)</f>
        <v/>
      </c>
      <c r="IK31">
        <f>IFERROR(INDEX('calcB'!$C$3:$C$47,MATCH(A31,'calcB'!$B$3:$B$47,0)),0)</f>
        <v/>
      </c>
      <c r="IL31">
        <f>IF(AND(C31=1,IK31=0,calcA!$A$6=1),1,0)</f>
        <v/>
      </c>
      <c r="IM31">
        <f>SUMPRODUCT(D81:EQ81*(1-$D$7:$EQ$7))</f>
        <v/>
      </c>
      <c r="IN31">
        <f>SUM(D31:EQ31)</f>
        <v/>
      </c>
      <c r="IO31">
        <f>IF(B31="",0,IF(COUNTIF('調整・決定'!$C$6:$H$29,B31)=1,SUMPRODUCT(('調整・決定'!$C$6:$H$29=B31)*((COLUMN('調整・決定'!$C$6:$H$29)-3)*24+ROW('調整・決定'!$C$6:$H$29)-5)),0))</f>
        <v/>
      </c>
      <c r="IP31">
        <f>IFERROR(MATCH('名簿'!C26,{"早い時刻","遅い時刻","早い日","遅い日"},0),0)</f>
        <v/>
      </c>
      <c r="IQ31">
        <f>IF('名簿'!D26="必ず空けたい",2,IF('名簿'!D26="出来れば空けたい",1,0))</f>
        <v/>
      </c>
      <c r="IR31">
        <f>IFERROR(INDEX('calcC'!$C$3:$C$47,MATCH(A31,'calcC'!$B$3:$B$47,0)),0)</f>
        <v/>
      </c>
      <c r="IS31">
        <f>IF(AND(C31=1,IR31=0,calcA!$A$6=1),1,0)</f>
        <v/>
      </c>
      <c r="IT31">
        <f>IF(OR('名簿'!G26="",'名簿'!H26=""),0,IFERROR((MATCH('名簿'!G26,'設定'!$E$11:$E$16,0)-1)*24+MATCH('名簿'!H26,'設定'!$I$11:$I$34,0),-1))</f>
        <v/>
      </c>
      <c r="IV31">
        <f>IF(OR(JF31=0,IO31=0),1,IF(OR(IF(IT31&gt;0,AND(INDEX($D$2:$EQ$2,IO31)=INDEX($D$2:$EQ$2,IT31),OR(AND(IO31=IT31+1,OR(INDEX($D$3:$EQ$3,IT31)&lt;&gt;$A$3,$A$4=0)),AND(IO31=IT31-1,OR(INDEX($D$3:$EQ$3,IO31)&lt;&gt;$A$3,$A$4=0)))),FALSE),IF(IY31&gt;0,AND(INDEX($D$2:$EQ$2,IO31)=INDEX($D$2:$EQ$2,IY31),OR(AND(IO31=IY31+1,OR(INDEX($D$3:$EQ$3,IY31)&lt;&gt;$A$3,$A$4=0)),AND(IO31=IY31-1,OR(INDEX($D$3:$EQ$3,IO31)&lt;&gt;$A$3,$A$4=0)))),FALSE),IF(IZ31&gt;0,AND(INDEX($D$2:$EQ$2,IO31)=INDEX($D$2:$EQ$2,IZ31),OR(AND(IO31=IZ31+1,OR(INDEX($D$3:$EQ$3,IZ31)&lt;&gt;$A$3,$A$4=0)),AND(IO31=IZ31-1,OR(INDEX($D$3:$EQ$3,IO31)&lt;&gt;$A$3,$A$4=0)))),FALSE)),1,0))</f>
        <v/>
      </c>
      <c r="IW31">
        <f>IF(AND('名簿'!E26&lt;&gt;"",JF31=0),1,0)</f>
        <v/>
      </c>
      <c r="IX31">
        <f>IF('名簿'!D26="空けない",1,0)</f>
        <v/>
      </c>
      <c r="IY31">
        <f>IF(OR('名簿'!J26="",'名簿'!K26=""),0,IFERROR((MATCH('名簿'!J26,'設定'!$E$11:$E$16,0)-1)*24+MATCH('名簿'!K26,'設定'!$I$11:$I$34,0),-1))</f>
        <v/>
      </c>
      <c r="IZ31">
        <f>IF(OR('名簿'!M26="",'名簿'!N26=""),0,IFERROR((MATCH('名簿'!M26,'設定'!$E$11:$E$16,0)-1)*24+MATCH('名簿'!N26,'設定'!$I$11:$I$34,0),-1))</f>
        <v/>
      </c>
      <c r="JC31">
        <f>IF(RIGHT('名簿'!I26,2)="の前",1,IF(RIGHT('名簿'!I26,2)="の後",2,0))</f>
        <v/>
      </c>
      <c r="JD31">
        <f>IF(RIGHT('名簿'!L26,2)="の前",1,IF(RIGHT('名簿'!L26,2)="の後",2,0))</f>
        <v/>
      </c>
      <c r="JE31">
        <f>IF(RIGHT('名簿'!O26,2)="の前",1,IF(RIGHT('名簿'!O26,2)="の後",2,0))</f>
        <v/>
      </c>
      <c r="JF31">
        <f>IF(OR(IT31&gt;0,IY31&gt;0,IZ31&gt;0),1,0)</f>
        <v/>
      </c>
      <c r="JG31">
        <f>IF(OR(IT31&lt;0,IY31&lt;0,IZ31&lt;0),1,0)</f>
        <v/>
      </c>
    </row>
    <row r="32">
      <c r="A32" t="n">
        <v>23</v>
      </c>
      <c r="B32">
        <f>'名簿'!P27</f>
        <v/>
      </c>
      <c r="C32">
        <f>IF(AND(B32&lt;&gt;"",OR('名簿'!Q27="入力済み",'名簿'!Q27="×なし"),IO32=0,COUNTIF('調整・決定'!$C$6:$H$29,B32)=0),1,0)</f>
        <v/>
      </c>
      <c r="D32">
        <f>IF(D$4=1,IF(OR(INDEX('×入力'!$A$1:$L$1300,623+D$3,2+D$2)&lt;&gt;"",INDEX('×入力'!$A$1:$L$1300,622,2+D$2)&lt;&gt;"",INDEX('×入力'!$A$1:$L$1300,623+D$3,1)&lt;&gt;""),1,0),0)</f>
        <v/>
      </c>
      <c r="E32">
        <f>IF(E$4=1,IF(OR(INDEX('×入力'!$A$1:$L$1300,623+E$3,2+E$2)&lt;&gt;"",INDEX('×入力'!$A$1:$L$1300,622,2+E$2)&lt;&gt;"",INDEX('×入力'!$A$1:$L$1300,623+E$3,1)&lt;&gt;""),1,0),0)</f>
        <v/>
      </c>
      <c r="F32">
        <f>IF(F$4=1,IF(OR(INDEX('×入力'!$A$1:$L$1300,623+F$3,2+F$2)&lt;&gt;"",INDEX('×入力'!$A$1:$L$1300,622,2+F$2)&lt;&gt;"",INDEX('×入力'!$A$1:$L$1300,623+F$3,1)&lt;&gt;""),1,0),0)</f>
        <v/>
      </c>
      <c r="G32">
        <f>IF(G$4=1,IF(OR(INDEX('×入力'!$A$1:$L$1300,623+G$3,2+G$2)&lt;&gt;"",INDEX('×入力'!$A$1:$L$1300,622,2+G$2)&lt;&gt;"",INDEX('×入力'!$A$1:$L$1300,623+G$3,1)&lt;&gt;""),1,0),0)</f>
        <v/>
      </c>
      <c r="H32">
        <f>IF(H$4=1,IF(OR(INDEX('×入力'!$A$1:$L$1300,623+H$3,2+H$2)&lt;&gt;"",INDEX('×入力'!$A$1:$L$1300,622,2+H$2)&lt;&gt;"",INDEX('×入力'!$A$1:$L$1300,623+H$3,1)&lt;&gt;""),1,0),0)</f>
        <v/>
      </c>
      <c r="I32">
        <f>IF(I$4=1,IF(OR(INDEX('×入力'!$A$1:$L$1300,623+I$3,2+I$2)&lt;&gt;"",INDEX('×入力'!$A$1:$L$1300,622,2+I$2)&lt;&gt;"",INDEX('×入力'!$A$1:$L$1300,623+I$3,1)&lt;&gt;""),1,0),0)</f>
        <v/>
      </c>
      <c r="J32">
        <f>IF(J$4=1,IF(OR(INDEX('×入力'!$A$1:$L$1300,623+J$3,2+J$2)&lt;&gt;"",INDEX('×入力'!$A$1:$L$1300,622,2+J$2)&lt;&gt;"",INDEX('×入力'!$A$1:$L$1300,623+J$3,1)&lt;&gt;""),1,0),0)</f>
        <v/>
      </c>
      <c r="K32">
        <f>IF(K$4=1,IF(OR(INDEX('×入力'!$A$1:$L$1300,623+K$3,2+K$2)&lt;&gt;"",INDEX('×入力'!$A$1:$L$1300,622,2+K$2)&lt;&gt;"",INDEX('×入力'!$A$1:$L$1300,623+K$3,1)&lt;&gt;""),1,0),0)</f>
        <v/>
      </c>
      <c r="L32">
        <f>IF(L$4=1,IF(OR(INDEX('×入力'!$A$1:$L$1300,623+L$3,2+L$2)&lt;&gt;"",INDEX('×入力'!$A$1:$L$1300,622,2+L$2)&lt;&gt;"",INDEX('×入力'!$A$1:$L$1300,623+L$3,1)&lt;&gt;""),1,0),0)</f>
        <v/>
      </c>
      <c r="M32">
        <f>IF(M$4=1,IF(OR(INDEX('×入力'!$A$1:$L$1300,623+M$3,2+M$2)&lt;&gt;"",INDEX('×入力'!$A$1:$L$1300,622,2+M$2)&lt;&gt;"",INDEX('×入力'!$A$1:$L$1300,623+M$3,1)&lt;&gt;""),1,0),0)</f>
        <v/>
      </c>
      <c r="N32">
        <f>IF(N$4=1,IF(OR(INDEX('×入力'!$A$1:$L$1300,623+N$3,2+N$2)&lt;&gt;"",INDEX('×入力'!$A$1:$L$1300,622,2+N$2)&lt;&gt;"",INDEX('×入力'!$A$1:$L$1300,623+N$3,1)&lt;&gt;""),1,0),0)</f>
        <v/>
      </c>
      <c r="O32">
        <f>IF(O$4=1,IF(OR(INDEX('×入力'!$A$1:$L$1300,623+O$3,2+O$2)&lt;&gt;"",INDEX('×入力'!$A$1:$L$1300,622,2+O$2)&lt;&gt;"",INDEX('×入力'!$A$1:$L$1300,623+O$3,1)&lt;&gt;""),1,0),0)</f>
        <v/>
      </c>
      <c r="P32">
        <f>IF(P$4=1,IF(OR(INDEX('×入力'!$A$1:$L$1300,623+P$3,2+P$2)&lt;&gt;"",INDEX('×入力'!$A$1:$L$1300,622,2+P$2)&lt;&gt;"",INDEX('×入力'!$A$1:$L$1300,623+P$3,1)&lt;&gt;""),1,0),0)</f>
        <v/>
      </c>
      <c r="Q32">
        <f>IF(Q$4=1,IF(OR(INDEX('×入力'!$A$1:$L$1300,623+Q$3,2+Q$2)&lt;&gt;"",INDEX('×入力'!$A$1:$L$1300,622,2+Q$2)&lt;&gt;"",INDEX('×入力'!$A$1:$L$1300,623+Q$3,1)&lt;&gt;""),1,0),0)</f>
        <v/>
      </c>
      <c r="R32">
        <f>IF(R$4=1,IF(OR(INDEX('×入力'!$A$1:$L$1300,623+R$3,2+R$2)&lt;&gt;"",INDEX('×入力'!$A$1:$L$1300,622,2+R$2)&lt;&gt;"",INDEX('×入力'!$A$1:$L$1300,623+R$3,1)&lt;&gt;""),1,0),0)</f>
        <v/>
      </c>
      <c r="S32">
        <f>IF(S$4=1,IF(OR(INDEX('×入力'!$A$1:$L$1300,623+S$3,2+S$2)&lt;&gt;"",INDEX('×入力'!$A$1:$L$1300,622,2+S$2)&lt;&gt;"",INDEX('×入力'!$A$1:$L$1300,623+S$3,1)&lt;&gt;""),1,0),0)</f>
        <v/>
      </c>
      <c r="T32">
        <f>IF(T$4=1,IF(OR(INDEX('×入力'!$A$1:$L$1300,623+T$3,2+T$2)&lt;&gt;"",INDEX('×入力'!$A$1:$L$1300,622,2+T$2)&lt;&gt;"",INDEX('×入力'!$A$1:$L$1300,623+T$3,1)&lt;&gt;""),1,0),0)</f>
        <v/>
      </c>
      <c r="U32">
        <f>IF(U$4=1,IF(OR(INDEX('×入力'!$A$1:$L$1300,623+U$3,2+U$2)&lt;&gt;"",INDEX('×入力'!$A$1:$L$1300,622,2+U$2)&lt;&gt;"",INDEX('×入力'!$A$1:$L$1300,623+U$3,1)&lt;&gt;""),1,0),0)</f>
        <v/>
      </c>
      <c r="V32">
        <f>IF(V$4=1,IF(OR(INDEX('×入力'!$A$1:$L$1300,623+V$3,2+V$2)&lt;&gt;"",INDEX('×入力'!$A$1:$L$1300,622,2+V$2)&lt;&gt;"",INDEX('×入力'!$A$1:$L$1300,623+V$3,1)&lt;&gt;""),1,0),0)</f>
        <v/>
      </c>
      <c r="W32">
        <f>IF(W$4=1,IF(OR(INDEX('×入力'!$A$1:$L$1300,623+W$3,2+W$2)&lt;&gt;"",INDEX('×入力'!$A$1:$L$1300,622,2+W$2)&lt;&gt;"",INDEX('×入力'!$A$1:$L$1300,623+W$3,1)&lt;&gt;""),1,0),0)</f>
        <v/>
      </c>
      <c r="X32">
        <f>IF(X$4=1,IF(OR(INDEX('×入力'!$A$1:$L$1300,623+X$3,2+X$2)&lt;&gt;"",INDEX('×入力'!$A$1:$L$1300,622,2+X$2)&lt;&gt;"",INDEX('×入力'!$A$1:$L$1300,623+X$3,1)&lt;&gt;""),1,0),0)</f>
        <v/>
      </c>
      <c r="Y32">
        <f>IF(Y$4=1,IF(OR(INDEX('×入力'!$A$1:$L$1300,623+Y$3,2+Y$2)&lt;&gt;"",INDEX('×入力'!$A$1:$L$1300,622,2+Y$2)&lt;&gt;"",INDEX('×入力'!$A$1:$L$1300,623+Y$3,1)&lt;&gt;""),1,0),0)</f>
        <v/>
      </c>
      <c r="Z32">
        <f>IF(Z$4=1,IF(OR(INDEX('×入力'!$A$1:$L$1300,623+Z$3,2+Z$2)&lt;&gt;"",INDEX('×入力'!$A$1:$L$1300,622,2+Z$2)&lt;&gt;"",INDEX('×入力'!$A$1:$L$1300,623+Z$3,1)&lt;&gt;""),1,0),0)</f>
        <v/>
      </c>
      <c r="AA32">
        <f>IF(AA$4=1,IF(OR(INDEX('×入力'!$A$1:$L$1300,623+AA$3,2+AA$2)&lt;&gt;"",INDEX('×入力'!$A$1:$L$1300,622,2+AA$2)&lt;&gt;"",INDEX('×入力'!$A$1:$L$1300,623+AA$3,1)&lt;&gt;""),1,0),0)</f>
        <v/>
      </c>
      <c r="AB32">
        <f>IF(AB$4=1,IF(OR(INDEX('×入力'!$A$1:$L$1300,623+AB$3,2+AB$2)&lt;&gt;"",INDEX('×入力'!$A$1:$L$1300,622,2+AB$2)&lt;&gt;"",INDEX('×入力'!$A$1:$L$1300,623+AB$3,1)&lt;&gt;""),1,0),0)</f>
        <v/>
      </c>
      <c r="AC32">
        <f>IF(AC$4=1,IF(OR(INDEX('×入力'!$A$1:$L$1300,623+AC$3,2+AC$2)&lt;&gt;"",INDEX('×入力'!$A$1:$L$1300,622,2+AC$2)&lt;&gt;"",INDEX('×入力'!$A$1:$L$1300,623+AC$3,1)&lt;&gt;""),1,0),0)</f>
        <v/>
      </c>
      <c r="AD32">
        <f>IF(AD$4=1,IF(OR(INDEX('×入力'!$A$1:$L$1300,623+AD$3,2+AD$2)&lt;&gt;"",INDEX('×入力'!$A$1:$L$1300,622,2+AD$2)&lt;&gt;"",INDEX('×入力'!$A$1:$L$1300,623+AD$3,1)&lt;&gt;""),1,0),0)</f>
        <v/>
      </c>
      <c r="AE32">
        <f>IF(AE$4=1,IF(OR(INDEX('×入力'!$A$1:$L$1300,623+AE$3,2+AE$2)&lt;&gt;"",INDEX('×入力'!$A$1:$L$1300,622,2+AE$2)&lt;&gt;"",INDEX('×入力'!$A$1:$L$1300,623+AE$3,1)&lt;&gt;""),1,0),0)</f>
        <v/>
      </c>
      <c r="AF32">
        <f>IF(AF$4=1,IF(OR(INDEX('×入力'!$A$1:$L$1300,623+AF$3,2+AF$2)&lt;&gt;"",INDEX('×入力'!$A$1:$L$1300,622,2+AF$2)&lt;&gt;"",INDEX('×入力'!$A$1:$L$1300,623+AF$3,1)&lt;&gt;""),1,0),0)</f>
        <v/>
      </c>
      <c r="AG32">
        <f>IF(AG$4=1,IF(OR(INDEX('×入力'!$A$1:$L$1300,623+AG$3,2+AG$2)&lt;&gt;"",INDEX('×入力'!$A$1:$L$1300,622,2+AG$2)&lt;&gt;"",INDEX('×入力'!$A$1:$L$1300,623+AG$3,1)&lt;&gt;""),1,0),0)</f>
        <v/>
      </c>
      <c r="AH32">
        <f>IF(AH$4=1,IF(OR(INDEX('×入力'!$A$1:$L$1300,623+AH$3,2+AH$2)&lt;&gt;"",INDEX('×入力'!$A$1:$L$1300,622,2+AH$2)&lt;&gt;"",INDEX('×入力'!$A$1:$L$1300,623+AH$3,1)&lt;&gt;""),1,0),0)</f>
        <v/>
      </c>
      <c r="AI32">
        <f>IF(AI$4=1,IF(OR(INDEX('×入力'!$A$1:$L$1300,623+AI$3,2+AI$2)&lt;&gt;"",INDEX('×入力'!$A$1:$L$1300,622,2+AI$2)&lt;&gt;"",INDEX('×入力'!$A$1:$L$1300,623+AI$3,1)&lt;&gt;""),1,0),0)</f>
        <v/>
      </c>
      <c r="AJ32">
        <f>IF(AJ$4=1,IF(OR(INDEX('×入力'!$A$1:$L$1300,623+AJ$3,2+AJ$2)&lt;&gt;"",INDEX('×入力'!$A$1:$L$1300,622,2+AJ$2)&lt;&gt;"",INDEX('×入力'!$A$1:$L$1300,623+AJ$3,1)&lt;&gt;""),1,0),0)</f>
        <v/>
      </c>
      <c r="AK32">
        <f>IF(AK$4=1,IF(OR(INDEX('×入力'!$A$1:$L$1300,623+AK$3,2+AK$2)&lt;&gt;"",INDEX('×入力'!$A$1:$L$1300,622,2+AK$2)&lt;&gt;"",INDEX('×入力'!$A$1:$L$1300,623+AK$3,1)&lt;&gt;""),1,0),0)</f>
        <v/>
      </c>
      <c r="AL32">
        <f>IF(AL$4=1,IF(OR(INDEX('×入力'!$A$1:$L$1300,623+AL$3,2+AL$2)&lt;&gt;"",INDEX('×入力'!$A$1:$L$1300,622,2+AL$2)&lt;&gt;"",INDEX('×入力'!$A$1:$L$1300,623+AL$3,1)&lt;&gt;""),1,0),0)</f>
        <v/>
      </c>
      <c r="AM32">
        <f>IF(AM$4=1,IF(OR(INDEX('×入力'!$A$1:$L$1300,623+AM$3,2+AM$2)&lt;&gt;"",INDEX('×入力'!$A$1:$L$1300,622,2+AM$2)&lt;&gt;"",INDEX('×入力'!$A$1:$L$1300,623+AM$3,1)&lt;&gt;""),1,0),0)</f>
        <v/>
      </c>
      <c r="AN32">
        <f>IF(AN$4=1,IF(OR(INDEX('×入力'!$A$1:$L$1300,623+AN$3,2+AN$2)&lt;&gt;"",INDEX('×入力'!$A$1:$L$1300,622,2+AN$2)&lt;&gt;"",INDEX('×入力'!$A$1:$L$1300,623+AN$3,1)&lt;&gt;""),1,0),0)</f>
        <v/>
      </c>
      <c r="AO32">
        <f>IF(AO$4=1,IF(OR(INDEX('×入力'!$A$1:$L$1300,623+AO$3,2+AO$2)&lt;&gt;"",INDEX('×入力'!$A$1:$L$1300,622,2+AO$2)&lt;&gt;"",INDEX('×入力'!$A$1:$L$1300,623+AO$3,1)&lt;&gt;""),1,0),0)</f>
        <v/>
      </c>
      <c r="AP32">
        <f>IF(AP$4=1,IF(OR(INDEX('×入力'!$A$1:$L$1300,623+AP$3,2+AP$2)&lt;&gt;"",INDEX('×入力'!$A$1:$L$1300,622,2+AP$2)&lt;&gt;"",INDEX('×入力'!$A$1:$L$1300,623+AP$3,1)&lt;&gt;""),1,0),0)</f>
        <v/>
      </c>
      <c r="AQ32">
        <f>IF(AQ$4=1,IF(OR(INDEX('×入力'!$A$1:$L$1300,623+AQ$3,2+AQ$2)&lt;&gt;"",INDEX('×入力'!$A$1:$L$1300,622,2+AQ$2)&lt;&gt;"",INDEX('×入力'!$A$1:$L$1300,623+AQ$3,1)&lt;&gt;""),1,0),0)</f>
        <v/>
      </c>
      <c r="AR32">
        <f>IF(AR$4=1,IF(OR(INDEX('×入力'!$A$1:$L$1300,623+AR$3,2+AR$2)&lt;&gt;"",INDEX('×入力'!$A$1:$L$1300,622,2+AR$2)&lt;&gt;"",INDEX('×入力'!$A$1:$L$1300,623+AR$3,1)&lt;&gt;""),1,0),0)</f>
        <v/>
      </c>
      <c r="AS32">
        <f>IF(AS$4=1,IF(OR(INDEX('×入力'!$A$1:$L$1300,623+AS$3,2+AS$2)&lt;&gt;"",INDEX('×入力'!$A$1:$L$1300,622,2+AS$2)&lt;&gt;"",INDEX('×入力'!$A$1:$L$1300,623+AS$3,1)&lt;&gt;""),1,0),0)</f>
        <v/>
      </c>
      <c r="AT32">
        <f>IF(AT$4=1,IF(OR(INDEX('×入力'!$A$1:$L$1300,623+AT$3,2+AT$2)&lt;&gt;"",INDEX('×入力'!$A$1:$L$1300,622,2+AT$2)&lt;&gt;"",INDEX('×入力'!$A$1:$L$1300,623+AT$3,1)&lt;&gt;""),1,0),0)</f>
        <v/>
      </c>
      <c r="AU32">
        <f>IF(AU$4=1,IF(OR(INDEX('×入力'!$A$1:$L$1300,623+AU$3,2+AU$2)&lt;&gt;"",INDEX('×入力'!$A$1:$L$1300,622,2+AU$2)&lt;&gt;"",INDEX('×入力'!$A$1:$L$1300,623+AU$3,1)&lt;&gt;""),1,0),0)</f>
        <v/>
      </c>
      <c r="AV32">
        <f>IF(AV$4=1,IF(OR(INDEX('×入力'!$A$1:$L$1300,623+AV$3,2+AV$2)&lt;&gt;"",INDEX('×入力'!$A$1:$L$1300,622,2+AV$2)&lt;&gt;"",INDEX('×入力'!$A$1:$L$1300,623+AV$3,1)&lt;&gt;""),1,0),0)</f>
        <v/>
      </c>
      <c r="AW32">
        <f>IF(AW$4=1,IF(OR(INDEX('×入力'!$A$1:$L$1300,623+AW$3,2+AW$2)&lt;&gt;"",INDEX('×入力'!$A$1:$L$1300,622,2+AW$2)&lt;&gt;"",INDEX('×入力'!$A$1:$L$1300,623+AW$3,1)&lt;&gt;""),1,0),0)</f>
        <v/>
      </c>
      <c r="AX32">
        <f>IF(AX$4=1,IF(OR(INDEX('×入力'!$A$1:$L$1300,623+AX$3,2+AX$2)&lt;&gt;"",INDEX('×入力'!$A$1:$L$1300,622,2+AX$2)&lt;&gt;"",INDEX('×入力'!$A$1:$L$1300,623+AX$3,1)&lt;&gt;""),1,0),0)</f>
        <v/>
      </c>
      <c r="AY32">
        <f>IF(AY$4=1,IF(OR(INDEX('×入力'!$A$1:$L$1300,623+AY$3,2+AY$2)&lt;&gt;"",INDEX('×入力'!$A$1:$L$1300,622,2+AY$2)&lt;&gt;"",INDEX('×入力'!$A$1:$L$1300,623+AY$3,1)&lt;&gt;""),1,0),0)</f>
        <v/>
      </c>
      <c r="AZ32">
        <f>IF(AZ$4=1,IF(OR(INDEX('×入力'!$A$1:$L$1300,623+AZ$3,2+AZ$2)&lt;&gt;"",INDEX('×入力'!$A$1:$L$1300,622,2+AZ$2)&lt;&gt;"",INDEX('×入力'!$A$1:$L$1300,623+AZ$3,1)&lt;&gt;""),1,0),0)</f>
        <v/>
      </c>
      <c r="BA32">
        <f>IF(BA$4=1,IF(OR(INDEX('×入力'!$A$1:$L$1300,623+BA$3,2+BA$2)&lt;&gt;"",INDEX('×入力'!$A$1:$L$1300,622,2+BA$2)&lt;&gt;"",INDEX('×入力'!$A$1:$L$1300,623+BA$3,1)&lt;&gt;""),1,0),0)</f>
        <v/>
      </c>
      <c r="BB32">
        <f>IF(BB$4=1,IF(OR(INDEX('×入力'!$A$1:$L$1300,623+BB$3,2+BB$2)&lt;&gt;"",INDEX('×入力'!$A$1:$L$1300,622,2+BB$2)&lt;&gt;"",INDEX('×入力'!$A$1:$L$1300,623+BB$3,1)&lt;&gt;""),1,0),0)</f>
        <v/>
      </c>
      <c r="BC32">
        <f>IF(BC$4=1,IF(OR(INDEX('×入力'!$A$1:$L$1300,623+BC$3,2+BC$2)&lt;&gt;"",INDEX('×入力'!$A$1:$L$1300,622,2+BC$2)&lt;&gt;"",INDEX('×入力'!$A$1:$L$1300,623+BC$3,1)&lt;&gt;""),1,0),0)</f>
        <v/>
      </c>
      <c r="BD32">
        <f>IF(BD$4=1,IF(OR(INDEX('×入力'!$A$1:$L$1300,623+BD$3,2+BD$2)&lt;&gt;"",INDEX('×入力'!$A$1:$L$1300,622,2+BD$2)&lt;&gt;"",INDEX('×入力'!$A$1:$L$1300,623+BD$3,1)&lt;&gt;""),1,0),0)</f>
        <v/>
      </c>
      <c r="BE32">
        <f>IF(BE$4=1,IF(OR(INDEX('×入力'!$A$1:$L$1300,623+BE$3,2+BE$2)&lt;&gt;"",INDEX('×入力'!$A$1:$L$1300,622,2+BE$2)&lt;&gt;"",INDEX('×入力'!$A$1:$L$1300,623+BE$3,1)&lt;&gt;""),1,0),0)</f>
        <v/>
      </c>
      <c r="BF32">
        <f>IF(BF$4=1,IF(OR(INDEX('×入力'!$A$1:$L$1300,623+BF$3,2+BF$2)&lt;&gt;"",INDEX('×入力'!$A$1:$L$1300,622,2+BF$2)&lt;&gt;"",INDEX('×入力'!$A$1:$L$1300,623+BF$3,1)&lt;&gt;""),1,0),0)</f>
        <v/>
      </c>
      <c r="BG32">
        <f>IF(BG$4=1,IF(OR(INDEX('×入力'!$A$1:$L$1300,623+BG$3,2+BG$2)&lt;&gt;"",INDEX('×入力'!$A$1:$L$1300,622,2+BG$2)&lt;&gt;"",INDEX('×入力'!$A$1:$L$1300,623+BG$3,1)&lt;&gt;""),1,0),0)</f>
        <v/>
      </c>
      <c r="BH32">
        <f>IF(BH$4=1,IF(OR(INDEX('×入力'!$A$1:$L$1300,623+BH$3,2+BH$2)&lt;&gt;"",INDEX('×入力'!$A$1:$L$1300,622,2+BH$2)&lt;&gt;"",INDEX('×入力'!$A$1:$L$1300,623+BH$3,1)&lt;&gt;""),1,0),0)</f>
        <v/>
      </c>
      <c r="BI32">
        <f>IF(BI$4=1,IF(OR(INDEX('×入力'!$A$1:$L$1300,623+BI$3,2+BI$2)&lt;&gt;"",INDEX('×入力'!$A$1:$L$1300,622,2+BI$2)&lt;&gt;"",INDEX('×入力'!$A$1:$L$1300,623+BI$3,1)&lt;&gt;""),1,0),0)</f>
        <v/>
      </c>
      <c r="BJ32">
        <f>IF(BJ$4=1,IF(OR(INDEX('×入力'!$A$1:$L$1300,623+BJ$3,2+BJ$2)&lt;&gt;"",INDEX('×入力'!$A$1:$L$1300,622,2+BJ$2)&lt;&gt;"",INDEX('×入力'!$A$1:$L$1300,623+BJ$3,1)&lt;&gt;""),1,0),0)</f>
        <v/>
      </c>
      <c r="BK32">
        <f>IF(BK$4=1,IF(OR(INDEX('×入力'!$A$1:$L$1300,623+BK$3,2+BK$2)&lt;&gt;"",INDEX('×入力'!$A$1:$L$1300,622,2+BK$2)&lt;&gt;"",INDEX('×入力'!$A$1:$L$1300,623+BK$3,1)&lt;&gt;""),1,0),0)</f>
        <v/>
      </c>
      <c r="BL32">
        <f>IF(BL$4=1,IF(OR(INDEX('×入力'!$A$1:$L$1300,623+BL$3,2+BL$2)&lt;&gt;"",INDEX('×入力'!$A$1:$L$1300,622,2+BL$2)&lt;&gt;"",INDEX('×入力'!$A$1:$L$1300,623+BL$3,1)&lt;&gt;""),1,0),0)</f>
        <v/>
      </c>
      <c r="BM32">
        <f>IF(BM$4=1,IF(OR(INDEX('×入力'!$A$1:$L$1300,623+BM$3,2+BM$2)&lt;&gt;"",INDEX('×入力'!$A$1:$L$1300,622,2+BM$2)&lt;&gt;"",INDEX('×入力'!$A$1:$L$1300,623+BM$3,1)&lt;&gt;""),1,0),0)</f>
        <v/>
      </c>
      <c r="BN32">
        <f>IF(BN$4=1,IF(OR(INDEX('×入力'!$A$1:$L$1300,623+BN$3,2+BN$2)&lt;&gt;"",INDEX('×入力'!$A$1:$L$1300,622,2+BN$2)&lt;&gt;"",INDEX('×入力'!$A$1:$L$1300,623+BN$3,1)&lt;&gt;""),1,0),0)</f>
        <v/>
      </c>
      <c r="BO32">
        <f>IF(BO$4=1,IF(OR(INDEX('×入力'!$A$1:$L$1300,623+BO$3,2+BO$2)&lt;&gt;"",INDEX('×入力'!$A$1:$L$1300,622,2+BO$2)&lt;&gt;"",INDEX('×入力'!$A$1:$L$1300,623+BO$3,1)&lt;&gt;""),1,0),0)</f>
        <v/>
      </c>
      <c r="BP32">
        <f>IF(BP$4=1,IF(OR(INDEX('×入力'!$A$1:$L$1300,623+BP$3,2+BP$2)&lt;&gt;"",INDEX('×入力'!$A$1:$L$1300,622,2+BP$2)&lt;&gt;"",INDEX('×入力'!$A$1:$L$1300,623+BP$3,1)&lt;&gt;""),1,0),0)</f>
        <v/>
      </c>
      <c r="BQ32">
        <f>IF(BQ$4=1,IF(OR(INDEX('×入力'!$A$1:$L$1300,623+BQ$3,2+BQ$2)&lt;&gt;"",INDEX('×入力'!$A$1:$L$1300,622,2+BQ$2)&lt;&gt;"",INDEX('×入力'!$A$1:$L$1300,623+BQ$3,1)&lt;&gt;""),1,0),0)</f>
        <v/>
      </c>
      <c r="BR32">
        <f>IF(BR$4=1,IF(OR(INDEX('×入力'!$A$1:$L$1300,623+BR$3,2+BR$2)&lt;&gt;"",INDEX('×入力'!$A$1:$L$1300,622,2+BR$2)&lt;&gt;"",INDEX('×入力'!$A$1:$L$1300,623+BR$3,1)&lt;&gt;""),1,0),0)</f>
        <v/>
      </c>
      <c r="BS32">
        <f>IF(BS$4=1,IF(OR(INDEX('×入力'!$A$1:$L$1300,623+BS$3,2+BS$2)&lt;&gt;"",INDEX('×入力'!$A$1:$L$1300,622,2+BS$2)&lt;&gt;"",INDEX('×入力'!$A$1:$L$1300,623+BS$3,1)&lt;&gt;""),1,0),0)</f>
        <v/>
      </c>
      <c r="BT32">
        <f>IF(BT$4=1,IF(OR(INDEX('×入力'!$A$1:$L$1300,623+BT$3,2+BT$2)&lt;&gt;"",INDEX('×入力'!$A$1:$L$1300,622,2+BT$2)&lt;&gt;"",INDEX('×入力'!$A$1:$L$1300,623+BT$3,1)&lt;&gt;""),1,0),0)</f>
        <v/>
      </c>
      <c r="BU32">
        <f>IF(BU$4=1,IF(OR(INDEX('×入力'!$A$1:$L$1300,623+BU$3,2+BU$2)&lt;&gt;"",INDEX('×入力'!$A$1:$L$1300,622,2+BU$2)&lt;&gt;"",INDEX('×入力'!$A$1:$L$1300,623+BU$3,1)&lt;&gt;""),1,0),0)</f>
        <v/>
      </c>
      <c r="BV32">
        <f>IF(BV$4=1,IF(OR(INDEX('×入力'!$A$1:$L$1300,623+BV$3,2+BV$2)&lt;&gt;"",INDEX('×入力'!$A$1:$L$1300,622,2+BV$2)&lt;&gt;"",INDEX('×入力'!$A$1:$L$1300,623+BV$3,1)&lt;&gt;""),1,0),0)</f>
        <v/>
      </c>
      <c r="BW32">
        <f>IF(BW$4=1,IF(OR(INDEX('×入力'!$A$1:$L$1300,623+BW$3,2+BW$2)&lt;&gt;"",INDEX('×入力'!$A$1:$L$1300,622,2+BW$2)&lt;&gt;"",INDEX('×入力'!$A$1:$L$1300,623+BW$3,1)&lt;&gt;""),1,0),0)</f>
        <v/>
      </c>
      <c r="BX32">
        <f>IF(BX$4=1,IF(OR(INDEX('×入力'!$A$1:$L$1300,623+BX$3,2+BX$2)&lt;&gt;"",INDEX('×入力'!$A$1:$L$1300,622,2+BX$2)&lt;&gt;"",INDEX('×入力'!$A$1:$L$1300,623+BX$3,1)&lt;&gt;""),1,0),0)</f>
        <v/>
      </c>
      <c r="BY32">
        <f>IF(BY$4=1,IF(OR(INDEX('×入力'!$A$1:$L$1300,623+BY$3,2+BY$2)&lt;&gt;"",INDEX('×入力'!$A$1:$L$1300,622,2+BY$2)&lt;&gt;"",INDEX('×入力'!$A$1:$L$1300,623+BY$3,1)&lt;&gt;""),1,0),0)</f>
        <v/>
      </c>
      <c r="BZ32">
        <f>IF(BZ$4=1,IF(OR(INDEX('×入力'!$A$1:$L$1300,623+BZ$3,2+BZ$2)&lt;&gt;"",INDEX('×入力'!$A$1:$L$1300,622,2+BZ$2)&lt;&gt;"",INDEX('×入力'!$A$1:$L$1300,623+BZ$3,1)&lt;&gt;""),1,0),0)</f>
        <v/>
      </c>
      <c r="CA32">
        <f>IF(CA$4=1,IF(OR(INDEX('×入力'!$A$1:$L$1300,623+CA$3,2+CA$2)&lt;&gt;"",INDEX('×入力'!$A$1:$L$1300,622,2+CA$2)&lt;&gt;"",INDEX('×入力'!$A$1:$L$1300,623+CA$3,1)&lt;&gt;""),1,0),0)</f>
        <v/>
      </c>
      <c r="CB32">
        <f>IF(CB$4=1,IF(OR(INDEX('×入力'!$A$1:$L$1300,623+CB$3,2+CB$2)&lt;&gt;"",INDEX('×入力'!$A$1:$L$1300,622,2+CB$2)&lt;&gt;"",INDEX('×入力'!$A$1:$L$1300,623+CB$3,1)&lt;&gt;""),1,0),0)</f>
        <v/>
      </c>
      <c r="CC32">
        <f>IF(CC$4=1,IF(OR(INDEX('×入力'!$A$1:$L$1300,623+CC$3,2+CC$2)&lt;&gt;"",INDEX('×入力'!$A$1:$L$1300,622,2+CC$2)&lt;&gt;"",INDEX('×入力'!$A$1:$L$1300,623+CC$3,1)&lt;&gt;""),1,0),0)</f>
        <v/>
      </c>
      <c r="CD32">
        <f>IF(CD$4=1,IF(OR(INDEX('×入力'!$A$1:$L$1300,623+CD$3,2+CD$2)&lt;&gt;"",INDEX('×入力'!$A$1:$L$1300,622,2+CD$2)&lt;&gt;"",INDEX('×入力'!$A$1:$L$1300,623+CD$3,1)&lt;&gt;""),1,0),0)</f>
        <v/>
      </c>
      <c r="CE32">
        <f>IF(CE$4=1,IF(OR(INDEX('×入力'!$A$1:$L$1300,623+CE$3,2+CE$2)&lt;&gt;"",INDEX('×入力'!$A$1:$L$1300,622,2+CE$2)&lt;&gt;"",INDEX('×入力'!$A$1:$L$1300,623+CE$3,1)&lt;&gt;""),1,0),0)</f>
        <v/>
      </c>
      <c r="CF32">
        <f>IF(CF$4=1,IF(OR(INDEX('×入力'!$A$1:$L$1300,623+CF$3,2+CF$2)&lt;&gt;"",INDEX('×入力'!$A$1:$L$1300,622,2+CF$2)&lt;&gt;"",INDEX('×入力'!$A$1:$L$1300,623+CF$3,1)&lt;&gt;""),1,0),0)</f>
        <v/>
      </c>
      <c r="CG32">
        <f>IF(CG$4=1,IF(OR(INDEX('×入力'!$A$1:$L$1300,623+CG$3,2+CG$2)&lt;&gt;"",INDEX('×入力'!$A$1:$L$1300,622,2+CG$2)&lt;&gt;"",INDEX('×入力'!$A$1:$L$1300,623+CG$3,1)&lt;&gt;""),1,0),0)</f>
        <v/>
      </c>
      <c r="CH32">
        <f>IF(CH$4=1,IF(OR(INDEX('×入力'!$A$1:$L$1300,623+CH$3,2+CH$2)&lt;&gt;"",INDEX('×入力'!$A$1:$L$1300,622,2+CH$2)&lt;&gt;"",INDEX('×入力'!$A$1:$L$1300,623+CH$3,1)&lt;&gt;""),1,0),0)</f>
        <v/>
      </c>
      <c r="CI32">
        <f>IF(CI$4=1,IF(OR(INDEX('×入力'!$A$1:$L$1300,623+CI$3,2+CI$2)&lt;&gt;"",INDEX('×入力'!$A$1:$L$1300,622,2+CI$2)&lt;&gt;"",INDEX('×入力'!$A$1:$L$1300,623+CI$3,1)&lt;&gt;""),1,0),0)</f>
        <v/>
      </c>
      <c r="CJ32">
        <f>IF(CJ$4=1,IF(OR(INDEX('×入力'!$A$1:$L$1300,623+CJ$3,2+CJ$2)&lt;&gt;"",INDEX('×入力'!$A$1:$L$1300,622,2+CJ$2)&lt;&gt;"",INDEX('×入力'!$A$1:$L$1300,623+CJ$3,1)&lt;&gt;""),1,0),0)</f>
        <v/>
      </c>
      <c r="CK32">
        <f>IF(CK$4=1,IF(OR(INDEX('×入力'!$A$1:$L$1300,623+CK$3,2+CK$2)&lt;&gt;"",INDEX('×入力'!$A$1:$L$1300,622,2+CK$2)&lt;&gt;"",INDEX('×入力'!$A$1:$L$1300,623+CK$3,1)&lt;&gt;""),1,0),0)</f>
        <v/>
      </c>
      <c r="CL32">
        <f>IF(CL$4=1,IF(OR(INDEX('×入力'!$A$1:$L$1300,623+CL$3,2+CL$2)&lt;&gt;"",INDEX('×入力'!$A$1:$L$1300,622,2+CL$2)&lt;&gt;"",INDEX('×入力'!$A$1:$L$1300,623+CL$3,1)&lt;&gt;""),1,0),0)</f>
        <v/>
      </c>
      <c r="CM32">
        <f>IF(CM$4=1,IF(OR(INDEX('×入力'!$A$1:$L$1300,623+CM$3,2+CM$2)&lt;&gt;"",INDEX('×入力'!$A$1:$L$1300,622,2+CM$2)&lt;&gt;"",INDEX('×入力'!$A$1:$L$1300,623+CM$3,1)&lt;&gt;""),1,0),0)</f>
        <v/>
      </c>
      <c r="CN32">
        <f>IF(CN$4=1,IF(OR(INDEX('×入力'!$A$1:$L$1300,623+CN$3,2+CN$2)&lt;&gt;"",INDEX('×入力'!$A$1:$L$1300,622,2+CN$2)&lt;&gt;"",INDEX('×入力'!$A$1:$L$1300,623+CN$3,1)&lt;&gt;""),1,0),0)</f>
        <v/>
      </c>
      <c r="CO32">
        <f>IF(CO$4=1,IF(OR(INDEX('×入力'!$A$1:$L$1300,623+CO$3,2+CO$2)&lt;&gt;"",INDEX('×入力'!$A$1:$L$1300,622,2+CO$2)&lt;&gt;"",INDEX('×入力'!$A$1:$L$1300,623+CO$3,1)&lt;&gt;""),1,0),0)</f>
        <v/>
      </c>
      <c r="CP32">
        <f>IF(CP$4=1,IF(OR(INDEX('×入力'!$A$1:$L$1300,623+CP$3,2+CP$2)&lt;&gt;"",INDEX('×入力'!$A$1:$L$1300,622,2+CP$2)&lt;&gt;"",INDEX('×入力'!$A$1:$L$1300,623+CP$3,1)&lt;&gt;""),1,0),0)</f>
        <v/>
      </c>
      <c r="CQ32">
        <f>IF(CQ$4=1,IF(OR(INDEX('×入力'!$A$1:$L$1300,623+CQ$3,2+CQ$2)&lt;&gt;"",INDEX('×入力'!$A$1:$L$1300,622,2+CQ$2)&lt;&gt;"",INDEX('×入力'!$A$1:$L$1300,623+CQ$3,1)&lt;&gt;""),1,0),0)</f>
        <v/>
      </c>
      <c r="CR32">
        <f>IF(CR$4=1,IF(OR(INDEX('×入力'!$A$1:$L$1300,623+CR$3,2+CR$2)&lt;&gt;"",INDEX('×入力'!$A$1:$L$1300,622,2+CR$2)&lt;&gt;"",INDEX('×入力'!$A$1:$L$1300,623+CR$3,1)&lt;&gt;""),1,0),0)</f>
        <v/>
      </c>
      <c r="CS32">
        <f>IF(CS$4=1,IF(OR(INDEX('×入力'!$A$1:$L$1300,623+CS$3,2+CS$2)&lt;&gt;"",INDEX('×入力'!$A$1:$L$1300,622,2+CS$2)&lt;&gt;"",INDEX('×入力'!$A$1:$L$1300,623+CS$3,1)&lt;&gt;""),1,0),0)</f>
        <v/>
      </c>
      <c r="CT32">
        <f>IF(CT$4=1,IF(OR(INDEX('×入力'!$A$1:$L$1300,623+CT$3,2+CT$2)&lt;&gt;"",INDEX('×入力'!$A$1:$L$1300,622,2+CT$2)&lt;&gt;"",INDEX('×入力'!$A$1:$L$1300,623+CT$3,1)&lt;&gt;""),1,0),0)</f>
        <v/>
      </c>
      <c r="CU32">
        <f>IF(CU$4=1,IF(OR(INDEX('×入力'!$A$1:$L$1300,623+CU$3,2+CU$2)&lt;&gt;"",INDEX('×入力'!$A$1:$L$1300,622,2+CU$2)&lt;&gt;"",INDEX('×入力'!$A$1:$L$1300,623+CU$3,1)&lt;&gt;""),1,0),0)</f>
        <v/>
      </c>
      <c r="CV32">
        <f>IF(CV$4=1,IF(OR(INDEX('×入力'!$A$1:$L$1300,623+CV$3,2+CV$2)&lt;&gt;"",INDEX('×入力'!$A$1:$L$1300,622,2+CV$2)&lt;&gt;"",INDEX('×入力'!$A$1:$L$1300,623+CV$3,1)&lt;&gt;""),1,0),0)</f>
        <v/>
      </c>
      <c r="CW32">
        <f>IF(CW$4=1,IF(OR(INDEX('×入力'!$A$1:$L$1300,623+CW$3,2+CW$2)&lt;&gt;"",INDEX('×入力'!$A$1:$L$1300,622,2+CW$2)&lt;&gt;"",INDEX('×入力'!$A$1:$L$1300,623+CW$3,1)&lt;&gt;""),1,0),0)</f>
        <v/>
      </c>
      <c r="CX32">
        <f>IF(CX$4=1,IF(OR(INDEX('×入力'!$A$1:$L$1300,623+CX$3,2+CX$2)&lt;&gt;"",INDEX('×入力'!$A$1:$L$1300,622,2+CX$2)&lt;&gt;"",INDEX('×入力'!$A$1:$L$1300,623+CX$3,1)&lt;&gt;""),1,0),0)</f>
        <v/>
      </c>
      <c r="CY32">
        <f>IF(CY$4=1,IF(OR(INDEX('×入力'!$A$1:$L$1300,623+CY$3,2+CY$2)&lt;&gt;"",INDEX('×入力'!$A$1:$L$1300,622,2+CY$2)&lt;&gt;"",INDEX('×入力'!$A$1:$L$1300,623+CY$3,1)&lt;&gt;""),1,0),0)</f>
        <v/>
      </c>
      <c r="CZ32">
        <f>IF(CZ$4=1,IF(OR(INDEX('×入力'!$A$1:$L$1300,623+CZ$3,2+CZ$2)&lt;&gt;"",INDEX('×入力'!$A$1:$L$1300,622,2+CZ$2)&lt;&gt;"",INDEX('×入力'!$A$1:$L$1300,623+CZ$3,1)&lt;&gt;""),1,0),0)</f>
        <v/>
      </c>
      <c r="DA32">
        <f>IF(DA$4=1,IF(OR(INDEX('×入力'!$A$1:$L$1300,623+DA$3,2+DA$2)&lt;&gt;"",INDEX('×入力'!$A$1:$L$1300,622,2+DA$2)&lt;&gt;"",INDEX('×入力'!$A$1:$L$1300,623+DA$3,1)&lt;&gt;""),1,0),0)</f>
        <v/>
      </c>
      <c r="DB32">
        <f>IF(DB$4=1,IF(OR(INDEX('×入力'!$A$1:$L$1300,623+DB$3,2+DB$2)&lt;&gt;"",INDEX('×入力'!$A$1:$L$1300,622,2+DB$2)&lt;&gt;"",INDEX('×入力'!$A$1:$L$1300,623+DB$3,1)&lt;&gt;""),1,0),0)</f>
        <v/>
      </c>
      <c r="DC32">
        <f>IF(DC$4=1,IF(OR(INDEX('×入力'!$A$1:$L$1300,623+DC$3,2+DC$2)&lt;&gt;"",INDEX('×入力'!$A$1:$L$1300,622,2+DC$2)&lt;&gt;"",INDEX('×入力'!$A$1:$L$1300,623+DC$3,1)&lt;&gt;""),1,0),0)</f>
        <v/>
      </c>
      <c r="DD32">
        <f>IF(DD$4=1,IF(OR(INDEX('×入力'!$A$1:$L$1300,623+DD$3,2+DD$2)&lt;&gt;"",INDEX('×入力'!$A$1:$L$1300,622,2+DD$2)&lt;&gt;"",INDEX('×入力'!$A$1:$L$1300,623+DD$3,1)&lt;&gt;""),1,0),0)</f>
        <v/>
      </c>
      <c r="DE32">
        <f>IF(DE$4=1,IF(OR(INDEX('×入力'!$A$1:$L$1300,623+DE$3,2+DE$2)&lt;&gt;"",INDEX('×入力'!$A$1:$L$1300,622,2+DE$2)&lt;&gt;"",INDEX('×入力'!$A$1:$L$1300,623+DE$3,1)&lt;&gt;""),1,0),0)</f>
        <v/>
      </c>
      <c r="DF32">
        <f>IF(DF$4=1,IF(OR(INDEX('×入力'!$A$1:$L$1300,623+DF$3,2+DF$2)&lt;&gt;"",INDEX('×入力'!$A$1:$L$1300,622,2+DF$2)&lt;&gt;"",INDEX('×入力'!$A$1:$L$1300,623+DF$3,1)&lt;&gt;""),1,0),0)</f>
        <v/>
      </c>
      <c r="DG32">
        <f>IF(DG$4=1,IF(OR(INDEX('×入力'!$A$1:$L$1300,623+DG$3,2+DG$2)&lt;&gt;"",INDEX('×入力'!$A$1:$L$1300,622,2+DG$2)&lt;&gt;"",INDEX('×入力'!$A$1:$L$1300,623+DG$3,1)&lt;&gt;""),1,0),0)</f>
        <v/>
      </c>
      <c r="DH32">
        <f>IF(DH$4=1,IF(OR(INDEX('×入力'!$A$1:$L$1300,623+DH$3,2+DH$2)&lt;&gt;"",INDEX('×入力'!$A$1:$L$1300,622,2+DH$2)&lt;&gt;"",INDEX('×入力'!$A$1:$L$1300,623+DH$3,1)&lt;&gt;""),1,0),0)</f>
        <v/>
      </c>
      <c r="DI32">
        <f>IF(DI$4=1,IF(OR(INDEX('×入力'!$A$1:$L$1300,623+DI$3,2+DI$2)&lt;&gt;"",INDEX('×入力'!$A$1:$L$1300,622,2+DI$2)&lt;&gt;"",INDEX('×入力'!$A$1:$L$1300,623+DI$3,1)&lt;&gt;""),1,0),0)</f>
        <v/>
      </c>
      <c r="DJ32">
        <f>IF(DJ$4=1,IF(OR(INDEX('×入力'!$A$1:$L$1300,623+DJ$3,2+DJ$2)&lt;&gt;"",INDEX('×入力'!$A$1:$L$1300,622,2+DJ$2)&lt;&gt;"",INDEX('×入力'!$A$1:$L$1300,623+DJ$3,1)&lt;&gt;""),1,0),0)</f>
        <v/>
      </c>
      <c r="DK32">
        <f>IF(DK$4=1,IF(OR(INDEX('×入力'!$A$1:$L$1300,623+DK$3,2+DK$2)&lt;&gt;"",INDEX('×入力'!$A$1:$L$1300,622,2+DK$2)&lt;&gt;"",INDEX('×入力'!$A$1:$L$1300,623+DK$3,1)&lt;&gt;""),1,0),0)</f>
        <v/>
      </c>
      <c r="DL32">
        <f>IF(DL$4=1,IF(OR(INDEX('×入力'!$A$1:$L$1300,623+DL$3,2+DL$2)&lt;&gt;"",INDEX('×入力'!$A$1:$L$1300,622,2+DL$2)&lt;&gt;"",INDEX('×入力'!$A$1:$L$1300,623+DL$3,1)&lt;&gt;""),1,0),0)</f>
        <v/>
      </c>
      <c r="DM32">
        <f>IF(DM$4=1,IF(OR(INDEX('×入力'!$A$1:$L$1300,623+DM$3,2+DM$2)&lt;&gt;"",INDEX('×入力'!$A$1:$L$1300,622,2+DM$2)&lt;&gt;"",INDEX('×入力'!$A$1:$L$1300,623+DM$3,1)&lt;&gt;""),1,0),0)</f>
        <v/>
      </c>
      <c r="DN32">
        <f>IF(DN$4=1,IF(OR(INDEX('×入力'!$A$1:$L$1300,623+DN$3,2+DN$2)&lt;&gt;"",INDEX('×入力'!$A$1:$L$1300,622,2+DN$2)&lt;&gt;"",INDEX('×入力'!$A$1:$L$1300,623+DN$3,1)&lt;&gt;""),1,0),0)</f>
        <v/>
      </c>
      <c r="DO32">
        <f>IF(DO$4=1,IF(OR(INDEX('×入力'!$A$1:$L$1300,623+DO$3,2+DO$2)&lt;&gt;"",INDEX('×入力'!$A$1:$L$1300,622,2+DO$2)&lt;&gt;"",INDEX('×入力'!$A$1:$L$1300,623+DO$3,1)&lt;&gt;""),1,0),0)</f>
        <v/>
      </c>
      <c r="DP32">
        <f>IF(DP$4=1,IF(OR(INDEX('×入力'!$A$1:$L$1300,623+DP$3,2+DP$2)&lt;&gt;"",INDEX('×入力'!$A$1:$L$1300,622,2+DP$2)&lt;&gt;"",INDEX('×入力'!$A$1:$L$1300,623+DP$3,1)&lt;&gt;""),1,0),0)</f>
        <v/>
      </c>
      <c r="DQ32">
        <f>IF(DQ$4=1,IF(OR(INDEX('×入力'!$A$1:$L$1300,623+DQ$3,2+DQ$2)&lt;&gt;"",INDEX('×入力'!$A$1:$L$1300,622,2+DQ$2)&lt;&gt;"",INDEX('×入力'!$A$1:$L$1300,623+DQ$3,1)&lt;&gt;""),1,0),0)</f>
        <v/>
      </c>
      <c r="DR32">
        <f>IF(DR$4=1,IF(OR(INDEX('×入力'!$A$1:$L$1300,623+DR$3,2+DR$2)&lt;&gt;"",INDEX('×入力'!$A$1:$L$1300,622,2+DR$2)&lt;&gt;"",INDEX('×入力'!$A$1:$L$1300,623+DR$3,1)&lt;&gt;""),1,0),0)</f>
        <v/>
      </c>
      <c r="DS32">
        <f>IF(DS$4=1,IF(OR(INDEX('×入力'!$A$1:$L$1300,623+DS$3,2+DS$2)&lt;&gt;"",INDEX('×入力'!$A$1:$L$1300,622,2+DS$2)&lt;&gt;"",INDEX('×入力'!$A$1:$L$1300,623+DS$3,1)&lt;&gt;""),1,0),0)</f>
        <v/>
      </c>
      <c r="DT32">
        <f>IF(DT$4=1,IF(OR(INDEX('×入力'!$A$1:$L$1300,623+DT$3,2+DT$2)&lt;&gt;"",INDEX('×入力'!$A$1:$L$1300,622,2+DT$2)&lt;&gt;"",INDEX('×入力'!$A$1:$L$1300,623+DT$3,1)&lt;&gt;""),1,0),0)</f>
        <v/>
      </c>
      <c r="DU32">
        <f>IF(DU$4=1,IF(OR(INDEX('×入力'!$A$1:$L$1300,623+DU$3,2+DU$2)&lt;&gt;"",INDEX('×入力'!$A$1:$L$1300,622,2+DU$2)&lt;&gt;"",INDEX('×入力'!$A$1:$L$1300,623+DU$3,1)&lt;&gt;""),1,0),0)</f>
        <v/>
      </c>
      <c r="DV32">
        <f>IF(DV$4=1,IF(OR(INDEX('×入力'!$A$1:$L$1300,623+DV$3,2+DV$2)&lt;&gt;"",INDEX('×入力'!$A$1:$L$1300,622,2+DV$2)&lt;&gt;"",INDEX('×入力'!$A$1:$L$1300,623+DV$3,1)&lt;&gt;""),1,0),0)</f>
        <v/>
      </c>
      <c r="DW32">
        <f>IF(DW$4=1,IF(OR(INDEX('×入力'!$A$1:$L$1300,623+DW$3,2+DW$2)&lt;&gt;"",INDEX('×入力'!$A$1:$L$1300,622,2+DW$2)&lt;&gt;"",INDEX('×入力'!$A$1:$L$1300,623+DW$3,1)&lt;&gt;""),1,0),0)</f>
        <v/>
      </c>
      <c r="DX32">
        <f>IF(DX$4=1,IF(OR(INDEX('×入力'!$A$1:$L$1300,623+DX$3,2+DX$2)&lt;&gt;"",INDEX('×入力'!$A$1:$L$1300,622,2+DX$2)&lt;&gt;"",INDEX('×入力'!$A$1:$L$1300,623+DX$3,1)&lt;&gt;""),1,0),0)</f>
        <v/>
      </c>
      <c r="DY32">
        <f>IF(DY$4=1,IF(OR(INDEX('×入力'!$A$1:$L$1300,623+DY$3,2+DY$2)&lt;&gt;"",INDEX('×入力'!$A$1:$L$1300,622,2+DY$2)&lt;&gt;"",INDEX('×入力'!$A$1:$L$1300,623+DY$3,1)&lt;&gt;""),1,0),0)</f>
        <v/>
      </c>
      <c r="DZ32">
        <f>IF(DZ$4=1,IF(OR(INDEX('×入力'!$A$1:$L$1300,623+DZ$3,2+DZ$2)&lt;&gt;"",INDEX('×入力'!$A$1:$L$1300,622,2+DZ$2)&lt;&gt;"",INDEX('×入力'!$A$1:$L$1300,623+DZ$3,1)&lt;&gt;""),1,0),0)</f>
        <v/>
      </c>
      <c r="EA32">
        <f>IF(EA$4=1,IF(OR(INDEX('×入力'!$A$1:$L$1300,623+EA$3,2+EA$2)&lt;&gt;"",INDEX('×入力'!$A$1:$L$1300,622,2+EA$2)&lt;&gt;"",INDEX('×入力'!$A$1:$L$1300,623+EA$3,1)&lt;&gt;""),1,0),0)</f>
        <v/>
      </c>
      <c r="EB32">
        <f>IF(EB$4=1,IF(OR(INDEX('×入力'!$A$1:$L$1300,623+EB$3,2+EB$2)&lt;&gt;"",INDEX('×入力'!$A$1:$L$1300,622,2+EB$2)&lt;&gt;"",INDEX('×入力'!$A$1:$L$1300,623+EB$3,1)&lt;&gt;""),1,0),0)</f>
        <v/>
      </c>
      <c r="EC32">
        <f>IF(EC$4=1,IF(OR(INDEX('×入力'!$A$1:$L$1300,623+EC$3,2+EC$2)&lt;&gt;"",INDEX('×入力'!$A$1:$L$1300,622,2+EC$2)&lt;&gt;"",INDEX('×入力'!$A$1:$L$1300,623+EC$3,1)&lt;&gt;""),1,0),0)</f>
        <v/>
      </c>
      <c r="ED32">
        <f>IF(ED$4=1,IF(OR(INDEX('×入力'!$A$1:$L$1300,623+ED$3,2+ED$2)&lt;&gt;"",INDEX('×入力'!$A$1:$L$1300,622,2+ED$2)&lt;&gt;"",INDEX('×入力'!$A$1:$L$1300,623+ED$3,1)&lt;&gt;""),1,0),0)</f>
        <v/>
      </c>
      <c r="EE32">
        <f>IF(EE$4=1,IF(OR(INDEX('×入力'!$A$1:$L$1300,623+EE$3,2+EE$2)&lt;&gt;"",INDEX('×入力'!$A$1:$L$1300,622,2+EE$2)&lt;&gt;"",INDEX('×入力'!$A$1:$L$1300,623+EE$3,1)&lt;&gt;""),1,0),0)</f>
        <v/>
      </c>
      <c r="EF32">
        <f>IF(EF$4=1,IF(OR(INDEX('×入力'!$A$1:$L$1300,623+EF$3,2+EF$2)&lt;&gt;"",INDEX('×入力'!$A$1:$L$1300,622,2+EF$2)&lt;&gt;"",INDEX('×入力'!$A$1:$L$1300,623+EF$3,1)&lt;&gt;""),1,0),0)</f>
        <v/>
      </c>
      <c r="EG32">
        <f>IF(EG$4=1,IF(OR(INDEX('×入力'!$A$1:$L$1300,623+EG$3,2+EG$2)&lt;&gt;"",INDEX('×入力'!$A$1:$L$1300,622,2+EG$2)&lt;&gt;"",INDEX('×入力'!$A$1:$L$1300,623+EG$3,1)&lt;&gt;""),1,0),0)</f>
        <v/>
      </c>
      <c r="EH32">
        <f>IF(EH$4=1,IF(OR(INDEX('×入力'!$A$1:$L$1300,623+EH$3,2+EH$2)&lt;&gt;"",INDEX('×入力'!$A$1:$L$1300,622,2+EH$2)&lt;&gt;"",INDEX('×入力'!$A$1:$L$1300,623+EH$3,1)&lt;&gt;""),1,0),0)</f>
        <v/>
      </c>
      <c r="EI32">
        <f>IF(EI$4=1,IF(OR(INDEX('×入力'!$A$1:$L$1300,623+EI$3,2+EI$2)&lt;&gt;"",INDEX('×入力'!$A$1:$L$1300,622,2+EI$2)&lt;&gt;"",INDEX('×入力'!$A$1:$L$1300,623+EI$3,1)&lt;&gt;""),1,0),0)</f>
        <v/>
      </c>
      <c r="EJ32">
        <f>IF(EJ$4=1,IF(OR(INDEX('×入力'!$A$1:$L$1300,623+EJ$3,2+EJ$2)&lt;&gt;"",INDEX('×入力'!$A$1:$L$1300,622,2+EJ$2)&lt;&gt;"",INDEX('×入力'!$A$1:$L$1300,623+EJ$3,1)&lt;&gt;""),1,0),0)</f>
        <v/>
      </c>
      <c r="EK32">
        <f>IF(EK$4=1,IF(OR(INDEX('×入力'!$A$1:$L$1300,623+EK$3,2+EK$2)&lt;&gt;"",INDEX('×入力'!$A$1:$L$1300,622,2+EK$2)&lt;&gt;"",INDEX('×入力'!$A$1:$L$1300,623+EK$3,1)&lt;&gt;""),1,0),0)</f>
        <v/>
      </c>
      <c r="EL32">
        <f>IF(EL$4=1,IF(OR(INDEX('×入力'!$A$1:$L$1300,623+EL$3,2+EL$2)&lt;&gt;"",INDEX('×入力'!$A$1:$L$1300,622,2+EL$2)&lt;&gt;"",INDEX('×入力'!$A$1:$L$1300,623+EL$3,1)&lt;&gt;""),1,0),0)</f>
        <v/>
      </c>
      <c r="EM32">
        <f>IF(EM$4=1,IF(OR(INDEX('×入力'!$A$1:$L$1300,623+EM$3,2+EM$2)&lt;&gt;"",INDEX('×入力'!$A$1:$L$1300,622,2+EM$2)&lt;&gt;"",INDEX('×入力'!$A$1:$L$1300,623+EM$3,1)&lt;&gt;""),1,0),0)</f>
        <v/>
      </c>
      <c r="EN32">
        <f>IF(EN$4=1,IF(OR(INDEX('×入力'!$A$1:$L$1300,623+EN$3,2+EN$2)&lt;&gt;"",INDEX('×入力'!$A$1:$L$1300,622,2+EN$2)&lt;&gt;"",INDEX('×入力'!$A$1:$L$1300,623+EN$3,1)&lt;&gt;""),1,0),0)</f>
        <v/>
      </c>
      <c r="EO32">
        <f>IF(EO$4=1,IF(OR(INDEX('×入力'!$A$1:$L$1300,623+EO$3,2+EO$2)&lt;&gt;"",INDEX('×入力'!$A$1:$L$1300,622,2+EO$2)&lt;&gt;"",INDEX('×入力'!$A$1:$L$1300,623+EO$3,1)&lt;&gt;""),1,0),0)</f>
        <v/>
      </c>
      <c r="EP32">
        <f>IF(EP$4=1,IF(OR(INDEX('×入力'!$A$1:$L$1300,623+EP$3,2+EP$2)&lt;&gt;"",INDEX('×入力'!$A$1:$L$1300,622,2+EP$2)&lt;&gt;"",INDEX('×入力'!$A$1:$L$1300,623+EP$3,1)&lt;&gt;""),1,0),0)</f>
        <v/>
      </c>
      <c r="EQ32">
        <f>IF(EQ$4=1,IF(OR(INDEX('×入力'!$A$1:$L$1300,623+EQ$3,2+EQ$2)&lt;&gt;"",INDEX('×入力'!$A$1:$L$1300,622,2+EQ$2)&lt;&gt;"",INDEX('×入力'!$A$1:$L$1300,623+EQ$3,1)&lt;&gt;""),1,0),0)</f>
        <v/>
      </c>
      <c r="HA32">
        <f>MAX(0,IT32)</f>
        <v/>
      </c>
      <c r="HB32">
        <f>IF(HA32=0,0,INDEX($D$2:$EQ$2,HA32))</f>
        <v/>
      </c>
      <c r="HC32">
        <f>IF(HA32=0,0,INDEX($D$3:$EQ$3,HA32))</f>
        <v/>
      </c>
      <c r="HD32">
        <f>MAX(0,IY32)</f>
        <v/>
      </c>
      <c r="HE32">
        <f>IF(HD32=0,0,INDEX($D$2:$EQ$2,HD32))</f>
        <v/>
      </c>
      <c r="HF32">
        <f>IF(HD32=0,0,INDEX($D$3:$EQ$3,HD32))</f>
        <v/>
      </c>
      <c r="HG32">
        <f>MAX(0,IZ32)</f>
        <v/>
      </c>
      <c r="HH32">
        <f>IF(HG32=0,0,INDEX($D$2:$EQ$2,HG32))</f>
        <v/>
      </c>
      <c r="HI32">
        <f>IF(HG32=0,0,INDEX($D$3:$EQ$3,HG32))</f>
        <v/>
      </c>
      <c r="HJ32">
        <f>IF(AND(HA32&gt;0,HC32&gt;1,OR(HC32-1&lt;&gt;$A$3,$A$4=0)),HA32-1,-1)</f>
        <v/>
      </c>
      <c r="HK32">
        <f>IF(AND(HA32&gt;0,HC32&lt;24,OR(HC32&lt;&gt;$A$3,$A$4=0)),HA32+1,-1)</f>
        <v/>
      </c>
      <c r="HL32">
        <f>IF(AND(HD32&gt;0,HF32&gt;1,OR(HF32-1&lt;&gt;$A$3,$A$4=0)),HD32-1,-1)</f>
        <v/>
      </c>
      <c r="HM32">
        <f>IF(AND(HD32&gt;0,HF32&lt;24,OR(HF32&lt;&gt;$A$3,$A$4=0)),HD32+1,-1)</f>
        <v/>
      </c>
      <c r="HN32">
        <f>IF(AND(HG32&gt;0,HI32&gt;1,OR(HI32-1&lt;&gt;$A$3,$A$4=0)),HG32-1,-1)</f>
        <v/>
      </c>
      <c r="HO32">
        <f>IF(AND(HG32&gt;0,HI32&lt;24,OR(HI32&lt;&gt;$A$3,$A$4=0)),HG32+1,-1)</f>
        <v/>
      </c>
      <c r="IK32">
        <f>IFERROR(INDEX('calcB'!$C$3:$C$47,MATCH(A32,'calcB'!$B$3:$B$47,0)),0)</f>
        <v/>
      </c>
      <c r="IL32">
        <f>IF(AND(C32=1,IK32=0,calcA!$A$6=1),1,0)</f>
        <v/>
      </c>
      <c r="IM32">
        <f>SUMPRODUCT(D82:EQ82*(1-$D$7:$EQ$7))</f>
        <v/>
      </c>
      <c r="IN32">
        <f>SUM(D32:EQ32)</f>
        <v/>
      </c>
      <c r="IO32">
        <f>IF(B32="",0,IF(COUNTIF('調整・決定'!$C$6:$H$29,B32)=1,SUMPRODUCT(('調整・決定'!$C$6:$H$29=B32)*((COLUMN('調整・決定'!$C$6:$H$29)-3)*24+ROW('調整・決定'!$C$6:$H$29)-5)),0))</f>
        <v/>
      </c>
      <c r="IP32">
        <f>IFERROR(MATCH('名簿'!C27,{"早い時刻","遅い時刻","早い日","遅い日"},0),0)</f>
        <v/>
      </c>
      <c r="IQ32">
        <f>IF('名簿'!D27="必ず空けたい",2,IF('名簿'!D27="出来れば空けたい",1,0))</f>
        <v/>
      </c>
      <c r="IR32">
        <f>IFERROR(INDEX('calcC'!$C$3:$C$47,MATCH(A32,'calcC'!$B$3:$B$47,0)),0)</f>
        <v/>
      </c>
      <c r="IS32">
        <f>IF(AND(C32=1,IR32=0,calcA!$A$6=1),1,0)</f>
        <v/>
      </c>
      <c r="IT32">
        <f>IF(OR('名簿'!G27="",'名簿'!H27=""),0,IFERROR((MATCH('名簿'!G27,'設定'!$E$11:$E$16,0)-1)*24+MATCH('名簿'!H27,'設定'!$I$11:$I$34,0),-1))</f>
        <v/>
      </c>
      <c r="IV32">
        <f>IF(OR(JF32=0,IO32=0),1,IF(OR(IF(IT32&gt;0,AND(INDEX($D$2:$EQ$2,IO32)=INDEX($D$2:$EQ$2,IT32),OR(AND(IO32=IT32+1,OR(INDEX($D$3:$EQ$3,IT32)&lt;&gt;$A$3,$A$4=0)),AND(IO32=IT32-1,OR(INDEX($D$3:$EQ$3,IO32)&lt;&gt;$A$3,$A$4=0)))),FALSE),IF(IY32&gt;0,AND(INDEX($D$2:$EQ$2,IO32)=INDEX($D$2:$EQ$2,IY32),OR(AND(IO32=IY32+1,OR(INDEX($D$3:$EQ$3,IY32)&lt;&gt;$A$3,$A$4=0)),AND(IO32=IY32-1,OR(INDEX($D$3:$EQ$3,IO32)&lt;&gt;$A$3,$A$4=0)))),FALSE),IF(IZ32&gt;0,AND(INDEX($D$2:$EQ$2,IO32)=INDEX($D$2:$EQ$2,IZ32),OR(AND(IO32=IZ32+1,OR(INDEX($D$3:$EQ$3,IZ32)&lt;&gt;$A$3,$A$4=0)),AND(IO32=IZ32-1,OR(INDEX($D$3:$EQ$3,IO32)&lt;&gt;$A$3,$A$4=0)))),FALSE)),1,0))</f>
        <v/>
      </c>
      <c r="IW32">
        <f>IF(AND('名簿'!E27&lt;&gt;"",JF32=0),1,0)</f>
        <v/>
      </c>
      <c r="IX32">
        <f>IF('名簿'!D27="空けない",1,0)</f>
        <v/>
      </c>
      <c r="IY32">
        <f>IF(OR('名簿'!J27="",'名簿'!K27=""),0,IFERROR((MATCH('名簿'!J27,'設定'!$E$11:$E$16,0)-1)*24+MATCH('名簿'!K27,'設定'!$I$11:$I$34,0),-1))</f>
        <v/>
      </c>
      <c r="IZ32">
        <f>IF(OR('名簿'!M27="",'名簿'!N27=""),0,IFERROR((MATCH('名簿'!M27,'設定'!$E$11:$E$16,0)-1)*24+MATCH('名簿'!N27,'設定'!$I$11:$I$34,0),-1))</f>
        <v/>
      </c>
      <c r="JC32">
        <f>IF(RIGHT('名簿'!I27,2)="の前",1,IF(RIGHT('名簿'!I27,2)="の後",2,0))</f>
        <v/>
      </c>
      <c r="JD32">
        <f>IF(RIGHT('名簿'!L27,2)="の前",1,IF(RIGHT('名簿'!L27,2)="の後",2,0))</f>
        <v/>
      </c>
      <c r="JE32">
        <f>IF(RIGHT('名簿'!O27,2)="の前",1,IF(RIGHT('名簿'!O27,2)="の後",2,0))</f>
        <v/>
      </c>
      <c r="JF32">
        <f>IF(OR(IT32&gt;0,IY32&gt;0,IZ32&gt;0),1,0)</f>
        <v/>
      </c>
      <c r="JG32">
        <f>IF(OR(IT32&lt;0,IY32&lt;0,IZ32&lt;0),1,0)</f>
        <v/>
      </c>
    </row>
    <row r="33">
      <c r="A33" t="n">
        <v>24</v>
      </c>
      <c r="B33">
        <f>'名簿'!P28</f>
        <v/>
      </c>
      <c r="C33">
        <f>IF(AND(B33&lt;&gt;"",OR('名簿'!Q28="入力済み",'名簿'!Q28="×なし"),IO33=0,COUNTIF('調整・決定'!$C$6:$H$29,B33)=0),1,0)</f>
        <v/>
      </c>
      <c r="D33">
        <f>IF(D$4=1,IF(OR(INDEX('×入力'!$A$1:$L$1300,651+D$3,2+D$2)&lt;&gt;"",INDEX('×入力'!$A$1:$L$1300,650,2+D$2)&lt;&gt;"",INDEX('×入力'!$A$1:$L$1300,651+D$3,1)&lt;&gt;""),1,0),0)</f>
        <v/>
      </c>
      <c r="E33">
        <f>IF(E$4=1,IF(OR(INDEX('×入力'!$A$1:$L$1300,651+E$3,2+E$2)&lt;&gt;"",INDEX('×入力'!$A$1:$L$1300,650,2+E$2)&lt;&gt;"",INDEX('×入力'!$A$1:$L$1300,651+E$3,1)&lt;&gt;""),1,0),0)</f>
        <v/>
      </c>
      <c r="F33">
        <f>IF(F$4=1,IF(OR(INDEX('×入力'!$A$1:$L$1300,651+F$3,2+F$2)&lt;&gt;"",INDEX('×入力'!$A$1:$L$1300,650,2+F$2)&lt;&gt;"",INDEX('×入力'!$A$1:$L$1300,651+F$3,1)&lt;&gt;""),1,0),0)</f>
        <v/>
      </c>
      <c r="G33">
        <f>IF(G$4=1,IF(OR(INDEX('×入力'!$A$1:$L$1300,651+G$3,2+G$2)&lt;&gt;"",INDEX('×入力'!$A$1:$L$1300,650,2+G$2)&lt;&gt;"",INDEX('×入力'!$A$1:$L$1300,651+G$3,1)&lt;&gt;""),1,0),0)</f>
        <v/>
      </c>
      <c r="H33">
        <f>IF(H$4=1,IF(OR(INDEX('×入力'!$A$1:$L$1300,651+H$3,2+H$2)&lt;&gt;"",INDEX('×入力'!$A$1:$L$1300,650,2+H$2)&lt;&gt;"",INDEX('×入力'!$A$1:$L$1300,651+H$3,1)&lt;&gt;""),1,0),0)</f>
        <v/>
      </c>
      <c r="I33">
        <f>IF(I$4=1,IF(OR(INDEX('×入力'!$A$1:$L$1300,651+I$3,2+I$2)&lt;&gt;"",INDEX('×入力'!$A$1:$L$1300,650,2+I$2)&lt;&gt;"",INDEX('×入力'!$A$1:$L$1300,651+I$3,1)&lt;&gt;""),1,0),0)</f>
        <v/>
      </c>
      <c r="J33">
        <f>IF(J$4=1,IF(OR(INDEX('×入力'!$A$1:$L$1300,651+J$3,2+J$2)&lt;&gt;"",INDEX('×入力'!$A$1:$L$1300,650,2+J$2)&lt;&gt;"",INDEX('×入力'!$A$1:$L$1300,651+J$3,1)&lt;&gt;""),1,0),0)</f>
        <v/>
      </c>
      <c r="K33">
        <f>IF(K$4=1,IF(OR(INDEX('×入力'!$A$1:$L$1300,651+K$3,2+K$2)&lt;&gt;"",INDEX('×入力'!$A$1:$L$1300,650,2+K$2)&lt;&gt;"",INDEX('×入力'!$A$1:$L$1300,651+K$3,1)&lt;&gt;""),1,0),0)</f>
        <v/>
      </c>
      <c r="L33">
        <f>IF(L$4=1,IF(OR(INDEX('×入力'!$A$1:$L$1300,651+L$3,2+L$2)&lt;&gt;"",INDEX('×入力'!$A$1:$L$1300,650,2+L$2)&lt;&gt;"",INDEX('×入力'!$A$1:$L$1300,651+L$3,1)&lt;&gt;""),1,0),0)</f>
        <v/>
      </c>
      <c r="M33">
        <f>IF(M$4=1,IF(OR(INDEX('×入力'!$A$1:$L$1300,651+M$3,2+M$2)&lt;&gt;"",INDEX('×入力'!$A$1:$L$1300,650,2+M$2)&lt;&gt;"",INDEX('×入力'!$A$1:$L$1300,651+M$3,1)&lt;&gt;""),1,0),0)</f>
        <v/>
      </c>
      <c r="N33">
        <f>IF(N$4=1,IF(OR(INDEX('×入力'!$A$1:$L$1300,651+N$3,2+N$2)&lt;&gt;"",INDEX('×入力'!$A$1:$L$1300,650,2+N$2)&lt;&gt;"",INDEX('×入力'!$A$1:$L$1300,651+N$3,1)&lt;&gt;""),1,0),0)</f>
        <v/>
      </c>
      <c r="O33">
        <f>IF(O$4=1,IF(OR(INDEX('×入力'!$A$1:$L$1300,651+O$3,2+O$2)&lt;&gt;"",INDEX('×入力'!$A$1:$L$1300,650,2+O$2)&lt;&gt;"",INDEX('×入力'!$A$1:$L$1300,651+O$3,1)&lt;&gt;""),1,0),0)</f>
        <v/>
      </c>
      <c r="P33">
        <f>IF(P$4=1,IF(OR(INDEX('×入力'!$A$1:$L$1300,651+P$3,2+P$2)&lt;&gt;"",INDEX('×入力'!$A$1:$L$1300,650,2+P$2)&lt;&gt;"",INDEX('×入力'!$A$1:$L$1300,651+P$3,1)&lt;&gt;""),1,0),0)</f>
        <v/>
      </c>
      <c r="Q33">
        <f>IF(Q$4=1,IF(OR(INDEX('×入力'!$A$1:$L$1300,651+Q$3,2+Q$2)&lt;&gt;"",INDEX('×入力'!$A$1:$L$1300,650,2+Q$2)&lt;&gt;"",INDEX('×入力'!$A$1:$L$1300,651+Q$3,1)&lt;&gt;""),1,0),0)</f>
        <v/>
      </c>
      <c r="R33">
        <f>IF(R$4=1,IF(OR(INDEX('×入力'!$A$1:$L$1300,651+R$3,2+R$2)&lt;&gt;"",INDEX('×入力'!$A$1:$L$1300,650,2+R$2)&lt;&gt;"",INDEX('×入力'!$A$1:$L$1300,651+R$3,1)&lt;&gt;""),1,0),0)</f>
        <v/>
      </c>
      <c r="S33">
        <f>IF(S$4=1,IF(OR(INDEX('×入力'!$A$1:$L$1300,651+S$3,2+S$2)&lt;&gt;"",INDEX('×入力'!$A$1:$L$1300,650,2+S$2)&lt;&gt;"",INDEX('×入力'!$A$1:$L$1300,651+S$3,1)&lt;&gt;""),1,0),0)</f>
        <v/>
      </c>
      <c r="T33">
        <f>IF(T$4=1,IF(OR(INDEX('×入力'!$A$1:$L$1300,651+T$3,2+T$2)&lt;&gt;"",INDEX('×入力'!$A$1:$L$1300,650,2+T$2)&lt;&gt;"",INDEX('×入力'!$A$1:$L$1300,651+T$3,1)&lt;&gt;""),1,0),0)</f>
        <v/>
      </c>
      <c r="U33">
        <f>IF(U$4=1,IF(OR(INDEX('×入力'!$A$1:$L$1300,651+U$3,2+U$2)&lt;&gt;"",INDEX('×入力'!$A$1:$L$1300,650,2+U$2)&lt;&gt;"",INDEX('×入力'!$A$1:$L$1300,651+U$3,1)&lt;&gt;""),1,0),0)</f>
        <v/>
      </c>
      <c r="V33">
        <f>IF(V$4=1,IF(OR(INDEX('×入力'!$A$1:$L$1300,651+V$3,2+V$2)&lt;&gt;"",INDEX('×入力'!$A$1:$L$1300,650,2+V$2)&lt;&gt;"",INDEX('×入力'!$A$1:$L$1300,651+V$3,1)&lt;&gt;""),1,0),0)</f>
        <v/>
      </c>
      <c r="W33">
        <f>IF(W$4=1,IF(OR(INDEX('×入力'!$A$1:$L$1300,651+W$3,2+W$2)&lt;&gt;"",INDEX('×入力'!$A$1:$L$1300,650,2+W$2)&lt;&gt;"",INDEX('×入力'!$A$1:$L$1300,651+W$3,1)&lt;&gt;""),1,0),0)</f>
        <v/>
      </c>
      <c r="X33">
        <f>IF(X$4=1,IF(OR(INDEX('×入力'!$A$1:$L$1300,651+X$3,2+X$2)&lt;&gt;"",INDEX('×入力'!$A$1:$L$1300,650,2+X$2)&lt;&gt;"",INDEX('×入力'!$A$1:$L$1300,651+X$3,1)&lt;&gt;""),1,0),0)</f>
        <v/>
      </c>
      <c r="Y33">
        <f>IF(Y$4=1,IF(OR(INDEX('×入力'!$A$1:$L$1300,651+Y$3,2+Y$2)&lt;&gt;"",INDEX('×入力'!$A$1:$L$1300,650,2+Y$2)&lt;&gt;"",INDEX('×入力'!$A$1:$L$1300,651+Y$3,1)&lt;&gt;""),1,0),0)</f>
        <v/>
      </c>
      <c r="Z33">
        <f>IF(Z$4=1,IF(OR(INDEX('×入力'!$A$1:$L$1300,651+Z$3,2+Z$2)&lt;&gt;"",INDEX('×入力'!$A$1:$L$1300,650,2+Z$2)&lt;&gt;"",INDEX('×入力'!$A$1:$L$1300,651+Z$3,1)&lt;&gt;""),1,0),0)</f>
        <v/>
      </c>
      <c r="AA33">
        <f>IF(AA$4=1,IF(OR(INDEX('×入力'!$A$1:$L$1300,651+AA$3,2+AA$2)&lt;&gt;"",INDEX('×入力'!$A$1:$L$1300,650,2+AA$2)&lt;&gt;"",INDEX('×入力'!$A$1:$L$1300,651+AA$3,1)&lt;&gt;""),1,0),0)</f>
        <v/>
      </c>
      <c r="AB33">
        <f>IF(AB$4=1,IF(OR(INDEX('×入力'!$A$1:$L$1300,651+AB$3,2+AB$2)&lt;&gt;"",INDEX('×入力'!$A$1:$L$1300,650,2+AB$2)&lt;&gt;"",INDEX('×入力'!$A$1:$L$1300,651+AB$3,1)&lt;&gt;""),1,0),0)</f>
        <v/>
      </c>
      <c r="AC33">
        <f>IF(AC$4=1,IF(OR(INDEX('×入力'!$A$1:$L$1300,651+AC$3,2+AC$2)&lt;&gt;"",INDEX('×入力'!$A$1:$L$1300,650,2+AC$2)&lt;&gt;"",INDEX('×入力'!$A$1:$L$1300,651+AC$3,1)&lt;&gt;""),1,0),0)</f>
        <v/>
      </c>
      <c r="AD33">
        <f>IF(AD$4=1,IF(OR(INDEX('×入力'!$A$1:$L$1300,651+AD$3,2+AD$2)&lt;&gt;"",INDEX('×入力'!$A$1:$L$1300,650,2+AD$2)&lt;&gt;"",INDEX('×入力'!$A$1:$L$1300,651+AD$3,1)&lt;&gt;""),1,0),0)</f>
        <v/>
      </c>
      <c r="AE33">
        <f>IF(AE$4=1,IF(OR(INDEX('×入力'!$A$1:$L$1300,651+AE$3,2+AE$2)&lt;&gt;"",INDEX('×入力'!$A$1:$L$1300,650,2+AE$2)&lt;&gt;"",INDEX('×入力'!$A$1:$L$1300,651+AE$3,1)&lt;&gt;""),1,0),0)</f>
        <v/>
      </c>
      <c r="AF33">
        <f>IF(AF$4=1,IF(OR(INDEX('×入力'!$A$1:$L$1300,651+AF$3,2+AF$2)&lt;&gt;"",INDEX('×入力'!$A$1:$L$1300,650,2+AF$2)&lt;&gt;"",INDEX('×入力'!$A$1:$L$1300,651+AF$3,1)&lt;&gt;""),1,0),0)</f>
        <v/>
      </c>
      <c r="AG33">
        <f>IF(AG$4=1,IF(OR(INDEX('×入力'!$A$1:$L$1300,651+AG$3,2+AG$2)&lt;&gt;"",INDEX('×入力'!$A$1:$L$1300,650,2+AG$2)&lt;&gt;"",INDEX('×入力'!$A$1:$L$1300,651+AG$3,1)&lt;&gt;""),1,0),0)</f>
        <v/>
      </c>
      <c r="AH33">
        <f>IF(AH$4=1,IF(OR(INDEX('×入力'!$A$1:$L$1300,651+AH$3,2+AH$2)&lt;&gt;"",INDEX('×入力'!$A$1:$L$1300,650,2+AH$2)&lt;&gt;"",INDEX('×入力'!$A$1:$L$1300,651+AH$3,1)&lt;&gt;""),1,0),0)</f>
        <v/>
      </c>
      <c r="AI33">
        <f>IF(AI$4=1,IF(OR(INDEX('×入力'!$A$1:$L$1300,651+AI$3,2+AI$2)&lt;&gt;"",INDEX('×入力'!$A$1:$L$1300,650,2+AI$2)&lt;&gt;"",INDEX('×入力'!$A$1:$L$1300,651+AI$3,1)&lt;&gt;""),1,0),0)</f>
        <v/>
      </c>
      <c r="AJ33">
        <f>IF(AJ$4=1,IF(OR(INDEX('×入力'!$A$1:$L$1300,651+AJ$3,2+AJ$2)&lt;&gt;"",INDEX('×入力'!$A$1:$L$1300,650,2+AJ$2)&lt;&gt;"",INDEX('×入力'!$A$1:$L$1300,651+AJ$3,1)&lt;&gt;""),1,0),0)</f>
        <v/>
      </c>
      <c r="AK33">
        <f>IF(AK$4=1,IF(OR(INDEX('×入力'!$A$1:$L$1300,651+AK$3,2+AK$2)&lt;&gt;"",INDEX('×入力'!$A$1:$L$1300,650,2+AK$2)&lt;&gt;"",INDEX('×入力'!$A$1:$L$1300,651+AK$3,1)&lt;&gt;""),1,0),0)</f>
        <v/>
      </c>
      <c r="AL33">
        <f>IF(AL$4=1,IF(OR(INDEX('×入力'!$A$1:$L$1300,651+AL$3,2+AL$2)&lt;&gt;"",INDEX('×入力'!$A$1:$L$1300,650,2+AL$2)&lt;&gt;"",INDEX('×入力'!$A$1:$L$1300,651+AL$3,1)&lt;&gt;""),1,0),0)</f>
        <v/>
      </c>
      <c r="AM33">
        <f>IF(AM$4=1,IF(OR(INDEX('×入力'!$A$1:$L$1300,651+AM$3,2+AM$2)&lt;&gt;"",INDEX('×入力'!$A$1:$L$1300,650,2+AM$2)&lt;&gt;"",INDEX('×入力'!$A$1:$L$1300,651+AM$3,1)&lt;&gt;""),1,0),0)</f>
        <v/>
      </c>
      <c r="AN33">
        <f>IF(AN$4=1,IF(OR(INDEX('×入力'!$A$1:$L$1300,651+AN$3,2+AN$2)&lt;&gt;"",INDEX('×入力'!$A$1:$L$1300,650,2+AN$2)&lt;&gt;"",INDEX('×入力'!$A$1:$L$1300,651+AN$3,1)&lt;&gt;""),1,0),0)</f>
        <v/>
      </c>
      <c r="AO33">
        <f>IF(AO$4=1,IF(OR(INDEX('×入力'!$A$1:$L$1300,651+AO$3,2+AO$2)&lt;&gt;"",INDEX('×入力'!$A$1:$L$1300,650,2+AO$2)&lt;&gt;"",INDEX('×入力'!$A$1:$L$1300,651+AO$3,1)&lt;&gt;""),1,0),0)</f>
        <v/>
      </c>
      <c r="AP33">
        <f>IF(AP$4=1,IF(OR(INDEX('×入力'!$A$1:$L$1300,651+AP$3,2+AP$2)&lt;&gt;"",INDEX('×入力'!$A$1:$L$1300,650,2+AP$2)&lt;&gt;"",INDEX('×入力'!$A$1:$L$1300,651+AP$3,1)&lt;&gt;""),1,0),0)</f>
        <v/>
      </c>
      <c r="AQ33">
        <f>IF(AQ$4=1,IF(OR(INDEX('×入力'!$A$1:$L$1300,651+AQ$3,2+AQ$2)&lt;&gt;"",INDEX('×入力'!$A$1:$L$1300,650,2+AQ$2)&lt;&gt;"",INDEX('×入力'!$A$1:$L$1300,651+AQ$3,1)&lt;&gt;""),1,0),0)</f>
        <v/>
      </c>
      <c r="AR33">
        <f>IF(AR$4=1,IF(OR(INDEX('×入力'!$A$1:$L$1300,651+AR$3,2+AR$2)&lt;&gt;"",INDEX('×入力'!$A$1:$L$1300,650,2+AR$2)&lt;&gt;"",INDEX('×入力'!$A$1:$L$1300,651+AR$3,1)&lt;&gt;""),1,0),0)</f>
        <v/>
      </c>
      <c r="AS33">
        <f>IF(AS$4=1,IF(OR(INDEX('×入力'!$A$1:$L$1300,651+AS$3,2+AS$2)&lt;&gt;"",INDEX('×入力'!$A$1:$L$1300,650,2+AS$2)&lt;&gt;"",INDEX('×入力'!$A$1:$L$1300,651+AS$3,1)&lt;&gt;""),1,0),0)</f>
        <v/>
      </c>
      <c r="AT33">
        <f>IF(AT$4=1,IF(OR(INDEX('×入力'!$A$1:$L$1300,651+AT$3,2+AT$2)&lt;&gt;"",INDEX('×入力'!$A$1:$L$1300,650,2+AT$2)&lt;&gt;"",INDEX('×入力'!$A$1:$L$1300,651+AT$3,1)&lt;&gt;""),1,0),0)</f>
        <v/>
      </c>
      <c r="AU33">
        <f>IF(AU$4=1,IF(OR(INDEX('×入力'!$A$1:$L$1300,651+AU$3,2+AU$2)&lt;&gt;"",INDEX('×入力'!$A$1:$L$1300,650,2+AU$2)&lt;&gt;"",INDEX('×入力'!$A$1:$L$1300,651+AU$3,1)&lt;&gt;""),1,0),0)</f>
        <v/>
      </c>
      <c r="AV33">
        <f>IF(AV$4=1,IF(OR(INDEX('×入力'!$A$1:$L$1300,651+AV$3,2+AV$2)&lt;&gt;"",INDEX('×入力'!$A$1:$L$1300,650,2+AV$2)&lt;&gt;"",INDEX('×入力'!$A$1:$L$1300,651+AV$3,1)&lt;&gt;""),1,0),0)</f>
        <v/>
      </c>
      <c r="AW33">
        <f>IF(AW$4=1,IF(OR(INDEX('×入力'!$A$1:$L$1300,651+AW$3,2+AW$2)&lt;&gt;"",INDEX('×入力'!$A$1:$L$1300,650,2+AW$2)&lt;&gt;"",INDEX('×入力'!$A$1:$L$1300,651+AW$3,1)&lt;&gt;""),1,0),0)</f>
        <v/>
      </c>
      <c r="AX33">
        <f>IF(AX$4=1,IF(OR(INDEX('×入力'!$A$1:$L$1300,651+AX$3,2+AX$2)&lt;&gt;"",INDEX('×入力'!$A$1:$L$1300,650,2+AX$2)&lt;&gt;"",INDEX('×入力'!$A$1:$L$1300,651+AX$3,1)&lt;&gt;""),1,0),0)</f>
        <v/>
      </c>
      <c r="AY33">
        <f>IF(AY$4=1,IF(OR(INDEX('×入力'!$A$1:$L$1300,651+AY$3,2+AY$2)&lt;&gt;"",INDEX('×入力'!$A$1:$L$1300,650,2+AY$2)&lt;&gt;"",INDEX('×入力'!$A$1:$L$1300,651+AY$3,1)&lt;&gt;""),1,0),0)</f>
        <v/>
      </c>
      <c r="AZ33">
        <f>IF(AZ$4=1,IF(OR(INDEX('×入力'!$A$1:$L$1300,651+AZ$3,2+AZ$2)&lt;&gt;"",INDEX('×入力'!$A$1:$L$1300,650,2+AZ$2)&lt;&gt;"",INDEX('×入力'!$A$1:$L$1300,651+AZ$3,1)&lt;&gt;""),1,0),0)</f>
        <v/>
      </c>
      <c r="BA33">
        <f>IF(BA$4=1,IF(OR(INDEX('×入力'!$A$1:$L$1300,651+BA$3,2+BA$2)&lt;&gt;"",INDEX('×入力'!$A$1:$L$1300,650,2+BA$2)&lt;&gt;"",INDEX('×入力'!$A$1:$L$1300,651+BA$3,1)&lt;&gt;""),1,0),0)</f>
        <v/>
      </c>
      <c r="BB33">
        <f>IF(BB$4=1,IF(OR(INDEX('×入力'!$A$1:$L$1300,651+BB$3,2+BB$2)&lt;&gt;"",INDEX('×入力'!$A$1:$L$1300,650,2+BB$2)&lt;&gt;"",INDEX('×入力'!$A$1:$L$1300,651+BB$3,1)&lt;&gt;""),1,0),0)</f>
        <v/>
      </c>
      <c r="BC33">
        <f>IF(BC$4=1,IF(OR(INDEX('×入力'!$A$1:$L$1300,651+BC$3,2+BC$2)&lt;&gt;"",INDEX('×入力'!$A$1:$L$1300,650,2+BC$2)&lt;&gt;"",INDEX('×入力'!$A$1:$L$1300,651+BC$3,1)&lt;&gt;""),1,0),0)</f>
        <v/>
      </c>
      <c r="BD33">
        <f>IF(BD$4=1,IF(OR(INDEX('×入力'!$A$1:$L$1300,651+BD$3,2+BD$2)&lt;&gt;"",INDEX('×入力'!$A$1:$L$1300,650,2+BD$2)&lt;&gt;"",INDEX('×入力'!$A$1:$L$1300,651+BD$3,1)&lt;&gt;""),1,0),0)</f>
        <v/>
      </c>
      <c r="BE33">
        <f>IF(BE$4=1,IF(OR(INDEX('×入力'!$A$1:$L$1300,651+BE$3,2+BE$2)&lt;&gt;"",INDEX('×入力'!$A$1:$L$1300,650,2+BE$2)&lt;&gt;"",INDEX('×入力'!$A$1:$L$1300,651+BE$3,1)&lt;&gt;""),1,0),0)</f>
        <v/>
      </c>
      <c r="BF33">
        <f>IF(BF$4=1,IF(OR(INDEX('×入力'!$A$1:$L$1300,651+BF$3,2+BF$2)&lt;&gt;"",INDEX('×入力'!$A$1:$L$1300,650,2+BF$2)&lt;&gt;"",INDEX('×入力'!$A$1:$L$1300,651+BF$3,1)&lt;&gt;""),1,0),0)</f>
        <v/>
      </c>
      <c r="BG33">
        <f>IF(BG$4=1,IF(OR(INDEX('×入力'!$A$1:$L$1300,651+BG$3,2+BG$2)&lt;&gt;"",INDEX('×入力'!$A$1:$L$1300,650,2+BG$2)&lt;&gt;"",INDEX('×入力'!$A$1:$L$1300,651+BG$3,1)&lt;&gt;""),1,0),0)</f>
        <v/>
      </c>
      <c r="BH33">
        <f>IF(BH$4=1,IF(OR(INDEX('×入力'!$A$1:$L$1300,651+BH$3,2+BH$2)&lt;&gt;"",INDEX('×入力'!$A$1:$L$1300,650,2+BH$2)&lt;&gt;"",INDEX('×入力'!$A$1:$L$1300,651+BH$3,1)&lt;&gt;""),1,0),0)</f>
        <v/>
      </c>
      <c r="BI33">
        <f>IF(BI$4=1,IF(OR(INDEX('×入力'!$A$1:$L$1300,651+BI$3,2+BI$2)&lt;&gt;"",INDEX('×入力'!$A$1:$L$1300,650,2+BI$2)&lt;&gt;"",INDEX('×入力'!$A$1:$L$1300,651+BI$3,1)&lt;&gt;""),1,0),0)</f>
        <v/>
      </c>
      <c r="BJ33">
        <f>IF(BJ$4=1,IF(OR(INDEX('×入力'!$A$1:$L$1300,651+BJ$3,2+BJ$2)&lt;&gt;"",INDEX('×入力'!$A$1:$L$1300,650,2+BJ$2)&lt;&gt;"",INDEX('×入力'!$A$1:$L$1300,651+BJ$3,1)&lt;&gt;""),1,0),0)</f>
        <v/>
      </c>
      <c r="BK33">
        <f>IF(BK$4=1,IF(OR(INDEX('×入力'!$A$1:$L$1300,651+BK$3,2+BK$2)&lt;&gt;"",INDEX('×入力'!$A$1:$L$1300,650,2+BK$2)&lt;&gt;"",INDEX('×入力'!$A$1:$L$1300,651+BK$3,1)&lt;&gt;""),1,0),0)</f>
        <v/>
      </c>
      <c r="BL33">
        <f>IF(BL$4=1,IF(OR(INDEX('×入力'!$A$1:$L$1300,651+BL$3,2+BL$2)&lt;&gt;"",INDEX('×入力'!$A$1:$L$1300,650,2+BL$2)&lt;&gt;"",INDEX('×入力'!$A$1:$L$1300,651+BL$3,1)&lt;&gt;""),1,0),0)</f>
        <v/>
      </c>
      <c r="BM33">
        <f>IF(BM$4=1,IF(OR(INDEX('×入力'!$A$1:$L$1300,651+BM$3,2+BM$2)&lt;&gt;"",INDEX('×入力'!$A$1:$L$1300,650,2+BM$2)&lt;&gt;"",INDEX('×入力'!$A$1:$L$1300,651+BM$3,1)&lt;&gt;""),1,0),0)</f>
        <v/>
      </c>
      <c r="BN33">
        <f>IF(BN$4=1,IF(OR(INDEX('×入力'!$A$1:$L$1300,651+BN$3,2+BN$2)&lt;&gt;"",INDEX('×入力'!$A$1:$L$1300,650,2+BN$2)&lt;&gt;"",INDEX('×入力'!$A$1:$L$1300,651+BN$3,1)&lt;&gt;""),1,0),0)</f>
        <v/>
      </c>
      <c r="BO33">
        <f>IF(BO$4=1,IF(OR(INDEX('×入力'!$A$1:$L$1300,651+BO$3,2+BO$2)&lt;&gt;"",INDEX('×入力'!$A$1:$L$1300,650,2+BO$2)&lt;&gt;"",INDEX('×入力'!$A$1:$L$1300,651+BO$3,1)&lt;&gt;""),1,0),0)</f>
        <v/>
      </c>
      <c r="BP33">
        <f>IF(BP$4=1,IF(OR(INDEX('×入力'!$A$1:$L$1300,651+BP$3,2+BP$2)&lt;&gt;"",INDEX('×入力'!$A$1:$L$1300,650,2+BP$2)&lt;&gt;"",INDEX('×入力'!$A$1:$L$1300,651+BP$3,1)&lt;&gt;""),1,0),0)</f>
        <v/>
      </c>
      <c r="BQ33">
        <f>IF(BQ$4=1,IF(OR(INDEX('×入力'!$A$1:$L$1300,651+BQ$3,2+BQ$2)&lt;&gt;"",INDEX('×入力'!$A$1:$L$1300,650,2+BQ$2)&lt;&gt;"",INDEX('×入力'!$A$1:$L$1300,651+BQ$3,1)&lt;&gt;""),1,0),0)</f>
        <v/>
      </c>
      <c r="BR33">
        <f>IF(BR$4=1,IF(OR(INDEX('×入力'!$A$1:$L$1300,651+BR$3,2+BR$2)&lt;&gt;"",INDEX('×入力'!$A$1:$L$1300,650,2+BR$2)&lt;&gt;"",INDEX('×入力'!$A$1:$L$1300,651+BR$3,1)&lt;&gt;""),1,0),0)</f>
        <v/>
      </c>
      <c r="BS33">
        <f>IF(BS$4=1,IF(OR(INDEX('×入力'!$A$1:$L$1300,651+BS$3,2+BS$2)&lt;&gt;"",INDEX('×入力'!$A$1:$L$1300,650,2+BS$2)&lt;&gt;"",INDEX('×入力'!$A$1:$L$1300,651+BS$3,1)&lt;&gt;""),1,0),0)</f>
        <v/>
      </c>
      <c r="BT33">
        <f>IF(BT$4=1,IF(OR(INDEX('×入力'!$A$1:$L$1300,651+BT$3,2+BT$2)&lt;&gt;"",INDEX('×入力'!$A$1:$L$1300,650,2+BT$2)&lt;&gt;"",INDEX('×入力'!$A$1:$L$1300,651+BT$3,1)&lt;&gt;""),1,0),0)</f>
        <v/>
      </c>
      <c r="BU33">
        <f>IF(BU$4=1,IF(OR(INDEX('×入力'!$A$1:$L$1300,651+BU$3,2+BU$2)&lt;&gt;"",INDEX('×入力'!$A$1:$L$1300,650,2+BU$2)&lt;&gt;"",INDEX('×入力'!$A$1:$L$1300,651+BU$3,1)&lt;&gt;""),1,0),0)</f>
        <v/>
      </c>
      <c r="BV33">
        <f>IF(BV$4=1,IF(OR(INDEX('×入力'!$A$1:$L$1300,651+BV$3,2+BV$2)&lt;&gt;"",INDEX('×入力'!$A$1:$L$1300,650,2+BV$2)&lt;&gt;"",INDEX('×入力'!$A$1:$L$1300,651+BV$3,1)&lt;&gt;""),1,0),0)</f>
        <v/>
      </c>
      <c r="BW33">
        <f>IF(BW$4=1,IF(OR(INDEX('×入力'!$A$1:$L$1300,651+BW$3,2+BW$2)&lt;&gt;"",INDEX('×入力'!$A$1:$L$1300,650,2+BW$2)&lt;&gt;"",INDEX('×入力'!$A$1:$L$1300,651+BW$3,1)&lt;&gt;""),1,0),0)</f>
        <v/>
      </c>
      <c r="BX33">
        <f>IF(BX$4=1,IF(OR(INDEX('×入力'!$A$1:$L$1300,651+BX$3,2+BX$2)&lt;&gt;"",INDEX('×入力'!$A$1:$L$1300,650,2+BX$2)&lt;&gt;"",INDEX('×入力'!$A$1:$L$1300,651+BX$3,1)&lt;&gt;""),1,0),0)</f>
        <v/>
      </c>
      <c r="BY33">
        <f>IF(BY$4=1,IF(OR(INDEX('×入力'!$A$1:$L$1300,651+BY$3,2+BY$2)&lt;&gt;"",INDEX('×入力'!$A$1:$L$1300,650,2+BY$2)&lt;&gt;"",INDEX('×入力'!$A$1:$L$1300,651+BY$3,1)&lt;&gt;""),1,0),0)</f>
        <v/>
      </c>
      <c r="BZ33">
        <f>IF(BZ$4=1,IF(OR(INDEX('×入力'!$A$1:$L$1300,651+BZ$3,2+BZ$2)&lt;&gt;"",INDEX('×入力'!$A$1:$L$1300,650,2+BZ$2)&lt;&gt;"",INDEX('×入力'!$A$1:$L$1300,651+BZ$3,1)&lt;&gt;""),1,0),0)</f>
        <v/>
      </c>
      <c r="CA33">
        <f>IF(CA$4=1,IF(OR(INDEX('×入力'!$A$1:$L$1300,651+CA$3,2+CA$2)&lt;&gt;"",INDEX('×入力'!$A$1:$L$1300,650,2+CA$2)&lt;&gt;"",INDEX('×入力'!$A$1:$L$1300,651+CA$3,1)&lt;&gt;""),1,0),0)</f>
        <v/>
      </c>
      <c r="CB33">
        <f>IF(CB$4=1,IF(OR(INDEX('×入力'!$A$1:$L$1300,651+CB$3,2+CB$2)&lt;&gt;"",INDEX('×入力'!$A$1:$L$1300,650,2+CB$2)&lt;&gt;"",INDEX('×入力'!$A$1:$L$1300,651+CB$3,1)&lt;&gt;""),1,0),0)</f>
        <v/>
      </c>
      <c r="CC33">
        <f>IF(CC$4=1,IF(OR(INDEX('×入力'!$A$1:$L$1300,651+CC$3,2+CC$2)&lt;&gt;"",INDEX('×入力'!$A$1:$L$1300,650,2+CC$2)&lt;&gt;"",INDEX('×入力'!$A$1:$L$1300,651+CC$3,1)&lt;&gt;""),1,0),0)</f>
        <v/>
      </c>
      <c r="CD33">
        <f>IF(CD$4=1,IF(OR(INDEX('×入力'!$A$1:$L$1300,651+CD$3,2+CD$2)&lt;&gt;"",INDEX('×入力'!$A$1:$L$1300,650,2+CD$2)&lt;&gt;"",INDEX('×入力'!$A$1:$L$1300,651+CD$3,1)&lt;&gt;""),1,0),0)</f>
        <v/>
      </c>
      <c r="CE33">
        <f>IF(CE$4=1,IF(OR(INDEX('×入力'!$A$1:$L$1300,651+CE$3,2+CE$2)&lt;&gt;"",INDEX('×入力'!$A$1:$L$1300,650,2+CE$2)&lt;&gt;"",INDEX('×入力'!$A$1:$L$1300,651+CE$3,1)&lt;&gt;""),1,0),0)</f>
        <v/>
      </c>
      <c r="CF33">
        <f>IF(CF$4=1,IF(OR(INDEX('×入力'!$A$1:$L$1300,651+CF$3,2+CF$2)&lt;&gt;"",INDEX('×入力'!$A$1:$L$1300,650,2+CF$2)&lt;&gt;"",INDEX('×入力'!$A$1:$L$1300,651+CF$3,1)&lt;&gt;""),1,0),0)</f>
        <v/>
      </c>
      <c r="CG33">
        <f>IF(CG$4=1,IF(OR(INDEX('×入力'!$A$1:$L$1300,651+CG$3,2+CG$2)&lt;&gt;"",INDEX('×入力'!$A$1:$L$1300,650,2+CG$2)&lt;&gt;"",INDEX('×入力'!$A$1:$L$1300,651+CG$3,1)&lt;&gt;""),1,0),0)</f>
        <v/>
      </c>
      <c r="CH33">
        <f>IF(CH$4=1,IF(OR(INDEX('×入力'!$A$1:$L$1300,651+CH$3,2+CH$2)&lt;&gt;"",INDEX('×入力'!$A$1:$L$1300,650,2+CH$2)&lt;&gt;"",INDEX('×入力'!$A$1:$L$1300,651+CH$3,1)&lt;&gt;""),1,0),0)</f>
        <v/>
      </c>
      <c r="CI33">
        <f>IF(CI$4=1,IF(OR(INDEX('×入力'!$A$1:$L$1300,651+CI$3,2+CI$2)&lt;&gt;"",INDEX('×入力'!$A$1:$L$1300,650,2+CI$2)&lt;&gt;"",INDEX('×入力'!$A$1:$L$1300,651+CI$3,1)&lt;&gt;""),1,0),0)</f>
        <v/>
      </c>
      <c r="CJ33">
        <f>IF(CJ$4=1,IF(OR(INDEX('×入力'!$A$1:$L$1300,651+CJ$3,2+CJ$2)&lt;&gt;"",INDEX('×入力'!$A$1:$L$1300,650,2+CJ$2)&lt;&gt;"",INDEX('×入力'!$A$1:$L$1300,651+CJ$3,1)&lt;&gt;""),1,0),0)</f>
        <v/>
      </c>
      <c r="CK33">
        <f>IF(CK$4=1,IF(OR(INDEX('×入力'!$A$1:$L$1300,651+CK$3,2+CK$2)&lt;&gt;"",INDEX('×入力'!$A$1:$L$1300,650,2+CK$2)&lt;&gt;"",INDEX('×入力'!$A$1:$L$1300,651+CK$3,1)&lt;&gt;""),1,0),0)</f>
        <v/>
      </c>
      <c r="CL33">
        <f>IF(CL$4=1,IF(OR(INDEX('×入力'!$A$1:$L$1300,651+CL$3,2+CL$2)&lt;&gt;"",INDEX('×入力'!$A$1:$L$1300,650,2+CL$2)&lt;&gt;"",INDEX('×入力'!$A$1:$L$1300,651+CL$3,1)&lt;&gt;""),1,0),0)</f>
        <v/>
      </c>
      <c r="CM33">
        <f>IF(CM$4=1,IF(OR(INDEX('×入力'!$A$1:$L$1300,651+CM$3,2+CM$2)&lt;&gt;"",INDEX('×入力'!$A$1:$L$1300,650,2+CM$2)&lt;&gt;"",INDEX('×入力'!$A$1:$L$1300,651+CM$3,1)&lt;&gt;""),1,0),0)</f>
        <v/>
      </c>
      <c r="CN33">
        <f>IF(CN$4=1,IF(OR(INDEX('×入力'!$A$1:$L$1300,651+CN$3,2+CN$2)&lt;&gt;"",INDEX('×入力'!$A$1:$L$1300,650,2+CN$2)&lt;&gt;"",INDEX('×入力'!$A$1:$L$1300,651+CN$3,1)&lt;&gt;""),1,0),0)</f>
        <v/>
      </c>
      <c r="CO33">
        <f>IF(CO$4=1,IF(OR(INDEX('×入力'!$A$1:$L$1300,651+CO$3,2+CO$2)&lt;&gt;"",INDEX('×入力'!$A$1:$L$1300,650,2+CO$2)&lt;&gt;"",INDEX('×入力'!$A$1:$L$1300,651+CO$3,1)&lt;&gt;""),1,0),0)</f>
        <v/>
      </c>
      <c r="CP33">
        <f>IF(CP$4=1,IF(OR(INDEX('×入力'!$A$1:$L$1300,651+CP$3,2+CP$2)&lt;&gt;"",INDEX('×入力'!$A$1:$L$1300,650,2+CP$2)&lt;&gt;"",INDEX('×入力'!$A$1:$L$1300,651+CP$3,1)&lt;&gt;""),1,0),0)</f>
        <v/>
      </c>
      <c r="CQ33">
        <f>IF(CQ$4=1,IF(OR(INDEX('×入力'!$A$1:$L$1300,651+CQ$3,2+CQ$2)&lt;&gt;"",INDEX('×入力'!$A$1:$L$1300,650,2+CQ$2)&lt;&gt;"",INDEX('×入力'!$A$1:$L$1300,651+CQ$3,1)&lt;&gt;""),1,0),0)</f>
        <v/>
      </c>
      <c r="CR33">
        <f>IF(CR$4=1,IF(OR(INDEX('×入力'!$A$1:$L$1300,651+CR$3,2+CR$2)&lt;&gt;"",INDEX('×入力'!$A$1:$L$1300,650,2+CR$2)&lt;&gt;"",INDEX('×入力'!$A$1:$L$1300,651+CR$3,1)&lt;&gt;""),1,0),0)</f>
        <v/>
      </c>
      <c r="CS33">
        <f>IF(CS$4=1,IF(OR(INDEX('×入力'!$A$1:$L$1300,651+CS$3,2+CS$2)&lt;&gt;"",INDEX('×入力'!$A$1:$L$1300,650,2+CS$2)&lt;&gt;"",INDEX('×入力'!$A$1:$L$1300,651+CS$3,1)&lt;&gt;""),1,0),0)</f>
        <v/>
      </c>
      <c r="CT33">
        <f>IF(CT$4=1,IF(OR(INDEX('×入力'!$A$1:$L$1300,651+CT$3,2+CT$2)&lt;&gt;"",INDEX('×入力'!$A$1:$L$1300,650,2+CT$2)&lt;&gt;"",INDEX('×入力'!$A$1:$L$1300,651+CT$3,1)&lt;&gt;""),1,0),0)</f>
        <v/>
      </c>
      <c r="CU33">
        <f>IF(CU$4=1,IF(OR(INDEX('×入力'!$A$1:$L$1300,651+CU$3,2+CU$2)&lt;&gt;"",INDEX('×入力'!$A$1:$L$1300,650,2+CU$2)&lt;&gt;"",INDEX('×入力'!$A$1:$L$1300,651+CU$3,1)&lt;&gt;""),1,0),0)</f>
        <v/>
      </c>
      <c r="CV33">
        <f>IF(CV$4=1,IF(OR(INDEX('×入力'!$A$1:$L$1300,651+CV$3,2+CV$2)&lt;&gt;"",INDEX('×入力'!$A$1:$L$1300,650,2+CV$2)&lt;&gt;"",INDEX('×入力'!$A$1:$L$1300,651+CV$3,1)&lt;&gt;""),1,0),0)</f>
        <v/>
      </c>
      <c r="CW33">
        <f>IF(CW$4=1,IF(OR(INDEX('×入力'!$A$1:$L$1300,651+CW$3,2+CW$2)&lt;&gt;"",INDEX('×入力'!$A$1:$L$1300,650,2+CW$2)&lt;&gt;"",INDEX('×入力'!$A$1:$L$1300,651+CW$3,1)&lt;&gt;""),1,0),0)</f>
        <v/>
      </c>
      <c r="CX33">
        <f>IF(CX$4=1,IF(OR(INDEX('×入力'!$A$1:$L$1300,651+CX$3,2+CX$2)&lt;&gt;"",INDEX('×入力'!$A$1:$L$1300,650,2+CX$2)&lt;&gt;"",INDEX('×入力'!$A$1:$L$1300,651+CX$3,1)&lt;&gt;""),1,0),0)</f>
        <v/>
      </c>
      <c r="CY33">
        <f>IF(CY$4=1,IF(OR(INDEX('×入力'!$A$1:$L$1300,651+CY$3,2+CY$2)&lt;&gt;"",INDEX('×入力'!$A$1:$L$1300,650,2+CY$2)&lt;&gt;"",INDEX('×入力'!$A$1:$L$1300,651+CY$3,1)&lt;&gt;""),1,0),0)</f>
        <v/>
      </c>
      <c r="CZ33">
        <f>IF(CZ$4=1,IF(OR(INDEX('×入力'!$A$1:$L$1300,651+CZ$3,2+CZ$2)&lt;&gt;"",INDEX('×入力'!$A$1:$L$1300,650,2+CZ$2)&lt;&gt;"",INDEX('×入力'!$A$1:$L$1300,651+CZ$3,1)&lt;&gt;""),1,0),0)</f>
        <v/>
      </c>
      <c r="DA33">
        <f>IF(DA$4=1,IF(OR(INDEX('×入力'!$A$1:$L$1300,651+DA$3,2+DA$2)&lt;&gt;"",INDEX('×入力'!$A$1:$L$1300,650,2+DA$2)&lt;&gt;"",INDEX('×入力'!$A$1:$L$1300,651+DA$3,1)&lt;&gt;""),1,0),0)</f>
        <v/>
      </c>
      <c r="DB33">
        <f>IF(DB$4=1,IF(OR(INDEX('×入力'!$A$1:$L$1300,651+DB$3,2+DB$2)&lt;&gt;"",INDEX('×入力'!$A$1:$L$1300,650,2+DB$2)&lt;&gt;"",INDEX('×入力'!$A$1:$L$1300,651+DB$3,1)&lt;&gt;""),1,0),0)</f>
        <v/>
      </c>
      <c r="DC33">
        <f>IF(DC$4=1,IF(OR(INDEX('×入力'!$A$1:$L$1300,651+DC$3,2+DC$2)&lt;&gt;"",INDEX('×入力'!$A$1:$L$1300,650,2+DC$2)&lt;&gt;"",INDEX('×入力'!$A$1:$L$1300,651+DC$3,1)&lt;&gt;""),1,0),0)</f>
        <v/>
      </c>
      <c r="DD33">
        <f>IF(DD$4=1,IF(OR(INDEX('×入力'!$A$1:$L$1300,651+DD$3,2+DD$2)&lt;&gt;"",INDEX('×入力'!$A$1:$L$1300,650,2+DD$2)&lt;&gt;"",INDEX('×入力'!$A$1:$L$1300,651+DD$3,1)&lt;&gt;""),1,0),0)</f>
        <v/>
      </c>
      <c r="DE33">
        <f>IF(DE$4=1,IF(OR(INDEX('×入力'!$A$1:$L$1300,651+DE$3,2+DE$2)&lt;&gt;"",INDEX('×入力'!$A$1:$L$1300,650,2+DE$2)&lt;&gt;"",INDEX('×入力'!$A$1:$L$1300,651+DE$3,1)&lt;&gt;""),1,0),0)</f>
        <v/>
      </c>
      <c r="DF33">
        <f>IF(DF$4=1,IF(OR(INDEX('×入力'!$A$1:$L$1300,651+DF$3,2+DF$2)&lt;&gt;"",INDEX('×入力'!$A$1:$L$1300,650,2+DF$2)&lt;&gt;"",INDEX('×入力'!$A$1:$L$1300,651+DF$3,1)&lt;&gt;""),1,0),0)</f>
        <v/>
      </c>
      <c r="DG33">
        <f>IF(DG$4=1,IF(OR(INDEX('×入力'!$A$1:$L$1300,651+DG$3,2+DG$2)&lt;&gt;"",INDEX('×入力'!$A$1:$L$1300,650,2+DG$2)&lt;&gt;"",INDEX('×入力'!$A$1:$L$1300,651+DG$3,1)&lt;&gt;""),1,0),0)</f>
        <v/>
      </c>
      <c r="DH33">
        <f>IF(DH$4=1,IF(OR(INDEX('×入力'!$A$1:$L$1300,651+DH$3,2+DH$2)&lt;&gt;"",INDEX('×入力'!$A$1:$L$1300,650,2+DH$2)&lt;&gt;"",INDEX('×入力'!$A$1:$L$1300,651+DH$3,1)&lt;&gt;""),1,0),0)</f>
        <v/>
      </c>
      <c r="DI33">
        <f>IF(DI$4=1,IF(OR(INDEX('×入力'!$A$1:$L$1300,651+DI$3,2+DI$2)&lt;&gt;"",INDEX('×入力'!$A$1:$L$1300,650,2+DI$2)&lt;&gt;"",INDEX('×入力'!$A$1:$L$1300,651+DI$3,1)&lt;&gt;""),1,0),0)</f>
        <v/>
      </c>
      <c r="DJ33">
        <f>IF(DJ$4=1,IF(OR(INDEX('×入力'!$A$1:$L$1300,651+DJ$3,2+DJ$2)&lt;&gt;"",INDEX('×入力'!$A$1:$L$1300,650,2+DJ$2)&lt;&gt;"",INDEX('×入力'!$A$1:$L$1300,651+DJ$3,1)&lt;&gt;""),1,0),0)</f>
        <v/>
      </c>
      <c r="DK33">
        <f>IF(DK$4=1,IF(OR(INDEX('×入力'!$A$1:$L$1300,651+DK$3,2+DK$2)&lt;&gt;"",INDEX('×入力'!$A$1:$L$1300,650,2+DK$2)&lt;&gt;"",INDEX('×入力'!$A$1:$L$1300,651+DK$3,1)&lt;&gt;""),1,0),0)</f>
        <v/>
      </c>
      <c r="DL33">
        <f>IF(DL$4=1,IF(OR(INDEX('×入力'!$A$1:$L$1300,651+DL$3,2+DL$2)&lt;&gt;"",INDEX('×入力'!$A$1:$L$1300,650,2+DL$2)&lt;&gt;"",INDEX('×入力'!$A$1:$L$1300,651+DL$3,1)&lt;&gt;""),1,0),0)</f>
        <v/>
      </c>
      <c r="DM33">
        <f>IF(DM$4=1,IF(OR(INDEX('×入力'!$A$1:$L$1300,651+DM$3,2+DM$2)&lt;&gt;"",INDEX('×入力'!$A$1:$L$1300,650,2+DM$2)&lt;&gt;"",INDEX('×入力'!$A$1:$L$1300,651+DM$3,1)&lt;&gt;""),1,0),0)</f>
        <v/>
      </c>
      <c r="DN33">
        <f>IF(DN$4=1,IF(OR(INDEX('×入力'!$A$1:$L$1300,651+DN$3,2+DN$2)&lt;&gt;"",INDEX('×入力'!$A$1:$L$1300,650,2+DN$2)&lt;&gt;"",INDEX('×入力'!$A$1:$L$1300,651+DN$3,1)&lt;&gt;""),1,0),0)</f>
        <v/>
      </c>
      <c r="DO33">
        <f>IF(DO$4=1,IF(OR(INDEX('×入力'!$A$1:$L$1300,651+DO$3,2+DO$2)&lt;&gt;"",INDEX('×入力'!$A$1:$L$1300,650,2+DO$2)&lt;&gt;"",INDEX('×入力'!$A$1:$L$1300,651+DO$3,1)&lt;&gt;""),1,0),0)</f>
        <v/>
      </c>
      <c r="DP33">
        <f>IF(DP$4=1,IF(OR(INDEX('×入力'!$A$1:$L$1300,651+DP$3,2+DP$2)&lt;&gt;"",INDEX('×入力'!$A$1:$L$1300,650,2+DP$2)&lt;&gt;"",INDEX('×入力'!$A$1:$L$1300,651+DP$3,1)&lt;&gt;""),1,0),0)</f>
        <v/>
      </c>
      <c r="DQ33">
        <f>IF(DQ$4=1,IF(OR(INDEX('×入力'!$A$1:$L$1300,651+DQ$3,2+DQ$2)&lt;&gt;"",INDEX('×入力'!$A$1:$L$1300,650,2+DQ$2)&lt;&gt;"",INDEX('×入力'!$A$1:$L$1300,651+DQ$3,1)&lt;&gt;""),1,0),0)</f>
        <v/>
      </c>
      <c r="DR33">
        <f>IF(DR$4=1,IF(OR(INDEX('×入力'!$A$1:$L$1300,651+DR$3,2+DR$2)&lt;&gt;"",INDEX('×入力'!$A$1:$L$1300,650,2+DR$2)&lt;&gt;"",INDEX('×入力'!$A$1:$L$1300,651+DR$3,1)&lt;&gt;""),1,0),0)</f>
        <v/>
      </c>
      <c r="DS33">
        <f>IF(DS$4=1,IF(OR(INDEX('×入力'!$A$1:$L$1300,651+DS$3,2+DS$2)&lt;&gt;"",INDEX('×入力'!$A$1:$L$1300,650,2+DS$2)&lt;&gt;"",INDEX('×入力'!$A$1:$L$1300,651+DS$3,1)&lt;&gt;""),1,0),0)</f>
        <v/>
      </c>
      <c r="DT33">
        <f>IF(DT$4=1,IF(OR(INDEX('×入力'!$A$1:$L$1300,651+DT$3,2+DT$2)&lt;&gt;"",INDEX('×入力'!$A$1:$L$1300,650,2+DT$2)&lt;&gt;"",INDEX('×入力'!$A$1:$L$1300,651+DT$3,1)&lt;&gt;""),1,0),0)</f>
        <v/>
      </c>
      <c r="DU33">
        <f>IF(DU$4=1,IF(OR(INDEX('×入力'!$A$1:$L$1300,651+DU$3,2+DU$2)&lt;&gt;"",INDEX('×入力'!$A$1:$L$1300,650,2+DU$2)&lt;&gt;"",INDEX('×入力'!$A$1:$L$1300,651+DU$3,1)&lt;&gt;""),1,0),0)</f>
        <v/>
      </c>
      <c r="DV33">
        <f>IF(DV$4=1,IF(OR(INDEX('×入力'!$A$1:$L$1300,651+DV$3,2+DV$2)&lt;&gt;"",INDEX('×入力'!$A$1:$L$1300,650,2+DV$2)&lt;&gt;"",INDEX('×入力'!$A$1:$L$1300,651+DV$3,1)&lt;&gt;""),1,0),0)</f>
        <v/>
      </c>
      <c r="DW33">
        <f>IF(DW$4=1,IF(OR(INDEX('×入力'!$A$1:$L$1300,651+DW$3,2+DW$2)&lt;&gt;"",INDEX('×入力'!$A$1:$L$1300,650,2+DW$2)&lt;&gt;"",INDEX('×入力'!$A$1:$L$1300,651+DW$3,1)&lt;&gt;""),1,0),0)</f>
        <v/>
      </c>
      <c r="DX33">
        <f>IF(DX$4=1,IF(OR(INDEX('×入力'!$A$1:$L$1300,651+DX$3,2+DX$2)&lt;&gt;"",INDEX('×入力'!$A$1:$L$1300,650,2+DX$2)&lt;&gt;"",INDEX('×入力'!$A$1:$L$1300,651+DX$3,1)&lt;&gt;""),1,0),0)</f>
        <v/>
      </c>
      <c r="DY33">
        <f>IF(DY$4=1,IF(OR(INDEX('×入力'!$A$1:$L$1300,651+DY$3,2+DY$2)&lt;&gt;"",INDEX('×入力'!$A$1:$L$1300,650,2+DY$2)&lt;&gt;"",INDEX('×入力'!$A$1:$L$1300,651+DY$3,1)&lt;&gt;""),1,0),0)</f>
        <v/>
      </c>
      <c r="DZ33">
        <f>IF(DZ$4=1,IF(OR(INDEX('×入力'!$A$1:$L$1300,651+DZ$3,2+DZ$2)&lt;&gt;"",INDEX('×入力'!$A$1:$L$1300,650,2+DZ$2)&lt;&gt;"",INDEX('×入力'!$A$1:$L$1300,651+DZ$3,1)&lt;&gt;""),1,0),0)</f>
        <v/>
      </c>
      <c r="EA33">
        <f>IF(EA$4=1,IF(OR(INDEX('×入力'!$A$1:$L$1300,651+EA$3,2+EA$2)&lt;&gt;"",INDEX('×入力'!$A$1:$L$1300,650,2+EA$2)&lt;&gt;"",INDEX('×入力'!$A$1:$L$1300,651+EA$3,1)&lt;&gt;""),1,0),0)</f>
        <v/>
      </c>
      <c r="EB33">
        <f>IF(EB$4=1,IF(OR(INDEX('×入力'!$A$1:$L$1300,651+EB$3,2+EB$2)&lt;&gt;"",INDEX('×入力'!$A$1:$L$1300,650,2+EB$2)&lt;&gt;"",INDEX('×入力'!$A$1:$L$1300,651+EB$3,1)&lt;&gt;""),1,0),0)</f>
        <v/>
      </c>
      <c r="EC33">
        <f>IF(EC$4=1,IF(OR(INDEX('×入力'!$A$1:$L$1300,651+EC$3,2+EC$2)&lt;&gt;"",INDEX('×入力'!$A$1:$L$1300,650,2+EC$2)&lt;&gt;"",INDEX('×入力'!$A$1:$L$1300,651+EC$3,1)&lt;&gt;""),1,0),0)</f>
        <v/>
      </c>
      <c r="ED33">
        <f>IF(ED$4=1,IF(OR(INDEX('×入力'!$A$1:$L$1300,651+ED$3,2+ED$2)&lt;&gt;"",INDEX('×入力'!$A$1:$L$1300,650,2+ED$2)&lt;&gt;"",INDEX('×入力'!$A$1:$L$1300,651+ED$3,1)&lt;&gt;""),1,0),0)</f>
        <v/>
      </c>
      <c r="EE33">
        <f>IF(EE$4=1,IF(OR(INDEX('×入力'!$A$1:$L$1300,651+EE$3,2+EE$2)&lt;&gt;"",INDEX('×入力'!$A$1:$L$1300,650,2+EE$2)&lt;&gt;"",INDEX('×入力'!$A$1:$L$1300,651+EE$3,1)&lt;&gt;""),1,0),0)</f>
        <v/>
      </c>
      <c r="EF33">
        <f>IF(EF$4=1,IF(OR(INDEX('×入力'!$A$1:$L$1300,651+EF$3,2+EF$2)&lt;&gt;"",INDEX('×入力'!$A$1:$L$1300,650,2+EF$2)&lt;&gt;"",INDEX('×入力'!$A$1:$L$1300,651+EF$3,1)&lt;&gt;""),1,0),0)</f>
        <v/>
      </c>
      <c r="EG33">
        <f>IF(EG$4=1,IF(OR(INDEX('×入力'!$A$1:$L$1300,651+EG$3,2+EG$2)&lt;&gt;"",INDEX('×入力'!$A$1:$L$1300,650,2+EG$2)&lt;&gt;"",INDEX('×入力'!$A$1:$L$1300,651+EG$3,1)&lt;&gt;""),1,0),0)</f>
        <v/>
      </c>
      <c r="EH33">
        <f>IF(EH$4=1,IF(OR(INDEX('×入力'!$A$1:$L$1300,651+EH$3,2+EH$2)&lt;&gt;"",INDEX('×入力'!$A$1:$L$1300,650,2+EH$2)&lt;&gt;"",INDEX('×入力'!$A$1:$L$1300,651+EH$3,1)&lt;&gt;""),1,0),0)</f>
        <v/>
      </c>
      <c r="EI33">
        <f>IF(EI$4=1,IF(OR(INDEX('×入力'!$A$1:$L$1300,651+EI$3,2+EI$2)&lt;&gt;"",INDEX('×入力'!$A$1:$L$1300,650,2+EI$2)&lt;&gt;"",INDEX('×入力'!$A$1:$L$1300,651+EI$3,1)&lt;&gt;""),1,0),0)</f>
        <v/>
      </c>
      <c r="EJ33">
        <f>IF(EJ$4=1,IF(OR(INDEX('×入力'!$A$1:$L$1300,651+EJ$3,2+EJ$2)&lt;&gt;"",INDEX('×入力'!$A$1:$L$1300,650,2+EJ$2)&lt;&gt;"",INDEX('×入力'!$A$1:$L$1300,651+EJ$3,1)&lt;&gt;""),1,0),0)</f>
        <v/>
      </c>
      <c r="EK33">
        <f>IF(EK$4=1,IF(OR(INDEX('×入力'!$A$1:$L$1300,651+EK$3,2+EK$2)&lt;&gt;"",INDEX('×入力'!$A$1:$L$1300,650,2+EK$2)&lt;&gt;"",INDEX('×入力'!$A$1:$L$1300,651+EK$3,1)&lt;&gt;""),1,0),0)</f>
        <v/>
      </c>
      <c r="EL33">
        <f>IF(EL$4=1,IF(OR(INDEX('×入力'!$A$1:$L$1300,651+EL$3,2+EL$2)&lt;&gt;"",INDEX('×入力'!$A$1:$L$1300,650,2+EL$2)&lt;&gt;"",INDEX('×入力'!$A$1:$L$1300,651+EL$3,1)&lt;&gt;""),1,0),0)</f>
        <v/>
      </c>
      <c r="EM33">
        <f>IF(EM$4=1,IF(OR(INDEX('×入力'!$A$1:$L$1300,651+EM$3,2+EM$2)&lt;&gt;"",INDEX('×入力'!$A$1:$L$1300,650,2+EM$2)&lt;&gt;"",INDEX('×入力'!$A$1:$L$1300,651+EM$3,1)&lt;&gt;""),1,0),0)</f>
        <v/>
      </c>
      <c r="EN33">
        <f>IF(EN$4=1,IF(OR(INDEX('×入力'!$A$1:$L$1300,651+EN$3,2+EN$2)&lt;&gt;"",INDEX('×入力'!$A$1:$L$1300,650,2+EN$2)&lt;&gt;"",INDEX('×入力'!$A$1:$L$1300,651+EN$3,1)&lt;&gt;""),1,0),0)</f>
        <v/>
      </c>
      <c r="EO33">
        <f>IF(EO$4=1,IF(OR(INDEX('×入力'!$A$1:$L$1300,651+EO$3,2+EO$2)&lt;&gt;"",INDEX('×入力'!$A$1:$L$1300,650,2+EO$2)&lt;&gt;"",INDEX('×入力'!$A$1:$L$1300,651+EO$3,1)&lt;&gt;""),1,0),0)</f>
        <v/>
      </c>
      <c r="EP33">
        <f>IF(EP$4=1,IF(OR(INDEX('×入力'!$A$1:$L$1300,651+EP$3,2+EP$2)&lt;&gt;"",INDEX('×入力'!$A$1:$L$1300,650,2+EP$2)&lt;&gt;"",INDEX('×入力'!$A$1:$L$1300,651+EP$3,1)&lt;&gt;""),1,0),0)</f>
        <v/>
      </c>
      <c r="EQ33">
        <f>IF(EQ$4=1,IF(OR(INDEX('×入力'!$A$1:$L$1300,651+EQ$3,2+EQ$2)&lt;&gt;"",INDEX('×入力'!$A$1:$L$1300,650,2+EQ$2)&lt;&gt;"",INDEX('×入力'!$A$1:$L$1300,651+EQ$3,1)&lt;&gt;""),1,0),0)</f>
        <v/>
      </c>
      <c r="HA33">
        <f>MAX(0,IT33)</f>
        <v/>
      </c>
      <c r="HB33">
        <f>IF(HA33=0,0,INDEX($D$2:$EQ$2,HA33))</f>
        <v/>
      </c>
      <c r="HC33">
        <f>IF(HA33=0,0,INDEX($D$3:$EQ$3,HA33))</f>
        <v/>
      </c>
      <c r="HD33">
        <f>MAX(0,IY33)</f>
        <v/>
      </c>
      <c r="HE33">
        <f>IF(HD33=0,0,INDEX($D$2:$EQ$2,HD33))</f>
        <v/>
      </c>
      <c r="HF33">
        <f>IF(HD33=0,0,INDEX($D$3:$EQ$3,HD33))</f>
        <v/>
      </c>
      <c r="HG33">
        <f>MAX(0,IZ33)</f>
        <v/>
      </c>
      <c r="HH33">
        <f>IF(HG33=0,0,INDEX($D$2:$EQ$2,HG33))</f>
        <v/>
      </c>
      <c r="HI33">
        <f>IF(HG33=0,0,INDEX($D$3:$EQ$3,HG33))</f>
        <v/>
      </c>
      <c r="HJ33">
        <f>IF(AND(HA33&gt;0,HC33&gt;1,OR(HC33-1&lt;&gt;$A$3,$A$4=0)),HA33-1,-1)</f>
        <v/>
      </c>
      <c r="HK33">
        <f>IF(AND(HA33&gt;0,HC33&lt;24,OR(HC33&lt;&gt;$A$3,$A$4=0)),HA33+1,-1)</f>
        <v/>
      </c>
      <c r="HL33">
        <f>IF(AND(HD33&gt;0,HF33&gt;1,OR(HF33-1&lt;&gt;$A$3,$A$4=0)),HD33-1,-1)</f>
        <v/>
      </c>
      <c r="HM33">
        <f>IF(AND(HD33&gt;0,HF33&lt;24,OR(HF33&lt;&gt;$A$3,$A$4=0)),HD33+1,-1)</f>
        <v/>
      </c>
      <c r="HN33">
        <f>IF(AND(HG33&gt;0,HI33&gt;1,OR(HI33-1&lt;&gt;$A$3,$A$4=0)),HG33-1,-1)</f>
        <v/>
      </c>
      <c r="HO33">
        <f>IF(AND(HG33&gt;0,HI33&lt;24,OR(HI33&lt;&gt;$A$3,$A$4=0)),HG33+1,-1)</f>
        <v/>
      </c>
      <c r="IK33">
        <f>IFERROR(INDEX('calcB'!$C$3:$C$47,MATCH(A33,'calcB'!$B$3:$B$47,0)),0)</f>
        <v/>
      </c>
      <c r="IL33">
        <f>IF(AND(C33=1,IK33=0,calcA!$A$6=1),1,0)</f>
        <v/>
      </c>
      <c r="IM33">
        <f>SUMPRODUCT(D83:EQ83*(1-$D$7:$EQ$7))</f>
        <v/>
      </c>
      <c r="IN33">
        <f>SUM(D33:EQ33)</f>
        <v/>
      </c>
      <c r="IO33">
        <f>IF(B33="",0,IF(COUNTIF('調整・決定'!$C$6:$H$29,B33)=1,SUMPRODUCT(('調整・決定'!$C$6:$H$29=B33)*((COLUMN('調整・決定'!$C$6:$H$29)-3)*24+ROW('調整・決定'!$C$6:$H$29)-5)),0))</f>
        <v/>
      </c>
      <c r="IP33">
        <f>IFERROR(MATCH('名簿'!C28,{"早い時刻","遅い時刻","早い日","遅い日"},0),0)</f>
        <v/>
      </c>
      <c r="IQ33">
        <f>IF('名簿'!D28="必ず空けたい",2,IF('名簿'!D28="出来れば空けたい",1,0))</f>
        <v/>
      </c>
      <c r="IR33">
        <f>IFERROR(INDEX('calcC'!$C$3:$C$47,MATCH(A33,'calcC'!$B$3:$B$47,0)),0)</f>
        <v/>
      </c>
      <c r="IS33">
        <f>IF(AND(C33=1,IR33=0,calcA!$A$6=1),1,0)</f>
        <v/>
      </c>
      <c r="IT33">
        <f>IF(OR('名簿'!G28="",'名簿'!H28=""),0,IFERROR((MATCH('名簿'!G28,'設定'!$E$11:$E$16,0)-1)*24+MATCH('名簿'!H28,'設定'!$I$11:$I$34,0),-1))</f>
        <v/>
      </c>
      <c r="IV33">
        <f>IF(OR(JF33=0,IO33=0),1,IF(OR(IF(IT33&gt;0,AND(INDEX($D$2:$EQ$2,IO33)=INDEX($D$2:$EQ$2,IT33),OR(AND(IO33=IT33+1,OR(INDEX($D$3:$EQ$3,IT33)&lt;&gt;$A$3,$A$4=0)),AND(IO33=IT33-1,OR(INDEX($D$3:$EQ$3,IO33)&lt;&gt;$A$3,$A$4=0)))),FALSE),IF(IY33&gt;0,AND(INDEX($D$2:$EQ$2,IO33)=INDEX($D$2:$EQ$2,IY33),OR(AND(IO33=IY33+1,OR(INDEX($D$3:$EQ$3,IY33)&lt;&gt;$A$3,$A$4=0)),AND(IO33=IY33-1,OR(INDEX($D$3:$EQ$3,IO33)&lt;&gt;$A$3,$A$4=0)))),FALSE),IF(IZ33&gt;0,AND(INDEX($D$2:$EQ$2,IO33)=INDEX($D$2:$EQ$2,IZ33),OR(AND(IO33=IZ33+1,OR(INDEX($D$3:$EQ$3,IZ33)&lt;&gt;$A$3,$A$4=0)),AND(IO33=IZ33-1,OR(INDEX($D$3:$EQ$3,IO33)&lt;&gt;$A$3,$A$4=0)))),FALSE)),1,0))</f>
        <v/>
      </c>
      <c r="IW33">
        <f>IF(AND('名簿'!E28&lt;&gt;"",JF33=0),1,0)</f>
        <v/>
      </c>
      <c r="IX33">
        <f>IF('名簿'!D28="空けない",1,0)</f>
        <v/>
      </c>
      <c r="IY33">
        <f>IF(OR('名簿'!J28="",'名簿'!K28=""),0,IFERROR((MATCH('名簿'!J28,'設定'!$E$11:$E$16,0)-1)*24+MATCH('名簿'!K28,'設定'!$I$11:$I$34,0),-1))</f>
        <v/>
      </c>
      <c r="IZ33">
        <f>IF(OR('名簿'!M28="",'名簿'!N28=""),0,IFERROR((MATCH('名簿'!M28,'設定'!$E$11:$E$16,0)-1)*24+MATCH('名簿'!N28,'設定'!$I$11:$I$34,0),-1))</f>
        <v/>
      </c>
      <c r="JC33">
        <f>IF(RIGHT('名簿'!I28,2)="の前",1,IF(RIGHT('名簿'!I28,2)="の後",2,0))</f>
        <v/>
      </c>
      <c r="JD33">
        <f>IF(RIGHT('名簿'!L28,2)="の前",1,IF(RIGHT('名簿'!L28,2)="の後",2,0))</f>
        <v/>
      </c>
      <c r="JE33">
        <f>IF(RIGHT('名簿'!O28,2)="の前",1,IF(RIGHT('名簿'!O28,2)="の後",2,0))</f>
        <v/>
      </c>
      <c r="JF33">
        <f>IF(OR(IT33&gt;0,IY33&gt;0,IZ33&gt;0),1,0)</f>
        <v/>
      </c>
      <c r="JG33">
        <f>IF(OR(IT33&lt;0,IY33&lt;0,IZ33&lt;0),1,0)</f>
        <v/>
      </c>
    </row>
    <row r="34">
      <c r="A34" t="n">
        <v>25</v>
      </c>
      <c r="B34">
        <f>'名簿'!P29</f>
        <v/>
      </c>
      <c r="C34">
        <f>IF(AND(B34&lt;&gt;"",OR('名簿'!Q29="入力済み",'名簿'!Q29="×なし"),IO34=0,COUNTIF('調整・決定'!$C$6:$H$29,B34)=0),1,0)</f>
        <v/>
      </c>
      <c r="D34">
        <f>IF(D$4=1,IF(OR(INDEX('×入力'!$A$1:$L$1300,679+D$3,2+D$2)&lt;&gt;"",INDEX('×入力'!$A$1:$L$1300,678,2+D$2)&lt;&gt;"",INDEX('×入力'!$A$1:$L$1300,679+D$3,1)&lt;&gt;""),1,0),0)</f>
        <v/>
      </c>
      <c r="E34">
        <f>IF(E$4=1,IF(OR(INDEX('×入力'!$A$1:$L$1300,679+E$3,2+E$2)&lt;&gt;"",INDEX('×入力'!$A$1:$L$1300,678,2+E$2)&lt;&gt;"",INDEX('×入力'!$A$1:$L$1300,679+E$3,1)&lt;&gt;""),1,0),0)</f>
        <v/>
      </c>
      <c r="F34">
        <f>IF(F$4=1,IF(OR(INDEX('×入力'!$A$1:$L$1300,679+F$3,2+F$2)&lt;&gt;"",INDEX('×入力'!$A$1:$L$1300,678,2+F$2)&lt;&gt;"",INDEX('×入力'!$A$1:$L$1300,679+F$3,1)&lt;&gt;""),1,0),0)</f>
        <v/>
      </c>
      <c r="G34">
        <f>IF(G$4=1,IF(OR(INDEX('×入力'!$A$1:$L$1300,679+G$3,2+G$2)&lt;&gt;"",INDEX('×入力'!$A$1:$L$1300,678,2+G$2)&lt;&gt;"",INDEX('×入力'!$A$1:$L$1300,679+G$3,1)&lt;&gt;""),1,0),0)</f>
        <v/>
      </c>
      <c r="H34">
        <f>IF(H$4=1,IF(OR(INDEX('×入力'!$A$1:$L$1300,679+H$3,2+H$2)&lt;&gt;"",INDEX('×入力'!$A$1:$L$1300,678,2+H$2)&lt;&gt;"",INDEX('×入力'!$A$1:$L$1300,679+H$3,1)&lt;&gt;""),1,0),0)</f>
        <v/>
      </c>
      <c r="I34">
        <f>IF(I$4=1,IF(OR(INDEX('×入力'!$A$1:$L$1300,679+I$3,2+I$2)&lt;&gt;"",INDEX('×入力'!$A$1:$L$1300,678,2+I$2)&lt;&gt;"",INDEX('×入力'!$A$1:$L$1300,679+I$3,1)&lt;&gt;""),1,0),0)</f>
        <v/>
      </c>
      <c r="J34">
        <f>IF(J$4=1,IF(OR(INDEX('×入力'!$A$1:$L$1300,679+J$3,2+J$2)&lt;&gt;"",INDEX('×入力'!$A$1:$L$1300,678,2+J$2)&lt;&gt;"",INDEX('×入力'!$A$1:$L$1300,679+J$3,1)&lt;&gt;""),1,0),0)</f>
        <v/>
      </c>
      <c r="K34">
        <f>IF(K$4=1,IF(OR(INDEX('×入力'!$A$1:$L$1300,679+K$3,2+K$2)&lt;&gt;"",INDEX('×入力'!$A$1:$L$1300,678,2+K$2)&lt;&gt;"",INDEX('×入力'!$A$1:$L$1300,679+K$3,1)&lt;&gt;""),1,0),0)</f>
        <v/>
      </c>
      <c r="L34">
        <f>IF(L$4=1,IF(OR(INDEX('×入力'!$A$1:$L$1300,679+L$3,2+L$2)&lt;&gt;"",INDEX('×入力'!$A$1:$L$1300,678,2+L$2)&lt;&gt;"",INDEX('×入力'!$A$1:$L$1300,679+L$3,1)&lt;&gt;""),1,0),0)</f>
        <v/>
      </c>
      <c r="M34">
        <f>IF(M$4=1,IF(OR(INDEX('×入力'!$A$1:$L$1300,679+M$3,2+M$2)&lt;&gt;"",INDEX('×入力'!$A$1:$L$1300,678,2+M$2)&lt;&gt;"",INDEX('×入力'!$A$1:$L$1300,679+M$3,1)&lt;&gt;""),1,0),0)</f>
        <v/>
      </c>
      <c r="N34">
        <f>IF(N$4=1,IF(OR(INDEX('×入力'!$A$1:$L$1300,679+N$3,2+N$2)&lt;&gt;"",INDEX('×入力'!$A$1:$L$1300,678,2+N$2)&lt;&gt;"",INDEX('×入力'!$A$1:$L$1300,679+N$3,1)&lt;&gt;""),1,0),0)</f>
        <v/>
      </c>
      <c r="O34">
        <f>IF(O$4=1,IF(OR(INDEX('×入力'!$A$1:$L$1300,679+O$3,2+O$2)&lt;&gt;"",INDEX('×入力'!$A$1:$L$1300,678,2+O$2)&lt;&gt;"",INDEX('×入力'!$A$1:$L$1300,679+O$3,1)&lt;&gt;""),1,0),0)</f>
        <v/>
      </c>
      <c r="P34">
        <f>IF(P$4=1,IF(OR(INDEX('×入力'!$A$1:$L$1300,679+P$3,2+P$2)&lt;&gt;"",INDEX('×入力'!$A$1:$L$1300,678,2+P$2)&lt;&gt;"",INDEX('×入力'!$A$1:$L$1300,679+P$3,1)&lt;&gt;""),1,0),0)</f>
        <v/>
      </c>
      <c r="Q34">
        <f>IF(Q$4=1,IF(OR(INDEX('×入力'!$A$1:$L$1300,679+Q$3,2+Q$2)&lt;&gt;"",INDEX('×入力'!$A$1:$L$1300,678,2+Q$2)&lt;&gt;"",INDEX('×入力'!$A$1:$L$1300,679+Q$3,1)&lt;&gt;""),1,0),0)</f>
        <v/>
      </c>
      <c r="R34">
        <f>IF(R$4=1,IF(OR(INDEX('×入力'!$A$1:$L$1300,679+R$3,2+R$2)&lt;&gt;"",INDEX('×入力'!$A$1:$L$1300,678,2+R$2)&lt;&gt;"",INDEX('×入力'!$A$1:$L$1300,679+R$3,1)&lt;&gt;""),1,0),0)</f>
        <v/>
      </c>
      <c r="S34">
        <f>IF(S$4=1,IF(OR(INDEX('×入力'!$A$1:$L$1300,679+S$3,2+S$2)&lt;&gt;"",INDEX('×入力'!$A$1:$L$1300,678,2+S$2)&lt;&gt;"",INDEX('×入力'!$A$1:$L$1300,679+S$3,1)&lt;&gt;""),1,0),0)</f>
        <v/>
      </c>
      <c r="T34">
        <f>IF(T$4=1,IF(OR(INDEX('×入力'!$A$1:$L$1300,679+T$3,2+T$2)&lt;&gt;"",INDEX('×入力'!$A$1:$L$1300,678,2+T$2)&lt;&gt;"",INDEX('×入力'!$A$1:$L$1300,679+T$3,1)&lt;&gt;""),1,0),0)</f>
        <v/>
      </c>
      <c r="U34">
        <f>IF(U$4=1,IF(OR(INDEX('×入力'!$A$1:$L$1300,679+U$3,2+U$2)&lt;&gt;"",INDEX('×入力'!$A$1:$L$1300,678,2+U$2)&lt;&gt;"",INDEX('×入力'!$A$1:$L$1300,679+U$3,1)&lt;&gt;""),1,0),0)</f>
        <v/>
      </c>
      <c r="V34">
        <f>IF(V$4=1,IF(OR(INDEX('×入力'!$A$1:$L$1300,679+V$3,2+V$2)&lt;&gt;"",INDEX('×入力'!$A$1:$L$1300,678,2+V$2)&lt;&gt;"",INDEX('×入力'!$A$1:$L$1300,679+V$3,1)&lt;&gt;""),1,0),0)</f>
        <v/>
      </c>
      <c r="W34">
        <f>IF(W$4=1,IF(OR(INDEX('×入力'!$A$1:$L$1300,679+W$3,2+W$2)&lt;&gt;"",INDEX('×入力'!$A$1:$L$1300,678,2+W$2)&lt;&gt;"",INDEX('×入力'!$A$1:$L$1300,679+W$3,1)&lt;&gt;""),1,0),0)</f>
        <v/>
      </c>
      <c r="X34">
        <f>IF(X$4=1,IF(OR(INDEX('×入力'!$A$1:$L$1300,679+X$3,2+X$2)&lt;&gt;"",INDEX('×入力'!$A$1:$L$1300,678,2+X$2)&lt;&gt;"",INDEX('×入力'!$A$1:$L$1300,679+X$3,1)&lt;&gt;""),1,0),0)</f>
        <v/>
      </c>
      <c r="Y34">
        <f>IF(Y$4=1,IF(OR(INDEX('×入力'!$A$1:$L$1300,679+Y$3,2+Y$2)&lt;&gt;"",INDEX('×入力'!$A$1:$L$1300,678,2+Y$2)&lt;&gt;"",INDEX('×入力'!$A$1:$L$1300,679+Y$3,1)&lt;&gt;""),1,0),0)</f>
        <v/>
      </c>
      <c r="Z34">
        <f>IF(Z$4=1,IF(OR(INDEX('×入力'!$A$1:$L$1300,679+Z$3,2+Z$2)&lt;&gt;"",INDEX('×入力'!$A$1:$L$1300,678,2+Z$2)&lt;&gt;"",INDEX('×入力'!$A$1:$L$1300,679+Z$3,1)&lt;&gt;""),1,0),0)</f>
        <v/>
      </c>
      <c r="AA34">
        <f>IF(AA$4=1,IF(OR(INDEX('×入力'!$A$1:$L$1300,679+AA$3,2+AA$2)&lt;&gt;"",INDEX('×入力'!$A$1:$L$1300,678,2+AA$2)&lt;&gt;"",INDEX('×入力'!$A$1:$L$1300,679+AA$3,1)&lt;&gt;""),1,0),0)</f>
        <v/>
      </c>
      <c r="AB34">
        <f>IF(AB$4=1,IF(OR(INDEX('×入力'!$A$1:$L$1300,679+AB$3,2+AB$2)&lt;&gt;"",INDEX('×入力'!$A$1:$L$1300,678,2+AB$2)&lt;&gt;"",INDEX('×入力'!$A$1:$L$1300,679+AB$3,1)&lt;&gt;""),1,0),0)</f>
        <v/>
      </c>
      <c r="AC34">
        <f>IF(AC$4=1,IF(OR(INDEX('×入力'!$A$1:$L$1300,679+AC$3,2+AC$2)&lt;&gt;"",INDEX('×入力'!$A$1:$L$1300,678,2+AC$2)&lt;&gt;"",INDEX('×入力'!$A$1:$L$1300,679+AC$3,1)&lt;&gt;""),1,0),0)</f>
        <v/>
      </c>
      <c r="AD34">
        <f>IF(AD$4=1,IF(OR(INDEX('×入力'!$A$1:$L$1300,679+AD$3,2+AD$2)&lt;&gt;"",INDEX('×入力'!$A$1:$L$1300,678,2+AD$2)&lt;&gt;"",INDEX('×入力'!$A$1:$L$1300,679+AD$3,1)&lt;&gt;""),1,0),0)</f>
        <v/>
      </c>
      <c r="AE34">
        <f>IF(AE$4=1,IF(OR(INDEX('×入力'!$A$1:$L$1300,679+AE$3,2+AE$2)&lt;&gt;"",INDEX('×入力'!$A$1:$L$1300,678,2+AE$2)&lt;&gt;"",INDEX('×入力'!$A$1:$L$1300,679+AE$3,1)&lt;&gt;""),1,0),0)</f>
        <v/>
      </c>
      <c r="AF34">
        <f>IF(AF$4=1,IF(OR(INDEX('×入力'!$A$1:$L$1300,679+AF$3,2+AF$2)&lt;&gt;"",INDEX('×入力'!$A$1:$L$1300,678,2+AF$2)&lt;&gt;"",INDEX('×入力'!$A$1:$L$1300,679+AF$3,1)&lt;&gt;""),1,0),0)</f>
        <v/>
      </c>
      <c r="AG34">
        <f>IF(AG$4=1,IF(OR(INDEX('×入力'!$A$1:$L$1300,679+AG$3,2+AG$2)&lt;&gt;"",INDEX('×入力'!$A$1:$L$1300,678,2+AG$2)&lt;&gt;"",INDEX('×入力'!$A$1:$L$1300,679+AG$3,1)&lt;&gt;""),1,0),0)</f>
        <v/>
      </c>
      <c r="AH34">
        <f>IF(AH$4=1,IF(OR(INDEX('×入力'!$A$1:$L$1300,679+AH$3,2+AH$2)&lt;&gt;"",INDEX('×入力'!$A$1:$L$1300,678,2+AH$2)&lt;&gt;"",INDEX('×入力'!$A$1:$L$1300,679+AH$3,1)&lt;&gt;""),1,0),0)</f>
        <v/>
      </c>
      <c r="AI34">
        <f>IF(AI$4=1,IF(OR(INDEX('×入力'!$A$1:$L$1300,679+AI$3,2+AI$2)&lt;&gt;"",INDEX('×入力'!$A$1:$L$1300,678,2+AI$2)&lt;&gt;"",INDEX('×入力'!$A$1:$L$1300,679+AI$3,1)&lt;&gt;""),1,0),0)</f>
        <v/>
      </c>
      <c r="AJ34">
        <f>IF(AJ$4=1,IF(OR(INDEX('×入力'!$A$1:$L$1300,679+AJ$3,2+AJ$2)&lt;&gt;"",INDEX('×入力'!$A$1:$L$1300,678,2+AJ$2)&lt;&gt;"",INDEX('×入力'!$A$1:$L$1300,679+AJ$3,1)&lt;&gt;""),1,0),0)</f>
        <v/>
      </c>
      <c r="AK34">
        <f>IF(AK$4=1,IF(OR(INDEX('×入力'!$A$1:$L$1300,679+AK$3,2+AK$2)&lt;&gt;"",INDEX('×入力'!$A$1:$L$1300,678,2+AK$2)&lt;&gt;"",INDEX('×入力'!$A$1:$L$1300,679+AK$3,1)&lt;&gt;""),1,0),0)</f>
        <v/>
      </c>
      <c r="AL34">
        <f>IF(AL$4=1,IF(OR(INDEX('×入力'!$A$1:$L$1300,679+AL$3,2+AL$2)&lt;&gt;"",INDEX('×入力'!$A$1:$L$1300,678,2+AL$2)&lt;&gt;"",INDEX('×入力'!$A$1:$L$1300,679+AL$3,1)&lt;&gt;""),1,0),0)</f>
        <v/>
      </c>
      <c r="AM34">
        <f>IF(AM$4=1,IF(OR(INDEX('×入力'!$A$1:$L$1300,679+AM$3,2+AM$2)&lt;&gt;"",INDEX('×入力'!$A$1:$L$1300,678,2+AM$2)&lt;&gt;"",INDEX('×入力'!$A$1:$L$1300,679+AM$3,1)&lt;&gt;""),1,0),0)</f>
        <v/>
      </c>
      <c r="AN34">
        <f>IF(AN$4=1,IF(OR(INDEX('×入力'!$A$1:$L$1300,679+AN$3,2+AN$2)&lt;&gt;"",INDEX('×入力'!$A$1:$L$1300,678,2+AN$2)&lt;&gt;"",INDEX('×入力'!$A$1:$L$1300,679+AN$3,1)&lt;&gt;""),1,0),0)</f>
        <v/>
      </c>
      <c r="AO34">
        <f>IF(AO$4=1,IF(OR(INDEX('×入力'!$A$1:$L$1300,679+AO$3,2+AO$2)&lt;&gt;"",INDEX('×入力'!$A$1:$L$1300,678,2+AO$2)&lt;&gt;"",INDEX('×入力'!$A$1:$L$1300,679+AO$3,1)&lt;&gt;""),1,0),0)</f>
        <v/>
      </c>
      <c r="AP34">
        <f>IF(AP$4=1,IF(OR(INDEX('×入力'!$A$1:$L$1300,679+AP$3,2+AP$2)&lt;&gt;"",INDEX('×入力'!$A$1:$L$1300,678,2+AP$2)&lt;&gt;"",INDEX('×入力'!$A$1:$L$1300,679+AP$3,1)&lt;&gt;""),1,0),0)</f>
        <v/>
      </c>
      <c r="AQ34">
        <f>IF(AQ$4=1,IF(OR(INDEX('×入力'!$A$1:$L$1300,679+AQ$3,2+AQ$2)&lt;&gt;"",INDEX('×入力'!$A$1:$L$1300,678,2+AQ$2)&lt;&gt;"",INDEX('×入力'!$A$1:$L$1300,679+AQ$3,1)&lt;&gt;""),1,0),0)</f>
        <v/>
      </c>
      <c r="AR34">
        <f>IF(AR$4=1,IF(OR(INDEX('×入力'!$A$1:$L$1300,679+AR$3,2+AR$2)&lt;&gt;"",INDEX('×入力'!$A$1:$L$1300,678,2+AR$2)&lt;&gt;"",INDEX('×入力'!$A$1:$L$1300,679+AR$3,1)&lt;&gt;""),1,0),0)</f>
        <v/>
      </c>
      <c r="AS34">
        <f>IF(AS$4=1,IF(OR(INDEX('×入力'!$A$1:$L$1300,679+AS$3,2+AS$2)&lt;&gt;"",INDEX('×入力'!$A$1:$L$1300,678,2+AS$2)&lt;&gt;"",INDEX('×入力'!$A$1:$L$1300,679+AS$3,1)&lt;&gt;""),1,0),0)</f>
        <v/>
      </c>
      <c r="AT34">
        <f>IF(AT$4=1,IF(OR(INDEX('×入力'!$A$1:$L$1300,679+AT$3,2+AT$2)&lt;&gt;"",INDEX('×入力'!$A$1:$L$1300,678,2+AT$2)&lt;&gt;"",INDEX('×入力'!$A$1:$L$1300,679+AT$3,1)&lt;&gt;""),1,0),0)</f>
        <v/>
      </c>
      <c r="AU34">
        <f>IF(AU$4=1,IF(OR(INDEX('×入力'!$A$1:$L$1300,679+AU$3,2+AU$2)&lt;&gt;"",INDEX('×入力'!$A$1:$L$1300,678,2+AU$2)&lt;&gt;"",INDEX('×入力'!$A$1:$L$1300,679+AU$3,1)&lt;&gt;""),1,0),0)</f>
        <v/>
      </c>
      <c r="AV34">
        <f>IF(AV$4=1,IF(OR(INDEX('×入力'!$A$1:$L$1300,679+AV$3,2+AV$2)&lt;&gt;"",INDEX('×入力'!$A$1:$L$1300,678,2+AV$2)&lt;&gt;"",INDEX('×入力'!$A$1:$L$1300,679+AV$3,1)&lt;&gt;""),1,0),0)</f>
        <v/>
      </c>
      <c r="AW34">
        <f>IF(AW$4=1,IF(OR(INDEX('×入力'!$A$1:$L$1300,679+AW$3,2+AW$2)&lt;&gt;"",INDEX('×入力'!$A$1:$L$1300,678,2+AW$2)&lt;&gt;"",INDEX('×入力'!$A$1:$L$1300,679+AW$3,1)&lt;&gt;""),1,0),0)</f>
        <v/>
      </c>
      <c r="AX34">
        <f>IF(AX$4=1,IF(OR(INDEX('×入力'!$A$1:$L$1300,679+AX$3,2+AX$2)&lt;&gt;"",INDEX('×入力'!$A$1:$L$1300,678,2+AX$2)&lt;&gt;"",INDEX('×入力'!$A$1:$L$1300,679+AX$3,1)&lt;&gt;""),1,0),0)</f>
        <v/>
      </c>
      <c r="AY34">
        <f>IF(AY$4=1,IF(OR(INDEX('×入力'!$A$1:$L$1300,679+AY$3,2+AY$2)&lt;&gt;"",INDEX('×入力'!$A$1:$L$1300,678,2+AY$2)&lt;&gt;"",INDEX('×入力'!$A$1:$L$1300,679+AY$3,1)&lt;&gt;""),1,0),0)</f>
        <v/>
      </c>
      <c r="AZ34">
        <f>IF(AZ$4=1,IF(OR(INDEX('×入力'!$A$1:$L$1300,679+AZ$3,2+AZ$2)&lt;&gt;"",INDEX('×入力'!$A$1:$L$1300,678,2+AZ$2)&lt;&gt;"",INDEX('×入力'!$A$1:$L$1300,679+AZ$3,1)&lt;&gt;""),1,0),0)</f>
        <v/>
      </c>
      <c r="BA34">
        <f>IF(BA$4=1,IF(OR(INDEX('×入力'!$A$1:$L$1300,679+BA$3,2+BA$2)&lt;&gt;"",INDEX('×入力'!$A$1:$L$1300,678,2+BA$2)&lt;&gt;"",INDEX('×入力'!$A$1:$L$1300,679+BA$3,1)&lt;&gt;""),1,0),0)</f>
        <v/>
      </c>
      <c r="BB34">
        <f>IF(BB$4=1,IF(OR(INDEX('×入力'!$A$1:$L$1300,679+BB$3,2+BB$2)&lt;&gt;"",INDEX('×入力'!$A$1:$L$1300,678,2+BB$2)&lt;&gt;"",INDEX('×入力'!$A$1:$L$1300,679+BB$3,1)&lt;&gt;""),1,0),0)</f>
        <v/>
      </c>
      <c r="BC34">
        <f>IF(BC$4=1,IF(OR(INDEX('×入力'!$A$1:$L$1300,679+BC$3,2+BC$2)&lt;&gt;"",INDEX('×入力'!$A$1:$L$1300,678,2+BC$2)&lt;&gt;"",INDEX('×入力'!$A$1:$L$1300,679+BC$3,1)&lt;&gt;""),1,0),0)</f>
        <v/>
      </c>
      <c r="BD34">
        <f>IF(BD$4=1,IF(OR(INDEX('×入力'!$A$1:$L$1300,679+BD$3,2+BD$2)&lt;&gt;"",INDEX('×入力'!$A$1:$L$1300,678,2+BD$2)&lt;&gt;"",INDEX('×入力'!$A$1:$L$1300,679+BD$3,1)&lt;&gt;""),1,0),0)</f>
        <v/>
      </c>
      <c r="BE34">
        <f>IF(BE$4=1,IF(OR(INDEX('×入力'!$A$1:$L$1300,679+BE$3,2+BE$2)&lt;&gt;"",INDEX('×入力'!$A$1:$L$1300,678,2+BE$2)&lt;&gt;"",INDEX('×入力'!$A$1:$L$1300,679+BE$3,1)&lt;&gt;""),1,0),0)</f>
        <v/>
      </c>
      <c r="BF34">
        <f>IF(BF$4=1,IF(OR(INDEX('×入力'!$A$1:$L$1300,679+BF$3,2+BF$2)&lt;&gt;"",INDEX('×入力'!$A$1:$L$1300,678,2+BF$2)&lt;&gt;"",INDEX('×入力'!$A$1:$L$1300,679+BF$3,1)&lt;&gt;""),1,0),0)</f>
        <v/>
      </c>
      <c r="BG34">
        <f>IF(BG$4=1,IF(OR(INDEX('×入力'!$A$1:$L$1300,679+BG$3,2+BG$2)&lt;&gt;"",INDEX('×入力'!$A$1:$L$1300,678,2+BG$2)&lt;&gt;"",INDEX('×入力'!$A$1:$L$1300,679+BG$3,1)&lt;&gt;""),1,0),0)</f>
        <v/>
      </c>
      <c r="BH34">
        <f>IF(BH$4=1,IF(OR(INDEX('×入力'!$A$1:$L$1300,679+BH$3,2+BH$2)&lt;&gt;"",INDEX('×入力'!$A$1:$L$1300,678,2+BH$2)&lt;&gt;"",INDEX('×入力'!$A$1:$L$1300,679+BH$3,1)&lt;&gt;""),1,0),0)</f>
        <v/>
      </c>
      <c r="BI34">
        <f>IF(BI$4=1,IF(OR(INDEX('×入力'!$A$1:$L$1300,679+BI$3,2+BI$2)&lt;&gt;"",INDEX('×入力'!$A$1:$L$1300,678,2+BI$2)&lt;&gt;"",INDEX('×入力'!$A$1:$L$1300,679+BI$3,1)&lt;&gt;""),1,0),0)</f>
        <v/>
      </c>
      <c r="BJ34">
        <f>IF(BJ$4=1,IF(OR(INDEX('×入力'!$A$1:$L$1300,679+BJ$3,2+BJ$2)&lt;&gt;"",INDEX('×入力'!$A$1:$L$1300,678,2+BJ$2)&lt;&gt;"",INDEX('×入力'!$A$1:$L$1300,679+BJ$3,1)&lt;&gt;""),1,0),0)</f>
        <v/>
      </c>
      <c r="BK34">
        <f>IF(BK$4=1,IF(OR(INDEX('×入力'!$A$1:$L$1300,679+BK$3,2+BK$2)&lt;&gt;"",INDEX('×入力'!$A$1:$L$1300,678,2+BK$2)&lt;&gt;"",INDEX('×入力'!$A$1:$L$1300,679+BK$3,1)&lt;&gt;""),1,0),0)</f>
        <v/>
      </c>
      <c r="BL34">
        <f>IF(BL$4=1,IF(OR(INDEX('×入力'!$A$1:$L$1300,679+BL$3,2+BL$2)&lt;&gt;"",INDEX('×入力'!$A$1:$L$1300,678,2+BL$2)&lt;&gt;"",INDEX('×入力'!$A$1:$L$1300,679+BL$3,1)&lt;&gt;""),1,0),0)</f>
        <v/>
      </c>
      <c r="BM34">
        <f>IF(BM$4=1,IF(OR(INDEX('×入力'!$A$1:$L$1300,679+BM$3,2+BM$2)&lt;&gt;"",INDEX('×入力'!$A$1:$L$1300,678,2+BM$2)&lt;&gt;"",INDEX('×入力'!$A$1:$L$1300,679+BM$3,1)&lt;&gt;""),1,0),0)</f>
        <v/>
      </c>
      <c r="BN34">
        <f>IF(BN$4=1,IF(OR(INDEX('×入力'!$A$1:$L$1300,679+BN$3,2+BN$2)&lt;&gt;"",INDEX('×入力'!$A$1:$L$1300,678,2+BN$2)&lt;&gt;"",INDEX('×入力'!$A$1:$L$1300,679+BN$3,1)&lt;&gt;""),1,0),0)</f>
        <v/>
      </c>
      <c r="BO34">
        <f>IF(BO$4=1,IF(OR(INDEX('×入力'!$A$1:$L$1300,679+BO$3,2+BO$2)&lt;&gt;"",INDEX('×入力'!$A$1:$L$1300,678,2+BO$2)&lt;&gt;"",INDEX('×入力'!$A$1:$L$1300,679+BO$3,1)&lt;&gt;""),1,0),0)</f>
        <v/>
      </c>
      <c r="BP34">
        <f>IF(BP$4=1,IF(OR(INDEX('×入力'!$A$1:$L$1300,679+BP$3,2+BP$2)&lt;&gt;"",INDEX('×入力'!$A$1:$L$1300,678,2+BP$2)&lt;&gt;"",INDEX('×入力'!$A$1:$L$1300,679+BP$3,1)&lt;&gt;""),1,0),0)</f>
        <v/>
      </c>
      <c r="BQ34">
        <f>IF(BQ$4=1,IF(OR(INDEX('×入力'!$A$1:$L$1300,679+BQ$3,2+BQ$2)&lt;&gt;"",INDEX('×入力'!$A$1:$L$1300,678,2+BQ$2)&lt;&gt;"",INDEX('×入力'!$A$1:$L$1300,679+BQ$3,1)&lt;&gt;""),1,0),0)</f>
        <v/>
      </c>
      <c r="BR34">
        <f>IF(BR$4=1,IF(OR(INDEX('×入力'!$A$1:$L$1300,679+BR$3,2+BR$2)&lt;&gt;"",INDEX('×入力'!$A$1:$L$1300,678,2+BR$2)&lt;&gt;"",INDEX('×入力'!$A$1:$L$1300,679+BR$3,1)&lt;&gt;""),1,0),0)</f>
        <v/>
      </c>
      <c r="BS34">
        <f>IF(BS$4=1,IF(OR(INDEX('×入力'!$A$1:$L$1300,679+BS$3,2+BS$2)&lt;&gt;"",INDEX('×入力'!$A$1:$L$1300,678,2+BS$2)&lt;&gt;"",INDEX('×入力'!$A$1:$L$1300,679+BS$3,1)&lt;&gt;""),1,0),0)</f>
        <v/>
      </c>
      <c r="BT34">
        <f>IF(BT$4=1,IF(OR(INDEX('×入力'!$A$1:$L$1300,679+BT$3,2+BT$2)&lt;&gt;"",INDEX('×入力'!$A$1:$L$1300,678,2+BT$2)&lt;&gt;"",INDEX('×入力'!$A$1:$L$1300,679+BT$3,1)&lt;&gt;""),1,0),0)</f>
        <v/>
      </c>
      <c r="BU34">
        <f>IF(BU$4=1,IF(OR(INDEX('×入力'!$A$1:$L$1300,679+BU$3,2+BU$2)&lt;&gt;"",INDEX('×入力'!$A$1:$L$1300,678,2+BU$2)&lt;&gt;"",INDEX('×入力'!$A$1:$L$1300,679+BU$3,1)&lt;&gt;""),1,0),0)</f>
        <v/>
      </c>
      <c r="BV34">
        <f>IF(BV$4=1,IF(OR(INDEX('×入力'!$A$1:$L$1300,679+BV$3,2+BV$2)&lt;&gt;"",INDEX('×入力'!$A$1:$L$1300,678,2+BV$2)&lt;&gt;"",INDEX('×入力'!$A$1:$L$1300,679+BV$3,1)&lt;&gt;""),1,0),0)</f>
        <v/>
      </c>
      <c r="BW34">
        <f>IF(BW$4=1,IF(OR(INDEX('×入力'!$A$1:$L$1300,679+BW$3,2+BW$2)&lt;&gt;"",INDEX('×入力'!$A$1:$L$1300,678,2+BW$2)&lt;&gt;"",INDEX('×入力'!$A$1:$L$1300,679+BW$3,1)&lt;&gt;""),1,0),0)</f>
        <v/>
      </c>
      <c r="BX34">
        <f>IF(BX$4=1,IF(OR(INDEX('×入力'!$A$1:$L$1300,679+BX$3,2+BX$2)&lt;&gt;"",INDEX('×入力'!$A$1:$L$1300,678,2+BX$2)&lt;&gt;"",INDEX('×入力'!$A$1:$L$1300,679+BX$3,1)&lt;&gt;""),1,0),0)</f>
        <v/>
      </c>
      <c r="BY34">
        <f>IF(BY$4=1,IF(OR(INDEX('×入力'!$A$1:$L$1300,679+BY$3,2+BY$2)&lt;&gt;"",INDEX('×入力'!$A$1:$L$1300,678,2+BY$2)&lt;&gt;"",INDEX('×入力'!$A$1:$L$1300,679+BY$3,1)&lt;&gt;""),1,0),0)</f>
        <v/>
      </c>
      <c r="BZ34">
        <f>IF(BZ$4=1,IF(OR(INDEX('×入力'!$A$1:$L$1300,679+BZ$3,2+BZ$2)&lt;&gt;"",INDEX('×入力'!$A$1:$L$1300,678,2+BZ$2)&lt;&gt;"",INDEX('×入力'!$A$1:$L$1300,679+BZ$3,1)&lt;&gt;""),1,0),0)</f>
        <v/>
      </c>
      <c r="CA34">
        <f>IF(CA$4=1,IF(OR(INDEX('×入力'!$A$1:$L$1300,679+CA$3,2+CA$2)&lt;&gt;"",INDEX('×入力'!$A$1:$L$1300,678,2+CA$2)&lt;&gt;"",INDEX('×入力'!$A$1:$L$1300,679+CA$3,1)&lt;&gt;""),1,0),0)</f>
        <v/>
      </c>
      <c r="CB34">
        <f>IF(CB$4=1,IF(OR(INDEX('×入力'!$A$1:$L$1300,679+CB$3,2+CB$2)&lt;&gt;"",INDEX('×入力'!$A$1:$L$1300,678,2+CB$2)&lt;&gt;"",INDEX('×入力'!$A$1:$L$1300,679+CB$3,1)&lt;&gt;""),1,0),0)</f>
        <v/>
      </c>
      <c r="CC34">
        <f>IF(CC$4=1,IF(OR(INDEX('×入力'!$A$1:$L$1300,679+CC$3,2+CC$2)&lt;&gt;"",INDEX('×入力'!$A$1:$L$1300,678,2+CC$2)&lt;&gt;"",INDEX('×入力'!$A$1:$L$1300,679+CC$3,1)&lt;&gt;""),1,0),0)</f>
        <v/>
      </c>
      <c r="CD34">
        <f>IF(CD$4=1,IF(OR(INDEX('×入力'!$A$1:$L$1300,679+CD$3,2+CD$2)&lt;&gt;"",INDEX('×入力'!$A$1:$L$1300,678,2+CD$2)&lt;&gt;"",INDEX('×入力'!$A$1:$L$1300,679+CD$3,1)&lt;&gt;""),1,0),0)</f>
        <v/>
      </c>
      <c r="CE34">
        <f>IF(CE$4=1,IF(OR(INDEX('×入力'!$A$1:$L$1300,679+CE$3,2+CE$2)&lt;&gt;"",INDEX('×入力'!$A$1:$L$1300,678,2+CE$2)&lt;&gt;"",INDEX('×入力'!$A$1:$L$1300,679+CE$3,1)&lt;&gt;""),1,0),0)</f>
        <v/>
      </c>
      <c r="CF34">
        <f>IF(CF$4=1,IF(OR(INDEX('×入力'!$A$1:$L$1300,679+CF$3,2+CF$2)&lt;&gt;"",INDEX('×入力'!$A$1:$L$1300,678,2+CF$2)&lt;&gt;"",INDEX('×入力'!$A$1:$L$1300,679+CF$3,1)&lt;&gt;""),1,0),0)</f>
        <v/>
      </c>
      <c r="CG34">
        <f>IF(CG$4=1,IF(OR(INDEX('×入力'!$A$1:$L$1300,679+CG$3,2+CG$2)&lt;&gt;"",INDEX('×入力'!$A$1:$L$1300,678,2+CG$2)&lt;&gt;"",INDEX('×入力'!$A$1:$L$1300,679+CG$3,1)&lt;&gt;""),1,0),0)</f>
        <v/>
      </c>
      <c r="CH34">
        <f>IF(CH$4=1,IF(OR(INDEX('×入力'!$A$1:$L$1300,679+CH$3,2+CH$2)&lt;&gt;"",INDEX('×入力'!$A$1:$L$1300,678,2+CH$2)&lt;&gt;"",INDEX('×入力'!$A$1:$L$1300,679+CH$3,1)&lt;&gt;""),1,0),0)</f>
        <v/>
      </c>
      <c r="CI34">
        <f>IF(CI$4=1,IF(OR(INDEX('×入力'!$A$1:$L$1300,679+CI$3,2+CI$2)&lt;&gt;"",INDEX('×入力'!$A$1:$L$1300,678,2+CI$2)&lt;&gt;"",INDEX('×入力'!$A$1:$L$1300,679+CI$3,1)&lt;&gt;""),1,0),0)</f>
        <v/>
      </c>
      <c r="CJ34">
        <f>IF(CJ$4=1,IF(OR(INDEX('×入力'!$A$1:$L$1300,679+CJ$3,2+CJ$2)&lt;&gt;"",INDEX('×入力'!$A$1:$L$1300,678,2+CJ$2)&lt;&gt;"",INDEX('×入力'!$A$1:$L$1300,679+CJ$3,1)&lt;&gt;""),1,0),0)</f>
        <v/>
      </c>
      <c r="CK34">
        <f>IF(CK$4=1,IF(OR(INDEX('×入力'!$A$1:$L$1300,679+CK$3,2+CK$2)&lt;&gt;"",INDEX('×入力'!$A$1:$L$1300,678,2+CK$2)&lt;&gt;"",INDEX('×入力'!$A$1:$L$1300,679+CK$3,1)&lt;&gt;""),1,0),0)</f>
        <v/>
      </c>
      <c r="CL34">
        <f>IF(CL$4=1,IF(OR(INDEX('×入力'!$A$1:$L$1300,679+CL$3,2+CL$2)&lt;&gt;"",INDEX('×入力'!$A$1:$L$1300,678,2+CL$2)&lt;&gt;"",INDEX('×入力'!$A$1:$L$1300,679+CL$3,1)&lt;&gt;""),1,0),0)</f>
        <v/>
      </c>
      <c r="CM34">
        <f>IF(CM$4=1,IF(OR(INDEX('×入力'!$A$1:$L$1300,679+CM$3,2+CM$2)&lt;&gt;"",INDEX('×入力'!$A$1:$L$1300,678,2+CM$2)&lt;&gt;"",INDEX('×入力'!$A$1:$L$1300,679+CM$3,1)&lt;&gt;""),1,0),0)</f>
        <v/>
      </c>
      <c r="CN34">
        <f>IF(CN$4=1,IF(OR(INDEX('×入力'!$A$1:$L$1300,679+CN$3,2+CN$2)&lt;&gt;"",INDEX('×入力'!$A$1:$L$1300,678,2+CN$2)&lt;&gt;"",INDEX('×入力'!$A$1:$L$1300,679+CN$3,1)&lt;&gt;""),1,0),0)</f>
        <v/>
      </c>
      <c r="CO34">
        <f>IF(CO$4=1,IF(OR(INDEX('×入力'!$A$1:$L$1300,679+CO$3,2+CO$2)&lt;&gt;"",INDEX('×入力'!$A$1:$L$1300,678,2+CO$2)&lt;&gt;"",INDEX('×入力'!$A$1:$L$1300,679+CO$3,1)&lt;&gt;""),1,0),0)</f>
        <v/>
      </c>
      <c r="CP34">
        <f>IF(CP$4=1,IF(OR(INDEX('×入力'!$A$1:$L$1300,679+CP$3,2+CP$2)&lt;&gt;"",INDEX('×入力'!$A$1:$L$1300,678,2+CP$2)&lt;&gt;"",INDEX('×入力'!$A$1:$L$1300,679+CP$3,1)&lt;&gt;""),1,0),0)</f>
        <v/>
      </c>
      <c r="CQ34">
        <f>IF(CQ$4=1,IF(OR(INDEX('×入力'!$A$1:$L$1300,679+CQ$3,2+CQ$2)&lt;&gt;"",INDEX('×入力'!$A$1:$L$1300,678,2+CQ$2)&lt;&gt;"",INDEX('×入力'!$A$1:$L$1300,679+CQ$3,1)&lt;&gt;""),1,0),0)</f>
        <v/>
      </c>
      <c r="CR34">
        <f>IF(CR$4=1,IF(OR(INDEX('×入力'!$A$1:$L$1300,679+CR$3,2+CR$2)&lt;&gt;"",INDEX('×入力'!$A$1:$L$1300,678,2+CR$2)&lt;&gt;"",INDEX('×入力'!$A$1:$L$1300,679+CR$3,1)&lt;&gt;""),1,0),0)</f>
        <v/>
      </c>
      <c r="CS34">
        <f>IF(CS$4=1,IF(OR(INDEX('×入力'!$A$1:$L$1300,679+CS$3,2+CS$2)&lt;&gt;"",INDEX('×入力'!$A$1:$L$1300,678,2+CS$2)&lt;&gt;"",INDEX('×入力'!$A$1:$L$1300,679+CS$3,1)&lt;&gt;""),1,0),0)</f>
        <v/>
      </c>
      <c r="CT34">
        <f>IF(CT$4=1,IF(OR(INDEX('×入力'!$A$1:$L$1300,679+CT$3,2+CT$2)&lt;&gt;"",INDEX('×入力'!$A$1:$L$1300,678,2+CT$2)&lt;&gt;"",INDEX('×入力'!$A$1:$L$1300,679+CT$3,1)&lt;&gt;""),1,0),0)</f>
        <v/>
      </c>
      <c r="CU34">
        <f>IF(CU$4=1,IF(OR(INDEX('×入力'!$A$1:$L$1300,679+CU$3,2+CU$2)&lt;&gt;"",INDEX('×入力'!$A$1:$L$1300,678,2+CU$2)&lt;&gt;"",INDEX('×入力'!$A$1:$L$1300,679+CU$3,1)&lt;&gt;""),1,0),0)</f>
        <v/>
      </c>
      <c r="CV34">
        <f>IF(CV$4=1,IF(OR(INDEX('×入力'!$A$1:$L$1300,679+CV$3,2+CV$2)&lt;&gt;"",INDEX('×入力'!$A$1:$L$1300,678,2+CV$2)&lt;&gt;"",INDEX('×入力'!$A$1:$L$1300,679+CV$3,1)&lt;&gt;""),1,0),0)</f>
        <v/>
      </c>
      <c r="CW34">
        <f>IF(CW$4=1,IF(OR(INDEX('×入力'!$A$1:$L$1300,679+CW$3,2+CW$2)&lt;&gt;"",INDEX('×入力'!$A$1:$L$1300,678,2+CW$2)&lt;&gt;"",INDEX('×入力'!$A$1:$L$1300,679+CW$3,1)&lt;&gt;""),1,0),0)</f>
        <v/>
      </c>
      <c r="CX34">
        <f>IF(CX$4=1,IF(OR(INDEX('×入力'!$A$1:$L$1300,679+CX$3,2+CX$2)&lt;&gt;"",INDEX('×入力'!$A$1:$L$1300,678,2+CX$2)&lt;&gt;"",INDEX('×入力'!$A$1:$L$1300,679+CX$3,1)&lt;&gt;""),1,0),0)</f>
        <v/>
      </c>
      <c r="CY34">
        <f>IF(CY$4=1,IF(OR(INDEX('×入力'!$A$1:$L$1300,679+CY$3,2+CY$2)&lt;&gt;"",INDEX('×入力'!$A$1:$L$1300,678,2+CY$2)&lt;&gt;"",INDEX('×入力'!$A$1:$L$1300,679+CY$3,1)&lt;&gt;""),1,0),0)</f>
        <v/>
      </c>
      <c r="CZ34">
        <f>IF(CZ$4=1,IF(OR(INDEX('×入力'!$A$1:$L$1300,679+CZ$3,2+CZ$2)&lt;&gt;"",INDEX('×入力'!$A$1:$L$1300,678,2+CZ$2)&lt;&gt;"",INDEX('×入力'!$A$1:$L$1300,679+CZ$3,1)&lt;&gt;""),1,0),0)</f>
        <v/>
      </c>
      <c r="DA34">
        <f>IF(DA$4=1,IF(OR(INDEX('×入力'!$A$1:$L$1300,679+DA$3,2+DA$2)&lt;&gt;"",INDEX('×入力'!$A$1:$L$1300,678,2+DA$2)&lt;&gt;"",INDEX('×入力'!$A$1:$L$1300,679+DA$3,1)&lt;&gt;""),1,0),0)</f>
        <v/>
      </c>
      <c r="DB34">
        <f>IF(DB$4=1,IF(OR(INDEX('×入力'!$A$1:$L$1300,679+DB$3,2+DB$2)&lt;&gt;"",INDEX('×入力'!$A$1:$L$1300,678,2+DB$2)&lt;&gt;"",INDEX('×入力'!$A$1:$L$1300,679+DB$3,1)&lt;&gt;""),1,0),0)</f>
        <v/>
      </c>
      <c r="DC34">
        <f>IF(DC$4=1,IF(OR(INDEX('×入力'!$A$1:$L$1300,679+DC$3,2+DC$2)&lt;&gt;"",INDEX('×入力'!$A$1:$L$1300,678,2+DC$2)&lt;&gt;"",INDEX('×入力'!$A$1:$L$1300,679+DC$3,1)&lt;&gt;""),1,0),0)</f>
        <v/>
      </c>
      <c r="DD34">
        <f>IF(DD$4=1,IF(OR(INDEX('×入力'!$A$1:$L$1300,679+DD$3,2+DD$2)&lt;&gt;"",INDEX('×入力'!$A$1:$L$1300,678,2+DD$2)&lt;&gt;"",INDEX('×入力'!$A$1:$L$1300,679+DD$3,1)&lt;&gt;""),1,0),0)</f>
        <v/>
      </c>
      <c r="DE34">
        <f>IF(DE$4=1,IF(OR(INDEX('×入力'!$A$1:$L$1300,679+DE$3,2+DE$2)&lt;&gt;"",INDEX('×入力'!$A$1:$L$1300,678,2+DE$2)&lt;&gt;"",INDEX('×入力'!$A$1:$L$1300,679+DE$3,1)&lt;&gt;""),1,0),0)</f>
        <v/>
      </c>
      <c r="DF34">
        <f>IF(DF$4=1,IF(OR(INDEX('×入力'!$A$1:$L$1300,679+DF$3,2+DF$2)&lt;&gt;"",INDEX('×入力'!$A$1:$L$1300,678,2+DF$2)&lt;&gt;"",INDEX('×入力'!$A$1:$L$1300,679+DF$3,1)&lt;&gt;""),1,0),0)</f>
        <v/>
      </c>
      <c r="DG34">
        <f>IF(DG$4=1,IF(OR(INDEX('×入力'!$A$1:$L$1300,679+DG$3,2+DG$2)&lt;&gt;"",INDEX('×入力'!$A$1:$L$1300,678,2+DG$2)&lt;&gt;"",INDEX('×入力'!$A$1:$L$1300,679+DG$3,1)&lt;&gt;""),1,0),0)</f>
        <v/>
      </c>
      <c r="DH34">
        <f>IF(DH$4=1,IF(OR(INDEX('×入力'!$A$1:$L$1300,679+DH$3,2+DH$2)&lt;&gt;"",INDEX('×入力'!$A$1:$L$1300,678,2+DH$2)&lt;&gt;"",INDEX('×入力'!$A$1:$L$1300,679+DH$3,1)&lt;&gt;""),1,0),0)</f>
        <v/>
      </c>
      <c r="DI34">
        <f>IF(DI$4=1,IF(OR(INDEX('×入力'!$A$1:$L$1300,679+DI$3,2+DI$2)&lt;&gt;"",INDEX('×入力'!$A$1:$L$1300,678,2+DI$2)&lt;&gt;"",INDEX('×入力'!$A$1:$L$1300,679+DI$3,1)&lt;&gt;""),1,0),0)</f>
        <v/>
      </c>
      <c r="DJ34">
        <f>IF(DJ$4=1,IF(OR(INDEX('×入力'!$A$1:$L$1300,679+DJ$3,2+DJ$2)&lt;&gt;"",INDEX('×入力'!$A$1:$L$1300,678,2+DJ$2)&lt;&gt;"",INDEX('×入力'!$A$1:$L$1300,679+DJ$3,1)&lt;&gt;""),1,0),0)</f>
        <v/>
      </c>
      <c r="DK34">
        <f>IF(DK$4=1,IF(OR(INDEX('×入力'!$A$1:$L$1300,679+DK$3,2+DK$2)&lt;&gt;"",INDEX('×入力'!$A$1:$L$1300,678,2+DK$2)&lt;&gt;"",INDEX('×入力'!$A$1:$L$1300,679+DK$3,1)&lt;&gt;""),1,0),0)</f>
        <v/>
      </c>
      <c r="DL34">
        <f>IF(DL$4=1,IF(OR(INDEX('×入力'!$A$1:$L$1300,679+DL$3,2+DL$2)&lt;&gt;"",INDEX('×入力'!$A$1:$L$1300,678,2+DL$2)&lt;&gt;"",INDEX('×入力'!$A$1:$L$1300,679+DL$3,1)&lt;&gt;""),1,0),0)</f>
        <v/>
      </c>
      <c r="DM34">
        <f>IF(DM$4=1,IF(OR(INDEX('×入力'!$A$1:$L$1300,679+DM$3,2+DM$2)&lt;&gt;"",INDEX('×入力'!$A$1:$L$1300,678,2+DM$2)&lt;&gt;"",INDEX('×入力'!$A$1:$L$1300,679+DM$3,1)&lt;&gt;""),1,0),0)</f>
        <v/>
      </c>
      <c r="DN34">
        <f>IF(DN$4=1,IF(OR(INDEX('×入力'!$A$1:$L$1300,679+DN$3,2+DN$2)&lt;&gt;"",INDEX('×入力'!$A$1:$L$1300,678,2+DN$2)&lt;&gt;"",INDEX('×入力'!$A$1:$L$1300,679+DN$3,1)&lt;&gt;""),1,0),0)</f>
        <v/>
      </c>
      <c r="DO34">
        <f>IF(DO$4=1,IF(OR(INDEX('×入力'!$A$1:$L$1300,679+DO$3,2+DO$2)&lt;&gt;"",INDEX('×入力'!$A$1:$L$1300,678,2+DO$2)&lt;&gt;"",INDEX('×入力'!$A$1:$L$1300,679+DO$3,1)&lt;&gt;""),1,0),0)</f>
        <v/>
      </c>
      <c r="DP34">
        <f>IF(DP$4=1,IF(OR(INDEX('×入力'!$A$1:$L$1300,679+DP$3,2+DP$2)&lt;&gt;"",INDEX('×入力'!$A$1:$L$1300,678,2+DP$2)&lt;&gt;"",INDEX('×入力'!$A$1:$L$1300,679+DP$3,1)&lt;&gt;""),1,0),0)</f>
        <v/>
      </c>
      <c r="DQ34">
        <f>IF(DQ$4=1,IF(OR(INDEX('×入力'!$A$1:$L$1300,679+DQ$3,2+DQ$2)&lt;&gt;"",INDEX('×入力'!$A$1:$L$1300,678,2+DQ$2)&lt;&gt;"",INDEX('×入力'!$A$1:$L$1300,679+DQ$3,1)&lt;&gt;""),1,0),0)</f>
        <v/>
      </c>
      <c r="DR34">
        <f>IF(DR$4=1,IF(OR(INDEX('×入力'!$A$1:$L$1300,679+DR$3,2+DR$2)&lt;&gt;"",INDEX('×入力'!$A$1:$L$1300,678,2+DR$2)&lt;&gt;"",INDEX('×入力'!$A$1:$L$1300,679+DR$3,1)&lt;&gt;""),1,0),0)</f>
        <v/>
      </c>
      <c r="DS34">
        <f>IF(DS$4=1,IF(OR(INDEX('×入力'!$A$1:$L$1300,679+DS$3,2+DS$2)&lt;&gt;"",INDEX('×入力'!$A$1:$L$1300,678,2+DS$2)&lt;&gt;"",INDEX('×入力'!$A$1:$L$1300,679+DS$3,1)&lt;&gt;""),1,0),0)</f>
        <v/>
      </c>
      <c r="DT34">
        <f>IF(DT$4=1,IF(OR(INDEX('×入力'!$A$1:$L$1300,679+DT$3,2+DT$2)&lt;&gt;"",INDEX('×入力'!$A$1:$L$1300,678,2+DT$2)&lt;&gt;"",INDEX('×入力'!$A$1:$L$1300,679+DT$3,1)&lt;&gt;""),1,0),0)</f>
        <v/>
      </c>
      <c r="DU34">
        <f>IF(DU$4=1,IF(OR(INDEX('×入力'!$A$1:$L$1300,679+DU$3,2+DU$2)&lt;&gt;"",INDEX('×入力'!$A$1:$L$1300,678,2+DU$2)&lt;&gt;"",INDEX('×入力'!$A$1:$L$1300,679+DU$3,1)&lt;&gt;""),1,0),0)</f>
        <v/>
      </c>
      <c r="DV34">
        <f>IF(DV$4=1,IF(OR(INDEX('×入力'!$A$1:$L$1300,679+DV$3,2+DV$2)&lt;&gt;"",INDEX('×入力'!$A$1:$L$1300,678,2+DV$2)&lt;&gt;"",INDEX('×入力'!$A$1:$L$1300,679+DV$3,1)&lt;&gt;""),1,0),0)</f>
        <v/>
      </c>
      <c r="DW34">
        <f>IF(DW$4=1,IF(OR(INDEX('×入力'!$A$1:$L$1300,679+DW$3,2+DW$2)&lt;&gt;"",INDEX('×入力'!$A$1:$L$1300,678,2+DW$2)&lt;&gt;"",INDEX('×入力'!$A$1:$L$1300,679+DW$3,1)&lt;&gt;""),1,0),0)</f>
        <v/>
      </c>
      <c r="DX34">
        <f>IF(DX$4=1,IF(OR(INDEX('×入力'!$A$1:$L$1300,679+DX$3,2+DX$2)&lt;&gt;"",INDEX('×入力'!$A$1:$L$1300,678,2+DX$2)&lt;&gt;"",INDEX('×入力'!$A$1:$L$1300,679+DX$3,1)&lt;&gt;""),1,0),0)</f>
        <v/>
      </c>
      <c r="DY34">
        <f>IF(DY$4=1,IF(OR(INDEX('×入力'!$A$1:$L$1300,679+DY$3,2+DY$2)&lt;&gt;"",INDEX('×入力'!$A$1:$L$1300,678,2+DY$2)&lt;&gt;"",INDEX('×入力'!$A$1:$L$1300,679+DY$3,1)&lt;&gt;""),1,0),0)</f>
        <v/>
      </c>
      <c r="DZ34">
        <f>IF(DZ$4=1,IF(OR(INDEX('×入力'!$A$1:$L$1300,679+DZ$3,2+DZ$2)&lt;&gt;"",INDEX('×入力'!$A$1:$L$1300,678,2+DZ$2)&lt;&gt;"",INDEX('×入力'!$A$1:$L$1300,679+DZ$3,1)&lt;&gt;""),1,0),0)</f>
        <v/>
      </c>
      <c r="EA34">
        <f>IF(EA$4=1,IF(OR(INDEX('×入力'!$A$1:$L$1300,679+EA$3,2+EA$2)&lt;&gt;"",INDEX('×入力'!$A$1:$L$1300,678,2+EA$2)&lt;&gt;"",INDEX('×入力'!$A$1:$L$1300,679+EA$3,1)&lt;&gt;""),1,0),0)</f>
        <v/>
      </c>
      <c r="EB34">
        <f>IF(EB$4=1,IF(OR(INDEX('×入力'!$A$1:$L$1300,679+EB$3,2+EB$2)&lt;&gt;"",INDEX('×入力'!$A$1:$L$1300,678,2+EB$2)&lt;&gt;"",INDEX('×入力'!$A$1:$L$1300,679+EB$3,1)&lt;&gt;""),1,0),0)</f>
        <v/>
      </c>
      <c r="EC34">
        <f>IF(EC$4=1,IF(OR(INDEX('×入力'!$A$1:$L$1300,679+EC$3,2+EC$2)&lt;&gt;"",INDEX('×入力'!$A$1:$L$1300,678,2+EC$2)&lt;&gt;"",INDEX('×入力'!$A$1:$L$1300,679+EC$3,1)&lt;&gt;""),1,0),0)</f>
        <v/>
      </c>
      <c r="ED34">
        <f>IF(ED$4=1,IF(OR(INDEX('×入力'!$A$1:$L$1300,679+ED$3,2+ED$2)&lt;&gt;"",INDEX('×入力'!$A$1:$L$1300,678,2+ED$2)&lt;&gt;"",INDEX('×入力'!$A$1:$L$1300,679+ED$3,1)&lt;&gt;""),1,0),0)</f>
        <v/>
      </c>
      <c r="EE34">
        <f>IF(EE$4=1,IF(OR(INDEX('×入力'!$A$1:$L$1300,679+EE$3,2+EE$2)&lt;&gt;"",INDEX('×入力'!$A$1:$L$1300,678,2+EE$2)&lt;&gt;"",INDEX('×入力'!$A$1:$L$1300,679+EE$3,1)&lt;&gt;""),1,0),0)</f>
        <v/>
      </c>
      <c r="EF34">
        <f>IF(EF$4=1,IF(OR(INDEX('×入力'!$A$1:$L$1300,679+EF$3,2+EF$2)&lt;&gt;"",INDEX('×入力'!$A$1:$L$1300,678,2+EF$2)&lt;&gt;"",INDEX('×入力'!$A$1:$L$1300,679+EF$3,1)&lt;&gt;""),1,0),0)</f>
        <v/>
      </c>
      <c r="EG34">
        <f>IF(EG$4=1,IF(OR(INDEX('×入力'!$A$1:$L$1300,679+EG$3,2+EG$2)&lt;&gt;"",INDEX('×入力'!$A$1:$L$1300,678,2+EG$2)&lt;&gt;"",INDEX('×入力'!$A$1:$L$1300,679+EG$3,1)&lt;&gt;""),1,0),0)</f>
        <v/>
      </c>
      <c r="EH34">
        <f>IF(EH$4=1,IF(OR(INDEX('×入力'!$A$1:$L$1300,679+EH$3,2+EH$2)&lt;&gt;"",INDEX('×入力'!$A$1:$L$1300,678,2+EH$2)&lt;&gt;"",INDEX('×入力'!$A$1:$L$1300,679+EH$3,1)&lt;&gt;""),1,0),0)</f>
        <v/>
      </c>
      <c r="EI34">
        <f>IF(EI$4=1,IF(OR(INDEX('×入力'!$A$1:$L$1300,679+EI$3,2+EI$2)&lt;&gt;"",INDEX('×入力'!$A$1:$L$1300,678,2+EI$2)&lt;&gt;"",INDEX('×入力'!$A$1:$L$1300,679+EI$3,1)&lt;&gt;""),1,0),0)</f>
        <v/>
      </c>
      <c r="EJ34">
        <f>IF(EJ$4=1,IF(OR(INDEX('×入力'!$A$1:$L$1300,679+EJ$3,2+EJ$2)&lt;&gt;"",INDEX('×入力'!$A$1:$L$1300,678,2+EJ$2)&lt;&gt;"",INDEX('×入力'!$A$1:$L$1300,679+EJ$3,1)&lt;&gt;""),1,0),0)</f>
        <v/>
      </c>
      <c r="EK34">
        <f>IF(EK$4=1,IF(OR(INDEX('×入力'!$A$1:$L$1300,679+EK$3,2+EK$2)&lt;&gt;"",INDEX('×入力'!$A$1:$L$1300,678,2+EK$2)&lt;&gt;"",INDEX('×入力'!$A$1:$L$1300,679+EK$3,1)&lt;&gt;""),1,0),0)</f>
        <v/>
      </c>
      <c r="EL34">
        <f>IF(EL$4=1,IF(OR(INDEX('×入力'!$A$1:$L$1300,679+EL$3,2+EL$2)&lt;&gt;"",INDEX('×入力'!$A$1:$L$1300,678,2+EL$2)&lt;&gt;"",INDEX('×入力'!$A$1:$L$1300,679+EL$3,1)&lt;&gt;""),1,0),0)</f>
        <v/>
      </c>
      <c r="EM34">
        <f>IF(EM$4=1,IF(OR(INDEX('×入力'!$A$1:$L$1300,679+EM$3,2+EM$2)&lt;&gt;"",INDEX('×入力'!$A$1:$L$1300,678,2+EM$2)&lt;&gt;"",INDEX('×入力'!$A$1:$L$1300,679+EM$3,1)&lt;&gt;""),1,0),0)</f>
        <v/>
      </c>
      <c r="EN34">
        <f>IF(EN$4=1,IF(OR(INDEX('×入力'!$A$1:$L$1300,679+EN$3,2+EN$2)&lt;&gt;"",INDEX('×入力'!$A$1:$L$1300,678,2+EN$2)&lt;&gt;"",INDEX('×入力'!$A$1:$L$1300,679+EN$3,1)&lt;&gt;""),1,0),0)</f>
        <v/>
      </c>
      <c r="EO34">
        <f>IF(EO$4=1,IF(OR(INDEX('×入力'!$A$1:$L$1300,679+EO$3,2+EO$2)&lt;&gt;"",INDEX('×入力'!$A$1:$L$1300,678,2+EO$2)&lt;&gt;"",INDEX('×入力'!$A$1:$L$1300,679+EO$3,1)&lt;&gt;""),1,0),0)</f>
        <v/>
      </c>
      <c r="EP34">
        <f>IF(EP$4=1,IF(OR(INDEX('×入力'!$A$1:$L$1300,679+EP$3,2+EP$2)&lt;&gt;"",INDEX('×入力'!$A$1:$L$1300,678,2+EP$2)&lt;&gt;"",INDEX('×入力'!$A$1:$L$1300,679+EP$3,1)&lt;&gt;""),1,0),0)</f>
        <v/>
      </c>
      <c r="EQ34">
        <f>IF(EQ$4=1,IF(OR(INDEX('×入力'!$A$1:$L$1300,679+EQ$3,2+EQ$2)&lt;&gt;"",INDEX('×入力'!$A$1:$L$1300,678,2+EQ$2)&lt;&gt;"",INDEX('×入力'!$A$1:$L$1300,679+EQ$3,1)&lt;&gt;""),1,0),0)</f>
        <v/>
      </c>
      <c r="HA34">
        <f>MAX(0,IT34)</f>
        <v/>
      </c>
      <c r="HB34">
        <f>IF(HA34=0,0,INDEX($D$2:$EQ$2,HA34))</f>
        <v/>
      </c>
      <c r="HC34">
        <f>IF(HA34=0,0,INDEX($D$3:$EQ$3,HA34))</f>
        <v/>
      </c>
      <c r="HD34">
        <f>MAX(0,IY34)</f>
        <v/>
      </c>
      <c r="HE34">
        <f>IF(HD34=0,0,INDEX($D$2:$EQ$2,HD34))</f>
        <v/>
      </c>
      <c r="HF34">
        <f>IF(HD34=0,0,INDEX($D$3:$EQ$3,HD34))</f>
        <v/>
      </c>
      <c r="HG34">
        <f>MAX(0,IZ34)</f>
        <v/>
      </c>
      <c r="HH34">
        <f>IF(HG34=0,0,INDEX($D$2:$EQ$2,HG34))</f>
        <v/>
      </c>
      <c r="HI34">
        <f>IF(HG34=0,0,INDEX($D$3:$EQ$3,HG34))</f>
        <v/>
      </c>
      <c r="HJ34">
        <f>IF(AND(HA34&gt;0,HC34&gt;1,OR(HC34-1&lt;&gt;$A$3,$A$4=0)),HA34-1,-1)</f>
        <v/>
      </c>
      <c r="HK34">
        <f>IF(AND(HA34&gt;0,HC34&lt;24,OR(HC34&lt;&gt;$A$3,$A$4=0)),HA34+1,-1)</f>
        <v/>
      </c>
      <c r="HL34">
        <f>IF(AND(HD34&gt;0,HF34&gt;1,OR(HF34-1&lt;&gt;$A$3,$A$4=0)),HD34-1,-1)</f>
        <v/>
      </c>
      <c r="HM34">
        <f>IF(AND(HD34&gt;0,HF34&lt;24,OR(HF34&lt;&gt;$A$3,$A$4=0)),HD34+1,-1)</f>
        <v/>
      </c>
      <c r="HN34">
        <f>IF(AND(HG34&gt;0,HI34&gt;1,OR(HI34-1&lt;&gt;$A$3,$A$4=0)),HG34-1,-1)</f>
        <v/>
      </c>
      <c r="HO34">
        <f>IF(AND(HG34&gt;0,HI34&lt;24,OR(HI34&lt;&gt;$A$3,$A$4=0)),HG34+1,-1)</f>
        <v/>
      </c>
      <c r="IK34">
        <f>IFERROR(INDEX('calcB'!$C$3:$C$47,MATCH(A34,'calcB'!$B$3:$B$47,0)),0)</f>
        <v/>
      </c>
      <c r="IL34">
        <f>IF(AND(C34=1,IK34=0,calcA!$A$6=1),1,0)</f>
        <v/>
      </c>
      <c r="IM34">
        <f>SUMPRODUCT(D84:EQ84*(1-$D$7:$EQ$7))</f>
        <v/>
      </c>
      <c r="IN34">
        <f>SUM(D34:EQ34)</f>
        <v/>
      </c>
      <c r="IO34">
        <f>IF(B34="",0,IF(COUNTIF('調整・決定'!$C$6:$H$29,B34)=1,SUMPRODUCT(('調整・決定'!$C$6:$H$29=B34)*((COLUMN('調整・決定'!$C$6:$H$29)-3)*24+ROW('調整・決定'!$C$6:$H$29)-5)),0))</f>
        <v/>
      </c>
      <c r="IP34">
        <f>IFERROR(MATCH('名簿'!C29,{"早い時刻","遅い時刻","早い日","遅い日"},0),0)</f>
        <v/>
      </c>
      <c r="IQ34">
        <f>IF('名簿'!D29="必ず空けたい",2,IF('名簿'!D29="出来れば空けたい",1,0))</f>
        <v/>
      </c>
      <c r="IR34">
        <f>IFERROR(INDEX('calcC'!$C$3:$C$47,MATCH(A34,'calcC'!$B$3:$B$47,0)),0)</f>
        <v/>
      </c>
      <c r="IS34">
        <f>IF(AND(C34=1,IR34=0,calcA!$A$6=1),1,0)</f>
        <v/>
      </c>
      <c r="IT34">
        <f>IF(OR('名簿'!G29="",'名簿'!H29=""),0,IFERROR((MATCH('名簿'!G29,'設定'!$E$11:$E$16,0)-1)*24+MATCH('名簿'!H29,'設定'!$I$11:$I$34,0),-1))</f>
        <v/>
      </c>
      <c r="IV34">
        <f>IF(OR(JF34=0,IO34=0),1,IF(OR(IF(IT34&gt;0,AND(INDEX($D$2:$EQ$2,IO34)=INDEX($D$2:$EQ$2,IT34),OR(AND(IO34=IT34+1,OR(INDEX($D$3:$EQ$3,IT34)&lt;&gt;$A$3,$A$4=0)),AND(IO34=IT34-1,OR(INDEX($D$3:$EQ$3,IO34)&lt;&gt;$A$3,$A$4=0)))),FALSE),IF(IY34&gt;0,AND(INDEX($D$2:$EQ$2,IO34)=INDEX($D$2:$EQ$2,IY34),OR(AND(IO34=IY34+1,OR(INDEX($D$3:$EQ$3,IY34)&lt;&gt;$A$3,$A$4=0)),AND(IO34=IY34-1,OR(INDEX($D$3:$EQ$3,IO34)&lt;&gt;$A$3,$A$4=0)))),FALSE),IF(IZ34&gt;0,AND(INDEX($D$2:$EQ$2,IO34)=INDEX($D$2:$EQ$2,IZ34),OR(AND(IO34=IZ34+1,OR(INDEX($D$3:$EQ$3,IZ34)&lt;&gt;$A$3,$A$4=0)),AND(IO34=IZ34-1,OR(INDEX($D$3:$EQ$3,IO34)&lt;&gt;$A$3,$A$4=0)))),FALSE)),1,0))</f>
        <v/>
      </c>
      <c r="IW34">
        <f>IF(AND('名簿'!E29&lt;&gt;"",JF34=0),1,0)</f>
        <v/>
      </c>
      <c r="IX34">
        <f>IF('名簿'!D29="空けない",1,0)</f>
        <v/>
      </c>
      <c r="IY34">
        <f>IF(OR('名簿'!J29="",'名簿'!K29=""),0,IFERROR((MATCH('名簿'!J29,'設定'!$E$11:$E$16,0)-1)*24+MATCH('名簿'!K29,'設定'!$I$11:$I$34,0),-1))</f>
        <v/>
      </c>
      <c r="IZ34">
        <f>IF(OR('名簿'!M29="",'名簿'!N29=""),0,IFERROR((MATCH('名簿'!M29,'設定'!$E$11:$E$16,0)-1)*24+MATCH('名簿'!N29,'設定'!$I$11:$I$34,0),-1))</f>
        <v/>
      </c>
      <c r="JC34">
        <f>IF(RIGHT('名簿'!I29,2)="の前",1,IF(RIGHT('名簿'!I29,2)="の後",2,0))</f>
        <v/>
      </c>
      <c r="JD34">
        <f>IF(RIGHT('名簿'!L29,2)="の前",1,IF(RIGHT('名簿'!L29,2)="の後",2,0))</f>
        <v/>
      </c>
      <c r="JE34">
        <f>IF(RIGHT('名簿'!O29,2)="の前",1,IF(RIGHT('名簿'!O29,2)="の後",2,0))</f>
        <v/>
      </c>
      <c r="JF34">
        <f>IF(OR(IT34&gt;0,IY34&gt;0,IZ34&gt;0),1,0)</f>
        <v/>
      </c>
      <c r="JG34">
        <f>IF(OR(IT34&lt;0,IY34&lt;0,IZ34&lt;0),1,0)</f>
        <v/>
      </c>
    </row>
    <row r="35">
      <c r="A35" t="n">
        <v>26</v>
      </c>
      <c r="B35">
        <f>'名簿'!P30</f>
        <v/>
      </c>
      <c r="C35">
        <f>IF(AND(B35&lt;&gt;"",OR('名簿'!Q30="入力済み",'名簿'!Q30="×なし"),IO35=0,COUNTIF('調整・決定'!$C$6:$H$29,B35)=0),1,0)</f>
        <v/>
      </c>
      <c r="D35">
        <f>IF(D$4=1,IF(OR(INDEX('×入力'!$A$1:$L$1300,707+D$3,2+D$2)&lt;&gt;"",INDEX('×入力'!$A$1:$L$1300,706,2+D$2)&lt;&gt;"",INDEX('×入力'!$A$1:$L$1300,707+D$3,1)&lt;&gt;""),1,0),0)</f>
        <v/>
      </c>
      <c r="E35">
        <f>IF(E$4=1,IF(OR(INDEX('×入力'!$A$1:$L$1300,707+E$3,2+E$2)&lt;&gt;"",INDEX('×入力'!$A$1:$L$1300,706,2+E$2)&lt;&gt;"",INDEX('×入力'!$A$1:$L$1300,707+E$3,1)&lt;&gt;""),1,0),0)</f>
        <v/>
      </c>
      <c r="F35">
        <f>IF(F$4=1,IF(OR(INDEX('×入力'!$A$1:$L$1300,707+F$3,2+F$2)&lt;&gt;"",INDEX('×入力'!$A$1:$L$1300,706,2+F$2)&lt;&gt;"",INDEX('×入力'!$A$1:$L$1300,707+F$3,1)&lt;&gt;""),1,0),0)</f>
        <v/>
      </c>
      <c r="G35">
        <f>IF(G$4=1,IF(OR(INDEX('×入力'!$A$1:$L$1300,707+G$3,2+G$2)&lt;&gt;"",INDEX('×入力'!$A$1:$L$1300,706,2+G$2)&lt;&gt;"",INDEX('×入力'!$A$1:$L$1300,707+G$3,1)&lt;&gt;""),1,0),0)</f>
        <v/>
      </c>
      <c r="H35">
        <f>IF(H$4=1,IF(OR(INDEX('×入力'!$A$1:$L$1300,707+H$3,2+H$2)&lt;&gt;"",INDEX('×入力'!$A$1:$L$1300,706,2+H$2)&lt;&gt;"",INDEX('×入力'!$A$1:$L$1300,707+H$3,1)&lt;&gt;""),1,0),0)</f>
        <v/>
      </c>
      <c r="I35">
        <f>IF(I$4=1,IF(OR(INDEX('×入力'!$A$1:$L$1300,707+I$3,2+I$2)&lt;&gt;"",INDEX('×入力'!$A$1:$L$1300,706,2+I$2)&lt;&gt;"",INDEX('×入力'!$A$1:$L$1300,707+I$3,1)&lt;&gt;""),1,0),0)</f>
        <v/>
      </c>
      <c r="J35">
        <f>IF(J$4=1,IF(OR(INDEX('×入力'!$A$1:$L$1300,707+J$3,2+J$2)&lt;&gt;"",INDEX('×入力'!$A$1:$L$1300,706,2+J$2)&lt;&gt;"",INDEX('×入力'!$A$1:$L$1300,707+J$3,1)&lt;&gt;""),1,0),0)</f>
        <v/>
      </c>
      <c r="K35">
        <f>IF(K$4=1,IF(OR(INDEX('×入力'!$A$1:$L$1300,707+K$3,2+K$2)&lt;&gt;"",INDEX('×入力'!$A$1:$L$1300,706,2+K$2)&lt;&gt;"",INDEX('×入力'!$A$1:$L$1300,707+K$3,1)&lt;&gt;""),1,0),0)</f>
        <v/>
      </c>
      <c r="L35">
        <f>IF(L$4=1,IF(OR(INDEX('×入力'!$A$1:$L$1300,707+L$3,2+L$2)&lt;&gt;"",INDEX('×入力'!$A$1:$L$1300,706,2+L$2)&lt;&gt;"",INDEX('×入力'!$A$1:$L$1300,707+L$3,1)&lt;&gt;""),1,0),0)</f>
        <v/>
      </c>
      <c r="M35">
        <f>IF(M$4=1,IF(OR(INDEX('×入力'!$A$1:$L$1300,707+M$3,2+M$2)&lt;&gt;"",INDEX('×入力'!$A$1:$L$1300,706,2+M$2)&lt;&gt;"",INDEX('×入力'!$A$1:$L$1300,707+M$3,1)&lt;&gt;""),1,0),0)</f>
        <v/>
      </c>
      <c r="N35">
        <f>IF(N$4=1,IF(OR(INDEX('×入力'!$A$1:$L$1300,707+N$3,2+N$2)&lt;&gt;"",INDEX('×入力'!$A$1:$L$1300,706,2+N$2)&lt;&gt;"",INDEX('×入力'!$A$1:$L$1300,707+N$3,1)&lt;&gt;""),1,0),0)</f>
        <v/>
      </c>
      <c r="O35">
        <f>IF(O$4=1,IF(OR(INDEX('×入力'!$A$1:$L$1300,707+O$3,2+O$2)&lt;&gt;"",INDEX('×入力'!$A$1:$L$1300,706,2+O$2)&lt;&gt;"",INDEX('×入力'!$A$1:$L$1300,707+O$3,1)&lt;&gt;""),1,0),0)</f>
        <v/>
      </c>
      <c r="P35">
        <f>IF(P$4=1,IF(OR(INDEX('×入力'!$A$1:$L$1300,707+P$3,2+P$2)&lt;&gt;"",INDEX('×入力'!$A$1:$L$1300,706,2+P$2)&lt;&gt;"",INDEX('×入力'!$A$1:$L$1300,707+P$3,1)&lt;&gt;""),1,0),0)</f>
        <v/>
      </c>
      <c r="Q35">
        <f>IF(Q$4=1,IF(OR(INDEX('×入力'!$A$1:$L$1300,707+Q$3,2+Q$2)&lt;&gt;"",INDEX('×入力'!$A$1:$L$1300,706,2+Q$2)&lt;&gt;"",INDEX('×入力'!$A$1:$L$1300,707+Q$3,1)&lt;&gt;""),1,0),0)</f>
        <v/>
      </c>
      <c r="R35">
        <f>IF(R$4=1,IF(OR(INDEX('×入力'!$A$1:$L$1300,707+R$3,2+R$2)&lt;&gt;"",INDEX('×入力'!$A$1:$L$1300,706,2+R$2)&lt;&gt;"",INDEX('×入力'!$A$1:$L$1300,707+R$3,1)&lt;&gt;""),1,0),0)</f>
        <v/>
      </c>
      <c r="S35">
        <f>IF(S$4=1,IF(OR(INDEX('×入力'!$A$1:$L$1300,707+S$3,2+S$2)&lt;&gt;"",INDEX('×入力'!$A$1:$L$1300,706,2+S$2)&lt;&gt;"",INDEX('×入力'!$A$1:$L$1300,707+S$3,1)&lt;&gt;""),1,0),0)</f>
        <v/>
      </c>
      <c r="T35">
        <f>IF(T$4=1,IF(OR(INDEX('×入力'!$A$1:$L$1300,707+T$3,2+T$2)&lt;&gt;"",INDEX('×入力'!$A$1:$L$1300,706,2+T$2)&lt;&gt;"",INDEX('×入力'!$A$1:$L$1300,707+T$3,1)&lt;&gt;""),1,0),0)</f>
        <v/>
      </c>
      <c r="U35">
        <f>IF(U$4=1,IF(OR(INDEX('×入力'!$A$1:$L$1300,707+U$3,2+U$2)&lt;&gt;"",INDEX('×入力'!$A$1:$L$1300,706,2+U$2)&lt;&gt;"",INDEX('×入力'!$A$1:$L$1300,707+U$3,1)&lt;&gt;""),1,0),0)</f>
        <v/>
      </c>
      <c r="V35">
        <f>IF(V$4=1,IF(OR(INDEX('×入力'!$A$1:$L$1300,707+V$3,2+V$2)&lt;&gt;"",INDEX('×入力'!$A$1:$L$1300,706,2+V$2)&lt;&gt;"",INDEX('×入力'!$A$1:$L$1300,707+V$3,1)&lt;&gt;""),1,0),0)</f>
        <v/>
      </c>
      <c r="W35">
        <f>IF(W$4=1,IF(OR(INDEX('×入力'!$A$1:$L$1300,707+W$3,2+W$2)&lt;&gt;"",INDEX('×入力'!$A$1:$L$1300,706,2+W$2)&lt;&gt;"",INDEX('×入力'!$A$1:$L$1300,707+W$3,1)&lt;&gt;""),1,0),0)</f>
        <v/>
      </c>
      <c r="X35">
        <f>IF(X$4=1,IF(OR(INDEX('×入力'!$A$1:$L$1300,707+X$3,2+X$2)&lt;&gt;"",INDEX('×入力'!$A$1:$L$1300,706,2+X$2)&lt;&gt;"",INDEX('×入力'!$A$1:$L$1300,707+X$3,1)&lt;&gt;""),1,0),0)</f>
        <v/>
      </c>
      <c r="Y35">
        <f>IF(Y$4=1,IF(OR(INDEX('×入力'!$A$1:$L$1300,707+Y$3,2+Y$2)&lt;&gt;"",INDEX('×入力'!$A$1:$L$1300,706,2+Y$2)&lt;&gt;"",INDEX('×入力'!$A$1:$L$1300,707+Y$3,1)&lt;&gt;""),1,0),0)</f>
        <v/>
      </c>
      <c r="Z35">
        <f>IF(Z$4=1,IF(OR(INDEX('×入力'!$A$1:$L$1300,707+Z$3,2+Z$2)&lt;&gt;"",INDEX('×入力'!$A$1:$L$1300,706,2+Z$2)&lt;&gt;"",INDEX('×入力'!$A$1:$L$1300,707+Z$3,1)&lt;&gt;""),1,0),0)</f>
        <v/>
      </c>
      <c r="AA35">
        <f>IF(AA$4=1,IF(OR(INDEX('×入力'!$A$1:$L$1300,707+AA$3,2+AA$2)&lt;&gt;"",INDEX('×入力'!$A$1:$L$1300,706,2+AA$2)&lt;&gt;"",INDEX('×入力'!$A$1:$L$1300,707+AA$3,1)&lt;&gt;""),1,0),0)</f>
        <v/>
      </c>
      <c r="AB35">
        <f>IF(AB$4=1,IF(OR(INDEX('×入力'!$A$1:$L$1300,707+AB$3,2+AB$2)&lt;&gt;"",INDEX('×入力'!$A$1:$L$1300,706,2+AB$2)&lt;&gt;"",INDEX('×入力'!$A$1:$L$1300,707+AB$3,1)&lt;&gt;""),1,0),0)</f>
        <v/>
      </c>
      <c r="AC35">
        <f>IF(AC$4=1,IF(OR(INDEX('×入力'!$A$1:$L$1300,707+AC$3,2+AC$2)&lt;&gt;"",INDEX('×入力'!$A$1:$L$1300,706,2+AC$2)&lt;&gt;"",INDEX('×入力'!$A$1:$L$1300,707+AC$3,1)&lt;&gt;""),1,0),0)</f>
        <v/>
      </c>
      <c r="AD35">
        <f>IF(AD$4=1,IF(OR(INDEX('×入力'!$A$1:$L$1300,707+AD$3,2+AD$2)&lt;&gt;"",INDEX('×入力'!$A$1:$L$1300,706,2+AD$2)&lt;&gt;"",INDEX('×入力'!$A$1:$L$1300,707+AD$3,1)&lt;&gt;""),1,0),0)</f>
        <v/>
      </c>
      <c r="AE35">
        <f>IF(AE$4=1,IF(OR(INDEX('×入力'!$A$1:$L$1300,707+AE$3,2+AE$2)&lt;&gt;"",INDEX('×入力'!$A$1:$L$1300,706,2+AE$2)&lt;&gt;"",INDEX('×入力'!$A$1:$L$1300,707+AE$3,1)&lt;&gt;""),1,0),0)</f>
        <v/>
      </c>
      <c r="AF35">
        <f>IF(AF$4=1,IF(OR(INDEX('×入力'!$A$1:$L$1300,707+AF$3,2+AF$2)&lt;&gt;"",INDEX('×入力'!$A$1:$L$1300,706,2+AF$2)&lt;&gt;"",INDEX('×入力'!$A$1:$L$1300,707+AF$3,1)&lt;&gt;""),1,0),0)</f>
        <v/>
      </c>
      <c r="AG35">
        <f>IF(AG$4=1,IF(OR(INDEX('×入力'!$A$1:$L$1300,707+AG$3,2+AG$2)&lt;&gt;"",INDEX('×入力'!$A$1:$L$1300,706,2+AG$2)&lt;&gt;"",INDEX('×入力'!$A$1:$L$1300,707+AG$3,1)&lt;&gt;""),1,0),0)</f>
        <v/>
      </c>
      <c r="AH35">
        <f>IF(AH$4=1,IF(OR(INDEX('×入力'!$A$1:$L$1300,707+AH$3,2+AH$2)&lt;&gt;"",INDEX('×入力'!$A$1:$L$1300,706,2+AH$2)&lt;&gt;"",INDEX('×入力'!$A$1:$L$1300,707+AH$3,1)&lt;&gt;""),1,0),0)</f>
        <v/>
      </c>
      <c r="AI35">
        <f>IF(AI$4=1,IF(OR(INDEX('×入力'!$A$1:$L$1300,707+AI$3,2+AI$2)&lt;&gt;"",INDEX('×入力'!$A$1:$L$1300,706,2+AI$2)&lt;&gt;"",INDEX('×入力'!$A$1:$L$1300,707+AI$3,1)&lt;&gt;""),1,0),0)</f>
        <v/>
      </c>
      <c r="AJ35">
        <f>IF(AJ$4=1,IF(OR(INDEX('×入力'!$A$1:$L$1300,707+AJ$3,2+AJ$2)&lt;&gt;"",INDEX('×入力'!$A$1:$L$1300,706,2+AJ$2)&lt;&gt;"",INDEX('×入力'!$A$1:$L$1300,707+AJ$3,1)&lt;&gt;""),1,0),0)</f>
        <v/>
      </c>
      <c r="AK35">
        <f>IF(AK$4=1,IF(OR(INDEX('×入力'!$A$1:$L$1300,707+AK$3,2+AK$2)&lt;&gt;"",INDEX('×入力'!$A$1:$L$1300,706,2+AK$2)&lt;&gt;"",INDEX('×入力'!$A$1:$L$1300,707+AK$3,1)&lt;&gt;""),1,0),0)</f>
        <v/>
      </c>
      <c r="AL35">
        <f>IF(AL$4=1,IF(OR(INDEX('×入力'!$A$1:$L$1300,707+AL$3,2+AL$2)&lt;&gt;"",INDEX('×入力'!$A$1:$L$1300,706,2+AL$2)&lt;&gt;"",INDEX('×入力'!$A$1:$L$1300,707+AL$3,1)&lt;&gt;""),1,0),0)</f>
        <v/>
      </c>
      <c r="AM35">
        <f>IF(AM$4=1,IF(OR(INDEX('×入力'!$A$1:$L$1300,707+AM$3,2+AM$2)&lt;&gt;"",INDEX('×入力'!$A$1:$L$1300,706,2+AM$2)&lt;&gt;"",INDEX('×入力'!$A$1:$L$1300,707+AM$3,1)&lt;&gt;""),1,0),0)</f>
        <v/>
      </c>
      <c r="AN35">
        <f>IF(AN$4=1,IF(OR(INDEX('×入力'!$A$1:$L$1300,707+AN$3,2+AN$2)&lt;&gt;"",INDEX('×入力'!$A$1:$L$1300,706,2+AN$2)&lt;&gt;"",INDEX('×入力'!$A$1:$L$1300,707+AN$3,1)&lt;&gt;""),1,0),0)</f>
        <v/>
      </c>
      <c r="AO35">
        <f>IF(AO$4=1,IF(OR(INDEX('×入力'!$A$1:$L$1300,707+AO$3,2+AO$2)&lt;&gt;"",INDEX('×入力'!$A$1:$L$1300,706,2+AO$2)&lt;&gt;"",INDEX('×入力'!$A$1:$L$1300,707+AO$3,1)&lt;&gt;""),1,0),0)</f>
        <v/>
      </c>
      <c r="AP35">
        <f>IF(AP$4=1,IF(OR(INDEX('×入力'!$A$1:$L$1300,707+AP$3,2+AP$2)&lt;&gt;"",INDEX('×入力'!$A$1:$L$1300,706,2+AP$2)&lt;&gt;"",INDEX('×入力'!$A$1:$L$1300,707+AP$3,1)&lt;&gt;""),1,0),0)</f>
        <v/>
      </c>
      <c r="AQ35">
        <f>IF(AQ$4=1,IF(OR(INDEX('×入力'!$A$1:$L$1300,707+AQ$3,2+AQ$2)&lt;&gt;"",INDEX('×入力'!$A$1:$L$1300,706,2+AQ$2)&lt;&gt;"",INDEX('×入力'!$A$1:$L$1300,707+AQ$3,1)&lt;&gt;""),1,0),0)</f>
        <v/>
      </c>
      <c r="AR35">
        <f>IF(AR$4=1,IF(OR(INDEX('×入力'!$A$1:$L$1300,707+AR$3,2+AR$2)&lt;&gt;"",INDEX('×入力'!$A$1:$L$1300,706,2+AR$2)&lt;&gt;"",INDEX('×入力'!$A$1:$L$1300,707+AR$3,1)&lt;&gt;""),1,0),0)</f>
        <v/>
      </c>
      <c r="AS35">
        <f>IF(AS$4=1,IF(OR(INDEX('×入力'!$A$1:$L$1300,707+AS$3,2+AS$2)&lt;&gt;"",INDEX('×入力'!$A$1:$L$1300,706,2+AS$2)&lt;&gt;"",INDEX('×入力'!$A$1:$L$1300,707+AS$3,1)&lt;&gt;""),1,0),0)</f>
        <v/>
      </c>
      <c r="AT35">
        <f>IF(AT$4=1,IF(OR(INDEX('×入力'!$A$1:$L$1300,707+AT$3,2+AT$2)&lt;&gt;"",INDEX('×入力'!$A$1:$L$1300,706,2+AT$2)&lt;&gt;"",INDEX('×入力'!$A$1:$L$1300,707+AT$3,1)&lt;&gt;""),1,0),0)</f>
        <v/>
      </c>
      <c r="AU35">
        <f>IF(AU$4=1,IF(OR(INDEX('×入力'!$A$1:$L$1300,707+AU$3,2+AU$2)&lt;&gt;"",INDEX('×入力'!$A$1:$L$1300,706,2+AU$2)&lt;&gt;"",INDEX('×入力'!$A$1:$L$1300,707+AU$3,1)&lt;&gt;""),1,0),0)</f>
        <v/>
      </c>
      <c r="AV35">
        <f>IF(AV$4=1,IF(OR(INDEX('×入力'!$A$1:$L$1300,707+AV$3,2+AV$2)&lt;&gt;"",INDEX('×入力'!$A$1:$L$1300,706,2+AV$2)&lt;&gt;"",INDEX('×入力'!$A$1:$L$1300,707+AV$3,1)&lt;&gt;""),1,0),0)</f>
        <v/>
      </c>
      <c r="AW35">
        <f>IF(AW$4=1,IF(OR(INDEX('×入力'!$A$1:$L$1300,707+AW$3,2+AW$2)&lt;&gt;"",INDEX('×入力'!$A$1:$L$1300,706,2+AW$2)&lt;&gt;"",INDEX('×入力'!$A$1:$L$1300,707+AW$3,1)&lt;&gt;""),1,0),0)</f>
        <v/>
      </c>
      <c r="AX35">
        <f>IF(AX$4=1,IF(OR(INDEX('×入力'!$A$1:$L$1300,707+AX$3,2+AX$2)&lt;&gt;"",INDEX('×入力'!$A$1:$L$1300,706,2+AX$2)&lt;&gt;"",INDEX('×入力'!$A$1:$L$1300,707+AX$3,1)&lt;&gt;""),1,0),0)</f>
        <v/>
      </c>
      <c r="AY35">
        <f>IF(AY$4=1,IF(OR(INDEX('×入力'!$A$1:$L$1300,707+AY$3,2+AY$2)&lt;&gt;"",INDEX('×入力'!$A$1:$L$1300,706,2+AY$2)&lt;&gt;"",INDEX('×入力'!$A$1:$L$1300,707+AY$3,1)&lt;&gt;""),1,0),0)</f>
        <v/>
      </c>
      <c r="AZ35">
        <f>IF(AZ$4=1,IF(OR(INDEX('×入力'!$A$1:$L$1300,707+AZ$3,2+AZ$2)&lt;&gt;"",INDEX('×入力'!$A$1:$L$1300,706,2+AZ$2)&lt;&gt;"",INDEX('×入力'!$A$1:$L$1300,707+AZ$3,1)&lt;&gt;""),1,0),0)</f>
        <v/>
      </c>
      <c r="BA35">
        <f>IF(BA$4=1,IF(OR(INDEX('×入力'!$A$1:$L$1300,707+BA$3,2+BA$2)&lt;&gt;"",INDEX('×入力'!$A$1:$L$1300,706,2+BA$2)&lt;&gt;"",INDEX('×入力'!$A$1:$L$1300,707+BA$3,1)&lt;&gt;""),1,0),0)</f>
        <v/>
      </c>
      <c r="BB35">
        <f>IF(BB$4=1,IF(OR(INDEX('×入力'!$A$1:$L$1300,707+BB$3,2+BB$2)&lt;&gt;"",INDEX('×入力'!$A$1:$L$1300,706,2+BB$2)&lt;&gt;"",INDEX('×入力'!$A$1:$L$1300,707+BB$3,1)&lt;&gt;""),1,0),0)</f>
        <v/>
      </c>
      <c r="BC35">
        <f>IF(BC$4=1,IF(OR(INDEX('×入力'!$A$1:$L$1300,707+BC$3,2+BC$2)&lt;&gt;"",INDEX('×入力'!$A$1:$L$1300,706,2+BC$2)&lt;&gt;"",INDEX('×入力'!$A$1:$L$1300,707+BC$3,1)&lt;&gt;""),1,0),0)</f>
        <v/>
      </c>
      <c r="BD35">
        <f>IF(BD$4=1,IF(OR(INDEX('×入力'!$A$1:$L$1300,707+BD$3,2+BD$2)&lt;&gt;"",INDEX('×入力'!$A$1:$L$1300,706,2+BD$2)&lt;&gt;"",INDEX('×入力'!$A$1:$L$1300,707+BD$3,1)&lt;&gt;""),1,0),0)</f>
        <v/>
      </c>
      <c r="BE35">
        <f>IF(BE$4=1,IF(OR(INDEX('×入力'!$A$1:$L$1300,707+BE$3,2+BE$2)&lt;&gt;"",INDEX('×入力'!$A$1:$L$1300,706,2+BE$2)&lt;&gt;"",INDEX('×入力'!$A$1:$L$1300,707+BE$3,1)&lt;&gt;""),1,0),0)</f>
        <v/>
      </c>
      <c r="BF35">
        <f>IF(BF$4=1,IF(OR(INDEX('×入力'!$A$1:$L$1300,707+BF$3,2+BF$2)&lt;&gt;"",INDEX('×入力'!$A$1:$L$1300,706,2+BF$2)&lt;&gt;"",INDEX('×入力'!$A$1:$L$1300,707+BF$3,1)&lt;&gt;""),1,0),0)</f>
        <v/>
      </c>
      <c r="BG35">
        <f>IF(BG$4=1,IF(OR(INDEX('×入力'!$A$1:$L$1300,707+BG$3,2+BG$2)&lt;&gt;"",INDEX('×入力'!$A$1:$L$1300,706,2+BG$2)&lt;&gt;"",INDEX('×入力'!$A$1:$L$1300,707+BG$3,1)&lt;&gt;""),1,0),0)</f>
        <v/>
      </c>
      <c r="BH35">
        <f>IF(BH$4=1,IF(OR(INDEX('×入力'!$A$1:$L$1300,707+BH$3,2+BH$2)&lt;&gt;"",INDEX('×入力'!$A$1:$L$1300,706,2+BH$2)&lt;&gt;"",INDEX('×入力'!$A$1:$L$1300,707+BH$3,1)&lt;&gt;""),1,0),0)</f>
        <v/>
      </c>
      <c r="BI35">
        <f>IF(BI$4=1,IF(OR(INDEX('×入力'!$A$1:$L$1300,707+BI$3,2+BI$2)&lt;&gt;"",INDEX('×入力'!$A$1:$L$1300,706,2+BI$2)&lt;&gt;"",INDEX('×入力'!$A$1:$L$1300,707+BI$3,1)&lt;&gt;""),1,0),0)</f>
        <v/>
      </c>
      <c r="BJ35">
        <f>IF(BJ$4=1,IF(OR(INDEX('×入力'!$A$1:$L$1300,707+BJ$3,2+BJ$2)&lt;&gt;"",INDEX('×入力'!$A$1:$L$1300,706,2+BJ$2)&lt;&gt;"",INDEX('×入力'!$A$1:$L$1300,707+BJ$3,1)&lt;&gt;""),1,0),0)</f>
        <v/>
      </c>
      <c r="BK35">
        <f>IF(BK$4=1,IF(OR(INDEX('×入力'!$A$1:$L$1300,707+BK$3,2+BK$2)&lt;&gt;"",INDEX('×入力'!$A$1:$L$1300,706,2+BK$2)&lt;&gt;"",INDEX('×入力'!$A$1:$L$1300,707+BK$3,1)&lt;&gt;""),1,0),0)</f>
        <v/>
      </c>
      <c r="BL35">
        <f>IF(BL$4=1,IF(OR(INDEX('×入力'!$A$1:$L$1300,707+BL$3,2+BL$2)&lt;&gt;"",INDEX('×入力'!$A$1:$L$1300,706,2+BL$2)&lt;&gt;"",INDEX('×入力'!$A$1:$L$1300,707+BL$3,1)&lt;&gt;""),1,0),0)</f>
        <v/>
      </c>
      <c r="BM35">
        <f>IF(BM$4=1,IF(OR(INDEX('×入力'!$A$1:$L$1300,707+BM$3,2+BM$2)&lt;&gt;"",INDEX('×入力'!$A$1:$L$1300,706,2+BM$2)&lt;&gt;"",INDEX('×入力'!$A$1:$L$1300,707+BM$3,1)&lt;&gt;""),1,0),0)</f>
        <v/>
      </c>
      <c r="BN35">
        <f>IF(BN$4=1,IF(OR(INDEX('×入力'!$A$1:$L$1300,707+BN$3,2+BN$2)&lt;&gt;"",INDEX('×入力'!$A$1:$L$1300,706,2+BN$2)&lt;&gt;"",INDEX('×入力'!$A$1:$L$1300,707+BN$3,1)&lt;&gt;""),1,0),0)</f>
        <v/>
      </c>
      <c r="BO35">
        <f>IF(BO$4=1,IF(OR(INDEX('×入力'!$A$1:$L$1300,707+BO$3,2+BO$2)&lt;&gt;"",INDEX('×入力'!$A$1:$L$1300,706,2+BO$2)&lt;&gt;"",INDEX('×入力'!$A$1:$L$1300,707+BO$3,1)&lt;&gt;""),1,0),0)</f>
        <v/>
      </c>
      <c r="BP35">
        <f>IF(BP$4=1,IF(OR(INDEX('×入力'!$A$1:$L$1300,707+BP$3,2+BP$2)&lt;&gt;"",INDEX('×入力'!$A$1:$L$1300,706,2+BP$2)&lt;&gt;"",INDEX('×入力'!$A$1:$L$1300,707+BP$3,1)&lt;&gt;""),1,0),0)</f>
        <v/>
      </c>
      <c r="BQ35">
        <f>IF(BQ$4=1,IF(OR(INDEX('×入力'!$A$1:$L$1300,707+BQ$3,2+BQ$2)&lt;&gt;"",INDEX('×入力'!$A$1:$L$1300,706,2+BQ$2)&lt;&gt;"",INDEX('×入力'!$A$1:$L$1300,707+BQ$3,1)&lt;&gt;""),1,0),0)</f>
        <v/>
      </c>
      <c r="BR35">
        <f>IF(BR$4=1,IF(OR(INDEX('×入力'!$A$1:$L$1300,707+BR$3,2+BR$2)&lt;&gt;"",INDEX('×入力'!$A$1:$L$1300,706,2+BR$2)&lt;&gt;"",INDEX('×入力'!$A$1:$L$1300,707+BR$3,1)&lt;&gt;""),1,0),0)</f>
        <v/>
      </c>
      <c r="BS35">
        <f>IF(BS$4=1,IF(OR(INDEX('×入力'!$A$1:$L$1300,707+BS$3,2+BS$2)&lt;&gt;"",INDEX('×入力'!$A$1:$L$1300,706,2+BS$2)&lt;&gt;"",INDEX('×入力'!$A$1:$L$1300,707+BS$3,1)&lt;&gt;""),1,0),0)</f>
        <v/>
      </c>
      <c r="BT35">
        <f>IF(BT$4=1,IF(OR(INDEX('×入力'!$A$1:$L$1300,707+BT$3,2+BT$2)&lt;&gt;"",INDEX('×入力'!$A$1:$L$1300,706,2+BT$2)&lt;&gt;"",INDEX('×入力'!$A$1:$L$1300,707+BT$3,1)&lt;&gt;""),1,0),0)</f>
        <v/>
      </c>
      <c r="BU35">
        <f>IF(BU$4=1,IF(OR(INDEX('×入力'!$A$1:$L$1300,707+BU$3,2+BU$2)&lt;&gt;"",INDEX('×入力'!$A$1:$L$1300,706,2+BU$2)&lt;&gt;"",INDEX('×入力'!$A$1:$L$1300,707+BU$3,1)&lt;&gt;""),1,0),0)</f>
        <v/>
      </c>
      <c r="BV35">
        <f>IF(BV$4=1,IF(OR(INDEX('×入力'!$A$1:$L$1300,707+BV$3,2+BV$2)&lt;&gt;"",INDEX('×入力'!$A$1:$L$1300,706,2+BV$2)&lt;&gt;"",INDEX('×入力'!$A$1:$L$1300,707+BV$3,1)&lt;&gt;""),1,0),0)</f>
        <v/>
      </c>
      <c r="BW35">
        <f>IF(BW$4=1,IF(OR(INDEX('×入力'!$A$1:$L$1300,707+BW$3,2+BW$2)&lt;&gt;"",INDEX('×入力'!$A$1:$L$1300,706,2+BW$2)&lt;&gt;"",INDEX('×入力'!$A$1:$L$1300,707+BW$3,1)&lt;&gt;""),1,0),0)</f>
        <v/>
      </c>
      <c r="BX35">
        <f>IF(BX$4=1,IF(OR(INDEX('×入力'!$A$1:$L$1300,707+BX$3,2+BX$2)&lt;&gt;"",INDEX('×入力'!$A$1:$L$1300,706,2+BX$2)&lt;&gt;"",INDEX('×入力'!$A$1:$L$1300,707+BX$3,1)&lt;&gt;""),1,0),0)</f>
        <v/>
      </c>
      <c r="BY35">
        <f>IF(BY$4=1,IF(OR(INDEX('×入力'!$A$1:$L$1300,707+BY$3,2+BY$2)&lt;&gt;"",INDEX('×入力'!$A$1:$L$1300,706,2+BY$2)&lt;&gt;"",INDEX('×入力'!$A$1:$L$1300,707+BY$3,1)&lt;&gt;""),1,0),0)</f>
        <v/>
      </c>
      <c r="BZ35">
        <f>IF(BZ$4=1,IF(OR(INDEX('×入力'!$A$1:$L$1300,707+BZ$3,2+BZ$2)&lt;&gt;"",INDEX('×入力'!$A$1:$L$1300,706,2+BZ$2)&lt;&gt;"",INDEX('×入力'!$A$1:$L$1300,707+BZ$3,1)&lt;&gt;""),1,0),0)</f>
        <v/>
      </c>
      <c r="CA35">
        <f>IF(CA$4=1,IF(OR(INDEX('×入力'!$A$1:$L$1300,707+CA$3,2+CA$2)&lt;&gt;"",INDEX('×入力'!$A$1:$L$1300,706,2+CA$2)&lt;&gt;"",INDEX('×入力'!$A$1:$L$1300,707+CA$3,1)&lt;&gt;""),1,0),0)</f>
        <v/>
      </c>
      <c r="CB35">
        <f>IF(CB$4=1,IF(OR(INDEX('×入力'!$A$1:$L$1300,707+CB$3,2+CB$2)&lt;&gt;"",INDEX('×入力'!$A$1:$L$1300,706,2+CB$2)&lt;&gt;"",INDEX('×入力'!$A$1:$L$1300,707+CB$3,1)&lt;&gt;""),1,0),0)</f>
        <v/>
      </c>
      <c r="CC35">
        <f>IF(CC$4=1,IF(OR(INDEX('×入力'!$A$1:$L$1300,707+CC$3,2+CC$2)&lt;&gt;"",INDEX('×入力'!$A$1:$L$1300,706,2+CC$2)&lt;&gt;"",INDEX('×入力'!$A$1:$L$1300,707+CC$3,1)&lt;&gt;""),1,0),0)</f>
        <v/>
      </c>
      <c r="CD35">
        <f>IF(CD$4=1,IF(OR(INDEX('×入力'!$A$1:$L$1300,707+CD$3,2+CD$2)&lt;&gt;"",INDEX('×入力'!$A$1:$L$1300,706,2+CD$2)&lt;&gt;"",INDEX('×入力'!$A$1:$L$1300,707+CD$3,1)&lt;&gt;""),1,0),0)</f>
        <v/>
      </c>
      <c r="CE35">
        <f>IF(CE$4=1,IF(OR(INDEX('×入力'!$A$1:$L$1300,707+CE$3,2+CE$2)&lt;&gt;"",INDEX('×入力'!$A$1:$L$1300,706,2+CE$2)&lt;&gt;"",INDEX('×入力'!$A$1:$L$1300,707+CE$3,1)&lt;&gt;""),1,0),0)</f>
        <v/>
      </c>
      <c r="CF35">
        <f>IF(CF$4=1,IF(OR(INDEX('×入力'!$A$1:$L$1300,707+CF$3,2+CF$2)&lt;&gt;"",INDEX('×入力'!$A$1:$L$1300,706,2+CF$2)&lt;&gt;"",INDEX('×入力'!$A$1:$L$1300,707+CF$3,1)&lt;&gt;""),1,0),0)</f>
        <v/>
      </c>
      <c r="CG35">
        <f>IF(CG$4=1,IF(OR(INDEX('×入力'!$A$1:$L$1300,707+CG$3,2+CG$2)&lt;&gt;"",INDEX('×入力'!$A$1:$L$1300,706,2+CG$2)&lt;&gt;"",INDEX('×入力'!$A$1:$L$1300,707+CG$3,1)&lt;&gt;""),1,0),0)</f>
        <v/>
      </c>
      <c r="CH35">
        <f>IF(CH$4=1,IF(OR(INDEX('×入力'!$A$1:$L$1300,707+CH$3,2+CH$2)&lt;&gt;"",INDEX('×入力'!$A$1:$L$1300,706,2+CH$2)&lt;&gt;"",INDEX('×入力'!$A$1:$L$1300,707+CH$3,1)&lt;&gt;""),1,0),0)</f>
        <v/>
      </c>
      <c r="CI35">
        <f>IF(CI$4=1,IF(OR(INDEX('×入力'!$A$1:$L$1300,707+CI$3,2+CI$2)&lt;&gt;"",INDEX('×入力'!$A$1:$L$1300,706,2+CI$2)&lt;&gt;"",INDEX('×入力'!$A$1:$L$1300,707+CI$3,1)&lt;&gt;""),1,0),0)</f>
        <v/>
      </c>
      <c r="CJ35">
        <f>IF(CJ$4=1,IF(OR(INDEX('×入力'!$A$1:$L$1300,707+CJ$3,2+CJ$2)&lt;&gt;"",INDEX('×入力'!$A$1:$L$1300,706,2+CJ$2)&lt;&gt;"",INDEX('×入力'!$A$1:$L$1300,707+CJ$3,1)&lt;&gt;""),1,0),0)</f>
        <v/>
      </c>
      <c r="CK35">
        <f>IF(CK$4=1,IF(OR(INDEX('×入力'!$A$1:$L$1300,707+CK$3,2+CK$2)&lt;&gt;"",INDEX('×入力'!$A$1:$L$1300,706,2+CK$2)&lt;&gt;"",INDEX('×入力'!$A$1:$L$1300,707+CK$3,1)&lt;&gt;""),1,0),0)</f>
        <v/>
      </c>
      <c r="CL35">
        <f>IF(CL$4=1,IF(OR(INDEX('×入力'!$A$1:$L$1300,707+CL$3,2+CL$2)&lt;&gt;"",INDEX('×入力'!$A$1:$L$1300,706,2+CL$2)&lt;&gt;"",INDEX('×入力'!$A$1:$L$1300,707+CL$3,1)&lt;&gt;""),1,0),0)</f>
        <v/>
      </c>
      <c r="CM35">
        <f>IF(CM$4=1,IF(OR(INDEX('×入力'!$A$1:$L$1300,707+CM$3,2+CM$2)&lt;&gt;"",INDEX('×入力'!$A$1:$L$1300,706,2+CM$2)&lt;&gt;"",INDEX('×入力'!$A$1:$L$1300,707+CM$3,1)&lt;&gt;""),1,0),0)</f>
        <v/>
      </c>
      <c r="CN35">
        <f>IF(CN$4=1,IF(OR(INDEX('×入力'!$A$1:$L$1300,707+CN$3,2+CN$2)&lt;&gt;"",INDEX('×入力'!$A$1:$L$1300,706,2+CN$2)&lt;&gt;"",INDEX('×入力'!$A$1:$L$1300,707+CN$3,1)&lt;&gt;""),1,0),0)</f>
        <v/>
      </c>
      <c r="CO35">
        <f>IF(CO$4=1,IF(OR(INDEX('×入力'!$A$1:$L$1300,707+CO$3,2+CO$2)&lt;&gt;"",INDEX('×入力'!$A$1:$L$1300,706,2+CO$2)&lt;&gt;"",INDEX('×入力'!$A$1:$L$1300,707+CO$3,1)&lt;&gt;""),1,0),0)</f>
        <v/>
      </c>
      <c r="CP35">
        <f>IF(CP$4=1,IF(OR(INDEX('×入力'!$A$1:$L$1300,707+CP$3,2+CP$2)&lt;&gt;"",INDEX('×入力'!$A$1:$L$1300,706,2+CP$2)&lt;&gt;"",INDEX('×入力'!$A$1:$L$1300,707+CP$3,1)&lt;&gt;""),1,0),0)</f>
        <v/>
      </c>
      <c r="CQ35">
        <f>IF(CQ$4=1,IF(OR(INDEX('×入力'!$A$1:$L$1300,707+CQ$3,2+CQ$2)&lt;&gt;"",INDEX('×入力'!$A$1:$L$1300,706,2+CQ$2)&lt;&gt;"",INDEX('×入力'!$A$1:$L$1300,707+CQ$3,1)&lt;&gt;""),1,0),0)</f>
        <v/>
      </c>
      <c r="CR35">
        <f>IF(CR$4=1,IF(OR(INDEX('×入力'!$A$1:$L$1300,707+CR$3,2+CR$2)&lt;&gt;"",INDEX('×入力'!$A$1:$L$1300,706,2+CR$2)&lt;&gt;"",INDEX('×入力'!$A$1:$L$1300,707+CR$3,1)&lt;&gt;""),1,0),0)</f>
        <v/>
      </c>
      <c r="CS35">
        <f>IF(CS$4=1,IF(OR(INDEX('×入力'!$A$1:$L$1300,707+CS$3,2+CS$2)&lt;&gt;"",INDEX('×入力'!$A$1:$L$1300,706,2+CS$2)&lt;&gt;"",INDEX('×入力'!$A$1:$L$1300,707+CS$3,1)&lt;&gt;""),1,0),0)</f>
        <v/>
      </c>
      <c r="CT35">
        <f>IF(CT$4=1,IF(OR(INDEX('×入力'!$A$1:$L$1300,707+CT$3,2+CT$2)&lt;&gt;"",INDEX('×入力'!$A$1:$L$1300,706,2+CT$2)&lt;&gt;"",INDEX('×入力'!$A$1:$L$1300,707+CT$3,1)&lt;&gt;""),1,0),0)</f>
        <v/>
      </c>
      <c r="CU35">
        <f>IF(CU$4=1,IF(OR(INDEX('×入力'!$A$1:$L$1300,707+CU$3,2+CU$2)&lt;&gt;"",INDEX('×入力'!$A$1:$L$1300,706,2+CU$2)&lt;&gt;"",INDEX('×入力'!$A$1:$L$1300,707+CU$3,1)&lt;&gt;""),1,0),0)</f>
        <v/>
      </c>
      <c r="CV35">
        <f>IF(CV$4=1,IF(OR(INDEX('×入力'!$A$1:$L$1300,707+CV$3,2+CV$2)&lt;&gt;"",INDEX('×入力'!$A$1:$L$1300,706,2+CV$2)&lt;&gt;"",INDEX('×入力'!$A$1:$L$1300,707+CV$3,1)&lt;&gt;""),1,0),0)</f>
        <v/>
      </c>
      <c r="CW35">
        <f>IF(CW$4=1,IF(OR(INDEX('×入力'!$A$1:$L$1300,707+CW$3,2+CW$2)&lt;&gt;"",INDEX('×入力'!$A$1:$L$1300,706,2+CW$2)&lt;&gt;"",INDEX('×入力'!$A$1:$L$1300,707+CW$3,1)&lt;&gt;""),1,0),0)</f>
        <v/>
      </c>
      <c r="CX35">
        <f>IF(CX$4=1,IF(OR(INDEX('×入力'!$A$1:$L$1300,707+CX$3,2+CX$2)&lt;&gt;"",INDEX('×入力'!$A$1:$L$1300,706,2+CX$2)&lt;&gt;"",INDEX('×入力'!$A$1:$L$1300,707+CX$3,1)&lt;&gt;""),1,0),0)</f>
        <v/>
      </c>
      <c r="CY35">
        <f>IF(CY$4=1,IF(OR(INDEX('×入力'!$A$1:$L$1300,707+CY$3,2+CY$2)&lt;&gt;"",INDEX('×入力'!$A$1:$L$1300,706,2+CY$2)&lt;&gt;"",INDEX('×入力'!$A$1:$L$1300,707+CY$3,1)&lt;&gt;""),1,0),0)</f>
        <v/>
      </c>
      <c r="CZ35">
        <f>IF(CZ$4=1,IF(OR(INDEX('×入力'!$A$1:$L$1300,707+CZ$3,2+CZ$2)&lt;&gt;"",INDEX('×入力'!$A$1:$L$1300,706,2+CZ$2)&lt;&gt;"",INDEX('×入力'!$A$1:$L$1300,707+CZ$3,1)&lt;&gt;""),1,0),0)</f>
        <v/>
      </c>
      <c r="DA35">
        <f>IF(DA$4=1,IF(OR(INDEX('×入力'!$A$1:$L$1300,707+DA$3,2+DA$2)&lt;&gt;"",INDEX('×入力'!$A$1:$L$1300,706,2+DA$2)&lt;&gt;"",INDEX('×入力'!$A$1:$L$1300,707+DA$3,1)&lt;&gt;""),1,0),0)</f>
        <v/>
      </c>
      <c r="DB35">
        <f>IF(DB$4=1,IF(OR(INDEX('×入力'!$A$1:$L$1300,707+DB$3,2+DB$2)&lt;&gt;"",INDEX('×入力'!$A$1:$L$1300,706,2+DB$2)&lt;&gt;"",INDEX('×入力'!$A$1:$L$1300,707+DB$3,1)&lt;&gt;""),1,0),0)</f>
        <v/>
      </c>
      <c r="DC35">
        <f>IF(DC$4=1,IF(OR(INDEX('×入力'!$A$1:$L$1300,707+DC$3,2+DC$2)&lt;&gt;"",INDEX('×入力'!$A$1:$L$1300,706,2+DC$2)&lt;&gt;"",INDEX('×入力'!$A$1:$L$1300,707+DC$3,1)&lt;&gt;""),1,0),0)</f>
        <v/>
      </c>
      <c r="DD35">
        <f>IF(DD$4=1,IF(OR(INDEX('×入力'!$A$1:$L$1300,707+DD$3,2+DD$2)&lt;&gt;"",INDEX('×入力'!$A$1:$L$1300,706,2+DD$2)&lt;&gt;"",INDEX('×入力'!$A$1:$L$1300,707+DD$3,1)&lt;&gt;""),1,0),0)</f>
        <v/>
      </c>
      <c r="DE35">
        <f>IF(DE$4=1,IF(OR(INDEX('×入力'!$A$1:$L$1300,707+DE$3,2+DE$2)&lt;&gt;"",INDEX('×入力'!$A$1:$L$1300,706,2+DE$2)&lt;&gt;"",INDEX('×入力'!$A$1:$L$1300,707+DE$3,1)&lt;&gt;""),1,0),0)</f>
        <v/>
      </c>
      <c r="DF35">
        <f>IF(DF$4=1,IF(OR(INDEX('×入力'!$A$1:$L$1300,707+DF$3,2+DF$2)&lt;&gt;"",INDEX('×入力'!$A$1:$L$1300,706,2+DF$2)&lt;&gt;"",INDEX('×入力'!$A$1:$L$1300,707+DF$3,1)&lt;&gt;""),1,0),0)</f>
        <v/>
      </c>
      <c r="DG35">
        <f>IF(DG$4=1,IF(OR(INDEX('×入力'!$A$1:$L$1300,707+DG$3,2+DG$2)&lt;&gt;"",INDEX('×入力'!$A$1:$L$1300,706,2+DG$2)&lt;&gt;"",INDEX('×入力'!$A$1:$L$1300,707+DG$3,1)&lt;&gt;""),1,0),0)</f>
        <v/>
      </c>
      <c r="DH35">
        <f>IF(DH$4=1,IF(OR(INDEX('×入力'!$A$1:$L$1300,707+DH$3,2+DH$2)&lt;&gt;"",INDEX('×入力'!$A$1:$L$1300,706,2+DH$2)&lt;&gt;"",INDEX('×入力'!$A$1:$L$1300,707+DH$3,1)&lt;&gt;""),1,0),0)</f>
        <v/>
      </c>
      <c r="DI35">
        <f>IF(DI$4=1,IF(OR(INDEX('×入力'!$A$1:$L$1300,707+DI$3,2+DI$2)&lt;&gt;"",INDEX('×入力'!$A$1:$L$1300,706,2+DI$2)&lt;&gt;"",INDEX('×入力'!$A$1:$L$1300,707+DI$3,1)&lt;&gt;""),1,0),0)</f>
        <v/>
      </c>
      <c r="DJ35">
        <f>IF(DJ$4=1,IF(OR(INDEX('×入力'!$A$1:$L$1300,707+DJ$3,2+DJ$2)&lt;&gt;"",INDEX('×入力'!$A$1:$L$1300,706,2+DJ$2)&lt;&gt;"",INDEX('×入力'!$A$1:$L$1300,707+DJ$3,1)&lt;&gt;""),1,0),0)</f>
        <v/>
      </c>
      <c r="DK35">
        <f>IF(DK$4=1,IF(OR(INDEX('×入力'!$A$1:$L$1300,707+DK$3,2+DK$2)&lt;&gt;"",INDEX('×入力'!$A$1:$L$1300,706,2+DK$2)&lt;&gt;"",INDEX('×入力'!$A$1:$L$1300,707+DK$3,1)&lt;&gt;""),1,0),0)</f>
        <v/>
      </c>
      <c r="DL35">
        <f>IF(DL$4=1,IF(OR(INDEX('×入力'!$A$1:$L$1300,707+DL$3,2+DL$2)&lt;&gt;"",INDEX('×入力'!$A$1:$L$1300,706,2+DL$2)&lt;&gt;"",INDEX('×入力'!$A$1:$L$1300,707+DL$3,1)&lt;&gt;""),1,0),0)</f>
        <v/>
      </c>
      <c r="DM35">
        <f>IF(DM$4=1,IF(OR(INDEX('×入力'!$A$1:$L$1300,707+DM$3,2+DM$2)&lt;&gt;"",INDEX('×入力'!$A$1:$L$1300,706,2+DM$2)&lt;&gt;"",INDEX('×入力'!$A$1:$L$1300,707+DM$3,1)&lt;&gt;""),1,0),0)</f>
        <v/>
      </c>
      <c r="DN35">
        <f>IF(DN$4=1,IF(OR(INDEX('×入力'!$A$1:$L$1300,707+DN$3,2+DN$2)&lt;&gt;"",INDEX('×入力'!$A$1:$L$1300,706,2+DN$2)&lt;&gt;"",INDEX('×入力'!$A$1:$L$1300,707+DN$3,1)&lt;&gt;""),1,0),0)</f>
        <v/>
      </c>
      <c r="DO35">
        <f>IF(DO$4=1,IF(OR(INDEX('×入力'!$A$1:$L$1300,707+DO$3,2+DO$2)&lt;&gt;"",INDEX('×入力'!$A$1:$L$1300,706,2+DO$2)&lt;&gt;"",INDEX('×入力'!$A$1:$L$1300,707+DO$3,1)&lt;&gt;""),1,0),0)</f>
        <v/>
      </c>
      <c r="DP35">
        <f>IF(DP$4=1,IF(OR(INDEX('×入力'!$A$1:$L$1300,707+DP$3,2+DP$2)&lt;&gt;"",INDEX('×入力'!$A$1:$L$1300,706,2+DP$2)&lt;&gt;"",INDEX('×入力'!$A$1:$L$1300,707+DP$3,1)&lt;&gt;""),1,0),0)</f>
        <v/>
      </c>
      <c r="DQ35">
        <f>IF(DQ$4=1,IF(OR(INDEX('×入力'!$A$1:$L$1300,707+DQ$3,2+DQ$2)&lt;&gt;"",INDEX('×入力'!$A$1:$L$1300,706,2+DQ$2)&lt;&gt;"",INDEX('×入力'!$A$1:$L$1300,707+DQ$3,1)&lt;&gt;""),1,0),0)</f>
        <v/>
      </c>
      <c r="DR35">
        <f>IF(DR$4=1,IF(OR(INDEX('×入力'!$A$1:$L$1300,707+DR$3,2+DR$2)&lt;&gt;"",INDEX('×入力'!$A$1:$L$1300,706,2+DR$2)&lt;&gt;"",INDEX('×入力'!$A$1:$L$1300,707+DR$3,1)&lt;&gt;""),1,0),0)</f>
        <v/>
      </c>
      <c r="DS35">
        <f>IF(DS$4=1,IF(OR(INDEX('×入力'!$A$1:$L$1300,707+DS$3,2+DS$2)&lt;&gt;"",INDEX('×入力'!$A$1:$L$1300,706,2+DS$2)&lt;&gt;"",INDEX('×入力'!$A$1:$L$1300,707+DS$3,1)&lt;&gt;""),1,0),0)</f>
        <v/>
      </c>
      <c r="DT35">
        <f>IF(DT$4=1,IF(OR(INDEX('×入力'!$A$1:$L$1300,707+DT$3,2+DT$2)&lt;&gt;"",INDEX('×入力'!$A$1:$L$1300,706,2+DT$2)&lt;&gt;"",INDEX('×入力'!$A$1:$L$1300,707+DT$3,1)&lt;&gt;""),1,0),0)</f>
        <v/>
      </c>
      <c r="DU35">
        <f>IF(DU$4=1,IF(OR(INDEX('×入力'!$A$1:$L$1300,707+DU$3,2+DU$2)&lt;&gt;"",INDEX('×入力'!$A$1:$L$1300,706,2+DU$2)&lt;&gt;"",INDEX('×入力'!$A$1:$L$1300,707+DU$3,1)&lt;&gt;""),1,0),0)</f>
        <v/>
      </c>
      <c r="DV35">
        <f>IF(DV$4=1,IF(OR(INDEX('×入力'!$A$1:$L$1300,707+DV$3,2+DV$2)&lt;&gt;"",INDEX('×入力'!$A$1:$L$1300,706,2+DV$2)&lt;&gt;"",INDEX('×入力'!$A$1:$L$1300,707+DV$3,1)&lt;&gt;""),1,0),0)</f>
        <v/>
      </c>
      <c r="DW35">
        <f>IF(DW$4=1,IF(OR(INDEX('×入力'!$A$1:$L$1300,707+DW$3,2+DW$2)&lt;&gt;"",INDEX('×入力'!$A$1:$L$1300,706,2+DW$2)&lt;&gt;"",INDEX('×入力'!$A$1:$L$1300,707+DW$3,1)&lt;&gt;""),1,0),0)</f>
        <v/>
      </c>
      <c r="DX35">
        <f>IF(DX$4=1,IF(OR(INDEX('×入力'!$A$1:$L$1300,707+DX$3,2+DX$2)&lt;&gt;"",INDEX('×入力'!$A$1:$L$1300,706,2+DX$2)&lt;&gt;"",INDEX('×入力'!$A$1:$L$1300,707+DX$3,1)&lt;&gt;""),1,0),0)</f>
        <v/>
      </c>
      <c r="DY35">
        <f>IF(DY$4=1,IF(OR(INDEX('×入力'!$A$1:$L$1300,707+DY$3,2+DY$2)&lt;&gt;"",INDEX('×入力'!$A$1:$L$1300,706,2+DY$2)&lt;&gt;"",INDEX('×入力'!$A$1:$L$1300,707+DY$3,1)&lt;&gt;""),1,0),0)</f>
        <v/>
      </c>
      <c r="DZ35">
        <f>IF(DZ$4=1,IF(OR(INDEX('×入力'!$A$1:$L$1300,707+DZ$3,2+DZ$2)&lt;&gt;"",INDEX('×入力'!$A$1:$L$1300,706,2+DZ$2)&lt;&gt;"",INDEX('×入力'!$A$1:$L$1300,707+DZ$3,1)&lt;&gt;""),1,0),0)</f>
        <v/>
      </c>
      <c r="EA35">
        <f>IF(EA$4=1,IF(OR(INDEX('×入力'!$A$1:$L$1300,707+EA$3,2+EA$2)&lt;&gt;"",INDEX('×入力'!$A$1:$L$1300,706,2+EA$2)&lt;&gt;"",INDEX('×入力'!$A$1:$L$1300,707+EA$3,1)&lt;&gt;""),1,0),0)</f>
        <v/>
      </c>
      <c r="EB35">
        <f>IF(EB$4=1,IF(OR(INDEX('×入力'!$A$1:$L$1300,707+EB$3,2+EB$2)&lt;&gt;"",INDEX('×入力'!$A$1:$L$1300,706,2+EB$2)&lt;&gt;"",INDEX('×入力'!$A$1:$L$1300,707+EB$3,1)&lt;&gt;""),1,0),0)</f>
        <v/>
      </c>
      <c r="EC35">
        <f>IF(EC$4=1,IF(OR(INDEX('×入力'!$A$1:$L$1300,707+EC$3,2+EC$2)&lt;&gt;"",INDEX('×入力'!$A$1:$L$1300,706,2+EC$2)&lt;&gt;"",INDEX('×入力'!$A$1:$L$1300,707+EC$3,1)&lt;&gt;""),1,0),0)</f>
        <v/>
      </c>
      <c r="ED35">
        <f>IF(ED$4=1,IF(OR(INDEX('×入力'!$A$1:$L$1300,707+ED$3,2+ED$2)&lt;&gt;"",INDEX('×入力'!$A$1:$L$1300,706,2+ED$2)&lt;&gt;"",INDEX('×入力'!$A$1:$L$1300,707+ED$3,1)&lt;&gt;""),1,0),0)</f>
        <v/>
      </c>
      <c r="EE35">
        <f>IF(EE$4=1,IF(OR(INDEX('×入力'!$A$1:$L$1300,707+EE$3,2+EE$2)&lt;&gt;"",INDEX('×入力'!$A$1:$L$1300,706,2+EE$2)&lt;&gt;"",INDEX('×入力'!$A$1:$L$1300,707+EE$3,1)&lt;&gt;""),1,0),0)</f>
        <v/>
      </c>
      <c r="EF35">
        <f>IF(EF$4=1,IF(OR(INDEX('×入力'!$A$1:$L$1300,707+EF$3,2+EF$2)&lt;&gt;"",INDEX('×入力'!$A$1:$L$1300,706,2+EF$2)&lt;&gt;"",INDEX('×入力'!$A$1:$L$1300,707+EF$3,1)&lt;&gt;""),1,0),0)</f>
        <v/>
      </c>
      <c r="EG35">
        <f>IF(EG$4=1,IF(OR(INDEX('×入力'!$A$1:$L$1300,707+EG$3,2+EG$2)&lt;&gt;"",INDEX('×入力'!$A$1:$L$1300,706,2+EG$2)&lt;&gt;"",INDEX('×入力'!$A$1:$L$1300,707+EG$3,1)&lt;&gt;""),1,0),0)</f>
        <v/>
      </c>
      <c r="EH35">
        <f>IF(EH$4=1,IF(OR(INDEX('×入力'!$A$1:$L$1300,707+EH$3,2+EH$2)&lt;&gt;"",INDEX('×入力'!$A$1:$L$1300,706,2+EH$2)&lt;&gt;"",INDEX('×入力'!$A$1:$L$1300,707+EH$3,1)&lt;&gt;""),1,0),0)</f>
        <v/>
      </c>
      <c r="EI35">
        <f>IF(EI$4=1,IF(OR(INDEX('×入力'!$A$1:$L$1300,707+EI$3,2+EI$2)&lt;&gt;"",INDEX('×入力'!$A$1:$L$1300,706,2+EI$2)&lt;&gt;"",INDEX('×入力'!$A$1:$L$1300,707+EI$3,1)&lt;&gt;""),1,0),0)</f>
        <v/>
      </c>
      <c r="EJ35">
        <f>IF(EJ$4=1,IF(OR(INDEX('×入力'!$A$1:$L$1300,707+EJ$3,2+EJ$2)&lt;&gt;"",INDEX('×入力'!$A$1:$L$1300,706,2+EJ$2)&lt;&gt;"",INDEX('×入力'!$A$1:$L$1300,707+EJ$3,1)&lt;&gt;""),1,0),0)</f>
        <v/>
      </c>
      <c r="EK35">
        <f>IF(EK$4=1,IF(OR(INDEX('×入力'!$A$1:$L$1300,707+EK$3,2+EK$2)&lt;&gt;"",INDEX('×入力'!$A$1:$L$1300,706,2+EK$2)&lt;&gt;"",INDEX('×入力'!$A$1:$L$1300,707+EK$3,1)&lt;&gt;""),1,0),0)</f>
        <v/>
      </c>
      <c r="EL35">
        <f>IF(EL$4=1,IF(OR(INDEX('×入力'!$A$1:$L$1300,707+EL$3,2+EL$2)&lt;&gt;"",INDEX('×入力'!$A$1:$L$1300,706,2+EL$2)&lt;&gt;"",INDEX('×入力'!$A$1:$L$1300,707+EL$3,1)&lt;&gt;""),1,0),0)</f>
        <v/>
      </c>
      <c r="EM35">
        <f>IF(EM$4=1,IF(OR(INDEX('×入力'!$A$1:$L$1300,707+EM$3,2+EM$2)&lt;&gt;"",INDEX('×入力'!$A$1:$L$1300,706,2+EM$2)&lt;&gt;"",INDEX('×入力'!$A$1:$L$1300,707+EM$3,1)&lt;&gt;""),1,0),0)</f>
        <v/>
      </c>
      <c r="EN35">
        <f>IF(EN$4=1,IF(OR(INDEX('×入力'!$A$1:$L$1300,707+EN$3,2+EN$2)&lt;&gt;"",INDEX('×入力'!$A$1:$L$1300,706,2+EN$2)&lt;&gt;"",INDEX('×入力'!$A$1:$L$1300,707+EN$3,1)&lt;&gt;""),1,0),0)</f>
        <v/>
      </c>
      <c r="EO35">
        <f>IF(EO$4=1,IF(OR(INDEX('×入力'!$A$1:$L$1300,707+EO$3,2+EO$2)&lt;&gt;"",INDEX('×入力'!$A$1:$L$1300,706,2+EO$2)&lt;&gt;"",INDEX('×入力'!$A$1:$L$1300,707+EO$3,1)&lt;&gt;""),1,0),0)</f>
        <v/>
      </c>
      <c r="EP35">
        <f>IF(EP$4=1,IF(OR(INDEX('×入力'!$A$1:$L$1300,707+EP$3,2+EP$2)&lt;&gt;"",INDEX('×入力'!$A$1:$L$1300,706,2+EP$2)&lt;&gt;"",INDEX('×入力'!$A$1:$L$1300,707+EP$3,1)&lt;&gt;""),1,0),0)</f>
        <v/>
      </c>
      <c r="EQ35">
        <f>IF(EQ$4=1,IF(OR(INDEX('×入力'!$A$1:$L$1300,707+EQ$3,2+EQ$2)&lt;&gt;"",INDEX('×入力'!$A$1:$L$1300,706,2+EQ$2)&lt;&gt;"",INDEX('×入力'!$A$1:$L$1300,707+EQ$3,1)&lt;&gt;""),1,0),0)</f>
        <v/>
      </c>
      <c r="HA35">
        <f>MAX(0,IT35)</f>
        <v/>
      </c>
      <c r="HB35">
        <f>IF(HA35=0,0,INDEX($D$2:$EQ$2,HA35))</f>
        <v/>
      </c>
      <c r="HC35">
        <f>IF(HA35=0,0,INDEX($D$3:$EQ$3,HA35))</f>
        <v/>
      </c>
      <c r="HD35">
        <f>MAX(0,IY35)</f>
        <v/>
      </c>
      <c r="HE35">
        <f>IF(HD35=0,0,INDEX($D$2:$EQ$2,HD35))</f>
        <v/>
      </c>
      <c r="HF35">
        <f>IF(HD35=0,0,INDEX($D$3:$EQ$3,HD35))</f>
        <v/>
      </c>
      <c r="HG35">
        <f>MAX(0,IZ35)</f>
        <v/>
      </c>
      <c r="HH35">
        <f>IF(HG35=0,0,INDEX($D$2:$EQ$2,HG35))</f>
        <v/>
      </c>
      <c r="HI35">
        <f>IF(HG35=0,0,INDEX($D$3:$EQ$3,HG35))</f>
        <v/>
      </c>
      <c r="HJ35">
        <f>IF(AND(HA35&gt;0,HC35&gt;1,OR(HC35-1&lt;&gt;$A$3,$A$4=0)),HA35-1,-1)</f>
        <v/>
      </c>
      <c r="HK35">
        <f>IF(AND(HA35&gt;0,HC35&lt;24,OR(HC35&lt;&gt;$A$3,$A$4=0)),HA35+1,-1)</f>
        <v/>
      </c>
      <c r="HL35">
        <f>IF(AND(HD35&gt;0,HF35&gt;1,OR(HF35-1&lt;&gt;$A$3,$A$4=0)),HD35-1,-1)</f>
        <v/>
      </c>
      <c r="HM35">
        <f>IF(AND(HD35&gt;0,HF35&lt;24,OR(HF35&lt;&gt;$A$3,$A$4=0)),HD35+1,-1)</f>
        <v/>
      </c>
      <c r="HN35">
        <f>IF(AND(HG35&gt;0,HI35&gt;1,OR(HI35-1&lt;&gt;$A$3,$A$4=0)),HG35-1,-1)</f>
        <v/>
      </c>
      <c r="HO35">
        <f>IF(AND(HG35&gt;0,HI35&lt;24,OR(HI35&lt;&gt;$A$3,$A$4=0)),HG35+1,-1)</f>
        <v/>
      </c>
      <c r="IK35">
        <f>IFERROR(INDEX('calcB'!$C$3:$C$47,MATCH(A35,'calcB'!$B$3:$B$47,0)),0)</f>
        <v/>
      </c>
      <c r="IL35">
        <f>IF(AND(C35=1,IK35=0,calcA!$A$6=1),1,0)</f>
        <v/>
      </c>
      <c r="IM35">
        <f>SUMPRODUCT(D85:EQ85*(1-$D$7:$EQ$7))</f>
        <v/>
      </c>
      <c r="IN35">
        <f>SUM(D35:EQ35)</f>
        <v/>
      </c>
      <c r="IO35">
        <f>IF(B35="",0,IF(COUNTIF('調整・決定'!$C$6:$H$29,B35)=1,SUMPRODUCT(('調整・決定'!$C$6:$H$29=B35)*((COLUMN('調整・決定'!$C$6:$H$29)-3)*24+ROW('調整・決定'!$C$6:$H$29)-5)),0))</f>
        <v/>
      </c>
      <c r="IP35">
        <f>IFERROR(MATCH('名簿'!C30,{"早い時刻","遅い時刻","早い日","遅い日"},0),0)</f>
        <v/>
      </c>
      <c r="IQ35">
        <f>IF('名簿'!D30="必ず空けたい",2,IF('名簿'!D30="出来れば空けたい",1,0))</f>
        <v/>
      </c>
      <c r="IR35">
        <f>IFERROR(INDEX('calcC'!$C$3:$C$47,MATCH(A35,'calcC'!$B$3:$B$47,0)),0)</f>
        <v/>
      </c>
      <c r="IS35">
        <f>IF(AND(C35=1,IR35=0,calcA!$A$6=1),1,0)</f>
        <v/>
      </c>
      <c r="IT35">
        <f>IF(OR('名簿'!G30="",'名簿'!H30=""),0,IFERROR((MATCH('名簿'!G30,'設定'!$E$11:$E$16,0)-1)*24+MATCH('名簿'!H30,'設定'!$I$11:$I$34,0),-1))</f>
        <v/>
      </c>
      <c r="IV35">
        <f>IF(OR(JF35=0,IO35=0),1,IF(OR(IF(IT35&gt;0,AND(INDEX($D$2:$EQ$2,IO35)=INDEX($D$2:$EQ$2,IT35),OR(AND(IO35=IT35+1,OR(INDEX($D$3:$EQ$3,IT35)&lt;&gt;$A$3,$A$4=0)),AND(IO35=IT35-1,OR(INDEX($D$3:$EQ$3,IO35)&lt;&gt;$A$3,$A$4=0)))),FALSE),IF(IY35&gt;0,AND(INDEX($D$2:$EQ$2,IO35)=INDEX($D$2:$EQ$2,IY35),OR(AND(IO35=IY35+1,OR(INDEX($D$3:$EQ$3,IY35)&lt;&gt;$A$3,$A$4=0)),AND(IO35=IY35-1,OR(INDEX($D$3:$EQ$3,IO35)&lt;&gt;$A$3,$A$4=0)))),FALSE),IF(IZ35&gt;0,AND(INDEX($D$2:$EQ$2,IO35)=INDEX($D$2:$EQ$2,IZ35),OR(AND(IO35=IZ35+1,OR(INDEX($D$3:$EQ$3,IZ35)&lt;&gt;$A$3,$A$4=0)),AND(IO35=IZ35-1,OR(INDEX($D$3:$EQ$3,IO35)&lt;&gt;$A$3,$A$4=0)))),FALSE)),1,0))</f>
        <v/>
      </c>
      <c r="IW35">
        <f>IF(AND('名簿'!E30&lt;&gt;"",JF35=0),1,0)</f>
        <v/>
      </c>
      <c r="IX35">
        <f>IF('名簿'!D30="空けない",1,0)</f>
        <v/>
      </c>
      <c r="IY35">
        <f>IF(OR('名簿'!J30="",'名簿'!K30=""),0,IFERROR((MATCH('名簿'!J30,'設定'!$E$11:$E$16,0)-1)*24+MATCH('名簿'!K30,'設定'!$I$11:$I$34,0),-1))</f>
        <v/>
      </c>
      <c r="IZ35">
        <f>IF(OR('名簿'!M30="",'名簿'!N30=""),0,IFERROR((MATCH('名簿'!M30,'設定'!$E$11:$E$16,0)-1)*24+MATCH('名簿'!N30,'設定'!$I$11:$I$34,0),-1))</f>
        <v/>
      </c>
      <c r="JC35">
        <f>IF(RIGHT('名簿'!I30,2)="の前",1,IF(RIGHT('名簿'!I30,2)="の後",2,0))</f>
        <v/>
      </c>
      <c r="JD35">
        <f>IF(RIGHT('名簿'!L30,2)="の前",1,IF(RIGHT('名簿'!L30,2)="の後",2,0))</f>
        <v/>
      </c>
      <c r="JE35">
        <f>IF(RIGHT('名簿'!O30,2)="の前",1,IF(RIGHT('名簿'!O30,2)="の後",2,0))</f>
        <v/>
      </c>
      <c r="JF35">
        <f>IF(OR(IT35&gt;0,IY35&gt;0,IZ35&gt;0),1,0)</f>
        <v/>
      </c>
      <c r="JG35">
        <f>IF(OR(IT35&lt;0,IY35&lt;0,IZ35&lt;0),1,0)</f>
        <v/>
      </c>
    </row>
    <row r="36">
      <c r="A36" t="n">
        <v>27</v>
      </c>
      <c r="B36">
        <f>'名簿'!P31</f>
        <v/>
      </c>
      <c r="C36">
        <f>IF(AND(B36&lt;&gt;"",OR('名簿'!Q31="入力済み",'名簿'!Q31="×なし"),IO36=0,COUNTIF('調整・決定'!$C$6:$H$29,B36)=0),1,0)</f>
        <v/>
      </c>
      <c r="D36">
        <f>IF(D$4=1,IF(OR(INDEX('×入力'!$A$1:$L$1300,735+D$3,2+D$2)&lt;&gt;"",INDEX('×入力'!$A$1:$L$1300,734,2+D$2)&lt;&gt;"",INDEX('×入力'!$A$1:$L$1300,735+D$3,1)&lt;&gt;""),1,0),0)</f>
        <v/>
      </c>
      <c r="E36">
        <f>IF(E$4=1,IF(OR(INDEX('×入力'!$A$1:$L$1300,735+E$3,2+E$2)&lt;&gt;"",INDEX('×入力'!$A$1:$L$1300,734,2+E$2)&lt;&gt;"",INDEX('×入力'!$A$1:$L$1300,735+E$3,1)&lt;&gt;""),1,0),0)</f>
        <v/>
      </c>
      <c r="F36">
        <f>IF(F$4=1,IF(OR(INDEX('×入力'!$A$1:$L$1300,735+F$3,2+F$2)&lt;&gt;"",INDEX('×入力'!$A$1:$L$1300,734,2+F$2)&lt;&gt;"",INDEX('×入力'!$A$1:$L$1300,735+F$3,1)&lt;&gt;""),1,0),0)</f>
        <v/>
      </c>
      <c r="G36">
        <f>IF(G$4=1,IF(OR(INDEX('×入力'!$A$1:$L$1300,735+G$3,2+G$2)&lt;&gt;"",INDEX('×入力'!$A$1:$L$1300,734,2+G$2)&lt;&gt;"",INDEX('×入力'!$A$1:$L$1300,735+G$3,1)&lt;&gt;""),1,0),0)</f>
        <v/>
      </c>
      <c r="H36">
        <f>IF(H$4=1,IF(OR(INDEX('×入力'!$A$1:$L$1300,735+H$3,2+H$2)&lt;&gt;"",INDEX('×入力'!$A$1:$L$1300,734,2+H$2)&lt;&gt;"",INDEX('×入力'!$A$1:$L$1300,735+H$3,1)&lt;&gt;""),1,0),0)</f>
        <v/>
      </c>
      <c r="I36">
        <f>IF(I$4=1,IF(OR(INDEX('×入力'!$A$1:$L$1300,735+I$3,2+I$2)&lt;&gt;"",INDEX('×入力'!$A$1:$L$1300,734,2+I$2)&lt;&gt;"",INDEX('×入力'!$A$1:$L$1300,735+I$3,1)&lt;&gt;""),1,0),0)</f>
        <v/>
      </c>
      <c r="J36">
        <f>IF(J$4=1,IF(OR(INDEX('×入力'!$A$1:$L$1300,735+J$3,2+J$2)&lt;&gt;"",INDEX('×入力'!$A$1:$L$1300,734,2+J$2)&lt;&gt;"",INDEX('×入力'!$A$1:$L$1300,735+J$3,1)&lt;&gt;""),1,0),0)</f>
        <v/>
      </c>
      <c r="K36">
        <f>IF(K$4=1,IF(OR(INDEX('×入力'!$A$1:$L$1300,735+K$3,2+K$2)&lt;&gt;"",INDEX('×入力'!$A$1:$L$1300,734,2+K$2)&lt;&gt;"",INDEX('×入力'!$A$1:$L$1300,735+K$3,1)&lt;&gt;""),1,0),0)</f>
        <v/>
      </c>
      <c r="L36">
        <f>IF(L$4=1,IF(OR(INDEX('×入力'!$A$1:$L$1300,735+L$3,2+L$2)&lt;&gt;"",INDEX('×入力'!$A$1:$L$1300,734,2+L$2)&lt;&gt;"",INDEX('×入力'!$A$1:$L$1300,735+L$3,1)&lt;&gt;""),1,0),0)</f>
        <v/>
      </c>
      <c r="M36">
        <f>IF(M$4=1,IF(OR(INDEX('×入力'!$A$1:$L$1300,735+M$3,2+M$2)&lt;&gt;"",INDEX('×入力'!$A$1:$L$1300,734,2+M$2)&lt;&gt;"",INDEX('×入力'!$A$1:$L$1300,735+M$3,1)&lt;&gt;""),1,0),0)</f>
        <v/>
      </c>
      <c r="N36">
        <f>IF(N$4=1,IF(OR(INDEX('×入力'!$A$1:$L$1300,735+N$3,2+N$2)&lt;&gt;"",INDEX('×入力'!$A$1:$L$1300,734,2+N$2)&lt;&gt;"",INDEX('×入力'!$A$1:$L$1300,735+N$3,1)&lt;&gt;""),1,0),0)</f>
        <v/>
      </c>
      <c r="O36">
        <f>IF(O$4=1,IF(OR(INDEX('×入力'!$A$1:$L$1300,735+O$3,2+O$2)&lt;&gt;"",INDEX('×入力'!$A$1:$L$1300,734,2+O$2)&lt;&gt;"",INDEX('×入力'!$A$1:$L$1300,735+O$3,1)&lt;&gt;""),1,0),0)</f>
        <v/>
      </c>
      <c r="P36">
        <f>IF(P$4=1,IF(OR(INDEX('×入力'!$A$1:$L$1300,735+P$3,2+P$2)&lt;&gt;"",INDEX('×入力'!$A$1:$L$1300,734,2+P$2)&lt;&gt;"",INDEX('×入力'!$A$1:$L$1300,735+P$3,1)&lt;&gt;""),1,0),0)</f>
        <v/>
      </c>
      <c r="Q36">
        <f>IF(Q$4=1,IF(OR(INDEX('×入力'!$A$1:$L$1300,735+Q$3,2+Q$2)&lt;&gt;"",INDEX('×入力'!$A$1:$L$1300,734,2+Q$2)&lt;&gt;"",INDEX('×入力'!$A$1:$L$1300,735+Q$3,1)&lt;&gt;""),1,0),0)</f>
        <v/>
      </c>
      <c r="R36">
        <f>IF(R$4=1,IF(OR(INDEX('×入力'!$A$1:$L$1300,735+R$3,2+R$2)&lt;&gt;"",INDEX('×入力'!$A$1:$L$1300,734,2+R$2)&lt;&gt;"",INDEX('×入力'!$A$1:$L$1300,735+R$3,1)&lt;&gt;""),1,0),0)</f>
        <v/>
      </c>
      <c r="S36">
        <f>IF(S$4=1,IF(OR(INDEX('×入力'!$A$1:$L$1300,735+S$3,2+S$2)&lt;&gt;"",INDEX('×入力'!$A$1:$L$1300,734,2+S$2)&lt;&gt;"",INDEX('×入力'!$A$1:$L$1300,735+S$3,1)&lt;&gt;""),1,0),0)</f>
        <v/>
      </c>
      <c r="T36">
        <f>IF(T$4=1,IF(OR(INDEX('×入力'!$A$1:$L$1300,735+T$3,2+T$2)&lt;&gt;"",INDEX('×入力'!$A$1:$L$1300,734,2+T$2)&lt;&gt;"",INDEX('×入力'!$A$1:$L$1300,735+T$3,1)&lt;&gt;""),1,0),0)</f>
        <v/>
      </c>
      <c r="U36">
        <f>IF(U$4=1,IF(OR(INDEX('×入力'!$A$1:$L$1300,735+U$3,2+U$2)&lt;&gt;"",INDEX('×入力'!$A$1:$L$1300,734,2+U$2)&lt;&gt;"",INDEX('×入力'!$A$1:$L$1300,735+U$3,1)&lt;&gt;""),1,0),0)</f>
        <v/>
      </c>
      <c r="V36">
        <f>IF(V$4=1,IF(OR(INDEX('×入力'!$A$1:$L$1300,735+V$3,2+V$2)&lt;&gt;"",INDEX('×入力'!$A$1:$L$1300,734,2+V$2)&lt;&gt;"",INDEX('×入力'!$A$1:$L$1300,735+V$3,1)&lt;&gt;""),1,0),0)</f>
        <v/>
      </c>
      <c r="W36">
        <f>IF(W$4=1,IF(OR(INDEX('×入力'!$A$1:$L$1300,735+W$3,2+W$2)&lt;&gt;"",INDEX('×入力'!$A$1:$L$1300,734,2+W$2)&lt;&gt;"",INDEX('×入力'!$A$1:$L$1300,735+W$3,1)&lt;&gt;""),1,0),0)</f>
        <v/>
      </c>
      <c r="X36">
        <f>IF(X$4=1,IF(OR(INDEX('×入力'!$A$1:$L$1300,735+X$3,2+X$2)&lt;&gt;"",INDEX('×入力'!$A$1:$L$1300,734,2+X$2)&lt;&gt;"",INDEX('×入力'!$A$1:$L$1300,735+X$3,1)&lt;&gt;""),1,0),0)</f>
        <v/>
      </c>
      <c r="Y36">
        <f>IF(Y$4=1,IF(OR(INDEX('×入力'!$A$1:$L$1300,735+Y$3,2+Y$2)&lt;&gt;"",INDEX('×入力'!$A$1:$L$1300,734,2+Y$2)&lt;&gt;"",INDEX('×入力'!$A$1:$L$1300,735+Y$3,1)&lt;&gt;""),1,0),0)</f>
        <v/>
      </c>
      <c r="Z36">
        <f>IF(Z$4=1,IF(OR(INDEX('×入力'!$A$1:$L$1300,735+Z$3,2+Z$2)&lt;&gt;"",INDEX('×入力'!$A$1:$L$1300,734,2+Z$2)&lt;&gt;"",INDEX('×入力'!$A$1:$L$1300,735+Z$3,1)&lt;&gt;""),1,0),0)</f>
        <v/>
      </c>
      <c r="AA36">
        <f>IF(AA$4=1,IF(OR(INDEX('×入力'!$A$1:$L$1300,735+AA$3,2+AA$2)&lt;&gt;"",INDEX('×入力'!$A$1:$L$1300,734,2+AA$2)&lt;&gt;"",INDEX('×入力'!$A$1:$L$1300,735+AA$3,1)&lt;&gt;""),1,0),0)</f>
        <v/>
      </c>
      <c r="AB36">
        <f>IF(AB$4=1,IF(OR(INDEX('×入力'!$A$1:$L$1300,735+AB$3,2+AB$2)&lt;&gt;"",INDEX('×入力'!$A$1:$L$1300,734,2+AB$2)&lt;&gt;"",INDEX('×入力'!$A$1:$L$1300,735+AB$3,1)&lt;&gt;""),1,0),0)</f>
        <v/>
      </c>
      <c r="AC36">
        <f>IF(AC$4=1,IF(OR(INDEX('×入力'!$A$1:$L$1300,735+AC$3,2+AC$2)&lt;&gt;"",INDEX('×入力'!$A$1:$L$1300,734,2+AC$2)&lt;&gt;"",INDEX('×入力'!$A$1:$L$1300,735+AC$3,1)&lt;&gt;""),1,0),0)</f>
        <v/>
      </c>
      <c r="AD36">
        <f>IF(AD$4=1,IF(OR(INDEX('×入力'!$A$1:$L$1300,735+AD$3,2+AD$2)&lt;&gt;"",INDEX('×入力'!$A$1:$L$1300,734,2+AD$2)&lt;&gt;"",INDEX('×入力'!$A$1:$L$1300,735+AD$3,1)&lt;&gt;""),1,0),0)</f>
        <v/>
      </c>
      <c r="AE36">
        <f>IF(AE$4=1,IF(OR(INDEX('×入力'!$A$1:$L$1300,735+AE$3,2+AE$2)&lt;&gt;"",INDEX('×入力'!$A$1:$L$1300,734,2+AE$2)&lt;&gt;"",INDEX('×入力'!$A$1:$L$1300,735+AE$3,1)&lt;&gt;""),1,0),0)</f>
        <v/>
      </c>
      <c r="AF36">
        <f>IF(AF$4=1,IF(OR(INDEX('×入力'!$A$1:$L$1300,735+AF$3,2+AF$2)&lt;&gt;"",INDEX('×入力'!$A$1:$L$1300,734,2+AF$2)&lt;&gt;"",INDEX('×入力'!$A$1:$L$1300,735+AF$3,1)&lt;&gt;""),1,0),0)</f>
        <v/>
      </c>
      <c r="AG36">
        <f>IF(AG$4=1,IF(OR(INDEX('×入力'!$A$1:$L$1300,735+AG$3,2+AG$2)&lt;&gt;"",INDEX('×入力'!$A$1:$L$1300,734,2+AG$2)&lt;&gt;"",INDEX('×入力'!$A$1:$L$1300,735+AG$3,1)&lt;&gt;""),1,0),0)</f>
        <v/>
      </c>
      <c r="AH36">
        <f>IF(AH$4=1,IF(OR(INDEX('×入力'!$A$1:$L$1300,735+AH$3,2+AH$2)&lt;&gt;"",INDEX('×入力'!$A$1:$L$1300,734,2+AH$2)&lt;&gt;"",INDEX('×入力'!$A$1:$L$1300,735+AH$3,1)&lt;&gt;""),1,0),0)</f>
        <v/>
      </c>
      <c r="AI36">
        <f>IF(AI$4=1,IF(OR(INDEX('×入力'!$A$1:$L$1300,735+AI$3,2+AI$2)&lt;&gt;"",INDEX('×入力'!$A$1:$L$1300,734,2+AI$2)&lt;&gt;"",INDEX('×入力'!$A$1:$L$1300,735+AI$3,1)&lt;&gt;""),1,0),0)</f>
        <v/>
      </c>
      <c r="AJ36">
        <f>IF(AJ$4=1,IF(OR(INDEX('×入力'!$A$1:$L$1300,735+AJ$3,2+AJ$2)&lt;&gt;"",INDEX('×入力'!$A$1:$L$1300,734,2+AJ$2)&lt;&gt;"",INDEX('×入力'!$A$1:$L$1300,735+AJ$3,1)&lt;&gt;""),1,0),0)</f>
        <v/>
      </c>
      <c r="AK36">
        <f>IF(AK$4=1,IF(OR(INDEX('×入力'!$A$1:$L$1300,735+AK$3,2+AK$2)&lt;&gt;"",INDEX('×入力'!$A$1:$L$1300,734,2+AK$2)&lt;&gt;"",INDEX('×入力'!$A$1:$L$1300,735+AK$3,1)&lt;&gt;""),1,0),0)</f>
        <v/>
      </c>
      <c r="AL36">
        <f>IF(AL$4=1,IF(OR(INDEX('×入力'!$A$1:$L$1300,735+AL$3,2+AL$2)&lt;&gt;"",INDEX('×入力'!$A$1:$L$1300,734,2+AL$2)&lt;&gt;"",INDEX('×入力'!$A$1:$L$1300,735+AL$3,1)&lt;&gt;""),1,0),0)</f>
        <v/>
      </c>
      <c r="AM36">
        <f>IF(AM$4=1,IF(OR(INDEX('×入力'!$A$1:$L$1300,735+AM$3,2+AM$2)&lt;&gt;"",INDEX('×入力'!$A$1:$L$1300,734,2+AM$2)&lt;&gt;"",INDEX('×入力'!$A$1:$L$1300,735+AM$3,1)&lt;&gt;""),1,0),0)</f>
        <v/>
      </c>
      <c r="AN36">
        <f>IF(AN$4=1,IF(OR(INDEX('×入力'!$A$1:$L$1300,735+AN$3,2+AN$2)&lt;&gt;"",INDEX('×入力'!$A$1:$L$1300,734,2+AN$2)&lt;&gt;"",INDEX('×入力'!$A$1:$L$1300,735+AN$3,1)&lt;&gt;""),1,0),0)</f>
        <v/>
      </c>
      <c r="AO36">
        <f>IF(AO$4=1,IF(OR(INDEX('×入力'!$A$1:$L$1300,735+AO$3,2+AO$2)&lt;&gt;"",INDEX('×入力'!$A$1:$L$1300,734,2+AO$2)&lt;&gt;"",INDEX('×入力'!$A$1:$L$1300,735+AO$3,1)&lt;&gt;""),1,0),0)</f>
        <v/>
      </c>
      <c r="AP36">
        <f>IF(AP$4=1,IF(OR(INDEX('×入力'!$A$1:$L$1300,735+AP$3,2+AP$2)&lt;&gt;"",INDEX('×入力'!$A$1:$L$1300,734,2+AP$2)&lt;&gt;"",INDEX('×入力'!$A$1:$L$1300,735+AP$3,1)&lt;&gt;""),1,0),0)</f>
        <v/>
      </c>
      <c r="AQ36">
        <f>IF(AQ$4=1,IF(OR(INDEX('×入力'!$A$1:$L$1300,735+AQ$3,2+AQ$2)&lt;&gt;"",INDEX('×入力'!$A$1:$L$1300,734,2+AQ$2)&lt;&gt;"",INDEX('×入力'!$A$1:$L$1300,735+AQ$3,1)&lt;&gt;""),1,0),0)</f>
        <v/>
      </c>
      <c r="AR36">
        <f>IF(AR$4=1,IF(OR(INDEX('×入力'!$A$1:$L$1300,735+AR$3,2+AR$2)&lt;&gt;"",INDEX('×入力'!$A$1:$L$1300,734,2+AR$2)&lt;&gt;"",INDEX('×入力'!$A$1:$L$1300,735+AR$3,1)&lt;&gt;""),1,0),0)</f>
        <v/>
      </c>
      <c r="AS36">
        <f>IF(AS$4=1,IF(OR(INDEX('×入力'!$A$1:$L$1300,735+AS$3,2+AS$2)&lt;&gt;"",INDEX('×入力'!$A$1:$L$1300,734,2+AS$2)&lt;&gt;"",INDEX('×入力'!$A$1:$L$1300,735+AS$3,1)&lt;&gt;""),1,0),0)</f>
        <v/>
      </c>
      <c r="AT36">
        <f>IF(AT$4=1,IF(OR(INDEX('×入力'!$A$1:$L$1300,735+AT$3,2+AT$2)&lt;&gt;"",INDEX('×入力'!$A$1:$L$1300,734,2+AT$2)&lt;&gt;"",INDEX('×入力'!$A$1:$L$1300,735+AT$3,1)&lt;&gt;""),1,0),0)</f>
        <v/>
      </c>
      <c r="AU36">
        <f>IF(AU$4=1,IF(OR(INDEX('×入力'!$A$1:$L$1300,735+AU$3,2+AU$2)&lt;&gt;"",INDEX('×入力'!$A$1:$L$1300,734,2+AU$2)&lt;&gt;"",INDEX('×入力'!$A$1:$L$1300,735+AU$3,1)&lt;&gt;""),1,0),0)</f>
        <v/>
      </c>
      <c r="AV36">
        <f>IF(AV$4=1,IF(OR(INDEX('×入力'!$A$1:$L$1300,735+AV$3,2+AV$2)&lt;&gt;"",INDEX('×入力'!$A$1:$L$1300,734,2+AV$2)&lt;&gt;"",INDEX('×入力'!$A$1:$L$1300,735+AV$3,1)&lt;&gt;""),1,0),0)</f>
        <v/>
      </c>
      <c r="AW36">
        <f>IF(AW$4=1,IF(OR(INDEX('×入力'!$A$1:$L$1300,735+AW$3,2+AW$2)&lt;&gt;"",INDEX('×入力'!$A$1:$L$1300,734,2+AW$2)&lt;&gt;"",INDEX('×入力'!$A$1:$L$1300,735+AW$3,1)&lt;&gt;""),1,0),0)</f>
        <v/>
      </c>
      <c r="AX36">
        <f>IF(AX$4=1,IF(OR(INDEX('×入力'!$A$1:$L$1300,735+AX$3,2+AX$2)&lt;&gt;"",INDEX('×入力'!$A$1:$L$1300,734,2+AX$2)&lt;&gt;"",INDEX('×入力'!$A$1:$L$1300,735+AX$3,1)&lt;&gt;""),1,0),0)</f>
        <v/>
      </c>
      <c r="AY36">
        <f>IF(AY$4=1,IF(OR(INDEX('×入力'!$A$1:$L$1300,735+AY$3,2+AY$2)&lt;&gt;"",INDEX('×入力'!$A$1:$L$1300,734,2+AY$2)&lt;&gt;"",INDEX('×入力'!$A$1:$L$1300,735+AY$3,1)&lt;&gt;""),1,0),0)</f>
        <v/>
      </c>
      <c r="AZ36">
        <f>IF(AZ$4=1,IF(OR(INDEX('×入力'!$A$1:$L$1300,735+AZ$3,2+AZ$2)&lt;&gt;"",INDEX('×入力'!$A$1:$L$1300,734,2+AZ$2)&lt;&gt;"",INDEX('×入力'!$A$1:$L$1300,735+AZ$3,1)&lt;&gt;""),1,0),0)</f>
        <v/>
      </c>
      <c r="BA36">
        <f>IF(BA$4=1,IF(OR(INDEX('×入力'!$A$1:$L$1300,735+BA$3,2+BA$2)&lt;&gt;"",INDEX('×入力'!$A$1:$L$1300,734,2+BA$2)&lt;&gt;"",INDEX('×入力'!$A$1:$L$1300,735+BA$3,1)&lt;&gt;""),1,0),0)</f>
        <v/>
      </c>
      <c r="BB36">
        <f>IF(BB$4=1,IF(OR(INDEX('×入力'!$A$1:$L$1300,735+BB$3,2+BB$2)&lt;&gt;"",INDEX('×入力'!$A$1:$L$1300,734,2+BB$2)&lt;&gt;"",INDEX('×入力'!$A$1:$L$1300,735+BB$3,1)&lt;&gt;""),1,0),0)</f>
        <v/>
      </c>
      <c r="BC36">
        <f>IF(BC$4=1,IF(OR(INDEX('×入力'!$A$1:$L$1300,735+BC$3,2+BC$2)&lt;&gt;"",INDEX('×入力'!$A$1:$L$1300,734,2+BC$2)&lt;&gt;"",INDEX('×入力'!$A$1:$L$1300,735+BC$3,1)&lt;&gt;""),1,0),0)</f>
        <v/>
      </c>
      <c r="BD36">
        <f>IF(BD$4=1,IF(OR(INDEX('×入力'!$A$1:$L$1300,735+BD$3,2+BD$2)&lt;&gt;"",INDEX('×入力'!$A$1:$L$1300,734,2+BD$2)&lt;&gt;"",INDEX('×入力'!$A$1:$L$1300,735+BD$3,1)&lt;&gt;""),1,0),0)</f>
        <v/>
      </c>
      <c r="BE36">
        <f>IF(BE$4=1,IF(OR(INDEX('×入力'!$A$1:$L$1300,735+BE$3,2+BE$2)&lt;&gt;"",INDEX('×入力'!$A$1:$L$1300,734,2+BE$2)&lt;&gt;"",INDEX('×入力'!$A$1:$L$1300,735+BE$3,1)&lt;&gt;""),1,0),0)</f>
        <v/>
      </c>
      <c r="BF36">
        <f>IF(BF$4=1,IF(OR(INDEX('×入力'!$A$1:$L$1300,735+BF$3,2+BF$2)&lt;&gt;"",INDEX('×入力'!$A$1:$L$1300,734,2+BF$2)&lt;&gt;"",INDEX('×入力'!$A$1:$L$1300,735+BF$3,1)&lt;&gt;""),1,0),0)</f>
        <v/>
      </c>
      <c r="BG36">
        <f>IF(BG$4=1,IF(OR(INDEX('×入力'!$A$1:$L$1300,735+BG$3,2+BG$2)&lt;&gt;"",INDEX('×入力'!$A$1:$L$1300,734,2+BG$2)&lt;&gt;"",INDEX('×入力'!$A$1:$L$1300,735+BG$3,1)&lt;&gt;""),1,0),0)</f>
        <v/>
      </c>
      <c r="BH36">
        <f>IF(BH$4=1,IF(OR(INDEX('×入力'!$A$1:$L$1300,735+BH$3,2+BH$2)&lt;&gt;"",INDEX('×入力'!$A$1:$L$1300,734,2+BH$2)&lt;&gt;"",INDEX('×入力'!$A$1:$L$1300,735+BH$3,1)&lt;&gt;""),1,0),0)</f>
        <v/>
      </c>
      <c r="BI36">
        <f>IF(BI$4=1,IF(OR(INDEX('×入力'!$A$1:$L$1300,735+BI$3,2+BI$2)&lt;&gt;"",INDEX('×入力'!$A$1:$L$1300,734,2+BI$2)&lt;&gt;"",INDEX('×入力'!$A$1:$L$1300,735+BI$3,1)&lt;&gt;""),1,0),0)</f>
        <v/>
      </c>
      <c r="BJ36">
        <f>IF(BJ$4=1,IF(OR(INDEX('×入力'!$A$1:$L$1300,735+BJ$3,2+BJ$2)&lt;&gt;"",INDEX('×入力'!$A$1:$L$1300,734,2+BJ$2)&lt;&gt;"",INDEX('×入力'!$A$1:$L$1300,735+BJ$3,1)&lt;&gt;""),1,0),0)</f>
        <v/>
      </c>
      <c r="BK36">
        <f>IF(BK$4=1,IF(OR(INDEX('×入力'!$A$1:$L$1300,735+BK$3,2+BK$2)&lt;&gt;"",INDEX('×入力'!$A$1:$L$1300,734,2+BK$2)&lt;&gt;"",INDEX('×入力'!$A$1:$L$1300,735+BK$3,1)&lt;&gt;""),1,0),0)</f>
        <v/>
      </c>
      <c r="BL36">
        <f>IF(BL$4=1,IF(OR(INDEX('×入力'!$A$1:$L$1300,735+BL$3,2+BL$2)&lt;&gt;"",INDEX('×入力'!$A$1:$L$1300,734,2+BL$2)&lt;&gt;"",INDEX('×入力'!$A$1:$L$1300,735+BL$3,1)&lt;&gt;""),1,0),0)</f>
        <v/>
      </c>
      <c r="BM36">
        <f>IF(BM$4=1,IF(OR(INDEX('×入力'!$A$1:$L$1300,735+BM$3,2+BM$2)&lt;&gt;"",INDEX('×入力'!$A$1:$L$1300,734,2+BM$2)&lt;&gt;"",INDEX('×入力'!$A$1:$L$1300,735+BM$3,1)&lt;&gt;""),1,0),0)</f>
        <v/>
      </c>
      <c r="BN36">
        <f>IF(BN$4=1,IF(OR(INDEX('×入力'!$A$1:$L$1300,735+BN$3,2+BN$2)&lt;&gt;"",INDEX('×入力'!$A$1:$L$1300,734,2+BN$2)&lt;&gt;"",INDEX('×入力'!$A$1:$L$1300,735+BN$3,1)&lt;&gt;""),1,0),0)</f>
        <v/>
      </c>
      <c r="BO36">
        <f>IF(BO$4=1,IF(OR(INDEX('×入力'!$A$1:$L$1300,735+BO$3,2+BO$2)&lt;&gt;"",INDEX('×入力'!$A$1:$L$1300,734,2+BO$2)&lt;&gt;"",INDEX('×入力'!$A$1:$L$1300,735+BO$3,1)&lt;&gt;""),1,0),0)</f>
        <v/>
      </c>
      <c r="BP36">
        <f>IF(BP$4=1,IF(OR(INDEX('×入力'!$A$1:$L$1300,735+BP$3,2+BP$2)&lt;&gt;"",INDEX('×入力'!$A$1:$L$1300,734,2+BP$2)&lt;&gt;"",INDEX('×入力'!$A$1:$L$1300,735+BP$3,1)&lt;&gt;""),1,0),0)</f>
        <v/>
      </c>
      <c r="BQ36">
        <f>IF(BQ$4=1,IF(OR(INDEX('×入力'!$A$1:$L$1300,735+BQ$3,2+BQ$2)&lt;&gt;"",INDEX('×入力'!$A$1:$L$1300,734,2+BQ$2)&lt;&gt;"",INDEX('×入力'!$A$1:$L$1300,735+BQ$3,1)&lt;&gt;""),1,0),0)</f>
        <v/>
      </c>
      <c r="BR36">
        <f>IF(BR$4=1,IF(OR(INDEX('×入力'!$A$1:$L$1300,735+BR$3,2+BR$2)&lt;&gt;"",INDEX('×入力'!$A$1:$L$1300,734,2+BR$2)&lt;&gt;"",INDEX('×入力'!$A$1:$L$1300,735+BR$3,1)&lt;&gt;""),1,0),0)</f>
        <v/>
      </c>
      <c r="BS36">
        <f>IF(BS$4=1,IF(OR(INDEX('×入力'!$A$1:$L$1300,735+BS$3,2+BS$2)&lt;&gt;"",INDEX('×入力'!$A$1:$L$1300,734,2+BS$2)&lt;&gt;"",INDEX('×入力'!$A$1:$L$1300,735+BS$3,1)&lt;&gt;""),1,0),0)</f>
        <v/>
      </c>
      <c r="BT36">
        <f>IF(BT$4=1,IF(OR(INDEX('×入力'!$A$1:$L$1300,735+BT$3,2+BT$2)&lt;&gt;"",INDEX('×入力'!$A$1:$L$1300,734,2+BT$2)&lt;&gt;"",INDEX('×入力'!$A$1:$L$1300,735+BT$3,1)&lt;&gt;""),1,0),0)</f>
        <v/>
      </c>
      <c r="BU36">
        <f>IF(BU$4=1,IF(OR(INDEX('×入力'!$A$1:$L$1300,735+BU$3,2+BU$2)&lt;&gt;"",INDEX('×入力'!$A$1:$L$1300,734,2+BU$2)&lt;&gt;"",INDEX('×入力'!$A$1:$L$1300,735+BU$3,1)&lt;&gt;""),1,0),0)</f>
        <v/>
      </c>
      <c r="BV36">
        <f>IF(BV$4=1,IF(OR(INDEX('×入力'!$A$1:$L$1300,735+BV$3,2+BV$2)&lt;&gt;"",INDEX('×入力'!$A$1:$L$1300,734,2+BV$2)&lt;&gt;"",INDEX('×入力'!$A$1:$L$1300,735+BV$3,1)&lt;&gt;""),1,0),0)</f>
        <v/>
      </c>
      <c r="BW36">
        <f>IF(BW$4=1,IF(OR(INDEX('×入力'!$A$1:$L$1300,735+BW$3,2+BW$2)&lt;&gt;"",INDEX('×入力'!$A$1:$L$1300,734,2+BW$2)&lt;&gt;"",INDEX('×入力'!$A$1:$L$1300,735+BW$3,1)&lt;&gt;""),1,0),0)</f>
        <v/>
      </c>
      <c r="BX36">
        <f>IF(BX$4=1,IF(OR(INDEX('×入力'!$A$1:$L$1300,735+BX$3,2+BX$2)&lt;&gt;"",INDEX('×入力'!$A$1:$L$1300,734,2+BX$2)&lt;&gt;"",INDEX('×入力'!$A$1:$L$1300,735+BX$3,1)&lt;&gt;""),1,0),0)</f>
        <v/>
      </c>
      <c r="BY36">
        <f>IF(BY$4=1,IF(OR(INDEX('×入力'!$A$1:$L$1300,735+BY$3,2+BY$2)&lt;&gt;"",INDEX('×入力'!$A$1:$L$1300,734,2+BY$2)&lt;&gt;"",INDEX('×入力'!$A$1:$L$1300,735+BY$3,1)&lt;&gt;""),1,0),0)</f>
        <v/>
      </c>
      <c r="BZ36">
        <f>IF(BZ$4=1,IF(OR(INDEX('×入力'!$A$1:$L$1300,735+BZ$3,2+BZ$2)&lt;&gt;"",INDEX('×入力'!$A$1:$L$1300,734,2+BZ$2)&lt;&gt;"",INDEX('×入力'!$A$1:$L$1300,735+BZ$3,1)&lt;&gt;""),1,0),0)</f>
        <v/>
      </c>
      <c r="CA36">
        <f>IF(CA$4=1,IF(OR(INDEX('×入力'!$A$1:$L$1300,735+CA$3,2+CA$2)&lt;&gt;"",INDEX('×入力'!$A$1:$L$1300,734,2+CA$2)&lt;&gt;"",INDEX('×入力'!$A$1:$L$1300,735+CA$3,1)&lt;&gt;""),1,0),0)</f>
        <v/>
      </c>
      <c r="CB36">
        <f>IF(CB$4=1,IF(OR(INDEX('×入力'!$A$1:$L$1300,735+CB$3,2+CB$2)&lt;&gt;"",INDEX('×入力'!$A$1:$L$1300,734,2+CB$2)&lt;&gt;"",INDEX('×入力'!$A$1:$L$1300,735+CB$3,1)&lt;&gt;""),1,0),0)</f>
        <v/>
      </c>
      <c r="CC36">
        <f>IF(CC$4=1,IF(OR(INDEX('×入力'!$A$1:$L$1300,735+CC$3,2+CC$2)&lt;&gt;"",INDEX('×入力'!$A$1:$L$1300,734,2+CC$2)&lt;&gt;"",INDEX('×入力'!$A$1:$L$1300,735+CC$3,1)&lt;&gt;""),1,0),0)</f>
        <v/>
      </c>
      <c r="CD36">
        <f>IF(CD$4=1,IF(OR(INDEX('×入力'!$A$1:$L$1300,735+CD$3,2+CD$2)&lt;&gt;"",INDEX('×入力'!$A$1:$L$1300,734,2+CD$2)&lt;&gt;"",INDEX('×入力'!$A$1:$L$1300,735+CD$3,1)&lt;&gt;""),1,0),0)</f>
        <v/>
      </c>
      <c r="CE36">
        <f>IF(CE$4=1,IF(OR(INDEX('×入力'!$A$1:$L$1300,735+CE$3,2+CE$2)&lt;&gt;"",INDEX('×入力'!$A$1:$L$1300,734,2+CE$2)&lt;&gt;"",INDEX('×入力'!$A$1:$L$1300,735+CE$3,1)&lt;&gt;""),1,0),0)</f>
        <v/>
      </c>
      <c r="CF36">
        <f>IF(CF$4=1,IF(OR(INDEX('×入力'!$A$1:$L$1300,735+CF$3,2+CF$2)&lt;&gt;"",INDEX('×入力'!$A$1:$L$1300,734,2+CF$2)&lt;&gt;"",INDEX('×入力'!$A$1:$L$1300,735+CF$3,1)&lt;&gt;""),1,0),0)</f>
        <v/>
      </c>
      <c r="CG36">
        <f>IF(CG$4=1,IF(OR(INDEX('×入力'!$A$1:$L$1300,735+CG$3,2+CG$2)&lt;&gt;"",INDEX('×入力'!$A$1:$L$1300,734,2+CG$2)&lt;&gt;"",INDEX('×入力'!$A$1:$L$1300,735+CG$3,1)&lt;&gt;""),1,0),0)</f>
        <v/>
      </c>
      <c r="CH36">
        <f>IF(CH$4=1,IF(OR(INDEX('×入力'!$A$1:$L$1300,735+CH$3,2+CH$2)&lt;&gt;"",INDEX('×入力'!$A$1:$L$1300,734,2+CH$2)&lt;&gt;"",INDEX('×入力'!$A$1:$L$1300,735+CH$3,1)&lt;&gt;""),1,0),0)</f>
        <v/>
      </c>
      <c r="CI36">
        <f>IF(CI$4=1,IF(OR(INDEX('×入力'!$A$1:$L$1300,735+CI$3,2+CI$2)&lt;&gt;"",INDEX('×入力'!$A$1:$L$1300,734,2+CI$2)&lt;&gt;"",INDEX('×入力'!$A$1:$L$1300,735+CI$3,1)&lt;&gt;""),1,0),0)</f>
        <v/>
      </c>
      <c r="CJ36">
        <f>IF(CJ$4=1,IF(OR(INDEX('×入力'!$A$1:$L$1300,735+CJ$3,2+CJ$2)&lt;&gt;"",INDEX('×入力'!$A$1:$L$1300,734,2+CJ$2)&lt;&gt;"",INDEX('×入力'!$A$1:$L$1300,735+CJ$3,1)&lt;&gt;""),1,0),0)</f>
        <v/>
      </c>
      <c r="CK36">
        <f>IF(CK$4=1,IF(OR(INDEX('×入力'!$A$1:$L$1300,735+CK$3,2+CK$2)&lt;&gt;"",INDEX('×入力'!$A$1:$L$1300,734,2+CK$2)&lt;&gt;"",INDEX('×入力'!$A$1:$L$1300,735+CK$3,1)&lt;&gt;""),1,0),0)</f>
        <v/>
      </c>
      <c r="CL36">
        <f>IF(CL$4=1,IF(OR(INDEX('×入力'!$A$1:$L$1300,735+CL$3,2+CL$2)&lt;&gt;"",INDEX('×入力'!$A$1:$L$1300,734,2+CL$2)&lt;&gt;"",INDEX('×入力'!$A$1:$L$1300,735+CL$3,1)&lt;&gt;""),1,0),0)</f>
        <v/>
      </c>
      <c r="CM36">
        <f>IF(CM$4=1,IF(OR(INDEX('×入力'!$A$1:$L$1300,735+CM$3,2+CM$2)&lt;&gt;"",INDEX('×入力'!$A$1:$L$1300,734,2+CM$2)&lt;&gt;"",INDEX('×入力'!$A$1:$L$1300,735+CM$3,1)&lt;&gt;""),1,0),0)</f>
        <v/>
      </c>
      <c r="CN36">
        <f>IF(CN$4=1,IF(OR(INDEX('×入力'!$A$1:$L$1300,735+CN$3,2+CN$2)&lt;&gt;"",INDEX('×入力'!$A$1:$L$1300,734,2+CN$2)&lt;&gt;"",INDEX('×入力'!$A$1:$L$1300,735+CN$3,1)&lt;&gt;""),1,0),0)</f>
        <v/>
      </c>
      <c r="CO36">
        <f>IF(CO$4=1,IF(OR(INDEX('×入力'!$A$1:$L$1300,735+CO$3,2+CO$2)&lt;&gt;"",INDEX('×入力'!$A$1:$L$1300,734,2+CO$2)&lt;&gt;"",INDEX('×入力'!$A$1:$L$1300,735+CO$3,1)&lt;&gt;""),1,0),0)</f>
        <v/>
      </c>
      <c r="CP36">
        <f>IF(CP$4=1,IF(OR(INDEX('×入力'!$A$1:$L$1300,735+CP$3,2+CP$2)&lt;&gt;"",INDEX('×入力'!$A$1:$L$1300,734,2+CP$2)&lt;&gt;"",INDEX('×入力'!$A$1:$L$1300,735+CP$3,1)&lt;&gt;""),1,0),0)</f>
        <v/>
      </c>
      <c r="CQ36">
        <f>IF(CQ$4=1,IF(OR(INDEX('×入力'!$A$1:$L$1300,735+CQ$3,2+CQ$2)&lt;&gt;"",INDEX('×入力'!$A$1:$L$1300,734,2+CQ$2)&lt;&gt;"",INDEX('×入力'!$A$1:$L$1300,735+CQ$3,1)&lt;&gt;""),1,0),0)</f>
        <v/>
      </c>
      <c r="CR36">
        <f>IF(CR$4=1,IF(OR(INDEX('×入力'!$A$1:$L$1300,735+CR$3,2+CR$2)&lt;&gt;"",INDEX('×入力'!$A$1:$L$1300,734,2+CR$2)&lt;&gt;"",INDEX('×入力'!$A$1:$L$1300,735+CR$3,1)&lt;&gt;""),1,0),0)</f>
        <v/>
      </c>
      <c r="CS36">
        <f>IF(CS$4=1,IF(OR(INDEX('×入力'!$A$1:$L$1300,735+CS$3,2+CS$2)&lt;&gt;"",INDEX('×入力'!$A$1:$L$1300,734,2+CS$2)&lt;&gt;"",INDEX('×入力'!$A$1:$L$1300,735+CS$3,1)&lt;&gt;""),1,0),0)</f>
        <v/>
      </c>
      <c r="CT36">
        <f>IF(CT$4=1,IF(OR(INDEX('×入力'!$A$1:$L$1300,735+CT$3,2+CT$2)&lt;&gt;"",INDEX('×入力'!$A$1:$L$1300,734,2+CT$2)&lt;&gt;"",INDEX('×入力'!$A$1:$L$1300,735+CT$3,1)&lt;&gt;""),1,0),0)</f>
        <v/>
      </c>
      <c r="CU36">
        <f>IF(CU$4=1,IF(OR(INDEX('×入力'!$A$1:$L$1300,735+CU$3,2+CU$2)&lt;&gt;"",INDEX('×入力'!$A$1:$L$1300,734,2+CU$2)&lt;&gt;"",INDEX('×入力'!$A$1:$L$1300,735+CU$3,1)&lt;&gt;""),1,0),0)</f>
        <v/>
      </c>
      <c r="CV36">
        <f>IF(CV$4=1,IF(OR(INDEX('×入力'!$A$1:$L$1300,735+CV$3,2+CV$2)&lt;&gt;"",INDEX('×入力'!$A$1:$L$1300,734,2+CV$2)&lt;&gt;"",INDEX('×入力'!$A$1:$L$1300,735+CV$3,1)&lt;&gt;""),1,0),0)</f>
        <v/>
      </c>
      <c r="CW36">
        <f>IF(CW$4=1,IF(OR(INDEX('×入力'!$A$1:$L$1300,735+CW$3,2+CW$2)&lt;&gt;"",INDEX('×入力'!$A$1:$L$1300,734,2+CW$2)&lt;&gt;"",INDEX('×入力'!$A$1:$L$1300,735+CW$3,1)&lt;&gt;""),1,0),0)</f>
        <v/>
      </c>
      <c r="CX36">
        <f>IF(CX$4=1,IF(OR(INDEX('×入力'!$A$1:$L$1300,735+CX$3,2+CX$2)&lt;&gt;"",INDEX('×入力'!$A$1:$L$1300,734,2+CX$2)&lt;&gt;"",INDEX('×入力'!$A$1:$L$1300,735+CX$3,1)&lt;&gt;""),1,0),0)</f>
        <v/>
      </c>
      <c r="CY36">
        <f>IF(CY$4=1,IF(OR(INDEX('×入力'!$A$1:$L$1300,735+CY$3,2+CY$2)&lt;&gt;"",INDEX('×入力'!$A$1:$L$1300,734,2+CY$2)&lt;&gt;"",INDEX('×入力'!$A$1:$L$1300,735+CY$3,1)&lt;&gt;""),1,0),0)</f>
        <v/>
      </c>
      <c r="CZ36">
        <f>IF(CZ$4=1,IF(OR(INDEX('×入力'!$A$1:$L$1300,735+CZ$3,2+CZ$2)&lt;&gt;"",INDEX('×入力'!$A$1:$L$1300,734,2+CZ$2)&lt;&gt;"",INDEX('×入力'!$A$1:$L$1300,735+CZ$3,1)&lt;&gt;""),1,0),0)</f>
        <v/>
      </c>
      <c r="DA36">
        <f>IF(DA$4=1,IF(OR(INDEX('×入力'!$A$1:$L$1300,735+DA$3,2+DA$2)&lt;&gt;"",INDEX('×入力'!$A$1:$L$1300,734,2+DA$2)&lt;&gt;"",INDEX('×入力'!$A$1:$L$1300,735+DA$3,1)&lt;&gt;""),1,0),0)</f>
        <v/>
      </c>
      <c r="DB36">
        <f>IF(DB$4=1,IF(OR(INDEX('×入力'!$A$1:$L$1300,735+DB$3,2+DB$2)&lt;&gt;"",INDEX('×入力'!$A$1:$L$1300,734,2+DB$2)&lt;&gt;"",INDEX('×入力'!$A$1:$L$1300,735+DB$3,1)&lt;&gt;""),1,0),0)</f>
        <v/>
      </c>
      <c r="DC36">
        <f>IF(DC$4=1,IF(OR(INDEX('×入力'!$A$1:$L$1300,735+DC$3,2+DC$2)&lt;&gt;"",INDEX('×入力'!$A$1:$L$1300,734,2+DC$2)&lt;&gt;"",INDEX('×入力'!$A$1:$L$1300,735+DC$3,1)&lt;&gt;""),1,0),0)</f>
        <v/>
      </c>
      <c r="DD36">
        <f>IF(DD$4=1,IF(OR(INDEX('×入力'!$A$1:$L$1300,735+DD$3,2+DD$2)&lt;&gt;"",INDEX('×入力'!$A$1:$L$1300,734,2+DD$2)&lt;&gt;"",INDEX('×入力'!$A$1:$L$1300,735+DD$3,1)&lt;&gt;""),1,0),0)</f>
        <v/>
      </c>
      <c r="DE36">
        <f>IF(DE$4=1,IF(OR(INDEX('×入力'!$A$1:$L$1300,735+DE$3,2+DE$2)&lt;&gt;"",INDEX('×入力'!$A$1:$L$1300,734,2+DE$2)&lt;&gt;"",INDEX('×入力'!$A$1:$L$1300,735+DE$3,1)&lt;&gt;""),1,0),0)</f>
        <v/>
      </c>
      <c r="DF36">
        <f>IF(DF$4=1,IF(OR(INDEX('×入力'!$A$1:$L$1300,735+DF$3,2+DF$2)&lt;&gt;"",INDEX('×入力'!$A$1:$L$1300,734,2+DF$2)&lt;&gt;"",INDEX('×入力'!$A$1:$L$1300,735+DF$3,1)&lt;&gt;""),1,0),0)</f>
        <v/>
      </c>
      <c r="DG36">
        <f>IF(DG$4=1,IF(OR(INDEX('×入力'!$A$1:$L$1300,735+DG$3,2+DG$2)&lt;&gt;"",INDEX('×入力'!$A$1:$L$1300,734,2+DG$2)&lt;&gt;"",INDEX('×入力'!$A$1:$L$1300,735+DG$3,1)&lt;&gt;""),1,0),0)</f>
        <v/>
      </c>
      <c r="DH36">
        <f>IF(DH$4=1,IF(OR(INDEX('×入力'!$A$1:$L$1300,735+DH$3,2+DH$2)&lt;&gt;"",INDEX('×入力'!$A$1:$L$1300,734,2+DH$2)&lt;&gt;"",INDEX('×入力'!$A$1:$L$1300,735+DH$3,1)&lt;&gt;""),1,0),0)</f>
        <v/>
      </c>
      <c r="DI36">
        <f>IF(DI$4=1,IF(OR(INDEX('×入力'!$A$1:$L$1300,735+DI$3,2+DI$2)&lt;&gt;"",INDEX('×入力'!$A$1:$L$1300,734,2+DI$2)&lt;&gt;"",INDEX('×入力'!$A$1:$L$1300,735+DI$3,1)&lt;&gt;""),1,0),0)</f>
        <v/>
      </c>
      <c r="DJ36">
        <f>IF(DJ$4=1,IF(OR(INDEX('×入力'!$A$1:$L$1300,735+DJ$3,2+DJ$2)&lt;&gt;"",INDEX('×入力'!$A$1:$L$1300,734,2+DJ$2)&lt;&gt;"",INDEX('×入力'!$A$1:$L$1300,735+DJ$3,1)&lt;&gt;""),1,0),0)</f>
        <v/>
      </c>
      <c r="DK36">
        <f>IF(DK$4=1,IF(OR(INDEX('×入力'!$A$1:$L$1300,735+DK$3,2+DK$2)&lt;&gt;"",INDEX('×入力'!$A$1:$L$1300,734,2+DK$2)&lt;&gt;"",INDEX('×入力'!$A$1:$L$1300,735+DK$3,1)&lt;&gt;""),1,0),0)</f>
        <v/>
      </c>
      <c r="DL36">
        <f>IF(DL$4=1,IF(OR(INDEX('×入力'!$A$1:$L$1300,735+DL$3,2+DL$2)&lt;&gt;"",INDEX('×入力'!$A$1:$L$1300,734,2+DL$2)&lt;&gt;"",INDEX('×入力'!$A$1:$L$1300,735+DL$3,1)&lt;&gt;""),1,0),0)</f>
        <v/>
      </c>
      <c r="DM36">
        <f>IF(DM$4=1,IF(OR(INDEX('×入力'!$A$1:$L$1300,735+DM$3,2+DM$2)&lt;&gt;"",INDEX('×入力'!$A$1:$L$1300,734,2+DM$2)&lt;&gt;"",INDEX('×入力'!$A$1:$L$1300,735+DM$3,1)&lt;&gt;""),1,0),0)</f>
        <v/>
      </c>
      <c r="DN36">
        <f>IF(DN$4=1,IF(OR(INDEX('×入力'!$A$1:$L$1300,735+DN$3,2+DN$2)&lt;&gt;"",INDEX('×入力'!$A$1:$L$1300,734,2+DN$2)&lt;&gt;"",INDEX('×入力'!$A$1:$L$1300,735+DN$3,1)&lt;&gt;""),1,0),0)</f>
        <v/>
      </c>
      <c r="DO36">
        <f>IF(DO$4=1,IF(OR(INDEX('×入力'!$A$1:$L$1300,735+DO$3,2+DO$2)&lt;&gt;"",INDEX('×入力'!$A$1:$L$1300,734,2+DO$2)&lt;&gt;"",INDEX('×入力'!$A$1:$L$1300,735+DO$3,1)&lt;&gt;""),1,0),0)</f>
        <v/>
      </c>
      <c r="DP36">
        <f>IF(DP$4=1,IF(OR(INDEX('×入力'!$A$1:$L$1300,735+DP$3,2+DP$2)&lt;&gt;"",INDEX('×入力'!$A$1:$L$1300,734,2+DP$2)&lt;&gt;"",INDEX('×入力'!$A$1:$L$1300,735+DP$3,1)&lt;&gt;""),1,0),0)</f>
        <v/>
      </c>
      <c r="DQ36">
        <f>IF(DQ$4=1,IF(OR(INDEX('×入力'!$A$1:$L$1300,735+DQ$3,2+DQ$2)&lt;&gt;"",INDEX('×入力'!$A$1:$L$1300,734,2+DQ$2)&lt;&gt;"",INDEX('×入力'!$A$1:$L$1300,735+DQ$3,1)&lt;&gt;""),1,0),0)</f>
        <v/>
      </c>
      <c r="DR36">
        <f>IF(DR$4=1,IF(OR(INDEX('×入力'!$A$1:$L$1300,735+DR$3,2+DR$2)&lt;&gt;"",INDEX('×入力'!$A$1:$L$1300,734,2+DR$2)&lt;&gt;"",INDEX('×入力'!$A$1:$L$1300,735+DR$3,1)&lt;&gt;""),1,0),0)</f>
        <v/>
      </c>
      <c r="DS36">
        <f>IF(DS$4=1,IF(OR(INDEX('×入力'!$A$1:$L$1300,735+DS$3,2+DS$2)&lt;&gt;"",INDEX('×入力'!$A$1:$L$1300,734,2+DS$2)&lt;&gt;"",INDEX('×入力'!$A$1:$L$1300,735+DS$3,1)&lt;&gt;""),1,0),0)</f>
        <v/>
      </c>
      <c r="DT36">
        <f>IF(DT$4=1,IF(OR(INDEX('×入力'!$A$1:$L$1300,735+DT$3,2+DT$2)&lt;&gt;"",INDEX('×入力'!$A$1:$L$1300,734,2+DT$2)&lt;&gt;"",INDEX('×入力'!$A$1:$L$1300,735+DT$3,1)&lt;&gt;""),1,0),0)</f>
        <v/>
      </c>
      <c r="DU36">
        <f>IF(DU$4=1,IF(OR(INDEX('×入力'!$A$1:$L$1300,735+DU$3,2+DU$2)&lt;&gt;"",INDEX('×入力'!$A$1:$L$1300,734,2+DU$2)&lt;&gt;"",INDEX('×入力'!$A$1:$L$1300,735+DU$3,1)&lt;&gt;""),1,0),0)</f>
        <v/>
      </c>
      <c r="DV36">
        <f>IF(DV$4=1,IF(OR(INDEX('×入力'!$A$1:$L$1300,735+DV$3,2+DV$2)&lt;&gt;"",INDEX('×入力'!$A$1:$L$1300,734,2+DV$2)&lt;&gt;"",INDEX('×入力'!$A$1:$L$1300,735+DV$3,1)&lt;&gt;""),1,0),0)</f>
        <v/>
      </c>
      <c r="DW36">
        <f>IF(DW$4=1,IF(OR(INDEX('×入力'!$A$1:$L$1300,735+DW$3,2+DW$2)&lt;&gt;"",INDEX('×入力'!$A$1:$L$1300,734,2+DW$2)&lt;&gt;"",INDEX('×入力'!$A$1:$L$1300,735+DW$3,1)&lt;&gt;""),1,0),0)</f>
        <v/>
      </c>
      <c r="DX36">
        <f>IF(DX$4=1,IF(OR(INDEX('×入力'!$A$1:$L$1300,735+DX$3,2+DX$2)&lt;&gt;"",INDEX('×入力'!$A$1:$L$1300,734,2+DX$2)&lt;&gt;"",INDEX('×入力'!$A$1:$L$1300,735+DX$3,1)&lt;&gt;""),1,0),0)</f>
        <v/>
      </c>
      <c r="DY36">
        <f>IF(DY$4=1,IF(OR(INDEX('×入力'!$A$1:$L$1300,735+DY$3,2+DY$2)&lt;&gt;"",INDEX('×入力'!$A$1:$L$1300,734,2+DY$2)&lt;&gt;"",INDEX('×入力'!$A$1:$L$1300,735+DY$3,1)&lt;&gt;""),1,0),0)</f>
        <v/>
      </c>
      <c r="DZ36">
        <f>IF(DZ$4=1,IF(OR(INDEX('×入力'!$A$1:$L$1300,735+DZ$3,2+DZ$2)&lt;&gt;"",INDEX('×入力'!$A$1:$L$1300,734,2+DZ$2)&lt;&gt;"",INDEX('×入力'!$A$1:$L$1300,735+DZ$3,1)&lt;&gt;""),1,0),0)</f>
        <v/>
      </c>
      <c r="EA36">
        <f>IF(EA$4=1,IF(OR(INDEX('×入力'!$A$1:$L$1300,735+EA$3,2+EA$2)&lt;&gt;"",INDEX('×入力'!$A$1:$L$1300,734,2+EA$2)&lt;&gt;"",INDEX('×入力'!$A$1:$L$1300,735+EA$3,1)&lt;&gt;""),1,0),0)</f>
        <v/>
      </c>
      <c r="EB36">
        <f>IF(EB$4=1,IF(OR(INDEX('×入力'!$A$1:$L$1300,735+EB$3,2+EB$2)&lt;&gt;"",INDEX('×入力'!$A$1:$L$1300,734,2+EB$2)&lt;&gt;"",INDEX('×入力'!$A$1:$L$1300,735+EB$3,1)&lt;&gt;""),1,0),0)</f>
        <v/>
      </c>
      <c r="EC36">
        <f>IF(EC$4=1,IF(OR(INDEX('×入力'!$A$1:$L$1300,735+EC$3,2+EC$2)&lt;&gt;"",INDEX('×入力'!$A$1:$L$1300,734,2+EC$2)&lt;&gt;"",INDEX('×入力'!$A$1:$L$1300,735+EC$3,1)&lt;&gt;""),1,0),0)</f>
        <v/>
      </c>
      <c r="ED36">
        <f>IF(ED$4=1,IF(OR(INDEX('×入力'!$A$1:$L$1300,735+ED$3,2+ED$2)&lt;&gt;"",INDEX('×入力'!$A$1:$L$1300,734,2+ED$2)&lt;&gt;"",INDEX('×入力'!$A$1:$L$1300,735+ED$3,1)&lt;&gt;""),1,0),0)</f>
        <v/>
      </c>
      <c r="EE36">
        <f>IF(EE$4=1,IF(OR(INDEX('×入力'!$A$1:$L$1300,735+EE$3,2+EE$2)&lt;&gt;"",INDEX('×入力'!$A$1:$L$1300,734,2+EE$2)&lt;&gt;"",INDEX('×入力'!$A$1:$L$1300,735+EE$3,1)&lt;&gt;""),1,0),0)</f>
        <v/>
      </c>
      <c r="EF36">
        <f>IF(EF$4=1,IF(OR(INDEX('×入力'!$A$1:$L$1300,735+EF$3,2+EF$2)&lt;&gt;"",INDEX('×入力'!$A$1:$L$1300,734,2+EF$2)&lt;&gt;"",INDEX('×入力'!$A$1:$L$1300,735+EF$3,1)&lt;&gt;""),1,0),0)</f>
        <v/>
      </c>
      <c r="EG36">
        <f>IF(EG$4=1,IF(OR(INDEX('×入力'!$A$1:$L$1300,735+EG$3,2+EG$2)&lt;&gt;"",INDEX('×入力'!$A$1:$L$1300,734,2+EG$2)&lt;&gt;"",INDEX('×入力'!$A$1:$L$1300,735+EG$3,1)&lt;&gt;""),1,0),0)</f>
        <v/>
      </c>
      <c r="EH36">
        <f>IF(EH$4=1,IF(OR(INDEX('×入力'!$A$1:$L$1300,735+EH$3,2+EH$2)&lt;&gt;"",INDEX('×入力'!$A$1:$L$1300,734,2+EH$2)&lt;&gt;"",INDEX('×入力'!$A$1:$L$1300,735+EH$3,1)&lt;&gt;""),1,0),0)</f>
        <v/>
      </c>
      <c r="EI36">
        <f>IF(EI$4=1,IF(OR(INDEX('×入力'!$A$1:$L$1300,735+EI$3,2+EI$2)&lt;&gt;"",INDEX('×入力'!$A$1:$L$1300,734,2+EI$2)&lt;&gt;"",INDEX('×入力'!$A$1:$L$1300,735+EI$3,1)&lt;&gt;""),1,0),0)</f>
        <v/>
      </c>
      <c r="EJ36">
        <f>IF(EJ$4=1,IF(OR(INDEX('×入力'!$A$1:$L$1300,735+EJ$3,2+EJ$2)&lt;&gt;"",INDEX('×入力'!$A$1:$L$1300,734,2+EJ$2)&lt;&gt;"",INDEX('×入力'!$A$1:$L$1300,735+EJ$3,1)&lt;&gt;""),1,0),0)</f>
        <v/>
      </c>
      <c r="EK36">
        <f>IF(EK$4=1,IF(OR(INDEX('×入力'!$A$1:$L$1300,735+EK$3,2+EK$2)&lt;&gt;"",INDEX('×入力'!$A$1:$L$1300,734,2+EK$2)&lt;&gt;"",INDEX('×入力'!$A$1:$L$1300,735+EK$3,1)&lt;&gt;""),1,0),0)</f>
        <v/>
      </c>
      <c r="EL36">
        <f>IF(EL$4=1,IF(OR(INDEX('×入力'!$A$1:$L$1300,735+EL$3,2+EL$2)&lt;&gt;"",INDEX('×入力'!$A$1:$L$1300,734,2+EL$2)&lt;&gt;"",INDEX('×入力'!$A$1:$L$1300,735+EL$3,1)&lt;&gt;""),1,0),0)</f>
        <v/>
      </c>
      <c r="EM36">
        <f>IF(EM$4=1,IF(OR(INDEX('×入力'!$A$1:$L$1300,735+EM$3,2+EM$2)&lt;&gt;"",INDEX('×入力'!$A$1:$L$1300,734,2+EM$2)&lt;&gt;"",INDEX('×入力'!$A$1:$L$1300,735+EM$3,1)&lt;&gt;""),1,0),0)</f>
        <v/>
      </c>
      <c r="EN36">
        <f>IF(EN$4=1,IF(OR(INDEX('×入力'!$A$1:$L$1300,735+EN$3,2+EN$2)&lt;&gt;"",INDEX('×入力'!$A$1:$L$1300,734,2+EN$2)&lt;&gt;"",INDEX('×入力'!$A$1:$L$1300,735+EN$3,1)&lt;&gt;""),1,0),0)</f>
        <v/>
      </c>
      <c r="EO36">
        <f>IF(EO$4=1,IF(OR(INDEX('×入力'!$A$1:$L$1300,735+EO$3,2+EO$2)&lt;&gt;"",INDEX('×入力'!$A$1:$L$1300,734,2+EO$2)&lt;&gt;"",INDEX('×入力'!$A$1:$L$1300,735+EO$3,1)&lt;&gt;""),1,0),0)</f>
        <v/>
      </c>
      <c r="EP36">
        <f>IF(EP$4=1,IF(OR(INDEX('×入力'!$A$1:$L$1300,735+EP$3,2+EP$2)&lt;&gt;"",INDEX('×入力'!$A$1:$L$1300,734,2+EP$2)&lt;&gt;"",INDEX('×入力'!$A$1:$L$1300,735+EP$3,1)&lt;&gt;""),1,0),0)</f>
        <v/>
      </c>
      <c r="EQ36">
        <f>IF(EQ$4=1,IF(OR(INDEX('×入力'!$A$1:$L$1300,735+EQ$3,2+EQ$2)&lt;&gt;"",INDEX('×入力'!$A$1:$L$1300,734,2+EQ$2)&lt;&gt;"",INDEX('×入力'!$A$1:$L$1300,735+EQ$3,1)&lt;&gt;""),1,0),0)</f>
        <v/>
      </c>
      <c r="HA36">
        <f>MAX(0,IT36)</f>
        <v/>
      </c>
      <c r="HB36">
        <f>IF(HA36=0,0,INDEX($D$2:$EQ$2,HA36))</f>
        <v/>
      </c>
      <c r="HC36">
        <f>IF(HA36=0,0,INDEX($D$3:$EQ$3,HA36))</f>
        <v/>
      </c>
      <c r="HD36">
        <f>MAX(0,IY36)</f>
        <v/>
      </c>
      <c r="HE36">
        <f>IF(HD36=0,0,INDEX($D$2:$EQ$2,HD36))</f>
        <v/>
      </c>
      <c r="HF36">
        <f>IF(HD36=0,0,INDEX($D$3:$EQ$3,HD36))</f>
        <v/>
      </c>
      <c r="HG36">
        <f>MAX(0,IZ36)</f>
        <v/>
      </c>
      <c r="HH36">
        <f>IF(HG36=0,0,INDEX($D$2:$EQ$2,HG36))</f>
        <v/>
      </c>
      <c r="HI36">
        <f>IF(HG36=0,0,INDEX($D$3:$EQ$3,HG36))</f>
        <v/>
      </c>
      <c r="HJ36">
        <f>IF(AND(HA36&gt;0,HC36&gt;1,OR(HC36-1&lt;&gt;$A$3,$A$4=0)),HA36-1,-1)</f>
        <v/>
      </c>
      <c r="HK36">
        <f>IF(AND(HA36&gt;0,HC36&lt;24,OR(HC36&lt;&gt;$A$3,$A$4=0)),HA36+1,-1)</f>
        <v/>
      </c>
      <c r="HL36">
        <f>IF(AND(HD36&gt;0,HF36&gt;1,OR(HF36-1&lt;&gt;$A$3,$A$4=0)),HD36-1,-1)</f>
        <v/>
      </c>
      <c r="HM36">
        <f>IF(AND(HD36&gt;0,HF36&lt;24,OR(HF36&lt;&gt;$A$3,$A$4=0)),HD36+1,-1)</f>
        <v/>
      </c>
      <c r="HN36">
        <f>IF(AND(HG36&gt;0,HI36&gt;1,OR(HI36-1&lt;&gt;$A$3,$A$4=0)),HG36-1,-1)</f>
        <v/>
      </c>
      <c r="HO36">
        <f>IF(AND(HG36&gt;0,HI36&lt;24,OR(HI36&lt;&gt;$A$3,$A$4=0)),HG36+1,-1)</f>
        <v/>
      </c>
      <c r="IK36">
        <f>IFERROR(INDEX('calcB'!$C$3:$C$47,MATCH(A36,'calcB'!$B$3:$B$47,0)),0)</f>
        <v/>
      </c>
      <c r="IL36">
        <f>IF(AND(C36=1,IK36=0,calcA!$A$6=1),1,0)</f>
        <v/>
      </c>
      <c r="IM36">
        <f>SUMPRODUCT(D86:EQ86*(1-$D$7:$EQ$7))</f>
        <v/>
      </c>
      <c r="IN36">
        <f>SUM(D36:EQ36)</f>
        <v/>
      </c>
      <c r="IO36">
        <f>IF(B36="",0,IF(COUNTIF('調整・決定'!$C$6:$H$29,B36)=1,SUMPRODUCT(('調整・決定'!$C$6:$H$29=B36)*((COLUMN('調整・決定'!$C$6:$H$29)-3)*24+ROW('調整・決定'!$C$6:$H$29)-5)),0))</f>
        <v/>
      </c>
      <c r="IP36">
        <f>IFERROR(MATCH('名簿'!C31,{"早い時刻","遅い時刻","早い日","遅い日"},0),0)</f>
        <v/>
      </c>
      <c r="IQ36">
        <f>IF('名簿'!D31="必ず空けたい",2,IF('名簿'!D31="出来れば空けたい",1,0))</f>
        <v/>
      </c>
      <c r="IR36">
        <f>IFERROR(INDEX('calcC'!$C$3:$C$47,MATCH(A36,'calcC'!$B$3:$B$47,0)),0)</f>
        <v/>
      </c>
      <c r="IS36">
        <f>IF(AND(C36=1,IR36=0,calcA!$A$6=1),1,0)</f>
        <v/>
      </c>
      <c r="IT36">
        <f>IF(OR('名簿'!G31="",'名簿'!H31=""),0,IFERROR((MATCH('名簿'!G31,'設定'!$E$11:$E$16,0)-1)*24+MATCH('名簿'!H31,'設定'!$I$11:$I$34,0),-1))</f>
        <v/>
      </c>
      <c r="IV36">
        <f>IF(OR(JF36=0,IO36=0),1,IF(OR(IF(IT36&gt;0,AND(INDEX($D$2:$EQ$2,IO36)=INDEX($D$2:$EQ$2,IT36),OR(AND(IO36=IT36+1,OR(INDEX($D$3:$EQ$3,IT36)&lt;&gt;$A$3,$A$4=0)),AND(IO36=IT36-1,OR(INDEX($D$3:$EQ$3,IO36)&lt;&gt;$A$3,$A$4=0)))),FALSE),IF(IY36&gt;0,AND(INDEX($D$2:$EQ$2,IO36)=INDEX($D$2:$EQ$2,IY36),OR(AND(IO36=IY36+1,OR(INDEX($D$3:$EQ$3,IY36)&lt;&gt;$A$3,$A$4=0)),AND(IO36=IY36-1,OR(INDEX($D$3:$EQ$3,IO36)&lt;&gt;$A$3,$A$4=0)))),FALSE),IF(IZ36&gt;0,AND(INDEX($D$2:$EQ$2,IO36)=INDEX($D$2:$EQ$2,IZ36),OR(AND(IO36=IZ36+1,OR(INDEX($D$3:$EQ$3,IZ36)&lt;&gt;$A$3,$A$4=0)),AND(IO36=IZ36-1,OR(INDEX($D$3:$EQ$3,IO36)&lt;&gt;$A$3,$A$4=0)))),FALSE)),1,0))</f>
        <v/>
      </c>
      <c r="IW36">
        <f>IF(AND('名簿'!E31&lt;&gt;"",JF36=0),1,0)</f>
        <v/>
      </c>
      <c r="IX36">
        <f>IF('名簿'!D31="空けない",1,0)</f>
        <v/>
      </c>
      <c r="IY36">
        <f>IF(OR('名簿'!J31="",'名簿'!K31=""),0,IFERROR((MATCH('名簿'!J31,'設定'!$E$11:$E$16,0)-1)*24+MATCH('名簿'!K31,'設定'!$I$11:$I$34,0),-1))</f>
        <v/>
      </c>
      <c r="IZ36">
        <f>IF(OR('名簿'!M31="",'名簿'!N31=""),0,IFERROR((MATCH('名簿'!M31,'設定'!$E$11:$E$16,0)-1)*24+MATCH('名簿'!N31,'設定'!$I$11:$I$34,0),-1))</f>
        <v/>
      </c>
      <c r="JC36">
        <f>IF(RIGHT('名簿'!I31,2)="の前",1,IF(RIGHT('名簿'!I31,2)="の後",2,0))</f>
        <v/>
      </c>
      <c r="JD36">
        <f>IF(RIGHT('名簿'!L31,2)="の前",1,IF(RIGHT('名簿'!L31,2)="の後",2,0))</f>
        <v/>
      </c>
      <c r="JE36">
        <f>IF(RIGHT('名簿'!O31,2)="の前",1,IF(RIGHT('名簿'!O31,2)="の後",2,0))</f>
        <v/>
      </c>
      <c r="JF36">
        <f>IF(OR(IT36&gt;0,IY36&gt;0,IZ36&gt;0),1,0)</f>
        <v/>
      </c>
      <c r="JG36">
        <f>IF(OR(IT36&lt;0,IY36&lt;0,IZ36&lt;0),1,0)</f>
        <v/>
      </c>
    </row>
    <row r="37">
      <c r="A37" t="n">
        <v>28</v>
      </c>
      <c r="B37">
        <f>'名簿'!P32</f>
        <v/>
      </c>
      <c r="C37">
        <f>IF(AND(B37&lt;&gt;"",OR('名簿'!Q32="入力済み",'名簿'!Q32="×なし"),IO37=0,COUNTIF('調整・決定'!$C$6:$H$29,B37)=0),1,0)</f>
        <v/>
      </c>
      <c r="D37">
        <f>IF(D$4=1,IF(OR(INDEX('×入力'!$A$1:$L$1300,763+D$3,2+D$2)&lt;&gt;"",INDEX('×入力'!$A$1:$L$1300,762,2+D$2)&lt;&gt;"",INDEX('×入力'!$A$1:$L$1300,763+D$3,1)&lt;&gt;""),1,0),0)</f>
        <v/>
      </c>
      <c r="E37">
        <f>IF(E$4=1,IF(OR(INDEX('×入力'!$A$1:$L$1300,763+E$3,2+E$2)&lt;&gt;"",INDEX('×入力'!$A$1:$L$1300,762,2+E$2)&lt;&gt;"",INDEX('×入力'!$A$1:$L$1300,763+E$3,1)&lt;&gt;""),1,0),0)</f>
        <v/>
      </c>
      <c r="F37">
        <f>IF(F$4=1,IF(OR(INDEX('×入力'!$A$1:$L$1300,763+F$3,2+F$2)&lt;&gt;"",INDEX('×入力'!$A$1:$L$1300,762,2+F$2)&lt;&gt;"",INDEX('×入力'!$A$1:$L$1300,763+F$3,1)&lt;&gt;""),1,0),0)</f>
        <v/>
      </c>
      <c r="G37">
        <f>IF(G$4=1,IF(OR(INDEX('×入力'!$A$1:$L$1300,763+G$3,2+G$2)&lt;&gt;"",INDEX('×入力'!$A$1:$L$1300,762,2+G$2)&lt;&gt;"",INDEX('×入力'!$A$1:$L$1300,763+G$3,1)&lt;&gt;""),1,0),0)</f>
        <v/>
      </c>
      <c r="H37">
        <f>IF(H$4=1,IF(OR(INDEX('×入力'!$A$1:$L$1300,763+H$3,2+H$2)&lt;&gt;"",INDEX('×入力'!$A$1:$L$1300,762,2+H$2)&lt;&gt;"",INDEX('×入力'!$A$1:$L$1300,763+H$3,1)&lt;&gt;""),1,0),0)</f>
        <v/>
      </c>
      <c r="I37">
        <f>IF(I$4=1,IF(OR(INDEX('×入力'!$A$1:$L$1300,763+I$3,2+I$2)&lt;&gt;"",INDEX('×入力'!$A$1:$L$1300,762,2+I$2)&lt;&gt;"",INDEX('×入力'!$A$1:$L$1300,763+I$3,1)&lt;&gt;""),1,0),0)</f>
        <v/>
      </c>
      <c r="J37">
        <f>IF(J$4=1,IF(OR(INDEX('×入力'!$A$1:$L$1300,763+J$3,2+J$2)&lt;&gt;"",INDEX('×入力'!$A$1:$L$1300,762,2+J$2)&lt;&gt;"",INDEX('×入力'!$A$1:$L$1300,763+J$3,1)&lt;&gt;""),1,0),0)</f>
        <v/>
      </c>
      <c r="K37">
        <f>IF(K$4=1,IF(OR(INDEX('×入力'!$A$1:$L$1300,763+K$3,2+K$2)&lt;&gt;"",INDEX('×入力'!$A$1:$L$1300,762,2+K$2)&lt;&gt;"",INDEX('×入力'!$A$1:$L$1300,763+K$3,1)&lt;&gt;""),1,0),0)</f>
        <v/>
      </c>
      <c r="L37">
        <f>IF(L$4=1,IF(OR(INDEX('×入力'!$A$1:$L$1300,763+L$3,2+L$2)&lt;&gt;"",INDEX('×入力'!$A$1:$L$1300,762,2+L$2)&lt;&gt;"",INDEX('×入力'!$A$1:$L$1300,763+L$3,1)&lt;&gt;""),1,0),0)</f>
        <v/>
      </c>
      <c r="M37">
        <f>IF(M$4=1,IF(OR(INDEX('×入力'!$A$1:$L$1300,763+M$3,2+M$2)&lt;&gt;"",INDEX('×入力'!$A$1:$L$1300,762,2+M$2)&lt;&gt;"",INDEX('×入力'!$A$1:$L$1300,763+M$3,1)&lt;&gt;""),1,0),0)</f>
        <v/>
      </c>
      <c r="N37">
        <f>IF(N$4=1,IF(OR(INDEX('×入力'!$A$1:$L$1300,763+N$3,2+N$2)&lt;&gt;"",INDEX('×入力'!$A$1:$L$1300,762,2+N$2)&lt;&gt;"",INDEX('×入力'!$A$1:$L$1300,763+N$3,1)&lt;&gt;""),1,0),0)</f>
        <v/>
      </c>
      <c r="O37">
        <f>IF(O$4=1,IF(OR(INDEX('×入力'!$A$1:$L$1300,763+O$3,2+O$2)&lt;&gt;"",INDEX('×入力'!$A$1:$L$1300,762,2+O$2)&lt;&gt;"",INDEX('×入力'!$A$1:$L$1300,763+O$3,1)&lt;&gt;""),1,0),0)</f>
        <v/>
      </c>
      <c r="P37">
        <f>IF(P$4=1,IF(OR(INDEX('×入力'!$A$1:$L$1300,763+P$3,2+P$2)&lt;&gt;"",INDEX('×入力'!$A$1:$L$1300,762,2+P$2)&lt;&gt;"",INDEX('×入力'!$A$1:$L$1300,763+P$3,1)&lt;&gt;""),1,0),0)</f>
        <v/>
      </c>
      <c r="Q37">
        <f>IF(Q$4=1,IF(OR(INDEX('×入力'!$A$1:$L$1300,763+Q$3,2+Q$2)&lt;&gt;"",INDEX('×入力'!$A$1:$L$1300,762,2+Q$2)&lt;&gt;"",INDEX('×入力'!$A$1:$L$1300,763+Q$3,1)&lt;&gt;""),1,0),0)</f>
        <v/>
      </c>
      <c r="R37">
        <f>IF(R$4=1,IF(OR(INDEX('×入力'!$A$1:$L$1300,763+R$3,2+R$2)&lt;&gt;"",INDEX('×入力'!$A$1:$L$1300,762,2+R$2)&lt;&gt;"",INDEX('×入力'!$A$1:$L$1300,763+R$3,1)&lt;&gt;""),1,0),0)</f>
        <v/>
      </c>
      <c r="S37">
        <f>IF(S$4=1,IF(OR(INDEX('×入力'!$A$1:$L$1300,763+S$3,2+S$2)&lt;&gt;"",INDEX('×入力'!$A$1:$L$1300,762,2+S$2)&lt;&gt;"",INDEX('×入力'!$A$1:$L$1300,763+S$3,1)&lt;&gt;""),1,0),0)</f>
        <v/>
      </c>
      <c r="T37">
        <f>IF(T$4=1,IF(OR(INDEX('×入力'!$A$1:$L$1300,763+T$3,2+T$2)&lt;&gt;"",INDEX('×入力'!$A$1:$L$1300,762,2+T$2)&lt;&gt;"",INDEX('×入力'!$A$1:$L$1300,763+T$3,1)&lt;&gt;""),1,0),0)</f>
        <v/>
      </c>
      <c r="U37">
        <f>IF(U$4=1,IF(OR(INDEX('×入力'!$A$1:$L$1300,763+U$3,2+U$2)&lt;&gt;"",INDEX('×入力'!$A$1:$L$1300,762,2+U$2)&lt;&gt;"",INDEX('×入力'!$A$1:$L$1300,763+U$3,1)&lt;&gt;""),1,0),0)</f>
        <v/>
      </c>
      <c r="V37">
        <f>IF(V$4=1,IF(OR(INDEX('×入力'!$A$1:$L$1300,763+V$3,2+V$2)&lt;&gt;"",INDEX('×入力'!$A$1:$L$1300,762,2+V$2)&lt;&gt;"",INDEX('×入力'!$A$1:$L$1300,763+V$3,1)&lt;&gt;""),1,0),0)</f>
        <v/>
      </c>
      <c r="W37">
        <f>IF(W$4=1,IF(OR(INDEX('×入力'!$A$1:$L$1300,763+W$3,2+W$2)&lt;&gt;"",INDEX('×入力'!$A$1:$L$1300,762,2+W$2)&lt;&gt;"",INDEX('×入力'!$A$1:$L$1300,763+W$3,1)&lt;&gt;""),1,0),0)</f>
        <v/>
      </c>
      <c r="X37">
        <f>IF(X$4=1,IF(OR(INDEX('×入力'!$A$1:$L$1300,763+X$3,2+X$2)&lt;&gt;"",INDEX('×入力'!$A$1:$L$1300,762,2+X$2)&lt;&gt;"",INDEX('×入力'!$A$1:$L$1300,763+X$3,1)&lt;&gt;""),1,0),0)</f>
        <v/>
      </c>
      <c r="Y37">
        <f>IF(Y$4=1,IF(OR(INDEX('×入力'!$A$1:$L$1300,763+Y$3,2+Y$2)&lt;&gt;"",INDEX('×入力'!$A$1:$L$1300,762,2+Y$2)&lt;&gt;"",INDEX('×入力'!$A$1:$L$1300,763+Y$3,1)&lt;&gt;""),1,0),0)</f>
        <v/>
      </c>
      <c r="Z37">
        <f>IF(Z$4=1,IF(OR(INDEX('×入力'!$A$1:$L$1300,763+Z$3,2+Z$2)&lt;&gt;"",INDEX('×入力'!$A$1:$L$1300,762,2+Z$2)&lt;&gt;"",INDEX('×入力'!$A$1:$L$1300,763+Z$3,1)&lt;&gt;""),1,0),0)</f>
        <v/>
      </c>
      <c r="AA37">
        <f>IF(AA$4=1,IF(OR(INDEX('×入力'!$A$1:$L$1300,763+AA$3,2+AA$2)&lt;&gt;"",INDEX('×入力'!$A$1:$L$1300,762,2+AA$2)&lt;&gt;"",INDEX('×入力'!$A$1:$L$1300,763+AA$3,1)&lt;&gt;""),1,0),0)</f>
        <v/>
      </c>
      <c r="AB37">
        <f>IF(AB$4=1,IF(OR(INDEX('×入力'!$A$1:$L$1300,763+AB$3,2+AB$2)&lt;&gt;"",INDEX('×入力'!$A$1:$L$1300,762,2+AB$2)&lt;&gt;"",INDEX('×入力'!$A$1:$L$1300,763+AB$3,1)&lt;&gt;""),1,0),0)</f>
        <v/>
      </c>
      <c r="AC37">
        <f>IF(AC$4=1,IF(OR(INDEX('×入力'!$A$1:$L$1300,763+AC$3,2+AC$2)&lt;&gt;"",INDEX('×入力'!$A$1:$L$1300,762,2+AC$2)&lt;&gt;"",INDEX('×入力'!$A$1:$L$1300,763+AC$3,1)&lt;&gt;""),1,0),0)</f>
        <v/>
      </c>
      <c r="AD37">
        <f>IF(AD$4=1,IF(OR(INDEX('×入力'!$A$1:$L$1300,763+AD$3,2+AD$2)&lt;&gt;"",INDEX('×入力'!$A$1:$L$1300,762,2+AD$2)&lt;&gt;"",INDEX('×入力'!$A$1:$L$1300,763+AD$3,1)&lt;&gt;""),1,0),0)</f>
        <v/>
      </c>
      <c r="AE37">
        <f>IF(AE$4=1,IF(OR(INDEX('×入力'!$A$1:$L$1300,763+AE$3,2+AE$2)&lt;&gt;"",INDEX('×入力'!$A$1:$L$1300,762,2+AE$2)&lt;&gt;"",INDEX('×入力'!$A$1:$L$1300,763+AE$3,1)&lt;&gt;""),1,0),0)</f>
        <v/>
      </c>
      <c r="AF37">
        <f>IF(AF$4=1,IF(OR(INDEX('×入力'!$A$1:$L$1300,763+AF$3,2+AF$2)&lt;&gt;"",INDEX('×入力'!$A$1:$L$1300,762,2+AF$2)&lt;&gt;"",INDEX('×入力'!$A$1:$L$1300,763+AF$3,1)&lt;&gt;""),1,0),0)</f>
        <v/>
      </c>
      <c r="AG37">
        <f>IF(AG$4=1,IF(OR(INDEX('×入力'!$A$1:$L$1300,763+AG$3,2+AG$2)&lt;&gt;"",INDEX('×入力'!$A$1:$L$1300,762,2+AG$2)&lt;&gt;"",INDEX('×入力'!$A$1:$L$1300,763+AG$3,1)&lt;&gt;""),1,0),0)</f>
        <v/>
      </c>
      <c r="AH37">
        <f>IF(AH$4=1,IF(OR(INDEX('×入力'!$A$1:$L$1300,763+AH$3,2+AH$2)&lt;&gt;"",INDEX('×入力'!$A$1:$L$1300,762,2+AH$2)&lt;&gt;"",INDEX('×入力'!$A$1:$L$1300,763+AH$3,1)&lt;&gt;""),1,0),0)</f>
        <v/>
      </c>
      <c r="AI37">
        <f>IF(AI$4=1,IF(OR(INDEX('×入力'!$A$1:$L$1300,763+AI$3,2+AI$2)&lt;&gt;"",INDEX('×入力'!$A$1:$L$1300,762,2+AI$2)&lt;&gt;"",INDEX('×入力'!$A$1:$L$1300,763+AI$3,1)&lt;&gt;""),1,0),0)</f>
        <v/>
      </c>
      <c r="AJ37">
        <f>IF(AJ$4=1,IF(OR(INDEX('×入力'!$A$1:$L$1300,763+AJ$3,2+AJ$2)&lt;&gt;"",INDEX('×入力'!$A$1:$L$1300,762,2+AJ$2)&lt;&gt;"",INDEX('×入力'!$A$1:$L$1300,763+AJ$3,1)&lt;&gt;""),1,0),0)</f>
        <v/>
      </c>
      <c r="AK37">
        <f>IF(AK$4=1,IF(OR(INDEX('×入力'!$A$1:$L$1300,763+AK$3,2+AK$2)&lt;&gt;"",INDEX('×入力'!$A$1:$L$1300,762,2+AK$2)&lt;&gt;"",INDEX('×入力'!$A$1:$L$1300,763+AK$3,1)&lt;&gt;""),1,0),0)</f>
        <v/>
      </c>
      <c r="AL37">
        <f>IF(AL$4=1,IF(OR(INDEX('×入力'!$A$1:$L$1300,763+AL$3,2+AL$2)&lt;&gt;"",INDEX('×入力'!$A$1:$L$1300,762,2+AL$2)&lt;&gt;"",INDEX('×入力'!$A$1:$L$1300,763+AL$3,1)&lt;&gt;""),1,0),0)</f>
        <v/>
      </c>
      <c r="AM37">
        <f>IF(AM$4=1,IF(OR(INDEX('×入力'!$A$1:$L$1300,763+AM$3,2+AM$2)&lt;&gt;"",INDEX('×入力'!$A$1:$L$1300,762,2+AM$2)&lt;&gt;"",INDEX('×入力'!$A$1:$L$1300,763+AM$3,1)&lt;&gt;""),1,0),0)</f>
        <v/>
      </c>
      <c r="AN37">
        <f>IF(AN$4=1,IF(OR(INDEX('×入力'!$A$1:$L$1300,763+AN$3,2+AN$2)&lt;&gt;"",INDEX('×入力'!$A$1:$L$1300,762,2+AN$2)&lt;&gt;"",INDEX('×入力'!$A$1:$L$1300,763+AN$3,1)&lt;&gt;""),1,0),0)</f>
        <v/>
      </c>
      <c r="AO37">
        <f>IF(AO$4=1,IF(OR(INDEX('×入力'!$A$1:$L$1300,763+AO$3,2+AO$2)&lt;&gt;"",INDEX('×入力'!$A$1:$L$1300,762,2+AO$2)&lt;&gt;"",INDEX('×入力'!$A$1:$L$1300,763+AO$3,1)&lt;&gt;""),1,0),0)</f>
        <v/>
      </c>
      <c r="AP37">
        <f>IF(AP$4=1,IF(OR(INDEX('×入力'!$A$1:$L$1300,763+AP$3,2+AP$2)&lt;&gt;"",INDEX('×入力'!$A$1:$L$1300,762,2+AP$2)&lt;&gt;"",INDEX('×入力'!$A$1:$L$1300,763+AP$3,1)&lt;&gt;""),1,0),0)</f>
        <v/>
      </c>
      <c r="AQ37">
        <f>IF(AQ$4=1,IF(OR(INDEX('×入力'!$A$1:$L$1300,763+AQ$3,2+AQ$2)&lt;&gt;"",INDEX('×入力'!$A$1:$L$1300,762,2+AQ$2)&lt;&gt;"",INDEX('×入力'!$A$1:$L$1300,763+AQ$3,1)&lt;&gt;""),1,0),0)</f>
        <v/>
      </c>
      <c r="AR37">
        <f>IF(AR$4=1,IF(OR(INDEX('×入力'!$A$1:$L$1300,763+AR$3,2+AR$2)&lt;&gt;"",INDEX('×入力'!$A$1:$L$1300,762,2+AR$2)&lt;&gt;"",INDEX('×入力'!$A$1:$L$1300,763+AR$3,1)&lt;&gt;""),1,0),0)</f>
        <v/>
      </c>
      <c r="AS37">
        <f>IF(AS$4=1,IF(OR(INDEX('×入力'!$A$1:$L$1300,763+AS$3,2+AS$2)&lt;&gt;"",INDEX('×入力'!$A$1:$L$1300,762,2+AS$2)&lt;&gt;"",INDEX('×入力'!$A$1:$L$1300,763+AS$3,1)&lt;&gt;""),1,0),0)</f>
        <v/>
      </c>
      <c r="AT37">
        <f>IF(AT$4=1,IF(OR(INDEX('×入力'!$A$1:$L$1300,763+AT$3,2+AT$2)&lt;&gt;"",INDEX('×入力'!$A$1:$L$1300,762,2+AT$2)&lt;&gt;"",INDEX('×入力'!$A$1:$L$1300,763+AT$3,1)&lt;&gt;""),1,0),0)</f>
        <v/>
      </c>
      <c r="AU37">
        <f>IF(AU$4=1,IF(OR(INDEX('×入力'!$A$1:$L$1300,763+AU$3,2+AU$2)&lt;&gt;"",INDEX('×入力'!$A$1:$L$1300,762,2+AU$2)&lt;&gt;"",INDEX('×入力'!$A$1:$L$1300,763+AU$3,1)&lt;&gt;""),1,0),0)</f>
        <v/>
      </c>
      <c r="AV37">
        <f>IF(AV$4=1,IF(OR(INDEX('×入力'!$A$1:$L$1300,763+AV$3,2+AV$2)&lt;&gt;"",INDEX('×入力'!$A$1:$L$1300,762,2+AV$2)&lt;&gt;"",INDEX('×入力'!$A$1:$L$1300,763+AV$3,1)&lt;&gt;""),1,0),0)</f>
        <v/>
      </c>
      <c r="AW37">
        <f>IF(AW$4=1,IF(OR(INDEX('×入力'!$A$1:$L$1300,763+AW$3,2+AW$2)&lt;&gt;"",INDEX('×入力'!$A$1:$L$1300,762,2+AW$2)&lt;&gt;"",INDEX('×入力'!$A$1:$L$1300,763+AW$3,1)&lt;&gt;""),1,0),0)</f>
        <v/>
      </c>
      <c r="AX37">
        <f>IF(AX$4=1,IF(OR(INDEX('×入力'!$A$1:$L$1300,763+AX$3,2+AX$2)&lt;&gt;"",INDEX('×入力'!$A$1:$L$1300,762,2+AX$2)&lt;&gt;"",INDEX('×入力'!$A$1:$L$1300,763+AX$3,1)&lt;&gt;""),1,0),0)</f>
        <v/>
      </c>
      <c r="AY37">
        <f>IF(AY$4=1,IF(OR(INDEX('×入力'!$A$1:$L$1300,763+AY$3,2+AY$2)&lt;&gt;"",INDEX('×入力'!$A$1:$L$1300,762,2+AY$2)&lt;&gt;"",INDEX('×入力'!$A$1:$L$1300,763+AY$3,1)&lt;&gt;""),1,0),0)</f>
        <v/>
      </c>
      <c r="AZ37">
        <f>IF(AZ$4=1,IF(OR(INDEX('×入力'!$A$1:$L$1300,763+AZ$3,2+AZ$2)&lt;&gt;"",INDEX('×入力'!$A$1:$L$1300,762,2+AZ$2)&lt;&gt;"",INDEX('×入力'!$A$1:$L$1300,763+AZ$3,1)&lt;&gt;""),1,0),0)</f>
        <v/>
      </c>
      <c r="BA37">
        <f>IF(BA$4=1,IF(OR(INDEX('×入力'!$A$1:$L$1300,763+BA$3,2+BA$2)&lt;&gt;"",INDEX('×入力'!$A$1:$L$1300,762,2+BA$2)&lt;&gt;"",INDEX('×入力'!$A$1:$L$1300,763+BA$3,1)&lt;&gt;""),1,0),0)</f>
        <v/>
      </c>
      <c r="BB37">
        <f>IF(BB$4=1,IF(OR(INDEX('×入力'!$A$1:$L$1300,763+BB$3,2+BB$2)&lt;&gt;"",INDEX('×入力'!$A$1:$L$1300,762,2+BB$2)&lt;&gt;"",INDEX('×入力'!$A$1:$L$1300,763+BB$3,1)&lt;&gt;""),1,0),0)</f>
        <v/>
      </c>
      <c r="BC37">
        <f>IF(BC$4=1,IF(OR(INDEX('×入力'!$A$1:$L$1300,763+BC$3,2+BC$2)&lt;&gt;"",INDEX('×入力'!$A$1:$L$1300,762,2+BC$2)&lt;&gt;"",INDEX('×入力'!$A$1:$L$1300,763+BC$3,1)&lt;&gt;""),1,0),0)</f>
        <v/>
      </c>
      <c r="BD37">
        <f>IF(BD$4=1,IF(OR(INDEX('×入力'!$A$1:$L$1300,763+BD$3,2+BD$2)&lt;&gt;"",INDEX('×入力'!$A$1:$L$1300,762,2+BD$2)&lt;&gt;"",INDEX('×入力'!$A$1:$L$1300,763+BD$3,1)&lt;&gt;""),1,0),0)</f>
        <v/>
      </c>
      <c r="BE37">
        <f>IF(BE$4=1,IF(OR(INDEX('×入力'!$A$1:$L$1300,763+BE$3,2+BE$2)&lt;&gt;"",INDEX('×入力'!$A$1:$L$1300,762,2+BE$2)&lt;&gt;"",INDEX('×入力'!$A$1:$L$1300,763+BE$3,1)&lt;&gt;""),1,0),0)</f>
        <v/>
      </c>
      <c r="BF37">
        <f>IF(BF$4=1,IF(OR(INDEX('×入力'!$A$1:$L$1300,763+BF$3,2+BF$2)&lt;&gt;"",INDEX('×入力'!$A$1:$L$1300,762,2+BF$2)&lt;&gt;"",INDEX('×入力'!$A$1:$L$1300,763+BF$3,1)&lt;&gt;""),1,0),0)</f>
        <v/>
      </c>
      <c r="BG37">
        <f>IF(BG$4=1,IF(OR(INDEX('×入力'!$A$1:$L$1300,763+BG$3,2+BG$2)&lt;&gt;"",INDEX('×入力'!$A$1:$L$1300,762,2+BG$2)&lt;&gt;"",INDEX('×入力'!$A$1:$L$1300,763+BG$3,1)&lt;&gt;""),1,0),0)</f>
        <v/>
      </c>
      <c r="BH37">
        <f>IF(BH$4=1,IF(OR(INDEX('×入力'!$A$1:$L$1300,763+BH$3,2+BH$2)&lt;&gt;"",INDEX('×入力'!$A$1:$L$1300,762,2+BH$2)&lt;&gt;"",INDEX('×入力'!$A$1:$L$1300,763+BH$3,1)&lt;&gt;""),1,0),0)</f>
        <v/>
      </c>
      <c r="BI37">
        <f>IF(BI$4=1,IF(OR(INDEX('×入力'!$A$1:$L$1300,763+BI$3,2+BI$2)&lt;&gt;"",INDEX('×入力'!$A$1:$L$1300,762,2+BI$2)&lt;&gt;"",INDEX('×入力'!$A$1:$L$1300,763+BI$3,1)&lt;&gt;""),1,0),0)</f>
        <v/>
      </c>
      <c r="BJ37">
        <f>IF(BJ$4=1,IF(OR(INDEX('×入力'!$A$1:$L$1300,763+BJ$3,2+BJ$2)&lt;&gt;"",INDEX('×入力'!$A$1:$L$1300,762,2+BJ$2)&lt;&gt;"",INDEX('×入力'!$A$1:$L$1300,763+BJ$3,1)&lt;&gt;""),1,0),0)</f>
        <v/>
      </c>
      <c r="BK37">
        <f>IF(BK$4=1,IF(OR(INDEX('×入力'!$A$1:$L$1300,763+BK$3,2+BK$2)&lt;&gt;"",INDEX('×入力'!$A$1:$L$1300,762,2+BK$2)&lt;&gt;"",INDEX('×入力'!$A$1:$L$1300,763+BK$3,1)&lt;&gt;""),1,0),0)</f>
        <v/>
      </c>
      <c r="BL37">
        <f>IF(BL$4=1,IF(OR(INDEX('×入力'!$A$1:$L$1300,763+BL$3,2+BL$2)&lt;&gt;"",INDEX('×入力'!$A$1:$L$1300,762,2+BL$2)&lt;&gt;"",INDEX('×入力'!$A$1:$L$1300,763+BL$3,1)&lt;&gt;""),1,0),0)</f>
        <v/>
      </c>
      <c r="BM37">
        <f>IF(BM$4=1,IF(OR(INDEX('×入力'!$A$1:$L$1300,763+BM$3,2+BM$2)&lt;&gt;"",INDEX('×入力'!$A$1:$L$1300,762,2+BM$2)&lt;&gt;"",INDEX('×入力'!$A$1:$L$1300,763+BM$3,1)&lt;&gt;""),1,0),0)</f>
        <v/>
      </c>
      <c r="BN37">
        <f>IF(BN$4=1,IF(OR(INDEX('×入力'!$A$1:$L$1300,763+BN$3,2+BN$2)&lt;&gt;"",INDEX('×入力'!$A$1:$L$1300,762,2+BN$2)&lt;&gt;"",INDEX('×入力'!$A$1:$L$1300,763+BN$3,1)&lt;&gt;""),1,0),0)</f>
        <v/>
      </c>
      <c r="BO37">
        <f>IF(BO$4=1,IF(OR(INDEX('×入力'!$A$1:$L$1300,763+BO$3,2+BO$2)&lt;&gt;"",INDEX('×入力'!$A$1:$L$1300,762,2+BO$2)&lt;&gt;"",INDEX('×入力'!$A$1:$L$1300,763+BO$3,1)&lt;&gt;""),1,0),0)</f>
        <v/>
      </c>
      <c r="BP37">
        <f>IF(BP$4=1,IF(OR(INDEX('×入力'!$A$1:$L$1300,763+BP$3,2+BP$2)&lt;&gt;"",INDEX('×入力'!$A$1:$L$1300,762,2+BP$2)&lt;&gt;"",INDEX('×入力'!$A$1:$L$1300,763+BP$3,1)&lt;&gt;""),1,0),0)</f>
        <v/>
      </c>
      <c r="BQ37">
        <f>IF(BQ$4=1,IF(OR(INDEX('×入力'!$A$1:$L$1300,763+BQ$3,2+BQ$2)&lt;&gt;"",INDEX('×入力'!$A$1:$L$1300,762,2+BQ$2)&lt;&gt;"",INDEX('×入力'!$A$1:$L$1300,763+BQ$3,1)&lt;&gt;""),1,0),0)</f>
        <v/>
      </c>
      <c r="BR37">
        <f>IF(BR$4=1,IF(OR(INDEX('×入力'!$A$1:$L$1300,763+BR$3,2+BR$2)&lt;&gt;"",INDEX('×入力'!$A$1:$L$1300,762,2+BR$2)&lt;&gt;"",INDEX('×入力'!$A$1:$L$1300,763+BR$3,1)&lt;&gt;""),1,0),0)</f>
        <v/>
      </c>
      <c r="BS37">
        <f>IF(BS$4=1,IF(OR(INDEX('×入力'!$A$1:$L$1300,763+BS$3,2+BS$2)&lt;&gt;"",INDEX('×入力'!$A$1:$L$1300,762,2+BS$2)&lt;&gt;"",INDEX('×入力'!$A$1:$L$1300,763+BS$3,1)&lt;&gt;""),1,0),0)</f>
        <v/>
      </c>
      <c r="BT37">
        <f>IF(BT$4=1,IF(OR(INDEX('×入力'!$A$1:$L$1300,763+BT$3,2+BT$2)&lt;&gt;"",INDEX('×入力'!$A$1:$L$1300,762,2+BT$2)&lt;&gt;"",INDEX('×入力'!$A$1:$L$1300,763+BT$3,1)&lt;&gt;""),1,0),0)</f>
        <v/>
      </c>
      <c r="BU37">
        <f>IF(BU$4=1,IF(OR(INDEX('×入力'!$A$1:$L$1300,763+BU$3,2+BU$2)&lt;&gt;"",INDEX('×入力'!$A$1:$L$1300,762,2+BU$2)&lt;&gt;"",INDEX('×入力'!$A$1:$L$1300,763+BU$3,1)&lt;&gt;""),1,0),0)</f>
        <v/>
      </c>
      <c r="BV37">
        <f>IF(BV$4=1,IF(OR(INDEX('×入力'!$A$1:$L$1300,763+BV$3,2+BV$2)&lt;&gt;"",INDEX('×入力'!$A$1:$L$1300,762,2+BV$2)&lt;&gt;"",INDEX('×入力'!$A$1:$L$1300,763+BV$3,1)&lt;&gt;""),1,0),0)</f>
        <v/>
      </c>
      <c r="BW37">
        <f>IF(BW$4=1,IF(OR(INDEX('×入力'!$A$1:$L$1300,763+BW$3,2+BW$2)&lt;&gt;"",INDEX('×入力'!$A$1:$L$1300,762,2+BW$2)&lt;&gt;"",INDEX('×入力'!$A$1:$L$1300,763+BW$3,1)&lt;&gt;""),1,0),0)</f>
        <v/>
      </c>
      <c r="BX37">
        <f>IF(BX$4=1,IF(OR(INDEX('×入力'!$A$1:$L$1300,763+BX$3,2+BX$2)&lt;&gt;"",INDEX('×入力'!$A$1:$L$1300,762,2+BX$2)&lt;&gt;"",INDEX('×入力'!$A$1:$L$1300,763+BX$3,1)&lt;&gt;""),1,0),0)</f>
        <v/>
      </c>
      <c r="BY37">
        <f>IF(BY$4=1,IF(OR(INDEX('×入力'!$A$1:$L$1300,763+BY$3,2+BY$2)&lt;&gt;"",INDEX('×入力'!$A$1:$L$1300,762,2+BY$2)&lt;&gt;"",INDEX('×入力'!$A$1:$L$1300,763+BY$3,1)&lt;&gt;""),1,0),0)</f>
        <v/>
      </c>
      <c r="BZ37">
        <f>IF(BZ$4=1,IF(OR(INDEX('×入力'!$A$1:$L$1300,763+BZ$3,2+BZ$2)&lt;&gt;"",INDEX('×入力'!$A$1:$L$1300,762,2+BZ$2)&lt;&gt;"",INDEX('×入力'!$A$1:$L$1300,763+BZ$3,1)&lt;&gt;""),1,0),0)</f>
        <v/>
      </c>
      <c r="CA37">
        <f>IF(CA$4=1,IF(OR(INDEX('×入力'!$A$1:$L$1300,763+CA$3,2+CA$2)&lt;&gt;"",INDEX('×入力'!$A$1:$L$1300,762,2+CA$2)&lt;&gt;"",INDEX('×入力'!$A$1:$L$1300,763+CA$3,1)&lt;&gt;""),1,0),0)</f>
        <v/>
      </c>
      <c r="CB37">
        <f>IF(CB$4=1,IF(OR(INDEX('×入力'!$A$1:$L$1300,763+CB$3,2+CB$2)&lt;&gt;"",INDEX('×入力'!$A$1:$L$1300,762,2+CB$2)&lt;&gt;"",INDEX('×入力'!$A$1:$L$1300,763+CB$3,1)&lt;&gt;""),1,0),0)</f>
        <v/>
      </c>
      <c r="CC37">
        <f>IF(CC$4=1,IF(OR(INDEX('×入力'!$A$1:$L$1300,763+CC$3,2+CC$2)&lt;&gt;"",INDEX('×入力'!$A$1:$L$1300,762,2+CC$2)&lt;&gt;"",INDEX('×入力'!$A$1:$L$1300,763+CC$3,1)&lt;&gt;""),1,0),0)</f>
        <v/>
      </c>
      <c r="CD37">
        <f>IF(CD$4=1,IF(OR(INDEX('×入力'!$A$1:$L$1300,763+CD$3,2+CD$2)&lt;&gt;"",INDEX('×入力'!$A$1:$L$1300,762,2+CD$2)&lt;&gt;"",INDEX('×入力'!$A$1:$L$1300,763+CD$3,1)&lt;&gt;""),1,0),0)</f>
        <v/>
      </c>
      <c r="CE37">
        <f>IF(CE$4=1,IF(OR(INDEX('×入力'!$A$1:$L$1300,763+CE$3,2+CE$2)&lt;&gt;"",INDEX('×入力'!$A$1:$L$1300,762,2+CE$2)&lt;&gt;"",INDEX('×入力'!$A$1:$L$1300,763+CE$3,1)&lt;&gt;""),1,0),0)</f>
        <v/>
      </c>
      <c r="CF37">
        <f>IF(CF$4=1,IF(OR(INDEX('×入力'!$A$1:$L$1300,763+CF$3,2+CF$2)&lt;&gt;"",INDEX('×入力'!$A$1:$L$1300,762,2+CF$2)&lt;&gt;"",INDEX('×入力'!$A$1:$L$1300,763+CF$3,1)&lt;&gt;""),1,0),0)</f>
        <v/>
      </c>
      <c r="CG37">
        <f>IF(CG$4=1,IF(OR(INDEX('×入力'!$A$1:$L$1300,763+CG$3,2+CG$2)&lt;&gt;"",INDEX('×入力'!$A$1:$L$1300,762,2+CG$2)&lt;&gt;"",INDEX('×入力'!$A$1:$L$1300,763+CG$3,1)&lt;&gt;""),1,0),0)</f>
        <v/>
      </c>
      <c r="CH37">
        <f>IF(CH$4=1,IF(OR(INDEX('×入力'!$A$1:$L$1300,763+CH$3,2+CH$2)&lt;&gt;"",INDEX('×入力'!$A$1:$L$1300,762,2+CH$2)&lt;&gt;"",INDEX('×入力'!$A$1:$L$1300,763+CH$3,1)&lt;&gt;""),1,0),0)</f>
        <v/>
      </c>
      <c r="CI37">
        <f>IF(CI$4=1,IF(OR(INDEX('×入力'!$A$1:$L$1300,763+CI$3,2+CI$2)&lt;&gt;"",INDEX('×入力'!$A$1:$L$1300,762,2+CI$2)&lt;&gt;"",INDEX('×入力'!$A$1:$L$1300,763+CI$3,1)&lt;&gt;""),1,0),0)</f>
        <v/>
      </c>
      <c r="CJ37">
        <f>IF(CJ$4=1,IF(OR(INDEX('×入力'!$A$1:$L$1300,763+CJ$3,2+CJ$2)&lt;&gt;"",INDEX('×入力'!$A$1:$L$1300,762,2+CJ$2)&lt;&gt;"",INDEX('×入力'!$A$1:$L$1300,763+CJ$3,1)&lt;&gt;""),1,0),0)</f>
        <v/>
      </c>
      <c r="CK37">
        <f>IF(CK$4=1,IF(OR(INDEX('×入力'!$A$1:$L$1300,763+CK$3,2+CK$2)&lt;&gt;"",INDEX('×入力'!$A$1:$L$1300,762,2+CK$2)&lt;&gt;"",INDEX('×入力'!$A$1:$L$1300,763+CK$3,1)&lt;&gt;""),1,0),0)</f>
        <v/>
      </c>
      <c r="CL37">
        <f>IF(CL$4=1,IF(OR(INDEX('×入力'!$A$1:$L$1300,763+CL$3,2+CL$2)&lt;&gt;"",INDEX('×入力'!$A$1:$L$1300,762,2+CL$2)&lt;&gt;"",INDEX('×入力'!$A$1:$L$1300,763+CL$3,1)&lt;&gt;""),1,0),0)</f>
        <v/>
      </c>
      <c r="CM37">
        <f>IF(CM$4=1,IF(OR(INDEX('×入力'!$A$1:$L$1300,763+CM$3,2+CM$2)&lt;&gt;"",INDEX('×入力'!$A$1:$L$1300,762,2+CM$2)&lt;&gt;"",INDEX('×入力'!$A$1:$L$1300,763+CM$3,1)&lt;&gt;""),1,0),0)</f>
        <v/>
      </c>
      <c r="CN37">
        <f>IF(CN$4=1,IF(OR(INDEX('×入力'!$A$1:$L$1300,763+CN$3,2+CN$2)&lt;&gt;"",INDEX('×入力'!$A$1:$L$1300,762,2+CN$2)&lt;&gt;"",INDEX('×入力'!$A$1:$L$1300,763+CN$3,1)&lt;&gt;""),1,0),0)</f>
        <v/>
      </c>
      <c r="CO37">
        <f>IF(CO$4=1,IF(OR(INDEX('×入力'!$A$1:$L$1300,763+CO$3,2+CO$2)&lt;&gt;"",INDEX('×入力'!$A$1:$L$1300,762,2+CO$2)&lt;&gt;"",INDEX('×入力'!$A$1:$L$1300,763+CO$3,1)&lt;&gt;""),1,0),0)</f>
        <v/>
      </c>
      <c r="CP37">
        <f>IF(CP$4=1,IF(OR(INDEX('×入力'!$A$1:$L$1300,763+CP$3,2+CP$2)&lt;&gt;"",INDEX('×入力'!$A$1:$L$1300,762,2+CP$2)&lt;&gt;"",INDEX('×入力'!$A$1:$L$1300,763+CP$3,1)&lt;&gt;""),1,0),0)</f>
        <v/>
      </c>
      <c r="CQ37">
        <f>IF(CQ$4=1,IF(OR(INDEX('×入力'!$A$1:$L$1300,763+CQ$3,2+CQ$2)&lt;&gt;"",INDEX('×入力'!$A$1:$L$1300,762,2+CQ$2)&lt;&gt;"",INDEX('×入力'!$A$1:$L$1300,763+CQ$3,1)&lt;&gt;""),1,0),0)</f>
        <v/>
      </c>
      <c r="CR37">
        <f>IF(CR$4=1,IF(OR(INDEX('×入力'!$A$1:$L$1300,763+CR$3,2+CR$2)&lt;&gt;"",INDEX('×入力'!$A$1:$L$1300,762,2+CR$2)&lt;&gt;"",INDEX('×入力'!$A$1:$L$1300,763+CR$3,1)&lt;&gt;""),1,0),0)</f>
        <v/>
      </c>
      <c r="CS37">
        <f>IF(CS$4=1,IF(OR(INDEX('×入力'!$A$1:$L$1300,763+CS$3,2+CS$2)&lt;&gt;"",INDEX('×入力'!$A$1:$L$1300,762,2+CS$2)&lt;&gt;"",INDEX('×入力'!$A$1:$L$1300,763+CS$3,1)&lt;&gt;""),1,0),0)</f>
        <v/>
      </c>
      <c r="CT37">
        <f>IF(CT$4=1,IF(OR(INDEX('×入力'!$A$1:$L$1300,763+CT$3,2+CT$2)&lt;&gt;"",INDEX('×入力'!$A$1:$L$1300,762,2+CT$2)&lt;&gt;"",INDEX('×入力'!$A$1:$L$1300,763+CT$3,1)&lt;&gt;""),1,0),0)</f>
        <v/>
      </c>
      <c r="CU37">
        <f>IF(CU$4=1,IF(OR(INDEX('×入力'!$A$1:$L$1300,763+CU$3,2+CU$2)&lt;&gt;"",INDEX('×入力'!$A$1:$L$1300,762,2+CU$2)&lt;&gt;"",INDEX('×入力'!$A$1:$L$1300,763+CU$3,1)&lt;&gt;""),1,0),0)</f>
        <v/>
      </c>
      <c r="CV37">
        <f>IF(CV$4=1,IF(OR(INDEX('×入力'!$A$1:$L$1300,763+CV$3,2+CV$2)&lt;&gt;"",INDEX('×入力'!$A$1:$L$1300,762,2+CV$2)&lt;&gt;"",INDEX('×入力'!$A$1:$L$1300,763+CV$3,1)&lt;&gt;""),1,0),0)</f>
        <v/>
      </c>
      <c r="CW37">
        <f>IF(CW$4=1,IF(OR(INDEX('×入力'!$A$1:$L$1300,763+CW$3,2+CW$2)&lt;&gt;"",INDEX('×入力'!$A$1:$L$1300,762,2+CW$2)&lt;&gt;"",INDEX('×入力'!$A$1:$L$1300,763+CW$3,1)&lt;&gt;""),1,0),0)</f>
        <v/>
      </c>
      <c r="CX37">
        <f>IF(CX$4=1,IF(OR(INDEX('×入力'!$A$1:$L$1300,763+CX$3,2+CX$2)&lt;&gt;"",INDEX('×入力'!$A$1:$L$1300,762,2+CX$2)&lt;&gt;"",INDEX('×入力'!$A$1:$L$1300,763+CX$3,1)&lt;&gt;""),1,0),0)</f>
        <v/>
      </c>
      <c r="CY37">
        <f>IF(CY$4=1,IF(OR(INDEX('×入力'!$A$1:$L$1300,763+CY$3,2+CY$2)&lt;&gt;"",INDEX('×入力'!$A$1:$L$1300,762,2+CY$2)&lt;&gt;"",INDEX('×入力'!$A$1:$L$1300,763+CY$3,1)&lt;&gt;""),1,0),0)</f>
        <v/>
      </c>
      <c r="CZ37">
        <f>IF(CZ$4=1,IF(OR(INDEX('×入力'!$A$1:$L$1300,763+CZ$3,2+CZ$2)&lt;&gt;"",INDEX('×入力'!$A$1:$L$1300,762,2+CZ$2)&lt;&gt;"",INDEX('×入力'!$A$1:$L$1300,763+CZ$3,1)&lt;&gt;""),1,0),0)</f>
        <v/>
      </c>
      <c r="DA37">
        <f>IF(DA$4=1,IF(OR(INDEX('×入力'!$A$1:$L$1300,763+DA$3,2+DA$2)&lt;&gt;"",INDEX('×入力'!$A$1:$L$1300,762,2+DA$2)&lt;&gt;"",INDEX('×入力'!$A$1:$L$1300,763+DA$3,1)&lt;&gt;""),1,0),0)</f>
        <v/>
      </c>
      <c r="DB37">
        <f>IF(DB$4=1,IF(OR(INDEX('×入力'!$A$1:$L$1300,763+DB$3,2+DB$2)&lt;&gt;"",INDEX('×入力'!$A$1:$L$1300,762,2+DB$2)&lt;&gt;"",INDEX('×入力'!$A$1:$L$1300,763+DB$3,1)&lt;&gt;""),1,0),0)</f>
        <v/>
      </c>
      <c r="DC37">
        <f>IF(DC$4=1,IF(OR(INDEX('×入力'!$A$1:$L$1300,763+DC$3,2+DC$2)&lt;&gt;"",INDEX('×入力'!$A$1:$L$1300,762,2+DC$2)&lt;&gt;"",INDEX('×入力'!$A$1:$L$1300,763+DC$3,1)&lt;&gt;""),1,0),0)</f>
        <v/>
      </c>
      <c r="DD37">
        <f>IF(DD$4=1,IF(OR(INDEX('×入力'!$A$1:$L$1300,763+DD$3,2+DD$2)&lt;&gt;"",INDEX('×入力'!$A$1:$L$1300,762,2+DD$2)&lt;&gt;"",INDEX('×入力'!$A$1:$L$1300,763+DD$3,1)&lt;&gt;""),1,0),0)</f>
        <v/>
      </c>
      <c r="DE37">
        <f>IF(DE$4=1,IF(OR(INDEX('×入力'!$A$1:$L$1300,763+DE$3,2+DE$2)&lt;&gt;"",INDEX('×入力'!$A$1:$L$1300,762,2+DE$2)&lt;&gt;"",INDEX('×入力'!$A$1:$L$1300,763+DE$3,1)&lt;&gt;""),1,0),0)</f>
        <v/>
      </c>
      <c r="DF37">
        <f>IF(DF$4=1,IF(OR(INDEX('×入力'!$A$1:$L$1300,763+DF$3,2+DF$2)&lt;&gt;"",INDEX('×入力'!$A$1:$L$1300,762,2+DF$2)&lt;&gt;"",INDEX('×入力'!$A$1:$L$1300,763+DF$3,1)&lt;&gt;""),1,0),0)</f>
        <v/>
      </c>
      <c r="DG37">
        <f>IF(DG$4=1,IF(OR(INDEX('×入力'!$A$1:$L$1300,763+DG$3,2+DG$2)&lt;&gt;"",INDEX('×入力'!$A$1:$L$1300,762,2+DG$2)&lt;&gt;"",INDEX('×入力'!$A$1:$L$1300,763+DG$3,1)&lt;&gt;""),1,0),0)</f>
        <v/>
      </c>
      <c r="DH37">
        <f>IF(DH$4=1,IF(OR(INDEX('×入力'!$A$1:$L$1300,763+DH$3,2+DH$2)&lt;&gt;"",INDEX('×入力'!$A$1:$L$1300,762,2+DH$2)&lt;&gt;"",INDEX('×入力'!$A$1:$L$1300,763+DH$3,1)&lt;&gt;""),1,0),0)</f>
        <v/>
      </c>
      <c r="DI37">
        <f>IF(DI$4=1,IF(OR(INDEX('×入力'!$A$1:$L$1300,763+DI$3,2+DI$2)&lt;&gt;"",INDEX('×入力'!$A$1:$L$1300,762,2+DI$2)&lt;&gt;"",INDEX('×入力'!$A$1:$L$1300,763+DI$3,1)&lt;&gt;""),1,0),0)</f>
        <v/>
      </c>
      <c r="DJ37">
        <f>IF(DJ$4=1,IF(OR(INDEX('×入力'!$A$1:$L$1300,763+DJ$3,2+DJ$2)&lt;&gt;"",INDEX('×入力'!$A$1:$L$1300,762,2+DJ$2)&lt;&gt;"",INDEX('×入力'!$A$1:$L$1300,763+DJ$3,1)&lt;&gt;""),1,0),0)</f>
        <v/>
      </c>
      <c r="DK37">
        <f>IF(DK$4=1,IF(OR(INDEX('×入力'!$A$1:$L$1300,763+DK$3,2+DK$2)&lt;&gt;"",INDEX('×入力'!$A$1:$L$1300,762,2+DK$2)&lt;&gt;"",INDEX('×入力'!$A$1:$L$1300,763+DK$3,1)&lt;&gt;""),1,0),0)</f>
        <v/>
      </c>
      <c r="DL37">
        <f>IF(DL$4=1,IF(OR(INDEX('×入力'!$A$1:$L$1300,763+DL$3,2+DL$2)&lt;&gt;"",INDEX('×入力'!$A$1:$L$1300,762,2+DL$2)&lt;&gt;"",INDEX('×入力'!$A$1:$L$1300,763+DL$3,1)&lt;&gt;""),1,0),0)</f>
        <v/>
      </c>
      <c r="DM37">
        <f>IF(DM$4=1,IF(OR(INDEX('×入力'!$A$1:$L$1300,763+DM$3,2+DM$2)&lt;&gt;"",INDEX('×入力'!$A$1:$L$1300,762,2+DM$2)&lt;&gt;"",INDEX('×入力'!$A$1:$L$1300,763+DM$3,1)&lt;&gt;""),1,0),0)</f>
        <v/>
      </c>
      <c r="DN37">
        <f>IF(DN$4=1,IF(OR(INDEX('×入力'!$A$1:$L$1300,763+DN$3,2+DN$2)&lt;&gt;"",INDEX('×入力'!$A$1:$L$1300,762,2+DN$2)&lt;&gt;"",INDEX('×入力'!$A$1:$L$1300,763+DN$3,1)&lt;&gt;""),1,0),0)</f>
        <v/>
      </c>
      <c r="DO37">
        <f>IF(DO$4=1,IF(OR(INDEX('×入力'!$A$1:$L$1300,763+DO$3,2+DO$2)&lt;&gt;"",INDEX('×入力'!$A$1:$L$1300,762,2+DO$2)&lt;&gt;"",INDEX('×入力'!$A$1:$L$1300,763+DO$3,1)&lt;&gt;""),1,0),0)</f>
        <v/>
      </c>
      <c r="DP37">
        <f>IF(DP$4=1,IF(OR(INDEX('×入力'!$A$1:$L$1300,763+DP$3,2+DP$2)&lt;&gt;"",INDEX('×入力'!$A$1:$L$1300,762,2+DP$2)&lt;&gt;"",INDEX('×入力'!$A$1:$L$1300,763+DP$3,1)&lt;&gt;""),1,0),0)</f>
        <v/>
      </c>
      <c r="DQ37">
        <f>IF(DQ$4=1,IF(OR(INDEX('×入力'!$A$1:$L$1300,763+DQ$3,2+DQ$2)&lt;&gt;"",INDEX('×入力'!$A$1:$L$1300,762,2+DQ$2)&lt;&gt;"",INDEX('×入力'!$A$1:$L$1300,763+DQ$3,1)&lt;&gt;""),1,0),0)</f>
        <v/>
      </c>
      <c r="DR37">
        <f>IF(DR$4=1,IF(OR(INDEX('×入力'!$A$1:$L$1300,763+DR$3,2+DR$2)&lt;&gt;"",INDEX('×入力'!$A$1:$L$1300,762,2+DR$2)&lt;&gt;"",INDEX('×入力'!$A$1:$L$1300,763+DR$3,1)&lt;&gt;""),1,0),0)</f>
        <v/>
      </c>
      <c r="DS37">
        <f>IF(DS$4=1,IF(OR(INDEX('×入力'!$A$1:$L$1300,763+DS$3,2+DS$2)&lt;&gt;"",INDEX('×入力'!$A$1:$L$1300,762,2+DS$2)&lt;&gt;"",INDEX('×入力'!$A$1:$L$1300,763+DS$3,1)&lt;&gt;""),1,0),0)</f>
        <v/>
      </c>
      <c r="DT37">
        <f>IF(DT$4=1,IF(OR(INDEX('×入力'!$A$1:$L$1300,763+DT$3,2+DT$2)&lt;&gt;"",INDEX('×入力'!$A$1:$L$1300,762,2+DT$2)&lt;&gt;"",INDEX('×入力'!$A$1:$L$1300,763+DT$3,1)&lt;&gt;""),1,0),0)</f>
        <v/>
      </c>
      <c r="DU37">
        <f>IF(DU$4=1,IF(OR(INDEX('×入力'!$A$1:$L$1300,763+DU$3,2+DU$2)&lt;&gt;"",INDEX('×入力'!$A$1:$L$1300,762,2+DU$2)&lt;&gt;"",INDEX('×入力'!$A$1:$L$1300,763+DU$3,1)&lt;&gt;""),1,0),0)</f>
        <v/>
      </c>
      <c r="DV37">
        <f>IF(DV$4=1,IF(OR(INDEX('×入力'!$A$1:$L$1300,763+DV$3,2+DV$2)&lt;&gt;"",INDEX('×入力'!$A$1:$L$1300,762,2+DV$2)&lt;&gt;"",INDEX('×入力'!$A$1:$L$1300,763+DV$3,1)&lt;&gt;""),1,0),0)</f>
        <v/>
      </c>
      <c r="DW37">
        <f>IF(DW$4=1,IF(OR(INDEX('×入力'!$A$1:$L$1300,763+DW$3,2+DW$2)&lt;&gt;"",INDEX('×入力'!$A$1:$L$1300,762,2+DW$2)&lt;&gt;"",INDEX('×入力'!$A$1:$L$1300,763+DW$3,1)&lt;&gt;""),1,0),0)</f>
        <v/>
      </c>
      <c r="DX37">
        <f>IF(DX$4=1,IF(OR(INDEX('×入力'!$A$1:$L$1300,763+DX$3,2+DX$2)&lt;&gt;"",INDEX('×入力'!$A$1:$L$1300,762,2+DX$2)&lt;&gt;"",INDEX('×入力'!$A$1:$L$1300,763+DX$3,1)&lt;&gt;""),1,0),0)</f>
        <v/>
      </c>
      <c r="DY37">
        <f>IF(DY$4=1,IF(OR(INDEX('×入力'!$A$1:$L$1300,763+DY$3,2+DY$2)&lt;&gt;"",INDEX('×入力'!$A$1:$L$1300,762,2+DY$2)&lt;&gt;"",INDEX('×入力'!$A$1:$L$1300,763+DY$3,1)&lt;&gt;""),1,0),0)</f>
        <v/>
      </c>
      <c r="DZ37">
        <f>IF(DZ$4=1,IF(OR(INDEX('×入力'!$A$1:$L$1300,763+DZ$3,2+DZ$2)&lt;&gt;"",INDEX('×入力'!$A$1:$L$1300,762,2+DZ$2)&lt;&gt;"",INDEX('×入力'!$A$1:$L$1300,763+DZ$3,1)&lt;&gt;""),1,0),0)</f>
        <v/>
      </c>
      <c r="EA37">
        <f>IF(EA$4=1,IF(OR(INDEX('×入力'!$A$1:$L$1300,763+EA$3,2+EA$2)&lt;&gt;"",INDEX('×入力'!$A$1:$L$1300,762,2+EA$2)&lt;&gt;"",INDEX('×入力'!$A$1:$L$1300,763+EA$3,1)&lt;&gt;""),1,0),0)</f>
        <v/>
      </c>
      <c r="EB37">
        <f>IF(EB$4=1,IF(OR(INDEX('×入力'!$A$1:$L$1300,763+EB$3,2+EB$2)&lt;&gt;"",INDEX('×入力'!$A$1:$L$1300,762,2+EB$2)&lt;&gt;"",INDEX('×入力'!$A$1:$L$1300,763+EB$3,1)&lt;&gt;""),1,0),0)</f>
        <v/>
      </c>
      <c r="EC37">
        <f>IF(EC$4=1,IF(OR(INDEX('×入力'!$A$1:$L$1300,763+EC$3,2+EC$2)&lt;&gt;"",INDEX('×入力'!$A$1:$L$1300,762,2+EC$2)&lt;&gt;"",INDEX('×入力'!$A$1:$L$1300,763+EC$3,1)&lt;&gt;""),1,0),0)</f>
        <v/>
      </c>
      <c r="ED37">
        <f>IF(ED$4=1,IF(OR(INDEX('×入力'!$A$1:$L$1300,763+ED$3,2+ED$2)&lt;&gt;"",INDEX('×入力'!$A$1:$L$1300,762,2+ED$2)&lt;&gt;"",INDEX('×入力'!$A$1:$L$1300,763+ED$3,1)&lt;&gt;""),1,0),0)</f>
        <v/>
      </c>
      <c r="EE37">
        <f>IF(EE$4=1,IF(OR(INDEX('×入力'!$A$1:$L$1300,763+EE$3,2+EE$2)&lt;&gt;"",INDEX('×入力'!$A$1:$L$1300,762,2+EE$2)&lt;&gt;"",INDEX('×入力'!$A$1:$L$1300,763+EE$3,1)&lt;&gt;""),1,0),0)</f>
        <v/>
      </c>
      <c r="EF37">
        <f>IF(EF$4=1,IF(OR(INDEX('×入力'!$A$1:$L$1300,763+EF$3,2+EF$2)&lt;&gt;"",INDEX('×入力'!$A$1:$L$1300,762,2+EF$2)&lt;&gt;"",INDEX('×入力'!$A$1:$L$1300,763+EF$3,1)&lt;&gt;""),1,0),0)</f>
        <v/>
      </c>
      <c r="EG37">
        <f>IF(EG$4=1,IF(OR(INDEX('×入力'!$A$1:$L$1300,763+EG$3,2+EG$2)&lt;&gt;"",INDEX('×入力'!$A$1:$L$1300,762,2+EG$2)&lt;&gt;"",INDEX('×入力'!$A$1:$L$1300,763+EG$3,1)&lt;&gt;""),1,0),0)</f>
        <v/>
      </c>
      <c r="EH37">
        <f>IF(EH$4=1,IF(OR(INDEX('×入力'!$A$1:$L$1300,763+EH$3,2+EH$2)&lt;&gt;"",INDEX('×入力'!$A$1:$L$1300,762,2+EH$2)&lt;&gt;"",INDEX('×入力'!$A$1:$L$1300,763+EH$3,1)&lt;&gt;""),1,0),0)</f>
        <v/>
      </c>
      <c r="EI37">
        <f>IF(EI$4=1,IF(OR(INDEX('×入力'!$A$1:$L$1300,763+EI$3,2+EI$2)&lt;&gt;"",INDEX('×入力'!$A$1:$L$1300,762,2+EI$2)&lt;&gt;"",INDEX('×入力'!$A$1:$L$1300,763+EI$3,1)&lt;&gt;""),1,0),0)</f>
        <v/>
      </c>
      <c r="EJ37">
        <f>IF(EJ$4=1,IF(OR(INDEX('×入力'!$A$1:$L$1300,763+EJ$3,2+EJ$2)&lt;&gt;"",INDEX('×入力'!$A$1:$L$1300,762,2+EJ$2)&lt;&gt;"",INDEX('×入力'!$A$1:$L$1300,763+EJ$3,1)&lt;&gt;""),1,0),0)</f>
        <v/>
      </c>
      <c r="EK37">
        <f>IF(EK$4=1,IF(OR(INDEX('×入力'!$A$1:$L$1300,763+EK$3,2+EK$2)&lt;&gt;"",INDEX('×入力'!$A$1:$L$1300,762,2+EK$2)&lt;&gt;"",INDEX('×入力'!$A$1:$L$1300,763+EK$3,1)&lt;&gt;""),1,0),0)</f>
        <v/>
      </c>
      <c r="EL37">
        <f>IF(EL$4=1,IF(OR(INDEX('×入力'!$A$1:$L$1300,763+EL$3,2+EL$2)&lt;&gt;"",INDEX('×入力'!$A$1:$L$1300,762,2+EL$2)&lt;&gt;"",INDEX('×入力'!$A$1:$L$1300,763+EL$3,1)&lt;&gt;""),1,0),0)</f>
        <v/>
      </c>
      <c r="EM37">
        <f>IF(EM$4=1,IF(OR(INDEX('×入力'!$A$1:$L$1300,763+EM$3,2+EM$2)&lt;&gt;"",INDEX('×入力'!$A$1:$L$1300,762,2+EM$2)&lt;&gt;"",INDEX('×入力'!$A$1:$L$1300,763+EM$3,1)&lt;&gt;""),1,0),0)</f>
        <v/>
      </c>
      <c r="EN37">
        <f>IF(EN$4=1,IF(OR(INDEX('×入力'!$A$1:$L$1300,763+EN$3,2+EN$2)&lt;&gt;"",INDEX('×入力'!$A$1:$L$1300,762,2+EN$2)&lt;&gt;"",INDEX('×入力'!$A$1:$L$1300,763+EN$3,1)&lt;&gt;""),1,0),0)</f>
        <v/>
      </c>
      <c r="EO37">
        <f>IF(EO$4=1,IF(OR(INDEX('×入力'!$A$1:$L$1300,763+EO$3,2+EO$2)&lt;&gt;"",INDEX('×入力'!$A$1:$L$1300,762,2+EO$2)&lt;&gt;"",INDEX('×入力'!$A$1:$L$1300,763+EO$3,1)&lt;&gt;""),1,0),0)</f>
        <v/>
      </c>
      <c r="EP37">
        <f>IF(EP$4=1,IF(OR(INDEX('×入力'!$A$1:$L$1300,763+EP$3,2+EP$2)&lt;&gt;"",INDEX('×入力'!$A$1:$L$1300,762,2+EP$2)&lt;&gt;"",INDEX('×入力'!$A$1:$L$1300,763+EP$3,1)&lt;&gt;""),1,0),0)</f>
        <v/>
      </c>
      <c r="EQ37">
        <f>IF(EQ$4=1,IF(OR(INDEX('×入力'!$A$1:$L$1300,763+EQ$3,2+EQ$2)&lt;&gt;"",INDEX('×入力'!$A$1:$L$1300,762,2+EQ$2)&lt;&gt;"",INDEX('×入力'!$A$1:$L$1300,763+EQ$3,1)&lt;&gt;""),1,0),0)</f>
        <v/>
      </c>
      <c r="HA37">
        <f>MAX(0,IT37)</f>
        <v/>
      </c>
      <c r="HB37">
        <f>IF(HA37=0,0,INDEX($D$2:$EQ$2,HA37))</f>
        <v/>
      </c>
      <c r="HC37">
        <f>IF(HA37=0,0,INDEX($D$3:$EQ$3,HA37))</f>
        <v/>
      </c>
      <c r="HD37">
        <f>MAX(0,IY37)</f>
        <v/>
      </c>
      <c r="HE37">
        <f>IF(HD37=0,0,INDEX($D$2:$EQ$2,HD37))</f>
        <v/>
      </c>
      <c r="HF37">
        <f>IF(HD37=0,0,INDEX($D$3:$EQ$3,HD37))</f>
        <v/>
      </c>
      <c r="HG37">
        <f>MAX(0,IZ37)</f>
        <v/>
      </c>
      <c r="HH37">
        <f>IF(HG37=0,0,INDEX($D$2:$EQ$2,HG37))</f>
        <v/>
      </c>
      <c r="HI37">
        <f>IF(HG37=0,0,INDEX($D$3:$EQ$3,HG37))</f>
        <v/>
      </c>
      <c r="HJ37">
        <f>IF(AND(HA37&gt;0,HC37&gt;1,OR(HC37-1&lt;&gt;$A$3,$A$4=0)),HA37-1,-1)</f>
        <v/>
      </c>
      <c r="HK37">
        <f>IF(AND(HA37&gt;0,HC37&lt;24,OR(HC37&lt;&gt;$A$3,$A$4=0)),HA37+1,-1)</f>
        <v/>
      </c>
      <c r="HL37">
        <f>IF(AND(HD37&gt;0,HF37&gt;1,OR(HF37-1&lt;&gt;$A$3,$A$4=0)),HD37-1,-1)</f>
        <v/>
      </c>
      <c r="HM37">
        <f>IF(AND(HD37&gt;0,HF37&lt;24,OR(HF37&lt;&gt;$A$3,$A$4=0)),HD37+1,-1)</f>
        <v/>
      </c>
      <c r="HN37">
        <f>IF(AND(HG37&gt;0,HI37&gt;1,OR(HI37-1&lt;&gt;$A$3,$A$4=0)),HG37-1,-1)</f>
        <v/>
      </c>
      <c r="HO37">
        <f>IF(AND(HG37&gt;0,HI37&lt;24,OR(HI37&lt;&gt;$A$3,$A$4=0)),HG37+1,-1)</f>
        <v/>
      </c>
      <c r="IK37">
        <f>IFERROR(INDEX('calcB'!$C$3:$C$47,MATCH(A37,'calcB'!$B$3:$B$47,0)),0)</f>
        <v/>
      </c>
      <c r="IL37">
        <f>IF(AND(C37=1,IK37=0,calcA!$A$6=1),1,0)</f>
        <v/>
      </c>
      <c r="IM37">
        <f>SUMPRODUCT(D87:EQ87*(1-$D$7:$EQ$7))</f>
        <v/>
      </c>
      <c r="IN37">
        <f>SUM(D37:EQ37)</f>
        <v/>
      </c>
      <c r="IO37">
        <f>IF(B37="",0,IF(COUNTIF('調整・決定'!$C$6:$H$29,B37)=1,SUMPRODUCT(('調整・決定'!$C$6:$H$29=B37)*((COLUMN('調整・決定'!$C$6:$H$29)-3)*24+ROW('調整・決定'!$C$6:$H$29)-5)),0))</f>
        <v/>
      </c>
      <c r="IP37">
        <f>IFERROR(MATCH('名簿'!C32,{"早い時刻","遅い時刻","早い日","遅い日"},0),0)</f>
        <v/>
      </c>
      <c r="IQ37">
        <f>IF('名簿'!D32="必ず空けたい",2,IF('名簿'!D32="出来れば空けたい",1,0))</f>
        <v/>
      </c>
      <c r="IR37">
        <f>IFERROR(INDEX('calcC'!$C$3:$C$47,MATCH(A37,'calcC'!$B$3:$B$47,0)),0)</f>
        <v/>
      </c>
      <c r="IS37">
        <f>IF(AND(C37=1,IR37=0,calcA!$A$6=1),1,0)</f>
        <v/>
      </c>
      <c r="IT37">
        <f>IF(OR('名簿'!G32="",'名簿'!H32=""),0,IFERROR((MATCH('名簿'!G32,'設定'!$E$11:$E$16,0)-1)*24+MATCH('名簿'!H32,'設定'!$I$11:$I$34,0),-1))</f>
        <v/>
      </c>
      <c r="IV37">
        <f>IF(OR(JF37=0,IO37=0),1,IF(OR(IF(IT37&gt;0,AND(INDEX($D$2:$EQ$2,IO37)=INDEX($D$2:$EQ$2,IT37),OR(AND(IO37=IT37+1,OR(INDEX($D$3:$EQ$3,IT37)&lt;&gt;$A$3,$A$4=0)),AND(IO37=IT37-1,OR(INDEX($D$3:$EQ$3,IO37)&lt;&gt;$A$3,$A$4=0)))),FALSE),IF(IY37&gt;0,AND(INDEX($D$2:$EQ$2,IO37)=INDEX($D$2:$EQ$2,IY37),OR(AND(IO37=IY37+1,OR(INDEX($D$3:$EQ$3,IY37)&lt;&gt;$A$3,$A$4=0)),AND(IO37=IY37-1,OR(INDEX($D$3:$EQ$3,IO37)&lt;&gt;$A$3,$A$4=0)))),FALSE),IF(IZ37&gt;0,AND(INDEX($D$2:$EQ$2,IO37)=INDEX($D$2:$EQ$2,IZ37),OR(AND(IO37=IZ37+1,OR(INDEX($D$3:$EQ$3,IZ37)&lt;&gt;$A$3,$A$4=0)),AND(IO37=IZ37-1,OR(INDEX($D$3:$EQ$3,IO37)&lt;&gt;$A$3,$A$4=0)))),FALSE)),1,0))</f>
        <v/>
      </c>
      <c r="IW37">
        <f>IF(AND('名簿'!E32&lt;&gt;"",JF37=0),1,0)</f>
        <v/>
      </c>
      <c r="IX37">
        <f>IF('名簿'!D32="空けない",1,0)</f>
        <v/>
      </c>
      <c r="IY37">
        <f>IF(OR('名簿'!J32="",'名簿'!K32=""),0,IFERROR((MATCH('名簿'!J32,'設定'!$E$11:$E$16,0)-1)*24+MATCH('名簿'!K32,'設定'!$I$11:$I$34,0),-1))</f>
        <v/>
      </c>
      <c r="IZ37">
        <f>IF(OR('名簿'!M32="",'名簿'!N32=""),0,IFERROR((MATCH('名簿'!M32,'設定'!$E$11:$E$16,0)-1)*24+MATCH('名簿'!N32,'設定'!$I$11:$I$34,0),-1))</f>
        <v/>
      </c>
      <c r="JC37">
        <f>IF(RIGHT('名簿'!I32,2)="の前",1,IF(RIGHT('名簿'!I32,2)="の後",2,0))</f>
        <v/>
      </c>
      <c r="JD37">
        <f>IF(RIGHT('名簿'!L32,2)="の前",1,IF(RIGHT('名簿'!L32,2)="の後",2,0))</f>
        <v/>
      </c>
      <c r="JE37">
        <f>IF(RIGHT('名簿'!O32,2)="の前",1,IF(RIGHT('名簿'!O32,2)="の後",2,0))</f>
        <v/>
      </c>
      <c r="JF37">
        <f>IF(OR(IT37&gt;0,IY37&gt;0,IZ37&gt;0),1,0)</f>
        <v/>
      </c>
      <c r="JG37">
        <f>IF(OR(IT37&lt;0,IY37&lt;0,IZ37&lt;0),1,0)</f>
        <v/>
      </c>
    </row>
    <row r="38">
      <c r="A38" t="n">
        <v>29</v>
      </c>
      <c r="B38">
        <f>'名簿'!P33</f>
        <v/>
      </c>
      <c r="C38">
        <f>IF(AND(B38&lt;&gt;"",OR('名簿'!Q33="入力済み",'名簿'!Q33="×なし"),IO38=0,COUNTIF('調整・決定'!$C$6:$H$29,B38)=0),1,0)</f>
        <v/>
      </c>
      <c r="D38">
        <f>IF(D$4=1,IF(OR(INDEX('×入力'!$A$1:$L$1300,791+D$3,2+D$2)&lt;&gt;"",INDEX('×入力'!$A$1:$L$1300,790,2+D$2)&lt;&gt;"",INDEX('×入力'!$A$1:$L$1300,791+D$3,1)&lt;&gt;""),1,0),0)</f>
        <v/>
      </c>
      <c r="E38">
        <f>IF(E$4=1,IF(OR(INDEX('×入力'!$A$1:$L$1300,791+E$3,2+E$2)&lt;&gt;"",INDEX('×入力'!$A$1:$L$1300,790,2+E$2)&lt;&gt;"",INDEX('×入力'!$A$1:$L$1300,791+E$3,1)&lt;&gt;""),1,0),0)</f>
        <v/>
      </c>
      <c r="F38">
        <f>IF(F$4=1,IF(OR(INDEX('×入力'!$A$1:$L$1300,791+F$3,2+F$2)&lt;&gt;"",INDEX('×入力'!$A$1:$L$1300,790,2+F$2)&lt;&gt;"",INDEX('×入力'!$A$1:$L$1300,791+F$3,1)&lt;&gt;""),1,0),0)</f>
        <v/>
      </c>
      <c r="G38">
        <f>IF(G$4=1,IF(OR(INDEX('×入力'!$A$1:$L$1300,791+G$3,2+G$2)&lt;&gt;"",INDEX('×入力'!$A$1:$L$1300,790,2+G$2)&lt;&gt;"",INDEX('×入力'!$A$1:$L$1300,791+G$3,1)&lt;&gt;""),1,0),0)</f>
        <v/>
      </c>
      <c r="H38">
        <f>IF(H$4=1,IF(OR(INDEX('×入力'!$A$1:$L$1300,791+H$3,2+H$2)&lt;&gt;"",INDEX('×入力'!$A$1:$L$1300,790,2+H$2)&lt;&gt;"",INDEX('×入力'!$A$1:$L$1300,791+H$3,1)&lt;&gt;""),1,0),0)</f>
        <v/>
      </c>
      <c r="I38">
        <f>IF(I$4=1,IF(OR(INDEX('×入力'!$A$1:$L$1300,791+I$3,2+I$2)&lt;&gt;"",INDEX('×入力'!$A$1:$L$1300,790,2+I$2)&lt;&gt;"",INDEX('×入力'!$A$1:$L$1300,791+I$3,1)&lt;&gt;""),1,0),0)</f>
        <v/>
      </c>
      <c r="J38">
        <f>IF(J$4=1,IF(OR(INDEX('×入力'!$A$1:$L$1300,791+J$3,2+J$2)&lt;&gt;"",INDEX('×入力'!$A$1:$L$1300,790,2+J$2)&lt;&gt;"",INDEX('×入力'!$A$1:$L$1300,791+J$3,1)&lt;&gt;""),1,0),0)</f>
        <v/>
      </c>
      <c r="K38">
        <f>IF(K$4=1,IF(OR(INDEX('×入力'!$A$1:$L$1300,791+K$3,2+K$2)&lt;&gt;"",INDEX('×入力'!$A$1:$L$1300,790,2+K$2)&lt;&gt;"",INDEX('×入力'!$A$1:$L$1300,791+K$3,1)&lt;&gt;""),1,0),0)</f>
        <v/>
      </c>
      <c r="L38">
        <f>IF(L$4=1,IF(OR(INDEX('×入力'!$A$1:$L$1300,791+L$3,2+L$2)&lt;&gt;"",INDEX('×入力'!$A$1:$L$1300,790,2+L$2)&lt;&gt;"",INDEX('×入力'!$A$1:$L$1300,791+L$3,1)&lt;&gt;""),1,0),0)</f>
        <v/>
      </c>
      <c r="M38">
        <f>IF(M$4=1,IF(OR(INDEX('×入力'!$A$1:$L$1300,791+M$3,2+M$2)&lt;&gt;"",INDEX('×入力'!$A$1:$L$1300,790,2+M$2)&lt;&gt;"",INDEX('×入力'!$A$1:$L$1300,791+M$3,1)&lt;&gt;""),1,0),0)</f>
        <v/>
      </c>
      <c r="N38">
        <f>IF(N$4=1,IF(OR(INDEX('×入力'!$A$1:$L$1300,791+N$3,2+N$2)&lt;&gt;"",INDEX('×入力'!$A$1:$L$1300,790,2+N$2)&lt;&gt;"",INDEX('×入力'!$A$1:$L$1300,791+N$3,1)&lt;&gt;""),1,0),0)</f>
        <v/>
      </c>
      <c r="O38">
        <f>IF(O$4=1,IF(OR(INDEX('×入力'!$A$1:$L$1300,791+O$3,2+O$2)&lt;&gt;"",INDEX('×入力'!$A$1:$L$1300,790,2+O$2)&lt;&gt;"",INDEX('×入力'!$A$1:$L$1300,791+O$3,1)&lt;&gt;""),1,0),0)</f>
        <v/>
      </c>
      <c r="P38">
        <f>IF(P$4=1,IF(OR(INDEX('×入力'!$A$1:$L$1300,791+P$3,2+P$2)&lt;&gt;"",INDEX('×入力'!$A$1:$L$1300,790,2+P$2)&lt;&gt;"",INDEX('×入力'!$A$1:$L$1300,791+P$3,1)&lt;&gt;""),1,0),0)</f>
        <v/>
      </c>
      <c r="Q38">
        <f>IF(Q$4=1,IF(OR(INDEX('×入力'!$A$1:$L$1300,791+Q$3,2+Q$2)&lt;&gt;"",INDEX('×入力'!$A$1:$L$1300,790,2+Q$2)&lt;&gt;"",INDEX('×入力'!$A$1:$L$1300,791+Q$3,1)&lt;&gt;""),1,0),0)</f>
        <v/>
      </c>
      <c r="R38">
        <f>IF(R$4=1,IF(OR(INDEX('×入力'!$A$1:$L$1300,791+R$3,2+R$2)&lt;&gt;"",INDEX('×入力'!$A$1:$L$1300,790,2+R$2)&lt;&gt;"",INDEX('×入力'!$A$1:$L$1300,791+R$3,1)&lt;&gt;""),1,0),0)</f>
        <v/>
      </c>
      <c r="S38">
        <f>IF(S$4=1,IF(OR(INDEX('×入力'!$A$1:$L$1300,791+S$3,2+S$2)&lt;&gt;"",INDEX('×入力'!$A$1:$L$1300,790,2+S$2)&lt;&gt;"",INDEX('×入力'!$A$1:$L$1300,791+S$3,1)&lt;&gt;""),1,0),0)</f>
        <v/>
      </c>
      <c r="T38">
        <f>IF(T$4=1,IF(OR(INDEX('×入力'!$A$1:$L$1300,791+T$3,2+T$2)&lt;&gt;"",INDEX('×入力'!$A$1:$L$1300,790,2+T$2)&lt;&gt;"",INDEX('×入力'!$A$1:$L$1300,791+T$3,1)&lt;&gt;""),1,0),0)</f>
        <v/>
      </c>
      <c r="U38">
        <f>IF(U$4=1,IF(OR(INDEX('×入力'!$A$1:$L$1300,791+U$3,2+U$2)&lt;&gt;"",INDEX('×入力'!$A$1:$L$1300,790,2+U$2)&lt;&gt;"",INDEX('×入力'!$A$1:$L$1300,791+U$3,1)&lt;&gt;""),1,0),0)</f>
        <v/>
      </c>
      <c r="V38">
        <f>IF(V$4=1,IF(OR(INDEX('×入力'!$A$1:$L$1300,791+V$3,2+V$2)&lt;&gt;"",INDEX('×入力'!$A$1:$L$1300,790,2+V$2)&lt;&gt;"",INDEX('×入力'!$A$1:$L$1300,791+V$3,1)&lt;&gt;""),1,0),0)</f>
        <v/>
      </c>
      <c r="W38">
        <f>IF(W$4=1,IF(OR(INDEX('×入力'!$A$1:$L$1300,791+W$3,2+W$2)&lt;&gt;"",INDEX('×入力'!$A$1:$L$1300,790,2+W$2)&lt;&gt;"",INDEX('×入力'!$A$1:$L$1300,791+W$3,1)&lt;&gt;""),1,0),0)</f>
        <v/>
      </c>
      <c r="X38">
        <f>IF(X$4=1,IF(OR(INDEX('×入力'!$A$1:$L$1300,791+X$3,2+X$2)&lt;&gt;"",INDEX('×入力'!$A$1:$L$1300,790,2+X$2)&lt;&gt;"",INDEX('×入力'!$A$1:$L$1300,791+X$3,1)&lt;&gt;""),1,0),0)</f>
        <v/>
      </c>
      <c r="Y38">
        <f>IF(Y$4=1,IF(OR(INDEX('×入力'!$A$1:$L$1300,791+Y$3,2+Y$2)&lt;&gt;"",INDEX('×入力'!$A$1:$L$1300,790,2+Y$2)&lt;&gt;"",INDEX('×入力'!$A$1:$L$1300,791+Y$3,1)&lt;&gt;""),1,0),0)</f>
        <v/>
      </c>
      <c r="Z38">
        <f>IF(Z$4=1,IF(OR(INDEX('×入力'!$A$1:$L$1300,791+Z$3,2+Z$2)&lt;&gt;"",INDEX('×入力'!$A$1:$L$1300,790,2+Z$2)&lt;&gt;"",INDEX('×入力'!$A$1:$L$1300,791+Z$3,1)&lt;&gt;""),1,0),0)</f>
        <v/>
      </c>
      <c r="AA38">
        <f>IF(AA$4=1,IF(OR(INDEX('×入力'!$A$1:$L$1300,791+AA$3,2+AA$2)&lt;&gt;"",INDEX('×入力'!$A$1:$L$1300,790,2+AA$2)&lt;&gt;"",INDEX('×入力'!$A$1:$L$1300,791+AA$3,1)&lt;&gt;""),1,0),0)</f>
        <v/>
      </c>
      <c r="AB38">
        <f>IF(AB$4=1,IF(OR(INDEX('×入力'!$A$1:$L$1300,791+AB$3,2+AB$2)&lt;&gt;"",INDEX('×入力'!$A$1:$L$1300,790,2+AB$2)&lt;&gt;"",INDEX('×入力'!$A$1:$L$1300,791+AB$3,1)&lt;&gt;""),1,0),0)</f>
        <v/>
      </c>
      <c r="AC38">
        <f>IF(AC$4=1,IF(OR(INDEX('×入力'!$A$1:$L$1300,791+AC$3,2+AC$2)&lt;&gt;"",INDEX('×入力'!$A$1:$L$1300,790,2+AC$2)&lt;&gt;"",INDEX('×入力'!$A$1:$L$1300,791+AC$3,1)&lt;&gt;""),1,0),0)</f>
        <v/>
      </c>
      <c r="AD38">
        <f>IF(AD$4=1,IF(OR(INDEX('×入力'!$A$1:$L$1300,791+AD$3,2+AD$2)&lt;&gt;"",INDEX('×入力'!$A$1:$L$1300,790,2+AD$2)&lt;&gt;"",INDEX('×入力'!$A$1:$L$1300,791+AD$3,1)&lt;&gt;""),1,0),0)</f>
        <v/>
      </c>
      <c r="AE38">
        <f>IF(AE$4=1,IF(OR(INDEX('×入力'!$A$1:$L$1300,791+AE$3,2+AE$2)&lt;&gt;"",INDEX('×入力'!$A$1:$L$1300,790,2+AE$2)&lt;&gt;"",INDEX('×入力'!$A$1:$L$1300,791+AE$3,1)&lt;&gt;""),1,0),0)</f>
        <v/>
      </c>
      <c r="AF38">
        <f>IF(AF$4=1,IF(OR(INDEX('×入力'!$A$1:$L$1300,791+AF$3,2+AF$2)&lt;&gt;"",INDEX('×入力'!$A$1:$L$1300,790,2+AF$2)&lt;&gt;"",INDEX('×入力'!$A$1:$L$1300,791+AF$3,1)&lt;&gt;""),1,0),0)</f>
        <v/>
      </c>
      <c r="AG38">
        <f>IF(AG$4=1,IF(OR(INDEX('×入力'!$A$1:$L$1300,791+AG$3,2+AG$2)&lt;&gt;"",INDEX('×入力'!$A$1:$L$1300,790,2+AG$2)&lt;&gt;"",INDEX('×入力'!$A$1:$L$1300,791+AG$3,1)&lt;&gt;""),1,0),0)</f>
        <v/>
      </c>
      <c r="AH38">
        <f>IF(AH$4=1,IF(OR(INDEX('×入力'!$A$1:$L$1300,791+AH$3,2+AH$2)&lt;&gt;"",INDEX('×入力'!$A$1:$L$1300,790,2+AH$2)&lt;&gt;"",INDEX('×入力'!$A$1:$L$1300,791+AH$3,1)&lt;&gt;""),1,0),0)</f>
        <v/>
      </c>
      <c r="AI38">
        <f>IF(AI$4=1,IF(OR(INDEX('×入力'!$A$1:$L$1300,791+AI$3,2+AI$2)&lt;&gt;"",INDEX('×入力'!$A$1:$L$1300,790,2+AI$2)&lt;&gt;"",INDEX('×入力'!$A$1:$L$1300,791+AI$3,1)&lt;&gt;""),1,0),0)</f>
        <v/>
      </c>
      <c r="AJ38">
        <f>IF(AJ$4=1,IF(OR(INDEX('×入力'!$A$1:$L$1300,791+AJ$3,2+AJ$2)&lt;&gt;"",INDEX('×入力'!$A$1:$L$1300,790,2+AJ$2)&lt;&gt;"",INDEX('×入力'!$A$1:$L$1300,791+AJ$3,1)&lt;&gt;""),1,0),0)</f>
        <v/>
      </c>
      <c r="AK38">
        <f>IF(AK$4=1,IF(OR(INDEX('×入力'!$A$1:$L$1300,791+AK$3,2+AK$2)&lt;&gt;"",INDEX('×入力'!$A$1:$L$1300,790,2+AK$2)&lt;&gt;"",INDEX('×入力'!$A$1:$L$1300,791+AK$3,1)&lt;&gt;""),1,0),0)</f>
        <v/>
      </c>
      <c r="AL38">
        <f>IF(AL$4=1,IF(OR(INDEX('×入力'!$A$1:$L$1300,791+AL$3,2+AL$2)&lt;&gt;"",INDEX('×入力'!$A$1:$L$1300,790,2+AL$2)&lt;&gt;"",INDEX('×入力'!$A$1:$L$1300,791+AL$3,1)&lt;&gt;""),1,0),0)</f>
        <v/>
      </c>
      <c r="AM38">
        <f>IF(AM$4=1,IF(OR(INDEX('×入力'!$A$1:$L$1300,791+AM$3,2+AM$2)&lt;&gt;"",INDEX('×入力'!$A$1:$L$1300,790,2+AM$2)&lt;&gt;"",INDEX('×入力'!$A$1:$L$1300,791+AM$3,1)&lt;&gt;""),1,0),0)</f>
        <v/>
      </c>
      <c r="AN38">
        <f>IF(AN$4=1,IF(OR(INDEX('×入力'!$A$1:$L$1300,791+AN$3,2+AN$2)&lt;&gt;"",INDEX('×入力'!$A$1:$L$1300,790,2+AN$2)&lt;&gt;"",INDEX('×入力'!$A$1:$L$1300,791+AN$3,1)&lt;&gt;""),1,0),0)</f>
        <v/>
      </c>
      <c r="AO38">
        <f>IF(AO$4=1,IF(OR(INDEX('×入力'!$A$1:$L$1300,791+AO$3,2+AO$2)&lt;&gt;"",INDEX('×入力'!$A$1:$L$1300,790,2+AO$2)&lt;&gt;"",INDEX('×入力'!$A$1:$L$1300,791+AO$3,1)&lt;&gt;""),1,0),0)</f>
        <v/>
      </c>
      <c r="AP38">
        <f>IF(AP$4=1,IF(OR(INDEX('×入力'!$A$1:$L$1300,791+AP$3,2+AP$2)&lt;&gt;"",INDEX('×入力'!$A$1:$L$1300,790,2+AP$2)&lt;&gt;"",INDEX('×入力'!$A$1:$L$1300,791+AP$3,1)&lt;&gt;""),1,0),0)</f>
        <v/>
      </c>
      <c r="AQ38">
        <f>IF(AQ$4=1,IF(OR(INDEX('×入力'!$A$1:$L$1300,791+AQ$3,2+AQ$2)&lt;&gt;"",INDEX('×入力'!$A$1:$L$1300,790,2+AQ$2)&lt;&gt;"",INDEX('×入力'!$A$1:$L$1300,791+AQ$3,1)&lt;&gt;""),1,0),0)</f>
        <v/>
      </c>
      <c r="AR38">
        <f>IF(AR$4=1,IF(OR(INDEX('×入力'!$A$1:$L$1300,791+AR$3,2+AR$2)&lt;&gt;"",INDEX('×入力'!$A$1:$L$1300,790,2+AR$2)&lt;&gt;"",INDEX('×入力'!$A$1:$L$1300,791+AR$3,1)&lt;&gt;""),1,0),0)</f>
        <v/>
      </c>
      <c r="AS38">
        <f>IF(AS$4=1,IF(OR(INDEX('×入力'!$A$1:$L$1300,791+AS$3,2+AS$2)&lt;&gt;"",INDEX('×入力'!$A$1:$L$1300,790,2+AS$2)&lt;&gt;"",INDEX('×入力'!$A$1:$L$1300,791+AS$3,1)&lt;&gt;""),1,0),0)</f>
        <v/>
      </c>
      <c r="AT38">
        <f>IF(AT$4=1,IF(OR(INDEX('×入力'!$A$1:$L$1300,791+AT$3,2+AT$2)&lt;&gt;"",INDEX('×入力'!$A$1:$L$1300,790,2+AT$2)&lt;&gt;"",INDEX('×入力'!$A$1:$L$1300,791+AT$3,1)&lt;&gt;""),1,0),0)</f>
        <v/>
      </c>
      <c r="AU38">
        <f>IF(AU$4=1,IF(OR(INDEX('×入力'!$A$1:$L$1300,791+AU$3,2+AU$2)&lt;&gt;"",INDEX('×入力'!$A$1:$L$1300,790,2+AU$2)&lt;&gt;"",INDEX('×入力'!$A$1:$L$1300,791+AU$3,1)&lt;&gt;""),1,0),0)</f>
        <v/>
      </c>
      <c r="AV38">
        <f>IF(AV$4=1,IF(OR(INDEX('×入力'!$A$1:$L$1300,791+AV$3,2+AV$2)&lt;&gt;"",INDEX('×入力'!$A$1:$L$1300,790,2+AV$2)&lt;&gt;"",INDEX('×入力'!$A$1:$L$1300,791+AV$3,1)&lt;&gt;""),1,0),0)</f>
        <v/>
      </c>
      <c r="AW38">
        <f>IF(AW$4=1,IF(OR(INDEX('×入力'!$A$1:$L$1300,791+AW$3,2+AW$2)&lt;&gt;"",INDEX('×入力'!$A$1:$L$1300,790,2+AW$2)&lt;&gt;"",INDEX('×入力'!$A$1:$L$1300,791+AW$3,1)&lt;&gt;""),1,0),0)</f>
        <v/>
      </c>
      <c r="AX38">
        <f>IF(AX$4=1,IF(OR(INDEX('×入力'!$A$1:$L$1300,791+AX$3,2+AX$2)&lt;&gt;"",INDEX('×入力'!$A$1:$L$1300,790,2+AX$2)&lt;&gt;"",INDEX('×入力'!$A$1:$L$1300,791+AX$3,1)&lt;&gt;""),1,0),0)</f>
        <v/>
      </c>
      <c r="AY38">
        <f>IF(AY$4=1,IF(OR(INDEX('×入力'!$A$1:$L$1300,791+AY$3,2+AY$2)&lt;&gt;"",INDEX('×入力'!$A$1:$L$1300,790,2+AY$2)&lt;&gt;"",INDEX('×入力'!$A$1:$L$1300,791+AY$3,1)&lt;&gt;""),1,0),0)</f>
        <v/>
      </c>
      <c r="AZ38">
        <f>IF(AZ$4=1,IF(OR(INDEX('×入力'!$A$1:$L$1300,791+AZ$3,2+AZ$2)&lt;&gt;"",INDEX('×入力'!$A$1:$L$1300,790,2+AZ$2)&lt;&gt;"",INDEX('×入力'!$A$1:$L$1300,791+AZ$3,1)&lt;&gt;""),1,0),0)</f>
        <v/>
      </c>
      <c r="BA38">
        <f>IF(BA$4=1,IF(OR(INDEX('×入力'!$A$1:$L$1300,791+BA$3,2+BA$2)&lt;&gt;"",INDEX('×入力'!$A$1:$L$1300,790,2+BA$2)&lt;&gt;"",INDEX('×入力'!$A$1:$L$1300,791+BA$3,1)&lt;&gt;""),1,0),0)</f>
        <v/>
      </c>
      <c r="BB38">
        <f>IF(BB$4=1,IF(OR(INDEX('×入力'!$A$1:$L$1300,791+BB$3,2+BB$2)&lt;&gt;"",INDEX('×入力'!$A$1:$L$1300,790,2+BB$2)&lt;&gt;"",INDEX('×入力'!$A$1:$L$1300,791+BB$3,1)&lt;&gt;""),1,0),0)</f>
        <v/>
      </c>
      <c r="BC38">
        <f>IF(BC$4=1,IF(OR(INDEX('×入力'!$A$1:$L$1300,791+BC$3,2+BC$2)&lt;&gt;"",INDEX('×入力'!$A$1:$L$1300,790,2+BC$2)&lt;&gt;"",INDEX('×入力'!$A$1:$L$1300,791+BC$3,1)&lt;&gt;""),1,0),0)</f>
        <v/>
      </c>
      <c r="BD38">
        <f>IF(BD$4=1,IF(OR(INDEX('×入力'!$A$1:$L$1300,791+BD$3,2+BD$2)&lt;&gt;"",INDEX('×入力'!$A$1:$L$1300,790,2+BD$2)&lt;&gt;"",INDEX('×入力'!$A$1:$L$1300,791+BD$3,1)&lt;&gt;""),1,0),0)</f>
        <v/>
      </c>
      <c r="BE38">
        <f>IF(BE$4=1,IF(OR(INDEX('×入力'!$A$1:$L$1300,791+BE$3,2+BE$2)&lt;&gt;"",INDEX('×入力'!$A$1:$L$1300,790,2+BE$2)&lt;&gt;"",INDEX('×入力'!$A$1:$L$1300,791+BE$3,1)&lt;&gt;""),1,0),0)</f>
        <v/>
      </c>
      <c r="BF38">
        <f>IF(BF$4=1,IF(OR(INDEX('×入力'!$A$1:$L$1300,791+BF$3,2+BF$2)&lt;&gt;"",INDEX('×入力'!$A$1:$L$1300,790,2+BF$2)&lt;&gt;"",INDEX('×入力'!$A$1:$L$1300,791+BF$3,1)&lt;&gt;""),1,0),0)</f>
        <v/>
      </c>
      <c r="BG38">
        <f>IF(BG$4=1,IF(OR(INDEX('×入力'!$A$1:$L$1300,791+BG$3,2+BG$2)&lt;&gt;"",INDEX('×入力'!$A$1:$L$1300,790,2+BG$2)&lt;&gt;"",INDEX('×入力'!$A$1:$L$1300,791+BG$3,1)&lt;&gt;""),1,0),0)</f>
        <v/>
      </c>
      <c r="BH38">
        <f>IF(BH$4=1,IF(OR(INDEX('×入力'!$A$1:$L$1300,791+BH$3,2+BH$2)&lt;&gt;"",INDEX('×入力'!$A$1:$L$1300,790,2+BH$2)&lt;&gt;"",INDEX('×入力'!$A$1:$L$1300,791+BH$3,1)&lt;&gt;""),1,0),0)</f>
        <v/>
      </c>
      <c r="BI38">
        <f>IF(BI$4=1,IF(OR(INDEX('×入力'!$A$1:$L$1300,791+BI$3,2+BI$2)&lt;&gt;"",INDEX('×入力'!$A$1:$L$1300,790,2+BI$2)&lt;&gt;"",INDEX('×入力'!$A$1:$L$1300,791+BI$3,1)&lt;&gt;""),1,0),0)</f>
        <v/>
      </c>
      <c r="BJ38">
        <f>IF(BJ$4=1,IF(OR(INDEX('×入力'!$A$1:$L$1300,791+BJ$3,2+BJ$2)&lt;&gt;"",INDEX('×入力'!$A$1:$L$1300,790,2+BJ$2)&lt;&gt;"",INDEX('×入力'!$A$1:$L$1300,791+BJ$3,1)&lt;&gt;""),1,0),0)</f>
        <v/>
      </c>
      <c r="BK38">
        <f>IF(BK$4=1,IF(OR(INDEX('×入力'!$A$1:$L$1300,791+BK$3,2+BK$2)&lt;&gt;"",INDEX('×入力'!$A$1:$L$1300,790,2+BK$2)&lt;&gt;"",INDEX('×入力'!$A$1:$L$1300,791+BK$3,1)&lt;&gt;""),1,0),0)</f>
        <v/>
      </c>
      <c r="BL38">
        <f>IF(BL$4=1,IF(OR(INDEX('×入力'!$A$1:$L$1300,791+BL$3,2+BL$2)&lt;&gt;"",INDEX('×入力'!$A$1:$L$1300,790,2+BL$2)&lt;&gt;"",INDEX('×入力'!$A$1:$L$1300,791+BL$3,1)&lt;&gt;""),1,0),0)</f>
        <v/>
      </c>
      <c r="BM38">
        <f>IF(BM$4=1,IF(OR(INDEX('×入力'!$A$1:$L$1300,791+BM$3,2+BM$2)&lt;&gt;"",INDEX('×入力'!$A$1:$L$1300,790,2+BM$2)&lt;&gt;"",INDEX('×入力'!$A$1:$L$1300,791+BM$3,1)&lt;&gt;""),1,0),0)</f>
        <v/>
      </c>
      <c r="BN38">
        <f>IF(BN$4=1,IF(OR(INDEX('×入力'!$A$1:$L$1300,791+BN$3,2+BN$2)&lt;&gt;"",INDEX('×入力'!$A$1:$L$1300,790,2+BN$2)&lt;&gt;"",INDEX('×入力'!$A$1:$L$1300,791+BN$3,1)&lt;&gt;""),1,0),0)</f>
        <v/>
      </c>
      <c r="BO38">
        <f>IF(BO$4=1,IF(OR(INDEX('×入力'!$A$1:$L$1300,791+BO$3,2+BO$2)&lt;&gt;"",INDEX('×入力'!$A$1:$L$1300,790,2+BO$2)&lt;&gt;"",INDEX('×入力'!$A$1:$L$1300,791+BO$3,1)&lt;&gt;""),1,0),0)</f>
        <v/>
      </c>
      <c r="BP38">
        <f>IF(BP$4=1,IF(OR(INDEX('×入力'!$A$1:$L$1300,791+BP$3,2+BP$2)&lt;&gt;"",INDEX('×入力'!$A$1:$L$1300,790,2+BP$2)&lt;&gt;"",INDEX('×入力'!$A$1:$L$1300,791+BP$3,1)&lt;&gt;""),1,0),0)</f>
        <v/>
      </c>
      <c r="BQ38">
        <f>IF(BQ$4=1,IF(OR(INDEX('×入力'!$A$1:$L$1300,791+BQ$3,2+BQ$2)&lt;&gt;"",INDEX('×入力'!$A$1:$L$1300,790,2+BQ$2)&lt;&gt;"",INDEX('×入力'!$A$1:$L$1300,791+BQ$3,1)&lt;&gt;""),1,0),0)</f>
        <v/>
      </c>
      <c r="BR38">
        <f>IF(BR$4=1,IF(OR(INDEX('×入力'!$A$1:$L$1300,791+BR$3,2+BR$2)&lt;&gt;"",INDEX('×入力'!$A$1:$L$1300,790,2+BR$2)&lt;&gt;"",INDEX('×入力'!$A$1:$L$1300,791+BR$3,1)&lt;&gt;""),1,0),0)</f>
        <v/>
      </c>
      <c r="BS38">
        <f>IF(BS$4=1,IF(OR(INDEX('×入力'!$A$1:$L$1300,791+BS$3,2+BS$2)&lt;&gt;"",INDEX('×入力'!$A$1:$L$1300,790,2+BS$2)&lt;&gt;"",INDEX('×入力'!$A$1:$L$1300,791+BS$3,1)&lt;&gt;""),1,0),0)</f>
        <v/>
      </c>
      <c r="BT38">
        <f>IF(BT$4=1,IF(OR(INDEX('×入力'!$A$1:$L$1300,791+BT$3,2+BT$2)&lt;&gt;"",INDEX('×入力'!$A$1:$L$1300,790,2+BT$2)&lt;&gt;"",INDEX('×入力'!$A$1:$L$1300,791+BT$3,1)&lt;&gt;""),1,0),0)</f>
        <v/>
      </c>
      <c r="BU38">
        <f>IF(BU$4=1,IF(OR(INDEX('×入力'!$A$1:$L$1300,791+BU$3,2+BU$2)&lt;&gt;"",INDEX('×入力'!$A$1:$L$1300,790,2+BU$2)&lt;&gt;"",INDEX('×入力'!$A$1:$L$1300,791+BU$3,1)&lt;&gt;""),1,0),0)</f>
        <v/>
      </c>
      <c r="BV38">
        <f>IF(BV$4=1,IF(OR(INDEX('×入力'!$A$1:$L$1300,791+BV$3,2+BV$2)&lt;&gt;"",INDEX('×入力'!$A$1:$L$1300,790,2+BV$2)&lt;&gt;"",INDEX('×入力'!$A$1:$L$1300,791+BV$3,1)&lt;&gt;""),1,0),0)</f>
        <v/>
      </c>
      <c r="BW38">
        <f>IF(BW$4=1,IF(OR(INDEX('×入力'!$A$1:$L$1300,791+BW$3,2+BW$2)&lt;&gt;"",INDEX('×入力'!$A$1:$L$1300,790,2+BW$2)&lt;&gt;"",INDEX('×入力'!$A$1:$L$1300,791+BW$3,1)&lt;&gt;""),1,0),0)</f>
        <v/>
      </c>
      <c r="BX38">
        <f>IF(BX$4=1,IF(OR(INDEX('×入力'!$A$1:$L$1300,791+BX$3,2+BX$2)&lt;&gt;"",INDEX('×入力'!$A$1:$L$1300,790,2+BX$2)&lt;&gt;"",INDEX('×入力'!$A$1:$L$1300,791+BX$3,1)&lt;&gt;""),1,0),0)</f>
        <v/>
      </c>
      <c r="BY38">
        <f>IF(BY$4=1,IF(OR(INDEX('×入力'!$A$1:$L$1300,791+BY$3,2+BY$2)&lt;&gt;"",INDEX('×入力'!$A$1:$L$1300,790,2+BY$2)&lt;&gt;"",INDEX('×入力'!$A$1:$L$1300,791+BY$3,1)&lt;&gt;""),1,0),0)</f>
        <v/>
      </c>
      <c r="BZ38">
        <f>IF(BZ$4=1,IF(OR(INDEX('×入力'!$A$1:$L$1300,791+BZ$3,2+BZ$2)&lt;&gt;"",INDEX('×入力'!$A$1:$L$1300,790,2+BZ$2)&lt;&gt;"",INDEX('×入力'!$A$1:$L$1300,791+BZ$3,1)&lt;&gt;""),1,0),0)</f>
        <v/>
      </c>
      <c r="CA38">
        <f>IF(CA$4=1,IF(OR(INDEX('×入力'!$A$1:$L$1300,791+CA$3,2+CA$2)&lt;&gt;"",INDEX('×入力'!$A$1:$L$1300,790,2+CA$2)&lt;&gt;"",INDEX('×入力'!$A$1:$L$1300,791+CA$3,1)&lt;&gt;""),1,0),0)</f>
        <v/>
      </c>
      <c r="CB38">
        <f>IF(CB$4=1,IF(OR(INDEX('×入力'!$A$1:$L$1300,791+CB$3,2+CB$2)&lt;&gt;"",INDEX('×入力'!$A$1:$L$1300,790,2+CB$2)&lt;&gt;"",INDEX('×入力'!$A$1:$L$1300,791+CB$3,1)&lt;&gt;""),1,0),0)</f>
        <v/>
      </c>
      <c r="CC38">
        <f>IF(CC$4=1,IF(OR(INDEX('×入力'!$A$1:$L$1300,791+CC$3,2+CC$2)&lt;&gt;"",INDEX('×入力'!$A$1:$L$1300,790,2+CC$2)&lt;&gt;"",INDEX('×入力'!$A$1:$L$1300,791+CC$3,1)&lt;&gt;""),1,0),0)</f>
        <v/>
      </c>
      <c r="CD38">
        <f>IF(CD$4=1,IF(OR(INDEX('×入力'!$A$1:$L$1300,791+CD$3,2+CD$2)&lt;&gt;"",INDEX('×入力'!$A$1:$L$1300,790,2+CD$2)&lt;&gt;"",INDEX('×入力'!$A$1:$L$1300,791+CD$3,1)&lt;&gt;""),1,0),0)</f>
        <v/>
      </c>
      <c r="CE38">
        <f>IF(CE$4=1,IF(OR(INDEX('×入力'!$A$1:$L$1300,791+CE$3,2+CE$2)&lt;&gt;"",INDEX('×入力'!$A$1:$L$1300,790,2+CE$2)&lt;&gt;"",INDEX('×入力'!$A$1:$L$1300,791+CE$3,1)&lt;&gt;""),1,0),0)</f>
        <v/>
      </c>
      <c r="CF38">
        <f>IF(CF$4=1,IF(OR(INDEX('×入力'!$A$1:$L$1300,791+CF$3,2+CF$2)&lt;&gt;"",INDEX('×入力'!$A$1:$L$1300,790,2+CF$2)&lt;&gt;"",INDEX('×入力'!$A$1:$L$1300,791+CF$3,1)&lt;&gt;""),1,0),0)</f>
        <v/>
      </c>
      <c r="CG38">
        <f>IF(CG$4=1,IF(OR(INDEX('×入力'!$A$1:$L$1300,791+CG$3,2+CG$2)&lt;&gt;"",INDEX('×入力'!$A$1:$L$1300,790,2+CG$2)&lt;&gt;"",INDEX('×入力'!$A$1:$L$1300,791+CG$3,1)&lt;&gt;""),1,0),0)</f>
        <v/>
      </c>
      <c r="CH38">
        <f>IF(CH$4=1,IF(OR(INDEX('×入力'!$A$1:$L$1300,791+CH$3,2+CH$2)&lt;&gt;"",INDEX('×入力'!$A$1:$L$1300,790,2+CH$2)&lt;&gt;"",INDEX('×入力'!$A$1:$L$1300,791+CH$3,1)&lt;&gt;""),1,0),0)</f>
        <v/>
      </c>
      <c r="CI38">
        <f>IF(CI$4=1,IF(OR(INDEX('×入力'!$A$1:$L$1300,791+CI$3,2+CI$2)&lt;&gt;"",INDEX('×入力'!$A$1:$L$1300,790,2+CI$2)&lt;&gt;"",INDEX('×入力'!$A$1:$L$1300,791+CI$3,1)&lt;&gt;""),1,0),0)</f>
        <v/>
      </c>
      <c r="CJ38">
        <f>IF(CJ$4=1,IF(OR(INDEX('×入力'!$A$1:$L$1300,791+CJ$3,2+CJ$2)&lt;&gt;"",INDEX('×入力'!$A$1:$L$1300,790,2+CJ$2)&lt;&gt;"",INDEX('×入力'!$A$1:$L$1300,791+CJ$3,1)&lt;&gt;""),1,0),0)</f>
        <v/>
      </c>
      <c r="CK38">
        <f>IF(CK$4=1,IF(OR(INDEX('×入力'!$A$1:$L$1300,791+CK$3,2+CK$2)&lt;&gt;"",INDEX('×入力'!$A$1:$L$1300,790,2+CK$2)&lt;&gt;"",INDEX('×入力'!$A$1:$L$1300,791+CK$3,1)&lt;&gt;""),1,0),0)</f>
        <v/>
      </c>
      <c r="CL38">
        <f>IF(CL$4=1,IF(OR(INDEX('×入力'!$A$1:$L$1300,791+CL$3,2+CL$2)&lt;&gt;"",INDEX('×入力'!$A$1:$L$1300,790,2+CL$2)&lt;&gt;"",INDEX('×入力'!$A$1:$L$1300,791+CL$3,1)&lt;&gt;""),1,0),0)</f>
        <v/>
      </c>
      <c r="CM38">
        <f>IF(CM$4=1,IF(OR(INDEX('×入力'!$A$1:$L$1300,791+CM$3,2+CM$2)&lt;&gt;"",INDEX('×入力'!$A$1:$L$1300,790,2+CM$2)&lt;&gt;"",INDEX('×入力'!$A$1:$L$1300,791+CM$3,1)&lt;&gt;""),1,0),0)</f>
        <v/>
      </c>
      <c r="CN38">
        <f>IF(CN$4=1,IF(OR(INDEX('×入力'!$A$1:$L$1300,791+CN$3,2+CN$2)&lt;&gt;"",INDEX('×入力'!$A$1:$L$1300,790,2+CN$2)&lt;&gt;"",INDEX('×入力'!$A$1:$L$1300,791+CN$3,1)&lt;&gt;""),1,0),0)</f>
        <v/>
      </c>
      <c r="CO38">
        <f>IF(CO$4=1,IF(OR(INDEX('×入力'!$A$1:$L$1300,791+CO$3,2+CO$2)&lt;&gt;"",INDEX('×入力'!$A$1:$L$1300,790,2+CO$2)&lt;&gt;"",INDEX('×入力'!$A$1:$L$1300,791+CO$3,1)&lt;&gt;""),1,0),0)</f>
        <v/>
      </c>
      <c r="CP38">
        <f>IF(CP$4=1,IF(OR(INDEX('×入力'!$A$1:$L$1300,791+CP$3,2+CP$2)&lt;&gt;"",INDEX('×入力'!$A$1:$L$1300,790,2+CP$2)&lt;&gt;"",INDEX('×入力'!$A$1:$L$1300,791+CP$3,1)&lt;&gt;""),1,0),0)</f>
        <v/>
      </c>
      <c r="CQ38">
        <f>IF(CQ$4=1,IF(OR(INDEX('×入力'!$A$1:$L$1300,791+CQ$3,2+CQ$2)&lt;&gt;"",INDEX('×入力'!$A$1:$L$1300,790,2+CQ$2)&lt;&gt;"",INDEX('×入力'!$A$1:$L$1300,791+CQ$3,1)&lt;&gt;""),1,0),0)</f>
        <v/>
      </c>
      <c r="CR38">
        <f>IF(CR$4=1,IF(OR(INDEX('×入力'!$A$1:$L$1300,791+CR$3,2+CR$2)&lt;&gt;"",INDEX('×入力'!$A$1:$L$1300,790,2+CR$2)&lt;&gt;"",INDEX('×入力'!$A$1:$L$1300,791+CR$3,1)&lt;&gt;""),1,0),0)</f>
        <v/>
      </c>
      <c r="CS38">
        <f>IF(CS$4=1,IF(OR(INDEX('×入力'!$A$1:$L$1300,791+CS$3,2+CS$2)&lt;&gt;"",INDEX('×入力'!$A$1:$L$1300,790,2+CS$2)&lt;&gt;"",INDEX('×入力'!$A$1:$L$1300,791+CS$3,1)&lt;&gt;""),1,0),0)</f>
        <v/>
      </c>
      <c r="CT38">
        <f>IF(CT$4=1,IF(OR(INDEX('×入力'!$A$1:$L$1300,791+CT$3,2+CT$2)&lt;&gt;"",INDEX('×入力'!$A$1:$L$1300,790,2+CT$2)&lt;&gt;"",INDEX('×入力'!$A$1:$L$1300,791+CT$3,1)&lt;&gt;""),1,0),0)</f>
        <v/>
      </c>
      <c r="CU38">
        <f>IF(CU$4=1,IF(OR(INDEX('×入力'!$A$1:$L$1300,791+CU$3,2+CU$2)&lt;&gt;"",INDEX('×入力'!$A$1:$L$1300,790,2+CU$2)&lt;&gt;"",INDEX('×入力'!$A$1:$L$1300,791+CU$3,1)&lt;&gt;""),1,0),0)</f>
        <v/>
      </c>
      <c r="CV38">
        <f>IF(CV$4=1,IF(OR(INDEX('×入力'!$A$1:$L$1300,791+CV$3,2+CV$2)&lt;&gt;"",INDEX('×入力'!$A$1:$L$1300,790,2+CV$2)&lt;&gt;"",INDEX('×入力'!$A$1:$L$1300,791+CV$3,1)&lt;&gt;""),1,0),0)</f>
        <v/>
      </c>
      <c r="CW38">
        <f>IF(CW$4=1,IF(OR(INDEX('×入力'!$A$1:$L$1300,791+CW$3,2+CW$2)&lt;&gt;"",INDEX('×入力'!$A$1:$L$1300,790,2+CW$2)&lt;&gt;"",INDEX('×入力'!$A$1:$L$1300,791+CW$3,1)&lt;&gt;""),1,0),0)</f>
        <v/>
      </c>
      <c r="CX38">
        <f>IF(CX$4=1,IF(OR(INDEX('×入力'!$A$1:$L$1300,791+CX$3,2+CX$2)&lt;&gt;"",INDEX('×入力'!$A$1:$L$1300,790,2+CX$2)&lt;&gt;"",INDEX('×入力'!$A$1:$L$1300,791+CX$3,1)&lt;&gt;""),1,0),0)</f>
        <v/>
      </c>
      <c r="CY38">
        <f>IF(CY$4=1,IF(OR(INDEX('×入力'!$A$1:$L$1300,791+CY$3,2+CY$2)&lt;&gt;"",INDEX('×入力'!$A$1:$L$1300,790,2+CY$2)&lt;&gt;"",INDEX('×入力'!$A$1:$L$1300,791+CY$3,1)&lt;&gt;""),1,0),0)</f>
        <v/>
      </c>
      <c r="CZ38">
        <f>IF(CZ$4=1,IF(OR(INDEX('×入力'!$A$1:$L$1300,791+CZ$3,2+CZ$2)&lt;&gt;"",INDEX('×入力'!$A$1:$L$1300,790,2+CZ$2)&lt;&gt;"",INDEX('×入力'!$A$1:$L$1300,791+CZ$3,1)&lt;&gt;""),1,0),0)</f>
        <v/>
      </c>
      <c r="DA38">
        <f>IF(DA$4=1,IF(OR(INDEX('×入力'!$A$1:$L$1300,791+DA$3,2+DA$2)&lt;&gt;"",INDEX('×入力'!$A$1:$L$1300,790,2+DA$2)&lt;&gt;"",INDEX('×入力'!$A$1:$L$1300,791+DA$3,1)&lt;&gt;""),1,0),0)</f>
        <v/>
      </c>
      <c r="DB38">
        <f>IF(DB$4=1,IF(OR(INDEX('×入力'!$A$1:$L$1300,791+DB$3,2+DB$2)&lt;&gt;"",INDEX('×入力'!$A$1:$L$1300,790,2+DB$2)&lt;&gt;"",INDEX('×入力'!$A$1:$L$1300,791+DB$3,1)&lt;&gt;""),1,0),0)</f>
        <v/>
      </c>
      <c r="DC38">
        <f>IF(DC$4=1,IF(OR(INDEX('×入力'!$A$1:$L$1300,791+DC$3,2+DC$2)&lt;&gt;"",INDEX('×入力'!$A$1:$L$1300,790,2+DC$2)&lt;&gt;"",INDEX('×入力'!$A$1:$L$1300,791+DC$3,1)&lt;&gt;""),1,0),0)</f>
        <v/>
      </c>
      <c r="DD38">
        <f>IF(DD$4=1,IF(OR(INDEX('×入力'!$A$1:$L$1300,791+DD$3,2+DD$2)&lt;&gt;"",INDEX('×入力'!$A$1:$L$1300,790,2+DD$2)&lt;&gt;"",INDEX('×入力'!$A$1:$L$1300,791+DD$3,1)&lt;&gt;""),1,0),0)</f>
        <v/>
      </c>
      <c r="DE38">
        <f>IF(DE$4=1,IF(OR(INDEX('×入力'!$A$1:$L$1300,791+DE$3,2+DE$2)&lt;&gt;"",INDEX('×入力'!$A$1:$L$1300,790,2+DE$2)&lt;&gt;"",INDEX('×入力'!$A$1:$L$1300,791+DE$3,1)&lt;&gt;""),1,0),0)</f>
        <v/>
      </c>
      <c r="DF38">
        <f>IF(DF$4=1,IF(OR(INDEX('×入力'!$A$1:$L$1300,791+DF$3,2+DF$2)&lt;&gt;"",INDEX('×入力'!$A$1:$L$1300,790,2+DF$2)&lt;&gt;"",INDEX('×入力'!$A$1:$L$1300,791+DF$3,1)&lt;&gt;""),1,0),0)</f>
        <v/>
      </c>
      <c r="DG38">
        <f>IF(DG$4=1,IF(OR(INDEX('×入力'!$A$1:$L$1300,791+DG$3,2+DG$2)&lt;&gt;"",INDEX('×入力'!$A$1:$L$1300,790,2+DG$2)&lt;&gt;"",INDEX('×入力'!$A$1:$L$1300,791+DG$3,1)&lt;&gt;""),1,0),0)</f>
        <v/>
      </c>
      <c r="DH38">
        <f>IF(DH$4=1,IF(OR(INDEX('×入力'!$A$1:$L$1300,791+DH$3,2+DH$2)&lt;&gt;"",INDEX('×入力'!$A$1:$L$1300,790,2+DH$2)&lt;&gt;"",INDEX('×入力'!$A$1:$L$1300,791+DH$3,1)&lt;&gt;""),1,0),0)</f>
        <v/>
      </c>
      <c r="DI38">
        <f>IF(DI$4=1,IF(OR(INDEX('×入力'!$A$1:$L$1300,791+DI$3,2+DI$2)&lt;&gt;"",INDEX('×入力'!$A$1:$L$1300,790,2+DI$2)&lt;&gt;"",INDEX('×入力'!$A$1:$L$1300,791+DI$3,1)&lt;&gt;""),1,0),0)</f>
        <v/>
      </c>
      <c r="DJ38">
        <f>IF(DJ$4=1,IF(OR(INDEX('×入力'!$A$1:$L$1300,791+DJ$3,2+DJ$2)&lt;&gt;"",INDEX('×入力'!$A$1:$L$1300,790,2+DJ$2)&lt;&gt;"",INDEX('×入力'!$A$1:$L$1300,791+DJ$3,1)&lt;&gt;""),1,0),0)</f>
        <v/>
      </c>
      <c r="DK38">
        <f>IF(DK$4=1,IF(OR(INDEX('×入力'!$A$1:$L$1300,791+DK$3,2+DK$2)&lt;&gt;"",INDEX('×入力'!$A$1:$L$1300,790,2+DK$2)&lt;&gt;"",INDEX('×入力'!$A$1:$L$1300,791+DK$3,1)&lt;&gt;""),1,0),0)</f>
        <v/>
      </c>
      <c r="DL38">
        <f>IF(DL$4=1,IF(OR(INDEX('×入力'!$A$1:$L$1300,791+DL$3,2+DL$2)&lt;&gt;"",INDEX('×入力'!$A$1:$L$1300,790,2+DL$2)&lt;&gt;"",INDEX('×入力'!$A$1:$L$1300,791+DL$3,1)&lt;&gt;""),1,0),0)</f>
        <v/>
      </c>
      <c r="DM38">
        <f>IF(DM$4=1,IF(OR(INDEX('×入力'!$A$1:$L$1300,791+DM$3,2+DM$2)&lt;&gt;"",INDEX('×入力'!$A$1:$L$1300,790,2+DM$2)&lt;&gt;"",INDEX('×入力'!$A$1:$L$1300,791+DM$3,1)&lt;&gt;""),1,0),0)</f>
        <v/>
      </c>
      <c r="DN38">
        <f>IF(DN$4=1,IF(OR(INDEX('×入力'!$A$1:$L$1300,791+DN$3,2+DN$2)&lt;&gt;"",INDEX('×入力'!$A$1:$L$1300,790,2+DN$2)&lt;&gt;"",INDEX('×入力'!$A$1:$L$1300,791+DN$3,1)&lt;&gt;""),1,0),0)</f>
        <v/>
      </c>
      <c r="DO38">
        <f>IF(DO$4=1,IF(OR(INDEX('×入力'!$A$1:$L$1300,791+DO$3,2+DO$2)&lt;&gt;"",INDEX('×入力'!$A$1:$L$1300,790,2+DO$2)&lt;&gt;"",INDEX('×入力'!$A$1:$L$1300,791+DO$3,1)&lt;&gt;""),1,0),0)</f>
        <v/>
      </c>
      <c r="DP38">
        <f>IF(DP$4=1,IF(OR(INDEX('×入力'!$A$1:$L$1300,791+DP$3,2+DP$2)&lt;&gt;"",INDEX('×入力'!$A$1:$L$1300,790,2+DP$2)&lt;&gt;"",INDEX('×入力'!$A$1:$L$1300,791+DP$3,1)&lt;&gt;""),1,0),0)</f>
        <v/>
      </c>
      <c r="DQ38">
        <f>IF(DQ$4=1,IF(OR(INDEX('×入力'!$A$1:$L$1300,791+DQ$3,2+DQ$2)&lt;&gt;"",INDEX('×入力'!$A$1:$L$1300,790,2+DQ$2)&lt;&gt;"",INDEX('×入力'!$A$1:$L$1300,791+DQ$3,1)&lt;&gt;""),1,0),0)</f>
        <v/>
      </c>
      <c r="DR38">
        <f>IF(DR$4=1,IF(OR(INDEX('×入力'!$A$1:$L$1300,791+DR$3,2+DR$2)&lt;&gt;"",INDEX('×入力'!$A$1:$L$1300,790,2+DR$2)&lt;&gt;"",INDEX('×入力'!$A$1:$L$1300,791+DR$3,1)&lt;&gt;""),1,0),0)</f>
        <v/>
      </c>
      <c r="DS38">
        <f>IF(DS$4=1,IF(OR(INDEX('×入力'!$A$1:$L$1300,791+DS$3,2+DS$2)&lt;&gt;"",INDEX('×入力'!$A$1:$L$1300,790,2+DS$2)&lt;&gt;"",INDEX('×入力'!$A$1:$L$1300,791+DS$3,1)&lt;&gt;""),1,0),0)</f>
        <v/>
      </c>
      <c r="DT38">
        <f>IF(DT$4=1,IF(OR(INDEX('×入力'!$A$1:$L$1300,791+DT$3,2+DT$2)&lt;&gt;"",INDEX('×入力'!$A$1:$L$1300,790,2+DT$2)&lt;&gt;"",INDEX('×入力'!$A$1:$L$1300,791+DT$3,1)&lt;&gt;""),1,0),0)</f>
        <v/>
      </c>
      <c r="DU38">
        <f>IF(DU$4=1,IF(OR(INDEX('×入力'!$A$1:$L$1300,791+DU$3,2+DU$2)&lt;&gt;"",INDEX('×入力'!$A$1:$L$1300,790,2+DU$2)&lt;&gt;"",INDEX('×入力'!$A$1:$L$1300,791+DU$3,1)&lt;&gt;""),1,0),0)</f>
        <v/>
      </c>
      <c r="DV38">
        <f>IF(DV$4=1,IF(OR(INDEX('×入力'!$A$1:$L$1300,791+DV$3,2+DV$2)&lt;&gt;"",INDEX('×入力'!$A$1:$L$1300,790,2+DV$2)&lt;&gt;"",INDEX('×入力'!$A$1:$L$1300,791+DV$3,1)&lt;&gt;""),1,0),0)</f>
        <v/>
      </c>
      <c r="DW38">
        <f>IF(DW$4=1,IF(OR(INDEX('×入力'!$A$1:$L$1300,791+DW$3,2+DW$2)&lt;&gt;"",INDEX('×入力'!$A$1:$L$1300,790,2+DW$2)&lt;&gt;"",INDEX('×入力'!$A$1:$L$1300,791+DW$3,1)&lt;&gt;""),1,0),0)</f>
        <v/>
      </c>
      <c r="DX38">
        <f>IF(DX$4=1,IF(OR(INDEX('×入力'!$A$1:$L$1300,791+DX$3,2+DX$2)&lt;&gt;"",INDEX('×入力'!$A$1:$L$1300,790,2+DX$2)&lt;&gt;"",INDEX('×入力'!$A$1:$L$1300,791+DX$3,1)&lt;&gt;""),1,0),0)</f>
        <v/>
      </c>
      <c r="DY38">
        <f>IF(DY$4=1,IF(OR(INDEX('×入力'!$A$1:$L$1300,791+DY$3,2+DY$2)&lt;&gt;"",INDEX('×入力'!$A$1:$L$1300,790,2+DY$2)&lt;&gt;"",INDEX('×入力'!$A$1:$L$1300,791+DY$3,1)&lt;&gt;""),1,0),0)</f>
        <v/>
      </c>
      <c r="DZ38">
        <f>IF(DZ$4=1,IF(OR(INDEX('×入力'!$A$1:$L$1300,791+DZ$3,2+DZ$2)&lt;&gt;"",INDEX('×入力'!$A$1:$L$1300,790,2+DZ$2)&lt;&gt;"",INDEX('×入力'!$A$1:$L$1300,791+DZ$3,1)&lt;&gt;""),1,0),0)</f>
        <v/>
      </c>
      <c r="EA38">
        <f>IF(EA$4=1,IF(OR(INDEX('×入力'!$A$1:$L$1300,791+EA$3,2+EA$2)&lt;&gt;"",INDEX('×入力'!$A$1:$L$1300,790,2+EA$2)&lt;&gt;"",INDEX('×入力'!$A$1:$L$1300,791+EA$3,1)&lt;&gt;""),1,0),0)</f>
        <v/>
      </c>
      <c r="EB38">
        <f>IF(EB$4=1,IF(OR(INDEX('×入力'!$A$1:$L$1300,791+EB$3,2+EB$2)&lt;&gt;"",INDEX('×入力'!$A$1:$L$1300,790,2+EB$2)&lt;&gt;"",INDEX('×入力'!$A$1:$L$1300,791+EB$3,1)&lt;&gt;""),1,0),0)</f>
        <v/>
      </c>
      <c r="EC38">
        <f>IF(EC$4=1,IF(OR(INDEX('×入力'!$A$1:$L$1300,791+EC$3,2+EC$2)&lt;&gt;"",INDEX('×入力'!$A$1:$L$1300,790,2+EC$2)&lt;&gt;"",INDEX('×入力'!$A$1:$L$1300,791+EC$3,1)&lt;&gt;""),1,0),0)</f>
        <v/>
      </c>
      <c r="ED38">
        <f>IF(ED$4=1,IF(OR(INDEX('×入力'!$A$1:$L$1300,791+ED$3,2+ED$2)&lt;&gt;"",INDEX('×入力'!$A$1:$L$1300,790,2+ED$2)&lt;&gt;"",INDEX('×入力'!$A$1:$L$1300,791+ED$3,1)&lt;&gt;""),1,0),0)</f>
        <v/>
      </c>
      <c r="EE38">
        <f>IF(EE$4=1,IF(OR(INDEX('×入力'!$A$1:$L$1300,791+EE$3,2+EE$2)&lt;&gt;"",INDEX('×入力'!$A$1:$L$1300,790,2+EE$2)&lt;&gt;"",INDEX('×入力'!$A$1:$L$1300,791+EE$3,1)&lt;&gt;""),1,0),0)</f>
        <v/>
      </c>
      <c r="EF38">
        <f>IF(EF$4=1,IF(OR(INDEX('×入力'!$A$1:$L$1300,791+EF$3,2+EF$2)&lt;&gt;"",INDEX('×入力'!$A$1:$L$1300,790,2+EF$2)&lt;&gt;"",INDEX('×入力'!$A$1:$L$1300,791+EF$3,1)&lt;&gt;""),1,0),0)</f>
        <v/>
      </c>
      <c r="EG38">
        <f>IF(EG$4=1,IF(OR(INDEX('×入力'!$A$1:$L$1300,791+EG$3,2+EG$2)&lt;&gt;"",INDEX('×入力'!$A$1:$L$1300,790,2+EG$2)&lt;&gt;"",INDEX('×入力'!$A$1:$L$1300,791+EG$3,1)&lt;&gt;""),1,0),0)</f>
        <v/>
      </c>
      <c r="EH38">
        <f>IF(EH$4=1,IF(OR(INDEX('×入力'!$A$1:$L$1300,791+EH$3,2+EH$2)&lt;&gt;"",INDEX('×入力'!$A$1:$L$1300,790,2+EH$2)&lt;&gt;"",INDEX('×入力'!$A$1:$L$1300,791+EH$3,1)&lt;&gt;""),1,0),0)</f>
        <v/>
      </c>
      <c r="EI38">
        <f>IF(EI$4=1,IF(OR(INDEX('×入力'!$A$1:$L$1300,791+EI$3,2+EI$2)&lt;&gt;"",INDEX('×入力'!$A$1:$L$1300,790,2+EI$2)&lt;&gt;"",INDEX('×入力'!$A$1:$L$1300,791+EI$3,1)&lt;&gt;""),1,0),0)</f>
        <v/>
      </c>
      <c r="EJ38">
        <f>IF(EJ$4=1,IF(OR(INDEX('×入力'!$A$1:$L$1300,791+EJ$3,2+EJ$2)&lt;&gt;"",INDEX('×入力'!$A$1:$L$1300,790,2+EJ$2)&lt;&gt;"",INDEX('×入力'!$A$1:$L$1300,791+EJ$3,1)&lt;&gt;""),1,0),0)</f>
        <v/>
      </c>
      <c r="EK38">
        <f>IF(EK$4=1,IF(OR(INDEX('×入力'!$A$1:$L$1300,791+EK$3,2+EK$2)&lt;&gt;"",INDEX('×入力'!$A$1:$L$1300,790,2+EK$2)&lt;&gt;"",INDEX('×入力'!$A$1:$L$1300,791+EK$3,1)&lt;&gt;""),1,0),0)</f>
        <v/>
      </c>
      <c r="EL38">
        <f>IF(EL$4=1,IF(OR(INDEX('×入力'!$A$1:$L$1300,791+EL$3,2+EL$2)&lt;&gt;"",INDEX('×入力'!$A$1:$L$1300,790,2+EL$2)&lt;&gt;"",INDEX('×入力'!$A$1:$L$1300,791+EL$3,1)&lt;&gt;""),1,0),0)</f>
        <v/>
      </c>
      <c r="EM38">
        <f>IF(EM$4=1,IF(OR(INDEX('×入力'!$A$1:$L$1300,791+EM$3,2+EM$2)&lt;&gt;"",INDEX('×入力'!$A$1:$L$1300,790,2+EM$2)&lt;&gt;"",INDEX('×入力'!$A$1:$L$1300,791+EM$3,1)&lt;&gt;""),1,0),0)</f>
        <v/>
      </c>
      <c r="EN38">
        <f>IF(EN$4=1,IF(OR(INDEX('×入力'!$A$1:$L$1300,791+EN$3,2+EN$2)&lt;&gt;"",INDEX('×入力'!$A$1:$L$1300,790,2+EN$2)&lt;&gt;"",INDEX('×入力'!$A$1:$L$1300,791+EN$3,1)&lt;&gt;""),1,0),0)</f>
        <v/>
      </c>
      <c r="EO38">
        <f>IF(EO$4=1,IF(OR(INDEX('×入力'!$A$1:$L$1300,791+EO$3,2+EO$2)&lt;&gt;"",INDEX('×入力'!$A$1:$L$1300,790,2+EO$2)&lt;&gt;"",INDEX('×入力'!$A$1:$L$1300,791+EO$3,1)&lt;&gt;""),1,0),0)</f>
        <v/>
      </c>
      <c r="EP38">
        <f>IF(EP$4=1,IF(OR(INDEX('×入力'!$A$1:$L$1300,791+EP$3,2+EP$2)&lt;&gt;"",INDEX('×入力'!$A$1:$L$1300,790,2+EP$2)&lt;&gt;"",INDEX('×入力'!$A$1:$L$1300,791+EP$3,1)&lt;&gt;""),1,0),0)</f>
        <v/>
      </c>
      <c r="EQ38">
        <f>IF(EQ$4=1,IF(OR(INDEX('×入力'!$A$1:$L$1300,791+EQ$3,2+EQ$2)&lt;&gt;"",INDEX('×入力'!$A$1:$L$1300,790,2+EQ$2)&lt;&gt;"",INDEX('×入力'!$A$1:$L$1300,791+EQ$3,1)&lt;&gt;""),1,0),0)</f>
        <v/>
      </c>
      <c r="HA38">
        <f>MAX(0,IT38)</f>
        <v/>
      </c>
      <c r="HB38">
        <f>IF(HA38=0,0,INDEX($D$2:$EQ$2,HA38))</f>
        <v/>
      </c>
      <c r="HC38">
        <f>IF(HA38=0,0,INDEX($D$3:$EQ$3,HA38))</f>
        <v/>
      </c>
      <c r="HD38">
        <f>MAX(0,IY38)</f>
        <v/>
      </c>
      <c r="HE38">
        <f>IF(HD38=0,0,INDEX($D$2:$EQ$2,HD38))</f>
        <v/>
      </c>
      <c r="HF38">
        <f>IF(HD38=0,0,INDEX($D$3:$EQ$3,HD38))</f>
        <v/>
      </c>
      <c r="HG38">
        <f>MAX(0,IZ38)</f>
        <v/>
      </c>
      <c r="HH38">
        <f>IF(HG38=0,0,INDEX($D$2:$EQ$2,HG38))</f>
        <v/>
      </c>
      <c r="HI38">
        <f>IF(HG38=0,0,INDEX($D$3:$EQ$3,HG38))</f>
        <v/>
      </c>
      <c r="HJ38">
        <f>IF(AND(HA38&gt;0,HC38&gt;1,OR(HC38-1&lt;&gt;$A$3,$A$4=0)),HA38-1,-1)</f>
        <v/>
      </c>
      <c r="HK38">
        <f>IF(AND(HA38&gt;0,HC38&lt;24,OR(HC38&lt;&gt;$A$3,$A$4=0)),HA38+1,-1)</f>
        <v/>
      </c>
      <c r="HL38">
        <f>IF(AND(HD38&gt;0,HF38&gt;1,OR(HF38-1&lt;&gt;$A$3,$A$4=0)),HD38-1,-1)</f>
        <v/>
      </c>
      <c r="HM38">
        <f>IF(AND(HD38&gt;0,HF38&lt;24,OR(HF38&lt;&gt;$A$3,$A$4=0)),HD38+1,-1)</f>
        <v/>
      </c>
      <c r="HN38">
        <f>IF(AND(HG38&gt;0,HI38&gt;1,OR(HI38-1&lt;&gt;$A$3,$A$4=0)),HG38-1,-1)</f>
        <v/>
      </c>
      <c r="HO38">
        <f>IF(AND(HG38&gt;0,HI38&lt;24,OR(HI38&lt;&gt;$A$3,$A$4=0)),HG38+1,-1)</f>
        <v/>
      </c>
      <c r="IK38">
        <f>IFERROR(INDEX('calcB'!$C$3:$C$47,MATCH(A38,'calcB'!$B$3:$B$47,0)),0)</f>
        <v/>
      </c>
      <c r="IL38">
        <f>IF(AND(C38=1,IK38=0,calcA!$A$6=1),1,0)</f>
        <v/>
      </c>
      <c r="IM38">
        <f>SUMPRODUCT(D88:EQ88*(1-$D$7:$EQ$7))</f>
        <v/>
      </c>
      <c r="IN38">
        <f>SUM(D38:EQ38)</f>
        <v/>
      </c>
      <c r="IO38">
        <f>IF(B38="",0,IF(COUNTIF('調整・決定'!$C$6:$H$29,B38)=1,SUMPRODUCT(('調整・決定'!$C$6:$H$29=B38)*((COLUMN('調整・決定'!$C$6:$H$29)-3)*24+ROW('調整・決定'!$C$6:$H$29)-5)),0))</f>
        <v/>
      </c>
      <c r="IP38">
        <f>IFERROR(MATCH('名簿'!C33,{"早い時刻","遅い時刻","早い日","遅い日"},0),0)</f>
        <v/>
      </c>
      <c r="IQ38">
        <f>IF('名簿'!D33="必ず空けたい",2,IF('名簿'!D33="出来れば空けたい",1,0))</f>
        <v/>
      </c>
      <c r="IR38">
        <f>IFERROR(INDEX('calcC'!$C$3:$C$47,MATCH(A38,'calcC'!$B$3:$B$47,0)),0)</f>
        <v/>
      </c>
      <c r="IS38">
        <f>IF(AND(C38=1,IR38=0,calcA!$A$6=1),1,0)</f>
        <v/>
      </c>
      <c r="IT38">
        <f>IF(OR('名簿'!G33="",'名簿'!H33=""),0,IFERROR((MATCH('名簿'!G33,'設定'!$E$11:$E$16,0)-1)*24+MATCH('名簿'!H33,'設定'!$I$11:$I$34,0),-1))</f>
        <v/>
      </c>
      <c r="IV38">
        <f>IF(OR(JF38=0,IO38=0),1,IF(OR(IF(IT38&gt;0,AND(INDEX($D$2:$EQ$2,IO38)=INDEX($D$2:$EQ$2,IT38),OR(AND(IO38=IT38+1,OR(INDEX($D$3:$EQ$3,IT38)&lt;&gt;$A$3,$A$4=0)),AND(IO38=IT38-1,OR(INDEX($D$3:$EQ$3,IO38)&lt;&gt;$A$3,$A$4=0)))),FALSE),IF(IY38&gt;0,AND(INDEX($D$2:$EQ$2,IO38)=INDEX($D$2:$EQ$2,IY38),OR(AND(IO38=IY38+1,OR(INDEX($D$3:$EQ$3,IY38)&lt;&gt;$A$3,$A$4=0)),AND(IO38=IY38-1,OR(INDEX($D$3:$EQ$3,IO38)&lt;&gt;$A$3,$A$4=0)))),FALSE),IF(IZ38&gt;0,AND(INDEX($D$2:$EQ$2,IO38)=INDEX($D$2:$EQ$2,IZ38),OR(AND(IO38=IZ38+1,OR(INDEX($D$3:$EQ$3,IZ38)&lt;&gt;$A$3,$A$4=0)),AND(IO38=IZ38-1,OR(INDEX($D$3:$EQ$3,IO38)&lt;&gt;$A$3,$A$4=0)))),FALSE)),1,0))</f>
        <v/>
      </c>
      <c r="IW38">
        <f>IF(AND('名簿'!E33&lt;&gt;"",JF38=0),1,0)</f>
        <v/>
      </c>
      <c r="IX38">
        <f>IF('名簿'!D33="空けない",1,0)</f>
        <v/>
      </c>
      <c r="IY38">
        <f>IF(OR('名簿'!J33="",'名簿'!K33=""),0,IFERROR((MATCH('名簿'!J33,'設定'!$E$11:$E$16,0)-1)*24+MATCH('名簿'!K33,'設定'!$I$11:$I$34,0),-1))</f>
        <v/>
      </c>
      <c r="IZ38">
        <f>IF(OR('名簿'!M33="",'名簿'!N33=""),0,IFERROR((MATCH('名簿'!M33,'設定'!$E$11:$E$16,0)-1)*24+MATCH('名簿'!N33,'設定'!$I$11:$I$34,0),-1))</f>
        <v/>
      </c>
      <c r="JC38">
        <f>IF(RIGHT('名簿'!I33,2)="の前",1,IF(RIGHT('名簿'!I33,2)="の後",2,0))</f>
        <v/>
      </c>
      <c r="JD38">
        <f>IF(RIGHT('名簿'!L33,2)="の前",1,IF(RIGHT('名簿'!L33,2)="の後",2,0))</f>
        <v/>
      </c>
      <c r="JE38">
        <f>IF(RIGHT('名簿'!O33,2)="の前",1,IF(RIGHT('名簿'!O33,2)="の後",2,0))</f>
        <v/>
      </c>
      <c r="JF38">
        <f>IF(OR(IT38&gt;0,IY38&gt;0,IZ38&gt;0),1,0)</f>
        <v/>
      </c>
      <c r="JG38">
        <f>IF(OR(IT38&lt;0,IY38&lt;0,IZ38&lt;0),1,0)</f>
        <v/>
      </c>
    </row>
    <row r="39">
      <c r="A39" t="n">
        <v>30</v>
      </c>
      <c r="B39">
        <f>'名簿'!P34</f>
        <v/>
      </c>
      <c r="C39">
        <f>IF(AND(B39&lt;&gt;"",OR('名簿'!Q34="入力済み",'名簿'!Q34="×なし"),IO39=0,COUNTIF('調整・決定'!$C$6:$H$29,B39)=0),1,0)</f>
        <v/>
      </c>
      <c r="D39">
        <f>IF(D$4=1,IF(OR(INDEX('×入力'!$A$1:$L$1300,819+D$3,2+D$2)&lt;&gt;"",INDEX('×入力'!$A$1:$L$1300,818,2+D$2)&lt;&gt;"",INDEX('×入力'!$A$1:$L$1300,819+D$3,1)&lt;&gt;""),1,0),0)</f>
        <v/>
      </c>
      <c r="E39">
        <f>IF(E$4=1,IF(OR(INDEX('×入力'!$A$1:$L$1300,819+E$3,2+E$2)&lt;&gt;"",INDEX('×入力'!$A$1:$L$1300,818,2+E$2)&lt;&gt;"",INDEX('×入力'!$A$1:$L$1300,819+E$3,1)&lt;&gt;""),1,0),0)</f>
        <v/>
      </c>
      <c r="F39">
        <f>IF(F$4=1,IF(OR(INDEX('×入力'!$A$1:$L$1300,819+F$3,2+F$2)&lt;&gt;"",INDEX('×入力'!$A$1:$L$1300,818,2+F$2)&lt;&gt;"",INDEX('×入力'!$A$1:$L$1300,819+F$3,1)&lt;&gt;""),1,0),0)</f>
        <v/>
      </c>
      <c r="G39">
        <f>IF(G$4=1,IF(OR(INDEX('×入力'!$A$1:$L$1300,819+G$3,2+G$2)&lt;&gt;"",INDEX('×入力'!$A$1:$L$1300,818,2+G$2)&lt;&gt;"",INDEX('×入力'!$A$1:$L$1300,819+G$3,1)&lt;&gt;""),1,0),0)</f>
        <v/>
      </c>
      <c r="H39">
        <f>IF(H$4=1,IF(OR(INDEX('×入力'!$A$1:$L$1300,819+H$3,2+H$2)&lt;&gt;"",INDEX('×入力'!$A$1:$L$1300,818,2+H$2)&lt;&gt;"",INDEX('×入力'!$A$1:$L$1300,819+H$3,1)&lt;&gt;""),1,0),0)</f>
        <v/>
      </c>
      <c r="I39">
        <f>IF(I$4=1,IF(OR(INDEX('×入力'!$A$1:$L$1300,819+I$3,2+I$2)&lt;&gt;"",INDEX('×入力'!$A$1:$L$1300,818,2+I$2)&lt;&gt;"",INDEX('×入力'!$A$1:$L$1300,819+I$3,1)&lt;&gt;""),1,0),0)</f>
        <v/>
      </c>
      <c r="J39">
        <f>IF(J$4=1,IF(OR(INDEX('×入力'!$A$1:$L$1300,819+J$3,2+J$2)&lt;&gt;"",INDEX('×入力'!$A$1:$L$1300,818,2+J$2)&lt;&gt;"",INDEX('×入力'!$A$1:$L$1300,819+J$3,1)&lt;&gt;""),1,0),0)</f>
        <v/>
      </c>
      <c r="K39">
        <f>IF(K$4=1,IF(OR(INDEX('×入力'!$A$1:$L$1300,819+K$3,2+K$2)&lt;&gt;"",INDEX('×入力'!$A$1:$L$1300,818,2+K$2)&lt;&gt;"",INDEX('×入力'!$A$1:$L$1300,819+K$3,1)&lt;&gt;""),1,0),0)</f>
        <v/>
      </c>
      <c r="L39">
        <f>IF(L$4=1,IF(OR(INDEX('×入力'!$A$1:$L$1300,819+L$3,2+L$2)&lt;&gt;"",INDEX('×入力'!$A$1:$L$1300,818,2+L$2)&lt;&gt;"",INDEX('×入力'!$A$1:$L$1300,819+L$3,1)&lt;&gt;""),1,0),0)</f>
        <v/>
      </c>
      <c r="M39">
        <f>IF(M$4=1,IF(OR(INDEX('×入力'!$A$1:$L$1300,819+M$3,2+M$2)&lt;&gt;"",INDEX('×入力'!$A$1:$L$1300,818,2+M$2)&lt;&gt;"",INDEX('×入力'!$A$1:$L$1300,819+M$3,1)&lt;&gt;""),1,0),0)</f>
        <v/>
      </c>
      <c r="N39">
        <f>IF(N$4=1,IF(OR(INDEX('×入力'!$A$1:$L$1300,819+N$3,2+N$2)&lt;&gt;"",INDEX('×入力'!$A$1:$L$1300,818,2+N$2)&lt;&gt;"",INDEX('×入力'!$A$1:$L$1300,819+N$3,1)&lt;&gt;""),1,0),0)</f>
        <v/>
      </c>
      <c r="O39">
        <f>IF(O$4=1,IF(OR(INDEX('×入力'!$A$1:$L$1300,819+O$3,2+O$2)&lt;&gt;"",INDEX('×入力'!$A$1:$L$1300,818,2+O$2)&lt;&gt;"",INDEX('×入力'!$A$1:$L$1300,819+O$3,1)&lt;&gt;""),1,0),0)</f>
        <v/>
      </c>
      <c r="P39">
        <f>IF(P$4=1,IF(OR(INDEX('×入力'!$A$1:$L$1300,819+P$3,2+P$2)&lt;&gt;"",INDEX('×入力'!$A$1:$L$1300,818,2+P$2)&lt;&gt;"",INDEX('×入力'!$A$1:$L$1300,819+P$3,1)&lt;&gt;""),1,0),0)</f>
        <v/>
      </c>
      <c r="Q39">
        <f>IF(Q$4=1,IF(OR(INDEX('×入力'!$A$1:$L$1300,819+Q$3,2+Q$2)&lt;&gt;"",INDEX('×入力'!$A$1:$L$1300,818,2+Q$2)&lt;&gt;"",INDEX('×入力'!$A$1:$L$1300,819+Q$3,1)&lt;&gt;""),1,0),0)</f>
        <v/>
      </c>
      <c r="R39">
        <f>IF(R$4=1,IF(OR(INDEX('×入力'!$A$1:$L$1300,819+R$3,2+R$2)&lt;&gt;"",INDEX('×入力'!$A$1:$L$1300,818,2+R$2)&lt;&gt;"",INDEX('×入力'!$A$1:$L$1300,819+R$3,1)&lt;&gt;""),1,0),0)</f>
        <v/>
      </c>
      <c r="S39">
        <f>IF(S$4=1,IF(OR(INDEX('×入力'!$A$1:$L$1300,819+S$3,2+S$2)&lt;&gt;"",INDEX('×入力'!$A$1:$L$1300,818,2+S$2)&lt;&gt;"",INDEX('×入力'!$A$1:$L$1300,819+S$3,1)&lt;&gt;""),1,0),0)</f>
        <v/>
      </c>
      <c r="T39">
        <f>IF(T$4=1,IF(OR(INDEX('×入力'!$A$1:$L$1300,819+T$3,2+T$2)&lt;&gt;"",INDEX('×入力'!$A$1:$L$1300,818,2+T$2)&lt;&gt;"",INDEX('×入力'!$A$1:$L$1300,819+T$3,1)&lt;&gt;""),1,0),0)</f>
        <v/>
      </c>
      <c r="U39">
        <f>IF(U$4=1,IF(OR(INDEX('×入力'!$A$1:$L$1300,819+U$3,2+U$2)&lt;&gt;"",INDEX('×入力'!$A$1:$L$1300,818,2+U$2)&lt;&gt;"",INDEX('×入力'!$A$1:$L$1300,819+U$3,1)&lt;&gt;""),1,0),0)</f>
        <v/>
      </c>
      <c r="V39">
        <f>IF(V$4=1,IF(OR(INDEX('×入力'!$A$1:$L$1300,819+V$3,2+V$2)&lt;&gt;"",INDEX('×入力'!$A$1:$L$1300,818,2+V$2)&lt;&gt;"",INDEX('×入力'!$A$1:$L$1300,819+V$3,1)&lt;&gt;""),1,0),0)</f>
        <v/>
      </c>
      <c r="W39">
        <f>IF(W$4=1,IF(OR(INDEX('×入力'!$A$1:$L$1300,819+W$3,2+W$2)&lt;&gt;"",INDEX('×入力'!$A$1:$L$1300,818,2+W$2)&lt;&gt;"",INDEX('×入力'!$A$1:$L$1300,819+W$3,1)&lt;&gt;""),1,0),0)</f>
        <v/>
      </c>
      <c r="X39">
        <f>IF(X$4=1,IF(OR(INDEX('×入力'!$A$1:$L$1300,819+X$3,2+X$2)&lt;&gt;"",INDEX('×入力'!$A$1:$L$1300,818,2+X$2)&lt;&gt;"",INDEX('×入力'!$A$1:$L$1300,819+X$3,1)&lt;&gt;""),1,0),0)</f>
        <v/>
      </c>
      <c r="Y39">
        <f>IF(Y$4=1,IF(OR(INDEX('×入力'!$A$1:$L$1300,819+Y$3,2+Y$2)&lt;&gt;"",INDEX('×入力'!$A$1:$L$1300,818,2+Y$2)&lt;&gt;"",INDEX('×入力'!$A$1:$L$1300,819+Y$3,1)&lt;&gt;""),1,0),0)</f>
        <v/>
      </c>
      <c r="Z39">
        <f>IF(Z$4=1,IF(OR(INDEX('×入力'!$A$1:$L$1300,819+Z$3,2+Z$2)&lt;&gt;"",INDEX('×入力'!$A$1:$L$1300,818,2+Z$2)&lt;&gt;"",INDEX('×入力'!$A$1:$L$1300,819+Z$3,1)&lt;&gt;""),1,0),0)</f>
        <v/>
      </c>
      <c r="AA39">
        <f>IF(AA$4=1,IF(OR(INDEX('×入力'!$A$1:$L$1300,819+AA$3,2+AA$2)&lt;&gt;"",INDEX('×入力'!$A$1:$L$1300,818,2+AA$2)&lt;&gt;"",INDEX('×入力'!$A$1:$L$1300,819+AA$3,1)&lt;&gt;""),1,0),0)</f>
        <v/>
      </c>
      <c r="AB39">
        <f>IF(AB$4=1,IF(OR(INDEX('×入力'!$A$1:$L$1300,819+AB$3,2+AB$2)&lt;&gt;"",INDEX('×入力'!$A$1:$L$1300,818,2+AB$2)&lt;&gt;"",INDEX('×入力'!$A$1:$L$1300,819+AB$3,1)&lt;&gt;""),1,0),0)</f>
        <v/>
      </c>
      <c r="AC39">
        <f>IF(AC$4=1,IF(OR(INDEX('×入力'!$A$1:$L$1300,819+AC$3,2+AC$2)&lt;&gt;"",INDEX('×入力'!$A$1:$L$1300,818,2+AC$2)&lt;&gt;"",INDEX('×入力'!$A$1:$L$1300,819+AC$3,1)&lt;&gt;""),1,0),0)</f>
        <v/>
      </c>
      <c r="AD39">
        <f>IF(AD$4=1,IF(OR(INDEX('×入力'!$A$1:$L$1300,819+AD$3,2+AD$2)&lt;&gt;"",INDEX('×入力'!$A$1:$L$1300,818,2+AD$2)&lt;&gt;"",INDEX('×入力'!$A$1:$L$1300,819+AD$3,1)&lt;&gt;""),1,0),0)</f>
        <v/>
      </c>
      <c r="AE39">
        <f>IF(AE$4=1,IF(OR(INDEX('×入力'!$A$1:$L$1300,819+AE$3,2+AE$2)&lt;&gt;"",INDEX('×入力'!$A$1:$L$1300,818,2+AE$2)&lt;&gt;"",INDEX('×入力'!$A$1:$L$1300,819+AE$3,1)&lt;&gt;""),1,0),0)</f>
        <v/>
      </c>
      <c r="AF39">
        <f>IF(AF$4=1,IF(OR(INDEX('×入力'!$A$1:$L$1300,819+AF$3,2+AF$2)&lt;&gt;"",INDEX('×入力'!$A$1:$L$1300,818,2+AF$2)&lt;&gt;"",INDEX('×入力'!$A$1:$L$1300,819+AF$3,1)&lt;&gt;""),1,0),0)</f>
        <v/>
      </c>
      <c r="AG39">
        <f>IF(AG$4=1,IF(OR(INDEX('×入力'!$A$1:$L$1300,819+AG$3,2+AG$2)&lt;&gt;"",INDEX('×入力'!$A$1:$L$1300,818,2+AG$2)&lt;&gt;"",INDEX('×入力'!$A$1:$L$1300,819+AG$3,1)&lt;&gt;""),1,0),0)</f>
        <v/>
      </c>
      <c r="AH39">
        <f>IF(AH$4=1,IF(OR(INDEX('×入力'!$A$1:$L$1300,819+AH$3,2+AH$2)&lt;&gt;"",INDEX('×入力'!$A$1:$L$1300,818,2+AH$2)&lt;&gt;"",INDEX('×入力'!$A$1:$L$1300,819+AH$3,1)&lt;&gt;""),1,0),0)</f>
        <v/>
      </c>
      <c r="AI39">
        <f>IF(AI$4=1,IF(OR(INDEX('×入力'!$A$1:$L$1300,819+AI$3,2+AI$2)&lt;&gt;"",INDEX('×入力'!$A$1:$L$1300,818,2+AI$2)&lt;&gt;"",INDEX('×入力'!$A$1:$L$1300,819+AI$3,1)&lt;&gt;""),1,0),0)</f>
        <v/>
      </c>
      <c r="AJ39">
        <f>IF(AJ$4=1,IF(OR(INDEX('×入力'!$A$1:$L$1300,819+AJ$3,2+AJ$2)&lt;&gt;"",INDEX('×入力'!$A$1:$L$1300,818,2+AJ$2)&lt;&gt;"",INDEX('×入力'!$A$1:$L$1300,819+AJ$3,1)&lt;&gt;""),1,0),0)</f>
        <v/>
      </c>
      <c r="AK39">
        <f>IF(AK$4=1,IF(OR(INDEX('×入力'!$A$1:$L$1300,819+AK$3,2+AK$2)&lt;&gt;"",INDEX('×入力'!$A$1:$L$1300,818,2+AK$2)&lt;&gt;"",INDEX('×入力'!$A$1:$L$1300,819+AK$3,1)&lt;&gt;""),1,0),0)</f>
        <v/>
      </c>
      <c r="AL39">
        <f>IF(AL$4=1,IF(OR(INDEX('×入力'!$A$1:$L$1300,819+AL$3,2+AL$2)&lt;&gt;"",INDEX('×入力'!$A$1:$L$1300,818,2+AL$2)&lt;&gt;"",INDEX('×入力'!$A$1:$L$1300,819+AL$3,1)&lt;&gt;""),1,0),0)</f>
        <v/>
      </c>
      <c r="AM39">
        <f>IF(AM$4=1,IF(OR(INDEX('×入力'!$A$1:$L$1300,819+AM$3,2+AM$2)&lt;&gt;"",INDEX('×入力'!$A$1:$L$1300,818,2+AM$2)&lt;&gt;"",INDEX('×入力'!$A$1:$L$1300,819+AM$3,1)&lt;&gt;""),1,0),0)</f>
        <v/>
      </c>
      <c r="AN39">
        <f>IF(AN$4=1,IF(OR(INDEX('×入力'!$A$1:$L$1300,819+AN$3,2+AN$2)&lt;&gt;"",INDEX('×入力'!$A$1:$L$1300,818,2+AN$2)&lt;&gt;"",INDEX('×入力'!$A$1:$L$1300,819+AN$3,1)&lt;&gt;""),1,0),0)</f>
        <v/>
      </c>
      <c r="AO39">
        <f>IF(AO$4=1,IF(OR(INDEX('×入力'!$A$1:$L$1300,819+AO$3,2+AO$2)&lt;&gt;"",INDEX('×入力'!$A$1:$L$1300,818,2+AO$2)&lt;&gt;"",INDEX('×入力'!$A$1:$L$1300,819+AO$3,1)&lt;&gt;""),1,0),0)</f>
        <v/>
      </c>
      <c r="AP39">
        <f>IF(AP$4=1,IF(OR(INDEX('×入力'!$A$1:$L$1300,819+AP$3,2+AP$2)&lt;&gt;"",INDEX('×入力'!$A$1:$L$1300,818,2+AP$2)&lt;&gt;"",INDEX('×入力'!$A$1:$L$1300,819+AP$3,1)&lt;&gt;""),1,0),0)</f>
        <v/>
      </c>
      <c r="AQ39">
        <f>IF(AQ$4=1,IF(OR(INDEX('×入力'!$A$1:$L$1300,819+AQ$3,2+AQ$2)&lt;&gt;"",INDEX('×入力'!$A$1:$L$1300,818,2+AQ$2)&lt;&gt;"",INDEX('×入力'!$A$1:$L$1300,819+AQ$3,1)&lt;&gt;""),1,0),0)</f>
        <v/>
      </c>
      <c r="AR39">
        <f>IF(AR$4=1,IF(OR(INDEX('×入力'!$A$1:$L$1300,819+AR$3,2+AR$2)&lt;&gt;"",INDEX('×入力'!$A$1:$L$1300,818,2+AR$2)&lt;&gt;"",INDEX('×入力'!$A$1:$L$1300,819+AR$3,1)&lt;&gt;""),1,0),0)</f>
        <v/>
      </c>
      <c r="AS39">
        <f>IF(AS$4=1,IF(OR(INDEX('×入力'!$A$1:$L$1300,819+AS$3,2+AS$2)&lt;&gt;"",INDEX('×入力'!$A$1:$L$1300,818,2+AS$2)&lt;&gt;"",INDEX('×入力'!$A$1:$L$1300,819+AS$3,1)&lt;&gt;""),1,0),0)</f>
        <v/>
      </c>
      <c r="AT39">
        <f>IF(AT$4=1,IF(OR(INDEX('×入力'!$A$1:$L$1300,819+AT$3,2+AT$2)&lt;&gt;"",INDEX('×入力'!$A$1:$L$1300,818,2+AT$2)&lt;&gt;"",INDEX('×入力'!$A$1:$L$1300,819+AT$3,1)&lt;&gt;""),1,0),0)</f>
        <v/>
      </c>
      <c r="AU39">
        <f>IF(AU$4=1,IF(OR(INDEX('×入力'!$A$1:$L$1300,819+AU$3,2+AU$2)&lt;&gt;"",INDEX('×入力'!$A$1:$L$1300,818,2+AU$2)&lt;&gt;"",INDEX('×入力'!$A$1:$L$1300,819+AU$3,1)&lt;&gt;""),1,0),0)</f>
        <v/>
      </c>
      <c r="AV39">
        <f>IF(AV$4=1,IF(OR(INDEX('×入力'!$A$1:$L$1300,819+AV$3,2+AV$2)&lt;&gt;"",INDEX('×入力'!$A$1:$L$1300,818,2+AV$2)&lt;&gt;"",INDEX('×入力'!$A$1:$L$1300,819+AV$3,1)&lt;&gt;""),1,0),0)</f>
        <v/>
      </c>
      <c r="AW39">
        <f>IF(AW$4=1,IF(OR(INDEX('×入力'!$A$1:$L$1300,819+AW$3,2+AW$2)&lt;&gt;"",INDEX('×入力'!$A$1:$L$1300,818,2+AW$2)&lt;&gt;"",INDEX('×入力'!$A$1:$L$1300,819+AW$3,1)&lt;&gt;""),1,0),0)</f>
        <v/>
      </c>
      <c r="AX39">
        <f>IF(AX$4=1,IF(OR(INDEX('×入力'!$A$1:$L$1300,819+AX$3,2+AX$2)&lt;&gt;"",INDEX('×入力'!$A$1:$L$1300,818,2+AX$2)&lt;&gt;"",INDEX('×入力'!$A$1:$L$1300,819+AX$3,1)&lt;&gt;""),1,0),0)</f>
        <v/>
      </c>
      <c r="AY39">
        <f>IF(AY$4=1,IF(OR(INDEX('×入力'!$A$1:$L$1300,819+AY$3,2+AY$2)&lt;&gt;"",INDEX('×入力'!$A$1:$L$1300,818,2+AY$2)&lt;&gt;"",INDEX('×入力'!$A$1:$L$1300,819+AY$3,1)&lt;&gt;""),1,0),0)</f>
        <v/>
      </c>
      <c r="AZ39">
        <f>IF(AZ$4=1,IF(OR(INDEX('×入力'!$A$1:$L$1300,819+AZ$3,2+AZ$2)&lt;&gt;"",INDEX('×入力'!$A$1:$L$1300,818,2+AZ$2)&lt;&gt;"",INDEX('×入力'!$A$1:$L$1300,819+AZ$3,1)&lt;&gt;""),1,0),0)</f>
        <v/>
      </c>
      <c r="BA39">
        <f>IF(BA$4=1,IF(OR(INDEX('×入力'!$A$1:$L$1300,819+BA$3,2+BA$2)&lt;&gt;"",INDEX('×入力'!$A$1:$L$1300,818,2+BA$2)&lt;&gt;"",INDEX('×入力'!$A$1:$L$1300,819+BA$3,1)&lt;&gt;""),1,0),0)</f>
        <v/>
      </c>
      <c r="BB39">
        <f>IF(BB$4=1,IF(OR(INDEX('×入力'!$A$1:$L$1300,819+BB$3,2+BB$2)&lt;&gt;"",INDEX('×入力'!$A$1:$L$1300,818,2+BB$2)&lt;&gt;"",INDEX('×入力'!$A$1:$L$1300,819+BB$3,1)&lt;&gt;""),1,0),0)</f>
        <v/>
      </c>
      <c r="BC39">
        <f>IF(BC$4=1,IF(OR(INDEX('×入力'!$A$1:$L$1300,819+BC$3,2+BC$2)&lt;&gt;"",INDEX('×入力'!$A$1:$L$1300,818,2+BC$2)&lt;&gt;"",INDEX('×入力'!$A$1:$L$1300,819+BC$3,1)&lt;&gt;""),1,0),0)</f>
        <v/>
      </c>
      <c r="BD39">
        <f>IF(BD$4=1,IF(OR(INDEX('×入力'!$A$1:$L$1300,819+BD$3,2+BD$2)&lt;&gt;"",INDEX('×入力'!$A$1:$L$1300,818,2+BD$2)&lt;&gt;"",INDEX('×入力'!$A$1:$L$1300,819+BD$3,1)&lt;&gt;""),1,0),0)</f>
        <v/>
      </c>
      <c r="BE39">
        <f>IF(BE$4=1,IF(OR(INDEX('×入力'!$A$1:$L$1300,819+BE$3,2+BE$2)&lt;&gt;"",INDEX('×入力'!$A$1:$L$1300,818,2+BE$2)&lt;&gt;"",INDEX('×入力'!$A$1:$L$1300,819+BE$3,1)&lt;&gt;""),1,0),0)</f>
        <v/>
      </c>
      <c r="BF39">
        <f>IF(BF$4=1,IF(OR(INDEX('×入力'!$A$1:$L$1300,819+BF$3,2+BF$2)&lt;&gt;"",INDEX('×入力'!$A$1:$L$1300,818,2+BF$2)&lt;&gt;"",INDEX('×入力'!$A$1:$L$1300,819+BF$3,1)&lt;&gt;""),1,0),0)</f>
        <v/>
      </c>
      <c r="BG39">
        <f>IF(BG$4=1,IF(OR(INDEX('×入力'!$A$1:$L$1300,819+BG$3,2+BG$2)&lt;&gt;"",INDEX('×入力'!$A$1:$L$1300,818,2+BG$2)&lt;&gt;"",INDEX('×入力'!$A$1:$L$1300,819+BG$3,1)&lt;&gt;""),1,0),0)</f>
        <v/>
      </c>
      <c r="BH39">
        <f>IF(BH$4=1,IF(OR(INDEX('×入力'!$A$1:$L$1300,819+BH$3,2+BH$2)&lt;&gt;"",INDEX('×入力'!$A$1:$L$1300,818,2+BH$2)&lt;&gt;"",INDEX('×入力'!$A$1:$L$1300,819+BH$3,1)&lt;&gt;""),1,0),0)</f>
        <v/>
      </c>
      <c r="BI39">
        <f>IF(BI$4=1,IF(OR(INDEX('×入力'!$A$1:$L$1300,819+BI$3,2+BI$2)&lt;&gt;"",INDEX('×入力'!$A$1:$L$1300,818,2+BI$2)&lt;&gt;"",INDEX('×入力'!$A$1:$L$1300,819+BI$3,1)&lt;&gt;""),1,0),0)</f>
        <v/>
      </c>
      <c r="BJ39">
        <f>IF(BJ$4=1,IF(OR(INDEX('×入力'!$A$1:$L$1300,819+BJ$3,2+BJ$2)&lt;&gt;"",INDEX('×入力'!$A$1:$L$1300,818,2+BJ$2)&lt;&gt;"",INDEX('×入力'!$A$1:$L$1300,819+BJ$3,1)&lt;&gt;""),1,0),0)</f>
        <v/>
      </c>
      <c r="BK39">
        <f>IF(BK$4=1,IF(OR(INDEX('×入力'!$A$1:$L$1300,819+BK$3,2+BK$2)&lt;&gt;"",INDEX('×入力'!$A$1:$L$1300,818,2+BK$2)&lt;&gt;"",INDEX('×入力'!$A$1:$L$1300,819+BK$3,1)&lt;&gt;""),1,0),0)</f>
        <v/>
      </c>
      <c r="BL39">
        <f>IF(BL$4=1,IF(OR(INDEX('×入力'!$A$1:$L$1300,819+BL$3,2+BL$2)&lt;&gt;"",INDEX('×入力'!$A$1:$L$1300,818,2+BL$2)&lt;&gt;"",INDEX('×入力'!$A$1:$L$1300,819+BL$3,1)&lt;&gt;""),1,0),0)</f>
        <v/>
      </c>
      <c r="BM39">
        <f>IF(BM$4=1,IF(OR(INDEX('×入力'!$A$1:$L$1300,819+BM$3,2+BM$2)&lt;&gt;"",INDEX('×入力'!$A$1:$L$1300,818,2+BM$2)&lt;&gt;"",INDEX('×入力'!$A$1:$L$1300,819+BM$3,1)&lt;&gt;""),1,0),0)</f>
        <v/>
      </c>
      <c r="BN39">
        <f>IF(BN$4=1,IF(OR(INDEX('×入力'!$A$1:$L$1300,819+BN$3,2+BN$2)&lt;&gt;"",INDEX('×入力'!$A$1:$L$1300,818,2+BN$2)&lt;&gt;"",INDEX('×入力'!$A$1:$L$1300,819+BN$3,1)&lt;&gt;""),1,0),0)</f>
        <v/>
      </c>
      <c r="BO39">
        <f>IF(BO$4=1,IF(OR(INDEX('×入力'!$A$1:$L$1300,819+BO$3,2+BO$2)&lt;&gt;"",INDEX('×入力'!$A$1:$L$1300,818,2+BO$2)&lt;&gt;"",INDEX('×入力'!$A$1:$L$1300,819+BO$3,1)&lt;&gt;""),1,0),0)</f>
        <v/>
      </c>
      <c r="BP39">
        <f>IF(BP$4=1,IF(OR(INDEX('×入力'!$A$1:$L$1300,819+BP$3,2+BP$2)&lt;&gt;"",INDEX('×入力'!$A$1:$L$1300,818,2+BP$2)&lt;&gt;"",INDEX('×入力'!$A$1:$L$1300,819+BP$3,1)&lt;&gt;""),1,0),0)</f>
        <v/>
      </c>
      <c r="BQ39">
        <f>IF(BQ$4=1,IF(OR(INDEX('×入力'!$A$1:$L$1300,819+BQ$3,2+BQ$2)&lt;&gt;"",INDEX('×入力'!$A$1:$L$1300,818,2+BQ$2)&lt;&gt;"",INDEX('×入力'!$A$1:$L$1300,819+BQ$3,1)&lt;&gt;""),1,0),0)</f>
        <v/>
      </c>
      <c r="BR39">
        <f>IF(BR$4=1,IF(OR(INDEX('×入力'!$A$1:$L$1300,819+BR$3,2+BR$2)&lt;&gt;"",INDEX('×入力'!$A$1:$L$1300,818,2+BR$2)&lt;&gt;"",INDEX('×入力'!$A$1:$L$1300,819+BR$3,1)&lt;&gt;""),1,0),0)</f>
        <v/>
      </c>
      <c r="BS39">
        <f>IF(BS$4=1,IF(OR(INDEX('×入力'!$A$1:$L$1300,819+BS$3,2+BS$2)&lt;&gt;"",INDEX('×入力'!$A$1:$L$1300,818,2+BS$2)&lt;&gt;"",INDEX('×入力'!$A$1:$L$1300,819+BS$3,1)&lt;&gt;""),1,0),0)</f>
        <v/>
      </c>
      <c r="BT39">
        <f>IF(BT$4=1,IF(OR(INDEX('×入力'!$A$1:$L$1300,819+BT$3,2+BT$2)&lt;&gt;"",INDEX('×入力'!$A$1:$L$1300,818,2+BT$2)&lt;&gt;"",INDEX('×入力'!$A$1:$L$1300,819+BT$3,1)&lt;&gt;""),1,0),0)</f>
        <v/>
      </c>
      <c r="BU39">
        <f>IF(BU$4=1,IF(OR(INDEX('×入力'!$A$1:$L$1300,819+BU$3,2+BU$2)&lt;&gt;"",INDEX('×入力'!$A$1:$L$1300,818,2+BU$2)&lt;&gt;"",INDEX('×入力'!$A$1:$L$1300,819+BU$3,1)&lt;&gt;""),1,0),0)</f>
        <v/>
      </c>
      <c r="BV39">
        <f>IF(BV$4=1,IF(OR(INDEX('×入力'!$A$1:$L$1300,819+BV$3,2+BV$2)&lt;&gt;"",INDEX('×入力'!$A$1:$L$1300,818,2+BV$2)&lt;&gt;"",INDEX('×入力'!$A$1:$L$1300,819+BV$3,1)&lt;&gt;""),1,0),0)</f>
        <v/>
      </c>
      <c r="BW39">
        <f>IF(BW$4=1,IF(OR(INDEX('×入力'!$A$1:$L$1300,819+BW$3,2+BW$2)&lt;&gt;"",INDEX('×入力'!$A$1:$L$1300,818,2+BW$2)&lt;&gt;"",INDEX('×入力'!$A$1:$L$1300,819+BW$3,1)&lt;&gt;""),1,0),0)</f>
        <v/>
      </c>
      <c r="BX39">
        <f>IF(BX$4=1,IF(OR(INDEX('×入力'!$A$1:$L$1300,819+BX$3,2+BX$2)&lt;&gt;"",INDEX('×入力'!$A$1:$L$1300,818,2+BX$2)&lt;&gt;"",INDEX('×入力'!$A$1:$L$1300,819+BX$3,1)&lt;&gt;""),1,0),0)</f>
        <v/>
      </c>
      <c r="BY39">
        <f>IF(BY$4=1,IF(OR(INDEX('×入力'!$A$1:$L$1300,819+BY$3,2+BY$2)&lt;&gt;"",INDEX('×入力'!$A$1:$L$1300,818,2+BY$2)&lt;&gt;"",INDEX('×入力'!$A$1:$L$1300,819+BY$3,1)&lt;&gt;""),1,0),0)</f>
        <v/>
      </c>
      <c r="BZ39">
        <f>IF(BZ$4=1,IF(OR(INDEX('×入力'!$A$1:$L$1300,819+BZ$3,2+BZ$2)&lt;&gt;"",INDEX('×入力'!$A$1:$L$1300,818,2+BZ$2)&lt;&gt;"",INDEX('×入力'!$A$1:$L$1300,819+BZ$3,1)&lt;&gt;""),1,0),0)</f>
        <v/>
      </c>
      <c r="CA39">
        <f>IF(CA$4=1,IF(OR(INDEX('×入力'!$A$1:$L$1300,819+CA$3,2+CA$2)&lt;&gt;"",INDEX('×入力'!$A$1:$L$1300,818,2+CA$2)&lt;&gt;"",INDEX('×入力'!$A$1:$L$1300,819+CA$3,1)&lt;&gt;""),1,0),0)</f>
        <v/>
      </c>
      <c r="CB39">
        <f>IF(CB$4=1,IF(OR(INDEX('×入力'!$A$1:$L$1300,819+CB$3,2+CB$2)&lt;&gt;"",INDEX('×入力'!$A$1:$L$1300,818,2+CB$2)&lt;&gt;"",INDEX('×入力'!$A$1:$L$1300,819+CB$3,1)&lt;&gt;""),1,0),0)</f>
        <v/>
      </c>
      <c r="CC39">
        <f>IF(CC$4=1,IF(OR(INDEX('×入力'!$A$1:$L$1300,819+CC$3,2+CC$2)&lt;&gt;"",INDEX('×入力'!$A$1:$L$1300,818,2+CC$2)&lt;&gt;"",INDEX('×入力'!$A$1:$L$1300,819+CC$3,1)&lt;&gt;""),1,0),0)</f>
        <v/>
      </c>
      <c r="CD39">
        <f>IF(CD$4=1,IF(OR(INDEX('×入力'!$A$1:$L$1300,819+CD$3,2+CD$2)&lt;&gt;"",INDEX('×入力'!$A$1:$L$1300,818,2+CD$2)&lt;&gt;"",INDEX('×入力'!$A$1:$L$1300,819+CD$3,1)&lt;&gt;""),1,0),0)</f>
        <v/>
      </c>
      <c r="CE39">
        <f>IF(CE$4=1,IF(OR(INDEX('×入力'!$A$1:$L$1300,819+CE$3,2+CE$2)&lt;&gt;"",INDEX('×入力'!$A$1:$L$1300,818,2+CE$2)&lt;&gt;"",INDEX('×入力'!$A$1:$L$1300,819+CE$3,1)&lt;&gt;""),1,0),0)</f>
        <v/>
      </c>
      <c r="CF39">
        <f>IF(CF$4=1,IF(OR(INDEX('×入力'!$A$1:$L$1300,819+CF$3,2+CF$2)&lt;&gt;"",INDEX('×入力'!$A$1:$L$1300,818,2+CF$2)&lt;&gt;"",INDEX('×入力'!$A$1:$L$1300,819+CF$3,1)&lt;&gt;""),1,0),0)</f>
        <v/>
      </c>
      <c r="CG39">
        <f>IF(CG$4=1,IF(OR(INDEX('×入力'!$A$1:$L$1300,819+CG$3,2+CG$2)&lt;&gt;"",INDEX('×入力'!$A$1:$L$1300,818,2+CG$2)&lt;&gt;"",INDEX('×入力'!$A$1:$L$1300,819+CG$3,1)&lt;&gt;""),1,0),0)</f>
        <v/>
      </c>
      <c r="CH39">
        <f>IF(CH$4=1,IF(OR(INDEX('×入力'!$A$1:$L$1300,819+CH$3,2+CH$2)&lt;&gt;"",INDEX('×入力'!$A$1:$L$1300,818,2+CH$2)&lt;&gt;"",INDEX('×入力'!$A$1:$L$1300,819+CH$3,1)&lt;&gt;""),1,0),0)</f>
        <v/>
      </c>
      <c r="CI39">
        <f>IF(CI$4=1,IF(OR(INDEX('×入力'!$A$1:$L$1300,819+CI$3,2+CI$2)&lt;&gt;"",INDEX('×入力'!$A$1:$L$1300,818,2+CI$2)&lt;&gt;"",INDEX('×入力'!$A$1:$L$1300,819+CI$3,1)&lt;&gt;""),1,0),0)</f>
        <v/>
      </c>
      <c r="CJ39">
        <f>IF(CJ$4=1,IF(OR(INDEX('×入力'!$A$1:$L$1300,819+CJ$3,2+CJ$2)&lt;&gt;"",INDEX('×入力'!$A$1:$L$1300,818,2+CJ$2)&lt;&gt;"",INDEX('×入力'!$A$1:$L$1300,819+CJ$3,1)&lt;&gt;""),1,0),0)</f>
        <v/>
      </c>
      <c r="CK39">
        <f>IF(CK$4=1,IF(OR(INDEX('×入力'!$A$1:$L$1300,819+CK$3,2+CK$2)&lt;&gt;"",INDEX('×入力'!$A$1:$L$1300,818,2+CK$2)&lt;&gt;"",INDEX('×入力'!$A$1:$L$1300,819+CK$3,1)&lt;&gt;""),1,0),0)</f>
        <v/>
      </c>
      <c r="CL39">
        <f>IF(CL$4=1,IF(OR(INDEX('×入力'!$A$1:$L$1300,819+CL$3,2+CL$2)&lt;&gt;"",INDEX('×入力'!$A$1:$L$1300,818,2+CL$2)&lt;&gt;"",INDEX('×入力'!$A$1:$L$1300,819+CL$3,1)&lt;&gt;""),1,0),0)</f>
        <v/>
      </c>
      <c r="CM39">
        <f>IF(CM$4=1,IF(OR(INDEX('×入力'!$A$1:$L$1300,819+CM$3,2+CM$2)&lt;&gt;"",INDEX('×入力'!$A$1:$L$1300,818,2+CM$2)&lt;&gt;"",INDEX('×入力'!$A$1:$L$1300,819+CM$3,1)&lt;&gt;""),1,0),0)</f>
        <v/>
      </c>
      <c r="CN39">
        <f>IF(CN$4=1,IF(OR(INDEX('×入力'!$A$1:$L$1300,819+CN$3,2+CN$2)&lt;&gt;"",INDEX('×入力'!$A$1:$L$1300,818,2+CN$2)&lt;&gt;"",INDEX('×入力'!$A$1:$L$1300,819+CN$3,1)&lt;&gt;""),1,0),0)</f>
        <v/>
      </c>
      <c r="CO39">
        <f>IF(CO$4=1,IF(OR(INDEX('×入力'!$A$1:$L$1300,819+CO$3,2+CO$2)&lt;&gt;"",INDEX('×入力'!$A$1:$L$1300,818,2+CO$2)&lt;&gt;"",INDEX('×入力'!$A$1:$L$1300,819+CO$3,1)&lt;&gt;""),1,0),0)</f>
        <v/>
      </c>
      <c r="CP39">
        <f>IF(CP$4=1,IF(OR(INDEX('×入力'!$A$1:$L$1300,819+CP$3,2+CP$2)&lt;&gt;"",INDEX('×入力'!$A$1:$L$1300,818,2+CP$2)&lt;&gt;"",INDEX('×入力'!$A$1:$L$1300,819+CP$3,1)&lt;&gt;""),1,0),0)</f>
        <v/>
      </c>
      <c r="CQ39">
        <f>IF(CQ$4=1,IF(OR(INDEX('×入力'!$A$1:$L$1300,819+CQ$3,2+CQ$2)&lt;&gt;"",INDEX('×入力'!$A$1:$L$1300,818,2+CQ$2)&lt;&gt;"",INDEX('×入力'!$A$1:$L$1300,819+CQ$3,1)&lt;&gt;""),1,0),0)</f>
        <v/>
      </c>
      <c r="CR39">
        <f>IF(CR$4=1,IF(OR(INDEX('×入力'!$A$1:$L$1300,819+CR$3,2+CR$2)&lt;&gt;"",INDEX('×入力'!$A$1:$L$1300,818,2+CR$2)&lt;&gt;"",INDEX('×入力'!$A$1:$L$1300,819+CR$3,1)&lt;&gt;""),1,0),0)</f>
        <v/>
      </c>
      <c r="CS39">
        <f>IF(CS$4=1,IF(OR(INDEX('×入力'!$A$1:$L$1300,819+CS$3,2+CS$2)&lt;&gt;"",INDEX('×入力'!$A$1:$L$1300,818,2+CS$2)&lt;&gt;"",INDEX('×入力'!$A$1:$L$1300,819+CS$3,1)&lt;&gt;""),1,0),0)</f>
        <v/>
      </c>
      <c r="CT39">
        <f>IF(CT$4=1,IF(OR(INDEX('×入力'!$A$1:$L$1300,819+CT$3,2+CT$2)&lt;&gt;"",INDEX('×入力'!$A$1:$L$1300,818,2+CT$2)&lt;&gt;"",INDEX('×入力'!$A$1:$L$1300,819+CT$3,1)&lt;&gt;""),1,0),0)</f>
        <v/>
      </c>
      <c r="CU39">
        <f>IF(CU$4=1,IF(OR(INDEX('×入力'!$A$1:$L$1300,819+CU$3,2+CU$2)&lt;&gt;"",INDEX('×入力'!$A$1:$L$1300,818,2+CU$2)&lt;&gt;"",INDEX('×入力'!$A$1:$L$1300,819+CU$3,1)&lt;&gt;""),1,0),0)</f>
        <v/>
      </c>
      <c r="CV39">
        <f>IF(CV$4=1,IF(OR(INDEX('×入力'!$A$1:$L$1300,819+CV$3,2+CV$2)&lt;&gt;"",INDEX('×入力'!$A$1:$L$1300,818,2+CV$2)&lt;&gt;"",INDEX('×入力'!$A$1:$L$1300,819+CV$3,1)&lt;&gt;""),1,0),0)</f>
        <v/>
      </c>
      <c r="CW39">
        <f>IF(CW$4=1,IF(OR(INDEX('×入力'!$A$1:$L$1300,819+CW$3,2+CW$2)&lt;&gt;"",INDEX('×入力'!$A$1:$L$1300,818,2+CW$2)&lt;&gt;"",INDEX('×入力'!$A$1:$L$1300,819+CW$3,1)&lt;&gt;""),1,0),0)</f>
        <v/>
      </c>
      <c r="CX39">
        <f>IF(CX$4=1,IF(OR(INDEX('×入力'!$A$1:$L$1300,819+CX$3,2+CX$2)&lt;&gt;"",INDEX('×入力'!$A$1:$L$1300,818,2+CX$2)&lt;&gt;"",INDEX('×入力'!$A$1:$L$1300,819+CX$3,1)&lt;&gt;""),1,0),0)</f>
        <v/>
      </c>
      <c r="CY39">
        <f>IF(CY$4=1,IF(OR(INDEX('×入力'!$A$1:$L$1300,819+CY$3,2+CY$2)&lt;&gt;"",INDEX('×入力'!$A$1:$L$1300,818,2+CY$2)&lt;&gt;"",INDEX('×入力'!$A$1:$L$1300,819+CY$3,1)&lt;&gt;""),1,0),0)</f>
        <v/>
      </c>
      <c r="CZ39">
        <f>IF(CZ$4=1,IF(OR(INDEX('×入力'!$A$1:$L$1300,819+CZ$3,2+CZ$2)&lt;&gt;"",INDEX('×入力'!$A$1:$L$1300,818,2+CZ$2)&lt;&gt;"",INDEX('×入力'!$A$1:$L$1300,819+CZ$3,1)&lt;&gt;""),1,0),0)</f>
        <v/>
      </c>
      <c r="DA39">
        <f>IF(DA$4=1,IF(OR(INDEX('×入力'!$A$1:$L$1300,819+DA$3,2+DA$2)&lt;&gt;"",INDEX('×入力'!$A$1:$L$1300,818,2+DA$2)&lt;&gt;"",INDEX('×入力'!$A$1:$L$1300,819+DA$3,1)&lt;&gt;""),1,0),0)</f>
        <v/>
      </c>
      <c r="DB39">
        <f>IF(DB$4=1,IF(OR(INDEX('×入力'!$A$1:$L$1300,819+DB$3,2+DB$2)&lt;&gt;"",INDEX('×入力'!$A$1:$L$1300,818,2+DB$2)&lt;&gt;"",INDEX('×入力'!$A$1:$L$1300,819+DB$3,1)&lt;&gt;""),1,0),0)</f>
        <v/>
      </c>
      <c r="DC39">
        <f>IF(DC$4=1,IF(OR(INDEX('×入力'!$A$1:$L$1300,819+DC$3,2+DC$2)&lt;&gt;"",INDEX('×入力'!$A$1:$L$1300,818,2+DC$2)&lt;&gt;"",INDEX('×入力'!$A$1:$L$1300,819+DC$3,1)&lt;&gt;""),1,0),0)</f>
        <v/>
      </c>
      <c r="DD39">
        <f>IF(DD$4=1,IF(OR(INDEX('×入力'!$A$1:$L$1300,819+DD$3,2+DD$2)&lt;&gt;"",INDEX('×入力'!$A$1:$L$1300,818,2+DD$2)&lt;&gt;"",INDEX('×入力'!$A$1:$L$1300,819+DD$3,1)&lt;&gt;""),1,0),0)</f>
        <v/>
      </c>
      <c r="DE39">
        <f>IF(DE$4=1,IF(OR(INDEX('×入力'!$A$1:$L$1300,819+DE$3,2+DE$2)&lt;&gt;"",INDEX('×入力'!$A$1:$L$1300,818,2+DE$2)&lt;&gt;"",INDEX('×入力'!$A$1:$L$1300,819+DE$3,1)&lt;&gt;""),1,0),0)</f>
        <v/>
      </c>
      <c r="DF39">
        <f>IF(DF$4=1,IF(OR(INDEX('×入力'!$A$1:$L$1300,819+DF$3,2+DF$2)&lt;&gt;"",INDEX('×入力'!$A$1:$L$1300,818,2+DF$2)&lt;&gt;"",INDEX('×入力'!$A$1:$L$1300,819+DF$3,1)&lt;&gt;""),1,0),0)</f>
        <v/>
      </c>
      <c r="DG39">
        <f>IF(DG$4=1,IF(OR(INDEX('×入力'!$A$1:$L$1300,819+DG$3,2+DG$2)&lt;&gt;"",INDEX('×入力'!$A$1:$L$1300,818,2+DG$2)&lt;&gt;"",INDEX('×入力'!$A$1:$L$1300,819+DG$3,1)&lt;&gt;""),1,0),0)</f>
        <v/>
      </c>
      <c r="DH39">
        <f>IF(DH$4=1,IF(OR(INDEX('×入力'!$A$1:$L$1300,819+DH$3,2+DH$2)&lt;&gt;"",INDEX('×入力'!$A$1:$L$1300,818,2+DH$2)&lt;&gt;"",INDEX('×入力'!$A$1:$L$1300,819+DH$3,1)&lt;&gt;""),1,0),0)</f>
        <v/>
      </c>
      <c r="DI39">
        <f>IF(DI$4=1,IF(OR(INDEX('×入力'!$A$1:$L$1300,819+DI$3,2+DI$2)&lt;&gt;"",INDEX('×入力'!$A$1:$L$1300,818,2+DI$2)&lt;&gt;"",INDEX('×入力'!$A$1:$L$1300,819+DI$3,1)&lt;&gt;""),1,0),0)</f>
        <v/>
      </c>
      <c r="DJ39">
        <f>IF(DJ$4=1,IF(OR(INDEX('×入力'!$A$1:$L$1300,819+DJ$3,2+DJ$2)&lt;&gt;"",INDEX('×入力'!$A$1:$L$1300,818,2+DJ$2)&lt;&gt;"",INDEX('×入力'!$A$1:$L$1300,819+DJ$3,1)&lt;&gt;""),1,0),0)</f>
        <v/>
      </c>
      <c r="DK39">
        <f>IF(DK$4=1,IF(OR(INDEX('×入力'!$A$1:$L$1300,819+DK$3,2+DK$2)&lt;&gt;"",INDEX('×入力'!$A$1:$L$1300,818,2+DK$2)&lt;&gt;"",INDEX('×入力'!$A$1:$L$1300,819+DK$3,1)&lt;&gt;""),1,0),0)</f>
        <v/>
      </c>
      <c r="DL39">
        <f>IF(DL$4=1,IF(OR(INDEX('×入力'!$A$1:$L$1300,819+DL$3,2+DL$2)&lt;&gt;"",INDEX('×入力'!$A$1:$L$1300,818,2+DL$2)&lt;&gt;"",INDEX('×入力'!$A$1:$L$1300,819+DL$3,1)&lt;&gt;""),1,0),0)</f>
        <v/>
      </c>
      <c r="DM39">
        <f>IF(DM$4=1,IF(OR(INDEX('×入力'!$A$1:$L$1300,819+DM$3,2+DM$2)&lt;&gt;"",INDEX('×入力'!$A$1:$L$1300,818,2+DM$2)&lt;&gt;"",INDEX('×入力'!$A$1:$L$1300,819+DM$3,1)&lt;&gt;""),1,0),0)</f>
        <v/>
      </c>
      <c r="DN39">
        <f>IF(DN$4=1,IF(OR(INDEX('×入力'!$A$1:$L$1300,819+DN$3,2+DN$2)&lt;&gt;"",INDEX('×入力'!$A$1:$L$1300,818,2+DN$2)&lt;&gt;"",INDEX('×入力'!$A$1:$L$1300,819+DN$3,1)&lt;&gt;""),1,0),0)</f>
        <v/>
      </c>
      <c r="DO39">
        <f>IF(DO$4=1,IF(OR(INDEX('×入力'!$A$1:$L$1300,819+DO$3,2+DO$2)&lt;&gt;"",INDEX('×入力'!$A$1:$L$1300,818,2+DO$2)&lt;&gt;"",INDEX('×入力'!$A$1:$L$1300,819+DO$3,1)&lt;&gt;""),1,0),0)</f>
        <v/>
      </c>
      <c r="DP39">
        <f>IF(DP$4=1,IF(OR(INDEX('×入力'!$A$1:$L$1300,819+DP$3,2+DP$2)&lt;&gt;"",INDEX('×入力'!$A$1:$L$1300,818,2+DP$2)&lt;&gt;"",INDEX('×入力'!$A$1:$L$1300,819+DP$3,1)&lt;&gt;""),1,0),0)</f>
        <v/>
      </c>
      <c r="DQ39">
        <f>IF(DQ$4=1,IF(OR(INDEX('×入力'!$A$1:$L$1300,819+DQ$3,2+DQ$2)&lt;&gt;"",INDEX('×入力'!$A$1:$L$1300,818,2+DQ$2)&lt;&gt;"",INDEX('×入力'!$A$1:$L$1300,819+DQ$3,1)&lt;&gt;""),1,0),0)</f>
        <v/>
      </c>
      <c r="DR39">
        <f>IF(DR$4=1,IF(OR(INDEX('×入力'!$A$1:$L$1300,819+DR$3,2+DR$2)&lt;&gt;"",INDEX('×入力'!$A$1:$L$1300,818,2+DR$2)&lt;&gt;"",INDEX('×入力'!$A$1:$L$1300,819+DR$3,1)&lt;&gt;""),1,0),0)</f>
        <v/>
      </c>
      <c r="DS39">
        <f>IF(DS$4=1,IF(OR(INDEX('×入力'!$A$1:$L$1300,819+DS$3,2+DS$2)&lt;&gt;"",INDEX('×入力'!$A$1:$L$1300,818,2+DS$2)&lt;&gt;"",INDEX('×入力'!$A$1:$L$1300,819+DS$3,1)&lt;&gt;""),1,0),0)</f>
        <v/>
      </c>
      <c r="DT39">
        <f>IF(DT$4=1,IF(OR(INDEX('×入力'!$A$1:$L$1300,819+DT$3,2+DT$2)&lt;&gt;"",INDEX('×入力'!$A$1:$L$1300,818,2+DT$2)&lt;&gt;"",INDEX('×入力'!$A$1:$L$1300,819+DT$3,1)&lt;&gt;""),1,0),0)</f>
        <v/>
      </c>
      <c r="DU39">
        <f>IF(DU$4=1,IF(OR(INDEX('×入力'!$A$1:$L$1300,819+DU$3,2+DU$2)&lt;&gt;"",INDEX('×入力'!$A$1:$L$1300,818,2+DU$2)&lt;&gt;"",INDEX('×入力'!$A$1:$L$1300,819+DU$3,1)&lt;&gt;""),1,0),0)</f>
        <v/>
      </c>
      <c r="DV39">
        <f>IF(DV$4=1,IF(OR(INDEX('×入力'!$A$1:$L$1300,819+DV$3,2+DV$2)&lt;&gt;"",INDEX('×入力'!$A$1:$L$1300,818,2+DV$2)&lt;&gt;"",INDEX('×入力'!$A$1:$L$1300,819+DV$3,1)&lt;&gt;""),1,0),0)</f>
        <v/>
      </c>
      <c r="DW39">
        <f>IF(DW$4=1,IF(OR(INDEX('×入力'!$A$1:$L$1300,819+DW$3,2+DW$2)&lt;&gt;"",INDEX('×入力'!$A$1:$L$1300,818,2+DW$2)&lt;&gt;"",INDEX('×入力'!$A$1:$L$1300,819+DW$3,1)&lt;&gt;""),1,0),0)</f>
        <v/>
      </c>
      <c r="DX39">
        <f>IF(DX$4=1,IF(OR(INDEX('×入力'!$A$1:$L$1300,819+DX$3,2+DX$2)&lt;&gt;"",INDEX('×入力'!$A$1:$L$1300,818,2+DX$2)&lt;&gt;"",INDEX('×入力'!$A$1:$L$1300,819+DX$3,1)&lt;&gt;""),1,0),0)</f>
        <v/>
      </c>
      <c r="DY39">
        <f>IF(DY$4=1,IF(OR(INDEX('×入力'!$A$1:$L$1300,819+DY$3,2+DY$2)&lt;&gt;"",INDEX('×入力'!$A$1:$L$1300,818,2+DY$2)&lt;&gt;"",INDEX('×入力'!$A$1:$L$1300,819+DY$3,1)&lt;&gt;""),1,0),0)</f>
        <v/>
      </c>
      <c r="DZ39">
        <f>IF(DZ$4=1,IF(OR(INDEX('×入力'!$A$1:$L$1300,819+DZ$3,2+DZ$2)&lt;&gt;"",INDEX('×入力'!$A$1:$L$1300,818,2+DZ$2)&lt;&gt;"",INDEX('×入力'!$A$1:$L$1300,819+DZ$3,1)&lt;&gt;""),1,0),0)</f>
        <v/>
      </c>
      <c r="EA39">
        <f>IF(EA$4=1,IF(OR(INDEX('×入力'!$A$1:$L$1300,819+EA$3,2+EA$2)&lt;&gt;"",INDEX('×入力'!$A$1:$L$1300,818,2+EA$2)&lt;&gt;"",INDEX('×入力'!$A$1:$L$1300,819+EA$3,1)&lt;&gt;""),1,0),0)</f>
        <v/>
      </c>
      <c r="EB39">
        <f>IF(EB$4=1,IF(OR(INDEX('×入力'!$A$1:$L$1300,819+EB$3,2+EB$2)&lt;&gt;"",INDEX('×入力'!$A$1:$L$1300,818,2+EB$2)&lt;&gt;"",INDEX('×入力'!$A$1:$L$1300,819+EB$3,1)&lt;&gt;""),1,0),0)</f>
        <v/>
      </c>
      <c r="EC39">
        <f>IF(EC$4=1,IF(OR(INDEX('×入力'!$A$1:$L$1300,819+EC$3,2+EC$2)&lt;&gt;"",INDEX('×入力'!$A$1:$L$1300,818,2+EC$2)&lt;&gt;"",INDEX('×入力'!$A$1:$L$1300,819+EC$3,1)&lt;&gt;""),1,0),0)</f>
        <v/>
      </c>
      <c r="ED39">
        <f>IF(ED$4=1,IF(OR(INDEX('×入力'!$A$1:$L$1300,819+ED$3,2+ED$2)&lt;&gt;"",INDEX('×入力'!$A$1:$L$1300,818,2+ED$2)&lt;&gt;"",INDEX('×入力'!$A$1:$L$1300,819+ED$3,1)&lt;&gt;""),1,0),0)</f>
        <v/>
      </c>
      <c r="EE39">
        <f>IF(EE$4=1,IF(OR(INDEX('×入力'!$A$1:$L$1300,819+EE$3,2+EE$2)&lt;&gt;"",INDEX('×入力'!$A$1:$L$1300,818,2+EE$2)&lt;&gt;"",INDEX('×入力'!$A$1:$L$1300,819+EE$3,1)&lt;&gt;""),1,0),0)</f>
        <v/>
      </c>
      <c r="EF39">
        <f>IF(EF$4=1,IF(OR(INDEX('×入力'!$A$1:$L$1300,819+EF$3,2+EF$2)&lt;&gt;"",INDEX('×入力'!$A$1:$L$1300,818,2+EF$2)&lt;&gt;"",INDEX('×入力'!$A$1:$L$1300,819+EF$3,1)&lt;&gt;""),1,0),0)</f>
        <v/>
      </c>
      <c r="EG39">
        <f>IF(EG$4=1,IF(OR(INDEX('×入力'!$A$1:$L$1300,819+EG$3,2+EG$2)&lt;&gt;"",INDEX('×入力'!$A$1:$L$1300,818,2+EG$2)&lt;&gt;"",INDEX('×入力'!$A$1:$L$1300,819+EG$3,1)&lt;&gt;""),1,0),0)</f>
        <v/>
      </c>
      <c r="EH39">
        <f>IF(EH$4=1,IF(OR(INDEX('×入力'!$A$1:$L$1300,819+EH$3,2+EH$2)&lt;&gt;"",INDEX('×入力'!$A$1:$L$1300,818,2+EH$2)&lt;&gt;"",INDEX('×入力'!$A$1:$L$1300,819+EH$3,1)&lt;&gt;""),1,0),0)</f>
        <v/>
      </c>
      <c r="EI39">
        <f>IF(EI$4=1,IF(OR(INDEX('×入力'!$A$1:$L$1300,819+EI$3,2+EI$2)&lt;&gt;"",INDEX('×入力'!$A$1:$L$1300,818,2+EI$2)&lt;&gt;"",INDEX('×入力'!$A$1:$L$1300,819+EI$3,1)&lt;&gt;""),1,0),0)</f>
        <v/>
      </c>
      <c r="EJ39">
        <f>IF(EJ$4=1,IF(OR(INDEX('×入力'!$A$1:$L$1300,819+EJ$3,2+EJ$2)&lt;&gt;"",INDEX('×入力'!$A$1:$L$1300,818,2+EJ$2)&lt;&gt;"",INDEX('×入力'!$A$1:$L$1300,819+EJ$3,1)&lt;&gt;""),1,0),0)</f>
        <v/>
      </c>
      <c r="EK39">
        <f>IF(EK$4=1,IF(OR(INDEX('×入力'!$A$1:$L$1300,819+EK$3,2+EK$2)&lt;&gt;"",INDEX('×入力'!$A$1:$L$1300,818,2+EK$2)&lt;&gt;"",INDEX('×入力'!$A$1:$L$1300,819+EK$3,1)&lt;&gt;""),1,0),0)</f>
        <v/>
      </c>
      <c r="EL39">
        <f>IF(EL$4=1,IF(OR(INDEX('×入力'!$A$1:$L$1300,819+EL$3,2+EL$2)&lt;&gt;"",INDEX('×入力'!$A$1:$L$1300,818,2+EL$2)&lt;&gt;"",INDEX('×入力'!$A$1:$L$1300,819+EL$3,1)&lt;&gt;""),1,0),0)</f>
        <v/>
      </c>
      <c r="EM39">
        <f>IF(EM$4=1,IF(OR(INDEX('×入力'!$A$1:$L$1300,819+EM$3,2+EM$2)&lt;&gt;"",INDEX('×入力'!$A$1:$L$1300,818,2+EM$2)&lt;&gt;"",INDEX('×入力'!$A$1:$L$1300,819+EM$3,1)&lt;&gt;""),1,0),0)</f>
        <v/>
      </c>
      <c r="EN39">
        <f>IF(EN$4=1,IF(OR(INDEX('×入力'!$A$1:$L$1300,819+EN$3,2+EN$2)&lt;&gt;"",INDEX('×入力'!$A$1:$L$1300,818,2+EN$2)&lt;&gt;"",INDEX('×入力'!$A$1:$L$1300,819+EN$3,1)&lt;&gt;""),1,0),0)</f>
        <v/>
      </c>
      <c r="EO39">
        <f>IF(EO$4=1,IF(OR(INDEX('×入力'!$A$1:$L$1300,819+EO$3,2+EO$2)&lt;&gt;"",INDEX('×入力'!$A$1:$L$1300,818,2+EO$2)&lt;&gt;"",INDEX('×入力'!$A$1:$L$1300,819+EO$3,1)&lt;&gt;""),1,0),0)</f>
        <v/>
      </c>
      <c r="EP39">
        <f>IF(EP$4=1,IF(OR(INDEX('×入力'!$A$1:$L$1300,819+EP$3,2+EP$2)&lt;&gt;"",INDEX('×入力'!$A$1:$L$1300,818,2+EP$2)&lt;&gt;"",INDEX('×入力'!$A$1:$L$1300,819+EP$3,1)&lt;&gt;""),1,0),0)</f>
        <v/>
      </c>
      <c r="EQ39">
        <f>IF(EQ$4=1,IF(OR(INDEX('×入力'!$A$1:$L$1300,819+EQ$3,2+EQ$2)&lt;&gt;"",INDEX('×入力'!$A$1:$L$1300,818,2+EQ$2)&lt;&gt;"",INDEX('×入力'!$A$1:$L$1300,819+EQ$3,1)&lt;&gt;""),1,0),0)</f>
        <v/>
      </c>
      <c r="HA39">
        <f>MAX(0,IT39)</f>
        <v/>
      </c>
      <c r="HB39">
        <f>IF(HA39=0,0,INDEX($D$2:$EQ$2,HA39))</f>
        <v/>
      </c>
      <c r="HC39">
        <f>IF(HA39=0,0,INDEX($D$3:$EQ$3,HA39))</f>
        <v/>
      </c>
      <c r="HD39">
        <f>MAX(0,IY39)</f>
        <v/>
      </c>
      <c r="HE39">
        <f>IF(HD39=0,0,INDEX($D$2:$EQ$2,HD39))</f>
        <v/>
      </c>
      <c r="HF39">
        <f>IF(HD39=0,0,INDEX($D$3:$EQ$3,HD39))</f>
        <v/>
      </c>
      <c r="HG39">
        <f>MAX(0,IZ39)</f>
        <v/>
      </c>
      <c r="HH39">
        <f>IF(HG39=0,0,INDEX($D$2:$EQ$2,HG39))</f>
        <v/>
      </c>
      <c r="HI39">
        <f>IF(HG39=0,0,INDEX($D$3:$EQ$3,HG39))</f>
        <v/>
      </c>
      <c r="HJ39">
        <f>IF(AND(HA39&gt;0,HC39&gt;1,OR(HC39-1&lt;&gt;$A$3,$A$4=0)),HA39-1,-1)</f>
        <v/>
      </c>
      <c r="HK39">
        <f>IF(AND(HA39&gt;0,HC39&lt;24,OR(HC39&lt;&gt;$A$3,$A$4=0)),HA39+1,-1)</f>
        <v/>
      </c>
      <c r="HL39">
        <f>IF(AND(HD39&gt;0,HF39&gt;1,OR(HF39-1&lt;&gt;$A$3,$A$4=0)),HD39-1,-1)</f>
        <v/>
      </c>
      <c r="HM39">
        <f>IF(AND(HD39&gt;0,HF39&lt;24,OR(HF39&lt;&gt;$A$3,$A$4=0)),HD39+1,-1)</f>
        <v/>
      </c>
      <c r="HN39">
        <f>IF(AND(HG39&gt;0,HI39&gt;1,OR(HI39-1&lt;&gt;$A$3,$A$4=0)),HG39-1,-1)</f>
        <v/>
      </c>
      <c r="HO39">
        <f>IF(AND(HG39&gt;0,HI39&lt;24,OR(HI39&lt;&gt;$A$3,$A$4=0)),HG39+1,-1)</f>
        <v/>
      </c>
      <c r="IK39">
        <f>IFERROR(INDEX('calcB'!$C$3:$C$47,MATCH(A39,'calcB'!$B$3:$B$47,0)),0)</f>
        <v/>
      </c>
      <c r="IL39">
        <f>IF(AND(C39=1,IK39=0,calcA!$A$6=1),1,0)</f>
        <v/>
      </c>
      <c r="IM39">
        <f>SUMPRODUCT(D89:EQ89*(1-$D$7:$EQ$7))</f>
        <v/>
      </c>
      <c r="IN39">
        <f>SUM(D39:EQ39)</f>
        <v/>
      </c>
      <c r="IO39">
        <f>IF(B39="",0,IF(COUNTIF('調整・決定'!$C$6:$H$29,B39)=1,SUMPRODUCT(('調整・決定'!$C$6:$H$29=B39)*((COLUMN('調整・決定'!$C$6:$H$29)-3)*24+ROW('調整・決定'!$C$6:$H$29)-5)),0))</f>
        <v/>
      </c>
      <c r="IP39">
        <f>IFERROR(MATCH('名簿'!C34,{"早い時刻","遅い時刻","早い日","遅い日"},0),0)</f>
        <v/>
      </c>
      <c r="IQ39">
        <f>IF('名簿'!D34="必ず空けたい",2,IF('名簿'!D34="出来れば空けたい",1,0))</f>
        <v/>
      </c>
      <c r="IR39">
        <f>IFERROR(INDEX('calcC'!$C$3:$C$47,MATCH(A39,'calcC'!$B$3:$B$47,0)),0)</f>
        <v/>
      </c>
      <c r="IS39">
        <f>IF(AND(C39=1,IR39=0,calcA!$A$6=1),1,0)</f>
        <v/>
      </c>
      <c r="IT39">
        <f>IF(OR('名簿'!G34="",'名簿'!H34=""),0,IFERROR((MATCH('名簿'!G34,'設定'!$E$11:$E$16,0)-1)*24+MATCH('名簿'!H34,'設定'!$I$11:$I$34,0),-1))</f>
        <v/>
      </c>
      <c r="IV39">
        <f>IF(OR(JF39=0,IO39=0),1,IF(OR(IF(IT39&gt;0,AND(INDEX($D$2:$EQ$2,IO39)=INDEX($D$2:$EQ$2,IT39),OR(AND(IO39=IT39+1,OR(INDEX($D$3:$EQ$3,IT39)&lt;&gt;$A$3,$A$4=0)),AND(IO39=IT39-1,OR(INDEX($D$3:$EQ$3,IO39)&lt;&gt;$A$3,$A$4=0)))),FALSE),IF(IY39&gt;0,AND(INDEX($D$2:$EQ$2,IO39)=INDEX($D$2:$EQ$2,IY39),OR(AND(IO39=IY39+1,OR(INDEX($D$3:$EQ$3,IY39)&lt;&gt;$A$3,$A$4=0)),AND(IO39=IY39-1,OR(INDEX($D$3:$EQ$3,IO39)&lt;&gt;$A$3,$A$4=0)))),FALSE),IF(IZ39&gt;0,AND(INDEX($D$2:$EQ$2,IO39)=INDEX($D$2:$EQ$2,IZ39),OR(AND(IO39=IZ39+1,OR(INDEX($D$3:$EQ$3,IZ39)&lt;&gt;$A$3,$A$4=0)),AND(IO39=IZ39-1,OR(INDEX($D$3:$EQ$3,IO39)&lt;&gt;$A$3,$A$4=0)))),FALSE)),1,0))</f>
        <v/>
      </c>
      <c r="IW39">
        <f>IF(AND('名簿'!E34&lt;&gt;"",JF39=0),1,0)</f>
        <v/>
      </c>
      <c r="IX39">
        <f>IF('名簿'!D34="空けない",1,0)</f>
        <v/>
      </c>
      <c r="IY39">
        <f>IF(OR('名簿'!J34="",'名簿'!K34=""),0,IFERROR((MATCH('名簿'!J34,'設定'!$E$11:$E$16,0)-1)*24+MATCH('名簿'!K34,'設定'!$I$11:$I$34,0),-1))</f>
        <v/>
      </c>
      <c r="IZ39">
        <f>IF(OR('名簿'!M34="",'名簿'!N34=""),0,IFERROR((MATCH('名簿'!M34,'設定'!$E$11:$E$16,0)-1)*24+MATCH('名簿'!N34,'設定'!$I$11:$I$34,0),-1))</f>
        <v/>
      </c>
      <c r="JC39">
        <f>IF(RIGHT('名簿'!I34,2)="の前",1,IF(RIGHT('名簿'!I34,2)="の後",2,0))</f>
        <v/>
      </c>
      <c r="JD39">
        <f>IF(RIGHT('名簿'!L34,2)="の前",1,IF(RIGHT('名簿'!L34,2)="の後",2,0))</f>
        <v/>
      </c>
      <c r="JE39">
        <f>IF(RIGHT('名簿'!O34,2)="の前",1,IF(RIGHT('名簿'!O34,2)="の後",2,0))</f>
        <v/>
      </c>
      <c r="JF39">
        <f>IF(OR(IT39&gt;0,IY39&gt;0,IZ39&gt;0),1,0)</f>
        <v/>
      </c>
      <c r="JG39">
        <f>IF(OR(IT39&lt;0,IY39&lt;0,IZ39&lt;0),1,0)</f>
        <v/>
      </c>
    </row>
    <row r="40">
      <c r="A40" t="n">
        <v>31</v>
      </c>
      <c r="B40">
        <f>'名簿'!P35</f>
        <v/>
      </c>
      <c r="C40">
        <f>IF(AND(B40&lt;&gt;"",OR('名簿'!Q35="入力済み",'名簿'!Q35="×なし"),IO40=0,COUNTIF('調整・決定'!$C$6:$H$29,B40)=0),1,0)</f>
        <v/>
      </c>
      <c r="D40">
        <f>IF(D$4=1,IF(OR(INDEX('×入力'!$A$1:$L$1300,847+D$3,2+D$2)&lt;&gt;"",INDEX('×入力'!$A$1:$L$1300,846,2+D$2)&lt;&gt;"",INDEX('×入力'!$A$1:$L$1300,847+D$3,1)&lt;&gt;""),1,0),0)</f>
        <v/>
      </c>
      <c r="E40">
        <f>IF(E$4=1,IF(OR(INDEX('×入力'!$A$1:$L$1300,847+E$3,2+E$2)&lt;&gt;"",INDEX('×入力'!$A$1:$L$1300,846,2+E$2)&lt;&gt;"",INDEX('×入力'!$A$1:$L$1300,847+E$3,1)&lt;&gt;""),1,0),0)</f>
        <v/>
      </c>
      <c r="F40">
        <f>IF(F$4=1,IF(OR(INDEX('×入力'!$A$1:$L$1300,847+F$3,2+F$2)&lt;&gt;"",INDEX('×入力'!$A$1:$L$1300,846,2+F$2)&lt;&gt;"",INDEX('×入力'!$A$1:$L$1300,847+F$3,1)&lt;&gt;""),1,0),0)</f>
        <v/>
      </c>
      <c r="G40">
        <f>IF(G$4=1,IF(OR(INDEX('×入力'!$A$1:$L$1300,847+G$3,2+G$2)&lt;&gt;"",INDEX('×入力'!$A$1:$L$1300,846,2+G$2)&lt;&gt;"",INDEX('×入力'!$A$1:$L$1300,847+G$3,1)&lt;&gt;""),1,0),0)</f>
        <v/>
      </c>
      <c r="H40">
        <f>IF(H$4=1,IF(OR(INDEX('×入力'!$A$1:$L$1300,847+H$3,2+H$2)&lt;&gt;"",INDEX('×入力'!$A$1:$L$1300,846,2+H$2)&lt;&gt;"",INDEX('×入力'!$A$1:$L$1300,847+H$3,1)&lt;&gt;""),1,0),0)</f>
        <v/>
      </c>
      <c r="I40">
        <f>IF(I$4=1,IF(OR(INDEX('×入力'!$A$1:$L$1300,847+I$3,2+I$2)&lt;&gt;"",INDEX('×入力'!$A$1:$L$1300,846,2+I$2)&lt;&gt;"",INDEX('×入力'!$A$1:$L$1300,847+I$3,1)&lt;&gt;""),1,0),0)</f>
        <v/>
      </c>
      <c r="J40">
        <f>IF(J$4=1,IF(OR(INDEX('×入力'!$A$1:$L$1300,847+J$3,2+J$2)&lt;&gt;"",INDEX('×入力'!$A$1:$L$1300,846,2+J$2)&lt;&gt;"",INDEX('×入力'!$A$1:$L$1300,847+J$3,1)&lt;&gt;""),1,0),0)</f>
        <v/>
      </c>
      <c r="K40">
        <f>IF(K$4=1,IF(OR(INDEX('×入力'!$A$1:$L$1300,847+K$3,2+K$2)&lt;&gt;"",INDEX('×入力'!$A$1:$L$1300,846,2+K$2)&lt;&gt;"",INDEX('×入力'!$A$1:$L$1300,847+K$3,1)&lt;&gt;""),1,0),0)</f>
        <v/>
      </c>
      <c r="L40">
        <f>IF(L$4=1,IF(OR(INDEX('×入力'!$A$1:$L$1300,847+L$3,2+L$2)&lt;&gt;"",INDEX('×入力'!$A$1:$L$1300,846,2+L$2)&lt;&gt;"",INDEX('×入力'!$A$1:$L$1300,847+L$3,1)&lt;&gt;""),1,0),0)</f>
        <v/>
      </c>
      <c r="M40">
        <f>IF(M$4=1,IF(OR(INDEX('×入力'!$A$1:$L$1300,847+M$3,2+M$2)&lt;&gt;"",INDEX('×入力'!$A$1:$L$1300,846,2+M$2)&lt;&gt;"",INDEX('×入力'!$A$1:$L$1300,847+M$3,1)&lt;&gt;""),1,0),0)</f>
        <v/>
      </c>
      <c r="N40">
        <f>IF(N$4=1,IF(OR(INDEX('×入力'!$A$1:$L$1300,847+N$3,2+N$2)&lt;&gt;"",INDEX('×入力'!$A$1:$L$1300,846,2+N$2)&lt;&gt;"",INDEX('×入力'!$A$1:$L$1300,847+N$3,1)&lt;&gt;""),1,0),0)</f>
        <v/>
      </c>
      <c r="O40">
        <f>IF(O$4=1,IF(OR(INDEX('×入力'!$A$1:$L$1300,847+O$3,2+O$2)&lt;&gt;"",INDEX('×入力'!$A$1:$L$1300,846,2+O$2)&lt;&gt;"",INDEX('×入力'!$A$1:$L$1300,847+O$3,1)&lt;&gt;""),1,0),0)</f>
        <v/>
      </c>
      <c r="P40">
        <f>IF(P$4=1,IF(OR(INDEX('×入力'!$A$1:$L$1300,847+P$3,2+P$2)&lt;&gt;"",INDEX('×入力'!$A$1:$L$1300,846,2+P$2)&lt;&gt;"",INDEX('×入力'!$A$1:$L$1300,847+P$3,1)&lt;&gt;""),1,0),0)</f>
        <v/>
      </c>
      <c r="Q40">
        <f>IF(Q$4=1,IF(OR(INDEX('×入力'!$A$1:$L$1300,847+Q$3,2+Q$2)&lt;&gt;"",INDEX('×入力'!$A$1:$L$1300,846,2+Q$2)&lt;&gt;"",INDEX('×入力'!$A$1:$L$1300,847+Q$3,1)&lt;&gt;""),1,0),0)</f>
        <v/>
      </c>
      <c r="R40">
        <f>IF(R$4=1,IF(OR(INDEX('×入力'!$A$1:$L$1300,847+R$3,2+R$2)&lt;&gt;"",INDEX('×入力'!$A$1:$L$1300,846,2+R$2)&lt;&gt;"",INDEX('×入力'!$A$1:$L$1300,847+R$3,1)&lt;&gt;""),1,0),0)</f>
        <v/>
      </c>
      <c r="S40">
        <f>IF(S$4=1,IF(OR(INDEX('×入力'!$A$1:$L$1300,847+S$3,2+S$2)&lt;&gt;"",INDEX('×入力'!$A$1:$L$1300,846,2+S$2)&lt;&gt;"",INDEX('×入力'!$A$1:$L$1300,847+S$3,1)&lt;&gt;""),1,0),0)</f>
        <v/>
      </c>
      <c r="T40">
        <f>IF(T$4=1,IF(OR(INDEX('×入力'!$A$1:$L$1300,847+T$3,2+T$2)&lt;&gt;"",INDEX('×入力'!$A$1:$L$1300,846,2+T$2)&lt;&gt;"",INDEX('×入力'!$A$1:$L$1300,847+T$3,1)&lt;&gt;""),1,0),0)</f>
        <v/>
      </c>
      <c r="U40">
        <f>IF(U$4=1,IF(OR(INDEX('×入力'!$A$1:$L$1300,847+U$3,2+U$2)&lt;&gt;"",INDEX('×入力'!$A$1:$L$1300,846,2+U$2)&lt;&gt;"",INDEX('×入力'!$A$1:$L$1300,847+U$3,1)&lt;&gt;""),1,0),0)</f>
        <v/>
      </c>
      <c r="V40">
        <f>IF(V$4=1,IF(OR(INDEX('×入力'!$A$1:$L$1300,847+V$3,2+V$2)&lt;&gt;"",INDEX('×入力'!$A$1:$L$1300,846,2+V$2)&lt;&gt;"",INDEX('×入力'!$A$1:$L$1300,847+V$3,1)&lt;&gt;""),1,0),0)</f>
        <v/>
      </c>
      <c r="W40">
        <f>IF(W$4=1,IF(OR(INDEX('×入力'!$A$1:$L$1300,847+W$3,2+W$2)&lt;&gt;"",INDEX('×入力'!$A$1:$L$1300,846,2+W$2)&lt;&gt;"",INDEX('×入力'!$A$1:$L$1300,847+W$3,1)&lt;&gt;""),1,0),0)</f>
        <v/>
      </c>
      <c r="X40">
        <f>IF(X$4=1,IF(OR(INDEX('×入力'!$A$1:$L$1300,847+X$3,2+X$2)&lt;&gt;"",INDEX('×入力'!$A$1:$L$1300,846,2+X$2)&lt;&gt;"",INDEX('×入力'!$A$1:$L$1300,847+X$3,1)&lt;&gt;""),1,0),0)</f>
        <v/>
      </c>
      <c r="Y40">
        <f>IF(Y$4=1,IF(OR(INDEX('×入力'!$A$1:$L$1300,847+Y$3,2+Y$2)&lt;&gt;"",INDEX('×入力'!$A$1:$L$1300,846,2+Y$2)&lt;&gt;"",INDEX('×入力'!$A$1:$L$1300,847+Y$3,1)&lt;&gt;""),1,0),0)</f>
        <v/>
      </c>
      <c r="Z40">
        <f>IF(Z$4=1,IF(OR(INDEX('×入力'!$A$1:$L$1300,847+Z$3,2+Z$2)&lt;&gt;"",INDEX('×入力'!$A$1:$L$1300,846,2+Z$2)&lt;&gt;"",INDEX('×入力'!$A$1:$L$1300,847+Z$3,1)&lt;&gt;""),1,0),0)</f>
        <v/>
      </c>
      <c r="AA40">
        <f>IF(AA$4=1,IF(OR(INDEX('×入力'!$A$1:$L$1300,847+AA$3,2+AA$2)&lt;&gt;"",INDEX('×入力'!$A$1:$L$1300,846,2+AA$2)&lt;&gt;"",INDEX('×入力'!$A$1:$L$1300,847+AA$3,1)&lt;&gt;""),1,0),0)</f>
        <v/>
      </c>
      <c r="AB40">
        <f>IF(AB$4=1,IF(OR(INDEX('×入力'!$A$1:$L$1300,847+AB$3,2+AB$2)&lt;&gt;"",INDEX('×入力'!$A$1:$L$1300,846,2+AB$2)&lt;&gt;"",INDEX('×入力'!$A$1:$L$1300,847+AB$3,1)&lt;&gt;""),1,0),0)</f>
        <v/>
      </c>
      <c r="AC40">
        <f>IF(AC$4=1,IF(OR(INDEX('×入力'!$A$1:$L$1300,847+AC$3,2+AC$2)&lt;&gt;"",INDEX('×入力'!$A$1:$L$1300,846,2+AC$2)&lt;&gt;"",INDEX('×入力'!$A$1:$L$1300,847+AC$3,1)&lt;&gt;""),1,0),0)</f>
        <v/>
      </c>
      <c r="AD40">
        <f>IF(AD$4=1,IF(OR(INDEX('×入力'!$A$1:$L$1300,847+AD$3,2+AD$2)&lt;&gt;"",INDEX('×入力'!$A$1:$L$1300,846,2+AD$2)&lt;&gt;"",INDEX('×入力'!$A$1:$L$1300,847+AD$3,1)&lt;&gt;""),1,0),0)</f>
        <v/>
      </c>
      <c r="AE40">
        <f>IF(AE$4=1,IF(OR(INDEX('×入力'!$A$1:$L$1300,847+AE$3,2+AE$2)&lt;&gt;"",INDEX('×入力'!$A$1:$L$1300,846,2+AE$2)&lt;&gt;"",INDEX('×入力'!$A$1:$L$1300,847+AE$3,1)&lt;&gt;""),1,0),0)</f>
        <v/>
      </c>
      <c r="AF40">
        <f>IF(AF$4=1,IF(OR(INDEX('×入力'!$A$1:$L$1300,847+AF$3,2+AF$2)&lt;&gt;"",INDEX('×入力'!$A$1:$L$1300,846,2+AF$2)&lt;&gt;"",INDEX('×入力'!$A$1:$L$1300,847+AF$3,1)&lt;&gt;""),1,0),0)</f>
        <v/>
      </c>
      <c r="AG40">
        <f>IF(AG$4=1,IF(OR(INDEX('×入力'!$A$1:$L$1300,847+AG$3,2+AG$2)&lt;&gt;"",INDEX('×入力'!$A$1:$L$1300,846,2+AG$2)&lt;&gt;"",INDEX('×入力'!$A$1:$L$1300,847+AG$3,1)&lt;&gt;""),1,0),0)</f>
        <v/>
      </c>
      <c r="AH40">
        <f>IF(AH$4=1,IF(OR(INDEX('×入力'!$A$1:$L$1300,847+AH$3,2+AH$2)&lt;&gt;"",INDEX('×入力'!$A$1:$L$1300,846,2+AH$2)&lt;&gt;"",INDEX('×入力'!$A$1:$L$1300,847+AH$3,1)&lt;&gt;""),1,0),0)</f>
        <v/>
      </c>
      <c r="AI40">
        <f>IF(AI$4=1,IF(OR(INDEX('×入力'!$A$1:$L$1300,847+AI$3,2+AI$2)&lt;&gt;"",INDEX('×入力'!$A$1:$L$1300,846,2+AI$2)&lt;&gt;"",INDEX('×入力'!$A$1:$L$1300,847+AI$3,1)&lt;&gt;""),1,0),0)</f>
        <v/>
      </c>
      <c r="AJ40">
        <f>IF(AJ$4=1,IF(OR(INDEX('×入力'!$A$1:$L$1300,847+AJ$3,2+AJ$2)&lt;&gt;"",INDEX('×入力'!$A$1:$L$1300,846,2+AJ$2)&lt;&gt;"",INDEX('×入力'!$A$1:$L$1300,847+AJ$3,1)&lt;&gt;""),1,0),0)</f>
        <v/>
      </c>
      <c r="AK40">
        <f>IF(AK$4=1,IF(OR(INDEX('×入力'!$A$1:$L$1300,847+AK$3,2+AK$2)&lt;&gt;"",INDEX('×入力'!$A$1:$L$1300,846,2+AK$2)&lt;&gt;"",INDEX('×入力'!$A$1:$L$1300,847+AK$3,1)&lt;&gt;""),1,0),0)</f>
        <v/>
      </c>
      <c r="AL40">
        <f>IF(AL$4=1,IF(OR(INDEX('×入力'!$A$1:$L$1300,847+AL$3,2+AL$2)&lt;&gt;"",INDEX('×入力'!$A$1:$L$1300,846,2+AL$2)&lt;&gt;"",INDEX('×入力'!$A$1:$L$1300,847+AL$3,1)&lt;&gt;""),1,0),0)</f>
        <v/>
      </c>
      <c r="AM40">
        <f>IF(AM$4=1,IF(OR(INDEX('×入力'!$A$1:$L$1300,847+AM$3,2+AM$2)&lt;&gt;"",INDEX('×入力'!$A$1:$L$1300,846,2+AM$2)&lt;&gt;"",INDEX('×入力'!$A$1:$L$1300,847+AM$3,1)&lt;&gt;""),1,0),0)</f>
        <v/>
      </c>
      <c r="AN40">
        <f>IF(AN$4=1,IF(OR(INDEX('×入力'!$A$1:$L$1300,847+AN$3,2+AN$2)&lt;&gt;"",INDEX('×入力'!$A$1:$L$1300,846,2+AN$2)&lt;&gt;"",INDEX('×入力'!$A$1:$L$1300,847+AN$3,1)&lt;&gt;""),1,0),0)</f>
        <v/>
      </c>
      <c r="AO40">
        <f>IF(AO$4=1,IF(OR(INDEX('×入力'!$A$1:$L$1300,847+AO$3,2+AO$2)&lt;&gt;"",INDEX('×入力'!$A$1:$L$1300,846,2+AO$2)&lt;&gt;"",INDEX('×入力'!$A$1:$L$1300,847+AO$3,1)&lt;&gt;""),1,0),0)</f>
        <v/>
      </c>
      <c r="AP40">
        <f>IF(AP$4=1,IF(OR(INDEX('×入力'!$A$1:$L$1300,847+AP$3,2+AP$2)&lt;&gt;"",INDEX('×入力'!$A$1:$L$1300,846,2+AP$2)&lt;&gt;"",INDEX('×入力'!$A$1:$L$1300,847+AP$3,1)&lt;&gt;""),1,0),0)</f>
        <v/>
      </c>
      <c r="AQ40">
        <f>IF(AQ$4=1,IF(OR(INDEX('×入力'!$A$1:$L$1300,847+AQ$3,2+AQ$2)&lt;&gt;"",INDEX('×入力'!$A$1:$L$1300,846,2+AQ$2)&lt;&gt;"",INDEX('×入力'!$A$1:$L$1300,847+AQ$3,1)&lt;&gt;""),1,0),0)</f>
        <v/>
      </c>
      <c r="AR40">
        <f>IF(AR$4=1,IF(OR(INDEX('×入力'!$A$1:$L$1300,847+AR$3,2+AR$2)&lt;&gt;"",INDEX('×入力'!$A$1:$L$1300,846,2+AR$2)&lt;&gt;"",INDEX('×入力'!$A$1:$L$1300,847+AR$3,1)&lt;&gt;""),1,0),0)</f>
        <v/>
      </c>
      <c r="AS40">
        <f>IF(AS$4=1,IF(OR(INDEX('×入力'!$A$1:$L$1300,847+AS$3,2+AS$2)&lt;&gt;"",INDEX('×入力'!$A$1:$L$1300,846,2+AS$2)&lt;&gt;"",INDEX('×入力'!$A$1:$L$1300,847+AS$3,1)&lt;&gt;""),1,0),0)</f>
        <v/>
      </c>
      <c r="AT40">
        <f>IF(AT$4=1,IF(OR(INDEX('×入力'!$A$1:$L$1300,847+AT$3,2+AT$2)&lt;&gt;"",INDEX('×入力'!$A$1:$L$1300,846,2+AT$2)&lt;&gt;"",INDEX('×入力'!$A$1:$L$1300,847+AT$3,1)&lt;&gt;""),1,0),0)</f>
        <v/>
      </c>
      <c r="AU40">
        <f>IF(AU$4=1,IF(OR(INDEX('×入力'!$A$1:$L$1300,847+AU$3,2+AU$2)&lt;&gt;"",INDEX('×入力'!$A$1:$L$1300,846,2+AU$2)&lt;&gt;"",INDEX('×入力'!$A$1:$L$1300,847+AU$3,1)&lt;&gt;""),1,0),0)</f>
        <v/>
      </c>
      <c r="AV40">
        <f>IF(AV$4=1,IF(OR(INDEX('×入力'!$A$1:$L$1300,847+AV$3,2+AV$2)&lt;&gt;"",INDEX('×入力'!$A$1:$L$1300,846,2+AV$2)&lt;&gt;"",INDEX('×入力'!$A$1:$L$1300,847+AV$3,1)&lt;&gt;""),1,0),0)</f>
        <v/>
      </c>
      <c r="AW40">
        <f>IF(AW$4=1,IF(OR(INDEX('×入力'!$A$1:$L$1300,847+AW$3,2+AW$2)&lt;&gt;"",INDEX('×入力'!$A$1:$L$1300,846,2+AW$2)&lt;&gt;"",INDEX('×入力'!$A$1:$L$1300,847+AW$3,1)&lt;&gt;""),1,0),0)</f>
        <v/>
      </c>
      <c r="AX40">
        <f>IF(AX$4=1,IF(OR(INDEX('×入力'!$A$1:$L$1300,847+AX$3,2+AX$2)&lt;&gt;"",INDEX('×入力'!$A$1:$L$1300,846,2+AX$2)&lt;&gt;"",INDEX('×入力'!$A$1:$L$1300,847+AX$3,1)&lt;&gt;""),1,0),0)</f>
        <v/>
      </c>
      <c r="AY40">
        <f>IF(AY$4=1,IF(OR(INDEX('×入力'!$A$1:$L$1300,847+AY$3,2+AY$2)&lt;&gt;"",INDEX('×入力'!$A$1:$L$1300,846,2+AY$2)&lt;&gt;"",INDEX('×入力'!$A$1:$L$1300,847+AY$3,1)&lt;&gt;""),1,0),0)</f>
        <v/>
      </c>
      <c r="AZ40">
        <f>IF(AZ$4=1,IF(OR(INDEX('×入力'!$A$1:$L$1300,847+AZ$3,2+AZ$2)&lt;&gt;"",INDEX('×入力'!$A$1:$L$1300,846,2+AZ$2)&lt;&gt;"",INDEX('×入力'!$A$1:$L$1300,847+AZ$3,1)&lt;&gt;""),1,0),0)</f>
        <v/>
      </c>
      <c r="BA40">
        <f>IF(BA$4=1,IF(OR(INDEX('×入力'!$A$1:$L$1300,847+BA$3,2+BA$2)&lt;&gt;"",INDEX('×入力'!$A$1:$L$1300,846,2+BA$2)&lt;&gt;"",INDEX('×入力'!$A$1:$L$1300,847+BA$3,1)&lt;&gt;""),1,0),0)</f>
        <v/>
      </c>
      <c r="BB40">
        <f>IF(BB$4=1,IF(OR(INDEX('×入力'!$A$1:$L$1300,847+BB$3,2+BB$2)&lt;&gt;"",INDEX('×入力'!$A$1:$L$1300,846,2+BB$2)&lt;&gt;"",INDEX('×入力'!$A$1:$L$1300,847+BB$3,1)&lt;&gt;""),1,0),0)</f>
        <v/>
      </c>
      <c r="BC40">
        <f>IF(BC$4=1,IF(OR(INDEX('×入力'!$A$1:$L$1300,847+BC$3,2+BC$2)&lt;&gt;"",INDEX('×入力'!$A$1:$L$1300,846,2+BC$2)&lt;&gt;"",INDEX('×入力'!$A$1:$L$1300,847+BC$3,1)&lt;&gt;""),1,0),0)</f>
        <v/>
      </c>
      <c r="BD40">
        <f>IF(BD$4=1,IF(OR(INDEX('×入力'!$A$1:$L$1300,847+BD$3,2+BD$2)&lt;&gt;"",INDEX('×入力'!$A$1:$L$1300,846,2+BD$2)&lt;&gt;"",INDEX('×入力'!$A$1:$L$1300,847+BD$3,1)&lt;&gt;""),1,0),0)</f>
        <v/>
      </c>
      <c r="BE40">
        <f>IF(BE$4=1,IF(OR(INDEX('×入力'!$A$1:$L$1300,847+BE$3,2+BE$2)&lt;&gt;"",INDEX('×入力'!$A$1:$L$1300,846,2+BE$2)&lt;&gt;"",INDEX('×入力'!$A$1:$L$1300,847+BE$3,1)&lt;&gt;""),1,0),0)</f>
        <v/>
      </c>
      <c r="BF40">
        <f>IF(BF$4=1,IF(OR(INDEX('×入力'!$A$1:$L$1300,847+BF$3,2+BF$2)&lt;&gt;"",INDEX('×入力'!$A$1:$L$1300,846,2+BF$2)&lt;&gt;"",INDEX('×入力'!$A$1:$L$1300,847+BF$3,1)&lt;&gt;""),1,0),0)</f>
        <v/>
      </c>
      <c r="BG40">
        <f>IF(BG$4=1,IF(OR(INDEX('×入力'!$A$1:$L$1300,847+BG$3,2+BG$2)&lt;&gt;"",INDEX('×入力'!$A$1:$L$1300,846,2+BG$2)&lt;&gt;"",INDEX('×入力'!$A$1:$L$1300,847+BG$3,1)&lt;&gt;""),1,0),0)</f>
        <v/>
      </c>
      <c r="BH40">
        <f>IF(BH$4=1,IF(OR(INDEX('×入力'!$A$1:$L$1300,847+BH$3,2+BH$2)&lt;&gt;"",INDEX('×入力'!$A$1:$L$1300,846,2+BH$2)&lt;&gt;"",INDEX('×入力'!$A$1:$L$1300,847+BH$3,1)&lt;&gt;""),1,0),0)</f>
        <v/>
      </c>
      <c r="BI40">
        <f>IF(BI$4=1,IF(OR(INDEX('×入力'!$A$1:$L$1300,847+BI$3,2+BI$2)&lt;&gt;"",INDEX('×入力'!$A$1:$L$1300,846,2+BI$2)&lt;&gt;"",INDEX('×入力'!$A$1:$L$1300,847+BI$3,1)&lt;&gt;""),1,0),0)</f>
        <v/>
      </c>
      <c r="BJ40">
        <f>IF(BJ$4=1,IF(OR(INDEX('×入力'!$A$1:$L$1300,847+BJ$3,2+BJ$2)&lt;&gt;"",INDEX('×入力'!$A$1:$L$1300,846,2+BJ$2)&lt;&gt;"",INDEX('×入力'!$A$1:$L$1300,847+BJ$3,1)&lt;&gt;""),1,0),0)</f>
        <v/>
      </c>
      <c r="BK40">
        <f>IF(BK$4=1,IF(OR(INDEX('×入力'!$A$1:$L$1300,847+BK$3,2+BK$2)&lt;&gt;"",INDEX('×入力'!$A$1:$L$1300,846,2+BK$2)&lt;&gt;"",INDEX('×入力'!$A$1:$L$1300,847+BK$3,1)&lt;&gt;""),1,0),0)</f>
        <v/>
      </c>
      <c r="BL40">
        <f>IF(BL$4=1,IF(OR(INDEX('×入力'!$A$1:$L$1300,847+BL$3,2+BL$2)&lt;&gt;"",INDEX('×入力'!$A$1:$L$1300,846,2+BL$2)&lt;&gt;"",INDEX('×入力'!$A$1:$L$1300,847+BL$3,1)&lt;&gt;""),1,0),0)</f>
        <v/>
      </c>
      <c r="BM40">
        <f>IF(BM$4=1,IF(OR(INDEX('×入力'!$A$1:$L$1300,847+BM$3,2+BM$2)&lt;&gt;"",INDEX('×入力'!$A$1:$L$1300,846,2+BM$2)&lt;&gt;"",INDEX('×入力'!$A$1:$L$1300,847+BM$3,1)&lt;&gt;""),1,0),0)</f>
        <v/>
      </c>
      <c r="BN40">
        <f>IF(BN$4=1,IF(OR(INDEX('×入力'!$A$1:$L$1300,847+BN$3,2+BN$2)&lt;&gt;"",INDEX('×入力'!$A$1:$L$1300,846,2+BN$2)&lt;&gt;"",INDEX('×入力'!$A$1:$L$1300,847+BN$3,1)&lt;&gt;""),1,0),0)</f>
        <v/>
      </c>
      <c r="BO40">
        <f>IF(BO$4=1,IF(OR(INDEX('×入力'!$A$1:$L$1300,847+BO$3,2+BO$2)&lt;&gt;"",INDEX('×入力'!$A$1:$L$1300,846,2+BO$2)&lt;&gt;"",INDEX('×入力'!$A$1:$L$1300,847+BO$3,1)&lt;&gt;""),1,0),0)</f>
        <v/>
      </c>
      <c r="BP40">
        <f>IF(BP$4=1,IF(OR(INDEX('×入力'!$A$1:$L$1300,847+BP$3,2+BP$2)&lt;&gt;"",INDEX('×入力'!$A$1:$L$1300,846,2+BP$2)&lt;&gt;"",INDEX('×入力'!$A$1:$L$1300,847+BP$3,1)&lt;&gt;""),1,0),0)</f>
        <v/>
      </c>
      <c r="BQ40">
        <f>IF(BQ$4=1,IF(OR(INDEX('×入力'!$A$1:$L$1300,847+BQ$3,2+BQ$2)&lt;&gt;"",INDEX('×入力'!$A$1:$L$1300,846,2+BQ$2)&lt;&gt;"",INDEX('×入力'!$A$1:$L$1300,847+BQ$3,1)&lt;&gt;""),1,0),0)</f>
        <v/>
      </c>
      <c r="BR40">
        <f>IF(BR$4=1,IF(OR(INDEX('×入力'!$A$1:$L$1300,847+BR$3,2+BR$2)&lt;&gt;"",INDEX('×入力'!$A$1:$L$1300,846,2+BR$2)&lt;&gt;"",INDEX('×入力'!$A$1:$L$1300,847+BR$3,1)&lt;&gt;""),1,0),0)</f>
        <v/>
      </c>
      <c r="BS40">
        <f>IF(BS$4=1,IF(OR(INDEX('×入力'!$A$1:$L$1300,847+BS$3,2+BS$2)&lt;&gt;"",INDEX('×入力'!$A$1:$L$1300,846,2+BS$2)&lt;&gt;"",INDEX('×入力'!$A$1:$L$1300,847+BS$3,1)&lt;&gt;""),1,0),0)</f>
        <v/>
      </c>
      <c r="BT40">
        <f>IF(BT$4=1,IF(OR(INDEX('×入力'!$A$1:$L$1300,847+BT$3,2+BT$2)&lt;&gt;"",INDEX('×入力'!$A$1:$L$1300,846,2+BT$2)&lt;&gt;"",INDEX('×入力'!$A$1:$L$1300,847+BT$3,1)&lt;&gt;""),1,0),0)</f>
        <v/>
      </c>
      <c r="BU40">
        <f>IF(BU$4=1,IF(OR(INDEX('×入力'!$A$1:$L$1300,847+BU$3,2+BU$2)&lt;&gt;"",INDEX('×入力'!$A$1:$L$1300,846,2+BU$2)&lt;&gt;"",INDEX('×入力'!$A$1:$L$1300,847+BU$3,1)&lt;&gt;""),1,0),0)</f>
        <v/>
      </c>
      <c r="BV40">
        <f>IF(BV$4=1,IF(OR(INDEX('×入力'!$A$1:$L$1300,847+BV$3,2+BV$2)&lt;&gt;"",INDEX('×入力'!$A$1:$L$1300,846,2+BV$2)&lt;&gt;"",INDEX('×入力'!$A$1:$L$1300,847+BV$3,1)&lt;&gt;""),1,0),0)</f>
        <v/>
      </c>
      <c r="BW40">
        <f>IF(BW$4=1,IF(OR(INDEX('×入力'!$A$1:$L$1300,847+BW$3,2+BW$2)&lt;&gt;"",INDEX('×入力'!$A$1:$L$1300,846,2+BW$2)&lt;&gt;"",INDEX('×入力'!$A$1:$L$1300,847+BW$3,1)&lt;&gt;""),1,0),0)</f>
        <v/>
      </c>
      <c r="BX40">
        <f>IF(BX$4=1,IF(OR(INDEX('×入力'!$A$1:$L$1300,847+BX$3,2+BX$2)&lt;&gt;"",INDEX('×入力'!$A$1:$L$1300,846,2+BX$2)&lt;&gt;"",INDEX('×入力'!$A$1:$L$1300,847+BX$3,1)&lt;&gt;""),1,0),0)</f>
        <v/>
      </c>
      <c r="BY40">
        <f>IF(BY$4=1,IF(OR(INDEX('×入力'!$A$1:$L$1300,847+BY$3,2+BY$2)&lt;&gt;"",INDEX('×入力'!$A$1:$L$1300,846,2+BY$2)&lt;&gt;"",INDEX('×入力'!$A$1:$L$1300,847+BY$3,1)&lt;&gt;""),1,0),0)</f>
        <v/>
      </c>
      <c r="BZ40">
        <f>IF(BZ$4=1,IF(OR(INDEX('×入力'!$A$1:$L$1300,847+BZ$3,2+BZ$2)&lt;&gt;"",INDEX('×入力'!$A$1:$L$1300,846,2+BZ$2)&lt;&gt;"",INDEX('×入力'!$A$1:$L$1300,847+BZ$3,1)&lt;&gt;""),1,0),0)</f>
        <v/>
      </c>
      <c r="CA40">
        <f>IF(CA$4=1,IF(OR(INDEX('×入力'!$A$1:$L$1300,847+CA$3,2+CA$2)&lt;&gt;"",INDEX('×入力'!$A$1:$L$1300,846,2+CA$2)&lt;&gt;"",INDEX('×入力'!$A$1:$L$1300,847+CA$3,1)&lt;&gt;""),1,0),0)</f>
        <v/>
      </c>
      <c r="CB40">
        <f>IF(CB$4=1,IF(OR(INDEX('×入力'!$A$1:$L$1300,847+CB$3,2+CB$2)&lt;&gt;"",INDEX('×入力'!$A$1:$L$1300,846,2+CB$2)&lt;&gt;"",INDEX('×入力'!$A$1:$L$1300,847+CB$3,1)&lt;&gt;""),1,0),0)</f>
        <v/>
      </c>
      <c r="CC40">
        <f>IF(CC$4=1,IF(OR(INDEX('×入力'!$A$1:$L$1300,847+CC$3,2+CC$2)&lt;&gt;"",INDEX('×入力'!$A$1:$L$1300,846,2+CC$2)&lt;&gt;"",INDEX('×入力'!$A$1:$L$1300,847+CC$3,1)&lt;&gt;""),1,0),0)</f>
        <v/>
      </c>
      <c r="CD40">
        <f>IF(CD$4=1,IF(OR(INDEX('×入力'!$A$1:$L$1300,847+CD$3,2+CD$2)&lt;&gt;"",INDEX('×入力'!$A$1:$L$1300,846,2+CD$2)&lt;&gt;"",INDEX('×入力'!$A$1:$L$1300,847+CD$3,1)&lt;&gt;""),1,0),0)</f>
        <v/>
      </c>
      <c r="CE40">
        <f>IF(CE$4=1,IF(OR(INDEX('×入力'!$A$1:$L$1300,847+CE$3,2+CE$2)&lt;&gt;"",INDEX('×入力'!$A$1:$L$1300,846,2+CE$2)&lt;&gt;"",INDEX('×入力'!$A$1:$L$1300,847+CE$3,1)&lt;&gt;""),1,0),0)</f>
        <v/>
      </c>
      <c r="CF40">
        <f>IF(CF$4=1,IF(OR(INDEX('×入力'!$A$1:$L$1300,847+CF$3,2+CF$2)&lt;&gt;"",INDEX('×入力'!$A$1:$L$1300,846,2+CF$2)&lt;&gt;"",INDEX('×入力'!$A$1:$L$1300,847+CF$3,1)&lt;&gt;""),1,0),0)</f>
        <v/>
      </c>
      <c r="CG40">
        <f>IF(CG$4=1,IF(OR(INDEX('×入力'!$A$1:$L$1300,847+CG$3,2+CG$2)&lt;&gt;"",INDEX('×入力'!$A$1:$L$1300,846,2+CG$2)&lt;&gt;"",INDEX('×入力'!$A$1:$L$1300,847+CG$3,1)&lt;&gt;""),1,0),0)</f>
        <v/>
      </c>
      <c r="CH40">
        <f>IF(CH$4=1,IF(OR(INDEX('×入力'!$A$1:$L$1300,847+CH$3,2+CH$2)&lt;&gt;"",INDEX('×入力'!$A$1:$L$1300,846,2+CH$2)&lt;&gt;"",INDEX('×入力'!$A$1:$L$1300,847+CH$3,1)&lt;&gt;""),1,0),0)</f>
        <v/>
      </c>
      <c r="CI40">
        <f>IF(CI$4=1,IF(OR(INDEX('×入力'!$A$1:$L$1300,847+CI$3,2+CI$2)&lt;&gt;"",INDEX('×入力'!$A$1:$L$1300,846,2+CI$2)&lt;&gt;"",INDEX('×入力'!$A$1:$L$1300,847+CI$3,1)&lt;&gt;""),1,0),0)</f>
        <v/>
      </c>
      <c r="CJ40">
        <f>IF(CJ$4=1,IF(OR(INDEX('×入力'!$A$1:$L$1300,847+CJ$3,2+CJ$2)&lt;&gt;"",INDEX('×入力'!$A$1:$L$1300,846,2+CJ$2)&lt;&gt;"",INDEX('×入力'!$A$1:$L$1300,847+CJ$3,1)&lt;&gt;""),1,0),0)</f>
        <v/>
      </c>
      <c r="CK40">
        <f>IF(CK$4=1,IF(OR(INDEX('×入力'!$A$1:$L$1300,847+CK$3,2+CK$2)&lt;&gt;"",INDEX('×入力'!$A$1:$L$1300,846,2+CK$2)&lt;&gt;"",INDEX('×入力'!$A$1:$L$1300,847+CK$3,1)&lt;&gt;""),1,0),0)</f>
        <v/>
      </c>
      <c r="CL40">
        <f>IF(CL$4=1,IF(OR(INDEX('×入力'!$A$1:$L$1300,847+CL$3,2+CL$2)&lt;&gt;"",INDEX('×入力'!$A$1:$L$1300,846,2+CL$2)&lt;&gt;"",INDEX('×入力'!$A$1:$L$1300,847+CL$3,1)&lt;&gt;""),1,0),0)</f>
        <v/>
      </c>
      <c r="CM40">
        <f>IF(CM$4=1,IF(OR(INDEX('×入力'!$A$1:$L$1300,847+CM$3,2+CM$2)&lt;&gt;"",INDEX('×入力'!$A$1:$L$1300,846,2+CM$2)&lt;&gt;"",INDEX('×入力'!$A$1:$L$1300,847+CM$3,1)&lt;&gt;""),1,0),0)</f>
        <v/>
      </c>
      <c r="CN40">
        <f>IF(CN$4=1,IF(OR(INDEX('×入力'!$A$1:$L$1300,847+CN$3,2+CN$2)&lt;&gt;"",INDEX('×入力'!$A$1:$L$1300,846,2+CN$2)&lt;&gt;"",INDEX('×入力'!$A$1:$L$1300,847+CN$3,1)&lt;&gt;""),1,0),0)</f>
        <v/>
      </c>
      <c r="CO40">
        <f>IF(CO$4=1,IF(OR(INDEX('×入力'!$A$1:$L$1300,847+CO$3,2+CO$2)&lt;&gt;"",INDEX('×入力'!$A$1:$L$1300,846,2+CO$2)&lt;&gt;"",INDEX('×入力'!$A$1:$L$1300,847+CO$3,1)&lt;&gt;""),1,0),0)</f>
        <v/>
      </c>
      <c r="CP40">
        <f>IF(CP$4=1,IF(OR(INDEX('×入力'!$A$1:$L$1300,847+CP$3,2+CP$2)&lt;&gt;"",INDEX('×入力'!$A$1:$L$1300,846,2+CP$2)&lt;&gt;"",INDEX('×入力'!$A$1:$L$1300,847+CP$3,1)&lt;&gt;""),1,0),0)</f>
        <v/>
      </c>
      <c r="CQ40">
        <f>IF(CQ$4=1,IF(OR(INDEX('×入力'!$A$1:$L$1300,847+CQ$3,2+CQ$2)&lt;&gt;"",INDEX('×入力'!$A$1:$L$1300,846,2+CQ$2)&lt;&gt;"",INDEX('×入力'!$A$1:$L$1300,847+CQ$3,1)&lt;&gt;""),1,0),0)</f>
        <v/>
      </c>
      <c r="CR40">
        <f>IF(CR$4=1,IF(OR(INDEX('×入力'!$A$1:$L$1300,847+CR$3,2+CR$2)&lt;&gt;"",INDEX('×入力'!$A$1:$L$1300,846,2+CR$2)&lt;&gt;"",INDEX('×入力'!$A$1:$L$1300,847+CR$3,1)&lt;&gt;""),1,0),0)</f>
        <v/>
      </c>
      <c r="CS40">
        <f>IF(CS$4=1,IF(OR(INDEX('×入力'!$A$1:$L$1300,847+CS$3,2+CS$2)&lt;&gt;"",INDEX('×入力'!$A$1:$L$1300,846,2+CS$2)&lt;&gt;"",INDEX('×入力'!$A$1:$L$1300,847+CS$3,1)&lt;&gt;""),1,0),0)</f>
        <v/>
      </c>
      <c r="CT40">
        <f>IF(CT$4=1,IF(OR(INDEX('×入力'!$A$1:$L$1300,847+CT$3,2+CT$2)&lt;&gt;"",INDEX('×入力'!$A$1:$L$1300,846,2+CT$2)&lt;&gt;"",INDEX('×入力'!$A$1:$L$1300,847+CT$3,1)&lt;&gt;""),1,0),0)</f>
        <v/>
      </c>
      <c r="CU40">
        <f>IF(CU$4=1,IF(OR(INDEX('×入力'!$A$1:$L$1300,847+CU$3,2+CU$2)&lt;&gt;"",INDEX('×入力'!$A$1:$L$1300,846,2+CU$2)&lt;&gt;"",INDEX('×入力'!$A$1:$L$1300,847+CU$3,1)&lt;&gt;""),1,0),0)</f>
        <v/>
      </c>
      <c r="CV40">
        <f>IF(CV$4=1,IF(OR(INDEX('×入力'!$A$1:$L$1300,847+CV$3,2+CV$2)&lt;&gt;"",INDEX('×入力'!$A$1:$L$1300,846,2+CV$2)&lt;&gt;"",INDEX('×入力'!$A$1:$L$1300,847+CV$3,1)&lt;&gt;""),1,0),0)</f>
        <v/>
      </c>
      <c r="CW40">
        <f>IF(CW$4=1,IF(OR(INDEX('×入力'!$A$1:$L$1300,847+CW$3,2+CW$2)&lt;&gt;"",INDEX('×入力'!$A$1:$L$1300,846,2+CW$2)&lt;&gt;"",INDEX('×入力'!$A$1:$L$1300,847+CW$3,1)&lt;&gt;""),1,0),0)</f>
        <v/>
      </c>
      <c r="CX40">
        <f>IF(CX$4=1,IF(OR(INDEX('×入力'!$A$1:$L$1300,847+CX$3,2+CX$2)&lt;&gt;"",INDEX('×入力'!$A$1:$L$1300,846,2+CX$2)&lt;&gt;"",INDEX('×入力'!$A$1:$L$1300,847+CX$3,1)&lt;&gt;""),1,0),0)</f>
        <v/>
      </c>
      <c r="CY40">
        <f>IF(CY$4=1,IF(OR(INDEX('×入力'!$A$1:$L$1300,847+CY$3,2+CY$2)&lt;&gt;"",INDEX('×入力'!$A$1:$L$1300,846,2+CY$2)&lt;&gt;"",INDEX('×入力'!$A$1:$L$1300,847+CY$3,1)&lt;&gt;""),1,0),0)</f>
        <v/>
      </c>
      <c r="CZ40">
        <f>IF(CZ$4=1,IF(OR(INDEX('×入力'!$A$1:$L$1300,847+CZ$3,2+CZ$2)&lt;&gt;"",INDEX('×入力'!$A$1:$L$1300,846,2+CZ$2)&lt;&gt;"",INDEX('×入力'!$A$1:$L$1300,847+CZ$3,1)&lt;&gt;""),1,0),0)</f>
        <v/>
      </c>
      <c r="DA40">
        <f>IF(DA$4=1,IF(OR(INDEX('×入力'!$A$1:$L$1300,847+DA$3,2+DA$2)&lt;&gt;"",INDEX('×入力'!$A$1:$L$1300,846,2+DA$2)&lt;&gt;"",INDEX('×入力'!$A$1:$L$1300,847+DA$3,1)&lt;&gt;""),1,0),0)</f>
        <v/>
      </c>
      <c r="DB40">
        <f>IF(DB$4=1,IF(OR(INDEX('×入力'!$A$1:$L$1300,847+DB$3,2+DB$2)&lt;&gt;"",INDEX('×入力'!$A$1:$L$1300,846,2+DB$2)&lt;&gt;"",INDEX('×入力'!$A$1:$L$1300,847+DB$3,1)&lt;&gt;""),1,0),0)</f>
        <v/>
      </c>
      <c r="DC40">
        <f>IF(DC$4=1,IF(OR(INDEX('×入力'!$A$1:$L$1300,847+DC$3,2+DC$2)&lt;&gt;"",INDEX('×入力'!$A$1:$L$1300,846,2+DC$2)&lt;&gt;"",INDEX('×入力'!$A$1:$L$1300,847+DC$3,1)&lt;&gt;""),1,0),0)</f>
        <v/>
      </c>
      <c r="DD40">
        <f>IF(DD$4=1,IF(OR(INDEX('×入力'!$A$1:$L$1300,847+DD$3,2+DD$2)&lt;&gt;"",INDEX('×入力'!$A$1:$L$1300,846,2+DD$2)&lt;&gt;"",INDEX('×入力'!$A$1:$L$1300,847+DD$3,1)&lt;&gt;""),1,0),0)</f>
        <v/>
      </c>
      <c r="DE40">
        <f>IF(DE$4=1,IF(OR(INDEX('×入力'!$A$1:$L$1300,847+DE$3,2+DE$2)&lt;&gt;"",INDEX('×入力'!$A$1:$L$1300,846,2+DE$2)&lt;&gt;"",INDEX('×入力'!$A$1:$L$1300,847+DE$3,1)&lt;&gt;""),1,0),0)</f>
        <v/>
      </c>
      <c r="DF40">
        <f>IF(DF$4=1,IF(OR(INDEX('×入力'!$A$1:$L$1300,847+DF$3,2+DF$2)&lt;&gt;"",INDEX('×入力'!$A$1:$L$1300,846,2+DF$2)&lt;&gt;"",INDEX('×入力'!$A$1:$L$1300,847+DF$3,1)&lt;&gt;""),1,0),0)</f>
        <v/>
      </c>
      <c r="DG40">
        <f>IF(DG$4=1,IF(OR(INDEX('×入力'!$A$1:$L$1300,847+DG$3,2+DG$2)&lt;&gt;"",INDEX('×入力'!$A$1:$L$1300,846,2+DG$2)&lt;&gt;"",INDEX('×入力'!$A$1:$L$1300,847+DG$3,1)&lt;&gt;""),1,0),0)</f>
        <v/>
      </c>
      <c r="DH40">
        <f>IF(DH$4=1,IF(OR(INDEX('×入力'!$A$1:$L$1300,847+DH$3,2+DH$2)&lt;&gt;"",INDEX('×入力'!$A$1:$L$1300,846,2+DH$2)&lt;&gt;"",INDEX('×入力'!$A$1:$L$1300,847+DH$3,1)&lt;&gt;""),1,0),0)</f>
        <v/>
      </c>
      <c r="DI40">
        <f>IF(DI$4=1,IF(OR(INDEX('×入力'!$A$1:$L$1300,847+DI$3,2+DI$2)&lt;&gt;"",INDEX('×入力'!$A$1:$L$1300,846,2+DI$2)&lt;&gt;"",INDEX('×入力'!$A$1:$L$1300,847+DI$3,1)&lt;&gt;""),1,0),0)</f>
        <v/>
      </c>
      <c r="DJ40">
        <f>IF(DJ$4=1,IF(OR(INDEX('×入力'!$A$1:$L$1300,847+DJ$3,2+DJ$2)&lt;&gt;"",INDEX('×入力'!$A$1:$L$1300,846,2+DJ$2)&lt;&gt;"",INDEX('×入力'!$A$1:$L$1300,847+DJ$3,1)&lt;&gt;""),1,0),0)</f>
        <v/>
      </c>
      <c r="DK40">
        <f>IF(DK$4=1,IF(OR(INDEX('×入力'!$A$1:$L$1300,847+DK$3,2+DK$2)&lt;&gt;"",INDEX('×入力'!$A$1:$L$1300,846,2+DK$2)&lt;&gt;"",INDEX('×入力'!$A$1:$L$1300,847+DK$3,1)&lt;&gt;""),1,0),0)</f>
        <v/>
      </c>
      <c r="DL40">
        <f>IF(DL$4=1,IF(OR(INDEX('×入力'!$A$1:$L$1300,847+DL$3,2+DL$2)&lt;&gt;"",INDEX('×入力'!$A$1:$L$1300,846,2+DL$2)&lt;&gt;"",INDEX('×入力'!$A$1:$L$1300,847+DL$3,1)&lt;&gt;""),1,0),0)</f>
        <v/>
      </c>
      <c r="DM40">
        <f>IF(DM$4=1,IF(OR(INDEX('×入力'!$A$1:$L$1300,847+DM$3,2+DM$2)&lt;&gt;"",INDEX('×入力'!$A$1:$L$1300,846,2+DM$2)&lt;&gt;"",INDEX('×入力'!$A$1:$L$1300,847+DM$3,1)&lt;&gt;""),1,0),0)</f>
        <v/>
      </c>
      <c r="DN40">
        <f>IF(DN$4=1,IF(OR(INDEX('×入力'!$A$1:$L$1300,847+DN$3,2+DN$2)&lt;&gt;"",INDEX('×入力'!$A$1:$L$1300,846,2+DN$2)&lt;&gt;"",INDEX('×入力'!$A$1:$L$1300,847+DN$3,1)&lt;&gt;""),1,0),0)</f>
        <v/>
      </c>
      <c r="DO40">
        <f>IF(DO$4=1,IF(OR(INDEX('×入力'!$A$1:$L$1300,847+DO$3,2+DO$2)&lt;&gt;"",INDEX('×入力'!$A$1:$L$1300,846,2+DO$2)&lt;&gt;"",INDEX('×入力'!$A$1:$L$1300,847+DO$3,1)&lt;&gt;""),1,0),0)</f>
        <v/>
      </c>
      <c r="DP40">
        <f>IF(DP$4=1,IF(OR(INDEX('×入力'!$A$1:$L$1300,847+DP$3,2+DP$2)&lt;&gt;"",INDEX('×入力'!$A$1:$L$1300,846,2+DP$2)&lt;&gt;"",INDEX('×入力'!$A$1:$L$1300,847+DP$3,1)&lt;&gt;""),1,0),0)</f>
        <v/>
      </c>
      <c r="DQ40">
        <f>IF(DQ$4=1,IF(OR(INDEX('×入力'!$A$1:$L$1300,847+DQ$3,2+DQ$2)&lt;&gt;"",INDEX('×入力'!$A$1:$L$1300,846,2+DQ$2)&lt;&gt;"",INDEX('×入力'!$A$1:$L$1300,847+DQ$3,1)&lt;&gt;""),1,0),0)</f>
        <v/>
      </c>
      <c r="DR40">
        <f>IF(DR$4=1,IF(OR(INDEX('×入力'!$A$1:$L$1300,847+DR$3,2+DR$2)&lt;&gt;"",INDEX('×入力'!$A$1:$L$1300,846,2+DR$2)&lt;&gt;"",INDEX('×入力'!$A$1:$L$1300,847+DR$3,1)&lt;&gt;""),1,0),0)</f>
        <v/>
      </c>
      <c r="DS40">
        <f>IF(DS$4=1,IF(OR(INDEX('×入力'!$A$1:$L$1300,847+DS$3,2+DS$2)&lt;&gt;"",INDEX('×入力'!$A$1:$L$1300,846,2+DS$2)&lt;&gt;"",INDEX('×入力'!$A$1:$L$1300,847+DS$3,1)&lt;&gt;""),1,0),0)</f>
        <v/>
      </c>
      <c r="DT40">
        <f>IF(DT$4=1,IF(OR(INDEX('×入力'!$A$1:$L$1300,847+DT$3,2+DT$2)&lt;&gt;"",INDEX('×入力'!$A$1:$L$1300,846,2+DT$2)&lt;&gt;"",INDEX('×入力'!$A$1:$L$1300,847+DT$3,1)&lt;&gt;""),1,0),0)</f>
        <v/>
      </c>
      <c r="DU40">
        <f>IF(DU$4=1,IF(OR(INDEX('×入力'!$A$1:$L$1300,847+DU$3,2+DU$2)&lt;&gt;"",INDEX('×入力'!$A$1:$L$1300,846,2+DU$2)&lt;&gt;"",INDEX('×入力'!$A$1:$L$1300,847+DU$3,1)&lt;&gt;""),1,0),0)</f>
        <v/>
      </c>
      <c r="DV40">
        <f>IF(DV$4=1,IF(OR(INDEX('×入力'!$A$1:$L$1300,847+DV$3,2+DV$2)&lt;&gt;"",INDEX('×入力'!$A$1:$L$1300,846,2+DV$2)&lt;&gt;"",INDEX('×入力'!$A$1:$L$1300,847+DV$3,1)&lt;&gt;""),1,0),0)</f>
        <v/>
      </c>
      <c r="DW40">
        <f>IF(DW$4=1,IF(OR(INDEX('×入力'!$A$1:$L$1300,847+DW$3,2+DW$2)&lt;&gt;"",INDEX('×入力'!$A$1:$L$1300,846,2+DW$2)&lt;&gt;"",INDEX('×入力'!$A$1:$L$1300,847+DW$3,1)&lt;&gt;""),1,0),0)</f>
        <v/>
      </c>
      <c r="DX40">
        <f>IF(DX$4=1,IF(OR(INDEX('×入力'!$A$1:$L$1300,847+DX$3,2+DX$2)&lt;&gt;"",INDEX('×入力'!$A$1:$L$1300,846,2+DX$2)&lt;&gt;"",INDEX('×入力'!$A$1:$L$1300,847+DX$3,1)&lt;&gt;""),1,0),0)</f>
        <v/>
      </c>
      <c r="DY40">
        <f>IF(DY$4=1,IF(OR(INDEX('×入力'!$A$1:$L$1300,847+DY$3,2+DY$2)&lt;&gt;"",INDEX('×入力'!$A$1:$L$1300,846,2+DY$2)&lt;&gt;"",INDEX('×入力'!$A$1:$L$1300,847+DY$3,1)&lt;&gt;""),1,0),0)</f>
        <v/>
      </c>
      <c r="DZ40">
        <f>IF(DZ$4=1,IF(OR(INDEX('×入力'!$A$1:$L$1300,847+DZ$3,2+DZ$2)&lt;&gt;"",INDEX('×入力'!$A$1:$L$1300,846,2+DZ$2)&lt;&gt;"",INDEX('×入力'!$A$1:$L$1300,847+DZ$3,1)&lt;&gt;""),1,0),0)</f>
        <v/>
      </c>
      <c r="EA40">
        <f>IF(EA$4=1,IF(OR(INDEX('×入力'!$A$1:$L$1300,847+EA$3,2+EA$2)&lt;&gt;"",INDEX('×入力'!$A$1:$L$1300,846,2+EA$2)&lt;&gt;"",INDEX('×入力'!$A$1:$L$1300,847+EA$3,1)&lt;&gt;""),1,0),0)</f>
        <v/>
      </c>
      <c r="EB40">
        <f>IF(EB$4=1,IF(OR(INDEX('×入力'!$A$1:$L$1300,847+EB$3,2+EB$2)&lt;&gt;"",INDEX('×入力'!$A$1:$L$1300,846,2+EB$2)&lt;&gt;"",INDEX('×入力'!$A$1:$L$1300,847+EB$3,1)&lt;&gt;""),1,0),0)</f>
        <v/>
      </c>
      <c r="EC40">
        <f>IF(EC$4=1,IF(OR(INDEX('×入力'!$A$1:$L$1300,847+EC$3,2+EC$2)&lt;&gt;"",INDEX('×入力'!$A$1:$L$1300,846,2+EC$2)&lt;&gt;"",INDEX('×入力'!$A$1:$L$1300,847+EC$3,1)&lt;&gt;""),1,0),0)</f>
        <v/>
      </c>
      <c r="ED40">
        <f>IF(ED$4=1,IF(OR(INDEX('×入力'!$A$1:$L$1300,847+ED$3,2+ED$2)&lt;&gt;"",INDEX('×入力'!$A$1:$L$1300,846,2+ED$2)&lt;&gt;"",INDEX('×入力'!$A$1:$L$1300,847+ED$3,1)&lt;&gt;""),1,0),0)</f>
        <v/>
      </c>
      <c r="EE40">
        <f>IF(EE$4=1,IF(OR(INDEX('×入力'!$A$1:$L$1300,847+EE$3,2+EE$2)&lt;&gt;"",INDEX('×入力'!$A$1:$L$1300,846,2+EE$2)&lt;&gt;"",INDEX('×入力'!$A$1:$L$1300,847+EE$3,1)&lt;&gt;""),1,0),0)</f>
        <v/>
      </c>
      <c r="EF40">
        <f>IF(EF$4=1,IF(OR(INDEX('×入力'!$A$1:$L$1300,847+EF$3,2+EF$2)&lt;&gt;"",INDEX('×入力'!$A$1:$L$1300,846,2+EF$2)&lt;&gt;"",INDEX('×入力'!$A$1:$L$1300,847+EF$3,1)&lt;&gt;""),1,0),0)</f>
        <v/>
      </c>
      <c r="EG40">
        <f>IF(EG$4=1,IF(OR(INDEX('×入力'!$A$1:$L$1300,847+EG$3,2+EG$2)&lt;&gt;"",INDEX('×入力'!$A$1:$L$1300,846,2+EG$2)&lt;&gt;"",INDEX('×入力'!$A$1:$L$1300,847+EG$3,1)&lt;&gt;""),1,0),0)</f>
        <v/>
      </c>
      <c r="EH40">
        <f>IF(EH$4=1,IF(OR(INDEX('×入力'!$A$1:$L$1300,847+EH$3,2+EH$2)&lt;&gt;"",INDEX('×入力'!$A$1:$L$1300,846,2+EH$2)&lt;&gt;"",INDEX('×入力'!$A$1:$L$1300,847+EH$3,1)&lt;&gt;""),1,0),0)</f>
        <v/>
      </c>
      <c r="EI40">
        <f>IF(EI$4=1,IF(OR(INDEX('×入力'!$A$1:$L$1300,847+EI$3,2+EI$2)&lt;&gt;"",INDEX('×入力'!$A$1:$L$1300,846,2+EI$2)&lt;&gt;"",INDEX('×入力'!$A$1:$L$1300,847+EI$3,1)&lt;&gt;""),1,0),0)</f>
        <v/>
      </c>
      <c r="EJ40">
        <f>IF(EJ$4=1,IF(OR(INDEX('×入力'!$A$1:$L$1300,847+EJ$3,2+EJ$2)&lt;&gt;"",INDEX('×入力'!$A$1:$L$1300,846,2+EJ$2)&lt;&gt;"",INDEX('×入力'!$A$1:$L$1300,847+EJ$3,1)&lt;&gt;""),1,0),0)</f>
        <v/>
      </c>
      <c r="EK40">
        <f>IF(EK$4=1,IF(OR(INDEX('×入力'!$A$1:$L$1300,847+EK$3,2+EK$2)&lt;&gt;"",INDEX('×入力'!$A$1:$L$1300,846,2+EK$2)&lt;&gt;"",INDEX('×入力'!$A$1:$L$1300,847+EK$3,1)&lt;&gt;""),1,0),0)</f>
        <v/>
      </c>
      <c r="EL40">
        <f>IF(EL$4=1,IF(OR(INDEX('×入力'!$A$1:$L$1300,847+EL$3,2+EL$2)&lt;&gt;"",INDEX('×入力'!$A$1:$L$1300,846,2+EL$2)&lt;&gt;"",INDEX('×入力'!$A$1:$L$1300,847+EL$3,1)&lt;&gt;""),1,0),0)</f>
        <v/>
      </c>
      <c r="EM40">
        <f>IF(EM$4=1,IF(OR(INDEX('×入力'!$A$1:$L$1300,847+EM$3,2+EM$2)&lt;&gt;"",INDEX('×入力'!$A$1:$L$1300,846,2+EM$2)&lt;&gt;"",INDEX('×入力'!$A$1:$L$1300,847+EM$3,1)&lt;&gt;""),1,0),0)</f>
        <v/>
      </c>
      <c r="EN40">
        <f>IF(EN$4=1,IF(OR(INDEX('×入力'!$A$1:$L$1300,847+EN$3,2+EN$2)&lt;&gt;"",INDEX('×入力'!$A$1:$L$1300,846,2+EN$2)&lt;&gt;"",INDEX('×入力'!$A$1:$L$1300,847+EN$3,1)&lt;&gt;""),1,0),0)</f>
        <v/>
      </c>
      <c r="EO40">
        <f>IF(EO$4=1,IF(OR(INDEX('×入力'!$A$1:$L$1300,847+EO$3,2+EO$2)&lt;&gt;"",INDEX('×入力'!$A$1:$L$1300,846,2+EO$2)&lt;&gt;"",INDEX('×入力'!$A$1:$L$1300,847+EO$3,1)&lt;&gt;""),1,0),0)</f>
        <v/>
      </c>
      <c r="EP40">
        <f>IF(EP$4=1,IF(OR(INDEX('×入力'!$A$1:$L$1300,847+EP$3,2+EP$2)&lt;&gt;"",INDEX('×入力'!$A$1:$L$1300,846,2+EP$2)&lt;&gt;"",INDEX('×入力'!$A$1:$L$1300,847+EP$3,1)&lt;&gt;""),1,0),0)</f>
        <v/>
      </c>
      <c r="EQ40">
        <f>IF(EQ$4=1,IF(OR(INDEX('×入力'!$A$1:$L$1300,847+EQ$3,2+EQ$2)&lt;&gt;"",INDEX('×入力'!$A$1:$L$1300,846,2+EQ$2)&lt;&gt;"",INDEX('×入力'!$A$1:$L$1300,847+EQ$3,1)&lt;&gt;""),1,0),0)</f>
        <v/>
      </c>
      <c r="HA40">
        <f>MAX(0,IT40)</f>
        <v/>
      </c>
      <c r="HB40">
        <f>IF(HA40=0,0,INDEX($D$2:$EQ$2,HA40))</f>
        <v/>
      </c>
      <c r="HC40">
        <f>IF(HA40=0,0,INDEX($D$3:$EQ$3,HA40))</f>
        <v/>
      </c>
      <c r="HD40">
        <f>MAX(0,IY40)</f>
        <v/>
      </c>
      <c r="HE40">
        <f>IF(HD40=0,0,INDEX($D$2:$EQ$2,HD40))</f>
        <v/>
      </c>
      <c r="HF40">
        <f>IF(HD40=0,0,INDEX($D$3:$EQ$3,HD40))</f>
        <v/>
      </c>
      <c r="HG40">
        <f>MAX(0,IZ40)</f>
        <v/>
      </c>
      <c r="HH40">
        <f>IF(HG40=0,0,INDEX($D$2:$EQ$2,HG40))</f>
        <v/>
      </c>
      <c r="HI40">
        <f>IF(HG40=0,0,INDEX($D$3:$EQ$3,HG40))</f>
        <v/>
      </c>
      <c r="HJ40">
        <f>IF(AND(HA40&gt;0,HC40&gt;1,OR(HC40-1&lt;&gt;$A$3,$A$4=0)),HA40-1,-1)</f>
        <v/>
      </c>
      <c r="HK40">
        <f>IF(AND(HA40&gt;0,HC40&lt;24,OR(HC40&lt;&gt;$A$3,$A$4=0)),HA40+1,-1)</f>
        <v/>
      </c>
      <c r="HL40">
        <f>IF(AND(HD40&gt;0,HF40&gt;1,OR(HF40-1&lt;&gt;$A$3,$A$4=0)),HD40-1,-1)</f>
        <v/>
      </c>
      <c r="HM40">
        <f>IF(AND(HD40&gt;0,HF40&lt;24,OR(HF40&lt;&gt;$A$3,$A$4=0)),HD40+1,-1)</f>
        <v/>
      </c>
      <c r="HN40">
        <f>IF(AND(HG40&gt;0,HI40&gt;1,OR(HI40-1&lt;&gt;$A$3,$A$4=0)),HG40-1,-1)</f>
        <v/>
      </c>
      <c r="HO40">
        <f>IF(AND(HG40&gt;0,HI40&lt;24,OR(HI40&lt;&gt;$A$3,$A$4=0)),HG40+1,-1)</f>
        <v/>
      </c>
      <c r="IK40">
        <f>IFERROR(INDEX('calcB'!$C$3:$C$47,MATCH(A40,'calcB'!$B$3:$B$47,0)),0)</f>
        <v/>
      </c>
      <c r="IL40">
        <f>IF(AND(C40=1,IK40=0,calcA!$A$6=1),1,0)</f>
        <v/>
      </c>
      <c r="IM40">
        <f>SUMPRODUCT(D90:EQ90*(1-$D$7:$EQ$7))</f>
        <v/>
      </c>
      <c r="IN40">
        <f>SUM(D40:EQ40)</f>
        <v/>
      </c>
      <c r="IO40">
        <f>IF(B40="",0,IF(COUNTIF('調整・決定'!$C$6:$H$29,B40)=1,SUMPRODUCT(('調整・決定'!$C$6:$H$29=B40)*((COLUMN('調整・決定'!$C$6:$H$29)-3)*24+ROW('調整・決定'!$C$6:$H$29)-5)),0))</f>
        <v/>
      </c>
      <c r="IP40">
        <f>IFERROR(MATCH('名簿'!C35,{"早い時刻","遅い時刻","早い日","遅い日"},0),0)</f>
        <v/>
      </c>
      <c r="IQ40">
        <f>IF('名簿'!D35="必ず空けたい",2,IF('名簿'!D35="出来れば空けたい",1,0))</f>
        <v/>
      </c>
      <c r="IR40">
        <f>IFERROR(INDEX('calcC'!$C$3:$C$47,MATCH(A40,'calcC'!$B$3:$B$47,0)),0)</f>
        <v/>
      </c>
      <c r="IS40">
        <f>IF(AND(C40=1,IR40=0,calcA!$A$6=1),1,0)</f>
        <v/>
      </c>
      <c r="IT40">
        <f>IF(OR('名簿'!G35="",'名簿'!H35=""),0,IFERROR((MATCH('名簿'!G35,'設定'!$E$11:$E$16,0)-1)*24+MATCH('名簿'!H35,'設定'!$I$11:$I$34,0),-1))</f>
        <v/>
      </c>
      <c r="IV40">
        <f>IF(OR(JF40=0,IO40=0),1,IF(OR(IF(IT40&gt;0,AND(INDEX($D$2:$EQ$2,IO40)=INDEX($D$2:$EQ$2,IT40),OR(AND(IO40=IT40+1,OR(INDEX($D$3:$EQ$3,IT40)&lt;&gt;$A$3,$A$4=0)),AND(IO40=IT40-1,OR(INDEX($D$3:$EQ$3,IO40)&lt;&gt;$A$3,$A$4=0)))),FALSE),IF(IY40&gt;0,AND(INDEX($D$2:$EQ$2,IO40)=INDEX($D$2:$EQ$2,IY40),OR(AND(IO40=IY40+1,OR(INDEX($D$3:$EQ$3,IY40)&lt;&gt;$A$3,$A$4=0)),AND(IO40=IY40-1,OR(INDEX($D$3:$EQ$3,IO40)&lt;&gt;$A$3,$A$4=0)))),FALSE),IF(IZ40&gt;0,AND(INDEX($D$2:$EQ$2,IO40)=INDEX($D$2:$EQ$2,IZ40),OR(AND(IO40=IZ40+1,OR(INDEX($D$3:$EQ$3,IZ40)&lt;&gt;$A$3,$A$4=0)),AND(IO40=IZ40-1,OR(INDEX($D$3:$EQ$3,IO40)&lt;&gt;$A$3,$A$4=0)))),FALSE)),1,0))</f>
        <v/>
      </c>
      <c r="IW40">
        <f>IF(AND('名簿'!E35&lt;&gt;"",JF40=0),1,0)</f>
        <v/>
      </c>
      <c r="IX40">
        <f>IF('名簿'!D35="空けない",1,0)</f>
        <v/>
      </c>
      <c r="IY40">
        <f>IF(OR('名簿'!J35="",'名簿'!K35=""),0,IFERROR((MATCH('名簿'!J35,'設定'!$E$11:$E$16,0)-1)*24+MATCH('名簿'!K35,'設定'!$I$11:$I$34,0),-1))</f>
        <v/>
      </c>
      <c r="IZ40">
        <f>IF(OR('名簿'!M35="",'名簿'!N35=""),0,IFERROR((MATCH('名簿'!M35,'設定'!$E$11:$E$16,0)-1)*24+MATCH('名簿'!N35,'設定'!$I$11:$I$34,0),-1))</f>
        <v/>
      </c>
      <c r="JC40">
        <f>IF(RIGHT('名簿'!I35,2)="の前",1,IF(RIGHT('名簿'!I35,2)="の後",2,0))</f>
        <v/>
      </c>
      <c r="JD40">
        <f>IF(RIGHT('名簿'!L35,2)="の前",1,IF(RIGHT('名簿'!L35,2)="の後",2,0))</f>
        <v/>
      </c>
      <c r="JE40">
        <f>IF(RIGHT('名簿'!O35,2)="の前",1,IF(RIGHT('名簿'!O35,2)="の後",2,0))</f>
        <v/>
      </c>
      <c r="JF40">
        <f>IF(OR(IT40&gt;0,IY40&gt;0,IZ40&gt;0),1,0)</f>
        <v/>
      </c>
      <c r="JG40">
        <f>IF(OR(IT40&lt;0,IY40&lt;0,IZ40&lt;0),1,0)</f>
        <v/>
      </c>
    </row>
    <row r="41">
      <c r="A41" t="n">
        <v>32</v>
      </c>
      <c r="B41">
        <f>'名簿'!P36</f>
        <v/>
      </c>
      <c r="C41">
        <f>IF(AND(B41&lt;&gt;"",OR('名簿'!Q36="入力済み",'名簿'!Q36="×なし"),IO41=0,COUNTIF('調整・決定'!$C$6:$H$29,B41)=0),1,0)</f>
        <v/>
      </c>
      <c r="D41">
        <f>IF(D$4=1,IF(OR(INDEX('×入力'!$A$1:$L$1300,875+D$3,2+D$2)&lt;&gt;"",INDEX('×入力'!$A$1:$L$1300,874,2+D$2)&lt;&gt;"",INDEX('×入力'!$A$1:$L$1300,875+D$3,1)&lt;&gt;""),1,0),0)</f>
        <v/>
      </c>
      <c r="E41">
        <f>IF(E$4=1,IF(OR(INDEX('×入力'!$A$1:$L$1300,875+E$3,2+E$2)&lt;&gt;"",INDEX('×入力'!$A$1:$L$1300,874,2+E$2)&lt;&gt;"",INDEX('×入力'!$A$1:$L$1300,875+E$3,1)&lt;&gt;""),1,0),0)</f>
        <v/>
      </c>
      <c r="F41">
        <f>IF(F$4=1,IF(OR(INDEX('×入力'!$A$1:$L$1300,875+F$3,2+F$2)&lt;&gt;"",INDEX('×入力'!$A$1:$L$1300,874,2+F$2)&lt;&gt;"",INDEX('×入力'!$A$1:$L$1300,875+F$3,1)&lt;&gt;""),1,0),0)</f>
        <v/>
      </c>
      <c r="G41">
        <f>IF(G$4=1,IF(OR(INDEX('×入力'!$A$1:$L$1300,875+G$3,2+G$2)&lt;&gt;"",INDEX('×入力'!$A$1:$L$1300,874,2+G$2)&lt;&gt;"",INDEX('×入力'!$A$1:$L$1300,875+G$3,1)&lt;&gt;""),1,0),0)</f>
        <v/>
      </c>
      <c r="H41">
        <f>IF(H$4=1,IF(OR(INDEX('×入力'!$A$1:$L$1300,875+H$3,2+H$2)&lt;&gt;"",INDEX('×入力'!$A$1:$L$1300,874,2+H$2)&lt;&gt;"",INDEX('×入力'!$A$1:$L$1300,875+H$3,1)&lt;&gt;""),1,0),0)</f>
        <v/>
      </c>
      <c r="I41">
        <f>IF(I$4=1,IF(OR(INDEX('×入力'!$A$1:$L$1300,875+I$3,2+I$2)&lt;&gt;"",INDEX('×入力'!$A$1:$L$1300,874,2+I$2)&lt;&gt;"",INDEX('×入力'!$A$1:$L$1300,875+I$3,1)&lt;&gt;""),1,0),0)</f>
        <v/>
      </c>
      <c r="J41">
        <f>IF(J$4=1,IF(OR(INDEX('×入力'!$A$1:$L$1300,875+J$3,2+J$2)&lt;&gt;"",INDEX('×入力'!$A$1:$L$1300,874,2+J$2)&lt;&gt;"",INDEX('×入力'!$A$1:$L$1300,875+J$3,1)&lt;&gt;""),1,0),0)</f>
        <v/>
      </c>
      <c r="K41">
        <f>IF(K$4=1,IF(OR(INDEX('×入力'!$A$1:$L$1300,875+K$3,2+K$2)&lt;&gt;"",INDEX('×入力'!$A$1:$L$1300,874,2+K$2)&lt;&gt;"",INDEX('×入力'!$A$1:$L$1300,875+K$3,1)&lt;&gt;""),1,0),0)</f>
        <v/>
      </c>
      <c r="L41">
        <f>IF(L$4=1,IF(OR(INDEX('×入力'!$A$1:$L$1300,875+L$3,2+L$2)&lt;&gt;"",INDEX('×入力'!$A$1:$L$1300,874,2+L$2)&lt;&gt;"",INDEX('×入力'!$A$1:$L$1300,875+L$3,1)&lt;&gt;""),1,0),0)</f>
        <v/>
      </c>
      <c r="M41">
        <f>IF(M$4=1,IF(OR(INDEX('×入力'!$A$1:$L$1300,875+M$3,2+M$2)&lt;&gt;"",INDEX('×入力'!$A$1:$L$1300,874,2+M$2)&lt;&gt;"",INDEX('×入力'!$A$1:$L$1300,875+M$3,1)&lt;&gt;""),1,0),0)</f>
        <v/>
      </c>
      <c r="N41">
        <f>IF(N$4=1,IF(OR(INDEX('×入力'!$A$1:$L$1300,875+N$3,2+N$2)&lt;&gt;"",INDEX('×入力'!$A$1:$L$1300,874,2+N$2)&lt;&gt;"",INDEX('×入力'!$A$1:$L$1300,875+N$3,1)&lt;&gt;""),1,0),0)</f>
        <v/>
      </c>
      <c r="O41">
        <f>IF(O$4=1,IF(OR(INDEX('×入力'!$A$1:$L$1300,875+O$3,2+O$2)&lt;&gt;"",INDEX('×入力'!$A$1:$L$1300,874,2+O$2)&lt;&gt;"",INDEX('×入力'!$A$1:$L$1300,875+O$3,1)&lt;&gt;""),1,0),0)</f>
        <v/>
      </c>
      <c r="P41">
        <f>IF(P$4=1,IF(OR(INDEX('×入力'!$A$1:$L$1300,875+P$3,2+P$2)&lt;&gt;"",INDEX('×入力'!$A$1:$L$1300,874,2+P$2)&lt;&gt;"",INDEX('×入力'!$A$1:$L$1300,875+P$3,1)&lt;&gt;""),1,0),0)</f>
        <v/>
      </c>
      <c r="Q41">
        <f>IF(Q$4=1,IF(OR(INDEX('×入力'!$A$1:$L$1300,875+Q$3,2+Q$2)&lt;&gt;"",INDEX('×入力'!$A$1:$L$1300,874,2+Q$2)&lt;&gt;"",INDEX('×入力'!$A$1:$L$1300,875+Q$3,1)&lt;&gt;""),1,0),0)</f>
        <v/>
      </c>
      <c r="R41">
        <f>IF(R$4=1,IF(OR(INDEX('×入力'!$A$1:$L$1300,875+R$3,2+R$2)&lt;&gt;"",INDEX('×入力'!$A$1:$L$1300,874,2+R$2)&lt;&gt;"",INDEX('×入力'!$A$1:$L$1300,875+R$3,1)&lt;&gt;""),1,0),0)</f>
        <v/>
      </c>
      <c r="S41">
        <f>IF(S$4=1,IF(OR(INDEX('×入力'!$A$1:$L$1300,875+S$3,2+S$2)&lt;&gt;"",INDEX('×入力'!$A$1:$L$1300,874,2+S$2)&lt;&gt;"",INDEX('×入力'!$A$1:$L$1300,875+S$3,1)&lt;&gt;""),1,0),0)</f>
        <v/>
      </c>
      <c r="T41">
        <f>IF(T$4=1,IF(OR(INDEX('×入力'!$A$1:$L$1300,875+T$3,2+T$2)&lt;&gt;"",INDEX('×入力'!$A$1:$L$1300,874,2+T$2)&lt;&gt;"",INDEX('×入力'!$A$1:$L$1300,875+T$3,1)&lt;&gt;""),1,0),0)</f>
        <v/>
      </c>
      <c r="U41">
        <f>IF(U$4=1,IF(OR(INDEX('×入力'!$A$1:$L$1300,875+U$3,2+U$2)&lt;&gt;"",INDEX('×入力'!$A$1:$L$1300,874,2+U$2)&lt;&gt;"",INDEX('×入力'!$A$1:$L$1300,875+U$3,1)&lt;&gt;""),1,0),0)</f>
        <v/>
      </c>
      <c r="V41">
        <f>IF(V$4=1,IF(OR(INDEX('×入力'!$A$1:$L$1300,875+V$3,2+V$2)&lt;&gt;"",INDEX('×入力'!$A$1:$L$1300,874,2+V$2)&lt;&gt;"",INDEX('×入力'!$A$1:$L$1300,875+V$3,1)&lt;&gt;""),1,0),0)</f>
        <v/>
      </c>
      <c r="W41">
        <f>IF(W$4=1,IF(OR(INDEX('×入力'!$A$1:$L$1300,875+W$3,2+W$2)&lt;&gt;"",INDEX('×入力'!$A$1:$L$1300,874,2+W$2)&lt;&gt;"",INDEX('×入力'!$A$1:$L$1300,875+W$3,1)&lt;&gt;""),1,0),0)</f>
        <v/>
      </c>
      <c r="X41">
        <f>IF(X$4=1,IF(OR(INDEX('×入力'!$A$1:$L$1300,875+X$3,2+X$2)&lt;&gt;"",INDEX('×入力'!$A$1:$L$1300,874,2+X$2)&lt;&gt;"",INDEX('×入力'!$A$1:$L$1300,875+X$3,1)&lt;&gt;""),1,0),0)</f>
        <v/>
      </c>
      <c r="Y41">
        <f>IF(Y$4=1,IF(OR(INDEX('×入力'!$A$1:$L$1300,875+Y$3,2+Y$2)&lt;&gt;"",INDEX('×入力'!$A$1:$L$1300,874,2+Y$2)&lt;&gt;"",INDEX('×入力'!$A$1:$L$1300,875+Y$3,1)&lt;&gt;""),1,0),0)</f>
        <v/>
      </c>
      <c r="Z41">
        <f>IF(Z$4=1,IF(OR(INDEX('×入力'!$A$1:$L$1300,875+Z$3,2+Z$2)&lt;&gt;"",INDEX('×入力'!$A$1:$L$1300,874,2+Z$2)&lt;&gt;"",INDEX('×入力'!$A$1:$L$1300,875+Z$3,1)&lt;&gt;""),1,0),0)</f>
        <v/>
      </c>
      <c r="AA41">
        <f>IF(AA$4=1,IF(OR(INDEX('×入力'!$A$1:$L$1300,875+AA$3,2+AA$2)&lt;&gt;"",INDEX('×入力'!$A$1:$L$1300,874,2+AA$2)&lt;&gt;"",INDEX('×入力'!$A$1:$L$1300,875+AA$3,1)&lt;&gt;""),1,0),0)</f>
        <v/>
      </c>
      <c r="AB41">
        <f>IF(AB$4=1,IF(OR(INDEX('×入力'!$A$1:$L$1300,875+AB$3,2+AB$2)&lt;&gt;"",INDEX('×入力'!$A$1:$L$1300,874,2+AB$2)&lt;&gt;"",INDEX('×入力'!$A$1:$L$1300,875+AB$3,1)&lt;&gt;""),1,0),0)</f>
        <v/>
      </c>
      <c r="AC41">
        <f>IF(AC$4=1,IF(OR(INDEX('×入力'!$A$1:$L$1300,875+AC$3,2+AC$2)&lt;&gt;"",INDEX('×入力'!$A$1:$L$1300,874,2+AC$2)&lt;&gt;"",INDEX('×入力'!$A$1:$L$1300,875+AC$3,1)&lt;&gt;""),1,0),0)</f>
        <v/>
      </c>
      <c r="AD41">
        <f>IF(AD$4=1,IF(OR(INDEX('×入力'!$A$1:$L$1300,875+AD$3,2+AD$2)&lt;&gt;"",INDEX('×入力'!$A$1:$L$1300,874,2+AD$2)&lt;&gt;"",INDEX('×入力'!$A$1:$L$1300,875+AD$3,1)&lt;&gt;""),1,0),0)</f>
        <v/>
      </c>
      <c r="AE41">
        <f>IF(AE$4=1,IF(OR(INDEX('×入力'!$A$1:$L$1300,875+AE$3,2+AE$2)&lt;&gt;"",INDEX('×入力'!$A$1:$L$1300,874,2+AE$2)&lt;&gt;"",INDEX('×入力'!$A$1:$L$1300,875+AE$3,1)&lt;&gt;""),1,0),0)</f>
        <v/>
      </c>
      <c r="AF41">
        <f>IF(AF$4=1,IF(OR(INDEX('×入力'!$A$1:$L$1300,875+AF$3,2+AF$2)&lt;&gt;"",INDEX('×入力'!$A$1:$L$1300,874,2+AF$2)&lt;&gt;"",INDEX('×入力'!$A$1:$L$1300,875+AF$3,1)&lt;&gt;""),1,0),0)</f>
        <v/>
      </c>
      <c r="AG41">
        <f>IF(AG$4=1,IF(OR(INDEX('×入力'!$A$1:$L$1300,875+AG$3,2+AG$2)&lt;&gt;"",INDEX('×入力'!$A$1:$L$1300,874,2+AG$2)&lt;&gt;"",INDEX('×入力'!$A$1:$L$1300,875+AG$3,1)&lt;&gt;""),1,0),0)</f>
        <v/>
      </c>
      <c r="AH41">
        <f>IF(AH$4=1,IF(OR(INDEX('×入力'!$A$1:$L$1300,875+AH$3,2+AH$2)&lt;&gt;"",INDEX('×入力'!$A$1:$L$1300,874,2+AH$2)&lt;&gt;"",INDEX('×入力'!$A$1:$L$1300,875+AH$3,1)&lt;&gt;""),1,0),0)</f>
        <v/>
      </c>
      <c r="AI41">
        <f>IF(AI$4=1,IF(OR(INDEX('×入力'!$A$1:$L$1300,875+AI$3,2+AI$2)&lt;&gt;"",INDEX('×入力'!$A$1:$L$1300,874,2+AI$2)&lt;&gt;"",INDEX('×入力'!$A$1:$L$1300,875+AI$3,1)&lt;&gt;""),1,0),0)</f>
        <v/>
      </c>
      <c r="AJ41">
        <f>IF(AJ$4=1,IF(OR(INDEX('×入力'!$A$1:$L$1300,875+AJ$3,2+AJ$2)&lt;&gt;"",INDEX('×入力'!$A$1:$L$1300,874,2+AJ$2)&lt;&gt;"",INDEX('×入力'!$A$1:$L$1300,875+AJ$3,1)&lt;&gt;""),1,0),0)</f>
        <v/>
      </c>
      <c r="AK41">
        <f>IF(AK$4=1,IF(OR(INDEX('×入力'!$A$1:$L$1300,875+AK$3,2+AK$2)&lt;&gt;"",INDEX('×入力'!$A$1:$L$1300,874,2+AK$2)&lt;&gt;"",INDEX('×入力'!$A$1:$L$1300,875+AK$3,1)&lt;&gt;""),1,0),0)</f>
        <v/>
      </c>
      <c r="AL41">
        <f>IF(AL$4=1,IF(OR(INDEX('×入力'!$A$1:$L$1300,875+AL$3,2+AL$2)&lt;&gt;"",INDEX('×入力'!$A$1:$L$1300,874,2+AL$2)&lt;&gt;"",INDEX('×入力'!$A$1:$L$1300,875+AL$3,1)&lt;&gt;""),1,0),0)</f>
        <v/>
      </c>
      <c r="AM41">
        <f>IF(AM$4=1,IF(OR(INDEX('×入力'!$A$1:$L$1300,875+AM$3,2+AM$2)&lt;&gt;"",INDEX('×入力'!$A$1:$L$1300,874,2+AM$2)&lt;&gt;"",INDEX('×入力'!$A$1:$L$1300,875+AM$3,1)&lt;&gt;""),1,0),0)</f>
        <v/>
      </c>
      <c r="AN41">
        <f>IF(AN$4=1,IF(OR(INDEX('×入力'!$A$1:$L$1300,875+AN$3,2+AN$2)&lt;&gt;"",INDEX('×入力'!$A$1:$L$1300,874,2+AN$2)&lt;&gt;"",INDEX('×入力'!$A$1:$L$1300,875+AN$3,1)&lt;&gt;""),1,0),0)</f>
        <v/>
      </c>
      <c r="AO41">
        <f>IF(AO$4=1,IF(OR(INDEX('×入力'!$A$1:$L$1300,875+AO$3,2+AO$2)&lt;&gt;"",INDEX('×入力'!$A$1:$L$1300,874,2+AO$2)&lt;&gt;"",INDEX('×入力'!$A$1:$L$1300,875+AO$3,1)&lt;&gt;""),1,0),0)</f>
        <v/>
      </c>
      <c r="AP41">
        <f>IF(AP$4=1,IF(OR(INDEX('×入力'!$A$1:$L$1300,875+AP$3,2+AP$2)&lt;&gt;"",INDEX('×入力'!$A$1:$L$1300,874,2+AP$2)&lt;&gt;"",INDEX('×入力'!$A$1:$L$1300,875+AP$3,1)&lt;&gt;""),1,0),0)</f>
        <v/>
      </c>
      <c r="AQ41">
        <f>IF(AQ$4=1,IF(OR(INDEX('×入力'!$A$1:$L$1300,875+AQ$3,2+AQ$2)&lt;&gt;"",INDEX('×入力'!$A$1:$L$1300,874,2+AQ$2)&lt;&gt;"",INDEX('×入力'!$A$1:$L$1300,875+AQ$3,1)&lt;&gt;""),1,0),0)</f>
        <v/>
      </c>
      <c r="AR41">
        <f>IF(AR$4=1,IF(OR(INDEX('×入力'!$A$1:$L$1300,875+AR$3,2+AR$2)&lt;&gt;"",INDEX('×入力'!$A$1:$L$1300,874,2+AR$2)&lt;&gt;"",INDEX('×入力'!$A$1:$L$1300,875+AR$3,1)&lt;&gt;""),1,0),0)</f>
        <v/>
      </c>
      <c r="AS41">
        <f>IF(AS$4=1,IF(OR(INDEX('×入力'!$A$1:$L$1300,875+AS$3,2+AS$2)&lt;&gt;"",INDEX('×入力'!$A$1:$L$1300,874,2+AS$2)&lt;&gt;"",INDEX('×入力'!$A$1:$L$1300,875+AS$3,1)&lt;&gt;""),1,0),0)</f>
        <v/>
      </c>
      <c r="AT41">
        <f>IF(AT$4=1,IF(OR(INDEX('×入力'!$A$1:$L$1300,875+AT$3,2+AT$2)&lt;&gt;"",INDEX('×入力'!$A$1:$L$1300,874,2+AT$2)&lt;&gt;"",INDEX('×入力'!$A$1:$L$1300,875+AT$3,1)&lt;&gt;""),1,0),0)</f>
        <v/>
      </c>
      <c r="AU41">
        <f>IF(AU$4=1,IF(OR(INDEX('×入力'!$A$1:$L$1300,875+AU$3,2+AU$2)&lt;&gt;"",INDEX('×入力'!$A$1:$L$1300,874,2+AU$2)&lt;&gt;"",INDEX('×入力'!$A$1:$L$1300,875+AU$3,1)&lt;&gt;""),1,0),0)</f>
        <v/>
      </c>
      <c r="AV41">
        <f>IF(AV$4=1,IF(OR(INDEX('×入力'!$A$1:$L$1300,875+AV$3,2+AV$2)&lt;&gt;"",INDEX('×入力'!$A$1:$L$1300,874,2+AV$2)&lt;&gt;"",INDEX('×入力'!$A$1:$L$1300,875+AV$3,1)&lt;&gt;""),1,0),0)</f>
        <v/>
      </c>
      <c r="AW41">
        <f>IF(AW$4=1,IF(OR(INDEX('×入力'!$A$1:$L$1300,875+AW$3,2+AW$2)&lt;&gt;"",INDEX('×入力'!$A$1:$L$1300,874,2+AW$2)&lt;&gt;"",INDEX('×入力'!$A$1:$L$1300,875+AW$3,1)&lt;&gt;""),1,0),0)</f>
        <v/>
      </c>
      <c r="AX41">
        <f>IF(AX$4=1,IF(OR(INDEX('×入力'!$A$1:$L$1300,875+AX$3,2+AX$2)&lt;&gt;"",INDEX('×入力'!$A$1:$L$1300,874,2+AX$2)&lt;&gt;"",INDEX('×入力'!$A$1:$L$1300,875+AX$3,1)&lt;&gt;""),1,0),0)</f>
        <v/>
      </c>
      <c r="AY41">
        <f>IF(AY$4=1,IF(OR(INDEX('×入力'!$A$1:$L$1300,875+AY$3,2+AY$2)&lt;&gt;"",INDEX('×入力'!$A$1:$L$1300,874,2+AY$2)&lt;&gt;"",INDEX('×入力'!$A$1:$L$1300,875+AY$3,1)&lt;&gt;""),1,0),0)</f>
        <v/>
      </c>
      <c r="AZ41">
        <f>IF(AZ$4=1,IF(OR(INDEX('×入力'!$A$1:$L$1300,875+AZ$3,2+AZ$2)&lt;&gt;"",INDEX('×入力'!$A$1:$L$1300,874,2+AZ$2)&lt;&gt;"",INDEX('×入力'!$A$1:$L$1300,875+AZ$3,1)&lt;&gt;""),1,0),0)</f>
        <v/>
      </c>
      <c r="BA41">
        <f>IF(BA$4=1,IF(OR(INDEX('×入力'!$A$1:$L$1300,875+BA$3,2+BA$2)&lt;&gt;"",INDEX('×入力'!$A$1:$L$1300,874,2+BA$2)&lt;&gt;"",INDEX('×入力'!$A$1:$L$1300,875+BA$3,1)&lt;&gt;""),1,0),0)</f>
        <v/>
      </c>
      <c r="BB41">
        <f>IF(BB$4=1,IF(OR(INDEX('×入力'!$A$1:$L$1300,875+BB$3,2+BB$2)&lt;&gt;"",INDEX('×入力'!$A$1:$L$1300,874,2+BB$2)&lt;&gt;"",INDEX('×入力'!$A$1:$L$1300,875+BB$3,1)&lt;&gt;""),1,0),0)</f>
        <v/>
      </c>
      <c r="BC41">
        <f>IF(BC$4=1,IF(OR(INDEX('×入力'!$A$1:$L$1300,875+BC$3,2+BC$2)&lt;&gt;"",INDEX('×入力'!$A$1:$L$1300,874,2+BC$2)&lt;&gt;"",INDEX('×入力'!$A$1:$L$1300,875+BC$3,1)&lt;&gt;""),1,0),0)</f>
        <v/>
      </c>
      <c r="BD41">
        <f>IF(BD$4=1,IF(OR(INDEX('×入力'!$A$1:$L$1300,875+BD$3,2+BD$2)&lt;&gt;"",INDEX('×入力'!$A$1:$L$1300,874,2+BD$2)&lt;&gt;"",INDEX('×入力'!$A$1:$L$1300,875+BD$3,1)&lt;&gt;""),1,0),0)</f>
        <v/>
      </c>
      <c r="BE41">
        <f>IF(BE$4=1,IF(OR(INDEX('×入力'!$A$1:$L$1300,875+BE$3,2+BE$2)&lt;&gt;"",INDEX('×入力'!$A$1:$L$1300,874,2+BE$2)&lt;&gt;"",INDEX('×入力'!$A$1:$L$1300,875+BE$3,1)&lt;&gt;""),1,0),0)</f>
        <v/>
      </c>
      <c r="BF41">
        <f>IF(BF$4=1,IF(OR(INDEX('×入力'!$A$1:$L$1300,875+BF$3,2+BF$2)&lt;&gt;"",INDEX('×入力'!$A$1:$L$1300,874,2+BF$2)&lt;&gt;"",INDEX('×入力'!$A$1:$L$1300,875+BF$3,1)&lt;&gt;""),1,0),0)</f>
        <v/>
      </c>
      <c r="BG41">
        <f>IF(BG$4=1,IF(OR(INDEX('×入力'!$A$1:$L$1300,875+BG$3,2+BG$2)&lt;&gt;"",INDEX('×入力'!$A$1:$L$1300,874,2+BG$2)&lt;&gt;"",INDEX('×入力'!$A$1:$L$1300,875+BG$3,1)&lt;&gt;""),1,0),0)</f>
        <v/>
      </c>
      <c r="BH41">
        <f>IF(BH$4=1,IF(OR(INDEX('×入力'!$A$1:$L$1300,875+BH$3,2+BH$2)&lt;&gt;"",INDEX('×入力'!$A$1:$L$1300,874,2+BH$2)&lt;&gt;"",INDEX('×入力'!$A$1:$L$1300,875+BH$3,1)&lt;&gt;""),1,0),0)</f>
        <v/>
      </c>
      <c r="BI41">
        <f>IF(BI$4=1,IF(OR(INDEX('×入力'!$A$1:$L$1300,875+BI$3,2+BI$2)&lt;&gt;"",INDEX('×入力'!$A$1:$L$1300,874,2+BI$2)&lt;&gt;"",INDEX('×入力'!$A$1:$L$1300,875+BI$3,1)&lt;&gt;""),1,0),0)</f>
        <v/>
      </c>
      <c r="BJ41">
        <f>IF(BJ$4=1,IF(OR(INDEX('×入力'!$A$1:$L$1300,875+BJ$3,2+BJ$2)&lt;&gt;"",INDEX('×入力'!$A$1:$L$1300,874,2+BJ$2)&lt;&gt;"",INDEX('×入力'!$A$1:$L$1300,875+BJ$3,1)&lt;&gt;""),1,0),0)</f>
        <v/>
      </c>
      <c r="BK41">
        <f>IF(BK$4=1,IF(OR(INDEX('×入力'!$A$1:$L$1300,875+BK$3,2+BK$2)&lt;&gt;"",INDEX('×入力'!$A$1:$L$1300,874,2+BK$2)&lt;&gt;"",INDEX('×入力'!$A$1:$L$1300,875+BK$3,1)&lt;&gt;""),1,0),0)</f>
        <v/>
      </c>
      <c r="BL41">
        <f>IF(BL$4=1,IF(OR(INDEX('×入力'!$A$1:$L$1300,875+BL$3,2+BL$2)&lt;&gt;"",INDEX('×入力'!$A$1:$L$1300,874,2+BL$2)&lt;&gt;"",INDEX('×入力'!$A$1:$L$1300,875+BL$3,1)&lt;&gt;""),1,0),0)</f>
        <v/>
      </c>
      <c r="BM41">
        <f>IF(BM$4=1,IF(OR(INDEX('×入力'!$A$1:$L$1300,875+BM$3,2+BM$2)&lt;&gt;"",INDEX('×入力'!$A$1:$L$1300,874,2+BM$2)&lt;&gt;"",INDEX('×入力'!$A$1:$L$1300,875+BM$3,1)&lt;&gt;""),1,0),0)</f>
        <v/>
      </c>
      <c r="BN41">
        <f>IF(BN$4=1,IF(OR(INDEX('×入力'!$A$1:$L$1300,875+BN$3,2+BN$2)&lt;&gt;"",INDEX('×入力'!$A$1:$L$1300,874,2+BN$2)&lt;&gt;"",INDEX('×入力'!$A$1:$L$1300,875+BN$3,1)&lt;&gt;""),1,0),0)</f>
        <v/>
      </c>
      <c r="BO41">
        <f>IF(BO$4=1,IF(OR(INDEX('×入力'!$A$1:$L$1300,875+BO$3,2+BO$2)&lt;&gt;"",INDEX('×入力'!$A$1:$L$1300,874,2+BO$2)&lt;&gt;"",INDEX('×入力'!$A$1:$L$1300,875+BO$3,1)&lt;&gt;""),1,0),0)</f>
        <v/>
      </c>
      <c r="BP41">
        <f>IF(BP$4=1,IF(OR(INDEX('×入力'!$A$1:$L$1300,875+BP$3,2+BP$2)&lt;&gt;"",INDEX('×入力'!$A$1:$L$1300,874,2+BP$2)&lt;&gt;"",INDEX('×入力'!$A$1:$L$1300,875+BP$3,1)&lt;&gt;""),1,0),0)</f>
        <v/>
      </c>
      <c r="BQ41">
        <f>IF(BQ$4=1,IF(OR(INDEX('×入力'!$A$1:$L$1300,875+BQ$3,2+BQ$2)&lt;&gt;"",INDEX('×入力'!$A$1:$L$1300,874,2+BQ$2)&lt;&gt;"",INDEX('×入力'!$A$1:$L$1300,875+BQ$3,1)&lt;&gt;""),1,0),0)</f>
        <v/>
      </c>
      <c r="BR41">
        <f>IF(BR$4=1,IF(OR(INDEX('×入力'!$A$1:$L$1300,875+BR$3,2+BR$2)&lt;&gt;"",INDEX('×入力'!$A$1:$L$1300,874,2+BR$2)&lt;&gt;"",INDEX('×入力'!$A$1:$L$1300,875+BR$3,1)&lt;&gt;""),1,0),0)</f>
        <v/>
      </c>
      <c r="BS41">
        <f>IF(BS$4=1,IF(OR(INDEX('×入力'!$A$1:$L$1300,875+BS$3,2+BS$2)&lt;&gt;"",INDEX('×入力'!$A$1:$L$1300,874,2+BS$2)&lt;&gt;"",INDEX('×入力'!$A$1:$L$1300,875+BS$3,1)&lt;&gt;""),1,0),0)</f>
        <v/>
      </c>
      <c r="BT41">
        <f>IF(BT$4=1,IF(OR(INDEX('×入力'!$A$1:$L$1300,875+BT$3,2+BT$2)&lt;&gt;"",INDEX('×入力'!$A$1:$L$1300,874,2+BT$2)&lt;&gt;"",INDEX('×入力'!$A$1:$L$1300,875+BT$3,1)&lt;&gt;""),1,0),0)</f>
        <v/>
      </c>
      <c r="BU41">
        <f>IF(BU$4=1,IF(OR(INDEX('×入力'!$A$1:$L$1300,875+BU$3,2+BU$2)&lt;&gt;"",INDEX('×入力'!$A$1:$L$1300,874,2+BU$2)&lt;&gt;"",INDEX('×入力'!$A$1:$L$1300,875+BU$3,1)&lt;&gt;""),1,0),0)</f>
        <v/>
      </c>
      <c r="BV41">
        <f>IF(BV$4=1,IF(OR(INDEX('×入力'!$A$1:$L$1300,875+BV$3,2+BV$2)&lt;&gt;"",INDEX('×入力'!$A$1:$L$1300,874,2+BV$2)&lt;&gt;"",INDEX('×入力'!$A$1:$L$1300,875+BV$3,1)&lt;&gt;""),1,0),0)</f>
        <v/>
      </c>
      <c r="BW41">
        <f>IF(BW$4=1,IF(OR(INDEX('×入力'!$A$1:$L$1300,875+BW$3,2+BW$2)&lt;&gt;"",INDEX('×入力'!$A$1:$L$1300,874,2+BW$2)&lt;&gt;"",INDEX('×入力'!$A$1:$L$1300,875+BW$3,1)&lt;&gt;""),1,0),0)</f>
        <v/>
      </c>
      <c r="BX41">
        <f>IF(BX$4=1,IF(OR(INDEX('×入力'!$A$1:$L$1300,875+BX$3,2+BX$2)&lt;&gt;"",INDEX('×入力'!$A$1:$L$1300,874,2+BX$2)&lt;&gt;"",INDEX('×入力'!$A$1:$L$1300,875+BX$3,1)&lt;&gt;""),1,0),0)</f>
        <v/>
      </c>
      <c r="BY41">
        <f>IF(BY$4=1,IF(OR(INDEX('×入力'!$A$1:$L$1300,875+BY$3,2+BY$2)&lt;&gt;"",INDEX('×入力'!$A$1:$L$1300,874,2+BY$2)&lt;&gt;"",INDEX('×入力'!$A$1:$L$1300,875+BY$3,1)&lt;&gt;""),1,0),0)</f>
        <v/>
      </c>
      <c r="BZ41">
        <f>IF(BZ$4=1,IF(OR(INDEX('×入力'!$A$1:$L$1300,875+BZ$3,2+BZ$2)&lt;&gt;"",INDEX('×入力'!$A$1:$L$1300,874,2+BZ$2)&lt;&gt;"",INDEX('×入力'!$A$1:$L$1300,875+BZ$3,1)&lt;&gt;""),1,0),0)</f>
        <v/>
      </c>
      <c r="CA41">
        <f>IF(CA$4=1,IF(OR(INDEX('×入力'!$A$1:$L$1300,875+CA$3,2+CA$2)&lt;&gt;"",INDEX('×入力'!$A$1:$L$1300,874,2+CA$2)&lt;&gt;"",INDEX('×入力'!$A$1:$L$1300,875+CA$3,1)&lt;&gt;""),1,0),0)</f>
        <v/>
      </c>
      <c r="CB41">
        <f>IF(CB$4=1,IF(OR(INDEX('×入力'!$A$1:$L$1300,875+CB$3,2+CB$2)&lt;&gt;"",INDEX('×入力'!$A$1:$L$1300,874,2+CB$2)&lt;&gt;"",INDEX('×入力'!$A$1:$L$1300,875+CB$3,1)&lt;&gt;""),1,0),0)</f>
        <v/>
      </c>
      <c r="CC41">
        <f>IF(CC$4=1,IF(OR(INDEX('×入力'!$A$1:$L$1300,875+CC$3,2+CC$2)&lt;&gt;"",INDEX('×入力'!$A$1:$L$1300,874,2+CC$2)&lt;&gt;"",INDEX('×入力'!$A$1:$L$1300,875+CC$3,1)&lt;&gt;""),1,0),0)</f>
        <v/>
      </c>
      <c r="CD41">
        <f>IF(CD$4=1,IF(OR(INDEX('×入力'!$A$1:$L$1300,875+CD$3,2+CD$2)&lt;&gt;"",INDEX('×入力'!$A$1:$L$1300,874,2+CD$2)&lt;&gt;"",INDEX('×入力'!$A$1:$L$1300,875+CD$3,1)&lt;&gt;""),1,0),0)</f>
        <v/>
      </c>
      <c r="CE41">
        <f>IF(CE$4=1,IF(OR(INDEX('×入力'!$A$1:$L$1300,875+CE$3,2+CE$2)&lt;&gt;"",INDEX('×入力'!$A$1:$L$1300,874,2+CE$2)&lt;&gt;"",INDEX('×入力'!$A$1:$L$1300,875+CE$3,1)&lt;&gt;""),1,0),0)</f>
        <v/>
      </c>
      <c r="CF41">
        <f>IF(CF$4=1,IF(OR(INDEX('×入力'!$A$1:$L$1300,875+CF$3,2+CF$2)&lt;&gt;"",INDEX('×入力'!$A$1:$L$1300,874,2+CF$2)&lt;&gt;"",INDEX('×入力'!$A$1:$L$1300,875+CF$3,1)&lt;&gt;""),1,0),0)</f>
        <v/>
      </c>
      <c r="CG41">
        <f>IF(CG$4=1,IF(OR(INDEX('×入力'!$A$1:$L$1300,875+CG$3,2+CG$2)&lt;&gt;"",INDEX('×入力'!$A$1:$L$1300,874,2+CG$2)&lt;&gt;"",INDEX('×入力'!$A$1:$L$1300,875+CG$3,1)&lt;&gt;""),1,0),0)</f>
        <v/>
      </c>
      <c r="CH41">
        <f>IF(CH$4=1,IF(OR(INDEX('×入力'!$A$1:$L$1300,875+CH$3,2+CH$2)&lt;&gt;"",INDEX('×入力'!$A$1:$L$1300,874,2+CH$2)&lt;&gt;"",INDEX('×入力'!$A$1:$L$1300,875+CH$3,1)&lt;&gt;""),1,0),0)</f>
        <v/>
      </c>
      <c r="CI41">
        <f>IF(CI$4=1,IF(OR(INDEX('×入力'!$A$1:$L$1300,875+CI$3,2+CI$2)&lt;&gt;"",INDEX('×入力'!$A$1:$L$1300,874,2+CI$2)&lt;&gt;"",INDEX('×入力'!$A$1:$L$1300,875+CI$3,1)&lt;&gt;""),1,0),0)</f>
        <v/>
      </c>
      <c r="CJ41">
        <f>IF(CJ$4=1,IF(OR(INDEX('×入力'!$A$1:$L$1300,875+CJ$3,2+CJ$2)&lt;&gt;"",INDEX('×入力'!$A$1:$L$1300,874,2+CJ$2)&lt;&gt;"",INDEX('×入力'!$A$1:$L$1300,875+CJ$3,1)&lt;&gt;""),1,0),0)</f>
        <v/>
      </c>
      <c r="CK41">
        <f>IF(CK$4=1,IF(OR(INDEX('×入力'!$A$1:$L$1300,875+CK$3,2+CK$2)&lt;&gt;"",INDEX('×入力'!$A$1:$L$1300,874,2+CK$2)&lt;&gt;"",INDEX('×入力'!$A$1:$L$1300,875+CK$3,1)&lt;&gt;""),1,0),0)</f>
        <v/>
      </c>
      <c r="CL41">
        <f>IF(CL$4=1,IF(OR(INDEX('×入力'!$A$1:$L$1300,875+CL$3,2+CL$2)&lt;&gt;"",INDEX('×入力'!$A$1:$L$1300,874,2+CL$2)&lt;&gt;"",INDEX('×入力'!$A$1:$L$1300,875+CL$3,1)&lt;&gt;""),1,0),0)</f>
        <v/>
      </c>
      <c r="CM41">
        <f>IF(CM$4=1,IF(OR(INDEX('×入力'!$A$1:$L$1300,875+CM$3,2+CM$2)&lt;&gt;"",INDEX('×入力'!$A$1:$L$1300,874,2+CM$2)&lt;&gt;"",INDEX('×入力'!$A$1:$L$1300,875+CM$3,1)&lt;&gt;""),1,0),0)</f>
        <v/>
      </c>
      <c r="CN41">
        <f>IF(CN$4=1,IF(OR(INDEX('×入力'!$A$1:$L$1300,875+CN$3,2+CN$2)&lt;&gt;"",INDEX('×入力'!$A$1:$L$1300,874,2+CN$2)&lt;&gt;"",INDEX('×入力'!$A$1:$L$1300,875+CN$3,1)&lt;&gt;""),1,0),0)</f>
        <v/>
      </c>
      <c r="CO41">
        <f>IF(CO$4=1,IF(OR(INDEX('×入力'!$A$1:$L$1300,875+CO$3,2+CO$2)&lt;&gt;"",INDEX('×入力'!$A$1:$L$1300,874,2+CO$2)&lt;&gt;"",INDEX('×入力'!$A$1:$L$1300,875+CO$3,1)&lt;&gt;""),1,0),0)</f>
        <v/>
      </c>
      <c r="CP41">
        <f>IF(CP$4=1,IF(OR(INDEX('×入力'!$A$1:$L$1300,875+CP$3,2+CP$2)&lt;&gt;"",INDEX('×入力'!$A$1:$L$1300,874,2+CP$2)&lt;&gt;"",INDEX('×入力'!$A$1:$L$1300,875+CP$3,1)&lt;&gt;""),1,0),0)</f>
        <v/>
      </c>
      <c r="CQ41">
        <f>IF(CQ$4=1,IF(OR(INDEX('×入力'!$A$1:$L$1300,875+CQ$3,2+CQ$2)&lt;&gt;"",INDEX('×入力'!$A$1:$L$1300,874,2+CQ$2)&lt;&gt;"",INDEX('×入力'!$A$1:$L$1300,875+CQ$3,1)&lt;&gt;""),1,0),0)</f>
        <v/>
      </c>
      <c r="CR41">
        <f>IF(CR$4=1,IF(OR(INDEX('×入力'!$A$1:$L$1300,875+CR$3,2+CR$2)&lt;&gt;"",INDEX('×入力'!$A$1:$L$1300,874,2+CR$2)&lt;&gt;"",INDEX('×入力'!$A$1:$L$1300,875+CR$3,1)&lt;&gt;""),1,0),0)</f>
        <v/>
      </c>
      <c r="CS41">
        <f>IF(CS$4=1,IF(OR(INDEX('×入力'!$A$1:$L$1300,875+CS$3,2+CS$2)&lt;&gt;"",INDEX('×入力'!$A$1:$L$1300,874,2+CS$2)&lt;&gt;"",INDEX('×入力'!$A$1:$L$1300,875+CS$3,1)&lt;&gt;""),1,0),0)</f>
        <v/>
      </c>
      <c r="CT41">
        <f>IF(CT$4=1,IF(OR(INDEX('×入力'!$A$1:$L$1300,875+CT$3,2+CT$2)&lt;&gt;"",INDEX('×入力'!$A$1:$L$1300,874,2+CT$2)&lt;&gt;"",INDEX('×入力'!$A$1:$L$1300,875+CT$3,1)&lt;&gt;""),1,0),0)</f>
        <v/>
      </c>
      <c r="CU41">
        <f>IF(CU$4=1,IF(OR(INDEX('×入力'!$A$1:$L$1300,875+CU$3,2+CU$2)&lt;&gt;"",INDEX('×入力'!$A$1:$L$1300,874,2+CU$2)&lt;&gt;"",INDEX('×入力'!$A$1:$L$1300,875+CU$3,1)&lt;&gt;""),1,0),0)</f>
        <v/>
      </c>
      <c r="CV41">
        <f>IF(CV$4=1,IF(OR(INDEX('×入力'!$A$1:$L$1300,875+CV$3,2+CV$2)&lt;&gt;"",INDEX('×入力'!$A$1:$L$1300,874,2+CV$2)&lt;&gt;"",INDEX('×入力'!$A$1:$L$1300,875+CV$3,1)&lt;&gt;""),1,0),0)</f>
        <v/>
      </c>
      <c r="CW41">
        <f>IF(CW$4=1,IF(OR(INDEX('×入力'!$A$1:$L$1300,875+CW$3,2+CW$2)&lt;&gt;"",INDEX('×入力'!$A$1:$L$1300,874,2+CW$2)&lt;&gt;"",INDEX('×入力'!$A$1:$L$1300,875+CW$3,1)&lt;&gt;""),1,0),0)</f>
        <v/>
      </c>
      <c r="CX41">
        <f>IF(CX$4=1,IF(OR(INDEX('×入力'!$A$1:$L$1300,875+CX$3,2+CX$2)&lt;&gt;"",INDEX('×入力'!$A$1:$L$1300,874,2+CX$2)&lt;&gt;"",INDEX('×入力'!$A$1:$L$1300,875+CX$3,1)&lt;&gt;""),1,0),0)</f>
        <v/>
      </c>
      <c r="CY41">
        <f>IF(CY$4=1,IF(OR(INDEX('×入力'!$A$1:$L$1300,875+CY$3,2+CY$2)&lt;&gt;"",INDEX('×入力'!$A$1:$L$1300,874,2+CY$2)&lt;&gt;"",INDEX('×入力'!$A$1:$L$1300,875+CY$3,1)&lt;&gt;""),1,0),0)</f>
        <v/>
      </c>
      <c r="CZ41">
        <f>IF(CZ$4=1,IF(OR(INDEX('×入力'!$A$1:$L$1300,875+CZ$3,2+CZ$2)&lt;&gt;"",INDEX('×入力'!$A$1:$L$1300,874,2+CZ$2)&lt;&gt;"",INDEX('×入力'!$A$1:$L$1300,875+CZ$3,1)&lt;&gt;""),1,0),0)</f>
        <v/>
      </c>
      <c r="DA41">
        <f>IF(DA$4=1,IF(OR(INDEX('×入力'!$A$1:$L$1300,875+DA$3,2+DA$2)&lt;&gt;"",INDEX('×入力'!$A$1:$L$1300,874,2+DA$2)&lt;&gt;"",INDEX('×入力'!$A$1:$L$1300,875+DA$3,1)&lt;&gt;""),1,0),0)</f>
        <v/>
      </c>
      <c r="DB41">
        <f>IF(DB$4=1,IF(OR(INDEX('×入力'!$A$1:$L$1300,875+DB$3,2+DB$2)&lt;&gt;"",INDEX('×入力'!$A$1:$L$1300,874,2+DB$2)&lt;&gt;"",INDEX('×入力'!$A$1:$L$1300,875+DB$3,1)&lt;&gt;""),1,0),0)</f>
        <v/>
      </c>
      <c r="DC41">
        <f>IF(DC$4=1,IF(OR(INDEX('×入力'!$A$1:$L$1300,875+DC$3,2+DC$2)&lt;&gt;"",INDEX('×入力'!$A$1:$L$1300,874,2+DC$2)&lt;&gt;"",INDEX('×入力'!$A$1:$L$1300,875+DC$3,1)&lt;&gt;""),1,0),0)</f>
        <v/>
      </c>
      <c r="DD41">
        <f>IF(DD$4=1,IF(OR(INDEX('×入力'!$A$1:$L$1300,875+DD$3,2+DD$2)&lt;&gt;"",INDEX('×入力'!$A$1:$L$1300,874,2+DD$2)&lt;&gt;"",INDEX('×入力'!$A$1:$L$1300,875+DD$3,1)&lt;&gt;""),1,0),0)</f>
        <v/>
      </c>
      <c r="DE41">
        <f>IF(DE$4=1,IF(OR(INDEX('×入力'!$A$1:$L$1300,875+DE$3,2+DE$2)&lt;&gt;"",INDEX('×入力'!$A$1:$L$1300,874,2+DE$2)&lt;&gt;"",INDEX('×入力'!$A$1:$L$1300,875+DE$3,1)&lt;&gt;""),1,0),0)</f>
        <v/>
      </c>
      <c r="DF41">
        <f>IF(DF$4=1,IF(OR(INDEX('×入力'!$A$1:$L$1300,875+DF$3,2+DF$2)&lt;&gt;"",INDEX('×入力'!$A$1:$L$1300,874,2+DF$2)&lt;&gt;"",INDEX('×入力'!$A$1:$L$1300,875+DF$3,1)&lt;&gt;""),1,0),0)</f>
        <v/>
      </c>
      <c r="DG41">
        <f>IF(DG$4=1,IF(OR(INDEX('×入力'!$A$1:$L$1300,875+DG$3,2+DG$2)&lt;&gt;"",INDEX('×入力'!$A$1:$L$1300,874,2+DG$2)&lt;&gt;"",INDEX('×入力'!$A$1:$L$1300,875+DG$3,1)&lt;&gt;""),1,0),0)</f>
        <v/>
      </c>
      <c r="DH41">
        <f>IF(DH$4=1,IF(OR(INDEX('×入力'!$A$1:$L$1300,875+DH$3,2+DH$2)&lt;&gt;"",INDEX('×入力'!$A$1:$L$1300,874,2+DH$2)&lt;&gt;"",INDEX('×入力'!$A$1:$L$1300,875+DH$3,1)&lt;&gt;""),1,0),0)</f>
        <v/>
      </c>
      <c r="DI41">
        <f>IF(DI$4=1,IF(OR(INDEX('×入力'!$A$1:$L$1300,875+DI$3,2+DI$2)&lt;&gt;"",INDEX('×入力'!$A$1:$L$1300,874,2+DI$2)&lt;&gt;"",INDEX('×入力'!$A$1:$L$1300,875+DI$3,1)&lt;&gt;""),1,0),0)</f>
        <v/>
      </c>
      <c r="DJ41">
        <f>IF(DJ$4=1,IF(OR(INDEX('×入力'!$A$1:$L$1300,875+DJ$3,2+DJ$2)&lt;&gt;"",INDEX('×入力'!$A$1:$L$1300,874,2+DJ$2)&lt;&gt;"",INDEX('×入力'!$A$1:$L$1300,875+DJ$3,1)&lt;&gt;""),1,0),0)</f>
        <v/>
      </c>
      <c r="DK41">
        <f>IF(DK$4=1,IF(OR(INDEX('×入力'!$A$1:$L$1300,875+DK$3,2+DK$2)&lt;&gt;"",INDEX('×入力'!$A$1:$L$1300,874,2+DK$2)&lt;&gt;"",INDEX('×入力'!$A$1:$L$1300,875+DK$3,1)&lt;&gt;""),1,0),0)</f>
        <v/>
      </c>
      <c r="DL41">
        <f>IF(DL$4=1,IF(OR(INDEX('×入力'!$A$1:$L$1300,875+DL$3,2+DL$2)&lt;&gt;"",INDEX('×入力'!$A$1:$L$1300,874,2+DL$2)&lt;&gt;"",INDEX('×入力'!$A$1:$L$1300,875+DL$3,1)&lt;&gt;""),1,0),0)</f>
        <v/>
      </c>
      <c r="DM41">
        <f>IF(DM$4=1,IF(OR(INDEX('×入力'!$A$1:$L$1300,875+DM$3,2+DM$2)&lt;&gt;"",INDEX('×入力'!$A$1:$L$1300,874,2+DM$2)&lt;&gt;"",INDEX('×入力'!$A$1:$L$1300,875+DM$3,1)&lt;&gt;""),1,0),0)</f>
        <v/>
      </c>
      <c r="DN41">
        <f>IF(DN$4=1,IF(OR(INDEX('×入力'!$A$1:$L$1300,875+DN$3,2+DN$2)&lt;&gt;"",INDEX('×入力'!$A$1:$L$1300,874,2+DN$2)&lt;&gt;"",INDEX('×入力'!$A$1:$L$1300,875+DN$3,1)&lt;&gt;""),1,0),0)</f>
        <v/>
      </c>
      <c r="DO41">
        <f>IF(DO$4=1,IF(OR(INDEX('×入力'!$A$1:$L$1300,875+DO$3,2+DO$2)&lt;&gt;"",INDEX('×入力'!$A$1:$L$1300,874,2+DO$2)&lt;&gt;"",INDEX('×入力'!$A$1:$L$1300,875+DO$3,1)&lt;&gt;""),1,0),0)</f>
        <v/>
      </c>
      <c r="DP41">
        <f>IF(DP$4=1,IF(OR(INDEX('×入力'!$A$1:$L$1300,875+DP$3,2+DP$2)&lt;&gt;"",INDEX('×入力'!$A$1:$L$1300,874,2+DP$2)&lt;&gt;"",INDEX('×入力'!$A$1:$L$1300,875+DP$3,1)&lt;&gt;""),1,0),0)</f>
        <v/>
      </c>
      <c r="DQ41">
        <f>IF(DQ$4=1,IF(OR(INDEX('×入力'!$A$1:$L$1300,875+DQ$3,2+DQ$2)&lt;&gt;"",INDEX('×入力'!$A$1:$L$1300,874,2+DQ$2)&lt;&gt;"",INDEX('×入力'!$A$1:$L$1300,875+DQ$3,1)&lt;&gt;""),1,0),0)</f>
        <v/>
      </c>
      <c r="DR41">
        <f>IF(DR$4=1,IF(OR(INDEX('×入力'!$A$1:$L$1300,875+DR$3,2+DR$2)&lt;&gt;"",INDEX('×入力'!$A$1:$L$1300,874,2+DR$2)&lt;&gt;"",INDEX('×入力'!$A$1:$L$1300,875+DR$3,1)&lt;&gt;""),1,0),0)</f>
        <v/>
      </c>
      <c r="DS41">
        <f>IF(DS$4=1,IF(OR(INDEX('×入力'!$A$1:$L$1300,875+DS$3,2+DS$2)&lt;&gt;"",INDEX('×入力'!$A$1:$L$1300,874,2+DS$2)&lt;&gt;"",INDEX('×入力'!$A$1:$L$1300,875+DS$3,1)&lt;&gt;""),1,0),0)</f>
        <v/>
      </c>
      <c r="DT41">
        <f>IF(DT$4=1,IF(OR(INDEX('×入力'!$A$1:$L$1300,875+DT$3,2+DT$2)&lt;&gt;"",INDEX('×入力'!$A$1:$L$1300,874,2+DT$2)&lt;&gt;"",INDEX('×入力'!$A$1:$L$1300,875+DT$3,1)&lt;&gt;""),1,0),0)</f>
        <v/>
      </c>
      <c r="DU41">
        <f>IF(DU$4=1,IF(OR(INDEX('×入力'!$A$1:$L$1300,875+DU$3,2+DU$2)&lt;&gt;"",INDEX('×入力'!$A$1:$L$1300,874,2+DU$2)&lt;&gt;"",INDEX('×入力'!$A$1:$L$1300,875+DU$3,1)&lt;&gt;""),1,0),0)</f>
        <v/>
      </c>
      <c r="DV41">
        <f>IF(DV$4=1,IF(OR(INDEX('×入力'!$A$1:$L$1300,875+DV$3,2+DV$2)&lt;&gt;"",INDEX('×入力'!$A$1:$L$1300,874,2+DV$2)&lt;&gt;"",INDEX('×入力'!$A$1:$L$1300,875+DV$3,1)&lt;&gt;""),1,0),0)</f>
        <v/>
      </c>
      <c r="DW41">
        <f>IF(DW$4=1,IF(OR(INDEX('×入力'!$A$1:$L$1300,875+DW$3,2+DW$2)&lt;&gt;"",INDEX('×入力'!$A$1:$L$1300,874,2+DW$2)&lt;&gt;"",INDEX('×入力'!$A$1:$L$1300,875+DW$3,1)&lt;&gt;""),1,0),0)</f>
        <v/>
      </c>
      <c r="DX41">
        <f>IF(DX$4=1,IF(OR(INDEX('×入力'!$A$1:$L$1300,875+DX$3,2+DX$2)&lt;&gt;"",INDEX('×入力'!$A$1:$L$1300,874,2+DX$2)&lt;&gt;"",INDEX('×入力'!$A$1:$L$1300,875+DX$3,1)&lt;&gt;""),1,0),0)</f>
        <v/>
      </c>
      <c r="DY41">
        <f>IF(DY$4=1,IF(OR(INDEX('×入力'!$A$1:$L$1300,875+DY$3,2+DY$2)&lt;&gt;"",INDEX('×入力'!$A$1:$L$1300,874,2+DY$2)&lt;&gt;"",INDEX('×入力'!$A$1:$L$1300,875+DY$3,1)&lt;&gt;""),1,0),0)</f>
        <v/>
      </c>
      <c r="DZ41">
        <f>IF(DZ$4=1,IF(OR(INDEX('×入力'!$A$1:$L$1300,875+DZ$3,2+DZ$2)&lt;&gt;"",INDEX('×入力'!$A$1:$L$1300,874,2+DZ$2)&lt;&gt;"",INDEX('×入力'!$A$1:$L$1300,875+DZ$3,1)&lt;&gt;""),1,0),0)</f>
        <v/>
      </c>
      <c r="EA41">
        <f>IF(EA$4=1,IF(OR(INDEX('×入力'!$A$1:$L$1300,875+EA$3,2+EA$2)&lt;&gt;"",INDEX('×入力'!$A$1:$L$1300,874,2+EA$2)&lt;&gt;"",INDEX('×入力'!$A$1:$L$1300,875+EA$3,1)&lt;&gt;""),1,0),0)</f>
        <v/>
      </c>
      <c r="EB41">
        <f>IF(EB$4=1,IF(OR(INDEX('×入力'!$A$1:$L$1300,875+EB$3,2+EB$2)&lt;&gt;"",INDEX('×入力'!$A$1:$L$1300,874,2+EB$2)&lt;&gt;"",INDEX('×入力'!$A$1:$L$1300,875+EB$3,1)&lt;&gt;""),1,0),0)</f>
        <v/>
      </c>
      <c r="EC41">
        <f>IF(EC$4=1,IF(OR(INDEX('×入力'!$A$1:$L$1300,875+EC$3,2+EC$2)&lt;&gt;"",INDEX('×入力'!$A$1:$L$1300,874,2+EC$2)&lt;&gt;"",INDEX('×入力'!$A$1:$L$1300,875+EC$3,1)&lt;&gt;""),1,0),0)</f>
        <v/>
      </c>
      <c r="ED41">
        <f>IF(ED$4=1,IF(OR(INDEX('×入力'!$A$1:$L$1300,875+ED$3,2+ED$2)&lt;&gt;"",INDEX('×入力'!$A$1:$L$1300,874,2+ED$2)&lt;&gt;"",INDEX('×入力'!$A$1:$L$1300,875+ED$3,1)&lt;&gt;""),1,0),0)</f>
        <v/>
      </c>
      <c r="EE41">
        <f>IF(EE$4=1,IF(OR(INDEX('×入力'!$A$1:$L$1300,875+EE$3,2+EE$2)&lt;&gt;"",INDEX('×入力'!$A$1:$L$1300,874,2+EE$2)&lt;&gt;"",INDEX('×入力'!$A$1:$L$1300,875+EE$3,1)&lt;&gt;""),1,0),0)</f>
        <v/>
      </c>
      <c r="EF41">
        <f>IF(EF$4=1,IF(OR(INDEX('×入力'!$A$1:$L$1300,875+EF$3,2+EF$2)&lt;&gt;"",INDEX('×入力'!$A$1:$L$1300,874,2+EF$2)&lt;&gt;"",INDEX('×入力'!$A$1:$L$1300,875+EF$3,1)&lt;&gt;""),1,0),0)</f>
        <v/>
      </c>
      <c r="EG41">
        <f>IF(EG$4=1,IF(OR(INDEX('×入力'!$A$1:$L$1300,875+EG$3,2+EG$2)&lt;&gt;"",INDEX('×入力'!$A$1:$L$1300,874,2+EG$2)&lt;&gt;"",INDEX('×入力'!$A$1:$L$1300,875+EG$3,1)&lt;&gt;""),1,0),0)</f>
        <v/>
      </c>
      <c r="EH41">
        <f>IF(EH$4=1,IF(OR(INDEX('×入力'!$A$1:$L$1300,875+EH$3,2+EH$2)&lt;&gt;"",INDEX('×入力'!$A$1:$L$1300,874,2+EH$2)&lt;&gt;"",INDEX('×入力'!$A$1:$L$1300,875+EH$3,1)&lt;&gt;""),1,0),0)</f>
        <v/>
      </c>
      <c r="EI41">
        <f>IF(EI$4=1,IF(OR(INDEX('×入力'!$A$1:$L$1300,875+EI$3,2+EI$2)&lt;&gt;"",INDEX('×入力'!$A$1:$L$1300,874,2+EI$2)&lt;&gt;"",INDEX('×入力'!$A$1:$L$1300,875+EI$3,1)&lt;&gt;""),1,0),0)</f>
        <v/>
      </c>
      <c r="EJ41">
        <f>IF(EJ$4=1,IF(OR(INDEX('×入力'!$A$1:$L$1300,875+EJ$3,2+EJ$2)&lt;&gt;"",INDEX('×入力'!$A$1:$L$1300,874,2+EJ$2)&lt;&gt;"",INDEX('×入力'!$A$1:$L$1300,875+EJ$3,1)&lt;&gt;""),1,0),0)</f>
        <v/>
      </c>
      <c r="EK41">
        <f>IF(EK$4=1,IF(OR(INDEX('×入力'!$A$1:$L$1300,875+EK$3,2+EK$2)&lt;&gt;"",INDEX('×入力'!$A$1:$L$1300,874,2+EK$2)&lt;&gt;"",INDEX('×入力'!$A$1:$L$1300,875+EK$3,1)&lt;&gt;""),1,0),0)</f>
        <v/>
      </c>
      <c r="EL41">
        <f>IF(EL$4=1,IF(OR(INDEX('×入力'!$A$1:$L$1300,875+EL$3,2+EL$2)&lt;&gt;"",INDEX('×入力'!$A$1:$L$1300,874,2+EL$2)&lt;&gt;"",INDEX('×入力'!$A$1:$L$1300,875+EL$3,1)&lt;&gt;""),1,0),0)</f>
        <v/>
      </c>
      <c r="EM41">
        <f>IF(EM$4=1,IF(OR(INDEX('×入力'!$A$1:$L$1300,875+EM$3,2+EM$2)&lt;&gt;"",INDEX('×入力'!$A$1:$L$1300,874,2+EM$2)&lt;&gt;"",INDEX('×入力'!$A$1:$L$1300,875+EM$3,1)&lt;&gt;""),1,0),0)</f>
        <v/>
      </c>
      <c r="EN41">
        <f>IF(EN$4=1,IF(OR(INDEX('×入力'!$A$1:$L$1300,875+EN$3,2+EN$2)&lt;&gt;"",INDEX('×入力'!$A$1:$L$1300,874,2+EN$2)&lt;&gt;"",INDEX('×入力'!$A$1:$L$1300,875+EN$3,1)&lt;&gt;""),1,0),0)</f>
        <v/>
      </c>
      <c r="EO41">
        <f>IF(EO$4=1,IF(OR(INDEX('×入力'!$A$1:$L$1300,875+EO$3,2+EO$2)&lt;&gt;"",INDEX('×入力'!$A$1:$L$1300,874,2+EO$2)&lt;&gt;"",INDEX('×入力'!$A$1:$L$1300,875+EO$3,1)&lt;&gt;""),1,0),0)</f>
        <v/>
      </c>
      <c r="EP41">
        <f>IF(EP$4=1,IF(OR(INDEX('×入力'!$A$1:$L$1300,875+EP$3,2+EP$2)&lt;&gt;"",INDEX('×入力'!$A$1:$L$1300,874,2+EP$2)&lt;&gt;"",INDEX('×入力'!$A$1:$L$1300,875+EP$3,1)&lt;&gt;""),1,0),0)</f>
        <v/>
      </c>
      <c r="EQ41">
        <f>IF(EQ$4=1,IF(OR(INDEX('×入力'!$A$1:$L$1300,875+EQ$3,2+EQ$2)&lt;&gt;"",INDEX('×入力'!$A$1:$L$1300,874,2+EQ$2)&lt;&gt;"",INDEX('×入力'!$A$1:$L$1300,875+EQ$3,1)&lt;&gt;""),1,0),0)</f>
        <v/>
      </c>
      <c r="HA41">
        <f>MAX(0,IT41)</f>
        <v/>
      </c>
      <c r="HB41">
        <f>IF(HA41=0,0,INDEX($D$2:$EQ$2,HA41))</f>
        <v/>
      </c>
      <c r="HC41">
        <f>IF(HA41=0,0,INDEX($D$3:$EQ$3,HA41))</f>
        <v/>
      </c>
      <c r="HD41">
        <f>MAX(0,IY41)</f>
        <v/>
      </c>
      <c r="HE41">
        <f>IF(HD41=0,0,INDEX($D$2:$EQ$2,HD41))</f>
        <v/>
      </c>
      <c r="HF41">
        <f>IF(HD41=0,0,INDEX($D$3:$EQ$3,HD41))</f>
        <v/>
      </c>
      <c r="HG41">
        <f>MAX(0,IZ41)</f>
        <v/>
      </c>
      <c r="HH41">
        <f>IF(HG41=0,0,INDEX($D$2:$EQ$2,HG41))</f>
        <v/>
      </c>
      <c r="HI41">
        <f>IF(HG41=0,0,INDEX($D$3:$EQ$3,HG41))</f>
        <v/>
      </c>
      <c r="HJ41">
        <f>IF(AND(HA41&gt;0,HC41&gt;1,OR(HC41-1&lt;&gt;$A$3,$A$4=0)),HA41-1,-1)</f>
        <v/>
      </c>
      <c r="HK41">
        <f>IF(AND(HA41&gt;0,HC41&lt;24,OR(HC41&lt;&gt;$A$3,$A$4=0)),HA41+1,-1)</f>
        <v/>
      </c>
      <c r="HL41">
        <f>IF(AND(HD41&gt;0,HF41&gt;1,OR(HF41-1&lt;&gt;$A$3,$A$4=0)),HD41-1,-1)</f>
        <v/>
      </c>
      <c r="HM41">
        <f>IF(AND(HD41&gt;0,HF41&lt;24,OR(HF41&lt;&gt;$A$3,$A$4=0)),HD41+1,-1)</f>
        <v/>
      </c>
      <c r="HN41">
        <f>IF(AND(HG41&gt;0,HI41&gt;1,OR(HI41-1&lt;&gt;$A$3,$A$4=0)),HG41-1,-1)</f>
        <v/>
      </c>
      <c r="HO41">
        <f>IF(AND(HG41&gt;0,HI41&lt;24,OR(HI41&lt;&gt;$A$3,$A$4=0)),HG41+1,-1)</f>
        <v/>
      </c>
      <c r="IK41">
        <f>IFERROR(INDEX('calcB'!$C$3:$C$47,MATCH(A41,'calcB'!$B$3:$B$47,0)),0)</f>
        <v/>
      </c>
      <c r="IL41">
        <f>IF(AND(C41=1,IK41=0,calcA!$A$6=1),1,0)</f>
        <v/>
      </c>
      <c r="IM41">
        <f>SUMPRODUCT(D91:EQ91*(1-$D$7:$EQ$7))</f>
        <v/>
      </c>
      <c r="IN41">
        <f>SUM(D41:EQ41)</f>
        <v/>
      </c>
      <c r="IO41">
        <f>IF(B41="",0,IF(COUNTIF('調整・決定'!$C$6:$H$29,B41)=1,SUMPRODUCT(('調整・決定'!$C$6:$H$29=B41)*((COLUMN('調整・決定'!$C$6:$H$29)-3)*24+ROW('調整・決定'!$C$6:$H$29)-5)),0))</f>
        <v/>
      </c>
      <c r="IP41">
        <f>IFERROR(MATCH('名簿'!C36,{"早い時刻","遅い時刻","早い日","遅い日"},0),0)</f>
        <v/>
      </c>
      <c r="IQ41">
        <f>IF('名簿'!D36="必ず空けたい",2,IF('名簿'!D36="出来れば空けたい",1,0))</f>
        <v/>
      </c>
      <c r="IR41">
        <f>IFERROR(INDEX('calcC'!$C$3:$C$47,MATCH(A41,'calcC'!$B$3:$B$47,0)),0)</f>
        <v/>
      </c>
      <c r="IS41">
        <f>IF(AND(C41=1,IR41=0,calcA!$A$6=1),1,0)</f>
        <v/>
      </c>
      <c r="IT41">
        <f>IF(OR('名簿'!G36="",'名簿'!H36=""),0,IFERROR((MATCH('名簿'!G36,'設定'!$E$11:$E$16,0)-1)*24+MATCH('名簿'!H36,'設定'!$I$11:$I$34,0),-1))</f>
        <v/>
      </c>
      <c r="IV41">
        <f>IF(OR(JF41=0,IO41=0),1,IF(OR(IF(IT41&gt;0,AND(INDEX($D$2:$EQ$2,IO41)=INDEX($D$2:$EQ$2,IT41),OR(AND(IO41=IT41+1,OR(INDEX($D$3:$EQ$3,IT41)&lt;&gt;$A$3,$A$4=0)),AND(IO41=IT41-1,OR(INDEX($D$3:$EQ$3,IO41)&lt;&gt;$A$3,$A$4=0)))),FALSE),IF(IY41&gt;0,AND(INDEX($D$2:$EQ$2,IO41)=INDEX($D$2:$EQ$2,IY41),OR(AND(IO41=IY41+1,OR(INDEX($D$3:$EQ$3,IY41)&lt;&gt;$A$3,$A$4=0)),AND(IO41=IY41-1,OR(INDEX($D$3:$EQ$3,IO41)&lt;&gt;$A$3,$A$4=0)))),FALSE),IF(IZ41&gt;0,AND(INDEX($D$2:$EQ$2,IO41)=INDEX($D$2:$EQ$2,IZ41),OR(AND(IO41=IZ41+1,OR(INDEX($D$3:$EQ$3,IZ41)&lt;&gt;$A$3,$A$4=0)),AND(IO41=IZ41-1,OR(INDEX($D$3:$EQ$3,IO41)&lt;&gt;$A$3,$A$4=0)))),FALSE)),1,0))</f>
        <v/>
      </c>
      <c r="IW41">
        <f>IF(AND('名簿'!E36&lt;&gt;"",JF41=0),1,0)</f>
        <v/>
      </c>
      <c r="IX41">
        <f>IF('名簿'!D36="空けない",1,0)</f>
        <v/>
      </c>
      <c r="IY41">
        <f>IF(OR('名簿'!J36="",'名簿'!K36=""),0,IFERROR((MATCH('名簿'!J36,'設定'!$E$11:$E$16,0)-1)*24+MATCH('名簿'!K36,'設定'!$I$11:$I$34,0),-1))</f>
        <v/>
      </c>
      <c r="IZ41">
        <f>IF(OR('名簿'!M36="",'名簿'!N36=""),0,IFERROR((MATCH('名簿'!M36,'設定'!$E$11:$E$16,0)-1)*24+MATCH('名簿'!N36,'設定'!$I$11:$I$34,0),-1))</f>
        <v/>
      </c>
      <c r="JC41">
        <f>IF(RIGHT('名簿'!I36,2)="の前",1,IF(RIGHT('名簿'!I36,2)="の後",2,0))</f>
        <v/>
      </c>
      <c r="JD41">
        <f>IF(RIGHT('名簿'!L36,2)="の前",1,IF(RIGHT('名簿'!L36,2)="の後",2,0))</f>
        <v/>
      </c>
      <c r="JE41">
        <f>IF(RIGHT('名簿'!O36,2)="の前",1,IF(RIGHT('名簿'!O36,2)="の後",2,0))</f>
        <v/>
      </c>
      <c r="JF41">
        <f>IF(OR(IT41&gt;0,IY41&gt;0,IZ41&gt;0),1,0)</f>
        <v/>
      </c>
      <c r="JG41">
        <f>IF(OR(IT41&lt;0,IY41&lt;0,IZ41&lt;0),1,0)</f>
        <v/>
      </c>
    </row>
    <row r="42">
      <c r="A42" t="n">
        <v>33</v>
      </c>
      <c r="B42">
        <f>'名簿'!P37</f>
        <v/>
      </c>
      <c r="C42">
        <f>IF(AND(B42&lt;&gt;"",OR('名簿'!Q37="入力済み",'名簿'!Q37="×なし"),IO42=0,COUNTIF('調整・決定'!$C$6:$H$29,B42)=0),1,0)</f>
        <v/>
      </c>
      <c r="D42">
        <f>IF(D$4=1,IF(OR(INDEX('×入力'!$A$1:$L$1300,903+D$3,2+D$2)&lt;&gt;"",INDEX('×入力'!$A$1:$L$1300,902,2+D$2)&lt;&gt;"",INDEX('×入力'!$A$1:$L$1300,903+D$3,1)&lt;&gt;""),1,0),0)</f>
        <v/>
      </c>
      <c r="E42">
        <f>IF(E$4=1,IF(OR(INDEX('×入力'!$A$1:$L$1300,903+E$3,2+E$2)&lt;&gt;"",INDEX('×入力'!$A$1:$L$1300,902,2+E$2)&lt;&gt;"",INDEX('×入力'!$A$1:$L$1300,903+E$3,1)&lt;&gt;""),1,0),0)</f>
        <v/>
      </c>
      <c r="F42">
        <f>IF(F$4=1,IF(OR(INDEX('×入力'!$A$1:$L$1300,903+F$3,2+F$2)&lt;&gt;"",INDEX('×入力'!$A$1:$L$1300,902,2+F$2)&lt;&gt;"",INDEX('×入力'!$A$1:$L$1300,903+F$3,1)&lt;&gt;""),1,0),0)</f>
        <v/>
      </c>
      <c r="G42">
        <f>IF(G$4=1,IF(OR(INDEX('×入力'!$A$1:$L$1300,903+G$3,2+G$2)&lt;&gt;"",INDEX('×入力'!$A$1:$L$1300,902,2+G$2)&lt;&gt;"",INDEX('×入力'!$A$1:$L$1300,903+G$3,1)&lt;&gt;""),1,0),0)</f>
        <v/>
      </c>
      <c r="H42">
        <f>IF(H$4=1,IF(OR(INDEX('×入力'!$A$1:$L$1300,903+H$3,2+H$2)&lt;&gt;"",INDEX('×入力'!$A$1:$L$1300,902,2+H$2)&lt;&gt;"",INDEX('×入力'!$A$1:$L$1300,903+H$3,1)&lt;&gt;""),1,0),0)</f>
        <v/>
      </c>
      <c r="I42">
        <f>IF(I$4=1,IF(OR(INDEX('×入力'!$A$1:$L$1300,903+I$3,2+I$2)&lt;&gt;"",INDEX('×入力'!$A$1:$L$1300,902,2+I$2)&lt;&gt;"",INDEX('×入力'!$A$1:$L$1300,903+I$3,1)&lt;&gt;""),1,0),0)</f>
        <v/>
      </c>
      <c r="J42">
        <f>IF(J$4=1,IF(OR(INDEX('×入力'!$A$1:$L$1300,903+J$3,2+J$2)&lt;&gt;"",INDEX('×入力'!$A$1:$L$1300,902,2+J$2)&lt;&gt;"",INDEX('×入力'!$A$1:$L$1300,903+J$3,1)&lt;&gt;""),1,0),0)</f>
        <v/>
      </c>
      <c r="K42">
        <f>IF(K$4=1,IF(OR(INDEX('×入力'!$A$1:$L$1300,903+K$3,2+K$2)&lt;&gt;"",INDEX('×入力'!$A$1:$L$1300,902,2+K$2)&lt;&gt;"",INDEX('×入力'!$A$1:$L$1300,903+K$3,1)&lt;&gt;""),1,0),0)</f>
        <v/>
      </c>
      <c r="L42">
        <f>IF(L$4=1,IF(OR(INDEX('×入力'!$A$1:$L$1300,903+L$3,2+L$2)&lt;&gt;"",INDEX('×入力'!$A$1:$L$1300,902,2+L$2)&lt;&gt;"",INDEX('×入力'!$A$1:$L$1300,903+L$3,1)&lt;&gt;""),1,0),0)</f>
        <v/>
      </c>
      <c r="M42">
        <f>IF(M$4=1,IF(OR(INDEX('×入力'!$A$1:$L$1300,903+M$3,2+M$2)&lt;&gt;"",INDEX('×入力'!$A$1:$L$1300,902,2+M$2)&lt;&gt;"",INDEX('×入力'!$A$1:$L$1300,903+M$3,1)&lt;&gt;""),1,0),0)</f>
        <v/>
      </c>
      <c r="N42">
        <f>IF(N$4=1,IF(OR(INDEX('×入力'!$A$1:$L$1300,903+N$3,2+N$2)&lt;&gt;"",INDEX('×入力'!$A$1:$L$1300,902,2+N$2)&lt;&gt;"",INDEX('×入力'!$A$1:$L$1300,903+N$3,1)&lt;&gt;""),1,0),0)</f>
        <v/>
      </c>
      <c r="O42">
        <f>IF(O$4=1,IF(OR(INDEX('×入力'!$A$1:$L$1300,903+O$3,2+O$2)&lt;&gt;"",INDEX('×入力'!$A$1:$L$1300,902,2+O$2)&lt;&gt;"",INDEX('×入力'!$A$1:$L$1300,903+O$3,1)&lt;&gt;""),1,0),0)</f>
        <v/>
      </c>
      <c r="P42">
        <f>IF(P$4=1,IF(OR(INDEX('×入力'!$A$1:$L$1300,903+P$3,2+P$2)&lt;&gt;"",INDEX('×入力'!$A$1:$L$1300,902,2+P$2)&lt;&gt;"",INDEX('×入力'!$A$1:$L$1300,903+P$3,1)&lt;&gt;""),1,0),0)</f>
        <v/>
      </c>
      <c r="Q42">
        <f>IF(Q$4=1,IF(OR(INDEX('×入力'!$A$1:$L$1300,903+Q$3,2+Q$2)&lt;&gt;"",INDEX('×入力'!$A$1:$L$1300,902,2+Q$2)&lt;&gt;"",INDEX('×入力'!$A$1:$L$1300,903+Q$3,1)&lt;&gt;""),1,0),0)</f>
        <v/>
      </c>
      <c r="R42">
        <f>IF(R$4=1,IF(OR(INDEX('×入力'!$A$1:$L$1300,903+R$3,2+R$2)&lt;&gt;"",INDEX('×入力'!$A$1:$L$1300,902,2+R$2)&lt;&gt;"",INDEX('×入力'!$A$1:$L$1300,903+R$3,1)&lt;&gt;""),1,0),0)</f>
        <v/>
      </c>
      <c r="S42">
        <f>IF(S$4=1,IF(OR(INDEX('×入力'!$A$1:$L$1300,903+S$3,2+S$2)&lt;&gt;"",INDEX('×入力'!$A$1:$L$1300,902,2+S$2)&lt;&gt;"",INDEX('×入力'!$A$1:$L$1300,903+S$3,1)&lt;&gt;""),1,0),0)</f>
        <v/>
      </c>
      <c r="T42">
        <f>IF(T$4=1,IF(OR(INDEX('×入力'!$A$1:$L$1300,903+T$3,2+T$2)&lt;&gt;"",INDEX('×入力'!$A$1:$L$1300,902,2+T$2)&lt;&gt;"",INDEX('×入力'!$A$1:$L$1300,903+T$3,1)&lt;&gt;""),1,0),0)</f>
        <v/>
      </c>
      <c r="U42">
        <f>IF(U$4=1,IF(OR(INDEX('×入力'!$A$1:$L$1300,903+U$3,2+U$2)&lt;&gt;"",INDEX('×入力'!$A$1:$L$1300,902,2+U$2)&lt;&gt;"",INDEX('×入力'!$A$1:$L$1300,903+U$3,1)&lt;&gt;""),1,0),0)</f>
        <v/>
      </c>
      <c r="V42">
        <f>IF(V$4=1,IF(OR(INDEX('×入力'!$A$1:$L$1300,903+V$3,2+V$2)&lt;&gt;"",INDEX('×入力'!$A$1:$L$1300,902,2+V$2)&lt;&gt;"",INDEX('×入力'!$A$1:$L$1300,903+V$3,1)&lt;&gt;""),1,0),0)</f>
        <v/>
      </c>
      <c r="W42">
        <f>IF(W$4=1,IF(OR(INDEX('×入力'!$A$1:$L$1300,903+W$3,2+W$2)&lt;&gt;"",INDEX('×入力'!$A$1:$L$1300,902,2+W$2)&lt;&gt;"",INDEX('×入力'!$A$1:$L$1300,903+W$3,1)&lt;&gt;""),1,0),0)</f>
        <v/>
      </c>
      <c r="X42">
        <f>IF(X$4=1,IF(OR(INDEX('×入力'!$A$1:$L$1300,903+X$3,2+X$2)&lt;&gt;"",INDEX('×入力'!$A$1:$L$1300,902,2+X$2)&lt;&gt;"",INDEX('×入力'!$A$1:$L$1300,903+X$3,1)&lt;&gt;""),1,0),0)</f>
        <v/>
      </c>
      <c r="Y42">
        <f>IF(Y$4=1,IF(OR(INDEX('×入力'!$A$1:$L$1300,903+Y$3,2+Y$2)&lt;&gt;"",INDEX('×入力'!$A$1:$L$1300,902,2+Y$2)&lt;&gt;"",INDEX('×入力'!$A$1:$L$1300,903+Y$3,1)&lt;&gt;""),1,0),0)</f>
        <v/>
      </c>
      <c r="Z42">
        <f>IF(Z$4=1,IF(OR(INDEX('×入力'!$A$1:$L$1300,903+Z$3,2+Z$2)&lt;&gt;"",INDEX('×入力'!$A$1:$L$1300,902,2+Z$2)&lt;&gt;"",INDEX('×入力'!$A$1:$L$1300,903+Z$3,1)&lt;&gt;""),1,0),0)</f>
        <v/>
      </c>
      <c r="AA42">
        <f>IF(AA$4=1,IF(OR(INDEX('×入力'!$A$1:$L$1300,903+AA$3,2+AA$2)&lt;&gt;"",INDEX('×入力'!$A$1:$L$1300,902,2+AA$2)&lt;&gt;"",INDEX('×入力'!$A$1:$L$1300,903+AA$3,1)&lt;&gt;""),1,0),0)</f>
        <v/>
      </c>
      <c r="AB42">
        <f>IF(AB$4=1,IF(OR(INDEX('×入力'!$A$1:$L$1300,903+AB$3,2+AB$2)&lt;&gt;"",INDEX('×入力'!$A$1:$L$1300,902,2+AB$2)&lt;&gt;"",INDEX('×入力'!$A$1:$L$1300,903+AB$3,1)&lt;&gt;""),1,0),0)</f>
        <v/>
      </c>
      <c r="AC42">
        <f>IF(AC$4=1,IF(OR(INDEX('×入力'!$A$1:$L$1300,903+AC$3,2+AC$2)&lt;&gt;"",INDEX('×入力'!$A$1:$L$1300,902,2+AC$2)&lt;&gt;"",INDEX('×入力'!$A$1:$L$1300,903+AC$3,1)&lt;&gt;""),1,0),0)</f>
        <v/>
      </c>
      <c r="AD42">
        <f>IF(AD$4=1,IF(OR(INDEX('×入力'!$A$1:$L$1300,903+AD$3,2+AD$2)&lt;&gt;"",INDEX('×入力'!$A$1:$L$1300,902,2+AD$2)&lt;&gt;"",INDEX('×入力'!$A$1:$L$1300,903+AD$3,1)&lt;&gt;""),1,0),0)</f>
        <v/>
      </c>
      <c r="AE42">
        <f>IF(AE$4=1,IF(OR(INDEX('×入力'!$A$1:$L$1300,903+AE$3,2+AE$2)&lt;&gt;"",INDEX('×入力'!$A$1:$L$1300,902,2+AE$2)&lt;&gt;"",INDEX('×入力'!$A$1:$L$1300,903+AE$3,1)&lt;&gt;""),1,0),0)</f>
        <v/>
      </c>
      <c r="AF42">
        <f>IF(AF$4=1,IF(OR(INDEX('×入力'!$A$1:$L$1300,903+AF$3,2+AF$2)&lt;&gt;"",INDEX('×入力'!$A$1:$L$1300,902,2+AF$2)&lt;&gt;"",INDEX('×入力'!$A$1:$L$1300,903+AF$3,1)&lt;&gt;""),1,0),0)</f>
        <v/>
      </c>
      <c r="AG42">
        <f>IF(AG$4=1,IF(OR(INDEX('×入力'!$A$1:$L$1300,903+AG$3,2+AG$2)&lt;&gt;"",INDEX('×入力'!$A$1:$L$1300,902,2+AG$2)&lt;&gt;"",INDEX('×入力'!$A$1:$L$1300,903+AG$3,1)&lt;&gt;""),1,0),0)</f>
        <v/>
      </c>
      <c r="AH42">
        <f>IF(AH$4=1,IF(OR(INDEX('×入力'!$A$1:$L$1300,903+AH$3,2+AH$2)&lt;&gt;"",INDEX('×入力'!$A$1:$L$1300,902,2+AH$2)&lt;&gt;"",INDEX('×入力'!$A$1:$L$1300,903+AH$3,1)&lt;&gt;""),1,0),0)</f>
        <v/>
      </c>
      <c r="AI42">
        <f>IF(AI$4=1,IF(OR(INDEX('×入力'!$A$1:$L$1300,903+AI$3,2+AI$2)&lt;&gt;"",INDEX('×入力'!$A$1:$L$1300,902,2+AI$2)&lt;&gt;"",INDEX('×入力'!$A$1:$L$1300,903+AI$3,1)&lt;&gt;""),1,0),0)</f>
        <v/>
      </c>
      <c r="AJ42">
        <f>IF(AJ$4=1,IF(OR(INDEX('×入力'!$A$1:$L$1300,903+AJ$3,2+AJ$2)&lt;&gt;"",INDEX('×入力'!$A$1:$L$1300,902,2+AJ$2)&lt;&gt;"",INDEX('×入力'!$A$1:$L$1300,903+AJ$3,1)&lt;&gt;""),1,0),0)</f>
        <v/>
      </c>
      <c r="AK42">
        <f>IF(AK$4=1,IF(OR(INDEX('×入力'!$A$1:$L$1300,903+AK$3,2+AK$2)&lt;&gt;"",INDEX('×入力'!$A$1:$L$1300,902,2+AK$2)&lt;&gt;"",INDEX('×入力'!$A$1:$L$1300,903+AK$3,1)&lt;&gt;""),1,0),0)</f>
        <v/>
      </c>
      <c r="AL42">
        <f>IF(AL$4=1,IF(OR(INDEX('×入力'!$A$1:$L$1300,903+AL$3,2+AL$2)&lt;&gt;"",INDEX('×入力'!$A$1:$L$1300,902,2+AL$2)&lt;&gt;"",INDEX('×入力'!$A$1:$L$1300,903+AL$3,1)&lt;&gt;""),1,0),0)</f>
        <v/>
      </c>
      <c r="AM42">
        <f>IF(AM$4=1,IF(OR(INDEX('×入力'!$A$1:$L$1300,903+AM$3,2+AM$2)&lt;&gt;"",INDEX('×入力'!$A$1:$L$1300,902,2+AM$2)&lt;&gt;"",INDEX('×入力'!$A$1:$L$1300,903+AM$3,1)&lt;&gt;""),1,0),0)</f>
        <v/>
      </c>
      <c r="AN42">
        <f>IF(AN$4=1,IF(OR(INDEX('×入力'!$A$1:$L$1300,903+AN$3,2+AN$2)&lt;&gt;"",INDEX('×入力'!$A$1:$L$1300,902,2+AN$2)&lt;&gt;"",INDEX('×入力'!$A$1:$L$1300,903+AN$3,1)&lt;&gt;""),1,0),0)</f>
        <v/>
      </c>
      <c r="AO42">
        <f>IF(AO$4=1,IF(OR(INDEX('×入力'!$A$1:$L$1300,903+AO$3,2+AO$2)&lt;&gt;"",INDEX('×入力'!$A$1:$L$1300,902,2+AO$2)&lt;&gt;"",INDEX('×入力'!$A$1:$L$1300,903+AO$3,1)&lt;&gt;""),1,0),0)</f>
        <v/>
      </c>
      <c r="AP42">
        <f>IF(AP$4=1,IF(OR(INDEX('×入力'!$A$1:$L$1300,903+AP$3,2+AP$2)&lt;&gt;"",INDEX('×入力'!$A$1:$L$1300,902,2+AP$2)&lt;&gt;"",INDEX('×入力'!$A$1:$L$1300,903+AP$3,1)&lt;&gt;""),1,0),0)</f>
        <v/>
      </c>
      <c r="AQ42">
        <f>IF(AQ$4=1,IF(OR(INDEX('×入力'!$A$1:$L$1300,903+AQ$3,2+AQ$2)&lt;&gt;"",INDEX('×入力'!$A$1:$L$1300,902,2+AQ$2)&lt;&gt;"",INDEX('×入力'!$A$1:$L$1300,903+AQ$3,1)&lt;&gt;""),1,0),0)</f>
        <v/>
      </c>
      <c r="AR42">
        <f>IF(AR$4=1,IF(OR(INDEX('×入力'!$A$1:$L$1300,903+AR$3,2+AR$2)&lt;&gt;"",INDEX('×入力'!$A$1:$L$1300,902,2+AR$2)&lt;&gt;"",INDEX('×入力'!$A$1:$L$1300,903+AR$3,1)&lt;&gt;""),1,0),0)</f>
        <v/>
      </c>
      <c r="AS42">
        <f>IF(AS$4=1,IF(OR(INDEX('×入力'!$A$1:$L$1300,903+AS$3,2+AS$2)&lt;&gt;"",INDEX('×入力'!$A$1:$L$1300,902,2+AS$2)&lt;&gt;"",INDEX('×入力'!$A$1:$L$1300,903+AS$3,1)&lt;&gt;""),1,0),0)</f>
        <v/>
      </c>
      <c r="AT42">
        <f>IF(AT$4=1,IF(OR(INDEX('×入力'!$A$1:$L$1300,903+AT$3,2+AT$2)&lt;&gt;"",INDEX('×入力'!$A$1:$L$1300,902,2+AT$2)&lt;&gt;"",INDEX('×入力'!$A$1:$L$1300,903+AT$3,1)&lt;&gt;""),1,0),0)</f>
        <v/>
      </c>
      <c r="AU42">
        <f>IF(AU$4=1,IF(OR(INDEX('×入力'!$A$1:$L$1300,903+AU$3,2+AU$2)&lt;&gt;"",INDEX('×入力'!$A$1:$L$1300,902,2+AU$2)&lt;&gt;"",INDEX('×入力'!$A$1:$L$1300,903+AU$3,1)&lt;&gt;""),1,0),0)</f>
        <v/>
      </c>
      <c r="AV42">
        <f>IF(AV$4=1,IF(OR(INDEX('×入力'!$A$1:$L$1300,903+AV$3,2+AV$2)&lt;&gt;"",INDEX('×入力'!$A$1:$L$1300,902,2+AV$2)&lt;&gt;"",INDEX('×入力'!$A$1:$L$1300,903+AV$3,1)&lt;&gt;""),1,0),0)</f>
        <v/>
      </c>
      <c r="AW42">
        <f>IF(AW$4=1,IF(OR(INDEX('×入力'!$A$1:$L$1300,903+AW$3,2+AW$2)&lt;&gt;"",INDEX('×入力'!$A$1:$L$1300,902,2+AW$2)&lt;&gt;"",INDEX('×入力'!$A$1:$L$1300,903+AW$3,1)&lt;&gt;""),1,0),0)</f>
        <v/>
      </c>
      <c r="AX42">
        <f>IF(AX$4=1,IF(OR(INDEX('×入力'!$A$1:$L$1300,903+AX$3,2+AX$2)&lt;&gt;"",INDEX('×入力'!$A$1:$L$1300,902,2+AX$2)&lt;&gt;"",INDEX('×入力'!$A$1:$L$1300,903+AX$3,1)&lt;&gt;""),1,0),0)</f>
        <v/>
      </c>
      <c r="AY42">
        <f>IF(AY$4=1,IF(OR(INDEX('×入力'!$A$1:$L$1300,903+AY$3,2+AY$2)&lt;&gt;"",INDEX('×入力'!$A$1:$L$1300,902,2+AY$2)&lt;&gt;"",INDEX('×入力'!$A$1:$L$1300,903+AY$3,1)&lt;&gt;""),1,0),0)</f>
        <v/>
      </c>
      <c r="AZ42">
        <f>IF(AZ$4=1,IF(OR(INDEX('×入力'!$A$1:$L$1300,903+AZ$3,2+AZ$2)&lt;&gt;"",INDEX('×入力'!$A$1:$L$1300,902,2+AZ$2)&lt;&gt;"",INDEX('×入力'!$A$1:$L$1300,903+AZ$3,1)&lt;&gt;""),1,0),0)</f>
        <v/>
      </c>
      <c r="BA42">
        <f>IF(BA$4=1,IF(OR(INDEX('×入力'!$A$1:$L$1300,903+BA$3,2+BA$2)&lt;&gt;"",INDEX('×入力'!$A$1:$L$1300,902,2+BA$2)&lt;&gt;"",INDEX('×入力'!$A$1:$L$1300,903+BA$3,1)&lt;&gt;""),1,0),0)</f>
        <v/>
      </c>
      <c r="BB42">
        <f>IF(BB$4=1,IF(OR(INDEX('×入力'!$A$1:$L$1300,903+BB$3,2+BB$2)&lt;&gt;"",INDEX('×入力'!$A$1:$L$1300,902,2+BB$2)&lt;&gt;"",INDEX('×入力'!$A$1:$L$1300,903+BB$3,1)&lt;&gt;""),1,0),0)</f>
        <v/>
      </c>
      <c r="BC42">
        <f>IF(BC$4=1,IF(OR(INDEX('×入力'!$A$1:$L$1300,903+BC$3,2+BC$2)&lt;&gt;"",INDEX('×入力'!$A$1:$L$1300,902,2+BC$2)&lt;&gt;"",INDEX('×入力'!$A$1:$L$1300,903+BC$3,1)&lt;&gt;""),1,0),0)</f>
        <v/>
      </c>
      <c r="BD42">
        <f>IF(BD$4=1,IF(OR(INDEX('×入力'!$A$1:$L$1300,903+BD$3,2+BD$2)&lt;&gt;"",INDEX('×入力'!$A$1:$L$1300,902,2+BD$2)&lt;&gt;"",INDEX('×入力'!$A$1:$L$1300,903+BD$3,1)&lt;&gt;""),1,0),0)</f>
        <v/>
      </c>
      <c r="BE42">
        <f>IF(BE$4=1,IF(OR(INDEX('×入力'!$A$1:$L$1300,903+BE$3,2+BE$2)&lt;&gt;"",INDEX('×入力'!$A$1:$L$1300,902,2+BE$2)&lt;&gt;"",INDEX('×入力'!$A$1:$L$1300,903+BE$3,1)&lt;&gt;""),1,0),0)</f>
        <v/>
      </c>
      <c r="BF42">
        <f>IF(BF$4=1,IF(OR(INDEX('×入力'!$A$1:$L$1300,903+BF$3,2+BF$2)&lt;&gt;"",INDEX('×入力'!$A$1:$L$1300,902,2+BF$2)&lt;&gt;"",INDEX('×入力'!$A$1:$L$1300,903+BF$3,1)&lt;&gt;""),1,0),0)</f>
        <v/>
      </c>
      <c r="BG42">
        <f>IF(BG$4=1,IF(OR(INDEX('×入力'!$A$1:$L$1300,903+BG$3,2+BG$2)&lt;&gt;"",INDEX('×入力'!$A$1:$L$1300,902,2+BG$2)&lt;&gt;"",INDEX('×入力'!$A$1:$L$1300,903+BG$3,1)&lt;&gt;""),1,0),0)</f>
        <v/>
      </c>
      <c r="BH42">
        <f>IF(BH$4=1,IF(OR(INDEX('×入力'!$A$1:$L$1300,903+BH$3,2+BH$2)&lt;&gt;"",INDEX('×入力'!$A$1:$L$1300,902,2+BH$2)&lt;&gt;"",INDEX('×入力'!$A$1:$L$1300,903+BH$3,1)&lt;&gt;""),1,0),0)</f>
        <v/>
      </c>
      <c r="BI42">
        <f>IF(BI$4=1,IF(OR(INDEX('×入力'!$A$1:$L$1300,903+BI$3,2+BI$2)&lt;&gt;"",INDEX('×入力'!$A$1:$L$1300,902,2+BI$2)&lt;&gt;"",INDEX('×入力'!$A$1:$L$1300,903+BI$3,1)&lt;&gt;""),1,0),0)</f>
        <v/>
      </c>
      <c r="BJ42">
        <f>IF(BJ$4=1,IF(OR(INDEX('×入力'!$A$1:$L$1300,903+BJ$3,2+BJ$2)&lt;&gt;"",INDEX('×入力'!$A$1:$L$1300,902,2+BJ$2)&lt;&gt;"",INDEX('×入力'!$A$1:$L$1300,903+BJ$3,1)&lt;&gt;""),1,0),0)</f>
        <v/>
      </c>
      <c r="BK42">
        <f>IF(BK$4=1,IF(OR(INDEX('×入力'!$A$1:$L$1300,903+BK$3,2+BK$2)&lt;&gt;"",INDEX('×入力'!$A$1:$L$1300,902,2+BK$2)&lt;&gt;"",INDEX('×入力'!$A$1:$L$1300,903+BK$3,1)&lt;&gt;""),1,0),0)</f>
        <v/>
      </c>
      <c r="BL42">
        <f>IF(BL$4=1,IF(OR(INDEX('×入力'!$A$1:$L$1300,903+BL$3,2+BL$2)&lt;&gt;"",INDEX('×入力'!$A$1:$L$1300,902,2+BL$2)&lt;&gt;"",INDEX('×入力'!$A$1:$L$1300,903+BL$3,1)&lt;&gt;""),1,0),0)</f>
        <v/>
      </c>
      <c r="BM42">
        <f>IF(BM$4=1,IF(OR(INDEX('×入力'!$A$1:$L$1300,903+BM$3,2+BM$2)&lt;&gt;"",INDEX('×入力'!$A$1:$L$1300,902,2+BM$2)&lt;&gt;"",INDEX('×入力'!$A$1:$L$1300,903+BM$3,1)&lt;&gt;""),1,0),0)</f>
        <v/>
      </c>
      <c r="BN42">
        <f>IF(BN$4=1,IF(OR(INDEX('×入力'!$A$1:$L$1300,903+BN$3,2+BN$2)&lt;&gt;"",INDEX('×入力'!$A$1:$L$1300,902,2+BN$2)&lt;&gt;"",INDEX('×入力'!$A$1:$L$1300,903+BN$3,1)&lt;&gt;""),1,0),0)</f>
        <v/>
      </c>
      <c r="BO42">
        <f>IF(BO$4=1,IF(OR(INDEX('×入力'!$A$1:$L$1300,903+BO$3,2+BO$2)&lt;&gt;"",INDEX('×入力'!$A$1:$L$1300,902,2+BO$2)&lt;&gt;"",INDEX('×入力'!$A$1:$L$1300,903+BO$3,1)&lt;&gt;""),1,0),0)</f>
        <v/>
      </c>
      <c r="BP42">
        <f>IF(BP$4=1,IF(OR(INDEX('×入力'!$A$1:$L$1300,903+BP$3,2+BP$2)&lt;&gt;"",INDEX('×入力'!$A$1:$L$1300,902,2+BP$2)&lt;&gt;"",INDEX('×入力'!$A$1:$L$1300,903+BP$3,1)&lt;&gt;""),1,0),0)</f>
        <v/>
      </c>
      <c r="BQ42">
        <f>IF(BQ$4=1,IF(OR(INDEX('×入力'!$A$1:$L$1300,903+BQ$3,2+BQ$2)&lt;&gt;"",INDEX('×入力'!$A$1:$L$1300,902,2+BQ$2)&lt;&gt;"",INDEX('×入力'!$A$1:$L$1300,903+BQ$3,1)&lt;&gt;""),1,0),0)</f>
        <v/>
      </c>
      <c r="BR42">
        <f>IF(BR$4=1,IF(OR(INDEX('×入力'!$A$1:$L$1300,903+BR$3,2+BR$2)&lt;&gt;"",INDEX('×入力'!$A$1:$L$1300,902,2+BR$2)&lt;&gt;"",INDEX('×入力'!$A$1:$L$1300,903+BR$3,1)&lt;&gt;""),1,0),0)</f>
        <v/>
      </c>
      <c r="BS42">
        <f>IF(BS$4=1,IF(OR(INDEX('×入力'!$A$1:$L$1300,903+BS$3,2+BS$2)&lt;&gt;"",INDEX('×入力'!$A$1:$L$1300,902,2+BS$2)&lt;&gt;"",INDEX('×入力'!$A$1:$L$1300,903+BS$3,1)&lt;&gt;""),1,0),0)</f>
        <v/>
      </c>
      <c r="BT42">
        <f>IF(BT$4=1,IF(OR(INDEX('×入力'!$A$1:$L$1300,903+BT$3,2+BT$2)&lt;&gt;"",INDEX('×入力'!$A$1:$L$1300,902,2+BT$2)&lt;&gt;"",INDEX('×入力'!$A$1:$L$1300,903+BT$3,1)&lt;&gt;""),1,0),0)</f>
        <v/>
      </c>
      <c r="BU42">
        <f>IF(BU$4=1,IF(OR(INDEX('×入力'!$A$1:$L$1300,903+BU$3,2+BU$2)&lt;&gt;"",INDEX('×入力'!$A$1:$L$1300,902,2+BU$2)&lt;&gt;"",INDEX('×入力'!$A$1:$L$1300,903+BU$3,1)&lt;&gt;""),1,0),0)</f>
        <v/>
      </c>
      <c r="BV42">
        <f>IF(BV$4=1,IF(OR(INDEX('×入力'!$A$1:$L$1300,903+BV$3,2+BV$2)&lt;&gt;"",INDEX('×入力'!$A$1:$L$1300,902,2+BV$2)&lt;&gt;"",INDEX('×入力'!$A$1:$L$1300,903+BV$3,1)&lt;&gt;""),1,0),0)</f>
        <v/>
      </c>
      <c r="BW42">
        <f>IF(BW$4=1,IF(OR(INDEX('×入力'!$A$1:$L$1300,903+BW$3,2+BW$2)&lt;&gt;"",INDEX('×入力'!$A$1:$L$1300,902,2+BW$2)&lt;&gt;"",INDEX('×入力'!$A$1:$L$1300,903+BW$3,1)&lt;&gt;""),1,0),0)</f>
        <v/>
      </c>
      <c r="BX42">
        <f>IF(BX$4=1,IF(OR(INDEX('×入力'!$A$1:$L$1300,903+BX$3,2+BX$2)&lt;&gt;"",INDEX('×入力'!$A$1:$L$1300,902,2+BX$2)&lt;&gt;"",INDEX('×入力'!$A$1:$L$1300,903+BX$3,1)&lt;&gt;""),1,0),0)</f>
        <v/>
      </c>
      <c r="BY42">
        <f>IF(BY$4=1,IF(OR(INDEX('×入力'!$A$1:$L$1300,903+BY$3,2+BY$2)&lt;&gt;"",INDEX('×入力'!$A$1:$L$1300,902,2+BY$2)&lt;&gt;"",INDEX('×入力'!$A$1:$L$1300,903+BY$3,1)&lt;&gt;""),1,0),0)</f>
        <v/>
      </c>
      <c r="BZ42">
        <f>IF(BZ$4=1,IF(OR(INDEX('×入力'!$A$1:$L$1300,903+BZ$3,2+BZ$2)&lt;&gt;"",INDEX('×入力'!$A$1:$L$1300,902,2+BZ$2)&lt;&gt;"",INDEX('×入力'!$A$1:$L$1300,903+BZ$3,1)&lt;&gt;""),1,0),0)</f>
        <v/>
      </c>
      <c r="CA42">
        <f>IF(CA$4=1,IF(OR(INDEX('×入力'!$A$1:$L$1300,903+CA$3,2+CA$2)&lt;&gt;"",INDEX('×入力'!$A$1:$L$1300,902,2+CA$2)&lt;&gt;"",INDEX('×入力'!$A$1:$L$1300,903+CA$3,1)&lt;&gt;""),1,0),0)</f>
        <v/>
      </c>
      <c r="CB42">
        <f>IF(CB$4=1,IF(OR(INDEX('×入力'!$A$1:$L$1300,903+CB$3,2+CB$2)&lt;&gt;"",INDEX('×入力'!$A$1:$L$1300,902,2+CB$2)&lt;&gt;"",INDEX('×入力'!$A$1:$L$1300,903+CB$3,1)&lt;&gt;""),1,0),0)</f>
        <v/>
      </c>
      <c r="CC42">
        <f>IF(CC$4=1,IF(OR(INDEX('×入力'!$A$1:$L$1300,903+CC$3,2+CC$2)&lt;&gt;"",INDEX('×入力'!$A$1:$L$1300,902,2+CC$2)&lt;&gt;"",INDEX('×入力'!$A$1:$L$1300,903+CC$3,1)&lt;&gt;""),1,0),0)</f>
        <v/>
      </c>
      <c r="CD42">
        <f>IF(CD$4=1,IF(OR(INDEX('×入力'!$A$1:$L$1300,903+CD$3,2+CD$2)&lt;&gt;"",INDEX('×入力'!$A$1:$L$1300,902,2+CD$2)&lt;&gt;"",INDEX('×入力'!$A$1:$L$1300,903+CD$3,1)&lt;&gt;""),1,0),0)</f>
        <v/>
      </c>
      <c r="CE42">
        <f>IF(CE$4=1,IF(OR(INDEX('×入力'!$A$1:$L$1300,903+CE$3,2+CE$2)&lt;&gt;"",INDEX('×入力'!$A$1:$L$1300,902,2+CE$2)&lt;&gt;"",INDEX('×入力'!$A$1:$L$1300,903+CE$3,1)&lt;&gt;""),1,0),0)</f>
        <v/>
      </c>
      <c r="CF42">
        <f>IF(CF$4=1,IF(OR(INDEX('×入力'!$A$1:$L$1300,903+CF$3,2+CF$2)&lt;&gt;"",INDEX('×入力'!$A$1:$L$1300,902,2+CF$2)&lt;&gt;"",INDEX('×入力'!$A$1:$L$1300,903+CF$3,1)&lt;&gt;""),1,0),0)</f>
        <v/>
      </c>
      <c r="CG42">
        <f>IF(CG$4=1,IF(OR(INDEX('×入力'!$A$1:$L$1300,903+CG$3,2+CG$2)&lt;&gt;"",INDEX('×入力'!$A$1:$L$1300,902,2+CG$2)&lt;&gt;"",INDEX('×入力'!$A$1:$L$1300,903+CG$3,1)&lt;&gt;""),1,0),0)</f>
        <v/>
      </c>
      <c r="CH42">
        <f>IF(CH$4=1,IF(OR(INDEX('×入力'!$A$1:$L$1300,903+CH$3,2+CH$2)&lt;&gt;"",INDEX('×入力'!$A$1:$L$1300,902,2+CH$2)&lt;&gt;"",INDEX('×入力'!$A$1:$L$1300,903+CH$3,1)&lt;&gt;""),1,0),0)</f>
        <v/>
      </c>
      <c r="CI42">
        <f>IF(CI$4=1,IF(OR(INDEX('×入力'!$A$1:$L$1300,903+CI$3,2+CI$2)&lt;&gt;"",INDEX('×入力'!$A$1:$L$1300,902,2+CI$2)&lt;&gt;"",INDEX('×入力'!$A$1:$L$1300,903+CI$3,1)&lt;&gt;""),1,0),0)</f>
        <v/>
      </c>
      <c r="CJ42">
        <f>IF(CJ$4=1,IF(OR(INDEX('×入力'!$A$1:$L$1300,903+CJ$3,2+CJ$2)&lt;&gt;"",INDEX('×入力'!$A$1:$L$1300,902,2+CJ$2)&lt;&gt;"",INDEX('×入力'!$A$1:$L$1300,903+CJ$3,1)&lt;&gt;""),1,0),0)</f>
        <v/>
      </c>
      <c r="CK42">
        <f>IF(CK$4=1,IF(OR(INDEX('×入力'!$A$1:$L$1300,903+CK$3,2+CK$2)&lt;&gt;"",INDEX('×入力'!$A$1:$L$1300,902,2+CK$2)&lt;&gt;"",INDEX('×入力'!$A$1:$L$1300,903+CK$3,1)&lt;&gt;""),1,0),0)</f>
        <v/>
      </c>
      <c r="CL42">
        <f>IF(CL$4=1,IF(OR(INDEX('×入力'!$A$1:$L$1300,903+CL$3,2+CL$2)&lt;&gt;"",INDEX('×入力'!$A$1:$L$1300,902,2+CL$2)&lt;&gt;"",INDEX('×入力'!$A$1:$L$1300,903+CL$3,1)&lt;&gt;""),1,0),0)</f>
        <v/>
      </c>
      <c r="CM42">
        <f>IF(CM$4=1,IF(OR(INDEX('×入力'!$A$1:$L$1300,903+CM$3,2+CM$2)&lt;&gt;"",INDEX('×入力'!$A$1:$L$1300,902,2+CM$2)&lt;&gt;"",INDEX('×入力'!$A$1:$L$1300,903+CM$3,1)&lt;&gt;""),1,0),0)</f>
        <v/>
      </c>
      <c r="CN42">
        <f>IF(CN$4=1,IF(OR(INDEX('×入力'!$A$1:$L$1300,903+CN$3,2+CN$2)&lt;&gt;"",INDEX('×入力'!$A$1:$L$1300,902,2+CN$2)&lt;&gt;"",INDEX('×入力'!$A$1:$L$1300,903+CN$3,1)&lt;&gt;""),1,0),0)</f>
        <v/>
      </c>
      <c r="CO42">
        <f>IF(CO$4=1,IF(OR(INDEX('×入力'!$A$1:$L$1300,903+CO$3,2+CO$2)&lt;&gt;"",INDEX('×入力'!$A$1:$L$1300,902,2+CO$2)&lt;&gt;"",INDEX('×入力'!$A$1:$L$1300,903+CO$3,1)&lt;&gt;""),1,0),0)</f>
        <v/>
      </c>
      <c r="CP42">
        <f>IF(CP$4=1,IF(OR(INDEX('×入力'!$A$1:$L$1300,903+CP$3,2+CP$2)&lt;&gt;"",INDEX('×入力'!$A$1:$L$1300,902,2+CP$2)&lt;&gt;"",INDEX('×入力'!$A$1:$L$1300,903+CP$3,1)&lt;&gt;""),1,0),0)</f>
        <v/>
      </c>
      <c r="CQ42">
        <f>IF(CQ$4=1,IF(OR(INDEX('×入力'!$A$1:$L$1300,903+CQ$3,2+CQ$2)&lt;&gt;"",INDEX('×入力'!$A$1:$L$1300,902,2+CQ$2)&lt;&gt;"",INDEX('×入力'!$A$1:$L$1300,903+CQ$3,1)&lt;&gt;""),1,0),0)</f>
        <v/>
      </c>
      <c r="CR42">
        <f>IF(CR$4=1,IF(OR(INDEX('×入力'!$A$1:$L$1300,903+CR$3,2+CR$2)&lt;&gt;"",INDEX('×入力'!$A$1:$L$1300,902,2+CR$2)&lt;&gt;"",INDEX('×入力'!$A$1:$L$1300,903+CR$3,1)&lt;&gt;""),1,0),0)</f>
        <v/>
      </c>
      <c r="CS42">
        <f>IF(CS$4=1,IF(OR(INDEX('×入力'!$A$1:$L$1300,903+CS$3,2+CS$2)&lt;&gt;"",INDEX('×入力'!$A$1:$L$1300,902,2+CS$2)&lt;&gt;"",INDEX('×入力'!$A$1:$L$1300,903+CS$3,1)&lt;&gt;""),1,0),0)</f>
        <v/>
      </c>
      <c r="CT42">
        <f>IF(CT$4=1,IF(OR(INDEX('×入力'!$A$1:$L$1300,903+CT$3,2+CT$2)&lt;&gt;"",INDEX('×入力'!$A$1:$L$1300,902,2+CT$2)&lt;&gt;"",INDEX('×入力'!$A$1:$L$1300,903+CT$3,1)&lt;&gt;""),1,0),0)</f>
        <v/>
      </c>
      <c r="CU42">
        <f>IF(CU$4=1,IF(OR(INDEX('×入力'!$A$1:$L$1300,903+CU$3,2+CU$2)&lt;&gt;"",INDEX('×入力'!$A$1:$L$1300,902,2+CU$2)&lt;&gt;"",INDEX('×入力'!$A$1:$L$1300,903+CU$3,1)&lt;&gt;""),1,0),0)</f>
        <v/>
      </c>
      <c r="CV42">
        <f>IF(CV$4=1,IF(OR(INDEX('×入力'!$A$1:$L$1300,903+CV$3,2+CV$2)&lt;&gt;"",INDEX('×入力'!$A$1:$L$1300,902,2+CV$2)&lt;&gt;"",INDEX('×入力'!$A$1:$L$1300,903+CV$3,1)&lt;&gt;""),1,0),0)</f>
        <v/>
      </c>
      <c r="CW42">
        <f>IF(CW$4=1,IF(OR(INDEX('×入力'!$A$1:$L$1300,903+CW$3,2+CW$2)&lt;&gt;"",INDEX('×入力'!$A$1:$L$1300,902,2+CW$2)&lt;&gt;"",INDEX('×入力'!$A$1:$L$1300,903+CW$3,1)&lt;&gt;""),1,0),0)</f>
        <v/>
      </c>
      <c r="CX42">
        <f>IF(CX$4=1,IF(OR(INDEX('×入力'!$A$1:$L$1300,903+CX$3,2+CX$2)&lt;&gt;"",INDEX('×入力'!$A$1:$L$1300,902,2+CX$2)&lt;&gt;"",INDEX('×入力'!$A$1:$L$1300,903+CX$3,1)&lt;&gt;""),1,0),0)</f>
        <v/>
      </c>
      <c r="CY42">
        <f>IF(CY$4=1,IF(OR(INDEX('×入力'!$A$1:$L$1300,903+CY$3,2+CY$2)&lt;&gt;"",INDEX('×入力'!$A$1:$L$1300,902,2+CY$2)&lt;&gt;"",INDEX('×入力'!$A$1:$L$1300,903+CY$3,1)&lt;&gt;""),1,0),0)</f>
        <v/>
      </c>
      <c r="CZ42">
        <f>IF(CZ$4=1,IF(OR(INDEX('×入力'!$A$1:$L$1300,903+CZ$3,2+CZ$2)&lt;&gt;"",INDEX('×入力'!$A$1:$L$1300,902,2+CZ$2)&lt;&gt;"",INDEX('×入力'!$A$1:$L$1300,903+CZ$3,1)&lt;&gt;""),1,0),0)</f>
        <v/>
      </c>
      <c r="DA42">
        <f>IF(DA$4=1,IF(OR(INDEX('×入力'!$A$1:$L$1300,903+DA$3,2+DA$2)&lt;&gt;"",INDEX('×入力'!$A$1:$L$1300,902,2+DA$2)&lt;&gt;"",INDEX('×入力'!$A$1:$L$1300,903+DA$3,1)&lt;&gt;""),1,0),0)</f>
        <v/>
      </c>
      <c r="DB42">
        <f>IF(DB$4=1,IF(OR(INDEX('×入力'!$A$1:$L$1300,903+DB$3,2+DB$2)&lt;&gt;"",INDEX('×入力'!$A$1:$L$1300,902,2+DB$2)&lt;&gt;"",INDEX('×入力'!$A$1:$L$1300,903+DB$3,1)&lt;&gt;""),1,0),0)</f>
        <v/>
      </c>
      <c r="DC42">
        <f>IF(DC$4=1,IF(OR(INDEX('×入力'!$A$1:$L$1300,903+DC$3,2+DC$2)&lt;&gt;"",INDEX('×入力'!$A$1:$L$1300,902,2+DC$2)&lt;&gt;"",INDEX('×入力'!$A$1:$L$1300,903+DC$3,1)&lt;&gt;""),1,0),0)</f>
        <v/>
      </c>
      <c r="DD42">
        <f>IF(DD$4=1,IF(OR(INDEX('×入力'!$A$1:$L$1300,903+DD$3,2+DD$2)&lt;&gt;"",INDEX('×入力'!$A$1:$L$1300,902,2+DD$2)&lt;&gt;"",INDEX('×入力'!$A$1:$L$1300,903+DD$3,1)&lt;&gt;""),1,0),0)</f>
        <v/>
      </c>
      <c r="DE42">
        <f>IF(DE$4=1,IF(OR(INDEX('×入力'!$A$1:$L$1300,903+DE$3,2+DE$2)&lt;&gt;"",INDEX('×入力'!$A$1:$L$1300,902,2+DE$2)&lt;&gt;"",INDEX('×入力'!$A$1:$L$1300,903+DE$3,1)&lt;&gt;""),1,0),0)</f>
        <v/>
      </c>
      <c r="DF42">
        <f>IF(DF$4=1,IF(OR(INDEX('×入力'!$A$1:$L$1300,903+DF$3,2+DF$2)&lt;&gt;"",INDEX('×入力'!$A$1:$L$1300,902,2+DF$2)&lt;&gt;"",INDEX('×入力'!$A$1:$L$1300,903+DF$3,1)&lt;&gt;""),1,0),0)</f>
        <v/>
      </c>
      <c r="DG42">
        <f>IF(DG$4=1,IF(OR(INDEX('×入力'!$A$1:$L$1300,903+DG$3,2+DG$2)&lt;&gt;"",INDEX('×入力'!$A$1:$L$1300,902,2+DG$2)&lt;&gt;"",INDEX('×入力'!$A$1:$L$1300,903+DG$3,1)&lt;&gt;""),1,0),0)</f>
        <v/>
      </c>
      <c r="DH42">
        <f>IF(DH$4=1,IF(OR(INDEX('×入力'!$A$1:$L$1300,903+DH$3,2+DH$2)&lt;&gt;"",INDEX('×入力'!$A$1:$L$1300,902,2+DH$2)&lt;&gt;"",INDEX('×入力'!$A$1:$L$1300,903+DH$3,1)&lt;&gt;""),1,0),0)</f>
        <v/>
      </c>
      <c r="DI42">
        <f>IF(DI$4=1,IF(OR(INDEX('×入力'!$A$1:$L$1300,903+DI$3,2+DI$2)&lt;&gt;"",INDEX('×入力'!$A$1:$L$1300,902,2+DI$2)&lt;&gt;"",INDEX('×入力'!$A$1:$L$1300,903+DI$3,1)&lt;&gt;""),1,0),0)</f>
        <v/>
      </c>
      <c r="DJ42">
        <f>IF(DJ$4=1,IF(OR(INDEX('×入力'!$A$1:$L$1300,903+DJ$3,2+DJ$2)&lt;&gt;"",INDEX('×入力'!$A$1:$L$1300,902,2+DJ$2)&lt;&gt;"",INDEX('×入力'!$A$1:$L$1300,903+DJ$3,1)&lt;&gt;""),1,0),0)</f>
        <v/>
      </c>
      <c r="DK42">
        <f>IF(DK$4=1,IF(OR(INDEX('×入力'!$A$1:$L$1300,903+DK$3,2+DK$2)&lt;&gt;"",INDEX('×入力'!$A$1:$L$1300,902,2+DK$2)&lt;&gt;"",INDEX('×入力'!$A$1:$L$1300,903+DK$3,1)&lt;&gt;""),1,0),0)</f>
        <v/>
      </c>
      <c r="DL42">
        <f>IF(DL$4=1,IF(OR(INDEX('×入力'!$A$1:$L$1300,903+DL$3,2+DL$2)&lt;&gt;"",INDEX('×入力'!$A$1:$L$1300,902,2+DL$2)&lt;&gt;"",INDEX('×入力'!$A$1:$L$1300,903+DL$3,1)&lt;&gt;""),1,0),0)</f>
        <v/>
      </c>
      <c r="DM42">
        <f>IF(DM$4=1,IF(OR(INDEX('×入力'!$A$1:$L$1300,903+DM$3,2+DM$2)&lt;&gt;"",INDEX('×入力'!$A$1:$L$1300,902,2+DM$2)&lt;&gt;"",INDEX('×入力'!$A$1:$L$1300,903+DM$3,1)&lt;&gt;""),1,0),0)</f>
        <v/>
      </c>
      <c r="DN42">
        <f>IF(DN$4=1,IF(OR(INDEX('×入力'!$A$1:$L$1300,903+DN$3,2+DN$2)&lt;&gt;"",INDEX('×入力'!$A$1:$L$1300,902,2+DN$2)&lt;&gt;"",INDEX('×入力'!$A$1:$L$1300,903+DN$3,1)&lt;&gt;""),1,0),0)</f>
        <v/>
      </c>
      <c r="DO42">
        <f>IF(DO$4=1,IF(OR(INDEX('×入力'!$A$1:$L$1300,903+DO$3,2+DO$2)&lt;&gt;"",INDEX('×入力'!$A$1:$L$1300,902,2+DO$2)&lt;&gt;"",INDEX('×入力'!$A$1:$L$1300,903+DO$3,1)&lt;&gt;""),1,0),0)</f>
        <v/>
      </c>
      <c r="DP42">
        <f>IF(DP$4=1,IF(OR(INDEX('×入力'!$A$1:$L$1300,903+DP$3,2+DP$2)&lt;&gt;"",INDEX('×入力'!$A$1:$L$1300,902,2+DP$2)&lt;&gt;"",INDEX('×入力'!$A$1:$L$1300,903+DP$3,1)&lt;&gt;""),1,0),0)</f>
        <v/>
      </c>
      <c r="DQ42">
        <f>IF(DQ$4=1,IF(OR(INDEX('×入力'!$A$1:$L$1300,903+DQ$3,2+DQ$2)&lt;&gt;"",INDEX('×入力'!$A$1:$L$1300,902,2+DQ$2)&lt;&gt;"",INDEX('×入力'!$A$1:$L$1300,903+DQ$3,1)&lt;&gt;""),1,0),0)</f>
        <v/>
      </c>
      <c r="DR42">
        <f>IF(DR$4=1,IF(OR(INDEX('×入力'!$A$1:$L$1300,903+DR$3,2+DR$2)&lt;&gt;"",INDEX('×入力'!$A$1:$L$1300,902,2+DR$2)&lt;&gt;"",INDEX('×入力'!$A$1:$L$1300,903+DR$3,1)&lt;&gt;""),1,0),0)</f>
        <v/>
      </c>
      <c r="DS42">
        <f>IF(DS$4=1,IF(OR(INDEX('×入力'!$A$1:$L$1300,903+DS$3,2+DS$2)&lt;&gt;"",INDEX('×入力'!$A$1:$L$1300,902,2+DS$2)&lt;&gt;"",INDEX('×入力'!$A$1:$L$1300,903+DS$3,1)&lt;&gt;""),1,0),0)</f>
        <v/>
      </c>
      <c r="DT42">
        <f>IF(DT$4=1,IF(OR(INDEX('×入力'!$A$1:$L$1300,903+DT$3,2+DT$2)&lt;&gt;"",INDEX('×入力'!$A$1:$L$1300,902,2+DT$2)&lt;&gt;"",INDEX('×入力'!$A$1:$L$1300,903+DT$3,1)&lt;&gt;""),1,0),0)</f>
        <v/>
      </c>
      <c r="DU42">
        <f>IF(DU$4=1,IF(OR(INDEX('×入力'!$A$1:$L$1300,903+DU$3,2+DU$2)&lt;&gt;"",INDEX('×入力'!$A$1:$L$1300,902,2+DU$2)&lt;&gt;"",INDEX('×入力'!$A$1:$L$1300,903+DU$3,1)&lt;&gt;""),1,0),0)</f>
        <v/>
      </c>
      <c r="DV42">
        <f>IF(DV$4=1,IF(OR(INDEX('×入力'!$A$1:$L$1300,903+DV$3,2+DV$2)&lt;&gt;"",INDEX('×入力'!$A$1:$L$1300,902,2+DV$2)&lt;&gt;"",INDEX('×入力'!$A$1:$L$1300,903+DV$3,1)&lt;&gt;""),1,0),0)</f>
        <v/>
      </c>
      <c r="DW42">
        <f>IF(DW$4=1,IF(OR(INDEX('×入力'!$A$1:$L$1300,903+DW$3,2+DW$2)&lt;&gt;"",INDEX('×入力'!$A$1:$L$1300,902,2+DW$2)&lt;&gt;"",INDEX('×入力'!$A$1:$L$1300,903+DW$3,1)&lt;&gt;""),1,0),0)</f>
        <v/>
      </c>
      <c r="DX42">
        <f>IF(DX$4=1,IF(OR(INDEX('×入力'!$A$1:$L$1300,903+DX$3,2+DX$2)&lt;&gt;"",INDEX('×入力'!$A$1:$L$1300,902,2+DX$2)&lt;&gt;"",INDEX('×入力'!$A$1:$L$1300,903+DX$3,1)&lt;&gt;""),1,0),0)</f>
        <v/>
      </c>
      <c r="DY42">
        <f>IF(DY$4=1,IF(OR(INDEX('×入力'!$A$1:$L$1300,903+DY$3,2+DY$2)&lt;&gt;"",INDEX('×入力'!$A$1:$L$1300,902,2+DY$2)&lt;&gt;"",INDEX('×入力'!$A$1:$L$1300,903+DY$3,1)&lt;&gt;""),1,0),0)</f>
        <v/>
      </c>
      <c r="DZ42">
        <f>IF(DZ$4=1,IF(OR(INDEX('×入力'!$A$1:$L$1300,903+DZ$3,2+DZ$2)&lt;&gt;"",INDEX('×入力'!$A$1:$L$1300,902,2+DZ$2)&lt;&gt;"",INDEX('×入力'!$A$1:$L$1300,903+DZ$3,1)&lt;&gt;""),1,0),0)</f>
        <v/>
      </c>
      <c r="EA42">
        <f>IF(EA$4=1,IF(OR(INDEX('×入力'!$A$1:$L$1300,903+EA$3,2+EA$2)&lt;&gt;"",INDEX('×入力'!$A$1:$L$1300,902,2+EA$2)&lt;&gt;"",INDEX('×入力'!$A$1:$L$1300,903+EA$3,1)&lt;&gt;""),1,0),0)</f>
        <v/>
      </c>
      <c r="EB42">
        <f>IF(EB$4=1,IF(OR(INDEX('×入力'!$A$1:$L$1300,903+EB$3,2+EB$2)&lt;&gt;"",INDEX('×入力'!$A$1:$L$1300,902,2+EB$2)&lt;&gt;"",INDEX('×入力'!$A$1:$L$1300,903+EB$3,1)&lt;&gt;""),1,0),0)</f>
        <v/>
      </c>
      <c r="EC42">
        <f>IF(EC$4=1,IF(OR(INDEX('×入力'!$A$1:$L$1300,903+EC$3,2+EC$2)&lt;&gt;"",INDEX('×入力'!$A$1:$L$1300,902,2+EC$2)&lt;&gt;"",INDEX('×入力'!$A$1:$L$1300,903+EC$3,1)&lt;&gt;""),1,0),0)</f>
        <v/>
      </c>
      <c r="ED42">
        <f>IF(ED$4=1,IF(OR(INDEX('×入力'!$A$1:$L$1300,903+ED$3,2+ED$2)&lt;&gt;"",INDEX('×入力'!$A$1:$L$1300,902,2+ED$2)&lt;&gt;"",INDEX('×入力'!$A$1:$L$1300,903+ED$3,1)&lt;&gt;""),1,0),0)</f>
        <v/>
      </c>
      <c r="EE42">
        <f>IF(EE$4=1,IF(OR(INDEX('×入力'!$A$1:$L$1300,903+EE$3,2+EE$2)&lt;&gt;"",INDEX('×入力'!$A$1:$L$1300,902,2+EE$2)&lt;&gt;"",INDEX('×入力'!$A$1:$L$1300,903+EE$3,1)&lt;&gt;""),1,0),0)</f>
        <v/>
      </c>
      <c r="EF42">
        <f>IF(EF$4=1,IF(OR(INDEX('×入力'!$A$1:$L$1300,903+EF$3,2+EF$2)&lt;&gt;"",INDEX('×入力'!$A$1:$L$1300,902,2+EF$2)&lt;&gt;"",INDEX('×入力'!$A$1:$L$1300,903+EF$3,1)&lt;&gt;""),1,0),0)</f>
        <v/>
      </c>
      <c r="EG42">
        <f>IF(EG$4=1,IF(OR(INDEX('×入力'!$A$1:$L$1300,903+EG$3,2+EG$2)&lt;&gt;"",INDEX('×入力'!$A$1:$L$1300,902,2+EG$2)&lt;&gt;"",INDEX('×入力'!$A$1:$L$1300,903+EG$3,1)&lt;&gt;""),1,0),0)</f>
        <v/>
      </c>
      <c r="EH42">
        <f>IF(EH$4=1,IF(OR(INDEX('×入力'!$A$1:$L$1300,903+EH$3,2+EH$2)&lt;&gt;"",INDEX('×入力'!$A$1:$L$1300,902,2+EH$2)&lt;&gt;"",INDEX('×入力'!$A$1:$L$1300,903+EH$3,1)&lt;&gt;""),1,0),0)</f>
        <v/>
      </c>
      <c r="EI42">
        <f>IF(EI$4=1,IF(OR(INDEX('×入力'!$A$1:$L$1300,903+EI$3,2+EI$2)&lt;&gt;"",INDEX('×入力'!$A$1:$L$1300,902,2+EI$2)&lt;&gt;"",INDEX('×入力'!$A$1:$L$1300,903+EI$3,1)&lt;&gt;""),1,0),0)</f>
        <v/>
      </c>
      <c r="EJ42">
        <f>IF(EJ$4=1,IF(OR(INDEX('×入力'!$A$1:$L$1300,903+EJ$3,2+EJ$2)&lt;&gt;"",INDEX('×入力'!$A$1:$L$1300,902,2+EJ$2)&lt;&gt;"",INDEX('×入力'!$A$1:$L$1300,903+EJ$3,1)&lt;&gt;""),1,0),0)</f>
        <v/>
      </c>
      <c r="EK42">
        <f>IF(EK$4=1,IF(OR(INDEX('×入力'!$A$1:$L$1300,903+EK$3,2+EK$2)&lt;&gt;"",INDEX('×入力'!$A$1:$L$1300,902,2+EK$2)&lt;&gt;"",INDEX('×入力'!$A$1:$L$1300,903+EK$3,1)&lt;&gt;""),1,0),0)</f>
        <v/>
      </c>
      <c r="EL42">
        <f>IF(EL$4=1,IF(OR(INDEX('×入力'!$A$1:$L$1300,903+EL$3,2+EL$2)&lt;&gt;"",INDEX('×入力'!$A$1:$L$1300,902,2+EL$2)&lt;&gt;"",INDEX('×入力'!$A$1:$L$1300,903+EL$3,1)&lt;&gt;""),1,0),0)</f>
        <v/>
      </c>
      <c r="EM42">
        <f>IF(EM$4=1,IF(OR(INDEX('×入力'!$A$1:$L$1300,903+EM$3,2+EM$2)&lt;&gt;"",INDEX('×入力'!$A$1:$L$1300,902,2+EM$2)&lt;&gt;"",INDEX('×入力'!$A$1:$L$1300,903+EM$3,1)&lt;&gt;""),1,0),0)</f>
        <v/>
      </c>
      <c r="EN42">
        <f>IF(EN$4=1,IF(OR(INDEX('×入力'!$A$1:$L$1300,903+EN$3,2+EN$2)&lt;&gt;"",INDEX('×入力'!$A$1:$L$1300,902,2+EN$2)&lt;&gt;"",INDEX('×入力'!$A$1:$L$1300,903+EN$3,1)&lt;&gt;""),1,0),0)</f>
        <v/>
      </c>
      <c r="EO42">
        <f>IF(EO$4=1,IF(OR(INDEX('×入力'!$A$1:$L$1300,903+EO$3,2+EO$2)&lt;&gt;"",INDEX('×入力'!$A$1:$L$1300,902,2+EO$2)&lt;&gt;"",INDEX('×入力'!$A$1:$L$1300,903+EO$3,1)&lt;&gt;""),1,0),0)</f>
        <v/>
      </c>
      <c r="EP42">
        <f>IF(EP$4=1,IF(OR(INDEX('×入力'!$A$1:$L$1300,903+EP$3,2+EP$2)&lt;&gt;"",INDEX('×入力'!$A$1:$L$1300,902,2+EP$2)&lt;&gt;"",INDEX('×入力'!$A$1:$L$1300,903+EP$3,1)&lt;&gt;""),1,0),0)</f>
        <v/>
      </c>
      <c r="EQ42">
        <f>IF(EQ$4=1,IF(OR(INDEX('×入力'!$A$1:$L$1300,903+EQ$3,2+EQ$2)&lt;&gt;"",INDEX('×入力'!$A$1:$L$1300,902,2+EQ$2)&lt;&gt;"",INDEX('×入力'!$A$1:$L$1300,903+EQ$3,1)&lt;&gt;""),1,0),0)</f>
        <v/>
      </c>
      <c r="HA42">
        <f>MAX(0,IT42)</f>
        <v/>
      </c>
      <c r="HB42">
        <f>IF(HA42=0,0,INDEX($D$2:$EQ$2,HA42))</f>
        <v/>
      </c>
      <c r="HC42">
        <f>IF(HA42=0,0,INDEX($D$3:$EQ$3,HA42))</f>
        <v/>
      </c>
      <c r="HD42">
        <f>MAX(0,IY42)</f>
        <v/>
      </c>
      <c r="HE42">
        <f>IF(HD42=0,0,INDEX($D$2:$EQ$2,HD42))</f>
        <v/>
      </c>
      <c r="HF42">
        <f>IF(HD42=0,0,INDEX($D$3:$EQ$3,HD42))</f>
        <v/>
      </c>
      <c r="HG42">
        <f>MAX(0,IZ42)</f>
        <v/>
      </c>
      <c r="HH42">
        <f>IF(HG42=0,0,INDEX($D$2:$EQ$2,HG42))</f>
        <v/>
      </c>
      <c r="HI42">
        <f>IF(HG42=0,0,INDEX($D$3:$EQ$3,HG42))</f>
        <v/>
      </c>
      <c r="HJ42">
        <f>IF(AND(HA42&gt;0,HC42&gt;1,OR(HC42-1&lt;&gt;$A$3,$A$4=0)),HA42-1,-1)</f>
        <v/>
      </c>
      <c r="HK42">
        <f>IF(AND(HA42&gt;0,HC42&lt;24,OR(HC42&lt;&gt;$A$3,$A$4=0)),HA42+1,-1)</f>
        <v/>
      </c>
      <c r="HL42">
        <f>IF(AND(HD42&gt;0,HF42&gt;1,OR(HF42-1&lt;&gt;$A$3,$A$4=0)),HD42-1,-1)</f>
        <v/>
      </c>
      <c r="HM42">
        <f>IF(AND(HD42&gt;0,HF42&lt;24,OR(HF42&lt;&gt;$A$3,$A$4=0)),HD42+1,-1)</f>
        <v/>
      </c>
      <c r="HN42">
        <f>IF(AND(HG42&gt;0,HI42&gt;1,OR(HI42-1&lt;&gt;$A$3,$A$4=0)),HG42-1,-1)</f>
        <v/>
      </c>
      <c r="HO42">
        <f>IF(AND(HG42&gt;0,HI42&lt;24,OR(HI42&lt;&gt;$A$3,$A$4=0)),HG42+1,-1)</f>
        <v/>
      </c>
      <c r="IK42">
        <f>IFERROR(INDEX('calcB'!$C$3:$C$47,MATCH(A42,'calcB'!$B$3:$B$47,0)),0)</f>
        <v/>
      </c>
      <c r="IL42">
        <f>IF(AND(C42=1,IK42=0,calcA!$A$6=1),1,0)</f>
        <v/>
      </c>
      <c r="IM42">
        <f>SUMPRODUCT(D92:EQ92*(1-$D$7:$EQ$7))</f>
        <v/>
      </c>
      <c r="IN42">
        <f>SUM(D42:EQ42)</f>
        <v/>
      </c>
      <c r="IO42">
        <f>IF(B42="",0,IF(COUNTIF('調整・決定'!$C$6:$H$29,B42)=1,SUMPRODUCT(('調整・決定'!$C$6:$H$29=B42)*((COLUMN('調整・決定'!$C$6:$H$29)-3)*24+ROW('調整・決定'!$C$6:$H$29)-5)),0))</f>
        <v/>
      </c>
      <c r="IP42">
        <f>IFERROR(MATCH('名簿'!C37,{"早い時刻","遅い時刻","早い日","遅い日"},0),0)</f>
        <v/>
      </c>
      <c r="IQ42">
        <f>IF('名簿'!D37="必ず空けたい",2,IF('名簿'!D37="出来れば空けたい",1,0))</f>
        <v/>
      </c>
      <c r="IR42">
        <f>IFERROR(INDEX('calcC'!$C$3:$C$47,MATCH(A42,'calcC'!$B$3:$B$47,0)),0)</f>
        <v/>
      </c>
      <c r="IS42">
        <f>IF(AND(C42=1,IR42=0,calcA!$A$6=1),1,0)</f>
        <v/>
      </c>
      <c r="IT42">
        <f>IF(OR('名簿'!G37="",'名簿'!H37=""),0,IFERROR((MATCH('名簿'!G37,'設定'!$E$11:$E$16,0)-1)*24+MATCH('名簿'!H37,'設定'!$I$11:$I$34,0),-1))</f>
        <v/>
      </c>
      <c r="IV42">
        <f>IF(OR(JF42=0,IO42=0),1,IF(OR(IF(IT42&gt;0,AND(INDEX($D$2:$EQ$2,IO42)=INDEX($D$2:$EQ$2,IT42),OR(AND(IO42=IT42+1,OR(INDEX($D$3:$EQ$3,IT42)&lt;&gt;$A$3,$A$4=0)),AND(IO42=IT42-1,OR(INDEX($D$3:$EQ$3,IO42)&lt;&gt;$A$3,$A$4=0)))),FALSE),IF(IY42&gt;0,AND(INDEX($D$2:$EQ$2,IO42)=INDEX($D$2:$EQ$2,IY42),OR(AND(IO42=IY42+1,OR(INDEX($D$3:$EQ$3,IY42)&lt;&gt;$A$3,$A$4=0)),AND(IO42=IY42-1,OR(INDEX($D$3:$EQ$3,IO42)&lt;&gt;$A$3,$A$4=0)))),FALSE),IF(IZ42&gt;0,AND(INDEX($D$2:$EQ$2,IO42)=INDEX($D$2:$EQ$2,IZ42),OR(AND(IO42=IZ42+1,OR(INDEX($D$3:$EQ$3,IZ42)&lt;&gt;$A$3,$A$4=0)),AND(IO42=IZ42-1,OR(INDEX($D$3:$EQ$3,IO42)&lt;&gt;$A$3,$A$4=0)))),FALSE)),1,0))</f>
        <v/>
      </c>
      <c r="IW42">
        <f>IF(AND('名簿'!E37&lt;&gt;"",JF42=0),1,0)</f>
        <v/>
      </c>
      <c r="IX42">
        <f>IF('名簿'!D37="空けない",1,0)</f>
        <v/>
      </c>
      <c r="IY42">
        <f>IF(OR('名簿'!J37="",'名簿'!K37=""),0,IFERROR((MATCH('名簿'!J37,'設定'!$E$11:$E$16,0)-1)*24+MATCH('名簿'!K37,'設定'!$I$11:$I$34,0),-1))</f>
        <v/>
      </c>
      <c r="IZ42">
        <f>IF(OR('名簿'!M37="",'名簿'!N37=""),0,IFERROR((MATCH('名簿'!M37,'設定'!$E$11:$E$16,0)-1)*24+MATCH('名簿'!N37,'設定'!$I$11:$I$34,0),-1))</f>
        <v/>
      </c>
      <c r="JC42">
        <f>IF(RIGHT('名簿'!I37,2)="の前",1,IF(RIGHT('名簿'!I37,2)="の後",2,0))</f>
        <v/>
      </c>
      <c r="JD42">
        <f>IF(RIGHT('名簿'!L37,2)="の前",1,IF(RIGHT('名簿'!L37,2)="の後",2,0))</f>
        <v/>
      </c>
      <c r="JE42">
        <f>IF(RIGHT('名簿'!O37,2)="の前",1,IF(RIGHT('名簿'!O37,2)="の後",2,0))</f>
        <v/>
      </c>
      <c r="JF42">
        <f>IF(OR(IT42&gt;0,IY42&gt;0,IZ42&gt;0),1,0)</f>
        <v/>
      </c>
      <c r="JG42">
        <f>IF(OR(IT42&lt;0,IY42&lt;0,IZ42&lt;0),1,0)</f>
        <v/>
      </c>
    </row>
    <row r="43">
      <c r="A43" t="n">
        <v>34</v>
      </c>
      <c r="B43">
        <f>'名簿'!P38</f>
        <v/>
      </c>
      <c r="C43">
        <f>IF(AND(B43&lt;&gt;"",OR('名簿'!Q38="入力済み",'名簿'!Q38="×なし"),IO43=0,COUNTIF('調整・決定'!$C$6:$H$29,B43)=0),1,0)</f>
        <v/>
      </c>
      <c r="D43">
        <f>IF(D$4=1,IF(OR(INDEX('×入力'!$A$1:$L$1300,931+D$3,2+D$2)&lt;&gt;"",INDEX('×入力'!$A$1:$L$1300,930,2+D$2)&lt;&gt;"",INDEX('×入力'!$A$1:$L$1300,931+D$3,1)&lt;&gt;""),1,0),0)</f>
        <v/>
      </c>
      <c r="E43">
        <f>IF(E$4=1,IF(OR(INDEX('×入力'!$A$1:$L$1300,931+E$3,2+E$2)&lt;&gt;"",INDEX('×入力'!$A$1:$L$1300,930,2+E$2)&lt;&gt;"",INDEX('×入力'!$A$1:$L$1300,931+E$3,1)&lt;&gt;""),1,0),0)</f>
        <v/>
      </c>
      <c r="F43">
        <f>IF(F$4=1,IF(OR(INDEX('×入力'!$A$1:$L$1300,931+F$3,2+F$2)&lt;&gt;"",INDEX('×入力'!$A$1:$L$1300,930,2+F$2)&lt;&gt;"",INDEX('×入力'!$A$1:$L$1300,931+F$3,1)&lt;&gt;""),1,0),0)</f>
        <v/>
      </c>
      <c r="G43">
        <f>IF(G$4=1,IF(OR(INDEX('×入力'!$A$1:$L$1300,931+G$3,2+G$2)&lt;&gt;"",INDEX('×入力'!$A$1:$L$1300,930,2+G$2)&lt;&gt;"",INDEX('×入力'!$A$1:$L$1300,931+G$3,1)&lt;&gt;""),1,0),0)</f>
        <v/>
      </c>
      <c r="H43">
        <f>IF(H$4=1,IF(OR(INDEX('×入力'!$A$1:$L$1300,931+H$3,2+H$2)&lt;&gt;"",INDEX('×入力'!$A$1:$L$1300,930,2+H$2)&lt;&gt;"",INDEX('×入力'!$A$1:$L$1300,931+H$3,1)&lt;&gt;""),1,0),0)</f>
        <v/>
      </c>
      <c r="I43">
        <f>IF(I$4=1,IF(OR(INDEX('×入力'!$A$1:$L$1300,931+I$3,2+I$2)&lt;&gt;"",INDEX('×入力'!$A$1:$L$1300,930,2+I$2)&lt;&gt;"",INDEX('×入力'!$A$1:$L$1300,931+I$3,1)&lt;&gt;""),1,0),0)</f>
        <v/>
      </c>
      <c r="J43">
        <f>IF(J$4=1,IF(OR(INDEX('×入力'!$A$1:$L$1300,931+J$3,2+J$2)&lt;&gt;"",INDEX('×入力'!$A$1:$L$1300,930,2+J$2)&lt;&gt;"",INDEX('×入力'!$A$1:$L$1300,931+J$3,1)&lt;&gt;""),1,0),0)</f>
        <v/>
      </c>
      <c r="K43">
        <f>IF(K$4=1,IF(OR(INDEX('×入力'!$A$1:$L$1300,931+K$3,2+K$2)&lt;&gt;"",INDEX('×入力'!$A$1:$L$1300,930,2+K$2)&lt;&gt;"",INDEX('×入力'!$A$1:$L$1300,931+K$3,1)&lt;&gt;""),1,0),0)</f>
        <v/>
      </c>
      <c r="L43">
        <f>IF(L$4=1,IF(OR(INDEX('×入力'!$A$1:$L$1300,931+L$3,2+L$2)&lt;&gt;"",INDEX('×入力'!$A$1:$L$1300,930,2+L$2)&lt;&gt;"",INDEX('×入力'!$A$1:$L$1300,931+L$3,1)&lt;&gt;""),1,0),0)</f>
        <v/>
      </c>
      <c r="M43">
        <f>IF(M$4=1,IF(OR(INDEX('×入力'!$A$1:$L$1300,931+M$3,2+M$2)&lt;&gt;"",INDEX('×入力'!$A$1:$L$1300,930,2+M$2)&lt;&gt;"",INDEX('×入力'!$A$1:$L$1300,931+M$3,1)&lt;&gt;""),1,0),0)</f>
        <v/>
      </c>
      <c r="N43">
        <f>IF(N$4=1,IF(OR(INDEX('×入力'!$A$1:$L$1300,931+N$3,2+N$2)&lt;&gt;"",INDEX('×入力'!$A$1:$L$1300,930,2+N$2)&lt;&gt;"",INDEX('×入力'!$A$1:$L$1300,931+N$3,1)&lt;&gt;""),1,0),0)</f>
        <v/>
      </c>
      <c r="O43">
        <f>IF(O$4=1,IF(OR(INDEX('×入力'!$A$1:$L$1300,931+O$3,2+O$2)&lt;&gt;"",INDEX('×入力'!$A$1:$L$1300,930,2+O$2)&lt;&gt;"",INDEX('×入力'!$A$1:$L$1300,931+O$3,1)&lt;&gt;""),1,0),0)</f>
        <v/>
      </c>
      <c r="P43">
        <f>IF(P$4=1,IF(OR(INDEX('×入力'!$A$1:$L$1300,931+P$3,2+P$2)&lt;&gt;"",INDEX('×入力'!$A$1:$L$1300,930,2+P$2)&lt;&gt;"",INDEX('×入力'!$A$1:$L$1300,931+P$3,1)&lt;&gt;""),1,0),0)</f>
        <v/>
      </c>
      <c r="Q43">
        <f>IF(Q$4=1,IF(OR(INDEX('×入力'!$A$1:$L$1300,931+Q$3,2+Q$2)&lt;&gt;"",INDEX('×入力'!$A$1:$L$1300,930,2+Q$2)&lt;&gt;"",INDEX('×入力'!$A$1:$L$1300,931+Q$3,1)&lt;&gt;""),1,0),0)</f>
        <v/>
      </c>
      <c r="R43">
        <f>IF(R$4=1,IF(OR(INDEX('×入力'!$A$1:$L$1300,931+R$3,2+R$2)&lt;&gt;"",INDEX('×入力'!$A$1:$L$1300,930,2+R$2)&lt;&gt;"",INDEX('×入力'!$A$1:$L$1300,931+R$3,1)&lt;&gt;""),1,0),0)</f>
        <v/>
      </c>
      <c r="S43">
        <f>IF(S$4=1,IF(OR(INDEX('×入力'!$A$1:$L$1300,931+S$3,2+S$2)&lt;&gt;"",INDEX('×入力'!$A$1:$L$1300,930,2+S$2)&lt;&gt;"",INDEX('×入力'!$A$1:$L$1300,931+S$3,1)&lt;&gt;""),1,0),0)</f>
        <v/>
      </c>
      <c r="T43">
        <f>IF(T$4=1,IF(OR(INDEX('×入力'!$A$1:$L$1300,931+T$3,2+T$2)&lt;&gt;"",INDEX('×入力'!$A$1:$L$1300,930,2+T$2)&lt;&gt;"",INDEX('×入力'!$A$1:$L$1300,931+T$3,1)&lt;&gt;""),1,0),0)</f>
        <v/>
      </c>
      <c r="U43">
        <f>IF(U$4=1,IF(OR(INDEX('×入力'!$A$1:$L$1300,931+U$3,2+U$2)&lt;&gt;"",INDEX('×入力'!$A$1:$L$1300,930,2+U$2)&lt;&gt;"",INDEX('×入力'!$A$1:$L$1300,931+U$3,1)&lt;&gt;""),1,0),0)</f>
        <v/>
      </c>
      <c r="V43">
        <f>IF(V$4=1,IF(OR(INDEX('×入力'!$A$1:$L$1300,931+V$3,2+V$2)&lt;&gt;"",INDEX('×入力'!$A$1:$L$1300,930,2+V$2)&lt;&gt;"",INDEX('×入力'!$A$1:$L$1300,931+V$3,1)&lt;&gt;""),1,0),0)</f>
        <v/>
      </c>
      <c r="W43">
        <f>IF(W$4=1,IF(OR(INDEX('×入力'!$A$1:$L$1300,931+W$3,2+W$2)&lt;&gt;"",INDEX('×入力'!$A$1:$L$1300,930,2+W$2)&lt;&gt;"",INDEX('×入力'!$A$1:$L$1300,931+W$3,1)&lt;&gt;""),1,0),0)</f>
        <v/>
      </c>
      <c r="X43">
        <f>IF(X$4=1,IF(OR(INDEX('×入力'!$A$1:$L$1300,931+X$3,2+X$2)&lt;&gt;"",INDEX('×入力'!$A$1:$L$1300,930,2+X$2)&lt;&gt;"",INDEX('×入力'!$A$1:$L$1300,931+X$3,1)&lt;&gt;""),1,0),0)</f>
        <v/>
      </c>
      <c r="Y43">
        <f>IF(Y$4=1,IF(OR(INDEX('×入力'!$A$1:$L$1300,931+Y$3,2+Y$2)&lt;&gt;"",INDEX('×入力'!$A$1:$L$1300,930,2+Y$2)&lt;&gt;"",INDEX('×入力'!$A$1:$L$1300,931+Y$3,1)&lt;&gt;""),1,0),0)</f>
        <v/>
      </c>
      <c r="Z43">
        <f>IF(Z$4=1,IF(OR(INDEX('×入力'!$A$1:$L$1300,931+Z$3,2+Z$2)&lt;&gt;"",INDEX('×入力'!$A$1:$L$1300,930,2+Z$2)&lt;&gt;"",INDEX('×入力'!$A$1:$L$1300,931+Z$3,1)&lt;&gt;""),1,0),0)</f>
        <v/>
      </c>
      <c r="AA43">
        <f>IF(AA$4=1,IF(OR(INDEX('×入力'!$A$1:$L$1300,931+AA$3,2+AA$2)&lt;&gt;"",INDEX('×入力'!$A$1:$L$1300,930,2+AA$2)&lt;&gt;"",INDEX('×入力'!$A$1:$L$1300,931+AA$3,1)&lt;&gt;""),1,0),0)</f>
        <v/>
      </c>
      <c r="AB43">
        <f>IF(AB$4=1,IF(OR(INDEX('×入力'!$A$1:$L$1300,931+AB$3,2+AB$2)&lt;&gt;"",INDEX('×入力'!$A$1:$L$1300,930,2+AB$2)&lt;&gt;"",INDEX('×入力'!$A$1:$L$1300,931+AB$3,1)&lt;&gt;""),1,0),0)</f>
        <v/>
      </c>
      <c r="AC43">
        <f>IF(AC$4=1,IF(OR(INDEX('×入力'!$A$1:$L$1300,931+AC$3,2+AC$2)&lt;&gt;"",INDEX('×入力'!$A$1:$L$1300,930,2+AC$2)&lt;&gt;"",INDEX('×入力'!$A$1:$L$1300,931+AC$3,1)&lt;&gt;""),1,0),0)</f>
        <v/>
      </c>
      <c r="AD43">
        <f>IF(AD$4=1,IF(OR(INDEX('×入力'!$A$1:$L$1300,931+AD$3,2+AD$2)&lt;&gt;"",INDEX('×入力'!$A$1:$L$1300,930,2+AD$2)&lt;&gt;"",INDEX('×入力'!$A$1:$L$1300,931+AD$3,1)&lt;&gt;""),1,0),0)</f>
        <v/>
      </c>
      <c r="AE43">
        <f>IF(AE$4=1,IF(OR(INDEX('×入力'!$A$1:$L$1300,931+AE$3,2+AE$2)&lt;&gt;"",INDEX('×入力'!$A$1:$L$1300,930,2+AE$2)&lt;&gt;"",INDEX('×入力'!$A$1:$L$1300,931+AE$3,1)&lt;&gt;""),1,0),0)</f>
        <v/>
      </c>
      <c r="AF43">
        <f>IF(AF$4=1,IF(OR(INDEX('×入力'!$A$1:$L$1300,931+AF$3,2+AF$2)&lt;&gt;"",INDEX('×入力'!$A$1:$L$1300,930,2+AF$2)&lt;&gt;"",INDEX('×入力'!$A$1:$L$1300,931+AF$3,1)&lt;&gt;""),1,0),0)</f>
        <v/>
      </c>
      <c r="AG43">
        <f>IF(AG$4=1,IF(OR(INDEX('×入力'!$A$1:$L$1300,931+AG$3,2+AG$2)&lt;&gt;"",INDEX('×入力'!$A$1:$L$1300,930,2+AG$2)&lt;&gt;"",INDEX('×入力'!$A$1:$L$1300,931+AG$3,1)&lt;&gt;""),1,0),0)</f>
        <v/>
      </c>
      <c r="AH43">
        <f>IF(AH$4=1,IF(OR(INDEX('×入力'!$A$1:$L$1300,931+AH$3,2+AH$2)&lt;&gt;"",INDEX('×入力'!$A$1:$L$1300,930,2+AH$2)&lt;&gt;"",INDEX('×入力'!$A$1:$L$1300,931+AH$3,1)&lt;&gt;""),1,0),0)</f>
        <v/>
      </c>
      <c r="AI43">
        <f>IF(AI$4=1,IF(OR(INDEX('×入力'!$A$1:$L$1300,931+AI$3,2+AI$2)&lt;&gt;"",INDEX('×入力'!$A$1:$L$1300,930,2+AI$2)&lt;&gt;"",INDEX('×入力'!$A$1:$L$1300,931+AI$3,1)&lt;&gt;""),1,0),0)</f>
        <v/>
      </c>
      <c r="AJ43">
        <f>IF(AJ$4=1,IF(OR(INDEX('×入力'!$A$1:$L$1300,931+AJ$3,2+AJ$2)&lt;&gt;"",INDEX('×入力'!$A$1:$L$1300,930,2+AJ$2)&lt;&gt;"",INDEX('×入力'!$A$1:$L$1300,931+AJ$3,1)&lt;&gt;""),1,0),0)</f>
        <v/>
      </c>
      <c r="AK43">
        <f>IF(AK$4=1,IF(OR(INDEX('×入力'!$A$1:$L$1300,931+AK$3,2+AK$2)&lt;&gt;"",INDEX('×入力'!$A$1:$L$1300,930,2+AK$2)&lt;&gt;"",INDEX('×入力'!$A$1:$L$1300,931+AK$3,1)&lt;&gt;""),1,0),0)</f>
        <v/>
      </c>
      <c r="AL43">
        <f>IF(AL$4=1,IF(OR(INDEX('×入力'!$A$1:$L$1300,931+AL$3,2+AL$2)&lt;&gt;"",INDEX('×入力'!$A$1:$L$1300,930,2+AL$2)&lt;&gt;"",INDEX('×入力'!$A$1:$L$1300,931+AL$3,1)&lt;&gt;""),1,0),0)</f>
        <v/>
      </c>
      <c r="AM43">
        <f>IF(AM$4=1,IF(OR(INDEX('×入力'!$A$1:$L$1300,931+AM$3,2+AM$2)&lt;&gt;"",INDEX('×入力'!$A$1:$L$1300,930,2+AM$2)&lt;&gt;"",INDEX('×入力'!$A$1:$L$1300,931+AM$3,1)&lt;&gt;""),1,0),0)</f>
        <v/>
      </c>
      <c r="AN43">
        <f>IF(AN$4=1,IF(OR(INDEX('×入力'!$A$1:$L$1300,931+AN$3,2+AN$2)&lt;&gt;"",INDEX('×入力'!$A$1:$L$1300,930,2+AN$2)&lt;&gt;"",INDEX('×入力'!$A$1:$L$1300,931+AN$3,1)&lt;&gt;""),1,0),0)</f>
        <v/>
      </c>
      <c r="AO43">
        <f>IF(AO$4=1,IF(OR(INDEX('×入力'!$A$1:$L$1300,931+AO$3,2+AO$2)&lt;&gt;"",INDEX('×入力'!$A$1:$L$1300,930,2+AO$2)&lt;&gt;"",INDEX('×入力'!$A$1:$L$1300,931+AO$3,1)&lt;&gt;""),1,0),0)</f>
        <v/>
      </c>
      <c r="AP43">
        <f>IF(AP$4=1,IF(OR(INDEX('×入力'!$A$1:$L$1300,931+AP$3,2+AP$2)&lt;&gt;"",INDEX('×入力'!$A$1:$L$1300,930,2+AP$2)&lt;&gt;"",INDEX('×入力'!$A$1:$L$1300,931+AP$3,1)&lt;&gt;""),1,0),0)</f>
        <v/>
      </c>
      <c r="AQ43">
        <f>IF(AQ$4=1,IF(OR(INDEX('×入力'!$A$1:$L$1300,931+AQ$3,2+AQ$2)&lt;&gt;"",INDEX('×入力'!$A$1:$L$1300,930,2+AQ$2)&lt;&gt;"",INDEX('×入力'!$A$1:$L$1300,931+AQ$3,1)&lt;&gt;""),1,0),0)</f>
        <v/>
      </c>
      <c r="AR43">
        <f>IF(AR$4=1,IF(OR(INDEX('×入力'!$A$1:$L$1300,931+AR$3,2+AR$2)&lt;&gt;"",INDEX('×入力'!$A$1:$L$1300,930,2+AR$2)&lt;&gt;"",INDEX('×入力'!$A$1:$L$1300,931+AR$3,1)&lt;&gt;""),1,0),0)</f>
        <v/>
      </c>
      <c r="AS43">
        <f>IF(AS$4=1,IF(OR(INDEX('×入力'!$A$1:$L$1300,931+AS$3,2+AS$2)&lt;&gt;"",INDEX('×入力'!$A$1:$L$1300,930,2+AS$2)&lt;&gt;"",INDEX('×入力'!$A$1:$L$1300,931+AS$3,1)&lt;&gt;""),1,0),0)</f>
        <v/>
      </c>
      <c r="AT43">
        <f>IF(AT$4=1,IF(OR(INDEX('×入力'!$A$1:$L$1300,931+AT$3,2+AT$2)&lt;&gt;"",INDEX('×入力'!$A$1:$L$1300,930,2+AT$2)&lt;&gt;"",INDEX('×入力'!$A$1:$L$1300,931+AT$3,1)&lt;&gt;""),1,0),0)</f>
        <v/>
      </c>
      <c r="AU43">
        <f>IF(AU$4=1,IF(OR(INDEX('×入力'!$A$1:$L$1300,931+AU$3,2+AU$2)&lt;&gt;"",INDEX('×入力'!$A$1:$L$1300,930,2+AU$2)&lt;&gt;"",INDEX('×入力'!$A$1:$L$1300,931+AU$3,1)&lt;&gt;""),1,0),0)</f>
        <v/>
      </c>
      <c r="AV43">
        <f>IF(AV$4=1,IF(OR(INDEX('×入力'!$A$1:$L$1300,931+AV$3,2+AV$2)&lt;&gt;"",INDEX('×入力'!$A$1:$L$1300,930,2+AV$2)&lt;&gt;"",INDEX('×入力'!$A$1:$L$1300,931+AV$3,1)&lt;&gt;""),1,0),0)</f>
        <v/>
      </c>
      <c r="AW43">
        <f>IF(AW$4=1,IF(OR(INDEX('×入力'!$A$1:$L$1300,931+AW$3,2+AW$2)&lt;&gt;"",INDEX('×入力'!$A$1:$L$1300,930,2+AW$2)&lt;&gt;"",INDEX('×入力'!$A$1:$L$1300,931+AW$3,1)&lt;&gt;""),1,0),0)</f>
        <v/>
      </c>
      <c r="AX43">
        <f>IF(AX$4=1,IF(OR(INDEX('×入力'!$A$1:$L$1300,931+AX$3,2+AX$2)&lt;&gt;"",INDEX('×入力'!$A$1:$L$1300,930,2+AX$2)&lt;&gt;"",INDEX('×入力'!$A$1:$L$1300,931+AX$3,1)&lt;&gt;""),1,0),0)</f>
        <v/>
      </c>
      <c r="AY43">
        <f>IF(AY$4=1,IF(OR(INDEX('×入力'!$A$1:$L$1300,931+AY$3,2+AY$2)&lt;&gt;"",INDEX('×入力'!$A$1:$L$1300,930,2+AY$2)&lt;&gt;"",INDEX('×入力'!$A$1:$L$1300,931+AY$3,1)&lt;&gt;""),1,0),0)</f>
        <v/>
      </c>
      <c r="AZ43">
        <f>IF(AZ$4=1,IF(OR(INDEX('×入力'!$A$1:$L$1300,931+AZ$3,2+AZ$2)&lt;&gt;"",INDEX('×入力'!$A$1:$L$1300,930,2+AZ$2)&lt;&gt;"",INDEX('×入力'!$A$1:$L$1300,931+AZ$3,1)&lt;&gt;""),1,0),0)</f>
        <v/>
      </c>
      <c r="BA43">
        <f>IF(BA$4=1,IF(OR(INDEX('×入力'!$A$1:$L$1300,931+BA$3,2+BA$2)&lt;&gt;"",INDEX('×入力'!$A$1:$L$1300,930,2+BA$2)&lt;&gt;"",INDEX('×入力'!$A$1:$L$1300,931+BA$3,1)&lt;&gt;""),1,0),0)</f>
        <v/>
      </c>
      <c r="BB43">
        <f>IF(BB$4=1,IF(OR(INDEX('×入力'!$A$1:$L$1300,931+BB$3,2+BB$2)&lt;&gt;"",INDEX('×入力'!$A$1:$L$1300,930,2+BB$2)&lt;&gt;"",INDEX('×入力'!$A$1:$L$1300,931+BB$3,1)&lt;&gt;""),1,0),0)</f>
        <v/>
      </c>
      <c r="BC43">
        <f>IF(BC$4=1,IF(OR(INDEX('×入力'!$A$1:$L$1300,931+BC$3,2+BC$2)&lt;&gt;"",INDEX('×入力'!$A$1:$L$1300,930,2+BC$2)&lt;&gt;"",INDEX('×入力'!$A$1:$L$1300,931+BC$3,1)&lt;&gt;""),1,0),0)</f>
        <v/>
      </c>
      <c r="BD43">
        <f>IF(BD$4=1,IF(OR(INDEX('×入力'!$A$1:$L$1300,931+BD$3,2+BD$2)&lt;&gt;"",INDEX('×入力'!$A$1:$L$1300,930,2+BD$2)&lt;&gt;"",INDEX('×入力'!$A$1:$L$1300,931+BD$3,1)&lt;&gt;""),1,0),0)</f>
        <v/>
      </c>
      <c r="BE43">
        <f>IF(BE$4=1,IF(OR(INDEX('×入力'!$A$1:$L$1300,931+BE$3,2+BE$2)&lt;&gt;"",INDEX('×入力'!$A$1:$L$1300,930,2+BE$2)&lt;&gt;"",INDEX('×入力'!$A$1:$L$1300,931+BE$3,1)&lt;&gt;""),1,0),0)</f>
        <v/>
      </c>
      <c r="BF43">
        <f>IF(BF$4=1,IF(OR(INDEX('×入力'!$A$1:$L$1300,931+BF$3,2+BF$2)&lt;&gt;"",INDEX('×入力'!$A$1:$L$1300,930,2+BF$2)&lt;&gt;"",INDEX('×入力'!$A$1:$L$1300,931+BF$3,1)&lt;&gt;""),1,0),0)</f>
        <v/>
      </c>
      <c r="BG43">
        <f>IF(BG$4=1,IF(OR(INDEX('×入力'!$A$1:$L$1300,931+BG$3,2+BG$2)&lt;&gt;"",INDEX('×入力'!$A$1:$L$1300,930,2+BG$2)&lt;&gt;"",INDEX('×入力'!$A$1:$L$1300,931+BG$3,1)&lt;&gt;""),1,0),0)</f>
        <v/>
      </c>
      <c r="BH43">
        <f>IF(BH$4=1,IF(OR(INDEX('×入力'!$A$1:$L$1300,931+BH$3,2+BH$2)&lt;&gt;"",INDEX('×入力'!$A$1:$L$1300,930,2+BH$2)&lt;&gt;"",INDEX('×入力'!$A$1:$L$1300,931+BH$3,1)&lt;&gt;""),1,0),0)</f>
        <v/>
      </c>
      <c r="BI43">
        <f>IF(BI$4=1,IF(OR(INDEX('×入力'!$A$1:$L$1300,931+BI$3,2+BI$2)&lt;&gt;"",INDEX('×入力'!$A$1:$L$1300,930,2+BI$2)&lt;&gt;"",INDEX('×入力'!$A$1:$L$1300,931+BI$3,1)&lt;&gt;""),1,0),0)</f>
        <v/>
      </c>
      <c r="BJ43">
        <f>IF(BJ$4=1,IF(OR(INDEX('×入力'!$A$1:$L$1300,931+BJ$3,2+BJ$2)&lt;&gt;"",INDEX('×入力'!$A$1:$L$1300,930,2+BJ$2)&lt;&gt;"",INDEX('×入力'!$A$1:$L$1300,931+BJ$3,1)&lt;&gt;""),1,0),0)</f>
        <v/>
      </c>
      <c r="BK43">
        <f>IF(BK$4=1,IF(OR(INDEX('×入力'!$A$1:$L$1300,931+BK$3,2+BK$2)&lt;&gt;"",INDEX('×入力'!$A$1:$L$1300,930,2+BK$2)&lt;&gt;"",INDEX('×入力'!$A$1:$L$1300,931+BK$3,1)&lt;&gt;""),1,0),0)</f>
        <v/>
      </c>
      <c r="BL43">
        <f>IF(BL$4=1,IF(OR(INDEX('×入力'!$A$1:$L$1300,931+BL$3,2+BL$2)&lt;&gt;"",INDEX('×入力'!$A$1:$L$1300,930,2+BL$2)&lt;&gt;"",INDEX('×入力'!$A$1:$L$1300,931+BL$3,1)&lt;&gt;""),1,0),0)</f>
        <v/>
      </c>
      <c r="BM43">
        <f>IF(BM$4=1,IF(OR(INDEX('×入力'!$A$1:$L$1300,931+BM$3,2+BM$2)&lt;&gt;"",INDEX('×入力'!$A$1:$L$1300,930,2+BM$2)&lt;&gt;"",INDEX('×入力'!$A$1:$L$1300,931+BM$3,1)&lt;&gt;""),1,0),0)</f>
        <v/>
      </c>
      <c r="BN43">
        <f>IF(BN$4=1,IF(OR(INDEX('×入力'!$A$1:$L$1300,931+BN$3,2+BN$2)&lt;&gt;"",INDEX('×入力'!$A$1:$L$1300,930,2+BN$2)&lt;&gt;"",INDEX('×入力'!$A$1:$L$1300,931+BN$3,1)&lt;&gt;""),1,0),0)</f>
        <v/>
      </c>
      <c r="BO43">
        <f>IF(BO$4=1,IF(OR(INDEX('×入力'!$A$1:$L$1300,931+BO$3,2+BO$2)&lt;&gt;"",INDEX('×入力'!$A$1:$L$1300,930,2+BO$2)&lt;&gt;"",INDEX('×入力'!$A$1:$L$1300,931+BO$3,1)&lt;&gt;""),1,0),0)</f>
        <v/>
      </c>
      <c r="BP43">
        <f>IF(BP$4=1,IF(OR(INDEX('×入力'!$A$1:$L$1300,931+BP$3,2+BP$2)&lt;&gt;"",INDEX('×入力'!$A$1:$L$1300,930,2+BP$2)&lt;&gt;"",INDEX('×入力'!$A$1:$L$1300,931+BP$3,1)&lt;&gt;""),1,0),0)</f>
        <v/>
      </c>
      <c r="BQ43">
        <f>IF(BQ$4=1,IF(OR(INDEX('×入力'!$A$1:$L$1300,931+BQ$3,2+BQ$2)&lt;&gt;"",INDEX('×入力'!$A$1:$L$1300,930,2+BQ$2)&lt;&gt;"",INDEX('×入力'!$A$1:$L$1300,931+BQ$3,1)&lt;&gt;""),1,0),0)</f>
        <v/>
      </c>
      <c r="BR43">
        <f>IF(BR$4=1,IF(OR(INDEX('×入力'!$A$1:$L$1300,931+BR$3,2+BR$2)&lt;&gt;"",INDEX('×入力'!$A$1:$L$1300,930,2+BR$2)&lt;&gt;"",INDEX('×入力'!$A$1:$L$1300,931+BR$3,1)&lt;&gt;""),1,0),0)</f>
        <v/>
      </c>
      <c r="BS43">
        <f>IF(BS$4=1,IF(OR(INDEX('×入力'!$A$1:$L$1300,931+BS$3,2+BS$2)&lt;&gt;"",INDEX('×入力'!$A$1:$L$1300,930,2+BS$2)&lt;&gt;"",INDEX('×入力'!$A$1:$L$1300,931+BS$3,1)&lt;&gt;""),1,0),0)</f>
        <v/>
      </c>
      <c r="BT43">
        <f>IF(BT$4=1,IF(OR(INDEX('×入力'!$A$1:$L$1300,931+BT$3,2+BT$2)&lt;&gt;"",INDEX('×入力'!$A$1:$L$1300,930,2+BT$2)&lt;&gt;"",INDEX('×入力'!$A$1:$L$1300,931+BT$3,1)&lt;&gt;""),1,0),0)</f>
        <v/>
      </c>
      <c r="BU43">
        <f>IF(BU$4=1,IF(OR(INDEX('×入力'!$A$1:$L$1300,931+BU$3,2+BU$2)&lt;&gt;"",INDEX('×入力'!$A$1:$L$1300,930,2+BU$2)&lt;&gt;"",INDEX('×入力'!$A$1:$L$1300,931+BU$3,1)&lt;&gt;""),1,0),0)</f>
        <v/>
      </c>
      <c r="BV43">
        <f>IF(BV$4=1,IF(OR(INDEX('×入力'!$A$1:$L$1300,931+BV$3,2+BV$2)&lt;&gt;"",INDEX('×入力'!$A$1:$L$1300,930,2+BV$2)&lt;&gt;"",INDEX('×入力'!$A$1:$L$1300,931+BV$3,1)&lt;&gt;""),1,0),0)</f>
        <v/>
      </c>
      <c r="BW43">
        <f>IF(BW$4=1,IF(OR(INDEX('×入力'!$A$1:$L$1300,931+BW$3,2+BW$2)&lt;&gt;"",INDEX('×入力'!$A$1:$L$1300,930,2+BW$2)&lt;&gt;"",INDEX('×入力'!$A$1:$L$1300,931+BW$3,1)&lt;&gt;""),1,0),0)</f>
        <v/>
      </c>
      <c r="BX43">
        <f>IF(BX$4=1,IF(OR(INDEX('×入力'!$A$1:$L$1300,931+BX$3,2+BX$2)&lt;&gt;"",INDEX('×入力'!$A$1:$L$1300,930,2+BX$2)&lt;&gt;"",INDEX('×入力'!$A$1:$L$1300,931+BX$3,1)&lt;&gt;""),1,0),0)</f>
        <v/>
      </c>
      <c r="BY43">
        <f>IF(BY$4=1,IF(OR(INDEX('×入力'!$A$1:$L$1300,931+BY$3,2+BY$2)&lt;&gt;"",INDEX('×入力'!$A$1:$L$1300,930,2+BY$2)&lt;&gt;"",INDEX('×入力'!$A$1:$L$1300,931+BY$3,1)&lt;&gt;""),1,0),0)</f>
        <v/>
      </c>
      <c r="BZ43">
        <f>IF(BZ$4=1,IF(OR(INDEX('×入力'!$A$1:$L$1300,931+BZ$3,2+BZ$2)&lt;&gt;"",INDEX('×入力'!$A$1:$L$1300,930,2+BZ$2)&lt;&gt;"",INDEX('×入力'!$A$1:$L$1300,931+BZ$3,1)&lt;&gt;""),1,0),0)</f>
        <v/>
      </c>
      <c r="CA43">
        <f>IF(CA$4=1,IF(OR(INDEX('×入力'!$A$1:$L$1300,931+CA$3,2+CA$2)&lt;&gt;"",INDEX('×入力'!$A$1:$L$1300,930,2+CA$2)&lt;&gt;"",INDEX('×入力'!$A$1:$L$1300,931+CA$3,1)&lt;&gt;""),1,0),0)</f>
        <v/>
      </c>
      <c r="CB43">
        <f>IF(CB$4=1,IF(OR(INDEX('×入力'!$A$1:$L$1300,931+CB$3,2+CB$2)&lt;&gt;"",INDEX('×入力'!$A$1:$L$1300,930,2+CB$2)&lt;&gt;"",INDEX('×入力'!$A$1:$L$1300,931+CB$3,1)&lt;&gt;""),1,0),0)</f>
        <v/>
      </c>
      <c r="CC43">
        <f>IF(CC$4=1,IF(OR(INDEX('×入力'!$A$1:$L$1300,931+CC$3,2+CC$2)&lt;&gt;"",INDEX('×入力'!$A$1:$L$1300,930,2+CC$2)&lt;&gt;"",INDEX('×入力'!$A$1:$L$1300,931+CC$3,1)&lt;&gt;""),1,0),0)</f>
        <v/>
      </c>
      <c r="CD43">
        <f>IF(CD$4=1,IF(OR(INDEX('×入力'!$A$1:$L$1300,931+CD$3,2+CD$2)&lt;&gt;"",INDEX('×入力'!$A$1:$L$1300,930,2+CD$2)&lt;&gt;"",INDEX('×入力'!$A$1:$L$1300,931+CD$3,1)&lt;&gt;""),1,0),0)</f>
        <v/>
      </c>
      <c r="CE43">
        <f>IF(CE$4=1,IF(OR(INDEX('×入力'!$A$1:$L$1300,931+CE$3,2+CE$2)&lt;&gt;"",INDEX('×入力'!$A$1:$L$1300,930,2+CE$2)&lt;&gt;"",INDEX('×入力'!$A$1:$L$1300,931+CE$3,1)&lt;&gt;""),1,0),0)</f>
        <v/>
      </c>
      <c r="CF43">
        <f>IF(CF$4=1,IF(OR(INDEX('×入力'!$A$1:$L$1300,931+CF$3,2+CF$2)&lt;&gt;"",INDEX('×入力'!$A$1:$L$1300,930,2+CF$2)&lt;&gt;"",INDEX('×入力'!$A$1:$L$1300,931+CF$3,1)&lt;&gt;""),1,0),0)</f>
        <v/>
      </c>
      <c r="CG43">
        <f>IF(CG$4=1,IF(OR(INDEX('×入力'!$A$1:$L$1300,931+CG$3,2+CG$2)&lt;&gt;"",INDEX('×入力'!$A$1:$L$1300,930,2+CG$2)&lt;&gt;"",INDEX('×入力'!$A$1:$L$1300,931+CG$3,1)&lt;&gt;""),1,0),0)</f>
        <v/>
      </c>
      <c r="CH43">
        <f>IF(CH$4=1,IF(OR(INDEX('×入力'!$A$1:$L$1300,931+CH$3,2+CH$2)&lt;&gt;"",INDEX('×入力'!$A$1:$L$1300,930,2+CH$2)&lt;&gt;"",INDEX('×入力'!$A$1:$L$1300,931+CH$3,1)&lt;&gt;""),1,0),0)</f>
        <v/>
      </c>
      <c r="CI43">
        <f>IF(CI$4=1,IF(OR(INDEX('×入力'!$A$1:$L$1300,931+CI$3,2+CI$2)&lt;&gt;"",INDEX('×入力'!$A$1:$L$1300,930,2+CI$2)&lt;&gt;"",INDEX('×入力'!$A$1:$L$1300,931+CI$3,1)&lt;&gt;""),1,0),0)</f>
        <v/>
      </c>
      <c r="CJ43">
        <f>IF(CJ$4=1,IF(OR(INDEX('×入力'!$A$1:$L$1300,931+CJ$3,2+CJ$2)&lt;&gt;"",INDEX('×入力'!$A$1:$L$1300,930,2+CJ$2)&lt;&gt;"",INDEX('×入力'!$A$1:$L$1300,931+CJ$3,1)&lt;&gt;""),1,0),0)</f>
        <v/>
      </c>
      <c r="CK43">
        <f>IF(CK$4=1,IF(OR(INDEX('×入力'!$A$1:$L$1300,931+CK$3,2+CK$2)&lt;&gt;"",INDEX('×入力'!$A$1:$L$1300,930,2+CK$2)&lt;&gt;"",INDEX('×入力'!$A$1:$L$1300,931+CK$3,1)&lt;&gt;""),1,0),0)</f>
        <v/>
      </c>
      <c r="CL43">
        <f>IF(CL$4=1,IF(OR(INDEX('×入力'!$A$1:$L$1300,931+CL$3,2+CL$2)&lt;&gt;"",INDEX('×入力'!$A$1:$L$1300,930,2+CL$2)&lt;&gt;"",INDEX('×入力'!$A$1:$L$1300,931+CL$3,1)&lt;&gt;""),1,0),0)</f>
        <v/>
      </c>
      <c r="CM43">
        <f>IF(CM$4=1,IF(OR(INDEX('×入力'!$A$1:$L$1300,931+CM$3,2+CM$2)&lt;&gt;"",INDEX('×入力'!$A$1:$L$1300,930,2+CM$2)&lt;&gt;"",INDEX('×入力'!$A$1:$L$1300,931+CM$3,1)&lt;&gt;""),1,0),0)</f>
        <v/>
      </c>
      <c r="CN43">
        <f>IF(CN$4=1,IF(OR(INDEX('×入力'!$A$1:$L$1300,931+CN$3,2+CN$2)&lt;&gt;"",INDEX('×入力'!$A$1:$L$1300,930,2+CN$2)&lt;&gt;"",INDEX('×入力'!$A$1:$L$1300,931+CN$3,1)&lt;&gt;""),1,0),0)</f>
        <v/>
      </c>
      <c r="CO43">
        <f>IF(CO$4=1,IF(OR(INDEX('×入力'!$A$1:$L$1300,931+CO$3,2+CO$2)&lt;&gt;"",INDEX('×入力'!$A$1:$L$1300,930,2+CO$2)&lt;&gt;"",INDEX('×入力'!$A$1:$L$1300,931+CO$3,1)&lt;&gt;""),1,0),0)</f>
        <v/>
      </c>
      <c r="CP43">
        <f>IF(CP$4=1,IF(OR(INDEX('×入力'!$A$1:$L$1300,931+CP$3,2+CP$2)&lt;&gt;"",INDEX('×入力'!$A$1:$L$1300,930,2+CP$2)&lt;&gt;"",INDEX('×入力'!$A$1:$L$1300,931+CP$3,1)&lt;&gt;""),1,0),0)</f>
        <v/>
      </c>
      <c r="CQ43">
        <f>IF(CQ$4=1,IF(OR(INDEX('×入力'!$A$1:$L$1300,931+CQ$3,2+CQ$2)&lt;&gt;"",INDEX('×入力'!$A$1:$L$1300,930,2+CQ$2)&lt;&gt;"",INDEX('×入力'!$A$1:$L$1300,931+CQ$3,1)&lt;&gt;""),1,0),0)</f>
        <v/>
      </c>
      <c r="CR43">
        <f>IF(CR$4=1,IF(OR(INDEX('×入力'!$A$1:$L$1300,931+CR$3,2+CR$2)&lt;&gt;"",INDEX('×入力'!$A$1:$L$1300,930,2+CR$2)&lt;&gt;"",INDEX('×入力'!$A$1:$L$1300,931+CR$3,1)&lt;&gt;""),1,0),0)</f>
        <v/>
      </c>
      <c r="CS43">
        <f>IF(CS$4=1,IF(OR(INDEX('×入力'!$A$1:$L$1300,931+CS$3,2+CS$2)&lt;&gt;"",INDEX('×入力'!$A$1:$L$1300,930,2+CS$2)&lt;&gt;"",INDEX('×入力'!$A$1:$L$1300,931+CS$3,1)&lt;&gt;""),1,0),0)</f>
        <v/>
      </c>
      <c r="CT43">
        <f>IF(CT$4=1,IF(OR(INDEX('×入力'!$A$1:$L$1300,931+CT$3,2+CT$2)&lt;&gt;"",INDEX('×入力'!$A$1:$L$1300,930,2+CT$2)&lt;&gt;"",INDEX('×入力'!$A$1:$L$1300,931+CT$3,1)&lt;&gt;""),1,0),0)</f>
        <v/>
      </c>
      <c r="CU43">
        <f>IF(CU$4=1,IF(OR(INDEX('×入力'!$A$1:$L$1300,931+CU$3,2+CU$2)&lt;&gt;"",INDEX('×入力'!$A$1:$L$1300,930,2+CU$2)&lt;&gt;"",INDEX('×入力'!$A$1:$L$1300,931+CU$3,1)&lt;&gt;""),1,0),0)</f>
        <v/>
      </c>
      <c r="CV43">
        <f>IF(CV$4=1,IF(OR(INDEX('×入力'!$A$1:$L$1300,931+CV$3,2+CV$2)&lt;&gt;"",INDEX('×入力'!$A$1:$L$1300,930,2+CV$2)&lt;&gt;"",INDEX('×入力'!$A$1:$L$1300,931+CV$3,1)&lt;&gt;""),1,0),0)</f>
        <v/>
      </c>
      <c r="CW43">
        <f>IF(CW$4=1,IF(OR(INDEX('×入力'!$A$1:$L$1300,931+CW$3,2+CW$2)&lt;&gt;"",INDEX('×入力'!$A$1:$L$1300,930,2+CW$2)&lt;&gt;"",INDEX('×入力'!$A$1:$L$1300,931+CW$3,1)&lt;&gt;""),1,0),0)</f>
        <v/>
      </c>
      <c r="CX43">
        <f>IF(CX$4=1,IF(OR(INDEX('×入力'!$A$1:$L$1300,931+CX$3,2+CX$2)&lt;&gt;"",INDEX('×入力'!$A$1:$L$1300,930,2+CX$2)&lt;&gt;"",INDEX('×入力'!$A$1:$L$1300,931+CX$3,1)&lt;&gt;""),1,0),0)</f>
        <v/>
      </c>
      <c r="CY43">
        <f>IF(CY$4=1,IF(OR(INDEX('×入力'!$A$1:$L$1300,931+CY$3,2+CY$2)&lt;&gt;"",INDEX('×入力'!$A$1:$L$1300,930,2+CY$2)&lt;&gt;"",INDEX('×入力'!$A$1:$L$1300,931+CY$3,1)&lt;&gt;""),1,0),0)</f>
        <v/>
      </c>
      <c r="CZ43">
        <f>IF(CZ$4=1,IF(OR(INDEX('×入力'!$A$1:$L$1300,931+CZ$3,2+CZ$2)&lt;&gt;"",INDEX('×入力'!$A$1:$L$1300,930,2+CZ$2)&lt;&gt;"",INDEX('×入力'!$A$1:$L$1300,931+CZ$3,1)&lt;&gt;""),1,0),0)</f>
        <v/>
      </c>
      <c r="DA43">
        <f>IF(DA$4=1,IF(OR(INDEX('×入力'!$A$1:$L$1300,931+DA$3,2+DA$2)&lt;&gt;"",INDEX('×入力'!$A$1:$L$1300,930,2+DA$2)&lt;&gt;"",INDEX('×入力'!$A$1:$L$1300,931+DA$3,1)&lt;&gt;""),1,0),0)</f>
        <v/>
      </c>
      <c r="DB43">
        <f>IF(DB$4=1,IF(OR(INDEX('×入力'!$A$1:$L$1300,931+DB$3,2+DB$2)&lt;&gt;"",INDEX('×入力'!$A$1:$L$1300,930,2+DB$2)&lt;&gt;"",INDEX('×入力'!$A$1:$L$1300,931+DB$3,1)&lt;&gt;""),1,0),0)</f>
        <v/>
      </c>
      <c r="DC43">
        <f>IF(DC$4=1,IF(OR(INDEX('×入力'!$A$1:$L$1300,931+DC$3,2+DC$2)&lt;&gt;"",INDEX('×入力'!$A$1:$L$1300,930,2+DC$2)&lt;&gt;"",INDEX('×入力'!$A$1:$L$1300,931+DC$3,1)&lt;&gt;""),1,0),0)</f>
        <v/>
      </c>
      <c r="DD43">
        <f>IF(DD$4=1,IF(OR(INDEX('×入力'!$A$1:$L$1300,931+DD$3,2+DD$2)&lt;&gt;"",INDEX('×入力'!$A$1:$L$1300,930,2+DD$2)&lt;&gt;"",INDEX('×入力'!$A$1:$L$1300,931+DD$3,1)&lt;&gt;""),1,0),0)</f>
        <v/>
      </c>
      <c r="DE43">
        <f>IF(DE$4=1,IF(OR(INDEX('×入力'!$A$1:$L$1300,931+DE$3,2+DE$2)&lt;&gt;"",INDEX('×入力'!$A$1:$L$1300,930,2+DE$2)&lt;&gt;"",INDEX('×入力'!$A$1:$L$1300,931+DE$3,1)&lt;&gt;""),1,0),0)</f>
        <v/>
      </c>
      <c r="DF43">
        <f>IF(DF$4=1,IF(OR(INDEX('×入力'!$A$1:$L$1300,931+DF$3,2+DF$2)&lt;&gt;"",INDEX('×入力'!$A$1:$L$1300,930,2+DF$2)&lt;&gt;"",INDEX('×入力'!$A$1:$L$1300,931+DF$3,1)&lt;&gt;""),1,0),0)</f>
        <v/>
      </c>
      <c r="DG43">
        <f>IF(DG$4=1,IF(OR(INDEX('×入力'!$A$1:$L$1300,931+DG$3,2+DG$2)&lt;&gt;"",INDEX('×入力'!$A$1:$L$1300,930,2+DG$2)&lt;&gt;"",INDEX('×入力'!$A$1:$L$1300,931+DG$3,1)&lt;&gt;""),1,0),0)</f>
        <v/>
      </c>
      <c r="DH43">
        <f>IF(DH$4=1,IF(OR(INDEX('×入力'!$A$1:$L$1300,931+DH$3,2+DH$2)&lt;&gt;"",INDEX('×入力'!$A$1:$L$1300,930,2+DH$2)&lt;&gt;"",INDEX('×入力'!$A$1:$L$1300,931+DH$3,1)&lt;&gt;""),1,0),0)</f>
        <v/>
      </c>
      <c r="DI43">
        <f>IF(DI$4=1,IF(OR(INDEX('×入力'!$A$1:$L$1300,931+DI$3,2+DI$2)&lt;&gt;"",INDEX('×入力'!$A$1:$L$1300,930,2+DI$2)&lt;&gt;"",INDEX('×入力'!$A$1:$L$1300,931+DI$3,1)&lt;&gt;""),1,0),0)</f>
        <v/>
      </c>
      <c r="DJ43">
        <f>IF(DJ$4=1,IF(OR(INDEX('×入力'!$A$1:$L$1300,931+DJ$3,2+DJ$2)&lt;&gt;"",INDEX('×入力'!$A$1:$L$1300,930,2+DJ$2)&lt;&gt;"",INDEX('×入力'!$A$1:$L$1300,931+DJ$3,1)&lt;&gt;""),1,0),0)</f>
        <v/>
      </c>
      <c r="DK43">
        <f>IF(DK$4=1,IF(OR(INDEX('×入力'!$A$1:$L$1300,931+DK$3,2+DK$2)&lt;&gt;"",INDEX('×入力'!$A$1:$L$1300,930,2+DK$2)&lt;&gt;"",INDEX('×入力'!$A$1:$L$1300,931+DK$3,1)&lt;&gt;""),1,0),0)</f>
        <v/>
      </c>
      <c r="DL43">
        <f>IF(DL$4=1,IF(OR(INDEX('×入力'!$A$1:$L$1300,931+DL$3,2+DL$2)&lt;&gt;"",INDEX('×入力'!$A$1:$L$1300,930,2+DL$2)&lt;&gt;"",INDEX('×入力'!$A$1:$L$1300,931+DL$3,1)&lt;&gt;""),1,0),0)</f>
        <v/>
      </c>
      <c r="DM43">
        <f>IF(DM$4=1,IF(OR(INDEX('×入力'!$A$1:$L$1300,931+DM$3,2+DM$2)&lt;&gt;"",INDEX('×入力'!$A$1:$L$1300,930,2+DM$2)&lt;&gt;"",INDEX('×入力'!$A$1:$L$1300,931+DM$3,1)&lt;&gt;""),1,0),0)</f>
        <v/>
      </c>
      <c r="DN43">
        <f>IF(DN$4=1,IF(OR(INDEX('×入力'!$A$1:$L$1300,931+DN$3,2+DN$2)&lt;&gt;"",INDEX('×入力'!$A$1:$L$1300,930,2+DN$2)&lt;&gt;"",INDEX('×入力'!$A$1:$L$1300,931+DN$3,1)&lt;&gt;""),1,0),0)</f>
        <v/>
      </c>
      <c r="DO43">
        <f>IF(DO$4=1,IF(OR(INDEX('×入力'!$A$1:$L$1300,931+DO$3,2+DO$2)&lt;&gt;"",INDEX('×入力'!$A$1:$L$1300,930,2+DO$2)&lt;&gt;"",INDEX('×入力'!$A$1:$L$1300,931+DO$3,1)&lt;&gt;""),1,0),0)</f>
        <v/>
      </c>
      <c r="DP43">
        <f>IF(DP$4=1,IF(OR(INDEX('×入力'!$A$1:$L$1300,931+DP$3,2+DP$2)&lt;&gt;"",INDEX('×入力'!$A$1:$L$1300,930,2+DP$2)&lt;&gt;"",INDEX('×入力'!$A$1:$L$1300,931+DP$3,1)&lt;&gt;""),1,0),0)</f>
        <v/>
      </c>
      <c r="DQ43">
        <f>IF(DQ$4=1,IF(OR(INDEX('×入力'!$A$1:$L$1300,931+DQ$3,2+DQ$2)&lt;&gt;"",INDEX('×入力'!$A$1:$L$1300,930,2+DQ$2)&lt;&gt;"",INDEX('×入力'!$A$1:$L$1300,931+DQ$3,1)&lt;&gt;""),1,0),0)</f>
        <v/>
      </c>
      <c r="DR43">
        <f>IF(DR$4=1,IF(OR(INDEX('×入力'!$A$1:$L$1300,931+DR$3,2+DR$2)&lt;&gt;"",INDEX('×入力'!$A$1:$L$1300,930,2+DR$2)&lt;&gt;"",INDEX('×入力'!$A$1:$L$1300,931+DR$3,1)&lt;&gt;""),1,0),0)</f>
        <v/>
      </c>
      <c r="DS43">
        <f>IF(DS$4=1,IF(OR(INDEX('×入力'!$A$1:$L$1300,931+DS$3,2+DS$2)&lt;&gt;"",INDEX('×入力'!$A$1:$L$1300,930,2+DS$2)&lt;&gt;"",INDEX('×入力'!$A$1:$L$1300,931+DS$3,1)&lt;&gt;""),1,0),0)</f>
        <v/>
      </c>
      <c r="DT43">
        <f>IF(DT$4=1,IF(OR(INDEX('×入力'!$A$1:$L$1300,931+DT$3,2+DT$2)&lt;&gt;"",INDEX('×入力'!$A$1:$L$1300,930,2+DT$2)&lt;&gt;"",INDEX('×入力'!$A$1:$L$1300,931+DT$3,1)&lt;&gt;""),1,0),0)</f>
        <v/>
      </c>
      <c r="DU43">
        <f>IF(DU$4=1,IF(OR(INDEX('×入力'!$A$1:$L$1300,931+DU$3,2+DU$2)&lt;&gt;"",INDEX('×入力'!$A$1:$L$1300,930,2+DU$2)&lt;&gt;"",INDEX('×入力'!$A$1:$L$1300,931+DU$3,1)&lt;&gt;""),1,0),0)</f>
        <v/>
      </c>
      <c r="DV43">
        <f>IF(DV$4=1,IF(OR(INDEX('×入力'!$A$1:$L$1300,931+DV$3,2+DV$2)&lt;&gt;"",INDEX('×入力'!$A$1:$L$1300,930,2+DV$2)&lt;&gt;"",INDEX('×入力'!$A$1:$L$1300,931+DV$3,1)&lt;&gt;""),1,0),0)</f>
        <v/>
      </c>
      <c r="DW43">
        <f>IF(DW$4=1,IF(OR(INDEX('×入力'!$A$1:$L$1300,931+DW$3,2+DW$2)&lt;&gt;"",INDEX('×入力'!$A$1:$L$1300,930,2+DW$2)&lt;&gt;"",INDEX('×入力'!$A$1:$L$1300,931+DW$3,1)&lt;&gt;""),1,0),0)</f>
        <v/>
      </c>
      <c r="DX43">
        <f>IF(DX$4=1,IF(OR(INDEX('×入力'!$A$1:$L$1300,931+DX$3,2+DX$2)&lt;&gt;"",INDEX('×入力'!$A$1:$L$1300,930,2+DX$2)&lt;&gt;"",INDEX('×入力'!$A$1:$L$1300,931+DX$3,1)&lt;&gt;""),1,0),0)</f>
        <v/>
      </c>
      <c r="DY43">
        <f>IF(DY$4=1,IF(OR(INDEX('×入力'!$A$1:$L$1300,931+DY$3,2+DY$2)&lt;&gt;"",INDEX('×入力'!$A$1:$L$1300,930,2+DY$2)&lt;&gt;"",INDEX('×入力'!$A$1:$L$1300,931+DY$3,1)&lt;&gt;""),1,0),0)</f>
        <v/>
      </c>
      <c r="DZ43">
        <f>IF(DZ$4=1,IF(OR(INDEX('×入力'!$A$1:$L$1300,931+DZ$3,2+DZ$2)&lt;&gt;"",INDEX('×入力'!$A$1:$L$1300,930,2+DZ$2)&lt;&gt;"",INDEX('×入力'!$A$1:$L$1300,931+DZ$3,1)&lt;&gt;""),1,0),0)</f>
        <v/>
      </c>
      <c r="EA43">
        <f>IF(EA$4=1,IF(OR(INDEX('×入力'!$A$1:$L$1300,931+EA$3,2+EA$2)&lt;&gt;"",INDEX('×入力'!$A$1:$L$1300,930,2+EA$2)&lt;&gt;"",INDEX('×入力'!$A$1:$L$1300,931+EA$3,1)&lt;&gt;""),1,0),0)</f>
        <v/>
      </c>
      <c r="EB43">
        <f>IF(EB$4=1,IF(OR(INDEX('×入力'!$A$1:$L$1300,931+EB$3,2+EB$2)&lt;&gt;"",INDEX('×入力'!$A$1:$L$1300,930,2+EB$2)&lt;&gt;"",INDEX('×入力'!$A$1:$L$1300,931+EB$3,1)&lt;&gt;""),1,0),0)</f>
        <v/>
      </c>
      <c r="EC43">
        <f>IF(EC$4=1,IF(OR(INDEX('×入力'!$A$1:$L$1300,931+EC$3,2+EC$2)&lt;&gt;"",INDEX('×入力'!$A$1:$L$1300,930,2+EC$2)&lt;&gt;"",INDEX('×入力'!$A$1:$L$1300,931+EC$3,1)&lt;&gt;""),1,0),0)</f>
        <v/>
      </c>
      <c r="ED43">
        <f>IF(ED$4=1,IF(OR(INDEX('×入力'!$A$1:$L$1300,931+ED$3,2+ED$2)&lt;&gt;"",INDEX('×入力'!$A$1:$L$1300,930,2+ED$2)&lt;&gt;"",INDEX('×入力'!$A$1:$L$1300,931+ED$3,1)&lt;&gt;""),1,0),0)</f>
        <v/>
      </c>
      <c r="EE43">
        <f>IF(EE$4=1,IF(OR(INDEX('×入力'!$A$1:$L$1300,931+EE$3,2+EE$2)&lt;&gt;"",INDEX('×入力'!$A$1:$L$1300,930,2+EE$2)&lt;&gt;"",INDEX('×入力'!$A$1:$L$1300,931+EE$3,1)&lt;&gt;""),1,0),0)</f>
        <v/>
      </c>
      <c r="EF43">
        <f>IF(EF$4=1,IF(OR(INDEX('×入力'!$A$1:$L$1300,931+EF$3,2+EF$2)&lt;&gt;"",INDEX('×入力'!$A$1:$L$1300,930,2+EF$2)&lt;&gt;"",INDEX('×入力'!$A$1:$L$1300,931+EF$3,1)&lt;&gt;""),1,0),0)</f>
        <v/>
      </c>
      <c r="EG43">
        <f>IF(EG$4=1,IF(OR(INDEX('×入力'!$A$1:$L$1300,931+EG$3,2+EG$2)&lt;&gt;"",INDEX('×入力'!$A$1:$L$1300,930,2+EG$2)&lt;&gt;"",INDEX('×入力'!$A$1:$L$1300,931+EG$3,1)&lt;&gt;""),1,0),0)</f>
        <v/>
      </c>
      <c r="EH43">
        <f>IF(EH$4=1,IF(OR(INDEX('×入力'!$A$1:$L$1300,931+EH$3,2+EH$2)&lt;&gt;"",INDEX('×入力'!$A$1:$L$1300,930,2+EH$2)&lt;&gt;"",INDEX('×入力'!$A$1:$L$1300,931+EH$3,1)&lt;&gt;""),1,0),0)</f>
        <v/>
      </c>
      <c r="EI43">
        <f>IF(EI$4=1,IF(OR(INDEX('×入力'!$A$1:$L$1300,931+EI$3,2+EI$2)&lt;&gt;"",INDEX('×入力'!$A$1:$L$1300,930,2+EI$2)&lt;&gt;"",INDEX('×入力'!$A$1:$L$1300,931+EI$3,1)&lt;&gt;""),1,0),0)</f>
        <v/>
      </c>
      <c r="EJ43">
        <f>IF(EJ$4=1,IF(OR(INDEX('×入力'!$A$1:$L$1300,931+EJ$3,2+EJ$2)&lt;&gt;"",INDEX('×入力'!$A$1:$L$1300,930,2+EJ$2)&lt;&gt;"",INDEX('×入力'!$A$1:$L$1300,931+EJ$3,1)&lt;&gt;""),1,0),0)</f>
        <v/>
      </c>
      <c r="EK43">
        <f>IF(EK$4=1,IF(OR(INDEX('×入力'!$A$1:$L$1300,931+EK$3,2+EK$2)&lt;&gt;"",INDEX('×入力'!$A$1:$L$1300,930,2+EK$2)&lt;&gt;"",INDEX('×入力'!$A$1:$L$1300,931+EK$3,1)&lt;&gt;""),1,0),0)</f>
        <v/>
      </c>
      <c r="EL43">
        <f>IF(EL$4=1,IF(OR(INDEX('×入力'!$A$1:$L$1300,931+EL$3,2+EL$2)&lt;&gt;"",INDEX('×入力'!$A$1:$L$1300,930,2+EL$2)&lt;&gt;"",INDEX('×入力'!$A$1:$L$1300,931+EL$3,1)&lt;&gt;""),1,0),0)</f>
        <v/>
      </c>
      <c r="EM43">
        <f>IF(EM$4=1,IF(OR(INDEX('×入力'!$A$1:$L$1300,931+EM$3,2+EM$2)&lt;&gt;"",INDEX('×入力'!$A$1:$L$1300,930,2+EM$2)&lt;&gt;"",INDEX('×入力'!$A$1:$L$1300,931+EM$3,1)&lt;&gt;""),1,0),0)</f>
        <v/>
      </c>
      <c r="EN43">
        <f>IF(EN$4=1,IF(OR(INDEX('×入力'!$A$1:$L$1300,931+EN$3,2+EN$2)&lt;&gt;"",INDEX('×入力'!$A$1:$L$1300,930,2+EN$2)&lt;&gt;"",INDEX('×入力'!$A$1:$L$1300,931+EN$3,1)&lt;&gt;""),1,0),0)</f>
        <v/>
      </c>
      <c r="EO43">
        <f>IF(EO$4=1,IF(OR(INDEX('×入力'!$A$1:$L$1300,931+EO$3,2+EO$2)&lt;&gt;"",INDEX('×入力'!$A$1:$L$1300,930,2+EO$2)&lt;&gt;"",INDEX('×入力'!$A$1:$L$1300,931+EO$3,1)&lt;&gt;""),1,0),0)</f>
        <v/>
      </c>
      <c r="EP43">
        <f>IF(EP$4=1,IF(OR(INDEX('×入力'!$A$1:$L$1300,931+EP$3,2+EP$2)&lt;&gt;"",INDEX('×入力'!$A$1:$L$1300,930,2+EP$2)&lt;&gt;"",INDEX('×入力'!$A$1:$L$1300,931+EP$3,1)&lt;&gt;""),1,0),0)</f>
        <v/>
      </c>
      <c r="EQ43">
        <f>IF(EQ$4=1,IF(OR(INDEX('×入力'!$A$1:$L$1300,931+EQ$3,2+EQ$2)&lt;&gt;"",INDEX('×入力'!$A$1:$L$1300,930,2+EQ$2)&lt;&gt;"",INDEX('×入力'!$A$1:$L$1300,931+EQ$3,1)&lt;&gt;""),1,0),0)</f>
        <v/>
      </c>
      <c r="HA43">
        <f>MAX(0,IT43)</f>
        <v/>
      </c>
      <c r="HB43">
        <f>IF(HA43=0,0,INDEX($D$2:$EQ$2,HA43))</f>
        <v/>
      </c>
      <c r="HC43">
        <f>IF(HA43=0,0,INDEX($D$3:$EQ$3,HA43))</f>
        <v/>
      </c>
      <c r="HD43">
        <f>MAX(0,IY43)</f>
        <v/>
      </c>
      <c r="HE43">
        <f>IF(HD43=0,0,INDEX($D$2:$EQ$2,HD43))</f>
        <v/>
      </c>
      <c r="HF43">
        <f>IF(HD43=0,0,INDEX($D$3:$EQ$3,HD43))</f>
        <v/>
      </c>
      <c r="HG43">
        <f>MAX(0,IZ43)</f>
        <v/>
      </c>
      <c r="HH43">
        <f>IF(HG43=0,0,INDEX($D$2:$EQ$2,HG43))</f>
        <v/>
      </c>
      <c r="HI43">
        <f>IF(HG43=0,0,INDEX($D$3:$EQ$3,HG43))</f>
        <v/>
      </c>
      <c r="HJ43">
        <f>IF(AND(HA43&gt;0,HC43&gt;1,OR(HC43-1&lt;&gt;$A$3,$A$4=0)),HA43-1,-1)</f>
        <v/>
      </c>
      <c r="HK43">
        <f>IF(AND(HA43&gt;0,HC43&lt;24,OR(HC43&lt;&gt;$A$3,$A$4=0)),HA43+1,-1)</f>
        <v/>
      </c>
      <c r="HL43">
        <f>IF(AND(HD43&gt;0,HF43&gt;1,OR(HF43-1&lt;&gt;$A$3,$A$4=0)),HD43-1,-1)</f>
        <v/>
      </c>
      <c r="HM43">
        <f>IF(AND(HD43&gt;0,HF43&lt;24,OR(HF43&lt;&gt;$A$3,$A$4=0)),HD43+1,-1)</f>
        <v/>
      </c>
      <c r="HN43">
        <f>IF(AND(HG43&gt;0,HI43&gt;1,OR(HI43-1&lt;&gt;$A$3,$A$4=0)),HG43-1,-1)</f>
        <v/>
      </c>
      <c r="HO43">
        <f>IF(AND(HG43&gt;0,HI43&lt;24,OR(HI43&lt;&gt;$A$3,$A$4=0)),HG43+1,-1)</f>
        <v/>
      </c>
      <c r="IK43">
        <f>IFERROR(INDEX('calcB'!$C$3:$C$47,MATCH(A43,'calcB'!$B$3:$B$47,0)),0)</f>
        <v/>
      </c>
      <c r="IL43">
        <f>IF(AND(C43=1,IK43=0,calcA!$A$6=1),1,0)</f>
        <v/>
      </c>
      <c r="IM43">
        <f>SUMPRODUCT(D93:EQ93*(1-$D$7:$EQ$7))</f>
        <v/>
      </c>
      <c r="IN43">
        <f>SUM(D43:EQ43)</f>
        <v/>
      </c>
      <c r="IO43">
        <f>IF(B43="",0,IF(COUNTIF('調整・決定'!$C$6:$H$29,B43)=1,SUMPRODUCT(('調整・決定'!$C$6:$H$29=B43)*((COLUMN('調整・決定'!$C$6:$H$29)-3)*24+ROW('調整・決定'!$C$6:$H$29)-5)),0))</f>
        <v/>
      </c>
      <c r="IP43">
        <f>IFERROR(MATCH('名簿'!C38,{"早い時刻","遅い時刻","早い日","遅い日"},0),0)</f>
        <v/>
      </c>
      <c r="IQ43">
        <f>IF('名簿'!D38="必ず空けたい",2,IF('名簿'!D38="出来れば空けたい",1,0))</f>
        <v/>
      </c>
      <c r="IR43">
        <f>IFERROR(INDEX('calcC'!$C$3:$C$47,MATCH(A43,'calcC'!$B$3:$B$47,0)),0)</f>
        <v/>
      </c>
      <c r="IS43">
        <f>IF(AND(C43=1,IR43=0,calcA!$A$6=1),1,0)</f>
        <v/>
      </c>
      <c r="IT43">
        <f>IF(OR('名簿'!G38="",'名簿'!H38=""),0,IFERROR((MATCH('名簿'!G38,'設定'!$E$11:$E$16,0)-1)*24+MATCH('名簿'!H38,'設定'!$I$11:$I$34,0),-1))</f>
        <v/>
      </c>
      <c r="IV43">
        <f>IF(OR(JF43=0,IO43=0),1,IF(OR(IF(IT43&gt;0,AND(INDEX($D$2:$EQ$2,IO43)=INDEX($D$2:$EQ$2,IT43),OR(AND(IO43=IT43+1,OR(INDEX($D$3:$EQ$3,IT43)&lt;&gt;$A$3,$A$4=0)),AND(IO43=IT43-1,OR(INDEX($D$3:$EQ$3,IO43)&lt;&gt;$A$3,$A$4=0)))),FALSE),IF(IY43&gt;0,AND(INDEX($D$2:$EQ$2,IO43)=INDEX($D$2:$EQ$2,IY43),OR(AND(IO43=IY43+1,OR(INDEX($D$3:$EQ$3,IY43)&lt;&gt;$A$3,$A$4=0)),AND(IO43=IY43-1,OR(INDEX($D$3:$EQ$3,IO43)&lt;&gt;$A$3,$A$4=0)))),FALSE),IF(IZ43&gt;0,AND(INDEX($D$2:$EQ$2,IO43)=INDEX($D$2:$EQ$2,IZ43),OR(AND(IO43=IZ43+1,OR(INDEX($D$3:$EQ$3,IZ43)&lt;&gt;$A$3,$A$4=0)),AND(IO43=IZ43-1,OR(INDEX($D$3:$EQ$3,IO43)&lt;&gt;$A$3,$A$4=0)))),FALSE)),1,0))</f>
        <v/>
      </c>
      <c r="IW43">
        <f>IF(AND('名簿'!E38&lt;&gt;"",JF43=0),1,0)</f>
        <v/>
      </c>
      <c r="IX43">
        <f>IF('名簿'!D38="空けない",1,0)</f>
        <v/>
      </c>
      <c r="IY43">
        <f>IF(OR('名簿'!J38="",'名簿'!K38=""),0,IFERROR((MATCH('名簿'!J38,'設定'!$E$11:$E$16,0)-1)*24+MATCH('名簿'!K38,'設定'!$I$11:$I$34,0),-1))</f>
        <v/>
      </c>
      <c r="IZ43">
        <f>IF(OR('名簿'!M38="",'名簿'!N38=""),0,IFERROR((MATCH('名簿'!M38,'設定'!$E$11:$E$16,0)-1)*24+MATCH('名簿'!N38,'設定'!$I$11:$I$34,0),-1))</f>
        <v/>
      </c>
      <c r="JC43">
        <f>IF(RIGHT('名簿'!I38,2)="の前",1,IF(RIGHT('名簿'!I38,2)="の後",2,0))</f>
        <v/>
      </c>
      <c r="JD43">
        <f>IF(RIGHT('名簿'!L38,2)="の前",1,IF(RIGHT('名簿'!L38,2)="の後",2,0))</f>
        <v/>
      </c>
      <c r="JE43">
        <f>IF(RIGHT('名簿'!O38,2)="の前",1,IF(RIGHT('名簿'!O38,2)="の後",2,0))</f>
        <v/>
      </c>
      <c r="JF43">
        <f>IF(OR(IT43&gt;0,IY43&gt;0,IZ43&gt;0),1,0)</f>
        <v/>
      </c>
      <c r="JG43">
        <f>IF(OR(IT43&lt;0,IY43&lt;0,IZ43&lt;0),1,0)</f>
        <v/>
      </c>
    </row>
    <row r="44">
      <c r="A44" t="n">
        <v>35</v>
      </c>
      <c r="B44">
        <f>'名簿'!P39</f>
        <v/>
      </c>
      <c r="C44">
        <f>IF(AND(B44&lt;&gt;"",OR('名簿'!Q39="入力済み",'名簿'!Q39="×なし"),IO44=0,COUNTIF('調整・決定'!$C$6:$H$29,B44)=0),1,0)</f>
        <v/>
      </c>
      <c r="D44">
        <f>IF(D$4=1,IF(OR(INDEX('×入力'!$A$1:$L$1300,959+D$3,2+D$2)&lt;&gt;"",INDEX('×入力'!$A$1:$L$1300,958,2+D$2)&lt;&gt;"",INDEX('×入力'!$A$1:$L$1300,959+D$3,1)&lt;&gt;""),1,0),0)</f>
        <v/>
      </c>
      <c r="E44">
        <f>IF(E$4=1,IF(OR(INDEX('×入力'!$A$1:$L$1300,959+E$3,2+E$2)&lt;&gt;"",INDEX('×入力'!$A$1:$L$1300,958,2+E$2)&lt;&gt;"",INDEX('×入力'!$A$1:$L$1300,959+E$3,1)&lt;&gt;""),1,0),0)</f>
        <v/>
      </c>
      <c r="F44">
        <f>IF(F$4=1,IF(OR(INDEX('×入力'!$A$1:$L$1300,959+F$3,2+F$2)&lt;&gt;"",INDEX('×入力'!$A$1:$L$1300,958,2+F$2)&lt;&gt;"",INDEX('×入力'!$A$1:$L$1300,959+F$3,1)&lt;&gt;""),1,0),0)</f>
        <v/>
      </c>
      <c r="G44">
        <f>IF(G$4=1,IF(OR(INDEX('×入力'!$A$1:$L$1300,959+G$3,2+G$2)&lt;&gt;"",INDEX('×入力'!$A$1:$L$1300,958,2+G$2)&lt;&gt;"",INDEX('×入力'!$A$1:$L$1300,959+G$3,1)&lt;&gt;""),1,0),0)</f>
        <v/>
      </c>
      <c r="H44">
        <f>IF(H$4=1,IF(OR(INDEX('×入力'!$A$1:$L$1300,959+H$3,2+H$2)&lt;&gt;"",INDEX('×入力'!$A$1:$L$1300,958,2+H$2)&lt;&gt;"",INDEX('×入力'!$A$1:$L$1300,959+H$3,1)&lt;&gt;""),1,0),0)</f>
        <v/>
      </c>
      <c r="I44">
        <f>IF(I$4=1,IF(OR(INDEX('×入力'!$A$1:$L$1300,959+I$3,2+I$2)&lt;&gt;"",INDEX('×入力'!$A$1:$L$1300,958,2+I$2)&lt;&gt;"",INDEX('×入力'!$A$1:$L$1300,959+I$3,1)&lt;&gt;""),1,0),0)</f>
        <v/>
      </c>
      <c r="J44">
        <f>IF(J$4=1,IF(OR(INDEX('×入力'!$A$1:$L$1300,959+J$3,2+J$2)&lt;&gt;"",INDEX('×入力'!$A$1:$L$1300,958,2+J$2)&lt;&gt;"",INDEX('×入力'!$A$1:$L$1300,959+J$3,1)&lt;&gt;""),1,0),0)</f>
        <v/>
      </c>
      <c r="K44">
        <f>IF(K$4=1,IF(OR(INDEX('×入力'!$A$1:$L$1300,959+K$3,2+K$2)&lt;&gt;"",INDEX('×入力'!$A$1:$L$1300,958,2+K$2)&lt;&gt;"",INDEX('×入力'!$A$1:$L$1300,959+K$3,1)&lt;&gt;""),1,0),0)</f>
        <v/>
      </c>
      <c r="L44">
        <f>IF(L$4=1,IF(OR(INDEX('×入力'!$A$1:$L$1300,959+L$3,2+L$2)&lt;&gt;"",INDEX('×入力'!$A$1:$L$1300,958,2+L$2)&lt;&gt;"",INDEX('×入力'!$A$1:$L$1300,959+L$3,1)&lt;&gt;""),1,0),0)</f>
        <v/>
      </c>
      <c r="M44">
        <f>IF(M$4=1,IF(OR(INDEX('×入力'!$A$1:$L$1300,959+M$3,2+M$2)&lt;&gt;"",INDEX('×入力'!$A$1:$L$1300,958,2+M$2)&lt;&gt;"",INDEX('×入力'!$A$1:$L$1300,959+M$3,1)&lt;&gt;""),1,0),0)</f>
        <v/>
      </c>
      <c r="N44">
        <f>IF(N$4=1,IF(OR(INDEX('×入力'!$A$1:$L$1300,959+N$3,2+N$2)&lt;&gt;"",INDEX('×入力'!$A$1:$L$1300,958,2+N$2)&lt;&gt;"",INDEX('×入力'!$A$1:$L$1300,959+N$3,1)&lt;&gt;""),1,0),0)</f>
        <v/>
      </c>
      <c r="O44">
        <f>IF(O$4=1,IF(OR(INDEX('×入力'!$A$1:$L$1300,959+O$3,2+O$2)&lt;&gt;"",INDEX('×入力'!$A$1:$L$1300,958,2+O$2)&lt;&gt;"",INDEX('×入力'!$A$1:$L$1300,959+O$3,1)&lt;&gt;""),1,0),0)</f>
        <v/>
      </c>
      <c r="P44">
        <f>IF(P$4=1,IF(OR(INDEX('×入力'!$A$1:$L$1300,959+P$3,2+P$2)&lt;&gt;"",INDEX('×入力'!$A$1:$L$1300,958,2+P$2)&lt;&gt;"",INDEX('×入力'!$A$1:$L$1300,959+P$3,1)&lt;&gt;""),1,0),0)</f>
        <v/>
      </c>
      <c r="Q44">
        <f>IF(Q$4=1,IF(OR(INDEX('×入力'!$A$1:$L$1300,959+Q$3,2+Q$2)&lt;&gt;"",INDEX('×入力'!$A$1:$L$1300,958,2+Q$2)&lt;&gt;"",INDEX('×入力'!$A$1:$L$1300,959+Q$3,1)&lt;&gt;""),1,0),0)</f>
        <v/>
      </c>
      <c r="R44">
        <f>IF(R$4=1,IF(OR(INDEX('×入力'!$A$1:$L$1300,959+R$3,2+R$2)&lt;&gt;"",INDEX('×入力'!$A$1:$L$1300,958,2+R$2)&lt;&gt;"",INDEX('×入力'!$A$1:$L$1300,959+R$3,1)&lt;&gt;""),1,0),0)</f>
        <v/>
      </c>
      <c r="S44">
        <f>IF(S$4=1,IF(OR(INDEX('×入力'!$A$1:$L$1300,959+S$3,2+S$2)&lt;&gt;"",INDEX('×入力'!$A$1:$L$1300,958,2+S$2)&lt;&gt;"",INDEX('×入力'!$A$1:$L$1300,959+S$3,1)&lt;&gt;""),1,0),0)</f>
        <v/>
      </c>
      <c r="T44">
        <f>IF(T$4=1,IF(OR(INDEX('×入力'!$A$1:$L$1300,959+T$3,2+T$2)&lt;&gt;"",INDEX('×入力'!$A$1:$L$1300,958,2+T$2)&lt;&gt;"",INDEX('×入力'!$A$1:$L$1300,959+T$3,1)&lt;&gt;""),1,0),0)</f>
        <v/>
      </c>
      <c r="U44">
        <f>IF(U$4=1,IF(OR(INDEX('×入力'!$A$1:$L$1300,959+U$3,2+U$2)&lt;&gt;"",INDEX('×入力'!$A$1:$L$1300,958,2+U$2)&lt;&gt;"",INDEX('×入力'!$A$1:$L$1300,959+U$3,1)&lt;&gt;""),1,0),0)</f>
        <v/>
      </c>
      <c r="V44">
        <f>IF(V$4=1,IF(OR(INDEX('×入力'!$A$1:$L$1300,959+V$3,2+V$2)&lt;&gt;"",INDEX('×入力'!$A$1:$L$1300,958,2+V$2)&lt;&gt;"",INDEX('×入力'!$A$1:$L$1300,959+V$3,1)&lt;&gt;""),1,0),0)</f>
        <v/>
      </c>
      <c r="W44">
        <f>IF(W$4=1,IF(OR(INDEX('×入力'!$A$1:$L$1300,959+W$3,2+W$2)&lt;&gt;"",INDEX('×入力'!$A$1:$L$1300,958,2+W$2)&lt;&gt;"",INDEX('×入力'!$A$1:$L$1300,959+W$3,1)&lt;&gt;""),1,0),0)</f>
        <v/>
      </c>
      <c r="X44">
        <f>IF(X$4=1,IF(OR(INDEX('×入力'!$A$1:$L$1300,959+X$3,2+X$2)&lt;&gt;"",INDEX('×入力'!$A$1:$L$1300,958,2+X$2)&lt;&gt;"",INDEX('×入力'!$A$1:$L$1300,959+X$3,1)&lt;&gt;""),1,0),0)</f>
        <v/>
      </c>
      <c r="Y44">
        <f>IF(Y$4=1,IF(OR(INDEX('×入力'!$A$1:$L$1300,959+Y$3,2+Y$2)&lt;&gt;"",INDEX('×入力'!$A$1:$L$1300,958,2+Y$2)&lt;&gt;"",INDEX('×入力'!$A$1:$L$1300,959+Y$3,1)&lt;&gt;""),1,0),0)</f>
        <v/>
      </c>
      <c r="Z44">
        <f>IF(Z$4=1,IF(OR(INDEX('×入力'!$A$1:$L$1300,959+Z$3,2+Z$2)&lt;&gt;"",INDEX('×入力'!$A$1:$L$1300,958,2+Z$2)&lt;&gt;"",INDEX('×入力'!$A$1:$L$1300,959+Z$3,1)&lt;&gt;""),1,0),0)</f>
        <v/>
      </c>
      <c r="AA44">
        <f>IF(AA$4=1,IF(OR(INDEX('×入力'!$A$1:$L$1300,959+AA$3,2+AA$2)&lt;&gt;"",INDEX('×入力'!$A$1:$L$1300,958,2+AA$2)&lt;&gt;"",INDEX('×入力'!$A$1:$L$1300,959+AA$3,1)&lt;&gt;""),1,0),0)</f>
        <v/>
      </c>
      <c r="AB44">
        <f>IF(AB$4=1,IF(OR(INDEX('×入力'!$A$1:$L$1300,959+AB$3,2+AB$2)&lt;&gt;"",INDEX('×入力'!$A$1:$L$1300,958,2+AB$2)&lt;&gt;"",INDEX('×入力'!$A$1:$L$1300,959+AB$3,1)&lt;&gt;""),1,0),0)</f>
        <v/>
      </c>
      <c r="AC44">
        <f>IF(AC$4=1,IF(OR(INDEX('×入力'!$A$1:$L$1300,959+AC$3,2+AC$2)&lt;&gt;"",INDEX('×入力'!$A$1:$L$1300,958,2+AC$2)&lt;&gt;"",INDEX('×入力'!$A$1:$L$1300,959+AC$3,1)&lt;&gt;""),1,0),0)</f>
        <v/>
      </c>
      <c r="AD44">
        <f>IF(AD$4=1,IF(OR(INDEX('×入力'!$A$1:$L$1300,959+AD$3,2+AD$2)&lt;&gt;"",INDEX('×入力'!$A$1:$L$1300,958,2+AD$2)&lt;&gt;"",INDEX('×入力'!$A$1:$L$1300,959+AD$3,1)&lt;&gt;""),1,0),0)</f>
        <v/>
      </c>
      <c r="AE44">
        <f>IF(AE$4=1,IF(OR(INDEX('×入力'!$A$1:$L$1300,959+AE$3,2+AE$2)&lt;&gt;"",INDEX('×入力'!$A$1:$L$1300,958,2+AE$2)&lt;&gt;"",INDEX('×入力'!$A$1:$L$1300,959+AE$3,1)&lt;&gt;""),1,0),0)</f>
        <v/>
      </c>
      <c r="AF44">
        <f>IF(AF$4=1,IF(OR(INDEX('×入力'!$A$1:$L$1300,959+AF$3,2+AF$2)&lt;&gt;"",INDEX('×入力'!$A$1:$L$1300,958,2+AF$2)&lt;&gt;"",INDEX('×入力'!$A$1:$L$1300,959+AF$3,1)&lt;&gt;""),1,0),0)</f>
        <v/>
      </c>
      <c r="AG44">
        <f>IF(AG$4=1,IF(OR(INDEX('×入力'!$A$1:$L$1300,959+AG$3,2+AG$2)&lt;&gt;"",INDEX('×入力'!$A$1:$L$1300,958,2+AG$2)&lt;&gt;"",INDEX('×入力'!$A$1:$L$1300,959+AG$3,1)&lt;&gt;""),1,0),0)</f>
        <v/>
      </c>
      <c r="AH44">
        <f>IF(AH$4=1,IF(OR(INDEX('×入力'!$A$1:$L$1300,959+AH$3,2+AH$2)&lt;&gt;"",INDEX('×入力'!$A$1:$L$1300,958,2+AH$2)&lt;&gt;"",INDEX('×入力'!$A$1:$L$1300,959+AH$3,1)&lt;&gt;""),1,0),0)</f>
        <v/>
      </c>
      <c r="AI44">
        <f>IF(AI$4=1,IF(OR(INDEX('×入力'!$A$1:$L$1300,959+AI$3,2+AI$2)&lt;&gt;"",INDEX('×入力'!$A$1:$L$1300,958,2+AI$2)&lt;&gt;"",INDEX('×入力'!$A$1:$L$1300,959+AI$3,1)&lt;&gt;""),1,0),0)</f>
        <v/>
      </c>
      <c r="AJ44">
        <f>IF(AJ$4=1,IF(OR(INDEX('×入力'!$A$1:$L$1300,959+AJ$3,2+AJ$2)&lt;&gt;"",INDEX('×入力'!$A$1:$L$1300,958,2+AJ$2)&lt;&gt;"",INDEX('×入力'!$A$1:$L$1300,959+AJ$3,1)&lt;&gt;""),1,0),0)</f>
        <v/>
      </c>
      <c r="AK44">
        <f>IF(AK$4=1,IF(OR(INDEX('×入力'!$A$1:$L$1300,959+AK$3,2+AK$2)&lt;&gt;"",INDEX('×入力'!$A$1:$L$1300,958,2+AK$2)&lt;&gt;"",INDEX('×入力'!$A$1:$L$1300,959+AK$3,1)&lt;&gt;""),1,0),0)</f>
        <v/>
      </c>
      <c r="AL44">
        <f>IF(AL$4=1,IF(OR(INDEX('×入力'!$A$1:$L$1300,959+AL$3,2+AL$2)&lt;&gt;"",INDEX('×入力'!$A$1:$L$1300,958,2+AL$2)&lt;&gt;"",INDEX('×入力'!$A$1:$L$1300,959+AL$3,1)&lt;&gt;""),1,0),0)</f>
        <v/>
      </c>
      <c r="AM44">
        <f>IF(AM$4=1,IF(OR(INDEX('×入力'!$A$1:$L$1300,959+AM$3,2+AM$2)&lt;&gt;"",INDEX('×入力'!$A$1:$L$1300,958,2+AM$2)&lt;&gt;"",INDEX('×入力'!$A$1:$L$1300,959+AM$3,1)&lt;&gt;""),1,0),0)</f>
        <v/>
      </c>
      <c r="AN44">
        <f>IF(AN$4=1,IF(OR(INDEX('×入力'!$A$1:$L$1300,959+AN$3,2+AN$2)&lt;&gt;"",INDEX('×入力'!$A$1:$L$1300,958,2+AN$2)&lt;&gt;"",INDEX('×入力'!$A$1:$L$1300,959+AN$3,1)&lt;&gt;""),1,0),0)</f>
        <v/>
      </c>
      <c r="AO44">
        <f>IF(AO$4=1,IF(OR(INDEX('×入力'!$A$1:$L$1300,959+AO$3,2+AO$2)&lt;&gt;"",INDEX('×入力'!$A$1:$L$1300,958,2+AO$2)&lt;&gt;"",INDEX('×入力'!$A$1:$L$1300,959+AO$3,1)&lt;&gt;""),1,0),0)</f>
        <v/>
      </c>
      <c r="AP44">
        <f>IF(AP$4=1,IF(OR(INDEX('×入力'!$A$1:$L$1300,959+AP$3,2+AP$2)&lt;&gt;"",INDEX('×入力'!$A$1:$L$1300,958,2+AP$2)&lt;&gt;"",INDEX('×入力'!$A$1:$L$1300,959+AP$3,1)&lt;&gt;""),1,0),0)</f>
        <v/>
      </c>
      <c r="AQ44">
        <f>IF(AQ$4=1,IF(OR(INDEX('×入力'!$A$1:$L$1300,959+AQ$3,2+AQ$2)&lt;&gt;"",INDEX('×入力'!$A$1:$L$1300,958,2+AQ$2)&lt;&gt;"",INDEX('×入力'!$A$1:$L$1300,959+AQ$3,1)&lt;&gt;""),1,0),0)</f>
        <v/>
      </c>
      <c r="AR44">
        <f>IF(AR$4=1,IF(OR(INDEX('×入力'!$A$1:$L$1300,959+AR$3,2+AR$2)&lt;&gt;"",INDEX('×入力'!$A$1:$L$1300,958,2+AR$2)&lt;&gt;"",INDEX('×入力'!$A$1:$L$1300,959+AR$3,1)&lt;&gt;""),1,0),0)</f>
        <v/>
      </c>
      <c r="AS44">
        <f>IF(AS$4=1,IF(OR(INDEX('×入力'!$A$1:$L$1300,959+AS$3,2+AS$2)&lt;&gt;"",INDEX('×入力'!$A$1:$L$1300,958,2+AS$2)&lt;&gt;"",INDEX('×入力'!$A$1:$L$1300,959+AS$3,1)&lt;&gt;""),1,0),0)</f>
        <v/>
      </c>
      <c r="AT44">
        <f>IF(AT$4=1,IF(OR(INDEX('×入力'!$A$1:$L$1300,959+AT$3,2+AT$2)&lt;&gt;"",INDEX('×入力'!$A$1:$L$1300,958,2+AT$2)&lt;&gt;"",INDEX('×入力'!$A$1:$L$1300,959+AT$3,1)&lt;&gt;""),1,0),0)</f>
        <v/>
      </c>
      <c r="AU44">
        <f>IF(AU$4=1,IF(OR(INDEX('×入力'!$A$1:$L$1300,959+AU$3,2+AU$2)&lt;&gt;"",INDEX('×入力'!$A$1:$L$1300,958,2+AU$2)&lt;&gt;"",INDEX('×入力'!$A$1:$L$1300,959+AU$3,1)&lt;&gt;""),1,0),0)</f>
        <v/>
      </c>
      <c r="AV44">
        <f>IF(AV$4=1,IF(OR(INDEX('×入力'!$A$1:$L$1300,959+AV$3,2+AV$2)&lt;&gt;"",INDEX('×入力'!$A$1:$L$1300,958,2+AV$2)&lt;&gt;"",INDEX('×入力'!$A$1:$L$1300,959+AV$3,1)&lt;&gt;""),1,0),0)</f>
        <v/>
      </c>
      <c r="AW44">
        <f>IF(AW$4=1,IF(OR(INDEX('×入力'!$A$1:$L$1300,959+AW$3,2+AW$2)&lt;&gt;"",INDEX('×入力'!$A$1:$L$1300,958,2+AW$2)&lt;&gt;"",INDEX('×入力'!$A$1:$L$1300,959+AW$3,1)&lt;&gt;""),1,0),0)</f>
        <v/>
      </c>
      <c r="AX44">
        <f>IF(AX$4=1,IF(OR(INDEX('×入力'!$A$1:$L$1300,959+AX$3,2+AX$2)&lt;&gt;"",INDEX('×入力'!$A$1:$L$1300,958,2+AX$2)&lt;&gt;"",INDEX('×入力'!$A$1:$L$1300,959+AX$3,1)&lt;&gt;""),1,0),0)</f>
        <v/>
      </c>
      <c r="AY44">
        <f>IF(AY$4=1,IF(OR(INDEX('×入力'!$A$1:$L$1300,959+AY$3,2+AY$2)&lt;&gt;"",INDEX('×入力'!$A$1:$L$1300,958,2+AY$2)&lt;&gt;"",INDEX('×入力'!$A$1:$L$1300,959+AY$3,1)&lt;&gt;""),1,0),0)</f>
        <v/>
      </c>
      <c r="AZ44">
        <f>IF(AZ$4=1,IF(OR(INDEX('×入力'!$A$1:$L$1300,959+AZ$3,2+AZ$2)&lt;&gt;"",INDEX('×入力'!$A$1:$L$1300,958,2+AZ$2)&lt;&gt;"",INDEX('×入力'!$A$1:$L$1300,959+AZ$3,1)&lt;&gt;""),1,0),0)</f>
        <v/>
      </c>
      <c r="BA44">
        <f>IF(BA$4=1,IF(OR(INDEX('×入力'!$A$1:$L$1300,959+BA$3,2+BA$2)&lt;&gt;"",INDEX('×入力'!$A$1:$L$1300,958,2+BA$2)&lt;&gt;"",INDEX('×入力'!$A$1:$L$1300,959+BA$3,1)&lt;&gt;""),1,0),0)</f>
        <v/>
      </c>
      <c r="BB44">
        <f>IF(BB$4=1,IF(OR(INDEX('×入力'!$A$1:$L$1300,959+BB$3,2+BB$2)&lt;&gt;"",INDEX('×入力'!$A$1:$L$1300,958,2+BB$2)&lt;&gt;"",INDEX('×入力'!$A$1:$L$1300,959+BB$3,1)&lt;&gt;""),1,0),0)</f>
        <v/>
      </c>
      <c r="BC44">
        <f>IF(BC$4=1,IF(OR(INDEX('×入力'!$A$1:$L$1300,959+BC$3,2+BC$2)&lt;&gt;"",INDEX('×入力'!$A$1:$L$1300,958,2+BC$2)&lt;&gt;"",INDEX('×入力'!$A$1:$L$1300,959+BC$3,1)&lt;&gt;""),1,0),0)</f>
        <v/>
      </c>
      <c r="BD44">
        <f>IF(BD$4=1,IF(OR(INDEX('×入力'!$A$1:$L$1300,959+BD$3,2+BD$2)&lt;&gt;"",INDEX('×入力'!$A$1:$L$1300,958,2+BD$2)&lt;&gt;"",INDEX('×入力'!$A$1:$L$1300,959+BD$3,1)&lt;&gt;""),1,0),0)</f>
        <v/>
      </c>
      <c r="BE44">
        <f>IF(BE$4=1,IF(OR(INDEX('×入力'!$A$1:$L$1300,959+BE$3,2+BE$2)&lt;&gt;"",INDEX('×入力'!$A$1:$L$1300,958,2+BE$2)&lt;&gt;"",INDEX('×入力'!$A$1:$L$1300,959+BE$3,1)&lt;&gt;""),1,0),0)</f>
        <v/>
      </c>
      <c r="BF44">
        <f>IF(BF$4=1,IF(OR(INDEX('×入力'!$A$1:$L$1300,959+BF$3,2+BF$2)&lt;&gt;"",INDEX('×入力'!$A$1:$L$1300,958,2+BF$2)&lt;&gt;"",INDEX('×入力'!$A$1:$L$1300,959+BF$3,1)&lt;&gt;""),1,0),0)</f>
        <v/>
      </c>
      <c r="BG44">
        <f>IF(BG$4=1,IF(OR(INDEX('×入力'!$A$1:$L$1300,959+BG$3,2+BG$2)&lt;&gt;"",INDEX('×入力'!$A$1:$L$1300,958,2+BG$2)&lt;&gt;"",INDEX('×入力'!$A$1:$L$1300,959+BG$3,1)&lt;&gt;""),1,0),0)</f>
        <v/>
      </c>
      <c r="BH44">
        <f>IF(BH$4=1,IF(OR(INDEX('×入力'!$A$1:$L$1300,959+BH$3,2+BH$2)&lt;&gt;"",INDEX('×入力'!$A$1:$L$1300,958,2+BH$2)&lt;&gt;"",INDEX('×入力'!$A$1:$L$1300,959+BH$3,1)&lt;&gt;""),1,0),0)</f>
        <v/>
      </c>
      <c r="BI44">
        <f>IF(BI$4=1,IF(OR(INDEX('×入力'!$A$1:$L$1300,959+BI$3,2+BI$2)&lt;&gt;"",INDEX('×入力'!$A$1:$L$1300,958,2+BI$2)&lt;&gt;"",INDEX('×入力'!$A$1:$L$1300,959+BI$3,1)&lt;&gt;""),1,0),0)</f>
        <v/>
      </c>
      <c r="BJ44">
        <f>IF(BJ$4=1,IF(OR(INDEX('×入力'!$A$1:$L$1300,959+BJ$3,2+BJ$2)&lt;&gt;"",INDEX('×入力'!$A$1:$L$1300,958,2+BJ$2)&lt;&gt;"",INDEX('×入力'!$A$1:$L$1300,959+BJ$3,1)&lt;&gt;""),1,0),0)</f>
        <v/>
      </c>
      <c r="BK44">
        <f>IF(BK$4=1,IF(OR(INDEX('×入力'!$A$1:$L$1300,959+BK$3,2+BK$2)&lt;&gt;"",INDEX('×入力'!$A$1:$L$1300,958,2+BK$2)&lt;&gt;"",INDEX('×入力'!$A$1:$L$1300,959+BK$3,1)&lt;&gt;""),1,0),0)</f>
        <v/>
      </c>
      <c r="BL44">
        <f>IF(BL$4=1,IF(OR(INDEX('×入力'!$A$1:$L$1300,959+BL$3,2+BL$2)&lt;&gt;"",INDEX('×入力'!$A$1:$L$1300,958,2+BL$2)&lt;&gt;"",INDEX('×入力'!$A$1:$L$1300,959+BL$3,1)&lt;&gt;""),1,0),0)</f>
        <v/>
      </c>
      <c r="BM44">
        <f>IF(BM$4=1,IF(OR(INDEX('×入力'!$A$1:$L$1300,959+BM$3,2+BM$2)&lt;&gt;"",INDEX('×入力'!$A$1:$L$1300,958,2+BM$2)&lt;&gt;"",INDEX('×入力'!$A$1:$L$1300,959+BM$3,1)&lt;&gt;""),1,0),0)</f>
        <v/>
      </c>
      <c r="BN44">
        <f>IF(BN$4=1,IF(OR(INDEX('×入力'!$A$1:$L$1300,959+BN$3,2+BN$2)&lt;&gt;"",INDEX('×入力'!$A$1:$L$1300,958,2+BN$2)&lt;&gt;"",INDEX('×入力'!$A$1:$L$1300,959+BN$3,1)&lt;&gt;""),1,0),0)</f>
        <v/>
      </c>
      <c r="BO44">
        <f>IF(BO$4=1,IF(OR(INDEX('×入力'!$A$1:$L$1300,959+BO$3,2+BO$2)&lt;&gt;"",INDEX('×入力'!$A$1:$L$1300,958,2+BO$2)&lt;&gt;"",INDEX('×入力'!$A$1:$L$1300,959+BO$3,1)&lt;&gt;""),1,0),0)</f>
        <v/>
      </c>
      <c r="BP44">
        <f>IF(BP$4=1,IF(OR(INDEX('×入力'!$A$1:$L$1300,959+BP$3,2+BP$2)&lt;&gt;"",INDEX('×入力'!$A$1:$L$1300,958,2+BP$2)&lt;&gt;"",INDEX('×入力'!$A$1:$L$1300,959+BP$3,1)&lt;&gt;""),1,0),0)</f>
        <v/>
      </c>
      <c r="BQ44">
        <f>IF(BQ$4=1,IF(OR(INDEX('×入力'!$A$1:$L$1300,959+BQ$3,2+BQ$2)&lt;&gt;"",INDEX('×入力'!$A$1:$L$1300,958,2+BQ$2)&lt;&gt;"",INDEX('×入力'!$A$1:$L$1300,959+BQ$3,1)&lt;&gt;""),1,0),0)</f>
        <v/>
      </c>
      <c r="BR44">
        <f>IF(BR$4=1,IF(OR(INDEX('×入力'!$A$1:$L$1300,959+BR$3,2+BR$2)&lt;&gt;"",INDEX('×入力'!$A$1:$L$1300,958,2+BR$2)&lt;&gt;"",INDEX('×入力'!$A$1:$L$1300,959+BR$3,1)&lt;&gt;""),1,0),0)</f>
        <v/>
      </c>
      <c r="BS44">
        <f>IF(BS$4=1,IF(OR(INDEX('×入力'!$A$1:$L$1300,959+BS$3,2+BS$2)&lt;&gt;"",INDEX('×入力'!$A$1:$L$1300,958,2+BS$2)&lt;&gt;"",INDEX('×入力'!$A$1:$L$1300,959+BS$3,1)&lt;&gt;""),1,0),0)</f>
        <v/>
      </c>
      <c r="BT44">
        <f>IF(BT$4=1,IF(OR(INDEX('×入力'!$A$1:$L$1300,959+BT$3,2+BT$2)&lt;&gt;"",INDEX('×入力'!$A$1:$L$1300,958,2+BT$2)&lt;&gt;"",INDEX('×入力'!$A$1:$L$1300,959+BT$3,1)&lt;&gt;""),1,0),0)</f>
        <v/>
      </c>
      <c r="BU44">
        <f>IF(BU$4=1,IF(OR(INDEX('×入力'!$A$1:$L$1300,959+BU$3,2+BU$2)&lt;&gt;"",INDEX('×入力'!$A$1:$L$1300,958,2+BU$2)&lt;&gt;"",INDEX('×入力'!$A$1:$L$1300,959+BU$3,1)&lt;&gt;""),1,0),0)</f>
        <v/>
      </c>
      <c r="BV44">
        <f>IF(BV$4=1,IF(OR(INDEX('×入力'!$A$1:$L$1300,959+BV$3,2+BV$2)&lt;&gt;"",INDEX('×入力'!$A$1:$L$1300,958,2+BV$2)&lt;&gt;"",INDEX('×入力'!$A$1:$L$1300,959+BV$3,1)&lt;&gt;""),1,0),0)</f>
        <v/>
      </c>
      <c r="BW44">
        <f>IF(BW$4=1,IF(OR(INDEX('×入力'!$A$1:$L$1300,959+BW$3,2+BW$2)&lt;&gt;"",INDEX('×入力'!$A$1:$L$1300,958,2+BW$2)&lt;&gt;"",INDEX('×入力'!$A$1:$L$1300,959+BW$3,1)&lt;&gt;""),1,0),0)</f>
        <v/>
      </c>
      <c r="BX44">
        <f>IF(BX$4=1,IF(OR(INDEX('×入力'!$A$1:$L$1300,959+BX$3,2+BX$2)&lt;&gt;"",INDEX('×入力'!$A$1:$L$1300,958,2+BX$2)&lt;&gt;"",INDEX('×入力'!$A$1:$L$1300,959+BX$3,1)&lt;&gt;""),1,0),0)</f>
        <v/>
      </c>
      <c r="BY44">
        <f>IF(BY$4=1,IF(OR(INDEX('×入力'!$A$1:$L$1300,959+BY$3,2+BY$2)&lt;&gt;"",INDEX('×入力'!$A$1:$L$1300,958,2+BY$2)&lt;&gt;"",INDEX('×入力'!$A$1:$L$1300,959+BY$3,1)&lt;&gt;""),1,0),0)</f>
        <v/>
      </c>
      <c r="BZ44">
        <f>IF(BZ$4=1,IF(OR(INDEX('×入力'!$A$1:$L$1300,959+BZ$3,2+BZ$2)&lt;&gt;"",INDEX('×入力'!$A$1:$L$1300,958,2+BZ$2)&lt;&gt;"",INDEX('×入力'!$A$1:$L$1300,959+BZ$3,1)&lt;&gt;""),1,0),0)</f>
        <v/>
      </c>
      <c r="CA44">
        <f>IF(CA$4=1,IF(OR(INDEX('×入力'!$A$1:$L$1300,959+CA$3,2+CA$2)&lt;&gt;"",INDEX('×入力'!$A$1:$L$1300,958,2+CA$2)&lt;&gt;"",INDEX('×入力'!$A$1:$L$1300,959+CA$3,1)&lt;&gt;""),1,0),0)</f>
        <v/>
      </c>
      <c r="CB44">
        <f>IF(CB$4=1,IF(OR(INDEX('×入力'!$A$1:$L$1300,959+CB$3,2+CB$2)&lt;&gt;"",INDEX('×入力'!$A$1:$L$1300,958,2+CB$2)&lt;&gt;"",INDEX('×入力'!$A$1:$L$1300,959+CB$3,1)&lt;&gt;""),1,0),0)</f>
        <v/>
      </c>
      <c r="CC44">
        <f>IF(CC$4=1,IF(OR(INDEX('×入力'!$A$1:$L$1300,959+CC$3,2+CC$2)&lt;&gt;"",INDEX('×入力'!$A$1:$L$1300,958,2+CC$2)&lt;&gt;"",INDEX('×入力'!$A$1:$L$1300,959+CC$3,1)&lt;&gt;""),1,0),0)</f>
        <v/>
      </c>
      <c r="CD44">
        <f>IF(CD$4=1,IF(OR(INDEX('×入力'!$A$1:$L$1300,959+CD$3,2+CD$2)&lt;&gt;"",INDEX('×入力'!$A$1:$L$1300,958,2+CD$2)&lt;&gt;"",INDEX('×入力'!$A$1:$L$1300,959+CD$3,1)&lt;&gt;""),1,0),0)</f>
        <v/>
      </c>
      <c r="CE44">
        <f>IF(CE$4=1,IF(OR(INDEX('×入力'!$A$1:$L$1300,959+CE$3,2+CE$2)&lt;&gt;"",INDEX('×入力'!$A$1:$L$1300,958,2+CE$2)&lt;&gt;"",INDEX('×入力'!$A$1:$L$1300,959+CE$3,1)&lt;&gt;""),1,0),0)</f>
        <v/>
      </c>
      <c r="CF44">
        <f>IF(CF$4=1,IF(OR(INDEX('×入力'!$A$1:$L$1300,959+CF$3,2+CF$2)&lt;&gt;"",INDEX('×入力'!$A$1:$L$1300,958,2+CF$2)&lt;&gt;"",INDEX('×入力'!$A$1:$L$1300,959+CF$3,1)&lt;&gt;""),1,0),0)</f>
        <v/>
      </c>
      <c r="CG44">
        <f>IF(CG$4=1,IF(OR(INDEX('×入力'!$A$1:$L$1300,959+CG$3,2+CG$2)&lt;&gt;"",INDEX('×入力'!$A$1:$L$1300,958,2+CG$2)&lt;&gt;"",INDEX('×入力'!$A$1:$L$1300,959+CG$3,1)&lt;&gt;""),1,0),0)</f>
        <v/>
      </c>
      <c r="CH44">
        <f>IF(CH$4=1,IF(OR(INDEX('×入力'!$A$1:$L$1300,959+CH$3,2+CH$2)&lt;&gt;"",INDEX('×入力'!$A$1:$L$1300,958,2+CH$2)&lt;&gt;"",INDEX('×入力'!$A$1:$L$1300,959+CH$3,1)&lt;&gt;""),1,0),0)</f>
        <v/>
      </c>
      <c r="CI44">
        <f>IF(CI$4=1,IF(OR(INDEX('×入力'!$A$1:$L$1300,959+CI$3,2+CI$2)&lt;&gt;"",INDEX('×入力'!$A$1:$L$1300,958,2+CI$2)&lt;&gt;"",INDEX('×入力'!$A$1:$L$1300,959+CI$3,1)&lt;&gt;""),1,0),0)</f>
        <v/>
      </c>
      <c r="CJ44">
        <f>IF(CJ$4=1,IF(OR(INDEX('×入力'!$A$1:$L$1300,959+CJ$3,2+CJ$2)&lt;&gt;"",INDEX('×入力'!$A$1:$L$1300,958,2+CJ$2)&lt;&gt;"",INDEX('×入力'!$A$1:$L$1300,959+CJ$3,1)&lt;&gt;""),1,0),0)</f>
        <v/>
      </c>
      <c r="CK44">
        <f>IF(CK$4=1,IF(OR(INDEX('×入力'!$A$1:$L$1300,959+CK$3,2+CK$2)&lt;&gt;"",INDEX('×入力'!$A$1:$L$1300,958,2+CK$2)&lt;&gt;"",INDEX('×入力'!$A$1:$L$1300,959+CK$3,1)&lt;&gt;""),1,0),0)</f>
        <v/>
      </c>
      <c r="CL44">
        <f>IF(CL$4=1,IF(OR(INDEX('×入力'!$A$1:$L$1300,959+CL$3,2+CL$2)&lt;&gt;"",INDEX('×入力'!$A$1:$L$1300,958,2+CL$2)&lt;&gt;"",INDEX('×入力'!$A$1:$L$1300,959+CL$3,1)&lt;&gt;""),1,0),0)</f>
        <v/>
      </c>
      <c r="CM44">
        <f>IF(CM$4=1,IF(OR(INDEX('×入力'!$A$1:$L$1300,959+CM$3,2+CM$2)&lt;&gt;"",INDEX('×入力'!$A$1:$L$1300,958,2+CM$2)&lt;&gt;"",INDEX('×入力'!$A$1:$L$1300,959+CM$3,1)&lt;&gt;""),1,0),0)</f>
        <v/>
      </c>
      <c r="CN44">
        <f>IF(CN$4=1,IF(OR(INDEX('×入力'!$A$1:$L$1300,959+CN$3,2+CN$2)&lt;&gt;"",INDEX('×入力'!$A$1:$L$1300,958,2+CN$2)&lt;&gt;"",INDEX('×入力'!$A$1:$L$1300,959+CN$3,1)&lt;&gt;""),1,0),0)</f>
        <v/>
      </c>
      <c r="CO44">
        <f>IF(CO$4=1,IF(OR(INDEX('×入力'!$A$1:$L$1300,959+CO$3,2+CO$2)&lt;&gt;"",INDEX('×入力'!$A$1:$L$1300,958,2+CO$2)&lt;&gt;"",INDEX('×入力'!$A$1:$L$1300,959+CO$3,1)&lt;&gt;""),1,0),0)</f>
        <v/>
      </c>
      <c r="CP44">
        <f>IF(CP$4=1,IF(OR(INDEX('×入力'!$A$1:$L$1300,959+CP$3,2+CP$2)&lt;&gt;"",INDEX('×入力'!$A$1:$L$1300,958,2+CP$2)&lt;&gt;"",INDEX('×入力'!$A$1:$L$1300,959+CP$3,1)&lt;&gt;""),1,0),0)</f>
        <v/>
      </c>
      <c r="CQ44">
        <f>IF(CQ$4=1,IF(OR(INDEX('×入力'!$A$1:$L$1300,959+CQ$3,2+CQ$2)&lt;&gt;"",INDEX('×入力'!$A$1:$L$1300,958,2+CQ$2)&lt;&gt;"",INDEX('×入力'!$A$1:$L$1300,959+CQ$3,1)&lt;&gt;""),1,0),0)</f>
        <v/>
      </c>
      <c r="CR44">
        <f>IF(CR$4=1,IF(OR(INDEX('×入力'!$A$1:$L$1300,959+CR$3,2+CR$2)&lt;&gt;"",INDEX('×入力'!$A$1:$L$1300,958,2+CR$2)&lt;&gt;"",INDEX('×入力'!$A$1:$L$1300,959+CR$3,1)&lt;&gt;""),1,0),0)</f>
        <v/>
      </c>
      <c r="CS44">
        <f>IF(CS$4=1,IF(OR(INDEX('×入力'!$A$1:$L$1300,959+CS$3,2+CS$2)&lt;&gt;"",INDEX('×入力'!$A$1:$L$1300,958,2+CS$2)&lt;&gt;"",INDEX('×入力'!$A$1:$L$1300,959+CS$3,1)&lt;&gt;""),1,0),0)</f>
        <v/>
      </c>
      <c r="CT44">
        <f>IF(CT$4=1,IF(OR(INDEX('×入力'!$A$1:$L$1300,959+CT$3,2+CT$2)&lt;&gt;"",INDEX('×入力'!$A$1:$L$1300,958,2+CT$2)&lt;&gt;"",INDEX('×入力'!$A$1:$L$1300,959+CT$3,1)&lt;&gt;""),1,0),0)</f>
        <v/>
      </c>
      <c r="CU44">
        <f>IF(CU$4=1,IF(OR(INDEX('×入力'!$A$1:$L$1300,959+CU$3,2+CU$2)&lt;&gt;"",INDEX('×入力'!$A$1:$L$1300,958,2+CU$2)&lt;&gt;"",INDEX('×入力'!$A$1:$L$1300,959+CU$3,1)&lt;&gt;""),1,0),0)</f>
        <v/>
      </c>
      <c r="CV44">
        <f>IF(CV$4=1,IF(OR(INDEX('×入力'!$A$1:$L$1300,959+CV$3,2+CV$2)&lt;&gt;"",INDEX('×入力'!$A$1:$L$1300,958,2+CV$2)&lt;&gt;"",INDEX('×入力'!$A$1:$L$1300,959+CV$3,1)&lt;&gt;""),1,0),0)</f>
        <v/>
      </c>
      <c r="CW44">
        <f>IF(CW$4=1,IF(OR(INDEX('×入力'!$A$1:$L$1300,959+CW$3,2+CW$2)&lt;&gt;"",INDEX('×入力'!$A$1:$L$1300,958,2+CW$2)&lt;&gt;"",INDEX('×入力'!$A$1:$L$1300,959+CW$3,1)&lt;&gt;""),1,0),0)</f>
        <v/>
      </c>
      <c r="CX44">
        <f>IF(CX$4=1,IF(OR(INDEX('×入力'!$A$1:$L$1300,959+CX$3,2+CX$2)&lt;&gt;"",INDEX('×入力'!$A$1:$L$1300,958,2+CX$2)&lt;&gt;"",INDEX('×入力'!$A$1:$L$1300,959+CX$3,1)&lt;&gt;""),1,0),0)</f>
        <v/>
      </c>
      <c r="CY44">
        <f>IF(CY$4=1,IF(OR(INDEX('×入力'!$A$1:$L$1300,959+CY$3,2+CY$2)&lt;&gt;"",INDEX('×入力'!$A$1:$L$1300,958,2+CY$2)&lt;&gt;"",INDEX('×入力'!$A$1:$L$1300,959+CY$3,1)&lt;&gt;""),1,0),0)</f>
        <v/>
      </c>
      <c r="CZ44">
        <f>IF(CZ$4=1,IF(OR(INDEX('×入力'!$A$1:$L$1300,959+CZ$3,2+CZ$2)&lt;&gt;"",INDEX('×入力'!$A$1:$L$1300,958,2+CZ$2)&lt;&gt;"",INDEX('×入力'!$A$1:$L$1300,959+CZ$3,1)&lt;&gt;""),1,0),0)</f>
        <v/>
      </c>
      <c r="DA44">
        <f>IF(DA$4=1,IF(OR(INDEX('×入力'!$A$1:$L$1300,959+DA$3,2+DA$2)&lt;&gt;"",INDEX('×入力'!$A$1:$L$1300,958,2+DA$2)&lt;&gt;"",INDEX('×入力'!$A$1:$L$1300,959+DA$3,1)&lt;&gt;""),1,0),0)</f>
        <v/>
      </c>
      <c r="DB44">
        <f>IF(DB$4=1,IF(OR(INDEX('×入力'!$A$1:$L$1300,959+DB$3,2+DB$2)&lt;&gt;"",INDEX('×入力'!$A$1:$L$1300,958,2+DB$2)&lt;&gt;"",INDEX('×入力'!$A$1:$L$1300,959+DB$3,1)&lt;&gt;""),1,0),0)</f>
        <v/>
      </c>
      <c r="DC44">
        <f>IF(DC$4=1,IF(OR(INDEX('×入力'!$A$1:$L$1300,959+DC$3,2+DC$2)&lt;&gt;"",INDEX('×入力'!$A$1:$L$1300,958,2+DC$2)&lt;&gt;"",INDEX('×入力'!$A$1:$L$1300,959+DC$3,1)&lt;&gt;""),1,0),0)</f>
        <v/>
      </c>
      <c r="DD44">
        <f>IF(DD$4=1,IF(OR(INDEX('×入力'!$A$1:$L$1300,959+DD$3,2+DD$2)&lt;&gt;"",INDEX('×入力'!$A$1:$L$1300,958,2+DD$2)&lt;&gt;"",INDEX('×入力'!$A$1:$L$1300,959+DD$3,1)&lt;&gt;""),1,0),0)</f>
        <v/>
      </c>
      <c r="DE44">
        <f>IF(DE$4=1,IF(OR(INDEX('×入力'!$A$1:$L$1300,959+DE$3,2+DE$2)&lt;&gt;"",INDEX('×入力'!$A$1:$L$1300,958,2+DE$2)&lt;&gt;"",INDEX('×入力'!$A$1:$L$1300,959+DE$3,1)&lt;&gt;""),1,0),0)</f>
        <v/>
      </c>
      <c r="DF44">
        <f>IF(DF$4=1,IF(OR(INDEX('×入力'!$A$1:$L$1300,959+DF$3,2+DF$2)&lt;&gt;"",INDEX('×入力'!$A$1:$L$1300,958,2+DF$2)&lt;&gt;"",INDEX('×入力'!$A$1:$L$1300,959+DF$3,1)&lt;&gt;""),1,0),0)</f>
        <v/>
      </c>
      <c r="DG44">
        <f>IF(DG$4=1,IF(OR(INDEX('×入力'!$A$1:$L$1300,959+DG$3,2+DG$2)&lt;&gt;"",INDEX('×入力'!$A$1:$L$1300,958,2+DG$2)&lt;&gt;"",INDEX('×入力'!$A$1:$L$1300,959+DG$3,1)&lt;&gt;""),1,0),0)</f>
        <v/>
      </c>
      <c r="DH44">
        <f>IF(DH$4=1,IF(OR(INDEX('×入力'!$A$1:$L$1300,959+DH$3,2+DH$2)&lt;&gt;"",INDEX('×入力'!$A$1:$L$1300,958,2+DH$2)&lt;&gt;"",INDEX('×入力'!$A$1:$L$1300,959+DH$3,1)&lt;&gt;""),1,0),0)</f>
        <v/>
      </c>
      <c r="DI44">
        <f>IF(DI$4=1,IF(OR(INDEX('×入力'!$A$1:$L$1300,959+DI$3,2+DI$2)&lt;&gt;"",INDEX('×入力'!$A$1:$L$1300,958,2+DI$2)&lt;&gt;"",INDEX('×入力'!$A$1:$L$1300,959+DI$3,1)&lt;&gt;""),1,0),0)</f>
        <v/>
      </c>
      <c r="DJ44">
        <f>IF(DJ$4=1,IF(OR(INDEX('×入力'!$A$1:$L$1300,959+DJ$3,2+DJ$2)&lt;&gt;"",INDEX('×入力'!$A$1:$L$1300,958,2+DJ$2)&lt;&gt;"",INDEX('×入力'!$A$1:$L$1300,959+DJ$3,1)&lt;&gt;""),1,0),0)</f>
        <v/>
      </c>
      <c r="DK44">
        <f>IF(DK$4=1,IF(OR(INDEX('×入力'!$A$1:$L$1300,959+DK$3,2+DK$2)&lt;&gt;"",INDEX('×入力'!$A$1:$L$1300,958,2+DK$2)&lt;&gt;"",INDEX('×入力'!$A$1:$L$1300,959+DK$3,1)&lt;&gt;""),1,0),0)</f>
        <v/>
      </c>
      <c r="DL44">
        <f>IF(DL$4=1,IF(OR(INDEX('×入力'!$A$1:$L$1300,959+DL$3,2+DL$2)&lt;&gt;"",INDEX('×入力'!$A$1:$L$1300,958,2+DL$2)&lt;&gt;"",INDEX('×入力'!$A$1:$L$1300,959+DL$3,1)&lt;&gt;""),1,0),0)</f>
        <v/>
      </c>
      <c r="DM44">
        <f>IF(DM$4=1,IF(OR(INDEX('×入力'!$A$1:$L$1300,959+DM$3,2+DM$2)&lt;&gt;"",INDEX('×入力'!$A$1:$L$1300,958,2+DM$2)&lt;&gt;"",INDEX('×入力'!$A$1:$L$1300,959+DM$3,1)&lt;&gt;""),1,0),0)</f>
        <v/>
      </c>
      <c r="DN44">
        <f>IF(DN$4=1,IF(OR(INDEX('×入力'!$A$1:$L$1300,959+DN$3,2+DN$2)&lt;&gt;"",INDEX('×入力'!$A$1:$L$1300,958,2+DN$2)&lt;&gt;"",INDEX('×入力'!$A$1:$L$1300,959+DN$3,1)&lt;&gt;""),1,0),0)</f>
        <v/>
      </c>
      <c r="DO44">
        <f>IF(DO$4=1,IF(OR(INDEX('×入力'!$A$1:$L$1300,959+DO$3,2+DO$2)&lt;&gt;"",INDEX('×入力'!$A$1:$L$1300,958,2+DO$2)&lt;&gt;"",INDEX('×入力'!$A$1:$L$1300,959+DO$3,1)&lt;&gt;""),1,0),0)</f>
        <v/>
      </c>
      <c r="DP44">
        <f>IF(DP$4=1,IF(OR(INDEX('×入力'!$A$1:$L$1300,959+DP$3,2+DP$2)&lt;&gt;"",INDEX('×入力'!$A$1:$L$1300,958,2+DP$2)&lt;&gt;"",INDEX('×入力'!$A$1:$L$1300,959+DP$3,1)&lt;&gt;""),1,0),0)</f>
        <v/>
      </c>
      <c r="DQ44">
        <f>IF(DQ$4=1,IF(OR(INDEX('×入力'!$A$1:$L$1300,959+DQ$3,2+DQ$2)&lt;&gt;"",INDEX('×入力'!$A$1:$L$1300,958,2+DQ$2)&lt;&gt;"",INDEX('×入力'!$A$1:$L$1300,959+DQ$3,1)&lt;&gt;""),1,0),0)</f>
        <v/>
      </c>
      <c r="DR44">
        <f>IF(DR$4=1,IF(OR(INDEX('×入力'!$A$1:$L$1300,959+DR$3,2+DR$2)&lt;&gt;"",INDEX('×入力'!$A$1:$L$1300,958,2+DR$2)&lt;&gt;"",INDEX('×入力'!$A$1:$L$1300,959+DR$3,1)&lt;&gt;""),1,0),0)</f>
        <v/>
      </c>
      <c r="DS44">
        <f>IF(DS$4=1,IF(OR(INDEX('×入力'!$A$1:$L$1300,959+DS$3,2+DS$2)&lt;&gt;"",INDEX('×入力'!$A$1:$L$1300,958,2+DS$2)&lt;&gt;"",INDEX('×入力'!$A$1:$L$1300,959+DS$3,1)&lt;&gt;""),1,0),0)</f>
        <v/>
      </c>
      <c r="DT44">
        <f>IF(DT$4=1,IF(OR(INDEX('×入力'!$A$1:$L$1300,959+DT$3,2+DT$2)&lt;&gt;"",INDEX('×入力'!$A$1:$L$1300,958,2+DT$2)&lt;&gt;"",INDEX('×入力'!$A$1:$L$1300,959+DT$3,1)&lt;&gt;""),1,0),0)</f>
        <v/>
      </c>
      <c r="DU44">
        <f>IF(DU$4=1,IF(OR(INDEX('×入力'!$A$1:$L$1300,959+DU$3,2+DU$2)&lt;&gt;"",INDEX('×入力'!$A$1:$L$1300,958,2+DU$2)&lt;&gt;"",INDEX('×入力'!$A$1:$L$1300,959+DU$3,1)&lt;&gt;""),1,0),0)</f>
        <v/>
      </c>
      <c r="DV44">
        <f>IF(DV$4=1,IF(OR(INDEX('×入力'!$A$1:$L$1300,959+DV$3,2+DV$2)&lt;&gt;"",INDEX('×入力'!$A$1:$L$1300,958,2+DV$2)&lt;&gt;"",INDEX('×入力'!$A$1:$L$1300,959+DV$3,1)&lt;&gt;""),1,0),0)</f>
        <v/>
      </c>
      <c r="DW44">
        <f>IF(DW$4=1,IF(OR(INDEX('×入力'!$A$1:$L$1300,959+DW$3,2+DW$2)&lt;&gt;"",INDEX('×入力'!$A$1:$L$1300,958,2+DW$2)&lt;&gt;"",INDEX('×入力'!$A$1:$L$1300,959+DW$3,1)&lt;&gt;""),1,0),0)</f>
        <v/>
      </c>
      <c r="DX44">
        <f>IF(DX$4=1,IF(OR(INDEX('×入力'!$A$1:$L$1300,959+DX$3,2+DX$2)&lt;&gt;"",INDEX('×入力'!$A$1:$L$1300,958,2+DX$2)&lt;&gt;"",INDEX('×入力'!$A$1:$L$1300,959+DX$3,1)&lt;&gt;""),1,0),0)</f>
        <v/>
      </c>
      <c r="DY44">
        <f>IF(DY$4=1,IF(OR(INDEX('×入力'!$A$1:$L$1300,959+DY$3,2+DY$2)&lt;&gt;"",INDEX('×入力'!$A$1:$L$1300,958,2+DY$2)&lt;&gt;"",INDEX('×入力'!$A$1:$L$1300,959+DY$3,1)&lt;&gt;""),1,0),0)</f>
        <v/>
      </c>
      <c r="DZ44">
        <f>IF(DZ$4=1,IF(OR(INDEX('×入力'!$A$1:$L$1300,959+DZ$3,2+DZ$2)&lt;&gt;"",INDEX('×入力'!$A$1:$L$1300,958,2+DZ$2)&lt;&gt;"",INDEX('×入力'!$A$1:$L$1300,959+DZ$3,1)&lt;&gt;""),1,0),0)</f>
        <v/>
      </c>
      <c r="EA44">
        <f>IF(EA$4=1,IF(OR(INDEX('×入力'!$A$1:$L$1300,959+EA$3,2+EA$2)&lt;&gt;"",INDEX('×入力'!$A$1:$L$1300,958,2+EA$2)&lt;&gt;"",INDEX('×入力'!$A$1:$L$1300,959+EA$3,1)&lt;&gt;""),1,0),0)</f>
        <v/>
      </c>
      <c r="EB44">
        <f>IF(EB$4=1,IF(OR(INDEX('×入力'!$A$1:$L$1300,959+EB$3,2+EB$2)&lt;&gt;"",INDEX('×入力'!$A$1:$L$1300,958,2+EB$2)&lt;&gt;"",INDEX('×入力'!$A$1:$L$1300,959+EB$3,1)&lt;&gt;""),1,0),0)</f>
        <v/>
      </c>
      <c r="EC44">
        <f>IF(EC$4=1,IF(OR(INDEX('×入力'!$A$1:$L$1300,959+EC$3,2+EC$2)&lt;&gt;"",INDEX('×入力'!$A$1:$L$1300,958,2+EC$2)&lt;&gt;"",INDEX('×入力'!$A$1:$L$1300,959+EC$3,1)&lt;&gt;""),1,0),0)</f>
        <v/>
      </c>
      <c r="ED44">
        <f>IF(ED$4=1,IF(OR(INDEX('×入力'!$A$1:$L$1300,959+ED$3,2+ED$2)&lt;&gt;"",INDEX('×入力'!$A$1:$L$1300,958,2+ED$2)&lt;&gt;"",INDEX('×入力'!$A$1:$L$1300,959+ED$3,1)&lt;&gt;""),1,0),0)</f>
        <v/>
      </c>
      <c r="EE44">
        <f>IF(EE$4=1,IF(OR(INDEX('×入力'!$A$1:$L$1300,959+EE$3,2+EE$2)&lt;&gt;"",INDEX('×入力'!$A$1:$L$1300,958,2+EE$2)&lt;&gt;"",INDEX('×入力'!$A$1:$L$1300,959+EE$3,1)&lt;&gt;""),1,0),0)</f>
        <v/>
      </c>
      <c r="EF44">
        <f>IF(EF$4=1,IF(OR(INDEX('×入力'!$A$1:$L$1300,959+EF$3,2+EF$2)&lt;&gt;"",INDEX('×入力'!$A$1:$L$1300,958,2+EF$2)&lt;&gt;"",INDEX('×入力'!$A$1:$L$1300,959+EF$3,1)&lt;&gt;""),1,0),0)</f>
        <v/>
      </c>
      <c r="EG44">
        <f>IF(EG$4=1,IF(OR(INDEX('×入力'!$A$1:$L$1300,959+EG$3,2+EG$2)&lt;&gt;"",INDEX('×入力'!$A$1:$L$1300,958,2+EG$2)&lt;&gt;"",INDEX('×入力'!$A$1:$L$1300,959+EG$3,1)&lt;&gt;""),1,0),0)</f>
        <v/>
      </c>
      <c r="EH44">
        <f>IF(EH$4=1,IF(OR(INDEX('×入力'!$A$1:$L$1300,959+EH$3,2+EH$2)&lt;&gt;"",INDEX('×入力'!$A$1:$L$1300,958,2+EH$2)&lt;&gt;"",INDEX('×入力'!$A$1:$L$1300,959+EH$3,1)&lt;&gt;""),1,0),0)</f>
        <v/>
      </c>
      <c r="EI44">
        <f>IF(EI$4=1,IF(OR(INDEX('×入力'!$A$1:$L$1300,959+EI$3,2+EI$2)&lt;&gt;"",INDEX('×入力'!$A$1:$L$1300,958,2+EI$2)&lt;&gt;"",INDEX('×入力'!$A$1:$L$1300,959+EI$3,1)&lt;&gt;""),1,0),0)</f>
        <v/>
      </c>
      <c r="EJ44">
        <f>IF(EJ$4=1,IF(OR(INDEX('×入力'!$A$1:$L$1300,959+EJ$3,2+EJ$2)&lt;&gt;"",INDEX('×入力'!$A$1:$L$1300,958,2+EJ$2)&lt;&gt;"",INDEX('×入力'!$A$1:$L$1300,959+EJ$3,1)&lt;&gt;""),1,0),0)</f>
        <v/>
      </c>
      <c r="EK44">
        <f>IF(EK$4=1,IF(OR(INDEX('×入力'!$A$1:$L$1300,959+EK$3,2+EK$2)&lt;&gt;"",INDEX('×入力'!$A$1:$L$1300,958,2+EK$2)&lt;&gt;"",INDEX('×入力'!$A$1:$L$1300,959+EK$3,1)&lt;&gt;""),1,0),0)</f>
        <v/>
      </c>
      <c r="EL44">
        <f>IF(EL$4=1,IF(OR(INDEX('×入力'!$A$1:$L$1300,959+EL$3,2+EL$2)&lt;&gt;"",INDEX('×入力'!$A$1:$L$1300,958,2+EL$2)&lt;&gt;"",INDEX('×入力'!$A$1:$L$1300,959+EL$3,1)&lt;&gt;""),1,0),0)</f>
        <v/>
      </c>
      <c r="EM44">
        <f>IF(EM$4=1,IF(OR(INDEX('×入力'!$A$1:$L$1300,959+EM$3,2+EM$2)&lt;&gt;"",INDEX('×入力'!$A$1:$L$1300,958,2+EM$2)&lt;&gt;"",INDEX('×入力'!$A$1:$L$1300,959+EM$3,1)&lt;&gt;""),1,0),0)</f>
        <v/>
      </c>
      <c r="EN44">
        <f>IF(EN$4=1,IF(OR(INDEX('×入力'!$A$1:$L$1300,959+EN$3,2+EN$2)&lt;&gt;"",INDEX('×入力'!$A$1:$L$1300,958,2+EN$2)&lt;&gt;"",INDEX('×入力'!$A$1:$L$1300,959+EN$3,1)&lt;&gt;""),1,0),0)</f>
        <v/>
      </c>
      <c r="EO44">
        <f>IF(EO$4=1,IF(OR(INDEX('×入力'!$A$1:$L$1300,959+EO$3,2+EO$2)&lt;&gt;"",INDEX('×入力'!$A$1:$L$1300,958,2+EO$2)&lt;&gt;"",INDEX('×入力'!$A$1:$L$1300,959+EO$3,1)&lt;&gt;""),1,0),0)</f>
        <v/>
      </c>
      <c r="EP44">
        <f>IF(EP$4=1,IF(OR(INDEX('×入力'!$A$1:$L$1300,959+EP$3,2+EP$2)&lt;&gt;"",INDEX('×入力'!$A$1:$L$1300,958,2+EP$2)&lt;&gt;"",INDEX('×入力'!$A$1:$L$1300,959+EP$3,1)&lt;&gt;""),1,0),0)</f>
        <v/>
      </c>
      <c r="EQ44">
        <f>IF(EQ$4=1,IF(OR(INDEX('×入力'!$A$1:$L$1300,959+EQ$3,2+EQ$2)&lt;&gt;"",INDEX('×入力'!$A$1:$L$1300,958,2+EQ$2)&lt;&gt;"",INDEX('×入力'!$A$1:$L$1300,959+EQ$3,1)&lt;&gt;""),1,0),0)</f>
        <v/>
      </c>
      <c r="HA44">
        <f>MAX(0,IT44)</f>
        <v/>
      </c>
      <c r="HB44">
        <f>IF(HA44=0,0,INDEX($D$2:$EQ$2,HA44))</f>
        <v/>
      </c>
      <c r="HC44">
        <f>IF(HA44=0,0,INDEX($D$3:$EQ$3,HA44))</f>
        <v/>
      </c>
      <c r="HD44">
        <f>MAX(0,IY44)</f>
        <v/>
      </c>
      <c r="HE44">
        <f>IF(HD44=0,0,INDEX($D$2:$EQ$2,HD44))</f>
        <v/>
      </c>
      <c r="HF44">
        <f>IF(HD44=0,0,INDEX($D$3:$EQ$3,HD44))</f>
        <v/>
      </c>
      <c r="HG44">
        <f>MAX(0,IZ44)</f>
        <v/>
      </c>
      <c r="HH44">
        <f>IF(HG44=0,0,INDEX($D$2:$EQ$2,HG44))</f>
        <v/>
      </c>
      <c r="HI44">
        <f>IF(HG44=0,0,INDEX($D$3:$EQ$3,HG44))</f>
        <v/>
      </c>
      <c r="HJ44">
        <f>IF(AND(HA44&gt;0,HC44&gt;1,OR(HC44-1&lt;&gt;$A$3,$A$4=0)),HA44-1,-1)</f>
        <v/>
      </c>
      <c r="HK44">
        <f>IF(AND(HA44&gt;0,HC44&lt;24,OR(HC44&lt;&gt;$A$3,$A$4=0)),HA44+1,-1)</f>
        <v/>
      </c>
      <c r="HL44">
        <f>IF(AND(HD44&gt;0,HF44&gt;1,OR(HF44-1&lt;&gt;$A$3,$A$4=0)),HD44-1,-1)</f>
        <v/>
      </c>
      <c r="HM44">
        <f>IF(AND(HD44&gt;0,HF44&lt;24,OR(HF44&lt;&gt;$A$3,$A$4=0)),HD44+1,-1)</f>
        <v/>
      </c>
      <c r="HN44">
        <f>IF(AND(HG44&gt;0,HI44&gt;1,OR(HI44-1&lt;&gt;$A$3,$A$4=0)),HG44-1,-1)</f>
        <v/>
      </c>
      <c r="HO44">
        <f>IF(AND(HG44&gt;0,HI44&lt;24,OR(HI44&lt;&gt;$A$3,$A$4=0)),HG44+1,-1)</f>
        <v/>
      </c>
      <c r="IK44">
        <f>IFERROR(INDEX('calcB'!$C$3:$C$47,MATCH(A44,'calcB'!$B$3:$B$47,0)),0)</f>
        <v/>
      </c>
      <c r="IL44">
        <f>IF(AND(C44=1,IK44=0,calcA!$A$6=1),1,0)</f>
        <v/>
      </c>
      <c r="IM44">
        <f>SUMPRODUCT(D94:EQ94*(1-$D$7:$EQ$7))</f>
        <v/>
      </c>
      <c r="IN44">
        <f>SUM(D44:EQ44)</f>
        <v/>
      </c>
      <c r="IO44">
        <f>IF(B44="",0,IF(COUNTIF('調整・決定'!$C$6:$H$29,B44)=1,SUMPRODUCT(('調整・決定'!$C$6:$H$29=B44)*((COLUMN('調整・決定'!$C$6:$H$29)-3)*24+ROW('調整・決定'!$C$6:$H$29)-5)),0))</f>
        <v/>
      </c>
      <c r="IP44">
        <f>IFERROR(MATCH('名簿'!C39,{"早い時刻","遅い時刻","早い日","遅い日"},0),0)</f>
        <v/>
      </c>
      <c r="IQ44">
        <f>IF('名簿'!D39="必ず空けたい",2,IF('名簿'!D39="出来れば空けたい",1,0))</f>
        <v/>
      </c>
      <c r="IR44">
        <f>IFERROR(INDEX('calcC'!$C$3:$C$47,MATCH(A44,'calcC'!$B$3:$B$47,0)),0)</f>
        <v/>
      </c>
      <c r="IS44">
        <f>IF(AND(C44=1,IR44=0,calcA!$A$6=1),1,0)</f>
        <v/>
      </c>
      <c r="IT44">
        <f>IF(OR('名簿'!G39="",'名簿'!H39=""),0,IFERROR((MATCH('名簿'!G39,'設定'!$E$11:$E$16,0)-1)*24+MATCH('名簿'!H39,'設定'!$I$11:$I$34,0),-1))</f>
        <v/>
      </c>
      <c r="IV44">
        <f>IF(OR(JF44=0,IO44=0),1,IF(OR(IF(IT44&gt;0,AND(INDEX($D$2:$EQ$2,IO44)=INDEX($D$2:$EQ$2,IT44),OR(AND(IO44=IT44+1,OR(INDEX($D$3:$EQ$3,IT44)&lt;&gt;$A$3,$A$4=0)),AND(IO44=IT44-1,OR(INDEX($D$3:$EQ$3,IO44)&lt;&gt;$A$3,$A$4=0)))),FALSE),IF(IY44&gt;0,AND(INDEX($D$2:$EQ$2,IO44)=INDEX($D$2:$EQ$2,IY44),OR(AND(IO44=IY44+1,OR(INDEX($D$3:$EQ$3,IY44)&lt;&gt;$A$3,$A$4=0)),AND(IO44=IY44-1,OR(INDEX($D$3:$EQ$3,IO44)&lt;&gt;$A$3,$A$4=0)))),FALSE),IF(IZ44&gt;0,AND(INDEX($D$2:$EQ$2,IO44)=INDEX($D$2:$EQ$2,IZ44),OR(AND(IO44=IZ44+1,OR(INDEX($D$3:$EQ$3,IZ44)&lt;&gt;$A$3,$A$4=0)),AND(IO44=IZ44-1,OR(INDEX($D$3:$EQ$3,IO44)&lt;&gt;$A$3,$A$4=0)))),FALSE)),1,0))</f>
        <v/>
      </c>
      <c r="IW44">
        <f>IF(AND('名簿'!E39&lt;&gt;"",JF44=0),1,0)</f>
        <v/>
      </c>
      <c r="IX44">
        <f>IF('名簿'!D39="空けない",1,0)</f>
        <v/>
      </c>
      <c r="IY44">
        <f>IF(OR('名簿'!J39="",'名簿'!K39=""),0,IFERROR((MATCH('名簿'!J39,'設定'!$E$11:$E$16,0)-1)*24+MATCH('名簿'!K39,'設定'!$I$11:$I$34,0),-1))</f>
        <v/>
      </c>
      <c r="IZ44">
        <f>IF(OR('名簿'!M39="",'名簿'!N39=""),0,IFERROR((MATCH('名簿'!M39,'設定'!$E$11:$E$16,0)-1)*24+MATCH('名簿'!N39,'設定'!$I$11:$I$34,0),-1))</f>
        <v/>
      </c>
      <c r="JC44">
        <f>IF(RIGHT('名簿'!I39,2)="の前",1,IF(RIGHT('名簿'!I39,2)="の後",2,0))</f>
        <v/>
      </c>
      <c r="JD44">
        <f>IF(RIGHT('名簿'!L39,2)="の前",1,IF(RIGHT('名簿'!L39,2)="の後",2,0))</f>
        <v/>
      </c>
      <c r="JE44">
        <f>IF(RIGHT('名簿'!O39,2)="の前",1,IF(RIGHT('名簿'!O39,2)="の後",2,0))</f>
        <v/>
      </c>
      <c r="JF44">
        <f>IF(OR(IT44&gt;0,IY44&gt;0,IZ44&gt;0),1,0)</f>
        <v/>
      </c>
      <c r="JG44">
        <f>IF(OR(IT44&lt;0,IY44&lt;0,IZ44&lt;0),1,0)</f>
        <v/>
      </c>
    </row>
    <row r="45">
      <c r="A45" t="n">
        <v>36</v>
      </c>
      <c r="B45">
        <f>'名簿'!P40</f>
        <v/>
      </c>
      <c r="C45">
        <f>IF(AND(B45&lt;&gt;"",OR('名簿'!Q40="入力済み",'名簿'!Q40="×なし"),IO45=0,COUNTIF('調整・決定'!$C$6:$H$29,B45)=0),1,0)</f>
        <v/>
      </c>
      <c r="D45">
        <f>IF(D$4=1,IF(OR(INDEX('×入力'!$A$1:$L$1300,987+D$3,2+D$2)&lt;&gt;"",INDEX('×入力'!$A$1:$L$1300,986,2+D$2)&lt;&gt;"",INDEX('×入力'!$A$1:$L$1300,987+D$3,1)&lt;&gt;""),1,0),0)</f>
        <v/>
      </c>
      <c r="E45">
        <f>IF(E$4=1,IF(OR(INDEX('×入力'!$A$1:$L$1300,987+E$3,2+E$2)&lt;&gt;"",INDEX('×入力'!$A$1:$L$1300,986,2+E$2)&lt;&gt;"",INDEX('×入力'!$A$1:$L$1300,987+E$3,1)&lt;&gt;""),1,0),0)</f>
        <v/>
      </c>
      <c r="F45">
        <f>IF(F$4=1,IF(OR(INDEX('×入力'!$A$1:$L$1300,987+F$3,2+F$2)&lt;&gt;"",INDEX('×入力'!$A$1:$L$1300,986,2+F$2)&lt;&gt;"",INDEX('×入力'!$A$1:$L$1300,987+F$3,1)&lt;&gt;""),1,0),0)</f>
        <v/>
      </c>
      <c r="G45">
        <f>IF(G$4=1,IF(OR(INDEX('×入力'!$A$1:$L$1300,987+G$3,2+G$2)&lt;&gt;"",INDEX('×入力'!$A$1:$L$1300,986,2+G$2)&lt;&gt;"",INDEX('×入力'!$A$1:$L$1300,987+G$3,1)&lt;&gt;""),1,0),0)</f>
        <v/>
      </c>
      <c r="H45">
        <f>IF(H$4=1,IF(OR(INDEX('×入力'!$A$1:$L$1300,987+H$3,2+H$2)&lt;&gt;"",INDEX('×入力'!$A$1:$L$1300,986,2+H$2)&lt;&gt;"",INDEX('×入力'!$A$1:$L$1300,987+H$3,1)&lt;&gt;""),1,0),0)</f>
        <v/>
      </c>
      <c r="I45">
        <f>IF(I$4=1,IF(OR(INDEX('×入力'!$A$1:$L$1300,987+I$3,2+I$2)&lt;&gt;"",INDEX('×入力'!$A$1:$L$1300,986,2+I$2)&lt;&gt;"",INDEX('×入力'!$A$1:$L$1300,987+I$3,1)&lt;&gt;""),1,0),0)</f>
        <v/>
      </c>
      <c r="J45">
        <f>IF(J$4=1,IF(OR(INDEX('×入力'!$A$1:$L$1300,987+J$3,2+J$2)&lt;&gt;"",INDEX('×入力'!$A$1:$L$1300,986,2+J$2)&lt;&gt;"",INDEX('×入力'!$A$1:$L$1300,987+J$3,1)&lt;&gt;""),1,0),0)</f>
        <v/>
      </c>
      <c r="K45">
        <f>IF(K$4=1,IF(OR(INDEX('×入力'!$A$1:$L$1300,987+K$3,2+K$2)&lt;&gt;"",INDEX('×入力'!$A$1:$L$1300,986,2+K$2)&lt;&gt;"",INDEX('×入力'!$A$1:$L$1300,987+K$3,1)&lt;&gt;""),1,0),0)</f>
        <v/>
      </c>
      <c r="L45">
        <f>IF(L$4=1,IF(OR(INDEX('×入力'!$A$1:$L$1300,987+L$3,2+L$2)&lt;&gt;"",INDEX('×入力'!$A$1:$L$1300,986,2+L$2)&lt;&gt;"",INDEX('×入力'!$A$1:$L$1300,987+L$3,1)&lt;&gt;""),1,0),0)</f>
        <v/>
      </c>
      <c r="M45">
        <f>IF(M$4=1,IF(OR(INDEX('×入力'!$A$1:$L$1300,987+M$3,2+M$2)&lt;&gt;"",INDEX('×入力'!$A$1:$L$1300,986,2+M$2)&lt;&gt;"",INDEX('×入力'!$A$1:$L$1300,987+M$3,1)&lt;&gt;""),1,0),0)</f>
        <v/>
      </c>
      <c r="N45">
        <f>IF(N$4=1,IF(OR(INDEX('×入力'!$A$1:$L$1300,987+N$3,2+N$2)&lt;&gt;"",INDEX('×入力'!$A$1:$L$1300,986,2+N$2)&lt;&gt;"",INDEX('×入力'!$A$1:$L$1300,987+N$3,1)&lt;&gt;""),1,0),0)</f>
        <v/>
      </c>
      <c r="O45">
        <f>IF(O$4=1,IF(OR(INDEX('×入力'!$A$1:$L$1300,987+O$3,2+O$2)&lt;&gt;"",INDEX('×入力'!$A$1:$L$1300,986,2+O$2)&lt;&gt;"",INDEX('×入力'!$A$1:$L$1300,987+O$3,1)&lt;&gt;""),1,0),0)</f>
        <v/>
      </c>
      <c r="P45">
        <f>IF(P$4=1,IF(OR(INDEX('×入力'!$A$1:$L$1300,987+P$3,2+P$2)&lt;&gt;"",INDEX('×入力'!$A$1:$L$1300,986,2+P$2)&lt;&gt;"",INDEX('×入力'!$A$1:$L$1300,987+P$3,1)&lt;&gt;""),1,0),0)</f>
        <v/>
      </c>
      <c r="Q45">
        <f>IF(Q$4=1,IF(OR(INDEX('×入力'!$A$1:$L$1300,987+Q$3,2+Q$2)&lt;&gt;"",INDEX('×入力'!$A$1:$L$1300,986,2+Q$2)&lt;&gt;"",INDEX('×入力'!$A$1:$L$1300,987+Q$3,1)&lt;&gt;""),1,0),0)</f>
        <v/>
      </c>
      <c r="R45">
        <f>IF(R$4=1,IF(OR(INDEX('×入力'!$A$1:$L$1300,987+R$3,2+R$2)&lt;&gt;"",INDEX('×入力'!$A$1:$L$1300,986,2+R$2)&lt;&gt;"",INDEX('×入力'!$A$1:$L$1300,987+R$3,1)&lt;&gt;""),1,0),0)</f>
        <v/>
      </c>
      <c r="S45">
        <f>IF(S$4=1,IF(OR(INDEX('×入力'!$A$1:$L$1300,987+S$3,2+S$2)&lt;&gt;"",INDEX('×入力'!$A$1:$L$1300,986,2+S$2)&lt;&gt;"",INDEX('×入力'!$A$1:$L$1300,987+S$3,1)&lt;&gt;""),1,0),0)</f>
        <v/>
      </c>
      <c r="T45">
        <f>IF(T$4=1,IF(OR(INDEX('×入力'!$A$1:$L$1300,987+T$3,2+T$2)&lt;&gt;"",INDEX('×入力'!$A$1:$L$1300,986,2+T$2)&lt;&gt;"",INDEX('×入力'!$A$1:$L$1300,987+T$3,1)&lt;&gt;""),1,0),0)</f>
        <v/>
      </c>
      <c r="U45">
        <f>IF(U$4=1,IF(OR(INDEX('×入力'!$A$1:$L$1300,987+U$3,2+U$2)&lt;&gt;"",INDEX('×入力'!$A$1:$L$1300,986,2+U$2)&lt;&gt;"",INDEX('×入力'!$A$1:$L$1300,987+U$3,1)&lt;&gt;""),1,0),0)</f>
        <v/>
      </c>
      <c r="V45">
        <f>IF(V$4=1,IF(OR(INDEX('×入力'!$A$1:$L$1300,987+V$3,2+V$2)&lt;&gt;"",INDEX('×入力'!$A$1:$L$1300,986,2+V$2)&lt;&gt;"",INDEX('×入力'!$A$1:$L$1300,987+V$3,1)&lt;&gt;""),1,0),0)</f>
        <v/>
      </c>
      <c r="W45">
        <f>IF(W$4=1,IF(OR(INDEX('×入力'!$A$1:$L$1300,987+W$3,2+W$2)&lt;&gt;"",INDEX('×入力'!$A$1:$L$1300,986,2+W$2)&lt;&gt;"",INDEX('×入力'!$A$1:$L$1300,987+W$3,1)&lt;&gt;""),1,0),0)</f>
        <v/>
      </c>
      <c r="X45">
        <f>IF(X$4=1,IF(OR(INDEX('×入力'!$A$1:$L$1300,987+X$3,2+X$2)&lt;&gt;"",INDEX('×入力'!$A$1:$L$1300,986,2+X$2)&lt;&gt;"",INDEX('×入力'!$A$1:$L$1300,987+X$3,1)&lt;&gt;""),1,0),0)</f>
        <v/>
      </c>
      <c r="Y45">
        <f>IF(Y$4=1,IF(OR(INDEX('×入力'!$A$1:$L$1300,987+Y$3,2+Y$2)&lt;&gt;"",INDEX('×入力'!$A$1:$L$1300,986,2+Y$2)&lt;&gt;"",INDEX('×入力'!$A$1:$L$1300,987+Y$3,1)&lt;&gt;""),1,0),0)</f>
        <v/>
      </c>
      <c r="Z45">
        <f>IF(Z$4=1,IF(OR(INDEX('×入力'!$A$1:$L$1300,987+Z$3,2+Z$2)&lt;&gt;"",INDEX('×入力'!$A$1:$L$1300,986,2+Z$2)&lt;&gt;"",INDEX('×入力'!$A$1:$L$1300,987+Z$3,1)&lt;&gt;""),1,0),0)</f>
        <v/>
      </c>
      <c r="AA45">
        <f>IF(AA$4=1,IF(OR(INDEX('×入力'!$A$1:$L$1300,987+AA$3,2+AA$2)&lt;&gt;"",INDEX('×入力'!$A$1:$L$1300,986,2+AA$2)&lt;&gt;"",INDEX('×入力'!$A$1:$L$1300,987+AA$3,1)&lt;&gt;""),1,0),0)</f>
        <v/>
      </c>
      <c r="AB45">
        <f>IF(AB$4=1,IF(OR(INDEX('×入力'!$A$1:$L$1300,987+AB$3,2+AB$2)&lt;&gt;"",INDEX('×入力'!$A$1:$L$1300,986,2+AB$2)&lt;&gt;"",INDEX('×入力'!$A$1:$L$1300,987+AB$3,1)&lt;&gt;""),1,0),0)</f>
        <v/>
      </c>
      <c r="AC45">
        <f>IF(AC$4=1,IF(OR(INDEX('×入力'!$A$1:$L$1300,987+AC$3,2+AC$2)&lt;&gt;"",INDEX('×入力'!$A$1:$L$1300,986,2+AC$2)&lt;&gt;"",INDEX('×入力'!$A$1:$L$1300,987+AC$3,1)&lt;&gt;""),1,0),0)</f>
        <v/>
      </c>
      <c r="AD45">
        <f>IF(AD$4=1,IF(OR(INDEX('×入力'!$A$1:$L$1300,987+AD$3,2+AD$2)&lt;&gt;"",INDEX('×入力'!$A$1:$L$1300,986,2+AD$2)&lt;&gt;"",INDEX('×入力'!$A$1:$L$1300,987+AD$3,1)&lt;&gt;""),1,0),0)</f>
        <v/>
      </c>
      <c r="AE45">
        <f>IF(AE$4=1,IF(OR(INDEX('×入力'!$A$1:$L$1300,987+AE$3,2+AE$2)&lt;&gt;"",INDEX('×入力'!$A$1:$L$1300,986,2+AE$2)&lt;&gt;"",INDEX('×入力'!$A$1:$L$1300,987+AE$3,1)&lt;&gt;""),1,0),0)</f>
        <v/>
      </c>
      <c r="AF45">
        <f>IF(AF$4=1,IF(OR(INDEX('×入力'!$A$1:$L$1300,987+AF$3,2+AF$2)&lt;&gt;"",INDEX('×入力'!$A$1:$L$1300,986,2+AF$2)&lt;&gt;"",INDEX('×入力'!$A$1:$L$1300,987+AF$3,1)&lt;&gt;""),1,0),0)</f>
        <v/>
      </c>
      <c r="AG45">
        <f>IF(AG$4=1,IF(OR(INDEX('×入力'!$A$1:$L$1300,987+AG$3,2+AG$2)&lt;&gt;"",INDEX('×入力'!$A$1:$L$1300,986,2+AG$2)&lt;&gt;"",INDEX('×入力'!$A$1:$L$1300,987+AG$3,1)&lt;&gt;""),1,0),0)</f>
        <v/>
      </c>
      <c r="AH45">
        <f>IF(AH$4=1,IF(OR(INDEX('×入力'!$A$1:$L$1300,987+AH$3,2+AH$2)&lt;&gt;"",INDEX('×入力'!$A$1:$L$1300,986,2+AH$2)&lt;&gt;"",INDEX('×入力'!$A$1:$L$1300,987+AH$3,1)&lt;&gt;""),1,0),0)</f>
        <v/>
      </c>
      <c r="AI45">
        <f>IF(AI$4=1,IF(OR(INDEX('×入力'!$A$1:$L$1300,987+AI$3,2+AI$2)&lt;&gt;"",INDEX('×入力'!$A$1:$L$1300,986,2+AI$2)&lt;&gt;"",INDEX('×入力'!$A$1:$L$1300,987+AI$3,1)&lt;&gt;""),1,0),0)</f>
        <v/>
      </c>
      <c r="AJ45">
        <f>IF(AJ$4=1,IF(OR(INDEX('×入力'!$A$1:$L$1300,987+AJ$3,2+AJ$2)&lt;&gt;"",INDEX('×入力'!$A$1:$L$1300,986,2+AJ$2)&lt;&gt;"",INDEX('×入力'!$A$1:$L$1300,987+AJ$3,1)&lt;&gt;""),1,0),0)</f>
        <v/>
      </c>
      <c r="AK45">
        <f>IF(AK$4=1,IF(OR(INDEX('×入力'!$A$1:$L$1300,987+AK$3,2+AK$2)&lt;&gt;"",INDEX('×入力'!$A$1:$L$1300,986,2+AK$2)&lt;&gt;"",INDEX('×入力'!$A$1:$L$1300,987+AK$3,1)&lt;&gt;""),1,0),0)</f>
        <v/>
      </c>
      <c r="AL45">
        <f>IF(AL$4=1,IF(OR(INDEX('×入力'!$A$1:$L$1300,987+AL$3,2+AL$2)&lt;&gt;"",INDEX('×入力'!$A$1:$L$1300,986,2+AL$2)&lt;&gt;"",INDEX('×入力'!$A$1:$L$1300,987+AL$3,1)&lt;&gt;""),1,0),0)</f>
        <v/>
      </c>
      <c r="AM45">
        <f>IF(AM$4=1,IF(OR(INDEX('×入力'!$A$1:$L$1300,987+AM$3,2+AM$2)&lt;&gt;"",INDEX('×入力'!$A$1:$L$1300,986,2+AM$2)&lt;&gt;"",INDEX('×入力'!$A$1:$L$1300,987+AM$3,1)&lt;&gt;""),1,0),0)</f>
        <v/>
      </c>
      <c r="AN45">
        <f>IF(AN$4=1,IF(OR(INDEX('×入力'!$A$1:$L$1300,987+AN$3,2+AN$2)&lt;&gt;"",INDEX('×入力'!$A$1:$L$1300,986,2+AN$2)&lt;&gt;"",INDEX('×入力'!$A$1:$L$1300,987+AN$3,1)&lt;&gt;""),1,0),0)</f>
        <v/>
      </c>
      <c r="AO45">
        <f>IF(AO$4=1,IF(OR(INDEX('×入力'!$A$1:$L$1300,987+AO$3,2+AO$2)&lt;&gt;"",INDEX('×入力'!$A$1:$L$1300,986,2+AO$2)&lt;&gt;"",INDEX('×入力'!$A$1:$L$1300,987+AO$3,1)&lt;&gt;""),1,0),0)</f>
        <v/>
      </c>
      <c r="AP45">
        <f>IF(AP$4=1,IF(OR(INDEX('×入力'!$A$1:$L$1300,987+AP$3,2+AP$2)&lt;&gt;"",INDEX('×入力'!$A$1:$L$1300,986,2+AP$2)&lt;&gt;"",INDEX('×入力'!$A$1:$L$1300,987+AP$3,1)&lt;&gt;""),1,0),0)</f>
        <v/>
      </c>
      <c r="AQ45">
        <f>IF(AQ$4=1,IF(OR(INDEX('×入力'!$A$1:$L$1300,987+AQ$3,2+AQ$2)&lt;&gt;"",INDEX('×入力'!$A$1:$L$1300,986,2+AQ$2)&lt;&gt;"",INDEX('×入力'!$A$1:$L$1300,987+AQ$3,1)&lt;&gt;""),1,0),0)</f>
        <v/>
      </c>
      <c r="AR45">
        <f>IF(AR$4=1,IF(OR(INDEX('×入力'!$A$1:$L$1300,987+AR$3,2+AR$2)&lt;&gt;"",INDEX('×入力'!$A$1:$L$1300,986,2+AR$2)&lt;&gt;"",INDEX('×入力'!$A$1:$L$1300,987+AR$3,1)&lt;&gt;""),1,0),0)</f>
        <v/>
      </c>
      <c r="AS45">
        <f>IF(AS$4=1,IF(OR(INDEX('×入力'!$A$1:$L$1300,987+AS$3,2+AS$2)&lt;&gt;"",INDEX('×入力'!$A$1:$L$1300,986,2+AS$2)&lt;&gt;"",INDEX('×入力'!$A$1:$L$1300,987+AS$3,1)&lt;&gt;""),1,0),0)</f>
        <v/>
      </c>
      <c r="AT45">
        <f>IF(AT$4=1,IF(OR(INDEX('×入力'!$A$1:$L$1300,987+AT$3,2+AT$2)&lt;&gt;"",INDEX('×入力'!$A$1:$L$1300,986,2+AT$2)&lt;&gt;"",INDEX('×入力'!$A$1:$L$1300,987+AT$3,1)&lt;&gt;""),1,0),0)</f>
        <v/>
      </c>
      <c r="AU45">
        <f>IF(AU$4=1,IF(OR(INDEX('×入力'!$A$1:$L$1300,987+AU$3,2+AU$2)&lt;&gt;"",INDEX('×入力'!$A$1:$L$1300,986,2+AU$2)&lt;&gt;"",INDEX('×入力'!$A$1:$L$1300,987+AU$3,1)&lt;&gt;""),1,0),0)</f>
        <v/>
      </c>
      <c r="AV45">
        <f>IF(AV$4=1,IF(OR(INDEX('×入力'!$A$1:$L$1300,987+AV$3,2+AV$2)&lt;&gt;"",INDEX('×入力'!$A$1:$L$1300,986,2+AV$2)&lt;&gt;"",INDEX('×入力'!$A$1:$L$1300,987+AV$3,1)&lt;&gt;""),1,0),0)</f>
        <v/>
      </c>
      <c r="AW45">
        <f>IF(AW$4=1,IF(OR(INDEX('×入力'!$A$1:$L$1300,987+AW$3,2+AW$2)&lt;&gt;"",INDEX('×入力'!$A$1:$L$1300,986,2+AW$2)&lt;&gt;"",INDEX('×入力'!$A$1:$L$1300,987+AW$3,1)&lt;&gt;""),1,0),0)</f>
        <v/>
      </c>
      <c r="AX45">
        <f>IF(AX$4=1,IF(OR(INDEX('×入力'!$A$1:$L$1300,987+AX$3,2+AX$2)&lt;&gt;"",INDEX('×入力'!$A$1:$L$1300,986,2+AX$2)&lt;&gt;"",INDEX('×入力'!$A$1:$L$1300,987+AX$3,1)&lt;&gt;""),1,0),0)</f>
        <v/>
      </c>
      <c r="AY45">
        <f>IF(AY$4=1,IF(OR(INDEX('×入力'!$A$1:$L$1300,987+AY$3,2+AY$2)&lt;&gt;"",INDEX('×入力'!$A$1:$L$1300,986,2+AY$2)&lt;&gt;"",INDEX('×入力'!$A$1:$L$1300,987+AY$3,1)&lt;&gt;""),1,0),0)</f>
        <v/>
      </c>
      <c r="AZ45">
        <f>IF(AZ$4=1,IF(OR(INDEX('×入力'!$A$1:$L$1300,987+AZ$3,2+AZ$2)&lt;&gt;"",INDEX('×入力'!$A$1:$L$1300,986,2+AZ$2)&lt;&gt;"",INDEX('×入力'!$A$1:$L$1300,987+AZ$3,1)&lt;&gt;""),1,0),0)</f>
        <v/>
      </c>
      <c r="BA45">
        <f>IF(BA$4=1,IF(OR(INDEX('×入力'!$A$1:$L$1300,987+BA$3,2+BA$2)&lt;&gt;"",INDEX('×入力'!$A$1:$L$1300,986,2+BA$2)&lt;&gt;"",INDEX('×入力'!$A$1:$L$1300,987+BA$3,1)&lt;&gt;""),1,0),0)</f>
        <v/>
      </c>
      <c r="BB45">
        <f>IF(BB$4=1,IF(OR(INDEX('×入力'!$A$1:$L$1300,987+BB$3,2+BB$2)&lt;&gt;"",INDEX('×入力'!$A$1:$L$1300,986,2+BB$2)&lt;&gt;"",INDEX('×入力'!$A$1:$L$1300,987+BB$3,1)&lt;&gt;""),1,0),0)</f>
        <v/>
      </c>
      <c r="BC45">
        <f>IF(BC$4=1,IF(OR(INDEX('×入力'!$A$1:$L$1300,987+BC$3,2+BC$2)&lt;&gt;"",INDEX('×入力'!$A$1:$L$1300,986,2+BC$2)&lt;&gt;"",INDEX('×入力'!$A$1:$L$1300,987+BC$3,1)&lt;&gt;""),1,0),0)</f>
        <v/>
      </c>
      <c r="BD45">
        <f>IF(BD$4=1,IF(OR(INDEX('×入力'!$A$1:$L$1300,987+BD$3,2+BD$2)&lt;&gt;"",INDEX('×入力'!$A$1:$L$1300,986,2+BD$2)&lt;&gt;"",INDEX('×入力'!$A$1:$L$1300,987+BD$3,1)&lt;&gt;""),1,0),0)</f>
        <v/>
      </c>
      <c r="BE45">
        <f>IF(BE$4=1,IF(OR(INDEX('×入力'!$A$1:$L$1300,987+BE$3,2+BE$2)&lt;&gt;"",INDEX('×入力'!$A$1:$L$1300,986,2+BE$2)&lt;&gt;"",INDEX('×入力'!$A$1:$L$1300,987+BE$3,1)&lt;&gt;""),1,0),0)</f>
        <v/>
      </c>
      <c r="BF45">
        <f>IF(BF$4=1,IF(OR(INDEX('×入力'!$A$1:$L$1300,987+BF$3,2+BF$2)&lt;&gt;"",INDEX('×入力'!$A$1:$L$1300,986,2+BF$2)&lt;&gt;"",INDEX('×入力'!$A$1:$L$1300,987+BF$3,1)&lt;&gt;""),1,0),0)</f>
        <v/>
      </c>
      <c r="BG45">
        <f>IF(BG$4=1,IF(OR(INDEX('×入力'!$A$1:$L$1300,987+BG$3,2+BG$2)&lt;&gt;"",INDEX('×入力'!$A$1:$L$1300,986,2+BG$2)&lt;&gt;"",INDEX('×入力'!$A$1:$L$1300,987+BG$3,1)&lt;&gt;""),1,0),0)</f>
        <v/>
      </c>
      <c r="BH45">
        <f>IF(BH$4=1,IF(OR(INDEX('×入力'!$A$1:$L$1300,987+BH$3,2+BH$2)&lt;&gt;"",INDEX('×入力'!$A$1:$L$1300,986,2+BH$2)&lt;&gt;"",INDEX('×入力'!$A$1:$L$1300,987+BH$3,1)&lt;&gt;""),1,0),0)</f>
        <v/>
      </c>
      <c r="BI45">
        <f>IF(BI$4=1,IF(OR(INDEX('×入力'!$A$1:$L$1300,987+BI$3,2+BI$2)&lt;&gt;"",INDEX('×入力'!$A$1:$L$1300,986,2+BI$2)&lt;&gt;"",INDEX('×入力'!$A$1:$L$1300,987+BI$3,1)&lt;&gt;""),1,0),0)</f>
        <v/>
      </c>
      <c r="BJ45">
        <f>IF(BJ$4=1,IF(OR(INDEX('×入力'!$A$1:$L$1300,987+BJ$3,2+BJ$2)&lt;&gt;"",INDEX('×入力'!$A$1:$L$1300,986,2+BJ$2)&lt;&gt;"",INDEX('×入力'!$A$1:$L$1300,987+BJ$3,1)&lt;&gt;""),1,0),0)</f>
        <v/>
      </c>
      <c r="BK45">
        <f>IF(BK$4=1,IF(OR(INDEX('×入力'!$A$1:$L$1300,987+BK$3,2+BK$2)&lt;&gt;"",INDEX('×入力'!$A$1:$L$1300,986,2+BK$2)&lt;&gt;"",INDEX('×入力'!$A$1:$L$1300,987+BK$3,1)&lt;&gt;""),1,0),0)</f>
        <v/>
      </c>
      <c r="BL45">
        <f>IF(BL$4=1,IF(OR(INDEX('×入力'!$A$1:$L$1300,987+BL$3,2+BL$2)&lt;&gt;"",INDEX('×入力'!$A$1:$L$1300,986,2+BL$2)&lt;&gt;"",INDEX('×入力'!$A$1:$L$1300,987+BL$3,1)&lt;&gt;""),1,0),0)</f>
        <v/>
      </c>
      <c r="BM45">
        <f>IF(BM$4=1,IF(OR(INDEX('×入力'!$A$1:$L$1300,987+BM$3,2+BM$2)&lt;&gt;"",INDEX('×入力'!$A$1:$L$1300,986,2+BM$2)&lt;&gt;"",INDEX('×入力'!$A$1:$L$1300,987+BM$3,1)&lt;&gt;""),1,0),0)</f>
        <v/>
      </c>
      <c r="BN45">
        <f>IF(BN$4=1,IF(OR(INDEX('×入力'!$A$1:$L$1300,987+BN$3,2+BN$2)&lt;&gt;"",INDEX('×入力'!$A$1:$L$1300,986,2+BN$2)&lt;&gt;"",INDEX('×入力'!$A$1:$L$1300,987+BN$3,1)&lt;&gt;""),1,0),0)</f>
        <v/>
      </c>
      <c r="BO45">
        <f>IF(BO$4=1,IF(OR(INDEX('×入力'!$A$1:$L$1300,987+BO$3,2+BO$2)&lt;&gt;"",INDEX('×入力'!$A$1:$L$1300,986,2+BO$2)&lt;&gt;"",INDEX('×入力'!$A$1:$L$1300,987+BO$3,1)&lt;&gt;""),1,0),0)</f>
        <v/>
      </c>
      <c r="BP45">
        <f>IF(BP$4=1,IF(OR(INDEX('×入力'!$A$1:$L$1300,987+BP$3,2+BP$2)&lt;&gt;"",INDEX('×入力'!$A$1:$L$1300,986,2+BP$2)&lt;&gt;"",INDEX('×入力'!$A$1:$L$1300,987+BP$3,1)&lt;&gt;""),1,0),0)</f>
        <v/>
      </c>
      <c r="BQ45">
        <f>IF(BQ$4=1,IF(OR(INDEX('×入力'!$A$1:$L$1300,987+BQ$3,2+BQ$2)&lt;&gt;"",INDEX('×入力'!$A$1:$L$1300,986,2+BQ$2)&lt;&gt;"",INDEX('×入力'!$A$1:$L$1300,987+BQ$3,1)&lt;&gt;""),1,0),0)</f>
        <v/>
      </c>
      <c r="BR45">
        <f>IF(BR$4=1,IF(OR(INDEX('×入力'!$A$1:$L$1300,987+BR$3,2+BR$2)&lt;&gt;"",INDEX('×入力'!$A$1:$L$1300,986,2+BR$2)&lt;&gt;"",INDEX('×入力'!$A$1:$L$1300,987+BR$3,1)&lt;&gt;""),1,0),0)</f>
        <v/>
      </c>
      <c r="BS45">
        <f>IF(BS$4=1,IF(OR(INDEX('×入力'!$A$1:$L$1300,987+BS$3,2+BS$2)&lt;&gt;"",INDEX('×入力'!$A$1:$L$1300,986,2+BS$2)&lt;&gt;"",INDEX('×入力'!$A$1:$L$1300,987+BS$3,1)&lt;&gt;""),1,0),0)</f>
        <v/>
      </c>
      <c r="BT45">
        <f>IF(BT$4=1,IF(OR(INDEX('×入力'!$A$1:$L$1300,987+BT$3,2+BT$2)&lt;&gt;"",INDEX('×入力'!$A$1:$L$1300,986,2+BT$2)&lt;&gt;"",INDEX('×入力'!$A$1:$L$1300,987+BT$3,1)&lt;&gt;""),1,0),0)</f>
        <v/>
      </c>
      <c r="BU45">
        <f>IF(BU$4=1,IF(OR(INDEX('×入力'!$A$1:$L$1300,987+BU$3,2+BU$2)&lt;&gt;"",INDEX('×入力'!$A$1:$L$1300,986,2+BU$2)&lt;&gt;"",INDEX('×入力'!$A$1:$L$1300,987+BU$3,1)&lt;&gt;""),1,0),0)</f>
        <v/>
      </c>
      <c r="BV45">
        <f>IF(BV$4=1,IF(OR(INDEX('×入力'!$A$1:$L$1300,987+BV$3,2+BV$2)&lt;&gt;"",INDEX('×入力'!$A$1:$L$1300,986,2+BV$2)&lt;&gt;"",INDEX('×入力'!$A$1:$L$1300,987+BV$3,1)&lt;&gt;""),1,0),0)</f>
        <v/>
      </c>
      <c r="BW45">
        <f>IF(BW$4=1,IF(OR(INDEX('×入力'!$A$1:$L$1300,987+BW$3,2+BW$2)&lt;&gt;"",INDEX('×入力'!$A$1:$L$1300,986,2+BW$2)&lt;&gt;"",INDEX('×入力'!$A$1:$L$1300,987+BW$3,1)&lt;&gt;""),1,0),0)</f>
        <v/>
      </c>
      <c r="BX45">
        <f>IF(BX$4=1,IF(OR(INDEX('×入力'!$A$1:$L$1300,987+BX$3,2+BX$2)&lt;&gt;"",INDEX('×入力'!$A$1:$L$1300,986,2+BX$2)&lt;&gt;"",INDEX('×入力'!$A$1:$L$1300,987+BX$3,1)&lt;&gt;""),1,0),0)</f>
        <v/>
      </c>
      <c r="BY45">
        <f>IF(BY$4=1,IF(OR(INDEX('×入力'!$A$1:$L$1300,987+BY$3,2+BY$2)&lt;&gt;"",INDEX('×入力'!$A$1:$L$1300,986,2+BY$2)&lt;&gt;"",INDEX('×入力'!$A$1:$L$1300,987+BY$3,1)&lt;&gt;""),1,0),0)</f>
        <v/>
      </c>
      <c r="BZ45">
        <f>IF(BZ$4=1,IF(OR(INDEX('×入力'!$A$1:$L$1300,987+BZ$3,2+BZ$2)&lt;&gt;"",INDEX('×入力'!$A$1:$L$1300,986,2+BZ$2)&lt;&gt;"",INDEX('×入力'!$A$1:$L$1300,987+BZ$3,1)&lt;&gt;""),1,0),0)</f>
        <v/>
      </c>
      <c r="CA45">
        <f>IF(CA$4=1,IF(OR(INDEX('×入力'!$A$1:$L$1300,987+CA$3,2+CA$2)&lt;&gt;"",INDEX('×入力'!$A$1:$L$1300,986,2+CA$2)&lt;&gt;"",INDEX('×入力'!$A$1:$L$1300,987+CA$3,1)&lt;&gt;""),1,0),0)</f>
        <v/>
      </c>
      <c r="CB45">
        <f>IF(CB$4=1,IF(OR(INDEX('×入力'!$A$1:$L$1300,987+CB$3,2+CB$2)&lt;&gt;"",INDEX('×入力'!$A$1:$L$1300,986,2+CB$2)&lt;&gt;"",INDEX('×入力'!$A$1:$L$1300,987+CB$3,1)&lt;&gt;""),1,0),0)</f>
        <v/>
      </c>
      <c r="CC45">
        <f>IF(CC$4=1,IF(OR(INDEX('×入力'!$A$1:$L$1300,987+CC$3,2+CC$2)&lt;&gt;"",INDEX('×入力'!$A$1:$L$1300,986,2+CC$2)&lt;&gt;"",INDEX('×入力'!$A$1:$L$1300,987+CC$3,1)&lt;&gt;""),1,0),0)</f>
        <v/>
      </c>
      <c r="CD45">
        <f>IF(CD$4=1,IF(OR(INDEX('×入力'!$A$1:$L$1300,987+CD$3,2+CD$2)&lt;&gt;"",INDEX('×入力'!$A$1:$L$1300,986,2+CD$2)&lt;&gt;"",INDEX('×入力'!$A$1:$L$1300,987+CD$3,1)&lt;&gt;""),1,0),0)</f>
        <v/>
      </c>
      <c r="CE45">
        <f>IF(CE$4=1,IF(OR(INDEX('×入力'!$A$1:$L$1300,987+CE$3,2+CE$2)&lt;&gt;"",INDEX('×入力'!$A$1:$L$1300,986,2+CE$2)&lt;&gt;"",INDEX('×入力'!$A$1:$L$1300,987+CE$3,1)&lt;&gt;""),1,0),0)</f>
        <v/>
      </c>
      <c r="CF45">
        <f>IF(CF$4=1,IF(OR(INDEX('×入力'!$A$1:$L$1300,987+CF$3,2+CF$2)&lt;&gt;"",INDEX('×入力'!$A$1:$L$1300,986,2+CF$2)&lt;&gt;"",INDEX('×入力'!$A$1:$L$1300,987+CF$3,1)&lt;&gt;""),1,0),0)</f>
        <v/>
      </c>
      <c r="CG45">
        <f>IF(CG$4=1,IF(OR(INDEX('×入力'!$A$1:$L$1300,987+CG$3,2+CG$2)&lt;&gt;"",INDEX('×入力'!$A$1:$L$1300,986,2+CG$2)&lt;&gt;"",INDEX('×入力'!$A$1:$L$1300,987+CG$3,1)&lt;&gt;""),1,0),0)</f>
        <v/>
      </c>
      <c r="CH45">
        <f>IF(CH$4=1,IF(OR(INDEX('×入力'!$A$1:$L$1300,987+CH$3,2+CH$2)&lt;&gt;"",INDEX('×入力'!$A$1:$L$1300,986,2+CH$2)&lt;&gt;"",INDEX('×入力'!$A$1:$L$1300,987+CH$3,1)&lt;&gt;""),1,0),0)</f>
        <v/>
      </c>
      <c r="CI45">
        <f>IF(CI$4=1,IF(OR(INDEX('×入力'!$A$1:$L$1300,987+CI$3,2+CI$2)&lt;&gt;"",INDEX('×入力'!$A$1:$L$1300,986,2+CI$2)&lt;&gt;"",INDEX('×入力'!$A$1:$L$1300,987+CI$3,1)&lt;&gt;""),1,0),0)</f>
        <v/>
      </c>
      <c r="CJ45">
        <f>IF(CJ$4=1,IF(OR(INDEX('×入力'!$A$1:$L$1300,987+CJ$3,2+CJ$2)&lt;&gt;"",INDEX('×入力'!$A$1:$L$1300,986,2+CJ$2)&lt;&gt;"",INDEX('×入力'!$A$1:$L$1300,987+CJ$3,1)&lt;&gt;""),1,0),0)</f>
        <v/>
      </c>
      <c r="CK45">
        <f>IF(CK$4=1,IF(OR(INDEX('×入力'!$A$1:$L$1300,987+CK$3,2+CK$2)&lt;&gt;"",INDEX('×入力'!$A$1:$L$1300,986,2+CK$2)&lt;&gt;"",INDEX('×入力'!$A$1:$L$1300,987+CK$3,1)&lt;&gt;""),1,0),0)</f>
        <v/>
      </c>
      <c r="CL45">
        <f>IF(CL$4=1,IF(OR(INDEX('×入力'!$A$1:$L$1300,987+CL$3,2+CL$2)&lt;&gt;"",INDEX('×入力'!$A$1:$L$1300,986,2+CL$2)&lt;&gt;"",INDEX('×入力'!$A$1:$L$1300,987+CL$3,1)&lt;&gt;""),1,0),0)</f>
        <v/>
      </c>
      <c r="CM45">
        <f>IF(CM$4=1,IF(OR(INDEX('×入力'!$A$1:$L$1300,987+CM$3,2+CM$2)&lt;&gt;"",INDEX('×入力'!$A$1:$L$1300,986,2+CM$2)&lt;&gt;"",INDEX('×入力'!$A$1:$L$1300,987+CM$3,1)&lt;&gt;""),1,0),0)</f>
        <v/>
      </c>
      <c r="CN45">
        <f>IF(CN$4=1,IF(OR(INDEX('×入力'!$A$1:$L$1300,987+CN$3,2+CN$2)&lt;&gt;"",INDEX('×入力'!$A$1:$L$1300,986,2+CN$2)&lt;&gt;"",INDEX('×入力'!$A$1:$L$1300,987+CN$3,1)&lt;&gt;""),1,0),0)</f>
        <v/>
      </c>
      <c r="CO45">
        <f>IF(CO$4=1,IF(OR(INDEX('×入力'!$A$1:$L$1300,987+CO$3,2+CO$2)&lt;&gt;"",INDEX('×入力'!$A$1:$L$1300,986,2+CO$2)&lt;&gt;"",INDEX('×入力'!$A$1:$L$1300,987+CO$3,1)&lt;&gt;""),1,0),0)</f>
        <v/>
      </c>
      <c r="CP45">
        <f>IF(CP$4=1,IF(OR(INDEX('×入力'!$A$1:$L$1300,987+CP$3,2+CP$2)&lt;&gt;"",INDEX('×入力'!$A$1:$L$1300,986,2+CP$2)&lt;&gt;"",INDEX('×入力'!$A$1:$L$1300,987+CP$3,1)&lt;&gt;""),1,0),0)</f>
        <v/>
      </c>
      <c r="CQ45">
        <f>IF(CQ$4=1,IF(OR(INDEX('×入力'!$A$1:$L$1300,987+CQ$3,2+CQ$2)&lt;&gt;"",INDEX('×入力'!$A$1:$L$1300,986,2+CQ$2)&lt;&gt;"",INDEX('×入力'!$A$1:$L$1300,987+CQ$3,1)&lt;&gt;""),1,0),0)</f>
        <v/>
      </c>
      <c r="CR45">
        <f>IF(CR$4=1,IF(OR(INDEX('×入力'!$A$1:$L$1300,987+CR$3,2+CR$2)&lt;&gt;"",INDEX('×入力'!$A$1:$L$1300,986,2+CR$2)&lt;&gt;"",INDEX('×入力'!$A$1:$L$1300,987+CR$3,1)&lt;&gt;""),1,0),0)</f>
        <v/>
      </c>
      <c r="CS45">
        <f>IF(CS$4=1,IF(OR(INDEX('×入力'!$A$1:$L$1300,987+CS$3,2+CS$2)&lt;&gt;"",INDEX('×入力'!$A$1:$L$1300,986,2+CS$2)&lt;&gt;"",INDEX('×入力'!$A$1:$L$1300,987+CS$3,1)&lt;&gt;""),1,0),0)</f>
        <v/>
      </c>
      <c r="CT45">
        <f>IF(CT$4=1,IF(OR(INDEX('×入力'!$A$1:$L$1300,987+CT$3,2+CT$2)&lt;&gt;"",INDEX('×入力'!$A$1:$L$1300,986,2+CT$2)&lt;&gt;"",INDEX('×入力'!$A$1:$L$1300,987+CT$3,1)&lt;&gt;""),1,0),0)</f>
        <v/>
      </c>
      <c r="CU45">
        <f>IF(CU$4=1,IF(OR(INDEX('×入力'!$A$1:$L$1300,987+CU$3,2+CU$2)&lt;&gt;"",INDEX('×入力'!$A$1:$L$1300,986,2+CU$2)&lt;&gt;"",INDEX('×入力'!$A$1:$L$1300,987+CU$3,1)&lt;&gt;""),1,0),0)</f>
        <v/>
      </c>
      <c r="CV45">
        <f>IF(CV$4=1,IF(OR(INDEX('×入力'!$A$1:$L$1300,987+CV$3,2+CV$2)&lt;&gt;"",INDEX('×入力'!$A$1:$L$1300,986,2+CV$2)&lt;&gt;"",INDEX('×入力'!$A$1:$L$1300,987+CV$3,1)&lt;&gt;""),1,0),0)</f>
        <v/>
      </c>
      <c r="CW45">
        <f>IF(CW$4=1,IF(OR(INDEX('×入力'!$A$1:$L$1300,987+CW$3,2+CW$2)&lt;&gt;"",INDEX('×入力'!$A$1:$L$1300,986,2+CW$2)&lt;&gt;"",INDEX('×入力'!$A$1:$L$1300,987+CW$3,1)&lt;&gt;""),1,0),0)</f>
        <v/>
      </c>
      <c r="CX45">
        <f>IF(CX$4=1,IF(OR(INDEX('×入力'!$A$1:$L$1300,987+CX$3,2+CX$2)&lt;&gt;"",INDEX('×入力'!$A$1:$L$1300,986,2+CX$2)&lt;&gt;"",INDEX('×入力'!$A$1:$L$1300,987+CX$3,1)&lt;&gt;""),1,0),0)</f>
        <v/>
      </c>
      <c r="CY45">
        <f>IF(CY$4=1,IF(OR(INDEX('×入力'!$A$1:$L$1300,987+CY$3,2+CY$2)&lt;&gt;"",INDEX('×入力'!$A$1:$L$1300,986,2+CY$2)&lt;&gt;"",INDEX('×入力'!$A$1:$L$1300,987+CY$3,1)&lt;&gt;""),1,0),0)</f>
        <v/>
      </c>
      <c r="CZ45">
        <f>IF(CZ$4=1,IF(OR(INDEX('×入力'!$A$1:$L$1300,987+CZ$3,2+CZ$2)&lt;&gt;"",INDEX('×入力'!$A$1:$L$1300,986,2+CZ$2)&lt;&gt;"",INDEX('×入力'!$A$1:$L$1300,987+CZ$3,1)&lt;&gt;""),1,0),0)</f>
        <v/>
      </c>
      <c r="DA45">
        <f>IF(DA$4=1,IF(OR(INDEX('×入力'!$A$1:$L$1300,987+DA$3,2+DA$2)&lt;&gt;"",INDEX('×入力'!$A$1:$L$1300,986,2+DA$2)&lt;&gt;"",INDEX('×入力'!$A$1:$L$1300,987+DA$3,1)&lt;&gt;""),1,0),0)</f>
        <v/>
      </c>
      <c r="DB45">
        <f>IF(DB$4=1,IF(OR(INDEX('×入力'!$A$1:$L$1300,987+DB$3,2+DB$2)&lt;&gt;"",INDEX('×入力'!$A$1:$L$1300,986,2+DB$2)&lt;&gt;"",INDEX('×入力'!$A$1:$L$1300,987+DB$3,1)&lt;&gt;""),1,0),0)</f>
        <v/>
      </c>
      <c r="DC45">
        <f>IF(DC$4=1,IF(OR(INDEX('×入力'!$A$1:$L$1300,987+DC$3,2+DC$2)&lt;&gt;"",INDEX('×入力'!$A$1:$L$1300,986,2+DC$2)&lt;&gt;"",INDEX('×入力'!$A$1:$L$1300,987+DC$3,1)&lt;&gt;""),1,0),0)</f>
        <v/>
      </c>
      <c r="DD45">
        <f>IF(DD$4=1,IF(OR(INDEX('×入力'!$A$1:$L$1300,987+DD$3,2+DD$2)&lt;&gt;"",INDEX('×入力'!$A$1:$L$1300,986,2+DD$2)&lt;&gt;"",INDEX('×入力'!$A$1:$L$1300,987+DD$3,1)&lt;&gt;""),1,0),0)</f>
        <v/>
      </c>
      <c r="DE45">
        <f>IF(DE$4=1,IF(OR(INDEX('×入力'!$A$1:$L$1300,987+DE$3,2+DE$2)&lt;&gt;"",INDEX('×入力'!$A$1:$L$1300,986,2+DE$2)&lt;&gt;"",INDEX('×入力'!$A$1:$L$1300,987+DE$3,1)&lt;&gt;""),1,0),0)</f>
        <v/>
      </c>
      <c r="DF45">
        <f>IF(DF$4=1,IF(OR(INDEX('×入力'!$A$1:$L$1300,987+DF$3,2+DF$2)&lt;&gt;"",INDEX('×入力'!$A$1:$L$1300,986,2+DF$2)&lt;&gt;"",INDEX('×入力'!$A$1:$L$1300,987+DF$3,1)&lt;&gt;""),1,0),0)</f>
        <v/>
      </c>
      <c r="DG45">
        <f>IF(DG$4=1,IF(OR(INDEX('×入力'!$A$1:$L$1300,987+DG$3,2+DG$2)&lt;&gt;"",INDEX('×入力'!$A$1:$L$1300,986,2+DG$2)&lt;&gt;"",INDEX('×入力'!$A$1:$L$1300,987+DG$3,1)&lt;&gt;""),1,0),0)</f>
        <v/>
      </c>
      <c r="DH45">
        <f>IF(DH$4=1,IF(OR(INDEX('×入力'!$A$1:$L$1300,987+DH$3,2+DH$2)&lt;&gt;"",INDEX('×入力'!$A$1:$L$1300,986,2+DH$2)&lt;&gt;"",INDEX('×入力'!$A$1:$L$1300,987+DH$3,1)&lt;&gt;""),1,0),0)</f>
        <v/>
      </c>
      <c r="DI45">
        <f>IF(DI$4=1,IF(OR(INDEX('×入力'!$A$1:$L$1300,987+DI$3,2+DI$2)&lt;&gt;"",INDEX('×入力'!$A$1:$L$1300,986,2+DI$2)&lt;&gt;"",INDEX('×入力'!$A$1:$L$1300,987+DI$3,1)&lt;&gt;""),1,0),0)</f>
        <v/>
      </c>
      <c r="DJ45">
        <f>IF(DJ$4=1,IF(OR(INDEX('×入力'!$A$1:$L$1300,987+DJ$3,2+DJ$2)&lt;&gt;"",INDEX('×入力'!$A$1:$L$1300,986,2+DJ$2)&lt;&gt;"",INDEX('×入力'!$A$1:$L$1300,987+DJ$3,1)&lt;&gt;""),1,0),0)</f>
        <v/>
      </c>
      <c r="DK45">
        <f>IF(DK$4=1,IF(OR(INDEX('×入力'!$A$1:$L$1300,987+DK$3,2+DK$2)&lt;&gt;"",INDEX('×入力'!$A$1:$L$1300,986,2+DK$2)&lt;&gt;"",INDEX('×入力'!$A$1:$L$1300,987+DK$3,1)&lt;&gt;""),1,0),0)</f>
        <v/>
      </c>
      <c r="DL45">
        <f>IF(DL$4=1,IF(OR(INDEX('×入力'!$A$1:$L$1300,987+DL$3,2+DL$2)&lt;&gt;"",INDEX('×入力'!$A$1:$L$1300,986,2+DL$2)&lt;&gt;"",INDEX('×入力'!$A$1:$L$1300,987+DL$3,1)&lt;&gt;""),1,0),0)</f>
        <v/>
      </c>
      <c r="DM45">
        <f>IF(DM$4=1,IF(OR(INDEX('×入力'!$A$1:$L$1300,987+DM$3,2+DM$2)&lt;&gt;"",INDEX('×入力'!$A$1:$L$1300,986,2+DM$2)&lt;&gt;"",INDEX('×入力'!$A$1:$L$1300,987+DM$3,1)&lt;&gt;""),1,0),0)</f>
        <v/>
      </c>
      <c r="DN45">
        <f>IF(DN$4=1,IF(OR(INDEX('×入力'!$A$1:$L$1300,987+DN$3,2+DN$2)&lt;&gt;"",INDEX('×入力'!$A$1:$L$1300,986,2+DN$2)&lt;&gt;"",INDEX('×入力'!$A$1:$L$1300,987+DN$3,1)&lt;&gt;""),1,0),0)</f>
        <v/>
      </c>
      <c r="DO45">
        <f>IF(DO$4=1,IF(OR(INDEX('×入力'!$A$1:$L$1300,987+DO$3,2+DO$2)&lt;&gt;"",INDEX('×入力'!$A$1:$L$1300,986,2+DO$2)&lt;&gt;"",INDEX('×入力'!$A$1:$L$1300,987+DO$3,1)&lt;&gt;""),1,0),0)</f>
        <v/>
      </c>
      <c r="DP45">
        <f>IF(DP$4=1,IF(OR(INDEX('×入力'!$A$1:$L$1300,987+DP$3,2+DP$2)&lt;&gt;"",INDEX('×入力'!$A$1:$L$1300,986,2+DP$2)&lt;&gt;"",INDEX('×入力'!$A$1:$L$1300,987+DP$3,1)&lt;&gt;""),1,0),0)</f>
        <v/>
      </c>
      <c r="DQ45">
        <f>IF(DQ$4=1,IF(OR(INDEX('×入力'!$A$1:$L$1300,987+DQ$3,2+DQ$2)&lt;&gt;"",INDEX('×入力'!$A$1:$L$1300,986,2+DQ$2)&lt;&gt;"",INDEX('×入力'!$A$1:$L$1300,987+DQ$3,1)&lt;&gt;""),1,0),0)</f>
        <v/>
      </c>
      <c r="DR45">
        <f>IF(DR$4=1,IF(OR(INDEX('×入力'!$A$1:$L$1300,987+DR$3,2+DR$2)&lt;&gt;"",INDEX('×入力'!$A$1:$L$1300,986,2+DR$2)&lt;&gt;"",INDEX('×入力'!$A$1:$L$1300,987+DR$3,1)&lt;&gt;""),1,0),0)</f>
        <v/>
      </c>
      <c r="DS45">
        <f>IF(DS$4=1,IF(OR(INDEX('×入力'!$A$1:$L$1300,987+DS$3,2+DS$2)&lt;&gt;"",INDEX('×入力'!$A$1:$L$1300,986,2+DS$2)&lt;&gt;"",INDEX('×入力'!$A$1:$L$1300,987+DS$3,1)&lt;&gt;""),1,0),0)</f>
        <v/>
      </c>
      <c r="DT45">
        <f>IF(DT$4=1,IF(OR(INDEX('×入力'!$A$1:$L$1300,987+DT$3,2+DT$2)&lt;&gt;"",INDEX('×入力'!$A$1:$L$1300,986,2+DT$2)&lt;&gt;"",INDEX('×入力'!$A$1:$L$1300,987+DT$3,1)&lt;&gt;""),1,0),0)</f>
        <v/>
      </c>
      <c r="DU45">
        <f>IF(DU$4=1,IF(OR(INDEX('×入力'!$A$1:$L$1300,987+DU$3,2+DU$2)&lt;&gt;"",INDEX('×入力'!$A$1:$L$1300,986,2+DU$2)&lt;&gt;"",INDEX('×入力'!$A$1:$L$1300,987+DU$3,1)&lt;&gt;""),1,0),0)</f>
        <v/>
      </c>
      <c r="DV45">
        <f>IF(DV$4=1,IF(OR(INDEX('×入力'!$A$1:$L$1300,987+DV$3,2+DV$2)&lt;&gt;"",INDEX('×入力'!$A$1:$L$1300,986,2+DV$2)&lt;&gt;"",INDEX('×入力'!$A$1:$L$1300,987+DV$3,1)&lt;&gt;""),1,0),0)</f>
        <v/>
      </c>
      <c r="DW45">
        <f>IF(DW$4=1,IF(OR(INDEX('×入力'!$A$1:$L$1300,987+DW$3,2+DW$2)&lt;&gt;"",INDEX('×入力'!$A$1:$L$1300,986,2+DW$2)&lt;&gt;"",INDEX('×入力'!$A$1:$L$1300,987+DW$3,1)&lt;&gt;""),1,0),0)</f>
        <v/>
      </c>
      <c r="DX45">
        <f>IF(DX$4=1,IF(OR(INDEX('×入力'!$A$1:$L$1300,987+DX$3,2+DX$2)&lt;&gt;"",INDEX('×入力'!$A$1:$L$1300,986,2+DX$2)&lt;&gt;"",INDEX('×入力'!$A$1:$L$1300,987+DX$3,1)&lt;&gt;""),1,0),0)</f>
        <v/>
      </c>
      <c r="DY45">
        <f>IF(DY$4=1,IF(OR(INDEX('×入力'!$A$1:$L$1300,987+DY$3,2+DY$2)&lt;&gt;"",INDEX('×入力'!$A$1:$L$1300,986,2+DY$2)&lt;&gt;"",INDEX('×入力'!$A$1:$L$1300,987+DY$3,1)&lt;&gt;""),1,0),0)</f>
        <v/>
      </c>
      <c r="DZ45">
        <f>IF(DZ$4=1,IF(OR(INDEX('×入力'!$A$1:$L$1300,987+DZ$3,2+DZ$2)&lt;&gt;"",INDEX('×入力'!$A$1:$L$1300,986,2+DZ$2)&lt;&gt;"",INDEX('×入力'!$A$1:$L$1300,987+DZ$3,1)&lt;&gt;""),1,0),0)</f>
        <v/>
      </c>
      <c r="EA45">
        <f>IF(EA$4=1,IF(OR(INDEX('×入力'!$A$1:$L$1300,987+EA$3,2+EA$2)&lt;&gt;"",INDEX('×入力'!$A$1:$L$1300,986,2+EA$2)&lt;&gt;"",INDEX('×入力'!$A$1:$L$1300,987+EA$3,1)&lt;&gt;""),1,0),0)</f>
        <v/>
      </c>
      <c r="EB45">
        <f>IF(EB$4=1,IF(OR(INDEX('×入力'!$A$1:$L$1300,987+EB$3,2+EB$2)&lt;&gt;"",INDEX('×入力'!$A$1:$L$1300,986,2+EB$2)&lt;&gt;"",INDEX('×入力'!$A$1:$L$1300,987+EB$3,1)&lt;&gt;""),1,0),0)</f>
        <v/>
      </c>
      <c r="EC45">
        <f>IF(EC$4=1,IF(OR(INDEX('×入力'!$A$1:$L$1300,987+EC$3,2+EC$2)&lt;&gt;"",INDEX('×入力'!$A$1:$L$1300,986,2+EC$2)&lt;&gt;"",INDEX('×入力'!$A$1:$L$1300,987+EC$3,1)&lt;&gt;""),1,0),0)</f>
        <v/>
      </c>
      <c r="ED45">
        <f>IF(ED$4=1,IF(OR(INDEX('×入力'!$A$1:$L$1300,987+ED$3,2+ED$2)&lt;&gt;"",INDEX('×入力'!$A$1:$L$1300,986,2+ED$2)&lt;&gt;"",INDEX('×入力'!$A$1:$L$1300,987+ED$3,1)&lt;&gt;""),1,0),0)</f>
        <v/>
      </c>
      <c r="EE45">
        <f>IF(EE$4=1,IF(OR(INDEX('×入力'!$A$1:$L$1300,987+EE$3,2+EE$2)&lt;&gt;"",INDEX('×入力'!$A$1:$L$1300,986,2+EE$2)&lt;&gt;"",INDEX('×入力'!$A$1:$L$1300,987+EE$3,1)&lt;&gt;""),1,0),0)</f>
        <v/>
      </c>
      <c r="EF45">
        <f>IF(EF$4=1,IF(OR(INDEX('×入力'!$A$1:$L$1300,987+EF$3,2+EF$2)&lt;&gt;"",INDEX('×入力'!$A$1:$L$1300,986,2+EF$2)&lt;&gt;"",INDEX('×入力'!$A$1:$L$1300,987+EF$3,1)&lt;&gt;""),1,0),0)</f>
        <v/>
      </c>
      <c r="EG45">
        <f>IF(EG$4=1,IF(OR(INDEX('×入力'!$A$1:$L$1300,987+EG$3,2+EG$2)&lt;&gt;"",INDEX('×入力'!$A$1:$L$1300,986,2+EG$2)&lt;&gt;"",INDEX('×入力'!$A$1:$L$1300,987+EG$3,1)&lt;&gt;""),1,0),0)</f>
        <v/>
      </c>
      <c r="EH45">
        <f>IF(EH$4=1,IF(OR(INDEX('×入力'!$A$1:$L$1300,987+EH$3,2+EH$2)&lt;&gt;"",INDEX('×入力'!$A$1:$L$1300,986,2+EH$2)&lt;&gt;"",INDEX('×入力'!$A$1:$L$1300,987+EH$3,1)&lt;&gt;""),1,0),0)</f>
        <v/>
      </c>
      <c r="EI45">
        <f>IF(EI$4=1,IF(OR(INDEX('×入力'!$A$1:$L$1300,987+EI$3,2+EI$2)&lt;&gt;"",INDEX('×入力'!$A$1:$L$1300,986,2+EI$2)&lt;&gt;"",INDEX('×入力'!$A$1:$L$1300,987+EI$3,1)&lt;&gt;""),1,0),0)</f>
        <v/>
      </c>
      <c r="EJ45">
        <f>IF(EJ$4=1,IF(OR(INDEX('×入力'!$A$1:$L$1300,987+EJ$3,2+EJ$2)&lt;&gt;"",INDEX('×入力'!$A$1:$L$1300,986,2+EJ$2)&lt;&gt;"",INDEX('×入力'!$A$1:$L$1300,987+EJ$3,1)&lt;&gt;""),1,0),0)</f>
        <v/>
      </c>
      <c r="EK45">
        <f>IF(EK$4=1,IF(OR(INDEX('×入力'!$A$1:$L$1300,987+EK$3,2+EK$2)&lt;&gt;"",INDEX('×入力'!$A$1:$L$1300,986,2+EK$2)&lt;&gt;"",INDEX('×入力'!$A$1:$L$1300,987+EK$3,1)&lt;&gt;""),1,0),0)</f>
        <v/>
      </c>
      <c r="EL45">
        <f>IF(EL$4=1,IF(OR(INDEX('×入力'!$A$1:$L$1300,987+EL$3,2+EL$2)&lt;&gt;"",INDEX('×入力'!$A$1:$L$1300,986,2+EL$2)&lt;&gt;"",INDEX('×入力'!$A$1:$L$1300,987+EL$3,1)&lt;&gt;""),1,0),0)</f>
        <v/>
      </c>
      <c r="EM45">
        <f>IF(EM$4=1,IF(OR(INDEX('×入力'!$A$1:$L$1300,987+EM$3,2+EM$2)&lt;&gt;"",INDEX('×入力'!$A$1:$L$1300,986,2+EM$2)&lt;&gt;"",INDEX('×入力'!$A$1:$L$1300,987+EM$3,1)&lt;&gt;""),1,0),0)</f>
        <v/>
      </c>
      <c r="EN45">
        <f>IF(EN$4=1,IF(OR(INDEX('×入力'!$A$1:$L$1300,987+EN$3,2+EN$2)&lt;&gt;"",INDEX('×入力'!$A$1:$L$1300,986,2+EN$2)&lt;&gt;"",INDEX('×入力'!$A$1:$L$1300,987+EN$3,1)&lt;&gt;""),1,0),0)</f>
        <v/>
      </c>
      <c r="EO45">
        <f>IF(EO$4=1,IF(OR(INDEX('×入力'!$A$1:$L$1300,987+EO$3,2+EO$2)&lt;&gt;"",INDEX('×入力'!$A$1:$L$1300,986,2+EO$2)&lt;&gt;"",INDEX('×入力'!$A$1:$L$1300,987+EO$3,1)&lt;&gt;""),1,0),0)</f>
        <v/>
      </c>
      <c r="EP45">
        <f>IF(EP$4=1,IF(OR(INDEX('×入力'!$A$1:$L$1300,987+EP$3,2+EP$2)&lt;&gt;"",INDEX('×入力'!$A$1:$L$1300,986,2+EP$2)&lt;&gt;"",INDEX('×入力'!$A$1:$L$1300,987+EP$3,1)&lt;&gt;""),1,0),0)</f>
        <v/>
      </c>
      <c r="EQ45">
        <f>IF(EQ$4=1,IF(OR(INDEX('×入力'!$A$1:$L$1300,987+EQ$3,2+EQ$2)&lt;&gt;"",INDEX('×入力'!$A$1:$L$1300,986,2+EQ$2)&lt;&gt;"",INDEX('×入力'!$A$1:$L$1300,987+EQ$3,1)&lt;&gt;""),1,0),0)</f>
        <v/>
      </c>
      <c r="HA45">
        <f>MAX(0,IT45)</f>
        <v/>
      </c>
      <c r="HB45">
        <f>IF(HA45=0,0,INDEX($D$2:$EQ$2,HA45))</f>
        <v/>
      </c>
      <c r="HC45">
        <f>IF(HA45=0,0,INDEX($D$3:$EQ$3,HA45))</f>
        <v/>
      </c>
      <c r="HD45">
        <f>MAX(0,IY45)</f>
        <v/>
      </c>
      <c r="HE45">
        <f>IF(HD45=0,0,INDEX($D$2:$EQ$2,HD45))</f>
        <v/>
      </c>
      <c r="HF45">
        <f>IF(HD45=0,0,INDEX($D$3:$EQ$3,HD45))</f>
        <v/>
      </c>
      <c r="HG45">
        <f>MAX(0,IZ45)</f>
        <v/>
      </c>
      <c r="HH45">
        <f>IF(HG45=0,0,INDEX($D$2:$EQ$2,HG45))</f>
        <v/>
      </c>
      <c r="HI45">
        <f>IF(HG45=0,0,INDEX($D$3:$EQ$3,HG45))</f>
        <v/>
      </c>
      <c r="HJ45">
        <f>IF(AND(HA45&gt;0,HC45&gt;1,OR(HC45-1&lt;&gt;$A$3,$A$4=0)),HA45-1,-1)</f>
        <v/>
      </c>
      <c r="HK45">
        <f>IF(AND(HA45&gt;0,HC45&lt;24,OR(HC45&lt;&gt;$A$3,$A$4=0)),HA45+1,-1)</f>
        <v/>
      </c>
      <c r="HL45">
        <f>IF(AND(HD45&gt;0,HF45&gt;1,OR(HF45-1&lt;&gt;$A$3,$A$4=0)),HD45-1,-1)</f>
        <v/>
      </c>
      <c r="HM45">
        <f>IF(AND(HD45&gt;0,HF45&lt;24,OR(HF45&lt;&gt;$A$3,$A$4=0)),HD45+1,-1)</f>
        <v/>
      </c>
      <c r="HN45">
        <f>IF(AND(HG45&gt;0,HI45&gt;1,OR(HI45-1&lt;&gt;$A$3,$A$4=0)),HG45-1,-1)</f>
        <v/>
      </c>
      <c r="HO45">
        <f>IF(AND(HG45&gt;0,HI45&lt;24,OR(HI45&lt;&gt;$A$3,$A$4=0)),HG45+1,-1)</f>
        <v/>
      </c>
      <c r="IK45">
        <f>IFERROR(INDEX('calcB'!$C$3:$C$47,MATCH(A45,'calcB'!$B$3:$B$47,0)),0)</f>
        <v/>
      </c>
      <c r="IL45">
        <f>IF(AND(C45=1,IK45=0,calcA!$A$6=1),1,0)</f>
        <v/>
      </c>
      <c r="IM45">
        <f>SUMPRODUCT(D95:EQ95*(1-$D$7:$EQ$7))</f>
        <v/>
      </c>
      <c r="IN45">
        <f>SUM(D45:EQ45)</f>
        <v/>
      </c>
      <c r="IO45">
        <f>IF(B45="",0,IF(COUNTIF('調整・決定'!$C$6:$H$29,B45)=1,SUMPRODUCT(('調整・決定'!$C$6:$H$29=B45)*((COLUMN('調整・決定'!$C$6:$H$29)-3)*24+ROW('調整・決定'!$C$6:$H$29)-5)),0))</f>
        <v/>
      </c>
      <c r="IP45">
        <f>IFERROR(MATCH('名簿'!C40,{"早い時刻","遅い時刻","早い日","遅い日"},0),0)</f>
        <v/>
      </c>
      <c r="IQ45">
        <f>IF('名簿'!D40="必ず空けたい",2,IF('名簿'!D40="出来れば空けたい",1,0))</f>
        <v/>
      </c>
      <c r="IR45">
        <f>IFERROR(INDEX('calcC'!$C$3:$C$47,MATCH(A45,'calcC'!$B$3:$B$47,0)),0)</f>
        <v/>
      </c>
      <c r="IS45">
        <f>IF(AND(C45=1,IR45=0,calcA!$A$6=1),1,0)</f>
        <v/>
      </c>
      <c r="IT45">
        <f>IF(OR('名簿'!G40="",'名簿'!H40=""),0,IFERROR((MATCH('名簿'!G40,'設定'!$E$11:$E$16,0)-1)*24+MATCH('名簿'!H40,'設定'!$I$11:$I$34,0),-1))</f>
        <v/>
      </c>
      <c r="IV45">
        <f>IF(OR(JF45=0,IO45=0),1,IF(OR(IF(IT45&gt;0,AND(INDEX($D$2:$EQ$2,IO45)=INDEX($D$2:$EQ$2,IT45),OR(AND(IO45=IT45+1,OR(INDEX($D$3:$EQ$3,IT45)&lt;&gt;$A$3,$A$4=0)),AND(IO45=IT45-1,OR(INDEX($D$3:$EQ$3,IO45)&lt;&gt;$A$3,$A$4=0)))),FALSE),IF(IY45&gt;0,AND(INDEX($D$2:$EQ$2,IO45)=INDEX($D$2:$EQ$2,IY45),OR(AND(IO45=IY45+1,OR(INDEX($D$3:$EQ$3,IY45)&lt;&gt;$A$3,$A$4=0)),AND(IO45=IY45-1,OR(INDEX($D$3:$EQ$3,IO45)&lt;&gt;$A$3,$A$4=0)))),FALSE),IF(IZ45&gt;0,AND(INDEX($D$2:$EQ$2,IO45)=INDEX($D$2:$EQ$2,IZ45),OR(AND(IO45=IZ45+1,OR(INDEX($D$3:$EQ$3,IZ45)&lt;&gt;$A$3,$A$4=0)),AND(IO45=IZ45-1,OR(INDEX($D$3:$EQ$3,IO45)&lt;&gt;$A$3,$A$4=0)))),FALSE)),1,0))</f>
        <v/>
      </c>
      <c r="IW45">
        <f>IF(AND('名簿'!E40&lt;&gt;"",JF45=0),1,0)</f>
        <v/>
      </c>
      <c r="IX45">
        <f>IF('名簿'!D40="空けない",1,0)</f>
        <v/>
      </c>
      <c r="IY45">
        <f>IF(OR('名簿'!J40="",'名簿'!K40=""),0,IFERROR((MATCH('名簿'!J40,'設定'!$E$11:$E$16,0)-1)*24+MATCH('名簿'!K40,'設定'!$I$11:$I$34,0),-1))</f>
        <v/>
      </c>
      <c r="IZ45">
        <f>IF(OR('名簿'!M40="",'名簿'!N40=""),0,IFERROR((MATCH('名簿'!M40,'設定'!$E$11:$E$16,0)-1)*24+MATCH('名簿'!N40,'設定'!$I$11:$I$34,0),-1))</f>
        <v/>
      </c>
      <c r="JC45">
        <f>IF(RIGHT('名簿'!I40,2)="の前",1,IF(RIGHT('名簿'!I40,2)="の後",2,0))</f>
        <v/>
      </c>
      <c r="JD45">
        <f>IF(RIGHT('名簿'!L40,2)="の前",1,IF(RIGHT('名簿'!L40,2)="の後",2,0))</f>
        <v/>
      </c>
      <c r="JE45">
        <f>IF(RIGHT('名簿'!O40,2)="の前",1,IF(RIGHT('名簿'!O40,2)="の後",2,0))</f>
        <v/>
      </c>
      <c r="JF45">
        <f>IF(OR(IT45&gt;0,IY45&gt;0,IZ45&gt;0),1,0)</f>
        <v/>
      </c>
      <c r="JG45">
        <f>IF(OR(IT45&lt;0,IY45&lt;0,IZ45&lt;0),1,0)</f>
        <v/>
      </c>
    </row>
    <row r="46">
      <c r="A46" t="n">
        <v>37</v>
      </c>
      <c r="B46">
        <f>'名簿'!P41</f>
        <v/>
      </c>
      <c r="C46">
        <f>IF(AND(B46&lt;&gt;"",OR('名簿'!Q41="入力済み",'名簿'!Q41="×なし"),IO46=0,COUNTIF('調整・決定'!$C$6:$H$29,B46)=0),1,0)</f>
        <v/>
      </c>
      <c r="D46">
        <f>IF(D$4=1,IF(OR(INDEX('×入力'!$A$1:$L$1300,1015+D$3,2+D$2)&lt;&gt;"",INDEX('×入力'!$A$1:$L$1300,1014,2+D$2)&lt;&gt;"",INDEX('×入力'!$A$1:$L$1300,1015+D$3,1)&lt;&gt;""),1,0),0)</f>
        <v/>
      </c>
      <c r="E46">
        <f>IF(E$4=1,IF(OR(INDEX('×入力'!$A$1:$L$1300,1015+E$3,2+E$2)&lt;&gt;"",INDEX('×入力'!$A$1:$L$1300,1014,2+E$2)&lt;&gt;"",INDEX('×入力'!$A$1:$L$1300,1015+E$3,1)&lt;&gt;""),1,0),0)</f>
        <v/>
      </c>
      <c r="F46">
        <f>IF(F$4=1,IF(OR(INDEX('×入力'!$A$1:$L$1300,1015+F$3,2+F$2)&lt;&gt;"",INDEX('×入力'!$A$1:$L$1300,1014,2+F$2)&lt;&gt;"",INDEX('×入力'!$A$1:$L$1300,1015+F$3,1)&lt;&gt;""),1,0),0)</f>
        <v/>
      </c>
      <c r="G46">
        <f>IF(G$4=1,IF(OR(INDEX('×入力'!$A$1:$L$1300,1015+G$3,2+G$2)&lt;&gt;"",INDEX('×入力'!$A$1:$L$1300,1014,2+G$2)&lt;&gt;"",INDEX('×入力'!$A$1:$L$1300,1015+G$3,1)&lt;&gt;""),1,0),0)</f>
        <v/>
      </c>
      <c r="H46">
        <f>IF(H$4=1,IF(OR(INDEX('×入力'!$A$1:$L$1300,1015+H$3,2+H$2)&lt;&gt;"",INDEX('×入力'!$A$1:$L$1300,1014,2+H$2)&lt;&gt;"",INDEX('×入力'!$A$1:$L$1300,1015+H$3,1)&lt;&gt;""),1,0),0)</f>
        <v/>
      </c>
      <c r="I46">
        <f>IF(I$4=1,IF(OR(INDEX('×入力'!$A$1:$L$1300,1015+I$3,2+I$2)&lt;&gt;"",INDEX('×入力'!$A$1:$L$1300,1014,2+I$2)&lt;&gt;"",INDEX('×入力'!$A$1:$L$1300,1015+I$3,1)&lt;&gt;""),1,0),0)</f>
        <v/>
      </c>
      <c r="J46">
        <f>IF(J$4=1,IF(OR(INDEX('×入力'!$A$1:$L$1300,1015+J$3,2+J$2)&lt;&gt;"",INDEX('×入力'!$A$1:$L$1300,1014,2+J$2)&lt;&gt;"",INDEX('×入力'!$A$1:$L$1300,1015+J$3,1)&lt;&gt;""),1,0),0)</f>
        <v/>
      </c>
      <c r="K46">
        <f>IF(K$4=1,IF(OR(INDEX('×入力'!$A$1:$L$1300,1015+K$3,2+K$2)&lt;&gt;"",INDEX('×入力'!$A$1:$L$1300,1014,2+K$2)&lt;&gt;"",INDEX('×入力'!$A$1:$L$1300,1015+K$3,1)&lt;&gt;""),1,0),0)</f>
        <v/>
      </c>
      <c r="L46">
        <f>IF(L$4=1,IF(OR(INDEX('×入力'!$A$1:$L$1300,1015+L$3,2+L$2)&lt;&gt;"",INDEX('×入力'!$A$1:$L$1300,1014,2+L$2)&lt;&gt;"",INDEX('×入力'!$A$1:$L$1300,1015+L$3,1)&lt;&gt;""),1,0),0)</f>
        <v/>
      </c>
      <c r="M46">
        <f>IF(M$4=1,IF(OR(INDEX('×入力'!$A$1:$L$1300,1015+M$3,2+M$2)&lt;&gt;"",INDEX('×入力'!$A$1:$L$1300,1014,2+M$2)&lt;&gt;"",INDEX('×入力'!$A$1:$L$1300,1015+M$3,1)&lt;&gt;""),1,0),0)</f>
        <v/>
      </c>
      <c r="N46">
        <f>IF(N$4=1,IF(OR(INDEX('×入力'!$A$1:$L$1300,1015+N$3,2+N$2)&lt;&gt;"",INDEX('×入力'!$A$1:$L$1300,1014,2+N$2)&lt;&gt;"",INDEX('×入力'!$A$1:$L$1300,1015+N$3,1)&lt;&gt;""),1,0),0)</f>
        <v/>
      </c>
      <c r="O46">
        <f>IF(O$4=1,IF(OR(INDEX('×入力'!$A$1:$L$1300,1015+O$3,2+O$2)&lt;&gt;"",INDEX('×入力'!$A$1:$L$1300,1014,2+O$2)&lt;&gt;"",INDEX('×入力'!$A$1:$L$1300,1015+O$3,1)&lt;&gt;""),1,0),0)</f>
        <v/>
      </c>
      <c r="P46">
        <f>IF(P$4=1,IF(OR(INDEX('×入力'!$A$1:$L$1300,1015+P$3,2+P$2)&lt;&gt;"",INDEX('×入力'!$A$1:$L$1300,1014,2+P$2)&lt;&gt;"",INDEX('×入力'!$A$1:$L$1300,1015+P$3,1)&lt;&gt;""),1,0),0)</f>
        <v/>
      </c>
      <c r="Q46">
        <f>IF(Q$4=1,IF(OR(INDEX('×入力'!$A$1:$L$1300,1015+Q$3,2+Q$2)&lt;&gt;"",INDEX('×入力'!$A$1:$L$1300,1014,2+Q$2)&lt;&gt;"",INDEX('×入力'!$A$1:$L$1300,1015+Q$3,1)&lt;&gt;""),1,0),0)</f>
        <v/>
      </c>
      <c r="R46">
        <f>IF(R$4=1,IF(OR(INDEX('×入力'!$A$1:$L$1300,1015+R$3,2+R$2)&lt;&gt;"",INDEX('×入力'!$A$1:$L$1300,1014,2+R$2)&lt;&gt;"",INDEX('×入力'!$A$1:$L$1300,1015+R$3,1)&lt;&gt;""),1,0),0)</f>
        <v/>
      </c>
      <c r="S46">
        <f>IF(S$4=1,IF(OR(INDEX('×入力'!$A$1:$L$1300,1015+S$3,2+S$2)&lt;&gt;"",INDEX('×入力'!$A$1:$L$1300,1014,2+S$2)&lt;&gt;"",INDEX('×入力'!$A$1:$L$1300,1015+S$3,1)&lt;&gt;""),1,0),0)</f>
        <v/>
      </c>
      <c r="T46">
        <f>IF(T$4=1,IF(OR(INDEX('×入力'!$A$1:$L$1300,1015+T$3,2+T$2)&lt;&gt;"",INDEX('×入力'!$A$1:$L$1300,1014,2+T$2)&lt;&gt;"",INDEX('×入力'!$A$1:$L$1300,1015+T$3,1)&lt;&gt;""),1,0),0)</f>
        <v/>
      </c>
      <c r="U46">
        <f>IF(U$4=1,IF(OR(INDEX('×入力'!$A$1:$L$1300,1015+U$3,2+U$2)&lt;&gt;"",INDEX('×入力'!$A$1:$L$1300,1014,2+U$2)&lt;&gt;"",INDEX('×入力'!$A$1:$L$1300,1015+U$3,1)&lt;&gt;""),1,0),0)</f>
        <v/>
      </c>
      <c r="V46">
        <f>IF(V$4=1,IF(OR(INDEX('×入力'!$A$1:$L$1300,1015+V$3,2+V$2)&lt;&gt;"",INDEX('×入力'!$A$1:$L$1300,1014,2+V$2)&lt;&gt;"",INDEX('×入力'!$A$1:$L$1300,1015+V$3,1)&lt;&gt;""),1,0),0)</f>
        <v/>
      </c>
      <c r="W46">
        <f>IF(W$4=1,IF(OR(INDEX('×入力'!$A$1:$L$1300,1015+W$3,2+W$2)&lt;&gt;"",INDEX('×入力'!$A$1:$L$1300,1014,2+W$2)&lt;&gt;"",INDEX('×入力'!$A$1:$L$1300,1015+W$3,1)&lt;&gt;""),1,0),0)</f>
        <v/>
      </c>
      <c r="X46">
        <f>IF(X$4=1,IF(OR(INDEX('×入力'!$A$1:$L$1300,1015+X$3,2+X$2)&lt;&gt;"",INDEX('×入力'!$A$1:$L$1300,1014,2+X$2)&lt;&gt;"",INDEX('×入力'!$A$1:$L$1300,1015+X$3,1)&lt;&gt;""),1,0),0)</f>
        <v/>
      </c>
      <c r="Y46">
        <f>IF(Y$4=1,IF(OR(INDEX('×入力'!$A$1:$L$1300,1015+Y$3,2+Y$2)&lt;&gt;"",INDEX('×入力'!$A$1:$L$1300,1014,2+Y$2)&lt;&gt;"",INDEX('×入力'!$A$1:$L$1300,1015+Y$3,1)&lt;&gt;""),1,0),0)</f>
        <v/>
      </c>
      <c r="Z46">
        <f>IF(Z$4=1,IF(OR(INDEX('×入力'!$A$1:$L$1300,1015+Z$3,2+Z$2)&lt;&gt;"",INDEX('×入力'!$A$1:$L$1300,1014,2+Z$2)&lt;&gt;"",INDEX('×入力'!$A$1:$L$1300,1015+Z$3,1)&lt;&gt;""),1,0),0)</f>
        <v/>
      </c>
      <c r="AA46">
        <f>IF(AA$4=1,IF(OR(INDEX('×入力'!$A$1:$L$1300,1015+AA$3,2+AA$2)&lt;&gt;"",INDEX('×入力'!$A$1:$L$1300,1014,2+AA$2)&lt;&gt;"",INDEX('×入力'!$A$1:$L$1300,1015+AA$3,1)&lt;&gt;""),1,0),0)</f>
        <v/>
      </c>
      <c r="AB46">
        <f>IF(AB$4=1,IF(OR(INDEX('×入力'!$A$1:$L$1300,1015+AB$3,2+AB$2)&lt;&gt;"",INDEX('×入力'!$A$1:$L$1300,1014,2+AB$2)&lt;&gt;"",INDEX('×入力'!$A$1:$L$1300,1015+AB$3,1)&lt;&gt;""),1,0),0)</f>
        <v/>
      </c>
      <c r="AC46">
        <f>IF(AC$4=1,IF(OR(INDEX('×入力'!$A$1:$L$1300,1015+AC$3,2+AC$2)&lt;&gt;"",INDEX('×入力'!$A$1:$L$1300,1014,2+AC$2)&lt;&gt;"",INDEX('×入力'!$A$1:$L$1300,1015+AC$3,1)&lt;&gt;""),1,0),0)</f>
        <v/>
      </c>
      <c r="AD46">
        <f>IF(AD$4=1,IF(OR(INDEX('×入力'!$A$1:$L$1300,1015+AD$3,2+AD$2)&lt;&gt;"",INDEX('×入力'!$A$1:$L$1300,1014,2+AD$2)&lt;&gt;"",INDEX('×入力'!$A$1:$L$1300,1015+AD$3,1)&lt;&gt;""),1,0),0)</f>
        <v/>
      </c>
      <c r="AE46">
        <f>IF(AE$4=1,IF(OR(INDEX('×入力'!$A$1:$L$1300,1015+AE$3,2+AE$2)&lt;&gt;"",INDEX('×入力'!$A$1:$L$1300,1014,2+AE$2)&lt;&gt;"",INDEX('×入力'!$A$1:$L$1300,1015+AE$3,1)&lt;&gt;""),1,0),0)</f>
        <v/>
      </c>
      <c r="AF46">
        <f>IF(AF$4=1,IF(OR(INDEX('×入力'!$A$1:$L$1300,1015+AF$3,2+AF$2)&lt;&gt;"",INDEX('×入力'!$A$1:$L$1300,1014,2+AF$2)&lt;&gt;"",INDEX('×入力'!$A$1:$L$1300,1015+AF$3,1)&lt;&gt;""),1,0),0)</f>
        <v/>
      </c>
      <c r="AG46">
        <f>IF(AG$4=1,IF(OR(INDEX('×入力'!$A$1:$L$1300,1015+AG$3,2+AG$2)&lt;&gt;"",INDEX('×入力'!$A$1:$L$1300,1014,2+AG$2)&lt;&gt;"",INDEX('×入力'!$A$1:$L$1300,1015+AG$3,1)&lt;&gt;""),1,0),0)</f>
        <v/>
      </c>
      <c r="AH46">
        <f>IF(AH$4=1,IF(OR(INDEX('×入力'!$A$1:$L$1300,1015+AH$3,2+AH$2)&lt;&gt;"",INDEX('×入力'!$A$1:$L$1300,1014,2+AH$2)&lt;&gt;"",INDEX('×入力'!$A$1:$L$1300,1015+AH$3,1)&lt;&gt;""),1,0),0)</f>
        <v/>
      </c>
      <c r="AI46">
        <f>IF(AI$4=1,IF(OR(INDEX('×入力'!$A$1:$L$1300,1015+AI$3,2+AI$2)&lt;&gt;"",INDEX('×入力'!$A$1:$L$1300,1014,2+AI$2)&lt;&gt;"",INDEX('×入力'!$A$1:$L$1300,1015+AI$3,1)&lt;&gt;""),1,0),0)</f>
        <v/>
      </c>
      <c r="AJ46">
        <f>IF(AJ$4=1,IF(OR(INDEX('×入力'!$A$1:$L$1300,1015+AJ$3,2+AJ$2)&lt;&gt;"",INDEX('×入力'!$A$1:$L$1300,1014,2+AJ$2)&lt;&gt;"",INDEX('×入力'!$A$1:$L$1300,1015+AJ$3,1)&lt;&gt;""),1,0),0)</f>
        <v/>
      </c>
      <c r="AK46">
        <f>IF(AK$4=1,IF(OR(INDEX('×入力'!$A$1:$L$1300,1015+AK$3,2+AK$2)&lt;&gt;"",INDEX('×入力'!$A$1:$L$1300,1014,2+AK$2)&lt;&gt;"",INDEX('×入力'!$A$1:$L$1300,1015+AK$3,1)&lt;&gt;""),1,0),0)</f>
        <v/>
      </c>
      <c r="AL46">
        <f>IF(AL$4=1,IF(OR(INDEX('×入力'!$A$1:$L$1300,1015+AL$3,2+AL$2)&lt;&gt;"",INDEX('×入力'!$A$1:$L$1300,1014,2+AL$2)&lt;&gt;"",INDEX('×入力'!$A$1:$L$1300,1015+AL$3,1)&lt;&gt;""),1,0),0)</f>
        <v/>
      </c>
      <c r="AM46">
        <f>IF(AM$4=1,IF(OR(INDEX('×入力'!$A$1:$L$1300,1015+AM$3,2+AM$2)&lt;&gt;"",INDEX('×入力'!$A$1:$L$1300,1014,2+AM$2)&lt;&gt;"",INDEX('×入力'!$A$1:$L$1300,1015+AM$3,1)&lt;&gt;""),1,0),0)</f>
        <v/>
      </c>
      <c r="AN46">
        <f>IF(AN$4=1,IF(OR(INDEX('×入力'!$A$1:$L$1300,1015+AN$3,2+AN$2)&lt;&gt;"",INDEX('×入力'!$A$1:$L$1300,1014,2+AN$2)&lt;&gt;"",INDEX('×入力'!$A$1:$L$1300,1015+AN$3,1)&lt;&gt;""),1,0),0)</f>
        <v/>
      </c>
      <c r="AO46">
        <f>IF(AO$4=1,IF(OR(INDEX('×入力'!$A$1:$L$1300,1015+AO$3,2+AO$2)&lt;&gt;"",INDEX('×入力'!$A$1:$L$1300,1014,2+AO$2)&lt;&gt;"",INDEX('×入力'!$A$1:$L$1300,1015+AO$3,1)&lt;&gt;""),1,0),0)</f>
        <v/>
      </c>
      <c r="AP46">
        <f>IF(AP$4=1,IF(OR(INDEX('×入力'!$A$1:$L$1300,1015+AP$3,2+AP$2)&lt;&gt;"",INDEX('×入力'!$A$1:$L$1300,1014,2+AP$2)&lt;&gt;"",INDEX('×入力'!$A$1:$L$1300,1015+AP$3,1)&lt;&gt;""),1,0),0)</f>
        <v/>
      </c>
      <c r="AQ46">
        <f>IF(AQ$4=1,IF(OR(INDEX('×入力'!$A$1:$L$1300,1015+AQ$3,2+AQ$2)&lt;&gt;"",INDEX('×入力'!$A$1:$L$1300,1014,2+AQ$2)&lt;&gt;"",INDEX('×入力'!$A$1:$L$1300,1015+AQ$3,1)&lt;&gt;""),1,0),0)</f>
        <v/>
      </c>
      <c r="AR46">
        <f>IF(AR$4=1,IF(OR(INDEX('×入力'!$A$1:$L$1300,1015+AR$3,2+AR$2)&lt;&gt;"",INDEX('×入力'!$A$1:$L$1300,1014,2+AR$2)&lt;&gt;"",INDEX('×入力'!$A$1:$L$1300,1015+AR$3,1)&lt;&gt;""),1,0),0)</f>
        <v/>
      </c>
      <c r="AS46">
        <f>IF(AS$4=1,IF(OR(INDEX('×入力'!$A$1:$L$1300,1015+AS$3,2+AS$2)&lt;&gt;"",INDEX('×入力'!$A$1:$L$1300,1014,2+AS$2)&lt;&gt;"",INDEX('×入力'!$A$1:$L$1300,1015+AS$3,1)&lt;&gt;""),1,0),0)</f>
        <v/>
      </c>
      <c r="AT46">
        <f>IF(AT$4=1,IF(OR(INDEX('×入力'!$A$1:$L$1300,1015+AT$3,2+AT$2)&lt;&gt;"",INDEX('×入力'!$A$1:$L$1300,1014,2+AT$2)&lt;&gt;"",INDEX('×入力'!$A$1:$L$1300,1015+AT$3,1)&lt;&gt;""),1,0),0)</f>
        <v/>
      </c>
      <c r="AU46">
        <f>IF(AU$4=1,IF(OR(INDEX('×入力'!$A$1:$L$1300,1015+AU$3,2+AU$2)&lt;&gt;"",INDEX('×入力'!$A$1:$L$1300,1014,2+AU$2)&lt;&gt;"",INDEX('×入力'!$A$1:$L$1300,1015+AU$3,1)&lt;&gt;""),1,0),0)</f>
        <v/>
      </c>
      <c r="AV46">
        <f>IF(AV$4=1,IF(OR(INDEX('×入力'!$A$1:$L$1300,1015+AV$3,2+AV$2)&lt;&gt;"",INDEX('×入力'!$A$1:$L$1300,1014,2+AV$2)&lt;&gt;"",INDEX('×入力'!$A$1:$L$1300,1015+AV$3,1)&lt;&gt;""),1,0),0)</f>
        <v/>
      </c>
      <c r="AW46">
        <f>IF(AW$4=1,IF(OR(INDEX('×入力'!$A$1:$L$1300,1015+AW$3,2+AW$2)&lt;&gt;"",INDEX('×入力'!$A$1:$L$1300,1014,2+AW$2)&lt;&gt;"",INDEX('×入力'!$A$1:$L$1300,1015+AW$3,1)&lt;&gt;""),1,0),0)</f>
        <v/>
      </c>
      <c r="AX46">
        <f>IF(AX$4=1,IF(OR(INDEX('×入力'!$A$1:$L$1300,1015+AX$3,2+AX$2)&lt;&gt;"",INDEX('×入力'!$A$1:$L$1300,1014,2+AX$2)&lt;&gt;"",INDEX('×入力'!$A$1:$L$1300,1015+AX$3,1)&lt;&gt;""),1,0),0)</f>
        <v/>
      </c>
      <c r="AY46">
        <f>IF(AY$4=1,IF(OR(INDEX('×入力'!$A$1:$L$1300,1015+AY$3,2+AY$2)&lt;&gt;"",INDEX('×入力'!$A$1:$L$1300,1014,2+AY$2)&lt;&gt;"",INDEX('×入力'!$A$1:$L$1300,1015+AY$3,1)&lt;&gt;""),1,0),0)</f>
        <v/>
      </c>
      <c r="AZ46">
        <f>IF(AZ$4=1,IF(OR(INDEX('×入力'!$A$1:$L$1300,1015+AZ$3,2+AZ$2)&lt;&gt;"",INDEX('×入力'!$A$1:$L$1300,1014,2+AZ$2)&lt;&gt;"",INDEX('×入力'!$A$1:$L$1300,1015+AZ$3,1)&lt;&gt;""),1,0),0)</f>
        <v/>
      </c>
      <c r="BA46">
        <f>IF(BA$4=1,IF(OR(INDEX('×入力'!$A$1:$L$1300,1015+BA$3,2+BA$2)&lt;&gt;"",INDEX('×入力'!$A$1:$L$1300,1014,2+BA$2)&lt;&gt;"",INDEX('×入力'!$A$1:$L$1300,1015+BA$3,1)&lt;&gt;""),1,0),0)</f>
        <v/>
      </c>
      <c r="BB46">
        <f>IF(BB$4=1,IF(OR(INDEX('×入力'!$A$1:$L$1300,1015+BB$3,2+BB$2)&lt;&gt;"",INDEX('×入力'!$A$1:$L$1300,1014,2+BB$2)&lt;&gt;"",INDEX('×入力'!$A$1:$L$1300,1015+BB$3,1)&lt;&gt;""),1,0),0)</f>
        <v/>
      </c>
      <c r="BC46">
        <f>IF(BC$4=1,IF(OR(INDEX('×入力'!$A$1:$L$1300,1015+BC$3,2+BC$2)&lt;&gt;"",INDEX('×入力'!$A$1:$L$1300,1014,2+BC$2)&lt;&gt;"",INDEX('×入力'!$A$1:$L$1300,1015+BC$3,1)&lt;&gt;""),1,0),0)</f>
        <v/>
      </c>
      <c r="BD46">
        <f>IF(BD$4=1,IF(OR(INDEX('×入力'!$A$1:$L$1300,1015+BD$3,2+BD$2)&lt;&gt;"",INDEX('×入力'!$A$1:$L$1300,1014,2+BD$2)&lt;&gt;"",INDEX('×入力'!$A$1:$L$1300,1015+BD$3,1)&lt;&gt;""),1,0),0)</f>
        <v/>
      </c>
      <c r="BE46">
        <f>IF(BE$4=1,IF(OR(INDEX('×入力'!$A$1:$L$1300,1015+BE$3,2+BE$2)&lt;&gt;"",INDEX('×入力'!$A$1:$L$1300,1014,2+BE$2)&lt;&gt;"",INDEX('×入力'!$A$1:$L$1300,1015+BE$3,1)&lt;&gt;""),1,0),0)</f>
        <v/>
      </c>
      <c r="BF46">
        <f>IF(BF$4=1,IF(OR(INDEX('×入力'!$A$1:$L$1300,1015+BF$3,2+BF$2)&lt;&gt;"",INDEX('×入力'!$A$1:$L$1300,1014,2+BF$2)&lt;&gt;"",INDEX('×入力'!$A$1:$L$1300,1015+BF$3,1)&lt;&gt;""),1,0),0)</f>
        <v/>
      </c>
      <c r="BG46">
        <f>IF(BG$4=1,IF(OR(INDEX('×入力'!$A$1:$L$1300,1015+BG$3,2+BG$2)&lt;&gt;"",INDEX('×入力'!$A$1:$L$1300,1014,2+BG$2)&lt;&gt;"",INDEX('×入力'!$A$1:$L$1300,1015+BG$3,1)&lt;&gt;""),1,0),0)</f>
        <v/>
      </c>
      <c r="BH46">
        <f>IF(BH$4=1,IF(OR(INDEX('×入力'!$A$1:$L$1300,1015+BH$3,2+BH$2)&lt;&gt;"",INDEX('×入力'!$A$1:$L$1300,1014,2+BH$2)&lt;&gt;"",INDEX('×入力'!$A$1:$L$1300,1015+BH$3,1)&lt;&gt;""),1,0),0)</f>
        <v/>
      </c>
      <c r="BI46">
        <f>IF(BI$4=1,IF(OR(INDEX('×入力'!$A$1:$L$1300,1015+BI$3,2+BI$2)&lt;&gt;"",INDEX('×入力'!$A$1:$L$1300,1014,2+BI$2)&lt;&gt;"",INDEX('×入力'!$A$1:$L$1300,1015+BI$3,1)&lt;&gt;""),1,0),0)</f>
        <v/>
      </c>
      <c r="BJ46">
        <f>IF(BJ$4=1,IF(OR(INDEX('×入力'!$A$1:$L$1300,1015+BJ$3,2+BJ$2)&lt;&gt;"",INDEX('×入力'!$A$1:$L$1300,1014,2+BJ$2)&lt;&gt;"",INDEX('×入力'!$A$1:$L$1300,1015+BJ$3,1)&lt;&gt;""),1,0),0)</f>
        <v/>
      </c>
      <c r="BK46">
        <f>IF(BK$4=1,IF(OR(INDEX('×入力'!$A$1:$L$1300,1015+BK$3,2+BK$2)&lt;&gt;"",INDEX('×入力'!$A$1:$L$1300,1014,2+BK$2)&lt;&gt;"",INDEX('×入力'!$A$1:$L$1300,1015+BK$3,1)&lt;&gt;""),1,0),0)</f>
        <v/>
      </c>
      <c r="BL46">
        <f>IF(BL$4=1,IF(OR(INDEX('×入力'!$A$1:$L$1300,1015+BL$3,2+BL$2)&lt;&gt;"",INDEX('×入力'!$A$1:$L$1300,1014,2+BL$2)&lt;&gt;"",INDEX('×入力'!$A$1:$L$1300,1015+BL$3,1)&lt;&gt;""),1,0),0)</f>
        <v/>
      </c>
      <c r="BM46">
        <f>IF(BM$4=1,IF(OR(INDEX('×入力'!$A$1:$L$1300,1015+BM$3,2+BM$2)&lt;&gt;"",INDEX('×入力'!$A$1:$L$1300,1014,2+BM$2)&lt;&gt;"",INDEX('×入力'!$A$1:$L$1300,1015+BM$3,1)&lt;&gt;""),1,0),0)</f>
        <v/>
      </c>
      <c r="BN46">
        <f>IF(BN$4=1,IF(OR(INDEX('×入力'!$A$1:$L$1300,1015+BN$3,2+BN$2)&lt;&gt;"",INDEX('×入力'!$A$1:$L$1300,1014,2+BN$2)&lt;&gt;"",INDEX('×入力'!$A$1:$L$1300,1015+BN$3,1)&lt;&gt;""),1,0),0)</f>
        <v/>
      </c>
      <c r="BO46">
        <f>IF(BO$4=1,IF(OR(INDEX('×入力'!$A$1:$L$1300,1015+BO$3,2+BO$2)&lt;&gt;"",INDEX('×入力'!$A$1:$L$1300,1014,2+BO$2)&lt;&gt;"",INDEX('×入力'!$A$1:$L$1300,1015+BO$3,1)&lt;&gt;""),1,0),0)</f>
        <v/>
      </c>
      <c r="BP46">
        <f>IF(BP$4=1,IF(OR(INDEX('×入力'!$A$1:$L$1300,1015+BP$3,2+BP$2)&lt;&gt;"",INDEX('×入力'!$A$1:$L$1300,1014,2+BP$2)&lt;&gt;"",INDEX('×入力'!$A$1:$L$1300,1015+BP$3,1)&lt;&gt;""),1,0),0)</f>
        <v/>
      </c>
      <c r="BQ46">
        <f>IF(BQ$4=1,IF(OR(INDEX('×入力'!$A$1:$L$1300,1015+BQ$3,2+BQ$2)&lt;&gt;"",INDEX('×入力'!$A$1:$L$1300,1014,2+BQ$2)&lt;&gt;"",INDEX('×入力'!$A$1:$L$1300,1015+BQ$3,1)&lt;&gt;""),1,0),0)</f>
        <v/>
      </c>
      <c r="BR46">
        <f>IF(BR$4=1,IF(OR(INDEX('×入力'!$A$1:$L$1300,1015+BR$3,2+BR$2)&lt;&gt;"",INDEX('×入力'!$A$1:$L$1300,1014,2+BR$2)&lt;&gt;"",INDEX('×入力'!$A$1:$L$1300,1015+BR$3,1)&lt;&gt;""),1,0),0)</f>
        <v/>
      </c>
      <c r="BS46">
        <f>IF(BS$4=1,IF(OR(INDEX('×入力'!$A$1:$L$1300,1015+BS$3,2+BS$2)&lt;&gt;"",INDEX('×入力'!$A$1:$L$1300,1014,2+BS$2)&lt;&gt;"",INDEX('×入力'!$A$1:$L$1300,1015+BS$3,1)&lt;&gt;""),1,0),0)</f>
        <v/>
      </c>
      <c r="BT46">
        <f>IF(BT$4=1,IF(OR(INDEX('×入力'!$A$1:$L$1300,1015+BT$3,2+BT$2)&lt;&gt;"",INDEX('×入力'!$A$1:$L$1300,1014,2+BT$2)&lt;&gt;"",INDEX('×入力'!$A$1:$L$1300,1015+BT$3,1)&lt;&gt;""),1,0),0)</f>
        <v/>
      </c>
      <c r="BU46">
        <f>IF(BU$4=1,IF(OR(INDEX('×入力'!$A$1:$L$1300,1015+BU$3,2+BU$2)&lt;&gt;"",INDEX('×入力'!$A$1:$L$1300,1014,2+BU$2)&lt;&gt;"",INDEX('×入力'!$A$1:$L$1300,1015+BU$3,1)&lt;&gt;""),1,0),0)</f>
        <v/>
      </c>
      <c r="BV46">
        <f>IF(BV$4=1,IF(OR(INDEX('×入力'!$A$1:$L$1300,1015+BV$3,2+BV$2)&lt;&gt;"",INDEX('×入力'!$A$1:$L$1300,1014,2+BV$2)&lt;&gt;"",INDEX('×入力'!$A$1:$L$1300,1015+BV$3,1)&lt;&gt;""),1,0),0)</f>
        <v/>
      </c>
      <c r="BW46">
        <f>IF(BW$4=1,IF(OR(INDEX('×入力'!$A$1:$L$1300,1015+BW$3,2+BW$2)&lt;&gt;"",INDEX('×入力'!$A$1:$L$1300,1014,2+BW$2)&lt;&gt;"",INDEX('×入力'!$A$1:$L$1300,1015+BW$3,1)&lt;&gt;""),1,0),0)</f>
        <v/>
      </c>
      <c r="BX46">
        <f>IF(BX$4=1,IF(OR(INDEX('×入力'!$A$1:$L$1300,1015+BX$3,2+BX$2)&lt;&gt;"",INDEX('×入力'!$A$1:$L$1300,1014,2+BX$2)&lt;&gt;"",INDEX('×入力'!$A$1:$L$1300,1015+BX$3,1)&lt;&gt;""),1,0),0)</f>
        <v/>
      </c>
      <c r="BY46">
        <f>IF(BY$4=1,IF(OR(INDEX('×入力'!$A$1:$L$1300,1015+BY$3,2+BY$2)&lt;&gt;"",INDEX('×入力'!$A$1:$L$1300,1014,2+BY$2)&lt;&gt;"",INDEX('×入力'!$A$1:$L$1300,1015+BY$3,1)&lt;&gt;""),1,0),0)</f>
        <v/>
      </c>
      <c r="BZ46">
        <f>IF(BZ$4=1,IF(OR(INDEX('×入力'!$A$1:$L$1300,1015+BZ$3,2+BZ$2)&lt;&gt;"",INDEX('×入力'!$A$1:$L$1300,1014,2+BZ$2)&lt;&gt;"",INDEX('×入力'!$A$1:$L$1300,1015+BZ$3,1)&lt;&gt;""),1,0),0)</f>
        <v/>
      </c>
      <c r="CA46">
        <f>IF(CA$4=1,IF(OR(INDEX('×入力'!$A$1:$L$1300,1015+CA$3,2+CA$2)&lt;&gt;"",INDEX('×入力'!$A$1:$L$1300,1014,2+CA$2)&lt;&gt;"",INDEX('×入力'!$A$1:$L$1300,1015+CA$3,1)&lt;&gt;""),1,0),0)</f>
        <v/>
      </c>
      <c r="CB46">
        <f>IF(CB$4=1,IF(OR(INDEX('×入力'!$A$1:$L$1300,1015+CB$3,2+CB$2)&lt;&gt;"",INDEX('×入力'!$A$1:$L$1300,1014,2+CB$2)&lt;&gt;"",INDEX('×入力'!$A$1:$L$1300,1015+CB$3,1)&lt;&gt;""),1,0),0)</f>
        <v/>
      </c>
      <c r="CC46">
        <f>IF(CC$4=1,IF(OR(INDEX('×入力'!$A$1:$L$1300,1015+CC$3,2+CC$2)&lt;&gt;"",INDEX('×入力'!$A$1:$L$1300,1014,2+CC$2)&lt;&gt;"",INDEX('×入力'!$A$1:$L$1300,1015+CC$3,1)&lt;&gt;""),1,0),0)</f>
        <v/>
      </c>
      <c r="CD46">
        <f>IF(CD$4=1,IF(OR(INDEX('×入力'!$A$1:$L$1300,1015+CD$3,2+CD$2)&lt;&gt;"",INDEX('×入力'!$A$1:$L$1300,1014,2+CD$2)&lt;&gt;"",INDEX('×入力'!$A$1:$L$1300,1015+CD$3,1)&lt;&gt;""),1,0),0)</f>
        <v/>
      </c>
      <c r="CE46">
        <f>IF(CE$4=1,IF(OR(INDEX('×入力'!$A$1:$L$1300,1015+CE$3,2+CE$2)&lt;&gt;"",INDEX('×入力'!$A$1:$L$1300,1014,2+CE$2)&lt;&gt;"",INDEX('×入力'!$A$1:$L$1300,1015+CE$3,1)&lt;&gt;""),1,0),0)</f>
        <v/>
      </c>
      <c r="CF46">
        <f>IF(CF$4=1,IF(OR(INDEX('×入力'!$A$1:$L$1300,1015+CF$3,2+CF$2)&lt;&gt;"",INDEX('×入力'!$A$1:$L$1300,1014,2+CF$2)&lt;&gt;"",INDEX('×入力'!$A$1:$L$1300,1015+CF$3,1)&lt;&gt;""),1,0),0)</f>
        <v/>
      </c>
      <c r="CG46">
        <f>IF(CG$4=1,IF(OR(INDEX('×入力'!$A$1:$L$1300,1015+CG$3,2+CG$2)&lt;&gt;"",INDEX('×入力'!$A$1:$L$1300,1014,2+CG$2)&lt;&gt;"",INDEX('×入力'!$A$1:$L$1300,1015+CG$3,1)&lt;&gt;""),1,0),0)</f>
        <v/>
      </c>
      <c r="CH46">
        <f>IF(CH$4=1,IF(OR(INDEX('×入力'!$A$1:$L$1300,1015+CH$3,2+CH$2)&lt;&gt;"",INDEX('×入力'!$A$1:$L$1300,1014,2+CH$2)&lt;&gt;"",INDEX('×入力'!$A$1:$L$1300,1015+CH$3,1)&lt;&gt;""),1,0),0)</f>
        <v/>
      </c>
      <c r="CI46">
        <f>IF(CI$4=1,IF(OR(INDEX('×入力'!$A$1:$L$1300,1015+CI$3,2+CI$2)&lt;&gt;"",INDEX('×入力'!$A$1:$L$1300,1014,2+CI$2)&lt;&gt;"",INDEX('×入力'!$A$1:$L$1300,1015+CI$3,1)&lt;&gt;""),1,0),0)</f>
        <v/>
      </c>
      <c r="CJ46">
        <f>IF(CJ$4=1,IF(OR(INDEX('×入力'!$A$1:$L$1300,1015+CJ$3,2+CJ$2)&lt;&gt;"",INDEX('×入力'!$A$1:$L$1300,1014,2+CJ$2)&lt;&gt;"",INDEX('×入力'!$A$1:$L$1300,1015+CJ$3,1)&lt;&gt;""),1,0),0)</f>
        <v/>
      </c>
      <c r="CK46">
        <f>IF(CK$4=1,IF(OR(INDEX('×入力'!$A$1:$L$1300,1015+CK$3,2+CK$2)&lt;&gt;"",INDEX('×入力'!$A$1:$L$1300,1014,2+CK$2)&lt;&gt;"",INDEX('×入力'!$A$1:$L$1300,1015+CK$3,1)&lt;&gt;""),1,0),0)</f>
        <v/>
      </c>
      <c r="CL46">
        <f>IF(CL$4=1,IF(OR(INDEX('×入力'!$A$1:$L$1300,1015+CL$3,2+CL$2)&lt;&gt;"",INDEX('×入力'!$A$1:$L$1300,1014,2+CL$2)&lt;&gt;"",INDEX('×入力'!$A$1:$L$1300,1015+CL$3,1)&lt;&gt;""),1,0),0)</f>
        <v/>
      </c>
      <c r="CM46">
        <f>IF(CM$4=1,IF(OR(INDEX('×入力'!$A$1:$L$1300,1015+CM$3,2+CM$2)&lt;&gt;"",INDEX('×入力'!$A$1:$L$1300,1014,2+CM$2)&lt;&gt;"",INDEX('×入力'!$A$1:$L$1300,1015+CM$3,1)&lt;&gt;""),1,0),0)</f>
        <v/>
      </c>
      <c r="CN46">
        <f>IF(CN$4=1,IF(OR(INDEX('×入力'!$A$1:$L$1300,1015+CN$3,2+CN$2)&lt;&gt;"",INDEX('×入力'!$A$1:$L$1300,1014,2+CN$2)&lt;&gt;"",INDEX('×入力'!$A$1:$L$1300,1015+CN$3,1)&lt;&gt;""),1,0),0)</f>
        <v/>
      </c>
      <c r="CO46">
        <f>IF(CO$4=1,IF(OR(INDEX('×入力'!$A$1:$L$1300,1015+CO$3,2+CO$2)&lt;&gt;"",INDEX('×入力'!$A$1:$L$1300,1014,2+CO$2)&lt;&gt;"",INDEX('×入力'!$A$1:$L$1300,1015+CO$3,1)&lt;&gt;""),1,0),0)</f>
        <v/>
      </c>
      <c r="CP46">
        <f>IF(CP$4=1,IF(OR(INDEX('×入力'!$A$1:$L$1300,1015+CP$3,2+CP$2)&lt;&gt;"",INDEX('×入力'!$A$1:$L$1300,1014,2+CP$2)&lt;&gt;"",INDEX('×入力'!$A$1:$L$1300,1015+CP$3,1)&lt;&gt;""),1,0),0)</f>
        <v/>
      </c>
      <c r="CQ46">
        <f>IF(CQ$4=1,IF(OR(INDEX('×入力'!$A$1:$L$1300,1015+CQ$3,2+CQ$2)&lt;&gt;"",INDEX('×入力'!$A$1:$L$1300,1014,2+CQ$2)&lt;&gt;"",INDEX('×入力'!$A$1:$L$1300,1015+CQ$3,1)&lt;&gt;""),1,0),0)</f>
        <v/>
      </c>
      <c r="CR46">
        <f>IF(CR$4=1,IF(OR(INDEX('×入力'!$A$1:$L$1300,1015+CR$3,2+CR$2)&lt;&gt;"",INDEX('×入力'!$A$1:$L$1300,1014,2+CR$2)&lt;&gt;"",INDEX('×入力'!$A$1:$L$1300,1015+CR$3,1)&lt;&gt;""),1,0),0)</f>
        <v/>
      </c>
      <c r="CS46">
        <f>IF(CS$4=1,IF(OR(INDEX('×入力'!$A$1:$L$1300,1015+CS$3,2+CS$2)&lt;&gt;"",INDEX('×入力'!$A$1:$L$1300,1014,2+CS$2)&lt;&gt;"",INDEX('×入力'!$A$1:$L$1300,1015+CS$3,1)&lt;&gt;""),1,0),0)</f>
        <v/>
      </c>
      <c r="CT46">
        <f>IF(CT$4=1,IF(OR(INDEX('×入力'!$A$1:$L$1300,1015+CT$3,2+CT$2)&lt;&gt;"",INDEX('×入力'!$A$1:$L$1300,1014,2+CT$2)&lt;&gt;"",INDEX('×入力'!$A$1:$L$1300,1015+CT$3,1)&lt;&gt;""),1,0),0)</f>
        <v/>
      </c>
      <c r="CU46">
        <f>IF(CU$4=1,IF(OR(INDEX('×入力'!$A$1:$L$1300,1015+CU$3,2+CU$2)&lt;&gt;"",INDEX('×入力'!$A$1:$L$1300,1014,2+CU$2)&lt;&gt;"",INDEX('×入力'!$A$1:$L$1300,1015+CU$3,1)&lt;&gt;""),1,0),0)</f>
        <v/>
      </c>
      <c r="CV46">
        <f>IF(CV$4=1,IF(OR(INDEX('×入力'!$A$1:$L$1300,1015+CV$3,2+CV$2)&lt;&gt;"",INDEX('×入力'!$A$1:$L$1300,1014,2+CV$2)&lt;&gt;"",INDEX('×入力'!$A$1:$L$1300,1015+CV$3,1)&lt;&gt;""),1,0),0)</f>
        <v/>
      </c>
      <c r="CW46">
        <f>IF(CW$4=1,IF(OR(INDEX('×入力'!$A$1:$L$1300,1015+CW$3,2+CW$2)&lt;&gt;"",INDEX('×入力'!$A$1:$L$1300,1014,2+CW$2)&lt;&gt;"",INDEX('×入力'!$A$1:$L$1300,1015+CW$3,1)&lt;&gt;""),1,0),0)</f>
        <v/>
      </c>
      <c r="CX46">
        <f>IF(CX$4=1,IF(OR(INDEX('×入力'!$A$1:$L$1300,1015+CX$3,2+CX$2)&lt;&gt;"",INDEX('×入力'!$A$1:$L$1300,1014,2+CX$2)&lt;&gt;"",INDEX('×入力'!$A$1:$L$1300,1015+CX$3,1)&lt;&gt;""),1,0),0)</f>
        <v/>
      </c>
      <c r="CY46">
        <f>IF(CY$4=1,IF(OR(INDEX('×入力'!$A$1:$L$1300,1015+CY$3,2+CY$2)&lt;&gt;"",INDEX('×入力'!$A$1:$L$1300,1014,2+CY$2)&lt;&gt;"",INDEX('×入力'!$A$1:$L$1300,1015+CY$3,1)&lt;&gt;""),1,0),0)</f>
        <v/>
      </c>
      <c r="CZ46">
        <f>IF(CZ$4=1,IF(OR(INDEX('×入力'!$A$1:$L$1300,1015+CZ$3,2+CZ$2)&lt;&gt;"",INDEX('×入力'!$A$1:$L$1300,1014,2+CZ$2)&lt;&gt;"",INDEX('×入力'!$A$1:$L$1300,1015+CZ$3,1)&lt;&gt;""),1,0),0)</f>
        <v/>
      </c>
      <c r="DA46">
        <f>IF(DA$4=1,IF(OR(INDEX('×入力'!$A$1:$L$1300,1015+DA$3,2+DA$2)&lt;&gt;"",INDEX('×入力'!$A$1:$L$1300,1014,2+DA$2)&lt;&gt;"",INDEX('×入力'!$A$1:$L$1300,1015+DA$3,1)&lt;&gt;""),1,0),0)</f>
        <v/>
      </c>
      <c r="DB46">
        <f>IF(DB$4=1,IF(OR(INDEX('×入力'!$A$1:$L$1300,1015+DB$3,2+DB$2)&lt;&gt;"",INDEX('×入力'!$A$1:$L$1300,1014,2+DB$2)&lt;&gt;"",INDEX('×入力'!$A$1:$L$1300,1015+DB$3,1)&lt;&gt;""),1,0),0)</f>
        <v/>
      </c>
      <c r="DC46">
        <f>IF(DC$4=1,IF(OR(INDEX('×入力'!$A$1:$L$1300,1015+DC$3,2+DC$2)&lt;&gt;"",INDEX('×入力'!$A$1:$L$1300,1014,2+DC$2)&lt;&gt;"",INDEX('×入力'!$A$1:$L$1300,1015+DC$3,1)&lt;&gt;""),1,0),0)</f>
        <v/>
      </c>
      <c r="DD46">
        <f>IF(DD$4=1,IF(OR(INDEX('×入力'!$A$1:$L$1300,1015+DD$3,2+DD$2)&lt;&gt;"",INDEX('×入力'!$A$1:$L$1300,1014,2+DD$2)&lt;&gt;"",INDEX('×入力'!$A$1:$L$1300,1015+DD$3,1)&lt;&gt;""),1,0),0)</f>
        <v/>
      </c>
      <c r="DE46">
        <f>IF(DE$4=1,IF(OR(INDEX('×入力'!$A$1:$L$1300,1015+DE$3,2+DE$2)&lt;&gt;"",INDEX('×入力'!$A$1:$L$1300,1014,2+DE$2)&lt;&gt;"",INDEX('×入力'!$A$1:$L$1300,1015+DE$3,1)&lt;&gt;""),1,0),0)</f>
        <v/>
      </c>
      <c r="DF46">
        <f>IF(DF$4=1,IF(OR(INDEX('×入力'!$A$1:$L$1300,1015+DF$3,2+DF$2)&lt;&gt;"",INDEX('×入力'!$A$1:$L$1300,1014,2+DF$2)&lt;&gt;"",INDEX('×入力'!$A$1:$L$1300,1015+DF$3,1)&lt;&gt;""),1,0),0)</f>
        <v/>
      </c>
      <c r="DG46">
        <f>IF(DG$4=1,IF(OR(INDEX('×入力'!$A$1:$L$1300,1015+DG$3,2+DG$2)&lt;&gt;"",INDEX('×入力'!$A$1:$L$1300,1014,2+DG$2)&lt;&gt;"",INDEX('×入力'!$A$1:$L$1300,1015+DG$3,1)&lt;&gt;""),1,0),0)</f>
        <v/>
      </c>
      <c r="DH46">
        <f>IF(DH$4=1,IF(OR(INDEX('×入力'!$A$1:$L$1300,1015+DH$3,2+DH$2)&lt;&gt;"",INDEX('×入力'!$A$1:$L$1300,1014,2+DH$2)&lt;&gt;"",INDEX('×入力'!$A$1:$L$1300,1015+DH$3,1)&lt;&gt;""),1,0),0)</f>
        <v/>
      </c>
      <c r="DI46">
        <f>IF(DI$4=1,IF(OR(INDEX('×入力'!$A$1:$L$1300,1015+DI$3,2+DI$2)&lt;&gt;"",INDEX('×入力'!$A$1:$L$1300,1014,2+DI$2)&lt;&gt;"",INDEX('×入力'!$A$1:$L$1300,1015+DI$3,1)&lt;&gt;""),1,0),0)</f>
        <v/>
      </c>
      <c r="DJ46">
        <f>IF(DJ$4=1,IF(OR(INDEX('×入力'!$A$1:$L$1300,1015+DJ$3,2+DJ$2)&lt;&gt;"",INDEX('×入力'!$A$1:$L$1300,1014,2+DJ$2)&lt;&gt;"",INDEX('×入力'!$A$1:$L$1300,1015+DJ$3,1)&lt;&gt;""),1,0),0)</f>
        <v/>
      </c>
      <c r="DK46">
        <f>IF(DK$4=1,IF(OR(INDEX('×入力'!$A$1:$L$1300,1015+DK$3,2+DK$2)&lt;&gt;"",INDEX('×入力'!$A$1:$L$1300,1014,2+DK$2)&lt;&gt;"",INDEX('×入力'!$A$1:$L$1300,1015+DK$3,1)&lt;&gt;""),1,0),0)</f>
        <v/>
      </c>
      <c r="DL46">
        <f>IF(DL$4=1,IF(OR(INDEX('×入力'!$A$1:$L$1300,1015+DL$3,2+DL$2)&lt;&gt;"",INDEX('×入力'!$A$1:$L$1300,1014,2+DL$2)&lt;&gt;"",INDEX('×入力'!$A$1:$L$1300,1015+DL$3,1)&lt;&gt;""),1,0),0)</f>
        <v/>
      </c>
      <c r="DM46">
        <f>IF(DM$4=1,IF(OR(INDEX('×入力'!$A$1:$L$1300,1015+DM$3,2+DM$2)&lt;&gt;"",INDEX('×入力'!$A$1:$L$1300,1014,2+DM$2)&lt;&gt;"",INDEX('×入力'!$A$1:$L$1300,1015+DM$3,1)&lt;&gt;""),1,0),0)</f>
        <v/>
      </c>
      <c r="DN46">
        <f>IF(DN$4=1,IF(OR(INDEX('×入力'!$A$1:$L$1300,1015+DN$3,2+DN$2)&lt;&gt;"",INDEX('×入力'!$A$1:$L$1300,1014,2+DN$2)&lt;&gt;"",INDEX('×入力'!$A$1:$L$1300,1015+DN$3,1)&lt;&gt;""),1,0),0)</f>
        <v/>
      </c>
      <c r="DO46">
        <f>IF(DO$4=1,IF(OR(INDEX('×入力'!$A$1:$L$1300,1015+DO$3,2+DO$2)&lt;&gt;"",INDEX('×入力'!$A$1:$L$1300,1014,2+DO$2)&lt;&gt;"",INDEX('×入力'!$A$1:$L$1300,1015+DO$3,1)&lt;&gt;""),1,0),0)</f>
        <v/>
      </c>
      <c r="DP46">
        <f>IF(DP$4=1,IF(OR(INDEX('×入力'!$A$1:$L$1300,1015+DP$3,2+DP$2)&lt;&gt;"",INDEX('×入力'!$A$1:$L$1300,1014,2+DP$2)&lt;&gt;"",INDEX('×入力'!$A$1:$L$1300,1015+DP$3,1)&lt;&gt;""),1,0),0)</f>
        <v/>
      </c>
      <c r="DQ46">
        <f>IF(DQ$4=1,IF(OR(INDEX('×入力'!$A$1:$L$1300,1015+DQ$3,2+DQ$2)&lt;&gt;"",INDEX('×入力'!$A$1:$L$1300,1014,2+DQ$2)&lt;&gt;"",INDEX('×入力'!$A$1:$L$1300,1015+DQ$3,1)&lt;&gt;""),1,0),0)</f>
        <v/>
      </c>
      <c r="DR46">
        <f>IF(DR$4=1,IF(OR(INDEX('×入力'!$A$1:$L$1300,1015+DR$3,2+DR$2)&lt;&gt;"",INDEX('×入力'!$A$1:$L$1300,1014,2+DR$2)&lt;&gt;"",INDEX('×入力'!$A$1:$L$1300,1015+DR$3,1)&lt;&gt;""),1,0),0)</f>
        <v/>
      </c>
      <c r="DS46">
        <f>IF(DS$4=1,IF(OR(INDEX('×入力'!$A$1:$L$1300,1015+DS$3,2+DS$2)&lt;&gt;"",INDEX('×入力'!$A$1:$L$1300,1014,2+DS$2)&lt;&gt;"",INDEX('×入力'!$A$1:$L$1300,1015+DS$3,1)&lt;&gt;""),1,0),0)</f>
        <v/>
      </c>
      <c r="DT46">
        <f>IF(DT$4=1,IF(OR(INDEX('×入力'!$A$1:$L$1300,1015+DT$3,2+DT$2)&lt;&gt;"",INDEX('×入力'!$A$1:$L$1300,1014,2+DT$2)&lt;&gt;"",INDEX('×入力'!$A$1:$L$1300,1015+DT$3,1)&lt;&gt;""),1,0),0)</f>
        <v/>
      </c>
      <c r="DU46">
        <f>IF(DU$4=1,IF(OR(INDEX('×入力'!$A$1:$L$1300,1015+DU$3,2+DU$2)&lt;&gt;"",INDEX('×入力'!$A$1:$L$1300,1014,2+DU$2)&lt;&gt;"",INDEX('×入力'!$A$1:$L$1300,1015+DU$3,1)&lt;&gt;""),1,0),0)</f>
        <v/>
      </c>
      <c r="DV46">
        <f>IF(DV$4=1,IF(OR(INDEX('×入力'!$A$1:$L$1300,1015+DV$3,2+DV$2)&lt;&gt;"",INDEX('×入力'!$A$1:$L$1300,1014,2+DV$2)&lt;&gt;"",INDEX('×入力'!$A$1:$L$1300,1015+DV$3,1)&lt;&gt;""),1,0),0)</f>
        <v/>
      </c>
      <c r="DW46">
        <f>IF(DW$4=1,IF(OR(INDEX('×入力'!$A$1:$L$1300,1015+DW$3,2+DW$2)&lt;&gt;"",INDEX('×入力'!$A$1:$L$1300,1014,2+DW$2)&lt;&gt;"",INDEX('×入力'!$A$1:$L$1300,1015+DW$3,1)&lt;&gt;""),1,0),0)</f>
        <v/>
      </c>
      <c r="DX46">
        <f>IF(DX$4=1,IF(OR(INDEX('×入力'!$A$1:$L$1300,1015+DX$3,2+DX$2)&lt;&gt;"",INDEX('×入力'!$A$1:$L$1300,1014,2+DX$2)&lt;&gt;"",INDEX('×入力'!$A$1:$L$1300,1015+DX$3,1)&lt;&gt;""),1,0),0)</f>
        <v/>
      </c>
      <c r="DY46">
        <f>IF(DY$4=1,IF(OR(INDEX('×入力'!$A$1:$L$1300,1015+DY$3,2+DY$2)&lt;&gt;"",INDEX('×入力'!$A$1:$L$1300,1014,2+DY$2)&lt;&gt;"",INDEX('×入力'!$A$1:$L$1300,1015+DY$3,1)&lt;&gt;""),1,0),0)</f>
        <v/>
      </c>
      <c r="DZ46">
        <f>IF(DZ$4=1,IF(OR(INDEX('×入力'!$A$1:$L$1300,1015+DZ$3,2+DZ$2)&lt;&gt;"",INDEX('×入力'!$A$1:$L$1300,1014,2+DZ$2)&lt;&gt;"",INDEX('×入力'!$A$1:$L$1300,1015+DZ$3,1)&lt;&gt;""),1,0),0)</f>
        <v/>
      </c>
      <c r="EA46">
        <f>IF(EA$4=1,IF(OR(INDEX('×入力'!$A$1:$L$1300,1015+EA$3,2+EA$2)&lt;&gt;"",INDEX('×入力'!$A$1:$L$1300,1014,2+EA$2)&lt;&gt;"",INDEX('×入力'!$A$1:$L$1300,1015+EA$3,1)&lt;&gt;""),1,0),0)</f>
        <v/>
      </c>
      <c r="EB46">
        <f>IF(EB$4=1,IF(OR(INDEX('×入力'!$A$1:$L$1300,1015+EB$3,2+EB$2)&lt;&gt;"",INDEX('×入力'!$A$1:$L$1300,1014,2+EB$2)&lt;&gt;"",INDEX('×入力'!$A$1:$L$1300,1015+EB$3,1)&lt;&gt;""),1,0),0)</f>
        <v/>
      </c>
      <c r="EC46">
        <f>IF(EC$4=1,IF(OR(INDEX('×入力'!$A$1:$L$1300,1015+EC$3,2+EC$2)&lt;&gt;"",INDEX('×入力'!$A$1:$L$1300,1014,2+EC$2)&lt;&gt;"",INDEX('×入力'!$A$1:$L$1300,1015+EC$3,1)&lt;&gt;""),1,0),0)</f>
        <v/>
      </c>
      <c r="ED46">
        <f>IF(ED$4=1,IF(OR(INDEX('×入力'!$A$1:$L$1300,1015+ED$3,2+ED$2)&lt;&gt;"",INDEX('×入力'!$A$1:$L$1300,1014,2+ED$2)&lt;&gt;"",INDEX('×入力'!$A$1:$L$1300,1015+ED$3,1)&lt;&gt;""),1,0),0)</f>
        <v/>
      </c>
      <c r="EE46">
        <f>IF(EE$4=1,IF(OR(INDEX('×入力'!$A$1:$L$1300,1015+EE$3,2+EE$2)&lt;&gt;"",INDEX('×入力'!$A$1:$L$1300,1014,2+EE$2)&lt;&gt;"",INDEX('×入力'!$A$1:$L$1300,1015+EE$3,1)&lt;&gt;""),1,0),0)</f>
        <v/>
      </c>
      <c r="EF46">
        <f>IF(EF$4=1,IF(OR(INDEX('×入力'!$A$1:$L$1300,1015+EF$3,2+EF$2)&lt;&gt;"",INDEX('×入力'!$A$1:$L$1300,1014,2+EF$2)&lt;&gt;"",INDEX('×入力'!$A$1:$L$1300,1015+EF$3,1)&lt;&gt;""),1,0),0)</f>
        <v/>
      </c>
      <c r="EG46">
        <f>IF(EG$4=1,IF(OR(INDEX('×入力'!$A$1:$L$1300,1015+EG$3,2+EG$2)&lt;&gt;"",INDEX('×入力'!$A$1:$L$1300,1014,2+EG$2)&lt;&gt;"",INDEX('×入力'!$A$1:$L$1300,1015+EG$3,1)&lt;&gt;""),1,0),0)</f>
        <v/>
      </c>
      <c r="EH46">
        <f>IF(EH$4=1,IF(OR(INDEX('×入力'!$A$1:$L$1300,1015+EH$3,2+EH$2)&lt;&gt;"",INDEX('×入力'!$A$1:$L$1300,1014,2+EH$2)&lt;&gt;"",INDEX('×入力'!$A$1:$L$1300,1015+EH$3,1)&lt;&gt;""),1,0),0)</f>
        <v/>
      </c>
      <c r="EI46">
        <f>IF(EI$4=1,IF(OR(INDEX('×入力'!$A$1:$L$1300,1015+EI$3,2+EI$2)&lt;&gt;"",INDEX('×入力'!$A$1:$L$1300,1014,2+EI$2)&lt;&gt;"",INDEX('×入力'!$A$1:$L$1300,1015+EI$3,1)&lt;&gt;""),1,0),0)</f>
        <v/>
      </c>
      <c r="EJ46">
        <f>IF(EJ$4=1,IF(OR(INDEX('×入力'!$A$1:$L$1300,1015+EJ$3,2+EJ$2)&lt;&gt;"",INDEX('×入力'!$A$1:$L$1300,1014,2+EJ$2)&lt;&gt;"",INDEX('×入力'!$A$1:$L$1300,1015+EJ$3,1)&lt;&gt;""),1,0),0)</f>
        <v/>
      </c>
      <c r="EK46">
        <f>IF(EK$4=1,IF(OR(INDEX('×入力'!$A$1:$L$1300,1015+EK$3,2+EK$2)&lt;&gt;"",INDEX('×入力'!$A$1:$L$1300,1014,2+EK$2)&lt;&gt;"",INDEX('×入力'!$A$1:$L$1300,1015+EK$3,1)&lt;&gt;""),1,0),0)</f>
        <v/>
      </c>
      <c r="EL46">
        <f>IF(EL$4=1,IF(OR(INDEX('×入力'!$A$1:$L$1300,1015+EL$3,2+EL$2)&lt;&gt;"",INDEX('×入力'!$A$1:$L$1300,1014,2+EL$2)&lt;&gt;"",INDEX('×入力'!$A$1:$L$1300,1015+EL$3,1)&lt;&gt;""),1,0),0)</f>
        <v/>
      </c>
      <c r="EM46">
        <f>IF(EM$4=1,IF(OR(INDEX('×入力'!$A$1:$L$1300,1015+EM$3,2+EM$2)&lt;&gt;"",INDEX('×入力'!$A$1:$L$1300,1014,2+EM$2)&lt;&gt;"",INDEX('×入力'!$A$1:$L$1300,1015+EM$3,1)&lt;&gt;""),1,0),0)</f>
        <v/>
      </c>
      <c r="EN46">
        <f>IF(EN$4=1,IF(OR(INDEX('×入力'!$A$1:$L$1300,1015+EN$3,2+EN$2)&lt;&gt;"",INDEX('×入力'!$A$1:$L$1300,1014,2+EN$2)&lt;&gt;"",INDEX('×入力'!$A$1:$L$1300,1015+EN$3,1)&lt;&gt;""),1,0),0)</f>
        <v/>
      </c>
      <c r="EO46">
        <f>IF(EO$4=1,IF(OR(INDEX('×入力'!$A$1:$L$1300,1015+EO$3,2+EO$2)&lt;&gt;"",INDEX('×入力'!$A$1:$L$1300,1014,2+EO$2)&lt;&gt;"",INDEX('×入力'!$A$1:$L$1300,1015+EO$3,1)&lt;&gt;""),1,0),0)</f>
        <v/>
      </c>
      <c r="EP46">
        <f>IF(EP$4=1,IF(OR(INDEX('×入力'!$A$1:$L$1300,1015+EP$3,2+EP$2)&lt;&gt;"",INDEX('×入力'!$A$1:$L$1300,1014,2+EP$2)&lt;&gt;"",INDEX('×入力'!$A$1:$L$1300,1015+EP$3,1)&lt;&gt;""),1,0),0)</f>
        <v/>
      </c>
      <c r="EQ46">
        <f>IF(EQ$4=1,IF(OR(INDEX('×入力'!$A$1:$L$1300,1015+EQ$3,2+EQ$2)&lt;&gt;"",INDEX('×入力'!$A$1:$L$1300,1014,2+EQ$2)&lt;&gt;"",INDEX('×入力'!$A$1:$L$1300,1015+EQ$3,1)&lt;&gt;""),1,0),0)</f>
        <v/>
      </c>
      <c r="HA46">
        <f>MAX(0,IT46)</f>
        <v/>
      </c>
      <c r="HB46">
        <f>IF(HA46=0,0,INDEX($D$2:$EQ$2,HA46))</f>
        <v/>
      </c>
      <c r="HC46">
        <f>IF(HA46=0,0,INDEX($D$3:$EQ$3,HA46))</f>
        <v/>
      </c>
      <c r="HD46">
        <f>MAX(0,IY46)</f>
        <v/>
      </c>
      <c r="HE46">
        <f>IF(HD46=0,0,INDEX($D$2:$EQ$2,HD46))</f>
        <v/>
      </c>
      <c r="HF46">
        <f>IF(HD46=0,0,INDEX($D$3:$EQ$3,HD46))</f>
        <v/>
      </c>
      <c r="HG46">
        <f>MAX(0,IZ46)</f>
        <v/>
      </c>
      <c r="HH46">
        <f>IF(HG46=0,0,INDEX($D$2:$EQ$2,HG46))</f>
        <v/>
      </c>
      <c r="HI46">
        <f>IF(HG46=0,0,INDEX($D$3:$EQ$3,HG46))</f>
        <v/>
      </c>
      <c r="HJ46">
        <f>IF(AND(HA46&gt;0,HC46&gt;1,OR(HC46-1&lt;&gt;$A$3,$A$4=0)),HA46-1,-1)</f>
        <v/>
      </c>
      <c r="HK46">
        <f>IF(AND(HA46&gt;0,HC46&lt;24,OR(HC46&lt;&gt;$A$3,$A$4=0)),HA46+1,-1)</f>
        <v/>
      </c>
      <c r="HL46">
        <f>IF(AND(HD46&gt;0,HF46&gt;1,OR(HF46-1&lt;&gt;$A$3,$A$4=0)),HD46-1,-1)</f>
        <v/>
      </c>
      <c r="HM46">
        <f>IF(AND(HD46&gt;0,HF46&lt;24,OR(HF46&lt;&gt;$A$3,$A$4=0)),HD46+1,-1)</f>
        <v/>
      </c>
      <c r="HN46">
        <f>IF(AND(HG46&gt;0,HI46&gt;1,OR(HI46-1&lt;&gt;$A$3,$A$4=0)),HG46-1,-1)</f>
        <v/>
      </c>
      <c r="HO46">
        <f>IF(AND(HG46&gt;0,HI46&lt;24,OR(HI46&lt;&gt;$A$3,$A$4=0)),HG46+1,-1)</f>
        <v/>
      </c>
      <c r="IK46">
        <f>IFERROR(INDEX('calcB'!$C$3:$C$47,MATCH(A46,'calcB'!$B$3:$B$47,0)),0)</f>
        <v/>
      </c>
      <c r="IL46">
        <f>IF(AND(C46=1,IK46=0,calcA!$A$6=1),1,0)</f>
        <v/>
      </c>
      <c r="IM46">
        <f>SUMPRODUCT(D96:EQ96*(1-$D$7:$EQ$7))</f>
        <v/>
      </c>
      <c r="IN46">
        <f>SUM(D46:EQ46)</f>
        <v/>
      </c>
      <c r="IO46">
        <f>IF(B46="",0,IF(COUNTIF('調整・決定'!$C$6:$H$29,B46)=1,SUMPRODUCT(('調整・決定'!$C$6:$H$29=B46)*((COLUMN('調整・決定'!$C$6:$H$29)-3)*24+ROW('調整・決定'!$C$6:$H$29)-5)),0))</f>
        <v/>
      </c>
      <c r="IP46">
        <f>IFERROR(MATCH('名簿'!C41,{"早い時刻","遅い時刻","早い日","遅い日"},0),0)</f>
        <v/>
      </c>
      <c r="IQ46">
        <f>IF('名簿'!D41="必ず空けたい",2,IF('名簿'!D41="出来れば空けたい",1,0))</f>
        <v/>
      </c>
      <c r="IR46">
        <f>IFERROR(INDEX('calcC'!$C$3:$C$47,MATCH(A46,'calcC'!$B$3:$B$47,0)),0)</f>
        <v/>
      </c>
      <c r="IS46">
        <f>IF(AND(C46=1,IR46=0,calcA!$A$6=1),1,0)</f>
        <v/>
      </c>
      <c r="IT46">
        <f>IF(OR('名簿'!G41="",'名簿'!H41=""),0,IFERROR((MATCH('名簿'!G41,'設定'!$E$11:$E$16,0)-1)*24+MATCH('名簿'!H41,'設定'!$I$11:$I$34,0),-1))</f>
        <v/>
      </c>
      <c r="IV46">
        <f>IF(OR(JF46=0,IO46=0),1,IF(OR(IF(IT46&gt;0,AND(INDEX($D$2:$EQ$2,IO46)=INDEX($D$2:$EQ$2,IT46),OR(AND(IO46=IT46+1,OR(INDEX($D$3:$EQ$3,IT46)&lt;&gt;$A$3,$A$4=0)),AND(IO46=IT46-1,OR(INDEX($D$3:$EQ$3,IO46)&lt;&gt;$A$3,$A$4=0)))),FALSE),IF(IY46&gt;0,AND(INDEX($D$2:$EQ$2,IO46)=INDEX($D$2:$EQ$2,IY46),OR(AND(IO46=IY46+1,OR(INDEX($D$3:$EQ$3,IY46)&lt;&gt;$A$3,$A$4=0)),AND(IO46=IY46-1,OR(INDEX($D$3:$EQ$3,IO46)&lt;&gt;$A$3,$A$4=0)))),FALSE),IF(IZ46&gt;0,AND(INDEX($D$2:$EQ$2,IO46)=INDEX($D$2:$EQ$2,IZ46),OR(AND(IO46=IZ46+1,OR(INDEX($D$3:$EQ$3,IZ46)&lt;&gt;$A$3,$A$4=0)),AND(IO46=IZ46-1,OR(INDEX($D$3:$EQ$3,IO46)&lt;&gt;$A$3,$A$4=0)))),FALSE)),1,0))</f>
        <v/>
      </c>
      <c r="IW46">
        <f>IF(AND('名簿'!E41&lt;&gt;"",JF46=0),1,0)</f>
        <v/>
      </c>
      <c r="IX46">
        <f>IF('名簿'!D41="空けない",1,0)</f>
        <v/>
      </c>
      <c r="IY46">
        <f>IF(OR('名簿'!J41="",'名簿'!K41=""),0,IFERROR((MATCH('名簿'!J41,'設定'!$E$11:$E$16,0)-1)*24+MATCH('名簿'!K41,'設定'!$I$11:$I$34,0),-1))</f>
        <v/>
      </c>
      <c r="IZ46">
        <f>IF(OR('名簿'!M41="",'名簿'!N41=""),0,IFERROR((MATCH('名簿'!M41,'設定'!$E$11:$E$16,0)-1)*24+MATCH('名簿'!N41,'設定'!$I$11:$I$34,0),-1))</f>
        <v/>
      </c>
      <c r="JC46">
        <f>IF(RIGHT('名簿'!I41,2)="の前",1,IF(RIGHT('名簿'!I41,2)="の後",2,0))</f>
        <v/>
      </c>
      <c r="JD46">
        <f>IF(RIGHT('名簿'!L41,2)="の前",1,IF(RIGHT('名簿'!L41,2)="の後",2,0))</f>
        <v/>
      </c>
      <c r="JE46">
        <f>IF(RIGHT('名簿'!O41,2)="の前",1,IF(RIGHT('名簿'!O41,2)="の後",2,0))</f>
        <v/>
      </c>
      <c r="JF46">
        <f>IF(OR(IT46&gt;0,IY46&gt;0,IZ46&gt;0),1,0)</f>
        <v/>
      </c>
      <c r="JG46">
        <f>IF(OR(IT46&lt;0,IY46&lt;0,IZ46&lt;0),1,0)</f>
        <v/>
      </c>
    </row>
    <row r="47">
      <c r="A47" t="n">
        <v>38</v>
      </c>
      <c r="B47">
        <f>'名簿'!P42</f>
        <v/>
      </c>
      <c r="C47">
        <f>IF(AND(B47&lt;&gt;"",OR('名簿'!Q42="入力済み",'名簿'!Q42="×なし"),IO47=0,COUNTIF('調整・決定'!$C$6:$H$29,B47)=0),1,0)</f>
        <v/>
      </c>
      <c r="D47">
        <f>IF(D$4=1,IF(OR(INDEX('×入力'!$A$1:$L$1300,1043+D$3,2+D$2)&lt;&gt;"",INDEX('×入力'!$A$1:$L$1300,1042,2+D$2)&lt;&gt;"",INDEX('×入力'!$A$1:$L$1300,1043+D$3,1)&lt;&gt;""),1,0),0)</f>
        <v/>
      </c>
      <c r="E47">
        <f>IF(E$4=1,IF(OR(INDEX('×入力'!$A$1:$L$1300,1043+E$3,2+E$2)&lt;&gt;"",INDEX('×入力'!$A$1:$L$1300,1042,2+E$2)&lt;&gt;"",INDEX('×入力'!$A$1:$L$1300,1043+E$3,1)&lt;&gt;""),1,0),0)</f>
        <v/>
      </c>
      <c r="F47">
        <f>IF(F$4=1,IF(OR(INDEX('×入力'!$A$1:$L$1300,1043+F$3,2+F$2)&lt;&gt;"",INDEX('×入力'!$A$1:$L$1300,1042,2+F$2)&lt;&gt;"",INDEX('×入力'!$A$1:$L$1300,1043+F$3,1)&lt;&gt;""),1,0),0)</f>
        <v/>
      </c>
      <c r="G47">
        <f>IF(G$4=1,IF(OR(INDEX('×入力'!$A$1:$L$1300,1043+G$3,2+G$2)&lt;&gt;"",INDEX('×入力'!$A$1:$L$1300,1042,2+G$2)&lt;&gt;"",INDEX('×入力'!$A$1:$L$1300,1043+G$3,1)&lt;&gt;""),1,0),0)</f>
        <v/>
      </c>
      <c r="H47">
        <f>IF(H$4=1,IF(OR(INDEX('×入力'!$A$1:$L$1300,1043+H$3,2+H$2)&lt;&gt;"",INDEX('×入力'!$A$1:$L$1300,1042,2+H$2)&lt;&gt;"",INDEX('×入力'!$A$1:$L$1300,1043+H$3,1)&lt;&gt;""),1,0),0)</f>
        <v/>
      </c>
      <c r="I47">
        <f>IF(I$4=1,IF(OR(INDEX('×入力'!$A$1:$L$1300,1043+I$3,2+I$2)&lt;&gt;"",INDEX('×入力'!$A$1:$L$1300,1042,2+I$2)&lt;&gt;"",INDEX('×入力'!$A$1:$L$1300,1043+I$3,1)&lt;&gt;""),1,0),0)</f>
        <v/>
      </c>
      <c r="J47">
        <f>IF(J$4=1,IF(OR(INDEX('×入力'!$A$1:$L$1300,1043+J$3,2+J$2)&lt;&gt;"",INDEX('×入力'!$A$1:$L$1300,1042,2+J$2)&lt;&gt;"",INDEX('×入力'!$A$1:$L$1300,1043+J$3,1)&lt;&gt;""),1,0),0)</f>
        <v/>
      </c>
      <c r="K47">
        <f>IF(K$4=1,IF(OR(INDEX('×入力'!$A$1:$L$1300,1043+K$3,2+K$2)&lt;&gt;"",INDEX('×入力'!$A$1:$L$1300,1042,2+K$2)&lt;&gt;"",INDEX('×入力'!$A$1:$L$1300,1043+K$3,1)&lt;&gt;""),1,0),0)</f>
        <v/>
      </c>
      <c r="L47">
        <f>IF(L$4=1,IF(OR(INDEX('×入力'!$A$1:$L$1300,1043+L$3,2+L$2)&lt;&gt;"",INDEX('×入力'!$A$1:$L$1300,1042,2+L$2)&lt;&gt;"",INDEX('×入力'!$A$1:$L$1300,1043+L$3,1)&lt;&gt;""),1,0),0)</f>
        <v/>
      </c>
      <c r="M47">
        <f>IF(M$4=1,IF(OR(INDEX('×入力'!$A$1:$L$1300,1043+M$3,2+M$2)&lt;&gt;"",INDEX('×入力'!$A$1:$L$1300,1042,2+M$2)&lt;&gt;"",INDEX('×入力'!$A$1:$L$1300,1043+M$3,1)&lt;&gt;""),1,0),0)</f>
        <v/>
      </c>
      <c r="N47">
        <f>IF(N$4=1,IF(OR(INDEX('×入力'!$A$1:$L$1300,1043+N$3,2+N$2)&lt;&gt;"",INDEX('×入力'!$A$1:$L$1300,1042,2+N$2)&lt;&gt;"",INDEX('×入力'!$A$1:$L$1300,1043+N$3,1)&lt;&gt;""),1,0),0)</f>
        <v/>
      </c>
      <c r="O47">
        <f>IF(O$4=1,IF(OR(INDEX('×入力'!$A$1:$L$1300,1043+O$3,2+O$2)&lt;&gt;"",INDEX('×入力'!$A$1:$L$1300,1042,2+O$2)&lt;&gt;"",INDEX('×入力'!$A$1:$L$1300,1043+O$3,1)&lt;&gt;""),1,0),0)</f>
        <v/>
      </c>
      <c r="P47">
        <f>IF(P$4=1,IF(OR(INDEX('×入力'!$A$1:$L$1300,1043+P$3,2+P$2)&lt;&gt;"",INDEX('×入力'!$A$1:$L$1300,1042,2+P$2)&lt;&gt;"",INDEX('×入力'!$A$1:$L$1300,1043+P$3,1)&lt;&gt;""),1,0),0)</f>
        <v/>
      </c>
      <c r="Q47">
        <f>IF(Q$4=1,IF(OR(INDEX('×入力'!$A$1:$L$1300,1043+Q$3,2+Q$2)&lt;&gt;"",INDEX('×入力'!$A$1:$L$1300,1042,2+Q$2)&lt;&gt;"",INDEX('×入力'!$A$1:$L$1300,1043+Q$3,1)&lt;&gt;""),1,0),0)</f>
        <v/>
      </c>
      <c r="R47">
        <f>IF(R$4=1,IF(OR(INDEX('×入力'!$A$1:$L$1300,1043+R$3,2+R$2)&lt;&gt;"",INDEX('×入力'!$A$1:$L$1300,1042,2+R$2)&lt;&gt;"",INDEX('×入力'!$A$1:$L$1300,1043+R$3,1)&lt;&gt;""),1,0),0)</f>
        <v/>
      </c>
      <c r="S47">
        <f>IF(S$4=1,IF(OR(INDEX('×入力'!$A$1:$L$1300,1043+S$3,2+S$2)&lt;&gt;"",INDEX('×入力'!$A$1:$L$1300,1042,2+S$2)&lt;&gt;"",INDEX('×入力'!$A$1:$L$1300,1043+S$3,1)&lt;&gt;""),1,0),0)</f>
        <v/>
      </c>
      <c r="T47">
        <f>IF(T$4=1,IF(OR(INDEX('×入力'!$A$1:$L$1300,1043+T$3,2+T$2)&lt;&gt;"",INDEX('×入力'!$A$1:$L$1300,1042,2+T$2)&lt;&gt;"",INDEX('×入力'!$A$1:$L$1300,1043+T$3,1)&lt;&gt;""),1,0),0)</f>
        <v/>
      </c>
      <c r="U47">
        <f>IF(U$4=1,IF(OR(INDEX('×入力'!$A$1:$L$1300,1043+U$3,2+U$2)&lt;&gt;"",INDEX('×入力'!$A$1:$L$1300,1042,2+U$2)&lt;&gt;"",INDEX('×入力'!$A$1:$L$1300,1043+U$3,1)&lt;&gt;""),1,0),0)</f>
        <v/>
      </c>
      <c r="V47">
        <f>IF(V$4=1,IF(OR(INDEX('×入力'!$A$1:$L$1300,1043+V$3,2+V$2)&lt;&gt;"",INDEX('×入力'!$A$1:$L$1300,1042,2+V$2)&lt;&gt;"",INDEX('×入力'!$A$1:$L$1300,1043+V$3,1)&lt;&gt;""),1,0),0)</f>
        <v/>
      </c>
      <c r="W47">
        <f>IF(W$4=1,IF(OR(INDEX('×入力'!$A$1:$L$1300,1043+W$3,2+W$2)&lt;&gt;"",INDEX('×入力'!$A$1:$L$1300,1042,2+W$2)&lt;&gt;"",INDEX('×入力'!$A$1:$L$1300,1043+W$3,1)&lt;&gt;""),1,0),0)</f>
        <v/>
      </c>
      <c r="X47">
        <f>IF(X$4=1,IF(OR(INDEX('×入力'!$A$1:$L$1300,1043+X$3,2+X$2)&lt;&gt;"",INDEX('×入力'!$A$1:$L$1300,1042,2+X$2)&lt;&gt;"",INDEX('×入力'!$A$1:$L$1300,1043+X$3,1)&lt;&gt;""),1,0),0)</f>
        <v/>
      </c>
      <c r="Y47">
        <f>IF(Y$4=1,IF(OR(INDEX('×入力'!$A$1:$L$1300,1043+Y$3,2+Y$2)&lt;&gt;"",INDEX('×入力'!$A$1:$L$1300,1042,2+Y$2)&lt;&gt;"",INDEX('×入力'!$A$1:$L$1300,1043+Y$3,1)&lt;&gt;""),1,0),0)</f>
        <v/>
      </c>
      <c r="Z47">
        <f>IF(Z$4=1,IF(OR(INDEX('×入力'!$A$1:$L$1300,1043+Z$3,2+Z$2)&lt;&gt;"",INDEX('×入力'!$A$1:$L$1300,1042,2+Z$2)&lt;&gt;"",INDEX('×入力'!$A$1:$L$1300,1043+Z$3,1)&lt;&gt;""),1,0),0)</f>
        <v/>
      </c>
      <c r="AA47">
        <f>IF(AA$4=1,IF(OR(INDEX('×入力'!$A$1:$L$1300,1043+AA$3,2+AA$2)&lt;&gt;"",INDEX('×入力'!$A$1:$L$1300,1042,2+AA$2)&lt;&gt;"",INDEX('×入力'!$A$1:$L$1300,1043+AA$3,1)&lt;&gt;""),1,0),0)</f>
        <v/>
      </c>
      <c r="AB47">
        <f>IF(AB$4=1,IF(OR(INDEX('×入力'!$A$1:$L$1300,1043+AB$3,2+AB$2)&lt;&gt;"",INDEX('×入力'!$A$1:$L$1300,1042,2+AB$2)&lt;&gt;"",INDEX('×入力'!$A$1:$L$1300,1043+AB$3,1)&lt;&gt;""),1,0),0)</f>
        <v/>
      </c>
      <c r="AC47">
        <f>IF(AC$4=1,IF(OR(INDEX('×入力'!$A$1:$L$1300,1043+AC$3,2+AC$2)&lt;&gt;"",INDEX('×入力'!$A$1:$L$1300,1042,2+AC$2)&lt;&gt;"",INDEX('×入力'!$A$1:$L$1300,1043+AC$3,1)&lt;&gt;""),1,0),0)</f>
        <v/>
      </c>
      <c r="AD47">
        <f>IF(AD$4=1,IF(OR(INDEX('×入力'!$A$1:$L$1300,1043+AD$3,2+AD$2)&lt;&gt;"",INDEX('×入力'!$A$1:$L$1300,1042,2+AD$2)&lt;&gt;"",INDEX('×入力'!$A$1:$L$1300,1043+AD$3,1)&lt;&gt;""),1,0),0)</f>
        <v/>
      </c>
      <c r="AE47">
        <f>IF(AE$4=1,IF(OR(INDEX('×入力'!$A$1:$L$1300,1043+AE$3,2+AE$2)&lt;&gt;"",INDEX('×入力'!$A$1:$L$1300,1042,2+AE$2)&lt;&gt;"",INDEX('×入力'!$A$1:$L$1300,1043+AE$3,1)&lt;&gt;""),1,0),0)</f>
        <v/>
      </c>
      <c r="AF47">
        <f>IF(AF$4=1,IF(OR(INDEX('×入力'!$A$1:$L$1300,1043+AF$3,2+AF$2)&lt;&gt;"",INDEX('×入力'!$A$1:$L$1300,1042,2+AF$2)&lt;&gt;"",INDEX('×入力'!$A$1:$L$1300,1043+AF$3,1)&lt;&gt;""),1,0),0)</f>
        <v/>
      </c>
      <c r="AG47">
        <f>IF(AG$4=1,IF(OR(INDEX('×入力'!$A$1:$L$1300,1043+AG$3,2+AG$2)&lt;&gt;"",INDEX('×入力'!$A$1:$L$1300,1042,2+AG$2)&lt;&gt;"",INDEX('×入力'!$A$1:$L$1300,1043+AG$3,1)&lt;&gt;""),1,0),0)</f>
        <v/>
      </c>
      <c r="AH47">
        <f>IF(AH$4=1,IF(OR(INDEX('×入力'!$A$1:$L$1300,1043+AH$3,2+AH$2)&lt;&gt;"",INDEX('×入力'!$A$1:$L$1300,1042,2+AH$2)&lt;&gt;"",INDEX('×入力'!$A$1:$L$1300,1043+AH$3,1)&lt;&gt;""),1,0),0)</f>
        <v/>
      </c>
      <c r="AI47">
        <f>IF(AI$4=1,IF(OR(INDEX('×入力'!$A$1:$L$1300,1043+AI$3,2+AI$2)&lt;&gt;"",INDEX('×入力'!$A$1:$L$1300,1042,2+AI$2)&lt;&gt;"",INDEX('×入力'!$A$1:$L$1300,1043+AI$3,1)&lt;&gt;""),1,0),0)</f>
        <v/>
      </c>
      <c r="AJ47">
        <f>IF(AJ$4=1,IF(OR(INDEX('×入力'!$A$1:$L$1300,1043+AJ$3,2+AJ$2)&lt;&gt;"",INDEX('×入力'!$A$1:$L$1300,1042,2+AJ$2)&lt;&gt;"",INDEX('×入力'!$A$1:$L$1300,1043+AJ$3,1)&lt;&gt;""),1,0),0)</f>
        <v/>
      </c>
      <c r="AK47">
        <f>IF(AK$4=1,IF(OR(INDEX('×入力'!$A$1:$L$1300,1043+AK$3,2+AK$2)&lt;&gt;"",INDEX('×入力'!$A$1:$L$1300,1042,2+AK$2)&lt;&gt;"",INDEX('×入力'!$A$1:$L$1300,1043+AK$3,1)&lt;&gt;""),1,0),0)</f>
        <v/>
      </c>
      <c r="AL47">
        <f>IF(AL$4=1,IF(OR(INDEX('×入力'!$A$1:$L$1300,1043+AL$3,2+AL$2)&lt;&gt;"",INDEX('×入力'!$A$1:$L$1300,1042,2+AL$2)&lt;&gt;"",INDEX('×入力'!$A$1:$L$1300,1043+AL$3,1)&lt;&gt;""),1,0),0)</f>
        <v/>
      </c>
      <c r="AM47">
        <f>IF(AM$4=1,IF(OR(INDEX('×入力'!$A$1:$L$1300,1043+AM$3,2+AM$2)&lt;&gt;"",INDEX('×入力'!$A$1:$L$1300,1042,2+AM$2)&lt;&gt;"",INDEX('×入力'!$A$1:$L$1300,1043+AM$3,1)&lt;&gt;""),1,0),0)</f>
        <v/>
      </c>
      <c r="AN47">
        <f>IF(AN$4=1,IF(OR(INDEX('×入力'!$A$1:$L$1300,1043+AN$3,2+AN$2)&lt;&gt;"",INDEX('×入力'!$A$1:$L$1300,1042,2+AN$2)&lt;&gt;"",INDEX('×入力'!$A$1:$L$1300,1043+AN$3,1)&lt;&gt;""),1,0),0)</f>
        <v/>
      </c>
      <c r="AO47">
        <f>IF(AO$4=1,IF(OR(INDEX('×入力'!$A$1:$L$1300,1043+AO$3,2+AO$2)&lt;&gt;"",INDEX('×入力'!$A$1:$L$1300,1042,2+AO$2)&lt;&gt;"",INDEX('×入力'!$A$1:$L$1300,1043+AO$3,1)&lt;&gt;""),1,0),0)</f>
        <v/>
      </c>
      <c r="AP47">
        <f>IF(AP$4=1,IF(OR(INDEX('×入力'!$A$1:$L$1300,1043+AP$3,2+AP$2)&lt;&gt;"",INDEX('×入力'!$A$1:$L$1300,1042,2+AP$2)&lt;&gt;"",INDEX('×入力'!$A$1:$L$1300,1043+AP$3,1)&lt;&gt;""),1,0),0)</f>
        <v/>
      </c>
      <c r="AQ47">
        <f>IF(AQ$4=1,IF(OR(INDEX('×入力'!$A$1:$L$1300,1043+AQ$3,2+AQ$2)&lt;&gt;"",INDEX('×入力'!$A$1:$L$1300,1042,2+AQ$2)&lt;&gt;"",INDEX('×入力'!$A$1:$L$1300,1043+AQ$3,1)&lt;&gt;""),1,0),0)</f>
        <v/>
      </c>
      <c r="AR47">
        <f>IF(AR$4=1,IF(OR(INDEX('×入力'!$A$1:$L$1300,1043+AR$3,2+AR$2)&lt;&gt;"",INDEX('×入力'!$A$1:$L$1300,1042,2+AR$2)&lt;&gt;"",INDEX('×入力'!$A$1:$L$1300,1043+AR$3,1)&lt;&gt;""),1,0),0)</f>
        <v/>
      </c>
      <c r="AS47">
        <f>IF(AS$4=1,IF(OR(INDEX('×入力'!$A$1:$L$1300,1043+AS$3,2+AS$2)&lt;&gt;"",INDEX('×入力'!$A$1:$L$1300,1042,2+AS$2)&lt;&gt;"",INDEX('×入力'!$A$1:$L$1300,1043+AS$3,1)&lt;&gt;""),1,0),0)</f>
        <v/>
      </c>
      <c r="AT47">
        <f>IF(AT$4=1,IF(OR(INDEX('×入力'!$A$1:$L$1300,1043+AT$3,2+AT$2)&lt;&gt;"",INDEX('×入力'!$A$1:$L$1300,1042,2+AT$2)&lt;&gt;"",INDEX('×入力'!$A$1:$L$1300,1043+AT$3,1)&lt;&gt;""),1,0),0)</f>
        <v/>
      </c>
      <c r="AU47">
        <f>IF(AU$4=1,IF(OR(INDEX('×入力'!$A$1:$L$1300,1043+AU$3,2+AU$2)&lt;&gt;"",INDEX('×入力'!$A$1:$L$1300,1042,2+AU$2)&lt;&gt;"",INDEX('×入力'!$A$1:$L$1300,1043+AU$3,1)&lt;&gt;""),1,0),0)</f>
        <v/>
      </c>
      <c r="AV47">
        <f>IF(AV$4=1,IF(OR(INDEX('×入力'!$A$1:$L$1300,1043+AV$3,2+AV$2)&lt;&gt;"",INDEX('×入力'!$A$1:$L$1300,1042,2+AV$2)&lt;&gt;"",INDEX('×入力'!$A$1:$L$1300,1043+AV$3,1)&lt;&gt;""),1,0),0)</f>
        <v/>
      </c>
      <c r="AW47">
        <f>IF(AW$4=1,IF(OR(INDEX('×入力'!$A$1:$L$1300,1043+AW$3,2+AW$2)&lt;&gt;"",INDEX('×入力'!$A$1:$L$1300,1042,2+AW$2)&lt;&gt;"",INDEX('×入力'!$A$1:$L$1300,1043+AW$3,1)&lt;&gt;""),1,0),0)</f>
        <v/>
      </c>
      <c r="AX47">
        <f>IF(AX$4=1,IF(OR(INDEX('×入力'!$A$1:$L$1300,1043+AX$3,2+AX$2)&lt;&gt;"",INDEX('×入力'!$A$1:$L$1300,1042,2+AX$2)&lt;&gt;"",INDEX('×入力'!$A$1:$L$1300,1043+AX$3,1)&lt;&gt;""),1,0),0)</f>
        <v/>
      </c>
      <c r="AY47">
        <f>IF(AY$4=1,IF(OR(INDEX('×入力'!$A$1:$L$1300,1043+AY$3,2+AY$2)&lt;&gt;"",INDEX('×入力'!$A$1:$L$1300,1042,2+AY$2)&lt;&gt;"",INDEX('×入力'!$A$1:$L$1300,1043+AY$3,1)&lt;&gt;""),1,0),0)</f>
        <v/>
      </c>
      <c r="AZ47">
        <f>IF(AZ$4=1,IF(OR(INDEX('×入力'!$A$1:$L$1300,1043+AZ$3,2+AZ$2)&lt;&gt;"",INDEX('×入力'!$A$1:$L$1300,1042,2+AZ$2)&lt;&gt;"",INDEX('×入力'!$A$1:$L$1300,1043+AZ$3,1)&lt;&gt;""),1,0),0)</f>
        <v/>
      </c>
      <c r="BA47">
        <f>IF(BA$4=1,IF(OR(INDEX('×入力'!$A$1:$L$1300,1043+BA$3,2+BA$2)&lt;&gt;"",INDEX('×入力'!$A$1:$L$1300,1042,2+BA$2)&lt;&gt;"",INDEX('×入力'!$A$1:$L$1300,1043+BA$3,1)&lt;&gt;""),1,0),0)</f>
        <v/>
      </c>
      <c r="BB47">
        <f>IF(BB$4=1,IF(OR(INDEX('×入力'!$A$1:$L$1300,1043+BB$3,2+BB$2)&lt;&gt;"",INDEX('×入力'!$A$1:$L$1300,1042,2+BB$2)&lt;&gt;"",INDEX('×入力'!$A$1:$L$1300,1043+BB$3,1)&lt;&gt;""),1,0),0)</f>
        <v/>
      </c>
      <c r="BC47">
        <f>IF(BC$4=1,IF(OR(INDEX('×入力'!$A$1:$L$1300,1043+BC$3,2+BC$2)&lt;&gt;"",INDEX('×入力'!$A$1:$L$1300,1042,2+BC$2)&lt;&gt;"",INDEX('×入力'!$A$1:$L$1300,1043+BC$3,1)&lt;&gt;""),1,0),0)</f>
        <v/>
      </c>
      <c r="BD47">
        <f>IF(BD$4=1,IF(OR(INDEX('×入力'!$A$1:$L$1300,1043+BD$3,2+BD$2)&lt;&gt;"",INDEX('×入力'!$A$1:$L$1300,1042,2+BD$2)&lt;&gt;"",INDEX('×入力'!$A$1:$L$1300,1043+BD$3,1)&lt;&gt;""),1,0),0)</f>
        <v/>
      </c>
      <c r="BE47">
        <f>IF(BE$4=1,IF(OR(INDEX('×入力'!$A$1:$L$1300,1043+BE$3,2+BE$2)&lt;&gt;"",INDEX('×入力'!$A$1:$L$1300,1042,2+BE$2)&lt;&gt;"",INDEX('×入力'!$A$1:$L$1300,1043+BE$3,1)&lt;&gt;""),1,0),0)</f>
        <v/>
      </c>
      <c r="BF47">
        <f>IF(BF$4=1,IF(OR(INDEX('×入力'!$A$1:$L$1300,1043+BF$3,2+BF$2)&lt;&gt;"",INDEX('×入力'!$A$1:$L$1300,1042,2+BF$2)&lt;&gt;"",INDEX('×入力'!$A$1:$L$1300,1043+BF$3,1)&lt;&gt;""),1,0),0)</f>
        <v/>
      </c>
      <c r="BG47">
        <f>IF(BG$4=1,IF(OR(INDEX('×入力'!$A$1:$L$1300,1043+BG$3,2+BG$2)&lt;&gt;"",INDEX('×入力'!$A$1:$L$1300,1042,2+BG$2)&lt;&gt;"",INDEX('×入力'!$A$1:$L$1300,1043+BG$3,1)&lt;&gt;""),1,0),0)</f>
        <v/>
      </c>
      <c r="BH47">
        <f>IF(BH$4=1,IF(OR(INDEX('×入力'!$A$1:$L$1300,1043+BH$3,2+BH$2)&lt;&gt;"",INDEX('×入力'!$A$1:$L$1300,1042,2+BH$2)&lt;&gt;"",INDEX('×入力'!$A$1:$L$1300,1043+BH$3,1)&lt;&gt;""),1,0),0)</f>
        <v/>
      </c>
      <c r="BI47">
        <f>IF(BI$4=1,IF(OR(INDEX('×入力'!$A$1:$L$1300,1043+BI$3,2+BI$2)&lt;&gt;"",INDEX('×入力'!$A$1:$L$1300,1042,2+BI$2)&lt;&gt;"",INDEX('×入力'!$A$1:$L$1300,1043+BI$3,1)&lt;&gt;""),1,0),0)</f>
        <v/>
      </c>
      <c r="BJ47">
        <f>IF(BJ$4=1,IF(OR(INDEX('×入力'!$A$1:$L$1300,1043+BJ$3,2+BJ$2)&lt;&gt;"",INDEX('×入力'!$A$1:$L$1300,1042,2+BJ$2)&lt;&gt;"",INDEX('×入力'!$A$1:$L$1300,1043+BJ$3,1)&lt;&gt;""),1,0),0)</f>
        <v/>
      </c>
      <c r="BK47">
        <f>IF(BK$4=1,IF(OR(INDEX('×入力'!$A$1:$L$1300,1043+BK$3,2+BK$2)&lt;&gt;"",INDEX('×入力'!$A$1:$L$1300,1042,2+BK$2)&lt;&gt;"",INDEX('×入力'!$A$1:$L$1300,1043+BK$3,1)&lt;&gt;""),1,0),0)</f>
        <v/>
      </c>
      <c r="BL47">
        <f>IF(BL$4=1,IF(OR(INDEX('×入力'!$A$1:$L$1300,1043+BL$3,2+BL$2)&lt;&gt;"",INDEX('×入力'!$A$1:$L$1300,1042,2+BL$2)&lt;&gt;"",INDEX('×入力'!$A$1:$L$1300,1043+BL$3,1)&lt;&gt;""),1,0),0)</f>
        <v/>
      </c>
      <c r="BM47">
        <f>IF(BM$4=1,IF(OR(INDEX('×入力'!$A$1:$L$1300,1043+BM$3,2+BM$2)&lt;&gt;"",INDEX('×入力'!$A$1:$L$1300,1042,2+BM$2)&lt;&gt;"",INDEX('×入力'!$A$1:$L$1300,1043+BM$3,1)&lt;&gt;""),1,0),0)</f>
        <v/>
      </c>
      <c r="BN47">
        <f>IF(BN$4=1,IF(OR(INDEX('×入力'!$A$1:$L$1300,1043+BN$3,2+BN$2)&lt;&gt;"",INDEX('×入力'!$A$1:$L$1300,1042,2+BN$2)&lt;&gt;"",INDEX('×入力'!$A$1:$L$1300,1043+BN$3,1)&lt;&gt;""),1,0),0)</f>
        <v/>
      </c>
      <c r="BO47">
        <f>IF(BO$4=1,IF(OR(INDEX('×入力'!$A$1:$L$1300,1043+BO$3,2+BO$2)&lt;&gt;"",INDEX('×入力'!$A$1:$L$1300,1042,2+BO$2)&lt;&gt;"",INDEX('×入力'!$A$1:$L$1300,1043+BO$3,1)&lt;&gt;""),1,0),0)</f>
        <v/>
      </c>
      <c r="BP47">
        <f>IF(BP$4=1,IF(OR(INDEX('×入力'!$A$1:$L$1300,1043+BP$3,2+BP$2)&lt;&gt;"",INDEX('×入力'!$A$1:$L$1300,1042,2+BP$2)&lt;&gt;"",INDEX('×入力'!$A$1:$L$1300,1043+BP$3,1)&lt;&gt;""),1,0),0)</f>
        <v/>
      </c>
      <c r="BQ47">
        <f>IF(BQ$4=1,IF(OR(INDEX('×入力'!$A$1:$L$1300,1043+BQ$3,2+BQ$2)&lt;&gt;"",INDEX('×入力'!$A$1:$L$1300,1042,2+BQ$2)&lt;&gt;"",INDEX('×入力'!$A$1:$L$1300,1043+BQ$3,1)&lt;&gt;""),1,0),0)</f>
        <v/>
      </c>
      <c r="BR47">
        <f>IF(BR$4=1,IF(OR(INDEX('×入力'!$A$1:$L$1300,1043+BR$3,2+BR$2)&lt;&gt;"",INDEX('×入力'!$A$1:$L$1300,1042,2+BR$2)&lt;&gt;"",INDEX('×入力'!$A$1:$L$1300,1043+BR$3,1)&lt;&gt;""),1,0),0)</f>
        <v/>
      </c>
      <c r="BS47">
        <f>IF(BS$4=1,IF(OR(INDEX('×入力'!$A$1:$L$1300,1043+BS$3,2+BS$2)&lt;&gt;"",INDEX('×入力'!$A$1:$L$1300,1042,2+BS$2)&lt;&gt;"",INDEX('×入力'!$A$1:$L$1300,1043+BS$3,1)&lt;&gt;""),1,0),0)</f>
        <v/>
      </c>
      <c r="BT47">
        <f>IF(BT$4=1,IF(OR(INDEX('×入力'!$A$1:$L$1300,1043+BT$3,2+BT$2)&lt;&gt;"",INDEX('×入力'!$A$1:$L$1300,1042,2+BT$2)&lt;&gt;"",INDEX('×入力'!$A$1:$L$1300,1043+BT$3,1)&lt;&gt;""),1,0),0)</f>
        <v/>
      </c>
      <c r="BU47">
        <f>IF(BU$4=1,IF(OR(INDEX('×入力'!$A$1:$L$1300,1043+BU$3,2+BU$2)&lt;&gt;"",INDEX('×入力'!$A$1:$L$1300,1042,2+BU$2)&lt;&gt;"",INDEX('×入力'!$A$1:$L$1300,1043+BU$3,1)&lt;&gt;""),1,0),0)</f>
        <v/>
      </c>
      <c r="BV47">
        <f>IF(BV$4=1,IF(OR(INDEX('×入力'!$A$1:$L$1300,1043+BV$3,2+BV$2)&lt;&gt;"",INDEX('×入力'!$A$1:$L$1300,1042,2+BV$2)&lt;&gt;"",INDEX('×入力'!$A$1:$L$1300,1043+BV$3,1)&lt;&gt;""),1,0),0)</f>
        <v/>
      </c>
      <c r="BW47">
        <f>IF(BW$4=1,IF(OR(INDEX('×入力'!$A$1:$L$1300,1043+BW$3,2+BW$2)&lt;&gt;"",INDEX('×入力'!$A$1:$L$1300,1042,2+BW$2)&lt;&gt;"",INDEX('×入力'!$A$1:$L$1300,1043+BW$3,1)&lt;&gt;""),1,0),0)</f>
        <v/>
      </c>
      <c r="BX47">
        <f>IF(BX$4=1,IF(OR(INDEX('×入力'!$A$1:$L$1300,1043+BX$3,2+BX$2)&lt;&gt;"",INDEX('×入力'!$A$1:$L$1300,1042,2+BX$2)&lt;&gt;"",INDEX('×入力'!$A$1:$L$1300,1043+BX$3,1)&lt;&gt;""),1,0),0)</f>
        <v/>
      </c>
      <c r="BY47">
        <f>IF(BY$4=1,IF(OR(INDEX('×入力'!$A$1:$L$1300,1043+BY$3,2+BY$2)&lt;&gt;"",INDEX('×入力'!$A$1:$L$1300,1042,2+BY$2)&lt;&gt;"",INDEX('×入力'!$A$1:$L$1300,1043+BY$3,1)&lt;&gt;""),1,0),0)</f>
        <v/>
      </c>
      <c r="BZ47">
        <f>IF(BZ$4=1,IF(OR(INDEX('×入力'!$A$1:$L$1300,1043+BZ$3,2+BZ$2)&lt;&gt;"",INDEX('×入力'!$A$1:$L$1300,1042,2+BZ$2)&lt;&gt;"",INDEX('×入力'!$A$1:$L$1300,1043+BZ$3,1)&lt;&gt;""),1,0),0)</f>
        <v/>
      </c>
      <c r="CA47">
        <f>IF(CA$4=1,IF(OR(INDEX('×入力'!$A$1:$L$1300,1043+CA$3,2+CA$2)&lt;&gt;"",INDEX('×入力'!$A$1:$L$1300,1042,2+CA$2)&lt;&gt;"",INDEX('×入力'!$A$1:$L$1300,1043+CA$3,1)&lt;&gt;""),1,0),0)</f>
        <v/>
      </c>
      <c r="CB47">
        <f>IF(CB$4=1,IF(OR(INDEX('×入力'!$A$1:$L$1300,1043+CB$3,2+CB$2)&lt;&gt;"",INDEX('×入力'!$A$1:$L$1300,1042,2+CB$2)&lt;&gt;"",INDEX('×入力'!$A$1:$L$1300,1043+CB$3,1)&lt;&gt;""),1,0),0)</f>
        <v/>
      </c>
      <c r="CC47">
        <f>IF(CC$4=1,IF(OR(INDEX('×入力'!$A$1:$L$1300,1043+CC$3,2+CC$2)&lt;&gt;"",INDEX('×入力'!$A$1:$L$1300,1042,2+CC$2)&lt;&gt;"",INDEX('×入力'!$A$1:$L$1300,1043+CC$3,1)&lt;&gt;""),1,0),0)</f>
        <v/>
      </c>
      <c r="CD47">
        <f>IF(CD$4=1,IF(OR(INDEX('×入力'!$A$1:$L$1300,1043+CD$3,2+CD$2)&lt;&gt;"",INDEX('×入力'!$A$1:$L$1300,1042,2+CD$2)&lt;&gt;"",INDEX('×入力'!$A$1:$L$1300,1043+CD$3,1)&lt;&gt;""),1,0),0)</f>
        <v/>
      </c>
      <c r="CE47">
        <f>IF(CE$4=1,IF(OR(INDEX('×入力'!$A$1:$L$1300,1043+CE$3,2+CE$2)&lt;&gt;"",INDEX('×入力'!$A$1:$L$1300,1042,2+CE$2)&lt;&gt;"",INDEX('×入力'!$A$1:$L$1300,1043+CE$3,1)&lt;&gt;""),1,0),0)</f>
        <v/>
      </c>
      <c r="CF47">
        <f>IF(CF$4=1,IF(OR(INDEX('×入力'!$A$1:$L$1300,1043+CF$3,2+CF$2)&lt;&gt;"",INDEX('×入力'!$A$1:$L$1300,1042,2+CF$2)&lt;&gt;"",INDEX('×入力'!$A$1:$L$1300,1043+CF$3,1)&lt;&gt;""),1,0),0)</f>
        <v/>
      </c>
      <c r="CG47">
        <f>IF(CG$4=1,IF(OR(INDEX('×入力'!$A$1:$L$1300,1043+CG$3,2+CG$2)&lt;&gt;"",INDEX('×入力'!$A$1:$L$1300,1042,2+CG$2)&lt;&gt;"",INDEX('×入力'!$A$1:$L$1300,1043+CG$3,1)&lt;&gt;""),1,0),0)</f>
        <v/>
      </c>
      <c r="CH47">
        <f>IF(CH$4=1,IF(OR(INDEX('×入力'!$A$1:$L$1300,1043+CH$3,2+CH$2)&lt;&gt;"",INDEX('×入力'!$A$1:$L$1300,1042,2+CH$2)&lt;&gt;"",INDEX('×入力'!$A$1:$L$1300,1043+CH$3,1)&lt;&gt;""),1,0),0)</f>
        <v/>
      </c>
      <c r="CI47">
        <f>IF(CI$4=1,IF(OR(INDEX('×入力'!$A$1:$L$1300,1043+CI$3,2+CI$2)&lt;&gt;"",INDEX('×入力'!$A$1:$L$1300,1042,2+CI$2)&lt;&gt;"",INDEX('×入力'!$A$1:$L$1300,1043+CI$3,1)&lt;&gt;""),1,0),0)</f>
        <v/>
      </c>
      <c r="CJ47">
        <f>IF(CJ$4=1,IF(OR(INDEX('×入力'!$A$1:$L$1300,1043+CJ$3,2+CJ$2)&lt;&gt;"",INDEX('×入力'!$A$1:$L$1300,1042,2+CJ$2)&lt;&gt;"",INDEX('×入力'!$A$1:$L$1300,1043+CJ$3,1)&lt;&gt;""),1,0),0)</f>
        <v/>
      </c>
      <c r="CK47">
        <f>IF(CK$4=1,IF(OR(INDEX('×入力'!$A$1:$L$1300,1043+CK$3,2+CK$2)&lt;&gt;"",INDEX('×入力'!$A$1:$L$1300,1042,2+CK$2)&lt;&gt;"",INDEX('×入力'!$A$1:$L$1300,1043+CK$3,1)&lt;&gt;""),1,0),0)</f>
        <v/>
      </c>
      <c r="CL47">
        <f>IF(CL$4=1,IF(OR(INDEX('×入力'!$A$1:$L$1300,1043+CL$3,2+CL$2)&lt;&gt;"",INDEX('×入力'!$A$1:$L$1300,1042,2+CL$2)&lt;&gt;"",INDEX('×入力'!$A$1:$L$1300,1043+CL$3,1)&lt;&gt;""),1,0),0)</f>
        <v/>
      </c>
      <c r="CM47">
        <f>IF(CM$4=1,IF(OR(INDEX('×入力'!$A$1:$L$1300,1043+CM$3,2+CM$2)&lt;&gt;"",INDEX('×入力'!$A$1:$L$1300,1042,2+CM$2)&lt;&gt;"",INDEX('×入力'!$A$1:$L$1300,1043+CM$3,1)&lt;&gt;""),1,0),0)</f>
        <v/>
      </c>
      <c r="CN47">
        <f>IF(CN$4=1,IF(OR(INDEX('×入力'!$A$1:$L$1300,1043+CN$3,2+CN$2)&lt;&gt;"",INDEX('×入力'!$A$1:$L$1300,1042,2+CN$2)&lt;&gt;"",INDEX('×入力'!$A$1:$L$1300,1043+CN$3,1)&lt;&gt;""),1,0),0)</f>
        <v/>
      </c>
      <c r="CO47">
        <f>IF(CO$4=1,IF(OR(INDEX('×入力'!$A$1:$L$1300,1043+CO$3,2+CO$2)&lt;&gt;"",INDEX('×入力'!$A$1:$L$1300,1042,2+CO$2)&lt;&gt;"",INDEX('×入力'!$A$1:$L$1300,1043+CO$3,1)&lt;&gt;""),1,0),0)</f>
        <v/>
      </c>
      <c r="CP47">
        <f>IF(CP$4=1,IF(OR(INDEX('×入力'!$A$1:$L$1300,1043+CP$3,2+CP$2)&lt;&gt;"",INDEX('×入力'!$A$1:$L$1300,1042,2+CP$2)&lt;&gt;"",INDEX('×入力'!$A$1:$L$1300,1043+CP$3,1)&lt;&gt;""),1,0),0)</f>
        <v/>
      </c>
      <c r="CQ47">
        <f>IF(CQ$4=1,IF(OR(INDEX('×入力'!$A$1:$L$1300,1043+CQ$3,2+CQ$2)&lt;&gt;"",INDEX('×入力'!$A$1:$L$1300,1042,2+CQ$2)&lt;&gt;"",INDEX('×入力'!$A$1:$L$1300,1043+CQ$3,1)&lt;&gt;""),1,0),0)</f>
        <v/>
      </c>
      <c r="CR47">
        <f>IF(CR$4=1,IF(OR(INDEX('×入力'!$A$1:$L$1300,1043+CR$3,2+CR$2)&lt;&gt;"",INDEX('×入力'!$A$1:$L$1300,1042,2+CR$2)&lt;&gt;"",INDEX('×入力'!$A$1:$L$1300,1043+CR$3,1)&lt;&gt;""),1,0),0)</f>
        <v/>
      </c>
      <c r="CS47">
        <f>IF(CS$4=1,IF(OR(INDEX('×入力'!$A$1:$L$1300,1043+CS$3,2+CS$2)&lt;&gt;"",INDEX('×入力'!$A$1:$L$1300,1042,2+CS$2)&lt;&gt;"",INDEX('×入力'!$A$1:$L$1300,1043+CS$3,1)&lt;&gt;""),1,0),0)</f>
        <v/>
      </c>
      <c r="CT47">
        <f>IF(CT$4=1,IF(OR(INDEX('×入力'!$A$1:$L$1300,1043+CT$3,2+CT$2)&lt;&gt;"",INDEX('×入力'!$A$1:$L$1300,1042,2+CT$2)&lt;&gt;"",INDEX('×入力'!$A$1:$L$1300,1043+CT$3,1)&lt;&gt;""),1,0),0)</f>
        <v/>
      </c>
      <c r="CU47">
        <f>IF(CU$4=1,IF(OR(INDEX('×入力'!$A$1:$L$1300,1043+CU$3,2+CU$2)&lt;&gt;"",INDEX('×入力'!$A$1:$L$1300,1042,2+CU$2)&lt;&gt;"",INDEX('×入力'!$A$1:$L$1300,1043+CU$3,1)&lt;&gt;""),1,0),0)</f>
        <v/>
      </c>
      <c r="CV47">
        <f>IF(CV$4=1,IF(OR(INDEX('×入力'!$A$1:$L$1300,1043+CV$3,2+CV$2)&lt;&gt;"",INDEX('×入力'!$A$1:$L$1300,1042,2+CV$2)&lt;&gt;"",INDEX('×入力'!$A$1:$L$1300,1043+CV$3,1)&lt;&gt;""),1,0),0)</f>
        <v/>
      </c>
      <c r="CW47">
        <f>IF(CW$4=1,IF(OR(INDEX('×入力'!$A$1:$L$1300,1043+CW$3,2+CW$2)&lt;&gt;"",INDEX('×入力'!$A$1:$L$1300,1042,2+CW$2)&lt;&gt;"",INDEX('×入力'!$A$1:$L$1300,1043+CW$3,1)&lt;&gt;""),1,0),0)</f>
        <v/>
      </c>
      <c r="CX47">
        <f>IF(CX$4=1,IF(OR(INDEX('×入力'!$A$1:$L$1300,1043+CX$3,2+CX$2)&lt;&gt;"",INDEX('×入力'!$A$1:$L$1300,1042,2+CX$2)&lt;&gt;"",INDEX('×入力'!$A$1:$L$1300,1043+CX$3,1)&lt;&gt;""),1,0),0)</f>
        <v/>
      </c>
      <c r="CY47">
        <f>IF(CY$4=1,IF(OR(INDEX('×入力'!$A$1:$L$1300,1043+CY$3,2+CY$2)&lt;&gt;"",INDEX('×入力'!$A$1:$L$1300,1042,2+CY$2)&lt;&gt;"",INDEX('×入力'!$A$1:$L$1300,1043+CY$3,1)&lt;&gt;""),1,0),0)</f>
        <v/>
      </c>
      <c r="CZ47">
        <f>IF(CZ$4=1,IF(OR(INDEX('×入力'!$A$1:$L$1300,1043+CZ$3,2+CZ$2)&lt;&gt;"",INDEX('×入力'!$A$1:$L$1300,1042,2+CZ$2)&lt;&gt;"",INDEX('×入力'!$A$1:$L$1300,1043+CZ$3,1)&lt;&gt;""),1,0),0)</f>
        <v/>
      </c>
      <c r="DA47">
        <f>IF(DA$4=1,IF(OR(INDEX('×入力'!$A$1:$L$1300,1043+DA$3,2+DA$2)&lt;&gt;"",INDEX('×入力'!$A$1:$L$1300,1042,2+DA$2)&lt;&gt;"",INDEX('×入力'!$A$1:$L$1300,1043+DA$3,1)&lt;&gt;""),1,0),0)</f>
        <v/>
      </c>
      <c r="DB47">
        <f>IF(DB$4=1,IF(OR(INDEX('×入力'!$A$1:$L$1300,1043+DB$3,2+DB$2)&lt;&gt;"",INDEX('×入力'!$A$1:$L$1300,1042,2+DB$2)&lt;&gt;"",INDEX('×入力'!$A$1:$L$1300,1043+DB$3,1)&lt;&gt;""),1,0),0)</f>
        <v/>
      </c>
      <c r="DC47">
        <f>IF(DC$4=1,IF(OR(INDEX('×入力'!$A$1:$L$1300,1043+DC$3,2+DC$2)&lt;&gt;"",INDEX('×入力'!$A$1:$L$1300,1042,2+DC$2)&lt;&gt;"",INDEX('×入力'!$A$1:$L$1300,1043+DC$3,1)&lt;&gt;""),1,0),0)</f>
        <v/>
      </c>
      <c r="DD47">
        <f>IF(DD$4=1,IF(OR(INDEX('×入力'!$A$1:$L$1300,1043+DD$3,2+DD$2)&lt;&gt;"",INDEX('×入力'!$A$1:$L$1300,1042,2+DD$2)&lt;&gt;"",INDEX('×入力'!$A$1:$L$1300,1043+DD$3,1)&lt;&gt;""),1,0),0)</f>
        <v/>
      </c>
      <c r="DE47">
        <f>IF(DE$4=1,IF(OR(INDEX('×入力'!$A$1:$L$1300,1043+DE$3,2+DE$2)&lt;&gt;"",INDEX('×入力'!$A$1:$L$1300,1042,2+DE$2)&lt;&gt;"",INDEX('×入力'!$A$1:$L$1300,1043+DE$3,1)&lt;&gt;""),1,0),0)</f>
        <v/>
      </c>
      <c r="DF47">
        <f>IF(DF$4=1,IF(OR(INDEX('×入力'!$A$1:$L$1300,1043+DF$3,2+DF$2)&lt;&gt;"",INDEX('×入力'!$A$1:$L$1300,1042,2+DF$2)&lt;&gt;"",INDEX('×入力'!$A$1:$L$1300,1043+DF$3,1)&lt;&gt;""),1,0),0)</f>
        <v/>
      </c>
      <c r="DG47">
        <f>IF(DG$4=1,IF(OR(INDEX('×入力'!$A$1:$L$1300,1043+DG$3,2+DG$2)&lt;&gt;"",INDEX('×入力'!$A$1:$L$1300,1042,2+DG$2)&lt;&gt;"",INDEX('×入力'!$A$1:$L$1300,1043+DG$3,1)&lt;&gt;""),1,0),0)</f>
        <v/>
      </c>
      <c r="DH47">
        <f>IF(DH$4=1,IF(OR(INDEX('×入力'!$A$1:$L$1300,1043+DH$3,2+DH$2)&lt;&gt;"",INDEX('×入力'!$A$1:$L$1300,1042,2+DH$2)&lt;&gt;"",INDEX('×入力'!$A$1:$L$1300,1043+DH$3,1)&lt;&gt;""),1,0),0)</f>
        <v/>
      </c>
      <c r="DI47">
        <f>IF(DI$4=1,IF(OR(INDEX('×入力'!$A$1:$L$1300,1043+DI$3,2+DI$2)&lt;&gt;"",INDEX('×入力'!$A$1:$L$1300,1042,2+DI$2)&lt;&gt;"",INDEX('×入力'!$A$1:$L$1300,1043+DI$3,1)&lt;&gt;""),1,0),0)</f>
        <v/>
      </c>
      <c r="DJ47">
        <f>IF(DJ$4=1,IF(OR(INDEX('×入力'!$A$1:$L$1300,1043+DJ$3,2+DJ$2)&lt;&gt;"",INDEX('×入力'!$A$1:$L$1300,1042,2+DJ$2)&lt;&gt;"",INDEX('×入力'!$A$1:$L$1300,1043+DJ$3,1)&lt;&gt;""),1,0),0)</f>
        <v/>
      </c>
      <c r="DK47">
        <f>IF(DK$4=1,IF(OR(INDEX('×入力'!$A$1:$L$1300,1043+DK$3,2+DK$2)&lt;&gt;"",INDEX('×入力'!$A$1:$L$1300,1042,2+DK$2)&lt;&gt;"",INDEX('×入力'!$A$1:$L$1300,1043+DK$3,1)&lt;&gt;""),1,0),0)</f>
        <v/>
      </c>
      <c r="DL47">
        <f>IF(DL$4=1,IF(OR(INDEX('×入力'!$A$1:$L$1300,1043+DL$3,2+DL$2)&lt;&gt;"",INDEX('×入力'!$A$1:$L$1300,1042,2+DL$2)&lt;&gt;"",INDEX('×入力'!$A$1:$L$1300,1043+DL$3,1)&lt;&gt;""),1,0),0)</f>
        <v/>
      </c>
      <c r="DM47">
        <f>IF(DM$4=1,IF(OR(INDEX('×入力'!$A$1:$L$1300,1043+DM$3,2+DM$2)&lt;&gt;"",INDEX('×入力'!$A$1:$L$1300,1042,2+DM$2)&lt;&gt;"",INDEX('×入力'!$A$1:$L$1300,1043+DM$3,1)&lt;&gt;""),1,0),0)</f>
        <v/>
      </c>
      <c r="DN47">
        <f>IF(DN$4=1,IF(OR(INDEX('×入力'!$A$1:$L$1300,1043+DN$3,2+DN$2)&lt;&gt;"",INDEX('×入力'!$A$1:$L$1300,1042,2+DN$2)&lt;&gt;"",INDEX('×入力'!$A$1:$L$1300,1043+DN$3,1)&lt;&gt;""),1,0),0)</f>
        <v/>
      </c>
      <c r="DO47">
        <f>IF(DO$4=1,IF(OR(INDEX('×入力'!$A$1:$L$1300,1043+DO$3,2+DO$2)&lt;&gt;"",INDEX('×入力'!$A$1:$L$1300,1042,2+DO$2)&lt;&gt;"",INDEX('×入力'!$A$1:$L$1300,1043+DO$3,1)&lt;&gt;""),1,0),0)</f>
        <v/>
      </c>
      <c r="DP47">
        <f>IF(DP$4=1,IF(OR(INDEX('×入力'!$A$1:$L$1300,1043+DP$3,2+DP$2)&lt;&gt;"",INDEX('×入力'!$A$1:$L$1300,1042,2+DP$2)&lt;&gt;"",INDEX('×入力'!$A$1:$L$1300,1043+DP$3,1)&lt;&gt;""),1,0),0)</f>
        <v/>
      </c>
      <c r="DQ47">
        <f>IF(DQ$4=1,IF(OR(INDEX('×入力'!$A$1:$L$1300,1043+DQ$3,2+DQ$2)&lt;&gt;"",INDEX('×入力'!$A$1:$L$1300,1042,2+DQ$2)&lt;&gt;"",INDEX('×入力'!$A$1:$L$1300,1043+DQ$3,1)&lt;&gt;""),1,0),0)</f>
        <v/>
      </c>
      <c r="DR47">
        <f>IF(DR$4=1,IF(OR(INDEX('×入力'!$A$1:$L$1300,1043+DR$3,2+DR$2)&lt;&gt;"",INDEX('×入力'!$A$1:$L$1300,1042,2+DR$2)&lt;&gt;"",INDEX('×入力'!$A$1:$L$1300,1043+DR$3,1)&lt;&gt;""),1,0),0)</f>
        <v/>
      </c>
      <c r="DS47">
        <f>IF(DS$4=1,IF(OR(INDEX('×入力'!$A$1:$L$1300,1043+DS$3,2+DS$2)&lt;&gt;"",INDEX('×入力'!$A$1:$L$1300,1042,2+DS$2)&lt;&gt;"",INDEX('×入力'!$A$1:$L$1300,1043+DS$3,1)&lt;&gt;""),1,0),0)</f>
        <v/>
      </c>
      <c r="DT47">
        <f>IF(DT$4=1,IF(OR(INDEX('×入力'!$A$1:$L$1300,1043+DT$3,2+DT$2)&lt;&gt;"",INDEX('×入力'!$A$1:$L$1300,1042,2+DT$2)&lt;&gt;"",INDEX('×入力'!$A$1:$L$1300,1043+DT$3,1)&lt;&gt;""),1,0),0)</f>
        <v/>
      </c>
      <c r="DU47">
        <f>IF(DU$4=1,IF(OR(INDEX('×入力'!$A$1:$L$1300,1043+DU$3,2+DU$2)&lt;&gt;"",INDEX('×入力'!$A$1:$L$1300,1042,2+DU$2)&lt;&gt;"",INDEX('×入力'!$A$1:$L$1300,1043+DU$3,1)&lt;&gt;""),1,0),0)</f>
        <v/>
      </c>
      <c r="DV47">
        <f>IF(DV$4=1,IF(OR(INDEX('×入力'!$A$1:$L$1300,1043+DV$3,2+DV$2)&lt;&gt;"",INDEX('×入力'!$A$1:$L$1300,1042,2+DV$2)&lt;&gt;"",INDEX('×入力'!$A$1:$L$1300,1043+DV$3,1)&lt;&gt;""),1,0),0)</f>
        <v/>
      </c>
      <c r="DW47">
        <f>IF(DW$4=1,IF(OR(INDEX('×入力'!$A$1:$L$1300,1043+DW$3,2+DW$2)&lt;&gt;"",INDEX('×入力'!$A$1:$L$1300,1042,2+DW$2)&lt;&gt;"",INDEX('×入力'!$A$1:$L$1300,1043+DW$3,1)&lt;&gt;""),1,0),0)</f>
        <v/>
      </c>
      <c r="DX47">
        <f>IF(DX$4=1,IF(OR(INDEX('×入力'!$A$1:$L$1300,1043+DX$3,2+DX$2)&lt;&gt;"",INDEX('×入力'!$A$1:$L$1300,1042,2+DX$2)&lt;&gt;"",INDEX('×入力'!$A$1:$L$1300,1043+DX$3,1)&lt;&gt;""),1,0),0)</f>
        <v/>
      </c>
      <c r="DY47">
        <f>IF(DY$4=1,IF(OR(INDEX('×入力'!$A$1:$L$1300,1043+DY$3,2+DY$2)&lt;&gt;"",INDEX('×入力'!$A$1:$L$1300,1042,2+DY$2)&lt;&gt;"",INDEX('×入力'!$A$1:$L$1300,1043+DY$3,1)&lt;&gt;""),1,0),0)</f>
        <v/>
      </c>
      <c r="DZ47">
        <f>IF(DZ$4=1,IF(OR(INDEX('×入力'!$A$1:$L$1300,1043+DZ$3,2+DZ$2)&lt;&gt;"",INDEX('×入力'!$A$1:$L$1300,1042,2+DZ$2)&lt;&gt;"",INDEX('×入力'!$A$1:$L$1300,1043+DZ$3,1)&lt;&gt;""),1,0),0)</f>
        <v/>
      </c>
      <c r="EA47">
        <f>IF(EA$4=1,IF(OR(INDEX('×入力'!$A$1:$L$1300,1043+EA$3,2+EA$2)&lt;&gt;"",INDEX('×入力'!$A$1:$L$1300,1042,2+EA$2)&lt;&gt;"",INDEX('×入力'!$A$1:$L$1300,1043+EA$3,1)&lt;&gt;""),1,0),0)</f>
        <v/>
      </c>
      <c r="EB47">
        <f>IF(EB$4=1,IF(OR(INDEX('×入力'!$A$1:$L$1300,1043+EB$3,2+EB$2)&lt;&gt;"",INDEX('×入力'!$A$1:$L$1300,1042,2+EB$2)&lt;&gt;"",INDEX('×入力'!$A$1:$L$1300,1043+EB$3,1)&lt;&gt;""),1,0),0)</f>
        <v/>
      </c>
      <c r="EC47">
        <f>IF(EC$4=1,IF(OR(INDEX('×入力'!$A$1:$L$1300,1043+EC$3,2+EC$2)&lt;&gt;"",INDEX('×入力'!$A$1:$L$1300,1042,2+EC$2)&lt;&gt;"",INDEX('×入力'!$A$1:$L$1300,1043+EC$3,1)&lt;&gt;""),1,0),0)</f>
        <v/>
      </c>
      <c r="ED47">
        <f>IF(ED$4=1,IF(OR(INDEX('×入力'!$A$1:$L$1300,1043+ED$3,2+ED$2)&lt;&gt;"",INDEX('×入力'!$A$1:$L$1300,1042,2+ED$2)&lt;&gt;"",INDEX('×入力'!$A$1:$L$1300,1043+ED$3,1)&lt;&gt;""),1,0),0)</f>
        <v/>
      </c>
      <c r="EE47">
        <f>IF(EE$4=1,IF(OR(INDEX('×入力'!$A$1:$L$1300,1043+EE$3,2+EE$2)&lt;&gt;"",INDEX('×入力'!$A$1:$L$1300,1042,2+EE$2)&lt;&gt;"",INDEX('×入力'!$A$1:$L$1300,1043+EE$3,1)&lt;&gt;""),1,0),0)</f>
        <v/>
      </c>
      <c r="EF47">
        <f>IF(EF$4=1,IF(OR(INDEX('×入力'!$A$1:$L$1300,1043+EF$3,2+EF$2)&lt;&gt;"",INDEX('×入力'!$A$1:$L$1300,1042,2+EF$2)&lt;&gt;"",INDEX('×入力'!$A$1:$L$1300,1043+EF$3,1)&lt;&gt;""),1,0),0)</f>
        <v/>
      </c>
      <c r="EG47">
        <f>IF(EG$4=1,IF(OR(INDEX('×入力'!$A$1:$L$1300,1043+EG$3,2+EG$2)&lt;&gt;"",INDEX('×入力'!$A$1:$L$1300,1042,2+EG$2)&lt;&gt;"",INDEX('×入力'!$A$1:$L$1300,1043+EG$3,1)&lt;&gt;""),1,0),0)</f>
        <v/>
      </c>
      <c r="EH47">
        <f>IF(EH$4=1,IF(OR(INDEX('×入力'!$A$1:$L$1300,1043+EH$3,2+EH$2)&lt;&gt;"",INDEX('×入力'!$A$1:$L$1300,1042,2+EH$2)&lt;&gt;"",INDEX('×入力'!$A$1:$L$1300,1043+EH$3,1)&lt;&gt;""),1,0),0)</f>
        <v/>
      </c>
      <c r="EI47">
        <f>IF(EI$4=1,IF(OR(INDEX('×入力'!$A$1:$L$1300,1043+EI$3,2+EI$2)&lt;&gt;"",INDEX('×入力'!$A$1:$L$1300,1042,2+EI$2)&lt;&gt;"",INDEX('×入力'!$A$1:$L$1300,1043+EI$3,1)&lt;&gt;""),1,0),0)</f>
        <v/>
      </c>
      <c r="EJ47">
        <f>IF(EJ$4=1,IF(OR(INDEX('×入力'!$A$1:$L$1300,1043+EJ$3,2+EJ$2)&lt;&gt;"",INDEX('×入力'!$A$1:$L$1300,1042,2+EJ$2)&lt;&gt;"",INDEX('×入力'!$A$1:$L$1300,1043+EJ$3,1)&lt;&gt;""),1,0),0)</f>
        <v/>
      </c>
      <c r="EK47">
        <f>IF(EK$4=1,IF(OR(INDEX('×入力'!$A$1:$L$1300,1043+EK$3,2+EK$2)&lt;&gt;"",INDEX('×入力'!$A$1:$L$1300,1042,2+EK$2)&lt;&gt;"",INDEX('×入力'!$A$1:$L$1300,1043+EK$3,1)&lt;&gt;""),1,0),0)</f>
        <v/>
      </c>
      <c r="EL47">
        <f>IF(EL$4=1,IF(OR(INDEX('×入力'!$A$1:$L$1300,1043+EL$3,2+EL$2)&lt;&gt;"",INDEX('×入力'!$A$1:$L$1300,1042,2+EL$2)&lt;&gt;"",INDEX('×入力'!$A$1:$L$1300,1043+EL$3,1)&lt;&gt;""),1,0),0)</f>
        <v/>
      </c>
      <c r="EM47">
        <f>IF(EM$4=1,IF(OR(INDEX('×入力'!$A$1:$L$1300,1043+EM$3,2+EM$2)&lt;&gt;"",INDEX('×入力'!$A$1:$L$1300,1042,2+EM$2)&lt;&gt;"",INDEX('×入力'!$A$1:$L$1300,1043+EM$3,1)&lt;&gt;""),1,0),0)</f>
        <v/>
      </c>
      <c r="EN47">
        <f>IF(EN$4=1,IF(OR(INDEX('×入力'!$A$1:$L$1300,1043+EN$3,2+EN$2)&lt;&gt;"",INDEX('×入力'!$A$1:$L$1300,1042,2+EN$2)&lt;&gt;"",INDEX('×入力'!$A$1:$L$1300,1043+EN$3,1)&lt;&gt;""),1,0),0)</f>
        <v/>
      </c>
      <c r="EO47">
        <f>IF(EO$4=1,IF(OR(INDEX('×入力'!$A$1:$L$1300,1043+EO$3,2+EO$2)&lt;&gt;"",INDEX('×入力'!$A$1:$L$1300,1042,2+EO$2)&lt;&gt;"",INDEX('×入力'!$A$1:$L$1300,1043+EO$3,1)&lt;&gt;""),1,0),0)</f>
        <v/>
      </c>
      <c r="EP47">
        <f>IF(EP$4=1,IF(OR(INDEX('×入力'!$A$1:$L$1300,1043+EP$3,2+EP$2)&lt;&gt;"",INDEX('×入力'!$A$1:$L$1300,1042,2+EP$2)&lt;&gt;"",INDEX('×入力'!$A$1:$L$1300,1043+EP$3,1)&lt;&gt;""),1,0),0)</f>
        <v/>
      </c>
      <c r="EQ47">
        <f>IF(EQ$4=1,IF(OR(INDEX('×入力'!$A$1:$L$1300,1043+EQ$3,2+EQ$2)&lt;&gt;"",INDEX('×入力'!$A$1:$L$1300,1042,2+EQ$2)&lt;&gt;"",INDEX('×入力'!$A$1:$L$1300,1043+EQ$3,1)&lt;&gt;""),1,0),0)</f>
        <v/>
      </c>
      <c r="HA47">
        <f>MAX(0,IT47)</f>
        <v/>
      </c>
      <c r="HB47">
        <f>IF(HA47=0,0,INDEX($D$2:$EQ$2,HA47))</f>
        <v/>
      </c>
      <c r="HC47">
        <f>IF(HA47=0,0,INDEX($D$3:$EQ$3,HA47))</f>
        <v/>
      </c>
      <c r="HD47">
        <f>MAX(0,IY47)</f>
        <v/>
      </c>
      <c r="HE47">
        <f>IF(HD47=0,0,INDEX($D$2:$EQ$2,HD47))</f>
        <v/>
      </c>
      <c r="HF47">
        <f>IF(HD47=0,0,INDEX($D$3:$EQ$3,HD47))</f>
        <v/>
      </c>
      <c r="HG47">
        <f>MAX(0,IZ47)</f>
        <v/>
      </c>
      <c r="HH47">
        <f>IF(HG47=0,0,INDEX($D$2:$EQ$2,HG47))</f>
        <v/>
      </c>
      <c r="HI47">
        <f>IF(HG47=0,0,INDEX($D$3:$EQ$3,HG47))</f>
        <v/>
      </c>
      <c r="HJ47">
        <f>IF(AND(HA47&gt;0,HC47&gt;1,OR(HC47-1&lt;&gt;$A$3,$A$4=0)),HA47-1,-1)</f>
        <v/>
      </c>
      <c r="HK47">
        <f>IF(AND(HA47&gt;0,HC47&lt;24,OR(HC47&lt;&gt;$A$3,$A$4=0)),HA47+1,-1)</f>
        <v/>
      </c>
      <c r="HL47">
        <f>IF(AND(HD47&gt;0,HF47&gt;1,OR(HF47-1&lt;&gt;$A$3,$A$4=0)),HD47-1,-1)</f>
        <v/>
      </c>
      <c r="HM47">
        <f>IF(AND(HD47&gt;0,HF47&lt;24,OR(HF47&lt;&gt;$A$3,$A$4=0)),HD47+1,-1)</f>
        <v/>
      </c>
      <c r="HN47">
        <f>IF(AND(HG47&gt;0,HI47&gt;1,OR(HI47-1&lt;&gt;$A$3,$A$4=0)),HG47-1,-1)</f>
        <v/>
      </c>
      <c r="HO47">
        <f>IF(AND(HG47&gt;0,HI47&lt;24,OR(HI47&lt;&gt;$A$3,$A$4=0)),HG47+1,-1)</f>
        <v/>
      </c>
      <c r="IK47">
        <f>IFERROR(INDEX('calcB'!$C$3:$C$47,MATCH(A47,'calcB'!$B$3:$B$47,0)),0)</f>
        <v/>
      </c>
      <c r="IL47">
        <f>IF(AND(C47=1,IK47=0,calcA!$A$6=1),1,0)</f>
        <v/>
      </c>
      <c r="IM47">
        <f>SUMPRODUCT(D97:EQ97*(1-$D$7:$EQ$7))</f>
        <v/>
      </c>
      <c r="IN47">
        <f>SUM(D47:EQ47)</f>
        <v/>
      </c>
      <c r="IO47">
        <f>IF(B47="",0,IF(COUNTIF('調整・決定'!$C$6:$H$29,B47)=1,SUMPRODUCT(('調整・決定'!$C$6:$H$29=B47)*((COLUMN('調整・決定'!$C$6:$H$29)-3)*24+ROW('調整・決定'!$C$6:$H$29)-5)),0))</f>
        <v/>
      </c>
      <c r="IP47">
        <f>IFERROR(MATCH('名簿'!C42,{"早い時刻","遅い時刻","早い日","遅い日"},0),0)</f>
        <v/>
      </c>
      <c r="IQ47">
        <f>IF('名簿'!D42="必ず空けたい",2,IF('名簿'!D42="出来れば空けたい",1,0))</f>
        <v/>
      </c>
      <c r="IR47">
        <f>IFERROR(INDEX('calcC'!$C$3:$C$47,MATCH(A47,'calcC'!$B$3:$B$47,0)),0)</f>
        <v/>
      </c>
      <c r="IS47">
        <f>IF(AND(C47=1,IR47=0,calcA!$A$6=1),1,0)</f>
        <v/>
      </c>
      <c r="IT47">
        <f>IF(OR('名簿'!G42="",'名簿'!H42=""),0,IFERROR((MATCH('名簿'!G42,'設定'!$E$11:$E$16,0)-1)*24+MATCH('名簿'!H42,'設定'!$I$11:$I$34,0),-1))</f>
        <v/>
      </c>
      <c r="IV47">
        <f>IF(OR(JF47=0,IO47=0),1,IF(OR(IF(IT47&gt;0,AND(INDEX($D$2:$EQ$2,IO47)=INDEX($D$2:$EQ$2,IT47),OR(AND(IO47=IT47+1,OR(INDEX($D$3:$EQ$3,IT47)&lt;&gt;$A$3,$A$4=0)),AND(IO47=IT47-1,OR(INDEX($D$3:$EQ$3,IO47)&lt;&gt;$A$3,$A$4=0)))),FALSE),IF(IY47&gt;0,AND(INDEX($D$2:$EQ$2,IO47)=INDEX($D$2:$EQ$2,IY47),OR(AND(IO47=IY47+1,OR(INDEX($D$3:$EQ$3,IY47)&lt;&gt;$A$3,$A$4=0)),AND(IO47=IY47-1,OR(INDEX($D$3:$EQ$3,IO47)&lt;&gt;$A$3,$A$4=0)))),FALSE),IF(IZ47&gt;0,AND(INDEX($D$2:$EQ$2,IO47)=INDEX($D$2:$EQ$2,IZ47),OR(AND(IO47=IZ47+1,OR(INDEX($D$3:$EQ$3,IZ47)&lt;&gt;$A$3,$A$4=0)),AND(IO47=IZ47-1,OR(INDEX($D$3:$EQ$3,IO47)&lt;&gt;$A$3,$A$4=0)))),FALSE)),1,0))</f>
        <v/>
      </c>
      <c r="IW47">
        <f>IF(AND('名簿'!E42&lt;&gt;"",JF47=0),1,0)</f>
        <v/>
      </c>
      <c r="IX47">
        <f>IF('名簿'!D42="空けない",1,0)</f>
        <v/>
      </c>
      <c r="IY47">
        <f>IF(OR('名簿'!J42="",'名簿'!K42=""),0,IFERROR((MATCH('名簿'!J42,'設定'!$E$11:$E$16,0)-1)*24+MATCH('名簿'!K42,'設定'!$I$11:$I$34,0),-1))</f>
        <v/>
      </c>
      <c r="IZ47">
        <f>IF(OR('名簿'!M42="",'名簿'!N42=""),0,IFERROR((MATCH('名簿'!M42,'設定'!$E$11:$E$16,0)-1)*24+MATCH('名簿'!N42,'設定'!$I$11:$I$34,0),-1))</f>
        <v/>
      </c>
      <c r="JC47">
        <f>IF(RIGHT('名簿'!I42,2)="の前",1,IF(RIGHT('名簿'!I42,2)="の後",2,0))</f>
        <v/>
      </c>
      <c r="JD47">
        <f>IF(RIGHT('名簿'!L42,2)="の前",1,IF(RIGHT('名簿'!L42,2)="の後",2,0))</f>
        <v/>
      </c>
      <c r="JE47">
        <f>IF(RIGHT('名簿'!O42,2)="の前",1,IF(RIGHT('名簿'!O42,2)="の後",2,0))</f>
        <v/>
      </c>
      <c r="JF47">
        <f>IF(OR(IT47&gt;0,IY47&gt;0,IZ47&gt;0),1,0)</f>
        <v/>
      </c>
      <c r="JG47">
        <f>IF(OR(IT47&lt;0,IY47&lt;0,IZ47&lt;0),1,0)</f>
        <v/>
      </c>
    </row>
    <row r="48">
      <c r="A48" t="n">
        <v>39</v>
      </c>
      <c r="B48">
        <f>'名簿'!P43</f>
        <v/>
      </c>
      <c r="C48">
        <f>IF(AND(B48&lt;&gt;"",OR('名簿'!Q43="入力済み",'名簿'!Q43="×なし"),IO48=0,COUNTIF('調整・決定'!$C$6:$H$29,B48)=0),1,0)</f>
        <v/>
      </c>
      <c r="D48">
        <f>IF(D$4=1,IF(OR(INDEX('×入力'!$A$1:$L$1300,1071+D$3,2+D$2)&lt;&gt;"",INDEX('×入力'!$A$1:$L$1300,1070,2+D$2)&lt;&gt;"",INDEX('×入力'!$A$1:$L$1300,1071+D$3,1)&lt;&gt;""),1,0),0)</f>
        <v/>
      </c>
      <c r="E48">
        <f>IF(E$4=1,IF(OR(INDEX('×入力'!$A$1:$L$1300,1071+E$3,2+E$2)&lt;&gt;"",INDEX('×入力'!$A$1:$L$1300,1070,2+E$2)&lt;&gt;"",INDEX('×入力'!$A$1:$L$1300,1071+E$3,1)&lt;&gt;""),1,0),0)</f>
        <v/>
      </c>
      <c r="F48">
        <f>IF(F$4=1,IF(OR(INDEX('×入力'!$A$1:$L$1300,1071+F$3,2+F$2)&lt;&gt;"",INDEX('×入力'!$A$1:$L$1300,1070,2+F$2)&lt;&gt;"",INDEX('×入力'!$A$1:$L$1300,1071+F$3,1)&lt;&gt;""),1,0),0)</f>
        <v/>
      </c>
      <c r="G48">
        <f>IF(G$4=1,IF(OR(INDEX('×入力'!$A$1:$L$1300,1071+G$3,2+G$2)&lt;&gt;"",INDEX('×入力'!$A$1:$L$1300,1070,2+G$2)&lt;&gt;"",INDEX('×入力'!$A$1:$L$1300,1071+G$3,1)&lt;&gt;""),1,0),0)</f>
        <v/>
      </c>
      <c r="H48">
        <f>IF(H$4=1,IF(OR(INDEX('×入力'!$A$1:$L$1300,1071+H$3,2+H$2)&lt;&gt;"",INDEX('×入力'!$A$1:$L$1300,1070,2+H$2)&lt;&gt;"",INDEX('×入力'!$A$1:$L$1300,1071+H$3,1)&lt;&gt;""),1,0),0)</f>
        <v/>
      </c>
      <c r="I48">
        <f>IF(I$4=1,IF(OR(INDEX('×入力'!$A$1:$L$1300,1071+I$3,2+I$2)&lt;&gt;"",INDEX('×入力'!$A$1:$L$1300,1070,2+I$2)&lt;&gt;"",INDEX('×入力'!$A$1:$L$1300,1071+I$3,1)&lt;&gt;""),1,0),0)</f>
        <v/>
      </c>
      <c r="J48">
        <f>IF(J$4=1,IF(OR(INDEX('×入力'!$A$1:$L$1300,1071+J$3,2+J$2)&lt;&gt;"",INDEX('×入力'!$A$1:$L$1300,1070,2+J$2)&lt;&gt;"",INDEX('×入力'!$A$1:$L$1300,1071+J$3,1)&lt;&gt;""),1,0),0)</f>
        <v/>
      </c>
      <c r="K48">
        <f>IF(K$4=1,IF(OR(INDEX('×入力'!$A$1:$L$1300,1071+K$3,2+K$2)&lt;&gt;"",INDEX('×入力'!$A$1:$L$1300,1070,2+K$2)&lt;&gt;"",INDEX('×入力'!$A$1:$L$1300,1071+K$3,1)&lt;&gt;""),1,0),0)</f>
        <v/>
      </c>
      <c r="L48">
        <f>IF(L$4=1,IF(OR(INDEX('×入力'!$A$1:$L$1300,1071+L$3,2+L$2)&lt;&gt;"",INDEX('×入力'!$A$1:$L$1300,1070,2+L$2)&lt;&gt;"",INDEX('×入力'!$A$1:$L$1300,1071+L$3,1)&lt;&gt;""),1,0),0)</f>
        <v/>
      </c>
      <c r="M48">
        <f>IF(M$4=1,IF(OR(INDEX('×入力'!$A$1:$L$1300,1071+M$3,2+M$2)&lt;&gt;"",INDEX('×入力'!$A$1:$L$1300,1070,2+M$2)&lt;&gt;"",INDEX('×入力'!$A$1:$L$1300,1071+M$3,1)&lt;&gt;""),1,0),0)</f>
        <v/>
      </c>
      <c r="N48">
        <f>IF(N$4=1,IF(OR(INDEX('×入力'!$A$1:$L$1300,1071+N$3,2+N$2)&lt;&gt;"",INDEX('×入力'!$A$1:$L$1300,1070,2+N$2)&lt;&gt;"",INDEX('×入力'!$A$1:$L$1300,1071+N$3,1)&lt;&gt;""),1,0),0)</f>
        <v/>
      </c>
      <c r="O48">
        <f>IF(O$4=1,IF(OR(INDEX('×入力'!$A$1:$L$1300,1071+O$3,2+O$2)&lt;&gt;"",INDEX('×入力'!$A$1:$L$1300,1070,2+O$2)&lt;&gt;"",INDEX('×入力'!$A$1:$L$1300,1071+O$3,1)&lt;&gt;""),1,0),0)</f>
        <v/>
      </c>
      <c r="P48">
        <f>IF(P$4=1,IF(OR(INDEX('×入力'!$A$1:$L$1300,1071+P$3,2+P$2)&lt;&gt;"",INDEX('×入力'!$A$1:$L$1300,1070,2+P$2)&lt;&gt;"",INDEX('×入力'!$A$1:$L$1300,1071+P$3,1)&lt;&gt;""),1,0),0)</f>
        <v/>
      </c>
      <c r="Q48">
        <f>IF(Q$4=1,IF(OR(INDEX('×入力'!$A$1:$L$1300,1071+Q$3,2+Q$2)&lt;&gt;"",INDEX('×入力'!$A$1:$L$1300,1070,2+Q$2)&lt;&gt;"",INDEX('×入力'!$A$1:$L$1300,1071+Q$3,1)&lt;&gt;""),1,0),0)</f>
        <v/>
      </c>
      <c r="R48">
        <f>IF(R$4=1,IF(OR(INDEX('×入力'!$A$1:$L$1300,1071+R$3,2+R$2)&lt;&gt;"",INDEX('×入力'!$A$1:$L$1300,1070,2+R$2)&lt;&gt;"",INDEX('×入力'!$A$1:$L$1300,1071+R$3,1)&lt;&gt;""),1,0),0)</f>
        <v/>
      </c>
      <c r="S48">
        <f>IF(S$4=1,IF(OR(INDEX('×入力'!$A$1:$L$1300,1071+S$3,2+S$2)&lt;&gt;"",INDEX('×入力'!$A$1:$L$1300,1070,2+S$2)&lt;&gt;"",INDEX('×入力'!$A$1:$L$1300,1071+S$3,1)&lt;&gt;""),1,0),0)</f>
        <v/>
      </c>
      <c r="T48">
        <f>IF(T$4=1,IF(OR(INDEX('×入力'!$A$1:$L$1300,1071+T$3,2+T$2)&lt;&gt;"",INDEX('×入力'!$A$1:$L$1300,1070,2+T$2)&lt;&gt;"",INDEX('×入力'!$A$1:$L$1300,1071+T$3,1)&lt;&gt;""),1,0),0)</f>
        <v/>
      </c>
      <c r="U48">
        <f>IF(U$4=1,IF(OR(INDEX('×入力'!$A$1:$L$1300,1071+U$3,2+U$2)&lt;&gt;"",INDEX('×入力'!$A$1:$L$1300,1070,2+U$2)&lt;&gt;"",INDEX('×入力'!$A$1:$L$1300,1071+U$3,1)&lt;&gt;""),1,0),0)</f>
        <v/>
      </c>
      <c r="V48">
        <f>IF(V$4=1,IF(OR(INDEX('×入力'!$A$1:$L$1300,1071+V$3,2+V$2)&lt;&gt;"",INDEX('×入力'!$A$1:$L$1300,1070,2+V$2)&lt;&gt;"",INDEX('×入力'!$A$1:$L$1300,1071+V$3,1)&lt;&gt;""),1,0),0)</f>
        <v/>
      </c>
      <c r="W48">
        <f>IF(W$4=1,IF(OR(INDEX('×入力'!$A$1:$L$1300,1071+W$3,2+W$2)&lt;&gt;"",INDEX('×入力'!$A$1:$L$1300,1070,2+W$2)&lt;&gt;"",INDEX('×入力'!$A$1:$L$1300,1071+W$3,1)&lt;&gt;""),1,0),0)</f>
        <v/>
      </c>
      <c r="X48">
        <f>IF(X$4=1,IF(OR(INDEX('×入力'!$A$1:$L$1300,1071+X$3,2+X$2)&lt;&gt;"",INDEX('×入力'!$A$1:$L$1300,1070,2+X$2)&lt;&gt;"",INDEX('×入力'!$A$1:$L$1300,1071+X$3,1)&lt;&gt;""),1,0),0)</f>
        <v/>
      </c>
      <c r="Y48">
        <f>IF(Y$4=1,IF(OR(INDEX('×入力'!$A$1:$L$1300,1071+Y$3,2+Y$2)&lt;&gt;"",INDEX('×入力'!$A$1:$L$1300,1070,2+Y$2)&lt;&gt;"",INDEX('×入力'!$A$1:$L$1300,1071+Y$3,1)&lt;&gt;""),1,0),0)</f>
        <v/>
      </c>
      <c r="Z48">
        <f>IF(Z$4=1,IF(OR(INDEX('×入力'!$A$1:$L$1300,1071+Z$3,2+Z$2)&lt;&gt;"",INDEX('×入力'!$A$1:$L$1300,1070,2+Z$2)&lt;&gt;"",INDEX('×入力'!$A$1:$L$1300,1071+Z$3,1)&lt;&gt;""),1,0),0)</f>
        <v/>
      </c>
      <c r="AA48">
        <f>IF(AA$4=1,IF(OR(INDEX('×入力'!$A$1:$L$1300,1071+AA$3,2+AA$2)&lt;&gt;"",INDEX('×入力'!$A$1:$L$1300,1070,2+AA$2)&lt;&gt;"",INDEX('×入力'!$A$1:$L$1300,1071+AA$3,1)&lt;&gt;""),1,0),0)</f>
        <v/>
      </c>
      <c r="AB48">
        <f>IF(AB$4=1,IF(OR(INDEX('×入力'!$A$1:$L$1300,1071+AB$3,2+AB$2)&lt;&gt;"",INDEX('×入力'!$A$1:$L$1300,1070,2+AB$2)&lt;&gt;"",INDEX('×入力'!$A$1:$L$1300,1071+AB$3,1)&lt;&gt;""),1,0),0)</f>
        <v/>
      </c>
      <c r="AC48">
        <f>IF(AC$4=1,IF(OR(INDEX('×入力'!$A$1:$L$1300,1071+AC$3,2+AC$2)&lt;&gt;"",INDEX('×入力'!$A$1:$L$1300,1070,2+AC$2)&lt;&gt;"",INDEX('×入力'!$A$1:$L$1300,1071+AC$3,1)&lt;&gt;""),1,0),0)</f>
        <v/>
      </c>
      <c r="AD48">
        <f>IF(AD$4=1,IF(OR(INDEX('×入力'!$A$1:$L$1300,1071+AD$3,2+AD$2)&lt;&gt;"",INDEX('×入力'!$A$1:$L$1300,1070,2+AD$2)&lt;&gt;"",INDEX('×入力'!$A$1:$L$1300,1071+AD$3,1)&lt;&gt;""),1,0),0)</f>
        <v/>
      </c>
      <c r="AE48">
        <f>IF(AE$4=1,IF(OR(INDEX('×入力'!$A$1:$L$1300,1071+AE$3,2+AE$2)&lt;&gt;"",INDEX('×入力'!$A$1:$L$1300,1070,2+AE$2)&lt;&gt;"",INDEX('×入力'!$A$1:$L$1300,1071+AE$3,1)&lt;&gt;""),1,0),0)</f>
        <v/>
      </c>
      <c r="AF48">
        <f>IF(AF$4=1,IF(OR(INDEX('×入力'!$A$1:$L$1300,1071+AF$3,2+AF$2)&lt;&gt;"",INDEX('×入力'!$A$1:$L$1300,1070,2+AF$2)&lt;&gt;"",INDEX('×入力'!$A$1:$L$1300,1071+AF$3,1)&lt;&gt;""),1,0),0)</f>
        <v/>
      </c>
      <c r="AG48">
        <f>IF(AG$4=1,IF(OR(INDEX('×入力'!$A$1:$L$1300,1071+AG$3,2+AG$2)&lt;&gt;"",INDEX('×入力'!$A$1:$L$1300,1070,2+AG$2)&lt;&gt;"",INDEX('×入力'!$A$1:$L$1300,1071+AG$3,1)&lt;&gt;""),1,0),0)</f>
        <v/>
      </c>
      <c r="AH48">
        <f>IF(AH$4=1,IF(OR(INDEX('×入力'!$A$1:$L$1300,1071+AH$3,2+AH$2)&lt;&gt;"",INDEX('×入力'!$A$1:$L$1300,1070,2+AH$2)&lt;&gt;"",INDEX('×入力'!$A$1:$L$1300,1071+AH$3,1)&lt;&gt;""),1,0),0)</f>
        <v/>
      </c>
      <c r="AI48">
        <f>IF(AI$4=1,IF(OR(INDEX('×入力'!$A$1:$L$1300,1071+AI$3,2+AI$2)&lt;&gt;"",INDEX('×入力'!$A$1:$L$1300,1070,2+AI$2)&lt;&gt;"",INDEX('×入力'!$A$1:$L$1300,1071+AI$3,1)&lt;&gt;""),1,0),0)</f>
        <v/>
      </c>
      <c r="AJ48">
        <f>IF(AJ$4=1,IF(OR(INDEX('×入力'!$A$1:$L$1300,1071+AJ$3,2+AJ$2)&lt;&gt;"",INDEX('×入力'!$A$1:$L$1300,1070,2+AJ$2)&lt;&gt;"",INDEX('×入力'!$A$1:$L$1300,1071+AJ$3,1)&lt;&gt;""),1,0),0)</f>
        <v/>
      </c>
      <c r="AK48">
        <f>IF(AK$4=1,IF(OR(INDEX('×入力'!$A$1:$L$1300,1071+AK$3,2+AK$2)&lt;&gt;"",INDEX('×入力'!$A$1:$L$1300,1070,2+AK$2)&lt;&gt;"",INDEX('×入力'!$A$1:$L$1300,1071+AK$3,1)&lt;&gt;""),1,0),0)</f>
        <v/>
      </c>
      <c r="AL48">
        <f>IF(AL$4=1,IF(OR(INDEX('×入力'!$A$1:$L$1300,1071+AL$3,2+AL$2)&lt;&gt;"",INDEX('×入力'!$A$1:$L$1300,1070,2+AL$2)&lt;&gt;"",INDEX('×入力'!$A$1:$L$1300,1071+AL$3,1)&lt;&gt;""),1,0),0)</f>
        <v/>
      </c>
      <c r="AM48">
        <f>IF(AM$4=1,IF(OR(INDEX('×入力'!$A$1:$L$1300,1071+AM$3,2+AM$2)&lt;&gt;"",INDEX('×入力'!$A$1:$L$1300,1070,2+AM$2)&lt;&gt;"",INDEX('×入力'!$A$1:$L$1300,1071+AM$3,1)&lt;&gt;""),1,0),0)</f>
        <v/>
      </c>
      <c r="AN48">
        <f>IF(AN$4=1,IF(OR(INDEX('×入力'!$A$1:$L$1300,1071+AN$3,2+AN$2)&lt;&gt;"",INDEX('×入力'!$A$1:$L$1300,1070,2+AN$2)&lt;&gt;"",INDEX('×入力'!$A$1:$L$1300,1071+AN$3,1)&lt;&gt;""),1,0),0)</f>
        <v/>
      </c>
      <c r="AO48">
        <f>IF(AO$4=1,IF(OR(INDEX('×入力'!$A$1:$L$1300,1071+AO$3,2+AO$2)&lt;&gt;"",INDEX('×入力'!$A$1:$L$1300,1070,2+AO$2)&lt;&gt;"",INDEX('×入力'!$A$1:$L$1300,1071+AO$3,1)&lt;&gt;""),1,0),0)</f>
        <v/>
      </c>
      <c r="AP48">
        <f>IF(AP$4=1,IF(OR(INDEX('×入力'!$A$1:$L$1300,1071+AP$3,2+AP$2)&lt;&gt;"",INDEX('×入力'!$A$1:$L$1300,1070,2+AP$2)&lt;&gt;"",INDEX('×入力'!$A$1:$L$1300,1071+AP$3,1)&lt;&gt;""),1,0),0)</f>
        <v/>
      </c>
      <c r="AQ48">
        <f>IF(AQ$4=1,IF(OR(INDEX('×入力'!$A$1:$L$1300,1071+AQ$3,2+AQ$2)&lt;&gt;"",INDEX('×入力'!$A$1:$L$1300,1070,2+AQ$2)&lt;&gt;"",INDEX('×入力'!$A$1:$L$1300,1071+AQ$3,1)&lt;&gt;""),1,0),0)</f>
        <v/>
      </c>
      <c r="AR48">
        <f>IF(AR$4=1,IF(OR(INDEX('×入力'!$A$1:$L$1300,1071+AR$3,2+AR$2)&lt;&gt;"",INDEX('×入力'!$A$1:$L$1300,1070,2+AR$2)&lt;&gt;"",INDEX('×入力'!$A$1:$L$1300,1071+AR$3,1)&lt;&gt;""),1,0),0)</f>
        <v/>
      </c>
      <c r="AS48">
        <f>IF(AS$4=1,IF(OR(INDEX('×入力'!$A$1:$L$1300,1071+AS$3,2+AS$2)&lt;&gt;"",INDEX('×入力'!$A$1:$L$1300,1070,2+AS$2)&lt;&gt;"",INDEX('×入力'!$A$1:$L$1300,1071+AS$3,1)&lt;&gt;""),1,0),0)</f>
        <v/>
      </c>
      <c r="AT48">
        <f>IF(AT$4=1,IF(OR(INDEX('×入力'!$A$1:$L$1300,1071+AT$3,2+AT$2)&lt;&gt;"",INDEX('×入力'!$A$1:$L$1300,1070,2+AT$2)&lt;&gt;"",INDEX('×入力'!$A$1:$L$1300,1071+AT$3,1)&lt;&gt;""),1,0),0)</f>
        <v/>
      </c>
      <c r="AU48">
        <f>IF(AU$4=1,IF(OR(INDEX('×入力'!$A$1:$L$1300,1071+AU$3,2+AU$2)&lt;&gt;"",INDEX('×入力'!$A$1:$L$1300,1070,2+AU$2)&lt;&gt;"",INDEX('×入力'!$A$1:$L$1300,1071+AU$3,1)&lt;&gt;""),1,0),0)</f>
        <v/>
      </c>
      <c r="AV48">
        <f>IF(AV$4=1,IF(OR(INDEX('×入力'!$A$1:$L$1300,1071+AV$3,2+AV$2)&lt;&gt;"",INDEX('×入力'!$A$1:$L$1300,1070,2+AV$2)&lt;&gt;"",INDEX('×入力'!$A$1:$L$1300,1071+AV$3,1)&lt;&gt;""),1,0),0)</f>
        <v/>
      </c>
      <c r="AW48">
        <f>IF(AW$4=1,IF(OR(INDEX('×入力'!$A$1:$L$1300,1071+AW$3,2+AW$2)&lt;&gt;"",INDEX('×入力'!$A$1:$L$1300,1070,2+AW$2)&lt;&gt;"",INDEX('×入力'!$A$1:$L$1300,1071+AW$3,1)&lt;&gt;""),1,0),0)</f>
        <v/>
      </c>
      <c r="AX48">
        <f>IF(AX$4=1,IF(OR(INDEX('×入力'!$A$1:$L$1300,1071+AX$3,2+AX$2)&lt;&gt;"",INDEX('×入力'!$A$1:$L$1300,1070,2+AX$2)&lt;&gt;"",INDEX('×入力'!$A$1:$L$1300,1071+AX$3,1)&lt;&gt;""),1,0),0)</f>
        <v/>
      </c>
      <c r="AY48">
        <f>IF(AY$4=1,IF(OR(INDEX('×入力'!$A$1:$L$1300,1071+AY$3,2+AY$2)&lt;&gt;"",INDEX('×入力'!$A$1:$L$1300,1070,2+AY$2)&lt;&gt;"",INDEX('×入力'!$A$1:$L$1300,1071+AY$3,1)&lt;&gt;""),1,0),0)</f>
        <v/>
      </c>
      <c r="AZ48">
        <f>IF(AZ$4=1,IF(OR(INDEX('×入力'!$A$1:$L$1300,1071+AZ$3,2+AZ$2)&lt;&gt;"",INDEX('×入力'!$A$1:$L$1300,1070,2+AZ$2)&lt;&gt;"",INDEX('×入力'!$A$1:$L$1300,1071+AZ$3,1)&lt;&gt;""),1,0),0)</f>
        <v/>
      </c>
      <c r="BA48">
        <f>IF(BA$4=1,IF(OR(INDEX('×入力'!$A$1:$L$1300,1071+BA$3,2+BA$2)&lt;&gt;"",INDEX('×入力'!$A$1:$L$1300,1070,2+BA$2)&lt;&gt;"",INDEX('×入力'!$A$1:$L$1300,1071+BA$3,1)&lt;&gt;""),1,0),0)</f>
        <v/>
      </c>
      <c r="BB48">
        <f>IF(BB$4=1,IF(OR(INDEX('×入力'!$A$1:$L$1300,1071+BB$3,2+BB$2)&lt;&gt;"",INDEX('×入力'!$A$1:$L$1300,1070,2+BB$2)&lt;&gt;"",INDEX('×入力'!$A$1:$L$1300,1071+BB$3,1)&lt;&gt;""),1,0),0)</f>
        <v/>
      </c>
      <c r="BC48">
        <f>IF(BC$4=1,IF(OR(INDEX('×入力'!$A$1:$L$1300,1071+BC$3,2+BC$2)&lt;&gt;"",INDEX('×入力'!$A$1:$L$1300,1070,2+BC$2)&lt;&gt;"",INDEX('×入力'!$A$1:$L$1300,1071+BC$3,1)&lt;&gt;""),1,0),0)</f>
        <v/>
      </c>
      <c r="BD48">
        <f>IF(BD$4=1,IF(OR(INDEX('×入力'!$A$1:$L$1300,1071+BD$3,2+BD$2)&lt;&gt;"",INDEX('×入力'!$A$1:$L$1300,1070,2+BD$2)&lt;&gt;"",INDEX('×入力'!$A$1:$L$1300,1071+BD$3,1)&lt;&gt;""),1,0),0)</f>
        <v/>
      </c>
      <c r="BE48">
        <f>IF(BE$4=1,IF(OR(INDEX('×入力'!$A$1:$L$1300,1071+BE$3,2+BE$2)&lt;&gt;"",INDEX('×入力'!$A$1:$L$1300,1070,2+BE$2)&lt;&gt;"",INDEX('×入力'!$A$1:$L$1300,1071+BE$3,1)&lt;&gt;""),1,0),0)</f>
        <v/>
      </c>
      <c r="BF48">
        <f>IF(BF$4=1,IF(OR(INDEX('×入力'!$A$1:$L$1300,1071+BF$3,2+BF$2)&lt;&gt;"",INDEX('×入力'!$A$1:$L$1300,1070,2+BF$2)&lt;&gt;"",INDEX('×入力'!$A$1:$L$1300,1071+BF$3,1)&lt;&gt;""),1,0),0)</f>
        <v/>
      </c>
      <c r="BG48">
        <f>IF(BG$4=1,IF(OR(INDEX('×入力'!$A$1:$L$1300,1071+BG$3,2+BG$2)&lt;&gt;"",INDEX('×入力'!$A$1:$L$1300,1070,2+BG$2)&lt;&gt;"",INDEX('×入力'!$A$1:$L$1300,1071+BG$3,1)&lt;&gt;""),1,0),0)</f>
        <v/>
      </c>
      <c r="BH48">
        <f>IF(BH$4=1,IF(OR(INDEX('×入力'!$A$1:$L$1300,1071+BH$3,2+BH$2)&lt;&gt;"",INDEX('×入力'!$A$1:$L$1300,1070,2+BH$2)&lt;&gt;"",INDEX('×入力'!$A$1:$L$1300,1071+BH$3,1)&lt;&gt;""),1,0),0)</f>
        <v/>
      </c>
      <c r="BI48">
        <f>IF(BI$4=1,IF(OR(INDEX('×入力'!$A$1:$L$1300,1071+BI$3,2+BI$2)&lt;&gt;"",INDEX('×入力'!$A$1:$L$1300,1070,2+BI$2)&lt;&gt;"",INDEX('×入力'!$A$1:$L$1300,1071+BI$3,1)&lt;&gt;""),1,0),0)</f>
        <v/>
      </c>
      <c r="BJ48">
        <f>IF(BJ$4=1,IF(OR(INDEX('×入力'!$A$1:$L$1300,1071+BJ$3,2+BJ$2)&lt;&gt;"",INDEX('×入力'!$A$1:$L$1300,1070,2+BJ$2)&lt;&gt;"",INDEX('×入力'!$A$1:$L$1300,1071+BJ$3,1)&lt;&gt;""),1,0),0)</f>
        <v/>
      </c>
      <c r="BK48">
        <f>IF(BK$4=1,IF(OR(INDEX('×入力'!$A$1:$L$1300,1071+BK$3,2+BK$2)&lt;&gt;"",INDEX('×入力'!$A$1:$L$1300,1070,2+BK$2)&lt;&gt;"",INDEX('×入力'!$A$1:$L$1300,1071+BK$3,1)&lt;&gt;""),1,0),0)</f>
        <v/>
      </c>
      <c r="BL48">
        <f>IF(BL$4=1,IF(OR(INDEX('×入力'!$A$1:$L$1300,1071+BL$3,2+BL$2)&lt;&gt;"",INDEX('×入力'!$A$1:$L$1300,1070,2+BL$2)&lt;&gt;"",INDEX('×入力'!$A$1:$L$1300,1071+BL$3,1)&lt;&gt;""),1,0),0)</f>
        <v/>
      </c>
      <c r="BM48">
        <f>IF(BM$4=1,IF(OR(INDEX('×入力'!$A$1:$L$1300,1071+BM$3,2+BM$2)&lt;&gt;"",INDEX('×入力'!$A$1:$L$1300,1070,2+BM$2)&lt;&gt;"",INDEX('×入力'!$A$1:$L$1300,1071+BM$3,1)&lt;&gt;""),1,0),0)</f>
        <v/>
      </c>
      <c r="BN48">
        <f>IF(BN$4=1,IF(OR(INDEX('×入力'!$A$1:$L$1300,1071+BN$3,2+BN$2)&lt;&gt;"",INDEX('×入力'!$A$1:$L$1300,1070,2+BN$2)&lt;&gt;"",INDEX('×入力'!$A$1:$L$1300,1071+BN$3,1)&lt;&gt;""),1,0),0)</f>
        <v/>
      </c>
      <c r="BO48">
        <f>IF(BO$4=1,IF(OR(INDEX('×入力'!$A$1:$L$1300,1071+BO$3,2+BO$2)&lt;&gt;"",INDEX('×入力'!$A$1:$L$1300,1070,2+BO$2)&lt;&gt;"",INDEX('×入力'!$A$1:$L$1300,1071+BO$3,1)&lt;&gt;""),1,0),0)</f>
        <v/>
      </c>
      <c r="BP48">
        <f>IF(BP$4=1,IF(OR(INDEX('×入力'!$A$1:$L$1300,1071+BP$3,2+BP$2)&lt;&gt;"",INDEX('×入力'!$A$1:$L$1300,1070,2+BP$2)&lt;&gt;"",INDEX('×入力'!$A$1:$L$1300,1071+BP$3,1)&lt;&gt;""),1,0),0)</f>
        <v/>
      </c>
      <c r="BQ48">
        <f>IF(BQ$4=1,IF(OR(INDEX('×入力'!$A$1:$L$1300,1071+BQ$3,2+BQ$2)&lt;&gt;"",INDEX('×入力'!$A$1:$L$1300,1070,2+BQ$2)&lt;&gt;"",INDEX('×入力'!$A$1:$L$1300,1071+BQ$3,1)&lt;&gt;""),1,0),0)</f>
        <v/>
      </c>
      <c r="BR48">
        <f>IF(BR$4=1,IF(OR(INDEX('×入力'!$A$1:$L$1300,1071+BR$3,2+BR$2)&lt;&gt;"",INDEX('×入力'!$A$1:$L$1300,1070,2+BR$2)&lt;&gt;"",INDEX('×入力'!$A$1:$L$1300,1071+BR$3,1)&lt;&gt;""),1,0),0)</f>
        <v/>
      </c>
      <c r="BS48">
        <f>IF(BS$4=1,IF(OR(INDEX('×入力'!$A$1:$L$1300,1071+BS$3,2+BS$2)&lt;&gt;"",INDEX('×入力'!$A$1:$L$1300,1070,2+BS$2)&lt;&gt;"",INDEX('×入力'!$A$1:$L$1300,1071+BS$3,1)&lt;&gt;""),1,0),0)</f>
        <v/>
      </c>
      <c r="BT48">
        <f>IF(BT$4=1,IF(OR(INDEX('×入力'!$A$1:$L$1300,1071+BT$3,2+BT$2)&lt;&gt;"",INDEX('×入力'!$A$1:$L$1300,1070,2+BT$2)&lt;&gt;"",INDEX('×入力'!$A$1:$L$1300,1071+BT$3,1)&lt;&gt;""),1,0),0)</f>
        <v/>
      </c>
      <c r="BU48">
        <f>IF(BU$4=1,IF(OR(INDEX('×入力'!$A$1:$L$1300,1071+BU$3,2+BU$2)&lt;&gt;"",INDEX('×入力'!$A$1:$L$1300,1070,2+BU$2)&lt;&gt;"",INDEX('×入力'!$A$1:$L$1300,1071+BU$3,1)&lt;&gt;""),1,0),0)</f>
        <v/>
      </c>
      <c r="BV48">
        <f>IF(BV$4=1,IF(OR(INDEX('×入力'!$A$1:$L$1300,1071+BV$3,2+BV$2)&lt;&gt;"",INDEX('×入力'!$A$1:$L$1300,1070,2+BV$2)&lt;&gt;"",INDEX('×入力'!$A$1:$L$1300,1071+BV$3,1)&lt;&gt;""),1,0),0)</f>
        <v/>
      </c>
      <c r="BW48">
        <f>IF(BW$4=1,IF(OR(INDEX('×入力'!$A$1:$L$1300,1071+BW$3,2+BW$2)&lt;&gt;"",INDEX('×入力'!$A$1:$L$1300,1070,2+BW$2)&lt;&gt;"",INDEX('×入力'!$A$1:$L$1300,1071+BW$3,1)&lt;&gt;""),1,0),0)</f>
        <v/>
      </c>
      <c r="BX48">
        <f>IF(BX$4=1,IF(OR(INDEX('×入力'!$A$1:$L$1300,1071+BX$3,2+BX$2)&lt;&gt;"",INDEX('×入力'!$A$1:$L$1300,1070,2+BX$2)&lt;&gt;"",INDEX('×入力'!$A$1:$L$1300,1071+BX$3,1)&lt;&gt;""),1,0),0)</f>
        <v/>
      </c>
      <c r="BY48">
        <f>IF(BY$4=1,IF(OR(INDEX('×入力'!$A$1:$L$1300,1071+BY$3,2+BY$2)&lt;&gt;"",INDEX('×入力'!$A$1:$L$1300,1070,2+BY$2)&lt;&gt;"",INDEX('×入力'!$A$1:$L$1300,1071+BY$3,1)&lt;&gt;""),1,0),0)</f>
        <v/>
      </c>
      <c r="BZ48">
        <f>IF(BZ$4=1,IF(OR(INDEX('×入力'!$A$1:$L$1300,1071+BZ$3,2+BZ$2)&lt;&gt;"",INDEX('×入力'!$A$1:$L$1300,1070,2+BZ$2)&lt;&gt;"",INDEX('×入力'!$A$1:$L$1300,1071+BZ$3,1)&lt;&gt;""),1,0),0)</f>
        <v/>
      </c>
      <c r="CA48">
        <f>IF(CA$4=1,IF(OR(INDEX('×入力'!$A$1:$L$1300,1071+CA$3,2+CA$2)&lt;&gt;"",INDEX('×入力'!$A$1:$L$1300,1070,2+CA$2)&lt;&gt;"",INDEX('×入力'!$A$1:$L$1300,1071+CA$3,1)&lt;&gt;""),1,0),0)</f>
        <v/>
      </c>
      <c r="CB48">
        <f>IF(CB$4=1,IF(OR(INDEX('×入力'!$A$1:$L$1300,1071+CB$3,2+CB$2)&lt;&gt;"",INDEX('×入力'!$A$1:$L$1300,1070,2+CB$2)&lt;&gt;"",INDEX('×入力'!$A$1:$L$1300,1071+CB$3,1)&lt;&gt;""),1,0),0)</f>
        <v/>
      </c>
      <c r="CC48">
        <f>IF(CC$4=1,IF(OR(INDEX('×入力'!$A$1:$L$1300,1071+CC$3,2+CC$2)&lt;&gt;"",INDEX('×入力'!$A$1:$L$1300,1070,2+CC$2)&lt;&gt;"",INDEX('×入力'!$A$1:$L$1300,1071+CC$3,1)&lt;&gt;""),1,0),0)</f>
        <v/>
      </c>
      <c r="CD48">
        <f>IF(CD$4=1,IF(OR(INDEX('×入力'!$A$1:$L$1300,1071+CD$3,2+CD$2)&lt;&gt;"",INDEX('×入力'!$A$1:$L$1300,1070,2+CD$2)&lt;&gt;"",INDEX('×入力'!$A$1:$L$1300,1071+CD$3,1)&lt;&gt;""),1,0),0)</f>
        <v/>
      </c>
      <c r="CE48">
        <f>IF(CE$4=1,IF(OR(INDEX('×入力'!$A$1:$L$1300,1071+CE$3,2+CE$2)&lt;&gt;"",INDEX('×入力'!$A$1:$L$1300,1070,2+CE$2)&lt;&gt;"",INDEX('×入力'!$A$1:$L$1300,1071+CE$3,1)&lt;&gt;""),1,0),0)</f>
        <v/>
      </c>
      <c r="CF48">
        <f>IF(CF$4=1,IF(OR(INDEX('×入力'!$A$1:$L$1300,1071+CF$3,2+CF$2)&lt;&gt;"",INDEX('×入力'!$A$1:$L$1300,1070,2+CF$2)&lt;&gt;"",INDEX('×入力'!$A$1:$L$1300,1071+CF$3,1)&lt;&gt;""),1,0),0)</f>
        <v/>
      </c>
      <c r="CG48">
        <f>IF(CG$4=1,IF(OR(INDEX('×入力'!$A$1:$L$1300,1071+CG$3,2+CG$2)&lt;&gt;"",INDEX('×入力'!$A$1:$L$1300,1070,2+CG$2)&lt;&gt;"",INDEX('×入力'!$A$1:$L$1300,1071+CG$3,1)&lt;&gt;""),1,0),0)</f>
        <v/>
      </c>
      <c r="CH48">
        <f>IF(CH$4=1,IF(OR(INDEX('×入力'!$A$1:$L$1300,1071+CH$3,2+CH$2)&lt;&gt;"",INDEX('×入力'!$A$1:$L$1300,1070,2+CH$2)&lt;&gt;"",INDEX('×入力'!$A$1:$L$1300,1071+CH$3,1)&lt;&gt;""),1,0),0)</f>
        <v/>
      </c>
      <c r="CI48">
        <f>IF(CI$4=1,IF(OR(INDEX('×入力'!$A$1:$L$1300,1071+CI$3,2+CI$2)&lt;&gt;"",INDEX('×入力'!$A$1:$L$1300,1070,2+CI$2)&lt;&gt;"",INDEX('×入力'!$A$1:$L$1300,1071+CI$3,1)&lt;&gt;""),1,0),0)</f>
        <v/>
      </c>
      <c r="CJ48">
        <f>IF(CJ$4=1,IF(OR(INDEX('×入力'!$A$1:$L$1300,1071+CJ$3,2+CJ$2)&lt;&gt;"",INDEX('×入力'!$A$1:$L$1300,1070,2+CJ$2)&lt;&gt;"",INDEX('×入力'!$A$1:$L$1300,1071+CJ$3,1)&lt;&gt;""),1,0),0)</f>
        <v/>
      </c>
      <c r="CK48">
        <f>IF(CK$4=1,IF(OR(INDEX('×入力'!$A$1:$L$1300,1071+CK$3,2+CK$2)&lt;&gt;"",INDEX('×入力'!$A$1:$L$1300,1070,2+CK$2)&lt;&gt;"",INDEX('×入力'!$A$1:$L$1300,1071+CK$3,1)&lt;&gt;""),1,0),0)</f>
        <v/>
      </c>
      <c r="CL48">
        <f>IF(CL$4=1,IF(OR(INDEX('×入力'!$A$1:$L$1300,1071+CL$3,2+CL$2)&lt;&gt;"",INDEX('×入力'!$A$1:$L$1300,1070,2+CL$2)&lt;&gt;"",INDEX('×入力'!$A$1:$L$1300,1071+CL$3,1)&lt;&gt;""),1,0),0)</f>
        <v/>
      </c>
      <c r="CM48">
        <f>IF(CM$4=1,IF(OR(INDEX('×入力'!$A$1:$L$1300,1071+CM$3,2+CM$2)&lt;&gt;"",INDEX('×入力'!$A$1:$L$1300,1070,2+CM$2)&lt;&gt;"",INDEX('×入力'!$A$1:$L$1300,1071+CM$3,1)&lt;&gt;""),1,0),0)</f>
        <v/>
      </c>
      <c r="CN48">
        <f>IF(CN$4=1,IF(OR(INDEX('×入力'!$A$1:$L$1300,1071+CN$3,2+CN$2)&lt;&gt;"",INDEX('×入力'!$A$1:$L$1300,1070,2+CN$2)&lt;&gt;"",INDEX('×入力'!$A$1:$L$1300,1071+CN$3,1)&lt;&gt;""),1,0),0)</f>
        <v/>
      </c>
      <c r="CO48">
        <f>IF(CO$4=1,IF(OR(INDEX('×入力'!$A$1:$L$1300,1071+CO$3,2+CO$2)&lt;&gt;"",INDEX('×入力'!$A$1:$L$1300,1070,2+CO$2)&lt;&gt;"",INDEX('×入力'!$A$1:$L$1300,1071+CO$3,1)&lt;&gt;""),1,0),0)</f>
        <v/>
      </c>
      <c r="CP48">
        <f>IF(CP$4=1,IF(OR(INDEX('×入力'!$A$1:$L$1300,1071+CP$3,2+CP$2)&lt;&gt;"",INDEX('×入力'!$A$1:$L$1300,1070,2+CP$2)&lt;&gt;"",INDEX('×入力'!$A$1:$L$1300,1071+CP$3,1)&lt;&gt;""),1,0),0)</f>
        <v/>
      </c>
      <c r="CQ48">
        <f>IF(CQ$4=1,IF(OR(INDEX('×入力'!$A$1:$L$1300,1071+CQ$3,2+CQ$2)&lt;&gt;"",INDEX('×入力'!$A$1:$L$1300,1070,2+CQ$2)&lt;&gt;"",INDEX('×入力'!$A$1:$L$1300,1071+CQ$3,1)&lt;&gt;""),1,0),0)</f>
        <v/>
      </c>
      <c r="CR48">
        <f>IF(CR$4=1,IF(OR(INDEX('×入力'!$A$1:$L$1300,1071+CR$3,2+CR$2)&lt;&gt;"",INDEX('×入力'!$A$1:$L$1300,1070,2+CR$2)&lt;&gt;"",INDEX('×入力'!$A$1:$L$1300,1071+CR$3,1)&lt;&gt;""),1,0),0)</f>
        <v/>
      </c>
      <c r="CS48">
        <f>IF(CS$4=1,IF(OR(INDEX('×入力'!$A$1:$L$1300,1071+CS$3,2+CS$2)&lt;&gt;"",INDEX('×入力'!$A$1:$L$1300,1070,2+CS$2)&lt;&gt;"",INDEX('×入力'!$A$1:$L$1300,1071+CS$3,1)&lt;&gt;""),1,0),0)</f>
        <v/>
      </c>
      <c r="CT48">
        <f>IF(CT$4=1,IF(OR(INDEX('×入力'!$A$1:$L$1300,1071+CT$3,2+CT$2)&lt;&gt;"",INDEX('×入力'!$A$1:$L$1300,1070,2+CT$2)&lt;&gt;"",INDEX('×入力'!$A$1:$L$1300,1071+CT$3,1)&lt;&gt;""),1,0),0)</f>
        <v/>
      </c>
      <c r="CU48">
        <f>IF(CU$4=1,IF(OR(INDEX('×入力'!$A$1:$L$1300,1071+CU$3,2+CU$2)&lt;&gt;"",INDEX('×入力'!$A$1:$L$1300,1070,2+CU$2)&lt;&gt;"",INDEX('×入力'!$A$1:$L$1300,1071+CU$3,1)&lt;&gt;""),1,0),0)</f>
        <v/>
      </c>
      <c r="CV48">
        <f>IF(CV$4=1,IF(OR(INDEX('×入力'!$A$1:$L$1300,1071+CV$3,2+CV$2)&lt;&gt;"",INDEX('×入力'!$A$1:$L$1300,1070,2+CV$2)&lt;&gt;"",INDEX('×入力'!$A$1:$L$1300,1071+CV$3,1)&lt;&gt;""),1,0),0)</f>
        <v/>
      </c>
      <c r="CW48">
        <f>IF(CW$4=1,IF(OR(INDEX('×入力'!$A$1:$L$1300,1071+CW$3,2+CW$2)&lt;&gt;"",INDEX('×入力'!$A$1:$L$1300,1070,2+CW$2)&lt;&gt;"",INDEX('×入力'!$A$1:$L$1300,1071+CW$3,1)&lt;&gt;""),1,0),0)</f>
        <v/>
      </c>
      <c r="CX48">
        <f>IF(CX$4=1,IF(OR(INDEX('×入力'!$A$1:$L$1300,1071+CX$3,2+CX$2)&lt;&gt;"",INDEX('×入力'!$A$1:$L$1300,1070,2+CX$2)&lt;&gt;"",INDEX('×入力'!$A$1:$L$1300,1071+CX$3,1)&lt;&gt;""),1,0),0)</f>
        <v/>
      </c>
      <c r="CY48">
        <f>IF(CY$4=1,IF(OR(INDEX('×入力'!$A$1:$L$1300,1071+CY$3,2+CY$2)&lt;&gt;"",INDEX('×入力'!$A$1:$L$1300,1070,2+CY$2)&lt;&gt;"",INDEX('×入力'!$A$1:$L$1300,1071+CY$3,1)&lt;&gt;""),1,0),0)</f>
        <v/>
      </c>
      <c r="CZ48">
        <f>IF(CZ$4=1,IF(OR(INDEX('×入力'!$A$1:$L$1300,1071+CZ$3,2+CZ$2)&lt;&gt;"",INDEX('×入力'!$A$1:$L$1300,1070,2+CZ$2)&lt;&gt;"",INDEX('×入力'!$A$1:$L$1300,1071+CZ$3,1)&lt;&gt;""),1,0),0)</f>
        <v/>
      </c>
      <c r="DA48">
        <f>IF(DA$4=1,IF(OR(INDEX('×入力'!$A$1:$L$1300,1071+DA$3,2+DA$2)&lt;&gt;"",INDEX('×入力'!$A$1:$L$1300,1070,2+DA$2)&lt;&gt;"",INDEX('×入力'!$A$1:$L$1300,1071+DA$3,1)&lt;&gt;""),1,0),0)</f>
        <v/>
      </c>
      <c r="DB48">
        <f>IF(DB$4=1,IF(OR(INDEX('×入力'!$A$1:$L$1300,1071+DB$3,2+DB$2)&lt;&gt;"",INDEX('×入力'!$A$1:$L$1300,1070,2+DB$2)&lt;&gt;"",INDEX('×入力'!$A$1:$L$1300,1071+DB$3,1)&lt;&gt;""),1,0),0)</f>
        <v/>
      </c>
      <c r="DC48">
        <f>IF(DC$4=1,IF(OR(INDEX('×入力'!$A$1:$L$1300,1071+DC$3,2+DC$2)&lt;&gt;"",INDEX('×入力'!$A$1:$L$1300,1070,2+DC$2)&lt;&gt;"",INDEX('×入力'!$A$1:$L$1300,1071+DC$3,1)&lt;&gt;""),1,0),0)</f>
        <v/>
      </c>
      <c r="DD48">
        <f>IF(DD$4=1,IF(OR(INDEX('×入力'!$A$1:$L$1300,1071+DD$3,2+DD$2)&lt;&gt;"",INDEX('×入力'!$A$1:$L$1300,1070,2+DD$2)&lt;&gt;"",INDEX('×入力'!$A$1:$L$1300,1071+DD$3,1)&lt;&gt;""),1,0),0)</f>
        <v/>
      </c>
      <c r="DE48">
        <f>IF(DE$4=1,IF(OR(INDEX('×入力'!$A$1:$L$1300,1071+DE$3,2+DE$2)&lt;&gt;"",INDEX('×入力'!$A$1:$L$1300,1070,2+DE$2)&lt;&gt;"",INDEX('×入力'!$A$1:$L$1300,1071+DE$3,1)&lt;&gt;""),1,0),0)</f>
        <v/>
      </c>
      <c r="DF48">
        <f>IF(DF$4=1,IF(OR(INDEX('×入力'!$A$1:$L$1300,1071+DF$3,2+DF$2)&lt;&gt;"",INDEX('×入力'!$A$1:$L$1300,1070,2+DF$2)&lt;&gt;"",INDEX('×入力'!$A$1:$L$1300,1071+DF$3,1)&lt;&gt;""),1,0),0)</f>
        <v/>
      </c>
      <c r="DG48">
        <f>IF(DG$4=1,IF(OR(INDEX('×入力'!$A$1:$L$1300,1071+DG$3,2+DG$2)&lt;&gt;"",INDEX('×入力'!$A$1:$L$1300,1070,2+DG$2)&lt;&gt;"",INDEX('×入力'!$A$1:$L$1300,1071+DG$3,1)&lt;&gt;""),1,0),0)</f>
        <v/>
      </c>
      <c r="DH48">
        <f>IF(DH$4=1,IF(OR(INDEX('×入力'!$A$1:$L$1300,1071+DH$3,2+DH$2)&lt;&gt;"",INDEX('×入力'!$A$1:$L$1300,1070,2+DH$2)&lt;&gt;"",INDEX('×入力'!$A$1:$L$1300,1071+DH$3,1)&lt;&gt;""),1,0),0)</f>
        <v/>
      </c>
      <c r="DI48">
        <f>IF(DI$4=1,IF(OR(INDEX('×入力'!$A$1:$L$1300,1071+DI$3,2+DI$2)&lt;&gt;"",INDEX('×入力'!$A$1:$L$1300,1070,2+DI$2)&lt;&gt;"",INDEX('×入力'!$A$1:$L$1300,1071+DI$3,1)&lt;&gt;""),1,0),0)</f>
        <v/>
      </c>
      <c r="DJ48">
        <f>IF(DJ$4=1,IF(OR(INDEX('×入力'!$A$1:$L$1300,1071+DJ$3,2+DJ$2)&lt;&gt;"",INDEX('×入力'!$A$1:$L$1300,1070,2+DJ$2)&lt;&gt;"",INDEX('×入力'!$A$1:$L$1300,1071+DJ$3,1)&lt;&gt;""),1,0),0)</f>
        <v/>
      </c>
      <c r="DK48">
        <f>IF(DK$4=1,IF(OR(INDEX('×入力'!$A$1:$L$1300,1071+DK$3,2+DK$2)&lt;&gt;"",INDEX('×入力'!$A$1:$L$1300,1070,2+DK$2)&lt;&gt;"",INDEX('×入力'!$A$1:$L$1300,1071+DK$3,1)&lt;&gt;""),1,0),0)</f>
        <v/>
      </c>
      <c r="DL48">
        <f>IF(DL$4=1,IF(OR(INDEX('×入力'!$A$1:$L$1300,1071+DL$3,2+DL$2)&lt;&gt;"",INDEX('×入力'!$A$1:$L$1300,1070,2+DL$2)&lt;&gt;"",INDEX('×入力'!$A$1:$L$1300,1071+DL$3,1)&lt;&gt;""),1,0),0)</f>
        <v/>
      </c>
      <c r="DM48">
        <f>IF(DM$4=1,IF(OR(INDEX('×入力'!$A$1:$L$1300,1071+DM$3,2+DM$2)&lt;&gt;"",INDEX('×入力'!$A$1:$L$1300,1070,2+DM$2)&lt;&gt;"",INDEX('×入力'!$A$1:$L$1300,1071+DM$3,1)&lt;&gt;""),1,0),0)</f>
        <v/>
      </c>
      <c r="DN48">
        <f>IF(DN$4=1,IF(OR(INDEX('×入力'!$A$1:$L$1300,1071+DN$3,2+DN$2)&lt;&gt;"",INDEX('×入力'!$A$1:$L$1300,1070,2+DN$2)&lt;&gt;"",INDEX('×入力'!$A$1:$L$1300,1071+DN$3,1)&lt;&gt;""),1,0),0)</f>
        <v/>
      </c>
      <c r="DO48">
        <f>IF(DO$4=1,IF(OR(INDEX('×入力'!$A$1:$L$1300,1071+DO$3,2+DO$2)&lt;&gt;"",INDEX('×入力'!$A$1:$L$1300,1070,2+DO$2)&lt;&gt;"",INDEX('×入力'!$A$1:$L$1300,1071+DO$3,1)&lt;&gt;""),1,0),0)</f>
        <v/>
      </c>
      <c r="DP48">
        <f>IF(DP$4=1,IF(OR(INDEX('×入力'!$A$1:$L$1300,1071+DP$3,2+DP$2)&lt;&gt;"",INDEX('×入力'!$A$1:$L$1300,1070,2+DP$2)&lt;&gt;"",INDEX('×入力'!$A$1:$L$1300,1071+DP$3,1)&lt;&gt;""),1,0),0)</f>
        <v/>
      </c>
      <c r="DQ48">
        <f>IF(DQ$4=1,IF(OR(INDEX('×入力'!$A$1:$L$1300,1071+DQ$3,2+DQ$2)&lt;&gt;"",INDEX('×入力'!$A$1:$L$1300,1070,2+DQ$2)&lt;&gt;"",INDEX('×入力'!$A$1:$L$1300,1071+DQ$3,1)&lt;&gt;""),1,0),0)</f>
        <v/>
      </c>
      <c r="DR48">
        <f>IF(DR$4=1,IF(OR(INDEX('×入力'!$A$1:$L$1300,1071+DR$3,2+DR$2)&lt;&gt;"",INDEX('×入力'!$A$1:$L$1300,1070,2+DR$2)&lt;&gt;"",INDEX('×入力'!$A$1:$L$1300,1071+DR$3,1)&lt;&gt;""),1,0),0)</f>
        <v/>
      </c>
      <c r="DS48">
        <f>IF(DS$4=1,IF(OR(INDEX('×入力'!$A$1:$L$1300,1071+DS$3,2+DS$2)&lt;&gt;"",INDEX('×入力'!$A$1:$L$1300,1070,2+DS$2)&lt;&gt;"",INDEX('×入力'!$A$1:$L$1300,1071+DS$3,1)&lt;&gt;""),1,0),0)</f>
        <v/>
      </c>
      <c r="DT48">
        <f>IF(DT$4=1,IF(OR(INDEX('×入力'!$A$1:$L$1300,1071+DT$3,2+DT$2)&lt;&gt;"",INDEX('×入力'!$A$1:$L$1300,1070,2+DT$2)&lt;&gt;"",INDEX('×入力'!$A$1:$L$1300,1071+DT$3,1)&lt;&gt;""),1,0),0)</f>
        <v/>
      </c>
      <c r="DU48">
        <f>IF(DU$4=1,IF(OR(INDEX('×入力'!$A$1:$L$1300,1071+DU$3,2+DU$2)&lt;&gt;"",INDEX('×入力'!$A$1:$L$1300,1070,2+DU$2)&lt;&gt;"",INDEX('×入力'!$A$1:$L$1300,1071+DU$3,1)&lt;&gt;""),1,0),0)</f>
        <v/>
      </c>
      <c r="DV48">
        <f>IF(DV$4=1,IF(OR(INDEX('×入力'!$A$1:$L$1300,1071+DV$3,2+DV$2)&lt;&gt;"",INDEX('×入力'!$A$1:$L$1300,1070,2+DV$2)&lt;&gt;"",INDEX('×入力'!$A$1:$L$1300,1071+DV$3,1)&lt;&gt;""),1,0),0)</f>
        <v/>
      </c>
      <c r="DW48">
        <f>IF(DW$4=1,IF(OR(INDEX('×入力'!$A$1:$L$1300,1071+DW$3,2+DW$2)&lt;&gt;"",INDEX('×入力'!$A$1:$L$1300,1070,2+DW$2)&lt;&gt;"",INDEX('×入力'!$A$1:$L$1300,1071+DW$3,1)&lt;&gt;""),1,0),0)</f>
        <v/>
      </c>
      <c r="DX48">
        <f>IF(DX$4=1,IF(OR(INDEX('×入力'!$A$1:$L$1300,1071+DX$3,2+DX$2)&lt;&gt;"",INDEX('×入力'!$A$1:$L$1300,1070,2+DX$2)&lt;&gt;"",INDEX('×入力'!$A$1:$L$1300,1071+DX$3,1)&lt;&gt;""),1,0),0)</f>
        <v/>
      </c>
      <c r="DY48">
        <f>IF(DY$4=1,IF(OR(INDEX('×入力'!$A$1:$L$1300,1071+DY$3,2+DY$2)&lt;&gt;"",INDEX('×入力'!$A$1:$L$1300,1070,2+DY$2)&lt;&gt;"",INDEX('×入力'!$A$1:$L$1300,1071+DY$3,1)&lt;&gt;""),1,0),0)</f>
        <v/>
      </c>
      <c r="DZ48">
        <f>IF(DZ$4=1,IF(OR(INDEX('×入力'!$A$1:$L$1300,1071+DZ$3,2+DZ$2)&lt;&gt;"",INDEX('×入力'!$A$1:$L$1300,1070,2+DZ$2)&lt;&gt;"",INDEX('×入力'!$A$1:$L$1300,1071+DZ$3,1)&lt;&gt;""),1,0),0)</f>
        <v/>
      </c>
      <c r="EA48">
        <f>IF(EA$4=1,IF(OR(INDEX('×入力'!$A$1:$L$1300,1071+EA$3,2+EA$2)&lt;&gt;"",INDEX('×入力'!$A$1:$L$1300,1070,2+EA$2)&lt;&gt;"",INDEX('×入力'!$A$1:$L$1300,1071+EA$3,1)&lt;&gt;""),1,0),0)</f>
        <v/>
      </c>
      <c r="EB48">
        <f>IF(EB$4=1,IF(OR(INDEX('×入力'!$A$1:$L$1300,1071+EB$3,2+EB$2)&lt;&gt;"",INDEX('×入力'!$A$1:$L$1300,1070,2+EB$2)&lt;&gt;"",INDEX('×入力'!$A$1:$L$1300,1071+EB$3,1)&lt;&gt;""),1,0),0)</f>
        <v/>
      </c>
      <c r="EC48">
        <f>IF(EC$4=1,IF(OR(INDEX('×入力'!$A$1:$L$1300,1071+EC$3,2+EC$2)&lt;&gt;"",INDEX('×入力'!$A$1:$L$1300,1070,2+EC$2)&lt;&gt;"",INDEX('×入力'!$A$1:$L$1300,1071+EC$3,1)&lt;&gt;""),1,0),0)</f>
        <v/>
      </c>
      <c r="ED48">
        <f>IF(ED$4=1,IF(OR(INDEX('×入力'!$A$1:$L$1300,1071+ED$3,2+ED$2)&lt;&gt;"",INDEX('×入力'!$A$1:$L$1300,1070,2+ED$2)&lt;&gt;"",INDEX('×入力'!$A$1:$L$1300,1071+ED$3,1)&lt;&gt;""),1,0),0)</f>
        <v/>
      </c>
      <c r="EE48">
        <f>IF(EE$4=1,IF(OR(INDEX('×入力'!$A$1:$L$1300,1071+EE$3,2+EE$2)&lt;&gt;"",INDEX('×入力'!$A$1:$L$1300,1070,2+EE$2)&lt;&gt;"",INDEX('×入力'!$A$1:$L$1300,1071+EE$3,1)&lt;&gt;""),1,0),0)</f>
        <v/>
      </c>
      <c r="EF48">
        <f>IF(EF$4=1,IF(OR(INDEX('×入力'!$A$1:$L$1300,1071+EF$3,2+EF$2)&lt;&gt;"",INDEX('×入力'!$A$1:$L$1300,1070,2+EF$2)&lt;&gt;"",INDEX('×入力'!$A$1:$L$1300,1071+EF$3,1)&lt;&gt;""),1,0),0)</f>
        <v/>
      </c>
      <c r="EG48">
        <f>IF(EG$4=1,IF(OR(INDEX('×入力'!$A$1:$L$1300,1071+EG$3,2+EG$2)&lt;&gt;"",INDEX('×入力'!$A$1:$L$1300,1070,2+EG$2)&lt;&gt;"",INDEX('×入力'!$A$1:$L$1300,1071+EG$3,1)&lt;&gt;""),1,0),0)</f>
        <v/>
      </c>
      <c r="EH48">
        <f>IF(EH$4=1,IF(OR(INDEX('×入力'!$A$1:$L$1300,1071+EH$3,2+EH$2)&lt;&gt;"",INDEX('×入力'!$A$1:$L$1300,1070,2+EH$2)&lt;&gt;"",INDEX('×入力'!$A$1:$L$1300,1071+EH$3,1)&lt;&gt;""),1,0),0)</f>
        <v/>
      </c>
      <c r="EI48">
        <f>IF(EI$4=1,IF(OR(INDEX('×入力'!$A$1:$L$1300,1071+EI$3,2+EI$2)&lt;&gt;"",INDEX('×入力'!$A$1:$L$1300,1070,2+EI$2)&lt;&gt;"",INDEX('×入力'!$A$1:$L$1300,1071+EI$3,1)&lt;&gt;""),1,0),0)</f>
        <v/>
      </c>
      <c r="EJ48">
        <f>IF(EJ$4=1,IF(OR(INDEX('×入力'!$A$1:$L$1300,1071+EJ$3,2+EJ$2)&lt;&gt;"",INDEX('×入力'!$A$1:$L$1300,1070,2+EJ$2)&lt;&gt;"",INDEX('×入力'!$A$1:$L$1300,1071+EJ$3,1)&lt;&gt;""),1,0),0)</f>
        <v/>
      </c>
      <c r="EK48">
        <f>IF(EK$4=1,IF(OR(INDEX('×入力'!$A$1:$L$1300,1071+EK$3,2+EK$2)&lt;&gt;"",INDEX('×入力'!$A$1:$L$1300,1070,2+EK$2)&lt;&gt;"",INDEX('×入力'!$A$1:$L$1300,1071+EK$3,1)&lt;&gt;""),1,0),0)</f>
        <v/>
      </c>
      <c r="EL48">
        <f>IF(EL$4=1,IF(OR(INDEX('×入力'!$A$1:$L$1300,1071+EL$3,2+EL$2)&lt;&gt;"",INDEX('×入力'!$A$1:$L$1300,1070,2+EL$2)&lt;&gt;"",INDEX('×入力'!$A$1:$L$1300,1071+EL$3,1)&lt;&gt;""),1,0),0)</f>
        <v/>
      </c>
      <c r="EM48">
        <f>IF(EM$4=1,IF(OR(INDEX('×入力'!$A$1:$L$1300,1071+EM$3,2+EM$2)&lt;&gt;"",INDEX('×入力'!$A$1:$L$1300,1070,2+EM$2)&lt;&gt;"",INDEX('×入力'!$A$1:$L$1300,1071+EM$3,1)&lt;&gt;""),1,0),0)</f>
        <v/>
      </c>
      <c r="EN48">
        <f>IF(EN$4=1,IF(OR(INDEX('×入力'!$A$1:$L$1300,1071+EN$3,2+EN$2)&lt;&gt;"",INDEX('×入力'!$A$1:$L$1300,1070,2+EN$2)&lt;&gt;"",INDEX('×入力'!$A$1:$L$1300,1071+EN$3,1)&lt;&gt;""),1,0),0)</f>
        <v/>
      </c>
      <c r="EO48">
        <f>IF(EO$4=1,IF(OR(INDEX('×入力'!$A$1:$L$1300,1071+EO$3,2+EO$2)&lt;&gt;"",INDEX('×入力'!$A$1:$L$1300,1070,2+EO$2)&lt;&gt;"",INDEX('×入力'!$A$1:$L$1300,1071+EO$3,1)&lt;&gt;""),1,0),0)</f>
        <v/>
      </c>
      <c r="EP48">
        <f>IF(EP$4=1,IF(OR(INDEX('×入力'!$A$1:$L$1300,1071+EP$3,2+EP$2)&lt;&gt;"",INDEX('×入力'!$A$1:$L$1300,1070,2+EP$2)&lt;&gt;"",INDEX('×入力'!$A$1:$L$1300,1071+EP$3,1)&lt;&gt;""),1,0),0)</f>
        <v/>
      </c>
      <c r="EQ48">
        <f>IF(EQ$4=1,IF(OR(INDEX('×入力'!$A$1:$L$1300,1071+EQ$3,2+EQ$2)&lt;&gt;"",INDEX('×入力'!$A$1:$L$1300,1070,2+EQ$2)&lt;&gt;"",INDEX('×入力'!$A$1:$L$1300,1071+EQ$3,1)&lt;&gt;""),1,0),0)</f>
        <v/>
      </c>
      <c r="HA48">
        <f>MAX(0,IT48)</f>
        <v/>
      </c>
      <c r="HB48">
        <f>IF(HA48=0,0,INDEX($D$2:$EQ$2,HA48))</f>
        <v/>
      </c>
      <c r="HC48">
        <f>IF(HA48=0,0,INDEX($D$3:$EQ$3,HA48))</f>
        <v/>
      </c>
      <c r="HD48">
        <f>MAX(0,IY48)</f>
        <v/>
      </c>
      <c r="HE48">
        <f>IF(HD48=0,0,INDEX($D$2:$EQ$2,HD48))</f>
        <v/>
      </c>
      <c r="HF48">
        <f>IF(HD48=0,0,INDEX($D$3:$EQ$3,HD48))</f>
        <v/>
      </c>
      <c r="HG48">
        <f>MAX(0,IZ48)</f>
        <v/>
      </c>
      <c r="HH48">
        <f>IF(HG48=0,0,INDEX($D$2:$EQ$2,HG48))</f>
        <v/>
      </c>
      <c r="HI48">
        <f>IF(HG48=0,0,INDEX($D$3:$EQ$3,HG48))</f>
        <v/>
      </c>
      <c r="HJ48">
        <f>IF(AND(HA48&gt;0,HC48&gt;1,OR(HC48-1&lt;&gt;$A$3,$A$4=0)),HA48-1,-1)</f>
        <v/>
      </c>
      <c r="HK48">
        <f>IF(AND(HA48&gt;0,HC48&lt;24,OR(HC48&lt;&gt;$A$3,$A$4=0)),HA48+1,-1)</f>
        <v/>
      </c>
      <c r="HL48">
        <f>IF(AND(HD48&gt;0,HF48&gt;1,OR(HF48-1&lt;&gt;$A$3,$A$4=0)),HD48-1,-1)</f>
        <v/>
      </c>
      <c r="HM48">
        <f>IF(AND(HD48&gt;0,HF48&lt;24,OR(HF48&lt;&gt;$A$3,$A$4=0)),HD48+1,-1)</f>
        <v/>
      </c>
      <c r="HN48">
        <f>IF(AND(HG48&gt;0,HI48&gt;1,OR(HI48-1&lt;&gt;$A$3,$A$4=0)),HG48-1,-1)</f>
        <v/>
      </c>
      <c r="HO48">
        <f>IF(AND(HG48&gt;0,HI48&lt;24,OR(HI48&lt;&gt;$A$3,$A$4=0)),HG48+1,-1)</f>
        <v/>
      </c>
      <c r="IK48">
        <f>IFERROR(INDEX('calcB'!$C$3:$C$47,MATCH(A48,'calcB'!$B$3:$B$47,0)),0)</f>
        <v/>
      </c>
      <c r="IL48">
        <f>IF(AND(C48=1,IK48=0,calcA!$A$6=1),1,0)</f>
        <v/>
      </c>
      <c r="IM48">
        <f>SUMPRODUCT(D98:EQ98*(1-$D$7:$EQ$7))</f>
        <v/>
      </c>
      <c r="IN48">
        <f>SUM(D48:EQ48)</f>
        <v/>
      </c>
      <c r="IO48">
        <f>IF(B48="",0,IF(COUNTIF('調整・決定'!$C$6:$H$29,B48)=1,SUMPRODUCT(('調整・決定'!$C$6:$H$29=B48)*((COLUMN('調整・決定'!$C$6:$H$29)-3)*24+ROW('調整・決定'!$C$6:$H$29)-5)),0))</f>
        <v/>
      </c>
      <c r="IP48">
        <f>IFERROR(MATCH('名簿'!C43,{"早い時刻","遅い時刻","早い日","遅い日"},0),0)</f>
        <v/>
      </c>
      <c r="IQ48">
        <f>IF('名簿'!D43="必ず空けたい",2,IF('名簿'!D43="出来れば空けたい",1,0))</f>
        <v/>
      </c>
      <c r="IR48">
        <f>IFERROR(INDEX('calcC'!$C$3:$C$47,MATCH(A48,'calcC'!$B$3:$B$47,0)),0)</f>
        <v/>
      </c>
      <c r="IS48">
        <f>IF(AND(C48=1,IR48=0,calcA!$A$6=1),1,0)</f>
        <v/>
      </c>
      <c r="IT48">
        <f>IF(OR('名簿'!G43="",'名簿'!H43=""),0,IFERROR((MATCH('名簿'!G43,'設定'!$E$11:$E$16,0)-1)*24+MATCH('名簿'!H43,'設定'!$I$11:$I$34,0),-1))</f>
        <v/>
      </c>
      <c r="IV48">
        <f>IF(OR(JF48=0,IO48=0),1,IF(OR(IF(IT48&gt;0,AND(INDEX($D$2:$EQ$2,IO48)=INDEX($D$2:$EQ$2,IT48),OR(AND(IO48=IT48+1,OR(INDEX($D$3:$EQ$3,IT48)&lt;&gt;$A$3,$A$4=0)),AND(IO48=IT48-1,OR(INDEX($D$3:$EQ$3,IO48)&lt;&gt;$A$3,$A$4=0)))),FALSE),IF(IY48&gt;0,AND(INDEX($D$2:$EQ$2,IO48)=INDEX($D$2:$EQ$2,IY48),OR(AND(IO48=IY48+1,OR(INDEX($D$3:$EQ$3,IY48)&lt;&gt;$A$3,$A$4=0)),AND(IO48=IY48-1,OR(INDEX($D$3:$EQ$3,IO48)&lt;&gt;$A$3,$A$4=0)))),FALSE),IF(IZ48&gt;0,AND(INDEX($D$2:$EQ$2,IO48)=INDEX($D$2:$EQ$2,IZ48),OR(AND(IO48=IZ48+1,OR(INDEX($D$3:$EQ$3,IZ48)&lt;&gt;$A$3,$A$4=0)),AND(IO48=IZ48-1,OR(INDEX($D$3:$EQ$3,IO48)&lt;&gt;$A$3,$A$4=0)))),FALSE)),1,0))</f>
        <v/>
      </c>
      <c r="IW48">
        <f>IF(AND('名簿'!E43&lt;&gt;"",JF48=0),1,0)</f>
        <v/>
      </c>
      <c r="IX48">
        <f>IF('名簿'!D43="空けない",1,0)</f>
        <v/>
      </c>
      <c r="IY48">
        <f>IF(OR('名簿'!J43="",'名簿'!K43=""),0,IFERROR((MATCH('名簿'!J43,'設定'!$E$11:$E$16,0)-1)*24+MATCH('名簿'!K43,'設定'!$I$11:$I$34,0),-1))</f>
        <v/>
      </c>
      <c r="IZ48">
        <f>IF(OR('名簿'!M43="",'名簿'!N43=""),0,IFERROR((MATCH('名簿'!M43,'設定'!$E$11:$E$16,0)-1)*24+MATCH('名簿'!N43,'設定'!$I$11:$I$34,0),-1))</f>
        <v/>
      </c>
      <c r="JC48">
        <f>IF(RIGHT('名簿'!I43,2)="の前",1,IF(RIGHT('名簿'!I43,2)="の後",2,0))</f>
        <v/>
      </c>
      <c r="JD48">
        <f>IF(RIGHT('名簿'!L43,2)="の前",1,IF(RIGHT('名簿'!L43,2)="の後",2,0))</f>
        <v/>
      </c>
      <c r="JE48">
        <f>IF(RIGHT('名簿'!O43,2)="の前",1,IF(RIGHT('名簿'!O43,2)="の後",2,0))</f>
        <v/>
      </c>
      <c r="JF48">
        <f>IF(OR(IT48&gt;0,IY48&gt;0,IZ48&gt;0),1,0)</f>
        <v/>
      </c>
      <c r="JG48">
        <f>IF(OR(IT48&lt;0,IY48&lt;0,IZ48&lt;0),1,0)</f>
        <v/>
      </c>
    </row>
    <row r="49">
      <c r="A49" t="n">
        <v>40</v>
      </c>
      <c r="B49">
        <f>'名簿'!P44</f>
        <v/>
      </c>
      <c r="C49">
        <f>IF(AND(B49&lt;&gt;"",OR('名簿'!Q44="入力済み",'名簿'!Q44="×なし"),IO49=0,COUNTIF('調整・決定'!$C$6:$H$29,B49)=0),1,0)</f>
        <v/>
      </c>
      <c r="D49">
        <f>IF(D$4=1,IF(OR(INDEX('×入力'!$A$1:$L$1300,1099+D$3,2+D$2)&lt;&gt;"",INDEX('×入力'!$A$1:$L$1300,1098,2+D$2)&lt;&gt;"",INDEX('×入力'!$A$1:$L$1300,1099+D$3,1)&lt;&gt;""),1,0),0)</f>
        <v/>
      </c>
      <c r="E49">
        <f>IF(E$4=1,IF(OR(INDEX('×入力'!$A$1:$L$1300,1099+E$3,2+E$2)&lt;&gt;"",INDEX('×入力'!$A$1:$L$1300,1098,2+E$2)&lt;&gt;"",INDEX('×入力'!$A$1:$L$1300,1099+E$3,1)&lt;&gt;""),1,0),0)</f>
        <v/>
      </c>
      <c r="F49">
        <f>IF(F$4=1,IF(OR(INDEX('×入力'!$A$1:$L$1300,1099+F$3,2+F$2)&lt;&gt;"",INDEX('×入力'!$A$1:$L$1300,1098,2+F$2)&lt;&gt;"",INDEX('×入力'!$A$1:$L$1300,1099+F$3,1)&lt;&gt;""),1,0),0)</f>
        <v/>
      </c>
      <c r="G49">
        <f>IF(G$4=1,IF(OR(INDEX('×入力'!$A$1:$L$1300,1099+G$3,2+G$2)&lt;&gt;"",INDEX('×入力'!$A$1:$L$1300,1098,2+G$2)&lt;&gt;"",INDEX('×入力'!$A$1:$L$1300,1099+G$3,1)&lt;&gt;""),1,0),0)</f>
        <v/>
      </c>
      <c r="H49">
        <f>IF(H$4=1,IF(OR(INDEX('×入力'!$A$1:$L$1300,1099+H$3,2+H$2)&lt;&gt;"",INDEX('×入力'!$A$1:$L$1300,1098,2+H$2)&lt;&gt;"",INDEX('×入力'!$A$1:$L$1300,1099+H$3,1)&lt;&gt;""),1,0),0)</f>
        <v/>
      </c>
      <c r="I49">
        <f>IF(I$4=1,IF(OR(INDEX('×入力'!$A$1:$L$1300,1099+I$3,2+I$2)&lt;&gt;"",INDEX('×入力'!$A$1:$L$1300,1098,2+I$2)&lt;&gt;"",INDEX('×入力'!$A$1:$L$1300,1099+I$3,1)&lt;&gt;""),1,0),0)</f>
        <v/>
      </c>
      <c r="J49">
        <f>IF(J$4=1,IF(OR(INDEX('×入力'!$A$1:$L$1300,1099+J$3,2+J$2)&lt;&gt;"",INDEX('×入力'!$A$1:$L$1300,1098,2+J$2)&lt;&gt;"",INDEX('×入力'!$A$1:$L$1300,1099+J$3,1)&lt;&gt;""),1,0),0)</f>
        <v/>
      </c>
      <c r="K49">
        <f>IF(K$4=1,IF(OR(INDEX('×入力'!$A$1:$L$1300,1099+K$3,2+K$2)&lt;&gt;"",INDEX('×入力'!$A$1:$L$1300,1098,2+K$2)&lt;&gt;"",INDEX('×入力'!$A$1:$L$1300,1099+K$3,1)&lt;&gt;""),1,0),0)</f>
        <v/>
      </c>
      <c r="L49">
        <f>IF(L$4=1,IF(OR(INDEX('×入力'!$A$1:$L$1300,1099+L$3,2+L$2)&lt;&gt;"",INDEX('×入力'!$A$1:$L$1300,1098,2+L$2)&lt;&gt;"",INDEX('×入力'!$A$1:$L$1300,1099+L$3,1)&lt;&gt;""),1,0),0)</f>
        <v/>
      </c>
      <c r="M49">
        <f>IF(M$4=1,IF(OR(INDEX('×入力'!$A$1:$L$1300,1099+M$3,2+M$2)&lt;&gt;"",INDEX('×入力'!$A$1:$L$1300,1098,2+M$2)&lt;&gt;"",INDEX('×入力'!$A$1:$L$1300,1099+M$3,1)&lt;&gt;""),1,0),0)</f>
        <v/>
      </c>
      <c r="N49">
        <f>IF(N$4=1,IF(OR(INDEX('×入力'!$A$1:$L$1300,1099+N$3,2+N$2)&lt;&gt;"",INDEX('×入力'!$A$1:$L$1300,1098,2+N$2)&lt;&gt;"",INDEX('×入力'!$A$1:$L$1300,1099+N$3,1)&lt;&gt;""),1,0),0)</f>
        <v/>
      </c>
      <c r="O49">
        <f>IF(O$4=1,IF(OR(INDEX('×入力'!$A$1:$L$1300,1099+O$3,2+O$2)&lt;&gt;"",INDEX('×入力'!$A$1:$L$1300,1098,2+O$2)&lt;&gt;"",INDEX('×入力'!$A$1:$L$1300,1099+O$3,1)&lt;&gt;""),1,0),0)</f>
        <v/>
      </c>
      <c r="P49">
        <f>IF(P$4=1,IF(OR(INDEX('×入力'!$A$1:$L$1300,1099+P$3,2+P$2)&lt;&gt;"",INDEX('×入力'!$A$1:$L$1300,1098,2+P$2)&lt;&gt;"",INDEX('×入力'!$A$1:$L$1300,1099+P$3,1)&lt;&gt;""),1,0),0)</f>
        <v/>
      </c>
      <c r="Q49">
        <f>IF(Q$4=1,IF(OR(INDEX('×入力'!$A$1:$L$1300,1099+Q$3,2+Q$2)&lt;&gt;"",INDEX('×入力'!$A$1:$L$1300,1098,2+Q$2)&lt;&gt;"",INDEX('×入力'!$A$1:$L$1300,1099+Q$3,1)&lt;&gt;""),1,0),0)</f>
        <v/>
      </c>
      <c r="R49">
        <f>IF(R$4=1,IF(OR(INDEX('×入力'!$A$1:$L$1300,1099+R$3,2+R$2)&lt;&gt;"",INDEX('×入力'!$A$1:$L$1300,1098,2+R$2)&lt;&gt;"",INDEX('×入力'!$A$1:$L$1300,1099+R$3,1)&lt;&gt;""),1,0),0)</f>
        <v/>
      </c>
      <c r="S49">
        <f>IF(S$4=1,IF(OR(INDEX('×入力'!$A$1:$L$1300,1099+S$3,2+S$2)&lt;&gt;"",INDEX('×入力'!$A$1:$L$1300,1098,2+S$2)&lt;&gt;"",INDEX('×入力'!$A$1:$L$1300,1099+S$3,1)&lt;&gt;""),1,0),0)</f>
        <v/>
      </c>
      <c r="T49">
        <f>IF(T$4=1,IF(OR(INDEX('×入力'!$A$1:$L$1300,1099+T$3,2+T$2)&lt;&gt;"",INDEX('×入力'!$A$1:$L$1300,1098,2+T$2)&lt;&gt;"",INDEX('×入力'!$A$1:$L$1300,1099+T$3,1)&lt;&gt;""),1,0),0)</f>
        <v/>
      </c>
      <c r="U49">
        <f>IF(U$4=1,IF(OR(INDEX('×入力'!$A$1:$L$1300,1099+U$3,2+U$2)&lt;&gt;"",INDEX('×入力'!$A$1:$L$1300,1098,2+U$2)&lt;&gt;"",INDEX('×入力'!$A$1:$L$1300,1099+U$3,1)&lt;&gt;""),1,0),0)</f>
        <v/>
      </c>
      <c r="V49">
        <f>IF(V$4=1,IF(OR(INDEX('×入力'!$A$1:$L$1300,1099+V$3,2+V$2)&lt;&gt;"",INDEX('×入力'!$A$1:$L$1300,1098,2+V$2)&lt;&gt;"",INDEX('×入力'!$A$1:$L$1300,1099+V$3,1)&lt;&gt;""),1,0),0)</f>
        <v/>
      </c>
      <c r="W49">
        <f>IF(W$4=1,IF(OR(INDEX('×入力'!$A$1:$L$1300,1099+W$3,2+W$2)&lt;&gt;"",INDEX('×入力'!$A$1:$L$1300,1098,2+W$2)&lt;&gt;"",INDEX('×入力'!$A$1:$L$1300,1099+W$3,1)&lt;&gt;""),1,0),0)</f>
        <v/>
      </c>
      <c r="X49">
        <f>IF(X$4=1,IF(OR(INDEX('×入力'!$A$1:$L$1300,1099+X$3,2+X$2)&lt;&gt;"",INDEX('×入力'!$A$1:$L$1300,1098,2+X$2)&lt;&gt;"",INDEX('×入力'!$A$1:$L$1300,1099+X$3,1)&lt;&gt;""),1,0),0)</f>
        <v/>
      </c>
      <c r="Y49">
        <f>IF(Y$4=1,IF(OR(INDEX('×入力'!$A$1:$L$1300,1099+Y$3,2+Y$2)&lt;&gt;"",INDEX('×入力'!$A$1:$L$1300,1098,2+Y$2)&lt;&gt;"",INDEX('×入力'!$A$1:$L$1300,1099+Y$3,1)&lt;&gt;""),1,0),0)</f>
        <v/>
      </c>
      <c r="Z49">
        <f>IF(Z$4=1,IF(OR(INDEX('×入力'!$A$1:$L$1300,1099+Z$3,2+Z$2)&lt;&gt;"",INDEX('×入力'!$A$1:$L$1300,1098,2+Z$2)&lt;&gt;"",INDEX('×入力'!$A$1:$L$1300,1099+Z$3,1)&lt;&gt;""),1,0),0)</f>
        <v/>
      </c>
      <c r="AA49">
        <f>IF(AA$4=1,IF(OR(INDEX('×入力'!$A$1:$L$1300,1099+AA$3,2+AA$2)&lt;&gt;"",INDEX('×入力'!$A$1:$L$1300,1098,2+AA$2)&lt;&gt;"",INDEX('×入力'!$A$1:$L$1300,1099+AA$3,1)&lt;&gt;""),1,0),0)</f>
        <v/>
      </c>
      <c r="AB49">
        <f>IF(AB$4=1,IF(OR(INDEX('×入力'!$A$1:$L$1300,1099+AB$3,2+AB$2)&lt;&gt;"",INDEX('×入力'!$A$1:$L$1300,1098,2+AB$2)&lt;&gt;"",INDEX('×入力'!$A$1:$L$1300,1099+AB$3,1)&lt;&gt;""),1,0),0)</f>
        <v/>
      </c>
      <c r="AC49">
        <f>IF(AC$4=1,IF(OR(INDEX('×入力'!$A$1:$L$1300,1099+AC$3,2+AC$2)&lt;&gt;"",INDEX('×入力'!$A$1:$L$1300,1098,2+AC$2)&lt;&gt;"",INDEX('×入力'!$A$1:$L$1300,1099+AC$3,1)&lt;&gt;""),1,0),0)</f>
        <v/>
      </c>
      <c r="AD49">
        <f>IF(AD$4=1,IF(OR(INDEX('×入力'!$A$1:$L$1300,1099+AD$3,2+AD$2)&lt;&gt;"",INDEX('×入力'!$A$1:$L$1300,1098,2+AD$2)&lt;&gt;"",INDEX('×入力'!$A$1:$L$1300,1099+AD$3,1)&lt;&gt;""),1,0),0)</f>
        <v/>
      </c>
      <c r="AE49">
        <f>IF(AE$4=1,IF(OR(INDEX('×入力'!$A$1:$L$1300,1099+AE$3,2+AE$2)&lt;&gt;"",INDEX('×入力'!$A$1:$L$1300,1098,2+AE$2)&lt;&gt;"",INDEX('×入力'!$A$1:$L$1300,1099+AE$3,1)&lt;&gt;""),1,0),0)</f>
        <v/>
      </c>
      <c r="AF49">
        <f>IF(AF$4=1,IF(OR(INDEX('×入力'!$A$1:$L$1300,1099+AF$3,2+AF$2)&lt;&gt;"",INDEX('×入力'!$A$1:$L$1300,1098,2+AF$2)&lt;&gt;"",INDEX('×入力'!$A$1:$L$1300,1099+AF$3,1)&lt;&gt;""),1,0),0)</f>
        <v/>
      </c>
      <c r="AG49">
        <f>IF(AG$4=1,IF(OR(INDEX('×入力'!$A$1:$L$1300,1099+AG$3,2+AG$2)&lt;&gt;"",INDEX('×入力'!$A$1:$L$1300,1098,2+AG$2)&lt;&gt;"",INDEX('×入力'!$A$1:$L$1300,1099+AG$3,1)&lt;&gt;""),1,0),0)</f>
        <v/>
      </c>
      <c r="AH49">
        <f>IF(AH$4=1,IF(OR(INDEX('×入力'!$A$1:$L$1300,1099+AH$3,2+AH$2)&lt;&gt;"",INDEX('×入力'!$A$1:$L$1300,1098,2+AH$2)&lt;&gt;"",INDEX('×入力'!$A$1:$L$1300,1099+AH$3,1)&lt;&gt;""),1,0),0)</f>
        <v/>
      </c>
      <c r="AI49">
        <f>IF(AI$4=1,IF(OR(INDEX('×入力'!$A$1:$L$1300,1099+AI$3,2+AI$2)&lt;&gt;"",INDEX('×入力'!$A$1:$L$1300,1098,2+AI$2)&lt;&gt;"",INDEX('×入力'!$A$1:$L$1300,1099+AI$3,1)&lt;&gt;""),1,0),0)</f>
        <v/>
      </c>
      <c r="AJ49">
        <f>IF(AJ$4=1,IF(OR(INDEX('×入力'!$A$1:$L$1300,1099+AJ$3,2+AJ$2)&lt;&gt;"",INDEX('×入力'!$A$1:$L$1300,1098,2+AJ$2)&lt;&gt;"",INDEX('×入力'!$A$1:$L$1300,1099+AJ$3,1)&lt;&gt;""),1,0),0)</f>
        <v/>
      </c>
      <c r="AK49">
        <f>IF(AK$4=1,IF(OR(INDEX('×入力'!$A$1:$L$1300,1099+AK$3,2+AK$2)&lt;&gt;"",INDEX('×入力'!$A$1:$L$1300,1098,2+AK$2)&lt;&gt;"",INDEX('×入力'!$A$1:$L$1300,1099+AK$3,1)&lt;&gt;""),1,0),0)</f>
        <v/>
      </c>
      <c r="AL49">
        <f>IF(AL$4=1,IF(OR(INDEX('×入力'!$A$1:$L$1300,1099+AL$3,2+AL$2)&lt;&gt;"",INDEX('×入力'!$A$1:$L$1300,1098,2+AL$2)&lt;&gt;"",INDEX('×入力'!$A$1:$L$1300,1099+AL$3,1)&lt;&gt;""),1,0),0)</f>
        <v/>
      </c>
      <c r="AM49">
        <f>IF(AM$4=1,IF(OR(INDEX('×入力'!$A$1:$L$1300,1099+AM$3,2+AM$2)&lt;&gt;"",INDEX('×入力'!$A$1:$L$1300,1098,2+AM$2)&lt;&gt;"",INDEX('×入力'!$A$1:$L$1300,1099+AM$3,1)&lt;&gt;""),1,0),0)</f>
        <v/>
      </c>
      <c r="AN49">
        <f>IF(AN$4=1,IF(OR(INDEX('×入力'!$A$1:$L$1300,1099+AN$3,2+AN$2)&lt;&gt;"",INDEX('×入力'!$A$1:$L$1300,1098,2+AN$2)&lt;&gt;"",INDEX('×入力'!$A$1:$L$1300,1099+AN$3,1)&lt;&gt;""),1,0),0)</f>
        <v/>
      </c>
      <c r="AO49">
        <f>IF(AO$4=1,IF(OR(INDEX('×入力'!$A$1:$L$1300,1099+AO$3,2+AO$2)&lt;&gt;"",INDEX('×入力'!$A$1:$L$1300,1098,2+AO$2)&lt;&gt;"",INDEX('×入力'!$A$1:$L$1300,1099+AO$3,1)&lt;&gt;""),1,0),0)</f>
        <v/>
      </c>
      <c r="AP49">
        <f>IF(AP$4=1,IF(OR(INDEX('×入力'!$A$1:$L$1300,1099+AP$3,2+AP$2)&lt;&gt;"",INDEX('×入力'!$A$1:$L$1300,1098,2+AP$2)&lt;&gt;"",INDEX('×入力'!$A$1:$L$1300,1099+AP$3,1)&lt;&gt;""),1,0),0)</f>
        <v/>
      </c>
      <c r="AQ49">
        <f>IF(AQ$4=1,IF(OR(INDEX('×入力'!$A$1:$L$1300,1099+AQ$3,2+AQ$2)&lt;&gt;"",INDEX('×入力'!$A$1:$L$1300,1098,2+AQ$2)&lt;&gt;"",INDEX('×入力'!$A$1:$L$1300,1099+AQ$3,1)&lt;&gt;""),1,0),0)</f>
        <v/>
      </c>
      <c r="AR49">
        <f>IF(AR$4=1,IF(OR(INDEX('×入力'!$A$1:$L$1300,1099+AR$3,2+AR$2)&lt;&gt;"",INDEX('×入力'!$A$1:$L$1300,1098,2+AR$2)&lt;&gt;"",INDEX('×入力'!$A$1:$L$1300,1099+AR$3,1)&lt;&gt;""),1,0),0)</f>
        <v/>
      </c>
      <c r="AS49">
        <f>IF(AS$4=1,IF(OR(INDEX('×入力'!$A$1:$L$1300,1099+AS$3,2+AS$2)&lt;&gt;"",INDEX('×入力'!$A$1:$L$1300,1098,2+AS$2)&lt;&gt;"",INDEX('×入力'!$A$1:$L$1300,1099+AS$3,1)&lt;&gt;""),1,0),0)</f>
        <v/>
      </c>
      <c r="AT49">
        <f>IF(AT$4=1,IF(OR(INDEX('×入力'!$A$1:$L$1300,1099+AT$3,2+AT$2)&lt;&gt;"",INDEX('×入力'!$A$1:$L$1300,1098,2+AT$2)&lt;&gt;"",INDEX('×入力'!$A$1:$L$1300,1099+AT$3,1)&lt;&gt;""),1,0),0)</f>
        <v/>
      </c>
      <c r="AU49">
        <f>IF(AU$4=1,IF(OR(INDEX('×入力'!$A$1:$L$1300,1099+AU$3,2+AU$2)&lt;&gt;"",INDEX('×入力'!$A$1:$L$1300,1098,2+AU$2)&lt;&gt;"",INDEX('×入力'!$A$1:$L$1300,1099+AU$3,1)&lt;&gt;""),1,0),0)</f>
        <v/>
      </c>
      <c r="AV49">
        <f>IF(AV$4=1,IF(OR(INDEX('×入力'!$A$1:$L$1300,1099+AV$3,2+AV$2)&lt;&gt;"",INDEX('×入力'!$A$1:$L$1300,1098,2+AV$2)&lt;&gt;"",INDEX('×入力'!$A$1:$L$1300,1099+AV$3,1)&lt;&gt;""),1,0),0)</f>
        <v/>
      </c>
      <c r="AW49">
        <f>IF(AW$4=1,IF(OR(INDEX('×入力'!$A$1:$L$1300,1099+AW$3,2+AW$2)&lt;&gt;"",INDEX('×入力'!$A$1:$L$1300,1098,2+AW$2)&lt;&gt;"",INDEX('×入力'!$A$1:$L$1300,1099+AW$3,1)&lt;&gt;""),1,0),0)</f>
        <v/>
      </c>
      <c r="AX49">
        <f>IF(AX$4=1,IF(OR(INDEX('×入力'!$A$1:$L$1300,1099+AX$3,2+AX$2)&lt;&gt;"",INDEX('×入力'!$A$1:$L$1300,1098,2+AX$2)&lt;&gt;"",INDEX('×入力'!$A$1:$L$1300,1099+AX$3,1)&lt;&gt;""),1,0),0)</f>
        <v/>
      </c>
      <c r="AY49">
        <f>IF(AY$4=1,IF(OR(INDEX('×入力'!$A$1:$L$1300,1099+AY$3,2+AY$2)&lt;&gt;"",INDEX('×入力'!$A$1:$L$1300,1098,2+AY$2)&lt;&gt;"",INDEX('×入力'!$A$1:$L$1300,1099+AY$3,1)&lt;&gt;""),1,0),0)</f>
        <v/>
      </c>
      <c r="AZ49">
        <f>IF(AZ$4=1,IF(OR(INDEX('×入力'!$A$1:$L$1300,1099+AZ$3,2+AZ$2)&lt;&gt;"",INDEX('×入力'!$A$1:$L$1300,1098,2+AZ$2)&lt;&gt;"",INDEX('×入力'!$A$1:$L$1300,1099+AZ$3,1)&lt;&gt;""),1,0),0)</f>
        <v/>
      </c>
      <c r="BA49">
        <f>IF(BA$4=1,IF(OR(INDEX('×入力'!$A$1:$L$1300,1099+BA$3,2+BA$2)&lt;&gt;"",INDEX('×入力'!$A$1:$L$1300,1098,2+BA$2)&lt;&gt;"",INDEX('×入力'!$A$1:$L$1300,1099+BA$3,1)&lt;&gt;""),1,0),0)</f>
        <v/>
      </c>
      <c r="BB49">
        <f>IF(BB$4=1,IF(OR(INDEX('×入力'!$A$1:$L$1300,1099+BB$3,2+BB$2)&lt;&gt;"",INDEX('×入力'!$A$1:$L$1300,1098,2+BB$2)&lt;&gt;"",INDEX('×入力'!$A$1:$L$1300,1099+BB$3,1)&lt;&gt;""),1,0),0)</f>
        <v/>
      </c>
      <c r="BC49">
        <f>IF(BC$4=1,IF(OR(INDEX('×入力'!$A$1:$L$1300,1099+BC$3,2+BC$2)&lt;&gt;"",INDEX('×入力'!$A$1:$L$1300,1098,2+BC$2)&lt;&gt;"",INDEX('×入力'!$A$1:$L$1300,1099+BC$3,1)&lt;&gt;""),1,0),0)</f>
        <v/>
      </c>
      <c r="BD49">
        <f>IF(BD$4=1,IF(OR(INDEX('×入力'!$A$1:$L$1300,1099+BD$3,2+BD$2)&lt;&gt;"",INDEX('×入力'!$A$1:$L$1300,1098,2+BD$2)&lt;&gt;"",INDEX('×入力'!$A$1:$L$1300,1099+BD$3,1)&lt;&gt;""),1,0),0)</f>
        <v/>
      </c>
      <c r="BE49">
        <f>IF(BE$4=1,IF(OR(INDEX('×入力'!$A$1:$L$1300,1099+BE$3,2+BE$2)&lt;&gt;"",INDEX('×入力'!$A$1:$L$1300,1098,2+BE$2)&lt;&gt;"",INDEX('×入力'!$A$1:$L$1300,1099+BE$3,1)&lt;&gt;""),1,0),0)</f>
        <v/>
      </c>
      <c r="BF49">
        <f>IF(BF$4=1,IF(OR(INDEX('×入力'!$A$1:$L$1300,1099+BF$3,2+BF$2)&lt;&gt;"",INDEX('×入力'!$A$1:$L$1300,1098,2+BF$2)&lt;&gt;"",INDEX('×入力'!$A$1:$L$1300,1099+BF$3,1)&lt;&gt;""),1,0),0)</f>
        <v/>
      </c>
      <c r="BG49">
        <f>IF(BG$4=1,IF(OR(INDEX('×入力'!$A$1:$L$1300,1099+BG$3,2+BG$2)&lt;&gt;"",INDEX('×入力'!$A$1:$L$1300,1098,2+BG$2)&lt;&gt;"",INDEX('×入力'!$A$1:$L$1300,1099+BG$3,1)&lt;&gt;""),1,0),0)</f>
        <v/>
      </c>
      <c r="BH49">
        <f>IF(BH$4=1,IF(OR(INDEX('×入力'!$A$1:$L$1300,1099+BH$3,2+BH$2)&lt;&gt;"",INDEX('×入力'!$A$1:$L$1300,1098,2+BH$2)&lt;&gt;"",INDEX('×入力'!$A$1:$L$1300,1099+BH$3,1)&lt;&gt;""),1,0),0)</f>
        <v/>
      </c>
      <c r="BI49">
        <f>IF(BI$4=1,IF(OR(INDEX('×入力'!$A$1:$L$1300,1099+BI$3,2+BI$2)&lt;&gt;"",INDEX('×入力'!$A$1:$L$1300,1098,2+BI$2)&lt;&gt;"",INDEX('×入力'!$A$1:$L$1300,1099+BI$3,1)&lt;&gt;""),1,0),0)</f>
        <v/>
      </c>
      <c r="BJ49">
        <f>IF(BJ$4=1,IF(OR(INDEX('×入力'!$A$1:$L$1300,1099+BJ$3,2+BJ$2)&lt;&gt;"",INDEX('×入力'!$A$1:$L$1300,1098,2+BJ$2)&lt;&gt;"",INDEX('×入力'!$A$1:$L$1300,1099+BJ$3,1)&lt;&gt;""),1,0),0)</f>
        <v/>
      </c>
      <c r="BK49">
        <f>IF(BK$4=1,IF(OR(INDEX('×入力'!$A$1:$L$1300,1099+BK$3,2+BK$2)&lt;&gt;"",INDEX('×入力'!$A$1:$L$1300,1098,2+BK$2)&lt;&gt;"",INDEX('×入力'!$A$1:$L$1300,1099+BK$3,1)&lt;&gt;""),1,0),0)</f>
        <v/>
      </c>
      <c r="BL49">
        <f>IF(BL$4=1,IF(OR(INDEX('×入力'!$A$1:$L$1300,1099+BL$3,2+BL$2)&lt;&gt;"",INDEX('×入力'!$A$1:$L$1300,1098,2+BL$2)&lt;&gt;"",INDEX('×入力'!$A$1:$L$1300,1099+BL$3,1)&lt;&gt;""),1,0),0)</f>
        <v/>
      </c>
      <c r="BM49">
        <f>IF(BM$4=1,IF(OR(INDEX('×入力'!$A$1:$L$1300,1099+BM$3,2+BM$2)&lt;&gt;"",INDEX('×入力'!$A$1:$L$1300,1098,2+BM$2)&lt;&gt;"",INDEX('×入力'!$A$1:$L$1300,1099+BM$3,1)&lt;&gt;""),1,0),0)</f>
        <v/>
      </c>
      <c r="BN49">
        <f>IF(BN$4=1,IF(OR(INDEX('×入力'!$A$1:$L$1300,1099+BN$3,2+BN$2)&lt;&gt;"",INDEX('×入力'!$A$1:$L$1300,1098,2+BN$2)&lt;&gt;"",INDEX('×入力'!$A$1:$L$1300,1099+BN$3,1)&lt;&gt;""),1,0),0)</f>
        <v/>
      </c>
      <c r="BO49">
        <f>IF(BO$4=1,IF(OR(INDEX('×入力'!$A$1:$L$1300,1099+BO$3,2+BO$2)&lt;&gt;"",INDEX('×入力'!$A$1:$L$1300,1098,2+BO$2)&lt;&gt;"",INDEX('×入力'!$A$1:$L$1300,1099+BO$3,1)&lt;&gt;""),1,0),0)</f>
        <v/>
      </c>
      <c r="BP49">
        <f>IF(BP$4=1,IF(OR(INDEX('×入力'!$A$1:$L$1300,1099+BP$3,2+BP$2)&lt;&gt;"",INDEX('×入力'!$A$1:$L$1300,1098,2+BP$2)&lt;&gt;"",INDEX('×入力'!$A$1:$L$1300,1099+BP$3,1)&lt;&gt;""),1,0),0)</f>
        <v/>
      </c>
      <c r="BQ49">
        <f>IF(BQ$4=1,IF(OR(INDEX('×入力'!$A$1:$L$1300,1099+BQ$3,2+BQ$2)&lt;&gt;"",INDEX('×入力'!$A$1:$L$1300,1098,2+BQ$2)&lt;&gt;"",INDEX('×入力'!$A$1:$L$1300,1099+BQ$3,1)&lt;&gt;""),1,0),0)</f>
        <v/>
      </c>
      <c r="BR49">
        <f>IF(BR$4=1,IF(OR(INDEX('×入力'!$A$1:$L$1300,1099+BR$3,2+BR$2)&lt;&gt;"",INDEX('×入力'!$A$1:$L$1300,1098,2+BR$2)&lt;&gt;"",INDEX('×入力'!$A$1:$L$1300,1099+BR$3,1)&lt;&gt;""),1,0),0)</f>
        <v/>
      </c>
      <c r="BS49">
        <f>IF(BS$4=1,IF(OR(INDEX('×入力'!$A$1:$L$1300,1099+BS$3,2+BS$2)&lt;&gt;"",INDEX('×入力'!$A$1:$L$1300,1098,2+BS$2)&lt;&gt;"",INDEX('×入力'!$A$1:$L$1300,1099+BS$3,1)&lt;&gt;""),1,0),0)</f>
        <v/>
      </c>
      <c r="BT49">
        <f>IF(BT$4=1,IF(OR(INDEX('×入力'!$A$1:$L$1300,1099+BT$3,2+BT$2)&lt;&gt;"",INDEX('×入力'!$A$1:$L$1300,1098,2+BT$2)&lt;&gt;"",INDEX('×入力'!$A$1:$L$1300,1099+BT$3,1)&lt;&gt;""),1,0),0)</f>
        <v/>
      </c>
      <c r="BU49">
        <f>IF(BU$4=1,IF(OR(INDEX('×入力'!$A$1:$L$1300,1099+BU$3,2+BU$2)&lt;&gt;"",INDEX('×入力'!$A$1:$L$1300,1098,2+BU$2)&lt;&gt;"",INDEX('×入力'!$A$1:$L$1300,1099+BU$3,1)&lt;&gt;""),1,0),0)</f>
        <v/>
      </c>
      <c r="BV49">
        <f>IF(BV$4=1,IF(OR(INDEX('×入力'!$A$1:$L$1300,1099+BV$3,2+BV$2)&lt;&gt;"",INDEX('×入力'!$A$1:$L$1300,1098,2+BV$2)&lt;&gt;"",INDEX('×入力'!$A$1:$L$1300,1099+BV$3,1)&lt;&gt;""),1,0),0)</f>
        <v/>
      </c>
      <c r="BW49">
        <f>IF(BW$4=1,IF(OR(INDEX('×入力'!$A$1:$L$1300,1099+BW$3,2+BW$2)&lt;&gt;"",INDEX('×入力'!$A$1:$L$1300,1098,2+BW$2)&lt;&gt;"",INDEX('×入力'!$A$1:$L$1300,1099+BW$3,1)&lt;&gt;""),1,0),0)</f>
        <v/>
      </c>
      <c r="BX49">
        <f>IF(BX$4=1,IF(OR(INDEX('×入力'!$A$1:$L$1300,1099+BX$3,2+BX$2)&lt;&gt;"",INDEX('×入力'!$A$1:$L$1300,1098,2+BX$2)&lt;&gt;"",INDEX('×入力'!$A$1:$L$1300,1099+BX$3,1)&lt;&gt;""),1,0),0)</f>
        <v/>
      </c>
      <c r="BY49">
        <f>IF(BY$4=1,IF(OR(INDEX('×入力'!$A$1:$L$1300,1099+BY$3,2+BY$2)&lt;&gt;"",INDEX('×入力'!$A$1:$L$1300,1098,2+BY$2)&lt;&gt;"",INDEX('×入力'!$A$1:$L$1300,1099+BY$3,1)&lt;&gt;""),1,0),0)</f>
        <v/>
      </c>
      <c r="BZ49">
        <f>IF(BZ$4=1,IF(OR(INDEX('×入力'!$A$1:$L$1300,1099+BZ$3,2+BZ$2)&lt;&gt;"",INDEX('×入力'!$A$1:$L$1300,1098,2+BZ$2)&lt;&gt;"",INDEX('×入力'!$A$1:$L$1300,1099+BZ$3,1)&lt;&gt;""),1,0),0)</f>
        <v/>
      </c>
      <c r="CA49">
        <f>IF(CA$4=1,IF(OR(INDEX('×入力'!$A$1:$L$1300,1099+CA$3,2+CA$2)&lt;&gt;"",INDEX('×入力'!$A$1:$L$1300,1098,2+CA$2)&lt;&gt;"",INDEX('×入力'!$A$1:$L$1300,1099+CA$3,1)&lt;&gt;""),1,0),0)</f>
        <v/>
      </c>
      <c r="CB49">
        <f>IF(CB$4=1,IF(OR(INDEX('×入力'!$A$1:$L$1300,1099+CB$3,2+CB$2)&lt;&gt;"",INDEX('×入力'!$A$1:$L$1300,1098,2+CB$2)&lt;&gt;"",INDEX('×入力'!$A$1:$L$1300,1099+CB$3,1)&lt;&gt;""),1,0),0)</f>
        <v/>
      </c>
      <c r="CC49">
        <f>IF(CC$4=1,IF(OR(INDEX('×入力'!$A$1:$L$1300,1099+CC$3,2+CC$2)&lt;&gt;"",INDEX('×入力'!$A$1:$L$1300,1098,2+CC$2)&lt;&gt;"",INDEX('×入力'!$A$1:$L$1300,1099+CC$3,1)&lt;&gt;""),1,0),0)</f>
        <v/>
      </c>
      <c r="CD49">
        <f>IF(CD$4=1,IF(OR(INDEX('×入力'!$A$1:$L$1300,1099+CD$3,2+CD$2)&lt;&gt;"",INDEX('×入力'!$A$1:$L$1300,1098,2+CD$2)&lt;&gt;"",INDEX('×入力'!$A$1:$L$1300,1099+CD$3,1)&lt;&gt;""),1,0),0)</f>
        <v/>
      </c>
      <c r="CE49">
        <f>IF(CE$4=1,IF(OR(INDEX('×入力'!$A$1:$L$1300,1099+CE$3,2+CE$2)&lt;&gt;"",INDEX('×入力'!$A$1:$L$1300,1098,2+CE$2)&lt;&gt;"",INDEX('×入力'!$A$1:$L$1300,1099+CE$3,1)&lt;&gt;""),1,0),0)</f>
        <v/>
      </c>
      <c r="CF49">
        <f>IF(CF$4=1,IF(OR(INDEX('×入力'!$A$1:$L$1300,1099+CF$3,2+CF$2)&lt;&gt;"",INDEX('×入力'!$A$1:$L$1300,1098,2+CF$2)&lt;&gt;"",INDEX('×入力'!$A$1:$L$1300,1099+CF$3,1)&lt;&gt;""),1,0),0)</f>
        <v/>
      </c>
      <c r="CG49">
        <f>IF(CG$4=1,IF(OR(INDEX('×入力'!$A$1:$L$1300,1099+CG$3,2+CG$2)&lt;&gt;"",INDEX('×入力'!$A$1:$L$1300,1098,2+CG$2)&lt;&gt;"",INDEX('×入力'!$A$1:$L$1300,1099+CG$3,1)&lt;&gt;""),1,0),0)</f>
        <v/>
      </c>
      <c r="CH49">
        <f>IF(CH$4=1,IF(OR(INDEX('×入力'!$A$1:$L$1300,1099+CH$3,2+CH$2)&lt;&gt;"",INDEX('×入力'!$A$1:$L$1300,1098,2+CH$2)&lt;&gt;"",INDEX('×入力'!$A$1:$L$1300,1099+CH$3,1)&lt;&gt;""),1,0),0)</f>
        <v/>
      </c>
      <c r="CI49">
        <f>IF(CI$4=1,IF(OR(INDEX('×入力'!$A$1:$L$1300,1099+CI$3,2+CI$2)&lt;&gt;"",INDEX('×入力'!$A$1:$L$1300,1098,2+CI$2)&lt;&gt;"",INDEX('×入力'!$A$1:$L$1300,1099+CI$3,1)&lt;&gt;""),1,0),0)</f>
        <v/>
      </c>
      <c r="CJ49">
        <f>IF(CJ$4=1,IF(OR(INDEX('×入力'!$A$1:$L$1300,1099+CJ$3,2+CJ$2)&lt;&gt;"",INDEX('×入力'!$A$1:$L$1300,1098,2+CJ$2)&lt;&gt;"",INDEX('×入力'!$A$1:$L$1300,1099+CJ$3,1)&lt;&gt;""),1,0),0)</f>
        <v/>
      </c>
      <c r="CK49">
        <f>IF(CK$4=1,IF(OR(INDEX('×入力'!$A$1:$L$1300,1099+CK$3,2+CK$2)&lt;&gt;"",INDEX('×入力'!$A$1:$L$1300,1098,2+CK$2)&lt;&gt;"",INDEX('×入力'!$A$1:$L$1300,1099+CK$3,1)&lt;&gt;""),1,0),0)</f>
        <v/>
      </c>
      <c r="CL49">
        <f>IF(CL$4=1,IF(OR(INDEX('×入力'!$A$1:$L$1300,1099+CL$3,2+CL$2)&lt;&gt;"",INDEX('×入力'!$A$1:$L$1300,1098,2+CL$2)&lt;&gt;"",INDEX('×入力'!$A$1:$L$1300,1099+CL$3,1)&lt;&gt;""),1,0),0)</f>
        <v/>
      </c>
      <c r="CM49">
        <f>IF(CM$4=1,IF(OR(INDEX('×入力'!$A$1:$L$1300,1099+CM$3,2+CM$2)&lt;&gt;"",INDEX('×入力'!$A$1:$L$1300,1098,2+CM$2)&lt;&gt;"",INDEX('×入力'!$A$1:$L$1300,1099+CM$3,1)&lt;&gt;""),1,0),0)</f>
        <v/>
      </c>
      <c r="CN49">
        <f>IF(CN$4=1,IF(OR(INDEX('×入力'!$A$1:$L$1300,1099+CN$3,2+CN$2)&lt;&gt;"",INDEX('×入力'!$A$1:$L$1300,1098,2+CN$2)&lt;&gt;"",INDEX('×入力'!$A$1:$L$1300,1099+CN$3,1)&lt;&gt;""),1,0),0)</f>
        <v/>
      </c>
      <c r="CO49">
        <f>IF(CO$4=1,IF(OR(INDEX('×入力'!$A$1:$L$1300,1099+CO$3,2+CO$2)&lt;&gt;"",INDEX('×入力'!$A$1:$L$1300,1098,2+CO$2)&lt;&gt;"",INDEX('×入力'!$A$1:$L$1300,1099+CO$3,1)&lt;&gt;""),1,0),0)</f>
        <v/>
      </c>
      <c r="CP49">
        <f>IF(CP$4=1,IF(OR(INDEX('×入力'!$A$1:$L$1300,1099+CP$3,2+CP$2)&lt;&gt;"",INDEX('×入力'!$A$1:$L$1300,1098,2+CP$2)&lt;&gt;"",INDEX('×入力'!$A$1:$L$1300,1099+CP$3,1)&lt;&gt;""),1,0),0)</f>
        <v/>
      </c>
      <c r="CQ49">
        <f>IF(CQ$4=1,IF(OR(INDEX('×入力'!$A$1:$L$1300,1099+CQ$3,2+CQ$2)&lt;&gt;"",INDEX('×入力'!$A$1:$L$1300,1098,2+CQ$2)&lt;&gt;"",INDEX('×入力'!$A$1:$L$1300,1099+CQ$3,1)&lt;&gt;""),1,0),0)</f>
        <v/>
      </c>
      <c r="CR49">
        <f>IF(CR$4=1,IF(OR(INDEX('×入力'!$A$1:$L$1300,1099+CR$3,2+CR$2)&lt;&gt;"",INDEX('×入力'!$A$1:$L$1300,1098,2+CR$2)&lt;&gt;"",INDEX('×入力'!$A$1:$L$1300,1099+CR$3,1)&lt;&gt;""),1,0),0)</f>
        <v/>
      </c>
      <c r="CS49">
        <f>IF(CS$4=1,IF(OR(INDEX('×入力'!$A$1:$L$1300,1099+CS$3,2+CS$2)&lt;&gt;"",INDEX('×入力'!$A$1:$L$1300,1098,2+CS$2)&lt;&gt;"",INDEX('×入力'!$A$1:$L$1300,1099+CS$3,1)&lt;&gt;""),1,0),0)</f>
        <v/>
      </c>
      <c r="CT49">
        <f>IF(CT$4=1,IF(OR(INDEX('×入力'!$A$1:$L$1300,1099+CT$3,2+CT$2)&lt;&gt;"",INDEX('×入力'!$A$1:$L$1300,1098,2+CT$2)&lt;&gt;"",INDEX('×入力'!$A$1:$L$1300,1099+CT$3,1)&lt;&gt;""),1,0),0)</f>
        <v/>
      </c>
      <c r="CU49">
        <f>IF(CU$4=1,IF(OR(INDEX('×入力'!$A$1:$L$1300,1099+CU$3,2+CU$2)&lt;&gt;"",INDEX('×入力'!$A$1:$L$1300,1098,2+CU$2)&lt;&gt;"",INDEX('×入力'!$A$1:$L$1300,1099+CU$3,1)&lt;&gt;""),1,0),0)</f>
        <v/>
      </c>
      <c r="CV49">
        <f>IF(CV$4=1,IF(OR(INDEX('×入力'!$A$1:$L$1300,1099+CV$3,2+CV$2)&lt;&gt;"",INDEX('×入力'!$A$1:$L$1300,1098,2+CV$2)&lt;&gt;"",INDEX('×入力'!$A$1:$L$1300,1099+CV$3,1)&lt;&gt;""),1,0),0)</f>
        <v/>
      </c>
      <c r="CW49">
        <f>IF(CW$4=1,IF(OR(INDEX('×入力'!$A$1:$L$1300,1099+CW$3,2+CW$2)&lt;&gt;"",INDEX('×入力'!$A$1:$L$1300,1098,2+CW$2)&lt;&gt;"",INDEX('×入力'!$A$1:$L$1300,1099+CW$3,1)&lt;&gt;""),1,0),0)</f>
        <v/>
      </c>
      <c r="CX49">
        <f>IF(CX$4=1,IF(OR(INDEX('×入力'!$A$1:$L$1300,1099+CX$3,2+CX$2)&lt;&gt;"",INDEX('×入力'!$A$1:$L$1300,1098,2+CX$2)&lt;&gt;"",INDEX('×入力'!$A$1:$L$1300,1099+CX$3,1)&lt;&gt;""),1,0),0)</f>
        <v/>
      </c>
      <c r="CY49">
        <f>IF(CY$4=1,IF(OR(INDEX('×入力'!$A$1:$L$1300,1099+CY$3,2+CY$2)&lt;&gt;"",INDEX('×入力'!$A$1:$L$1300,1098,2+CY$2)&lt;&gt;"",INDEX('×入力'!$A$1:$L$1300,1099+CY$3,1)&lt;&gt;""),1,0),0)</f>
        <v/>
      </c>
      <c r="CZ49">
        <f>IF(CZ$4=1,IF(OR(INDEX('×入力'!$A$1:$L$1300,1099+CZ$3,2+CZ$2)&lt;&gt;"",INDEX('×入力'!$A$1:$L$1300,1098,2+CZ$2)&lt;&gt;"",INDEX('×入力'!$A$1:$L$1300,1099+CZ$3,1)&lt;&gt;""),1,0),0)</f>
        <v/>
      </c>
      <c r="DA49">
        <f>IF(DA$4=1,IF(OR(INDEX('×入力'!$A$1:$L$1300,1099+DA$3,2+DA$2)&lt;&gt;"",INDEX('×入力'!$A$1:$L$1300,1098,2+DA$2)&lt;&gt;"",INDEX('×入力'!$A$1:$L$1300,1099+DA$3,1)&lt;&gt;""),1,0),0)</f>
        <v/>
      </c>
      <c r="DB49">
        <f>IF(DB$4=1,IF(OR(INDEX('×入力'!$A$1:$L$1300,1099+DB$3,2+DB$2)&lt;&gt;"",INDEX('×入力'!$A$1:$L$1300,1098,2+DB$2)&lt;&gt;"",INDEX('×入力'!$A$1:$L$1300,1099+DB$3,1)&lt;&gt;""),1,0),0)</f>
        <v/>
      </c>
      <c r="DC49">
        <f>IF(DC$4=1,IF(OR(INDEX('×入力'!$A$1:$L$1300,1099+DC$3,2+DC$2)&lt;&gt;"",INDEX('×入力'!$A$1:$L$1300,1098,2+DC$2)&lt;&gt;"",INDEX('×入力'!$A$1:$L$1300,1099+DC$3,1)&lt;&gt;""),1,0),0)</f>
        <v/>
      </c>
      <c r="DD49">
        <f>IF(DD$4=1,IF(OR(INDEX('×入力'!$A$1:$L$1300,1099+DD$3,2+DD$2)&lt;&gt;"",INDEX('×入力'!$A$1:$L$1300,1098,2+DD$2)&lt;&gt;"",INDEX('×入力'!$A$1:$L$1300,1099+DD$3,1)&lt;&gt;""),1,0),0)</f>
        <v/>
      </c>
      <c r="DE49">
        <f>IF(DE$4=1,IF(OR(INDEX('×入力'!$A$1:$L$1300,1099+DE$3,2+DE$2)&lt;&gt;"",INDEX('×入力'!$A$1:$L$1300,1098,2+DE$2)&lt;&gt;"",INDEX('×入力'!$A$1:$L$1300,1099+DE$3,1)&lt;&gt;""),1,0),0)</f>
        <v/>
      </c>
      <c r="DF49">
        <f>IF(DF$4=1,IF(OR(INDEX('×入力'!$A$1:$L$1300,1099+DF$3,2+DF$2)&lt;&gt;"",INDEX('×入力'!$A$1:$L$1300,1098,2+DF$2)&lt;&gt;"",INDEX('×入力'!$A$1:$L$1300,1099+DF$3,1)&lt;&gt;""),1,0),0)</f>
        <v/>
      </c>
      <c r="DG49">
        <f>IF(DG$4=1,IF(OR(INDEX('×入力'!$A$1:$L$1300,1099+DG$3,2+DG$2)&lt;&gt;"",INDEX('×入力'!$A$1:$L$1300,1098,2+DG$2)&lt;&gt;"",INDEX('×入力'!$A$1:$L$1300,1099+DG$3,1)&lt;&gt;""),1,0),0)</f>
        <v/>
      </c>
      <c r="DH49">
        <f>IF(DH$4=1,IF(OR(INDEX('×入力'!$A$1:$L$1300,1099+DH$3,2+DH$2)&lt;&gt;"",INDEX('×入力'!$A$1:$L$1300,1098,2+DH$2)&lt;&gt;"",INDEX('×入力'!$A$1:$L$1300,1099+DH$3,1)&lt;&gt;""),1,0),0)</f>
        <v/>
      </c>
      <c r="DI49">
        <f>IF(DI$4=1,IF(OR(INDEX('×入力'!$A$1:$L$1300,1099+DI$3,2+DI$2)&lt;&gt;"",INDEX('×入力'!$A$1:$L$1300,1098,2+DI$2)&lt;&gt;"",INDEX('×入力'!$A$1:$L$1300,1099+DI$3,1)&lt;&gt;""),1,0),0)</f>
        <v/>
      </c>
      <c r="DJ49">
        <f>IF(DJ$4=1,IF(OR(INDEX('×入力'!$A$1:$L$1300,1099+DJ$3,2+DJ$2)&lt;&gt;"",INDEX('×入力'!$A$1:$L$1300,1098,2+DJ$2)&lt;&gt;"",INDEX('×入力'!$A$1:$L$1300,1099+DJ$3,1)&lt;&gt;""),1,0),0)</f>
        <v/>
      </c>
      <c r="DK49">
        <f>IF(DK$4=1,IF(OR(INDEX('×入力'!$A$1:$L$1300,1099+DK$3,2+DK$2)&lt;&gt;"",INDEX('×入力'!$A$1:$L$1300,1098,2+DK$2)&lt;&gt;"",INDEX('×入力'!$A$1:$L$1300,1099+DK$3,1)&lt;&gt;""),1,0),0)</f>
        <v/>
      </c>
      <c r="DL49">
        <f>IF(DL$4=1,IF(OR(INDEX('×入力'!$A$1:$L$1300,1099+DL$3,2+DL$2)&lt;&gt;"",INDEX('×入力'!$A$1:$L$1300,1098,2+DL$2)&lt;&gt;"",INDEX('×入力'!$A$1:$L$1300,1099+DL$3,1)&lt;&gt;""),1,0),0)</f>
        <v/>
      </c>
      <c r="DM49">
        <f>IF(DM$4=1,IF(OR(INDEX('×入力'!$A$1:$L$1300,1099+DM$3,2+DM$2)&lt;&gt;"",INDEX('×入力'!$A$1:$L$1300,1098,2+DM$2)&lt;&gt;"",INDEX('×入力'!$A$1:$L$1300,1099+DM$3,1)&lt;&gt;""),1,0),0)</f>
        <v/>
      </c>
      <c r="DN49">
        <f>IF(DN$4=1,IF(OR(INDEX('×入力'!$A$1:$L$1300,1099+DN$3,2+DN$2)&lt;&gt;"",INDEX('×入力'!$A$1:$L$1300,1098,2+DN$2)&lt;&gt;"",INDEX('×入力'!$A$1:$L$1300,1099+DN$3,1)&lt;&gt;""),1,0),0)</f>
        <v/>
      </c>
      <c r="DO49">
        <f>IF(DO$4=1,IF(OR(INDEX('×入力'!$A$1:$L$1300,1099+DO$3,2+DO$2)&lt;&gt;"",INDEX('×入力'!$A$1:$L$1300,1098,2+DO$2)&lt;&gt;"",INDEX('×入力'!$A$1:$L$1300,1099+DO$3,1)&lt;&gt;""),1,0),0)</f>
        <v/>
      </c>
      <c r="DP49">
        <f>IF(DP$4=1,IF(OR(INDEX('×入力'!$A$1:$L$1300,1099+DP$3,2+DP$2)&lt;&gt;"",INDEX('×入力'!$A$1:$L$1300,1098,2+DP$2)&lt;&gt;"",INDEX('×入力'!$A$1:$L$1300,1099+DP$3,1)&lt;&gt;""),1,0),0)</f>
        <v/>
      </c>
      <c r="DQ49">
        <f>IF(DQ$4=1,IF(OR(INDEX('×入力'!$A$1:$L$1300,1099+DQ$3,2+DQ$2)&lt;&gt;"",INDEX('×入力'!$A$1:$L$1300,1098,2+DQ$2)&lt;&gt;"",INDEX('×入力'!$A$1:$L$1300,1099+DQ$3,1)&lt;&gt;""),1,0),0)</f>
        <v/>
      </c>
      <c r="DR49">
        <f>IF(DR$4=1,IF(OR(INDEX('×入力'!$A$1:$L$1300,1099+DR$3,2+DR$2)&lt;&gt;"",INDEX('×入力'!$A$1:$L$1300,1098,2+DR$2)&lt;&gt;"",INDEX('×入力'!$A$1:$L$1300,1099+DR$3,1)&lt;&gt;""),1,0),0)</f>
        <v/>
      </c>
      <c r="DS49">
        <f>IF(DS$4=1,IF(OR(INDEX('×入力'!$A$1:$L$1300,1099+DS$3,2+DS$2)&lt;&gt;"",INDEX('×入力'!$A$1:$L$1300,1098,2+DS$2)&lt;&gt;"",INDEX('×入力'!$A$1:$L$1300,1099+DS$3,1)&lt;&gt;""),1,0),0)</f>
        <v/>
      </c>
      <c r="DT49">
        <f>IF(DT$4=1,IF(OR(INDEX('×入力'!$A$1:$L$1300,1099+DT$3,2+DT$2)&lt;&gt;"",INDEX('×入力'!$A$1:$L$1300,1098,2+DT$2)&lt;&gt;"",INDEX('×入力'!$A$1:$L$1300,1099+DT$3,1)&lt;&gt;""),1,0),0)</f>
        <v/>
      </c>
      <c r="DU49">
        <f>IF(DU$4=1,IF(OR(INDEX('×入力'!$A$1:$L$1300,1099+DU$3,2+DU$2)&lt;&gt;"",INDEX('×入力'!$A$1:$L$1300,1098,2+DU$2)&lt;&gt;"",INDEX('×入力'!$A$1:$L$1300,1099+DU$3,1)&lt;&gt;""),1,0),0)</f>
        <v/>
      </c>
      <c r="DV49">
        <f>IF(DV$4=1,IF(OR(INDEX('×入力'!$A$1:$L$1300,1099+DV$3,2+DV$2)&lt;&gt;"",INDEX('×入力'!$A$1:$L$1300,1098,2+DV$2)&lt;&gt;"",INDEX('×入力'!$A$1:$L$1300,1099+DV$3,1)&lt;&gt;""),1,0),0)</f>
        <v/>
      </c>
      <c r="DW49">
        <f>IF(DW$4=1,IF(OR(INDEX('×入力'!$A$1:$L$1300,1099+DW$3,2+DW$2)&lt;&gt;"",INDEX('×入力'!$A$1:$L$1300,1098,2+DW$2)&lt;&gt;"",INDEX('×入力'!$A$1:$L$1300,1099+DW$3,1)&lt;&gt;""),1,0),0)</f>
        <v/>
      </c>
      <c r="DX49">
        <f>IF(DX$4=1,IF(OR(INDEX('×入力'!$A$1:$L$1300,1099+DX$3,2+DX$2)&lt;&gt;"",INDEX('×入力'!$A$1:$L$1300,1098,2+DX$2)&lt;&gt;"",INDEX('×入力'!$A$1:$L$1300,1099+DX$3,1)&lt;&gt;""),1,0),0)</f>
        <v/>
      </c>
      <c r="DY49">
        <f>IF(DY$4=1,IF(OR(INDEX('×入力'!$A$1:$L$1300,1099+DY$3,2+DY$2)&lt;&gt;"",INDEX('×入力'!$A$1:$L$1300,1098,2+DY$2)&lt;&gt;"",INDEX('×入力'!$A$1:$L$1300,1099+DY$3,1)&lt;&gt;""),1,0),0)</f>
        <v/>
      </c>
      <c r="DZ49">
        <f>IF(DZ$4=1,IF(OR(INDEX('×入力'!$A$1:$L$1300,1099+DZ$3,2+DZ$2)&lt;&gt;"",INDEX('×入力'!$A$1:$L$1300,1098,2+DZ$2)&lt;&gt;"",INDEX('×入力'!$A$1:$L$1300,1099+DZ$3,1)&lt;&gt;""),1,0),0)</f>
        <v/>
      </c>
      <c r="EA49">
        <f>IF(EA$4=1,IF(OR(INDEX('×入力'!$A$1:$L$1300,1099+EA$3,2+EA$2)&lt;&gt;"",INDEX('×入力'!$A$1:$L$1300,1098,2+EA$2)&lt;&gt;"",INDEX('×入力'!$A$1:$L$1300,1099+EA$3,1)&lt;&gt;""),1,0),0)</f>
        <v/>
      </c>
      <c r="EB49">
        <f>IF(EB$4=1,IF(OR(INDEX('×入力'!$A$1:$L$1300,1099+EB$3,2+EB$2)&lt;&gt;"",INDEX('×入力'!$A$1:$L$1300,1098,2+EB$2)&lt;&gt;"",INDEX('×入力'!$A$1:$L$1300,1099+EB$3,1)&lt;&gt;""),1,0),0)</f>
        <v/>
      </c>
      <c r="EC49">
        <f>IF(EC$4=1,IF(OR(INDEX('×入力'!$A$1:$L$1300,1099+EC$3,2+EC$2)&lt;&gt;"",INDEX('×入力'!$A$1:$L$1300,1098,2+EC$2)&lt;&gt;"",INDEX('×入力'!$A$1:$L$1300,1099+EC$3,1)&lt;&gt;""),1,0),0)</f>
        <v/>
      </c>
      <c r="ED49">
        <f>IF(ED$4=1,IF(OR(INDEX('×入力'!$A$1:$L$1300,1099+ED$3,2+ED$2)&lt;&gt;"",INDEX('×入力'!$A$1:$L$1300,1098,2+ED$2)&lt;&gt;"",INDEX('×入力'!$A$1:$L$1300,1099+ED$3,1)&lt;&gt;""),1,0),0)</f>
        <v/>
      </c>
      <c r="EE49">
        <f>IF(EE$4=1,IF(OR(INDEX('×入力'!$A$1:$L$1300,1099+EE$3,2+EE$2)&lt;&gt;"",INDEX('×入力'!$A$1:$L$1300,1098,2+EE$2)&lt;&gt;"",INDEX('×入力'!$A$1:$L$1300,1099+EE$3,1)&lt;&gt;""),1,0),0)</f>
        <v/>
      </c>
      <c r="EF49">
        <f>IF(EF$4=1,IF(OR(INDEX('×入力'!$A$1:$L$1300,1099+EF$3,2+EF$2)&lt;&gt;"",INDEX('×入力'!$A$1:$L$1300,1098,2+EF$2)&lt;&gt;"",INDEX('×入力'!$A$1:$L$1300,1099+EF$3,1)&lt;&gt;""),1,0),0)</f>
        <v/>
      </c>
      <c r="EG49">
        <f>IF(EG$4=1,IF(OR(INDEX('×入力'!$A$1:$L$1300,1099+EG$3,2+EG$2)&lt;&gt;"",INDEX('×入力'!$A$1:$L$1300,1098,2+EG$2)&lt;&gt;"",INDEX('×入力'!$A$1:$L$1300,1099+EG$3,1)&lt;&gt;""),1,0),0)</f>
        <v/>
      </c>
      <c r="EH49">
        <f>IF(EH$4=1,IF(OR(INDEX('×入力'!$A$1:$L$1300,1099+EH$3,2+EH$2)&lt;&gt;"",INDEX('×入力'!$A$1:$L$1300,1098,2+EH$2)&lt;&gt;"",INDEX('×入力'!$A$1:$L$1300,1099+EH$3,1)&lt;&gt;""),1,0),0)</f>
        <v/>
      </c>
      <c r="EI49">
        <f>IF(EI$4=1,IF(OR(INDEX('×入力'!$A$1:$L$1300,1099+EI$3,2+EI$2)&lt;&gt;"",INDEX('×入力'!$A$1:$L$1300,1098,2+EI$2)&lt;&gt;"",INDEX('×入力'!$A$1:$L$1300,1099+EI$3,1)&lt;&gt;""),1,0),0)</f>
        <v/>
      </c>
      <c r="EJ49">
        <f>IF(EJ$4=1,IF(OR(INDEX('×入力'!$A$1:$L$1300,1099+EJ$3,2+EJ$2)&lt;&gt;"",INDEX('×入力'!$A$1:$L$1300,1098,2+EJ$2)&lt;&gt;"",INDEX('×入力'!$A$1:$L$1300,1099+EJ$3,1)&lt;&gt;""),1,0),0)</f>
        <v/>
      </c>
      <c r="EK49">
        <f>IF(EK$4=1,IF(OR(INDEX('×入力'!$A$1:$L$1300,1099+EK$3,2+EK$2)&lt;&gt;"",INDEX('×入力'!$A$1:$L$1300,1098,2+EK$2)&lt;&gt;"",INDEX('×入力'!$A$1:$L$1300,1099+EK$3,1)&lt;&gt;""),1,0),0)</f>
        <v/>
      </c>
      <c r="EL49">
        <f>IF(EL$4=1,IF(OR(INDEX('×入力'!$A$1:$L$1300,1099+EL$3,2+EL$2)&lt;&gt;"",INDEX('×入力'!$A$1:$L$1300,1098,2+EL$2)&lt;&gt;"",INDEX('×入力'!$A$1:$L$1300,1099+EL$3,1)&lt;&gt;""),1,0),0)</f>
        <v/>
      </c>
      <c r="EM49">
        <f>IF(EM$4=1,IF(OR(INDEX('×入力'!$A$1:$L$1300,1099+EM$3,2+EM$2)&lt;&gt;"",INDEX('×入力'!$A$1:$L$1300,1098,2+EM$2)&lt;&gt;"",INDEX('×入力'!$A$1:$L$1300,1099+EM$3,1)&lt;&gt;""),1,0),0)</f>
        <v/>
      </c>
      <c r="EN49">
        <f>IF(EN$4=1,IF(OR(INDEX('×入力'!$A$1:$L$1300,1099+EN$3,2+EN$2)&lt;&gt;"",INDEX('×入力'!$A$1:$L$1300,1098,2+EN$2)&lt;&gt;"",INDEX('×入力'!$A$1:$L$1300,1099+EN$3,1)&lt;&gt;""),1,0),0)</f>
        <v/>
      </c>
      <c r="EO49">
        <f>IF(EO$4=1,IF(OR(INDEX('×入力'!$A$1:$L$1300,1099+EO$3,2+EO$2)&lt;&gt;"",INDEX('×入力'!$A$1:$L$1300,1098,2+EO$2)&lt;&gt;"",INDEX('×入力'!$A$1:$L$1300,1099+EO$3,1)&lt;&gt;""),1,0),0)</f>
        <v/>
      </c>
      <c r="EP49">
        <f>IF(EP$4=1,IF(OR(INDEX('×入力'!$A$1:$L$1300,1099+EP$3,2+EP$2)&lt;&gt;"",INDEX('×入力'!$A$1:$L$1300,1098,2+EP$2)&lt;&gt;"",INDEX('×入力'!$A$1:$L$1300,1099+EP$3,1)&lt;&gt;""),1,0),0)</f>
        <v/>
      </c>
      <c r="EQ49">
        <f>IF(EQ$4=1,IF(OR(INDEX('×入力'!$A$1:$L$1300,1099+EQ$3,2+EQ$2)&lt;&gt;"",INDEX('×入力'!$A$1:$L$1300,1098,2+EQ$2)&lt;&gt;"",INDEX('×入力'!$A$1:$L$1300,1099+EQ$3,1)&lt;&gt;""),1,0),0)</f>
        <v/>
      </c>
      <c r="HA49">
        <f>MAX(0,IT49)</f>
        <v/>
      </c>
      <c r="HB49">
        <f>IF(HA49=0,0,INDEX($D$2:$EQ$2,HA49))</f>
        <v/>
      </c>
      <c r="HC49">
        <f>IF(HA49=0,0,INDEX($D$3:$EQ$3,HA49))</f>
        <v/>
      </c>
      <c r="HD49">
        <f>MAX(0,IY49)</f>
        <v/>
      </c>
      <c r="HE49">
        <f>IF(HD49=0,0,INDEX($D$2:$EQ$2,HD49))</f>
        <v/>
      </c>
      <c r="HF49">
        <f>IF(HD49=0,0,INDEX($D$3:$EQ$3,HD49))</f>
        <v/>
      </c>
      <c r="HG49">
        <f>MAX(0,IZ49)</f>
        <v/>
      </c>
      <c r="HH49">
        <f>IF(HG49=0,0,INDEX($D$2:$EQ$2,HG49))</f>
        <v/>
      </c>
      <c r="HI49">
        <f>IF(HG49=0,0,INDEX($D$3:$EQ$3,HG49))</f>
        <v/>
      </c>
      <c r="HJ49">
        <f>IF(AND(HA49&gt;0,HC49&gt;1,OR(HC49-1&lt;&gt;$A$3,$A$4=0)),HA49-1,-1)</f>
        <v/>
      </c>
      <c r="HK49">
        <f>IF(AND(HA49&gt;0,HC49&lt;24,OR(HC49&lt;&gt;$A$3,$A$4=0)),HA49+1,-1)</f>
        <v/>
      </c>
      <c r="HL49">
        <f>IF(AND(HD49&gt;0,HF49&gt;1,OR(HF49-1&lt;&gt;$A$3,$A$4=0)),HD49-1,-1)</f>
        <v/>
      </c>
      <c r="HM49">
        <f>IF(AND(HD49&gt;0,HF49&lt;24,OR(HF49&lt;&gt;$A$3,$A$4=0)),HD49+1,-1)</f>
        <v/>
      </c>
      <c r="HN49">
        <f>IF(AND(HG49&gt;0,HI49&gt;1,OR(HI49-1&lt;&gt;$A$3,$A$4=0)),HG49-1,-1)</f>
        <v/>
      </c>
      <c r="HO49">
        <f>IF(AND(HG49&gt;0,HI49&lt;24,OR(HI49&lt;&gt;$A$3,$A$4=0)),HG49+1,-1)</f>
        <v/>
      </c>
      <c r="IK49">
        <f>IFERROR(INDEX('calcB'!$C$3:$C$47,MATCH(A49,'calcB'!$B$3:$B$47,0)),0)</f>
        <v/>
      </c>
      <c r="IL49">
        <f>IF(AND(C49=1,IK49=0,calcA!$A$6=1),1,0)</f>
        <v/>
      </c>
      <c r="IM49">
        <f>SUMPRODUCT(D99:EQ99*(1-$D$7:$EQ$7))</f>
        <v/>
      </c>
      <c r="IN49">
        <f>SUM(D49:EQ49)</f>
        <v/>
      </c>
      <c r="IO49">
        <f>IF(B49="",0,IF(COUNTIF('調整・決定'!$C$6:$H$29,B49)=1,SUMPRODUCT(('調整・決定'!$C$6:$H$29=B49)*((COLUMN('調整・決定'!$C$6:$H$29)-3)*24+ROW('調整・決定'!$C$6:$H$29)-5)),0))</f>
        <v/>
      </c>
      <c r="IP49">
        <f>IFERROR(MATCH('名簿'!C44,{"早い時刻","遅い時刻","早い日","遅い日"},0),0)</f>
        <v/>
      </c>
      <c r="IQ49">
        <f>IF('名簿'!D44="必ず空けたい",2,IF('名簿'!D44="出来れば空けたい",1,0))</f>
        <v/>
      </c>
      <c r="IR49">
        <f>IFERROR(INDEX('calcC'!$C$3:$C$47,MATCH(A49,'calcC'!$B$3:$B$47,0)),0)</f>
        <v/>
      </c>
      <c r="IS49">
        <f>IF(AND(C49=1,IR49=0,calcA!$A$6=1),1,0)</f>
        <v/>
      </c>
      <c r="IT49">
        <f>IF(OR('名簿'!G44="",'名簿'!H44=""),0,IFERROR((MATCH('名簿'!G44,'設定'!$E$11:$E$16,0)-1)*24+MATCH('名簿'!H44,'設定'!$I$11:$I$34,0),-1))</f>
        <v/>
      </c>
      <c r="IV49">
        <f>IF(OR(JF49=0,IO49=0),1,IF(OR(IF(IT49&gt;0,AND(INDEX($D$2:$EQ$2,IO49)=INDEX($D$2:$EQ$2,IT49),OR(AND(IO49=IT49+1,OR(INDEX($D$3:$EQ$3,IT49)&lt;&gt;$A$3,$A$4=0)),AND(IO49=IT49-1,OR(INDEX($D$3:$EQ$3,IO49)&lt;&gt;$A$3,$A$4=0)))),FALSE),IF(IY49&gt;0,AND(INDEX($D$2:$EQ$2,IO49)=INDEX($D$2:$EQ$2,IY49),OR(AND(IO49=IY49+1,OR(INDEX($D$3:$EQ$3,IY49)&lt;&gt;$A$3,$A$4=0)),AND(IO49=IY49-1,OR(INDEX($D$3:$EQ$3,IO49)&lt;&gt;$A$3,$A$4=0)))),FALSE),IF(IZ49&gt;0,AND(INDEX($D$2:$EQ$2,IO49)=INDEX($D$2:$EQ$2,IZ49),OR(AND(IO49=IZ49+1,OR(INDEX($D$3:$EQ$3,IZ49)&lt;&gt;$A$3,$A$4=0)),AND(IO49=IZ49-1,OR(INDEX($D$3:$EQ$3,IO49)&lt;&gt;$A$3,$A$4=0)))),FALSE)),1,0))</f>
        <v/>
      </c>
      <c r="IW49">
        <f>IF(AND('名簿'!E44&lt;&gt;"",JF49=0),1,0)</f>
        <v/>
      </c>
      <c r="IX49">
        <f>IF('名簿'!D44="空けない",1,0)</f>
        <v/>
      </c>
      <c r="IY49">
        <f>IF(OR('名簿'!J44="",'名簿'!K44=""),0,IFERROR((MATCH('名簿'!J44,'設定'!$E$11:$E$16,0)-1)*24+MATCH('名簿'!K44,'設定'!$I$11:$I$34,0),-1))</f>
        <v/>
      </c>
      <c r="IZ49">
        <f>IF(OR('名簿'!M44="",'名簿'!N44=""),0,IFERROR((MATCH('名簿'!M44,'設定'!$E$11:$E$16,0)-1)*24+MATCH('名簿'!N44,'設定'!$I$11:$I$34,0),-1))</f>
        <v/>
      </c>
      <c r="JC49">
        <f>IF(RIGHT('名簿'!I44,2)="の前",1,IF(RIGHT('名簿'!I44,2)="の後",2,0))</f>
        <v/>
      </c>
      <c r="JD49">
        <f>IF(RIGHT('名簿'!L44,2)="の前",1,IF(RIGHT('名簿'!L44,2)="の後",2,0))</f>
        <v/>
      </c>
      <c r="JE49">
        <f>IF(RIGHT('名簿'!O44,2)="の前",1,IF(RIGHT('名簿'!O44,2)="の後",2,0))</f>
        <v/>
      </c>
      <c r="JF49">
        <f>IF(OR(IT49&gt;0,IY49&gt;0,IZ49&gt;0),1,0)</f>
        <v/>
      </c>
      <c r="JG49">
        <f>IF(OR(IT49&lt;0,IY49&lt;0,IZ49&lt;0),1,0)</f>
        <v/>
      </c>
    </row>
    <row r="59">
      <c r="A59" t="inlineStr">
        <is>
          <t>入れられる枠（使える かつ ×なし）</t>
        </is>
      </c>
    </row>
    <row r="60">
      <c r="A60" t="n">
        <v>1</v>
      </c>
      <c r="D60">
        <f>IF(AND(D$4=1,D10=0),1,0)</f>
        <v/>
      </c>
      <c r="E60">
        <f>IF(AND(E$4=1,E10=0),1,0)</f>
        <v/>
      </c>
      <c r="F60">
        <f>IF(AND(F$4=1,F10=0),1,0)</f>
        <v/>
      </c>
      <c r="G60">
        <f>IF(AND(G$4=1,G10=0),1,0)</f>
        <v/>
      </c>
      <c r="H60">
        <f>IF(AND(H$4=1,H10=0),1,0)</f>
        <v/>
      </c>
      <c r="I60">
        <f>IF(AND(I$4=1,I10=0),1,0)</f>
        <v/>
      </c>
      <c r="J60">
        <f>IF(AND(J$4=1,J10=0),1,0)</f>
        <v/>
      </c>
      <c r="K60">
        <f>IF(AND(K$4=1,K10=0),1,0)</f>
        <v/>
      </c>
      <c r="L60">
        <f>IF(AND(L$4=1,L10=0),1,0)</f>
        <v/>
      </c>
      <c r="M60">
        <f>IF(AND(M$4=1,M10=0),1,0)</f>
        <v/>
      </c>
      <c r="N60">
        <f>IF(AND(N$4=1,N10=0),1,0)</f>
        <v/>
      </c>
      <c r="O60">
        <f>IF(AND(O$4=1,O10=0),1,0)</f>
        <v/>
      </c>
      <c r="P60">
        <f>IF(AND(P$4=1,P10=0),1,0)</f>
        <v/>
      </c>
      <c r="Q60">
        <f>IF(AND(Q$4=1,Q10=0),1,0)</f>
        <v/>
      </c>
      <c r="R60">
        <f>IF(AND(R$4=1,R10=0),1,0)</f>
        <v/>
      </c>
      <c r="S60">
        <f>IF(AND(S$4=1,S10=0),1,0)</f>
        <v/>
      </c>
      <c r="T60">
        <f>IF(AND(T$4=1,T10=0),1,0)</f>
        <v/>
      </c>
      <c r="U60">
        <f>IF(AND(U$4=1,U10=0),1,0)</f>
        <v/>
      </c>
      <c r="V60">
        <f>IF(AND(V$4=1,V10=0),1,0)</f>
        <v/>
      </c>
      <c r="W60">
        <f>IF(AND(W$4=1,W10=0),1,0)</f>
        <v/>
      </c>
      <c r="X60">
        <f>IF(AND(X$4=1,X10=0),1,0)</f>
        <v/>
      </c>
      <c r="Y60">
        <f>IF(AND(Y$4=1,Y10=0),1,0)</f>
        <v/>
      </c>
      <c r="Z60">
        <f>IF(AND(Z$4=1,Z10=0),1,0)</f>
        <v/>
      </c>
      <c r="AA60">
        <f>IF(AND(AA$4=1,AA10=0),1,0)</f>
        <v/>
      </c>
      <c r="AB60">
        <f>IF(AND(AB$4=1,AB10=0),1,0)</f>
        <v/>
      </c>
      <c r="AC60">
        <f>IF(AND(AC$4=1,AC10=0),1,0)</f>
        <v/>
      </c>
      <c r="AD60">
        <f>IF(AND(AD$4=1,AD10=0),1,0)</f>
        <v/>
      </c>
      <c r="AE60">
        <f>IF(AND(AE$4=1,AE10=0),1,0)</f>
        <v/>
      </c>
      <c r="AF60">
        <f>IF(AND(AF$4=1,AF10=0),1,0)</f>
        <v/>
      </c>
      <c r="AG60">
        <f>IF(AND(AG$4=1,AG10=0),1,0)</f>
        <v/>
      </c>
      <c r="AH60">
        <f>IF(AND(AH$4=1,AH10=0),1,0)</f>
        <v/>
      </c>
      <c r="AI60">
        <f>IF(AND(AI$4=1,AI10=0),1,0)</f>
        <v/>
      </c>
      <c r="AJ60">
        <f>IF(AND(AJ$4=1,AJ10=0),1,0)</f>
        <v/>
      </c>
      <c r="AK60">
        <f>IF(AND(AK$4=1,AK10=0),1,0)</f>
        <v/>
      </c>
      <c r="AL60">
        <f>IF(AND(AL$4=1,AL10=0),1,0)</f>
        <v/>
      </c>
      <c r="AM60">
        <f>IF(AND(AM$4=1,AM10=0),1,0)</f>
        <v/>
      </c>
      <c r="AN60">
        <f>IF(AND(AN$4=1,AN10=0),1,0)</f>
        <v/>
      </c>
      <c r="AO60">
        <f>IF(AND(AO$4=1,AO10=0),1,0)</f>
        <v/>
      </c>
      <c r="AP60">
        <f>IF(AND(AP$4=1,AP10=0),1,0)</f>
        <v/>
      </c>
      <c r="AQ60">
        <f>IF(AND(AQ$4=1,AQ10=0),1,0)</f>
        <v/>
      </c>
      <c r="AR60">
        <f>IF(AND(AR$4=1,AR10=0),1,0)</f>
        <v/>
      </c>
      <c r="AS60">
        <f>IF(AND(AS$4=1,AS10=0),1,0)</f>
        <v/>
      </c>
      <c r="AT60">
        <f>IF(AND(AT$4=1,AT10=0),1,0)</f>
        <v/>
      </c>
      <c r="AU60">
        <f>IF(AND(AU$4=1,AU10=0),1,0)</f>
        <v/>
      </c>
      <c r="AV60">
        <f>IF(AND(AV$4=1,AV10=0),1,0)</f>
        <v/>
      </c>
      <c r="AW60">
        <f>IF(AND(AW$4=1,AW10=0),1,0)</f>
        <v/>
      </c>
      <c r="AX60">
        <f>IF(AND(AX$4=1,AX10=0),1,0)</f>
        <v/>
      </c>
      <c r="AY60">
        <f>IF(AND(AY$4=1,AY10=0),1,0)</f>
        <v/>
      </c>
      <c r="AZ60">
        <f>IF(AND(AZ$4=1,AZ10=0),1,0)</f>
        <v/>
      </c>
      <c r="BA60">
        <f>IF(AND(BA$4=1,BA10=0),1,0)</f>
        <v/>
      </c>
      <c r="BB60">
        <f>IF(AND(BB$4=1,BB10=0),1,0)</f>
        <v/>
      </c>
      <c r="BC60">
        <f>IF(AND(BC$4=1,BC10=0),1,0)</f>
        <v/>
      </c>
      <c r="BD60">
        <f>IF(AND(BD$4=1,BD10=0),1,0)</f>
        <v/>
      </c>
      <c r="BE60">
        <f>IF(AND(BE$4=1,BE10=0),1,0)</f>
        <v/>
      </c>
      <c r="BF60">
        <f>IF(AND(BF$4=1,BF10=0),1,0)</f>
        <v/>
      </c>
      <c r="BG60">
        <f>IF(AND(BG$4=1,BG10=0),1,0)</f>
        <v/>
      </c>
      <c r="BH60">
        <f>IF(AND(BH$4=1,BH10=0),1,0)</f>
        <v/>
      </c>
      <c r="BI60">
        <f>IF(AND(BI$4=1,BI10=0),1,0)</f>
        <v/>
      </c>
      <c r="BJ60">
        <f>IF(AND(BJ$4=1,BJ10=0),1,0)</f>
        <v/>
      </c>
      <c r="BK60">
        <f>IF(AND(BK$4=1,BK10=0),1,0)</f>
        <v/>
      </c>
      <c r="BL60">
        <f>IF(AND(BL$4=1,BL10=0),1,0)</f>
        <v/>
      </c>
      <c r="BM60">
        <f>IF(AND(BM$4=1,BM10=0),1,0)</f>
        <v/>
      </c>
      <c r="BN60">
        <f>IF(AND(BN$4=1,BN10=0),1,0)</f>
        <v/>
      </c>
      <c r="BO60">
        <f>IF(AND(BO$4=1,BO10=0),1,0)</f>
        <v/>
      </c>
      <c r="BP60">
        <f>IF(AND(BP$4=1,BP10=0),1,0)</f>
        <v/>
      </c>
      <c r="BQ60">
        <f>IF(AND(BQ$4=1,BQ10=0),1,0)</f>
        <v/>
      </c>
      <c r="BR60">
        <f>IF(AND(BR$4=1,BR10=0),1,0)</f>
        <v/>
      </c>
      <c r="BS60">
        <f>IF(AND(BS$4=1,BS10=0),1,0)</f>
        <v/>
      </c>
      <c r="BT60">
        <f>IF(AND(BT$4=1,BT10=0),1,0)</f>
        <v/>
      </c>
      <c r="BU60">
        <f>IF(AND(BU$4=1,BU10=0),1,0)</f>
        <v/>
      </c>
      <c r="BV60">
        <f>IF(AND(BV$4=1,BV10=0),1,0)</f>
        <v/>
      </c>
      <c r="BW60">
        <f>IF(AND(BW$4=1,BW10=0),1,0)</f>
        <v/>
      </c>
      <c r="BX60">
        <f>IF(AND(BX$4=1,BX10=0),1,0)</f>
        <v/>
      </c>
      <c r="BY60">
        <f>IF(AND(BY$4=1,BY10=0),1,0)</f>
        <v/>
      </c>
      <c r="BZ60">
        <f>IF(AND(BZ$4=1,BZ10=0),1,0)</f>
        <v/>
      </c>
      <c r="CA60">
        <f>IF(AND(CA$4=1,CA10=0),1,0)</f>
        <v/>
      </c>
      <c r="CB60">
        <f>IF(AND(CB$4=1,CB10=0),1,0)</f>
        <v/>
      </c>
      <c r="CC60">
        <f>IF(AND(CC$4=1,CC10=0),1,0)</f>
        <v/>
      </c>
      <c r="CD60">
        <f>IF(AND(CD$4=1,CD10=0),1,0)</f>
        <v/>
      </c>
      <c r="CE60">
        <f>IF(AND(CE$4=1,CE10=0),1,0)</f>
        <v/>
      </c>
      <c r="CF60">
        <f>IF(AND(CF$4=1,CF10=0),1,0)</f>
        <v/>
      </c>
      <c r="CG60">
        <f>IF(AND(CG$4=1,CG10=0),1,0)</f>
        <v/>
      </c>
      <c r="CH60">
        <f>IF(AND(CH$4=1,CH10=0),1,0)</f>
        <v/>
      </c>
      <c r="CI60">
        <f>IF(AND(CI$4=1,CI10=0),1,0)</f>
        <v/>
      </c>
      <c r="CJ60">
        <f>IF(AND(CJ$4=1,CJ10=0),1,0)</f>
        <v/>
      </c>
      <c r="CK60">
        <f>IF(AND(CK$4=1,CK10=0),1,0)</f>
        <v/>
      </c>
      <c r="CL60">
        <f>IF(AND(CL$4=1,CL10=0),1,0)</f>
        <v/>
      </c>
      <c r="CM60">
        <f>IF(AND(CM$4=1,CM10=0),1,0)</f>
        <v/>
      </c>
      <c r="CN60">
        <f>IF(AND(CN$4=1,CN10=0),1,0)</f>
        <v/>
      </c>
      <c r="CO60">
        <f>IF(AND(CO$4=1,CO10=0),1,0)</f>
        <v/>
      </c>
      <c r="CP60">
        <f>IF(AND(CP$4=1,CP10=0),1,0)</f>
        <v/>
      </c>
      <c r="CQ60">
        <f>IF(AND(CQ$4=1,CQ10=0),1,0)</f>
        <v/>
      </c>
      <c r="CR60">
        <f>IF(AND(CR$4=1,CR10=0),1,0)</f>
        <v/>
      </c>
      <c r="CS60">
        <f>IF(AND(CS$4=1,CS10=0),1,0)</f>
        <v/>
      </c>
      <c r="CT60">
        <f>IF(AND(CT$4=1,CT10=0),1,0)</f>
        <v/>
      </c>
      <c r="CU60">
        <f>IF(AND(CU$4=1,CU10=0),1,0)</f>
        <v/>
      </c>
      <c r="CV60">
        <f>IF(AND(CV$4=1,CV10=0),1,0)</f>
        <v/>
      </c>
      <c r="CW60">
        <f>IF(AND(CW$4=1,CW10=0),1,0)</f>
        <v/>
      </c>
      <c r="CX60">
        <f>IF(AND(CX$4=1,CX10=0),1,0)</f>
        <v/>
      </c>
      <c r="CY60">
        <f>IF(AND(CY$4=1,CY10=0),1,0)</f>
        <v/>
      </c>
      <c r="CZ60">
        <f>IF(AND(CZ$4=1,CZ10=0),1,0)</f>
        <v/>
      </c>
      <c r="DA60">
        <f>IF(AND(DA$4=1,DA10=0),1,0)</f>
        <v/>
      </c>
      <c r="DB60">
        <f>IF(AND(DB$4=1,DB10=0),1,0)</f>
        <v/>
      </c>
      <c r="DC60">
        <f>IF(AND(DC$4=1,DC10=0),1,0)</f>
        <v/>
      </c>
      <c r="DD60">
        <f>IF(AND(DD$4=1,DD10=0),1,0)</f>
        <v/>
      </c>
      <c r="DE60">
        <f>IF(AND(DE$4=1,DE10=0),1,0)</f>
        <v/>
      </c>
      <c r="DF60">
        <f>IF(AND(DF$4=1,DF10=0),1,0)</f>
        <v/>
      </c>
      <c r="DG60">
        <f>IF(AND(DG$4=1,DG10=0),1,0)</f>
        <v/>
      </c>
      <c r="DH60">
        <f>IF(AND(DH$4=1,DH10=0),1,0)</f>
        <v/>
      </c>
      <c r="DI60">
        <f>IF(AND(DI$4=1,DI10=0),1,0)</f>
        <v/>
      </c>
      <c r="DJ60">
        <f>IF(AND(DJ$4=1,DJ10=0),1,0)</f>
        <v/>
      </c>
      <c r="DK60">
        <f>IF(AND(DK$4=1,DK10=0),1,0)</f>
        <v/>
      </c>
      <c r="DL60">
        <f>IF(AND(DL$4=1,DL10=0),1,0)</f>
        <v/>
      </c>
      <c r="DM60">
        <f>IF(AND(DM$4=1,DM10=0),1,0)</f>
        <v/>
      </c>
      <c r="DN60">
        <f>IF(AND(DN$4=1,DN10=0),1,0)</f>
        <v/>
      </c>
      <c r="DO60">
        <f>IF(AND(DO$4=1,DO10=0),1,0)</f>
        <v/>
      </c>
      <c r="DP60">
        <f>IF(AND(DP$4=1,DP10=0),1,0)</f>
        <v/>
      </c>
      <c r="DQ60">
        <f>IF(AND(DQ$4=1,DQ10=0),1,0)</f>
        <v/>
      </c>
      <c r="DR60">
        <f>IF(AND(DR$4=1,DR10=0),1,0)</f>
        <v/>
      </c>
      <c r="DS60">
        <f>IF(AND(DS$4=1,DS10=0),1,0)</f>
        <v/>
      </c>
      <c r="DT60">
        <f>IF(AND(DT$4=1,DT10=0),1,0)</f>
        <v/>
      </c>
      <c r="DU60">
        <f>IF(AND(DU$4=1,DU10=0),1,0)</f>
        <v/>
      </c>
      <c r="DV60">
        <f>IF(AND(DV$4=1,DV10=0),1,0)</f>
        <v/>
      </c>
      <c r="DW60">
        <f>IF(AND(DW$4=1,DW10=0),1,0)</f>
        <v/>
      </c>
      <c r="DX60">
        <f>IF(AND(DX$4=1,DX10=0),1,0)</f>
        <v/>
      </c>
      <c r="DY60">
        <f>IF(AND(DY$4=1,DY10=0),1,0)</f>
        <v/>
      </c>
      <c r="DZ60">
        <f>IF(AND(DZ$4=1,DZ10=0),1,0)</f>
        <v/>
      </c>
      <c r="EA60">
        <f>IF(AND(EA$4=1,EA10=0),1,0)</f>
        <v/>
      </c>
      <c r="EB60">
        <f>IF(AND(EB$4=1,EB10=0),1,0)</f>
        <v/>
      </c>
      <c r="EC60">
        <f>IF(AND(EC$4=1,EC10=0),1,0)</f>
        <v/>
      </c>
      <c r="ED60">
        <f>IF(AND(ED$4=1,ED10=0),1,0)</f>
        <v/>
      </c>
      <c r="EE60">
        <f>IF(AND(EE$4=1,EE10=0),1,0)</f>
        <v/>
      </c>
      <c r="EF60">
        <f>IF(AND(EF$4=1,EF10=0),1,0)</f>
        <v/>
      </c>
      <c r="EG60">
        <f>IF(AND(EG$4=1,EG10=0),1,0)</f>
        <v/>
      </c>
      <c r="EH60">
        <f>IF(AND(EH$4=1,EH10=0),1,0)</f>
        <v/>
      </c>
      <c r="EI60">
        <f>IF(AND(EI$4=1,EI10=0),1,0)</f>
        <v/>
      </c>
      <c r="EJ60">
        <f>IF(AND(EJ$4=1,EJ10=0),1,0)</f>
        <v/>
      </c>
      <c r="EK60">
        <f>IF(AND(EK$4=1,EK10=0),1,0)</f>
        <v/>
      </c>
      <c r="EL60">
        <f>IF(AND(EL$4=1,EL10=0),1,0)</f>
        <v/>
      </c>
      <c r="EM60">
        <f>IF(AND(EM$4=1,EM10=0),1,0)</f>
        <v/>
      </c>
      <c r="EN60">
        <f>IF(AND(EN$4=1,EN10=0),1,0)</f>
        <v/>
      </c>
      <c r="EO60">
        <f>IF(AND(EO$4=1,EO10=0),1,0)</f>
        <v/>
      </c>
      <c r="EP60">
        <f>IF(AND(EP$4=1,EP10=0),1,0)</f>
        <v/>
      </c>
      <c r="EQ60">
        <f>IF(AND(EQ$4=1,EQ10=0),1,0)</f>
        <v/>
      </c>
    </row>
    <row r="61">
      <c r="A61" t="n">
        <v>2</v>
      </c>
      <c r="D61">
        <f>IF(AND(D$4=1,D11=0),1,0)</f>
        <v/>
      </c>
      <c r="E61">
        <f>IF(AND(E$4=1,E11=0),1,0)</f>
        <v/>
      </c>
      <c r="F61">
        <f>IF(AND(F$4=1,F11=0),1,0)</f>
        <v/>
      </c>
      <c r="G61">
        <f>IF(AND(G$4=1,G11=0),1,0)</f>
        <v/>
      </c>
      <c r="H61">
        <f>IF(AND(H$4=1,H11=0),1,0)</f>
        <v/>
      </c>
      <c r="I61">
        <f>IF(AND(I$4=1,I11=0),1,0)</f>
        <v/>
      </c>
      <c r="J61">
        <f>IF(AND(J$4=1,J11=0),1,0)</f>
        <v/>
      </c>
      <c r="K61">
        <f>IF(AND(K$4=1,K11=0),1,0)</f>
        <v/>
      </c>
      <c r="L61">
        <f>IF(AND(L$4=1,L11=0),1,0)</f>
        <v/>
      </c>
      <c r="M61">
        <f>IF(AND(M$4=1,M11=0),1,0)</f>
        <v/>
      </c>
      <c r="N61">
        <f>IF(AND(N$4=1,N11=0),1,0)</f>
        <v/>
      </c>
      <c r="O61">
        <f>IF(AND(O$4=1,O11=0),1,0)</f>
        <v/>
      </c>
      <c r="P61">
        <f>IF(AND(P$4=1,P11=0),1,0)</f>
        <v/>
      </c>
      <c r="Q61">
        <f>IF(AND(Q$4=1,Q11=0),1,0)</f>
        <v/>
      </c>
      <c r="R61">
        <f>IF(AND(R$4=1,R11=0),1,0)</f>
        <v/>
      </c>
      <c r="S61">
        <f>IF(AND(S$4=1,S11=0),1,0)</f>
        <v/>
      </c>
      <c r="T61">
        <f>IF(AND(T$4=1,T11=0),1,0)</f>
        <v/>
      </c>
      <c r="U61">
        <f>IF(AND(U$4=1,U11=0),1,0)</f>
        <v/>
      </c>
      <c r="V61">
        <f>IF(AND(V$4=1,V11=0),1,0)</f>
        <v/>
      </c>
      <c r="W61">
        <f>IF(AND(W$4=1,W11=0),1,0)</f>
        <v/>
      </c>
      <c r="X61">
        <f>IF(AND(X$4=1,X11=0),1,0)</f>
        <v/>
      </c>
      <c r="Y61">
        <f>IF(AND(Y$4=1,Y11=0),1,0)</f>
        <v/>
      </c>
      <c r="Z61">
        <f>IF(AND(Z$4=1,Z11=0),1,0)</f>
        <v/>
      </c>
      <c r="AA61">
        <f>IF(AND(AA$4=1,AA11=0),1,0)</f>
        <v/>
      </c>
      <c r="AB61">
        <f>IF(AND(AB$4=1,AB11=0),1,0)</f>
        <v/>
      </c>
      <c r="AC61">
        <f>IF(AND(AC$4=1,AC11=0),1,0)</f>
        <v/>
      </c>
      <c r="AD61">
        <f>IF(AND(AD$4=1,AD11=0),1,0)</f>
        <v/>
      </c>
      <c r="AE61">
        <f>IF(AND(AE$4=1,AE11=0),1,0)</f>
        <v/>
      </c>
      <c r="AF61">
        <f>IF(AND(AF$4=1,AF11=0),1,0)</f>
        <v/>
      </c>
      <c r="AG61">
        <f>IF(AND(AG$4=1,AG11=0),1,0)</f>
        <v/>
      </c>
      <c r="AH61">
        <f>IF(AND(AH$4=1,AH11=0),1,0)</f>
        <v/>
      </c>
      <c r="AI61">
        <f>IF(AND(AI$4=1,AI11=0),1,0)</f>
        <v/>
      </c>
      <c r="AJ61">
        <f>IF(AND(AJ$4=1,AJ11=0),1,0)</f>
        <v/>
      </c>
      <c r="AK61">
        <f>IF(AND(AK$4=1,AK11=0),1,0)</f>
        <v/>
      </c>
      <c r="AL61">
        <f>IF(AND(AL$4=1,AL11=0),1,0)</f>
        <v/>
      </c>
      <c r="AM61">
        <f>IF(AND(AM$4=1,AM11=0),1,0)</f>
        <v/>
      </c>
      <c r="AN61">
        <f>IF(AND(AN$4=1,AN11=0),1,0)</f>
        <v/>
      </c>
      <c r="AO61">
        <f>IF(AND(AO$4=1,AO11=0),1,0)</f>
        <v/>
      </c>
      <c r="AP61">
        <f>IF(AND(AP$4=1,AP11=0),1,0)</f>
        <v/>
      </c>
      <c r="AQ61">
        <f>IF(AND(AQ$4=1,AQ11=0),1,0)</f>
        <v/>
      </c>
      <c r="AR61">
        <f>IF(AND(AR$4=1,AR11=0),1,0)</f>
        <v/>
      </c>
      <c r="AS61">
        <f>IF(AND(AS$4=1,AS11=0),1,0)</f>
        <v/>
      </c>
      <c r="AT61">
        <f>IF(AND(AT$4=1,AT11=0),1,0)</f>
        <v/>
      </c>
      <c r="AU61">
        <f>IF(AND(AU$4=1,AU11=0),1,0)</f>
        <v/>
      </c>
      <c r="AV61">
        <f>IF(AND(AV$4=1,AV11=0),1,0)</f>
        <v/>
      </c>
      <c r="AW61">
        <f>IF(AND(AW$4=1,AW11=0),1,0)</f>
        <v/>
      </c>
      <c r="AX61">
        <f>IF(AND(AX$4=1,AX11=0),1,0)</f>
        <v/>
      </c>
      <c r="AY61">
        <f>IF(AND(AY$4=1,AY11=0),1,0)</f>
        <v/>
      </c>
      <c r="AZ61">
        <f>IF(AND(AZ$4=1,AZ11=0),1,0)</f>
        <v/>
      </c>
      <c r="BA61">
        <f>IF(AND(BA$4=1,BA11=0),1,0)</f>
        <v/>
      </c>
      <c r="BB61">
        <f>IF(AND(BB$4=1,BB11=0),1,0)</f>
        <v/>
      </c>
      <c r="BC61">
        <f>IF(AND(BC$4=1,BC11=0),1,0)</f>
        <v/>
      </c>
      <c r="BD61">
        <f>IF(AND(BD$4=1,BD11=0),1,0)</f>
        <v/>
      </c>
      <c r="BE61">
        <f>IF(AND(BE$4=1,BE11=0),1,0)</f>
        <v/>
      </c>
      <c r="BF61">
        <f>IF(AND(BF$4=1,BF11=0),1,0)</f>
        <v/>
      </c>
      <c r="BG61">
        <f>IF(AND(BG$4=1,BG11=0),1,0)</f>
        <v/>
      </c>
      <c r="BH61">
        <f>IF(AND(BH$4=1,BH11=0),1,0)</f>
        <v/>
      </c>
      <c r="BI61">
        <f>IF(AND(BI$4=1,BI11=0),1,0)</f>
        <v/>
      </c>
      <c r="BJ61">
        <f>IF(AND(BJ$4=1,BJ11=0),1,0)</f>
        <v/>
      </c>
      <c r="BK61">
        <f>IF(AND(BK$4=1,BK11=0),1,0)</f>
        <v/>
      </c>
      <c r="BL61">
        <f>IF(AND(BL$4=1,BL11=0),1,0)</f>
        <v/>
      </c>
      <c r="BM61">
        <f>IF(AND(BM$4=1,BM11=0),1,0)</f>
        <v/>
      </c>
      <c r="BN61">
        <f>IF(AND(BN$4=1,BN11=0),1,0)</f>
        <v/>
      </c>
      <c r="BO61">
        <f>IF(AND(BO$4=1,BO11=0),1,0)</f>
        <v/>
      </c>
      <c r="BP61">
        <f>IF(AND(BP$4=1,BP11=0),1,0)</f>
        <v/>
      </c>
      <c r="BQ61">
        <f>IF(AND(BQ$4=1,BQ11=0),1,0)</f>
        <v/>
      </c>
      <c r="BR61">
        <f>IF(AND(BR$4=1,BR11=0),1,0)</f>
        <v/>
      </c>
      <c r="BS61">
        <f>IF(AND(BS$4=1,BS11=0),1,0)</f>
        <v/>
      </c>
      <c r="BT61">
        <f>IF(AND(BT$4=1,BT11=0),1,0)</f>
        <v/>
      </c>
      <c r="BU61">
        <f>IF(AND(BU$4=1,BU11=0),1,0)</f>
        <v/>
      </c>
      <c r="BV61">
        <f>IF(AND(BV$4=1,BV11=0),1,0)</f>
        <v/>
      </c>
      <c r="BW61">
        <f>IF(AND(BW$4=1,BW11=0),1,0)</f>
        <v/>
      </c>
      <c r="BX61">
        <f>IF(AND(BX$4=1,BX11=0),1,0)</f>
        <v/>
      </c>
      <c r="BY61">
        <f>IF(AND(BY$4=1,BY11=0),1,0)</f>
        <v/>
      </c>
      <c r="BZ61">
        <f>IF(AND(BZ$4=1,BZ11=0),1,0)</f>
        <v/>
      </c>
      <c r="CA61">
        <f>IF(AND(CA$4=1,CA11=0),1,0)</f>
        <v/>
      </c>
      <c r="CB61">
        <f>IF(AND(CB$4=1,CB11=0),1,0)</f>
        <v/>
      </c>
      <c r="CC61">
        <f>IF(AND(CC$4=1,CC11=0),1,0)</f>
        <v/>
      </c>
      <c r="CD61">
        <f>IF(AND(CD$4=1,CD11=0),1,0)</f>
        <v/>
      </c>
      <c r="CE61">
        <f>IF(AND(CE$4=1,CE11=0),1,0)</f>
        <v/>
      </c>
      <c r="CF61">
        <f>IF(AND(CF$4=1,CF11=0),1,0)</f>
        <v/>
      </c>
      <c r="CG61">
        <f>IF(AND(CG$4=1,CG11=0),1,0)</f>
        <v/>
      </c>
      <c r="CH61">
        <f>IF(AND(CH$4=1,CH11=0),1,0)</f>
        <v/>
      </c>
      <c r="CI61">
        <f>IF(AND(CI$4=1,CI11=0),1,0)</f>
        <v/>
      </c>
      <c r="CJ61">
        <f>IF(AND(CJ$4=1,CJ11=0),1,0)</f>
        <v/>
      </c>
      <c r="CK61">
        <f>IF(AND(CK$4=1,CK11=0),1,0)</f>
        <v/>
      </c>
      <c r="CL61">
        <f>IF(AND(CL$4=1,CL11=0),1,0)</f>
        <v/>
      </c>
      <c r="CM61">
        <f>IF(AND(CM$4=1,CM11=0),1,0)</f>
        <v/>
      </c>
      <c r="CN61">
        <f>IF(AND(CN$4=1,CN11=0),1,0)</f>
        <v/>
      </c>
      <c r="CO61">
        <f>IF(AND(CO$4=1,CO11=0),1,0)</f>
        <v/>
      </c>
      <c r="CP61">
        <f>IF(AND(CP$4=1,CP11=0),1,0)</f>
        <v/>
      </c>
      <c r="CQ61">
        <f>IF(AND(CQ$4=1,CQ11=0),1,0)</f>
        <v/>
      </c>
      <c r="CR61">
        <f>IF(AND(CR$4=1,CR11=0),1,0)</f>
        <v/>
      </c>
      <c r="CS61">
        <f>IF(AND(CS$4=1,CS11=0),1,0)</f>
        <v/>
      </c>
      <c r="CT61">
        <f>IF(AND(CT$4=1,CT11=0),1,0)</f>
        <v/>
      </c>
      <c r="CU61">
        <f>IF(AND(CU$4=1,CU11=0),1,0)</f>
        <v/>
      </c>
      <c r="CV61">
        <f>IF(AND(CV$4=1,CV11=0),1,0)</f>
        <v/>
      </c>
      <c r="CW61">
        <f>IF(AND(CW$4=1,CW11=0),1,0)</f>
        <v/>
      </c>
      <c r="CX61">
        <f>IF(AND(CX$4=1,CX11=0),1,0)</f>
        <v/>
      </c>
      <c r="CY61">
        <f>IF(AND(CY$4=1,CY11=0),1,0)</f>
        <v/>
      </c>
      <c r="CZ61">
        <f>IF(AND(CZ$4=1,CZ11=0),1,0)</f>
        <v/>
      </c>
      <c r="DA61">
        <f>IF(AND(DA$4=1,DA11=0),1,0)</f>
        <v/>
      </c>
      <c r="DB61">
        <f>IF(AND(DB$4=1,DB11=0),1,0)</f>
        <v/>
      </c>
      <c r="DC61">
        <f>IF(AND(DC$4=1,DC11=0),1,0)</f>
        <v/>
      </c>
      <c r="DD61">
        <f>IF(AND(DD$4=1,DD11=0),1,0)</f>
        <v/>
      </c>
      <c r="DE61">
        <f>IF(AND(DE$4=1,DE11=0),1,0)</f>
        <v/>
      </c>
      <c r="DF61">
        <f>IF(AND(DF$4=1,DF11=0),1,0)</f>
        <v/>
      </c>
      <c r="DG61">
        <f>IF(AND(DG$4=1,DG11=0),1,0)</f>
        <v/>
      </c>
      <c r="DH61">
        <f>IF(AND(DH$4=1,DH11=0),1,0)</f>
        <v/>
      </c>
      <c r="DI61">
        <f>IF(AND(DI$4=1,DI11=0),1,0)</f>
        <v/>
      </c>
      <c r="DJ61">
        <f>IF(AND(DJ$4=1,DJ11=0),1,0)</f>
        <v/>
      </c>
      <c r="DK61">
        <f>IF(AND(DK$4=1,DK11=0),1,0)</f>
        <v/>
      </c>
      <c r="DL61">
        <f>IF(AND(DL$4=1,DL11=0),1,0)</f>
        <v/>
      </c>
      <c r="DM61">
        <f>IF(AND(DM$4=1,DM11=0),1,0)</f>
        <v/>
      </c>
      <c r="DN61">
        <f>IF(AND(DN$4=1,DN11=0),1,0)</f>
        <v/>
      </c>
      <c r="DO61">
        <f>IF(AND(DO$4=1,DO11=0),1,0)</f>
        <v/>
      </c>
      <c r="DP61">
        <f>IF(AND(DP$4=1,DP11=0),1,0)</f>
        <v/>
      </c>
      <c r="DQ61">
        <f>IF(AND(DQ$4=1,DQ11=0),1,0)</f>
        <v/>
      </c>
      <c r="DR61">
        <f>IF(AND(DR$4=1,DR11=0),1,0)</f>
        <v/>
      </c>
      <c r="DS61">
        <f>IF(AND(DS$4=1,DS11=0),1,0)</f>
        <v/>
      </c>
      <c r="DT61">
        <f>IF(AND(DT$4=1,DT11=0),1,0)</f>
        <v/>
      </c>
      <c r="DU61">
        <f>IF(AND(DU$4=1,DU11=0),1,0)</f>
        <v/>
      </c>
      <c r="DV61">
        <f>IF(AND(DV$4=1,DV11=0),1,0)</f>
        <v/>
      </c>
      <c r="DW61">
        <f>IF(AND(DW$4=1,DW11=0),1,0)</f>
        <v/>
      </c>
      <c r="DX61">
        <f>IF(AND(DX$4=1,DX11=0),1,0)</f>
        <v/>
      </c>
      <c r="DY61">
        <f>IF(AND(DY$4=1,DY11=0),1,0)</f>
        <v/>
      </c>
      <c r="DZ61">
        <f>IF(AND(DZ$4=1,DZ11=0),1,0)</f>
        <v/>
      </c>
      <c r="EA61">
        <f>IF(AND(EA$4=1,EA11=0),1,0)</f>
        <v/>
      </c>
      <c r="EB61">
        <f>IF(AND(EB$4=1,EB11=0),1,0)</f>
        <v/>
      </c>
      <c r="EC61">
        <f>IF(AND(EC$4=1,EC11=0),1,0)</f>
        <v/>
      </c>
      <c r="ED61">
        <f>IF(AND(ED$4=1,ED11=0),1,0)</f>
        <v/>
      </c>
      <c r="EE61">
        <f>IF(AND(EE$4=1,EE11=0),1,0)</f>
        <v/>
      </c>
      <c r="EF61">
        <f>IF(AND(EF$4=1,EF11=0),1,0)</f>
        <v/>
      </c>
      <c r="EG61">
        <f>IF(AND(EG$4=1,EG11=0),1,0)</f>
        <v/>
      </c>
      <c r="EH61">
        <f>IF(AND(EH$4=1,EH11=0),1,0)</f>
        <v/>
      </c>
      <c r="EI61">
        <f>IF(AND(EI$4=1,EI11=0),1,0)</f>
        <v/>
      </c>
      <c r="EJ61">
        <f>IF(AND(EJ$4=1,EJ11=0),1,0)</f>
        <v/>
      </c>
      <c r="EK61">
        <f>IF(AND(EK$4=1,EK11=0),1,0)</f>
        <v/>
      </c>
      <c r="EL61">
        <f>IF(AND(EL$4=1,EL11=0),1,0)</f>
        <v/>
      </c>
      <c r="EM61">
        <f>IF(AND(EM$4=1,EM11=0),1,0)</f>
        <v/>
      </c>
      <c r="EN61">
        <f>IF(AND(EN$4=1,EN11=0),1,0)</f>
        <v/>
      </c>
      <c r="EO61">
        <f>IF(AND(EO$4=1,EO11=0),1,0)</f>
        <v/>
      </c>
      <c r="EP61">
        <f>IF(AND(EP$4=1,EP11=0),1,0)</f>
        <v/>
      </c>
      <c r="EQ61">
        <f>IF(AND(EQ$4=1,EQ11=0),1,0)</f>
        <v/>
      </c>
    </row>
    <row r="62">
      <c r="A62" t="n">
        <v>3</v>
      </c>
      <c r="D62">
        <f>IF(AND(D$4=1,D12=0),1,0)</f>
        <v/>
      </c>
      <c r="E62">
        <f>IF(AND(E$4=1,E12=0),1,0)</f>
        <v/>
      </c>
      <c r="F62">
        <f>IF(AND(F$4=1,F12=0),1,0)</f>
        <v/>
      </c>
      <c r="G62">
        <f>IF(AND(G$4=1,G12=0),1,0)</f>
        <v/>
      </c>
      <c r="H62">
        <f>IF(AND(H$4=1,H12=0),1,0)</f>
        <v/>
      </c>
      <c r="I62">
        <f>IF(AND(I$4=1,I12=0),1,0)</f>
        <v/>
      </c>
      <c r="J62">
        <f>IF(AND(J$4=1,J12=0),1,0)</f>
        <v/>
      </c>
      <c r="K62">
        <f>IF(AND(K$4=1,K12=0),1,0)</f>
        <v/>
      </c>
      <c r="L62">
        <f>IF(AND(L$4=1,L12=0),1,0)</f>
        <v/>
      </c>
      <c r="M62">
        <f>IF(AND(M$4=1,M12=0),1,0)</f>
        <v/>
      </c>
      <c r="N62">
        <f>IF(AND(N$4=1,N12=0),1,0)</f>
        <v/>
      </c>
      <c r="O62">
        <f>IF(AND(O$4=1,O12=0),1,0)</f>
        <v/>
      </c>
      <c r="P62">
        <f>IF(AND(P$4=1,P12=0),1,0)</f>
        <v/>
      </c>
      <c r="Q62">
        <f>IF(AND(Q$4=1,Q12=0),1,0)</f>
        <v/>
      </c>
      <c r="R62">
        <f>IF(AND(R$4=1,R12=0),1,0)</f>
        <v/>
      </c>
      <c r="S62">
        <f>IF(AND(S$4=1,S12=0),1,0)</f>
        <v/>
      </c>
      <c r="T62">
        <f>IF(AND(T$4=1,T12=0),1,0)</f>
        <v/>
      </c>
      <c r="U62">
        <f>IF(AND(U$4=1,U12=0),1,0)</f>
        <v/>
      </c>
      <c r="V62">
        <f>IF(AND(V$4=1,V12=0),1,0)</f>
        <v/>
      </c>
      <c r="W62">
        <f>IF(AND(W$4=1,W12=0),1,0)</f>
        <v/>
      </c>
      <c r="X62">
        <f>IF(AND(X$4=1,X12=0),1,0)</f>
        <v/>
      </c>
      <c r="Y62">
        <f>IF(AND(Y$4=1,Y12=0),1,0)</f>
        <v/>
      </c>
      <c r="Z62">
        <f>IF(AND(Z$4=1,Z12=0),1,0)</f>
        <v/>
      </c>
      <c r="AA62">
        <f>IF(AND(AA$4=1,AA12=0),1,0)</f>
        <v/>
      </c>
      <c r="AB62">
        <f>IF(AND(AB$4=1,AB12=0),1,0)</f>
        <v/>
      </c>
      <c r="AC62">
        <f>IF(AND(AC$4=1,AC12=0),1,0)</f>
        <v/>
      </c>
      <c r="AD62">
        <f>IF(AND(AD$4=1,AD12=0),1,0)</f>
        <v/>
      </c>
      <c r="AE62">
        <f>IF(AND(AE$4=1,AE12=0),1,0)</f>
        <v/>
      </c>
      <c r="AF62">
        <f>IF(AND(AF$4=1,AF12=0),1,0)</f>
        <v/>
      </c>
      <c r="AG62">
        <f>IF(AND(AG$4=1,AG12=0),1,0)</f>
        <v/>
      </c>
      <c r="AH62">
        <f>IF(AND(AH$4=1,AH12=0),1,0)</f>
        <v/>
      </c>
      <c r="AI62">
        <f>IF(AND(AI$4=1,AI12=0),1,0)</f>
        <v/>
      </c>
      <c r="AJ62">
        <f>IF(AND(AJ$4=1,AJ12=0),1,0)</f>
        <v/>
      </c>
      <c r="AK62">
        <f>IF(AND(AK$4=1,AK12=0),1,0)</f>
        <v/>
      </c>
      <c r="AL62">
        <f>IF(AND(AL$4=1,AL12=0),1,0)</f>
        <v/>
      </c>
      <c r="AM62">
        <f>IF(AND(AM$4=1,AM12=0),1,0)</f>
        <v/>
      </c>
      <c r="AN62">
        <f>IF(AND(AN$4=1,AN12=0),1,0)</f>
        <v/>
      </c>
      <c r="AO62">
        <f>IF(AND(AO$4=1,AO12=0),1,0)</f>
        <v/>
      </c>
      <c r="AP62">
        <f>IF(AND(AP$4=1,AP12=0),1,0)</f>
        <v/>
      </c>
      <c r="AQ62">
        <f>IF(AND(AQ$4=1,AQ12=0),1,0)</f>
        <v/>
      </c>
      <c r="AR62">
        <f>IF(AND(AR$4=1,AR12=0),1,0)</f>
        <v/>
      </c>
      <c r="AS62">
        <f>IF(AND(AS$4=1,AS12=0),1,0)</f>
        <v/>
      </c>
      <c r="AT62">
        <f>IF(AND(AT$4=1,AT12=0),1,0)</f>
        <v/>
      </c>
      <c r="AU62">
        <f>IF(AND(AU$4=1,AU12=0),1,0)</f>
        <v/>
      </c>
      <c r="AV62">
        <f>IF(AND(AV$4=1,AV12=0),1,0)</f>
        <v/>
      </c>
      <c r="AW62">
        <f>IF(AND(AW$4=1,AW12=0),1,0)</f>
        <v/>
      </c>
      <c r="AX62">
        <f>IF(AND(AX$4=1,AX12=0),1,0)</f>
        <v/>
      </c>
      <c r="AY62">
        <f>IF(AND(AY$4=1,AY12=0),1,0)</f>
        <v/>
      </c>
      <c r="AZ62">
        <f>IF(AND(AZ$4=1,AZ12=0),1,0)</f>
        <v/>
      </c>
      <c r="BA62">
        <f>IF(AND(BA$4=1,BA12=0),1,0)</f>
        <v/>
      </c>
      <c r="BB62">
        <f>IF(AND(BB$4=1,BB12=0),1,0)</f>
        <v/>
      </c>
      <c r="BC62">
        <f>IF(AND(BC$4=1,BC12=0),1,0)</f>
        <v/>
      </c>
      <c r="BD62">
        <f>IF(AND(BD$4=1,BD12=0),1,0)</f>
        <v/>
      </c>
      <c r="BE62">
        <f>IF(AND(BE$4=1,BE12=0),1,0)</f>
        <v/>
      </c>
      <c r="BF62">
        <f>IF(AND(BF$4=1,BF12=0),1,0)</f>
        <v/>
      </c>
      <c r="BG62">
        <f>IF(AND(BG$4=1,BG12=0),1,0)</f>
        <v/>
      </c>
      <c r="BH62">
        <f>IF(AND(BH$4=1,BH12=0),1,0)</f>
        <v/>
      </c>
      <c r="BI62">
        <f>IF(AND(BI$4=1,BI12=0),1,0)</f>
        <v/>
      </c>
      <c r="BJ62">
        <f>IF(AND(BJ$4=1,BJ12=0),1,0)</f>
        <v/>
      </c>
      <c r="BK62">
        <f>IF(AND(BK$4=1,BK12=0),1,0)</f>
        <v/>
      </c>
      <c r="BL62">
        <f>IF(AND(BL$4=1,BL12=0),1,0)</f>
        <v/>
      </c>
      <c r="BM62">
        <f>IF(AND(BM$4=1,BM12=0),1,0)</f>
        <v/>
      </c>
      <c r="BN62">
        <f>IF(AND(BN$4=1,BN12=0),1,0)</f>
        <v/>
      </c>
      <c r="BO62">
        <f>IF(AND(BO$4=1,BO12=0),1,0)</f>
        <v/>
      </c>
      <c r="BP62">
        <f>IF(AND(BP$4=1,BP12=0),1,0)</f>
        <v/>
      </c>
      <c r="BQ62">
        <f>IF(AND(BQ$4=1,BQ12=0),1,0)</f>
        <v/>
      </c>
      <c r="BR62">
        <f>IF(AND(BR$4=1,BR12=0),1,0)</f>
        <v/>
      </c>
      <c r="BS62">
        <f>IF(AND(BS$4=1,BS12=0),1,0)</f>
        <v/>
      </c>
      <c r="BT62">
        <f>IF(AND(BT$4=1,BT12=0),1,0)</f>
        <v/>
      </c>
      <c r="BU62">
        <f>IF(AND(BU$4=1,BU12=0),1,0)</f>
        <v/>
      </c>
      <c r="BV62">
        <f>IF(AND(BV$4=1,BV12=0),1,0)</f>
        <v/>
      </c>
      <c r="BW62">
        <f>IF(AND(BW$4=1,BW12=0),1,0)</f>
        <v/>
      </c>
      <c r="BX62">
        <f>IF(AND(BX$4=1,BX12=0),1,0)</f>
        <v/>
      </c>
      <c r="BY62">
        <f>IF(AND(BY$4=1,BY12=0),1,0)</f>
        <v/>
      </c>
      <c r="BZ62">
        <f>IF(AND(BZ$4=1,BZ12=0),1,0)</f>
        <v/>
      </c>
      <c r="CA62">
        <f>IF(AND(CA$4=1,CA12=0),1,0)</f>
        <v/>
      </c>
      <c r="CB62">
        <f>IF(AND(CB$4=1,CB12=0),1,0)</f>
        <v/>
      </c>
      <c r="CC62">
        <f>IF(AND(CC$4=1,CC12=0),1,0)</f>
        <v/>
      </c>
      <c r="CD62">
        <f>IF(AND(CD$4=1,CD12=0),1,0)</f>
        <v/>
      </c>
      <c r="CE62">
        <f>IF(AND(CE$4=1,CE12=0),1,0)</f>
        <v/>
      </c>
      <c r="CF62">
        <f>IF(AND(CF$4=1,CF12=0),1,0)</f>
        <v/>
      </c>
      <c r="CG62">
        <f>IF(AND(CG$4=1,CG12=0),1,0)</f>
        <v/>
      </c>
      <c r="CH62">
        <f>IF(AND(CH$4=1,CH12=0),1,0)</f>
        <v/>
      </c>
      <c r="CI62">
        <f>IF(AND(CI$4=1,CI12=0),1,0)</f>
        <v/>
      </c>
      <c r="CJ62">
        <f>IF(AND(CJ$4=1,CJ12=0),1,0)</f>
        <v/>
      </c>
      <c r="CK62">
        <f>IF(AND(CK$4=1,CK12=0),1,0)</f>
        <v/>
      </c>
      <c r="CL62">
        <f>IF(AND(CL$4=1,CL12=0),1,0)</f>
        <v/>
      </c>
      <c r="CM62">
        <f>IF(AND(CM$4=1,CM12=0),1,0)</f>
        <v/>
      </c>
      <c r="CN62">
        <f>IF(AND(CN$4=1,CN12=0),1,0)</f>
        <v/>
      </c>
      <c r="CO62">
        <f>IF(AND(CO$4=1,CO12=0),1,0)</f>
        <v/>
      </c>
      <c r="CP62">
        <f>IF(AND(CP$4=1,CP12=0),1,0)</f>
        <v/>
      </c>
      <c r="CQ62">
        <f>IF(AND(CQ$4=1,CQ12=0),1,0)</f>
        <v/>
      </c>
      <c r="CR62">
        <f>IF(AND(CR$4=1,CR12=0),1,0)</f>
        <v/>
      </c>
      <c r="CS62">
        <f>IF(AND(CS$4=1,CS12=0),1,0)</f>
        <v/>
      </c>
      <c r="CT62">
        <f>IF(AND(CT$4=1,CT12=0),1,0)</f>
        <v/>
      </c>
      <c r="CU62">
        <f>IF(AND(CU$4=1,CU12=0),1,0)</f>
        <v/>
      </c>
      <c r="CV62">
        <f>IF(AND(CV$4=1,CV12=0),1,0)</f>
        <v/>
      </c>
      <c r="CW62">
        <f>IF(AND(CW$4=1,CW12=0),1,0)</f>
        <v/>
      </c>
      <c r="CX62">
        <f>IF(AND(CX$4=1,CX12=0),1,0)</f>
        <v/>
      </c>
      <c r="CY62">
        <f>IF(AND(CY$4=1,CY12=0),1,0)</f>
        <v/>
      </c>
      <c r="CZ62">
        <f>IF(AND(CZ$4=1,CZ12=0),1,0)</f>
        <v/>
      </c>
      <c r="DA62">
        <f>IF(AND(DA$4=1,DA12=0),1,0)</f>
        <v/>
      </c>
      <c r="DB62">
        <f>IF(AND(DB$4=1,DB12=0),1,0)</f>
        <v/>
      </c>
      <c r="DC62">
        <f>IF(AND(DC$4=1,DC12=0),1,0)</f>
        <v/>
      </c>
      <c r="DD62">
        <f>IF(AND(DD$4=1,DD12=0),1,0)</f>
        <v/>
      </c>
      <c r="DE62">
        <f>IF(AND(DE$4=1,DE12=0),1,0)</f>
        <v/>
      </c>
      <c r="DF62">
        <f>IF(AND(DF$4=1,DF12=0),1,0)</f>
        <v/>
      </c>
      <c r="DG62">
        <f>IF(AND(DG$4=1,DG12=0),1,0)</f>
        <v/>
      </c>
      <c r="DH62">
        <f>IF(AND(DH$4=1,DH12=0),1,0)</f>
        <v/>
      </c>
      <c r="DI62">
        <f>IF(AND(DI$4=1,DI12=0),1,0)</f>
        <v/>
      </c>
      <c r="DJ62">
        <f>IF(AND(DJ$4=1,DJ12=0),1,0)</f>
        <v/>
      </c>
      <c r="DK62">
        <f>IF(AND(DK$4=1,DK12=0),1,0)</f>
        <v/>
      </c>
      <c r="DL62">
        <f>IF(AND(DL$4=1,DL12=0),1,0)</f>
        <v/>
      </c>
      <c r="DM62">
        <f>IF(AND(DM$4=1,DM12=0),1,0)</f>
        <v/>
      </c>
      <c r="DN62">
        <f>IF(AND(DN$4=1,DN12=0),1,0)</f>
        <v/>
      </c>
      <c r="DO62">
        <f>IF(AND(DO$4=1,DO12=0),1,0)</f>
        <v/>
      </c>
      <c r="DP62">
        <f>IF(AND(DP$4=1,DP12=0),1,0)</f>
        <v/>
      </c>
      <c r="DQ62">
        <f>IF(AND(DQ$4=1,DQ12=0),1,0)</f>
        <v/>
      </c>
      <c r="DR62">
        <f>IF(AND(DR$4=1,DR12=0),1,0)</f>
        <v/>
      </c>
      <c r="DS62">
        <f>IF(AND(DS$4=1,DS12=0),1,0)</f>
        <v/>
      </c>
      <c r="DT62">
        <f>IF(AND(DT$4=1,DT12=0),1,0)</f>
        <v/>
      </c>
      <c r="DU62">
        <f>IF(AND(DU$4=1,DU12=0),1,0)</f>
        <v/>
      </c>
      <c r="DV62">
        <f>IF(AND(DV$4=1,DV12=0),1,0)</f>
        <v/>
      </c>
      <c r="DW62">
        <f>IF(AND(DW$4=1,DW12=0),1,0)</f>
        <v/>
      </c>
      <c r="DX62">
        <f>IF(AND(DX$4=1,DX12=0),1,0)</f>
        <v/>
      </c>
      <c r="DY62">
        <f>IF(AND(DY$4=1,DY12=0),1,0)</f>
        <v/>
      </c>
      <c r="DZ62">
        <f>IF(AND(DZ$4=1,DZ12=0),1,0)</f>
        <v/>
      </c>
      <c r="EA62">
        <f>IF(AND(EA$4=1,EA12=0),1,0)</f>
        <v/>
      </c>
      <c r="EB62">
        <f>IF(AND(EB$4=1,EB12=0),1,0)</f>
        <v/>
      </c>
      <c r="EC62">
        <f>IF(AND(EC$4=1,EC12=0),1,0)</f>
        <v/>
      </c>
      <c r="ED62">
        <f>IF(AND(ED$4=1,ED12=0),1,0)</f>
        <v/>
      </c>
      <c r="EE62">
        <f>IF(AND(EE$4=1,EE12=0),1,0)</f>
        <v/>
      </c>
      <c r="EF62">
        <f>IF(AND(EF$4=1,EF12=0),1,0)</f>
        <v/>
      </c>
      <c r="EG62">
        <f>IF(AND(EG$4=1,EG12=0),1,0)</f>
        <v/>
      </c>
      <c r="EH62">
        <f>IF(AND(EH$4=1,EH12=0),1,0)</f>
        <v/>
      </c>
      <c r="EI62">
        <f>IF(AND(EI$4=1,EI12=0),1,0)</f>
        <v/>
      </c>
      <c r="EJ62">
        <f>IF(AND(EJ$4=1,EJ12=0),1,0)</f>
        <v/>
      </c>
      <c r="EK62">
        <f>IF(AND(EK$4=1,EK12=0),1,0)</f>
        <v/>
      </c>
      <c r="EL62">
        <f>IF(AND(EL$4=1,EL12=0),1,0)</f>
        <v/>
      </c>
      <c r="EM62">
        <f>IF(AND(EM$4=1,EM12=0),1,0)</f>
        <v/>
      </c>
      <c r="EN62">
        <f>IF(AND(EN$4=1,EN12=0),1,0)</f>
        <v/>
      </c>
      <c r="EO62">
        <f>IF(AND(EO$4=1,EO12=0),1,0)</f>
        <v/>
      </c>
      <c r="EP62">
        <f>IF(AND(EP$4=1,EP12=0),1,0)</f>
        <v/>
      </c>
      <c r="EQ62">
        <f>IF(AND(EQ$4=1,EQ12=0),1,0)</f>
        <v/>
      </c>
    </row>
    <row r="63">
      <c r="A63" t="n">
        <v>4</v>
      </c>
      <c r="D63">
        <f>IF(AND(D$4=1,D13=0),1,0)</f>
        <v/>
      </c>
      <c r="E63">
        <f>IF(AND(E$4=1,E13=0),1,0)</f>
        <v/>
      </c>
      <c r="F63">
        <f>IF(AND(F$4=1,F13=0),1,0)</f>
        <v/>
      </c>
      <c r="G63">
        <f>IF(AND(G$4=1,G13=0),1,0)</f>
        <v/>
      </c>
      <c r="H63">
        <f>IF(AND(H$4=1,H13=0),1,0)</f>
        <v/>
      </c>
      <c r="I63">
        <f>IF(AND(I$4=1,I13=0),1,0)</f>
        <v/>
      </c>
      <c r="J63">
        <f>IF(AND(J$4=1,J13=0),1,0)</f>
        <v/>
      </c>
      <c r="K63">
        <f>IF(AND(K$4=1,K13=0),1,0)</f>
        <v/>
      </c>
      <c r="L63">
        <f>IF(AND(L$4=1,L13=0),1,0)</f>
        <v/>
      </c>
      <c r="M63">
        <f>IF(AND(M$4=1,M13=0),1,0)</f>
        <v/>
      </c>
      <c r="N63">
        <f>IF(AND(N$4=1,N13=0),1,0)</f>
        <v/>
      </c>
      <c r="O63">
        <f>IF(AND(O$4=1,O13=0),1,0)</f>
        <v/>
      </c>
      <c r="P63">
        <f>IF(AND(P$4=1,P13=0),1,0)</f>
        <v/>
      </c>
      <c r="Q63">
        <f>IF(AND(Q$4=1,Q13=0),1,0)</f>
        <v/>
      </c>
      <c r="R63">
        <f>IF(AND(R$4=1,R13=0),1,0)</f>
        <v/>
      </c>
      <c r="S63">
        <f>IF(AND(S$4=1,S13=0),1,0)</f>
        <v/>
      </c>
      <c r="T63">
        <f>IF(AND(T$4=1,T13=0),1,0)</f>
        <v/>
      </c>
      <c r="U63">
        <f>IF(AND(U$4=1,U13=0),1,0)</f>
        <v/>
      </c>
      <c r="V63">
        <f>IF(AND(V$4=1,V13=0),1,0)</f>
        <v/>
      </c>
      <c r="W63">
        <f>IF(AND(W$4=1,W13=0),1,0)</f>
        <v/>
      </c>
      <c r="X63">
        <f>IF(AND(X$4=1,X13=0),1,0)</f>
        <v/>
      </c>
      <c r="Y63">
        <f>IF(AND(Y$4=1,Y13=0),1,0)</f>
        <v/>
      </c>
      <c r="Z63">
        <f>IF(AND(Z$4=1,Z13=0),1,0)</f>
        <v/>
      </c>
      <c r="AA63">
        <f>IF(AND(AA$4=1,AA13=0),1,0)</f>
        <v/>
      </c>
      <c r="AB63">
        <f>IF(AND(AB$4=1,AB13=0),1,0)</f>
        <v/>
      </c>
      <c r="AC63">
        <f>IF(AND(AC$4=1,AC13=0),1,0)</f>
        <v/>
      </c>
      <c r="AD63">
        <f>IF(AND(AD$4=1,AD13=0),1,0)</f>
        <v/>
      </c>
      <c r="AE63">
        <f>IF(AND(AE$4=1,AE13=0),1,0)</f>
        <v/>
      </c>
      <c r="AF63">
        <f>IF(AND(AF$4=1,AF13=0),1,0)</f>
        <v/>
      </c>
      <c r="AG63">
        <f>IF(AND(AG$4=1,AG13=0),1,0)</f>
        <v/>
      </c>
      <c r="AH63">
        <f>IF(AND(AH$4=1,AH13=0),1,0)</f>
        <v/>
      </c>
      <c r="AI63">
        <f>IF(AND(AI$4=1,AI13=0),1,0)</f>
        <v/>
      </c>
      <c r="AJ63">
        <f>IF(AND(AJ$4=1,AJ13=0),1,0)</f>
        <v/>
      </c>
      <c r="AK63">
        <f>IF(AND(AK$4=1,AK13=0),1,0)</f>
        <v/>
      </c>
      <c r="AL63">
        <f>IF(AND(AL$4=1,AL13=0),1,0)</f>
        <v/>
      </c>
      <c r="AM63">
        <f>IF(AND(AM$4=1,AM13=0),1,0)</f>
        <v/>
      </c>
      <c r="AN63">
        <f>IF(AND(AN$4=1,AN13=0),1,0)</f>
        <v/>
      </c>
      <c r="AO63">
        <f>IF(AND(AO$4=1,AO13=0),1,0)</f>
        <v/>
      </c>
      <c r="AP63">
        <f>IF(AND(AP$4=1,AP13=0),1,0)</f>
        <v/>
      </c>
      <c r="AQ63">
        <f>IF(AND(AQ$4=1,AQ13=0),1,0)</f>
        <v/>
      </c>
      <c r="AR63">
        <f>IF(AND(AR$4=1,AR13=0),1,0)</f>
        <v/>
      </c>
      <c r="AS63">
        <f>IF(AND(AS$4=1,AS13=0),1,0)</f>
        <v/>
      </c>
      <c r="AT63">
        <f>IF(AND(AT$4=1,AT13=0),1,0)</f>
        <v/>
      </c>
      <c r="AU63">
        <f>IF(AND(AU$4=1,AU13=0),1,0)</f>
        <v/>
      </c>
      <c r="AV63">
        <f>IF(AND(AV$4=1,AV13=0),1,0)</f>
        <v/>
      </c>
      <c r="AW63">
        <f>IF(AND(AW$4=1,AW13=0),1,0)</f>
        <v/>
      </c>
      <c r="AX63">
        <f>IF(AND(AX$4=1,AX13=0),1,0)</f>
        <v/>
      </c>
      <c r="AY63">
        <f>IF(AND(AY$4=1,AY13=0),1,0)</f>
        <v/>
      </c>
      <c r="AZ63">
        <f>IF(AND(AZ$4=1,AZ13=0),1,0)</f>
        <v/>
      </c>
      <c r="BA63">
        <f>IF(AND(BA$4=1,BA13=0),1,0)</f>
        <v/>
      </c>
      <c r="BB63">
        <f>IF(AND(BB$4=1,BB13=0),1,0)</f>
        <v/>
      </c>
      <c r="BC63">
        <f>IF(AND(BC$4=1,BC13=0),1,0)</f>
        <v/>
      </c>
      <c r="BD63">
        <f>IF(AND(BD$4=1,BD13=0),1,0)</f>
        <v/>
      </c>
      <c r="BE63">
        <f>IF(AND(BE$4=1,BE13=0),1,0)</f>
        <v/>
      </c>
      <c r="BF63">
        <f>IF(AND(BF$4=1,BF13=0),1,0)</f>
        <v/>
      </c>
      <c r="BG63">
        <f>IF(AND(BG$4=1,BG13=0),1,0)</f>
        <v/>
      </c>
      <c r="BH63">
        <f>IF(AND(BH$4=1,BH13=0),1,0)</f>
        <v/>
      </c>
      <c r="BI63">
        <f>IF(AND(BI$4=1,BI13=0),1,0)</f>
        <v/>
      </c>
      <c r="BJ63">
        <f>IF(AND(BJ$4=1,BJ13=0),1,0)</f>
        <v/>
      </c>
      <c r="BK63">
        <f>IF(AND(BK$4=1,BK13=0),1,0)</f>
        <v/>
      </c>
      <c r="BL63">
        <f>IF(AND(BL$4=1,BL13=0),1,0)</f>
        <v/>
      </c>
      <c r="BM63">
        <f>IF(AND(BM$4=1,BM13=0),1,0)</f>
        <v/>
      </c>
      <c r="BN63">
        <f>IF(AND(BN$4=1,BN13=0),1,0)</f>
        <v/>
      </c>
      <c r="BO63">
        <f>IF(AND(BO$4=1,BO13=0),1,0)</f>
        <v/>
      </c>
      <c r="BP63">
        <f>IF(AND(BP$4=1,BP13=0),1,0)</f>
        <v/>
      </c>
      <c r="BQ63">
        <f>IF(AND(BQ$4=1,BQ13=0),1,0)</f>
        <v/>
      </c>
      <c r="BR63">
        <f>IF(AND(BR$4=1,BR13=0),1,0)</f>
        <v/>
      </c>
      <c r="BS63">
        <f>IF(AND(BS$4=1,BS13=0),1,0)</f>
        <v/>
      </c>
      <c r="BT63">
        <f>IF(AND(BT$4=1,BT13=0),1,0)</f>
        <v/>
      </c>
      <c r="BU63">
        <f>IF(AND(BU$4=1,BU13=0),1,0)</f>
        <v/>
      </c>
      <c r="BV63">
        <f>IF(AND(BV$4=1,BV13=0),1,0)</f>
        <v/>
      </c>
      <c r="BW63">
        <f>IF(AND(BW$4=1,BW13=0),1,0)</f>
        <v/>
      </c>
      <c r="BX63">
        <f>IF(AND(BX$4=1,BX13=0),1,0)</f>
        <v/>
      </c>
      <c r="BY63">
        <f>IF(AND(BY$4=1,BY13=0),1,0)</f>
        <v/>
      </c>
      <c r="BZ63">
        <f>IF(AND(BZ$4=1,BZ13=0),1,0)</f>
        <v/>
      </c>
      <c r="CA63">
        <f>IF(AND(CA$4=1,CA13=0),1,0)</f>
        <v/>
      </c>
      <c r="CB63">
        <f>IF(AND(CB$4=1,CB13=0),1,0)</f>
        <v/>
      </c>
      <c r="CC63">
        <f>IF(AND(CC$4=1,CC13=0),1,0)</f>
        <v/>
      </c>
      <c r="CD63">
        <f>IF(AND(CD$4=1,CD13=0),1,0)</f>
        <v/>
      </c>
      <c r="CE63">
        <f>IF(AND(CE$4=1,CE13=0),1,0)</f>
        <v/>
      </c>
      <c r="CF63">
        <f>IF(AND(CF$4=1,CF13=0),1,0)</f>
        <v/>
      </c>
      <c r="CG63">
        <f>IF(AND(CG$4=1,CG13=0),1,0)</f>
        <v/>
      </c>
      <c r="CH63">
        <f>IF(AND(CH$4=1,CH13=0),1,0)</f>
        <v/>
      </c>
      <c r="CI63">
        <f>IF(AND(CI$4=1,CI13=0),1,0)</f>
        <v/>
      </c>
      <c r="CJ63">
        <f>IF(AND(CJ$4=1,CJ13=0),1,0)</f>
        <v/>
      </c>
      <c r="CK63">
        <f>IF(AND(CK$4=1,CK13=0),1,0)</f>
        <v/>
      </c>
      <c r="CL63">
        <f>IF(AND(CL$4=1,CL13=0),1,0)</f>
        <v/>
      </c>
      <c r="CM63">
        <f>IF(AND(CM$4=1,CM13=0),1,0)</f>
        <v/>
      </c>
      <c r="CN63">
        <f>IF(AND(CN$4=1,CN13=0),1,0)</f>
        <v/>
      </c>
      <c r="CO63">
        <f>IF(AND(CO$4=1,CO13=0),1,0)</f>
        <v/>
      </c>
      <c r="CP63">
        <f>IF(AND(CP$4=1,CP13=0),1,0)</f>
        <v/>
      </c>
      <c r="CQ63">
        <f>IF(AND(CQ$4=1,CQ13=0),1,0)</f>
        <v/>
      </c>
      <c r="CR63">
        <f>IF(AND(CR$4=1,CR13=0),1,0)</f>
        <v/>
      </c>
      <c r="CS63">
        <f>IF(AND(CS$4=1,CS13=0),1,0)</f>
        <v/>
      </c>
      <c r="CT63">
        <f>IF(AND(CT$4=1,CT13=0),1,0)</f>
        <v/>
      </c>
      <c r="CU63">
        <f>IF(AND(CU$4=1,CU13=0),1,0)</f>
        <v/>
      </c>
      <c r="CV63">
        <f>IF(AND(CV$4=1,CV13=0),1,0)</f>
        <v/>
      </c>
      <c r="CW63">
        <f>IF(AND(CW$4=1,CW13=0),1,0)</f>
        <v/>
      </c>
      <c r="CX63">
        <f>IF(AND(CX$4=1,CX13=0),1,0)</f>
        <v/>
      </c>
      <c r="CY63">
        <f>IF(AND(CY$4=1,CY13=0),1,0)</f>
        <v/>
      </c>
      <c r="CZ63">
        <f>IF(AND(CZ$4=1,CZ13=0),1,0)</f>
        <v/>
      </c>
      <c r="DA63">
        <f>IF(AND(DA$4=1,DA13=0),1,0)</f>
        <v/>
      </c>
      <c r="DB63">
        <f>IF(AND(DB$4=1,DB13=0),1,0)</f>
        <v/>
      </c>
      <c r="DC63">
        <f>IF(AND(DC$4=1,DC13=0),1,0)</f>
        <v/>
      </c>
      <c r="DD63">
        <f>IF(AND(DD$4=1,DD13=0),1,0)</f>
        <v/>
      </c>
      <c r="DE63">
        <f>IF(AND(DE$4=1,DE13=0),1,0)</f>
        <v/>
      </c>
      <c r="DF63">
        <f>IF(AND(DF$4=1,DF13=0),1,0)</f>
        <v/>
      </c>
      <c r="DG63">
        <f>IF(AND(DG$4=1,DG13=0),1,0)</f>
        <v/>
      </c>
      <c r="DH63">
        <f>IF(AND(DH$4=1,DH13=0),1,0)</f>
        <v/>
      </c>
      <c r="DI63">
        <f>IF(AND(DI$4=1,DI13=0),1,0)</f>
        <v/>
      </c>
      <c r="DJ63">
        <f>IF(AND(DJ$4=1,DJ13=0),1,0)</f>
        <v/>
      </c>
      <c r="DK63">
        <f>IF(AND(DK$4=1,DK13=0),1,0)</f>
        <v/>
      </c>
      <c r="DL63">
        <f>IF(AND(DL$4=1,DL13=0),1,0)</f>
        <v/>
      </c>
      <c r="DM63">
        <f>IF(AND(DM$4=1,DM13=0),1,0)</f>
        <v/>
      </c>
      <c r="DN63">
        <f>IF(AND(DN$4=1,DN13=0),1,0)</f>
        <v/>
      </c>
      <c r="DO63">
        <f>IF(AND(DO$4=1,DO13=0),1,0)</f>
        <v/>
      </c>
      <c r="DP63">
        <f>IF(AND(DP$4=1,DP13=0),1,0)</f>
        <v/>
      </c>
      <c r="DQ63">
        <f>IF(AND(DQ$4=1,DQ13=0),1,0)</f>
        <v/>
      </c>
      <c r="DR63">
        <f>IF(AND(DR$4=1,DR13=0),1,0)</f>
        <v/>
      </c>
      <c r="DS63">
        <f>IF(AND(DS$4=1,DS13=0),1,0)</f>
        <v/>
      </c>
      <c r="DT63">
        <f>IF(AND(DT$4=1,DT13=0),1,0)</f>
        <v/>
      </c>
      <c r="DU63">
        <f>IF(AND(DU$4=1,DU13=0),1,0)</f>
        <v/>
      </c>
      <c r="DV63">
        <f>IF(AND(DV$4=1,DV13=0),1,0)</f>
        <v/>
      </c>
      <c r="DW63">
        <f>IF(AND(DW$4=1,DW13=0),1,0)</f>
        <v/>
      </c>
      <c r="DX63">
        <f>IF(AND(DX$4=1,DX13=0),1,0)</f>
        <v/>
      </c>
      <c r="DY63">
        <f>IF(AND(DY$4=1,DY13=0),1,0)</f>
        <v/>
      </c>
      <c r="DZ63">
        <f>IF(AND(DZ$4=1,DZ13=0),1,0)</f>
        <v/>
      </c>
      <c r="EA63">
        <f>IF(AND(EA$4=1,EA13=0),1,0)</f>
        <v/>
      </c>
      <c r="EB63">
        <f>IF(AND(EB$4=1,EB13=0),1,0)</f>
        <v/>
      </c>
      <c r="EC63">
        <f>IF(AND(EC$4=1,EC13=0),1,0)</f>
        <v/>
      </c>
      <c r="ED63">
        <f>IF(AND(ED$4=1,ED13=0),1,0)</f>
        <v/>
      </c>
      <c r="EE63">
        <f>IF(AND(EE$4=1,EE13=0),1,0)</f>
        <v/>
      </c>
      <c r="EF63">
        <f>IF(AND(EF$4=1,EF13=0),1,0)</f>
        <v/>
      </c>
      <c r="EG63">
        <f>IF(AND(EG$4=1,EG13=0),1,0)</f>
        <v/>
      </c>
      <c r="EH63">
        <f>IF(AND(EH$4=1,EH13=0),1,0)</f>
        <v/>
      </c>
      <c r="EI63">
        <f>IF(AND(EI$4=1,EI13=0),1,0)</f>
        <v/>
      </c>
      <c r="EJ63">
        <f>IF(AND(EJ$4=1,EJ13=0),1,0)</f>
        <v/>
      </c>
      <c r="EK63">
        <f>IF(AND(EK$4=1,EK13=0),1,0)</f>
        <v/>
      </c>
      <c r="EL63">
        <f>IF(AND(EL$4=1,EL13=0),1,0)</f>
        <v/>
      </c>
      <c r="EM63">
        <f>IF(AND(EM$4=1,EM13=0),1,0)</f>
        <v/>
      </c>
      <c r="EN63">
        <f>IF(AND(EN$4=1,EN13=0),1,0)</f>
        <v/>
      </c>
      <c r="EO63">
        <f>IF(AND(EO$4=1,EO13=0),1,0)</f>
        <v/>
      </c>
      <c r="EP63">
        <f>IF(AND(EP$4=1,EP13=0),1,0)</f>
        <v/>
      </c>
      <c r="EQ63">
        <f>IF(AND(EQ$4=1,EQ13=0),1,0)</f>
        <v/>
      </c>
    </row>
    <row r="64">
      <c r="A64" t="n">
        <v>5</v>
      </c>
      <c r="D64">
        <f>IF(AND(D$4=1,D14=0),1,0)</f>
        <v/>
      </c>
      <c r="E64">
        <f>IF(AND(E$4=1,E14=0),1,0)</f>
        <v/>
      </c>
      <c r="F64">
        <f>IF(AND(F$4=1,F14=0),1,0)</f>
        <v/>
      </c>
      <c r="G64">
        <f>IF(AND(G$4=1,G14=0),1,0)</f>
        <v/>
      </c>
      <c r="H64">
        <f>IF(AND(H$4=1,H14=0),1,0)</f>
        <v/>
      </c>
      <c r="I64">
        <f>IF(AND(I$4=1,I14=0),1,0)</f>
        <v/>
      </c>
      <c r="J64">
        <f>IF(AND(J$4=1,J14=0),1,0)</f>
        <v/>
      </c>
      <c r="K64">
        <f>IF(AND(K$4=1,K14=0),1,0)</f>
        <v/>
      </c>
      <c r="L64">
        <f>IF(AND(L$4=1,L14=0),1,0)</f>
        <v/>
      </c>
      <c r="M64">
        <f>IF(AND(M$4=1,M14=0),1,0)</f>
        <v/>
      </c>
      <c r="N64">
        <f>IF(AND(N$4=1,N14=0),1,0)</f>
        <v/>
      </c>
      <c r="O64">
        <f>IF(AND(O$4=1,O14=0),1,0)</f>
        <v/>
      </c>
      <c r="P64">
        <f>IF(AND(P$4=1,P14=0),1,0)</f>
        <v/>
      </c>
      <c r="Q64">
        <f>IF(AND(Q$4=1,Q14=0),1,0)</f>
        <v/>
      </c>
      <c r="R64">
        <f>IF(AND(R$4=1,R14=0),1,0)</f>
        <v/>
      </c>
      <c r="S64">
        <f>IF(AND(S$4=1,S14=0),1,0)</f>
        <v/>
      </c>
      <c r="T64">
        <f>IF(AND(T$4=1,T14=0),1,0)</f>
        <v/>
      </c>
      <c r="U64">
        <f>IF(AND(U$4=1,U14=0),1,0)</f>
        <v/>
      </c>
      <c r="V64">
        <f>IF(AND(V$4=1,V14=0),1,0)</f>
        <v/>
      </c>
      <c r="W64">
        <f>IF(AND(W$4=1,W14=0),1,0)</f>
        <v/>
      </c>
      <c r="X64">
        <f>IF(AND(X$4=1,X14=0),1,0)</f>
        <v/>
      </c>
      <c r="Y64">
        <f>IF(AND(Y$4=1,Y14=0),1,0)</f>
        <v/>
      </c>
      <c r="Z64">
        <f>IF(AND(Z$4=1,Z14=0),1,0)</f>
        <v/>
      </c>
      <c r="AA64">
        <f>IF(AND(AA$4=1,AA14=0),1,0)</f>
        <v/>
      </c>
      <c r="AB64">
        <f>IF(AND(AB$4=1,AB14=0),1,0)</f>
        <v/>
      </c>
      <c r="AC64">
        <f>IF(AND(AC$4=1,AC14=0),1,0)</f>
        <v/>
      </c>
      <c r="AD64">
        <f>IF(AND(AD$4=1,AD14=0),1,0)</f>
        <v/>
      </c>
      <c r="AE64">
        <f>IF(AND(AE$4=1,AE14=0),1,0)</f>
        <v/>
      </c>
      <c r="AF64">
        <f>IF(AND(AF$4=1,AF14=0),1,0)</f>
        <v/>
      </c>
      <c r="AG64">
        <f>IF(AND(AG$4=1,AG14=0),1,0)</f>
        <v/>
      </c>
      <c r="AH64">
        <f>IF(AND(AH$4=1,AH14=0),1,0)</f>
        <v/>
      </c>
      <c r="AI64">
        <f>IF(AND(AI$4=1,AI14=0),1,0)</f>
        <v/>
      </c>
      <c r="AJ64">
        <f>IF(AND(AJ$4=1,AJ14=0),1,0)</f>
        <v/>
      </c>
      <c r="AK64">
        <f>IF(AND(AK$4=1,AK14=0),1,0)</f>
        <v/>
      </c>
      <c r="AL64">
        <f>IF(AND(AL$4=1,AL14=0),1,0)</f>
        <v/>
      </c>
      <c r="AM64">
        <f>IF(AND(AM$4=1,AM14=0),1,0)</f>
        <v/>
      </c>
      <c r="AN64">
        <f>IF(AND(AN$4=1,AN14=0),1,0)</f>
        <v/>
      </c>
      <c r="AO64">
        <f>IF(AND(AO$4=1,AO14=0),1,0)</f>
        <v/>
      </c>
      <c r="AP64">
        <f>IF(AND(AP$4=1,AP14=0),1,0)</f>
        <v/>
      </c>
      <c r="AQ64">
        <f>IF(AND(AQ$4=1,AQ14=0),1,0)</f>
        <v/>
      </c>
      <c r="AR64">
        <f>IF(AND(AR$4=1,AR14=0),1,0)</f>
        <v/>
      </c>
      <c r="AS64">
        <f>IF(AND(AS$4=1,AS14=0),1,0)</f>
        <v/>
      </c>
      <c r="AT64">
        <f>IF(AND(AT$4=1,AT14=0),1,0)</f>
        <v/>
      </c>
      <c r="AU64">
        <f>IF(AND(AU$4=1,AU14=0),1,0)</f>
        <v/>
      </c>
      <c r="AV64">
        <f>IF(AND(AV$4=1,AV14=0),1,0)</f>
        <v/>
      </c>
      <c r="AW64">
        <f>IF(AND(AW$4=1,AW14=0),1,0)</f>
        <v/>
      </c>
      <c r="AX64">
        <f>IF(AND(AX$4=1,AX14=0),1,0)</f>
        <v/>
      </c>
      <c r="AY64">
        <f>IF(AND(AY$4=1,AY14=0),1,0)</f>
        <v/>
      </c>
      <c r="AZ64">
        <f>IF(AND(AZ$4=1,AZ14=0),1,0)</f>
        <v/>
      </c>
      <c r="BA64">
        <f>IF(AND(BA$4=1,BA14=0),1,0)</f>
        <v/>
      </c>
      <c r="BB64">
        <f>IF(AND(BB$4=1,BB14=0),1,0)</f>
        <v/>
      </c>
      <c r="BC64">
        <f>IF(AND(BC$4=1,BC14=0),1,0)</f>
        <v/>
      </c>
      <c r="BD64">
        <f>IF(AND(BD$4=1,BD14=0),1,0)</f>
        <v/>
      </c>
      <c r="BE64">
        <f>IF(AND(BE$4=1,BE14=0),1,0)</f>
        <v/>
      </c>
      <c r="BF64">
        <f>IF(AND(BF$4=1,BF14=0),1,0)</f>
        <v/>
      </c>
      <c r="BG64">
        <f>IF(AND(BG$4=1,BG14=0),1,0)</f>
        <v/>
      </c>
      <c r="BH64">
        <f>IF(AND(BH$4=1,BH14=0),1,0)</f>
        <v/>
      </c>
      <c r="BI64">
        <f>IF(AND(BI$4=1,BI14=0),1,0)</f>
        <v/>
      </c>
      <c r="BJ64">
        <f>IF(AND(BJ$4=1,BJ14=0),1,0)</f>
        <v/>
      </c>
      <c r="BK64">
        <f>IF(AND(BK$4=1,BK14=0),1,0)</f>
        <v/>
      </c>
      <c r="BL64">
        <f>IF(AND(BL$4=1,BL14=0),1,0)</f>
        <v/>
      </c>
      <c r="BM64">
        <f>IF(AND(BM$4=1,BM14=0),1,0)</f>
        <v/>
      </c>
      <c r="BN64">
        <f>IF(AND(BN$4=1,BN14=0),1,0)</f>
        <v/>
      </c>
      <c r="BO64">
        <f>IF(AND(BO$4=1,BO14=0),1,0)</f>
        <v/>
      </c>
      <c r="BP64">
        <f>IF(AND(BP$4=1,BP14=0),1,0)</f>
        <v/>
      </c>
      <c r="BQ64">
        <f>IF(AND(BQ$4=1,BQ14=0),1,0)</f>
        <v/>
      </c>
      <c r="BR64">
        <f>IF(AND(BR$4=1,BR14=0),1,0)</f>
        <v/>
      </c>
      <c r="BS64">
        <f>IF(AND(BS$4=1,BS14=0),1,0)</f>
        <v/>
      </c>
      <c r="BT64">
        <f>IF(AND(BT$4=1,BT14=0),1,0)</f>
        <v/>
      </c>
      <c r="BU64">
        <f>IF(AND(BU$4=1,BU14=0),1,0)</f>
        <v/>
      </c>
      <c r="BV64">
        <f>IF(AND(BV$4=1,BV14=0),1,0)</f>
        <v/>
      </c>
      <c r="BW64">
        <f>IF(AND(BW$4=1,BW14=0),1,0)</f>
        <v/>
      </c>
      <c r="BX64">
        <f>IF(AND(BX$4=1,BX14=0),1,0)</f>
        <v/>
      </c>
      <c r="BY64">
        <f>IF(AND(BY$4=1,BY14=0),1,0)</f>
        <v/>
      </c>
      <c r="BZ64">
        <f>IF(AND(BZ$4=1,BZ14=0),1,0)</f>
        <v/>
      </c>
      <c r="CA64">
        <f>IF(AND(CA$4=1,CA14=0),1,0)</f>
        <v/>
      </c>
      <c r="CB64">
        <f>IF(AND(CB$4=1,CB14=0),1,0)</f>
        <v/>
      </c>
      <c r="CC64">
        <f>IF(AND(CC$4=1,CC14=0),1,0)</f>
        <v/>
      </c>
      <c r="CD64">
        <f>IF(AND(CD$4=1,CD14=0),1,0)</f>
        <v/>
      </c>
      <c r="CE64">
        <f>IF(AND(CE$4=1,CE14=0),1,0)</f>
        <v/>
      </c>
      <c r="CF64">
        <f>IF(AND(CF$4=1,CF14=0),1,0)</f>
        <v/>
      </c>
      <c r="CG64">
        <f>IF(AND(CG$4=1,CG14=0),1,0)</f>
        <v/>
      </c>
      <c r="CH64">
        <f>IF(AND(CH$4=1,CH14=0),1,0)</f>
        <v/>
      </c>
      <c r="CI64">
        <f>IF(AND(CI$4=1,CI14=0),1,0)</f>
        <v/>
      </c>
      <c r="CJ64">
        <f>IF(AND(CJ$4=1,CJ14=0),1,0)</f>
        <v/>
      </c>
      <c r="CK64">
        <f>IF(AND(CK$4=1,CK14=0),1,0)</f>
        <v/>
      </c>
      <c r="CL64">
        <f>IF(AND(CL$4=1,CL14=0),1,0)</f>
        <v/>
      </c>
      <c r="CM64">
        <f>IF(AND(CM$4=1,CM14=0),1,0)</f>
        <v/>
      </c>
      <c r="CN64">
        <f>IF(AND(CN$4=1,CN14=0),1,0)</f>
        <v/>
      </c>
      <c r="CO64">
        <f>IF(AND(CO$4=1,CO14=0),1,0)</f>
        <v/>
      </c>
      <c r="CP64">
        <f>IF(AND(CP$4=1,CP14=0),1,0)</f>
        <v/>
      </c>
      <c r="CQ64">
        <f>IF(AND(CQ$4=1,CQ14=0),1,0)</f>
        <v/>
      </c>
      <c r="CR64">
        <f>IF(AND(CR$4=1,CR14=0),1,0)</f>
        <v/>
      </c>
      <c r="CS64">
        <f>IF(AND(CS$4=1,CS14=0),1,0)</f>
        <v/>
      </c>
      <c r="CT64">
        <f>IF(AND(CT$4=1,CT14=0),1,0)</f>
        <v/>
      </c>
      <c r="CU64">
        <f>IF(AND(CU$4=1,CU14=0),1,0)</f>
        <v/>
      </c>
      <c r="CV64">
        <f>IF(AND(CV$4=1,CV14=0),1,0)</f>
        <v/>
      </c>
      <c r="CW64">
        <f>IF(AND(CW$4=1,CW14=0),1,0)</f>
        <v/>
      </c>
      <c r="CX64">
        <f>IF(AND(CX$4=1,CX14=0),1,0)</f>
        <v/>
      </c>
      <c r="CY64">
        <f>IF(AND(CY$4=1,CY14=0),1,0)</f>
        <v/>
      </c>
      <c r="CZ64">
        <f>IF(AND(CZ$4=1,CZ14=0),1,0)</f>
        <v/>
      </c>
      <c r="DA64">
        <f>IF(AND(DA$4=1,DA14=0),1,0)</f>
        <v/>
      </c>
      <c r="DB64">
        <f>IF(AND(DB$4=1,DB14=0),1,0)</f>
        <v/>
      </c>
      <c r="DC64">
        <f>IF(AND(DC$4=1,DC14=0),1,0)</f>
        <v/>
      </c>
      <c r="DD64">
        <f>IF(AND(DD$4=1,DD14=0),1,0)</f>
        <v/>
      </c>
      <c r="DE64">
        <f>IF(AND(DE$4=1,DE14=0),1,0)</f>
        <v/>
      </c>
      <c r="DF64">
        <f>IF(AND(DF$4=1,DF14=0),1,0)</f>
        <v/>
      </c>
      <c r="DG64">
        <f>IF(AND(DG$4=1,DG14=0),1,0)</f>
        <v/>
      </c>
      <c r="DH64">
        <f>IF(AND(DH$4=1,DH14=0),1,0)</f>
        <v/>
      </c>
      <c r="DI64">
        <f>IF(AND(DI$4=1,DI14=0),1,0)</f>
        <v/>
      </c>
      <c r="DJ64">
        <f>IF(AND(DJ$4=1,DJ14=0),1,0)</f>
        <v/>
      </c>
      <c r="DK64">
        <f>IF(AND(DK$4=1,DK14=0),1,0)</f>
        <v/>
      </c>
      <c r="DL64">
        <f>IF(AND(DL$4=1,DL14=0),1,0)</f>
        <v/>
      </c>
      <c r="DM64">
        <f>IF(AND(DM$4=1,DM14=0),1,0)</f>
        <v/>
      </c>
      <c r="DN64">
        <f>IF(AND(DN$4=1,DN14=0),1,0)</f>
        <v/>
      </c>
      <c r="DO64">
        <f>IF(AND(DO$4=1,DO14=0),1,0)</f>
        <v/>
      </c>
      <c r="DP64">
        <f>IF(AND(DP$4=1,DP14=0),1,0)</f>
        <v/>
      </c>
      <c r="DQ64">
        <f>IF(AND(DQ$4=1,DQ14=0),1,0)</f>
        <v/>
      </c>
      <c r="DR64">
        <f>IF(AND(DR$4=1,DR14=0),1,0)</f>
        <v/>
      </c>
      <c r="DS64">
        <f>IF(AND(DS$4=1,DS14=0),1,0)</f>
        <v/>
      </c>
      <c r="DT64">
        <f>IF(AND(DT$4=1,DT14=0),1,0)</f>
        <v/>
      </c>
      <c r="DU64">
        <f>IF(AND(DU$4=1,DU14=0),1,0)</f>
        <v/>
      </c>
      <c r="DV64">
        <f>IF(AND(DV$4=1,DV14=0),1,0)</f>
        <v/>
      </c>
      <c r="DW64">
        <f>IF(AND(DW$4=1,DW14=0),1,0)</f>
        <v/>
      </c>
      <c r="DX64">
        <f>IF(AND(DX$4=1,DX14=0),1,0)</f>
        <v/>
      </c>
      <c r="DY64">
        <f>IF(AND(DY$4=1,DY14=0),1,0)</f>
        <v/>
      </c>
      <c r="DZ64">
        <f>IF(AND(DZ$4=1,DZ14=0),1,0)</f>
        <v/>
      </c>
      <c r="EA64">
        <f>IF(AND(EA$4=1,EA14=0),1,0)</f>
        <v/>
      </c>
      <c r="EB64">
        <f>IF(AND(EB$4=1,EB14=0),1,0)</f>
        <v/>
      </c>
      <c r="EC64">
        <f>IF(AND(EC$4=1,EC14=0),1,0)</f>
        <v/>
      </c>
      <c r="ED64">
        <f>IF(AND(ED$4=1,ED14=0),1,0)</f>
        <v/>
      </c>
      <c r="EE64">
        <f>IF(AND(EE$4=1,EE14=0),1,0)</f>
        <v/>
      </c>
      <c r="EF64">
        <f>IF(AND(EF$4=1,EF14=0),1,0)</f>
        <v/>
      </c>
      <c r="EG64">
        <f>IF(AND(EG$4=1,EG14=0),1,0)</f>
        <v/>
      </c>
      <c r="EH64">
        <f>IF(AND(EH$4=1,EH14=0),1,0)</f>
        <v/>
      </c>
      <c r="EI64">
        <f>IF(AND(EI$4=1,EI14=0),1,0)</f>
        <v/>
      </c>
      <c r="EJ64">
        <f>IF(AND(EJ$4=1,EJ14=0),1,0)</f>
        <v/>
      </c>
      <c r="EK64">
        <f>IF(AND(EK$4=1,EK14=0),1,0)</f>
        <v/>
      </c>
      <c r="EL64">
        <f>IF(AND(EL$4=1,EL14=0),1,0)</f>
        <v/>
      </c>
      <c r="EM64">
        <f>IF(AND(EM$4=1,EM14=0),1,0)</f>
        <v/>
      </c>
      <c r="EN64">
        <f>IF(AND(EN$4=1,EN14=0),1,0)</f>
        <v/>
      </c>
      <c r="EO64">
        <f>IF(AND(EO$4=1,EO14=0),1,0)</f>
        <v/>
      </c>
      <c r="EP64">
        <f>IF(AND(EP$4=1,EP14=0),1,0)</f>
        <v/>
      </c>
      <c r="EQ64">
        <f>IF(AND(EQ$4=1,EQ14=0),1,0)</f>
        <v/>
      </c>
    </row>
    <row r="65">
      <c r="A65" t="n">
        <v>6</v>
      </c>
      <c r="D65">
        <f>IF(AND(D$4=1,D15=0),1,0)</f>
        <v/>
      </c>
      <c r="E65">
        <f>IF(AND(E$4=1,E15=0),1,0)</f>
        <v/>
      </c>
      <c r="F65">
        <f>IF(AND(F$4=1,F15=0),1,0)</f>
        <v/>
      </c>
      <c r="G65">
        <f>IF(AND(G$4=1,G15=0),1,0)</f>
        <v/>
      </c>
      <c r="H65">
        <f>IF(AND(H$4=1,H15=0),1,0)</f>
        <v/>
      </c>
      <c r="I65">
        <f>IF(AND(I$4=1,I15=0),1,0)</f>
        <v/>
      </c>
      <c r="J65">
        <f>IF(AND(J$4=1,J15=0),1,0)</f>
        <v/>
      </c>
      <c r="K65">
        <f>IF(AND(K$4=1,K15=0),1,0)</f>
        <v/>
      </c>
      <c r="L65">
        <f>IF(AND(L$4=1,L15=0),1,0)</f>
        <v/>
      </c>
      <c r="M65">
        <f>IF(AND(M$4=1,M15=0),1,0)</f>
        <v/>
      </c>
      <c r="N65">
        <f>IF(AND(N$4=1,N15=0),1,0)</f>
        <v/>
      </c>
      <c r="O65">
        <f>IF(AND(O$4=1,O15=0),1,0)</f>
        <v/>
      </c>
      <c r="P65">
        <f>IF(AND(P$4=1,P15=0),1,0)</f>
        <v/>
      </c>
      <c r="Q65">
        <f>IF(AND(Q$4=1,Q15=0),1,0)</f>
        <v/>
      </c>
      <c r="R65">
        <f>IF(AND(R$4=1,R15=0),1,0)</f>
        <v/>
      </c>
      <c r="S65">
        <f>IF(AND(S$4=1,S15=0),1,0)</f>
        <v/>
      </c>
      <c r="T65">
        <f>IF(AND(T$4=1,T15=0),1,0)</f>
        <v/>
      </c>
      <c r="U65">
        <f>IF(AND(U$4=1,U15=0),1,0)</f>
        <v/>
      </c>
      <c r="V65">
        <f>IF(AND(V$4=1,V15=0),1,0)</f>
        <v/>
      </c>
      <c r="W65">
        <f>IF(AND(W$4=1,W15=0),1,0)</f>
        <v/>
      </c>
      <c r="X65">
        <f>IF(AND(X$4=1,X15=0),1,0)</f>
        <v/>
      </c>
      <c r="Y65">
        <f>IF(AND(Y$4=1,Y15=0),1,0)</f>
        <v/>
      </c>
      <c r="Z65">
        <f>IF(AND(Z$4=1,Z15=0),1,0)</f>
        <v/>
      </c>
      <c r="AA65">
        <f>IF(AND(AA$4=1,AA15=0),1,0)</f>
        <v/>
      </c>
      <c r="AB65">
        <f>IF(AND(AB$4=1,AB15=0),1,0)</f>
        <v/>
      </c>
      <c r="AC65">
        <f>IF(AND(AC$4=1,AC15=0),1,0)</f>
        <v/>
      </c>
      <c r="AD65">
        <f>IF(AND(AD$4=1,AD15=0),1,0)</f>
        <v/>
      </c>
      <c r="AE65">
        <f>IF(AND(AE$4=1,AE15=0),1,0)</f>
        <v/>
      </c>
      <c r="AF65">
        <f>IF(AND(AF$4=1,AF15=0),1,0)</f>
        <v/>
      </c>
      <c r="AG65">
        <f>IF(AND(AG$4=1,AG15=0),1,0)</f>
        <v/>
      </c>
      <c r="AH65">
        <f>IF(AND(AH$4=1,AH15=0),1,0)</f>
        <v/>
      </c>
      <c r="AI65">
        <f>IF(AND(AI$4=1,AI15=0),1,0)</f>
        <v/>
      </c>
      <c r="AJ65">
        <f>IF(AND(AJ$4=1,AJ15=0),1,0)</f>
        <v/>
      </c>
      <c r="AK65">
        <f>IF(AND(AK$4=1,AK15=0),1,0)</f>
        <v/>
      </c>
      <c r="AL65">
        <f>IF(AND(AL$4=1,AL15=0),1,0)</f>
        <v/>
      </c>
      <c r="AM65">
        <f>IF(AND(AM$4=1,AM15=0),1,0)</f>
        <v/>
      </c>
      <c r="AN65">
        <f>IF(AND(AN$4=1,AN15=0),1,0)</f>
        <v/>
      </c>
      <c r="AO65">
        <f>IF(AND(AO$4=1,AO15=0),1,0)</f>
        <v/>
      </c>
      <c r="AP65">
        <f>IF(AND(AP$4=1,AP15=0),1,0)</f>
        <v/>
      </c>
      <c r="AQ65">
        <f>IF(AND(AQ$4=1,AQ15=0),1,0)</f>
        <v/>
      </c>
      <c r="AR65">
        <f>IF(AND(AR$4=1,AR15=0),1,0)</f>
        <v/>
      </c>
      <c r="AS65">
        <f>IF(AND(AS$4=1,AS15=0),1,0)</f>
        <v/>
      </c>
      <c r="AT65">
        <f>IF(AND(AT$4=1,AT15=0),1,0)</f>
        <v/>
      </c>
      <c r="AU65">
        <f>IF(AND(AU$4=1,AU15=0),1,0)</f>
        <v/>
      </c>
      <c r="AV65">
        <f>IF(AND(AV$4=1,AV15=0),1,0)</f>
        <v/>
      </c>
      <c r="AW65">
        <f>IF(AND(AW$4=1,AW15=0),1,0)</f>
        <v/>
      </c>
      <c r="AX65">
        <f>IF(AND(AX$4=1,AX15=0),1,0)</f>
        <v/>
      </c>
      <c r="AY65">
        <f>IF(AND(AY$4=1,AY15=0),1,0)</f>
        <v/>
      </c>
      <c r="AZ65">
        <f>IF(AND(AZ$4=1,AZ15=0),1,0)</f>
        <v/>
      </c>
      <c r="BA65">
        <f>IF(AND(BA$4=1,BA15=0),1,0)</f>
        <v/>
      </c>
      <c r="BB65">
        <f>IF(AND(BB$4=1,BB15=0),1,0)</f>
        <v/>
      </c>
      <c r="BC65">
        <f>IF(AND(BC$4=1,BC15=0),1,0)</f>
        <v/>
      </c>
      <c r="BD65">
        <f>IF(AND(BD$4=1,BD15=0),1,0)</f>
        <v/>
      </c>
      <c r="BE65">
        <f>IF(AND(BE$4=1,BE15=0),1,0)</f>
        <v/>
      </c>
      <c r="BF65">
        <f>IF(AND(BF$4=1,BF15=0),1,0)</f>
        <v/>
      </c>
      <c r="BG65">
        <f>IF(AND(BG$4=1,BG15=0),1,0)</f>
        <v/>
      </c>
      <c r="BH65">
        <f>IF(AND(BH$4=1,BH15=0),1,0)</f>
        <v/>
      </c>
      <c r="BI65">
        <f>IF(AND(BI$4=1,BI15=0),1,0)</f>
        <v/>
      </c>
      <c r="BJ65">
        <f>IF(AND(BJ$4=1,BJ15=0),1,0)</f>
        <v/>
      </c>
      <c r="BK65">
        <f>IF(AND(BK$4=1,BK15=0),1,0)</f>
        <v/>
      </c>
      <c r="BL65">
        <f>IF(AND(BL$4=1,BL15=0),1,0)</f>
        <v/>
      </c>
      <c r="BM65">
        <f>IF(AND(BM$4=1,BM15=0),1,0)</f>
        <v/>
      </c>
      <c r="BN65">
        <f>IF(AND(BN$4=1,BN15=0),1,0)</f>
        <v/>
      </c>
      <c r="BO65">
        <f>IF(AND(BO$4=1,BO15=0),1,0)</f>
        <v/>
      </c>
      <c r="BP65">
        <f>IF(AND(BP$4=1,BP15=0),1,0)</f>
        <v/>
      </c>
      <c r="BQ65">
        <f>IF(AND(BQ$4=1,BQ15=0),1,0)</f>
        <v/>
      </c>
      <c r="BR65">
        <f>IF(AND(BR$4=1,BR15=0),1,0)</f>
        <v/>
      </c>
      <c r="BS65">
        <f>IF(AND(BS$4=1,BS15=0),1,0)</f>
        <v/>
      </c>
      <c r="BT65">
        <f>IF(AND(BT$4=1,BT15=0),1,0)</f>
        <v/>
      </c>
      <c r="BU65">
        <f>IF(AND(BU$4=1,BU15=0),1,0)</f>
        <v/>
      </c>
      <c r="BV65">
        <f>IF(AND(BV$4=1,BV15=0),1,0)</f>
        <v/>
      </c>
      <c r="BW65">
        <f>IF(AND(BW$4=1,BW15=0),1,0)</f>
        <v/>
      </c>
      <c r="BX65">
        <f>IF(AND(BX$4=1,BX15=0),1,0)</f>
        <v/>
      </c>
      <c r="BY65">
        <f>IF(AND(BY$4=1,BY15=0),1,0)</f>
        <v/>
      </c>
      <c r="BZ65">
        <f>IF(AND(BZ$4=1,BZ15=0),1,0)</f>
        <v/>
      </c>
      <c r="CA65">
        <f>IF(AND(CA$4=1,CA15=0),1,0)</f>
        <v/>
      </c>
      <c r="CB65">
        <f>IF(AND(CB$4=1,CB15=0),1,0)</f>
        <v/>
      </c>
      <c r="CC65">
        <f>IF(AND(CC$4=1,CC15=0),1,0)</f>
        <v/>
      </c>
      <c r="CD65">
        <f>IF(AND(CD$4=1,CD15=0),1,0)</f>
        <v/>
      </c>
      <c r="CE65">
        <f>IF(AND(CE$4=1,CE15=0),1,0)</f>
        <v/>
      </c>
      <c r="CF65">
        <f>IF(AND(CF$4=1,CF15=0),1,0)</f>
        <v/>
      </c>
      <c r="CG65">
        <f>IF(AND(CG$4=1,CG15=0),1,0)</f>
        <v/>
      </c>
      <c r="CH65">
        <f>IF(AND(CH$4=1,CH15=0),1,0)</f>
        <v/>
      </c>
      <c r="CI65">
        <f>IF(AND(CI$4=1,CI15=0),1,0)</f>
        <v/>
      </c>
      <c r="CJ65">
        <f>IF(AND(CJ$4=1,CJ15=0),1,0)</f>
        <v/>
      </c>
      <c r="CK65">
        <f>IF(AND(CK$4=1,CK15=0),1,0)</f>
        <v/>
      </c>
      <c r="CL65">
        <f>IF(AND(CL$4=1,CL15=0),1,0)</f>
        <v/>
      </c>
      <c r="CM65">
        <f>IF(AND(CM$4=1,CM15=0),1,0)</f>
        <v/>
      </c>
      <c r="CN65">
        <f>IF(AND(CN$4=1,CN15=0),1,0)</f>
        <v/>
      </c>
      <c r="CO65">
        <f>IF(AND(CO$4=1,CO15=0),1,0)</f>
        <v/>
      </c>
      <c r="CP65">
        <f>IF(AND(CP$4=1,CP15=0),1,0)</f>
        <v/>
      </c>
      <c r="CQ65">
        <f>IF(AND(CQ$4=1,CQ15=0),1,0)</f>
        <v/>
      </c>
      <c r="CR65">
        <f>IF(AND(CR$4=1,CR15=0),1,0)</f>
        <v/>
      </c>
      <c r="CS65">
        <f>IF(AND(CS$4=1,CS15=0),1,0)</f>
        <v/>
      </c>
      <c r="CT65">
        <f>IF(AND(CT$4=1,CT15=0),1,0)</f>
        <v/>
      </c>
      <c r="CU65">
        <f>IF(AND(CU$4=1,CU15=0),1,0)</f>
        <v/>
      </c>
      <c r="CV65">
        <f>IF(AND(CV$4=1,CV15=0),1,0)</f>
        <v/>
      </c>
      <c r="CW65">
        <f>IF(AND(CW$4=1,CW15=0),1,0)</f>
        <v/>
      </c>
      <c r="CX65">
        <f>IF(AND(CX$4=1,CX15=0),1,0)</f>
        <v/>
      </c>
      <c r="CY65">
        <f>IF(AND(CY$4=1,CY15=0),1,0)</f>
        <v/>
      </c>
      <c r="CZ65">
        <f>IF(AND(CZ$4=1,CZ15=0),1,0)</f>
        <v/>
      </c>
      <c r="DA65">
        <f>IF(AND(DA$4=1,DA15=0),1,0)</f>
        <v/>
      </c>
      <c r="DB65">
        <f>IF(AND(DB$4=1,DB15=0),1,0)</f>
        <v/>
      </c>
      <c r="DC65">
        <f>IF(AND(DC$4=1,DC15=0),1,0)</f>
        <v/>
      </c>
      <c r="DD65">
        <f>IF(AND(DD$4=1,DD15=0),1,0)</f>
        <v/>
      </c>
      <c r="DE65">
        <f>IF(AND(DE$4=1,DE15=0),1,0)</f>
        <v/>
      </c>
      <c r="DF65">
        <f>IF(AND(DF$4=1,DF15=0),1,0)</f>
        <v/>
      </c>
      <c r="DG65">
        <f>IF(AND(DG$4=1,DG15=0),1,0)</f>
        <v/>
      </c>
      <c r="DH65">
        <f>IF(AND(DH$4=1,DH15=0),1,0)</f>
        <v/>
      </c>
      <c r="DI65">
        <f>IF(AND(DI$4=1,DI15=0),1,0)</f>
        <v/>
      </c>
      <c r="DJ65">
        <f>IF(AND(DJ$4=1,DJ15=0),1,0)</f>
        <v/>
      </c>
      <c r="DK65">
        <f>IF(AND(DK$4=1,DK15=0),1,0)</f>
        <v/>
      </c>
      <c r="DL65">
        <f>IF(AND(DL$4=1,DL15=0),1,0)</f>
        <v/>
      </c>
      <c r="DM65">
        <f>IF(AND(DM$4=1,DM15=0),1,0)</f>
        <v/>
      </c>
      <c r="DN65">
        <f>IF(AND(DN$4=1,DN15=0),1,0)</f>
        <v/>
      </c>
      <c r="DO65">
        <f>IF(AND(DO$4=1,DO15=0),1,0)</f>
        <v/>
      </c>
      <c r="DP65">
        <f>IF(AND(DP$4=1,DP15=0),1,0)</f>
        <v/>
      </c>
      <c r="DQ65">
        <f>IF(AND(DQ$4=1,DQ15=0),1,0)</f>
        <v/>
      </c>
      <c r="DR65">
        <f>IF(AND(DR$4=1,DR15=0),1,0)</f>
        <v/>
      </c>
      <c r="DS65">
        <f>IF(AND(DS$4=1,DS15=0),1,0)</f>
        <v/>
      </c>
      <c r="DT65">
        <f>IF(AND(DT$4=1,DT15=0),1,0)</f>
        <v/>
      </c>
      <c r="DU65">
        <f>IF(AND(DU$4=1,DU15=0),1,0)</f>
        <v/>
      </c>
      <c r="DV65">
        <f>IF(AND(DV$4=1,DV15=0),1,0)</f>
        <v/>
      </c>
      <c r="DW65">
        <f>IF(AND(DW$4=1,DW15=0),1,0)</f>
        <v/>
      </c>
      <c r="DX65">
        <f>IF(AND(DX$4=1,DX15=0),1,0)</f>
        <v/>
      </c>
      <c r="DY65">
        <f>IF(AND(DY$4=1,DY15=0),1,0)</f>
        <v/>
      </c>
      <c r="DZ65">
        <f>IF(AND(DZ$4=1,DZ15=0),1,0)</f>
        <v/>
      </c>
      <c r="EA65">
        <f>IF(AND(EA$4=1,EA15=0),1,0)</f>
        <v/>
      </c>
      <c r="EB65">
        <f>IF(AND(EB$4=1,EB15=0),1,0)</f>
        <v/>
      </c>
      <c r="EC65">
        <f>IF(AND(EC$4=1,EC15=0),1,0)</f>
        <v/>
      </c>
      <c r="ED65">
        <f>IF(AND(ED$4=1,ED15=0),1,0)</f>
        <v/>
      </c>
      <c r="EE65">
        <f>IF(AND(EE$4=1,EE15=0),1,0)</f>
        <v/>
      </c>
      <c r="EF65">
        <f>IF(AND(EF$4=1,EF15=0),1,0)</f>
        <v/>
      </c>
      <c r="EG65">
        <f>IF(AND(EG$4=1,EG15=0),1,0)</f>
        <v/>
      </c>
      <c r="EH65">
        <f>IF(AND(EH$4=1,EH15=0),1,0)</f>
        <v/>
      </c>
      <c r="EI65">
        <f>IF(AND(EI$4=1,EI15=0),1,0)</f>
        <v/>
      </c>
      <c r="EJ65">
        <f>IF(AND(EJ$4=1,EJ15=0),1,0)</f>
        <v/>
      </c>
      <c r="EK65">
        <f>IF(AND(EK$4=1,EK15=0),1,0)</f>
        <v/>
      </c>
      <c r="EL65">
        <f>IF(AND(EL$4=1,EL15=0),1,0)</f>
        <v/>
      </c>
      <c r="EM65">
        <f>IF(AND(EM$4=1,EM15=0),1,0)</f>
        <v/>
      </c>
      <c r="EN65">
        <f>IF(AND(EN$4=1,EN15=0),1,0)</f>
        <v/>
      </c>
      <c r="EO65">
        <f>IF(AND(EO$4=1,EO15=0),1,0)</f>
        <v/>
      </c>
      <c r="EP65">
        <f>IF(AND(EP$4=1,EP15=0),1,0)</f>
        <v/>
      </c>
      <c r="EQ65">
        <f>IF(AND(EQ$4=1,EQ15=0),1,0)</f>
        <v/>
      </c>
    </row>
    <row r="66">
      <c r="A66" t="n">
        <v>7</v>
      </c>
      <c r="D66">
        <f>IF(AND(D$4=1,D16=0),1,0)</f>
        <v/>
      </c>
      <c r="E66">
        <f>IF(AND(E$4=1,E16=0),1,0)</f>
        <v/>
      </c>
      <c r="F66">
        <f>IF(AND(F$4=1,F16=0),1,0)</f>
        <v/>
      </c>
      <c r="G66">
        <f>IF(AND(G$4=1,G16=0),1,0)</f>
        <v/>
      </c>
      <c r="H66">
        <f>IF(AND(H$4=1,H16=0),1,0)</f>
        <v/>
      </c>
      <c r="I66">
        <f>IF(AND(I$4=1,I16=0),1,0)</f>
        <v/>
      </c>
      <c r="J66">
        <f>IF(AND(J$4=1,J16=0),1,0)</f>
        <v/>
      </c>
      <c r="K66">
        <f>IF(AND(K$4=1,K16=0),1,0)</f>
        <v/>
      </c>
      <c r="L66">
        <f>IF(AND(L$4=1,L16=0),1,0)</f>
        <v/>
      </c>
      <c r="M66">
        <f>IF(AND(M$4=1,M16=0),1,0)</f>
        <v/>
      </c>
      <c r="N66">
        <f>IF(AND(N$4=1,N16=0),1,0)</f>
        <v/>
      </c>
      <c r="O66">
        <f>IF(AND(O$4=1,O16=0),1,0)</f>
        <v/>
      </c>
      <c r="P66">
        <f>IF(AND(P$4=1,P16=0),1,0)</f>
        <v/>
      </c>
      <c r="Q66">
        <f>IF(AND(Q$4=1,Q16=0),1,0)</f>
        <v/>
      </c>
      <c r="R66">
        <f>IF(AND(R$4=1,R16=0),1,0)</f>
        <v/>
      </c>
      <c r="S66">
        <f>IF(AND(S$4=1,S16=0),1,0)</f>
        <v/>
      </c>
      <c r="T66">
        <f>IF(AND(T$4=1,T16=0),1,0)</f>
        <v/>
      </c>
      <c r="U66">
        <f>IF(AND(U$4=1,U16=0),1,0)</f>
        <v/>
      </c>
      <c r="V66">
        <f>IF(AND(V$4=1,V16=0),1,0)</f>
        <v/>
      </c>
      <c r="W66">
        <f>IF(AND(W$4=1,W16=0),1,0)</f>
        <v/>
      </c>
      <c r="X66">
        <f>IF(AND(X$4=1,X16=0),1,0)</f>
        <v/>
      </c>
      <c r="Y66">
        <f>IF(AND(Y$4=1,Y16=0),1,0)</f>
        <v/>
      </c>
      <c r="Z66">
        <f>IF(AND(Z$4=1,Z16=0),1,0)</f>
        <v/>
      </c>
      <c r="AA66">
        <f>IF(AND(AA$4=1,AA16=0),1,0)</f>
        <v/>
      </c>
      <c r="AB66">
        <f>IF(AND(AB$4=1,AB16=0),1,0)</f>
        <v/>
      </c>
      <c r="AC66">
        <f>IF(AND(AC$4=1,AC16=0),1,0)</f>
        <v/>
      </c>
      <c r="AD66">
        <f>IF(AND(AD$4=1,AD16=0),1,0)</f>
        <v/>
      </c>
      <c r="AE66">
        <f>IF(AND(AE$4=1,AE16=0),1,0)</f>
        <v/>
      </c>
      <c r="AF66">
        <f>IF(AND(AF$4=1,AF16=0),1,0)</f>
        <v/>
      </c>
      <c r="AG66">
        <f>IF(AND(AG$4=1,AG16=0),1,0)</f>
        <v/>
      </c>
      <c r="AH66">
        <f>IF(AND(AH$4=1,AH16=0),1,0)</f>
        <v/>
      </c>
      <c r="AI66">
        <f>IF(AND(AI$4=1,AI16=0),1,0)</f>
        <v/>
      </c>
      <c r="AJ66">
        <f>IF(AND(AJ$4=1,AJ16=0),1,0)</f>
        <v/>
      </c>
      <c r="AK66">
        <f>IF(AND(AK$4=1,AK16=0),1,0)</f>
        <v/>
      </c>
      <c r="AL66">
        <f>IF(AND(AL$4=1,AL16=0),1,0)</f>
        <v/>
      </c>
      <c r="AM66">
        <f>IF(AND(AM$4=1,AM16=0),1,0)</f>
        <v/>
      </c>
      <c r="AN66">
        <f>IF(AND(AN$4=1,AN16=0),1,0)</f>
        <v/>
      </c>
      <c r="AO66">
        <f>IF(AND(AO$4=1,AO16=0),1,0)</f>
        <v/>
      </c>
      <c r="AP66">
        <f>IF(AND(AP$4=1,AP16=0),1,0)</f>
        <v/>
      </c>
      <c r="AQ66">
        <f>IF(AND(AQ$4=1,AQ16=0),1,0)</f>
        <v/>
      </c>
      <c r="AR66">
        <f>IF(AND(AR$4=1,AR16=0),1,0)</f>
        <v/>
      </c>
      <c r="AS66">
        <f>IF(AND(AS$4=1,AS16=0),1,0)</f>
        <v/>
      </c>
      <c r="AT66">
        <f>IF(AND(AT$4=1,AT16=0),1,0)</f>
        <v/>
      </c>
      <c r="AU66">
        <f>IF(AND(AU$4=1,AU16=0),1,0)</f>
        <v/>
      </c>
      <c r="AV66">
        <f>IF(AND(AV$4=1,AV16=0),1,0)</f>
        <v/>
      </c>
      <c r="AW66">
        <f>IF(AND(AW$4=1,AW16=0),1,0)</f>
        <v/>
      </c>
      <c r="AX66">
        <f>IF(AND(AX$4=1,AX16=0),1,0)</f>
        <v/>
      </c>
      <c r="AY66">
        <f>IF(AND(AY$4=1,AY16=0),1,0)</f>
        <v/>
      </c>
      <c r="AZ66">
        <f>IF(AND(AZ$4=1,AZ16=0),1,0)</f>
        <v/>
      </c>
      <c r="BA66">
        <f>IF(AND(BA$4=1,BA16=0),1,0)</f>
        <v/>
      </c>
      <c r="BB66">
        <f>IF(AND(BB$4=1,BB16=0),1,0)</f>
        <v/>
      </c>
      <c r="BC66">
        <f>IF(AND(BC$4=1,BC16=0),1,0)</f>
        <v/>
      </c>
      <c r="BD66">
        <f>IF(AND(BD$4=1,BD16=0),1,0)</f>
        <v/>
      </c>
      <c r="BE66">
        <f>IF(AND(BE$4=1,BE16=0),1,0)</f>
        <v/>
      </c>
      <c r="BF66">
        <f>IF(AND(BF$4=1,BF16=0),1,0)</f>
        <v/>
      </c>
      <c r="BG66">
        <f>IF(AND(BG$4=1,BG16=0),1,0)</f>
        <v/>
      </c>
      <c r="BH66">
        <f>IF(AND(BH$4=1,BH16=0),1,0)</f>
        <v/>
      </c>
      <c r="BI66">
        <f>IF(AND(BI$4=1,BI16=0),1,0)</f>
        <v/>
      </c>
      <c r="BJ66">
        <f>IF(AND(BJ$4=1,BJ16=0),1,0)</f>
        <v/>
      </c>
      <c r="BK66">
        <f>IF(AND(BK$4=1,BK16=0),1,0)</f>
        <v/>
      </c>
      <c r="BL66">
        <f>IF(AND(BL$4=1,BL16=0),1,0)</f>
        <v/>
      </c>
      <c r="BM66">
        <f>IF(AND(BM$4=1,BM16=0),1,0)</f>
        <v/>
      </c>
      <c r="BN66">
        <f>IF(AND(BN$4=1,BN16=0),1,0)</f>
        <v/>
      </c>
      <c r="BO66">
        <f>IF(AND(BO$4=1,BO16=0),1,0)</f>
        <v/>
      </c>
      <c r="BP66">
        <f>IF(AND(BP$4=1,BP16=0),1,0)</f>
        <v/>
      </c>
      <c r="BQ66">
        <f>IF(AND(BQ$4=1,BQ16=0),1,0)</f>
        <v/>
      </c>
      <c r="BR66">
        <f>IF(AND(BR$4=1,BR16=0),1,0)</f>
        <v/>
      </c>
      <c r="BS66">
        <f>IF(AND(BS$4=1,BS16=0),1,0)</f>
        <v/>
      </c>
      <c r="BT66">
        <f>IF(AND(BT$4=1,BT16=0),1,0)</f>
        <v/>
      </c>
      <c r="BU66">
        <f>IF(AND(BU$4=1,BU16=0),1,0)</f>
        <v/>
      </c>
      <c r="BV66">
        <f>IF(AND(BV$4=1,BV16=0),1,0)</f>
        <v/>
      </c>
      <c r="BW66">
        <f>IF(AND(BW$4=1,BW16=0),1,0)</f>
        <v/>
      </c>
      <c r="BX66">
        <f>IF(AND(BX$4=1,BX16=0),1,0)</f>
        <v/>
      </c>
      <c r="BY66">
        <f>IF(AND(BY$4=1,BY16=0),1,0)</f>
        <v/>
      </c>
      <c r="BZ66">
        <f>IF(AND(BZ$4=1,BZ16=0),1,0)</f>
        <v/>
      </c>
      <c r="CA66">
        <f>IF(AND(CA$4=1,CA16=0),1,0)</f>
        <v/>
      </c>
      <c r="CB66">
        <f>IF(AND(CB$4=1,CB16=0),1,0)</f>
        <v/>
      </c>
      <c r="CC66">
        <f>IF(AND(CC$4=1,CC16=0),1,0)</f>
        <v/>
      </c>
      <c r="CD66">
        <f>IF(AND(CD$4=1,CD16=0),1,0)</f>
        <v/>
      </c>
      <c r="CE66">
        <f>IF(AND(CE$4=1,CE16=0),1,0)</f>
        <v/>
      </c>
      <c r="CF66">
        <f>IF(AND(CF$4=1,CF16=0),1,0)</f>
        <v/>
      </c>
      <c r="CG66">
        <f>IF(AND(CG$4=1,CG16=0),1,0)</f>
        <v/>
      </c>
      <c r="CH66">
        <f>IF(AND(CH$4=1,CH16=0),1,0)</f>
        <v/>
      </c>
      <c r="CI66">
        <f>IF(AND(CI$4=1,CI16=0),1,0)</f>
        <v/>
      </c>
      <c r="CJ66">
        <f>IF(AND(CJ$4=1,CJ16=0),1,0)</f>
        <v/>
      </c>
      <c r="CK66">
        <f>IF(AND(CK$4=1,CK16=0),1,0)</f>
        <v/>
      </c>
      <c r="CL66">
        <f>IF(AND(CL$4=1,CL16=0),1,0)</f>
        <v/>
      </c>
      <c r="CM66">
        <f>IF(AND(CM$4=1,CM16=0),1,0)</f>
        <v/>
      </c>
      <c r="CN66">
        <f>IF(AND(CN$4=1,CN16=0),1,0)</f>
        <v/>
      </c>
      <c r="CO66">
        <f>IF(AND(CO$4=1,CO16=0),1,0)</f>
        <v/>
      </c>
      <c r="CP66">
        <f>IF(AND(CP$4=1,CP16=0),1,0)</f>
        <v/>
      </c>
      <c r="CQ66">
        <f>IF(AND(CQ$4=1,CQ16=0),1,0)</f>
        <v/>
      </c>
      <c r="CR66">
        <f>IF(AND(CR$4=1,CR16=0),1,0)</f>
        <v/>
      </c>
      <c r="CS66">
        <f>IF(AND(CS$4=1,CS16=0),1,0)</f>
        <v/>
      </c>
      <c r="CT66">
        <f>IF(AND(CT$4=1,CT16=0),1,0)</f>
        <v/>
      </c>
      <c r="CU66">
        <f>IF(AND(CU$4=1,CU16=0),1,0)</f>
        <v/>
      </c>
      <c r="CV66">
        <f>IF(AND(CV$4=1,CV16=0),1,0)</f>
        <v/>
      </c>
      <c r="CW66">
        <f>IF(AND(CW$4=1,CW16=0),1,0)</f>
        <v/>
      </c>
      <c r="CX66">
        <f>IF(AND(CX$4=1,CX16=0),1,0)</f>
        <v/>
      </c>
      <c r="CY66">
        <f>IF(AND(CY$4=1,CY16=0),1,0)</f>
        <v/>
      </c>
      <c r="CZ66">
        <f>IF(AND(CZ$4=1,CZ16=0),1,0)</f>
        <v/>
      </c>
      <c r="DA66">
        <f>IF(AND(DA$4=1,DA16=0),1,0)</f>
        <v/>
      </c>
      <c r="DB66">
        <f>IF(AND(DB$4=1,DB16=0),1,0)</f>
        <v/>
      </c>
      <c r="DC66">
        <f>IF(AND(DC$4=1,DC16=0),1,0)</f>
        <v/>
      </c>
      <c r="DD66">
        <f>IF(AND(DD$4=1,DD16=0),1,0)</f>
        <v/>
      </c>
      <c r="DE66">
        <f>IF(AND(DE$4=1,DE16=0),1,0)</f>
        <v/>
      </c>
      <c r="DF66">
        <f>IF(AND(DF$4=1,DF16=0),1,0)</f>
        <v/>
      </c>
      <c r="DG66">
        <f>IF(AND(DG$4=1,DG16=0),1,0)</f>
        <v/>
      </c>
      <c r="DH66">
        <f>IF(AND(DH$4=1,DH16=0),1,0)</f>
        <v/>
      </c>
      <c r="DI66">
        <f>IF(AND(DI$4=1,DI16=0),1,0)</f>
        <v/>
      </c>
      <c r="DJ66">
        <f>IF(AND(DJ$4=1,DJ16=0),1,0)</f>
        <v/>
      </c>
      <c r="DK66">
        <f>IF(AND(DK$4=1,DK16=0),1,0)</f>
        <v/>
      </c>
      <c r="DL66">
        <f>IF(AND(DL$4=1,DL16=0),1,0)</f>
        <v/>
      </c>
      <c r="DM66">
        <f>IF(AND(DM$4=1,DM16=0),1,0)</f>
        <v/>
      </c>
      <c r="DN66">
        <f>IF(AND(DN$4=1,DN16=0),1,0)</f>
        <v/>
      </c>
      <c r="DO66">
        <f>IF(AND(DO$4=1,DO16=0),1,0)</f>
        <v/>
      </c>
      <c r="DP66">
        <f>IF(AND(DP$4=1,DP16=0),1,0)</f>
        <v/>
      </c>
      <c r="DQ66">
        <f>IF(AND(DQ$4=1,DQ16=0),1,0)</f>
        <v/>
      </c>
      <c r="DR66">
        <f>IF(AND(DR$4=1,DR16=0),1,0)</f>
        <v/>
      </c>
      <c r="DS66">
        <f>IF(AND(DS$4=1,DS16=0),1,0)</f>
        <v/>
      </c>
      <c r="DT66">
        <f>IF(AND(DT$4=1,DT16=0),1,0)</f>
        <v/>
      </c>
      <c r="DU66">
        <f>IF(AND(DU$4=1,DU16=0),1,0)</f>
        <v/>
      </c>
      <c r="DV66">
        <f>IF(AND(DV$4=1,DV16=0),1,0)</f>
        <v/>
      </c>
      <c r="DW66">
        <f>IF(AND(DW$4=1,DW16=0),1,0)</f>
        <v/>
      </c>
      <c r="DX66">
        <f>IF(AND(DX$4=1,DX16=0),1,0)</f>
        <v/>
      </c>
      <c r="DY66">
        <f>IF(AND(DY$4=1,DY16=0),1,0)</f>
        <v/>
      </c>
      <c r="DZ66">
        <f>IF(AND(DZ$4=1,DZ16=0),1,0)</f>
        <v/>
      </c>
      <c r="EA66">
        <f>IF(AND(EA$4=1,EA16=0),1,0)</f>
        <v/>
      </c>
      <c r="EB66">
        <f>IF(AND(EB$4=1,EB16=0),1,0)</f>
        <v/>
      </c>
      <c r="EC66">
        <f>IF(AND(EC$4=1,EC16=0),1,0)</f>
        <v/>
      </c>
      <c r="ED66">
        <f>IF(AND(ED$4=1,ED16=0),1,0)</f>
        <v/>
      </c>
      <c r="EE66">
        <f>IF(AND(EE$4=1,EE16=0),1,0)</f>
        <v/>
      </c>
      <c r="EF66">
        <f>IF(AND(EF$4=1,EF16=0),1,0)</f>
        <v/>
      </c>
      <c r="EG66">
        <f>IF(AND(EG$4=1,EG16=0),1,0)</f>
        <v/>
      </c>
      <c r="EH66">
        <f>IF(AND(EH$4=1,EH16=0),1,0)</f>
        <v/>
      </c>
      <c r="EI66">
        <f>IF(AND(EI$4=1,EI16=0),1,0)</f>
        <v/>
      </c>
      <c r="EJ66">
        <f>IF(AND(EJ$4=1,EJ16=0),1,0)</f>
        <v/>
      </c>
      <c r="EK66">
        <f>IF(AND(EK$4=1,EK16=0),1,0)</f>
        <v/>
      </c>
      <c r="EL66">
        <f>IF(AND(EL$4=1,EL16=0),1,0)</f>
        <v/>
      </c>
      <c r="EM66">
        <f>IF(AND(EM$4=1,EM16=0),1,0)</f>
        <v/>
      </c>
      <c r="EN66">
        <f>IF(AND(EN$4=1,EN16=0),1,0)</f>
        <v/>
      </c>
      <c r="EO66">
        <f>IF(AND(EO$4=1,EO16=0),1,0)</f>
        <v/>
      </c>
      <c r="EP66">
        <f>IF(AND(EP$4=1,EP16=0),1,0)</f>
        <v/>
      </c>
      <c r="EQ66">
        <f>IF(AND(EQ$4=1,EQ16=0),1,0)</f>
        <v/>
      </c>
    </row>
    <row r="67">
      <c r="A67" t="n">
        <v>8</v>
      </c>
      <c r="D67">
        <f>IF(AND(D$4=1,D17=0),1,0)</f>
        <v/>
      </c>
      <c r="E67">
        <f>IF(AND(E$4=1,E17=0),1,0)</f>
        <v/>
      </c>
      <c r="F67">
        <f>IF(AND(F$4=1,F17=0),1,0)</f>
        <v/>
      </c>
      <c r="G67">
        <f>IF(AND(G$4=1,G17=0),1,0)</f>
        <v/>
      </c>
      <c r="H67">
        <f>IF(AND(H$4=1,H17=0),1,0)</f>
        <v/>
      </c>
      <c r="I67">
        <f>IF(AND(I$4=1,I17=0),1,0)</f>
        <v/>
      </c>
      <c r="J67">
        <f>IF(AND(J$4=1,J17=0),1,0)</f>
        <v/>
      </c>
      <c r="K67">
        <f>IF(AND(K$4=1,K17=0),1,0)</f>
        <v/>
      </c>
      <c r="L67">
        <f>IF(AND(L$4=1,L17=0),1,0)</f>
        <v/>
      </c>
      <c r="M67">
        <f>IF(AND(M$4=1,M17=0),1,0)</f>
        <v/>
      </c>
      <c r="N67">
        <f>IF(AND(N$4=1,N17=0),1,0)</f>
        <v/>
      </c>
      <c r="O67">
        <f>IF(AND(O$4=1,O17=0),1,0)</f>
        <v/>
      </c>
      <c r="P67">
        <f>IF(AND(P$4=1,P17=0),1,0)</f>
        <v/>
      </c>
      <c r="Q67">
        <f>IF(AND(Q$4=1,Q17=0),1,0)</f>
        <v/>
      </c>
      <c r="R67">
        <f>IF(AND(R$4=1,R17=0),1,0)</f>
        <v/>
      </c>
      <c r="S67">
        <f>IF(AND(S$4=1,S17=0),1,0)</f>
        <v/>
      </c>
      <c r="T67">
        <f>IF(AND(T$4=1,T17=0),1,0)</f>
        <v/>
      </c>
      <c r="U67">
        <f>IF(AND(U$4=1,U17=0),1,0)</f>
        <v/>
      </c>
      <c r="V67">
        <f>IF(AND(V$4=1,V17=0),1,0)</f>
        <v/>
      </c>
      <c r="W67">
        <f>IF(AND(W$4=1,W17=0),1,0)</f>
        <v/>
      </c>
      <c r="X67">
        <f>IF(AND(X$4=1,X17=0),1,0)</f>
        <v/>
      </c>
      <c r="Y67">
        <f>IF(AND(Y$4=1,Y17=0),1,0)</f>
        <v/>
      </c>
      <c r="Z67">
        <f>IF(AND(Z$4=1,Z17=0),1,0)</f>
        <v/>
      </c>
      <c r="AA67">
        <f>IF(AND(AA$4=1,AA17=0),1,0)</f>
        <v/>
      </c>
      <c r="AB67">
        <f>IF(AND(AB$4=1,AB17=0),1,0)</f>
        <v/>
      </c>
      <c r="AC67">
        <f>IF(AND(AC$4=1,AC17=0),1,0)</f>
        <v/>
      </c>
      <c r="AD67">
        <f>IF(AND(AD$4=1,AD17=0),1,0)</f>
        <v/>
      </c>
      <c r="AE67">
        <f>IF(AND(AE$4=1,AE17=0),1,0)</f>
        <v/>
      </c>
      <c r="AF67">
        <f>IF(AND(AF$4=1,AF17=0),1,0)</f>
        <v/>
      </c>
      <c r="AG67">
        <f>IF(AND(AG$4=1,AG17=0),1,0)</f>
        <v/>
      </c>
      <c r="AH67">
        <f>IF(AND(AH$4=1,AH17=0),1,0)</f>
        <v/>
      </c>
      <c r="AI67">
        <f>IF(AND(AI$4=1,AI17=0),1,0)</f>
        <v/>
      </c>
      <c r="AJ67">
        <f>IF(AND(AJ$4=1,AJ17=0),1,0)</f>
        <v/>
      </c>
      <c r="AK67">
        <f>IF(AND(AK$4=1,AK17=0),1,0)</f>
        <v/>
      </c>
      <c r="AL67">
        <f>IF(AND(AL$4=1,AL17=0),1,0)</f>
        <v/>
      </c>
      <c r="AM67">
        <f>IF(AND(AM$4=1,AM17=0),1,0)</f>
        <v/>
      </c>
      <c r="AN67">
        <f>IF(AND(AN$4=1,AN17=0),1,0)</f>
        <v/>
      </c>
      <c r="AO67">
        <f>IF(AND(AO$4=1,AO17=0),1,0)</f>
        <v/>
      </c>
      <c r="AP67">
        <f>IF(AND(AP$4=1,AP17=0),1,0)</f>
        <v/>
      </c>
      <c r="AQ67">
        <f>IF(AND(AQ$4=1,AQ17=0),1,0)</f>
        <v/>
      </c>
      <c r="AR67">
        <f>IF(AND(AR$4=1,AR17=0),1,0)</f>
        <v/>
      </c>
      <c r="AS67">
        <f>IF(AND(AS$4=1,AS17=0),1,0)</f>
        <v/>
      </c>
      <c r="AT67">
        <f>IF(AND(AT$4=1,AT17=0),1,0)</f>
        <v/>
      </c>
      <c r="AU67">
        <f>IF(AND(AU$4=1,AU17=0),1,0)</f>
        <v/>
      </c>
      <c r="AV67">
        <f>IF(AND(AV$4=1,AV17=0),1,0)</f>
        <v/>
      </c>
      <c r="AW67">
        <f>IF(AND(AW$4=1,AW17=0),1,0)</f>
        <v/>
      </c>
      <c r="AX67">
        <f>IF(AND(AX$4=1,AX17=0),1,0)</f>
        <v/>
      </c>
      <c r="AY67">
        <f>IF(AND(AY$4=1,AY17=0),1,0)</f>
        <v/>
      </c>
      <c r="AZ67">
        <f>IF(AND(AZ$4=1,AZ17=0),1,0)</f>
        <v/>
      </c>
      <c r="BA67">
        <f>IF(AND(BA$4=1,BA17=0),1,0)</f>
        <v/>
      </c>
      <c r="BB67">
        <f>IF(AND(BB$4=1,BB17=0),1,0)</f>
        <v/>
      </c>
      <c r="BC67">
        <f>IF(AND(BC$4=1,BC17=0),1,0)</f>
        <v/>
      </c>
      <c r="BD67">
        <f>IF(AND(BD$4=1,BD17=0),1,0)</f>
        <v/>
      </c>
      <c r="BE67">
        <f>IF(AND(BE$4=1,BE17=0),1,0)</f>
        <v/>
      </c>
      <c r="BF67">
        <f>IF(AND(BF$4=1,BF17=0),1,0)</f>
        <v/>
      </c>
      <c r="BG67">
        <f>IF(AND(BG$4=1,BG17=0),1,0)</f>
        <v/>
      </c>
      <c r="BH67">
        <f>IF(AND(BH$4=1,BH17=0),1,0)</f>
        <v/>
      </c>
      <c r="BI67">
        <f>IF(AND(BI$4=1,BI17=0),1,0)</f>
        <v/>
      </c>
      <c r="BJ67">
        <f>IF(AND(BJ$4=1,BJ17=0),1,0)</f>
        <v/>
      </c>
      <c r="BK67">
        <f>IF(AND(BK$4=1,BK17=0),1,0)</f>
        <v/>
      </c>
      <c r="BL67">
        <f>IF(AND(BL$4=1,BL17=0),1,0)</f>
        <v/>
      </c>
      <c r="BM67">
        <f>IF(AND(BM$4=1,BM17=0),1,0)</f>
        <v/>
      </c>
      <c r="BN67">
        <f>IF(AND(BN$4=1,BN17=0),1,0)</f>
        <v/>
      </c>
      <c r="BO67">
        <f>IF(AND(BO$4=1,BO17=0),1,0)</f>
        <v/>
      </c>
      <c r="BP67">
        <f>IF(AND(BP$4=1,BP17=0),1,0)</f>
        <v/>
      </c>
      <c r="BQ67">
        <f>IF(AND(BQ$4=1,BQ17=0),1,0)</f>
        <v/>
      </c>
      <c r="BR67">
        <f>IF(AND(BR$4=1,BR17=0),1,0)</f>
        <v/>
      </c>
      <c r="BS67">
        <f>IF(AND(BS$4=1,BS17=0),1,0)</f>
        <v/>
      </c>
      <c r="BT67">
        <f>IF(AND(BT$4=1,BT17=0),1,0)</f>
        <v/>
      </c>
      <c r="BU67">
        <f>IF(AND(BU$4=1,BU17=0),1,0)</f>
        <v/>
      </c>
      <c r="BV67">
        <f>IF(AND(BV$4=1,BV17=0),1,0)</f>
        <v/>
      </c>
      <c r="BW67">
        <f>IF(AND(BW$4=1,BW17=0),1,0)</f>
        <v/>
      </c>
      <c r="BX67">
        <f>IF(AND(BX$4=1,BX17=0),1,0)</f>
        <v/>
      </c>
      <c r="BY67">
        <f>IF(AND(BY$4=1,BY17=0),1,0)</f>
        <v/>
      </c>
      <c r="BZ67">
        <f>IF(AND(BZ$4=1,BZ17=0),1,0)</f>
        <v/>
      </c>
      <c r="CA67">
        <f>IF(AND(CA$4=1,CA17=0),1,0)</f>
        <v/>
      </c>
      <c r="CB67">
        <f>IF(AND(CB$4=1,CB17=0),1,0)</f>
        <v/>
      </c>
      <c r="CC67">
        <f>IF(AND(CC$4=1,CC17=0),1,0)</f>
        <v/>
      </c>
      <c r="CD67">
        <f>IF(AND(CD$4=1,CD17=0),1,0)</f>
        <v/>
      </c>
      <c r="CE67">
        <f>IF(AND(CE$4=1,CE17=0),1,0)</f>
        <v/>
      </c>
      <c r="CF67">
        <f>IF(AND(CF$4=1,CF17=0),1,0)</f>
        <v/>
      </c>
      <c r="CG67">
        <f>IF(AND(CG$4=1,CG17=0),1,0)</f>
        <v/>
      </c>
      <c r="CH67">
        <f>IF(AND(CH$4=1,CH17=0),1,0)</f>
        <v/>
      </c>
      <c r="CI67">
        <f>IF(AND(CI$4=1,CI17=0),1,0)</f>
        <v/>
      </c>
      <c r="CJ67">
        <f>IF(AND(CJ$4=1,CJ17=0),1,0)</f>
        <v/>
      </c>
      <c r="CK67">
        <f>IF(AND(CK$4=1,CK17=0),1,0)</f>
        <v/>
      </c>
      <c r="CL67">
        <f>IF(AND(CL$4=1,CL17=0),1,0)</f>
        <v/>
      </c>
      <c r="CM67">
        <f>IF(AND(CM$4=1,CM17=0),1,0)</f>
        <v/>
      </c>
      <c r="CN67">
        <f>IF(AND(CN$4=1,CN17=0),1,0)</f>
        <v/>
      </c>
      <c r="CO67">
        <f>IF(AND(CO$4=1,CO17=0),1,0)</f>
        <v/>
      </c>
      <c r="CP67">
        <f>IF(AND(CP$4=1,CP17=0),1,0)</f>
        <v/>
      </c>
      <c r="CQ67">
        <f>IF(AND(CQ$4=1,CQ17=0),1,0)</f>
        <v/>
      </c>
      <c r="CR67">
        <f>IF(AND(CR$4=1,CR17=0),1,0)</f>
        <v/>
      </c>
      <c r="CS67">
        <f>IF(AND(CS$4=1,CS17=0),1,0)</f>
        <v/>
      </c>
      <c r="CT67">
        <f>IF(AND(CT$4=1,CT17=0),1,0)</f>
        <v/>
      </c>
      <c r="CU67">
        <f>IF(AND(CU$4=1,CU17=0),1,0)</f>
        <v/>
      </c>
      <c r="CV67">
        <f>IF(AND(CV$4=1,CV17=0),1,0)</f>
        <v/>
      </c>
      <c r="CW67">
        <f>IF(AND(CW$4=1,CW17=0),1,0)</f>
        <v/>
      </c>
      <c r="CX67">
        <f>IF(AND(CX$4=1,CX17=0),1,0)</f>
        <v/>
      </c>
      <c r="CY67">
        <f>IF(AND(CY$4=1,CY17=0),1,0)</f>
        <v/>
      </c>
      <c r="CZ67">
        <f>IF(AND(CZ$4=1,CZ17=0),1,0)</f>
        <v/>
      </c>
      <c r="DA67">
        <f>IF(AND(DA$4=1,DA17=0),1,0)</f>
        <v/>
      </c>
      <c r="DB67">
        <f>IF(AND(DB$4=1,DB17=0),1,0)</f>
        <v/>
      </c>
      <c r="DC67">
        <f>IF(AND(DC$4=1,DC17=0),1,0)</f>
        <v/>
      </c>
      <c r="DD67">
        <f>IF(AND(DD$4=1,DD17=0),1,0)</f>
        <v/>
      </c>
      <c r="DE67">
        <f>IF(AND(DE$4=1,DE17=0),1,0)</f>
        <v/>
      </c>
      <c r="DF67">
        <f>IF(AND(DF$4=1,DF17=0),1,0)</f>
        <v/>
      </c>
      <c r="DG67">
        <f>IF(AND(DG$4=1,DG17=0),1,0)</f>
        <v/>
      </c>
      <c r="DH67">
        <f>IF(AND(DH$4=1,DH17=0),1,0)</f>
        <v/>
      </c>
      <c r="DI67">
        <f>IF(AND(DI$4=1,DI17=0),1,0)</f>
        <v/>
      </c>
      <c r="DJ67">
        <f>IF(AND(DJ$4=1,DJ17=0),1,0)</f>
        <v/>
      </c>
      <c r="DK67">
        <f>IF(AND(DK$4=1,DK17=0),1,0)</f>
        <v/>
      </c>
      <c r="DL67">
        <f>IF(AND(DL$4=1,DL17=0),1,0)</f>
        <v/>
      </c>
      <c r="DM67">
        <f>IF(AND(DM$4=1,DM17=0),1,0)</f>
        <v/>
      </c>
      <c r="DN67">
        <f>IF(AND(DN$4=1,DN17=0),1,0)</f>
        <v/>
      </c>
      <c r="DO67">
        <f>IF(AND(DO$4=1,DO17=0),1,0)</f>
        <v/>
      </c>
      <c r="DP67">
        <f>IF(AND(DP$4=1,DP17=0),1,0)</f>
        <v/>
      </c>
      <c r="DQ67">
        <f>IF(AND(DQ$4=1,DQ17=0),1,0)</f>
        <v/>
      </c>
      <c r="DR67">
        <f>IF(AND(DR$4=1,DR17=0),1,0)</f>
        <v/>
      </c>
      <c r="DS67">
        <f>IF(AND(DS$4=1,DS17=0),1,0)</f>
        <v/>
      </c>
      <c r="DT67">
        <f>IF(AND(DT$4=1,DT17=0),1,0)</f>
        <v/>
      </c>
      <c r="DU67">
        <f>IF(AND(DU$4=1,DU17=0),1,0)</f>
        <v/>
      </c>
      <c r="DV67">
        <f>IF(AND(DV$4=1,DV17=0),1,0)</f>
        <v/>
      </c>
      <c r="DW67">
        <f>IF(AND(DW$4=1,DW17=0),1,0)</f>
        <v/>
      </c>
      <c r="DX67">
        <f>IF(AND(DX$4=1,DX17=0),1,0)</f>
        <v/>
      </c>
      <c r="DY67">
        <f>IF(AND(DY$4=1,DY17=0),1,0)</f>
        <v/>
      </c>
      <c r="DZ67">
        <f>IF(AND(DZ$4=1,DZ17=0),1,0)</f>
        <v/>
      </c>
      <c r="EA67">
        <f>IF(AND(EA$4=1,EA17=0),1,0)</f>
        <v/>
      </c>
      <c r="EB67">
        <f>IF(AND(EB$4=1,EB17=0),1,0)</f>
        <v/>
      </c>
      <c r="EC67">
        <f>IF(AND(EC$4=1,EC17=0),1,0)</f>
        <v/>
      </c>
      <c r="ED67">
        <f>IF(AND(ED$4=1,ED17=0),1,0)</f>
        <v/>
      </c>
      <c r="EE67">
        <f>IF(AND(EE$4=1,EE17=0),1,0)</f>
        <v/>
      </c>
      <c r="EF67">
        <f>IF(AND(EF$4=1,EF17=0),1,0)</f>
        <v/>
      </c>
      <c r="EG67">
        <f>IF(AND(EG$4=1,EG17=0),1,0)</f>
        <v/>
      </c>
      <c r="EH67">
        <f>IF(AND(EH$4=1,EH17=0),1,0)</f>
        <v/>
      </c>
      <c r="EI67">
        <f>IF(AND(EI$4=1,EI17=0),1,0)</f>
        <v/>
      </c>
      <c r="EJ67">
        <f>IF(AND(EJ$4=1,EJ17=0),1,0)</f>
        <v/>
      </c>
      <c r="EK67">
        <f>IF(AND(EK$4=1,EK17=0),1,0)</f>
        <v/>
      </c>
      <c r="EL67">
        <f>IF(AND(EL$4=1,EL17=0),1,0)</f>
        <v/>
      </c>
      <c r="EM67">
        <f>IF(AND(EM$4=1,EM17=0),1,0)</f>
        <v/>
      </c>
      <c r="EN67">
        <f>IF(AND(EN$4=1,EN17=0),1,0)</f>
        <v/>
      </c>
      <c r="EO67">
        <f>IF(AND(EO$4=1,EO17=0),1,0)</f>
        <v/>
      </c>
      <c r="EP67">
        <f>IF(AND(EP$4=1,EP17=0),1,0)</f>
        <v/>
      </c>
      <c r="EQ67">
        <f>IF(AND(EQ$4=1,EQ17=0),1,0)</f>
        <v/>
      </c>
    </row>
    <row r="68">
      <c r="A68" t="n">
        <v>9</v>
      </c>
      <c r="D68">
        <f>IF(AND(D$4=1,D18=0),1,0)</f>
        <v/>
      </c>
      <c r="E68">
        <f>IF(AND(E$4=1,E18=0),1,0)</f>
        <v/>
      </c>
      <c r="F68">
        <f>IF(AND(F$4=1,F18=0),1,0)</f>
        <v/>
      </c>
      <c r="G68">
        <f>IF(AND(G$4=1,G18=0),1,0)</f>
        <v/>
      </c>
      <c r="H68">
        <f>IF(AND(H$4=1,H18=0),1,0)</f>
        <v/>
      </c>
      <c r="I68">
        <f>IF(AND(I$4=1,I18=0),1,0)</f>
        <v/>
      </c>
      <c r="J68">
        <f>IF(AND(J$4=1,J18=0),1,0)</f>
        <v/>
      </c>
      <c r="K68">
        <f>IF(AND(K$4=1,K18=0),1,0)</f>
        <v/>
      </c>
      <c r="L68">
        <f>IF(AND(L$4=1,L18=0),1,0)</f>
        <v/>
      </c>
      <c r="M68">
        <f>IF(AND(M$4=1,M18=0),1,0)</f>
        <v/>
      </c>
      <c r="N68">
        <f>IF(AND(N$4=1,N18=0),1,0)</f>
        <v/>
      </c>
      <c r="O68">
        <f>IF(AND(O$4=1,O18=0),1,0)</f>
        <v/>
      </c>
      <c r="P68">
        <f>IF(AND(P$4=1,P18=0),1,0)</f>
        <v/>
      </c>
      <c r="Q68">
        <f>IF(AND(Q$4=1,Q18=0),1,0)</f>
        <v/>
      </c>
      <c r="R68">
        <f>IF(AND(R$4=1,R18=0),1,0)</f>
        <v/>
      </c>
      <c r="S68">
        <f>IF(AND(S$4=1,S18=0),1,0)</f>
        <v/>
      </c>
      <c r="T68">
        <f>IF(AND(T$4=1,T18=0),1,0)</f>
        <v/>
      </c>
      <c r="U68">
        <f>IF(AND(U$4=1,U18=0),1,0)</f>
        <v/>
      </c>
      <c r="V68">
        <f>IF(AND(V$4=1,V18=0),1,0)</f>
        <v/>
      </c>
      <c r="W68">
        <f>IF(AND(W$4=1,W18=0),1,0)</f>
        <v/>
      </c>
      <c r="X68">
        <f>IF(AND(X$4=1,X18=0),1,0)</f>
        <v/>
      </c>
      <c r="Y68">
        <f>IF(AND(Y$4=1,Y18=0),1,0)</f>
        <v/>
      </c>
      <c r="Z68">
        <f>IF(AND(Z$4=1,Z18=0),1,0)</f>
        <v/>
      </c>
      <c r="AA68">
        <f>IF(AND(AA$4=1,AA18=0),1,0)</f>
        <v/>
      </c>
      <c r="AB68">
        <f>IF(AND(AB$4=1,AB18=0),1,0)</f>
        <v/>
      </c>
      <c r="AC68">
        <f>IF(AND(AC$4=1,AC18=0),1,0)</f>
        <v/>
      </c>
      <c r="AD68">
        <f>IF(AND(AD$4=1,AD18=0),1,0)</f>
        <v/>
      </c>
      <c r="AE68">
        <f>IF(AND(AE$4=1,AE18=0),1,0)</f>
        <v/>
      </c>
      <c r="AF68">
        <f>IF(AND(AF$4=1,AF18=0),1,0)</f>
        <v/>
      </c>
      <c r="AG68">
        <f>IF(AND(AG$4=1,AG18=0),1,0)</f>
        <v/>
      </c>
      <c r="AH68">
        <f>IF(AND(AH$4=1,AH18=0),1,0)</f>
        <v/>
      </c>
      <c r="AI68">
        <f>IF(AND(AI$4=1,AI18=0),1,0)</f>
        <v/>
      </c>
      <c r="AJ68">
        <f>IF(AND(AJ$4=1,AJ18=0),1,0)</f>
        <v/>
      </c>
      <c r="AK68">
        <f>IF(AND(AK$4=1,AK18=0),1,0)</f>
        <v/>
      </c>
      <c r="AL68">
        <f>IF(AND(AL$4=1,AL18=0),1,0)</f>
        <v/>
      </c>
      <c r="AM68">
        <f>IF(AND(AM$4=1,AM18=0),1,0)</f>
        <v/>
      </c>
      <c r="AN68">
        <f>IF(AND(AN$4=1,AN18=0),1,0)</f>
        <v/>
      </c>
      <c r="AO68">
        <f>IF(AND(AO$4=1,AO18=0),1,0)</f>
        <v/>
      </c>
      <c r="AP68">
        <f>IF(AND(AP$4=1,AP18=0),1,0)</f>
        <v/>
      </c>
      <c r="AQ68">
        <f>IF(AND(AQ$4=1,AQ18=0),1,0)</f>
        <v/>
      </c>
      <c r="AR68">
        <f>IF(AND(AR$4=1,AR18=0),1,0)</f>
        <v/>
      </c>
      <c r="AS68">
        <f>IF(AND(AS$4=1,AS18=0),1,0)</f>
        <v/>
      </c>
      <c r="AT68">
        <f>IF(AND(AT$4=1,AT18=0),1,0)</f>
        <v/>
      </c>
      <c r="AU68">
        <f>IF(AND(AU$4=1,AU18=0),1,0)</f>
        <v/>
      </c>
      <c r="AV68">
        <f>IF(AND(AV$4=1,AV18=0),1,0)</f>
        <v/>
      </c>
      <c r="AW68">
        <f>IF(AND(AW$4=1,AW18=0),1,0)</f>
        <v/>
      </c>
      <c r="AX68">
        <f>IF(AND(AX$4=1,AX18=0),1,0)</f>
        <v/>
      </c>
      <c r="AY68">
        <f>IF(AND(AY$4=1,AY18=0),1,0)</f>
        <v/>
      </c>
      <c r="AZ68">
        <f>IF(AND(AZ$4=1,AZ18=0),1,0)</f>
        <v/>
      </c>
      <c r="BA68">
        <f>IF(AND(BA$4=1,BA18=0),1,0)</f>
        <v/>
      </c>
      <c r="BB68">
        <f>IF(AND(BB$4=1,BB18=0),1,0)</f>
        <v/>
      </c>
      <c r="BC68">
        <f>IF(AND(BC$4=1,BC18=0),1,0)</f>
        <v/>
      </c>
      <c r="BD68">
        <f>IF(AND(BD$4=1,BD18=0),1,0)</f>
        <v/>
      </c>
      <c r="BE68">
        <f>IF(AND(BE$4=1,BE18=0),1,0)</f>
        <v/>
      </c>
      <c r="BF68">
        <f>IF(AND(BF$4=1,BF18=0),1,0)</f>
        <v/>
      </c>
      <c r="BG68">
        <f>IF(AND(BG$4=1,BG18=0),1,0)</f>
        <v/>
      </c>
      <c r="BH68">
        <f>IF(AND(BH$4=1,BH18=0),1,0)</f>
        <v/>
      </c>
      <c r="BI68">
        <f>IF(AND(BI$4=1,BI18=0),1,0)</f>
        <v/>
      </c>
      <c r="BJ68">
        <f>IF(AND(BJ$4=1,BJ18=0),1,0)</f>
        <v/>
      </c>
      <c r="BK68">
        <f>IF(AND(BK$4=1,BK18=0),1,0)</f>
        <v/>
      </c>
      <c r="BL68">
        <f>IF(AND(BL$4=1,BL18=0),1,0)</f>
        <v/>
      </c>
      <c r="BM68">
        <f>IF(AND(BM$4=1,BM18=0),1,0)</f>
        <v/>
      </c>
      <c r="BN68">
        <f>IF(AND(BN$4=1,BN18=0),1,0)</f>
        <v/>
      </c>
      <c r="BO68">
        <f>IF(AND(BO$4=1,BO18=0),1,0)</f>
        <v/>
      </c>
      <c r="BP68">
        <f>IF(AND(BP$4=1,BP18=0),1,0)</f>
        <v/>
      </c>
      <c r="BQ68">
        <f>IF(AND(BQ$4=1,BQ18=0),1,0)</f>
        <v/>
      </c>
      <c r="BR68">
        <f>IF(AND(BR$4=1,BR18=0),1,0)</f>
        <v/>
      </c>
      <c r="BS68">
        <f>IF(AND(BS$4=1,BS18=0),1,0)</f>
        <v/>
      </c>
      <c r="BT68">
        <f>IF(AND(BT$4=1,BT18=0),1,0)</f>
        <v/>
      </c>
      <c r="BU68">
        <f>IF(AND(BU$4=1,BU18=0),1,0)</f>
        <v/>
      </c>
      <c r="BV68">
        <f>IF(AND(BV$4=1,BV18=0),1,0)</f>
        <v/>
      </c>
      <c r="BW68">
        <f>IF(AND(BW$4=1,BW18=0),1,0)</f>
        <v/>
      </c>
      <c r="BX68">
        <f>IF(AND(BX$4=1,BX18=0),1,0)</f>
        <v/>
      </c>
      <c r="BY68">
        <f>IF(AND(BY$4=1,BY18=0),1,0)</f>
        <v/>
      </c>
      <c r="BZ68">
        <f>IF(AND(BZ$4=1,BZ18=0),1,0)</f>
        <v/>
      </c>
      <c r="CA68">
        <f>IF(AND(CA$4=1,CA18=0),1,0)</f>
        <v/>
      </c>
      <c r="CB68">
        <f>IF(AND(CB$4=1,CB18=0),1,0)</f>
        <v/>
      </c>
      <c r="CC68">
        <f>IF(AND(CC$4=1,CC18=0),1,0)</f>
        <v/>
      </c>
      <c r="CD68">
        <f>IF(AND(CD$4=1,CD18=0),1,0)</f>
        <v/>
      </c>
      <c r="CE68">
        <f>IF(AND(CE$4=1,CE18=0),1,0)</f>
        <v/>
      </c>
      <c r="CF68">
        <f>IF(AND(CF$4=1,CF18=0),1,0)</f>
        <v/>
      </c>
      <c r="CG68">
        <f>IF(AND(CG$4=1,CG18=0),1,0)</f>
        <v/>
      </c>
      <c r="CH68">
        <f>IF(AND(CH$4=1,CH18=0),1,0)</f>
        <v/>
      </c>
      <c r="CI68">
        <f>IF(AND(CI$4=1,CI18=0),1,0)</f>
        <v/>
      </c>
      <c r="CJ68">
        <f>IF(AND(CJ$4=1,CJ18=0),1,0)</f>
        <v/>
      </c>
      <c r="CK68">
        <f>IF(AND(CK$4=1,CK18=0),1,0)</f>
        <v/>
      </c>
      <c r="CL68">
        <f>IF(AND(CL$4=1,CL18=0),1,0)</f>
        <v/>
      </c>
      <c r="CM68">
        <f>IF(AND(CM$4=1,CM18=0),1,0)</f>
        <v/>
      </c>
      <c r="CN68">
        <f>IF(AND(CN$4=1,CN18=0),1,0)</f>
        <v/>
      </c>
      <c r="CO68">
        <f>IF(AND(CO$4=1,CO18=0),1,0)</f>
        <v/>
      </c>
      <c r="CP68">
        <f>IF(AND(CP$4=1,CP18=0),1,0)</f>
        <v/>
      </c>
      <c r="CQ68">
        <f>IF(AND(CQ$4=1,CQ18=0),1,0)</f>
        <v/>
      </c>
      <c r="CR68">
        <f>IF(AND(CR$4=1,CR18=0),1,0)</f>
        <v/>
      </c>
      <c r="CS68">
        <f>IF(AND(CS$4=1,CS18=0),1,0)</f>
        <v/>
      </c>
      <c r="CT68">
        <f>IF(AND(CT$4=1,CT18=0),1,0)</f>
        <v/>
      </c>
      <c r="CU68">
        <f>IF(AND(CU$4=1,CU18=0),1,0)</f>
        <v/>
      </c>
      <c r="CV68">
        <f>IF(AND(CV$4=1,CV18=0),1,0)</f>
        <v/>
      </c>
      <c r="CW68">
        <f>IF(AND(CW$4=1,CW18=0),1,0)</f>
        <v/>
      </c>
      <c r="CX68">
        <f>IF(AND(CX$4=1,CX18=0),1,0)</f>
        <v/>
      </c>
      <c r="CY68">
        <f>IF(AND(CY$4=1,CY18=0),1,0)</f>
        <v/>
      </c>
      <c r="CZ68">
        <f>IF(AND(CZ$4=1,CZ18=0),1,0)</f>
        <v/>
      </c>
      <c r="DA68">
        <f>IF(AND(DA$4=1,DA18=0),1,0)</f>
        <v/>
      </c>
      <c r="DB68">
        <f>IF(AND(DB$4=1,DB18=0),1,0)</f>
        <v/>
      </c>
      <c r="DC68">
        <f>IF(AND(DC$4=1,DC18=0),1,0)</f>
        <v/>
      </c>
      <c r="DD68">
        <f>IF(AND(DD$4=1,DD18=0),1,0)</f>
        <v/>
      </c>
      <c r="DE68">
        <f>IF(AND(DE$4=1,DE18=0),1,0)</f>
        <v/>
      </c>
      <c r="DF68">
        <f>IF(AND(DF$4=1,DF18=0),1,0)</f>
        <v/>
      </c>
      <c r="DG68">
        <f>IF(AND(DG$4=1,DG18=0),1,0)</f>
        <v/>
      </c>
      <c r="DH68">
        <f>IF(AND(DH$4=1,DH18=0),1,0)</f>
        <v/>
      </c>
      <c r="DI68">
        <f>IF(AND(DI$4=1,DI18=0),1,0)</f>
        <v/>
      </c>
      <c r="DJ68">
        <f>IF(AND(DJ$4=1,DJ18=0),1,0)</f>
        <v/>
      </c>
      <c r="DK68">
        <f>IF(AND(DK$4=1,DK18=0),1,0)</f>
        <v/>
      </c>
      <c r="DL68">
        <f>IF(AND(DL$4=1,DL18=0),1,0)</f>
        <v/>
      </c>
      <c r="DM68">
        <f>IF(AND(DM$4=1,DM18=0),1,0)</f>
        <v/>
      </c>
      <c r="DN68">
        <f>IF(AND(DN$4=1,DN18=0),1,0)</f>
        <v/>
      </c>
      <c r="DO68">
        <f>IF(AND(DO$4=1,DO18=0),1,0)</f>
        <v/>
      </c>
      <c r="DP68">
        <f>IF(AND(DP$4=1,DP18=0),1,0)</f>
        <v/>
      </c>
      <c r="DQ68">
        <f>IF(AND(DQ$4=1,DQ18=0),1,0)</f>
        <v/>
      </c>
      <c r="DR68">
        <f>IF(AND(DR$4=1,DR18=0),1,0)</f>
        <v/>
      </c>
      <c r="DS68">
        <f>IF(AND(DS$4=1,DS18=0),1,0)</f>
        <v/>
      </c>
      <c r="DT68">
        <f>IF(AND(DT$4=1,DT18=0),1,0)</f>
        <v/>
      </c>
      <c r="DU68">
        <f>IF(AND(DU$4=1,DU18=0),1,0)</f>
        <v/>
      </c>
      <c r="DV68">
        <f>IF(AND(DV$4=1,DV18=0),1,0)</f>
        <v/>
      </c>
      <c r="DW68">
        <f>IF(AND(DW$4=1,DW18=0),1,0)</f>
        <v/>
      </c>
      <c r="DX68">
        <f>IF(AND(DX$4=1,DX18=0),1,0)</f>
        <v/>
      </c>
      <c r="DY68">
        <f>IF(AND(DY$4=1,DY18=0),1,0)</f>
        <v/>
      </c>
      <c r="DZ68">
        <f>IF(AND(DZ$4=1,DZ18=0),1,0)</f>
        <v/>
      </c>
      <c r="EA68">
        <f>IF(AND(EA$4=1,EA18=0),1,0)</f>
        <v/>
      </c>
      <c r="EB68">
        <f>IF(AND(EB$4=1,EB18=0),1,0)</f>
        <v/>
      </c>
      <c r="EC68">
        <f>IF(AND(EC$4=1,EC18=0),1,0)</f>
        <v/>
      </c>
      <c r="ED68">
        <f>IF(AND(ED$4=1,ED18=0),1,0)</f>
        <v/>
      </c>
      <c r="EE68">
        <f>IF(AND(EE$4=1,EE18=0),1,0)</f>
        <v/>
      </c>
      <c r="EF68">
        <f>IF(AND(EF$4=1,EF18=0),1,0)</f>
        <v/>
      </c>
      <c r="EG68">
        <f>IF(AND(EG$4=1,EG18=0),1,0)</f>
        <v/>
      </c>
      <c r="EH68">
        <f>IF(AND(EH$4=1,EH18=0),1,0)</f>
        <v/>
      </c>
      <c r="EI68">
        <f>IF(AND(EI$4=1,EI18=0),1,0)</f>
        <v/>
      </c>
      <c r="EJ68">
        <f>IF(AND(EJ$4=1,EJ18=0),1,0)</f>
        <v/>
      </c>
      <c r="EK68">
        <f>IF(AND(EK$4=1,EK18=0),1,0)</f>
        <v/>
      </c>
      <c r="EL68">
        <f>IF(AND(EL$4=1,EL18=0),1,0)</f>
        <v/>
      </c>
      <c r="EM68">
        <f>IF(AND(EM$4=1,EM18=0),1,0)</f>
        <v/>
      </c>
      <c r="EN68">
        <f>IF(AND(EN$4=1,EN18=0),1,0)</f>
        <v/>
      </c>
      <c r="EO68">
        <f>IF(AND(EO$4=1,EO18=0),1,0)</f>
        <v/>
      </c>
      <c r="EP68">
        <f>IF(AND(EP$4=1,EP18=0),1,0)</f>
        <v/>
      </c>
      <c r="EQ68">
        <f>IF(AND(EQ$4=1,EQ18=0),1,0)</f>
        <v/>
      </c>
    </row>
    <row r="69">
      <c r="A69" t="n">
        <v>10</v>
      </c>
      <c r="D69">
        <f>IF(AND(D$4=1,D19=0),1,0)</f>
        <v/>
      </c>
      <c r="E69">
        <f>IF(AND(E$4=1,E19=0),1,0)</f>
        <v/>
      </c>
      <c r="F69">
        <f>IF(AND(F$4=1,F19=0),1,0)</f>
        <v/>
      </c>
      <c r="G69">
        <f>IF(AND(G$4=1,G19=0),1,0)</f>
        <v/>
      </c>
      <c r="H69">
        <f>IF(AND(H$4=1,H19=0),1,0)</f>
        <v/>
      </c>
      <c r="I69">
        <f>IF(AND(I$4=1,I19=0),1,0)</f>
        <v/>
      </c>
      <c r="J69">
        <f>IF(AND(J$4=1,J19=0),1,0)</f>
        <v/>
      </c>
      <c r="K69">
        <f>IF(AND(K$4=1,K19=0),1,0)</f>
        <v/>
      </c>
      <c r="L69">
        <f>IF(AND(L$4=1,L19=0),1,0)</f>
        <v/>
      </c>
      <c r="M69">
        <f>IF(AND(M$4=1,M19=0),1,0)</f>
        <v/>
      </c>
      <c r="N69">
        <f>IF(AND(N$4=1,N19=0),1,0)</f>
        <v/>
      </c>
      <c r="O69">
        <f>IF(AND(O$4=1,O19=0),1,0)</f>
        <v/>
      </c>
      <c r="P69">
        <f>IF(AND(P$4=1,P19=0),1,0)</f>
        <v/>
      </c>
      <c r="Q69">
        <f>IF(AND(Q$4=1,Q19=0),1,0)</f>
        <v/>
      </c>
      <c r="R69">
        <f>IF(AND(R$4=1,R19=0),1,0)</f>
        <v/>
      </c>
      <c r="S69">
        <f>IF(AND(S$4=1,S19=0),1,0)</f>
        <v/>
      </c>
      <c r="T69">
        <f>IF(AND(T$4=1,T19=0),1,0)</f>
        <v/>
      </c>
      <c r="U69">
        <f>IF(AND(U$4=1,U19=0),1,0)</f>
        <v/>
      </c>
      <c r="V69">
        <f>IF(AND(V$4=1,V19=0),1,0)</f>
        <v/>
      </c>
      <c r="W69">
        <f>IF(AND(W$4=1,W19=0),1,0)</f>
        <v/>
      </c>
      <c r="X69">
        <f>IF(AND(X$4=1,X19=0),1,0)</f>
        <v/>
      </c>
      <c r="Y69">
        <f>IF(AND(Y$4=1,Y19=0),1,0)</f>
        <v/>
      </c>
      <c r="Z69">
        <f>IF(AND(Z$4=1,Z19=0),1,0)</f>
        <v/>
      </c>
      <c r="AA69">
        <f>IF(AND(AA$4=1,AA19=0),1,0)</f>
        <v/>
      </c>
      <c r="AB69">
        <f>IF(AND(AB$4=1,AB19=0),1,0)</f>
        <v/>
      </c>
      <c r="AC69">
        <f>IF(AND(AC$4=1,AC19=0),1,0)</f>
        <v/>
      </c>
      <c r="AD69">
        <f>IF(AND(AD$4=1,AD19=0),1,0)</f>
        <v/>
      </c>
      <c r="AE69">
        <f>IF(AND(AE$4=1,AE19=0),1,0)</f>
        <v/>
      </c>
      <c r="AF69">
        <f>IF(AND(AF$4=1,AF19=0),1,0)</f>
        <v/>
      </c>
      <c r="AG69">
        <f>IF(AND(AG$4=1,AG19=0),1,0)</f>
        <v/>
      </c>
      <c r="AH69">
        <f>IF(AND(AH$4=1,AH19=0),1,0)</f>
        <v/>
      </c>
      <c r="AI69">
        <f>IF(AND(AI$4=1,AI19=0),1,0)</f>
        <v/>
      </c>
      <c r="AJ69">
        <f>IF(AND(AJ$4=1,AJ19=0),1,0)</f>
        <v/>
      </c>
      <c r="AK69">
        <f>IF(AND(AK$4=1,AK19=0),1,0)</f>
        <v/>
      </c>
      <c r="AL69">
        <f>IF(AND(AL$4=1,AL19=0),1,0)</f>
        <v/>
      </c>
      <c r="AM69">
        <f>IF(AND(AM$4=1,AM19=0),1,0)</f>
        <v/>
      </c>
      <c r="AN69">
        <f>IF(AND(AN$4=1,AN19=0),1,0)</f>
        <v/>
      </c>
      <c r="AO69">
        <f>IF(AND(AO$4=1,AO19=0),1,0)</f>
        <v/>
      </c>
      <c r="AP69">
        <f>IF(AND(AP$4=1,AP19=0),1,0)</f>
        <v/>
      </c>
      <c r="AQ69">
        <f>IF(AND(AQ$4=1,AQ19=0),1,0)</f>
        <v/>
      </c>
      <c r="AR69">
        <f>IF(AND(AR$4=1,AR19=0),1,0)</f>
        <v/>
      </c>
      <c r="AS69">
        <f>IF(AND(AS$4=1,AS19=0),1,0)</f>
        <v/>
      </c>
      <c r="AT69">
        <f>IF(AND(AT$4=1,AT19=0),1,0)</f>
        <v/>
      </c>
      <c r="AU69">
        <f>IF(AND(AU$4=1,AU19=0),1,0)</f>
        <v/>
      </c>
      <c r="AV69">
        <f>IF(AND(AV$4=1,AV19=0),1,0)</f>
        <v/>
      </c>
      <c r="AW69">
        <f>IF(AND(AW$4=1,AW19=0),1,0)</f>
        <v/>
      </c>
      <c r="AX69">
        <f>IF(AND(AX$4=1,AX19=0),1,0)</f>
        <v/>
      </c>
      <c r="AY69">
        <f>IF(AND(AY$4=1,AY19=0),1,0)</f>
        <v/>
      </c>
      <c r="AZ69">
        <f>IF(AND(AZ$4=1,AZ19=0),1,0)</f>
        <v/>
      </c>
      <c r="BA69">
        <f>IF(AND(BA$4=1,BA19=0),1,0)</f>
        <v/>
      </c>
      <c r="BB69">
        <f>IF(AND(BB$4=1,BB19=0),1,0)</f>
        <v/>
      </c>
      <c r="BC69">
        <f>IF(AND(BC$4=1,BC19=0),1,0)</f>
        <v/>
      </c>
      <c r="BD69">
        <f>IF(AND(BD$4=1,BD19=0),1,0)</f>
        <v/>
      </c>
      <c r="BE69">
        <f>IF(AND(BE$4=1,BE19=0),1,0)</f>
        <v/>
      </c>
      <c r="BF69">
        <f>IF(AND(BF$4=1,BF19=0),1,0)</f>
        <v/>
      </c>
      <c r="BG69">
        <f>IF(AND(BG$4=1,BG19=0),1,0)</f>
        <v/>
      </c>
      <c r="BH69">
        <f>IF(AND(BH$4=1,BH19=0),1,0)</f>
        <v/>
      </c>
      <c r="BI69">
        <f>IF(AND(BI$4=1,BI19=0),1,0)</f>
        <v/>
      </c>
      <c r="BJ69">
        <f>IF(AND(BJ$4=1,BJ19=0),1,0)</f>
        <v/>
      </c>
      <c r="BK69">
        <f>IF(AND(BK$4=1,BK19=0),1,0)</f>
        <v/>
      </c>
      <c r="BL69">
        <f>IF(AND(BL$4=1,BL19=0),1,0)</f>
        <v/>
      </c>
      <c r="BM69">
        <f>IF(AND(BM$4=1,BM19=0),1,0)</f>
        <v/>
      </c>
      <c r="BN69">
        <f>IF(AND(BN$4=1,BN19=0),1,0)</f>
        <v/>
      </c>
      <c r="BO69">
        <f>IF(AND(BO$4=1,BO19=0),1,0)</f>
        <v/>
      </c>
      <c r="BP69">
        <f>IF(AND(BP$4=1,BP19=0),1,0)</f>
        <v/>
      </c>
      <c r="BQ69">
        <f>IF(AND(BQ$4=1,BQ19=0),1,0)</f>
        <v/>
      </c>
      <c r="BR69">
        <f>IF(AND(BR$4=1,BR19=0),1,0)</f>
        <v/>
      </c>
      <c r="BS69">
        <f>IF(AND(BS$4=1,BS19=0),1,0)</f>
        <v/>
      </c>
      <c r="BT69">
        <f>IF(AND(BT$4=1,BT19=0),1,0)</f>
        <v/>
      </c>
      <c r="BU69">
        <f>IF(AND(BU$4=1,BU19=0),1,0)</f>
        <v/>
      </c>
      <c r="BV69">
        <f>IF(AND(BV$4=1,BV19=0),1,0)</f>
        <v/>
      </c>
      <c r="BW69">
        <f>IF(AND(BW$4=1,BW19=0),1,0)</f>
        <v/>
      </c>
      <c r="BX69">
        <f>IF(AND(BX$4=1,BX19=0),1,0)</f>
        <v/>
      </c>
      <c r="BY69">
        <f>IF(AND(BY$4=1,BY19=0),1,0)</f>
        <v/>
      </c>
      <c r="BZ69">
        <f>IF(AND(BZ$4=1,BZ19=0),1,0)</f>
        <v/>
      </c>
      <c r="CA69">
        <f>IF(AND(CA$4=1,CA19=0),1,0)</f>
        <v/>
      </c>
      <c r="CB69">
        <f>IF(AND(CB$4=1,CB19=0),1,0)</f>
        <v/>
      </c>
      <c r="CC69">
        <f>IF(AND(CC$4=1,CC19=0),1,0)</f>
        <v/>
      </c>
      <c r="CD69">
        <f>IF(AND(CD$4=1,CD19=0),1,0)</f>
        <v/>
      </c>
      <c r="CE69">
        <f>IF(AND(CE$4=1,CE19=0),1,0)</f>
        <v/>
      </c>
      <c r="CF69">
        <f>IF(AND(CF$4=1,CF19=0),1,0)</f>
        <v/>
      </c>
      <c r="CG69">
        <f>IF(AND(CG$4=1,CG19=0),1,0)</f>
        <v/>
      </c>
      <c r="CH69">
        <f>IF(AND(CH$4=1,CH19=0),1,0)</f>
        <v/>
      </c>
      <c r="CI69">
        <f>IF(AND(CI$4=1,CI19=0),1,0)</f>
        <v/>
      </c>
      <c r="CJ69">
        <f>IF(AND(CJ$4=1,CJ19=0),1,0)</f>
        <v/>
      </c>
      <c r="CK69">
        <f>IF(AND(CK$4=1,CK19=0),1,0)</f>
        <v/>
      </c>
      <c r="CL69">
        <f>IF(AND(CL$4=1,CL19=0),1,0)</f>
        <v/>
      </c>
      <c r="CM69">
        <f>IF(AND(CM$4=1,CM19=0),1,0)</f>
        <v/>
      </c>
      <c r="CN69">
        <f>IF(AND(CN$4=1,CN19=0),1,0)</f>
        <v/>
      </c>
      <c r="CO69">
        <f>IF(AND(CO$4=1,CO19=0),1,0)</f>
        <v/>
      </c>
      <c r="CP69">
        <f>IF(AND(CP$4=1,CP19=0),1,0)</f>
        <v/>
      </c>
      <c r="CQ69">
        <f>IF(AND(CQ$4=1,CQ19=0),1,0)</f>
        <v/>
      </c>
      <c r="CR69">
        <f>IF(AND(CR$4=1,CR19=0),1,0)</f>
        <v/>
      </c>
      <c r="CS69">
        <f>IF(AND(CS$4=1,CS19=0),1,0)</f>
        <v/>
      </c>
      <c r="CT69">
        <f>IF(AND(CT$4=1,CT19=0),1,0)</f>
        <v/>
      </c>
      <c r="CU69">
        <f>IF(AND(CU$4=1,CU19=0),1,0)</f>
        <v/>
      </c>
      <c r="CV69">
        <f>IF(AND(CV$4=1,CV19=0),1,0)</f>
        <v/>
      </c>
      <c r="CW69">
        <f>IF(AND(CW$4=1,CW19=0),1,0)</f>
        <v/>
      </c>
      <c r="CX69">
        <f>IF(AND(CX$4=1,CX19=0),1,0)</f>
        <v/>
      </c>
      <c r="CY69">
        <f>IF(AND(CY$4=1,CY19=0),1,0)</f>
        <v/>
      </c>
      <c r="CZ69">
        <f>IF(AND(CZ$4=1,CZ19=0),1,0)</f>
        <v/>
      </c>
      <c r="DA69">
        <f>IF(AND(DA$4=1,DA19=0),1,0)</f>
        <v/>
      </c>
      <c r="DB69">
        <f>IF(AND(DB$4=1,DB19=0),1,0)</f>
        <v/>
      </c>
      <c r="DC69">
        <f>IF(AND(DC$4=1,DC19=0),1,0)</f>
        <v/>
      </c>
      <c r="DD69">
        <f>IF(AND(DD$4=1,DD19=0),1,0)</f>
        <v/>
      </c>
      <c r="DE69">
        <f>IF(AND(DE$4=1,DE19=0),1,0)</f>
        <v/>
      </c>
      <c r="DF69">
        <f>IF(AND(DF$4=1,DF19=0),1,0)</f>
        <v/>
      </c>
      <c r="DG69">
        <f>IF(AND(DG$4=1,DG19=0),1,0)</f>
        <v/>
      </c>
      <c r="DH69">
        <f>IF(AND(DH$4=1,DH19=0),1,0)</f>
        <v/>
      </c>
      <c r="DI69">
        <f>IF(AND(DI$4=1,DI19=0),1,0)</f>
        <v/>
      </c>
      <c r="DJ69">
        <f>IF(AND(DJ$4=1,DJ19=0),1,0)</f>
        <v/>
      </c>
      <c r="DK69">
        <f>IF(AND(DK$4=1,DK19=0),1,0)</f>
        <v/>
      </c>
      <c r="DL69">
        <f>IF(AND(DL$4=1,DL19=0),1,0)</f>
        <v/>
      </c>
      <c r="DM69">
        <f>IF(AND(DM$4=1,DM19=0),1,0)</f>
        <v/>
      </c>
      <c r="DN69">
        <f>IF(AND(DN$4=1,DN19=0),1,0)</f>
        <v/>
      </c>
      <c r="DO69">
        <f>IF(AND(DO$4=1,DO19=0),1,0)</f>
        <v/>
      </c>
      <c r="DP69">
        <f>IF(AND(DP$4=1,DP19=0),1,0)</f>
        <v/>
      </c>
      <c r="DQ69">
        <f>IF(AND(DQ$4=1,DQ19=0),1,0)</f>
        <v/>
      </c>
      <c r="DR69">
        <f>IF(AND(DR$4=1,DR19=0),1,0)</f>
        <v/>
      </c>
      <c r="DS69">
        <f>IF(AND(DS$4=1,DS19=0),1,0)</f>
        <v/>
      </c>
      <c r="DT69">
        <f>IF(AND(DT$4=1,DT19=0),1,0)</f>
        <v/>
      </c>
      <c r="DU69">
        <f>IF(AND(DU$4=1,DU19=0),1,0)</f>
        <v/>
      </c>
      <c r="DV69">
        <f>IF(AND(DV$4=1,DV19=0),1,0)</f>
        <v/>
      </c>
      <c r="DW69">
        <f>IF(AND(DW$4=1,DW19=0),1,0)</f>
        <v/>
      </c>
      <c r="DX69">
        <f>IF(AND(DX$4=1,DX19=0),1,0)</f>
        <v/>
      </c>
      <c r="DY69">
        <f>IF(AND(DY$4=1,DY19=0),1,0)</f>
        <v/>
      </c>
      <c r="DZ69">
        <f>IF(AND(DZ$4=1,DZ19=0),1,0)</f>
        <v/>
      </c>
      <c r="EA69">
        <f>IF(AND(EA$4=1,EA19=0),1,0)</f>
        <v/>
      </c>
      <c r="EB69">
        <f>IF(AND(EB$4=1,EB19=0),1,0)</f>
        <v/>
      </c>
      <c r="EC69">
        <f>IF(AND(EC$4=1,EC19=0),1,0)</f>
        <v/>
      </c>
      <c r="ED69">
        <f>IF(AND(ED$4=1,ED19=0),1,0)</f>
        <v/>
      </c>
      <c r="EE69">
        <f>IF(AND(EE$4=1,EE19=0),1,0)</f>
        <v/>
      </c>
      <c r="EF69">
        <f>IF(AND(EF$4=1,EF19=0),1,0)</f>
        <v/>
      </c>
      <c r="EG69">
        <f>IF(AND(EG$4=1,EG19=0),1,0)</f>
        <v/>
      </c>
      <c r="EH69">
        <f>IF(AND(EH$4=1,EH19=0),1,0)</f>
        <v/>
      </c>
      <c r="EI69">
        <f>IF(AND(EI$4=1,EI19=0),1,0)</f>
        <v/>
      </c>
      <c r="EJ69">
        <f>IF(AND(EJ$4=1,EJ19=0),1,0)</f>
        <v/>
      </c>
      <c r="EK69">
        <f>IF(AND(EK$4=1,EK19=0),1,0)</f>
        <v/>
      </c>
      <c r="EL69">
        <f>IF(AND(EL$4=1,EL19=0),1,0)</f>
        <v/>
      </c>
      <c r="EM69">
        <f>IF(AND(EM$4=1,EM19=0),1,0)</f>
        <v/>
      </c>
      <c r="EN69">
        <f>IF(AND(EN$4=1,EN19=0),1,0)</f>
        <v/>
      </c>
      <c r="EO69">
        <f>IF(AND(EO$4=1,EO19=0),1,0)</f>
        <v/>
      </c>
      <c r="EP69">
        <f>IF(AND(EP$4=1,EP19=0),1,0)</f>
        <v/>
      </c>
      <c r="EQ69">
        <f>IF(AND(EQ$4=1,EQ19=0),1,0)</f>
        <v/>
      </c>
    </row>
    <row r="70">
      <c r="A70" t="n">
        <v>11</v>
      </c>
      <c r="D70">
        <f>IF(AND(D$4=1,D20=0),1,0)</f>
        <v/>
      </c>
      <c r="E70">
        <f>IF(AND(E$4=1,E20=0),1,0)</f>
        <v/>
      </c>
      <c r="F70">
        <f>IF(AND(F$4=1,F20=0),1,0)</f>
        <v/>
      </c>
      <c r="G70">
        <f>IF(AND(G$4=1,G20=0),1,0)</f>
        <v/>
      </c>
      <c r="H70">
        <f>IF(AND(H$4=1,H20=0),1,0)</f>
        <v/>
      </c>
      <c r="I70">
        <f>IF(AND(I$4=1,I20=0),1,0)</f>
        <v/>
      </c>
      <c r="J70">
        <f>IF(AND(J$4=1,J20=0),1,0)</f>
        <v/>
      </c>
      <c r="K70">
        <f>IF(AND(K$4=1,K20=0),1,0)</f>
        <v/>
      </c>
      <c r="L70">
        <f>IF(AND(L$4=1,L20=0),1,0)</f>
        <v/>
      </c>
      <c r="M70">
        <f>IF(AND(M$4=1,M20=0),1,0)</f>
        <v/>
      </c>
      <c r="N70">
        <f>IF(AND(N$4=1,N20=0),1,0)</f>
        <v/>
      </c>
      <c r="O70">
        <f>IF(AND(O$4=1,O20=0),1,0)</f>
        <v/>
      </c>
      <c r="P70">
        <f>IF(AND(P$4=1,P20=0),1,0)</f>
        <v/>
      </c>
      <c r="Q70">
        <f>IF(AND(Q$4=1,Q20=0),1,0)</f>
        <v/>
      </c>
      <c r="R70">
        <f>IF(AND(R$4=1,R20=0),1,0)</f>
        <v/>
      </c>
      <c r="S70">
        <f>IF(AND(S$4=1,S20=0),1,0)</f>
        <v/>
      </c>
      <c r="T70">
        <f>IF(AND(T$4=1,T20=0),1,0)</f>
        <v/>
      </c>
      <c r="U70">
        <f>IF(AND(U$4=1,U20=0),1,0)</f>
        <v/>
      </c>
      <c r="V70">
        <f>IF(AND(V$4=1,V20=0),1,0)</f>
        <v/>
      </c>
      <c r="W70">
        <f>IF(AND(W$4=1,W20=0),1,0)</f>
        <v/>
      </c>
      <c r="X70">
        <f>IF(AND(X$4=1,X20=0),1,0)</f>
        <v/>
      </c>
      <c r="Y70">
        <f>IF(AND(Y$4=1,Y20=0),1,0)</f>
        <v/>
      </c>
      <c r="Z70">
        <f>IF(AND(Z$4=1,Z20=0),1,0)</f>
        <v/>
      </c>
      <c r="AA70">
        <f>IF(AND(AA$4=1,AA20=0),1,0)</f>
        <v/>
      </c>
      <c r="AB70">
        <f>IF(AND(AB$4=1,AB20=0),1,0)</f>
        <v/>
      </c>
      <c r="AC70">
        <f>IF(AND(AC$4=1,AC20=0),1,0)</f>
        <v/>
      </c>
      <c r="AD70">
        <f>IF(AND(AD$4=1,AD20=0),1,0)</f>
        <v/>
      </c>
      <c r="AE70">
        <f>IF(AND(AE$4=1,AE20=0),1,0)</f>
        <v/>
      </c>
      <c r="AF70">
        <f>IF(AND(AF$4=1,AF20=0),1,0)</f>
        <v/>
      </c>
      <c r="AG70">
        <f>IF(AND(AG$4=1,AG20=0),1,0)</f>
        <v/>
      </c>
      <c r="AH70">
        <f>IF(AND(AH$4=1,AH20=0),1,0)</f>
        <v/>
      </c>
      <c r="AI70">
        <f>IF(AND(AI$4=1,AI20=0),1,0)</f>
        <v/>
      </c>
      <c r="AJ70">
        <f>IF(AND(AJ$4=1,AJ20=0),1,0)</f>
        <v/>
      </c>
      <c r="AK70">
        <f>IF(AND(AK$4=1,AK20=0),1,0)</f>
        <v/>
      </c>
      <c r="AL70">
        <f>IF(AND(AL$4=1,AL20=0),1,0)</f>
        <v/>
      </c>
      <c r="AM70">
        <f>IF(AND(AM$4=1,AM20=0),1,0)</f>
        <v/>
      </c>
      <c r="AN70">
        <f>IF(AND(AN$4=1,AN20=0),1,0)</f>
        <v/>
      </c>
      <c r="AO70">
        <f>IF(AND(AO$4=1,AO20=0),1,0)</f>
        <v/>
      </c>
      <c r="AP70">
        <f>IF(AND(AP$4=1,AP20=0),1,0)</f>
        <v/>
      </c>
      <c r="AQ70">
        <f>IF(AND(AQ$4=1,AQ20=0),1,0)</f>
        <v/>
      </c>
      <c r="AR70">
        <f>IF(AND(AR$4=1,AR20=0),1,0)</f>
        <v/>
      </c>
      <c r="AS70">
        <f>IF(AND(AS$4=1,AS20=0),1,0)</f>
        <v/>
      </c>
      <c r="AT70">
        <f>IF(AND(AT$4=1,AT20=0),1,0)</f>
        <v/>
      </c>
      <c r="AU70">
        <f>IF(AND(AU$4=1,AU20=0),1,0)</f>
        <v/>
      </c>
      <c r="AV70">
        <f>IF(AND(AV$4=1,AV20=0),1,0)</f>
        <v/>
      </c>
      <c r="AW70">
        <f>IF(AND(AW$4=1,AW20=0),1,0)</f>
        <v/>
      </c>
      <c r="AX70">
        <f>IF(AND(AX$4=1,AX20=0),1,0)</f>
        <v/>
      </c>
      <c r="AY70">
        <f>IF(AND(AY$4=1,AY20=0),1,0)</f>
        <v/>
      </c>
      <c r="AZ70">
        <f>IF(AND(AZ$4=1,AZ20=0),1,0)</f>
        <v/>
      </c>
      <c r="BA70">
        <f>IF(AND(BA$4=1,BA20=0),1,0)</f>
        <v/>
      </c>
      <c r="BB70">
        <f>IF(AND(BB$4=1,BB20=0),1,0)</f>
        <v/>
      </c>
      <c r="BC70">
        <f>IF(AND(BC$4=1,BC20=0),1,0)</f>
        <v/>
      </c>
      <c r="BD70">
        <f>IF(AND(BD$4=1,BD20=0),1,0)</f>
        <v/>
      </c>
      <c r="BE70">
        <f>IF(AND(BE$4=1,BE20=0),1,0)</f>
        <v/>
      </c>
      <c r="BF70">
        <f>IF(AND(BF$4=1,BF20=0),1,0)</f>
        <v/>
      </c>
      <c r="BG70">
        <f>IF(AND(BG$4=1,BG20=0),1,0)</f>
        <v/>
      </c>
      <c r="BH70">
        <f>IF(AND(BH$4=1,BH20=0),1,0)</f>
        <v/>
      </c>
      <c r="BI70">
        <f>IF(AND(BI$4=1,BI20=0),1,0)</f>
        <v/>
      </c>
      <c r="BJ70">
        <f>IF(AND(BJ$4=1,BJ20=0),1,0)</f>
        <v/>
      </c>
      <c r="BK70">
        <f>IF(AND(BK$4=1,BK20=0),1,0)</f>
        <v/>
      </c>
      <c r="BL70">
        <f>IF(AND(BL$4=1,BL20=0),1,0)</f>
        <v/>
      </c>
      <c r="BM70">
        <f>IF(AND(BM$4=1,BM20=0),1,0)</f>
        <v/>
      </c>
      <c r="BN70">
        <f>IF(AND(BN$4=1,BN20=0),1,0)</f>
        <v/>
      </c>
      <c r="BO70">
        <f>IF(AND(BO$4=1,BO20=0),1,0)</f>
        <v/>
      </c>
      <c r="BP70">
        <f>IF(AND(BP$4=1,BP20=0),1,0)</f>
        <v/>
      </c>
      <c r="BQ70">
        <f>IF(AND(BQ$4=1,BQ20=0),1,0)</f>
        <v/>
      </c>
      <c r="BR70">
        <f>IF(AND(BR$4=1,BR20=0),1,0)</f>
        <v/>
      </c>
      <c r="BS70">
        <f>IF(AND(BS$4=1,BS20=0),1,0)</f>
        <v/>
      </c>
      <c r="BT70">
        <f>IF(AND(BT$4=1,BT20=0),1,0)</f>
        <v/>
      </c>
      <c r="BU70">
        <f>IF(AND(BU$4=1,BU20=0),1,0)</f>
        <v/>
      </c>
      <c r="BV70">
        <f>IF(AND(BV$4=1,BV20=0),1,0)</f>
        <v/>
      </c>
      <c r="BW70">
        <f>IF(AND(BW$4=1,BW20=0),1,0)</f>
        <v/>
      </c>
      <c r="BX70">
        <f>IF(AND(BX$4=1,BX20=0),1,0)</f>
        <v/>
      </c>
      <c r="BY70">
        <f>IF(AND(BY$4=1,BY20=0),1,0)</f>
        <v/>
      </c>
      <c r="BZ70">
        <f>IF(AND(BZ$4=1,BZ20=0),1,0)</f>
        <v/>
      </c>
      <c r="CA70">
        <f>IF(AND(CA$4=1,CA20=0),1,0)</f>
        <v/>
      </c>
      <c r="CB70">
        <f>IF(AND(CB$4=1,CB20=0),1,0)</f>
        <v/>
      </c>
      <c r="CC70">
        <f>IF(AND(CC$4=1,CC20=0),1,0)</f>
        <v/>
      </c>
      <c r="CD70">
        <f>IF(AND(CD$4=1,CD20=0),1,0)</f>
        <v/>
      </c>
      <c r="CE70">
        <f>IF(AND(CE$4=1,CE20=0),1,0)</f>
        <v/>
      </c>
      <c r="CF70">
        <f>IF(AND(CF$4=1,CF20=0),1,0)</f>
        <v/>
      </c>
      <c r="CG70">
        <f>IF(AND(CG$4=1,CG20=0),1,0)</f>
        <v/>
      </c>
      <c r="CH70">
        <f>IF(AND(CH$4=1,CH20=0),1,0)</f>
        <v/>
      </c>
      <c r="CI70">
        <f>IF(AND(CI$4=1,CI20=0),1,0)</f>
        <v/>
      </c>
      <c r="CJ70">
        <f>IF(AND(CJ$4=1,CJ20=0),1,0)</f>
        <v/>
      </c>
      <c r="CK70">
        <f>IF(AND(CK$4=1,CK20=0),1,0)</f>
        <v/>
      </c>
      <c r="CL70">
        <f>IF(AND(CL$4=1,CL20=0),1,0)</f>
        <v/>
      </c>
      <c r="CM70">
        <f>IF(AND(CM$4=1,CM20=0),1,0)</f>
        <v/>
      </c>
      <c r="CN70">
        <f>IF(AND(CN$4=1,CN20=0),1,0)</f>
        <v/>
      </c>
      <c r="CO70">
        <f>IF(AND(CO$4=1,CO20=0),1,0)</f>
        <v/>
      </c>
      <c r="CP70">
        <f>IF(AND(CP$4=1,CP20=0),1,0)</f>
        <v/>
      </c>
      <c r="CQ70">
        <f>IF(AND(CQ$4=1,CQ20=0),1,0)</f>
        <v/>
      </c>
      <c r="CR70">
        <f>IF(AND(CR$4=1,CR20=0),1,0)</f>
        <v/>
      </c>
      <c r="CS70">
        <f>IF(AND(CS$4=1,CS20=0),1,0)</f>
        <v/>
      </c>
      <c r="CT70">
        <f>IF(AND(CT$4=1,CT20=0),1,0)</f>
        <v/>
      </c>
      <c r="CU70">
        <f>IF(AND(CU$4=1,CU20=0),1,0)</f>
        <v/>
      </c>
      <c r="CV70">
        <f>IF(AND(CV$4=1,CV20=0),1,0)</f>
        <v/>
      </c>
      <c r="CW70">
        <f>IF(AND(CW$4=1,CW20=0),1,0)</f>
        <v/>
      </c>
      <c r="CX70">
        <f>IF(AND(CX$4=1,CX20=0),1,0)</f>
        <v/>
      </c>
      <c r="CY70">
        <f>IF(AND(CY$4=1,CY20=0),1,0)</f>
        <v/>
      </c>
      <c r="CZ70">
        <f>IF(AND(CZ$4=1,CZ20=0),1,0)</f>
        <v/>
      </c>
      <c r="DA70">
        <f>IF(AND(DA$4=1,DA20=0),1,0)</f>
        <v/>
      </c>
      <c r="DB70">
        <f>IF(AND(DB$4=1,DB20=0),1,0)</f>
        <v/>
      </c>
      <c r="DC70">
        <f>IF(AND(DC$4=1,DC20=0),1,0)</f>
        <v/>
      </c>
      <c r="DD70">
        <f>IF(AND(DD$4=1,DD20=0),1,0)</f>
        <v/>
      </c>
      <c r="DE70">
        <f>IF(AND(DE$4=1,DE20=0),1,0)</f>
        <v/>
      </c>
      <c r="DF70">
        <f>IF(AND(DF$4=1,DF20=0),1,0)</f>
        <v/>
      </c>
      <c r="DG70">
        <f>IF(AND(DG$4=1,DG20=0),1,0)</f>
        <v/>
      </c>
      <c r="DH70">
        <f>IF(AND(DH$4=1,DH20=0),1,0)</f>
        <v/>
      </c>
      <c r="DI70">
        <f>IF(AND(DI$4=1,DI20=0),1,0)</f>
        <v/>
      </c>
      <c r="DJ70">
        <f>IF(AND(DJ$4=1,DJ20=0),1,0)</f>
        <v/>
      </c>
      <c r="DK70">
        <f>IF(AND(DK$4=1,DK20=0),1,0)</f>
        <v/>
      </c>
      <c r="DL70">
        <f>IF(AND(DL$4=1,DL20=0),1,0)</f>
        <v/>
      </c>
      <c r="DM70">
        <f>IF(AND(DM$4=1,DM20=0),1,0)</f>
        <v/>
      </c>
      <c r="DN70">
        <f>IF(AND(DN$4=1,DN20=0),1,0)</f>
        <v/>
      </c>
      <c r="DO70">
        <f>IF(AND(DO$4=1,DO20=0),1,0)</f>
        <v/>
      </c>
      <c r="DP70">
        <f>IF(AND(DP$4=1,DP20=0),1,0)</f>
        <v/>
      </c>
      <c r="DQ70">
        <f>IF(AND(DQ$4=1,DQ20=0),1,0)</f>
        <v/>
      </c>
      <c r="DR70">
        <f>IF(AND(DR$4=1,DR20=0),1,0)</f>
        <v/>
      </c>
      <c r="DS70">
        <f>IF(AND(DS$4=1,DS20=0),1,0)</f>
        <v/>
      </c>
      <c r="DT70">
        <f>IF(AND(DT$4=1,DT20=0),1,0)</f>
        <v/>
      </c>
      <c r="DU70">
        <f>IF(AND(DU$4=1,DU20=0),1,0)</f>
        <v/>
      </c>
      <c r="DV70">
        <f>IF(AND(DV$4=1,DV20=0),1,0)</f>
        <v/>
      </c>
      <c r="DW70">
        <f>IF(AND(DW$4=1,DW20=0),1,0)</f>
        <v/>
      </c>
      <c r="DX70">
        <f>IF(AND(DX$4=1,DX20=0),1,0)</f>
        <v/>
      </c>
      <c r="DY70">
        <f>IF(AND(DY$4=1,DY20=0),1,0)</f>
        <v/>
      </c>
      <c r="DZ70">
        <f>IF(AND(DZ$4=1,DZ20=0),1,0)</f>
        <v/>
      </c>
      <c r="EA70">
        <f>IF(AND(EA$4=1,EA20=0),1,0)</f>
        <v/>
      </c>
      <c r="EB70">
        <f>IF(AND(EB$4=1,EB20=0),1,0)</f>
        <v/>
      </c>
      <c r="EC70">
        <f>IF(AND(EC$4=1,EC20=0),1,0)</f>
        <v/>
      </c>
      <c r="ED70">
        <f>IF(AND(ED$4=1,ED20=0),1,0)</f>
        <v/>
      </c>
      <c r="EE70">
        <f>IF(AND(EE$4=1,EE20=0),1,0)</f>
        <v/>
      </c>
      <c r="EF70">
        <f>IF(AND(EF$4=1,EF20=0),1,0)</f>
        <v/>
      </c>
      <c r="EG70">
        <f>IF(AND(EG$4=1,EG20=0),1,0)</f>
        <v/>
      </c>
      <c r="EH70">
        <f>IF(AND(EH$4=1,EH20=0),1,0)</f>
        <v/>
      </c>
      <c r="EI70">
        <f>IF(AND(EI$4=1,EI20=0),1,0)</f>
        <v/>
      </c>
      <c r="EJ70">
        <f>IF(AND(EJ$4=1,EJ20=0),1,0)</f>
        <v/>
      </c>
      <c r="EK70">
        <f>IF(AND(EK$4=1,EK20=0),1,0)</f>
        <v/>
      </c>
      <c r="EL70">
        <f>IF(AND(EL$4=1,EL20=0),1,0)</f>
        <v/>
      </c>
      <c r="EM70">
        <f>IF(AND(EM$4=1,EM20=0),1,0)</f>
        <v/>
      </c>
      <c r="EN70">
        <f>IF(AND(EN$4=1,EN20=0),1,0)</f>
        <v/>
      </c>
      <c r="EO70">
        <f>IF(AND(EO$4=1,EO20=0),1,0)</f>
        <v/>
      </c>
      <c r="EP70">
        <f>IF(AND(EP$4=1,EP20=0),1,0)</f>
        <v/>
      </c>
      <c r="EQ70">
        <f>IF(AND(EQ$4=1,EQ20=0),1,0)</f>
        <v/>
      </c>
    </row>
    <row r="71">
      <c r="A71" t="n">
        <v>12</v>
      </c>
      <c r="D71">
        <f>IF(AND(D$4=1,D21=0),1,0)</f>
        <v/>
      </c>
      <c r="E71">
        <f>IF(AND(E$4=1,E21=0),1,0)</f>
        <v/>
      </c>
      <c r="F71">
        <f>IF(AND(F$4=1,F21=0),1,0)</f>
        <v/>
      </c>
      <c r="G71">
        <f>IF(AND(G$4=1,G21=0),1,0)</f>
        <v/>
      </c>
      <c r="H71">
        <f>IF(AND(H$4=1,H21=0),1,0)</f>
        <v/>
      </c>
      <c r="I71">
        <f>IF(AND(I$4=1,I21=0),1,0)</f>
        <v/>
      </c>
      <c r="J71">
        <f>IF(AND(J$4=1,J21=0),1,0)</f>
        <v/>
      </c>
      <c r="K71">
        <f>IF(AND(K$4=1,K21=0),1,0)</f>
        <v/>
      </c>
      <c r="L71">
        <f>IF(AND(L$4=1,L21=0),1,0)</f>
        <v/>
      </c>
      <c r="M71">
        <f>IF(AND(M$4=1,M21=0),1,0)</f>
        <v/>
      </c>
      <c r="N71">
        <f>IF(AND(N$4=1,N21=0),1,0)</f>
        <v/>
      </c>
      <c r="O71">
        <f>IF(AND(O$4=1,O21=0),1,0)</f>
        <v/>
      </c>
      <c r="P71">
        <f>IF(AND(P$4=1,P21=0),1,0)</f>
        <v/>
      </c>
      <c r="Q71">
        <f>IF(AND(Q$4=1,Q21=0),1,0)</f>
        <v/>
      </c>
      <c r="R71">
        <f>IF(AND(R$4=1,R21=0),1,0)</f>
        <v/>
      </c>
      <c r="S71">
        <f>IF(AND(S$4=1,S21=0),1,0)</f>
        <v/>
      </c>
      <c r="T71">
        <f>IF(AND(T$4=1,T21=0),1,0)</f>
        <v/>
      </c>
      <c r="U71">
        <f>IF(AND(U$4=1,U21=0),1,0)</f>
        <v/>
      </c>
      <c r="V71">
        <f>IF(AND(V$4=1,V21=0),1,0)</f>
        <v/>
      </c>
      <c r="W71">
        <f>IF(AND(W$4=1,W21=0),1,0)</f>
        <v/>
      </c>
      <c r="X71">
        <f>IF(AND(X$4=1,X21=0),1,0)</f>
        <v/>
      </c>
      <c r="Y71">
        <f>IF(AND(Y$4=1,Y21=0),1,0)</f>
        <v/>
      </c>
      <c r="Z71">
        <f>IF(AND(Z$4=1,Z21=0),1,0)</f>
        <v/>
      </c>
      <c r="AA71">
        <f>IF(AND(AA$4=1,AA21=0),1,0)</f>
        <v/>
      </c>
      <c r="AB71">
        <f>IF(AND(AB$4=1,AB21=0),1,0)</f>
        <v/>
      </c>
      <c r="AC71">
        <f>IF(AND(AC$4=1,AC21=0),1,0)</f>
        <v/>
      </c>
      <c r="AD71">
        <f>IF(AND(AD$4=1,AD21=0),1,0)</f>
        <v/>
      </c>
      <c r="AE71">
        <f>IF(AND(AE$4=1,AE21=0),1,0)</f>
        <v/>
      </c>
      <c r="AF71">
        <f>IF(AND(AF$4=1,AF21=0),1,0)</f>
        <v/>
      </c>
      <c r="AG71">
        <f>IF(AND(AG$4=1,AG21=0),1,0)</f>
        <v/>
      </c>
      <c r="AH71">
        <f>IF(AND(AH$4=1,AH21=0),1,0)</f>
        <v/>
      </c>
      <c r="AI71">
        <f>IF(AND(AI$4=1,AI21=0),1,0)</f>
        <v/>
      </c>
      <c r="AJ71">
        <f>IF(AND(AJ$4=1,AJ21=0),1,0)</f>
        <v/>
      </c>
      <c r="AK71">
        <f>IF(AND(AK$4=1,AK21=0),1,0)</f>
        <v/>
      </c>
      <c r="AL71">
        <f>IF(AND(AL$4=1,AL21=0),1,0)</f>
        <v/>
      </c>
      <c r="AM71">
        <f>IF(AND(AM$4=1,AM21=0),1,0)</f>
        <v/>
      </c>
      <c r="AN71">
        <f>IF(AND(AN$4=1,AN21=0),1,0)</f>
        <v/>
      </c>
      <c r="AO71">
        <f>IF(AND(AO$4=1,AO21=0),1,0)</f>
        <v/>
      </c>
      <c r="AP71">
        <f>IF(AND(AP$4=1,AP21=0),1,0)</f>
        <v/>
      </c>
      <c r="AQ71">
        <f>IF(AND(AQ$4=1,AQ21=0),1,0)</f>
        <v/>
      </c>
      <c r="AR71">
        <f>IF(AND(AR$4=1,AR21=0),1,0)</f>
        <v/>
      </c>
      <c r="AS71">
        <f>IF(AND(AS$4=1,AS21=0),1,0)</f>
        <v/>
      </c>
      <c r="AT71">
        <f>IF(AND(AT$4=1,AT21=0),1,0)</f>
        <v/>
      </c>
      <c r="AU71">
        <f>IF(AND(AU$4=1,AU21=0),1,0)</f>
        <v/>
      </c>
      <c r="AV71">
        <f>IF(AND(AV$4=1,AV21=0),1,0)</f>
        <v/>
      </c>
      <c r="AW71">
        <f>IF(AND(AW$4=1,AW21=0),1,0)</f>
        <v/>
      </c>
      <c r="AX71">
        <f>IF(AND(AX$4=1,AX21=0),1,0)</f>
        <v/>
      </c>
      <c r="AY71">
        <f>IF(AND(AY$4=1,AY21=0),1,0)</f>
        <v/>
      </c>
      <c r="AZ71">
        <f>IF(AND(AZ$4=1,AZ21=0),1,0)</f>
        <v/>
      </c>
      <c r="BA71">
        <f>IF(AND(BA$4=1,BA21=0),1,0)</f>
        <v/>
      </c>
      <c r="BB71">
        <f>IF(AND(BB$4=1,BB21=0),1,0)</f>
        <v/>
      </c>
      <c r="BC71">
        <f>IF(AND(BC$4=1,BC21=0),1,0)</f>
        <v/>
      </c>
      <c r="BD71">
        <f>IF(AND(BD$4=1,BD21=0),1,0)</f>
        <v/>
      </c>
      <c r="BE71">
        <f>IF(AND(BE$4=1,BE21=0),1,0)</f>
        <v/>
      </c>
      <c r="BF71">
        <f>IF(AND(BF$4=1,BF21=0),1,0)</f>
        <v/>
      </c>
      <c r="BG71">
        <f>IF(AND(BG$4=1,BG21=0),1,0)</f>
        <v/>
      </c>
      <c r="BH71">
        <f>IF(AND(BH$4=1,BH21=0),1,0)</f>
        <v/>
      </c>
      <c r="BI71">
        <f>IF(AND(BI$4=1,BI21=0),1,0)</f>
        <v/>
      </c>
      <c r="BJ71">
        <f>IF(AND(BJ$4=1,BJ21=0),1,0)</f>
        <v/>
      </c>
      <c r="BK71">
        <f>IF(AND(BK$4=1,BK21=0),1,0)</f>
        <v/>
      </c>
      <c r="BL71">
        <f>IF(AND(BL$4=1,BL21=0),1,0)</f>
        <v/>
      </c>
      <c r="BM71">
        <f>IF(AND(BM$4=1,BM21=0),1,0)</f>
        <v/>
      </c>
      <c r="BN71">
        <f>IF(AND(BN$4=1,BN21=0),1,0)</f>
        <v/>
      </c>
      <c r="BO71">
        <f>IF(AND(BO$4=1,BO21=0),1,0)</f>
        <v/>
      </c>
      <c r="BP71">
        <f>IF(AND(BP$4=1,BP21=0),1,0)</f>
        <v/>
      </c>
      <c r="BQ71">
        <f>IF(AND(BQ$4=1,BQ21=0),1,0)</f>
        <v/>
      </c>
      <c r="BR71">
        <f>IF(AND(BR$4=1,BR21=0),1,0)</f>
        <v/>
      </c>
      <c r="BS71">
        <f>IF(AND(BS$4=1,BS21=0),1,0)</f>
        <v/>
      </c>
      <c r="BT71">
        <f>IF(AND(BT$4=1,BT21=0),1,0)</f>
        <v/>
      </c>
      <c r="BU71">
        <f>IF(AND(BU$4=1,BU21=0),1,0)</f>
        <v/>
      </c>
      <c r="BV71">
        <f>IF(AND(BV$4=1,BV21=0),1,0)</f>
        <v/>
      </c>
      <c r="BW71">
        <f>IF(AND(BW$4=1,BW21=0),1,0)</f>
        <v/>
      </c>
      <c r="BX71">
        <f>IF(AND(BX$4=1,BX21=0),1,0)</f>
        <v/>
      </c>
      <c r="BY71">
        <f>IF(AND(BY$4=1,BY21=0),1,0)</f>
        <v/>
      </c>
      <c r="BZ71">
        <f>IF(AND(BZ$4=1,BZ21=0),1,0)</f>
        <v/>
      </c>
      <c r="CA71">
        <f>IF(AND(CA$4=1,CA21=0),1,0)</f>
        <v/>
      </c>
      <c r="CB71">
        <f>IF(AND(CB$4=1,CB21=0),1,0)</f>
        <v/>
      </c>
      <c r="CC71">
        <f>IF(AND(CC$4=1,CC21=0),1,0)</f>
        <v/>
      </c>
      <c r="CD71">
        <f>IF(AND(CD$4=1,CD21=0),1,0)</f>
        <v/>
      </c>
      <c r="CE71">
        <f>IF(AND(CE$4=1,CE21=0),1,0)</f>
        <v/>
      </c>
      <c r="CF71">
        <f>IF(AND(CF$4=1,CF21=0),1,0)</f>
        <v/>
      </c>
      <c r="CG71">
        <f>IF(AND(CG$4=1,CG21=0),1,0)</f>
        <v/>
      </c>
      <c r="CH71">
        <f>IF(AND(CH$4=1,CH21=0),1,0)</f>
        <v/>
      </c>
      <c r="CI71">
        <f>IF(AND(CI$4=1,CI21=0),1,0)</f>
        <v/>
      </c>
      <c r="CJ71">
        <f>IF(AND(CJ$4=1,CJ21=0),1,0)</f>
        <v/>
      </c>
      <c r="CK71">
        <f>IF(AND(CK$4=1,CK21=0),1,0)</f>
        <v/>
      </c>
      <c r="CL71">
        <f>IF(AND(CL$4=1,CL21=0),1,0)</f>
        <v/>
      </c>
      <c r="CM71">
        <f>IF(AND(CM$4=1,CM21=0),1,0)</f>
        <v/>
      </c>
      <c r="CN71">
        <f>IF(AND(CN$4=1,CN21=0),1,0)</f>
        <v/>
      </c>
      <c r="CO71">
        <f>IF(AND(CO$4=1,CO21=0),1,0)</f>
        <v/>
      </c>
      <c r="CP71">
        <f>IF(AND(CP$4=1,CP21=0),1,0)</f>
        <v/>
      </c>
      <c r="CQ71">
        <f>IF(AND(CQ$4=1,CQ21=0),1,0)</f>
        <v/>
      </c>
      <c r="CR71">
        <f>IF(AND(CR$4=1,CR21=0),1,0)</f>
        <v/>
      </c>
      <c r="CS71">
        <f>IF(AND(CS$4=1,CS21=0),1,0)</f>
        <v/>
      </c>
      <c r="CT71">
        <f>IF(AND(CT$4=1,CT21=0),1,0)</f>
        <v/>
      </c>
      <c r="CU71">
        <f>IF(AND(CU$4=1,CU21=0),1,0)</f>
        <v/>
      </c>
      <c r="CV71">
        <f>IF(AND(CV$4=1,CV21=0),1,0)</f>
        <v/>
      </c>
      <c r="CW71">
        <f>IF(AND(CW$4=1,CW21=0),1,0)</f>
        <v/>
      </c>
      <c r="CX71">
        <f>IF(AND(CX$4=1,CX21=0),1,0)</f>
        <v/>
      </c>
      <c r="CY71">
        <f>IF(AND(CY$4=1,CY21=0),1,0)</f>
        <v/>
      </c>
      <c r="CZ71">
        <f>IF(AND(CZ$4=1,CZ21=0),1,0)</f>
        <v/>
      </c>
      <c r="DA71">
        <f>IF(AND(DA$4=1,DA21=0),1,0)</f>
        <v/>
      </c>
      <c r="DB71">
        <f>IF(AND(DB$4=1,DB21=0),1,0)</f>
        <v/>
      </c>
      <c r="DC71">
        <f>IF(AND(DC$4=1,DC21=0),1,0)</f>
        <v/>
      </c>
      <c r="DD71">
        <f>IF(AND(DD$4=1,DD21=0),1,0)</f>
        <v/>
      </c>
      <c r="DE71">
        <f>IF(AND(DE$4=1,DE21=0),1,0)</f>
        <v/>
      </c>
      <c r="DF71">
        <f>IF(AND(DF$4=1,DF21=0),1,0)</f>
        <v/>
      </c>
      <c r="DG71">
        <f>IF(AND(DG$4=1,DG21=0),1,0)</f>
        <v/>
      </c>
      <c r="DH71">
        <f>IF(AND(DH$4=1,DH21=0),1,0)</f>
        <v/>
      </c>
      <c r="DI71">
        <f>IF(AND(DI$4=1,DI21=0),1,0)</f>
        <v/>
      </c>
      <c r="DJ71">
        <f>IF(AND(DJ$4=1,DJ21=0),1,0)</f>
        <v/>
      </c>
      <c r="DK71">
        <f>IF(AND(DK$4=1,DK21=0),1,0)</f>
        <v/>
      </c>
      <c r="DL71">
        <f>IF(AND(DL$4=1,DL21=0),1,0)</f>
        <v/>
      </c>
      <c r="DM71">
        <f>IF(AND(DM$4=1,DM21=0),1,0)</f>
        <v/>
      </c>
      <c r="DN71">
        <f>IF(AND(DN$4=1,DN21=0),1,0)</f>
        <v/>
      </c>
      <c r="DO71">
        <f>IF(AND(DO$4=1,DO21=0),1,0)</f>
        <v/>
      </c>
      <c r="DP71">
        <f>IF(AND(DP$4=1,DP21=0),1,0)</f>
        <v/>
      </c>
      <c r="DQ71">
        <f>IF(AND(DQ$4=1,DQ21=0),1,0)</f>
        <v/>
      </c>
      <c r="DR71">
        <f>IF(AND(DR$4=1,DR21=0),1,0)</f>
        <v/>
      </c>
      <c r="DS71">
        <f>IF(AND(DS$4=1,DS21=0),1,0)</f>
        <v/>
      </c>
      <c r="DT71">
        <f>IF(AND(DT$4=1,DT21=0),1,0)</f>
        <v/>
      </c>
      <c r="DU71">
        <f>IF(AND(DU$4=1,DU21=0),1,0)</f>
        <v/>
      </c>
      <c r="DV71">
        <f>IF(AND(DV$4=1,DV21=0),1,0)</f>
        <v/>
      </c>
      <c r="DW71">
        <f>IF(AND(DW$4=1,DW21=0),1,0)</f>
        <v/>
      </c>
      <c r="DX71">
        <f>IF(AND(DX$4=1,DX21=0),1,0)</f>
        <v/>
      </c>
      <c r="DY71">
        <f>IF(AND(DY$4=1,DY21=0),1,0)</f>
        <v/>
      </c>
      <c r="DZ71">
        <f>IF(AND(DZ$4=1,DZ21=0),1,0)</f>
        <v/>
      </c>
      <c r="EA71">
        <f>IF(AND(EA$4=1,EA21=0),1,0)</f>
        <v/>
      </c>
      <c r="EB71">
        <f>IF(AND(EB$4=1,EB21=0),1,0)</f>
        <v/>
      </c>
      <c r="EC71">
        <f>IF(AND(EC$4=1,EC21=0),1,0)</f>
        <v/>
      </c>
      <c r="ED71">
        <f>IF(AND(ED$4=1,ED21=0),1,0)</f>
        <v/>
      </c>
      <c r="EE71">
        <f>IF(AND(EE$4=1,EE21=0),1,0)</f>
        <v/>
      </c>
      <c r="EF71">
        <f>IF(AND(EF$4=1,EF21=0),1,0)</f>
        <v/>
      </c>
      <c r="EG71">
        <f>IF(AND(EG$4=1,EG21=0),1,0)</f>
        <v/>
      </c>
      <c r="EH71">
        <f>IF(AND(EH$4=1,EH21=0),1,0)</f>
        <v/>
      </c>
      <c r="EI71">
        <f>IF(AND(EI$4=1,EI21=0),1,0)</f>
        <v/>
      </c>
      <c r="EJ71">
        <f>IF(AND(EJ$4=1,EJ21=0),1,0)</f>
        <v/>
      </c>
      <c r="EK71">
        <f>IF(AND(EK$4=1,EK21=0),1,0)</f>
        <v/>
      </c>
      <c r="EL71">
        <f>IF(AND(EL$4=1,EL21=0),1,0)</f>
        <v/>
      </c>
      <c r="EM71">
        <f>IF(AND(EM$4=1,EM21=0),1,0)</f>
        <v/>
      </c>
      <c r="EN71">
        <f>IF(AND(EN$4=1,EN21=0),1,0)</f>
        <v/>
      </c>
      <c r="EO71">
        <f>IF(AND(EO$4=1,EO21=0),1,0)</f>
        <v/>
      </c>
      <c r="EP71">
        <f>IF(AND(EP$4=1,EP21=0),1,0)</f>
        <v/>
      </c>
      <c r="EQ71">
        <f>IF(AND(EQ$4=1,EQ21=0),1,0)</f>
        <v/>
      </c>
    </row>
    <row r="72">
      <c r="A72" t="n">
        <v>13</v>
      </c>
      <c r="D72">
        <f>IF(AND(D$4=1,D22=0),1,0)</f>
        <v/>
      </c>
      <c r="E72">
        <f>IF(AND(E$4=1,E22=0),1,0)</f>
        <v/>
      </c>
      <c r="F72">
        <f>IF(AND(F$4=1,F22=0),1,0)</f>
        <v/>
      </c>
      <c r="G72">
        <f>IF(AND(G$4=1,G22=0),1,0)</f>
        <v/>
      </c>
      <c r="H72">
        <f>IF(AND(H$4=1,H22=0),1,0)</f>
        <v/>
      </c>
      <c r="I72">
        <f>IF(AND(I$4=1,I22=0),1,0)</f>
        <v/>
      </c>
      <c r="J72">
        <f>IF(AND(J$4=1,J22=0),1,0)</f>
        <v/>
      </c>
      <c r="K72">
        <f>IF(AND(K$4=1,K22=0),1,0)</f>
        <v/>
      </c>
      <c r="L72">
        <f>IF(AND(L$4=1,L22=0),1,0)</f>
        <v/>
      </c>
      <c r="M72">
        <f>IF(AND(M$4=1,M22=0),1,0)</f>
        <v/>
      </c>
      <c r="N72">
        <f>IF(AND(N$4=1,N22=0),1,0)</f>
        <v/>
      </c>
      <c r="O72">
        <f>IF(AND(O$4=1,O22=0),1,0)</f>
        <v/>
      </c>
      <c r="P72">
        <f>IF(AND(P$4=1,P22=0),1,0)</f>
        <v/>
      </c>
      <c r="Q72">
        <f>IF(AND(Q$4=1,Q22=0),1,0)</f>
        <v/>
      </c>
      <c r="R72">
        <f>IF(AND(R$4=1,R22=0),1,0)</f>
        <v/>
      </c>
      <c r="S72">
        <f>IF(AND(S$4=1,S22=0),1,0)</f>
        <v/>
      </c>
      <c r="T72">
        <f>IF(AND(T$4=1,T22=0),1,0)</f>
        <v/>
      </c>
      <c r="U72">
        <f>IF(AND(U$4=1,U22=0),1,0)</f>
        <v/>
      </c>
      <c r="V72">
        <f>IF(AND(V$4=1,V22=0),1,0)</f>
        <v/>
      </c>
      <c r="W72">
        <f>IF(AND(W$4=1,W22=0),1,0)</f>
        <v/>
      </c>
      <c r="X72">
        <f>IF(AND(X$4=1,X22=0),1,0)</f>
        <v/>
      </c>
      <c r="Y72">
        <f>IF(AND(Y$4=1,Y22=0),1,0)</f>
        <v/>
      </c>
      <c r="Z72">
        <f>IF(AND(Z$4=1,Z22=0),1,0)</f>
        <v/>
      </c>
      <c r="AA72">
        <f>IF(AND(AA$4=1,AA22=0),1,0)</f>
        <v/>
      </c>
      <c r="AB72">
        <f>IF(AND(AB$4=1,AB22=0),1,0)</f>
        <v/>
      </c>
      <c r="AC72">
        <f>IF(AND(AC$4=1,AC22=0),1,0)</f>
        <v/>
      </c>
      <c r="AD72">
        <f>IF(AND(AD$4=1,AD22=0),1,0)</f>
        <v/>
      </c>
      <c r="AE72">
        <f>IF(AND(AE$4=1,AE22=0),1,0)</f>
        <v/>
      </c>
      <c r="AF72">
        <f>IF(AND(AF$4=1,AF22=0),1,0)</f>
        <v/>
      </c>
      <c r="AG72">
        <f>IF(AND(AG$4=1,AG22=0),1,0)</f>
        <v/>
      </c>
      <c r="AH72">
        <f>IF(AND(AH$4=1,AH22=0),1,0)</f>
        <v/>
      </c>
      <c r="AI72">
        <f>IF(AND(AI$4=1,AI22=0),1,0)</f>
        <v/>
      </c>
      <c r="AJ72">
        <f>IF(AND(AJ$4=1,AJ22=0),1,0)</f>
        <v/>
      </c>
      <c r="AK72">
        <f>IF(AND(AK$4=1,AK22=0),1,0)</f>
        <v/>
      </c>
      <c r="AL72">
        <f>IF(AND(AL$4=1,AL22=0),1,0)</f>
        <v/>
      </c>
      <c r="AM72">
        <f>IF(AND(AM$4=1,AM22=0),1,0)</f>
        <v/>
      </c>
      <c r="AN72">
        <f>IF(AND(AN$4=1,AN22=0),1,0)</f>
        <v/>
      </c>
      <c r="AO72">
        <f>IF(AND(AO$4=1,AO22=0),1,0)</f>
        <v/>
      </c>
      <c r="AP72">
        <f>IF(AND(AP$4=1,AP22=0),1,0)</f>
        <v/>
      </c>
      <c r="AQ72">
        <f>IF(AND(AQ$4=1,AQ22=0),1,0)</f>
        <v/>
      </c>
      <c r="AR72">
        <f>IF(AND(AR$4=1,AR22=0),1,0)</f>
        <v/>
      </c>
      <c r="AS72">
        <f>IF(AND(AS$4=1,AS22=0),1,0)</f>
        <v/>
      </c>
      <c r="AT72">
        <f>IF(AND(AT$4=1,AT22=0),1,0)</f>
        <v/>
      </c>
      <c r="AU72">
        <f>IF(AND(AU$4=1,AU22=0),1,0)</f>
        <v/>
      </c>
      <c r="AV72">
        <f>IF(AND(AV$4=1,AV22=0),1,0)</f>
        <v/>
      </c>
      <c r="AW72">
        <f>IF(AND(AW$4=1,AW22=0),1,0)</f>
        <v/>
      </c>
      <c r="AX72">
        <f>IF(AND(AX$4=1,AX22=0),1,0)</f>
        <v/>
      </c>
      <c r="AY72">
        <f>IF(AND(AY$4=1,AY22=0),1,0)</f>
        <v/>
      </c>
      <c r="AZ72">
        <f>IF(AND(AZ$4=1,AZ22=0),1,0)</f>
        <v/>
      </c>
      <c r="BA72">
        <f>IF(AND(BA$4=1,BA22=0),1,0)</f>
        <v/>
      </c>
      <c r="BB72">
        <f>IF(AND(BB$4=1,BB22=0),1,0)</f>
        <v/>
      </c>
      <c r="BC72">
        <f>IF(AND(BC$4=1,BC22=0),1,0)</f>
        <v/>
      </c>
      <c r="BD72">
        <f>IF(AND(BD$4=1,BD22=0),1,0)</f>
        <v/>
      </c>
      <c r="BE72">
        <f>IF(AND(BE$4=1,BE22=0),1,0)</f>
        <v/>
      </c>
      <c r="BF72">
        <f>IF(AND(BF$4=1,BF22=0),1,0)</f>
        <v/>
      </c>
      <c r="BG72">
        <f>IF(AND(BG$4=1,BG22=0),1,0)</f>
        <v/>
      </c>
      <c r="BH72">
        <f>IF(AND(BH$4=1,BH22=0),1,0)</f>
        <v/>
      </c>
      <c r="BI72">
        <f>IF(AND(BI$4=1,BI22=0),1,0)</f>
        <v/>
      </c>
      <c r="BJ72">
        <f>IF(AND(BJ$4=1,BJ22=0),1,0)</f>
        <v/>
      </c>
      <c r="BK72">
        <f>IF(AND(BK$4=1,BK22=0),1,0)</f>
        <v/>
      </c>
      <c r="BL72">
        <f>IF(AND(BL$4=1,BL22=0),1,0)</f>
        <v/>
      </c>
      <c r="BM72">
        <f>IF(AND(BM$4=1,BM22=0),1,0)</f>
        <v/>
      </c>
      <c r="BN72">
        <f>IF(AND(BN$4=1,BN22=0),1,0)</f>
        <v/>
      </c>
      <c r="BO72">
        <f>IF(AND(BO$4=1,BO22=0),1,0)</f>
        <v/>
      </c>
      <c r="BP72">
        <f>IF(AND(BP$4=1,BP22=0),1,0)</f>
        <v/>
      </c>
      <c r="BQ72">
        <f>IF(AND(BQ$4=1,BQ22=0),1,0)</f>
        <v/>
      </c>
      <c r="BR72">
        <f>IF(AND(BR$4=1,BR22=0),1,0)</f>
        <v/>
      </c>
      <c r="BS72">
        <f>IF(AND(BS$4=1,BS22=0),1,0)</f>
        <v/>
      </c>
      <c r="BT72">
        <f>IF(AND(BT$4=1,BT22=0),1,0)</f>
        <v/>
      </c>
      <c r="BU72">
        <f>IF(AND(BU$4=1,BU22=0),1,0)</f>
        <v/>
      </c>
      <c r="BV72">
        <f>IF(AND(BV$4=1,BV22=0),1,0)</f>
        <v/>
      </c>
      <c r="BW72">
        <f>IF(AND(BW$4=1,BW22=0),1,0)</f>
        <v/>
      </c>
      <c r="BX72">
        <f>IF(AND(BX$4=1,BX22=0),1,0)</f>
        <v/>
      </c>
      <c r="BY72">
        <f>IF(AND(BY$4=1,BY22=0),1,0)</f>
        <v/>
      </c>
      <c r="BZ72">
        <f>IF(AND(BZ$4=1,BZ22=0),1,0)</f>
        <v/>
      </c>
      <c r="CA72">
        <f>IF(AND(CA$4=1,CA22=0),1,0)</f>
        <v/>
      </c>
      <c r="CB72">
        <f>IF(AND(CB$4=1,CB22=0),1,0)</f>
        <v/>
      </c>
      <c r="CC72">
        <f>IF(AND(CC$4=1,CC22=0),1,0)</f>
        <v/>
      </c>
      <c r="CD72">
        <f>IF(AND(CD$4=1,CD22=0),1,0)</f>
        <v/>
      </c>
      <c r="CE72">
        <f>IF(AND(CE$4=1,CE22=0),1,0)</f>
        <v/>
      </c>
      <c r="CF72">
        <f>IF(AND(CF$4=1,CF22=0),1,0)</f>
        <v/>
      </c>
      <c r="CG72">
        <f>IF(AND(CG$4=1,CG22=0),1,0)</f>
        <v/>
      </c>
      <c r="CH72">
        <f>IF(AND(CH$4=1,CH22=0),1,0)</f>
        <v/>
      </c>
      <c r="CI72">
        <f>IF(AND(CI$4=1,CI22=0),1,0)</f>
        <v/>
      </c>
      <c r="CJ72">
        <f>IF(AND(CJ$4=1,CJ22=0),1,0)</f>
        <v/>
      </c>
      <c r="CK72">
        <f>IF(AND(CK$4=1,CK22=0),1,0)</f>
        <v/>
      </c>
      <c r="CL72">
        <f>IF(AND(CL$4=1,CL22=0),1,0)</f>
        <v/>
      </c>
      <c r="CM72">
        <f>IF(AND(CM$4=1,CM22=0),1,0)</f>
        <v/>
      </c>
      <c r="CN72">
        <f>IF(AND(CN$4=1,CN22=0),1,0)</f>
        <v/>
      </c>
      <c r="CO72">
        <f>IF(AND(CO$4=1,CO22=0),1,0)</f>
        <v/>
      </c>
      <c r="CP72">
        <f>IF(AND(CP$4=1,CP22=0),1,0)</f>
        <v/>
      </c>
      <c r="CQ72">
        <f>IF(AND(CQ$4=1,CQ22=0),1,0)</f>
        <v/>
      </c>
      <c r="CR72">
        <f>IF(AND(CR$4=1,CR22=0),1,0)</f>
        <v/>
      </c>
      <c r="CS72">
        <f>IF(AND(CS$4=1,CS22=0),1,0)</f>
        <v/>
      </c>
      <c r="CT72">
        <f>IF(AND(CT$4=1,CT22=0),1,0)</f>
        <v/>
      </c>
      <c r="CU72">
        <f>IF(AND(CU$4=1,CU22=0),1,0)</f>
        <v/>
      </c>
      <c r="CV72">
        <f>IF(AND(CV$4=1,CV22=0),1,0)</f>
        <v/>
      </c>
      <c r="CW72">
        <f>IF(AND(CW$4=1,CW22=0),1,0)</f>
        <v/>
      </c>
      <c r="CX72">
        <f>IF(AND(CX$4=1,CX22=0),1,0)</f>
        <v/>
      </c>
      <c r="CY72">
        <f>IF(AND(CY$4=1,CY22=0),1,0)</f>
        <v/>
      </c>
      <c r="CZ72">
        <f>IF(AND(CZ$4=1,CZ22=0),1,0)</f>
        <v/>
      </c>
      <c r="DA72">
        <f>IF(AND(DA$4=1,DA22=0),1,0)</f>
        <v/>
      </c>
      <c r="DB72">
        <f>IF(AND(DB$4=1,DB22=0),1,0)</f>
        <v/>
      </c>
      <c r="DC72">
        <f>IF(AND(DC$4=1,DC22=0),1,0)</f>
        <v/>
      </c>
      <c r="DD72">
        <f>IF(AND(DD$4=1,DD22=0),1,0)</f>
        <v/>
      </c>
      <c r="DE72">
        <f>IF(AND(DE$4=1,DE22=0),1,0)</f>
        <v/>
      </c>
      <c r="DF72">
        <f>IF(AND(DF$4=1,DF22=0),1,0)</f>
        <v/>
      </c>
      <c r="DG72">
        <f>IF(AND(DG$4=1,DG22=0),1,0)</f>
        <v/>
      </c>
      <c r="DH72">
        <f>IF(AND(DH$4=1,DH22=0),1,0)</f>
        <v/>
      </c>
      <c r="DI72">
        <f>IF(AND(DI$4=1,DI22=0),1,0)</f>
        <v/>
      </c>
      <c r="DJ72">
        <f>IF(AND(DJ$4=1,DJ22=0),1,0)</f>
        <v/>
      </c>
      <c r="DK72">
        <f>IF(AND(DK$4=1,DK22=0),1,0)</f>
        <v/>
      </c>
      <c r="DL72">
        <f>IF(AND(DL$4=1,DL22=0),1,0)</f>
        <v/>
      </c>
      <c r="DM72">
        <f>IF(AND(DM$4=1,DM22=0),1,0)</f>
        <v/>
      </c>
      <c r="DN72">
        <f>IF(AND(DN$4=1,DN22=0),1,0)</f>
        <v/>
      </c>
      <c r="DO72">
        <f>IF(AND(DO$4=1,DO22=0),1,0)</f>
        <v/>
      </c>
      <c r="DP72">
        <f>IF(AND(DP$4=1,DP22=0),1,0)</f>
        <v/>
      </c>
      <c r="DQ72">
        <f>IF(AND(DQ$4=1,DQ22=0),1,0)</f>
        <v/>
      </c>
      <c r="DR72">
        <f>IF(AND(DR$4=1,DR22=0),1,0)</f>
        <v/>
      </c>
      <c r="DS72">
        <f>IF(AND(DS$4=1,DS22=0),1,0)</f>
        <v/>
      </c>
      <c r="DT72">
        <f>IF(AND(DT$4=1,DT22=0),1,0)</f>
        <v/>
      </c>
      <c r="DU72">
        <f>IF(AND(DU$4=1,DU22=0),1,0)</f>
        <v/>
      </c>
      <c r="DV72">
        <f>IF(AND(DV$4=1,DV22=0),1,0)</f>
        <v/>
      </c>
      <c r="DW72">
        <f>IF(AND(DW$4=1,DW22=0),1,0)</f>
        <v/>
      </c>
      <c r="DX72">
        <f>IF(AND(DX$4=1,DX22=0),1,0)</f>
        <v/>
      </c>
      <c r="DY72">
        <f>IF(AND(DY$4=1,DY22=0),1,0)</f>
        <v/>
      </c>
      <c r="DZ72">
        <f>IF(AND(DZ$4=1,DZ22=0),1,0)</f>
        <v/>
      </c>
      <c r="EA72">
        <f>IF(AND(EA$4=1,EA22=0),1,0)</f>
        <v/>
      </c>
      <c r="EB72">
        <f>IF(AND(EB$4=1,EB22=0),1,0)</f>
        <v/>
      </c>
      <c r="EC72">
        <f>IF(AND(EC$4=1,EC22=0),1,0)</f>
        <v/>
      </c>
      <c r="ED72">
        <f>IF(AND(ED$4=1,ED22=0),1,0)</f>
        <v/>
      </c>
      <c r="EE72">
        <f>IF(AND(EE$4=1,EE22=0),1,0)</f>
        <v/>
      </c>
      <c r="EF72">
        <f>IF(AND(EF$4=1,EF22=0),1,0)</f>
        <v/>
      </c>
      <c r="EG72">
        <f>IF(AND(EG$4=1,EG22=0),1,0)</f>
        <v/>
      </c>
      <c r="EH72">
        <f>IF(AND(EH$4=1,EH22=0),1,0)</f>
        <v/>
      </c>
      <c r="EI72">
        <f>IF(AND(EI$4=1,EI22=0),1,0)</f>
        <v/>
      </c>
      <c r="EJ72">
        <f>IF(AND(EJ$4=1,EJ22=0),1,0)</f>
        <v/>
      </c>
      <c r="EK72">
        <f>IF(AND(EK$4=1,EK22=0),1,0)</f>
        <v/>
      </c>
      <c r="EL72">
        <f>IF(AND(EL$4=1,EL22=0),1,0)</f>
        <v/>
      </c>
      <c r="EM72">
        <f>IF(AND(EM$4=1,EM22=0),1,0)</f>
        <v/>
      </c>
      <c r="EN72">
        <f>IF(AND(EN$4=1,EN22=0),1,0)</f>
        <v/>
      </c>
      <c r="EO72">
        <f>IF(AND(EO$4=1,EO22=0),1,0)</f>
        <v/>
      </c>
      <c r="EP72">
        <f>IF(AND(EP$4=1,EP22=0),1,0)</f>
        <v/>
      </c>
      <c r="EQ72">
        <f>IF(AND(EQ$4=1,EQ22=0),1,0)</f>
        <v/>
      </c>
    </row>
    <row r="73">
      <c r="A73" t="n">
        <v>14</v>
      </c>
      <c r="D73">
        <f>IF(AND(D$4=1,D23=0),1,0)</f>
        <v/>
      </c>
      <c r="E73">
        <f>IF(AND(E$4=1,E23=0),1,0)</f>
        <v/>
      </c>
      <c r="F73">
        <f>IF(AND(F$4=1,F23=0),1,0)</f>
        <v/>
      </c>
      <c r="G73">
        <f>IF(AND(G$4=1,G23=0),1,0)</f>
        <v/>
      </c>
      <c r="H73">
        <f>IF(AND(H$4=1,H23=0),1,0)</f>
        <v/>
      </c>
      <c r="I73">
        <f>IF(AND(I$4=1,I23=0),1,0)</f>
        <v/>
      </c>
      <c r="J73">
        <f>IF(AND(J$4=1,J23=0),1,0)</f>
        <v/>
      </c>
      <c r="K73">
        <f>IF(AND(K$4=1,K23=0),1,0)</f>
        <v/>
      </c>
      <c r="L73">
        <f>IF(AND(L$4=1,L23=0),1,0)</f>
        <v/>
      </c>
      <c r="M73">
        <f>IF(AND(M$4=1,M23=0),1,0)</f>
        <v/>
      </c>
      <c r="N73">
        <f>IF(AND(N$4=1,N23=0),1,0)</f>
        <v/>
      </c>
      <c r="O73">
        <f>IF(AND(O$4=1,O23=0),1,0)</f>
        <v/>
      </c>
      <c r="P73">
        <f>IF(AND(P$4=1,P23=0),1,0)</f>
        <v/>
      </c>
      <c r="Q73">
        <f>IF(AND(Q$4=1,Q23=0),1,0)</f>
        <v/>
      </c>
      <c r="R73">
        <f>IF(AND(R$4=1,R23=0),1,0)</f>
        <v/>
      </c>
      <c r="S73">
        <f>IF(AND(S$4=1,S23=0),1,0)</f>
        <v/>
      </c>
      <c r="T73">
        <f>IF(AND(T$4=1,T23=0),1,0)</f>
        <v/>
      </c>
      <c r="U73">
        <f>IF(AND(U$4=1,U23=0),1,0)</f>
        <v/>
      </c>
      <c r="V73">
        <f>IF(AND(V$4=1,V23=0),1,0)</f>
        <v/>
      </c>
      <c r="W73">
        <f>IF(AND(W$4=1,W23=0),1,0)</f>
        <v/>
      </c>
      <c r="X73">
        <f>IF(AND(X$4=1,X23=0),1,0)</f>
        <v/>
      </c>
      <c r="Y73">
        <f>IF(AND(Y$4=1,Y23=0),1,0)</f>
        <v/>
      </c>
      <c r="Z73">
        <f>IF(AND(Z$4=1,Z23=0),1,0)</f>
        <v/>
      </c>
      <c r="AA73">
        <f>IF(AND(AA$4=1,AA23=0),1,0)</f>
        <v/>
      </c>
      <c r="AB73">
        <f>IF(AND(AB$4=1,AB23=0),1,0)</f>
        <v/>
      </c>
      <c r="AC73">
        <f>IF(AND(AC$4=1,AC23=0),1,0)</f>
        <v/>
      </c>
      <c r="AD73">
        <f>IF(AND(AD$4=1,AD23=0),1,0)</f>
        <v/>
      </c>
      <c r="AE73">
        <f>IF(AND(AE$4=1,AE23=0),1,0)</f>
        <v/>
      </c>
      <c r="AF73">
        <f>IF(AND(AF$4=1,AF23=0),1,0)</f>
        <v/>
      </c>
      <c r="AG73">
        <f>IF(AND(AG$4=1,AG23=0),1,0)</f>
        <v/>
      </c>
      <c r="AH73">
        <f>IF(AND(AH$4=1,AH23=0),1,0)</f>
        <v/>
      </c>
      <c r="AI73">
        <f>IF(AND(AI$4=1,AI23=0),1,0)</f>
        <v/>
      </c>
      <c r="AJ73">
        <f>IF(AND(AJ$4=1,AJ23=0),1,0)</f>
        <v/>
      </c>
      <c r="AK73">
        <f>IF(AND(AK$4=1,AK23=0),1,0)</f>
        <v/>
      </c>
      <c r="AL73">
        <f>IF(AND(AL$4=1,AL23=0),1,0)</f>
        <v/>
      </c>
      <c r="AM73">
        <f>IF(AND(AM$4=1,AM23=0),1,0)</f>
        <v/>
      </c>
      <c r="AN73">
        <f>IF(AND(AN$4=1,AN23=0),1,0)</f>
        <v/>
      </c>
      <c r="AO73">
        <f>IF(AND(AO$4=1,AO23=0),1,0)</f>
        <v/>
      </c>
      <c r="AP73">
        <f>IF(AND(AP$4=1,AP23=0),1,0)</f>
        <v/>
      </c>
      <c r="AQ73">
        <f>IF(AND(AQ$4=1,AQ23=0),1,0)</f>
        <v/>
      </c>
      <c r="AR73">
        <f>IF(AND(AR$4=1,AR23=0),1,0)</f>
        <v/>
      </c>
      <c r="AS73">
        <f>IF(AND(AS$4=1,AS23=0),1,0)</f>
        <v/>
      </c>
      <c r="AT73">
        <f>IF(AND(AT$4=1,AT23=0),1,0)</f>
        <v/>
      </c>
      <c r="AU73">
        <f>IF(AND(AU$4=1,AU23=0),1,0)</f>
        <v/>
      </c>
      <c r="AV73">
        <f>IF(AND(AV$4=1,AV23=0),1,0)</f>
        <v/>
      </c>
      <c r="AW73">
        <f>IF(AND(AW$4=1,AW23=0),1,0)</f>
        <v/>
      </c>
      <c r="AX73">
        <f>IF(AND(AX$4=1,AX23=0),1,0)</f>
        <v/>
      </c>
      <c r="AY73">
        <f>IF(AND(AY$4=1,AY23=0),1,0)</f>
        <v/>
      </c>
      <c r="AZ73">
        <f>IF(AND(AZ$4=1,AZ23=0),1,0)</f>
        <v/>
      </c>
      <c r="BA73">
        <f>IF(AND(BA$4=1,BA23=0),1,0)</f>
        <v/>
      </c>
      <c r="BB73">
        <f>IF(AND(BB$4=1,BB23=0),1,0)</f>
        <v/>
      </c>
      <c r="BC73">
        <f>IF(AND(BC$4=1,BC23=0),1,0)</f>
        <v/>
      </c>
      <c r="BD73">
        <f>IF(AND(BD$4=1,BD23=0),1,0)</f>
        <v/>
      </c>
      <c r="BE73">
        <f>IF(AND(BE$4=1,BE23=0),1,0)</f>
        <v/>
      </c>
      <c r="BF73">
        <f>IF(AND(BF$4=1,BF23=0),1,0)</f>
        <v/>
      </c>
      <c r="BG73">
        <f>IF(AND(BG$4=1,BG23=0),1,0)</f>
        <v/>
      </c>
      <c r="BH73">
        <f>IF(AND(BH$4=1,BH23=0),1,0)</f>
        <v/>
      </c>
      <c r="BI73">
        <f>IF(AND(BI$4=1,BI23=0),1,0)</f>
        <v/>
      </c>
      <c r="BJ73">
        <f>IF(AND(BJ$4=1,BJ23=0),1,0)</f>
        <v/>
      </c>
      <c r="BK73">
        <f>IF(AND(BK$4=1,BK23=0),1,0)</f>
        <v/>
      </c>
      <c r="BL73">
        <f>IF(AND(BL$4=1,BL23=0),1,0)</f>
        <v/>
      </c>
      <c r="BM73">
        <f>IF(AND(BM$4=1,BM23=0),1,0)</f>
        <v/>
      </c>
      <c r="BN73">
        <f>IF(AND(BN$4=1,BN23=0),1,0)</f>
        <v/>
      </c>
      <c r="BO73">
        <f>IF(AND(BO$4=1,BO23=0),1,0)</f>
        <v/>
      </c>
      <c r="BP73">
        <f>IF(AND(BP$4=1,BP23=0),1,0)</f>
        <v/>
      </c>
      <c r="BQ73">
        <f>IF(AND(BQ$4=1,BQ23=0),1,0)</f>
        <v/>
      </c>
      <c r="BR73">
        <f>IF(AND(BR$4=1,BR23=0),1,0)</f>
        <v/>
      </c>
      <c r="BS73">
        <f>IF(AND(BS$4=1,BS23=0),1,0)</f>
        <v/>
      </c>
      <c r="BT73">
        <f>IF(AND(BT$4=1,BT23=0),1,0)</f>
        <v/>
      </c>
      <c r="BU73">
        <f>IF(AND(BU$4=1,BU23=0),1,0)</f>
        <v/>
      </c>
      <c r="BV73">
        <f>IF(AND(BV$4=1,BV23=0),1,0)</f>
        <v/>
      </c>
      <c r="BW73">
        <f>IF(AND(BW$4=1,BW23=0),1,0)</f>
        <v/>
      </c>
      <c r="BX73">
        <f>IF(AND(BX$4=1,BX23=0),1,0)</f>
        <v/>
      </c>
      <c r="BY73">
        <f>IF(AND(BY$4=1,BY23=0),1,0)</f>
        <v/>
      </c>
      <c r="BZ73">
        <f>IF(AND(BZ$4=1,BZ23=0),1,0)</f>
        <v/>
      </c>
      <c r="CA73">
        <f>IF(AND(CA$4=1,CA23=0),1,0)</f>
        <v/>
      </c>
      <c r="CB73">
        <f>IF(AND(CB$4=1,CB23=0),1,0)</f>
        <v/>
      </c>
      <c r="CC73">
        <f>IF(AND(CC$4=1,CC23=0),1,0)</f>
        <v/>
      </c>
      <c r="CD73">
        <f>IF(AND(CD$4=1,CD23=0),1,0)</f>
        <v/>
      </c>
      <c r="CE73">
        <f>IF(AND(CE$4=1,CE23=0),1,0)</f>
        <v/>
      </c>
      <c r="CF73">
        <f>IF(AND(CF$4=1,CF23=0),1,0)</f>
        <v/>
      </c>
      <c r="CG73">
        <f>IF(AND(CG$4=1,CG23=0),1,0)</f>
        <v/>
      </c>
      <c r="CH73">
        <f>IF(AND(CH$4=1,CH23=0),1,0)</f>
        <v/>
      </c>
      <c r="CI73">
        <f>IF(AND(CI$4=1,CI23=0),1,0)</f>
        <v/>
      </c>
      <c r="CJ73">
        <f>IF(AND(CJ$4=1,CJ23=0),1,0)</f>
        <v/>
      </c>
      <c r="CK73">
        <f>IF(AND(CK$4=1,CK23=0),1,0)</f>
        <v/>
      </c>
      <c r="CL73">
        <f>IF(AND(CL$4=1,CL23=0),1,0)</f>
        <v/>
      </c>
      <c r="CM73">
        <f>IF(AND(CM$4=1,CM23=0),1,0)</f>
        <v/>
      </c>
      <c r="CN73">
        <f>IF(AND(CN$4=1,CN23=0),1,0)</f>
        <v/>
      </c>
      <c r="CO73">
        <f>IF(AND(CO$4=1,CO23=0),1,0)</f>
        <v/>
      </c>
      <c r="CP73">
        <f>IF(AND(CP$4=1,CP23=0),1,0)</f>
        <v/>
      </c>
      <c r="CQ73">
        <f>IF(AND(CQ$4=1,CQ23=0),1,0)</f>
        <v/>
      </c>
      <c r="CR73">
        <f>IF(AND(CR$4=1,CR23=0),1,0)</f>
        <v/>
      </c>
      <c r="CS73">
        <f>IF(AND(CS$4=1,CS23=0),1,0)</f>
        <v/>
      </c>
      <c r="CT73">
        <f>IF(AND(CT$4=1,CT23=0),1,0)</f>
        <v/>
      </c>
      <c r="CU73">
        <f>IF(AND(CU$4=1,CU23=0),1,0)</f>
        <v/>
      </c>
      <c r="CV73">
        <f>IF(AND(CV$4=1,CV23=0),1,0)</f>
        <v/>
      </c>
      <c r="CW73">
        <f>IF(AND(CW$4=1,CW23=0),1,0)</f>
        <v/>
      </c>
      <c r="CX73">
        <f>IF(AND(CX$4=1,CX23=0),1,0)</f>
        <v/>
      </c>
      <c r="CY73">
        <f>IF(AND(CY$4=1,CY23=0),1,0)</f>
        <v/>
      </c>
      <c r="CZ73">
        <f>IF(AND(CZ$4=1,CZ23=0),1,0)</f>
        <v/>
      </c>
      <c r="DA73">
        <f>IF(AND(DA$4=1,DA23=0),1,0)</f>
        <v/>
      </c>
      <c r="DB73">
        <f>IF(AND(DB$4=1,DB23=0),1,0)</f>
        <v/>
      </c>
      <c r="DC73">
        <f>IF(AND(DC$4=1,DC23=0),1,0)</f>
        <v/>
      </c>
      <c r="DD73">
        <f>IF(AND(DD$4=1,DD23=0),1,0)</f>
        <v/>
      </c>
      <c r="DE73">
        <f>IF(AND(DE$4=1,DE23=0),1,0)</f>
        <v/>
      </c>
      <c r="DF73">
        <f>IF(AND(DF$4=1,DF23=0),1,0)</f>
        <v/>
      </c>
      <c r="DG73">
        <f>IF(AND(DG$4=1,DG23=0),1,0)</f>
        <v/>
      </c>
      <c r="DH73">
        <f>IF(AND(DH$4=1,DH23=0),1,0)</f>
        <v/>
      </c>
      <c r="DI73">
        <f>IF(AND(DI$4=1,DI23=0),1,0)</f>
        <v/>
      </c>
      <c r="DJ73">
        <f>IF(AND(DJ$4=1,DJ23=0),1,0)</f>
        <v/>
      </c>
      <c r="DK73">
        <f>IF(AND(DK$4=1,DK23=0),1,0)</f>
        <v/>
      </c>
      <c r="DL73">
        <f>IF(AND(DL$4=1,DL23=0),1,0)</f>
        <v/>
      </c>
      <c r="DM73">
        <f>IF(AND(DM$4=1,DM23=0),1,0)</f>
        <v/>
      </c>
      <c r="DN73">
        <f>IF(AND(DN$4=1,DN23=0),1,0)</f>
        <v/>
      </c>
      <c r="DO73">
        <f>IF(AND(DO$4=1,DO23=0),1,0)</f>
        <v/>
      </c>
      <c r="DP73">
        <f>IF(AND(DP$4=1,DP23=0),1,0)</f>
        <v/>
      </c>
      <c r="DQ73">
        <f>IF(AND(DQ$4=1,DQ23=0),1,0)</f>
        <v/>
      </c>
      <c r="DR73">
        <f>IF(AND(DR$4=1,DR23=0),1,0)</f>
        <v/>
      </c>
      <c r="DS73">
        <f>IF(AND(DS$4=1,DS23=0),1,0)</f>
        <v/>
      </c>
      <c r="DT73">
        <f>IF(AND(DT$4=1,DT23=0),1,0)</f>
        <v/>
      </c>
      <c r="DU73">
        <f>IF(AND(DU$4=1,DU23=0),1,0)</f>
        <v/>
      </c>
      <c r="DV73">
        <f>IF(AND(DV$4=1,DV23=0),1,0)</f>
        <v/>
      </c>
      <c r="DW73">
        <f>IF(AND(DW$4=1,DW23=0),1,0)</f>
        <v/>
      </c>
      <c r="DX73">
        <f>IF(AND(DX$4=1,DX23=0),1,0)</f>
        <v/>
      </c>
      <c r="DY73">
        <f>IF(AND(DY$4=1,DY23=0),1,0)</f>
        <v/>
      </c>
      <c r="DZ73">
        <f>IF(AND(DZ$4=1,DZ23=0),1,0)</f>
        <v/>
      </c>
      <c r="EA73">
        <f>IF(AND(EA$4=1,EA23=0),1,0)</f>
        <v/>
      </c>
      <c r="EB73">
        <f>IF(AND(EB$4=1,EB23=0),1,0)</f>
        <v/>
      </c>
      <c r="EC73">
        <f>IF(AND(EC$4=1,EC23=0),1,0)</f>
        <v/>
      </c>
      <c r="ED73">
        <f>IF(AND(ED$4=1,ED23=0),1,0)</f>
        <v/>
      </c>
      <c r="EE73">
        <f>IF(AND(EE$4=1,EE23=0),1,0)</f>
        <v/>
      </c>
      <c r="EF73">
        <f>IF(AND(EF$4=1,EF23=0),1,0)</f>
        <v/>
      </c>
      <c r="EG73">
        <f>IF(AND(EG$4=1,EG23=0),1,0)</f>
        <v/>
      </c>
      <c r="EH73">
        <f>IF(AND(EH$4=1,EH23=0),1,0)</f>
        <v/>
      </c>
      <c r="EI73">
        <f>IF(AND(EI$4=1,EI23=0),1,0)</f>
        <v/>
      </c>
      <c r="EJ73">
        <f>IF(AND(EJ$4=1,EJ23=0),1,0)</f>
        <v/>
      </c>
      <c r="EK73">
        <f>IF(AND(EK$4=1,EK23=0),1,0)</f>
        <v/>
      </c>
      <c r="EL73">
        <f>IF(AND(EL$4=1,EL23=0),1,0)</f>
        <v/>
      </c>
      <c r="EM73">
        <f>IF(AND(EM$4=1,EM23=0),1,0)</f>
        <v/>
      </c>
      <c r="EN73">
        <f>IF(AND(EN$4=1,EN23=0),1,0)</f>
        <v/>
      </c>
      <c r="EO73">
        <f>IF(AND(EO$4=1,EO23=0),1,0)</f>
        <v/>
      </c>
      <c r="EP73">
        <f>IF(AND(EP$4=1,EP23=0),1,0)</f>
        <v/>
      </c>
      <c r="EQ73">
        <f>IF(AND(EQ$4=1,EQ23=0),1,0)</f>
        <v/>
      </c>
    </row>
    <row r="74">
      <c r="A74" t="n">
        <v>15</v>
      </c>
      <c r="D74">
        <f>IF(AND(D$4=1,D24=0),1,0)</f>
        <v/>
      </c>
      <c r="E74">
        <f>IF(AND(E$4=1,E24=0),1,0)</f>
        <v/>
      </c>
      <c r="F74">
        <f>IF(AND(F$4=1,F24=0),1,0)</f>
        <v/>
      </c>
      <c r="G74">
        <f>IF(AND(G$4=1,G24=0),1,0)</f>
        <v/>
      </c>
      <c r="H74">
        <f>IF(AND(H$4=1,H24=0),1,0)</f>
        <v/>
      </c>
      <c r="I74">
        <f>IF(AND(I$4=1,I24=0),1,0)</f>
        <v/>
      </c>
      <c r="J74">
        <f>IF(AND(J$4=1,J24=0),1,0)</f>
        <v/>
      </c>
      <c r="K74">
        <f>IF(AND(K$4=1,K24=0),1,0)</f>
        <v/>
      </c>
      <c r="L74">
        <f>IF(AND(L$4=1,L24=0),1,0)</f>
        <v/>
      </c>
      <c r="M74">
        <f>IF(AND(M$4=1,M24=0),1,0)</f>
        <v/>
      </c>
      <c r="N74">
        <f>IF(AND(N$4=1,N24=0),1,0)</f>
        <v/>
      </c>
      <c r="O74">
        <f>IF(AND(O$4=1,O24=0),1,0)</f>
        <v/>
      </c>
      <c r="P74">
        <f>IF(AND(P$4=1,P24=0),1,0)</f>
        <v/>
      </c>
      <c r="Q74">
        <f>IF(AND(Q$4=1,Q24=0),1,0)</f>
        <v/>
      </c>
      <c r="R74">
        <f>IF(AND(R$4=1,R24=0),1,0)</f>
        <v/>
      </c>
      <c r="S74">
        <f>IF(AND(S$4=1,S24=0),1,0)</f>
        <v/>
      </c>
      <c r="T74">
        <f>IF(AND(T$4=1,T24=0),1,0)</f>
        <v/>
      </c>
      <c r="U74">
        <f>IF(AND(U$4=1,U24=0),1,0)</f>
        <v/>
      </c>
      <c r="V74">
        <f>IF(AND(V$4=1,V24=0),1,0)</f>
        <v/>
      </c>
      <c r="W74">
        <f>IF(AND(W$4=1,W24=0),1,0)</f>
        <v/>
      </c>
      <c r="X74">
        <f>IF(AND(X$4=1,X24=0),1,0)</f>
        <v/>
      </c>
      <c r="Y74">
        <f>IF(AND(Y$4=1,Y24=0),1,0)</f>
        <v/>
      </c>
      <c r="Z74">
        <f>IF(AND(Z$4=1,Z24=0),1,0)</f>
        <v/>
      </c>
      <c r="AA74">
        <f>IF(AND(AA$4=1,AA24=0),1,0)</f>
        <v/>
      </c>
      <c r="AB74">
        <f>IF(AND(AB$4=1,AB24=0),1,0)</f>
        <v/>
      </c>
      <c r="AC74">
        <f>IF(AND(AC$4=1,AC24=0),1,0)</f>
        <v/>
      </c>
      <c r="AD74">
        <f>IF(AND(AD$4=1,AD24=0),1,0)</f>
        <v/>
      </c>
      <c r="AE74">
        <f>IF(AND(AE$4=1,AE24=0),1,0)</f>
        <v/>
      </c>
      <c r="AF74">
        <f>IF(AND(AF$4=1,AF24=0),1,0)</f>
        <v/>
      </c>
      <c r="AG74">
        <f>IF(AND(AG$4=1,AG24=0),1,0)</f>
        <v/>
      </c>
      <c r="AH74">
        <f>IF(AND(AH$4=1,AH24=0),1,0)</f>
        <v/>
      </c>
      <c r="AI74">
        <f>IF(AND(AI$4=1,AI24=0),1,0)</f>
        <v/>
      </c>
      <c r="AJ74">
        <f>IF(AND(AJ$4=1,AJ24=0),1,0)</f>
        <v/>
      </c>
      <c r="AK74">
        <f>IF(AND(AK$4=1,AK24=0),1,0)</f>
        <v/>
      </c>
      <c r="AL74">
        <f>IF(AND(AL$4=1,AL24=0),1,0)</f>
        <v/>
      </c>
      <c r="AM74">
        <f>IF(AND(AM$4=1,AM24=0),1,0)</f>
        <v/>
      </c>
      <c r="AN74">
        <f>IF(AND(AN$4=1,AN24=0),1,0)</f>
        <v/>
      </c>
      <c r="AO74">
        <f>IF(AND(AO$4=1,AO24=0),1,0)</f>
        <v/>
      </c>
      <c r="AP74">
        <f>IF(AND(AP$4=1,AP24=0),1,0)</f>
        <v/>
      </c>
      <c r="AQ74">
        <f>IF(AND(AQ$4=1,AQ24=0),1,0)</f>
        <v/>
      </c>
      <c r="AR74">
        <f>IF(AND(AR$4=1,AR24=0),1,0)</f>
        <v/>
      </c>
      <c r="AS74">
        <f>IF(AND(AS$4=1,AS24=0),1,0)</f>
        <v/>
      </c>
      <c r="AT74">
        <f>IF(AND(AT$4=1,AT24=0),1,0)</f>
        <v/>
      </c>
      <c r="AU74">
        <f>IF(AND(AU$4=1,AU24=0),1,0)</f>
        <v/>
      </c>
      <c r="AV74">
        <f>IF(AND(AV$4=1,AV24=0),1,0)</f>
        <v/>
      </c>
      <c r="AW74">
        <f>IF(AND(AW$4=1,AW24=0),1,0)</f>
        <v/>
      </c>
      <c r="AX74">
        <f>IF(AND(AX$4=1,AX24=0),1,0)</f>
        <v/>
      </c>
      <c r="AY74">
        <f>IF(AND(AY$4=1,AY24=0),1,0)</f>
        <v/>
      </c>
      <c r="AZ74">
        <f>IF(AND(AZ$4=1,AZ24=0),1,0)</f>
        <v/>
      </c>
      <c r="BA74">
        <f>IF(AND(BA$4=1,BA24=0),1,0)</f>
        <v/>
      </c>
      <c r="BB74">
        <f>IF(AND(BB$4=1,BB24=0),1,0)</f>
        <v/>
      </c>
      <c r="BC74">
        <f>IF(AND(BC$4=1,BC24=0),1,0)</f>
        <v/>
      </c>
      <c r="BD74">
        <f>IF(AND(BD$4=1,BD24=0),1,0)</f>
        <v/>
      </c>
      <c r="BE74">
        <f>IF(AND(BE$4=1,BE24=0),1,0)</f>
        <v/>
      </c>
      <c r="BF74">
        <f>IF(AND(BF$4=1,BF24=0),1,0)</f>
        <v/>
      </c>
      <c r="BG74">
        <f>IF(AND(BG$4=1,BG24=0),1,0)</f>
        <v/>
      </c>
      <c r="BH74">
        <f>IF(AND(BH$4=1,BH24=0),1,0)</f>
        <v/>
      </c>
      <c r="BI74">
        <f>IF(AND(BI$4=1,BI24=0),1,0)</f>
        <v/>
      </c>
      <c r="BJ74">
        <f>IF(AND(BJ$4=1,BJ24=0),1,0)</f>
        <v/>
      </c>
      <c r="BK74">
        <f>IF(AND(BK$4=1,BK24=0),1,0)</f>
        <v/>
      </c>
      <c r="BL74">
        <f>IF(AND(BL$4=1,BL24=0),1,0)</f>
        <v/>
      </c>
      <c r="BM74">
        <f>IF(AND(BM$4=1,BM24=0),1,0)</f>
        <v/>
      </c>
      <c r="BN74">
        <f>IF(AND(BN$4=1,BN24=0),1,0)</f>
        <v/>
      </c>
      <c r="BO74">
        <f>IF(AND(BO$4=1,BO24=0),1,0)</f>
        <v/>
      </c>
      <c r="BP74">
        <f>IF(AND(BP$4=1,BP24=0),1,0)</f>
        <v/>
      </c>
      <c r="BQ74">
        <f>IF(AND(BQ$4=1,BQ24=0),1,0)</f>
        <v/>
      </c>
      <c r="BR74">
        <f>IF(AND(BR$4=1,BR24=0),1,0)</f>
        <v/>
      </c>
      <c r="BS74">
        <f>IF(AND(BS$4=1,BS24=0),1,0)</f>
        <v/>
      </c>
      <c r="BT74">
        <f>IF(AND(BT$4=1,BT24=0),1,0)</f>
        <v/>
      </c>
      <c r="BU74">
        <f>IF(AND(BU$4=1,BU24=0),1,0)</f>
        <v/>
      </c>
      <c r="BV74">
        <f>IF(AND(BV$4=1,BV24=0),1,0)</f>
        <v/>
      </c>
      <c r="BW74">
        <f>IF(AND(BW$4=1,BW24=0),1,0)</f>
        <v/>
      </c>
      <c r="BX74">
        <f>IF(AND(BX$4=1,BX24=0),1,0)</f>
        <v/>
      </c>
      <c r="BY74">
        <f>IF(AND(BY$4=1,BY24=0),1,0)</f>
        <v/>
      </c>
      <c r="BZ74">
        <f>IF(AND(BZ$4=1,BZ24=0),1,0)</f>
        <v/>
      </c>
      <c r="CA74">
        <f>IF(AND(CA$4=1,CA24=0),1,0)</f>
        <v/>
      </c>
      <c r="CB74">
        <f>IF(AND(CB$4=1,CB24=0),1,0)</f>
        <v/>
      </c>
      <c r="CC74">
        <f>IF(AND(CC$4=1,CC24=0),1,0)</f>
        <v/>
      </c>
      <c r="CD74">
        <f>IF(AND(CD$4=1,CD24=0),1,0)</f>
        <v/>
      </c>
      <c r="CE74">
        <f>IF(AND(CE$4=1,CE24=0),1,0)</f>
        <v/>
      </c>
      <c r="CF74">
        <f>IF(AND(CF$4=1,CF24=0),1,0)</f>
        <v/>
      </c>
      <c r="CG74">
        <f>IF(AND(CG$4=1,CG24=0),1,0)</f>
        <v/>
      </c>
      <c r="CH74">
        <f>IF(AND(CH$4=1,CH24=0),1,0)</f>
        <v/>
      </c>
      <c r="CI74">
        <f>IF(AND(CI$4=1,CI24=0),1,0)</f>
        <v/>
      </c>
      <c r="CJ74">
        <f>IF(AND(CJ$4=1,CJ24=0),1,0)</f>
        <v/>
      </c>
      <c r="CK74">
        <f>IF(AND(CK$4=1,CK24=0),1,0)</f>
        <v/>
      </c>
      <c r="CL74">
        <f>IF(AND(CL$4=1,CL24=0),1,0)</f>
        <v/>
      </c>
      <c r="CM74">
        <f>IF(AND(CM$4=1,CM24=0),1,0)</f>
        <v/>
      </c>
      <c r="CN74">
        <f>IF(AND(CN$4=1,CN24=0),1,0)</f>
        <v/>
      </c>
      <c r="CO74">
        <f>IF(AND(CO$4=1,CO24=0),1,0)</f>
        <v/>
      </c>
      <c r="CP74">
        <f>IF(AND(CP$4=1,CP24=0),1,0)</f>
        <v/>
      </c>
      <c r="CQ74">
        <f>IF(AND(CQ$4=1,CQ24=0),1,0)</f>
        <v/>
      </c>
      <c r="CR74">
        <f>IF(AND(CR$4=1,CR24=0),1,0)</f>
        <v/>
      </c>
      <c r="CS74">
        <f>IF(AND(CS$4=1,CS24=0),1,0)</f>
        <v/>
      </c>
      <c r="CT74">
        <f>IF(AND(CT$4=1,CT24=0),1,0)</f>
        <v/>
      </c>
      <c r="CU74">
        <f>IF(AND(CU$4=1,CU24=0),1,0)</f>
        <v/>
      </c>
      <c r="CV74">
        <f>IF(AND(CV$4=1,CV24=0),1,0)</f>
        <v/>
      </c>
      <c r="CW74">
        <f>IF(AND(CW$4=1,CW24=0),1,0)</f>
        <v/>
      </c>
      <c r="CX74">
        <f>IF(AND(CX$4=1,CX24=0),1,0)</f>
        <v/>
      </c>
      <c r="CY74">
        <f>IF(AND(CY$4=1,CY24=0),1,0)</f>
        <v/>
      </c>
      <c r="CZ74">
        <f>IF(AND(CZ$4=1,CZ24=0),1,0)</f>
        <v/>
      </c>
      <c r="DA74">
        <f>IF(AND(DA$4=1,DA24=0),1,0)</f>
        <v/>
      </c>
      <c r="DB74">
        <f>IF(AND(DB$4=1,DB24=0),1,0)</f>
        <v/>
      </c>
      <c r="DC74">
        <f>IF(AND(DC$4=1,DC24=0),1,0)</f>
        <v/>
      </c>
      <c r="DD74">
        <f>IF(AND(DD$4=1,DD24=0),1,0)</f>
        <v/>
      </c>
      <c r="DE74">
        <f>IF(AND(DE$4=1,DE24=0),1,0)</f>
        <v/>
      </c>
      <c r="DF74">
        <f>IF(AND(DF$4=1,DF24=0),1,0)</f>
        <v/>
      </c>
      <c r="DG74">
        <f>IF(AND(DG$4=1,DG24=0),1,0)</f>
        <v/>
      </c>
      <c r="DH74">
        <f>IF(AND(DH$4=1,DH24=0),1,0)</f>
        <v/>
      </c>
      <c r="DI74">
        <f>IF(AND(DI$4=1,DI24=0),1,0)</f>
        <v/>
      </c>
      <c r="DJ74">
        <f>IF(AND(DJ$4=1,DJ24=0),1,0)</f>
        <v/>
      </c>
      <c r="DK74">
        <f>IF(AND(DK$4=1,DK24=0),1,0)</f>
        <v/>
      </c>
      <c r="DL74">
        <f>IF(AND(DL$4=1,DL24=0),1,0)</f>
        <v/>
      </c>
      <c r="DM74">
        <f>IF(AND(DM$4=1,DM24=0),1,0)</f>
        <v/>
      </c>
      <c r="DN74">
        <f>IF(AND(DN$4=1,DN24=0),1,0)</f>
        <v/>
      </c>
      <c r="DO74">
        <f>IF(AND(DO$4=1,DO24=0),1,0)</f>
        <v/>
      </c>
      <c r="DP74">
        <f>IF(AND(DP$4=1,DP24=0),1,0)</f>
        <v/>
      </c>
      <c r="DQ74">
        <f>IF(AND(DQ$4=1,DQ24=0),1,0)</f>
        <v/>
      </c>
      <c r="DR74">
        <f>IF(AND(DR$4=1,DR24=0),1,0)</f>
        <v/>
      </c>
      <c r="DS74">
        <f>IF(AND(DS$4=1,DS24=0),1,0)</f>
        <v/>
      </c>
      <c r="DT74">
        <f>IF(AND(DT$4=1,DT24=0),1,0)</f>
        <v/>
      </c>
      <c r="DU74">
        <f>IF(AND(DU$4=1,DU24=0),1,0)</f>
        <v/>
      </c>
      <c r="DV74">
        <f>IF(AND(DV$4=1,DV24=0),1,0)</f>
        <v/>
      </c>
      <c r="DW74">
        <f>IF(AND(DW$4=1,DW24=0),1,0)</f>
        <v/>
      </c>
      <c r="DX74">
        <f>IF(AND(DX$4=1,DX24=0),1,0)</f>
        <v/>
      </c>
      <c r="DY74">
        <f>IF(AND(DY$4=1,DY24=0),1,0)</f>
        <v/>
      </c>
      <c r="DZ74">
        <f>IF(AND(DZ$4=1,DZ24=0),1,0)</f>
        <v/>
      </c>
      <c r="EA74">
        <f>IF(AND(EA$4=1,EA24=0),1,0)</f>
        <v/>
      </c>
      <c r="EB74">
        <f>IF(AND(EB$4=1,EB24=0),1,0)</f>
        <v/>
      </c>
      <c r="EC74">
        <f>IF(AND(EC$4=1,EC24=0),1,0)</f>
        <v/>
      </c>
      <c r="ED74">
        <f>IF(AND(ED$4=1,ED24=0),1,0)</f>
        <v/>
      </c>
      <c r="EE74">
        <f>IF(AND(EE$4=1,EE24=0),1,0)</f>
        <v/>
      </c>
      <c r="EF74">
        <f>IF(AND(EF$4=1,EF24=0),1,0)</f>
        <v/>
      </c>
      <c r="EG74">
        <f>IF(AND(EG$4=1,EG24=0),1,0)</f>
        <v/>
      </c>
      <c r="EH74">
        <f>IF(AND(EH$4=1,EH24=0),1,0)</f>
        <v/>
      </c>
      <c r="EI74">
        <f>IF(AND(EI$4=1,EI24=0),1,0)</f>
        <v/>
      </c>
      <c r="EJ74">
        <f>IF(AND(EJ$4=1,EJ24=0),1,0)</f>
        <v/>
      </c>
      <c r="EK74">
        <f>IF(AND(EK$4=1,EK24=0),1,0)</f>
        <v/>
      </c>
      <c r="EL74">
        <f>IF(AND(EL$4=1,EL24=0),1,0)</f>
        <v/>
      </c>
      <c r="EM74">
        <f>IF(AND(EM$4=1,EM24=0),1,0)</f>
        <v/>
      </c>
      <c r="EN74">
        <f>IF(AND(EN$4=1,EN24=0),1,0)</f>
        <v/>
      </c>
      <c r="EO74">
        <f>IF(AND(EO$4=1,EO24=0),1,0)</f>
        <v/>
      </c>
      <c r="EP74">
        <f>IF(AND(EP$4=1,EP24=0),1,0)</f>
        <v/>
      </c>
      <c r="EQ74">
        <f>IF(AND(EQ$4=1,EQ24=0),1,0)</f>
        <v/>
      </c>
    </row>
    <row r="75">
      <c r="A75" t="n">
        <v>16</v>
      </c>
      <c r="D75">
        <f>IF(AND(D$4=1,D25=0),1,0)</f>
        <v/>
      </c>
      <c r="E75">
        <f>IF(AND(E$4=1,E25=0),1,0)</f>
        <v/>
      </c>
      <c r="F75">
        <f>IF(AND(F$4=1,F25=0),1,0)</f>
        <v/>
      </c>
      <c r="G75">
        <f>IF(AND(G$4=1,G25=0),1,0)</f>
        <v/>
      </c>
      <c r="H75">
        <f>IF(AND(H$4=1,H25=0),1,0)</f>
        <v/>
      </c>
      <c r="I75">
        <f>IF(AND(I$4=1,I25=0),1,0)</f>
        <v/>
      </c>
      <c r="J75">
        <f>IF(AND(J$4=1,J25=0),1,0)</f>
        <v/>
      </c>
      <c r="K75">
        <f>IF(AND(K$4=1,K25=0),1,0)</f>
        <v/>
      </c>
      <c r="L75">
        <f>IF(AND(L$4=1,L25=0),1,0)</f>
        <v/>
      </c>
      <c r="M75">
        <f>IF(AND(M$4=1,M25=0),1,0)</f>
        <v/>
      </c>
      <c r="N75">
        <f>IF(AND(N$4=1,N25=0),1,0)</f>
        <v/>
      </c>
      <c r="O75">
        <f>IF(AND(O$4=1,O25=0),1,0)</f>
        <v/>
      </c>
      <c r="P75">
        <f>IF(AND(P$4=1,P25=0),1,0)</f>
        <v/>
      </c>
      <c r="Q75">
        <f>IF(AND(Q$4=1,Q25=0),1,0)</f>
        <v/>
      </c>
      <c r="R75">
        <f>IF(AND(R$4=1,R25=0),1,0)</f>
        <v/>
      </c>
      <c r="S75">
        <f>IF(AND(S$4=1,S25=0),1,0)</f>
        <v/>
      </c>
      <c r="T75">
        <f>IF(AND(T$4=1,T25=0),1,0)</f>
        <v/>
      </c>
      <c r="U75">
        <f>IF(AND(U$4=1,U25=0),1,0)</f>
        <v/>
      </c>
      <c r="V75">
        <f>IF(AND(V$4=1,V25=0),1,0)</f>
        <v/>
      </c>
      <c r="W75">
        <f>IF(AND(W$4=1,W25=0),1,0)</f>
        <v/>
      </c>
      <c r="X75">
        <f>IF(AND(X$4=1,X25=0),1,0)</f>
        <v/>
      </c>
      <c r="Y75">
        <f>IF(AND(Y$4=1,Y25=0),1,0)</f>
        <v/>
      </c>
      <c r="Z75">
        <f>IF(AND(Z$4=1,Z25=0),1,0)</f>
        <v/>
      </c>
      <c r="AA75">
        <f>IF(AND(AA$4=1,AA25=0),1,0)</f>
        <v/>
      </c>
      <c r="AB75">
        <f>IF(AND(AB$4=1,AB25=0),1,0)</f>
        <v/>
      </c>
      <c r="AC75">
        <f>IF(AND(AC$4=1,AC25=0),1,0)</f>
        <v/>
      </c>
      <c r="AD75">
        <f>IF(AND(AD$4=1,AD25=0),1,0)</f>
        <v/>
      </c>
      <c r="AE75">
        <f>IF(AND(AE$4=1,AE25=0),1,0)</f>
        <v/>
      </c>
      <c r="AF75">
        <f>IF(AND(AF$4=1,AF25=0),1,0)</f>
        <v/>
      </c>
      <c r="AG75">
        <f>IF(AND(AG$4=1,AG25=0),1,0)</f>
        <v/>
      </c>
      <c r="AH75">
        <f>IF(AND(AH$4=1,AH25=0),1,0)</f>
        <v/>
      </c>
      <c r="AI75">
        <f>IF(AND(AI$4=1,AI25=0),1,0)</f>
        <v/>
      </c>
      <c r="AJ75">
        <f>IF(AND(AJ$4=1,AJ25=0),1,0)</f>
        <v/>
      </c>
      <c r="AK75">
        <f>IF(AND(AK$4=1,AK25=0),1,0)</f>
        <v/>
      </c>
      <c r="AL75">
        <f>IF(AND(AL$4=1,AL25=0),1,0)</f>
        <v/>
      </c>
      <c r="AM75">
        <f>IF(AND(AM$4=1,AM25=0),1,0)</f>
        <v/>
      </c>
      <c r="AN75">
        <f>IF(AND(AN$4=1,AN25=0),1,0)</f>
        <v/>
      </c>
      <c r="AO75">
        <f>IF(AND(AO$4=1,AO25=0),1,0)</f>
        <v/>
      </c>
      <c r="AP75">
        <f>IF(AND(AP$4=1,AP25=0),1,0)</f>
        <v/>
      </c>
      <c r="AQ75">
        <f>IF(AND(AQ$4=1,AQ25=0),1,0)</f>
        <v/>
      </c>
      <c r="AR75">
        <f>IF(AND(AR$4=1,AR25=0),1,0)</f>
        <v/>
      </c>
      <c r="AS75">
        <f>IF(AND(AS$4=1,AS25=0),1,0)</f>
        <v/>
      </c>
      <c r="AT75">
        <f>IF(AND(AT$4=1,AT25=0),1,0)</f>
        <v/>
      </c>
      <c r="AU75">
        <f>IF(AND(AU$4=1,AU25=0),1,0)</f>
        <v/>
      </c>
      <c r="AV75">
        <f>IF(AND(AV$4=1,AV25=0),1,0)</f>
        <v/>
      </c>
      <c r="AW75">
        <f>IF(AND(AW$4=1,AW25=0),1,0)</f>
        <v/>
      </c>
      <c r="AX75">
        <f>IF(AND(AX$4=1,AX25=0),1,0)</f>
        <v/>
      </c>
      <c r="AY75">
        <f>IF(AND(AY$4=1,AY25=0),1,0)</f>
        <v/>
      </c>
      <c r="AZ75">
        <f>IF(AND(AZ$4=1,AZ25=0),1,0)</f>
        <v/>
      </c>
      <c r="BA75">
        <f>IF(AND(BA$4=1,BA25=0),1,0)</f>
        <v/>
      </c>
      <c r="BB75">
        <f>IF(AND(BB$4=1,BB25=0),1,0)</f>
        <v/>
      </c>
      <c r="BC75">
        <f>IF(AND(BC$4=1,BC25=0),1,0)</f>
        <v/>
      </c>
      <c r="BD75">
        <f>IF(AND(BD$4=1,BD25=0),1,0)</f>
        <v/>
      </c>
      <c r="BE75">
        <f>IF(AND(BE$4=1,BE25=0),1,0)</f>
        <v/>
      </c>
      <c r="BF75">
        <f>IF(AND(BF$4=1,BF25=0),1,0)</f>
        <v/>
      </c>
      <c r="BG75">
        <f>IF(AND(BG$4=1,BG25=0),1,0)</f>
        <v/>
      </c>
      <c r="BH75">
        <f>IF(AND(BH$4=1,BH25=0),1,0)</f>
        <v/>
      </c>
      <c r="BI75">
        <f>IF(AND(BI$4=1,BI25=0),1,0)</f>
        <v/>
      </c>
      <c r="BJ75">
        <f>IF(AND(BJ$4=1,BJ25=0),1,0)</f>
        <v/>
      </c>
      <c r="BK75">
        <f>IF(AND(BK$4=1,BK25=0),1,0)</f>
        <v/>
      </c>
      <c r="BL75">
        <f>IF(AND(BL$4=1,BL25=0),1,0)</f>
        <v/>
      </c>
      <c r="BM75">
        <f>IF(AND(BM$4=1,BM25=0),1,0)</f>
        <v/>
      </c>
      <c r="BN75">
        <f>IF(AND(BN$4=1,BN25=0),1,0)</f>
        <v/>
      </c>
      <c r="BO75">
        <f>IF(AND(BO$4=1,BO25=0),1,0)</f>
        <v/>
      </c>
      <c r="BP75">
        <f>IF(AND(BP$4=1,BP25=0),1,0)</f>
        <v/>
      </c>
      <c r="BQ75">
        <f>IF(AND(BQ$4=1,BQ25=0),1,0)</f>
        <v/>
      </c>
      <c r="BR75">
        <f>IF(AND(BR$4=1,BR25=0),1,0)</f>
        <v/>
      </c>
      <c r="BS75">
        <f>IF(AND(BS$4=1,BS25=0),1,0)</f>
        <v/>
      </c>
      <c r="BT75">
        <f>IF(AND(BT$4=1,BT25=0),1,0)</f>
        <v/>
      </c>
      <c r="BU75">
        <f>IF(AND(BU$4=1,BU25=0),1,0)</f>
        <v/>
      </c>
      <c r="BV75">
        <f>IF(AND(BV$4=1,BV25=0),1,0)</f>
        <v/>
      </c>
      <c r="BW75">
        <f>IF(AND(BW$4=1,BW25=0),1,0)</f>
        <v/>
      </c>
      <c r="BX75">
        <f>IF(AND(BX$4=1,BX25=0),1,0)</f>
        <v/>
      </c>
      <c r="BY75">
        <f>IF(AND(BY$4=1,BY25=0),1,0)</f>
        <v/>
      </c>
      <c r="BZ75">
        <f>IF(AND(BZ$4=1,BZ25=0),1,0)</f>
        <v/>
      </c>
      <c r="CA75">
        <f>IF(AND(CA$4=1,CA25=0),1,0)</f>
        <v/>
      </c>
      <c r="CB75">
        <f>IF(AND(CB$4=1,CB25=0),1,0)</f>
        <v/>
      </c>
      <c r="CC75">
        <f>IF(AND(CC$4=1,CC25=0),1,0)</f>
        <v/>
      </c>
      <c r="CD75">
        <f>IF(AND(CD$4=1,CD25=0),1,0)</f>
        <v/>
      </c>
      <c r="CE75">
        <f>IF(AND(CE$4=1,CE25=0),1,0)</f>
        <v/>
      </c>
      <c r="CF75">
        <f>IF(AND(CF$4=1,CF25=0),1,0)</f>
        <v/>
      </c>
      <c r="CG75">
        <f>IF(AND(CG$4=1,CG25=0),1,0)</f>
        <v/>
      </c>
      <c r="CH75">
        <f>IF(AND(CH$4=1,CH25=0),1,0)</f>
        <v/>
      </c>
      <c r="CI75">
        <f>IF(AND(CI$4=1,CI25=0),1,0)</f>
        <v/>
      </c>
      <c r="CJ75">
        <f>IF(AND(CJ$4=1,CJ25=0),1,0)</f>
        <v/>
      </c>
      <c r="CK75">
        <f>IF(AND(CK$4=1,CK25=0),1,0)</f>
        <v/>
      </c>
      <c r="CL75">
        <f>IF(AND(CL$4=1,CL25=0),1,0)</f>
        <v/>
      </c>
      <c r="CM75">
        <f>IF(AND(CM$4=1,CM25=0),1,0)</f>
        <v/>
      </c>
      <c r="CN75">
        <f>IF(AND(CN$4=1,CN25=0),1,0)</f>
        <v/>
      </c>
      <c r="CO75">
        <f>IF(AND(CO$4=1,CO25=0),1,0)</f>
        <v/>
      </c>
      <c r="CP75">
        <f>IF(AND(CP$4=1,CP25=0),1,0)</f>
        <v/>
      </c>
      <c r="CQ75">
        <f>IF(AND(CQ$4=1,CQ25=0),1,0)</f>
        <v/>
      </c>
      <c r="CR75">
        <f>IF(AND(CR$4=1,CR25=0),1,0)</f>
        <v/>
      </c>
      <c r="CS75">
        <f>IF(AND(CS$4=1,CS25=0),1,0)</f>
        <v/>
      </c>
      <c r="CT75">
        <f>IF(AND(CT$4=1,CT25=0),1,0)</f>
        <v/>
      </c>
      <c r="CU75">
        <f>IF(AND(CU$4=1,CU25=0),1,0)</f>
        <v/>
      </c>
      <c r="CV75">
        <f>IF(AND(CV$4=1,CV25=0),1,0)</f>
        <v/>
      </c>
      <c r="CW75">
        <f>IF(AND(CW$4=1,CW25=0),1,0)</f>
        <v/>
      </c>
      <c r="CX75">
        <f>IF(AND(CX$4=1,CX25=0),1,0)</f>
        <v/>
      </c>
      <c r="CY75">
        <f>IF(AND(CY$4=1,CY25=0),1,0)</f>
        <v/>
      </c>
      <c r="CZ75">
        <f>IF(AND(CZ$4=1,CZ25=0),1,0)</f>
        <v/>
      </c>
      <c r="DA75">
        <f>IF(AND(DA$4=1,DA25=0),1,0)</f>
        <v/>
      </c>
      <c r="DB75">
        <f>IF(AND(DB$4=1,DB25=0),1,0)</f>
        <v/>
      </c>
      <c r="DC75">
        <f>IF(AND(DC$4=1,DC25=0),1,0)</f>
        <v/>
      </c>
      <c r="DD75">
        <f>IF(AND(DD$4=1,DD25=0),1,0)</f>
        <v/>
      </c>
      <c r="DE75">
        <f>IF(AND(DE$4=1,DE25=0),1,0)</f>
        <v/>
      </c>
      <c r="DF75">
        <f>IF(AND(DF$4=1,DF25=0),1,0)</f>
        <v/>
      </c>
      <c r="DG75">
        <f>IF(AND(DG$4=1,DG25=0),1,0)</f>
        <v/>
      </c>
      <c r="DH75">
        <f>IF(AND(DH$4=1,DH25=0),1,0)</f>
        <v/>
      </c>
      <c r="DI75">
        <f>IF(AND(DI$4=1,DI25=0),1,0)</f>
        <v/>
      </c>
      <c r="DJ75">
        <f>IF(AND(DJ$4=1,DJ25=0),1,0)</f>
        <v/>
      </c>
      <c r="DK75">
        <f>IF(AND(DK$4=1,DK25=0),1,0)</f>
        <v/>
      </c>
      <c r="DL75">
        <f>IF(AND(DL$4=1,DL25=0),1,0)</f>
        <v/>
      </c>
      <c r="DM75">
        <f>IF(AND(DM$4=1,DM25=0),1,0)</f>
        <v/>
      </c>
      <c r="DN75">
        <f>IF(AND(DN$4=1,DN25=0),1,0)</f>
        <v/>
      </c>
      <c r="DO75">
        <f>IF(AND(DO$4=1,DO25=0),1,0)</f>
        <v/>
      </c>
      <c r="DP75">
        <f>IF(AND(DP$4=1,DP25=0),1,0)</f>
        <v/>
      </c>
      <c r="DQ75">
        <f>IF(AND(DQ$4=1,DQ25=0),1,0)</f>
        <v/>
      </c>
      <c r="DR75">
        <f>IF(AND(DR$4=1,DR25=0),1,0)</f>
        <v/>
      </c>
      <c r="DS75">
        <f>IF(AND(DS$4=1,DS25=0),1,0)</f>
        <v/>
      </c>
      <c r="DT75">
        <f>IF(AND(DT$4=1,DT25=0),1,0)</f>
        <v/>
      </c>
      <c r="DU75">
        <f>IF(AND(DU$4=1,DU25=0),1,0)</f>
        <v/>
      </c>
      <c r="DV75">
        <f>IF(AND(DV$4=1,DV25=0),1,0)</f>
        <v/>
      </c>
      <c r="DW75">
        <f>IF(AND(DW$4=1,DW25=0),1,0)</f>
        <v/>
      </c>
      <c r="DX75">
        <f>IF(AND(DX$4=1,DX25=0),1,0)</f>
        <v/>
      </c>
      <c r="DY75">
        <f>IF(AND(DY$4=1,DY25=0),1,0)</f>
        <v/>
      </c>
      <c r="DZ75">
        <f>IF(AND(DZ$4=1,DZ25=0),1,0)</f>
        <v/>
      </c>
      <c r="EA75">
        <f>IF(AND(EA$4=1,EA25=0),1,0)</f>
        <v/>
      </c>
      <c r="EB75">
        <f>IF(AND(EB$4=1,EB25=0),1,0)</f>
        <v/>
      </c>
      <c r="EC75">
        <f>IF(AND(EC$4=1,EC25=0),1,0)</f>
        <v/>
      </c>
      <c r="ED75">
        <f>IF(AND(ED$4=1,ED25=0),1,0)</f>
        <v/>
      </c>
      <c r="EE75">
        <f>IF(AND(EE$4=1,EE25=0),1,0)</f>
        <v/>
      </c>
      <c r="EF75">
        <f>IF(AND(EF$4=1,EF25=0),1,0)</f>
        <v/>
      </c>
      <c r="EG75">
        <f>IF(AND(EG$4=1,EG25=0),1,0)</f>
        <v/>
      </c>
      <c r="EH75">
        <f>IF(AND(EH$4=1,EH25=0),1,0)</f>
        <v/>
      </c>
      <c r="EI75">
        <f>IF(AND(EI$4=1,EI25=0),1,0)</f>
        <v/>
      </c>
      <c r="EJ75">
        <f>IF(AND(EJ$4=1,EJ25=0),1,0)</f>
        <v/>
      </c>
      <c r="EK75">
        <f>IF(AND(EK$4=1,EK25=0),1,0)</f>
        <v/>
      </c>
      <c r="EL75">
        <f>IF(AND(EL$4=1,EL25=0),1,0)</f>
        <v/>
      </c>
      <c r="EM75">
        <f>IF(AND(EM$4=1,EM25=0),1,0)</f>
        <v/>
      </c>
      <c r="EN75">
        <f>IF(AND(EN$4=1,EN25=0),1,0)</f>
        <v/>
      </c>
      <c r="EO75">
        <f>IF(AND(EO$4=1,EO25=0),1,0)</f>
        <v/>
      </c>
      <c r="EP75">
        <f>IF(AND(EP$4=1,EP25=0),1,0)</f>
        <v/>
      </c>
      <c r="EQ75">
        <f>IF(AND(EQ$4=1,EQ25=0),1,0)</f>
        <v/>
      </c>
    </row>
    <row r="76">
      <c r="A76" t="n">
        <v>17</v>
      </c>
      <c r="D76">
        <f>IF(AND(D$4=1,D26=0),1,0)</f>
        <v/>
      </c>
      <c r="E76">
        <f>IF(AND(E$4=1,E26=0),1,0)</f>
        <v/>
      </c>
      <c r="F76">
        <f>IF(AND(F$4=1,F26=0),1,0)</f>
        <v/>
      </c>
      <c r="G76">
        <f>IF(AND(G$4=1,G26=0),1,0)</f>
        <v/>
      </c>
      <c r="H76">
        <f>IF(AND(H$4=1,H26=0),1,0)</f>
        <v/>
      </c>
      <c r="I76">
        <f>IF(AND(I$4=1,I26=0),1,0)</f>
        <v/>
      </c>
      <c r="J76">
        <f>IF(AND(J$4=1,J26=0),1,0)</f>
        <v/>
      </c>
      <c r="K76">
        <f>IF(AND(K$4=1,K26=0),1,0)</f>
        <v/>
      </c>
      <c r="L76">
        <f>IF(AND(L$4=1,L26=0),1,0)</f>
        <v/>
      </c>
      <c r="M76">
        <f>IF(AND(M$4=1,M26=0),1,0)</f>
        <v/>
      </c>
      <c r="N76">
        <f>IF(AND(N$4=1,N26=0),1,0)</f>
        <v/>
      </c>
      <c r="O76">
        <f>IF(AND(O$4=1,O26=0),1,0)</f>
        <v/>
      </c>
      <c r="P76">
        <f>IF(AND(P$4=1,P26=0),1,0)</f>
        <v/>
      </c>
      <c r="Q76">
        <f>IF(AND(Q$4=1,Q26=0),1,0)</f>
        <v/>
      </c>
      <c r="R76">
        <f>IF(AND(R$4=1,R26=0),1,0)</f>
        <v/>
      </c>
      <c r="S76">
        <f>IF(AND(S$4=1,S26=0),1,0)</f>
        <v/>
      </c>
      <c r="T76">
        <f>IF(AND(T$4=1,T26=0),1,0)</f>
        <v/>
      </c>
      <c r="U76">
        <f>IF(AND(U$4=1,U26=0),1,0)</f>
        <v/>
      </c>
      <c r="V76">
        <f>IF(AND(V$4=1,V26=0),1,0)</f>
        <v/>
      </c>
      <c r="W76">
        <f>IF(AND(W$4=1,W26=0),1,0)</f>
        <v/>
      </c>
      <c r="X76">
        <f>IF(AND(X$4=1,X26=0),1,0)</f>
        <v/>
      </c>
      <c r="Y76">
        <f>IF(AND(Y$4=1,Y26=0),1,0)</f>
        <v/>
      </c>
      <c r="Z76">
        <f>IF(AND(Z$4=1,Z26=0),1,0)</f>
        <v/>
      </c>
      <c r="AA76">
        <f>IF(AND(AA$4=1,AA26=0),1,0)</f>
        <v/>
      </c>
      <c r="AB76">
        <f>IF(AND(AB$4=1,AB26=0),1,0)</f>
        <v/>
      </c>
      <c r="AC76">
        <f>IF(AND(AC$4=1,AC26=0),1,0)</f>
        <v/>
      </c>
      <c r="AD76">
        <f>IF(AND(AD$4=1,AD26=0),1,0)</f>
        <v/>
      </c>
      <c r="AE76">
        <f>IF(AND(AE$4=1,AE26=0),1,0)</f>
        <v/>
      </c>
      <c r="AF76">
        <f>IF(AND(AF$4=1,AF26=0),1,0)</f>
        <v/>
      </c>
      <c r="AG76">
        <f>IF(AND(AG$4=1,AG26=0),1,0)</f>
        <v/>
      </c>
      <c r="AH76">
        <f>IF(AND(AH$4=1,AH26=0),1,0)</f>
        <v/>
      </c>
      <c r="AI76">
        <f>IF(AND(AI$4=1,AI26=0),1,0)</f>
        <v/>
      </c>
      <c r="AJ76">
        <f>IF(AND(AJ$4=1,AJ26=0),1,0)</f>
        <v/>
      </c>
      <c r="AK76">
        <f>IF(AND(AK$4=1,AK26=0),1,0)</f>
        <v/>
      </c>
      <c r="AL76">
        <f>IF(AND(AL$4=1,AL26=0),1,0)</f>
        <v/>
      </c>
      <c r="AM76">
        <f>IF(AND(AM$4=1,AM26=0),1,0)</f>
        <v/>
      </c>
      <c r="AN76">
        <f>IF(AND(AN$4=1,AN26=0),1,0)</f>
        <v/>
      </c>
      <c r="AO76">
        <f>IF(AND(AO$4=1,AO26=0),1,0)</f>
        <v/>
      </c>
      <c r="AP76">
        <f>IF(AND(AP$4=1,AP26=0),1,0)</f>
        <v/>
      </c>
      <c r="AQ76">
        <f>IF(AND(AQ$4=1,AQ26=0),1,0)</f>
        <v/>
      </c>
      <c r="AR76">
        <f>IF(AND(AR$4=1,AR26=0),1,0)</f>
        <v/>
      </c>
      <c r="AS76">
        <f>IF(AND(AS$4=1,AS26=0),1,0)</f>
        <v/>
      </c>
      <c r="AT76">
        <f>IF(AND(AT$4=1,AT26=0),1,0)</f>
        <v/>
      </c>
      <c r="AU76">
        <f>IF(AND(AU$4=1,AU26=0),1,0)</f>
        <v/>
      </c>
      <c r="AV76">
        <f>IF(AND(AV$4=1,AV26=0),1,0)</f>
        <v/>
      </c>
      <c r="AW76">
        <f>IF(AND(AW$4=1,AW26=0),1,0)</f>
        <v/>
      </c>
      <c r="AX76">
        <f>IF(AND(AX$4=1,AX26=0),1,0)</f>
        <v/>
      </c>
      <c r="AY76">
        <f>IF(AND(AY$4=1,AY26=0),1,0)</f>
        <v/>
      </c>
      <c r="AZ76">
        <f>IF(AND(AZ$4=1,AZ26=0),1,0)</f>
        <v/>
      </c>
      <c r="BA76">
        <f>IF(AND(BA$4=1,BA26=0),1,0)</f>
        <v/>
      </c>
      <c r="BB76">
        <f>IF(AND(BB$4=1,BB26=0),1,0)</f>
        <v/>
      </c>
      <c r="BC76">
        <f>IF(AND(BC$4=1,BC26=0),1,0)</f>
        <v/>
      </c>
      <c r="BD76">
        <f>IF(AND(BD$4=1,BD26=0),1,0)</f>
        <v/>
      </c>
      <c r="BE76">
        <f>IF(AND(BE$4=1,BE26=0),1,0)</f>
        <v/>
      </c>
      <c r="BF76">
        <f>IF(AND(BF$4=1,BF26=0),1,0)</f>
        <v/>
      </c>
      <c r="BG76">
        <f>IF(AND(BG$4=1,BG26=0),1,0)</f>
        <v/>
      </c>
      <c r="BH76">
        <f>IF(AND(BH$4=1,BH26=0),1,0)</f>
        <v/>
      </c>
      <c r="BI76">
        <f>IF(AND(BI$4=1,BI26=0),1,0)</f>
        <v/>
      </c>
      <c r="BJ76">
        <f>IF(AND(BJ$4=1,BJ26=0),1,0)</f>
        <v/>
      </c>
      <c r="BK76">
        <f>IF(AND(BK$4=1,BK26=0),1,0)</f>
        <v/>
      </c>
      <c r="BL76">
        <f>IF(AND(BL$4=1,BL26=0),1,0)</f>
        <v/>
      </c>
      <c r="BM76">
        <f>IF(AND(BM$4=1,BM26=0),1,0)</f>
        <v/>
      </c>
      <c r="BN76">
        <f>IF(AND(BN$4=1,BN26=0),1,0)</f>
        <v/>
      </c>
      <c r="BO76">
        <f>IF(AND(BO$4=1,BO26=0),1,0)</f>
        <v/>
      </c>
      <c r="BP76">
        <f>IF(AND(BP$4=1,BP26=0),1,0)</f>
        <v/>
      </c>
      <c r="BQ76">
        <f>IF(AND(BQ$4=1,BQ26=0),1,0)</f>
        <v/>
      </c>
      <c r="BR76">
        <f>IF(AND(BR$4=1,BR26=0),1,0)</f>
        <v/>
      </c>
      <c r="BS76">
        <f>IF(AND(BS$4=1,BS26=0),1,0)</f>
        <v/>
      </c>
      <c r="BT76">
        <f>IF(AND(BT$4=1,BT26=0),1,0)</f>
        <v/>
      </c>
      <c r="BU76">
        <f>IF(AND(BU$4=1,BU26=0),1,0)</f>
        <v/>
      </c>
      <c r="BV76">
        <f>IF(AND(BV$4=1,BV26=0),1,0)</f>
        <v/>
      </c>
      <c r="BW76">
        <f>IF(AND(BW$4=1,BW26=0),1,0)</f>
        <v/>
      </c>
      <c r="BX76">
        <f>IF(AND(BX$4=1,BX26=0),1,0)</f>
        <v/>
      </c>
      <c r="BY76">
        <f>IF(AND(BY$4=1,BY26=0),1,0)</f>
        <v/>
      </c>
      <c r="BZ76">
        <f>IF(AND(BZ$4=1,BZ26=0),1,0)</f>
        <v/>
      </c>
      <c r="CA76">
        <f>IF(AND(CA$4=1,CA26=0),1,0)</f>
        <v/>
      </c>
      <c r="CB76">
        <f>IF(AND(CB$4=1,CB26=0),1,0)</f>
        <v/>
      </c>
      <c r="CC76">
        <f>IF(AND(CC$4=1,CC26=0),1,0)</f>
        <v/>
      </c>
      <c r="CD76">
        <f>IF(AND(CD$4=1,CD26=0),1,0)</f>
        <v/>
      </c>
      <c r="CE76">
        <f>IF(AND(CE$4=1,CE26=0),1,0)</f>
        <v/>
      </c>
      <c r="CF76">
        <f>IF(AND(CF$4=1,CF26=0),1,0)</f>
        <v/>
      </c>
      <c r="CG76">
        <f>IF(AND(CG$4=1,CG26=0),1,0)</f>
        <v/>
      </c>
      <c r="CH76">
        <f>IF(AND(CH$4=1,CH26=0),1,0)</f>
        <v/>
      </c>
      <c r="CI76">
        <f>IF(AND(CI$4=1,CI26=0),1,0)</f>
        <v/>
      </c>
      <c r="CJ76">
        <f>IF(AND(CJ$4=1,CJ26=0),1,0)</f>
        <v/>
      </c>
      <c r="CK76">
        <f>IF(AND(CK$4=1,CK26=0),1,0)</f>
        <v/>
      </c>
      <c r="CL76">
        <f>IF(AND(CL$4=1,CL26=0),1,0)</f>
        <v/>
      </c>
      <c r="CM76">
        <f>IF(AND(CM$4=1,CM26=0),1,0)</f>
        <v/>
      </c>
      <c r="CN76">
        <f>IF(AND(CN$4=1,CN26=0),1,0)</f>
        <v/>
      </c>
      <c r="CO76">
        <f>IF(AND(CO$4=1,CO26=0),1,0)</f>
        <v/>
      </c>
      <c r="CP76">
        <f>IF(AND(CP$4=1,CP26=0),1,0)</f>
        <v/>
      </c>
      <c r="CQ76">
        <f>IF(AND(CQ$4=1,CQ26=0),1,0)</f>
        <v/>
      </c>
      <c r="CR76">
        <f>IF(AND(CR$4=1,CR26=0),1,0)</f>
        <v/>
      </c>
      <c r="CS76">
        <f>IF(AND(CS$4=1,CS26=0),1,0)</f>
        <v/>
      </c>
      <c r="CT76">
        <f>IF(AND(CT$4=1,CT26=0),1,0)</f>
        <v/>
      </c>
      <c r="CU76">
        <f>IF(AND(CU$4=1,CU26=0),1,0)</f>
        <v/>
      </c>
      <c r="CV76">
        <f>IF(AND(CV$4=1,CV26=0),1,0)</f>
        <v/>
      </c>
      <c r="CW76">
        <f>IF(AND(CW$4=1,CW26=0),1,0)</f>
        <v/>
      </c>
      <c r="CX76">
        <f>IF(AND(CX$4=1,CX26=0),1,0)</f>
        <v/>
      </c>
      <c r="CY76">
        <f>IF(AND(CY$4=1,CY26=0),1,0)</f>
        <v/>
      </c>
      <c r="CZ76">
        <f>IF(AND(CZ$4=1,CZ26=0),1,0)</f>
        <v/>
      </c>
      <c r="DA76">
        <f>IF(AND(DA$4=1,DA26=0),1,0)</f>
        <v/>
      </c>
      <c r="DB76">
        <f>IF(AND(DB$4=1,DB26=0),1,0)</f>
        <v/>
      </c>
      <c r="DC76">
        <f>IF(AND(DC$4=1,DC26=0),1,0)</f>
        <v/>
      </c>
      <c r="DD76">
        <f>IF(AND(DD$4=1,DD26=0),1,0)</f>
        <v/>
      </c>
      <c r="DE76">
        <f>IF(AND(DE$4=1,DE26=0),1,0)</f>
        <v/>
      </c>
      <c r="DF76">
        <f>IF(AND(DF$4=1,DF26=0),1,0)</f>
        <v/>
      </c>
      <c r="DG76">
        <f>IF(AND(DG$4=1,DG26=0),1,0)</f>
        <v/>
      </c>
      <c r="DH76">
        <f>IF(AND(DH$4=1,DH26=0),1,0)</f>
        <v/>
      </c>
      <c r="DI76">
        <f>IF(AND(DI$4=1,DI26=0),1,0)</f>
        <v/>
      </c>
      <c r="DJ76">
        <f>IF(AND(DJ$4=1,DJ26=0),1,0)</f>
        <v/>
      </c>
      <c r="DK76">
        <f>IF(AND(DK$4=1,DK26=0),1,0)</f>
        <v/>
      </c>
      <c r="DL76">
        <f>IF(AND(DL$4=1,DL26=0),1,0)</f>
        <v/>
      </c>
      <c r="DM76">
        <f>IF(AND(DM$4=1,DM26=0),1,0)</f>
        <v/>
      </c>
      <c r="DN76">
        <f>IF(AND(DN$4=1,DN26=0),1,0)</f>
        <v/>
      </c>
      <c r="DO76">
        <f>IF(AND(DO$4=1,DO26=0),1,0)</f>
        <v/>
      </c>
      <c r="DP76">
        <f>IF(AND(DP$4=1,DP26=0),1,0)</f>
        <v/>
      </c>
      <c r="DQ76">
        <f>IF(AND(DQ$4=1,DQ26=0),1,0)</f>
        <v/>
      </c>
      <c r="DR76">
        <f>IF(AND(DR$4=1,DR26=0),1,0)</f>
        <v/>
      </c>
      <c r="DS76">
        <f>IF(AND(DS$4=1,DS26=0),1,0)</f>
        <v/>
      </c>
      <c r="DT76">
        <f>IF(AND(DT$4=1,DT26=0),1,0)</f>
        <v/>
      </c>
      <c r="DU76">
        <f>IF(AND(DU$4=1,DU26=0),1,0)</f>
        <v/>
      </c>
      <c r="DV76">
        <f>IF(AND(DV$4=1,DV26=0),1,0)</f>
        <v/>
      </c>
      <c r="DW76">
        <f>IF(AND(DW$4=1,DW26=0),1,0)</f>
        <v/>
      </c>
      <c r="DX76">
        <f>IF(AND(DX$4=1,DX26=0),1,0)</f>
        <v/>
      </c>
      <c r="DY76">
        <f>IF(AND(DY$4=1,DY26=0),1,0)</f>
        <v/>
      </c>
      <c r="DZ76">
        <f>IF(AND(DZ$4=1,DZ26=0),1,0)</f>
        <v/>
      </c>
      <c r="EA76">
        <f>IF(AND(EA$4=1,EA26=0),1,0)</f>
        <v/>
      </c>
      <c r="EB76">
        <f>IF(AND(EB$4=1,EB26=0),1,0)</f>
        <v/>
      </c>
      <c r="EC76">
        <f>IF(AND(EC$4=1,EC26=0),1,0)</f>
        <v/>
      </c>
      <c r="ED76">
        <f>IF(AND(ED$4=1,ED26=0),1,0)</f>
        <v/>
      </c>
      <c r="EE76">
        <f>IF(AND(EE$4=1,EE26=0),1,0)</f>
        <v/>
      </c>
      <c r="EF76">
        <f>IF(AND(EF$4=1,EF26=0),1,0)</f>
        <v/>
      </c>
      <c r="EG76">
        <f>IF(AND(EG$4=1,EG26=0),1,0)</f>
        <v/>
      </c>
      <c r="EH76">
        <f>IF(AND(EH$4=1,EH26=0),1,0)</f>
        <v/>
      </c>
      <c r="EI76">
        <f>IF(AND(EI$4=1,EI26=0),1,0)</f>
        <v/>
      </c>
      <c r="EJ76">
        <f>IF(AND(EJ$4=1,EJ26=0),1,0)</f>
        <v/>
      </c>
      <c r="EK76">
        <f>IF(AND(EK$4=1,EK26=0),1,0)</f>
        <v/>
      </c>
      <c r="EL76">
        <f>IF(AND(EL$4=1,EL26=0),1,0)</f>
        <v/>
      </c>
      <c r="EM76">
        <f>IF(AND(EM$4=1,EM26=0),1,0)</f>
        <v/>
      </c>
      <c r="EN76">
        <f>IF(AND(EN$4=1,EN26=0),1,0)</f>
        <v/>
      </c>
      <c r="EO76">
        <f>IF(AND(EO$4=1,EO26=0),1,0)</f>
        <v/>
      </c>
      <c r="EP76">
        <f>IF(AND(EP$4=1,EP26=0),1,0)</f>
        <v/>
      </c>
      <c r="EQ76">
        <f>IF(AND(EQ$4=1,EQ26=0),1,0)</f>
        <v/>
      </c>
    </row>
    <row r="77">
      <c r="A77" t="n">
        <v>18</v>
      </c>
      <c r="D77">
        <f>IF(AND(D$4=1,D27=0),1,0)</f>
        <v/>
      </c>
      <c r="E77">
        <f>IF(AND(E$4=1,E27=0),1,0)</f>
        <v/>
      </c>
      <c r="F77">
        <f>IF(AND(F$4=1,F27=0),1,0)</f>
        <v/>
      </c>
      <c r="G77">
        <f>IF(AND(G$4=1,G27=0),1,0)</f>
        <v/>
      </c>
      <c r="H77">
        <f>IF(AND(H$4=1,H27=0),1,0)</f>
        <v/>
      </c>
      <c r="I77">
        <f>IF(AND(I$4=1,I27=0),1,0)</f>
        <v/>
      </c>
      <c r="J77">
        <f>IF(AND(J$4=1,J27=0),1,0)</f>
        <v/>
      </c>
      <c r="K77">
        <f>IF(AND(K$4=1,K27=0),1,0)</f>
        <v/>
      </c>
      <c r="L77">
        <f>IF(AND(L$4=1,L27=0),1,0)</f>
        <v/>
      </c>
      <c r="M77">
        <f>IF(AND(M$4=1,M27=0),1,0)</f>
        <v/>
      </c>
      <c r="N77">
        <f>IF(AND(N$4=1,N27=0),1,0)</f>
        <v/>
      </c>
      <c r="O77">
        <f>IF(AND(O$4=1,O27=0),1,0)</f>
        <v/>
      </c>
      <c r="P77">
        <f>IF(AND(P$4=1,P27=0),1,0)</f>
        <v/>
      </c>
      <c r="Q77">
        <f>IF(AND(Q$4=1,Q27=0),1,0)</f>
        <v/>
      </c>
      <c r="R77">
        <f>IF(AND(R$4=1,R27=0),1,0)</f>
        <v/>
      </c>
      <c r="S77">
        <f>IF(AND(S$4=1,S27=0),1,0)</f>
        <v/>
      </c>
      <c r="T77">
        <f>IF(AND(T$4=1,T27=0),1,0)</f>
        <v/>
      </c>
      <c r="U77">
        <f>IF(AND(U$4=1,U27=0),1,0)</f>
        <v/>
      </c>
      <c r="V77">
        <f>IF(AND(V$4=1,V27=0),1,0)</f>
        <v/>
      </c>
      <c r="W77">
        <f>IF(AND(W$4=1,W27=0),1,0)</f>
        <v/>
      </c>
      <c r="X77">
        <f>IF(AND(X$4=1,X27=0),1,0)</f>
        <v/>
      </c>
      <c r="Y77">
        <f>IF(AND(Y$4=1,Y27=0),1,0)</f>
        <v/>
      </c>
      <c r="Z77">
        <f>IF(AND(Z$4=1,Z27=0),1,0)</f>
        <v/>
      </c>
      <c r="AA77">
        <f>IF(AND(AA$4=1,AA27=0),1,0)</f>
        <v/>
      </c>
      <c r="AB77">
        <f>IF(AND(AB$4=1,AB27=0),1,0)</f>
        <v/>
      </c>
      <c r="AC77">
        <f>IF(AND(AC$4=1,AC27=0),1,0)</f>
        <v/>
      </c>
      <c r="AD77">
        <f>IF(AND(AD$4=1,AD27=0),1,0)</f>
        <v/>
      </c>
      <c r="AE77">
        <f>IF(AND(AE$4=1,AE27=0),1,0)</f>
        <v/>
      </c>
      <c r="AF77">
        <f>IF(AND(AF$4=1,AF27=0),1,0)</f>
        <v/>
      </c>
      <c r="AG77">
        <f>IF(AND(AG$4=1,AG27=0),1,0)</f>
        <v/>
      </c>
      <c r="AH77">
        <f>IF(AND(AH$4=1,AH27=0),1,0)</f>
        <v/>
      </c>
      <c r="AI77">
        <f>IF(AND(AI$4=1,AI27=0),1,0)</f>
        <v/>
      </c>
      <c r="AJ77">
        <f>IF(AND(AJ$4=1,AJ27=0),1,0)</f>
        <v/>
      </c>
      <c r="AK77">
        <f>IF(AND(AK$4=1,AK27=0),1,0)</f>
        <v/>
      </c>
      <c r="AL77">
        <f>IF(AND(AL$4=1,AL27=0),1,0)</f>
        <v/>
      </c>
      <c r="AM77">
        <f>IF(AND(AM$4=1,AM27=0),1,0)</f>
        <v/>
      </c>
      <c r="AN77">
        <f>IF(AND(AN$4=1,AN27=0),1,0)</f>
        <v/>
      </c>
      <c r="AO77">
        <f>IF(AND(AO$4=1,AO27=0),1,0)</f>
        <v/>
      </c>
      <c r="AP77">
        <f>IF(AND(AP$4=1,AP27=0),1,0)</f>
        <v/>
      </c>
      <c r="AQ77">
        <f>IF(AND(AQ$4=1,AQ27=0),1,0)</f>
        <v/>
      </c>
      <c r="AR77">
        <f>IF(AND(AR$4=1,AR27=0),1,0)</f>
        <v/>
      </c>
      <c r="AS77">
        <f>IF(AND(AS$4=1,AS27=0),1,0)</f>
        <v/>
      </c>
      <c r="AT77">
        <f>IF(AND(AT$4=1,AT27=0),1,0)</f>
        <v/>
      </c>
      <c r="AU77">
        <f>IF(AND(AU$4=1,AU27=0),1,0)</f>
        <v/>
      </c>
      <c r="AV77">
        <f>IF(AND(AV$4=1,AV27=0),1,0)</f>
        <v/>
      </c>
      <c r="AW77">
        <f>IF(AND(AW$4=1,AW27=0),1,0)</f>
        <v/>
      </c>
      <c r="AX77">
        <f>IF(AND(AX$4=1,AX27=0),1,0)</f>
        <v/>
      </c>
      <c r="AY77">
        <f>IF(AND(AY$4=1,AY27=0),1,0)</f>
        <v/>
      </c>
      <c r="AZ77">
        <f>IF(AND(AZ$4=1,AZ27=0),1,0)</f>
        <v/>
      </c>
      <c r="BA77">
        <f>IF(AND(BA$4=1,BA27=0),1,0)</f>
        <v/>
      </c>
      <c r="BB77">
        <f>IF(AND(BB$4=1,BB27=0),1,0)</f>
        <v/>
      </c>
      <c r="BC77">
        <f>IF(AND(BC$4=1,BC27=0),1,0)</f>
        <v/>
      </c>
      <c r="BD77">
        <f>IF(AND(BD$4=1,BD27=0),1,0)</f>
        <v/>
      </c>
      <c r="BE77">
        <f>IF(AND(BE$4=1,BE27=0),1,0)</f>
        <v/>
      </c>
      <c r="BF77">
        <f>IF(AND(BF$4=1,BF27=0),1,0)</f>
        <v/>
      </c>
      <c r="BG77">
        <f>IF(AND(BG$4=1,BG27=0),1,0)</f>
        <v/>
      </c>
      <c r="BH77">
        <f>IF(AND(BH$4=1,BH27=0),1,0)</f>
        <v/>
      </c>
      <c r="BI77">
        <f>IF(AND(BI$4=1,BI27=0),1,0)</f>
        <v/>
      </c>
      <c r="BJ77">
        <f>IF(AND(BJ$4=1,BJ27=0),1,0)</f>
        <v/>
      </c>
      <c r="BK77">
        <f>IF(AND(BK$4=1,BK27=0),1,0)</f>
        <v/>
      </c>
      <c r="BL77">
        <f>IF(AND(BL$4=1,BL27=0),1,0)</f>
        <v/>
      </c>
      <c r="BM77">
        <f>IF(AND(BM$4=1,BM27=0),1,0)</f>
        <v/>
      </c>
      <c r="BN77">
        <f>IF(AND(BN$4=1,BN27=0),1,0)</f>
        <v/>
      </c>
      <c r="BO77">
        <f>IF(AND(BO$4=1,BO27=0),1,0)</f>
        <v/>
      </c>
      <c r="BP77">
        <f>IF(AND(BP$4=1,BP27=0),1,0)</f>
        <v/>
      </c>
      <c r="BQ77">
        <f>IF(AND(BQ$4=1,BQ27=0),1,0)</f>
        <v/>
      </c>
      <c r="BR77">
        <f>IF(AND(BR$4=1,BR27=0),1,0)</f>
        <v/>
      </c>
      <c r="BS77">
        <f>IF(AND(BS$4=1,BS27=0),1,0)</f>
        <v/>
      </c>
      <c r="BT77">
        <f>IF(AND(BT$4=1,BT27=0),1,0)</f>
        <v/>
      </c>
      <c r="BU77">
        <f>IF(AND(BU$4=1,BU27=0),1,0)</f>
        <v/>
      </c>
      <c r="BV77">
        <f>IF(AND(BV$4=1,BV27=0),1,0)</f>
        <v/>
      </c>
      <c r="BW77">
        <f>IF(AND(BW$4=1,BW27=0),1,0)</f>
        <v/>
      </c>
      <c r="BX77">
        <f>IF(AND(BX$4=1,BX27=0),1,0)</f>
        <v/>
      </c>
      <c r="BY77">
        <f>IF(AND(BY$4=1,BY27=0),1,0)</f>
        <v/>
      </c>
      <c r="BZ77">
        <f>IF(AND(BZ$4=1,BZ27=0),1,0)</f>
        <v/>
      </c>
      <c r="CA77">
        <f>IF(AND(CA$4=1,CA27=0),1,0)</f>
        <v/>
      </c>
      <c r="CB77">
        <f>IF(AND(CB$4=1,CB27=0),1,0)</f>
        <v/>
      </c>
      <c r="CC77">
        <f>IF(AND(CC$4=1,CC27=0),1,0)</f>
        <v/>
      </c>
      <c r="CD77">
        <f>IF(AND(CD$4=1,CD27=0),1,0)</f>
        <v/>
      </c>
      <c r="CE77">
        <f>IF(AND(CE$4=1,CE27=0),1,0)</f>
        <v/>
      </c>
      <c r="CF77">
        <f>IF(AND(CF$4=1,CF27=0),1,0)</f>
        <v/>
      </c>
      <c r="CG77">
        <f>IF(AND(CG$4=1,CG27=0),1,0)</f>
        <v/>
      </c>
      <c r="CH77">
        <f>IF(AND(CH$4=1,CH27=0),1,0)</f>
        <v/>
      </c>
      <c r="CI77">
        <f>IF(AND(CI$4=1,CI27=0),1,0)</f>
        <v/>
      </c>
      <c r="CJ77">
        <f>IF(AND(CJ$4=1,CJ27=0),1,0)</f>
        <v/>
      </c>
      <c r="CK77">
        <f>IF(AND(CK$4=1,CK27=0),1,0)</f>
        <v/>
      </c>
      <c r="CL77">
        <f>IF(AND(CL$4=1,CL27=0),1,0)</f>
        <v/>
      </c>
      <c r="CM77">
        <f>IF(AND(CM$4=1,CM27=0),1,0)</f>
        <v/>
      </c>
      <c r="CN77">
        <f>IF(AND(CN$4=1,CN27=0),1,0)</f>
        <v/>
      </c>
      <c r="CO77">
        <f>IF(AND(CO$4=1,CO27=0),1,0)</f>
        <v/>
      </c>
      <c r="CP77">
        <f>IF(AND(CP$4=1,CP27=0),1,0)</f>
        <v/>
      </c>
      <c r="CQ77">
        <f>IF(AND(CQ$4=1,CQ27=0),1,0)</f>
        <v/>
      </c>
      <c r="CR77">
        <f>IF(AND(CR$4=1,CR27=0),1,0)</f>
        <v/>
      </c>
      <c r="CS77">
        <f>IF(AND(CS$4=1,CS27=0),1,0)</f>
        <v/>
      </c>
      <c r="CT77">
        <f>IF(AND(CT$4=1,CT27=0),1,0)</f>
        <v/>
      </c>
      <c r="CU77">
        <f>IF(AND(CU$4=1,CU27=0),1,0)</f>
        <v/>
      </c>
      <c r="CV77">
        <f>IF(AND(CV$4=1,CV27=0),1,0)</f>
        <v/>
      </c>
      <c r="CW77">
        <f>IF(AND(CW$4=1,CW27=0),1,0)</f>
        <v/>
      </c>
      <c r="CX77">
        <f>IF(AND(CX$4=1,CX27=0),1,0)</f>
        <v/>
      </c>
      <c r="CY77">
        <f>IF(AND(CY$4=1,CY27=0),1,0)</f>
        <v/>
      </c>
      <c r="CZ77">
        <f>IF(AND(CZ$4=1,CZ27=0),1,0)</f>
        <v/>
      </c>
      <c r="DA77">
        <f>IF(AND(DA$4=1,DA27=0),1,0)</f>
        <v/>
      </c>
      <c r="DB77">
        <f>IF(AND(DB$4=1,DB27=0),1,0)</f>
        <v/>
      </c>
      <c r="DC77">
        <f>IF(AND(DC$4=1,DC27=0),1,0)</f>
        <v/>
      </c>
      <c r="DD77">
        <f>IF(AND(DD$4=1,DD27=0),1,0)</f>
        <v/>
      </c>
      <c r="DE77">
        <f>IF(AND(DE$4=1,DE27=0),1,0)</f>
        <v/>
      </c>
      <c r="DF77">
        <f>IF(AND(DF$4=1,DF27=0),1,0)</f>
        <v/>
      </c>
      <c r="DG77">
        <f>IF(AND(DG$4=1,DG27=0),1,0)</f>
        <v/>
      </c>
      <c r="DH77">
        <f>IF(AND(DH$4=1,DH27=0),1,0)</f>
        <v/>
      </c>
      <c r="DI77">
        <f>IF(AND(DI$4=1,DI27=0),1,0)</f>
        <v/>
      </c>
      <c r="DJ77">
        <f>IF(AND(DJ$4=1,DJ27=0),1,0)</f>
        <v/>
      </c>
      <c r="DK77">
        <f>IF(AND(DK$4=1,DK27=0),1,0)</f>
        <v/>
      </c>
      <c r="DL77">
        <f>IF(AND(DL$4=1,DL27=0),1,0)</f>
        <v/>
      </c>
      <c r="DM77">
        <f>IF(AND(DM$4=1,DM27=0),1,0)</f>
        <v/>
      </c>
      <c r="DN77">
        <f>IF(AND(DN$4=1,DN27=0),1,0)</f>
        <v/>
      </c>
      <c r="DO77">
        <f>IF(AND(DO$4=1,DO27=0),1,0)</f>
        <v/>
      </c>
      <c r="DP77">
        <f>IF(AND(DP$4=1,DP27=0),1,0)</f>
        <v/>
      </c>
      <c r="DQ77">
        <f>IF(AND(DQ$4=1,DQ27=0),1,0)</f>
        <v/>
      </c>
      <c r="DR77">
        <f>IF(AND(DR$4=1,DR27=0),1,0)</f>
        <v/>
      </c>
      <c r="DS77">
        <f>IF(AND(DS$4=1,DS27=0),1,0)</f>
        <v/>
      </c>
      <c r="DT77">
        <f>IF(AND(DT$4=1,DT27=0),1,0)</f>
        <v/>
      </c>
      <c r="DU77">
        <f>IF(AND(DU$4=1,DU27=0),1,0)</f>
        <v/>
      </c>
      <c r="DV77">
        <f>IF(AND(DV$4=1,DV27=0),1,0)</f>
        <v/>
      </c>
      <c r="DW77">
        <f>IF(AND(DW$4=1,DW27=0),1,0)</f>
        <v/>
      </c>
      <c r="DX77">
        <f>IF(AND(DX$4=1,DX27=0),1,0)</f>
        <v/>
      </c>
      <c r="DY77">
        <f>IF(AND(DY$4=1,DY27=0),1,0)</f>
        <v/>
      </c>
      <c r="DZ77">
        <f>IF(AND(DZ$4=1,DZ27=0),1,0)</f>
        <v/>
      </c>
      <c r="EA77">
        <f>IF(AND(EA$4=1,EA27=0),1,0)</f>
        <v/>
      </c>
      <c r="EB77">
        <f>IF(AND(EB$4=1,EB27=0),1,0)</f>
        <v/>
      </c>
      <c r="EC77">
        <f>IF(AND(EC$4=1,EC27=0),1,0)</f>
        <v/>
      </c>
      <c r="ED77">
        <f>IF(AND(ED$4=1,ED27=0),1,0)</f>
        <v/>
      </c>
      <c r="EE77">
        <f>IF(AND(EE$4=1,EE27=0),1,0)</f>
        <v/>
      </c>
      <c r="EF77">
        <f>IF(AND(EF$4=1,EF27=0),1,0)</f>
        <v/>
      </c>
      <c r="EG77">
        <f>IF(AND(EG$4=1,EG27=0),1,0)</f>
        <v/>
      </c>
      <c r="EH77">
        <f>IF(AND(EH$4=1,EH27=0),1,0)</f>
        <v/>
      </c>
      <c r="EI77">
        <f>IF(AND(EI$4=1,EI27=0),1,0)</f>
        <v/>
      </c>
      <c r="EJ77">
        <f>IF(AND(EJ$4=1,EJ27=0),1,0)</f>
        <v/>
      </c>
      <c r="EK77">
        <f>IF(AND(EK$4=1,EK27=0),1,0)</f>
        <v/>
      </c>
      <c r="EL77">
        <f>IF(AND(EL$4=1,EL27=0),1,0)</f>
        <v/>
      </c>
      <c r="EM77">
        <f>IF(AND(EM$4=1,EM27=0),1,0)</f>
        <v/>
      </c>
      <c r="EN77">
        <f>IF(AND(EN$4=1,EN27=0),1,0)</f>
        <v/>
      </c>
      <c r="EO77">
        <f>IF(AND(EO$4=1,EO27=0),1,0)</f>
        <v/>
      </c>
      <c r="EP77">
        <f>IF(AND(EP$4=1,EP27=0),1,0)</f>
        <v/>
      </c>
      <c r="EQ77">
        <f>IF(AND(EQ$4=1,EQ27=0),1,0)</f>
        <v/>
      </c>
    </row>
    <row r="78">
      <c r="A78" t="n">
        <v>19</v>
      </c>
      <c r="D78">
        <f>IF(AND(D$4=1,D28=0),1,0)</f>
        <v/>
      </c>
      <c r="E78">
        <f>IF(AND(E$4=1,E28=0),1,0)</f>
        <v/>
      </c>
      <c r="F78">
        <f>IF(AND(F$4=1,F28=0),1,0)</f>
        <v/>
      </c>
      <c r="G78">
        <f>IF(AND(G$4=1,G28=0),1,0)</f>
        <v/>
      </c>
      <c r="H78">
        <f>IF(AND(H$4=1,H28=0),1,0)</f>
        <v/>
      </c>
      <c r="I78">
        <f>IF(AND(I$4=1,I28=0),1,0)</f>
        <v/>
      </c>
      <c r="J78">
        <f>IF(AND(J$4=1,J28=0),1,0)</f>
        <v/>
      </c>
      <c r="K78">
        <f>IF(AND(K$4=1,K28=0),1,0)</f>
        <v/>
      </c>
      <c r="L78">
        <f>IF(AND(L$4=1,L28=0),1,0)</f>
        <v/>
      </c>
      <c r="M78">
        <f>IF(AND(M$4=1,M28=0),1,0)</f>
        <v/>
      </c>
      <c r="N78">
        <f>IF(AND(N$4=1,N28=0),1,0)</f>
        <v/>
      </c>
      <c r="O78">
        <f>IF(AND(O$4=1,O28=0),1,0)</f>
        <v/>
      </c>
      <c r="P78">
        <f>IF(AND(P$4=1,P28=0),1,0)</f>
        <v/>
      </c>
      <c r="Q78">
        <f>IF(AND(Q$4=1,Q28=0),1,0)</f>
        <v/>
      </c>
      <c r="R78">
        <f>IF(AND(R$4=1,R28=0),1,0)</f>
        <v/>
      </c>
      <c r="S78">
        <f>IF(AND(S$4=1,S28=0),1,0)</f>
        <v/>
      </c>
      <c r="T78">
        <f>IF(AND(T$4=1,T28=0),1,0)</f>
        <v/>
      </c>
      <c r="U78">
        <f>IF(AND(U$4=1,U28=0),1,0)</f>
        <v/>
      </c>
      <c r="V78">
        <f>IF(AND(V$4=1,V28=0),1,0)</f>
        <v/>
      </c>
      <c r="W78">
        <f>IF(AND(W$4=1,W28=0),1,0)</f>
        <v/>
      </c>
      <c r="X78">
        <f>IF(AND(X$4=1,X28=0),1,0)</f>
        <v/>
      </c>
      <c r="Y78">
        <f>IF(AND(Y$4=1,Y28=0),1,0)</f>
        <v/>
      </c>
      <c r="Z78">
        <f>IF(AND(Z$4=1,Z28=0),1,0)</f>
        <v/>
      </c>
      <c r="AA78">
        <f>IF(AND(AA$4=1,AA28=0),1,0)</f>
        <v/>
      </c>
      <c r="AB78">
        <f>IF(AND(AB$4=1,AB28=0),1,0)</f>
        <v/>
      </c>
      <c r="AC78">
        <f>IF(AND(AC$4=1,AC28=0),1,0)</f>
        <v/>
      </c>
      <c r="AD78">
        <f>IF(AND(AD$4=1,AD28=0),1,0)</f>
        <v/>
      </c>
      <c r="AE78">
        <f>IF(AND(AE$4=1,AE28=0),1,0)</f>
        <v/>
      </c>
      <c r="AF78">
        <f>IF(AND(AF$4=1,AF28=0),1,0)</f>
        <v/>
      </c>
      <c r="AG78">
        <f>IF(AND(AG$4=1,AG28=0),1,0)</f>
        <v/>
      </c>
      <c r="AH78">
        <f>IF(AND(AH$4=1,AH28=0),1,0)</f>
        <v/>
      </c>
      <c r="AI78">
        <f>IF(AND(AI$4=1,AI28=0),1,0)</f>
        <v/>
      </c>
      <c r="AJ78">
        <f>IF(AND(AJ$4=1,AJ28=0),1,0)</f>
        <v/>
      </c>
      <c r="AK78">
        <f>IF(AND(AK$4=1,AK28=0),1,0)</f>
        <v/>
      </c>
      <c r="AL78">
        <f>IF(AND(AL$4=1,AL28=0),1,0)</f>
        <v/>
      </c>
      <c r="AM78">
        <f>IF(AND(AM$4=1,AM28=0),1,0)</f>
        <v/>
      </c>
      <c r="AN78">
        <f>IF(AND(AN$4=1,AN28=0),1,0)</f>
        <v/>
      </c>
      <c r="AO78">
        <f>IF(AND(AO$4=1,AO28=0),1,0)</f>
        <v/>
      </c>
      <c r="AP78">
        <f>IF(AND(AP$4=1,AP28=0),1,0)</f>
        <v/>
      </c>
      <c r="AQ78">
        <f>IF(AND(AQ$4=1,AQ28=0),1,0)</f>
        <v/>
      </c>
      <c r="AR78">
        <f>IF(AND(AR$4=1,AR28=0),1,0)</f>
        <v/>
      </c>
      <c r="AS78">
        <f>IF(AND(AS$4=1,AS28=0),1,0)</f>
        <v/>
      </c>
      <c r="AT78">
        <f>IF(AND(AT$4=1,AT28=0),1,0)</f>
        <v/>
      </c>
      <c r="AU78">
        <f>IF(AND(AU$4=1,AU28=0),1,0)</f>
        <v/>
      </c>
      <c r="AV78">
        <f>IF(AND(AV$4=1,AV28=0),1,0)</f>
        <v/>
      </c>
      <c r="AW78">
        <f>IF(AND(AW$4=1,AW28=0),1,0)</f>
        <v/>
      </c>
      <c r="AX78">
        <f>IF(AND(AX$4=1,AX28=0),1,0)</f>
        <v/>
      </c>
      <c r="AY78">
        <f>IF(AND(AY$4=1,AY28=0),1,0)</f>
        <v/>
      </c>
      <c r="AZ78">
        <f>IF(AND(AZ$4=1,AZ28=0),1,0)</f>
        <v/>
      </c>
      <c r="BA78">
        <f>IF(AND(BA$4=1,BA28=0),1,0)</f>
        <v/>
      </c>
      <c r="BB78">
        <f>IF(AND(BB$4=1,BB28=0),1,0)</f>
        <v/>
      </c>
      <c r="BC78">
        <f>IF(AND(BC$4=1,BC28=0),1,0)</f>
        <v/>
      </c>
      <c r="BD78">
        <f>IF(AND(BD$4=1,BD28=0),1,0)</f>
        <v/>
      </c>
      <c r="BE78">
        <f>IF(AND(BE$4=1,BE28=0),1,0)</f>
        <v/>
      </c>
      <c r="BF78">
        <f>IF(AND(BF$4=1,BF28=0),1,0)</f>
        <v/>
      </c>
      <c r="BG78">
        <f>IF(AND(BG$4=1,BG28=0),1,0)</f>
        <v/>
      </c>
      <c r="BH78">
        <f>IF(AND(BH$4=1,BH28=0),1,0)</f>
        <v/>
      </c>
      <c r="BI78">
        <f>IF(AND(BI$4=1,BI28=0),1,0)</f>
        <v/>
      </c>
      <c r="BJ78">
        <f>IF(AND(BJ$4=1,BJ28=0),1,0)</f>
        <v/>
      </c>
      <c r="BK78">
        <f>IF(AND(BK$4=1,BK28=0),1,0)</f>
        <v/>
      </c>
      <c r="BL78">
        <f>IF(AND(BL$4=1,BL28=0),1,0)</f>
        <v/>
      </c>
      <c r="BM78">
        <f>IF(AND(BM$4=1,BM28=0),1,0)</f>
        <v/>
      </c>
      <c r="BN78">
        <f>IF(AND(BN$4=1,BN28=0),1,0)</f>
        <v/>
      </c>
      <c r="BO78">
        <f>IF(AND(BO$4=1,BO28=0),1,0)</f>
        <v/>
      </c>
      <c r="BP78">
        <f>IF(AND(BP$4=1,BP28=0),1,0)</f>
        <v/>
      </c>
      <c r="BQ78">
        <f>IF(AND(BQ$4=1,BQ28=0),1,0)</f>
        <v/>
      </c>
      <c r="BR78">
        <f>IF(AND(BR$4=1,BR28=0),1,0)</f>
        <v/>
      </c>
      <c r="BS78">
        <f>IF(AND(BS$4=1,BS28=0),1,0)</f>
        <v/>
      </c>
      <c r="BT78">
        <f>IF(AND(BT$4=1,BT28=0),1,0)</f>
        <v/>
      </c>
      <c r="BU78">
        <f>IF(AND(BU$4=1,BU28=0),1,0)</f>
        <v/>
      </c>
      <c r="BV78">
        <f>IF(AND(BV$4=1,BV28=0),1,0)</f>
        <v/>
      </c>
      <c r="BW78">
        <f>IF(AND(BW$4=1,BW28=0),1,0)</f>
        <v/>
      </c>
      <c r="BX78">
        <f>IF(AND(BX$4=1,BX28=0),1,0)</f>
        <v/>
      </c>
      <c r="BY78">
        <f>IF(AND(BY$4=1,BY28=0),1,0)</f>
        <v/>
      </c>
      <c r="BZ78">
        <f>IF(AND(BZ$4=1,BZ28=0),1,0)</f>
        <v/>
      </c>
      <c r="CA78">
        <f>IF(AND(CA$4=1,CA28=0),1,0)</f>
        <v/>
      </c>
      <c r="CB78">
        <f>IF(AND(CB$4=1,CB28=0),1,0)</f>
        <v/>
      </c>
      <c r="CC78">
        <f>IF(AND(CC$4=1,CC28=0),1,0)</f>
        <v/>
      </c>
      <c r="CD78">
        <f>IF(AND(CD$4=1,CD28=0),1,0)</f>
        <v/>
      </c>
      <c r="CE78">
        <f>IF(AND(CE$4=1,CE28=0),1,0)</f>
        <v/>
      </c>
      <c r="CF78">
        <f>IF(AND(CF$4=1,CF28=0),1,0)</f>
        <v/>
      </c>
      <c r="CG78">
        <f>IF(AND(CG$4=1,CG28=0),1,0)</f>
        <v/>
      </c>
      <c r="CH78">
        <f>IF(AND(CH$4=1,CH28=0),1,0)</f>
        <v/>
      </c>
      <c r="CI78">
        <f>IF(AND(CI$4=1,CI28=0),1,0)</f>
        <v/>
      </c>
      <c r="CJ78">
        <f>IF(AND(CJ$4=1,CJ28=0),1,0)</f>
        <v/>
      </c>
      <c r="CK78">
        <f>IF(AND(CK$4=1,CK28=0),1,0)</f>
        <v/>
      </c>
      <c r="CL78">
        <f>IF(AND(CL$4=1,CL28=0),1,0)</f>
        <v/>
      </c>
      <c r="CM78">
        <f>IF(AND(CM$4=1,CM28=0),1,0)</f>
        <v/>
      </c>
      <c r="CN78">
        <f>IF(AND(CN$4=1,CN28=0),1,0)</f>
        <v/>
      </c>
      <c r="CO78">
        <f>IF(AND(CO$4=1,CO28=0),1,0)</f>
        <v/>
      </c>
      <c r="CP78">
        <f>IF(AND(CP$4=1,CP28=0),1,0)</f>
        <v/>
      </c>
      <c r="CQ78">
        <f>IF(AND(CQ$4=1,CQ28=0),1,0)</f>
        <v/>
      </c>
      <c r="CR78">
        <f>IF(AND(CR$4=1,CR28=0),1,0)</f>
        <v/>
      </c>
      <c r="CS78">
        <f>IF(AND(CS$4=1,CS28=0),1,0)</f>
        <v/>
      </c>
      <c r="CT78">
        <f>IF(AND(CT$4=1,CT28=0),1,0)</f>
        <v/>
      </c>
      <c r="CU78">
        <f>IF(AND(CU$4=1,CU28=0),1,0)</f>
        <v/>
      </c>
      <c r="CV78">
        <f>IF(AND(CV$4=1,CV28=0),1,0)</f>
        <v/>
      </c>
      <c r="CW78">
        <f>IF(AND(CW$4=1,CW28=0),1,0)</f>
        <v/>
      </c>
      <c r="CX78">
        <f>IF(AND(CX$4=1,CX28=0),1,0)</f>
        <v/>
      </c>
      <c r="CY78">
        <f>IF(AND(CY$4=1,CY28=0),1,0)</f>
        <v/>
      </c>
      <c r="CZ78">
        <f>IF(AND(CZ$4=1,CZ28=0),1,0)</f>
        <v/>
      </c>
      <c r="DA78">
        <f>IF(AND(DA$4=1,DA28=0),1,0)</f>
        <v/>
      </c>
      <c r="DB78">
        <f>IF(AND(DB$4=1,DB28=0),1,0)</f>
        <v/>
      </c>
      <c r="DC78">
        <f>IF(AND(DC$4=1,DC28=0),1,0)</f>
        <v/>
      </c>
      <c r="DD78">
        <f>IF(AND(DD$4=1,DD28=0),1,0)</f>
        <v/>
      </c>
      <c r="DE78">
        <f>IF(AND(DE$4=1,DE28=0),1,0)</f>
        <v/>
      </c>
      <c r="DF78">
        <f>IF(AND(DF$4=1,DF28=0),1,0)</f>
        <v/>
      </c>
      <c r="DG78">
        <f>IF(AND(DG$4=1,DG28=0),1,0)</f>
        <v/>
      </c>
      <c r="DH78">
        <f>IF(AND(DH$4=1,DH28=0),1,0)</f>
        <v/>
      </c>
      <c r="DI78">
        <f>IF(AND(DI$4=1,DI28=0),1,0)</f>
        <v/>
      </c>
      <c r="DJ78">
        <f>IF(AND(DJ$4=1,DJ28=0),1,0)</f>
        <v/>
      </c>
      <c r="DK78">
        <f>IF(AND(DK$4=1,DK28=0),1,0)</f>
        <v/>
      </c>
      <c r="DL78">
        <f>IF(AND(DL$4=1,DL28=0),1,0)</f>
        <v/>
      </c>
      <c r="DM78">
        <f>IF(AND(DM$4=1,DM28=0),1,0)</f>
        <v/>
      </c>
      <c r="DN78">
        <f>IF(AND(DN$4=1,DN28=0),1,0)</f>
        <v/>
      </c>
      <c r="DO78">
        <f>IF(AND(DO$4=1,DO28=0),1,0)</f>
        <v/>
      </c>
      <c r="DP78">
        <f>IF(AND(DP$4=1,DP28=0),1,0)</f>
        <v/>
      </c>
      <c r="DQ78">
        <f>IF(AND(DQ$4=1,DQ28=0),1,0)</f>
        <v/>
      </c>
      <c r="DR78">
        <f>IF(AND(DR$4=1,DR28=0),1,0)</f>
        <v/>
      </c>
      <c r="DS78">
        <f>IF(AND(DS$4=1,DS28=0),1,0)</f>
        <v/>
      </c>
      <c r="DT78">
        <f>IF(AND(DT$4=1,DT28=0),1,0)</f>
        <v/>
      </c>
      <c r="DU78">
        <f>IF(AND(DU$4=1,DU28=0),1,0)</f>
        <v/>
      </c>
      <c r="DV78">
        <f>IF(AND(DV$4=1,DV28=0),1,0)</f>
        <v/>
      </c>
      <c r="DW78">
        <f>IF(AND(DW$4=1,DW28=0),1,0)</f>
        <v/>
      </c>
      <c r="DX78">
        <f>IF(AND(DX$4=1,DX28=0),1,0)</f>
        <v/>
      </c>
      <c r="DY78">
        <f>IF(AND(DY$4=1,DY28=0),1,0)</f>
        <v/>
      </c>
      <c r="DZ78">
        <f>IF(AND(DZ$4=1,DZ28=0),1,0)</f>
        <v/>
      </c>
      <c r="EA78">
        <f>IF(AND(EA$4=1,EA28=0),1,0)</f>
        <v/>
      </c>
      <c r="EB78">
        <f>IF(AND(EB$4=1,EB28=0),1,0)</f>
        <v/>
      </c>
      <c r="EC78">
        <f>IF(AND(EC$4=1,EC28=0),1,0)</f>
        <v/>
      </c>
      <c r="ED78">
        <f>IF(AND(ED$4=1,ED28=0),1,0)</f>
        <v/>
      </c>
      <c r="EE78">
        <f>IF(AND(EE$4=1,EE28=0),1,0)</f>
        <v/>
      </c>
      <c r="EF78">
        <f>IF(AND(EF$4=1,EF28=0),1,0)</f>
        <v/>
      </c>
      <c r="EG78">
        <f>IF(AND(EG$4=1,EG28=0),1,0)</f>
        <v/>
      </c>
      <c r="EH78">
        <f>IF(AND(EH$4=1,EH28=0),1,0)</f>
        <v/>
      </c>
      <c r="EI78">
        <f>IF(AND(EI$4=1,EI28=0),1,0)</f>
        <v/>
      </c>
      <c r="EJ78">
        <f>IF(AND(EJ$4=1,EJ28=0),1,0)</f>
        <v/>
      </c>
      <c r="EK78">
        <f>IF(AND(EK$4=1,EK28=0),1,0)</f>
        <v/>
      </c>
      <c r="EL78">
        <f>IF(AND(EL$4=1,EL28=0),1,0)</f>
        <v/>
      </c>
      <c r="EM78">
        <f>IF(AND(EM$4=1,EM28=0),1,0)</f>
        <v/>
      </c>
      <c r="EN78">
        <f>IF(AND(EN$4=1,EN28=0),1,0)</f>
        <v/>
      </c>
      <c r="EO78">
        <f>IF(AND(EO$4=1,EO28=0),1,0)</f>
        <v/>
      </c>
      <c r="EP78">
        <f>IF(AND(EP$4=1,EP28=0),1,0)</f>
        <v/>
      </c>
      <c r="EQ78">
        <f>IF(AND(EQ$4=1,EQ28=0),1,0)</f>
        <v/>
      </c>
    </row>
    <row r="79">
      <c r="A79" t="n">
        <v>20</v>
      </c>
      <c r="D79">
        <f>IF(AND(D$4=1,D29=0),1,0)</f>
        <v/>
      </c>
      <c r="E79">
        <f>IF(AND(E$4=1,E29=0),1,0)</f>
        <v/>
      </c>
      <c r="F79">
        <f>IF(AND(F$4=1,F29=0),1,0)</f>
        <v/>
      </c>
      <c r="G79">
        <f>IF(AND(G$4=1,G29=0),1,0)</f>
        <v/>
      </c>
      <c r="H79">
        <f>IF(AND(H$4=1,H29=0),1,0)</f>
        <v/>
      </c>
      <c r="I79">
        <f>IF(AND(I$4=1,I29=0),1,0)</f>
        <v/>
      </c>
      <c r="J79">
        <f>IF(AND(J$4=1,J29=0),1,0)</f>
        <v/>
      </c>
      <c r="K79">
        <f>IF(AND(K$4=1,K29=0),1,0)</f>
        <v/>
      </c>
      <c r="L79">
        <f>IF(AND(L$4=1,L29=0),1,0)</f>
        <v/>
      </c>
      <c r="M79">
        <f>IF(AND(M$4=1,M29=0),1,0)</f>
        <v/>
      </c>
      <c r="N79">
        <f>IF(AND(N$4=1,N29=0),1,0)</f>
        <v/>
      </c>
      <c r="O79">
        <f>IF(AND(O$4=1,O29=0),1,0)</f>
        <v/>
      </c>
      <c r="P79">
        <f>IF(AND(P$4=1,P29=0),1,0)</f>
        <v/>
      </c>
      <c r="Q79">
        <f>IF(AND(Q$4=1,Q29=0),1,0)</f>
        <v/>
      </c>
      <c r="R79">
        <f>IF(AND(R$4=1,R29=0),1,0)</f>
        <v/>
      </c>
      <c r="S79">
        <f>IF(AND(S$4=1,S29=0),1,0)</f>
        <v/>
      </c>
      <c r="T79">
        <f>IF(AND(T$4=1,T29=0),1,0)</f>
        <v/>
      </c>
      <c r="U79">
        <f>IF(AND(U$4=1,U29=0),1,0)</f>
        <v/>
      </c>
      <c r="V79">
        <f>IF(AND(V$4=1,V29=0),1,0)</f>
        <v/>
      </c>
      <c r="W79">
        <f>IF(AND(W$4=1,W29=0),1,0)</f>
        <v/>
      </c>
      <c r="X79">
        <f>IF(AND(X$4=1,X29=0),1,0)</f>
        <v/>
      </c>
      <c r="Y79">
        <f>IF(AND(Y$4=1,Y29=0),1,0)</f>
        <v/>
      </c>
      <c r="Z79">
        <f>IF(AND(Z$4=1,Z29=0),1,0)</f>
        <v/>
      </c>
      <c r="AA79">
        <f>IF(AND(AA$4=1,AA29=0),1,0)</f>
        <v/>
      </c>
      <c r="AB79">
        <f>IF(AND(AB$4=1,AB29=0),1,0)</f>
        <v/>
      </c>
      <c r="AC79">
        <f>IF(AND(AC$4=1,AC29=0),1,0)</f>
        <v/>
      </c>
      <c r="AD79">
        <f>IF(AND(AD$4=1,AD29=0),1,0)</f>
        <v/>
      </c>
      <c r="AE79">
        <f>IF(AND(AE$4=1,AE29=0),1,0)</f>
        <v/>
      </c>
      <c r="AF79">
        <f>IF(AND(AF$4=1,AF29=0),1,0)</f>
        <v/>
      </c>
      <c r="AG79">
        <f>IF(AND(AG$4=1,AG29=0),1,0)</f>
        <v/>
      </c>
      <c r="AH79">
        <f>IF(AND(AH$4=1,AH29=0),1,0)</f>
        <v/>
      </c>
      <c r="AI79">
        <f>IF(AND(AI$4=1,AI29=0),1,0)</f>
        <v/>
      </c>
      <c r="AJ79">
        <f>IF(AND(AJ$4=1,AJ29=0),1,0)</f>
        <v/>
      </c>
      <c r="AK79">
        <f>IF(AND(AK$4=1,AK29=0),1,0)</f>
        <v/>
      </c>
      <c r="AL79">
        <f>IF(AND(AL$4=1,AL29=0),1,0)</f>
        <v/>
      </c>
      <c r="AM79">
        <f>IF(AND(AM$4=1,AM29=0),1,0)</f>
        <v/>
      </c>
      <c r="AN79">
        <f>IF(AND(AN$4=1,AN29=0),1,0)</f>
        <v/>
      </c>
      <c r="AO79">
        <f>IF(AND(AO$4=1,AO29=0),1,0)</f>
        <v/>
      </c>
      <c r="AP79">
        <f>IF(AND(AP$4=1,AP29=0),1,0)</f>
        <v/>
      </c>
      <c r="AQ79">
        <f>IF(AND(AQ$4=1,AQ29=0),1,0)</f>
        <v/>
      </c>
      <c r="AR79">
        <f>IF(AND(AR$4=1,AR29=0),1,0)</f>
        <v/>
      </c>
      <c r="AS79">
        <f>IF(AND(AS$4=1,AS29=0),1,0)</f>
        <v/>
      </c>
      <c r="AT79">
        <f>IF(AND(AT$4=1,AT29=0),1,0)</f>
        <v/>
      </c>
      <c r="AU79">
        <f>IF(AND(AU$4=1,AU29=0),1,0)</f>
        <v/>
      </c>
      <c r="AV79">
        <f>IF(AND(AV$4=1,AV29=0),1,0)</f>
        <v/>
      </c>
      <c r="AW79">
        <f>IF(AND(AW$4=1,AW29=0),1,0)</f>
        <v/>
      </c>
      <c r="AX79">
        <f>IF(AND(AX$4=1,AX29=0),1,0)</f>
        <v/>
      </c>
      <c r="AY79">
        <f>IF(AND(AY$4=1,AY29=0),1,0)</f>
        <v/>
      </c>
      <c r="AZ79">
        <f>IF(AND(AZ$4=1,AZ29=0),1,0)</f>
        <v/>
      </c>
      <c r="BA79">
        <f>IF(AND(BA$4=1,BA29=0),1,0)</f>
        <v/>
      </c>
      <c r="BB79">
        <f>IF(AND(BB$4=1,BB29=0),1,0)</f>
        <v/>
      </c>
      <c r="BC79">
        <f>IF(AND(BC$4=1,BC29=0),1,0)</f>
        <v/>
      </c>
      <c r="BD79">
        <f>IF(AND(BD$4=1,BD29=0),1,0)</f>
        <v/>
      </c>
      <c r="BE79">
        <f>IF(AND(BE$4=1,BE29=0),1,0)</f>
        <v/>
      </c>
      <c r="BF79">
        <f>IF(AND(BF$4=1,BF29=0),1,0)</f>
        <v/>
      </c>
      <c r="BG79">
        <f>IF(AND(BG$4=1,BG29=0),1,0)</f>
        <v/>
      </c>
      <c r="BH79">
        <f>IF(AND(BH$4=1,BH29=0),1,0)</f>
        <v/>
      </c>
      <c r="BI79">
        <f>IF(AND(BI$4=1,BI29=0),1,0)</f>
        <v/>
      </c>
      <c r="BJ79">
        <f>IF(AND(BJ$4=1,BJ29=0),1,0)</f>
        <v/>
      </c>
      <c r="BK79">
        <f>IF(AND(BK$4=1,BK29=0),1,0)</f>
        <v/>
      </c>
      <c r="BL79">
        <f>IF(AND(BL$4=1,BL29=0),1,0)</f>
        <v/>
      </c>
      <c r="BM79">
        <f>IF(AND(BM$4=1,BM29=0),1,0)</f>
        <v/>
      </c>
      <c r="BN79">
        <f>IF(AND(BN$4=1,BN29=0),1,0)</f>
        <v/>
      </c>
      <c r="BO79">
        <f>IF(AND(BO$4=1,BO29=0),1,0)</f>
        <v/>
      </c>
      <c r="BP79">
        <f>IF(AND(BP$4=1,BP29=0),1,0)</f>
        <v/>
      </c>
      <c r="BQ79">
        <f>IF(AND(BQ$4=1,BQ29=0),1,0)</f>
        <v/>
      </c>
      <c r="BR79">
        <f>IF(AND(BR$4=1,BR29=0),1,0)</f>
        <v/>
      </c>
      <c r="BS79">
        <f>IF(AND(BS$4=1,BS29=0),1,0)</f>
        <v/>
      </c>
      <c r="BT79">
        <f>IF(AND(BT$4=1,BT29=0),1,0)</f>
        <v/>
      </c>
      <c r="BU79">
        <f>IF(AND(BU$4=1,BU29=0),1,0)</f>
        <v/>
      </c>
      <c r="BV79">
        <f>IF(AND(BV$4=1,BV29=0),1,0)</f>
        <v/>
      </c>
      <c r="BW79">
        <f>IF(AND(BW$4=1,BW29=0),1,0)</f>
        <v/>
      </c>
      <c r="BX79">
        <f>IF(AND(BX$4=1,BX29=0),1,0)</f>
        <v/>
      </c>
      <c r="BY79">
        <f>IF(AND(BY$4=1,BY29=0),1,0)</f>
        <v/>
      </c>
      <c r="BZ79">
        <f>IF(AND(BZ$4=1,BZ29=0),1,0)</f>
        <v/>
      </c>
      <c r="CA79">
        <f>IF(AND(CA$4=1,CA29=0),1,0)</f>
        <v/>
      </c>
      <c r="CB79">
        <f>IF(AND(CB$4=1,CB29=0),1,0)</f>
        <v/>
      </c>
      <c r="CC79">
        <f>IF(AND(CC$4=1,CC29=0),1,0)</f>
        <v/>
      </c>
      <c r="CD79">
        <f>IF(AND(CD$4=1,CD29=0),1,0)</f>
        <v/>
      </c>
      <c r="CE79">
        <f>IF(AND(CE$4=1,CE29=0),1,0)</f>
        <v/>
      </c>
      <c r="CF79">
        <f>IF(AND(CF$4=1,CF29=0),1,0)</f>
        <v/>
      </c>
      <c r="CG79">
        <f>IF(AND(CG$4=1,CG29=0),1,0)</f>
        <v/>
      </c>
      <c r="CH79">
        <f>IF(AND(CH$4=1,CH29=0),1,0)</f>
        <v/>
      </c>
      <c r="CI79">
        <f>IF(AND(CI$4=1,CI29=0),1,0)</f>
        <v/>
      </c>
      <c r="CJ79">
        <f>IF(AND(CJ$4=1,CJ29=0),1,0)</f>
        <v/>
      </c>
      <c r="CK79">
        <f>IF(AND(CK$4=1,CK29=0),1,0)</f>
        <v/>
      </c>
      <c r="CL79">
        <f>IF(AND(CL$4=1,CL29=0),1,0)</f>
        <v/>
      </c>
      <c r="CM79">
        <f>IF(AND(CM$4=1,CM29=0),1,0)</f>
        <v/>
      </c>
      <c r="CN79">
        <f>IF(AND(CN$4=1,CN29=0),1,0)</f>
        <v/>
      </c>
      <c r="CO79">
        <f>IF(AND(CO$4=1,CO29=0),1,0)</f>
        <v/>
      </c>
      <c r="CP79">
        <f>IF(AND(CP$4=1,CP29=0),1,0)</f>
        <v/>
      </c>
      <c r="CQ79">
        <f>IF(AND(CQ$4=1,CQ29=0),1,0)</f>
        <v/>
      </c>
      <c r="CR79">
        <f>IF(AND(CR$4=1,CR29=0),1,0)</f>
        <v/>
      </c>
      <c r="CS79">
        <f>IF(AND(CS$4=1,CS29=0),1,0)</f>
        <v/>
      </c>
      <c r="CT79">
        <f>IF(AND(CT$4=1,CT29=0),1,0)</f>
        <v/>
      </c>
      <c r="CU79">
        <f>IF(AND(CU$4=1,CU29=0),1,0)</f>
        <v/>
      </c>
      <c r="CV79">
        <f>IF(AND(CV$4=1,CV29=0),1,0)</f>
        <v/>
      </c>
      <c r="CW79">
        <f>IF(AND(CW$4=1,CW29=0),1,0)</f>
        <v/>
      </c>
      <c r="CX79">
        <f>IF(AND(CX$4=1,CX29=0),1,0)</f>
        <v/>
      </c>
      <c r="CY79">
        <f>IF(AND(CY$4=1,CY29=0),1,0)</f>
        <v/>
      </c>
      <c r="CZ79">
        <f>IF(AND(CZ$4=1,CZ29=0),1,0)</f>
        <v/>
      </c>
      <c r="DA79">
        <f>IF(AND(DA$4=1,DA29=0),1,0)</f>
        <v/>
      </c>
      <c r="DB79">
        <f>IF(AND(DB$4=1,DB29=0),1,0)</f>
        <v/>
      </c>
      <c r="DC79">
        <f>IF(AND(DC$4=1,DC29=0),1,0)</f>
        <v/>
      </c>
      <c r="DD79">
        <f>IF(AND(DD$4=1,DD29=0),1,0)</f>
        <v/>
      </c>
      <c r="DE79">
        <f>IF(AND(DE$4=1,DE29=0),1,0)</f>
        <v/>
      </c>
      <c r="DF79">
        <f>IF(AND(DF$4=1,DF29=0),1,0)</f>
        <v/>
      </c>
      <c r="DG79">
        <f>IF(AND(DG$4=1,DG29=0),1,0)</f>
        <v/>
      </c>
      <c r="DH79">
        <f>IF(AND(DH$4=1,DH29=0),1,0)</f>
        <v/>
      </c>
      <c r="DI79">
        <f>IF(AND(DI$4=1,DI29=0),1,0)</f>
        <v/>
      </c>
      <c r="DJ79">
        <f>IF(AND(DJ$4=1,DJ29=0),1,0)</f>
        <v/>
      </c>
      <c r="DK79">
        <f>IF(AND(DK$4=1,DK29=0),1,0)</f>
        <v/>
      </c>
      <c r="DL79">
        <f>IF(AND(DL$4=1,DL29=0),1,0)</f>
        <v/>
      </c>
      <c r="DM79">
        <f>IF(AND(DM$4=1,DM29=0),1,0)</f>
        <v/>
      </c>
      <c r="DN79">
        <f>IF(AND(DN$4=1,DN29=0),1,0)</f>
        <v/>
      </c>
      <c r="DO79">
        <f>IF(AND(DO$4=1,DO29=0),1,0)</f>
        <v/>
      </c>
      <c r="DP79">
        <f>IF(AND(DP$4=1,DP29=0),1,0)</f>
        <v/>
      </c>
      <c r="DQ79">
        <f>IF(AND(DQ$4=1,DQ29=0),1,0)</f>
        <v/>
      </c>
      <c r="DR79">
        <f>IF(AND(DR$4=1,DR29=0),1,0)</f>
        <v/>
      </c>
      <c r="DS79">
        <f>IF(AND(DS$4=1,DS29=0),1,0)</f>
        <v/>
      </c>
      <c r="DT79">
        <f>IF(AND(DT$4=1,DT29=0),1,0)</f>
        <v/>
      </c>
      <c r="DU79">
        <f>IF(AND(DU$4=1,DU29=0),1,0)</f>
        <v/>
      </c>
      <c r="DV79">
        <f>IF(AND(DV$4=1,DV29=0),1,0)</f>
        <v/>
      </c>
      <c r="DW79">
        <f>IF(AND(DW$4=1,DW29=0),1,0)</f>
        <v/>
      </c>
      <c r="DX79">
        <f>IF(AND(DX$4=1,DX29=0),1,0)</f>
        <v/>
      </c>
      <c r="DY79">
        <f>IF(AND(DY$4=1,DY29=0),1,0)</f>
        <v/>
      </c>
      <c r="DZ79">
        <f>IF(AND(DZ$4=1,DZ29=0),1,0)</f>
        <v/>
      </c>
      <c r="EA79">
        <f>IF(AND(EA$4=1,EA29=0),1,0)</f>
        <v/>
      </c>
      <c r="EB79">
        <f>IF(AND(EB$4=1,EB29=0),1,0)</f>
        <v/>
      </c>
      <c r="EC79">
        <f>IF(AND(EC$4=1,EC29=0),1,0)</f>
        <v/>
      </c>
      <c r="ED79">
        <f>IF(AND(ED$4=1,ED29=0),1,0)</f>
        <v/>
      </c>
      <c r="EE79">
        <f>IF(AND(EE$4=1,EE29=0),1,0)</f>
        <v/>
      </c>
      <c r="EF79">
        <f>IF(AND(EF$4=1,EF29=0),1,0)</f>
        <v/>
      </c>
      <c r="EG79">
        <f>IF(AND(EG$4=1,EG29=0),1,0)</f>
        <v/>
      </c>
      <c r="EH79">
        <f>IF(AND(EH$4=1,EH29=0),1,0)</f>
        <v/>
      </c>
      <c r="EI79">
        <f>IF(AND(EI$4=1,EI29=0),1,0)</f>
        <v/>
      </c>
      <c r="EJ79">
        <f>IF(AND(EJ$4=1,EJ29=0),1,0)</f>
        <v/>
      </c>
      <c r="EK79">
        <f>IF(AND(EK$4=1,EK29=0),1,0)</f>
        <v/>
      </c>
      <c r="EL79">
        <f>IF(AND(EL$4=1,EL29=0),1,0)</f>
        <v/>
      </c>
      <c r="EM79">
        <f>IF(AND(EM$4=1,EM29=0),1,0)</f>
        <v/>
      </c>
      <c r="EN79">
        <f>IF(AND(EN$4=1,EN29=0),1,0)</f>
        <v/>
      </c>
      <c r="EO79">
        <f>IF(AND(EO$4=1,EO29=0),1,0)</f>
        <v/>
      </c>
      <c r="EP79">
        <f>IF(AND(EP$4=1,EP29=0),1,0)</f>
        <v/>
      </c>
      <c r="EQ79">
        <f>IF(AND(EQ$4=1,EQ29=0),1,0)</f>
        <v/>
      </c>
    </row>
    <row r="80">
      <c r="A80" t="n">
        <v>21</v>
      </c>
      <c r="D80">
        <f>IF(AND(D$4=1,D30=0),1,0)</f>
        <v/>
      </c>
      <c r="E80">
        <f>IF(AND(E$4=1,E30=0),1,0)</f>
        <v/>
      </c>
      <c r="F80">
        <f>IF(AND(F$4=1,F30=0),1,0)</f>
        <v/>
      </c>
      <c r="G80">
        <f>IF(AND(G$4=1,G30=0),1,0)</f>
        <v/>
      </c>
      <c r="H80">
        <f>IF(AND(H$4=1,H30=0),1,0)</f>
        <v/>
      </c>
      <c r="I80">
        <f>IF(AND(I$4=1,I30=0),1,0)</f>
        <v/>
      </c>
      <c r="J80">
        <f>IF(AND(J$4=1,J30=0),1,0)</f>
        <v/>
      </c>
      <c r="K80">
        <f>IF(AND(K$4=1,K30=0),1,0)</f>
        <v/>
      </c>
      <c r="L80">
        <f>IF(AND(L$4=1,L30=0),1,0)</f>
        <v/>
      </c>
      <c r="M80">
        <f>IF(AND(M$4=1,M30=0),1,0)</f>
        <v/>
      </c>
      <c r="N80">
        <f>IF(AND(N$4=1,N30=0),1,0)</f>
        <v/>
      </c>
      <c r="O80">
        <f>IF(AND(O$4=1,O30=0),1,0)</f>
        <v/>
      </c>
      <c r="P80">
        <f>IF(AND(P$4=1,P30=0),1,0)</f>
        <v/>
      </c>
      <c r="Q80">
        <f>IF(AND(Q$4=1,Q30=0),1,0)</f>
        <v/>
      </c>
      <c r="R80">
        <f>IF(AND(R$4=1,R30=0),1,0)</f>
        <v/>
      </c>
      <c r="S80">
        <f>IF(AND(S$4=1,S30=0),1,0)</f>
        <v/>
      </c>
      <c r="T80">
        <f>IF(AND(T$4=1,T30=0),1,0)</f>
        <v/>
      </c>
      <c r="U80">
        <f>IF(AND(U$4=1,U30=0),1,0)</f>
        <v/>
      </c>
      <c r="V80">
        <f>IF(AND(V$4=1,V30=0),1,0)</f>
        <v/>
      </c>
      <c r="W80">
        <f>IF(AND(W$4=1,W30=0),1,0)</f>
        <v/>
      </c>
      <c r="X80">
        <f>IF(AND(X$4=1,X30=0),1,0)</f>
        <v/>
      </c>
      <c r="Y80">
        <f>IF(AND(Y$4=1,Y30=0),1,0)</f>
        <v/>
      </c>
      <c r="Z80">
        <f>IF(AND(Z$4=1,Z30=0),1,0)</f>
        <v/>
      </c>
      <c r="AA80">
        <f>IF(AND(AA$4=1,AA30=0),1,0)</f>
        <v/>
      </c>
      <c r="AB80">
        <f>IF(AND(AB$4=1,AB30=0),1,0)</f>
        <v/>
      </c>
      <c r="AC80">
        <f>IF(AND(AC$4=1,AC30=0),1,0)</f>
        <v/>
      </c>
      <c r="AD80">
        <f>IF(AND(AD$4=1,AD30=0),1,0)</f>
        <v/>
      </c>
      <c r="AE80">
        <f>IF(AND(AE$4=1,AE30=0),1,0)</f>
        <v/>
      </c>
      <c r="AF80">
        <f>IF(AND(AF$4=1,AF30=0),1,0)</f>
        <v/>
      </c>
      <c r="AG80">
        <f>IF(AND(AG$4=1,AG30=0),1,0)</f>
        <v/>
      </c>
      <c r="AH80">
        <f>IF(AND(AH$4=1,AH30=0),1,0)</f>
        <v/>
      </c>
      <c r="AI80">
        <f>IF(AND(AI$4=1,AI30=0),1,0)</f>
        <v/>
      </c>
      <c r="AJ80">
        <f>IF(AND(AJ$4=1,AJ30=0),1,0)</f>
        <v/>
      </c>
      <c r="AK80">
        <f>IF(AND(AK$4=1,AK30=0),1,0)</f>
        <v/>
      </c>
      <c r="AL80">
        <f>IF(AND(AL$4=1,AL30=0),1,0)</f>
        <v/>
      </c>
      <c r="AM80">
        <f>IF(AND(AM$4=1,AM30=0),1,0)</f>
        <v/>
      </c>
      <c r="AN80">
        <f>IF(AND(AN$4=1,AN30=0),1,0)</f>
        <v/>
      </c>
      <c r="AO80">
        <f>IF(AND(AO$4=1,AO30=0),1,0)</f>
        <v/>
      </c>
      <c r="AP80">
        <f>IF(AND(AP$4=1,AP30=0),1,0)</f>
        <v/>
      </c>
      <c r="AQ80">
        <f>IF(AND(AQ$4=1,AQ30=0),1,0)</f>
        <v/>
      </c>
      <c r="AR80">
        <f>IF(AND(AR$4=1,AR30=0),1,0)</f>
        <v/>
      </c>
      <c r="AS80">
        <f>IF(AND(AS$4=1,AS30=0),1,0)</f>
        <v/>
      </c>
      <c r="AT80">
        <f>IF(AND(AT$4=1,AT30=0),1,0)</f>
        <v/>
      </c>
      <c r="AU80">
        <f>IF(AND(AU$4=1,AU30=0),1,0)</f>
        <v/>
      </c>
      <c r="AV80">
        <f>IF(AND(AV$4=1,AV30=0),1,0)</f>
        <v/>
      </c>
      <c r="AW80">
        <f>IF(AND(AW$4=1,AW30=0),1,0)</f>
        <v/>
      </c>
      <c r="AX80">
        <f>IF(AND(AX$4=1,AX30=0),1,0)</f>
        <v/>
      </c>
      <c r="AY80">
        <f>IF(AND(AY$4=1,AY30=0),1,0)</f>
        <v/>
      </c>
      <c r="AZ80">
        <f>IF(AND(AZ$4=1,AZ30=0),1,0)</f>
        <v/>
      </c>
      <c r="BA80">
        <f>IF(AND(BA$4=1,BA30=0),1,0)</f>
        <v/>
      </c>
      <c r="BB80">
        <f>IF(AND(BB$4=1,BB30=0),1,0)</f>
        <v/>
      </c>
      <c r="BC80">
        <f>IF(AND(BC$4=1,BC30=0),1,0)</f>
        <v/>
      </c>
      <c r="BD80">
        <f>IF(AND(BD$4=1,BD30=0),1,0)</f>
        <v/>
      </c>
      <c r="BE80">
        <f>IF(AND(BE$4=1,BE30=0),1,0)</f>
        <v/>
      </c>
      <c r="BF80">
        <f>IF(AND(BF$4=1,BF30=0),1,0)</f>
        <v/>
      </c>
      <c r="BG80">
        <f>IF(AND(BG$4=1,BG30=0),1,0)</f>
        <v/>
      </c>
      <c r="BH80">
        <f>IF(AND(BH$4=1,BH30=0),1,0)</f>
        <v/>
      </c>
      <c r="BI80">
        <f>IF(AND(BI$4=1,BI30=0),1,0)</f>
        <v/>
      </c>
      <c r="BJ80">
        <f>IF(AND(BJ$4=1,BJ30=0),1,0)</f>
        <v/>
      </c>
      <c r="BK80">
        <f>IF(AND(BK$4=1,BK30=0),1,0)</f>
        <v/>
      </c>
      <c r="BL80">
        <f>IF(AND(BL$4=1,BL30=0),1,0)</f>
        <v/>
      </c>
      <c r="BM80">
        <f>IF(AND(BM$4=1,BM30=0),1,0)</f>
        <v/>
      </c>
      <c r="BN80">
        <f>IF(AND(BN$4=1,BN30=0),1,0)</f>
        <v/>
      </c>
      <c r="BO80">
        <f>IF(AND(BO$4=1,BO30=0),1,0)</f>
        <v/>
      </c>
      <c r="BP80">
        <f>IF(AND(BP$4=1,BP30=0),1,0)</f>
        <v/>
      </c>
      <c r="BQ80">
        <f>IF(AND(BQ$4=1,BQ30=0),1,0)</f>
        <v/>
      </c>
      <c r="BR80">
        <f>IF(AND(BR$4=1,BR30=0),1,0)</f>
        <v/>
      </c>
      <c r="BS80">
        <f>IF(AND(BS$4=1,BS30=0),1,0)</f>
        <v/>
      </c>
      <c r="BT80">
        <f>IF(AND(BT$4=1,BT30=0),1,0)</f>
        <v/>
      </c>
      <c r="BU80">
        <f>IF(AND(BU$4=1,BU30=0),1,0)</f>
        <v/>
      </c>
      <c r="BV80">
        <f>IF(AND(BV$4=1,BV30=0),1,0)</f>
        <v/>
      </c>
      <c r="BW80">
        <f>IF(AND(BW$4=1,BW30=0),1,0)</f>
        <v/>
      </c>
      <c r="BX80">
        <f>IF(AND(BX$4=1,BX30=0),1,0)</f>
        <v/>
      </c>
      <c r="BY80">
        <f>IF(AND(BY$4=1,BY30=0),1,0)</f>
        <v/>
      </c>
      <c r="BZ80">
        <f>IF(AND(BZ$4=1,BZ30=0),1,0)</f>
        <v/>
      </c>
      <c r="CA80">
        <f>IF(AND(CA$4=1,CA30=0),1,0)</f>
        <v/>
      </c>
      <c r="CB80">
        <f>IF(AND(CB$4=1,CB30=0),1,0)</f>
        <v/>
      </c>
      <c r="CC80">
        <f>IF(AND(CC$4=1,CC30=0),1,0)</f>
        <v/>
      </c>
      <c r="CD80">
        <f>IF(AND(CD$4=1,CD30=0),1,0)</f>
        <v/>
      </c>
      <c r="CE80">
        <f>IF(AND(CE$4=1,CE30=0),1,0)</f>
        <v/>
      </c>
      <c r="CF80">
        <f>IF(AND(CF$4=1,CF30=0),1,0)</f>
        <v/>
      </c>
      <c r="CG80">
        <f>IF(AND(CG$4=1,CG30=0),1,0)</f>
        <v/>
      </c>
      <c r="CH80">
        <f>IF(AND(CH$4=1,CH30=0),1,0)</f>
        <v/>
      </c>
      <c r="CI80">
        <f>IF(AND(CI$4=1,CI30=0),1,0)</f>
        <v/>
      </c>
      <c r="CJ80">
        <f>IF(AND(CJ$4=1,CJ30=0),1,0)</f>
        <v/>
      </c>
      <c r="CK80">
        <f>IF(AND(CK$4=1,CK30=0),1,0)</f>
        <v/>
      </c>
      <c r="CL80">
        <f>IF(AND(CL$4=1,CL30=0),1,0)</f>
        <v/>
      </c>
      <c r="CM80">
        <f>IF(AND(CM$4=1,CM30=0),1,0)</f>
        <v/>
      </c>
      <c r="CN80">
        <f>IF(AND(CN$4=1,CN30=0),1,0)</f>
        <v/>
      </c>
      <c r="CO80">
        <f>IF(AND(CO$4=1,CO30=0),1,0)</f>
        <v/>
      </c>
      <c r="CP80">
        <f>IF(AND(CP$4=1,CP30=0),1,0)</f>
        <v/>
      </c>
      <c r="CQ80">
        <f>IF(AND(CQ$4=1,CQ30=0),1,0)</f>
        <v/>
      </c>
      <c r="CR80">
        <f>IF(AND(CR$4=1,CR30=0),1,0)</f>
        <v/>
      </c>
      <c r="CS80">
        <f>IF(AND(CS$4=1,CS30=0),1,0)</f>
        <v/>
      </c>
      <c r="CT80">
        <f>IF(AND(CT$4=1,CT30=0),1,0)</f>
        <v/>
      </c>
      <c r="CU80">
        <f>IF(AND(CU$4=1,CU30=0),1,0)</f>
        <v/>
      </c>
      <c r="CV80">
        <f>IF(AND(CV$4=1,CV30=0),1,0)</f>
        <v/>
      </c>
      <c r="CW80">
        <f>IF(AND(CW$4=1,CW30=0),1,0)</f>
        <v/>
      </c>
      <c r="CX80">
        <f>IF(AND(CX$4=1,CX30=0),1,0)</f>
        <v/>
      </c>
      <c r="CY80">
        <f>IF(AND(CY$4=1,CY30=0),1,0)</f>
        <v/>
      </c>
      <c r="CZ80">
        <f>IF(AND(CZ$4=1,CZ30=0),1,0)</f>
        <v/>
      </c>
      <c r="DA80">
        <f>IF(AND(DA$4=1,DA30=0),1,0)</f>
        <v/>
      </c>
      <c r="DB80">
        <f>IF(AND(DB$4=1,DB30=0),1,0)</f>
        <v/>
      </c>
      <c r="DC80">
        <f>IF(AND(DC$4=1,DC30=0),1,0)</f>
        <v/>
      </c>
      <c r="DD80">
        <f>IF(AND(DD$4=1,DD30=0),1,0)</f>
        <v/>
      </c>
      <c r="DE80">
        <f>IF(AND(DE$4=1,DE30=0),1,0)</f>
        <v/>
      </c>
      <c r="DF80">
        <f>IF(AND(DF$4=1,DF30=0),1,0)</f>
        <v/>
      </c>
      <c r="DG80">
        <f>IF(AND(DG$4=1,DG30=0),1,0)</f>
        <v/>
      </c>
      <c r="DH80">
        <f>IF(AND(DH$4=1,DH30=0),1,0)</f>
        <v/>
      </c>
      <c r="DI80">
        <f>IF(AND(DI$4=1,DI30=0),1,0)</f>
        <v/>
      </c>
      <c r="DJ80">
        <f>IF(AND(DJ$4=1,DJ30=0),1,0)</f>
        <v/>
      </c>
      <c r="DK80">
        <f>IF(AND(DK$4=1,DK30=0),1,0)</f>
        <v/>
      </c>
      <c r="DL80">
        <f>IF(AND(DL$4=1,DL30=0),1,0)</f>
        <v/>
      </c>
      <c r="DM80">
        <f>IF(AND(DM$4=1,DM30=0),1,0)</f>
        <v/>
      </c>
      <c r="DN80">
        <f>IF(AND(DN$4=1,DN30=0),1,0)</f>
        <v/>
      </c>
      <c r="DO80">
        <f>IF(AND(DO$4=1,DO30=0),1,0)</f>
        <v/>
      </c>
      <c r="DP80">
        <f>IF(AND(DP$4=1,DP30=0),1,0)</f>
        <v/>
      </c>
      <c r="DQ80">
        <f>IF(AND(DQ$4=1,DQ30=0),1,0)</f>
        <v/>
      </c>
      <c r="DR80">
        <f>IF(AND(DR$4=1,DR30=0),1,0)</f>
        <v/>
      </c>
      <c r="DS80">
        <f>IF(AND(DS$4=1,DS30=0),1,0)</f>
        <v/>
      </c>
      <c r="DT80">
        <f>IF(AND(DT$4=1,DT30=0),1,0)</f>
        <v/>
      </c>
      <c r="DU80">
        <f>IF(AND(DU$4=1,DU30=0),1,0)</f>
        <v/>
      </c>
      <c r="DV80">
        <f>IF(AND(DV$4=1,DV30=0),1,0)</f>
        <v/>
      </c>
      <c r="DW80">
        <f>IF(AND(DW$4=1,DW30=0),1,0)</f>
        <v/>
      </c>
      <c r="DX80">
        <f>IF(AND(DX$4=1,DX30=0),1,0)</f>
        <v/>
      </c>
      <c r="DY80">
        <f>IF(AND(DY$4=1,DY30=0),1,0)</f>
        <v/>
      </c>
      <c r="DZ80">
        <f>IF(AND(DZ$4=1,DZ30=0),1,0)</f>
        <v/>
      </c>
      <c r="EA80">
        <f>IF(AND(EA$4=1,EA30=0),1,0)</f>
        <v/>
      </c>
      <c r="EB80">
        <f>IF(AND(EB$4=1,EB30=0),1,0)</f>
        <v/>
      </c>
      <c r="EC80">
        <f>IF(AND(EC$4=1,EC30=0),1,0)</f>
        <v/>
      </c>
      <c r="ED80">
        <f>IF(AND(ED$4=1,ED30=0),1,0)</f>
        <v/>
      </c>
      <c r="EE80">
        <f>IF(AND(EE$4=1,EE30=0),1,0)</f>
        <v/>
      </c>
      <c r="EF80">
        <f>IF(AND(EF$4=1,EF30=0),1,0)</f>
        <v/>
      </c>
      <c r="EG80">
        <f>IF(AND(EG$4=1,EG30=0),1,0)</f>
        <v/>
      </c>
      <c r="EH80">
        <f>IF(AND(EH$4=1,EH30=0),1,0)</f>
        <v/>
      </c>
      <c r="EI80">
        <f>IF(AND(EI$4=1,EI30=0),1,0)</f>
        <v/>
      </c>
      <c r="EJ80">
        <f>IF(AND(EJ$4=1,EJ30=0),1,0)</f>
        <v/>
      </c>
      <c r="EK80">
        <f>IF(AND(EK$4=1,EK30=0),1,0)</f>
        <v/>
      </c>
      <c r="EL80">
        <f>IF(AND(EL$4=1,EL30=0),1,0)</f>
        <v/>
      </c>
      <c r="EM80">
        <f>IF(AND(EM$4=1,EM30=0),1,0)</f>
        <v/>
      </c>
      <c r="EN80">
        <f>IF(AND(EN$4=1,EN30=0),1,0)</f>
        <v/>
      </c>
      <c r="EO80">
        <f>IF(AND(EO$4=1,EO30=0),1,0)</f>
        <v/>
      </c>
      <c r="EP80">
        <f>IF(AND(EP$4=1,EP30=0),1,0)</f>
        <v/>
      </c>
      <c r="EQ80">
        <f>IF(AND(EQ$4=1,EQ30=0),1,0)</f>
        <v/>
      </c>
    </row>
    <row r="81">
      <c r="A81" t="n">
        <v>22</v>
      </c>
      <c r="D81">
        <f>IF(AND(D$4=1,D31=0),1,0)</f>
        <v/>
      </c>
      <c r="E81">
        <f>IF(AND(E$4=1,E31=0),1,0)</f>
        <v/>
      </c>
      <c r="F81">
        <f>IF(AND(F$4=1,F31=0),1,0)</f>
        <v/>
      </c>
      <c r="G81">
        <f>IF(AND(G$4=1,G31=0),1,0)</f>
        <v/>
      </c>
      <c r="H81">
        <f>IF(AND(H$4=1,H31=0),1,0)</f>
        <v/>
      </c>
      <c r="I81">
        <f>IF(AND(I$4=1,I31=0),1,0)</f>
        <v/>
      </c>
      <c r="J81">
        <f>IF(AND(J$4=1,J31=0),1,0)</f>
        <v/>
      </c>
      <c r="K81">
        <f>IF(AND(K$4=1,K31=0),1,0)</f>
        <v/>
      </c>
      <c r="L81">
        <f>IF(AND(L$4=1,L31=0),1,0)</f>
        <v/>
      </c>
      <c r="M81">
        <f>IF(AND(M$4=1,M31=0),1,0)</f>
        <v/>
      </c>
      <c r="N81">
        <f>IF(AND(N$4=1,N31=0),1,0)</f>
        <v/>
      </c>
      <c r="O81">
        <f>IF(AND(O$4=1,O31=0),1,0)</f>
        <v/>
      </c>
      <c r="P81">
        <f>IF(AND(P$4=1,P31=0),1,0)</f>
        <v/>
      </c>
      <c r="Q81">
        <f>IF(AND(Q$4=1,Q31=0),1,0)</f>
        <v/>
      </c>
      <c r="R81">
        <f>IF(AND(R$4=1,R31=0),1,0)</f>
        <v/>
      </c>
      <c r="S81">
        <f>IF(AND(S$4=1,S31=0),1,0)</f>
        <v/>
      </c>
      <c r="T81">
        <f>IF(AND(T$4=1,T31=0),1,0)</f>
        <v/>
      </c>
      <c r="U81">
        <f>IF(AND(U$4=1,U31=0),1,0)</f>
        <v/>
      </c>
      <c r="V81">
        <f>IF(AND(V$4=1,V31=0),1,0)</f>
        <v/>
      </c>
      <c r="W81">
        <f>IF(AND(W$4=1,W31=0),1,0)</f>
        <v/>
      </c>
      <c r="X81">
        <f>IF(AND(X$4=1,X31=0),1,0)</f>
        <v/>
      </c>
      <c r="Y81">
        <f>IF(AND(Y$4=1,Y31=0),1,0)</f>
        <v/>
      </c>
      <c r="Z81">
        <f>IF(AND(Z$4=1,Z31=0),1,0)</f>
        <v/>
      </c>
      <c r="AA81">
        <f>IF(AND(AA$4=1,AA31=0),1,0)</f>
        <v/>
      </c>
      <c r="AB81">
        <f>IF(AND(AB$4=1,AB31=0),1,0)</f>
        <v/>
      </c>
      <c r="AC81">
        <f>IF(AND(AC$4=1,AC31=0),1,0)</f>
        <v/>
      </c>
      <c r="AD81">
        <f>IF(AND(AD$4=1,AD31=0),1,0)</f>
        <v/>
      </c>
      <c r="AE81">
        <f>IF(AND(AE$4=1,AE31=0),1,0)</f>
        <v/>
      </c>
      <c r="AF81">
        <f>IF(AND(AF$4=1,AF31=0),1,0)</f>
        <v/>
      </c>
      <c r="AG81">
        <f>IF(AND(AG$4=1,AG31=0),1,0)</f>
        <v/>
      </c>
      <c r="AH81">
        <f>IF(AND(AH$4=1,AH31=0),1,0)</f>
        <v/>
      </c>
      <c r="AI81">
        <f>IF(AND(AI$4=1,AI31=0),1,0)</f>
        <v/>
      </c>
      <c r="AJ81">
        <f>IF(AND(AJ$4=1,AJ31=0),1,0)</f>
        <v/>
      </c>
      <c r="AK81">
        <f>IF(AND(AK$4=1,AK31=0),1,0)</f>
        <v/>
      </c>
      <c r="AL81">
        <f>IF(AND(AL$4=1,AL31=0),1,0)</f>
        <v/>
      </c>
      <c r="AM81">
        <f>IF(AND(AM$4=1,AM31=0),1,0)</f>
        <v/>
      </c>
      <c r="AN81">
        <f>IF(AND(AN$4=1,AN31=0),1,0)</f>
        <v/>
      </c>
      <c r="AO81">
        <f>IF(AND(AO$4=1,AO31=0),1,0)</f>
        <v/>
      </c>
      <c r="AP81">
        <f>IF(AND(AP$4=1,AP31=0),1,0)</f>
        <v/>
      </c>
      <c r="AQ81">
        <f>IF(AND(AQ$4=1,AQ31=0),1,0)</f>
        <v/>
      </c>
      <c r="AR81">
        <f>IF(AND(AR$4=1,AR31=0),1,0)</f>
        <v/>
      </c>
      <c r="AS81">
        <f>IF(AND(AS$4=1,AS31=0),1,0)</f>
        <v/>
      </c>
      <c r="AT81">
        <f>IF(AND(AT$4=1,AT31=0),1,0)</f>
        <v/>
      </c>
      <c r="AU81">
        <f>IF(AND(AU$4=1,AU31=0),1,0)</f>
        <v/>
      </c>
      <c r="AV81">
        <f>IF(AND(AV$4=1,AV31=0),1,0)</f>
        <v/>
      </c>
      <c r="AW81">
        <f>IF(AND(AW$4=1,AW31=0),1,0)</f>
        <v/>
      </c>
      <c r="AX81">
        <f>IF(AND(AX$4=1,AX31=0),1,0)</f>
        <v/>
      </c>
      <c r="AY81">
        <f>IF(AND(AY$4=1,AY31=0),1,0)</f>
        <v/>
      </c>
      <c r="AZ81">
        <f>IF(AND(AZ$4=1,AZ31=0),1,0)</f>
        <v/>
      </c>
      <c r="BA81">
        <f>IF(AND(BA$4=1,BA31=0),1,0)</f>
        <v/>
      </c>
      <c r="BB81">
        <f>IF(AND(BB$4=1,BB31=0),1,0)</f>
        <v/>
      </c>
      <c r="BC81">
        <f>IF(AND(BC$4=1,BC31=0),1,0)</f>
        <v/>
      </c>
      <c r="BD81">
        <f>IF(AND(BD$4=1,BD31=0),1,0)</f>
        <v/>
      </c>
      <c r="BE81">
        <f>IF(AND(BE$4=1,BE31=0),1,0)</f>
        <v/>
      </c>
      <c r="BF81">
        <f>IF(AND(BF$4=1,BF31=0),1,0)</f>
        <v/>
      </c>
      <c r="BG81">
        <f>IF(AND(BG$4=1,BG31=0),1,0)</f>
        <v/>
      </c>
      <c r="BH81">
        <f>IF(AND(BH$4=1,BH31=0),1,0)</f>
        <v/>
      </c>
      <c r="BI81">
        <f>IF(AND(BI$4=1,BI31=0),1,0)</f>
        <v/>
      </c>
      <c r="BJ81">
        <f>IF(AND(BJ$4=1,BJ31=0),1,0)</f>
        <v/>
      </c>
      <c r="BK81">
        <f>IF(AND(BK$4=1,BK31=0),1,0)</f>
        <v/>
      </c>
      <c r="BL81">
        <f>IF(AND(BL$4=1,BL31=0),1,0)</f>
        <v/>
      </c>
      <c r="BM81">
        <f>IF(AND(BM$4=1,BM31=0),1,0)</f>
        <v/>
      </c>
      <c r="BN81">
        <f>IF(AND(BN$4=1,BN31=0),1,0)</f>
        <v/>
      </c>
      <c r="BO81">
        <f>IF(AND(BO$4=1,BO31=0),1,0)</f>
        <v/>
      </c>
      <c r="BP81">
        <f>IF(AND(BP$4=1,BP31=0),1,0)</f>
        <v/>
      </c>
      <c r="BQ81">
        <f>IF(AND(BQ$4=1,BQ31=0),1,0)</f>
        <v/>
      </c>
      <c r="BR81">
        <f>IF(AND(BR$4=1,BR31=0),1,0)</f>
        <v/>
      </c>
      <c r="BS81">
        <f>IF(AND(BS$4=1,BS31=0),1,0)</f>
        <v/>
      </c>
      <c r="BT81">
        <f>IF(AND(BT$4=1,BT31=0),1,0)</f>
        <v/>
      </c>
      <c r="BU81">
        <f>IF(AND(BU$4=1,BU31=0),1,0)</f>
        <v/>
      </c>
      <c r="BV81">
        <f>IF(AND(BV$4=1,BV31=0),1,0)</f>
        <v/>
      </c>
      <c r="BW81">
        <f>IF(AND(BW$4=1,BW31=0),1,0)</f>
        <v/>
      </c>
      <c r="BX81">
        <f>IF(AND(BX$4=1,BX31=0),1,0)</f>
        <v/>
      </c>
      <c r="BY81">
        <f>IF(AND(BY$4=1,BY31=0),1,0)</f>
        <v/>
      </c>
      <c r="BZ81">
        <f>IF(AND(BZ$4=1,BZ31=0),1,0)</f>
        <v/>
      </c>
      <c r="CA81">
        <f>IF(AND(CA$4=1,CA31=0),1,0)</f>
        <v/>
      </c>
      <c r="CB81">
        <f>IF(AND(CB$4=1,CB31=0),1,0)</f>
        <v/>
      </c>
      <c r="CC81">
        <f>IF(AND(CC$4=1,CC31=0),1,0)</f>
        <v/>
      </c>
      <c r="CD81">
        <f>IF(AND(CD$4=1,CD31=0),1,0)</f>
        <v/>
      </c>
      <c r="CE81">
        <f>IF(AND(CE$4=1,CE31=0),1,0)</f>
        <v/>
      </c>
      <c r="CF81">
        <f>IF(AND(CF$4=1,CF31=0),1,0)</f>
        <v/>
      </c>
      <c r="CG81">
        <f>IF(AND(CG$4=1,CG31=0),1,0)</f>
        <v/>
      </c>
      <c r="CH81">
        <f>IF(AND(CH$4=1,CH31=0),1,0)</f>
        <v/>
      </c>
      <c r="CI81">
        <f>IF(AND(CI$4=1,CI31=0),1,0)</f>
        <v/>
      </c>
      <c r="CJ81">
        <f>IF(AND(CJ$4=1,CJ31=0),1,0)</f>
        <v/>
      </c>
      <c r="CK81">
        <f>IF(AND(CK$4=1,CK31=0),1,0)</f>
        <v/>
      </c>
      <c r="CL81">
        <f>IF(AND(CL$4=1,CL31=0),1,0)</f>
        <v/>
      </c>
      <c r="CM81">
        <f>IF(AND(CM$4=1,CM31=0),1,0)</f>
        <v/>
      </c>
      <c r="CN81">
        <f>IF(AND(CN$4=1,CN31=0),1,0)</f>
        <v/>
      </c>
      <c r="CO81">
        <f>IF(AND(CO$4=1,CO31=0),1,0)</f>
        <v/>
      </c>
      <c r="CP81">
        <f>IF(AND(CP$4=1,CP31=0),1,0)</f>
        <v/>
      </c>
      <c r="CQ81">
        <f>IF(AND(CQ$4=1,CQ31=0),1,0)</f>
        <v/>
      </c>
      <c r="CR81">
        <f>IF(AND(CR$4=1,CR31=0),1,0)</f>
        <v/>
      </c>
      <c r="CS81">
        <f>IF(AND(CS$4=1,CS31=0),1,0)</f>
        <v/>
      </c>
      <c r="CT81">
        <f>IF(AND(CT$4=1,CT31=0),1,0)</f>
        <v/>
      </c>
      <c r="CU81">
        <f>IF(AND(CU$4=1,CU31=0),1,0)</f>
        <v/>
      </c>
      <c r="CV81">
        <f>IF(AND(CV$4=1,CV31=0),1,0)</f>
        <v/>
      </c>
      <c r="CW81">
        <f>IF(AND(CW$4=1,CW31=0),1,0)</f>
        <v/>
      </c>
      <c r="CX81">
        <f>IF(AND(CX$4=1,CX31=0),1,0)</f>
        <v/>
      </c>
      <c r="CY81">
        <f>IF(AND(CY$4=1,CY31=0),1,0)</f>
        <v/>
      </c>
      <c r="CZ81">
        <f>IF(AND(CZ$4=1,CZ31=0),1,0)</f>
        <v/>
      </c>
      <c r="DA81">
        <f>IF(AND(DA$4=1,DA31=0),1,0)</f>
        <v/>
      </c>
      <c r="DB81">
        <f>IF(AND(DB$4=1,DB31=0),1,0)</f>
        <v/>
      </c>
      <c r="DC81">
        <f>IF(AND(DC$4=1,DC31=0),1,0)</f>
        <v/>
      </c>
      <c r="DD81">
        <f>IF(AND(DD$4=1,DD31=0),1,0)</f>
        <v/>
      </c>
      <c r="DE81">
        <f>IF(AND(DE$4=1,DE31=0),1,0)</f>
        <v/>
      </c>
      <c r="DF81">
        <f>IF(AND(DF$4=1,DF31=0),1,0)</f>
        <v/>
      </c>
      <c r="DG81">
        <f>IF(AND(DG$4=1,DG31=0),1,0)</f>
        <v/>
      </c>
      <c r="DH81">
        <f>IF(AND(DH$4=1,DH31=0),1,0)</f>
        <v/>
      </c>
      <c r="DI81">
        <f>IF(AND(DI$4=1,DI31=0),1,0)</f>
        <v/>
      </c>
      <c r="DJ81">
        <f>IF(AND(DJ$4=1,DJ31=0),1,0)</f>
        <v/>
      </c>
      <c r="DK81">
        <f>IF(AND(DK$4=1,DK31=0),1,0)</f>
        <v/>
      </c>
      <c r="DL81">
        <f>IF(AND(DL$4=1,DL31=0),1,0)</f>
        <v/>
      </c>
      <c r="DM81">
        <f>IF(AND(DM$4=1,DM31=0),1,0)</f>
        <v/>
      </c>
      <c r="DN81">
        <f>IF(AND(DN$4=1,DN31=0),1,0)</f>
        <v/>
      </c>
      <c r="DO81">
        <f>IF(AND(DO$4=1,DO31=0),1,0)</f>
        <v/>
      </c>
      <c r="DP81">
        <f>IF(AND(DP$4=1,DP31=0),1,0)</f>
        <v/>
      </c>
      <c r="DQ81">
        <f>IF(AND(DQ$4=1,DQ31=0),1,0)</f>
        <v/>
      </c>
      <c r="DR81">
        <f>IF(AND(DR$4=1,DR31=0),1,0)</f>
        <v/>
      </c>
      <c r="DS81">
        <f>IF(AND(DS$4=1,DS31=0),1,0)</f>
        <v/>
      </c>
      <c r="DT81">
        <f>IF(AND(DT$4=1,DT31=0),1,0)</f>
        <v/>
      </c>
      <c r="DU81">
        <f>IF(AND(DU$4=1,DU31=0),1,0)</f>
        <v/>
      </c>
      <c r="DV81">
        <f>IF(AND(DV$4=1,DV31=0),1,0)</f>
        <v/>
      </c>
      <c r="DW81">
        <f>IF(AND(DW$4=1,DW31=0),1,0)</f>
        <v/>
      </c>
      <c r="DX81">
        <f>IF(AND(DX$4=1,DX31=0),1,0)</f>
        <v/>
      </c>
      <c r="DY81">
        <f>IF(AND(DY$4=1,DY31=0),1,0)</f>
        <v/>
      </c>
      <c r="DZ81">
        <f>IF(AND(DZ$4=1,DZ31=0),1,0)</f>
        <v/>
      </c>
      <c r="EA81">
        <f>IF(AND(EA$4=1,EA31=0),1,0)</f>
        <v/>
      </c>
      <c r="EB81">
        <f>IF(AND(EB$4=1,EB31=0),1,0)</f>
        <v/>
      </c>
      <c r="EC81">
        <f>IF(AND(EC$4=1,EC31=0),1,0)</f>
        <v/>
      </c>
      <c r="ED81">
        <f>IF(AND(ED$4=1,ED31=0),1,0)</f>
        <v/>
      </c>
      <c r="EE81">
        <f>IF(AND(EE$4=1,EE31=0),1,0)</f>
        <v/>
      </c>
      <c r="EF81">
        <f>IF(AND(EF$4=1,EF31=0),1,0)</f>
        <v/>
      </c>
      <c r="EG81">
        <f>IF(AND(EG$4=1,EG31=0),1,0)</f>
        <v/>
      </c>
      <c r="EH81">
        <f>IF(AND(EH$4=1,EH31=0),1,0)</f>
        <v/>
      </c>
      <c r="EI81">
        <f>IF(AND(EI$4=1,EI31=0),1,0)</f>
        <v/>
      </c>
      <c r="EJ81">
        <f>IF(AND(EJ$4=1,EJ31=0),1,0)</f>
        <v/>
      </c>
      <c r="EK81">
        <f>IF(AND(EK$4=1,EK31=0),1,0)</f>
        <v/>
      </c>
      <c r="EL81">
        <f>IF(AND(EL$4=1,EL31=0),1,0)</f>
        <v/>
      </c>
      <c r="EM81">
        <f>IF(AND(EM$4=1,EM31=0),1,0)</f>
        <v/>
      </c>
      <c r="EN81">
        <f>IF(AND(EN$4=1,EN31=0),1,0)</f>
        <v/>
      </c>
      <c r="EO81">
        <f>IF(AND(EO$4=1,EO31=0),1,0)</f>
        <v/>
      </c>
      <c r="EP81">
        <f>IF(AND(EP$4=1,EP31=0),1,0)</f>
        <v/>
      </c>
      <c r="EQ81">
        <f>IF(AND(EQ$4=1,EQ31=0),1,0)</f>
        <v/>
      </c>
    </row>
    <row r="82">
      <c r="A82" t="n">
        <v>23</v>
      </c>
      <c r="D82">
        <f>IF(AND(D$4=1,D32=0),1,0)</f>
        <v/>
      </c>
      <c r="E82">
        <f>IF(AND(E$4=1,E32=0),1,0)</f>
        <v/>
      </c>
      <c r="F82">
        <f>IF(AND(F$4=1,F32=0),1,0)</f>
        <v/>
      </c>
      <c r="G82">
        <f>IF(AND(G$4=1,G32=0),1,0)</f>
        <v/>
      </c>
      <c r="H82">
        <f>IF(AND(H$4=1,H32=0),1,0)</f>
        <v/>
      </c>
      <c r="I82">
        <f>IF(AND(I$4=1,I32=0),1,0)</f>
        <v/>
      </c>
      <c r="J82">
        <f>IF(AND(J$4=1,J32=0),1,0)</f>
        <v/>
      </c>
      <c r="K82">
        <f>IF(AND(K$4=1,K32=0),1,0)</f>
        <v/>
      </c>
      <c r="L82">
        <f>IF(AND(L$4=1,L32=0),1,0)</f>
        <v/>
      </c>
      <c r="M82">
        <f>IF(AND(M$4=1,M32=0),1,0)</f>
        <v/>
      </c>
      <c r="N82">
        <f>IF(AND(N$4=1,N32=0),1,0)</f>
        <v/>
      </c>
      <c r="O82">
        <f>IF(AND(O$4=1,O32=0),1,0)</f>
        <v/>
      </c>
      <c r="P82">
        <f>IF(AND(P$4=1,P32=0),1,0)</f>
        <v/>
      </c>
      <c r="Q82">
        <f>IF(AND(Q$4=1,Q32=0),1,0)</f>
        <v/>
      </c>
      <c r="R82">
        <f>IF(AND(R$4=1,R32=0),1,0)</f>
        <v/>
      </c>
      <c r="S82">
        <f>IF(AND(S$4=1,S32=0),1,0)</f>
        <v/>
      </c>
      <c r="T82">
        <f>IF(AND(T$4=1,T32=0),1,0)</f>
        <v/>
      </c>
      <c r="U82">
        <f>IF(AND(U$4=1,U32=0),1,0)</f>
        <v/>
      </c>
      <c r="V82">
        <f>IF(AND(V$4=1,V32=0),1,0)</f>
        <v/>
      </c>
      <c r="W82">
        <f>IF(AND(W$4=1,W32=0),1,0)</f>
        <v/>
      </c>
      <c r="X82">
        <f>IF(AND(X$4=1,X32=0),1,0)</f>
        <v/>
      </c>
      <c r="Y82">
        <f>IF(AND(Y$4=1,Y32=0),1,0)</f>
        <v/>
      </c>
      <c r="Z82">
        <f>IF(AND(Z$4=1,Z32=0),1,0)</f>
        <v/>
      </c>
      <c r="AA82">
        <f>IF(AND(AA$4=1,AA32=0),1,0)</f>
        <v/>
      </c>
      <c r="AB82">
        <f>IF(AND(AB$4=1,AB32=0),1,0)</f>
        <v/>
      </c>
      <c r="AC82">
        <f>IF(AND(AC$4=1,AC32=0),1,0)</f>
        <v/>
      </c>
      <c r="AD82">
        <f>IF(AND(AD$4=1,AD32=0),1,0)</f>
        <v/>
      </c>
      <c r="AE82">
        <f>IF(AND(AE$4=1,AE32=0),1,0)</f>
        <v/>
      </c>
      <c r="AF82">
        <f>IF(AND(AF$4=1,AF32=0),1,0)</f>
        <v/>
      </c>
      <c r="AG82">
        <f>IF(AND(AG$4=1,AG32=0),1,0)</f>
        <v/>
      </c>
      <c r="AH82">
        <f>IF(AND(AH$4=1,AH32=0),1,0)</f>
        <v/>
      </c>
      <c r="AI82">
        <f>IF(AND(AI$4=1,AI32=0),1,0)</f>
        <v/>
      </c>
      <c r="AJ82">
        <f>IF(AND(AJ$4=1,AJ32=0),1,0)</f>
        <v/>
      </c>
      <c r="AK82">
        <f>IF(AND(AK$4=1,AK32=0),1,0)</f>
        <v/>
      </c>
      <c r="AL82">
        <f>IF(AND(AL$4=1,AL32=0),1,0)</f>
        <v/>
      </c>
      <c r="AM82">
        <f>IF(AND(AM$4=1,AM32=0),1,0)</f>
        <v/>
      </c>
      <c r="AN82">
        <f>IF(AND(AN$4=1,AN32=0),1,0)</f>
        <v/>
      </c>
      <c r="AO82">
        <f>IF(AND(AO$4=1,AO32=0),1,0)</f>
        <v/>
      </c>
      <c r="AP82">
        <f>IF(AND(AP$4=1,AP32=0),1,0)</f>
        <v/>
      </c>
      <c r="AQ82">
        <f>IF(AND(AQ$4=1,AQ32=0),1,0)</f>
        <v/>
      </c>
      <c r="AR82">
        <f>IF(AND(AR$4=1,AR32=0),1,0)</f>
        <v/>
      </c>
      <c r="AS82">
        <f>IF(AND(AS$4=1,AS32=0),1,0)</f>
        <v/>
      </c>
      <c r="AT82">
        <f>IF(AND(AT$4=1,AT32=0),1,0)</f>
        <v/>
      </c>
      <c r="AU82">
        <f>IF(AND(AU$4=1,AU32=0),1,0)</f>
        <v/>
      </c>
      <c r="AV82">
        <f>IF(AND(AV$4=1,AV32=0),1,0)</f>
        <v/>
      </c>
      <c r="AW82">
        <f>IF(AND(AW$4=1,AW32=0),1,0)</f>
        <v/>
      </c>
      <c r="AX82">
        <f>IF(AND(AX$4=1,AX32=0),1,0)</f>
        <v/>
      </c>
      <c r="AY82">
        <f>IF(AND(AY$4=1,AY32=0),1,0)</f>
        <v/>
      </c>
      <c r="AZ82">
        <f>IF(AND(AZ$4=1,AZ32=0),1,0)</f>
        <v/>
      </c>
      <c r="BA82">
        <f>IF(AND(BA$4=1,BA32=0),1,0)</f>
        <v/>
      </c>
      <c r="BB82">
        <f>IF(AND(BB$4=1,BB32=0),1,0)</f>
        <v/>
      </c>
      <c r="BC82">
        <f>IF(AND(BC$4=1,BC32=0),1,0)</f>
        <v/>
      </c>
      <c r="BD82">
        <f>IF(AND(BD$4=1,BD32=0),1,0)</f>
        <v/>
      </c>
      <c r="BE82">
        <f>IF(AND(BE$4=1,BE32=0),1,0)</f>
        <v/>
      </c>
      <c r="BF82">
        <f>IF(AND(BF$4=1,BF32=0),1,0)</f>
        <v/>
      </c>
      <c r="BG82">
        <f>IF(AND(BG$4=1,BG32=0),1,0)</f>
        <v/>
      </c>
      <c r="BH82">
        <f>IF(AND(BH$4=1,BH32=0),1,0)</f>
        <v/>
      </c>
      <c r="BI82">
        <f>IF(AND(BI$4=1,BI32=0),1,0)</f>
        <v/>
      </c>
      <c r="BJ82">
        <f>IF(AND(BJ$4=1,BJ32=0),1,0)</f>
        <v/>
      </c>
      <c r="BK82">
        <f>IF(AND(BK$4=1,BK32=0),1,0)</f>
        <v/>
      </c>
      <c r="BL82">
        <f>IF(AND(BL$4=1,BL32=0),1,0)</f>
        <v/>
      </c>
      <c r="BM82">
        <f>IF(AND(BM$4=1,BM32=0),1,0)</f>
        <v/>
      </c>
      <c r="BN82">
        <f>IF(AND(BN$4=1,BN32=0),1,0)</f>
        <v/>
      </c>
      <c r="BO82">
        <f>IF(AND(BO$4=1,BO32=0),1,0)</f>
        <v/>
      </c>
      <c r="BP82">
        <f>IF(AND(BP$4=1,BP32=0),1,0)</f>
        <v/>
      </c>
      <c r="BQ82">
        <f>IF(AND(BQ$4=1,BQ32=0),1,0)</f>
        <v/>
      </c>
      <c r="BR82">
        <f>IF(AND(BR$4=1,BR32=0),1,0)</f>
        <v/>
      </c>
      <c r="BS82">
        <f>IF(AND(BS$4=1,BS32=0),1,0)</f>
        <v/>
      </c>
      <c r="BT82">
        <f>IF(AND(BT$4=1,BT32=0),1,0)</f>
        <v/>
      </c>
      <c r="BU82">
        <f>IF(AND(BU$4=1,BU32=0),1,0)</f>
        <v/>
      </c>
      <c r="BV82">
        <f>IF(AND(BV$4=1,BV32=0),1,0)</f>
        <v/>
      </c>
      <c r="BW82">
        <f>IF(AND(BW$4=1,BW32=0),1,0)</f>
        <v/>
      </c>
      <c r="BX82">
        <f>IF(AND(BX$4=1,BX32=0),1,0)</f>
        <v/>
      </c>
      <c r="BY82">
        <f>IF(AND(BY$4=1,BY32=0),1,0)</f>
        <v/>
      </c>
      <c r="BZ82">
        <f>IF(AND(BZ$4=1,BZ32=0),1,0)</f>
        <v/>
      </c>
      <c r="CA82">
        <f>IF(AND(CA$4=1,CA32=0),1,0)</f>
        <v/>
      </c>
      <c r="CB82">
        <f>IF(AND(CB$4=1,CB32=0),1,0)</f>
        <v/>
      </c>
      <c r="CC82">
        <f>IF(AND(CC$4=1,CC32=0),1,0)</f>
        <v/>
      </c>
      <c r="CD82">
        <f>IF(AND(CD$4=1,CD32=0),1,0)</f>
        <v/>
      </c>
      <c r="CE82">
        <f>IF(AND(CE$4=1,CE32=0),1,0)</f>
        <v/>
      </c>
      <c r="CF82">
        <f>IF(AND(CF$4=1,CF32=0),1,0)</f>
        <v/>
      </c>
      <c r="CG82">
        <f>IF(AND(CG$4=1,CG32=0),1,0)</f>
        <v/>
      </c>
      <c r="CH82">
        <f>IF(AND(CH$4=1,CH32=0),1,0)</f>
        <v/>
      </c>
      <c r="CI82">
        <f>IF(AND(CI$4=1,CI32=0),1,0)</f>
        <v/>
      </c>
      <c r="CJ82">
        <f>IF(AND(CJ$4=1,CJ32=0),1,0)</f>
        <v/>
      </c>
      <c r="CK82">
        <f>IF(AND(CK$4=1,CK32=0),1,0)</f>
        <v/>
      </c>
      <c r="CL82">
        <f>IF(AND(CL$4=1,CL32=0),1,0)</f>
        <v/>
      </c>
      <c r="CM82">
        <f>IF(AND(CM$4=1,CM32=0),1,0)</f>
        <v/>
      </c>
      <c r="CN82">
        <f>IF(AND(CN$4=1,CN32=0),1,0)</f>
        <v/>
      </c>
      <c r="CO82">
        <f>IF(AND(CO$4=1,CO32=0),1,0)</f>
        <v/>
      </c>
      <c r="CP82">
        <f>IF(AND(CP$4=1,CP32=0),1,0)</f>
        <v/>
      </c>
      <c r="CQ82">
        <f>IF(AND(CQ$4=1,CQ32=0),1,0)</f>
        <v/>
      </c>
      <c r="CR82">
        <f>IF(AND(CR$4=1,CR32=0),1,0)</f>
        <v/>
      </c>
      <c r="CS82">
        <f>IF(AND(CS$4=1,CS32=0),1,0)</f>
        <v/>
      </c>
      <c r="CT82">
        <f>IF(AND(CT$4=1,CT32=0),1,0)</f>
        <v/>
      </c>
      <c r="CU82">
        <f>IF(AND(CU$4=1,CU32=0),1,0)</f>
        <v/>
      </c>
      <c r="CV82">
        <f>IF(AND(CV$4=1,CV32=0),1,0)</f>
        <v/>
      </c>
      <c r="CW82">
        <f>IF(AND(CW$4=1,CW32=0),1,0)</f>
        <v/>
      </c>
      <c r="CX82">
        <f>IF(AND(CX$4=1,CX32=0),1,0)</f>
        <v/>
      </c>
      <c r="CY82">
        <f>IF(AND(CY$4=1,CY32=0),1,0)</f>
        <v/>
      </c>
      <c r="CZ82">
        <f>IF(AND(CZ$4=1,CZ32=0),1,0)</f>
        <v/>
      </c>
      <c r="DA82">
        <f>IF(AND(DA$4=1,DA32=0),1,0)</f>
        <v/>
      </c>
      <c r="DB82">
        <f>IF(AND(DB$4=1,DB32=0),1,0)</f>
        <v/>
      </c>
      <c r="DC82">
        <f>IF(AND(DC$4=1,DC32=0),1,0)</f>
        <v/>
      </c>
      <c r="DD82">
        <f>IF(AND(DD$4=1,DD32=0),1,0)</f>
        <v/>
      </c>
      <c r="DE82">
        <f>IF(AND(DE$4=1,DE32=0),1,0)</f>
        <v/>
      </c>
      <c r="DF82">
        <f>IF(AND(DF$4=1,DF32=0),1,0)</f>
        <v/>
      </c>
      <c r="DG82">
        <f>IF(AND(DG$4=1,DG32=0),1,0)</f>
        <v/>
      </c>
      <c r="DH82">
        <f>IF(AND(DH$4=1,DH32=0),1,0)</f>
        <v/>
      </c>
      <c r="DI82">
        <f>IF(AND(DI$4=1,DI32=0),1,0)</f>
        <v/>
      </c>
      <c r="DJ82">
        <f>IF(AND(DJ$4=1,DJ32=0),1,0)</f>
        <v/>
      </c>
      <c r="DK82">
        <f>IF(AND(DK$4=1,DK32=0),1,0)</f>
        <v/>
      </c>
      <c r="DL82">
        <f>IF(AND(DL$4=1,DL32=0),1,0)</f>
        <v/>
      </c>
      <c r="DM82">
        <f>IF(AND(DM$4=1,DM32=0),1,0)</f>
        <v/>
      </c>
      <c r="DN82">
        <f>IF(AND(DN$4=1,DN32=0),1,0)</f>
        <v/>
      </c>
      <c r="DO82">
        <f>IF(AND(DO$4=1,DO32=0),1,0)</f>
        <v/>
      </c>
      <c r="DP82">
        <f>IF(AND(DP$4=1,DP32=0),1,0)</f>
        <v/>
      </c>
      <c r="DQ82">
        <f>IF(AND(DQ$4=1,DQ32=0),1,0)</f>
        <v/>
      </c>
      <c r="DR82">
        <f>IF(AND(DR$4=1,DR32=0),1,0)</f>
        <v/>
      </c>
      <c r="DS82">
        <f>IF(AND(DS$4=1,DS32=0),1,0)</f>
        <v/>
      </c>
      <c r="DT82">
        <f>IF(AND(DT$4=1,DT32=0),1,0)</f>
        <v/>
      </c>
      <c r="DU82">
        <f>IF(AND(DU$4=1,DU32=0),1,0)</f>
        <v/>
      </c>
      <c r="DV82">
        <f>IF(AND(DV$4=1,DV32=0),1,0)</f>
        <v/>
      </c>
      <c r="DW82">
        <f>IF(AND(DW$4=1,DW32=0),1,0)</f>
        <v/>
      </c>
      <c r="DX82">
        <f>IF(AND(DX$4=1,DX32=0),1,0)</f>
        <v/>
      </c>
      <c r="DY82">
        <f>IF(AND(DY$4=1,DY32=0),1,0)</f>
        <v/>
      </c>
      <c r="DZ82">
        <f>IF(AND(DZ$4=1,DZ32=0),1,0)</f>
        <v/>
      </c>
      <c r="EA82">
        <f>IF(AND(EA$4=1,EA32=0),1,0)</f>
        <v/>
      </c>
      <c r="EB82">
        <f>IF(AND(EB$4=1,EB32=0),1,0)</f>
        <v/>
      </c>
      <c r="EC82">
        <f>IF(AND(EC$4=1,EC32=0),1,0)</f>
        <v/>
      </c>
      <c r="ED82">
        <f>IF(AND(ED$4=1,ED32=0),1,0)</f>
        <v/>
      </c>
      <c r="EE82">
        <f>IF(AND(EE$4=1,EE32=0),1,0)</f>
        <v/>
      </c>
      <c r="EF82">
        <f>IF(AND(EF$4=1,EF32=0),1,0)</f>
        <v/>
      </c>
      <c r="EG82">
        <f>IF(AND(EG$4=1,EG32=0),1,0)</f>
        <v/>
      </c>
      <c r="EH82">
        <f>IF(AND(EH$4=1,EH32=0),1,0)</f>
        <v/>
      </c>
      <c r="EI82">
        <f>IF(AND(EI$4=1,EI32=0),1,0)</f>
        <v/>
      </c>
      <c r="EJ82">
        <f>IF(AND(EJ$4=1,EJ32=0),1,0)</f>
        <v/>
      </c>
      <c r="EK82">
        <f>IF(AND(EK$4=1,EK32=0),1,0)</f>
        <v/>
      </c>
      <c r="EL82">
        <f>IF(AND(EL$4=1,EL32=0),1,0)</f>
        <v/>
      </c>
      <c r="EM82">
        <f>IF(AND(EM$4=1,EM32=0),1,0)</f>
        <v/>
      </c>
      <c r="EN82">
        <f>IF(AND(EN$4=1,EN32=0),1,0)</f>
        <v/>
      </c>
      <c r="EO82">
        <f>IF(AND(EO$4=1,EO32=0),1,0)</f>
        <v/>
      </c>
      <c r="EP82">
        <f>IF(AND(EP$4=1,EP32=0),1,0)</f>
        <v/>
      </c>
      <c r="EQ82">
        <f>IF(AND(EQ$4=1,EQ32=0),1,0)</f>
        <v/>
      </c>
    </row>
    <row r="83">
      <c r="A83" t="n">
        <v>24</v>
      </c>
      <c r="D83">
        <f>IF(AND(D$4=1,D33=0),1,0)</f>
        <v/>
      </c>
      <c r="E83">
        <f>IF(AND(E$4=1,E33=0),1,0)</f>
        <v/>
      </c>
      <c r="F83">
        <f>IF(AND(F$4=1,F33=0),1,0)</f>
        <v/>
      </c>
      <c r="G83">
        <f>IF(AND(G$4=1,G33=0),1,0)</f>
        <v/>
      </c>
      <c r="H83">
        <f>IF(AND(H$4=1,H33=0),1,0)</f>
        <v/>
      </c>
      <c r="I83">
        <f>IF(AND(I$4=1,I33=0),1,0)</f>
        <v/>
      </c>
      <c r="J83">
        <f>IF(AND(J$4=1,J33=0),1,0)</f>
        <v/>
      </c>
      <c r="K83">
        <f>IF(AND(K$4=1,K33=0),1,0)</f>
        <v/>
      </c>
      <c r="L83">
        <f>IF(AND(L$4=1,L33=0),1,0)</f>
        <v/>
      </c>
      <c r="M83">
        <f>IF(AND(M$4=1,M33=0),1,0)</f>
        <v/>
      </c>
      <c r="N83">
        <f>IF(AND(N$4=1,N33=0),1,0)</f>
        <v/>
      </c>
      <c r="O83">
        <f>IF(AND(O$4=1,O33=0),1,0)</f>
        <v/>
      </c>
      <c r="P83">
        <f>IF(AND(P$4=1,P33=0),1,0)</f>
        <v/>
      </c>
      <c r="Q83">
        <f>IF(AND(Q$4=1,Q33=0),1,0)</f>
        <v/>
      </c>
      <c r="R83">
        <f>IF(AND(R$4=1,R33=0),1,0)</f>
        <v/>
      </c>
      <c r="S83">
        <f>IF(AND(S$4=1,S33=0),1,0)</f>
        <v/>
      </c>
      <c r="T83">
        <f>IF(AND(T$4=1,T33=0),1,0)</f>
        <v/>
      </c>
      <c r="U83">
        <f>IF(AND(U$4=1,U33=0),1,0)</f>
        <v/>
      </c>
      <c r="V83">
        <f>IF(AND(V$4=1,V33=0),1,0)</f>
        <v/>
      </c>
      <c r="W83">
        <f>IF(AND(W$4=1,W33=0),1,0)</f>
        <v/>
      </c>
      <c r="X83">
        <f>IF(AND(X$4=1,X33=0),1,0)</f>
        <v/>
      </c>
      <c r="Y83">
        <f>IF(AND(Y$4=1,Y33=0),1,0)</f>
        <v/>
      </c>
      <c r="Z83">
        <f>IF(AND(Z$4=1,Z33=0),1,0)</f>
        <v/>
      </c>
      <c r="AA83">
        <f>IF(AND(AA$4=1,AA33=0),1,0)</f>
        <v/>
      </c>
      <c r="AB83">
        <f>IF(AND(AB$4=1,AB33=0),1,0)</f>
        <v/>
      </c>
      <c r="AC83">
        <f>IF(AND(AC$4=1,AC33=0),1,0)</f>
        <v/>
      </c>
      <c r="AD83">
        <f>IF(AND(AD$4=1,AD33=0),1,0)</f>
        <v/>
      </c>
      <c r="AE83">
        <f>IF(AND(AE$4=1,AE33=0),1,0)</f>
        <v/>
      </c>
      <c r="AF83">
        <f>IF(AND(AF$4=1,AF33=0),1,0)</f>
        <v/>
      </c>
      <c r="AG83">
        <f>IF(AND(AG$4=1,AG33=0),1,0)</f>
        <v/>
      </c>
      <c r="AH83">
        <f>IF(AND(AH$4=1,AH33=0),1,0)</f>
        <v/>
      </c>
      <c r="AI83">
        <f>IF(AND(AI$4=1,AI33=0),1,0)</f>
        <v/>
      </c>
      <c r="AJ83">
        <f>IF(AND(AJ$4=1,AJ33=0),1,0)</f>
        <v/>
      </c>
      <c r="AK83">
        <f>IF(AND(AK$4=1,AK33=0),1,0)</f>
        <v/>
      </c>
      <c r="AL83">
        <f>IF(AND(AL$4=1,AL33=0),1,0)</f>
        <v/>
      </c>
      <c r="AM83">
        <f>IF(AND(AM$4=1,AM33=0),1,0)</f>
        <v/>
      </c>
      <c r="AN83">
        <f>IF(AND(AN$4=1,AN33=0),1,0)</f>
        <v/>
      </c>
      <c r="AO83">
        <f>IF(AND(AO$4=1,AO33=0),1,0)</f>
        <v/>
      </c>
      <c r="AP83">
        <f>IF(AND(AP$4=1,AP33=0),1,0)</f>
        <v/>
      </c>
      <c r="AQ83">
        <f>IF(AND(AQ$4=1,AQ33=0),1,0)</f>
        <v/>
      </c>
      <c r="AR83">
        <f>IF(AND(AR$4=1,AR33=0),1,0)</f>
        <v/>
      </c>
      <c r="AS83">
        <f>IF(AND(AS$4=1,AS33=0),1,0)</f>
        <v/>
      </c>
      <c r="AT83">
        <f>IF(AND(AT$4=1,AT33=0),1,0)</f>
        <v/>
      </c>
      <c r="AU83">
        <f>IF(AND(AU$4=1,AU33=0),1,0)</f>
        <v/>
      </c>
      <c r="AV83">
        <f>IF(AND(AV$4=1,AV33=0),1,0)</f>
        <v/>
      </c>
      <c r="AW83">
        <f>IF(AND(AW$4=1,AW33=0),1,0)</f>
        <v/>
      </c>
      <c r="AX83">
        <f>IF(AND(AX$4=1,AX33=0),1,0)</f>
        <v/>
      </c>
      <c r="AY83">
        <f>IF(AND(AY$4=1,AY33=0),1,0)</f>
        <v/>
      </c>
      <c r="AZ83">
        <f>IF(AND(AZ$4=1,AZ33=0),1,0)</f>
        <v/>
      </c>
      <c r="BA83">
        <f>IF(AND(BA$4=1,BA33=0),1,0)</f>
        <v/>
      </c>
      <c r="BB83">
        <f>IF(AND(BB$4=1,BB33=0),1,0)</f>
        <v/>
      </c>
      <c r="BC83">
        <f>IF(AND(BC$4=1,BC33=0),1,0)</f>
        <v/>
      </c>
      <c r="BD83">
        <f>IF(AND(BD$4=1,BD33=0),1,0)</f>
        <v/>
      </c>
      <c r="BE83">
        <f>IF(AND(BE$4=1,BE33=0),1,0)</f>
        <v/>
      </c>
      <c r="BF83">
        <f>IF(AND(BF$4=1,BF33=0),1,0)</f>
        <v/>
      </c>
      <c r="BG83">
        <f>IF(AND(BG$4=1,BG33=0),1,0)</f>
        <v/>
      </c>
      <c r="BH83">
        <f>IF(AND(BH$4=1,BH33=0),1,0)</f>
        <v/>
      </c>
      <c r="BI83">
        <f>IF(AND(BI$4=1,BI33=0),1,0)</f>
        <v/>
      </c>
      <c r="BJ83">
        <f>IF(AND(BJ$4=1,BJ33=0),1,0)</f>
        <v/>
      </c>
      <c r="BK83">
        <f>IF(AND(BK$4=1,BK33=0),1,0)</f>
        <v/>
      </c>
      <c r="BL83">
        <f>IF(AND(BL$4=1,BL33=0),1,0)</f>
        <v/>
      </c>
      <c r="BM83">
        <f>IF(AND(BM$4=1,BM33=0),1,0)</f>
        <v/>
      </c>
      <c r="BN83">
        <f>IF(AND(BN$4=1,BN33=0),1,0)</f>
        <v/>
      </c>
      <c r="BO83">
        <f>IF(AND(BO$4=1,BO33=0),1,0)</f>
        <v/>
      </c>
      <c r="BP83">
        <f>IF(AND(BP$4=1,BP33=0),1,0)</f>
        <v/>
      </c>
      <c r="BQ83">
        <f>IF(AND(BQ$4=1,BQ33=0),1,0)</f>
        <v/>
      </c>
      <c r="BR83">
        <f>IF(AND(BR$4=1,BR33=0),1,0)</f>
        <v/>
      </c>
      <c r="BS83">
        <f>IF(AND(BS$4=1,BS33=0),1,0)</f>
        <v/>
      </c>
      <c r="BT83">
        <f>IF(AND(BT$4=1,BT33=0),1,0)</f>
        <v/>
      </c>
      <c r="BU83">
        <f>IF(AND(BU$4=1,BU33=0),1,0)</f>
        <v/>
      </c>
      <c r="BV83">
        <f>IF(AND(BV$4=1,BV33=0),1,0)</f>
        <v/>
      </c>
      <c r="BW83">
        <f>IF(AND(BW$4=1,BW33=0),1,0)</f>
        <v/>
      </c>
      <c r="BX83">
        <f>IF(AND(BX$4=1,BX33=0),1,0)</f>
        <v/>
      </c>
      <c r="BY83">
        <f>IF(AND(BY$4=1,BY33=0),1,0)</f>
        <v/>
      </c>
      <c r="BZ83">
        <f>IF(AND(BZ$4=1,BZ33=0),1,0)</f>
        <v/>
      </c>
      <c r="CA83">
        <f>IF(AND(CA$4=1,CA33=0),1,0)</f>
        <v/>
      </c>
      <c r="CB83">
        <f>IF(AND(CB$4=1,CB33=0),1,0)</f>
        <v/>
      </c>
      <c r="CC83">
        <f>IF(AND(CC$4=1,CC33=0),1,0)</f>
        <v/>
      </c>
      <c r="CD83">
        <f>IF(AND(CD$4=1,CD33=0),1,0)</f>
        <v/>
      </c>
      <c r="CE83">
        <f>IF(AND(CE$4=1,CE33=0),1,0)</f>
        <v/>
      </c>
      <c r="CF83">
        <f>IF(AND(CF$4=1,CF33=0),1,0)</f>
        <v/>
      </c>
      <c r="CG83">
        <f>IF(AND(CG$4=1,CG33=0),1,0)</f>
        <v/>
      </c>
      <c r="CH83">
        <f>IF(AND(CH$4=1,CH33=0),1,0)</f>
        <v/>
      </c>
      <c r="CI83">
        <f>IF(AND(CI$4=1,CI33=0),1,0)</f>
        <v/>
      </c>
      <c r="CJ83">
        <f>IF(AND(CJ$4=1,CJ33=0),1,0)</f>
        <v/>
      </c>
      <c r="CK83">
        <f>IF(AND(CK$4=1,CK33=0),1,0)</f>
        <v/>
      </c>
      <c r="CL83">
        <f>IF(AND(CL$4=1,CL33=0),1,0)</f>
        <v/>
      </c>
      <c r="CM83">
        <f>IF(AND(CM$4=1,CM33=0),1,0)</f>
        <v/>
      </c>
      <c r="CN83">
        <f>IF(AND(CN$4=1,CN33=0),1,0)</f>
        <v/>
      </c>
      <c r="CO83">
        <f>IF(AND(CO$4=1,CO33=0),1,0)</f>
        <v/>
      </c>
      <c r="CP83">
        <f>IF(AND(CP$4=1,CP33=0),1,0)</f>
        <v/>
      </c>
      <c r="CQ83">
        <f>IF(AND(CQ$4=1,CQ33=0),1,0)</f>
        <v/>
      </c>
      <c r="CR83">
        <f>IF(AND(CR$4=1,CR33=0),1,0)</f>
        <v/>
      </c>
      <c r="CS83">
        <f>IF(AND(CS$4=1,CS33=0),1,0)</f>
        <v/>
      </c>
      <c r="CT83">
        <f>IF(AND(CT$4=1,CT33=0),1,0)</f>
        <v/>
      </c>
      <c r="CU83">
        <f>IF(AND(CU$4=1,CU33=0),1,0)</f>
        <v/>
      </c>
      <c r="CV83">
        <f>IF(AND(CV$4=1,CV33=0),1,0)</f>
        <v/>
      </c>
      <c r="CW83">
        <f>IF(AND(CW$4=1,CW33=0),1,0)</f>
        <v/>
      </c>
      <c r="CX83">
        <f>IF(AND(CX$4=1,CX33=0),1,0)</f>
        <v/>
      </c>
      <c r="CY83">
        <f>IF(AND(CY$4=1,CY33=0),1,0)</f>
        <v/>
      </c>
      <c r="CZ83">
        <f>IF(AND(CZ$4=1,CZ33=0),1,0)</f>
        <v/>
      </c>
      <c r="DA83">
        <f>IF(AND(DA$4=1,DA33=0),1,0)</f>
        <v/>
      </c>
      <c r="DB83">
        <f>IF(AND(DB$4=1,DB33=0),1,0)</f>
        <v/>
      </c>
      <c r="DC83">
        <f>IF(AND(DC$4=1,DC33=0),1,0)</f>
        <v/>
      </c>
      <c r="DD83">
        <f>IF(AND(DD$4=1,DD33=0),1,0)</f>
        <v/>
      </c>
      <c r="DE83">
        <f>IF(AND(DE$4=1,DE33=0),1,0)</f>
        <v/>
      </c>
      <c r="DF83">
        <f>IF(AND(DF$4=1,DF33=0),1,0)</f>
        <v/>
      </c>
      <c r="DG83">
        <f>IF(AND(DG$4=1,DG33=0),1,0)</f>
        <v/>
      </c>
      <c r="DH83">
        <f>IF(AND(DH$4=1,DH33=0),1,0)</f>
        <v/>
      </c>
      <c r="DI83">
        <f>IF(AND(DI$4=1,DI33=0),1,0)</f>
        <v/>
      </c>
      <c r="DJ83">
        <f>IF(AND(DJ$4=1,DJ33=0),1,0)</f>
        <v/>
      </c>
      <c r="DK83">
        <f>IF(AND(DK$4=1,DK33=0),1,0)</f>
        <v/>
      </c>
      <c r="DL83">
        <f>IF(AND(DL$4=1,DL33=0),1,0)</f>
        <v/>
      </c>
      <c r="DM83">
        <f>IF(AND(DM$4=1,DM33=0),1,0)</f>
        <v/>
      </c>
      <c r="DN83">
        <f>IF(AND(DN$4=1,DN33=0),1,0)</f>
        <v/>
      </c>
      <c r="DO83">
        <f>IF(AND(DO$4=1,DO33=0),1,0)</f>
        <v/>
      </c>
      <c r="DP83">
        <f>IF(AND(DP$4=1,DP33=0),1,0)</f>
        <v/>
      </c>
      <c r="DQ83">
        <f>IF(AND(DQ$4=1,DQ33=0),1,0)</f>
        <v/>
      </c>
      <c r="DR83">
        <f>IF(AND(DR$4=1,DR33=0),1,0)</f>
        <v/>
      </c>
      <c r="DS83">
        <f>IF(AND(DS$4=1,DS33=0),1,0)</f>
        <v/>
      </c>
      <c r="DT83">
        <f>IF(AND(DT$4=1,DT33=0),1,0)</f>
        <v/>
      </c>
      <c r="DU83">
        <f>IF(AND(DU$4=1,DU33=0),1,0)</f>
        <v/>
      </c>
      <c r="DV83">
        <f>IF(AND(DV$4=1,DV33=0),1,0)</f>
        <v/>
      </c>
      <c r="DW83">
        <f>IF(AND(DW$4=1,DW33=0),1,0)</f>
        <v/>
      </c>
      <c r="DX83">
        <f>IF(AND(DX$4=1,DX33=0),1,0)</f>
        <v/>
      </c>
      <c r="DY83">
        <f>IF(AND(DY$4=1,DY33=0),1,0)</f>
        <v/>
      </c>
      <c r="DZ83">
        <f>IF(AND(DZ$4=1,DZ33=0),1,0)</f>
        <v/>
      </c>
      <c r="EA83">
        <f>IF(AND(EA$4=1,EA33=0),1,0)</f>
        <v/>
      </c>
      <c r="EB83">
        <f>IF(AND(EB$4=1,EB33=0),1,0)</f>
        <v/>
      </c>
      <c r="EC83">
        <f>IF(AND(EC$4=1,EC33=0),1,0)</f>
        <v/>
      </c>
      <c r="ED83">
        <f>IF(AND(ED$4=1,ED33=0),1,0)</f>
        <v/>
      </c>
      <c r="EE83">
        <f>IF(AND(EE$4=1,EE33=0),1,0)</f>
        <v/>
      </c>
      <c r="EF83">
        <f>IF(AND(EF$4=1,EF33=0),1,0)</f>
        <v/>
      </c>
      <c r="EG83">
        <f>IF(AND(EG$4=1,EG33=0),1,0)</f>
        <v/>
      </c>
      <c r="EH83">
        <f>IF(AND(EH$4=1,EH33=0),1,0)</f>
        <v/>
      </c>
      <c r="EI83">
        <f>IF(AND(EI$4=1,EI33=0),1,0)</f>
        <v/>
      </c>
      <c r="EJ83">
        <f>IF(AND(EJ$4=1,EJ33=0),1,0)</f>
        <v/>
      </c>
      <c r="EK83">
        <f>IF(AND(EK$4=1,EK33=0),1,0)</f>
        <v/>
      </c>
      <c r="EL83">
        <f>IF(AND(EL$4=1,EL33=0),1,0)</f>
        <v/>
      </c>
      <c r="EM83">
        <f>IF(AND(EM$4=1,EM33=0),1,0)</f>
        <v/>
      </c>
      <c r="EN83">
        <f>IF(AND(EN$4=1,EN33=0),1,0)</f>
        <v/>
      </c>
      <c r="EO83">
        <f>IF(AND(EO$4=1,EO33=0),1,0)</f>
        <v/>
      </c>
      <c r="EP83">
        <f>IF(AND(EP$4=1,EP33=0),1,0)</f>
        <v/>
      </c>
      <c r="EQ83">
        <f>IF(AND(EQ$4=1,EQ33=0),1,0)</f>
        <v/>
      </c>
    </row>
    <row r="84">
      <c r="A84" t="n">
        <v>25</v>
      </c>
      <c r="D84">
        <f>IF(AND(D$4=1,D34=0),1,0)</f>
        <v/>
      </c>
      <c r="E84">
        <f>IF(AND(E$4=1,E34=0),1,0)</f>
        <v/>
      </c>
      <c r="F84">
        <f>IF(AND(F$4=1,F34=0),1,0)</f>
        <v/>
      </c>
      <c r="G84">
        <f>IF(AND(G$4=1,G34=0),1,0)</f>
        <v/>
      </c>
      <c r="H84">
        <f>IF(AND(H$4=1,H34=0),1,0)</f>
        <v/>
      </c>
      <c r="I84">
        <f>IF(AND(I$4=1,I34=0),1,0)</f>
        <v/>
      </c>
      <c r="J84">
        <f>IF(AND(J$4=1,J34=0),1,0)</f>
        <v/>
      </c>
      <c r="K84">
        <f>IF(AND(K$4=1,K34=0),1,0)</f>
        <v/>
      </c>
      <c r="L84">
        <f>IF(AND(L$4=1,L34=0),1,0)</f>
        <v/>
      </c>
      <c r="M84">
        <f>IF(AND(M$4=1,M34=0),1,0)</f>
        <v/>
      </c>
      <c r="N84">
        <f>IF(AND(N$4=1,N34=0),1,0)</f>
        <v/>
      </c>
      <c r="O84">
        <f>IF(AND(O$4=1,O34=0),1,0)</f>
        <v/>
      </c>
      <c r="P84">
        <f>IF(AND(P$4=1,P34=0),1,0)</f>
        <v/>
      </c>
      <c r="Q84">
        <f>IF(AND(Q$4=1,Q34=0),1,0)</f>
        <v/>
      </c>
      <c r="R84">
        <f>IF(AND(R$4=1,R34=0),1,0)</f>
        <v/>
      </c>
      <c r="S84">
        <f>IF(AND(S$4=1,S34=0),1,0)</f>
        <v/>
      </c>
      <c r="T84">
        <f>IF(AND(T$4=1,T34=0),1,0)</f>
        <v/>
      </c>
      <c r="U84">
        <f>IF(AND(U$4=1,U34=0),1,0)</f>
        <v/>
      </c>
      <c r="V84">
        <f>IF(AND(V$4=1,V34=0),1,0)</f>
        <v/>
      </c>
      <c r="W84">
        <f>IF(AND(W$4=1,W34=0),1,0)</f>
        <v/>
      </c>
      <c r="X84">
        <f>IF(AND(X$4=1,X34=0),1,0)</f>
        <v/>
      </c>
      <c r="Y84">
        <f>IF(AND(Y$4=1,Y34=0),1,0)</f>
        <v/>
      </c>
      <c r="Z84">
        <f>IF(AND(Z$4=1,Z34=0),1,0)</f>
        <v/>
      </c>
      <c r="AA84">
        <f>IF(AND(AA$4=1,AA34=0),1,0)</f>
        <v/>
      </c>
      <c r="AB84">
        <f>IF(AND(AB$4=1,AB34=0),1,0)</f>
        <v/>
      </c>
      <c r="AC84">
        <f>IF(AND(AC$4=1,AC34=0),1,0)</f>
        <v/>
      </c>
      <c r="AD84">
        <f>IF(AND(AD$4=1,AD34=0),1,0)</f>
        <v/>
      </c>
      <c r="AE84">
        <f>IF(AND(AE$4=1,AE34=0),1,0)</f>
        <v/>
      </c>
      <c r="AF84">
        <f>IF(AND(AF$4=1,AF34=0),1,0)</f>
        <v/>
      </c>
      <c r="AG84">
        <f>IF(AND(AG$4=1,AG34=0),1,0)</f>
        <v/>
      </c>
      <c r="AH84">
        <f>IF(AND(AH$4=1,AH34=0),1,0)</f>
        <v/>
      </c>
      <c r="AI84">
        <f>IF(AND(AI$4=1,AI34=0),1,0)</f>
        <v/>
      </c>
      <c r="AJ84">
        <f>IF(AND(AJ$4=1,AJ34=0),1,0)</f>
        <v/>
      </c>
      <c r="AK84">
        <f>IF(AND(AK$4=1,AK34=0),1,0)</f>
        <v/>
      </c>
      <c r="AL84">
        <f>IF(AND(AL$4=1,AL34=0),1,0)</f>
        <v/>
      </c>
      <c r="AM84">
        <f>IF(AND(AM$4=1,AM34=0),1,0)</f>
        <v/>
      </c>
      <c r="AN84">
        <f>IF(AND(AN$4=1,AN34=0),1,0)</f>
        <v/>
      </c>
      <c r="AO84">
        <f>IF(AND(AO$4=1,AO34=0),1,0)</f>
        <v/>
      </c>
      <c r="AP84">
        <f>IF(AND(AP$4=1,AP34=0),1,0)</f>
        <v/>
      </c>
      <c r="AQ84">
        <f>IF(AND(AQ$4=1,AQ34=0),1,0)</f>
        <v/>
      </c>
      <c r="AR84">
        <f>IF(AND(AR$4=1,AR34=0),1,0)</f>
        <v/>
      </c>
      <c r="AS84">
        <f>IF(AND(AS$4=1,AS34=0),1,0)</f>
        <v/>
      </c>
      <c r="AT84">
        <f>IF(AND(AT$4=1,AT34=0),1,0)</f>
        <v/>
      </c>
      <c r="AU84">
        <f>IF(AND(AU$4=1,AU34=0),1,0)</f>
        <v/>
      </c>
      <c r="AV84">
        <f>IF(AND(AV$4=1,AV34=0),1,0)</f>
        <v/>
      </c>
      <c r="AW84">
        <f>IF(AND(AW$4=1,AW34=0),1,0)</f>
        <v/>
      </c>
      <c r="AX84">
        <f>IF(AND(AX$4=1,AX34=0),1,0)</f>
        <v/>
      </c>
      <c r="AY84">
        <f>IF(AND(AY$4=1,AY34=0),1,0)</f>
        <v/>
      </c>
      <c r="AZ84">
        <f>IF(AND(AZ$4=1,AZ34=0),1,0)</f>
        <v/>
      </c>
      <c r="BA84">
        <f>IF(AND(BA$4=1,BA34=0),1,0)</f>
        <v/>
      </c>
      <c r="BB84">
        <f>IF(AND(BB$4=1,BB34=0),1,0)</f>
        <v/>
      </c>
      <c r="BC84">
        <f>IF(AND(BC$4=1,BC34=0),1,0)</f>
        <v/>
      </c>
      <c r="BD84">
        <f>IF(AND(BD$4=1,BD34=0),1,0)</f>
        <v/>
      </c>
      <c r="BE84">
        <f>IF(AND(BE$4=1,BE34=0),1,0)</f>
        <v/>
      </c>
      <c r="BF84">
        <f>IF(AND(BF$4=1,BF34=0),1,0)</f>
        <v/>
      </c>
      <c r="BG84">
        <f>IF(AND(BG$4=1,BG34=0),1,0)</f>
        <v/>
      </c>
      <c r="BH84">
        <f>IF(AND(BH$4=1,BH34=0),1,0)</f>
        <v/>
      </c>
      <c r="BI84">
        <f>IF(AND(BI$4=1,BI34=0),1,0)</f>
        <v/>
      </c>
      <c r="BJ84">
        <f>IF(AND(BJ$4=1,BJ34=0),1,0)</f>
        <v/>
      </c>
      <c r="BK84">
        <f>IF(AND(BK$4=1,BK34=0),1,0)</f>
        <v/>
      </c>
      <c r="BL84">
        <f>IF(AND(BL$4=1,BL34=0),1,0)</f>
        <v/>
      </c>
      <c r="BM84">
        <f>IF(AND(BM$4=1,BM34=0),1,0)</f>
        <v/>
      </c>
      <c r="BN84">
        <f>IF(AND(BN$4=1,BN34=0),1,0)</f>
        <v/>
      </c>
      <c r="BO84">
        <f>IF(AND(BO$4=1,BO34=0),1,0)</f>
        <v/>
      </c>
      <c r="BP84">
        <f>IF(AND(BP$4=1,BP34=0),1,0)</f>
        <v/>
      </c>
      <c r="BQ84">
        <f>IF(AND(BQ$4=1,BQ34=0),1,0)</f>
        <v/>
      </c>
      <c r="BR84">
        <f>IF(AND(BR$4=1,BR34=0),1,0)</f>
        <v/>
      </c>
      <c r="BS84">
        <f>IF(AND(BS$4=1,BS34=0),1,0)</f>
        <v/>
      </c>
      <c r="BT84">
        <f>IF(AND(BT$4=1,BT34=0),1,0)</f>
        <v/>
      </c>
      <c r="BU84">
        <f>IF(AND(BU$4=1,BU34=0),1,0)</f>
        <v/>
      </c>
      <c r="BV84">
        <f>IF(AND(BV$4=1,BV34=0),1,0)</f>
        <v/>
      </c>
      <c r="BW84">
        <f>IF(AND(BW$4=1,BW34=0),1,0)</f>
        <v/>
      </c>
      <c r="BX84">
        <f>IF(AND(BX$4=1,BX34=0),1,0)</f>
        <v/>
      </c>
      <c r="BY84">
        <f>IF(AND(BY$4=1,BY34=0),1,0)</f>
        <v/>
      </c>
      <c r="BZ84">
        <f>IF(AND(BZ$4=1,BZ34=0),1,0)</f>
        <v/>
      </c>
      <c r="CA84">
        <f>IF(AND(CA$4=1,CA34=0),1,0)</f>
        <v/>
      </c>
      <c r="CB84">
        <f>IF(AND(CB$4=1,CB34=0),1,0)</f>
        <v/>
      </c>
      <c r="CC84">
        <f>IF(AND(CC$4=1,CC34=0),1,0)</f>
        <v/>
      </c>
      <c r="CD84">
        <f>IF(AND(CD$4=1,CD34=0),1,0)</f>
        <v/>
      </c>
      <c r="CE84">
        <f>IF(AND(CE$4=1,CE34=0),1,0)</f>
        <v/>
      </c>
      <c r="CF84">
        <f>IF(AND(CF$4=1,CF34=0),1,0)</f>
        <v/>
      </c>
      <c r="CG84">
        <f>IF(AND(CG$4=1,CG34=0),1,0)</f>
        <v/>
      </c>
      <c r="CH84">
        <f>IF(AND(CH$4=1,CH34=0),1,0)</f>
        <v/>
      </c>
      <c r="CI84">
        <f>IF(AND(CI$4=1,CI34=0),1,0)</f>
        <v/>
      </c>
      <c r="CJ84">
        <f>IF(AND(CJ$4=1,CJ34=0),1,0)</f>
        <v/>
      </c>
      <c r="CK84">
        <f>IF(AND(CK$4=1,CK34=0),1,0)</f>
        <v/>
      </c>
      <c r="CL84">
        <f>IF(AND(CL$4=1,CL34=0),1,0)</f>
        <v/>
      </c>
      <c r="CM84">
        <f>IF(AND(CM$4=1,CM34=0),1,0)</f>
        <v/>
      </c>
      <c r="CN84">
        <f>IF(AND(CN$4=1,CN34=0),1,0)</f>
        <v/>
      </c>
      <c r="CO84">
        <f>IF(AND(CO$4=1,CO34=0),1,0)</f>
        <v/>
      </c>
      <c r="CP84">
        <f>IF(AND(CP$4=1,CP34=0),1,0)</f>
        <v/>
      </c>
      <c r="CQ84">
        <f>IF(AND(CQ$4=1,CQ34=0),1,0)</f>
        <v/>
      </c>
      <c r="CR84">
        <f>IF(AND(CR$4=1,CR34=0),1,0)</f>
        <v/>
      </c>
      <c r="CS84">
        <f>IF(AND(CS$4=1,CS34=0),1,0)</f>
        <v/>
      </c>
      <c r="CT84">
        <f>IF(AND(CT$4=1,CT34=0),1,0)</f>
        <v/>
      </c>
      <c r="CU84">
        <f>IF(AND(CU$4=1,CU34=0),1,0)</f>
        <v/>
      </c>
      <c r="CV84">
        <f>IF(AND(CV$4=1,CV34=0),1,0)</f>
        <v/>
      </c>
      <c r="CW84">
        <f>IF(AND(CW$4=1,CW34=0),1,0)</f>
        <v/>
      </c>
      <c r="CX84">
        <f>IF(AND(CX$4=1,CX34=0),1,0)</f>
        <v/>
      </c>
      <c r="CY84">
        <f>IF(AND(CY$4=1,CY34=0),1,0)</f>
        <v/>
      </c>
      <c r="CZ84">
        <f>IF(AND(CZ$4=1,CZ34=0),1,0)</f>
        <v/>
      </c>
      <c r="DA84">
        <f>IF(AND(DA$4=1,DA34=0),1,0)</f>
        <v/>
      </c>
      <c r="DB84">
        <f>IF(AND(DB$4=1,DB34=0),1,0)</f>
        <v/>
      </c>
      <c r="DC84">
        <f>IF(AND(DC$4=1,DC34=0),1,0)</f>
        <v/>
      </c>
      <c r="DD84">
        <f>IF(AND(DD$4=1,DD34=0),1,0)</f>
        <v/>
      </c>
      <c r="DE84">
        <f>IF(AND(DE$4=1,DE34=0),1,0)</f>
        <v/>
      </c>
      <c r="DF84">
        <f>IF(AND(DF$4=1,DF34=0),1,0)</f>
        <v/>
      </c>
      <c r="DG84">
        <f>IF(AND(DG$4=1,DG34=0),1,0)</f>
        <v/>
      </c>
      <c r="DH84">
        <f>IF(AND(DH$4=1,DH34=0),1,0)</f>
        <v/>
      </c>
      <c r="DI84">
        <f>IF(AND(DI$4=1,DI34=0),1,0)</f>
        <v/>
      </c>
      <c r="DJ84">
        <f>IF(AND(DJ$4=1,DJ34=0),1,0)</f>
        <v/>
      </c>
      <c r="DK84">
        <f>IF(AND(DK$4=1,DK34=0),1,0)</f>
        <v/>
      </c>
      <c r="DL84">
        <f>IF(AND(DL$4=1,DL34=0),1,0)</f>
        <v/>
      </c>
      <c r="DM84">
        <f>IF(AND(DM$4=1,DM34=0),1,0)</f>
        <v/>
      </c>
      <c r="DN84">
        <f>IF(AND(DN$4=1,DN34=0),1,0)</f>
        <v/>
      </c>
      <c r="DO84">
        <f>IF(AND(DO$4=1,DO34=0),1,0)</f>
        <v/>
      </c>
      <c r="DP84">
        <f>IF(AND(DP$4=1,DP34=0),1,0)</f>
        <v/>
      </c>
      <c r="DQ84">
        <f>IF(AND(DQ$4=1,DQ34=0),1,0)</f>
        <v/>
      </c>
      <c r="DR84">
        <f>IF(AND(DR$4=1,DR34=0),1,0)</f>
        <v/>
      </c>
      <c r="DS84">
        <f>IF(AND(DS$4=1,DS34=0),1,0)</f>
        <v/>
      </c>
      <c r="DT84">
        <f>IF(AND(DT$4=1,DT34=0),1,0)</f>
        <v/>
      </c>
      <c r="DU84">
        <f>IF(AND(DU$4=1,DU34=0),1,0)</f>
        <v/>
      </c>
      <c r="DV84">
        <f>IF(AND(DV$4=1,DV34=0),1,0)</f>
        <v/>
      </c>
      <c r="DW84">
        <f>IF(AND(DW$4=1,DW34=0),1,0)</f>
        <v/>
      </c>
      <c r="DX84">
        <f>IF(AND(DX$4=1,DX34=0),1,0)</f>
        <v/>
      </c>
      <c r="DY84">
        <f>IF(AND(DY$4=1,DY34=0),1,0)</f>
        <v/>
      </c>
      <c r="DZ84">
        <f>IF(AND(DZ$4=1,DZ34=0),1,0)</f>
        <v/>
      </c>
      <c r="EA84">
        <f>IF(AND(EA$4=1,EA34=0),1,0)</f>
        <v/>
      </c>
      <c r="EB84">
        <f>IF(AND(EB$4=1,EB34=0),1,0)</f>
        <v/>
      </c>
      <c r="EC84">
        <f>IF(AND(EC$4=1,EC34=0),1,0)</f>
        <v/>
      </c>
      <c r="ED84">
        <f>IF(AND(ED$4=1,ED34=0),1,0)</f>
        <v/>
      </c>
      <c r="EE84">
        <f>IF(AND(EE$4=1,EE34=0),1,0)</f>
        <v/>
      </c>
      <c r="EF84">
        <f>IF(AND(EF$4=1,EF34=0),1,0)</f>
        <v/>
      </c>
      <c r="EG84">
        <f>IF(AND(EG$4=1,EG34=0),1,0)</f>
        <v/>
      </c>
      <c r="EH84">
        <f>IF(AND(EH$4=1,EH34=0),1,0)</f>
        <v/>
      </c>
      <c r="EI84">
        <f>IF(AND(EI$4=1,EI34=0),1,0)</f>
        <v/>
      </c>
      <c r="EJ84">
        <f>IF(AND(EJ$4=1,EJ34=0),1,0)</f>
        <v/>
      </c>
      <c r="EK84">
        <f>IF(AND(EK$4=1,EK34=0),1,0)</f>
        <v/>
      </c>
      <c r="EL84">
        <f>IF(AND(EL$4=1,EL34=0),1,0)</f>
        <v/>
      </c>
      <c r="EM84">
        <f>IF(AND(EM$4=1,EM34=0),1,0)</f>
        <v/>
      </c>
      <c r="EN84">
        <f>IF(AND(EN$4=1,EN34=0),1,0)</f>
        <v/>
      </c>
      <c r="EO84">
        <f>IF(AND(EO$4=1,EO34=0),1,0)</f>
        <v/>
      </c>
      <c r="EP84">
        <f>IF(AND(EP$4=1,EP34=0),1,0)</f>
        <v/>
      </c>
      <c r="EQ84">
        <f>IF(AND(EQ$4=1,EQ34=0),1,0)</f>
        <v/>
      </c>
    </row>
    <row r="85">
      <c r="A85" t="n">
        <v>26</v>
      </c>
      <c r="D85">
        <f>IF(AND(D$4=1,D35=0),1,0)</f>
        <v/>
      </c>
      <c r="E85">
        <f>IF(AND(E$4=1,E35=0),1,0)</f>
        <v/>
      </c>
      <c r="F85">
        <f>IF(AND(F$4=1,F35=0),1,0)</f>
        <v/>
      </c>
      <c r="G85">
        <f>IF(AND(G$4=1,G35=0),1,0)</f>
        <v/>
      </c>
      <c r="H85">
        <f>IF(AND(H$4=1,H35=0),1,0)</f>
        <v/>
      </c>
      <c r="I85">
        <f>IF(AND(I$4=1,I35=0),1,0)</f>
        <v/>
      </c>
      <c r="J85">
        <f>IF(AND(J$4=1,J35=0),1,0)</f>
        <v/>
      </c>
      <c r="K85">
        <f>IF(AND(K$4=1,K35=0),1,0)</f>
        <v/>
      </c>
      <c r="L85">
        <f>IF(AND(L$4=1,L35=0),1,0)</f>
        <v/>
      </c>
      <c r="M85">
        <f>IF(AND(M$4=1,M35=0),1,0)</f>
        <v/>
      </c>
      <c r="N85">
        <f>IF(AND(N$4=1,N35=0),1,0)</f>
        <v/>
      </c>
      <c r="O85">
        <f>IF(AND(O$4=1,O35=0),1,0)</f>
        <v/>
      </c>
      <c r="P85">
        <f>IF(AND(P$4=1,P35=0),1,0)</f>
        <v/>
      </c>
      <c r="Q85">
        <f>IF(AND(Q$4=1,Q35=0),1,0)</f>
        <v/>
      </c>
      <c r="R85">
        <f>IF(AND(R$4=1,R35=0),1,0)</f>
        <v/>
      </c>
      <c r="S85">
        <f>IF(AND(S$4=1,S35=0),1,0)</f>
        <v/>
      </c>
      <c r="T85">
        <f>IF(AND(T$4=1,T35=0),1,0)</f>
        <v/>
      </c>
      <c r="U85">
        <f>IF(AND(U$4=1,U35=0),1,0)</f>
        <v/>
      </c>
      <c r="V85">
        <f>IF(AND(V$4=1,V35=0),1,0)</f>
        <v/>
      </c>
      <c r="W85">
        <f>IF(AND(W$4=1,W35=0),1,0)</f>
        <v/>
      </c>
      <c r="X85">
        <f>IF(AND(X$4=1,X35=0),1,0)</f>
        <v/>
      </c>
      <c r="Y85">
        <f>IF(AND(Y$4=1,Y35=0),1,0)</f>
        <v/>
      </c>
      <c r="Z85">
        <f>IF(AND(Z$4=1,Z35=0),1,0)</f>
        <v/>
      </c>
      <c r="AA85">
        <f>IF(AND(AA$4=1,AA35=0),1,0)</f>
        <v/>
      </c>
      <c r="AB85">
        <f>IF(AND(AB$4=1,AB35=0),1,0)</f>
        <v/>
      </c>
      <c r="AC85">
        <f>IF(AND(AC$4=1,AC35=0),1,0)</f>
        <v/>
      </c>
      <c r="AD85">
        <f>IF(AND(AD$4=1,AD35=0),1,0)</f>
        <v/>
      </c>
      <c r="AE85">
        <f>IF(AND(AE$4=1,AE35=0),1,0)</f>
        <v/>
      </c>
      <c r="AF85">
        <f>IF(AND(AF$4=1,AF35=0),1,0)</f>
        <v/>
      </c>
      <c r="AG85">
        <f>IF(AND(AG$4=1,AG35=0),1,0)</f>
        <v/>
      </c>
      <c r="AH85">
        <f>IF(AND(AH$4=1,AH35=0),1,0)</f>
        <v/>
      </c>
      <c r="AI85">
        <f>IF(AND(AI$4=1,AI35=0),1,0)</f>
        <v/>
      </c>
      <c r="AJ85">
        <f>IF(AND(AJ$4=1,AJ35=0),1,0)</f>
        <v/>
      </c>
      <c r="AK85">
        <f>IF(AND(AK$4=1,AK35=0),1,0)</f>
        <v/>
      </c>
      <c r="AL85">
        <f>IF(AND(AL$4=1,AL35=0),1,0)</f>
        <v/>
      </c>
      <c r="AM85">
        <f>IF(AND(AM$4=1,AM35=0),1,0)</f>
        <v/>
      </c>
      <c r="AN85">
        <f>IF(AND(AN$4=1,AN35=0),1,0)</f>
        <v/>
      </c>
      <c r="AO85">
        <f>IF(AND(AO$4=1,AO35=0),1,0)</f>
        <v/>
      </c>
      <c r="AP85">
        <f>IF(AND(AP$4=1,AP35=0),1,0)</f>
        <v/>
      </c>
      <c r="AQ85">
        <f>IF(AND(AQ$4=1,AQ35=0),1,0)</f>
        <v/>
      </c>
      <c r="AR85">
        <f>IF(AND(AR$4=1,AR35=0),1,0)</f>
        <v/>
      </c>
      <c r="AS85">
        <f>IF(AND(AS$4=1,AS35=0),1,0)</f>
        <v/>
      </c>
      <c r="AT85">
        <f>IF(AND(AT$4=1,AT35=0),1,0)</f>
        <v/>
      </c>
      <c r="AU85">
        <f>IF(AND(AU$4=1,AU35=0),1,0)</f>
        <v/>
      </c>
      <c r="AV85">
        <f>IF(AND(AV$4=1,AV35=0),1,0)</f>
        <v/>
      </c>
      <c r="AW85">
        <f>IF(AND(AW$4=1,AW35=0),1,0)</f>
        <v/>
      </c>
      <c r="AX85">
        <f>IF(AND(AX$4=1,AX35=0),1,0)</f>
        <v/>
      </c>
      <c r="AY85">
        <f>IF(AND(AY$4=1,AY35=0),1,0)</f>
        <v/>
      </c>
      <c r="AZ85">
        <f>IF(AND(AZ$4=1,AZ35=0),1,0)</f>
        <v/>
      </c>
      <c r="BA85">
        <f>IF(AND(BA$4=1,BA35=0),1,0)</f>
        <v/>
      </c>
      <c r="BB85">
        <f>IF(AND(BB$4=1,BB35=0),1,0)</f>
        <v/>
      </c>
      <c r="BC85">
        <f>IF(AND(BC$4=1,BC35=0),1,0)</f>
        <v/>
      </c>
      <c r="BD85">
        <f>IF(AND(BD$4=1,BD35=0),1,0)</f>
        <v/>
      </c>
      <c r="BE85">
        <f>IF(AND(BE$4=1,BE35=0),1,0)</f>
        <v/>
      </c>
      <c r="BF85">
        <f>IF(AND(BF$4=1,BF35=0),1,0)</f>
        <v/>
      </c>
      <c r="BG85">
        <f>IF(AND(BG$4=1,BG35=0),1,0)</f>
        <v/>
      </c>
      <c r="BH85">
        <f>IF(AND(BH$4=1,BH35=0),1,0)</f>
        <v/>
      </c>
      <c r="BI85">
        <f>IF(AND(BI$4=1,BI35=0),1,0)</f>
        <v/>
      </c>
      <c r="BJ85">
        <f>IF(AND(BJ$4=1,BJ35=0),1,0)</f>
        <v/>
      </c>
      <c r="BK85">
        <f>IF(AND(BK$4=1,BK35=0),1,0)</f>
        <v/>
      </c>
      <c r="BL85">
        <f>IF(AND(BL$4=1,BL35=0),1,0)</f>
        <v/>
      </c>
      <c r="BM85">
        <f>IF(AND(BM$4=1,BM35=0),1,0)</f>
        <v/>
      </c>
      <c r="BN85">
        <f>IF(AND(BN$4=1,BN35=0),1,0)</f>
        <v/>
      </c>
      <c r="BO85">
        <f>IF(AND(BO$4=1,BO35=0),1,0)</f>
        <v/>
      </c>
      <c r="BP85">
        <f>IF(AND(BP$4=1,BP35=0),1,0)</f>
        <v/>
      </c>
      <c r="BQ85">
        <f>IF(AND(BQ$4=1,BQ35=0),1,0)</f>
        <v/>
      </c>
      <c r="BR85">
        <f>IF(AND(BR$4=1,BR35=0),1,0)</f>
        <v/>
      </c>
      <c r="BS85">
        <f>IF(AND(BS$4=1,BS35=0),1,0)</f>
        <v/>
      </c>
      <c r="BT85">
        <f>IF(AND(BT$4=1,BT35=0),1,0)</f>
        <v/>
      </c>
      <c r="BU85">
        <f>IF(AND(BU$4=1,BU35=0),1,0)</f>
        <v/>
      </c>
      <c r="BV85">
        <f>IF(AND(BV$4=1,BV35=0),1,0)</f>
        <v/>
      </c>
      <c r="BW85">
        <f>IF(AND(BW$4=1,BW35=0),1,0)</f>
        <v/>
      </c>
      <c r="BX85">
        <f>IF(AND(BX$4=1,BX35=0),1,0)</f>
        <v/>
      </c>
      <c r="BY85">
        <f>IF(AND(BY$4=1,BY35=0),1,0)</f>
        <v/>
      </c>
      <c r="BZ85">
        <f>IF(AND(BZ$4=1,BZ35=0),1,0)</f>
        <v/>
      </c>
      <c r="CA85">
        <f>IF(AND(CA$4=1,CA35=0),1,0)</f>
        <v/>
      </c>
      <c r="CB85">
        <f>IF(AND(CB$4=1,CB35=0),1,0)</f>
        <v/>
      </c>
      <c r="CC85">
        <f>IF(AND(CC$4=1,CC35=0),1,0)</f>
        <v/>
      </c>
      <c r="CD85">
        <f>IF(AND(CD$4=1,CD35=0),1,0)</f>
        <v/>
      </c>
      <c r="CE85">
        <f>IF(AND(CE$4=1,CE35=0),1,0)</f>
        <v/>
      </c>
      <c r="CF85">
        <f>IF(AND(CF$4=1,CF35=0),1,0)</f>
        <v/>
      </c>
      <c r="CG85">
        <f>IF(AND(CG$4=1,CG35=0),1,0)</f>
        <v/>
      </c>
      <c r="CH85">
        <f>IF(AND(CH$4=1,CH35=0),1,0)</f>
        <v/>
      </c>
      <c r="CI85">
        <f>IF(AND(CI$4=1,CI35=0),1,0)</f>
        <v/>
      </c>
      <c r="CJ85">
        <f>IF(AND(CJ$4=1,CJ35=0),1,0)</f>
        <v/>
      </c>
      <c r="CK85">
        <f>IF(AND(CK$4=1,CK35=0),1,0)</f>
        <v/>
      </c>
      <c r="CL85">
        <f>IF(AND(CL$4=1,CL35=0),1,0)</f>
        <v/>
      </c>
      <c r="CM85">
        <f>IF(AND(CM$4=1,CM35=0),1,0)</f>
        <v/>
      </c>
      <c r="CN85">
        <f>IF(AND(CN$4=1,CN35=0),1,0)</f>
        <v/>
      </c>
      <c r="CO85">
        <f>IF(AND(CO$4=1,CO35=0),1,0)</f>
        <v/>
      </c>
      <c r="CP85">
        <f>IF(AND(CP$4=1,CP35=0),1,0)</f>
        <v/>
      </c>
      <c r="CQ85">
        <f>IF(AND(CQ$4=1,CQ35=0),1,0)</f>
        <v/>
      </c>
      <c r="CR85">
        <f>IF(AND(CR$4=1,CR35=0),1,0)</f>
        <v/>
      </c>
      <c r="CS85">
        <f>IF(AND(CS$4=1,CS35=0),1,0)</f>
        <v/>
      </c>
      <c r="CT85">
        <f>IF(AND(CT$4=1,CT35=0),1,0)</f>
        <v/>
      </c>
      <c r="CU85">
        <f>IF(AND(CU$4=1,CU35=0),1,0)</f>
        <v/>
      </c>
      <c r="CV85">
        <f>IF(AND(CV$4=1,CV35=0),1,0)</f>
        <v/>
      </c>
      <c r="CW85">
        <f>IF(AND(CW$4=1,CW35=0),1,0)</f>
        <v/>
      </c>
      <c r="CX85">
        <f>IF(AND(CX$4=1,CX35=0),1,0)</f>
        <v/>
      </c>
      <c r="CY85">
        <f>IF(AND(CY$4=1,CY35=0),1,0)</f>
        <v/>
      </c>
      <c r="CZ85">
        <f>IF(AND(CZ$4=1,CZ35=0),1,0)</f>
        <v/>
      </c>
      <c r="DA85">
        <f>IF(AND(DA$4=1,DA35=0),1,0)</f>
        <v/>
      </c>
      <c r="DB85">
        <f>IF(AND(DB$4=1,DB35=0),1,0)</f>
        <v/>
      </c>
      <c r="DC85">
        <f>IF(AND(DC$4=1,DC35=0),1,0)</f>
        <v/>
      </c>
      <c r="DD85">
        <f>IF(AND(DD$4=1,DD35=0),1,0)</f>
        <v/>
      </c>
      <c r="DE85">
        <f>IF(AND(DE$4=1,DE35=0),1,0)</f>
        <v/>
      </c>
      <c r="DF85">
        <f>IF(AND(DF$4=1,DF35=0),1,0)</f>
        <v/>
      </c>
      <c r="DG85">
        <f>IF(AND(DG$4=1,DG35=0),1,0)</f>
        <v/>
      </c>
      <c r="DH85">
        <f>IF(AND(DH$4=1,DH35=0),1,0)</f>
        <v/>
      </c>
      <c r="DI85">
        <f>IF(AND(DI$4=1,DI35=0),1,0)</f>
        <v/>
      </c>
      <c r="DJ85">
        <f>IF(AND(DJ$4=1,DJ35=0),1,0)</f>
        <v/>
      </c>
      <c r="DK85">
        <f>IF(AND(DK$4=1,DK35=0),1,0)</f>
        <v/>
      </c>
      <c r="DL85">
        <f>IF(AND(DL$4=1,DL35=0),1,0)</f>
        <v/>
      </c>
      <c r="DM85">
        <f>IF(AND(DM$4=1,DM35=0),1,0)</f>
        <v/>
      </c>
      <c r="DN85">
        <f>IF(AND(DN$4=1,DN35=0),1,0)</f>
        <v/>
      </c>
      <c r="DO85">
        <f>IF(AND(DO$4=1,DO35=0),1,0)</f>
        <v/>
      </c>
      <c r="DP85">
        <f>IF(AND(DP$4=1,DP35=0),1,0)</f>
        <v/>
      </c>
      <c r="DQ85">
        <f>IF(AND(DQ$4=1,DQ35=0),1,0)</f>
        <v/>
      </c>
      <c r="DR85">
        <f>IF(AND(DR$4=1,DR35=0),1,0)</f>
        <v/>
      </c>
      <c r="DS85">
        <f>IF(AND(DS$4=1,DS35=0),1,0)</f>
        <v/>
      </c>
      <c r="DT85">
        <f>IF(AND(DT$4=1,DT35=0),1,0)</f>
        <v/>
      </c>
      <c r="DU85">
        <f>IF(AND(DU$4=1,DU35=0),1,0)</f>
        <v/>
      </c>
      <c r="DV85">
        <f>IF(AND(DV$4=1,DV35=0),1,0)</f>
        <v/>
      </c>
      <c r="DW85">
        <f>IF(AND(DW$4=1,DW35=0),1,0)</f>
        <v/>
      </c>
      <c r="DX85">
        <f>IF(AND(DX$4=1,DX35=0),1,0)</f>
        <v/>
      </c>
      <c r="DY85">
        <f>IF(AND(DY$4=1,DY35=0),1,0)</f>
        <v/>
      </c>
      <c r="DZ85">
        <f>IF(AND(DZ$4=1,DZ35=0),1,0)</f>
        <v/>
      </c>
      <c r="EA85">
        <f>IF(AND(EA$4=1,EA35=0),1,0)</f>
        <v/>
      </c>
      <c r="EB85">
        <f>IF(AND(EB$4=1,EB35=0),1,0)</f>
        <v/>
      </c>
      <c r="EC85">
        <f>IF(AND(EC$4=1,EC35=0),1,0)</f>
        <v/>
      </c>
      <c r="ED85">
        <f>IF(AND(ED$4=1,ED35=0),1,0)</f>
        <v/>
      </c>
      <c r="EE85">
        <f>IF(AND(EE$4=1,EE35=0),1,0)</f>
        <v/>
      </c>
      <c r="EF85">
        <f>IF(AND(EF$4=1,EF35=0),1,0)</f>
        <v/>
      </c>
      <c r="EG85">
        <f>IF(AND(EG$4=1,EG35=0),1,0)</f>
        <v/>
      </c>
      <c r="EH85">
        <f>IF(AND(EH$4=1,EH35=0),1,0)</f>
        <v/>
      </c>
      <c r="EI85">
        <f>IF(AND(EI$4=1,EI35=0),1,0)</f>
        <v/>
      </c>
      <c r="EJ85">
        <f>IF(AND(EJ$4=1,EJ35=0),1,0)</f>
        <v/>
      </c>
      <c r="EK85">
        <f>IF(AND(EK$4=1,EK35=0),1,0)</f>
        <v/>
      </c>
      <c r="EL85">
        <f>IF(AND(EL$4=1,EL35=0),1,0)</f>
        <v/>
      </c>
      <c r="EM85">
        <f>IF(AND(EM$4=1,EM35=0),1,0)</f>
        <v/>
      </c>
      <c r="EN85">
        <f>IF(AND(EN$4=1,EN35=0),1,0)</f>
        <v/>
      </c>
      <c r="EO85">
        <f>IF(AND(EO$4=1,EO35=0),1,0)</f>
        <v/>
      </c>
      <c r="EP85">
        <f>IF(AND(EP$4=1,EP35=0),1,0)</f>
        <v/>
      </c>
      <c r="EQ85">
        <f>IF(AND(EQ$4=1,EQ35=0),1,0)</f>
        <v/>
      </c>
    </row>
    <row r="86">
      <c r="A86" t="n">
        <v>27</v>
      </c>
      <c r="D86">
        <f>IF(AND(D$4=1,D36=0),1,0)</f>
        <v/>
      </c>
      <c r="E86">
        <f>IF(AND(E$4=1,E36=0),1,0)</f>
        <v/>
      </c>
      <c r="F86">
        <f>IF(AND(F$4=1,F36=0),1,0)</f>
        <v/>
      </c>
      <c r="G86">
        <f>IF(AND(G$4=1,G36=0),1,0)</f>
        <v/>
      </c>
      <c r="H86">
        <f>IF(AND(H$4=1,H36=0),1,0)</f>
        <v/>
      </c>
      <c r="I86">
        <f>IF(AND(I$4=1,I36=0),1,0)</f>
        <v/>
      </c>
      <c r="J86">
        <f>IF(AND(J$4=1,J36=0),1,0)</f>
        <v/>
      </c>
      <c r="K86">
        <f>IF(AND(K$4=1,K36=0),1,0)</f>
        <v/>
      </c>
      <c r="L86">
        <f>IF(AND(L$4=1,L36=0),1,0)</f>
        <v/>
      </c>
      <c r="M86">
        <f>IF(AND(M$4=1,M36=0),1,0)</f>
        <v/>
      </c>
      <c r="N86">
        <f>IF(AND(N$4=1,N36=0),1,0)</f>
        <v/>
      </c>
      <c r="O86">
        <f>IF(AND(O$4=1,O36=0),1,0)</f>
        <v/>
      </c>
      <c r="P86">
        <f>IF(AND(P$4=1,P36=0),1,0)</f>
        <v/>
      </c>
      <c r="Q86">
        <f>IF(AND(Q$4=1,Q36=0),1,0)</f>
        <v/>
      </c>
      <c r="R86">
        <f>IF(AND(R$4=1,R36=0),1,0)</f>
        <v/>
      </c>
      <c r="S86">
        <f>IF(AND(S$4=1,S36=0),1,0)</f>
        <v/>
      </c>
      <c r="T86">
        <f>IF(AND(T$4=1,T36=0),1,0)</f>
        <v/>
      </c>
      <c r="U86">
        <f>IF(AND(U$4=1,U36=0),1,0)</f>
        <v/>
      </c>
      <c r="V86">
        <f>IF(AND(V$4=1,V36=0),1,0)</f>
        <v/>
      </c>
      <c r="W86">
        <f>IF(AND(W$4=1,W36=0),1,0)</f>
        <v/>
      </c>
      <c r="X86">
        <f>IF(AND(X$4=1,X36=0),1,0)</f>
        <v/>
      </c>
      <c r="Y86">
        <f>IF(AND(Y$4=1,Y36=0),1,0)</f>
        <v/>
      </c>
      <c r="Z86">
        <f>IF(AND(Z$4=1,Z36=0),1,0)</f>
        <v/>
      </c>
      <c r="AA86">
        <f>IF(AND(AA$4=1,AA36=0),1,0)</f>
        <v/>
      </c>
      <c r="AB86">
        <f>IF(AND(AB$4=1,AB36=0),1,0)</f>
        <v/>
      </c>
      <c r="AC86">
        <f>IF(AND(AC$4=1,AC36=0),1,0)</f>
        <v/>
      </c>
      <c r="AD86">
        <f>IF(AND(AD$4=1,AD36=0),1,0)</f>
        <v/>
      </c>
      <c r="AE86">
        <f>IF(AND(AE$4=1,AE36=0),1,0)</f>
        <v/>
      </c>
      <c r="AF86">
        <f>IF(AND(AF$4=1,AF36=0),1,0)</f>
        <v/>
      </c>
      <c r="AG86">
        <f>IF(AND(AG$4=1,AG36=0),1,0)</f>
        <v/>
      </c>
      <c r="AH86">
        <f>IF(AND(AH$4=1,AH36=0),1,0)</f>
        <v/>
      </c>
      <c r="AI86">
        <f>IF(AND(AI$4=1,AI36=0),1,0)</f>
        <v/>
      </c>
      <c r="AJ86">
        <f>IF(AND(AJ$4=1,AJ36=0),1,0)</f>
        <v/>
      </c>
      <c r="AK86">
        <f>IF(AND(AK$4=1,AK36=0),1,0)</f>
        <v/>
      </c>
      <c r="AL86">
        <f>IF(AND(AL$4=1,AL36=0),1,0)</f>
        <v/>
      </c>
      <c r="AM86">
        <f>IF(AND(AM$4=1,AM36=0),1,0)</f>
        <v/>
      </c>
      <c r="AN86">
        <f>IF(AND(AN$4=1,AN36=0),1,0)</f>
        <v/>
      </c>
      <c r="AO86">
        <f>IF(AND(AO$4=1,AO36=0),1,0)</f>
        <v/>
      </c>
      <c r="AP86">
        <f>IF(AND(AP$4=1,AP36=0),1,0)</f>
        <v/>
      </c>
      <c r="AQ86">
        <f>IF(AND(AQ$4=1,AQ36=0),1,0)</f>
        <v/>
      </c>
      <c r="AR86">
        <f>IF(AND(AR$4=1,AR36=0),1,0)</f>
        <v/>
      </c>
      <c r="AS86">
        <f>IF(AND(AS$4=1,AS36=0),1,0)</f>
        <v/>
      </c>
      <c r="AT86">
        <f>IF(AND(AT$4=1,AT36=0),1,0)</f>
        <v/>
      </c>
      <c r="AU86">
        <f>IF(AND(AU$4=1,AU36=0),1,0)</f>
        <v/>
      </c>
      <c r="AV86">
        <f>IF(AND(AV$4=1,AV36=0),1,0)</f>
        <v/>
      </c>
      <c r="AW86">
        <f>IF(AND(AW$4=1,AW36=0),1,0)</f>
        <v/>
      </c>
      <c r="AX86">
        <f>IF(AND(AX$4=1,AX36=0),1,0)</f>
        <v/>
      </c>
      <c r="AY86">
        <f>IF(AND(AY$4=1,AY36=0),1,0)</f>
        <v/>
      </c>
      <c r="AZ86">
        <f>IF(AND(AZ$4=1,AZ36=0),1,0)</f>
        <v/>
      </c>
      <c r="BA86">
        <f>IF(AND(BA$4=1,BA36=0),1,0)</f>
        <v/>
      </c>
      <c r="BB86">
        <f>IF(AND(BB$4=1,BB36=0),1,0)</f>
        <v/>
      </c>
      <c r="BC86">
        <f>IF(AND(BC$4=1,BC36=0),1,0)</f>
        <v/>
      </c>
      <c r="BD86">
        <f>IF(AND(BD$4=1,BD36=0),1,0)</f>
        <v/>
      </c>
      <c r="BE86">
        <f>IF(AND(BE$4=1,BE36=0),1,0)</f>
        <v/>
      </c>
      <c r="BF86">
        <f>IF(AND(BF$4=1,BF36=0),1,0)</f>
        <v/>
      </c>
      <c r="BG86">
        <f>IF(AND(BG$4=1,BG36=0),1,0)</f>
        <v/>
      </c>
      <c r="BH86">
        <f>IF(AND(BH$4=1,BH36=0),1,0)</f>
        <v/>
      </c>
      <c r="BI86">
        <f>IF(AND(BI$4=1,BI36=0),1,0)</f>
        <v/>
      </c>
      <c r="BJ86">
        <f>IF(AND(BJ$4=1,BJ36=0),1,0)</f>
        <v/>
      </c>
      <c r="BK86">
        <f>IF(AND(BK$4=1,BK36=0),1,0)</f>
        <v/>
      </c>
      <c r="BL86">
        <f>IF(AND(BL$4=1,BL36=0),1,0)</f>
        <v/>
      </c>
      <c r="BM86">
        <f>IF(AND(BM$4=1,BM36=0),1,0)</f>
        <v/>
      </c>
      <c r="BN86">
        <f>IF(AND(BN$4=1,BN36=0),1,0)</f>
        <v/>
      </c>
      <c r="BO86">
        <f>IF(AND(BO$4=1,BO36=0),1,0)</f>
        <v/>
      </c>
      <c r="BP86">
        <f>IF(AND(BP$4=1,BP36=0),1,0)</f>
        <v/>
      </c>
      <c r="BQ86">
        <f>IF(AND(BQ$4=1,BQ36=0),1,0)</f>
        <v/>
      </c>
      <c r="BR86">
        <f>IF(AND(BR$4=1,BR36=0),1,0)</f>
        <v/>
      </c>
      <c r="BS86">
        <f>IF(AND(BS$4=1,BS36=0),1,0)</f>
        <v/>
      </c>
      <c r="BT86">
        <f>IF(AND(BT$4=1,BT36=0),1,0)</f>
        <v/>
      </c>
      <c r="BU86">
        <f>IF(AND(BU$4=1,BU36=0),1,0)</f>
        <v/>
      </c>
      <c r="BV86">
        <f>IF(AND(BV$4=1,BV36=0),1,0)</f>
        <v/>
      </c>
      <c r="BW86">
        <f>IF(AND(BW$4=1,BW36=0),1,0)</f>
        <v/>
      </c>
      <c r="BX86">
        <f>IF(AND(BX$4=1,BX36=0),1,0)</f>
        <v/>
      </c>
      <c r="BY86">
        <f>IF(AND(BY$4=1,BY36=0),1,0)</f>
        <v/>
      </c>
      <c r="BZ86">
        <f>IF(AND(BZ$4=1,BZ36=0),1,0)</f>
        <v/>
      </c>
      <c r="CA86">
        <f>IF(AND(CA$4=1,CA36=0),1,0)</f>
        <v/>
      </c>
      <c r="CB86">
        <f>IF(AND(CB$4=1,CB36=0),1,0)</f>
        <v/>
      </c>
      <c r="CC86">
        <f>IF(AND(CC$4=1,CC36=0),1,0)</f>
        <v/>
      </c>
      <c r="CD86">
        <f>IF(AND(CD$4=1,CD36=0),1,0)</f>
        <v/>
      </c>
      <c r="CE86">
        <f>IF(AND(CE$4=1,CE36=0),1,0)</f>
        <v/>
      </c>
      <c r="CF86">
        <f>IF(AND(CF$4=1,CF36=0),1,0)</f>
        <v/>
      </c>
      <c r="CG86">
        <f>IF(AND(CG$4=1,CG36=0),1,0)</f>
        <v/>
      </c>
      <c r="CH86">
        <f>IF(AND(CH$4=1,CH36=0),1,0)</f>
        <v/>
      </c>
      <c r="CI86">
        <f>IF(AND(CI$4=1,CI36=0),1,0)</f>
        <v/>
      </c>
      <c r="CJ86">
        <f>IF(AND(CJ$4=1,CJ36=0),1,0)</f>
        <v/>
      </c>
      <c r="CK86">
        <f>IF(AND(CK$4=1,CK36=0),1,0)</f>
        <v/>
      </c>
      <c r="CL86">
        <f>IF(AND(CL$4=1,CL36=0),1,0)</f>
        <v/>
      </c>
      <c r="CM86">
        <f>IF(AND(CM$4=1,CM36=0),1,0)</f>
        <v/>
      </c>
      <c r="CN86">
        <f>IF(AND(CN$4=1,CN36=0),1,0)</f>
        <v/>
      </c>
      <c r="CO86">
        <f>IF(AND(CO$4=1,CO36=0),1,0)</f>
        <v/>
      </c>
      <c r="CP86">
        <f>IF(AND(CP$4=1,CP36=0),1,0)</f>
        <v/>
      </c>
      <c r="CQ86">
        <f>IF(AND(CQ$4=1,CQ36=0),1,0)</f>
        <v/>
      </c>
      <c r="CR86">
        <f>IF(AND(CR$4=1,CR36=0),1,0)</f>
        <v/>
      </c>
      <c r="CS86">
        <f>IF(AND(CS$4=1,CS36=0),1,0)</f>
        <v/>
      </c>
      <c r="CT86">
        <f>IF(AND(CT$4=1,CT36=0),1,0)</f>
        <v/>
      </c>
      <c r="CU86">
        <f>IF(AND(CU$4=1,CU36=0),1,0)</f>
        <v/>
      </c>
      <c r="CV86">
        <f>IF(AND(CV$4=1,CV36=0),1,0)</f>
        <v/>
      </c>
      <c r="CW86">
        <f>IF(AND(CW$4=1,CW36=0),1,0)</f>
        <v/>
      </c>
      <c r="CX86">
        <f>IF(AND(CX$4=1,CX36=0),1,0)</f>
        <v/>
      </c>
      <c r="CY86">
        <f>IF(AND(CY$4=1,CY36=0),1,0)</f>
        <v/>
      </c>
      <c r="CZ86">
        <f>IF(AND(CZ$4=1,CZ36=0),1,0)</f>
        <v/>
      </c>
      <c r="DA86">
        <f>IF(AND(DA$4=1,DA36=0),1,0)</f>
        <v/>
      </c>
      <c r="DB86">
        <f>IF(AND(DB$4=1,DB36=0),1,0)</f>
        <v/>
      </c>
      <c r="DC86">
        <f>IF(AND(DC$4=1,DC36=0),1,0)</f>
        <v/>
      </c>
      <c r="DD86">
        <f>IF(AND(DD$4=1,DD36=0),1,0)</f>
        <v/>
      </c>
      <c r="DE86">
        <f>IF(AND(DE$4=1,DE36=0),1,0)</f>
        <v/>
      </c>
      <c r="DF86">
        <f>IF(AND(DF$4=1,DF36=0),1,0)</f>
        <v/>
      </c>
      <c r="DG86">
        <f>IF(AND(DG$4=1,DG36=0),1,0)</f>
        <v/>
      </c>
      <c r="DH86">
        <f>IF(AND(DH$4=1,DH36=0),1,0)</f>
        <v/>
      </c>
      <c r="DI86">
        <f>IF(AND(DI$4=1,DI36=0),1,0)</f>
        <v/>
      </c>
      <c r="DJ86">
        <f>IF(AND(DJ$4=1,DJ36=0),1,0)</f>
        <v/>
      </c>
      <c r="DK86">
        <f>IF(AND(DK$4=1,DK36=0),1,0)</f>
        <v/>
      </c>
      <c r="DL86">
        <f>IF(AND(DL$4=1,DL36=0),1,0)</f>
        <v/>
      </c>
      <c r="DM86">
        <f>IF(AND(DM$4=1,DM36=0),1,0)</f>
        <v/>
      </c>
      <c r="DN86">
        <f>IF(AND(DN$4=1,DN36=0),1,0)</f>
        <v/>
      </c>
      <c r="DO86">
        <f>IF(AND(DO$4=1,DO36=0),1,0)</f>
        <v/>
      </c>
      <c r="DP86">
        <f>IF(AND(DP$4=1,DP36=0),1,0)</f>
        <v/>
      </c>
      <c r="DQ86">
        <f>IF(AND(DQ$4=1,DQ36=0),1,0)</f>
        <v/>
      </c>
      <c r="DR86">
        <f>IF(AND(DR$4=1,DR36=0),1,0)</f>
        <v/>
      </c>
      <c r="DS86">
        <f>IF(AND(DS$4=1,DS36=0),1,0)</f>
        <v/>
      </c>
      <c r="DT86">
        <f>IF(AND(DT$4=1,DT36=0),1,0)</f>
        <v/>
      </c>
      <c r="DU86">
        <f>IF(AND(DU$4=1,DU36=0),1,0)</f>
        <v/>
      </c>
      <c r="DV86">
        <f>IF(AND(DV$4=1,DV36=0),1,0)</f>
        <v/>
      </c>
      <c r="DW86">
        <f>IF(AND(DW$4=1,DW36=0),1,0)</f>
        <v/>
      </c>
      <c r="DX86">
        <f>IF(AND(DX$4=1,DX36=0),1,0)</f>
        <v/>
      </c>
      <c r="DY86">
        <f>IF(AND(DY$4=1,DY36=0),1,0)</f>
        <v/>
      </c>
      <c r="DZ86">
        <f>IF(AND(DZ$4=1,DZ36=0),1,0)</f>
        <v/>
      </c>
      <c r="EA86">
        <f>IF(AND(EA$4=1,EA36=0),1,0)</f>
        <v/>
      </c>
      <c r="EB86">
        <f>IF(AND(EB$4=1,EB36=0),1,0)</f>
        <v/>
      </c>
      <c r="EC86">
        <f>IF(AND(EC$4=1,EC36=0),1,0)</f>
        <v/>
      </c>
      <c r="ED86">
        <f>IF(AND(ED$4=1,ED36=0),1,0)</f>
        <v/>
      </c>
      <c r="EE86">
        <f>IF(AND(EE$4=1,EE36=0),1,0)</f>
        <v/>
      </c>
      <c r="EF86">
        <f>IF(AND(EF$4=1,EF36=0),1,0)</f>
        <v/>
      </c>
      <c r="EG86">
        <f>IF(AND(EG$4=1,EG36=0),1,0)</f>
        <v/>
      </c>
      <c r="EH86">
        <f>IF(AND(EH$4=1,EH36=0),1,0)</f>
        <v/>
      </c>
      <c r="EI86">
        <f>IF(AND(EI$4=1,EI36=0),1,0)</f>
        <v/>
      </c>
      <c r="EJ86">
        <f>IF(AND(EJ$4=1,EJ36=0),1,0)</f>
        <v/>
      </c>
      <c r="EK86">
        <f>IF(AND(EK$4=1,EK36=0),1,0)</f>
        <v/>
      </c>
      <c r="EL86">
        <f>IF(AND(EL$4=1,EL36=0),1,0)</f>
        <v/>
      </c>
      <c r="EM86">
        <f>IF(AND(EM$4=1,EM36=0),1,0)</f>
        <v/>
      </c>
      <c r="EN86">
        <f>IF(AND(EN$4=1,EN36=0),1,0)</f>
        <v/>
      </c>
      <c r="EO86">
        <f>IF(AND(EO$4=1,EO36=0),1,0)</f>
        <v/>
      </c>
      <c r="EP86">
        <f>IF(AND(EP$4=1,EP36=0),1,0)</f>
        <v/>
      </c>
      <c r="EQ86">
        <f>IF(AND(EQ$4=1,EQ36=0),1,0)</f>
        <v/>
      </c>
    </row>
    <row r="87">
      <c r="A87" t="n">
        <v>28</v>
      </c>
      <c r="D87">
        <f>IF(AND(D$4=1,D37=0),1,0)</f>
        <v/>
      </c>
      <c r="E87">
        <f>IF(AND(E$4=1,E37=0),1,0)</f>
        <v/>
      </c>
      <c r="F87">
        <f>IF(AND(F$4=1,F37=0),1,0)</f>
        <v/>
      </c>
      <c r="G87">
        <f>IF(AND(G$4=1,G37=0),1,0)</f>
        <v/>
      </c>
      <c r="H87">
        <f>IF(AND(H$4=1,H37=0),1,0)</f>
        <v/>
      </c>
      <c r="I87">
        <f>IF(AND(I$4=1,I37=0),1,0)</f>
        <v/>
      </c>
      <c r="J87">
        <f>IF(AND(J$4=1,J37=0),1,0)</f>
        <v/>
      </c>
      <c r="K87">
        <f>IF(AND(K$4=1,K37=0),1,0)</f>
        <v/>
      </c>
      <c r="L87">
        <f>IF(AND(L$4=1,L37=0),1,0)</f>
        <v/>
      </c>
      <c r="M87">
        <f>IF(AND(M$4=1,M37=0),1,0)</f>
        <v/>
      </c>
      <c r="N87">
        <f>IF(AND(N$4=1,N37=0),1,0)</f>
        <v/>
      </c>
      <c r="O87">
        <f>IF(AND(O$4=1,O37=0),1,0)</f>
        <v/>
      </c>
      <c r="P87">
        <f>IF(AND(P$4=1,P37=0),1,0)</f>
        <v/>
      </c>
      <c r="Q87">
        <f>IF(AND(Q$4=1,Q37=0),1,0)</f>
        <v/>
      </c>
      <c r="R87">
        <f>IF(AND(R$4=1,R37=0),1,0)</f>
        <v/>
      </c>
      <c r="S87">
        <f>IF(AND(S$4=1,S37=0),1,0)</f>
        <v/>
      </c>
      <c r="T87">
        <f>IF(AND(T$4=1,T37=0),1,0)</f>
        <v/>
      </c>
      <c r="U87">
        <f>IF(AND(U$4=1,U37=0),1,0)</f>
        <v/>
      </c>
      <c r="V87">
        <f>IF(AND(V$4=1,V37=0),1,0)</f>
        <v/>
      </c>
      <c r="W87">
        <f>IF(AND(W$4=1,W37=0),1,0)</f>
        <v/>
      </c>
      <c r="X87">
        <f>IF(AND(X$4=1,X37=0),1,0)</f>
        <v/>
      </c>
      <c r="Y87">
        <f>IF(AND(Y$4=1,Y37=0),1,0)</f>
        <v/>
      </c>
      <c r="Z87">
        <f>IF(AND(Z$4=1,Z37=0),1,0)</f>
        <v/>
      </c>
      <c r="AA87">
        <f>IF(AND(AA$4=1,AA37=0),1,0)</f>
        <v/>
      </c>
      <c r="AB87">
        <f>IF(AND(AB$4=1,AB37=0),1,0)</f>
        <v/>
      </c>
      <c r="AC87">
        <f>IF(AND(AC$4=1,AC37=0),1,0)</f>
        <v/>
      </c>
      <c r="AD87">
        <f>IF(AND(AD$4=1,AD37=0),1,0)</f>
        <v/>
      </c>
      <c r="AE87">
        <f>IF(AND(AE$4=1,AE37=0),1,0)</f>
        <v/>
      </c>
      <c r="AF87">
        <f>IF(AND(AF$4=1,AF37=0),1,0)</f>
        <v/>
      </c>
      <c r="AG87">
        <f>IF(AND(AG$4=1,AG37=0),1,0)</f>
        <v/>
      </c>
      <c r="AH87">
        <f>IF(AND(AH$4=1,AH37=0),1,0)</f>
        <v/>
      </c>
      <c r="AI87">
        <f>IF(AND(AI$4=1,AI37=0),1,0)</f>
        <v/>
      </c>
      <c r="AJ87">
        <f>IF(AND(AJ$4=1,AJ37=0),1,0)</f>
        <v/>
      </c>
      <c r="AK87">
        <f>IF(AND(AK$4=1,AK37=0),1,0)</f>
        <v/>
      </c>
      <c r="AL87">
        <f>IF(AND(AL$4=1,AL37=0),1,0)</f>
        <v/>
      </c>
      <c r="AM87">
        <f>IF(AND(AM$4=1,AM37=0),1,0)</f>
        <v/>
      </c>
      <c r="AN87">
        <f>IF(AND(AN$4=1,AN37=0),1,0)</f>
        <v/>
      </c>
      <c r="AO87">
        <f>IF(AND(AO$4=1,AO37=0),1,0)</f>
        <v/>
      </c>
      <c r="AP87">
        <f>IF(AND(AP$4=1,AP37=0),1,0)</f>
        <v/>
      </c>
      <c r="AQ87">
        <f>IF(AND(AQ$4=1,AQ37=0),1,0)</f>
        <v/>
      </c>
      <c r="AR87">
        <f>IF(AND(AR$4=1,AR37=0),1,0)</f>
        <v/>
      </c>
      <c r="AS87">
        <f>IF(AND(AS$4=1,AS37=0),1,0)</f>
        <v/>
      </c>
      <c r="AT87">
        <f>IF(AND(AT$4=1,AT37=0),1,0)</f>
        <v/>
      </c>
      <c r="AU87">
        <f>IF(AND(AU$4=1,AU37=0),1,0)</f>
        <v/>
      </c>
      <c r="AV87">
        <f>IF(AND(AV$4=1,AV37=0),1,0)</f>
        <v/>
      </c>
      <c r="AW87">
        <f>IF(AND(AW$4=1,AW37=0),1,0)</f>
        <v/>
      </c>
      <c r="AX87">
        <f>IF(AND(AX$4=1,AX37=0),1,0)</f>
        <v/>
      </c>
      <c r="AY87">
        <f>IF(AND(AY$4=1,AY37=0),1,0)</f>
        <v/>
      </c>
      <c r="AZ87">
        <f>IF(AND(AZ$4=1,AZ37=0),1,0)</f>
        <v/>
      </c>
      <c r="BA87">
        <f>IF(AND(BA$4=1,BA37=0),1,0)</f>
        <v/>
      </c>
      <c r="BB87">
        <f>IF(AND(BB$4=1,BB37=0),1,0)</f>
        <v/>
      </c>
      <c r="BC87">
        <f>IF(AND(BC$4=1,BC37=0),1,0)</f>
        <v/>
      </c>
      <c r="BD87">
        <f>IF(AND(BD$4=1,BD37=0),1,0)</f>
        <v/>
      </c>
      <c r="BE87">
        <f>IF(AND(BE$4=1,BE37=0),1,0)</f>
        <v/>
      </c>
      <c r="BF87">
        <f>IF(AND(BF$4=1,BF37=0),1,0)</f>
        <v/>
      </c>
      <c r="BG87">
        <f>IF(AND(BG$4=1,BG37=0),1,0)</f>
        <v/>
      </c>
      <c r="BH87">
        <f>IF(AND(BH$4=1,BH37=0),1,0)</f>
        <v/>
      </c>
      <c r="BI87">
        <f>IF(AND(BI$4=1,BI37=0),1,0)</f>
        <v/>
      </c>
      <c r="BJ87">
        <f>IF(AND(BJ$4=1,BJ37=0),1,0)</f>
        <v/>
      </c>
      <c r="BK87">
        <f>IF(AND(BK$4=1,BK37=0),1,0)</f>
        <v/>
      </c>
      <c r="BL87">
        <f>IF(AND(BL$4=1,BL37=0),1,0)</f>
        <v/>
      </c>
      <c r="BM87">
        <f>IF(AND(BM$4=1,BM37=0),1,0)</f>
        <v/>
      </c>
      <c r="BN87">
        <f>IF(AND(BN$4=1,BN37=0),1,0)</f>
        <v/>
      </c>
      <c r="BO87">
        <f>IF(AND(BO$4=1,BO37=0),1,0)</f>
        <v/>
      </c>
      <c r="BP87">
        <f>IF(AND(BP$4=1,BP37=0),1,0)</f>
        <v/>
      </c>
      <c r="BQ87">
        <f>IF(AND(BQ$4=1,BQ37=0),1,0)</f>
        <v/>
      </c>
      <c r="BR87">
        <f>IF(AND(BR$4=1,BR37=0),1,0)</f>
        <v/>
      </c>
      <c r="BS87">
        <f>IF(AND(BS$4=1,BS37=0),1,0)</f>
        <v/>
      </c>
      <c r="BT87">
        <f>IF(AND(BT$4=1,BT37=0),1,0)</f>
        <v/>
      </c>
      <c r="BU87">
        <f>IF(AND(BU$4=1,BU37=0),1,0)</f>
        <v/>
      </c>
      <c r="BV87">
        <f>IF(AND(BV$4=1,BV37=0),1,0)</f>
        <v/>
      </c>
      <c r="BW87">
        <f>IF(AND(BW$4=1,BW37=0),1,0)</f>
        <v/>
      </c>
      <c r="BX87">
        <f>IF(AND(BX$4=1,BX37=0),1,0)</f>
        <v/>
      </c>
      <c r="BY87">
        <f>IF(AND(BY$4=1,BY37=0),1,0)</f>
        <v/>
      </c>
      <c r="BZ87">
        <f>IF(AND(BZ$4=1,BZ37=0),1,0)</f>
        <v/>
      </c>
      <c r="CA87">
        <f>IF(AND(CA$4=1,CA37=0),1,0)</f>
        <v/>
      </c>
      <c r="CB87">
        <f>IF(AND(CB$4=1,CB37=0),1,0)</f>
        <v/>
      </c>
      <c r="CC87">
        <f>IF(AND(CC$4=1,CC37=0),1,0)</f>
        <v/>
      </c>
      <c r="CD87">
        <f>IF(AND(CD$4=1,CD37=0),1,0)</f>
        <v/>
      </c>
      <c r="CE87">
        <f>IF(AND(CE$4=1,CE37=0),1,0)</f>
        <v/>
      </c>
      <c r="CF87">
        <f>IF(AND(CF$4=1,CF37=0),1,0)</f>
        <v/>
      </c>
      <c r="CG87">
        <f>IF(AND(CG$4=1,CG37=0),1,0)</f>
        <v/>
      </c>
      <c r="CH87">
        <f>IF(AND(CH$4=1,CH37=0),1,0)</f>
        <v/>
      </c>
      <c r="CI87">
        <f>IF(AND(CI$4=1,CI37=0),1,0)</f>
        <v/>
      </c>
      <c r="CJ87">
        <f>IF(AND(CJ$4=1,CJ37=0),1,0)</f>
        <v/>
      </c>
      <c r="CK87">
        <f>IF(AND(CK$4=1,CK37=0),1,0)</f>
        <v/>
      </c>
      <c r="CL87">
        <f>IF(AND(CL$4=1,CL37=0),1,0)</f>
        <v/>
      </c>
      <c r="CM87">
        <f>IF(AND(CM$4=1,CM37=0),1,0)</f>
        <v/>
      </c>
      <c r="CN87">
        <f>IF(AND(CN$4=1,CN37=0),1,0)</f>
        <v/>
      </c>
      <c r="CO87">
        <f>IF(AND(CO$4=1,CO37=0),1,0)</f>
        <v/>
      </c>
      <c r="CP87">
        <f>IF(AND(CP$4=1,CP37=0),1,0)</f>
        <v/>
      </c>
      <c r="CQ87">
        <f>IF(AND(CQ$4=1,CQ37=0),1,0)</f>
        <v/>
      </c>
      <c r="CR87">
        <f>IF(AND(CR$4=1,CR37=0),1,0)</f>
        <v/>
      </c>
      <c r="CS87">
        <f>IF(AND(CS$4=1,CS37=0),1,0)</f>
        <v/>
      </c>
      <c r="CT87">
        <f>IF(AND(CT$4=1,CT37=0),1,0)</f>
        <v/>
      </c>
      <c r="CU87">
        <f>IF(AND(CU$4=1,CU37=0),1,0)</f>
        <v/>
      </c>
      <c r="CV87">
        <f>IF(AND(CV$4=1,CV37=0),1,0)</f>
        <v/>
      </c>
      <c r="CW87">
        <f>IF(AND(CW$4=1,CW37=0),1,0)</f>
        <v/>
      </c>
      <c r="CX87">
        <f>IF(AND(CX$4=1,CX37=0),1,0)</f>
        <v/>
      </c>
      <c r="CY87">
        <f>IF(AND(CY$4=1,CY37=0),1,0)</f>
        <v/>
      </c>
      <c r="CZ87">
        <f>IF(AND(CZ$4=1,CZ37=0),1,0)</f>
        <v/>
      </c>
      <c r="DA87">
        <f>IF(AND(DA$4=1,DA37=0),1,0)</f>
        <v/>
      </c>
      <c r="DB87">
        <f>IF(AND(DB$4=1,DB37=0),1,0)</f>
        <v/>
      </c>
      <c r="DC87">
        <f>IF(AND(DC$4=1,DC37=0),1,0)</f>
        <v/>
      </c>
      <c r="DD87">
        <f>IF(AND(DD$4=1,DD37=0),1,0)</f>
        <v/>
      </c>
      <c r="DE87">
        <f>IF(AND(DE$4=1,DE37=0),1,0)</f>
        <v/>
      </c>
      <c r="DF87">
        <f>IF(AND(DF$4=1,DF37=0),1,0)</f>
        <v/>
      </c>
      <c r="DG87">
        <f>IF(AND(DG$4=1,DG37=0),1,0)</f>
        <v/>
      </c>
      <c r="DH87">
        <f>IF(AND(DH$4=1,DH37=0),1,0)</f>
        <v/>
      </c>
      <c r="DI87">
        <f>IF(AND(DI$4=1,DI37=0),1,0)</f>
        <v/>
      </c>
      <c r="DJ87">
        <f>IF(AND(DJ$4=1,DJ37=0),1,0)</f>
        <v/>
      </c>
      <c r="DK87">
        <f>IF(AND(DK$4=1,DK37=0),1,0)</f>
        <v/>
      </c>
      <c r="DL87">
        <f>IF(AND(DL$4=1,DL37=0),1,0)</f>
        <v/>
      </c>
      <c r="DM87">
        <f>IF(AND(DM$4=1,DM37=0),1,0)</f>
        <v/>
      </c>
      <c r="DN87">
        <f>IF(AND(DN$4=1,DN37=0),1,0)</f>
        <v/>
      </c>
      <c r="DO87">
        <f>IF(AND(DO$4=1,DO37=0),1,0)</f>
        <v/>
      </c>
      <c r="DP87">
        <f>IF(AND(DP$4=1,DP37=0),1,0)</f>
        <v/>
      </c>
      <c r="DQ87">
        <f>IF(AND(DQ$4=1,DQ37=0),1,0)</f>
        <v/>
      </c>
      <c r="DR87">
        <f>IF(AND(DR$4=1,DR37=0),1,0)</f>
        <v/>
      </c>
      <c r="DS87">
        <f>IF(AND(DS$4=1,DS37=0),1,0)</f>
        <v/>
      </c>
      <c r="DT87">
        <f>IF(AND(DT$4=1,DT37=0),1,0)</f>
        <v/>
      </c>
      <c r="DU87">
        <f>IF(AND(DU$4=1,DU37=0),1,0)</f>
        <v/>
      </c>
      <c r="DV87">
        <f>IF(AND(DV$4=1,DV37=0),1,0)</f>
        <v/>
      </c>
      <c r="DW87">
        <f>IF(AND(DW$4=1,DW37=0),1,0)</f>
        <v/>
      </c>
      <c r="DX87">
        <f>IF(AND(DX$4=1,DX37=0),1,0)</f>
        <v/>
      </c>
      <c r="DY87">
        <f>IF(AND(DY$4=1,DY37=0),1,0)</f>
        <v/>
      </c>
      <c r="DZ87">
        <f>IF(AND(DZ$4=1,DZ37=0),1,0)</f>
        <v/>
      </c>
      <c r="EA87">
        <f>IF(AND(EA$4=1,EA37=0),1,0)</f>
        <v/>
      </c>
      <c r="EB87">
        <f>IF(AND(EB$4=1,EB37=0),1,0)</f>
        <v/>
      </c>
      <c r="EC87">
        <f>IF(AND(EC$4=1,EC37=0),1,0)</f>
        <v/>
      </c>
      <c r="ED87">
        <f>IF(AND(ED$4=1,ED37=0),1,0)</f>
        <v/>
      </c>
      <c r="EE87">
        <f>IF(AND(EE$4=1,EE37=0),1,0)</f>
        <v/>
      </c>
      <c r="EF87">
        <f>IF(AND(EF$4=1,EF37=0),1,0)</f>
        <v/>
      </c>
      <c r="EG87">
        <f>IF(AND(EG$4=1,EG37=0),1,0)</f>
        <v/>
      </c>
      <c r="EH87">
        <f>IF(AND(EH$4=1,EH37=0),1,0)</f>
        <v/>
      </c>
      <c r="EI87">
        <f>IF(AND(EI$4=1,EI37=0),1,0)</f>
        <v/>
      </c>
      <c r="EJ87">
        <f>IF(AND(EJ$4=1,EJ37=0),1,0)</f>
        <v/>
      </c>
      <c r="EK87">
        <f>IF(AND(EK$4=1,EK37=0),1,0)</f>
        <v/>
      </c>
      <c r="EL87">
        <f>IF(AND(EL$4=1,EL37=0),1,0)</f>
        <v/>
      </c>
      <c r="EM87">
        <f>IF(AND(EM$4=1,EM37=0),1,0)</f>
        <v/>
      </c>
      <c r="EN87">
        <f>IF(AND(EN$4=1,EN37=0),1,0)</f>
        <v/>
      </c>
      <c r="EO87">
        <f>IF(AND(EO$4=1,EO37=0),1,0)</f>
        <v/>
      </c>
      <c r="EP87">
        <f>IF(AND(EP$4=1,EP37=0),1,0)</f>
        <v/>
      </c>
      <c r="EQ87">
        <f>IF(AND(EQ$4=1,EQ37=0),1,0)</f>
        <v/>
      </c>
    </row>
    <row r="88">
      <c r="A88" t="n">
        <v>29</v>
      </c>
      <c r="D88">
        <f>IF(AND(D$4=1,D38=0),1,0)</f>
        <v/>
      </c>
      <c r="E88">
        <f>IF(AND(E$4=1,E38=0),1,0)</f>
        <v/>
      </c>
      <c r="F88">
        <f>IF(AND(F$4=1,F38=0),1,0)</f>
        <v/>
      </c>
      <c r="G88">
        <f>IF(AND(G$4=1,G38=0),1,0)</f>
        <v/>
      </c>
      <c r="H88">
        <f>IF(AND(H$4=1,H38=0),1,0)</f>
        <v/>
      </c>
      <c r="I88">
        <f>IF(AND(I$4=1,I38=0),1,0)</f>
        <v/>
      </c>
      <c r="J88">
        <f>IF(AND(J$4=1,J38=0),1,0)</f>
        <v/>
      </c>
      <c r="K88">
        <f>IF(AND(K$4=1,K38=0),1,0)</f>
        <v/>
      </c>
      <c r="L88">
        <f>IF(AND(L$4=1,L38=0),1,0)</f>
        <v/>
      </c>
      <c r="M88">
        <f>IF(AND(M$4=1,M38=0),1,0)</f>
        <v/>
      </c>
      <c r="N88">
        <f>IF(AND(N$4=1,N38=0),1,0)</f>
        <v/>
      </c>
      <c r="O88">
        <f>IF(AND(O$4=1,O38=0),1,0)</f>
        <v/>
      </c>
      <c r="P88">
        <f>IF(AND(P$4=1,P38=0),1,0)</f>
        <v/>
      </c>
      <c r="Q88">
        <f>IF(AND(Q$4=1,Q38=0),1,0)</f>
        <v/>
      </c>
      <c r="R88">
        <f>IF(AND(R$4=1,R38=0),1,0)</f>
        <v/>
      </c>
      <c r="S88">
        <f>IF(AND(S$4=1,S38=0),1,0)</f>
        <v/>
      </c>
      <c r="T88">
        <f>IF(AND(T$4=1,T38=0),1,0)</f>
        <v/>
      </c>
      <c r="U88">
        <f>IF(AND(U$4=1,U38=0),1,0)</f>
        <v/>
      </c>
      <c r="V88">
        <f>IF(AND(V$4=1,V38=0),1,0)</f>
        <v/>
      </c>
      <c r="W88">
        <f>IF(AND(W$4=1,W38=0),1,0)</f>
        <v/>
      </c>
      <c r="X88">
        <f>IF(AND(X$4=1,X38=0),1,0)</f>
        <v/>
      </c>
      <c r="Y88">
        <f>IF(AND(Y$4=1,Y38=0),1,0)</f>
        <v/>
      </c>
      <c r="Z88">
        <f>IF(AND(Z$4=1,Z38=0),1,0)</f>
        <v/>
      </c>
      <c r="AA88">
        <f>IF(AND(AA$4=1,AA38=0),1,0)</f>
        <v/>
      </c>
      <c r="AB88">
        <f>IF(AND(AB$4=1,AB38=0),1,0)</f>
        <v/>
      </c>
      <c r="AC88">
        <f>IF(AND(AC$4=1,AC38=0),1,0)</f>
        <v/>
      </c>
      <c r="AD88">
        <f>IF(AND(AD$4=1,AD38=0),1,0)</f>
        <v/>
      </c>
      <c r="AE88">
        <f>IF(AND(AE$4=1,AE38=0),1,0)</f>
        <v/>
      </c>
      <c r="AF88">
        <f>IF(AND(AF$4=1,AF38=0),1,0)</f>
        <v/>
      </c>
      <c r="AG88">
        <f>IF(AND(AG$4=1,AG38=0),1,0)</f>
        <v/>
      </c>
      <c r="AH88">
        <f>IF(AND(AH$4=1,AH38=0),1,0)</f>
        <v/>
      </c>
      <c r="AI88">
        <f>IF(AND(AI$4=1,AI38=0),1,0)</f>
        <v/>
      </c>
      <c r="AJ88">
        <f>IF(AND(AJ$4=1,AJ38=0),1,0)</f>
        <v/>
      </c>
      <c r="AK88">
        <f>IF(AND(AK$4=1,AK38=0),1,0)</f>
        <v/>
      </c>
      <c r="AL88">
        <f>IF(AND(AL$4=1,AL38=0),1,0)</f>
        <v/>
      </c>
      <c r="AM88">
        <f>IF(AND(AM$4=1,AM38=0),1,0)</f>
        <v/>
      </c>
      <c r="AN88">
        <f>IF(AND(AN$4=1,AN38=0),1,0)</f>
        <v/>
      </c>
      <c r="AO88">
        <f>IF(AND(AO$4=1,AO38=0),1,0)</f>
        <v/>
      </c>
      <c r="AP88">
        <f>IF(AND(AP$4=1,AP38=0),1,0)</f>
        <v/>
      </c>
      <c r="AQ88">
        <f>IF(AND(AQ$4=1,AQ38=0),1,0)</f>
        <v/>
      </c>
      <c r="AR88">
        <f>IF(AND(AR$4=1,AR38=0),1,0)</f>
        <v/>
      </c>
      <c r="AS88">
        <f>IF(AND(AS$4=1,AS38=0),1,0)</f>
        <v/>
      </c>
      <c r="AT88">
        <f>IF(AND(AT$4=1,AT38=0),1,0)</f>
        <v/>
      </c>
      <c r="AU88">
        <f>IF(AND(AU$4=1,AU38=0),1,0)</f>
        <v/>
      </c>
      <c r="AV88">
        <f>IF(AND(AV$4=1,AV38=0),1,0)</f>
        <v/>
      </c>
      <c r="AW88">
        <f>IF(AND(AW$4=1,AW38=0),1,0)</f>
        <v/>
      </c>
      <c r="AX88">
        <f>IF(AND(AX$4=1,AX38=0),1,0)</f>
        <v/>
      </c>
      <c r="AY88">
        <f>IF(AND(AY$4=1,AY38=0),1,0)</f>
        <v/>
      </c>
      <c r="AZ88">
        <f>IF(AND(AZ$4=1,AZ38=0),1,0)</f>
        <v/>
      </c>
      <c r="BA88">
        <f>IF(AND(BA$4=1,BA38=0),1,0)</f>
        <v/>
      </c>
      <c r="BB88">
        <f>IF(AND(BB$4=1,BB38=0),1,0)</f>
        <v/>
      </c>
      <c r="BC88">
        <f>IF(AND(BC$4=1,BC38=0),1,0)</f>
        <v/>
      </c>
      <c r="BD88">
        <f>IF(AND(BD$4=1,BD38=0),1,0)</f>
        <v/>
      </c>
      <c r="BE88">
        <f>IF(AND(BE$4=1,BE38=0),1,0)</f>
        <v/>
      </c>
      <c r="BF88">
        <f>IF(AND(BF$4=1,BF38=0),1,0)</f>
        <v/>
      </c>
      <c r="BG88">
        <f>IF(AND(BG$4=1,BG38=0),1,0)</f>
        <v/>
      </c>
      <c r="BH88">
        <f>IF(AND(BH$4=1,BH38=0),1,0)</f>
        <v/>
      </c>
      <c r="BI88">
        <f>IF(AND(BI$4=1,BI38=0),1,0)</f>
        <v/>
      </c>
      <c r="BJ88">
        <f>IF(AND(BJ$4=1,BJ38=0),1,0)</f>
        <v/>
      </c>
      <c r="BK88">
        <f>IF(AND(BK$4=1,BK38=0),1,0)</f>
        <v/>
      </c>
      <c r="BL88">
        <f>IF(AND(BL$4=1,BL38=0),1,0)</f>
        <v/>
      </c>
      <c r="BM88">
        <f>IF(AND(BM$4=1,BM38=0),1,0)</f>
        <v/>
      </c>
      <c r="BN88">
        <f>IF(AND(BN$4=1,BN38=0),1,0)</f>
        <v/>
      </c>
      <c r="BO88">
        <f>IF(AND(BO$4=1,BO38=0),1,0)</f>
        <v/>
      </c>
      <c r="BP88">
        <f>IF(AND(BP$4=1,BP38=0),1,0)</f>
        <v/>
      </c>
      <c r="BQ88">
        <f>IF(AND(BQ$4=1,BQ38=0),1,0)</f>
        <v/>
      </c>
      <c r="BR88">
        <f>IF(AND(BR$4=1,BR38=0),1,0)</f>
        <v/>
      </c>
      <c r="BS88">
        <f>IF(AND(BS$4=1,BS38=0),1,0)</f>
        <v/>
      </c>
      <c r="BT88">
        <f>IF(AND(BT$4=1,BT38=0),1,0)</f>
        <v/>
      </c>
      <c r="BU88">
        <f>IF(AND(BU$4=1,BU38=0),1,0)</f>
        <v/>
      </c>
      <c r="BV88">
        <f>IF(AND(BV$4=1,BV38=0),1,0)</f>
        <v/>
      </c>
      <c r="BW88">
        <f>IF(AND(BW$4=1,BW38=0),1,0)</f>
        <v/>
      </c>
      <c r="BX88">
        <f>IF(AND(BX$4=1,BX38=0),1,0)</f>
        <v/>
      </c>
      <c r="BY88">
        <f>IF(AND(BY$4=1,BY38=0),1,0)</f>
        <v/>
      </c>
      <c r="BZ88">
        <f>IF(AND(BZ$4=1,BZ38=0),1,0)</f>
        <v/>
      </c>
      <c r="CA88">
        <f>IF(AND(CA$4=1,CA38=0),1,0)</f>
        <v/>
      </c>
      <c r="CB88">
        <f>IF(AND(CB$4=1,CB38=0),1,0)</f>
        <v/>
      </c>
      <c r="CC88">
        <f>IF(AND(CC$4=1,CC38=0),1,0)</f>
        <v/>
      </c>
      <c r="CD88">
        <f>IF(AND(CD$4=1,CD38=0),1,0)</f>
        <v/>
      </c>
      <c r="CE88">
        <f>IF(AND(CE$4=1,CE38=0),1,0)</f>
        <v/>
      </c>
      <c r="CF88">
        <f>IF(AND(CF$4=1,CF38=0),1,0)</f>
        <v/>
      </c>
      <c r="CG88">
        <f>IF(AND(CG$4=1,CG38=0),1,0)</f>
        <v/>
      </c>
      <c r="CH88">
        <f>IF(AND(CH$4=1,CH38=0),1,0)</f>
        <v/>
      </c>
      <c r="CI88">
        <f>IF(AND(CI$4=1,CI38=0),1,0)</f>
        <v/>
      </c>
      <c r="CJ88">
        <f>IF(AND(CJ$4=1,CJ38=0),1,0)</f>
        <v/>
      </c>
      <c r="CK88">
        <f>IF(AND(CK$4=1,CK38=0),1,0)</f>
        <v/>
      </c>
      <c r="CL88">
        <f>IF(AND(CL$4=1,CL38=0),1,0)</f>
        <v/>
      </c>
      <c r="CM88">
        <f>IF(AND(CM$4=1,CM38=0),1,0)</f>
        <v/>
      </c>
      <c r="CN88">
        <f>IF(AND(CN$4=1,CN38=0),1,0)</f>
        <v/>
      </c>
      <c r="CO88">
        <f>IF(AND(CO$4=1,CO38=0),1,0)</f>
        <v/>
      </c>
      <c r="CP88">
        <f>IF(AND(CP$4=1,CP38=0),1,0)</f>
        <v/>
      </c>
      <c r="CQ88">
        <f>IF(AND(CQ$4=1,CQ38=0),1,0)</f>
        <v/>
      </c>
      <c r="CR88">
        <f>IF(AND(CR$4=1,CR38=0),1,0)</f>
        <v/>
      </c>
      <c r="CS88">
        <f>IF(AND(CS$4=1,CS38=0),1,0)</f>
        <v/>
      </c>
      <c r="CT88">
        <f>IF(AND(CT$4=1,CT38=0),1,0)</f>
        <v/>
      </c>
      <c r="CU88">
        <f>IF(AND(CU$4=1,CU38=0),1,0)</f>
        <v/>
      </c>
      <c r="CV88">
        <f>IF(AND(CV$4=1,CV38=0),1,0)</f>
        <v/>
      </c>
      <c r="CW88">
        <f>IF(AND(CW$4=1,CW38=0),1,0)</f>
        <v/>
      </c>
      <c r="CX88">
        <f>IF(AND(CX$4=1,CX38=0),1,0)</f>
        <v/>
      </c>
      <c r="CY88">
        <f>IF(AND(CY$4=1,CY38=0),1,0)</f>
        <v/>
      </c>
      <c r="CZ88">
        <f>IF(AND(CZ$4=1,CZ38=0),1,0)</f>
        <v/>
      </c>
      <c r="DA88">
        <f>IF(AND(DA$4=1,DA38=0),1,0)</f>
        <v/>
      </c>
      <c r="DB88">
        <f>IF(AND(DB$4=1,DB38=0),1,0)</f>
        <v/>
      </c>
      <c r="DC88">
        <f>IF(AND(DC$4=1,DC38=0),1,0)</f>
        <v/>
      </c>
      <c r="DD88">
        <f>IF(AND(DD$4=1,DD38=0),1,0)</f>
        <v/>
      </c>
      <c r="DE88">
        <f>IF(AND(DE$4=1,DE38=0),1,0)</f>
        <v/>
      </c>
      <c r="DF88">
        <f>IF(AND(DF$4=1,DF38=0),1,0)</f>
        <v/>
      </c>
      <c r="DG88">
        <f>IF(AND(DG$4=1,DG38=0),1,0)</f>
        <v/>
      </c>
      <c r="DH88">
        <f>IF(AND(DH$4=1,DH38=0),1,0)</f>
        <v/>
      </c>
      <c r="DI88">
        <f>IF(AND(DI$4=1,DI38=0),1,0)</f>
        <v/>
      </c>
      <c r="DJ88">
        <f>IF(AND(DJ$4=1,DJ38=0),1,0)</f>
        <v/>
      </c>
      <c r="DK88">
        <f>IF(AND(DK$4=1,DK38=0),1,0)</f>
        <v/>
      </c>
      <c r="DL88">
        <f>IF(AND(DL$4=1,DL38=0),1,0)</f>
        <v/>
      </c>
      <c r="DM88">
        <f>IF(AND(DM$4=1,DM38=0),1,0)</f>
        <v/>
      </c>
      <c r="DN88">
        <f>IF(AND(DN$4=1,DN38=0),1,0)</f>
        <v/>
      </c>
      <c r="DO88">
        <f>IF(AND(DO$4=1,DO38=0),1,0)</f>
        <v/>
      </c>
      <c r="DP88">
        <f>IF(AND(DP$4=1,DP38=0),1,0)</f>
        <v/>
      </c>
      <c r="DQ88">
        <f>IF(AND(DQ$4=1,DQ38=0),1,0)</f>
        <v/>
      </c>
      <c r="DR88">
        <f>IF(AND(DR$4=1,DR38=0),1,0)</f>
        <v/>
      </c>
      <c r="DS88">
        <f>IF(AND(DS$4=1,DS38=0),1,0)</f>
        <v/>
      </c>
      <c r="DT88">
        <f>IF(AND(DT$4=1,DT38=0),1,0)</f>
        <v/>
      </c>
      <c r="DU88">
        <f>IF(AND(DU$4=1,DU38=0),1,0)</f>
        <v/>
      </c>
      <c r="DV88">
        <f>IF(AND(DV$4=1,DV38=0),1,0)</f>
        <v/>
      </c>
      <c r="DW88">
        <f>IF(AND(DW$4=1,DW38=0),1,0)</f>
        <v/>
      </c>
      <c r="DX88">
        <f>IF(AND(DX$4=1,DX38=0),1,0)</f>
        <v/>
      </c>
      <c r="DY88">
        <f>IF(AND(DY$4=1,DY38=0),1,0)</f>
        <v/>
      </c>
      <c r="DZ88">
        <f>IF(AND(DZ$4=1,DZ38=0),1,0)</f>
        <v/>
      </c>
      <c r="EA88">
        <f>IF(AND(EA$4=1,EA38=0),1,0)</f>
        <v/>
      </c>
      <c r="EB88">
        <f>IF(AND(EB$4=1,EB38=0),1,0)</f>
        <v/>
      </c>
      <c r="EC88">
        <f>IF(AND(EC$4=1,EC38=0),1,0)</f>
        <v/>
      </c>
      <c r="ED88">
        <f>IF(AND(ED$4=1,ED38=0),1,0)</f>
        <v/>
      </c>
      <c r="EE88">
        <f>IF(AND(EE$4=1,EE38=0),1,0)</f>
        <v/>
      </c>
      <c r="EF88">
        <f>IF(AND(EF$4=1,EF38=0),1,0)</f>
        <v/>
      </c>
      <c r="EG88">
        <f>IF(AND(EG$4=1,EG38=0),1,0)</f>
        <v/>
      </c>
      <c r="EH88">
        <f>IF(AND(EH$4=1,EH38=0),1,0)</f>
        <v/>
      </c>
      <c r="EI88">
        <f>IF(AND(EI$4=1,EI38=0),1,0)</f>
        <v/>
      </c>
      <c r="EJ88">
        <f>IF(AND(EJ$4=1,EJ38=0),1,0)</f>
        <v/>
      </c>
      <c r="EK88">
        <f>IF(AND(EK$4=1,EK38=0),1,0)</f>
        <v/>
      </c>
      <c r="EL88">
        <f>IF(AND(EL$4=1,EL38=0),1,0)</f>
        <v/>
      </c>
      <c r="EM88">
        <f>IF(AND(EM$4=1,EM38=0),1,0)</f>
        <v/>
      </c>
      <c r="EN88">
        <f>IF(AND(EN$4=1,EN38=0),1,0)</f>
        <v/>
      </c>
      <c r="EO88">
        <f>IF(AND(EO$4=1,EO38=0),1,0)</f>
        <v/>
      </c>
      <c r="EP88">
        <f>IF(AND(EP$4=1,EP38=0),1,0)</f>
        <v/>
      </c>
      <c r="EQ88">
        <f>IF(AND(EQ$4=1,EQ38=0),1,0)</f>
        <v/>
      </c>
    </row>
    <row r="89">
      <c r="A89" t="n">
        <v>30</v>
      </c>
      <c r="D89">
        <f>IF(AND(D$4=1,D39=0),1,0)</f>
        <v/>
      </c>
      <c r="E89">
        <f>IF(AND(E$4=1,E39=0),1,0)</f>
        <v/>
      </c>
      <c r="F89">
        <f>IF(AND(F$4=1,F39=0),1,0)</f>
        <v/>
      </c>
      <c r="G89">
        <f>IF(AND(G$4=1,G39=0),1,0)</f>
        <v/>
      </c>
      <c r="H89">
        <f>IF(AND(H$4=1,H39=0),1,0)</f>
        <v/>
      </c>
      <c r="I89">
        <f>IF(AND(I$4=1,I39=0),1,0)</f>
        <v/>
      </c>
      <c r="J89">
        <f>IF(AND(J$4=1,J39=0),1,0)</f>
        <v/>
      </c>
      <c r="K89">
        <f>IF(AND(K$4=1,K39=0),1,0)</f>
        <v/>
      </c>
      <c r="L89">
        <f>IF(AND(L$4=1,L39=0),1,0)</f>
        <v/>
      </c>
      <c r="M89">
        <f>IF(AND(M$4=1,M39=0),1,0)</f>
        <v/>
      </c>
      <c r="N89">
        <f>IF(AND(N$4=1,N39=0),1,0)</f>
        <v/>
      </c>
      <c r="O89">
        <f>IF(AND(O$4=1,O39=0),1,0)</f>
        <v/>
      </c>
      <c r="P89">
        <f>IF(AND(P$4=1,P39=0),1,0)</f>
        <v/>
      </c>
      <c r="Q89">
        <f>IF(AND(Q$4=1,Q39=0),1,0)</f>
        <v/>
      </c>
      <c r="R89">
        <f>IF(AND(R$4=1,R39=0),1,0)</f>
        <v/>
      </c>
      <c r="S89">
        <f>IF(AND(S$4=1,S39=0),1,0)</f>
        <v/>
      </c>
      <c r="T89">
        <f>IF(AND(T$4=1,T39=0),1,0)</f>
        <v/>
      </c>
      <c r="U89">
        <f>IF(AND(U$4=1,U39=0),1,0)</f>
        <v/>
      </c>
      <c r="V89">
        <f>IF(AND(V$4=1,V39=0),1,0)</f>
        <v/>
      </c>
      <c r="W89">
        <f>IF(AND(W$4=1,W39=0),1,0)</f>
        <v/>
      </c>
      <c r="X89">
        <f>IF(AND(X$4=1,X39=0),1,0)</f>
        <v/>
      </c>
      <c r="Y89">
        <f>IF(AND(Y$4=1,Y39=0),1,0)</f>
        <v/>
      </c>
      <c r="Z89">
        <f>IF(AND(Z$4=1,Z39=0),1,0)</f>
        <v/>
      </c>
      <c r="AA89">
        <f>IF(AND(AA$4=1,AA39=0),1,0)</f>
        <v/>
      </c>
      <c r="AB89">
        <f>IF(AND(AB$4=1,AB39=0),1,0)</f>
        <v/>
      </c>
      <c r="AC89">
        <f>IF(AND(AC$4=1,AC39=0),1,0)</f>
        <v/>
      </c>
      <c r="AD89">
        <f>IF(AND(AD$4=1,AD39=0),1,0)</f>
        <v/>
      </c>
      <c r="AE89">
        <f>IF(AND(AE$4=1,AE39=0),1,0)</f>
        <v/>
      </c>
      <c r="AF89">
        <f>IF(AND(AF$4=1,AF39=0),1,0)</f>
        <v/>
      </c>
      <c r="AG89">
        <f>IF(AND(AG$4=1,AG39=0),1,0)</f>
        <v/>
      </c>
      <c r="AH89">
        <f>IF(AND(AH$4=1,AH39=0),1,0)</f>
        <v/>
      </c>
      <c r="AI89">
        <f>IF(AND(AI$4=1,AI39=0),1,0)</f>
        <v/>
      </c>
      <c r="AJ89">
        <f>IF(AND(AJ$4=1,AJ39=0),1,0)</f>
        <v/>
      </c>
      <c r="AK89">
        <f>IF(AND(AK$4=1,AK39=0),1,0)</f>
        <v/>
      </c>
      <c r="AL89">
        <f>IF(AND(AL$4=1,AL39=0),1,0)</f>
        <v/>
      </c>
      <c r="AM89">
        <f>IF(AND(AM$4=1,AM39=0),1,0)</f>
        <v/>
      </c>
      <c r="AN89">
        <f>IF(AND(AN$4=1,AN39=0),1,0)</f>
        <v/>
      </c>
      <c r="AO89">
        <f>IF(AND(AO$4=1,AO39=0),1,0)</f>
        <v/>
      </c>
      <c r="AP89">
        <f>IF(AND(AP$4=1,AP39=0),1,0)</f>
        <v/>
      </c>
      <c r="AQ89">
        <f>IF(AND(AQ$4=1,AQ39=0),1,0)</f>
        <v/>
      </c>
      <c r="AR89">
        <f>IF(AND(AR$4=1,AR39=0),1,0)</f>
        <v/>
      </c>
      <c r="AS89">
        <f>IF(AND(AS$4=1,AS39=0),1,0)</f>
        <v/>
      </c>
      <c r="AT89">
        <f>IF(AND(AT$4=1,AT39=0),1,0)</f>
        <v/>
      </c>
      <c r="AU89">
        <f>IF(AND(AU$4=1,AU39=0),1,0)</f>
        <v/>
      </c>
      <c r="AV89">
        <f>IF(AND(AV$4=1,AV39=0),1,0)</f>
        <v/>
      </c>
      <c r="AW89">
        <f>IF(AND(AW$4=1,AW39=0),1,0)</f>
        <v/>
      </c>
      <c r="AX89">
        <f>IF(AND(AX$4=1,AX39=0),1,0)</f>
        <v/>
      </c>
      <c r="AY89">
        <f>IF(AND(AY$4=1,AY39=0),1,0)</f>
        <v/>
      </c>
      <c r="AZ89">
        <f>IF(AND(AZ$4=1,AZ39=0),1,0)</f>
        <v/>
      </c>
      <c r="BA89">
        <f>IF(AND(BA$4=1,BA39=0),1,0)</f>
        <v/>
      </c>
      <c r="BB89">
        <f>IF(AND(BB$4=1,BB39=0),1,0)</f>
        <v/>
      </c>
      <c r="BC89">
        <f>IF(AND(BC$4=1,BC39=0),1,0)</f>
        <v/>
      </c>
      <c r="BD89">
        <f>IF(AND(BD$4=1,BD39=0),1,0)</f>
        <v/>
      </c>
      <c r="BE89">
        <f>IF(AND(BE$4=1,BE39=0),1,0)</f>
        <v/>
      </c>
      <c r="BF89">
        <f>IF(AND(BF$4=1,BF39=0),1,0)</f>
        <v/>
      </c>
      <c r="BG89">
        <f>IF(AND(BG$4=1,BG39=0),1,0)</f>
        <v/>
      </c>
      <c r="BH89">
        <f>IF(AND(BH$4=1,BH39=0),1,0)</f>
        <v/>
      </c>
      <c r="BI89">
        <f>IF(AND(BI$4=1,BI39=0),1,0)</f>
        <v/>
      </c>
      <c r="BJ89">
        <f>IF(AND(BJ$4=1,BJ39=0),1,0)</f>
        <v/>
      </c>
      <c r="BK89">
        <f>IF(AND(BK$4=1,BK39=0),1,0)</f>
        <v/>
      </c>
      <c r="BL89">
        <f>IF(AND(BL$4=1,BL39=0),1,0)</f>
        <v/>
      </c>
      <c r="BM89">
        <f>IF(AND(BM$4=1,BM39=0),1,0)</f>
        <v/>
      </c>
      <c r="BN89">
        <f>IF(AND(BN$4=1,BN39=0),1,0)</f>
        <v/>
      </c>
      <c r="BO89">
        <f>IF(AND(BO$4=1,BO39=0),1,0)</f>
        <v/>
      </c>
      <c r="BP89">
        <f>IF(AND(BP$4=1,BP39=0),1,0)</f>
        <v/>
      </c>
      <c r="BQ89">
        <f>IF(AND(BQ$4=1,BQ39=0),1,0)</f>
        <v/>
      </c>
      <c r="BR89">
        <f>IF(AND(BR$4=1,BR39=0),1,0)</f>
        <v/>
      </c>
      <c r="BS89">
        <f>IF(AND(BS$4=1,BS39=0),1,0)</f>
        <v/>
      </c>
      <c r="BT89">
        <f>IF(AND(BT$4=1,BT39=0),1,0)</f>
        <v/>
      </c>
      <c r="BU89">
        <f>IF(AND(BU$4=1,BU39=0),1,0)</f>
        <v/>
      </c>
      <c r="BV89">
        <f>IF(AND(BV$4=1,BV39=0),1,0)</f>
        <v/>
      </c>
      <c r="BW89">
        <f>IF(AND(BW$4=1,BW39=0),1,0)</f>
        <v/>
      </c>
      <c r="BX89">
        <f>IF(AND(BX$4=1,BX39=0),1,0)</f>
        <v/>
      </c>
      <c r="BY89">
        <f>IF(AND(BY$4=1,BY39=0),1,0)</f>
        <v/>
      </c>
      <c r="BZ89">
        <f>IF(AND(BZ$4=1,BZ39=0),1,0)</f>
        <v/>
      </c>
      <c r="CA89">
        <f>IF(AND(CA$4=1,CA39=0),1,0)</f>
        <v/>
      </c>
      <c r="CB89">
        <f>IF(AND(CB$4=1,CB39=0),1,0)</f>
        <v/>
      </c>
      <c r="CC89">
        <f>IF(AND(CC$4=1,CC39=0),1,0)</f>
        <v/>
      </c>
      <c r="CD89">
        <f>IF(AND(CD$4=1,CD39=0),1,0)</f>
        <v/>
      </c>
      <c r="CE89">
        <f>IF(AND(CE$4=1,CE39=0),1,0)</f>
        <v/>
      </c>
      <c r="CF89">
        <f>IF(AND(CF$4=1,CF39=0),1,0)</f>
        <v/>
      </c>
      <c r="CG89">
        <f>IF(AND(CG$4=1,CG39=0),1,0)</f>
        <v/>
      </c>
      <c r="CH89">
        <f>IF(AND(CH$4=1,CH39=0),1,0)</f>
        <v/>
      </c>
      <c r="CI89">
        <f>IF(AND(CI$4=1,CI39=0),1,0)</f>
        <v/>
      </c>
      <c r="CJ89">
        <f>IF(AND(CJ$4=1,CJ39=0),1,0)</f>
        <v/>
      </c>
      <c r="CK89">
        <f>IF(AND(CK$4=1,CK39=0),1,0)</f>
        <v/>
      </c>
      <c r="CL89">
        <f>IF(AND(CL$4=1,CL39=0),1,0)</f>
        <v/>
      </c>
      <c r="CM89">
        <f>IF(AND(CM$4=1,CM39=0),1,0)</f>
        <v/>
      </c>
      <c r="CN89">
        <f>IF(AND(CN$4=1,CN39=0),1,0)</f>
        <v/>
      </c>
      <c r="CO89">
        <f>IF(AND(CO$4=1,CO39=0),1,0)</f>
        <v/>
      </c>
      <c r="CP89">
        <f>IF(AND(CP$4=1,CP39=0),1,0)</f>
        <v/>
      </c>
      <c r="CQ89">
        <f>IF(AND(CQ$4=1,CQ39=0),1,0)</f>
        <v/>
      </c>
      <c r="CR89">
        <f>IF(AND(CR$4=1,CR39=0),1,0)</f>
        <v/>
      </c>
      <c r="CS89">
        <f>IF(AND(CS$4=1,CS39=0),1,0)</f>
        <v/>
      </c>
      <c r="CT89">
        <f>IF(AND(CT$4=1,CT39=0),1,0)</f>
        <v/>
      </c>
      <c r="CU89">
        <f>IF(AND(CU$4=1,CU39=0),1,0)</f>
        <v/>
      </c>
      <c r="CV89">
        <f>IF(AND(CV$4=1,CV39=0),1,0)</f>
        <v/>
      </c>
      <c r="CW89">
        <f>IF(AND(CW$4=1,CW39=0),1,0)</f>
        <v/>
      </c>
      <c r="CX89">
        <f>IF(AND(CX$4=1,CX39=0),1,0)</f>
        <v/>
      </c>
      <c r="CY89">
        <f>IF(AND(CY$4=1,CY39=0),1,0)</f>
        <v/>
      </c>
      <c r="CZ89">
        <f>IF(AND(CZ$4=1,CZ39=0),1,0)</f>
        <v/>
      </c>
      <c r="DA89">
        <f>IF(AND(DA$4=1,DA39=0),1,0)</f>
        <v/>
      </c>
      <c r="DB89">
        <f>IF(AND(DB$4=1,DB39=0),1,0)</f>
        <v/>
      </c>
      <c r="DC89">
        <f>IF(AND(DC$4=1,DC39=0),1,0)</f>
        <v/>
      </c>
      <c r="DD89">
        <f>IF(AND(DD$4=1,DD39=0),1,0)</f>
        <v/>
      </c>
      <c r="DE89">
        <f>IF(AND(DE$4=1,DE39=0),1,0)</f>
        <v/>
      </c>
      <c r="DF89">
        <f>IF(AND(DF$4=1,DF39=0),1,0)</f>
        <v/>
      </c>
      <c r="DG89">
        <f>IF(AND(DG$4=1,DG39=0),1,0)</f>
        <v/>
      </c>
      <c r="DH89">
        <f>IF(AND(DH$4=1,DH39=0),1,0)</f>
        <v/>
      </c>
      <c r="DI89">
        <f>IF(AND(DI$4=1,DI39=0),1,0)</f>
        <v/>
      </c>
      <c r="DJ89">
        <f>IF(AND(DJ$4=1,DJ39=0),1,0)</f>
        <v/>
      </c>
      <c r="DK89">
        <f>IF(AND(DK$4=1,DK39=0),1,0)</f>
        <v/>
      </c>
      <c r="DL89">
        <f>IF(AND(DL$4=1,DL39=0),1,0)</f>
        <v/>
      </c>
      <c r="DM89">
        <f>IF(AND(DM$4=1,DM39=0),1,0)</f>
        <v/>
      </c>
      <c r="DN89">
        <f>IF(AND(DN$4=1,DN39=0),1,0)</f>
        <v/>
      </c>
      <c r="DO89">
        <f>IF(AND(DO$4=1,DO39=0),1,0)</f>
        <v/>
      </c>
      <c r="DP89">
        <f>IF(AND(DP$4=1,DP39=0),1,0)</f>
        <v/>
      </c>
      <c r="DQ89">
        <f>IF(AND(DQ$4=1,DQ39=0),1,0)</f>
        <v/>
      </c>
      <c r="DR89">
        <f>IF(AND(DR$4=1,DR39=0),1,0)</f>
        <v/>
      </c>
      <c r="DS89">
        <f>IF(AND(DS$4=1,DS39=0),1,0)</f>
        <v/>
      </c>
      <c r="DT89">
        <f>IF(AND(DT$4=1,DT39=0),1,0)</f>
        <v/>
      </c>
      <c r="DU89">
        <f>IF(AND(DU$4=1,DU39=0),1,0)</f>
        <v/>
      </c>
      <c r="DV89">
        <f>IF(AND(DV$4=1,DV39=0),1,0)</f>
        <v/>
      </c>
      <c r="DW89">
        <f>IF(AND(DW$4=1,DW39=0),1,0)</f>
        <v/>
      </c>
      <c r="DX89">
        <f>IF(AND(DX$4=1,DX39=0),1,0)</f>
        <v/>
      </c>
      <c r="DY89">
        <f>IF(AND(DY$4=1,DY39=0),1,0)</f>
        <v/>
      </c>
      <c r="DZ89">
        <f>IF(AND(DZ$4=1,DZ39=0),1,0)</f>
        <v/>
      </c>
      <c r="EA89">
        <f>IF(AND(EA$4=1,EA39=0),1,0)</f>
        <v/>
      </c>
      <c r="EB89">
        <f>IF(AND(EB$4=1,EB39=0),1,0)</f>
        <v/>
      </c>
      <c r="EC89">
        <f>IF(AND(EC$4=1,EC39=0),1,0)</f>
        <v/>
      </c>
      <c r="ED89">
        <f>IF(AND(ED$4=1,ED39=0),1,0)</f>
        <v/>
      </c>
      <c r="EE89">
        <f>IF(AND(EE$4=1,EE39=0),1,0)</f>
        <v/>
      </c>
      <c r="EF89">
        <f>IF(AND(EF$4=1,EF39=0),1,0)</f>
        <v/>
      </c>
      <c r="EG89">
        <f>IF(AND(EG$4=1,EG39=0),1,0)</f>
        <v/>
      </c>
      <c r="EH89">
        <f>IF(AND(EH$4=1,EH39=0),1,0)</f>
        <v/>
      </c>
      <c r="EI89">
        <f>IF(AND(EI$4=1,EI39=0),1,0)</f>
        <v/>
      </c>
      <c r="EJ89">
        <f>IF(AND(EJ$4=1,EJ39=0),1,0)</f>
        <v/>
      </c>
      <c r="EK89">
        <f>IF(AND(EK$4=1,EK39=0),1,0)</f>
        <v/>
      </c>
      <c r="EL89">
        <f>IF(AND(EL$4=1,EL39=0),1,0)</f>
        <v/>
      </c>
      <c r="EM89">
        <f>IF(AND(EM$4=1,EM39=0),1,0)</f>
        <v/>
      </c>
      <c r="EN89">
        <f>IF(AND(EN$4=1,EN39=0),1,0)</f>
        <v/>
      </c>
      <c r="EO89">
        <f>IF(AND(EO$4=1,EO39=0),1,0)</f>
        <v/>
      </c>
      <c r="EP89">
        <f>IF(AND(EP$4=1,EP39=0),1,0)</f>
        <v/>
      </c>
      <c r="EQ89">
        <f>IF(AND(EQ$4=1,EQ39=0),1,0)</f>
        <v/>
      </c>
    </row>
    <row r="90">
      <c r="A90" t="n">
        <v>31</v>
      </c>
      <c r="D90">
        <f>IF(AND(D$4=1,D40=0),1,0)</f>
        <v/>
      </c>
      <c r="E90">
        <f>IF(AND(E$4=1,E40=0),1,0)</f>
        <v/>
      </c>
      <c r="F90">
        <f>IF(AND(F$4=1,F40=0),1,0)</f>
        <v/>
      </c>
      <c r="G90">
        <f>IF(AND(G$4=1,G40=0),1,0)</f>
        <v/>
      </c>
      <c r="H90">
        <f>IF(AND(H$4=1,H40=0),1,0)</f>
        <v/>
      </c>
      <c r="I90">
        <f>IF(AND(I$4=1,I40=0),1,0)</f>
        <v/>
      </c>
      <c r="J90">
        <f>IF(AND(J$4=1,J40=0),1,0)</f>
        <v/>
      </c>
      <c r="K90">
        <f>IF(AND(K$4=1,K40=0),1,0)</f>
        <v/>
      </c>
      <c r="L90">
        <f>IF(AND(L$4=1,L40=0),1,0)</f>
        <v/>
      </c>
      <c r="M90">
        <f>IF(AND(M$4=1,M40=0),1,0)</f>
        <v/>
      </c>
      <c r="N90">
        <f>IF(AND(N$4=1,N40=0),1,0)</f>
        <v/>
      </c>
      <c r="O90">
        <f>IF(AND(O$4=1,O40=0),1,0)</f>
        <v/>
      </c>
      <c r="P90">
        <f>IF(AND(P$4=1,P40=0),1,0)</f>
        <v/>
      </c>
      <c r="Q90">
        <f>IF(AND(Q$4=1,Q40=0),1,0)</f>
        <v/>
      </c>
      <c r="R90">
        <f>IF(AND(R$4=1,R40=0),1,0)</f>
        <v/>
      </c>
      <c r="S90">
        <f>IF(AND(S$4=1,S40=0),1,0)</f>
        <v/>
      </c>
      <c r="T90">
        <f>IF(AND(T$4=1,T40=0),1,0)</f>
        <v/>
      </c>
      <c r="U90">
        <f>IF(AND(U$4=1,U40=0),1,0)</f>
        <v/>
      </c>
      <c r="V90">
        <f>IF(AND(V$4=1,V40=0),1,0)</f>
        <v/>
      </c>
      <c r="W90">
        <f>IF(AND(W$4=1,W40=0),1,0)</f>
        <v/>
      </c>
      <c r="X90">
        <f>IF(AND(X$4=1,X40=0),1,0)</f>
        <v/>
      </c>
      <c r="Y90">
        <f>IF(AND(Y$4=1,Y40=0),1,0)</f>
        <v/>
      </c>
      <c r="Z90">
        <f>IF(AND(Z$4=1,Z40=0),1,0)</f>
        <v/>
      </c>
      <c r="AA90">
        <f>IF(AND(AA$4=1,AA40=0),1,0)</f>
        <v/>
      </c>
      <c r="AB90">
        <f>IF(AND(AB$4=1,AB40=0),1,0)</f>
        <v/>
      </c>
      <c r="AC90">
        <f>IF(AND(AC$4=1,AC40=0),1,0)</f>
        <v/>
      </c>
      <c r="AD90">
        <f>IF(AND(AD$4=1,AD40=0),1,0)</f>
        <v/>
      </c>
      <c r="AE90">
        <f>IF(AND(AE$4=1,AE40=0),1,0)</f>
        <v/>
      </c>
      <c r="AF90">
        <f>IF(AND(AF$4=1,AF40=0),1,0)</f>
        <v/>
      </c>
      <c r="AG90">
        <f>IF(AND(AG$4=1,AG40=0),1,0)</f>
        <v/>
      </c>
      <c r="AH90">
        <f>IF(AND(AH$4=1,AH40=0),1,0)</f>
        <v/>
      </c>
      <c r="AI90">
        <f>IF(AND(AI$4=1,AI40=0),1,0)</f>
        <v/>
      </c>
      <c r="AJ90">
        <f>IF(AND(AJ$4=1,AJ40=0),1,0)</f>
        <v/>
      </c>
      <c r="AK90">
        <f>IF(AND(AK$4=1,AK40=0),1,0)</f>
        <v/>
      </c>
      <c r="AL90">
        <f>IF(AND(AL$4=1,AL40=0),1,0)</f>
        <v/>
      </c>
      <c r="AM90">
        <f>IF(AND(AM$4=1,AM40=0),1,0)</f>
        <v/>
      </c>
      <c r="AN90">
        <f>IF(AND(AN$4=1,AN40=0),1,0)</f>
        <v/>
      </c>
      <c r="AO90">
        <f>IF(AND(AO$4=1,AO40=0),1,0)</f>
        <v/>
      </c>
      <c r="AP90">
        <f>IF(AND(AP$4=1,AP40=0),1,0)</f>
        <v/>
      </c>
      <c r="AQ90">
        <f>IF(AND(AQ$4=1,AQ40=0),1,0)</f>
        <v/>
      </c>
      <c r="AR90">
        <f>IF(AND(AR$4=1,AR40=0),1,0)</f>
        <v/>
      </c>
      <c r="AS90">
        <f>IF(AND(AS$4=1,AS40=0),1,0)</f>
        <v/>
      </c>
      <c r="AT90">
        <f>IF(AND(AT$4=1,AT40=0),1,0)</f>
        <v/>
      </c>
      <c r="AU90">
        <f>IF(AND(AU$4=1,AU40=0),1,0)</f>
        <v/>
      </c>
      <c r="AV90">
        <f>IF(AND(AV$4=1,AV40=0),1,0)</f>
        <v/>
      </c>
      <c r="AW90">
        <f>IF(AND(AW$4=1,AW40=0),1,0)</f>
        <v/>
      </c>
      <c r="AX90">
        <f>IF(AND(AX$4=1,AX40=0),1,0)</f>
        <v/>
      </c>
      <c r="AY90">
        <f>IF(AND(AY$4=1,AY40=0),1,0)</f>
        <v/>
      </c>
      <c r="AZ90">
        <f>IF(AND(AZ$4=1,AZ40=0),1,0)</f>
        <v/>
      </c>
      <c r="BA90">
        <f>IF(AND(BA$4=1,BA40=0),1,0)</f>
        <v/>
      </c>
      <c r="BB90">
        <f>IF(AND(BB$4=1,BB40=0),1,0)</f>
        <v/>
      </c>
      <c r="BC90">
        <f>IF(AND(BC$4=1,BC40=0),1,0)</f>
        <v/>
      </c>
      <c r="BD90">
        <f>IF(AND(BD$4=1,BD40=0),1,0)</f>
        <v/>
      </c>
      <c r="BE90">
        <f>IF(AND(BE$4=1,BE40=0),1,0)</f>
        <v/>
      </c>
      <c r="BF90">
        <f>IF(AND(BF$4=1,BF40=0),1,0)</f>
        <v/>
      </c>
      <c r="BG90">
        <f>IF(AND(BG$4=1,BG40=0),1,0)</f>
        <v/>
      </c>
      <c r="BH90">
        <f>IF(AND(BH$4=1,BH40=0),1,0)</f>
        <v/>
      </c>
      <c r="BI90">
        <f>IF(AND(BI$4=1,BI40=0),1,0)</f>
        <v/>
      </c>
      <c r="BJ90">
        <f>IF(AND(BJ$4=1,BJ40=0),1,0)</f>
        <v/>
      </c>
      <c r="BK90">
        <f>IF(AND(BK$4=1,BK40=0),1,0)</f>
        <v/>
      </c>
      <c r="BL90">
        <f>IF(AND(BL$4=1,BL40=0),1,0)</f>
        <v/>
      </c>
      <c r="BM90">
        <f>IF(AND(BM$4=1,BM40=0),1,0)</f>
        <v/>
      </c>
      <c r="BN90">
        <f>IF(AND(BN$4=1,BN40=0),1,0)</f>
        <v/>
      </c>
      <c r="BO90">
        <f>IF(AND(BO$4=1,BO40=0),1,0)</f>
        <v/>
      </c>
      <c r="BP90">
        <f>IF(AND(BP$4=1,BP40=0),1,0)</f>
        <v/>
      </c>
      <c r="BQ90">
        <f>IF(AND(BQ$4=1,BQ40=0),1,0)</f>
        <v/>
      </c>
      <c r="BR90">
        <f>IF(AND(BR$4=1,BR40=0),1,0)</f>
        <v/>
      </c>
      <c r="BS90">
        <f>IF(AND(BS$4=1,BS40=0),1,0)</f>
        <v/>
      </c>
      <c r="BT90">
        <f>IF(AND(BT$4=1,BT40=0),1,0)</f>
        <v/>
      </c>
      <c r="BU90">
        <f>IF(AND(BU$4=1,BU40=0),1,0)</f>
        <v/>
      </c>
      <c r="BV90">
        <f>IF(AND(BV$4=1,BV40=0),1,0)</f>
        <v/>
      </c>
      <c r="BW90">
        <f>IF(AND(BW$4=1,BW40=0),1,0)</f>
        <v/>
      </c>
      <c r="BX90">
        <f>IF(AND(BX$4=1,BX40=0),1,0)</f>
        <v/>
      </c>
      <c r="BY90">
        <f>IF(AND(BY$4=1,BY40=0),1,0)</f>
        <v/>
      </c>
      <c r="BZ90">
        <f>IF(AND(BZ$4=1,BZ40=0),1,0)</f>
        <v/>
      </c>
      <c r="CA90">
        <f>IF(AND(CA$4=1,CA40=0),1,0)</f>
        <v/>
      </c>
      <c r="CB90">
        <f>IF(AND(CB$4=1,CB40=0),1,0)</f>
        <v/>
      </c>
      <c r="CC90">
        <f>IF(AND(CC$4=1,CC40=0),1,0)</f>
        <v/>
      </c>
      <c r="CD90">
        <f>IF(AND(CD$4=1,CD40=0),1,0)</f>
        <v/>
      </c>
      <c r="CE90">
        <f>IF(AND(CE$4=1,CE40=0),1,0)</f>
        <v/>
      </c>
      <c r="CF90">
        <f>IF(AND(CF$4=1,CF40=0),1,0)</f>
        <v/>
      </c>
      <c r="CG90">
        <f>IF(AND(CG$4=1,CG40=0),1,0)</f>
        <v/>
      </c>
      <c r="CH90">
        <f>IF(AND(CH$4=1,CH40=0),1,0)</f>
        <v/>
      </c>
      <c r="CI90">
        <f>IF(AND(CI$4=1,CI40=0),1,0)</f>
        <v/>
      </c>
      <c r="CJ90">
        <f>IF(AND(CJ$4=1,CJ40=0),1,0)</f>
        <v/>
      </c>
      <c r="CK90">
        <f>IF(AND(CK$4=1,CK40=0),1,0)</f>
        <v/>
      </c>
      <c r="CL90">
        <f>IF(AND(CL$4=1,CL40=0),1,0)</f>
        <v/>
      </c>
      <c r="CM90">
        <f>IF(AND(CM$4=1,CM40=0),1,0)</f>
        <v/>
      </c>
      <c r="CN90">
        <f>IF(AND(CN$4=1,CN40=0),1,0)</f>
        <v/>
      </c>
      <c r="CO90">
        <f>IF(AND(CO$4=1,CO40=0),1,0)</f>
        <v/>
      </c>
      <c r="CP90">
        <f>IF(AND(CP$4=1,CP40=0),1,0)</f>
        <v/>
      </c>
      <c r="CQ90">
        <f>IF(AND(CQ$4=1,CQ40=0),1,0)</f>
        <v/>
      </c>
      <c r="CR90">
        <f>IF(AND(CR$4=1,CR40=0),1,0)</f>
        <v/>
      </c>
      <c r="CS90">
        <f>IF(AND(CS$4=1,CS40=0),1,0)</f>
        <v/>
      </c>
      <c r="CT90">
        <f>IF(AND(CT$4=1,CT40=0),1,0)</f>
        <v/>
      </c>
      <c r="CU90">
        <f>IF(AND(CU$4=1,CU40=0),1,0)</f>
        <v/>
      </c>
      <c r="CV90">
        <f>IF(AND(CV$4=1,CV40=0),1,0)</f>
        <v/>
      </c>
      <c r="CW90">
        <f>IF(AND(CW$4=1,CW40=0),1,0)</f>
        <v/>
      </c>
      <c r="CX90">
        <f>IF(AND(CX$4=1,CX40=0),1,0)</f>
        <v/>
      </c>
      <c r="CY90">
        <f>IF(AND(CY$4=1,CY40=0),1,0)</f>
        <v/>
      </c>
      <c r="CZ90">
        <f>IF(AND(CZ$4=1,CZ40=0),1,0)</f>
        <v/>
      </c>
      <c r="DA90">
        <f>IF(AND(DA$4=1,DA40=0),1,0)</f>
        <v/>
      </c>
      <c r="DB90">
        <f>IF(AND(DB$4=1,DB40=0),1,0)</f>
        <v/>
      </c>
      <c r="DC90">
        <f>IF(AND(DC$4=1,DC40=0),1,0)</f>
        <v/>
      </c>
      <c r="DD90">
        <f>IF(AND(DD$4=1,DD40=0),1,0)</f>
        <v/>
      </c>
      <c r="DE90">
        <f>IF(AND(DE$4=1,DE40=0),1,0)</f>
        <v/>
      </c>
      <c r="DF90">
        <f>IF(AND(DF$4=1,DF40=0),1,0)</f>
        <v/>
      </c>
      <c r="DG90">
        <f>IF(AND(DG$4=1,DG40=0),1,0)</f>
        <v/>
      </c>
      <c r="DH90">
        <f>IF(AND(DH$4=1,DH40=0),1,0)</f>
        <v/>
      </c>
      <c r="DI90">
        <f>IF(AND(DI$4=1,DI40=0),1,0)</f>
        <v/>
      </c>
      <c r="DJ90">
        <f>IF(AND(DJ$4=1,DJ40=0),1,0)</f>
        <v/>
      </c>
      <c r="DK90">
        <f>IF(AND(DK$4=1,DK40=0),1,0)</f>
        <v/>
      </c>
      <c r="DL90">
        <f>IF(AND(DL$4=1,DL40=0),1,0)</f>
        <v/>
      </c>
      <c r="DM90">
        <f>IF(AND(DM$4=1,DM40=0),1,0)</f>
        <v/>
      </c>
      <c r="DN90">
        <f>IF(AND(DN$4=1,DN40=0),1,0)</f>
        <v/>
      </c>
      <c r="DO90">
        <f>IF(AND(DO$4=1,DO40=0),1,0)</f>
        <v/>
      </c>
      <c r="DP90">
        <f>IF(AND(DP$4=1,DP40=0),1,0)</f>
        <v/>
      </c>
      <c r="DQ90">
        <f>IF(AND(DQ$4=1,DQ40=0),1,0)</f>
        <v/>
      </c>
      <c r="DR90">
        <f>IF(AND(DR$4=1,DR40=0),1,0)</f>
        <v/>
      </c>
      <c r="DS90">
        <f>IF(AND(DS$4=1,DS40=0),1,0)</f>
        <v/>
      </c>
      <c r="DT90">
        <f>IF(AND(DT$4=1,DT40=0),1,0)</f>
        <v/>
      </c>
      <c r="DU90">
        <f>IF(AND(DU$4=1,DU40=0),1,0)</f>
        <v/>
      </c>
      <c r="DV90">
        <f>IF(AND(DV$4=1,DV40=0),1,0)</f>
        <v/>
      </c>
      <c r="DW90">
        <f>IF(AND(DW$4=1,DW40=0),1,0)</f>
        <v/>
      </c>
      <c r="DX90">
        <f>IF(AND(DX$4=1,DX40=0),1,0)</f>
        <v/>
      </c>
      <c r="DY90">
        <f>IF(AND(DY$4=1,DY40=0),1,0)</f>
        <v/>
      </c>
      <c r="DZ90">
        <f>IF(AND(DZ$4=1,DZ40=0),1,0)</f>
        <v/>
      </c>
      <c r="EA90">
        <f>IF(AND(EA$4=1,EA40=0),1,0)</f>
        <v/>
      </c>
      <c r="EB90">
        <f>IF(AND(EB$4=1,EB40=0),1,0)</f>
        <v/>
      </c>
      <c r="EC90">
        <f>IF(AND(EC$4=1,EC40=0),1,0)</f>
        <v/>
      </c>
      <c r="ED90">
        <f>IF(AND(ED$4=1,ED40=0),1,0)</f>
        <v/>
      </c>
      <c r="EE90">
        <f>IF(AND(EE$4=1,EE40=0),1,0)</f>
        <v/>
      </c>
      <c r="EF90">
        <f>IF(AND(EF$4=1,EF40=0),1,0)</f>
        <v/>
      </c>
      <c r="EG90">
        <f>IF(AND(EG$4=1,EG40=0),1,0)</f>
        <v/>
      </c>
      <c r="EH90">
        <f>IF(AND(EH$4=1,EH40=0),1,0)</f>
        <v/>
      </c>
      <c r="EI90">
        <f>IF(AND(EI$4=1,EI40=0),1,0)</f>
        <v/>
      </c>
      <c r="EJ90">
        <f>IF(AND(EJ$4=1,EJ40=0),1,0)</f>
        <v/>
      </c>
      <c r="EK90">
        <f>IF(AND(EK$4=1,EK40=0),1,0)</f>
        <v/>
      </c>
      <c r="EL90">
        <f>IF(AND(EL$4=1,EL40=0),1,0)</f>
        <v/>
      </c>
      <c r="EM90">
        <f>IF(AND(EM$4=1,EM40=0),1,0)</f>
        <v/>
      </c>
      <c r="EN90">
        <f>IF(AND(EN$4=1,EN40=0),1,0)</f>
        <v/>
      </c>
      <c r="EO90">
        <f>IF(AND(EO$4=1,EO40=0),1,0)</f>
        <v/>
      </c>
      <c r="EP90">
        <f>IF(AND(EP$4=1,EP40=0),1,0)</f>
        <v/>
      </c>
      <c r="EQ90">
        <f>IF(AND(EQ$4=1,EQ40=0),1,0)</f>
        <v/>
      </c>
    </row>
    <row r="91">
      <c r="A91" t="n">
        <v>32</v>
      </c>
      <c r="D91">
        <f>IF(AND(D$4=1,D41=0),1,0)</f>
        <v/>
      </c>
      <c r="E91">
        <f>IF(AND(E$4=1,E41=0),1,0)</f>
        <v/>
      </c>
      <c r="F91">
        <f>IF(AND(F$4=1,F41=0),1,0)</f>
        <v/>
      </c>
      <c r="G91">
        <f>IF(AND(G$4=1,G41=0),1,0)</f>
        <v/>
      </c>
      <c r="H91">
        <f>IF(AND(H$4=1,H41=0),1,0)</f>
        <v/>
      </c>
      <c r="I91">
        <f>IF(AND(I$4=1,I41=0),1,0)</f>
        <v/>
      </c>
      <c r="J91">
        <f>IF(AND(J$4=1,J41=0),1,0)</f>
        <v/>
      </c>
      <c r="K91">
        <f>IF(AND(K$4=1,K41=0),1,0)</f>
        <v/>
      </c>
      <c r="L91">
        <f>IF(AND(L$4=1,L41=0),1,0)</f>
        <v/>
      </c>
      <c r="M91">
        <f>IF(AND(M$4=1,M41=0),1,0)</f>
        <v/>
      </c>
      <c r="N91">
        <f>IF(AND(N$4=1,N41=0),1,0)</f>
        <v/>
      </c>
      <c r="O91">
        <f>IF(AND(O$4=1,O41=0),1,0)</f>
        <v/>
      </c>
      <c r="P91">
        <f>IF(AND(P$4=1,P41=0),1,0)</f>
        <v/>
      </c>
      <c r="Q91">
        <f>IF(AND(Q$4=1,Q41=0),1,0)</f>
        <v/>
      </c>
      <c r="R91">
        <f>IF(AND(R$4=1,R41=0),1,0)</f>
        <v/>
      </c>
      <c r="S91">
        <f>IF(AND(S$4=1,S41=0),1,0)</f>
        <v/>
      </c>
      <c r="T91">
        <f>IF(AND(T$4=1,T41=0),1,0)</f>
        <v/>
      </c>
      <c r="U91">
        <f>IF(AND(U$4=1,U41=0),1,0)</f>
        <v/>
      </c>
      <c r="V91">
        <f>IF(AND(V$4=1,V41=0),1,0)</f>
        <v/>
      </c>
      <c r="W91">
        <f>IF(AND(W$4=1,W41=0),1,0)</f>
        <v/>
      </c>
      <c r="X91">
        <f>IF(AND(X$4=1,X41=0),1,0)</f>
        <v/>
      </c>
      <c r="Y91">
        <f>IF(AND(Y$4=1,Y41=0),1,0)</f>
        <v/>
      </c>
      <c r="Z91">
        <f>IF(AND(Z$4=1,Z41=0),1,0)</f>
        <v/>
      </c>
      <c r="AA91">
        <f>IF(AND(AA$4=1,AA41=0),1,0)</f>
        <v/>
      </c>
      <c r="AB91">
        <f>IF(AND(AB$4=1,AB41=0),1,0)</f>
        <v/>
      </c>
      <c r="AC91">
        <f>IF(AND(AC$4=1,AC41=0),1,0)</f>
        <v/>
      </c>
      <c r="AD91">
        <f>IF(AND(AD$4=1,AD41=0),1,0)</f>
        <v/>
      </c>
      <c r="AE91">
        <f>IF(AND(AE$4=1,AE41=0),1,0)</f>
        <v/>
      </c>
      <c r="AF91">
        <f>IF(AND(AF$4=1,AF41=0),1,0)</f>
        <v/>
      </c>
      <c r="AG91">
        <f>IF(AND(AG$4=1,AG41=0),1,0)</f>
        <v/>
      </c>
      <c r="AH91">
        <f>IF(AND(AH$4=1,AH41=0),1,0)</f>
        <v/>
      </c>
      <c r="AI91">
        <f>IF(AND(AI$4=1,AI41=0),1,0)</f>
        <v/>
      </c>
      <c r="AJ91">
        <f>IF(AND(AJ$4=1,AJ41=0),1,0)</f>
        <v/>
      </c>
      <c r="AK91">
        <f>IF(AND(AK$4=1,AK41=0),1,0)</f>
        <v/>
      </c>
      <c r="AL91">
        <f>IF(AND(AL$4=1,AL41=0),1,0)</f>
        <v/>
      </c>
      <c r="AM91">
        <f>IF(AND(AM$4=1,AM41=0),1,0)</f>
        <v/>
      </c>
      <c r="AN91">
        <f>IF(AND(AN$4=1,AN41=0),1,0)</f>
        <v/>
      </c>
      <c r="AO91">
        <f>IF(AND(AO$4=1,AO41=0),1,0)</f>
        <v/>
      </c>
      <c r="AP91">
        <f>IF(AND(AP$4=1,AP41=0),1,0)</f>
        <v/>
      </c>
      <c r="AQ91">
        <f>IF(AND(AQ$4=1,AQ41=0),1,0)</f>
        <v/>
      </c>
      <c r="AR91">
        <f>IF(AND(AR$4=1,AR41=0),1,0)</f>
        <v/>
      </c>
      <c r="AS91">
        <f>IF(AND(AS$4=1,AS41=0),1,0)</f>
        <v/>
      </c>
      <c r="AT91">
        <f>IF(AND(AT$4=1,AT41=0),1,0)</f>
        <v/>
      </c>
      <c r="AU91">
        <f>IF(AND(AU$4=1,AU41=0),1,0)</f>
        <v/>
      </c>
      <c r="AV91">
        <f>IF(AND(AV$4=1,AV41=0),1,0)</f>
        <v/>
      </c>
      <c r="AW91">
        <f>IF(AND(AW$4=1,AW41=0),1,0)</f>
        <v/>
      </c>
      <c r="AX91">
        <f>IF(AND(AX$4=1,AX41=0),1,0)</f>
        <v/>
      </c>
      <c r="AY91">
        <f>IF(AND(AY$4=1,AY41=0),1,0)</f>
        <v/>
      </c>
      <c r="AZ91">
        <f>IF(AND(AZ$4=1,AZ41=0),1,0)</f>
        <v/>
      </c>
      <c r="BA91">
        <f>IF(AND(BA$4=1,BA41=0),1,0)</f>
        <v/>
      </c>
      <c r="BB91">
        <f>IF(AND(BB$4=1,BB41=0),1,0)</f>
        <v/>
      </c>
      <c r="BC91">
        <f>IF(AND(BC$4=1,BC41=0),1,0)</f>
        <v/>
      </c>
      <c r="BD91">
        <f>IF(AND(BD$4=1,BD41=0),1,0)</f>
        <v/>
      </c>
      <c r="BE91">
        <f>IF(AND(BE$4=1,BE41=0),1,0)</f>
        <v/>
      </c>
      <c r="BF91">
        <f>IF(AND(BF$4=1,BF41=0),1,0)</f>
        <v/>
      </c>
      <c r="BG91">
        <f>IF(AND(BG$4=1,BG41=0),1,0)</f>
        <v/>
      </c>
      <c r="BH91">
        <f>IF(AND(BH$4=1,BH41=0),1,0)</f>
        <v/>
      </c>
      <c r="BI91">
        <f>IF(AND(BI$4=1,BI41=0),1,0)</f>
        <v/>
      </c>
      <c r="BJ91">
        <f>IF(AND(BJ$4=1,BJ41=0),1,0)</f>
        <v/>
      </c>
      <c r="BK91">
        <f>IF(AND(BK$4=1,BK41=0),1,0)</f>
        <v/>
      </c>
      <c r="BL91">
        <f>IF(AND(BL$4=1,BL41=0),1,0)</f>
        <v/>
      </c>
      <c r="BM91">
        <f>IF(AND(BM$4=1,BM41=0),1,0)</f>
        <v/>
      </c>
      <c r="BN91">
        <f>IF(AND(BN$4=1,BN41=0),1,0)</f>
        <v/>
      </c>
      <c r="BO91">
        <f>IF(AND(BO$4=1,BO41=0),1,0)</f>
        <v/>
      </c>
      <c r="BP91">
        <f>IF(AND(BP$4=1,BP41=0),1,0)</f>
        <v/>
      </c>
      <c r="BQ91">
        <f>IF(AND(BQ$4=1,BQ41=0),1,0)</f>
        <v/>
      </c>
      <c r="BR91">
        <f>IF(AND(BR$4=1,BR41=0),1,0)</f>
        <v/>
      </c>
      <c r="BS91">
        <f>IF(AND(BS$4=1,BS41=0),1,0)</f>
        <v/>
      </c>
      <c r="BT91">
        <f>IF(AND(BT$4=1,BT41=0),1,0)</f>
        <v/>
      </c>
      <c r="BU91">
        <f>IF(AND(BU$4=1,BU41=0),1,0)</f>
        <v/>
      </c>
      <c r="BV91">
        <f>IF(AND(BV$4=1,BV41=0),1,0)</f>
        <v/>
      </c>
      <c r="BW91">
        <f>IF(AND(BW$4=1,BW41=0),1,0)</f>
        <v/>
      </c>
      <c r="BX91">
        <f>IF(AND(BX$4=1,BX41=0),1,0)</f>
        <v/>
      </c>
      <c r="BY91">
        <f>IF(AND(BY$4=1,BY41=0),1,0)</f>
        <v/>
      </c>
      <c r="BZ91">
        <f>IF(AND(BZ$4=1,BZ41=0),1,0)</f>
        <v/>
      </c>
      <c r="CA91">
        <f>IF(AND(CA$4=1,CA41=0),1,0)</f>
        <v/>
      </c>
      <c r="CB91">
        <f>IF(AND(CB$4=1,CB41=0),1,0)</f>
        <v/>
      </c>
      <c r="CC91">
        <f>IF(AND(CC$4=1,CC41=0),1,0)</f>
        <v/>
      </c>
      <c r="CD91">
        <f>IF(AND(CD$4=1,CD41=0),1,0)</f>
        <v/>
      </c>
      <c r="CE91">
        <f>IF(AND(CE$4=1,CE41=0),1,0)</f>
        <v/>
      </c>
      <c r="CF91">
        <f>IF(AND(CF$4=1,CF41=0),1,0)</f>
        <v/>
      </c>
      <c r="CG91">
        <f>IF(AND(CG$4=1,CG41=0),1,0)</f>
        <v/>
      </c>
      <c r="CH91">
        <f>IF(AND(CH$4=1,CH41=0),1,0)</f>
        <v/>
      </c>
      <c r="CI91">
        <f>IF(AND(CI$4=1,CI41=0),1,0)</f>
        <v/>
      </c>
      <c r="CJ91">
        <f>IF(AND(CJ$4=1,CJ41=0),1,0)</f>
        <v/>
      </c>
      <c r="CK91">
        <f>IF(AND(CK$4=1,CK41=0),1,0)</f>
        <v/>
      </c>
      <c r="CL91">
        <f>IF(AND(CL$4=1,CL41=0),1,0)</f>
        <v/>
      </c>
      <c r="CM91">
        <f>IF(AND(CM$4=1,CM41=0),1,0)</f>
        <v/>
      </c>
      <c r="CN91">
        <f>IF(AND(CN$4=1,CN41=0),1,0)</f>
        <v/>
      </c>
      <c r="CO91">
        <f>IF(AND(CO$4=1,CO41=0),1,0)</f>
        <v/>
      </c>
      <c r="CP91">
        <f>IF(AND(CP$4=1,CP41=0),1,0)</f>
        <v/>
      </c>
      <c r="CQ91">
        <f>IF(AND(CQ$4=1,CQ41=0),1,0)</f>
        <v/>
      </c>
      <c r="CR91">
        <f>IF(AND(CR$4=1,CR41=0),1,0)</f>
        <v/>
      </c>
      <c r="CS91">
        <f>IF(AND(CS$4=1,CS41=0),1,0)</f>
        <v/>
      </c>
      <c r="CT91">
        <f>IF(AND(CT$4=1,CT41=0),1,0)</f>
        <v/>
      </c>
      <c r="CU91">
        <f>IF(AND(CU$4=1,CU41=0),1,0)</f>
        <v/>
      </c>
      <c r="CV91">
        <f>IF(AND(CV$4=1,CV41=0),1,0)</f>
        <v/>
      </c>
      <c r="CW91">
        <f>IF(AND(CW$4=1,CW41=0),1,0)</f>
        <v/>
      </c>
      <c r="CX91">
        <f>IF(AND(CX$4=1,CX41=0),1,0)</f>
        <v/>
      </c>
      <c r="CY91">
        <f>IF(AND(CY$4=1,CY41=0),1,0)</f>
        <v/>
      </c>
      <c r="CZ91">
        <f>IF(AND(CZ$4=1,CZ41=0),1,0)</f>
        <v/>
      </c>
      <c r="DA91">
        <f>IF(AND(DA$4=1,DA41=0),1,0)</f>
        <v/>
      </c>
      <c r="DB91">
        <f>IF(AND(DB$4=1,DB41=0),1,0)</f>
        <v/>
      </c>
      <c r="DC91">
        <f>IF(AND(DC$4=1,DC41=0),1,0)</f>
        <v/>
      </c>
      <c r="DD91">
        <f>IF(AND(DD$4=1,DD41=0),1,0)</f>
        <v/>
      </c>
      <c r="DE91">
        <f>IF(AND(DE$4=1,DE41=0),1,0)</f>
        <v/>
      </c>
      <c r="DF91">
        <f>IF(AND(DF$4=1,DF41=0),1,0)</f>
        <v/>
      </c>
      <c r="DG91">
        <f>IF(AND(DG$4=1,DG41=0),1,0)</f>
        <v/>
      </c>
      <c r="DH91">
        <f>IF(AND(DH$4=1,DH41=0),1,0)</f>
        <v/>
      </c>
      <c r="DI91">
        <f>IF(AND(DI$4=1,DI41=0),1,0)</f>
        <v/>
      </c>
      <c r="DJ91">
        <f>IF(AND(DJ$4=1,DJ41=0),1,0)</f>
        <v/>
      </c>
      <c r="DK91">
        <f>IF(AND(DK$4=1,DK41=0),1,0)</f>
        <v/>
      </c>
      <c r="DL91">
        <f>IF(AND(DL$4=1,DL41=0),1,0)</f>
        <v/>
      </c>
      <c r="DM91">
        <f>IF(AND(DM$4=1,DM41=0),1,0)</f>
        <v/>
      </c>
      <c r="DN91">
        <f>IF(AND(DN$4=1,DN41=0),1,0)</f>
        <v/>
      </c>
      <c r="DO91">
        <f>IF(AND(DO$4=1,DO41=0),1,0)</f>
        <v/>
      </c>
      <c r="DP91">
        <f>IF(AND(DP$4=1,DP41=0),1,0)</f>
        <v/>
      </c>
      <c r="DQ91">
        <f>IF(AND(DQ$4=1,DQ41=0),1,0)</f>
        <v/>
      </c>
      <c r="DR91">
        <f>IF(AND(DR$4=1,DR41=0),1,0)</f>
        <v/>
      </c>
      <c r="DS91">
        <f>IF(AND(DS$4=1,DS41=0),1,0)</f>
        <v/>
      </c>
      <c r="DT91">
        <f>IF(AND(DT$4=1,DT41=0),1,0)</f>
        <v/>
      </c>
      <c r="DU91">
        <f>IF(AND(DU$4=1,DU41=0),1,0)</f>
        <v/>
      </c>
      <c r="DV91">
        <f>IF(AND(DV$4=1,DV41=0),1,0)</f>
        <v/>
      </c>
      <c r="DW91">
        <f>IF(AND(DW$4=1,DW41=0),1,0)</f>
        <v/>
      </c>
      <c r="DX91">
        <f>IF(AND(DX$4=1,DX41=0),1,0)</f>
        <v/>
      </c>
      <c r="DY91">
        <f>IF(AND(DY$4=1,DY41=0),1,0)</f>
        <v/>
      </c>
      <c r="DZ91">
        <f>IF(AND(DZ$4=1,DZ41=0),1,0)</f>
        <v/>
      </c>
      <c r="EA91">
        <f>IF(AND(EA$4=1,EA41=0),1,0)</f>
        <v/>
      </c>
      <c r="EB91">
        <f>IF(AND(EB$4=1,EB41=0),1,0)</f>
        <v/>
      </c>
      <c r="EC91">
        <f>IF(AND(EC$4=1,EC41=0),1,0)</f>
        <v/>
      </c>
      <c r="ED91">
        <f>IF(AND(ED$4=1,ED41=0),1,0)</f>
        <v/>
      </c>
      <c r="EE91">
        <f>IF(AND(EE$4=1,EE41=0),1,0)</f>
        <v/>
      </c>
      <c r="EF91">
        <f>IF(AND(EF$4=1,EF41=0),1,0)</f>
        <v/>
      </c>
      <c r="EG91">
        <f>IF(AND(EG$4=1,EG41=0),1,0)</f>
        <v/>
      </c>
      <c r="EH91">
        <f>IF(AND(EH$4=1,EH41=0),1,0)</f>
        <v/>
      </c>
      <c r="EI91">
        <f>IF(AND(EI$4=1,EI41=0),1,0)</f>
        <v/>
      </c>
      <c r="EJ91">
        <f>IF(AND(EJ$4=1,EJ41=0),1,0)</f>
        <v/>
      </c>
      <c r="EK91">
        <f>IF(AND(EK$4=1,EK41=0),1,0)</f>
        <v/>
      </c>
      <c r="EL91">
        <f>IF(AND(EL$4=1,EL41=0),1,0)</f>
        <v/>
      </c>
      <c r="EM91">
        <f>IF(AND(EM$4=1,EM41=0),1,0)</f>
        <v/>
      </c>
      <c r="EN91">
        <f>IF(AND(EN$4=1,EN41=0),1,0)</f>
        <v/>
      </c>
      <c r="EO91">
        <f>IF(AND(EO$4=1,EO41=0),1,0)</f>
        <v/>
      </c>
      <c r="EP91">
        <f>IF(AND(EP$4=1,EP41=0),1,0)</f>
        <v/>
      </c>
      <c r="EQ91">
        <f>IF(AND(EQ$4=1,EQ41=0),1,0)</f>
        <v/>
      </c>
    </row>
    <row r="92">
      <c r="A92" t="n">
        <v>33</v>
      </c>
      <c r="D92">
        <f>IF(AND(D$4=1,D42=0),1,0)</f>
        <v/>
      </c>
      <c r="E92">
        <f>IF(AND(E$4=1,E42=0),1,0)</f>
        <v/>
      </c>
      <c r="F92">
        <f>IF(AND(F$4=1,F42=0),1,0)</f>
        <v/>
      </c>
      <c r="G92">
        <f>IF(AND(G$4=1,G42=0),1,0)</f>
        <v/>
      </c>
      <c r="H92">
        <f>IF(AND(H$4=1,H42=0),1,0)</f>
        <v/>
      </c>
      <c r="I92">
        <f>IF(AND(I$4=1,I42=0),1,0)</f>
        <v/>
      </c>
      <c r="J92">
        <f>IF(AND(J$4=1,J42=0),1,0)</f>
        <v/>
      </c>
      <c r="K92">
        <f>IF(AND(K$4=1,K42=0),1,0)</f>
        <v/>
      </c>
      <c r="L92">
        <f>IF(AND(L$4=1,L42=0),1,0)</f>
        <v/>
      </c>
      <c r="M92">
        <f>IF(AND(M$4=1,M42=0),1,0)</f>
        <v/>
      </c>
      <c r="N92">
        <f>IF(AND(N$4=1,N42=0),1,0)</f>
        <v/>
      </c>
      <c r="O92">
        <f>IF(AND(O$4=1,O42=0),1,0)</f>
        <v/>
      </c>
      <c r="P92">
        <f>IF(AND(P$4=1,P42=0),1,0)</f>
        <v/>
      </c>
      <c r="Q92">
        <f>IF(AND(Q$4=1,Q42=0),1,0)</f>
        <v/>
      </c>
      <c r="R92">
        <f>IF(AND(R$4=1,R42=0),1,0)</f>
        <v/>
      </c>
      <c r="S92">
        <f>IF(AND(S$4=1,S42=0),1,0)</f>
        <v/>
      </c>
      <c r="T92">
        <f>IF(AND(T$4=1,T42=0),1,0)</f>
        <v/>
      </c>
      <c r="U92">
        <f>IF(AND(U$4=1,U42=0),1,0)</f>
        <v/>
      </c>
      <c r="V92">
        <f>IF(AND(V$4=1,V42=0),1,0)</f>
        <v/>
      </c>
      <c r="W92">
        <f>IF(AND(W$4=1,W42=0),1,0)</f>
        <v/>
      </c>
      <c r="X92">
        <f>IF(AND(X$4=1,X42=0),1,0)</f>
        <v/>
      </c>
      <c r="Y92">
        <f>IF(AND(Y$4=1,Y42=0),1,0)</f>
        <v/>
      </c>
      <c r="Z92">
        <f>IF(AND(Z$4=1,Z42=0),1,0)</f>
        <v/>
      </c>
      <c r="AA92">
        <f>IF(AND(AA$4=1,AA42=0),1,0)</f>
        <v/>
      </c>
      <c r="AB92">
        <f>IF(AND(AB$4=1,AB42=0),1,0)</f>
        <v/>
      </c>
      <c r="AC92">
        <f>IF(AND(AC$4=1,AC42=0),1,0)</f>
        <v/>
      </c>
      <c r="AD92">
        <f>IF(AND(AD$4=1,AD42=0),1,0)</f>
        <v/>
      </c>
      <c r="AE92">
        <f>IF(AND(AE$4=1,AE42=0),1,0)</f>
        <v/>
      </c>
      <c r="AF92">
        <f>IF(AND(AF$4=1,AF42=0),1,0)</f>
        <v/>
      </c>
      <c r="AG92">
        <f>IF(AND(AG$4=1,AG42=0),1,0)</f>
        <v/>
      </c>
      <c r="AH92">
        <f>IF(AND(AH$4=1,AH42=0),1,0)</f>
        <v/>
      </c>
      <c r="AI92">
        <f>IF(AND(AI$4=1,AI42=0),1,0)</f>
        <v/>
      </c>
      <c r="AJ92">
        <f>IF(AND(AJ$4=1,AJ42=0),1,0)</f>
        <v/>
      </c>
      <c r="AK92">
        <f>IF(AND(AK$4=1,AK42=0),1,0)</f>
        <v/>
      </c>
      <c r="AL92">
        <f>IF(AND(AL$4=1,AL42=0),1,0)</f>
        <v/>
      </c>
      <c r="AM92">
        <f>IF(AND(AM$4=1,AM42=0),1,0)</f>
        <v/>
      </c>
      <c r="AN92">
        <f>IF(AND(AN$4=1,AN42=0),1,0)</f>
        <v/>
      </c>
      <c r="AO92">
        <f>IF(AND(AO$4=1,AO42=0),1,0)</f>
        <v/>
      </c>
      <c r="AP92">
        <f>IF(AND(AP$4=1,AP42=0),1,0)</f>
        <v/>
      </c>
      <c r="AQ92">
        <f>IF(AND(AQ$4=1,AQ42=0),1,0)</f>
        <v/>
      </c>
      <c r="AR92">
        <f>IF(AND(AR$4=1,AR42=0),1,0)</f>
        <v/>
      </c>
      <c r="AS92">
        <f>IF(AND(AS$4=1,AS42=0),1,0)</f>
        <v/>
      </c>
      <c r="AT92">
        <f>IF(AND(AT$4=1,AT42=0),1,0)</f>
        <v/>
      </c>
      <c r="AU92">
        <f>IF(AND(AU$4=1,AU42=0),1,0)</f>
        <v/>
      </c>
      <c r="AV92">
        <f>IF(AND(AV$4=1,AV42=0),1,0)</f>
        <v/>
      </c>
      <c r="AW92">
        <f>IF(AND(AW$4=1,AW42=0),1,0)</f>
        <v/>
      </c>
      <c r="AX92">
        <f>IF(AND(AX$4=1,AX42=0),1,0)</f>
        <v/>
      </c>
      <c r="AY92">
        <f>IF(AND(AY$4=1,AY42=0),1,0)</f>
        <v/>
      </c>
      <c r="AZ92">
        <f>IF(AND(AZ$4=1,AZ42=0),1,0)</f>
        <v/>
      </c>
      <c r="BA92">
        <f>IF(AND(BA$4=1,BA42=0),1,0)</f>
        <v/>
      </c>
      <c r="BB92">
        <f>IF(AND(BB$4=1,BB42=0),1,0)</f>
        <v/>
      </c>
      <c r="BC92">
        <f>IF(AND(BC$4=1,BC42=0),1,0)</f>
        <v/>
      </c>
      <c r="BD92">
        <f>IF(AND(BD$4=1,BD42=0),1,0)</f>
        <v/>
      </c>
      <c r="BE92">
        <f>IF(AND(BE$4=1,BE42=0),1,0)</f>
        <v/>
      </c>
      <c r="BF92">
        <f>IF(AND(BF$4=1,BF42=0),1,0)</f>
        <v/>
      </c>
      <c r="BG92">
        <f>IF(AND(BG$4=1,BG42=0),1,0)</f>
        <v/>
      </c>
      <c r="BH92">
        <f>IF(AND(BH$4=1,BH42=0),1,0)</f>
        <v/>
      </c>
      <c r="BI92">
        <f>IF(AND(BI$4=1,BI42=0),1,0)</f>
        <v/>
      </c>
      <c r="BJ92">
        <f>IF(AND(BJ$4=1,BJ42=0),1,0)</f>
        <v/>
      </c>
      <c r="BK92">
        <f>IF(AND(BK$4=1,BK42=0),1,0)</f>
        <v/>
      </c>
      <c r="BL92">
        <f>IF(AND(BL$4=1,BL42=0),1,0)</f>
        <v/>
      </c>
      <c r="BM92">
        <f>IF(AND(BM$4=1,BM42=0),1,0)</f>
        <v/>
      </c>
      <c r="BN92">
        <f>IF(AND(BN$4=1,BN42=0),1,0)</f>
        <v/>
      </c>
      <c r="BO92">
        <f>IF(AND(BO$4=1,BO42=0),1,0)</f>
        <v/>
      </c>
      <c r="BP92">
        <f>IF(AND(BP$4=1,BP42=0),1,0)</f>
        <v/>
      </c>
      <c r="BQ92">
        <f>IF(AND(BQ$4=1,BQ42=0),1,0)</f>
        <v/>
      </c>
      <c r="BR92">
        <f>IF(AND(BR$4=1,BR42=0),1,0)</f>
        <v/>
      </c>
      <c r="BS92">
        <f>IF(AND(BS$4=1,BS42=0),1,0)</f>
        <v/>
      </c>
      <c r="BT92">
        <f>IF(AND(BT$4=1,BT42=0),1,0)</f>
        <v/>
      </c>
      <c r="BU92">
        <f>IF(AND(BU$4=1,BU42=0),1,0)</f>
        <v/>
      </c>
      <c r="BV92">
        <f>IF(AND(BV$4=1,BV42=0),1,0)</f>
        <v/>
      </c>
      <c r="BW92">
        <f>IF(AND(BW$4=1,BW42=0),1,0)</f>
        <v/>
      </c>
      <c r="BX92">
        <f>IF(AND(BX$4=1,BX42=0),1,0)</f>
        <v/>
      </c>
      <c r="BY92">
        <f>IF(AND(BY$4=1,BY42=0),1,0)</f>
        <v/>
      </c>
      <c r="BZ92">
        <f>IF(AND(BZ$4=1,BZ42=0),1,0)</f>
        <v/>
      </c>
      <c r="CA92">
        <f>IF(AND(CA$4=1,CA42=0),1,0)</f>
        <v/>
      </c>
      <c r="CB92">
        <f>IF(AND(CB$4=1,CB42=0),1,0)</f>
        <v/>
      </c>
      <c r="CC92">
        <f>IF(AND(CC$4=1,CC42=0),1,0)</f>
        <v/>
      </c>
      <c r="CD92">
        <f>IF(AND(CD$4=1,CD42=0),1,0)</f>
        <v/>
      </c>
      <c r="CE92">
        <f>IF(AND(CE$4=1,CE42=0),1,0)</f>
        <v/>
      </c>
      <c r="CF92">
        <f>IF(AND(CF$4=1,CF42=0),1,0)</f>
        <v/>
      </c>
      <c r="CG92">
        <f>IF(AND(CG$4=1,CG42=0),1,0)</f>
        <v/>
      </c>
      <c r="CH92">
        <f>IF(AND(CH$4=1,CH42=0),1,0)</f>
        <v/>
      </c>
      <c r="CI92">
        <f>IF(AND(CI$4=1,CI42=0),1,0)</f>
        <v/>
      </c>
      <c r="CJ92">
        <f>IF(AND(CJ$4=1,CJ42=0),1,0)</f>
        <v/>
      </c>
      <c r="CK92">
        <f>IF(AND(CK$4=1,CK42=0),1,0)</f>
        <v/>
      </c>
      <c r="CL92">
        <f>IF(AND(CL$4=1,CL42=0),1,0)</f>
        <v/>
      </c>
      <c r="CM92">
        <f>IF(AND(CM$4=1,CM42=0),1,0)</f>
        <v/>
      </c>
      <c r="CN92">
        <f>IF(AND(CN$4=1,CN42=0),1,0)</f>
        <v/>
      </c>
      <c r="CO92">
        <f>IF(AND(CO$4=1,CO42=0),1,0)</f>
        <v/>
      </c>
      <c r="CP92">
        <f>IF(AND(CP$4=1,CP42=0),1,0)</f>
        <v/>
      </c>
      <c r="CQ92">
        <f>IF(AND(CQ$4=1,CQ42=0),1,0)</f>
        <v/>
      </c>
      <c r="CR92">
        <f>IF(AND(CR$4=1,CR42=0),1,0)</f>
        <v/>
      </c>
      <c r="CS92">
        <f>IF(AND(CS$4=1,CS42=0),1,0)</f>
        <v/>
      </c>
      <c r="CT92">
        <f>IF(AND(CT$4=1,CT42=0),1,0)</f>
        <v/>
      </c>
      <c r="CU92">
        <f>IF(AND(CU$4=1,CU42=0),1,0)</f>
        <v/>
      </c>
      <c r="CV92">
        <f>IF(AND(CV$4=1,CV42=0),1,0)</f>
        <v/>
      </c>
      <c r="CW92">
        <f>IF(AND(CW$4=1,CW42=0),1,0)</f>
        <v/>
      </c>
      <c r="CX92">
        <f>IF(AND(CX$4=1,CX42=0),1,0)</f>
        <v/>
      </c>
      <c r="CY92">
        <f>IF(AND(CY$4=1,CY42=0),1,0)</f>
        <v/>
      </c>
      <c r="CZ92">
        <f>IF(AND(CZ$4=1,CZ42=0),1,0)</f>
        <v/>
      </c>
      <c r="DA92">
        <f>IF(AND(DA$4=1,DA42=0),1,0)</f>
        <v/>
      </c>
      <c r="DB92">
        <f>IF(AND(DB$4=1,DB42=0),1,0)</f>
        <v/>
      </c>
      <c r="DC92">
        <f>IF(AND(DC$4=1,DC42=0),1,0)</f>
        <v/>
      </c>
      <c r="DD92">
        <f>IF(AND(DD$4=1,DD42=0),1,0)</f>
        <v/>
      </c>
      <c r="DE92">
        <f>IF(AND(DE$4=1,DE42=0),1,0)</f>
        <v/>
      </c>
      <c r="DF92">
        <f>IF(AND(DF$4=1,DF42=0),1,0)</f>
        <v/>
      </c>
      <c r="DG92">
        <f>IF(AND(DG$4=1,DG42=0),1,0)</f>
        <v/>
      </c>
      <c r="DH92">
        <f>IF(AND(DH$4=1,DH42=0),1,0)</f>
        <v/>
      </c>
      <c r="DI92">
        <f>IF(AND(DI$4=1,DI42=0),1,0)</f>
        <v/>
      </c>
      <c r="DJ92">
        <f>IF(AND(DJ$4=1,DJ42=0),1,0)</f>
        <v/>
      </c>
      <c r="DK92">
        <f>IF(AND(DK$4=1,DK42=0),1,0)</f>
        <v/>
      </c>
      <c r="DL92">
        <f>IF(AND(DL$4=1,DL42=0),1,0)</f>
        <v/>
      </c>
      <c r="DM92">
        <f>IF(AND(DM$4=1,DM42=0),1,0)</f>
        <v/>
      </c>
      <c r="DN92">
        <f>IF(AND(DN$4=1,DN42=0),1,0)</f>
        <v/>
      </c>
      <c r="DO92">
        <f>IF(AND(DO$4=1,DO42=0),1,0)</f>
        <v/>
      </c>
      <c r="DP92">
        <f>IF(AND(DP$4=1,DP42=0),1,0)</f>
        <v/>
      </c>
      <c r="DQ92">
        <f>IF(AND(DQ$4=1,DQ42=0),1,0)</f>
        <v/>
      </c>
      <c r="DR92">
        <f>IF(AND(DR$4=1,DR42=0),1,0)</f>
        <v/>
      </c>
      <c r="DS92">
        <f>IF(AND(DS$4=1,DS42=0),1,0)</f>
        <v/>
      </c>
      <c r="DT92">
        <f>IF(AND(DT$4=1,DT42=0),1,0)</f>
        <v/>
      </c>
      <c r="DU92">
        <f>IF(AND(DU$4=1,DU42=0),1,0)</f>
        <v/>
      </c>
      <c r="DV92">
        <f>IF(AND(DV$4=1,DV42=0),1,0)</f>
        <v/>
      </c>
      <c r="DW92">
        <f>IF(AND(DW$4=1,DW42=0),1,0)</f>
        <v/>
      </c>
      <c r="DX92">
        <f>IF(AND(DX$4=1,DX42=0),1,0)</f>
        <v/>
      </c>
      <c r="DY92">
        <f>IF(AND(DY$4=1,DY42=0),1,0)</f>
        <v/>
      </c>
      <c r="DZ92">
        <f>IF(AND(DZ$4=1,DZ42=0),1,0)</f>
        <v/>
      </c>
      <c r="EA92">
        <f>IF(AND(EA$4=1,EA42=0),1,0)</f>
        <v/>
      </c>
      <c r="EB92">
        <f>IF(AND(EB$4=1,EB42=0),1,0)</f>
        <v/>
      </c>
      <c r="EC92">
        <f>IF(AND(EC$4=1,EC42=0),1,0)</f>
        <v/>
      </c>
      <c r="ED92">
        <f>IF(AND(ED$4=1,ED42=0),1,0)</f>
        <v/>
      </c>
      <c r="EE92">
        <f>IF(AND(EE$4=1,EE42=0),1,0)</f>
        <v/>
      </c>
      <c r="EF92">
        <f>IF(AND(EF$4=1,EF42=0),1,0)</f>
        <v/>
      </c>
      <c r="EG92">
        <f>IF(AND(EG$4=1,EG42=0),1,0)</f>
        <v/>
      </c>
      <c r="EH92">
        <f>IF(AND(EH$4=1,EH42=0),1,0)</f>
        <v/>
      </c>
      <c r="EI92">
        <f>IF(AND(EI$4=1,EI42=0),1,0)</f>
        <v/>
      </c>
      <c r="EJ92">
        <f>IF(AND(EJ$4=1,EJ42=0),1,0)</f>
        <v/>
      </c>
      <c r="EK92">
        <f>IF(AND(EK$4=1,EK42=0),1,0)</f>
        <v/>
      </c>
      <c r="EL92">
        <f>IF(AND(EL$4=1,EL42=0),1,0)</f>
        <v/>
      </c>
      <c r="EM92">
        <f>IF(AND(EM$4=1,EM42=0),1,0)</f>
        <v/>
      </c>
      <c r="EN92">
        <f>IF(AND(EN$4=1,EN42=0),1,0)</f>
        <v/>
      </c>
      <c r="EO92">
        <f>IF(AND(EO$4=1,EO42=0),1,0)</f>
        <v/>
      </c>
      <c r="EP92">
        <f>IF(AND(EP$4=1,EP42=0),1,0)</f>
        <v/>
      </c>
      <c r="EQ92">
        <f>IF(AND(EQ$4=1,EQ42=0),1,0)</f>
        <v/>
      </c>
    </row>
    <row r="93">
      <c r="A93" t="n">
        <v>34</v>
      </c>
      <c r="D93">
        <f>IF(AND(D$4=1,D43=0),1,0)</f>
        <v/>
      </c>
      <c r="E93">
        <f>IF(AND(E$4=1,E43=0),1,0)</f>
        <v/>
      </c>
      <c r="F93">
        <f>IF(AND(F$4=1,F43=0),1,0)</f>
        <v/>
      </c>
      <c r="G93">
        <f>IF(AND(G$4=1,G43=0),1,0)</f>
        <v/>
      </c>
      <c r="H93">
        <f>IF(AND(H$4=1,H43=0),1,0)</f>
        <v/>
      </c>
      <c r="I93">
        <f>IF(AND(I$4=1,I43=0),1,0)</f>
        <v/>
      </c>
      <c r="J93">
        <f>IF(AND(J$4=1,J43=0),1,0)</f>
        <v/>
      </c>
      <c r="K93">
        <f>IF(AND(K$4=1,K43=0),1,0)</f>
        <v/>
      </c>
      <c r="L93">
        <f>IF(AND(L$4=1,L43=0),1,0)</f>
        <v/>
      </c>
      <c r="M93">
        <f>IF(AND(M$4=1,M43=0),1,0)</f>
        <v/>
      </c>
      <c r="N93">
        <f>IF(AND(N$4=1,N43=0),1,0)</f>
        <v/>
      </c>
      <c r="O93">
        <f>IF(AND(O$4=1,O43=0),1,0)</f>
        <v/>
      </c>
      <c r="P93">
        <f>IF(AND(P$4=1,P43=0),1,0)</f>
        <v/>
      </c>
      <c r="Q93">
        <f>IF(AND(Q$4=1,Q43=0),1,0)</f>
        <v/>
      </c>
      <c r="R93">
        <f>IF(AND(R$4=1,R43=0),1,0)</f>
        <v/>
      </c>
      <c r="S93">
        <f>IF(AND(S$4=1,S43=0),1,0)</f>
        <v/>
      </c>
      <c r="T93">
        <f>IF(AND(T$4=1,T43=0),1,0)</f>
        <v/>
      </c>
      <c r="U93">
        <f>IF(AND(U$4=1,U43=0),1,0)</f>
        <v/>
      </c>
      <c r="V93">
        <f>IF(AND(V$4=1,V43=0),1,0)</f>
        <v/>
      </c>
      <c r="W93">
        <f>IF(AND(W$4=1,W43=0),1,0)</f>
        <v/>
      </c>
      <c r="X93">
        <f>IF(AND(X$4=1,X43=0),1,0)</f>
        <v/>
      </c>
      <c r="Y93">
        <f>IF(AND(Y$4=1,Y43=0),1,0)</f>
        <v/>
      </c>
      <c r="Z93">
        <f>IF(AND(Z$4=1,Z43=0),1,0)</f>
        <v/>
      </c>
      <c r="AA93">
        <f>IF(AND(AA$4=1,AA43=0),1,0)</f>
        <v/>
      </c>
      <c r="AB93">
        <f>IF(AND(AB$4=1,AB43=0),1,0)</f>
        <v/>
      </c>
      <c r="AC93">
        <f>IF(AND(AC$4=1,AC43=0),1,0)</f>
        <v/>
      </c>
      <c r="AD93">
        <f>IF(AND(AD$4=1,AD43=0),1,0)</f>
        <v/>
      </c>
      <c r="AE93">
        <f>IF(AND(AE$4=1,AE43=0),1,0)</f>
        <v/>
      </c>
      <c r="AF93">
        <f>IF(AND(AF$4=1,AF43=0),1,0)</f>
        <v/>
      </c>
      <c r="AG93">
        <f>IF(AND(AG$4=1,AG43=0),1,0)</f>
        <v/>
      </c>
      <c r="AH93">
        <f>IF(AND(AH$4=1,AH43=0),1,0)</f>
        <v/>
      </c>
      <c r="AI93">
        <f>IF(AND(AI$4=1,AI43=0),1,0)</f>
        <v/>
      </c>
      <c r="AJ93">
        <f>IF(AND(AJ$4=1,AJ43=0),1,0)</f>
        <v/>
      </c>
      <c r="AK93">
        <f>IF(AND(AK$4=1,AK43=0),1,0)</f>
        <v/>
      </c>
      <c r="AL93">
        <f>IF(AND(AL$4=1,AL43=0),1,0)</f>
        <v/>
      </c>
      <c r="AM93">
        <f>IF(AND(AM$4=1,AM43=0),1,0)</f>
        <v/>
      </c>
      <c r="AN93">
        <f>IF(AND(AN$4=1,AN43=0),1,0)</f>
        <v/>
      </c>
      <c r="AO93">
        <f>IF(AND(AO$4=1,AO43=0),1,0)</f>
        <v/>
      </c>
      <c r="AP93">
        <f>IF(AND(AP$4=1,AP43=0),1,0)</f>
        <v/>
      </c>
      <c r="AQ93">
        <f>IF(AND(AQ$4=1,AQ43=0),1,0)</f>
        <v/>
      </c>
      <c r="AR93">
        <f>IF(AND(AR$4=1,AR43=0),1,0)</f>
        <v/>
      </c>
      <c r="AS93">
        <f>IF(AND(AS$4=1,AS43=0),1,0)</f>
        <v/>
      </c>
      <c r="AT93">
        <f>IF(AND(AT$4=1,AT43=0),1,0)</f>
        <v/>
      </c>
      <c r="AU93">
        <f>IF(AND(AU$4=1,AU43=0),1,0)</f>
        <v/>
      </c>
      <c r="AV93">
        <f>IF(AND(AV$4=1,AV43=0),1,0)</f>
        <v/>
      </c>
      <c r="AW93">
        <f>IF(AND(AW$4=1,AW43=0),1,0)</f>
        <v/>
      </c>
      <c r="AX93">
        <f>IF(AND(AX$4=1,AX43=0),1,0)</f>
        <v/>
      </c>
      <c r="AY93">
        <f>IF(AND(AY$4=1,AY43=0),1,0)</f>
        <v/>
      </c>
      <c r="AZ93">
        <f>IF(AND(AZ$4=1,AZ43=0),1,0)</f>
        <v/>
      </c>
      <c r="BA93">
        <f>IF(AND(BA$4=1,BA43=0),1,0)</f>
        <v/>
      </c>
      <c r="BB93">
        <f>IF(AND(BB$4=1,BB43=0),1,0)</f>
        <v/>
      </c>
      <c r="BC93">
        <f>IF(AND(BC$4=1,BC43=0),1,0)</f>
        <v/>
      </c>
      <c r="BD93">
        <f>IF(AND(BD$4=1,BD43=0),1,0)</f>
        <v/>
      </c>
      <c r="BE93">
        <f>IF(AND(BE$4=1,BE43=0),1,0)</f>
        <v/>
      </c>
      <c r="BF93">
        <f>IF(AND(BF$4=1,BF43=0),1,0)</f>
        <v/>
      </c>
      <c r="BG93">
        <f>IF(AND(BG$4=1,BG43=0),1,0)</f>
        <v/>
      </c>
      <c r="BH93">
        <f>IF(AND(BH$4=1,BH43=0),1,0)</f>
        <v/>
      </c>
      <c r="BI93">
        <f>IF(AND(BI$4=1,BI43=0),1,0)</f>
        <v/>
      </c>
      <c r="BJ93">
        <f>IF(AND(BJ$4=1,BJ43=0),1,0)</f>
        <v/>
      </c>
      <c r="BK93">
        <f>IF(AND(BK$4=1,BK43=0),1,0)</f>
        <v/>
      </c>
      <c r="BL93">
        <f>IF(AND(BL$4=1,BL43=0),1,0)</f>
        <v/>
      </c>
      <c r="BM93">
        <f>IF(AND(BM$4=1,BM43=0),1,0)</f>
        <v/>
      </c>
      <c r="BN93">
        <f>IF(AND(BN$4=1,BN43=0),1,0)</f>
        <v/>
      </c>
      <c r="BO93">
        <f>IF(AND(BO$4=1,BO43=0),1,0)</f>
        <v/>
      </c>
      <c r="BP93">
        <f>IF(AND(BP$4=1,BP43=0),1,0)</f>
        <v/>
      </c>
      <c r="BQ93">
        <f>IF(AND(BQ$4=1,BQ43=0),1,0)</f>
        <v/>
      </c>
      <c r="BR93">
        <f>IF(AND(BR$4=1,BR43=0),1,0)</f>
        <v/>
      </c>
      <c r="BS93">
        <f>IF(AND(BS$4=1,BS43=0),1,0)</f>
        <v/>
      </c>
      <c r="BT93">
        <f>IF(AND(BT$4=1,BT43=0),1,0)</f>
        <v/>
      </c>
      <c r="BU93">
        <f>IF(AND(BU$4=1,BU43=0),1,0)</f>
        <v/>
      </c>
      <c r="BV93">
        <f>IF(AND(BV$4=1,BV43=0),1,0)</f>
        <v/>
      </c>
      <c r="BW93">
        <f>IF(AND(BW$4=1,BW43=0),1,0)</f>
        <v/>
      </c>
      <c r="BX93">
        <f>IF(AND(BX$4=1,BX43=0),1,0)</f>
        <v/>
      </c>
      <c r="BY93">
        <f>IF(AND(BY$4=1,BY43=0),1,0)</f>
        <v/>
      </c>
      <c r="BZ93">
        <f>IF(AND(BZ$4=1,BZ43=0),1,0)</f>
        <v/>
      </c>
      <c r="CA93">
        <f>IF(AND(CA$4=1,CA43=0),1,0)</f>
        <v/>
      </c>
      <c r="CB93">
        <f>IF(AND(CB$4=1,CB43=0),1,0)</f>
        <v/>
      </c>
      <c r="CC93">
        <f>IF(AND(CC$4=1,CC43=0),1,0)</f>
        <v/>
      </c>
      <c r="CD93">
        <f>IF(AND(CD$4=1,CD43=0),1,0)</f>
        <v/>
      </c>
      <c r="CE93">
        <f>IF(AND(CE$4=1,CE43=0),1,0)</f>
        <v/>
      </c>
      <c r="CF93">
        <f>IF(AND(CF$4=1,CF43=0),1,0)</f>
        <v/>
      </c>
      <c r="CG93">
        <f>IF(AND(CG$4=1,CG43=0),1,0)</f>
        <v/>
      </c>
      <c r="CH93">
        <f>IF(AND(CH$4=1,CH43=0),1,0)</f>
        <v/>
      </c>
      <c r="CI93">
        <f>IF(AND(CI$4=1,CI43=0),1,0)</f>
        <v/>
      </c>
      <c r="CJ93">
        <f>IF(AND(CJ$4=1,CJ43=0),1,0)</f>
        <v/>
      </c>
      <c r="CK93">
        <f>IF(AND(CK$4=1,CK43=0),1,0)</f>
        <v/>
      </c>
      <c r="CL93">
        <f>IF(AND(CL$4=1,CL43=0),1,0)</f>
        <v/>
      </c>
      <c r="CM93">
        <f>IF(AND(CM$4=1,CM43=0),1,0)</f>
        <v/>
      </c>
      <c r="CN93">
        <f>IF(AND(CN$4=1,CN43=0),1,0)</f>
        <v/>
      </c>
      <c r="CO93">
        <f>IF(AND(CO$4=1,CO43=0),1,0)</f>
        <v/>
      </c>
      <c r="CP93">
        <f>IF(AND(CP$4=1,CP43=0),1,0)</f>
        <v/>
      </c>
      <c r="CQ93">
        <f>IF(AND(CQ$4=1,CQ43=0),1,0)</f>
        <v/>
      </c>
      <c r="CR93">
        <f>IF(AND(CR$4=1,CR43=0),1,0)</f>
        <v/>
      </c>
      <c r="CS93">
        <f>IF(AND(CS$4=1,CS43=0),1,0)</f>
        <v/>
      </c>
      <c r="CT93">
        <f>IF(AND(CT$4=1,CT43=0),1,0)</f>
        <v/>
      </c>
      <c r="CU93">
        <f>IF(AND(CU$4=1,CU43=0),1,0)</f>
        <v/>
      </c>
      <c r="CV93">
        <f>IF(AND(CV$4=1,CV43=0),1,0)</f>
        <v/>
      </c>
      <c r="CW93">
        <f>IF(AND(CW$4=1,CW43=0),1,0)</f>
        <v/>
      </c>
      <c r="CX93">
        <f>IF(AND(CX$4=1,CX43=0),1,0)</f>
        <v/>
      </c>
      <c r="CY93">
        <f>IF(AND(CY$4=1,CY43=0),1,0)</f>
        <v/>
      </c>
      <c r="CZ93">
        <f>IF(AND(CZ$4=1,CZ43=0),1,0)</f>
        <v/>
      </c>
      <c r="DA93">
        <f>IF(AND(DA$4=1,DA43=0),1,0)</f>
        <v/>
      </c>
      <c r="DB93">
        <f>IF(AND(DB$4=1,DB43=0),1,0)</f>
        <v/>
      </c>
      <c r="DC93">
        <f>IF(AND(DC$4=1,DC43=0),1,0)</f>
        <v/>
      </c>
      <c r="DD93">
        <f>IF(AND(DD$4=1,DD43=0),1,0)</f>
        <v/>
      </c>
      <c r="DE93">
        <f>IF(AND(DE$4=1,DE43=0),1,0)</f>
        <v/>
      </c>
      <c r="DF93">
        <f>IF(AND(DF$4=1,DF43=0),1,0)</f>
        <v/>
      </c>
      <c r="DG93">
        <f>IF(AND(DG$4=1,DG43=0),1,0)</f>
        <v/>
      </c>
      <c r="DH93">
        <f>IF(AND(DH$4=1,DH43=0),1,0)</f>
        <v/>
      </c>
      <c r="DI93">
        <f>IF(AND(DI$4=1,DI43=0),1,0)</f>
        <v/>
      </c>
      <c r="DJ93">
        <f>IF(AND(DJ$4=1,DJ43=0),1,0)</f>
        <v/>
      </c>
      <c r="DK93">
        <f>IF(AND(DK$4=1,DK43=0),1,0)</f>
        <v/>
      </c>
      <c r="DL93">
        <f>IF(AND(DL$4=1,DL43=0),1,0)</f>
        <v/>
      </c>
      <c r="DM93">
        <f>IF(AND(DM$4=1,DM43=0),1,0)</f>
        <v/>
      </c>
      <c r="DN93">
        <f>IF(AND(DN$4=1,DN43=0),1,0)</f>
        <v/>
      </c>
      <c r="DO93">
        <f>IF(AND(DO$4=1,DO43=0),1,0)</f>
        <v/>
      </c>
      <c r="DP93">
        <f>IF(AND(DP$4=1,DP43=0),1,0)</f>
        <v/>
      </c>
      <c r="DQ93">
        <f>IF(AND(DQ$4=1,DQ43=0),1,0)</f>
        <v/>
      </c>
      <c r="DR93">
        <f>IF(AND(DR$4=1,DR43=0),1,0)</f>
        <v/>
      </c>
      <c r="DS93">
        <f>IF(AND(DS$4=1,DS43=0),1,0)</f>
        <v/>
      </c>
      <c r="DT93">
        <f>IF(AND(DT$4=1,DT43=0),1,0)</f>
        <v/>
      </c>
      <c r="DU93">
        <f>IF(AND(DU$4=1,DU43=0),1,0)</f>
        <v/>
      </c>
      <c r="DV93">
        <f>IF(AND(DV$4=1,DV43=0),1,0)</f>
        <v/>
      </c>
      <c r="DW93">
        <f>IF(AND(DW$4=1,DW43=0),1,0)</f>
        <v/>
      </c>
      <c r="DX93">
        <f>IF(AND(DX$4=1,DX43=0),1,0)</f>
        <v/>
      </c>
      <c r="DY93">
        <f>IF(AND(DY$4=1,DY43=0),1,0)</f>
        <v/>
      </c>
      <c r="DZ93">
        <f>IF(AND(DZ$4=1,DZ43=0),1,0)</f>
        <v/>
      </c>
      <c r="EA93">
        <f>IF(AND(EA$4=1,EA43=0),1,0)</f>
        <v/>
      </c>
      <c r="EB93">
        <f>IF(AND(EB$4=1,EB43=0),1,0)</f>
        <v/>
      </c>
      <c r="EC93">
        <f>IF(AND(EC$4=1,EC43=0),1,0)</f>
        <v/>
      </c>
      <c r="ED93">
        <f>IF(AND(ED$4=1,ED43=0),1,0)</f>
        <v/>
      </c>
      <c r="EE93">
        <f>IF(AND(EE$4=1,EE43=0),1,0)</f>
        <v/>
      </c>
      <c r="EF93">
        <f>IF(AND(EF$4=1,EF43=0),1,0)</f>
        <v/>
      </c>
      <c r="EG93">
        <f>IF(AND(EG$4=1,EG43=0),1,0)</f>
        <v/>
      </c>
      <c r="EH93">
        <f>IF(AND(EH$4=1,EH43=0),1,0)</f>
        <v/>
      </c>
      <c r="EI93">
        <f>IF(AND(EI$4=1,EI43=0),1,0)</f>
        <v/>
      </c>
      <c r="EJ93">
        <f>IF(AND(EJ$4=1,EJ43=0),1,0)</f>
        <v/>
      </c>
      <c r="EK93">
        <f>IF(AND(EK$4=1,EK43=0),1,0)</f>
        <v/>
      </c>
      <c r="EL93">
        <f>IF(AND(EL$4=1,EL43=0),1,0)</f>
        <v/>
      </c>
      <c r="EM93">
        <f>IF(AND(EM$4=1,EM43=0),1,0)</f>
        <v/>
      </c>
      <c r="EN93">
        <f>IF(AND(EN$4=1,EN43=0),1,0)</f>
        <v/>
      </c>
      <c r="EO93">
        <f>IF(AND(EO$4=1,EO43=0),1,0)</f>
        <v/>
      </c>
      <c r="EP93">
        <f>IF(AND(EP$4=1,EP43=0),1,0)</f>
        <v/>
      </c>
      <c r="EQ93">
        <f>IF(AND(EQ$4=1,EQ43=0),1,0)</f>
        <v/>
      </c>
    </row>
    <row r="94">
      <c r="A94" t="n">
        <v>35</v>
      </c>
      <c r="D94">
        <f>IF(AND(D$4=1,D44=0),1,0)</f>
        <v/>
      </c>
      <c r="E94">
        <f>IF(AND(E$4=1,E44=0),1,0)</f>
        <v/>
      </c>
      <c r="F94">
        <f>IF(AND(F$4=1,F44=0),1,0)</f>
        <v/>
      </c>
      <c r="G94">
        <f>IF(AND(G$4=1,G44=0),1,0)</f>
        <v/>
      </c>
      <c r="H94">
        <f>IF(AND(H$4=1,H44=0),1,0)</f>
        <v/>
      </c>
      <c r="I94">
        <f>IF(AND(I$4=1,I44=0),1,0)</f>
        <v/>
      </c>
      <c r="J94">
        <f>IF(AND(J$4=1,J44=0),1,0)</f>
        <v/>
      </c>
      <c r="K94">
        <f>IF(AND(K$4=1,K44=0),1,0)</f>
        <v/>
      </c>
      <c r="L94">
        <f>IF(AND(L$4=1,L44=0),1,0)</f>
        <v/>
      </c>
      <c r="M94">
        <f>IF(AND(M$4=1,M44=0),1,0)</f>
        <v/>
      </c>
      <c r="N94">
        <f>IF(AND(N$4=1,N44=0),1,0)</f>
        <v/>
      </c>
      <c r="O94">
        <f>IF(AND(O$4=1,O44=0),1,0)</f>
        <v/>
      </c>
      <c r="P94">
        <f>IF(AND(P$4=1,P44=0),1,0)</f>
        <v/>
      </c>
      <c r="Q94">
        <f>IF(AND(Q$4=1,Q44=0),1,0)</f>
        <v/>
      </c>
      <c r="R94">
        <f>IF(AND(R$4=1,R44=0),1,0)</f>
        <v/>
      </c>
      <c r="S94">
        <f>IF(AND(S$4=1,S44=0),1,0)</f>
        <v/>
      </c>
      <c r="T94">
        <f>IF(AND(T$4=1,T44=0),1,0)</f>
        <v/>
      </c>
      <c r="U94">
        <f>IF(AND(U$4=1,U44=0),1,0)</f>
        <v/>
      </c>
      <c r="V94">
        <f>IF(AND(V$4=1,V44=0),1,0)</f>
        <v/>
      </c>
      <c r="W94">
        <f>IF(AND(W$4=1,W44=0),1,0)</f>
        <v/>
      </c>
      <c r="X94">
        <f>IF(AND(X$4=1,X44=0),1,0)</f>
        <v/>
      </c>
      <c r="Y94">
        <f>IF(AND(Y$4=1,Y44=0),1,0)</f>
        <v/>
      </c>
      <c r="Z94">
        <f>IF(AND(Z$4=1,Z44=0),1,0)</f>
        <v/>
      </c>
      <c r="AA94">
        <f>IF(AND(AA$4=1,AA44=0),1,0)</f>
        <v/>
      </c>
      <c r="AB94">
        <f>IF(AND(AB$4=1,AB44=0),1,0)</f>
        <v/>
      </c>
      <c r="AC94">
        <f>IF(AND(AC$4=1,AC44=0),1,0)</f>
        <v/>
      </c>
      <c r="AD94">
        <f>IF(AND(AD$4=1,AD44=0),1,0)</f>
        <v/>
      </c>
      <c r="AE94">
        <f>IF(AND(AE$4=1,AE44=0),1,0)</f>
        <v/>
      </c>
      <c r="AF94">
        <f>IF(AND(AF$4=1,AF44=0),1,0)</f>
        <v/>
      </c>
      <c r="AG94">
        <f>IF(AND(AG$4=1,AG44=0),1,0)</f>
        <v/>
      </c>
      <c r="AH94">
        <f>IF(AND(AH$4=1,AH44=0),1,0)</f>
        <v/>
      </c>
      <c r="AI94">
        <f>IF(AND(AI$4=1,AI44=0),1,0)</f>
        <v/>
      </c>
      <c r="AJ94">
        <f>IF(AND(AJ$4=1,AJ44=0),1,0)</f>
        <v/>
      </c>
      <c r="AK94">
        <f>IF(AND(AK$4=1,AK44=0),1,0)</f>
        <v/>
      </c>
      <c r="AL94">
        <f>IF(AND(AL$4=1,AL44=0),1,0)</f>
        <v/>
      </c>
      <c r="AM94">
        <f>IF(AND(AM$4=1,AM44=0),1,0)</f>
        <v/>
      </c>
      <c r="AN94">
        <f>IF(AND(AN$4=1,AN44=0),1,0)</f>
        <v/>
      </c>
      <c r="AO94">
        <f>IF(AND(AO$4=1,AO44=0),1,0)</f>
        <v/>
      </c>
      <c r="AP94">
        <f>IF(AND(AP$4=1,AP44=0),1,0)</f>
        <v/>
      </c>
      <c r="AQ94">
        <f>IF(AND(AQ$4=1,AQ44=0),1,0)</f>
        <v/>
      </c>
      <c r="AR94">
        <f>IF(AND(AR$4=1,AR44=0),1,0)</f>
        <v/>
      </c>
      <c r="AS94">
        <f>IF(AND(AS$4=1,AS44=0),1,0)</f>
        <v/>
      </c>
      <c r="AT94">
        <f>IF(AND(AT$4=1,AT44=0),1,0)</f>
        <v/>
      </c>
      <c r="AU94">
        <f>IF(AND(AU$4=1,AU44=0),1,0)</f>
        <v/>
      </c>
      <c r="AV94">
        <f>IF(AND(AV$4=1,AV44=0),1,0)</f>
        <v/>
      </c>
      <c r="AW94">
        <f>IF(AND(AW$4=1,AW44=0),1,0)</f>
        <v/>
      </c>
      <c r="AX94">
        <f>IF(AND(AX$4=1,AX44=0),1,0)</f>
        <v/>
      </c>
      <c r="AY94">
        <f>IF(AND(AY$4=1,AY44=0),1,0)</f>
        <v/>
      </c>
      <c r="AZ94">
        <f>IF(AND(AZ$4=1,AZ44=0),1,0)</f>
        <v/>
      </c>
      <c r="BA94">
        <f>IF(AND(BA$4=1,BA44=0),1,0)</f>
        <v/>
      </c>
      <c r="BB94">
        <f>IF(AND(BB$4=1,BB44=0),1,0)</f>
        <v/>
      </c>
      <c r="BC94">
        <f>IF(AND(BC$4=1,BC44=0),1,0)</f>
        <v/>
      </c>
      <c r="BD94">
        <f>IF(AND(BD$4=1,BD44=0),1,0)</f>
        <v/>
      </c>
      <c r="BE94">
        <f>IF(AND(BE$4=1,BE44=0),1,0)</f>
        <v/>
      </c>
      <c r="BF94">
        <f>IF(AND(BF$4=1,BF44=0),1,0)</f>
        <v/>
      </c>
      <c r="BG94">
        <f>IF(AND(BG$4=1,BG44=0),1,0)</f>
        <v/>
      </c>
      <c r="BH94">
        <f>IF(AND(BH$4=1,BH44=0),1,0)</f>
        <v/>
      </c>
      <c r="BI94">
        <f>IF(AND(BI$4=1,BI44=0),1,0)</f>
        <v/>
      </c>
      <c r="BJ94">
        <f>IF(AND(BJ$4=1,BJ44=0),1,0)</f>
        <v/>
      </c>
      <c r="BK94">
        <f>IF(AND(BK$4=1,BK44=0),1,0)</f>
        <v/>
      </c>
      <c r="BL94">
        <f>IF(AND(BL$4=1,BL44=0),1,0)</f>
        <v/>
      </c>
      <c r="BM94">
        <f>IF(AND(BM$4=1,BM44=0),1,0)</f>
        <v/>
      </c>
      <c r="BN94">
        <f>IF(AND(BN$4=1,BN44=0),1,0)</f>
        <v/>
      </c>
      <c r="BO94">
        <f>IF(AND(BO$4=1,BO44=0),1,0)</f>
        <v/>
      </c>
      <c r="BP94">
        <f>IF(AND(BP$4=1,BP44=0),1,0)</f>
        <v/>
      </c>
      <c r="BQ94">
        <f>IF(AND(BQ$4=1,BQ44=0),1,0)</f>
        <v/>
      </c>
      <c r="BR94">
        <f>IF(AND(BR$4=1,BR44=0),1,0)</f>
        <v/>
      </c>
      <c r="BS94">
        <f>IF(AND(BS$4=1,BS44=0),1,0)</f>
        <v/>
      </c>
      <c r="BT94">
        <f>IF(AND(BT$4=1,BT44=0),1,0)</f>
        <v/>
      </c>
      <c r="BU94">
        <f>IF(AND(BU$4=1,BU44=0),1,0)</f>
        <v/>
      </c>
      <c r="BV94">
        <f>IF(AND(BV$4=1,BV44=0),1,0)</f>
        <v/>
      </c>
      <c r="BW94">
        <f>IF(AND(BW$4=1,BW44=0),1,0)</f>
        <v/>
      </c>
      <c r="BX94">
        <f>IF(AND(BX$4=1,BX44=0),1,0)</f>
        <v/>
      </c>
      <c r="BY94">
        <f>IF(AND(BY$4=1,BY44=0),1,0)</f>
        <v/>
      </c>
      <c r="BZ94">
        <f>IF(AND(BZ$4=1,BZ44=0),1,0)</f>
        <v/>
      </c>
      <c r="CA94">
        <f>IF(AND(CA$4=1,CA44=0),1,0)</f>
        <v/>
      </c>
      <c r="CB94">
        <f>IF(AND(CB$4=1,CB44=0),1,0)</f>
        <v/>
      </c>
      <c r="CC94">
        <f>IF(AND(CC$4=1,CC44=0),1,0)</f>
        <v/>
      </c>
      <c r="CD94">
        <f>IF(AND(CD$4=1,CD44=0),1,0)</f>
        <v/>
      </c>
      <c r="CE94">
        <f>IF(AND(CE$4=1,CE44=0),1,0)</f>
        <v/>
      </c>
      <c r="CF94">
        <f>IF(AND(CF$4=1,CF44=0),1,0)</f>
        <v/>
      </c>
      <c r="CG94">
        <f>IF(AND(CG$4=1,CG44=0),1,0)</f>
        <v/>
      </c>
      <c r="CH94">
        <f>IF(AND(CH$4=1,CH44=0),1,0)</f>
        <v/>
      </c>
      <c r="CI94">
        <f>IF(AND(CI$4=1,CI44=0),1,0)</f>
        <v/>
      </c>
      <c r="CJ94">
        <f>IF(AND(CJ$4=1,CJ44=0),1,0)</f>
        <v/>
      </c>
      <c r="CK94">
        <f>IF(AND(CK$4=1,CK44=0),1,0)</f>
        <v/>
      </c>
      <c r="CL94">
        <f>IF(AND(CL$4=1,CL44=0),1,0)</f>
        <v/>
      </c>
      <c r="CM94">
        <f>IF(AND(CM$4=1,CM44=0),1,0)</f>
        <v/>
      </c>
      <c r="CN94">
        <f>IF(AND(CN$4=1,CN44=0),1,0)</f>
        <v/>
      </c>
      <c r="CO94">
        <f>IF(AND(CO$4=1,CO44=0),1,0)</f>
        <v/>
      </c>
      <c r="CP94">
        <f>IF(AND(CP$4=1,CP44=0),1,0)</f>
        <v/>
      </c>
      <c r="CQ94">
        <f>IF(AND(CQ$4=1,CQ44=0),1,0)</f>
        <v/>
      </c>
      <c r="CR94">
        <f>IF(AND(CR$4=1,CR44=0),1,0)</f>
        <v/>
      </c>
      <c r="CS94">
        <f>IF(AND(CS$4=1,CS44=0),1,0)</f>
        <v/>
      </c>
      <c r="CT94">
        <f>IF(AND(CT$4=1,CT44=0),1,0)</f>
        <v/>
      </c>
      <c r="CU94">
        <f>IF(AND(CU$4=1,CU44=0),1,0)</f>
        <v/>
      </c>
      <c r="CV94">
        <f>IF(AND(CV$4=1,CV44=0),1,0)</f>
        <v/>
      </c>
      <c r="CW94">
        <f>IF(AND(CW$4=1,CW44=0),1,0)</f>
        <v/>
      </c>
      <c r="CX94">
        <f>IF(AND(CX$4=1,CX44=0),1,0)</f>
        <v/>
      </c>
      <c r="CY94">
        <f>IF(AND(CY$4=1,CY44=0),1,0)</f>
        <v/>
      </c>
      <c r="CZ94">
        <f>IF(AND(CZ$4=1,CZ44=0),1,0)</f>
        <v/>
      </c>
      <c r="DA94">
        <f>IF(AND(DA$4=1,DA44=0),1,0)</f>
        <v/>
      </c>
      <c r="DB94">
        <f>IF(AND(DB$4=1,DB44=0),1,0)</f>
        <v/>
      </c>
      <c r="DC94">
        <f>IF(AND(DC$4=1,DC44=0),1,0)</f>
        <v/>
      </c>
      <c r="DD94">
        <f>IF(AND(DD$4=1,DD44=0),1,0)</f>
        <v/>
      </c>
      <c r="DE94">
        <f>IF(AND(DE$4=1,DE44=0),1,0)</f>
        <v/>
      </c>
      <c r="DF94">
        <f>IF(AND(DF$4=1,DF44=0),1,0)</f>
        <v/>
      </c>
      <c r="DG94">
        <f>IF(AND(DG$4=1,DG44=0),1,0)</f>
        <v/>
      </c>
      <c r="DH94">
        <f>IF(AND(DH$4=1,DH44=0),1,0)</f>
        <v/>
      </c>
      <c r="DI94">
        <f>IF(AND(DI$4=1,DI44=0),1,0)</f>
        <v/>
      </c>
      <c r="DJ94">
        <f>IF(AND(DJ$4=1,DJ44=0),1,0)</f>
        <v/>
      </c>
      <c r="DK94">
        <f>IF(AND(DK$4=1,DK44=0),1,0)</f>
        <v/>
      </c>
      <c r="DL94">
        <f>IF(AND(DL$4=1,DL44=0),1,0)</f>
        <v/>
      </c>
      <c r="DM94">
        <f>IF(AND(DM$4=1,DM44=0),1,0)</f>
        <v/>
      </c>
      <c r="DN94">
        <f>IF(AND(DN$4=1,DN44=0),1,0)</f>
        <v/>
      </c>
      <c r="DO94">
        <f>IF(AND(DO$4=1,DO44=0),1,0)</f>
        <v/>
      </c>
      <c r="DP94">
        <f>IF(AND(DP$4=1,DP44=0),1,0)</f>
        <v/>
      </c>
      <c r="DQ94">
        <f>IF(AND(DQ$4=1,DQ44=0),1,0)</f>
        <v/>
      </c>
      <c r="DR94">
        <f>IF(AND(DR$4=1,DR44=0),1,0)</f>
        <v/>
      </c>
      <c r="DS94">
        <f>IF(AND(DS$4=1,DS44=0),1,0)</f>
        <v/>
      </c>
      <c r="DT94">
        <f>IF(AND(DT$4=1,DT44=0),1,0)</f>
        <v/>
      </c>
      <c r="DU94">
        <f>IF(AND(DU$4=1,DU44=0),1,0)</f>
        <v/>
      </c>
      <c r="DV94">
        <f>IF(AND(DV$4=1,DV44=0),1,0)</f>
        <v/>
      </c>
      <c r="DW94">
        <f>IF(AND(DW$4=1,DW44=0),1,0)</f>
        <v/>
      </c>
      <c r="DX94">
        <f>IF(AND(DX$4=1,DX44=0),1,0)</f>
        <v/>
      </c>
      <c r="DY94">
        <f>IF(AND(DY$4=1,DY44=0),1,0)</f>
        <v/>
      </c>
      <c r="DZ94">
        <f>IF(AND(DZ$4=1,DZ44=0),1,0)</f>
        <v/>
      </c>
      <c r="EA94">
        <f>IF(AND(EA$4=1,EA44=0),1,0)</f>
        <v/>
      </c>
      <c r="EB94">
        <f>IF(AND(EB$4=1,EB44=0),1,0)</f>
        <v/>
      </c>
      <c r="EC94">
        <f>IF(AND(EC$4=1,EC44=0),1,0)</f>
        <v/>
      </c>
      <c r="ED94">
        <f>IF(AND(ED$4=1,ED44=0),1,0)</f>
        <v/>
      </c>
      <c r="EE94">
        <f>IF(AND(EE$4=1,EE44=0),1,0)</f>
        <v/>
      </c>
      <c r="EF94">
        <f>IF(AND(EF$4=1,EF44=0),1,0)</f>
        <v/>
      </c>
      <c r="EG94">
        <f>IF(AND(EG$4=1,EG44=0),1,0)</f>
        <v/>
      </c>
      <c r="EH94">
        <f>IF(AND(EH$4=1,EH44=0),1,0)</f>
        <v/>
      </c>
      <c r="EI94">
        <f>IF(AND(EI$4=1,EI44=0),1,0)</f>
        <v/>
      </c>
      <c r="EJ94">
        <f>IF(AND(EJ$4=1,EJ44=0),1,0)</f>
        <v/>
      </c>
      <c r="EK94">
        <f>IF(AND(EK$4=1,EK44=0),1,0)</f>
        <v/>
      </c>
      <c r="EL94">
        <f>IF(AND(EL$4=1,EL44=0),1,0)</f>
        <v/>
      </c>
      <c r="EM94">
        <f>IF(AND(EM$4=1,EM44=0),1,0)</f>
        <v/>
      </c>
      <c r="EN94">
        <f>IF(AND(EN$4=1,EN44=0),1,0)</f>
        <v/>
      </c>
      <c r="EO94">
        <f>IF(AND(EO$4=1,EO44=0),1,0)</f>
        <v/>
      </c>
      <c r="EP94">
        <f>IF(AND(EP$4=1,EP44=0),1,0)</f>
        <v/>
      </c>
      <c r="EQ94">
        <f>IF(AND(EQ$4=1,EQ44=0),1,0)</f>
        <v/>
      </c>
    </row>
    <row r="95">
      <c r="A95" t="n">
        <v>36</v>
      </c>
      <c r="D95">
        <f>IF(AND(D$4=1,D45=0),1,0)</f>
        <v/>
      </c>
      <c r="E95">
        <f>IF(AND(E$4=1,E45=0),1,0)</f>
        <v/>
      </c>
      <c r="F95">
        <f>IF(AND(F$4=1,F45=0),1,0)</f>
        <v/>
      </c>
      <c r="G95">
        <f>IF(AND(G$4=1,G45=0),1,0)</f>
        <v/>
      </c>
      <c r="H95">
        <f>IF(AND(H$4=1,H45=0),1,0)</f>
        <v/>
      </c>
      <c r="I95">
        <f>IF(AND(I$4=1,I45=0),1,0)</f>
        <v/>
      </c>
      <c r="J95">
        <f>IF(AND(J$4=1,J45=0),1,0)</f>
        <v/>
      </c>
      <c r="K95">
        <f>IF(AND(K$4=1,K45=0),1,0)</f>
        <v/>
      </c>
      <c r="L95">
        <f>IF(AND(L$4=1,L45=0),1,0)</f>
        <v/>
      </c>
      <c r="M95">
        <f>IF(AND(M$4=1,M45=0),1,0)</f>
        <v/>
      </c>
      <c r="N95">
        <f>IF(AND(N$4=1,N45=0),1,0)</f>
        <v/>
      </c>
      <c r="O95">
        <f>IF(AND(O$4=1,O45=0),1,0)</f>
        <v/>
      </c>
      <c r="P95">
        <f>IF(AND(P$4=1,P45=0),1,0)</f>
        <v/>
      </c>
      <c r="Q95">
        <f>IF(AND(Q$4=1,Q45=0),1,0)</f>
        <v/>
      </c>
      <c r="R95">
        <f>IF(AND(R$4=1,R45=0),1,0)</f>
        <v/>
      </c>
      <c r="S95">
        <f>IF(AND(S$4=1,S45=0),1,0)</f>
        <v/>
      </c>
      <c r="T95">
        <f>IF(AND(T$4=1,T45=0),1,0)</f>
        <v/>
      </c>
      <c r="U95">
        <f>IF(AND(U$4=1,U45=0),1,0)</f>
        <v/>
      </c>
      <c r="V95">
        <f>IF(AND(V$4=1,V45=0),1,0)</f>
        <v/>
      </c>
      <c r="W95">
        <f>IF(AND(W$4=1,W45=0),1,0)</f>
        <v/>
      </c>
      <c r="X95">
        <f>IF(AND(X$4=1,X45=0),1,0)</f>
        <v/>
      </c>
      <c r="Y95">
        <f>IF(AND(Y$4=1,Y45=0),1,0)</f>
        <v/>
      </c>
      <c r="Z95">
        <f>IF(AND(Z$4=1,Z45=0),1,0)</f>
        <v/>
      </c>
      <c r="AA95">
        <f>IF(AND(AA$4=1,AA45=0),1,0)</f>
        <v/>
      </c>
      <c r="AB95">
        <f>IF(AND(AB$4=1,AB45=0),1,0)</f>
        <v/>
      </c>
      <c r="AC95">
        <f>IF(AND(AC$4=1,AC45=0),1,0)</f>
        <v/>
      </c>
      <c r="AD95">
        <f>IF(AND(AD$4=1,AD45=0),1,0)</f>
        <v/>
      </c>
      <c r="AE95">
        <f>IF(AND(AE$4=1,AE45=0),1,0)</f>
        <v/>
      </c>
      <c r="AF95">
        <f>IF(AND(AF$4=1,AF45=0),1,0)</f>
        <v/>
      </c>
      <c r="AG95">
        <f>IF(AND(AG$4=1,AG45=0),1,0)</f>
        <v/>
      </c>
      <c r="AH95">
        <f>IF(AND(AH$4=1,AH45=0),1,0)</f>
        <v/>
      </c>
      <c r="AI95">
        <f>IF(AND(AI$4=1,AI45=0),1,0)</f>
        <v/>
      </c>
      <c r="AJ95">
        <f>IF(AND(AJ$4=1,AJ45=0),1,0)</f>
        <v/>
      </c>
      <c r="AK95">
        <f>IF(AND(AK$4=1,AK45=0),1,0)</f>
        <v/>
      </c>
      <c r="AL95">
        <f>IF(AND(AL$4=1,AL45=0),1,0)</f>
        <v/>
      </c>
      <c r="AM95">
        <f>IF(AND(AM$4=1,AM45=0),1,0)</f>
        <v/>
      </c>
      <c r="AN95">
        <f>IF(AND(AN$4=1,AN45=0),1,0)</f>
        <v/>
      </c>
      <c r="AO95">
        <f>IF(AND(AO$4=1,AO45=0),1,0)</f>
        <v/>
      </c>
      <c r="AP95">
        <f>IF(AND(AP$4=1,AP45=0),1,0)</f>
        <v/>
      </c>
      <c r="AQ95">
        <f>IF(AND(AQ$4=1,AQ45=0),1,0)</f>
        <v/>
      </c>
      <c r="AR95">
        <f>IF(AND(AR$4=1,AR45=0),1,0)</f>
        <v/>
      </c>
      <c r="AS95">
        <f>IF(AND(AS$4=1,AS45=0),1,0)</f>
        <v/>
      </c>
      <c r="AT95">
        <f>IF(AND(AT$4=1,AT45=0),1,0)</f>
        <v/>
      </c>
      <c r="AU95">
        <f>IF(AND(AU$4=1,AU45=0),1,0)</f>
        <v/>
      </c>
      <c r="AV95">
        <f>IF(AND(AV$4=1,AV45=0),1,0)</f>
        <v/>
      </c>
      <c r="AW95">
        <f>IF(AND(AW$4=1,AW45=0),1,0)</f>
        <v/>
      </c>
      <c r="AX95">
        <f>IF(AND(AX$4=1,AX45=0),1,0)</f>
        <v/>
      </c>
      <c r="AY95">
        <f>IF(AND(AY$4=1,AY45=0),1,0)</f>
        <v/>
      </c>
      <c r="AZ95">
        <f>IF(AND(AZ$4=1,AZ45=0),1,0)</f>
        <v/>
      </c>
      <c r="BA95">
        <f>IF(AND(BA$4=1,BA45=0),1,0)</f>
        <v/>
      </c>
      <c r="BB95">
        <f>IF(AND(BB$4=1,BB45=0),1,0)</f>
        <v/>
      </c>
      <c r="BC95">
        <f>IF(AND(BC$4=1,BC45=0),1,0)</f>
        <v/>
      </c>
      <c r="BD95">
        <f>IF(AND(BD$4=1,BD45=0),1,0)</f>
        <v/>
      </c>
      <c r="BE95">
        <f>IF(AND(BE$4=1,BE45=0),1,0)</f>
        <v/>
      </c>
      <c r="BF95">
        <f>IF(AND(BF$4=1,BF45=0),1,0)</f>
        <v/>
      </c>
      <c r="BG95">
        <f>IF(AND(BG$4=1,BG45=0),1,0)</f>
        <v/>
      </c>
      <c r="BH95">
        <f>IF(AND(BH$4=1,BH45=0),1,0)</f>
        <v/>
      </c>
      <c r="BI95">
        <f>IF(AND(BI$4=1,BI45=0),1,0)</f>
        <v/>
      </c>
      <c r="BJ95">
        <f>IF(AND(BJ$4=1,BJ45=0),1,0)</f>
        <v/>
      </c>
      <c r="BK95">
        <f>IF(AND(BK$4=1,BK45=0),1,0)</f>
        <v/>
      </c>
      <c r="BL95">
        <f>IF(AND(BL$4=1,BL45=0),1,0)</f>
        <v/>
      </c>
      <c r="BM95">
        <f>IF(AND(BM$4=1,BM45=0),1,0)</f>
        <v/>
      </c>
      <c r="BN95">
        <f>IF(AND(BN$4=1,BN45=0),1,0)</f>
        <v/>
      </c>
      <c r="BO95">
        <f>IF(AND(BO$4=1,BO45=0),1,0)</f>
        <v/>
      </c>
      <c r="BP95">
        <f>IF(AND(BP$4=1,BP45=0),1,0)</f>
        <v/>
      </c>
      <c r="BQ95">
        <f>IF(AND(BQ$4=1,BQ45=0),1,0)</f>
        <v/>
      </c>
      <c r="BR95">
        <f>IF(AND(BR$4=1,BR45=0),1,0)</f>
        <v/>
      </c>
      <c r="BS95">
        <f>IF(AND(BS$4=1,BS45=0),1,0)</f>
        <v/>
      </c>
      <c r="BT95">
        <f>IF(AND(BT$4=1,BT45=0),1,0)</f>
        <v/>
      </c>
      <c r="BU95">
        <f>IF(AND(BU$4=1,BU45=0),1,0)</f>
        <v/>
      </c>
      <c r="BV95">
        <f>IF(AND(BV$4=1,BV45=0),1,0)</f>
        <v/>
      </c>
      <c r="BW95">
        <f>IF(AND(BW$4=1,BW45=0),1,0)</f>
        <v/>
      </c>
      <c r="BX95">
        <f>IF(AND(BX$4=1,BX45=0),1,0)</f>
        <v/>
      </c>
      <c r="BY95">
        <f>IF(AND(BY$4=1,BY45=0),1,0)</f>
        <v/>
      </c>
      <c r="BZ95">
        <f>IF(AND(BZ$4=1,BZ45=0),1,0)</f>
        <v/>
      </c>
      <c r="CA95">
        <f>IF(AND(CA$4=1,CA45=0),1,0)</f>
        <v/>
      </c>
      <c r="CB95">
        <f>IF(AND(CB$4=1,CB45=0),1,0)</f>
        <v/>
      </c>
      <c r="CC95">
        <f>IF(AND(CC$4=1,CC45=0),1,0)</f>
        <v/>
      </c>
      <c r="CD95">
        <f>IF(AND(CD$4=1,CD45=0),1,0)</f>
        <v/>
      </c>
      <c r="CE95">
        <f>IF(AND(CE$4=1,CE45=0),1,0)</f>
        <v/>
      </c>
      <c r="CF95">
        <f>IF(AND(CF$4=1,CF45=0),1,0)</f>
        <v/>
      </c>
      <c r="CG95">
        <f>IF(AND(CG$4=1,CG45=0),1,0)</f>
        <v/>
      </c>
      <c r="CH95">
        <f>IF(AND(CH$4=1,CH45=0),1,0)</f>
        <v/>
      </c>
      <c r="CI95">
        <f>IF(AND(CI$4=1,CI45=0),1,0)</f>
        <v/>
      </c>
      <c r="CJ95">
        <f>IF(AND(CJ$4=1,CJ45=0),1,0)</f>
        <v/>
      </c>
      <c r="CK95">
        <f>IF(AND(CK$4=1,CK45=0),1,0)</f>
        <v/>
      </c>
      <c r="CL95">
        <f>IF(AND(CL$4=1,CL45=0),1,0)</f>
        <v/>
      </c>
      <c r="CM95">
        <f>IF(AND(CM$4=1,CM45=0),1,0)</f>
        <v/>
      </c>
      <c r="CN95">
        <f>IF(AND(CN$4=1,CN45=0),1,0)</f>
        <v/>
      </c>
      <c r="CO95">
        <f>IF(AND(CO$4=1,CO45=0),1,0)</f>
        <v/>
      </c>
      <c r="CP95">
        <f>IF(AND(CP$4=1,CP45=0),1,0)</f>
        <v/>
      </c>
      <c r="CQ95">
        <f>IF(AND(CQ$4=1,CQ45=0),1,0)</f>
        <v/>
      </c>
      <c r="CR95">
        <f>IF(AND(CR$4=1,CR45=0),1,0)</f>
        <v/>
      </c>
      <c r="CS95">
        <f>IF(AND(CS$4=1,CS45=0),1,0)</f>
        <v/>
      </c>
      <c r="CT95">
        <f>IF(AND(CT$4=1,CT45=0),1,0)</f>
        <v/>
      </c>
      <c r="CU95">
        <f>IF(AND(CU$4=1,CU45=0),1,0)</f>
        <v/>
      </c>
      <c r="CV95">
        <f>IF(AND(CV$4=1,CV45=0),1,0)</f>
        <v/>
      </c>
      <c r="CW95">
        <f>IF(AND(CW$4=1,CW45=0),1,0)</f>
        <v/>
      </c>
      <c r="CX95">
        <f>IF(AND(CX$4=1,CX45=0),1,0)</f>
        <v/>
      </c>
      <c r="CY95">
        <f>IF(AND(CY$4=1,CY45=0),1,0)</f>
        <v/>
      </c>
      <c r="CZ95">
        <f>IF(AND(CZ$4=1,CZ45=0),1,0)</f>
        <v/>
      </c>
      <c r="DA95">
        <f>IF(AND(DA$4=1,DA45=0),1,0)</f>
        <v/>
      </c>
      <c r="DB95">
        <f>IF(AND(DB$4=1,DB45=0),1,0)</f>
        <v/>
      </c>
      <c r="DC95">
        <f>IF(AND(DC$4=1,DC45=0),1,0)</f>
        <v/>
      </c>
      <c r="DD95">
        <f>IF(AND(DD$4=1,DD45=0),1,0)</f>
        <v/>
      </c>
      <c r="DE95">
        <f>IF(AND(DE$4=1,DE45=0),1,0)</f>
        <v/>
      </c>
      <c r="DF95">
        <f>IF(AND(DF$4=1,DF45=0),1,0)</f>
        <v/>
      </c>
      <c r="DG95">
        <f>IF(AND(DG$4=1,DG45=0),1,0)</f>
        <v/>
      </c>
      <c r="DH95">
        <f>IF(AND(DH$4=1,DH45=0),1,0)</f>
        <v/>
      </c>
      <c r="DI95">
        <f>IF(AND(DI$4=1,DI45=0),1,0)</f>
        <v/>
      </c>
      <c r="DJ95">
        <f>IF(AND(DJ$4=1,DJ45=0),1,0)</f>
        <v/>
      </c>
      <c r="DK95">
        <f>IF(AND(DK$4=1,DK45=0),1,0)</f>
        <v/>
      </c>
      <c r="DL95">
        <f>IF(AND(DL$4=1,DL45=0),1,0)</f>
        <v/>
      </c>
      <c r="DM95">
        <f>IF(AND(DM$4=1,DM45=0),1,0)</f>
        <v/>
      </c>
      <c r="DN95">
        <f>IF(AND(DN$4=1,DN45=0),1,0)</f>
        <v/>
      </c>
      <c r="DO95">
        <f>IF(AND(DO$4=1,DO45=0),1,0)</f>
        <v/>
      </c>
      <c r="DP95">
        <f>IF(AND(DP$4=1,DP45=0),1,0)</f>
        <v/>
      </c>
      <c r="DQ95">
        <f>IF(AND(DQ$4=1,DQ45=0),1,0)</f>
        <v/>
      </c>
      <c r="DR95">
        <f>IF(AND(DR$4=1,DR45=0),1,0)</f>
        <v/>
      </c>
      <c r="DS95">
        <f>IF(AND(DS$4=1,DS45=0),1,0)</f>
        <v/>
      </c>
      <c r="DT95">
        <f>IF(AND(DT$4=1,DT45=0),1,0)</f>
        <v/>
      </c>
      <c r="DU95">
        <f>IF(AND(DU$4=1,DU45=0),1,0)</f>
        <v/>
      </c>
      <c r="DV95">
        <f>IF(AND(DV$4=1,DV45=0),1,0)</f>
        <v/>
      </c>
      <c r="DW95">
        <f>IF(AND(DW$4=1,DW45=0),1,0)</f>
        <v/>
      </c>
      <c r="DX95">
        <f>IF(AND(DX$4=1,DX45=0),1,0)</f>
        <v/>
      </c>
      <c r="DY95">
        <f>IF(AND(DY$4=1,DY45=0),1,0)</f>
        <v/>
      </c>
      <c r="DZ95">
        <f>IF(AND(DZ$4=1,DZ45=0),1,0)</f>
        <v/>
      </c>
      <c r="EA95">
        <f>IF(AND(EA$4=1,EA45=0),1,0)</f>
        <v/>
      </c>
      <c r="EB95">
        <f>IF(AND(EB$4=1,EB45=0),1,0)</f>
        <v/>
      </c>
      <c r="EC95">
        <f>IF(AND(EC$4=1,EC45=0),1,0)</f>
        <v/>
      </c>
      <c r="ED95">
        <f>IF(AND(ED$4=1,ED45=0),1,0)</f>
        <v/>
      </c>
      <c r="EE95">
        <f>IF(AND(EE$4=1,EE45=0),1,0)</f>
        <v/>
      </c>
      <c r="EF95">
        <f>IF(AND(EF$4=1,EF45=0),1,0)</f>
        <v/>
      </c>
      <c r="EG95">
        <f>IF(AND(EG$4=1,EG45=0),1,0)</f>
        <v/>
      </c>
      <c r="EH95">
        <f>IF(AND(EH$4=1,EH45=0),1,0)</f>
        <v/>
      </c>
      <c r="EI95">
        <f>IF(AND(EI$4=1,EI45=0),1,0)</f>
        <v/>
      </c>
      <c r="EJ95">
        <f>IF(AND(EJ$4=1,EJ45=0),1,0)</f>
        <v/>
      </c>
      <c r="EK95">
        <f>IF(AND(EK$4=1,EK45=0),1,0)</f>
        <v/>
      </c>
      <c r="EL95">
        <f>IF(AND(EL$4=1,EL45=0),1,0)</f>
        <v/>
      </c>
      <c r="EM95">
        <f>IF(AND(EM$4=1,EM45=0),1,0)</f>
        <v/>
      </c>
      <c r="EN95">
        <f>IF(AND(EN$4=1,EN45=0),1,0)</f>
        <v/>
      </c>
      <c r="EO95">
        <f>IF(AND(EO$4=1,EO45=0),1,0)</f>
        <v/>
      </c>
      <c r="EP95">
        <f>IF(AND(EP$4=1,EP45=0),1,0)</f>
        <v/>
      </c>
      <c r="EQ95">
        <f>IF(AND(EQ$4=1,EQ45=0),1,0)</f>
        <v/>
      </c>
    </row>
    <row r="96">
      <c r="A96" t="n">
        <v>37</v>
      </c>
      <c r="D96">
        <f>IF(AND(D$4=1,D46=0),1,0)</f>
        <v/>
      </c>
      <c r="E96">
        <f>IF(AND(E$4=1,E46=0),1,0)</f>
        <v/>
      </c>
      <c r="F96">
        <f>IF(AND(F$4=1,F46=0),1,0)</f>
        <v/>
      </c>
      <c r="G96">
        <f>IF(AND(G$4=1,G46=0),1,0)</f>
        <v/>
      </c>
      <c r="H96">
        <f>IF(AND(H$4=1,H46=0),1,0)</f>
        <v/>
      </c>
      <c r="I96">
        <f>IF(AND(I$4=1,I46=0),1,0)</f>
        <v/>
      </c>
      <c r="J96">
        <f>IF(AND(J$4=1,J46=0),1,0)</f>
        <v/>
      </c>
      <c r="K96">
        <f>IF(AND(K$4=1,K46=0),1,0)</f>
        <v/>
      </c>
      <c r="L96">
        <f>IF(AND(L$4=1,L46=0),1,0)</f>
        <v/>
      </c>
      <c r="M96">
        <f>IF(AND(M$4=1,M46=0),1,0)</f>
        <v/>
      </c>
      <c r="N96">
        <f>IF(AND(N$4=1,N46=0),1,0)</f>
        <v/>
      </c>
      <c r="O96">
        <f>IF(AND(O$4=1,O46=0),1,0)</f>
        <v/>
      </c>
      <c r="P96">
        <f>IF(AND(P$4=1,P46=0),1,0)</f>
        <v/>
      </c>
      <c r="Q96">
        <f>IF(AND(Q$4=1,Q46=0),1,0)</f>
        <v/>
      </c>
      <c r="R96">
        <f>IF(AND(R$4=1,R46=0),1,0)</f>
        <v/>
      </c>
      <c r="S96">
        <f>IF(AND(S$4=1,S46=0),1,0)</f>
        <v/>
      </c>
      <c r="T96">
        <f>IF(AND(T$4=1,T46=0),1,0)</f>
        <v/>
      </c>
      <c r="U96">
        <f>IF(AND(U$4=1,U46=0),1,0)</f>
        <v/>
      </c>
      <c r="V96">
        <f>IF(AND(V$4=1,V46=0),1,0)</f>
        <v/>
      </c>
      <c r="W96">
        <f>IF(AND(W$4=1,W46=0),1,0)</f>
        <v/>
      </c>
      <c r="X96">
        <f>IF(AND(X$4=1,X46=0),1,0)</f>
        <v/>
      </c>
      <c r="Y96">
        <f>IF(AND(Y$4=1,Y46=0),1,0)</f>
        <v/>
      </c>
      <c r="Z96">
        <f>IF(AND(Z$4=1,Z46=0),1,0)</f>
        <v/>
      </c>
      <c r="AA96">
        <f>IF(AND(AA$4=1,AA46=0),1,0)</f>
        <v/>
      </c>
      <c r="AB96">
        <f>IF(AND(AB$4=1,AB46=0),1,0)</f>
        <v/>
      </c>
      <c r="AC96">
        <f>IF(AND(AC$4=1,AC46=0),1,0)</f>
        <v/>
      </c>
      <c r="AD96">
        <f>IF(AND(AD$4=1,AD46=0),1,0)</f>
        <v/>
      </c>
      <c r="AE96">
        <f>IF(AND(AE$4=1,AE46=0),1,0)</f>
        <v/>
      </c>
      <c r="AF96">
        <f>IF(AND(AF$4=1,AF46=0),1,0)</f>
        <v/>
      </c>
      <c r="AG96">
        <f>IF(AND(AG$4=1,AG46=0),1,0)</f>
        <v/>
      </c>
      <c r="AH96">
        <f>IF(AND(AH$4=1,AH46=0),1,0)</f>
        <v/>
      </c>
      <c r="AI96">
        <f>IF(AND(AI$4=1,AI46=0),1,0)</f>
        <v/>
      </c>
      <c r="AJ96">
        <f>IF(AND(AJ$4=1,AJ46=0),1,0)</f>
        <v/>
      </c>
      <c r="AK96">
        <f>IF(AND(AK$4=1,AK46=0),1,0)</f>
        <v/>
      </c>
      <c r="AL96">
        <f>IF(AND(AL$4=1,AL46=0),1,0)</f>
        <v/>
      </c>
      <c r="AM96">
        <f>IF(AND(AM$4=1,AM46=0),1,0)</f>
        <v/>
      </c>
      <c r="AN96">
        <f>IF(AND(AN$4=1,AN46=0),1,0)</f>
        <v/>
      </c>
      <c r="AO96">
        <f>IF(AND(AO$4=1,AO46=0),1,0)</f>
        <v/>
      </c>
      <c r="AP96">
        <f>IF(AND(AP$4=1,AP46=0),1,0)</f>
        <v/>
      </c>
      <c r="AQ96">
        <f>IF(AND(AQ$4=1,AQ46=0),1,0)</f>
        <v/>
      </c>
      <c r="AR96">
        <f>IF(AND(AR$4=1,AR46=0),1,0)</f>
        <v/>
      </c>
      <c r="AS96">
        <f>IF(AND(AS$4=1,AS46=0),1,0)</f>
        <v/>
      </c>
      <c r="AT96">
        <f>IF(AND(AT$4=1,AT46=0),1,0)</f>
        <v/>
      </c>
      <c r="AU96">
        <f>IF(AND(AU$4=1,AU46=0),1,0)</f>
        <v/>
      </c>
      <c r="AV96">
        <f>IF(AND(AV$4=1,AV46=0),1,0)</f>
        <v/>
      </c>
      <c r="AW96">
        <f>IF(AND(AW$4=1,AW46=0),1,0)</f>
        <v/>
      </c>
      <c r="AX96">
        <f>IF(AND(AX$4=1,AX46=0),1,0)</f>
        <v/>
      </c>
      <c r="AY96">
        <f>IF(AND(AY$4=1,AY46=0),1,0)</f>
        <v/>
      </c>
      <c r="AZ96">
        <f>IF(AND(AZ$4=1,AZ46=0),1,0)</f>
        <v/>
      </c>
      <c r="BA96">
        <f>IF(AND(BA$4=1,BA46=0),1,0)</f>
        <v/>
      </c>
      <c r="BB96">
        <f>IF(AND(BB$4=1,BB46=0),1,0)</f>
        <v/>
      </c>
      <c r="BC96">
        <f>IF(AND(BC$4=1,BC46=0),1,0)</f>
        <v/>
      </c>
      <c r="BD96">
        <f>IF(AND(BD$4=1,BD46=0),1,0)</f>
        <v/>
      </c>
      <c r="BE96">
        <f>IF(AND(BE$4=1,BE46=0),1,0)</f>
        <v/>
      </c>
      <c r="BF96">
        <f>IF(AND(BF$4=1,BF46=0),1,0)</f>
        <v/>
      </c>
      <c r="BG96">
        <f>IF(AND(BG$4=1,BG46=0),1,0)</f>
        <v/>
      </c>
      <c r="BH96">
        <f>IF(AND(BH$4=1,BH46=0),1,0)</f>
        <v/>
      </c>
      <c r="BI96">
        <f>IF(AND(BI$4=1,BI46=0),1,0)</f>
        <v/>
      </c>
      <c r="BJ96">
        <f>IF(AND(BJ$4=1,BJ46=0),1,0)</f>
        <v/>
      </c>
      <c r="BK96">
        <f>IF(AND(BK$4=1,BK46=0),1,0)</f>
        <v/>
      </c>
      <c r="BL96">
        <f>IF(AND(BL$4=1,BL46=0),1,0)</f>
        <v/>
      </c>
      <c r="BM96">
        <f>IF(AND(BM$4=1,BM46=0),1,0)</f>
        <v/>
      </c>
      <c r="BN96">
        <f>IF(AND(BN$4=1,BN46=0),1,0)</f>
        <v/>
      </c>
      <c r="BO96">
        <f>IF(AND(BO$4=1,BO46=0),1,0)</f>
        <v/>
      </c>
      <c r="BP96">
        <f>IF(AND(BP$4=1,BP46=0),1,0)</f>
        <v/>
      </c>
      <c r="BQ96">
        <f>IF(AND(BQ$4=1,BQ46=0),1,0)</f>
        <v/>
      </c>
      <c r="BR96">
        <f>IF(AND(BR$4=1,BR46=0),1,0)</f>
        <v/>
      </c>
      <c r="BS96">
        <f>IF(AND(BS$4=1,BS46=0),1,0)</f>
        <v/>
      </c>
      <c r="BT96">
        <f>IF(AND(BT$4=1,BT46=0),1,0)</f>
        <v/>
      </c>
      <c r="BU96">
        <f>IF(AND(BU$4=1,BU46=0),1,0)</f>
        <v/>
      </c>
      <c r="BV96">
        <f>IF(AND(BV$4=1,BV46=0),1,0)</f>
        <v/>
      </c>
      <c r="BW96">
        <f>IF(AND(BW$4=1,BW46=0),1,0)</f>
        <v/>
      </c>
      <c r="BX96">
        <f>IF(AND(BX$4=1,BX46=0),1,0)</f>
        <v/>
      </c>
      <c r="BY96">
        <f>IF(AND(BY$4=1,BY46=0),1,0)</f>
        <v/>
      </c>
      <c r="BZ96">
        <f>IF(AND(BZ$4=1,BZ46=0),1,0)</f>
        <v/>
      </c>
      <c r="CA96">
        <f>IF(AND(CA$4=1,CA46=0),1,0)</f>
        <v/>
      </c>
      <c r="CB96">
        <f>IF(AND(CB$4=1,CB46=0),1,0)</f>
        <v/>
      </c>
      <c r="CC96">
        <f>IF(AND(CC$4=1,CC46=0),1,0)</f>
        <v/>
      </c>
      <c r="CD96">
        <f>IF(AND(CD$4=1,CD46=0),1,0)</f>
        <v/>
      </c>
      <c r="CE96">
        <f>IF(AND(CE$4=1,CE46=0),1,0)</f>
        <v/>
      </c>
      <c r="CF96">
        <f>IF(AND(CF$4=1,CF46=0),1,0)</f>
        <v/>
      </c>
      <c r="CG96">
        <f>IF(AND(CG$4=1,CG46=0),1,0)</f>
        <v/>
      </c>
      <c r="CH96">
        <f>IF(AND(CH$4=1,CH46=0),1,0)</f>
        <v/>
      </c>
      <c r="CI96">
        <f>IF(AND(CI$4=1,CI46=0),1,0)</f>
        <v/>
      </c>
      <c r="CJ96">
        <f>IF(AND(CJ$4=1,CJ46=0),1,0)</f>
        <v/>
      </c>
      <c r="CK96">
        <f>IF(AND(CK$4=1,CK46=0),1,0)</f>
        <v/>
      </c>
      <c r="CL96">
        <f>IF(AND(CL$4=1,CL46=0),1,0)</f>
        <v/>
      </c>
      <c r="CM96">
        <f>IF(AND(CM$4=1,CM46=0),1,0)</f>
        <v/>
      </c>
      <c r="CN96">
        <f>IF(AND(CN$4=1,CN46=0),1,0)</f>
        <v/>
      </c>
      <c r="CO96">
        <f>IF(AND(CO$4=1,CO46=0),1,0)</f>
        <v/>
      </c>
      <c r="CP96">
        <f>IF(AND(CP$4=1,CP46=0),1,0)</f>
        <v/>
      </c>
      <c r="CQ96">
        <f>IF(AND(CQ$4=1,CQ46=0),1,0)</f>
        <v/>
      </c>
      <c r="CR96">
        <f>IF(AND(CR$4=1,CR46=0),1,0)</f>
        <v/>
      </c>
      <c r="CS96">
        <f>IF(AND(CS$4=1,CS46=0),1,0)</f>
        <v/>
      </c>
      <c r="CT96">
        <f>IF(AND(CT$4=1,CT46=0),1,0)</f>
        <v/>
      </c>
      <c r="CU96">
        <f>IF(AND(CU$4=1,CU46=0),1,0)</f>
        <v/>
      </c>
      <c r="CV96">
        <f>IF(AND(CV$4=1,CV46=0),1,0)</f>
        <v/>
      </c>
      <c r="CW96">
        <f>IF(AND(CW$4=1,CW46=0),1,0)</f>
        <v/>
      </c>
      <c r="CX96">
        <f>IF(AND(CX$4=1,CX46=0),1,0)</f>
        <v/>
      </c>
      <c r="CY96">
        <f>IF(AND(CY$4=1,CY46=0),1,0)</f>
        <v/>
      </c>
      <c r="CZ96">
        <f>IF(AND(CZ$4=1,CZ46=0),1,0)</f>
        <v/>
      </c>
      <c r="DA96">
        <f>IF(AND(DA$4=1,DA46=0),1,0)</f>
        <v/>
      </c>
      <c r="DB96">
        <f>IF(AND(DB$4=1,DB46=0),1,0)</f>
        <v/>
      </c>
      <c r="DC96">
        <f>IF(AND(DC$4=1,DC46=0),1,0)</f>
        <v/>
      </c>
      <c r="DD96">
        <f>IF(AND(DD$4=1,DD46=0),1,0)</f>
        <v/>
      </c>
      <c r="DE96">
        <f>IF(AND(DE$4=1,DE46=0),1,0)</f>
        <v/>
      </c>
      <c r="DF96">
        <f>IF(AND(DF$4=1,DF46=0),1,0)</f>
        <v/>
      </c>
      <c r="DG96">
        <f>IF(AND(DG$4=1,DG46=0),1,0)</f>
        <v/>
      </c>
      <c r="DH96">
        <f>IF(AND(DH$4=1,DH46=0),1,0)</f>
        <v/>
      </c>
      <c r="DI96">
        <f>IF(AND(DI$4=1,DI46=0),1,0)</f>
        <v/>
      </c>
      <c r="DJ96">
        <f>IF(AND(DJ$4=1,DJ46=0),1,0)</f>
        <v/>
      </c>
      <c r="DK96">
        <f>IF(AND(DK$4=1,DK46=0),1,0)</f>
        <v/>
      </c>
      <c r="DL96">
        <f>IF(AND(DL$4=1,DL46=0),1,0)</f>
        <v/>
      </c>
      <c r="DM96">
        <f>IF(AND(DM$4=1,DM46=0),1,0)</f>
        <v/>
      </c>
      <c r="DN96">
        <f>IF(AND(DN$4=1,DN46=0),1,0)</f>
        <v/>
      </c>
      <c r="DO96">
        <f>IF(AND(DO$4=1,DO46=0),1,0)</f>
        <v/>
      </c>
      <c r="DP96">
        <f>IF(AND(DP$4=1,DP46=0),1,0)</f>
        <v/>
      </c>
      <c r="DQ96">
        <f>IF(AND(DQ$4=1,DQ46=0),1,0)</f>
        <v/>
      </c>
      <c r="DR96">
        <f>IF(AND(DR$4=1,DR46=0),1,0)</f>
        <v/>
      </c>
      <c r="DS96">
        <f>IF(AND(DS$4=1,DS46=0),1,0)</f>
        <v/>
      </c>
      <c r="DT96">
        <f>IF(AND(DT$4=1,DT46=0),1,0)</f>
        <v/>
      </c>
      <c r="DU96">
        <f>IF(AND(DU$4=1,DU46=0),1,0)</f>
        <v/>
      </c>
      <c r="DV96">
        <f>IF(AND(DV$4=1,DV46=0),1,0)</f>
        <v/>
      </c>
      <c r="DW96">
        <f>IF(AND(DW$4=1,DW46=0),1,0)</f>
        <v/>
      </c>
      <c r="DX96">
        <f>IF(AND(DX$4=1,DX46=0),1,0)</f>
        <v/>
      </c>
      <c r="DY96">
        <f>IF(AND(DY$4=1,DY46=0),1,0)</f>
        <v/>
      </c>
      <c r="DZ96">
        <f>IF(AND(DZ$4=1,DZ46=0),1,0)</f>
        <v/>
      </c>
      <c r="EA96">
        <f>IF(AND(EA$4=1,EA46=0),1,0)</f>
        <v/>
      </c>
      <c r="EB96">
        <f>IF(AND(EB$4=1,EB46=0),1,0)</f>
        <v/>
      </c>
      <c r="EC96">
        <f>IF(AND(EC$4=1,EC46=0),1,0)</f>
        <v/>
      </c>
      <c r="ED96">
        <f>IF(AND(ED$4=1,ED46=0),1,0)</f>
        <v/>
      </c>
      <c r="EE96">
        <f>IF(AND(EE$4=1,EE46=0),1,0)</f>
        <v/>
      </c>
      <c r="EF96">
        <f>IF(AND(EF$4=1,EF46=0),1,0)</f>
        <v/>
      </c>
      <c r="EG96">
        <f>IF(AND(EG$4=1,EG46=0),1,0)</f>
        <v/>
      </c>
      <c r="EH96">
        <f>IF(AND(EH$4=1,EH46=0),1,0)</f>
        <v/>
      </c>
      <c r="EI96">
        <f>IF(AND(EI$4=1,EI46=0),1,0)</f>
        <v/>
      </c>
      <c r="EJ96">
        <f>IF(AND(EJ$4=1,EJ46=0),1,0)</f>
        <v/>
      </c>
      <c r="EK96">
        <f>IF(AND(EK$4=1,EK46=0),1,0)</f>
        <v/>
      </c>
      <c r="EL96">
        <f>IF(AND(EL$4=1,EL46=0),1,0)</f>
        <v/>
      </c>
      <c r="EM96">
        <f>IF(AND(EM$4=1,EM46=0),1,0)</f>
        <v/>
      </c>
      <c r="EN96">
        <f>IF(AND(EN$4=1,EN46=0),1,0)</f>
        <v/>
      </c>
      <c r="EO96">
        <f>IF(AND(EO$4=1,EO46=0),1,0)</f>
        <v/>
      </c>
      <c r="EP96">
        <f>IF(AND(EP$4=1,EP46=0),1,0)</f>
        <v/>
      </c>
      <c r="EQ96">
        <f>IF(AND(EQ$4=1,EQ46=0),1,0)</f>
        <v/>
      </c>
    </row>
    <row r="97">
      <c r="A97" t="n">
        <v>38</v>
      </c>
      <c r="D97">
        <f>IF(AND(D$4=1,D47=0),1,0)</f>
        <v/>
      </c>
      <c r="E97">
        <f>IF(AND(E$4=1,E47=0),1,0)</f>
        <v/>
      </c>
      <c r="F97">
        <f>IF(AND(F$4=1,F47=0),1,0)</f>
        <v/>
      </c>
      <c r="G97">
        <f>IF(AND(G$4=1,G47=0),1,0)</f>
        <v/>
      </c>
      <c r="H97">
        <f>IF(AND(H$4=1,H47=0),1,0)</f>
        <v/>
      </c>
      <c r="I97">
        <f>IF(AND(I$4=1,I47=0),1,0)</f>
        <v/>
      </c>
      <c r="J97">
        <f>IF(AND(J$4=1,J47=0),1,0)</f>
        <v/>
      </c>
      <c r="K97">
        <f>IF(AND(K$4=1,K47=0),1,0)</f>
        <v/>
      </c>
      <c r="L97">
        <f>IF(AND(L$4=1,L47=0),1,0)</f>
        <v/>
      </c>
      <c r="M97">
        <f>IF(AND(M$4=1,M47=0),1,0)</f>
        <v/>
      </c>
      <c r="N97">
        <f>IF(AND(N$4=1,N47=0),1,0)</f>
        <v/>
      </c>
      <c r="O97">
        <f>IF(AND(O$4=1,O47=0),1,0)</f>
        <v/>
      </c>
      <c r="P97">
        <f>IF(AND(P$4=1,P47=0),1,0)</f>
        <v/>
      </c>
      <c r="Q97">
        <f>IF(AND(Q$4=1,Q47=0),1,0)</f>
        <v/>
      </c>
      <c r="R97">
        <f>IF(AND(R$4=1,R47=0),1,0)</f>
        <v/>
      </c>
      <c r="S97">
        <f>IF(AND(S$4=1,S47=0),1,0)</f>
        <v/>
      </c>
      <c r="T97">
        <f>IF(AND(T$4=1,T47=0),1,0)</f>
        <v/>
      </c>
      <c r="U97">
        <f>IF(AND(U$4=1,U47=0),1,0)</f>
        <v/>
      </c>
      <c r="V97">
        <f>IF(AND(V$4=1,V47=0),1,0)</f>
        <v/>
      </c>
      <c r="W97">
        <f>IF(AND(W$4=1,W47=0),1,0)</f>
        <v/>
      </c>
      <c r="X97">
        <f>IF(AND(X$4=1,X47=0),1,0)</f>
        <v/>
      </c>
      <c r="Y97">
        <f>IF(AND(Y$4=1,Y47=0),1,0)</f>
        <v/>
      </c>
      <c r="Z97">
        <f>IF(AND(Z$4=1,Z47=0),1,0)</f>
        <v/>
      </c>
      <c r="AA97">
        <f>IF(AND(AA$4=1,AA47=0),1,0)</f>
        <v/>
      </c>
      <c r="AB97">
        <f>IF(AND(AB$4=1,AB47=0),1,0)</f>
        <v/>
      </c>
      <c r="AC97">
        <f>IF(AND(AC$4=1,AC47=0),1,0)</f>
        <v/>
      </c>
      <c r="AD97">
        <f>IF(AND(AD$4=1,AD47=0),1,0)</f>
        <v/>
      </c>
      <c r="AE97">
        <f>IF(AND(AE$4=1,AE47=0),1,0)</f>
        <v/>
      </c>
      <c r="AF97">
        <f>IF(AND(AF$4=1,AF47=0),1,0)</f>
        <v/>
      </c>
      <c r="AG97">
        <f>IF(AND(AG$4=1,AG47=0),1,0)</f>
        <v/>
      </c>
      <c r="AH97">
        <f>IF(AND(AH$4=1,AH47=0),1,0)</f>
        <v/>
      </c>
      <c r="AI97">
        <f>IF(AND(AI$4=1,AI47=0),1,0)</f>
        <v/>
      </c>
      <c r="AJ97">
        <f>IF(AND(AJ$4=1,AJ47=0),1,0)</f>
        <v/>
      </c>
      <c r="AK97">
        <f>IF(AND(AK$4=1,AK47=0),1,0)</f>
        <v/>
      </c>
      <c r="AL97">
        <f>IF(AND(AL$4=1,AL47=0),1,0)</f>
        <v/>
      </c>
      <c r="AM97">
        <f>IF(AND(AM$4=1,AM47=0),1,0)</f>
        <v/>
      </c>
      <c r="AN97">
        <f>IF(AND(AN$4=1,AN47=0),1,0)</f>
        <v/>
      </c>
      <c r="AO97">
        <f>IF(AND(AO$4=1,AO47=0),1,0)</f>
        <v/>
      </c>
      <c r="AP97">
        <f>IF(AND(AP$4=1,AP47=0),1,0)</f>
        <v/>
      </c>
      <c r="AQ97">
        <f>IF(AND(AQ$4=1,AQ47=0),1,0)</f>
        <v/>
      </c>
      <c r="AR97">
        <f>IF(AND(AR$4=1,AR47=0),1,0)</f>
        <v/>
      </c>
      <c r="AS97">
        <f>IF(AND(AS$4=1,AS47=0),1,0)</f>
        <v/>
      </c>
      <c r="AT97">
        <f>IF(AND(AT$4=1,AT47=0),1,0)</f>
        <v/>
      </c>
      <c r="AU97">
        <f>IF(AND(AU$4=1,AU47=0),1,0)</f>
        <v/>
      </c>
      <c r="AV97">
        <f>IF(AND(AV$4=1,AV47=0),1,0)</f>
        <v/>
      </c>
      <c r="AW97">
        <f>IF(AND(AW$4=1,AW47=0),1,0)</f>
        <v/>
      </c>
      <c r="AX97">
        <f>IF(AND(AX$4=1,AX47=0),1,0)</f>
        <v/>
      </c>
      <c r="AY97">
        <f>IF(AND(AY$4=1,AY47=0),1,0)</f>
        <v/>
      </c>
      <c r="AZ97">
        <f>IF(AND(AZ$4=1,AZ47=0),1,0)</f>
        <v/>
      </c>
      <c r="BA97">
        <f>IF(AND(BA$4=1,BA47=0),1,0)</f>
        <v/>
      </c>
      <c r="BB97">
        <f>IF(AND(BB$4=1,BB47=0),1,0)</f>
        <v/>
      </c>
      <c r="BC97">
        <f>IF(AND(BC$4=1,BC47=0),1,0)</f>
        <v/>
      </c>
      <c r="BD97">
        <f>IF(AND(BD$4=1,BD47=0),1,0)</f>
        <v/>
      </c>
      <c r="BE97">
        <f>IF(AND(BE$4=1,BE47=0),1,0)</f>
        <v/>
      </c>
      <c r="BF97">
        <f>IF(AND(BF$4=1,BF47=0),1,0)</f>
        <v/>
      </c>
      <c r="BG97">
        <f>IF(AND(BG$4=1,BG47=0),1,0)</f>
        <v/>
      </c>
      <c r="BH97">
        <f>IF(AND(BH$4=1,BH47=0),1,0)</f>
        <v/>
      </c>
      <c r="BI97">
        <f>IF(AND(BI$4=1,BI47=0),1,0)</f>
        <v/>
      </c>
      <c r="BJ97">
        <f>IF(AND(BJ$4=1,BJ47=0),1,0)</f>
        <v/>
      </c>
      <c r="BK97">
        <f>IF(AND(BK$4=1,BK47=0),1,0)</f>
        <v/>
      </c>
      <c r="BL97">
        <f>IF(AND(BL$4=1,BL47=0),1,0)</f>
        <v/>
      </c>
      <c r="BM97">
        <f>IF(AND(BM$4=1,BM47=0),1,0)</f>
        <v/>
      </c>
      <c r="BN97">
        <f>IF(AND(BN$4=1,BN47=0),1,0)</f>
        <v/>
      </c>
      <c r="BO97">
        <f>IF(AND(BO$4=1,BO47=0),1,0)</f>
        <v/>
      </c>
      <c r="BP97">
        <f>IF(AND(BP$4=1,BP47=0),1,0)</f>
        <v/>
      </c>
      <c r="BQ97">
        <f>IF(AND(BQ$4=1,BQ47=0),1,0)</f>
        <v/>
      </c>
      <c r="BR97">
        <f>IF(AND(BR$4=1,BR47=0),1,0)</f>
        <v/>
      </c>
      <c r="BS97">
        <f>IF(AND(BS$4=1,BS47=0),1,0)</f>
        <v/>
      </c>
      <c r="BT97">
        <f>IF(AND(BT$4=1,BT47=0),1,0)</f>
        <v/>
      </c>
      <c r="BU97">
        <f>IF(AND(BU$4=1,BU47=0),1,0)</f>
        <v/>
      </c>
      <c r="BV97">
        <f>IF(AND(BV$4=1,BV47=0),1,0)</f>
        <v/>
      </c>
      <c r="BW97">
        <f>IF(AND(BW$4=1,BW47=0),1,0)</f>
        <v/>
      </c>
      <c r="BX97">
        <f>IF(AND(BX$4=1,BX47=0),1,0)</f>
        <v/>
      </c>
      <c r="BY97">
        <f>IF(AND(BY$4=1,BY47=0),1,0)</f>
        <v/>
      </c>
      <c r="BZ97">
        <f>IF(AND(BZ$4=1,BZ47=0),1,0)</f>
        <v/>
      </c>
      <c r="CA97">
        <f>IF(AND(CA$4=1,CA47=0),1,0)</f>
        <v/>
      </c>
      <c r="CB97">
        <f>IF(AND(CB$4=1,CB47=0),1,0)</f>
        <v/>
      </c>
      <c r="CC97">
        <f>IF(AND(CC$4=1,CC47=0),1,0)</f>
        <v/>
      </c>
      <c r="CD97">
        <f>IF(AND(CD$4=1,CD47=0),1,0)</f>
        <v/>
      </c>
      <c r="CE97">
        <f>IF(AND(CE$4=1,CE47=0),1,0)</f>
        <v/>
      </c>
      <c r="CF97">
        <f>IF(AND(CF$4=1,CF47=0),1,0)</f>
        <v/>
      </c>
      <c r="CG97">
        <f>IF(AND(CG$4=1,CG47=0),1,0)</f>
        <v/>
      </c>
      <c r="CH97">
        <f>IF(AND(CH$4=1,CH47=0),1,0)</f>
        <v/>
      </c>
      <c r="CI97">
        <f>IF(AND(CI$4=1,CI47=0),1,0)</f>
        <v/>
      </c>
      <c r="CJ97">
        <f>IF(AND(CJ$4=1,CJ47=0),1,0)</f>
        <v/>
      </c>
      <c r="CK97">
        <f>IF(AND(CK$4=1,CK47=0),1,0)</f>
        <v/>
      </c>
      <c r="CL97">
        <f>IF(AND(CL$4=1,CL47=0),1,0)</f>
        <v/>
      </c>
      <c r="CM97">
        <f>IF(AND(CM$4=1,CM47=0),1,0)</f>
        <v/>
      </c>
      <c r="CN97">
        <f>IF(AND(CN$4=1,CN47=0),1,0)</f>
        <v/>
      </c>
      <c r="CO97">
        <f>IF(AND(CO$4=1,CO47=0),1,0)</f>
        <v/>
      </c>
      <c r="CP97">
        <f>IF(AND(CP$4=1,CP47=0),1,0)</f>
        <v/>
      </c>
      <c r="CQ97">
        <f>IF(AND(CQ$4=1,CQ47=0),1,0)</f>
        <v/>
      </c>
      <c r="CR97">
        <f>IF(AND(CR$4=1,CR47=0),1,0)</f>
        <v/>
      </c>
      <c r="CS97">
        <f>IF(AND(CS$4=1,CS47=0),1,0)</f>
        <v/>
      </c>
      <c r="CT97">
        <f>IF(AND(CT$4=1,CT47=0),1,0)</f>
        <v/>
      </c>
      <c r="CU97">
        <f>IF(AND(CU$4=1,CU47=0),1,0)</f>
        <v/>
      </c>
      <c r="CV97">
        <f>IF(AND(CV$4=1,CV47=0),1,0)</f>
        <v/>
      </c>
      <c r="CW97">
        <f>IF(AND(CW$4=1,CW47=0),1,0)</f>
        <v/>
      </c>
      <c r="CX97">
        <f>IF(AND(CX$4=1,CX47=0),1,0)</f>
        <v/>
      </c>
      <c r="CY97">
        <f>IF(AND(CY$4=1,CY47=0),1,0)</f>
        <v/>
      </c>
      <c r="CZ97">
        <f>IF(AND(CZ$4=1,CZ47=0),1,0)</f>
        <v/>
      </c>
      <c r="DA97">
        <f>IF(AND(DA$4=1,DA47=0),1,0)</f>
        <v/>
      </c>
      <c r="DB97">
        <f>IF(AND(DB$4=1,DB47=0),1,0)</f>
        <v/>
      </c>
      <c r="DC97">
        <f>IF(AND(DC$4=1,DC47=0),1,0)</f>
        <v/>
      </c>
      <c r="DD97">
        <f>IF(AND(DD$4=1,DD47=0),1,0)</f>
        <v/>
      </c>
      <c r="DE97">
        <f>IF(AND(DE$4=1,DE47=0),1,0)</f>
        <v/>
      </c>
      <c r="DF97">
        <f>IF(AND(DF$4=1,DF47=0),1,0)</f>
        <v/>
      </c>
      <c r="DG97">
        <f>IF(AND(DG$4=1,DG47=0),1,0)</f>
        <v/>
      </c>
      <c r="DH97">
        <f>IF(AND(DH$4=1,DH47=0),1,0)</f>
        <v/>
      </c>
      <c r="DI97">
        <f>IF(AND(DI$4=1,DI47=0),1,0)</f>
        <v/>
      </c>
      <c r="DJ97">
        <f>IF(AND(DJ$4=1,DJ47=0),1,0)</f>
        <v/>
      </c>
      <c r="DK97">
        <f>IF(AND(DK$4=1,DK47=0),1,0)</f>
        <v/>
      </c>
      <c r="DL97">
        <f>IF(AND(DL$4=1,DL47=0),1,0)</f>
        <v/>
      </c>
      <c r="DM97">
        <f>IF(AND(DM$4=1,DM47=0),1,0)</f>
        <v/>
      </c>
      <c r="DN97">
        <f>IF(AND(DN$4=1,DN47=0),1,0)</f>
        <v/>
      </c>
      <c r="DO97">
        <f>IF(AND(DO$4=1,DO47=0),1,0)</f>
        <v/>
      </c>
      <c r="DP97">
        <f>IF(AND(DP$4=1,DP47=0),1,0)</f>
        <v/>
      </c>
      <c r="DQ97">
        <f>IF(AND(DQ$4=1,DQ47=0),1,0)</f>
        <v/>
      </c>
      <c r="DR97">
        <f>IF(AND(DR$4=1,DR47=0),1,0)</f>
        <v/>
      </c>
      <c r="DS97">
        <f>IF(AND(DS$4=1,DS47=0),1,0)</f>
        <v/>
      </c>
      <c r="DT97">
        <f>IF(AND(DT$4=1,DT47=0),1,0)</f>
        <v/>
      </c>
      <c r="DU97">
        <f>IF(AND(DU$4=1,DU47=0),1,0)</f>
        <v/>
      </c>
      <c r="DV97">
        <f>IF(AND(DV$4=1,DV47=0),1,0)</f>
        <v/>
      </c>
      <c r="DW97">
        <f>IF(AND(DW$4=1,DW47=0),1,0)</f>
        <v/>
      </c>
      <c r="DX97">
        <f>IF(AND(DX$4=1,DX47=0),1,0)</f>
        <v/>
      </c>
      <c r="DY97">
        <f>IF(AND(DY$4=1,DY47=0),1,0)</f>
        <v/>
      </c>
      <c r="DZ97">
        <f>IF(AND(DZ$4=1,DZ47=0),1,0)</f>
        <v/>
      </c>
      <c r="EA97">
        <f>IF(AND(EA$4=1,EA47=0),1,0)</f>
        <v/>
      </c>
      <c r="EB97">
        <f>IF(AND(EB$4=1,EB47=0),1,0)</f>
        <v/>
      </c>
      <c r="EC97">
        <f>IF(AND(EC$4=1,EC47=0),1,0)</f>
        <v/>
      </c>
      <c r="ED97">
        <f>IF(AND(ED$4=1,ED47=0),1,0)</f>
        <v/>
      </c>
      <c r="EE97">
        <f>IF(AND(EE$4=1,EE47=0),1,0)</f>
        <v/>
      </c>
      <c r="EF97">
        <f>IF(AND(EF$4=1,EF47=0),1,0)</f>
        <v/>
      </c>
      <c r="EG97">
        <f>IF(AND(EG$4=1,EG47=0),1,0)</f>
        <v/>
      </c>
      <c r="EH97">
        <f>IF(AND(EH$4=1,EH47=0),1,0)</f>
        <v/>
      </c>
      <c r="EI97">
        <f>IF(AND(EI$4=1,EI47=0),1,0)</f>
        <v/>
      </c>
      <c r="EJ97">
        <f>IF(AND(EJ$4=1,EJ47=0),1,0)</f>
        <v/>
      </c>
      <c r="EK97">
        <f>IF(AND(EK$4=1,EK47=0),1,0)</f>
        <v/>
      </c>
      <c r="EL97">
        <f>IF(AND(EL$4=1,EL47=0),1,0)</f>
        <v/>
      </c>
      <c r="EM97">
        <f>IF(AND(EM$4=1,EM47=0),1,0)</f>
        <v/>
      </c>
      <c r="EN97">
        <f>IF(AND(EN$4=1,EN47=0),1,0)</f>
        <v/>
      </c>
      <c r="EO97">
        <f>IF(AND(EO$4=1,EO47=0),1,0)</f>
        <v/>
      </c>
      <c r="EP97">
        <f>IF(AND(EP$4=1,EP47=0),1,0)</f>
        <v/>
      </c>
      <c r="EQ97">
        <f>IF(AND(EQ$4=1,EQ47=0),1,0)</f>
        <v/>
      </c>
    </row>
    <row r="98">
      <c r="A98" t="n">
        <v>39</v>
      </c>
      <c r="D98">
        <f>IF(AND(D$4=1,D48=0),1,0)</f>
        <v/>
      </c>
      <c r="E98">
        <f>IF(AND(E$4=1,E48=0),1,0)</f>
        <v/>
      </c>
      <c r="F98">
        <f>IF(AND(F$4=1,F48=0),1,0)</f>
        <v/>
      </c>
      <c r="G98">
        <f>IF(AND(G$4=1,G48=0),1,0)</f>
        <v/>
      </c>
      <c r="H98">
        <f>IF(AND(H$4=1,H48=0),1,0)</f>
        <v/>
      </c>
      <c r="I98">
        <f>IF(AND(I$4=1,I48=0),1,0)</f>
        <v/>
      </c>
      <c r="J98">
        <f>IF(AND(J$4=1,J48=0),1,0)</f>
        <v/>
      </c>
      <c r="K98">
        <f>IF(AND(K$4=1,K48=0),1,0)</f>
        <v/>
      </c>
      <c r="L98">
        <f>IF(AND(L$4=1,L48=0),1,0)</f>
        <v/>
      </c>
      <c r="M98">
        <f>IF(AND(M$4=1,M48=0),1,0)</f>
        <v/>
      </c>
      <c r="N98">
        <f>IF(AND(N$4=1,N48=0),1,0)</f>
        <v/>
      </c>
      <c r="O98">
        <f>IF(AND(O$4=1,O48=0),1,0)</f>
        <v/>
      </c>
      <c r="P98">
        <f>IF(AND(P$4=1,P48=0),1,0)</f>
        <v/>
      </c>
      <c r="Q98">
        <f>IF(AND(Q$4=1,Q48=0),1,0)</f>
        <v/>
      </c>
      <c r="R98">
        <f>IF(AND(R$4=1,R48=0),1,0)</f>
        <v/>
      </c>
      <c r="S98">
        <f>IF(AND(S$4=1,S48=0),1,0)</f>
        <v/>
      </c>
      <c r="T98">
        <f>IF(AND(T$4=1,T48=0),1,0)</f>
        <v/>
      </c>
      <c r="U98">
        <f>IF(AND(U$4=1,U48=0),1,0)</f>
        <v/>
      </c>
      <c r="V98">
        <f>IF(AND(V$4=1,V48=0),1,0)</f>
        <v/>
      </c>
      <c r="W98">
        <f>IF(AND(W$4=1,W48=0),1,0)</f>
        <v/>
      </c>
      <c r="X98">
        <f>IF(AND(X$4=1,X48=0),1,0)</f>
        <v/>
      </c>
      <c r="Y98">
        <f>IF(AND(Y$4=1,Y48=0),1,0)</f>
        <v/>
      </c>
      <c r="Z98">
        <f>IF(AND(Z$4=1,Z48=0),1,0)</f>
        <v/>
      </c>
      <c r="AA98">
        <f>IF(AND(AA$4=1,AA48=0),1,0)</f>
        <v/>
      </c>
      <c r="AB98">
        <f>IF(AND(AB$4=1,AB48=0),1,0)</f>
        <v/>
      </c>
      <c r="AC98">
        <f>IF(AND(AC$4=1,AC48=0),1,0)</f>
        <v/>
      </c>
      <c r="AD98">
        <f>IF(AND(AD$4=1,AD48=0),1,0)</f>
        <v/>
      </c>
      <c r="AE98">
        <f>IF(AND(AE$4=1,AE48=0),1,0)</f>
        <v/>
      </c>
      <c r="AF98">
        <f>IF(AND(AF$4=1,AF48=0),1,0)</f>
        <v/>
      </c>
      <c r="AG98">
        <f>IF(AND(AG$4=1,AG48=0),1,0)</f>
        <v/>
      </c>
      <c r="AH98">
        <f>IF(AND(AH$4=1,AH48=0),1,0)</f>
        <v/>
      </c>
      <c r="AI98">
        <f>IF(AND(AI$4=1,AI48=0),1,0)</f>
        <v/>
      </c>
      <c r="AJ98">
        <f>IF(AND(AJ$4=1,AJ48=0),1,0)</f>
        <v/>
      </c>
      <c r="AK98">
        <f>IF(AND(AK$4=1,AK48=0),1,0)</f>
        <v/>
      </c>
      <c r="AL98">
        <f>IF(AND(AL$4=1,AL48=0),1,0)</f>
        <v/>
      </c>
      <c r="AM98">
        <f>IF(AND(AM$4=1,AM48=0),1,0)</f>
        <v/>
      </c>
      <c r="AN98">
        <f>IF(AND(AN$4=1,AN48=0),1,0)</f>
        <v/>
      </c>
      <c r="AO98">
        <f>IF(AND(AO$4=1,AO48=0),1,0)</f>
        <v/>
      </c>
      <c r="AP98">
        <f>IF(AND(AP$4=1,AP48=0),1,0)</f>
        <v/>
      </c>
      <c r="AQ98">
        <f>IF(AND(AQ$4=1,AQ48=0),1,0)</f>
        <v/>
      </c>
      <c r="AR98">
        <f>IF(AND(AR$4=1,AR48=0),1,0)</f>
        <v/>
      </c>
      <c r="AS98">
        <f>IF(AND(AS$4=1,AS48=0),1,0)</f>
        <v/>
      </c>
      <c r="AT98">
        <f>IF(AND(AT$4=1,AT48=0),1,0)</f>
        <v/>
      </c>
      <c r="AU98">
        <f>IF(AND(AU$4=1,AU48=0),1,0)</f>
        <v/>
      </c>
      <c r="AV98">
        <f>IF(AND(AV$4=1,AV48=0),1,0)</f>
        <v/>
      </c>
      <c r="AW98">
        <f>IF(AND(AW$4=1,AW48=0),1,0)</f>
        <v/>
      </c>
      <c r="AX98">
        <f>IF(AND(AX$4=1,AX48=0),1,0)</f>
        <v/>
      </c>
      <c r="AY98">
        <f>IF(AND(AY$4=1,AY48=0),1,0)</f>
        <v/>
      </c>
      <c r="AZ98">
        <f>IF(AND(AZ$4=1,AZ48=0),1,0)</f>
        <v/>
      </c>
      <c r="BA98">
        <f>IF(AND(BA$4=1,BA48=0),1,0)</f>
        <v/>
      </c>
      <c r="BB98">
        <f>IF(AND(BB$4=1,BB48=0),1,0)</f>
        <v/>
      </c>
      <c r="BC98">
        <f>IF(AND(BC$4=1,BC48=0),1,0)</f>
        <v/>
      </c>
      <c r="BD98">
        <f>IF(AND(BD$4=1,BD48=0),1,0)</f>
        <v/>
      </c>
      <c r="BE98">
        <f>IF(AND(BE$4=1,BE48=0),1,0)</f>
        <v/>
      </c>
      <c r="BF98">
        <f>IF(AND(BF$4=1,BF48=0),1,0)</f>
        <v/>
      </c>
      <c r="BG98">
        <f>IF(AND(BG$4=1,BG48=0),1,0)</f>
        <v/>
      </c>
      <c r="BH98">
        <f>IF(AND(BH$4=1,BH48=0),1,0)</f>
        <v/>
      </c>
      <c r="BI98">
        <f>IF(AND(BI$4=1,BI48=0),1,0)</f>
        <v/>
      </c>
      <c r="BJ98">
        <f>IF(AND(BJ$4=1,BJ48=0),1,0)</f>
        <v/>
      </c>
      <c r="BK98">
        <f>IF(AND(BK$4=1,BK48=0),1,0)</f>
        <v/>
      </c>
      <c r="BL98">
        <f>IF(AND(BL$4=1,BL48=0),1,0)</f>
        <v/>
      </c>
      <c r="BM98">
        <f>IF(AND(BM$4=1,BM48=0),1,0)</f>
        <v/>
      </c>
      <c r="BN98">
        <f>IF(AND(BN$4=1,BN48=0),1,0)</f>
        <v/>
      </c>
      <c r="BO98">
        <f>IF(AND(BO$4=1,BO48=0),1,0)</f>
        <v/>
      </c>
      <c r="BP98">
        <f>IF(AND(BP$4=1,BP48=0),1,0)</f>
        <v/>
      </c>
      <c r="BQ98">
        <f>IF(AND(BQ$4=1,BQ48=0),1,0)</f>
        <v/>
      </c>
      <c r="BR98">
        <f>IF(AND(BR$4=1,BR48=0),1,0)</f>
        <v/>
      </c>
      <c r="BS98">
        <f>IF(AND(BS$4=1,BS48=0),1,0)</f>
        <v/>
      </c>
      <c r="BT98">
        <f>IF(AND(BT$4=1,BT48=0),1,0)</f>
        <v/>
      </c>
      <c r="BU98">
        <f>IF(AND(BU$4=1,BU48=0),1,0)</f>
        <v/>
      </c>
      <c r="BV98">
        <f>IF(AND(BV$4=1,BV48=0),1,0)</f>
        <v/>
      </c>
      <c r="BW98">
        <f>IF(AND(BW$4=1,BW48=0),1,0)</f>
        <v/>
      </c>
      <c r="BX98">
        <f>IF(AND(BX$4=1,BX48=0),1,0)</f>
        <v/>
      </c>
      <c r="BY98">
        <f>IF(AND(BY$4=1,BY48=0),1,0)</f>
        <v/>
      </c>
      <c r="BZ98">
        <f>IF(AND(BZ$4=1,BZ48=0),1,0)</f>
        <v/>
      </c>
      <c r="CA98">
        <f>IF(AND(CA$4=1,CA48=0),1,0)</f>
        <v/>
      </c>
      <c r="CB98">
        <f>IF(AND(CB$4=1,CB48=0),1,0)</f>
        <v/>
      </c>
      <c r="CC98">
        <f>IF(AND(CC$4=1,CC48=0),1,0)</f>
        <v/>
      </c>
      <c r="CD98">
        <f>IF(AND(CD$4=1,CD48=0),1,0)</f>
        <v/>
      </c>
      <c r="CE98">
        <f>IF(AND(CE$4=1,CE48=0),1,0)</f>
        <v/>
      </c>
      <c r="CF98">
        <f>IF(AND(CF$4=1,CF48=0),1,0)</f>
        <v/>
      </c>
      <c r="CG98">
        <f>IF(AND(CG$4=1,CG48=0),1,0)</f>
        <v/>
      </c>
      <c r="CH98">
        <f>IF(AND(CH$4=1,CH48=0),1,0)</f>
        <v/>
      </c>
      <c r="CI98">
        <f>IF(AND(CI$4=1,CI48=0),1,0)</f>
        <v/>
      </c>
      <c r="CJ98">
        <f>IF(AND(CJ$4=1,CJ48=0),1,0)</f>
        <v/>
      </c>
      <c r="CK98">
        <f>IF(AND(CK$4=1,CK48=0),1,0)</f>
        <v/>
      </c>
      <c r="CL98">
        <f>IF(AND(CL$4=1,CL48=0),1,0)</f>
        <v/>
      </c>
      <c r="CM98">
        <f>IF(AND(CM$4=1,CM48=0),1,0)</f>
        <v/>
      </c>
      <c r="CN98">
        <f>IF(AND(CN$4=1,CN48=0),1,0)</f>
        <v/>
      </c>
      <c r="CO98">
        <f>IF(AND(CO$4=1,CO48=0),1,0)</f>
        <v/>
      </c>
      <c r="CP98">
        <f>IF(AND(CP$4=1,CP48=0),1,0)</f>
        <v/>
      </c>
      <c r="CQ98">
        <f>IF(AND(CQ$4=1,CQ48=0),1,0)</f>
        <v/>
      </c>
      <c r="CR98">
        <f>IF(AND(CR$4=1,CR48=0),1,0)</f>
        <v/>
      </c>
      <c r="CS98">
        <f>IF(AND(CS$4=1,CS48=0),1,0)</f>
        <v/>
      </c>
      <c r="CT98">
        <f>IF(AND(CT$4=1,CT48=0),1,0)</f>
        <v/>
      </c>
      <c r="CU98">
        <f>IF(AND(CU$4=1,CU48=0),1,0)</f>
        <v/>
      </c>
      <c r="CV98">
        <f>IF(AND(CV$4=1,CV48=0),1,0)</f>
        <v/>
      </c>
      <c r="CW98">
        <f>IF(AND(CW$4=1,CW48=0),1,0)</f>
        <v/>
      </c>
      <c r="CX98">
        <f>IF(AND(CX$4=1,CX48=0),1,0)</f>
        <v/>
      </c>
      <c r="CY98">
        <f>IF(AND(CY$4=1,CY48=0),1,0)</f>
        <v/>
      </c>
      <c r="CZ98">
        <f>IF(AND(CZ$4=1,CZ48=0),1,0)</f>
        <v/>
      </c>
      <c r="DA98">
        <f>IF(AND(DA$4=1,DA48=0),1,0)</f>
        <v/>
      </c>
      <c r="DB98">
        <f>IF(AND(DB$4=1,DB48=0),1,0)</f>
        <v/>
      </c>
      <c r="DC98">
        <f>IF(AND(DC$4=1,DC48=0),1,0)</f>
        <v/>
      </c>
      <c r="DD98">
        <f>IF(AND(DD$4=1,DD48=0),1,0)</f>
        <v/>
      </c>
      <c r="DE98">
        <f>IF(AND(DE$4=1,DE48=0),1,0)</f>
        <v/>
      </c>
      <c r="DF98">
        <f>IF(AND(DF$4=1,DF48=0),1,0)</f>
        <v/>
      </c>
      <c r="DG98">
        <f>IF(AND(DG$4=1,DG48=0),1,0)</f>
        <v/>
      </c>
      <c r="DH98">
        <f>IF(AND(DH$4=1,DH48=0),1,0)</f>
        <v/>
      </c>
      <c r="DI98">
        <f>IF(AND(DI$4=1,DI48=0),1,0)</f>
        <v/>
      </c>
      <c r="DJ98">
        <f>IF(AND(DJ$4=1,DJ48=0),1,0)</f>
        <v/>
      </c>
      <c r="DK98">
        <f>IF(AND(DK$4=1,DK48=0),1,0)</f>
        <v/>
      </c>
      <c r="DL98">
        <f>IF(AND(DL$4=1,DL48=0),1,0)</f>
        <v/>
      </c>
      <c r="DM98">
        <f>IF(AND(DM$4=1,DM48=0),1,0)</f>
        <v/>
      </c>
      <c r="DN98">
        <f>IF(AND(DN$4=1,DN48=0),1,0)</f>
        <v/>
      </c>
      <c r="DO98">
        <f>IF(AND(DO$4=1,DO48=0),1,0)</f>
        <v/>
      </c>
      <c r="DP98">
        <f>IF(AND(DP$4=1,DP48=0),1,0)</f>
        <v/>
      </c>
      <c r="DQ98">
        <f>IF(AND(DQ$4=1,DQ48=0),1,0)</f>
        <v/>
      </c>
      <c r="DR98">
        <f>IF(AND(DR$4=1,DR48=0),1,0)</f>
        <v/>
      </c>
      <c r="DS98">
        <f>IF(AND(DS$4=1,DS48=0),1,0)</f>
        <v/>
      </c>
      <c r="DT98">
        <f>IF(AND(DT$4=1,DT48=0),1,0)</f>
        <v/>
      </c>
      <c r="DU98">
        <f>IF(AND(DU$4=1,DU48=0),1,0)</f>
        <v/>
      </c>
      <c r="DV98">
        <f>IF(AND(DV$4=1,DV48=0),1,0)</f>
        <v/>
      </c>
      <c r="DW98">
        <f>IF(AND(DW$4=1,DW48=0),1,0)</f>
        <v/>
      </c>
      <c r="DX98">
        <f>IF(AND(DX$4=1,DX48=0),1,0)</f>
        <v/>
      </c>
      <c r="DY98">
        <f>IF(AND(DY$4=1,DY48=0),1,0)</f>
        <v/>
      </c>
      <c r="DZ98">
        <f>IF(AND(DZ$4=1,DZ48=0),1,0)</f>
        <v/>
      </c>
      <c r="EA98">
        <f>IF(AND(EA$4=1,EA48=0),1,0)</f>
        <v/>
      </c>
      <c r="EB98">
        <f>IF(AND(EB$4=1,EB48=0),1,0)</f>
        <v/>
      </c>
      <c r="EC98">
        <f>IF(AND(EC$4=1,EC48=0),1,0)</f>
        <v/>
      </c>
      <c r="ED98">
        <f>IF(AND(ED$4=1,ED48=0),1,0)</f>
        <v/>
      </c>
      <c r="EE98">
        <f>IF(AND(EE$4=1,EE48=0),1,0)</f>
        <v/>
      </c>
      <c r="EF98">
        <f>IF(AND(EF$4=1,EF48=0),1,0)</f>
        <v/>
      </c>
      <c r="EG98">
        <f>IF(AND(EG$4=1,EG48=0),1,0)</f>
        <v/>
      </c>
      <c r="EH98">
        <f>IF(AND(EH$4=1,EH48=0),1,0)</f>
        <v/>
      </c>
      <c r="EI98">
        <f>IF(AND(EI$4=1,EI48=0),1,0)</f>
        <v/>
      </c>
      <c r="EJ98">
        <f>IF(AND(EJ$4=1,EJ48=0),1,0)</f>
        <v/>
      </c>
      <c r="EK98">
        <f>IF(AND(EK$4=1,EK48=0),1,0)</f>
        <v/>
      </c>
      <c r="EL98">
        <f>IF(AND(EL$4=1,EL48=0),1,0)</f>
        <v/>
      </c>
      <c r="EM98">
        <f>IF(AND(EM$4=1,EM48=0),1,0)</f>
        <v/>
      </c>
      <c r="EN98">
        <f>IF(AND(EN$4=1,EN48=0),1,0)</f>
        <v/>
      </c>
      <c r="EO98">
        <f>IF(AND(EO$4=1,EO48=0),1,0)</f>
        <v/>
      </c>
      <c r="EP98">
        <f>IF(AND(EP$4=1,EP48=0),1,0)</f>
        <v/>
      </c>
      <c r="EQ98">
        <f>IF(AND(EQ$4=1,EQ48=0),1,0)</f>
        <v/>
      </c>
    </row>
    <row r="99">
      <c r="A99" t="n">
        <v>40</v>
      </c>
      <c r="D99">
        <f>IF(AND(D$4=1,D49=0),1,0)</f>
        <v/>
      </c>
      <c r="E99">
        <f>IF(AND(E$4=1,E49=0),1,0)</f>
        <v/>
      </c>
      <c r="F99">
        <f>IF(AND(F$4=1,F49=0),1,0)</f>
        <v/>
      </c>
      <c r="G99">
        <f>IF(AND(G$4=1,G49=0),1,0)</f>
        <v/>
      </c>
      <c r="H99">
        <f>IF(AND(H$4=1,H49=0),1,0)</f>
        <v/>
      </c>
      <c r="I99">
        <f>IF(AND(I$4=1,I49=0),1,0)</f>
        <v/>
      </c>
      <c r="J99">
        <f>IF(AND(J$4=1,J49=0),1,0)</f>
        <v/>
      </c>
      <c r="K99">
        <f>IF(AND(K$4=1,K49=0),1,0)</f>
        <v/>
      </c>
      <c r="L99">
        <f>IF(AND(L$4=1,L49=0),1,0)</f>
        <v/>
      </c>
      <c r="M99">
        <f>IF(AND(M$4=1,M49=0),1,0)</f>
        <v/>
      </c>
      <c r="N99">
        <f>IF(AND(N$4=1,N49=0),1,0)</f>
        <v/>
      </c>
      <c r="O99">
        <f>IF(AND(O$4=1,O49=0),1,0)</f>
        <v/>
      </c>
      <c r="P99">
        <f>IF(AND(P$4=1,P49=0),1,0)</f>
        <v/>
      </c>
      <c r="Q99">
        <f>IF(AND(Q$4=1,Q49=0),1,0)</f>
        <v/>
      </c>
      <c r="R99">
        <f>IF(AND(R$4=1,R49=0),1,0)</f>
        <v/>
      </c>
      <c r="S99">
        <f>IF(AND(S$4=1,S49=0),1,0)</f>
        <v/>
      </c>
      <c r="T99">
        <f>IF(AND(T$4=1,T49=0),1,0)</f>
        <v/>
      </c>
      <c r="U99">
        <f>IF(AND(U$4=1,U49=0),1,0)</f>
        <v/>
      </c>
      <c r="V99">
        <f>IF(AND(V$4=1,V49=0),1,0)</f>
        <v/>
      </c>
      <c r="W99">
        <f>IF(AND(W$4=1,W49=0),1,0)</f>
        <v/>
      </c>
      <c r="X99">
        <f>IF(AND(X$4=1,X49=0),1,0)</f>
        <v/>
      </c>
      <c r="Y99">
        <f>IF(AND(Y$4=1,Y49=0),1,0)</f>
        <v/>
      </c>
      <c r="Z99">
        <f>IF(AND(Z$4=1,Z49=0),1,0)</f>
        <v/>
      </c>
      <c r="AA99">
        <f>IF(AND(AA$4=1,AA49=0),1,0)</f>
        <v/>
      </c>
      <c r="AB99">
        <f>IF(AND(AB$4=1,AB49=0),1,0)</f>
        <v/>
      </c>
      <c r="AC99">
        <f>IF(AND(AC$4=1,AC49=0),1,0)</f>
        <v/>
      </c>
      <c r="AD99">
        <f>IF(AND(AD$4=1,AD49=0),1,0)</f>
        <v/>
      </c>
      <c r="AE99">
        <f>IF(AND(AE$4=1,AE49=0),1,0)</f>
        <v/>
      </c>
      <c r="AF99">
        <f>IF(AND(AF$4=1,AF49=0),1,0)</f>
        <v/>
      </c>
      <c r="AG99">
        <f>IF(AND(AG$4=1,AG49=0),1,0)</f>
        <v/>
      </c>
      <c r="AH99">
        <f>IF(AND(AH$4=1,AH49=0),1,0)</f>
        <v/>
      </c>
      <c r="AI99">
        <f>IF(AND(AI$4=1,AI49=0),1,0)</f>
        <v/>
      </c>
      <c r="AJ99">
        <f>IF(AND(AJ$4=1,AJ49=0),1,0)</f>
        <v/>
      </c>
      <c r="AK99">
        <f>IF(AND(AK$4=1,AK49=0),1,0)</f>
        <v/>
      </c>
      <c r="AL99">
        <f>IF(AND(AL$4=1,AL49=0),1,0)</f>
        <v/>
      </c>
      <c r="AM99">
        <f>IF(AND(AM$4=1,AM49=0),1,0)</f>
        <v/>
      </c>
      <c r="AN99">
        <f>IF(AND(AN$4=1,AN49=0),1,0)</f>
        <v/>
      </c>
      <c r="AO99">
        <f>IF(AND(AO$4=1,AO49=0),1,0)</f>
        <v/>
      </c>
      <c r="AP99">
        <f>IF(AND(AP$4=1,AP49=0),1,0)</f>
        <v/>
      </c>
      <c r="AQ99">
        <f>IF(AND(AQ$4=1,AQ49=0),1,0)</f>
        <v/>
      </c>
      <c r="AR99">
        <f>IF(AND(AR$4=1,AR49=0),1,0)</f>
        <v/>
      </c>
      <c r="AS99">
        <f>IF(AND(AS$4=1,AS49=0),1,0)</f>
        <v/>
      </c>
      <c r="AT99">
        <f>IF(AND(AT$4=1,AT49=0),1,0)</f>
        <v/>
      </c>
      <c r="AU99">
        <f>IF(AND(AU$4=1,AU49=0),1,0)</f>
        <v/>
      </c>
      <c r="AV99">
        <f>IF(AND(AV$4=1,AV49=0),1,0)</f>
        <v/>
      </c>
      <c r="AW99">
        <f>IF(AND(AW$4=1,AW49=0),1,0)</f>
        <v/>
      </c>
      <c r="AX99">
        <f>IF(AND(AX$4=1,AX49=0),1,0)</f>
        <v/>
      </c>
      <c r="AY99">
        <f>IF(AND(AY$4=1,AY49=0),1,0)</f>
        <v/>
      </c>
      <c r="AZ99">
        <f>IF(AND(AZ$4=1,AZ49=0),1,0)</f>
        <v/>
      </c>
      <c r="BA99">
        <f>IF(AND(BA$4=1,BA49=0),1,0)</f>
        <v/>
      </c>
      <c r="BB99">
        <f>IF(AND(BB$4=1,BB49=0),1,0)</f>
        <v/>
      </c>
      <c r="BC99">
        <f>IF(AND(BC$4=1,BC49=0),1,0)</f>
        <v/>
      </c>
      <c r="BD99">
        <f>IF(AND(BD$4=1,BD49=0),1,0)</f>
        <v/>
      </c>
      <c r="BE99">
        <f>IF(AND(BE$4=1,BE49=0),1,0)</f>
        <v/>
      </c>
      <c r="BF99">
        <f>IF(AND(BF$4=1,BF49=0),1,0)</f>
        <v/>
      </c>
      <c r="BG99">
        <f>IF(AND(BG$4=1,BG49=0),1,0)</f>
        <v/>
      </c>
      <c r="BH99">
        <f>IF(AND(BH$4=1,BH49=0),1,0)</f>
        <v/>
      </c>
      <c r="BI99">
        <f>IF(AND(BI$4=1,BI49=0),1,0)</f>
        <v/>
      </c>
      <c r="BJ99">
        <f>IF(AND(BJ$4=1,BJ49=0),1,0)</f>
        <v/>
      </c>
      <c r="BK99">
        <f>IF(AND(BK$4=1,BK49=0),1,0)</f>
        <v/>
      </c>
      <c r="BL99">
        <f>IF(AND(BL$4=1,BL49=0),1,0)</f>
        <v/>
      </c>
      <c r="BM99">
        <f>IF(AND(BM$4=1,BM49=0),1,0)</f>
        <v/>
      </c>
      <c r="BN99">
        <f>IF(AND(BN$4=1,BN49=0),1,0)</f>
        <v/>
      </c>
      <c r="BO99">
        <f>IF(AND(BO$4=1,BO49=0),1,0)</f>
        <v/>
      </c>
      <c r="BP99">
        <f>IF(AND(BP$4=1,BP49=0),1,0)</f>
        <v/>
      </c>
      <c r="BQ99">
        <f>IF(AND(BQ$4=1,BQ49=0),1,0)</f>
        <v/>
      </c>
      <c r="BR99">
        <f>IF(AND(BR$4=1,BR49=0),1,0)</f>
        <v/>
      </c>
      <c r="BS99">
        <f>IF(AND(BS$4=1,BS49=0),1,0)</f>
        <v/>
      </c>
      <c r="BT99">
        <f>IF(AND(BT$4=1,BT49=0),1,0)</f>
        <v/>
      </c>
      <c r="BU99">
        <f>IF(AND(BU$4=1,BU49=0),1,0)</f>
        <v/>
      </c>
      <c r="BV99">
        <f>IF(AND(BV$4=1,BV49=0),1,0)</f>
        <v/>
      </c>
      <c r="BW99">
        <f>IF(AND(BW$4=1,BW49=0),1,0)</f>
        <v/>
      </c>
      <c r="BX99">
        <f>IF(AND(BX$4=1,BX49=0),1,0)</f>
        <v/>
      </c>
      <c r="BY99">
        <f>IF(AND(BY$4=1,BY49=0),1,0)</f>
        <v/>
      </c>
      <c r="BZ99">
        <f>IF(AND(BZ$4=1,BZ49=0),1,0)</f>
        <v/>
      </c>
      <c r="CA99">
        <f>IF(AND(CA$4=1,CA49=0),1,0)</f>
        <v/>
      </c>
      <c r="CB99">
        <f>IF(AND(CB$4=1,CB49=0),1,0)</f>
        <v/>
      </c>
      <c r="CC99">
        <f>IF(AND(CC$4=1,CC49=0),1,0)</f>
        <v/>
      </c>
      <c r="CD99">
        <f>IF(AND(CD$4=1,CD49=0),1,0)</f>
        <v/>
      </c>
      <c r="CE99">
        <f>IF(AND(CE$4=1,CE49=0),1,0)</f>
        <v/>
      </c>
      <c r="CF99">
        <f>IF(AND(CF$4=1,CF49=0),1,0)</f>
        <v/>
      </c>
      <c r="CG99">
        <f>IF(AND(CG$4=1,CG49=0),1,0)</f>
        <v/>
      </c>
      <c r="CH99">
        <f>IF(AND(CH$4=1,CH49=0),1,0)</f>
        <v/>
      </c>
      <c r="CI99">
        <f>IF(AND(CI$4=1,CI49=0),1,0)</f>
        <v/>
      </c>
      <c r="CJ99">
        <f>IF(AND(CJ$4=1,CJ49=0),1,0)</f>
        <v/>
      </c>
      <c r="CK99">
        <f>IF(AND(CK$4=1,CK49=0),1,0)</f>
        <v/>
      </c>
      <c r="CL99">
        <f>IF(AND(CL$4=1,CL49=0),1,0)</f>
        <v/>
      </c>
      <c r="CM99">
        <f>IF(AND(CM$4=1,CM49=0),1,0)</f>
        <v/>
      </c>
      <c r="CN99">
        <f>IF(AND(CN$4=1,CN49=0),1,0)</f>
        <v/>
      </c>
      <c r="CO99">
        <f>IF(AND(CO$4=1,CO49=0),1,0)</f>
        <v/>
      </c>
      <c r="CP99">
        <f>IF(AND(CP$4=1,CP49=0),1,0)</f>
        <v/>
      </c>
      <c r="CQ99">
        <f>IF(AND(CQ$4=1,CQ49=0),1,0)</f>
        <v/>
      </c>
      <c r="CR99">
        <f>IF(AND(CR$4=1,CR49=0),1,0)</f>
        <v/>
      </c>
      <c r="CS99">
        <f>IF(AND(CS$4=1,CS49=0),1,0)</f>
        <v/>
      </c>
      <c r="CT99">
        <f>IF(AND(CT$4=1,CT49=0),1,0)</f>
        <v/>
      </c>
      <c r="CU99">
        <f>IF(AND(CU$4=1,CU49=0),1,0)</f>
        <v/>
      </c>
      <c r="CV99">
        <f>IF(AND(CV$4=1,CV49=0),1,0)</f>
        <v/>
      </c>
      <c r="CW99">
        <f>IF(AND(CW$4=1,CW49=0),1,0)</f>
        <v/>
      </c>
      <c r="CX99">
        <f>IF(AND(CX$4=1,CX49=0),1,0)</f>
        <v/>
      </c>
      <c r="CY99">
        <f>IF(AND(CY$4=1,CY49=0),1,0)</f>
        <v/>
      </c>
      <c r="CZ99">
        <f>IF(AND(CZ$4=1,CZ49=0),1,0)</f>
        <v/>
      </c>
      <c r="DA99">
        <f>IF(AND(DA$4=1,DA49=0),1,0)</f>
        <v/>
      </c>
      <c r="DB99">
        <f>IF(AND(DB$4=1,DB49=0),1,0)</f>
        <v/>
      </c>
      <c r="DC99">
        <f>IF(AND(DC$4=1,DC49=0),1,0)</f>
        <v/>
      </c>
      <c r="DD99">
        <f>IF(AND(DD$4=1,DD49=0),1,0)</f>
        <v/>
      </c>
      <c r="DE99">
        <f>IF(AND(DE$4=1,DE49=0),1,0)</f>
        <v/>
      </c>
      <c r="DF99">
        <f>IF(AND(DF$4=1,DF49=0),1,0)</f>
        <v/>
      </c>
      <c r="DG99">
        <f>IF(AND(DG$4=1,DG49=0),1,0)</f>
        <v/>
      </c>
      <c r="DH99">
        <f>IF(AND(DH$4=1,DH49=0),1,0)</f>
        <v/>
      </c>
      <c r="DI99">
        <f>IF(AND(DI$4=1,DI49=0),1,0)</f>
        <v/>
      </c>
      <c r="DJ99">
        <f>IF(AND(DJ$4=1,DJ49=0),1,0)</f>
        <v/>
      </c>
      <c r="DK99">
        <f>IF(AND(DK$4=1,DK49=0),1,0)</f>
        <v/>
      </c>
      <c r="DL99">
        <f>IF(AND(DL$4=1,DL49=0),1,0)</f>
        <v/>
      </c>
      <c r="DM99">
        <f>IF(AND(DM$4=1,DM49=0),1,0)</f>
        <v/>
      </c>
      <c r="DN99">
        <f>IF(AND(DN$4=1,DN49=0),1,0)</f>
        <v/>
      </c>
      <c r="DO99">
        <f>IF(AND(DO$4=1,DO49=0),1,0)</f>
        <v/>
      </c>
      <c r="DP99">
        <f>IF(AND(DP$4=1,DP49=0),1,0)</f>
        <v/>
      </c>
      <c r="DQ99">
        <f>IF(AND(DQ$4=1,DQ49=0),1,0)</f>
        <v/>
      </c>
      <c r="DR99">
        <f>IF(AND(DR$4=1,DR49=0),1,0)</f>
        <v/>
      </c>
      <c r="DS99">
        <f>IF(AND(DS$4=1,DS49=0),1,0)</f>
        <v/>
      </c>
      <c r="DT99">
        <f>IF(AND(DT$4=1,DT49=0),1,0)</f>
        <v/>
      </c>
      <c r="DU99">
        <f>IF(AND(DU$4=1,DU49=0),1,0)</f>
        <v/>
      </c>
      <c r="DV99">
        <f>IF(AND(DV$4=1,DV49=0),1,0)</f>
        <v/>
      </c>
      <c r="DW99">
        <f>IF(AND(DW$4=1,DW49=0),1,0)</f>
        <v/>
      </c>
      <c r="DX99">
        <f>IF(AND(DX$4=1,DX49=0),1,0)</f>
        <v/>
      </c>
      <c r="DY99">
        <f>IF(AND(DY$4=1,DY49=0),1,0)</f>
        <v/>
      </c>
      <c r="DZ99">
        <f>IF(AND(DZ$4=1,DZ49=0),1,0)</f>
        <v/>
      </c>
      <c r="EA99">
        <f>IF(AND(EA$4=1,EA49=0),1,0)</f>
        <v/>
      </c>
      <c r="EB99">
        <f>IF(AND(EB$4=1,EB49=0),1,0)</f>
        <v/>
      </c>
      <c r="EC99">
        <f>IF(AND(EC$4=1,EC49=0),1,0)</f>
        <v/>
      </c>
      <c r="ED99">
        <f>IF(AND(ED$4=1,ED49=0),1,0)</f>
        <v/>
      </c>
      <c r="EE99">
        <f>IF(AND(EE$4=1,EE49=0),1,0)</f>
        <v/>
      </c>
      <c r="EF99">
        <f>IF(AND(EF$4=1,EF49=0),1,0)</f>
        <v/>
      </c>
      <c r="EG99">
        <f>IF(AND(EG$4=1,EG49=0),1,0)</f>
        <v/>
      </c>
      <c r="EH99">
        <f>IF(AND(EH$4=1,EH49=0),1,0)</f>
        <v/>
      </c>
      <c r="EI99">
        <f>IF(AND(EI$4=1,EI49=0),1,0)</f>
        <v/>
      </c>
      <c r="EJ99">
        <f>IF(AND(EJ$4=1,EJ49=0),1,0)</f>
        <v/>
      </c>
      <c r="EK99">
        <f>IF(AND(EK$4=1,EK49=0),1,0)</f>
        <v/>
      </c>
      <c r="EL99">
        <f>IF(AND(EL$4=1,EL49=0),1,0)</f>
        <v/>
      </c>
      <c r="EM99">
        <f>IF(AND(EM$4=1,EM49=0),1,0)</f>
        <v/>
      </c>
      <c r="EN99">
        <f>IF(AND(EN$4=1,EN49=0),1,0)</f>
        <v/>
      </c>
      <c r="EO99">
        <f>IF(AND(EO$4=1,EO49=0),1,0)</f>
        <v/>
      </c>
      <c r="EP99">
        <f>IF(AND(EP$4=1,EP49=0),1,0)</f>
        <v/>
      </c>
      <c r="EQ99">
        <f>IF(AND(EQ$4=1,EQ49=0),1,0)</f>
        <v/>
      </c>
    </row>
    <row r="106">
      <c r="C106" t="inlineStr">
        <is>
          <t>次の枠あり</t>
        </is>
      </c>
      <c r="D106">
        <f>IF(AND(E4=1,OR(D3&lt;&gt;$A$3,$A$4=0)),1,0)</f>
        <v/>
      </c>
      <c r="E106">
        <f>IF(AND(F4=1,OR(E3&lt;&gt;$A$3,$A$4=0)),1,0)</f>
        <v/>
      </c>
      <c r="F106">
        <f>IF(AND(G4=1,OR(F3&lt;&gt;$A$3,$A$4=0)),1,0)</f>
        <v/>
      </c>
      <c r="G106">
        <f>IF(AND(H4=1,OR(G3&lt;&gt;$A$3,$A$4=0)),1,0)</f>
        <v/>
      </c>
      <c r="H106">
        <f>IF(AND(I4=1,OR(H3&lt;&gt;$A$3,$A$4=0)),1,0)</f>
        <v/>
      </c>
      <c r="I106">
        <f>IF(AND(J4=1,OR(I3&lt;&gt;$A$3,$A$4=0)),1,0)</f>
        <v/>
      </c>
      <c r="J106">
        <f>IF(AND(K4=1,OR(J3&lt;&gt;$A$3,$A$4=0)),1,0)</f>
        <v/>
      </c>
      <c r="K106">
        <f>IF(AND(L4=1,OR(K3&lt;&gt;$A$3,$A$4=0)),1,0)</f>
        <v/>
      </c>
      <c r="L106">
        <f>IF(AND(M4=1,OR(L3&lt;&gt;$A$3,$A$4=0)),1,0)</f>
        <v/>
      </c>
      <c r="M106">
        <f>IF(AND(N4=1,OR(M3&lt;&gt;$A$3,$A$4=0)),1,0)</f>
        <v/>
      </c>
      <c r="N106">
        <f>IF(AND(O4=1,OR(N3&lt;&gt;$A$3,$A$4=0)),1,0)</f>
        <v/>
      </c>
      <c r="O106">
        <f>IF(AND(P4=1,OR(O3&lt;&gt;$A$3,$A$4=0)),1,0)</f>
        <v/>
      </c>
      <c r="P106">
        <f>IF(AND(Q4=1,OR(P3&lt;&gt;$A$3,$A$4=0)),1,0)</f>
        <v/>
      </c>
      <c r="Q106">
        <f>IF(AND(R4=1,OR(Q3&lt;&gt;$A$3,$A$4=0)),1,0)</f>
        <v/>
      </c>
      <c r="R106">
        <f>IF(AND(S4=1,OR(R3&lt;&gt;$A$3,$A$4=0)),1,0)</f>
        <v/>
      </c>
      <c r="S106">
        <f>IF(AND(T4=1,OR(S3&lt;&gt;$A$3,$A$4=0)),1,0)</f>
        <v/>
      </c>
      <c r="T106">
        <f>IF(AND(U4=1,OR(T3&lt;&gt;$A$3,$A$4=0)),1,0)</f>
        <v/>
      </c>
      <c r="U106">
        <f>IF(AND(V4=1,OR(U3&lt;&gt;$A$3,$A$4=0)),1,0)</f>
        <v/>
      </c>
      <c r="V106">
        <f>IF(AND(W4=1,OR(V3&lt;&gt;$A$3,$A$4=0)),1,0)</f>
        <v/>
      </c>
      <c r="W106">
        <f>IF(AND(X4=1,OR(W3&lt;&gt;$A$3,$A$4=0)),1,0)</f>
        <v/>
      </c>
      <c r="X106">
        <f>IF(AND(Y4=1,OR(X3&lt;&gt;$A$3,$A$4=0)),1,0)</f>
        <v/>
      </c>
      <c r="Y106">
        <f>IF(AND(Z4=1,OR(Y3&lt;&gt;$A$3,$A$4=0)),1,0)</f>
        <v/>
      </c>
      <c r="Z106">
        <f>IF(AND(AA4=1,OR(Z3&lt;&gt;$A$3,$A$4=0)),1,0)</f>
        <v/>
      </c>
      <c r="AA106" t="n">
        <v>0</v>
      </c>
      <c r="AB106">
        <f>IF(AND(AC4=1,OR(AB3&lt;&gt;$A$3,$A$4=0)),1,0)</f>
        <v/>
      </c>
      <c r="AC106">
        <f>IF(AND(AD4=1,OR(AC3&lt;&gt;$A$3,$A$4=0)),1,0)</f>
        <v/>
      </c>
      <c r="AD106">
        <f>IF(AND(AE4=1,OR(AD3&lt;&gt;$A$3,$A$4=0)),1,0)</f>
        <v/>
      </c>
      <c r="AE106">
        <f>IF(AND(AF4=1,OR(AE3&lt;&gt;$A$3,$A$4=0)),1,0)</f>
        <v/>
      </c>
      <c r="AF106">
        <f>IF(AND(AG4=1,OR(AF3&lt;&gt;$A$3,$A$4=0)),1,0)</f>
        <v/>
      </c>
      <c r="AG106">
        <f>IF(AND(AH4=1,OR(AG3&lt;&gt;$A$3,$A$4=0)),1,0)</f>
        <v/>
      </c>
      <c r="AH106">
        <f>IF(AND(AI4=1,OR(AH3&lt;&gt;$A$3,$A$4=0)),1,0)</f>
        <v/>
      </c>
      <c r="AI106">
        <f>IF(AND(AJ4=1,OR(AI3&lt;&gt;$A$3,$A$4=0)),1,0)</f>
        <v/>
      </c>
      <c r="AJ106">
        <f>IF(AND(AK4=1,OR(AJ3&lt;&gt;$A$3,$A$4=0)),1,0)</f>
        <v/>
      </c>
      <c r="AK106">
        <f>IF(AND(AL4=1,OR(AK3&lt;&gt;$A$3,$A$4=0)),1,0)</f>
        <v/>
      </c>
      <c r="AL106">
        <f>IF(AND(AM4=1,OR(AL3&lt;&gt;$A$3,$A$4=0)),1,0)</f>
        <v/>
      </c>
      <c r="AM106">
        <f>IF(AND(AN4=1,OR(AM3&lt;&gt;$A$3,$A$4=0)),1,0)</f>
        <v/>
      </c>
      <c r="AN106">
        <f>IF(AND(AO4=1,OR(AN3&lt;&gt;$A$3,$A$4=0)),1,0)</f>
        <v/>
      </c>
      <c r="AO106">
        <f>IF(AND(AP4=1,OR(AO3&lt;&gt;$A$3,$A$4=0)),1,0)</f>
        <v/>
      </c>
      <c r="AP106">
        <f>IF(AND(AQ4=1,OR(AP3&lt;&gt;$A$3,$A$4=0)),1,0)</f>
        <v/>
      </c>
      <c r="AQ106">
        <f>IF(AND(AR4=1,OR(AQ3&lt;&gt;$A$3,$A$4=0)),1,0)</f>
        <v/>
      </c>
      <c r="AR106">
        <f>IF(AND(AS4=1,OR(AR3&lt;&gt;$A$3,$A$4=0)),1,0)</f>
        <v/>
      </c>
      <c r="AS106">
        <f>IF(AND(AT4=1,OR(AS3&lt;&gt;$A$3,$A$4=0)),1,0)</f>
        <v/>
      </c>
      <c r="AT106">
        <f>IF(AND(AU4=1,OR(AT3&lt;&gt;$A$3,$A$4=0)),1,0)</f>
        <v/>
      </c>
      <c r="AU106">
        <f>IF(AND(AV4=1,OR(AU3&lt;&gt;$A$3,$A$4=0)),1,0)</f>
        <v/>
      </c>
      <c r="AV106">
        <f>IF(AND(AW4=1,OR(AV3&lt;&gt;$A$3,$A$4=0)),1,0)</f>
        <v/>
      </c>
      <c r="AW106">
        <f>IF(AND(AX4=1,OR(AW3&lt;&gt;$A$3,$A$4=0)),1,0)</f>
        <v/>
      </c>
      <c r="AX106">
        <f>IF(AND(AY4=1,OR(AX3&lt;&gt;$A$3,$A$4=0)),1,0)</f>
        <v/>
      </c>
      <c r="AY106" t="n">
        <v>0</v>
      </c>
      <c r="AZ106">
        <f>IF(AND(BA4=1,OR(AZ3&lt;&gt;$A$3,$A$4=0)),1,0)</f>
        <v/>
      </c>
      <c r="BA106">
        <f>IF(AND(BB4=1,OR(BA3&lt;&gt;$A$3,$A$4=0)),1,0)</f>
        <v/>
      </c>
      <c r="BB106">
        <f>IF(AND(BC4=1,OR(BB3&lt;&gt;$A$3,$A$4=0)),1,0)</f>
        <v/>
      </c>
      <c r="BC106">
        <f>IF(AND(BD4=1,OR(BC3&lt;&gt;$A$3,$A$4=0)),1,0)</f>
        <v/>
      </c>
      <c r="BD106">
        <f>IF(AND(BE4=1,OR(BD3&lt;&gt;$A$3,$A$4=0)),1,0)</f>
        <v/>
      </c>
      <c r="BE106">
        <f>IF(AND(BF4=1,OR(BE3&lt;&gt;$A$3,$A$4=0)),1,0)</f>
        <v/>
      </c>
      <c r="BF106">
        <f>IF(AND(BG4=1,OR(BF3&lt;&gt;$A$3,$A$4=0)),1,0)</f>
        <v/>
      </c>
      <c r="BG106">
        <f>IF(AND(BH4=1,OR(BG3&lt;&gt;$A$3,$A$4=0)),1,0)</f>
        <v/>
      </c>
      <c r="BH106">
        <f>IF(AND(BI4=1,OR(BH3&lt;&gt;$A$3,$A$4=0)),1,0)</f>
        <v/>
      </c>
      <c r="BI106">
        <f>IF(AND(BJ4=1,OR(BI3&lt;&gt;$A$3,$A$4=0)),1,0)</f>
        <v/>
      </c>
      <c r="BJ106">
        <f>IF(AND(BK4=1,OR(BJ3&lt;&gt;$A$3,$A$4=0)),1,0)</f>
        <v/>
      </c>
      <c r="BK106">
        <f>IF(AND(BL4=1,OR(BK3&lt;&gt;$A$3,$A$4=0)),1,0)</f>
        <v/>
      </c>
      <c r="BL106">
        <f>IF(AND(BM4=1,OR(BL3&lt;&gt;$A$3,$A$4=0)),1,0)</f>
        <v/>
      </c>
      <c r="BM106">
        <f>IF(AND(BN4=1,OR(BM3&lt;&gt;$A$3,$A$4=0)),1,0)</f>
        <v/>
      </c>
      <c r="BN106">
        <f>IF(AND(BO4=1,OR(BN3&lt;&gt;$A$3,$A$4=0)),1,0)</f>
        <v/>
      </c>
      <c r="BO106">
        <f>IF(AND(BP4=1,OR(BO3&lt;&gt;$A$3,$A$4=0)),1,0)</f>
        <v/>
      </c>
      <c r="BP106">
        <f>IF(AND(BQ4=1,OR(BP3&lt;&gt;$A$3,$A$4=0)),1,0)</f>
        <v/>
      </c>
      <c r="BQ106">
        <f>IF(AND(BR4=1,OR(BQ3&lt;&gt;$A$3,$A$4=0)),1,0)</f>
        <v/>
      </c>
      <c r="BR106">
        <f>IF(AND(BS4=1,OR(BR3&lt;&gt;$A$3,$A$4=0)),1,0)</f>
        <v/>
      </c>
      <c r="BS106">
        <f>IF(AND(BT4=1,OR(BS3&lt;&gt;$A$3,$A$4=0)),1,0)</f>
        <v/>
      </c>
      <c r="BT106">
        <f>IF(AND(BU4=1,OR(BT3&lt;&gt;$A$3,$A$4=0)),1,0)</f>
        <v/>
      </c>
      <c r="BU106">
        <f>IF(AND(BV4=1,OR(BU3&lt;&gt;$A$3,$A$4=0)),1,0)</f>
        <v/>
      </c>
      <c r="BV106">
        <f>IF(AND(BW4=1,OR(BV3&lt;&gt;$A$3,$A$4=0)),1,0)</f>
        <v/>
      </c>
      <c r="BW106" t="n">
        <v>0</v>
      </c>
      <c r="BX106">
        <f>IF(AND(BY4=1,OR(BX3&lt;&gt;$A$3,$A$4=0)),1,0)</f>
        <v/>
      </c>
      <c r="BY106">
        <f>IF(AND(BZ4=1,OR(BY3&lt;&gt;$A$3,$A$4=0)),1,0)</f>
        <v/>
      </c>
      <c r="BZ106">
        <f>IF(AND(CA4=1,OR(BZ3&lt;&gt;$A$3,$A$4=0)),1,0)</f>
        <v/>
      </c>
      <c r="CA106">
        <f>IF(AND(CB4=1,OR(CA3&lt;&gt;$A$3,$A$4=0)),1,0)</f>
        <v/>
      </c>
      <c r="CB106">
        <f>IF(AND(CC4=1,OR(CB3&lt;&gt;$A$3,$A$4=0)),1,0)</f>
        <v/>
      </c>
      <c r="CC106">
        <f>IF(AND(CD4=1,OR(CC3&lt;&gt;$A$3,$A$4=0)),1,0)</f>
        <v/>
      </c>
      <c r="CD106">
        <f>IF(AND(CE4=1,OR(CD3&lt;&gt;$A$3,$A$4=0)),1,0)</f>
        <v/>
      </c>
      <c r="CE106">
        <f>IF(AND(CF4=1,OR(CE3&lt;&gt;$A$3,$A$4=0)),1,0)</f>
        <v/>
      </c>
      <c r="CF106">
        <f>IF(AND(CG4=1,OR(CF3&lt;&gt;$A$3,$A$4=0)),1,0)</f>
        <v/>
      </c>
      <c r="CG106">
        <f>IF(AND(CH4=1,OR(CG3&lt;&gt;$A$3,$A$4=0)),1,0)</f>
        <v/>
      </c>
      <c r="CH106">
        <f>IF(AND(CI4=1,OR(CH3&lt;&gt;$A$3,$A$4=0)),1,0)</f>
        <v/>
      </c>
      <c r="CI106">
        <f>IF(AND(CJ4=1,OR(CI3&lt;&gt;$A$3,$A$4=0)),1,0)</f>
        <v/>
      </c>
      <c r="CJ106">
        <f>IF(AND(CK4=1,OR(CJ3&lt;&gt;$A$3,$A$4=0)),1,0)</f>
        <v/>
      </c>
      <c r="CK106">
        <f>IF(AND(CL4=1,OR(CK3&lt;&gt;$A$3,$A$4=0)),1,0)</f>
        <v/>
      </c>
      <c r="CL106">
        <f>IF(AND(CM4=1,OR(CL3&lt;&gt;$A$3,$A$4=0)),1,0)</f>
        <v/>
      </c>
      <c r="CM106">
        <f>IF(AND(CN4=1,OR(CM3&lt;&gt;$A$3,$A$4=0)),1,0)</f>
        <v/>
      </c>
      <c r="CN106">
        <f>IF(AND(CO4=1,OR(CN3&lt;&gt;$A$3,$A$4=0)),1,0)</f>
        <v/>
      </c>
      <c r="CO106">
        <f>IF(AND(CP4=1,OR(CO3&lt;&gt;$A$3,$A$4=0)),1,0)</f>
        <v/>
      </c>
      <c r="CP106">
        <f>IF(AND(CQ4=1,OR(CP3&lt;&gt;$A$3,$A$4=0)),1,0)</f>
        <v/>
      </c>
      <c r="CQ106">
        <f>IF(AND(CR4=1,OR(CQ3&lt;&gt;$A$3,$A$4=0)),1,0)</f>
        <v/>
      </c>
      <c r="CR106">
        <f>IF(AND(CS4=1,OR(CR3&lt;&gt;$A$3,$A$4=0)),1,0)</f>
        <v/>
      </c>
      <c r="CS106">
        <f>IF(AND(CT4=1,OR(CS3&lt;&gt;$A$3,$A$4=0)),1,0)</f>
        <v/>
      </c>
      <c r="CT106">
        <f>IF(AND(CU4=1,OR(CT3&lt;&gt;$A$3,$A$4=0)),1,0)</f>
        <v/>
      </c>
      <c r="CU106" t="n">
        <v>0</v>
      </c>
      <c r="CV106">
        <f>IF(AND(CW4=1,OR(CV3&lt;&gt;$A$3,$A$4=0)),1,0)</f>
        <v/>
      </c>
      <c r="CW106">
        <f>IF(AND(CX4=1,OR(CW3&lt;&gt;$A$3,$A$4=0)),1,0)</f>
        <v/>
      </c>
      <c r="CX106">
        <f>IF(AND(CY4=1,OR(CX3&lt;&gt;$A$3,$A$4=0)),1,0)</f>
        <v/>
      </c>
      <c r="CY106">
        <f>IF(AND(CZ4=1,OR(CY3&lt;&gt;$A$3,$A$4=0)),1,0)</f>
        <v/>
      </c>
      <c r="CZ106">
        <f>IF(AND(DA4=1,OR(CZ3&lt;&gt;$A$3,$A$4=0)),1,0)</f>
        <v/>
      </c>
      <c r="DA106">
        <f>IF(AND(DB4=1,OR(DA3&lt;&gt;$A$3,$A$4=0)),1,0)</f>
        <v/>
      </c>
      <c r="DB106">
        <f>IF(AND(DC4=1,OR(DB3&lt;&gt;$A$3,$A$4=0)),1,0)</f>
        <v/>
      </c>
      <c r="DC106">
        <f>IF(AND(DD4=1,OR(DC3&lt;&gt;$A$3,$A$4=0)),1,0)</f>
        <v/>
      </c>
      <c r="DD106">
        <f>IF(AND(DE4=1,OR(DD3&lt;&gt;$A$3,$A$4=0)),1,0)</f>
        <v/>
      </c>
      <c r="DE106">
        <f>IF(AND(DF4=1,OR(DE3&lt;&gt;$A$3,$A$4=0)),1,0)</f>
        <v/>
      </c>
      <c r="DF106">
        <f>IF(AND(DG4=1,OR(DF3&lt;&gt;$A$3,$A$4=0)),1,0)</f>
        <v/>
      </c>
      <c r="DG106">
        <f>IF(AND(DH4=1,OR(DG3&lt;&gt;$A$3,$A$4=0)),1,0)</f>
        <v/>
      </c>
      <c r="DH106">
        <f>IF(AND(DI4=1,OR(DH3&lt;&gt;$A$3,$A$4=0)),1,0)</f>
        <v/>
      </c>
      <c r="DI106">
        <f>IF(AND(DJ4=1,OR(DI3&lt;&gt;$A$3,$A$4=0)),1,0)</f>
        <v/>
      </c>
      <c r="DJ106">
        <f>IF(AND(DK4=1,OR(DJ3&lt;&gt;$A$3,$A$4=0)),1,0)</f>
        <v/>
      </c>
      <c r="DK106">
        <f>IF(AND(DL4=1,OR(DK3&lt;&gt;$A$3,$A$4=0)),1,0)</f>
        <v/>
      </c>
      <c r="DL106">
        <f>IF(AND(DM4=1,OR(DL3&lt;&gt;$A$3,$A$4=0)),1,0)</f>
        <v/>
      </c>
      <c r="DM106">
        <f>IF(AND(DN4=1,OR(DM3&lt;&gt;$A$3,$A$4=0)),1,0)</f>
        <v/>
      </c>
      <c r="DN106">
        <f>IF(AND(DO4=1,OR(DN3&lt;&gt;$A$3,$A$4=0)),1,0)</f>
        <v/>
      </c>
      <c r="DO106">
        <f>IF(AND(DP4=1,OR(DO3&lt;&gt;$A$3,$A$4=0)),1,0)</f>
        <v/>
      </c>
      <c r="DP106">
        <f>IF(AND(DQ4=1,OR(DP3&lt;&gt;$A$3,$A$4=0)),1,0)</f>
        <v/>
      </c>
      <c r="DQ106">
        <f>IF(AND(DR4=1,OR(DQ3&lt;&gt;$A$3,$A$4=0)),1,0)</f>
        <v/>
      </c>
      <c r="DR106">
        <f>IF(AND(DS4=1,OR(DR3&lt;&gt;$A$3,$A$4=0)),1,0)</f>
        <v/>
      </c>
      <c r="DS106" t="n">
        <v>0</v>
      </c>
      <c r="DT106">
        <f>IF(AND(DU4=1,OR(DT3&lt;&gt;$A$3,$A$4=0)),1,0)</f>
        <v/>
      </c>
      <c r="DU106">
        <f>IF(AND(DV4=1,OR(DU3&lt;&gt;$A$3,$A$4=0)),1,0)</f>
        <v/>
      </c>
      <c r="DV106">
        <f>IF(AND(DW4=1,OR(DV3&lt;&gt;$A$3,$A$4=0)),1,0)</f>
        <v/>
      </c>
      <c r="DW106">
        <f>IF(AND(DX4=1,OR(DW3&lt;&gt;$A$3,$A$4=0)),1,0)</f>
        <v/>
      </c>
      <c r="DX106">
        <f>IF(AND(DY4=1,OR(DX3&lt;&gt;$A$3,$A$4=0)),1,0)</f>
        <v/>
      </c>
      <c r="DY106">
        <f>IF(AND(DZ4=1,OR(DY3&lt;&gt;$A$3,$A$4=0)),1,0)</f>
        <v/>
      </c>
      <c r="DZ106">
        <f>IF(AND(EA4=1,OR(DZ3&lt;&gt;$A$3,$A$4=0)),1,0)</f>
        <v/>
      </c>
      <c r="EA106">
        <f>IF(AND(EB4=1,OR(EA3&lt;&gt;$A$3,$A$4=0)),1,0)</f>
        <v/>
      </c>
      <c r="EB106">
        <f>IF(AND(EC4=1,OR(EB3&lt;&gt;$A$3,$A$4=0)),1,0)</f>
        <v/>
      </c>
      <c r="EC106">
        <f>IF(AND(ED4=1,OR(EC3&lt;&gt;$A$3,$A$4=0)),1,0)</f>
        <v/>
      </c>
      <c r="ED106">
        <f>IF(AND(EE4=1,OR(ED3&lt;&gt;$A$3,$A$4=0)),1,0)</f>
        <v/>
      </c>
      <c r="EE106">
        <f>IF(AND(EF4=1,OR(EE3&lt;&gt;$A$3,$A$4=0)),1,0)</f>
        <v/>
      </c>
      <c r="EF106">
        <f>IF(AND(EG4=1,OR(EF3&lt;&gt;$A$3,$A$4=0)),1,0)</f>
        <v/>
      </c>
      <c r="EG106">
        <f>IF(AND(EH4=1,OR(EG3&lt;&gt;$A$3,$A$4=0)),1,0)</f>
        <v/>
      </c>
      <c r="EH106">
        <f>IF(AND(EI4=1,OR(EH3&lt;&gt;$A$3,$A$4=0)),1,0)</f>
        <v/>
      </c>
      <c r="EI106">
        <f>IF(AND(EJ4=1,OR(EI3&lt;&gt;$A$3,$A$4=0)),1,0)</f>
        <v/>
      </c>
      <c r="EJ106">
        <f>IF(AND(EK4=1,OR(EJ3&lt;&gt;$A$3,$A$4=0)),1,0)</f>
        <v/>
      </c>
      <c r="EK106">
        <f>IF(AND(EL4=1,OR(EK3&lt;&gt;$A$3,$A$4=0)),1,0)</f>
        <v/>
      </c>
      <c r="EL106">
        <f>IF(AND(EM4=1,OR(EL3&lt;&gt;$A$3,$A$4=0)),1,0)</f>
        <v/>
      </c>
      <c r="EM106">
        <f>IF(AND(EN4=1,OR(EM3&lt;&gt;$A$3,$A$4=0)),1,0)</f>
        <v/>
      </c>
      <c r="EN106">
        <f>IF(AND(EO4=1,OR(EN3&lt;&gt;$A$3,$A$4=0)),1,0)</f>
        <v/>
      </c>
      <c r="EO106">
        <f>IF(AND(EP4=1,OR(EO3&lt;&gt;$A$3,$A$4=0)),1,0)</f>
        <v/>
      </c>
      <c r="EP106">
        <f>IF(AND(EQ4=1,OR(EP3&lt;&gt;$A$3,$A$4=0)),1,0)</f>
        <v/>
      </c>
      <c r="EQ106" t="n">
        <v>0</v>
      </c>
    </row>
    <row r="107">
      <c r="C107" t="inlineStr">
        <is>
          <t>自動で空ける</t>
        </is>
      </c>
      <c r="D107">
        <f>IF(COUNTIF('calcB'!$G$3:$G$47,1)&gt;0,1,0)</f>
        <v/>
      </c>
      <c r="E107">
        <f>IF(COUNTIF('calcB'!$G$3:$G$47,2)&gt;0,1,0)</f>
        <v/>
      </c>
      <c r="F107">
        <f>IF(COUNTIF('calcB'!$G$3:$G$47,3)&gt;0,1,0)</f>
        <v/>
      </c>
      <c r="G107">
        <f>IF(COUNTIF('calcB'!$G$3:$G$47,4)&gt;0,1,0)</f>
        <v/>
      </c>
      <c r="H107">
        <f>IF(COUNTIF('calcB'!$G$3:$G$47,5)&gt;0,1,0)</f>
        <v/>
      </c>
      <c r="I107">
        <f>IF(COUNTIF('calcB'!$G$3:$G$47,6)&gt;0,1,0)</f>
        <v/>
      </c>
      <c r="J107">
        <f>IF(COUNTIF('calcB'!$G$3:$G$47,7)&gt;0,1,0)</f>
        <v/>
      </c>
      <c r="K107">
        <f>IF(COUNTIF('calcB'!$G$3:$G$47,8)&gt;0,1,0)</f>
        <v/>
      </c>
      <c r="L107">
        <f>IF(COUNTIF('calcB'!$G$3:$G$47,9)&gt;0,1,0)</f>
        <v/>
      </c>
      <c r="M107">
        <f>IF(COUNTIF('calcB'!$G$3:$G$47,10)&gt;0,1,0)</f>
        <v/>
      </c>
      <c r="N107">
        <f>IF(COUNTIF('calcB'!$G$3:$G$47,11)&gt;0,1,0)</f>
        <v/>
      </c>
      <c r="O107">
        <f>IF(COUNTIF('calcB'!$G$3:$G$47,12)&gt;0,1,0)</f>
        <v/>
      </c>
      <c r="P107">
        <f>IF(COUNTIF('calcB'!$G$3:$G$47,13)&gt;0,1,0)</f>
        <v/>
      </c>
      <c r="Q107">
        <f>IF(COUNTIF('calcB'!$G$3:$G$47,14)&gt;0,1,0)</f>
        <v/>
      </c>
      <c r="R107">
        <f>IF(COUNTIF('calcB'!$G$3:$G$47,15)&gt;0,1,0)</f>
        <v/>
      </c>
      <c r="S107">
        <f>IF(COUNTIF('calcB'!$G$3:$G$47,16)&gt;0,1,0)</f>
        <v/>
      </c>
      <c r="T107">
        <f>IF(COUNTIF('calcB'!$G$3:$G$47,17)&gt;0,1,0)</f>
        <v/>
      </c>
      <c r="U107">
        <f>IF(COUNTIF('calcB'!$G$3:$G$47,18)&gt;0,1,0)</f>
        <v/>
      </c>
      <c r="V107">
        <f>IF(COUNTIF('calcB'!$G$3:$G$47,19)&gt;0,1,0)</f>
        <v/>
      </c>
      <c r="W107">
        <f>IF(COUNTIF('calcB'!$G$3:$G$47,20)&gt;0,1,0)</f>
        <v/>
      </c>
      <c r="X107">
        <f>IF(COUNTIF('calcB'!$G$3:$G$47,21)&gt;0,1,0)</f>
        <v/>
      </c>
      <c r="Y107">
        <f>IF(COUNTIF('calcB'!$G$3:$G$47,22)&gt;0,1,0)</f>
        <v/>
      </c>
      <c r="Z107">
        <f>IF(COUNTIF('calcB'!$G$3:$G$47,23)&gt;0,1,0)</f>
        <v/>
      </c>
      <c r="AA107">
        <f>IF(COUNTIF('calcB'!$G$3:$G$47,24)&gt;0,1,0)</f>
        <v/>
      </c>
      <c r="AB107">
        <f>IF(COUNTIF('calcB'!$G$3:$G$47,25)&gt;0,1,0)</f>
        <v/>
      </c>
      <c r="AC107">
        <f>IF(COUNTIF('calcB'!$G$3:$G$47,26)&gt;0,1,0)</f>
        <v/>
      </c>
      <c r="AD107">
        <f>IF(COUNTIF('calcB'!$G$3:$G$47,27)&gt;0,1,0)</f>
        <v/>
      </c>
      <c r="AE107">
        <f>IF(COUNTIF('calcB'!$G$3:$G$47,28)&gt;0,1,0)</f>
        <v/>
      </c>
      <c r="AF107">
        <f>IF(COUNTIF('calcB'!$G$3:$G$47,29)&gt;0,1,0)</f>
        <v/>
      </c>
      <c r="AG107">
        <f>IF(COUNTIF('calcB'!$G$3:$G$47,30)&gt;0,1,0)</f>
        <v/>
      </c>
      <c r="AH107">
        <f>IF(COUNTIF('calcB'!$G$3:$G$47,31)&gt;0,1,0)</f>
        <v/>
      </c>
      <c r="AI107">
        <f>IF(COUNTIF('calcB'!$G$3:$G$47,32)&gt;0,1,0)</f>
        <v/>
      </c>
      <c r="AJ107">
        <f>IF(COUNTIF('calcB'!$G$3:$G$47,33)&gt;0,1,0)</f>
        <v/>
      </c>
      <c r="AK107">
        <f>IF(COUNTIF('calcB'!$G$3:$G$47,34)&gt;0,1,0)</f>
        <v/>
      </c>
      <c r="AL107">
        <f>IF(COUNTIF('calcB'!$G$3:$G$47,35)&gt;0,1,0)</f>
        <v/>
      </c>
      <c r="AM107">
        <f>IF(COUNTIF('calcB'!$G$3:$G$47,36)&gt;0,1,0)</f>
        <v/>
      </c>
      <c r="AN107">
        <f>IF(COUNTIF('calcB'!$G$3:$G$47,37)&gt;0,1,0)</f>
        <v/>
      </c>
      <c r="AO107">
        <f>IF(COUNTIF('calcB'!$G$3:$G$47,38)&gt;0,1,0)</f>
        <v/>
      </c>
      <c r="AP107">
        <f>IF(COUNTIF('calcB'!$G$3:$G$47,39)&gt;0,1,0)</f>
        <v/>
      </c>
      <c r="AQ107">
        <f>IF(COUNTIF('calcB'!$G$3:$G$47,40)&gt;0,1,0)</f>
        <v/>
      </c>
      <c r="AR107">
        <f>IF(COUNTIF('calcB'!$G$3:$G$47,41)&gt;0,1,0)</f>
        <v/>
      </c>
      <c r="AS107">
        <f>IF(COUNTIF('calcB'!$G$3:$G$47,42)&gt;0,1,0)</f>
        <v/>
      </c>
      <c r="AT107">
        <f>IF(COUNTIF('calcB'!$G$3:$G$47,43)&gt;0,1,0)</f>
        <v/>
      </c>
      <c r="AU107">
        <f>IF(COUNTIF('calcB'!$G$3:$G$47,44)&gt;0,1,0)</f>
        <v/>
      </c>
      <c r="AV107">
        <f>IF(COUNTIF('calcB'!$G$3:$G$47,45)&gt;0,1,0)</f>
        <v/>
      </c>
      <c r="AW107">
        <f>IF(COUNTIF('calcB'!$G$3:$G$47,46)&gt;0,1,0)</f>
        <v/>
      </c>
      <c r="AX107">
        <f>IF(COUNTIF('calcB'!$G$3:$G$47,47)&gt;0,1,0)</f>
        <v/>
      </c>
      <c r="AY107">
        <f>IF(COUNTIF('calcB'!$G$3:$G$47,48)&gt;0,1,0)</f>
        <v/>
      </c>
      <c r="AZ107">
        <f>IF(COUNTIF('calcB'!$G$3:$G$47,49)&gt;0,1,0)</f>
        <v/>
      </c>
      <c r="BA107">
        <f>IF(COUNTIF('calcB'!$G$3:$G$47,50)&gt;0,1,0)</f>
        <v/>
      </c>
      <c r="BB107">
        <f>IF(COUNTIF('calcB'!$G$3:$G$47,51)&gt;0,1,0)</f>
        <v/>
      </c>
      <c r="BC107">
        <f>IF(COUNTIF('calcB'!$G$3:$G$47,52)&gt;0,1,0)</f>
        <v/>
      </c>
      <c r="BD107">
        <f>IF(COUNTIF('calcB'!$G$3:$G$47,53)&gt;0,1,0)</f>
        <v/>
      </c>
      <c r="BE107">
        <f>IF(COUNTIF('calcB'!$G$3:$G$47,54)&gt;0,1,0)</f>
        <v/>
      </c>
      <c r="BF107">
        <f>IF(COUNTIF('calcB'!$G$3:$G$47,55)&gt;0,1,0)</f>
        <v/>
      </c>
      <c r="BG107">
        <f>IF(COUNTIF('calcB'!$G$3:$G$47,56)&gt;0,1,0)</f>
        <v/>
      </c>
      <c r="BH107">
        <f>IF(COUNTIF('calcB'!$G$3:$G$47,57)&gt;0,1,0)</f>
        <v/>
      </c>
      <c r="BI107">
        <f>IF(COUNTIF('calcB'!$G$3:$G$47,58)&gt;0,1,0)</f>
        <v/>
      </c>
      <c r="BJ107">
        <f>IF(COUNTIF('calcB'!$G$3:$G$47,59)&gt;0,1,0)</f>
        <v/>
      </c>
      <c r="BK107">
        <f>IF(COUNTIF('calcB'!$G$3:$G$47,60)&gt;0,1,0)</f>
        <v/>
      </c>
      <c r="BL107">
        <f>IF(COUNTIF('calcB'!$G$3:$G$47,61)&gt;0,1,0)</f>
        <v/>
      </c>
      <c r="BM107">
        <f>IF(COUNTIF('calcB'!$G$3:$G$47,62)&gt;0,1,0)</f>
        <v/>
      </c>
      <c r="BN107">
        <f>IF(COUNTIF('calcB'!$G$3:$G$47,63)&gt;0,1,0)</f>
        <v/>
      </c>
      <c r="BO107">
        <f>IF(COUNTIF('calcB'!$G$3:$G$47,64)&gt;0,1,0)</f>
        <v/>
      </c>
      <c r="BP107">
        <f>IF(COUNTIF('calcB'!$G$3:$G$47,65)&gt;0,1,0)</f>
        <v/>
      </c>
      <c r="BQ107">
        <f>IF(COUNTIF('calcB'!$G$3:$G$47,66)&gt;0,1,0)</f>
        <v/>
      </c>
      <c r="BR107">
        <f>IF(COUNTIF('calcB'!$G$3:$G$47,67)&gt;0,1,0)</f>
        <v/>
      </c>
      <c r="BS107">
        <f>IF(COUNTIF('calcB'!$G$3:$G$47,68)&gt;0,1,0)</f>
        <v/>
      </c>
      <c r="BT107">
        <f>IF(COUNTIF('calcB'!$G$3:$G$47,69)&gt;0,1,0)</f>
        <v/>
      </c>
      <c r="BU107">
        <f>IF(COUNTIF('calcB'!$G$3:$G$47,70)&gt;0,1,0)</f>
        <v/>
      </c>
      <c r="BV107">
        <f>IF(COUNTIF('calcB'!$G$3:$G$47,71)&gt;0,1,0)</f>
        <v/>
      </c>
      <c r="BW107">
        <f>IF(COUNTIF('calcB'!$G$3:$G$47,72)&gt;0,1,0)</f>
        <v/>
      </c>
      <c r="BX107">
        <f>IF(COUNTIF('calcB'!$G$3:$G$47,73)&gt;0,1,0)</f>
        <v/>
      </c>
      <c r="BY107">
        <f>IF(COUNTIF('calcB'!$G$3:$G$47,74)&gt;0,1,0)</f>
        <v/>
      </c>
      <c r="BZ107">
        <f>IF(COUNTIF('calcB'!$G$3:$G$47,75)&gt;0,1,0)</f>
        <v/>
      </c>
      <c r="CA107">
        <f>IF(COUNTIF('calcB'!$G$3:$G$47,76)&gt;0,1,0)</f>
        <v/>
      </c>
      <c r="CB107">
        <f>IF(COUNTIF('calcB'!$G$3:$G$47,77)&gt;0,1,0)</f>
        <v/>
      </c>
      <c r="CC107">
        <f>IF(COUNTIF('calcB'!$G$3:$G$47,78)&gt;0,1,0)</f>
        <v/>
      </c>
      <c r="CD107">
        <f>IF(COUNTIF('calcB'!$G$3:$G$47,79)&gt;0,1,0)</f>
        <v/>
      </c>
      <c r="CE107">
        <f>IF(COUNTIF('calcB'!$G$3:$G$47,80)&gt;0,1,0)</f>
        <v/>
      </c>
      <c r="CF107">
        <f>IF(COUNTIF('calcB'!$G$3:$G$47,81)&gt;0,1,0)</f>
        <v/>
      </c>
      <c r="CG107">
        <f>IF(COUNTIF('calcB'!$G$3:$G$47,82)&gt;0,1,0)</f>
        <v/>
      </c>
      <c r="CH107">
        <f>IF(COUNTIF('calcB'!$G$3:$G$47,83)&gt;0,1,0)</f>
        <v/>
      </c>
      <c r="CI107">
        <f>IF(COUNTIF('calcB'!$G$3:$G$47,84)&gt;0,1,0)</f>
        <v/>
      </c>
      <c r="CJ107">
        <f>IF(COUNTIF('calcB'!$G$3:$G$47,85)&gt;0,1,0)</f>
        <v/>
      </c>
      <c r="CK107">
        <f>IF(COUNTIF('calcB'!$G$3:$G$47,86)&gt;0,1,0)</f>
        <v/>
      </c>
      <c r="CL107">
        <f>IF(COUNTIF('calcB'!$G$3:$G$47,87)&gt;0,1,0)</f>
        <v/>
      </c>
      <c r="CM107">
        <f>IF(COUNTIF('calcB'!$G$3:$G$47,88)&gt;0,1,0)</f>
        <v/>
      </c>
      <c r="CN107">
        <f>IF(COUNTIF('calcB'!$G$3:$G$47,89)&gt;0,1,0)</f>
        <v/>
      </c>
      <c r="CO107">
        <f>IF(COUNTIF('calcB'!$G$3:$G$47,90)&gt;0,1,0)</f>
        <v/>
      </c>
      <c r="CP107">
        <f>IF(COUNTIF('calcB'!$G$3:$G$47,91)&gt;0,1,0)</f>
        <v/>
      </c>
      <c r="CQ107">
        <f>IF(COUNTIF('calcB'!$G$3:$G$47,92)&gt;0,1,0)</f>
        <v/>
      </c>
      <c r="CR107">
        <f>IF(COUNTIF('calcB'!$G$3:$G$47,93)&gt;0,1,0)</f>
        <v/>
      </c>
      <c r="CS107">
        <f>IF(COUNTIF('calcB'!$G$3:$G$47,94)&gt;0,1,0)</f>
        <v/>
      </c>
      <c r="CT107">
        <f>IF(COUNTIF('calcB'!$G$3:$G$47,95)&gt;0,1,0)</f>
        <v/>
      </c>
      <c r="CU107">
        <f>IF(COUNTIF('calcB'!$G$3:$G$47,96)&gt;0,1,0)</f>
        <v/>
      </c>
      <c r="CV107">
        <f>IF(COUNTIF('calcB'!$G$3:$G$47,97)&gt;0,1,0)</f>
        <v/>
      </c>
      <c r="CW107">
        <f>IF(COUNTIF('calcB'!$G$3:$G$47,98)&gt;0,1,0)</f>
        <v/>
      </c>
      <c r="CX107">
        <f>IF(COUNTIF('calcB'!$G$3:$G$47,99)&gt;0,1,0)</f>
        <v/>
      </c>
      <c r="CY107">
        <f>IF(COUNTIF('calcB'!$G$3:$G$47,100)&gt;0,1,0)</f>
        <v/>
      </c>
      <c r="CZ107">
        <f>IF(COUNTIF('calcB'!$G$3:$G$47,101)&gt;0,1,0)</f>
        <v/>
      </c>
      <c r="DA107">
        <f>IF(COUNTIF('calcB'!$G$3:$G$47,102)&gt;0,1,0)</f>
        <v/>
      </c>
      <c r="DB107">
        <f>IF(COUNTIF('calcB'!$G$3:$G$47,103)&gt;0,1,0)</f>
        <v/>
      </c>
      <c r="DC107">
        <f>IF(COUNTIF('calcB'!$G$3:$G$47,104)&gt;0,1,0)</f>
        <v/>
      </c>
      <c r="DD107">
        <f>IF(COUNTIF('calcB'!$G$3:$G$47,105)&gt;0,1,0)</f>
        <v/>
      </c>
      <c r="DE107">
        <f>IF(COUNTIF('calcB'!$G$3:$G$47,106)&gt;0,1,0)</f>
        <v/>
      </c>
      <c r="DF107">
        <f>IF(COUNTIF('calcB'!$G$3:$G$47,107)&gt;0,1,0)</f>
        <v/>
      </c>
      <c r="DG107">
        <f>IF(COUNTIF('calcB'!$G$3:$G$47,108)&gt;0,1,0)</f>
        <v/>
      </c>
      <c r="DH107">
        <f>IF(COUNTIF('calcB'!$G$3:$G$47,109)&gt;0,1,0)</f>
        <v/>
      </c>
      <c r="DI107">
        <f>IF(COUNTIF('calcB'!$G$3:$G$47,110)&gt;0,1,0)</f>
        <v/>
      </c>
      <c r="DJ107">
        <f>IF(COUNTIF('calcB'!$G$3:$G$47,111)&gt;0,1,0)</f>
        <v/>
      </c>
      <c r="DK107">
        <f>IF(COUNTIF('calcB'!$G$3:$G$47,112)&gt;0,1,0)</f>
        <v/>
      </c>
      <c r="DL107">
        <f>IF(COUNTIF('calcB'!$G$3:$G$47,113)&gt;0,1,0)</f>
        <v/>
      </c>
      <c r="DM107">
        <f>IF(COUNTIF('calcB'!$G$3:$G$47,114)&gt;0,1,0)</f>
        <v/>
      </c>
      <c r="DN107">
        <f>IF(COUNTIF('calcB'!$G$3:$G$47,115)&gt;0,1,0)</f>
        <v/>
      </c>
      <c r="DO107">
        <f>IF(COUNTIF('calcB'!$G$3:$G$47,116)&gt;0,1,0)</f>
        <v/>
      </c>
      <c r="DP107">
        <f>IF(COUNTIF('calcB'!$G$3:$G$47,117)&gt;0,1,0)</f>
        <v/>
      </c>
      <c r="DQ107">
        <f>IF(COUNTIF('calcB'!$G$3:$G$47,118)&gt;0,1,0)</f>
        <v/>
      </c>
      <c r="DR107">
        <f>IF(COUNTIF('calcB'!$G$3:$G$47,119)&gt;0,1,0)</f>
        <v/>
      </c>
      <c r="DS107">
        <f>IF(COUNTIF('calcB'!$G$3:$G$47,120)&gt;0,1,0)</f>
        <v/>
      </c>
      <c r="DT107">
        <f>IF(COUNTIF('calcB'!$G$3:$G$47,121)&gt;0,1,0)</f>
        <v/>
      </c>
      <c r="DU107">
        <f>IF(COUNTIF('calcB'!$G$3:$G$47,122)&gt;0,1,0)</f>
        <v/>
      </c>
      <c r="DV107">
        <f>IF(COUNTIF('calcB'!$G$3:$G$47,123)&gt;0,1,0)</f>
        <v/>
      </c>
      <c r="DW107">
        <f>IF(COUNTIF('calcB'!$G$3:$G$47,124)&gt;0,1,0)</f>
        <v/>
      </c>
      <c r="DX107">
        <f>IF(COUNTIF('calcB'!$G$3:$G$47,125)&gt;0,1,0)</f>
        <v/>
      </c>
      <c r="DY107">
        <f>IF(COUNTIF('calcB'!$G$3:$G$47,126)&gt;0,1,0)</f>
        <v/>
      </c>
      <c r="DZ107">
        <f>IF(COUNTIF('calcB'!$G$3:$G$47,127)&gt;0,1,0)</f>
        <v/>
      </c>
      <c r="EA107">
        <f>IF(COUNTIF('calcB'!$G$3:$G$47,128)&gt;0,1,0)</f>
        <v/>
      </c>
      <c r="EB107">
        <f>IF(COUNTIF('calcB'!$G$3:$G$47,129)&gt;0,1,0)</f>
        <v/>
      </c>
      <c r="EC107">
        <f>IF(COUNTIF('calcB'!$G$3:$G$47,130)&gt;0,1,0)</f>
        <v/>
      </c>
      <c r="ED107">
        <f>IF(COUNTIF('calcB'!$G$3:$G$47,131)&gt;0,1,0)</f>
        <v/>
      </c>
      <c r="EE107">
        <f>IF(COUNTIF('calcB'!$G$3:$G$47,132)&gt;0,1,0)</f>
        <v/>
      </c>
      <c r="EF107">
        <f>IF(COUNTIF('calcB'!$G$3:$G$47,133)&gt;0,1,0)</f>
        <v/>
      </c>
      <c r="EG107">
        <f>IF(COUNTIF('calcB'!$G$3:$G$47,134)&gt;0,1,0)</f>
        <v/>
      </c>
      <c r="EH107">
        <f>IF(COUNTIF('calcB'!$G$3:$G$47,135)&gt;0,1,0)</f>
        <v/>
      </c>
      <c r="EI107">
        <f>IF(COUNTIF('calcB'!$G$3:$G$47,136)&gt;0,1,0)</f>
        <v/>
      </c>
      <c r="EJ107">
        <f>IF(COUNTIF('calcB'!$G$3:$G$47,137)&gt;0,1,0)</f>
        <v/>
      </c>
      <c r="EK107">
        <f>IF(COUNTIF('calcB'!$G$3:$G$47,138)&gt;0,1,0)</f>
        <v/>
      </c>
      <c r="EL107">
        <f>IF(COUNTIF('calcB'!$G$3:$G$47,139)&gt;0,1,0)</f>
        <v/>
      </c>
      <c r="EM107">
        <f>IF(COUNTIF('calcB'!$G$3:$G$47,140)&gt;0,1,0)</f>
        <v/>
      </c>
      <c r="EN107">
        <f>IF(COUNTIF('calcB'!$G$3:$G$47,141)&gt;0,1,0)</f>
        <v/>
      </c>
      <c r="EO107">
        <f>IF(COUNTIF('calcB'!$G$3:$G$47,142)&gt;0,1,0)</f>
        <v/>
      </c>
      <c r="EP107">
        <f>IF(COUNTIF('calcB'!$G$3:$G$47,143)&gt;0,1,0)</f>
        <v/>
      </c>
      <c r="EQ107">
        <f>IF(COUNTIF('calcB'!$G$3:$G$47,144)&gt;0,1,0)</f>
        <v/>
      </c>
    </row>
    <row r="108">
      <c r="C108" t="inlineStr">
        <is>
          <t>後ろを空ける枠</t>
        </is>
      </c>
      <c r="D108" t="n">
        <v>0</v>
      </c>
      <c r="E108">
        <f>IF(OR(D106=0,INDEX('調整・決定'!$C$6:$H$29,E3-1,E2)=""),0,IF(RIGHT(IFERROR(INDEX('名簿'!$D$5:$D$49,MATCH(INDEX('調整・決定'!$C$6:$H$29,E3-1,E2),'名簿'!$P$5:$P$49,0)),""),4)="空けたい",1,0))</f>
        <v/>
      </c>
      <c r="F108">
        <f>IF(OR(E106=0,INDEX('調整・決定'!$C$6:$H$29,F3-1,F2)=""),0,IF(RIGHT(IFERROR(INDEX('名簿'!$D$5:$D$49,MATCH(INDEX('調整・決定'!$C$6:$H$29,F3-1,F2),'名簿'!$P$5:$P$49,0)),""),4)="空けたい",1,0))</f>
        <v/>
      </c>
      <c r="G108">
        <f>IF(OR(F106=0,INDEX('調整・決定'!$C$6:$H$29,G3-1,G2)=""),0,IF(RIGHT(IFERROR(INDEX('名簿'!$D$5:$D$49,MATCH(INDEX('調整・決定'!$C$6:$H$29,G3-1,G2),'名簿'!$P$5:$P$49,0)),""),4)="空けたい",1,0))</f>
        <v/>
      </c>
      <c r="H108">
        <f>IF(OR(G106=0,INDEX('調整・決定'!$C$6:$H$29,H3-1,H2)=""),0,IF(RIGHT(IFERROR(INDEX('名簿'!$D$5:$D$49,MATCH(INDEX('調整・決定'!$C$6:$H$29,H3-1,H2),'名簿'!$P$5:$P$49,0)),""),4)="空けたい",1,0))</f>
        <v/>
      </c>
      <c r="I108">
        <f>IF(OR(H106=0,INDEX('調整・決定'!$C$6:$H$29,I3-1,I2)=""),0,IF(RIGHT(IFERROR(INDEX('名簿'!$D$5:$D$49,MATCH(INDEX('調整・決定'!$C$6:$H$29,I3-1,I2),'名簿'!$P$5:$P$49,0)),""),4)="空けたい",1,0))</f>
        <v/>
      </c>
      <c r="J108">
        <f>IF(OR(I106=0,INDEX('調整・決定'!$C$6:$H$29,J3-1,J2)=""),0,IF(RIGHT(IFERROR(INDEX('名簿'!$D$5:$D$49,MATCH(INDEX('調整・決定'!$C$6:$H$29,J3-1,J2),'名簿'!$P$5:$P$49,0)),""),4)="空けたい",1,0))</f>
        <v/>
      </c>
      <c r="K108">
        <f>IF(OR(J106=0,INDEX('調整・決定'!$C$6:$H$29,K3-1,K2)=""),0,IF(RIGHT(IFERROR(INDEX('名簿'!$D$5:$D$49,MATCH(INDEX('調整・決定'!$C$6:$H$29,K3-1,K2),'名簿'!$P$5:$P$49,0)),""),4)="空けたい",1,0))</f>
        <v/>
      </c>
      <c r="L108">
        <f>IF(OR(K106=0,INDEX('調整・決定'!$C$6:$H$29,L3-1,L2)=""),0,IF(RIGHT(IFERROR(INDEX('名簿'!$D$5:$D$49,MATCH(INDEX('調整・決定'!$C$6:$H$29,L3-1,L2),'名簿'!$P$5:$P$49,0)),""),4)="空けたい",1,0))</f>
        <v/>
      </c>
      <c r="M108">
        <f>IF(OR(L106=0,INDEX('調整・決定'!$C$6:$H$29,M3-1,M2)=""),0,IF(RIGHT(IFERROR(INDEX('名簿'!$D$5:$D$49,MATCH(INDEX('調整・決定'!$C$6:$H$29,M3-1,M2),'名簿'!$P$5:$P$49,0)),""),4)="空けたい",1,0))</f>
        <v/>
      </c>
      <c r="N108">
        <f>IF(OR(M106=0,INDEX('調整・決定'!$C$6:$H$29,N3-1,N2)=""),0,IF(RIGHT(IFERROR(INDEX('名簿'!$D$5:$D$49,MATCH(INDEX('調整・決定'!$C$6:$H$29,N3-1,N2),'名簿'!$P$5:$P$49,0)),""),4)="空けたい",1,0))</f>
        <v/>
      </c>
      <c r="O108">
        <f>IF(OR(N106=0,INDEX('調整・決定'!$C$6:$H$29,O3-1,O2)=""),0,IF(RIGHT(IFERROR(INDEX('名簿'!$D$5:$D$49,MATCH(INDEX('調整・決定'!$C$6:$H$29,O3-1,O2),'名簿'!$P$5:$P$49,0)),""),4)="空けたい",1,0))</f>
        <v/>
      </c>
      <c r="P108">
        <f>IF(OR(O106=0,INDEX('調整・決定'!$C$6:$H$29,P3-1,P2)=""),0,IF(RIGHT(IFERROR(INDEX('名簿'!$D$5:$D$49,MATCH(INDEX('調整・決定'!$C$6:$H$29,P3-1,P2),'名簿'!$P$5:$P$49,0)),""),4)="空けたい",1,0))</f>
        <v/>
      </c>
      <c r="Q108">
        <f>IF(OR(P106=0,INDEX('調整・決定'!$C$6:$H$29,Q3-1,Q2)=""),0,IF(RIGHT(IFERROR(INDEX('名簿'!$D$5:$D$49,MATCH(INDEX('調整・決定'!$C$6:$H$29,Q3-1,Q2),'名簿'!$P$5:$P$49,0)),""),4)="空けたい",1,0))</f>
        <v/>
      </c>
      <c r="R108">
        <f>IF(OR(Q106=0,INDEX('調整・決定'!$C$6:$H$29,R3-1,R2)=""),0,IF(RIGHT(IFERROR(INDEX('名簿'!$D$5:$D$49,MATCH(INDEX('調整・決定'!$C$6:$H$29,R3-1,R2),'名簿'!$P$5:$P$49,0)),""),4)="空けたい",1,0))</f>
        <v/>
      </c>
      <c r="S108">
        <f>IF(OR(R106=0,INDEX('調整・決定'!$C$6:$H$29,S3-1,S2)=""),0,IF(RIGHT(IFERROR(INDEX('名簿'!$D$5:$D$49,MATCH(INDEX('調整・決定'!$C$6:$H$29,S3-1,S2),'名簿'!$P$5:$P$49,0)),""),4)="空けたい",1,0))</f>
        <v/>
      </c>
      <c r="T108">
        <f>IF(OR(S106=0,INDEX('調整・決定'!$C$6:$H$29,T3-1,T2)=""),0,IF(RIGHT(IFERROR(INDEX('名簿'!$D$5:$D$49,MATCH(INDEX('調整・決定'!$C$6:$H$29,T3-1,T2),'名簿'!$P$5:$P$49,0)),""),4)="空けたい",1,0))</f>
        <v/>
      </c>
      <c r="U108">
        <f>IF(OR(T106=0,INDEX('調整・決定'!$C$6:$H$29,U3-1,U2)=""),0,IF(RIGHT(IFERROR(INDEX('名簿'!$D$5:$D$49,MATCH(INDEX('調整・決定'!$C$6:$H$29,U3-1,U2),'名簿'!$P$5:$P$49,0)),""),4)="空けたい",1,0))</f>
        <v/>
      </c>
      <c r="V108">
        <f>IF(OR(U106=0,INDEX('調整・決定'!$C$6:$H$29,V3-1,V2)=""),0,IF(RIGHT(IFERROR(INDEX('名簿'!$D$5:$D$49,MATCH(INDEX('調整・決定'!$C$6:$H$29,V3-1,V2),'名簿'!$P$5:$P$49,0)),""),4)="空けたい",1,0))</f>
        <v/>
      </c>
      <c r="W108">
        <f>IF(OR(V106=0,INDEX('調整・決定'!$C$6:$H$29,W3-1,W2)=""),0,IF(RIGHT(IFERROR(INDEX('名簿'!$D$5:$D$49,MATCH(INDEX('調整・決定'!$C$6:$H$29,W3-1,W2),'名簿'!$P$5:$P$49,0)),""),4)="空けたい",1,0))</f>
        <v/>
      </c>
      <c r="X108">
        <f>IF(OR(W106=0,INDEX('調整・決定'!$C$6:$H$29,X3-1,X2)=""),0,IF(RIGHT(IFERROR(INDEX('名簿'!$D$5:$D$49,MATCH(INDEX('調整・決定'!$C$6:$H$29,X3-1,X2),'名簿'!$P$5:$P$49,0)),""),4)="空けたい",1,0))</f>
        <v/>
      </c>
      <c r="Y108">
        <f>IF(OR(X106=0,INDEX('調整・決定'!$C$6:$H$29,Y3-1,Y2)=""),0,IF(RIGHT(IFERROR(INDEX('名簿'!$D$5:$D$49,MATCH(INDEX('調整・決定'!$C$6:$H$29,Y3-1,Y2),'名簿'!$P$5:$P$49,0)),""),4)="空けたい",1,0))</f>
        <v/>
      </c>
      <c r="Z108">
        <f>IF(OR(Y106=0,INDEX('調整・決定'!$C$6:$H$29,Z3-1,Z2)=""),0,IF(RIGHT(IFERROR(INDEX('名簿'!$D$5:$D$49,MATCH(INDEX('調整・決定'!$C$6:$H$29,Z3-1,Z2),'名簿'!$P$5:$P$49,0)),""),4)="空けたい",1,0))</f>
        <v/>
      </c>
      <c r="AA108">
        <f>IF(OR(Z106=0,INDEX('調整・決定'!$C$6:$H$29,AA3-1,AA2)=""),0,IF(RIGHT(IFERROR(INDEX('名簿'!$D$5:$D$49,MATCH(INDEX('調整・決定'!$C$6:$H$29,AA3-1,AA2),'名簿'!$P$5:$P$49,0)),""),4)="空けたい",1,0))</f>
        <v/>
      </c>
      <c r="AB108" t="n">
        <v>0</v>
      </c>
      <c r="AC108">
        <f>IF(OR(AB106=0,INDEX('調整・決定'!$C$6:$H$29,AC3-1,AC2)=""),0,IF(RIGHT(IFERROR(INDEX('名簿'!$D$5:$D$49,MATCH(INDEX('調整・決定'!$C$6:$H$29,AC3-1,AC2),'名簿'!$P$5:$P$49,0)),""),4)="空けたい",1,0))</f>
        <v/>
      </c>
      <c r="AD108">
        <f>IF(OR(AC106=0,INDEX('調整・決定'!$C$6:$H$29,AD3-1,AD2)=""),0,IF(RIGHT(IFERROR(INDEX('名簿'!$D$5:$D$49,MATCH(INDEX('調整・決定'!$C$6:$H$29,AD3-1,AD2),'名簿'!$P$5:$P$49,0)),""),4)="空けたい",1,0))</f>
        <v/>
      </c>
      <c r="AE108">
        <f>IF(OR(AD106=0,INDEX('調整・決定'!$C$6:$H$29,AE3-1,AE2)=""),0,IF(RIGHT(IFERROR(INDEX('名簿'!$D$5:$D$49,MATCH(INDEX('調整・決定'!$C$6:$H$29,AE3-1,AE2),'名簿'!$P$5:$P$49,0)),""),4)="空けたい",1,0))</f>
        <v/>
      </c>
      <c r="AF108">
        <f>IF(OR(AE106=0,INDEX('調整・決定'!$C$6:$H$29,AF3-1,AF2)=""),0,IF(RIGHT(IFERROR(INDEX('名簿'!$D$5:$D$49,MATCH(INDEX('調整・決定'!$C$6:$H$29,AF3-1,AF2),'名簿'!$P$5:$P$49,0)),""),4)="空けたい",1,0))</f>
        <v/>
      </c>
      <c r="AG108">
        <f>IF(OR(AF106=0,INDEX('調整・決定'!$C$6:$H$29,AG3-1,AG2)=""),0,IF(RIGHT(IFERROR(INDEX('名簿'!$D$5:$D$49,MATCH(INDEX('調整・決定'!$C$6:$H$29,AG3-1,AG2),'名簿'!$P$5:$P$49,0)),""),4)="空けたい",1,0))</f>
        <v/>
      </c>
      <c r="AH108">
        <f>IF(OR(AG106=0,INDEX('調整・決定'!$C$6:$H$29,AH3-1,AH2)=""),0,IF(RIGHT(IFERROR(INDEX('名簿'!$D$5:$D$49,MATCH(INDEX('調整・決定'!$C$6:$H$29,AH3-1,AH2),'名簿'!$P$5:$P$49,0)),""),4)="空けたい",1,0))</f>
        <v/>
      </c>
      <c r="AI108">
        <f>IF(OR(AH106=0,INDEX('調整・決定'!$C$6:$H$29,AI3-1,AI2)=""),0,IF(RIGHT(IFERROR(INDEX('名簿'!$D$5:$D$49,MATCH(INDEX('調整・決定'!$C$6:$H$29,AI3-1,AI2),'名簿'!$P$5:$P$49,0)),""),4)="空けたい",1,0))</f>
        <v/>
      </c>
      <c r="AJ108">
        <f>IF(OR(AI106=0,INDEX('調整・決定'!$C$6:$H$29,AJ3-1,AJ2)=""),0,IF(RIGHT(IFERROR(INDEX('名簿'!$D$5:$D$49,MATCH(INDEX('調整・決定'!$C$6:$H$29,AJ3-1,AJ2),'名簿'!$P$5:$P$49,0)),""),4)="空けたい",1,0))</f>
        <v/>
      </c>
      <c r="AK108">
        <f>IF(OR(AJ106=0,INDEX('調整・決定'!$C$6:$H$29,AK3-1,AK2)=""),0,IF(RIGHT(IFERROR(INDEX('名簿'!$D$5:$D$49,MATCH(INDEX('調整・決定'!$C$6:$H$29,AK3-1,AK2),'名簿'!$P$5:$P$49,0)),""),4)="空けたい",1,0))</f>
        <v/>
      </c>
      <c r="AL108">
        <f>IF(OR(AK106=0,INDEX('調整・決定'!$C$6:$H$29,AL3-1,AL2)=""),0,IF(RIGHT(IFERROR(INDEX('名簿'!$D$5:$D$49,MATCH(INDEX('調整・決定'!$C$6:$H$29,AL3-1,AL2),'名簿'!$P$5:$P$49,0)),""),4)="空けたい",1,0))</f>
        <v/>
      </c>
      <c r="AM108">
        <f>IF(OR(AL106=0,INDEX('調整・決定'!$C$6:$H$29,AM3-1,AM2)=""),0,IF(RIGHT(IFERROR(INDEX('名簿'!$D$5:$D$49,MATCH(INDEX('調整・決定'!$C$6:$H$29,AM3-1,AM2),'名簿'!$P$5:$P$49,0)),""),4)="空けたい",1,0))</f>
        <v/>
      </c>
      <c r="AN108">
        <f>IF(OR(AM106=0,INDEX('調整・決定'!$C$6:$H$29,AN3-1,AN2)=""),0,IF(RIGHT(IFERROR(INDEX('名簿'!$D$5:$D$49,MATCH(INDEX('調整・決定'!$C$6:$H$29,AN3-1,AN2),'名簿'!$P$5:$P$49,0)),""),4)="空けたい",1,0))</f>
        <v/>
      </c>
      <c r="AO108">
        <f>IF(OR(AN106=0,INDEX('調整・決定'!$C$6:$H$29,AO3-1,AO2)=""),0,IF(RIGHT(IFERROR(INDEX('名簿'!$D$5:$D$49,MATCH(INDEX('調整・決定'!$C$6:$H$29,AO3-1,AO2),'名簿'!$P$5:$P$49,0)),""),4)="空けたい",1,0))</f>
        <v/>
      </c>
      <c r="AP108">
        <f>IF(OR(AO106=0,INDEX('調整・決定'!$C$6:$H$29,AP3-1,AP2)=""),0,IF(RIGHT(IFERROR(INDEX('名簿'!$D$5:$D$49,MATCH(INDEX('調整・決定'!$C$6:$H$29,AP3-1,AP2),'名簿'!$P$5:$P$49,0)),""),4)="空けたい",1,0))</f>
        <v/>
      </c>
      <c r="AQ108">
        <f>IF(OR(AP106=0,INDEX('調整・決定'!$C$6:$H$29,AQ3-1,AQ2)=""),0,IF(RIGHT(IFERROR(INDEX('名簿'!$D$5:$D$49,MATCH(INDEX('調整・決定'!$C$6:$H$29,AQ3-1,AQ2),'名簿'!$P$5:$P$49,0)),""),4)="空けたい",1,0))</f>
        <v/>
      </c>
      <c r="AR108">
        <f>IF(OR(AQ106=0,INDEX('調整・決定'!$C$6:$H$29,AR3-1,AR2)=""),0,IF(RIGHT(IFERROR(INDEX('名簿'!$D$5:$D$49,MATCH(INDEX('調整・決定'!$C$6:$H$29,AR3-1,AR2),'名簿'!$P$5:$P$49,0)),""),4)="空けたい",1,0))</f>
        <v/>
      </c>
      <c r="AS108">
        <f>IF(OR(AR106=0,INDEX('調整・決定'!$C$6:$H$29,AS3-1,AS2)=""),0,IF(RIGHT(IFERROR(INDEX('名簿'!$D$5:$D$49,MATCH(INDEX('調整・決定'!$C$6:$H$29,AS3-1,AS2),'名簿'!$P$5:$P$49,0)),""),4)="空けたい",1,0))</f>
        <v/>
      </c>
      <c r="AT108">
        <f>IF(OR(AS106=0,INDEX('調整・決定'!$C$6:$H$29,AT3-1,AT2)=""),0,IF(RIGHT(IFERROR(INDEX('名簿'!$D$5:$D$49,MATCH(INDEX('調整・決定'!$C$6:$H$29,AT3-1,AT2),'名簿'!$P$5:$P$49,0)),""),4)="空けたい",1,0))</f>
        <v/>
      </c>
      <c r="AU108">
        <f>IF(OR(AT106=0,INDEX('調整・決定'!$C$6:$H$29,AU3-1,AU2)=""),0,IF(RIGHT(IFERROR(INDEX('名簿'!$D$5:$D$49,MATCH(INDEX('調整・決定'!$C$6:$H$29,AU3-1,AU2),'名簿'!$P$5:$P$49,0)),""),4)="空けたい",1,0))</f>
        <v/>
      </c>
      <c r="AV108">
        <f>IF(OR(AU106=0,INDEX('調整・決定'!$C$6:$H$29,AV3-1,AV2)=""),0,IF(RIGHT(IFERROR(INDEX('名簿'!$D$5:$D$49,MATCH(INDEX('調整・決定'!$C$6:$H$29,AV3-1,AV2),'名簿'!$P$5:$P$49,0)),""),4)="空けたい",1,0))</f>
        <v/>
      </c>
      <c r="AW108">
        <f>IF(OR(AV106=0,INDEX('調整・決定'!$C$6:$H$29,AW3-1,AW2)=""),0,IF(RIGHT(IFERROR(INDEX('名簿'!$D$5:$D$49,MATCH(INDEX('調整・決定'!$C$6:$H$29,AW3-1,AW2),'名簿'!$P$5:$P$49,0)),""),4)="空けたい",1,0))</f>
        <v/>
      </c>
      <c r="AX108">
        <f>IF(OR(AW106=0,INDEX('調整・決定'!$C$6:$H$29,AX3-1,AX2)=""),0,IF(RIGHT(IFERROR(INDEX('名簿'!$D$5:$D$49,MATCH(INDEX('調整・決定'!$C$6:$H$29,AX3-1,AX2),'名簿'!$P$5:$P$49,0)),""),4)="空けたい",1,0))</f>
        <v/>
      </c>
      <c r="AY108">
        <f>IF(OR(AX106=0,INDEX('調整・決定'!$C$6:$H$29,AY3-1,AY2)=""),0,IF(RIGHT(IFERROR(INDEX('名簿'!$D$5:$D$49,MATCH(INDEX('調整・決定'!$C$6:$H$29,AY3-1,AY2),'名簿'!$P$5:$P$49,0)),""),4)="空けたい",1,0))</f>
        <v/>
      </c>
      <c r="AZ108" t="n">
        <v>0</v>
      </c>
      <c r="BA108">
        <f>IF(OR(AZ106=0,INDEX('調整・決定'!$C$6:$H$29,BA3-1,BA2)=""),0,IF(RIGHT(IFERROR(INDEX('名簿'!$D$5:$D$49,MATCH(INDEX('調整・決定'!$C$6:$H$29,BA3-1,BA2),'名簿'!$P$5:$P$49,0)),""),4)="空けたい",1,0))</f>
        <v/>
      </c>
      <c r="BB108">
        <f>IF(OR(BA106=0,INDEX('調整・決定'!$C$6:$H$29,BB3-1,BB2)=""),0,IF(RIGHT(IFERROR(INDEX('名簿'!$D$5:$D$49,MATCH(INDEX('調整・決定'!$C$6:$H$29,BB3-1,BB2),'名簿'!$P$5:$P$49,0)),""),4)="空けたい",1,0))</f>
        <v/>
      </c>
      <c r="BC108">
        <f>IF(OR(BB106=0,INDEX('調整・決定'!$C$6:$H$29,BC3-1,BC2)=""),0,IF(RIGHT(IFERROR(INDEX('名簿'!$D$5:$D$49,MATCH(INDEX('調整・決定'!$C$6:$H$29,BC3-1,BC2),'名簿'!$P$5:$P$49,0)),""),4)="空けたい",1,0))</f>
        <v/>
      </c>
      <c r="BD108">
        <f>IF(OR(BC106=0,INDEX('調整・決定'!$C$6:$H$29,BD3-1,BD2)=""),0,IF(RIGHT(IFERROR(INDEX('名簿'!$D$5:$D$49,MATCH(INDEX('調整・決定'!$C$6:$H$29,BD3-1,BD2),'名簿'!$P$5:$P$49,0)),""),4)="空けたい",1,0))</f>
        <v/>
      </c>
      <c r="BE108">
        <f>IF(OR(BD106=0,INDEX('調整・決定'!$C$6:$H$29,BE3-1,BE2)=""),0,IF(RIGHT(IFERROR(INDEX('名簿'!$D$5:$D$49,MATCH(INDEX('調整・決定'!$C$6:$H$29,BE3-1,BE2),'名簿'!$P$5:$P$49,0)),""),4)="空けたい",1,0))</f>
        <v/>
      </c>
      <c r="BF108">
        <f>IF(OR(BE106=0,INDEX('調整・決定'!$C$6:$H$29,BF3-1,BF2)=""),0,IF(RIGHT(IFERROR(INDEX('名簿'!$D$5:$D$49,MATCH(INDEX('調整・決定'!$C$6:$H$29,BF3-1,BF2),'名簿'!$P$5:$P$49,0)),""),4)="空けたい",1,0))</f>
        <v/>
      </c>
      <c r="BG108">
        <f>IF(OR(BF106=0,INDEX('調整・決定'!$C$6:$H$29,BG3-1,BG2)=""),0,IF(RIGHT(IFERROR(INDEX('名簿'!$D$5:$D$49,MATCH(INDEX('調整・決定'!$C$6:$H$29,BG3-1,BG2),'名簿'!$P$5:$P$49,0)),""),4)="空けたい",1,0))</f>
        <v/>
      </c>
      <c r="BH108">
        <f>IF(OR(BG106=0,INDEX('調整・決定'!$C$6:$H$29,BH3-1,BH2)=""),0,IF(RIGHT(IFERROR(INDEX('名簿'!$D$5:$D$49,MATCH(INDEX('調整・決定'!$C$6:$H$29,BH3-1,BH2),'名簿'!$P$5:$P$49,0)),""),4)="空けたい",1,0))</f>
        <v/>
      </c>
      <c r="BI108">
        <f>IF(OR(BH106=0,INDEX('調整・決定'!$C$6:$H$29,BI3-1,BI2)=""),0,IF(RIGHT(IFERROR(INDEX('名簿'!$D$5:$D$49,MATCH(INDEX('調整・決定'!$C$6:$H$29,BI3-1,BI2),'名簿'!$P$5:$P$49,0)),""),4)="空けたい",1,0))</f>
        <v/>
      </c>
      <c r="BJ108">
        <f>IF(OR(BI106=0,INDEX('調整・決定'!$C$6:$H$29,BJ3-1,BJ2)=""),0,IF(RIGHT(IFERROR(INDEX('名簿'!$D$5:$D$49,MATCH(INDEX('調整・決定'!$C$6:$H$29,BJ3-1,BJ2),'名簿'!$P$5:$P$49,0)),""),4)="空けたい",1,0))</f>
        <v/>
      </c>
      <c r="BK108">
        <f>IF(OR(BJ106=0,INDEX('調整・決定'!$C$6:$H$29,BK3-1,BK2)=""),0,IF(RIGHT(IFERROR(INDEX('名簿'!$D$5:$D$49,MATCH(INDEX('調整・決定'!$C$6:$H$29,BK3-1,BK2),'名簿'!$P$5:$P$49,0)),""),4)="空けたい",1,0))</f>
        <v/>
      </c>
      <c r="BL108">
        <f>IF(OR(BK106=0,INDEX('調整・決定'!$C$6:$H$29,BL3-1,BL2)=""),0,IF(RIGHT(IFERROR(INDEX('名簿'!$D$5:$D$49,MATCH(INDEX('調整・決定'!$C$6:$H$29,BL3-1,BL2),'名簿'!$P$5:$P$49,0)),""),4)="空けたい",1,0))</f>
        <v/>
      </c>
      <c r="BM108">
        <f>IF(OR(BL106=0,INDEX('調整・決定'!$C$6:$H$29,BM3-1,BM2)=""),0,IF(RIGHT(IFERROR(INDEX('名簿'!$D$5:$D$49,MATCH(INDEX('調整・決定'!$C$6:$H$29,BM3-1,BM2),'名簿'!$P$5:$P$49,0)),""),4)="空けたい",1,0))</f>
        <v/>
      </c>
      <c r="BN108">
        <f>IF(OR(BM106=0,INDEX('調整・決定'!$C$6:$H$29,BN3-1,BN2)=""),0,IF(RIGHT(IFERROR(INDEX('名簿'!$D$5:$D$49,MATCH(INDEX('調整・決定'!$C$6:$H$29,BN3-1,BN2),'名簿'!$P$5:$P$49,0)),""),4)="空けたい",1,0))</f>
        <v/>
      </c>
      <c r="BO108">
        <f>IF(OR(BN106=0,INDEX('調整・決定'!$C$6:$H$29,BO3-1,BO2)=""),0,IF(RIGHT(IFERROR(INDEX('名簿'!$D$5:$D$49,MATCH(INDEX('調整・決定'!$C$6:$H$29,BO3-1,BO2),'名簿'!$P$5:$P$49,0)),""),4)="空けたい",1,0))</f>
        <v/>
      </c>
      <c r="BP108">
        <f>IF(OR(BO106=0,INDEX('調整・決定'!$C$6:$H$29,BP3-1,BP2)=""),0,IF(RIGHT(IFERROR(INDEX('名簿'!$D$5:$D$49,MATCH(INDEX('調整・決定'!$C$6:$H$29,BP3-1,BP2),'名簿'!$P$5:$P$49,0)),""),4)="空けたい",1,0))</f>
        <v/>
      </c>
      <c r="BQ108">
        <f>IF(OR(BP106=0,INDEX('調整・決定'!$C$6:$H$29,BQ3-1,BQ2)=""),0,IF(RIGHT(IFERROR(INDEX('名簿'!$D$5:$D$49,MATCH(INDEX('調整・決定'!$C$6:$H$29,BQ3-1,BQ2),'名簿'!$P$5:$P$49,0)),""),4)="空けたい",1,0))</f>
        <v/>
      </c>
      <c r="BR108">
        <f>IF(OR(BQ106=0,INDEX('調整・決定'!$C$6:$H$29,BR3-1,BR2)=""),0,IF(RIGHT(IFERROR(INDEX('名簿'!$D$5:$D$49,MATCH(INDEX('調整・決定'!$C$6:$H$29,BR3-1,BR2),'名簿'!$P$5:$P$49,0)),""),4)="空けたい",1,0))</f>
        <v/>
      </c>
      <c r="BS108">
        <f>IF(OR(BR106=0,INDEX('調整・決定'!$C$6:$H$29,BS3-1,BS2)=""),0,IF(RIGHT(IFERROR(INDEX('名簿'!$D$5:$D$49,MATCH(INDEX('調整・決定'!$C$6:$H$29,BS3-1,BS2),'名簿'!$P$5:$P$49,0)),""),4)="空けたい",1,0))</f>
        <v/>
      </c>
      <c r="BT108">
        <f>IF(OR(BS106=0,INDEX('調整・決定'!$C$6:$H$29,BT3-1,BT2)=""),0,IF(RIGHT(IFERROR(INDEX('名簿'!$D$5:$D$49,MATCH(INDEX('調整・決定'!$C$6:$H$29,BT3-1,BT2),'名簿'!$P$5:$P$49,0)),""),4)="空けたい",1,0))</f>
        <v/>
      </c>
      <c r="BU108">
        <f>IF(OR(BT106=0,INDEX('調整・決定'!$C$6:$H$29,BU3-1,BU2)=""),0,IF(RIGHT(IFERROR(INDEX('名簿'!$D$5:$D$49,MATCH(INDEX('調整・決定'!$C$6:$H$29,BU3-1,BU2),'名簿'!$P$5:$P$49,0)),""),4)="空けたい",1,0))</f>
        <v/>
      </c>
      <c r="BV108">
        <f>IF(OR(BU106=0,INDEX('調整・決定'!$C$6:$H$29,BV3-1,BV2)=""),0,IF(RIGHT(IFERROR(INDEX('名簿'!$D$5:$D$49,MATCH(INDEX('調整・決定'!$C$6:$H$29,BV3-1,BV2),'名簿'!$P$5:$P$49,0)),""),4)="空けたい",1,0))</f>
        <v/>
      </c>
      <c r="BW108">
        <f>IF(OR(BV106=0,INDEX('調整・決定'!$C$6:$H$29,BW3-1,BW2)=""),0,IF(RIGHT(IFERROR(INDEX('名簿'!$D$5:$D$49,MATCH(INDEX('調整・決定'!$C$6:$H$29,BW3-1,BW2),'名簿'!$P$5:$P$49,0)),""),4)="空けたい",1,0))</f>
        <v/>
      </c>
      <c r="BX108" t="n">
        <v>0</v>
      </c>
      <c r="BY108">
        <f>IF(OR(BX106=0,INDEX('調整・決定'!$C$6:$H$29,BY3-1,BY2)=""),0,IF(RIGHT(IFERROR(INDEX('名簿'!$D$5:$D$49,MATCH(INDEX('調整・決定'!$C$6:$H$29,BY3-1,BY2),'名簿'!$P$5:$P$49,0)),""),4)="空けたい",1,0))</f>
        <v/>
      </c>
      <c r="BZ108">
        <f>IF(OR(BY106=0,INDEX('調整・決定'!$C$6:$H$29,BZ3-1,BZ2)=""),0,IF(RIGHT(IFERROR(INDEX('名簿'!$D$5:$D$49,MATCH(INDEX('調整・決定'!$C$6:$H$29,BZ3-1,BZ2),'名簿'!$P$5:$P$49,0)),""),4)="空けたい",1,0))</f>
        <v/>
      </c>
      <c r="CA108">
        <f>IF(OR(BZ106=0,INDEX('調整・決定'!$C$6:$H$29,CA3-1,CA2)=""),0,IF(RIGHT(IFERROR(INDEX('名簿'!$D$5:$D$49,MATCH(INDEX('調整・決定'!$C$6:$H$29,CA3-1,CA2),'名簿'!$P$5:$P$49,0)),""),4)="空けたい",1,0))</f>
        <v/>
      </c>
      <c r="CB108">
        <f>IF(OR(CA106=0,INDEX('調整・決定'!$C$6:$H$29,CB3-1,CB2)=""),0,IF(RIGHT(IFERROR(INDEX('名簿'!$D$5:$D$49,MATCH(INDEX('調整・決定'!$C$6:$H$29,CB3-1,CB2),'名簿'!$P$5:$P$49,0)),""),4)="空けたい",1,0))</f>
        <v/>
      </c>
      <c r="CC108">
        <f>IF(OR(CB106=0,INDEX('調整・決定'!$C$6:$H$29,CC3-1,CC2)=""),0,IF(RIGHT(IFERROR(INDEX('名簿'!$D$5:$D$49,MATCH(INDEX('調整・決定'!$C$6:$H$29,CC3-1,CC2),'名簿'!$P$5:$P$49,0)),""),4)="空けたい",1,0))</f>
        <v/>
      </c>
      <c r="CD108">
        <f>IF(OR(CC106=0,INDEX('調整・決定'!$C$6:$H$29,CD3-1,CD2)=""),0,IF(RIGHT(IFERROR(INDEX('名簿'!$D$5:$D$49,MATCH(INDEX('調整・決定'!$C$6:$H$29,CD3-1,CD2),'名簿'!$P$5:$P$49,0)),""),4)="空けたい",1,0))</f>
        <v/>
      </c>
      <c r="CE108">
        <f>IF(OR(CD106=0,INDEX('調整・決定'!$C$6:$H$29,CE3-1,CE2)=""),0,IF(RIGHT(IFERROR(INDEX('名簿'!$D$5:$D$49,MATCH(INDEX('調整・決定'!$C$6:$H$29,CE3-1,CE2),'名簿'!$P$5:$P$49,0)),""),4)="空けたい",1,0))</f>
        <v/>
      </c>
      <c r="CF108">
        <f>IF(OR(CE106=0,INDEX('調整・決定'!$C$6:$H$29,CF3-1,CF2)=""),0,IF(RIGHT(IFERROR(INDEX('名簿'!$D$5:$D$49,MATCH(INDEX('調整・決定'!$C$6:$H$29,CF3-1,CF2),'名簿'!$P$5:$P$49,0)),""),4)="空けたい",1,0))</f>
        <v/>
      </c>
      <c r="CG108">
        <f>IF(OR(CF106=0,INDEX('調整・決定'!$C$6:$H$29,CG3-1,CG2)=""),0,IF(RIGHT(IFERROR(INDEX('名簿'!$D$5:$D$49,MATCH(INDEX('調整・決定'!$C$6:$H$29,CG3-1,CG2),'名簿'!$P$5:$P$49,0)),""),4)="空けたい",1,0))</f>
        <v/>
      </c>
      <c r="CH108">
        <f>IF(OR(CG106=0,INDEX('調整・決定'!$C$6:$H$29,CH3-1,CH2)=""),0,IF(RIGHT(IFERROR(INDEX('名簿'!$D$5:$D$49,MATCH(INDEX('調整・決定'!$C$6:$H$29,CH3-1,CH2),'名簿'!$P$5:$P$49,0)),""),4)="空けたい",1,0))</f>
        <v/>
      </c>
      <c r="CI108">
        <f>IF(OR(CH106=0,INDEX('調整・決定'!$C$6:$H$29,CI3-1,CI2)=""),0,IF(RIGHT(IFERROR(INDEX('名簿'!$D$5:$D$49,MATCH(INDEX('調整・決定'!$C$6:$H$29,CI3-1,CI2),'名簿'!$P$5:$P$49,0)),""),4)="空けたい",1,0))</f>
        <v/>
      </c>
      <c r="CJ108">
        <f>IF(OR(CI106=0,INDEX('調整・決定'!$C$6:$H$29,CJ3-1,CJ2)=""),0,IF(RIGHT(IFERROR(INDEX('名簿'!$D$5:$D$49,MATCH(INDEX('調整・決定'!$C$6:$H$29,CJ3-1,CJ2),'名簿'!$P$5:$P$49,0)),""),4)="空けたい",1,0))</f>
        <v/>
      </c>
      <c r="CK108">
        <f>IF(OR(CJ106=0,INDEX('調整・決定'!$C$6:$H$29,CK3-1,CK2)=""),0,IF(RIGHT(IFERROR(INDEX('名簿'!$D$5:$D$49,MATCH(INDEX('調整・決定'!$C$6:$H$29,CK3-1,CK2),'名簿'!$P$5:$P$49,0)),""),4)="空けたい",1,0))</f>
        <v/>
      </c>
      <c r="CL108">
        <f>IF(OR(CK106=0,INDEX('調整・決定'!$C$6:$H$29,CL3-1,CL2)=""),0,IF(RIGHT(IFERROR(INDEX('名簿'!$D$5:$D$49,MATCH(INDEX('調整・決定'!$C$6:$H$29,CL3-1,CL2),'名簿'!$P$5:$P$49,0)),""),4)="空けたい",1,0))</f>
        <v/>
      </c>
      <c r="CM108">
        <f>IF(OR(CL106=0,INDEX('調整・決定'!$C$6:$H$29,CM3-1,CM2)=""),0,IF(RIGHT(IFERROR(INDEX('名簿'!$D$5:$D$49,MATCH(INDEX('調整・決定'!$C$6:$H$29,CM3-1,CM2),'名簿'!$P$5:$P$49,0)),""),4)="空けたい",1,0))</f>
        <v/>
      </c>
      <c r="CN108">
        <f>IF(OR(CM106=0,INDEX('調整・決定'!$C$6:$H$29,CN3-1,CN2)=""),0,IF(RIGHT(IFERROR(INDEX('名簿'!$D$5:$D$49,MATCH(INDEX('調整・決定'!$C$6:$H$29,CN3-1,CN2),'名簿'!$P$5:$P$49,0)),""),4)="空けたい",1,0))</f>
        <v/>
      </c>
      <c r="CO108">
        <f>IF(OR(CN106=0,INDEX('調整・決定'!$C$6:$H$29,CO3-1,CO2)=""),0,IF(RIGHT(IFERROR(INDEX('名簿'!$D$5:$D$49,MATCH(INDEX('調整・決定'!$C$6:$H$29,CO3-1,CO2),'名簿'!$P$5:$P$49,0)),""),4)="空けたい",1,0))</f>
        <v/>
      </c>
      <c r="CP108">
        <f>IF(OR(CO106=0,INDEX('調整・決定'!$C$6:$H$29,CP3-1,CP2)=""),0,IF(RIGHT(IFERROR(INDEX('名簿'!$D$5:$D$49,MATCH(INDEX('調整・決定'!$C$6:$H$29,CP3-1,CP2),'名簿'!$P$5:$P$49,0)),""),4)="空けたい",1,0))</f>
        <v/>
      </c>
      <c r="CQ108">
        <f>IF(OR(CP106=0,INDEX('調整・決定'!$C$6:$H$29,CQ3-1,CQ2)=""),0,IF(RIGHT(IFERROR(INDEX('名簿'!$D$5:$D$49,MATCH(INDEX('調整・決定'!$C$6:$H$29,CQ3-1,CQ2),'名簿'!$P$5:$P$49,0)),""),4)="空けたい",1,0))</f>
        <v/>
      </c>
      <c r="CR108">
        <f>IF(OR(CQ106=0,INDEX('調整・決定'!$C$6:$H$29,CR3-1,CR2)=""),0,IF(RIGHT(IFERROR(INDEX('名簿'!$D$5:$D$49,MATCH(INDEX('調整・決定'!$C$6:$H$29,CR3-1,CR2),'名簿'!$P$5:$P$49,0)),""),4)="空けたい",1,0))</f>
        <v/>
      </c>
      <c r="CS108">
        <f>IF(OR(CR106=0,INDEX('調整・決定'!$C$6:$H$29,CS3-1,CS2)=""),0,IF(RIGHT(IFERROR(INDEX('名簿'!$D$5:$D$49,MATCH(INDEX('調整・決定'!$C$6:$H$29,CS3-1,CS2),'名簿'!$P$5:$P$49,0)),""),4)="空けたい",1,0))</f>
        <v/>
      </c>
      <c r="CT108">
        <f>IF(OR(CS106=0,INDEX('調整・決定'!$C$6:$H$29,CT3-1,CT2)=""),0,IF(RIGHT(IFERROR(INDEX('名簿'!$D$5:$D$49,MATCH(INDEX('調整・決定'!$C$6:$H$29,CT3-1,CT2),'名簿'!$P$5:$P$49,0)),""),4)="空けたい",1,0))</f>
        <v/>
      </c>
      <c r="CU108">
        <f>IF(OR(CT106=0,INDEX('調整・決定'!$C$6:$H$29,CU3-1,CU2)=""),0,IF(RIGHT(IFERROR(INDEX('名簿'!$D$5:$D$49,MATCH(INDEX('調整・決定'!$C$6:$H$29,CU3-1,CU2),'名簿'!$P$5:$P$49,0)),""),4)="空けたい",1,0))</f>
        <v/>
      </c>
      <c r="CV108" t="n">
        <v>0</v>
      </c>
      <c r="CW108">
        <f>IF(OR(CV106=0,INDEX('調整・決定'!$C$6:$H$29,CW3-1,CW2)=""),0,IF(RIGHT(IFERROR(INDEX('名簿'!$D$5:$D$49,MATCH(INDEX('調整・決定'!$C$6:$H$29,CW3-1,CW2),'名簿'!$P$5:$P$49,0)),""),4)="空けたい",1,0))</f>
        <v/>
      </c>
      <c r="CX108">
        <f>IF(OR(CW106=0,INDEX('調整・決定'!$C$6:$H$29,CX3-1,CX2)=""),0,IF(RIGHT(IFERROR(INDEX('名簿'!$D$5:$D$49,MATCH(INDEX('調整・決定'!$C$6:$H$29,CX3-1,CX2),'名簿'!$P$5:$P$49,0)),""),4)="空けたい",1,0))</f>
        <v/>
      </c>
      <c r="CY108">
        <f>IF(OR(CX106=0,INDEX('調整・決定'!$C$6:$H$29,CY3-1,CY2)=""),0,IF(RIGHT(IFERROR(INDEX('名簿'!$D$5:$D$49,MATCH(INDEX('調整・決定'!$C$6:$H$29,CY3-1,CY2),'名簿'!$P$5:$P$49,0)),""),4)="空けたい",1,0))</f>
        <v/>
      </c>
      <c r="CZ108">
        <f>IF(OR(CY106=0,INDEX('調整・決定'!$C$6:$H$29,CZ3-1,CZ2)=""),0,IF(RIGHT(IFERROR(INDEX('名簿'!$D$5:$D$49,MATCH(INDEX('調整・決定'!$C$6:$H$29,CZ3-1,CZ2),'名簿'!$P$5:$P$49,0)),""),4)="空けたい",1,0))</f>
        <v/>
      </c>
      <c r="DA108">
        <f>IF(OR(CZ106=0,INDEX('調整・決定'!$C$6:$H$29,DA3-1,DA2)=""),0,IF(RIGHT(IFERROR(INDEX('名簿'!$D$5:$D$49,MATCH(INDEX('調整・決定'!$C$6:$H$29,DA3-1,DA2),'名簿'!$P$5:$P$49,0)),""),4)="空けたい",1,0))</f>
        <v/>
      </c>
      <c r="DB108">
        <f>IF(OR(DA106=0,INDEX('調整・決定'!$C$6:$H$29,DB3-1,DB2)=""),0,IF(RIGHT(IFERROR(INDEX('名簿'!$D$5:$D$49,MATCH(INDEX('調整・決定'!$C$6:$H$29,DB3-1,DB2),'名簿'!$P$5:$P$49,0)),""),4)="空けたい",1,0))</f>
        <v/>
      </c>
      <c r="DC108">
        <f>IF(OR(DB106=0,INDEX('調整・決定'!$C$6:$H$29,DC3-1,DC2)=""),0,IF(RIGHT(IFERROR(INDEX('名簿'!$D$5:$D$49,MATCH(INDEX('調整・決定'!$C$6:$H$29,DC3-1,DC2),'名簿'!$P$5:$P$49,0)),""),4)="空けたい",1,0))</f>
        <v/>
      </c>
      <c r="DD108">
        <f>IF(OR(DC106=0,INDEX('調整・決定'!$C$6:$H$29,DD3-1,DD2)=""),0,IF(RIGHT(IFERROR(INDEX('名簿'!$D$5:$D$49,MATCH(INDEX('調整・決定'!$C$6:$H$29,DD3-1,DD2),'名簿'!$P$5:$P$49,0)),""),4)="空けたい",1,0))</f>
        <v/>
      </c>
      <c r="DE108">
        <f>IF(OR(DD106=0,INDEX('調整・決定'!$C$6:$H$29,DE3-1,DE2)=""),0,IF(RIGHT(IFERROR(INDEX('名簿'!$D$5:$D$49,MATCH(INDEX('調整・決定'!$C$6:$H$29,DE3-1,DE2),'名簿'!$P$5:$P$49,0)),""),4)="空けたい",1,0))</f>
        <v/>
      </c>
      <c r="DF108">
        <f>IF(OR(DE106=0,INDEX('調整・決定'!$C$6:$H$29,DF3-1,DF2)=""),0,IF(RIGHT(IFERROR(INDEX('名簿'!$D$5:$D$49,MATCH(INDEX('調整・決定'!$C$6:$H$29,DF3-1,DF2),'名簿'!$P$5:$P$49,0)),""),4)="空けたい",1,0))</f>
        <v/>
      </c>
      <c r="DG108">
        <f>IF(OR(DF106=0,INDEX('調整・決定'!$C$6:$H$29,DG3-1,DG2)=""),0,IF(RIGHT(IFERROR(INDEX('名簿'!$D$5:$D$49,MATCH(INDEX('調整・決定'!$C$6:$H$29,DG3-1,DG2),'名簿'!$P$5:$P$49,0)),""),4)="空けたい",1,0))</f>
        <v/>
      </c>
      <c r="DH108">
        <f>IF(OR(DG106=0,INDEX('調整・決定'!$C$6:$H$29,DH3-1,DH2)=""),0,IF(RIGHT(IFERROR(INDEX('名簿'!$D$5:$D$49,MATCH(INDEX('調整・決定'!$C$6:$H$29,DH3-1,DH2),'名簿'!$P$5:$P$49,0)),""),4)="空けたい",1,0))</f>
        <v/>
      </c>
      <c r="DI108">
        <f>IF(OR(DH106=0,INDEX('調整・決定'!$C$6:$H$29,DI3-1,DI2)=""),0,IF(RIGHT(IFERROR(INDEX('名簿'!$D$5:$D$49,MATCH(INDEX('調整・決定'!$C$6:$H$29,DI3-1,DI2),'名簿'!$P$5:$P$49,0)),""),4)="空けたい",1,0))</f>
        <v/>
      </c>
      <c r="DJ108">
        <f>IF(OR(DI106=0,INDEX('調整・決定'!$C$6:$H$29,DJ3-1,DJ2)=""),0,IF(RIGHT(IFERROR(INDEX('名簿'!$D$5:$D$49,MATCH(INDEX('調整・決定'!$C$6:$H$29,DJ3-1,DJ2),'名簿'!$P$5:$P$49,0)),""),4)="空けたい",1,0))</f>
        <v/>
      </c>
      <c r="DK108">
        <f>IF(OR(DJ106=0,INDEX('調整・決定'!$C$6:$H$29,DK3-1,DK2)=""),0,IF(RIGHT(IFERROR(INDEX('名簿'!$D$5:$D$49,MATCH(INDEX('調整・決定'!$C$6:$H$29,DK3-1,DK2),'名簿'!$P$5:$P$49,0)),""),4)="空けたい",1,0))</f>
        <v/>
      </c>
      <c r="DL108">
        <f>IF(OR(DK106=0,INDEX('調整・決定'!$C$6:$H$29,DL3-1,DL2)=""),0,IF(RIGHT(IFERROR(INDEX('名簿'!$D$5:$D$49,MATCH(INDEX('調整・決定'!$C$6:$H$29,DL3-1,DL2),'名簿'!$P$5:$P$49,0)),""),4)="空けたい",1,0))</f>
        <v/>
      </c>
      <c r="DM108">
        <f>IF(OR(DL106=0,INDEX('調整・決定'!$C$6:$H$29,DM3-1,DM2)=""),0,IF(RIGHT(IFERROR(INDEX('名簿'!$D$5:$D$49,MATCH(INDEX('調整・決定'!$C$6:$H$29,DM3-1,DM2),'名簿'!$P$5:$P$49,0)),""),4)="空けたい",1,0))</f>
        <v/>
      </c>
      <c r="DN108">
        <f>IF(OR(DM106=0,INDEX('調整・決定'!$C$6:$H$29,DN3-1,DN2)=""),0,IF(RIGHT(IFERROR(INDEX('名簿'!$D$5:$D$49,MATCH(INDEX('調整・決定'!$C$6:$H$29,DN3-1,DN2),'名簿'!$P$5:$P$49,0)),""),4)="空けたい",1,0))</f>
        <v/>
      </c>
      <c r="DO108">
        <f>IF(OR(DN106=0,INDEX('調整・決定'!$C$6:$H$29,DO3-1,DO2)=""),0,IF(RIGHT(IFERROR(INDEX('名簿'!$D$5:$D$49,MATCH(INDEX('調整・決定'!$C$6:$H$29,DO3-1,DO2),'名簿'!$P$5:$P$49,0)),""),4)="空けたい",1,0))</f>
        <v/>
      </c>
      <c r="DP108">
        <f>IF(OR(DO106=0,INDEX('調整・決定'!$C$6:$H$29,DP3-1,DP2)=""),0,IF(RIGHT(IFERROR(INDEX('名簿'!$D$5:$D$49,MATCH(INDEX('調整・決定'!$C$6:$H$29,DP3-1,DP2),'名簿'!$P$5:$P$49,0)),""),4)="空けたい",1,0))</f>
        <v/>
      </c>
      <c r="DQ108">
        <f>IF(OR(DP106=0,INDEX('調整・決定'!$C$6:$H$29,DQ3-1,DQ2)=""),0,IF(RIGHT(IFERROR(INDEX('名簿'!$D$5:$D$49,MATCH(INDEX('調整・決定'!$C$6:$H$29,DQ3-1,DQ2),'名簿'!$P$5:$P$49,0)),""),4)="空けたい",1,0))</f>
        <v/>
      </c>
      <c r="DR108">
        <f>IF(OR(DQ106=0,INDEX('調整・決定'!$C$6:$H$29,DR3-1,DR2)=""),0,IF(RIGHT(IFERROR(INDEX('名簿'!$D$5:$D$49,MATCH(INDEX('調整・決定'!$C$6:$H$29,DR3-1,DR2),'名簿'!$P$5:$P$49,0)),""),4)="空けたい",1,0))</f>
        <v/>
      </c>
      <c r="DS108">
        <f>IF(OR(DR106=0,INDEX('調整・決定'!$C$6:$H$29,DS3-1,DS2)=""),0,IF(RIGHT(IFERROR(INDEX('名簿'!$D$5:$D$49,MATCH(INDEX('調整・決定'!$C$6:$H$29,DS3-1,DS2),'名簿'!$P$5:$P$49,0)),""),4)="空けたい",1,0))</f>
        <v/>
      </c>
      <c r="DT108" t="n">
        <v>0</v>
      </c>
      <c r="DU108">
        <f>IF(OR(DT106=0,INDEX('調整・決定'!$C$6:$H$29,DU3-1,DU2)=""),0,IF(RIGHT(IFERROR(INDEX('名簿'!$D$5:$D$49,MATCH(INDEX('調整・決定'!$C$6:$H$29,DU3-1,DU2),'名簿'!$P$5:$P$49,0)),""),4)="空けたい",1,0))</f>
        <v/>
      </c>
      <c r="DV108">
        <f>IF(OR(DU106=0,INDEX('調整・決定'!$C$6:$H$29,DV3-1,DV2)=""),0,IF(RIGHT(IFERROR(INDEX('名簿'!$D$5:$D$49,MATCH(INDEX('調整・決定'!$C$6:$H$29,DV3-1,DV2),'名簿'!$P$5:$P$49,0)),""),4)="空けたい",1,0))</f>
        <v/>
      </c>
      <c r="DW108">
        <f>IF(OR(DV106=0,INDEX('調整・決定'!$C$6:$H$29,DW3-1,DW2)=""),0,IF(RIGHT(IFERROR(INDEX('名簿'!$D$5:$D$49,MATCH(INDEX('調整・決定'!$C$6:$H$29,DW3-1,DW2),'名簿'!$P$5:$P$49,0)),""),4)="空けたい",1,0))</f>
        <v/>
      </c>
      <c r="DX108">
        <f>IF(OR(DW106=0,INDEX('調整・決定'!$C$6:$H$29,DX3-1,DX2)=""),0,IF(RIGHT(IFERROR(INDEX('名簿'!$D$5:$D$49,MATCH(INDEX('調整・決定'!$C$6:$H$29,DX3-1,DX2),'名簿'!$P$5:$P$49,0)),""),4)="空けたい",1,0))</f>
        <v/>
      </c>
      <c r="DY108">
        <f>IF(OR(DX106=0,INDEX('調整・決定'!$C$6:$H$29,DY3-1,DY2)=""),0,IF(RIGHT(IFERROR(INDEX('名簿'!$D$5:$D$49,MATCH(INDEX('調整・決定'!$C$6:$H$29,DY3-1,DY2),'名簿'!$P$5:$P$49,0)),""),4)="空けたい",1,0))</f>
        <v/>
      </c>
      <c r="DZ108">
        <f>IF(OR(DY106=0,INDEX('調整・決定'!$C$6:$H$29,DZ3-1,DZ2)=""),0,IF(RIGHT(IFERROR(INDEX('名簿'!$D$5:$D$49,MATCH(INDEX('調整・決定'!$C$6:$H$29,DZ3-1,DZ2),'名簿'!$P$5:$P$49,0)),""),4)="空けたい",1,0))</f>
        <v/>
      </c>
      <c r="EA108">
        <f>IF(OR(DZ106=0,INDEX('調整・決定'!$C$6:$H$29,EA3-1,EA2)=""),0,IF(RIGHT(IFERROR(INDEX('名簿'!$D$5:$D$49,MATCH(INDEX('調整・決定'!$C$6:$H$29,EA3-1,EA2),'名簿'!$P$5:$P$49,0)),""),4)="空けたい",1,0))</f>
        <v/>
      </c>
      <c r="EB108">
        <f>IF(OR(EA106=0,INDEX('調整・決定'!$C$6:$H$29,EB3-1,EB2)=""),0,IF(RIGHT(IFERROR(INDEX('名簿'!$D$5:$D$49,MATCH(INDEX('調整・決定'!$C$6:$H$29,EB3-1,EB2),'名簿'!$P$5:$P$49,0)),""),4)="空けたい",1,0))</f>
        <v/>
      </c>
      <c r="EC108">
        <f>IF(OR(EB106=0,INDEX('調整・決定'!$C$6:$H$29,EC3-1,EC2)=""),0,IF(RIGHT(IFERROR(INDEX('名簿'!$D$5:$D$49,MATCH(INDEX('調整・決定'!$C$6:$H$29,EC3-1,EC2),'名簿'!$P$5:$P$49,0)),""),4)="空けたい",1,0))</f>
        <v/>
      </c>
      <c r="ED108">
        <f>IF(OR(EC106=0,INDEX('調整・決定'!$C$6:$H$29,ED3-1,ED2)=""),0,IF(RIGHT(IFERROR(INDEX('名簿'!$D$5:$D$49,MATCH(INDEX('調整・決定'!$C$6:$H$29,ED3-1,ED2),'名簿'!$P$5:$P$49,0)),""),4)="空けたい",1,0))</f>
        <v/>
      </c>
      <c r="EE108">
        <f>IF(OR(ED106=0,INDEX('調整・決定'!$C$6:$H$29,EE3-1,EE2)=""),0,IF(RIGHT(IFERROR(INDEX('名簿'!$D$5:$D$49,MATCH(INDEX('調整・決定'!$C$6:$H$29,EE3-1,EE2),'名簿'!$P$5:$P$49,0)),""),4)="空けたい",1,0))</f>
        <v/>
      </c>
      <c r="EF108">
        <f>IF(OR(EE106=0,INDEX('調整・決定'!$C$6:$H$29,EF3-1,EF2)=""),0,IF(RIGHT(IFERROR(INDEX('名簿'!$D$5:$D$49,MATCH(INDEX('調整・決定'!$C$6:$H$29,EF3-1,EF2),'名簿'!$P$5:$P$49,0)),""),4)="空けたい",1,0))</f>
        <v/>
      </c>
      <c r="EG108">
        <f>IF(OR(EF106=0,INDEX('調整・決定'!$C$6:$H$29,EG3-1,EG2)=""),0,IF(RIGHT(IFERROR(INDEX('名簿'!$D$5:$D$49,MATCH(INDEX('調整・決定'!$C$6:$H$29,EG3-1,EG2),'名簿'!$P$5:$P$49,0)),""),4)="空けたい",1,0))</f>
        <v/>
      </c>
      <c r="EH108">
        <f>IF(OR(EG106=0,INDEX('調整・決定'!$C$6:$H$29,EH3-1,EH2)=""),0,IF(RIGHT(IFERROR(INDEX('名簿'!$D$5:$D$49,MATCH(INDEX('調整・決定'!$C$6:$H$29,EH3-1,EH2),'名簿'!$P$5:$P$49,0)),""),4)="空けたい",1,0))</f>
        <v/>
      </c>
      <c r="EI108">
        <f>IF(OR(EH106=0,INDEX('調整・決定'!$C$6:$H$29,EI3-1,EI2)=""),0,IF(RIGHT(IFERROR(INDEX('名簿'!$D$5:$D$49,MATCH(INDEX('調整・決定'!$C$6:$H$29,EI3-1,EI2),'名簿'!$P$5:$P$49,0)),""),4)="空けたい",1,0))</f>
        <v/>
      </c>
      <c r="EJ108">
        <f>IF(OR(EI106=0,INDEX('調整・決定'!$C$6:$H$29,EJ3-1,EJ2)=""),0,IF(RIGHT(IFERROR(INDEX('名簿'!$D$5:$D$49,MATCH(INDEX('調整・決定'!$C$6:$H$29,EJ3-1,EJ2),'名簿'!$P$5:$P$49,0)),""),4)="空けたい",1,0))</f>
        <v/>
      </c>
      <c r="EK108">
        <f>IF(OR(EJ106=0,INDEX('調整・決定'!$C$6:$H$29,EK3-1,EK2)=""),0,IF(RIGHT(IFERROR(INDEX('名簿'!$D$5:$D$49,MATCH(INDEX('調整・決定'!$C$6:$H$29,EK3-1,EK2),'名簿'!$P$5:$P$49,0)),""),4)="空けたい",1,0))</f>
        <v/>
      </c>
      <c r="EL108">
        <f>IF(OR(EK106=0,INDEX('調整・決定'!$C$6:$H$29,EL3-1,EL2)=""),0,IF(RIGHT(IFERROR(INDEX('名簿'!$D$5:$D$49,MATCH(INDEX('調整・決定'!$C$6:$H$29,EL3-1,EL2),'名簿'!$P$5:$P$49,0)),""),4)="空けたい",1,0))</f>
        <v/>
      </c>
      <c r="EM108">
        <f>IF(OR(EL106=0,INDEX('調整・決定'!$C$6:$H$29,EM3-1,EM2)=""),0,IF(RIGHT(IFERROR(INDEX('名簿'!$D$5:$D$49,MATCH(INDEX('調整・決定'!$C$6:$H$29,EM3-1,EM2),'名簿'!$P$5:$P$49,0)),""),4)="空けたい",1,0))</f>
        <v/>
      </c>
      <c r="EN108">
        <f>IF(OR(EM106=0,INDEX('調整・決定'!$C$6:$H$29,EN3-1,EN2)=""),0,IF(RIGHT(IFERROR(INDEX('名簿'!$D$5:$D$49,MATCH(INDEX('調整・決定'!$C$6:$H$29,EN3-1,EN2),'名簿'!$P$5:$P$49,0)),""),4)="空けたい",1,0))</f>
        <v/>
      </c>
      <c r="EO108">
        <f>IF(OR(EN106=0,INDEX('調整・決定'!$C$6:$H$29,EO3-1,EO2)=""),0,IF(RIGHT(IFERROR(INDEX('名簿'!$D$5:$D$49,MATCH(INDEX('調整・決定'!$C$6:$H$29,EO3-1,EO2),'名簿'!$P$5:$P$49,0)),""),4)="空けたい",1,0))</f>
        <v/>
      </c>
      <c r="EP108">
        <f>IF(OR(EO106=0,INDEX('調整・決定'!$C$6:$H$29,EP3-1,EP2)=""),0,IF(RIGHT(IFERROR(INDEX('名簿'!$D$5:$D$49,MATCH(INDEX('調整・決定'!$C$6:$H$29,EP3-1,EP2),'名簿'!$P$5:$P$49,0)),""),4)="空けたい",1,0))</f>
        <v/>
      </c>
      <c r="EQ108">
        <f>IF(OR(EP106=0,INDEX('調整・決定'!$C$6:$H$29,EQ3-1,EQ2)=""),0,IF(RIGHT(IFERROR(INDEX('名簿'!$D$5:$D$49,MATCH(INDEX('調整・決定'!$C$6:$H$29,EQ3-1,EQ2),'名簿'!$P$5:$P$49,0)),""),4)="空けたい",1,0))</f>
        <v/>
      </c>
    </row>
    <row r="109">
      <c r="C109" t="inlineStr">
        <is>
          <t>人がいる</t>
        </is>
      </c>
      <c r="D109">
        <f>IF(INDEX('調整・決定'!$C$6:$H$29,D3,D2)&lt;&gt;"",1,0)</f>
        <v/>
      </c>
      <c r="E109">
        <f>IF(INDEX('調整・決定'!$C$6:$H$29,E3,E2)&lt;&gt;"",1,0)</f>
        <v/>
      </c>
      <c r="F109">
        <f>IF(INDEX('調整・決定'!$C$6:$H$29,F3,F2)&lt;&gt;"",1,0)</f>
        <v/>
      </c>
      <c r="G109">
        <f>IF(INDEX('調整・決定'!$C$6:$H$29,G3,G2)&lt;&gt;"",1,0)</f>
        <v/>
      </c>
      <c r="H109">
        <f>IF(INDEX('調整・決定'!$C$6:$H$29,H3,H2)&lt;&gt;"",1,0)</f>
        <v/>
      </c>
      <c r="I109">
        <f>IF(INDEX('調整・決定'!$C$6:$H$29,I3,I2)&lt;&gt;"",1,0)</f>
        <v/>
      </c>
      <c r="J109">
        <f>IF(INDEX('調整・決定'!$C$6:$H$29,J3,J2)&lt;&gt;"",1,0)</f>
        <v/>
      </c>
      <c r="K109">
        <f>IF(INDEX('調整・決定'!$C$6:$H$29,K3,K2)&lt;&gt;"",1,0)</f>
        <v/>
      </c>
      <c r="L109">
        <f>IF(INDEX('調整・決定'!$C$6:$H$29,L3,L2)&lt;&gt;"",1,0)</f>
        <v/>
      </c>
      <c r="M109">
        <f>IF(INDEX('調整・決定'!$C$6:$H$29,M3,M2)&lt;&gt;"",1,0)</f>
        <v/>
      </c>
      <c r="N109">
        <f>IF(INDEX('調整・決定'!$C$6:$H$29,N3,N2)&lt;&gt;"",1,0)</f>
        <v/>
      </c>
      <c r="O109">
        <f>IF(INDEX('調整・決定'!$C$6:$H$29,O3,O2)&lt;&gt;"",1,0)</f>
        <v/>
      </c>
      <c r="P109">
        <f>IF(INDEX('調整・決定'!$C$6:$H$29,P3,P2)&lt;&gt;"",1,0)</f>
        <v/>
      </c>
      <c r="Q109">
        <f>IF(INDEX('調整・決定'!$C$6:$H$29,Q3,Q2)&lt;&gt;"",1,0)</f>
        <v/>
      </c>
      <c r="R109">
        <f>IF(INDEX('調整・決定'!$C$6:$H$29,R3,R2)&lt;&gt;"",1,0)</f>
        <v/>
      </c>
      <c r="S109">
        <f>IF(INDEX('調整・決定'!$C$6:$H$29,S3,S2)&lt;&gt;"",1,0)</f>
        <v/>
      </c>
      <c r="T109">
        <f>IF(INDEX('調整・決定'!$C$6:$H$29,T3,T2)&lt;&gt;"",1,0)</f>
        <v/>
      </c>
      <c r="U109">
        <f>IF(INDEX('調整・決定'!$C$6:$H$29,U3,U2)&lt;&gt;"",1,0)</f>
        <v/>
      </c>
      <c r="V109">
        <f>IF(INDEX('調整・決定'!$C$6:$H$29,V3,V2)&lt;&gt;"",1,0)</f>
        <v/>
      </c>
      <c r="W109">
        <f>IF(INDEX('調整・決定'!$C$6:$H$29,W3,W2)&lt;&gt;"",1,0)</f>
        <v/>
      </c>
      <c r="X109">
        <f>IF(INDEX('調整・決定'!$C$6:$H$29,X3,X2)&lt;&gt;"",1,0)</f>
        <v/>
      </c>
      <c r="Y109">
        <f>IF(INDEX('調整・決定'!$C$6:$H$29,Y3,Y2)&lt;&gt;"",1,0)</f>
        <v/>
      </c>
      <c r="Z109">
        <f>IF(INDEX('調整・決定'!$C$6:$H$29,Z3,Z2)&lt;&gt;"",1,0)</f>
        <v/>
      </c>
      <c r="AA109">
        <f>IF(INDEX('調整・決定'!$C$6:$H$29,AA3,AA2)&lt;&gt;"",1,0)</f>
        <v/>
      </c>
      <c r="AB109">
        <f>IF(INDEX('調整・決定'!$C$6:$H$29,AB3,AB2)&lt;&gt;"",1,0)</f>
        <v/>
      </c>
      <c r="AC109">
        <f>IF(INDEX('調整・決定'!$C$6:$H$29,AC3,AC2)&lt;&gt;"",1,0)</f>
        <v/>
      </c>
      <c r="AD109">
        <f>IF(INDEX('調整・決定'!$C$6:$H$29,AD3,AD2)&lt;&gt;"",1,0)</f>
        <v/>
      </c>
      <c r="AE109">
        <f>IF(INDEX('調整・決定'!$C$6:$H$29,AE3,AE2)&lt;&gt;"",1,0)</f>
        <v/>
      </c>
      <c r="AF109">
        <f>IF(INDEX('調整・決定'!$C$6:$H$29,AF3,AF2)&lt;&gt;"",1,0)</f>
        <v/>
      </c>
      <c r="AG109">
        <f>IF(INDEX('調整・決定'!$C$6:$H$29,AG3,AG2)&lt;&gt;"",1,0)</f>
        <v/>
      </c>
      <c r="AH109">
        <f>IF(INDEX('調整・決定'!$C$6:$H$29,AH3,AH2)&lt;&gt;"",1,0)</f>
        <v/>
      </c>
      <c r="AI109">
        <f>IF(INDEX('調整・決定'!$C$6:$H$29,AI3,AI2)&lt;&gt;"",1,0)</f>
        <v/>
      </c>
      <c r="AJ109">
        <f>IF(INDEX('調整・決定'!$C$6:$H$29,AJ3,AJ2)&lt;&gt;"",1,0)</f>
        <v/>
      </c>
      <c r="AK109">
        <f>IF(INDEX('調整・決定'!$C$6:$H$29,AK3,AK2)&lt;&gt;"",1,0)</f>
        <v/>
      </c>
      <c r="AL109">
        <f>IF(INDEX('調整・決定'!$C$6:$H$29,AL3,AL2)&lt;&gt;"",1,0)</f>
        <v/>
      </c>
      <c r="AM109">
        <f>IF(INDEX('調整・決定'!$C$6:$H$29,AM3,AM2)&lt;&gt;"",1,0)</f>
        <v/>
      </c>
      <c r="AN109">
        <f>IF(INDEX('調整・決定'!$C$6:$H$29,AN3,AN2)&lt;&gt;"",1,0)</f>
        <v/>
      </c>
      <c r="AO109">
        <f>IF(INDEX('調整・決定'!$C$6:$H$29,AO3,AO2)&lt;&gt;"",1,0)</f>
        <v/>
      </c>
      <c r="AP109">
        <f>IF(INDEX('調整・決定'!$C$6:$H$29,AP3,AP2)&lt;&gt;"",1,0)</f>
        <v/>
      </c>
      <c r="AQ109">
        <f>IF(INDEX('調整・決定'!$C$6:$H$29,AQ3,AQ2)&lt;&gt;"",1,0)</f>
        <v/>
      </c>
      <c r="AR109">
        <f>IF(INDEX('調整・決定'!$C$6:$H$29,AR3,AR2)&lt;&gt;"",1,0)</f>
        <v/>
      </c>
      <c r="AS109">
        <f>IF(INDEX('調整・決定'!$C$6:$H$29,AS3,AS2)&lt;&gt;"",1,0)</f>
        <v/>
      </c>
      <c r="AT109">
        <f>IF(INDEX('調整・決定'!$C$6:$H$29,AT3,AT2)&lt;&gt;"",1,0)</f>
        <v/>
      </c>
      <c r="AU109">
        <f>IF(INDEX('調整・決定'!$C$6:$H$29,AU3,AU2)&lt;&gt;"",1,0)</f>
        <v/>
      </c>
      <c r="AV109">
        <f>IF(INDEX('調整・決定'!$C$6:$H$29,AV3,AV2)&lt;&gt;"",1,0)</f>
        <v/>
      </c>
      <c r="AW109">
        <f>IF(INDEX('調整・決定'!$C$6:$H$29,AW3,AW2)&lt;&gt;"",1,0)</f>
        <v/>
      </c>
      <c r="AX109">
        <f>IF(INDEX('調整・決定'!$C$6:$H$29,AX3,AX2)&lt;&gt;"",1,0)</f>
        <v/>
      </c>
      <c r="AY109">
        <f>IF(INDEX('調整・決定'!$C$6:$H$29,AY3,AY2)&lt;&gt;"",1,0)</f>
        <v/>
      </c>
      <c r="AZ109">
        <f>IF(INDEX('調整・決定'!$C$6:$H$29,AZ3,AZ2)&lt;&gt;"",1,0)</f>
        <v/>
      </c>
      <c r="BA109">
        <f>IF(INDEX('調整・決定'!$C$6:$H$29,BA3,BA2)&lt;&gt;"",1,0)</f>
        <v/>
      </c>
      <c r="BB109">
        <f>IF(INDEX('調整・決定'!$C$6:$H$29,BB3,BB2)&lt;&gt;"",1,0)</f>
        <v/>
      </c>
      <c r="BC109">
        <f>IF(INDEX('調整・決定'!$C$6:$H$29,BC3,BC2)&lt;&gt;"",1,0)</f>
        <v/>
      </c>
      <c r="BD109">
        <f>IF(INDEX('調整・決定'!$C$6:$H$29,BD3,BD2)&lt;&gt;"",1,0)</f>
        <v/>
      </c>
      <c r="BE109">
        <f>IF(INDEX('調整・決定'!$C$6:$H$29,BE3,BE2)&lt;&gt;"",1,0)</f>
        <v/>
      </c>
      <c r="BF109">
        <f>IF(INDEX('調整・決定'!$C$6:$H$29,BF3,BF2)&lt;&gt;"",1,0)</f>
        <v/>
      </c>
      <c r="BG109">
        <f>IF(INDEX('調整・決定'!$C$6:$H$29,BG3,BG2)&lt;&gt;"",1,0)</f>
        <v/>
      </c>
      <c r="BH109">
        <f>IF(INDEX('調整・決定'!$C$6:$H$29,BH3,BH2)&lt;&gt;"",1,0)</f>
        <v/>
      </c>
      <c r="BI109">
        <f>IF(INDEX('調整・決定'!$C$6:$H$29,BI3,BI2)&lt;&gt;"",1,0)</f>
        <v/>
      </c>
      <c r="BJ109">
        <f>IF(INDEX('調整・決定'!$C$6:$H$29,BJ3,BJ2)&lt;&gt;"",1,0)</f>
        <v/>
      </c>
      <c r="BK109">
        <f>IF(INDEX('調整・決定'!$C$6:$H$29,BK3,BK2)&lt;&gt;"",1,0)</f>
        <v/>
      </c>
      <c r="BL109">
        <f>IF(INDEX('調整・決定'!$C$6:$H$29,BL3,BL2)&lt;&gt;"",1,0)</f>
        <v/>
      </c>
      <c r="BM109">
        <f>IF(INDEX('調整・決定'!$C$6:$H$29,BM3,BM2)&lt;&gt;"",1,0)</f>
        <v/>
      </c>
      <c r="BN109">
        <f>IF(INDEX('調整・決定'!$C$6:$H$29,BN3,BN2)&lt;&gt;"",1,0)</f>
        <v/>
      </c>
      <c r="BO109">
        <f>IF(INDEX('調整・決定'!$C$6:$H$29,BO3,BO2)&lt;&gt;"",1,0)</f>
        <v/>
      </c>
      <c r="BP109">
        <f>IF(INDEX('調整・決定'!$C$6:$H$29,BP3,BP2)&lt;&gt;"",1,0)</f>
        <v/>
      </c>
      <c r="BQ109">
        <f>IF(INDEX('調整・決定'!$C$6:$H$29,BQ3,BQ2)&lt;&gt;"",1,0)</f>
        <v/>
      </c>
      <c r="BR109">
        <f>IF(INDEX('調整・決定'!$C$6:$H$29,BR3,BR2)&lt;&gt;"",1,0)</f>
        <v/>
      </c>
      <c r="BS109">
        <f>IF(INDEX('調整・決定'!$C$6:$H$29,BS3,BS2)&lt;&gt;"",1,0)</f>
        <v/>
      </c>
      <c r="BT109">
        <f>IF(INDEX('調整・決定'!$C$6:$H$29,BT3,BT2)&lt;&gt;"",1,0)</f>
        <v/>
      </c>
      <c r="BU109">
        <f>IF(INDEX('調整・決定'!$C$6:$H$29,BU3,BU2)&lt;&gt;"",1,0)</f>
        <v/>
      </c>
      <c r="BV109">
        <f>IF(INDEX('調整・決定'!$C$6:$H$29,BV3,BV2)&lt;&gt;"",1,0)</f>
        <v/>
      </c>
      <c r="BW109">
        <f>IF(INDEX('調整・決定'!$C$6:$H$29,BW3,BW2)&lt;&gt;"",1,0)</f>
        <v/>
      </c>
      <c r="BX109">
        <f>IF(INDEX('調整・決定'!$C$6:$H$29,BX3,BX2)&lt;&gt;"",1,0)</f>
        <v/>
      </c>
      <c r="BY109">
        <f>IF(INDEX('調整・決定'!$C$6:$H$29,BY3,BY2)&lt;&gt;"",1,0)</f>
        <v/>
      </c>
      <c r="BZ109">
        <f>IF(INDEX('調整・決定'!$C$6:$H$29,BZ3,BZ2)&lt;&gt;"",1,0)</f>
        <v/>
      </c>
      <c r="CA109">
        <f>IF(INDEX('調整・決定'!$C$6:$H$29,CA3,CA2)&lt;&gt;"",1,0)</f>
        <v/>
      </c>
      <c r="CB109">
        <f>IF(INDEX('調整・決定'!$C$6:$H$29,CB3,CB2)&lt;&gt;"",1,0)</f>
        <v/>
      </c>
      <c r="CC109">
        <f>IF(INDEX('調整・決定'!$C$6:$H$29,CC3,CC2)&lt;&gt;"",1,0)</f>
        <v/>
      </c>
      <c r="CD109">
        <f>IF(INDEX('調整・決定'!$C$6:$H$29,CD3,CD2)&lt;&gt;"",1,0)</f>
        <v/>
      </c>
      <c r="CE109">
        <f>IF(INDEX('調整・決定'!$C$6:$H$29,CE3,CE2)&lt;&gt;"",1,0)</f>
        <v/>
      </c>
      <c r="CF109">
        <f>IF(INDEX('調整・決定'!$C$6:$H$29,CF3,CF2)&lt;&gt;"",1,0)</f>
        <v/>
      </c>
      <c r="CG109">
        <f>IF(INDEX('調整・決定'!$C$6:$H$29,CG3,CG2)&lt;&gt;"",1,0)</f>
        <v/>
      </c>
      <c r="CH109">
        <f>IF(INDEX('調整・決定'!$C$6:$H$29,CH3,CH2)&lt;&gt;"",1,0)</f>
        <v/>
      </c>
      <c r="CI109">
        <f>IF(INDEX('調整・決定'!$C$6:$H$29,CI3,CI2)&lt;&gt;"",1,0)</f>
        <v/>
      </c>
      <c r="CJ109">
        <f>IF(INDEX('調整・決定'!$C$6:$H$29,CJ3,CJ2)&lt;&gt;"",1,0)</f>
        <v/>
      </c>
      <c r="CK109">
        <f>IF(INDEX('調整・決定'!$C$6:$H$29,CK3,CK2)&lt;&gt;"",1,0)</f>
        <v/>
      </c>
      <c r="CL109">
        <f>IF(INDEX('調整・決定'!$C$6:$H$29,CL3,CL2)&lt;&gt;"",1,0)</f>
        <v/>
      </c>
      <c r="CM109">
        <f>IF(INDEX('調整・決定'!$C$6:$H$29,CM3,CM2)&lt;&gt;"",1,0)</f>
        <v/>
      </c>
      <c r="CN109">
        <f>IF(INDEX('調整・決定'!$C$6:$H$29,CN3,CN2)&lt;&gt;"",1,0)</f>
        <v/>
      </c>
      <c r="CO109">
        <f>IF(INDEX('調整・決定'!$C$6:$H$29,CO3,CO2)&lt;&gt;"",1,0)</f>
        <v/>
      </c>
      <c r="CP109">
        <f>IF(INDEX('調整・決定'!$C$6:$H$29,CP3,CP2)&lt;&gt;"",1,0)</f>
        <v/>
      </c>
      <c r="CQ109">
        <f>IF(INDEX('調整・決定'!$C$6:$H$29,CQ3,CQ2)&lt;&gt;"",1,0)</f>
        <v/>
      </c>
      <c r="CR109">
        <f>IF(INDEX('調整・決定'!$C$6:$H$29,CR3,CR2)&lt;&gt;"",1,0)</f>
        <v/>
      </c>
      <c r="CS109">
        <f>IF(INDEX('調整・決定'!$C$6:$H$29,CS3,CS2)&lt;&gt;"",1,0)</f>
        <v/>
      </c>
      <c r="CT109">
        <f>IF(INDEX('調整・決定'!$C$6:$H$29,CT3,CT2)&lt;&gt;"",1,0)</f>
        <v/>
      </c>
      <c r="CU109">
        <f>IF(INDEX('調整・決定'!$C$6:$H$29,CU3,CU2)&lt;&gt;"",1,0)</f>
        <v/>
      </c>
      <c r="CV109">
        <f>IF(INDEX('調整・決定'!$C$6:$H$29,CV3,CV2)&lt;&gt;"",1,0)</f>
        <v/>
      </c>
      <c r="CW109">
        <f>IF(INDEX('調整・決定'!$C$6:$H$29,CW3,CW2)&lt;&gt;"",1,0)</f>
        <v/>
      </c>
      <c r="CX109">
        <f>IF(INDEX('調整・決定'!$C$6:$H$29,CX3,CX2)&lt;&gt;"",1,0)</f>
        <v/>
      </c>
      <c r="CY109">
        <f>IF(INDEX('調整・決定'!$C$6:$H$29,CY3,CY2)&lt;&gt;"",1,0)</f>
        <v/>
      </c>
      <c r="CZ109">
        <f>IF(INDEX('調整・決定'!$C$6:$H$29,CZ3,CZ2)&lt;&gt;"",1,0)</f>
        <v/>
      </c>
      <c r="DA109">
        <f>IF(INDEX('調整・決定'!$C$6:$H$29,DA3,DA2)&lt;&gt;"",1,0)</f>
        <v/>
      </c>
      <c r="DB109">
        <f>IF(INDEX('調整・決定'!$C$6:$H$29,DB3,DB2)&lt;&gt;"",1,0)</f>
        <v/>
      </c>
      <c r="DC109">
        <f>IF(INDEX('調整・決定'!$C$6:$H$29,DC3,DC2)&lt;&gt;"",1,0)</f>
        <v/>
      </c>
      <c r="DD109">
        <f>IF(INDEX('調整・決定'!$C$6:$H$29,DD3,DD2)&lt;&gt;"",1,0)</f>
        <v/>
      </c>
      <c r="DE109">
        <f>IF(INDEX('調整・決定'!$C$6:$H$29,DE3,DE2)&lt;&gt;"",1,0)</f>
        <v/>
      </c>
      <c r="DF109">
        <f>IF(INDEX('調整・決定'!$C$6:$H$29,DF3,DF2)&lt;&gt;"",1,0)</f>
        <v/>
      </c>
      <c r="DG109">
        <f>IF(INDEX('調整・決定'!$C$6:$H$29,DG3,DG2)&lt;&gt;"",1,0)</f>
        <v/>
      </c>
      <c r="DH109">
        <f>IF(INDEX('調整・決定'!$C$6:$H$29,DH3,DH2)&lt;&gt;"",1,0)</f>
        <v/>
      </c>
      <c r="DI109">
        <f>IF(INDEX('調整・決定'!$C$6:$H$29,DI3,DI2)&lt;&gt;"",1,0)</f>
        <v/>
      </c>
      <c r="DJ109">
        <f>IF(INDEX('調整・決定'!$C$6:$H$29,DJ3,DJ2)&lt;&gt;"",1,0)</f>
        <v/>
      </c>
      <c r="DK109">
        <f>IF(INDEX('調整・決定'!$C$6:$H$29,DK3,DK2)&lt;&gt;"",1,0)</f>
        <v/>
      </c>
      <c r="DL109">
        <f>IF(INDEX('調整・決定'!$C$6:$H$29,DL3,DL2)&lt;&gt;"",1,0)</f>
        <v/>
      </c>
      <c r="DM109">
        <f>IF(INDEX('調整・決定'!$C$6:$H$29,DM3,DM2)&lt;&gt;"",1,0)</f>
        <v/>
      </c>
      <c r="DN109">
        <f>IF(INDEX('調整・決定'!$C$6:$H$29,DN3,DN2)&lt;&gt;"",1,0)</f>
        <v/>
      </c>
      <c r="DO109">
        <f>IF(INDEX('調整・決定'!$C$6:$H$29,DO3,DO2)&lt;&gt;"",1,0)</f>
        <v/>
      </c>
      <c r="DP109">
        <f>IF(INDEX('調整・決定'!$C$6:$H$29,DP3,DP2)&lt;&gt;"",1,0)</f>
        <v/>
      </c>
      <c r="DQ109">
        <f>IF(INDEX('調整・決定'!$C$6:$H$29,DQ3,DQ2)&lt;&gt;"",1,0)</f>
        <v/>
      </c>
      <c r="DR109">
        <f>IF(INDEX('調整・決定'!$C$6:$H$29,DR3,DR2)&lt;&gt;"",1,0)</f>
        <v/>
      </c>
      <c r="DS109">
        <f>IF(INDEX('調整・決定'!$C$6:$H$29,DS3,DS2)&lt;&gt;"",1,0)</f>
        <v/>
      </c>
      <c r="DT109">
        <f>IF(INDEX('調整・決定'!$C$6:$H$29,DT3,DT2)&lt;&gt;"",1,0)</f>
        <v/>
      </c>
      <c r="DU109">
        <f>IF(INDEX('調整・決定'!$C$6:$H$29,DU3,DU2)&lt;&gt;"",1,0)</f>
        <v/>
      </c>
      <c r="DV109">
        <f>IF(INDEX('調整・決定'!$C$6:$H$29,DV3,DV2)&lt;&gt;"",1,0)</f>
        <v/>
      </c>
      <c r="DW109">
        <f>IF(INDEX('調整・決定'!$C$6:$H$29,DW3,DW2)&lt;&gt;"",1,0)</f>
        <v/>
      </c>
      <c r="DX109">
        <f>IF(INDEX('調整・決定'!$C$6:$H$29,DX3,DX2)&lt;&gt;"",1,0)</f>
        <v/>
      </c>
      <c r="DY109">
        <f>IF(INDEX('調整・決定'!$C$6:$H$29,DY3,DY2)&lt;&gt;"",1,0)</f>
        <v/>
      </c>
      <c r="DZ109">
        <f>IF(INDEX('調整・決定'!$C$6:$H$29,DZ3,DZ2)&lt;&gt;"",1,0)</f>
        <v/>
      </c>
      <c r="EA109">
        <f>IF(INDEX('調整・決定'!$C$6:$H$29,EA3,EA2)&lt;&gt;"",1,0)</f>
        <v/>
      </c>
      <c r="EB109">
        <f>IF(INDEX('調整・決定'!$C$6:$H$29,EB3,EB2)&lt;&gt;"",1,0)</f>
        <v/>
      </c>
      <c r="EC109">
        <f>IF(INDEX('調整・決定'!$C$6:$H$29,EC3,EC2)&lt;&gt;"",1,0)</f>
        <v/>
      </c>
      <c r="ED109">
        <f>IF(INDEX('調整・決定'!$C$6:$H$29,ED3,ED2)&lt;&gt;"",1,0)</f>
        <v/>
      </c>
      <c r="EE109">
        <f>IF(INDEX('調整・決定'!$C$6:$H$29,EE3,EE2)&lt;&gt;"",1,0)</f>
        <v/>
      </c>
      <c r="EF109">
        <f>IF(INDEX('調整・決定'!$C$6:$H$29,EF3,EF2)&lt;&gt;"",1,0)</f>
        <v/>
      </c>
      <c r="EG109">
        <f>IF(INDEX('調整・決定'!$C$6:$H$29,EG3,EG2)&lt;&gt;"",1,0)</f>
        <v/>
      </c>
      <c r="EH109">
        <f>IF(INDEX('調整・決定'!$C$6:$H$29,EH3,EH2)&lt;&gt;"",1,0)</f>
        <v/>
      </c>
      <c r="EI109">
        <f>IF(INDEX('調整・決定'!$C$6:$H$29,EI3,EI2)&lt;&gt;"",1,0)</f>
        <v/>
      </c>
      <c r="EJ109">
        <f>IF(INDEX('調整・決定'!$C$6:$H$29,EJ3,EJ2)&lt;&gt;"",1,0)</f>
        <v/>
      </c>
      <c r="EK109">
        <f>IF(INDEX('調整・決定'!$C$6:$H$29,EK3,EK2)&lt;&gt;"",1,0)</f>
        <v/>
      </c>
      <c r="EL109">
        <f>IF(INDEX('調整・決定'!$C$6:$H$29,EL3,EL2)&lt;&gt;"",1,0)</f>
        <v/>
      </c>
      <c r="EM109">
        <f>IF(INDEX('調整・決定'!$C$6:$H$29,EM3,EM2)&lt;&gt;"",1,0)</f>
        <v/>
      </c>
      <c r="EN109">
        <f>IF(INDEX('調整・決定'!$C$6:$H$29,EN3,EN2)&lt;&gt;"",1,0)</f>
        <v/>
      </c>
      <c r="EO109">
        <f>IF(INDEX('調整・決定'!$C$6:$H$29,EO3,EO2)&lt;&gt;"",1,0)</f>
        <v/>
      </c>
      <c r="EP109">
        <f>IF(INDEX('調整・決定'!$C$6:$H$29,EP3,EP2)&lt;&gt;"",1,0)</f>
        <v/>
      </c>
      <c r="EQ109">
        <f>IF(INDEX('調整・決定'!$C$6:$H$29,EQ3,EQ2)&lt;&gt;"",1,0)</f>
        <v/>
      </c>
    </row>
    <row r="110">
      <c r="C110" t="inlineStr">
        <is>
          <t>優先：全体</t>
        </is>
      </c>
      <c r="D110">
        <f>D6</f>
        <v/>
      </c>
      <c r="E110">
        <f>E6</f>
        <v/>
      </c>
      <c r="F110">
        <f>F6</f>
        <v/>
      </c>
      <c r="G110">
        <f>G6</f>
        <v/>
      </c>
      <c r="H110">
        <f>H6</f>
        <v/>
      </c>
      <c r="I110">
        <f>I6</f>
        <v/>
      </c>
      <c r="J110">
        <f>J6</f>
        <v/>
      </c>
      <c r="K110">
        <f>K6</f>
        <v/>
      </c>
      <c r="L110">
        <f>L6</f>
        <v/>
      </c>
      <c r="M110">
        <f>M6</f>
        <v/>
      </c>
      <c r="N110">
        <f>N6</f>
        <v/>
      </c>
      <c r="O110">
        <f>O6</f>
        <v/>
      </c>
      <c r="P110">
        <f>P6</f>
        <v/>
      </c>
      <c r="Q110">
        <f>Q6</f>
        <v/>
      </c>
      <c r="R110">
        <f>R6</f>
        <v/>
      </c>
      <c r="S110">
        <f>S6</f>
        <v/>
      </c>
      <c r="T110">
        <f>T6</f>
        <v/>
      </c>
      <c r="U110">
        <f>U6</f>
        <v/>
      </c>
      <c r="V110">
        <f>V6</f>
        <v/>
      </c>
      <c r="W110">
        <f>W6</f>
        <v/>
      </c>
      <c r="X110">
        <f>X6</f>
        <v/>
      </c>
      <c r="Y110">
        <f>Y6</f>
        <v/>
      </c>
      <c r="Z110">
        <f>Z6</f>
        <v/>
      </c>
      <c r="AA110">
        <f>AA6</f>
        <v/>
      </c>
      <c r="AB110">
        <f>AB6</f>
        <v/>
      </c>
      <c r="AC110">
        <f>AC6</f>
        <v/>
      </c>
      <c r="AD110">
        <f>AD6</f>
        <v/>
      </c>
      <c r="AE110">
        <f>AE6</f>
        <v/>
      </c>
      <c r="AF110">
        <f>AF6</f>
        <v/>
      </c>
      <c r="AG110">
        <f>AG6</f>
        <v/>
      </c>
      <c r="AH110">
        <f>AH6</f>
        <v/>
      </c>
      <c r="AI110">
        <f>AI6</f>
        <v/>
      </c>
      <c r="AJ110">
        <f>AJ6</f>
        <v/>
      </c>
      <c r="AK110">
        <f>AK6</f>
        <v/>
      </c>
      <c r="AL110">
        <f>AL6</f>
        <v/>
      </c>
      <c r="AM110">
        <f>AM6</f>
        <v/>
      </c>
      <c r="AN110">
        <f>AN6</f>
        <v/>
      </c>
      <c r="AO110">
        <f>AO6</f>
        <v/>
      </c>
      <c r="AP110">
        <f>AP6</f>
        <v/>
      </c>
      <c r="AQ110">
        <f>AQ6</f>
        <v/>
      </c>
      <c r="AR110">
        <f>AR6</f>
        <v/>
      </c>
      <c r="AS110">
        <f>AS6</f>
        <v/>
      </c>
      <c r="AT110">
        <f>AT6</f>
        <v/>
      </c>
      <c r="AU110">
        <f>AU6</f>
        <v/>
      </c>
      <c r="AV110">
        <f>AV6</f>
        <v/>
      </c>
      <c r="AW110">
        <f>AW6</f>
        <v/>
      </c>
      <c r="AX110">
        <f>AX6</f>
        <v/>
      </c>
      <c r="AY110">
        <f>AY6</f>
        <v/>
      </c>
      <c r="AZ110">
        <f>AZ6</f>
        <v/>
      </c>
      <c r="BA110">
        <f>BA6</f>
        <v/>
      </c>
      <c r="BB110">
        <f>BB6</f>
        <v/>
      </c>
      <c r="BC110">
        <f>BC6</f>
        <v/>
      </c>
      <c r="BD110">
        <f>BD6</f>
        <v/>
      </c>
      <c r="BE110">
        <f>BE6</f>
        <v/>
      </c>
      <c r="BF110">
        <f>BF6</f>
        <v/>
      </c>
      <c r="BG110">
        <f>BG6</f>
        <v/>
      </c>
      <c r="BH110">
        <f>BH6</f>
        <v/>
      </c>
      <c r="BI110">
        <f>BI6</f>
        <v/>
      </c>
      <c r="BJ110">
        <f>BJ6</f>
        <v/>
      </c>
      <c r="BK110">
        <f>BK6</f>
        <v/>
      </c>
      <c r="BL110">
        <f>BL6</f>
        <v/>
      </c>
      <c r="BM110">
        <f>BM6</f>
        <v/>
      </c>
      <c r="BN110">
        <f>BN6</f>
        <v/>
      </c>
      <c r="BO110">
        <f>BO6</f>
        <v/>
      </c>
      <c r="BP110">
        <f>BP6</f>
        <v/>
      </c>
      <c r="BQ110">
        <f>BQ6</f>
        <v/>
      </c>
      <c r="BR110">
        <f>BR6</f>
        <v/>
      </c>
      <c r="BS110">
        <f>BS6</f>
        <v/>
      </c>
      <c r="BT110">
        <f>BT6</f>
        <v/>
      </c>
      <c r="BU110">
        <f>BU6</f>
        <v/>
      </c>
      <c r="BV110">
        <f>BV6</f>
        <v/>
      </c>
      <c r="BW110">
        <f>BW6</f>
        <v/>
      </c>
      <c r="BX110">
        <f>BX6</f>
        <v/>
      </c>
      <c r="BY110">
        <f>BY6</f>
        <v/>
      </c>
      <c r="BZ110">
        <f>BZ6</f>
        <v/>
      </c>
      <c r="CA110">
        <f>CA6</f>
        <v/>
      </c>
      <c r="CB110">
        <f>CB6</f>
        <v/>
      </c>
      <c r="CC110">
        <f>CC6</f>
        <v/>
      </c>
      <c r="CD110">
        <f>CD6</f>
        <v/>
      </c>
      <c r="CE110">
        <f>CE6</f>
        <v/>
      </c>
      <c r="CF110">
        <f>CF6</f>
        <v/>
      </c>
      <c r="CG110">
        <f>CG6</f>
        <v/>
      </c>
      <c r="CH110">
        <f>CH6</f>
        <v/>
      </c>
      <c r="CI110">
        <f>CI6</f>
        <v/>
      </c>
      <c r="CJ110">
        <f>CJ6</f>
        <v/>
      </c>
      <c r="CK110">
        <f>CK6</f>
        <v/>
      </c>
      <c r="CL110">
        <f>CL6</f>
        <v/>
      </c>
      <c r="CM110">
        <f>CM6</f>
        <v/>
      </c>
      <c r="CN110">
        <f>CN6</f>
        <v/>
      </c>
      <c r="CO110">
        <f>CO6</f>
        <v/>
      </c>
      <c r="CP110">
        <f>CP6</f>
        <v/>
      </c>
      <c r="CQ110">
        <f>CQ6</f>
        <v/>
      </c>
      <c r="CR110">
        <f>CR6</f>
        <v/>
      </c>
      <c r="CS110">
        <f>CS6</f>
        <v/>
      </c>
      <c r="CT110">
        <f>CT6</f>
        <v/>
      </c>
      <c r="CU110">
        <f>CU6</f>
        <v/>
      </c>
      <c r="CV110">
        <f>CV6</f>
        <v/>
      </c>
      <c r="CW110">
        <f>CW6</f>
        <v/>
      </c>
      <c r="CX110">
        <f>CX6</f>
        <v/>
      </c>
      <c r="CY110">
        <f>CY6</f>
        <v/>
      </c>
      <c r="CZ110">
        <f>CZ6</f>
        <v/>
      </c>
      <c r="DA110">
        <f>DA6</f>
        <v/>
      </c>
      <c r="DB110">
        <f>DB6</f>
        <v/>
      </c>
      <c r="DC110">
        <f>DC6</f>
        <v/>
      </c>
      <c r="DD110">
        <f>DD6</f>
        <v/>
      </c>
      <c r="DE110">
        <f>DE6</f>
        <v/>
      </c>
      <c r="DF110">
        <f>DF6</f>
        <v/>
      </c>
      <c r="DG110">
        <f>DG6</f>
        <v/>
      </c>
      <c r="DH110">
        <f>DH6</f>
        <v/>
      </c>
      <c r="DI110">
        <f>DI6</f>
        <v/>
      </c>
      <c r="DJ110">
        <f>DJ6</f>
        <v/>
      </c>
      <c r="DK110">
        <f>DK6</f>
        <v/>
      </c>
      <c r="DL110">
        <f>DL6</f>
        <v/>
      </c>
      <c r="DM110">
        <f>DM6</f>
        <v/>
      </c>
      <c r="DN110">
        <f>DN6</f>
        <v/>
      </c>
      <c r="DO110">
        <f>DO6</f>
        <v/>
      </c>
      <c r="DP110">
        <f>DP6</f>
        <v/>
      </c>
      <c r="DQ110">
        <f>DQ6</f>
        <v/>
      </c>
      <c r="DR110">
        <f>DR6</f>
        <v/>
      </c>
      <c r="DS110">
        <f>DS6</f>
        <v/>
      </c>
      <c r="DT110">
        <f>DT6</f>
        <v/>
      </c>
      <c r="DU110">
        <f>DU6</f>
        <v/>
      </c>
      <c r="DV110">
        <f>DV6</f>
        <v/>
      </c>
      <c r="DW110">
        <f>DW6</f>
        <v/>
      </c>
      <c r="DX110">
        <f>DX6</f>
        <v/>
      </c>
      <c r="DY110">
        <f>DY6</f>
        <v/>
      </c>
      <c r="DZ110">
        <f>DZ6</f>
        <v/>
      </c>
      <c r="EA110">
        <f>EA6</f>
        <v/>
      </c>
      <c r="EB110">
        <f>EB6</f>
        <v/>
      </c>
      <c r="EC110">
        <f>EC6</f>
        <v/>
      </c>
      <c r="ED110">
        <f>ED6</f>
        <v/>
      </c>
      <c r="EE110">
        <f>EE6</f>
        <v/>
      </c>
      <c r="EF110">
        <f>EF6</f>
        <v/>
      </c>
      <c r="EG110">
        <f>EG6</f>
        <v/>
      </c>
      <c r="EH110">
        <f>EH6</f>
        <v/>
      </c>
      <c r="EI110">
        <f>EI6</f>
        <v/>
      </c>
      <c r="EJ110">
        <f>EJ6</f>
        <v/>
      </c>
      <c r="EK110">
        <f>EK6</f>
        <v/>
      </c>
      <c r="EL110">
        <f>EL6</f>
        <v/>
      </c>
      <c r="EM110">
        <f>EM6</f>
        <v/>
      </c>
      <c r="EN110">
        <f>EN6</f>
        <v/>
      </c>
      <c r="EO110">
        <f>EO6</f>
        <v/>
      </c>
      <c r="EP110">
        <f>EP6</f>
        <v/>
      </c>
      <c r="EQ110">
        <f>EQ6</f>
        <v/>
      </c>
    </row>
    <row r="111">
      <c r="C111" t="inlineStr">
        <is>
          <t>早い時刻</t>
        </is>
      </c>
      <c r="D111">
        <f>(D3-1)*6+D2+D5*10000</f>
        <v/>
      </c>
      <c r="E111">
        <f>(E3-1)*6+E2+E5*10000</f>
        <v/>
      </c>
      <c r="F111">
        <f>(F3-1)*6+F2+F5*10000</f>
        <v/>
      </c>
      <c r="G111">
        <f>(G3-1)*6+G2+G5*10000</f>
        <v/>
      </c>
      <c r="H111">
        <f>(H3-1)*6+H2+H5*10000</f>
        <v/>
      </c>
      <c r="I111">
        <f>(I3-1)*6+I2+I5*10000</f>
        <v/>
      </c>
      <c r="J111">
        <f>(J3-1)*6+J2+J5*10000</f>
        <v/>
      </c>
      <c r="K111">
        <f>(K3-1)*6+K2+K5*10000</f>
        <v/>
      </c>
      <c r="L111">
        <f>(L3-1)*6+L2+L5*10000</f>
        <v/>
      </c>
      <c r="M111">
        <f>(M3-1)*6+M2+M5*10000</f>
        <v/>
      </c>
      <c r="N111">
        <f>(N3-1)*6+N2+N5*10000</f>
        <v/>
      </c>
      <c r="O111">
        <f>(O3-1)*6+O2+O5*10000</f>
        <v/>
      </c>
      <c r="P111">
        <f>(P3-1)*6+P2+P5*10000</f>
        <v/>
      </c>
      <c r="Q111">
        <f>(Q3-1)*6+Q2+Q5*10000</f>
        <v/>
      </c>
      <c r="R111">
        <f>(R3-1)*6+R2+R5*10000</f>
        <v/>
      </c>
      <c r="S111">
        <f>(S3-1)*6+S2+S5*10000</f>
        <v/>
      </c>
      <c r="T111">
        <f>(T3-1)*6+T2+T5*10000</f>
        <v/>
      </c>
      <c r="U111">
        <f>(U3-1)*6+U2+U5*10000</f>
        <v/>
      </c>
      <c r="V111">
        <f>(V3-1)*6+V2+V5*10000</f>
        <v/>
      </c>
      <c r="W111">
        <f>(W3-1)*6+W2+W5*10000</f>
        <v/>
      </c>
      <c r="X111">
        <f>(X3-1)*6+X2+X5*10000</f>
        <v/>
      </c>
      <c r="Y111">
        <f>(Y3-1)*6+Y2+Y5*10000</f>
        <v/>
      </c>
      <c r="Z111">
        <f>(Z3-1)*6+Z2+Z5*10000</f>
        <v/>
      </c>
      <c r="AA111">
        <f>(AA3-1)*6+AA2+AA5*10000</f>
        <v/>
      </c>
      <c r="AB111">
        <f>(AB3-1)*6+AB2+AB5*10000</f>
        <v/>
      </c>
      <c r="AC111">
        <f>(AC3-1)*6+AC2+AC5*10000</f>
        <v/>
      </c>
      <c r="AD111">
        <f>(AD3-1)*6+AD2+AD5*10000</f>
        <v/>
      </c>
      <c r="AE111">
        <f>(AE3-1)*6+AE2+AE5*10000</f>
        <v/>
      </c>
      <c r="AF111">
        <f>(AF3-1)*6+AF2+AF5*10000</f>
        <v/>
      </c>
      <c r="AG111">
        <f>(AG3-1)*6+AG2+AG5*10000</f>
        <v/>
      </c>
      <c r="AH111">
        <f>(AH3-1)*6+AH2+AH5*10000</f>
        <v/>
      </c>
      <c r="AI111">
        <f>(AI3-1)*6+AI2+AI5*10000</f>
        <v/>
      </c>
      <c r="AJ111">
        <f>(AJ3-1)*6+AJ2+AJ5*10000</f>
        <v/>
      </c>
      <c r="AK111">
        <f>(AK3-1)*6+AK2+AK5*10000</f>
        <v/>
      </c>
      <c r="AL111">
        <f>(AL3-1)*6+AL2+AL5*10000</f>
        <v/>
      </c>
      <c r="AM111">
        <f>(AM3-1)*6+AM2+AM5*10000</f>
        <v/>
      </c>
      <c r="AN111">
        <f>(AN3-1)*6+AN2+AN5*10000</f>
        <v/>
      </c>
      <c r="AO111">
        <f>(AO3-1)*6+AO2+AO5*10000</f>
        <v/>
      </c>
      <c r="AP111">
        <f>(AP3-1)*6+AP2+AP5*10000</f>
        <v/>
      </c>
      <c r="AQ111">
        <f>(AQ3-1)*6+AQ2+AQ5*10000</f>
        <v/>
      </c>
      <c r="AR111">
        <f>(AR3-1)*6+AR2+AR5*10000</f>
        <v/>
      </c>
      <c r="AS111">
        <f>(AS3-1)*6+AS2+AS5*10000</f>
        <v/>
      </c>
      <c r="AT111">
        <f>(AT3-1)*6+AT2+AT5*10000</f>
        <v/>
      </c>
      <c r="AU111">
        <f>(AU3-1)*6+AU2+AU5*10000</f>
        <v/>
      </c>
      <c r="AV111">
        <f>(AV3-1)*6+AV2+AV5*10000</f>
        <v/>
      </c>
      <c r="AW111">
        <f>(AW3-1)*6+AW2+AW5*10000</f>
        <v/>
      </c>
      <c r="AX111">
        <f>(AX3-1)*6+AX2+AX5*10000</f>
        <v/>
      </c>
      <c r="AY111">
        <f>(AY3-1)*6+AY2+AY5*10000</f>
        <v/>
      </c>
      <c r="AZ111">
        <f>(AZ3-1)*6+AZ2+AZ5*10000</f>
        <v/>
      </c>
      <c r="BA111">
        <f>(BA3-1)*6+BA2+BA5*10000</f>
        <v/>
      </c>
      <c r="BB111">
        <f>(BB3-1)*6+BB2+BB5*10000</f>
        <v/>
      </c>
      <c r="BC111">
        <f>(BC3-1)*6+BC2+BC5*10000</f>
        <v/>
      </c>
      <c r="BD111">
        <f>(BD3-1)*6+BD2+BD5*10000</f>
        <v/>
      </c>
      <c r="BE111">
        <f>(BE3-1)*6+BE2+BE5*10000</f>
        <v/>
      </c>
      <c r="BF111">
        <f>(BF3-1)*6+BF2+BF5*10000</f>
        <v/>
      </c>
      <c r="BG111">
        <f>(BG3-1)*6+BG2+BG5*10000</f>
        <v/>
      </c>
      <c r="BH111">
        <f>(BH3-1)*6+BH2+BH5*10000</f>
        <v/>
      </c>
      <c r="BI111">
        <f>(BI3-1)*6+BI2+BI5*10000</f>
        <v/>
      </c>
      <c r="BJ111">
        <f>(BJ3-1)*6+BJ2+BJ5*10000</f>
        <v/>
      </c>
      <c r="BK111">
        <f>(BK3-1)*6+BK2+BK5*10000</f>
        <v/>
      </c>
      <c r="BL111">
        <f>(BL3-1)*6+BL2+BL5*10000</f>
        <v/>
      </c>
      <c r="BM111">
        <f>(BM3-1)*6+BM2+BM5*10000</f>
        <v/>
      </c>
      <c r="BN111">
        <f>(BN3-1)*6+BN2+BN5*10000</f>
        <v/>
      </c>
      <c r="BO111">
        <f>(BO3-1)*6+BO2+BO5*10000</f>
        <v/>
      </c>
      <c r="BP111">
        <f>(BP3-1)*6+BP2+BP5*10000</f>
        <v/>
      </c>
      <c r="BQ111">
        <f>(BQ3-1)*6+BQ2+BQ5*10000</f>
        <v/>
      </c>
      <c r="BR111">
        <f>(BR3-1)*6+BR2+BR5*10000</f>
        <v/>
      </c>
      <c r="BS111">
        <f>(BS3-1)*6+BS2+BS5*10000</f>
        <v/>
      </c>
      <c r="BT111">
        <f>(BT3-1)*6+BT2+BT5*10000</f>
        <v/>
      </c>
      <c r="BU111">
        <f>(BU3-1)*6+BU2+BU5*10000</f>
        <v/>
      </c>
      <c r="BV111">
        <f>(BV3-1)*6+BV2+BV5*10000</f>
        <v/>
      </c>
      <c r="BW111">
        <f>(BW3-1)*6+BW2+BW5*10000</f>
        <v/>
      </c>
      <c r="BX111">
        <f>(BX3-1)*6+BX2+BX5*10000</f>
        <v/>
      </c>
      <c r="BY111">
        <f>(BY3-1)*6+BY2+BY5*10000</f>
        <v/>
      </c>
      <c r="BZ111">
        <f>(BZ3-1)*6+BZ2+BZ5*10000</f>
        <v/>
      </c>
      <c r="CA111">
        <f>(CA3-1)*6+CA2+CA5*10000</f>
        <v/>
      </c>
      <c r="CB111">
        <f>(CB3-1)*6+CB2+CB5*10000</f>
        <v/>
      </c>
      <c r="CC111">
        <f>(CC3-1)*6+CC2+CC5*10000</f>
        <v/>
      </c>
      <c r="CD111">
        <f>(CD3-1)*6+CD2+CD5*10000</f>
        <v/>
      </c>
      <c r="CE111">
        <f>(CE3-1)*6+CE2+CE5*10000</f>
        <v/>
      </c>
      <c r="CF111">
        <f>(CF3-1)*6+CF2+CF5*10000</f>
        <v/>
      </c>
      <c r="CG111">
        <f>(CG3-1)*6+CG2+CG5*10000</f>
        <v/>
      </c>
      <c r="CH111">
        <f>(CH3-1)*6+CH2+CH5*10000</f>
        <v/>
      </c>
      <c r="CI111">
        <f>(CI3-1)*6+CI2+CI5*10000</f>
        <v/>
      </c>
      <c r="CJ111">
        <f>(CJ3-1)*6+CJ2+CJ5*10000</f>
        <v/>
      </c>
      <c r="CK111">
        <f>(CK3-1)*6+CK2+CK5*10000</f>
        <v/>
      </c>
      <c r="CL111">
        <f>(CL3-1)*6+CL2+CL5*10000</f>
        <v/>
      </c>
      <c r="CM111">
        <f>(CM3-1)*6+CM2+CM5*10000</f>
        <v/>
      </c>
      <c r="CN111">
        <f>(CN3-1)*6+CN2+CN5*10000</f>
        <v/>
      </c>
      <c r="CO111">
        <f>(CO3-1)*6+CO2+CO5*10000</f>
        <v/>
      </c>
      <c r="CP111">
        <f>(CP3-1)*6+CP2+CP5*10000</f>
        <v/>
      </c>
      <c r="CQ111">
        <f>(CQ3-1)*6+CQ2+CQ5*10000</f>
        <v/>
      </c>
      <c r="CR111">
        <f>(CR3-1)*6+CR2+CR5*10000</f>
        <v/>
      </c>
      <c r="CS111">
        <f>(CS3-1)*6+CS2+CS5*10000</f>
        <v/>
      </c>
      <c r="CT111">
        <f>(CT3-1)*6+CT2+CT5*10000</f>
        <v/>
      </c>
      <c r="CU111">
        <f>(CU3-1)*6+CU2+CU5*10000</f>
        <v/>
      </c>
      <c r="CV111">
        <f>(CV3-1)*6+CV2+CV5*10000</f>
        <v/>
      </c>
      <c r="CW111">
        <f>(CW3-1)*6+CW2+CW5*10000</f>
        <v/>
      </c>
      <c r="CX111">
        <f>(CX3-1)*6+CX2+CX5*10000</f>
        <v/>
      </c>
      <c r="CY111">
        <f>(CY3-1)*6+CY2+CY5*10000</f>
        <v/>
      </c>
      <c r="CZ111">
        <f>(CZ3-1)*6+CZ2+CZ5*10000</f>
        <v/>
      </c>
      <c r="DA111">
        <f>(DA3-1)*6+DA2+DA5*10000</f>
        <v/>
      </c>
      <c r="DB111">
        <f>(DB3-1)*6+DB2+DB5*10000</f>
        <v/>
      </c>
      <c r="DC111">
        <f>(DC3-1)*6+DC2+DC5*10000</f>
        <v/>
      </c>
      <c r="DD111">
        <f>(DD3-1)*6+DD2+DD5*10000</f>
        <v/>
      </c>
      <c r="DE111">
        <f>(DE3-1)*6+DE2+DE5*10000</f>
        <v/>
      </c>
      <c r="DF111">
        <f>(DF3-1)*6+DF2+DF5*10000</f>
        <v/>
      </c>
      <c r="DG111">
        <f>(DG3-1)*6+DG2+DG5*10000</f>
        <v/>
      </c>
      <c r="DH111">
        <f>(DH3-1)*6+DH2+DH5*10000</f>
        <v/>
      </c>
      <c r="DI111">
        <f>(DI3-1)*6+DI2+DI5*10000</f>
        <v/>
      </c>
      <c r="DJ111">
        <f>(DJ3-1)*6+DJ2+DJ5*10000</f>
        <v/>
      </c>
      <c r="DK111">
        <f>(DK3-1)*6+DK2+DK5*10000</f>
        <v/>
      </c>
      <c r="DL111">
        <f>(DL3-1)*6+DL2+DL5*10000</f>
        <v/>
      </c>
      <c r="DM111">
        <f>(DM3-1)*6+DM2+DM5*10000</f>
        <v/>
      </c>
      <c r="DN111">
        <f>(DN3-1)*6+DN2+DN5*10000</f>
        <v/>
      </c>
      <c r="DO111">
        <f>(DO3-1)*6+DO2+DO5*10000</f>
        <v/>
      </c>
      <c r="DP111">
        <f>(DP3-1)*6+DP2+DP5*10000</f>
        <v/>
      </c>
      <c r="DQ111">
        <f>(DQ3-1)*6+DQ2+DQ5*10000</f>
        <v/>
      </c>
      <c r="DR111">
        <f>(DR3-1)*6+DR2+DR5*10000</f>
        <v/>
      </c>
      <c r="DS111">
        <f>(DS3-1)*6+DS2+DS5*10000</f>
        <v/>
      </c>
      <c r="DT111">
        <f>(DT3-1)*6+DT2+DT5*10000</f>
        <v/>
      </c>
      <c r="DU111">
        <f>(DU3-1)*6+DU2+DU5*10000</f>
        <v/>
      </c>
      <c r="DV111">
        <f>(DV3-1)*6+DV2+DV5*10000</f>
        <v/>
      </c>
      <c r="DW111">
        <f>(DW3-1)*6+DW2+DW5*10000</f>
        <v/>
      </c>
      <c r="DX111">
        <f>(DX3-1)*6+DX2+DX5*10000</f>
        <v/>
      </c>
      <c r="DY111">
        <f>(DY3-1)*6+DY2+DY5*10000</f>
        <v/>
      </c>
      <c r="DZ111">
        <f>(DZ3-1)*6+DZ2+DZ5*10000</f>
        <v/>
      </c>
      <c r="EA111">
        <f>(EA3-1)*6+EA2+EA5*10000</f>
        <v/>
      </c>
      <c r="EB111">
        <f>(EB3-1)*6+EB2+EB5*10000</f>
        <v/>
      </c>
      <c r="EC111">
        <f>(EC3-1)*6+EC2+EC5*10000</f>
        <v/>
      </c>
      <c r="ED111">
        <f>(ED3-1)*6+ED2+ED5*10000</f>
        <v/>
      </c>
      <c r="EE111">
        <f>(EE3-1)*6+EE2+EE5*10000</f>
        <v/>
      </c>
      <c r="EF111">
        <f>(EF3-1)*6+EF2+EF5*10000</f>
        <v/>
      </c>
      <c r="EG111">
        <f>(EG3-1)*6+EG2+EG5*10000</f>
        <v/>
      </c>
      <c r="EH111">
        <f>(EH3-1)*6+EH2+EH5*10000</f>
        <v/>
      </c>
      <c r="EI111">
        <f>(EI3-1)*6+EI2+EI5*10000</f>
        <v/>
      </c>
      <c r="EJ111">
        <f>(EJ3-1)*6+EJ2+EJ5*10000</f>
        <v/>
      </c>
      <c r="EK111">
        <f>(EK3-1)*6+EK2+EK5*10000</f>
        <v/>
      </c>
      <c r="EL111">
        <f>(EL3-1)*6+EL2+EL5*10000</f>
        <v/>
      </c>
      <c r="EM111">
        <f>(EM3-1)*6+EM2+EM5*10000</f>
        <v/>
      </c>
      <c r="EN111">
        <f>(EN3-1)*6+EN2+EN5*10000</f>
        <v/>
      </c>
      <c r="EO111">
        <f>(EO3-1)*6+EO2+EO5*10000</f>
        <v/>
      </c>
      <c r="EP111">
        <f>(EP3-1)*6+EP2+EP5*10000</f>
        <v/>
      </c>
      <c r="EQ111">
        <f>(EQ3-1)*6+EQ2+EQ5*10000</f>
        <v/>
      </c>
    </row>
    <row r="112">
      <c r="C112" t="inlineStr">
        <is>
          <t>遅い時刻</t>
        </is>
      </c>
      <c r="D112">
        <f>(24-D3)*6+D2+D5*10000</f>
        <v/>
      </c>
      <c r="E112">
        <f>(24-E3)*6+E2+E5*10000</f>
        <v/>
      </c>
      <c r="F112">
        <f>(24-F3)*6+F2+F5*10000</f>
        <v/>
      </c>
      <c r="G112">
        <f>(24-G3)*6+G2+G5*10000</f>
        <v/>
      </c>
      <c r="H112">
        <f>(24-H3)*6+H2+H5*10000</f>
        <v/>
      </c>
      <c r="I112">
        <f>(24-I3)*6+I2+I5*10000</f>
        <v/>
      </c>
      <c r="J112">
        <f>(24-J3)*6+J2+J5*10000</f>
        <v/>
      </c>
      <c r="K112">
        <f>(24-K3)*6+K2+K5*10000</f>
        <v/>
      </c>
      <c r="L112">
        <f>(24-L3)*6+L2+L5*10000</f>
        <v/>
      </c>
      <c r="M112">
        <f>(24-M3)*6+M2+M5*10000</f>
        <v/>
      </c>
      <c r="N112">
        <f>(24-N3)*6+N2+N5*10000</f>
        <v/>
      </c>
      <c r="O112">
        <f>(24-O3)*6+O2+O5*10000</f>
        <v/>
      </c>
      <c r="P112">
        <f>(24-P3)*6+P2+P5*10000</f>
        <v/>
      </c>
      <c r="Q112">
        <f>(24-Q3)*6+Q2+Q5*10000</f>
        <v/>
      </c>
      <c r="R112">
        <f>(24-R3)*6+R2+R5*10000</f>
        <v/>
      </c>
      <c r="S112">
        <f>(24-S3)*6+S2+S5*10000</f>
        <v/>
      </c>
      <c r="T112">
        <f>(24-T3)*6+T2+T5*10000</f>
        <v/>
      </c>
      <c r="U112">
        <f>(24-U3)*6+U2+U5*10000</f>
        <v/>
      </c>
      <c r="V112">
        <f>(24-V3)*6+V2+V5*10000</f>
        <v/>
      </c>
      <c r="W112">
        <f>(24-W3)*6+W2+W5*10000</f>
        <v/>
      </c>
      <c r="X112">
        <f>(24-X3)*6+X2+X5*10000</f>
        <v/>
      </c>
      <c r="Y112">
        <f>(24-Y3)*6+Y2+Y5*10000</f>
        <v/>
      </c>
      <c r="Z112">
        <f>(24-Z3)*6+Z2+Z5*10000</f>
        <v/>
      </c>
      <c r="AA112">
        <f>(24-AA3)*6+AA2+AA5*10000</f>
        <v/>
      </c>
      <c r="AB112">
        <f>(24-AB3)*6+AB2+AB5*10000</f>
        <v/>
      </c>
      <c r="AC112">
        <f>(24-AC3)*6+AC2+AC5*10000</f>
        <v/>
      </c>
      <c r="AD112">
        <f>(24-AD3)*6+AD2+AD5*10000</f>
        <v/>
      </c>
      <c r="AE112">
        <f>(24-AE3)*6+AE2+AE5*10000</f>
        <v/>
      </c>
      <c r="AF112">
        <f>(24-AF3)*6+AF2+AF5*10000</f>
        <v/>
      </c>
      <c r="AG112">
        <f>(24-AG3)*6+AG2+AG5*10000</f>
        <v/>
      </c>
      <c r="AH112">
        <f>(24-AH3)*6+AH2+AH5*10000</f>
        <v/>
      </c>
      <c r="AI112">
        <f>(24-AI3)*6+AI2+AI5*10000</f>
        <v/>
      </c>
      <c r="AJ112">
        <f>(24-AJ3)*6+AJ2+AJ5*10000</f>
        <v/>
      </c>
      <c r="AK112">
        <f>(24-AK3)*6+AK2+AK5*10000</f>
        <v/>
      </c>
      <c r="AL112">
        <f>(24-AL3)*6+AL2+AL5*10000</f>
        <v/>
      </c>
      <c r="AM112">
        <f>(24-AM3)*6+AM2+AM5*10000</f>
        <v/>
      </c>
      <c r="AN112">
        <f>(24-AN3)*6+AN2+AN5*10000</f>
        <v/>
      </c>
      <c r="AO112">
        <f>(24-AO3)*6+AO2+AO5*10000</f>
        <v/>
      </c>
      <c r="AP112">
        <f>(24-AP3)*6+AP2+AP5*10000</f>
        <v/>
      </c>
      <c r="AQ112">
        <f>(24-AQ3)*6+AQ2+AQ5*10000</f>
        <v/>
      </c>
      <c r="AR112">
        <f>(24-AR3)*6+AR2+AR5*10000</f>
        <v/>
      </c>
      <c r="AS112">
        <f>(24-AS3)*6+AS2+AS5*10000</f>
        <v/>
      </c>
      <c r="AT112">
        <f>(24-AT3)*6+AT2+AT5*10000</f>
        <v/>
      </c>
      <c r="AU112">
        <f>(24-AU3)*6+AU2+AU5*10000</f>
        <v/>
      </c>
      <c r="AV112">
        <f>(24-AV3)*6+AV2+AV5*10000</f>
        <v/>
      </c>
      <c r="AW112">
        <f>(24-AW3)*6+AW2+AW5*10000</f>
        <v/>
      </c>
      <c r="AX112">
        <f>(24-AX3)*6+AX2+AX5*10000</f>
        <v/>
      </c>
      <c r="AY112">
        <f>(24-AY3)*6+AY2+AY5*10000</f>
        <v/>
      </c>
      <c r="AZ112">
        <f>(24-AZ3)*6+AZ2+AZ5*10000</f>
        <v/>
      </c>
      <c r="BA112">
        <f>(24-BA3)*6+BA2+BA5*10000</f>
        <v/>
      </c>
      <c r="BB112">
        <f>(24-BB3)*6+BB2+BB5*10000</f>
        <v/>
      </c>
      <c r="BC112">
        <f>(24-BC3)*6+BC2+BC5*10000</f>
        <v/>
      </c>
      <c r="BD112">
        <f>(24-BD3)*6+BD2+BD5*10000</f>
        <v/>
      </c>
      <c r="BE112">
        <f>(24-BE3)*6+BE2+BE5*10000</f>
        <v/>
      </c>
      <c r="BF112">
        <f>(24-BF3)*6+BF2+BF5*10000</f>
        <v/>
      </c>
      <c r="BG112">
        <f>(24-BG3)*6+BG2+BG5*10000</f>
        <v/>
      </c>
      <c r="BH112">
        <f>(24-BH3)*6+BH2+BH5*10000</f>
        <v/>
      </c>
      <c r="BI112">
        <f>(24-BI3)*6+BI2+BI5*10000</f>
        <v/>
      </c>
      <c r="BJ112">
        <f>(24-BJ3)*6+BJ2+BJ5*10000</f>
        <v/>
      </c>
      <c r="BK112">
        <f>(24-BK3)*6+BK2+BK5*10000</f>
        <v/>
      </c>
      <c r="BL112">
        <f>(24-BL3)*6+BL2+BL5*10000</f>
        <v/>
      </c>
      <c r="BM112">
        <f>(24-BM3)*6+BM2+BM5*10000</f>
        <v/>
      </c>
      <c r="BN112">
        <f>(24-BN3)*6+BN2+BN5*10000</f>
        <v/>
      </c>
      <c r="BO112">
        <f>(24-BO3)*6+BO2+BO5*10000</f>
        <v/>
      </c>
      <c r="BP112">
        <f>(24-BP3)*6+BP2+BP5*10000</f>
        <v/>
      </c>
      <c r="BQ112">
        <f>(24-BQ3)*6+BQ2+BQ5*10000</f>
        <v/>
      </c>
      <c r="BR112">
        <f>(24-BR3)*6+BR2+BR5*10000</f>
        <v/>
      </c>
      <c r="BS112">
        <f>(24-BS3)*6+BS2+BS5*10000</f>
        <v/>
      </c>
      <c r="BT112">
        <f>(24-BT3)*6+BT2+BT5*10000</f>
        <v/>
      </c>
      <c r="BU112">
        <f>(24-BU3)*6+BU2+BU5*10000</f>
        <v/>
      </c>
      <c r="BV112">
        <f>(24-BV3)*6+BV2+BV5*10000</f>
        <v/>
      </c>
      <c r="BW112">
        <f>(24-BW3)*6+BW2+BW5*10000</f>
        <v/>
      </c>
      <c r="BX112">
        <f>(24-BX3)*6+BX2+BX5*10000</f>
        <v/>
      </c>
      <c r="BY112">
        <f>(24-BY3)*6+BY2+BY5*10000</f>
        <v/>
      </c>
      <c r="BZ112">
        <f>(24-BZ3)*6+BZ2+BZ5*10000</f>
        <v/>
      </c>
      <c r="CA112">
        <f>(24-CA3)*6+CA2+CA5*10000</f>
        <v/>
      </c>
      <c r="CB112">
        <f>(24-CB3)*6+CB2+CB5*10000</f>
        <v/>
      </c>
      <c r="CC112">
        <f>(24-CC3)*6+CC2+CC5*10000</f>
        <v/>
      </c>
      <c r="CD112">
        <f>(24-CD3)*6+CD2+CD5*10000</f>
        <v/>
      </c>
      <c r="CE112">
        <f>(24-CE3)*6+CE2+CE5*10000</f>
        <v/>
      </c>
      <c r="CF112">
        <f>(24-CF3)*6+CF2+CF5*10000</f>
        <v/>
      </c>
      <c r="CG112">
        <f>(24-CG3)*6+CG2+CG5*10000</f>
        <v/>
      </c>
      <c r="CH112">
        <f>(24-CH3)*6+CH2+CH5*10000</f>
        <v/>
      </c>
      <c r="CI112">
        <f>(24-CI3)*6+CI2+CI5*10000</f>
        <v/>
      </c>
      <c r="CJ112">
        <f>(24-CJ3)*6+CJ2+CJ5*10000</f>
        <v/>
      </c>
      <c r="CK112">
        <f>(24-CK3)*6+CK2+CK5*10000</f>
        <v/>
      </c>
      <c r="CL112">
        <f>(24-CL3)*6+CL2+CL5*10000</f>
        <v/>
      </c>
      <c r="CM112">
        <f>(24-CM3)*6+CM2+CM5*10000</f>
        <v/>
      </c>
      <c r="CN112">
        <f>(24-CN3)*6+CN2+CN5*10000</f>
        <v/>
      </c>
      <c r="CO112">
        <f>(24-CO3)*6+CO2+CO5*10000</f>
        <v/>
      </c>
      <c r="CP112">
        <f>(24-CP3)*6+CP2+CP5*10000</f>
        <v/>
      </c>
      <c r="CQ112">
        <f>(24-CQ3)*6+CQ2+CQ5*10000</f>
        <v/>
      </c>
      <c r="CR112">
        <f>(24-CR3)*6+CR2+CR5*10000</f>
        <v/>
      </c>
      <c r="CS112">
        <f>(24-CS3)*6+CS2+CS5*10000</f>
        <v/>
      </c>
      <c r="CT112">
        <f>(24-CT3)*6+CT2+CT5*10000</f>
        <v/>
      </c>
      <c r="CU112">
        <f>(24-CU3)*6+CU2+CU5*10000</f>
        <v/>
      </c>
      <c r="CV112">
        <f>(24-CV3)*6+CV2+CV5*10000</f>
        <v/>
      </c>
      <c r="CW112">
        <f>(24-CW3)*6+CW2+CW5*10000</f>
        <v/>
      </c>
      <c r="CX112">
        <f>(24-CX3)*6+CX2+CX5*10000</f>
        <v/>
      </c>
      <c r="CY112">
        <f>(24-CY3)*6+CY2+CY5*10000</f>
        <v/>
      </c>
      <c r="CZ112">
        <f>(24-CZ3)*6+CZ2+CZ5*10000</f>
        <v/>
      </c>
      <c r="DA112">
        <f>(24-DA3)*6+DA2+DA5*10000</f>
        <v/>
      </c>
      <c r="DB112">
        <f>(24-DB3)*6+DB2+DB5*10000</f>
        <v/>
      </c>
      <c r="DC112">
        <f>(24-DC3)*6+DC2+DC5*10000</f>
        <v/>
      </c>
      <c r="DD112">
        <f>(24-DD3)*6+DD2+DD5*10000</f>
        <v/>
      </c>
      <c r="DE112">
        <f>(24-DE3)*6+DE2+DE5*10000</f>
        <v/>
      </c>
      <c r="DF112">
        <f>(24-DF3)*6+DF2+DF5*10000</f>
        <v/>
      </c>
      <c r="DG112">
        <f>(24-DG3)*6+DG2+DG5*10000</f>
        <v/>
      </c>
      <c r="DH112">
        <f>(24-DH3)*6+DH2+DH5*10000</f>
        <v/>
      </c>
      <c r="DI112">
        <f>(24-DI3)*6+DI2+DI5*10000</f>
        <v/>
      </c>
      <c r="DJ112">
        <f>(24-DJ3)*6+DJ2+DJ5*10000</f>
        <v/>
      </c>
      <c r="DK112">
        <f>(24-DK3)*6+DK2+DK5*10000</f>
        <v/>
      </c>
      <c r="DL112">
        <f>(24-DL3)*6+DL2+DL5*10000</f>
        <v/>
      </c>
      <c r="DM112">
        <f>(24-DM3)*6+DM2+DM5*10000</f>
        <v/>
      </c>
      <c r="DN112">
        <f>(24-DN3)*6+DN2+DN5*10000</f>
        <v/>
      </c>
      <c r="DO112">
        <f>(24-DO3)*6+DO2+DO5*10000</f>
        <v/>
      </c>
      <c r="DP112">
        <f>(24-DP3)*6+DP2+DP5*10000</f>
        <v/>
      </c>
      <c r="DQ112">
        <f>(24-DQ3)*6+DQ2+DQ5*10000</f>
        <v/>
      </c>
      <c r="DR112">
        <f>(24-DR3)*6+DR2+DR5*10000</f>
        <v/>
      </c>
      <c r="DS112">
        <f>(24-DS3)*6+DS2+DS5*10000</f>
        <v/>
      </c>
      <c r="DT112">
        <f>(24-DT3)*6+DT2+DT5*10000</f>
        <v/>
      </c>
      <c r="DU112">
        <f>(24-DU3)*6+DU2+DU5*10000</f>
        <v/>
      </c>
      <c r="DV112">
        <f>(24-DV3)*6+DV2+DV5*10000</f>
        <v/>
      </c>
      <c r="DW112">
        <f>(24-DW3)*6+DW2+DW5*10000</f>
        <v/>
      </c>
      <c r="DX112">
        <f>(24-DX3)*6+DX2+DX5*10000</f>
        <v/>
      </c>
      <c r="DY112">
        <f>(24-DY3)*6+DY2+DY5*10000</f>
        <v/>
      </c>
      <c r="DZ112">
        <f>(24-DZ3)*6+DZ2+DZ5*10000</f>
        <v/>
      </c>
      <c r="EA112">
        <f>(24-EA3)*6+EA2+EA5*10000</f>
        <v/>
      </c>
      <c r="EB112">
        <f>(24-EB3)*6+EB2+EB5*10000</f>
        <v/>
      </c>
      <c r="EC112">
        <f>(24-EC3)*6+EC2+EC5*10000</f>
        <v/>
      </c>
      <c r="ED112">
        <f>(24-ED3)*6+ED2+ED5*10000</f>
        <v/>
      </c>
      <c r="EE112">
        <f>(24-EE3)*6+EE2+EE5*10000</f>
        <v/>
      </c>
      <c r="EF112">
        <f>(24-EF3)*6+EF2+EF5*10000</f>
        <v/>
      </c>
      <c r="EG112">
        <f>(24-EG3)*6+EG2+EG5*10000</f>
        <v/>
      </c>
      <c r="EH112">
        <f>(24-EH3)*6+EH2+EH5*10000</f>
        <v/>
      </c>
      <c r="EI112">
        <f>(24-EI3)*6+EI2+EI5*10000</f>
        <v/>
      </c>
      <c r="EJ112">
        <f>(24-EJ3)*6+EJ2+EJ5*10000</f>
        <v/>
      </c>
      <c r="EK112">
        <f>(24-EK3)*6+EK2+EK5*10000</f>
        <v/>
      </c>
      <c r="EL112">
        <f>(24-EL3)*6+EL2+EL5*10000</f>
        <v/>
      </c>
      <c r="EM112">
        <f>(24-EM3)*6+EM2+EM5*10000</f>
        <v/>
      </c>
      <c r="EN112">
        <f>(24-EN3)*6+EN2+EN5*10000</f>
        <v/>
      </c>
      <c r="EO112">
        <f>(24-EO3)*6+EO2+EO5*10000</f>
        <v/>
      </c>
      <c r="EP112">
        <f>(24-EP3)*6+EP2+EP5*10000</f>
        <v/>
      </c>
      <c r="EQ112">
        <f>(24-EQ3)*6+EQ2+EQ5*10000</f>
        <v/>
      </c>
    </row>
    <row r="113">
      <c r="C113" t="inlineStr">
        <is>
          <t>早い日</t>
        </is>
      </c>
      <c r="D113">
        <f>(D2-1)*24+D3+D5*10000</f>
        <v/>
      </c>
      <c r="E113">
        <f>(E2-1)*24+E3+E5*10000</f>
        <v/>
      </c>
      <c r="F113">
        <f>(F2-1)*24+F3+F5*10000</f>
        <v/>
      </c>
      <c r="G113">
        <f>(G2-1)*24+G3+G5*10000</f>
        <v/>
      </c>
      <c r="H113">
        <f>(H2-1)*24+H3+H5*10000</f>
        <v/>
      </c>
      <c r="I113">
        <f>(I2-1)*24+I3+I5*10000</f>
        <v/>
      </c>
      <c r="J113">
        <f>(J2-1)*24+J3+J5*10000</f>
        <v/>
      </c>
      <c r="K113">
        <f>(K2-1)*24+K3+K5*10000</f>
        <v/>
      </c>
      <c r="L113">
        <f>(L2-1)*24+L3+L5*10000</f>
        <v/>
      </c>
      <c r="M113">
        <f>(M2-1)*24+M3+M5*10000</f>
        <v/>
      </c>
      <c r="N113">
        <f>(N2-1)*24+N3+N5*10000</f>
        <v/>
      </c>
      <c r="O113">
        <f>(O2-1)*24+O3+O5*10000</f>
        <v/>
      </c>
      <c r="P113">
        <f>(P2-1)*24+P3+P5*10000</f>
        <v/>
      </c>
      <c r="Q113">
        <f>(Q2-1)*24+Q3+Q5*10000</f>
        <v/>
      </c>
      <c r="R113">
        <f>(R2-1)*24+R3+R5*10000</f>
        <v/>
      </c>
      <c r="S113">
        <f>(S2-1)*24+S3+S5*10000</f>
        <v/>
      </c>
      <c r="T113">
        <f>(T2-1)*24+T3+T5*10000</f>
        <v/>
      </c>
      <c r="U113">
        <f>(U2-1)*24+U3+U5*10000</f>
        <v/>
      </c>
      <c r="V113">
        <f>(V2-1)*24+V3+V5*10000</f>
        <v/>
      </c>
      <c r="W113">
        <f>(W2-1)*24+W3+W5*10000</f>
        <v/>
      </c>
      <c r="X113">
        <f>(X2-1)*24+X3+X5*10000</f>
        <v/>
      </c>
      <c r="Y113">
        <f>(Y2-1)*24+Y3+Y5*10000</f>
        <v/>
      </c>
      <c r="Z113">
        <f>(Z2-1)*24+Z3+Z5*10000</f>
        <v/>
      </c>
      <c r="AA113">
        <f>(AA2-1)*24+AA3+AA5*10000</f>
        <v/>
      </c>
      <c r="AB113">
        <f>(AB2-1)*24+AB3+AB5*10000</f>
        <v/>
      </c>
      <c r="AC113">
        <f>(AC2-1)*24+AC3+AC5*10000</f>
        <v/>
      </c>
      <c r="AD113">
        <f>(AD2-1)*24+AD3+AD5*10000</f>
        <v/>
      </c>
      <c r="AE113">
        <f>(AE2-1)*24+AE3+AE5*10000</f>
        <v/>
      </c>
      <c r="AF113">
        <f>(AF2-1)*24+AF3+AF5*10000</f>
        <v/>
      </c>
      <c r="AG113">
        <f>(AG2-1)*24+AG3+AG5*10000</f>
        <v/>
      </c>
      <c r="AH113">
        <f>(AH2-1)*24+AH3+AH5*10000</f>
        <v/>
      </c>
      <c r="AI113">
        <f>(AI2-1)*24+AI3+AI5*10000</f>
        <v/>
      </c>
      <c r="AJ113">
        <f>(AJ2-1)*24+AJ3+AJ5*10000</f>
        <v/>
      </c>
      <c r="AK113">
        <f>(AK2-1)*24+AK3+AK5*10000</f>
        <v/>
      </c>
      <c r="AL113">
        <f>(AL2-1)*24+AL3+AL5*10000</f>
        <v/>
      </c>
      <c r="AM113">
        <f>(AM2-1)*24+AM3+AM5*10000</f>
        <v/>
      </c>
      <c r="AN113">
        <f>(AN2-1)*24+AN3+AN5*10000</f>
        <v/>
      </c>
      <c r="AO113">
        <f>(AO2-1)*24+AO3+AO5*10000</f>
        <v/>
      </c>
      <c r="AP113">
        <f>(AP2-1)*24+AP3+AP5*10000</f>
        <v/>
      </c>
      <c r="AQ113">
        <f>(AQ2-1)*24+AQ3+AQ5*10000</f>
        <v/>
      </c>
      <c r="AR113">
        <f>(AR2-1)*24+AR3+AR5*10000</f>
        <v/>
      </c>
      <c r="AS113">
        <f>(AS2-1)*24+AS3+AS5*10000</f>
        <v/>
      </c>
      <c r="AT113">
        <f>(AT2-1)*24+AT3+AT5*10000</f>
        <v/>
      </c>
      <c r="AU113">
        <f>(AU2-1)*24+AU3+AU5*10000</f>
        <v/>
      </c>
      <c r="AV113">
        <f>(AV2-1)*24+AV3+AV5*10000</f>
        <v/>
      </c>
      <c r="AW113">
        <f>(AW2-1)*24+AW3+AW5*10000</f>
        <v/>
      </c>
      <c r="AX113">
        <f>(AX2-1)*24+AX3+AX5*10000</f>
        <v/>
      </c>
      <c r="AY113">
        <f>(AY2-1)*24+AY3+AY5*10000</f>
        <v/>
      </c>
      <c r="AZ113">
        <f>(AZ2-1)*24+AZ3+AZ5*10000</f>
        <v/>
      </c>
      <c r="BA113">
        <f>(BA2-1)*24+BA3+BA5*10000</f>
        <v/>
      </c>
      <c r="BB113">
        <f>(BB2-1)*24+BB3+BB5*10000</f>
        <v/>
      </c>
      <c r="BC113">
        <f>(BC2-1)*24+BC3+BC5*10000</f>
        <v/>
      </c>
      <c r="BD113">
        <f>(BD2-1)*24+BD3+BD5*10000</f>
        <v/>
      </c>
      <c r="BE113">
        <f>(BE2-1)*24+BE3+BE5*10000</f>
        <v/>
      </c>
      <c r="BF113">
        <f>(BF2-1)*24+BF3+BF5*10000</f>
        <v/>
      </c>
      <c r="BG113">
        <f>(BG2-1)*24+BG3+BG5*10000</f>
        <v/>
      </c>
      <c r="BH113">
        <f>(BH2-1)*24+BH3+BH5*10000</f>
        <v/>
      </c>
      <c r="BI113">
        <f>(BI2-1)*24+BI3+BI5*10000</f>
        <v/>
      </c>
      <c r="BJ113">
        <f>(BJ2-1)*24+BJ3+BJ5*10000</f>
        <v/>
      </c>
      <c r="BK113">
        <f>(BK2-1)*24+BK3+BK5*10000</f>
        <v/>
      </c>
      <c r="BL113">
        <f>(BL2-1)*24+BL3+BL5*10000</f>
        <v/>
      </c>
      <c r="BM113">
        <f>(BM2-1)*24+BM3+BM5*10000</f>
        <v/>
      </c>
      <c r="BN113">
        <f>(BN2-1)*24+BN3+BN5*10000</f>
        <v/>
      </c>
      <c r="BO113">
        <f>(BO2-1)*24+BO3+BO5*10000</f>
        <v/>
      </c>
      <c r="BP113">
        <f>(BP2-1)*24+BP3+BP5*10000</f>
        <v/>
      </c>
      <c r="BQ113">
        <f>(BQ2-1)*24+BQ3+BQ5*10000</f>
        <v/>
      </c>
      <c r="BR113">
        <f>(BR2-1)*24+BR3+BR5*10000</f>
        <v/>
      </c>
      <c r="BS113">
        <f>(BS2-1)*24+BS3+BS5*10000</f>
        <v/>
      </c>
      <c r="BT113">
        <f>(BT2-1)*24+BT3+BT5*10000</f>
        <v/>
      </c>
      <c r="BU113">
        <f>(BU2-1)*24+BU3+BU5*10000</f>
        <v/>
      </c>
      <c r="BV113">
        <f>(BV2-1)*24+BV3+BV5*10000</f>
        <v/>
      </c>
      <c r="BW113">
        <f>(BW2-1)*24+BW3+BW5*10000</f>
        <v/>
      </c>
      <c r="BX113">
        <f>(BX2-1)*24+BX3+BX5*10000</f>
        <v/>
      </c>
      <c r="BY113">
        <f>(BY2-1)*24+BY3+BY5*10000</f>
        <v/>
      </c>
      <c r="BZ113">
        <f>(BZ2-1)*24+BZ3+BZ5*10000</f>
        <v/>
      </c>
      <c r="CA113">
        <f>(CA2-1)*24+CA3+CA5*10000</f>
        <v/>
      </c>
      <c r="CB113">
        <f>(CB2-1)*24+CB3+CB5*10000</f>
        <v/>
      </c>
      <c r="CC113">
        <f>(CC2-1)*24+CC3+CC5*10000</f>
        <v/>
      </c>
      <c r="CD113">
        <f>(CD2-1)*24+CD3+CD5*10000</f>
        <v/>
      </c>
      <c r="CE113">
        <f>(CE2-1)*24+CE3+CE5*10000</f>
        <v/>
      </c>
      <c r="CF113">
        <f>(CF2-1)*24+CF3+CF5*10000</f>
        <v/>
      </c>
      <c r="CG113">
        <f>(CG2-1)*24+CG3+CG5*10000</f>
        <v/>
      </c>
      <c r="CH113">
        <f>(CH2-1)*24+CH3+CH5*10000</f>
        <v/>
      </c>
      <c r="CI113">
        <f>(CI2-1)*24+CI3+CI5*10000</f>
        <v/>
      </c>
      <c r="CJ113">
        <f>(CJ2-1)*24+CJ3+CJ5*10000</f>
        <v/>
      </c>
      <c r="CK113">
        <f>(CK2-1)*24+CK3+CK5*10000</f>
        <v/>
      </c>
      <c r="CL113">
        <f>(CL2-1)*24+CL3+CL5*10000</f>
        <v/>
      </c>
      <c r="CM113">
        <f>(CM2-1)*24+CM3+CM5*10000</f>
        <v/>
      </c>
      <c r="CN113">
        <f>(CN2-1)*24+CN3+CN5*10000</f>
        <v/>
      </c>
      <c r="CO113">
        <f>(CO2-1)*24+CO3+CO5*10000</f>
        <v/>
      </c>
      <c r="CP113">
        <f>(CP2-1)*24+CP3+CP5*10000</f>
        <v/>
      </c>
      <c r="CQ113">
        <f>(CQ2-1)*24+CQ3+CQ5*10000</f>
        <v/>
      </c>
      <c r="CR113">
        <f>(CR2-1)*24+CR3+CR5*10000</f>
        <v/>
      </c>
      <c r="CS113">
        <f>(CS2-1)*24+CS3+CS5*10000</f>
        <v/>
      </c>
      <c r="CT113">
        <f>(CT2-1)*24+CT3+CT5*10000</f>
        <v/>
      </c>
      <c r="CU113">
        <f>(CU2-1)*24+CU3+CU5*10000</f>
        <v/>
      </c>
      <c r="CV113">
        <f>(CV2-1)*24+CV3+CV5*10000</f>
        <v/>
      </c>
      <c r="CW113">
        <f>(CW2-1)*24+CW3+CW5*10000</f>
        <v/>
      </c>
      <c r="CX113">
        <f>(CX2-1)*24+CX3+CX5*10000</f>
        <v/>
      </c>
      <c r="CY113">
        <f>(CY2-1)*24+CY3+CY5*10000</f>
        <v/>
      </c>
      <c r="CZ113">
        <f>(CZ2-1)*24+CZ3+CZ5*10000</f>
        <v/>
      </c>
      <c r="DA113">
        <f>(DA2-1)*24+DA3+DA5*10000</f>
        <v/>
      </c>
      <c r="DB113">
        <f>(DB2-1)*24+DB3+DB5*10000</f>
        <v/>
      </c>
      <c r="DC113">
        <f>(DC2-1)*24+DC3+DC5*10000</f>
        <v/>
      </c>
      <c r="DD113">
        <f>(DD2-1)*24+DD3+DD5*10000</f>
        <v/>
      </c>
      <c r="DE113">
        <f>(DE2-1)*24+DE3+DE5*10000</f>
        <v/>
      </c>
      <c r="DF113">
        <f>(DF2-1)*24+DF3+DF5*10000</f>
        <v/>
      </c>
      <c r="DG113">
        <f>(DG2-1)*24+DG3+DG5*10000</f>
        <v/>
      </c>
      <c r="DH113">
        <f>(DH2-1)*24+DH3+DH5*10000</f>
        <v/>
      </c>
      <c r="DI113">
        <f>(DI2-1)*24+DI3+DI5*10000</f>
        <v/>
      </c>
      <c r="DJ113">
        <f>(DJ2-1)*24+DJ3+DJ5*10000</f>
        <v/>
      </c>
      <c r="DK113">
        <f>(DK2-1)*24+DK3+DK5*10000</f>
        <v/>
      </c>
      <c r="DL113">
        <f>(DL2-1)*24+DL3+DL5*10000</f>
        <v/>
      </c>
      <c r="DM113">
        <f>(DM2-1)*24+DM3+DM5*10000</f>
        <v/>
      </c>
      <c r="DN113">
        <f>(DN2-1)*24+DN3+DN5*10000</f>
        <v/>
      </c>
      <c r="DO113">
        <f>(DO2-1)*24+DO3+DO5*10000</f>
        <v/>
      </c>
      <c r="DP113">
        <f>(DP2-1)*24+DP3+DP5*10000</f>
        <v/>
      </c>
      <c r="DQ113">
        <f>(DQ2-1)*24+DQ3+DQ5*10000</f>
        <v/>
      </c>
      <c r="DR113">
        <f>(DR2-1)*24+DR3+DR5*10000</f>
        <v/>
      </c>
      <c r="DS113">
        <f>(DS2-1)*24+DS3+DS5*10000</f>
        <v/>
      </c>
      <c r="DT113">
        <f>(DT2-1)*24+DT3+DT5*10000</f>
        <v/>
      </c>
      <c r="DU113">
        <f>(DU2-1)*24+DU3+DU5*10000</f>
        <v/>
      </c>
      <c r="DV113">
        <f>(DV2-1)*24+DV3+DV5*10000</f>
        <v/>
      </c>
      <c r="DW113">
        <f>(DW2-1)*24+DW3+DW5*10000</f>
        <v/>
      </c>
      <c r="DX113">
        <f>(DX2-1)*24+DX3+DX5*10000</f>
        <v/>
      </c>
      <c r="DY113">
        <f>(DY2-1)*24+DY3+DY5*10000</f>
        <v/>
      </c>
      <c r="DZ113">
        <f>(DZ2-1)*24+DZ3+DZ5*10000</f>
        <v/>
      </c>
      <c r="EA113">
        <f>(EA2-1)*24+EA3+EA5*10000</f>
        <v/>
      </c>
      <c r="EB113">
        <f>(EB2-1)*24+EB3+EB5*10000</f>
        <v/>
      </c>
      <c r="EC113">
        <f>(EC2-1)*24+EC3+EC5*10000</f>
        <v/>
      </c>
      <c r="ED113">
        <f>(ED2-1)*24+ED3+ED5*10000</f>
        <v/>
      </c>
      <c r="EE113">
        <f>(EE2-1)*24+EE3+EE5*10000</f>
        <v/>
      </c>
      <c r="EF113">
        <f>(EF2-1)*24+EF3+EF5*10000</f>
        <v/>
      </c>
      <c r="EG113">
        <f>(EG2-1)*24+EG3+EG5*10000</f>
        <v/>
      </c>
      <c r="EH113">
        <f>(EH2-1)*24+EH3+EH5*10000</f>
        <v/>
      </c>
      <c r="EI113">
        <f>(EI2-1)*24+EI3+EI5*10000</f>
        <v/>
      </c>
      <c r="EJ113">
        <f>(EJ2-1)*24+EJ3+EJ5*10000</f>
        <v/>
      </c>
      <c r="EK113">
        <f>(EK2-1)*24+EK3+EK5*10000</f>
        <v/>
      </c>
      <c r="EL113">
        <f>(EL2-1)*24+EL3+EL5*10000</f>
        <v/>
      </c>
      <c r="EM113">
        <f>(EM2-1)*24+EM3+EM5*10000</f>
        <v/>
      </c>
      <c r="EN113">
        <f>(EN2-1)*24+EN3+EN5*10000</f>
        <v/>
      </c>
      <c r="EO113">
        <f>(EO2-1)*24+EO3+EO5*10000</f>
        <v/>
      </c>
      <c r="EP113">
        <f>(EP2-1)*24+EP3+EP5*10000</f>
        <v/>
      </c>
      <c r="EQ113">
        <f>(EQ2-1)*24+EQ3+EQ5*10000</f>
        <v/>
      </c>
    </row>
    <row r="114">
      <c r="C114" t="inlineStr">
        <is>
          <t>遅い日</t>
        </is>
      </c>
      <c r="D114">
        <f>(6-D2)*24+D3+D5*10000</f>
        <v/>
      </c>
      <c r="E114">
        <f>(6-E2)*24+E3+E5*10000</f>
        <v/>
      </c>
      <c r="F114">
        <f>(6-F2)*24+F3+F5*10000</f>
        <v/>
      </c>
      <c r="G114">
        <f>(6-G2)*24+G3+G5*10000</f>
        <v/>
      </c>
      <c r="H114">
        <f>(6-H2)*24+H3+H5*10000</f>
        <v/>
      </c>
      <c r="I114">
        <f>(6-I2)*24+I3+I5*10000</f>
        <v/>
      </c>
      <c r="J114">
        <f>(6-J2)*24+J3+J5*10000</f>
        <v/>
      </c>
      <c r="K114">
        <f>(6-K2)*24+K3+K5*10000</f>
        <v/>
      </c>
      <c r="L114">
        <f>(6-L2)*24+L3+L5*10000</f>
        <v/>
      </c>
      <c r="M114">
        <f>(6-M2)*24+M3+M5*10000</f>
        <v/>
      </c>
      <c r="N114">
        <f>(6-N2)*24+N3+N5*10000</f>
        <v/>
      </c>
      <c r="O114">
        <f>(6-O2)*24+O3+O5*10000</f>
        <v/>
      </c>
      <c r="P114">
        <f>(6-P2)*24+P3+P5*10000</f>
        <v/>
      </c>
      <c r="Q114">
        <f>(6-Q2)*24+Q3+Q5*10000</f>
        <v/>
      </c>
      <c r="R114">
        <f>(6-R2)*24+R3+R5*10000</f>
        <v/>
      </c>
      <c r="S114">
        <f>(6-S2)*24+S3+S5*10000</f>
        <v/>
      </c>
      <c r="T114">
        <f>(6-T2)*24+T3+T5*10000</f>
        <v/>
      </c>
      <c r="U114">
        <f>(6-U2)*24+U3+U5*10000</f>
        <v/>
      </c>
      <c r="V114">
        <f>(6-V2)*24+V3+V5*10000</f>
        <v/>
      </c>
      <c r="W114">
        <f>(6-W2)*24+W3+W5*10000</f>
        <v/>
      </c>
      <c r="X114">
        <f>(6-X2)*24+X3+X5*10000</f>
        <v/>
      </c>
      <c r="Y114">
        <f>(6-Y2)*24+Y3+Y5*10000</f>
        <v/>
      </c>
      <c r="Z114">
        <f>(6-Z2)*24+Z3+Z5*10000</f>
        <v/>
      </c>
      <c r="AA114">
        <f>(6-AA2)*24+AA3+AA5*10000</f>
        <v/>
      </c>
      <c r="AB114">
        <f>(6-AB2)*24+AB3+AB5*10000</f>
        <v/>
      </c>
      <c r="AC114">
        <f>(6-AC2)*24+AC3+AC5*10000</f>
        <v/>
      </c>
      <c r="AD114">
        <f>(6-AD2)*24+AD3+AD5*10000</f>
        <v/>
      </c>
      <c r="AE114">
        <f>(6-AE2)*24+AE3+AE5*10000</f>
        <v/>
      </c>
      <c r="AF114">
        <f>(6-AF2)*24+AF3+AF5*10000</f>
        <v/>
      </c>
      <c r="AG114">
        <f>(6-AG2)*24+AG3+AG5*10000</f>
        <v/>
      </c>
      <c r="AH114">
        <f>(6-AH2)*24+AH3+AH5*10000</f>
        <v/>
      </c>
      <c r="AI114">
        <f>(6-AI2)*24+AI3+AI5*10000</f>
        <v/>
      </c>
      <c r="AJ114">
        <f>(6-AJ2)*24+AJ3+AJ5*10000</f>
        <v/>
      </c>
      <c r="AK114">
        <f>(6-AK2)*24+AK3+AK5*10000</f>
        <v/>
      </c>
      <c r="AL114">
        <f>(6-AL2)*24+AL3+AL5*10000</f>
        <v/>
      </c>
      <c r="AM114">
        <f>(6-AM2)*24+AM3+AM5*10000</f>
        <v/>
      </c>
      <c r="AN114">
        <f>(6-AN2)*24+AN3+AN5*10000</f>
        <v/>
      </c>
      <c r="AO114">
        <f>(6-AO2)*24+AO3+AO5*10000</f>
        <v/>
      </c>
      <c r="AP114">
        <f>(6-AP2)*24+AP3+AP5*10000</f>
        <v/>
      </c>
      <c r="AQ114">
        <f>(6-AQ2)*24+AQ3+AQ5*10000</f>
        <v/>
      </c>
      <c r="AR114">
        <f>(6-AR2)*24+AR3+AR5*10000</f>
        <v/>
      </c>
      <c r="AS114">
        <f>(6-AS2)*24+AS3+AS5*10000</f>
        <v/>
      </c>
      <c r="AT114">
        <f>(6-AT2)*24+AT3+AT5*10000</f>
        <v/>
      </c>
      <c r="AU114">
        <f>(6-AU2)*24+AU3+AU5*10000</f>
        <v/>
      </c>
      <c r="AV114">
        <f>(6-AV2)*24+AV3+AV5*10000</f>
        <v/>
      </c>
      <c r="AW114">
        <f>(6-AW2)*24+AW3+AW5*10000</f>
        <v/>
      </c>
      <c r="AX114">
        <f>(6-AX2)*24+AX3+AX5*10000</f>
        <v/>
      </c>
      <c r="AY114">
        <f>(6-AY2)*24+AY3+AY5*10000</f>
        <v/>
      </c>
      <c r="AZ114">
        <f>(6-AZ2)*24+AZ3+AZ5*10000</f>
        <v/>
      </c>
      <c r="BA114">
        <f>(6-BA2)*24+BA3+BA5*10000</f>
        <v/>
      </c>
      <c r="BB114">
        <f>(6-BB2)*24+BB3+BB5*10000</f>
        <v/>
      </c>
      <c r="BC114">
        <f>(6-BC2)*24+BC3+BC5*10000</f>
        <v/>
      </c>
      <c r="BD114">
        <f>(6-BD2)*24+BD3+BD5*10000</f>
        <v/>
      </c>
      <c r="BE114">
        <f>(6-BE2)*24+BE3+BE5*10000</f>
        <v/>
      </c>
      <c r="BF114">
        <f>(6-BF2)*24+BF3+BF5*10000</f>
        <v/>
      </c>
      <c r="BG114">
        <f>(6-BG2)*24+BG3+BG5*10000</f>
        <v/>
      </c>
      <c r="BH114">
        <f>(6-BH2)*24+BH3+BH5*10000</f>
        <v/>
      </c>
      <c r="BI114">
        <f>(6-BI2)*24+BI3+BI5*10000</f>
        <v/>
      </c>
      <c r="BJ114">
        <f>(6-BJ2)*24+BJ3+BJ5*10000</f>
        <v/>
      </c>
      <c r="BK114">
        <f>(6-BK2)*24+BK3+BK5*10000</f>
        <v/>
      </c>
      <c r="BL114">
        <f>(6-BL2)*24+BL3+BL5*10000</f>
        <v/>
      </c>
      <c r="BM114">
        <f>(6-BM2)*24+BM3+BM5*10000</f>
        <v/>
      </c>
      <c r="BN114">
        <f>(6-BN2)*24+BN3+BN5*10000</f>
        <v/>
      </c>
      <c r="BO114">
        <f>(6-BO2)*24+BO3+BO5*10000</f>
        <v/>
      </c>
      <c r="BP114">
        <f>(6-BP2)*24+BP3+BP5*10000</f>
        <v/>
      </c>
      <c r="BQ114">
        <f>(6-BQ2)*24+BQ3+BQ5*10000</f>
        <v/>
      </c>
      <c r="BR114">
        <f>(6-BR2)*24+BR3+BR5*10000</f>
        <v/>
      </c>
      <c r="BS114">
        <f>(6-BS2)*24+BS3+BS5*10000</f>
        <v/>
      </c>
      <c r="BT114">
        <f>(6-BT2)*24+BT3+BT5*10000</f>
        <v/>
      </c>
      <c r="BU114">
        <f>(6-BU2)*24+BU3+BU5*10000</f>
        <v/>
      </c>
      <c r="BV114">
        <f>(6-BV2)*24+BV3+BV5*10000</f>
        <v/>
      </c>
      <c r="BW114">
        <f>(6-BW2)*24+BW3+BW5*10000</f>
        <v/>
      </c>
      <c r="BX114">
        <f>(6-BX2)*24+BX3+BX5*10000</f>
        <v/>
      </c>
      <c r="BY114">
        <f>(6-BY2)*24+BY3+BY5*10000</f>
        <v/>
      </c>
      <c r="BZ114">
        <f>(6-BZ2)*24+BZ3+BZ5*10000</f>
        <v/>
      </c>
      <c r="CA114">
        <f>(6-CA2)*24+CA3+CA5*10000</f>
        <v/>
      </c>
      <c r="CB114">
        <f>(6-CB2)*24+CB3+CB5*10000</f>
        <v/>
      </c>
      <c r="CC114">
        <f>(6-CC2)*24+CC3+CC5*10000</f>
        <v/>
      </c>
      <c r="CD114">
        <f>(6-CD2)*24+CD3+CD5*10000</f>
        <v/>
      </c>
      <c r="CE114">
        <f>(6-CE2)*24+CE3+CE5*10000</f>
        <v/>
      </c>
      <c r="CF114">
        <f>(6-CF2)*24+CF3+CF5*10000</f>
        <v/>
      </c>
      <c r="CG114">
        <f>(6-CG2)*24+CG3+CG5*10000</f>
        <v/>
      </c>
      <c r="CH114">
        <f>(6-CH2)*24+CH3+CH5*10000</f>
        <v/>
      </c>
      <c r="CI114">
        <f>(6-CI2)*24+CI3+CI5*10000</f>
        <v/>
      </c>
      <c r="CJ114">
        <f>(6-CJ2)*24+CJ3+CJ5*10000</f>
        <v/>
      </c>
      <c r="CK114">
        <f>(6-CK2)*24+CK3+CK5*10000</f>
        <v/>
      </c>
      <c r="CL114">
        <f>(6-CL2)*24+CL3+CL5*10000</f>
        <v/>
      </c>
      <c r="CM114">
        <f>(6-CM2)*24+CM3+CM5*10000</f>
        <v/>
      </c>
      <c r="CN114">
        <f>(6-CN2)*24+CN3+CN5*10000</f>
        <v/>
      </c>
      <c r="CO114">
        <f>(6-CO2)*24+CO3+CO5*10000</f>
        <v/>
      </c>
      <c r="CP114">
        <f>(6-CP2)*24+CP3+CP5*10000</f>
        <v/>
      </c>
      <c r="CQ114">
        <f>(6-CQ2)*24+CQ3+CQ5*10000</f>
        <v/>
      </c>
      <c r="CR114">
        <f>(6-CR2)*24+CR3+CR5*10000</f>
        <v/>
      </c>
      <c r="CS114">
        <f>(6-CS2)*24+CS3+CS5*10000</f>
        <v/>
      </c>
      <c r="CT114">
        <f>(6-CT2)*24+CT3+CT5*10000</f>
        <v/>
      </c>
      <c r="CU114">
        <f>(6-CU2)*24+CU3+CU5*10000</f>
        <v/>
      </c>
      <c r="CV114">
        <f>(6-CV2)*24+CV3+CV5*10000</f>
        <v/>
      </c>
      <c r="CW114">
        <f>(6-CW2)*24+CW3+CW5*10000</f>
        <v/>
      </c>
      <c r="CX114">
        <f>(6-CX2)*24+CX3+CX5*10000</f>
        <v/>
      </c>
      <c r="CY114">
        <f>(6-CY2)*24+CY3+CY5*10000</f>
        <v/>
      </c>
      <c r="CZ114">
        <f>(6-CZ2)*24+CZ3+CZ5*10000</f>
        <v/>
      </c>
      <c r="DA114">
        <f>(6-DA2)*24+DA3+DA5*10000</f>
        <v/>
      </c>
      <c r="DB114">
        <f>(6-DB2)*24+DB3+DB5*10000</f>
        <v/>
      </c>
      <c r="DC114">
        <f>(6-DC2)*24+DC3+DC5*10000</f>
        <v/>
      </c>
      <c r="DD114">
        <f>(6-DD2)*24+DD3+DD5*10000</f>
        <v/>
      </c>
      <c r="DE114">
        <f>(6-DE2)*24+DE3+DE5*10000</f>
        <v/>
      </c>
      <c r="DF114">
        <f>(6-DF2)*24+DF3+DF5*10000</f>
        <v/>
      </c>
      <c r="DG114">
        <f>(6-DG2)*24+DG3+DG5*10000</f>
        <v/>
      </c>
      <c r="DH114">
        <f>(6-DH2)*24+DH3+DH5*10000</f>
        <v/>
      </c>
      <c r="DI114">
        <f>(6-DI2)*24+DI3+DI5*10000</f>
        <v/>
      </c>
      <c r="DJ114">
        <f>(6-DJ2)*24+DJ3+DJ5*10000</f>
        <v/>
      </c>
      <c r="DK114">
        <f>(6-DK2)*24+DK3+DK5*10000</f>
        <v/>
      </c>
      <c r="DL114">
        <f>(6-DL2)*24+DL3+DL5*10000</f>
        <v/>
      </c>
      <c r="DM114">
        <f>(6-DM2)*24+DM3+DM5*10000</f>
        <v/>
      </c>
      <c r="DN114">
        <f>(6-DN2)*24+DN3+DN5*10000</f>
        <v/>
      </c>
      <c r="DO114">
        <f>(6-DO2)*24+DO3+DO5*10000</f>
        <v/>
      </c>
      <c r="DP114">
        <f>(6-DP2)*24+DP3+DP5*10000</f>
        <v/>
      </c>
      <c r="DQ114">
        <f>(6-DQ2)*24+DQ3+DQ5*10000</f>
        <v/>
      </c>
      <c r="DR114">
        <f>(6-DR2)*24+DR3+DR5*10000</f>
        <v/>
      </c>
      <c r="DS114">
        <f>(6-DS2)*24+DS3+DS5*10000</f>
        <v/>
      </c>
      <c r="DT114">
        <f>(6-DT2)*24+DT3+DT5*10000</f>
        <v/>
      </c>
      <c r="DU114">
        <f>(6-DU2)*24+DU3+DU5*10000</f>
        <v/>
      </c>
      <c r="DV114">
        <f>(6-DV2)*24+DV3+DV5*10000</f>
        <v/>
      </c>
      <c r="DW114">
        <f>(6-DW2)*24+DW3+DW5*10000</f>
        <v/>
      </c>
      <c r="DX114">
        <f>(6-DX2)*24+DX3+DX5*10000</f>
        <v/>
      </c>
      <c r="DY114">
        <f>(6-DY2)*24+DY3+DY5*10000</f>
        <v/>
      </c>
      <c r="DZ114">
        <f>(6-DZ2)*24+DZ3+DZ5*10000</f>
        <v/>
      </c>
      <c r="EA114">
        <f>(6-EA2)*24+EA3+EA5*10000</f>
        <v/>
      </c>
      <c r="EB114">
        <f>(6-EB2)*24+EB3+EB5*10000</f>
        <v/>
      </c>
      <c r="EC114">
        <f>(6-EC2)*24+EC3+EC5*10000</f>
        <v/>
      </c>
      <c r="ED114">
        <f>(6-ED2)*24+ED3+ED5*10000</f>
        <v/>
      </c>
      <c r="EE114">
        <f>(6-EE2)*24+EE3+EE5*10000</f>
        <v/>
      </c>
      <c r="EF114">
        <f>(6-EF2)*24+EF3+EF5*10000</f>
        <v/>
      </c>
      <c r="EG114">
        <f>(6-EG2)*24+EG3+EG5*10000</f>
        <v/>
      </c>
      <c r="EH114">
        <f>(6-EH2)*24+EH3+EH5*10000</f>
        <v/>
      </c>
      <c r="EI114">
        <f>(6-EI2)*24+EI3+EI5*10000</f>
        <v/>
      </c>
      <c r="EJ114">
        <f>(6-EJ2)*24+EJ3+EJ5*10000</f>
        <v/>
      </c>
      <c r="EK114">
        <f>(6-EK2)*24+EK3+EK5*10000</f>
        <v/>
      </c>
      <c r="EL114">
        <f>(6-EL2)*24+EL3+EL5*10000</f>
        <v/>
      </c>
      <c r="EM114">
        <f>(6-EM2)*24+EM3+EM5*10000</f>
        <v/>
      </c>
      <c r="EN114">
        <f>(6-EN2)*24+EN3+EN5*10000</f>
        <v/>
      </c>
      <c r="EO114">
        <f>(6-EO2)*24+EO3+EO5*10000</f>
        <v/>
      </c>
      <c r="EP114">
        <f>(6-EP2)*24+EP3+EP5*10000</f>
        <v/>
      </c>
      <c r="EQ114">
        <f>(6-EQ2)*24+EQ3+EQ5*10000</f>
        <v/>
      </c>
    </row>
    <row r="115">
      <c r="C115" t="inlineStr">
        <is>
          <t>設定にある枠</t>
        </is>
      </c>
      <c r="D115">
        <f>IF(AND(INDEX('設定'!$B$11:$B$16,D2)&lt;&gt;"",D3&lt;='設定'!$B$6),1,0)</f>
        <v/>
      </c>
      <c r="E115">
        <f>IF(AND(INDEX('設定'!$B$11:$B$16,E2)&lt;&gt;"",E3&lt;='設定'!$B$6),1,0)</f>
        <v/>
      </c>
      <c r="F115">
        <f>IF(AND(INDEX('設定'!$B$11:$B$16,F2)&lt;&gt;"",F3&lt;='設定'!$B$6),1,0)</f>
        <v/>
      </c>
      <c r="G115">
        <f>IF(AND(INDEX('設定'!$B$11:$B$16,G2)&lt;&gt;"",G3&lt;='設定'!$B$6),1,0)</f>
        <v/>
      </c>
      <c r="H115">
        <f>IF(AND(INDEX('設定'!$B$11:$B$16,H2)&lt;&gt;"",H3&lt;='設定'!$B$6),1,0)</f>
        <v/>
      </c>
      <c r="I115">
        <f>IF(AND(INDEX('設定'!$B$11:$B$16,I2)&lt;&gt;"",I3&lt;='設定'!$B$6),1,0)</f>
        <v/>
      </c>
      <c r="J115">
        <f>IF(AND(INDEX('設定'!$B$11:$B$16,J2)&lt;&gt;"",J3&lt;='設定'!$B$6),1,0)</f>
        <v/>
      </c>
      <c r="K115">
        <f>IF(AND(INDEX('設定'!$B$11:$B$16,K2)&lt;&gt;"",K3&lt;='設定'!$B$6),1,0)</f>
        <v/>
      </c>
      <c r="L115">
        <f>IF(AND(INDEX('設定'!$B$11:$B$16,L2)&lt;&gt;"",L3&lt;='設定'!$B$6),1,0)</f>
        <v/>
      </c>
      <c r="M115">
        <f>IF(AND(INDEX('設定'!$B$11:$B$16,M2)&lt;&gt;"",M3&lt;='設定'!$B$6),1,0)</f>
        <v/>
      </c>
      <c r="N115">
        <f>IF(AND(INDEX('設定'!$B$11:$B$16,N2)&lt;&gt;"",N3&lt;='設定'!$B$6),1,0)</f>
        <v/>
      </c>
      <c r="O115">
        <f>IF(AND(INDEX('設定'!$B$11:$B$16,O2)&lt;&gt;"",O3&lt;='設定'!$B$6),1,0)</f>
        <v/>
      </c>
      <c r="P115">
        <f>IF(AND(INDEX('設定'!$B$11:$B$16,P2)&lt;&gt;"",P3&lt;='設定'!$B$6),1,0)</f>
        <v/>
      </c>
      <c r="Q115">
        <f>IF(AND(INDEX('設定'!$B$11:$B$16,Q2)&lt;&gt;"",Q3&lt;='設定'!$B$6),1,0)</f>
        <v/>
      </c>
      <c r="R115">
        <f>IF(AND(INDEX('設定'!$B$11:$B$16,R2)&lt;&gt;"",R3&lt;='設定'!$B$6),1,0)</f>
        <v/>
      </c>
      <c r="S115">
        <f>IF(AND(INDEX('設定'!$B$11:$B$16,S2)&lt;&gt;"",S3&lt;='設定'!$B$6),1,0)</f>
        <v/>
      </c>
      <c r="T115">
        <f>IF(AND(INDEX('設定'!$B$11:$B$16,T2)&lt;&gt;"",T3&lt;='設定'!$B$6),1,0)</f>
        <v/>
      </c>
      <c r="U115">
        <f>IF(AND(INDEX('設定'!$B$11:$B$16,U2)&lt;&gt;"",U3&lt;='設定'!$B$6),1,0)</f>
        <v/>
      </c>
      <c r="V115">
        <f>IF(AND(INDEX('設定'!$B$11:$B$16,V2)&lt;&gt;"",V3&lt;='設定'!$B$6),1,0)</f>
        <v/>
      </c>
      <c r="W115">
        <f>IF(AND(INDEX('設定'!$B$11:$B$16,W2)&lt;&gt;"",W3&lt;='設定'!$B$6),1,0)</f>
        <v/>
      </c>
      <c r="X115">
        <f>IF(AND(INDEX('設定'!$B$11:$B$16,X2)&lt;&gt;"",X3&lt;='設定'!$B$6),1,0)</f>
        <v/>
      </c>
      <c r="Y115">
        <f>IF(AND(INDEX('設定'!$B$11:$B$16,Y2)&lt;&gt;"",Y3&lt;='設定'!$B$6),1,0)</f>
        <v/>
      </c>
      <c r="Z115">
        <f>IF(AND(INDEX('設定'!$B$11:$B$16,Z2)&lt;&gt;"",Z3&lt;='設定'!$B$6),1,0)</f>
        <v/>
      </c>
      <c r="AA115">
        <f>IF(AND(INDEX('設定'!$B$11:$B$16,AA2)&lt;&gt;"",AA3&lt;='設定'!$B$6),1,0)</f>
        <v/>
      </c>
      <c r="AB115">
        <f>IF(AND(INDEX('設定'!$B$11:$B$16,AB2)&lt;&gt;"",AB3&lt;='設定'!$B$6),1,0)</f>
        <v/>
      </c>
      <c r="AC115">
        <f>IF(AND(INDEX('設定'!$B$11:$B$16,AC2)&lt;&gt;"",AC3&lt;='設定'!$B$6),1,0)</f>
        <v/>
      </c>
      <c r="AD115">
        <f>IF(AND(INDEX('設定'!$B$11:$B$16,AD2)&lt;&gt;"",AD3&lt;='設定'!$B$6),1,0)</f>
        <v/>
      </c>
      <c r="AE115">
        <f>IF(AND(INDEX('設定'!$B$11:$B$16,AE2)&lt;&gt;"",AE3&lt;='設定'!$B$6),1,0)</f>
        <v/>
      </c>
      <c r="AF115">
        <f>IF(AND(INDEX('設定'!$B$11:$B$16,AF2)&lt;&gt;"",AF3&lt;='設定'!$B$6),1,0)</f>
        <v/>
      </c>
      <c r="AG115">
        <f>IF(AND(INDEX('設定'!$B$11:$B$16,AG2)&lt;&gt;"",AG3&lt;='設定'!$B$6),1,0)</f>
        <v/>
      </c>
      <c r="AH115">
        <f>IF(AND(INDEX('設定'!$B$11:$B$16,AH2)&lt;&gt;"",AH3&lt;='設定'!$B$6),1,0)</f>
        <v/>
      </c>
      <c r="AI115">
        <f>IF(AND(INDEX('設定'!$B$11:$B$16,AI2)&lt;&gt;"",AI3&lt;='設定'!$B$6),1,0)</f>
        <v/>
      </c>
      <c r="AJ115">
        <f>IF(AND(INDEX('設定'!$B$11:$B$16,AJ2)&lt;&gt;"",AJ3&lt;='設定'!$B$6),1,0)</f>
        <v/>
      </c>
      <c r="AK115">
        <f>IF(AND(INDEX('設定'!$B$11:$B$16,AK2)&lt;&gt;"",AK3&lt;='設定'!$B$6),1,0)</f>
        <v/>
      </c>
      <c r="AL115">
        <f>IF(AND(INDEX('設定'!$B$11:$B$16,AL2)&lt;&gt;"",AL3&lt;='設定'!$B$6),1,0)</f>
        <v/>
      </c>
      <c r="AM115">
        <f>IF(AND(INDEX('設定'!$B$11:$B$16,AM2)&lt;&gt;"",AM3&lt;='設定'!$B$6),1,0)</f>
        <v/>
      </c>
      <c r="AN115">
        <f>IF(AND(INDEX('設定'!$B$11:$B$16,AN2)&lt;&gt;"",AN3&lt;='設定'!$B$6),1,0)</f>
        <v/>
      </c>
      <c r="AO115">
        <f>IF(AND(INDEX('設定'!$B$11:$B$16,AO2)&lt;&gt;"",AO3&lt;='設定'!$B$6),1,0)</f>
        <v/>
      </c>
      <c r="AP115">
        <f>IF(AND(INDEX('設定'!$B$11:$B$16,AP2)&lt;&gt;"",AP3&lt;='設定'!$B$6),1,0)</f>
        <v/>
      </c>
      <c r="AQ115">
        <f>IF(AND(INDEX('設定'!$B$11:$B$16,AQ2)&lt;&gt;"",AQ3&lt;='設定'!$B$6),1,0)</f>
        <v/>
      </c>
      <c r="AR115">
        <f>IF(AND(INDEX('設定'!$B$11:$B$16,AR2)&lt;&gt;"",AR3&lt;='設定'!$B$6),1,0)</f>
        <v/>
      </c>
      <c r="AS115">
        <f>IF(AND(INDEX('設定'!$B$11:$B$16,AS2)&lt;&gt;"",AS3&lt;='設定'!$B$6),1,0)</f>
        <v/>
      </c>
      <c r="AT115">
        <f>IF(AND(INDEX('設定'!$B$11:$B$16,AT2)&lt;&gt;"",AT3&lt;='設定'!$B$6),1,0)</f>
        <v/>
      </c>
      <c r="AU115">
        <f>IF(AND(INDEX('設定'!$B$11:$B$16,AU2)&lt;&gt;"",AU3&lt;='設定'!$B$6),1,0)</f>
        <v/>
      </c>
      <c r="AV115">
        <f>IF(AND(INDEX('設定'!$B$11:$B$16,AV2)&lt;&gt;"",AV3&lt;='設定'!$B$6),1,0)</f>
        <v/>
      </c>
      <c r="AW115">
        <f>IF(AND(INDEX('設定'!$B$11:$B$16,AW2)&lt;&gt;"",AW3&lt;='設定'!$B$6),1,0)</f>
        <v/>
      </c>
      <c r="AX115">
        <f>IF(AND(INDEX('設定'!$B$11:$B$16,AX2)&lt;&gt;"",AX3&lt;='設定'!$B$6),1,0)</f>
        <v/>
      </c>
      <c r="AY115">
        <f>IF(AND(INDEX('設定'!$B$11:$B$16,AY2)&lt;&gt;"",AY3&lt;='設定'!$B$6),1,0)</f>
        <v/>
      </c>
      <c r="AZ115">
        <f>IF(AND(INDEX('設定'!$B$11:$B$16,AZ2)&lt;&gt;"",AZ3&lt;='設定'!$B$6),1,0)</f>
        <v/>
      </c>
      <c r="BA115">
        <f>IF(AND(INDEX('設定'!$B$11:$B$16,BA2)&lt;&gt;"",BA3&lt;='設定'!$B$6),1,0)</f>
        <v/>
      </c>
      <c r="BB115">
        <f>IF(AND(INDEX('設定'!$B$11:$B$16,BB2)&lt;&gt;"",BB3&lt;='設定'!$B$6),1,0)</f>
        <v/>
      </c>
      <c r="BC115">
        <f>IF(AND(INDEX('設定'!$B$11:$B$16,BC2)&lt;&gt;"",BC3&lt;='設定'!$B$6),1,0)</f>
        <v/>
      </c>
      <c r="BD115">
        <f>IF(AND(INDEX('設定'!$B$11:$B$16,BD2)&lt;&gt;"",BD3&lt;='設定'!$B$6),1,0)</f>
        <v/>
      </c>
      <c r="BE115">
        <f>IF(AND(INDEX('設定'!$B$11:$B$16,BE2)&lt;&gt;"",BE3&lt;='設定'!$B$6),1,0)</f>
        <v/>
      </c>
      <c r="BF115">
        <f>IF(AND(INDEX('設定'!$B$11:$B$16,BF2)&lt;&gt;"",BF3&lt;='設定'!$B$6),1,0)</f>
        <v/>
      </c>
      <c r="BG115">
        <f>IF(AND(INDEX('設定'!$B$11:$B$16,BG2)&lt;&gt;"",BG3&lt;='設定'!$B$6),1,0)</f>
        <v/>
      </c>
      <c r="BH115">
        <f>IF(AND(INDEX('設定'!$B$11:$B$16,BH2)&lt;&gt;"",BH3&lt;='設定'!$B$6),1,0)</f>
        <v/>
      </c>
      <c r="BI115">
        <f>IF(AND(INDEX('設定'!$B$11:$B$16,BI2)&lt;&gt;"",BI3&lt;='設定'!$B$6),1,0)</f>
        <v/>
      </c>
      <c r="BJ115">
        <f>IF(AND(INDEX('設定'!$B$11:$B$16,BJ2)&lt;&gt;"",BJ3&lt;='設定'!$B$6),1,0)</f>
        <v/>
      </c>
      <c r="BK115">
        <f>IF(AND(INDEX('設定'!$B$11:$B$16,BK2)&lt;&gt;"",BK3&lt;='設定'!$B$6),1,0)</f>
        <v/>
      </c>
      <c r="BL115">
        <f>IF(AND(INDEX('設定'!$B$11:$B$16,BL2)&lt;&gt;"",BL3&lt;='設定'!$B$6),1,0)</f>
        <v/>
      </c>
      <c r="BM115">
        <f>IF(AND(INDEX('設定'!$B$11:$B$16,BM2)&lt;&gt;"",BM3&lt;='設定'!$B$6),1,0)</f>
        <v/>
      </c>
      <c r="BN115">
        <f>IF(AND(INDEX('設定'!$B$11:$B$16,BN2)&lt;&gt;"",BN3&lt;='設定'!$B$6),1,0)</f>
        <v/>
      </c>
      <c r="BO115">
        <f>IF(AND(INDEX('設定'!$B$11:$B$16,BO2)&lt;&gt;"",BO3&lt;='設定'!$B$6),1,0)</f>
        <v/>
      </c>
      <c r="BP115">
        <f>IF(AND(INDEX('設定'!$B$11:$B$16,BP2)&lt;&gt;"",BP3&lt;='設定'!$B$6),1,0)</f>
        <v/>
      </c>
      <c r="BQ115">
        <f>IF(AND(INDEX('設定'!$B$11:$B$16,BQ2)&lt;&gt;"",BQ3&lt;='設定'!$B$6),1,0)</f>
        <v/>
      </c>
      <c r="BR115">
        <f>IF(AND(INDEX('設定'!$B$11:$B$16,BR2)&lt;&gt;"",BR3&lt;='設定'!$B$6),1,0)</f>
        <v/>
      </c>
      <c r="BS115">
        <f>IF(AND(INDEX('設定'!$B$11:$B$16,BS2)&lt;&gt;"",BS3&lt;='設定'!$B$6),1,0)</f>
        <v/>
      </c>
      <c r="BT115">
        <f>IF(AND(INDEX('設定'!$B$11:$B$16,BT2)&lt;&gt;"",BT3&lt;='設定'!$B$6),1,0)</f>
        <v/>
      </c>
      <c r="BU115">
        <f>IF(AND(INDEX('設定'!$B$11:$B$16,BU2)&lt;&gt;"",BU3&lt;='設定'!$B$6),1,0)</f>
        <v/>
      </c>
      <c r="BV115">
        <f>IF(AND(INDEX('設定'!$B$11:$B$16,BV2)&lt;&gt;"",BV3&lt;='設定'!$B$6),1,0)</f>
        <v/>
      </c>
      <c r="BW115">
        <f>IF(AND(INDEX('設定'!$B$11:$B$16,BW2)&lt;&gt;"",BW3&lt;='設定'!$B$6),1,0)</f>
        <v/>
      </c>
      <c r="BX115">
        <f>IF(AND(INDEX('設定'!$B$11:$B$16,BX2)&lt;&gt;"",BX3&lt;='設定'!$B$6),1,0)</f>
        <v/>
      </c>
      <c r="BY115">
        <f>IF(AND(INDEX('設定'!$B$11:$B$16,BY2)&lt;&gt;"",BY3&lt;='設定'!$B$6),1,0)</f>
        <v/>
      </c>
      <c r="BZ115">
        <f>IF(AND(INDEX('設定'!$B$11:$B$16,BZ2)&lt;&gt;"",BZ3&lt;='設定'!$B$6),1,0)</f>
        <v/>
      </c>
      <c r="CA115">
        <f>IF(AND(INDEX('設定'!$B$11:$B$16,CA2)&lt;&gt;"",CA3&lt;='設定'!$B$6),1,0)</f>
        <v/>
      </c>
      <c r="CB115">
        <f>IF(AND(INDEX('設定'!$B$11:$B$16,CB2)&lt;&gt;"",CB3&lt;='設定'!$B$6),1,0)</f>
        <v/>
      </c>
      <c r="CC115">
        <f>IF(AND(INDEX('設定'!$B$11:$B$16,CC2)&lt;&gt;"",CC3&lt;='設定'!$B$6),1,0)</f>
        <v/>
      </c>
      <c r="CD115">
        <f>IF(AND(INDEX('設定'!$B$11:$B$16,CD2)&lt;&gt;"",CD3&lt;='設定'!$B$6),1,0)</f>
        <v/>
      </c>
      <c r="CE115">
        <f>IF(AND(INDEX('設定'!$B$11:$B$16,CE2)&lt;&gt;"",CE3&lt;='設定'!$B$6),1,0)</f>
        <v/>
      </c>
      <c r="CF115">
        <f>IF(AND(INDEX('設定'!$B$11:$B$16,CF2)&lt;&gt;"",CF3&lt;='設定'!$B$6),1,0)</f>
        <v/>
      </c>
      <c r="CG115">
        <f>IF(AND(INDEX('設定'!$B$11:$B$16,CG2)&lt;&gt;"",CG3&lt;='設定'!$B$6),1,0)</f>
        <v/>
      </c>
      <c r="CH115">
        <f>IF(AND(INDEX('設定'!$B$11:$B$16,CH2)&lt;&gt;"",CH3&lt;='設定'!$B$6),1,0)</f>
        <v/>
      </c>
      <c r="CI115">
        <f>IF(AND(INDEX('設定'!$B$11:$B$16,CI2)&lt;&gt;"",CI3&lt;='設定'!$B$6),1,0)</f>
        <v/>
      </c>
      <c r="CJ115">
        <f>IF(AND(INDEX('設定'!$B$11:$B$16,CJ2)&lt;&gt;"",CJ3&lt;='設定'!$B$6),1,0)</f>
        <v/>
      </c>
      <c r="CK115">
        <f>IF(AND(INDEX('設定'!$B$11:$B$16,CK2)&lt;&gt;"",CK3&lt;='設定'!$B$6),1,0)</f>
        <v/>
      </c>
      <c r="CL115">
        <f>IF(AND(INDEX('設定'!$B$11:$B$16,CL2)&lt;&gt;"",CL3&lt;='設定'!$B$6),1,0)</f>
        <v/>
      </c>
      <c r="CM115">
        <f>IF(AND(INDEX('設定'!$B$11:$B$16,CM2)&lt;&gt;"",CM3&lt;='設定'!$B$6),1,0)</f>
        <v/>
      </c>
      <c r="CN115">
        <f>IF(AND(INDEX('設定'!$B$11:$B$16,CN2)&lt;&gt;"",CN3&lt;='設定'!$B$6),1,0)</f>
        <v/>
      </c>
      <c r="CO115">
        <f>IF(AND(INDEX('設定'!$B$11:$B$16,CO2)&lt;&gt;"",CO3&lt;='設定'!$B$6),1,0)</f>
        <v/>
      </c>
      <c r="CP115">
        <f>IF(AND(INDEX('設定'!$B$11:$B$16,CP2)&lt;&gt;"",CP3&lt;='設定'!$B$6),1,0)</f>
        <v/>
      </c>
      <c r="CQ115">
        <f>IF(AND(INDEX('設定'!$B$11:$B$16,CQ2)&lt;&gt;"",CQ3&lt;='設定'!$B$6),1,0)</f>
        <v/>
      </c>
      <c r="CR115">
        <f>IF(AND(INDEX('設定'!$B$11:$B$16,CR2)&lt;&gt;"",CR3&lt;='設定'!$B$6),1,0)</f>
        <v/>
      </c>
      <c r="CS115">
        <f>IF(AND(INDEX('設定'!$B$11:$B$16,CS2)&lt;&gt;"",CS3&lt;='設定'!$B$6),1,0)</f>
        <v/>
      </c>
      <c r="CT115">
        <f>IF(AND(INDEX('設定'!$B$11:$B$16,CT2)&lt;&gt;"",CT3&lt;='設定'!$B$6),1,0)</f>
        <v/>
      </c>
      <c r="CU115">
        <f>IF(AND(INDEX('設定'!$B$11:$B$16,CU2)&lt;&gt;"",CU3&lt;='設定'!$B$6),1,0)</f>
        <v/>
      </c>
      <c r="CV115">
        <f>IF(AND(INDEX('設定'!$B$11:$B$16,CV2)&lt;&gt;"",CV3&lt;='設定'!$B$6),1,0)</f>
        <v/>
      </c>
      <c r="CW115">
        <f>IF(AND(INDEX('設定'!$B$11:$B$16,CW2)&lt;&gt;"",CW3&lt;='設定'!$B$6),1,0)</f>
        <v/>
      </c>
      <c r="CX115">
        <f>IF(AND(INDEX('設定'!$B$11:$B$16,CX2)&lt;&gt;"",CX3&lt;='設定'!$B$6),1,0)</f>
        <v/>
      </c>
      <c r="CY115">
        <f>IF(AND(INDEX('設定'!$B$11:$B$16,CY2)&lt;&gt;"",CY3&lt;='設定'!$B$6),1,0)</f>
        <v/>
      </c>
      <c r="CZ115">
        <f>IF(AND(INDEX('設定'!$B$11:$B$16,CZ2)&lt;&gt;"",CZ3&lt;='設定'!$B$6),1,0)</f>
        <v/>
      </c>
      <c r="DA115">
        <f>IF(AND(INDEX('設定'!$B$11:$B$16,DA2)&lt;&gt;"",DA3&lt;='設定'!$B$6),1,0)</f>
        <v/>
      </c>
      <c r="DB115">
        <f>IF(AND(INDEX('設定'!$B$11:$B$16,DB2)&lt;&gt;"",DB3&lt;='設定'!$B$6),1,0)</f>
        <v/>
      </c>
      <c r="DC115">
        <f>IF(AND(INDEX('設定'!$B$11:$B$16,DC2)&lt;&gt;"",DC3&lt;='設定'!$B$6),1,0)</f>
        <v/>
      </c>
      <c r="DD115">
        <f>IF(AND(INDEX('設定'!$B$11:$B$16,DD2)&lt;&gt;"",DD3&lt;='設定'!$B$6),1,0)</f>
        <v/>
      </c>
      <c r="DE115">
        <f>IF(AND(INDEX('設定'!$B$11:$B$16,DE2)&lt;&gt;"",DE3&lt;='設定'!$B$6),1,0)</f>
        <v/>
      </c>
      <c r="DF115">
        <f>IF(AND(INDEX('設定'!$B$11:$B$16,DF2)&lt;&gt;"",DF3&lt;='設定'!$B$6),1,0)</f>
        <v/>
      </c>
      <c r="DG115">
        <f>IF(AND(INDEX('設定'!$B$11:$B$16,DG2)&lt;&gt;"",DG3&lt;='設定'!$B$6),1,0)</f>
        <v/>
      </c>
      <c r="DH115">
        <f>IF(AND(INDEX('設定'!$B$11:$B$16,DH2)&lt;&gt;"",DH3&lt;='設定'!$B$6),1,0)</f>
        <v/>
      </c>
      <c r="DI115">
        <f>IF(AND(INDEX('設定'!$B$11:$B$16,DI2)&lt;&gt;"",DI3&lt;='設定'!$B$6),1,0)</f>
        <v/>
      </c>
      <c r="DJ115">
        <f>IF(AND(INDEX('設定'!$B$11:$B$16,DJ2)&lt;&gt;"",DJ3&lt;='設定'!$B$6),1,0)</f>
        <v/>
      </c>
      <c r="DK115">
        <f>IF(AND(INDEX('設定'!$B$11:$B$16,DK2)&lt;&gt;"",DK3&lt;='設定'!$B$6),1,0)</f>
        <v/>
      </c>
      <c r="DL115">
        <f>IF(AND(INDEX('設定'!$B$11:$B$16,DL2)&lt;&gt;"",DL3&lt;='設定'!$B$6),1,0)</f>
        <v/>
      </c>
      <c r="DM115">
        <f>IF(AND(INDEX('設定'!$B$11:$B$16,DM2)&lt;&gt;"",DM3&lt;='設定'!$B$6),1,0)</f>
        <v/>
      </c>
      <c r="DN115">
        <f>IF(AND(INDEX('設定'!$B$11:$B$16,DN2)&lt;&gt;"",DN3&lt;='設定'!$B$6),1,0)</f>
        <v/>
      </c>
      <c r="DO115">
        <f>IF(AND(INDEX('設定'!$B$11:$B$16,DO2)&lt;&gt;"",DO3&lt;='設定'!$B$6),1,0)</f>
        <v/>
      </c>
      <c r="DP115">
        <f>IF(AND(INDEX('設定'!$B$11:$B$16,DP2)&lt;&gt;"",DP3&lt;='設定'!$B$6),1,0)</f>
        <v/>
      </c>
      <c r="DQ115">
        <f>IF(AND(INDEX('設定'!$B$11:$B$16,DQ2)&lt;&gt;"",DQ3&lt;='設定'!$B$6),1,0)</f>
        <v/>
      </c>
      <c r="DR115">
        <f>IF(AND(INDEX('設定'!$B$11:$B$16,DR2)&lt;&gt;"",DR3&lt;='設定'!$B$6),1,0)</f>
        <v/>
      </c>
      <c r="DS115">
        <f>IF(AND(INDEX('設定'!$B$11:$B$16,DS2)&lt;&gt;"",DS3&lt;='設定'!$B$6),1,0)</f>
        <v/>
      </c>
      <c r="DT115">
        <f>IF(AND(INDEX('設定'!$B$11:$B$16,DT2)&lt;&gt;"",DT3&lt;='設定'!$B$6),1,0)</f>
        <v/>
      </c>
      <c r="DU115">
        <f>IF(AND(INDEX('設定'!$B$11:$B$16,DU2)&lt;&gt;"",DU3&lt;='設定'!$B$6),1,0)</f>
        <v/>
      </c>
      <c r="DV115">
        <f>IF(AND(INDEX('設定'!$B$11:$B$16,DV2)&lt;&gt;"",DV3&lt;='設定'!$B$6),1,0)</f>
        <v/>
      </c>
      <c r="DW115">
        <f>IF(AND(INDEX('設定'!$B$11:$B$16,DW2)&lt;&gt;"",DW3&lt;='設定'!$B$6),1,0)</f>
        <v/>
      </c>
      <c r="DX115">
        <f>IF(AND(INDEX('設定'!$B$11:$B$16,DX2)&lt;&gt;"",DX3&lt;='設定'!$B$6),1,0)</f>
        <v/>
      </c>
      <c r="DY115">
        <f>IF(AND(INDEX('設定'!$B$11:$B$16,DY2)&lt;&gt;"",DY3&lt;='設定'!$B$6),1,0)</f>
        <v/>
      </c>
      <c r="DZ115">
        <f>IF(AND(INDEX('設定'!$B$11:$B$16,DZ2)&lt;&gt;"",DZ3&lt;='設定'!$B$6),1,0)</f>
        <v/>
      </c>
      <c r="EA115">
        <f>IF(AND(INDEX('設定'!$B$11:$B$16,EA2)&lt;&gt;"",EA3&lt;='設定'!$B$6),1,0)</f>
        <v/>
      </c>
      <c r="EB115">
        <f>IF(AND(INDEX('設定'!$B$11:$B$16,EB2)&lt;&gt;"",EB3&lt;='設定'!$B$6),1,0)</f>
        <v/>
      </c>
      <c r="EC115">
        <f>IF(AND(INDEX('設定'!$B$11:$B$16,EC2)&lt;&gt;"",EC3&lt;='設定'!$B$6),1,0)</f>
        <v/>
      </c>
      <c r="ED115">
        <f>IF(AND(INDEX('設定'!$B$11:$B$16,ED2)&lt;&gt;"",ED3&lt;='設定'!$B$6),1,0)</f>
        <v/>
      </c>
      <c r="EE115">
        <f>IF(AND(INDEX('設定'!$B$11:$B$16,EE2)&lt;&gt;"",EE3&lt;='設定'!$B$6),1,0)</f>
        <v/>
      </c>
      <c r="EF115">
        <f>IF(AND(INDEX('設定'!$B$11:$B$16,EF2)&lt;&gt;"",EF3&lt;='設定'!$B$6),1,0)</f>
        <v/>
      </c>
      <c r="EG115">
        <f>IF(AND(INDEX('設定'!$B$11:$B$16,EG2)&lt;&gt;"",EG3&lt;='設定'!$B$6),1,0)</f>
        <v/>
      </c>
      <c r="EH115">
        <f>IF(AND(INDEX('設定'!$B$11:$B$16,EH2)&lt;&gt;"",EH3&lt;='設定'!$B$6),1,0)</f>
        <v/>
      </c>
      <c r="EI115">
        <f>IF(AND(INDEX('設定'!$B$11:$B$16,EI2)&lt;&gt;"",EI3&lt;='設定'!$B$6),1,0)</f>
        <v/>
      </c>
      <c r="EJ115">
        <f>IF(AND(INDEX('設定'!$B$11:$B$16,EJ2)&lt;&gt;"",EJ3&lt;='設定'!$B$6),1,0)</f>
        <v/>
      </c>
      <c r="EK115">
        <f>IF(AND(INDEX('設定'!$B$11:$B$16,EK2)&lt;&gt;"",EK3&lt;='設定'!$B$6),1,0)</f>
        <v/>
      </c>
      <c r="EL115">
        <f>IF(AND(INDEX('設定'!$B$11:$B$16,EL2)&lt;&gt;"",EL3&lt;='設定'!$B$6),1,0)</f>
        <v/>
      </c>
      <c r="EM115">
        <f>IF(AND(INDEX('設定'!$B$11:$B$16,EM2)&lt;&gt;"",EM3&lt;='設定'!$B$6),1,0)</f>
        <v/>
      </c>
      <c r="EN115">
        <f>IF(AND(INDEX('設定'!$B$11:$B$16,EN2)&lt;&gt;"",EN3&lt;='設定'!$B$6),1,0)</f>
        <v/>
      </c>
      <c r="EO115">
        <f>IF(AND(INDEX('設定'!$B$11:$B$16,EO2)&lt;&gt;"",EO3&lt;='設定'!$B$6),1,0)</f>
        <v/>
      </c>
      <c r="EP115">
        <f>IF(AND(INDEX('設定'!$B$11:$B$16,EP2)&lt;&gt;"",EP3&lt;='設定'!$B$6),1,0)</f>
        <v/>
      </c>
      <c r="EQ115">
        <f>IF(AND(INDEX('設定'!$B$11:$B$16,EQ2)&lt;&gt;"",EQ3&lt;='設定'!$B$6),1,0)</f>
        <v/>
      </c>
    </row>
    <row r="116">
      <c r="C116" t="inlineStr">
        <is>
          <t>自動Bで空ける</t>
        </is>
      </c>
      <c r="D116">
        <f>IF(COUNTIF('calcC'!$G$3:$G$47,1)&gt;0,1,0)</f>
        <v/>
      </c>
      <c r="E116">
        <f>IF(COUNTIF('calcC'!$G$3:$G$47,2)&gt;0,1,0)</f>
        <v/>
      </c>
      <c r="F116">
        <f>IF(COUNTIF('calcC'!$G$3:$G$47,3)&gt;0,1,0)</f>
        <v/>
      </c>
      <c r="G116">
        <f>IF(COUNTIF('calcC'!$G$3:$G$47,4)&gt;0,1,0)</f>
        <v/>
      </c>
      <c r="H116">
        <f>IF(COUNTIF('calcC'!$G$3:$G$47,5)&gt;0,1,0)</f>
        <v/>
      </c>
      <c r="I116">
        <f>IF(COUNTIF('calcC'!$G$3:$G$47,6)&gt;0,1,0)</f>
        <v/>
      </c>
      <c r="J116">
        <f>IF(COUNTIF('calcC'!$G$3:$G$47,7)&gt;0,1,0)</f>
        <v/>
      </c>
      <c r="K116">
        <f>IF(COUNTIF('calcC'!$G$3:$G$47,8)&gt;0,1,0)</f>
        <v/>
      </c>
      <c r="L116">
        <f>IF(COUNTIF('calcC'!$G$3:$G$47,9)&gt;0,1,0)</f>
        <v/>
      </c>
      <c r="M116">
        <f>IF(COUNTIF('calcC'!$G$3:$G$47,10)&gt;0,1,0)</f>
        <v/>
      </c>
      <c r="N116">
        <f>IF(COUNTIF('calcC'!$G$3:$G$47,11)&gt;0,1,0)</f>
        <v/>
      </c>
      <c r="O116">
        <f>IF(COUNTIF('calcC'!$G$3:$G$47,12)&gt;0,1,0)</f>
        <v/>
      </c>
      <c r="P116">
        <f>IF(COUNTIF('calcC'!$G$3:$G$47,13)&gt;0,1,0)</f>
        <v/>
      </c>
      <c r="Q116">
        <f>IF(COUNTIF('calcC'!$G$3:$G$47,14)&gt;0,1,0)</f>
        <v/>
      </c>
      <c r="R116">
        <f>IF(COUNTIF('calcC'!$G$3:$G$47,15)&gt;0,1,0)</f>
        <v/>
      </c>
      <c r="S116">
        <f>IF(COUNTIF('calcC'!$G$3:$G$47,16)&gt;0,1,0)</f>
        <v/>
      </c>
      <c r="T116">
        <f>IF(COUNTIF('calcC'!$G$3:$G$47,17)&gt;0,1,0)</f>
        <v/>
      </c>
      <c r="U116">
        <f>IF(COUNTIF('calcC'!$G$3:$G$47,18)&gt;0,1,0)</f>
        <v/>
      </c>
      <c r="V116">
        <f>IF(COUNTIF('calcC'!$G$3:$G$47,19)&gt;0,1,0)</f>
        <v/>
      </c>
      <c r="W116">
        <f>IF(COUNTIF('calcC'!$G$3:$G$47,20)&gt;0,1,0)</f>
        <v/>
      </c>
      <c r="X116">
        <f>IF(COUNTIF('calcC'!$G$3:$G$47,21)&gt;0,1,0)</f>
        <v/>
      </c>
      <c r="Y116">
        <f>IF(COUNTIF('calcC'!$G$3:$G$47,22)&gt;0,1,0)</f>
        <v/>
      </c>
      <c r="Z116">
        <f>IF(COUNTIF('calcC'!$G$3:$G$47,23)&gt;0,1,0)</f>
        <v/>
      </c>
      <c r="AA116">
        <f>IF(COUNTIF('calcC'!$G$3:$G$47,24)&gt;0,1,0)</f>
        <v/>
      </c>
      <c r="AB116">
        <f>IF(COUNTIF('calcC'!$G$3:$G$47,25)&gt;0,1,0)</f>
        <v/>
      </c>
      <c r="AC116">
        <f>IF(COUNTIF('calcC'!$G$3:$G$47,26)&gt;0,1,0)</f>
        <v/>
      </c>
      <c r="AD116">
        <f>IF(COUNTIF('calcC'!$G$3:$G$47,27)&gt;0,1,0)</f>
        <v/>
      </c>
      <c r="AE116">
        <f>IF(COUNTIF('calcC'!$G$3:$G$47,28)&gt;0,1,0)</f>
        <v/>
      </c>
      <c r="AF116">
        <f>IF(COUNTIF('calcC'!$G$3:$G$47,29)&gt;0,1,0)</f>
        <v/>
      </c>
      <c r="AG116">
        <f>IF(COUNTIF('calcC'!$G$3:$G$47,30)&gt;0,1,0)</f>
        <v/>
      </c>
      <c r="AH116">
        <f>IF(COUNTIF('calcC'!$G$3:$G$47,31)&gt;0,1,0)</f>
        <v/>
      </c>
      <c r="AI116">
        <f>IF(COUNTIF('calcC'!$G$3:$G$47,32)&gt;0,1,0)</f>
        <v/>
      </c>
      <c r="AJ116">
        <f>IF(COUNTIF('calcC'!$G$3:$G$47,33)&gt;0,1,0)</f>
        <v/>
      </c>
      <c r="AK116">
        <f>IF(COUNTIF('calcC'!$G$3:$G$47,34)&gt;0,1,0)</f>
        <v/>
      </c>
      <c r="AL116">
        <f>IF(COUNTIF('calcC'!$G$3:$G$47,35)&gt;0,1,0)</f>
        <v/>
      </c>
      <c r="AM116">
        <f>IF(COUNTIF('calcC'!$G$3:$G$47,36)&gt;0,1,0)</f>
        <v/>
      </c>
      <c r="AN116">
        <f>IF(COUNTIF('calcC'!$G$3:$G$47,37)&gt;0,1,0)</f>
        <v/>
      </c>
      <c r="AO116">
        <f>IF(COUNTIF('calcC'!$G$3:$G$47,38)&gt;0,1,0)</f>
        <v/>
      </c>
      <c r="AP116">
        <f>IF(COUNTIF('calcC'!$G$3:$G$47,39)&gt;0,1,0)</f>
        <v/>
      </c>
      <c r="AQ116">
        <f>IF(COUNTIF('calcC'!$G$3:$G$47,40)&gt;0,1,0)</f>
        <v/>
      </c>
      <c r="AR116">
        <f>IF(COUNTIF('calcC'!$G$3:$G$47,41)&gt;0,1,0)</f>
        <v/>
      </c>
      <c r="AS116">
        <f>IF(COUNTIF('calcC'!$G$3:$G$47,42)&gt;0,1,0)</f>
        <v/>
      </c>
      <c r="AT116">
        <f>IF(COUNTIF('calcC'!$G$3:$G$47,43)&gt;0,1,0)</f>
        <v/>
      </c>
      <c r="AU116">
        <f>IF(COUNTIF('calcC'!$G$3:$G$47,44)&gt;0,1,0)</f>
        <v/>
      </c>
      <c r="AV116">
        <f>IF(COUNTIF('calcC'!$G$3:$G$47,45)&gt;0,1,0)</f>
        <v/>
      </c>
      <c r="AW116">
        <f>IF(COUNTIF('calcC'!$G$3:$G$47,46)&gt;0,1,0)</f>
        <v/>
      </c>
      <c r="AX116">
        <f>IF(COUNTIF('calcC'!$G$3:$G$47,47)&gt;0,1,0)</f>
        <v/>
      </c>
      <c r="AY116">
        <f>IF(COUNTIF('calcC'!$G$3:$G$47,48)&gt;0,1,0)</f>
        <v/>
      </c>
      <c r="AZ116">
        <f>IF(COUNTIF('calcC'!$G$3:$G$47,49)&gt;0,1,0)</f>
        <v/>
      </c>
      <c r="BA116">
        <f>IF(COUNTIF('calcC'!$G$3:$G$47,50)&gt;0,1,0)</f>
        <v/>
      </c>
      <c r="BB116">
        <f>IF(COUNTIF('calcC'!$G$3:$G$47,51)&gt;0,1,0)</f>
        <v/>
      </c>
      <c r="BC116">
        <f>IF(COUNTIF('calcC'!$G$3:$G$47,52)&gt;0,1,0)</f>
        <v/>
      </c>
      <c r="BD116">
        <f>IF(COUNTIF('calcC'!$G$3:$G$47,53)&gt;0,1,0)</f>
        <v/>
      </c>
      <c r="BE116">
        <f>IF(COUNTIF('calcC'!$G$3:$G$47,54)&gt;0,1,0)</f>
        <v/>
      </c>
      <c r="BF116">
        <f>IF(COUNTIF('calcC'!$G$3:$G$47,55)&gt;0,1,0)</f>
        <v/>
      </c>
      <c r="BG116">
        <f>IF(COUNTIF('calcC'!$G$3:$G$47,56)&gt;0,1,0)</f>
        <v/>
      </c>
      <c r="BH116">
        <f>IF(COUNTIF('calcC'!$G$3:$G$47,57)&gt;0,1,0)</f>
        <v/>
      </c>
      <c r="BI116">
        <f>IF(COUNTIF('calcC'!$G$3:$G$47,58)&gt;0,1,0)</f>
        <v/>
      </c>
      <c r="BJ116">
        <f>IF(COUNTIF('calcC'!$G$3:$G$47,59)&gt;0,1,0)</f>
        <v/>
      </c>
      <c r="BK116">
        <f>IF(COUNTIF('calcC'!$G$3:$G$47,60)&gt;0,1,0)</f>
        <v/>
      </c>
      <c r="BL116">
        <f>IF(COUNTIF('calcC'!$G$3:$G$47,61)&gt;0,1,0)</f>
        <v/>
      </c>
      <c r="BM116">
        <f>IF(COUNTIF('calcC'!$G$3:$G$47,62)&gt;0,1,0)</f>
        <v/>
      </c>
      <c r="BN116">
        <f>IF(COUNTIF('calcC'!$G$3:$G$47,63)&gt;0,1,0)</f>
        <v/>
      </c>
      <c r="BO116">
        <f>IF(COUNTIF('calcC'!$G$3:$G$47,64)&gt;0,1,0)</f>
        <v/>
      </c>
      <c r="BP116">
        <f>IF(COUNTIF('calcC'!$G$3:$G$47,65)&gt;0,1,0)</f>
        <v/>
      </c>
      <c r="BQ116">
        <f>IF(COUNTIF('calcC'!$G$3:$G$47,66)&gt;0,1,0)</f>
        <v/>
      </c>
      <c r="BR116">
        <f>IF(COUNTIF('calcC'!$G$3:$G$47,67)&gt;0,1,0)</f>
        <v/>
      </c>
      <c r="BS116">
        <f>IF(COUNTIF('calcC'!$G$3:$G$47,68)&gt;0,1,0)</f>
        <v/>
      </c>
      <c r="BT116">
        <f>IF(COUNTIF('calcC'!$G$3:$G$47,69)&gt;0,1,0)</f>
        <v/>
      </c>
      <c r="BU116">
        <f>IF(COUNTIF('calcC'!$G$3:$G$47,70)&gt;0,1,0)</f>
        <v/>
      </c>
      <c r="BV116">
        <f>IF(COUNTIF('calcC'!$G$3:$G$47,71)&gt;0,1,0)</f>
        <v/>
      </c>
      <c r="BW116">
        <f>IF(COUNTIF('calcC'!$G$3:$G$47,72)&gt;0,1,0)</f>
        <v/>
      </c>
      <c r="BX116">
        <f>IF(COUNTIF('calcC'!$G$3:$G$47,73)&gt;0,1,0)</f>
        <v/>
      </c>
      <c r="BY116">
        <f>IF(COUNTIF('calcC'!$G$3:$G$47,74)&gt;0,1,0)</f>
        <v/>
      </c>
      <c r="BZ116">
        <f>IF(COUNTIF('calcC'!$G$3:$G$47,75)&gt;0,1,0)</f>
        <v/>
      </c>
      <c r="CA116">
        <f>IF(COUNTIF('calcC'!$G$3:$G$47,76)&gt;0,1,0)</f>
        <v/>
      </c>
      <c r="CB116">
        <f>IF(COUNTIF('calcC'!$G$3:$G$47,77)&gt;0,1,0)</f>
        <v/>
      </c>
      <c r="CC116">
        <f>IF(COUNTIF('calcC'!$G$3:$G$47,78)&gt;0,1,0)</f>
        <v/>
      </c>
      <c r="CD116">
        <f>IF(COUNTIF('calcC'!$G$3:$G$47,79)&gt;0,1,0)</f>
        <v/>
      </c>
      <c r="CE116">
        <f>IF(COUNTIF('calcC'!$G$3:$G$47,80)&gt;0,1,0)</f>
        <v/>
      </c>
      <c r="CF116">
        <f>IF(COUNTIF('calcC'!$G$3:$G$47,81)&gt;0,1,0)</f>
        <v/>
      </c>
      <c r="CG116">
        <f>IF(COUNTIF('calcC'!$G$3:$G$47,82)&gt;0,1,0)</f>
        <v/>
      </c>
      <c r="CH116">
        <f>IF(COUNTIF('calcC'!$G$3:$G$47,83)&gt;0,1,0)</f>
        <v/>
      </c>
      <c r="CI116">
        <f>IF(COUNTIF('calcC'!$G$3:$G$47,84)&gt;0,1,0)</f>
        <v/>
      </c>
      <c r="CJ116">
        <f>IF(COUNTIF('calcC'!$G$3:$G$47,85)&gt;0,1,0)</f>
        <v/>
      </c>
      <c r="CK116">
        <f>IF(COUNTIF('calcC'!$G$3:$G$47,86)&gt;0,1,0)</f>
        <v/>
      </c>
      <c r="CL116">
        <f>IF(COUNTIF('calcC'!$G$3:$G$47,87)&gt;0,1,0)</f>
        <v/>
      </c>
      <c r="CM116">
        <f>IF(COUNTIF('calcC'!$G$3:$G$47,88)&gt;0,1,0)</f>
        <v/>
      </c>
      <c r="CN116">
        <f>IF(COUNTIF('calcC'!$G$3:$G$47,89)&gt;0,1,0)</f>
        <v/>
      </c>
      <c r="CO116">
        <f>IF(COUNTIF('calcC'!$G$3:$G$47,90)&gt;0,1,0)</f>
        <v/>
      </c>
      <c r="CP116">
        <f>IF(COUNTIF('calcC'!$G$3:$G$47,91)&gt;0,1,0)</f>
        <v/>
      </c>
      <c r="CQ116">
        <f>IF(COUNTIF('calcC'!$G$3:$G$47,92)&gt;0,1,0)</f>
        <v/>
      </c>
      <c r="CR116">
        <f>IF(COUNTIF('calcC'!$G$3:$G$47,93)&gt;0,1,0)</f>
        <v/>
      </c>
      <c r="CS116">
        <f>IF(COUNTIF('calcC'!$G$3:$G$47,94)&gt;0,1,0)</f>
        <v/>
      </c>
      <c r="CT116">
        <f>IF(COUNTIF('calcC'!$G$3:$G$47,95)&gt;0,1,0)</f>
        <v/>
      </c>
      <c r="CU116">
        <f>IF(COUNTIF('calcC'!$G$3:$G$47,96)&gt;0,1,0)</f>
        <v/>
      </c>
      <c r="CV116">
        <f>IF(COUNTIF('calcC'!$G$3:$G$47,97)&gt;0,1,0)</f>
        <v/>
      </c>
      <c r="CW116">
        <f>IF(COUNTIF('calcC'!$G$3:$G$47,98)&gt;0,1,0)</f>
        <v/>
      </c>
      <c r="CX116">
        <f>IF(COUNTIF('calcC'!$G$3:$G$47,99)&gt;0,1,0)</f>
        <v/>
      </c>
      <c r="CY116">
        <f>IF(COUNTIF('calcC'!$G$3:$G$47,100)&gt;0,1,0)</f>
        <v/>
      </c>
      <c r="CZ116">
        <f>IF(COUNTIF('calcC'!$G$3:$G$47,101)&gt;0,1,0)</f>
        <v/>
      </c>
      <c r="DA116">
        <f>IF(COUNTIF('calcC'!$G$3:$G$47,102)&gt;0,1,0)</f>
        <v/>
      </c>
      <c r="DB116">
        <f>IF(COUNTIF('calcC'!$G$3:$G$47,103)&gt;0,1,0)</f>
        <v/>
      </c>
      <c r="DC116">
        <f>IF(COUNTIF('calcC'!$G$3:$G$47,104)&gt;0,1,0)</f>
        <v/>
      </c>
      <c r="DD116">
        <f>IF(COUNTIF('calcC'!$G$3:$G$47,105)&gt;0,1,0)</f>
        <v/>
      </c>
      <c r="DE116">
        <f>IF(COUNTIF('calcC'!$G$3:$G$47,106)&gt;0,1,0)</f>
        <v/>
      </c>
      <c r="DF116">
        <f>IF(COUNTIF('calcC'!$G$3:$G$47,107)&gt;0,1,0)</f>
        <v/>
      </c>
      <c r="DG116">
        <f>IF(COUNTIF('calcC'!$G$3:$G$47,108)&gt;0,1,0)</f>
        <v/>
      </c>
      <c r="DH116">
        <f>IF(COUNTIF('calcC'!$G$3:$G$47,109)&gt;0,1,0)</f>
        <v/>
      </c>
      <c r="DI116">
        <f>IF(COUNTIF('calcC'!$G$3:$G$47,110)&gt;0,1,0)</f>
        <v/>
      </c>
      <c r="DJ116">
        <f>IF(COUNTIF('calcC'!$G$3:$G$47,111)&gt;0,1,0)</f>
        <v/>
      </c>
      <c r="DK116">
        <f>IF(COUNTIF('calcC'!$G$3:$G$47,112)&gt;0,1,0)</f>
        <v/>
      </c>
      <c r="DL116">
        <f>IF(COUNTIF('calcC'!$G$3:$G$47,113)&gt;0,1,0)</f>
        <v/>
      </c>
      <c r="DM116">
        <f>IF(COUNTIF('calcC'!$G$3:$G$47,114)&gt;0,1,0)</f>
        <v/>
      </c>
      <c r="DN116">
        <f>IF(COUNTIF('calcC'!$G$3:$G$47,115)&gt;0,1,0)</f>
        <v/>
      </c>
      <c r="DO116">
        <f>IF(COUNTIF('calcC'!$G$3:$G$47,116)&gt;0,1,0)</f>
        <v/>
      </c>
      <c r="DP116">
        <f>IF(COUNTIF('calcC'!$G$3:$G$47,117)&gt;0,1,0)</f>
        <v/>
      </c>
      <c r="DQ116">
        <f>IF(COUNTIF('calcC'!$G$3:$G$47,118)&gt;0,1,0)</f>
        <v/>
      </c>
      <c r="DR116">
        <f>IF(COUNTIF('calcC'!$G$3:$G$47,119)&gt;0,1,0)</f>
        <v/>
      </c>
      <c r="DS116">
        <f>IF(COUNTIF('calcC'!$G$3:$G$47,120)&gt;0,1,0)</f>
        <v/>
      </c>
      <c r="DT116">
        <f>IF(COUNTIF('calcC'!$G$3:$G$47,121)&gt;0,1,0)</f>
        <v/>
      </c>
      <c r="DU116">
        <f>IF(COUNTIF('calcC'!$G$3:$G$47,122)&gt;0,1,0)</f>
        <v/>
      </c>
      <c r="DV116">
        <f>IF(COUNTIF('calcC'!$G$3:$G$47,123)&gt;0,1,0)</f>
        <v/>
      </c>
      <c r="DW116">
        <f>IF(COUNTIF('calcC'!$G$3:$G$47,124)&gt;0,1,0)</f>
        <v/>
      </c>
      <c r="DX116">
        <f>IF(COUNTIF('calcC'!$G$3:$G$47,125)&gt;0,1,0)</f>
        <v/>
      </c>
      <c r="DY116">
        <f>IF(COUNTIF('calcC'!$G$3:$G$47,126)&gt;0,1,0)</f>
        <v/>
      </c>
      <c r="DZ116">
        <f>IF(COUNTIF('calcC'!$G$3:$G$47,127)&gt;0,1,0)</f>
        <v/>
      </c>
      <c r="EA116">
        <f>IF(COUNTIF('calcC'!$G$3:$G$47,128)&gt;0,1,0)</f>
        <v/>
      </c>
      <c r="EB116">
        <f>IF(COUNTIF('calcC'!$G$3:$G$47,129)&gt;0,1,0)</f>
        <v/>
      </c>
      <c r="EC116">
        <f>IF(COUNTIF('calcC'!$G$3:$G$47,130)&gt;0,1,0)</f>
        <v/>
      </c>
      <c r="ED116">
        <f>IF(COUNTIF('calcC'!$G$3:$G$47,131)&gt;0,1,0)</f>
        <v/>
      </c>
      <c r="EE116">
        <f>IF(COUNTIF('calcC'!$G$3:$G$47,132)&gt;0,1,0)</f>
        <v/>
      </c>
      <c r="EF116">
        <f>IF(COUNTIF('calcC'!$G$3:$G$47,133)&gt;0,1,0)</f>
        <v/>
      </c>
      <c r="EG116">
        <f>IF(COUNTIF('calcC'!$G$3:$G$47,134)&gt;0,1,0)</f>
        <v/>
      </c>
      <c r="EH116">
        <f>IF(COUNTIF('calcC'!$G$3:$G$47,135)&gt;0,1,0)</f>
        <v/>
      </c>
      <c r="EI116">
        <f>IF(COUNTIF('calcC'!$G$3:$G$47,136)&gt;0,1,0)</f>
        <v/>
      </c>
      <c r="EJ116">
        <f>IF(COUNTIF('calcC'!$G$3:$G$47,137)&gt;0,1,0)</f>
        <v/>
      </c>
      <c r="EK116">
        <f>IF(COUNTIF('calcC'!$G$3:$G$47,138)&gt;0,1,0)</f>
        <v/>
      </c>
      <c r="EL116">
        <f>IF(COUNTIF('calcC'!$G$3:$G$47,139)&gt;0,1,0)</f>
        <v/>
      </c>
      <c r="EM116">
        <f>IF(COUNTIF('calcC'!$G$3:$G$47,140)&gt;0,1,0)</f>
        <v/>
      </c>
      <c r="EN116">
        <f>IF(COUNTIF('calcC'!$G$3:$G$47,141)&gt;0,1,0)</f>
        <v/>
      </c>
      <c r="EO116">
        <f>IF(COUNTIF('calcC'!$G$3:$G$47,142)&gt;0,1,0)</f>
        <v/>
      </c>
      <c r="EP116">
        <f>IF(COUNTIF('calcC'!$G$3:$G$47,143)&gt;0,1,0)</f>
        <v/>
      </c>
      <c r="EQ116">
        <f>IF(COUNTIF('calcC'!$G$3:$G$47,144)&gt;0,1,0)</f>
        <v/>
      </c>
    </row>
    <row r="117">
      <c r="C117" t="inlineStr">
        <is>
          <t>時間として次の枠</t>
        </is>
      </c>
      <c r="D117">
        <f>IF(AND(D115=1,E115=1,OR(D3&lt;&gt;$A$3,$A$4=0)),1,0)</f>
        <v/>
      </c>
      <c r="E117">
        <f>IF(AND(E115=1,F115=1,OR(E3&lt;&gt;$A$3,$A$4=0)),1,0)</f>
        <v/>
      </c>
      <c r="F117">
        <f>IF(AND(F115=1,G115=1,OR(F3&lt;&gt;$A$3,$A$4=0)),1,0)</f>
        <v/>
      </c>
      <c r="G117">
        <f>IF(AND(G115=1,H115=1,OR(G3&lt;&gt;$A$3,$A$4=0)),1,0)</f>
        <v/>
      </c>
      <c r="H117">
        <f>IF(AND(H115=1,I115=1,OR(H3&lt;&gt;$A$3,$A$4=0)),1,0)</f>
        <v/>
      </c>
      <c r="I117">
        <f>IF(AND(I115=1,J115=1,OR(I3&lt;&gt;$A$3,$A$4=0)),1,0)</f>
        <v/>
      </c>
      <c r="J117">
        <f>IF(AND(J115=1,K115=1,OR(J3&lt;&gt;$A$3,$A$4=0)),1,0)</f>
        <v/>
      </c>
      <c r="K117">
        <f>IF(AND(K115=1,L115=1,OR(K3&lt;&gt;$A$3,$A$4=0)),1,0)</f>
        <v/>
      </c>
      <c r="L117">
        <f>IF(AND(L115=1,M115=1,OR(L3&lt;&gt;$A$3,$A$4=0)),1,0)</f>
        <v/>
      </c>
      <c r="M117">
        <f>IF(AND(M115=1,N115=1,OR(M3&lt;&gt;$A$3,$A$4=0)),1,0)</f>
        <v/>
      </c>
      <c r="N117">
        <f>IF(AND(N115=1,O115=1,OR(N3&lt;&gt;$A$3,$A$4=0)),1,0)</f>
        <v/>
      </c>
      <c r="O117">
        <f>IF(AND(O115=1,P115=1,OR(O3&lt;&gt;$A$3,$A$4=0)),1,0)</f>
        <v/>
      </c>
      <c r="P117">
        <f>IF(AND(P115=1,Q115=1,OR(P3&lt;&gt;$A$3,$A$4=0)),1,0)</f>
        <v/>
      </c>
      <c r="Q117">
        <f>IF(AND(Q115=1,R115=1,OR(Q3&lt;&gt;$A$3,$A$4=0)),1,0)</f>
        <v/>
      </c>
      <c r="R117">
        <f>IF(AND(R115=1,S115=1,OR(R3&lt;&gt;$A$3,$A$4=0)),1,0)</f>
        <v/>
      </c>
      <c r="S117">
        <f>IF(AND(S115=1,T115=1,OR(S3&lt;&gt;$A$3,$A$4=0)),1,0)</f>
        <v/>
      </c>
      <c r="T117">
        <f>IF(AND(T115=1,U115=1,OR(T3&lt;&gt;$A$3,$A$4=0)),1,0)</f>
        <v/>
      </c>
      <c r="U117">
        <f>IF(AND(U115=1,V115=1,OR(U3&lt;&gt;$A$3,$A$4=0)),1,0)</f>
        <v/>
      </c>
      <c r="V117">
        <f>IF(AND(V115=1,W115=1,OR(V3&lt;&gt;$A$3,$A$4=0)),1,0)</f>
        <v/>
      </c>
      <c r="W117">
        <f>IF(AND(W115=1,X115=1,OR(W3&lt;&gt;$A$3,$A$4=0)),1,0)</f>
        <v/>
      </c>
      <c r="X117">
        <f>IF(AND(X115=1,Y115=1,OR(X3&lt;&gt;$A$3,$A$4=0)),1,0)</f>
        <v/>
      </c>
      <c r="Y117">
        <f>IF(AND(Y115=1,Z115=1,OR(Y3&lt;&gt;$A$3,$A$4=0)),1,0)</f>
        <v/>
      </c>
      <c r="Z117">
        <f>IF(AND(Z115=1,AA115=1,OR(Z3&lt;&gt;$A$3,$A$4=0)),1,0)</f>
        <v/>
      </c>
      <c r="AA117" t="n">
        <v>0</v>
      </c>
      <c r="AB117">
        <f>IF(AND(AB115=1,AC115=1,OR(AB3&lt;&gt;$A$3,$A$4=0)),1,0)</f>
        <v/>
      </c>
      <c r="AC117">
        <f>IF(AND(AC115=1,AD115=1,OR(AC3&lt;&gt;$A$3,$A$4=0)),1,0)</f>
        <v/>
      </c>
      <c r="AD117">
        <f>IF(AND(AD115=1,AE115=1,OR(AD3&lt;&gt;$A$3,$A$4=0)),1,0)</f>
        <v/>
      </c>
      <c r="AE117">
        <f>IF(AND(AE115=1,AF115=1,OR(AE3&lt;&gt;$A$3,$A$4=0)),1,0)</f>
        <v/>
      </c>
      <c r="AF117">
        <f>IF(AND(AF115=1,AG115=1,OR(AF3&lt;&gt;$A$3,$A$4=0)),1,0)</f>
        <v/>
      </c>
      <c r="AG117">
        <f>IF(AND(AG115=1,AH115=1,OR(AG3&lt;&gt;$A$3,$A$4=0)),1,0)</f>
        <v/>
      </c>
      <c r="AH117">
        <f>IF(AND(AH115=1,AI115=1,OR(AH3&lt;&gt;$A$3,$A$4=0)),1,0)</f>
        <v/>
      </c>
      <c r="AI117">
        <f>IF(AND(AI115=1,AJ115=1,OR(AI3&lt;&gt;$A$3,$A$4=0)),1,0)</f>
        <v/>
      </c>
      <c r="AJ117">
        <f>IF(AND(AJ115=1,AK115=1,OR(AJ3&lt;&gt;$A$3,$A$4=0)),1,0)</f>
        <v/>
      </c>
      <c r="AK117">
        <f>IF(AND(AK115=1,AL115=1,OR(AK3&lt;&gt;$A$3,$A$4=0)),1,0)</f>
        <v/>
      </c>
      <c r="AL117">
        <f>IF(AND(AL115=1,AM115=1,OR(AL3&lt;&gt;$A$3,$A$4=0)),1,0)</f>
        <v/>
      </c>
      <c r="AM117">
        <f>IF(AND(AM115=1,AN115=1,OR(AM3&lt;&gt;$A$3,$A$4=0)),1,0)</f>
        <v/>
      </c>
      <c r="AN117">
        <f>IF(AND(AN115=1,AO115=1,OR(AN3&lt;&gt;$A$3,$A$4=0)),1,0)</f>
        <v/>
      </c>
      <c r="AO117">
        <f>IF(AND(AO115=1,AP115=1,OR(AO3&lt;&gt;$A$3,$A$4=0)),1,0)</f>
        <v/>
      </c>
      <c r="AP117">
        <f>IF(AND(AP115=1,AQ115=1,OR(AP3&lt;&gt;$A$3,$A$4=0)),1,0)</f>
        <v/>
      </c>
      <c r="AQ117">
        <f>IF(AND(AQ115=1,AR115=1,OR(AQ3&lt;&gt;$A$3,$A$4=0)),1,0)</f>
        <v/>
      </c>
      <c r="AR117">
        <f>IF(AND(AR115=1,AS115=1,OR(AR3&lt;&gt;$A$3,$A$4=0)),1,0)</f>
        <v/>
      </c>
      <c r="AS117">
        <f>IF(AND(AS115=1,AT115=1,OR(AS3&lt;&gt;$A$3,$A$4=0)),1,0)</f>
        <v/>
      </c>
      <c r="AT117">
        <f>IF(AND(AT115=1,AU115=1,OR(AT3&lt;&gt;$A$3,$A$4=0)),1,0)</f>
        <v/>
      </c>
      <c r="AU117">
        <f>IF(AND(AU115=1,AV115=1,OR(AU3&lt;&gt;$A$3,$A$4=0)),1,0)</f>
        <v/>
      </c>
      <c r="AV117">
        <f>IF(AND(AV115=1,AW115=1,OR(AV3&lt;&gt;$A$3,$A$4=0)),1,0)</f>
        <v/>
      </c>
      <c r="AW117">
        <f>IF(AND(AW115=1,AX115=1,OR(AW3&lt;&gt;$A$3,$A$4=0)),1,0)</f>
        <v/>
      </c>
      <c r="AX117">
        <f>IF(AND(AX115=1,AY115=1,OR(AX3&lt;&gt;$A$3,$A$4=0)),1,0)</f>
        <v/>
      </c>
      <c r="AY117" t="n">
        <v>0</v>
      </c>
      <c r="AZ117">
        <f>IF(AND(AZ115=1,BA115=1,OR(AZ3&lt;&gt;$A$3,$A$4=0)),1,0)</f>
        <v/>
      </c>
      <c r="BA117">
        <f>IF(AND(BA115=1,BB115=1,OR(BA3&lt;&gt;$A$3,$A$4=0)),1,0)</f>
        <v/>
      </c>
      <c r="BB117">
        <f>IF(AND(BB115=1,BC115=1,OR(BB3&lt;&gt;$A$3,$A$4=0)),1,0)</f>
        <v/>
      </c>
      <c r="BC117">
        <f>IF(AND(BC115=1,BD115=1,OR(BC3&lt;&gt;$A$3,$A$4=0)),1,0)</f>
        <v/>
      </c>
      <c r="BD117">
        <f>IF(AND(BD115=1,BE115=1,OR(BD3&lt;&gt;$A$3,$A$4=0)),1,0)</f>
        <v/>
      </c>
      <c r="BE117">
        <f>IF(AND(BE115=1,BF115=1,OR(BE3&lt;&gt;$A$3,$A$4=0)),1,0)</f>
        <v/>
      </c>
      <c r="BF117">
        <f>IF(AND(BF115=1,BG115=1,OR(BF3&lt;&gt;$A$3,$A$4=0)),1,0)</f>
        <v/>
      </c>
      <c r="BG117">
        <f>IF(AND(BG115=1,BH115=1,OR(BG3&lt;&gt;$A$3,$A$4=0)),1,0)</f>
        <v/>
      </c>
      <c r="BH117">
        <f>IF(AND(BH115=1,BI115=1,OR(BH3&lt;&gt;$A$3,$A$4=0)),1,0)</f>
        <v/>
      </c>
      <c r="BI117">
        <f>IF(AND(BI115=1,BJ115=1,OR(BI3&lt;&gt;$A$3,$A$4=0)),1,0)</f>
        <v/>
      </c>
      <c r="BJ117">
        <f>IF(AND(BJ115=1,BK115=1,OR(BJ3&lt;&gt;$A$3,$A$4=0)),1,0)</f>
        <v/>
      </c>
      <c r="BK117">
        <f>IF(AND(BK115=1,BL115=1,OR(BK3&lt;&gt;$A$3,$A$4=0)),1,0)</f>
        <v/>
      </c>
      <c r="BL117">
        <f>IF(AND(BL115=1,BM115=1,OR(BL3&lt;&gt;$A$3,$A$4=0)),1,0)</f>
        <v/>
      </c>
      <c r="BM117">
        <f>IF(AND(BM115=1,BN115=1,OR(BM3&lt;&gt;$A$3,$A$4=0)),1,0)</f>
        <v/>
      </c>
      <c r="BN117">
        <f>IF(AND(BN115=1,BO115=1,OR(BN3&lt;&gt;$A$3,$A$4=0)),1,0)</f>
        <v/>
      </c>
      <c r="BO117">
        <f>IF(AND(BO115=1,BP115=1,OR(BO3&lt;&gt;$A$3,$A$4=0)),1,0)</f>
        <v/>
      </c>
      <c r="BP117">
        <f>IF(AND(BP115=1,BQ115=1,OR(BP3&lt;&gt;$A$3,$A$4=0)),1,0)</f>
        <v/>
      </c>
      <c r="BQ117">
        <f>IF(AND(BQ115=1,BR115=1,OR(BQ3&lt;&gt;$A$3,$A$4=0)),1,0)</f>
        <v/>
      </c>
      <c r="BR117">
        <f>IF(AND(BR115=1,BS115=1,OR(BR3&lt;&gt;$A$3,$A$4=0)),1,0)</f>
        <v/>
      </c>
      <c r="BS117">
        <f>IF(AND(BS115=1,BT115=1,OR(BS3&lt;&gt;$A$3,$A$4=0)),1,0)</f>
        <v/>
      </c>
      <c r="BT117">
        <f>IF(AND(BT115=1,BU115=1,OR(BT3&lt;&gt;$A$3,$A$4=0)),1,0)</f>
        <v/>
      </c>
      <c r="BU117">
        <f>IF(AND(BU115=1,BV115=1,OR(BU3&lt;&gt;$A$3,$A$4=0)),1,0)</f>
        <v/>
      </c>
      <c r="BV117">
        <f>IF(AND(BV115=1,BW115=1,OR(BV3&lt;&gt;$A$3,$A$4=0)),1,0)</f>
        <v/>
      </c>
      <c r="BW117" t="n">
        <v>0</v>
      </c>
      <c r="BX117">
        <f>IF(AND(BX115=1,BY115=1,OR(BX3&lt;&gt;$A$3,$A$4=0)),1,0)</f>
        <v/>
      </c>
      <c r="BY117">
        <f>IF(AND(BY115=1,BZ115=1,OR(BY3&lt;&gt;$A$3,$A$4=0)),1,0)</f>
        <v/>
      </c>
      <c r="BZ117">
        <f>IF(AND(BZ115=1,CA115=1,OR(BZ3&lt;&gt;$A$3,$A$4=0)),1,0)</f>
        <v/>
      </c>
      <c r="CA117">
        <f>IF(AND(CA115=1,CB115=1,OR(CA3&lt;&gt;$A$3,$A$4=0)),1,0)</f>
        <v/>
      </c>
      <c r="CB117">
        <f>IF(AND(CB115=1,CC115=1,OR(CB3&lt;&gt;$A$3,$A$4=0)),1,0)</f>
        <v/>
      </c>
      <c r="CC117">
        <f>IF(AND(CC115=1,CD115=1,OR(CC3&lt;&gt;$A$3,$A$4=0)),1,0)</f>
        <v/>
      </c>
      <c r="CD117">
        <f>IF(AND(CD115=1,CE115=1,OR(CD3&lt;&gt;$A$3,$A$4=0)),1,0)</f>
        <v/>
      </c>
      <c r="CE117">
        <f>IF(AND(CE115=1,CF115=1,OR(CE3&lt;&gt;$A$3,$A$4=0)),1,0)</f>
        <v/>
      </c>
      <c r="CF117">
        <f>IF(AND(CF115=1,CG115=1,OR(CF3&lt;&gt;$A$3,$A$4=0)),1,0)</f>
        <v/>
      </c>
      <c r="CG117">
        <f>IF(AND(CG115=1,CH115=1,OR(CG3&lt;&gt;$A$3,$A$4=0)),1,0)</f>
        <v/>
      </c>
      <c r="CH117">
        <f>IF(AND(CH115=1,CI115=1,OR(CH3&lt;&gt;$A$3,$A$4=0)),1,0)</f>
        <v/>
      </c>
      <c r="CI117">
        <f>IF(AND(CI115=1,CJ115=1,OR(CI3&lt;&gt;$A$3,$A$4=0)),1,0)</f>
        <v/>
      </c>
      <c r="CJ117">
        <f>IF(AND(CJ115=1,CK115=1,OR(CJ3&lt;&gt;$A$3,$A$4=0)),1,0)</f>
        <v/>
      </c>
      <c r="CK117">
        <f>IF(AND(CK115=1,CL115=1,OR(CK3&lt;&gt;$A$3,$A$4=0)),1,0)</f>
        <v/>
      </c>
      <c r="CL117">
        <f>IF(AND(CL115=1,CM115=1,OR(CL3&lt;&gt;$A$3,$A$4=0)),1,0)</f>
        <v/>
      </c>
      <c r="CM117">
        <f>IF(AND(CM115=1,CN115=1,OR(CM3&lt;&gt;$A$3,$A$4=0)),1,0)</f>
        <v/>
      </c>
      <c r="CN117">
        <f>IF(AND(CN115=1,CO115=1,OR(CN3&lt;&gt;$A$3,$A$4=0)),1,0)</f>
        <v/>
      </c>
      <c r="CO117">
        <f>IF(AND(CO115=1,CP115=1,OR(CO3&lt;&gt;$A$3,$A$4=0)),1,0)</f>
        <v/>
      </c>
      <c r="CP117">
        <f>IF(AND(CP115=1,CQ115=1,OR(CP3&lt;&gt;$A$3,$A$4=0)),1,0)</f>
        <v/>
      </c>
      <c r="CQ117">
        <f>IF(AND(CQ115=1,CR115=1,OR(CQ3&lt;&gt;$A$3,$A$4=0)),1,0)</f>
        <v/>
      </c>
      <c r="CR117">
        <f>IF(AND(CR115=1,CS115=1,OR(CR3&lt;&gt;$A$3,$A$4=0)),1,0)</f>
        <v/>
      </c>
      <c r="CS117">
        <f>IF(AND(CS115=1,CT115=1,OR(CS3&lt;&gt;$A$3,$A$4=0)),1,0)</f>
        <v/>
      </c>
      <c r="CT117">
        <f>IF(AND(CT115=1,CU115=1,OR(CT3&lt;&gt;$A$3,$A$4=0)),1,0)</f>
        <v/>
      </c>
      <c r="CU117" t="n">
        <v>0</v>
      </c>
      <c r="CV117">
        <f>IF(AND(CV115=1,CW115=1,OR(CV3&lt;&gt;$A$3,$A$4=0)),1,0)</f>
        <v/>
      </c>
      <c r="CW117">
        <f>IF(AND(CW115=1,CX115=1,OR(CW3&lt;&gt;$A$3,$A$4=0)),1,0)</f>
        <v/>
      </c>
      <c r="CX117">
        <f>IF(AND(CX115=1,CY115=1,OR(CX3&lt;&gt;$A$3,$A$4=0)),1,0)</f>
        <v/>
      </c>
      <c r="CY117">
        <f>IF(AND(CY115=1,CZ115=1,OR(CY3&lt;&gt;$A$3,$A$4=0)),1,0)</f>
        <v/>
      </c>
      <c r="CZ117">
        <f>IF(AND(CZ115=1,DA115=1,OR(CZ3&lt;&gt;$A$3,$A$4=0)),1,0)</f>
        <v/>
      </c>
      <c r="DA117">
        <f>IF(AND(DA115=1,DB115=1,OR(DA3&lt;&gt;$A$3,$A$4=0)),1,0)</f>
        <v/>
      </c>
      <c r="DB117">
        <f>IF(AND(DB115=1,DC115=1,OR(DB3&lt;&gt;$A$3,$A$4=0)),1,0)</f>
        <v/>
      </c>
      <c r="DC117">
        <f>IF(AND(DC115=1,DD115=1,OR(DC3&lt;&gt;$A$3,$A$4=0)),1,0)</f>
        <v/>
      </c>
      <c r="DD117">
        <f>IF(AND(DD115=1,DE115=1,OR(DD3&lt;&gt;$A$3,$A$4=0)),1,0)</f>
        <v/>
      </c>
      <c r="DE117">
        <f>IF(AND(DE115=1,DF115=1,OR(DE3&lt;&gt;$A$3,$A$4=0)),1,0)</f>
        <v/>
      </c>
      <c r="DF117">
        <f>IF(AND(DF115=1,DG115=1,OR(DF3&lt;&gt;$A$3,$A$4=0)),1,0)</f>
        <v/>
      </c>
      <c r="DG117">
        <f>IF(AND(DG115=1,DH115=1,OR(DG3&lt;&gt;$A$3,$A$4=0)),1,0)</f>
        <v/>
      </c>
      <c r="DH117">
        <f>IF(AND(DH115=1,DI115=1,OR(DH3&lt;&gt;$A$3,$A$4=0)),1,0)</f>
        <v/>
      </c>
      <c r="DI117">
        <f>IF(AND(DI115=1,DJ115=1,OR(DI3&lt;&gt;$A$3,$A$4=0)),1,0)</f>
        <v/>
      </c>
      <c r="DJ117">
        <f>IF(AND(DJ115=1,DK115=1,OR(DJ3&lt;&gt;$A$3,$A$4=0)),1,0)</f>
        <v/>
      </c>
      <c r="DK117">
        <f>IF(AND(DK115=1,DL115=1,OR(DK3&lt;&gt;$A$3,$A$4=0)),1,0)</f>
        <v/>
      </c>
      <c r="DL117">
        <f>IF(AND(DL115=1,DM115=1,OR(DL3&lt;&gt;$A$3,$A$4=0)),1,0)</f>
        <v/>
      </c>
      <c r="DM117">
        <f>IF(AND(DM115=1,DN115=1,OR(DM3&lt;&gt;$A$3,$A$4=0)),1,0)</f>
        <v/>
      </c>
      <c r="DN117">
        <f>IF(AND(DN115=1,DO115=1,OR(DN3&lt;&gt;$A$3,$A$4=0)),1,0)</f>
        <v/>
      </c>
      <c r="DO117">
        <f>IF(AND(DO115=1,DP115=1,OR(DO3&lt;&gt;$A$3,$A$4=0)),1,0)</f>
        <v/>
      </c>
      <c r="DP117">
        <f>IF(AND(DP115=1,DQ115=1,OR(DP3&lt;&gt;$A$3,$A$4=0)),1,0)</f>
        <v/>
      </c>
      <c r="DQ117">
        <f>IF(AND(DQ115=1,DR115=1,OR(DQ3&lt;&gt;$A$3,$A$4=0)),1,0)</f>
        <v/>
      </c>
      <c r="DR117">
        <f>IF(AND(DR115=1,DS115=1,OR(DR3&lt;&gt;$A$3,$A$4=0)),1,0)</f>
        <v/>
      </c>
      <c r="DS117" t="n">
        <v>0</v>
      </c>
      <c r="DT117">
        <f>IF(AND(DT115=1,DU115=1,OR(DT3&lt;&gt;$A$3,$A$4=0)),1,0)</f>
        <v/>
      </c>
      <c r="DU117">
        <f>IF(AND(DU115=1,DV115=1,OR(DU3&lt;&gt;$A$3,$A$4=0)),1,0)</f>
        <v/>
      </c>
      <c r="DV117">
        <f>IF(AND(DV115=1,DW115=1,OR(DV3&lt;&gt;$A$3,$A$4=0)),1,0)</f>
        <v/>
      </c>
      <c r="DW117">
        <f>IF(AND(DW115=1,DX115=1,OR(DW3&lt;&gt;$A$3,$A$4=0)),1,0)</f>
        <v/>
      </c>
      <c r="DX117">
        <f>IF(AND(DX115=1,DY115=1,OR(DX3&lt;&gt;$A$3,$A$4=0)),1,0)</f>
        <v/>
      </c>
      <c r="DY117">
        <f>IF(AND(DY115=1,DZ115=1,OR(DY3&lt;&gt;$A$3,$A$4=0)),1,0)</f>
        <v/>
      </c>
      <c r="DZ117">
        <f>IF(AND(DZ115=1,EA115=1,OR(DZ3&lt;&gt;$A$3,$A$4=0)),1,0)</f>
        <v/>
      </c>
      <c r="EA117">
        <f>IF(AND(EA115=1,EB115=1,OR(EA3&lt;&gt;$A$3,$A$4=0)),1,0)</f>
        <v/>
      </c>
      <c r="EB117">
        <f>IF(AND(EB115=1,EC115=1,OR(EB3&lt;&gt;$A$3,$A$4=0)),1,0)</f>
        <v/>
      </c>
      <c r="EC117">
        <f>IF(AND(EC115=1,ED115=1,OR(EC3&lt;&gt;$A$3,$A$4=0)),1,0)</f>
        <v/>
      </c>
      <c r="ED117">
        <f>IF(AND(ED115=1,EE115=1,OR(ED3&lt;&gt;$A$3,$A$4=0)),1,0)</f>
        <v/>
      </c>
      <c r="EE117">
        <f>IF(AND(EE115=1,EF115=1,OR(EE3&lt;&gt;$A$3,$A$4=0)),1,0)</f>
        <v/>
      </c>
      <c r="EF117">
        <f>IF(AND(EF115=1,EG115=1,OR(EF3&lt;&gt;$A$3,$A$4=0)),1,0)</f>
        <v/>
      </c>
      <c r="EG117">
        <f>IF(AND(EG115=1,EH115=1,OR(EG3&lt;&gt;$A$3,$A$4=0)),1,0)</f>
        <v/>
      </c>
      <c r="EH117">
        <f>IF(AND(EH115=1,EI115=1,OR(EH3&lt;&gt;$A$3,$A$4=0)),1,0)</f>
        <v/>
      </c>
      <c r="EI117">
        <f>IF(AND(EI115=1,EJ115=1,OR(EI3&lt;&gt;$A$3,$A$4=0)),1,0)</f>
        <v/>
      </c>
      <c r="EJ117">
        <f>IF(AND(EJ115=1,EK115=1,OR(EJ3&lt;&gt;$A$3,$A$4=0)),1,0)</f>
        <v/>
      </c>
      <c r="EK117">
        <f>IF(AND(EK115=1,EL115=1,OR(EK3&lt;&gt;$A$3,$A$4=0)),1,0)</f>
        <v/>
      </c>
      <c r="EL117">
        <f>IF(AND(EL115=1,EM115=1,OR(EL3&lt;&gt;$A$3,$A$4=0)),1,0)</f>
        <v/>
      </c>
      <c r="EM117">
        <f>IF(AND(EM115=1,EN115=1,OR(EM3&lt;&gt;$A$3,$A$4=0)),1,0)</f>
        <v/>
      </c>
      <c r="EN117">
        <f>IF(AND(EN115=1,EO115=1,OR(EN3&lt;&gt;$A$3,$A$4=0)),1,0)</f>
        <v/>
      </c>
      <c r="EO117">
        <f>IF(AND(EO115=1,EP115=1,OR(EO3&lt;&gt;$A$3,$A$4=0)),1,0)</f>
        <v/>
      </c>
      <c r="EP117">
        <f>IF(AND(EP115=1,EQ115=1,OR(EP3&lt;&gt;$A$3,$A$4=0)),1,0)</f>
        <v/>
      </c>
      <c r="EQ117" t="n">
        <v>0</v>
      </c>
    </row>
    <row r="118">
      <c r="C118" t="inlineStr">
        <is>
          <t>空けない人がいる</t>
        </is>
      </c>
      <c r="D118">
        <f>IF(INDEX('調整・決定'!$C$6:$H$29,D3,D2)="",0,IF(IFERROR(INDEX('名簿'!$D$5:$D$49,MATCH(INDEX('調整・決定'!$C$6:$H$29,D3,D2),'名簿'!$P$5:$P$49,0)),"")="空けない",1,0))</f>
        <v/>
      </c>
      <c r="E118">
        <f>IF(INDEX('調整・決定'!$C$6:$H$29,E3,E2)="",0,IF(IFERROR(INDEX('名簿'!$D$5:$D$49,MATCH(INDEX('調整・決定'!$C$6:$H$29,E3,E2),'名簿'!$P$5:$P$49,0)),"")="空けない",1,0))</f>
        <v/>
      </c>
      <c r="F118">
        <f>IF(INDEX('調整・決定'!$C$6:$H$29,F3,F2)="",0,IF(IFERROR(INDEX('名簿'!$D$5:$D$49,MATCH(INDEX('調整・決定'!$C$6:$H$29,F3,F2),'名簿'!$P$5:$P$49,0)),"")="空けない",1,0))</f>
        <v/>
      </c>
      <c r="G118">
        <f>IF(INDEX('調整・決定'!$C$6:$H$29,G3,G2)="",0,IF(IFERROR(INDEX('名簿'!$D$5:$D$49,MATCH(INDEX('調整・決定'!$C$6:$H$29,G3,G2),'名簿'!$P$5:$P$49,0)),"")="空けない",1,0))</f>
        <v/>
      </c>
      <c r="H118">
        <f>IF(INDEX('調整・決定'!$C$6:$H$29,H3,H2)="",0,IF(IFERROR(INDEX('名簿'!$D$5:$D$49,MATCH(INDEX('調整・決定'!$C$6:$H$29,H3,H2),'名簿'!$P$5:$P$49,0)),"")="空けない",1,0))</f>
        <v/>
      </c>
      <c r="I118">
        <f>IF(INDEX('調整・決定'!$C$6:$H$29,I3,I2)="",0,IF(IFERROR(INDEX('名簿'!$D$5:$D$49,MATCH(INDEX('調整・決定'!$C$6:$H$29,I3,I2),'名簿'!$P$5:$P$49,0)),"")="空けない",1,0))</f>
        <v/>
      </c>
      <c r="J118">
        <f>IF(INDEX('調整・決定'!$C$6:$H$29,J3,J2)="",0,IF(IFERROR(INDEX('名簿'!$D$5:$D$49,MATCH(INDEX('調整・決定'!$C$6:$H$29,J3,J2),'名簿'!$P$5:$P$49,0)),"")="空けない",1,0))</f>
        <v/>
      </c>
      <c r="K118">
        <f>IF(INDEX('調整・決定'!$C$6:$H$29,K3,K2)="",0,IF(IFERROR(INDEX('名簿'!$D$5:$D$49,MATCH(INDEX('調整・決定'!$C$6:$H$29,K3,K2),'名簿'!$P$5:$P$49,0)),"")="空けない",1,0))</f>
        <v/>
      </c>
      <c r="L118">
        <f>IF(INDEX('調整・決定'!$C$6:$H$29,L3,L2)="",0,IF(IFERROR(INDEX('名簿'!$D$5:$D$49,MATCH(INDEX('調整・決定'!$C$6:$H$29,L3,L2),'名簿'!$P$5:$P$49,0)),"")="空けない",1,0))</f>
        <v/>
      </c>
      <c r="M118">
        <f>IF(INDEX('調整・決定'!$C$6:$H$29,M3,M2)="",0,IF(IFERROR(INDEX('名簿'!$D$5:$D$49,MATCH(INDEX('調整・決定'!$C$6:$H$29,M3,M2),'名簿'!$P$5:$P$49,0)),"")="空けない",1,0))</f>
        <v/>
      </c>
      <c r="N118">
        <f>IF(INDEX('調整・決定'!$C$6:$H$29,N3,N2)="",0,IF(IFERROR(INDEX('名簿'!$D$5:$D$49,MATCH(INDEX('調整・決定'!$C$6:$H$29,N3,N2),'名簿'!$P$5:$P$49,0)),"")="空けない",1,0))</f>
        <v/>
      </c>
      <c r="O118">
        <f>IF(INDEX('調整・決定'!$C$6:$H$29,O3,O2)="",0,IF(IFERROR(INDEX('名簿'!$D$5:$D$49,MATCH(INDEX('調整・決定'!$C$6:$H$29,O3,O2),'名簿'!$P$5:$P$49,0)),"")="空けない",1,0))</f>
        <v/>
      </c>
      <c r="P118">
        <f>IF(INDEX('調整・決定'!$C$6:$H$29,P3,P2)="",0,IF(IFERROR(INDEX('名簿'!$D$5:$D$49,MATCH(INDEX('調整・決定'!$C$6:$H$29,P3,P2),'名簿'!$P$5:$P$49,0)),"")="空けない",1,0))</f>
        <v/>
      </c>
      <c r="Q118">
        <f>IF(INDEX('調整・決定'!$C$6:$H$29,Q3,Q2)="",0,IF(IFERROR(INDEX('名簿'!$D$5:$D$49,MATCH(INDEX('調整・決定'!$C$6:$H$29,Q3,Q2),'名簿'!$P$5:$P$49,0)),"")="空けない",1,0))</f>
        <v/>
      </c>
      <c r="R118">
        <f>IF(INDEX('調整・決定'!$C$6:$H$29,R3,R2)="",0,IF(IFERROR(INDEX('名簿'!$D$5:$D$49,MATCH(INDEX('調整・決定'!$C$6:$H$29,R3,R2),'名簿'!$P$5:$P$49,0)),"")="空けない",1,0))</f>
        <v/>
      </c>
      <c r="S118">
        <f>IF(INDEX('調整・決定'!$C$6:$H$29,S3,S2)="",0,IF(IFERROR(INDEX('名簿'!$D$5:$D$49,MATCH(INDEX('調整・決定'!$C$6:$H$29,S3,S2),'名簿'!$P$5:$P$49,0)),"")="空けない",1,0))</f>
        <v/>
      </c>
      <c r="T118">
        <f>IF(INDEX('調整・決定'!$C$6:$H$29,T3,T2)="",0,IF(IFERROR(INDEX('名簿'!$D$5:$D$49,MATCH(INDEX('調整・決定'!$C$6:$H$29,T3,T2),'名簿'!$P$5:$P$49,0)),"")="空けない",1,0))</f>
        <v/>
      </c>
      <c r="U118">
        <f>IF(INDEX('調整・決定'!$C$6:$H$29,U3,U2)="",0,IF(IFERROR(INDEX('名簿'!$D$5:$D$49,MATCH(INDEX('調整・決定'!$C$6:$H$29,U3,U2),'名簿'!$P$5:$P$49,0)),"")="空けない",1,0))</f>
        <v/>
      </c>
      <c r="V118">
        <f>IF(INDEX('調整・決定'!$C$6:$H$29,V3,V2)="",0,IF(IFERROR(INDEX('名簿'!$D$5:$D$49,MATCH(INDEX('調整・決定'!$C$6:$H$29,V3,V2),'名簿'!$P$5:$P$49,0)),"")="空けない",1,0))</f>
        <v/>
      </c>
      <c r="W118">
        <f>IF(INDEX('調整・決定'!$C$6:$H$29,W3,W2)="",0,IF(IFERROR(INDEX('名簿'!$D$5:$D$49,MATCH(INDEX('調整・決定'!$C$6:$H$29,W3,W2),'名簿'!$P$5:$P$49,0)),"")="空けない",1,0))</f>
        <v/>
      </c>
      <c r="X118">
        <f>IF(INDEX('調整・決定'!$C$6:$H$29,X3,X2)="",0,IF(IFERROR(INDEX('名簿'!$D$5:$D$49,MATCH(INDEX('調整・決定'!$C$6:$H$29,X3,X2),'名簿'!$P$5:$P$49,0)),"")="空けない",1,0))</f>
        <v/>
      </c>
      <c r="Y118">
        <f>IF(INDEX('調整・決定'!$C$6:$H$29,Y3,Y2)="",0,IF(IFERROR(INDEX('名簿'!$D$5:$D$49,MATCH(INDEX('調整・決定'!$C$6:$H$29,Y3,Y2),'名簿'!$P$5:$P$49,0)),"")="空けない",1,0))</f>
        <v/>
      </c>
      <c r="Z118">
        <f>IF(INDEX('調整・決定'!$C$6:$H$29,Z3,Z2)="",0,IF(IFERROR(INDEX('名簿'!$D$5:$D$49,MATCH(INDEX('調整・決定'!$C$6:$H$29,Z3,Z2),'名簿'!$P$5:$P$49,0)),"")="空けない",1,0))</f>
        <v/>
      </c>
      <c r="AA118">
        <f>IF(INDEX('調整・決定'!$C$6:$H$29,AA3,AA2)="",0,IF(IFERROR(INDEX('名簿'!$D$5:$D$49,MATCH(INDEX('調整・決定'!$C$6:$H$29,AA3,AA2),'名簿'!$P$5:$P$49,0)),"")="空けない",1,0))</f>
        <v/>
      </c>
      <c r="AB118">
        <f>IF(INDEX('調整・決定'!$C$6:$H$29,AB3,AB2)="",0,IF(IFERROR(INDEX('名簿'!$D$5:$D$49,MATCH(INDEX('調整・決定'!$C$6:$H$29,AB3,AB2),'名簿'!$P$5:$P$49,0)),"")="空けない",1,0))</f>
        <v/>
      </c>
      <c r="AC118">
        <f>IF(INDEX('調整・決定'!$C$6:$H$29,AC3,AC2)="",0,IF(IFERROR(INDEX('名簿'!$D$5:$D$49,MATCH(INDEX('調整・決定'!$C$6:$H$29,AC3,AC2),'名簿'!$P$5:$P$49,0)),"")="空けない",1,0))</f>
        <v/>
      </c>
      <c r="AD118">
        <f>IF(INDEX('調整・決定'!$C$6:$H$29,AD3,AD2)="",0,IF(IFERROR(INDEX('名簿'!$D$5:$D$49,MATCH(INDEX('調整・決定'!$C$6:$H$29,AD3,AD2),'名簿'!$P$5:$P$49,0)),"")="空けない",1,0))</f>
        <v/>
      </c>
      <c r="AE118">
        <f>IF(INDEX('調整・決定'!$C$6:$H$29,AE3,AE2)="",0,IF(IFERROR(INDEX('名簿'!$D$5:$D$49,MATCH(INDEX('調整・決定'!$C$6:$H$29,AE3,AE2),'名簿'!$P$5:$P$49,0)),"")="空けない",1,0))</f>
        <v/>
      </c>
      <c r="AF118">
        <f>IF(INDEX('調整・決定'!$C$6:$H$29,AF3,AF2)="",0,IF(IFERROR(INDEX('名簿'!$D$5:$D$49,MATCH(INDEX('調整・決定'!$C$6:$H$29,AF3,AF2),'名簿'!$P$5:$P$49,0)),"")="空けない",1,0))</f>
        <v/>
      </c>
      <c r="AG118">
        <f>IF(INDEX('調整・決定'!$C$6:$H$29,AG3,AG2)="",0,IF(IFERROR(INDEX('名簿'!$D$5:$D$49,MATCH(INDEX('調整・決定'!$C$6:$H$29,AG3,AG2),'名簿'!$P$5:$P$49,0)),"")="空けない",1,0))</f>
        <v/>
      </c>
      <c r="AH118">
        <f>IF(INDEX('調整・決定'!$C$6:$H$29,AH3,AH2)="",0,IF(IFERROR(INDEX('名簿'!$D$5:$D$49,MATCH(INDEX('調整・決定'!$C$6:$H$29,AH3,AH2),'名簿'!$P$5:$P$49,0)),"")="空けない",1,0))</f>
        <v/>
      </c>
      <c r="AI118">
        <f>IF(INDEX('調整・決定'!$C$6:$H$29,AI3,AI2)="",0,IF(IFERROR(INDEX('名簿'!$D$5:$D$49,MATCH(INDEX('調整・決定'!$C$6:$H$29,AI3,AI2),'名簿'!$P$5:$P$49,0)),"")="空けない",1,0))</f>
        <v/>
      </c>
      <c r="AJ118">
        <f>IF(INDEX('調整・決定'!$C$6:$H$29,AJ3,AJ2)="",0,IF(IFERROR(INDEX('名簿'!$D$5:$D$49,MATCH(INDEX('調整・決定'!$C$6:$H$29,AJ3,AJ2),'名簿'!$P$5:$P$49,0)),"")="空けない",1,0))</f>
        <v/>
      </c>
      <c r="AK118">
        <f>IF(INDEX('調整・決定'!$C$6:$H$29,AK3,AK2)="",0,IF(IFERROR(INDEX('名簿'!$D$5:$D$49,MATCH(INDEX('調整・決定'!$C$6:$H$29,AK3,AK2),'名簿'!$P$5:$P$49,0)),"")="空けない",1,0))</f>
        <v/>
      </c>
      <c r="AL118">
        <f>IF(INDEX('調整・決定'!$C$6:$H$29,AL3,AL2)="",0,IF(IFERROR(INDEX('名簿'!$D$5:$D$49,MATCH(INDEX('調整・決定'!$C$6:$H$29,AL3,AL2),'名簿'!$P$5:$P$49,0)),"")="空けない",1,0))</f>
        <v/>
      </c>
      <c r="AM118">
        <f>IF(INDEX('調整・決定'!$C$6:$H$29,AM3,AM2)="",0,IF(IFERROR(INDEX('名簿'!$D$5:$D$49,MATCH(INDEX('調整・決定'!$C$6:$H$29,AM3,AM2),'名簿'!$P$5:$P$49,0)),"")="空けない",1,0))</f>
        <v/>
      </c>
      <c r="AN118">
        <f>IF(INDEX('調整・決定'!$C$6:$H$29,AN3,AN2)="",0,IF(IFERROR(INDEX('名簿'!$D$5:$D$49,MATCH(INDEX('調整・決定'!$C$6:$H$29,AN3,AN2),'名簿'!$P$5:$P$49,0)),"")="空けない",1,0))</f>
        <v/>
      </c>
      <c r="AO118">
        <f>IF(INDEX('調整・決定'!$C$6:$H$29,AO3,AO2)="",0,IF(IFERROR(INDEX('名簿'!$D$5:$D$49,MATCH(INDEX('調整・決定'!$C$6:$H$29,AO3,AO2),'名簿'!$P$5:$P$49,0)),"")="空けない",1,0))</f>
        <v/>
      </c>
      <c r="AP118">
        <f>IF(INDEX('調整・決定'!$C$6:$H$29,AP3,AP2)="",0,IF(IFERROR(INDEX('名簿'!$D$5:$D$49,MATCH(INDEX('調整・決定'!$C$6:$H$29,AP3,AP2),'名簿'!$P$5:$P$49,0)),"")="空けない",1,0))</f>
        <v/>
      </c>
      <c r="AQ118">
        <f>IF(INDEX('調整・決定'!$C$6:$H$29,AQ3,AQ2)="",0,IF(IFERROR(INDEX('名簿'!$D$5:$D$49,MATCH(INDEX('調整・決定'!$C$6:$H$29,AQ3,AQ2),'名簿'!$P$5:$P$49,0)),"")="空けない",1,0))</f>
        <v/>
      </c>
      <c r="AR118">
        <f>IF(INDEX('調整・決定'!$C$6:$H$29,AR3,AR2)="",0,IF(IFERROR(INDEX('名簿'!$D$5:$D$49,MATCH(INDEX('調整・決定'!$C$6:$H$29,AR3,AR2),'名簿'!$P$5:$P$49,0)),"")="空けない",1,0))</f>
        <v/>
      </c>
      <c r="AS118">
        <f>IF(INDEX('調整・決定'!$C$6:$H$29,AS3,AS2)="",0,IF(IFERROR(INDEX('名簿'!$D$5:$D$49,MATCH(INDEX('調整・決定'!$C$6:$H$29,AS3,AS2),'名簿'!$P$5:$P$49,0)),"")="空けない",1,0))</f>
        <v/>
      </c>
      <c r="AT118">
        <f>IF(INDEX('調整・決定'!$C$6:$H$29,AT3,AT2)="",0,IF(IFERROR(INDEX('名簿'!$D$5:$D$49,MATCH(INDEX('調整・決定'!$C$6:$H$29,AT3,AT2),'名簿'!$P$5:$P$49,0)),"")="空けない",1,0))</f>
        <v/>
      </c>
      <c r="AU118">
        <f>IF(INDEX('調整・決定'!$C$6:$H$29,AU3,AU2)="",0,IF(IFERROR(INDEX('名簿'!$D$5:$D$49,MATCH(INDEX('調整・決定'!$C$6:$H$29,AU3,AU2),'名簿'!$P$5:$P$49,0)),"")="空けない",1,0))</f>
        <v/>
      </c>
      <c r="AV118">
        <f>IF(INDEX('調整・決定'!$C$6:$H$29,AV3,AV2)="",0,IF(IFERROR(INDEX('名簿'!$D$5:$D$49,MATCH(INDEX('調整・決定'!$C$6:$H$29,AV3,AV2),'名簿'!$P$5:$P$49,0)),"")="空けない",1,0))</f>
        <v/>
      </c>
      <c r="AW118">
        <f>IF(INDEX('調整・決定'!$C$6:$H$29,AW3,AW2)="",0,IF(IFERROR(INDEX('名簿'!$D$5:$D$49,MATCH(INDEX('調整・決定'!$C$6:$H$29,AW3,AW2),'名簿'!$P$5:$P$49,0)),"")="空けない",1,0))</f>
        <v/>
      </c>
      <c r="AX118">
        <f>IF(INDEX('調整・決定'!$C$6:$H$29,AX3,AX2)="",0,IF(IFERROR(INDEX('名簿'!$D$5:$D$49,MATCH(INDEX('調整・決定'!$C$6:$H$29,AX3,AX2),'名簿'!$P$5:$P$49,0)),"")="空けない",1,0))</f>
        <v/>
      </c>
      <c r="AY118">
        <f>IF(INDEX('調整・決定'!$C$6:$H$29,AY3,AY2)="",0,IF(IFERROR(INDEX('名簿'!$D$5:$D$49,MATCH(INDEX('調整・決定'!$C$6:$H$29,AY3,AY2),'名簿'!$P$5:$P$49,0)),"")="空けない",1,0))</f>
        <v/>
      </c>
      <c r="AZ118">
        <f>IF(INDEX('調整・決定'!$C$6:$H$29,AZ3,AZ2)="",0,IF(IFERROR(INDEX('名簿'!$D$5:$D$49,MATCH(INDEX('調整・決定'!$C$6:$H$29,AZ3,AZ2),'名簿'!$P$5:$P$49,0)),"")="空けない",1,0))</f>
        <v/>
      </c>
      <c r="BA118">
        <f>IF(INDEX('調整・決定'!$C$6:$H$29,BA3,BA2)="",0,IF(IFERROR(INDEX('名簿'!$D$5:$D$49,MATCH(INDEX('調整・決定'!$C$6:$H$29,BA3,BA2),'名簿'!$P$5:$P$49,0)),"")="空けない",1,0))</f>
        <v/>
      </c>
      <c r="BB118">
        <f>IF(INDEX('調整・決定'!$C$6:$H$29,BB3,BB2)="",0,IF(IFERROR(INDEX('名簿'!$D$5:$D$49,MATCH(INDEX('調整・決定'!$C$6:$H$29,BB3,BB2),'名簿'!$P$5:$P$49,0)),"")="空けない",1,0))</f>
        <v/>
      </c>
      <c r="BC118">
        <f>IF(INDEX('調整・決定'!$C$6:$H$29,BC3,BC2)="",0,IF(IFERROR(INDEX('名簿'!$D$5:$D$49,MATCH(INDEX('調整・決定'!$C$6:$H$29,BC3,BC2),'名簿'!$P$5:$P$49,0)),"")="空けない",1,0))</f>
        <v/>
      </c>
      <c r="BD118">
        <f>IF(INDEX('調整・決定'!$C$6:$H$29,BD3,BD2)="",0,IF(IFERROR(INDEX('名簿'!$D$5:$D$49,MATCH(INDEX('調整・決定'!$C$6:$H$29,BD3,BD2),'名簿'!$P$5:$P$49,0)),"")="空けない",1,0))</f>
        <v/>
      </c>
      <c r="BE118">
        <f>IF(INDEX('調整・決定'!$C$6:$H$29,BE3,BE2)="",0,IF(IFERROR(INDEX('名簿'!$D$5:$D$49,MATCH(INDEX('調整・決定'!$C$6:$H$29,BE3,BE2),'名簿'!$P$5:$P$49,0)),"")="空けない",1,0))</f>
        <v/>
      </c>
      <c r="BF118">
        <f>IF(INDEX('調整・決定'!$C$6:$H$29,BF3,BF2)="",0,IF(IFERROR(INDEX('名簿'!$D$5:$D$49,MATCH(INDEX('調整・決定'!$C$6:$H$29,BF3,BF2),'名簿'!$P$5:$P$49,0)),"")="空けない",1,0))</f>
        <v/>
      </c>
      <c r="BG118">
        <f>IF(INDEX('調整・決定'!$C$6:$H$29,BG3,BG2)="",0,IF(IFERROR(INDEX('名簿'!$D$5:$D$49,MATCH(INDEX('調整・決定'!$C$6:$H$29,BG3,BG2),'名簿'!$P$5:$P$49,0)),"")="空けない",1,0))</f>
        <v/>
      </c>
      <c r="BH118">
        <f>IF(INDEX('調整・決定'!$C$6:$H$29,BH3,BH2)="",0,IF(IFERROR(INDEX('名簿'!$D$5:$D$49,MATCH(INDEX('調整・決定'!$C$6:$H$29,BH3,BH2),'名簿'!$P$5:$P$49,0)),"")="空けない",1,0))</f>
        <v/>
      </c>
      <c r="BI118">
        <f>IF(INDEX('調整・決定'!$C$6:$H$29,BI3,BI2)="",0,IF(IFERROR(INDEX('名簿'!$D$5:$D$49,MATCH(INDEX('調整・決定'!$C$6:$H$29,BI3,BI2),'名簿'!$P$5:$P$49,0)),"")="空けない",1,0))</f>
        <v/>
      </c>
      <c r="BJ118">
        <f>IF(INDEX('調整・決定'!$C$6:$H$29,BJ3,BJ2)="",0,IF(IFERROR(INDEX('名簿'!$D$5:$D$49,MATCH(INDEX('調整・決定'!$C$6:$H$29,BJ3,BJ2),'名簿'!$P$5:$P$49,0)),"")="空けない",1,0))</f>
        <v/>
      </c>
      <c r="BK118">
        <f>IF(INDEX('調整・決定'!$C$6:$H$29,BK3,BK2)="",0,IF(IFERROR(INDEX('名簿'!$D$5:$D$49,MATCH(INDEX('調整・決定'!$C$6:$H$29,BK3,BK2),'名簿'!$P$5:$P$49,0)),"")="空けない",1,0))</f>
        <v/>
      </c>
      <c r="BL118">
        <f>IF(INDEX('調整・決定'!$C$6:$H$29,BL3,BL2)="",0,IF(IFERROR(INDEX('名簿'!$D$5:$D$49,MATCH(INDEX('調整・決定'!$C$6:$H$29,BL3,BL2),'名簿'!$P$5:$P$49,0)),"")="空けない",1,0))</f>
        <v/>
      </c>
      <c r="BM118">
        <f>IF(INDEX('調整・決定'!$C$6:$H$29,BM3,BM2)="",0,IF(IFERROR(INDEX('名簿'!$D$5:$D$49,MATCH(INDEX('調整・決定'!$C$6:$H$29,BM3,BM2),'名簿'!$P$5:$P$49,0)),"")="空けない",1,0))</f>
        <v/>
      </c>
      <c r="BN118">
        <f>IF(INDEX('調整・決定'!$C$6:$H$29,BN3,BN2)="",0,IF(IFERROR(INDEX('名簿'!$D$5:$D$49,MATCH(INDEX('調整・決定'!$C$6:$H$29,BN3,BN2),'名簿'!$P$5:$P$49,0)),"")="空けない",1,0))</f>
        <v/>
      </c>
      <c r="BO118">
        <f>IF(INDEX('調整・決定'!$C$6:$H$29,BO3,BO2)="",0,IF(IFERROR(INDEX('名簿'!$D$5:$D$49,MATCH(INDEX('調整・決定'!$C$6:$H$29,BO3,BO2),'名簿'!$P$5:$P$49,0)),"")="空けない",1,0))</f>
        <v/>
      </c>
      <c r="BP118">
        <f>IF(INDEX('調整・決定'!$C$6:$H$29,BP3,BP2)="",0,IF(IFERROR(INDEX('名簿'!$D$5:$D$49,MATCH(INDEX('調整・決定'!$C$6:$H$29,BP3,BP2),'名簿'!$P$5:$P$49,0)),"")="空けない",1,0))</f>
        <v/>
      </c>
      <c r="BQ118">
        <f>IF(INDEX('調整・決定'!$C$6:$H$29,BQ3,BQ2)="",0,IF(IFERROR(INDEX('名簿'!$D$5:$D$49,MATCH(INDEX('調整・決定'!$C$6:$H$29,BQ3,BQ2),'名簿'!$P$5:$P$49,0)),"")="空けない",1,0))</f>
        <v/>
      </c>
      <c r="BR118">
        <f>IF(INDEX('調整・決定'!$C$6:$H$29,BR3,BR2)="",0,IF(IFERROR(INDEX('名簿'!$D$5:$D$49,MATCH(INDEX('調整・決定'!$C$6:$H$29,BR3,BR2),'名簿'!$P$5:$P$49,0)),"")="空けない",1,0))</f>
        <v/>
      </c>
      <c r="BS118">
        <f>IF(INDEX('調整・決定'!$C$6:$H$29,BS3,BS2)="",0,IF(IFERROR(INDEX('名簿'!$D$5:$D$49,MATCH(INDEX('調整・決定'!$C$6:$H$29,BS3,BS2),'名簿'!$P$5:$P$49,0)),"")="空けない",1,0))</f>
        <v/>
      </c>
      <c r="BT118">
        <f>IF(INDEX('調整・決定'!$C$6:$H$29,BT3,BT2)="",0,IF(IFERROR(INDEX('名簿'!$D$5:$D$49,MATCH(INDEX('調整・決定'!$C$6:$H$29,BT3,BT2),'名簿'!$P$5:$P$49,0)),"")="空けない",1,0))</f>
        <v/>
      </c>
      <c r="BU118">
        <f>IF(INDEX('調整・決定'!$C$6:$H$29,BU3,BU2)="",0,IF(IFERROR(INDEX('名簿'!$D$5:$D$49,MATCH(INDEX('調整・決定'!$C$6:$H$29,BU3,BU2),'名簿'!$P$5:$P$49,0)),"")="空けない",1,0))</f>
        <v/>
      </c>
      <c r="BV118">
        <f>IF(INDEX('調整・決定'!$C$6:$H$29,BV3,BV2)="",0,IF(IFERROR(INDEX('名簿'!$D$5:$D$49,MATCH(INDEX('調整・決定'!$C$6:$H$29,BV3,BV2),'名簿'!$P$5:$P$49,0)),"")="空けない",1,0))</f>
        <v/>
      </c>
      <c r="BW118">
        <f>IF(INDEX('調整・決定'!$C$6:$H$29,BW3,BW2)="",0,IF(IFERROR(INDEX('名簿'!$D$5:$D$49,MATCH(INDEX('調整・決定'!$C$6:$H$29,BW3,BW2),'名簿'!$P$5:$P$49,0)),"")="空けない",1,0))</f>
        <v/>
      </c>
      <c r="BX118">
        <f>IF(INDEX('調整・決定'!$C$6:$H$29,BX3,BX2)="",0,IF(IFERROR(INDEX('名簿'!$D$5:$D$49,MATCH(INDEX('調整・決定'!$C$6:$H$29,BX3,BX2),'名簿'!$P$5:$P$49,0)),"")="空けない",1,0))</f>
        <v/>
      </c>
      <c r="BY118">
        <f>IF(INDEX('調整・決定'!$C$6:$H$29,BY3,BY2)="",0,IF(IFERROR(INDEX('名簿'!$D$5:$D$49,MATCH(INDEX('調整・決定'!$C$6:$H$29,BY3,BY2),'名簿'!$P$5:$P$49,0)),"")="空けない",1,0))</f>
        <v/>
      </c>
      <c r="BZ118">
        <f>IF(INDEX('調整・決定'!$C$6:$H$29,BZ3,BZ2)="",0,IF(IFERROR(INDEX('名簿'!$D$5:$D$49,MATCH(INDEX('調整・決定'!$C$6:$H$29,BZ3,BZ2),'名簿'!$P$5:$P$49,0)),"")="空けない",1,0))</f>
        <v/>
      </c>
      <c r="CA118">
        <f>IF(INDEX('調整・決定'!$C$6:$H$29,CA3,CA2)="",0,IF(IFERROR(INDEX('名簿'!$D$5:$D$49,MATCH(INDEX('調整・決定'!$C$6:$H$29,CA3,CA2),'名簿'!$P$5:$P$49,0)),"")="空けない",1,0))</f>
        <v/>
      </c>
      <c r="CB118">
        <f>IF(INDEX('調整・決定'!$C$6:$H$29,CB3,CB2)="",0,IF(IFERROR(INDEX('名簿'!$D$5:$D$49,MATCH(INDEX('調整・決定'!$C$6:$H$29,CB3,CB2),'名簿'!$P$5:$P$49,0)),"")="空けない",1,0))</f>
        <v/>
      </c>
      <c r="CC118">
        <f>IF(INDEX('調整・決定'!$C$6:$H$29,CC3,CC2)="",0,IF(IFERROR(INDEX('名簿'!$D$5:$D$49,MATCH(INDEX('調整・決定'!$C$6:$H$29,CC3,CC2),'名簿'!$P$5:$P$49,0)),"")="空けない",1,0))</f>
        <v/>
      </c>
      <c r="CD118">
        <f>IF(INDEX('調整・決定'!$C$6:$H$29,CD3,CD2)="",0,IF(IFERROR(INDEX('名簿'!$D$5:$D$49,MATCH(INDEX('調整・決定'!$C$6:$H$29,CD3,CD2),'名簿'!$P$5:$P$49,0)),"")="空けない",1,0))</f>
        <v/>
      </c>
      <c r="CE118">
        <f>IF(INDEX('調整・決定'!$C$6:$H$29,CE3,CE2)="",0,IF(IFERROR(INDEX('名簿'!$D$5:$D$49,MATCH(INDEX('調整・決定'!$C$6:$H$29,CE3,CE2),'名簿'!$P$5:$P$49,0)),"")="空けない",1,0))</f>
        <v/>
      </c>
      <c r="CF118">
        <f>IF(INDEX('調整・決定'!$C$6:$H$29,CF3,CF2)="",0,IF(IFERROR(INDEX('名簿'!$D$5:$D$49,MATCH(INDEX('調整・決定'!$C$6:$H$29,CF3,CF2),'名簿'!$P$5:$P$49,0)),"")="空けない",1,0))</f>
        <v/>
      </c>
      <c r="CG118">
        <f>IF(INDEX('調整・決定'!$C$6:$H$29,CG3,CG2)="",0,IF(IFERROR(INDEX('名簿'!$D$5:$D$49,MATCH(INDEX('調整・決定'!$C$6:$H$29,CG3,CG2),'名簿'!$P$5:$P$49,0)),"")="空けない",1,0))</f>
        <v/>
      </c>
      <c r="CH118">
        <f>IF(INDEX('調整・決定'!$C$6:$H$29,CH3,CH2)="",0,IF(IFERROR(INDEX('名簿'!$D$5:$D$49,MATCH(INDEX('調整・決定'!$C$6:$H$29,CH3,CH2),'名簿'!$P$5:$P$49,0)),"")="空けない",1,0))</f>
        <v/>
      </c>
      <c r="CI118">
        <f>IF(INDEX('調整・決定'!$C$6:$H$29,CI3,CI2)="",0,IF(IFERROR(INDEX('名簿'!$D$5:$D$49,MATCH(INDEX('調整・決定'!$C$6:$H$29,CI3,CI2),'名簿'!$P$5:$P$49,0)),"")="空けない",1,0))</f>
        <v/>
      </c>
      <c r="CJ118">
        <f>IF(INDEX('調整・決定'!$C$6:$H$29,CJ3,CJ2)="",0,IF(IFERROR(INDEX('名簿'!$D$5:$D$49,MATCH(INDEX('調整・決定'!$C$6:$H$29,CJ3,CJ2),'名簿'!$P$5:$P$49,0)),"")="空けない",1,0))</f>
        <v/>
      </c>
      <c r="CK118">
        <f>IF(INDEX('調整・決定'!$C$6:$H$29,CK3,CK2)="",0,IF(IFERROR(INDEX('名簿'!$D$5:$D$49,MATCH(INDEX('調整・決定'!$C$6:$H$29,CK3,CK2),'名簿'!$P$5:$P$49,0)),"")="空けない",1,0))</f>
        <v/>
      </c>
      <c r="CL118">
        <f>IF(INDEX('調整・決定'!$C$6:$H$29,CL3,CL2)="",0,IF(IFERROR(INDEX('名簿'!$D$5:$D$49,MATCH(INDEX('調整・決定'!$C$6:$H$29,CL3,CL2),'名簿'!$P$5:$P$49,0)),"")="空けない",1,0))</f>
        <v/>
      </c>
      <c r="CM118">
        <f>IF(INDEX('調整・決定'!$C$6:$H$29,CM3,CM2)="",0,IF(IFERROR(INDEX('名簿'!$D$5:$D$49,MATCH(INDEX('調整・決定'!$C$6:$H$29,CM3,CM2),'名簿'!$P$5:$P$49,0)),"")="空けない",1,0))</f>
        <v/>
      </c>
      <c r="CN118">
        <f>IF(INDEX('調整・決定'!$C$6:$H$29,CN3,CN2)="",0,IF(IFERROR(INDEX('名簿'!$D$5:$D$49,MATCH(INDEX('調整・決定'!$C$6:$H$29,CN3,CN2),'名簿'!$P$5:$P$49,0)),"")="空けない",1,0))</f>
        <v/>
      </c>
      <c r="CO118">
        <f>IF(INDEX('調整・決定'!$C$6:$H$29,CO3,CO2)="",0,IF(IFERROR(INDEX('名簿'!$D$5:$D$49,MATCH(INDEX('調整・決定'!$C$6:$H$29,CO3,CO2),'名簿'!$P$5:$P$49,0)),"")="空けない",1,0))</f>
        <v/>
      </c>
      <c r="CP118">
        <f>IF(INDEX('調整・決定'!$C$6:$H$29,CP3,CP2)="",0,IF(IFERROR(INDEX('名簿'!$D$5:$D$49,MATCH(INDEX('調整・決定'!$C$6:$H$29,CP3,CP2),'名簿'!$P$5:$P$49,0)),"")="空けない",1,0))</f>
        <v/>
      </c>
      <c r="CQ118">
        <f>IF(INDEX('調整・決定'!$C$6:$H$29,CQ3,CQ2)="",0,IF(IFERROR(INDEX('名簿'!$D$5:$D$49,MATCH(INDEX('調整・決定'!$C$6:$H$29,CQ3,CQ2),'名簿'!$P$5:$P$49,0)),"")="空けない",1,0))</f>
        <v/>
      </c>
      <c r="CR118">
        <f>IF(INDEX('調整・決定'!$C$6:$H$29,CR3,CR2)="",0,IF(IFERROR(INDEX('名簿'!$D$5:$D$49,MATCH(INDEX('調整・決定'!$C$6:$H$29,CR3,CR2),'名簿'!$P$5:$P$49,0)),"")="空けない",1,0))</f>
        <v/>
      </c>
      <c r="CS118">
        <f>IF(INDEX('調整・決定'!$C$6:$H$29,CS3,CS2)="",0,IF(IFERROR(INDEX('名簿'!$D$5:$D$49,MATCH(INDEX('調整・決定'!$C$6:$H$29,CS3,CS2),'名簿'!$P$5:$P$49,0)),"")="空けない",1,0))</f>
        <v/>
      </c>
      <c r="CT118">
        <f>IF(INDEX('調整・決定'!$C$6:$H$29,CT3,CT2)="",0,IF(IFERROR(INDEX('名簿'!$D$5:$D$49,MATCH(INDEX('調整・決定'!$C$6:$H$29,CT3,CT2),'名簿'!$P$5:$P$49,0)),"")="空けない",1,0))</f>
        <v/>
      </c>
      <c r="CU118">
        <f>IF(INDEX('調整・決定'!$C$6:$H$29,CU3,CU2)="",0,IF(IFERROR(INDEX('名簿'!$D$5:$D$49,MATCH(INDEX('調整・決定'!$C$6:$H$29,CU3,CU2),'名簿'!$P$5:$P$49,0)),"")="空けない",1,0))</f>
        <v/>
      </c>
      <c r="CV118">
        <f>IF(INDEX('調整・決定'!$C$6:$H$29,CV3,CV2)="",0,IF(IFERROR(INDEX('名簿'!$D$5:$D$49,MATCH(INDEX('調整・決定'!$C$6:$H$29,CV3,CV2),'名簿'!$P$5:$P$49,0)),"")="空けない",1,0))</f>
        <v/>
      </c>
      <c r="CW118">
        <f>IF(INDEX('調整・決定'!$C$6:$H$29,CW3,CW2)="",0,IF(IFERROR(INDEX('名簿'!$D$5:$D$49,MATCH(INDEX('調整・決定'!$C$6:$H$29,CW3,CW2),'名簿'!$P$5:$P$49,0)),"")="空けない",1,0))</f>
        <v/>
      </c>
      <c r="CX118">
        <f>IF(INDEX('調整・決定'!$C$6:$H$29,CX3,CX2)="",0,IF(IFERROR(INDEX('名簿'!$D$5:$D$49,MATCH(INDEX('調整・決定'!$C$6:$H$29,CX3,CX2),'名簿'!$P$5:$P$49,0)),"")="空けない",1,0))</f>
        <v/>
      </c>
      <c r="CY118">
        <f>IF(INDEX('調整・決定'!$C$6:$H$29,CY3,CY2)="",0,IF(IFERROR(INDEX('名簿'!$D$5:$D$49,MATCH(INDEX('調整・決定'!$C$6:$H$29,CY3,CY2),'名簿'!$P$5:$P$49,0)),"")="空けない",1,0))</f>
        <v/>
      </c>
      <c r="CZ118">
        <f>IF(INDEX('調整・決定'!$C$6:$H$29,CZ3,CZ2)="",0,IF(IFERROR(INDEX('名簿'!$D$5:$D$49,MATCH(INDEX('調整・決定'!$C$6:$H$29,CZ3,CZ2),'名簿'!$P$5:$P$49,0)),"")="空けない",1,0))</f>
        <v/>
      </c>
      <c r="DA118">
        <f>IF(INDEX('調整・決定'!$C$6:$H$29,DA3,DA2)="",0,IF(IFERROR(INDEX('名簿'!$D$5:$D$49,MATCH(INDEX('調整・決定'!$C$6:$H$29,DA3,DA2),'名簿'!$P$5:$P$49,0)),"")="空けない",1,0))</f>
        <v/>
      </c>
      <c r="DB118">
        <f>IF(INDEX('調整・決定'!$C$6:$H$29,DB3,DB2)="",0,IF(IFERROR(INDEX('名簿'!$D$5:$D$49,MATCH(INDEX('調整・決定'!$C$6:$H$29,DB3,DB2),'名簿'!$P$5:$P$49,0)),"")="空けない",1,0))</f>
        <v/>
      </c>
      <c r="DC118">
        <f>IF(INDEX('調整・決定'!$C$6:$H$29,DC3,DC2)="",0,IF(IFERROR(INDEX('名簿'!$D$5:$D$49,MATCH(INDEX('調整・決定'!$C$6:$H$29,DC3,DC2),'名簿'!$P$5:$P$49,0)),"")="空けない",1,0))</f>
        <v/>
      </c>
      <c r="DD118">
        <f>IF(INDEX('調整・決定'!$C$6:$H$29,DD3,DD2)="",0,IF(IFERROR(INDEX('名簿'!$D$5:$D$49,MATCH(INDEX('調整・決定'!$C$6:$H$29,DD3,DD2),'名簿'!$P$5:$P$49,0)),"")="空けない",1,0))</f>
        <v/>
      </c>
      <c r="DE118">
        <f>IF(INDEX('調整・決定'!$C$6:$H$29,DE3,DE2)="",0,IF(IFERROR(INDEX('名簿'!$D$5:$D$49,MATCH(INDEX('調整・決定'!$C$6:$H$29,DE3,DE2),'名簿'!$P$5:$P$49,0)),"")="空けない",1,0))</f>
        <v/>
      </c>
      <c r="DF118">
        <f>IF(INDEX('調整・決定'!$C$6:$H$29,DF3,DF2)="",0,IF(IFERROR(INDEX('名簿'!$D$5:$D$49,MATCH(INDEX('調整・決定'!$C$6:$H$29,DF3,DF2),'名簿'!$P$5:$P$49,0)),"")="空けない",1,0))</f>
        <v/>
      </c>
      <c r="DG118">
        <f>IF(INDEX('調整・決定'!$C$6:$H$29,DG3,DG2)="",0,IF(IFERROR(INDEX('名簿'!$D$5:$D$49,MATCH(INDEX('調整・決定'!$C$6:$H$29,DG3,DG2),'名簿'!$P$5:$P$49,0)),"")="空けない",1,0))</f>
        <v/>
      </c>
      <c r="DH118">
        <f>IF(INDEX('調整・決定'!$C$6:$H$29,DH3,DH2)="",0,IF(IFERROR(INDEX('名簿'!$D$5:$D$49,MATCH(INDEX('調整・決定'!$C$6:$H$29,DH3,DH2),'名簿'!$P$5:$P$49,0)),"")="空けない",1,0))</f>
        <v/>
      </c>
      <c r="DI118">
        <f>IF(INDEX('調整・決定'!$C$6:$H$29,DI3,DI2)="",0,IF(IFERROR(INDEX('名簿'!$D$5:$D$49,MATCH(INDEX('調整・決定'!$C$6:$H$29,DI3,DI2),'名簿'!$P$5:$P$49,0)),"")="空けない",1,0))</f>
        <v/>
      </c>
      <c r="DJ118">
        <f>IF(INDEX('調整・決定'!$C$6:$H$29,DJ3,DJ2)="",0,IF(IFERROR(INDEX('名簿'!$D$5:$D$49,MATCH(INDEX('調整・決定'!$C$6:$H$29,DJ3,DJ2),'名簿'!$P$5:$P$49,0)),"")="空けない",1,0))</f>
        <v/>
      </c>
      <c r="DK118">
        <f>IF(INDEX('調整・決定'!$C$6:$H$29,DK3,DK2)="",0,IF(IFERROR(INDEX('名簿'!$D$5:$D$49,MATCH(INDEX('調整・決定'!$C$6:$H$29,DK3,DK2),'名簿'!$P$5:$P$49,0)),"")="空けない",1,0))</f>
        <v/>
      </c>
      <c r="DL118">
        <f>IF(INDEX('調整・決定'!$C$6:$H$29,DL3,DL2)="",0,IF(IFERROR(INDEX('名簿'!$D$5:$D$49,MATCH(INDEX('調整・決定'!$C$6:$H$29,DL3,DL2),'名簿'!$P$5:$P$49,0)),"")="空けない",1,0))</f>
        <v/>
      </c>
      <c r="DM118">
        <f>IF(INDEX('調整・決定'!$C$6:$H$29,DM3,DM2)="",0,IF(IFERROR(INDEX('名簿'!$D$5:$D$49,MATCH(INDEX('調整・決定'!$C$6:$H$29,DM3,DM2),'名簿'!$P$5:$P$49,0)),"")="空けない",1,0))</f>
        <v/>
      </c>
      <c r="DN118">
        <f>IF(INDEX('調整・決定'!$C$6:$H$29,DN3,DN2)="",0,IF(IFERROR(INDEX('名簿'!$D$5:$D$49,MATCH(INDEX('調整・決定'!$C$6:$H$29,DN3,DN2),'名簿'!$P$5:$P$49,0)),"")="空けない",1,0))</f>
        <v/>
      </c>
      <c r="DO118">
        <f>IF(INDEX('調整・決定'!$C$6:$H$29,DO3,DO2)="",0,IF(IFERROR(INDEX('名簿'!$D$5:$D$49,MATCH(INDEX('調整・決定'!$C$6:$H$29,DO3,DO2),'名簿'!$P$5:$P$49,0)),"")="空けない",1,0))</f>
        <v/>
      </c>
      <c r="DP118">
        <f>IF(INDEX('調整・決定'!$C$6:$H$29,DP3,DP2)="",0,IF(IFERROR(INDEX('名簿'!$D$5:$D$49,MATCH(INDEX('調整・決定'!$C$6:$H$29,DP3,DP2),'名簿'!$P$5:$P$49,0)),"")="空けない",1,0))</f>
        <v/>
      </c>
      <c r="DQ118">
        <f>IF(INDEX('調整・決定'!$C$6:$H$29,DQ3,DQ2)="",0,IF(IFERROR(INDEX('名簿'!$D$5:$D$49,MATCH(INDEX('調整・決定'!$C$6:$H$29,DQ3,DQ2),'名簿'!$P$5:$P$49,0)),"")="空けない",1,0))</f>
        <v/>
      </c>
      <c r="DR118">
        <f>IF(INDEX('調整・決定'!$C$6:$H$29,DR3,DR2)="",0,IF(IFERROR(INDEX('名簿'!$D$5:$D$49,MATCH(INDEX('調整・決定'!$C$6:$H$29,DR3,DR2),'名簿'!$P$5:$P$49,0)),"")="空けない",1,0))</f>
        <v/>
      </c>
      <c r="DS118">
        <f>IF(INDEX('調整・決定'!$C$6:$H$29,DS3,DS2)="",0,IF(IFERROR(INDEX('名簿'!$D$5:$D$49,MATCH(INDEX('調整・決定'!$C$6:$H$29,DS3,DS2),'名簿'!$P$5:$P$49,0)),"")="空けない",1,0))</f>
        <v/>
      </c>
      <c r="DT118">
        <f>IF(INDEX('調整・決定'!$C$6:$H$29,DT3,DT2)="",0,IF(IFERROR(INDEX('名簿'!$D$5:$D$49,MATCH(INDEX('調整・決定'!$C$6:$H$29,DT3,DT2),'名簿'!$P$5:$P$49,0)),"")="空けない",1,0))</f>
        <v/>
      </c>
      <c r="DU118">
        <f>IF(INDEX('調整・決定'!$C$6:$H$29,DU3,DU2)="",0,IF(IFERROR(INDEX('名簿'!$D$5:$D$49,MATCH(INDEX('調整・決定'!$C$6:$H$29,DU3,DU2),'名簿'!$P$5:$P$49,0)),"")="空けない",1,0))</f>
        <v/>
      </c>
      <c r="DV118">
        <f>IF(INDEX('調整・決定'!$C$6:$H$29,DV3,DV2)="",0,IF(IFERROR(INDEX('名簿'!$D$5:$D$49,MATCH(INDEX('調整・決定'!$C$6:$H$29,DV3,DV2),'名簿'!$P$5:$P$49,0)),"")="空けない",1,0))</f>
        <v/>
      </c>
      <c r="DW118">
        <f>IF(INDEX('調整・決定'!$C$6:$H$29,DW3,DW2)="",0,IF(IFERROR(INDEX('名簿'!$D$5:$D$49,MATCH(INDEX('調整・決定'!$C$6:$H$29,DW3,DW2),'名簿'!$P$5:$P$49,0)),"")="空けない",1,0))</f>
        <v/>
      </c>
      <c r="DX118">
        <f>IF(INDEX('調整・決定'!$C$6:$H$29,DX3,DX2)="",0,IF(IFERROR(INDEX('名簿'!$D$5:$D$49,MATCH(INDEX('調整・決定'!$C$6:$H$29,DX3,DX2),'名簿'!$P$5:$P$49,0)),"")="空けない",1,0))</f>
        <v/>
      </c>
      <c r="DY118">
        <f>IF(INDEX('調整・決定'!$C$6:$H$29,DY3,DY2)="",0,IF(IFERROR(INDEX('名簿'!$D$5:$D$49,MATCH(INDEX('調整・決定'!$C$6:$H$29,DY3,DY2),'名簿'!$P$5:$P$49,0)),"")="空けない",1,0))</f>
        <v/>
      </c>
      <c r="DZ118">
        <f>IF(INDEX('調整・決定'!$C$6:$H$29,DZ3,DZ2)="",0,IF(IFERROR(INDEX('名簿'!$D$5:$D$49,MATCH(INDEX('調整・決定'!$C$6:$H$29,DZ3,DZ2),'名簿'!$P$5:$P$49,0)),"")="空けない",1,0))</f>
        <v/>
      </c>
      <c r="EA118">
        <f>IF(INDEX('調整・決定'!$C$6:$H$29,EA3,EA2)="",0,IF(IFERROR(INDEX('名簿'!$D$5:$D$49,MATCH(INDEX('調整・決定'!$C$6:$H$29,EA3,EA2),'名簿'!$P$5:$P$49,0)),"")="空けない",1,0))</f>
        <v/>
      </c>
      <c r="EB118">
        <f>IF(INDEX('調整・決定'!$C$6:$H$29,EB3,EB2)="",0,IF(IFERROR(INDEX('名簿'!$D$5:$D$49,MATCH(INDEX('調整・決定'!$C$6:$H$29,EB3,EB2),'名簿'!$P$5:$P$49,0)),"")="空けない",1,0))</f>
        <v/>
      </c>
      <c r="EC118">
        <f>IF(INDEX('調整・決定'!$C$6:$H$29,EC3,EC2)="",0,IF(IFERROR(INDEX('名簿'!$D$5:$D$49,MATCH(INDEX('調整・決定'!$C$6:$H$29,EC3,EC2),'名簿'!$P$5:$P$49,0)),"")="空けない",1,0))</f>
        <v/>
      </c>
      <c r="ED118">
        <f>IF(INDEX('調整・決定'!$C$6:$H$29,ED3,ED2)="",0,IF(IFERROR(INDEX('名簿'!$D$5:$D$49,MATCH(INDEX('調整・決定'!$C$6:$H$29,ED3,ED2),'名簿'!$P$5:$P$49,0)),"")="空けない",1,0))</f>
        <v/>
      </c>
      <c r="EE118">
        <f>IF(INDEX('調整・決定'!$C$6:$H$29,EE3,EE2)="",0,IF(IFERROR(INDEX('名簿'!$D$5:$D$49,MATCH(INDEX('調整・決定'!$C$6:$H$29,EE3,EE2),'名簿'!$P$5:$P$49,0)),"")="空けない",1,0))</f>
        <v/>
      </c>
      <c r="EF118">
        <f>IF(INDEX('調整・決定'!$C$6:$H$29,EF3,EF2)="",0,IF(IFERROR(INDEX('名簿'!$D$5:$D$49,MATCH(INDEX('調整・決定'!$C$6:$H$29,EF3,EF2),'名簿'!$P$5:$P$49,0)),"")="空けない",1,0))</f>
        <v/>
      </c>
      <c r="EG118">
        <f>IF(INDEX('調整・決定'!$C$6:$H$29,EG3,EG2)="",0,IF(IFERROR(INDEX('名簿'!$D$5:$D$49,MATCH(INDEX('調整・決定'!$C$6:$H$29,EG3,EG2),'名簿'!$P$5:$P$49,0)),"")="空けない",1,0))</f>
        <v/>
      </c>
      <c r="EH118">
        <f>IF(INDEX('調整・決定'!$C$6:$H$29,EH3,EH2)="",0,IF(IFERROR(INDEX('名簿'!$D$5:$D$49,MATCH(INDEX('調整・決定'!$C$6:$H$29,EH3,EH2),'名簿'!$P$5:$P$49,0)),"")="空けない",1,0))</f>
        <v/>
      </c>
      <c r="EI118">
        <f>IF(INDEX('調整・決定'!$C$6:$H$29,EI3,EI2)="",0,IF(IFERROR(INDEX('名簿'!$D$5:$D$49,MATCH(INDEX('調整・決定'!$C$6:$H$29,EI3,EI2),'名簿'!$P$5:$P$49,0)),"")="空けない",1,0))</f>
        <v/>
      </c>
      <c r="EJ118">
        <f>IF(INDEX('調整・決定'!$C$6:$H$29,EJ3,EJ2)="",0,IF(IFERROR(INDEX('名簿'!$D$5:$D$49,MATCH(INDEX('調整・決定'!$C$6:$H$29,EJ3,EJ2),'名簿'!$P$5:$P$49,0)),"")="空けない",1,0))</f>
        <v/>
      </c>
      <c r="EK118">
        <f>IF(INDEX('調整・決定'!$C$6:$H$29,EK3,EK2)="",0,IF(IFERROR(INDEX('名簿'!$D$5:$D$49,MATCH(INDEX('調整・決定'!$C$6:$H$29,EK3,EK2),'名簿'!$P$5:$P$49,0)),"")="空けない",1,0))</f>
        <v/>
      </c>
      <c r="EL118">
        <f>IF(INDEX('調整・決定'!$C$6:$H$29,EL3,EL2)="",0,IF(IFERROR(INDEX('名簿'!$D$5:$D$49,MATCH(INDEX('調整・決定'!$C$6:$H$29,EL3,EL2),'名簿'!$P$5:$P$49,0)),"")="空けない",1,0))</f>
        <v/>
      </c>
      <c r="EM118">
        <f>IF(INDEX('調整・決定'!$C$6:$H$29,EM3,EM2)="",0,IF(IFERROR(INDEX('名簿'!$D$5:$D$49,MATCH(INDEX('調整・決定'!$C$6:$H$29,EM3,EM2),'名簿'!$P$5:$P$49,0)),"")="空けない",1,0))</f>
        <v/>
      </c>
      <c r="EN118">
        <f>IF(INDEX('調整・決定'!$C$6:$H$29,EN3,EN2)="",0,IF(IFERROR(INDEX('名簿'!$D$5:$D$49,MATCH(INDEX('調整・決定'!$C$6:$H$29,EN3,EN2),'名簿'!$P$5:$P$49,0)),"")="空けない",1,0))</f>
        <v/>
      </c>
      <c r="EO118">
        <f>IF(INDEX('調整・決定'!$C$6:$H$29,EO3,EO2)="",0,IF(IFERROR(INDEX('名簿'!$D$5:$D$49,MATCH(INDEX('調整・決定'!$C$6:$H$29,EO3,EO2),'名簿'!$P$5:$P$49,0)),"")="空けない",1,0))</f>
        <v/>
      </c>
      <c r="EP118">
        <f>IF(INDEX('調整・決定'!$C$6:$H$29,EP3,EP2)="",0,IF(IFERROR(INDEX('名簿'!$D$5:$D$49,MATCH(INDEX('調整・決定'!$C$6:$H$29,EP3,EP2),'名簿'!$P$5:$P$49,0)),"")="空けない",1,0))</f>
        <v/>
      </c>
      <c r="EQ118">
        <f>IF(INDEX('調整・決定'!$C$6:$H$29,EQ3,EQ2)="",0,IF(IFERROR(INDEX('名簿'!$D$5:$D$49,MATCH(INDEX('調整・決定'!$C$6:$H$29,EQ3,EQ2),'名簿'!$P$5:$P$49,0)),"")="空けない",1,0))</f>
        <v/>
      </c>
    </row>
    <row r="129">
      <c r="A129" t="inlineStr">
        <is>
          <t>兄弟の時間がある子の枠の点数</t>
        </is>
      </c>
    </row>
    <row r="130">
      <c r="D130">
        <f>IF(OR($JF10=0,calcA!$A$6=0),0,IF(OR(1=$HA10,1=$HD10,1=$HG10),200000,MIN(IF($HA10=0,999999,IF(1=$HB10,IF(1=$HJ10,IF($JC10=2,30,0),IF(1=$HK10,IF($JC10=1,30,0),ABS(1-$HC10)*100)),100000+ABS(1-$HB10)*1000+10)),IF($HD10=0,999999,IF(1=$HE10,IF(1=$HL10,IF($JD10=2,30,0),IF(1=$HM10,IF($JD10=1,30,0),ABS(1-$HF10)*100)),100000+ABS(1-$HE10)*1000+10)),IF($HG10=0,999999,IF(1=$HH10,IF(1=$HN10,IF($JE10=2,30,0),IF(1=$HO10,IF($JE10=1,30,0),ABS(1-$HI10)*100)),100000+ABS(1-$HH10)*1000+10)))-IF((1=$HJ10)+(1=$HK10)+(1=$HL10)+(1=$HM10)+(1=$HN10)+(1=$HO10)&gt;=2,50,0))+D$5*50)</f>
        <v/>
      </c>
      <c r="E130">
        <f>IF(OR($JF10=0,calcA!$A$6=0),0,IF(OR(2=$HA10,2=$HD10,2=$HG10),200000,MIN(IF($HA10=0,999999,IF(1=$HB10,IF(2=$HJ10,IF($JC10=2,30,0),IF(2=$HK10,IF($JC10=1,30,0),ABS(2-$HC10)*100)),100000+ABS(1-$HB10)*1000+20)),IF($HD10=0,999999,IF(1=$HE10,IF(2=$HL10,IF($JD10=2,30,0),IF(2=$HM10,IF($JD10=1,30,0),ABS(2-$HF10)*100)),100000+ABS(1-$HE10)*1000+20)),IF($HG10=0,999999,IF(1=$HH10,IF(2=$HN10,IF($JE10=2,30,0),IF(2=$HO10,IF($JE10=1,30,0),ABS(2-$HI10)*100)),100000+ABS(1-$HH10)*1000+20)))-IF((2=$HJ10)+(2=$HK10)+(2=$HL10)+(2=$HM10)+(2=$HN10)+(2=$HO10)&gt;=2,50,0))+E$5*50)</f>
        <v/>
      </c>
      <c r="F130">
        <f>IF(OR($JF10=0,calcA!$A$6=0),0,IF(OR(3=$HA10,3=$HD10,3=$HG10),200000,MIN(IF($HA10=0,999999,IF(1=$HB10,IF(3=$HJ10,IF($JC10=2,30,0),IF(3=$HK10,IF($JC10=1,30,0),ABS(3-$HC10)*100)),100000+ABS(1-$HB10)*1000+30)),IF($HD10=0,999999,IF(1=$HE10,IF(3=$HL10,IF($JD10=2,30,0),IF(3=$HM10,IF($JD10=1,30,0),ABS(3-$HF10)*100)),100000+ABS(1-$HE10)*1000+30)),IF($HG10=0,999999,IF(1=$HH10,IF(3=$HN10,IF($JE10=2,30,0),IF(3=$HO10,IF($JE10=1,30,0),ABS(3-$HI10)*100)),100000+ABS(1-$HH10)*1000+30)))-IF((3=$HJ10)+(3=$HK10)+(3=$HL10)+(3=$HM10)+(3=$HN10)+(3=$HO10)&gt;=2,50,0))+F$5*50)</f>
        <v/>
      </c>
      <c r="G130">
        <f>IF(OR($JF10=0,calcA!$A$6=0),0,IF(OR(4=$HA10,4=$HD10,4=$HG10),200000,MIN(IF($HA10=0,999999,IF(1=$HB10,IF(4=$HJ10,IF($JC10=2,30,0),IF(4=$HK10,IF($JC10=1,30,0),ABS(4-$HC10)*100)),100000+ABS(1-$HB10)*1000+40)),IF($HD10=0,999999,IF(1=$HE10,IF(4=$HL10,IF($JD10=2,30,0),IF(4=$HM10,IF($JD10=1,30,0),ABS(4-$HF10)*100)),100000+ABS(1-$HE10)*1000+40)),IF($HG10=0,999999,IF(1=$HH10,IF(4=$HN10,IF($JE10=2,30,0),IF(4=$HO10,IF($JE10=1,30,0),ABS(4-$HI10)*100)),100000+ABS(1-$HH10)*1000+40)))-IF((4=$HJ10)+(4=$HK10)+(4=$HL10)+(4=$HM10)+(4=$HN10)+(4=$HO10)&gt;=2,50,0))+G$5*50)</f>
        <v/>
      </c>
      <c r="H130">
        <f>IF(OR($JF10=0,calcA!$A$6=0),0,IF(OR(5=$HA10,5=$HD10,5=$HG10),200000,MIN(IF($HA10=0,999999,IF(1=$HB10,IF(5=$HJ10,IF($JC10=2,30,0),IF(5=$HK10,IF($JC10=1,30,0),ABS(5-$HC10)*100)),100000+ABS(1-$HB10)*1000+50)),IF($HD10=0,999999,IF(1=$HE10,IF(5=$HL10,IF($JD10=2,30,0),IF(5=$HM10,IF($JD10=1,30,0),ABS(5-$HF10)*100)),100000+ABS(1-$HE10)*1000+50)),IF($HG10=0,999999,IF(1=$HH10,IF(5=$HN10,IF($JE10=2,30,0),IF(5=$HO10,IF($JE10=1,30,0),ABS(5-$HI10)*100)),100000+ABS(1-$HH10)*1000+50)))-IF((5=$HJ10)+(5=$HK10)+(5=$HL10)+(5=$HM10)+(5=$HN10)+(5=$HO10)&gt;=2,50,0))+H$5*50)</f>
        <v/>
      </c>
      <c r="I130">
        <f>IF(OR($JF10=0,calcA!$A$6=0),0,IF(OR(6=$HA10,6=$HD10,6=$HG10),200000,MIN(IF($HA10=0,999999,IF(1=$HB10,IF(6=$HJ10,IF($JC10=2,30,0),IF(6=$HK10,IF($JC10=1,30,0),ABS(6-$HC10)*100)),100000+ABS(1-$HB10)*1000+60)),IF($HD10=0,999999,IF(1=$HE10,IF(6=$HL10,IF($JD10=2,30,0),IF(6=$HM10,IF($JD10=1,30,0),ABS(6-$HF10)*100)),100000+ABS(1-$HE10)*1000+60)),IF($HG10=0,999999,IF(1=$HH10,IF(6=$HN10,IF($JE10=2,30,0),IF(6=$HO10,IF($JE10=1,30,0),ABS(6-$HI10)*100)),100000+ABS(1-$HH10)*1000+60)))-IF((6=$HJ10)+(6=$HK10)+(6=$HL10)+(6=$HM10)+(6=$HN10)+(6=$HO10)&gt;=2,50,0))+I$5*50)</f>
        <v/>
      </c>
      <c r="J130">
        <f>IF(OR($JF10=0,calcA!$A$6=0),0,IF(OR(7=$HA10,7=$HD10,7=$HG10),200000,MIN(IF($HA10=0,999999,IF(1=$HB10,IF(7=$HJ10,IF($JC10=2,30,0),IF(7=$HK10,IF($JC10=1,30,0),ABS(7-$HC10)*100)),100000+ABS(1-$HB10)*1000+70)),IF($HD10=0,999999,IF(1=$HE10,IF(7=$HL10,IF($JD10=2,30,0),IF(7=$HM10,IF($JD10=1,30,0),ABS(7-$HF10)*100)),100000+ABS(1-$HE10)*1000+70)),IF($HG10=0,999999,IF(1=$HH10,IF(7=$HN10,IF($JE10=2,30,0),IF(7=$HO10,IF($JE10=1,30,0),ABS(7-$HI10)*100)),100000+ABS(1-$HH10)*1000+70)))-IF((7=$HJ10)+(7=$HK10)+(7=$HL10)+(7=$HM10)+(7=$HN10)+(7=$HO10)&gt;=2,50,0))+J$5*50)</f>
        <v/>
      </c>
      <c r="K130">
        <f>IF(OR($JF10=0,calcA!$A$6=0),0,IF(OR(8=$HA10,8=$HD10,8=$HG10),200000,MIN(IF($HA10=0,999999,IF(1=$HB10,IF(8=$HJ10,IF($JC10=2,30,0),IF(8=$HK10,IF($JC10=1,30,0),ABS(8-$HC10)*100)),100000+ABS(1-$HB10)*1000+80)),IF($HD10=0,999999,IF(1=$HE10,IF(8=$HL10,IF($JD10=2,30,0),IF(8=$HM10,IF($JD10=1,30,0),ABS(8-$HF10)*100)),100000+ABS(1-$HE10)*1000+80)),IF($HG10=0,999999,IF(1=$HH10,IF(8=$HN10,IF($JE10=2,30,0),IF(8=$HO10,IF($JE10=1,30,0),ABS(8-$HI10)*100)),100000+ABS(1-$HH10)*1000+80)))-IF((8=$HJ10)+(8=$HK10)+(8=$HL10)+(8=$HM10)+(8=$HN10)+(8=$HO10)&gt;=2,50,0))+K$5*50)</f>
        <v/>
      </c>
      <c r="L130">
        <f>IF(OR($JF10=0,calcA!$A$6=0),0,IF(OR(9=$HA10,9=$HD10,9=$HG10),200000,MIN(IF($HA10=0,999999,IF(1=$HB10,IF(9=$HJ10,IF($JC10=2,30,0),IF(9=$HK10,IF($JC10=1,30,0),ABS(9-$HC10)*100)),100000+ABS(1-$HB10)*1000+90)),IF($HD10=0,999999,IF(1=$HE10,IF(9=$HL10,IF($JD10=2,30,0),IF(9=$HM10,IF($JD10=1,30,0),ABS(9-$HF10)*100)),100000+ABS(1-$HE10)*1000+90)),IF($HG10=0,999999,IF(1=$HH10,IF(9=$HN10,IF($JE10=2,30,0),IF(9=$HO10,IF($JE10=1,30,0),ABS(9-$HI10)*100)),100000+ABS(1-$HH10)*1000+90)))-IF((9=$HJ10)+(9=$HK10)+(9=$HL10)+(9=$HM10)+(9=$HN10)+(9=$HO10)&gt;=2,50,0))+L$5*50)</f>
        <v/>
      </c>
      <c r="M130">
        <f>IF(OR($JF10=0,calcA!$A$6=0),0,IF(OR(10=$HA10,10=$HD10,10=$HG10),200000,MIN(IF($HA10=0,999999,IF(1=$HB10,IF(10=$HJ10,IF($JC10=2,30,0),IF(10=$HK10,IF($JC10=1,30,0),ABS(10-$HC10)*100)),100000+ABS(1-$HB10)*1000+100)),IF($HD10=0,999999,IF(1=$HE10,IF(10=$HL10,IF($JD10=2,30,0),IF(10=$HM10,IF($JD10=1,30,0),ABS(10-$HF10)*100)),100000+ABS(1-$HE10)*1000+100)),IF($HG10=0,999999,IF(1=$HH10,IF(10=$HN10,IF($JE10=2,30,0),IF(10=$HO10,IF($JE10=1,30,0),ABS(10-$HI10)*100)),100000+ABS(1-$HH10)*1000+100)))-IF((10=$HJ10)+(10=$HK10)+(10=$HL10)+(10=$HM10)+(10=$HN10)+(10=$HO10)&gt;=2,50,0))+M$5*50)</f>
        <v/>
      </c>
      <c r="N130">
        <f>IF(OR($JF10=0,calcA!$A$6=0),0,IF(OR(11=$HA10,11=$HD10,11=$HG10),200000,MIN(IF($HA10=0,999999,IF(1=$HB10,IF(11=$HJ10,IF($JC10=2,30,0),IF(11=$HK10,IF($JC10=1,30,0),ABS(11-$HC10)*100)),100000+ABS(1-$HB10)*1000+110)),IF($HD10=0,999999,IF(1=$HE10,IF(11=$HL10,IF($JD10=2,30,0),IF(11=$HM10,IF($JD10=1,30,0),ABS(11-$HF10)*100)),100000+ABS(1-$HE10)*1000+110)),IF($HG10=0,999999,IF(1=$HH10,IF(11=$HN10,IF($JE10=2,30,0),IF(11=$HO10,IF($JE10=1,30,0),ABS(11-$HI10)*100)),100000+ABS(1-$HH10)*1000+110)))-IF((11=$HJ10)+(11=$HK10)+(11=$HL10)+(11=$HM10)+(11=$HN10)+(11=$HO10)&gt;=2,50,0))+N$5*50)</f>
        <v/>
      </c>
      <c r="O130">
        <f>IF(OR($JF10=0,calcA!$A$6=0),0,IF(OR(12=$HA10,12=$HD10,12=$HG10),200000,MIN(IF($HA10=0,999999,IF(1=$HB10,IF(12=$HJ10,IF($JC10=2,30,0),IF(12=$HK10,IF($JC10=1,30,0),ABS(12-$HC10)*100)),100000+ABS(1-$HB10)*1000+120)),IF($HD10=0,999999,IF(1=$HE10,IF(12=$HL10,IF($JD10=2,30,0),IF(12=$HM10,IF($JD10=1,30,0),ABS(12-$HF10)*100)),100000+ABS(1-$HE10)*1000+120)),IF($HG10=0,999999,IF(1=$HH10,IF(12=$HN10,IF($JE10=2,30,0),IF(12=$HO10,IF($JE10=1,30,0),ABS(12-$HI10)*100)),100000+ABS(1-$HH10)*1000+120)))-IF((12=$HJ10)+(12=$HK10)+(12=$HL10)+(12=$HM10)+(12=$HN10)+(12=$HO10)&gt;=2,50,0))+O$5*50)</f>
        <v/>
      </c>
      <c r="P130">
        <f>IF(OR($JF10=0,calcA!$A$6=0),0,IF(OR(13=$HA10,13=$HD10,13=$HG10),200000,MIN(IF($HA10=0,999999,IF(1=$HB10,IF(13=$HJ10,IF($JC10=2,30,0),IF(13=$HK10,IF($JC10=1,30,0),ABS(13-$HC10)*100)),100000+ABS(1-$HB10)*1000+130)),IF($HD10=0,999999,IF(1=$HE10,IF(13=$HL10,IF($JD10=2,30,0),IF(13=$HM10,IF($JD10=1,30,0),ABS(13-$HF10)*100)),100000+ABS(1-$HE10)*1000+130)),IF($HG10=0,999999,IF(1=$HH10,IF(13=$HN10,IF($JE10=2,30,0),IF(13=$HO10,IF($JE10=1,30,0),ABS(13-$HI10)*100)),100000+ABS(1-$HH10)*1000+130)))-IF((13=$HJ10)+(13=$HK10)+(13=$HL10)+(13=$HM10)+(13=$HN10)+(13=$HO10)&gt;=2,50,0))+P$5*50)</f>
        <v/>
      </c>
      <c r="Q130">
        <f>IF(OR($JF10=0,calcA!$A$6=0),0,IF(OR(14=$HA10,14=$HD10,14=$HG10),200000,MIN(IF($HA10=0,999999,IF(1=$HB10,IF(14=$HJ10,IF($JC10=2,30,0),IF(14=$HK10,IF($JC10=1,30,0),ABS(14-$HC10)*100)),100000+ABS(1-$HB10)*1000+140)),IF($HD10=0,999999,IF(1=$HE10,IF(14=$HL10,IF($JD10=2,30,0),IF(14=$HM10,IF($JD10=1,30,0),ABS(14-$HF10)*100)),100000+ABS(1-$HE10)*1000+140)),IF($HG10=0,999999,IF(1=$HH10,IF(14=$HN10,IF($JE10=2,30,0),IF(14=$HO10,IF($JE10=1,30,0),ABS(14-$HI10)*100)),100000+ABS(1-$HH10)*1000+140)))-IF((14=$HJ10)+(14=$HK10)+(14=$HL10)+(14=$HM10)+(14=$HN10)+(14=$HO10)&gt;=2,50,0))+Q$5*50)</f>
        <v/>
      </c>
      <c r="R130">
        <f>IF(OR($JF10=0,calcA!$A$6=0),0,IF(OR(15=$HA10,15=$HD10,15=$HG10),200000,MIN(IF($HA10=0,999999,IF(1=$HB10,IF(15=$HJ10,IF($JC10=2,30,0),IF(15=$HK10,IF($JC10=1,30,0),ABS(15-$HC10)*100)),100000+ABS(1-$HB10)*1000+150)),IF($HD10=0,999999,IF(1=$HE10,IF(15=$HL10,IF($JD10=2,30,0),IF(15=$HM10,IF($JD10=1,30,0),ABS(15-$HF10)*100)),100000+ABS(1-$HE10)*1000+150)),IF($HG10=0,999999,IF(1=$HH10,IF(15=$HN10,IF($JE10=2,30,0),IF(15=$HO10,IF($JE10=1,30,0),ABS(15-$HI10)*100)),100000+ABS(1-$HH10)*1000+150)))-IF((15=$HJ10)+(15=$HK10)+(15=$HL10)+(15=$HM10)+(15=$HN10)+(15=$HO10)&gt;=2,50,0))+R$5*50)</f>
        <v/>
      </c>
      <c r="S130">
        <f>IF(OR($JF10=0,calcA!$A$6=0),0,IF(OR(16=$HA10,16=$HD10,16=$HG10),200000,MIN(IF($HA10=0,999999,IF(1=$HB10,IF(16=$HJ10,IF($JC10=2,30,0),IF(16=$HK10,IF($JC10=1,30,0),ABS(16-$HC10)*100)),100000+ABS(1-$HB10)*1000+160)),IF($HD10=0,999999,IF(1=$HE10,IF(16=$HL10,IF($JD10=2,30,0),IF(16=$HM10,IF($JD10=1,30,0),ABS(16-$HF10)*100)),100000+ABS(1-$HE10)*1000+160)),IF($HG10=0,999999,IF(1=$HH10,IF(16=$HN10,IF($JE10=2,30,0),IF(16=$HO10,IF($JE10=1,30,0),ABS(16-$HI10)*100)),100000+ABS(1-$HH10)*1000+160)))-IF((16=$HJ10)+(16=$HK10)+(16=$HL10)+(16=$HM10)+(16=$HN10)+(16=$HO10)&gt;=2,50,0))+S$5*50)</f>
        <v/>
      </c>
      <c r="T130">
        <f>IF(OR($JF10=0,calcA!$A$6=0),0,IF(OR(17=$HA10,17=$HD10,17=$HG10),200000,MIN(IF($HA10=0,999999,IF(1=$HB10,IF(17=$HJ10,IF($JC10=2,30,0),IF(17=$HK10,IF($JC10=1,30,0),ABS(17-$HC10)*100)),100000+ABS(1-$HB10)*1000+170)),IF($HD10=0,999999,IF(1=$HE10,IF(17=$HL10,IF($JD10=2,30,0),IF(17=$HM10,IF($JD10=1,30,0),ABS(17-$HF10)*100)),100000+ABS(1-$HE10)*1000+170)),IF($HG10=0,999999,IF(1=$HH10,IF(17=$HN10,IF($JE10=2,30,0),IF(17=$HO10,IF($JE10=1,30,0),ABS(17-$HI10)*100)),100000+ABS(1-$HH10)*1000+170)))-IF((17=$HJ10)+(17=$HK10)+(17=$HL10)+(17=$HM10)+(17=$HN10)+(17=$HO10)&gt;=2,50,0))+T$5*50)</f>
        <v/>
      </c>
      <c r="U130">
        <f>IF(OR($JF10=0,calcA!$A$6=0),0,IF(OR(18=$HA10,18=$HD10,18=$HG10),200000,MIN(IF($HA10=0,999999,IF(1=$HB10,IF(18=$HJ10,IF($JC10=2,30,0),IF(18=$HK10,IF($JC10=1,30,0),ABS(18-$HC10)*100)),100000+ABS(1-$HB10)*1000+180)),IF($HD10=0,999999,IF(1=$HE10,IF(18=$HL10,IF($JD10=2,30,0),IF(18=$HM10,IF($JD10=1,30,0),ABS(18-$HF10)*100)),100000+ABS(1-$HE10)*1000+180)),IF($HG10=0,999999,IF(1=$HH10,IF(18=$HN10,IF($JE10=2,30,0),IF(18=$HO10,IF($JE10=1,30,0),ABS(18-$HI10)*100)),100000+ABS(1-$HH10)*1000+180)))-IF((18=$HJ10)+(18=$HK10)+(18=$HL10)+(18=$HM10)+(18=$HN10)+(18=$HO10)&gt;=2,50,0))+U$5*50)</f>
        <v/>
      </c>
      <c r="V130">
        <f>IF(OR($JF10=0,calcA!$A$6=0),0,IF(OR(19=$HA10,19=$HD10,19=$HG10),200000,MIN(IF($HA10=0,999999,IF(1=$HB10,IF(19=$HJ10,IF($JC10=2,30,0),IF(19=$HK10,IF($JC10=1,30,0),ABS(19-$HC10)*100)),100000+ABS(1-$HB10)*1000+190)),IF($HD10=0,999999,IF(1=$HE10,IF(19=$HL10,IF($JD10=2,30,0),IF(19=$HM10,IF($JD10=1,30,0),ABS(19-$HF10)*100)),100000+ABS(1-$HE10)*1000+190)),IF($HG10=0,999999,IF(1=$HH10,IF(19=$HN10,IF($JE10=2,30,0),IF(19=$HO10,IF($JE10=1,30,0),ABS(19-$HI10)*100)),100000+ABS(1-$HH10)*1000+190)))-IF((19=$HJ10)+(19=$HK10)+(19=$HL10)+(19=$HM10)+(19=$HN10)+(19=$HO10)&gt;=2,50,0))+V$5*50)</f>
        <v/>
      </c>
      <c r="W130">
        <f>IF(OR($JF10=0,calcA!$A$6=0),0,IF(OR(20=$HA10,20=$HD10,20=$HG10),200000,MIN(IF($HA10=0,999999,IF(1=$HB10,IF(20=$HJ10,IF($JC10=2,30,0),IF(20=$HK10,IF($JC10=1,30,0),ABS(20-$HC10)*100)),100000+ABS(1-$HB10)*1000+200)),IF($HD10=0,999999,IF(1=$HE10,IF(20=$HL10,IF($JD10=2,30,0),IF(20=$HM10,IF($JD10=1,30,0),ABS(20-$HF10)*100)),100000+ABS(1-$HE10)*1000+200)),IF($HG10=0,999999,IF(1=$HH10,IF(20=$HN10,IF($JE10=2,30,0),IF(20=$HO10,IF($JE10=1,30,0),ABS(20-$HI10)*100)),100000+ABS(1-$HH10)*1000+200)))-IF((20=$HJ10)+(20=$HK10)+(20=$HL10)+(20=$HM10)+(20=$HN10)+(20=$HO10)&gt;=2,50,0))+W$5*50)</f>
        <v/>
      </c>
      <c r="X130">
        <f>IF(OR($JF10=0,calcA!$A$6=0),0,IF(OR(21=$HA10,21=$HD10,21=$HG10),200000,MIN(IF($HA10=0,999999,IF(1=$HB10,IF(21=$HJ10,IF($JC10=2,30,0),IF(21=$HK10,IF($JC10=1,30,0),ABS(21-$HC10)*100)),100000+ABS(1-$HB10)*1000+210)),IF($HD10=0,999999,IF(1=$HE10,IF(21=$HL10,IF($JD10=2,30,0),IF(21=$HM10,IF($JD10=1,30,0),ABS(21-$HF10)*100)),100000+ABS(1-$HE10)*1000+210)),IF($HG10=0,999999,IF(1=$HH10,IF(21=$HN10,IF($JE10=2,30,0),IF(21=$HO10,IF($JE10=1,30,0),ABS(21-$HI10)*100)),100000+ABS(1-$HH10)*1000+210)))-IF((21=$HJ10)+(21=$HK10)+(21=$HL10)+(21=$HM10)+(21=$HN10)+(21=$HO10)&gt;=2,50,0))+X$5*50)</f>
        <v/>
      </c>
      <c r="Y130">
        <f>IF(OR($JF10=0,calcA!$A$6=0),0,IF(OR(22=$HA10,22=$HD10,22=$HG10),200000,MIN(IF($HA10=0,999999,IF(1=$HB10,IF(22=$HJ10,IF($JC10=2,30,0),IF(22=$HK10,IF($JC10=1,30,0),ABS(22-$HC10)*100)),100000+ABS(1-$HB10)*1000+220)),IF($HD10=0,999999,IF(1=$HE10,IF(22=$HL10,IF($JD10=2,30,0),IF(22=$HM10,IF($JD10=1,30,0),ABS(22-$HF10)*100)),100000+ABS(1-$HE10)*1000+220)),IF($HG10=0,999999,IF(1=$HH10,IF(22=$HN10,IF($JE10=2,30,0),IF(22=$HO10,IF($JE10=1,30,0),ABS(22-$HI10)*100)),100000+ABS(1-$HH10)*1000+220)))-IF((22=$HJ10)+(22=$HK10)+(22=$HL10)+(22=$HM10)+(22=$HN10)+(22=$HO10)&gt;=2,50,0))+Y$5*50)</f>
        <v/>
      </c>
      <c r="Z130">
        <f>IF(OR($JF10=0,calcA!$A$6=0),0,IF(OR(23=$HA10,23=$HD10,23=$HG10),200000,MIN(IF($HA10=0,999999,IF(1=$HB10,IF(23=$HJ10,IF($JC10=2,30,0),IF(23=$HK10,IF($JC10=1,30,0),ABS(23-$HC10)*100)),100000+ABS(1-$HB10)*1000+230)),IF($HD10=0,999999,IF(1=$HE10,IF(23=$HL10,IF($JD10=2,30,0),IF(23=$HM10,IF($JD10=1,30,0),ABS(23-$HF10)*100)),100000+ABS(1-$HE10)*1000+230)),IF($HG10=0,999999,IF(1=$HH10,IF(23=$HN10,IF($JE10=2,30,0),IF(23=$HO10,IF($JE10=1,30,0),ABS(23-$HI10)*100)),100000+ABS(1-$HH10)*1000+230)))-IF((23=$HJ10)+(23=$HK10)+(23=$HL10)+(23=$HM10)+(23=$HN10)+(23=$HO10)&gt;=2,50,0))+Z$5*50)</f>
        <v/>
      </c>
      <c r="AA130">
        <f>IF(OR($JF10=0,calcA!$A$6=0),0,IF(OR(24=$HA10,24=$HD10,24=$HG10),200000,MIN(IF($HA10=0,999999,IF(1=$HB10,IF(24=$HJ10,IF($JC10=2,30,0),IF(24=$HK10,IF($JC10=1,30,0),ABS(24-$HC10)*100)),100000+ABS(1-$HB10)*1000+240)),IF($HD10=0,999999,IF(1=$HE10,IF(24=$HL10,IF($JD10=2,30,0),IF(24=$HM10,IF($JD10=1,30,0),ABS(24-$HF10)*100)),100000+ABS(1-$HE10)*1000+240)),IF($HG10=0,999999,IF(1=$HH10,IF(24=$HN10,IF($JE10=2,30,0),IF(24=$HO10,IF($JE10=1,30,0),ABS(24-$HI10)*100)),100000+ABS(1-$HH10)*1000+240)))-IF((24=$HJ10)+(24=$HK10)+(24=$HL10)+(24=$HM10)+(24=$HN10)+(24=$HO10)&gt;=2,50,0))+AA$5*50)</f>
        <v/>
      </c>
      <c r="AB130">
        <f>IF(OR($JF10=0,calcA!$A$6=0),0,IF(OR(25=$HA10,25=$HD10,25=$HG10),200000,MIN(IF($HA10=0,999999,IF(2=$HB10,IF(25=$HJ10,IF($JC10=2,30,0),IF(25=$HK10,IF($JC10=1,30,0),ABS(1-$HC10)*100)),100000+ABS(2-$HB10)*1000+10)),IF($HD10=0,999999,IF(2=$HE10,IF(25=$HL10,IF($JD10=2,30,0),IF(25=$HM10,IF($JD10=1,30,0),ABS(1-$HF10)*100)),100000+ABS(2-$HE10)*1000+10)),IF($HG10=0,999999,IF(2=$HH10,IF(25=$HN10,IF($JE10=2,30,0),IF(25=$HO10,IF($JE10=1,30,0),ABS(1-$HI10)*100)),100000+ABS(2-$HH10)*1000+10)))-IF((25=$HJ10)+(25=$HK10)+(25=$HL10)+(25=$HM10)+(25=$HN10)+(25=$HO10)&gt;=2,50,0))+AB$5*50)</f>
        <v/>
      </c>
      <c r="AC130">
        <f>IF(OR($JF10=0,calcA!$A$6=0),0,IF(OR(26=$HA10,26=$HD10,26=$HG10),200000,MIN(IF($HA10=0,999999,IF(2=$HB10,IF(26=$HJ10,IF($JC10=2,30,0),IF(26=$HK10,IF($JC10=1,30,0),ABS(2-$HC10)*100)),100000+ABS(2-$HB10)*1000+20)),IF($HD10=0,999999,IF(2=$HE10,IF(26=$HL10,IF($JD10=2,30,0),IF(26=$HM10,IF($JD10=1,30,0),ABS(2-$HF10)*100)),100000+ABS(2-$HE10)*1000+20)),IF($HG10=0,999999,IF(2=$HH10,IF(26=$HN10,IF($JE10=2,30,0),IF(26=$HO10,IF($JE10=1,30,0),ABS(2-$HI10)*100)),100000+ABS(2-$HH10)*1000+20)))-IF((26=$HJ10)+(26=$HK10)+(26=$HL10)+(26=$HM10)+(26=$HN10)+(26=$HO10)&gt;=2,50,0))+AC$5*50)</f>
        <v/>
      </c>
      <c r="AD130">
        <f>IF(OR($JF10=0,calcA!$A$6=0),0,IF(OR(27=$HA10,27=$HD10,27=$HG10),200000,MIN(IF($HA10=0,999999,IF(2=$HB10,IF(27=$HJ10,IF($JC10=2,30,0),IF(27=$HK10,IF($JC10=1,30,0),ABS(3-$HC10)*100)),100000+ABS(2-$HB10)*1000+30)),IF($HD10=0,999999,IF(2=$HE10,IF(27=$HL10,IF($JD10=2,30,0),IF(27=$HM10,IF($JD10=1,30,0),ABS(3-$HF10)*100)),100000+ABS(2-$HE10)*1000+30)),IF($HG10=0,999999,IF(2=$HH10,IF(27=$HN10,IF($JE10=2,30,0),IF(27=$HO10,IF($JE10=1,30,0),ABS(3-$HI10)*100)),100000+ABS(2-$HH10)*1000+30)))-IF((27=$HJ10)+(27=$HK10)+(27=$HL10)+(27=$HM10)+(27=$HN10)+(27=$HO10)&gt;=2,50,0))+AD$5*50)</f>
        <v/>
      </c>
      <c r="AE130">
        <f>IF(OR($JF10=0,calcA!$A$6=0),0,IF(OR(28=$HA10,28=$HD10,28=$HG10),200000,MIN(IF($HA10=0,999999,IF(2=$HB10,IF(28=$HJ10,IF($JC10=2,30,0),IF(28=$HK10,IF($JC10=1,30,0),ABS(4-$HC10)*100)),100000+ABS(2-$HB10)*1000+40)),IF($HD10=0,999999,IF(2=$HE10,IF(28=$HL10,IF($JD10=2,30,0),IF(28=$HM10,IF($JD10=1,30,0),ABS(4-$HF10)*100)),100000+ABS(2-$HE10)*1000+40)),IF($HG10=0,999999,IF(2=$HH10,IF(28=$HN10,IF($JE10=2,30,0),IF(28=$HO10,IF($JE10=1,30,0),ABS(4-$HI10)*100)),100000+ABS(2-$HH10)*1000+40)))-IF((28=$HJ10)+(28=$HK10)+(28=$HL10)+(28=$HM10)+(28=$HN10)+(28=$HO10)&gt;=2,50,0))+AE$5*50)</f>
        <v/>
      </c>
      <c r="AF130">
        <f>IF(OR($JF10=0,calcA!$A$6=0),0,IF(OR(29=$HA10,29=$HD10,29=$HG10),200000,MIN(IF($HA10=0,999999,IF(2=$HB10,IF(29=$HJ10,IF($JC10=2,30,0),IF(29=$HK10,IF($JC10=1,30,0),ABS(5-$HC10)*100)),100000+ABS(2-$HB10)*1000+50)),IF($HD10=0,999999,IF(2=$HE10,IF(29=$HL10,IF($JD10=2,30,0),IF(29=$HM10,IF($JD10=1,30,0),ABS(5-$HF10)*100)),100000+ABS(2-$HE10)*1000+50)),IF($HG10=0,999999,IF(2=$HH10,IF(29=$HN10,IF($JE10=2,30,0),IF(29=$HO10,IF($JE10=1,30,0),ABS(5-$HI10)*100)),100000+ABS(2-$HH10)*1000+50)))-IF((29=$HJ10)+(29=$HK10)+(29=$HL10)+(29=$HM10)+(29=$HN10)+(29=$HO10)&gt;=2,50,0))+AF$5*50)</f>
        <v/>
      </c>
      <c r="AG130">
        <f>IF(OR($JF10=0,calcA!$A$6=0),0,IF(OR(30=$HA10,30=$HD10,30=$HG10),200000,MIN(IF($HA10=0,999999,IF(2=$HB10,IF(30=$HJ10,IF($JC10=2,30,0),IF(30=$HK10,IF($JC10=1,30,0),ABS(6-$HC10)*100)),100000+ABS(2-$HB10)*1000+60)),IF($HD10=0,999999,IF(2=$HE10,IF(30=$HL10,IF($JD10=2,30,0),IF(30=$HM10,IF($JD10=1,30,0),ABS(6-$HF10)*100)),100000+ABS(2-$HE10)*1000+60)),IF($HG10=0,999999,IF(2=$HH10,IF(30=$HN10,IF($JE10=2,30,0),IF(30=$HO10,IF($JE10=1,30,0),ABS(6-$HI10)*100)),100000+ABS(2-$HH10)*1000+60)))-IF((30=$HJ10)+(30=$HK10)+(30=$HL10)+(30=$HM10)+(30=$HN10)+(30=$HO10)&gt;=2,50,0))+AG$5*50)</f>
        <v/>
      </c>
      <c r="AH130">
        <f>IF(OR($JF10=0,calcA!$A$6=0),0,IF(OR(31=$HA10,31=$HD10,31=$HG10),200000,MIN(IF($HA10=0,999999,IF(2=$HB10,IF(31=$HJ10,IF($JC10=2,30,0),IF(31=$HK10,IF($JC10=1,30,0),ABS(7-$HC10)*100)),100000+ABS(2-$HB10)*1000+70)),IF($HD10=0,999999,IF(2=$HE10,IF(31=$HL10,IF($JD10=2,30,0),IF(31=$HM10,IF($JD10=1,30,0),ABS(7-$HF10)*100)),100000+ABS(2-$HE10)*1000+70)),IF($HG10=0,999999,IF(2=$HH10,IF(31=$HN10,IF($JE10=2,30,0),IF(31=$HO10,IF($JE10=1,30,0),ABS(7-$HI10)*100)),100000+ABS(2-$HH10)*1000+70)))-IF((31=$HJ10)+(31=$HK10)+(31=$HL10)+(31=$HM10)+(31=$HN10)+(31=$HO10)&gt;=2,50,0))+AH$5*50)</f>
        <v/>
      </c>
      <c r="AI130">
        <f>IF(OR($JF10=0,calcA!$A$6=0),0,IF(OR(32=$HA10,32=$HD10,32=$HG10),200000,MIN(IF($HA10=0,999999,IF(2=$HB10,IF(32=$HJ10,IF($JC10=2,30,0),IF(32=$HK10,IF($JC10=1,30,0),ABS(8-$HC10)*100)),100000+ABS(2-$HB10)*1000+80)),IF($HD10=0,999999,IF(2=$HE10,IF(32=$HL10,IF($JD10=2,30,0),IF(32=$HM10,IF($JD10=1,30,0),ABS(8-$HF10)*100)),100000+ABS(2-$HE10)*1000+80)),IF($HG10=0,999999,IF(2=$HH10,IF(32=$HN10,IF($JE10=2,30,0),IF(32=$HO10,IF($JE10=1,30,0),ABS(8-$HI10)*100)),100000+ABS(2-$HH10)*1000+80)))-IF((32=$HJ10)+(32=$HK10)+(32=$HL10)+(32=$HM10)+(32=$HN10)+(32=$HO10)&gt;=2,50,0))+AI$5*50)</f>
        <v/>
      </c>
      <c r="AJ130">
        <f>IF(OR($JF10=0,calcA!$A$6=0),0,IF(OR(33=$HA10,33=$HD10,33=$HG10),200000,MIN(IF($HA10=0,999999,IF(2=$HB10,IF(33=$HJ10,IF($JC10=2,30,0),IF(33=$HK10,IF($JC10=1,30,0),ABS(9-$HC10)*100)),100000+ABS(2-$HB10)*1000+90)),IF($HD10=0,999999,IF(2=$HE10,IF(33=$HL10,IF($JD10=2,30,0),IF(33=$HM10,IF($JD10=1,30,0),ABS(9-$HF10)*100)),100000+ABS(2-$HE10)*1000+90)),IF($HG10=0,999999,IF(2=$HH10,IF(33=$HN10,IF($JE10=2,30,0),IF(33=$HO10,IF($JE10=1,30,0),ABS(9-$HI10)*100)),100000+ABS(2-$HH10)*1000+90)))-IF((33=$HJ10)+(33=$HK10)+(33=$HL10)+(33=$HM10)+(33=$HN10)+(33=$HO10)&gt;=2,50,0))+AJ$5*50)</f>
        <v/>
      </c>
      <c r="AK130">
        <f>IF(OR($JF10=0,calcA!$A$6=0),0,IF(OR(34=$HA10,34=$HD10,34=$HG10),200000,MIN(IF($HA10=0,999999,IF(2=$HB10,IF(34=$HJ10,IF($JC10=2,30,0),IF(34=$HK10,IF($JC10=1,30,0),ABS(10-$HC10)*100)),100000+ABS(2-$HB10)*1000+100)),IF($HD10=0,999999,IF(2=$HE10,IF(34=$HL10,IF($JD10=2,30,0),IF(34=$HM10,IF($JD10=1,30,0),ABS(10-$HF10)*100)),100000+ABS(2-$HE10)*1000+100)),IF($HG10=0,999999,IF(2=$HH10,IF(34=$HN10,IF($JE10=2,30,0),IF(34=$HO10,IF($JE10=1,30,0),ABS(10-$HI10)*100)),100000+ABS(2-$HH10)*1000+100)))-IF((34=$HJ10)+(34=$HK10)+(34=$HL10)+(34=$HM10)+(34=$HN10)+(34=$HO10)&gt;=2,50,0))+AK$5*50)</f>
        <v/>
      </c>
      <c r="AL130">
        <f>IF(OR($JF10=0,calcA!$A$6=0),0,IF(OR(35=$HA10,35=$HD10,35=$HG10),200000,MIN(IF($HA10=0,999999,IF(2=$HB10,IF(35=$HJ10,IF($JC10=2,30,0),IF(35=$HK10,IF($JC10=1,30,0),ABS(11-$HC10)*100)),100000+ABS(2-$HB10)*1000+110)),IF($HD10=0,999999,IF(2=$HE10,IF(35=$HL10,IF($JD10=2,30,0),IF(35=$HM10,IF($JD10=1,30,0),ABS(11-$HF10)*100)),100000+ABS(2-$HE10)*1000+110)),IF($HG10=0,999999,IF(2=$HH10,IF(35=$HN10,IF($JE10=2,30,0),IF(35=$HO10,IF($JE10=1,30,0),ABS(11-$HI10)*100)),100000+ABS(2-$HH10)*1000+110)))-IF((35=$HJ10)+(35=$HK10)+(35=$HL10)+(35=$HM10)+(35=$HN10)+(35=$HO10)&gt;=2,50,0))+AL$5*50)</f>
        <v/>
      </c>
      <c r="AM130">
        <f>IF(OR($JF10=0,calcA!$A$6=0),0,IF(OR(36=$HA10,36=$HD10,36=$HG10),200000,MIN(IF($HA10=0,999999,IF(2=$HB10,IF(36=$HJ10,IF($JC10=2,30,0),IF(36=$HK10,IF($JC10=1,30,0),ABS(12-$HC10)*100)),100000+ABS(2-$HB10)*1000+120)),IF($HD10=0,999999,IF(2=$HE10,IF(36=$HL10,IF($JD10=2,30,0),IF(36=$HM10,IF($JD10=1,30,0),ABS(12-$HF10)*100)),100000+ABS(2-$HE10)*1000+120)),IF($HG10=0,999999,IF(2=$HH10,IF(36=$HN10,IF($JE10=2,30,0),IF(36=$HO10,IF($JE10=1,30,0),ABS(12-$HI10)*100)),100000+ABS(2-$HH10)*1000+120)))-IF((36=$HJ10)+(36=$HK10)+(36=$HL10)+(36=$HM10)+(36=$HN10)+(36=$HO10)&gt;=2,50,0))+AM$5*50)</f>
        <v/>
      </c>
      <c r="AN130">
        <f>IF(OR($JF10=0,calcA!$A$6=0),0,IF(OR(37=$HA10,37=$HD10,37=$HG10),200000,MIN(IF($HA10=0,999999,IF(2=$HB10,IF(37=$HJ10,IF($JC10=2,30,0),IF(37=$HK10,IF($JC10=1,30,0),ABS(13-$HC10)*100)),100000+ABS(2-$HB10)*1000+130)),IF($HD10=0,999999,IF(2=$HE10,IF(37=$HL10,IF($JD10=2,30,0),IF(37=$HM10,IF($JD10=1,30,0),ABS(13-$HF10)*100)),100000+ABS(2-$HE10)*1000+130)),IF($HG10=0,999999,IF(2=$HH10,IF(37=$HN10,IF($JE10=2,30,0),IF(37=$HO10,IF($JE10=1,30,0),ABS(13-$HI10)*100)),100000+ABS(2-$HH10)*1000+130)))-IF((37=$HJ10)+(37=$HK10)+(37=$HL10)+(37=$HM10)+(37=$HN10)+(37=$HO10)&gt;=2,50,0))+AN$5*50)</f>
        <v/>
      </c>
      <c r="AO130">
        <f>IF(OR($JF10=0,calcA!$A$6=0),0,IF(OR(38=$HA10,38=$HD10,38=$HG10),200000,MIN(IF($HA10=0,999999,IF(2=$HB10,IF(38=$HJ10,IF($JC10=2,30,0),IF(38=$HK10,IF($JC10=1,30,0),ABS(14-$HC10)*100)),100000+ABS(2-$HB10)*1000+140)),IF($HD10=0,999999,IF(2=$HE10,IF(38=$HL10,IF($JD10=2,30,0),IF(38=$HM10,IF($JD10=1,30,0),ABS(14-$HF10)*100)),100000+ABS(2-$HE10)*1000+140)),IF($HG10=0,999999,IF(2=$HH10,IF(38=$HN10,IF($JE10=2,30,0),IF(38=$HO10,IF($JE10=1,30,0),ABS(14-$HI10)*100)),100000+ABS(2-$HH10)*1000+140)))-IF((38=$HJ10)+(38=$HK10)+(38=$HL10)+(38=$HM10)+(38=$HN10)+(38=$HO10)&gt;=2,50,0))+AO$5*50)</f>
        <v/>
      </c>
      <c r="AP130">
        <f>IF(OR($JF10=0,calcA!$A$6=0),0,IF(OR(39=$HA10,39=$HD10,39=$HG10),200000,MIN(IF($HA10=0,999999,IF(2=$HB10,IF(39=$HJ10,IF($JC10=2,30,0),IF(39=$HK10,IF($JC10=1,30,0),ABS(15-$HC10)*100)),100000+ABS(2-$HB10)*1000+150)),IF($HD10=0,999999,IF(2=$HE10,IF(39=$HL10,IF($JD10=2,30,0),IF(39=$HM10,IF($JD10=1,30,0),ABS(15-$HF10)*100)),100000+ABS(2-$HE10)*1000+150)),IF($HG10=0,999999,IF(2=$HH10,IF(39=$HN10,IF($JE10=2,30,0),IF(39=$HO10,IF($JE10=1,30,0),ABS(15-$HI10)*100)),100000+ABS(2-$HH10)*1000+150)))-IF((39=$HJ10)+(39=$HK10)+(39=$HL10)+(39=$HM10)+(39=$HN10)+(39=$HO10)&gt;=2,50,0))+AP$5*50)</f>
        <v/>
      </c>
      <c r="AQ130">
        <f>IF(OR($JF10=0,calcA!$A$6=0),0,IF(OR(40=$HA10,40=$HD10,40=$HG10),200000,MIN(IF($HA10=0,999999,IF(2=$HB10,IF(40=$HJ10,IF($JC10=2,30,0),IF(40=$HK10,IF($JC10=1,30,0),ABS(16-$HC10)*100)),100000+ABS(2-$HB10)*1000+160)),IF($HD10=0,999999,IF(2=$HE10,IF(40=$HL10,IF($JD10=2,30,0),IF(40=$HM10,IF($JD10=1,30,0),ABS(16-$HF10)*100)),100000+ABS(2-$HE10)*1000+160)),IF($HG10=0,999999,IF(2=$HH10,IF(40=$HN10,IF($JE10=2,30,0),IF(40=$HO10,IF($JE10=1,30,0),ABS(16-$HI10)*100)),100000+ABS(2-$HH10)*1000+160)))-IF((40=$HJ10)+(40=$HK10)+(40=$HL10)+(40=$HM10)+(40=$HN10)+(40=$HO10)&gt;=2,50,0))+AQ$5*50)</f>
        <v/>
      </c>
      <c r="AR130">
        <f>IF(OR($JF10=0,calcA!$A$6=0),0,IF(OR(41=$HA10,41=$HD10,41=$HG10),200000,MIN(IF($HA10=0,999999,IF(2=$HB10,IF(41=$HJ10,IF($JC10=2,30,0),IF(41=$HK10,IF($JC10=1,30,0),ABS(17-$HC10)*100)),100000+ABS(2-$HB10)*1000+170)),IF($HD10=0,999999,IF(2=$HE10,IF(41=$HL10,IF($JD10=2,30,0),IF(41=$HM10,IF($JD10=1,30,0),ABS(17-$HF10)*100)),100000+ABS(2-$HE10)*1000+170)),IF($HG10=0,999999,IF(2=$HH10,IF(41=$HN10,IF($JE10=2,30,0),IF(41=$HO10,IF($JE10=1,30,0),ABS(17-$HI10)*100)),100000+ABS(2-$HH10)*1000+170)))-IF((41=$HJ10)+(41=$HK10)+(41=$HL10)+(41=$HM10)+(41=$HN10)+(41=$HO10)&gt;=2,50,0))+AR$5*50)</f>
        <v/>
      </c>
      <c r="AS130">
        <f>IF(OR($JF10=0,calcA!$A$6=0),0,IF(OR(42=$HA10,42=$HD10,42=$HG10),200000,MIN(IF($HA10=0,999999,IF(2=$HB10,IF(42=$HJ10,IF($JC10=2,30,0),IF(42=$HK10,IF($JC10=1,30,0),ABS(18-$HC10)*100)),100000+ABS(2-$HB10)*1000+180)),IF($HD10=0,999999,IF(2=$HE10,IF(42=$HL10,IF($JD10=2,30,0),IF(42=$HM10,IF($JD10=1,30,0),ABS(18-$HF10)*100)),100000+ABS(2-$HE10)*1000+180)),IF($HG10=0,999999,IF(2=$HH10,IF(42=$HN10,IF($JE10=2,30,0),IF(42=$HO10,IF($JE10=1,30,0),ABS(18-$HI10)*100)),100000+ABS(2-$HH10)*1000+180)))-IF((42=$HJ10)+(42=$HK10)+(42=$HL10)+(42=$HM10)+(42=$HN10)+(42=$HO10)&gt;=2,50,0))+AS$5*50)</f>
        <v/>
      </c>
      <c r="AT130">
        <f>IF(OR($JF10=0,calcA!$A$6=0),0,IF(OR(43=$HA10,43=$HD10,43=$HG10),200000,MIN(IF($HA10=0,999999,IF(2=$HB10,IF(43=$HJ10,IF($JC10=2,30,0),IF(43=$HK10,IF($JC10=1,30,0),ABS(19-$HC10)*100)),100000+ABS(2-$HB10)*1000+190)),IF($HD10=0,999999,IF(2=$HE10,IF(43=$HL10,IF($JD10=2,30,0),IF(43=$HM10,IF($JD10=1,30,0),ABS(19-$HF10)*100)),100000+ABS(2-$HE10)*1000+190)),IF($HG10=0,999999,IF(2=$HH10,IF(43=$HN10,IF($JE10=2,30,0),IF(43=$HO10,IF($JE10=1,30,0),ABS(19-$HI10)*100)),100000+ABS(2-$HH10)*1000+190)))-IF((43=$HJ10)+(43=$HK10)+(43=$HL10)+(43=$HM10)+(43=$HN10)+(43=$HO10)&gt;=2,50,0))+AT$5*50)</f>
        <v/>
      </c>
      <c r="AU130">
        <f>IF(OR($JF10=0,calcA!$A$6=0),0,IF(OR(44=$HA10,44=$HD10,44=$HG10),200000,MIN(IF($HA10=0,999999,IF(2=$HB10,IF(44=$HJ10,IF($JC10=2,30,0),IF(44=$HK10,IF($JC10=1,30,0),ABS(20-$HC10)*100)),100000+ABS(2-$HB10)*1000+200)),IF($HD10=0,999999,IF(2=$HE10,IF(44=$HL10,IF($JD10=2,30,0),IF(44=$HM10,IF($JD10=1,30,0),ABS(20-$HF10)*100)),100000+ABS(2-$HE10)*1000+200)),IF($HG10=0,999999,IF(2=$HH10,IF(44=$HN10,IF($JE10=2,30,0),IF(44=$HO10,IF($JE10=1,30,0),ABS(20-$HI10)*100)),100000+ABS(2-$HH10)*1000+200)))-IF((44=$HJ10)+(44=$HK10)+(44=$HL10)+(44=$HM10)+(44=$HN10)+(44=$HO10)&gt;=2,50,0))+AU$5*50)</f>
        <v/>
      </c>
      <c r="AV130">
        <f>IF(OR($JF10=0,calcA!$A$6=0),0,IF(OR(45=$HA10,45=$HD10,45=$HG10),200000,MIN(IF($HA10=0,999999,IF(2=$HB10,IF(45=$HJ10,IF($JC10=2,30,0),IF(45=$HK10,IF($JC10=1,30,0),ABS(21-$HC10)*100)),100000+ABS(2-$HB10)*1000+210)),IF($HD10=0,999999,IF(2=$HE10,IF(45=$HL10,IF($JD10=2,30,0),IF(45=$HM10,IF($JD10=1,30,0),ABS(21-$HF10)*100)),100000+ABS(2-$HE10)*1000+210)),IF($HG10=0,999999,IF(2=$HH10,IF(45=$HN10,IF($JE10=2,30,0),IF(45=$HO10,IF($JE10=1,30,0),ABS(21-$HI10)*100)),100000+ABS(2-$HH10)*1000+210)))-IF((45=$HJ10)+(45=$HK10)+(45=$HL10)+(45=$HM10)+(45=$HN10)+(45=$HO10)&gt;=2,50,0))+AV$5*50)</f>
        <v/>
      </c>
      <c r="AW130">
        <f>IF(OR($JF10=0,calcA!$A$6=0),0,IF(OR(46=$HA10,46=$HD10,46=$HG10),200000,MIN(IF($HA10=0,999999,IF(2=$HB10,IF(46=$HJ10,IF($JC10=2,30,0),IF(46=$HK10,IF($JC10=1,30,0),ABS(22-$HC10)*100)),100000+ABS(2-$HB10)*1000+220)),IF($HD10=0,999999,IF(2=$HE10,IF(46=$HL10,IF($JD10=2,30,0),IF(46=$HM10,IF($JD10=1,30,0),ABS(22-$HF10)*100)),100000+ABS(2-$HE10)*1000+220)),IF($HG10=0,999999,IF(2=$HH10,IF(46=$HN10,IF($JE10=2,30,0),IF(46=$HO10,IF($JE10=1,30,0),ABS(22-$HI10)*100)),100000+ABS(2-$HH10)*1000+220)))-IF((46=$HJ10)+(46=$HK10)+(46=$HL10)+(46=$HM10)+(46=$HN10)+(46=$HO10)&gt;=2,50,0))+AW$5*50)</f>
        <v/>
      </c>
      <c r="AX130">
        <f>IF(OR($JF10=0,calcA!$A$6=0),0,IF(OR(47=$HA10,47=$HD10,47=$HG10),200000,MIN(IF($HA10=0,999999,IF(2=$HB10,IF(47=$HJ10,IF($JC10=2,30,0),IF(47=$HK10,IF($JC10=1,30,0),ABS(23-$HC10)*100)),100000+ABS(2-$HB10)*1000+230)),IF($HD10=0,999999,IF(2=$HE10,IF(47=$HL10,IF($JD10=2,30,0),IF(47=$HM10,IF($JD10=1,30,0),ABS(23-$HF10)*100)),100000+ABS(2-$HE10)*1000+230)),IF($HG10=0,999999,IF(2=$HH10,IF(47=$HN10,IF($JE10=2,30,0),IF(47=$HO10,IF($JE10=1,30,0),ABS(23-$HI10)*100)),100000+ABS(2-$HH10)*1000+230)))-IF((47=$HJ10)+(47=$HK10)+(47=$HL10)+(47=$HM10)+(47=$HN10)+(47=$HO10)&gt;=2,50,0))+AX$5*50)</f>
        <v/>
      </c>
      <c r="AY130">
        <f>IF(OR($JF10=0,calcA!$A$6=0),0,IF(OR(48=$HA10,48=$HD10,48=$HG10),200000,MIN(IF($HA10=0,999999,IF(2=$HB10,IF(48=$HJ10,IF($JC10=2,30,0),IF(48=$HK10,IF($JC10=1,30,0),ABS(24-$HC10)*100)),100000+ABS(2-$HB10)*1000+240)),IF($HD10=0,999999,IF(2=$HE10,IF(48=$HL10,IF($JD10=2,30,0),IF(48=$HM10,IF($JD10=1,30,0),ABS(24-$HF10)*100)),100000+ABS(2-$HE10)*1000+240)),IF($HG10=0,999999,IF(2=$HH10,IF(48=$HN10,IF($JE10=2,30,0),IF(48=$HO10,IF($JE10=1,30,0),ABS(24-$HI10)*100)),100000+ABS(2-$HH10)*1000+240)))-IF((48=$HJ10)+(48=$HK10)+(48=$HL10)+(48=$HM10)+(48=$HN10)+(48=$HO10)&gt;=2,50,0))+AY$5*50)</f>
        <v/>
      </c>
      <c r="AZ130">
        <f>IF(OR($JF10=0,calcA!$A$6=0),0,IF(OR(49=$HA10,49=$HD10,49=$HG10),200000,MIN(IF($HA10=0,999999,IF(3=$HB10,IF(49=$HJ10,IF($JC10=2,30,0),IF(49=$HK10,IF($JC10=1,30,0),ABS(1-$HC10)*100)),100000+ABS(3-$HB10)*1000+10)),IF($HD10=0,999999,IF(3=$HE10,IF(49=$HL10,IF($JD10=2,30,0),IF(49=$HM10,IF($JD10=1,30,0),ABS(1-$HF10)*100)),100000+ABS(3-$HE10)*1000+10)),IF($HG10=0,999999,IF(3=$HH10,IF(49=$HN10,IF($JE10=2,30,0),IF(49=$HO10,IF($JE10=1,30,0),ABS(1-$HI10)*100)),100000+ABS(3-$HH10)*1000+10)))-IF((49=$HJ10)+(49=$HK10)+(49=$HL10)+(49=$HM10)+(49=$HN10)+(49=$HO10)&gt;=2,50,0))+AZ$5*50)</f>
        <v/>
      </c>
      <c r="BA130">
        <f>IF(OR($JF10=0,calcA!$A$6=0),0,IF(OR(50=$HA10,50=$HD10,50=$HG10),200000,MIN(IF($HA10=0,999999,IF(3=$HB10,IF(50=$HJ10,IF($JC10=2,30,0),IF(50=$HK10,IF($JC10=1,30,0),ABS(2-$HC10)*100)),100000+ABS(3-$HB10)*1000+20)),IF($HD10=0,999999,IF(3=$HE10,IF(50=$HL10,IF($JD10=2,30,0),IF(50=$HM10,IF($JD10=1,30,0),ABS(2-$HF10)*100)),100000+ABS(3-$HE10)*1000+20)),IF($HG10=0,999999,IF(3=$HH10,IF(50=$HN10,IF($JE10=2,30,0),IF(50=$HO10,IF($JE10=1,30,0),ABS(2-$HI10)*100)),100000+ABS(3-$HH10)*1000+20)))-IF((50=$HJ10)+(50=$HK10)+(50=$HL10)+(50=$HM10)+(50=$HN10)+(50=$HO10)&gt;=2,50,0))+BA$5*50)</f>
        <v/>
      </c>
      <c r="BB130">
        <f>IF(OR($JF10=0,calcA!$A$6=0),0,IF(OR(51=$HA10,51=$HD10,51=$HG10),200000,MIN(IF($HA10=0,999999,IF(3=$HB10,IF(51=$HJ10,IF($JC10=2,30,0),IF(51=$HK10,IF($JC10=1,30,0),ABS(3-$HC10)*100)),100000+ABS(3-$HB10)*1000+30)),IF($HD10=0,999999,IF(3=$HE10,IF(51=$HL10,IF($JD10=2,30,0),IF(51=$HM10,IF($JD10=1,30,0),ABS(3-$HF10)*100)),100000+ABS(3-$HE10)*1000+30)),IF($HG10=0,999999,IF(3=$HH10,IF(51=$HN10,IF($JE10=2,30,0),IF(51=$HO10,IF($JE10=1,30,0),ABS(3-$HI10)*100)),100000+ABS(3-$HH10)*1000+30)))-IF((51=$HJ10)+(51=$HK10)+(51=$HL10)+(51=$HM10)+(51=$HN10)+(51=$HO10)&gt;=2,50,0))+BB$5*50)</f>
        <v/>
      </c>
      <c r="BC130">
        <f>IF(OR($JF10=0,calcA!$A$6=0),0,IF(OR(52=$HA10,52=$HD10,52=$HG10),200000,MIN(IF($HA10=0,999999,IF(3=$HB10,IF(52=$HJ10,IF($JC10=2,30,0),IF(52=$HK10,IF($JC10=1,30,0),ABS(4-$HC10)*100)),100000+ABS(3-$HB10)*1000+40)),IF($HD10=0,999999,IF(3=$HE10,IF(52=$HL10,IF($JD10=2,30,0),IF(52=$HM10,IF($JD10=1,30,0),ABS(4-$HF10)*100)),100000+ABS(3-$HE10)*1000+40)),IF($HG10=0,999999,IF(3=$HH10,IF(52=$HN10,IF($JE10=2,30,0),IF(52=$HO10,IF($JE10=1,30,0),ABS(4-$HI10)*100)),100000+ABS(3-$HH10)*1000+40)))-IF((52=$HJ10)+(52=$HK10)+(52=$HL10)+(52=$HM10)+(52=$HN10)+(52=$HO10)&gt;=2,50,0))+BC$5*50)</f>
        <v/>
      </c>
      <c r="BD130">
        <f>IF(OR($JF10=0,calcA!$A$6=0),0,IF(OR(53=$HA10,53=$HD10,53=$HG10),200000,MIN(IF($HA10=0,999999,IF(3=$HB10,IF(53=$HJ10,IF($JC10=2,30,0),IF(53=$HK10,IF($JC10=1,30,0),ABS(5-$HC10)*100)),100000+ABS(3-$HB10)*1000+50)),IF($HD10=0,999999,IF(3=$HE10,IF(53=$HL10,IF($JD10=2,30,0),IF(53=$HM10,IF($JD10=1,30,0),ABS(5-$HF10)*100)),100000+ABS(3-$HE10)*1000+50)),IF($HG10=0,999999,IF(3=$HH10,IF(53=$HN10,IF($JE10=2,30,0),IF(53=$HO10,IF($JE10=1,30,0),ABS(5-$HI10)*100)),100000+ABS(3-$HH10)*1000+50)))-IF((53=$HJ10)+(53=$HK10)+(53=$HL10)+(53=$HM10)+(53=$HN10)+(53=$HO10)&gt;=2,50,0))+BD$5*50)</f>
        <v/>
      </c>
      <c r="BE130">
        <f>IF(OR($JF10=0,calcA!$A$6=0),0,IF(OR(54=$HA10,54=$HD10,54=$HG10),200000,MIN(IF($HA10=0,999999,IF(3=$HB10,IF(54=$HJ10,IF($JC10=2,30,0),IF(54=$HK10,IF($JC10=1,30,0),ABS(6-$HC10)*100)),100000+ABS(3-$HB10)*1000+60)),IF($HD10=0,999999,IF(3=$HE10,IF(54=$HL10,IF($JD10=2,30,0),IF(54=$HM10,IF($JD10=1,30,0),ABS(6-$HF10)*100)),100000+ABS(3-$HE10)*1000+60)),IF($HG10=0,999999,IF(3=$HH10,IF(54=$HN10,IF($JE10=2,30,0),IF(54=$HO10,IF($JE10=1,30,0),ABS(6-$HI10)*100)),100000+ABS(3-$HH10)*1000+60)))-IF((54=$HJ10)+(54=$HK10)+(54=$HL10)+(54=$HM10)+(54=$HN10)+(54=$HO10)&gt;=2,50,0))+BE$5*50)</f>
        <v/>
      </c>
      <c r="BF130">
        <f>IF(OR($JF10=0,calcA!$A$6=0),0,IF(OR(55=$HA10,55=$HD10,55=$HG10),200000,MIN(IF($HA10=0,999999,IF(3=$HB10,IF(55=$HJ10,IF($JC10=2,30,0),IF(55=$HK10,IF($JC10=1,30,0),ABS(7-$HC10)*100)),100000+ABS(3-$HB10)*1000+70)),IF($HD10=0,999999,IF(3=$HE10,IF(55=$HL10,IF($JD10=2,30,0),IF(55=$HM10,IF($JD10=1,30,0),ABS(7-$HF10)*100)),100000+ABS(3-$HE10)*1000+70)),IF($HG10=0,999999,IF(3=$HH10,IF(55=$HN10,IF($JE10=2,30,0),IF(55=$HO10,IF($JE10=1,30,0),ABS(7-$HI10)*100)),100000+ABS(3-$HH10)*1000+70)))-IF((55=$HJ10)+(55=$HK10)+(55=$HL10)+(55=$HM10)+(55=$HN10)+(55=$HO10)&gt;=2,50,0))+BF$5*50)</f>
        <v/>
      </c>
      <c r="BG130">
        <f>IF(OR($JF10=0,calcA!$A$6=0),0,IF(OR(56=$HA10,56=$HD10,56=$HG10),200000,MIN(IF($HA10=0,999999,IF(3=$HB10,IF(56=$HJ10,IF($JC10=2,30,0),IF(56=$HK10,IF($JC10=1,30,0),ABS(8-$HC10)*100)),100000+ABS(3-$HB10)*1000+80)),IF($HD10=0,999999,IF(3=$HE10,IF(56=$HL10,IF($JD10=2,30,0),IF(56=$HM10,IF($JD10=1,30,0),ABS(8-$HF10)*100)),100000+ABS(3-$HE10)*1000+80)),IF($HG10=0,999999,IF(3=$HH10,IF(56=$HN10,IF($JE10=2,30,0),IF(56=$HO10,IF($JE10=1,30,0),ABS(8-$HI10)*100)),100000+ABS(3-$HH10)*1000+80)))-IF((56=$HJ10)+(56=$HK10)+(56=$HL10)+(56=$HM10)+(56=$HN10)+(56=$HO10)&gt;=2,50,0))+BG$5*50)</f>
        <v/>
      </c>
      <c r="BH130">
        <f>IF(OR($JF10=0,calcA!$A$6=0),0,IF(OR(57=$HA10,57=$HD10,57=$HG10),200000,MIN(IF($HA10=0,999999,IF(3=$HB10,IF(57=$HJ10,IF($JC10=2,30,0),IF(57=$HK10,IF($JC10=1,30,0),ABS(9-$HC10)*100)),100000+ABS(3-$HB10)*1000+90)),IF($HD10=0,999999,IF(3=$HE10,IF(57=$HL10,IF($JD10=2,30,0),IF(57=$HM10,IF($JD10=1,30,0),ABS(9-$HF10)*100)),100000+ABS(3-$HE10)*1000+90)),IF($HG10=0,999999,IF(3=$HH10,IF(57=$HN10,IF($JE10=2,30,0),IF(57=$HO10,IF($JE10=1,30,0),ABS(9-$HI10)*100)),100000+ABS(3-$HH10)*1000+90)))-IF((57=$HJ10)+(57=$HK10)+(57=$HL10)+(57=$HM10)+(57=$HN10)+(57=$HO10)&gt;=2,50,0))+BH$5*50)</f>
        <v/>
      </c>
      <c r="BI130">
        <f>IF(OR($JF10=0,calcA!$A$6=0),0,IF(OR(58=$HA10,58=$HD10,58=$HG10),200000,MIN(IF($HA10=0,999999,IF(3=$HB10,IF(58=$HJ10,IF($JC10=2,30,0),IF(58=$HK10,IF($JC10=1,30,0),ABS(10-$HC10)*100)),100000+ABS(3-$HB10)*1000+100)),IF($HD10=0,999999,IF(3=$HE10,IF(58=$HL10,IF($JD10=2,30,0),IF(58=$HM10,IF($JD10=1,30,0),ABS(10-$HF10)*100)),100000+ABS(3-$HE10)*1000+100)),IF($HG10=0,999999,IF(3=$HH10,IF(58=$HN10,IF($JE10=2,30,0),IF(58=$HO10,IF($JE10=1,30,0),ABS(10-$HI10)*100)),100000+ABS(3-$HH10)*1000+100)))-IF((58=$HJ10)+(58=$HK10)+(58=$HL10)+(58=$HM10)+(58=$HN10)+(58=$HO10)&gt;=2,50,0))+BI$5*50)</f>
        <v/>
      </c>
      <c r="BJ130">
        <f>IF(OR($JF10=0,calcA!$A$6=0),0,IF(OR(59=$HA10,59=$HD10,59=$HG10),200000,MIN(IF($HA10=0,999999,IF(3=$HB10,IF(59=$HJ10,IF($JC10=2,30,0),IF(59=$HK10,IF($JC10=1,30,0),ABS(11-$HC10)*100)),100000+ABS(3-$HB10)*1000+110)),IF($HD10=0,999999,IF(3=$HE10,IF(59=$HL10,IF($JD10=2,30,0),IF(59=$HM10,IF($JD10=1,30,0),ABS(11-$HF10)*100)),100000+ABS(3-$HE10)*1000+110)),IF($HG10=0,999999,IF(3=$HH10,IF(59=$HN10,IF($JE10=2,30,0),IF(59=$HO10,IF($JE10=1,30,0),ABS(11-$HI10)*100)),100000+ABS(3-$HH10)*1000+110)))-IF((59=$HJ10)+(59=$HK10)+(59=$HL10)+(59=$HM10)+(59=$HN10)+(59=$HO10)&gt;=2,50,0))+BJ$5*50)</f>
        <v/>
      </c>
      <c r="BK130">
        <f>IF(OR($JF10=0,calcA!$A$6=0),0,IF(OR(60=$HA10,60=$HD10,60=$HG10),200000,MIN(IF($HA10=0,999999,IF(3=$HB10,IF(60=$HJ10,IF($JC10=2,30,0),IF(60=$HK10,IF($JC10=1,30,0),ABS(12-$HC10)*100)),100000+ABS(3-$HB10)*1000+120)),IF($HD10=0,999999,IF(3=$HE10,IF(60=$HL10,IF($JD10=2,30,0),IF(60=$HM10,IF($JD10=1,30,0),ABS(12-$HF10)*100)),100000+ABS(3-$HE10)*1000+120)),IF($HG10=0,999999,IF(3=$HH10,IF(60=$HN10,IF($JE10=2,30,0),IF(60=$HO10,IF($JE10=1,30,0),ABS(12-$HI10)*100)),100000+ABS(3-$HH10)*1000+120)))-IF((60=$HJ10)+(60=$HK10)+(60=$HL10)+(60=$HM10)+(60=$HN10)+(60=$HO10)&gt;=2,50,0))+BK$5*50)</f>
        <v/>
      </c>
      <c r="BL130">
        <f>IF(OR($JF10=0,calcA!$A$6=0),0,IF(OR(61=$HA10,61=$HD10,61=$HG10),200000,MIN(IF($HA10=0,999999,IF(3=$HB10,IF(61=$HJ10,IF($JC10=2,30,0),IF(61=$HK10,IF($JC10=1,30,0),ABS(13-$HC10)*100)),100000+ABS(3-$HB10)*1000+130)),IF($HD10=0,999999,IF(3=$HE10,IF(61=$HL10,IF($JD10=2,30,0),IF(61=$HM10,IF($JD10=1,30,0),ABS(13-$HF10)*100)),100000+ABS(3-$HE10)*1000+130)),IF($HG10=0,999999,IF(3=$HH10,IF(61=$HN10,IF($JE10=2,30,0),IF(61=$HO10,IF($JE10=1,30,0),ABS(13-$HI10)*100)),100000+ABS(3-$HH10)*1000+130)))-IF((61=$HJ10)+(61=$HK10)+(61=$HL10)+(61=$HM10)+(61=$HN10)+(61=$HO10)&gt;=2,50,0))+BL$5*50)</f>
        <v/>
      </c>
      <c r="BM130">
        <f>IF(OR($JF10=0,calcA!$A$6=0),0,IF(OR(62=$HA10,62=$HD10,62=$HG10),200000,MIN(IF($HA10=0,999999,IF(3=$HB10,IF(62=$HJ10,IF($JC10=2,30,0),IF(62=$HK10,IF($JC10=1,30,0),ABS(14-$HC10)*100)),100000+ABS(3-$HB10)*1000+140)),IF($HD10=0,999999,IF(3=$HE10,IF(62=$HL10,IF($JD10=2,30,0),IF(62=$HM10,IF($JD10=1,30,0),ABS(14-$HF10)*100)),100000+ABS(3-$HE10)*1000+140)),IF($HG10=0,999999,IF(3=$HH10,IF(62=$HN10,IF($JE10=2,30,0),IF(62=$HO10,IF($JE10=1,30,0),ABS(14-$HI10)*100)),100000+ABS(3-$HH10)*1000+140)))-IF((62=$HJ10)+(62=$HK10)+(62=$HL10)+(62=$HM10)+(62=$HN10)+(62=$HO10)&gt;=2,50,0))+BM$5*50)</f>
        <v/>
      </c>
      <c r="BN130">
        <f>IF(OR($JF10=0,calcA!$A$6=0),0,IF(OR(63=$HA10,63=$HD10,63=$HG10),200000,MIN(IF($HA10=0,999999,IF(3=$HB10,IF(63=$HJ10,IF($JC10=2,30,0),IF(63=$HK10,IF($JC10=1,30,0),ABS(15-$HC10)*100)),100000+ABS(3-$HB10)*1000+150)),IF($HD10=0,999999,IF(3=$HE10,IF(63=$HL10,IF($JD10=2,30,0),IF(63=$HM10,IF($JD10=1,30,0),ABS(15-$HF10)*100)),100000+ABS(3-$HE10)*1000+150)),IF($HG10=0,999999,IF(3=$HH10,IF(63=$HN10,IF($JE10=2,30,0),IF(63=$HO10,IF($JE10=1,30,0),ABS(15-$HI10)*100)),100000+ABS(3-$HH10)*1000+150)))-IF((63=$HJ10)+(63=$HK10)+(63=$HL10)+(63=$HM10)+(63=$HN10)+(63=$HO10)&gt;=2,50,0))+BN$5*50)</f>
        <v/>
      </c>
      <c r="BO130">
        <f>IF(OR($JF10=0,calcA!$A$6=0),0,IF(OR(64=$HA10,64=$HD10,64=$HG10),200000,MIN(IF($HA10=0,999999,IF(3=$HB10,IF(64=$HJ10,IF($JC10=2,30,0),IF(64=$HK10,IF($JC10=1,30,0),ABS(16-$HC10)*100)),100000+ABS(3-$HB10)*1000+160)),IF($HD10=0,999999,IF(3=$HE10,IF(64=$HL10,IF($JD10=2,30,0),IF(64=$HM10,IF($JD10=1,30,0),ABS(16-$HF10)*100)),100000+ABS(3-$HE10)*1000+160)),IF($HG10=0,999999,IF(3=$HH10,IF(64=$HN10,IF($JE10=2,30,0),IF(64=$HO10,IF($JE10=1,30,0),ABS(16-$HI10)*100)),100000+ABS(3-$HH10)*1000+160)))-IF((64=$HJ10)+(64=$HK10)+(64=$HL10)+(64=$HM10)+(64=$HN10)+(64=$HO10)&gt;=2,50,0))+BO$5*50)</f>
        <v/>
      </c>
      <c r="BP130">
        <f>IF(OR($JF10=0,calcA!$A$6=0),0,IF(OR(65=$HA10,65=$HD10,65=$HG10),200000,MIN(IF($HA10=0,999999,IF(3=$HB10,IF(65=$HJ10,IF($JC10=2,30,0),IF(65=$HK10,IF($JC10=1,30,0),ABS(17-$HC10)*100)),100000+ABS(3-$HB10)*1000+170)),IF($HD10=0,999999,IF(3=$HE10,IF(65=$HL10,IF($JD10=2,30,0),IF(65=$HM10,IF($JD10=1,30,0),ABS(17-$HF10)*100)),100000+ABS(3-$HE10)*1000+170)),IF($HG10=0,999999,IF(3=$HH10,IF(65=$HN10,IF($JE10=2,30,0),IF(65=$HO10,IF($JE10=1,30,0),ABS(17-$HI10)*100)),100000+ABS(3-$HH10)*1000+170)))-IF((65=$HJ10)+(65=$HK10)+(65=$HL10)+(65=$HM10)+(65=$HN10)+(65=$HO10)&gt;=2,50,0))+BP$5*50)</f>
        <v/>
      </c>
      <c r="BQ130">
        <f>IF(OR($JF10=0,calcA!$A$6=0),0,IF(OR(66=$HA10,66=$HD10,66=$HG10),200000,MIN(IF($HA10=0,999999,IF(3=$HB10,IF(66=$HJ10,IF($JC10=2,30,0),IF(66=$HK10,IF($JC10=1,30,0),ABS(18-$HC10)*100)),100000+ABS(3-$HB10)*1000+180)),IF($HD10=0,999999,IF(3=$HE10,IF(66=$HL10,IF($JD10=2,30,0),IF(66=$HM10,IF($JD10=1,30,0),ABS(18-$HF10)*100)),100000+ABS(3-$HE10)*1000+180)),IF($HG10=0,999999,IF(3=$HH10,IF(66=$HN10,IF($JE10=2,30,0),IF(66=$HO10,IF($JE10=1,30,0),ABS(18-$HI10)*100)),100000+ABS(3-$HH10)*1000+180)))-IF((66=$HJ10)+(66=$HK10)+(66=$HL10)+(66=$HM10)+(66=$HN10)+(66=$HO10)&gt;=2,50,0))+BQ$5*50)</f>
        <v/>
      </c>
      <c r="BR130">
        <f>IF(OR($JF10=0,calcA!$A$6=0),0,IF(OR(67=$HA10,67=$HD10,67=$HG10),200000,MIN(IF($HA10=0,999999,IF(3=$HB10,IF(67=$HJ10,IF($JC10=2,30,0),IF(67=$HK10,IF($JC10=1,30,0),ABS(19-$HC10)*100)),100000+ABS(3-$HB10)*1000+190)),IF($HD10=0,999999,IF(3=$HE10,IF(67=$HL10,IF($JD10=2,30,0),IF(67=$HM10,IF($JD10=1,30,0),ABS(19-$HF10)*100)),100000+ABS(3-$HE10)*1000+190)),IF($HG10=0,999999,IF(3=$HH10,IF(67=$HN10,IF($JE10=2,30,0),IF(67=$HO10,IF($JE10=1,30,0),ABS(19-$HI10)*100)),100000+ABS(3-$HH10)*1000+190)))-IF((67=$HJ10)+(67=$HK10)+(67=$HL10)+(67=$HM10)+(67=$HN10)+(67=$HO10)&gt;=2,50,0))+BR$5*50)</f>
        <v/>
      </c>
      <c r="BS130">
        <f>IF(OR($JF10=0,calcA!$A$6=0),0,IF(OR(68=$HA10,68=$HD10,68=$HG10),200000,MIN(IF($HA10=0,999999,IF(3=$HB10,IF(68=$HJ10,IF($JC10=2,30,0),IF(68=$HK10,IF($JC10=1,30,0),ABS(20-$HC10)*100)),100000+ABS(3-$HB10)*1000+200)),IF($HD10=0,999999,IF(3=$HE10,IF(68=$HL10,IF($JD10=2,30,0),IF(68=$HM10,IF($JD10=1,30,0),ABS(20-$HF10)*100)),100000+ABS(3-$HE10)*1000+200)),IF($HG10=0,999999,IF(3=$HH10,IF(68=$HN10,IF($JE10=2,30,0),IF(68=$HO10,IF($JE10=1,30,0),ABS(20-$HI10)*100)),100000+ABS(3-$HH10)*1000+200)))-IF((68=$HJ10)+(68=$HK10)+(68=$HL10)+(68=$HM10)+(68=$HN10)+(68=$HO10)&gt;=2,50,0))+BS$5*50)</f>
        <v/>
      </c>
      <c r="BT130">
        <f>IF(OR($JF10=0,calcA!$A$6=0),0,IF(OR(69=$HA10,69=$HD10,69=$HG10),200000,MIN(IF($HA10=0,999999,IF(3=$HB10,IF(69=$HJ10,IF($JC10=2,30,0),IF(69=$HK10,IF($JC10=1,30,0),ABS(21-$HC10)*100)),100000+ABS(3-$HB10)*1000+210)),IF($HD10=0,999999,IF(3=$HE10,IF(69=$HL10,IF($JD10=2,30,0),IF(69=$HM10,IF($JD10=1,30,0),ABS(21-$HF10)*100)),100000+ABS(3-$HE10)*1000+210)),IF($HG10=0,999999,IF(3=$HH10,IF(69=$HN10,IF($JE10=2,30,0),IF(69=$HO10,IF($JE10=1,30,0),ABS(21-$HI10)*100)),100000+ABS(3-$HH10)*1000+210)))-IF((69=$HJ10)+(69=$HK10)+(69=$HL10)+(69=$HM10)+(69=$HN10)+(69=$HO10)&gt;=2,50,0))+BT$5*50)</f>
        <v/>
      </c>
      <c r="BU130">
        <f>IF(OR($JF10=0,calcA!$A$6=0),0,IF(OR(70=$HA10,70=$HD10,70=$HG10),200000,MIN(IF($HA10=0,999999,IF(3=$HB10,IF(70=$HJ10,IF($JC10=2,30,0),IF(70=$HK10,IF($JC10=1,30,0),ABS(22-$HC10)*100)),100000+ABS(3-$HB10)*1000+220)),IF($HD10=0,999999,IF(3=$HE10,IF(70=$HL10,IF($JD10=2,30,0),IF(70=$HM10,IF($JD10=1,30,0),ABS(22-$HF10)*100)),100000+ABS(3-$HE10)*1000+220)),IF($HG10=0,999999,IF(3=$HH10,IF(70=$HN10,IF($JE10=2,30,0),IF(70=$HO10,IF($JE10=1,30,0),ABS(22-$HI10)*100)),100000+ABS(3-$HH10)*1000+220)))-IF((70=$HJ10)+(70=$HK10)+(70=$HL10)+(70=$HM10)+(70=$HN10)+(70=$HO10)&gt;=2,50,0))+BU$5*50)</f>
        <v/>
      </c>
      <c r="BV130">
        <f>IF(OR($JF10=0,calcA!$A$6=0),0,IF(OR(71=$HA10,71=$HD10,71=$HG10),200000,MIN(IF($HA10=0,999999,IF(3=$HB10,IF(71=$HJ10,IF($JC10=2,30,0),IF(71=$HK10,IF($JC10=1,30,0),ABS(23-$HC10)*100)),100000+ABS(3-$HB10)*1000+230)),IF($HD10=0,999999,IF(3=$HE10,IF(71=$HL10,IF($JD10=2,30,0),IF(71=$HM10,IF($JD10=1,30,0),ABS(23-$HF10)*100)),100000+ABS(3-$HE10)*1000+230)),IF($HG10=0,999999,IF(3=$HH10,IF(71=$HN10,IF($JE10=2,30,0),IF(71=$HO10,IF($JE10=1,30,0),ABS(23-$HI10)*100)),100000+ABS(3-$HH10)*1000+230)))-IF((71=$HJ10)+(71=$HK10)+(71=$HL10)+(71=$HM10)+(71=$HN10)+(71=$HO10)&gt;=2,50,0))+BV$5*50)</f>
        <v/>
      </c>
      <c r="BW130">
        <f>IF(OR($JF10=0,calcA!$A$6=0),0,IF(OR(72=$HA10,72=$HD10,72=$HG10),200000,MIN(IF($HA10=0,999999,IF(3=$HB10,IF(72=$HJ10,IF($JC10=2,30,0),IF(72=$HK10,IF($JC10=1,30,0),ABS(24-$HC10)*100)),100000+ABS(3-$HB10)*1000+240)),IF($HD10=0,999999,IF(3=$HE10,IF(72=$HL10,IF($JD10=2,30,0),IF(72=$HM10,IF($JD10=1,30,0),ABS(24-$HF10)*100)),100000+ABS(3-$HE10)*1000+240)),IF($HG10=0,999999,IF(3=$HH10,IF(72=$HN10,IF($JE10=2,30,0),IF(72=$HO10,IF($JE10=1,30,0),ABS(24-$HI10)*100)),100000+ABS(3-$HH10)*1000+240)))-IF((72=$HJ10)+(72=$HK10)+(72=$HL10)+(72=$HM10)+(72=$HN10)+(72=$HO10)&gt;=2,50,0))+BW$5*50)</f>
        <v/>
      </c>
      <c r="BX130">
        <f>IF(OR($JF10=0,calcA!$A$6=0),0,IF(OR(73=$HA10,73=$HD10,73=$HG10),200000,MIN(IF($HA10=0,999999,IF(4=$HB10,IF(73=$HJ10,IF($JC10=2,30,0),IF(73=$HK10,IF($JC10=1,30,0),ABS(1-$HC10)*100)),100000+ABS(4-$HB10)*1000+10)),IF($HD10=0,999999,IF(4=$HE10,IF(73=$HL10,IF($JD10=2,30,0),IF(73=$HM10,IF($JD10=1,30,0),ABS(1-$HF10)*100)),100000+ABS(4-$HE10)*1000+10)),IF($HG10=0,999999,IF(4=$HH10,IF(73=$HN10,IF($JE10=2,30,0),IF(73=$HO10,IF($JE10=1,30,0),ABS(1-$HI10)*100)),100000+ABS(4-$HH10)*1000+10)))-IF((73=$HJ10)+(73=$HK10)+(73=$HL10)+(73=$HM10)+(73=$HN10)+(73=$HO10)&gt;=2,50,0))+BX$5*50)</f>
        <v/>
      </c>
      <c r="BY130">
        <f>IF(OR($JF10=0,calcA!$A$6=0),0,IF(OR(74=$HA10,74=$HD10,74=$HG10),200000,MIN(IF($HA10=0,999999,IF(4=$HB10,IF(74=$HJ10,IF($JC10=2,30,0),IF(74=$HK10,IF($JC10=1,30,0),ABS(2-$HC10)*100)),100000+ABS(4-$HB10)*1000+20)),IF($HD10=0,999999,IF(4=$HE10,IF(74=$HL10,IF($JD10=2,30,0),IF(74=$HM10,IF($JD10=1,30,0),ABS(2-$HF10)*100)),100000+ABS(4-$HE10)*1000+20)),IF($HG10=0,999999,IF(4=$HH10,IF(74=$HN10,IF($JE10=2,30,0),IF(74=$HO10,IF($JE10=1,30,0),ABS(2-$HI10)*100)),100000+ABS(4-$HH10)*1000+20)))-IF((74=$HJ10)+(74=$HK10)+(74=$HL10)+(74=$HM10)+(74=$HN10)+(74=$HO10)&gt;=2,50,0))+BY$5*50)</f>
        <v/>
      </c>
      <c r="BZ130">
        <f>IF(OR($JF10=0,calcA!$A$6=0),0,IF(OR(75=$HA10,75=$HD10,75=$HG10),200000,MIN(IF($HA10=0,999999,IF(4=$HB10,IF(75=$HJ10,IF($JC10=2,30,0),IF(75=$HK10,IF($JC10=1,30,0),ABS(3-$HC10)*100)),100000+ABS(4-$HB10)*1000+30)),IF($HD10=0,999999,IF(4=$HE10,IF(75=$HL10,IF($JD10=2,30,0),IF(75=$HM10,IF($JD10=1,30,0),ABS(3-$HF10)*100)),100000+ABS(4-$HE10)*1000+30)),IF($HG10=0,999999,IF(4=$HH10,IF(75=$HN10,IF($JE10=2,30,0),IF(75=$HO10,IF($JE10=1,30,0),ABS(3-$HI10)*100)),100000+ABS(4-$HH10)*1000+30)))-IF((75=$HJ10)+(75=$HK10)+(75=$HL10)+(75=$HM10)+(75=$HN10)+(75=$HO10)&gt;=2,50,0))+BZ$5*50)</f>
        <v/>
      </c>
      <c r="CA130">
        <f>IF(OR($JF10=0,calcA!$A$6=0),0,IF(OR(76=$HA10,76=$HD10,76=$HG10),200000,MIN(IF($HA10=0,999999,IF(4=$HB10,IF(76=$HJ10,IF($JC10=2,30,0),IF(76=$HK10,IF($JC10=1,30,0),ABS(4-$HC10)*100)),100000+ABS(4-$HB10)*1000+40)),IF($HD10=0,999999,IF(4=$HE10,IF(76=$HL10,IF($JD10=2,30,0),IF(76=$HM10,IF($JD10=1,30,0),ABS(4-$HF10)*100)),100000+ABS(4-$HE10)*1000+40)),IF($HG10=0,999999,IF(4=$HH10,IF(76=$HN10,IF($JE10=2,30,0),IF(76=$HO10,IF($JE10=1,30,0),ABS(4-$HI10)*100)),100000+ABS(4-$HH10)*1000+40)))-IF((76=$HJ10)+(76=$HK10)+(76=$HL10)+(76=$HM10)+(76=$HN10)+(76=$HO10)&gt;=2,50,0))+CA$5*50)</f>
        <v/>
      </c>
      <c r="CB130">
        <f>IF(OR($JF10=0,calcA!$A$6=0),0,IF(OR(77=$HA10,77=$HD10,77=$HG10),200000,MIN(IF($HA10=0,999999,IF(4=$HB10,IF(77=$HJ10,IF($JC10=2,30,0),IF(77=$HK10,IF($JC10=1,30,0),ABS(5-$HC10)*100)),100000+ABS(4-$HB10)*1000+50)),IF($HD10=0,999999,IF(4=$HE10,IF(77=$HL10,IF($JD10=2,30,0),IF(77=$HM10,IF($JD10=1,30,0),ABS(5-$HF10)*100)),100000+ABS(4-$HE10)*1000+50)),IF($HG10=0,999999,IF(4=$HH10,IF(77=$HN10,IF($JE10=2,30,0),IF(77=$HO10,IF($JE10=1,30,0),ABS(5-$HI10)*100)),100000+ABS(4-$HH10)*1000+50)))-IF((77=$HJ10)+(77=$HK10)+(77=$HL10)+(77=$HM10)+(77=$HN10)+(77=$HO10)&gt;=2,50,0))+CB$5*50)</f>
        <v/>
      </c>
      <c r="CC130">
        <f>IF(OR($JF10=0,calcA!$A$6=0),0,IF(OR(78=$HA10,78=$HD10,78=$HG10),200000,MIN(IF($HA10=0,999999,IF(4=$HB10,IF(78=$HJ10,IF($JC10=2,30,0),IF(78=$HK10,IF($JC10=1,30,0),ABS(6-$HC10)*100)),100000+ABS(4-$HB10)*1000+60)),IF($HD10=0,999999,IF(4=$HE10,IF(78=$HL10,IF($JD10=2,30,0),IF(78=$HM10,IF($JD10=1,30,0),ABS(6-$HF10)*100)),100000+ABS(4-$HE10)*1000+60)),IF($HG10=0,999999,IF(4=$HH10,IF(78=$HN10,IF($JE10=2,30,0),IF(78=$HO10,IF($JE10=1,30,0),ABS(6-$HI10)*100)),100000+ABS(4-$HH10)*1000+60)))-IF((78=$HJ10)+(78=$HK10)+(78=$HL10)+(78=$HM10)+(78=$HN10)+(78=$HO10)&gt;=2,50,0))+CC$5*50)</f>
        <v/>
      </c>
      <c r="CD130">
        <f>IF(OR($JF10=0,calcA!$A$6=0),0,IF(OR(79=$HA10,79=$HD10,79=$HG10),200000,MIN(IF($HA10=0,999999,IF(4=$HB10,IF(79=$HJ10,IF($JC10=2,30,0),IF(79=$HK10,IF($JC10=1,30,0),ABS(7-$HC10)*100)),100000+ABS(4-$HB10)*1000+70)),IF($HD10=0,999999,IF(4=$HE10,IF(79=$HL10,IF($JD10=2,30,0),IF(79=$HM10,IF($JD10=1,30,0),ABS(7-$HF10)*100)),100000+ABS(4-$HE10)*1000+70)),IF($HG10=0,999999,IF(4=$HH10,IF(79=$HN10,IF($JE10=2,30,0),IF(79=$HO10,IF($JE10=1,30,0),ABS(7-$HI10)*100)),100000+ABS(4-$HH10)*1000+70)))-IF((79=$HJ10)+(79=$HK10)+(79=$HL10)+(79=$HM10)+(79=$HN10)+(79=$HO10)&gt;=2,50,0))+CD$5*50)</f>
        <v/>
      </c>
      <c r="CE130">
        <f>IF(OR($JF10=0,calcA!$A$6=0),0,IF(OR(80=$HA10,80=$HD10,80=$HG10),200000,MIN(IF($HA10=0,999999,IF(4=$HB10,IF(80=$HJ10,IF($JC10=2,30,0),IF(80=$HK10,IF($JC10=1,30,0),ABS(8-$HC10)*100)),100000+ABS(4-$HB10)*1000+80)),IF($HD10=0,999999,IF(4=$HE10,IF(80=$HL10,IF($JD10=2,30,0),IF(80=$HM10,IF($JD10=1,30,0),ABS(8-$HF10)*100)),100000+ABS(4-$HE10)*1000+80)),IF($HG10=0,999999,IF(4=$HH10,IF(80=$HN10,IF($JE10=2,30,0),IF(80=$HO10,IF($JE10=1,30,0),ABS(8-$HI10)*100)),100000+ABS(4-$HH10)*1000+80)))-IF((80=$HJ10)+(80=$HK10)+(80=$HL10)+(80=$HM10)+(80=$HN10)+(80=$HO10)&gt;=2,50,0))+CE$5*50)</f>
        <v/>
      </c>
      <c r="CF130">
        <f>IF(OR($JF10=0,calcA!$A$6=0),0,IF(OR(81=$HA10,81=$HD10,81=$HG10),200000,MIN(IF($HA10=0,999999,IF(4=$HB10,IF(81=$HJ10,IF($JC10=2,30,0),IF(81=$HK10,IF($JC10=1,30,0),ABS(9-$HC10)*100)),100000+ABS(4-$HB10)*1000+90)),IF($HD10=0,999999,IF(4=$HE10,IF(81=$HL10,IF($JD10=2,30,0),IF(81=$HM10,IF($JD10=1,30,0),ABS(9-$HF10)*100)),100000+ABS(4-$HE10)*1000+90)),IF($HG10=0,999999,IF(4=$HH10,IF(81=$HN10,IF($JE10=2,30,0),IF(81=$HO10,IF($JE10=1,30,0),ABS(9-$HI10)*100)),100000+ABS(4-$HH10)*1000+90)))-IF((81=$HJ10)+(81=$HK10)+(81=$HL10)+(81=$HM10)+(81=$HN10)+(81=$HO10)&gt;=2,50,0))+CF$5*50)</f>
        <v/>
      </c>
      <c r="CG130">
        <f>IF(OR($JF10=0,calcA!$A$6=0),0,IF(OR(82=$HA10,82=$HD10,82=$HG10),200000,MIN(IF($HA10=0,999999,IF(4=$HB10,IF(82=$HJ10,IF($JC10=2,30,0),IF(82=$HK10,IF($JC10=1,30,0),ABS(10-$HC10)*100)),100000+ABS(4-$HB10)*1000+100)),IF($HD10=0,999999,IF(4=$HE10,IF(82=$HL10,IF($JD10=2,30,0),IF(82=$HM10,IF($JD10=1,30,0),ABS(10-$HF10)*100)),100000+ABS(4-$HE10)*1000+100)),IF($HG10=0,999999,IF(4=$HH10,IF(82=$HN10,IF($JE10=2,30,0),IF(82=$HO10,IF($JE10=1,30,0),ABS(10-$HI10)*100)),100000+ABS(4-$HH10)*1000+100)))-IF((82=$HJ10)+(82=$HK10)+(82=$HL10)+(82=$HM10)+(82=$HN10)+(82=$HO10)&gt;=2,50,0))+CG$5*50)</f>
        <v/>
      </c>
      <c r="CH130">
        <f>IF(OR($JF10=0,calcA!$A$6=0),0,IF(OR(83=$HA10,83=$HD10,83=$HG10),200000,MIN(IF($HA10=0,999999,IF(4=$HB10,IF(83=$HJ10,IF($JC10=2,30,0),IF(83=$HK10,IF($JC10=1,30,0),ABS(11-$HC10)*100)),100000+ABS(4-$HB10)*1000+110)),IF($HD10=0,999999,IF(4=$HE10,IF(83=$HL10,IF($JD10=2,30,0),IF(83=$HM10,IF($JD10=1,30,0),ABS(11-$HF10)*100)),100000+ABS(4-$HE10)*1000+110)),IF($HG10=0,999999,IF(4=$HH10,IF(83=$HN10,IF($JE10=2,30,0),IF(83=$HO10,IF($JE10=1,30,0),ABS(11-$HI10)*100)),100000+ABS(4-$HH10)*1000+110)))-IF((83=$HJ10)+(83=$HK10)+(83=$HL10)+(83=$HM10)+(83=$HN10)+(83=$HO10)&gt;=2,50,0))+CH$5*50)</f>
        <v/>
      </c>
      <c r="CI130">
        <f>IF(OR($JF10=0,calcA!$A$6=0),0,IF(OR(84=$HA10,84=$HD10,84=$HG10),200000,MIN(IF($HA10=0,999999,IF(4=$HB10,IF(84=$HJ10,IF($JC10=2,30,0),IF(84=$HK10,IF($JC10=1,30,0),ABS(12-$HC10)*100)),100000+ABS(4-$HB10)*1000+120)),IF($HD10=0,999999,IF(4=$HE10,IF(84=$HL10,IF($JD10=2,30,0),IF(84=$HM10,IF($JD10=1,30,0),ABS(12-$HF10)*100)),100000+ABS(4-$HE10)*1000+120)),IF($HG10=0,999999,IF(4=$HH10,IF(84=$HN10,IF($JE10=2,30,0),IF(84=$HO10,IF($JE10=1,30,0),ABS(12-$HI10)*100)),100000+ABS(4-$HH10)*1000+120)))-IF((84=$HJ10)+(84=$HK10)+(84=$HL10)+(84=$HM10)+(84=$HN10)+(84=$HO10)&gt;=2,50,0))+CI$5*50)</f>
        <v/>
      </c>
      <c r="CJ130">
        <f>IF(OR($JF10=0,calcA!$A$6=0),0,IF(OR(85=$HA10,85=$HD10,85=$HG10),200000,MIN(IF($HA10=0,999999,IF(4=$HB10,IF(85=$HJ10,IF($JC10=2,30,0),IF(85=$HK10,IF($JC10=1,30,0),ABS(13-$HC10)*100)),100000+ABS(4-$HB10)*1000+130)),IF($HD10=0,999999,IF(4=$HE10,IF(85=$HL10,IF($JD10=2,30,0),IF(85=$HM10,IF($JD10=1,30,0),ABS(13-$HF10)*100)),100000+ABS(4-$HE10)*1000+130)),IF($HG10=0,999999,IF(4=$HH10,IF(85=$HN10,IF($JE10=2,30,0),IF(85=$HO10,IF($JE10=1,30,0),ABS(13-$HI10)*100)),100000+ABS(4-$HH10)*1000+130)))-IF((85=$HJ10)+(85=$HK10)+(85=$HL10)+(85=$HM10)+(85=$HN10)+(85=$HO10)&gt;=2,50,0))+CJ$5*50)</f>
        <v/>
      </c>
      <c r="CK130">
        <f>IF(OR($JF10=0,calcA!$A$6=0),0,IF(OR(86=$HA10,86=$HD10,86=$HG10),200000,MIN(IF($HA10=0,999999,IF(4=$HB10,IF(86=$HJ10,IF($JC10=2,30,0),IF(86=$HK10,IF($JC10=1,30,0),ABS(14-$HC10)*100)),100000+ABS(4-$HB10)*1000+140)),IF($HD10=0,999999,IF(4=$HE10,IF(86=$HL10,IF($JD10=2,30,0),IF(86=$HM10,IF($JD10=1,30,0),ABS(14-$HF10)*100)),100000+ABS(4-$HE10)*1000+140)),IF($HG10=0,999999,IF(4=$HH10,IF(86=$HN10,IF($JE10=2,30,0),IF(86=$HO10,IF($JE10=1,30,0),ABS(14-$HI10)*100)),100000+ABS(4-$HH10)*1000+140)))-IF((86=$HJ10)+(86=$HK10)+(86=$HL10)+(86=$HM10)+(86=$HN10)+(86=$HO10)&gt;=2,50,0))+CK$5*50)</f>
        <v/>
      </c>
      <c r="CL130">
        <f>IF(OR($JF10=0,calcA!$A$6=0),0,IF(OR(87=$HA10,87=$HD10,87=$HG10),200000,MIN(IF($HA10=0,999999,IF(4=$HB10,IF(87=$HJ10,IF($JC10=2,30,0),IF(87=$HK10,IF($JC10=1,30,0),ABS(15-$HC10)*100)),100000+ABS(4-$HB10)*1000+150)),IF($HD10=0,999999,IF(4=$HE10,IF(87=$HL10,IF($JD10=2,30,0),IF(87=$HM10,IF($JD10=1,30,0),ABS(15-$HF10)*100)),100000+ABS(4-$HE10)*1000+150)),IF($HG10=0,999999,IF(4=$HH10,IF(87=$HN10,IF($JE10=2,30,0),IF(87=$HO10,IF($JE10=1,30,0),ABS(15-$HI10)*100)),100000+ABS(4-$HH10)*1000+150)))-IF((87=$HJ10)+(87=$HK10)+(87=$HL10)+(87=$HM10)+(87=$HN10)+(87=$HO10)&gt;=2,50,0))+CL$5*50)</f>
        <v/>
      </c>
      <c r="CM130">
        <f>IF(OR($JF10=0,calcA!$A$6=0),0,IF(OR(88=$HA10,88=$HD10,88=$HG10),200000,MIN(IF($HA10=0,999999,IF(4=$HB10,IF(88=$HJ10,IF($JC10=2,30,0),IF(88=$HK10,IF($JC10=1,30,0),ABS(16-$HC10)*100)),100000+ABS(4-$HB10)*1000+160)),IF($HD10=0,999999,IF(4=$HE10,IF(88=$HL10,IF($JD10=2,30,0),IF(88=$HM10,IF($JD10=1,30,0),ABS(16-$HF10)*100)),100000+ABS(4-$HE10)*1000+160)),IF($HG10=0,999999,IF(4=$HH10,IF(88=$HN10,IF($JE10=2,30,0),IF(88=$HO10,IF($JE10=1,30,0),ABS(16-$HI10)*100)),100000+ABS(4-$HH10)*1000+160)))-IF((88=$HJ10)+(88=$HK10)+(88=$HL10)+(88=$HM10)+(88=$HN10)+(88=$HO10)&gt;=2,50,0))+CM$5*50)</f>
        <v/>
      </c>
      <c r="CN130">
        <f>IF(OR($JF10=0,calcA!$A$6=0),0,IF(OR(89=$HA10,89=$HD10,89=$HG10),200000,MIN(IF($HA10=0,999999,IF(4=$HB10,IF(89=$HJ10,IF($JC10=2,30,0),IF(89=$HK10,IF($JC10=1,30,0),ABS(17-$HC10)*100)),100000+ABS(4-$HB10)*1000+170)),IF($HD10=0,999999,IF(4=$HE10,IF(89=$HL10,IF($JD10=2,30,0),IF(89=$HM10,IF($JD10=1,30,0),ABS(17-$HF10)*100)),100000+ABS(4-$HE10)*1000+170)),IF($HG10=0,999999,IF(4=$HH10,IF(89=$HN10,IF($JE10=2,30,0),IF(89=$HO10,IF($JE10=1,30,0),ABS(17-$HI10)*100)),100000+ABS(4-$HH10)*1000+170)))-IF((89=$HJ10)+(89=$HK10)+(89=$HL10)+(89=$HM10)+(89=$HN10)+(89=$HO10)&gt;=2,50,0))+CN$5*50)</f>
        <v/>
      </c>
      <c r="CO130">
        <f>IF(OR($JF10=0,calcA!$A$6=0),0,IF(OR(90=$HA10,90=$HD10,90=$HG10),200000,MIN(IF($HA10=0,999999,IF(4=$HB10,IF(90=$HJ10,IF($JC10=2,30,0),IF(90=$HK10,IF($JC10=1,30,0),ABS(18-$HC10)*100)),100000+ABS(4-$HB10)*1000+180)),IF($HD10=0,999999,IF(4=$HE10,IF(90=$HL10,IF($JD10=2,30,0),IF(90=$HM10,IF($JD10=1,30,0),ABS(18-$HF10)*100)),100000+ABS(4-$HE10)*1000+180)),IF($HG10=0,999999,IF(4=$HH10,IF(90=$HN10,IF($JE10=2,30,0),IF(90=$HO10,IF($JE10=1,30,0),ABS(18-$HI10)*100)),100000+ABS(4-$HH10)*1000+180)))-IF((90=$HJ10)+(90=$HK10)+(90=$HL10)+(90=$HM10)+(90=$HN10)+(90=$HO10)&gt;=2,50,0))+CO$5*50)</f>
        <v/>
      </c>
      <c r="CP130">
        <f>IF(OR($JF10=0,calcA!$A$6=0),0,IF(OR(91=$HA10,91=$HD10,91=$HG10),200000,MIN(IF($HA10=0,999999,IF(4=$HB10,IF(91=$HJ10,IF($JC10=2,30,0),IF(91=$HK10,IF($JC10=1,30,0),ABS(19-$HC10)*100)),100000+ABS(4-$HB10)*1000+190)),IF($HD10=0,999999,IF(4=$HE10,IF(91=$HL10,IF($JD10=2,30,0),IF(91=$HM10,IF($JD10=1,30,0),ABS(19-$HF10)*100)),100000+ABS(4-$HE10)*1000+190)),IF($HG10=0,999999,IF(4=$HH10,IF(91=$HN10,IF($JE10=2,30,0),IF(91=$HO10,IF($JE10=1,30,0),ABS(19-$HI10)*100)),100000+ABS(4-$HH10)*1000+190)))-IF((91=$HJ10)+(91=$HK10)+(91=$HL10)+(91=$HM10)+(91=$HN10)+(91=$HO10)&gt;=2,50,0))+CP$5*50)</f>
        <v/>
      </c>
      <c r="CQ130">
        <f>IF(OR($JF10=0,calcA!$A$6=0),0,IF(OR(92=$HA10,92=$HD10,92=$HG10),200000,MIN(IF($HA10=0,999999,IF(4=$HB10,IF(92=$HJ10,IF($JC10=2,30,0),IF(92=$HK10,IF($JC10=1,30,0),ABS(20-$HC10)*100)),100000+ABS(4-$HB10)*1000+200)),IF($HD10=0,999999,IF(4=$HE10,IF(92=$HL10,IF($JD10=2,30,0),IF(92=$HM10,IF($JD10=1,30,0),ABS(20-$HF10)*100)),100000+ABS(4-$HE10)*1000+200)),IF($HG10=0,999999,IF(4=$HH10,IF(92=$HN10,IF($JE10=2,30,0),IF(92=$HO10,IF($JE10=1,30,0),ABS(20-$HI10)*100)),100000+ABS(4-$HH10)*1000+200)))-IF((92=$HJ10)+(92=$HK10)+(92=$HL10)+(92=$HM10)+(92=$HN10)+(92=$HO10)&gt;=2,50,0))+CQ$5*50)</f>
        <v/>
      </c>
      <c r="CR130">
        <f>IF(OR($JF10=0,calcA!$A$6=0),0,IF(OR(93=$HA10,93=$HD10,93=$HG10),200000,MIN(IF($HA10=0,999999,IF(4=$HB10,IF(93=$HJ10,IF($JC10=2,30,0),IF(93=$HK10,IF($JC10=1,30,0),ABS(21-$HC10)*100)),100000+ABS(4-$HB10)*1000+210)),IF($HD10=0,999999,IF(4=$HE10,IF(93=$HL10,IF($JD10=2,30,0),IF(93=$HM10,IF($JD10=1,30,0),ABS(21-$HF10)*100)),100000+ABS(4-$HE10)*1000+210)),IF($HG10=0,999999,IF(4=$HH10,IF(93=$HN10,IF($JE10=2,30,0),IF(93=$HO10,IF($JE10=1,30,0),ABS(21-$HI10)*100)),100000+ABS(4-$HH10)*1000+210)))-IF((93=$HJ10)+(93=$HK10)+(93=$HL10)+(93=$HM10)+(93=$HN10)+(93=$HO10)&gt;=2,50,0))+CR$5*50)</f>
        <v/>
      </c>
      <c r="CS130">
        <f>IF(OR($JF10=0,calcA!$A$6=0),0,IF(OR(94=$HA10,94=$HD10,94=$HG10),200000,MIN(IF($HA10=0,999999,IF(4=$HB10,IF(94=$HJ10,IF($JC10=2,30,0),IF(94=$HK10,IF($JC10=1,30,0),ABS(22-$HC10)*100)),100000+ABS(4-$HB10)*1000+220)),IF($HD10=0,999999,IF(4=$HE10,IF(94=$HL10,IF($JD10=2,30,0),IF(94=$HM10,IF($JD10=1,30,0),ABS(22-$HF10)*100)),100000+ABS(4-$HE10)*1000+220)),IF($HG10=0,999999,IF(4=$HH10,IF(94=$HN10,IF($JE10=2,30,0),IF(94=$HO10,IF($JE10=1,30,0),ABS(22-$HI10)*100)),100000+ABS(4-$HH10)*1000+220)))-IF((94=$HJ10)+(94=$HK10)+(94=$HL10)+(94=$HM10)+(94=$HN10)+(94=$HO10)&gt;=2,50,0))+CS$5*50)</f>
        <v/>
      </c>
      <c r="CT130">
        <f>IF(OR($JF10=0,calcA!$A$6=0),0,IF(OR(95=$HA10,95=$HD10,95=$HG10),200000,MIN(IF($HA10=0,999999,IF(4=$HB10,IF(95=$HJ10,IF($JC10=2,30,0),IF(95=$HK10,IF($JC10=1,30,0),ABS(23-$HC10)*100)),100000+ABS(4-$HB10)*1000+230)),IF($HD10=0,999999,IF(4=$HE10,IF(95=$HL10,IF($JD10=2,30,0),IF(95=$HM10,IF($JD10=1,30,0),ABS(23-$HF10)*100)),100000+ABS(4-$HE10)*1000+230)),IF($HG10=0,999999,IF(4=$HH10,IF(95=$HN10,IF($JE10=2,30,0),IF(95=$HO10,IF($JE10=1,30,0),ABS(23-$HI10)*100)),100000+ABS(4-$HH10)*1000+230)))-IF((95=$HJ10)+(95=$HK10)+(95=$HL10)+(95=$HM10)+(95=$HN10)+(95=$HO10)&gt;=2,50,0))+CT$5*50)</f>
        <v/>
      </c>
      <c r="CU130">
        <f>IF(OR($JF10=0,calcA!$A$6=0),0,IF(OR(96=$HA10,96=$HD10,96=$HG10),200000,MIN(IF($HA10=0,999999,IF(4=$HB10,IF(96=$HJ10,IF($JC10=2,30,0),IF(96=$HK10,IF($JC10=1,30,0),ABS(24-$HC10)*100)),100000+ABS(4-$HB10)*1000+240)),IF($HD10=0,999999,IF(4=$HE10,IF(96=$HL10,IF($JD10=2,30,0),IF(96=$HM10,IF($JD10=1,30,0),ABS(24-$HF10)*100)),100000+ABS(4-$HE10)*1000+240)),IF($HG10=0,999999,IF(4=$HH10,IF(96=$HN10,IF($JE10=2,30,0),IF(96=$HO10,IF($JE10=1,30,0),ABS(24-$HI10)*100)),100000+ABS(4-$HH10)*1000+240)))-IF((96=$HJ10)+(96=$HK10)+(96=$HL10)+(96=$HM10)+(96=$HN10)+(96=$HO10)&gt;=2,50,0))+CU$5*50)</f>
        <v/>
      </c>
      <c r="CV130">
        <f>IF(OR($JF10=0,calcA!$A$6=0),0,IF(OR(97=$HA10,97=$HD10,97=$HG10),200000,MIN(IF($HA10=0,999999,IF(5=$HB10,IF(97=$HJ10,IF($JC10=2,30,0),IF(97=$HK10,IF($JC10=1,30,0),ABS(1-$HC10)*100)),100000+ABS(5-$HB10)*1000+10)),IF($HD10=0,999999,IF(5=$HE10,IF(97=$HL10,IF($JD10=2,30,0),IF(97=$HM10,IF($JD10=1,30,0),ABS(1-$HF10)*100)),100000+ABS(5-$HE10)*1000+10)),IF($HG10=0,999999,IF(5=$HH10,IF(97=$HN10,IF($JE10=2,30,0),IF(97=$HO10,IF($JE10=1,30,0),ABS(1-$HI10)*100)),100000+ABS(5-$HH10)*1000+10)))-IF((97=$HJ10)+(97=$HK10)+(97=$HL10)+(97=$HM10)+(97=$HN10)+(97=$HO10)&gt;=2,50,0))+CV$5*50)</f>
        <v/>
      </c>
      <c r="CW130">
        <f>IF(OR($JF10=0,calcA!$A$6=0),0,IF(OR(98=$HA10,98=$HD10,98=$HG10),200000,MIN(IF($HA10=0,999999,IF(5=$HB10,IF(98=$HJ10,IF($JC10=2,30,0),IF(98=$HK10,IF($JC10=1,30,0),ABS(2-$HC10)*100)),100000+ABS(5-$HB10)*1000+20)),IF($HD10=0,999999,IF(5=$HE10,IF(98=$HL10,IF($JD10=2,30,0),IF(98=$HM10,IF($JD10=1,30,0),ABS(2-$HF10)*100)),100000+ABS(5-$HE10)*1000+20)),IF($HG10=0,999999,IF(5=$HH10,IF(98=$HN10,IF($JE10=2,30,0),IF(98=$HO10,IF($JE10=1,30,0),ABS(2-$HI10)*100)),100000+ABS(5-$HH10)*1000+20)))-IF((98=$HJ10)+(98=$HK10)+(98=$HL10)+(98=$HM10)+(98=$HN10)+(98=$HO10)&gt;=2,50,0))+CW$5*50)</f>
        <v/>
      </c>
      <c r="CX130">
        <f>IF(OR($JF10=0,calcA!$A$6=0),0,IF(OR(99=$HA10,99=$HD10,99=$HG10),200000,MIN(IF($HA10=0,999999,IF(5=$HB10,IF(99=$HJ10,IF($JC10=2,30,0),IF(99=$HK10,IF($JC10=1,30,0),ABS(3-$HC10)*100)),100000+ABS(5-$HB10)*1000+30)),IF($HD10=0,999999,IF(5=$HE10,IF(99=$HL10,IF($JD10=2,30,0),IF(99=$HM10,IF($JD10=1,30,0),ABS(3-$HF10)*100)),100000+ABS(5-$HE10)*1000+30)),IF($HG10=0,999999,IF(5=$HH10,IF(99=$HN10,IF($JE10=2,30,0),IF(99=$HO10,IF($JE10=1,30,0),ABS(3-$HI10)*100)),100000+ABS(5-$HH10)*1000+30)))-IF((99=$HJ10)+(99=$HK10)+(99=$HL10)+(99=$HM10)+(99=$HN10)+(99=$HO10)&gt;=2,50,0))+CX$5*50)</f>
        <v/>
      </c>
      <c r="CY130">
        <f>IF(OR($JF10=0,calcA!$A$6=0),0,IF(OR(100=$HA10,100=$HD10,100=$HG10),200000,MIN(IF($HA10=0,999999,IF(5=$HB10,IF(100=$HJ10,IF($JC10=2,30,0),IF(100=$HK10,IF($JC10=1,30,0),ABS(4-$HC10)*100)),100000+ABS(5-$HB10)*1000+40)),IF($HD10=0,999999,IF(5=$HE10,IF(100=$HL10,IF($JD10=2,30,0),IF(100=$HM10,IF($JD10=1,30,0),ABS(4-$HF10)*100)),100000+ABS(5-$HE10)*1000+40)),IF($HG10=0,999999,IF(5=$HH10,IF(100=$HN10,IF($JE10=2,30,0),IF(100=$HO10,IF($JE10=1,30,0),ABS(4-$HI10)*100)),100000+ABS(5-$HH10)*1000+40)))-IF((100=$HJ10)+(100=$HK10)+(100=$HL10)+(100=$HM10)+(100=$HN10)+(100=$HO10)&gt;=2,50,0))+CY$5*50)</f>
        <v/>
      </c>
      <c r="CZ130">
        <f>IF(OR($JF10=0,calcA!$A$6=0),0,IF(OR(101=$HA10,101=$HD10,101=$HG10),200000,MIN(IF($HA10=0,999999,IF(5=$HB10,IF(101=$HJ10,IF($JC10=2,30,0),IF(101=$HK10,IF($JC10=1,30,0),ABS(5-$HC10)*100)),100000+ABS(5-$HB10)*1000+50)),IF($HD10=0,999999,IF(5=$HE10,IF(101=$HL10,IF($JD10=2,30,0),IF(101=$HM10,IF($JD10=1,30,0),ABS(5-$HF10)*100)),100000+ABS(5-$HE10)*1000+50)),IF($HG10=0,999999,IF(5=$HH10,IF(101=$HN10,IF($JE10=2,30,0),IF(101=$HO10,IF($JE10=1,30,0),ABS(5-$HI10)*100)),100000+ABS(5-$HH10)*1000+50)))-IF((101=$HJ10)+(101=$HK10)+(101=$HL10)+(101=$HM10)+(101=$HN10)+(101=$HO10)&gt;=2,50,0))+CZ$5*50)</f>
        <v/>
      </c>
      <c r="DA130">
        <f>IF(OR($JF10=0,calcA!$A$6=0),0,IF(OR(102=$HA10,102=$HD10,102=$HG10),200000,MIN(IF($HA10=0,999999,IF(5=$HB10,IF(102=$HJ10,IF($JC10=2,30,0),IF(102=$HK10,IF($JC10=1,30,0),ABS(6-$HC10)*100)),100000+ABS(5-$HB10)*1000+60)),IF($HD10=0,999999,IF(5=$HE10,IF(102=$HL10,IF($JD10=2,30,0),IF(102=$HM10,IF($JD10=1,30,0),ABS(6-$HF10)*100)),100000+ABS(5-$HE10)*1000+60)),IF($HG10=0,999999,IF(5=$HH10,IF(102=$HN10,IF($JE10=2,30,0),IF(102=$HO10,IF($JE10=1,30,0),ABS(6-$HI10)*100)),100000+ABS(5-$HH10)*1000+60)))-IF((102=$HJ10)+(102=$HK10)+(102=$HL10)+(102=$HM10)+(102=$HN10)+(102=$HO10)&gt;=2,50,0))+DA$5*50)</f>
        <v/>
      </c>
      <c r="DB130">
        <f>IF(OR($JF10=0,calcA!$A$6=0),0,IF(OR(103=$HA10,103=$HD10,103=$HG10),200000,MIN(IF($HA10=0,999999,IF(5=$HB10,IF(103=$HJ10,IF($JC10=2,30,0),IF(103=$HK10,IF($JC10=1,30,0),ABS(7-$HC10)*100)),100000+ABS(5-$HB10)*1000+70)),IF($HD10=0,999999,IF(5=$HE10,IF(103=$HL10,IF($JD10=2,30,0),IF(103=$HM10,IF($JD10=1,30,0),ABS(7-$HF10)*100)),100000+ABS(5-$HE10)*1000+70)),IF($HG10=0,999999,IF(5=$HH10,IF(103=$HN10,IF($JE10=2,30,0),IF(103=$HO10,IF($JE10=1,30,0),ABS(7-$HI10)*100)),100000+ABS(5-$HH10)*1000+70)))-IF((103=$HJ10)+(103=$HK10)+(103=$HL10)+(103=$HM10)+(103=$HN10)+(103=$HO10)&gt;=2,50,0))+DB$5*50)</f>
        <v/>
      </c>
      <c r="DC130">
        <f>IF(OR($JF10=0,calcA!$A$6=0),0,IF(OR(104=$HA10,104=$HD10,104=$HG10),200000,MIN(IF($HA10=0,999999,IF(5=$HB10,IF(104=$HJ10,IF($JC10=2,30,0),IF(104=$HK10,IF($JC10=1,30,0),ABS(8-$HC10)*100)),100000+ABS(5-$HB10)*1000+80)),IF($HD10=0,999999,IF(5=$HE10,IF(104=$HL10,IF($JD10=2,30,0),IF(104=$HM10,IF($JD10=1,30,0),ABS(8-$HF10)*100)),100000+ABS(5-$HE10)*1000+80)),IF($HG10=0,999999,IF(5=$HH10,IF(104=$HN10,IF($JE10=2,30,0),IF(104=$HO10,IF($JE10=1,30,0),ABS(8-$HI10)*100)),100000+ABS(5-$HH10)*1000+80)))-IF((104=$HJ10)+(104=$HK10)+(104=$HL10)+(104=$HM10)+(104=$HN10)+(104=$HO10)&gt;=2,50,0))+DC$5*50)</f>
        <v/>
      </c>
      <c r="DD130">
        <f>IF(OR($JF10=0,calcA!$A$6=0),0,IF(OR(105=$HA10,105=$HD10,105=$HG10),200000,MIN(IF($HA10=0,999999,IF(5=$HB10,IF(105=$HJ10,IF($JC10=2,30,0),IF(105=$HK10,IF($JC10=1,30,0),ABS(9-$HC10)*100)),100000+ABS(5-$HB10)*1000+90)),IF($HD10=0,999999,IF(5=$HE10,IF(105=$HL10,IF($JD10=2,30,0),IF(105=$HM10,IF($JD10=1,30,0),ABS(9-$HF10)*100)),100000+ABS(5-$HE10)*1000+90)),IF($HG10=0,999999,IF(5=$HH10,IF(105=$HN10,IF($JE10=2,30,0),IF(105=$HO10,IF($JE10=1,30,0),ABS(9-$HI10)*100)),100000+ABS(5-$HH10)*1000+90)))-IF((105=$HJ10)+(105=$HK10)+(105=$HL10)+(105=$HM10)+(105=$HN10)+(105=$HO10)&gt;=2,50,0))+DD$5*50)</f>
        <v/>
      </c>
      <c r="DE130">
        <f>IF(OR($JF10=0,calcA!$A$6=0),0,IF(OR(106=$HA10,106=$HD10,106=$HG10),200000,MIN(IF($HA10=0,999999,IF(5=$HB10,IF(106=$HJ10,IF($JC10=2,30,0),IF(106=$HK10,IF($JC10=1,30,0),ABS(10-$HC10)*100)),100000+ABS(5-$HB10)*1000+100)),IF($HD10=0,999999,IF(5=$HE10,IF(106=$HL10,IF($JD10=2,30,0),IF(106=$HM10,IF($JD10=1,30,0),ABS(10-$HF10)*100)),100000+ABS(5-$HE10)*1000+100)),IF($HG10=0,999999,IF(5=$HH10,IF(106=$HN10,IF($JE10=2,30,0),IF(106=$HO10,IF($JE10=1,30,0),ABS(10-$HI10)*100)),100000+ABS(5-$HH10)*1000+100)))-IF((106=$HJ10)+(106=$HK10)+(106=$HL10)+(106=$HM10)+(106=$HN10)+(106=$HO10)&gt;=2,50,0))+DE$5*50)</f>
        <v/>
      </c>
      <c r="DF130">
        <f>IF(OR($JF10=0,calcA!$A$6=0),0,IF(OR(107=$HA10,107=$HD10,107=$HG10),200000,MIN(IF($HA10=0,999999,IF(5=$HB10,IF(107=$HJ10,IF($JC10=2,30,0),IF(107=$HK10,IF($JC10=1,30,0),ABS(11-$HC10)*100)),100000+ABS(5-$HB10)*1000+110)),IF($HD10=0,999999,IF(5=$HE10,IF(107=$HL10,IF($JD10=2,30,0),IF(107=$HM10,IF($JD10=1,30,0),ABS(11-$HF10)*100)),100000+ABS(5-$HE10)*1000+110)),IF($HG10=0,999999,IF(5=$HH10,IF(107=$HN10,IF($JE10=2,30,0),IF(107=$HO10,IF($JE10=1,30,0),ABS(11-$HI10)*100)),100000+ABS(5-$HH10)*1000+110)))-IF((107=$HJ10)+(107=$HK10)+(107=$HL10)+(107=$HM10)+(107=$HN10)+(107=$HO10)&gt;=2,50,0))+DF$5*50)</f>
        <v/>
      </c>
      <c r="DG130">
        <f>IF(OR($JF10=0,calcA!$A$6=0),0,IF(OR(108=$HA10,108=$HD10,108=$HG10),200000,MIN(IF($HA10=0,999999,IF(5=$HB10,IF(108=$HJ10,IF($JC10=2,30,0),IF(108=$HK10,IF($JC10=1,30,0),ABS(12-$HC10)*100)),100000+ABS(5-$HB10)*1000+120)),IF($HD10=0,999999,IF(5=$HE10,IF(108=$HL10,IF($JD10=2,30,0),IF(108=$HM10,IF($JD10=1,30,0),ABS(12-$HF10)*100)),100000+ABS(5-$HE10)*1000+120)),IF($HG10=0,999999,IF(5=$HH10,IF(108=$HN10,IF($JE10=2,30,0),IF(108=$HO10,IF($JE10=1,30,0),ABS(12-$HI10)*100)),100000+ABS(5-$HH10)*1000+120)))-IF((108=$HJ10)+(108=$HK10)+(108=$HL10)+(108=$HM10)+(108=$HN10)+(108=$HO10)&gt;=2,50,0))+DG$5*50)</f>
        <v/>
      </c>
      <c r="DH130">
        <f>IF(OR($JF10=0,calcA!$A$6=0),0,IF(OR(109=$HA10,109=$HD10,109=$HG10),200000,MIN(IF($HA10=0,999999,IF(5=$HB10,IF(109=$HJ10,IF($JC10=2,30,0),IF(109=$HK10,IF($JC10=1,30,0),ABS(13-$HC10)*100)),100000+ABS(5-$HB10)*1000+130)),IF($HD10=0,999999,IF(5=$HE10,IF(109=$HL10,IF($JD10=2,30,0),IF(109=$HM10,IF($JD10=1,30,0),ABS(13-$HF10)*100)),100000+ABS(5-$HE10)*1000+130)),IF($HG10=0,999999,IF(5=$HH10,IF(109=$HN10,IF($JE10=2,30,0),IF(109=$HO10,IF($JE10=1,30,0),ABS(13-$HI10)*100)),100000+ABS(5-$HH10)*1000+130)))-IF((109=$HJ10)+(109=$HK10)+(109=$HL10)+(109=$HM10)+(109=$HN10)+(109=$HO10)&gt;=2,50,0))+DH$5*50)</f>
        <v/>
      </c>
      <c r="DI130">
        <f>IF(OR($JF10=0,calcA!$A$6=0),0,IF(OR(110=$HA10,110=$HD10,110=$HG10),200000,MIN(IF($HA10=0,999999,IF(5=$HB10,IF(110=$HJ10,IF($JC10=2,30,0),IF(110=$HK10,IF($JC10=1,30,0),ABS(14-$HC10)*100)),100000+ABS(5-$HB10)*1000+140)),IF($HD10=0,999999,IF(5=$HE10,IF(110=$HL10,IF($JD10=2,30,0),IF(110=$HM10,IF($JD10=1,30,0),ABS(14-$HF10)*100)),100000+ABS(5-$HE10)*1000+140)),IF($HG10=0,999999,IF(5=$HH10,IF(110=$HN10,IF($JE10=2,30,0),IF(110=$HO10,IF($JE10=1,30,0),ABS(14-$HI10)*100)),100000+ABS(5-$HH10)*1000+140)))-IF((110=$HJ10)+(110=$HK10)+(110=$HL10)+(110=$HM10)+(110=$HN10)+(110=$HO10)&gt;=2,50,0))+DI$5*50)</f>
        <v/>
      </c>
      <c r="DJ130">
        <f>IF(OR($JF10=0,calcA!$A$6=0),0,IF(OR(111=$HA10,111=$HD10,111=$HG10),200000,MIN(IF($HA10=0,999999,IF(5=$HB10,IF(111=$HJ10,IF($JC10=2,30,0),IF(111=$HK10,IF($JC10=1,30,0),ABS(15-$HC10)*100)),100000+ABS(5-$HB10)*1000+150)),IF($HD10=0,999999,IF(5=$HE10,IF(111=$HL10,IF($JD10=2,30,0),IF(111=$HM10,IF($JD10=1,30,0),ABS(15-$HF10)*100)),100000+ABS(5-$HE10)*1000+150)),IF($HG10=0,999999,IF(5=$HH10,IF(111=$HN10,IF($JE10=2,30,0),IF(111=$HO10,IF($JE10=1,30,0),ABS(15-$HI10)*100)),100000+ABS(5-$HH10)*1000+150)))-IF((111=$HJ10)+(111=$HK10)+(111=$HL10)+(111=$HM10)+(111=$HN10)+(111=$HO10)&gt;=2,50,0))+DJ$5*50)</f>
        <v/>
      </c>
      <c r="DK130">
        <f>IF(OR($JF10=0,calcA!$A$6=0),0,IF(OR(112=$HA10,112=$HD10,112=$HG10),200000,MIN(IF($HA10=0,999999,IF(5=$HB10,IF(112=$HJ10,IF($JC10=2,30,0),IF(112=$HK10,IF($JC10=1,30,0),ABS(16-$HC10)*100)),100000+ABS(5-$HB10)*1000+160)),IF($HD10=0,999999,IF(5=$HE10,IF(112=$HL10,IF($JD10=2,30,0),IF(112=$HM10,IF($JD10=1,30,0),ABS(16-$HF10)*100)),100000+ABS(5-$HE10)*1000+160)),IF($HG10=0,999999,IF(5=$HH10,IF(112=$HN10,IF($JE10=2,30,0),IF(112=$HO10,IF($JE10=1,30,0),ABS(16-$HI10)*100)),100000+ABS(5-$HH10)*1000+160)))-IF((112=$HJ10)+(112=$HK10)+(112=$HL10)+(112=$HM10)+(112=$HN10)+(112=$HO10)&gt;=2,50,0))+DK$5*50)</f>
        <v/>
      </c>
      <c r="DL130">
        <f>IF(OR($JF10=0,calcA!$A$6=0),0,IF(OR(113=$HA10,113=$HD10,113=$HG10),200000,MIN(IF($HA10=0,999999,IF(5=$HB10,IF(113=$HJ10,IF($JC10=2,30,0),IF(113=$HK10,IF($JC10=1,30,0),ABS(17-$HC10)*100)),100000+ABS(5-$HB10)*1000+170)),IF($HD10=0,999999,IF(5=$HE10,IF(113=$HL10,IF($JD10=2,30,0),IF(113=$HM10,IF($JD10=1,30,0),ABS(17-$HF10)*100)),100000+ABS(5-$HE10)*1000+170)),IF($HG10=0,999999,IF(5=$HH10,IF(113=$HN10,IF($JE10=2,30,0),IF(113=$HO10,IF($JE10=1,30,0),ABS(17-$HI10)*100)),100000+ABS(5-$HH10)*1000+170)))-IF((113=$HJ10)+(113=$HK10)+(113=$HL10)+(113=$HM10)+(113=$HN10)+(113=$HO10)&gt;=2,50,0))+DL$5*50)</f>
        <v/>
      </c>
      <c r="DM130">
        <f>IF(OR($JF10=0,calcA!$A$6=0),0,IF(OR(114=$HA10,114=$HD10,114=$HG10),200000,MIN(IF($HA10=0,999999,IF(5=$HB10,IF(114=$HJ10,IF($JC10=2,30,0),IF(114=$HK10,IF($JC10=1,30,0),ABS(18-$HC10)*100)),100000+ABS(5-$HB10)*1000+180)),IF($HD10=0,999999,IF(5=$HE10,IF(114=$HL10,IF($JD10=2,30,0),IF(114=$HM10,IF($JD10=1,30,0),ABS(18-$HF10)*100)),100000+ABS(5-$HE10)*1000+180)),IF($HG10=0,999999,IF(5=$HH10,IF(114=$HN10,IF($JE10=2,30,0),IF(114=$HO10,IF($JE10=1,30,0),ABS(18-$HI10)*100)),100000+ABS(5-$HH10)*1000+180)))-IF((114=$HJ10)+(114=$HK10)+(114=$HL10)+(114=$HM10)+(114=$HN10)+(114=$HO10)&gt;=2,50,0))+DM$5*50)</f>
        <v/>
      </c>
      <c r="DN130">
        <f>IF(OR($JF10=0,calcA!$A$6=0),0,IF(OR(115=$HA10,115=$HD10,115=$HG10),200000,MIN(IF($HA10=0,999999,IF(5=$HB10,IF(115=$HJ10,IF($JC10=2,30,0),IF(115=$HK10,IF($JC10=1,30,0),ABS(19-$HC10)*100)),100000+ABS(5-$HB10)*1000+190)),IF($HD10=0,999999,IF(5=$HE10,IF(115=$HL10,IF($JD10=2,30,0),IF(115=$HM10,IF($JD10=1,30,0),ABS(19-$HF10)*100)),100000+ABS(5-$HE10)*1000+190)),IF($HG10=0,999999,IF(5=$HH10,IF(115=$HN10,IF($JE10=2,30,0),IF(115=$HO10,IF($JE10=1,30,0),ABS(19-$HI10)*100)),100000+ABS(5-$HH10)*1000+190)))-IF((115=$HJ10)+(115=$HK10)+(115=$HL10)+(115=$HM10)+(115=$HN10)+(115=$HO10)&gt;=2,50,0))+DN$5*50)</f>
        <v/>
      </c>
      <c r="DO130">
        <f>IF(OR($JF10=0,calcA!$A$6=0),0,IF(OR(116=$HA10,116=$HD10,116=$HG10),200000,MIN(IF($HA10=0,999999,IF(5=$HB10,IF(116=$HJ10,IF($JC10=2,30,0),IF(116=$HK10,IF($JC10=1,30,0),ABS(20-$HC10)*100)),100000+ABS(5-$HB10)*1000+200)),IF($HD10=0,999999,IF(5=$HE10,IF(116=$HL10,IF($JD10=2,30,0),IF(116=$HM10,IF($JD10=1,30,0),ABS(20-$HF10)*100)),100000+ABS(5-$HE10)*1000+200)),IF($HG10=0,999999,IF(5=$HH10,IF(116=$HN10,IF($JE10=2,30,0),IF(116=$HO10,IF($JE10=1,30,0),ABS(20-$HI10)*100)),100000+ABS(5-$HH10)*1000+200)))-IF((116=$HJ10)+(116=$HK10)+(116=$HL10)+(116=$HM10)+(116=$HN10)+(116=$HO10)&gt;=2,50,0))+DO$5*50)</f>
        <v/>
      </c>
      <c r="DP130">
        <f>IF(OR($JF10=0,calcA!$A$6=0),0,IF(OR(117=$HA10,117=$HD10,117=$HG10),200000,MIN(IF($HA10=0,999999,IF(5=$HB10,IF(117=$HJ10,IF($JC10=2,30,0),IF(117=$HK10,IF($JC10=1,30,0),ABS(21-$HC10)*100)),100000+ABS(5-$HB10)*1000+210)),IF($HD10=0,999999,IF(5=$HE10,IF(117=$HL10,IF($JD10=2,30,0),IF(117=$HM10,IF($JD10=1,30,0),ABS(21-$HF10)*100)),100000+ABS(5-$HE10)*1000+210)),IF($HG10=0,999999,IF(5=$HH10,IF(117=$HN10,IF($JE10=2,30,0),IF(117=$HO10,IF($JE10=1,30,0),ABS(21-$HI10)*100)),100000+ABS(5-$HH10)*1000+210)))-IF((117=$HJ10)+(117=$HK10)+(117=$HL10)+(117=$HM10)+(117=$HN10)+(117=$HO10)&gt;=2,50,0))+DP$5*50)</f>
        <v/>
      </c>
      <c r="DQ130">
        <f>IF(OR($JF10=0,calcA!$A$6=0),0,IF(OR(118=$HA10,118=$HD10,118=$HG10),200000,MIN(IF($HA10=0,999999,IF(5=$HB10,IF(118=$HJ10,IF($JC10=2,30,0),IF(118=$HK10,IF($JC10=1,30,0),ABS(22-$HC10)*100)),100000+ABS(5-$HB10)*1000+220)),IF($HD10=0,999999,IF(5=$HE10,IF(118=$HL10,IF($JD10=2,30,0),IF(118=$HM10,IF($JD10=1,30,0),ABS(22-$HF10)*100)),100000+ABS(5-$HE10)*1000+220)),IF($HG10=0,999999,IF(5=$HH10,IF(118=$HN10,IF($JE10=2,30,0),IF(118=$HO10,IF($JE10=1,30,0),ABS(22-$HI10)*100)),100000+ABS(5-$HH10)*1000+220)))-IF((118=$HJ10)+(118=$HK10)+(118=$HL10)+(118=$HM10)+(118=$HN10)+(118=$HO10)&gt;=2,50,0))+DQ$5*50)</f>
        <v/>
      </c>
      <c r="DR130">
        <f>IF(OR($JF10=0,calcA!$A$6=0),0,IF(OR(119=$HA10,119=$HD10,119=$HG10),200000,MIN(IF($HA10=0,999999,IF(5=$HB10,IF(119=$HJ10,IF($JC10=2,30,0),IF(119=$HK10,IF($JC10=1,30,0),ABS(23-$HC10)*100)),100000+ABS(5-$HB10)*1000+230)),IF($HD10=0,999999,IF(5=$HE10,IF(119=$HL10,IF($JD10=2,30,0),IF(119=$HM10,IF($JD10=1,30,0),ABS(23-$HF10)*100)),100000+ABS(5-$HE10)*1000+230)),IF($HG10=0,999999,IF(5=$HH10,IF(119=$HN10,IF($JE10=2,30,0),IF(119=$HO10,IF($JE10=1,30,0),ABS(23-$HI10)*100)),100000+ABS(5-$HH10)*1000+230)))-IF((119=$HJ10)+(119=$HK10)+(119=$HL10)+(119=$HM10)+(119=$HN10)+(119=$HO10)&gt;=2,50,0))+DR$5*50)</f>
        <v/>
      </c>
      <c r="DS130">
        <f>IF(OR($JF10=0,calcA!$A$6=0),0,IF(OR(120=$HA10,120=$HD10,120=$HG10),200000,MIN(IF($HA10=0,999999,IF(5=$HB10,IF(120=$HJ10,IF($JC10=2,30,0),IF(120=$HK10,IF($JC10=1,30,0),ABS(24-$HC10)*100)),100000+ABS(5-$HB10)*1000+240)),IF($HD10=0,999999,IF(5=$HE10,IF(120=$HL10,IF($JD10=2,30,0),IF(120=$HM10,IF($JD10=1,30,0),ABS(24-$HF10)*100)),100000+ABS(5-$HE10)*1000+240)),IF($HG10=0,999999,IF(5=$HH10,IF(120=$HN10,IF($JE10=2,30,0),IF(120=$HO10,IF($JE10=1,30,0),ABS(24-$HI10)*100)),100000+ABS(5-$HH10)*1000+240)))-IF((120=$HJ10)+(120=$HK10)+(120=$HL10)+(120=$HM10)+(120=$HN10)+(120=$HO10)&gt;=2,50,0))+DS$5*50)</f>
        <v/>
      </c>
      <c r="DT130">
        <f>IF(OR($JF10=0,calcA!$A$6=0),0,IF(OR(121=$HA10,121=$HD10,121=$HG10),200000,MIN(IF($HA10=0,999999,IF(6=$HB10,IF(121=$HJ10,IF($JC10=2,30,0),IF(121=$HK10,IF($JC10=1,30,0),ABS(1-$HC10)*100)),100000+ABS(6-$HB10)*1000+10)),IF($HD10=0,999999,IF(6=$HE10,IF(121=$HL10,IF($JD10=2,30,0),IF(121=$HM10,IF($JD10=1,30,0),ABS(1-$HF10)*100)),100000+ABS(6-$HE10)*1000+10)),IF($HG10=0,999999,IF(6=$HH10,IF(121=$HN10,IF($JE10=2,30,0),IF(121=$HO10,IF($JE10=1,30,0),ABS(1-$HI10)*100)),100000+ABS(6-$HH10)*1000+10)))-IF((121=$HJ10)+(121=$HK10)+(121=$HL10)+(121=$HM10)+(121=$HN10)+(121=$HO10)&gt;=2,50,0))+DT$5*50)</f>
        <v/>
      </c>
      <c r="DU130">
        <f>IF(OR($JF10=0,calcA!$A$6=0),0,IF(OR(122=$HA10,122=$HD10,122=$HG10),200000,MIN(IF($HA10=0,999999,IF(6=$HB10,IF(122=$HJ10,IF($JC10=2,30,0),IF(122=$HK10,IF($JC10=1,30,0),ABS(2-$HC10)*100)),100000+ABS(6-$HB10)*1000+20)),IF($HD10=0,999999,IF(6=$HE10,IF(122=$HL10,IF($JD10=2,30,0),IF(122=$HM10,IF($JD10=1,30,0),ABS(2-$HF10)*100)),100000+ABS(6-$HE10)*1000+20)),IF($HG10=0,999999,IF(6=$HH10,IF(122=$HN10,IF($JE10=2,30,0),IF(122=$HO10,IF($JE10=1,30,0),ABS(2-$HI10)*100)),100000+ABS(6-$HH10)*1000+20)))-IF((122=$HJ10)+(122=$HK10)+(122=$HL10)+(122=$HM10)+(122=$HN10)+(122=$HO10)&gt;=2,50,0))+DU$5*50)</f>
        <v/>
      </c>
      <c r="DV130">
        <f>IF(OR($JF10=0,calcA!$A$6=0),0,IF(OR(123=$HA10,123=$HD10,123=$HG10),200000,MIN(IF($HA10=0,999999,IF(6=$HB10,IF(123=$HJ10,IF($JC10=2,30,0),IF(123=$HK10,IF($JC10=1,30,0),ABS(3-$HC10)*100)),100000+ABS(6-$HB10)*1000+30)),IF($HD10=0,999999,IF(6=$HE10,IF(123=$HL10,IF($JD10=2,30,0),IF(123=$HM10,IF($JD10=1,30,0),ABS(3-$HF10)*100)),100000+ABS(6-$HE10)*1000+30)),IF($HG10=0,999999,IF(6=$HH10,IF(123=$HN10,IF($JE10=2,30,0),IF(123=$HO10,IF($JE10=1,30,0),ABS(3-$HI10)*100)),100000+ABS(6-$HH10)*1000+30)))-IF((123=$HJ10)+(123=$HK10)+(123=$HL10)+(123=$HM10)+(123=$HN10)+(123=$HO10)&gt;=2,50,0))+DV$5*50)</f>
        <v/>
      </c>
      <c r="DW130">
        <f>IF(OR($JF10=0,calcA!$A$6=0),0,IF(OR(124=$HA10,124=$HD10,124=$HG10),200000,MIN(IF($HA10=0,999999,IF(6=$HB10,IF(124=$HJ10,IF($JC10=2,30,0),IF(124=$HK10,IF($JC10=1,30,0),ABS(4-$HC10)*100)),100000+ABS(6-$HB10)*1000+40)),IF($HD10=0,999999,IF(6=$HE10,IF(124=$HL10,IF($JD10=2,30,0),IF(124=$HM10,IF($JD10=1,30,0),ABS(4-$HF10)*100)),100000+ABS(6-$HE10)*1000+40)),IF($HG10=0,999999,IF(6=$HH10,IF(124=$HN10,IF($JE10=2,30,0),IF(124=$HO10,IF($JE10=1,30,0),ABS(4-$HI10)*100)),100000+ABS(6-$HH10)*1000+40)))-IF((124=$HJ10)+(124=$HK10)+(124=$HL10)+(124=$HM10)+(124=$HN10)+(124=$HO10)&gt;=2,50,0))+DW$5*50)</f>
        <v/>
      </c>
      <c r="DX130">
        <f>IF(OR($JF10=0,calcA!$A$6=0),0,IF(OR(125=$HA10,125=$HD10,125=$HG10),200000,MIN(IF($HA10=0,999999,IF(6=$HB10,IF(125=$HJ10,IF($JC10=2,30,0),IF(125=$HK10,IF($JC10=1,30,0),ABS(5-$HC10)*100)),100000+ABS(6-$HB10)*1000+50)),IF($HD10=0,999999,IF(6=$HE10,IF(125=$HL10,IF($JD10=2,30,0),IF(125=$HM10,IF($JD10=1,30,0),ABS(5-$HF10)*100)),100000+ABS(6-$HE10)*1000+50)),IF($HG10=0,999999,IF(6=$HH10,IF(125=$HN10,IF($JE10=2,30,0),IF(125=$HO10,IF($JE10=1,30,0),ABS(5-$HI10)*100)),100000+ABS(6-$HH10)*1000+50)))-IF((125=$HJ10)+(125=$HK10)+(125=$HL10)+(125=$HM10)+(125=$HN10)+(125=$HO10)&gt;=2,50,0))+DX$5*50)</f>
        <v/>
      </c>
      <c r="DY130">
        <f>IF(OR($JF10=0,calcA!$A$6=0),0,IF(OR(126=$HA10,126=$HD10,126=$HG10),200000,MIN(IF($HA10=0,999999,IF(6=$HB10,IF(126=$HJ10,IF($JC10=2,30,0),IF(126=$HK10,IF($JC10=1,30,0),ABS(6-$HC10)*100)),100000+ABS(6-$HB10)*1000+60)),IF($HD10=0,999999,IF(6=$HE10,IF(126=$HL10,IF($JD10=2,30,0),IF(126=$HM10,IF($JD10=1,30,0),ABS(6-$HF10)*100)),100000+ABS(6-$HE10)*1000+60)),IF($HG10=0,999999,IF(6=$HH10,IF(126=$HN10,IF($JE10=2,30,0),IF(126=$HO10,IF($JE10=1,30,0),ABS(6-$HI10)*100)),100000+ABS(6-$HH10)*1000+60)))-IF((126=$HJ10)+(126=$HK10)+(126=$HL10)+(126=$HM10)+(126=$HN10)+(126=$HO10)&gt;=2,50,0))+DY$5*50)</f>
        <v/>
      </c>
      <c r="DZ130">
        <f>IF(OR($JF10=0,calcA!$A$6=0),0,IF(OR(127=$HA10,127=$HD10,127=$HG10),200000,MIN(IF($HA10=0,999999,IF(6=$HB10,IF(127=$HJ10,IF($JC10=2,30,0),IF(127=$HK10,IF($JC10=1,30,0),ABS(7-$HC10)*100)),100000+ABS(6-$HB10)*1000+70)),IF($HD10=0,999999,IF(6=$HE10,IF(127=$HL10,IF($JD10=2,30,0),IF(127=$HM10,IF($JD10=1,30,0),ABS(7-$HF10)*100)),100000+ABS(6-$HE10)*1000+70)),IF($HG10=0,999999,IF(6=$HH10,IF(127=$HN10,IF($JE10=2,30,0),IF(127=$HO10,IF($JE10=1,30,0),ABS(7-$HI10)*100)),100000+ABS(6-$HH10)*1000+70)))-IF((127=$HJ10)+(127=$HK10)+(127=$HL10)+(127=$HM10)+(127=$HN10)+(127=$HO10)&gt;=2,50,0))+DZ$5*50)</f>
        <v/>
      </c>
      <c r="EA130">
        <f>IF(OR($JF10=0,calcA!$A$6=0),0,IF(OR(128=$HA10,128=$HD10,128=$HG10),200000,MIN(IF($HA10=0,999999,IF(6=$HB10,IF(128=$HJ10,IF($JC10=2,30,0),IF(128=$HK10,IF($JC10=1,30,0),ABS(8-$HC10)*100)),100000+ABS(6-$HB10)*1000+80)),IF($HD10=0,999999,IF(6=$HE10,IF(128=$HL10,IF($JD10=2,30,0),IF(128=$HM10,IF($JD10=1,30,0),ABS(8-$HF10)*100)),100000+ABS(6-$HE10)*1000+80)),IF($HG10=0,999999,IF(6=$HH10,IF(128=$HN10,IF($JE10=2,30,0),IF(128=$HO10,IF($JE10=1,30,0),ABS(8-$HI10)*100)),100000+ABS(6-$HH10)*1000+80)))-IF((128=$HJ10)+(128=$HK10)+(128=$HL10)+(128=$HM10)+(128=$HN10)+(128=$HO10)&gt;=2,50,0))+EA$5*50)</f>
        <v/>
      </c>
      <c r="EB130">
        <f>IF(OR($JF10=0,calcA!$A$6=0),0,IF(OR(129=$HA10,129=$HD10,129=$HG10),200000,MIN(IF($HA10=0,999999,IF(6=$HB10,IF(129=$HJ10,IF($JC10=2,30,0),IF(129=$HK10,IF($JC10=1,30,0),ABS(9-$HC10)*100)),100000+ABS(6-$HB10)*1000+90)),IF($HD10=0,999999,IF(6=$HE10,IF(129=$HL10,IF($JD10=2,30,0),IF(129=$HM10,IF($JD10=1,30,0),ABS(9-$HF10)*100)),100000+ABS(6-$HE10)*1000+90)),IF($HG10=0,999999,IF(6=$HH10,IF(129=$HN10,IF($JE10=2,30,0),IF(129=$HO10,IF($JE10=1,30,0),ABS(9-$HI10)*100)),100000+ABS(6-$HH10)*1000+90)))-IF((129=$HJ10)+(129=$HK10)+(129=$HL10)+(129=$HM10)+(129=$HN10)+(129=$HO10)&gt;=2,50,0))+EB$5*50)</f>
        <v/>
      </c>
      <c r="EC130">
        <f>IF(OR($JF10=0,calcA!$A$6=0),0,IF(OR(130=$HA10,130=$HD10,130=$HG10),200000,MIN(IF($HA10=0,999999,IF(6=$HB10,IF(130=$HJ10,IF($JC10=2,30,0),IF(130=$HK10,IF($JC10=1,30,0),ABS(10-$HC10)*100)),100000+ABS(6-$HB10)*1000+100)),IF($HD10=0,999999,IF(6=$HE10,IF(130=$HL10,IF($JD10=2,30,0),IF(130=$HM10,IF($JD10=1,30,0),ABS(10-$HF10)*100)),100000+ABS(6-$HE10)*1000+100)),IF($HG10=0,999999,IF(6=$HH10,IF(130=$HN10,IF($JE10=2,30,0),IF(130=$HO10,IF($JE10=1,30,0),ABS(10-$HI10)*100)),100000+ABS(6-$HH10)*1000+100)))-IF((130=$HJ10)+(130=$HK10)+(130=$HL10)+(130=$HM10)+(130=$HN10)+(130=$HO10)&gt;=2,50,0))+EC$5*50)</f>
        <v/>
      </c>
      <c r="ED130">
        <f>IF(OR($JF10=0,calcA!$A$6=0),0,IF(OR(131=$HA10,131=$HD10,131=$HG10),200000,MIN(IF($HA10=0,999999,IF(6=$HB10,IF(131=$HJ10,IF($JC10=2,30,0),IF(131=$HK10,IF($JC10=1,30,0),ABS(11-$HC10)*100)),100000+ABS(6-$HB10)*1000+110)),IF($HD10=0,999999,IF(6=$HE10,IF(131=$HL10,IF($JD10=2,30,0),IF(131=$HM10,IF($JD10=1,30,0),ABS(11-$HF10)*100)),100000+ABS(6-$HE10)*1000+110)),IF($HG10=0,999999,IF(6=$HH10,IF(131=$HN10,IF($JE10=2,30,0),IF(131=$HO10,IF($JE10=1,30,0),ABS(11-$HI10)*100)),100000+ABS(6-$HH10)*1000+110)))-IF((131=$HJ10)+(131=$HK10)+(131=$HL10)+(131=$HM10)+(131=$HN10)+(131=$HO10)&gt;=2,50,0))+ED$5*50)</f>
        <v/>
      </c>
      <c r="EE130">
        <f>IF(OR($JF10=0,calcA!$A$6=0),0,IF(OR(132=$HA10,132=$HD10,132=$HG10),200000,MIN(IF($HA10=0,999999,IF(6=$HB10,IF(132=$HJ10,IF($JC10=2,30,0),IF(132=$HK10,IF($JC10=1,30,0),ABS(12-$HC10)*100)),100000+ABS(6-$HB10)*1000+120)),IF($HD10=0,999999,IF(6=$HE10,IF(132=$HL10,IF($JD10=2,30,0),IF(132=$HM10,IF($JD10=1,30,0),ABS(12-$HF10)*100)),100000+ABS(6-$HE10)*1000+120)),IF($HG10=0,999999,IF(6=$HH10,IF(132=$HN10,IF($JE10=2,30,0),IF(132=$HO10,IF($JE10=1,30,0),ABS(12-$HI10)*100)),100000+ABS(6-$HH10)*1000+120)))-IF((132=$HJ10)+(132=$HK10)+(132=$HL10)+(132=$HM10)+(132=$HN10)+(132=$HO10)&gt;=2,50,0))+EE$5*50)</f>
        <v/>
      </c>
      <c r="EF130">
        <f>IF(OR($JF10=0,calcA!$A$6=0),0,IF(OR(133=$HA10,133=$HD10,133=$HG10),200000,MIN(IF($HA10=0,999999,IF(6=$HB10,IF(133=$HJ10,IF($JC10=2,30,0),IF(133=$HK10,IF($JC10=1,30,0),ABS(13-$HC10)*100)),100000+ABS(6-$HB10)*1000+130)),IF($HD10=0,999999,IF(6=$HE10,IF(133=$HL10,IF($JD10=2,30,0),IF(133=$HM10,IF($JD10=1,30,0),ABS(13-$HF10)*100)),100000+ABS(6-$HE10)*1000+130)),IF($HG10=0,999999,IF(6=$HH10,IF(133=$HN10,IF($JE10=2,30,0),IF(133=$HO10,IF($JE10=1,30,0),ABS(13-$HI10)*100)),100000+ABS(6-$HH10)*1000+130)))-IF((133=$HJ10)+(133=$HK10)+(133=$HL10)+(133=$HM10)+(133=$HN10)+(133=$HO10)&gt;=2,50,0))+EF$5*50)</f>
        <v/>
      </c>
      <c r="EG130">
        <f>IF(OR($JF10=0,calcA!$A$6=0),0,IF(OR(134=$HA10,134=$HD10,134=$HG10),200000,MIN(IF($HA10=0,999999,IF(6=$HB10,IF(134=$HJ10,IF($JC10=2,30,0),IF(134=$HK10,IF($JC10=1,30,0),ABS(14-$HC10)*100)),100000+ABS(6-$HB10)*1000+140)),IF($HD10=0,999999,IF(6=$HE10,IF(134=$HL10,IF($JD10=2,30,0),IF(134=$HM10,IF($JD10=1,30,0),ABS(14-$HF10)*100)),100000+ABS(6-$HE10)*1000+140)),IF($HG10=0,999999,IF(6=$HH10,IF(134=$HN10,IF($JE10=2,30,0),IF(134=$HO10,IF($JE10=1,30,0),ABS(14-$HI10)*100)),100000+ABS(6-$HH10)*1000+140)))-IF((134=$HJ10)+(134=$HK10)+(134=$HL10)+(134=$HM10)+(134=$HN10)+(134=$HO10)&gt;=2,50,0))+EG$5*50)</f>
        <v/>
      </c>
      <c r="EH130">
        <f>IF(OR($JF10=0,calcA!$A$6=0),0,IF(OR(135=$HA10,135=$HD10,135=$HG10),200000,MIN(IF($HA10=0,999999,IF(6=$HB10,IF(135=$HJ10,IF($JC10=2,30,0),IF(135=$HK10,IF($JC10=1,30,0),ABS(15-$HC10)*100)),100000+ABS(6-$HB10)*1000+150)),IF($HD10=0,999999,IF(6=$HE10,IF(135=$HL10,IF($JD10=2,30,0),IF(135=$HM10,IF($JD10=1,30,0),ABS(15-$HF10)*100)),100000+ABS(6-$HE10)*1000+150)),IF($HG10=0,999999,IF(6=$HH10,IF(135=$HN10,IF($JE10=2,30,0),IF(135=$HO10,IF($JE10=1,30,0),ABS(15-$HI10)*100)),100000+ABS(6-$HH10)*1000+150)))-IF((135=$HJ10)+(135=$HK10)+(135=$HL10)+(135=$HM10)+(135=$HN10)+(135=$HO10)&gt;=2,50,0))+EH$5*50)</f>
        <v/>
      </c>
      <c r="EI130">
        <f>IF(OR($JF10=0,calcA!$A$6=0),0,IF(OR(136=$HA10,136=$HD10,136=$HG10),200000,MIN(IF($HA10=0,999999,IF(6=$HB10,IF(136=$HJ10,IF($JC10=2,30,0),IF(136=$HK10,IF($JC10=1,30,0),ABS(16-$HC10)*100)),100000+ABS(6-$HB10)*1000+160)),IF($HD10=0,999999,IF(6=$HE10,IF(136=$HL10,IF($JD10=2,30,0),IF(136=$HM10,IF($JD10=1,30,0),ABS(16-$HF10)*100)),100000+ABS(6-$HE10)*1000+160)),IF($HG10=0,999999,IF(6=$HH10,IF(136=$HN10,IF($JE10=2,30,0),IF(136=$HO10,IF($JE10=1,30,0),ABS(16-$HI10)*100)),100000+ABS(6-$HH10)*1000+160)))-IF((136=$HJ10)+(136=$HK10)+(136=$HL10)+(136=$HM10)+(136=$HN10)+(136=$HO10)&gt;=2,50,0))+EI$5*50)</f>
        <v/>
      </c>
      <c r="EJ130">
        <f>IF(OR($JF10=0,calcA!$A$6=0),0,IF(OR(137=$HA10,137=$HD10,137=$HG10),200000,MIN(IF($HA10=0,999999,IF(6=$HB10,IF(137=$HJ10,IF($JC10=2,30,0),IF(137=$HK10,IF($JC10=1,30,0),ABS(17-$HC10)*100)),100000+ABS(6-$HB10)*1000+170)),IF($HD10=0,999999,IF(6=$HE10,IF(137=$HL10,IF($JD10=2,30,0),IF(137=$HM10,IF($JD10=1,30,0),ABS(17-$HF10)*100)),100000+ABS(6-$HE10)*1000+170)),IF($HG10=0,999999,IF(6=$HH10,IF(137=$HN10,IF($JE10=2,30,0),IF(137=$HO10,IF($JE10=1,30,0),ABS(17-$HI10)*100)),100000+ABS(6-$HH10)*1000+170)))-IF((137=$HJ10)+(137=$HK10)+(137=$HL10)+(137=$HM10)+(137=$HN10)+(137=$HO10)&gt;=2,50,0))+EJ$5*50)</f>
        <v/>
      </c>
      <c r="EK130">
        <f>IF(OR($JF10=0,calcA!$A$6=0),0,IF(OR(138=$HA10,138=$HD10,138=$HG10),200000,MIN(IF($HA10=0,999999,IF(6=$HB10,IF(138=$HJ10,IF($JC10=2,30,0),IF(138=$HK10,IF($JC10=1,30,0),ABS(18-$HC10)*100)),100000+ABS(6-$HB10)*1000+180)),IF($HD10=0,999999,IF(6=$HE10,IF(138=$HL10,IF($JD10=2,30,0),IF(138=$HM10,IF($JD10=1,30,0),ABS(18-$HF10)*100)),100000+ABS(6-$HE10)*1000+180)),IF($HG10=0,999999,IF(6=$HH10,IF(138=$HN10,IF($JE10=2,30,0),IF(138=$HO10,IF($JE10=1,30,0),ABS(18-$HI10)*100)),100000+ABS(6-$HH10)*1000+180)))-IF((138=$HJ10)+(138=$HK10)+(138=$HL10)+(138=$HM10)+(138=$HN10)+(138=$HO10)&gt;=2,50,0))+EK$5*50)</f>
        <v/>
      </c>
      <c r="EL130">
        <f>IF(OR($JF10=0,calcA!$A$6=0),0,IF(OR(139=$HA10,139=$HD10,139=$HG10),200000,MIN(IF($HA10=0,999999,IF(6=$HB10,IF(139=$HJ10,IF($JC10=2,30,0),IF(139=$HK10,IF($JC10=1,30,0),ABS(19-$HC10)*100)),100000+ABS(6-$HB10)*1000+190)),IF($HD10=0,999999,IF(6=$HE10,IF(139=$HL10,IF($JD10=2,30,0),IF(139=$HM10,IF($JD10=1,30,0),ABS(19-$HF10)*100)),100000+ABS(6-$HE10)*1000+190)),IF($HG10=0,999999,IF(6=$HH10,IF(139=$HN10,IF($JE10=2,30,0),IF(139=$HO10,IF($JE10=1,30,0),ABS(19-$HI10)*100)),100000+ABS(6-$HH10)*1000+190)))-IF((139=$HJ10)+(139=$HK10)+(139=$HL10)+(139=$HM10)+(139=$HN10)+(139=$HO10)&gt;=2,50,0))+EL$5*50)</f>
        <v/>
      </c>
      <c r="EM130">
        <f>IF(OR($JF10=0,calcA!$A$6=0),0,IF(OR(140=$HA10,140=$HD10,140=$HG10),200000,MIN(IF($HA10=0,999999,IF(6=$HB10,IF(140=$HJ10,IF($JC10=2,30,0),IF(140=$HK10,IF($JC10=1,30,0),ABS(20-$HC10)*100)),100000+ABS(6-$HB10)*1000+200)),IF($HD10=0,999999,IF(6=$HE10,IF(140=$HL10,IF($JD10=2,30,0),IF(140=$HM10,IF($JD10=1,30,0),ABS(20-$HF10)*100)),100000+ABS(6-$HE10)*1000+200)),IF($HG10=0,999999,IF(6=$HH10,IF(140=$HN10,IF($JE10=2,30,0),IF(140=$HO10,IF($JE10=1,30,0),ABS(20-$HI10)*100)),100000+ABS(6-$HH10)*1000+200)))-IF((140=$HJ10)+(140=$HK10)+(140=$HL10)+(140=$HM10)+(140=$HN10)+(140=$HO10)&gt;=2,50,0))+EM$5*50)</f>
        <v/>
      </c>
      <c r="EN130">
        <f>IF(OR($JF10=0,calcA!$A$6=0),0,IF(OR(141=$HA10,141=$HD10,141=$HG10),200000,MIN(IF($HA10=0,999999,IF(6=$HB10,IF(141=$HJ10,IF($JC10=2,30,0),IF(141=$HK10,IF($JC10=1,30,0),ABS(21-$HC10)*100)),100000+ABS(6-$HB10)*1000+210)),IF($HD10=0,999999,IF(6=$HE10,IF(141=$HL10,IF($JD10=2,30,0),IF(141=$HM10,IF($JD10=1,30,0),ABS(21-$HF10)*100)),100000+ABS(6-$HE10)*1000+210)),IF($HG10=0,999999,IF(6=$HH10,IF(141=$HN10,IF($JE10=2,30,0),IF(141=$HO10,IF($JE10=1,30,0),ABS(21-$HI10)*100)),100000+ABS(6-$HH10)*1000+210)))-IF((141=$HJ10)+(141=$HK10)+(141=$HL10)+(141=$HM10)+(141=$HN10)+(141=$HO10)&gt;=2,50,0))+EN$5*50)</f>
        <v/>
      </c>
      <c r="EO130">
        <f>IF(OR($JF10=0,calcA!$A$6=0),0,IF(OR(142=$HA10,142=$HD10,142=$HG10),200000,MIN(IF($HA10=0,999999,IF(6=$HB10,IF(142=$HJ10,IF($JC10=2,30,0),IF(142=$HK10,IF($JC10=1,30,0),ABS(22-$HC10)*100)),100000+ABS(6-$HB10)*1000+220)),IF($HD10=0,999999,IF(6=$HE10,IF(142=$HL10,IF($JD10=2,30,0),IF(142=$HM10,IF($JD10=1,30,0),ABS(22-$HF10)*100)),100000+ABS(6-$HE10)*1000+220)),IF($HG10=0,999999,IF(6=$HH10,IF(142=$HN10,IF($JE10=2,30,0),IF(142=$HO10,IF($JE10=1,30,0),ABS(22-$HI10)*100)),100000+ABS(6-$HH10)*1000+220)))-IF((142=$HJ10)+(142=$HK10)+(142=$HL10)+(142=$HM10)+(142=$HN10)+(142=$HO10)&gt;=2,50,0))+EO$5*50)</f>
        <v/>
      </c>
      <c r="EP130">
        <f>IF(OR($JF10=0,calcA!$A$6=0),0,IF(OR(143=$HA10,143=$HD10,143=$HG10),200000,MIN(IF($HA10=0,999999,IF(6=$HB10,IF(143=$HJ10,IF($JC10=2,30,0),IF(143=$HK10,IF($JC10=1,30,0),ABS(23-$HC10)*100)),100000+ABS(6-$HB10)*1000+230)),IF($HD10=0,999999,IF(6=$HE10,IF(143=$HL10,IF($JD10=2,30,0),IF(143=$HM10,IF($JD10=1,30,0),ABS(23-$HF10)*100)),100000+ABS(6-$HE10)*1000+230)),IF($HG10=0,999999,IF(6=$HH10,IF(143=$HN10,IF($JE10=2,30,0),IF(143=$HO10,IF($JE10=1,30,0),ABS(23-$HI10)*100)),100000+ABS(6-$HH10)*1000+230)))-IF((143=$HJ10)+(143=$HK10)+(143=$HL10)+(143=$HM10)+(143=$HN10)+(143=$HO10)&gt;=2,50,0))+EP$5*50)</f>
        <v/>
      </c>
      <c r="EQ130">
        <f>IF(OR($JF10=0,calcA!$A$6=0),0,IF(OR(144=$HA10,144=$HD10,144=$HG10),200000,MIN(IF($HA10=0,999999,IF(6=$HB10,IF(144=$HJ10,IF($JC10=2,30,0),IF(144=$HK10,IF($JC10=1,30,0),ABS(24-$HC10)*100)),100000+ABS(6-$HB10)*1000+240)),IF($HD10=0,999999,IF(6=$HE10,IF(144=$HL10,IF($JD10=2,30,0),IF(144=$HM10,IF($JD10=1,30,0),ABS(24-$HF10)*100)),100000+ABS(6-$HE10)*1000+240)),IF($HG10=0,999999,IF(6=$HH10,IF(144=$HN10,IF($JE10=2,30,0),IF(144=$HO10,IF($JE10=1,30,0),ABS(24-$HI10)*100)),100000+ABS(6-$HH10)*1000+240)))-IF((144=$HJ10)+(144=$HK10)+(144=$HL10)+(144=$HM10)+(144=$HN10)+(144=$HO10)&gt;=2,50,0))+EQ$5*50)</f>
        <v/>
      </c>
    </row>
    <row r="131">
      <c r="D131">
        <f>IF(OR($JF11=0,calcA!$A$6=0),0,IF(OR(1=$HA11,1=$HD11,1=$HG11),200000,MIN(IF($HA11=0,999999,IF(1=$HB11,IF(1=$HJ11,IF($JC11=2,30,0),IF(1=$HK11,IF($JC11=1,30,0),ABS(1-$HC11)*100)),100000+ABS(1-$HB11)*1000+10)),IF($HD11=0,999999,IF(1=$HE11,IF(1=$HL11,IF($JD11=2,30,0),IF(1=$HM11,IF($JD11=1,30,0),ABS(1-$HF11)*100)),100000+ABS(1-$HE11)*1000+10)),IF($HG11=0,999999,IF(1=$HH11,IF(1=$HN11,IF($JE11=2,30,0),IF(1=$HO11,IF($JE11=1,30,0),ABS(1-$HI11)*100)),100000+ABS(1-$HH11)*1000+10)))-IF((1=$HJ11)+(1=$HK11)+(1=$HL11)+(1=$HM11)+(1=$HN11)+(1=$HO11)&gt;=2,50,0))+D$5*50)</f>
        <v/>
      </c>
      <c r="E131">
        <f>IF(OR($JF11=0,calcA!$A$6=0),0,IF(OR(2=$HA11,2=$HD11,2=$HG11),200000,MIN(IF($HA11=0,999999,IF(1=$HB11,IF(2=$HJ11,IF($JC11=2,30,0),IF(2=$HK11,IF($JC11=1,30,0),ABS(2-$HC11)*100)),100000+ABS(1-$HB11)*1000+20)),IF($HD11=0,999999,IF(1=$HE11,IF(2=$HL11,IF($JD11=2,30,0),IF(2=$HM11,IF($JD11=1,30,0),ABS(2-$HF11)*100)),100000+ABS(1-$HE11)*1000+20)),IF($HG11=0,999999,IF(1=$HH11,IF(2=$HN11,IF($JE11=2,30,0),IF(2=$HO11,IF($JE11=1,30,0),ABS(2-$HI11)*100)),100000+ABS(1-$HH11)*1000+20)))-IF((2=$HJ11)+(2=$HK11)+(2=$HL11)+(2=$HM11)+(2=$HN11)+(2=$HO11)&gt;=2,50,0))+E$5*50)</f>
        <v/>
      </c>
      <c r="F131">
        <f>IF(OR($JF11=0,calcA!$A$6=0),0,IF(OR(3=$HA11,3=$HD11,3=$HG11),200000,MIN(IF($HA11=0,999999,IF(1=$HB11,IF(3=$HJ11,IF($JC11=2,30,0),IF(3=$HK11,IF($JC11=1,30,0),ABS(3-$HC11)*100)),100000+ABS(1-$HB11)*1000+30)),IF($HD11=0,999999,IF(1=$HE11,IF(3=$HL11,IF($JD11=2,30,0),IF(3=$HM11,IF($JD11=1,30,0),ABS(3-$HF11)*100)),100000+ABS(1-$HE11)*1000+30)),IF($HG11=0,999999,IF(1=$HH11,IF(3=$HN11,IF($JE11=2,30,0),IF(3=$HO11,IF($JE11=1,30,0),ABS(3-$HI11)*100)),100000+ABS(1-$HH11)*1000+30)))-IF((3=$HJ11)+(3=$HK11)+(3=$HL11)+(3=$HM11)+(3=$HN11)+(3=$HO11)&gt;=2,50,0))+F$5*50)</f>
        <v/>
      </c>
      <c r="G131">
        <f>IF(OR($JF11=0,calcA!$A$6=0),0,IF(OR(4=$HA11,4=$HD11,4=$HG11),200000,MIN(IF($HA11=0,999999,IF(1=$HB11,IF(4=$HJ11,IF($JC11=2,30,0),IF(4=$HK11,IF($JC11=1,30,0),ABS(4-$HC11)*100)),100000+ABS(1-$HB11)*1000+40)),IF($HD11=0,999999,IF(1=$HE11,IF(4=$HL11,IF($JD11=2,30,0),IF(4=$HM11,IF($JD11=1,30,0),ABS(4-$HF11)*100)),100000+ABS(1-$HE11)*1000+40)),IF($HG11=0,999999,IF(1=$HH11,IF(4=$HN11,IF($JE11=2,30,0),IF(4=$HO11,IF($JE11=1,30,0),ABS(4-$HI11)*100)),100000+ABS(1-$HH11)*1000+40)))-IF((4=$HJ11)+(4=$HK11)+(4=$HL11)+(4=$HM11)+(4=$HN11)+(4=$HO11)&gt;=2,50,0))+G$5*50)</f>
        <v/>
      </c>
      <c r="H131">
        <f>IF(OR($JF11=0,calcA!$A$6=0),0,IF(OR(5=$HA11,5=$HD11,5=$HG11),200000,MIN(IF($HA11=0,999999,IF(1=$HB11,IF(5=$HJ11,IF($JC11=2,30,0),IF(5=$HK11,IF($JC11=1,30,0),ABS(5-$HC11)*100)),100000+ABS(1-$HB11)*1000+50)),IF($HD11=0,999999,IF(1=$HE11,IF(5=$HL11,IF($JD11=2,30,0),IF(5=$HM11,IF($JD11=1,30,0),ABS(5-$HF11)*100)),100000+ABS(1-$HE11)*1000+50)),IF($HG11=0,999999,IF(1=$HH11,IF(5=$HN11,IF($JE11=2,30,0),IF(5=$HO11,IF($JE11=1,30,0),ABS(5-$HI11)*100)),100000+ABS(1-$HH11)*1000+50)))-IF((5=$HJ11)+(5=$HK11)+(5=$HL11)+(5=$HM11)+(5=$HN11)+(5=$HO11)&gt;=2,50,0))+H$5*50)</f>
        <v/>
      </c>
      <c r="I131">
        <f>IF(OR($JF11=0,calcA!$A$6=0),0,IF(OR(6=$HA11,6=$HD11,6=$HG11),200000,MIN(IF($HA11=0,999999,IF(1=$HB11,IF(6=$HJ11,IF($JC11=2,30,0),IF(6=$HK11,IF($JC11=1,30,0),ABS(6-$HC11)*100)),100000+ABS(1-$HB11)*1000+60)),IF($HD11=0,999999,IF(1=$HE11,IF(6=$HL11,IF($JD11=2,30,0),IF(6=$HM11,IF($JD11=1,30,0),ABS(6-$HF11)*100)),100000+ABS(1-$HE11)*1000+60)),IF($HG11=0,999999,IF(1=$HH11,IF(6=$HN11,IF($JE11=2,30,0),IF(6=$HO11,IF($JE11=1,30,0),ABS(6-$HI11)*100)),100000+ABS(1-$HH11)*1000+60)))-IF((6=$HJ11)+(6=$HK11)+(6=$HL11)+(6=$HM11)+(6=$HN11)+(6=$HO11)&gt;=2,50,0))+I$5*50)</f>
        <v/>
      </c>
      <c r="J131">
        <f>IF(OR($JF11=0,calcA!$A$6=0),0,IF(OR(7=$HA11,7=$HD11,7=$HG11),200000,MIN(IF($HA11=0,999999,IF(1=$HB11,IF(7=$HJ11,IF($JC11=2,30,0),IF(7=$HK11,IF($JC11=1,30,0),ABS(7-$HC11)*100)),100000+ABS(1-$HB11)*1000+70)),IF($HD11=0,999999,IF(1=$HE11,IF(7=$HL11,IF($JD11=2,30,0),IF(7=$HM11,IF($JD11=1,30,0),ABS(7-$HF11)*100)),100000+ABS(1-$HE11)*1000+70)),IF($HG11=0,999999,IF(1=$HH11,IF(7=$HN11,IF($JE11=2,30,0),IF(7=$HO11,IF($JE11=1,30,0),ABS(7-$HI11)*100)),100000+ABS(1-$HH11)*1000+70)))-IF((7=$HJ11)+(7=$HK11)+(7=$HL11)+(7=$HM11)+(7=$HN11)+(7=$HO11)&gt;=2,50,0))+J$5*50)</f>
        <v/>
      </c>
      <c r="K131">
        <f>IF(OR($JF11=0,calcA!$A$6=0),0,IF(OR(8=$HA11,8=$HD11,8=$HG11),200000,MIN(IF($HA11=0,999999,IF(1=$HB11,IF(8=$HJ11,IF($JC11=2,30,0),IF(8=$HK11,IF($JC11=1,30,0),ABS(8-$HC11)*100)),100000+ABS(1-$HB11)*1000+80)),IF($HD11=0,999999,IF(1=$HE11,IF(8=$HL11,IF($JD11=2,30,0),IF(8=$HM11,IF($JD11=1,30,0),ABS(8-$HF11)*100)),100000+ABS(1-$HE11)*1000+80)),IF($HG11=0,999999,IF(1=$HH11,IF(8=$HN11,IF($JE11=2,30,0),IF(8=$HO11,IF($JE11=1,30,0),ABS(8-$HI11)*100)),100000+ABS(1-$HH11)*1000+80)))-IF((8=$HJ11)+(8=$HK11)+(8=$HL11)+(8=$HM11)+(8=$HN11)+(8=$HO11)&gt;=2,50,0))+K$5*50)</f>
        <v/>
      </c>
      <c r="L131">
        <f>IF(OR($JF11=0,calcA!$A$6=0),0,IF(OR(9=$HA11,9=$HD11,9=$HG11),200000,MIN(IF($HA11=0,999999,IF(1=$HB11,IF(9=$HJ11,IF($JC11=2,30,0),IF(9=$HK11,IF($JC11=1,30,0),ABS(9-$HC11)*100)),100000+ABS(1-$HB11)*1000+90)),IF($HD11=0,999999,IF(1=$HE11,IF(9=$HL11,IF($JD11=2,30,0),IF(9=$HM11,IF($JD11=1,30,0),ABS(9-$HF11)*100)),100000+ABS(1-$HE11)*1000+90)),IF($HG11=0,999999,IF(1=$HH11,IF(9=$HN11,IF($JE11=2,30,0),IF(9=$HO11,IF($JE11=1,30,0),ABS(9-$HI11)*100)),100000+ABS(1-$HH11)*1000+90)))-IF((9=$HJ11)+(9=$HK11)+(9=$HL11)+(9=$HM11)+(9=$HN11)+(9=$HO11)&gt;=2,50,0))+L$5*50)</f>
        <v/>
      </c>
      <c r="M131">
        <f>IF(OR($JF11=0,calcA!$A$6=0),0,IF(OR(10=$HA11,10=$HD11,10=$HG11),200000,MIN(IF($HA11=0,999999,IF(1=$HB11,IF(10=$HJ11,IF($JC11=2,30,0),IF(10=$HK11,IF($JC11=1,30,0),ABS(10-$HC11)*100)),100000+ABS(1-$HB11)*1000+100)),IF($HD11=0,999999,IF(1=$HE11,IF(10=$HL11,IF($JD11=2,30,0),IF(10=$HM11,IF($JD11=1,30,0),ABS(10-$HF11)*100)),100000+ABS(1-$HE11)*1000+100)),IF($HG11=0,999999,IF(1=$HH11,IF(10=$HN11,IF($JE11=2,30,0),IF(10=$HO11,IF($JE11=1,30,0),ABS(10-$HI11)*100)),100000+ABS(1-$HH11)*1000+100)))-IF((10=$HJ11)+(10=$HK11)+(10=$HL11)+(10=$HM11)+(10=$HN11)+(10=$HO11)&gt;=2,50,0))+M$5*50)</f>
        <v/>
      </c>
      <c r="N131">
        <f>IF(OR($JF11=0,calcA!$A$6=0),0,IF(OR(11=$HA11,11=$HD11,11=$HG11),200000,MIN(IF($HA11=0,999999,IF(1=$HB11,IF(11=$HJ11,IF($JC11=2,30,0),IF(11=$HK11,IF($JC11=1,30,0),ABS(11-$HC11)*100)),100000+ABS(1-$HB11)*1000+110)),IF($HD11=0,999999,IF(1=$HE11,IF(11=$HL11,IF($JD11=2,30,0),IF(11=$HM11,IF($JD11=1,30,0),ABS(11-$HF11)*100)),100000+ABS(1-$HE11)*1000+110)),IF($HG11=0,999999,IF(1=$HH11,IF(11=$HN11,IF($JE11=2,30,0),IF(11=$HO11,IF($JE11=1,30,0),ABS(11-$HI11)*100)),100000+ABS(1-$HH11)*1000+110)))-IF((11=$HJ11)+(11=$HK11)+(11=$HL11)+(11=$HM11)+(11=$HN11)+(11=$HO11)&gt;=2,50,0))+N$5*50)</f>
        <v/>
      </c>
      <c r="O131">
        <f>IF(OR($JF11=0,calcA!$A$6=0),0,IF(OR(12=$HA11,12=$HD11,12=$HG11),200000,MIN(IF($HA11=0,999999,IF(1=$HB11,IF(12=$HJ11,IF($JC11=2,30,0),IF(12=$HK11,IF($JC11=1,30,0),ABS(12-$HC11)*100)),100000+ABS(1-$HB11)*1000+120)),IF($HD11=0,999999,IF(1=$HE11,IF(12=$HL11,IF($JD11=2,30,0),IF(12=$HM11,IF($JD11=1,30,0),ABS(12-$HF11)*100)),100000+ABS(1-$HE11)*1000+120)),IF($HG11=0,999999,IF(1=$HH11,IF(12=$HN11,IF($JE11=2,30,0),IF(12=$HO11,IF($JE11=1,30,0),ABS(12-$HI11)*100)),100000+ABS(1-$HH11)*1000+120)))-IF((12=$HJ11)+(12=$HK11)+(12=$HL11)+(12=$HM11)+(12=$HN11)+(12=$HO11)&gt;=2,50,0))+O$5*50)</f>
        <v/>
      </c>
      <c r="P131">
        <f>IF(OR($JF11=0,calcA!$A$6=0),0,IF(OR(13=$HA11,13=$HD11,13=$HG11),200000,MIN(IF($HA11=0,999999,IF(1=$HB11,IF(13=$HJ11,IF($JC11=2,30,0),IF(13=$HK11,IF($JC11=1,30,0),ABS(13-$HC11)*100)),100000+ABS(1-$HB11)*1000+130)),IF($HD11=0,999999,IF(1=$HE11,IF(13=$HL11,IF($JD11=2,30,0),IF(13=$HM11,IF($JD11=1,30,0),ABS(13-$HF11)*100)),100000+ABS(1-$HE11)*1000+130)),IF($HG11=0,999999,IF(1=$HH11,IF(13=$HN11,IF($JE11=2,30,0),IF(13=$HO11,IF($JE11=1,30,0),ABS(13-$HI11)*100)),100000+ABS(1-$HH11)*1000+130)))-IF((13=$HJ11)+(13=$HK11)+(13=$HL11)+(13=$HM11)+(13=$HN11)+(13=$HO11)&gt;=2,50,0))+P$5*50)</f>
        <v/>
      </c>
      <c r="Q131">
        <f>IF(OR($JF11=0,calcA!$A$6=0),0,IF(OR(14=$HA11,14=$HD11,14=$HG11),200000,MIN(IF($HA11=0,999999,IF(1=$HB11,IF(14=$HJ11,IF($JC11=2,30,0),IF(14=$HK11,IF($JC11=1,30,0),ABS(14-$HC11)*100)),100000+ABS(1-$HB11)*1000+140)),IF($HD11=0,999999,IF(1=$HE11,IF(14=$HL11,IF($JD11=2,30,0),IF(14=$HM11,IF($JD11=1,30,0),ABS(14-$HF11)*100)),100000+ABS(1-$HE11)*1000+140)),IF($HG11=0,999999,IF(1=$HH11,IF(14=$HN11,IF($JE11=2,30,0),IF(14=$HO11,IF($JE11=1,30,0),ABS(14-$HI11)*100)),100000+ABS(1-$HH11)*1000+140)))-IF((14=$HJ11)+(14=$HK11)+(14=$HL11)+(14=$HM11)+(14=$HN11)+(14=$HO11)&gt;=2,50,0))+Q$5*50)</f>
        <v/>
      </c>
      <c r="R131">
        <f>IF(OR($JF11=0,calcA!$A$6=0),0,IF(OR(15=$HA11,15=$HD11,15=$HG11),200000,MIN(IF($HA11=0,999999,IF(1=$HB11,IF(15=$HJ11,IF($JC11=2,30,0),IF(15=$HK11,IF($JC11=1,30,0),ABS(15-$HC11)*100)),100000+ABS(1-$HB11)*1000+150)),IF($HD11=0,999999,IF(1=$HE11,IF(15=$HL11,IF($JD11=2,30,0),IF(15=$HM11,IF($JD11=1,30,0),ABS(15-$HF11)*100)),100000+ABS(1-$HE11)*1000+150)),IF($HG11=0,999999,IF(1=$HH11,IF(15=$HN11,IF($JE11=2,30,0),IF(15=$HO11,IF($JE11=1,30,0),ABS(15-$HI11)*100)),100000+ABS(1-$HH11)*1000+150)))-IF((15=$HJ11)+(15=$HK11)+(15=$HL11)+(15=$HM11)+(15=$HN11)+(15=$HO11)&gt;=2,50,0))+R$5*50)</f>
        <v/>
      </c>
      <c r="S131">
        <f>IF(OR($JF11=0,calcA!$A$6=0),0,IF(OR(16=$HA11,16=$HD11,16=$HG11),200000,MIN(IF($HA11=0,999999,IF(1=$HB11,IF(16=$HJ11,IF($JC11=2,30,0),IF(16=$HK11,IF($JC11=1,30,0),ABS(16-$HC11)*100)),100000+ABS(1-$HB11)*1000+160)),IF($HD11=0,999999,IF(1=$HE11,IF(16=$HL11,IF($JD11=2,30,0),IF(16=$HM11,IF($JD11=1,30,0),ABS(16-$HF11)*100)),100000+ABS(1-$HE11)*1000+160)),IF($HG11=0,999999,IF(1=$HH11,IF(16=$HN11,IF($JE11=2,30,0),IF(16=$HO11,IF($JE11=1,30,0),ABS(16-$HI11)*100)),100000+ABS(1-$HH11)*1000+160)))-IF((16=$HJ11)+(16=$HK11)+(16=$HL11)+(16=$HM11)+(16=$HN11)+(16=$HO11)&gt;=2,50,0))+S$5*50)</f>
        <v/>
      </c>
      <c r="T131">
        <f>IF(OR($JF11=0,calcA!$A$6=0),0,IF(OR(17=$HA11,17=$HD11,17=$HG11),200000,MIN(IF($HA11=0,999999,IF(1=$HB11,IF(17=$HJ11,IF($JC11=2,30,0),IF(17=$HK11,IF($JC11=1,30,0),ABS(17-$HC11)*100)),100000+ABS(1-$HB11)*1000+170)),IF($HD11=0,999999,IF(1=$HE11,IF(17=$HL11,IF($JD11=2,30,0),IF(17=$HM11,IF($JD11=1,30,0),ABS(17-$HF11)*100)),100000+ABS(1-$HE11)*1000+170)),IF($HG11=0,999999,IF(1=$HH11,IF(17=$HN11,IF($JE11=2,30,0),IF(17=$HO11,IF($JE11=1,30,0),ABS(17-$HI11)*100)),100000+ABS(1-$HH11)*1000+170)))-IF((17=$HJ11)+(17=$HK11)+(17=$HL11)+(17=$HM11)+(17=$HN11)+(17=$HO11)&gt;=2,50,0))+T$5*50)</f>
        <v/>
      </c>
      <c r="U131">
        <f>IF(OR($JF11=0,calcA!$A$6=0),0,IF(OR(18=$HA11,18=$HD11,18=$HG11),200000,MIN(IF($HA11=0,999999,IF(1=$HB11,IF(18=$HJ11,IF($JC11=2,30,0),IF(18=$HK11,IF($JC11=1,30,0),ABS(18-$HC11)*100)),100000+ABS(1-$HB11)*1000+180)),IF($HD11=0,999999,IF(1=$HE11,IF(18=$HL11,IF($JD11=2,30,0),IF(18=$HM11,IF($JD11=1,30,0),ABS(18-$HF11)*100)),100000+ABS(1-$HE11)*1000+180)),IF($HG11=0,999999,IF(1=$HH11,IF(18=$HN11,IF($JE11=2,30,0),IF(18=$HO11,IF($JE11=1,30,0),ABS(18-$HI11)*100)),100000+ABS(1-$HH11)*1000+180)))-IF((18=$HJ11)+(18=$HK11)+(18=$HL11)+(18=$HM11)+(18=$HN11)+(18=$HO11)&gt;=2,50,0))+U$5*50)</f>
        <v/>
      </c>
      <c r="V131">
        <f>IF(OR($JF11=0,calcA!$A$6=0),0,IF(OR(19=$HA11,19=$HD11,19=$HG11),200000,MIN(IF($HA11=0,999999,IF(1=$HB11,IF(19=$HJ11,IF($JC11=2,30,0),IF(19=$HK11,IF($JC11=1,30,0),ABS(19-$HC11)*100)),100000+ABS(1-$HB11)*1000+190)),IF($HD11=0,999999,IF(1=$HE11,IF(19=$HL11,IF($JD11=2,30,0),IF(19=$HM11,IF($JD11=1,30,0),ABS(19-$HF11)*100)),100000+ABS(1-$HE11)*1000+190)),IF($HG11=0,999999,IF(1=$HH11,IF(19=$HN11,IF($JE11=2,30,0),IF(19=$HO11,IF($JE11=1,30,0),ABS(19-$HI11)*100)),100000+ABS(1-$HH11)*1000+190)))-IF((19=$HJ11)+(19=$HK11)+(19=$HL11)+(19=$HM11)+(19=$HN11)+(19=$HO11)&gt;=2,50,0))+V$5*50)</f>
        <v/>
      </c>
      <c r="W131">
        <f>IF(OR($JF11=0,calcA!$A$6=0),0,IF(OR(20=$HA11,20=$HD11,20=$HG11),200000,MIN(IF($HA11=0,999999,IF(1=$HB11,IF(20=$HJ11,IF($JC11=2,30,0),IF(20=$HK11,IF($JC11=1,30,0),ABS(20-$HC11)*100)),100000+ABS(1-$HB11)*1000+200)),IF($HD11=0,999999,IF(1=$HE11,IF(20=$HL11,IF($JD11=2,30,0),IF(20=$HM11,IF($JD11=1,30,0),ABS(20-$HF11)*100)),100000+ABS(1-$HE11)*1000+200)),IF($HG11=0,999999,IF(1=$HH11,IF(20=$HN11,IF($JE11=2,30,0),IF(20=$HO11,IF($JE11=1,30,0),ABS(20-$HI11)*100)),100000+ABS(1-$HH11)*1000+200)))-IF((20=$HJ11)+(20=$HK11)+(20=$HL11)+(20=$HM11)+(20=$HN11)+(20=$HO11)&gt;=2,50,0))+W$5*50)</f>
        <v/>
      </c>
      <c r="X131">
        <f>IF(OR($JF11=0,calcA!$A$6=0),0,IF(OR(21=$HA11,21=$HD11,21=$HG11),200000,MIN(IF($HA11=0,999999,IF(1=$HB11,IF(21=$HJ11,IF($JC11=2,30,0),IF(21=$HK11,IF($JC11=1,30,0),ABS(21-$HC11)*100)),100000+ABS(1-$HB11)*1000+210)),IF($HD11=0,999999,IF(1=$HE11,IF(21=$HL11,IF($JD11=2,30,0),IF(21=$HM11,IF($JD11=1,30,0),ABS(21-$HF11)*100)),100000+ABS(1-$HE11)*1000+210)),IF($HG11=0,999999,IF(1=$HH11,IF(21=$HN11,IF($JE11=2,30,0),IF(21=$HO11,IF($JE11=1,30,0),ABS(21-$HI11)*100)),100000+ABS(1-$HH11)*1000+210)))-IF((21=$HJ11)+(21=$HK11)+(21=$HL11)+(21=$HM11)+(21=$HN11)+(21=$HO11)&gt;=2,50,0))+X$5*50)</f>
        <v/>
      </c>
      <c r="Y131">
        <f>IF(OR($JF11=0,calcA!$A$6=0),0,IF(OR(22=$HA11,22=$HD11,22=$HG11),200000,MIN(IF($HA11=0,999999,IF(1=$HB11,IF(22=$HJ11,IF($JC11=2,30,0),IF(22=$HK11,IF($JC11=1,30,0),ABS(22-$HC11)*100)),100000+ABS(1-$HB11)*1000+220)),IF($HD11=0,999999,IF(1=$HE11,IF(22=$HL11,IF($JD11=2,30,0),IF(22=$HM11,IF($JD11=1,30,0),ABS(22-$HF11)*100)),100000+ABS(1-$HE11)*1000+220)),IF($HG11=0,999999,IF(1=$HH11,IF(22=$HN11,IF($JE11=2,30,0),IF(22=$HO11,IF($JE11=1,30,0),ABS(22-$HI11)*100)),100000+ABS(1-$HH11)*1000+220)))-IF((22=$HJ11)+(22=$HK11)+(22=$HL11)+(22=$HM11)+(22=$HN11)+(22=$HO11)&gt;=2,50,0))+Y$5*50)</f>
        <v/>
      </c>
      <c r="Z131">
        <f>IF(OR($JF11=0,calcA!$A$6=0),0,IF(OR(23=$HA11,23=$HD11,23=$HG11),200000,MIN(IF($HA11=0,999999,IF(1=$HB11,IF(23=$HJ11,IF($JC11=2,30,0),IF(23=$HK11,IF($JC11=1,30,0),ABS(23-$HC11)*100)),100000+ABS(1-$HB11)*1000+230)),IF($HD11=0,999999,IF(1=$HE11,IF(23=$HL11,IF($JD11=2,30,0),IF(23=$HM11,IF($JD11=1,30,0),ABS(23-$HF11)*100)),100000+ABS(1-$HE11)*1000+230)),IF($HG11=0,999999,IF(1=$HH11,IF(23=$HN11,IF($JE11=2,30,0),IF(23=$HO11,IF($JE11=1,30,0),ABS(23-$HI11)*100)),100000+ABS(1-$HH11)*1000+230)))-IF((23=$HJ11)+(23=$HK11)+(23=$HL11)+(23=$HM11)+(23=$HN11)+(23=$HO11)&gt;=2,50,0))+Z$5*50)</f>
        <v/>
      </c>
      <c r="AA131">
        <f>IF(OR($JF11=0,calcA!$A$6=0),0,IF(OR(24=$HA11,24=$HD11,24=$HG11),200000,MIN(IF($HA11=0,999999,IF(1=$HB11,IF(24=$HJ11,IF($JC11=2,30,0),IF(24=$HK11,IF($JC11=1,30,0),ABS(24-$HC11)*100)),100000+ABS(1-$HB11)*1000+240)),IF($HD11=0,999999,IF(1=$HE11,IF(24=$HL11,IF($JD11=2,30,0),IF(24=$HM11,IF($JD11=1,30,0),ABS(24-$HF11)*100)),100000+ABS(1-$HE11)*1000+240)),IF($HG11=0,999999,IF(1=$HH11,IF(24=$HN11,IF($JE11=2,30,0),IF(24=$HO11,IF($JE11=1,30,0),ABS(24-$HI11)*100)),100000+ABS(1-$HH11)*1000+240)))-IF((24=$HJ11)+(24=$HK11)+(24=$HL11)+(24=$HM11)+(24=$HN11)+(24=$HO11)&gt;=2,50,0))+AA$5*50)</f>
        <v/>
      </c>
      <c r="AB131">
        <f>IF(OR($JF11=0,calcA!$A$6=0),0,IF(OR(25=$HA11,25=$HD11,25=$HG11),200000,MIN(IF($HA11=0,999999,IF(2=$HB11,IF(25=$HJ11,IF($JC11=2,30,0),IF(25=$HK11,IF($JC11=1,30,0),ABS(1-$HC11)*100)),100000+ABS(2-$HB11)*1000+10)),IF($HD11=0,999999,IF(2=$HE11,IF(25=$HL11,IF($JD11=2,30,0),IF(25=$HM11,IF($JD11=1,30,0),ABS(1-$HF11)*100)),100000+ABS(2-$HE11)*1000+10)),IF($HG11=0,999999,IF(2=$HH11,IF(25=$HN11,IF($JE11=2,30,0),IF(25=$HO11,IF($JE11=1,30,0),ABS(1-$HI11)*100)),100000+ABS(2-$HH11)*1000+10)))-IF((25=$HJ11)+(25=$HK11)+(25=$HL11)+(25=$HM11)+(25=$HN11)+(25=$HO11)&gt;=2,50,0))+AB$5*50)</f>
        <v/>
      </c>
      <c r="AC131">
        <f>IF(OR($JF11=0,calcA!$A$6=0),0,IF(OR(26=$HA11,26=$HD11,26=$HG11),200000,MIN(IF($HA11=0,999999,IF(2=$HB11,IF(26=$HJ11,IF($JC11=2,30,0),IF(26=$HK11,IF($JC11=1,30,0),ABS(2-$HC11)*100)),100000+ABS(2-$HB11)*1000+20)),IF($HD11=0,999999,IF(2=$HE11,IF(26=$HL11,IF($JD11=2,30,0),IF(26=$HM11,IF($JD11=1,30,0),ABS(2-$HF11)*100)),100000+ABS(2-$HE11)*1000+20)),IF($HG11=0,999999,IF(2=$HH11,IF(26=$HN11,IF($JE11=2,30,0),IF(26=$HO11,IF($JE11=1,30,0),ABS(2-$HI11)*100)),100000+ABS(2-$HH11)*1000+20)))-IF((26=$HJ11)+(26=$HK11)+(26=$HL11)+(26=$HM11)+(26=$HN11)+(26=$HO11)&gt;=2,50,0))+AC$5*50)</f>
        <v/>
      </c>
      <c r="AD131">
        <f>IF(OR($JF11=0,calcA!$A$6=0),0,IF(OR(27=$HA11,27=$HD11,27=$HG11),200000,MIN(IF($HA11=0,999999,IF(2=$HB11,IF(27=$HJ11,IF($JC11=2,30,0),IF(27=$HK11,IF($JC11=1,30,0),ABS(3-$HC11)*100)),100000+ABS(2-$HB11)*1000+30)),IF($HD11=0,999999,IF(2=$HE11,IF(27=$HL11,IF($JD11=2,30,0),IF(27=$HM11,IF($JD11=1,30,0),ABS(3-$HF11)*100)),100000+ABS(2-$HE11)*1000+30)),IF($HG11=0,999999,IF(2=$HH11,IF(27=$HN11,IF($JE11=2,30,0),IF(27=$HO11,IF($JE11=1,30,0),ABS(3-$HI11)*100)),100000+ABS(2-$HH11)*1000+30)))-IF((27=$HJ11)+(27=$HK11)+(27=$HL11)+(27=$HM11)+(27=$HN11)+(27=$HO11)&gt;=2,50,0))+AD$5*50)</f>
        <v/>
      </c>
      <c r="AE131">
        <f>IF(OR($JF11=0,calcA!$A$6=0),0,IF(OR(28=$HA11,28=$HD11,28=$HG11),200000,MIN(IF($HA11=0,999999,IF(2=$HB11,IF(28=$HJ11,IF($JC11=2,30,0),IF(28=$HK11,IF($JC11=1,30,0),ABS(4-$HC11)*100)),100000+ABS(2-$HB11)*1000+40)),IF($HD11=0,999999,IF(2=$HE11,IF(28=$HL11,IF($JD11=2,30,0),IF(28=$HM11,IF($JD11=1,30,0),ABS(4-$HF11)*100)),100000+ABS(2-$HE11)*1000+40)),IF($HG11=0,999999,IF(2=$HH11,IF(28=$HN11,IF($JE11=2,30,0),IF(28=$HO11,IF($JE11=1,30,0),ABS(4-$HI11)*100)),100000+ABS(2-$HH11)*1000+40)))-IF((28=$HJ11)+(28=$HK11)+(28=$HL11)+(28=$HM11)+(28=$HN11)+(28=$HO11)&gt;=2,50,0))+AE$5*50)</f>
        <v/>
      </c>
      <c r="AF131">
        <f>IF(OR($JF11=0,calcA!$A$6=0),0,IF(OR(29=$HA11,29=$HD11,29=$HG11),200000,MIN(IF($HA11=0,999999,IF(2=$HB11,IF(29=$HJ11,IF($JC11=2,30,0),IF(29=$HK11,IF($JC11=1,30,0),ABS(5-$HC11)*100)),100000+ABS(2-$HB11)*1000+50)),IF($HD11=0,999999,IF(2=$HE11,IF(29=$HL11,IF($JD11=2,30,0),IF(29=$HM11,IF($JD11=1,30,0),ABS(5-$HF11)*100)),100000+ABS(2-$HE11)*1000+50)),IF($HG11=0,999999,IF(2=$HH11,IF(29=$HN11,IF($JE11=2,30,0),IF(29=$HO11,IF($JE11=1,30,0),ABS(5-$HI11)*100)),100000+ABS(2-$HH11)*1000+50)))-IF((29=$HJ11)+(29=$HK11)+(29=$HL11)+(29=$HM11)+(29=$HN11)+(29=$HO11)&gt;=2,50,0))+AF$5*50)</f>
        <v/>
      </c>
      <c r="AG131">
        <f>IF(OR($JF11=0,calcA!$A$6=0),0,IF(OR(30=$HA11,30=$HD11,30=$HG11),200000,MIN(IF($HA11=0,999999,IF(2=$HB11,IF(30=$HJ11,IF($JC11=2,30,0),IF(30=$HK11,IF($JC11=1,30,0),ABS(6-$HC11)*100)),100000+ABS(2-$HB11)*1000+60)),IF($HD11=0,999999,IF(2=$HE11,IF(30=$HL11,IF($JD11=2,30,0),IF(30=$HM11,IF($JD11=1,30,0),ABS(6-$HF11)*100)),100000+ABS(2-$HE11)*1000+60)),IF($HG11=0,999999,IF(2=$HH11,IF(30=$HN11,IF($JE11=2,30,0),IF(30=$HO11,IF($JE11=1,30,0),ABS(6-$HI11)*100)),100000+ABS(2-$HH11)*1000+60)))-IF((30=$HJ11)+(30=$HK11)+(30=$HL11)+(30=$HM11)+(30=$HN11)+(30=$HO11)&gt;=2,50,0))+AG$5*50)</f>
        <v/>
      </c>
      <c r="AH131">
        <f>IF(OR($JF11=0,calcA!$A$6=0),0,IF(OR(31=$HA11,31=$HD11,31=$HG11),200000,MIN(IF($HA11=0,999999,IF(2=$HB11,IF(31=$HJ11,IF($JC11=2,30,0),IF(31=$HK11,IF($JC11=1,30,0),ABS(7-$HC11)*100)),100000+ABS(2-$HB11)*1000+70)),IF($HD11=0,999999,IF(2=$HE11,IF(31=$HL11,IF($JD11=2,30,0),IF(31=$HM11,IF($JD11=1,30,0),ABS(7-$HF11)*100)),100000+ABS(2-$HE11)*1000+70)),IF($HG11=0,999999,IF(2=$HH11,IF(31=$HN11,IF($JE11=2,30,0),IF(31=$HO11,IF($JE11=1,30,0),ABS(7-$HI11)*100)),100000+ABS(2-$HH11)*1000+70)))-IF((31=$HJ11)+(31=$HK11)+(31=$HL11)+(31=$HM11)+(31=$HN11)+(31=$HO11)&gt;=2,50,0))+AH$5*50)</f>
        <v/>
      </c>
      <c r="AI131">
        <f>IF(OR($JF11=0,calcA!$A$6=0),0,IF(OR(32=$HA11,32=$HD11,32=$HG11),200000,MIN(IF($HA11=0,999999,IF(2=$HB11,IF(32=$HJ11,IF($JC11=2,30,0),IF(32=$HK11,IF($JC11=1,30,0),ABS(8-$HC11)*100)),100000+ABS(2-$HB11)*1000+80)),IF($HD11=0,999999,IF(2=$HE11,IF(32=$HL11,IF($JD11=2,30,0),IF(32=$HM11,IF($JD11=1,30,0),ABS(8-$HF11)*100)),100000+ABS(2-$HE11)*1000+80)),IF($HG11=0,999999,IF(2=$HH11,IF(32=$HN11,IF($JE11=2,30,0),IF(32=$HO11,IF($JE11=1,30,0),ABS(8-$HI11)*100)),100000+ABS(2-$HH11)*1000+80)))-IF((32=$HJ11)+(32=$HK11)+(32=$HL11)+(32=$HM11)+(32=$HN11)+(32=$HO11)&gt;=2,50,0))+AI$5*50)</f>
        <v/>
      </c>
      <c r="AJ131">
        <f>IF(OR($JF11=0,calcA!$A$6=0),0,IF(OR(33=$HA11,33=$HD11,33=$HG11),200000,MIN(IF($HA11=0,999999,IF(2=$HB11,IF(33=$HJ11,IF($JC11=2,30,0),IF(33=$HK11,IF($JC11=1,30,0),ABS(9-$HC11)*100)),100000+ABS(2-$HB11)*1000+90)),IF($HD11=0,999999,IF(2=$HE11,IF(33=$HL11,IF($JD11=2,30,0),IF(33=$HM11,IF($JD11=1,30,0),ABS(9-$HF11)*100)),100000+ABS(2-$HE11)*1000+90)),IF($HG11=0,999999,IF(2=$HH11,IF(33=$HN11,IF($JE11=2,30,0),IF(33=$HO11,IF($JE11=1,30,0),ABS(9-$HI11)*100)),100000+ABS(2-$HH11)*1000+90)))-IF((33=$HJ11)+(33=$HK11)+(33=$HL11)+(33=$HM11)+(33=$HN11)+(33=$HO11)&gt;=2,50,0))+AJ$5*50)</f>
        <v/>
      </c>
      <c r="AK131">
        <f>IF(OR($JF11=0,calcA!$A$6=0),0,IF(OR(34=$HA11,34=$HD11,34=$HG11),200000,MIN(IF($HA11=0,999999,IF(2=$HB11,IF(34=$HJ11,IF($JC11=2,30,0),IF(34=$HK11,IF($JC11=1,30,0),ABS(10-$HC11)*100)),100000+ABS(2-$HB11)*1000+100)),IF($HD11=0,999999,IF(2=$HE11,IF(34=$HL11,IF($JD11=2,30,0),IF(34=$HM11,IF($JD11=1,30,0),ABS(10-$HF11)*100)),100000+ABS(2-$HE11)*1000+100)),IF($HG11=0,999999,IF(2=$HH11,IF(34=$HN11,IF($JE11=2,30,0),IF(34=$HO11,IF($JE11=1,30,0),ABS(10-$HI11)*100)),100000+ABS(2-$HH11)*1000+100)))-IF((34=$HJ11)+(34=$HK11)+(34=$HL11)+(34=$HM11)+(34=$HN11)+(34=$HO11)&gt;=2,50,0))+AK$5*50)</f>
        <v/>
      </c>
      <c r="AL131">
        <f>IF(OR($JF11=0,calcA!$A$6=0),0,IF(OR(35=$HA11,35=$HD11,35=$HG11),200000,MIN(IF($HA11=0,999999,IF(2=$HB11,IF(35=$HJ11,IF($JC11=2,30,0),IF(35=$HK11,IF($JC11=1,30,0),ABS(11-$HC11)*100)),100000+ABS(2-$HB11)*1000+110)),IF($HD11=0,999999,IF(2=$HE11,IF(35=$HL11,IF($JD11=2,30,0),IF(35=$HM11,IF($JD11=1,30,0),ABS(11-$HF11)*100)),100000+ABS(2-$HE11)*1000+110)),IF($HG11=0,999999,IF(2=$HH11,IF(35=$HN11,IF($JE11=2,30,0),IF(35=$HO11,IF($JE11=1,30,0),ABS(11-$HI11)*100)),100000+ABS(2-$HH11)*1000+110)))-IF((35=$HJ11)+(35=$HK11)+(35=$HL11)+(35=$HM11)+(35=$HN11)+(35=$HO11)&gt;=2,50,0))+AL$5*50)</f>
        <v/>
      </c>
      <c r="AM131">
        <f>IF(OR($JF11=0,calcA!$A$6=0),0,IF(OR(36=$HA11,36=$HD11,36=$HG11),200000,MIN(IF($HA11=0,999999,IF(2=$HB11,IF(36=$HJ11,IF($JC11=2,30,0),IF(36=$HK11,IF($JC11=1,30,0),ABS(12-$HC11)*100)),100000+ABS(2-$HB11)*1000+120)),IF($HD11=0,999999,IF(2=$HE11,IF(36=$HL11,IF($JD11=2,30,0),IF(36=$HM11,IF($JD11=1,30,0),ABS(12-$HF11)*100)),100000+ABS(2-$HE11)*1000+120)),IF($HG11=0,999999,IF(2=$HH11,IF(36=$HN11,IF($JE11=2,30,0),IF(36=$HO11,IF($JE11=1,30,0),ABS(12-$HI11)*100)),100000+ABS(2-$HH11)*1000+120)))-IF((36=$HJ11)+(36=$HK11)+(36=$HL11)+(36=$HM11)+(36=$HN11)+(36=$HO11)&gt;=2,50,0))+AM$5*50)</f>
        <v/>
      </c>
      <c r="AN131">
        <f>IF(OR($JF11=0,calcA!$A$6=0),0,IF(OR(37=$HA11,37=$HD11,37=$HG11),200000,MIN(IF($HA11=0,999999,IF(2=$HB11,IF(37=$HJ11,IF($JC11=2,30,0),IF(37=$HK11,IF($JC11=1,30,0),ABS(13-$HC11)*100)),100000+ABS(2-$HB11)*1000+130)),IF($HD11=0,999999,IF(2=$HE11,IF(37=$HL11,IF($JD11=2,30,0),IF(37=$HM11,IF($JD11=1,30,0),ABS(13-$HF11)*100)),100000+ABS(2-$HE11)*1000+130)),IF($HG11=0,999999,IF(2=$HH11,IF(37=$HN11,IF($JE11=2,30,0),IF(37=$HO11,IF($JE11=1,30,0),ABS(13-$HI11)*100)),100000+ABS(2-$HH11)*1000+130)))-IF((37=$HJ11)+(37=$HK11)+(37=$HL11)+(37=$HM11)+(37=$HN11)+(37=$HO11)&gt;=2,50,0))+AN$5*50)</f>
        <v/>
      </c>
      <c r="AO131">
        <f>IF(OR($JF11=0,calcA!$A$6=0),0,IF(OR(38=$HA11,38=$HD11,38=$HG11),200000,MIN(IF($HA11=0,999999,IF(2=$HB11,IF(38=$HJ11,IF($JC11=2,30,0),IF(38=$HK11,IF($JC11=1,30,0),ABS(14-$HC11)*100)),100000+ABS(2-$HB11)*1000+140)),IF($HD11=0,999999,IF(2=$HE11,IF(38=$HL11,IF($JD11=2,30,0),IF(38=$HM11,IF($JD11=1,30,0),ABS(14-$HF11)*100)),100000+ABS(2-$HE11)*1000+140)),IF($HG11=0,999999,IF(2=$HH11,IF(38=$HN11,IF($JE11=2,30,0),IF(38=$HO11,IF($JE11=1,30,0),ABS(14-$HI11)*100)),100000+ABS(2-$HH11)*1000+140)))-IF((38=$HJ11)+(38=$HK11)+(38=$HL11)+(38=$HM11)+(38=$HN11)+(38=$HO11)&gt;=2,50,0))+AO$5*50)</f>
        <v/>
      </c>
      <c r="AP131">
        <f>IF(OR($JF11=0,calcA!$A$6=0),0,IF(OR(39=$HA11,39=$HD11,39=$HG11),200000,MIN(IF($HA11=0,999999,IF(2=$HB11,IF(39=$HJ11,IF($JC11=2,30,0),IF(39=$HK11,IF($JC11=1,30,0),ABS(15-$HC11)*100)),100000+ABS(2-$HB11)*1000+150)),IF($HD11=0,999999,IF(2=$HE11,IF(39=$HL11,IF($JD11=2,30,0),IF(39=$HM11,IF($JD11=1,30,0),ABS(15-$HF11)*100)),100000+ABS(2-$HE11)*1000+150)),IF($HG11=0,999999,IF(2=$HH11,IF(39=$HN11,IF($JE11=2,30,0),IF(39=$HO11,IF($JE11=1,30,0),ABS(15-$HI11)*100)),100000+ABS(2-$HH11)*1000+150)))-IF((39=$HJ11)+(39=$HK11)+(39=$HL11)+(39=$HM11)+(39=$HN11)+(39=$HO11)&gt;=2,50,0))+AP$5*50)</f>
        <v/>
      </c>
      <c r="AQ131">
        <f>IF(OR($JF11=0,calcA!$A$6=0),0,IF(OR(40=$HA11,40=$HD11,40=$HG11),200000,MIN(IF($HA11=0,999999,IF(2=$HB11,IF(40=$HJ11,IF($JC11=2,30,0),IF(40=$HK11,IF($JC11=1,30,0),ABS(16-$HC11)*100)),100000+ABS(2-$HB11)*1000+160)),IF($HD11=0,999999,IF(2=$HE11,IF(40=$HL11,IF($JD11=2,30,0),IF(40=$HM11,IF($JD11=1,30,0),ABS(16-$HF11)*100)),100000+ABS(2-$HE11)*1000+160)),IF($HG11=0,999999,IF(2=$HH11,IF(40=$HN11,IF($JE11=2,30,0),IF(40=$HO11,IF($JE11=1,30,0),ABS(16-$HI11)*100)),100000+ABS(2-$HH11)*1000+160)))-IF((40=$HJ11)+(40=$HK11)+(40=$HL11)+(40=$HM11)+(40=$HN11)+(40=$HO11)&gt;=2,50,0))+AQ$5*50)</f>
        <v/>
      </c>
      <c r="AR131">
        <f>IF(OR($JF11=0,calcA!$A$6=0),0,IF(OR(41=$HA11,41=$HD11,41=$HG11),200000,MIN(IF($HA11=0,999999,IF(2=$HB11,IF(41=$HJ11,IF($JC11=2,30,0),IF(41=$HK11,IF($JC11=1,30,0),ABS(17-$HC11)*100)),100000+ABS(2-$HB11)*1000+170)),IF($HD11=0,999999,IF(2=$HE11,IF(41=$HL11,IF($JD11=2,30,0),IF(41=$HM11,IF($JD11=1,30,0),ABS(17-$HF11)*100)),100000+ABS(2-$HE11)*1000+170)),IF($HG11=0,999999,IF(2=$HH11,IF(41=$HN11,IF($JE11=2,30,0),IF(41=$HO11,IF($JE11=1,30,0),ABS(17-$HI11)*100)),100000+ABS(2-$HH11)*1000+170)))-IF((41=$HJ11)+(41=$HK11)+(41=$HL11)+(41=$HM11)+(41=$HN11)+(41=$HO11)&gt;=2,50,0))+AR$5*50)</f>
        <v/>
      </c>
      <c r="AS131">
        <f>IF(OR($JF11=0,calcA!$A$6=0),0,IF(OR(42=$HA11,42=$HD11,42=$HG11),200000,MIN(IF($HA11=0,999999,IF(2=$HB11,IF(42=$HJ11,IF($JC11=2,30,0),IF(42=$HK11,IF($JC11=1,30,0),ABS(18-$HC11)*100)),100000+ABS(2-$HB11)*1000+180)),IF($HD11=0,999999,IF(2=$HE11,IF(42=$HL11,IF($JD11=2,30,0),IF(42=$HM11,IF($JD11=1,30,0),ABS(18-$HF11)*100)),100000+ABS(2-$HE11)*1000+180)),IF($HG11=0,999999,IF(2=$HH11,IF(42=$HN11,IF($JE11=2,30,0),IF(42=$HO11,IF($JE11=1,30,0),ABS(18-$HI11)*100)),100000+ABS(2-$HH11)*1000+180)))-IF((42=$HJ11)+(42=$HK11)+(42=$HL11)+(42=$HM11)+(42=$HN11)+(42=$HO11)&gt;=2,50,0))+AS$5*50)</f>
        <v/>
      </c>
      <c r="AT131">
        <f>IF(OR($JF11=0,calcA!$A$6=0),0,IF(OR(43=$HA11,43=$HD11,43=$HG11),200000,MIN(IF($HA11=0,999999,IF(2=$HB11,IF(43=$HJ11,IF($JC11=2,30,0),IF(43=$HK11,IF($JC11=1,30,0),ABS(19-$HC11)*100)),100000+ABS(2-$HB11)*1000+190)),IF($HD11=0,999999,IF(2=$HE11,IF(43=$HL11,IF($JD11=2,30,0),IF(43=$HM11,IF($JD11=1,30,0),ABS(19-$HF11)*100)),100000+ABS(2-$HE11)*1000+190)),IF($HG11=0,999999,IF(2=$HH11,IF(43=$HN11,IF($JE11=2,30,0),IF(43=$HO11,IF($JE11=1,30,0),ABS(19-$HI11)*100)),100000+ABS(2-$HH11)*1000+190)))-IF((43=$HJ11)+(43=$HK11)+(43=$HL11)+(43=$HM11)+(43=$HN11)+(43=$HO11)&gt;=2,50,0))+AT$5*50)</f>
        <v/>
      </c>
      <c r="AU131">
        <f>IF(OR($JF11=0,calcA!$A$6=0),0,IF(OR(44=$HA11,44=$HD11,44=$HG11),200000,MIN(IF($HA11=0,999999,IF(2=$HB11,IF(44=$HJ11,IF($JC11=2,30,0),IF(44=$HK11,IF($JC11=1,30,0),ABS(20-$HC11)*100)),100000+ABS(2-$HB11)*1000+200)),IF($HD11=0,999999,IF(2=$HE11,IF(44=$HL11,IF($JD11=2,30,0),IF(44=$HM11,IF($JD11=1,30,0),ABS(20-$HF11)*100)),100000+ABS(2-$HE11)*1000+200)),IF($HG11=0,999999,IF(2=$HH11,IF(44=$HN11,IF($JE11=2,30,0),IF(44=$HO11,IF($JE11=1,30,0),ABS(20-$HI11)*100)),100000+ABS(2-$HH11)*1000+200)))-IF((44=$HJ11)+(44=$HK11)+(44=$HL11)+(44=$HM11)+(44=$HN11)+(44=$HO11)&gt;=2,50,0))+AU$5*50)</f>
        <v/>
      </c>
      <c r="AV131">
        <f>IF(OR($JF11=0,calcA!$A$6=0),0,IF(OR(45=$HA11,45=$HD11,45=$HG11),200000,MIN(IF($HA11=0,999999,IF(2=$HB11,IF(45=$HJ11,IF($JC11=2,30,0),IF(45=$HK11,IF($JC11=1,30,0),ABS(21-$HC11)*100)),100000+ABS(2-$HB11)*1000+210)),IF($HD11=0,999999,IF(2=$HE11,IF(45=$HL11,IF($JD11=2,30,0),IF(45=$HM11,IF($JD11=1,30,0),ABS(21-$HF11)*100)),100000+ABS(2-$HE11)*1000+210)),IF($HG11=0,999999,IF(2=$HH11,IF(45=$HN11,IF($JE11=2,30,0),IF(45=$HO11,IF($JE11=1,30,0),ABS(21-$HI11)*100)),100000+ABS(2-$HH11)*1000+210)))-IF((45=$HJ11)+(45=$HK11)+(45=$HL11)+(45=$HM11)+(45=$HN11)+(45=$HO11)&gt;=2,50,0))+AV$5*50)</f>
        <v/>
      </c>
      <c r="AW131">
        <f>IF(OR($JF11=0,calcA!$A$6=0),0,IF(OR(46=$HA11,46=$HD11,46=$HG11),200000,MIN(IF($HA11=0,999999,IF(2=$HB11,IF(46=$HJ11,IF($JC11=2,30,0),IF(46=$HK11,IF($JC11=1,30,0),ABS(22-$HC11)*100)),100000+ABS(2-$HB11)*1000+220)),IF($HD11=0,999999,IF(2=$HE11,IF(46=$HL11,IF($JD11=2,30,0),IF(46=$HM11,IF($JD11=1,30,0),ABS(22-$HF11)*100)),100000+ABS(2-$HE11)*1000+220)),IF($HG11=0,999999,IF(2=$HH11,IF(46=$HN11,IF($JE11=2,30,0),IF(46=$HO11,IF($JE11=1,30,0),ABS(22-$HI11)*100)),100000+ABS(2-$HH11)*1000+220)))-IF((46=$HJ11)+(46=$HK11)+(46=$HL11)+(46=$HM11)+(46=$HN11)+(46=$HO11)&gt;=2,50,0))+AW$5*50)</f>
        <v/>
      </c>
      <c r="AX131">
        <f>IF(OR($JF11=0,calcA!$A$6=0),0,IF(OR(47=$HA11,47=$HD11,47=$HG11),200000,MIN(IF($HA11=0,999999,IF(2=$HB11,IF(47=$HJ11,IF($JC11=2,30,0),IF(47=$HK11,IF($JC11=1,30,0),ABS(23-$HC11)*100)),100000+ABS(2-$HB11)*1000+230)),IF($HD11=0,999999,IF(2=$HE11,IF(47=$HL11,IF($JD11=2,30,0),IF(47=$HM11,IF($JD11=1,30,0),ABS(23-$HF11)*100)),100000+ABS(2-$HE11)*1000+230)),IF($HG11=0,999999,IF(2=$HH11,IF(47=$HN11,IF($JE11=2,30,0),IF(47=$HO11,IF($JE11=1,30,0),ABS(23-$HI11)*100)),100000+ABS(2-$HH11)*1000+230)))-IF((47=$HJ11)+(47=$HK11)+(47=$HL11)+(47=$HM11)+(47=$HN11)+(47=$HO11)&gt;=2,50,0))+AX$5*50)</f>
        <v/>
      </c>
      <c r="AY131">
        <f>IF(OR($JF11=0,calcA!$A$6=0),0,IF(OR(48=$HA11,48=$HD11,48=$HG11),200000,MIN(IF($HA11=0,999999,IF(2=$HB11,IF(48=$HJ11,IF($JC11=2,30,0),IF(48=$HK11,IF($JC11=1,30,0),ABS(24-$HC11)*100)),100000+ABS(2-$HB11)*1000+240)),IF($HD11=0,999999,IF(2=$HE11,IF(48=$HL11,IF($JD11=2,30,0),IF(48=$HM11,IF($JD11=1,30,0),ABS(24-$HF11)*100)),100000+ABS(2-$HE11)*1000+240)),IF($HG11=0,999999,IF(2=$HH11,IF(48=$HN11,IF($JE11=2,30,0),IF(48=$HO11,IF($JE11=1,30,0),ABS(24-$HI11)*100)),100000+ABS(2-$HH11)*1000+240)))-IF((48=$HJ11)+(48=$HK11)+(48=$HL11)+(48=$HM11)+(48=$HN11)+(48=$HO11)&gt;=2,50,0))+AY$5*50)</f>
        <v/>
      </c>
      <c r="AZ131">
        <f>IF(OR($JF11=0,calcA!$A$6=0),0,IF(OR(49=$HA11,49=$HD11,49=$HG11),200000,MIN(IF($HA11=0,999999,IF(3=$HB11,IF(49=$HJ11,IF($JC11=2,30,0),IF(49=$HK11,IF($JC11=1,30,0),ABS(1-$HC11)*100)),100000+ABS(3-$HB11)*1000+10)),IF($HD11=0,999999,IF(3=$HE11,IF(49=$HL11,IF($JD11=2,30,0),IF(49=$HM11,IF($JD11=1,30,0),ABS(1-$HF11)*100)),100000+ABS(3-$HE11)*1000+10)),IF($HG11=0,999999,IF(3=$HH11,IF(49=$HN11,IF($JE11=2,30,0),IF(49=$HO11,IF($JE11=1,30,0),ABS(1-$HI11)*100)),100000+ABS(3-$HH11)*1000+10)))-IF((49=$HJ11)+(49=$HK11)+(49=$HL11)+(49=$HM11)+(49=$HN11)+(49=$HO11)&gt;=2,50,0))+AZ$5*50)</f>
        <v/>
      </c>
      <c r="BA131">
        <f>IF(OR($JF11=0,calcA!$A$6=0),0,IF(OR(50=$HA11,50=$HD11,50=$HG11),200000,MIN(IF($HA11=0,999999,IF(3=$HB11,IF(50=$HJ11,IF($JC11=2,30,0),IF(50=$HK11,IF($JC11=1,30,0),ABS(2-$HC11)*100)),100000+ABS(3-$HB11)*1000+20)),IF($HD11=0,999999,IF(3=$HE11,IF(50=$HL11,IF($JD11=2,30,0),IF(50=$HM11,IF($JD11=1,30,0),ABS(2-$HF11)*100)),100000+ABS(3-$HE11)*1000+20)),IF($HG11=0,999999,IF(3=$HH11,IF(50=$HN11,IF($JE11=2,30,0),IF(50=$HO11,IF($JE11=1,30,0),ABS(2-$HI11)*100)),100000+ABS(3-$HH11)*1000+20)))-IF((50=$HJ11)+(50=$HK11)+(50=$HL11)+(50=$HM11)+(50=$HN11)+(50=$HO11)&gt;=2,50,0))+BA$5*50)</f>
        <v/>
      </c>
      <c r="BB131">
        <f>IF(OR($JF11=0,calcA!$A$6=0),0,IF(OR(51=$HA11,51=$HD11,51=$HG11),200000,MIN(IF($HA11=0,999999,IF(3=$HB11,IF(51=$HJ11,IF($JC11=2,30,0),IF(51=$HK11,IF($JC11=1,30,0),ABS(3-$HC11)*100)),100000+ABS(3-$HB11)*1000+30)),IF($HD11=0,999999,IF(3=$HE11,IF(51=$HL11,IF($JD11=2,30,0),IF(51=$HM11,IF($JD11=1,30,0),ABS(3-$HF11)*100)),100000+ABS(3-$HE11)*1000+30)),IF($HG11=0,999999,IF(3=$HH11,IF(51=$HN11,IF($JE11=2,30,0),IF(51=$HO11,IF($JE11=1,30,0),ABS(3-$HI11)*100)),100000+ABS(3-$HH11)*1000+30)))-IF((51=$HJ11)+(51=$HK11)+(51=$HL11)+(51=$HM11)+(51=$HN11)+(51=$HO11)&gt;=2,50,0))+BB$5*50)</f>
        <v/>
      </c>
      <c r="BC131">
        <f>IF(OR($JF11=0,calcA!$A$6=0),0,IF(OR(52=$HA11,52=$HD11,52=$HG11),200000,MIN(IF($HA11=0,999999,IF(3=$HB11,IF(52=$HJ11,IF($JC11=2,30,0),IF(52=$HK11,IF($JC11=1,30,0),ABS(4-$HC11)*100)),100000+ABS(3-$HB11)*1000+40)),IF($HD11=0,999999,IF(3=$HE11,IF(52=$HL11,IF($JD11=2,30,0),IF(52=$HM11,IF($JD11=1,30,0),ABS(4-$HF11)*100)),100000+ABS(3-$HE11)*1000+40)),IF($HG11=0,999999,IF(3=$HH11,IF(52=$HN11,IF($JE11=2,30,0),IF(52=$HO11,IF($JE11=1,30,0),ABS(4-$HI11)*100)),100000+ABS(3-$HH11)*1000+40)))-IF((52=$HJ11)+(52=$HK11)+(52=$HL11)+(52=$HM11)+(52=$HN11)+(52=$HO11)&gt;=2,50,0))+BC$5*50)</f>
        <v/>
      </c>
      <c r="BD131">
        <f>IF(OR($JF11=0,calcA!$A$6=0),0,IF(OR(53=$HA11,53=$HD11,53=$HG11),200000,MIN(IF($HA11=0,999999,IF(3=$HB11,IF(53=$HJ11,IF($JC11=2,30,0),IF(53=$HK11,IF($JC11=1,30,0),ABS(5-$HC11)*100)),100000+ABS(3-$HB11)*1000+50)),IF($HD11=0,999999,IF(3=$HE11,IF(53=$HL11,IF($JD11=2,30,0),IF(53=$HM11,IF($JD11=1,30,0),ABS(5-$HF11)*100)),100000+ABS(3-$HE11)*1000+50)),IF($HG11=0,999999,IF(3=$HH11,IF(53=$HN11,IF($JE11=2,30,0),IF(53=$HO11,IF($JE11=1,30,0),ABS(5-$HI11)*100)),100000+ABS(3-$HH11)*1000+50)))-IF((53=$HJ11)+(53=$HK11)+(53=$HL11)+(53=$HM11)+(53=$HN11)+(53=$HO11)&gt;=2,50,0))+BD$5*50)</f>
        <v/>
      </c>
      <c r="BE131">
        <f>IF(OR($JF11=0,calcA!$A$6=0),0,IF(OR(54=$HA11,54=$HD11,54=$HG11),200000,MIN(IF($HA11=0,999999,IF(3=$HB11,IF(54=$HJ11,IF($JC11=2,30,0),IF(54=$HK11,IF($JC11=1,30,0),ABS(6-$HC11)*100)),100000+ABS(3-$HB11)*1000+60)),IF($HD11=0,999999,IF(3=$HE11,IF(54=$HL11,IF($JD11=2,30,0),IF(54=$HM11,IF($JD11=1,30,0),ABS(6-$HF11)*100)),100000+ABS(3-$HE11)*1000+60)),IF($HG11=0,999999,IF(3=$HH11,IF(54=$HN11,IF($JE11=2,30,0),IF(54=$HO11,IF($JE11=1,30,0),ABS(6-$HI11)*100)),100000+ABS(3-$HH11)*1000+60)))-IF((54=$HJ11)+(54=$HK11)+(54=$HL11)+(54=$HM11)+(54=$HN11)+(54=$HO11)&gt;=2,50,0))+BE$5*50)</f>
        <v/>
      </c>
      <c r="BF131">
        <f>IF(OR($JF11=0,calcA!$A$6=0),0,IF(OR(55=$HA11,55=$HD11,55=$HG11),200000,MIN(IF($HA11=0,999999,IF(3=$HB11,IF(55=$HJ11,IF($JC11=2,30,0),IF(55=$HK11,IF($JC11=1,30,0),ABS(7-$HC11)*100)),100000+ABS(3-$HB11)*1000+70)),IF($HD11=0,999999,IF(3=$HE11,IF(55=$HL11,IF($JD11=2,30,0),IF(55=$HM11,IF($JD11=1,30,0),ABS(7-$HF11)*100)),100000+ABS(3-$HE11)*1000+70)),IF($HG11=0,999999,IF(3=$HH11,IF(55=$HN11,IF($JE11=2,30,0),IF(55=$HO11,IF($JE11=1,30,0),ABS(7-$HI11)*100)),100000+ABS(3-$HH11)*1000+70)))-IF((55=$HJ11)+(55=$HK11)+(55=$HL11)+(55=$HM11)+(55=$HN11)+(55=$HO11)&gt;=2,50,0))+BF$5*50)</f>
        <v/>
      </c>
      <c r="BG131">
        <f>IF(OR($JF11=0,calcA!$A$6=0),0,IF(OR(56=$HA11,56=$HD11,56=$HG11),200000,MIN(IF($HA11=0,999999,IF(3=$HB11,IF(56=$HJ11,IF($JC11=2,30,0),IF(56=$HK11,IF($JC11=1,30,0),ABS(8-$HC11)*100)),100000+ABS(3-$HB11)*1000+80)),IF($HD11=0,999999,IF(3=$HE11,IF(56=$HL11,IF($JD11=2,30,0),IF(56=$HM11,IF($JD11=1,30,0),ABS(8-$HF11)*100)),100000+ABS(3-$HE11)*1000+80)),IF($HG11=0,999999,IF(3=$HH11,IF(56=$HN11,IF($JE11=2,30,0),IF(56=$HO11,IF($JE11=1,30,0),ABS(8-$HI11)*100)),100000+ABS(3-$HH11)*1000+80)))-IF((56=$HJ11)+(56=$HK11)+(56=$HL11)+(56=$HM11)+(56=$HN11)+(56=$HO11)&gt;=2,50,0))+BG$5*50)</f>
        <v/>
      </c>
      <c r="BH131">
        <f>IF(OR($JF11=0,calcA!$A$6=0),0,IF(OR(57=$HA11,57=$HD11,57=$HG11),200000,MIN(IF($HA11=0,999999,IF(3=$HB11,IF(57=$HJ11,IF($JC11=2,30,0),IF(57=$HK11,IF($JC11=1,30,0),ABS(9-$HC11)*100)),100000+ABS(3-$HB11)*1000+90)),IF($HD11=0,999999,IF(3=$HE11,IF(57=$HL11,IF($JD11=2,30,0),IF(57=$HM11,IF($JD11=1,30,0),ABS(9-$HF11)*100)),100000+ABS(3-$HE11)*1000+90)),IF($HG11=0,999999,IF(3=$HH11,IF(57=$HN11,IF($JE11=2,30,0),IF(57=$HO11,IF($JE11=1,30,0),ABS(9-$HI11)*100)),100000+ABS(3-$HH11)*1000+90)))-IF((57=$HJ11)+(57=$HK11)+(57=$HL11)+(57=$HM11)+(57=$HN11)+(57=$HO11)&gt;=2,50,0))+BH$5*50)</f>
        <v/>
      </c>
      <c r="BI131">
        <f>IF(OR($JF11=0,calcA!$A$6=0),0,IF(OR(58=$HA11,58=$HD11,58=$HG11),200000,MIN(IF($HA11=0,999999,IF(3=$HB11,IF(58=$HJ11,IF($JC11=2,30,0),IF(58=$HK11,IF($JC11=1,30,0),ABS(10-$HC11)*100)),100000+ABS(3-$HB11)*1000+100)),IF($HD11=0,999999,IF(3=$HE11,IF(58=$HL11,IF($JD11=2,30,0),IF(58=$HM11,IF($JD11=1,30,0),ABS(10-$HF11)*100)),100000+ABS(3-$HE11)*1000+100)),IF($HG11=0,999999,IF(3=$HH11,IF(58=$HN11,IF($JE11=2,30,0),IF(58=$HO11,IF($JE11=1,30,0),ABS(10-$HI11)*100)),100000+ABS(3-$HH11)*1000+100)))-IF((58=$HJ11)+(58=$HK11)+(58=$HL11)+(58=$HM11)+(58=$HN11)+(58=$HO11)&gt;=2,50,0))+BI$5*50)</f>
        <v/>
      </c>
      <c r="BJ131">
        <f>IF(OR($JF11=0,calcA!$A$6=0),0,IF(OR(59=$HA11,59=$HD11,59=$HG11),200000,MIN(IF($HA11=0,999999,IF(3=$HB11,IF(59=$HJ11,IF($JC11=2,30,0),IF(59=$HK11,IF($JC11=1,30,0),ABS(11-$HC11)*100)),100000+ABS(3-$HB11)*1000+110)),IF($HD11=0,999999,IF(3=$HE11,IF(59=$HL11,IF($JD11=2,30,0),IF(59=$HM11,IF($JD11=1,30,0),ABS(11-$HF11)*100)),100000+ABS(3-$HE11)*1000+110)),IF($HG11=0,999999,IF(3=$HH11,IF(59=$HN11,IF($JE11=2,30,0),IF(59=$HO11,IF($JE11=1,30,0),ABS(11-$HI11)*100)),100000+ABS(3-$HH11)*1000+110)))-IF((59=$HJ11)+(59=$HK11)+(59=$HL11)+(59=$HM11)+(59=$HN11)+(59=$HO11)&gt;=2,50,0))+BJ$5*50)</f>
        <v/>
      </c>
      <c r="BK131">
        <f>IF(OR($JF11=0,calcA!$A$6=0),0,IF(OR(60=$HA11,60=$HD11,60=$HG11),200000,MIN(IF($HA11=0,999999,IF(3=$HB11,IF(60=$HJ11,IF($JC11=2,30,0),IF(60=$HK11,IF($JC11=1,30,0),ABS(12-$HC11)*100)),100000+ABS(3-$HB11)*1000+120)),IF($HD11=0,999999,IF(3=$HE11,IF(60=$HL11,IF($JD11=2,30,0),IF(60=$HM11,IF($JD11=1,30,0),ABS(12-$HF11)*100)),100000+ABS(3-$HE11)*1000+120)),IF($HG11=0,999999,IF(3=$HH11,IF(60=$HN11,IF($JE11=2,30,0),IF(60=$HO11,IF($JE11=1,30,0),ABS(12-$HI11)*100)),100000+ABS(3-$HH11)*1000+120)))-IF((60=$HJ11)+(60=$HK11)+(60=$HL11)+(60=$HM11)+(60=$HN11)+(60=$HO11)&gt;=2,50,0))+BK$5*50)</f>
        <v/>
      </c>
      <c r="BL131">
        <f>IF(OR($JF11=0,calcA!$A$6=0),0,IF(OR(61=$HA11,61=$HD11,61=$HG11),200000,MIN(IF($HA11=0,999999,IF(3=$HB11,IF(61=$HJ11,IF($JC11=2,30,0),IF(61=$HK11,IF($JC11=1,30,0),ABS(13-$HC11)*100)),100000+ABS(3-$HB11)*1000+130)),IF($HD11=0,999999,IF(3=$HE11,IF(61=$HL11,IF($JD11=2,30,0),IF(61=$HM11,IF($JD11=1,30,0),ABS(13-$HF11)*100)),100000+ABS(3-$HE11)*1000+130)),IF($HG11=0,999999,IF(3=$HH11,IF(61=$HN11,IF($JE11=2,30,0),IF(61=$HO11,IF($JE11=1,30,0),ABS(13-$HI11)*100)),100000+ABS(3-$HH11)*1000+130)))-IF((61=$HJ11)+(61=$HK11)+(61=$HL11)+(61=$HM11)+(61=$HN11)+(61=$HO11)&gt;=2,50,0))+BL$5*50)</f>
        <v/>
      </c>
      <c r="BM131">
        <f>IF(OR($JF11=0,calcA!$A$6=0),0,IF(OR(62=$HA11,62=$HD11,62=$HG11),200000,MIN(IF($HA11=0,999999,IF(3=$HB11,IF(62=$HJ11,IF($JC11=2,30,0),IF(62=$HK11,IF($JC11=1,30,0),ABS(14-$HC11)*100)),100000+ABS(3-$HB11)*1000+140)),IF($HD11=0,999999,IF(3=$HE11,IF(62=$HL11,IF($JD11=2,30,0),IF(62=$HM11,IF($JD11=1,30,0),ABS(14-$HF11)*100)),100000+ABS(3-$HE11)*1000+140)),IF($HG11=0,999999,IF(3=$HH11,IF(62=$HN11,IF($JE11=2,30,0),IF(62=$HO11,IF($JE11=1,30,0),ABS(14-$HI11)*100)),100000+ABS(3-$HH11)*1000+140)))-IF((62=$HJ11)+(62=$HK11)+(62=$HL11)+(62=$HM11)+(62=$HN11)+(62=$HO11)&gt;=2,50,0))+BM$5*50)</f>
        <v/>
      </c>
      <c r="BN131">
        <f>IF(OR($JF11=0,calcA!$A$6=0),0,IF(OR(63=$HA11,63=$HD11,63=$HG11),200000,MIN(IF($HA11=0,999999,IF(3=$HB11,IF(63=$HJ11,IF($JC11=2,30,0),IF(63=$HK11,IF($JC11=1,30,0),ABS(15-$HC11)*100)),100000+ABS(3-$HB11)*1000+150)),IF($HD11=0,999999,IF(3=$HE11,IF(63=$HL11,IF($JD11=2,30,0),IF(63=$HM11,IF($JD11=1,30,0),ABS(15-$HF11)*100)),100000+ABS(3-$HE11)*1000+150)),IF($HG11=0,999999,IF(3=$HH11,IF(63=$HN11,IF($JE11=2,30,0),IF(63=$HO11,IF($JE11=1,30,0),ABS(15-$HI11)*100)),100000+ABS(3-$HH11)*1000+150)))-IF((63=$HJ11)+(63=$HK11)+(63=$HL11)+(63=$HM11)+(63=$HN11)+(63=$HO11)&gt;=2,50,0))+BN$5*50)</f>
        <v/>
      </c>
      <c r="BO131">
        <f>IF(OR($JF11=0,calcA!$A$6=0),0,IF(OR(64=$HA11,64=$HD11,64=$HG11),200000,MIN(IF($HA11=0,999999,IF(3=$HB11,IF(64=$HJ11,IF($JC11=2,30,0),IF(64=$HK11,IF($JC11=1,30,0),ABS(16-$HC11)*100)),100000+ABS(3-$HB11)*1000+160)),IF($HD11=0,999999,IF(3=$HE11,IF(64=$HL11,IF($JD11=2,30,0),IF(64=$HM11,IF($JD11=1,30,0),ABS(16-$HF11)*100)),100000+ABS(3-$HE11)*1000+160)),IF($HG11=0,999999,IF(3=$HH11,IF(64=$HN11,IF($JE11=2,30,0),IF(64=$HO11,IF($JE11=1,30,0),ABS(16-$HI11)*100)),100000+ABS(3-$HH11)*1000+160)))-IF((64=$HJ11)+(64=$HK11)+(64=$HL11)+(64=$HM11)+(64=$HN11)+(64=$HO11)&gt;=2,50,0))+BO$5*50)</f>
        <v/>
      </c>
      <c r="BP131">
        <f>IF(OR($JF11=0,calcA!$A$6=0),0,IF(OR(65=$HA11,65=$HD11,65=$HG11),200000,MIN(IF($HA11=0,999999,IF(3=$HB11,IF(65=$HJ11,IF($JC11=2,30,0),IF(65=$HK11,IF($JC11=1,30,0),ABS(17-$HC11)*100)),100000+ABS(3-$HB11)*1000+170)),IF($HD11=0,999999,IF(3=$HE11,IF(65=$HL11,IF($JD11=2,30,0),IF(65=$HM11,IF($JD11=1,30,0),ABS(17-$HF11)*100)),100000+ABS(3-$HE11)*1000+170)),IF($HG11=0,999999,IF(3=$HH11,IF(65=$HN11,IF($JE11=2,30,0),IF(65=$HO11,IF($JE11=1,30,0),ABS(17-$HI11)*100)),100000+ABS(3-$HH11)*1000+170)))-IF((65=$HJ11)+(65=$HK11)+(65=$HL11)+(65=$HM11)+(65=$HN11)+(65=$HO11)&gt;=2,50,0))+BP$5*50)</f>
        <v/>
      </c>
      <c r="BQ131">
        <f>IF(OR($JF11=0,calcA!$A$6=0),0,IF(OR(66=$HA11,66=$HD11,66=$HG11),200000,MIN(IF($HA11=0,999999,IF(3=$HB11,IF(66=$HJ11,IF($JC11=2,30,0),IF(66=$HK11,IF($JC11=1,30,0),ABS(18-$HC11)*100)),100000+ABS(3-$HB11)*1000+180)),IF($HD11=0,999999,IF(3=$HE11,IF(66=$HL11,IF($JD11=2,30,0),IF(66=$HM11,IF($JD11=1,30,0),ABS(18-$HF11)*100)),100000+ABS(3-$HE11)*1000+180)),IF($HG11=0,999999,IF(3=$HH11,IF(66=$HN11,IF($JE11=2,30,0),IF(66=$HO11,IF($JE11=1,30,0),ABS(18-$HI11)*100)),100000+ABS(3-$HH11)*1000+180)))-IF((66=$HJ11)+(66=$HK11)+(66=$HL11)+(66=$HM11)+(66=$HN11)+(66=$HO11)&gt;=2,50,0))+BQ$5*50)</f>
        <v/>
      </c>
      <c r="BR131">
        <f>IF(OR($JF11=0,calcA!$A$6=0),0,IF(OR(67=$HA11,67=$HD11,67=$HG11),200000,MIN(IF($HA11=0,999999,IF(3=$HB11,IF(67=$HJ11,IF($JC11=2,30,0),IF(67=$HK11,IF($JC11=1,30,0),ABS(19-$HC11)*100)),100000+ABS(3-$HB11)*1000+190)),IF($HD11=0,999999,IF(3=$HE11,IF(67=$HL11,IF($JD11=2,30,0),IF(67=$HM11,IF($JD11=1,30,0),ABS(19-$HF11)*100)),100000+ABS(3-$HE11)*1000+190)),IF($HG11=0,999999,IF(3=$HH11,IF(67=$HN11,IF($JE11=2,30,0),IF(67=$HO11,IF($JE11=1,30,0),ABS(19-$HI11)*100)),100000+ABS(3-$HH11)*1000+190)))-IF((67=$HJ11)+(67=$HK11)+(67=$HL11)+(67=$HM11)+(67=$HN11)+(67=$HO11)&gt;=2,50,0))+BR$5*50)</f>
        <v/>
      </c>
      <c r="BS131">
        <f>IF(OR($JF11=0,calcA!$A$6=0),0,IF(OR(68=$HA11,68=$HD11,68=$HG11),200000,MIN(IF($HA11=0,999999,IF(3=$HB11,IF(68=$HJ11,IF($JC11=2,30,0),IF(68=$HK11,IF($JC11=1,30,0),ABS(20-$HC11)*100)),100000+ABS(3-$HB11)*1000+200)),IF($HD11=0,999999,IF(3=$HE11,IF(68=$HL11,IF($JD11=2,30,0),IF(68=$HM11,IF($JD11=1,30,0),ABS(20-$HF11)*100)),100000+ABS(3-$HE11)*1000+200)),IF($HG11=0,999999,IF(3=$HH11,IF(68=$HN11,IF($JE11=2,30,0),IF(68=$HO11,IF($JE11=1,30,0),ABS(20-$HI11)*100)),100000+ABS(3-$HH11)*1000+200)))-IF((68=$HJ11)+(68=$HK11)+(68=$HL11)+(68=$HM11)+(68=$HN11)+(68=$HO11)&gt;=2,50,0))+BS$5*50)</f>
        <v/>
      </c>
      <c r="BT131">
        <f>IF(OR($JF11=0,calcA!$A$6=0),0,IF(OR(69=$HA11,69=$HD11,69=$HG11),200000,MIN(IF($HA11=0,999999,IF(3=$HB11,IF(69=$HJ11,IF($JC11=2,30,0),IF(69=$HK11,IF($JC11=1,30,0),ABS(21-$HC11)*100)),100000+ABS(3-$HB11)*1000+210)),IF($HD11=0,999999,IF(3=$HE11,IF(69=$HL11,IF($JD11=2,30,0),IF(69=$HM11,IF($JD11=1,30,0),ABS(21-$HF11)*100)),100000+ABS(3-$HE11)*1000+210)),IF($HG11=0,999999,IF(3=$HH11,IF(69=$HN11,IF($JE11=2,30,0),IF(69=$HO11,IF($JE11=1,30,0),ABS(21-$HI11)*100)),100000+ABS(3-$HH11)*1000+210)))-IF((69=$HJ11)+(69=$HK11)+(69=$HL11)+(69=$HM11)+(69=$HN11)+(69=$HO11)&gt;=2,50,0))+BT$5*50)</f>
        <v/>
      </c>
      <c r="BU131">
        <f>IF(OR($JF11=0,calcA!$A$6=0),0,IF(OR(70=$HA11,70=$HD11,70=$HG11),200000,MIN(IF($HA11=0,999999,IF(3=$HB11,IF(70=$HJ11,IF($JC11=2,30,0),IF(70=$HK11,IF($JC11=1,30,0),ABS(22-$HC11)*100)),100000+ABS(3-$HB11)*1000+220)),IF($HD11=0,999999,IF(3=$HE11,IF(70=$HL11,IF($JD11=2,30,0),IF(70=$HM11,IF($JD11=1,30,0),ABS(22-$HF11)*100)),100000+ABS(3-$HE11)*1000+220)),IF($HG11=0,999999,IF(3=$HH11,IF(70=$HN11,IF($JE11=2,30,0),IF(70=$HO11,IF($JE11=1,30,0),ABS(22-$HI11)*100)),100000+ABS(3-$HH11)*1000+220)))-IF((70=$HJ11)+(70=$HK11)+(70=$HL11)+(70=$HM11)+(70=$HN11)+(70=$HO11)&gt;=2,50,0))+BU$5*50)</f>
        <v/>
      </c>
      <c r="BV131">
        <f>IF(OR($JF11=0,calcA!$A$6=0),0,IF(OR(71=$HA11,71=$HD11,71=$HG11),200000,MIN(IF($HA11=0,999999,IF(3=$HB11,IF(71=$HJ11,IF($JC11=2,30,0),IF(71=$HK11,IF($JC11=1,30,0),ABS(23-$HC11)*100)),100000+ABS(3-$HB11)*1000+230)),IF($HD11=0,999999,IF(3=$HE11,IF(71=$HL11,IF($JD11=2,30,0),IF(71=$HM11,IF($JD11=1,30,0),ABS(23-$HF11)*100)),100000+ABS(3-$HE11)*1000+230)),IF($HG11=0,999999,IF(3=$HH11,IF(71=$HN11,IF($JE11=2,30,0),IF(71=$HO11,IF($JE11=1,30,0),ABS(23-$HI11)*100)),100000+ABS(3-$HH11)*1000+230)))-IF((71=$HJ11)+(71=$HK11)+(71=$HL11)+(71=$HM11)+(71=$HN11)+(71=$HO11)&gt;=2,50,0))+BV$5*50)</f>
        <v/>
      </c>
      <c r="BW131">
        <f>IF(OR($JF11=0,calcA!$A$6=0),0,IF(OR(72=$HA11,72=$HD11,72=$HG11),200000,MIN(IF($HA11=0,999999,IF(3=$HB11,IF(72=$HJ11,IF($JC11=2,30,0),IF(72=$HK11,IF($JC11=1,30,0),ABS(24-$HC11)*100)),100000+ABS(3-$HB11)*1000+240)),IF($HD11=0,999999,IF(3=$HE11,IF(72=$HL11,IF($JD11=2,30,0),IF(72=$HM11,IF($JD11=1,30,0),ABS(24-$HF11)*100)),100000+ABS(3-$HE11)*1000+240)),IF($HG11=0,999999,IF(3=$HH11,IF(72=$HN11,IF($JE11=2,30,0),IF(72=$HO11,IF($JE11=1,30,0),ABS(24-$HI11)*100)),100000+ABS(3-$HH11)*1000+240)))-IF((72=$HJ11)+(72=$HK11)+(72=$HL11)+(72=$HM11)+(72=$HN11)+(72=$HO11)&gt;=2,50,0))+BW$5*50)</f>
        <v/>
      </c>
      <c r="BX131">
        <f>IF(OR($JF11=0,calcA!$A$6=0),0,IF(OR(73=$HA11,73=$HD11,73=$HG11),200000,MIN(IF($HA11=0,999999,IF(4=$HB11,IF(73=$HJ11,IF($JC11=2,30,0),IF(73=$HK11,IF($JC11=1,30,0),ABS(1-$HC11)*100)),100000+ABS(4-$HB11)*1000+10)),IF($HD11=0,999999,IF(4=$HE11,IF(73=$HL11,IF($JD11=2,30,0),IF(73=$HM11,IF($JD11=1,30,0),ABS(1-$HF11)*100)),100000+ABS(4-$HE11)*1000+10)),IF($HG11=0,999999,IF(4=$HH11,IF(73=$HN11,IF($JE11=2,30,0),IF(73=$HO11,IF($JE11=1,30,0),ABS(1-$HI11)*100)),100000+ABS(4-$HH11)*1000+10)))-IF((73=$HJ11)+(73=$HK11)+(73=$HL11)+(73=$HM11)+(73=$HN11)+(73=$HO11)&gt;=2,50,0))+BX$5*50)</f>
        <v/>
      </c>
      <c r="BY131">
        <f>IF(OR($JF11=0,calcA!$A$6=0),0,IF(OR(74=$HA11,74=$HD11,74=$HG11),200000,MIN(IF($HA11=0,999999,IF(4=$HB11,IF(74=$HJ11,IF($JC11=2,30,0),IF(74=$HK11,IF($JC11=1,30,0),ABS(2-$HC11)*100)),100000+ABS(4-$HB11)*1000+20)),IF($HD11=0,999999,IF(4=$HE11,IF(74=$HL11,IF($JD11=2,30,0),IF(74=$HM11,IF($JD11=1,30,0),ABS(2-$HF11)*100)),100000+ABS(4-$HE11)*1000+20)),IF($HG11=0,999999,IF(4=$HH11,IF(74=$HN11,IF($JE11=2,30,0),IF(74=$HO11,IF($JE11=1,30,0),ABS(2-$HI11)*100)),100000+ABS(4-$HH11)*1000+20)))-IF((74=$HJ11)+(74=$HK11)+(74=$HL11)+(74=$HM11)+(74=$HN11)+(74=$HO11)&gt;=2,50,0))+BY$5*50)</f>
        <v/>
      </c>
      <c r="BZ131">
        <f>IF(OR($JF11=0,calcA!$A$6=0),0,IF(OR(75=$HA11,75=$HD11,75=$HG11),200000,MIN(IF($HA11=0,999999,IF(4=$HB11,IF(75=$HJ11,IF($JC11=2,30,0),IF(75=$HK11,IF($JC11=1,30,0),ABS(3-$HC11)*100)),100000+ABS(4-$HB11)*1000+30)),IF($HD11=0,999999,IF(4=$HE11,IF(75=$HL11,IF($JD11=2,30,0),IF(75=$HM11,IF($JD11=1,30,0),ABS(3-$HF11)*100)),100000+ABS(4-$HE11)*1000+30)),IF($HG11=0,999999,IF(4=$HH11,IF(75=$HN11,IF($JE11=2,30,0),IF(75=$HO11,IF($JE11=1,30,0),ABS(3-$HI11)*100)),100000+ABS(4-$HH11)*1000+30)))-IF((75=$HJ11)+(75=$HK11)+(75=$HL11)+(75=$HM11)+(75=$HN11)+(75=$HO11)&gt;=2,50,0))+BZ$5*50)</f>
        <v/>
      </c>
      <c r="CA131">
        <f>IF(OR($JF11=0,calcA!$A$6=0),0,IF(OR(76=$HA11,76=$HD11,76=$HG11),200000,MIN(IF($HA11=0,999999,IF(4=$HB11,IF(76=$HJ11,IF($JC11=2,30,0),IF(76=$HK11,IF($JC11=1,30,0),ABS(4-$HC11)*100)),100000+ABS(4-$HB11)*1000+40)),IF($HD11=0,999999,IF(4=$HE11,IF(76=$HL11,IF($JD11=2,30,0),IF(76=$HM11,IF($JD11=1,30,0),ABS(4-$HF11)*100)),100000+ABS(4-$HE11)*1000+40)),IF($HG11=0,999999,IF(4=$HH11,IF(76=$HN11,IF($JE11=2,30,0),IF(76=$HO11,IF($JE11=1,30,0),ABS(4-$HI11)*100)),100000+ABS(4-$HH11)*1000+40)))-IF((76=$HJ11)+(76=$HK11)+(76=$HL11)+(76=$HM11)+(76=$HN11)+(76=$HO11)&gt;=2,50,0))+CA$5*50)</f>
        <v/>
      </c>
      <c r="CB131">
        <f>IF(OR($JF11=0,calcA!$A$6=0),0,IF(OR(77=$HA11,77=$HD11,77=$HG11),200000,MIN(IF($HA11=0,999999,IF(4=$HB11,IF(77=$HJ11,IF($JC11=2,30,0),IF(77=$HK11,IF($JC11=1,30,0),ABS(5-$HC11)*100)),100000+ABS(4-$HB11)*1000+50)),IF($HD11=0,999999,IF(4=$HE11,IF(77=$HL11,IF($JD11=2,30,0),IF(77=$HM11,IF($JD11=1,30,0),ABS(5-$HF11)*100)),100000+ABS(4-$HE11)*1000+50)),IF($HG11=0,999999,IF(4=$HH11,IF(77=$HN11,IF($JE11=2,30,0),IF(77=$HO11,IF($JE11=1,30,0),ABS(5-$HI11)*100)),100000+ABS(4-$HH11)*1000+50)))-IF((77=$HJ11)+(77=$HK11)+(77=$HL11)+(77=$HM11)+(77=$HN11)+(77=$HO11)&gt;=2,50,0))+CB$5*50)</f>
        <v/>
      </c>
      <c r="CC131">
        <f>IF(OR($JF11=0,calcA!$A$6=0),0,IF(OR(78=$HA11,78=$HD11,78=$HG11),200000,MIN(IF($HA11=0,999999,IF(4=$HB11,IF(78=$HJ11,IF($JC11=2,30,0),IF(78=$HK11,IF($JC11=1,30,0),ABS(6-$HC11)*100)),100000+ABS(4-$HB11)*1000+60)),IF($HD11=0,999999,IF(4=$HE11,IF(78=$HL11,IF($JD11=2,30,0),IF(78=$HM11,IF($JD11=1,30,0),ABS(6-$HF11)*100)),100000+ABS(4-$HE11)*1000+60)),IF($HG11=0,999999,IF(4=$HH11,IF(78=$HN11,IF($JE11=2,30,0),IF(78=$HO11,IF($JE11=1,30,0),ABS(6-$HI11)*100)),100000+ABS(4-$HH11)*1000+60)))-IF((78=$HJ11)+(78=$HK11)+(78=$HL11)+(78=$HM11)+(78=$HN11)+(78=$HO11)&gt;=2,50,0))+CC$5*50)</f>
        <v/>
      </c>
      <c r="CD131">
        <f>IF(OR($JF11=0,calcA!$A$6=0),0,IF(OR(79=$HA11,79=$HD11,79=$HG11),200000,MIN(IF($HA11=0,999999,IF(4=$HB11,IF(79=$HJ11,IF($JC11=2,30,0),IF(79=$HK11,IF($JC11=1,30,0),ABS(7-$HC11)*100)),100000+ABS(4-$HB11)*1000+70)),IF($HD11=0,999999,IF(4=$HE11,IF(79=$HL11,IF($JD11=2,30,0),IF(79=$HM11,IF($JD11=1,30,0),ABS(7-$HF11)*100)),100000+ABS(4-$HE11)*1000+70)),IF($HG11=0,999999,IF(4=$HH11,IF(79=$HN11,IF($JE11=2,30,0),IF(79=$HO11,IF($JE11=1,30,0),ABS(7-$HI11)*100)),100000+ABS(4-$HH11)*1000+70)))-IF((79=$HJ11)+(79=$HK11)+(79=$HL11)+(79=$HM11)+(79=$HN11)+(79=$HO11)&gt;=2,50,0))+CD$5*50)</f>
        <v/>
      </c>
      <c r="CE131">
        <f>IF(OR($JF11=0,calcA!$A$6=0),0,IF(OR(80=$HA11,80=$HD11,80=$HG11),200000,MIN(IF($HA11=0,999999,IF(4=$HB11,IF(80=$HJ11,IF($JC11=2,30,0),IF(80=$HK11,IF($JC11=1,30,0),ABS(8-$HC11)*100)),100000+ABS(4-$HB11)*1000+80)),IF($HD11=0,999999,IF(4=$HE11,IF(80=$HL11,IF($JD11=2,30,0),IF(80=$HM11,IF($JD11=1,30,0),ABS(8-$HF11)*100)),100000+ABS(4-$HE11)*1000+80)),IF($HG11=0,999999,IF(4=$HH11,IF(80=$HN11,IF($JE11=2,30,0),IF(80=$HO11,IF($JE11=1,30,0),ABS(8-$HI11)*100)),100000+ABS(4-$HH11)*1000+80)))-IF((80=$HJ11)+(80=$HK11)+(80=$HL11)+(80=$HM11)+(80=$HN11)+(80=$HO11)&gt;=2,50,0))+CE$5*50)</f>
        <v/>
      </c>
      <c r="CF131">
        <f>IF(OR($JF11=0,calcA!$A$6=0),0,IF(OR(81=$HA11,81=$HD11,81=$HG11),200000,MIN(IF($HA11=0,999999,IF(4=$HB11,IF(81=$HJ11,IF($JC11=2,30,0),IF(81=$HK11,IF($JC11=1,30,0),ABS(9-$HC11)*100)),100000+ABS(4-$HB11)*1000+90)),IF($HD11=0,999999,IF(4=$HE11,IF(81=$HL11,IF($JD11=2,30,0),IF(81=$HM11,IF($JD11=1,30,0),ABS(9-$HF11)*100)),100000+ABS(4-$HE11)*1000+90)),IF($HG11=0,999999,IF(4=$HH11,IF(81=$HN11,IF($JE11=2,30,0),IF(81=$HO11,IF($JE11=1,30,0),ABS(9-$HI11)*100)),100000+ABS(4-$HH11)*1000+90)))-IF((81=$HJ11)+(81=$HK11)+(81=$HL11)+(81=$HM11)+(81=$HN11)+(81=$HO11)&gt;=2,50,0))+CF$5*50)</f>
        <v/>
      </c>
      <c r="CG131">
        <f>IF(OR($JF11=0,calcA!$A$6=0),0,IF(OR(82=$HA11,82=$HD11,82=$HG11),200000,MIN(IF($HA11=0,999999,IF(4=$HB11,IF(82=$HJ11,IF($JC11=2,30,0),IF(82=$HK11,IF($JC11=1,30,0),ABS(10-$HC11)*100)),100000+ABS(4-$HB11)*1000+100)),IF($HD11=0,999999,IF(4=$HE11,IF(82=$HL11,IF($JD11=2,30,0),IF(82=$HM11,IF($JD11=1,30,0),ABS(10-$HF11)*100)),100000+ABS(4-$HE11)*1000+100)),IF($HG11=0,999999,IF(4=$HH11,IF(82=$HN11,IF($JE11=2,30,0),IF(82=$HO11,IF($JE11=1,30,0),ABS(10-$HI11)*100)),100000+ABS(4-$HH11)*1000+100)))-IF((82=$HJ11)+(82=$HK11)+(82=$HL11)+(82=$HM11)+(82=$HN11)+(82=$HO11)&gt;=2,50,0))+CG$5*50)</f>
        <v/>
      </c>
      <c r="CH131">
        <f>IF(OR($JF11=0,calcA!$A$6=0),0,IF(OR(83=$HA11,83=$HD11,83=$HG11),200000,MIN(IF($HA11=0,999999,IF(4=$HB11,IF(83=$HJ11,IF($JC11=2,30,0),IF(83=$HK11,IF($JC11=1,30,0),ABS(11-$HC11)*100)),100000+ABS(4-$HB11)*1000+110)),IF($HD11=0,999999,IF(4=$HE11,IF(83=$HL11,IF($JD11=2,30,0),IF(83=$HM11,IF($JD11=1,30,0),ABS(11-$HF11)*100)),100000+ABS(4-$HE11)*1000+110)),IF($HG11=0,999999,IF(4=$HH11,IF(83=$HN11,IF($JE11=2,30,0),IF(83=$HO11,IF($JE11=1,30,0),ABS(11-$HI11)*100)),100000+ABS(4-$HH11)*1000+110)))-IF((83=$HJ11)+(83=$HK11)+(83=$HL11)+(83=$HM11)+(83=$HN11)+(83=$HO11)&gt;=2,50,0))+CH$5*50)</f>
        <v/>
      </c>
      <c r="CI131">
        <f>IF(OR($JF11=0,calcA!$A$6=0),0,IF(OR(84=$HA11,84=$HD11,84=$HG11),200000,MIN(IF($HA11=0,999999,IF(4=$HB11,IF(84=$HJ11,IF($JC11=2,30,0),IF(84=$HK11,IF($JC11=1,30,0),ABS(12-$HC11)*100)),100000+ABS(4-$HB11)*1000+120)),IF($HD11=0,999999,IF(4=$HE11,IF(84=$HL11,IF($JD11=2,30,0),IF(84=$HM11,IF($JD11=1,30,0),ABS(12-$HF11)*100)),100000+ABS(4-$HE11)*1000+120)),IF($HG11=0,999999,IF(4=$HH11,IF(84=$HN11,IF($JE11=2,30,0),IF(84=$HO11,IF($JE11=1,30,0),ABS(12-$HI11)*100)),100000+ABS(4-$HH11)*1000+120)))-IF((84=$HJ11)+(84=$HK11)+(84=$HL11)+(84=$HM11)+(84=$HN11)+(84=$HO11)&gt;=2,50,0))+CI$5*50)</f>
        <v/>
      </c>
      <c r="CJ131">
        <f>IF(OR($JF11=0,calcA!$A$6=0),0,IF(OR(85=$HA11,85=$HD11,85=$HG11),200000,MIN(IF($HA11=0,999999,IF(4=$HB11,IF(85=$HJ11,IF($JC11=2,30,0),IF(85=$HK11,IF($JC11=1,30,0),ABS(13-$HC11)*100)),100000+ABS(4-$HB11)*1000+130)),IF($HD11=0,999999,IF(4=$HE11,IF(85=$HL11,IF($JD11=2,30,0),IF(85=$HM11,IF($JD11=1,30,0),ABS(13-$HF11)*100)),100000+ABS(4-$HE11)*1000+130)),IF($HG11=0,999999,IF(4=$HH11,IF(85=$HN11,IF($JE11=2,30,0),IF(85=$HO11,IF($JE11=1,30,0),ABS(13-$HI11)*100)),100000+ABS(4-$HH11)*1000+130)))-IF((85=$HJ11)+(85=$HK11)+(85=$HL11)+(85=$HM11)+(85=$HN11)+(85=$HO11)&gt;=2,50,0))+CJ$5*50)</f>
        <v/>
      </c>
      <c r="CK131">
        <f>IF(OR($JF11=0,calcA!$A$6=0),0,IF(OR(86=$HA11,86=$HD11,86=$HG11),200000,MIN(IF($HA11=0,999999,IF(4=$HB11,IF(86=$HJ11,IF($JC11=2,30,0),IF(86=$HK11,IF($JC11=1,30,0),ABS(14-$HC11)*100)),100000+ABS(4-$HB11)*1000+140)),IF($HD11=0,999999,IF(4=$HE11,IF(86=$HL11,IF($JD11=2,30,0),IF(86=$HM11,IF($JD11=1,30,0),ABS(14-$HF11)*100)),100000+ABS(4-$HE11)*1000+140)),IF($HG11=0,999999,IF(4=$HH11,IF(86=$HN11,IF($JE11=2,30,0),IF(86=$HO11,IF($JE11=1,30,0),ABS(14-$HI11)*100)),100000+ABS(4-$HH11)*1000+140)))-IF((86=$HJ11)+(86=$HK11)+(86=$HL11)+(86=$HM11)+(86=$HN11)+(86=$HO11)&gt;=2,50,0))+CK$5*50)</f>
        <v/>
      </c>
      <c r="CL131">
        <f>IF(OR($JF11=0,calcA!$A$6=0),0,IF(OR(87=$HA11,87=$HD11,87=$HG11),200000,MIN(IF($HA11=0,999999,IF(4=$HB11,IF(87=$HJ11,IF($JC11=2,30,0),IF(87=$HK11,IF($JC11=1,30,0),ABS(15-$HC11)*100)),100000+ABS(4-$HB11)*1000+150)),IF($HD11=0,999999,IF(4=$HE11,IF(87=$HL11,IF($JD11=2,30,0),IF(87=$HM11,IF($JD11=1,30,0),ABS(15-$HF11)*100)),100000+ABS(4-$HE11)*1000+150)),IF($HG11=0,999999,IF(4=$HH11,IF(87=$HN11,IF($JE11=2,30,0),IF(87=$HO11,IF($JE11=1,30,0),ABS(15-$HI11)*100)),100000+ABS(4-$HH11)*1000+150)))-IF((87=$HJ11)+(87=$HK11)+(87=$HL11)+(87=$HM11)+(87=$HN11)+(87=$HO11)&gt;=2,50,0))+CL$5*50)</f>
        <v/>
      </c>
      <c r="CM131">
        <f>IF(OR($JF11=0,calcA!$A$6=0),0,IF(OR(88=$HA11,88=$HD11,88=$HG11),200000,MIN(IF($HA11=0,999999,IF(4=$HB11,IF(88=$HJ11,IF($JC11=2,30,0),IF(88=$HK11,IF($JC11=1,30,0),ABS(16-$HC11)*100)),100000+ABS(4-$HB11)*1000+160)),IF($HD11=0,999999,IF(4=$HE11,IF(88=$HL11,IF($JD11=2,30,0),IF(88=$HM11,IF($JD11=1,30,0),ABS(16-$HF11)*100)),100000+ABS(4-$HE11)*1000+160)),IF($HG11=0,999999,IF(4=$HH11,IF(88=$HN11,IF($JE11=2,30,0),IF(88=$HO11,IF($JE11=1,30,0),ABS(16-$HI11)*100)),100000+ABS(4-$HH11)*1000+160)))-IF((88=$HJ11)+(88=$HK11)+(88=$HL11)+(88=$HM11)+(88=$HN11)+(88=$HO11)&gt;=2,50,0))+CM$5*50)</f>
        <v/>
      </c>
      <c r="CN131">
        <f>IF(OR($JF11=0,calcA!$A$6=0),0,IF(OR(89=$HA11,89=$HD11,89=$HG11),200000,MIN(IF($HA11=0,999999,IF(4=$HB11,IF(89=$HJ11,IF($JC11=2,30,0),IF(89=$HK11,IF($JC11=1,30,0),ABS(17-$HC11)*100)),100000+ABS(4-$HB11)*1000+170)),IF($HD11=0,999999,IF(4=$HE11,IF(89=$HL11,IF($JD11=2,30,0),IF(89=$HM11,IF($JD11=1,30,0),ABS(17-$HF11)*100)),100000+ABS(4-$HE11)*1000+170)),IF($HG11=0,999999,IF(4=$HH11,IF(89=$HN11,IF($JE11=2,30,0),IF(89=$HO11,IF($JE11=1,30,0),ABS(17-$HI11)*100)),100000+ABS(4-$HH11)*1000+170)))-IF((89=$HJ11)+(89=$HK11)+(89=$HL11)+(89=$HM11)+(89=$HN11)+(89=$HO11)&gt;=2,50,0))+CN$5*50)</f>
        <v/>
      </c>
      <c r="CO131">
        <f>IF(OR($JF11=0,calcA!$A$6=0),0,IF(OR(90=$HA11,90=$HD11,90=$HG11),200000,MIN(IF($HA11=0,999999,IF(4=$HB11,IF(90=$HJ11,IF($JC11=2,30,0),IF(90=$HK11,IF($JC11=1,30,0),ABS(18-$HC11)*100)),100000+ABS(4-$HB11)*1000+180)),IF($HD11=0,999999,IF(4=$HE11,IF(90=$HL11,IF($JD11=2,30,0),IF(90=$HM11,IF($JD11=1,30,0),ABS(18-$HF11)*100)),100000+ABS(4-$HE11)*1000+180)),IF($HG11=0,999999,IF(4=$HH11,IF(90=$HN11,IF($JE11=2,30,0),IF(90=$HO11,IF($JE11=1,30,0),ABS(18-$HI11)*100)),100000+ABS(4-$HH11)*1000+180)))-IF((90=$HJ11)+(90=$HK11)+(90=$HL11)+(90=$HM11)+(90=$HN11)+(90=$HO11)&gt;=2,50,0))+CO$5*50)</f>
        <v/>
      </c>
      <c r="CP131">
        <f>IF(OR($JF11=0,calcA!$A$6=0),0,IF(OR(91=$HA11,91=$HD11,91=$HG11),200000,MIN(IF($HA11=0,999999,IF(4=$HB11,IF(91=$HJ11,IF($JC11=2,30,0),IF(91=$HK11,IF($JC11=1,30,0),ABS(19-$HC11)*100)),100000+ABS(4-$HB11)*1000+190)),IF($HD11=0,999999,IF(4=$HE11,IF(91=$HL11,IF($JD11=2,30,0),IF(91=$HM11,IF($JD11=1,30,0),ABS(19-$HF11)*100)),100000+ABS(4-$HE11)*1000+190)),IF($HG11=0,999999,IF(4=$HH11,IF(91=$HN11,IF($JE11=2,30,0),IF(91=$HO11,IF($JE11=1,30,0),ABS(19-$HI11)*100)),100000+ABS(4-$HH11)*1000+190)))-IF((91=$HJ11)+(91=$HK11)+(91=$HL11)+(91=$HM11)+(91=$HN11)+(91=$HO11)&gt;=2,50,0))+CP$5*50)</f>
        <v/>
      </c>
      <c r="CQ131">
        <f>IF(OR($JF11=0,calcA!$A$6=0),0,IF(OR(92=$HA11,92=$HD11,92=$HG11),200000,MIN(IF($HA11=0,999999,IF(4=$HB11,IF(92=$HJ11,IF($JC11=2,30,0),IF(92=$HK11,IF($JC11=1,30,0),ABS(20-$HC11)*100)),100000+ABS(4-$HB11)*1000+200)),IF($HD11=0,999999,IF(4=$HE11,IF(92=$HL11,IF($JD11=2,30,0),IF(92=$HM11,IF($JD11=1,30,0),ABS(20-$HF11)*100)),100000+ABS(4-$HE11)*1000+200)),IF($HG11=0,999999,IF(4=$HH11,IF(92=$HN11,IF($JE11=2,30,0),IF(92=$HO11,IF($JE11=1,30,0),ABS(20-$HI11)*100)),100000+ABS(4-$HH11)*1000+200)))-IF((92=$HJ11)+(92=$HK11)+(92=$HL11)+(92=$HM11)+(92=$HN11)+(92=$HO11)&gt;=2,50,0))+CQ$5*50)</f>
        <v/>
      </c>
      <c r="CR131">
        <f>IF(OR($JF11=0,calcA!$A$6=0),0,IF(OR(93=$HA11,93=$HD11,93=$HG11),200000,MIN(IF($HA11=0,999999,IF(4=$HB11,IF(93=$HJ11,IF($JC11=2,30,0),IF(93=$HK11,IF($JC11=1,30,0),ABS(21-$HC11)*100)),100000+ABS(4-$HB11)*1000+210)),IF($HD11=0,999999,IF(4=$HE11,IF(93=$HL11,IF($JD11=2,30,0),IF(93=$HM11,IF($JD11=1,30,0),ABS(21-$HF11)*100)),100000+ABS(4-$HE11)*1000+210)),IF($HG11=0,999999,IF(4=$HH11,IF(93=$HN11,IF($JE11=2,30,0),IF(93=$HO11,IF($JE11=1,30,0),ABS(21-$HI11)*100)),100000+ABS(4-$HH11)*1000+210)))-IF((93=$HJ11)+(93=$HK11)+(93=$HL11)+(93=$HM11)+(93=$HN11)+(93=$HO11)&gt;=2,50,0))+CR$5*50)</f>
        <v/>
      </c>
      <c r="CS131">
        <f>IF(OR($JF11=0,calcA!$A$6=0),0,IF(OR(94=$HA11,94=$HD11,94=$HG11),200000,MIN(IF($HA11=0,999999,IF(4=$HB11,IF(94=$HJ11,IF($JC11=2,30,0),IF(94=$HK11,IF($JC11=1,30,0),ABS(22-$HC11)*100)),100000+ABS(4-$HB11)*1000+220)),IF($HD11=0,999999,IF(4=$HE11,IF(94=$HL11,IF($JD11=2,30,0),IF(94=$HM11,IF($JD11=1,30,0),ABS(22-$HF11)*100)),100000+ABS(4-$HE11)*1000+220)),IF($HG11=0,999999,IF(4=$HH11,IF(94=$HN11,IF($JE11=2,30,0),IF(94=$HO11,IF($JE11=1,30,0),ABS(22-$HI11)*100)),100000+ABS(4-$HH11)*1000+220)))-IF((94=$HJ11)+(94=$HK11)+(94=$HL11)+(94=$HM11)+(94=$HN11)+(94=$HO11)&gt;=2,50,0))+CS$5*50)</f>
        <v/>
      </c>
      <c r="CT131">
        <f>IF(OR($JF11=0,calcA!$A$6=0),0,IF(OR(95=$HA11,95=$HD11,95=$HG11),200000,MIN(IF($HA11=0,999999,IF(4=$HB11,IF(95=$HJ11,IF($JC11=2,30,0),IF(95=$HK11,IF($JC11=1,30,0),ABS(23-$HC11)*100)),100000+ABS(4-$HB11)*1000+230)),IF($HD11=0,999999,IF(4=$HE11,IF(95=$HL11,IF($JD11=2,30,0),IF(95=$HM11,IF($JD11=1,30,0),ABS(23-$HF11)*100)),100000+ABS(4-$HE11)*1000+230)),IF($HG11=0,999999,IF(4=$HH11,IF(95=$HN11,IF($JE11=2,30,0),IF(95=$HO11,IF($JE11=1,30,0),ABS(23-$HI11)*100)),100000+ABS(4-$HH11)*1000+230)))-IF((95=$HJ11)+(95=$HK11)+(95=$HL11)+(95=$HM11)+(95=$HN11)+(95=$HO11)&gt;=2,50,0))+CT$5*50)</f>
        <v/>
      </c>
      <c r="CU131">
        <f>IF(OR($JF11=0,calcA!$A$6=0),0,IF(OR(96=$HA11,96=$HD11,96=$HG11),200000,MIN(IF($HA11=0,999999,IF(4=$HB11,IF(96=$HJ11,IF($JC11=2,30,0),IF(96=$HK11,IF($JC11=1,30,0),ABS(24-$HC11)*100)),100000+ABS(4-$HB11)*1000+240)),IF($HD11=0,999999,IF(4=$HE11,IF(96=$HL11,IF($JD11=2,30,0),IF(96=$HM11,IF($JD11=1,30,0),ABS(24-$HF11)*100)),100000+ABS(4-$HE11)*1000+240)),IF($HG11=0,999999,IF(4=$HH11,IF(96=$HN11,IF($JE11=2,30,0),IF(96=$HO11,IF($JE11=1,30,0),ABS(24-$HI11)*100)),100000+ABS(4-$HH11)*1000+240)))-IF((96=$HJ11)+(96=$HK11)+(96=$HL11)+(96=$HM11)+(96=$HN11)+(96=$HO11)&gt;=2,50,0))+CU$5*50)</f>
        <v/>
      </c>
      <c r="CV131">
        <f>IF(OR($JF11=0,calcA!$A$6=0),0,IF(OR(97=$HA11,97=$HD11,97=$HG11),200000,MIN(IF($HA11=0,999999,IF(5=$HB11,IF(97=$HJ11,IF($JC11=2,30,0),IF(97=$HK11,IF($JC11=1,30,0),ABS(1-$HC11)*100)),100000+ABS(5-$HB11)*1000+10)),IF($HD11=0,999999,IF(5=$HE11,IF(97=$HL11,IF($JD11=2,30,0),IF(97=$HM11,IF($JD11=1,30,0),ABS(1-$HF11)*100)),100000+ABS(5-$HE11)*1000+10)),IF($HG11=0,999999,IF(5=$HH11,IF(97=$HN11,IF($JE11=2,30,0),IF(97=$HO11,IF($JE11=1,30,0),ABS(1-$HI11)*100)),100000+ABS(5-$HH11)*1000+10)))-IF((97=$HJ11)+(97=$HK11)+(97=$HL11)+(97=$HM11)+(97=$HN11)+(97=$HO11)&gt;=2,50,0))+CV$5*50)</f>
        <v/>
      </c>
      <c r="CW131">
        <f>IF(OR($JF11=0,calcA!$A$6=0),0,IF(OR(98=$HA11,98=$HD11,98=$HG11),200000,MIN(IF($HA11=0,999999,IF(5=$HB11,IF(98=$HJ11,IF($JC11=2,30,0),IF(98=$HK11,IF($JC11=1,30,0),ABS(2-$HC11)*100)),100000+ABS(5-$HB11)*1000+20)),IF($HD11=0,999999,IF(5=$HE11,IF(98=$HL11,IF($JD11=2,30,0),IF(98=$HM11,IF($JD11=1,30,0),ABS(2-$HF11)*100)),100000+ABS(5-$HE11)*1000+20)),IF($HG11=0,999999,IF(5=$HH11,IF(98=$HN11,IF($JE11=2,30,0),IF(98=$HO11,IF($JE11=1,30,0),ABS(2-$HI11)*100)),100000+ABS(5-$HH11)*1000+20)))-IF((98=$HJ11)+(98=$HK11)+(98=$HL11)+(98=$HM11)+(98=$HN11)+(98=$HO11)&gt;=2,50,0))+CW$5*50)</f>
        <v/>
      </c>
      <c r="CX131">
        <f>IF(OR($JF11=0,calcA!$A$6=0),0,IF(OR(99=$HA11,99=$HD11,99=$HG11),200000,MIN(IF($HA11=0,999999,IF(5=$HB11,IF(99=$HJ11,IF($JC11=2,30,0),IF(99=$HK11,IF($JC11=1,30,0),ABS(3-$HC11)*100)),100000+ABS(5-$HB11)*1000+30)),IF($HD11=0,999999,IF(5=$HE11,IF(99=$HL11,IF($JD11=2,30,0),IF(99=$HM11,IF($JD11=1,30,0),ABS(3-$HF11)*100)),100000+ABS(5-$HE11)*1000+30)),IF($HG11=0,999999,IF(5=$HH11,IF(99=$HN11,IF($JE11=2,30,0),IF(99=$HO11,IF($JE11=1,30,0),ABS(3-$HI11)*100)),100000+ABS(5-$HH11)*1000+30)))-IF((99=$HJ11)+(99=$HK11)+(99=$HL11)+(99=$HM11)+(99=$HN11)+(99=$HO11)&gt;=2,50,0))+CX$5*50)</f>
        <v/>
      </c>
      <c r="CY131">
        <f>IF(OR($JF11=0,calcA!$A$6=0),0,IF(OR(100=$HA11,100=$HD11,100=$HG11),200000,MIN(IF($HA11=0,999999,IF(5=$HB11,IF(100=$HJ11,IF($JC11=2,30,0),IF(100=$HK11,IF($JC11=1,30,0),ABS(4-$HC11)*100)),100000+ABS(5-$HB11)*1000+40)),IF($HD11=0,999999,IF(5=$HE11,IF(100=$HL11,IF($JD11=2,30,0),IF(100=$HM11,IF($JD11=1,30,0),ABS(4-$HF11)*100)),100000+ABS(5-$HE11)*1000+40)),IF($HG11=0,999999,IF(5=$HH11,IF(100=$HN11,IF($JE11=2,30,0),IF(100=$HO11,IF($JE11=1,30,0),ABS(4-$HI11)*100)),100000+ABS(5-$HH11)*1000+40)))-IF((100=$HJ11)+(100=$HK11)+(100=$HL11)+(100=$HM11)+(100=$HN11)+(100=$HO11)&gt;=2,50,0))+CY$5*50)</f>
        <v/>
      </c>
      <c r="CZ131">
        <f>IF(OR($JF11=0,calcA!$A$6=0),0,IF(OR(101=$HA11,101=$HD11,101=$HG11),200000,MIN(IF($HA11=0,999999,IF(5=$HB11,IF(101=$HJ11,IF($JC11=2,30,0),IF(101=$HK11,IF($JC11=1,30,0),ABS(5-$HC11)*100)),100000+ABS(5-$HB11)*1000+50)),IF($HD11=0,999999,IF(5=$HE11,IF(101=$HL11,IF($JD11=2,30,0),IF(101=$HM11,IF($JD11=1,30,0),ABS(5-$HF11)*100)),100000+ABS(5-$HE11)*1000+50)),IF($HG11=0,999999,IF(5=$HH11,IF(101=$HN11,IF($JE11=2,30,0),IF(101=$HO11,IF($JE11=1,30,0),ABS(5-$HI11)*100)),100000+ABS(5-$HH11)*1000+50)))-IF((101=$HJ11)+(101=$HK11)+(101=$HL11)+(101=$HM11)+(101=$HN11)+(101=$HO11)&gt;=2,50,0))+CZ$5*50)</f>
        <v/>
      </c>
      <c r="DA131">
        <f>IF(OR($JF11=0,calcA!$A$6=0),0,IF(OR(102=$HA11,102=$HD11,102=$HG11),200000,MIN(IF($HA11=0,999999,IF(5=$HB11,IF(102=$HJ11,IF($JC11=2,30,0),IF(102=$HK11,IF($JC11=1,30,0),ABS(6-$HC11)*100)),100000+ABS(5-$HB11)*1000+60)),IF($HD11=0,999999,IF(5=$HE11,IF(102=$HL11,IF($JD11=2,30,0),IF(102=$HM11,IF($JD11=1,30,0),ABS(6-$HF11)*100)),100000+ABS(5-$HE11)*1000+60)),IF($HG11=0,999999,IF(5=$HH11,IF(102=$HN11,IF($JE11=2,30,0),IF(102=$HO11,IF($JE11=1,30,0),ABS(6-$HI11)*100)),100000+ABS(5-$HH11)*1000+60)))-IF((102=$HJ11)+(102=$HK11)+(102=$HL11)+(102=$HM11)+(102=$HN11)+(102=$HO11)&gt;=2,50,0))+DA$5*50)</f>
        <v/>
      </c>
      <c r="DB131">
        <f>IF(OR($JF11=0,calcA!$A$6=0),0,IF(OR(103=$HA11,103=$HD11,103=$HG11),200000,MIN(IF($HA11=0,999999,IF(5=$HB11,IF(103=$HJ11,IF($JC11=2,30,0),IF(103=$HK11,IF($JC11=1,30,0),ABS(7-$HC11)*100)),100000+ABS(5-$HB11)*1000+70)),IF($HD11=0,999999,IF(5=$HE11,IF(103=$HL11,IF($JD11=2,30,0),IF(103=$HM11,IF($JD11=1,30,0),ABS(7-$HF11)*100)),100000+ABS(5-$HE11)*1000+70)),IF($HG11=0,999999,IF(5=$HH11,IF(103=$HN11,IF($JE11=2,30,0),IF(103=$HO11,IF($JE11=1,30,0),ABS(7-$HI11)*100)),100000+ABS(5-$HH11)*1000+70)))-IF((103=$HJ11)+(103=$HK11)+(103=$HL11)+(103=$HM11)+(103=$HN11)+(103=$HO11)&gt;=2,50,0))+DB$5*50)</f>
        <v/>
      </c>
      <c r="DC131">
        <f>IF(OR($JF11=0,calcA!$A$6=0),0,IF(OR(104=$HA11,104=$HD11,104=$HG11),200000,MIN(IF($HA11=0,999999,IF(5=$HB11,IF(104=$HJ11,IF($JC11=2,30,0),IF(104=$HK11,IF($JC11=1,30,0),ABS(8-$HC11)*100)),100000+ABS(5-$HB11)*1000+80)),IF($HD11=0,999999,IF(5=$HE11,IF(104=$HL11,IF($JD11=2,30,0),IF(104=$HM11,IF($JD11=1,30,0),ABS(8-$HF11)*100)),100000+ABS(5-$HE11)*1000+80)),IF($HG11=0,999999,IF(5=$HH11,IF(104=$HN11,IF($JE11=2,30,0),IF(104=$HO11,IF($JE11=1,30,0),ABS(8-$HI11)*100)),100000+ABS(5-$HH11)*1000+80)))-IF((104=$HJ11)+(104=$HK11)+(104=$HL11)+(104=$HM11)+(104=$HN11)+(104=$HO11)&gt;=2,50,0))+DC$5*50)</f>
        <v/>
      </c>
      <c r="DD131">
        <f>IF(OR($JF11=0,calcA!$A$6=0),0,IF(OR(105=$HA11,105=$HD11,105=$HG11),200000,MIN(IF($HA11=0,999999,IF(5=$HB11,IF(105=$HJ11,IF($JC11=2,30,0),IF(105=$HK11,IF($JC11=1,30,0),ABS(9-$HC11)*100)),100000+ABS(5-$HB11)*1000+90)),IF($HD11=0,999999,IF(5=$HE11,IF(105=$HL11,IF($JD11=2,30,0),IF(105=$HM11,IF($JD11=1,30,0),ABS(9-$HF11)*100)),100000+ABS(5-$HE11)*1000+90)),IF($HG11=0,999999,IF(5=$HH11,IF(105=$HN11,IF($JE11=2,30,0),IF(105=$HO11,IF($JE11=1,30,0),ABS(9-$HI11)*100)),100000+ABS(5-$HH11)*1000+90)))-IF((105=$HJ11)+(105=$HK11)+(105=$HL11)+(105=$HM11)+(105=$HN11)+(105=$HO11)&gt;=2,50,0))+DD$5*50)</f>
        <v/>
      </c>
      <c r="DE131">
        <f>IF(OR($JF11=0,calcA!$A$6=0),0,IF(OR(106=$HA11,106=$HD11,106=$HG11),200000,MIN(IF($HA11=0,999999,IF(5=$HB11,IF(106=$HJ11,IF($JC11=2,30,0),IF(106=$HK11,IF($JC11=1,30,0),ABS(10-$HC11)*100)),100000+ABS(5-$HB11)*1000+100)),IF($HD11=0,999999,IF(5=$HE11,IF(106=$HL11,IF($JD11=2,30,0),IF(106=$HM11,IF($JD11=1,30,0),ABS(10-$HF11)*100)),100000+ABS(5-$HE11)*1000+100)),IF($HG11=0,999999,IF(5=$HH11,IF(106=$HN11,IF($JE11=2,30,0),IF(106=$HO11,IF($JE11=1,30,0),ABS(10-$HI11)*100)),100000+ABS(5-$HH11)*1000+100)))-IF((106=$HJ11)+(106=$HK11)+(106=$HL11)+(106=$HM11)+(106=$HN11)+(106=$HO11)&gt;=2,50,0))+DE$5*50)</f>
        <v/>
      </c>
      <c r="DF131">
        <f>IF(OR($JF11=0,calcA!$A$6=0),0,IF(OR(107=$HA11,107=$HD11,107=$HG11),200000,MIN(IF($HA11=0,999999,IF(5=$HB11,IF(107=$HJ11,IF($JC11=2,30,0),IF(107=$HK11,IF($JC11=1,30,0),ABS(11-$HC11)*100)),100000+ABS(5-$HB11)*1000+110)),IF($HD11=0,999999,IF(5=$HE11,IF(107=$HL11,IF($JD11=2,30,0),IF(107=$HM11,IF($JD11=1,30,0),ABS(11-$HF11)*100)),100000+ABS(5-$HE11)*1000+110)),IF($HG11=0,999999,IF(5=$HH11,IF(107=$HN11,IF($JE11=2,30,0),IF(107=$HO11,IF($JE11=1,30,0),ABS(11-$HI11)*100)),100000+ABS(5-$HH11)*1000+110)))-IF((107=$HJ11)+(107=$HK11)+(107=$HL11)+(107=$HM11)+(107=$HN11)+(107=$HO11)&gt;=2,50,0))+DF$5*50)</f>
        <v/>
      </c>
      <c r="DG131">
        <f>IF(OR($JF11=0,calcA!$A$6=0),0,IF(OR(108=$HA11,108=$HD11,108=$HG11),200000,MIN(IF($HA11=0,999999,IF(5=$HB11,IF(108=$HJ11,IF($JC11=2,30,0),IF(108=$HK11,IF($JC11=1,30,0),ABS(12-$HC11)*100)),100000+ABS(5-$HB11)*1000+120)),IF($HD11=0,999999,IF(5=$HE11,IF(108=$HL11,IF($JD11=2,30,0),IF(108=$HM11,IF($JD11=1,30,0),ABS(12-$HF11)*100)),100000+ABS(5-$HE11)*1000+120)),IF($HG11=0,999999,IF(5=$HH11,IF(108=$HN11,IF($JE11=2,30,0),IF(108=$HO11,IF($JE11=1,30,0),ABS(12-$HI11)*100)),100000+ABS(5-$HH11)*1000+120)))-IF((108=$HJ11)+(108=$HK11)+(108=$HL11)+(108=$HM11)+(108=$HN11)+(108=$HO11)&gt;=2,50,0))+DG$5*50)</f>
        <v/>
      </c>
      <c r="DH131">
        <f>IF(OR($JF11=0,calcA!$A$6=0),0,IF(OR(109=$HA11,109=$HD11,109=$HG11),200000,MIN(IF($HA11=0,999999,IF(5=$HB11,IF(109=$HJ11,IF($JC11=2,30,0),IF(109=$HK11,IF($JC11=1,30,0),ABS(13-$HC11)*100)),100000+ABS(5-$HB11)*1000+130)),IF($HD11=0,999999,IF(5=$HE11,IF(109=$HL11,IF($JD11=2,30,0),IF(109=$HM11,IF($JD11=1,30,0),ABS(13-$HF11)*100)),100000+ABS(5-$HE11)*1000+130)),IF($HG11=0,999999,IF(5=$HH11,IF(109=$HN11,IF($JE11=2,30,0),IF(109=$HO11,IF($JE11=1,30,0),ABS(13-$HI11)*100)),100000+ABS(5-$HH11)*1000+130)))-IF((109=$HJ11)+(109=$HK11)+(109=$HL11)+(109=$HM11)+(109=$HN11)+(109=$HO11)&gt;=2,50,0))+DH$5*50)</f>
        <v/>
      </c>
      <c r="DI131">
        <f>IF(OR($JF11=0,calcA!$A$6=0),0,IF(OR(110=$HA11,110=$HD11,110=$HG11),200000,MIN(IF($HA11=0,999999,IF(5=$HB11,IF(110=$HJ11,IF($JC11=2,30,0),IF(110=$HK11,IF($JC11=1,30,0),ABS(14-$HC11)*100)),100000+ABS(5-$HB11)*1000+140)),IF($HD11=0,999999,IF(5=$HE11,IF(110=$HL11,IF($JD11=2,30,0),IF(110=$HM11,IF($JD11=1,30,0),ABS(14-$HF11)*100)),100000+ABS(5-$HE11)*1000+140)),IF($HG11=0,999999,IF(5=$HH11,IF(110=$HN11,IF($JE11=2,30,0),IF(110=$HO11,IF($JE11=1,30,0),ABS(14-$HI11)*100)),100000+ABS(5-$HH11)*1000+140)))-IF((110=$HJ11)+(110=$HK11)+(110=$HL11)+(110=$HM11)+(110=$HN11)+(110=$HO11)&gt;=2,50,0))+DI$5*50)</f>
        <v/>
      </c>
      <c r="DJ131">
        <f>IF(OR($JF11=0,calcA!$A$6=0),0,IF(OR(111=$HA11,111=$HD11,111=$HG11),200000,MIN(IF($HA11=0,999999,IF(5=$HB11,IF(111=$HJ11,IF($JC11=2,30,0),IF(111=$HK11,IF($JC11=1,30,0),ABS(15-$HC11)*100)),100000+ABS(5-$HB11)*1000+150)),IF($HD11=0,999999,IF(5=$HE11,IF(111=$HL11,IF($JD11=2,30,0),IF(111=$HM11,IF($JD11=1,30,0),ABS(15-$HF11)*100)),100000+ABS(5-$HE11)*1000+150)),IF($HG11=0,999999,IF(5=$HH11,IF(111=$HN11,IF($JE11=2,30,0),IF(111=$HO11,IF($JE11=1,30,0),ABS(15-$HI11)*100)),100000+ABS(5-$HH11)*1000+150)))-IF((111=$HJ11)+(111=$HK11)+(111=$HL11)+(111=$HM11)+(111=$HN11)+(111=$HO11)&gt;=2,50,0))+DJ$5*50)</f>
        <v/>
      </c>
      <c r="DK131">
        <f>IF(OR($JF11=0,calcA!$A$6=0),0,IF(OR(112=$HA11,112=$HD11,112=$HG11),200000,MIN(IF($HA11=0,999999,IF(5=$HB11,IF(112=$HJ11,IF($JC11=2,30,0),IF(112=$HK11,IF($JC11=1,30,0),ABS(16-$HC11)*100)),100000+ABS(5-$HB11)*1000+160)),IF($HD11=0,999999,IF(5=$HE11,IF(112=$HL11,IF($JD11=2,30,0),IF(112=$HM11,IF($JD11=1,30,0),ABS(16-$HF11)*100)),100000+ABS(5-$HE11)*1000+160)),IF($HG11=0,999999,IF(5=$HH11,IF(112=$HN11,IF($JE11=2,30,0),IF(112=$HO11,IF($JE11=1,30,0),ABS(16-$HI11)*100)),100000+ABS(5-$HH11)*1000+160)))-IF((112=$HJ11)+(112=$HK11)+(112=$HL11)+(112=$HM11)+(112=$HN11)+(112=$HO11)&gt;=2,50,0))+DK$5*50)</f>
        <v/>
      </c>
      <c r="DL131">
        <f>IF(OR($JF11=0,calcA!$A$6=0),0,IF(OR(113=$HA11,113=$HD11,113=$HG11),200000,MIN(IF($HA11=0,999999,IF(5=$HB11,IF(113=$HJ11,IF($JC11=2,30,0),IF(113=$HK11,IF($JC11=1,30,0),ABS(17-$HC11)*100)),100000+ABS(5-$HB11)*1000+170)),IF($HD11=0,999999,IF(5=$HE11,IF(113=$HL11,IF($JD11=2,30,0),IF(113=$HM11,IF($JD11=1,30,0),ABS(17-$HF11)*100)),100000+ABS(5-$HE11)*1000+170)),IF($HG11=0,999999,IF(5=$HH11,IF(113=$HN11,IF($JE11=2,30,0),IF(113=$HO11,IF($JE11=1,30,0),ABS(17-$HI11)*100)),100000+ABS(5-$HH11)*1000+170)))-IF((113=$HJ11)+(113=$HK11)+(113=$HL11)+(113=$HM11)+(113=$HN11)+(113=$HO11)&gt;=2,50,0))+DL$5*50)</f>
        <v/>
      </c>
      <c r="DM131">
        <f>IF(OR($JF11=0,calcA!$A$6=0),0,IF(OR(114=$HA11,114=$HD11,114=$HG11),200000,MIN(IF($HA11=0,999999,IF(5=$HB11,IF(114=$HJ11,IF($JC11=2,30,0),IF(114=$HK11,IF($JC11=1,30,0),ABS(18-$HC11)*100)),100000+ABS(5-$HB11)*1000+180)),IF($HD11=0,999999,IF(5=$HE11,IF(114=$HL11,IF($JD11=2,30,0),IF(114=$HM11,IF($JD11=1,30,0),ABS(18-$HF11)*100)),100000+ABS(5-$HE11)*1000+180)),IF($HG11=0,999999,IF(5=$HH11,IF(114=$HN11,IF($JE11=2,30,0),IF(114=$HO11,IF($JE11=1,30,0),ABS(18-$HI11)*100)),100000+ABS(5-$HH11)*1000+180)))-IF((114=$HJ11)+(114=$HK11)+(114=$HL11)+(114=$HM11)+(114=$HN11)+(114=$HO11)&gt;=2,50,0))+DM$5*50)</f>
        <v/>
      </c>
      <c r="DN131">
        <f>IF(OR($JF11=0,calcA!$A$6=0),0,IF(OR(115=$HA11,115=$HD11,115=$HG11),200000,MIN(IF($HA11=0,999999,IF(5=$HB11,IF(115=$HJ11,IF($JC11=2,30,0),IF(115=$HK11,IF($JC11=1,30,0),ABS(19-$HC11)*100)),100000+ABS(5-$HB11)*1000+190)),IF($HD11=0,999999,IF(5=$HE11,IF(115=$HL11,IF($JD11=2,30,0),IF(115=$HM11,IF($JD11=1,30,0),ABS(19-$HF11)*100)),100000+ABS(5-$HE11)*1000+190)),IF($HG11=0,999999,IF(5=$HH11,IF(115=$HN11,IF($JE11=2,30,0),IF(115=$HO11,IF($JE11=1,30,0),ABS(19-$HI11)*100)),100000+ABS(5-$HH11)*1000+190)))-IF((115=$HJ11)+(115=$HK11)+(115=$HL11)+(115=$HM11)+(115=$HN11)+(115=$HO11)&gt;=2,50,0))+DN$5*50)</f>
        <v/>
      </c>
      <c r="DO131">
        <f>IF(OR($JF11=0,calcA!$A$6=0),0,IF(OR(116=$HA11,116=$HD11,116=$HG11),200000,MIN(IF($HA11=0,999999,IF(5=$HB11,IF(116=$HJ11,IF($JC11=2,30,0),IF(116=$HK11,IF($JC11=1,30,0),ABS(20-$HC11)*100)),100000+ABS(5-$HB11)*1000+200)),IF($HD11=0,999999,IF(5=$HE11,IF(116=$HL11,IF($JD11=2,30,0),IF(116=$HM11,IF($JD11=1,30,0),ABS(20-$HF11)*100)),100000+ABS(5-$HE11)*1000+200)),IF($HG11=0,999999,IF(5=$HH11,IF(116=$HN11,IF($JE11=2,30,0),IF(116=$HO11,IF($JE11=1,30,0),ABS(20-$HI11)*100)),100000+ABS(5-$HH11)*1000+200)))-IF((116=$HJ11)+(116=$HK11)+(116=$HL11)+(116=$HM11)+(116=$HN11)+(116=$HO11)&gt;=2,50,0))+DO$5*50)</f>
        <v/>
      </c>
      <c r="DP131">
        <f>IF(OR($JF11=0,calcA!$A$6=0),0,IF(OR(117=$HA11,117=$HD11,117=$HG11),200000,MIN(IF($HA11=0,999999,IF(5=$HB11,IF(117=$HJ11,IF($JC11=2,30,0),IF(117=$HK11,IF($JC11=1,30,0),ABS(21-$HC11)*100)),100000+ABS(5-$HB11)*1000+210)),IF($HD11=0,999999,IF(5=$HE11,IF(117=$HL11,IF($JD11=2,30,0),IF(117=$HM11,IF($JD11=1,30,0),ABS(21-$HF11)*100)),100000+ABS(5-$HE11)*1000+210)),IF($HG11=0,999999,IF(5=$HH11,IF(117=$HN11,IF($JE11=2,30,0),IF(117=$HO11,IF($JE11=1,30,0),ABS(21-$HI11)*100)),100000+ABS(5-$HH11)*1000+210)))-IF((117=$HJ11)+(117=$HK11)+(117=$HL11)+(117=$HM11)+(117=$HN11)+(117=$HO11)&gt;=2,50,0))+DP$5*50)</f>
        <v/>
      </c>
      <c r="DQ131">
        <f>IF(OR($JF11=0,calcA!$A$6=0),0,IF(OR(118=$HA11,118=$HD11,118=$HG11),200000,MIN(IF($HA11=0,999999,IF(5=$HB11,IF(118=$HJ11,IF($JC11=2,30,0),IF(118=$HK11,IF($JC11=1,30,0),ABS(22-$HC11)*100)),100000+ABS(5-$HB11)*1000+220)),IF($HD11=0,999999,IF(5=$HE11,IF(118=$HL11,IF($JD11=2,30,0),IF(118=$HM11,IF($JD11=1,30,0),ABS(22-$HF11)*100)),100000+ABS(5-$HE11)*1000+220)),IF($HG11=0,999999,IF(5=$HH11,IF(118=$HN11,IF($JE11=2,30,0),IF(118=$HO11,IF($JE11=1,30,0),ABS(22-$HI11)*100)),100000+ABS(5-$HH11)*1000+220)))-IF((118=$HJ11)+(118=$HK11)+(118=$HL11)+(118=$HM11)+(118=$HN11)+(118=$HO11)&gt;=2,50,0))+DQ$5*50)</f>
        <v/>
      </c>
      <c r="DR131">
        <f>IF(OR($JF11=0,calcA!$A$6=0),0,IF(OR(119=$HA11,119=$HD11,119=$HG11),200000,MIN(IF($HA11=0,999999,IF(5=$HB11,IF(119=$HJ11,IF($JC11=2,30,0),IF(119=$HK11,IF($JC11=1,30,0),ABS(23-$HC11)*100)),100000+ABS(5-$HB11)*1000+230)),IF($HD11=0,999999,IF(5=$HE11,IF(119=$HL11,IF($JD11=2,30,0),IF(119=$HM11,IF($JD11=1,30,0),ABS(23-$HF11)*100)),100000+ABS(5-$HE11)*1000+230)),IF($HG11=0,999999,IF(5=$HH11,IF(119=$HN11,IF($JE11=2,30,0),IF(119=$HO11,IF($JE11=1,30,0),ABS(23-$HI11)*100)),100000+ABS(5-$HH11)*1000+230)))-IF((119=$HJ11)+(119=$HK11)+(119=$HL11)+(119=$HM11)+(119=$HN11)+(119=$HO11)&gt;=2,50,0))+DR$5*50)</f>
        <v/>
      </c>
      <c r="DS131">
        <f>IF(OR($JF11=0,calcA!$A$6=0),0,IF(OR(120=$HA11,120=$HD11,120=$HG11),200000,MIN(IF($HA11=0,999999,IF(5=$HB11,IF(120=$HJ11,IF($JC11=2,30,0),IF(120=$HK11,IF($JC11=1,30,0),ABS(24-$HC11)*100)),100000+ABS(5-$HB11)*1000+240)),IF($HD11=0,999999,IF(5=$HE11,IF(120=$HL11,IF($JD11=2,30,0),IF(120=$HM11,IF($JD11=1,30,0),ABS(24-$HF11)*100)),100000+ABS(5-$HE11)*1000+240)),IF($HG11=0,999999,IF(5=$HH11,IF(120=$HN11,IF($JE11=2,30,0),IF(120=$HO11,IF($JE11=1,30,0),ABS(24-$HI11)*100)),100000+ABS(5-$HH11)*1000+240)))-IF((120=$HJ11)+(120=$HK11)+(120=$HL11)+(120=$HM11)+(120=$HN11)+(120=$HO11)&gt;=2,50,0))+DS$5*50)</f>
        <v/>
      </c>
      <c r="DT131">
        <f>IF(OR($JF11=0,calcA!$A$6=0),0,IF(OR(121=$HA11,121=$HD11,121=$HG11),200000,MIN(IF($HA11=0,999999,IF(6=$HB11,IF(121=$HJ11,IF($JC11=2,30,0),IF(121=$HK11,IF($JC11=1,30,0),ABS(1-$HC11)*100)),100000+ABS(6-$HB11)*1000+10)),IF($HD11=0,999999,IF(6=$HE11,IF(121=$HL11,IF($JD11=2,30,0),IF(121=$HM11,IF($JD11=1,30,0),ABS(1-$HF11)*100)),100000+ABS(6-$HE11)*1000+10)),IF($HG11=0,999999,IF(6=$HH11,IF(121=$HN11,IF($JE11=2,30,0),IF(121=$HO11,IF($JE11=1,30,0),ABS(1-$HI11)*100)),100000+ABS(6-$HH11)*1000+10)))-IF((121=$HJ11)+(121=$HK11)+(121=$HL11)+(121=$HM11)+(121=$HN11)+(121=$HO11)&gt;=2,50,0))+DT$5*50)</f>
        <v/>
      </c>
      <c r="DU131">
        <f>IF(OR($JF11=0,calcA!$A$6=0),0,IF(OR(122=$HA11,122=$HD11,122=$HG11),200000,MIN(IF($HA11=0,999999,IF(6=$HB11,IF(122=$HJ11,IF($JC11=2,30,0),IF(122=$HK11,IF($JC11=1,30,0),ABS(2-$HC11)*100)),100000+ABS(6-$HB11)*1000+20)),IF($HD11=0,999999,IF(6=$HE11,IF(122=$HL11,IF($JD11=2,30,0),IF(122=$HM11,IF($JD11=1,30,0),ABS(2-$HF11)*100)),100000+ABS(6-$HE11)*1000+20)),IF($HG11=0,999999,IF(6=$HH11,IF(122=$HN11,IF($JE11=2,30,0),IF(122=$HO11,IF($JE11=1,30,0),ABS(2-$HI11)*100)),100000+ABS(6-$HH11)*1000+20)))-IF((122=$HJ11)+(122=$HK11)+(122=$HL11)+(122=$HM11)+(122=$HN11)+(122=$HO11)&gt;=2,50,0))+DU$5*50)</f>
        <v/>
      </c>
      <c r="DV131">
        <f>IF(OR($JF11=0,calcA!$A$6=0),0,IF(OR(123=$HA11,123=$HD11,123=$HG11),200000,MIN(IF($HA11=0,999999,IF(6=$HB11,IF(123=$HJ11,IF($JC11=2,30,0),IF(123=$HK11,IF($JC11=1,30,0),ABS(3-$HC11)*100)),100000+ABS(6-$HB11)*1000+30)),IF($HD11=0,999999,IF(6=$HE11,IF(123=$HL11,IF($JD11=2,30,0),IF(123=$HM11,IF($JD11=1,30,0),ABS(3-$HF11)*100)),100000+ABS(6-$HE11)*1000+30)),IF($HG11=0,999999,IF(6=$HH11,IF(123=$HN11,IF($JE11=2,30,0),IF(123=$HO11,IF($JE11=1,30,0),ABS(3-$HI11)*100)),100000+ABS(6-$HH11)*1000+30)))-IF((123=$HJ11)+(123=$HK11)+(123=$HL11)+(123=$HM11)+(123=$HN11)+(123=$HO11)&gt;=2,50,0))+DV$5*50)</f>
        <v/>
      </c>
      <c r="DW131">
        <f>IF(OR($JF11=0,calcA!$A$6=0),0,IF(OR(124=$HA11,124=$HD11,124=$HG11),200000,MIN(IF($HA11=0,999999,IF(6=$HB11,IF(124=$HJ11,IF($JC11=2,30,0),IF(124=$HK11,IF($JC11=1,30,0),ABS(4-$HC11)*100)),100000+ABS(6-$HB11)*1000+40)),IF($HD11=0,999999,IF(6=$HE11,IF(124=$HL11,IF($JD11=2,30,0),IF(124=$HM11,IF($JD11=1,30,0),ABS(4-$HF11)*100)),100000+ABS(6-$HE11)*1000+40)),IF($HG11=0,999999,IF(6=$HH11,IF(124=$HN11,IF($JE11=2,30,0),IF(124=$HO11,IF($JE11=1,30,0),ABS(4-$HI11)*100)),100000+ABS(6-$HH11)*1000+40)))-IF((124=$HJ11)+(124=$HK11)+(124=$HL11)+(124=$HM11)+(124=$HN11)+(124=$HO11)&gt;=2,50,0))+DW$5*50)</f>
        <v/>
      </c>
      <c r="DX131">
        <f>IF(OR($JF11=0,calcA!$A$6=0),0,IF(OR(125=$HA11,125=$HD11,125=$HG11),200000,MIN(IF($HA11=0,999999,IF(6=$HB11,IF(125=$HJ11,IF($JC11=2,30,0),IF(125=$HK11,IF($JC11=1,30,0),ABS(5-$HC11)*100)),100000+ABS(6-$HB11)*1000+50)),IF($HD11=0,999999,IF(6=$HE11,IF(125=$HL11,IF($JD11=2,30,0),IF(125=$HM11,IF($JD11=1,30,0),ABS(5-$HF11)*100)),100000+ABS(6-$HE11)*1000+50)),IF($HG11=0,999999,IF(6=$HH11,IF(125=$HN11,IF($JE11=2,30,0),IF(125=$HO11,IF($JE11=1,30,0),ABS(5-$HI11)*100)),100000+ABS(6-$HH11)*1000+50)))-IF((125=$HJ11)+(125=$HK11)+(125=$HL11)+(125=$HM11)+(125=$HN11)+(125=$HO11)&gt;=2,50,0))+DX$5*50)</f>
        <v/>
      </c>
      <c r="DY131">
        <f>IF(OR($JF11=0,calcA!$A$6=0),0,IF(OR(126=$HA11,126=$HD11,126=$HG11),200000,MIN(IF($HA11=0,999999,IF(6=$HB11,IF(126=$HJ11,IF($JC11=2,30,0),IF(126=$HK11,IF($JC11=1,30,0),ABS(6-$HC11)*100)),100000+ABS(6-$HB11)*1000+60)),IF($HD11=0,999999,IF(6=$HE11,IF(126=$HL11,IF($JD11=2,30,0),IF(126=$HM11,IF($JD11=1,30,0),ABS(6-$HF11)*100)),100000+ABS(6-$HE11)*1000+60)),IF($HG11=0,999999,IF(6=$HH11,IF(126=$HN11,IF($JE11=2,30,0),IF(126=$HO11,IF($JE11=1,30,0),ABS(6-$HI11)*100)),100000+ABS(6-$HH11)*1000+60)))-IF((126=$HJ11)+(126=$HK11)+(126=$HL11)+(126=$HM11)+(126=$HN11)+(126=$HO11)&gt;=2,50,0))+DY$5*50)</f>
        <v/>
      </c>
      <c r="DZ131">
        <f>IF(OR($JF11=0,calcA!$A$6=0),0,IF(OR(127=$HA11,127=$HD11,127=$HG11),200000,MIN(IF($HA11=0,999999,IF(6=$HB11,IF(127=$HJ11,IF($JC11=2,30,0),IF(127=$HK11,IF($JC11=1,30,0),ABS(7-$HC11)*100)),100000+ABS(6-$HB11)*1000+70)),IF($HD11=0,999999,IF(6=$HE11,IF(127=$HL11,IF($JD11=2,30,0),IF(127=$HM11,IF($JD11=1,30,0),ABS(7-$HF11)*100)),100000+ABS(6-$HE11)*1000+70)),IF($HG11=0,999999,IF(6=$HH11,IF(127=$HN11,IF($JE11=2,30,0),IF(127=$HO11,IF($JE11=1,30,0),ABS(7-$HI11)*100)),100000+ABS(6-$HH11)*1000+70)))-IF((127=$HJ11)+(127=$HK11)+(127=$HL11)+(127=$HM11)+(127=$HN11)+(127=$HO11)&gt;=2,50,0))+DZ$5*50)</f>
        <v/>
      </c>
      <c r="EA131">
        <f>IF(OR($JF11=0,calcA!$A$6=0),0,IF(OR(128=$HA11,128=$HD11,128=$HG11),200000,MIN(IF($HA11=0,999999,IF(6=$HB11,IF(128=$HJ11,IF($JC11=2,30,0),IF(128=$HK11,IF($JC11=1,30,0),ABS(8-$HC11)*100)),100000+ABS(6-$HB11)*1000+80)),IF($HD11=0,999999,IF(6=$HE11,IF(128=$HL11,IF($JD11=2,30,0),IF(128=$HM11,IF($JD11=1,30,0),ABS(8-$HF11)*100)),100000+ABS(6-$HE11)*1000+80)),IF($HG11=0,999999,IF(6=$HH11,IF(128=$HN11,IF($JE11=2,30,0),IF(128=$HO11,IF($JE11=1,30,0),ABS(8-$HI11)*100)),100000+ABS(6-$HH11)*1000+80)))-IF((128=$HJ11)+(128=$HK11)+(128=$HL11)+(128=$HM11)+(128=$HN11)+(128=$HO11)&gt;=2,50,0))+EA$5*50)</f>
        <v/>
      </c>
      <c r="EB131">
        <f>IF(OR($JF11=0,calcA!$A$6=0),0,IF(OR(129=$HA11,129=$HD11,129=$HG11),200000,MIN(IF($HA11=0,999999,IF(6=$HB11,IF(129=$HJ11,IF($JC11=2,30,0),IF(129=$HK11,IF($JC11=1,30,0),ABS(9-$HC11)*100)),100000+ABS(6-$HB11)*1000+90)),IF($HD11=0,999999,IF(6=$HE11,IF(129=$HL11,IF($JD11=2,30,0),IF(129=$HM11,IF($JD11=1,30,0),ABS(9-$HF11)*100)),100000+ABS(6-$HE11)*1000+90)),IF($HG11=0,999999,IF(6=$HH11,IF(129=$HN11,IF($JE11=2,30,0),IF(129=$HO11,IF($JE11=1,30,0),ABS(9-$HI11)*100)),100000+ABS(6-$HH11)*1000+90)))-IF((129=$HJ11)+(129=$HK11)+(129=$HL11)+(129=$HM11)+(129=$HN11)+(129=$HO11)&gt;=2,50,0))+EB$5*50)</f>
        <v/>
      </c>
      <c r="EC131">
        <f>IF(OR($JF11=0,calcA!$A$6=0),0,IF(OR(130=$HA11,130=$HD11,130=$HG11),200000,MIN(IF($HA11=0,999999,IF(6=$HB11,IF(130=$HJ11,IF($JC11=2,30,0),IF(130=$HK11,IF($JC11=1,30,0),ABS(10-$HC11)*100)),100000+ABS(6-$HB11)*1000+100)),IF($HD11=0,999999,IF(6=$HE11,IF(130=$HL11,IF($JD11=2,30,0),IF(130=$HM11,IF($JD11=1,30,0),ABS(10-$HF11)*100)),100000+ABS(6-$HE11)*1000+100)),IF($HG11=0,999999,IF(6=$HH11,IF(130=$HN11,IF($JE11=2,30,0),IF(130=$HO11,IF($JE11=1,30,0),ABS(10-$HI11)*100)),100000+ABS(6-$HH11)*1000+100)))-IF((130=$HJ11)+(130=$HK11)+(130=$HL11)+(130=$HM11)+(130=$HN11)+(130=$HO11)&gt;=2,50,0))+EC$5*50)</f>
        <v/>
      </c>
      <c r="ED131">
        <f>IF(OR($JF11=0,calcA!$A$6=0),0,IF(OR(131=$HA11,131=$HD11,131=$HG11),200000,MIN(IF($HA11=0,999999,IF(6=$HB11,IF(131=$HJ11,IF($JC11=2,30,0),IF(131=$HK11,IF($JC11=1,30,0),ABS(11-$HC11)*100)),100000+ABS(6-$HB11)*1000+110)),IF($HD11=0,999999,IF(6=$HE11,IF(131=$HL11,IF($JD11=2,30,0),IF(131=$HM11,IF($JD11=1,30,0),ABS(11-$HF11)*100)),100000+ABS(6-$HE11)*1000+110)),IF($HG11=0,999999,IF(6=$HH11,IF(131=$HN11,IF($JE11=2,30,0),IF(131=$HO11,IF($JE11=1,30,0),ABS(11-$HI11)*100)),100000+ABS(6-$HH11)*1000+110)))-IF((131=$HJ11)+(131=$HK11)+(131=$HL11)+(131=$HM11)+(131=$HN11)+(131=$HO11)&gt;=2,50,0))+ED$5*50)</f>
        <v/>
      </c>
      <c r="EE131">
        <f>IF(OR($JF11=0,calcA!$A$6=0),0,IF(OR(132=$HA11,132=$HD11,132=$HG11),200000,MIN(IF($HA11=0,999999,IF(6=$HB11,IF(132=$HJ11,IF($JC11=2,30,0),IF(132=$HK11,IF($JC11=1,30,0),ABS(12-$HC11)*100)),100000+ABS(6-$HB11)*1000+120)),IF($HD11=0,999999,IF(6=$HE11,IF(132=$HL11,IF($JD11=2,30,0),IF(132=$HM11,IF($JD11=1,30,0),ABS(12-$HF11)*100)),100000+ABS(6-$HE11)*1000+120)),IF($HG11=0,999999,IF(6=$HH11,IF(132=$HN11,IF($JE11=2,30,0),IF(132=$HO11,IF($JE11=1,30,0),ABS(12-$HI11)*100)),100000+ABS(6-$HH11)*1000+120)))-IF((132=$HJ11)+(132=$HK11)+(132=$HL11)+(132=$HM11)+(132=$HN11)+(132=$HO11)&gt;=2,50,0))+EE$5*50)</f>
        <v/>
      </c>
      <c r="EF131">
        <f>IF(OR($JF11=0,calcA!$A$6=0),0,IF(OR(133=$HA11,133=$HD11,133=$HG11),200000,MIN(IF($HA11=0,999999,IF(6=$HB11,IF(133=$HJ11,IF($JC11=2,30,0),IF(133=$HK11,IF($JC11=1,30,0),ABS(13-$HC11)*100)),100000+ABS(6-$HB11)*1000+130)),IF($HD11=0,999999,IF(6=$HE11,IF(133=$HL11,IF($JD11=2,30,0),IF(133=$HM11,IF($JD11=1,30,0),ABS(13-$HF11)*100)),100000+ABS(6-$HE11)*1000+130)),IF($HG11=0,999999,IF(6=$HH11,IF(133=$HN11,IF($JE11=2,30,0),IF(133=$HO11,IF($JE11=1,30,0),ABS(13-$HI11)*100)),100000+ABS(6-$HH11)*1000+130)))-IF((133=$HJ11)+(133=$HK11)+(133=$HL11)+(133=$HM11)+(133=$HN11)+(133=$HO11)&gt;=2,50,0))+EF$5*50)</f>
        <v/>
      </c>
      <c r="EG131">
        <f>IF(OR($JF11=0,calcA!$A$6=0),0,IF(OR(134=$HA11,134=$HD11,134=$HG11),200000,MIN(IF($HA11=0,999999,IF(6=$HB11,IF(134=$HJ11,IF($JC11=2,30,0),IF(134=$HK11,IF($JC11=1,30,0),ABS(14-$HC11)*100)),100000+ABS(6-$HB11)*1000+140)),IF($HD11=0,999999,IF(6=$HE11,IF(134=$HL11,IF($JD11=2,30,0),IF(134=$HM11,IF($JD11=1,30,0),ABS(14-$HF11)*100)),100000+ABS(6-$HE11)*1000+140)),IF($HG11=0,999999,IF(6=$HH11,IF(134=$HN11,IF($JE11=2,30,0),IF(134=$HO11,IF($JE11=1,30,0),ABS(14-$HI11)*100)),100000+ABS(6-$HH11)*1000+140)))-IF((134=$HJ11)+(134=$HK11)+(134=$HL11)+(134=$HM11)+(134=$HN11)+(134=$HO11)&gt;=2,50,0))+EG$5*50)</f>
        <v/>
      </c>
      <c r="EH131">
        <f>IF(OR($JF11=0,calcA!$A$6=0),0,IF(OR(135=$HA11,135=$HD11,135=$HG11),200000,MIN(IF($HA11=0,999999,IF(6=$HB11,IF(135=$HJ11,IF($JC11=2,30,0),IF(135=$HK11,IF($JC11=1,30,0),ABS(15-$HC11)*100)),100000+ABS(6-$HB11)*1000+150)),IF($HD11=0,999999,IF(6=$HE11,IF(135=$HL11,IF($JD11=2,30,0),IF(135=$HM11,IF($JD11=1,30,0),ABS(15-$HF11)*100)),100000+ABS(6-$HE11)*1000+150)),IF($HG11=0,999999,IF(6=$HH11,IF(135=$HN11,IF($JE11=2,30,0),IF(135=$HO11,IF($JE11=1,30,0),ABS(15-$HI11)*100)),100000+ABS(6-$HH11)*1000+150)))-IF((135=$HJ11)+(135=$HK11)+(135=$HL11)+(135=$HM11)+(135=$HN11)+(135=$HO11)&gt;=2,50,0))+EH$5*50)</f>
        <v/>
      </c>
      <c r="EI131">
        <f>IF(OR($JF11=0,calcA!$A$6=0),0,IF(OR(136=$HA11,136=$HD11,136=$HG11),200000,MIN(IF($HA11=0,999999,IF(6=$HB11,IF(136=$HJ11,IF($JC11=2,30,0),IF(136=$HK11,IF($JC11=1,30,0),ABS(16-$HC11)*100)),100000+ABS(6-$HB11)*1000+160)),IF($HD11=0,999999,IF(6=$HE11,IF(136=$HL11,IF($JD11=2,30,0),IF(136=$HM11,IF($JD11=1,30,0),ABS(16-$HF11)*100)),100000+ABS(6-$HE11)*1000+160)),IF($HG11=0,999999,IF(6=$HH11,IF(136=$HN11,IF($JE11=2,30,0),IF(136=$HO11,IF($JE11=1,30,0),ABS(16-$HI11)*100)),100000+ABS(6-$HH11)*1000+160)))-IF((136=$HJ11)+(136=$HK11)+(136=$HL11)+(136=$HM11)+(136=$HN11)+(136=$HO11)&gt;=2,50,0))+EI$5*50)</f>
        <v/>
      </c>
      <c r="EJ131">
        <f>IF(OR($JF11=0,calcA!$A$6=0),0,IF(OR(137=$HA11,137=$HD11,137=$HG11),200000,MIN(IF($HA11=0,999999,IF(6=$HB11,IF(137=$HJ11,IF($JC11=2,30,0),IF(137=$HK11,IF($JC11=1,30,0),ABS(17-$HC11)*100)),100000+ABS(6-$HB11)*1000+170)),IF($HD11=0,999999,IF(6=$HE11,IF(137=$HL11,IF($JD11=2,30,0),IF(137=$HM11,IF($JD11=1,30,0),ABS(17-$HF11)*100)),100000+ABS(6-$HE11)*1000+170)),IF($HG11=0,999999,IF(6=$HH11,IF(137=$HN11,IF($JE11=2,30,0),IF(137=$HO11,IF($JE11=1,30,0),ABS(17-$HI11)*100)),100000+ABS(6-$HH11)*1000+170)))-IF((137=$HJ11)+(137=$HK11)+(137=$HL11)+(137=$HM11)+(137=$HN11)+(137=$HO11)&gt;=2,50,0))+EJ$5*50)</f>
        <v/>
      </c>
      <c r="EK131">
        <f>IF(OR($JF11=0,calcA!$A$6=0),0,IF(OR(138=$HA11,138=$HD11,138=$HG11),200000,MIN(IF($HA11=0,999999,IF(6=$HB11,IF(138=$HJ11,IF($JC11=2,30,0),IF(138=$HK11,IF($JC11=1,30,0),ABS(18-$HC11)*100)),100000+ABS(6-$HB11)*1000+180)),IF($HD11=0,999999,IF(6=$HE11,IF(138=$HL11,IF($JD11=2,30,0),IF(138=$HM11,IF($JD11=1,30,0),ABS(18-$HF11)*100)),100000+ABS(6-$HE11)*1000+180)),IF($HG11=0,999999,IF(6=$HH11,IF(138=$HN11,IF($JE11=2,30,0),IF(138=$HO11,IF($JE11=1,30,0),ABS(18-$HI11)*100)),100000+ABS(6-$HH11)*1000+180)))-IF((138=$HJ11)+(138=$HK11)+(138=$HL11)+(138=$HM11)+(138=$HN11)+(138=$HO11)&gt;=2,50,0))+EK$5*50)</f>
        <v/>
      </c>
      <c r="EL131">
        <f>IF(OR($JF11=0,calcA!$A$6=0),0,IF(OR(139=$HA11,139=$HD11,139=$HG11),200000,MIN(IF($HA11=0,999999,IF(6=$HB11,IF(139=$HJ11,IF($JC11=2,30,0),IF(139=$HK11,IF($JC11=1,30,0),ABS(19-$HC11)*100)),100000+ABS(6-$HB11)*1000+190)),IF($HD11=0,999999,IF(6=$HE11,IF(139=$HL11,IF($JD11=2,30,0),IF(139=$HM11,IF($JD11=1,30,0),ABS(19-$HF11)*100)),100000+ABS(6-$HE11)*1000+190)),IF($HG11=0,999999,IF(6=$HH11,IF(139=$HN11,IF($JE11=2,30,0),IF(139=$HO11,IF($JE11=1,30,0),ABS(19-$HI11)*100)),100000+ABS(6-$HH11)*1000+190)))-IF((139=$HJ11)+(139=$HK11)+(139=$HL11)+(139=$HM11)+(139=$HN11)+(139=$HO11)&gt;=2,50,0))+EL$5*50)</f>
        <v/>
      </c>
      <c r="EM131">
        <f>IF(OR($JF11=0,calcA!$A$6=0),0,IF(OR(140=$HA11,140=$HD11,140=$HG11),200000,MIN(IF($HA11=0,999999,IF(6=$HB11,IF(140=$HJ11,IF($JC11=2,30,0),IF(140=$HK11,IF($JC11=1,30,0),ABS(20-$HC11)*100)),100000+ABS(6-$HB11)*1000+200)),IF($HD11=0,999999,IF(6=$HE11,IF(140=$HL11,IF($JD11=2,30,0),IF(140=$HM11,IF($JD11=1,30,0),ABS(20-$HF11)*100)),100000+ABS(6-$HE11)*1000+200)),IF($HG11=0,999999,IF(6=$HH11,IF(140=$HN11,IF($JE11=2,30,0),IF(140=$HO11,IF($JE11=1,30,0),ABS(20-$HI11)*100)),100000+ABS(6-$HH11)*1000+200)))-IF((140=$HJ11)+(140=$HK11)+(140=$HL11)+(140=$HM11)+(140=$HN11)+(140=$HO11)&gt;=2,50,0))+EM$5*50)</f>
        <v/>
      </c>
      <c r="EN131">
        <f>IF(OR($JF11=0,calcA!$A$6=0),0,IF(OR(141=$HA11,141=$HD11,141=$HG11),200000,MIN(IF($HA11=0,999999,IF(6=$HB11,IF(141=$HJ11,IF($JC11=2,30,0),IF(141=$HK11,IF($JC11=1,30,0),ABS(21-$HC11)*100)),100000+ABS(6-$HB11)*1000+210)),IF($HD11=0,999999,IF(6=$HE11,IF(141=$HL11,IF($JD11=2,30,0),IF(141=$HM11,IF($JD11=1,30,0),ABS(21-$HF11)*100)),100000+ABS(6-$HE11)*1000+210)),IF($HG11=0,999999,IF(6=$HH11,IF(141=$HN11,IF($JE11=2,30,0),IF(141=$HO11,IF($JE11=1,30,0),ABS(21-$HI11)*100)),100000+ABS(6-$HH11)*1000+210)))-IF((141=$HJ11)+(141=$HK11)+(141=$HL11)+(141=$HM11)+(141=$HN11)+(141=$HO11)&gt;=2,50,0))+EN$5*50)</f>
        <v/>
      </c>
      <c r="EO131">
        <f>IF(OR($JF11=0,calcA!$A$6=0),0,IF(OR(142=$HA11,142=$HD11,142=$HG11),200000,MIN(IF($HA11=0,999999,IF(6=$HB11,IF(142=$HJ11,IF($JC11=2,30,0),IF(142=$HK11,IF($JC11=1,30,0),ABS(22-$HC11)*100)),100000+ABS(6-$HB11)*1000+220)),IF($HD11=0,999999,IF(6=$HE11,IF(142=$HL11,IF($JD11=2,30,0),IF(142=$HM11,IF($JD11=1,30,0),ABS(22-$HF11)*100)),100000+ABS(6-$HE11)*1000+220)),IF($HG11=0,999999,IF(6=$HH11,IF(142=$HN11,IF($JE11=2,30,0),IF(142=$HO11,IF($JE11=1,30,0),ABS(22-$HI11)*100)),100000+ABS(6-$HH11)*1000+220)))-IF((142=$HJ11)+(142=$HK11)+(142=$HL11)+(142=$HM11)+(142=$HN11)+(142=$HO11)&gt;=2,50,0))+EO$5*50)</f>
        <v/>
      </c>
      <c r="EP131">
        <f>IF(OR($JF11=0,calcA!$A$6=0),0,IF(OR(143=$HA11,143=$HD11,143=$HG11),200000,MIN(IF($HA11=0,999999,IF(6=$HB11,IF(143=$HJ11,IF($JC11=2,30,0),IF(143=$HK11,IF($JC11=1,30,0),ABS(23-$HC11)*100)),100000+ABS(6-$HB11)*1000+230)),IF($HD11=0,999999,IF(6=$HE11,IF(143=$HL11,IF($JD11=2,30,0),IF(143=$HM11,IF($JD11=1,30,0),ABS(23-$HF11)*100)),100000+ABS(6-$HE11)*1000+230)),IF($HG11=0,999999,IF(6=$HH11,IF(143=$HN11,IF($JE11=2,30,0),IF(143=$HO11,IF($JE11=1,30,0),ABS(23-$HI11)*100)),100000+ABS(6-$HH11)*1000+230)))-IF((143=$HJ11)+(143=$HK11)+(143=$HL11)+(143=$HM11)+(143=$HN11)+(143=$HO11)&gt;=2,50,0))+EP$5*50)</f>
        <v/>
      </c>
      <c r="EQ131">
        <f>IF(OR($JF11=0,calcA!$A$6=0),0,IF(OR(144=$HA11,144=$HD11,144=$HG11),200000,MIN(IF($HA11=0,999999,IF(6=$HB11,IF(144=$HJ11,IF($JC11=2,30,0),IF(144=$HK11,IF($JC11=1,30,0),ABS(24-$HC11)*100)),100000+ABS(6-$HB11)*1000+240)),IF($HD11=0,999999,IF(6=$HE11,IF(144=$HL11,IF($JD11=2,30,0),IF(144=$HM11,IF($JD11=1,30,0),ABS(24-$HF11)*100)),100000+ABS(6-$HE11)*1000+240)),IF($HG11=0,999999,IF(6=$HH11,IF(144=$HN11,IF($JE11=2,30,0),IF(144=$HO11,IF($JE11=1,30,0),ABS(24-$HI11)*100)),100000+ABS(6-$HH11)*1000+240)))-IF((144=$HJ11)+(144=$HK11)+(144=$HL11)+(144=$HM11)+(144=$HN11)+(144=$HO11)&gt;=2,50,0))+EQ$5*50)</f>
        <v/>
      </c>
    </row>
    <row r="132">
      <c r="D132">
        <f>IF(OR($JF12=0,calcA!$A$6=0),0,IF(OR(1=$HA12,1=$HD12,1=$HG12),200000,MIN(IF($HA12=0,999999,IF(1=$HB12,IF(1=$HJ12,IF($JC12=2,30,0),IF(1=$HK12,IF($JC12=1,30,0),ABS(1-$HC12)*100)),100000+ABS(1-$HB12)*1000+10)),IF($HD12=0,999999,IF(1=$HE12,IF(1=$HL12,IF($JD12=2,30,0),IF(1=$HM12,IF($JD12=1,30,0),ABS(1-$HF12)*100)),100000+ABS(1-$HE12)*1000+10)),IF($HG12=0,999999,IF(1=$HH12,IF(1=$HN12,IF($JE12=2,30,0),IF(1=$HO12,IF($JE12=1,30,0),ABS(1-$HI12)*100)),100000+ABS(1-$HH12)*1000+10)))-IF((1=$HJ12)+(1=$HK12)+(1=$HL12)+(1=$HM12)+(1=$HN12)+(1=$HO12)&gt;=2,50,0))+D$5*50)</f>
        <v/>
      </c>
      <c r="E132">
        <f>IF(OR($JF12=0,calcA!$A$6=0),0,IF(OR(2=$HA12,2=$HD12,2=$HG12),200000,MIN(IF($HA12=0,999999,IF(1=$HB12,IF(2=$HJ12,IF($JC12=2,30,0),IF(2=$HK12,IF($JC12=1,30,0),ABS(2-$HC12)*100)),100000+ABS(1-$HB12)*1000+20)),IF($HD12=0,999999,IF(1=$HE12,IF(2=$HL12,IF($JD12=2,30,0),IF(2=$HM12,IF($JD12=1,30,0),ABS(2-$HF12)*100)),100000+ABS(1-$HE12)*1000+20)),IF($HG12=0,999999,IF(1=$HH12,IF(2=$HN12,IF($JE12=2,30,0),IF(2=$HO12,IF($JE12=1,30,0),ABS(2-$HI12)*100)),100000+ABS(1-$HH12)*1000+20)))-IF((2=$HJ12)+(2=$HK12)+(2=$HL12)+(2=$HM12)+(2=$HN12)+(2=$HO12)&gt;=2,50,0))+E$5*50)</f>
        <v/>
      </c>
      <c r="F132">
        <f>IF(OR($JF12=0,calcA!$A$6=0),0,IF(OR(3=$HA12,3=$HD12,3=$HG12),200000,MIN(IF($HA12=0,999999,IF(1=$HB12,IF(3=$HJ12,IF($JC12=2,30,0),IF(3=$HK12,IF($JC12=1,30,0),ABS(3-$HC12)*100)),100000+ABS(1-$HB12)*1000+30)),IF($HD12=0,999999,IF(1=$HE12,IF(3=$HL12,IF($JD12=2,30,0),IF(3=$HM12,IF($JD12=1,30,0),ABS(3-$HF12)*100)),100000+ABS(1-$HE12)*1000+30)),IF($HG12=0,999999,IF(1=$HH12,IF(3=$HN12,IF($JE12=2,30,0),IF(3=$HO12,IF($JE12=1,30,0),ABS(3-$HI12)*100)),100000+ABS(1-$HH12)*1000+30)))-IF((3=$HJ12)+(3=$HK12)+(3=$HL12)+(3=$HM12)+(3=$HN12)+(3=$HO12)&gt;=2,50,0))+F$5*50)</f>
        <v/>
      </c>
      <c r="G132">
        <f>IF(OR($JF12=0,calcA!$A$6=0),0,IF(OR(4=$HA12,4=$HD12,4=$HG12),200000,MIN(IF($HA12=0,999999,IF(1=$HB12,IF(4=$HJ12,IF($JC12=2,30,0),IF(4=$HK12,IF($JC12=1,30,0),ABS(4-$HC12)*100)),100000+ABS(1-$HB12)*1000+40)),IF($HD12=0,999999,IF(1=$HE12,IF(4=$HL12,IF($JD12=2,30,0),IF(4=$HM12,IF($JD12=1,30,0),ABS(4-$HF12)*100)),100000+ABS(1-$HE12)*1000+40)),IF($HG12=0,999999,IF(1=$HH12,IF(4=$HN12,IF($JE12=2,30,0),IF(4=$HO12,IF($JE12=1,30,0),ABS(4-$HI12)*100)),100000+ABS(1-$HH12)*1000+40)))-IF((4=$HJ12)+(4=$HK12)+(4=$HL12)+(4=$HM12)+(4=$HN12)+(4=$HO12)&gt;=2,50,0))+G$5*50)</f>
        <v/>
      </c>
      <c r="H132">
        <f>IF(OR($JF12=0,calcA!$A$6=0),0,IF(OR(5=$HA12,5=$HD12,5=$HG12),200000,MIN(IF($HA12=0,999999,IF(1=$HB12,IF(5=$HJ12,IF($JC12=2,30,0),IF(5=$HK12,IF($JC12=1,30,0),ABS(5-$HC12)*100)),100000+ABS(1-$HB12)*1000+50)),IF($HD12=0,999999,IF(1=$HE12,IF(5=$HL12,IF($JD12=2,30,0),IF(5=$HM12,IF($JD12=1,30,0),ABS(5-$HF12)*100)),100000+ABS(1-$HE12)*1000+50)),IF($HG12=0,999999,IF(1=$HH12,IF(5=$HN12,IF($JE12=2,30,0),IF(5=$HO12,IF($JE12=1,30,0),ABS(5-$HI12)*100)),100000+ABS(1-$HH12)*1000+50)))-IF((5=$HJ12)+(5=$HK12)+(5=$HL12)+(5=$HM12)+(5=$HN12)+(5=$HO12)&gt;=2,50,0))+H$5*50)</f>
        <v/>
      </c>
      <c r="I132">
        <f>IF(OR($JF12=0,calcA!$A$6=0),0,IF(OR(6=$HA12,6=$HD12,6=$HG12),200000,MIN(IF($HA12=0,999999,IF(1=$HB12,IF(6=$HJ12,IF($JC12=2,30,0),IF(6=$HK12,IF($JC12=1,30,0),ABS(6-$HC12)*100)),100000+ABS(1-$HB12)*1000+60)),IF($HD12=0,999999,IF(1=$HE12,IF(6=$HL12,IF($JD12=2,30,0),IF(6=$HM12,IF($JD12=1,30,0),ABS(6-$HF12)*100)),100000+ABS(1-$HE12)*1000+60)),IF($HG12=0,999999,IF(1=$HH12,IF(6=$HN12,IF($JE12=2,30,0),IF(6=$HO12,IF($JE12=1,30,0),ABS(6-$HI12)*100)),100000+ABS(1-$HH12)*1000+60)))-IF((6=$HJ12)+(6=$HK12)+(6=$HL12)+(6=$HM12)+(6=$HN12)+(6=$HO12)&gt;=2,50,0))+I$5*50)</f>
        <v/>
      </c>
      <c r="J132">
        <f>IF(OR($JF12=0,calcA!$A$6=0),0,IF(OR(7=$HA12,7=$HD12,7=$HG12),200000,MIN(IF($HA12=0,999999,IF(1=$HB12,IF(7=$HJ12,IF($JC12=2,30,0),IF(7=$HK12,IF($JC12=1,30,0),ABS(7-$HC12)*100)),100000+ABS(1-$HB12)*1000+70)),IF($HD12=0,999999,IF(1=$HE12,IF(7=$HL12,IF($JD12=2,30,0),IF(7=$HM12,IF($JD12=1,30,0),ABS(7-$HF12)*100)),100000+ABS(1-$HE12)*1000+70)),IF($HG12=0,999999,IF(1=$HH12,IF(7=$HN12,IF($JE12=2,30,0),IF(7=$HO12,IF($JE12=1,30,0),ABS(7-$HI12)*100)),100000+ABS(1-$HH12)*1000+70)))-IF((7=$HJ12)+(7=$HK12)+(7=$HL12)+(7=$HM12)+(7=$HN12)+(7=$HO12)&gt;=2,50,0))+J$5*50)</f>
        <v/>
      </c>
      <c r="K132">
        <f>IF(OR($JF12=0,calcA!$A$6=0),0,IF(OR(8=$HA12,8=$HD12,8=$HG12),200000,MIN(IF($HA12=0,999999,IF(1=$HB12,IF(8=$HJ12,IF($JC12=2,30,0),IF(8=$HK12,IF($JC12=1,30,0),ABS(8-$HC12)*100)),100000+ABS(1-$HB12)*1000+80)),IF($HD12=0,999999,IF(1=$HE12,IF(8=$HL12,IF($JD12=2,30,0),IF(8=$HM12,IF($JD12=1,30,0),ABS(8-$HF12)*100)),100000+ABS(1-$HE12)*1000+80)),IF($HG12=0,999999,IF(1=$HH12,IF(8=$HN12,IF($JE12=2,30,0),IF(8=$HO12,IF($JE12=1,30,0),ABS(8-$HI12)*100)),100000+ABS(1-$HH12)*1000+80)))-IF((8=$HJ12)+(8=$HK12)+(8=$HL12)+(8=$HM12)+(8=$HN12)+(8=$HO12)&gt;=2,50,0))+K$5*50)</f>
        <v/>
      </c>
      <c r="L132">
        <f>IF(OR($JF12=0,calcA!$A$6=0),0,IF(OR(9=$HA12,9=$HD12,9=$HG12),200000,MIN(IF($HA12=0,999999,IF(1=$HB12,IF(9=$HJ12,IF($JC12=2,30,0),IF(9=$HK12,IF($JC12=1,30,0),ABS(9-$HC12)*100)),100000+ABS(1-$HB12)*1000+90)),IF($HD12=0,999999,IF(1=$HE12,IF(9=$HL12,IF($JD12=2,30,0),IF(9=$HM12,IF($JD12=1,30,0),ABS(9-$HF12)*100)),100000+ABS(1-$HE12)*1000+90)),IF($HG12=0,999999,IF(1=$HH12,IF(9=$HN12,IF($JE12=2,30,0),IF(9=$HO12,IF($JE12=1,30,0),ABS(9-$HI12)*100)),100000+ABS(1-$HH12)*1000+90)))-IF((9=$HJ12)+(9=$HK12)+(9=$HL12)+(9=$HM12)+(9=$HN12)+(9=$HO12)&gt;=2,50,0))+L$5*50)</f>
        <v/>
      </c>
      <c r="M132">
        <f>IF(OR($JF12=0,calcA!$A$6=0),0,IF(OR(10=$HA12,10=$HD12,10=$HG12),200000,MIN(IF($HA12=0,999999,IF(1=$HB12,IF(10=$HJ12,IF($JC12=2,30,0),IF(10=$HK12,IF($JC12=1,30,0),ABS(10-$HC12)*100)),100000+ABS(1-$HB12)*1000+100)),IF($HD12=0,999999,IF(1=$HE12,IF(10=$HL12,IF($JD12=2,30,0),IF(10=$HM12,IF($JD12=1,30,0),ABS(10-$HF12)*100)),100000+ABS(1-$HE12)*1000+100)),IF($HG12=0,999999,IF(1=$HH12,IF(10=$HN12,IF($JE12=2,30,0),IF(10=$HO12,IF($JE12=1,30,0),ABS(10-$HI12)*100)),100000+ABS(1-$HH12)*1000+100)))-IF((10=$HJ12)+(10=$HK12)+(10=$HL12)+(10=$HM12)+(10=$HN12)+(10=$HO12)&gt;=2,50,0))+M$5*50)</f>
        <v/>
      </c>
      <c r="N132">
        <f>IF(OR($JF12=0,calcA!$A$6=0),0,IF(OR(11=$HA12,11=$HD12,11=$HG12),200000,MIN(IF($HA12=0,999999,IF(1=$HB12,IF(11=$HJ12,IF($JC12=2,30,0),IF(11=$HK12,IF($JC12=1,30,0),ABS(11-$HC12)*100)),100000+ABS(1-$HB12)*1000+110)),IF($HD12=0,999999,IF(1=$HE12,IF(11=$HL12,IF($JD12=2,30,0),IF(11=$HM12,IF($JD12=1,30,0),ABS(11-$HF12)*100)),100000+ABS(1-$HE12)*1000+110)),IF($HG12=0,999999,IF(1=$HH12,IF(11=$HN12,IF($JE12=2,30,0),IF(11=$HO12,IF($JE12=1,30,0),ABS(11-$HI12)*100)),100000+ABS(1-$HH12)*1000+110)))-IF((11=$HJ12)+(11=$HK12)+(11=$HL12)+(11=$HM12)+(11=$HN12)+(11=$HO12)&gt;=2,50,0))+N$5*50)</f>
        <v/>
      </c>
      <c r="O132">
        <f>IF(OR($JF12=0,calcA!$A$6=0),0,IF(OR(12=$HA12,12=$HD12,12=$HG12),200000,MIN(IF($HA12=0,999999,IF(1=$HB12,IF(12=$HJ12,IF($JC12=2,30,0),IF(12=$HK12,IF($JC12=1,30,0),ABS(12-$HC12)*100)),100000+ABS(1-$HB12)*1000+120)),IF($HD12=0,999999,IF(1=$HE12,IF(12=$HL12,IF($JD12=2,30,0),IF(12=$HM12,IF($JD12=1,30,0),ABS(12-$HF12)*100)),100000+ABS(1-$HE12)*1000+120)),IF($HG12=0,999999,IF(1=$HH12,IF(12=$HN12,IF($JE12=2,30,0),IF(12=$HO12,IF($JE12=1,30,0),ABS(12-$HI12)*100)),100000+ABS(1-$HH12)*1000+120)))-IF((12=$HJ12)+(12=$HK12)+(12=$HL12)+(12=$HM12)+(12=$HN12)+(12=$HO12)&gt;=2,50,0))+O$5*50)</f>
        <v/>
      </c>
      <c r="P132">
        <f>IF(OR($JF12=0,calcA!$A$6=0),0,IF(OR(13=$HA12,13=$HD12,13=$HG12),200000,MIN(IF($HA12=0,999999,IF(1=$HB12,IF(13=$HJ12,IF($JC12=2,30,0),IF(13=$HK12,IF($JC12=1,30,0),ABS(13-$HC12)*100)),100000+ABS(1-$HB12)*1000+130)),IF($HD12=0,999999,IF(1=$HE12,IF(13=$HL12,IF($JD12=2,30,0),IF(13=$HM12,IF($JD12=1,30,0),ABS(13-$HF12)*100)),100000+ABS(1-$HE12)*1000+130)),IF($HG12=0,999999,IF(1=$HH12,IF(13=$HN12,IF($JE12=2,30,0),IF(13=$HO12,IF($JE12=1,30,0),ABS(13-$HI12)*100)),100000+ABS(1-$HH12)*1000+130)))-IF((13=$HJ12)+(13=$HK12)+(13=$HL12)+(13=$HM12)+(13=$HN12)+(13=$HO12)&gt;=2,50,0))+P$5*50)</f>
        <v/>
      </c>
      <c r="Q132">
        <f>IF(OR($JF12=0,calcA!$A$6=0),0,IF(OR(14=$HA12,14=$HD12,14=$HG12),200000,MIN(IF($HA12=0,999999,IF(1=$HB12,IF(14=$HJ12,IF($JC12=2,30,0),IF(14=$HK12,IF($JC12=1,30,0),ABS(14-$HC12)*100)),100000+ABS(1-$HB12)*1000+140)),IF($HD12=0,999999,IF(1=$HE12,IF(14=$HL12,IF($JD12=2,30,0),IF(14=$HM12,IF($JD12=1,30,0),ABS(14-$HF12)*100)),100000+ABS(1-$HE12)*1000+140)),IF($HG12=0,999999,IF(1=$HH12,IF(14=$HN12,IF($JE12=2,30,0),IF(14=$HO12,IF($JE12=1,30,0),ABS(14-$HI12)*100)),100000+ABS(1-$HH12)*1000+140)))-IF((14=$HJ12)+(14=$HK12)+(14=$HL12)+(14=$HM12)+(14=$HN12)+(14=$HO12)&gt;=2,50,0))+Q$5*50)</f>
        <v/>
      </c>
      <c r="R132">
        <f>IF(OR($JF12=0,calcA!$A$6=0),0,IF(OR(15=$HA12,15=$HD12,15=$HG12),200000,MIN(IF($HA12=0,999999,IF(1=$HB12,IF(15=$HJ12,IF($JC12=2,30,0),IF(15=$HK12,IF($JC12=1,30,0),ABS(15-$HC12)*100)),100000+ABS(1-$HB12)*1000+150)),IF($HD12=0,999999,IF(1=$HE12,IF(15=$HL12,IF($JD12=2,30,0),IF(15=$HM12,IF($JD12=1,30,0),ABS(15-$HF12)*100)),100000+ABS(1-$HE12)*1000+150)),IF($HG12=0,999999,IF(1=$HH12,IF(15=$HN12,IF($JE12=2,30,0),IF(15=$HO12,IF($JE12=1,30,0),ABS(15-$HI12)*100)),100000+ABS(1-$HH12)*1000+150)))-IF((15=$HJ12)+(15=$HK12)+(15=$HL12)+(15=$HM12)+(15=$HN12)+(15=$HO12)&gt;=2,50,0))+R$5*50)</f>
        <v/>
      </c>
      <c r="S132">
        <f>IF(OR($JF12=0,calcA!$A$6=0),0,IF(OR(16=$HA12,16=$HD12,16=$HG12),200000,MIN(IF($HA12=0,999999,IF(1=$HB12,IF(16=$HJ12,IF($JC12=2,30,0),IF(16=$HK12,IF($JC12=1,30,0),ABS(16-$HC12)*100)),100000+ABS(1-$HB12)*1000+160)),IF($HD12=0,999999,IF(1=$HE12,IF(16=$HL12,IF($JD12=2,30,0),IF(16=$HM12,IF($JD12=1,30,0),ABS(16-$HF12)*100)),100000+ABS(1-$HE12)*1000+160)),IF($HG12=0,999999,IF(1=$HH12,IF(16=$HN12,IF($JE12=2,30,0),IF(16=$HO12,IF($JE12=1,30,0),ABS(16-$HI12)*100)),100000+ABS(1-$HH12)*1000+160)))-IF((16=$HJ12)+(16=$HK12)+(16=$HL12)+(16=$HM12)+(16=$HN12)+(16=$HO12)&gt;=2,50,0))+S$5*50)</f>
        <v/>
      </c>
      <c r="T132">
        <f>IF(OR($JF12=0,calcA!$A$6=0),0,IF(OR(17=$HA12,17=$HD12,17=$HG12),200000,MIN(IF($HA12=0,999999,IF(1=$HB12,IF(17=$HJ12,IF($JC12=2,30,0),IF(17=$HK12,IF($JC12=1,30,0),ABS(17-$HC12)*100)),100000+ABS(1-$HB12)*1000+170)),IF($HD12=0,999999,IF(1=$HE12,IF(17=$HL12,IF($JD12=2,30,0),IF(17=$HM12,IF($JD12=1,30,0),ABS(17-$HF12)*100)),100000+ABS(1-$HE12)*1000+170)),IF($HG12=0,999999,IF(1=$HH12,IF(17=$HN12,IF($JE12=2,30,0),IF(17=$HO12,IF($JE12=1,30,0),ABS(17-$HI12)*100)),100000+ABS(1-$HH12)*1000+170)))-IF((17=$HJ12)+(17=$HK12)+(17=$HL12)+(17=$HM12)+(17=$HN12)+(17=$HO12)&gt;=2,50,0))+T$5*50)</f>
        <v/>
      </c>
      <c r="U132">
        <f>IF(OR($JF12=0,calcA!$A$6=0),0,IF(OR(18=$HA12,18=$HD12,18=$HG12),200000,MIN(IF($HA12=0,999999,IF(1=$HB12,IF(18=$HJ12,IF($JC12=2,30,0),IF(18=$HK12,IF($JC12=1,30,0),ABS(18-$HC12)*100)),100000+ABS(1-$HB12)*1000+180)),IF($HD12=0,999999,IF(1=$HE12,IF(18=$HL12,IF($JD12=2,30,0),IF(18=$HM12,IF($JD12=1,30,0),ABS(18-$HF12)*100)),100000+ABS(1-$HE12)*1000+180)),IF($HG12=0,999999,IF(1=$HH12,IF(18=$HN12,IF($JE12=2,30,0),IF(18=$HO12,IF($JE12=1,30,0),ABS(18-$HI12)*100)),100000+ABS(1-$HH12)*1000+180)))-IF((18=$HJ12)+(18=$HK12)+(18=$HL12)+(18=$HM12)+(18=$HN12)+(18=$HO12)&gt;=2,50,0))+U$5*50)</f>
        <v/>
      </c>
      <c r="V132">
        <f>IF(OR($JF12=0,calcA!$A$6=0),0,IF(OR(19=$HA12,19=$HD12,19=$HG12),200000,MIN(IF($HA12=0,999999,IF(1=$HB12,IF(19=$HJ12,IF($JC12=2,30,0),IF(19=$HK12,IF($JC12=1,30,0),ABS(19-$HC12)*100)),100000+ABS(1-$HB12)*1000+190)),IF($HD12=0,999999,IF(1=$HE12,IF(19=$HL12,IF($JD12=2,30,0),IF(19=$HM12,IF($JD12=1,30,0),ABS(19-$HF12)*100)),100000+ABS(1-$HE12)*1000+190)),IF($HG12=0,999999,IF(1=$HH12,IF(19=$HN12,IF($JE12=2,30,0),IF(19=$HO12,IF($JE12=1,30,0),ABS(19-$HI12)*100)),100000+ABS(1-$HH12)*1000+190)))-IF((19=$HJ12)+(19=$HK12)+(19=$HL12)+(19=$HM12)+(19=$HN12)+(19=$HO12)&gt;=2,50,0))+V$5*50)</f>
        <v/>
      </c>
      <c r="W132">
        <f>IF(OR($JF12=0,calcA!$A$6=0),0,IF(OR(20=$HA12,20=$HD12,20=$HG12),200000,MIN(IF($HA12=0,999999,IF(1=$HB12,IF(20=$HJ12,IF($JC12=2,30,0),IF(20=$HK12,IF($JC12=1,30,0),ABS(20-$HC12)*100)),100000+ABS(1-$HB12)*1000+200)),IF($HD12=0,999999,IF(1=$HE12,IF(20=$HL12,IF($JD12=2,30,0),IF(20=$HM12,IF($JD12=1,30,0),ABS(20-$HF12)*100)),100000+ABS(1-$HE12)*1000+200)),IF($HG12=0,999999,IF(1=$HH12,IF(20=$HN12,IF($JE12=2,30,0),IF(20=$HO12,IF($JE12=1,30,0),ABS(20-$HI12)*100)),100000+ABS(1-$HH12)*1000+200)))-IF((20=$HJ12)+(20=$HK12)+(20=$HL12)+(20=$HM12)+(20=$HN12)+(20=$HO12)&gt;=2,50,0))+W$5*50)</f>
        <v/>
      </c>
      <c r="X132">
        <f>IF(OR($JF12=0,calcA!$A$6=0),0,IF(OR(21=$HA12,21=$HD12,21=$HG12),200000,MIN(IF($HA12=0,999999,IF(1=$HB12,IF(21=$HJ12,IF($JC12=2,30,0),IF(21=$HK12,IF($JC12=1,30,0),ABS(21-$HC12)*100)),100000+ABS(1-$HB12)*1000+210)),IF($HD12=0,999999,IF(1=$HE12,IF(21=$HL12,IF($JD12=2,30,0),IF(21=$HM12,IF($JD12=1,30,0),ABS(21-$HF12)*100)),100000+ABS(1-$HE12)*1000+210)),IF($HG12=0,999999,IF(1=$HH12,IF(21=$HN12,IF($JE12=2,30,0),IF(21=$HO12,IF($JE12=1,30,0),ABS(21-$HI12)*100)),100000+ABS(1-$HH12)*1000+210)))-IF((21=$HJ12)+(21=$HK12)+(21=$HL12)+(21=$HM12)+(21=$HN12)+(21=$HO12)&gt;=2,50,0))+X$5*50)</f>
        <v/>
      </c>
      <c r="Y132">
        <f>IF(OR($JF12=0,calcA!$A$6=0),0,IF(OR(22=$HA12,22=$HD12,22=$HG12),200000,MIN(IF($HA12=0,999999,IF(1=$HB12,IF(22=$HJ12,IF($JC12=2,30,0),IF(22=$HK12,IF($JC12=1,30,0),ABS(22-$HC12)*100)),100000+ABS(1-$HB12)*1000+220)),IF($HD12=0,999999,IF(1=$HE12,IF(22=$HL12,IF($JD12=2,30,0),IF(22=$HM12,IF($JD12=1,30,0),ABS(22-$HF12)*100)),100000+ABS(1-$HE12)*1000+220)),IF($HG12=0,999999,IF(1=$HH12,IF(22=$HN12,IF($JE12=2,30,0),IF(22=$HO12,IF($JE12=1,30,0),ABS(22-$HI12)*100)),100000+ABS(1-$HH12)*1000+220)))-IF((22=$HJ12)+(22=$HK12)+(22=$HL12)+(22=$HM12)+(22=$HN12)+(22=$HO12)&gt;=2,50,0))+Y$5*50)</f>
        <v/>
      </c>
      <c r="Z132">
        <f>IF(OR($JF12=0,calcA!$A$6=0),0,IF(OR(23=$HA12,23=$HD12,23=$HG12),200000,MIN(IF($HA12=0,999999,IF(1=$HB12,IF(23=$HJ12,IF($JC12=2,30,0),IF(23=$HK12,IF($JC12=1,30,0),ABS(23-$HC12)*100)),100000+ABS(1-$HB12)*1000+230)),IF($HD12=0,999999,IF(1=$HE12,IF(23=$HL12,IF($JD12=2,30,0),IF(23=$HM12,IF($JD12=1,30,0),ABS(23-$HF12)*100)),100000+ABS(1-$HE12)*1000+230)),IF($HG12=0,999999,IF(1=$HH12,IF(23=$HN12,IF($JE12=2,30,0),IF(23=$HO12,IF($JE12=1,30,0),ABS(23-$HI12)*100)),100000+ABS(1-$HH12)*1000+230)))-IF((23=$HJ12)+(23=$HK12)+(23=$HL12)+(23=$HM12)+(23=$HN12)+(23=$HO12)&gt;=2,50,0))+Z$5*50)</f>
        <v/>
      </c>
      <c r="AA132">
        <f>IF(OR($JF12=0,calcA!$A$6=0),0,IF(OR(24=$HA12,24=$HD12,24=$HG12),200000,MIN(IF($HA12=0,999999,IF(1=$HB12,IF(24=$HJ12,IF($JC12=2,30,0),IF(24=$HK12,IF($JC12=1,30,0),ABS(24-$HC12)*100)),100000+ABS(1-$HB12)*1000+240)),IF($HD12=0,999999,IF(1=$HE12,IF(24=$HL12,IF($JD12=2,30,0),IF(24=$HM12,IF($JD12=1,30,0),ABS(24-$HF12)*100)),100000+ABS(1-$HE12)*1000+240)),IF($HG12=0,999999,IF(1=$HH12,IF(24=$HN12,IF($JE12=2,30,0),IF(24=$HO12,IF($JE12=1,30,0),ABS(24-$HI12)*100)),100000+ABS(1-$HH12)*1000+240)))-IF((24=$HJ12)+(24=$HK12)+(24=$HL12)+(24=$HM12)+(24=$HN12)+(24=$HO12)&gt;=2,50,0))+AA$5*50)</f>
        <v/>
      </c>
      <c r="AB132">
        <f>IF(OR($JF12=0,calcA!$A$6=0),0,IF(OR(25=$HA12,25=$HD12,25=$HG12),200000,MIN(IF($HA12=0,999999,IF(2=$HB12,IF(25=$HJ12,IF($JC12=2,30,0),IF(25=$HK12,IF($JC12=1,30,0),ABS(1-$HC12)*100)),100000+ABS(2-$HB12)*1000+10)),IF($HD12=0,999999,IF(2=$HE12,IF(25=$HL12,IF($JD12=2,30,0),IF(25=$HM12,IF($JD12=1,30,0),ABS(1-$HF12)*100)),100000+ABS(2-$HE12)*1000+10)),IF($HG12=0,999999,IF(2=$HH12,IF(25=$HN12,IF($JE12=2,30,0),IF(25=$HO12,IF($JE12=1,30,0),ABS(1-$HI12)*100)),100000+ABS(2-$HH12)*1000+10)))-IF((25=$HJ12)+(25=$HK12)+(25=$HL12)+(25=$HM12)+(25=$HN12)+(25=$HO12)&gt;=2,50,0))+AB$5*50)</f>
        <v/>
      </c>
      <c r="AC132">
        <f>IF(OR($JF12=0,calcA!$A$6=0),0,IF(OR(26=$HA12,26=$HD12,26=$HG12),200000,MIN(IF($HA12=0,999999,IF(2=$HB12,IF(26=$HJ12,IF($JC12=2,30,0),IF(26=$HK12,IF($JC12=1,30,0),ABS(2-$HC12)*100)),100000+ABS(2-$HB12)*1000+20)),IF($HD12=0,999999,IF(2=$HE12,IF(26=$HL12,IF($JD12=2,30,0),IF(26=$HM12,IF($JD12=1,30,0),ABS(2-$HF12)*100)),100000+ABS(2-$HE12)*1000+20)),IF($HG12=0,999999,IF(2=$HH12,IF(26=$HN12,IF($JE12=2,30,0),IF(26=$HO12,IF($JE12=1,30,0),ABS(2-$HI12)*100)),100000+ABS(2-$HH12)*1000+20)))-IF((26=$HJ12)+(26=$HK12)+(26=$HL12)+(26=$HM12)+(26=$HN12)+(26=$HO12)&gt;=2,50,0))+AC$5*50)</f>
        <v/>
      </c>
      <c r="AD132">
        <f>IF(OR($JF12=0,calcA!$A$6=0),0,IF(OR(27=$HA12,27=$HD12,27=$HG12),200000,MIN(IF($HA12=0,999999,IF(2=$HB12,IF(27=$HJ12,IF($JC12=2,30,0),IF(27=$HK12,IF($JC12=1,30,0),ABS(3-$HC12)*100)),100000+ABS(2-$HB12)*1000+30)),IF($HD12=0,999999,IF(2=$HE12,IF(27=$HL12,IF($JD12=2,30,0),IF(27=$HM12,IF($JD12=1,30,0),ABS(3-$HF12)*100)),100000+ABS(2-$HE12)*1000+30)),IF($HG12=0,999999,IF(2=$HH12,IF(27=$HN12,IF($JE12=2,30,0),IF(27=$HO12,IF($JE12=1,30,0),ABS(3-$HI12)*100)),100000+ABS(2-$HH12)*1000+30)))-IF((27=$HJ12)+(27=$HK12)+(27=$HL12)+(27=$HM12)+(27=$HN12)+(27=$HO12)&gt;=2,50,0))+AD$5*50)</f>
        <v/>
      </c>
      <c r="AE132">
        <f>IF(OR($JF12=0,calcA!$A$6=0),0,IF(OR(28=$HA12,28=$HD12,28=$HG12),200000,MIN(IF($HA12=0,999999,IF(2=$HB12,IF(28=$HJ12,IF($JC12=2,30,0),IF(28=$HK12,IF($JC12=1,30,0),ABS(4-$HC12)*100)),100000+ABS(2-$HB12)*1000+40)),IF($HD12=0,999999,IF(2=$HE12,IF(28=$HL12,IF($JD12=2,30,0),IF(28=$HM12,IF($JD12=1,30,0),ABS(4-$HF12)*100)),100000+ABS(2-$HE12)*1000+40)),IF($HG12=0,999999,IF(2=$HH12,IF(28=$HN12,IF($JE12=2,30,0),IF(28=$HO12,IF($JE12=1,30,0),ABS(4-$HI12)*100)),100000+ABS(2-$HH12)*1000+40)))-IF((28=$HJ12)+(28=$HK12)+(28=$HL12)+(28=$HM12)+(28=$HN12)+(28=$HO12)&gt;=2,50,0))+AE$5*50)</f>
        <v/>
      </c>
      <c r="AF132">
        <f>IF(OR($JF12=0,calcA!$A$6=0),0,IF(OR(29=$HA12,29=$HD12,29=$HG12),200000,MIN(IF($HA12=0,999999,IF(2=$HB12,IF(29=$HJ12,IF($JC12=2,30,0),IF(29=$HK12,IF($JC12=1,30,0),ABS(5-$HC12)*100)),100000+ABS(2-$HB12)*1000+50)),IF($HD12=0,999999,IF(2=$HE12,IF(29=$HL12,IF($JD12=2,30,0),IF(29=$HM12,IF($JD12=1,30,0),ABS(5-$HF12)*100)),100000+ABS(2-$HE12)*1000+50)),IF($HG12=0,999999,IF(2=$HH12,IF(29=$HN12,IF($JE12=2,30,0),IF(29=$HO12,IF($JE12=1,30,0),ABS(5-$HI12)*100)),100000+ABS(2-$HH12)*1000+50)))-IF((29=$HJ12)+(29=$HK12)+(29=$HL12)+(29=$HM12)+(29=$HN12)+(29=$HO12)&gt;=2,50,0))+AF$5*50)</f>
        <v/>
      </c>
      <c r="AG132">
        <f>IF(OR($JF12=0,calcA!$A$6=0),0,IF(OR(30=$HA12,30=$HD12,30=$HG12),200000,MIN(IF($HA12=0,999999,IF(2=$HB12,IF(30=$HJ12,IF($JC12=2,30,0),IF(30=$HK12,IF($JC12=1,30,0),ABS(6-$HC12)*100)),100000+ABS(2-$HB12)*1000+60)),IF($HD12=0,999999,IF(2=$HE12,IF(30=$HL12,IF($JD12=2,30,0),IF(30=$HM12,IF($JD12=1,30,0),ABS(6-$HF12)*100)),100000+ABS(2-$HE12)*1000+60)),IF($HG12=0,999999,IF(2=$HH12,IF(30=$HN12,IF($JE12=2,30,0),IF(30=$HO12,IF($JE12=1,30,0),ABS(6-$HI12)*100)),100000+ABS(2-$HH12)*1000+60)))-IF((30=$HJ12)+(30=$HK12)+(30=$HL12)+(30=$HM12)+(30=$HN12)+(30=$HO12)&gt;=2,50,0))+AG$5*50)</f>
        <v/>
      </c>
      <c r="AH132">
        <f>IF(OR($JF12=0,calcA!$A$6=0),0,IF(OR(31=$HA12,31=$HD12,31=$HG12),200000,MIN(IF($HA12=0,999999,IF(2=$HB12,IF(31=$HJ12,IF($JC12=2,30,0),IF(31=$HK12,IF($JC12=1,30,0),ABS(7-$HC12)*100)),100000+ABS(2-$HB12)*1000+70)),IF($HD12=0,999999,IF(2=$HE12,IF(31=$HL12,IF($JD12=2,30,0),IF(31=$HM12,IF($JD12=1,30,0),ABS(7-$HF12)*100)),100000+ABS(2-$HE12)*1000+70)),IF($HG12=0,999999,IF(2=$HH12,IF(31=$HN12,IF($JE12=2,30,0),IF(31=$HO12,IF($JE12=1,30,0),ABS(7-$HI12)*100)),100000+ABS(2-$HH12)*1000+70)))-IF((31=$HJ12)+(31=$HK12)+(31=$HL12)+(31=$HM12)+(31=$HN12)+(31=$HO12)&gt;=2,50,0))+AH$5*50)</f>
        <v/>
      </c>
      <c r="AI132">
        <f>IF(OR($JF12=0,calcA!$A$6=0),0,IF(OR(32=$HA12,32=$HD12,32=$HG12),200000,MIN(IF($HA12=0,999999,IF(2=$HB12,IF(32=$HJ12,IF($JC12=2,30,0),IF(32=$HK12,IF($JC12=1,30,0),ABS(8-$HC12)*100)),100000+ABS(2-$HB12)*1000+80)),IF($HD12=0,999999,IF(2=$HE12,IF(32=$HL12,IF($JD12=2,30,0),IF(32=$HM12,IF($JD12=1,30,0),ABS(8-$HF12)*100)),100000+ABS(2-$HE12)*1000+80)),IF($HG12=0,999999,IF(2=$HH12,IF(32=$HN12,IF($JE12=2,30,0),IF(32=$HO12,IF($JE12=1,30,0),ABS(8-$HI12)*100)),100000+ABS(2-$HH12)*1000+80)))-IF((32=$HJ12)+(32=$HK12)+(32=$HL12)+(32=$HM12)+(32=$HN12)+(32=$HO12)&gt;=2,50,0))+AI$5*50)</f>
        <v/>
      </c>
      <c r="AJ132">
        <f>IF(OR($JF12=0,calcA!$A$6=0),0,IF(OR(33=$HA12,33=$HD12,33=$HG12),200000,MIN(IF($HA12=0,999999,IF(2=$HB12,IF(33=$HJ12,IF($JC12=2,30,0),IF(33=$HK12,IF($JC12=1,30,0),ABS(9-$HC12)*100)),100000+ABS(2-$HB12)*1000+90)),IF($HD12=0,999999,IF(2=$HE12,IF(33=$HL12,IF($JD12=2,30,0),IF(33=$HM12,IF($JD12=1,30,0),ABS(9-$HF12)*100)),100000+ABS(2-$HE12)*1000+90)),IF($HG12=0,999999,IF(2=$HH12,IF(33=$HN12,IF($JE12=2,30,0),IF(33=$HO12,IF($JE12=1,30,0),ABS(9-$HI12)*100)),100000+ABS(2-$HH12)*1000+90)))-IF((33=$HJ12)+(33=$HK12)+(33=$HL12)+(33=$HM12)+(33=$HN12)+(33=$HO12)&gt;=2,50,0))+AJ$5*50)</f>
        <v/>
      </c>
      <c r="AK132">
        <f>IF(OR($JF12=0,calcA!$A$6=0),0,IF(OR(34=$HA12,34=$HD12,34=$HG12),200000,MIN(IF($HA12=0,999999,IF(2=$HB12,IF(34=$HJ12,IF($JC12=2,30,0),IF(34=$HK12,IF($JC12=1,30,0),ABS(10-$HC12)*100)),100000+ABS(2-$HB12)*1000+100)),IF($HD12=0,999999,IF(2=$HE12,IF(34=$HL12,IF($JD12=2,30,0),IF(34=$HM12,IF($JD12=1,30,0),ABS(10-$HF12)*100)),100000+ABS(2-$HE12)*1000+100)),IF($HG12=0,999999,IF(2=$HH12,IF(34=$HN12,IF($JE12=2,30,0),IF(34=$HO12,IF($JE12=1,30,0),ABS(10-$HI12)*100)),100000+ABS(2-$HH12)*1000+100)))-IF((34=$HJ12)+(34=$HK12)+(34=$HL12)+(34=$HM12)+(34=$HN12)+(34=$HO12)&gt;=2,50,0))+AK$5*50)</f>
        <v/>
      </c>
      <c r="AL132">
        <f>IF(OR($JF12=0,calcA!$A$6=0),0,IF(OR(35=$HA12,35=$HD12,35=$HG12),200000,MIN(IF($HA12=0,999999,IF(2=$HB12,IF(35=$HJ12,IF($JC12=2,30,0),IF(35=$HK12,IF($JC12=1,30,0),ABS(11-$HC12)*100)),100000+ABS(2-$HB12)*1000+110)),IF($HD12=0,999999,IF(2=$HE12,IF(35=$HL12,IF($JD12=2,30,0),IF(35=$HM12,IF($JD12=1,30,0),ABS(11-$HF12)*100)),100000+ABS(2-$HE12)*1000+110)),IF($HG12=0,999999,IF(2=$HH12,IF(35=$HN12,IF($JE12=2,30,0),IF(35=$HO12,IF($JE12=1,30,0),ABS(11-$HI12)*100)),100000+ABS(2-$HH12)*1000+110)))-IF((35=$HJ12)+(35=$HK12)+(35=$HL12)+(35=$HM12)+(35=$HN12)+(35=$HO12)&gt;=2,50,0))+AL$5*50)</f>
        <v/>
      </c>
      <c r="AM132">
        <f>IF(OR($JF12=0,calcA!$A$6=0),0,IF(OR(36=$HA12,36=$HD12,36=$HG12),200000,MIN(IF($HA12=0,999999,IF(2=$HB12,IF(36=$HJ12,IF($JC12=2,30,0),IF(36=$HK12,IF($JC12=1,30,0),ABS(12-$HC12)*100)),100000+ABS(2-$HB12)*1000+120)),IF($HD12=0,999999,IF(2=$HE12,IF(36=$HL12,IF($JD12=2,30,0),IF(36=$HM12,IF($JD12=1,30,0),ABS(12-$HF12)*100)),100000+ABS(2-$HE12)*1000+120)),IF($HG12=0,999999,IF(2=$HH12,IF(36=$HN12,IF($JE12=2,30,0),IF(36=$HO12,IF($JE12=1,30,0),ABS(12-$HI12)*100)),100000+ABS(2-$HH12)*1000+120)))-IF((36=$HJ12)+(36=$HK12)+(36=$HL12)+(36=$HM12)+(36=$HN12)+(36=$HO12)&gt;=2,50,0))+AM$5*50)</f>
        <v/>
      </c>
      <c r="AN132">
        <f>IF(OR($JF12=0,calcA!$A$6=0),0,IF(OR(37=$HA12,37=$HD12,37=$HG12),200000,MIN(IF($HA12=0,999999,IF(2=$HB12,IF(37=$HJ12,IF($JC12=2,30,0),IF(37=$HK12,IF($JC12=1,30,0),ABS(13-$HC12)*100)),100000+ABS(2-$HB12)*1000+130)),IF($HD12=0,999999,IF(2=$HE12,IF(37=$HL12,IF($JD12=2,30,0),IF(37=$HM12,IF($JD12=1,30,0),ABS(13-$HF12)*100)),100000+ABS(2-$HE12)*1000+130)),IF($HG12=0,999999,IF(2=$HH12,IF(37=$HN12,IF($JE12=2,30,0),IF(37=$HO12,IF($JE12=1,30,0),ABS(13-$HI12)*100)),100000+ABS(2-$HH12)*1000+130)))-IF((37=$HJ12)+(37=$HK12)+(37=$HL12)+(37=$HM12)+(37=$HN12)+(37=$HO12)&gt;=2,50,0))+AN$5*50)</f>
        <v/>
      </c>
      <c r="AO132">
        <f>IF(OR($JF12=0,calcA!$A$6=0),0,IF(OR(38=$HA12,38=$HD12,38=$HG12),200000,MIN(IF($HA12=0,999999,IF(2=$HB12,IF(38=$HJ12,IF($JC12=2,30,0),IF(38=$HK12,IF($JC12=1,30,0),ABS(14-$HC12)*100)),100000+ABS(2-$HB12)*1000+140)),IF($HD12=0,999999,IF(2=$HE12,IF(38=$HL12,IF($JD12=2,30,0),IF(38=$HM12,IF($JD12=1,30,0),ABS(14-$HF12)*100)),100000+ABS(2-$HE12)*1000+140)),IF($HG12=0,999999,IF(2=$HH12,IF(38=$HN12,IF($JE12=2,30,0),IF(38=$HO12,IF($JE12=1,30,0),ABS(14-$HI12)*100)),100000+ABS(2-$HH12)*1000+140)))-IF((38=$HJ12)+(38=$HK12)+(38=$HL12)+(38=$HM12)+(38=$HN12)+(38=$HO12)&gt;=2,50,0))+AO$5*50)</f>
        <v/>
      </c>
      <c r="AP132">
        <f>IF(OR($JF12=0,calcA!$A$6=0),0,IF(OR(39=$HA12,39=$HD12,39=$HG12),200000,MIN(IF($HA12=0,999999,IF(2=$HB12,IF(39=$HJ12,IF($JC12=2,30,0),IF(39=$HK12,IF($JC12=1,30,0),ABS(15-$HC12)*100)),100000+ABS(2-$HB12)*1000+150)),IF($HD12=0,999999,IF(2=$HE12,IF(39=$HL12,IF($JD12=2,30,0),IF(39=$HM12,IF($JD12=1,30,0),ABS(15-$HF12)*100)),100000+ABS(2-$HE12)*1000+150)),IF($HG12=0,999999,IF(2=$HH12,IF(39=$HN12,IF($JE12=2,30,0),IF(39=$HO12,IF($JE12=1,30,0),ABS(15-$HI12)*100)),100000+ABS(2-$HH12)*1000+150)))-IF((39=$HJ12)+(39=$HK12)+(39=$HL12)+(39=$HM12)+(39=$HN12)+(39=$HO12)&gt;=2,50,0))+AP$5*50)</f>
        <v/>
      </c>
      <c r="AQ132">
        <f>IF(OR($JF12=0,calcA!$A$6=0),0,IF(OR(40=$HA12,40=$HD12,40=$HG12),200000,MIN(IF($HA12=0,999999,IF(2=$HB12,IF(40=$HJ12,IF($JC12=2,30,0),IF(40=$HK12,IF($JC12=1,30,0),ABS(16-$HC12)*100)),100000+ABS(2-$HB12)*1000+160)),IF($HD12=0,999999,IF(2=$HE12,IF(40=$HL12,IF($JD12=2,30,0),IF(40=$HM12,IF($JD12=1,30,0),ABS(16-$HF12)*100)),100000+ABS(2-$HE12)*1000+160)),IF($HG12=0,999999,IF(2=$HH12,IF(40=$HN12,IF($JE12=2,30,0),IF(40=$HO12,IF($JE12=1,30,0),ABS(16-$HI12)*100)),100000+ABS(2-$HH12)*1000+160)))-IF((40=$HJ12)+(40=$HK12)+(40=$HL12)+(40=$HM12)+(40=$HN12)+(40=$HO12)&gt;=2,50,0))+AQ$5*50)</f>
        <v/>
      </c>
      <c r="AR132">
        <f>IF(OR($JF12=0,calcA!$A$6=0),0,IF(OR(41=$HA12,41=$HD12,41=$HG12),200000,MIN(IF($HA12=0,999999,IF(2=$HB12,IF(41=$HJ12,IF($JC12=2,30,0),IF(41=$HK12,IF($JC12=1,30,0),ABS(17-$HC12)*100)),100000+ABS(2-$HB12)*1000+170)),IF($HD12=0,999999,IF(2=$HE12,IF(41=$HL12,IF($JD12=2,30,0),IF(41=$HM12,IF($JD12=1,30,0),ABS(17-$HF12)*100)),100000+ABS(2-$HE12)*1000+170)),IF($HG12=0,999999,IF(2=$HH12,IF(41=$HN12,IF($JE12=2,30,0),IF(41=$HO12,IF($JE12=1,30,0),ABS(17-$HI12)*100)),100000+ABS(2-$HH12)*1000+170)))-IF((41=$HJ12)+(41=$HK12)+(41=$HL12)+(41=$HM12)+(41=$HN12)+(41=$HO12)&gt;=2,50,0))+AR$5*50)</f>
        <v/>
      </c>
      <c r="AS132">
        <f>IF(OR($JF12=0,calcA!$A$6=0),0,IF(OR(42=$HA12,42=$HD12,42=$HG12),200000,MIN(IF($HA12=0,999999,IF(2=$HB12,IF(42=$HJ12,IF($JC12=2,30,0),IF(42=$HK12,IF($JC12=1,30,0),ABS(18-$HC12)*100)),100000+ABS(2-$HB12)*1000+180)),IF($HD12=0,999999,IF(2=$HE12,IF(42=$HL12,IF($JD12=2,30,0),IF(42=$HM12,IF($JD12=1,30,0),ABS(18-$HF12)*100)),100000+ABS(2-$HE12)*1000+180)),IF($HG12=0,999999,IF(2=$HH12,IF(42=$HN12,IF($JE12=2,30,0),IF(42=$HO12,IF($JE12=1,30,0),ABS(18-$HI12)*100)),100000+ABS(2-$HH12)*1000+180)))-IF((42=$HJ12)+(42=$HK12)+(42=$HL12)+(42=$HM12)+(42=$HN12)+(42=$HO12)&gt;=2,50,0))+AS$5*50)</f>
        <v/>
      </c>
      <c r="AT132">
        <f>IF(OR($JF12=0,calcA!$A$6=0),0,IF(OR(43=$HA12,43=$HD12,43=$HG12),200000,MIN(IF($HA12=0,999999,IF(2=$HB12,IF(43=$HJ12,IF($JC12=2,30,0),IF(43=$HK12,IF($JC12=1,30,0),ABS(19-$HC12)*100)),100000+ABS(2-$HB12)*1000+190)),IF($HD12=0,999999,IF(2=$HE12,IF(43=$HL12,IF($JD12=2,30,0),IF(43=$HM12,IF($JD12=1,30,0),ABS(19-$HF12)*100)),100000+ABS(2-$HE12)*1000+190)),IF($HG12=0,999999,IF(2=$HH12,IF(43=$HN12,IF($JE12=2,30,0),IF(43=$HO12,IF($JE12=1,30,0),ABS(19-$HI12)*100)),100000+ABS(2-$HH12)*1000+190)))-IF((43=$HJ12)+(43=$HK12)+(43=$HL12)+(43=$HM12)+(43=$HN12)+(43=$HO12)&gt;=2,50,0))+AT$5*50)</f>
        <v/>
      </c>
      <c r="AU132">
        <f>IF(OR($JF12=0,calcA!$A$6=0),0,IF(OR(44=$HA12,44=$HD12,44=$HG12),200000,MIN(IF($HA12=0,999999,IF(2=$HB12,IF(44=$HJ12,IF($JC12=2,30,0),IF(44=$HK12,IF($JC12=1,30,0),ABS(20-$HC12)*100)),100000+ABS(2-$HB12)*1000+200)),IF($HD12=0,999999,IF(2=$HE12,IF(44=$HL12,IF($JD12=2,30,0),IF(44=$HM12,IF($JD12=1,30,0),ABS(20-$HF12)*100)),100000+ABS(2-$HE12)*1000+200)),IF($HG12=0,999999,IF(2=$HH12,IF(44=$HN12,IF($JE12=2,30,0),IF(44=$HO12,IF($JE12=1,30,0),ABS(20-$HI12)*100)),100000+ABS(2-$HH12)*1000+200)))-IF((44=$HJ12)+(44=$HK12)+(44=$HL12)+(44=$HM12)+(44=$HN12)+(44=$HO12)&gt;=2,50,0))+AU$5*50)</f>
        <v/>
      </c>
      <c r="AV132">
        <f>IF(OR($JF12=0,calcA!$A$6=0),0,IF(OR(45=$HA12,45=$HD12,45=$HG12),200000,MIN(IF($HA12=0,999999,IF(2=$HB12,IF(45=$HJ12,IF($JC12=2,30,0),IF(45=$HK12,IF($JC12=1,30,0),ABS(21-$HC12)*100)),100000+ABS(2-$HB12)*1000+210)),IF($HD12=0,999999,IF(2=$HE12,IF(45=$HL12,IF($JD12=2,30,0),IF(45=$HM12,IF($JD12=1,30,0),ABS(21-$HF12)*100)),100000+ABS(2-$HE12)*1000+210)),IF($HG12=0,999999,IF(2=$HH12,IF(45=$HN12,IF($JE12=2,30,0),IF(45=$HO12,IF($JE12=1,30,0),ABS(21-$HI12)*100)),100000+ABS(2-$HH12)*1000+210)))-IF((45=$HJ12)+(45=$HK12)+(45=$HL12)+(45=$HM12)+(45=$HN12)+(45=$HO12)&gt;=2,50,0))+AV$5*50)</f>
        <v/>
      </c>
      <c r="AW132">
        <f>IF(OR($JF12=0,calcA!$A$6=0),0,IF(OR(46=$HA12,46=$HD12,46=$HG12),200000,MIN(IF($HA12=0,999999,IF(2=$HB12,IF(46=$HJ12,IF($JC12=2,30,0),IF(46=$HK12,IF($JC12=1,30,0),ABS(22-$HC12)*100)),100000+ABS(2-$HB12)*1000+220)),IF($HD12=0,999999,IF(2=$HE12,IF(46=$HL12,IF($JD12=2,30,0),IF(46=$HM12,IF($JD12=1,30,0),ABS(22-$HF12)*100)),100000+ABS(2-$HE12)*1000+220)),IF($HG12=0,999999,IF(2=$HH12,IF(46=$HN12,IF($JE12=2,30,0),IF(46=$HO12,IF($JE12=1,30,0),ABS(22-$HI12)*100)),100000+ABS(2-$HH12)*1000+220)))-IF((46=$HJ12)+(46=$HK12)+(46=$HL12)+(46=$HM12)+(46=$HN12)+(46=$HO12)&gt;=2,50,0))+AW$5*50)</f>
        <v/>
      </c>
      <c r="AX132">
        <f>IF(OR($JF12=0,calcA!$A$6=0),0,IF(OR(47=$HA12,47=$HD12,47=$HG12),200000,MIN(IF($HA12=0,999999,IF(2=$HB12,IF(47=$HJ12,IF($JC12=2,30,0),IF(47=$HK12,IF($JC12=1,30,0),ABS(23-$HC12)*100)),100000+ABS(2-$HB12)*1000+230)),IF($HD12=0,999999,IF(2=$HE12,IF(47=$HL12,IF($JD12=2,30,0),IF(47=$HM12,IF($JD12=1,30,0),ABS(23-$HF12)*100)),100000+ABS(2-$HE12)*1000+230)),IF($HG12=0,999999,IF(2=$HH12,IF(47=$HN12,IF($JE12=2,30,0),IF(47=$HO12,IF($JE12=1,30,0),ABS(23-$HI12)*100)),100000+ABS(2-$HH12)*1000+230)))-IF((47=$HJ12)+(47=$HK12)+(47=$HL12)+(47=$HM12)+(47=$HN12)+(47=$HO12)&gt;=2,50,0))+AX$5*50)</f>
        <v/>
      </c>
      <c r="AY132">
        <f>IF(OR($JF12=0,calcA!$A$6=0),0,IF(OR(48=$HA12,48=$HD12,48=$HG12),200000,MIN(IF($HA12=0,999999,IF(2=$HB12,IF(48=$HJ12,IF($JC12=2,30,0),IF(48=$HK12,IF($JC12=1,30,0),ABS(24-$HC12)*100)),100000+ABS(2-$HB12)*1000+240)),IF($HD12=0,999999,IF(2=$HE12,IF(48=$HL12,IF($JD12=2,30,0),IF(48=$HM12,IF($JD12=1,30,0),ABS(24-$HF12)*100)),100000+ABS(2-$HE12)*1000+240)),IF($HG12=0,999999,IF(2=$HH12,IF(48=$HN12,IF($JE12=2,30,0),IF(48=$HO12,IF($JE12=1,30,0),ABS(24-$HI12)*100)),100000+ABS(2-$HH12)*1000+240)))-IF((48=$HJ12)+(48=$HK12)+(48=$HL12)+(48=$HM12)+(48=$HN12)+(48=$HO12)&gt;=2,50,0))+AY$5*50)</f>
        <v/>
      </c>
      <c r="AZ132">
        <f>IF(OR($JF12=0,calcA!$A$6=0),0,IF(OR(49=$HA12,49=$HD12,49=$HG12),200000,MIN(IF($HA12=0,999999,IF(3=$HB12,IF(49=$HJ12,IF($JC12=2,30,0),IF(49=$HK12,IF($JC12=1,30,0),ABS(1-$HC12)*100)),100000+ABS(3-$HB12)*1000+10)),IF($HD12=0,999999,IF(3=$HE12,IF(49=$HL12,IF($JD12=2,30,0),IF(49=$HM12,IF($JD12=1,30,0),ABS(1-$HF12)*100)),100000+ABS(3-$HE12)*1000+10)),IF($HG12=0,999999,IF(3=$HH12,IF(49=$HN12,IF($JE12=2,30,0),IF(49=$HO12,IF($JE12=1,30,0),ABS(1-$HI12)*100)),100000+ABS(3-$HH12)*1000+10)))-IF((49=$HJ12)+(49=$HK12)+(49=$HL12)+(49=$HM12)+(49=$HN12)+(49=$HO12)&gt;=2,50,0))+AZ$5*50)</f>
        <v/>
      </c>
      <c r="BA132">
        <f>IF(OR($JF12=0,calcA!$A$6=0),0,IF(OR(50=$HA12,50=$HD12,50=$HG12),200000,MIN(IF($HA12=0,999999,IF(3=$HB12,IF(50=$HJ12,IF($JC12=2,30,0),IF(50=$HK12,IF($JC12=1,30,0),ABS(2-$HC12)*100)),100000+ABS(3-$HB12)*1000+20)),IF($HD12=0,999999,IF(3=$HE12,IF(50=$HL12,IF($JD12=2,30,0),IF(50=$HM12,IF($JD12=1,30,0),ABS(2-$HF12)*100)),100000+ABS(3-$HE12)*1000+20)),IF($HG12=0,999999,IF(3=$HH12,IF(50=$HN12,IF($JE12=2,30,0),IF(50=$HO12,IF($JE12=1,30,0),ABS(2-$HI12)*100)),100000+ABS(3-$HH12)*1000+20)))-IF((50=$HJ12)+(50=$HK12)+(50=$HL12)+(50=$HM12)+(50=$HN12)+(50=$HO12)&gt;=2,50,0))+BA$5*50)</f>
        <v/>
      </c>
      <c r="BB132">
        <f>IF(OR($JF12=0,calcA!$A$6=0),0,IF(OR(51=$HA12,51=$HD12,51=$HG12),200000,MIN(IF($HA12=0,999999,IF(3=$HB12,IF(51=$HJ12,IF($JC12=2,30,0),IF(51=$HK12,IF($JC12=1,30,0),ABS(3-$HC12)*100)),100000+ABS(3-$HB12)*1000+30)),IF($HD12=0,999999,IF(3=$HE12,IF(51=$HL12,IF($JD12=2,30,0),IF(51=$HM12,IF($JD12=1,30,0),ABS(3-$HF12)*100)),100000+ABS(3-$HE12)*1000+30)),IF($HG12=0,999999,IF(3=$HH12,IF(51=$HN12,IF($JE12=2,30,0),IF(51=$HO12,IF($JE12=1,30,0),ABS(3-$HI12)*100)),100000+ABS(3-$HH12)*1000+30)))-IF((51=$HJ12)+(51=$HK12)+(51=$HL12)+(51=$HM12)+(51=$HN12)+(51=$HO12)&gt;=2,50,0))+BB$5*50)</f>
        <v/>
      </c>
      <c r="BC132">
        <f>IF(OR($JF12=0,calcA!$A$6=0),0,IF(OR(52=$HA12,52=$HD12,52=$HG12),200000,MIN(IF($HA12=0,999999,IF(3=$HB12,IF(52=$HJ12,IF($JC12=2,30,0),IF(52=$HK12,IF($JC12=1,30,0),ABS(4-$HC12)*100)),100000+ABS(3-$HB12)*1000+40)),IF($HD12=0,999999,IF(3=$HE12,IF(52=$HL12,IF($JD12=2,30,0),IF(52=$HM12,IF($JD12=1,30,0),ABS(4-$HF12)*100)),100000+ABS(3-$HE12)*1000+40)),IF($HG12=0,999999,IF(3=$HH12,IF(52=$HN12,IF($JE12=2,30,0),IF(52=$HO12,IF($JE12=1,30,0),ABS(4-$HI12)*100)),100000+ABS(3-$HH12)*1000+40)))-IF((52=$HJ12)+(52=$HK12)+(52=$HL12)+(52=$HM12)+(52=$HN12)+(52=$HO12)&gt;=2,50,0))+BC$5*50)</f>
        <v/>
      </c>
      <c r="BD132">
        <f>IF(OR($JF12=0,calcA!$A$6=0),0,IF(OR(53=$HA12,53=$HD12,53=$HG12),200000,MIN(IF($HA12=0,999999,IF(3=$HB12,IF(53=$HJ12,IF($JC12=2,30,0),IF(53=$HK12,IF($JC12=1,30,0),ABS(5-$HC12)*100)),100000+ABS(3-$HB12)*1000+50)),IF($HD12=0,999999,IF(3=$HE12,IF(53=$HL12,IF($JD12=2,30,0),IF(53=$HM12,IF($JD12=1,30,0),ABS(5-$HF12)*100)),100000+ABS(3-$HE12)*1000+50)),IF($HG12=0,999999,IF(3=$HH12,IF(53=$HN12,IF($JE12=2,30,0),IF(53=$HO12,IF($JE12=1,30,0),ABS(5-$HI12)*100)),100000+ABS(3-$HH12)*1000+50)))-IF((53=$HJ12)+(53=$HK12)+(53=$HL12)+(53=$HM12)+(53=$HN12)+(53=$HO12)&gt;=2,50,0))+BD$5*50)</f>
        <v/>
      </c>
      <c r="BE132">
        <f>IF(OR($JF12=0,calcA!$A$6=0),0,IF(OR(54=$HA12,54=$HD12,54=$HG12),200000,MIN(IF($HA12=0,999999,IF(3=$HB12,IF(54=$HJ12,IF($JC12=2,30,0),IF(54=$HK12,IF($JC12=1,30,0),ABS(6-$HC12)*100)),100000+ABS(3-$HB12)*1000+60)),IF($HD12=0,999999,IF(3=$HE12,IF(54=$HL12,IF($JD12=2,30,0),IF(54=$HM12,IF($JD12=1,30,0),ABS(6-$HF12)*100)),100000+ABS(3-$HE12)*1000+60)),IF($HG12=0,999999,IF(3=$HH12,IF(54=$HN12,IF($JE12=2,30,0),IF(54=$HO12,IF($JE12=1,30,0),ABS(6-$HI12)*100)),100000+ABS(3-$HH12)*1000+60)))-IF((54=$HJ12)+(54=$HK12)+(54=$HL12)+(54=$HM12)+(54=$HN12)+(54=$HO12)&gt;=2,50,0))+BE$5*50)</f>
        <v/>
      </c>
      <c r="BF132">
        <f>IF(OR($JF12=0,calcA!$A$6=0),0,IF(OR(55=$HA12,55=$HD12,55=$HG12),200000,MIN(IF($HA12=0,999999,IF(3=$HB12,IF(55=$HJ12,IF($JC12=2,30,0),IF(55=$HK12,IF($JC12=1,30,0),ABS(7-$HC12)*100)),100000+ABS(3-$HB12)*1000+70)),IF($HD12=0,999999,IF(3=$HE12,IF(55=$HL12,IF($JD12=2,30,0),IF(55=$HM12,IF($JD12=1,30,0),ABS(7-$HF12)*100)),100000+ABS(3-$HE12)*1000+70)),IF($HG12=0,999999,IF(3=$HH12,IF(55=$HN12,IF($JE12=2,30,0),IF(55=$HO12,IF($JE12=1,30,0),ABS(7-$HI12)*100)),100000+ABS(3-$HH12)*1000+70)))-IF((55=$HJ12)+(55=$HK12)+(55=$HL12)+(55=$HM12)+(55=$HN12)+(55=$HO12)&gt;=2,50,0))+BF$5*50)</f>
        <v/>
      </c>
      <c r="BG132">
        <f>IF(OR($JF12=0,calcA!$A$6=0),0,IF(OR(56=$HA12,56=$HD12,56=$HG12),200000,MIN(IF($HA12=0,999999,IF(3=$HB12,IF(56=$HJ12,IF($JC12=2,30,0),IF(56=$HK12,IF($JC12=1,30,0),ABS(8-$HC12)*100)),100000+ABS(3-$HB12)*1000+80)),IF($HD12=0,999999,IF(3=$HE12,IF(56=$HL12,IF($JD12=2,30,0),IF(56=$HM12,IF($JD12=1,30,0),ABS(8-$HF12)*100)),100000+ABS(3-$HE12)*1000+80)),IF($HG12=0,999999,IF(3=$HH12,IF(56=$HN12,IF($JE12=2,30,0),IF(56=$HO12,IF($JE12=1,30,0),ABS(8-$HI12)*100)),100000+ABS(3-$HH12)*1000+80)))-IF((56=$HJ12)+(56=$HK12)+(56=$HL12)+(56=$HM12)+(56=$HN12)+(56=$HO12)&gt;=2,50,0))+BG$5*50)</f>
        <v/>
      </c>
      <c r="BH132">
        <f>IF(OR($JF12=0,calcA!$A$6=0),0,IF(OR(57=$HA12,57=$HD12,57=$HG12),200000,MIN(IF($HA12=0,999999,IF(3=$HB12,IF(57=$HJ12,IF($JC12=2,30,0),IF(57=$HK12,IF($JC12=1,30,0),ABS(9-$HC12)*100)),100000+ABS(3-$HB12)*1000+90)),IF($HD12=0,999999,IF(3=$HE12,IF(57=$HL12,IF($JD12=2,30,0),IF(57=$HM12,IF($JD12=1,30,0),ABS(9-$HF12)*100)),100000+ABS(3-$HE12)*1000+90)),IF($HG12=0,999999,IF(3=$HH12,IF(57=$HN12,IF($JE12=2,30,0),IF(57=$HO12,IF($JE12=1,30,0),ABS(9-$HI12)*100)),100000+ABS(3-$HH12)*1000+90)))-IF((57=$HJ12)+(57=$HK12)+(57=$HL12)+(57=$HM12)+(57=$HN12)+(57=$HO12)&gt;=2,50,0))+BH$5*50)</f>
        <v/>
      </c>
      <c r="BI132">
        <f>IF(OR($JF12=0,calcA!$A$6=0),0,IF(OR(58=$HA12,58=$HD12,58=$HG12),200000,MIN(IF($HA12=0,999999,IF(3=$HB12,IF(58=$HJ12,IF($JC12=2,30,0),IF(58=$HK12,IF($JC12=1,30,0),ABS(10-$HC12)*100)),100000+ABS(3-$HB12)*1000+100)),IF($HD12=0,999999,IF(3=$HE12,IF(58=$HL12,IF($JD12=2,30,0),IF(58=$HM12,IF($JD12=1,30,0),ABS(10-$HF12)*100)),100000+ABS(3-$HE12)*1000+100)),IF($HG12=0,999999,IF(3=$HH12,IF(58=$HN12,IF($JE12=2,30,0),IF(58=$HO12,IF($JE12=1,30,0),ABS(10-$HI12)*100)),100000+ABS(3-$HH12)*1000+100)))-IF((58=$HJ12)+(58=$HK12)+(58=$HL12)+(58=$HM12)+(58=$HN12)+(58=$HO12)&gt;=2,50,0))+BI$5*50)</f>
        <v/>
      </c>
      <c r="BJ132">
        <f>IF(OR($JF12=0,calcA!$A$6=0),0,IF(OR(59=$HA12,59=$HD12,59=$HG12),200000,MIN(IF($HA12=0,999999,IF(3=$HB12,IF(59=$HJ12,IF($JC12=2,30,0),IF(59=$HK12,IF($JC12=1,30,0),ABS(11-$HC12)*100)),100000+ABS(3-$HB12)*1000+110)),IF($HD12=0,999999,IF(3=$HE12,IF(59=$HL12,IF($JD12=2,30,0),IF(59=$HM12,IF($JD12=1,30,0),ABS(11-$HF12)*100)),100000+ABS(3-$HE12)*1000+110)),IF($HG12=0,999999,IF(3=$HH12,IF(59=$HN12,IF($JE12=2,30,0),IF(59=$HO12,IF($JE12=1,30,0),ABS(11-$HI12)*100)),100000+ABS(3-$HH12)*1000+110)))-IF((59=$HJ12)+(59=$HK12)+(59=$HL12)+(59=$HM12)+(59=$HN12)+(59=$HO12)&gt;=2,50,0))+BJ$5*50)</f>
        <v/>
      </c>
      <c r="BK132">
        <f>IF(OR($JF12=0,calcA!$A$6=0),0,IF(OR(60=$HA12,60=$HD12,60=$HG12),200000,MIN(IF($HA12=0,999999,IF(3=$HB12,IF(60=$HJ12,IF($JC12=2,30,0),IF(60=$HK12,IF($JC12=1,30,0),ABS(12-$HC12)*100)),100000+ABS(3-$HB12)*1000+120)),IF($HD12=0,999999,IF(3=$HE12,IF(60=$HL12,IF($JD12=2,30,0),IF(60=$HM12,IF($JD12=1,30,0),ABS(12-$HF12)*100)),100000+ABS(3-$HE12)*1000+120)),IF($HG12=0,999999,IF(3=$HH12,IF(60=$HN12,IF($JE12=2,30,0),IF(60=$HO12,IF($JE12=1,30,0),ABS(12-$HI12)*100)),100000+ABS(3-$HH12)*1000+120)))-IF((60=$HJ12)+(60=$HK12)+(60=$HL12)+(60=$HM12)+(60=$HN12)+(60=$HO12)&gt;=2,50,0))+BK$5*50)</f>
        <v/>
      </c>
      <c r="BL132">
        <f>IF(OR($JF12=0,calcA!$A$6=0),0,IF(OR(61=$HA12,61=$HD12,61=$HG12),200000,MIN(IF($HA12=0,999999,IF(3=$HB12,IF(61=$HJ12,IF($JC12=2,30,0),IF(61=$HK12,IF($JC12=1,30,0),ABS(13-$HC12)*100)),100000+ABS(3-$HB12)*1000+130)),IF($HD12=0,999999,IF(3=$HE12,IF(61=$HL12,IF($JD12=2,30,0),IF(61=$HM12,IF($JD12=1,30,0),ABS(13-$HF12)*100)),100000+ABS(3-$HE12)*1000+130)),IF($HG12=0,999999,IF(3=$HH12,IF(61=$HN12,IF($JE12=2,30,0),IF(61=$HO12,IF($JE12=1,30,0),ABS(13-$HI12)*100)),100000+ABS(3-$HH12)*1000+130)))-IF((61=$HJ12)+(61=$HK12)+(61=$HL12)+(61=$HM12)+(61=$HN12)+(61=$HO12)&gt;=2,50,0))+BL$5*50)</f>
        <v/>
      </c>
      <c r="BM132">
        <f>IF(OR($JF12=0,calcA!$A$6=0),0,IF(OR(62=$HA12,62=$HD12,62=$HG12),200000,MIN(IF($HA12=0,999999,IF(3=$HB12,IF(62=$HJ12,IF($JC12=2,30,0),IF(62=$HK12,IF($JC12=1,30,0),ABS(14-$HC12)*100)),100000+ABS(3-$HB12)*1000+140)),IF($HD12=0,999999,IF(3=$HE12,IF(62=$HL12,IF($JD12=2,30,0),IF(62=$HM12,IF($JD12=1,30,0),ABS(14-$HF12)*100)),100000+ABS(3-$HE12)*1000+140)),IF($HG12=0,999999,IF(3=$HH12,IF(62=$HN12,IF($JE12=2,30,0),IF(62=$HO12,IF($JE12=1,30,0),ABS(14-$HI12)*100)),100000+ABS(3-$HH12)*1000+140)))-IF((62=$HJ12)+(62=$HK12)+(62=$HL12)+(62=$HM12)+(62=$HN12)+(62=$HO12)&gt;=2,50,0))+BM$5*50)</f>
        <v/>
      </c>
      <c r="BN132">
        <f>IF(OR($JF12=0,calcA!$A$6=0),0,IF(OR(63=$HA12,63=$HD12,63=$HG12),200000,MIN(IF($HA12=0,999999,IF(3=$HB12,IF(63=$HJ12,IF($JC12=2,30,0),IF(63=$HK12,IF($JC12=1,30,0),ABS(15-$HC12)*100)),100000+ABS(3-$HB12)*1000+150)),IF($HD12=0,999999,IF(3=$HE12,IF(63=$HL12,IF($JD12=2,30,0),IF(63=$HM12,IF($JD12=1,30,0),ABS(15-$HF12)*100)),100000+ABS(3-$HE12)*1000+150)),IF($HG12=0,999999,IF(3=$HH12,IF(63=$HN12,IF($JE12=2,30,0),IF(63=$HO12,IF($JE12=1,30,0),ABS(15-$HI12)*100)),100000+ABS(3-$HH12)*1000+150)))-IF((63=$HJ12)+(63=$HK12)+(63=$HL12)+(63=$HM12)+(63=$HN12)+(63=$HO12)&gt;=2,50,0))+BN$5*50)</f>
        <v/>
      </c>
      <c r="BO132">
        <f>IF(OR($JF12=0,calcA!$A$6=0),0,IF(OR(64=$HA12,64=$HD12,64=$HG12),200000,MIN(IF($HA12=0,999999,IF(3=$HB12,IF(64=$HJ12,IF($JC12=2,30,0),IF(64=$HK12,IF($JC12=1,30,0),ABS(16-$HC12)*100)),100000+ABS(3-$HB12)*1000+160)),IF($HD12=0,999999,IF(3=$HE12,IF(64=$HL12,IF($JD12=2,30,0),IF(64=$HM12,IF($JD12=1,30,0),ABS(16-$HF12)*100)),100000+ABS(3-$HE12)*1000+160)),IF($HG12=0,999999,IF(3=$HH12,IF(64=$HN12,IF($JE12=2,30,0),IF(64=$HO12,IF($JE12=1,30,0),ABS(16-$HI12)*100)),100000+ABS(3-$HH12)*1000+160)))-IF((64=$HJ12)+(64=$HK12)+(64=$HL12)+(64=$HM12)+(64=$HN12)+(64=$HO12)&gt;=2,50,0))+BO$5*50)</f>
        <v/>
      </c>
      <c r="BP132">
        <f>IF(OR($JF12=0,calcA!$A$6=0),0,IF(OR(65=$HA12,65=$HD12,65=$HG12),200000,MIN(IF($HA12=0,999999,IF(3=$HB12,IF(65=$HJ12,IF($JC12=2,30,0),IF(65=$HK12,IF($JC12=1,30,0),ABS(17-$HC12)*100)),100000+ABS(3-$HB12)*1000+170)),IF($HD12=0,999999,IF(3=$HE12,IF(65=$HL12,IF($JD12=2,30,0),IF(65=$HM12,IF($JD12=1,30,0),ABS(17-$HF12)*100)),100000+ABS(3-$HE12)*1000+170)),IF($HG12=0,999999,IF(3=$HH12,IF(65=$HN12,IF($JE12=2,30,0),IF(65=$HO12,IF($JE12=1,30,0),ABS(17-$HI12)*100)),100000+ABS(3-$HH12)*1000+170)))-IF((65=$HJ12)+(65=$HK12)+(65=$HL12)+(65=$HM12)+(65=$HN12)+(65=$HO12)&gt;=2,50,0))+BP$5*50)</f>
        <v/>
      </c>
      <c r="BQ132">
        <f>IF(OR($JF12=0,calcA!$A$6=0),0,IF(OR(66=$HA12,66=$HD12,66=$HG12),200000,MIN(IF($HA12=0,999999,IF(3=$HB12,IF(66=$HJ12,IF($JC12=2,30,0),IF(66=$HK12,IF($JC12=1,30,0),ABS(18-$HC12)*100)),100000+ABS(3-$HB12)*1000+180)),IF($HD12=0,999999,IF(3=$HE12,IF(66=$HL12,IF($JD12=2,30,0),IF(66=$HM12,IF($JD12=1,30,0),ABS(18-$HF12)*100)),100000+ABS(3-$HE12)*1000+180)),IF($HG12=0,999999,IF(3=$HH12,IF(66=$HN12,IF($JE12=2,30,0),IF(66=$HO12,IF($JE12=1,30,0),ABS(18-$HI12)*100)),100000+ABS(3-$HH12)*1000+180)))-IF((66=$HJ12)+(66=$HK12)+(66=$HL12)+(66=$HM12)+(66=$HN12)+(66=$HO12)&gt;=2,50,0))+BQ$5*50)</f>
        <v/>
      </c>
      <c r="BR132">
        <f>IF(OR($JF12=0,calcA!$A$6=0),0,IF(OR(67=$HA12,67=$HD12,67=$HG12),200000,MIN(IF($HA12=0,999999,IF(3=$HB12,IF(67=$HJ12,IF($JC12=2,30,0),IF(67=$HK12,IF($JC12=1,30,0),ABS(19-$HC12)*100)),100000+ABS(3-$HB12)*1000+190)),IF($HD12=0,999999,IF(3=$HE12,IF(67=$HL12,IF($JD12=2,30,0),IF(67=$HM12,IF($JD12=1,30,0),ABS(19-$HF12)*100)),100000+ABS(3-$HE12)*1000+190)),IF($HG12=0,999999,IF(3=$HH12,IF(67=$HN12,IF($JE12=2,30,0),IF(67=$HO12,IF($JE12=1,30,0),ABS(19-$HI12)*100)),100000+ABS(3-$HH12)*1000+190)))-IF((67=$HJ12)+(67=$HK12)+(67=$HL12)+(67=$HM12)+(67=$HN12)+(67=$HO12)&gt;=2,50,0))+BR$5*50)</f>
        <v/>
      </c>
      <c r="BS132">
        <f>IF(OR($JF12=0,calcA!$A$6=0),0,IF(OR(68=$HA12,68=$HD12,68=$HG12),200000,MIN(IF($HA12=0,999999,IF(3=$HB12,IF(68=$HJ12,IF($JC12=2,30,0),IF(68=$HK12,IF($JC12=1,30,0),ABS(20-$HC12)*100)),100000+ABS(3-$HB12)*1000+200)),IF($HD12=0,999999,IF(3=$HE12,IF(68=$HL12,IF($JD12=2,30,0),IF(68=$HM12,IF($JD12=1,30,0),ABS(20-$HF12)*100)),100000+ABS(3-$HE12)*1000+200)),IF($HG12=0,999999,IF(3=$HH12,IF(68=$HN12,IF($JE12=2,30,0),IF(68=$HO12,IF($JE12=1,30,0),ABS(20-$HI12)*100)),100000+ABS(3-$HH12)*1000+200)))-IF((68=$HJ12)+(68=$HK12)+(68=$HL12)+(68=$HM12)+(68=$HN12)+(68=$HO12)&gt;=2,50,0))+BS$5*50)</f>
        <v/>
      </c>
      <c r="BT132">
        <f>IF(OR($JF12=0,calcA!$A$6=0),0,IF(OR(69=$HA12,69=$HD12,69=$HG12),200000,MIN(IF($HA12=0,999999,IF(3=$HB12,IF(69=$HJ12,IF($JC12=2,30,0),IF(69=$HK12,IF($JC12=1,30,0),ABS(21-$HC12)*100)),100000+ABS(3-$HB12)*1000+210)),IF($HD12=0,999999,IF(3=$HE12,IF(69=$HL12,IF($JD12=2,30,0),IF(69=$HM12,IF($JD12=1,30,0),ABS(21-$HF12)*100)),100000+ABS(3-$HE12)*1000+210)),IF($HG12=0,999999,IF(3=$HH12,IF(69=$HN12,IF($JE12=2,30,0),IF(69=$HO12,IF($JE12=1,30,0),ABS(21-$HI12)*100)),100000+ABS(3-$HH12)*1000+210)))-IF((69=$HJ12)+(69=$HK12)+(69=$HL12)+(69=$HM12)+(69=$HN12)+(69=$HO12)&gt;=2,50,0))+BT$5*50)</f>
        <v/>
      </c>
      <c r="BU132">
        <f>IF(OR($JF12=0,calcA!$A$6=0),0,IF(OR(70=$HA12,70=$HD12,70=$HG12),200000,MIN(IF($HA12=0,999999,IF(3=$HB12,IF(70=$HJ12,IF($JC12=2,30,0),IF(70=$HK12,IF($JC12=1,30,0),ABS(22-$HC12)*100)),100000+ABS(3-$HB12)*1000+220)),IF($HD12=0,999999,IF(3=$HE12,IF(70=$HL12,IF($JD12=2,30,0),IF(70=$HM12,IF($JD12=1,30,0),ABS(22-$HF12)*100)),100000+ABS(3-$HE12)*1000+220)),IF($HG12=0,999999,IF(3=$HH12,IF(70=$HN12,IF($JE12=2,30,0),IF(70=$HO12,IF($JE12=1,30,0),ABS(22-$HI12)*100)),100000+ABS(3-$HH12)*1000+220)))-IF((70=$HJ12)+(70=$HK12)+(70=$HL12)+(70=$HM12)+(70=$HN12)+(70=$HO12)&gt;=2,50,0))+BU$5*50)</f>
        <v/>
      </c>
      <c r="BV132">
        <f>IF(OR($JF12=0,calcA!$A$6=0),0,IF(OR(71=$HA12,71=$HD12,71=$HG12),200000,MIN(IF($HA12=0,999999,IF(3=$HB12,IF(71=$HJ12,IF($JC12=2,30,0),IF(71=$HK12,IF($JC12=1,30,0),ABS(23-$HC12)*100)),100000+ABS(3-$HB12)*1000+230)),IF($HD12=0,999999,IF(3=$HE12,IF(71=$HL12,IF($JD12=2,30,0),IF(71=$HM12,IF($JD12=1,30,0),ABS(23-$HF12)*100)),100000+ABS(3-$HE12)*1000+230)),IF($HG12=0,999999,IF(3=$HH12,IF(71=$HN12,IF($JE12=2,30,0),IF(71=$HO12,IF($JE12=1,30,0),ABS(23-$HI12)*100)),100000+ABS(3-$HH12)*1000+230)))-IF((71=$HJ12)+(71=$HK12)+(71=$HL12)+(71=$HM12)+(71=$HN12)+(71=$HO12)&gt;=2,50,0))+BV$5*50)</f>
        <v/>
      </c>
      <c r="BW132">
        <f>IF(OR($JF12=0,calcA!$A$6=0),0,IF(OR(72=$HA12,72=$HD12,72=$HG12),200000,MIN(IF($HA12=0,999999,IF(3=$HB12,IF(72=$HJ12,IF($JC12=2,30,0),IF(72=$HK12,IF($JC12=1,30,0),ABS(24-$HC12)*100)),100000+ABS(3-$HB12)*1000+240)),IF($HD12=0,999999,IF(3=$HE12,IF(72=$HL12,IF($JD12=2,30,0),IF(72=$HM12,IF($JD12=1,30,0),ABS(24-$HF12)*100)),100000+ABS(3-$HE12)*1000+240)),IF($HG12=0,999999,IF(3=$HH12,IF(72=$HN12,IF($JE12=2,30,0),IF(72=$HO12,IF($JE12=1,30,0),ABS(24-$HI12)*100)),100000+ABS(3-$HH12)*1000+240)))-IF((72=$HJ12)+(72=$HK12)+(72=$HL12)+(72=$HM12)+(72=$HN12)+(72=$HO12)&gt;=2,50,0))+BW$5*50)</f>
        <v/>
      </c>
      <c r="BX132">
        <f>IF(OR($JF12=0,calcA!$A$6=0),0,IF(OR(73=$HA12,73=$HD12,73=$HG12),200000,MIN(IF($HA12=0,999999,IF(4=$HB12,IF(73=$HJ12,IF($JC12=2,30,0),IF(73=$HK12,IF($JC12=1,30,0),ABS(1-$HC12)*100)),100000+ABS(4-$HB12)*1000+10)),IF($HD12=0,999999,IF(4=$HE12,IF(73=$HL12,IF($JD12=2,30,0),IF(73=$HM12,IF($JD12=1,30,0),ABS(1-$HF12)*100)),100000+ABS(4-$HE12)*1000+10)),IF($HG12=0,999999,IF(4=$HH12,IF(73=$HN12,IF($JE12=2,30,0),IF(73=$HO12,IF($JE12=1,30,0),ABS(1-$HI12)*100)),100000+ABS(4-$HH12)*1000+10)))-IF((73=$HJ12)+(73=$HK12)+(73=$HL12)+(73=$HM12)+(73=$HN12)+(73=$HO12)&gt;=2,50,0))+BX$5*50)</f>
        <v/>
      </c>
      <c r="BY132">
        <f>IF(OR($JF12=0,calcA!$A$6=0),0,IF(OR(74=$HA12,74=$HD12,74=$HG12),200000,MIN(IF($HA12=0,999999,IF(4=$HB12,IF(74=$HJ12,IF($JC12=2,30,0),IF(74=$HK12,IF($JC12=1,30,0),ABS(2-$HC12)*100)),100000+ABS(4-$HB12)*1000+20)),IF($HD12=0,999999,IF(4=$HE12,IF(74=$HL12,IF($JD12=2,30,0),IF(74=$HM12,IF($JD12=1,30,0),ABS(2-$HF12)*100)),100000+ABS(4-$HE12)*1000+20)),IF($HG12=0,999999,IF(4=$HH12,IF(74=$HN12,IF($JE12=2,30,0),IF(74=$HO12,IF($JE12=1,30,0),ABS(2-$HI12)*100)),100000+ABS(4-$HH12)*1000+20)))-IF((74=$HJ12)+(74=$HK12)+(74=$HL12)+(74=$HM12)+(74=$HN12)+(74=$HO12)&gt;=2,50,0))+BY$5*50)</f>
        <v/>
      </c>
      <c r="BZ132">
        <f>IF(OR($JF12=0,calcA!$A$6=0),0,IF(OR(75=$HA12,75=$HD12,75=$HG12),200000,MIN(IF($HA12=0,999999,IF(4=$HB12,IF(75=$HJ12,IF($JC12=2,30,0),IF(75=$HK12,IF($JC12=1,30,0),ABS(3-$HC12)*100)),100000+ABS(4-$HB12)*1000+30)),IF($HD12=0,999999,IF(4=$HE12,IF(75=$HL12,IF($JD12=2,30,0),IF(75=$HM12,IF($JD12=1,30,0),ABS(3-$HF12)*100)),100000+ABS(4-$HE12)*1000+30)),IF($HG12=0,999999,IF(4=$HH12,IF(75=$HN12,IF($JE12=2,30,0),IF(75=$HO12,IF($JE12=1,30,0),ABS(3-$HI12)*100)),100000+ABS(4-$HH12)*1000+30)))-IF((75=$HJ12)+(75=$HK12)+(75=$HL12)+(75=$HM12)+(75=$HN12)+(75=$HO12)&gt;=2,50,0))+BZ$5*50)</f>
        <v/>
      </c>
      <c r="CA132">
        <f>IF(OR($JF12=0,calcA!$A$6=0),0,IF(OR(76=$HA12,76=$HD12,76=$HG12),200000,MIN(IF($HA12=0,999999,IF(4=$HB12,IF(76=$HJ12,IF($JC12=2,30,0),IF(76=$HK12,IF($JC12=1,30,0),ABS(4-$HC12)*100)),100000+ABS(4-$HB12)*1000+40)),IF($HD12=0,999999,IF(4=$HE12,IF(76=$HL12,IF($JD12=2,30,0),IF(76=$HM12,IF($JD12=1,30,0),ABS(4-$HF12)*100)),100000+ABS(4-$HE12)*1000+40)),IF($HG12=0,999999,IF(4=$HH12,IF(76=$HN12,IF($JE12=2,30,0),IF(76=$HO12,IF($JE12=1,30,0),ABS(4-$HI12)*100)),100000+ABS(4-$HH12)*1000+40)))-IF((76=$HJ12)+(76=$HK12)+(76=$HL12)+(76=$HM12)+(76=$HN12)+(76=$HO12)&gt;=2,50,0))+CA$5*50)</f>
        <v/>
      </c>
      <c r="CB132">
        <f>IF(OR($JF12=0,calcA!$A$6=0),0,IF(OR(77=$HA12,77=$HD12,77=$HG12),200000,MIN(IF($HA12=0,999999,IF(4=$HB12,IF(77=$HJ12,IF($JC12=2,30,0),IF(77=$HK12,IF($JC12=1,30,0),ABS(5-$HC12)*100)),100000+ABS(4-$HB12)*1000+50)),IF($HD12=0,999999,IF(4=$HE12,IF(77=$HL12,IF($JD12=2,30,0),IF(77=$HM12,IF($JD12=1,30,0),ABS(5-$HF12)*100)),100000+ABS(4-$HE12)*1000+50)),IF($HG12=0,999999,IF(4=$HH12,IF(77=$HN12,IF($JE12=2,30,0),IF(77=$HO12,IF($JE12=1,30,0),ABS(5-$HI12)*100)),100000+ABS(4-$HH12)*1000+50)))-IF((77=$HJ12)+(77=$HK12)+(77=$HL12)+(77=$HM12)+(77=$HN12)+(77=$HO12)&gt;=2,50,0))+CB$5*50)</f>
        <v/>
      </c>
      <c r="CC132">
        <f>IF(OR($JF12=0,calcA!$A$6=0),0,IF(OR(78=$HA12,78=$HD12,78=$HG12),200000,MIN(IF($HA12=0,999999,IF(4=$HB12,IF(78=$HJ12,IF($JC12=2,30,0),IF(78=$HK12,IF($JC12=1,30,0),ABS(6-$HC12)*100)),100000+ABS(4-$HB12)*1000+60)),IF($HD12=0,999999,IF(4=$HE12,IF(78=$HL12,IF($JD12=2,30,0),IF(78=$HM12,IF($JD12=1,30,0),ABS(6-$HF12)*100)),100000+ABS(4-$HE12)*1000+60)),IF($HG12=0,999999,IF(4=$HH12,IF(78=$HN12,IF($JE12=2,30,0),IF(78=$HO12,IF($JE12=1,30,0),ABS(6-$HI12)*100)),100000+ABS(4-$HH12)*1000+60)))-IF((78=$HJ12)+(78=$HK12)+(78=$HL12)+(78=$HM12)+(78=$HN12)+(78=$HO12)&gt;=2,50,0))+CC$5*50)</f>
        <v/>
      </c>
      <c r="CD132">
        <f>IF(OR($JF12=0,calcA!$A$6=0),0,IF(OR(79=$HA12,79=$HD12,79=$HG12),200000,MIN(IF($HA12=0,999999,IF(4=$HB12,IF(79=$HJ12,IF($JC12=2,30,0),IF(79=$HK12,IF($JC12=1,30,0),ABS(7-$HC12)*100)),100000+ABS(4-$HB12)*1000+70)),IF($HD12=0,999999,IF(4=$HE12,IF(79=$HL12,IF($JD12=2,30,0),IF(79=$HM12,IF($JD12=1,30,0),ABS(7-$HF12)*100)),100000+ABS(4-$HE12)*1000+70)),IF($HG12=0,999999,IF(4=$HH12,IF(79=$HN12,IF($JE12=2,30,0),IF(79=$HO12,IF($JE12=1,30,0),ABS(7-$HI12)*100)),100000+ABS(4-$HH12)*1000+70)))-IF((79=$HJ12)+(79=$HK12)+(79=$HL12)+(79=$HM12)+(79=$HN12)+(79=$HO12)&gt;=2,50,0))+CD$5*50)</f>
        <v/>
      </c>
      <c r="CE132">
        <f>IF(OR($JF12=0,calcA!$A$6=0),0,IF(OR(80=$HA12,80=$HD12,80=$HG12),200000,MIN(IF($HA12=0,999999,IF(4=$HB12,IF(80=$HJ12,IF($JC12=2,30,0),IF(80=$HK12,IF($JC12=1,30,0),ABS(8-$HC12)*100)),100000+ABS(4-$HB12)*1000+80)),IF($HD12=0,999999,IF(4=$HE12,IF(80=$HL12,IF($JD12=2,30,0),IF(80=$HM12,IF($JD12=1,30,0),ABS(8-$HF12)*100)),100000+ABS(4-$HE12)*1000+80)),IF($HG12=0,999999,IF(4=$HH12,IF(80=$HN12,IF($JE12=2,30,0),IF(80=$HO12,IF($JE12=1,30,0),ABS(8-$HI12)*100)),100000+ABS(4-$HH12)*1000+80)))-IF((80=$HJ12)+(80=$HK12)+(80=$HL12)+(80=$HM12)+(80=$HN12)+(80=$HO12)&gt;=2,50,0))+CE$5*50)</f>
        <v/>
      </c>
      <c r="CF132">
        <f>IF(OR($JF12=0,calcA!$A$6=0),0,IF(OR(81=$HA12,81=$HD12,81=$HG12),200000,MIN(IF($HA12=0,999999,IF(4=$HB12,IF(81=$HJ12,IF($JC12=2,30,0),IF(81=$HK12,IF($JC12=1,30,0),ABS(9-$HC12)*100)),100000+ABS(4-$HB12)*1000+90)),IF($HD12=0,999999,IF(4=$HE12,IF(81=$HL12,IF($JD12=2,30,0),IF(81=$HM12,IF($JD12=1,30,0),ABS(9-$HF12)*100)),100000+ABS(4-$HE12)*1000+90)),IF($HG12=0,999999,IF(4=$HH12,IF(81=$HN12,IF($JE12=2,30,0),IF(81=$HO12,IF($JE12=1,30,0),ABS(9-$HI12)*100)),100000+ABS(4-$HH12)*1000+90)))-IF((81=$HJ12)+(81=$HK12)+(81=$HL12)+(81=$HM12)+(81=$HN12)+(81=$HO12)&gt;=2,50,0))+CF$5*50)</f>
        <v/>
      </c>
      <c r="CG132">
        <f>IF(OR($JF12=0,calcA!$A$6=0),0,IF(OR(82=$HA12,82=$HD12,82=$HG12),200000,MIN(IF($HA12=0,999999,IF(4=$HB12,IF(82=$HJ12,IF($JC12=2,30,0),IF(82=$HK12,IF($JC12=1,30,0),ABS(10-$HC12)*100)),100000+ABS(4-$HB12)*1000+100)),IF($HD12=0,999999,IF(4=$HE12,IF(82=$HL12,IF($JD12=2,30,0),IF(82=$HM12,IF($JD12=1,30,0),ABS(10-$HF12)*100)),100000+ABS(4-$HE12)*1000+100)),IF($HG12=0,999999,IF(4=$HH12,IF(82=$HN12,IF($JE12=2,30,0),IF(82=$HO12,IF($JE12=1,30,0),ABS(10-$HI12)*100)),100000+ABS(4-$HH12)*1000+100)))-IF((82=$HJ12)+(82=$HK12)+(82=$HL12)+(82=$HM12)+(82=$HN12)+(82=$HO12)&gt;=2,50,0))+CG$5*50)</f>
        <v/>
      </c>
      <c r="CH132">
        <f>IF(OR($JF12=0,calcA!$A$6=0),0,IF(OR(83=$HA12,83=$HD12,83=$HG12),200000,MIN(IF($HA12=0,999999,IF(4=$HB12,IF(83=$HJ12,IF($JC12=2,30,0),IF(83=$HK12,IF($JC12=1,30,0),ABS(11-$HC12)*100)),100000+ABS(4-$HB12)*1000+110)),IF($HD12=0,999999,IF(4=$HE12,IF(83=$HL12,IF($JD12=2,30,0),IF(83=$HM12,IF($JD12=1,30,0),ABS(11-$HF12)*100)),100000+ABS(4-$HE12)*1000+110)),IF($HG12=0,999999,IF(4=$HH12,IF(83=$HN12,IF($JE12=2,30,0),IF(83=$HO12,IF($JE12=1,30,0),ABS(11-$HI12)*100)),100000+ABS(4-$HH12)*1000+110)))-IF((83=$HJ12)+(83=$HK12)+(83=$HL12)+(83=$HM12)+(83=$HN12)+(83=$HO12)&gt;=2,50,0))+CH$5*50)</f>
        <v/>
      </c>
      <c r="CI132">
        <f>IF(OR($JF12=0,calcA!$A$6=0),0,IF(OR(84=$HA12,84=$HD12,84=$HG12),200000,MIN(IF($HA12=0,999999,IF(4=$HB12,IF(84=$HJ12,IF($JC12=2,30,0),IF(84=$HK12,IF($JC12=1,30,0),ABS(12-$HC12)*100)),100000+ABS(4-$HB12)*1000+120)),IF($HD12=0,999999,IF(4=$HE12,IF(84=$HL12,IF($JD12=2,30,0),IF(84=$HM12,IF($JD12=1,30,0),ABS(12-$HF12)*100)),100000+ABS(4-$HE12)*1000+120)),IF($HG12=0,999999,IF(4=$HH12,IF(84=$HN12,IF($JE12=2,30,0),IF(84=$HO12,IF($JE12=1,30,0),ABS(12-$HI12)*100)),100000+ABS(4-$HH12)*1000+120)))-IF((84=$HJ12)+(84=$HK12)+(84=$HL12)+(84=$HM12)+(84=$HN12)+(84=$HO12)&gt;=2,50,0))+CI$5*50)</f>
        <v/>
      </c>
      <c r="CJ132">
        <f>IF(OR($JF12=0,calcA!$A$6=0),0,IF(OR(85=$HA12,85=$HD12,85=$HG12),200000,MIN(IF($HA12=0,999999,IF(4=$HB12,IF(85=$HJ12,IF($JC12=2,30,0),IF(85=$HK12,IF($JC12=1,30,0),ABS(13-$HC12)*100)),100000+ABS(4-$HB12)*1000+130)),IF($HD12=0,999999,IF(4=$HE12,IF(85=$HL12,IF($JD12=2,30,0),IF(85=$HM12,IF($JD12=1,30,0),ABS(13-$HF12)*100)),100000+ABS(4-$HE12)*1000+130)),IF($HG12=0,999999,IF(4=$HH12,IF(85=$HN12,IF($JE12=2,30,0),IF(85=$HO12,IF($JE12=1,30,0),ABS(13-$HI12)*100)),100000+ABS(4-$HH12)*1000+130)))-IF((85=$HJ12)+(85=$HK12)+(85=$HL12)+(85=$HM12)+(85=$HN12)+(85=$HO12)&gt;=2,50,0))+CJ$5*50)</f>
        <v/>
      </c>
      <c r="CK132">
        <f>IF(OR($JF12=0,calcA!$A$6=0),0,IF(OR(86=$HA12,86=$HD12,86=$HG12),200000,MIN(IF($HA12=0,999999,IF(4=$HB12,IF(86=$HJ12,IF($JC12=2,30,0),IF(86=$HK12,IF($JC12=1,30,0),ABS(14-$HC12)*100)),100000+ABS(4-$HB12)*1000+140)),IF($HD12=0,999999,IF(4=$HE12,IF(86=$HL12,IF($JD12=2,30,0),IF(86=$HM12,IF($JD12=1,30,0),ABS(14-$HF12)*100)),100000+ABS(4-$HE12)*1000+140)),IF($HG12=0,999999,IF(4=$HH12,IF(86=$HN12,IF($JE12=2,30,0),IF(86=$HO12,IF($JE12=1,30,0),ABS(14-$HI12)*100)),100000+ABS(4-$HH12)*1000+140)))-IF((86=$HJ12)+(86=$HK12)+(86=$HL12)+(86=$HM12)+(86=$HN12)+(86=$HO12)&gt;=2,50,0))+CK$5*50)</f>
        <v/>
      </c>
      <c r="CL132">
        <f>IF(OR($JF12=0,calcA!$A$6=0),0,IF(OR(87=$HA12,87=$HD12,87=$HG12),200000,MIN(IF($HA12=0,999999,IF(4=$HB12,IF(87=$HJ12,IF($JC12=2,30,0),IF(87=$HK12,IF($JC12=1,30,0),ABS(15-$HC12)*100)),100000+ABS(4-$HB12)*1000+150)),IF($HD12=0,999999,IF(4=$HE12,IF(87=$HL12,IF($JD12=2,30,0),IF(87=$HM12,IF($JD12=1,30,0),ABS(15-$HF12)*100)),100000+ABS(4-$HE12)*1000+150)),IF($HG12=0,999999,IF(4=$HH12,IF(87=$HN12,IF($JE12=2,30,0),IF(87=$HO12,IF($JE12=1,30,0),ABS(15-$HI12)*100)),100000+ABS(4-$HH12)*1000+150)))-IF((87=$HJ12)+(87=$HK12)+(87=$HL12)+(87=$HM12)+(87=$HN12)+(87=$HO12)&gt;=2,50,0))+CL$5*50)</f>
        <v/>
      </c>
      <c r="CM132">
        <f>IF(OR($JF12=0,calcA!$A$6=0),0,IF(OR(88=$HA12,88=$HD12,88=$HG12),200000,MIN(IF($HA12=0,999999,IF(4=$HB12,IF(88=$HJ12,IF($JC12=2,30,0),IF(88=$HK12,IF($JC12=1,30,0),ABS(16-$HC12)*100)),100000+ABS(4-$HB12)*1000+160)),IF($HD12=0,999999,IF(4=$HE12,IF(88=$HL12,IF($JD12=2,30,0),IF(88=$HM12,IF($JD12=1,30,0),ABS(16-$HF12)*100)),100000+ABS(4-$HE12)*1000+160)),IF($HG12=0,999999,IF(4=$HH12,IF(88=$HN12,IF($JE12=2,30,0),IF(88=$HO12,IF($JE12=1,30,0),ABS(16-$HI12)*100)),100000+ABS(4-$HH12)*1000+160)))-IF((88=$HJ12)+(88=$HK12)+(88=$HL12)+(88=$HM12)+(88=$HN12)+(88=$HO12)&gt;=2,50,0))+CM$5*50)</f>
        <v/>
      </c>
      <c r="CN132">
        <f>IF(OR($JF12=0,calcA!$A$6=0),0,IF(OR(89=$HA12,89=$HD12,89=$HG12),200000,MIN(IF($HA12=0,999999,IF(4=$HB12,IF(89=$HJ12,IF($JC12=2,30,0),IF(89=$HK12,IF($JC12=1,30,0),ABS(17-$HC12)*100)),100000+ABS(4-$HB12)*1000+170)),IF($HD12=0,999999,IF(4=$HE12,IF(89=$HL12,IF($JD12=2,30,0),IF(89=$HM12,IF($JD12=1,30,0),ABS(17-$HF12)*100)),100000+ABS(4-$HE12)*1000+170)),IF($HG12=0,999999,IF(4=$HH12,IF(89=$HN12,IF($JE12=2,30,0),IF(89=$HO12,IF($JE12=1,30,0),ABS(17-$HI12)*100)),100000+ABS(4-$HH12)*1000+170)))-IF((89=$HJ12)+(89=$HK12)+(89=$HL12)+(89=$HM12)+(89=$HN12)+(89=$HO12)&gt;=2,50,0))+CN$5*50)</f>
        <v/>
      </c>
      <c r="CO132">
        <f>IF(OR($JF12=0,calcA!$A$6=0),0,IF(OR(90=$HA12,90=$HD12,90=$HG12),200000,MIN(IF($HA12=0,999999,IF(4=$HB12,IF(90=$HJ12,IF($JC12=2,30,0),IF(90=$HK12,IF($JC12=1,30,0),ABS(18-$HC12)*100)),100000+ABS(4-$HB12)*1000+180)),IF($HD12=0,999999,IF(4=$HE12,IF(90=$HL12,IF($JD12=2,30,0),IF(90=$HM12,IF($JD12=1,30,0),ABS(18-$HF12)*100)),100000+ABS(4-$HE12)*1000+180)),IF($HG12=0,999999,IF(4=$HH12,IF(90=$HN12,IF($JE12=2,30,0),IF(90=$HO12,IF($JE12=1,30,0),ABS(18-$HI12)*100)),100000+ABS(4-$HH12)*1000+180)))-IF((90=$HJ12)+(90=$HK12)+(90=$HL12)+(90=$HM12)+(90=$HN12)+(90=$HO12)&gt;=2,50,0))+CO$5*50)</f>
        <v/>
      </c>
      <c r="CP132">
        <f>IF(OR($JF12=0,calcA!$A$6=0),0,IF(OR(91=$HA12,91=$HD12,91=$HG12),200000,MIN(IF($HA12=0,999999,IF(4=$HB12,IF(91=$HJ12,IF($JC12=2,30,0),IF(91=$HK12,IF($JC12=1,30,0),ABS(19-$HC12)*100)),100000+ABS(4-$HB12)*1000+190)),IF($HD12=0,999999,IF(4=$HE12,IF(91=$HL12,IF($JD12=2,30,0),IF(91=$HM12,IF($JD12=1,30,0),ABS(19-$HF12)*100)),100000+ABS(4-$HE12)*1000+190)),IF($HG12=0,999999,IF(4=$HH12,IF(91=$HN12,IF($JE12=2,30,0),IF(91=$HO12,IF($JE12=1,30,0),ABS(19-$HI12)*100)),100000+ABS(4-$HH12)*1000+190)))-IF((91=$HJ12)+(91=$HK12)+(91=$HL12)+(91=$HM12)+(91=$HN12)+(91=$HO12)&gt;=2,50,0))+CP$5*50)</f>
        <v/>
      </c>
      <c r="CQ132">
        <f>IF(OR($JF12=0,calcA!$A$6=0),0,IF(OR(92=$HA12,92=$HD12,92=$HG12),200000,MIN(IF($HA12=0,999999,IF(4=$HB12,IF(92=$HJ12,IF($JC12=2,30,0),IF(92=$HK12,IF($JC12=1,30,0),ABS(20-$HC12)*100)),100000+ABS(4-$HB12)*1000+200)),IF($HD12=0,999999,IF(4=$HE12,IF(92=$HL12,IF($JD12=2,30,0),IF(92=$HM12,IF($JD12=1,30,0),ABS(20-$HF12)*100)),100000+ABS(4-$HE12)*1000+200)),IF($HG12=0,999999,IF(4=$HH12,IF(92=$HN12,IF($JE12=2,30,0),IF(92=$HO12,IF($JE12=1,30,0),ABS(20-$HI12)*100)),100000+ABS(4-$HH12)*1000+200)))-IF((92=$HJ12)+(92=$HK12)+(92=$HL12)+(92=$HM12)+(92=$HN12)+(92=$HO12)&gt;=2,50,0))+CQ$5*50)</f>
        <v/>
      </c>
      <c r="CR132">
        <f>IF(OR($JF12=0,calcA!$A$6=0),0,IF(OR(93=$HA12,93=$HD12,93=$HG12),200000,MIN(IF($HA12=0,999999,IF(4=$HB12,IF(93=$HJ12,IF($JC12=2,30,0),IF(93=$HK12,IF($JC12=1,30,0),ABS(21-$HC12)*100)),100000+ABS(4-$HB12)*1000+210)),IF($HD12=0,999999,IF(4=$HE12,IF(93=$HL12,IF($JD12=2,30,0),IF(93=$HM12,IF($JD12=1,30,0),ABS(21-$HF12)*100)),100000+ABS(4-$HE12)*1000+210)),IF($HG12=0,999999,IF(4=$HH12,IF(93=$HN12,IF($JE12=2,30,0),IF(93=$HO12,IF($JE12=1,30,0),ABS(21-$HI12)*100)),100000+ABS(4-$HH12)*1000+210)))-IF((93=$HJ12)+(93=$HK12)+(93=$HL12)+(93=$HM12)+(93=$HN12)+(93=$HO12)&gt;=2,50,0))+CR$5*50)</f>
        <v/>
      </c>
      <c r="CS132">
        <f>IF(OR($JF12=0,calcA!$A$6=0),0,IF(OR(94=$HA12,94=$HD12,94=$HG12),200000,MIN(IF($HA12=0,999999,IF(4=$HB12,IF(94=$HJ12,IF($JC12=2,30,0),IF(94=$HK12,IF($JC12=1,30,0),ABS(22-$HC12)*100)),100000+ABS(4-$HB12)*1000+220)),IF($HD12=0,999999,IF(4=$HE12,IF(94=$HL12,IF($JD12=2,30,0),IF(94=$HM12,IF($JD12=1,30,0),ABS(22-$HF12)*100)),100000+ABS(4-$HE12)*1000+220)),IF($HG12=0,999999,IF(4=$HH12,IF(94=$HN12,IF($JE12=2,30,0),IF(94=$HO12,IF($JE12=1,30,0),ABS(22-$HI12)*100)),100000+ABS(4-$HH12)*1000+220)))-IF((94=$HJ12)+(94=$HK12)+(94=$HL12)+(94=$HM12)+(94=$HN12)+(94=$HO12)&gt;=2,50,0))+CS$5*50)</f>
        <v/>
      </c>
      <c r="CT132">
        <f>IF(OR($JF12=0,calcA!$A$6=0),0,IF(OR(95=$HA12,95=$HD12,95=$HG12),200000,MIN(IF($HA12=0,999999,IF(4=$HB12,IF(95=$HJ12,IF($JC12=2,30,0),IF(95=$HK12,IF($JC12=1,30,0),ABS(23-$HC12)*100)),100000+ABS(4-$HB12)*1000+230)),IF($HD12=0,999999,IF(4=$HE12,IF(95=$HL12,IF($JD12=2,30,0),IF(95=$HM12,IF($JD12=1,30,0),ABS(23-$HF12)*100)),100000+ABS(4-$HE12)*1000+230)),IF($HG12=0,999999,IF(4=$HH12,IF(95=$HN12,IF($JE12=2,30,0),IF(95=$HO12,IF($JE12=1,30,0),ABS(23-$HI12)*100)),100000+ABS(4-$HH12)*1000+230)))-IF((95=$HJ12)+(95=$HK12)+(95=$HL12)+(95=$HM12)+(95=$HN12)+(95=$HO12)&gt;=2,50,0))+CT$5*50)</f>
        <v/>
      </c>
      <c r="CU132">
        <f>IF(OR($JF12=0,calcA!$A$6=0),0,IF(OR(96=$HA12,96=$HD12,96=$HG12),200000,MIN(IF($HA12=0,999999,IF(4=$HB12,IF(96=$HJ12,IF($JC12=2,30,0),IF(96=$HK12,IF($JC12=1,30,0),ABS(24-$HC12)*100)),100000+ABS(4-$HB12)*1000+240)),IF($HD12=0,999999,IF(4=$HE12,IF(96=$HL12,IF($JD12=2,30,0),IF(96=$HM12,IF($JD12=1,30,0),ABS(24-$HF12)*100)),100000+ABS(4-$HE12)*1000+240)),IF($HG12=0,999999,IF(4=$HH12,IF(96=$HN12,IF($JE12=2,30,0),IF(96=$HO12,IF($JE12=1,30,0),ABS(24-$HI12)*100)),100000+ABS(4-$HH12)*1000+240)))-IF((96=$HJ12)+(96=$HK12)+(96=$HL12)+(96=$HM12)+(96=$HN12)+(96=$HO12)&gt;=2,50,0))+CU$5*50)</f>
        <v/>
      </c>
      <c r="CV132">
        <f>IF(OR($JF12=0,calcA!$A$6=0),0,IF(OR(97=$HA12,97=$HD12,97=$HG12),200000,MIN(IF($HA12=0,999999,IF(5=$HB12,IF(97=$HJ12,IF($JC12=2,30,0),IF(97=$HK12,IF($JC12=1,30,0),ABS(1-$HC12)*100)),100000+ABS(5-$HB12)*1000+10)),IF($HD12=0,999999,IF(5=$HE12,IF(97=$HL12,IF($JD12=2,30,0),IF(97=$HM12,IF($JD12=1,30,0),ABS(1-$HF12)*100)),100000+ABS(5-$HE12)*1000+10)),IF($HG12=0,999999,IF(5=$HH12,IF(97=$HN12,IF($JE12=2,30,0),IF(97=$HO12,IF($JE12=1,30,0),ABS(1-$HI12)*100)),100000+ABS(5-$HH12)*1000+10)))-IF((97=$HJ12)+(97=$HK12)+(97=$HL12)+(97=$HM12)+(97=$HN12)+(97=$HO12)&gt;=2,50,0))+CV$5*50)</f>
        <v/>
      </c>
      <c r="CW132">
        <f>IF(OR($JF12=0,calcA!$A$6=0),0,IF(OR(98=$HA12,98=$HD12,98=$HG12),200000,MIN(IF($HA12=0,999999,IF(5=$HB12,IF(98=$HJ12,IF($JC12=2,30,0),IF(98=$HK12,IF($JC12=1,30,0),ABS(2-$HC12)*100)),100000+ABS(5-$HB12)*1000+20)),IF($HD12=0,999999,IF(5=$HE12,IF(98=$HL12,IF($JD12=2,30,0),IF(98=$HM12,IF($JD12=1,30,0),ABS(2-$HF12)*100)),100000+ABS(5-$HE12)*1000+20)),IF($HG12=0,999999,IF(5=$HH12,IF(98=$HN12,IF($JE12=2,30,0),IF(98=$HO12,IF($JE12=1,30,0),ABS(2-$HI12)*100)),100000+ABS(5-$HH12)*1000+20)))-IF((98=$HJ12)+(98=$HK12)+(98=$HL12)+(98=$HM12)+(98=$HN12)+(98=$HO12)&gt;=2,50,0))+CW$5*50)</f>
        <v/>
      </c>
      <c r="CX132">
        <f>IF(OR($JF12=0,calcA!$A$6=0),0,IF(OR(99=$HA12,99=$HD12,99=$HG12),200000,MIN(IF($HA12=0,999999,IF(5=$HB12,IF(99=$HJ12,IF($JC12=2,30,0),IF(99=$HK12,IF($JC12=1,30,0),ABS(3-$HC12)*100)),100000+ABS(5-$HB12)*1000+30)),IF($HD12=0,999999,IF(5=$HE12,IF(99=$HL12,IF($JD12=2,30,0),IF(99=$HM12,IF($JD12=1,30,0),ABS(3-$HF12)*100)),100000+ABS(5-$HE12)*1000+30)),IF($HG12=0,999999,IF(5=$HH12,IF(99=$HN12,IF($JE12=2,30,0),IF(99=$HO12,IF($JE12=1,30,0),ABS(3-$HI12)*100)),100000+ABS(5-$HH12)*1000+30)))-IF((99=$HJ12)+(99=$HK12)+(99=$HL12)+(99=$HM12)+(99=$HN12)+(99=$HO12)&gt;=2,50,0))+CX$5*50)</f>
        <v/>
      </c>
      <c r="CY132">
        <f>IF(OR($JF12=0,calcA!$A$6=0),0,IF(OR(100=$HA12,100=$HD12,100=$HG12),200000,MIN(IF($HA12=0,999999,IF(5=$HB12,IF(100=$HJ12,IF($JC12=2,30,0),IF(100=$HK12,IF($JC12=1,30,0),ABS(4-$HC12)*100)),100000+ABS(5-$HB12)*1000+40)),IF($HD12=0,999999,IF(5=$HE12,IF(100=$HL12,IF($JD12=2,30,0),IF(100=$HM12,IF($JD12=1,30,0),ABS(4-$HF12)*100)),100000+ABS(5-$HE12)*1000+40)),IF($HG12=0,999999,IF(5=$HH12,IF(100=$HN12,IF($JE12=2,30,0),IF(100=$HO12,IF($JE12=1,30,0),ABS(4-$HI12)*100)),100000+ABS(5-$HH12)*1000+40)))-IF((100=$HJ12)+(100=$HK12)+(100=$HL12)+(100=$HM12)+(100=$HN12)+(100=$HO12)&gt;=2,50,0))+CY$5*50)</f>
        <v/>
      </c>
      <c r="CZ132">
        <f>IF(OR($JF12=0,calcA!$A$6=0),0,IF(OR(101=$HA12,101=$HD12,101=$HG12),200000,MIN(IF($HA12=0,999999,IF(5=$HB12,IF(101=$HJ12,IF($JC12=2,30,0),IF(101=$HK12,IF($JC12=1,30,0),ABS(5-$HC12)*100)),100000+ABS(5-$HB12)*1000+50)),IF($HD12=0,999999,IF(5=$HE12,IF(101=$HL12,IF($JD12=2,30,0),IF(101=$HM12,IF($JD12=1,30,0),ABS(5-$HF12)*100)),100000+ABS(5-$HE12)*1000+50)),IF($HG12=0,999999,IF(5=$HH12,IF(101=$HN12,IF($JE12=2,30,0),IF(101=$HO12,IF($JE12=1,30,0),ABS(5-$HI12)*100)),100000+ABS(5-$HH12)*1000+50)))-IF((101=$HJ12)+(101=$HK12)+(101=$HL12)+(101=$HM12)+(101=$HN12)+(101=$HO12)&gt;=2,50,0))+CZ$5*50)</f>
        <v/>
      </c>
      <c r="DA132">
        <f>IF(OR($JF12=0,calcA!$A$6=0),0,IF(OR(102=$HA12,102=$HD12,102=$HG12),200000,MIN(IF($HA12=0,999999,IF(5=$HB12,IF(102=$HJ12,IF($JC12=2,30,0),IF(102=$HK12,IF($JC12=1,30,0),ABS(6-$HC12)*100)),100000+ABS(5-$HB12)*1000+60)),IF($HD12=0,999999,IF(5=$HE12,IF(102=$HL12,IF($JD12=2,30,0),IF(102=$HM12,IF($JD12=1,30,0),ABS(6-$HF12)*100)),100000+ABS(5-$HE12)*1000+60)),IF($HG12=0,999999,IF(5=$HH12,IF(102=$HN12,IF($JE12=2,30,0),IF(102=$HO12,IF($JE12=1,30,0),ABS(6-$HI12)*100)),100000+ABS(5-$HH12)*1000+60)))-IF((102=$HJ12)+(102=$HK12)+(102=$HL12)+(102=$HM12)+(102=$HN12)+(102=$HO12)&gt;=2,50,0))+DA$5*50)</f>
        <v/>
      </c>
      <c r="DB132">
        <f>IF(OR($JF12=0,calcA!$A$6=0),0,IF(OR(103=$HA12,103=$HD12,103=$HG12),200000,MIN(IF($HA12=0,999999,IF(5=$HB12,IF(103=$HJ12,IF($JC12=2,30,0),IF(103=$HK12,IF($JC12=1,30,0),ABS(7-$HC12)*100)),100000+ABS(5-$HB12)*1000+70)),IF($HD12=0,999999,IF(5=$HE12,IF(103=$HL12,IF($JD12=2,30,0),IF(103=$HM12,IF($JD12=1,30,0),ABS(7-$HF12)*100)),100000+ABS(5-$HE12)*1000+70)),IF($HG12=0,999999,IF(5=$HH12,IF(103=$HN12,IF($JE12=2,30,0),IF(103=$HO12,IF($JE12=1,30,0),ABS(7-$HI12)*100)),100000+ABS(5-$HH12)*1000+70)))-IF((103=$HJ12)+(103=$HK12)+(103=$HL12)+(103=$HM12)+(103=$HN12)+(103=$HO12)&gt;=2,50,0))+DB$5*50)</f>
        <v/>
      </c>
      <c r="DC132">
        <f>IF(OR($JF12=0,calcA!$A$6=0),0,IF(OR(104=$HA12,104=$HD12,104=$HG12),200000,MIN(IF($HA12=0,999999,IF(5=$HB12,IF(104=$HJ12,IF($JC12=2,30,0),IF(104=$HK12,IF($JC12=1,30,0),ABS(8-$HC12)*100)),100000+ABS(5-$HB12)*1000+80)),IF($HD12=0,999999,IF(5=$HE12,IF(104=$HL12,IF($JD12=2,30,0),IF(104=$HM12,IF($JD12=1,30,0),ABS(8-$HF12)*100)),100000+ABS(5-$HE12)*1000+80)),IF($HG12=0,999999,IF(5=$HH12,IF(104=$HN12,IF($JE12=2,30,0),IF(104=$HO12,IF($JE12=1,30,0),ABS(8-$HI12)*100)),100000+ABS(5-$HH12)*1000+80)))-IF((104=$HJ12)+(104=$HK12)+(104=$HL12)+(104=$HM12)+(104=$HN12)+(104=$HO12)&gt;=2,50,0))+DC$5*50)</f>
        <v/>
      </c>
      <c r="DD132">
        <f>IF(OR($JF12=0,calcA!$A$6=0),0,IF(OR(105=$HA12,105=$HD12,105=$HG12),200000,MIN(IF($HA12=0,999999,IF(5=$HB12,IF(105=$HJ12,IF($JC12=2,30,0),IF(105=$HK12,IF($JC12=1,30,0),ABS(9-$HC12)*100)),100000+ABS(5-$HB12)*1000+90)),IF($HD12=0,999999,IF(5=$HE12,IF(105=$HL12,IF($JD12=2,30,0),IF(105=$HM12,IF($JD12=1,30,0),ABS(9-$HF12)*100)),100000+ABS(5-$HE12)*1000+90)),IF($HG12=0,999999,IF(5=$HH12,IF(105=$HN12,IF($JE12=2,30,0),IF(105=$HO12,IF($JE12=1,30,0),ABS(9-$HI12)*100)),100000+ABS(5-$HH12)*1000+90)))-IF((105=$HJ12)+(105=$HK12)+(105=$HL12)+(105=$HM12)+(105=$HN12)+(105=$HO12)&gt;=2,50,0))+DD$5*50)</f>
        <v/>
      </c>
      <c r="DE132">
        <f>IF(OR($JF12=0,calcA!$A$6=0),0,IF(OR(106=$HA12,106=$HD12,106=$HG12),200000,MIN(IF($HA12=0,999999,IF(5=$HB12,IF(106=$HJ12,IF($JC12=2,30,0),IF(106=$HK12,IF($JC12=1,30,0),ABS(10-$HC12)*100)),100000+ABS(5-$HB12)*1000+100)),IF($HD12=0,999999,IF(5=$HE12,IF(106=$HL12,IF($JD12=2,30,0),IF(106=$HM12,IF($JD12=1,30,0),ABS(10-$HF12)*100)),100000+ABS(5-$HE12)*1000+100)),IF($HG12=0,999999,IF(5=$HH12,IF(106=$HN12,IF($JE12=2,30,0),IF(106=$HO12,IF($JE12=1,30,0),ABS(10-$HI12)*100)),100000+ABS(5-$HH12)*1000+100)))-IF((106=$HJ12)+(106=$HK12)+(106=$HL12)+(106=$HM12)+(106=$HN12)+(106=$HO12)&gt;=2,50,0))+DE$5*50)</f>
        <v/>
      </c>
      <c r="DF132">
        <f>IF(OR($JF12=0,calcA!$A$6=0),0,IF(OR(107=$HA12,107=$HD12,107=$HG12),200000,MIN(IF($HA12=0,999999,IF(5=$HB12,IF(107=$HJ12,IF($JC12=2,30,0),IF(107=$HK12,IF($JC12=1,30,0),ABS(11-$HC12)*100)),100000+ABS(5-$HB12)*1000+110)),IF($HD12=0,999999,IF(5=$HE12,IF(107=$HL12,IF($JD12=2,30,0),IF(107=$HM12,IF($JD12=1,30,0),ABS(11-$HF12)*100)),100000+ABS(5-$HE12)*1000+110)),IF($HG12=0,999999,IF(5=$HH12,IF(107=$HN12,IF($JE12=2,30,0),IF(107=$HO12,IF($JE12=1,30,0),ABS(11-$HI12)*100)),100000+ABS(5-$HH12)*1000+110)))-IF((107=$HJ12)+(107=$HK12)+(107=$HL12)+(107=$HM12)+(107=$HN12)+(107=$HO12)&gt;=2,50,0))+DF$5*50)</f>
        <v/>
      </c>
      <c r="DG132">
        <f>IF(OR($JF12=0,calcA!$A$6=0),0,IF(OR(108=$HA12,108=$HD12,108=$HG12),200000,MIN(IF($HA12=0,999999,IF(5=$HB12,IF(108=$HJ12,IF($JC12=2,30,0),IF(108=$HK12,IF($JC12=1,30,0),ABS(12-$HC12)*100)),100000+ABS(5-$HB12)*1000+120)),IF($HD12=0,999999,IF(5=$HE12,IF(108=$HL12,IF($JD12=2,30,0),IF(108=$HM12,IF($JD12=1,30,0),ABS(12-$HF12)*100)),100000+ABS(5-$HE12)*1000+120)),IF($HG12=0,999999,IF(5=$HH12,IF(108=$HN12,IF($JE12=2,30,0),IF(108=$HO12,IF($JE12=1,30,0),ABS(12-$HI12)*100)),100000+ABS(5-$HH12)*1000+120)))-IF((108=$HJ12)+(108=$HK12)+(108=$HL12)+(108=$HM12)+(108=$HN12)+(108=$HO12)&gt;=2,50,0))+DG$5*50)</f>
        <v/>
      </c>
      <c r="DH132">
        <f>IF(OR($JF12=0,calcA!$A$6=0),0,IF(OR(109=$HA12,109=$HD12,109=$HG12),200000,MIN(IF($HA12=0,999999,IF(5=$HB12,IF(109=$HJ12,IF($JC12=2,30,0),IF(109=$HK12,IF($JC12=1,30,0),ABS(13-$HC12)*100)),100000+ABS(5-$HB12)*1000+130)),IF($HD12=0,999999,IF(5=$HE12,IF(109=$HL12,IF($JD12=2,30,0),IF(109=$HM12,IF($JD12=1,30,0),ABS(13-$HF12)*100)),100000+ABS(5-$HE12)*1000+130)),IF($HG12=0,999999,IF(5=$HH12,IF(109=$HN12,IF($JE12=2,30,0),IF(109=$HO12,IF($JE12=1,30,0),ABS(13-$HI12)*100)),100000+ABS(5-$HH12)*1000+130)))-IF((109=$HJ12)+(109=$HK12)+(109=$HL12)+(109=$HM12)+(109=$HN12)+(109=$HO12)&gt;=2,50,0))+DH$5*50)</f>
        <v/>
      </c>
      <c r="DI132">
        <f>IF(OR($JF12=0,calcA!$A$6=0),0,IF(OR(110=$HA12,110=$HD12,110=$HG12),200000,MIN(IF($HA12=0,999999,IF(5=$HB12,IF(110=$HJ12,IF($JC12=2,30,0),IF(110=$HK12,IF($JC12=1,30,0),ABS(14-$HC12)*100)),100000+ABS(5-$HB12)*1000+140)),IF($HD12=0,999999,IF(5=$HE12,IF(110=$HL12,IF($JD12=2,30,0),IF(110=$HM12,IF($JD12=1,30,0),ABS(14-$HF12)*100)),100000+ABS(5-$HE12)*1000+140)),IF($HG12=0,999999,IF(5=$HH12,IF(110=$HN12,IF($JE12=2,30,0),IF(110=$HO12,IF($JE12=1,30,0),ABS(14-$HI12)*100)),100000+ABS(5-$HH12)*1000+140)))-IF((110=$HJ12)+(110=$HK12)+(110=$HL12)+(110=$HM12)+(110=$HN12)+(110=$HO12)&gt;=2,50,0))+DI$5*50)</f>
        <v/>
      </c>
      <c r="DJ132">
        <f>IF(OR($JF12=0,calcA!$A$6=0),0,IF(OR(111=$HA12,111=$HD12,111=$HG12),200000,MIN(IF($HA12=0,999999,IF(5=$HB12,IF(111=$HJ12,IF($JC12=2,30,0),IF(111=$HK12,IF($JC12=1,30,0),ABS(15-$HC12)*100)),100000+ABS(5-$HB12)*1000+150)),IF($HD12=0,999999,IF(5=$HE12,IF(111=$HL12,IF($JD12=2,30,0),IF(111=$HM12,IF($JD12=1,30,0),ABS(15-$HF12)*100)),100000+ABS(5-$HE12)*1000+150)),IF($HG12=0,999999,IF(5=$HH12,IF(111=$HN12,IF($JE12=2,30,0),IF(111=$HO12,IF($JE12=1,30,0),ABS(15-$HI12)*100)),100000+ABS(5-$HH12)*1000+150)))-IF((111=$HJ12)+(111=$HK12)+(111=$HL12)+(111=$HM12)+(111=$HN12)+(111=$HO12)&gt;=2,50,0))+DJ$5*50)</f>
        <v/>
      </c>
      <c r="DK132">
        <f>IF(OR($JF12=0,calcA!$A$6=0),0,IF(OR(112=$HA12,112=$HD12,112=$HG12),200000,MIN(IF($HA12=0,999999,IF(5=$HB12,IF(112=$HJ12,IF($JC12=2,30,0),IF(112=$HK12,IF($JC12=1,30,0),ABS(16-$HC12)*100)),100000+ABS(5-$HB12)*1000+160)),IF($HD12=0,999999,IF(5=$HE12,IF(112=$HL12,IF($JD12=2,30,0),IF(112=$HM12,IF($JD12=1,30,0),ABS(16-$HF12)*100)),100000+ABS(5-$HE12)*1000+160)),IF($HG12=0,999999,IF(5=$HH12,IF(112=$HN12,IF($JE12=2,30,0),IF(112=$HO12,IF($JE12=1,30,0),ABS(16-$HI12)*100)),100000+ABS(5-$HH12)*1000+160)))-IF((112=$HJ12)+(112=$HK12)+(112=$HL12)+(112=$HM12)+(112=$HN12)+(112=$HO12)&gt;=2,50,0))+DK$5*50)</f>
        <v/>
      </c>
      <c r="DL132">
        <f>IF(OR($JF12=0,calcA!$A$6=0),0,IF(OR(113=$HA12,113=$HD12,113=$HG12),200000,MIN(IF($HA12=0,999999,IF(5=$HB12,IF(113=$HJ12,IF($JC12=2,30,0),IF(113=$HK12,IF($JC12=1,30,0),ABS(17-$HC12)*100)),100000+ABS(5-$HB12)*1000+170)),IF($HD12=0,999999,IF(5=$HE12,IF(113=$HL12,IF($JD12=2,30,0),IF(113=$HM12,IF($JD12=1,30,0),ABS(17-$HF12)*100)),100000+ABS(5-$HE12)*1000+170)),IF($HG12=0,999999,IF(5=$HH12,IF(113=$HN12,IF($JE12=2,30,0),IF(113=$HO12,IF($JE12=1,30,0),ABS(17-$HI12)*100)),100000+ABS(5-$HH12)*1000+170)))-IF((113=$HJ12)+(113=$HK12)+(113=$HL12)+(113=$HM12)+(113=$HN12)+(113=$HO12)&gt;=2,50,0))+DL$5*50)</f>
        <v/>
      </c>
      <c r="DM132">
        <f>IF(OR($JF12=0,calcA!$A$6=0),0,IF(OR(114=$HA12,114=$HD12,114=$HG12),200000,MIN(IF($HA12=0,999999,IF(5=$HB12,IF(114=$HJ12,IF($JC12=2,30,0),IF(114=$HK12,IF($JC12=1,30,0),ABS(18-$HC12)*100)),100000+ABS(5-$HB12)*1000+180)),IF($HD12=0,999999,IF(5=$HE12,IF(114=$HL12,IF($JD12=2,30,0),IF(114=$HM12,IF($JD12=1,30,0),ABS(18-$HF12)*100)),100000+ABS(5-$HE12)*1000+180)),IF($HG12=0,999999,IF(5=$HH12,IF(114=$HN12,IF($JE12=2,30,0),IF(114=$HO12,IF($JE12=1,30,0),ABS(18-$HI12)*100)),100000+ABS(5-$HH12)*1000+180)))-IF((114=$HJ12)+(114=$HK12)+(114=$HL12)+(114=$HM12)+(114=$HN12)+(114=$HO12)&gt;=2,50,0))+DM$5*50)</f>
        <v/>
      </c>
      <c r="DN132">
        <f>IF(OR($JF12=0,calcA!$A$6=0),0,IF(OR(115=$HA12,115=$HD12,115=$HG12),200000,MIN(IF($HA12=0,999999,IF(5=$HB12,IF(115=$HJ12,IF($JC12=2,30,0),IF(115=$HK12,IF($JC12=1,30,0),ABS(19-$HC12)*100)),100000+ABS(5-$HB12)*1000+190)),IF($HD12=0,999999,IF(5=$HE12,IF(115=$HL12,IF($JD12=2,30,0),IF(115=$HM12,IF($JD12=1,30,0),ABS(19-$HF12)*100)),100000+ABS(5-$HE12)*1000+190)),IF($HG12=0,999999,IF(5=$HH12,IF(115=$HN12,IF($JE12=2,30,0),IF(115=$HO12,IF($JE12=1,30,0),ABS(19-$HI12)*100)),100000+ABS(5-$HH12)*1000+190)))-IF((115=$HJ12)+(115=$HK12)+(115=$HL12)+(115=$HM12)+(115=$HN12)+(115=$HO12)&gt;=2,50,0))+DN$5*50)</f>
        <v/>
      </c>
      <c r="DO132">
        <f>IF(OR($JF12=0,calcA!$A$6=0),0,IF(OR(116=$HA12,116=$HD12,116=$HG12),200000,MIN(IF($HA12=0,999999,IF(5=$HB12,IF(116=$HJ12,IF($JC12=2,30,0),IF(116=$HK12,IF($JC12=1,30,0),ABS(20-$HC12)*100)),100000+ABS(5-$HB12)*1000+200)),IF($HD12=0,999999,IF(5=$HE12,IF(116=$HL12,IF($JD12=2,30,0),IF(116=$HM12,IF($JD12=1,30,0),ABS(20-$HF12)*100)),100000+ABS(5-$HE12)*1000+200)),IF($HG12=0,999999,IF(5=$HH12,IF(116=$HN12,IF($JE12=2,30,0),IF(116=$HO12,IF($JE12=1,30,0),ABS(20-$HI12)*100)),100000+ABS(5-$HH12)*1000+200)))-IF((116=$HJ12)+(116=$HK12)+(116=$HL12)+(116=$HM12)+(116=$HN12)+(116=$HO12)&gt;=2,50,0))+DO$5*50)</f>
        <v/>
      </c>
      <c r="DP132">
        <f>IF(OR($JF12=0,calcA!$A$6=0),0,IF(OR(117=$HA12,117=$HD12,117=$HG12),200000,MIN(IF($HA12=0,999999,IF(5=$HB12,IF(117=$HJ12,IF($JC12=2,30,0),IF(117=$HK12,IF($JC12=1,30,0),ABS(21-$HC12)*100)),100000+ABS(5-$HB12)*1000+210)),IF($HD12=0,999999,IF(5=$HE12,IF(117=$HL12,IF($JD12=2,30,0),IF(117=$HM12,IF($JD12=1,30,0),ABS(21-$HF12)*100)),100000+ABS(5-$HE12)*1000+210)),IF($HG12=0,999999,IF(5=$HH12,IF(117=$HN12,IF($JE12=2,30,0),IF(117=$HO12,IF($JE12=1,30,0),ABS(21-$HI12)*100)),100000+ABS(5-$HH12)*1000+210)))-IF((117=$HJ12)+(117=$HK12)+(117=$HL12)+(117=$HM12)+(117=$HN12)+(117=$HO12)&gt;=2,50,0))+DP$5*50)</f>
        <v/>
      </c>
      <c r="DQ132">
        <f>IF(OR($JF12=0,calcA!$A$6=0),0,IF(OR(118=$HA12,118=$HD12,118=$HG12),200000,MIN(IF($HA12=0,999999,IF(5=$HB12,IF(118=$HJ12,IF($JC12=2,30,0),IF(118=$HK12,IF($JC12=1,30,0),ABS(22-$HC12)*100)),100000+ABS(5-$HB12)*1000+220)),IF($HD12=0,999999,IF(5=$HE12,IF(118=$HL12,IF($JD12=2,30,0),IF(118=$HM12,IF($JD12=1,30,0),ABS(22-$HF12)*100)),100000+ABS(5-$HE12)*1000+220)),IF($HG12=0,999999,IF(5=$HH12,IF(118=$HN12,IF($JE12=2,30,0),IF(118=$HO12,IF($JE12=1,30,0),ABS(22-$HI12)*100)),100000+ABS(5-$HH12)*1000+220)))-IF((118=$HJ12)+(118=$HK12)+(118=$HL12)+(118=$HM12)+(118=$HN12)+(118=$HO12)&gt;=2,50,0))+DQ$5*50)</f>
        <v/>
      </c>
      <c r="DR132">
        <f>IF(OR($JF12=0,calcA!$A$6=0),0,IF(OR(119=$HA12,119=$HD12,119=$HG12),200000,MIN(IF($HA12=0,999999,IF(5=$HB12,IF(119=$HJ12,IF($JC12=2,30,0),IF(119=$HK12,IF($JC12=1,30,0),ABS(23-$HC12)*100)),100000+ABS(5-$HB12)*1000+230)),IF($HD12=0,999999,IF(5=$HE12,IF(119=$HL12,IF($JD12=2,30,0),IF(119=$HM12,IF($JD12=1,30,0),ABS(23-$HF12)*100)),100000+ABS(5-$HE12)*1000+230)),IF($HG12=0,999999,IF(5=$HH12,IF(119=$HN12,IF($JE12=2,30,0),IF(119=$HO12,IF($JE12=1,30,0),ABS(23-$HI12)*100)),100000+ABS(5-$HH12)*1000+230)))-IF((119=$HJ12)+(119=$HK12)+(119=$HL12)+(119=$HM12)+(119=$HN12)+(119=$HO12)&gt;=2,50,0))+DR$5*50)</f>
        <v/>
      </c>
      <c r="DS132">
        <f>IF(OR($JF12=0,calcA!$A$6=0),0,IF(OR(120=$HA12,120=$HD12,120=$HG12),200000,MIN(IF($HA12=0,999999,IF(5=$HB12,IF(120=$HJ12,IF($JC12=2,30,0),IF(120=$HK12,IF($JC12=1,30,0),ABS(24-$HC12)*100)),100000+ABS(5-$HB12)*1000+240)),IF($HD12=0,999999,IF(5=$HE12,IF(120=$HL12,IF($JD12=2,30,0),IF(120=$HM12,IF($JD12=1,30,0),ABS(24-$HF12)*100)),100000+ABS(5-$HE12)*1000+240)),IF($HG12=0,999999,IF(5=$HH12,IF(120=$HN12,IF($JE12=2,30,0),IF(120=$HO12,IF($JE12=1,30,0),ABS(24-$HI12)*100)),100000+ABS(5-$HH12)*1000+240)))-IF((120=$HJ12)+(120=$HK12)+(120=$HL12)+(120=$HM12)+(120=$HN12)+(120=$HO12)&gt;=2,50,0))+DS$5*50)</f>
        <v/>
      </c>
      <c r="DT132">
        <f>IF(OR($JF12=0,calcA!$A$6=0),0,IF(OR(121=$HA12,121=$HD12,121=$HG12),200000,MIN(IF($HA12=0,999999,IF(6=$HB12,IF(121=$HJ12,IF($JC12=2,30,0),IF(121=$HK12,IF($JC12=1,30,0),ABS(1-$HC12)*100)),100000+ABS(6-$HB12)*1000+10)),IF($HD12=0,999999,IF(6=$HE12,IF(121=$HL12,IF($JD12=2,30,0),IF(121=$HM12,IF($JD12=1,30,0),ABS(1-$HF12)*100)),100000+ABS(6-$HE12)*1000+10)),IF($HG12=0,999999,IF(6=$HH12,IF(121=$HN12,IF($JE12=2,30,0),IF(121=$HO12,IF($JE12=1,30,0),ABS(1-$HI12)*100)),100000+ABS(6-$HH12)*1000+10)))-IF((121=$HJ12)+(121=$HK12)+(121=$HL12)+(121=$HM12)+(121=$HN12)+(121=$HO12)&gt;=2,50,0))+DT$5*50)</f>
        <v/>
      </c>
      <c r="DU132">
        <f>IF(OR($JF12=0,calcA!$A$6=0),0,IF(OR(122=$HA12,122=$HD12,122=$HG12),200000,MIN(IF($HA12=0,999999,IF(6=$HB12,IF(122=$HJ12,IF($JC12=2,30,0),IF(122=$HK12,IF($JC12=1,30,0),ABS(2-$HC12)*100)),100000+ABS(6-$HB12)*1000+20)),IF($HD12=0,999999,IF(6=$HE12,IF(122=$HL12,IF($JD12=2,30,0),IF(122=$HM12,IF($JD12=1,30,0),ABS(2-$HF12)*100)),100000+ABS(6-$HE12)*1000+20)),IF($HG12=0,999999,IF(6=$HH12,IF(122=$HN12,IF($JE12=2,30,0),IF(122=$HO12,IF($JE12=1,30,0),ABS(2-$HI12)*100)),100000+ABS(6-$HH12)*1000+20)))-IF((122=$HJ12)+(122=$HK12)+(122=$HL12)+(122=$HM12)+(122=$HN12)+(122=$HO12)&gt;=2,50,0))+DU$5*50)</f>
        <v/>
      </c>
      <c r="DV132">
        <f>IF(OR($JF12=0,calcA!$A$6=0),0,IF(OR(123=$HA12,123=$HD12,123=$HG12),200000,MIN(IF($HA12=0,999999,IF(6=$HB12,IF(123=$HJ12,IF($JC12=2,30,0),IF(123=$HK12,IF($JC12=1,30,0),ABS(3-$HC12)*100)),100000+ABS(6-$HB12)*1000+30)),IF($HD12=0,999999,IF(6=$HE12,IF(123=$HL12,IF($JD12=2,30,0),IF(123=$HM12,IF($JD12=1,30,0),ABS(3-$HF12)*100)),100000+ABS(6-$HE12)*1000+30)),IF($HG12=0,999999,IF(6=$HH12,IF(123=$HN12,IF($JE12=2,30,0),IF(123=$HO12,IF($JE12=1,30,0),ABS(3-$HI12)*100)),100000+ABS(6-$HH12)*1000+30)))-IF((123=$HJ12)+(123=$HK12)+(123=$HL12)+(123=$HM12)+(123=$HN12)+(123=$HO12)&gt;=2,50,0))+DV$5*50)</f>
        <v/>
      </c>
      <c r="DW132">
        <f>IF(OR($JF12=0,calcA!$A$6=0),0,IF(OR(124=$HA12,124=$HD12,124=$HG12),200000,MIN(IF($HA12=0,999999,IF(6=$HB12,IF(124=$HJ12,IF($JC12=2,30,0),IF(124=$HK12,IF($JC12=1,30,0),ABS(4-$HC12)*100)),100000+ABS(6-$HB12)*1000+40)),IF($HD12=0,999999,IF(6=$HE12,IF(124=$HL12,IF($JD12=2,30,0),IF(124=$HM12,IF($JD12=1,30,0),ABS(4-$HF12)*100)),100000+ABS(6-$HE12)*1000+40)),IF($HG12=0,999999,IF(6=$HH12,IF(124=$HN12,IF($JE12=2,30,0),IF(124=$HO12,IF($JE12=1,30,0),ABS(4-$HI12)*100)),100000+ABS(6-$HH12)*1000+40)))-IF((124=$HJ12)+(124=$HK12)+(124=$HL12)+(124=$HM12)+(124=$HN12)+(124=$HO12)&gt;=2,50,0))+DW$5*50)</f>
        <v/>
      </c>
      <c r="DX132">
        <f>IF(OR($JF12=0,calcA!$A$6=0),0,IF(OR(125=$HA12,125=$HD12,125=$HG12),200000,MIN(IF($HA12=0,999999,IF(6=$HB12,IF(125=$HJ12,IF($JC12=2,30,0),IF(125=$HK12,IF($JC12=1,30,0),ABS(5-$HC12)*100)),100000+ABS(6-$HB12)*1000+50)),IF($HD12=0,999999,IF(6=$HE12,IF(125=$HL12,IF($JD12=2,30,0),IF(125=$HM12,IF($JD12=1,30,0),ABS(5-$HF12)*100)),100000+ABS(6-$HE12)*1000+50)),IF($HG12=0,999999,IF(6=$HH12,IF(125=$HN12,IF($JE12=2,30,0),IF(125=$HO12,IF($JE12=1,30,0),ABS(5-$HI12)*100)),100000+ABS(6-$HH12)*1000+50)))-IF((125=$HJ12)+(125=$HK12)+(125=$HL12)+(125=$HM12)+(125=$HN12)+(125=$HO12)&gt;=2,50,0))+DX$5*50)</f>
        <v/>
      </c>
      <c r="DY132">
        <f>IF(OR($JF12=0,calcA!$A$6=0),0,IF(OR(126=$HA12,126=$HD12,126=$HG12),200000,MIN(IF($HA12=0,999999,IF(6=$HB12,IF(126=$HJ12,IF($JC12=2,30,0),IF(126=$HK12,IF($JC12=1,30,0),ABS(6-$HC12)*100)),100000+ABS(6-$HB12)*1000+60)),IF($HD12=0,999999,IF(6=$HE12,IF(126=$HL12,IF($JD12=2,30,0),IF(126=$HM12,IF($JD12=1,30,0),ABS(6-$HF12)*100)),100000+ABS(6-$HE12)*1000+60)),IF($HG12=0,999999,IF(6=$HH12,IF(126=$HN12,IF($JE12=2,30,0),IF(126=$HO12,IF($JE12=1,30,0),ABS(6-$HI12)*100)),100000+ABS(6-$HH12)*1000+60)))-IF((126=$HJ12)+(126=$HK12)+(126=$HL12)+(126=$HM12)+(126=$HN12)+(126=$HO12)&gt;=2,50,0))+DY$5*50)</f>
        <v/>
      </c>
      <c r="DZ132">
        <f>IF(OR($JF12=0,calcA!$A$6=0),0,IF(OR(127=$HA12,127=$HD12,127=$HG12),200000,MIN(IF($HA12=0,999999,IF(6=$HB12,IF(127=$HJ12,IF($JC12=2,30,0),IF(127=$HK12,IF($JC12=1,30,0),ABS(7-$HC12)*100)),100000+ABS(6-$HB12)*1000+70)),IF($HD12=0,999999,IF(6=$HE12,IF(127=$HL12,IF($JD12=2,30,0),IF(127=$HM12,IF($JD12=1,30,0),ABS(7-$HF12)*100)),100000+ABS(6-$HE12)*1000+70)),IF($HG12=0,999999,IF(6=$HH12,IF(127=$HN12,IF($JE12=2,30,0),IF(127=$HO12,IF($JE12=1,30,0),ABS(7-$HI12)*100)),100000+ABS(6-$HH12)*1000+70)))-IF((127=$HJ12)+(127=$HK12)+(127=$HL12)+(127=$HM12)+(127=$HN12)+(127=$HO12)&gt;=2,50,0))+DZ$5*50)</f>
        <v/>
      </c>
      <c r="EA132">
        <f>IF(OR($JF12=0,calcA!$A$6=0),0,IF(OR(128=$HA12,128=$HD12,128=$HG12),200000,MIN(IF($HA12=0,999999,IF(6=$HB12,IF(128=$HJ12,IF($JC12=2,30,0),IF(128=$HK12,IF($JC12=1,30,0),ABS(8-$HC12)*100)),100000+ABS(6-$HB12)*1000+80)),IF($HD12=0,999999,IF(6=$HE12,IF(128=$HL12,IF($JD12=2,30,0),IF(128=$HM12,IF($JD12=1,30,0),ABS(8-$HF12)*100)),100000+ABS(6-$HE12)*1000+80)),IF($HG12=0,999999,IF(6=$HH12,IF(128=$HN12,IF($JE12=2,30,0),IF(128=$HO12,IF($JE12=1,30,0),ABS(8-$HI12)*100)),100000+ABS(6-$HH12)*1000+80)))-IF((128=$HJ12)+(128=$HK12)+(128=$HL12)+(128=$HM12)+(128=$HN12)+(128=$HO12)&gt;=2,50,0))+EA$5*50)</f>
        <v/>
      </c>
      <c r="EB132">
        <f>IF(OR($JF12=0,calcA!$A$6=0),0,IF(OR(129=$HA12,129=$HD12,129=$HG12),200000,MIN(IF($HA12=0,999999,IF(6=$HB12,IF(129=$HJ12,IF($JC12=2,30,0),IF(129=$HK12,IF($JC12=1,30,0),ABS(9-$HC12)*100)),100000+ABS(6-$HB12)*1000+90)),IF($HD12=0,999999,IF(6=$HE12,IF(129=$HL12,IF($JD12=2,30,0),IF(129=$HM12,IF($JD12=1,30,0),ABS(9-$HF12)*100)),100000+ABS(6-$HE12)*1000+90)),IF($HG12=0,999999,IF(6=$HH12,IF(129=$HN12,IF($JE12=2,30,0),IF(129=$HO12,IF($JE12=1,30,0),ABS(9-$HI12)*100)),100000+ABS(6-$HH12)*1000+90)))-IF((129=$HJ12)+(129=$HK12)+(129=$HL12)+(129=$HM12)+(129=$HN12)+(129=$HO12)&gt;=2,50,0))+EB$5*50)</f>
        <v/>
      </c>
      <c r="EC132">
        <f>IF(OR($JF12=0,calcA!$A$6=0),0,IF(OR(130=$HA12,130=$HD12,130=$HG12),200000,MIN(IF($HA12=0,999999,IF(6=$HB12,IF(130=$HJ12,IF($JC12=2,30,0),IF(130=$HK12,IF($JC12=1,30,0),ABS(10-$HC12)*100)),100000+ABS(6-$HB12)*1000+100)),IF($HD12=0,999999,IF(6=$HE12,IF(130=$HL12,IF($JD12=2,30,0),IF(130=$HM12,IF($JD12=1,30,0),ABS(10-$HF12)*100)),100000+ABS(6-$HE12)*1000+100)),IF($HG12=0,999999,IF(6=$HH12,IF(130=$HN12,IF($JE12=2,30,0),IF(130=$HO12,IF($JE12=1,30,0),ABS(10-$HI12)*100)),100000+ABS(6-$HH12)*1000+100)))-IF((130=$HJ12)+(130=$HK12)+(130=$HL12)+(130=$HM12)+(130=$HN12)+(130=$HO12)&gt;=2,50,0))+EC$5*50)</f>
        <v/>
      </c>
      <c r="ED132">
        <f>IF(OR($JF12=0,calcA!$A$6=0),0,IF(OR(131=$HA12,131=$HD12,131=$HG12),200000,MIN(IF($HA12=0,999999,IF(6=$HB12,IF(131=$HJ12,IF($JC12=2,30,0),IF(131=$HK12,IF($JC12=1,30,0),ABS(11-$HC12)*100)),100000+ABS(6-$HB12)*1000+110)),IF($HD12=0,999999,IF(6=$HE12,IF(131=$HL12,IF($JD12=2,30,0),IF(131=$HM12,IF($JD12=1,30,0),ABS(11-$HF12)*100)),100000+ABS(6-$HE12)*1000+110)),IF($HG12=0,999999,IF(6=$HH12,IF(131=$HN12,IF($JE12=2,30,0),IF(131=$HO12,IF($JE12=1,30,0),ABS(11-$HI12)*100)),100000+ABS(6-$HH12)*1000+110)))-IF((131=$HJ12)+(131=$HK12)+(131=$HL12)+(131=$HM12)+(131=$HN12)+(131=$HO12)&gt;=2,50,0))+ED$5*50)</f>
        <v/>
      </c>
      <c r="EE132">
        <f>IF(OR($JF12=0,calcA!$A$6=0),0,IF(OR(132=$HA12,132=$HD12,132=$HG12),200000,MIN(IF($HA12=0,999999,IF(6=$HB12,IF(132=$HJ12,IF($JC12=2,30,0),IF(132=$HK12,IF($JC12=1,30,0),ABS(12-$HC12)*100)),100000+ABS(6-$HB12)*1000+120)),IF($HD12=0,999999,IF(6=$HE12,IF(132=$HL12,IF($JD12=2,30,0),IF(132=$HM12,IF($JD12=1,30,0),ABS(12-$HF12)*100)),100000+ABS(6-$HE12)*1000+120)),IF($HG12=0,999999,IF(6=$HH12,IF(132=$HN12,IF($JE12=2,30,0),IF(132=$HO12,IF($JE12=1,30,0),ABS(12-$HI12)*100)),100000+ABS(6-$HH12)*1000+120)))-IF((132=$HJ12)+(132=$HK12)+(132=$HL12)+(132=$HM12)+(132=$HN12)+(132=$HO12)&gt;=2,50,0))+EE$5*50)</f>
        <v/>
      </c>
      <c r="EF132">
        <f>IF(OR($JF12=0,calcA!$A$6=0),0,IF(OR(133=$HA12,133=$HD12,133=$HG12),200000,MIN(IF($HA12=0,999999,IF(6=$HB12,IF(133=$HJ12,IF($JC12=2,30,0),IF(133=$HK12,IF($JC12=1,30,0),ABS(13-$HC12)*100)),100000+ABS(6-$HB12)*1000+130)),IF($HD12=0,999999,IF(6=$HE12,IF(133=$HL12,IF($JD12=2,30,0),IF(133=$HM12,IF($JD12=1,30,0),ABS(13-$HF12)*100)),100000+ABS(6-$HE12)*1000+130)),IF($HG12=0,999999,IF(6=$HH12,IF(133=$HN12,IF($JE12=2,30,0),IF(133=$HO12,IF($JE12=1,30,0),ABS(13-$HI12)*100)),100000+ABS(6-$HH12)*1000+130)))-IF((133=$HJ12)+(133=$HK12)+(133=$HL12)+(133=$HM12)+(133=$HN12)+(133=$HO12)&gt;=2,50,0))+EF$5*50)</f>
        <v/>
      </c>
      <c r="EG132">
        <f>IF(OR($JF12=0,calcA!$A$6=0),0,IF(OR(134=$HA12,134=$HD12,134=$HG12),200000,MIN(IF($HA12=0,999999,IF(6=$HB12,IF(134=$HJ12,IF($JC12=2,30,0),IF(134=$HK12,IF($JC12=1,30,0),ABS(14-$HC12)*100)),100000+ABS(6-$HB12)*1000+140)),IF($HD12=0,999999,IF(6=$HE12,IF(134=$HL12,IF($JD12=2,30,0),IF(134=$HM12,IF($JD12=1,30,0),ABS(14-$HF12)*100)),100000+ABS(6-$HE12)*1000+140)),IF($HG12=0,999999,IF(6=$HH12,IF(134=$HN12,IF($JE12=2,30,0),IF(134=$HO12,IF($JE12=1,30,0),ABS(14-$HI12)*100)),100000+ABS(6-$HH12)*1000+140)))-IF((134=$HJ12)+(134=$HK12)+(134=$HL12)+(134=$HM12)+(134=$HN12)+(134=$HO12)&gt;=2,50,0))+EG$5*50)</f>
        <v/>
      </c>
      <c r="EH132">
        <f>IF(OR($JF12=0,calcA!$A$6=0),0,IF(OR(135=$HA12,135=$HD12,135=$HG12),200000,MIN(IF($HA12=0,999999,IF(6=$HB12,IF(135=$HJ12,IF($JC12=2,30,0),IF(135=$HK12,IF($JC12=1,30,0),ABS(15-$HC12)*100)),100000+ABS(6-$HB12)*1000+150)),IF($HD12=0,999999,IF(6=$HE12,IF(135=$HL12,IF($JD12=2,30,0),IF(135=$HM12,IF($JD12=1,30,0),ABS(15-$HF12)*100)),100000+ABS(6-$HE12)*1000+150)),IF($HG12=0,999999,IF(6=$HH12,IF(135=$HN12,IF($JE12=2,30,0),IF(135=$HO12,IF($JE12=1,30,0),ABS(15-$HI12)*100)),100000+ABS(6-$HH12)*1000+150)))-IF((135=$HJ12)+(135=$HK12)+(135=$HL12)+(135=$HM12)+(135=$HN12)+(135=$HO12)&gt;=2,50,0))+EH$5*50)</f>
        <v/>
      </c>
      <c r="EI132">
        <f>IF(OR($JF12=0,calcA!$A$6=0),0,IF(OR(136=$HA12,136=$HD12,136=$HG12),200000,MIN(IF($HA12=0,999999,IF(6=$HB12,IF(136=$HJ12,IF($JC12=2,30,0),IF(136=$HK12,IF($JC12=1,30,0),ABS(16-$HC12)*100)),100000+ABS(6-$HB12)*1000+160)),IF($HD12=0,999999,IF(6=$HE12,IF(136=$HL12,IF($JD12=2,30,0),IF(136=$HM12,IF($JD12=1,30,0),ABS(16-$HF12)*100)),100000+ABS(6-$HE12)*1000+160)),IF($HG12=0,999999,IF(6=$HH12,IF(136=$HN12,IF($JE12=2,30,0),IF(136=$HO12,IF($JE12=1,30,0),ABS(16-$HI12)*100)),100000+ABS(6-$HH12)*1000+160)))-IF((136=$HJ12)+(136=$HK12)+(136=$HL12)+(136=$HM12)+(136=$HN12)+(136=$HO12)&gt;=2,50,0))+EI$5*50)</f>
        <v/>
      </c>
      <c r="EJ132">
        <f>IF(OR($JF12=0,calcA!$A$6=0),0,IF(OR(137=$HA12,137=$HD12,137=$HG12),200000,MIN(IF($HA12=0,999999,IF(6=$HB12,IF(137=$HJ12,IF($JC12=2,30,0),IF(137=$HK12,IF($JC12=1,30,0),ABS(17-$HC12)*100)),100000+ABS(6-$HB12)*1000+170)),IF($HD12=0,999999,IF(6=$HE12,IF(137=$HL12,IF($JD12=2,30,0),IF(137=$HM12,IF($JD12=1,30,0),ABS(17-$HF12)*100)),100000+ABS(6-$HE12)*1000+170)),IF($HG12=0,999999,IF(6=$HH12,IF(137=$HN12,IF($JE12=2,30,0),IF(137=$HO12,IF($JE12=1,30,0),ABS(17-$HI12)*100)),100000+ABS(6-$HH12)*1000+170)))-IF((137=$HJ12)+(137=$HK12)+(137=$HL12)+(137=$HM12)+(137=$HN12)+(137=$HO12)&gt;=2,50,0))+EJ$5*50)</f>
        <v/>
      </c>
      <c r="EK132">
        <f>IF(OR($JF12=0,calcA!$A$6=0),0,IF(OR(138=$HA12,138=$HD12,138=$HG12),200000,MIN(IF($HA12=0,999999,IF(6=$HB12,IF(138=$HJ12,IF($JC12=2,30,0),IF(138=$HK12,IF($JC12=1,30,0),ABS(18-$HC12)*100)),100000+ABS(6-$HB12)*1000+180)),IF($HD12=0,999999,IF(6=$HE12,IF(138=$HL12,IF($JD12=2,30,0),IF(138=$HM12,IF($JD12=1,30,0),ABS(18-$HF12)*100)),100000+ABS(6-$HE12)*1000+180)),IF($HG12=0,999999,IF(6=$HH12,IF(138=$HN12,IF($JE12=2,30,0),IF(138=$HO12,IF($JE12=1,30,0),ABS(18-$HI12)*100)),100000+ABS(6-$HH12)*1000+180)))-IF((138=$HJ12)+(138=$HK12)+(138=$HL12)+(138=$HM12)+(138=$HN12)+(138=$HO12)&gt;=2,50,0))+EK$5*50)</f>
        <v/>
      </c>
      <c r="EL132">
        <f>IF(OR($JF12=0,calcA!$A$6=0),0,IF(OR(139=$HA12,139=$HD12,139=$HG12),200000,MIN(IF($HA12=0,999999,IF(6=$HB12,IF(139=$HJ12,IF($JC12=2,30,0),IF(139=$HK12,IF($JC12=1,30,0),ABS(19-$HC12)*100)),100000+ABS(6-$HB12)*1000+190)),IF($HD12=0,999999,IF(6=$HE12,IF(139=$HL12,IF($JD12=2,30,0),IF(139=$HM12,IF($JD12=1,30,0),ABS(19-$HF12)*100)),100000+ABS(6-$HE12)*1000+190)),IF($HG12=0,999999,IF(6=$HH12,IF(139=$HN12,IF($JE12=2,30,0),IF(139=$HO12,IF($JE12=1,30,0),ABS(19-$HI12)*100)),100000+ABS(6-$HH12)*1000+190)))-IF((139=$HJ12)+(139=$HK12)+(139=$HL12)+(139=$HM12)+(139=$HN12)+(139=$HO12)&gt;=2,50,0))+EL$5*50)</f>
        <v/>
      </c>
      <c r="EM132">
        <f>IF(OR($JF12=0,calcA!$A$6=0),0,IF(OR(140=$HA12,140=$HD12,140=$HG12),200000,MIN(IF($HA12=0,999999,IF(6=$HB12,IF(140=$HJ12,IF($JC12=2,30,0),IF(140=$HK12,IF($JC12=1,30,0),ABS(20-$HC12)*100)),100000+ABS(6-$HB12)*1000+200)),IF($HD12=0,999999,IF(6=$HE12,IF(140=$HL12,IF($JD12=2,30,0),IF(140=$HM12,IF($JD12=1,30,0),ABS(20-$HF12)*100)),100000+ABS(6-$HE12)*1000+200)),IF($HG12=0,999999,IF(6=$HH12,IF(140=$HN12,IF($JE12=2,30,0),IF(140=$HO12,IF($JE12=1,30,0),ABS(20-$HI12)*100)),100000+ABS(6-$HH12)*1000+200)))-IF((140=$HJ12)+(140=$HK12)+(140=$HL12)+(140=$HM12)+(140=$HN12)+(140=$HO12)&gt;=2,50,0))+EM$5*50)</f>
        <v/>
      </c>
      <c r="EN132">
        <f>IF(OR($JF12=0,calcA!$A$6=0),0,IF(OR(141=$HA12,141=$HD12,141=$HG12),200000,MIN(IF($HA12=0,999999,IF(6=$HB12,IF(141=$HJ12,IF($JC12=2,30,0),IF(141=$HK12,IF($JC12=1,30,0),ABS(21-$HC12)*100)),100000+ABS(6-$HB12)*1000+210)),IF($HD12=0,999999,IF(6=$HE12,IF(141=$HL12,IF($JD12=2,30,0),IF(141=$HM12,IF($JD12=1,30,0),ABS(21-$HF12)*100)),100000+ABS(6-$HE12)*1000+210)),IF($HG12=0,999999,IF(6=$HH12,IF(141=$HN12,IF($JE12=2,30,0),IF(141=$HO12,IF($JE12=1,30,0),ABS(21-$HI12)*100)),100000+ABS(6-$HH12)*1000+210)))-IF((141=$HJ12)+(141=$HK12)+(141=$HL12)+(141=$HM12)+(141=$HN12)+(141=$HO12)&gt;=2,50,0))+EN$5*50)</f>
        <v/>
      </c>
      <c r="EO132">
        <f>IF(OR($JF12=0,calcA!$A$6=0),0,IF(OR(142=$HA12,142=$HD12,142=$HG12),200000,MIN(IF($HA12=0,999999,IF(6=$HB12,IF(142=$HJ12,IF($JC12=2,30,0),IF(142=$HK12,IF($JC12=1,30,0),ABS(22-$HC12)*100)),100000+ABS(6-$HB12)*1000+220)),IF($HD12=0,999999,IF(6=$HE12,IF(142=$HL12,IF($JD12=2,30,0),IF(142=$HM12,IF($JD12=1,30,0),ABS(22-$HF12)*100)),100000+ABS(6-$HE12)*1000+220)),IF($HG12=0,999999,IF(6=$HH12,IF(142=$HN12,IF($JE12=2,30,0),IF(142=$HO12,IF($JE12=1,30,0),ABS(22-$HI12)*100)),100000+ABS(6-$HH12)*1000+220)))-IF((142=$HJ12)+(142=$HK12)+(142=$HL12)+(142=$HM12)+(142=$HN12)+(142=$HO12)&gt;=2,50,0))+EO$5*50)</f>
        <v/>
      </c>
      <c r="EP132">
        <f>IF(OR($JF12=0,calcA!$A$6=0),0,IF(OR(143=$HA12,143=$HD12,143=$HG12),200000,MIN(IF($HA12=0,999999,IF(6=$HB12,IF(143=$HJ12,IF($JC12=2,30,0),IF(143=$HK12,IF($JC12=1,30,0),ABS(23-$HC12)*100)),100000+ABS(6-$HB12)*1000+230)),IF($HD12=0,999999,IF(6=$HE12,IF(143=$HL12,IF($JD12=2,30,0),IF(143=$HM12,IF($JD12=1,30,0),ABS(23-$HF12)*100)),100000+ABS(6-$HE12)*1000+230)),IF($HG12=0,999999,IF(6=$HH12,IF(143=$HN12,IF($JE12=2,30,0),IF(143=$HO12,IF($JE12=1,30,0),ABS(23-$HI12)*100)),100000+ABS(6-$HH12)*1000+230)))-IF((143=$HJ12)+(143=$HK12)+(143=$HL12)+(143=$HM12)+(143=$HN12)+(143=$HO12)&gt;=2,50,0))+EP$5*50)</f>
        <v/>
      </c>
      <c r="EQ132">
        <f>IF(OR($JF12=0,calcA!$A$6=0),0,IF(OR(144=$HA12,144=$HD12,144=$HG12),200000,MIN(IF($HA12=0,999999,IF(6=$HB12,IF(144=$HJ12,IF($JC12=2,30,0),IF(144=$HK12,IF($JC12=1,30,0),ABS(24-$HC12)*100)),100000+ABS(6-$HB12)*1000+240)),IF($HD12=0,999999,IF(6=$HE12,IF(144=$HL12,IF($JD12=2,30,0),IF(144=$HM12,IF($JD12=1,30,0),ABS(24-$HF12)*100)),100000+ABS(6-$HE12)*1000+240)),IF($HG12=0,999999,IF(6=$HH12,IF(144=$HN12,IF($JE12=2,30,0),IF(144=$HO12,IF($JE12=1,30,0),ABS(24-$HI12)*100)),100000+ABS(6-$HH12)*1000+240)))-IF((144=$HJ12)+(144=$HK12)+(144=$HL12)+(144=$HM12)+(144=$HN12)+(144=$HO12)&gt;=2,50,0))+EQ$5*50)</f>
        <v/>
      </c>
    </row>
    <row r="133">
      <c r="D133">
        <f>IF(OR($JF13=0,calcA!$A$6=0),0,IF(OR(1=$HA13,1=$HD13,1=$HG13),200000,MIN(IF($HA13=0,999999,IF(1=$HB13,IF(1=$HJ13,IF($JC13=2,30,0),IF(1=$HK13,IF($JC13=1,30,0),ABS(1-$HC13)*100)),100000+ABS(1-$HB13)*1000+10)),IF($HD13=0,999999,IF(1=$HE13,IF(1=$HL13,IF($JD13=2,30,0),IF(1=$HM13,IF($JD13=1,30,0),ABS(1-$HF13)*100)),100000+ABS(1-$HE13)*1000+10)),IF($HG13=0,999999,IF(1=$HH13,IF(1=$HN13,IF($JE13=2,30,0),IF(1=$HO13,IF($JE13=1,30,0),ABS(1-$HI13)*100)),100000+ABS(1-$HH13)*1000+10)))-IF((1=$HJ13)+(1=$HK13)+(1=$HL13)+(1=$HM13)+(1=$HN13)+(1=$HO13)&gt;=2,50,0))+D$5*50)</f>
        <v/>
      </c>
      <c r="E133">
        <f>IF(OR($JF13=0,calcA!$A$6=0),0,IF(OR(2=$HA13,2=$HD13,2=$HG13),200000,MIN(IF($HA13=0,999999,IF(1=$HB13,IF(2=$HJ13,IF($JC13=2,30,0),IF(2=$HK13,IF($JC13=1,30,0),ABS(2-$HC13)*100)),100000+ABS(1-$HB13)*1000+20)),IF($HD13=0,999999,IF(1=$HE13,IF(2=$HL13,IF($JD13=2,30,0),IF(2=$HM13,IF($JD13=1,30,0),ABS(2-$HF13)*100)),100000+ABS(1-$HE13)*1000+20)),IF($HG13=0,999999,IF(1=$HH13,IF(2=$HN13,IF($JE13=2,30,0),IF(2=$HO13,IF($JE13=1,30,0),ABS(2-$HI13)*100)),100000+ABS(1-$HH13)*1000+20)))-IF((2=$HJ13)+(2=$HK13)+(2=$HL13)+(2=$HM13)+(2=$HN13)+(2=$HO13)&gt;=2,50,0))+E$5*50)</f>
        <v/>
      </c>
      <c r="F133">
        <f>IF(OR($JF13=0,calcA!$A$6=0),0,IF(OR(3=$HA13,3=$HD13,3=$HG13),200000,MIN(IF($HA13=0,999999,IF(1=$HB13,IF(3=$HJ13,IF($JC13=2,30,0),IF(3=$HK13,IF($JC13=1,30,0),ABS(3-$HC13)*100)),100000+ABS(1-$HB13)*1000+30)),IF($HD13=0,999999,IF(1=$HE13,IF(3=$HL13,IF($JD13=2,30,0),IF(3=$HM13,IF($JD13=1,30,0),ABS(3-$HF13)*100)),100000+ABS(1-$HE13)*1000+30)),IF($HG13=0,999999,IF(1=$HH13,IF(3=$HN13,IF($JE13=2,30,0),IF(3=$HO13,IF($JE13=1,30,0),ABS(3-$HI13)*100)),100000+ABS(1-$HH13)*1000+30)))-IF((3=$HJ13)+(3=$HK13)+(3=$HL13)+(3=$HM13)+(3=$HN13)+(3=$HO13)&gt;=2,50,0))+F$5*50)</f>
        <v/>
      </c>
      <c r="G133">
        <f>IF(OR($JF13=0,calcA!$A$6=0),0,IF(OR(4=$HA13,4=$HD13,4=$HG13),200000,MIN(IF($HA13=0,999999,IF(1=$HB13,IF(4=$HJ13,IF($JC13=2,30,0),IF(4=$HK13,IF($JC13=1,30,0),ABS(4-$HC13)*100)),100000+ABS(1-$HB13)*1000+40)),IF($HD13=0,999999,IF(1=$HE13,IF(4=$HL13,IF($JD13=2,30,0),IF(4=$HM13,IF($JD13=1,30,0),ABS(4-$HF13)*100)),100000+ABS(1-$HE13)*1000+40)),IF($HG13=0,999999,IF(1=$HH13,IF(4=$HN13,IF($JE13=2,30,0),IF(4=$HO13,IF($JE13=1,30,0),ABS(4-$HI13)*100)),100000+ABS(1-$HH13)*1000+40)))-IF((4=$HJ13)+(4=$HK13)+(4=$HL13)+(4=$HM13)+(4=$HN13)+(4=$HO13)&gt;=2,50,0))+G$5*50)</f>
        <v/>
      </c>
      <c r="H133">
        <f>IF(OR($JF13=0,calcA!$A$6=0),0,IF(OR(5=$HA13,5=$HD13,5=$HG13),200000,MIN(IF($HA13=0,999999,IF(1=$HB13,IF(5=$HJ13,IF($JC13=2,30,0),IF(5=$HK13,IF($JC13=1,30,0),ABS(5-$HC13)*100)),100000+ABS(1-$HB13)*1000+50)),IF($HD13=0,999999,IF(1=$HE13,IF(5=$HL13,IF($JD13=2,30,0),IF(5=$HM13,IF($JD13=1,30,0),ABS(5-$HF13)*100)),100000+ABS(1-$HE13)*1000+50)),IF($HG13=0,999999,IF(1=$HH13,IF(5=$HN13,IF($JE13=2,30,0),IF(5=$HO13,IF($JE13=1,30,0),ABS(5-$HI13)*100)),100000+ABS(1-$HH13)*1000+50)))-IF((5=$HJ13)+(5=$HK13)+(5=$HL13)+(5=$HM13)+(5=$HN13)+(5=$HO13)&gt;=2,50,0))+H$5*50)</f>
        <v/>
      </c>
      <c r="I133">
        <f>IF(OR($JF13=0,calcA!$A$6=0),0,IF(OR(6=$HA13,6=$HD13,6=$HG13),200000,MIN(IF($HA13=0,999999,IF(1=$HB13,IF(6=$HJ13,IF($JC13=2,30,0),IF(6=$HK13,IF($JC13=1,30,0),ABS(6-$HC13)*100)),100000+ABS(1-$HB13)*1000+60)),IF($HD13=0,999999,IF(1=$HE13,IF(6=$HL13,IF($JD13=2,30,0),IF(6=$HM13,IF($JD13=1,30,0),ABS(6-$HF13)*100)),100000+ABS(1-$HE13)*1000+60)),IF($HG13=0,999999,IF(1=$HH13,IF(6=$HN13,IF($JE13=2,30,0),IF(6=$HO13,IF($JE13=1,30,0),ABS(6-$HI13)*100)),100000+ABS(1-$HH13)*1000+60)))-IF((6=$HJ13)+(6=$HK13)+(6=$HL13)+(6=$HM13)+(6=$HN13)+(6=$HO13)&gt;=2,50,0))+I$5*50)</f>
        <v/>
      </c>
      <c r="J133">
        <f>IF(OR($JF13=0,calcA!$A$6=0),0,IF(OR(7=$HA13,7=$HD13,7=$HG13),200000,MIN(IF($HA13=0,999999,IF(1=$HB13,IF(7=$HJ13,IF($JC13=2,30,0),IF(7=$HK13,IF($JC13=1,30,0),ABS(7-$HC13)*100)),100000+ABS(1-$HB13)*1000+70)),IF($HD13=0,999999,IF(1=$HE13,IF(7=$HL13,IF($JD13=2,30,0),IF(7=$HM13,IF($JD13=1,30,0),ABS(7-$HF13)*100)),100000+ABS(1-$HE13)*1000+70)),IF($HG13=0,999999,IF(1=$HH13,IF(7=$HN13,IF($JE13=2,30,0),IF(7=$HO13,IF($JE13=1,30,0),ABS(7-$HI13)*100)),100000+ABS(1-$HH13)*1000+70)))-IF((7=$HJ13)+(7=$HK13)+(7=$HL13)+(7=$HM13)+(7=$HN13)+(7=$HO13)&gt;=2,50,0))+J$5*50)</f>
        <v/>
      </c>
      <c r="K133">
        <f>IF(OR($JF13=0,calcA!$A$6=0),0,IF(OR(8=$HA13,8=$HD13,8=$HG13),200000,MIN(IF($HA13=0,999999,IF(1=$HB13,IF(8=$HJ13,IF($JC13=2,30,0),IF(8=$HK13,IF($JC13=1,30,0),ABS(8-$HC13)*100)),100000+ABS(1-$HB13)*1000+80)),IF($HD13=0,999999,IF(1=$HE13,IF(8=$HL13,IF($JD13=2,30,0),IF(8=$HM13,IF($JD13=1,30,0),ABS(8-$HF13)*100)),100000+ABS(1-$HE13)*1000+80)),IF($HG13=0,999999,IF(1=$HH13,IF(8=$HN13,IF($JE13=2,30,0),IF(8=$HO13,IF($JE13=1,30,0),ABS(8-$HI13)*100)),100000+ABS(1-$HH13)*1000+80)))-IF((8=$HJ13)+(8=$HK13)+(8=$HL13)+(8=$HM13)+(8=$HN13)+(8=$HO13)&gt;=2,50,0))+K$5*50)</f>
        <v/>
      </c>
      <c r="L133">
        <f>IF(OR($JF13=0,calcA!$A$6=0),0,IF(OR(9=$HA13,9=$HD13,9=$HG13),200000,MIN(IF($HA13=0,999999,IF(1=$HB13,IF(9=$HJ13,IF($JC13=2,30,0),IF(9=$HK13,IF($JC13=1,30,0),ABS(9-$HC13)*100)),100000+ABS(1-$HB13)*1000+90)),IF($HD13=0,999999,IF(1=$HE13,IF(9=$HL13,IF($JD13=2,30,0),IF(9=$HM13,IF($JD13=1,30,0),ABS(9-$HF13)*100)),100000+ABS(1-$HE13)*1000+90)),IF($HG13=0,999999,IF(1=$HH13,IF(9=$HN13,IF($JE13=2,30,0),IF(9=$HO13,IF($JE13=1,30,0),ABS(9-$HI13)*100)),100000+ABS(1-$HH13)*1000+90)))-IF((9=$HJ13)+(9=$HK13)+(9=$HL13)+(9=$HM13)+(9=$HN13)+(9=$HO13)&gt;=2,50,0))+L$5*50)</f>
        <v/>
      </c>
      <c r="M133">
        <f>IF(OR($JF13=0,calcA!$A$6=0),0,IF(OR(10=$HA13,10=$HD13,10=$HG13),200000,MIN(IF($HA13=0,999999,IF(1=$HB13,IF(10=$HJ13,IF($JC13=2,30,0),IF(10=$HK13,IF($JC13=1,30,0),ABS(10-$HC13)*100)),100000+ABS(1-$HB13)*1000+100)),IF($HD13=0,999999,IF(1=$HE13,IF(10=$HL13,IF($JD13=2,30,0),IF(10=$HM13,IF($JD13=1,30,0),ABS(10-$HF13)*100)),100000+ABS(1-$HE13)*1000+100)),IF($HG13=0,999999,IF(1=$HH13,IF(10=$HN13,IF($JE13=2,30,0),IF(10=$HO13,IF($JE13=1,30,0),ABS(10-$HI13)*100)),100000+ABS(1-$HH13)*1000+100)))-IF((10=$HJ13)+(10=$HK13)+(10=$HL13)+(10=$HM13)+(10=$HN13)+(10=$HO13)&gt;=2,50,0))+M$5*50)</f>
        <v/>
      </c>
      <c r="N133">
        <f>IF(OR($JF13=0,calcA!$A$6=0),0,IF(OR(11=$HA13,11=$HD13,11=$HG13),200000,MIN(IF($HA13=0,999999,IF(1=$HB13,IF(11=$HJ13,IF($JC13=2,30,0),IF(11=$HK13,IF($JC13=1,30,0),ABS(11-$HC13)*100)),100000+ABS(1-$HB13)*1000+110)),IF($HD13=0,999999,IF(1=$HE13,IF(11=$HL13,IF($JD13=2,30,0),IF(11=$HM13,IF($JD13=1,30,0),ABS(11-$HF13)*100)),100000+ABS(1-$HE13)*1000+110)),IF($HG13=0,999999,IF(1=$HH13,IF(11=$HN13,IF($JE13=2,30,0),IF(11=$HO13,IF($JE13=1,30,0),ABS(11-$HI13)*100)),100000+ABS(1-$HH13)*1000+110)))-IF((11=$HJ13)+(11=$HK13)+(11=$HL13)+(11=$HM13)+(11=$HN13)+(11=$HO13)&gt;=2,50,0))+N$5*50)</f>
        <v/>
      </c>
      <c r="O133">
        <f>IF(OR($JF13=0,calcA!$A$6=0),0,IF(OR(12=$HA13,12=$HD13,12=$HG13),200000,MIN(IF($HA13=0,999999,IF(1=$HB13,IF(12=$HJ13,IF($JC13=2,30,0),IF(12=$HK13,IF($JC13=1,30,0),ABS(12-$HC13)*100)),100000+ABS(1-$HB13)*1000+120)),IF($HD13=0,999999,IF(1=$HE13,IF(12=$HL13,IF($JD13=2,30,0),IF(12=$HM13,IF($JD13=1,30,0),ABS(12-$HF13)*100)),100000+ABS(1-$HE13)*1000+120)),IF($HG13=0,999999,IF(1=$HH13,IF(12=$HN13,IF($JE13=2,30,0),IF(12=$HO13,IF($JE13=1,30,0),ABS(12-$HI13)*100)),100000+ABS(1-$HH13)*1000+120)))-IF((12=$HJ13)+(12=$HK13)+(12=$HL13)+(12=$HM13)+(12=$HN13)+(12=$HO13)&gt;=2,50,0))+O$5*50)</f>
        <v/>
      </c>
      <c r="P133">
        <f>IF(OR($JF13=0,calcA!$A$6=0),0,IF(OR(13=$HA13,13=$HD13,13=$HG13),200000,MIN(IF($HA13=0,999999,IF(1=$HB13,IF(13=$HJ13,IF($JC13=2,30,0),IF(13=$HK13,IF($JC13=1,30,0),ABS(13-$HC13)*100)),100000+ABS(1-$HB13)*1000+130)),IF($HD13=0,999999,IF(1=$HE13,IF(13=$HL13,IF($JD13=2,30,0),IF(13=$HM13,IF($JD13=1,30,0),ABS(13-$HF13)*100)),100000+ABS(1-$HE13)*1000+130)),IF($HG13=0,999999,IF(1=$HH13,IF(13=$HN13,IF($JE13=2,30,0),IF(13=$HO13,IF($JE13=1,30,0),ABS(13-$HI13)*100)),100000+ABS(1-$HH13)*1000+130)))-IF((13=$HJ13)+(13=$HK13)+(13=$HL13)+(13=$HM13)+(13=$HN13)+(13=$HO13)&gt;=2,50,0))+P$5*50)</f>
        <v/>
      </c>
      <c r="Q133">
        <f>IF(OR($JF13=0,calcA!$A$6=0),0,IF(OR(14=$HA13,14=$HD13,14=$HG13),200000,MIN(IF($HA13=0,999999,IF(1=$HB13,IF(14=$HJ13,IF($JC13=2,30,0),IF(14=$HK13,IF($JC13=1,30,0),ABS(14-$HC13)*100)),100000+ABS(1-$HB13)*1000+140)),IF($HD13=0,999999,IF(1=$HE13,IF(14=$HL13,IF($JD13=2,30,0),IF(14=$HM13,IF($JD13=1,30,0),ABS(14-$HF13)*100)),100000+ABS(1-$HE13)*1000+140)),IF($HG13=0,999999,IF(1=$HH13,IF(14=$HN13,IF($JE13=2,30,0),IF(14=$HO13,IF($JE13=1,30,0),ABS(14-$HI13)*100)),100000+ABS(1-$HH13)*1000+140)))-IF((14=$HJ13)+(14=$HK13)+(14=$HL13)+(14=$HM13)+(14=$HN13)+(14=$HO13)&gt;=2,50,0))+Q$5*50)</f>
        <v/>
      </c>
      <c r="R133">
        <f>IF(OR($JF13=0,calcA!$A$6=0),0,IF(OR(15=$HA13,15=$HD13,15=$HG13),200000,MIN(IF($HA13=0,999999,IF(1=$HB13,IF(15=$HJ13,IF($JC13=2,30,0),IF(15=$HK13,IF($JC13=1,30,0),ABS(15-$HC13)*100)),100000+ABS(1-$HB13)*1000+150)),IF($HD13=0,999999,IF(1=$HE13,IF(15=$HL13,IF($JD13=2,30,0),IF(15=$HM13,IF($JD13=1,30,0),ABS(15-$HF13)*100)),100000+ABS(1-$HE13)*1000+150)),IF($HG13=0,999999,IF(1=$HH13,IF(15=$HN13,IF($JE13=2,30,0),IF(15=$HO13,IF($JE13=1,30,0),ABS(15-$HI13)*100)),100000+ABS(1-$HH13)*1000+150)))-IF((15=$HJ13)+(15=$HK13)+(15=$HL13)+(15=$HM13)+(15=$HN13)+(15=$HO13)&gt;=2,50,0))+R$5*50)</f>
        <v/>
      </c>
      <c r="S133">
        <f>IF(OR($JF13=0,calcA!$A$6=0),0,IF(OR(16=$HA13,16=$HD13,16=$HG13),200000,MIN(IF($HA13=0,999999,IF(1=$HB13,IF(16=$HJ13,IF($JC13=2,30,0),IF(16=$HK13,IF($JC13=1,30,0),ABS(16-$HC13)*100)),100000+ABS(1-$HB13)*1000+160)),IF($HD13=0,999999,IF(1=$HE13,IF(16=$HL13,IF($JD13=2,30,0),IF(16=$HM13,IF($JD13=1,30,0),ABS(16-$HF13)*100)),100000+ABS(1-$HE13)*1000+160)),IF($HG13=0,999999,IF(1=$HH13,IF(16=$HN13,IF($JE13=2,30,0),IF(16=$HO13,IF($JE13=1,30,0),ABS(16-$HI13)*100)),100000+ABS(1-$HH13)*1000+160)))-IF((16=$HJ13)+(16=$HK13)+(16=$HL13)+(16=$HM13)+(16=$HN13)+(16=$HO13)&gt;=2,50,0))+S$5*50)</f>
        <v/>
      </c>
      <c r="T133">
        <f>IF(OR($JF13=0,calcA!$A$6=0),0,IF(OR(17=$HA13,17=$HD13,17=$HG13),200000,MIN(IF($HA13=0,999999,IF(1=$HB13,IF(17=$HJ13,IF($JC13=2,30,0),IF(17=$HK13,IF($JC13=1,30,0),ABS(17-$HC13)*100)),100000+ABS(1-$HB13)*1000+170)),IF($HD13=0,999999,IF(1=$HE13,IF(17=$HL13,IF($JD13=2,30,0),IF(17=$HM13,IF($JD13=1,30,0),ABS(17-$HF13)*100)),100000+ABS(1-$HE13)*1000+170)),IF($HG13=0,999999,IF(1=$HH13,IF(17=$HN13,IF($JE13=2,30,0),IF(17=$HO13,IF($JE13=1,30,0),ABS(17-$HI13)*100)),100000+ABS(1-$HH13)*1000+170)))-IF((17=$HJ13)+(17=$HK13)+(17=$HL13)+(17=$HM13)+(17=$HN13)+(17=$HO13)&gt;=2,50,0))+T$5*50)</f>
        <v/>
      </c>
      <c r="U133">
        <f>IF(OR($JF13=0,calcA!$A$6=0),0,IF(OR(18=$HA13,18=$HD13,18=$HG13),200000,MIN(IF($HA13=0,999999,IF(1=$HB13,IF(18=$HJ13,IF($JC13=2,30,0),IF(18=$HK13,IF($JC13=1,30,0),ABS(18-$HC13)*100)),100000+ABS(1-$HB13)*1000+180)),IF($HD13=0,999999,IF(1=$HE13,IF(18=$HL13,IF($JD13=2,30,0),IF(18=$HM13,IF($JD13=1,30,0),ABS(18-$HF13)*100)),100000+ABS(1-$HE13)*1000+180)),IF($HG13=0,999999,IF(1=$HH13,IF(18=$HN13,IF($JE13=2,30,0),IF(18=$HO13,IF($JE13=1,30,0),ABS(18-$HI13)*100)),100000+ABS(1-$HH13)*1000+180)))-IF((18=$HJ13)+(18=$HK13)+(18=$HL13)+(18=$HM13)+(18=$HN13)+(18=$HO13)&gt;=2,50,0))+U$5*50)</f>
        <v/>
      </c>
      <c r="V133">
        <f>IF(OR($JF13=0,calcA!$A$6=0),0,IF(OR(19=$HA13,19=$HD13,19=$HG13),200000,MIN(IF($HA13=0,999999,IF(1=$HB13,IF(19=$HJ13,IF($JC13=2,30,0),IF(19=$HK13,IF($JC13=1,30,0),ABS(19-$HC13)*100)),100000+ABS(1-$HB13)*1000+190)),IF($HD13=0,999999,IF(1=$HE13,IF(19=$HL13,IF($JD13=2,30,0),IF(19=$HM13,IF($JD13=1,30,0),ABS(19-$HF13)*100)),100000+ABS(1-$HE13)*1000+190)),IF($HG13=0,999999,IF(1=$HH13,IF(19=$HN13,IF($JE13=2,30,0),IF(19=$HO13,IF($JE13=1,30,0),ABS(19-$HI13)*100)),100000+ABS(1-$HH13)*1000+190)))-IF((19=$HJ13)+(19=$HK13)+(19=$HL13)+(19=$HM13)+(19=$HN13)+(19=$HO13)&gt;=2,50,0))+V$5*50)</f>
        <v/>
      </c>
      <c r="W133">
        <f>IF(OR($JF13=0,calcA!$A$6=0),0,IF(OR(20=$HA13,20=$HD13,20=$HG13),200000,MIN(IF($HA13=0,999999,IF(1=$HB13,IF(20=$HJ13,IF($JC13=2,30,0),IF(20=$HK13,IF($JC13=1,30,0),ABS(20-$HC13)*100)),100000+ABS(1-$HB13)*1000+200)),IF($HD13=0,999999,IF(1=$HE13,IF(20=$HL13,IF($JD13=2,30,0),IF(20=$HM13,IF($JD13=1,30,0),ABS(20-$HF13)*100)),100000+ABS(1-$HE13)*1000+200)),IF($HG13=0,999999,IF(1=$HH13,IF(20=$HN13,IF($JE13=2,30,0),IF(20=$HO13,IF($JE13=1,30,0),ABS(20-$HI13)*100)),100000+ABS(1-$HH13)*1000+200)))-IF((20=$HJ13)+(20=$HK13)+(20=$HL13)+(20=$HM13)+(20=$HN13)+(20=$HO13)&gt;=2,50,0))+W$5*50)</f>
        <v/>
      </c>
      <c r="X133">
        <f>IF(OR($JF13=0,calcA!$A$6=0),0,IF(OR(21=$HA13,21=$HD13,21=$HG13),200000,MIN(IF($HA13=0,999999,IF(1=$HB13,IF(21=$HJ13,IF($JC13=2,30,0),IF(21=$HK13,IF($JC13=1,30,0),ABS(21-$HC13)*100)),100000+ABS(1-$HB13)*1000+210)),IF($HD13=0,999999,IF(1=$HE13,IF(21=$HL13,IF($JD13=2,30,0),IF(21=$HM13,IF($JD13=1,30,0),ABS(21-$HF13)*100)),100000+ABS(1-$HE13)*1000+210)),IF($HG13=0,999999,IF(1=$HH13,IF(21=$HN13,IF($JE13=2,30,0),IF(21=$HO13,IF($JE13=1,30,0),ABS(21-$HI13)*100)),100000+ABS(1-$HH13)*1000+210)))-IF((21=$HJ13)+(21=$HK13)+(21=$HL13)+(21=$HM13)+(21=$HN13)+(21=$HO13)&gt;=2,50,0))+X$5*50)</f>
        <v/>
      </c>
      <c r="Y133">
        <f>IF(OR($JF13=0,calcA!$A$6=0),0,IF(OR(22=$HA13,22=$HD13,22=$HG13),200000,MIN(IF($HA13=0,999999,IF(1=$HB13,IF(22=$HJ13,IF($JC13=2,30,0),IF(22=$HK13,IF($JC13=1,30,0),ABS(22-$HC13)*100)),100000+ABS(1-$HB13)*1000+220)),IF($HD13=0,999999,IF(1=$HE13,IF(22=$HL13,IF($JD13=2,30,0),IF(22=$HM13,IF($JD13=1,30,0),ABS(22-$HF13)*100)),100000+ABS(1-$HE13)*1000+220)),IF($HG13=0,999999,IF(1=$HH13,IF(22=$HN13,IF($JE13=2,30,0),IF(22=$HO13,IF($JE13=1,30,0),ABS(22-$HI13)*100)),100000+ABS(1-$HH13)*1000+220)))-IF((22=$HJ13)+(22=$HK13)+(22=$HL13)+(22=$HM13)+(22=$HN13)+(22=$HO13)&gt;=2,50,0))+Y$5*50)</f>
        <v/>
      </c>
      <c r="Z133">
        <f>IF(OR($JF13=0,calcA!$A$6=0),0,IF(OR(23=$HA13,23=$HD13,23=$HG13),200000,MIN(IF($HA13=0,999999,IF(1=$HB13,IF(23=$HJ13,IF($JC13=2,30,0),IF(23=$HK13,IF($JC13=1,30,0),ABS(23-$HC13)*100)),100000+ABS(1-$HB13)*1000+230)),IF($HD13=0,999999,IF(1=$HE13,IF(23=$HL13,IF($JD13=2,30,0),IF(23=$HM13,IF($JD13=1,30,0),ABS(23-$HF13)*100)),100000+ABS(1-$HE13)*1000+230)),IF($HG13=0,999999,IF(1=$HH13,IF(23=$HN13,IF($JE13=2,30,0),IF(23=$HO13,IF($JE13=1,30,0),ABS(23-$HI13)*100)),100000+ABS(1-$HH13)*1000+230)))-IF((23=$HJ13)+(23=$HK13)+(23=$HL13)+(23=$HM13)+(23=$HN13)+(23=$HO13)&gt;=2,50,0))+Z$5*50)</f>
        <v/>
      </c>
      <c r="AA133">
        <f>IF(OR($JF13=0,calcA!$A$6=0),0,IF(OR(24=$HA13,24=$HD13,24=$HG13),200000,MIN(IF($HA13=0,999999,IF(1=$HB13,IF(24=$HJ13,IF($JC13=2,30,0),IF(24=$HK13,IF($JC13=1,30,0),ABS(24-$HC13)*100)),100000+ABS(1-$HB13)*1000+240)),IF($HD13=0,999999,IF(1=$HE13,IF(24=$HL13,IF($JD13=2,30,0),IF(24=$HM13,IF($JD13=1,30,0),ABS(24-$HF13)*100)),100000+ABS(1-$HE13)*1000+240)),IF($HG13=0,999999,IF(1=$HH13,IF(24=$HN13,IF($JE13=2,30,0),IF(24=$HO13,IF($JE13=1,30,0),ABS(24-$HI13)*100)),100000+ABS(1-$HH13)*1000+240)))-IF((24=$HJ13)+(24=$HK13)+(24=$HL13)+(24=$HM13)+(24=$HN13)+(24=$HO13)&gt;=2,50,0))+AA$5*50)</f>
        <v/>
      </c>
      <c r="AB133">
        <f>IF(OR($JF13=0,calcA!$A$6=0),0,IF(OR(25=$HA13,25=$HD13,25=$HG13),200000,MIN(IF($HA13=0,999999,IF(2=$HB13,IF(25=$HJ13,IF($JC13=2,30,0),IF(25=$HK13,IF($JC13=1,30,0),ABS(1-$HC13)*100)),100000+ABS(2-$HB13)*1000+10)),IF($HD13=0,999999,IF(2=$HE13,IF(25=$HL13,IF($JD13=2,30,0),IF(25=$HM13,IF($JD13=1,30,0),ABS(1-$HF13)*100)),100000+ABS(2-$HE13)*1000+10)),IF($HG13=0,999999,IF(2=$HH13,IF(25=$HN13,IF($JE13=2,30,0),IF(25=$HO13,IF($JE13=1,30,0),ABS(1-$HI13)*100)),100000+ABS(2-$HH13)*1000+10)))-IF((25=$HJ13)+(25=$HK13)+(25=$HL13)+(25=$HM13)+(25=$HN13)+(25=$HO13)&gt;=2,50,0))+AB$5*50)</f>
        <v/>
      </c>
      <c r="AC133">
        <f>IF(OR($JF13=0,calcA!$A$6=0),0,IF(OR(26=$HA13,26=$HD13,26=$HG13),200000,MIN(IF($HA13=0,999999,IF(2=$HB13,IF(26=$HJ13,IF($JC13=2,30,0),IF(26=$HK13,IF($JC13=1,30,0),ABS(2-$HC13)*100)),100000+ABS(2-$HB13)*1000+20)),IF($HD13=0,999999,IF(2=$HE13,IF(26=$HL13,IF($JD13=2,30,0),IF(26=$HM13,IF($JD13=1,30,0),ABS(2-$HF13)*100)),100000+ABS(2-$HE13)*1000+20)),IF($HG13=0,999999,IF(2=$HH13,IF(26=$HN13,IF($JE13=2,30,0),IF(26=$HO13,IF($JE13=1,30,0),ABS(2-$HI13)*100)),100000+ABS(2-$HH13)*1000+20)))-IF((26=$HJ13)+(26=$HK13)+(26=$HL13)+(26=$HM13)+(26=$HN13)+(26=$HO13)&gt;=2,50,0))+AC$5*50)</f>
        <v/>
      </c>
      <c r="AD133">
        <f>IF(OR($JF13=0,calcA!$A$6=0),0,IF(OR(27=$HA13,27=$HD13,27=$HG13),200000,MIN(IF($HA13=0,999999,IF(2=$HB13,IF(27=$HJ13,IF($JC13=2,30,0),IF(27=$HK13,IF($JC13=1,30,0),ABS(3-$HC13)*100)),100000+ABS(2-$HB13)*1000+30)),IF($HD13=0,999999,IF(2=$HE13,IF(27=$HL13,IF($JD13=2,30,0),IF(27=$HM13,IF($JD13=1,30,0),ABS(3-$HF13)*100)),100000+ABS(2-$HE13)*1000+30)),IF($HG13=0,999999,IF(2=$HH13,IF(27=$HN13,IF($JE13=2,30,0),IF(27=$HO13,IF($JE13=1,30,0),ABS(3-$HI13)*100)),100000+ABS(2-$HH13)*1000+30)))-IF((27=$HJ13)+(27=$HK13)+(27=$HL13)+(27=$HM13)+(27=$HN13)+(27=$HO13)&gt;=2,50,0))+AD$5*50)</f>
        <v/>
      </c>
      <c r="AE133">
        <f>IF(OR($JF13=0,calcA!$A$6=0),0,IF(OR(28=$HA13,28=$HD13,28=$HG13),200000,MIN(IF($HA13=0,999999,IF(2=$HB13,IF(28=$HJ13,IF($JC13=2,30,0),IF(28=$HK13,IF($JC13=1,30,0),ABS(4-$HC13)*100)),100000+ABS(2-$HB13)*1000+40)),IF($HD13=0,999999,IF(2=$HE13,IF(28=$HL13,IF($JD13=2,30,0),IF(28=$HM13,IF($JD13=1,30,0),ABS(4-$HF13)*100)),100000+ABS(2-$HE13)*1000+40)),IF($HG13=0,999999,IF(2=$HH13,IF(28=$HN13,IF($JE13=2,30,0),IF(28=$HO13,IF($JE13=1,30,0),ABS(4-$HI13)*100)),100000+ABS(2-$HH13)*1000+40)))-IF((28=$HJ13)+(28=$HK13)+(28=$HL13)+(28=$HM13)+(28=$HN13)+(28=$HO13)&gt;=2,50,0))+AE$5*50)</f>
        <v/>
      </c>
      <c r="AF133">
        <f>IF(OR($JF13=0,calcA!$A$6=0),0,IF(OR(29=$HA13,29=$HD13,29=$HG13),200000,MIN(IF($HA13=0,999999,IF(2=$HB13,IF(29=$HJ13,IF($JC13=2,30,0),IF(29=$HK13,IF($JC13=1,30,0),ABS(5-$HC13)*100)),100000+ABS(2-$HB13)*1000+50)),IF($HD13=0,999999,IF(2=$HE13,IF(29=$HL13,IF($JD13=2,30,0),IF(29=$HM13,IF($JD13=1,30,0),ABS(5-$HF13)*100)),100000+ABS(2-$HE13)*1000+50)),IF($HG13=0,999999,IF(2=$HH13,IF(29=$HN13,IF($JE13=2,30,0),IF(29=$HO13,IF($JE13=1,30,0),ABS(5-$HI13)*100)),100000+ABS(2-$HH13)*1000+50)))-IF((29=$HJ13)+(29=$HK13)+(29=$HL13)+(29=$HM13)+(29=$HN13)+(29=$HO13)&gt;=2,50,0))+AF$5*50)</f>
        <v/>
      </c>
      <c r="AG133">
        <f>IF(OR($JF13=0,calcA!$A$6=0),0,IF(OR(30=$HA13,30=$HD13,30=$HG13),200000,MIN(IF($HA13=0,999999,IF(2=$HB13,IF(30=$HJ13,IF($JC13=2,30,0),IF(30=$HK13,IF($JC13=1,30,0),ABS(6-$HC13)*100)),100000+ABS(2-$HB13)*1000+60)),IF($HD13=0,999999,IF(2=$HE13,IF(30=$HL13,IF($JD13=2,30,0),IF(30=$HM13,IF($JD13=1,30,0),ABS(6-$HF13)*100)),100000+ABS(2-$HE13)*1000+60)),IF($HG13=0,999999,IF(2=$HH13,IF(30=$HN13,IF($JE13=2,30,0),IF(30=$HO13,IF($JE13=1,30,0),ABS(6-$HI13)*100)),100000+ABS(2-$HH13)*1000+60)))-IF((30=$HJ13)+(30=$HK13)+(30=$HL13)+(30=$HM13)+(30=$HN13)+(30=$HO13)&gt;=2,50,0))+AG$5*50)</f>
        <v/>
      </c>
      <c r="AH133">
        <f>IF(OR($JF13=0,calcA!$A$6=0),0,IF(OR(31=$HA13,31=$HD13,31=$HG13),200000,MIN(IF($HA13=0,999999,IF(2=$HB13,IF(31=$HJ13,IF($JC13=2,30,0),IF(31=$HK13,IF($JC13=1,30,0),ABS(7-$HC13)*100)),100000+ABS(2-$HB13)*1000+70)),IF($HD13=0,999999,IF(2=$HE13,IF(31=$HL13,IF($JD13=2,30,0),IF(31=$HM13,IF($JD13=1,30,0),ABS(7-$HF13)*100)),100000+ABS(2-$HE13)*1000+70)),IF($HG13=0,999999,IF(2=$HH13,IF(31=$HN13,IF($JE13=2,30,0),IF(31=$HO13,IF($JE13=1,30,0),ABS(7-$HI13)*100)),100000+ABS(2-$HH13)*1000+70)))-IF((31=$HJ13)+(31=$HK13)+(31=$HL13)+(31=$HM13)+(31=$HN13)+(31=$HO13)&gt;=2,50,0))+AH$5*50)</f>
        <v/>
      </c>
      <c r="AI133">
        <f>IF(OR($JF13=0,calcA!$A$6=0),0,IF(OR(32=$HA13,32=$HD13,32=$HG13),200000,MIN(IF($HA13=0,999999,IF(2=$HB13,IF(32=$HJ13,IF($JC13=2,30,0),IF(32=$HK13,IF($JC13=1,30,0),ABS(8-$HC13)*100)),100000+ABS(2-$HB13)*1000+80)),IF($HD13=0,999999,IF(2=$HE13,IF(32=$HL13,IF($JD13=2,30,0),IF(32=$HM13,IF($JD13=1,30,0),ABS(8-$HF13)*100)),100000+ABS(2-$HE13)*1000+80)),IF($HG13=0,999999,IF(2=$HH13,IF(32=$HN13,IF($JE13=2,30,0),IF(32=$HO13,IF($JE13=1,30,0),ABS(8-$HI13)*100)),100000+ABS(2-$HH13)*1000+80)))-IF((32=$HJ13)+(32=$HK13)+(32=$HL13)+(32=$HM13)+(32=$HN13)+(32=$HO13)&gt;=2,50,0))+AI$5*50)</f>
        <v/>
      </c>
      <c r="AJ133">
        <f>IF(OR($JF13=0,calcA!$A$6=0),0,IF(OR(33=$HA13,33=$HD13,33=$HG13),200000,MIN(IF($HA13=0,999999,IF(2=$HB13,IF(33=$HJ13,IF($JC13=2,30,0),IF(33=$HK13,IF($JC13=1,30,0),ABS(9-$HC13)*100)),100000+ABS(2-$HB13)*1000+90)),IF($HD13=0,999999,IF(2=$HE13,IF(33=$HL13,IF($JD13=2,30,0),IF(33=$HM13,IF($JD13=1,30,0),ABS(9-$HF13)*100)),100000+ABS(2-$HE13)*1000+90)),IF($HG13=0,999999,IF(2=$HH13,IF(33=$HN13,IF($JE13=2,30,0),IF(33=$HO13,IF($JE13=1,30,0),ABS(9-$HI13)*100)),100000+ABS(2-$HH13)*1000+90)))-IF((33=$HJ13)+(33=$HK13)+(33=$HL13)+(33=$HM13)+(33=$HN13)+(33=$HO13)&gt;=2,50,0))+AJ$5*50)</f>
        <v/>
      </c>
      <c r="AK133">
        <f>IF(OR($JF13=0,calcA!$A$6=0),0,IF(OR(34=$HA13,34=$HD13,34=$HG13),200000,MIN(IF($HA13=0,999999,IF(2=$HB13,IF(34=$HJ13,IF($JC13=2,30,0),IF(34=$HK13,IF($JC13=1,30,0),ABS(10-$HC13)*100)),100000+ABS(2-$HB13)*1000+100)),IF($HD13=0,999999,IF(2=$HE13,IF(34=$HL13,IF($JD13=2,30,0),IF(34=$HM13,IF($JD13=1,30,0),ABS(10-$HF13)*100)),100000+ABS(2-$HE13)*1000+100)),IF($HG13=0,999999,IF(2=$HH13,IF(34=$HN13,IF($JE13=2,30,0),IF(34=$HO13,IF($JE13=1,30,0),ABS(10-$HI13)*100)),100000+ABS(2-$HH13)*1000+100)))-IF((34=$HJ13)+(34=$HK13)+(34=$HL13)+(34=$HM13)+(34=$HN13)+(34=$HO13)&gt;=2,50,0))+AK$5*50)</f>
        <v/>
      </c>
      <c r="AL133">
        <f>IF(OR($JF13=0,calcA!$A$6=0),0,IF(OR(35=$HA13,35=$HD13,35=$HG13),200000,MIN(IF($HA13=0,999999,IF(2=$HB13,IF(35=$HJ13,IF($JC13=2,30,0),IF(35=$HK13,IF($JC13=1,30,0),ABS(11-$HC13)*100)),100000+ABS(2-$HB13)*1000+110)),IF($HD13=0,999999,IF(2=$HE13,IF(35=$HL13,IF($JD13=2,30,0),IF(35=$HM13,IF($JD13=1,30,0),ABS(11-$HF13)*100)),100000+ABS(2-$HE13)*1000+110)),IF($HG13=0,999999,IF(2=$HH13,IF(35=$HN13,IF($JE13=2,30,0),IF(35=$HO13,IF($JE13=1,30,0),ABS(11-$HI13)*100)),100000+ABS(2-$HH13)*1000+110)))-IF((35=$HJ13)+(35=$HK13)+(35=$HL13)+(35=$HM13)+(35=$HN13)+(35=$HO13)&gt;=2,50,0))+AL$5*50)</f>
        <v/>
      </c>
      <c r="AM133">
        <f>IF(OR($JF13=0,calcA!$A$6=0),0,IF(OR(36=$HA13,36=$HD13,36=$HG13),200000,MIN(IF($HA13=0,999999,IF(2=$HB13,IF(36=$HJ13,IF($JC13=2,30,0),IF(36=$HK13,IF($JC13=1,30,0),ABS(12-$HC13)*100)),100000+ABS(2-$HB13)*1000+120)),IF($HD13=0,999999,IF(2=$HE13,IF(36=$HL13,IF($JD13=2,30,0),IF(36=$HM13,IF($JD13=1,30,0),ABS(12-$HF13)*100)),100000+ABS(2-$HE13)*1000+120)),IF($HG13=0,999999,IF(2=$HH13,IF(36=$HN13,IF($JE13=2,30,0),IF(36=$HO13,IF($JE13=1,30,0),ABS(12-$HI13)*100)),100000+ABS(2-$HH13)*1000+120)))-IF((36=$HJ13)+(36=$HK13)+(36=$HL13)+(36=$HM13)+(36=$HN13)+(36=$HO13)&gt;=2,50,0))+AM$5*50)</f>
        <v/>
      </c>
      <c r="AN133">
        <f>IF(OR($JF13=0,calcA!$A$6=0),0,IF(OR(37=$HA13,37=$HD13,37=$HG13),200000,MIN(IF($HA13=0,999999,IF(2=$HB13,IF(37=$HJ13,IF($JC13=2,30,0),IF(37=$HK13,IF($JC13=1,30,0),ABS(13-$HC13)*100)),100000+ABS(2-$HB13)*1000+130)),IF($HD13=0,999999,IF(2=$HE13,IF(37=$HL13,IF($JD13=2,30,0),IF(37=$HM13,IF($JD13=1,30,0),ABS(13-$HF13)*100)),100000+ABS(2-$HE13)*1000+130)),IF($HG13=0,999999,IF(2=$HH13,IF(37=$HN13,IF($JE13=2,30,0),IF(37=$HO13,IF($JE13=1,30,0),ABS(13-$HI13)*100)),100000+ABS(2-$HH13)*1000+130)))-IF((37=$HJ13)+(37=$HK13)+(37=$HL13)+(37=$HM13)+(37=$HN13)+(37=$HO13)&gt;=2,50,0))+AN$5*50)</f>
        <v/>
      </c>
      <c r="AO133">
        <f>IF(OR($JF13=0,calcA!$A$6=0),0,IF(OR(38=$HA13,38=$HD13,38=$HG13),200000,MIN(IF($HA13=0,999999,IF(2=$HB13,IF(38=$HJ13,IF($JC13=2,30,0),IF(38=$HK13,IF($JC13=1,30,0),ABS(14-$HC13)*100)),100000+ABS(2-$HB13)*1000+140)),IF($HD13=0,999999,IF(2=$HE13,IF(38=$HL13,IF($JD13=2,30,0),IF(38=$HM13,IF($JD13=1,30,0),ABS(14-$HF13)*100)),100000+ABS(2-$HE13)*1000+140)),IF($HG13=0,999999,IF(2=$HH13,IF(38=$HN13,IF($JE13=2,30,0),IF(38=$HO13,IF($JE13=1,30,0),ABS(14-$HI13)*100)),100000+ABS(2-$HH13)*1000+140)))-IF((38=$HJ13)+(38=$HK13)+(38=$HL13)+(38=$HM13)+(38=$HN13)+(38=$HO13)&gt;=2,50,0))+AO$5*50)</f>
        <v/>
      </c>
      <c r="AP133">
        <f>IF(OR($JF13=0,calcA!$A$6=0),0,IF(OR(39=$HA13,39=$HD13,39=$HG13),200000,MIN(IF($HA13=0,999999,IF(2=$HB13,IF(39=$HJ13,IF($JC13=2,30,0),IF(39=$HK13,IF($JC13=1,30,0),ABS(15-$HC13)*100)),100000+ABS(2-$HB13)*1000+150)),IF($HD13=0,999999,IF(2=$HE13,IF(39=$HL13,IF($JD13=2,30,0),IF(39=$HM13,IF($JD13=1,30,0),ABS(15-$HF13)*100)),100000+ABS(2-$HE13)*1000+150)),IF($HG13=0,999999,IF(2=$HH13,IF(39=$HN13,IF($JE13=2,30,0),IF(39=$HO13,IF($JE13=1,30,0),ABS(15-$HI13)*100)),100000+ABS(2-$HH13)*1000+150)))-IF((39=$HJ13)+(39=$HK13)+(39=$HL13)+(39=$HM13)+(39=$HN13)+(39=$HO13)&gt;=2,50,0))+AP$5*50)</f>
        <v/>
      </c>
      <c r="AQ133">
        <f>IF(OR($JF13=0,calcA!$A$6=0),0,IF(OR(40=$HA13,40=$HD13,40=$HG13),200000,MIN(IF($HA13=0,999999,IF(2=$HB13,IF(40=$HJ13,IF($JC13=2,30,0),IF(40=$HK13,IF($JC13=1,30,0),ABS(16-$HC13)*100)),100000+ABS(2-$HB13)*1000+160)),IF($HD13=0,999999,IF(2=$HE13,IF(40=$HL13,IF($JD13=2,30,0),IF(40=$HM13,IF($JD13=1,30,0),ABS(16-$HF13)*100)),100000+ABS(2-$HE13)*1000+160)),IF($HG13=0,999999,IF(2=$HH13,IF(40=$HN13,IF($JE13=2,30,0),IF(40=$HO13,IF($JE13=1,30,0),ABS(16-$HI13)*100)),100000+ABS(2-$HH13)*1000+160)))-IF((40=$HJ13)+(40=$HK13)+(40=$HL13)+(40=$HM13)+(40=$HN13)+(40=$HO13)&gt;=2,50,0))+AQ$5*50)</f>
        <v/>
      </c>
      <c r="AR133">
        <f>IF(OR($JF13=0,calcA!$A$6=0),0,IF(OR(41=$HA13,41=$HD13,41=$HG13),200000,MIN(IF($HA13=0,999999,IF(2=$HB13,IF(41=$HJ13,IF($JC13=2,30,0),IF(41=$HK13,IF($JC13=1,30,0),ABS(17-$HC13)*100)),100000+ABS(2-$HB13)*1000+170)),IF($HD13=0,999999,IF(2=$HE13,IF(41=$HL13,IF($JD13=2,30,0),IF(41=$HM13,IF($JD13=1,30,0),ABS(17-$HF13)*100)),100000+ABS(2-$HE13)*1000+170)),IF($HG13=0,999999,IF(2=$HH13,IF(41=$HN13,IF($JE13=2,30,0),IF(41=$HO13,IF($JE13=1,30,0),ABS(17-$HI13)*100)),100000+ABS(2-$HH13)*1000+170)))-IF((41=$HJ13)+(41=$HK13)+(41=$HL13)+(41=$HM13)+(41=$HN13)+(41=$HO13)&gt;=2,50,0))+AR$5*50)</f>
        <v/>
      </c>
      <c r="AS133">
        <f>IF(OR($JF13=0,calcA!$A$6=0),0,IF(OR(42=$HA13,42=$HD13,42=$HG13),200000,MIN(IF($HA13=0,999999,IF(2=$HB13,IF(42=$HJ13,IF($JC13=2,30,0),IF(42=$HK13,IF($JC13=1,30,0),ABS(18-$HC13)*100)),100000+ABS(2-$HB13)*1000+180)),IF($HD13=0,999999,IF(2=$HE13,IF(42=$HL13,IF($JD13=2,30,0),IF(42=$HM13,IF($JD13=1,30,0),ABS(18-$HF13)*100)),100000+ABS(2-$HE13)*1000+180)),IF($HG13=0,999999,IF(2=$HH13,IF(42=$HN13,IF($JE13=2,30,0),IF(42=$HO13,IF($JE13=1,30,0),ABS(18-$HI13)*100)),100000+ABS(2-$HH13)*1000+180)))-IF((42=$HJ13)+(42=$HK13)+(42=$HL13)+(42=$HM13)+(42=$HN13)+(42=$HO13)&gt;=2,50,0))+AS$5*50)</f>
        <v/>
      </c>
      <c r="AT133">
        <f>IF(OR($JF13=0,calcA!$A$6=0),0,IF(OR(43=$HA13,43=$HD13,43=$HG13),200000,MIN(IF($HA13=0,999999,IF(2=$HB13,IF(43=$HJ13,IF($JC13=2,30,0),IF(43=$HK13,IF($JC13=1,30,0),ABS(19-$HC13)*100)),100000+ABS(2-$HB13)*1000+190)),IF($HD13=0,999999,IF(2=$HE13,IF(43=$HL13,IF($JD13=2,30,0),IF(43=$HM13,IF($JD13=1,30,0),ABS(19-$HF13)*100)),100000+ABS(2-$HE13)*1000+190)),IF($HG13=0,999999,IF(2=$HH13,IF(43=$HN13,IF($JE13=2,30,0),IF(43=$HO13,IF($JE13=1,30,0),ABS(19-$HI13)*100)),100000+ABS(2-$HH13)*1000+190)))-IF((43=$HJ13)+(43=$HK13)+(43=$HL13)+(43=$HM13)+(43=$HN13)+(43=$HO13)&gt;=2,50,0))+AT$5*50)</f>
        <v/>
      </c>
      <c r="AU133">
        <f>IF(OR($JF13=0,calcA!$A$6=0),0,IF(OR(44=$HA13,44=$HD13,44=$HG13),200000,MIN(IF($HA13=0,999999,IF(2=$HB13,IF(44=$HJ13,IF($JC13=2,30,0),IF(44=$HK13,IF($JC13=1,30,0),ABS(20-$HC13)*100)),100000+ABS(2-$HB13)*1000+200)),IF($HD13=0,999999,IF(2=$HE13,IF(44=$HL13,IF($JD13=2,30,0),IF(44=$HM13,IF($JD13=1,30,0),ABS(20-$HF13)*100)),100000+ABS(2-$HE13)*1000+200)),IF($HG13=0,999999,IF(2=$HH13,IF(44=$HN13,IF($JE13=2,30,0),IF(44=$HO13,IF($JE13=1,30,0),ABS(20-$HI13)*100)),100000+ABS(2-$HH13)*1000+200)))-IF((44=$HJ13)+(44=$HK13)+(44=$HL13)+(44=$HM13)+(44=$HN13)+(44=$HO13)&gt;=2,50,0))+AU$5*50)</f>
        <v/>
      </c>
      <c r="AV133">
        <f>IF(OR($JF13=0,calcA!$A$6=0),0,IF(OR(45=$HA13,45=$HD13,45=$HG13),200000,MIN(IF($HA13=0,999999,IF(2=$HB13,IF(45=$HJ13,IF($JC13=2,30,0),IF(45=$HK13,IF($JC13=1,30,0),ABS(21-$HC13)*100)),100000+ABS(2-$HB13)*1000+210)),IF($HD13=0,999999,IF(2=$HE13,IF(45=$HL13,IF($JD13=2,30,0),IF(45=$HM13,IF($JD13=1,30,0),ABS(21-$HF13)*100)),100000+ABS(2-$HE13)*1000+210)),IF($HG13=0,999999,IF(2=$HH13,IF(45=$HN13,IF($JE13=2,30,0),IF(45=$HO13,IF($JE13=1,30,0),ABS(21-$HI13)*100)),100000+ABS(2-$HH13)*1000+210)))-IF((45=$HJ13)+(45=$HK13)+(45=$HL13)+(45=$HM13)+(45=$HN13)+(45=$HO13)&gt;=2,50,0))+AV$5*50)</f>
        <v/>
      </c>
      <c r="AW133">
        <f>IF(OR($JF13=0,calcA!$A$6=0),0,IF(OR(46=$HA13,46=$HD13,46=$HG13),200000,MIN(IF($HA13=0,999999,IF(2=$HB13,IF(46=$HJ13,IF($JC13=2,30,0),IF(46=$HK13,IF($JC13=1,30,0),ABS(22-$HC13)*100)),100000+ABS(2-$HB13)*1000+220)),IF($HD13=0,999999,IF(2=$HE13,IF(46=$HL13,IF($JD13=2,30,0),IF(46=$HM13,IF($JD13=1,30,0),ABS(22-$HF13)*100)),100000+ABS(2-$HE13)*1000+220)),IF($HG13=0,999999,IF(2=$HH13,IF(46=$HN13,IF($JE13=2,30,0),IF(46=$HO13,IF($JE13=1,30,0),ABS(22-$HI13)*100)),100000+ABS(2-$HH13)*1000+220)))-IF((46=$HJ13)+(46=$HK13)+(46=$HL13)+(46=$HM13)+(46=$HN13)+(46=$HO13)&gt;=2,50,0))+AW$5*50)</f>
        <v/>
      </c>
      <c r="AX133">
        <f>IF(OR($JF13=0,calcA!$A$6=0),0,IF(OR(47=$HA13,47=$HD13,47=$HG13),200000,MIN(IF($HA13=0,999999,IF(2=$HB13,IF(47=$HJ13,IF($JC13=2,30,0),IF(47=$HK13,IF($JC13=1,30,0),ABS(23-$HC13)*100)),100000+ABS(2-$HB13)*1000+230)),IF($HD13=0,999999,IF(2=$HE13,IF(47=$HL13,IF($JD13=2,30,0),IF(47=$HM13,IF($JD13=1,30,0),ABS(23-$HF13)*100)),100000+ABS(2-$HE13)*1000+230)),IF($HG13=0,999999,IF(2=$HH13,IF(47=$HN13,IF($JE13=2,30,0),IF(47=$HO13,IF($JE13=1,30,0),ABS(23-$HI13)*100)),100000+ABS(2-$HH13)*1000+230)))-IF((47=$HJ13)+(47=$HK13)+(47=$HL13)+(47=$HM13)+(47=$HN13)+(47=$HO13)&gt;=2,50,0))+AX$5*50)</f>
        <v/>
      </c>
      <c r="AY133">
        <f>IF(OR($JF13=0,calcA!$A$6=0),0,IF(OR(48=$HA13,48=$HD13,48=$HG13),200000,MIN(IF($HA13=0,999999,IF(2=$HB13,IF(48=$HJ13,IF($JC13=2,30,0),IF(48=$HK13,IF($JC13=1,30,0),ABS(24-$HC13)*100)),100000+ABS(2-$HB13)*1000+240)),IF($HD13=0,999999,IF(2=$HE13,IF(48=$HL13,IF($JD13=2,30,0),IF(48=$HM13,IF($JD13=1,30,0),ABS(24-$HF13)*100)),100000+ABS(2-$HE13)*1000+240)),IF($HG13=0,999999,IF(2=$HH13,IF(48=$HN13,IF($JE13=2,30,0),IF(48=$HO13,IF($JE13=1,30,0),ABS(24-$HI13)*100)),100000+ABS(2-$HH13)*1000+240)))-IF((48=$HJ13)+(48=$HK13)+(48=$HL13)+(48=$HM13)+(48=$HN13)+(48=$HO13)&gt;=2,50,0))+AY$5*50)</f>
        <v/>
      </c>
      <c r="AZ133">
        <f>IF(OR($JF13=0,calcA!$A$6=0),0,IF(OR(49=$HA13,49=$HD13,49=$HG13),200000,MIN(IF($HA13=0,999999,IF(3=$HB13,IF(49=$HJ13,IF($JC13=2,30,0),IF(49=$HK13,IF($JC13=1,30,0),ABS(1-$HC13)*100)),100000+ABS(3-$HB13)*1000+10)),IF($HD13=0,999999,IF(3=$HE13,IF(49=$HL13,IF($JD13=2,30,0),IF(49=$HM13,IF($JD13=1,30,0),ABS(1-$HF13)*100)),100000+ABS(3-$HE13)*1000+10)),IF($HG13=0,999999,IF(3=$HH13,IF(49=$HN13,IF($JE13=2,30,0),IF(49=$HO13,IF($JE13=1,30,0),ABS(1-$HI13)*100)),100000+ABS(3-$HH13)*1000+10)))-IF((49=$HJ13)+(49=$HK13)+(49=$HL13)+(49=$HM13)+(49=$HN13)+(49=$HO13)&gt;=2,50,0))+AZ$5*50)</f>
        <v/>
      </c>
      <c r="BA133">
        <f>IF(OR($JF13=0,calcA!$A$6=0),0,IF(OR(50=$HA13,50=$HD13,50=$HG13),200000,MIN(IF($HA13=0,999999,IF(3=$HB13,IF(50=$HJ13,IF($JC13=2,30,0),IF(50=$HK13,IF($JC13=1,30,0),ABS(2-$HC13)*100)),100000+ABS(3-$HB13)*1000+20)),IF($HD13=0,999999,IF(3=$HE13,IF(50=$HL13,IF($JD13=2,30,0),IF(50=$HM13,IF($JD13=1,30,0),ABS(2-$HF13)*100)),100000+ABS(3-$HE13)*1000+20)),IF($HG13=0,999999,IF(3=$HH13,IF(50=$HN13,IF($JE13=2,30,0),IF(50=$HO13,IF($JE13=1,30,0),ABS(2-$HI13)*100)),100000+ABS(3-$HH13)*1000+20)))-IF((50=$HJ13)+(50=$HK13)+(50=$HL13)+(50=$HM13)+(50=$HN13)+(50=$HO13)&gt;=2,50,0))+BA$5*50)</f>
        <v/>
      </c>
      <c r="BB133">
        <f>IF(OR($JF13=0,calcA!$A$6=0),0,IF(OR(51=$HA13,51=$HD13,51=$HG13),200000,MIN(IF($HA13=0,999999,IF(3=$HB13,IF(51=$HJ13,IF($JC13=2,30,0),IF(51=$HK13,IF($JC13=1,30,0),ABS(3-$HC13)*100)),100000+ABS(3-$HB13)*1000+30)),IF($HD13=0,999999,IF(3=$HE13,IF(51=$HL13,IF($JD13=2,30,0),IF(51=$HM13,IF($JD13=1,30,0),ABS(3-$HF13)*100)),100000+ABS(3-$HE13)*1000+30)),IF($HG13=0,999999,IF(3=$HH13,IF(51=$HN13,IF($JE13=2,30,0),IF(51=$HO13,IF($JE13=1,30,0),ABS(3-$HI13)*100)),100000+ABS(3-$HH13)*1000+30)))-IF((51=$HJ13)+(51=$HK13)+(51=$HL13)+(51=$HM13)+(51=$HN13)+(51=$HO13)&gt;=2,50,0))+BB$5*50)</f>
        <v/>
      </c>
      <c r="BC133">
        <f>IF(OR($JF13=0,calcA!$A$6=0),0,IF(OR(52=$HA13,52=$HD13,52=$HG13),200000,MIN(IF($HA13=0,999999,IF(3=$HB13,IF(52=$HJ13,IF($JC13=2,30,0),IF(52=$HK13,IF($JC13=1,30,0),ABS(4-$HC13)*100)),100000+ABS(3-$HB13)*1000+40)),IF($HD13=0,999999,IF(3=$HE13,IF(52=$HL13,IF($JD13=2,30,0),IF(52=$HM13,IF($JD13=1,30,0),ABS(4-$HF13)*100)),100000+ABS(3-$HE13)*1000+40)),IF($HG13=0,999999,IF(3=$HH13,IF(52=$HN13,IF($JE13=2,30,0),IF(52=$HO13,IF($JE13=1,30,0),ABS(4-$HI13)*100)),100000+ABS(3-$HH13)*1000+40)))-IF((52=$HJ13)+(52=$HK13)+(52=$HL13)+(52=$HM13)+(52=$HN13)+(52=$HO13)&gt;=2,50,0))+BC$5*50)</f>
        <v/>
      </c>
      <c r="BD133">
        <f>IF(OR($JF13=0,calcA!$A$6=0),0,IF(OR(53=$HA13,53=$HD13,53=$HG13),200000,MIN(IF($HA13=0,999999,IF(3=$HB13,IF(53=$HJ13,IF($JC13=2,30,0),IF(53=$HK13,IF($JC13=1,30,0),ABS(5-$HC13)*100)),100000+ABS(3-$HB13)*1000+50)),IF($HD13=0,999999,IF(3=$HE13,IF(53=$HL13,IF($JD13=2,30,0),IF(53=$HM13,IF($JD13=1,30,0),ABS(5-$HF13)*100)),100000+ABS(3-$HE13)*1000+50)),IF($HG13=0,999999,IF(3=$HH13,IF(53=$HN13,IF($JE13=2,30,0),IF(53=$HO13,IF($JE13=1,30,0),ABS(5-$HI13)*100)),100000+ABS(3-$HH13)*1000+50)))-IF((53=$HJ13)+(53=$HK13)+(53=$HL13)+(53=$HM13)+(53=$HN13)+(53=$HO13)&gt;=2,50,0))+BD$5*50)</f>
        <v/>
      </c>
      <c r="BE133">
        <f>IF(OR($JF13=0,calcA!$A$6=0),0,IF(OR(54=$HA13,54=$HD13,54=$HG13),200000,MIN(IF($HA13=0,999999,IF(3=$HB13,IF(54=$HJ13,IF($JC13=2,30,0),IF(54=$HK13,IF($JC13=1,30,0),ABS(6-$HC13)*100)),100000+ABS(3-$HB13)*1000+60)),IF($HD13=0,999999,IF(3=$HE13,IF(54=$HL13,IF($JD13=2,30,0),IF(54=$HM13,IF($JD13=1,30,0),ABS(6-$HF13)*100)),100000+ABS(3-$HE13)*1000+60)),IF($HG13=0,999999,IF(3=$HH13,IF(54=$HN13,IF($JE13=2,30,0),IF(54=$HO13,IF($JE13=1,30,0),ABS(6-$HI13)*100)),100000+ABS(3-$HH13)*1000+60)))-IF((54=$HJ13)+(54=$HK13)+(54=$HL13)+(54=$HM13)+(54=$HN13)+(54=$HO13)&gt;=2,50,0))+BE$5*50)</f>
        <v/>
      </c>
      <c r="BF133">
        <f>IF(OR($JF13=0,calcA!$A$6=0),0,IF(OR(55=$HA13,55=$HD13,55=$HG13),200000,MIN(IF($HA13=0,999999,IF(3=$HB13,IF(55=$HJ13,IF($JC13=2,30,0),IF(55=$HK13,IF($JC13=1,30,0),ABS(7-$HC13)*100)),100000+ABS(3-$HB13)*1000+70)),IF($HD13=0,999999,IF(3=$HE13,IF(55=$HL13,IF($JD13=2,30,0),IF(55=$HM13,IF($JD13=1,30,0),ABS(7-$HF13)*100)),100000+ABS(3-$HE13)*1000+70)),IF($HG13=0,999999,IF(3=$HH13,IF(55=$HN13,IF($JE13=2,30,0),IF(55=$HO13,IF($JE13=1,30,0),ABS(7-$HI13)*100)),100000+ABS(3-$HH13)*1000+70)))-IF((55=$HJ13)+(55=$HK13)+(55=$HL13)+(55=$HM13)+(55=$HN13)+(55=$HO13)&gt;=2,50,0))+BF$5*50)</f>
        <v/>
      </c>
      <c r="BG133">
        <f>IF(OR($JF13=0,calcA!$A$6=0),0,IF(OR(56=$HA13,56=$HD13,56=$HG13),200000,MIN(IF($HA13=0,999999,IF(3=$HB13,IF(56=$HJ13,IF($JC13=2,30,0),IF(56=$HK13,IF($JC13=1,30,0),ABS(8-$HC13)*100)),100000+ABS(3-$HB13)*1000+80)),IF($HD13=0,999999,IF(3=$HE13,IF(56=$HL13,IF($JD13=2,30,0),IF(56=$HM13,IF($JD13=1,30,0),ABS(8-$HF13)*100)),100000+ABS(3-$HE13)*1000+80)),IF($HG13=0,999999,IF(3=$HH13,IF(56=$HN13,IF($JE13=2,30,0),IF(56=$HO13,IF($JE13=1,30,0),ABS(8-$HI13)*100)),100000+ABS(3-$HH13)*1000+80)))-IF((56=$HJ13)+(56=$HK13)+(56=$HL13)+(56=$HM13)+(56=$HN13)+(56=$HO13)&gt;=2,50,0))+BG$5*50)</f>
        <v/>
      </c>
      <c r="BH133">
        <f>IF(OR($JF13=0,calcA!$A$6=0),0,IF(OR(57=$HA13,57=$HD13,57=$HG13),200000,MIN(IF($HA13=0,999999,IF(3=$HB13,IF(57=$HJ13,IF($JC13=2,30,0),IF(57=$HK13,IF($JC13=1,30,0),ABS(9-$HC13)*100)),100000+ABS(3-$HB13)*1000+90)),IF($HD13=0,999999,IF(3=$HE13,IF(57=$HL13,IF($JD13=2,30,0),IF(57=$HM13,IF($JD13=1,30,0),ABS(9-$HF13)*100)),100000+ABS(3-$HE13)*1000+90)),IF($HG13=0,999999,IF(3=$HH13,IF(57=$HN13,IF($JE13=2,30,0),IF(57=$HO13,IF($JE13=1,30,0),ABS(9-$HI13)*100)),100000+ABS(3-$HH13)*1000+90)))-IF((57=$HJ13)+(57=$HK13)+(57=$HL13)+(57=$HM13)+(57=$HN13)+(57=$HO13)&gt;=2,50,0))+BH$5*50)</f>
        <v/>
      </c>
      <c r="BI133">
        <f>IF(OR($JF13=0,calcA!$A$6=0),0,IF(OR(58=$HA13,58=$HD13,58=$HG13),200000,MIN(IF($HA13=0,999999,IF(3=$HB13,IF(58=$HJ13,IF($JC13=2,30,0),IF(58=$HK13,IF($JC13=1,30,0),ABS(10-$HC13)*100)),100000+ABS(3-$HB13)*1000+100)),IF($HD13=0,999999,IF(3=$HE13,IF(58=$HL13,IF($JD13=2,30,0),IF(58=$HM13,IF($JD13=1,30,0),ABS(10-$HF13)*100)),100000+ABS(3-$HE13)*1000+100)),IF($HG13=0,999999,IF(3=$HH13,IF(58=$HN13,IF($JE13=2,30,0),IF(58=$HO13,IF($JE13=1,30,0),ABS(10-$HI13)*100)),100000+ABS(3-$HH13)*1000+100)))-IF((58=$HJ13)+(58=$HK13)+(58=$HL13)+(58=$HM13)+(58=$HN13)+(58=$HO13)&gt;=2,50,0))+BI$5*50)</f>
        <v/>
      </c>
      <c r="BJ133">
        <f>IF(OR($JF13=0,calcA!$A$6=0),0,IF(OR(59=$HA13,59=$HD13,59=$HG13),200000,MIN(IF($HA13=0,999999,IF(3=$HB13,IF(59=$HJ13,IF($JC13=2,30,0),IF(59=$HK13,IF($JC13=1,30,0),ABS(11-$HC13)*100)),100000+ABS(3-$HB13)*1000+110)),IF($HD13=0,999999,IF(3=$HE13,IF(59=$HL13,IF($JD13=2,30,0),IF(59=$HM13,IF($JD13=1,30,0),ABS(11-$HF13)*100)),100000+ABS(3-$HE13)*1000+110)),IF($HG13=0,999999,IF(3=$HH13,IF(59=$HN13,IF($JE13=2,30,0),IF(59=$HO13,IF($JE13=1,30,0),ABS(11-$HI13)*100)),100000+ABS(3-$HH13)*1000+110)))-IF((59=$HJ13)+(59=$HK13)+(59=$HL13)+(59=$HM13)+(59=$HN13)+(59=$HO13)&gt;=2,50,0))+BJ$5*50)</f>
        <v/>
      </c>
      <c r="BK133">
        <f>IF(OR($JF13=0,calcA!$A$6=0),0,IF(OR(60=$HA13,60=$HD13,60=$HG13),200000,MIN(IF($HA13=0,999999,IF(3=$HB13,IF(60=$HJ13,IF($JC13=2,30,0),IF(60=$HK13,IF($JC13=1,30,0),ABS(12-$HC13)*100)),100000+ABS(3-$HB13)*1000+120)),IF($HD13=0,999999,IF(3=$HE13,IF(60=$HL13,IF($JD13=2,30,0),IF(60=$HM13,IF($JD13=1,30,0),ABS(12-$HF13)*100)),100000+ABS(3-$HE13)*1000+120)),IF($HG13=0,999999,IF(3=$HH13,IF(60=$HN13,IF($JE13=2,30,0),IF(60=$HO13,IF($JE13=1,30,0),ABS(12-$HI13)*100)),100000+ABS(3-$HH13)*1000+120)))-IF((60=$HJ13)+(60=$HK13)+(60=$HL13)+(60=$HM13)+(60=$HN13)+(60=$HO13)&gt;=2,50,0))+BK$5*50)</f>
        <v/>
      </c>
      <c r="BL133">
        <f>IF(OR($JF13=0,calcA!$A$6=0),0,IF(OR(61=$HA13,61=$HD13,61=$HG13),200000,MIN(IF($HA13=0,999999,IF(3=$HB13,IF(61=$HJ13,IF($JC13=2,30,0),IF(61=$HK13,IF($JC13=1,30,0),ABS(13-$HC13)*100)),100000+ABS(3-$HB13)*1000+130)),IF($HD13=0,999999,IF(3=$HE13,IF(61=$HL13,IF($JD13=2,30,0),IF(61=$HM13,IF($JD13=1,30,0),ABS(13-$HF13)*100)),100000+ABS(3-$HE13)*1000+130)),IF($HG13=0,999999,IF(3=$HH13,IF(61=$HN13,IF($JE13=2,30,0),IF(61=$HO13,IF($JE13=1,30,0),ABS(13-$HI13)*100)),100000+ABS(3-$HH13)*1000+130)))-IF((61=$HJ13)+(61=$HK13)+(61=$HL13)+(61=$HM13)+(61=$HN13)+(61=$HO13)&gt;=2,50,0))+BL$5*50)</f>
        <v/>
      </c>
      <c r="BM133">
        <f>IF(OR($JF13=0,calcA!$A$6=0),0,IF(OR(62=$HA13,62=$HD13,62=$HG13),200000,MIN(IF($HA13=0,999999,IF(3=$HB13,IF(62=$HJ13,IF($JC13=2,30,0),IF(62=$HK13,IF($JC13=1,30,0),ABS(14-$HC13)*100)),100000+ABS(3-$HB13)*1000+140)),IF($HD13=0,999999,IF(3=$HE13,IF(62=$HL13,IF($JD13=2,30,0),IF(62=$HM13,IF($JD13=1,30,0),ABS(14-$HF13)*100)),100000+ABS(3-$HE13)*1000+140)),IF($HG13=0,999999,IF(3=$HH13,IF(62=$HN13,IF($JE13=2,30,0),IF(62=$HO13,IF($JE13=1,30,0),ABS(14-$HI13)*100)),100000+ABS(3-$HH13)*1000+140)))-IF((62=$HJ13)+(62=$HK13)+(62=$HL13)+(62=$HM13)+(62=$HN13)+(62=$HO13)&gt;=2,50,0))+BM$5*50)</f>
        <v/>
      </c>
      <c r="BN133">
        <f>IF(OR($JF13=0,calcA!$A$6=0),0,IF(OR(63=$HA13,63=$HD13,63=$HG13),200000,MIN(IF($HA13=0,999999,IF(3=$HB13,IF(63=$HJ13,IF($JC13=2,30,0),IF(63=$HK13,IF($JC13=1,30,0),ABS(15-$HC13)*100)),100000+ABS(3-$HB13)*1000+150)),IF($HD13=0,999999,IF(3=$HE13,IF(63=$HL13,IF($JD13=2,30,0),IF(63=$HM13,IF($JD13=1,30,0),ABS(15-$HF13)*100)),100000+ABS(3-$HE13)*1000+150)),IF($HG13=0,999999,IF(3=$HH13,IF(63=$HN13,IF($JE13=2,30,0),IF(63=$HO13,IF($JE13=1,30,0),ABS(15-$HI13)*100)),100000+ABS(3-$HH13)*1000+150)))-IF((63=$HJ13)+(63=$HK13)+(63=$HL13)+(63=$HM13)+(63=$HN13)+(63=$HO13)&gt;=2,50,0))+BN$5*50)</f>
        <v/>
      </c>
      <c r="BO133">
        <f>IF(OR($JF13=0,calcA!$A$6=0),0,IF(OR(64=$HA13,64=$HD13,64=$HG13),200000,MIN(IF($HA13=0,999999,IF(3=$HB13,IF(64=$HJ13,IF($JC13=2,30,0),IF(64=$HK13,IF($JC13=1,30,0),ABS(16-$HC13)*100)),100000+ABS(3-$HB13)*1000+160)),IF($HD13=0,999999,IF(3=$HE13,IF(64=$HL13,IF($JD13=2,30,0),IF(64=$HM13,IF($JD13=1,30,0),ABS(16-$HF13)*100)),100000+ABS(3-$HE13)*1000+160)),IF($HG13=0,999999,IF(3=$HH13,IF(64=$HN13,IF($JE13=2,30,0),IF(64=$HO13,IF($JE13=1,30,0),ABS(16-$HI13)*100)),100000+ABS(3-$HH13)*1000+160)))-IF((64=$HJ13)+(64=$HK13)+(64=$HL13)+(64=$HM13)+(64=$HN13)+(64=$HO13)&gt;=2,50,0))+BO$5*50)</f>
        <v/>
      </c>
      <c r="BP133">
        <f>IF(OR($JF13=0,calcA!$A$6=0),0,IF(OR(65=$HA13,65=$HD13,65=$HG13),200000,MIN(IF($HA13=0,999999,IF(3=$HB13,IF(65=$HJ13,IF($JC13=2,30,0),IF(65=$HK13,IF($JC13=1,30,0),ABS(17-$HC13)*100)),100000+ABS(3-$HB13)*1000+170)),IF($HD13=0,999999,IF(3=$HE13,IF(65=$HL13,IF($JD13=2,30,0),IF(65=$HM13,IF($JD13=1,30,0),ABS(17-$HF13)*100)),100000+ABS(3-$HE13)*1000+170)),IF($HG13=0,999999,IF(3=$HH13,IF(65=$HN13,IF($JE13=2,30,0),IF(65=$HO13,IF($JE13=1,30,0),ABS(17-$HI13)*100)),100000+ABS(3-$HH13)*1000+170)))-IF((65=$HJ13)+(65=$HK13)+(65=$HL13)+(65=$HM13)+(65=$HN13)+(65=$HO13)&gt;=2,50,0))+BP$5*50)</f>
        <v/>
      </c>
      <c r="BQ133">
        <f>IF(OR($JF13=0,calcA!$A$6=0),0,IF(OR(66=$HA13,66=$HD13,66=$HG13),200000,MIN(IF($HA13=0,999999,IF(3=$HB13,IF(66=$HJ13,IF($JC13=2,30,0),IF(66=$HK13,IF($JC13=1,30,0),ABS(18-$HC13)*100)),100000+ABS(3-$HB13)*1000+180)),IF($HD13=0,999999,IF(3=$HE13,IF(66=$HL13,IF($JD13=2,30,0),IF(66=$HM13,IF($JD13=1,30,0),ABS(18-$HF13)*100)),100000+ABS(3-$HE13)*1000+180)),IF($HG13=0,999999,IF(3=$HH13,IF(66=$HN13,IF($JE13=2,30,0),IF(66=$HO13,IF($JE13=1,30,0),ABS(18-$HI13)*100)),100000+ABS(3-$HH13)*1000+180)))-IF((66=$HJ13)+(66=$HK13)+(66=$HL13)+(66=$HM13)+(66=$HN13)+(66=$HO13)&gt;=2,50,0))+BQ$5*50)</f>
        <v/>
      </c>
      <c r="BR133">
        <f>IF(OR($JF13=0,calcA!$A$6=0),0,IF(OR(67=$HA13,67=$HD13,67=$HG13),200000,MIN(IF($HA13=0,999999,IF(3=$HB13,IF(67=$HJ13,IF($JC13=2,30,0),IF(67=$HK13,IF($JC13=1,30,0),ABS(19-$HC13)*100)),100000+ABS(3-$HB13)*1000+190)),IF($HD13=0,999999,IF(3=$HE13,IF(67=$HL13,IF($JD13=2,30,0),IF(67=$HM13,IF($JD13=1,30,0),ABS(19-$HF13)*100)),100000+ABS(3-$HE13)*1000+190)),IF($HG13=0,999999,IF(3=$HH13,IF(67=$HN13,IF($JE13=2,30,0),IF(67=$HO13,IF($JE13=1,30,0),ABS(19-$HI13)*100)),100000+ABS(3-$HH13)*1000+190)))-IF((67=$HJ13)+(67=$HK13)+(67=$HL13)+(67=$HM13)+(67=$HN13)+(67=$HO13)&gt;=2,50,0))+BR$5*50)</f>
        <v/>
      </c>
      <c r="BS133">
        <f>IF(OR($JF13=0,calcA!$A$6=0),0,IF(OR(68=$HA13,68=$HD13,68=$HG13),200000,MIN(IF($HA13=0,999999,IF(3=$HB13,IF(68=$HJ13,IF($JC13=2,30,0),IF(68=$HK13,IF($JC13=1,30,0),ABS(20-$HC13)*100)),100000+ABS(3-$HB13)*1000+200)),IF($HD13=0,999999,IF(3=$HE13,IF(68=$HL13,IF($JD13=2,30,0),IF(68=$HM13,IF($JD13=1,30,0),ABS(20-$HF13)*100)),100000+ABS(3-$HE13)*1000+200)),IF($HG13=0,999999,IF(3=$HH13,IF(68=$HN13,IF($JE13=2,30,0),IF(68=$HO13,IF($JE13=1,30,0),ABS(20-$HI13)*100)),100000+ABS(3-$HH13)*1000+200)))-IF((68=$HJ13)+(68=$HK13)+(68=$HL13)+(68=$HM13)+(68=$HN13)+(68=$HO13)&gt;=2,50,0))+BS$5*50)</f>
        <v/>
      </c>
      <c r="BT133">
        <f>IF(OR($JF13=0,calcA!$A$6=0),0,IF(OR(69=$HA13,69=$HD13,69=$HG13),200000,MIN(IF($HA13=0,999999,IF(3=$HB13,IF(69=$HJ13,IF($JC13=2,30,0),IF(69=$HK13,IF($JC13=1,30,0),ABS(21-$HC13)*100)),100000+ABS(3-$HB13)*1000+210)),IF($HD13=0,999999,IF(3=$HE13,IF(69=$HL13,IF($JD13=2,30,0),IF(69=$HM13,IF($JD13=1,30,0),ABS(21-$HF13)*100)),100000+ABS(3-$HE13)*1000+210)),IF($HG13=0,999999,IF(3=$HH13,IF(69=$HN13,IF($JE13=2,30,0),IF(69=$HO13,IF($JE13=1,30,0),ABS(21-$HI13)*100)),100000+ABS(3-$HH13)*1000+210)))-IF((69=$HJ13)+(69=$HK13)+(69=$HL13)+(69=$HM13)+(69=$HN13)+(69=$HO13)&gt;=2,50,0))+BT$5*50)</f>
        <v/>
      </c>
      <c r="BU133">
        <f>IF(OR($JF13=0,calcA!$A$6=0),0,IF(OR(70=$HA13,70=$HD13,70=$HG13),200000,MIN(IF($HA13=0,999999,IF(3=$HB13,IF(70=$HJ13,IF($JC13=2,30,0),IF(70=$HK13,IF($JC13=1,30,0),ABS(22-$HC13)*100)),100000+ABS(3-$HB13)*1000+220)),IF($HD13=0,999999,IF(3=$HE13,IF(70=$HL13,IF($JD13=2,30,0),IF(70=$HM13,IF($JD13=1,30,0),ABS(22-$HF13)*100)),100000+ABS(3-$HE13)*1000+220)),IF($HG13=0,999999,IF(3=$HH13,IF(70=$HN13,IF($JE13=2,30,0),IF(70=$HO13,IF($JE13=1,30,0),ABS(22-$HI13)*100)),100000+ABS(3-$HH13)*1000+220)))-IF((70=$HJ13)+(70=$HK13)+(70=$HL13)+(70=$HM13)+(70=$HN13)+(70=$HO13)&gt;=2,50,0))+BU$5*50)</f>
        <v/>
      </c>
      <c r="BV133">
        <f>IF(OR($JF13=0,calcA!$A$6=0),0,IF(OR(71=$HA13,71=$HD13,71=$HG13),200000,MIN(IF($HA13=0,999999,IF(3=$HB13,IF(71=$HJ13,IF($JC13=2,30,0),IF(71=$HK13,IF($JC13=1,30,0),ABS(23-$HC13)*100)),100000+ABS(3-$HB13)*1000+230)),IF($HD13=0,999999,IF(3=$HE13,IF(71=$HL13,IF($JD13=2,30,0),IF(71=$HM13,IF($JD13=1,30,0),ABS(23-$HF13)*100)),100000+ABS(3-$HE13)*1000+230)),IF($HG13=0,999999,IF(3=$HH13,IF(71=$HN13,IF($JE13=2,30,0),IF(71=$HO13,IF($JE13=1,30,0),ABS(23-$HI13)*100)),100000+ABS(3-$HH13)*1000+230)))-IF((71=$HJ13)+(71=$HK13)+(71=$HL13)+(71=$HM13)+(71=$HN13)+(71=$HO13)&gt;=2,50,0))+BV$5*50)</f>
        <v/>
      </c>
      <c r="BW133">
        <f>IF(OR($JF13=0,calcA!$A$6=0),0,IF(OR(72=$HA13,72=$HD13,72=$HG13),200000,MIN(IF($HA13=0,999999,IF(3=$HB13,IF(72=$HJ13,IF($JC13=2,30,0),IF(72=$HK13,IF($JC13=1,30,0),ABS(24-$HC13)*100)),100000+ABS(3-$HB13)*1000+240)),IF($HD13=0,999999,IF(3=$HE13,IF(72=$HL13,IF($JD13=2,30,0),IF(72=$HM13,IF($JD13=1,30,0),ABS(24-$HF13)*100)),100000+ABS(3-$HE13)*1000+240)),IF($HG13=0,999999,IF(3=$HH13,IF(72=$HN13,IF($JE13=2,30,0),IF(72=$HO13,IF($JE13=1,30,0),ABS(24-$HI13)*100)),100000+ABS(3-$HH13)*1000+240)))-IF((72=$HJ13)+(72=$HK13)+(72=$HL13)+(72=$HM13)+(72=$HN13)+(72=$HO13)&gt;=2,50,0))+BW$5*50)</f>
        <v/>
      </c>
      <c r="BX133">
        <f>IF(OR($JF13=0,calcA!$A$6=0),0,IF(OR(73=$HA13,73=$HD13,73=$HG13),200000,MIN(IF($HA13=0,999999,IF(4=$HB13,IF(73=$HJ13,IF($JC13=2,30,0),IF(73=$HK13,IF($JC13=1,30,0),ABS(1-$HC13)*100)),100000+ABS(4-$HB13)*1000+10)),IF($HD13=0,999999,IF(4=$HE13,IF(73=$HL13,IF($JD13=2,30,0),IF(73=$HM13,IF($JD13=1,30,0),ABS(1-$HF13)*100)),100000+ABS(4-$HE13)*1000+10)),IF($HG13=0,999999,IF(4=$HH13,IF(73=$HN13,IF($JE13=2,30,0),IF(73=$HO13,IF($JE13=1,30,0),ABS(1-$HI13)*100)),100000+ABS(4-$HH13)*1000+10)))-IF((73=$HJ13)+(73=$HK13)+(73=$HL13)+(73=$HM13)+(73=$HN13)+(73=$HO13)&gt;=2,50,0))+BX$5*50)</f>
        <v/>
      </c>
      <c r="BY133">
        <f>IF(OR($JF13=0,calcA!$A$6=0),0,IF(OR(74=$HA13,74=$HD13,74=$HG13),200000,MIN(IF($HA13=0,999999,IF(4=$HB13,IF(74=$HJ13,IF($JC13=2,30,0),IF(74=$HK13,IF($JC13=1,30,0),ABS(2-$HC13)*100)),100000+ABS(4-$HB13)*1000+20)),IF($HD13=0,999999,IF(4=$HE13,IF(74=$HL13,IF($JD13=2,30,0),IF(74=$HM13,IF($JD13=1,30,0),ABS(2-$HF13)*100)),100000+ABS(4-$HE13)*1000+20)),IF($HG13=0,999999,IF(4=$HH13,IF(74=$HN13,IF($JE13=2,30,0),IF(74=$HO13,IF($JE13=1,30,0),ABS(2-$HI13)*100)),100000+ABS(4-$HH13)*1000+20)))-IF((74=$HJ13)+(74=$HK13)+(74=$HL13)+(74=$HM13)+(74=$HN13)+(74=$HO13)&gt;=2,50,0))+BY$5*50)</f>
        <v/>
      </c>
      <c r="BZ133">
        <f>IF(OR($JF13=0,calcA!$A$6=0),0,IF(OR(75=$HA13,75=$HD13,75=$HG13),200000,MIN(IF($HA13=0,999999,IF(4=$HB13,IF(75=$HJ13,IF($JC13=2,30,0),IF(75=$HK13,IF($JC13=1,30,0),ABS(3-$HC13)*100)),100000+ABS(4-$HB13)*1000+30)),IF($HD13=0,999999,IF(4=$HE13,IF(75=$HL13,IF($JD13=2,30,0),IF(75=$HM13,IF($JD13=1,30,0),ABS(3-$HF13)*100)),100000+ABS(4-$HE13)*1000+30)),IF($HG13=0,999999,IF(4=$HH13,IF(75=$HN13,IF($JE13=2,30,0),IF(75=$HO13,IF($JE13=1,30,0),ABS(3-$HI13)*100)),100000+ABS(4-$HH13)*1000+30)))-IF((75=$HJ13)+(75=$HK13)+(75=$HL13)+(75=$HM13)+(75=$HN13)+(75=$HO13)&gt;=2,50,0))+BZ$5*50)</f>
        <v/>
      </c>
      <c r="CA133">
        <f>IF(OR($JF13=0,calcA!$A$6=0),0,IF(OR(76=$HA13,76=$HD13,76=$HG13),200000,MIN(IF($HA13=0,999999,IF(4=$HB13,IF(76=$HJ13,IF($JC13=2,30,0),IF(76=$HK13,IF($JC13=1,30,0),ABS(4-$HC13)*100)),100000+ABS(4-$HB13)*1000+40)),IF($HD13=0,999999,IF(4=$HE13,IF(76=$HL13,IF($JD13=2,30,0),IF(76=$HM13,IF($JD13=1,30,0),ABS(4-$HF13)*100)),100000+ABS(4-$HE13)*1000+40)),IF($HG13=0,999999,IF(4=$HH13,IF(76=$HN13,IF($JE13=2,30,0),IF(76=$HO13,IF($JE13=1,30,0),ABS(4-$HI13)*100)),100000+ABS(4-$HH13)*1000+40)))-IF((76=$HJ13)+(76=$HK13)+(76=$HL13)+(76=$HM13)+(76=$HN13)+(76=$HO13)&gt;=2,50,0))+CA$5*50)</f>
        <v/>
      </c>
      <c r="CB133">
        <f>IF(OR($JF13=0,calcA!$A$6=0),0,IF(OR(77=$HA13,77=$HD13,77=$HG13),200000,MIN(IF($HA13=0,999999,IF(4=$HB13,IF(77=$HJ13,IF($JC13=2,30,0),IF(77=$HK13,IF($JC13=1,30,0),ABS(5-$HC13)*100)),100000+ABS(4-$HB13)*1000+50)),IF($HD13=0,999999,IF(4=$HE13,IF(77=$HL13,IF($JD13=2,30,0),IF(77=$HM13,IF($JD13=1,30,0),ABS(5-$HF13)*100)),100000+ABS(4-$HE13)*1000+50)),IF($HG13=0,999999,IF(4=$HH13,IF(77=$HN13,IF($JE13=2,30,0),IF(77=$HO13,IF($JE13=1,30,0),ABS(5-$HI13)*100)),100000+ABS(4-$HH13)*1000+50)))-IF((77=$HJ13)+(77=$HK13)+(77=$HL13)+(77=$HM13)+(77=$HN13)+(77=$HO13)&gt;=2,50,0))+CB$5*50)</f>
        <v/>
      </c>
      <c r="CC133">
        <f>IF(OR($JF13=0,calcA!$A$6=0),0,IF(OR(78=$HA13,78=$HD13,78=$HG13),200000,MIN(IF($HA13=0,999999,IF(4=$HB13,IF(78=$HJ13,IF($JC13=2,30,0),IF(78=$HK13,IF($JC13=1,30,0),ABS(6-$HC13)*100)),100000+ABS(4-$HB13)*1000+60)),IF($HD13=0,999999,IF(4=$HE13,IF(78=$HL13,IF($JD13=2,30,0),IF(78=$HM13,IF($JD13=1,30,0),ABS(6-$HF13)*100)),100000+ABS(4-$HE13)*1000+60)),IF($HG13=0,999999,IF(4=$HH13,IF(78=$HN13,IF($JE13=2,30,0),IF(78=$HO13,IF($JE13=1,30,0),ABS(6-$HI13)*100)),100000+ABS(4-$HH13)*1000+60)))-IF((78=$HJ13)+(78=$HK13)+(78=$HL13)+(78=$HM13)+(78=$HN13)+(78=$HO13)&gt;=2,50,0))+CC$5*50)</f>
        <v/>
      </c>
      <c r="CD133">
        <f>IF(OR($JF13=0,calcA!$A$6=0),0,IF(OR(79=$HA13,79=$HD13,79=$HG13),200000,MIN(IF($HA13=0,999999,IF(4=$HB13,IF(79=$HJ13,IF($JC13=2,30,0),IF(79=$HK13,IF($JC13=1,30,0),ABS(7-$HC13)*100)),100000+ABS(4-$HB13)*1000+70)),IF($HD13=0,999999,IF(4=$HE13,IF(79=$HL13,IF($JD13=2,30,0),IF(79=$HM13,IF($JD13=1,30,0),ABS(7-$HF13)*100)),100000+ABS(4-$HE13)*1000+70)),IF($HG13=0,999999,IF(4=$HH13,IF(79=$HN13,IF($JE13=2,30,0),IF(79=$HO13,IF($JE13=1,30,0),ABS(7-$HI13)*100)),100000+ABS(4-$HH13)*1000+70)))-IF((79=$HJ13)+(79=$HK13)+(79=$HL13)+(79=$HM13)+(79=$HN13)+(79=$HO13)&gt;=2,50,0))+CD$5*50)</f>
        <v/>
      </c>
      <c r="CE133">
        <f>IF(OR($JF13=0,calcA!$A$6=0),0,IF(OR(80=$HA13,80=$HD13,80=$HG13),200000,MIN(IF($HA13=0,999999,IF(4=$HB13,IF(80=$HJ13,IF($JC13=2,30,0),IF(80=$HK13,IF($JC13=1,30,0),ABS(8-$HC13)*100)),100000+ABS(4-$HB13)*1000+80)),IF($HD13=0,999999,IF(4=$HE13,IF(80=$HL13,IF($JD13=2,30,0),IF(80=$HM13,IF($JD13=1,30,0),ABS(8-$HF13)*100)),100000+ABS(4-$HE13)*1000+80)),IF($HG13=0,999999,IF(4=$HH13,IF(80=$HN13,IF($JE13=2,30,0),IF(80=$HO13,IF($JE13=1,30,0),ABS(8-$HI13)*100)),100000+ABS(4-$HH13)*1000+80)))-IF((80=$HJ13)+(80=$HK13)+(80=$HL13)+(80=$HM13)+(80=$HN13)+(80=$HO13)&gt;=2,50,0))+CE$5*50)</f>
        <v/>
      </c>
      <c r="CF133">
        <f>IF(OR($JF13=0,calcA!$A$6=0),0,IF(OR(81=$HA13,81=$HD13,81=$HG13),200000,MIN(IF($HA13=0,999999,IF(4=$HB13,IF(81=$HJ13,IF($JC13=2,30,0),IF(81=$HK13,IF($JC13=1,30,0),ABS(9-$HC13)*100)),100000+ABS(4-$HB13)*1000+90)),IF($HD13=0,999999,IF(4=$HE13,IF(81=$HL13,IF($JD13=2,30,0),IF(81=$HM13,IF($JD13=1,30,0),ABS(9-$HF13)*100)),100000+ABS(4-$HE13)*1000+90)),IF($HG13=0,999999,IF(4=$HH13,IF(81=$HN13,IF($JE13=2,30,0),IF(81=$HO13,IF($JE13=1,30,0),ABS(9-$HI13)*100)),100000+ABS(4-$HH13)*1000+90)))-IF((81=$HJ13)+(81=$HK13)+(81=$HL13)+(81=$HM13)+(81=$HN13)+(81=$HO13)&gt;=2,50,0))+CF$5*50)</f>
        <v/>
      </c>
      <c r="CG133">
        <f>IF(OR($JF13=0,calcA!$A$6=0),0,IF(OR(82=$HA13,82=$HD13,82=$HG13),200000,MIN(IF($HA13=0,999999,IF(4=$HB13,IF(82=$HJ13,IF($JC13=2,30,0),IF(82=$HK13,IF($JC13=1,30,0),ABS(10-$HC13)*100)),100000+ABS(4-$HB13)*1000+100)),IF($HD13=0,999999,IF(4=$HE13,IF(82=$HL13,IF($JD13=2,30,0),IF(82=$HM13,IF($JD13=1,30,0),ABS(10-$HF13)*100)),100000+ABS(4-$HE13)*1000+100)),IF($HG13=0,999999,IF(4=$HH13,IF(82=$HN13,IF($JE13=2,30,0),IF(82=$HO13,IF($JE13=1,30,0),ABS(10-$HI13)*100)),100000+ABS(4-$HH13)*1000+100)))-IF((82=$HJ13)+(82=$HK13)+(82=$HL13)+(82=$HM13)+(82=$HN13)+(82=$HO13)&gt;=2,50,0))+CG$5*50)</f>
        <v/>
      </c>
      <c r="CH133">
        <f>IF(OR($JF13=0,calcA!$A$6=0),0,IF(OR(83=$HA13,83=$HD13,83=$HG13),200000,MIN(IF($HA13=0,999999,IF(4=$HB13,IF(83=$HJ13,IF($JC13=2,30,0),IF(83=$HK13,IF($JC13=1,30,0),ABS(11-$HC13)*100)),100000+ABS(4-$HB13)*1000+110)),IF($HD13=0,999999,IF(4=$HE13,IF(83=$HL13,IF($JD13=2,30,0),IF(83=$HM13,IF($JD13=1,30,0),ABS(11-$HF13)*100)),100000+ABS(4-$HE13)*1000+110)),IF($HG13=0,999999,IF(4=$HH13,IF(83=$HN13,IF($JE13=2,30,0),IF(83=$HO13,IF($JE13=1,30,0),ABS(11-$HI13)*100)),100000+ABS(4-$HH13)*1000+110)))-IF((83=$HJ13)+(83=$HK13)+(83=$HL13)+(83=$HM13)+(83=$HN13)+(83=$HO13)&gt;=2,50,0))+CH$5*50)</f>
        <v/>
      </c>
      <c r="CI133">
        <f>IF(OR($JF13=0,calcA!$A$6=0),0,IF(OR(84=$HA13,84=$HD13,84=$HG13),200000,MIN(IF($HA13=0,999999,IF(4=$HB13,IF(84=$HJ13,IF($JC13=2,30,0),IF(84=$HK13,IF($JC13=1,30,0),ABS(12-$HC13)*100)),100000+ABS(4-$HB13)*1000+120)),IF($HD13=0,999999,IF(4=$HE13,IF(84=$HL13,IF($JD13=2,30,0),IF(84=$HM13,IF($JD13=1,30,0),ABS(12-$HF13)*100)),100000+ABS(4-$HE13)*1000+120)),IF($HG13=0,999999,IF(4=$HH13,IF(84=$HN13,IF($JE13=2,30,0),IF(84=$HO13,IF($JE13=1,30,0),ABS(12-$HI13)*100)),100000+ABS(4-$HH13)*1000+120)))-IF((84=$HJ13)+(84=$HK13)+(84=$HL13)+(84=$HM13)+(84=$HN13)+(84=$HO13)&gt;=2,50,0))+CI$5*50)</f>
        <v/>
      </c>
      <c r="CJ133">
        <f>IF(OR($JF13=0,calcA!$A$6=0),0,IF(OR(85=$HA13,85=$HD13,85=$HG13),200000,MIN(IF($HA13=0,999999,IF(4=$HB13,IF(85=$HJ13,IF($JC13=2,30,0),IF(85=$HK13,IF($JC13=1,30,0),ABS(13-$HC13)*100)),100000+ABS(4-$HB13)*1000+130)),IF($HD13=0,999999,IF(4=$HE13,IF(85=$HL13,IF($JD13=2,30,0),IF(85=$HM13,IF($JD13=1,30,0),ABS(13-$HF13)*100)),100000+ABS(4-$HE13)*1000+130)),IF($HG13=0,999999,IF(4=$HH13,IF(85=$HN13,IF($JE13=2,30,0),IF(85=$HO13,IF($JE13=1,30,0),ABS(13-$HI13)*100)),100000+ABS(4-$HH13)*1000+130)))-IF((85=$HJ13)+(85=$HK13)+(85=$HL13)+(85=$HM13)+(85=$HN13)+(85=$HO13)&gt;=2,50,0))+CJ$5*50)</f>
        <v/>
      </c>
      <c r="CK133">
        <f>IF(OR($JF13=0,calcA!$A$6=0),0,IF(OR(86=$HA13,86=$HD13,86=$HG13),200000,MIN(IF($HA13=0,999999,IF(4=$HB13,IF(86=$HJ13,IF($JC13=2,30,0),IF(86=$HK13,IF($JC13=1,30,0),ABS(14-$HC13)*100)),100000+ABS(4-$HB13)*1000+140)),IF($HD13=0,999999,IF(4=$HE13,IF(86=$HL13,IF($JD13=2,30,0),IF(86=$HM13,IF($JD13=1,30,0),ABS(14-$HF13)*100)),100000+ABS(4-$HE13)*1000+140)),IF($HG13=0,999999,IF(4=$HH13,IF(86=$HN13,IF($JE13=2,30,0),IF(86=$HO13,IF($JE13=1,30,0),ABS(14-$HI13)*100)),100000+ABS(4-$HH13)*1000+140)))-IF((86=$HJ13)+(86=$HK13)+(86=$HL13)+(86=$HM13)+(86=$HN13)+(86=$HO13)&gt;=2,50,0))+CK$5*50)</f>
        <v/>
      </c>
      <c r="CL133">
        <f>IF(OR($JF13=0,calcA!$A$6=0),0,IF(OR(87=$HA13,87=$HD13,87=$HG13),200000,MIN(IF($HA13=0,999999,IF(4=$HB13,IF(87=$HJ13,IF($JC13=2,30,0),IF(87=$HK13,IF($JC13=1,30,0),ABS(15-$HC13)*100)),100000+ABS(4-$HB13)*1000+150)),IF($HD13=0,999999,IF(4=$HE13,IF(87=$HL13,IF($JD13=2,30,0),IF(87=$HM13,IF($JD13=1,30,0),ABS(15-$HF13)*100)),100000+ABS(4-$HE13)*1000+150)),IF($HG13=0,999999,IF(4=$HH13,IF(87=$HN13,IF($JE13=2,30,0),IF(87=$HO13,IF($JE13=1,30,0),ABS(15-$HI13)*100)),100000+ABS(4-$HH13)*1000+150)))-IF((87=$HJ13)+(87=$HK13)+(87=$HL13)+(87=$HM13)+(87=$HN13)+(87=$HO13)&gt;=2,50,0))+CL$5*50)</f>
        <v/>
      </c>
      <c r="CM133">
        <f>IF(OR($JF13=0,calcA!$A$6=0),0,IF(OR(88=$HA13,88=$HD13,88=$HG13),200000,MIN(IF($HA13=0,999999,IF(4=$HB13,IF(88=$HJ13,IF($JC13=2,30,0),IF(88=$HK13,IF($JC13=1,30,0),ABS(16-$HC13)*100)),100000+ABS(4-$HB13)*1000+160)),IF($HD13=0,999999,IF(4=$HE13,IF(88=$HL13,IF($JD13=2,30,0),IF(88=$HM13,IF($JD13=1,30,0),ABS(16-$HF13)*100)),100000+ABS(4-$HE13)*1000+160)),IF($HG13=0,999999,IF(4=$HH13,IF(88=$HN13,IF($JE13=2,30,0),IF(88=$HO13,IF($JE13=1,30,0),ABS(16-$HI13)*100)),100000+ABS(4-$HH13)*1000+160)))-IF((88=$HJ13)+(88=$HK13)+(88=$HL13)+(88=$HM13)+(88=$HN13)+(88=$HO13)&gt;=2,50,0))+CM$5*50)</f>
        <v/>
      </c>
      <c r="CN133">
        <f>IF(OR($JF13=0,calcA!$A$6=0),0,IF(OR(89=$HA13,89=$HD13,89=$HG13),200000,MIN(IF($HA13=0,999999,IF(4=$HB13,IF(89=$HJ13,IF($JC13=2,30,0),IF(89=$HK13,IF($JC13=1,30,0),ABS(17-$HC13)*100)),100000+ABS(4-$HB13)*1000+170)),IF($HD13=0,999999,IF(4=$HE13,IF(89=$HL13,IF($JD13=2,30,0),IF(89=$HM13,IF($JD13=1,30,0),ABS(17-$HF13)*100)),100000+ABS(4-$HE13)*1000+170)),IF($HG13=0,999999,IF(4=$HH13,IF(89=$HN13,IF($JE13=2,30,0),IF(89=$HO13,IF($JE13=1,30,0),ABS(17-$HI13)*100)),100000+ABS(4-$HH13)*1000+170)))-IF((89=$HJ13)+(89=$HK13)+(89=$HL13)+(89=$HM13)+(89=$HN13)+(89=$HO13)&gt;=2,50,0))+CN$5*50)</f>
        <v/>
      </c>
      <c r="CO133">
        <f>IF(OR($JF13=0,calcA!$A$6=0),0,IF(OR(90=$HA13,90=$HD13,90=$HG13),200000,MIN(IF($HA13=0,999999,IF(4=$HB13,IF(90=$HJ13,IF($JC13=2,30,0),IF(90=$HK13,IF($JC13=1,30,0),ABS(18-$HC13)*100)),100000+ABS(4-$HB13)*1000+180)),IF($HD13=0,999999,IF(4=$HE13,IF(90=$HL13,IF($JD13=2,30,0),IF(90=$HM13,IF($JD13=1,30,0),ABS(18-$HF13)*100)),100000+ABS(4-$HE13)*1000+180)),IF($HG13=0,999999,IF(4=$HH13,IF(90=$HN13,IF($JE13=2,30,0),IF(90=$HO13,IF($JE13=1,30,0),ABS(18-$HI13)*100)),100000+ABS(4-$HH13)*1000+180)))-IF((90=$HJ13)+(90=$HK13)+(90=$HL13)+(90=$HM13)+(90=$HN13)+(90=$HO13)&gt;=2,50,0))+CO$5*50)</f>
        <v/>
      </c>
      <c r="CP133">
        <f>IF(OR($JF13=0,calcA!$A$6=0),0,IF(OR(91=$HA13,91=$HD13,91=$HG13),200000,MIN(IF($HA13=0,999999,IF(4=$HB13,IF(91=$HJ13,IF($JC13=2,30,0),IF(91=$HK13,IF($JC13=1,30,0),ABS(19-$HC13)*100)),100000+ABS(4-$HB13)*1000+190)),IF($HD13=0,999999,IF(4=$HE13,IF(91=$HL13,IF($JD13=2,30,0),IF(91=$HM13,IF($JD13=1,30,0),ABS(19-$HF13)*100)),100000+ABS(4-$HE13)*1000+190)),IF($HG13=0,999999,IF(4=$HH13,IF(91=$HN13,IF($JE13=2,30,0),IF(91=$HO13,IF($JE13=1,30,0),ABS(19-$HI13)*100)),100000+ABS(4-$HH13)*1000+190)))-IF((91=$HJ13)+(91=$HK13)+(91=$HL13)+(91=$HM13)+(91=$HN13)+(91=$HO13)&gt;=2,50,0))+CP$5*50)</f>
        <v/>
      </c>
      <c r="CQ133">
        <f>IF(OR($JF13=0,calcA!$A$6=0),0,IF(OR(92=$HA13,92=$HD13,92=$HG13),200000,MIN(IF($HA13=0,999999,IF(4=$HB13,IF(92=$HJ13,IF($JC13=2,30,0),IF(92=$HK13,IF($JC13=1,30,0),ABS(20-$HC13)*100)),100000+ABS(4-$HB13)*1000+200)),IF($HD13=0,999999,IF(4=$HE13,IF(92=$HL13,IF($JD13=2,30,0),IF(92=$HM13,IF($JD13=1,30,0),ABS(20-$HF13)*100)),100000+ABS(4-$HE13)*1000+200)),IF($HG13=0,999999,IF(4=$HH13,IF(92=$HN13,IF($JE13=2,30,0),IF(92=$HO13,IF($JE13=1,30,0),ABS(20-$HI13)*100)),100000+ABS(4-$HH13)*1000+200)))-IF((92=$HJ13)+(92=$HK13)+(92=$HL13)+(92=$HM13)+(92=$HN13)+(92=$HO13)&gt;=2,50,0))+CQ$5*50)</f>
        <v/>
      </c>
      <c r="CR133">
        <f>IF(OR($JF13=0,calcA!$A$6=0),0,IF(OR(93=$HA13,93=$HD13,93=$HG13),200000,MIN(IF($HA13=0,999999,IF(4=$HB13,IF(93=$HJ13,IF($JC13=2,30,0),IF(93=$HK13,IF($JC13=1,30,0),ABS(21-$HC13)*100)),100000+ABS(4-$HB13)*1000+210)),IF($HD13=0,999999,IF(4=$HE13,IF(93=$HL13,IF($JD13=2,30,0),IF(93=$HM13,IF($JD13=1,30,0),ABS(21-$HF13)*100)),100000+ABS(4-$HE13)*1000+210)),IF($HG13=0,999999,IF(4=$HH13,IF(93=$HN13,IF($JE13=2,30,0),IF(93=$HO13,IF($JE13=1,30,0),ABS(21-$HI13)*100)),100000+ABS(4-$HH13)*1000+210)))-IF((93=$HJ13)+(93=$HK13)+(93=$HL13)+(93=$HM13)+(93=$HN13)+(93=$HO13)&gt;=2,50,0))+CR$5*50)</f>
        <v/>
      </c>
      <c r="CS133">
        <f>IF(OR($JF13=0,calcA!$A$6=0),0,IF(OR(94=$HA13,94=$HD13,94=$HG13),200000,MIN(IF($HA13=0,999999,IF(4=$HB13,IF(94=$HJ13,IF($JC13=2,30,0),IF(94=$HK13,IF($JC13=1,30,0),ABS(22-$HC13)*100)),100000+ABS(4-$HB13)*1000+220)),IF($HD13=0,999999,IF(4=$HE13,IF(94=$HL13,IF($JD13=2,30,0),IF(94=$HM13,IF($JD13=1,30,0),ABS(22-$HF13)*100)),100000+ABS(4-$HE13)*1000+220)),IF($HG13=0,999999,IF(4=$HH13,IF(94=$HN13,IF($JE13=2,30,0),IF(94=$HO13,IF($JE13=1,30,0),ABS(22-$HI13)*100)),100000+ABS(4-$HH13)*1000+220)))-IF((94=$HJ13)+(94=$HK13)+(94=$HL13)+(94=$HM13)+(94=$HN13)+(94=$HO13)&gt;=2,50,0))+CS$5*50)</f>
        <v/>
      </c>
      <c r="CT133">
        <f>IF(OR($JF13=0,calcA!$A$6=0),0,IF(OR(95=$HA13,95=$HD13,95=$HG13),200000,MIN(IF($HA13=0,999999,IF(4=$HB13,IF(95=$HJ13,IF($JC13=2,30,0),IF(95=$HK13,IF($JC13=1,30,0),ABS(23-$HC13)*100)),100000+ABS(4-$HB13)*1000+230)),IF($HD13=0,999999,IF(4=$HE13,IF(95=$HL13,IF($JD13=2,30,0),IF(95=$HM13,IF($JD13=1,30,0),ABS(23-$HF13)*100)),100000+ABS(4-$HE13)*1000+230)),IF($HG13=0,999999,IF(4=$HH13,IF(95=$HN13,IF($JE13=2,30,0),IF(95=$HO13,IF($JE13=1,30,0),ABS(23-$HI13)*100)),100000+ABS(4-$HH13)*1000+230)))-IF((95=$HJ13)+(95=$HK13)+(95=$HL13)+(95=$HM13)+(95=$HN13)+(95=$HO13)&gt;=2,50,0))+CT$5*50)</f>
        <v/>
      </c>
      <c r="CU133">
        <f>IF(OR($JF13=0,calcA!$A$6=0),0,IF(OR(96=$HA13,96=$HD13,96=$HG13),200000,MIN(IF($HA13=0,999999,IF(4=$HB13,IF(96=$HJ13,IF($JC13=2,30,0),IF(96=$HK13,IF($JC13=1,30,0),ABS(24-$HC13)*100)),100000+ABS(4-$HB13)*1000+240)),IF($HD13=0,999999,IF(4=$HE13,IF(96=$HL13,IF($JD13=2,30,0),IF(96=$HM13,IF($JD13=1,30,0),ABS(24-$HF13)*100)),100000+ABS(4-$HE13)*1000+240)),IF($HG13=0,999999,IF(4=$HH13,IF(96=$HN13,IF($JE13=2,30,0),IF(96=$HO13,IF($JE13=1,30,0),ABS(24-$HI13)*100)),100000+ABS(4-$HH13)*1000+240)))-IF((96=$HJ13)+(96=$HK13)+(96=$HL13)+(96=$HM13)+(96=$HN13)+(96=$HO13)&gt;=2,50,0))+CU$5*50)</f>
        <v/>
      </c>
      <c r="CV133">
        <f>IF(OR($JF13=0,calcA!$A$6=0),0,IF(OR(97=$HA13,97=$HD13,97=$HG13),200000,MIN(IF($HA13=0,999999,IF(5=$HB13,IF(97=$HJ13,IF($JC13=2,30,0),IF(97=$HK13,IF($JC13=1,30,0),ABS(1-$HC13)*100)),100000+ABS(5-$HB13)*1000+10)),IF($HD13=0,999999,IF(5=$HE13,IF(97=$HL13,IF($JD13=2,30,0),IF(97=$HM13,IF($JD13=1,30,0),ABS(1-$HF13)*100)),100000+ABS(5-$HE13)*1000+10)),IF($HG13=0,999999,IF(5=$HH13,IF(97=$HN13,IF($JE13=2,30,0),IF(97=$HO13,IF($JE13=1,30,0),ABS(1-$HI13)*100)),100000+ABS(5-$HH13)*1000+10)))-IF((97=$HJ13)+(97=$HK13)+(97=$HL13)+(97=$HM13)+(97=$HN13)+(97=$HO13)&gt;=2,50,0))+CV$5*50)</f>
        <v/>
      </c>
      <c r="CW133">
        <f>IF(OR($JF13=0,calcA!$A$6=0),0,IF(OR(98=$HA13,98=$HD13,98=$HG13),200000,MIN(IF($HA13=0,999999,IF(5=$HB13,IF(98=$HJ13,IF($JC13=2,30,0),IF(98=$HK13,IF($JC13=1,30,0),ABS(2-$HC13)*100)),100000+ABS(5-$HB13)*1000+20)),IF($HD13=0,999999,IF(5=$HE13,IF(98=$HL13,IF($JD13=2,30,0),IF(98=$HM13,IF($JD13=1,30,0),ABS(2-$HF13)*100)),100000+ABS(5-$HE13)*1000+20)),IF($HG13=0,999999,IF(5=$HH13,IF(98=$HN13,IF($JE13=2,30,0),IF(98=$HO13,IF($JE13=1,30,0),ABS(2-$HI13)*100)),100000+ABS(5-$HH13)*1000+20)))-IF((98=$HJ13)+(98=$HK13)+(98=$HL13)+(98=$HM13)+(98=$HN13)+(98=$HO13)&gt;=2,50,0))+CW$5*50)</f>
        <v/>
      </c>
      <c r="CX133">
        <f>IF(OR($JF13=0,calcA!$A$6=0),0,IF(OR(99=$HA13,99=$HD13,99=$HG13),200000,MIN(IF($HA13=0,999999,IF(5=$HB13,IF(99=$HJ13,IF($JC13=2,30,0),IF(99=$HK13,IF($JC13=1,30,0),ABS(3-$HC13)*100)),100000+ABS(5-$HB13)*1000+30)),IF($HD13=0,999999,IF(5=$HE13,IF(99=$HL13,IF($JD13=2,30,0),IF(99=$HM13,IF($JD13=1,30,0),ABS(3-$HF13)*100)),100000+ABS(5-$HE13)*1000+30)),IF($HG13=0,999999,IF(5=$HH13,IF(99=$HN13,IF($JE13=2,30,0),IF(99=$HO13,IF($JE13=1,30,0),ABS(3-$HI13)*100)),100000+ABS(5-$HH13)*1000+30)))-IF((99=$HJ13)+(99=$HK13)+(99=$HL13)+(99=$HM13)+(99=$HN13)+(99=$HO13)&gt;=2,50,0))+CX$5*50)</f>
        <v/>
      </c>
      <c r="CY133">
        <f>IF(OR($JF13=0,calcA!$A$6=0),0,IF(OR(100=$HA13,100=$HD13,100=$HG13),200000,MIN(IF($HA13=0,999999,IF(5=$HB13,IF(100=$HJ13,IF($JC13=2,30,0),IF(100=$HK13,IF($JC13=1,30,0),ABS(4-$HC13)*100)),100000+ABS(5-$HB13)*1000+40)),IF($HD13=0,999999,IF(5=$HE13,IF(100=$HL13,IF($JD13=2,30,0),IF(100=$HM13,IF($JD13=1,30,0),ABS(4-$HF13)*100)),100000+ABS(5-$HE13)*1000+40)),IF($HG13=0,999999,IF(5=$HH13,IF(100=$HN13,IF($JE13=2,30,0),IF(100=$HO13,IF($JE13=1,30,0),ABS(4-$HI13)*100)),100000+ABS(5-$HH13)*1000+40)))-IF((100=$HJ13)+(100=$HK13)+(100=$HL13)+(100=$HM13)+(100=$HN13)+(100=$HO13)&gt;=2,50,0))+CY$5*50)</f>
        <v/>
      </c>
      <c r="CZ133">
        <f>IF(OR($JF13=0,calcA!$A$6=0),0,IF(OR(101=$HA13,101=$HD13,101=$HG13),200000,MIN(IF($HA13=0,999999,IF(5=$HB13,IF(101=$HJ13,IF($JC13=2,30,0),IF(101=$HK13,IF($JC13=1,30,0),ABS(5-$HC13)*100)),100000+ABS(5-$HB13)*1000+50)),IF($HD13=0,999999,IF(5=$HE13,IF(101=$HL13,IF($JD13=2,30,0),IF(101=$HM13,IF($JD13=1,30,0),ABS(5-$HF13)*100)),100000+ABS(5-$HE13)*1000+50)),IF($HG13=0,999999,IF(5=$HH13,IF(101=$HN13,IF($JE13=2,30,0),IF(101=$HO13,IF($JE13=1,30,0),ABS(5-$HI13)*100)),100000+ABS(5-$HH13)*1000+50)))-IF((101=$HJ13)+(101=$HK13)+(101=$HL13)+(101=$HM13)+(101=$HN13)+(101=$HO13)&gt;=2,50,0))+CZ$5*50)</f>
        <v/>
      </c>
      <c r="DA133">
        <f>IF(OR($JF13=0,calcA!$A$6=0),0,IF(OR(102=$HA13,102=$HD13,102=$HG13),200000,MIN(IF($HA13=0,999999,IF(5=$HB13,IF(102=$HJ13,IF($JC13=2,30,0),IF(102=$HK13,IF($JC13=1,30,0),ABS(6-$HC13)*100)),100000+ABS(5-$HB13)*1000+60)),IF($HD13=0,999999,IF(5=$HE13,IF(102=$HL13,IF($JD13=2,30,0),IF(102=$HM13,IF($JD13=1,30,0),ABS(6-$HF13)*100)),100000+ABS(5-$HE13)*1000+60)),IF($HG13=0,999999,IF(5=$HH13,IF(102=$HN13,IF($JE13=2,30,0),IF(102=$HO13,IF($JE13=1,30,0),ABS(6-$HI13)*100)),100000+ABS(5-$HH13)*1000+60)))-IF((102=$HJ13)+(102=$HK13)+(102=$HL13)+(102=$HM13)+(102=$HN13)+(102=$HO13)&gt;=2,50,0))+DA$5*50)</f>
        <v/>
      </c>
      <c r="DB133">
        <f>IF(OR($JF13=0,calcA!$A$6=0),0,IF(OR(103=$HA13,103=$HD13,103=$HG13),200000,MIN(IF($HA13=0,999999,IF(5=$HB13,IF(103=$HJ13,IF($JC13=2,30,0),IF(103=$HK13,IF($JC13=1,30,0),ABS(7-$HC13)*100)),100000+ABS(5-$HB13)*1000+70)),IF($HD13=0,999999,IF(5=$HE13,IF(103=$HL13,IF($JD13=2,30,0),IF(103=$HM13,IF($JD13=1,30,0),ABS(7-$HF13)*100)),100000+ABS(5-$HE13)*1000+70)),IF($HG13=0,999999,IF(5=$HH13,IF(103=$HN13,IF($JE13=2,30,0),IF(103=$HO13,IF($JE13=1,30,0),ABS(7-$HI13)*100)),100000+ABS(5-$HH13)*1000+70)))-IF((103=$HJ13)+(103=$HK13)+(103=$HL13)+(103=$HM13)+(103=$HN13)+(103=$HO13)&gt;=2,50,0))+DB$5*50)</f>
        <v/>
      </c>
      <c r="DC133">
        <f>IF(OR($JF13=0,calcA!$A$6=0),0,IF(OR(104=$HA13,104=$HD13,104=$HG13),200000,MIN(IF($HA13=0,999999,IF(5=$HB13,IF(104=$HJ13,IF($JC13=2,30,0),IF(104=$HK13,IF($JC13=1,30,0),ABS(8-$HC13)*100)),100000+ABS(5-$HB13)*1000+80)),IF($HD13=0,999999,IF(5=$HE13,IF(104=$HL13,IF($JD13=2,30,0),IF(104=$HM13,IF($JD13=1,30,0),ABS(8-$HF13)*100)),100000+ABS(5-$HE13)*1000+80)),IF($HG13=0,999999,IF(5=$HH13,IF(104=$HN13,IF($JE13=2,30,0),IF(104=$HO13,IF($JE13=1,30,0),ABS(8-$HI13)*100)),100000+ABS(5-$HH13)*1000+80)))-IF((104=$HJ13)+(104=$HK13)+(104=$HL13)+(104=$HM13)+(104=$HN13)+(104=$HO13)&gt;=2,50,0))+DC$5*50)</f>
        <v/>
      </c>
      <c r="DD133">
        <f>IF(OR($JF13=0,calcA!$A$6=0),0,IF(OR(105=$HA13,105=$HD13,105=$HG13),200000,MIN(IF($HA13=0,999999,IF(5=$HB13,IF(105=$HJ13,IF($JC13=2,30,0),IF(105=$HK13,IF($JC13=1,30,0),ABS(9-$HC13)*100)),100000+ABS(5-$HB13)*1000+90)),IF($HD13=0,999999,IF(5=$HE13,IF(105=$HL13,IF($JD13=2,30,0),IF(105=$HM13,IF($JD13=1,30,0),ABS(9-$HF13)*100)),100000+ABS(5-$HE13)*1000+90)),IF($HG13=0,999999,IF(5=$HH13,IF(105=$HN13,IF($JE13=2,30,0),IF(105=$HO13,IF($JE13=1,30,0),ABS(9-$HI13)*100)),100000+ABS(5-$HH13)*1000+90)))-IF((105=$HJ13)+(105=$HK13)+(105=$HL13)+(105=$HM13)+(105=$HN13)+(105=$HO13)&gt;=2,50,0))+DD$5*50)</f>
        <v/>
      </c>
      <c r="DE133">
        <f>IF(OR($JF13=0,calcA!$A$6=0),0,IF(OR(106=$HA13,106=$HD13,106=$HG13),200000,MIN(IF($HA13=0,999999,IF(5=$HB13,IF(106=$HJ13,IF($JC13=2,30,0),IF(106=$HK13,IF($JC13=1,30,0),ABS(10-$HC13)*100)),100000+ABS(5-$HB13)*1000+100)),IF($HD13=0,999999,IF(5=$HE13,IF(106=$HL13,IF($JD13=2,30,0),IF(106=$HM13,IF($JD13=1,30,0),ABS(10-$HF13)*100)),100000+ABS(5-$HE13)*1000+100)),IF($HG13=0,999999,IF(5=$HH13,IF(106=$HN13,IF($JE13=2,30,0),IF(106=$HO13,IF($JE13=1,30,0),ABS(10-$HI13)*100)),100000+ABS(5-$HH13)*1000+100)))-IF((106=$HJ13)+(106=$HK13)+(106=$HL13)+(106=$HM13)+(106=$HN13)+(106=$HO13)&gt;=2,50,0))+DE$5*50)</f>
        <v/>
      </c>
      <c r="DF133">
        <f>IF(OR($JF13=0,calcA!$A$6=0),0,IF(OR(107=$HA13,107=$HD13,107=$HG13),200000,MIN(IF($HA13=0,999999,IF(5=$HB13,IF(107=$HJ13,IF($JC13=2,30,0),IF(107=$HK13,IF($JC13=1,30,0),ABS(11-$HC13)*100)),100000+ABS(5-$HB13)*1000+110)),IF($HD13=0,999999,IF(5=$HE13,IF(107=$HL13,IF($JD13=2,30,0),IF(107=$HM13,IF($JD13=1,30,0),ABS(11-$HF13)*100)),100000+ABS(5-$HE13)*1000+110)),IF($HG13=0,999999,IF(5=$HH13,IF(107=$HN13,IF($JE13=2,30,0),IF(107=$HO13,IF($JE13=1,30,0),ABS(11-$HI13)*100)),100000+ABS(5-$HH13)*1000+110)))-IF((107=$HJ13)+(107=$HK13)+(107=$HL13)+(107=$HM13)+(107=$HN13)+(107=$HO13)&gt;=2,50,0))+DF$5*50)</f>
        <v/>
      </c>
      <c r="DG133">
        <f>IF(OR($JF13=0,calcA!$A$6=0),0,IF(OR(108=$HA13,108=$HD13,108=$HG13),200000,MIN(IF($HA13=0,999999,IF(5=$HB13,IF(108=$HJ13,IF($JC13=2,30,0),IF(108=$HK13,IF($JC13=1,30,0),ABS(12-$HC13)*100)),100000+ABS(5-$HB13)*1000+120)),IF($HD13=0,999999,IF(5=$HE13,IF(108=$HL13,IF($JD13=2,30,0),IF(108=$HM13,IF($JD13=1,30,0),ABS(12-$HF13)*100)),100000+ABS(5-$HE13)*1000+120)),IF($HG13=0,999999,IF(5=$HH13,IF(108=$HN13,IF($JE13=2,30,0),IF(108=$HO13,IF($JE13=1,30,0),ABS(12-$HI13)*100)),100000+ABS(5-$HH13)*1000+120)))-IF((108=$HJ13)+(108=$HK13)+(108=$HL13)+(108=$HM13)+(108=$HN13)+(108=$HO13)&gt;=2,50,0))+DG$5*50)</f>
        <v/>
      </c>
      <c r="DH133">
        <f>IF(OR($JF13=0,calcA!$A$6=0),0,IF(OR(109=$HA13,109=$HD13,109=$HG13),200000,MIN(IF($HA13=0,999999,IF(5=$HB13,IF(109=$HJ13,IF($JC13=2,30,0),IF(109=$HK13,IF($JC13=1,30,0),ABS(13-$HC13)*100)),100000+ABS(5-$HB13)*1000+130)),IF($HD13=0,999999,IF(5=$HE13,IF(109=$HL13,IF($JD13=2,30,0),IF(109=$HM13,IF($JD13=1,30,0),ABS(13-$HF13)*100)),100000+ABS(5-$HE13)*1000+130)),IF($HG13=0,999999,IF(5=$HH13,IF(109=$HN13,IF($JE13=2,30,0),IF(109=$HO13,IF($JE13=1,30,0),ABS(13-$HI13)*100)),100000+ABS(5-$HH13)*1000+130)))-IF((109=$HJ13)+(109=$HK13)+(109=$HL13)+(109=$HM13)+(109=$HN13)+(109=$HO13)&gt;=2,50,0))+DH$5*50)</f>
        <v/>
      </c>
      <c r="DI133">
        <f>IF(OR($JF13=0,calcA!$A$6=0),0,IF(OR(110=$HA13,110=$HD13,110=$HG13),200000,MIN(IF($HA13=0,999999,IF(5=$HB13,IF(110=$HJ13,IF($JC13=2,30,0),IF(110=$HK13,IF($JC13=1,30,0),ABS(14-$HC13)*100)),100000+ABS(5-$HB13)*1000+140)),IF($HD13=0,999999,IF(5=$HE13,IF(110=$HL13,IF($JD13=2,30,0),IF(110=$HM13,IF($JD13=1,30,0),ABS(14-$HF13)*100)),100000+ABS(5-$HE13)*1000+140)),IF($HG13=0,999999,IF(5=$HH13,IF(110=$HN13,IF($JE13=2,30,0),IF(110=$HO13,IF($JE13=1,30,0),ABS(14-$HI13)*100)),100000+ABS(5-$HH13)*1000+140)))-IF((110=$HJ13)+(110=$HK13)+(110=$HL13)+(110=$HM13)+(110=$HN13)+(110=$HO13)&gt;=2,50,0))+DI$5*50)</f>
        <v/>
      </c>
      <c r="DJ133">
        <f>IF(OR($JF13=0,calcA!$A$6=0),0,IF(OR(111=$HA13,111=$HD13,111=$HG13),200000,MIN(IF($HA13=0,999999,IF(5=$HB13,IF(111=$HJ13,IF($JC13=2,30,0),IF(111=$HK13,IF($JC13=1,30,0),ABS(15-$HC13)*100)),100000+ABS(5-$HB13)*1000+150)),IF($HD13=0,999999,IF(5=$HE13,IF(111=$HL13,IF($JD13=2,30,0),IF(111=$HM13,IF($JD13=1,30,0),ABS(15-$HF13)*100)),100000+ABS(5-$HE13)*1000+150)),IF($HG13=0,999999,IF(5=$HH13,IF(111=$HN13,IF($JE13=2,30,0),IF(111=$HO13,IF($JE13=1,30,0),ABS(15-$HI13)*100)),100000+ABS(5-$HH13)*1000+150)))-IF((111=$HJ13)+(111=$HK13)+(111=$HL13)+(111=$HM13)+(111=$HN13)+(111=$HO13)&gt;=2,50,0))+DJ$5*50)</f>
        <v/>
      </c>
      <c r="DK133">
        <f>IF(OR($JF13=0,calcA!$A$6=0),0,IF(OR(112=$HA13,112=$HD13,112=$HG13),200000,MIN(IF($HA13=0,999999,IF(5=$HB13,IF(112=$HJ13,IF($JC13=2,30,0),IF(112=$HK13,IF($JC13=1,30,0),ABS(16-$HC13)*100)),100000+ABS(5-$HB13)*1000+160)),IF($HD13=0,999999,IF(5=$HE13,IF(112=$HL13,IF($JD13=2,30,0),IF(112=$HM13,IF($JD13=1,30,0),ABS(16-$HF13)*100)),100000+ABS(5-$HE13)*1000+160)),IF($HG13=0,999999,IF(5=$HH13,IF(112=$HN13,IF($JE13=2,30,0),IF(112=$HO13,IF($JE13=1,30,0),ABS(16-$HI13)*100)),100000+ABS(5-$HH13)*1000+160)))-IF((112=$HJ13)+(112=$HK13)+(112=$HL13)+(112=$HM13)+(112=$HN13)+(112=$HO13)&gt;=2,50,0))+DK$5*50)</f>
        <v/>
      </c>
      <c r="DL133">
        <f>IF(OR($JF13=0,calcA!$A$6=0),0,IF(OR(113=$HA13,113=$HD13,113=$HG13),200000,MIN(IF($HA13=0,999999,IF(5=$HB13,IF(113=$HJ13,IF($JC13=2,30,0),IF(113=$HK13,IF($JC13=1,30,0),ABS(17-$HC13)*100)),100000+ABS(5-$HB13)*1000+170)),IF($HD13=0,999999,IF(5=$HE13,IF(113=$HL13,IF($JD13=2,30,0),IF(113=$HM13,IF($JD13=1,30,0),ABS(17-$HF13)*100)),100000+ABS(5-$HE13)*1000+170)),IF($HG13=0,999999,IF(5=$HH13,IF(113=$HN13,IF($JE13=2,30,0),IF(113=$HO13,IF($JE13=1,30,0),ABS(17-$HI13)*100)),100000+ABS(5-$HH13)*1000+170)))-IF((113=$HJ13)+(113=$HK13)+(113=$HL13)+(113=$HM13)+(113=$HN13)+(113=$HO13)&gt;=2,50,0))+DL$5*50)</f>
        <v/>
      </c>
      <c r="DM133">
        <f>IF(OR($JF13=0,calcA!$A$6=0),0,IF(OR(114=$HA13,114=$HD13,114=$HG13),200000,MIN(IF($HA13=0,999999,IF(5=$HB13,IF(114=$HJ13,IF($JC13=2,30,0),IF(114=$HK13,IF($JC13=1,30,0),ABS(18-$HC13)*100)),100000+ABS(5-$HB13)*1000+180)),IF($HD13=0,999999,IF(5=$HE13,IF(114=$HL13,IF($JD13=2,30,0),IF(114=$HM13,IF($JD13=1,30,0),ABS(18-$HF13)*100)),100000+ABS(5-$HE13)*1000+180)),IF($HG13=0,999999,IF(5=$HH13,IF(114=$HN13,IF($JE13=2,30,0),IF(114=$HO13,IF($JE13=1,30,0),ABS(18-$HI13)*100)),100000+ABS(5-$HH13)*1000+180)))-IF((114=$HJ13)+(114=$HK13)+(114=$HL13)+(114=$HM13)+(114=$HN13)+(114=$HO13)&gt;=2,50,0))+DM$5*50)</f>
        <v/>
      </c>
      <c r="DN133">
        <f>IF(OR($JF13=0,calcA!$A$6=0),0,IF(OR(115=$HA13,115=$HD13,115=$HG13),200000,MIN(IF($HA13=0,999999,IF(5=$HB13,IF(115=$HJ13,IF($JC13=2,30,0),IF(115=$HK13,IF($JC13=1,30,0),ABS(19-$HC13)*100)),100000+ABS(5-$HB13)*1000+190)),IF($HD13=0,999999,IF(5=$HE13,IF(115=$HL13,IF($JD13=2,30,0),IF(115=$HM13,IF($JD13=1,30,0),ABS(19-$HF13)*100)),100000+ABS(5-$HE13)*1000+190)),IF($HG13=0,999999,IF(5=$HH13,IF(115=$HN13,IF($JE13=2,30,0),IF(115=$HO13,IF($JE13=1,30,0),ABS(19-$HI13)*100)),100000+ABS(5-$HH13)*1000+190)))-IF((115=$HJ13)+(115=$HK13)+(115=$HL13)+(115=$HM13)+(115=$HN13)+(115=$HO13)&gt;=2,50,0))+DN$5*50)</f>
        <v/>
      </c>
      <c r="DO133">
        <f>IF(OR($JF13=0,calcA!$A$6=0),0,IF(OR(116=$HA13,116=$HD13,116=$HG13),200000,MIN(IF($HA13=0,999999,IF(5=$HB13,IF(116=$HJ13,IF($JC13=2,30,0),IF(116=$HK13,IF($JC13=1,30,0),ABS(20-$HC13)*100)),100000+ABS(5-$HB13)*1000+200)),IF($HD13=0,999999,IF(5=$HE13,IF(116=$HL13,IF($JD13=2,30,0),IF(116=$HM13,IF($JD13=1,30,0),ABS(20-$HF13)*100)),100000+ABS(5-$HE13)*1000+200)),IF($HG13=0,999999,IF(5=$HH13,IF(116=$HN13,IF($JE13=2,30,0),IF(116=$HO13,IF($JE13=1,30,0),ABS(20-$HI13)*100)),100000+ABS(5-$HH13)*1000+200)))-IF((116=$HJ13)+(116=$HK13)+(116=$HL13)+(116=$HM13)+(116=$HN13)+(116=$HO13)&gt;=2,50,0))+DO$5*50)</f>
        <v/>
      </c>
      <c r="DP133">
        <f>IF(OR($JF13=0,calcA!$A$6=0),0,IF(OR(117=$HA13,117=$HD13,117=$HG13),200000,MIN(IF($HA13=0,999999,IF(5=$HB13,IF(117=$HJ13,IF($JC13=2,30,0),IF(117=$HK13,IF($JC13=1,30,0),ABS(21-$HC13)*100)),100000+ABS(5-$HB13)*1000+210)),IF($HD13=0,999999,IF(5=$HE13,IF(117=$HL13,IF($JD13=2,30,0),IF(117=$HM13,IF($JD13=1,30,0),ABS(21-$HF13)*100)),100000+ABS(5-$HE13)*1000+210)),IF($HG13=0,999999,IF(5=$HH13,IF(117=$HN13,IF($JE13=2,30,0),IF(117=$HO13,IF($JE13=1,30,0),ABS(21-$HI13)*100)),100000+ABS(5-$HH13)*1000+210)))-IF((117=$HJ13)+(117=$HK13)+(117=$HL13)+(117=$HM13)+(117=$HN13)+(117=$HO13)&gt;=2,50,0))+DP$5*50)</f>
        <v/>
      </c>
      <c r="DQ133">
        <f>IF(OR($JF13=0,calcA!$A$6=0),0,IF(OR(118=$HA13,118=$HD13,118=$HG13),200000,MIN(IF($HA13=0,999999,IF(5=$HB13,IF(118=$HJ13,IF($JC13=2,30,0),IF(118=$HK13,IF($JC13=1,30,0),ABS(22-$HC13)*100)),100000+ABS(5-$HB13)*1000+220)),IF($HD13=0,999999,IF(5=$HE13,IF(118=$HL13,IF($JD13=2,30,0),IF(118=$HM13,IF($JD13=1,30,0),ABS(22-$HF13)*100)),100000+ABS(5-$HE13)*1000+220)),IF($HG13=0,999999,IF(5=$HH13,IF(118=$HN13,IF($JE13=2,30,0),IF(118=$HO13,IF($JE13=1,30,0),ABS(22-$HI13)*100)),100000+ABS(5-$HH13)*1000+220)))-IF((118=$HJ13)+(118=$HK13)+(118=$HL13)+(118=$HM13)+(118=$HN13)+(118=$HO13)&gt;=2,50,0))+DQ$5*50)</f>
        <v/>
      </c>
      <c r="DR133">
        <f>IF(OR($JF13=0,calcA!$A$6=0),0,IF(OR(119=$HA13,119=$HD13,119=$HG13),200000,MIN(IF($HA13=0,999999,IF(5=$HB13,IF(119=$HJ13,IF($JC13=2,30,0),IF(119=$HK13,IF($JC13=1,30,0),ABS(23-$HC13)*100)),100000+ABS(5-$HB13)*1000+230)),IF($HD13=0,999999,IF(5=$HE13,IF(119=$HL13,IF($JD13=2,30,0),IF(119=$HM13,IF($JD13=1,30,0),ABS(23-$HF13)*100)),100000+ABS(5-$HE13)*1000+230)),IF($HG13=0,999999,IF(5=$HH13,IF(119=$HN13,IF($JE13=2,30,0),IF(119=$HO13,IF($JE13=1,30,0),ABS(23-$HI13)*100)),100000+ABS(5-$HH13)*1000+230)))-IF((119=$HJ13)+(119=$HK13)+(119=$HL13)+(119=$HM13)+(119=$HN13)+(119=$HO13)&gt;=2,50,0))+DR$5*50)</f>
        <v/>
      </c>
      <c r="DS133">
        <f>IF(OR($JF13=0,calcA!$A$6=0),0,IF(OR(120=$HA13,120=$HD13,120=$HG13),200000,MIN(IF($HA13=0,999999,IF(5=$HB13,IF(120=$HJ13,IF($JC13=2,30,0),IF(120=$HK13,IF($JC13=1,30,0),ABS(24-$HC13)*100)),100000+ABS(5-$HB13)*1000+240)),IF($HD13=0,999999,IF(5=$HE13,IF(120=$HL13,IF($JD13=2,30,0),IF(120=$HM13,IF($JD13=1,30,0),ABS(24-$HF13)*100)),100000+ABS(5-$HE13)*1000+240)),IF($HG13=0,999999,IF(5=$HH13,IF(120=$HN13,IF($JE13=2,30,0),IF(120=$HO13,IF($JE13=1,30,0),ABS(24-$HI13)*100)),100000+ABS(5-$HH13)*1000+240)))-IF((120=$HJ13)+(120=$HK13)+(120=$HL13)+(120=$HM13)+(120=$HN13)+(120=$HO13)&gt;=2,50,0))+DS$5*50)</f>
        <v/>
      </c>
      <c r="DT133">
        <f>IF(OR($JF13=0,calcA!$A$6=0),0,IF(OR(121=$HA13,121=$HD13,121=$HG13),200000,MIN(IF($HA13=0,999999,IF(6=$HB13,IF(121=$HJ13,IF($JC13=2,30,0),IF(121=$HK13,IF($JC13=1,30,0),ABS(1-$HC13)*100)),100000+ABS(6-$HB13)*1000+10)),IF($HD13=0,999999,IF(6=$HE13,IF(121=$HL13,IF($JD13=2,30,0),IF(121=$HM13,IF($JD13=1,30,0),ABS(1-$HF13)*100)),100000+ABS(6-$HE13)*1000+10)),IF($HG13=0,999999,IF(6=$HH13,IF(121=$HN13,IF($JE13=2,30,0),IF(121=$HO13,IF($JE13=1,30,0),ABS(1-$HI13)*100)),100000+ABS(6-$HH13)*1000+10)))-IF((121=$HJ13)+(121=$HK13)+(121=$HL13)+(121=$HM13)+(121=$HN13)+(121=$HO13)&gt;=2,50,0))+DT$5*50)</f>
        <v/>
      </c>
      <c r="DU133">
        <f>IF(OR($JF13=0,calcA!$A$6=0),0,IF(OR(122=$HA13,122=$HD13,122=$HG13),200000,MIN(IF($HA13=0,999999,IF(6=$HB13,IF(122=$HJ13,IF($JC13=2,30,0),IF(122=$HK13,IF($JC13=1,30,0),ABS(2-$HC13)*100)),100000+ABS(6-$HB13)*1000+20)),IF($HD13=0,999999,IF(6=$HE13,IF(122=$HL13,IF($JD13=2,30,0),IF(122=$HM13,IF($JD13=1,30,0),ABS(2-$HF13)*100)),100000+ABS(6-$HE13)*1000+20)),IF($HG13=0,999999,IF(6=$HH13,IF(122=$HN13,IF($JE13=2,30,0),IF(122=$HO13,IF($JE13=1,30,0),ABS(2-$HI13)*100)),100000+ABS(6-$HH13)*1000+20)))-IF((122=$HJ13)+(122=$HK13)+(122=$HL13)+(122=$HM13)+(122=$HN13)+(122=$HO13)&gt;=2,50,0))+DU$5*50)</f>
        <v/>
      </c>
      <c r="DV133">
        <f>IF(OR($JF13=0,calcA!$A$6=0),0,IF(OR(123=$HA13,123=$HD13,123=$HG13),200000,MIN(IF($HA13=0,999999,IF(6=$HB13,IF(123=$HJ13,IF($JC13=2,30,0),IF(123=$HK13,IF($JC13=1,30,0),ABS(3-$HC13)*100)),100000+ABS(6-$HB13)*1000+30)),IF($HD13=0,999999,IF(6=$HE13,IF(123=$HL13,IF($JD13=2,30,0),IF(123=$HM13,IF($JD13=1,30,0),ABS(3-$HF13)*100)),100000+ABS(6-$HE13)*1000+30)),IF($HG13=0,999999,IF(6=$HH13,IF(123=$HN13,IF($JE13=2,30,0),IF(123=$HO13,IF($JE13=1,30,0),ABS(3-$HI13)*100)),100000+ABS(6-$HH13)*1000+30)))-IF((123=$HJ13)+(123=$HK13)+(123=$HL13)+(123=$HM13)+(123=$HN13)+(123=$HO13)&gt;=2,50,0))+DV$5*50)</f>
        <v/>
      </c>
      <c r="DW133">
        <f>IF(OR($JF13=0,calcA!$A$6=0),0,IF(OR(124=$HA13,124=$HD13,124=$HG13),200000,MIN(IF($HA13=0,999999,IF(6=$HB13,IF(124=$HJ13,IF($JC13=2,30,0),IF(124=$HK13,IF($JC13=1,30,0),ABS(4-$HC13)*100)),100000+ABS(6-$HB13)*1000+40)),IF($HD13=0,999999,IF(6=$HE13,IF(124=$HL13,IF($JD13=2,30,0),IF(124=$HM13,IF($JD13=1,30,0),ABS(4-$HF13)*100)),100000+ABS(6-$HE13)*1000+40)),IF($HG13=0,999999,IF(6=$HH13,IF(124=$HN13,IF($JE13=2,30,0),IF(124=$HO13,IF($JE13=1,30,0),ABS(4-$HI13)*100)),100000+ABS(6-$HH13)*1000+40)))-IF((124=$HJ13)+(124=$HK13)+(124=$HL13)+(124=$HM13)+(124=$HN13)+(124=$HO13)&gt;=2,50,0))+DW$5*50)</f>
        <v/>
      </c>
      <c r="DX133">
        <f>IF(OR($JF13=0,calcA!$A$6=0),0,IF(OR(125=$HA13,125=$HD13,125=$HG13),200000,MIN(IF($HA13=0,999999,IF(6=$HB13,IF(125=$HJ13,IF($JC13=2,30,0),IF(125=$HK13,IF($JC13=1,30,0),ABS(5-$HC13)*100)),100000+ABS(6-$HB13)*1000+50)),IF($HD13=0,999999,IF(6=$HE13,IF(125=$HL13,IF($JD13=2,30,0),IF(125=$HM13,IF($JD13=1,30,0),ABS(5-$HF13)*100)),100000+ABS(6-$HE13)*1000+50)),IF($HG13=0,999999,IF(6=$HH13,IF(125=$HN13,IF($JE13=2,30,0),IF(125=$HO13,IF($JE13=1,30,0),ABS(5-$HI13)*100)),100000+ABS(6-$HH13)*1000+50)))-IF((125=$HJ13)+(125=$HK13)+(125=$HL13)+(125=$HM13)+(125=$HN13)+(125=$HO13)&gt;=2,50,0))+DX$5*50)</f>
        <v/>
      </c>
      <c r="DY133">
        <f>IF(OR($JF13=0,calcA!$A$6=0),0,IF(OR(126=$HA13,126=$HD13,126=$HG13),200000,MIN(IF($HA13=0,999999,IF(6=$HB13,IF(126=$HJ13,IF($JC13=2,30,0),IF(126=$HK13,IF($JC13=1,30,0),ABS(6-$HC13)*100)),100000+ABS(6-$HB13)*1000+60)),IF($HD13=0,999999,IF(6=$HE13,IF(126=$HL13,IF($JD13=2,30,0),IF(126=$HM13,IF($JD13=1,30,0),ABS(6-$HF13)*100)),100000+ABS(6-$HE13)*1000+60)),IF($HG13=0,999999,IF(6=$HH13,IF(126=$HN13,IF($JE13=2,30,0),IF(126=$HO13,IF($JE13=1,30,0),ABS(6-$HI13)*100)),100000+ABS(6-$HH13)*1000+60)))-IF((126=$HJ13)+(126=$HK13)+(126=$HL13)+(126=$HM13)+(126=$HN13)+(126=$HO13)&gt;=2,50,0))+DY$5*50)</f>
        <v/>
      </c>
      <c r="DZ133">
        <f>IF(OR($JF13=0,calcA!$A$6=0),0,IF(OR(127=$HA13,127=$HD13,127=$HG13),200000,MIN(IF($HA13=0,999999,IF(6=$HB13,IF(127=$HJ13,IF($JC13=2,30,0),IF(127=$HK13,IF($JC13=1,30,0),ABS(7-$HC13)*100)),100000+ABS(6-$HB13)*1000+70)),IF($HD13=0,999999,IF(6=$HE13,IF(127=$HL13,IF($JD13=2,30,0),IF(127=$HM13,IF($JD13=1,30,0),ABS(7-$HF13)*100)),100000+ABS(6-$HE13)*1000+70)),IF($HG13=0,999999,IF(6=$HH13,IF(127=$HN13,IF($JE13=2,30,0),IF(127=$HO13,IF($JE13=1,30,0),ABS(7-$HI13)*100)),100000+ABS(6-$HH13)*1000+70)))-IF((127=$HJ13)+(127=$HK13)+(127=$HL13)+(127=$HM13)+(127=$HN13)+(127=$HO13)&gt;=2,50,0))+DZ$5*50)</f>
        <v/>
      </c>
      <c r="EA133">
        <f>IF(OR($JF13=0,calcA!$A$6=0),0,IF(OR(128=$HA13,128=$HD13,128=$HG13),200000,MIN(IF($HA13=0,999999,IF(6=$HB13,IF(128=$HJ13,IF($JC13=2,30,0),IF(128=$HK13,IF($JC13=1,30,0),ABS(8-$HC13)*100)),100000+ABS(6-$HB13)*1000+80)),IF($HD13=0,999999,IF(6=$HE13,IF(128=$HL13,IF($JD13=2,30,0),IF(128=$HM13,IF($JD13=1,30,0),ABS(8-$HF13)*100)),100000+ABS(6-$HE13)*1000+80)),IF($HG13=0,999999,IF(6=$HH13,IF(128=$HN13,IF($JE13=2,30,0),IF(128=$HO13,IF($JE13=1,30,0),ABS(8-$HI13)*100)),100000+ABS(6-$HH13)*1000+80)))-IF((128=$HJ13)+(128=$HK13)+(128=$HL13)+(128=$HM13)+(128=$HN13)+(128=$HO13)&gt;=2,50,0))+EA$5*50)</f>
        <v/>
      </c>
      <c r="EB133">
        <f>IF(OR($JF13=0,calcA!$A$6=0),0,IF(OR(129=$HA13,129=$HD13,129=$HG13),200000,MIN(IF($HA13=0,999999,IF(6=$HB13,IF(129=$HJ13,IF($JC13=2,30,0),IF(129=$HK13,IF($JC13=1,30,0),ABS(9-$HC13)*100)),100000+ABS(6-$HB13)*1000+90)),IF($HD13=0,999999,IF(6=$HE13,IF(129=$HL13,IF($JD13=2,30,0),IF(129=$HM13,IF($JD13=1,30,0),ABS(9-$HF13)*100)),100000+ABS(6-$HE13)*1000+90)),IF($HG13=0,999999,IF(6=$HH13,IF(129=$HN13,IF($JE13=2,30,0),IF(129=$HO13,IF($JE13=1,30,0),ABS(9-$HI13)*100)),100000+ABS(6-$HH13)*1000+90)))-IF((129=$HJ13)+(129=$HK13)+(129=$HL13)+(129=$HM13)+(129=$HN13)+(129=$HO13)&gt;=2,50,0))+EB$5*50)</f>
        <v/>
      </c>
      <c r="EC133">
        <f>IF(OR($JF13=0,calcA!$A$6=0),0,IF(OR(130=$HA13,130=$HD13,130=$HG13),200000,MIN(IF($HA13=0,999999,IF(6=$HB13,IF(130=$HJ13,IF($JC13=2,30,0),IF(130=$HK13,IF($JC13=1,30,0),ABS(10-$HC13)*100)),100000+ABS(6-$HB13)*1000+100)),IF($HD13=0,999999,IF(6=$HE13,IF(130=$HL13,IF($JD13=2,30,0),IF(130=$HM13,IF($JD13=1,30,0),ABS(10-$HF13)*100)),100000+ABS(6-$HE13)*1000+100)),IF($HG13=0,999999,IF(6=$HH13,IF(130=$HN13,IF($JE13=2,30,0),IF(130=$HO13,IF($JE13=1,30,0),ABS(10-$HI13)*100)),100000+ABS(6-$HH13)*1000+100)))-IF((130=$HJ13)+(130=$HK13)+(130=$HL13)+(130=$HM13)+(130=$HN13)+(130=$HO13)&gt;=2,50,0))+EC$5*50)</f>
        <v/>
      </c>
      <c r="ED133">
        <f>IF(OR($JF13=0,calcA!$A$6=0),0,IF(OR(131=$HA13,131=$HD13,131=$HG13),200000,MIN(IF($HA13=0,999999,IF(6=$HB13,IF(131=$HJ13,IF($JC13=2,30,0),IF(131=$HK13,IF($JC13=1,30,0),ABS(11-$HC13)*100)),100000+ABS(6-$HB13)*1000+110)),IF($HD13=0,999999,IF(6=$HE13,IF(131=$HL13,IF($JD13=2,30,0),IF(131=$HM13,IF($JD13=1,30,0),ABS(11-$HF13)*100)),100000+ABS(6-$HE13)*1000+110)),IF($HG13=0,999999,IF(6=$HH13,IF(131=$HN13,IF($JE13=2,30,0),IF(131=$HO13,IF($JE13=1,30,0),ABS(11-$HI13)*100)),100000+ABS(6-$HH13)*1000+110)))-IF((131=$HJ13)+(131=$HK13)+(131=$HL13)+(131=$HM13)+(131=$HN13)+(131=$HO13)&gt;=2,50,0))+ED$5*50)</f>
        <v/>
      </c>
      <c r="EE133">
        <f>IF(OR($JF13=0,calcA!$A$6=0),0,IF(OR(132=$HA13,132=$HD13,132=$HG13),200000,MIN(IF($HA13=0,999999,IF(6=$HB13,IF(132=$HJ13,IF($JC13=2,30,0),IF(132=$HK13,IF($JC13=1,30,0),ABS(12-$HC13)*100)),100000+ABS(6-$HB13)*1000+120)),IF($HD13=0,999999,IF(6=$HE13,IF(132=$HL13,IF($JD13=2,30,0),IF(132=$HM13,IF($JD13=1,30,0),ABS(12-$HF13)*100)),100000+ABS(6-$HE13)*1000+120)),IF($HG13=0,999999,IF(6=$HH13,IF(132=$HN13,IF($JE13=2,30,0),IF(132=$HO13,IF($JE13=1,30,0),ABS(12-$HI13)*100)),100000+ABS(6-$HH13)*1000+120)))-IF((132=$HJ13)+(132=$HK13)+(132=$HL13)+(132=$HM13)+(132=$HN13)+(132=$HO13)&gt;=2,50,0))+EE$5*50)</f>
        <v/>
      </c>
      <c r="EF133">
        <f>IF(OR($JF13=0,calcA!$A$6=0),0,IF(OR(133=$HA13,133=$HD13,133=$HG13),200000,MIN(IF($HA13=0,999999,IF(6=$HB13,IF(133=$HJ13,IF($JC13=2,30,0),IF(133=$HK13,IF($JC13=1,30,0),ABS(13-$HC13)*100)),100000+ABS(6-$HB13)*1000+130)),IF($HD13=0,999999,IF(6=$HE13,IF(133=$HL13,IF($JD13=2,30,0),IF(133=$HM13,IF($JD13=1,30,0),ABS(13-$HF13)*100)),100000+ABS(6-$HE13)*1000+130)),IF($HG13=0,999999,IF(6=$HH13,IF(133=$HN13,IF($JE13=2,30,0),IF(133=$HO13,IF($JE13=1,30,0),ABS(13-$HI13)*100)),100000+ABS(6-$HH13)*1000+130)))-IF((133=$HJ13)+(133=$HK13)+(133=$HL13)+(133=$HM13)+(133=$HN13)+(133=$HO13)&gt;=2,50,0))+EF$5*50)</f>
        <v/>
      </c>
      <c r="EG133">
        <f>IF(OR($JF13=0,calcA!$A$6=0),0,IF(OR(134=$HA13,134=$HD13,134=$HG13),200000,MIN(IF($HA13=0,999999,IF(6=$HB13,IF(134=$HJ13,IF($JC13=2,30,0),IF(134=$HK13,IF($JC13=1,30,0),ABS(14-$HC13)*100)),100000+ABS(6-$HB13)*1000+140)),IF($HD13=0,999999,IF(6=$HE13,IF(134=$HL13,IF($JD13=2,30,0),IF(134=$HM13,IF($JD13=1,30,0),ABS(14-$HF13)*100)),100000+ABS(6-$HE13)*1000+140)),IF($HG13=0,999999,IF(6=$HH13,IF(134=$HN13,IF($JE13=2,30,0),IF(134=$HO13,IF($JE13=1,30,0),ABS(14-$HI13)*100)),100000+ABS(6-$HH13)*1000+140)))-IF((134=$HJ13)+(134=$HK13)+(134=$HL13)+(134=$HM13)+(134=$HN13)+(134=$HO13)&gt;=2,50,0))+EG$5*50)</f>
        <v/>
      </c>
      <c r="EH133">
        <f>IF(OR($JF13=0,calcA!$A$6=0),0,IF(OR(135=$HA13,135=$HD13,135=$HG13),200000,MIN(IF($HA13=0,999999,IF(6=$HB13,IF(135=$HJ13,IF($JC13=2,30,0),IF(135=$HK13,IF($JC13=1,30,0),ABS(15-$HC13)*100)),100000+ABS(6-$HB13)*1000+150)),IF($HD13=0,999999,IF(6=$HE13,IF(135=$HL13,IF($JD13=2,30,0),IF(135=$HM13,IF($JD13=1,30,0),ABS(15-$HF13)*100)),100000+ABS(6-$HE13)*1000+150)),IF($HG13=0,999999,IF(6=$HH13,IF(135=$HN13,IF($JE13=2,30,0),IF(135=$HO13,IF($JE13=1,30,0),ABS(15-$HI13)*100)),100000+ABS(6-$HH13)*1000+150)))-IF((135=$HJ13)+(135=$HK13)+(135=$HL13)+(135=$HM13)+(135=$HN13)+(135=$HO13)&gt;=2,50,0))+EH$5*50)</f>
        <v/>
      </c>
      <c r="EI133">
        <f>IF(OR($JF13=0,calcA!$A$6=0),0,IF(OR(136=$HA13,136=$HD13,136=$HG13),200000,MIN(IF($HA13=0,999999,IF(6=$HB13,IF(136=$HJ13,IF($JC13=2,30,0),IF(136=$HK13,IF($JC13=1,30,0),ABS(16-$HC13)*100)),100000+ABS(6-$HB13)*1000+160)),IF($HD13=0,999999,IF(6=$HE13,IF(136=$HL13,IF($JD13=2,30,0),IF(136=$HM13,IF($JD13=1,30,0),ABS(16-$HF13)*100)),100000+ABS(6-$HE13)*1000+160)),IF($HG13=0,999999,IF(6=$HH13,IF(136=$HN13,IF($JE13=2,30,0),IF(136=$HO13,IF($JE13=1,30,0),ABS(16-$HI13)*100)),100000+ABS(6-$HH13)*1000+160)))-IF((136=$HJ13)+(136=$HK13)+(136=$HL13)+(136=$HM13)+(136=$HN13)+(136=$HO13)&gt;=2,50,0))+EI$5*50)</f>
        <v/>
      </c>
      <c r="EJ133">
        <f>IF(OR($JF13=0,calcA!$A$6=0),0,IF(OR(137=$HA13,137=$HD13,137=$HG13),200000,MIN(IF($HA13=0,999999,IF(6=$HB13,IF(137=$HJ13,IF($JC13=2,30,0),IF(137=$HK13,IF($JC13=1,30,0),ABS(17-$HC13)*100)),100000+ABS(6-$HB13)*1000+170)),IF($HD13=0,999999,IF(6=$HE13,IF(137=$HL13,IF($JD13=2,30,0),IF(137=$HM13,IF($JD13=1,30,0),ABS(17-$HF13)*100)),100000+ABS(6-$HE13)*1000+170)),IF($HG13=0,999999,IF(6=$HH13,IF(137=$HN13,IF($JE13=2,30,0),IF(137=$HO13,IF($JE13=1,30,0),ABS(17-$HI13)*100)),100000+ABS(6-$HH13)*1000+170)))-IF((137=$HJ13)+(137=$HK13)+(137=$HL13)+(137=$HM13)+(137=$HN13)+(137=$HO13)&gt;=2,50,0))+EJ$5*50)</f>
        <v/>
      </c>
      <c r="EK133">
        <f>IF(OR($JF13=0,calcA!$A$6=0),0,IF(OR(138=$HA13,138=$HD13,138=$HG13),200000,MIN(IF($HA13=0,999999,IF(6=$HB13,IF(138=$HJ13,IF($JC13=2,30,0),IF(138=$HK13,IF($JC13=1,30,0),ABS(18-$HC13)*100)),100000+ABS(6-$HB13)*1000+180)),IF($HD13=0,999999,IF(6=$HE13,IF(138=$HL13,IF($JD13=2,30,0),IF(138=$HM13,IF($JD13=1,30,0),ABS(18-$HF13)*100)),100000+ABS(6-$HE13)*1000+180)),IF($HG13=0,999999,IF(6=$HH13,IF(138=$HN13,IF($JE13=2,30,0),IF(138=$HO13,IF($JE13=1,30,0),ABS(18-$HI13)*100)),100000+ABS(6-$HH13)*1000+180)))-IF((138=$HJ13)+(138=$HK13)+(138=$HL13)+(138=$HM13)+(138=$HN13)+(138=$HO13)&gt;=2,50,0))+EK$5*50)</f>
        <v/>
      </c>
      <c r="EL133">
        <f>IF(OR($JF13=0,calcA!$A$6=0),0,IF(OR(139=$HA13,139=$HD13,139=$HG13),200000,MIN(IF($HA13=0,999999,IF(6=$HB13,IF(139=$HJ13,IF($JC13=2,30,0),IF(139=$HK13,IF($JC13=1,30,0),ABS(19-$HC13)*100)),100000+ABS(6-$HB13)*1000+190)),IF($HD13=0,999999,IF(6=$HE13,IF(139=$HL13,IF($JD13=2,30,0),IF(139=$HM13,IF($JD13=1,30,0),ABS(19-$HF13)*100)),100000+ABS(6-$HE13)*1000+190)),IF($HG13=0,999999,IF(6=$HH13,IF(139=$HN13,IF($JE13=2,30,0),IF(139=$HO13,IF($JE13=1,30,0),ABS(19-$HI13)*100)),100000+ABS(6-$HH13)*1000+190)))-IF((139=$HJ13)+(139=$HK13)+(139=$HL13)+(139=$HM13)+(139=$HN13)+(139=$HO13)&gt;=2,50,0))+EL$5*50)</f>
        <v/>
      </c>
      <c r="EM133">
        <f>IF(OR($JF13=0,calcA!$A$6=0),0,IF(OR(140=$HA13,140=$HD13,140=$HG13),200000,MIN(IF($HA13=0,999999,IF(6=$HB13,IF(140=$HJ13,IF($JC13=2,30,0),IF(140=$HK13,IF($JC13=1,30,0),ABS(20-$HC13)*100)),100000+ABS(6-$HB13)*1000+200)),IF($HD13=0,999999,IF(6=$HE13,IF(140=$HL13,IF($JD13=2,30,0),IF(140=$HM13,IF($JD13=1,30,0),ABS(20-$HF13)*100)),100000+ABS(6-$HE13)*1000+200)),IF($HG13=0,999999,IF(6=$HH13,IF(140=$HN13,IF($JE13=2,30,0),IF(140=$HO13,IF($JE13=1,30,0),ABS(20-$HI13)*100)),100000+ABS(6-$HH13)*1000+200)))-IF((140=$HJ13)+(140=$HK13)+(140=$HL13)+(140=$HM13)+(140=$HN13)+(140=$HO13)&gt;=2,50,0))+EM$5*50)</f>
        <v/>
      </c>
      <c r="EN133">
        <f>IF(OR($JF13=0,calcA!$A$6=0),0,IF(OR(141=$HA13,141=$HD13,141=$HG13),200000,MIN(IF($HA13=0,999999,IF(6=$HB13,IF(141=$HJ13,IF($JC13=2,30,0),IF(141=$HK13,IF($JC13=1,30,0),ABS(21-$HC13)*100)),100000+ABS(6-$HB13)*1000+210)),IF($HD13=0,999999,IF(6=$HE13,IF(141=$HL13,IF($JD13=2,30,0),IF(141=$HM13,IF($JD13=1,30,0),ABS(21-$HF13)*100)),100000+ABS(6-$HE13)*1000+210)),IF($HG13=0,999999,IF(6=$HH13,IF(141=$HN13,IF($JE13=2,30,0),IF(141=$HO13,IF($JE13=1,30,0),ABS(21-$HI13)*100)),100000+ABS(6-$HH13)*1000+210)))-IF((141=$HJ13)+(141=$HK13)+(141=$HL13)+(141=$HM13)+(141=$HN13)+(141=$HO13)&gt;=2,50,0))+EN$5*50)</f>
        <v/>
      </c>
      <c r="EO133">
        <f>IF(OR($JF13=0,calcA!$A$6=0),0,IF(OR(142=$HA13,142=$HD13,142=$HG13),200000,MIN(IF($HA13=0,999999,IF(6=$HB13,IF(142=$HJ13,IF($JC13=2,30,0),IF(142=$HK13,IF($JC13=1,30,0),ABS(22-$HC13)*100)),100000+ABS(6-$HB13)*1000+220)),IF($HD13=0,999999,IF(6=$HE13,IF(142=$HL13,IF($JD13=2,30,0),IF(142=$HM13,IF($JD13=1,30,0),ABS(22-$HF13)*100)),100000+ABS(6-$HE13)*1000+220)),IF($HG13=0,999999,IF(6=$HH13,IF(142=$HN13,IF($JE13=2,30,0),IF(142=$HO13,IF($JE13=1,30,0),ABS(22-$HI13)*100)),100000+ABS(6-$HH13)*1000+220)))-IF((142=$HJ13)+(142=$HK13)+(142=$HL13)+(142=$HM13)+(142=$HN13)+(142=$HO13)&gt;=2,50,0))+EO$5*50)</f>
        <v/>
      </c>
      <c r="EP133">
        <f>IF(OR($JF13=0,calcA!$A$6=0),0,IF(OR(143=$HA13,143=$HD13,143=$HG13),200000,MIN(IF($HA13=0,999999,IF(6=$HB13,IF(143=$HJ13,IF($JC13=2,30,0),IF(143=$HK13,IF($JC13=1,30,0),ABS(23-$HC13)*100)),100000+ABS(6-$HB13)*1000+230)),IF($HD13=0,999999,IF(6=$HE13,IF(143=$HL13,IF($JD13=2,30,0),IF(143=$HM13,IF($JD13=1,30,0),ABS(23-$HF13)*100)),100000+ABS(6-$HE13)*1000+230)),IF($HG13=0,999999,IF(6=$HH13,IF(143=$HN13,IF($JE13=2,30,0),IF(143=$HO13,IF($JE13=1,30,0),ABS(23-$HI13)*100)),100000+ABS(6-$HH13)*1000+230)))-IF((143=$HJ13)+(143=$HK13)+(143=$HL13)+(143=$HM13)+(143=$HN13)+(143=$HO13)&gt;=2,50,0))+EP$5*50)</f>
        <v/>
      </c>
      <c r="EQ133">
        <f>IF(OR($JF13=0,calcA!$A$6=0),0,IF(OR(144=$HA13,144=$HD13,144=$HG13),200000,MIN(IF($HA13=0,999999,IF(6=$HB13,IF(144=$HJ13,IF($JC13=2,30,0),IF(144=$HK13,IF($JC13=1,30,0),ABS(24-$HC13)*100)),100000+ABS(6-$HB13)*1000+240)),IF($HD13=0,999999,IF(6=$HE13,IF(144=$HL13,IF($JD13=2,30,0),IF(144=$HM13,IF($JD13=1,30,0),ABS(24-$HF13)*100)),100000+ABS(6-$HE13)*1000+240)),IF($HG13=0,999999,IF(6=$HH13,IF(144=$HN13,IF($JE13=2,30,0),IF(144=$HO13,IF($JE13=1,30,0),ABS(24-$HI13)*100)),100000+ABS(6-$HH13)*1000+240)))-IF((144=$HJ13)+(144=$HK13)+(144=$HL13)+(144=$HM13)+(144=$HN13)+(144=$HO13)&gt;=2,50,0))+EQ$5*50)</f>
        <v/>
      </c>
    </row>
    <row r="134">
      <c r="D134">
        <f>IF(OR($JF14=0,calcA!$A$6=0),0,IF(OR(1=$HA14,1=$HD14,1=$HG14),200000,MIN(IF($HA14=0,999999,IF(1=$HB14,IF(1=$HJ14,IF($JC14=2,30,0),IF(1=$HK14,IF($JC14=1,30,0),ABS(1-$HC14)*100)),100000+ABS(1-$HB14)*1000+10)),IF($HD14=0,999999,IF(1=$HE14,IF(1=$HL14,IF($JD14=2,30,0),IF(1=$HM14,IF($JD14=1,30,0),ABS(1-$HF14)*100)),100000+ABS(1-$HE14)*1000+10)),IF($HG14=0,999999,IF(1=$HH14,IF(1=$HN14,IF($JE14=2,30,0),IF(1=$HO14,IF($JE14=1,30,0),ABS(1-$HI14)*100)),100000+ABS(1-$HH14)*1000+10)))-IF((1=$HJ14)+(1=$HK14)+(1=$HL14)+(1=$HM14)+(1=$HN14)+(1=$HO14)&gt;=2,50,0))+D$5*50)</f>
        <v/>
      </c>
      <c r="E134">
        <f>IF(OR($JF14=0,calcA!$A$6=0),0,IF(OR(2=$HA14,2=$HD14,2=$HG14),200000,MIN(IF($HA14=0,999999,IF(1=$HB14,IF(2=$HJ14,IF($JC14=2,30,0),IF(2=$HK14,IF($JC14=1,30,0),ABS(2-$HC14)*100)),100000+ABS(1-$HB14)*1000+20)),IF($HD14=0,999999,IF(1=$HE14,IF(2=$HL14,IF($JD14=2,30,0),IF(2=$HM14,IF($JD14=1,30,0),ABS(2-$HF14)*100)),100000+ABS(1-$HE14)*1000+20)),IF($HG14=0,999999,IF(1=$HH14,IF(2=$HN14,IF($JE14=2,30,0),IF(2=$HO14,IF($JE14=1,30,0),ABS(2-$HI14)*100)),100000+ABS(1-$HH14)*1000+20)))-IF((2=$HJ14)+(2=$HK14)+(2=$HL14)+(2=$HM14)+(2=$HN14)+(2=$HO14)&gt;=2,50,0))+E$5*50)</f>
        <v/>
      </c>
      <c r="F134">
        <f>IF(OR($JF14=0,calcA!$A$6=0),0,IF(OR(3=$HA14,3=$HD14,3=$HG14),200000,MIN(IF($HA14=0,999999,IF(1=$HB14,IF(3=$HJ14,IF($JC14=2,30,0),IF(3=$HK14,IF($JC14=1,30,0),ABS(3-$HC14)*100)),100000+ABS(1-$HB14)*1000+30)),IF($HD14=0,999999,IF(1=$HE14,IF(3=$HL14,IF($JD14=2,30,0),IF(3=$HM14,IF($JD14=1,30,0),ABS(3-$HF14)*100)),100000+ABS(1-$HE14)*1000+30)),IF($HG14=0,999999,IF(1=$HH14,IF(3=$HN14,IF($JE14=2,30,0),IF(3=$HO14,IF($JE14=1,30,0),ABS(3-$HI14)*100)),100000+ABS(1-$HH14)*1000+30)))-IF((3=$HJ14)+(3=$HK14)+(3=$HL14)+(3=$HM14)+(3=$HN14)+(3=$HO14)&gt;=2,50,0))+F$5*50)</f>
        <v/>
      </c>
      <c r="G134">
        <f>IF(OR($JF14=0,calcA!$A$6=0),0,IF(OR(4=$HA14,4=$HD14,4=$HG14),200000,MIN(IF($HA14=0,999999,IF(1=$HB14,IF(4=$HJ14,IF($JC14=2,30,0),IF(4=$HK14,IF($JC14=1,30,0),ABS(4-$HC14)*100)),100000+ABS(1-$HB14)*1000+40)),IF($HD14=0,999999,IF(1=$HE14,IF(4=$HL14,IF($JD14=2,30,0),IF(4=$HM14,IF($JD14=1,30,0),ABS(4-$HF14)*100)),100000+ABS(1-$HE14)*1000+40)),IF($HG14=0,999999,IF(1=$HH14,IF(4=$HN14,IF($JE14=2,30,0),IF(4=$HO14,IF($JE14=1,30,0),ABS(4-$HI14)*100)),100000+ABS(1-$HH14)*1000+40)))-IF((4=$HJ14)+(4=$HK14)+(4=$HL14)+(4=$HM14)+(4=$HN14)+(4=$HO14)&gt;=2,50,0))+G$5*50)</f>
        <v/>
      </c>
      <c r="H134">
        <f>IF(OR($JF14=0,calcA!$A$6=0),0,IF(OR(5=$HA14,5=$HD14,5=$HG14),200000,MIN(IF($HA14=0,999999,IF(1=$HB14,IF(5=$HJ14,IF($JC14=2,30,0),IF(5=$HK14,IF($JC14=1,30,0),ABS(5-$HC14)*100)),100000+ABS(1-$HB14)*1000+50)),IF($HD14=0,999999,IF(1=$HE14,IF(5=$HL14,IF($JD14=2,30,0),IF(5=$HM14,IF($JD14=1,30,0),ABS(5-$HF14)*100)),100000+ABS(1-$HE14)*1000+50)),IF($HG14=0,999999,IF(1=$HH14,IF(5=$HN14,IF($JE14=2,30,0),IF(5=$HO14,IF($JE14=1,30,0),ABS(5-$HI14)*100)),100000+ABS(1-$HH14)*1000+50)))-IF((5=$HJ14)+(5=$HK14)+(5=$HL14)+(5=$HM14)+(5=$HN14)+(5=$HO14)&gt;=2,50,0))+H$5*50)</f>
        <v/>
      </c>
      <c r="I134">
        <f>IF(OR($JF14=0,calcA!$A$6=0),0,IF(OR(6=$HA14,6=$HD14,6=$HG14),200000,MIN(IF($HA14=0,999999,IF(1=$HB14,IF(6=$HJ14,IF($JC14=2,30,0),IF(6=$HK14,IF($JC14=1,30,0),ABS(6-$HC14)*100)),100000+ABS(1-$HB14)*1000+60)),IF($HD14=0,999999,IF(1=$HE14,IF(6=$HL14,IF($JD14=2,30,0),IF(6=$HM14,IF($JD14=1,30,0),ABS(6-$HF14)*100)),100000+ABS(1-$HE14)*1000+60)),IF($HG14=0,999999,IF(1=$HH14,IF(6=$HN14,IF($JE14=2,30,0),IF(6=$HO14,IF($JE14=1,30,0),ABS(6-$HI14)*100)),100000+ABS(1-$HH14)*1000+60)))-IF((6=$HJ14)+(6=$HK14)+(6=$HL14)+(6=$HM14)+(6=$HN14)+(6=$HO14)&gt;=2,50,0))+I$5*50)</f>
        <v/>
      </c>
      <c r="J134">
        <f>IF(OR($JF14=0,calcA!$A$6=0),0,IF(OR(7=$HA14,7=$HD14,7=$HG14),200000,MIN(IF($HA14=0,999999,IF(1=$HB14,IF(7=$HJ14,IF($JC14=2,30,0),IF(7=$HK14,IF($JC14=1,30,0),ABS(7-$HC14)*100)),100000+ABS(1-$HB14)*1000+70)),IF($HD14=0,999999,IF(1=$HE14,IF(7=$HL14,IF($JD14=2,30,0),IF(7=$HM14,IF($JD14=1,30,0),ABS(7-$HF14)*100)),100000+ABS(1-$HE14)*1000+70)),IF($HG14=0,999999,IF(1=$HH14,IF(7=$HN14,IF($JE14=2,30,0),IF(7=$HO14,IF($JE14=1,30,0),ABS(7-$HI14)*100)),100000+ABS(1-$HH14)*1000+70)))-IF((7=$HJ14)+(7=$HK14)+(7=$HL14)+(7=$HM14)+(7=$HN14)+(7=$HO14)&gt;=2,50,0))+J$5*50)</f>
        <v/>
      </c>
      <c r="K134">
        <f>IF(OR($JF14=0,calcA!$A$6=0),0,IF(OR(8=$HA14,8=$HD14,8=$HG14),200000,MIN(IF($HA14=0,999999,IF(1=$HB14,IF(8=$HJ14,IF($JC14=2,30,0),IF(8=$HK14,IF($JC14=1,30,0),ABS(8-$HC14)*100)),100000+ABS(1-$HB14)*1000+80)),IF($HD14=0,999999,IF(1=$HE14,IF(8=$HL14,IF($JD14=2,30,0),IF(8=$HM14,IF($JD14=1,30,0),ABS(8-$HF14)*100)),100000+ABS(1-$HE14)*1000+80)),IF($HG14=0,999999,IF(1=$HH14,IF(8=$HN14,IF($JE14=2,30,0),IF(8=$HO14,IF($JE14=1,30,0),ABS(8-$HI14)*100)),100000+ABS(1-$HH14)*1000+80)))-IF((8=$HJ14)+(8=$HK14)+(8=$HL14)+(8=$HM14)+(8=$HN14)+(8=$HO14)&gt;=2,50,0))+K$5*50)</f>
        <v/>
      </c>
      <c r="L134">
        <f>IF(OR($JF14=0,calcA!$A$6=0),0,IF(OR(9=$HA14,9=$HD14,9=$HG14),200000,MIN(IF($HA14=0,999999,IF(1=$HB14,IF(9=$HJ14,IF($JC14=2,30,0),IF(9=$HK14,IF($JC14=1,30,0),ABS(9-$HC14)*100)),100000+ABS(1-$HB14)*1000+90)),IF($HD14=0,999999,IF(1=$HE14,IF(9=$HL14,IF($JD14=2,30,0),IF(9=$HM14,IF($JD14=1,30,0),ABS(9-$HF14)*100)),100000+ABS(1-$HE14)*1000+90)),IF($HG14=0,999999,IF(1=$HH14,IF(9=$HN14,IF($JE14=2,30,0),IF(9=$HO14,IF($JE14=1,30,0),ABS(9-$HI14)*100)),100000+ABS(1-$HH14)*1000+90)))-IF((9=$HJ14)+(9=$HK14)+(9=$HL14)+(9=$HM14)+(9=$HN14)+(9=$HO14)&gt;=2,50,0))+L$5*50)</f>
        <v/>
      </c>
      <c r="M134">
        <f>IF(OR($JF14=0,calcA!$A$6=0),0,IF(OR(10=$HA14,10=$HD14,10=$HG14),200000,MIN(IF($HA14=0,999999,IF(1=$HB14,IF(10=$HJ14,IF($JC14=2,30,0),IF(10=$HK14,IF($JC14=1,30,0),ABS(10-$HC14)*100)),100000+ABS(1-$HB14)*1000+100)),IF($HD14=0,999999,IF(1=$HE14,IF(10=$HL14,IF($JD14=2,30,0),IF(10=$HM14,IF($JD14=1,30,0),ABS(10-$HF14)*100)),100000+ABS(1-$HE14)*1000+100)),IF($HG14=0,999999,IF(1=$HH14,IF(10=$HN14,IF($JE14=2,30,0),IF(10=$HO14,IF($JE14=1,30,0),ABS(10-$HI14)*100)),100000+ABS(1-$HH14)*1000+100)))-IF((10=$HJ14)+(10=$HK14)+(10=$HL14)+(10=$HM14)+(10=$HN14)+(10=$HO14)&gt;=2,50,0))+M$5*50)</f>
        <v/>
      </c>
      <c r="N134">
        <f>IF(OR($JF14=0,calcA!$A$6=0),0,IF(OR(11=$HA14,11=$HD14,11=$HG14),200000,MIN(IF($HA14=0,999999,IF(1=$HB14,IF(11=$HJ14,IF($JC14=2,30,0),IF(11=$HK14,IF($JC14=1,30,0),ABS(11-$HC14)*100)),100000+ABS(1-$HB14)*1000+110)),IF($HD14=0,999999,IF(1=$HE14,IF(11=$HL14,IF($JD14=2,30,0),IF(11=$HM14,IF($JD14=1,30,0),ABS(11-$HF14)*100)),100000+ABS(1-$HE14)*1000+110)),IF($HG14=0,999999,IF(1=$HH14,IF(11=$HN14,IF($JE14=2,30,0),IF(11=$HO14,IF($JE14=1,30,0),ABS(11-$HI14)*100)),100000+ABS(1-$HH14)*1000+110)))-IF((11=$HJ14)+(11=$HK14)+(11=$HL14)+(11=$HM14)+(11=$HN14)+(11=$HO14)&gt;=2,50,0))+N$5*50)</f>
        <v/>
      </c>
      <c r="O134">
        <f>IF(OR($JF14=0,calcA!$A$6=0),0,IF(OR(12=$HA14,12=$HD14,12=$HG14),200000,MIN(IF($HA14=0,999999,IF(1=$HB14,IF(12=$HJ14,IF($JC14=2,30,0),IF(12=$HK14,IF($JC14=1,30,0),ABS(12-$HC14)*100)),100000+ABS(1-$HB14)*1000+120)),IF($HD14=0,999999,IF(1=$HE14,IF(12=$HL14,IF($JD14=2,30,0),IF(12=$HM14,IF($JD14=1,30,0),ABS(12-$HF14)*100)),100000+ABS(1-$HE14)*1000+120)),IF($HG14=0,999999,IF(1=$HH14,IF(12=$HN14,IF($JE14=2,30,0),IF(12=$HO14,IF($JE14=1,30,0),ABS(12-$HI14)*100)),100000+ABS(1-$HH14)*1000+120)))-IF((12=$HJ14)+(12=$HK14)+(12=$HL14)+(12=$HM14)+(12=$HN14)+(12=$HO14)&gt;=2,50,0))+O$5*50)</f>
        <v/>
      </c>
      <c r="P134">
        <f>IF(OR($JF14=0,calcA!$A$6=0),0,IF(OR(13=$HA14,13=$HD14,13=$HG14),200000,MIN(IF($HA14=0,999999,IF(1=$HB14,IF(13=$HJ14,IF($JC14=2,30,0),IF(13=$HK14,IF($JC14=1,30,0),ABS(13-$HC14)*100)),100000+ABS(1-$HB14)*1000+130)),IF($HD14=0,999999,IF(1=$HE14,IF(13=$HL14,IF($JD14=2,30,0),IF(13=$HM14,IF($JD14=1,30,0),ABS(13-$HF14)*100)),100000+ABS(1-$HE14)*1000+130)),IF($HG14=0,999999,IF(1=$HH14,IF(13=$HN14,IF($JE14=2,30,0),IF(13=$HO14,IF($JE14=1,30,0),ABS(13-$HI14)*100)),100000+ABS(1-$HH14)*1000+130)))-IF((13=$HJ14)+(13=$HK14)+(13=$HL14)+(13=$HM14)+(13=$HN14)+(13=$HO14)&gt;=2,50,0))+P$5*50)</f>
        <v/>
      </c>
      <c r="Q134">
        <f>IF(OR($JF14=0,calcA!$A$6=0),0,IF(OR(14=$HA14,14=$HD14,14=$HG14),200000,MIN(IF($HA14=0,999999,IF(1=$HB14,IF(14=$HJ14,IF($JC14=2,30,0),IF(14=$HK14,IF($JC14=1,30,0),ABS(14-$HC14)*100)),100000+ABS(1-$HB14)*1000+140)),IF($HD14=0,999999,IF(1=$HE14,IF(14=$HL14,IF($JD14=2,30,0),IF(14=$HM14,IF($JD14=1,30,0),ABS(14-$HF14)*100)),100000+ABS(1-$HE14)*1000+140)),IF($HG14=0,999999,IF(1=$HH14,IF(14=$HN14,IF($JE14=2,30,0),IF(14=$HO14,IF($JE14=1,30,0),ABS(14-$HI14)*100)),100000+ABS(1-$HH14)*1000+140)))-IF((14=$HJ14)+(14=$HK14)+(14=$HL14)+(14=$HM14)+(14=$HN14)+(14=$HO14)&gt;=2,50,0))+Q$5*50)</f>
        <v/>
      </c>
      <c r="R134">
        <f>IF(OR($JF14=0,calcA!$A$6=0),0,IF(OR(15=$HA14,15=$HD14,15=$HG14),200000,MIN(IF($HA14=0,999999,IF(1=$HB14,IF(15=$HJ14,IF($JC14=2,30,0),IF(15=$HK14,IF($JC14=1,30,0),ABS(15-$HC14)*100)),100000+ABS(1-$HB14)*1000+150)),IF($HD14=0,999999,IF(1=$HE14,IF(15=$HL14,IF($JD14=2,30,0),IF(15=$HM14,IF($JD14=1,30,0),ABS(15-$HF14)*100)),100000+ABS(1-$HE14)*1000+150)),IF($HG14=0,999999,IF(1=$HH14,IF(15=$HN14,IF($JE14=2,30,0),IF(15=$HO14,IF($JE14=1,30,0),ABS(15-$HI14)*100)),100000+ABS(1-$HH14)*1000+150)))-IF((15=$HJ14)+(15=$HK14)+(15=$HL14)+(15=$HM14)+(15=$HN14)+(15=$HO14)&gt;=2,50,0))+R$5*50)</f>
        <v/>
      </c>
      <c r="S134">
        <f>IF(OR($JF14=0,calcA!$A$6=0),0,IF(OR(16=$HA14,16=$HD14,16=$HG14),200000,MIN(IF($HA14=0,999999,IF(1=$HB14,IF(16=$HJ14,IF($JC14=2,30,0),IF(16=$HK14,IF($JC14=1,30,0),ABS(16-$HC14)*100)),100000+ABS(1-$HB14)*1000+160)),IF($HD14=0,999999,IF(1=$HE14,IF(16=$HL14,IF($JD14=2,30,0),IF(16=$HM14,IF($JD14=1,30,0),ABS(16-$HF14)*100)),100000+ABS(1-$HE14)*1000+160)),IF($HG14=0,999999,IF(1=$HH14,IF(16=$HN14,IF($JE14=2,30,0),IF(16=$HO14,IF($JE14=1,30,0),ABS(16-$HI14)*100)),100000+ABS(1-$HH14)*1000+160)))-IF((16=$HJ14)+(16=$HK14)+(16=$HL14)+(16=$HM14)+(16=$HN14)+(16=$HO14)&gt;=2,50,0))+S$5*50)</f>
        <v/>
      </c>
      <c r="T134">
        <f>IF(OR($JF14=0,calcA!$A$6=0),0,IF(OR(17=$HA14,17=$HD14,17=$HG14),200000,MIN(IF($HA14=0,999999,IF(1=$HB14,IF(17=$HJ14,IF($JC14=2,30,0),IF(17=$HK14,IF($JC14=1,30,0),ABS(17-$HC14)*100)),100000+ABS(1-$HB14)*1000+170)),IF($HD14=0,999999,IF(1=$HE14,IF(17=$HL14,IF($JD14=2,30,0),IF(17=$HM14,IF($JD14=1,30,0),ABS(17-$HF14)*100)),100000+ABS(1-$HE14)*1000+170)),IF($HG14=0,999999,IF(1=$HH14,IF(17=$HN14,IF($JE14=2,30,0),IF(17=$HO14,IF($JE14=1,30,0),ABS(17-$HI14)*100)),100000+ABS(1-$HH14)*1000+170)))-IF((17=$HJ14)+(17=$HK14)+(17=$HL14)+(17=$HM14)+(17=$HN14)+(17=$HO14)&gt;=2,50,0))+T$5*50)</f>
        <v/>
      </c>
      <c r="U134">
        <f>IF(OR($JF14=0,calcA!$A$6=0),0,IF(OR(18=$HA14,18=$HD14,18=$HG14),200000,MIN(IF($HA14=0,999999,IF(1=$HB14,IF(18=$HJ14,IF($JC14=2,30,0),IF(18=$HK14,IF($JC14=1,30,0),ABS(18-$HC14)*100)),100000+ABS(1-$HB14)*1000+180)),IF($HD14=0,999999,IF(1=$HE14,IF(18=$HL14,IF($JD14=2,30,0),IF(18=$HM14,IF($JD14=1,30,0),ABS(18-$HF14)*100)),100000+ABS(1-$HE14)*1000+180)),IF($HG14=0,999999,IF(1=$HH14,IF(18=$HN14,IF($JE14=2,30,0),IF(18=$HO14,IF($JE14=1,30,0),ABS(18-$HI14)*100)),100000+ABS(1-$HH14)*1000+180)))-IF((18=$HJ14)+(18=$HK14)+(18=$HL14)+(18=$HM14)+(18=$HN14)+(18=$HO14)&gt;=2,50,0))+U$5*50)</f>
        <v/>
      </c>
      <c r="V134">
        <f>IF(OR($JF14=0,calcA!$A$6=0),0,IF(OR(19=$HA14,19=$HD14,19=$HG14),200000,MIN(IF($HA14=0,999999,IF(1=$HB14,IF(19=$HJ14,IF($JC14=2,30,0),IF(19=$HK14,IF($JC14=1,30,0),ABS(19-$HC14)*100)),100000+ABS(1-$HB14)*1000+190)),IF($HD14=0,999999,IF(1=$HE14,IF(19=$HL14,IF($JD14=2,30,0),IF(19=$HM14,IF($JD14=1,30,0),ABS(19-$HF14)*100)),100000+ABS(1-$HE14)*1000+190)),IF($HG14=0,999999,IF(1=$HH14,IF(19=$HN14,IF($JE14=2,30,0),IF(19=$HO14,IF($JE14=1,30,0),ABS(19-$HI14)*100)),100000+ABS(1-$HH14)*1000+190)))-IF((19=$HJ14)+(19=$HK14)+(19=$HL14)+(19=$HM14)+(19=$HN14)+(19=$HO14)&gt;=2,50,0))+V$5*50)</f>
        <v/>
      </c>
      <c r="W134">
        <f>IF(OR($JF14=0,calcA!$A$6=0),0,IF(OR(20=$HA14,20=$HD14,20=$HG14),200000,MIN(IF($HA14=0,999999,IF(1=$HB14,IF(20=$HJ14,IF($JC14=2,30,0),IF(20=$HK14,IF($JC14=1,30,0),ABS(20-$HC14)*100)),100000+ABS(1-$HB14)*1000+200)),IF($HD14=0,999999,IF(1=$HE14,IF(20=$HL14,IF($JD14=2,30,0),IF(20=$HM14,IF($JD14=1,30,0),ABS(20-$HF14)*100)),100000+ABS(1-$HE14)*1000+200)),IF($HG14=0,999999,IF(1=$HH14,IF(20=$HN14,IF($JE14=2,30,0),IF(20=$HO14,IF($JE14=1,30,0),ABS(20-$HI14)*100)),100000+ABS(1-$HH14)*1000+200)))-IF((20=$HJ14)+(20=$HK14)+(20=$HL14)+(20=$HM14)+(20=$HN14)+(20=$HO14)&gt;=2,50,0))+W$5*50)</f>
        <v/>
      </c>
      <c r="X134">
        <f>IF(OR($JF14=0,calcA!$A$6=0),0,IF(OR(21=$HA14,21=$HD14,21=$HG14),200000,MIN(IF($HA14=0,999999,IF(1=$HB14,IF(21=$HJ14,IF($JC14=2,30,0),IF(21=$HK14,IF($JC14=1,30,0),ABS(21-$HC14)*100)),100000+ABS(1-$HB14)*1000+210)),IF($HD14=0,999999,IF(1=$HE14,IF(21=$HL14,IF($JD14=2,30,0),IF(21=$HM14,IF($JD14=1,30,0),ABS(21-$HF14)*100)),100000+ABS(1-$HE14)*1000+210)),IF($HG14=0,999999,IF(1=$HH14,IF(21=$HN14,IF($JE14=2,30,0),IF(21=$HO14,IF($JE14=1,30,0),ABS(21-$HI14)*100)),100000+ABS(1-$HH14)*1000+210)))-IF((21=$HJ14)+(21=$HK14)+(21=$HL14)+(21=$HM14)+(21=$HN14)+(21=$HO14)&gt;=2,50,0))+X$5*50)</f>
        <v/>
      </c>
      <c r="Y134">
        <f>IF(OR($JF14=0,calcA!$A$6=0),0,IF(OR(22=$HA14,22=$HD14,22=$HG14),200000,MIN(IF($HA14=0,999999,IF(1=$HB14,IF(22=$HJ14,IF($JC14=2,30,0),IF(22=$HK14,IF($JC14=1,30,0),ABS(22-$HC14)*100)),100000+ABS(1-$HB14)*1000+220)),IF($HD14=0,999999,IF(1=$HE14,IF(22=$HL14,IF($JD14=2,30,0),IF(22=$HM14,IF($JD14=1,30,0),ABS(22-$HF14)*100)),100000+ABS(1-$HE14)*1000+220)),IF($HG14=0,999999,IF(1=$HH14,IF(22=$HN14,IF($JE14=2,30,0),IF(22=$HO14,IF($JE14=1,30,0),ABS(22-$HI14)*100)),100000+ABS(1-$HH14)*1000+220)))-IF((22=$HJ14)+(22=$HK14)+(22=$HL14)+(22=$HM14)+(22=$HN14)+(22=$HO14)&gt;=2,50,0))+Y$5*50)</f>
        <v/>
      </c>
      <c r="Z134">
        <f>IF(OR($JF14=0,calcA!$A$6=0),0,IF(OR(23=$HA14,23=$HD14,23=$HG14),200000,MIN(IF($HA14=0,999999,IF(1=$HB14,IF(23=$HJ14,IF($JC14=2,30,0),IF(23=$HK14,IF($JC14=1,30,0),ABS(23-$HC14)*100)),100000+ABS(1-$HB14)*1000+230)),IF($HD14=0,999999,IF(1=$HE14,IF(23=$HL14,IF($JD14=2,30,0),IF(23=$HM14,IF($JD14=1,30,0),ABS(23-$HF14)*100)),100000+ABS(1-$HE14)*1000+230)),IF($HG14=0,999999,IF(1=$HH14,IF(23=$HN14,IF($JE14=2,30,0),IF(23=$HO14,IF($JE14=1,30,0),ABS(23-$HI14)*100)),100000+ABS(1-$HH14)*1000+230)))-IF((23=$HJ14)+(23=$HK14)+(23=$HL14)+(23=$HM14)+(23=$HN14)+(23=$HO14)&gt;=2,50,0))+Z$5*50)</f>
        <v/>
      </c>
      <c r="AA134">
        <f>IF(OR($JF14=0,calcA!$A$6=0),0,IF(OR(24=$HA14,24=$HD14,24=$HG14),200000,MIN(IF($HA14=0,999999,IF(1=$HB14,IF(24=$HJ14,IF($JC14=2,30,0),IF(24=$HK14,IF($JC14=1,30,0),ABS(24-$HC14)*100)),100000+ABS(1-$HB14)*1000+240)),IF($HD14=0,999999,IF(1=$HE14,IF(24=$HL14,IF($JD14=2,30,0),IF(24=$HM14,IF($JD14=1,30,0),ABS(24-$HF14)*100)),100000+ABS(1-$HE14)*1000+240)),IF($HG14=0,999999,IF(1=$HH14,IF(24=$HN14,IF($JE14=2,30,0),IF(24=$HO14,IF($JE14=1,30,0),ABS(24-$HI14)*100)),100000+ABS(1-$HH14)*1000+240)))-IF((24=$HJ14)+(24=$HK14)+(24=$HL14)+(24=$HM14)+(24=$HN14)+(24=$HO14)&gt;=2,50,0))+AA$5*50)</f>
        <v/>
      </c>
      <c r="AB134">
        <f>IF(OR($JF14=0,calcA!$A$6=0),0,IF(OR(25=$HA14,25=$HD14,25=$HG14),200000,MIN(IF($HA14=0,999999,IF(2=$HB14,IF(25=$HJ14,IF($JC14=2,30,0),IF(25=$HK14,IF($JC14=1,30,0),ABS(1-$HC14)*100)),100000+ABS(2-$HB14)*1000+10)),IF($HD14=0,999999,IF(2=$HE14,IF(25=$HL14,IF($JD14=2,30,0),IF(25=$HM14,IF($JD14=1,30,0),ABS(1-$HF14)*100)),100000+ABS(2-$HE14)*1000+10)),IF($HG14=0,999999,IF(2=$HH14,IF(25=$HN14,IF($JE14=2,30,0),IF(25=$HO14,IF($JE14=1,30,0),ABS(1-$HI14)*100)),100000+ABS(2-$HH14)*1000+10)))-IF((25=$HJ14)+(25=$HK14)+(25=$HL14)+(25=$HM14)+(25=$HN14)+(25=$HO14)&gt;=2,50,0))+AB$5*50)</f>
        <v/>
      </c>
      <c r="AC134">
        <f>IF(OR($JF14=0,calcA!$A$6=0),0,IF(OR(26=$HA14,26=$HD14,26=$HG14),200000,MIN(IF($HA14=0,999999,IF(2=$HB14,IF(26=$HJ14,IF($JC14=2,30,0),IF(26=$HK14,IF($JC14=1,30,0),ABS(2-$HC14)*100)),100000+ABS(2-$HB14)*1000+20)),IF($HD14=0,999999,IF(2=$HE14,IF(26=$HL14,IF($JD14=2,30,0),IF(26=$HM14,IF($JD14=1,30,0),ABS(2-$HF14)*100)),100000+ABS(2-$HE14)*1000+20)),IF($HG14=0,999999,IF(2=$HH14,IF(26=$HN14,IF($JE14=2,30,0),IF(26=$HO14,IF($JE14=1,30,0),ABS(2-$HI14)*100)),100000+ABS(2-$HH14)*1000+20)))-IF((26=$HJ14)+(26=$HK14)+(26=$HL14)+(26=$HM14)+(26=$HN14)+(26=$HO14)&gt;=2,50,0))+AC$5*50)</f>
        <v/>
      </c>
      <c r="AD134">
        <f>IF(OR($JF14=0,calcA!$A$6=0),0,IF(OR(27=$HA14,27=$HD14,27=$HG14),200000,MIN(IF($HA14=0,999999,IF(2=$HB14,IF(27=$HJ14,IF($JC14=2,30,0),IF(27=$HK14,IF($JC14=1,30,0),ABS(3-$HC14)*100)),100000+ABS(2-$HB14)*1000+30)),IF($HD14=0,999999,IF(2=$HE14,IF(27=$HL14,IF($JD14=2,30,0),IF(27=$HM14,IF($JD14=1,30,0),ABS(3-$HF14)*100)),100000+ABS(2-$HE14)*1000+30)),IF($HG14=0,999999,IF(2=$HH14,IF(27=$HN14,IF($JE14=2,30,0),IF(27=$HO14,IF($JE14=1,30,0),ABS(3-$HI14)*100)),100000+ABS(2-$HH14)*1000+30)))-IF((27=$HJ14)+(27=$HK14)+(27=$HL14)+(27=$HM14)+(27=$HN14)+(27=$HO14)&gt;=2,50,0))+AD$5*50)</f>
        <v/>
      </c>
      <c r="AE134">
        <f>IF(OR($JF14=0,calcA!$A$6=0),0,IF(OR(28=$HA14,28=$HD14,28=$HG14),200000,MIN(IF($HA14=0,999999,IF(2=$HB14,IF(28=$HJ14,IF($JC14=2,30,0),IF(28=$HK14,IF($JC14=1,30,0),ABS(4-$HC14)*100)),100000+ABS(2-$HB14)*1000+40)),IF($HD14=0,999999,IF(2=$HE14,IF(28=$HL14,IF($JD14=2,30,0),IF(28=$HM14,IF($JD14=1,30,0),ABS(4-$HF14)*100)),100000+ABS(2-$HE14)*1000+40)),IF($HG14=0,999999,IF(2=$HH14,IF(28=$HN14,IF($JE14=2,30,0),IF(28=$HO14,IF($JE14=1,30,0),ABS(4-$HI14)*100)),100000+ABS(2-$HH14)*1000+40)))-IF((28=$HJ14)+(28=$HK14)+(28=$HL14)+(28=$HM14)+(28=$HN14)+(28=$HO14)&gt;=2,50,0))+AE$5*50)</f>
        <v/>
      </c>
      <c r="AF134">
        <f>IF(OR($JF14=0,calcA!$A$6=0),0,IF(OR(29=$HA14,29=$HD14,29=$HG14),200000,MIN(IF($HA14=0,999999,IF(2=$HB14,IF(29=$HJ14,IF($JC14=2,30,0),IF(29=$HK14,IF($JC14=1,30,0),ABS(5-$HC14)*100)),100000+ABS(2-$HB14)*1000+50)),IF($HD14=0,999999,IF(2=$HE14,IF(29=$HL14,IF($JD14=2,30,0),IF(29=$HM14,IF($JD14=1,30,0),ABS(5-$HF14)*100)),100000+ABS(2-$HE14)*1000+50)),IF($HG14=0,999999,IF(2=$HH14,IF(29=$HN14,IF($JE14=2,30,0),IF(29=$HO14,IF($JE14=1,30,0),ABS(5-$HI14)*100)),100000+ABS(2-$HH14)*1000+50)))-IF((29=$HJ14)+(29=$HK14)+(29=$HL14)+(29=$HM14)+(29=$HN14)+(29=$HO14)&gt;=2,50,0))+AF$5*50)</f>
        <v/>
      </c>
      <c r="AG134">
        <f>IF(OR($JF14=0,calcA!$A$6=0),0,IF(OR(30=$HA14,30=$HD14,30=$HG14),200000,MIN(IF($HA14=0,999999,IF(2=$HB14,IF(30=$HJ14,IF($JC14=2,30,0),IF(30=$HK14,IF($JC14=1,30,0),ABS(6-$HC14)*100)),100000+ABS(2-$HB14)*1000+60)),IF($HD14=0,999999,IF(2=$HE14,IF(30=$HL14,IF($JD14=2,30,0),IF(30=$HM14,IF($JD14=1,30,0),ABS(6-$HF14)*100)),100000+ABS(2-$HE14)*1000+60)),IF($HG14=0,999999,IF(2=$HH14,IF(30=$HN14,IF($JE14=2,30,0),IF(30=$HO14,IF($JE14=1,30,0),ABS(6-$HI14)*100)),100000+ABS(2-$HH14)*1000+60)))-IF((30=$HJ14)+(30=$HK14)+(30=$HL14)+(30=$HM14)+(30=$HN14)+(30=$HO14)&gt;=2,50,0))+AG$5*50)</f>
        <v/>
      </c>
      <c r="AH134">
        <f>IF(OR($JF14=0,calcA!$A$6=0),0,IF(OR(31=$HA14,31=$HD14,31=$HG14),200000,MIN(IF($HA14=0,999999,IF(2=$HB14,IF(31=$HJ14,IF($JC14=2,30,0),IF(31=$HK14,IF($JC14=1,30,0),ABS(7-$HC14)*100)),100000+ABS(2-$HB14)*1000+70)),IF($HD14=0,999999,IF(2=$HE14,IF(31=$HL14,IF($JD14=2,30,0),IF(31=$HM14,IF($JD14=1,30,0),ABS(7-$HF14)*100)),100000+ABS(2-$HE14)*1000+70)),IF($HG14=0,999999,IF(2=$HH14,IF(31=$HN14,IF($JE14=2,30,0),IF(31=$HO14,IF($JE14=1,30,0),ABS(7-$HI14)*100)),100000+ABS(2-$HH14)*1000+70)))-IF((31=$HJ14)+(31=$HK14)+(31=$HL14)+(31=$HM14)+(31=$HN14)+(31=$HO14)&gt;=2,50,0))+AH$5*50)</f>
        <v/>
      </c>
      <c r="AI134">
        <f>IF(OR($JF14=0,calcA!$A$6=0),0,IF(OR(32=$HA14,32=$HD14,32=$HG14),200000,MIN(IF($HA14=0,999999,IF(2=$HB14,IF(32=$HJ14,IF($JC14=2,30,0),IF(32=$HK14,IF($JC14=1,30,0),ABS(8-$HC14)*100)),100000+ABS(2-$HB14)*1000+80)),IF($HD14=0,999999,IF(2=$HE14,IF(32=$HL14,IF($JD14=2,30,0),IF(32=$HM14,IF($JD14=1,30,0),ABS(8-$HF14)*100)),100000+ABS(2-$HE14)*1000+80)),IF($HG14=0,999999,IF(2=$HH14,IF(32=$HN14,IF($JE14=2,30,0),IF(32=$HO14,IF($JE14=1,30,0),ABS(8-$HI14)*100)),100000+ABS(2-$HH14)*1000+80)))-IF((32=$HJ14)+(32=$HK14)+(32=$HL14)+(32=$HM14)+(32=$HN14)+(32=$HO14)&gt;=2,50,0))+AI$5*50)</f>
        <v/>
      </c>
      <c r="AJ134">
        <f>IF(OR($JF14=0,calcA!$A$6=0),0,IF(OR(33=$HA14,33=$HD14,33=$HG14),200000,MIN(IF($HA14=0,999999,IF(2=$HB14,IF(33=$HJ14,IF($JC14=2,30,0),IF(33=$HK14,IF($JC14=1,30,0),ABS(9-$HC14)*100)),100000+ABS(2-$HB14)*1000+90)),IF($HD14=0,999999,IF(2=$HE14,IF(33=$HL14,IF($JD14=2,30,0),IF(33=$HM14,IF($JD14=1,30,0),ABS(9-$HF14)*100)),100000+ABS(2-$HE14)*1000+90)),IF($HG14=0,999999,IF(2=$HH14,IF(33=$HN14,IF($JE14=2,30,0),IF(33=$HO14,IF($JE14=1,30,0),ABS(9-$HI14)*100)),100000+ABS(2-$HH14)*1000+90)))-IF((33=$HJ14)+(33=$HK14)+(33=$HL14)+(33=$HM14)+(33=$HN14)+(33=$HO14)&gt;=2,50,0))+AJ$5*50)</f>
        <v/>
      </c>
      <c r="AK134">
        <f>IF(OR($JF14=0,calcA!$A$6=0),0,IF(OR(34=$HA14,34=$HD14,34=$HG14),200000,MIN(IF($HA14=0,999999,IF(2=$HB14,IF(34=$HJ14,IF($JC14=2,30,0),IF(34=$HK14,IF($JC14=1,30,0),ABS(10-$HC14)*100)),100000+ABS(2-$HB14)*1000+100)),IF($HD14=0,999999,IF(2=$HE14,IF(34=$HL14,IF($JD14=2,30,0),IF(34=$HM14,IF($JD14=1,30,0),ABS(10-$HF14)*100)),100000+ABS(2-$HE14)*1000+100)),IF($HG14=0,999999,IF(2=$HH14,IF(34=$HN14,IF($JE14=2,30,0),IF(34=$HO14,IF($JE14=1,30,0),ABS(10-$HI14)*100)),100000+ABS(2-$HH14)*1000+100)))-IF((34=$HJ14)+(34=$HK14)+(34=$HL14)+(34=$HM14)+(34=$HN14)+(34=$HO14)&gt;=2,50,0))+AK$5*50)</f>
        <v/>
      </c>
      <c r="AL134">
        <f>IF(OR($JF14=0,calcA!$A$6=0),0,IF(OR(35=$HA14,35=$HD14,35=$HG14),200000,MIN(IF($HA14=0,999999,IF(2=$HB14,IF(35=$HJ14,IF($JC14=2,30,0),IF(35=$HK14,IF($JC14=1,30,0),ABS(11-$HC14)*100)),100000+ABS(2-$HB14)*1000+110)),IF($HD14=0,999999,IF(2=$HE14,IF(35=$HL14,IF($JD14=2,30,0),IF(35=$HM14,IF($JD14=1,30,0),ABS(11-$HF14)*100)),100000+ABS(2-$HE14)*1000+110)),IF($HG14=0,999999,IF(2=$HH14,IF(35=$HN14,IF($JE14=2,30,0),IF(35=$HO14,IF($JE14=1,30,0),ABS(11-$HI14)*100)),100000+ABS(2-$HH14)*1000+110)))-IF((35=$HJ14)+(35=$HK14)+(35=$HL14)+(35=$HM14)+(35=$HN14)+(35=$HO14)&gt;=2,50,0))+AL$5*50)</f>
        <v/>
      </c>
      <c r="AM134">
        <f>IF(OR($JF14=0,calcA!$A$6=0),0,IF(OR(36=$HA14,36=$HD14,36=$HG14),200000,MIN(IF($HA14=0,999999,IF(2=$HB14,IF(36=$HJ14,IF($JC14=2,30,0),IF(36=$HK14,IF($JC14=1,30,0),ABS(12-$HC14)*100)),100000+ABS(2-$HB14)*1000+120)),IF($HD14=0,999999,IF(2=$HE14,IF(36=$HL14,IF($JD14=2,30,0),IF(36=$HM14,IF($JD14=1,30,0),ABS(12-$HF14)*100)),100000+ABS(2-$HE14)*1000+120)),IF($HG14=0,999999,IF(2=$HH14,IF(36=$HN14,IF($JE14=2,30,0),IF(36=$HO14,IF($JE14=1,30,0),ABS(12-$HI14)*100)),100000+ABS(2-$HH14)*1000+120)))-IF((36=$HJ14)+(36=$HK14)+(36=$HL14)+(36=$HM14)+(36=$HN14)+(36=$HO14)&gt;=2,50,0))+AM$5*50)</f>
        <v/>
      </c>
      <c r="AN134">
        <f>IF(OR($JF14=0,calcA!$A$6=0),0,IF(OR(37=$HA14,37=$HD14,37=$HG14),200000,MIN(IF($HA14=0,999999,IF(2=$HB14,IF(37=$HJ14,IF($JC14=2,30,0),IF(37=$HK14,IF($JC14=1,30,0),ABS(13-$HC14)*100)),100000+ABS(2-$HB14)*1000+130)),IF($HD14=0,999999,IF(2=$HE14,IF(37=$HL14,IF($JD14=2,30,0),IF(37=$HM14,IF($JD14=1,30,0),ABS(13-$HF14)*100)),100000+ABS(2-$HE14)*1000+130)),IF($HG14=0,999999,IF(2=$HH14,IF(37=$HN14,IF($JE14=2,30,0),IF(37=$HO14,IF($JE14=1,30,0),ABS(13-$HI14)*100)),100000+ABS(2-$HH14)*1000+130)))-IF((37=$HJ14)+(37=$HK14)+(37=$HL14)+(37=$HM14)+(37=$HN14)+(37=$HO14)&gt;=2,50,0))+AN$5*50)</f>
        <v/>
      </c>
      <c r="AO134">
        <f>IF(OR($JF14=0,calcA!$A$6=0),0,IF(OR(38=$HA14,38=$HD14,38=$HG14),200000,MIN(IF($HA14=0,999999,IF(2=$HB14,IF(38=$HJ14,IF($JC14=2,30,0),IF(38=$HK14,IF($JC14=1,30,0),ABS(14-$HC14)*100)),100000+ABS(2-$HB14)*1000+140)),IF($HD14=0,999999,IF(2=$HE14,IF(38=$HL14,IF($JD14=2,30,0),IF(38=$HM14,IF($JD14=1,30,0),ABS(14-$HF14)*100)),100000+ABS(2-$HE14)*1000+140)),IF($HG14=0,999999,IF(2=$HH14,IF(38=$HN14,IF($JE14=2,30,0),IF(38=$HO14,IF($JE14=1,30,0),ABS(14-$HI14)*100)),100000+ABS(2-$HH14)*1000+140)))-IF((38=$HJ14)+(38=$HK14)+(38=$HL14)+(38=$HM14)+(38=$HN14)+(38=$HO14)&gt;=2,50,0))+AO$5*50)</f>
        <v/>
      </c>
      <c r="AP134">
        <f>IF(OR($JF14=0,calcA!$A$6=0),0,IF(OR(39=$HA14,39=$HD14,39=$HG14),200000,MIN(IF($HA14=0,999999,IF(2=$HB14,IF(39=$HJ14,IF($JC14=2,30,0),IF(39=$HK14,IF($JC14=1,30,0),ABS(15-$HC14)*100)),100000+ABS(2-$HB14)*1000+150)),IF($HD14=0,999999,IF(2=$HE14,IF(39=$HL14,IF($JD14=2,30,0),IF(39=$HM14,IF($JD14=1,30,0),ABS(15-$HF14)*100)),100000+ABS(2-$HE14)*1000+150)),IF($HG14=0,999999,IF(2=$HH14,IF(39=$HN14,IF($JE14=2,30,0),IF(39=$HO14,IF($JE14=1,30,0),ABS(15-$HI14)*100)),100000+ABS(2-$HH14)*1000+150)))-IF((39=$HJ14)+(39=$HK14)+(39=$HL14)+(39=$HM14)+(39=$HN14)+(39=$HO14)&gt;=2,50,0))+AP$5*50)</f>
        <v/>
      </c>
      <c r="AQ134">
        <f>IF(OR($JF14=0,calcA!$A$6=0),0,IF(OR(40=$HA14,40=$HD14,40=$HG14),200000,MIN(IF($HA14=0,999999,IF(2=$HB14,IF(40=$HJ14,IF($JC14=2,30,0),IF(40=$HK14,IF($JC14=1,30,0),ABS(16-$HC14)*100)),100000+ABS(2-$HB14)*1000+160)),IF($HD14=0,999999,IF(2=$HE14,IF(40=$HL14,IF($JD14=2,30,0),IF(40=$HM14,IF($JD14=1,30,0),ABS(16-$HF14)*100)),100000+ABS(2-$HE14)*1000+160)),IF($HG14=0,999999,IF(2=$HH14,IF(40=$HN14,IF($JE14=2,30,0),IF(40=$HO14,IF($JE14=1,30,0),ABS(16-$HI14)*100)),100000+ABS(2-$HH14)*1000+160)))-IF((40=$HJ14)+(40=$HK14)+(40=$HL14)+(40=$HM14)+(40=$HN14)+(40=$HO14)&gt;=2,50,0))+AQ$5*50)</f>
        <v/>
      </c>
      <c r="AR134">
        <f>IF(OR($JF14=0,calcA!$A$6=0),0,IF(OR(41=$HA14,41=$HD14,41=$HG14),200000,MIN(IF($HA14=0,999999,IF(2=$HB14,IF(41=$HJ14,IF($JC14=2,30,0),IF(41=$HK14,IF($JC14=1,30,0),ABS(17-$HC14)*100)),100000+ABS(2-$HB14)*1000+170)),IF($HD14=0,999999,IF(2=$HE14,IF(41=$HL14,IF($JD14=2,30,0),IF(41=$HM14,IF($JD14=1,30,0),ABS(17-$HF14)*100)),100000+ABS(2-$HE14)*1000+170)),IF($HG14=0,999999,IF(2=$HH14,IF(41=$HN14,IF($JE14=2,30,0),IF(41=$HO14,IF($JE14=1,30,0),ABS(17-$HI14)*100)),100000+ABS(2-$HH14)*1000+170)))-IF((41=$HJ14)+(41=$HK14)+(41=$HL14)+(41=$HM14)+(41=$HN14)+(41=$HO14)&gt;=2,50,0))+AR$5*50)</f>
        <v/>
      </c>
      <c r="AS134">
        <f>IF(OR($JF14=0,calcA!$A$6=0),0,IF(OR(42=$HA14,42=$HD14,42=$HG14),200000,MIN(IF($HA14=0,999999,IF(2=$HB14,IF(42=$HJ14,IF($JC14=2,30,0),IF(42=$HK14,IF($JC14=1,30,0),ABS(18-$HC14)*100)),100000+ABS(2-$HB14)*1000+180)),IF($HD14=0,999999,IF(2=$HE14,IF(42=$HL14,IF($JD14=2,30,0),IF(42=$HM14,IF($JD14=1,30,0),ABS(18-$HF14)*100)),100000+ABS(2-$HE14)*1000+180)),IF($HG14=0,999999,IF(2=$HH14,IF(42=$HN14,IF($JE14=2,30,0),IF(42=$HO14,IF($JE14=1,30,0),ABS(18-$HI14)*100)),100000+ABS(2-$HH14)*1000+180)))-IF((42=$HJ14)+(42=$HK14)+(42=$HL14)+(42=$HM14)+(42=$HN14)+(42=$HO14)&gt;=2,50,0))+AS$5*50)</f>
        <v/>
      </c>
      <c r="AT134">
        <f>IF(OR($JF14=0,calcA!$A$6=0),0,IF(OR(43=$HA14,43=$HD14,43=$HG14),200000,MIN(IF($HA14=0,999999,IF(2=$HB14,IF(43=$HJ14,IF($JC14=2,30,0),IF(43=$HK14,IF($JC14=1,30,0),ABS(19-$HC14)*100)),100000+ABS(2-$HB14)*1000+190)),IF($HD14=0,999999,IF(2=$HE14,IF(43=$HL14,IF($JD14=2,30,0),IF(43=$HM14,IF($JD14=1,30,0),ABS(19-$HF14)*100)),100000+ABS(2-$HE14)*1000+190)),IF($HG14=0,999999,IF(2=$HH14,IF(43=$HN14,IF($JE14=2,30,0),IF(43=$HO14,IF($JE14=1,30,0),ABS(19-$HI14)*100)),100000+ABS(2-$HH14)*1000+190)))-IF((43=$HJ14)+(43=$HK14)+(43=$HL14)+(43=$HM14)+(43=$HN14)+(43=$HO14)&gt;=2,50,0))+AT$5*50)</f>
        <v/>
      </c>
      <c r="AU134">
        <f>IF(OR($JF14=0,calcA!$A$6=0),0,IF(OR(44=$HA14,44=$HD14,44=$HG14),200000,MIN(IF($HA14=0,999999,IF(2=$HB14,IF(44=$HJ14,IF($JC14=2,30,0),IF(44=$HK14,IF($JC14=1,30,0),ABS(20-$HC14)*100)),100000+ABS(2-$HB14)*1000+200)),IF($HD14=0,999999,IF(2=$HE14,IF(44=$HL14,IF($JD14=2,30,0),IF(44=$HM14,IF($JD14=1,30,0),ABS(20-$HF14)*100)),100000+ABS(2-$HE14)*1000+200)),IF($HG14=0,999999,IF(2=$HH14,IF(44=$HN14,IF($JE14=2,30,0),IF(44=$HO14,IF($JE14=1,30,0),ABS(20-$HI14)*100)),100000+ABS(2-$HH14)*1000+200)))-IF((44=$HJ14)+(44=$HK14)+(44=$HL14)+(44=$HM14)+(44=$HN14)+(44=$HO14)&gt;=2,50,0))+AU$5*50)</f>
        <v/>
      </c>
      <c r="AV134">
        <f>IF(OR($JF14=0,calcA!$A$6=0),0,IF(OR(45=$HA14,45=$HD14,45=$HG14),200000,MIN(IF($HA14=0,999999,IF(2=$HB14,IF(45=$HJ14,IF($JC14=2,30,0),IF(45=$HK14,IF($JC14=1,30,0),ABS(21-$HC14)*100)),100000+ABS(2-$HB14)*1000+210)),IF($HD14=0,999999,IF(2=$HE14,IF(45=$HL14,IF($JD14=2,30,0),IF(45=$HM14,IF($JD14=1,30,0),ABS(21-$HF14)*100)),100000+ABS(2-$HE14)*1000+210)),IF($HG14=0,999999,IF(2=$HH14,IF(45=$HN14,IF($JE14=2,30,0),IF(45=$HO14,IF($JE14=1,30,0),ABS(21-$HI14)*100)),100000+ABS(2-$HH14)*1000+210)))-IF((45=$HJ14)+(45=$HK14)+(45=$HL14)+(45=$HM14)+(45=$HN14)+(45=$HO14)&gt;=2,50,0))+AV$5*50)</f>
        <v/>
      </c>
      <c r="AW134">
        <f>IF(OR($JF14=0,calcA!$A$6=0),0,IF(OR(46=$HA14,46=$HD14,46=$HG14),200000,MIN(IF($HA14=0,999999,IF(2=$HB14,IF(46=$HJ14,IF($JC14=2,30,0),IF(46=$HK14,IF($JC14=1,30,0),ABS(22-$HC14)*100)),100000+ABS(2-$HB14)*1000+220)),IF($HD14=0,999999,IF(2=$HE14,IF(46=$HL14,IF($JD14=2,30,0),IF(46=$HM14,IF($JD14=1,30,0),ABS(22-$HF14)*100)),100000+ABS(2-$HE14)*1000+220)),IF($HG14=0,999999,IF(2=$HH14,IF(46=$HN14,IF($JE14=2,30,0),IF(46=$HO14,IF($JE14=1,30,0),ABS(22-$HI14)*100)),100000+ABS(2-$HH14)*1000+220)))-IF((46=$HJ14)+(46=$HK14)+(46=$HL14)+(46=$HM14)+(46=$HN14)+(46=$HO14)&gt;=2,50,0))+AW$5*50)</f>
        <v/>
      </c>
      <c r="AX134">
        <f>IF(OR($JF14=0,calcA!$A$6=0),0,IF(OR(47=$HA14,47=$HD14,47=$HG14),200000,MIN(IF($HA14=0,999999,IF(2=$HB14,IF(47=$HJ14,IF($JC14=2,30,0),IF(47=$HK14,IF($JC14=1,30,0),ABS(23-$HC14)*100)),100000+ABS(2-$HB14)*1000+230)),IF($HD14=0,999999,IF(2=$HE14,IF(47=$HL14,IF($JD14=2,30,0),IF(47=$HM14,IF($JD14=1,30,0),ABS(23-$HF14)*100)),100000+ABS(2-$HE14)*1000+230)),IF($HG14=0,999999,IF(2=$HH14,IF(47=$HN14,IF($JE14=2,30,0),IF(47=$HO14,IF($JE14=1,30,0),ABS(23-$HI14)*100)),100000+ABS(2-$HH14)*1000+230)))-IF((47=$HJ14)+(47=$HK14)+(47=$HL14)+(47=$HM14)+(47=$HN14)+(47=$HO14)&gt;=2,50,0))+AX$5*50)</f>
        <v/>
      </c>
      <c r="AY134">
        <f>IF(OR($JF14=0,calcA!$A$6=0),0,IF(OR(48=$HA14,48=$HD14,48=$HG14),200000,MIN(IF($HA14=0,999999,IF(2=$HB14,IF(48=$HJ14,IF($JC14=2,30,0),IF(48=$HK14,IF($JC14=1,30,0),ABS(24-$HC14)*100)),100000+ABS(2-$HB14)*1000+240)),IF($HD14=0,999999,IF(2=$HE14,IF(48=$HL14,IF($JD14=2,30,0),IF(48=$HM14,IF($JD14=1,30,0),ABS(24-$HF14)*100)),100000+ABS(2-$HE14)*1000+240)),IF($HG14=0,999999,IF(2=$HH14,IF(48=$HN14,IF($JE14=2,30,0),IF(48=$HO14,IF($JE14=1,30,0),ABS(24-$HI14)*100)),100000+ABS(2-$HH14)*1000+240)))-IF((48=$HJ14)+(48=$HK14)+(48=$HL14)+(48=$HM14)+(48=$HN14)+(48=$HO14)&gt;=2,50,0))+AY$5*50)</f>
        <v/>
      </c>
      <c r="AZ134">
        <f>IF(OR($JF14=0,calcA!$A$6=0),0,IF(OR(49=$HA14,49=$HD14,49=$HG14),200000,MIN(IF($HA14=0,999999,IF(3=$HB14,IF(49=$HJ14,IF($JC14=2,30,0),IF(49=$HK14,IF($JC14=1,30,0),ABS(1-$HC14)*100)),100000+ABS(3-$HB14)*1000+10)),IF($HD14=0,999999,IF(3=$HE14,IF(49=$HL14,IF($JD14=2,30,0),IF(49=$HM14,IF($JD14=1,30,0),ABS(1-$HF14)*100)),100000+ABS(3-$HE14)*1000+10)),IF($HG14=0,999999,IF(3=$HH14,IF(49=$HN14,IF($JE14=2,30,0),IF(49=$HO14,IF($JE14=1,30,0),ABS(1-$HI14)*100)),100000+ABS(3-$HH14)*1000+10)))-IF((49=$HJ14)+(49=$HK14)+(49=$HL14)+(49=$HM14)+(49=$HN14)+(49=$HO14)&gt;=2,50,0))+AZ$5*50)</f>
        <v/>
      </c>
      <c r="BA134">
        <f>IF(OR($JF14=0,calcA!$A$6=0),0,IF(OR(50=$HA14,50=$HD14,50=$HG14),200000,MIN(IF($HA14=0,999999,IF(3=$HB14,IF(50=$HJ14,IF($JC14=2,30,0),IF(50=$HK14,IF($JC14=1,30,0),ABS(2-$HC14)*100)),100000+ABS(3-$HB14)*1000+20)),IF($HD14=0,999999,IF(3=$HE14,IF(50=$HL14,IF($JD14=2,30,0),IF(50=$HM14,IF($JD14=1,30,0),ABS(2-$HF14)*100)),100000+ABS(3-$HE14)*1000+20)),IF($HG14=0,999999,IF(3=$HH14,IF(50=$HN14,IF($JE14=2,30,0),IF(50=$HO14,IF($JE14=1,30,0),ABS(2-$HI14)*100)),100000+ABS(3-$HH14)*1000+20)))-IF((50=$HJ14)+(50=$HK14)+(50=$HL14)+(50=$HM14)+(50=$HN14)+(50=$HO14)&gt;=2,50,0))+BA$5*50)</f>
        <v/>
      </c>
      <c r="BB134">
        <f>IF(OR($JF14=0,calcA!$A$6=0),0,IF(OR(51=$HA14,51=$HD14,51=$HG14),200000,MIN(IF($HA14=0,999999,IF(3=$HB14,IF(51=$HJ14,IF($JC14=2,30,0),IF(51=$HK14,IF($JC14=1,30,0),ABS(3-$HC14)*100)),100000+ABS(3-$HB14)*1000+30)),IF($HD14=0,999999,IF(3=$HE14,IF(51=$HL14,IF($JD14=2,30,0),IF(51=$HM14,IF($JD14=1,30,0),ABS(3-$HF14)*100)),100000+ABS(3-$HE14)*1000+30)),IF($HG14=0,999999,IF(3=$HH14,IF(51=$HN14,IF($JE14=2,30,0),IF(51=$HO14,IF($JE14=1,30,0),ABS(3-$HI14)*100)),100000+ABS(3-$HH14)*1000+30)))-IF((51=$HJ14)+(51=$HK14)+(51=$HL14)+(51=$HM14)+(51=$HN14)+(51=$HO14)&gt;=2,50,0))+BB$5*50)</f>
        <v/>
      </c>
      <c r="BC134">
        <f>IF(OR($JF14=0,calcA!$A$6=0),0,IF(OR(52=$HA14,52=$HD14,52=$HG14),200000,MIN(IF($HA14=0,999999,IF(3=$HB14,IF(52=$HJ14,IF($JC14=2,30,0),IF(52=$HK14,IF($JC14=1,30,0),ABS(4-$HC14)*100)),100000+ABS(3-$HB14)*1000+40)),IF($HD14=0,999999,IF(3=$HE14,IF(52=$HL14,IF($JD14=2,30,0),IF(52=$HM14,IF($JD14=1,30,0),ABS(4-$HF14)*100)),100000+ABS(3-$HE14)*1000+40)),IF($HG14=0,999999,IF(3=$HH14,IF(52=$HN14,IF($JE14=2,30,0),IF(52=$HO14,IF($JE14=1,30,0),ABS(4-$HI14)*100)),100000+ABS(3-$HH14)*1000+40)))-IF((52=$HJ14)+(52=$HK14)+(52=$HL14)+(52=$HM14)+(52=$HN14)+(52=$HO14)&gt;=2,50,0))+BC$5*50)</f>
        <v/>
      </c>
      <c r="BD134">
        <f>IF(OR($JF14=0,calcA!$A$6=0),0,IF(OR(53=$HA14,53=$HD14,53=$HG14),200000,MIN(IF($HA14=0,999999,IF(3=$HB14,IF(53=$HJ14,IF($JC14=2,30,0),IF(53=$HK14,IF($JC14=1,30,0),ABS(5-$HC14)*100)),100000+ABS(3-$HB14)*1000+50)),IF($HD14=0,999999,IF(3=$HE14,IF(53=$HL14,IF($JD14=2,30,0),IF(53=$HM14,IF($JD14=1,30,0),ABS(5-$HF14)*100)),100000+ABS(3-$HE14)*1000+50)),IF($HG14=0,999999,IF(3=$HH14,IF(53=$HN14,IF($JE14=2,30,0),IF(53=$HO14,IF($JE14=1,30,0),ABS(5-$HI14)*100)),100000+ABS(3-$HH14)*1000+50)))-IF((53=$HJ14)+(53=$HK14)+(53=$HL14)+(53=$HM14)+(53=$HN14)+(53=$HO14)&gt;=2,50,0))+BD$5*50)</f>
        <v/>
      </c>
      <c r="BE134">
        <f>IF(OR($JF14=0,calcA!$A$6=0),0,IF(OR(54=$HA14,54=$HD14,54=$HG14),200000,MIN(IF($HA14=0,999999,IF(3=$HB14,IF(54=$HJ14,IF($JC14=2,30,0),IF(54=$HK14,IF($JC14=1,30,0),ABS(6-$HC14)*100)),100000+ABS(3-$HB14)*1000+60)),IF($HD14=0,999999,IF(3=$HE14,IF(54=$HL14,IF($JD14=2,30,0),IF(54=$HM14,IF($JD14=1,30,0),ABS(6-$HF14)*100)),100000+ABS(3-$HE14)*1000+60)),IF($HG14=0,999999,IF(3=$HH14,IF(54=$HN14,IF($JE14=2,30,0),IF(54=$HO14,IF($JE14=1,30,0),ABS(6-$HI14)*100)),100000+ABS(3-$HH14)*1000+60)))-IF((54=$HJ14)+(54=$HK14)+(54=$HL14)+(54=$HM14)+(54=$HN14)+(54=$HO14)&gt;=2,50,0))+BE$5*50)</f>
        <v/>
      </c>
      <c r="BF134">
        <f>IF(OR($JF14=0,calcA!$A$6=0),0,IF(OR(55=$HA14,55=$HD14,55=$HG14),200000,MIN(IF($HA14=0,999999,IF(3=$HB14,IF(55=$HJ14,IF($JC14=2,30,0),IF(55=$HK14,IF($JC14=1,30,0),ABS(7-$HC14)*100)),100000+ABS(3-$HB14)*1000+70)),IF($HD14=0,999999,IF(3=$HE14,IF(55=$HL14,IF($JD14=2,30,0),IF(55=$HM14,IF($JD14=1,30,0),ABS(7-$HF14)*100)),100000+ABS(3-$HE14)*1000+70)),IF($HG14=0,999999,IF(3=$HH14,IF(55=$HN14,IF($JE14=2,30,0),IF(55=$HO14,IF($JE14=1,30,0),ABS(7-$HI14)*100)),100000+ABS(3-$HH14)*1000+70)))-IF((55=$HJ14)+(55=$HK14)+(55=$HL14)+(55=$HM14)+(55=$HN14)+(55=$HO14)&gt;=2,50,0))+BF$5*50)</f>
        <v/>
      </c>
      <c r="BG134">
        <f>IF(OR($JF14=0,calcA!$A$6=0),0,IF(OR(56=$HA14,56=$HD14,56=$HG14),200000,MIN(IF($HA14=0,999999,IF(3=$HB14,IF(56=$HJ14,IF($JC14=2,30,0),IF(56=$HK14,IF($JC14=1,30,0),ABS(8-$HC14)*100)),100000+ABS(3-$HB14)*1000+80)),IF($HD14=0,999999,IF(3=$HE14,IF(56=$HL14,IF($JD14=2,30,0),IF(56=$HM14,IF($JD14=1,30,0),ABS(8-$HF14)*100)),100000+ABS(3-$HE14)*1000+80)),IF($HG14=0,999999,IF(3=$HH14,IF(56=$HN14,IF($JE14=2,30,0),IF(56=$HO14,IF($JE14=1,30,0),ABS(8-$HI14)*100)),100000+ABS(3-$HH14)*1000+80)))-IF((56=$HJ14)+(56=$HK14)+(56=$HL14)+(56=$HM14)+(56=$HN14)+(56=$HO14)&gt;=2,50,0))+BG$5*50)</f>
        <v/>
      </c>
      <c r="BH134">
        <f>IF(OR($JF14=0,calcA!$A$6=0),0,IF(OR(57=$HA14,57=$HD14,57=$HG14),200000,MIN(IF($HA14=0,999999,IF(3=$HB14,IF(57=$HJ14,IF($JC14=2,30,0),IF(57=$HK14,IF($JC14=1,30,0),ABS(9-$HC14)*100)),100000+ABS(3-$HB14)*1000+90)),IF($HD14=0,999999,IF(3=$HE14,IF(57=$HL14,IF($JD14=2,30,0),IF(57=$HM14,IF($JD14=1,30,0),ABS(9-$HF14)*100)),100000+ABS(3-$HE14)*1000+90)),IF($HG14=0,999999,IF(3=$HH14,IF(57=$HN14,IF($JE14=2,30,0),IF(57=$HO14,IF($JE14=1,30,0),ABS(9-$HI14)*100)),100000+ABS(3-$HH14)*1000+90)))-IF((57=$HJ14)+(57=$HK14)+(57=$HL14)+(57=$HM14)+(57=$HN14)+(57=$HO14)&gt;=2,50,0))+BH$5*50)</f>
        <v/>
      </c>
      <c r="BI134">
        <f>IF(OR($JF14=0,calcA!$A$6=0),0,IF(OR(58=$HA14,58=$HD14,58=$HG14),200000,MIN(IF($HA14=0,999999,IF(3=$HB14,IF(58=$HJ14,IF($JC14=2,30,0),IF(58=$HK14,IF($JC14=1,30,0),ABS(10-$HC14)*100)),100000+ABS(3-$HB14)*1000+100)),IF($HD14=0,999999,IF(3=$HE14,IF(58=$HL14,IF($JD14=2,30,0),IF(58=$HM14,IF($JD14=1,30,0),ABS(10-$HF14)*100)),100000+ABS(3-$HE14)*1000+100)),IF($HG14=0,999999,IF(3=$HH14,IF(58=$HN14,IF($JE14=2,30,0),IF(58=$HO14,IF($JE14=1,30,0),ABS(10-$HI14)*100)),100000+ABS(3-$HH14)*1000+100)))-IF((58=$HJ14)+(58=$HK14)+(58=$HL14)+(58=$HM14)+(58=$HN14)+(58=$HO14)&gt;=2,50,0))+BI$5*50)</f>
        <v/>
      </c>
      <c r="BJ134">
        <f>IF(OR($JF14=0,calcA!$A$6=0),0,IF(OR(59=$HA14,59=$HD14,59=$HG14),200000,MIN(IF($HA14=0,999999,IF(3=$HB14,IF(59=$HJ14,IF($JC14=2,30,0),IF(59=$HK14,IF($JC14=1,30,0),ABS(11-$HC14)*100)),100000+ABS(3-$HB14)*1000+110)),IF($HD14=0,999999,IF(3=$HE14,IF(59=$HL14,IF($JD14=2,30,0),IF(59=$HM14,IF($JD14=1,30,0),ABS(11-$HF14)*100)),100000+ABS(3-$HE14)*1000+110)),IF($HG14=0,999999,IF(3=$HH14,IF(59=$HN14,IF($JE14=2,30,0),IF(59=$HO14,IF($JE14=1,30,0),ABS(11-$HI14)*100)),100000+ABS(3-$HH14)*1000+110)))-IF((59=$HJ14)+(59=$HK14)+(59=$HL14)+(59=$HM14)+(59=$HN14)+(59=$HO14)&gt;=2,50,0))+BJ$5*50)</f>
        <v/>
      </c>
      <c r="BK134">
        <f>IF(OR($JF14=0,calcA!$A$6=0),0,IF(OR(60=$HA14,60=$HD14,60=$HG14),200000,MIN(IF($HA14=0,999999,IF(3=$HB14,IF(60=$HJ14,IF($JC14=2,30,0),IF(60=$HK14,IF($JC14=1,30,0),ABS(12-$HC14)*100)),100000+ABS(3-$HB14)*1000+120)),IF($HD14=0,999999,IF(3=$HE14,IF(60=$HL14,IF($JD14=2,30,0),IF(60=$HM14,IF($JD14=1,30,0),ABS(12-$HF14)*100)),100000+ABS(3-$HE14)*1000+120)),IF($HG14=0,999999,IF(3=$HH14,IF(60=$HN14,IF($JE14=2,30,0),IF(60=$HO14,IF($JE14=1,30,0),ABS(12-$HI14)*100)),100000+ABS(3-$HH14)*1000+120)))-IF((60=$HJ14)+(60=$HK14)+(60=$HL14)+(60=$HM14)+(60=$HN14)+(60=$HO14)&gt;=2,50,0))+BK$5*50)</f>
        <v/>
      </c>
      <c r="BL134">
        <f>IF(OR($JF14=0,calcA!$A$6=0),0,IF(OR(61=$HA14,61=$HD14,61=$HG14),200000,MIN(IF($HA14=0,999999,IF(3=$HB14,IF(61=$HJ14,IF($JC14=2,30,0),IF(61=$HK14,IF($JC14=1,30,0),ABS(13-$HC14)*100)),100000+ABS(3-$HB14)*1000+130)),IF($HD14=0,999999,IF(3=$HE14,IF(61=$HL14,IF($JD14=2,30,0),IF(61=$HM14,IF($JD14=1,30,0),ABS(13-$HF14)*100)),100000+ABS(3-$HE14)*1000+130)),IF($HG14=0,999999,IF(3=$HH14,IF(61=$HN14,IF($JE14=2,30,0),IF(61=$HO14,IF($JE14=1,30,0),ABS(13-$HI14)*100)),100000+ABS(3-$HH14)*1000+130)))-IF((61=$HJ14)+(61=$HK14)+(61=$HL14)+(61=$HM14)+(61=$HN14)+(61=$HO14)&gt;=2,50,0))+BL$5*50)</f>
        <v/>
      </c>
      <c r="BM134">
        <f>IF(OR($JF14=0,calcA!$A$6=0),0,IF(OR(62=$HA14,62=$HD14,62=$HG14),200000,MIN(IF($HA14=0,999999,IF(3=$HB14,IF(62=$HJ14,IF($JC14=2,30,0),IF(62=$HK14,IF($JC14=1,30,0),ABS(14-$HC14)*100)),100000+ABS(3-$HB14)*1000+140)),IF($HD14=0,999999,IF(3=$HE14,IF(62=$HL14,IF($JD14=2,30,0),IF(62=$HM14,IF($JD14=1,30,0),ABS(14-$HF14)*100)),100000+ABS(3-$HE14)*1000+140)),IF($HG14=0,999999,IF(3=$HH14,IF(62=$HN14,IF($JE14=2,30,0),IF(62=$HO14,IF($JE14=1,30,0),ABS(14-$HI14)*100)),100000+ABS(3-$HH14)*1000+140)))-IF((62=$HJ14)+(62=$HK14)+(62=$HL14)+(62=$HM14)+(62=$HN14)+(62=$HO14)&gt;=2,50,0))+BM$5*50)</f>
        <v/>
      </c>
      <c r="BN134">
        <f>IF(OR($JF14=0,calcA!$A$6=0),0,IF(OR(63=$HA14,63=$HD14,63=$HG14),200000,MIN(IF($HA14=0,999999,IF(3=$HB14,IF(63=$HJ14,IF($JC14=2,30,0),IF(63=$HK14,IF($JC14=1,30,0),ABS(15-$HC14)*100)),100000+ABS(3-$HB14)*1000+150)),IF($HD14=0,999999,IF(3=$HE14,IF(63=$HL14,IF($JD14=2,30,0),IF(63=$HM14,IF($JD14=1,30,0),ABS(15-$HF14)*100)),100000+ABS(3-$HE14)*1000+150)),IF($HG14=0,999999,IF(3=$HH14,IF(63=$HN14,IF($JE14=2,30,0),IF(63=$HO14,IF($JE14=1,30,0),ABS(15-$HI14)*100)),100000+ABS(3-$HH14)*1000+150)))-IF((63=$HJ14)+(63=$HK14)+(63=$HL14)+(63=$HM14)+(63=$HN14)+(63=$HO14)&gt;=2,50,0))+BN$5*50)</f>
        <v/>
      </c>
      <c r="BO134">
        <f>IF(OR($JF14=0,calcA!$A$6=0),0,IF(OR(64=$HA14,64=$HD14,64=$HG14),200000,MIN(IF($HA14=0,999999,IF(3=$HB14,IF(64=$HJ14,IF($JC14=2,30,0),IF(64=$HK14,IF($JC14=1,30,0),ABS(16-$HC14)*100)),100000+ABS(3-$HB14)*1000+160)),IF($HD14=0,999999,IF(3=$HE14,IF(64=$HL14,IF($JD14=2,30,0),IF(64=$HM14,IF($JD14=1,30,0),ABS(16-$HF14)*100)),100000+ABS(3-$HE14)*1000+160)),IF($HG14=0,999999,IF(3=$HH14,IF(64=$HN14,IF($JE14=2,30,0),IF(64=$HO14,IF($JE14=1,30,0),ABS(16-$HI14)*100)),100000+ABS(3-$HH14)*1000+160)))-IF((64=$HJ14)+(64=$HK14)+(64=$HL14)+(64=$HM14)+(64=$HN14)+(64=$HO14)&gt;=2,50,0))+BO$5*50)</f>
        <v/>
      </c>
      <c r="BP134">
        <f>IF(OR($JF14=0,calcA!$A$6=0),0,IF(OR(65=$HA14,65=$HD14,65=$HG14),200000,MIN(IF($HA14=0,999999,IF(3=$HB14,IF(65=$HJ14,IF($JC14=2,30,0),IF(65=$HK14,IF($JC14=1,30,0),ABS(17-$HC14)*100)),100000+ABS(3-$HB14)*1000+170)),IF($HD14=0,999999,IF(3=$HE14,IF(65=$HL14,IF($JD14=2,30,0),IF(65=$HM14,IF($JD14=1,30,0),ABS(17-$HF14)*100)),100000+ABS(3-$HE14)*1000+170)),IF($HG14=0,999999,IF(3=$HH14,IF(65=$HN14,IF($JE14=2,30,0),IF(65=$HO14,IF($JE14=1,30,0),ABS(17-$HI14)*100)),100000+ABS(3-$HH14)*1000+170)))-IF((65=$HJ14)+(65=$HK14)+(65=$HL14)+(65=$HM14)+(65=$HN14)+(65=$HO14)&gt;=2,50,0))+BP$5*50)</f>
        <v/>
      </c>
      <c r="BQ134">
        <f>IF(OR($JF14=0,calcA!$A$6=0),0,IF(OR(66=$HA14,66=$HD14,66=$HG14),200000,MIN(IF($HA14=0,999999,IF(3=$HB14,IF(66=$HJ14,IF($JC14=2,30,0),IF(66=$HK14,IF($JC14=1,30,0),ABS(18-$HC14)*100)),100000+ABS(3-$HB14)*1000+180)),IF($HD14=0,999999,IF(3=$HE14,IF(66=$HL14,IF($JD14=2,30,0),IF(66=$HM14,IF($JD14=1,30,0),ABS(18-$HF14)*100)),100000+ABS(3-$HE14)*1000+180)),IF($HG14=0,999999,IF(3=$HH14,IF(66=$HN14,IF($JE14=2,30,0),IF(66=$HO14,IF($JE14=1,30,0),ABS(18-$HI14)*100)),100000+ABS(3-$HH14)*1000+180)))-IF((66=$HJ14)+(66=$HK14)+(66=$HL14)+(66=$HM14)+(66=$HN14)+(66=$HO14)&gt;=2,50,0))+BQ$5*50)</f>
        <v/>
      </c>
      <c r="BR134">
        <f>IF(OR($JF14=0,calcA!$A$6=0),0,IF(OR(67=$HA14,67=$HD14,67=$HG14),200000,MIN(IF($HA14=0,999999,IF(3=$HB14,IF(67=$HJ14,IF($JC14=2,30,0),IF(67=$HK14,IF($JC14=1,30,0),ABS(19-$HC14)*100)),100000+ABS(3-$HB14)*1000+190)),IF($HD14=0,999999,IF(3=$HE14,IF(67=$HL14,IF($JD14=2,30,0),IF(67=$HM14,IF($JD14=1,30,0),ABS(19-$HF14)*100)),100000+ABS(3-$HE14)*1000+190)),IF($HG14=0,999999,IF(3=$HH14,IF(67=$HN14,IF($JE14=2,30,0),IF(67=$HO14,IF($JE14=1,30,0),ABS(19-$HI14)*100)),100000+ABS(3-$HH14)*1000+190)))-IF((67=$HJ14)+(67=$HK14)+(67=$HL14)+(67=$HM14)+(67=$HN14)+(67=$HO14)&gt;=2,50,0))+BR$5*50)</f>
        <v/>
      </c>
      <c r="BS134">
        <f>IF(OR($JF14=0,calcA!$A$6=0),0,IF(OR(68=$HA14,68=$HD14,68=$HG14),200000,MIN(IF($HA14=0,999999,IF(3=$HB14,IF(68=$HJ14,IF($JC14=2,30,0),IF(68=$HK14,IF($JC14=1,30,0),ABS(20-$HC14)*100)),100000+ABS(3-$HB14)*1000+200)),IF($HD14=0,999999,IF(3=$HE14,IF(68=$HL14,IF($JD14=2,30,0),IF(68=$HM14,IF($JD14=1,30,0),ABS(20-$HF14)*100)),100000+ABS(3-$HE14)*1000+200)),IF($HG14=0,999999,IF(3=$HH14,IF(68=$HN14,IF($JE14=2,30,0),IF(68=$HO14,IF($JE14=1,30,0),ABS(20-$HI14)*100)),100000+ABS(3-$HH14)*1000+200)))-IF((68=$HJ14)+(68=$HK14)+(68=$HL14)+(68=$HM14)+(68=$HN14)+(68=$HO14)&gt;=2,50,0))+BS$5*50)</f>
        <v/>
      </c>
      <c r="BT134">
        <f>IF(OR($JF14=0,calcA!$A$6=0),0,IF(OR(69=$HA14,69=$HD14,69=$HG14),200000,MIN(IF($HA14=0,999999,IF(3=$HB14,IF(69=$HJ14,IF($JC14=2,30,0),IF(69=$HK14,IF($JC14=1,30,0),ABS(21-$HC14)*100)),100000+ABS(3-$HB14)*1000+210)),IF($HD14=0,999999,IF(3=$HE14,IF(69=$HL14,IF($JD14=2,30,0),IF(69=$HM14,IF($JD14=1,30,0),ABS(21-$HF14)*100)),100000+ABS(3-$HE14)*1000+210)),IF($HG14=0,999999,IF(3=$HH14,IF(69=$HN14,IF($JE14=2,30,0),IF(69=$HO14,IF($JE14=1,30,0),ABS(21-$HI14)*100)),100000+ABS(3-$HH14)*1000+210)))-IF((69=$HJ14)+(69=$HK14)+(69=$HL14)+(69=$HM14)+(69=$HN14)+(69=$HO14)&gt;=2,50,0))+BT$5*50)</f>
        <v/>
      </c>
      <c r="BU134">
        <f>IF(OR($JF14=0,calcA!$A$6=0),0,IF(OR(70=$HA14,70=$HD14,70=$HG14),200000,MIN(IF($HA14=0,999999,IF(3=$HB14,IF(70=$HJ14,IF($JC14=2,30,0),IF(70=$HK14,IF($JC14=1,30,0),ABS(22-$HC14)*100)),100000+ABS(3-$HB14)*1000+220)),IF($HD14=0,999999,IF(3=$HE14,IF(70=$HL14,IF($JD14=2,30,0),IF(70=$HM14,IF($JD14=1,30,0),ABS(22-$HF14)*100)),100000+ABS(3-$HE14)*1000+220)),IF($HG14=0,999999,IF(3=$HH14,IF(70=$HN14,IF($JE14=2,30,0),IF(70=$HO14,IF($JE14=1,30,0),ABS(22-$HI14)*100)),100000+ABS(3-$HH14)*1000+220)))-IF((70=$HJ14)+(70=$HK14)+(70=$HL14)+(70=$HM14)+(70=$HN14)+(70=$HO14)&gt;=2,50,0))+BU$5*50)</f>
        <v/>
      </c>
      <c r="BV134">
        <f>IF(OR($JF14=0,calcA!$A$6=0),0,IF(OR(71=$HA14,71=$HD14,71=$HG14),200000,MIN(IF($HA14=0,999999,IF(3=$HB14,IF(71=$HJ14,IF($JC14=2,30,0),IF(71=$HK14,IF($JC14=1,30,0),ABS(23-$HC14)*100)),100000+ABS(3-$HB14)*1000+230)),IF($HD14=0,999999,IF(3=$HE14,IF(71=$HL14,IF($JD14=2,30,0),IF(71=$HM14,IF($JD14=1,30,0),ABS(23-$HF14)*100)),100000+ABS(3-$HE14)*1000+230)),IF($HG14=0,999999,IF(3=$HH14,IF(71=$HN14,IF($JE14=2,30,0),IF(71=$HO14,IF($JE14=1,30,0),ABS(23-$HI14)*100)),100000+ABS(3-$HH14)*1000+230)))-IF((71=$HJ14)+(71=$HK14)+(71=$HL14)+(71=$HM14)+(71=$HN14)+(71=$HO14)&gt;=2,50,0))+BV$5*50)</f>
        <v/>
      </c>
      <c r="BW134">
        <f>IF(OR($JF14=0,calcA!$A$6=0),0,IF(OR(72=$HA14,72=$HD14,72=$HG14),200000,MIN(IF($HA14=0,999999,IF(3=$HB14,IF(72=$HJ14,IF($JC14=2,30,0),IF(72=$HK14,IF($JC14=1,30,0),ABS(24-$HC14)*100)),100000+ABS(3-$HB14)*1000+240)),IF($HD14=0,999999,IF(3=$HE14,IF(72=$HL14,IF($JD14=2,30,0),IF(72=$HM14,IF($JD14=1,30,0),ABS(24-$HF14)*100)),100000+ABS(3-$HE14)*1000+240)),IF($HG14=0,999999,IF(3=$HH14,IF(72=$HN14,IF($JE14=2,30,0),IF(72=$HO14,IF($JE14=1,30,0),ABS(24-$HI14)*100)),100000+ABS(3-$HH14)*1000+240)))-IF((72=$HJ14)+(72=$HK14)+(72=$HL14)+(72=$HM14)+(72=$HN14)+(72=$HO14)&gt;=2,50,0))+BW$5*50)</f>
        <v/>
      </c>
      <c r="BX134">
        <f>IF(OR($JF14=0,calcA!$A$6=0),0,IF(OR(73=$HA14,73=$HD14,73=$HG14),200000,MIN(IF($HA14=0,999999,IF(4=$HB14,IF(73=$HJ14,IF($JC14=2,30,0),IF(73=$HK14,IF($JC14=1,30,0),ABS(1-$HC14)*100)),100000+ABS(4-$HB14)*1000+10)),IF($HD14=0,999999,IF(4=$HE14,IF(73=$HL14,IF($JD14=2,30,0),IF(73=$HM14,IF($JD14=1,30,0),ABS(1-$HF14)*100)),100000+ABS(4-$HE14)*1000+10)),IF($HG14=0,999999,IF(4=$HH14,IF(73=$HN14,IF($JE14=2,30,0),IF(73=$HO14,IF($JE14=1,30,0),ABS(1-$HI14)*100)),100000+ABS(4-$HH14)*1000+10)))-IF((73=$HJ14)+(73=$HK14)+(73=$HL14)+(73=$HM14)+(73=$HN14)+(73=$HO14)&gt;=2,50,0))+BX$5*50)</f>
        <v/>
      </c>
      <c r="BY134">
        <f>IF(OR($JF14=0,calcA!$A$6=0),0,IF(OR(74=$HA14,74=$HD14,74=$HG14),200000,MIN(IF($HA14=0,999999,IF(4=$HB14,IF(74=$HJ14,IF($JC14=2,30,0),IF(74=$HK14,IF($JC14=1,30,0),ABS(2-$HC14)*100)),100000+ABS(4-$HB14)*1000+20)),IF($HD14=0,999999,IF(4=$HE14,IF(74=$HL14,IF($JD14=2,30,0),IF(74=$HM14,IF($JD14=1,30,0),ABS(2-$HF14)*100)),100000+ABS(4-$HE14)*1000+20)),IF($HG14=0,999999,IF(4=$HH14,IF(74=$HN14,IF($JE14=2,30,0),IF(74=$HO14,IF($JE14=1,30,0),ABS(2-$HI14)*100)),100000+ABS(4-$HH14)*1000+20)))-IF((74=$HJ14)+(74=$HK14)+(74=$HL14)+(74=$HM14)+(74=$HN14)+(74=$HO14)&gt;=2,50,0))+BY$5*50)</f>
        <v/>
      </c>
      <c r="BZ134">
        <f>IF(OR($JF14=0,calcA!$A$6=0),0,IF(OR(75=$HA14,75=$HD14,75=$HG14),200000,MIN(IF($HA14=0,999999,IF(4=$HB14,IF(75=$HJ14,IF($JC14=2,30,0),IF(75=$HK14,IF($JC14=1,30,0),ABS(3-$HC14)*100)),100000+ABS(4-$HB14)*1000+30)),IF($HD14=0,999999,IF(4=$HE14,IF(75=$HL14,IF($JD14=2,30,0),IF(75=$HM14,IF($JD14=1,30,0),ABS(3-$HF14)*100)),100000+ABS(4-$HE14)*1000+30)),IF($HG14=0,999999,IF(4=$HH14,IF(75=$HN14,IF($JE14=2,30,0),IF(75=$HO14,IF($JE14=1,30,0),ABS(3-$HI14)*100)),100000+ABS(4-$HH14)*1000+30)))-IF((75=$HJ14)+(75=$HK14)+(75=$HL14)+(75=$HM14)+(75=$HN14)+(75=$HO14)&gt;=2,50,0))+BZ$5*50)</f>
        <v/>
      </c>
      <c r="CA134">
        <f>IF(OR($JF14=0,calcA!$A$6=0),0,IF(OR(76=$HA14,76=$HD14,76=$HG14),200000,MIN(IF($HA14=0,999999,IF(4=$HB14,IF(76=$HJ14,IF($JC14=2,30,0),IF(76=$HK14,IF($JC14=1,30,0),ABS(4-$HC14)*100)),100000+ABS(4-$HB14)*1000+40)),IF($HD14=0,999999,IF(4=$HE14,IF(76=$HL14,IF($JD14=2,30,0),IF(76=$HM14,IF($JD14=1,30,0),ABS(4-$HF14)*100)),100000+ABS(4-$HE14)*1000+40)),IF($HG14=0,999999,IF(4=$HH14,IF(76=$HN14,IF($JE14=2,30,0),IF(76=$HO14,IF($JE14=1,30,0),ABS(4-$HI14)*100)),100000+ABS(4-$HH14)*1000+40)))-IF((76=$HJ14)+(76=$HK14)+(76=$HL14)+(76=$HM14)+(76=$HN14)+(76=$HO14)&gt;=2,50,0))+CA$5*50)</f>
        <v/>
      </c>
      <c r="CB134">
        <f>IF(OR($JF14=0,calcA!$A$6=0),0,IF(OR(77=$HA14,77=$HD14,77=$HG14),200000,MIN(IF($HA14=0,999999,IF(4=$HB14,IF(77=$HJ14,IF($JC14=2,30,0),IF(77=$HK14,IF($JC14=1,30,0),ABS(5-$HC14)*100)),100000+ABS(4-$HB14)*1000+50)),IF($HD14=0,999999,IF(4=$HE14,IF(77=$HL14,IF($JD14=2,30,0),IF(77=$HM14,IF($JD14=1,30,0),ABS(5-$HF14)*100)),100000+ABS(4-$HE14)*1000+50)),IF($HG14=0,999999,IF(4=$HH14,IF(77=$HN14,IF($JE14=2,30,0),IF(77=$HO14,IF($JE14=1,30,0),ABS(5-$HI14)*100)),100000+ABS(4-$HH14)*1000+50)))-IF((77=$HJ14)+(77=$HK14)+(77=$HL14)+(77=$HM14)+(77=$HN14)+(77=$HO14)&gt;=2,50,0))+CB$5*50)</f>
        <v/>
      </c>
      <c r="CC134">
        <f>IF(OR($JF14=0,calcA!$A$6=0),0,IF(OR(78=$HA14,78=$HD14,78=$HG14),200000,MIN(IF($HA14=0,999999,IF(4=$HB14,IF(78=$HJ14,IF($JC14=2,30,0),IF(78=$HK14,IF($JC14=1,30,0),ABS(6-$HC14)*100)),100000+ABS(4-$HB14)*1000+60)),IF($HD14=0,999999,IF(4=$HE14,IF(78=$HL14,IF($JD14=2,30,0),IF(78=$HM14,IF($JD14=1,30,0),ABS(6-$HF14)*100)),100000+ABS(4-$HE14)*1000+60)),IF($HG14=0,999999,IF(4=$HH14,IF(78=$HN14,IF($JE14=2,30,0),IF(78=$HO14,IF($JE14=1,30,0),ABS(6-$HI14)*100)),100000+ABS(4-$HH14)*1000+60)))-IF((78=$HJ14)+(78=$HK14)+(78=$HL14)+(78=$HM14)+(78=$HN14)+(78=$HO14)&gt;=2,50,0))+CC$5*50)</f>
        <v/>
      </c>
      <c r="CD134">
        <f>IF(OR($JF14=0,calcA!$A$6=0),0,IF(OR(79=$HA14,79=$HD14,79=$HG14),200000,MIN(IF($HA14=0,999999,IF(4=$HB14,IF(79=$HJ14,IF($JC14=2,30,0),IF(79=$HK14,IF($JC14=1,30,0),ABS(7-$HC14)*100)),100000+ABS(4-$HB14)*1000+70)),IF($HD14=0,999999,IF(4=$HE14,IF(79=$HL14,IF($JD14=2,30,0),IF(79=$HM14,IF($JD14=1,30,0),ABS(7-$HF14)*100)),100000+ABS(4-$HE14)*1000+70)),IF($HG14=0,999999,IF(4=$HH14,IF(79=$HN14,IF($JE14=2,30,0),IF(79=$HO14,IF($JE14=1,30,0),ABS(7-$HI14)*100)),100000+ABS(4-$HH14)*1000+70)))-IF((79=$HJ14)+(79=$HK14)+(79=$HL14)+(79=$HM14)+(79=$HN14)+(79=$HO14)&gt;=2,50,0))+CD$5*50)</f>
        <v/>
      </c>
      <c r="CE134">
        <f>IF(OR($JF14=0,calcA!$A$6=0),0,IF(OR(80=$HA14,80=$HD14,80=$HG14),200000,MIN(IF($HA14=0,999999,IF(4=$HB14,IF(80=$HJ14,IF($JC14=2,30,0),IF(80=$HK14,IF($JC14=1,30,0),ABS(8-$HC14)*100)),100000+ABS(4-$HB14)*1000+80)),IF($HD14=0,999999,IF(4=$HE14,IF(80=$HL14,IF($JD14=2,30,0),IF(80=$HM14,IF($JD14=1,30,0),ABS(8-$HF14)*100)),100000+ABS(4-$HE14)*1000+80)),IF($HG14=0,999999,IF(4=$HH14,IF(80=$HN14,IF($JE14=2,30,0),IF(80=$HO14,IF($JE14=1,30,0),ABS(8-$HI14)*100)),100000+ABS(4-$HH14)*1000+80)))-IF((80=$HJ14)+(80=$HK14)+(80=$HL14)+(80=$HM14)+(80=$HN14)+(80=$HO14)&gt;=2,50,0))+CE$5*50)</f>
        <v/>
      </c>
      <c r="CF134">
        <f>IF(OR($JF14=0,calcA!$A$6=0),0,IF(OR(81=$HA14,81=$HD14,81=$HG14),200000,MIN(IF($HA14=0,999999,IF(4=$HB14,IF(81=$HJ14,IF($JC14=2,30,0),IF(81=$HK14,IF($JC14=1,30,0),ABS(9-$HC14)*100)),100000+ABS(4-$HB14)*1000+90)),IF($HD14=0,999999,IF(4=$HE14,IF(81=$HL14,IF($JD14=2,30,0),IF(81=$HM14,IF($JD14=1,30,0),ABS(9-$HF14)*100)),100000+ABS(4-$HE14)*1000+90)),IF($HG14=0,999999,IF(4=$HH14,IF(81=$HN14,IF($JE14=2,30,0),IF(81=$HO14,IF($JE14=1,30,0),ABS(9-$HI14)*100)),100000+ABS(4-$HH14)*1000+90)))-IF((81=$HJ14)+(81=$HK14)+(81=$HL14)+(81=$HM14)+(81=$HN14)+(81=$HO14)&gt;=2,50,0))+CF$5*50)</f>
        <v/>
      </c>
      <c r="CG134">
        <f>IF(OR($JF14=0,calcA!$A$6=0),0,IF(OR(82=$HA14,82=$HD14,82=$HG14),200000,MIN(IF($HA14=0,999999,IF(4=$HB14,IF(82=$HJ14,IF($JC14=2,30,0),IF(82=$HK14,IF($JC14=1,30,0),ABS(10-$HC14)*100)),100000+ABS(4-$HB14)*1000+100)),IF($HD14=0,999999,IF(4=$HE14,IF(82=$HL14,IF($JD14=2,30,0),IF(82=$HM14,IF($JD14=1,30,0),ABS(10-$HF14)*100)),100000+ABS(4-$HE14)*1000+100)),IF($HG14=0,999999,IF(4=$HH14,IF(82=$HN14,IF($JE14=2,30,0),IF(82=$HO14,IF($JE14=1,30,0),ABS(10-$HI14)*100)),100000+ABS(4-$HH14)*1000+100)))-IF((82=$HJ14)+(82=$HK14)+(82=$HL14)+(82=$HM14)+(82=$HN14)+(82=$HO14)&gt;=2,50,0))+CG$5*50)</f>
        <v/>
      </c>
      <c r="CH134">
        <f>IF(OR($JF14=0,calcA!$A$6=0),0,IF(OR(83=$HA14,83=$HD14,83=$HG14),200000,MIN(IF($HA14=0,999999,IF(4=$HB14,IF(83=$HJ14,IF($JC14=2,30,0),IF(83=$HK14,IF($JC14=1,30,0),ABS(11-$HC14)*100)),100000+ABS(4-$HB14)*1000+110)),IF($HD14=0,999999,IF(4=$HE14,IF(83=$HL14,IF($JD14=2,30,0),IF(83=$HM14,IF($JD14=1,30,0),ABS(11-$HF14)*100)),100000+ABS(4-$HE14)*1000+110)),IF($HG14=0,999999,IF(4=$HH14,IF(83=$HN14,IF($JE14=2,30,0),IF(83=$HO14,IF($JE14=1,30,0),ABS(11-$HI14)*100)),100000+ABS(4-$HH14)*1000+110)))-IF((83=$HJ14)+(83=$HK14)+(83=$HL14)+(83=$HM14)+(83=$HN14)+(83=$HO14)&gt;=2,50,0))+CH$5*50)</f>
        <v/>
      </c>
      <c r="CI134">
        <f>IF(OR($JF14=0,calcA!$A$6=0),0,IF(OR(84=$HA14,84=$HD14,84=$HG14),200000,MIN(IF($HA14=0,999999,IF(4=$HB14,IF(84=$HJ14,IF($JC14=2,30,0),IF(84=$HK14,IF($JC14=1,30,0),ABS(12-$HC14)*100)),100000+ABS(4-$HB14)*1000+120)),IF($HD14=0,999999,IF(4=$HE14,IF(84=$HL14,IF($JD14=2,30,0),IF(84=$HM14,IF($JD14=1,30,0),ABS(12-$HF14)*100)),100000+ABS(4-$HE14)*1000+120)),IF($HG14=0,999999,IF(4=$HH14,IF(84=$HN14,IF($JE14=2,30,0),IF(84=$HO14,IF($JE14=1,30,0),ABS(12-$HI14)*100)),100000+ABS(4-$HH14)*1000+120)))-IF((84=$HJ14)+(84=$HK14)+(84=$HL14)+(84=$HM14)+(84=$HN14)+(84=$HO14)&gt;=2,50,0))+CI$5*50)</f>
        <v/>
      </c>
      <c r="CJ134">
        <f>IF(OR($JF14=0,calcA!$A$6=0),0,IF(OR(85=$HA14,85=$HD14,85=$HG14),200000,MIN(IF($HA14=0,999999,IF(4=$HB14,IF(85=$HJ14,IF($JC14=2,30,0),IF(85=$HK14,IF($JC14=1,30,0),ABS(13-$HC14)*100)),100000+ABS(4-$HB14)*1000+130)),IF($HD14=0,999999,IF(4=$HE14,IF(85=$HL14,IF($JD14=2,30,0),IF(85=$HM14,IF($JD14=1,30,0),ABS(13-$HF14)*100)),100000+ABS(4-$HE14)*1000+130)),IF($HG14=0,999999,IF(4=$HH14,IF(85=$HN14,IF($JE14=2,30,0),IF(85=$HO14,IF($JE14=1,30,0),ABS(13-$HI14)*100)),100000+ABS(4-$HH14)*1000+130)))-IF((85=$HJ14)+(85=$HK14)+(85=$HL14)+(85=$HM14)+(85=$HN14)+(85=$HO14)&gt;=2,50,0))+CJ$5*50)</f>
        <v/>
      </c>
      <c r="CK134">
        <f>IF(OR($JF14=0,calcA!$A$6=0),0,IF(OR(86=$HA14,86=$HD14,86=$HG14),200000,MIN(IF($HA14=0,999999,IF(4=$HB14,IF(86=$HJ14,IF($JC14=2,30,0),IF(86=$HK14,IF($JC14=1,30,0),ABS(14-$HC14)*100)),100000+ABS(4-$HB14)*1000+140)),IF($HD14=0,999999,IF(4=$HE14,IF(86=$HL14,IF($JD14=2,30,0),IF(86=$HM14,IF($JD14=1,30,0),ABS(14-$HF14)*100)),100000+ABS(4-$HE14)*1000+140)),IF($HG14=0,999999,IF(4=$HH14,IF(86=$HN14,IF($JE14=2,30,0),IF(86=$HO14,IF($JE14=1,30,0),ABS(14-$HI14)*100)),100000+ABS(4-$HH14)*1000+140)))-IF((86=$HJ14)+(86=$HK14)+(86=$HL14)+(86=$HM14)+(86=$HN14)+(86=$HO14)&gt;=2,50,0))+CK$5*50)</f>
        <v/>
      </c>
      <c r="CL134">
        <f>IF(OR($JF14=0,calcA!$A$6=0),0,IF(OR(87=$HA14,87=$HD14,87=$HG14),200000,MIN(IF($HA14=0,999999,IF(4=$HB14,IF(87=$HJ14,IF($JC14=2,30,0),IF(87=$HK14,IF($JC14=1,30,0),ABS(15-$HC14)*100)),100000+ABS(4-$HB14)*1000+150)),IF($HD14=0,999999,IF(4=$HE14,IF(87=$HL14,IF($JD14=2,30,0),IF(87=$HM14,IF($JD14=1,30,0),ABS(15-$HF14)*100)),100000+ABS(4-$HE14)*1000+150)),IF($HG14=0,999999,IF(4=$HH14,IF(87=$HN14,IF($JE14=2,30,0),IF(87=$HO14,IF($JE14=1,30,0),ABS(15-$HI14)*100)),100000+ABS(4-$HH14)*1000+150)))-IF((87=$HJ14)+(87=$HK14)+(87=$HL14)+(87=$HM14)+(87=$HN14)+(87=$HO14)&gt;=2,50,0))+CL$5*50)</f>
        <v/>
      </c>
      <c r="CM134">
        <f>IF(OR($JF14=0,calcA!$A$6=0),0,IF(OR(88=$HA14,88=$HD14,88=$HG14),200000,MIN(IF($HA14=0,999999,IF(4=$HB14,IF(88=$HJ14,IF($JC14=2,30,0),IF(88=$HK14,IF($JC14=1,30,0),ABS(16-$HC14)*100)),100000+ABS(4-$HB14)*1000+160)),IF($HD14=0,999999,IF(4=$HE14,IF(88=$HL14,IF($JD14=2,30,0),IF(88=$HM14,IF($JD14=1,30,0),ABS(16-$HF14)*100)),100000+ABS(4-$HE14)*1000+160)),IF($HG14=0,999999,IF(4=$HH14,IF(88=$HN14,IF($JE14=2,30,0),IF(88=$HO14,IF($JE14=1,30,0),ABS(16-$HI14)*100)),100000+ABS(4-$HH14)*1000+160)))-IF((88=$HJ14)+(88=$HK14)+(88=$HL14)+(88=$HM14)+(88=$HN14)+(88=$HO14)&gt;=2,50,0))+CM$5*50)</f>
        <v/>
      </c>
      <c r="CN134">
        <f>IF(OR($JF14=0,calcA!$A$6=0),0,IF(OR(89=$HA14,89=$HD14,89=$HG14),200000,MIN(IF($HA14=0,999999,IF(4=$HB14,IF(89=$HJ14,IF($JC14=2,30,0),IF(89=$HK14,IF($JC14=1,30,0),ABS(17-$HC14)*100)),100000+ABS(4-$HB14)*1000+170)),IF($HD14=0,999999,IF(4=$HE14,IF(89=$HL14,IF($JD14=2,30,0),IF(89=$HM14,IF($JD14=1,30,0),ABS(17-$HF14)*100)),100000+ABS(4-$HE14)*1000+170)),IF($HG14=0,999999,IF(4=$HH14,IF(89=$HN14,IF($JE14=2,30,0),IF(89=$HO14,IF($JE14=1,30,0),ABS(17-$HI14)*100)),100000+ABS(4-$HH14)*1000+170)))-IF((89=$HJ14)+(89=$HK14)+(89=$HL14)+(89=$HM14)+(89=$HN14)+(89=$HO14)&gt;=2,50,0))+CN$5*50)</f>
        <v/>
      </c>
      <c r="CO134">
        <f>IF(OR($JF14=0,calcA!$A$6=0),0,IF(OR(90=$HA14,90=$HD14,90=$HG14),200000,MIN(IF($HA14=0,999999,IF(4=$HB14,IF(90=$HJ14,IF($JC14=2,30,0),IF(90=$HK14,IF($JC14=1,30,0),ABS(18-$HC14)*100)),100000+ABS(4-$HB14)*1000+180)),IF($HD14=0,999999,IF(4=$HE14,IF(90=$HL14,IF($JD14=2,30,0),IF(90=$HM14,IF($JD14=1,30,0),ABS(18-$HF14)*100)),100000+ABS(4-$HE14)*1000+180)),IF($HG14=0,999999,IF(4=$HH14,IF(90=$HN14,IF($JE14=2,30,0),IF(90=$HO14,IF($JE14=1,30,0),ABS(18-$HI14)*100)),100000+ABS(4-$HH14)*1000+180)))-IF((90=$HJ14)+(90=$HK14)+(90=$HL14)+(90=$HM14)+(90=$HN14)+(90=$HO14)&gt;=2,50,0))+CO$5*50)</f>
        <v/>
      </c>
      <c r="CP134">
        <f>IF(OR($JF14=0,calcA!$A$6=0),0,IF(OR(91=$HA14,91=$HD14,91=$HG14),200000,MIN(IF($HA14=0,999999,IF(4=$HB14,IF(91=$HJ14,IF($JC14=2,30,0),IF(91=$HK14,IF($JC14=1,30,0),ABS(19-$HC14)*100)),100000+ABS(4-$HB14)*1000+190)),IF($HD14=0,999999,IF(4=$HE14,IF(91=$HL14,IF($JD14=2,30,0),IF(91=$HM14,IF($JD14=1,30,0),ABS(19-$HF14)*100)),100000+ABS(4-$HE14)*1000+190)),IF($HG14=0,999999,IF(4=$HH14,IF(91=$HN14,IF($JE14=2,30,0),IF(91=$HO14,IF($JE14=1,30,0),ABS(19-$HI14)*100)),100000+ABS(4-$HH14)*1000+190)))-IF((91=$HJ14)+(91=$HK14)+(91=$HL14)+(91=$HM14)+(91=$HN14)+(91=$HO14)&gt;=2,50,0))+CP$5*50)</f>
        <v/>
      </c>
      <c r="CQ134">
        <f>IF(OR($JF14=0,calcA!$A$6=0),0,IF(OR(92=$HA14,92=$HD14,92=$HG14),200000,MIN(IF($HA14=0,999999,IF(4=$HB14,IF(92=$HJ14,IF($JC14=2,30,0),IF(92=$HK14,IF($JC14=1,30,0),ABS(20-$HC14)*100)),100000+ABS(4-$HB14)*1000+200)),IF($HD14=0,999999,IF(4=$HE14,IF(92=$HL14,IF($JD14=2,30,0),IF(92=$HM14,IF($JD14=1,30,0),ABS(20-$HF14)*100)),100000+ABS(4-$HE14)*1000+200)),IF($HG14=0,999999,IF(4=$HH14,IF(92=$HN14,IF($JE14=2,30,0),IF(92=$HO14,IF($JE14=1,30,0),ABS(20-$HI14)*100)),100000+ABS(4-$HH14)*1000+200)))-IF((92=$HJ14)+(92=$HK14)+(92=$HL14)+(92=$HM14)+(92=$HN14)+(92=$HO14)&gt;=2,50,0))+CQ$5*50)</f>
        <v/>
      </c>
      <c r="CR134">
        <f>IF(OR($JF14=0,calcA!$A$6=0),0,IF(OR(93=$HA14,93=$HD14,93=$HG14),200000,MIN(IF($HA14=0,999999,IF(4=$HB14,IF(93=$HJ14,IF($JC14=2,30,0),IF(93=$HK14,IF($JC14=1,30,0),ABS(21-$HC14)*100)),100000+ABS(4-$HB14)*1000+210)),IF($HD14=0,999999,IF(4=$HE14,IF(93=$HL14,IF($JD14=2,30,0),IF(93=$HM14,IF($JD14=1,30,0),ABS(21-$HF14)*100)),100000+ABS(4-$HE14)*1000+210)),IF($HG14=0,999999,IF(4=$HH14,IF(93=$HN14,IF($JE14=2,30,0),IF(93=$HO14,IF($JE14=1,30,0),ABS(21-$HI14)*100)),100000+ABS(4-$HH14)*1000+210)))-IF((93=$HJ14)+(93=$HK14)+(93=$HL14)+(93=$HM14)+(93=$HN14)+(93=$HO14)&gt;=2,50,0))+CR$5*50)</f>
        <v/>
      </c>
      <c r="CS134">
        <f>IF(OR($JF14=0,calcA!$A$6=0),0,IF(OR(94=$HA14,94=$HD14,94=$HG14),200000,MIN(IF($HA14=0,999999,IF(4=$HB14,IF(94=$HJ14,IF($JC14=2,30,0),IF(94=$HK14,IF($JC14=1,30,0),ABS(22-$HC14)*100)),100000+ABS(4-$HB14)*1000+220)),IF($HD14=0,999999,IF(4=$HE14,IF(94=$HL14,IF($JD14=2,30,0),IF(94=$HM14,IF($JD14=1,30,0),ABS(22-$HF14)*100)),100000+ABS(4-$HE14)*1000+220)),IF($HG14=0,999999,IF(4=$HH14,IF(94=$HN14,IF($JE14=2,30,0),IF(94=$HO14,IF($JE14=1,30,0),ABS(22-$HI14)*100)),100000+ABS(4-$HH14)*1000+220)))-IF((94=$HJ14)+(94=$HK14)+(94=$HL14)+(94=$HM14)+(94=$HN14)+(94=$HO14)&gt;=2,50,0))+CS$5*50)</f>
        <v/>
      </c>
      <c r="CT134">
        <f>IF(OR($JF14=0,calcA!$A$6=0),0,IF(OR(95=$HA14,95=$HD14,95=$HG14),200000,MIN(IF($HA14=0,999999,IF(4=$HB14,IF(95=$HJ14,IF($JC14=2,30,0),IF(95=$HK14,IF($JC14=1,30,0),ABS(23-$HC14)*100)),100000+ABS(4-$HB14)*1000+230)),IF($HD14=0,999999,IF(4=$HE14,IF(95=$HL14,IF($JD14=2,30,0),IF(95=$HM14,IF($JD14=1,30,0),ABS(23-$HF14)*100)),100000+ABS(4-$HE14)*1000+230)),IF($HG14=0,999999,IF(4=$HH14,IF(95=$HN14,IF($JE14=2,30,0),IF(95=$HO14,IF($JE14=1,30,0),ABS(23-$HI14)*100)),100000+ABS(4-$HH14)*1000+230)))-IF((95=$HJ14)+(95=$HK14)+(95=$HL14)+(95=$HM14)+(95=$HN14)+(95=$HO14)&gt;=2,50,0))+CT$5*50)</f>
        <v/>
      </c>
      <c r="CU134">
        <f>IF(OR($JF14=0,calcA!$A$6=0),0,IF(OR(96=$HA14,96=$HD14,96=$HG14),200000,MIN(IF($HA14=0,999999,IF(4=$HB14,IF(96=$HJ14,IF($JC14=2,30,0),IF(96=$HK14,IF($JC14=1,30,0),ABS(24-$HC14)*100)),100000+ABS(4-$HB14)*1000+240)),IF($HD14=0,999999,IF(4=$HE14,IF(96=$HL14,IF($JD14=2,30,0),IF(96=$HM14,IF($JD14=1,30,0),ABS(24-$HF14)*100)),100000+ABS(4-$HE14)*1000+240)),IF($HG14=0,999999,IF(4=$HH14,IF(96=$HN14,IF($JE14=2,30,0),IF(96=$HO14,IF($JE14=1,30,0),ABS(24-$HI14)*100)),100000+ABS(4-$HH14)*1000+240)))-IF((96=$HJ14)+(96=$HK14)+(96=$HL14)+(96=$HM14)+(96=$HN14)+(96=$HO14)&gt;=2,50,0))+CU$5*50)</f>
        <v/>
      </c>
      <c r="CV134">
        <f>IF(OR($JF14=0,calcA!$A$6=0),0,IF(OR(97=$HA14,97=$HD14,97=$HG14),200000,MIN(IF($HA14=0,999999,IF(5=$HB14,IF(97=$HJ14,IF($JC14=2,30,0),IF(97=$HK14,IF($JC14=1,30,0),ABS(1-$HC14)*100)),100000+ABS(5-$HB14)*1000+10)),IF($HD14=0,999999,IF(5=$HE14,IF(97=$HL14,IF($JD14=2,30,0),IF(97=$HM14,IF($JD14=1,30,0),ABS(1-$HF14)*100)),100000+ABS(5-$HE14)*1000+10)),IF($HG14=0,999999,IF(5=$HH14,IF(97=$HN14,IF($JE14=2,30,0),IF(97=$HO14,IF($JE14=1,30,0),ABS(1-$HI14)*100)),100000+ABS(5-$HH14)*1000+10)))-IF((97=$HJ14)+(97=$HK14)+(97=$HL14)+(97=$HM14)+(97=$HN14)+(97=$HO14)&gt;=2,50,0))+CV$5*50)</f>
        <v/>
      </c>
      <c r="CW134">
        <f>IF(OR($JF14=0,calcA!$A$6=0),0,IF(OR(98=$HA14,98=$HD14,98=$HG14),200000,MIN(IF($HA14=0,999999,IF(5=$HB14,IF(98=$HJ14,IF($JC14=2,30,0),IF(98=$HK14,IF($JC14=1,30,0),ABS(2-$HC14)*100)),100000+ABS(5-$HB14)*1000+20)),IF($HD14=0,999999,IF(5=$HE14,IF(98=$HL14,IF($JD14=2,30,0),IF(98=$HM14,IF($JD14=1,30,0),ABS(2-$HF14)*100)),100000+ABS(5-$HE14)*1000+20)),IF($HG14=0,999999,IF(5=$HH14,IF(98=$HN14,IF($JE14=2,30,0),IF(98=$HO14,IF($JE14=1,30,0),ABS(2-$HI14)*100)),100000+ABS(5-$HH14)*1000+20)))-IF((98=$HJ14)+(98=$HK14)+(98=$HL14)+(98=$HM14)+(98=$HN14)+(98=$HO14)&gt;=2,50,0))+CW$5*50)</f>
        <v/>
      </c>
      <c r="CX134">
        <f>IF(OR($JF14=0,calcA!$A$6=0),0,IF(OR(99=$HA14,99=$HD14,99=$HG14),200000,MIN(IF($HA14=0,999999,IF(5=$HB14,IF(99=$HJ14,IF($JC14=2,30,0),IF(99=$HK14,IF($JC14=1,30,0),ABS(3-$HC14)*100)),100000+ABS(5-$HB14)*1000+30)),IF($HD14=0,999999,IF(5=$HE14,IF(99=$HL14,IF($JD14=2,30,0),IF(99=$HM14,IF($JD14=1,30,0),ABS(3-$HF14)*100)),100000+ABS(5-$HE14)*1000+30)),IF($HG14=0,999999,IF(5=$HH14,IF(99=$HN14,IF($JE14=2,30,0),IF(99=$HO14,IF($JE14=1,30,0),ABS(3-$HI14)*100)),100000+ABS(5-$HH14)*1000+30)))-IF((99=$HJ14)+(99=$HK14)+(99=$HL14)+(99=$HM14)+(99=$HN14)+(99=$HO14)&gt;=2,50,0))+CX$5*50)</f>
        <v/>
      </c>
      <c r="CY134">
        <f>IF(OR($JF14=0,calcA!$A$6=0),0,IF(OR(100=$HA14,100=$HD14,100=$HG14),200000,MIN(IF($HA14=0,999999,IF(5=$HB14,IF(100=$HJ14,IF($JC14=2,30,0),IF(100=$HK14,IF($JC14=1,30,0),ABS(4-$HC14)*100)),100000+ABS(5-$HB14)*1000+40)),IF($HD14=0,999999,IF(5=$HE14,IF(100=$HL14,IF($JD14=2,30,0),IF(100=$HM14,IF($JD14=1,30,0),ABS(4-$HF14)*100)),100000+ABS(5-$HE14)*1000+40)),IF($HG14=0,999999,IF(5=$HH14,IF(100=$HN14,IF($JE14=2,30,0),IF(100=$HO14,IF($JE14=1,30,0),ABS(4-$HI14)*100)),100000+ABS(5-$HH14)*1000+40)))-IF((100=$HJ14)+(100=$HK14)+(100=$HL14)+(100=$HM14)+(100=$HN14)+(100=$HO14)&gt;=2,50,0))+CY$5*50)</f>
        <v/>
      </c>
      <c r="CZ134">
        <f>IF(OR($JF14=0,calcA!$A$6=0),0,IF(OR(101=$HA14,101=$HD14,101=$HG14),200000,MIN(IF($HA14=0,999999,IF(5=$HB14,IF(101=$HJ14,IF($JC14=2,30,0),IF(101=$HK14,IF($JC14=1,30,0),ABS(5-$HC14)*100)),100000+ABS(5-$HB14)*1000+50)),IF($HD14=0,999999,IF(5=$HE14,IF(101=$HL14,IF($JD14=2,30,0),IF(101=$HM14,IF($JD14=1,30,0),ABS(5-$HF14)*100)),100000+ABS(5-$HE14)*1000+50)),IF($HG14=0,999999,IF(5=$HH14,IF(101=$HN14,IF($JE14=2,30,0),IF(101=$HO14,IF($JE14=1,30,0),ABS(5-$HI14)*100)),100000+ABS(5-$HH14)*1000+50)))-IF((101=$HJ14)+(101=$HK14)+(101=$HL14)+(101=$HM14)+(101=$HN14)+(101=$HO14)&gt;=2,50,0))+CZ$5*50)</f>
        <v/>
      </c>
      <c r="DA134">
        <f>IF(OR($JF14=0,calcA!$A$6=0),0,IF(OR(102=$HA14,102=$HD14,102=$HG14),200000,MIN(IF($HA14=0,999999,IF(5=$HB14,IF(102=$HJ14,IF($JC14=2,30,0),IF(102=$HK14,IF($JC14=1,30,0),ABS(6-$HC14)*100)),100000+ABS(5-$HB14)*1000+60)),IF($HD14=0,999999,IF(5=$HE14,IF(102=$HL14,IF($JD14=2,30,0),IF(102=$HM14,IF($JD14=1,30,0),ABS(6-$HF14)*100)),100000+ABS(5-$HE14)*1000+60)),IF($HG14=0,999999,IF(5=$HH14,IF(102=$HN14,IF($JE14=2,30,0),IF(102=$HO14,IF($JE14=1,30,0),ABS(6-$HI14)*100)),100000+ABS(5-$HH14)*1000+60)))-IF((102=$HJ14)+(102=$HK14)+(102=$HL14)+(102=$HM14)+(102=$HN14)+(102=$HO14)&gt;=2,50,0))+DA$5*50)</f>
        <v/>
      </c>
      <c r="DB134">
        <f>IF(OR($JF14=0,calcA!$A$6=0),0,IF(OR(103=$HA14,103=$HD14,103=$HG14),200000,MIN(IF($HA14=0,999999,IF(5=$HB14,IF(103=$HJ14,IF($JC14=2,30,0),IF(103=$HK14,IF($JC14=1,30,0),ABS(7-$HC14)*100)),100000+ABS(5-$HB14)*1000+70)),IF($HD14=0,999999,IF(5=$HE14,IF(103=$HL14,IF($JD14=2,30,0),IF(103=$HM14,IF($JD14=1,30,0),ABS(7-$HF14)*100)),100000+ABS(5-$HE14)*1000+70)),IF($HG14=0,999999,IF(5=$HH14,IF(103=$HN14,IF($JE14=2,30,0),IF(103=$HO14,IF($JE14=1,30,0),ABS(7-$HI14)*100)),100000+ABS(5-$HH14)*1000+70)))-IF((103=$HJ14)+(103=$HK14)+(103=$HL14)+(103=$HM14)+(103=$HN14)+(103=$HO14)&gt;=2,50,0))+DB$5*50)</f>
        <v/>
      </c>
      <c r="DC134">
        <f>IF(OR($JF14=0,calcA!$A$6=0),0,IF(OR(104=$HA14,104=$HD14,104=$HG14),200000,MIN(IF($HA14=0,999999,IF(5=$HB14,IF(104=$HJ14,IF($JC14=2,30,0),IF(104=$HK14,IF($JC14=1,30,0),ABS(8-$HC14)*100)),100000+ABS(5-$HB14)*1000+80)),IF($HD14=0,999999,IF(5=$HE14,IF(104=$HL14,IF($JD14=2,30,0),IF(104=$HM14,IF($JD14=1,30,0),ABS(8-$HF14)*100)),100000+ABS(5-$HE14)*1000+80)),IF($HG14=0,999999,IF(5=$HH14,IF(104=$HN14,IF($JE14=2,30,0),IF(104=$HO14,IF($JE14=1,30,0),ABS(8-$HI14)*100)),100000+ABS(5-$HH14)*1000+80)))-IF((104=$HJ14)+(104=$HK14)+(104=$HL14)+(104=$HM14)+(104=$HN14)+(104=$HO14)&gt;=2,50,0))+DC$5*50)</f>
        <v/>
      </c>
      <c r="DD134">
        <f>IF(OR($JF14=0,calcA!$A$6=0),0,IF(OR(105=$HA14,105=$HD14,105=$HG14),200000,MIN(IF($HA14=0,999999,IF(5=$HB14,IF(105=$HJ14,IF($JC14=2,30,0),IF(105=$HK14,IF($JC14=1,30,0),ABS(9-$HC14)*100)),100000+ABS(5-$HB14)*1000+90)),IF($HD14=0,999999,IF(5=$HE14,IF(105=$HL14,IF($JD14=2,30,0),IF(105=$HM14,IF($JD14=1,30,0),ABS(9-$HF14)*100)),100000+ABS(5-$HE14)*1000+90)),IF($HG14=0,999999,IF(5=$HH14,IF(105=$HN14,IF($JE14=2,30,0),IF(105=$HO14,IF($JE14=1,30,0),ABS(9-$HI14)*100)),100000+ABS(5-$HH14)*1000+90)))-IF((105=$HJ14)+(105=$HK14)+(105=$HL14)+(105=$HM14)+(105=$HN14)+(105=$HO14)&gt;=2,50,0))+DD$5*50)</f>
        <v/>
      </c>
      <c r="DE134">
        <f>IF(OR($JF14=0,calcA!$A$6=0),0,IF(OR(106=$HA14,106=$HD14,106=$HG14),200000,MIN(IF($HA14=0,999999,IF(5=$HB14,IF(106=$HJ14,IF($JC14=2,30,0),IF(106=$HK14,IF($JC14=1,30,0),ABS(10-$HC14)*100)),100000+ABS(5-$HB14)*1000+100)),IF($HD14=0,999999,IF(5=$HE14,IF(106=$HL14,IF($JD14=2,30,0),IF(106=$HM14,IF($JD14=1,30,0),ABS(10-$HF14)*100)),100000+ABS(5-$HE14)*1000+100)),IF($HG14=0,999999,IF(5=$HH14,IF(106=$HN14,IF($JE14=2,30,0),IF(106=$HO14,IF($JE14=1,30,0),ABS(10-$HI14)*100)),100000+ABS(5-$HH14)*1000+100)))-IF((106=$HJ14)+(106=$HK14)+(106=$HL14)+(106=$HM14)+(106=$HN14)+(106=$HO14)&gt;=2,50,0))+DE$5*50)</f>
        <v/>
      </c>
      <c r="DF134">
        <f>IF(OR($JF14=0,calcA!$A$6=0),0,IF(OR(107=$HA14,107=$HD14,107=$HG14),200000,MIN(IF($HA14=0,999999,IF(5=$HB14,IF(107=$HJ14,IF($JC14=2,30,0),IF(107=$HK14,IF($JC14=1,30,0),ABS(11-$HC14)*100)),100000+ABS(5-$HB14)*1000+110)),IF($HD14=0,999999,IF(5=$HE14,IF(107=$HL14,IF($JD14=2,30,0),IF(107=$HM14,IF($JD14=1,30,0),ABS(11-$HF14)*100)),100000+ABS(5-$HE14)*1000+110)),IF($HG14=0,999999,IF(5=$HH14,IF(107=$HN14,IF($JE14=2,30,0),IF(107=$HO14,IF($JE14=1,30,0),ABS(11-$HI14)*100)),100000+ABS(5-$HH14)*1000+110)))-IF((107=$HJ14)+(107=$HK14)+(107=$HL14)+(107=$HM14)+(107=$HN14)+(107=$HO14)&gt;=2,50,0))+DF$5*50)</f>
        <v/>
      </c>
      <c r="DG134">
        <f>IF(OR($JF14=0,calcA!$A$6=0),0,IF(OR(108=$HA14,108=$HD14,108=$HG14),200000,MIN(IF($HA14=0,999999,IF(5=$HB14,IF(108=$HJ14,IF($JC14=2,30,0),IF(108=$HK14,IF($JC14=1,30,0),ABS(12-$HC14)*100)),100000+ABS(5-$HB14)*1000+120)),IF($HD14=0,999999,IF(5=$HE14,IF(108=$HL14,IF($JD14=2,30,0),IF(108=$HM14,IF($JD14=1,30,0),ABS(12-$HF14)*100)),100000+ABS(5-$HE14)*1000+120)),IF($HG14=0,999999,IF(5=$HH14,IF(108=$HN14,IF($JE14=2,30,0),IF(108=$HO14,IF($JE14=1,30,0),ABS(12-$HI14)*100)),100000+ABS(5-$HH14)*1000+120)))-IF((108=$HJ14)+(108=$HK14)+(108=$HL14)+(108=$HM14)+(108=$HN14)+(108=$HO14)&gt;=2,50,0))+DG$5*50)</f>
        <v/>
      </c>
      <c r="DH134">
        <f>IF(OR($JF14=0,calcA!$A$6=0),0,IF(OR(109=$HA14,109=$HD14,109=$HG14),200000,MIN(IF($HA14=0,999999,IF(5=$HB14,IF(109=$HJ14,IF($JC14=2,30,0),IF(109=$HK14,IF($JC14=1,30,0),ABS(13-$HC14)*100)),100000+ABS(5-$HB14)*1000+130)),IF($HD14=0,999999,IF(5=$HE14,IF(109=$HL14,IF($JD14=2,30,0),IF(109=$HM14,IF($JD14=1,30,0),ABS(13-$HF14)*100)),100000+ABS(5-$HE14)*1000+130)),IF($HG14=0,999999,IF(5=$HH14,IF(109=$HN14,IF($JE14=2,30,0),IF(109=$HO14,IF($JE14=1,30,0),ABS(13-$HI14)*100)),100000+ABS(5-$HH14)*1000+130)))-IF((109=$HJ14)+(109=$HK14)+(109=$HL14)+(109=$HM14)+(109=$HN14)+(109=$HO14)&gt;=2,50,0))+DH$5*50)</f>
        <v/>
      </c>
      <c r="DI134">
        <f>IF(OR($JF14=0,calcA!$A$6=0),0,IF(OR(110=$HA14,110=$HD14,110=$HG14),200000,MIN(IF($HA14=0,999999,IF(5=$HB14,IF(110=$HJ14,IF($JC14=2,30,0),IF(110=$HK14,IF($JC14=1,30,0),ABS(14-$HC14)*100)),100000+ABS(5-$HB14)*1000+140)),IF($HD14=0,999999,IF(5=$HE14,IF(110=$HL14,IF($JD14=2,30,0),IF(110=$HM14,IF($JD14=1,30,0),ABS(14-$HF14)*100)),100000+ABS(5-$HE14)*1000+140)),IF($HG14=0,999999,IF(5=$HH14,IF(110=$HN14,IF($JE14=2,30,0),IF(110=$HO14,IF($JE14=1,30,0),ABS(14-$HI14)*100)),100000+ABS(5-$HH14)*1000+140)))-IF((110=$HJ14)+(110=$HK14)+(110=$HL14)+(110=$HM14)+(110=$HN14)+(110=$HO14)&gt;=2,50,0))+DI$5*50)</f>
        <v/>
      </c>
      <c r="DJ134">
        <f>IF(OR($JF14=0,calcA!$A$6=0),0,IF(OR(111=$HA14,111=$HD14,111=$HG14),200000,MIN(IF($HA14=0,999999,IF(5=$HB14,IF(111=$HJ14,IF($JC14=2,30,0),IF(111=$HK14,IF($JC14=1,30,0),ABS(15-$HC14)*100)),100000+ABS(5-$HB14)*1000+150)),IF($HD14=0,999999,IF(5=$HE14,IF(111=$HL14,IF($JD14=2,30,0),IF(111=$HM14,IF($JD14=1,30,0),ABS(15-$HF14)*100)),100000+ABS(5-$HE14)*1000+150)),IF($HG14=0,999999,IF(5=$HH14,IF(111=$HN14,IF($JE14=2,30,0),IF(111=$HO14,IF($JE14=1,30,0),ABS(15-$HI14)*100)),100000+ABS(5-$HH14)*1000+150)))-IF((111=$HJ14)+(111=$HK14)+(111=$HL14)+(111=$HM14)+(111=$HN14)+(111=$HO14)&gt;=2,50,0))+DJ$5*50)</f>
        <v/>
      </c>
      <c r="DK134">
        <f>IF(OR($JF14=0,calcA!$A$6=0),0,IF(OR(112=$HA14,112=$HD14,112=$HG14),200000,MIN(IF($HA14=0,999999,IF(5=$HB14,IF(112=$HJ14,IF($JC14=2,30,0),IF(112=$HK14,IF($JC14=1,30,0),ABS(16-$HC14)*100)),100000+ABS(5-$HB14)*1000+160)),IF($HD14=0,999999,IF(5=$HE14,IF(112=$HL14,IF($JD14=2,30,0),IF(112=$HM14,IF($JD14=1,30,0),ABS(16-$HF14)*100)),100000+ABS(5-$HE14)*1000+160)),IF($HG14=0,999999,IF(5=$HH14,IF(112=$HN14,IF($JE14=2,30,0),IF(112=$HO14,IF($JE14=1,30,0),ABS(16-$HI14)*100)),100000+ABS(5-$HH14)*1000+160)))-IF((112=$HJ14)+(112=$HK14)+(112=$HL14)+(112=$HM14)+(112=$HN14)+(112=$HO14)&gt;=2,50,0))+DK$5*50)</f>
        <v/>
      </c>
      <c r="DL134">
        <f>IF(OR($JF14=0,calcA!$A$6=0),0,IF(OR(113=$HA14,113=$HD14,113=$HG14),200000,MIN(IF($HA14=0,999999,IF(5=$HB14,IF(113=$HJ14,IF($JC14=2,30,0),IF(113=$HK14,IF($JC14=1,30,0),ABS(17-$HC14)*100)),100000+ABS(5-$HB14)*1000+170)),IF($HD14=0,999999,IF(5=$HE14,IF(113=$HL14,IF($JD14=2,30,0),IF(113=$HM14,IF($JD14=1,30,0),ABS(17-$HF14)*100)),100000+ABS(5-$HE14)*1000+170)),IF($HG14=0,999999,IF(5=$HH14,IF(113=$HN14,IF($JE14=2,30,0),IF(113=$HO14,IF($JE14=1,30,0),ABS(17-$HI14)*100)),100000+ABS(5-$HH14)*1000+170)))-IF((113=$HJ14)+(113=$HK14)+(113=$HL14)+(113=$HM14)+(113=$HN14)+(113=$HO14)&gt;=2,50,0))+DL$5*50)</f>
        <v/>
      </c>
      <c r="DM134">
        <f>IF(OR($JF14=0,calcA!$A$6=0),0,IF(OR(114=$HA14,114=$HD14,114=$HG14),200000,MIN(IF($HA14=0,999999,IF(5=$HB14,IF(114=$HJ14,IF($JC14=2,30,0),IF(114=$HK14,IF($JC14=1,30,0),ABS(18-$HC14)*100)),100000+ABS(5-$HB14)*1000+180)),IF($HD14=0,999999,IF(5=$HE14,IF(114=$HL14,IF($JD14=2,30,0),IF(114=$HM14,IF($JD14=1,30,0),ABS(18-$HF14)*100)),100000+ABS(5-$HE14)*1000+180)),IF($HG14=0,999999,IF(5=$HH14,IF(114=$HN14,IF($JE14=2,30,0),IF(114=$HO14,IF($JE14=1,30,0),ABS(18-$HI14)*100)),100000+ABS(5-$HH14)*1000+180)))-IF((114=$HJ14)+(114=$HK14)+(114=$HL14)+(114=$HM14)+(114=$HN14)+(114=$HO14)&gt;=2,50,0))+DM$5*50)</f>
        <v/>
      </c>
      <c r="DN134">
        <f>IF(OR($JF14=0,calcA!$A$6=0),0,IF(OR(115=$HA14,115=$HD14,115=$HG14),200000,MIN(IF($HA14=0,999999,IF(5=$HB14,IF(115=$HJ14,IF($JC14=2,30,0),IF(115=$HK14,IF($JC14=1,30,0),ABS(19-$HC14)*100)),100000+ABS(5-$HB14)*1000+190)),IF($HD14=0,999999,IF(5=$HE14,IF(115=$HL14,IF($JD14=2,30,0),IF(115=$HM14,IF($JD14=1,30,0),ABS(19-$HF14)*100)),100000+ABS(5-$HE14)*1000+190)),IF($HG14=0,999999,IF(5=$HH14,IF(115=$HN14,IF($JE14=2,30,0),IF(115=$HO14,IF($JE14=1,30,0),ABS(19-$HI14)*100)),100000+ABS(5-$HH14)*1000+190)))-IF((115=$HJ14)+(115=$HK14)+(115=$HL14)+(115=$HM14)+(115=$HN14)+(115=$HO14)&gt;=2,50,0))+DN$5*50)</f>
        <v/>
      </c>
      <c r="DO134">
        <f>IF(OR($JF14=0,calcA!$A$6=0),0,IF(OR(116=$HA14,116=$HD14,116=$HG14),200000,MIN(IF($HA14=0,999999,IF(5=$HB14,IF(116=$HJ14,IF($JC14=2,30,0),IF(116=$HK14,IF($JC14=1,30,0),ABS(20-$HC14)*100)),100000+ABS(5-$HB14)*1000+200)),IF($HD14=0,999999,IF(5=$HE14,IF(116=$HL14,IF($JD14=2,30,0),IF(116=$HM14,IF($JD14=1,30,0),ABS(20-$HF14)*100)),100000+ABS(5-$HE14)*1000+200)),IF($HG14=0,999999,IF(5=$HH14,IF(116=$HN14,IF($JE14=2,30,0),IF(116=$HO14,IF($JE14=1,30,0),ABS(20-$HI14)*100)),100000+ABS(5-$HH14)*1000+200)))-IF((116=$HJ14)+(116=$HK14)+(116=$HL14)+(116=$HM14)+(116=$HN14)+(116=$HO14)&gt;=2,50,0))+DO$5*50)</f>
        <v/>
      </c>
      <c r="DP134">
        <f>IF(OR($JF14=0,calcA!$A$6=0),0,IF(OR(117=$HA14,117=$HD14,117=$HG14),200000,MIN(IF($HA14=0,999999,IF(5=$HB14,IF(117=$HJ14,IF($JC14=2,30,0),IF(117=$HK14,IF($JC14=1,30,0),ABS(21-$HC14)*100)),100000+ABS(5-$HB14)*1000+210)),IF($HD14=0,999999,IF(5=$HE14,IF(117=$HL14,IF($JD14=2,30,0),IF(117=$HM14,IF($JD14=1,30,0),ABS(21-$HF14)*100)),100000+ABS(5-$HE14)*1000+210)),IF($HG14=0,999999,IF(5=$HH14,IF(117=$HN14,IF($JE14=2,30,0),IF(117=$HO14,IF($JE14=1,30,0),ABS(21-$HI14)*100)),100000+ABS(5-$HH14)*1000+210)))-IF((117=$HJ14)+(117=$HK14)+(117=$HL14)+(117=$HM14)+(117=$HN14)+(117=$HO14)&gt;=2,50,0))+DP$5*50)</f>
        <v/>
      </c>
      <c r="DQ134">
        <f>IF(OR($JF14=0,calcA!$A$6=0),0,IF(OR(118=$HA14,118=$HD14,118=$HG14),200000,MIN(IF($HA14=0,999999,IF(5=$HB14,IF(118=$HJ14,IF($JC14=2,30,0),IF(118=$HK14,IF($JC14=1,30,0),ABS(22-$HC14)*100)),100000+ABS(5-$HB14)*1000+220)),IF($HD14=0,999999,IF(5=$HE14,IF(118=$HL14,IF($JD14=2,30,0),IF(118=$HM14,IF($JD14=1,30,0),ABS(22-$HF14)*100)),100000+ABS(5-$HE14)*1000+220)),IF($HG14=0,999999,IF(5=$HH14,IF(118=$HN14,IF($JE14=2,30,0),IF(118=$HO14,IF($JE14=1,30,0),ABS(22-$HI14)*100)),100000+ABS(5-$HH14)*1000+220)))-IF((118=$HJ14)+(118=$HK14)+(118=$HL14)+(118=$HM14)+(118=$HN14)+(118=$HO14)&gt;=2,50,0))+DQ$5*50)</f>
        <v/>
      </c>
      <c r="DR134">
        <f>IF(OR($JF14=0,calcA!$A$6=0),0,IF(OR(119=$HA14,119=$HD14,119=$HG14),200000,MIN(IF($HA14=0,999999,IF(5=$HB14,IF(119=$HJ14,IF($JC14=2,30,0),IF(119=$HK14,IF($JC14=1,30,0),ABS(23-$HC14)*100)),100000+ABS(5-$HB14)*1000+230)),IF($HD14=0,999999,IF(5=$HE14,IF(119=$HL14,IF($JD14=2,30,0),IF(119=$HM14,IF($JD14=1,30,0),ABS(23-$HF14)*100)),100000+ABS(5-$HE14)*1000+230)),IF($HG14=0,999999,IF(5=$HH14,IF(119=$HN14,IF($JE14=2,30,0),IF(119=$HO14,IF($JE14=1,30,0),ABS(23-$HI14)*100)),100000+ABS(5-$HH14)*1000+230)))-IF((119=$HJ14)+(119=$HK14)+(119=$HL14)+(119=$HM14)+(119=$HN14)+(119=$HO14)&gt;=2,50,0))+DR$5*50)</f>
        <v/>
      </c>
      <c r="DS134">
        <f>IF(OR($JF14=0,calcA!$A$6=0),0,IF(OR(120=$HA14,120=$HD14,120=$HG14),200000,MIN(IF($HA14=0,999999,IF(5=$HB14,IF(120=$HJ14,IF($JC14=2,30,0),IF(120=$HK14,IF($JC14=1,30,0),ABS(24-$HC14)*100)),100000+ABS(5-$HB14)*1000+240)),IF($HD14=0,999999,IF(5=$HE14,IF(120=$HL14,IF($JD14=2,30,0),IF(120=$HM14,IF($JD14=1,30,0),ABS(24-$HF14)*100)),100000+ABS(5-$HE14)*1000+240)),IF($HG14=0,999999,IF(5=$HH14,IF(120=$HN14,IF($JE14=2,30,0),IF(120=$HO14,IF($JE14=1,30,0),ABS(24-$HI14)*100)),100000+ABS(5-$HH14)*1000+240)))-IF((120=$HJ14)+(120=$HK14)+(120=$HL14)+(120=$HM14)+(120=$HN14)+(120=$HO14)&gt;=2,50,0))+DS$5*50)</f>
        <v/>
      </c>
      <c r="DT134">
        <f>IF(OR($JF14=0,calcA!$A$6=0),0,IF(OR(121=$HA14,121=$HD14,121=$HG14),200000,MIN(IF($HA14=0,999999,IF(6=$HB14,IF(121=$HJ14,IF($JC14=2,30,0),IF(121=$HK14,IF($JC14=1,30,0),ABS(1-$HC14)*100)),100000+ABS(6-$HB14)*1000+10)),IF($HD14=0,999999,IF(6=$HE14,IF(121=$HL14,IF($JD14=2,30,0),IF(121=$HM14,IF($JD14=1,30,0),ABS(1-$HF14)*100)),100000+ABS(6-$HE14)*1000+10)),IF($HG14=0,999999,IF(6=$HH14,IF(121=$HN14,IF($JE14=2,30,0),IF(121=$HO14,IF($JE14=1,30,0),ABS(1-$HI14)*100)),100000+ABS(6-$HH14)*1000+10)))-IF((121=$HJ14)+(121=$HK14)+(121=$HL14)+(121=$HM14)+(121=$HN14)+(121=$HO14)&gt;=2,50,0))+DT$5*50)</f>
        <v/>
      </c>
      <c r="DU134">
        <f>IF(OR($JF14=0,calcA!$A$6=0),0,IF(OR(122=$HA14,122=$HD14,122=$HG14),200000,MIN(IF($HA14=0,999999,IF(6=$HB14,IF(122=$HJ14,IF($JC14=2,30,0),IF(122=$HK14,IF($JC14=1,30,0),ABS(2-$HC14)*100)),100000+ABS(6-$HB14)*1000+20)),IF($HD14=0,999999,IF(6=$HE14,IF(122=$HL14,IF($JD14=2,30,0),IF(122=$HM14,IF($JD14=1,30,0),ABS(2-$HF14)*100)),100000+ABS(6-$HE14)*1000+20)),IF($HG14=0,999999,IF(6=$HH14,IF(122=$HN14,IF($JE14=2,30,0),IF(122=$HO14,IF($JE14=1,30,0),ABS(2-$HI14)*100)),100000+ABS(6-$HH14)*1000+20)))-IF((122=$HJ14)+(122=$HK14)+(122=$HL14)+(122=$HM14)+(122=$HN14)+(122=$HO14)&gt;=2,50,0))+DU$5*50)</f>
        <v/>
      </c>
      <c r="DV134">
        <f>IF(OR($JF14=0,calcA!$A$6=0),0,IF(OR(123=$HA14,123=$HD14,123=$HG14),200000,MIN(IF($HA14=0,999999,IF(6=$HB14,IF(123=$HJ14,IF($JC14=2,30,0),IF(123=$HK14,IF($JC14=1,30,0),ABS(3-$HC14)*100)),100000+ABS(6-$HB14)*1000+30)),IF($HD14=0,999999,IF(6=$HE14,IF(123=$HL14,IF($JD14=2,30,0),IF(123=$HM14,IF($JD14=1,30,0),ABS(3-$HF14)*100)),100000+ABS(6-$HE14)*1000+30)),IF($HG14=0,999999,IF(6=$HH14,IF(123=$HN14,IF($JE14=2,30,0),IF(123=$HO14,IF($JE14=1,30,0),ABS(3-$HI14)*100)),100000+ABS(6-$HH14)*1000+30)))-IF((123=$HJ14)+(123=$HK14)+(123=$HL14)+(123=$HM14)+(123=$HN14)+(123=$HO14)&gt;=2,50,0))+DV$5*50)</f>
        <v/>
      </c>
      <c r="DW134">
        <f>IF(OR($JF14=0,calcA!$A$6=0),0,IF(OR(124=$HA14,124=$HD14,124=$HG14),200000,MIN(IF($HA14=0,999999,IF(6=$HB14,IF(124=$HJ14,IF($JC14=2,30,0),IF(124=$HK14,IF($JC14=1,30,0),ABS(4-$HC14)*100)),100000+ABS(6-$HB14)*1000+40)),IF($HD14=0,999999,IF(6=$HE14,IF(124=$HL14,IF($JD14=2,30,0),IF(124=$HM14,IF($JD14=1,30,0),ABS(4-$HF14)*100)),100000+ABS(6-$HE14)*1000+40)),IF($HG14=0,999999,IF(6=$HH14,IF(124=$HN14,IF($JE14=2,30,0),IF(124=$HO14,IF($JE14=1,30,0),ABS(4-$HI14)*100)),100000+ABS(6-$HH14)*1000+40)))-IF((124=$HJ14)+(124=$HK14)+(124=$HL14)+(124=$HM14)+(124=$HN14)+(124=$HO14)&gt;=2,50,0))+DW$5*50)</f>
        <v/>
      </c>
      <c r="DX134">
        <f>IF(OR($JF14=0,calcA!$A$6=0),0,IF(OR(125=$HA14,125=$HD14,125=$HG14),200000,MIN(IF($HA14=0,999999,IF(6=$HB14,IF(125=$HJ14,IF($JC14=2,30,0),IF(125=$HK14,IF($JC14=1,30,0),ABS(5-$HC14)*100)),100000+ABS(6-$HB14)*1000+50)),IF($HD14=0,999999,IF(6=$HE14,IF(125=$HL14,IF($JD14=2,30,0),IF(125=$HM14,IF($JD14=1,30,0),ABS(5-$HF14)*100)),100000+ABS(6-$HE14)*1000+50)),IF($HG14=0,999999,IF(6=$HH14,IF(125=$HN14,IF($JE14=2,30,0),IF(125=$HO14,IF($JE14=1,30,0),ABS(5-$HI14)*100)),100000+ABS(6-$HH14)*1000+50)))-IF((125=$HJ14)+(125=$HK14)+(125=$HL14)+(125=$HM14)+(125=$HN14)+(125=$HO14)&gt;=2,50,0))+DX$5*50)</f>
        <v/>
      </c>
      <c r="DY134">
        <f>IF(OR($JF14=0,calcA!$A$6=0),0,IF(OR(126=$HA14,126=$HD14,126=$HG14),200000,MIN(IF($HA14=0,999999,IF(6=$HB14,IF(126=$HJ14,IF($JC14=2,30,0),IF(126=$HK14,IF($JC14=1,30,0),ABS(6-$HC14)*100)),100000+ABS(6-$HB14)*1000+60)),IF($HD14=0,999999,IF(6=$HE14,IF(126=$HL14,IF($JD14=2,30,0),IF(126=$HM14,IF($JD14=1,30,0),ABS(6-$HF14)*100)),100000+ABS(6-$HE14)*1000+60)),IF($HG14=0,999999,IF(6=$HH14,IF(126=$HN14,IF($JE14=2,30,0),IF(126=$HO14,IF($JE14=1,30,0),ABS(6-$HI14)*100)),100000+ABS(6-$HH14)*1000+60)))-IF((126=$HJ14)+(126=$HK14)+(126=$HL14)+(126=$HM14)+(126=$HN14)+(126=$HO14)&gt;=2,50,0))+DY$5*50)</f>
        <v/>
      </c>
      <c r="DZ134">
        <f>IF(OR($JF14=0,calcA!$A$6=0),0,IF(OR(127=$HA14,127=$HD14,127=$HG14),200000,MIN(IF($HA14=0,999999,IF(6=$HB14,IF(127=$HJ14,IF($JC14=2,30,0),IF(127=$HK14,IF($JC14=1,30,0),ABS(7-$HC14)*100)),100000+ABS(6-$HB14)*1000+70)),IF($HD14=0,999999,IF(6=$HE14,IF(127=$HL14,IF($JD14=2,30,0),IF(127=$HM14,IF($JD14=1,30,0),ABS(7-$HF14)*100)),100000+ABS(6-$HE14)*1000+70)),IF($HG14=0,999999,IF(6=$HH14,IF(127=$HN14,IF($JE14=2,30,0),IF(127=$HO14,IF($JE14=1,30,0),ABS(7-$HI14)*100)),100000+ABS(6-$HH14)*1000+70)))-IF((127=$HJ14)+(127=$HK14)+(127=$HL14)+(127=$HM14)+(127=$HN14)+(127=$HO14)&gt;=2,50,0))+DZ$5*50)</f>
        <v/>
      </c>
      <c r="EA134">
        <f>IF(OR($JF14=0,calcA!$A$6=0),0,IF(OR(128=$HA14,128=$HD14,128=$HG14),200000,MIN(IF($HA14=0,999999,IF(6=$HB14,IF(128=$HJ14,IF($JC14=2,30,0),IF(128=$HK14,IF($JC14=1,30,0),ABS(8-$HC14)*100)),100000+ABS(6-$HB14)*1000+80)),IF($HD14=0,999999,IF(6=$HE14,IF(128=$HL14,IF($JD14=2,30,0),IF(128=$HM14,IF($JD14=1,30,0),ABS(8-$HF14)*100)),100000+ABS(6-$HE14)*1000+80)),IF($HG14=0,999999,IF(6=$HH14,IF(128=$HN14,IF($JE14=2,30,0),IF(128=$HO14,IF($JE14=1,30,0),ABS(8-$HI14)*100)),100000+ABS(6-$HH14)*1000+80)))-IF((128=$HJ14)+(128=$HK14)+(128=$HL14)+(128=$HM14)+(128=$HN14)+(128=$HO14)&gt;=2,50,0))+EA$5*50)</f>
        <v/>
      </c>
      <c r="EB134">
        <f>IF(OR($JF14=0,calcA!$A$6=0),0,IF(OR(129=$HA14,129=$HD14,129=$HG14),200000,MIN(IF($HA14=0,999999,IF(6=$HB14,IF(129=$HJ14,IF($JC14=2,30,0),IF(129=$HK14,IF($JC14=1,30,0),ABS(9-$HC14)*100)),100000+ABS(6-$HB14)*1000+90)),IF($HD14=0,999999,IF(6=$HE14,IF(129=$HL14,IF($JD14=2,30,0),IF(129=$HM14,IF($JD14=1,30,0),ABS(9-$HF14)*100)),100000+ABS(6-$HE14)*1000+90)),IF($HG14=0,999999,IF(6=$HH14,IF(129=$HN14,IF($JE14=2,30,0),IF(129=$HO14,IF($JE14=1,30,0),ABS(9-$HI14)*100)),100000+ABS(6-$HH14)*1000+90)))-IF((129=$HJ14)+(129=$HK14)+(129=$HL14)+(129=$HM14)+(129=$HN14)+(129=$HO14)&gt;=2,50,0))+EB$5*50)</f>
        <v/>
      </c>
      <c r="EC134">
        <f>IF(OR($JF14=0,calcA!$A$6=0),0,IF(OR(130=$HA14,130=$HD14,130=$HG14),200000,MIN(IF($HA14=0,999999,IF(6=$HB14,IF(130=$HJ14,IF($JC14=2,30,0),IF(130=$HK14,IF($JC14=1,30,0),ABS(10-$HC14)*100)),100000+ABS(6-$HB14)*1000+100)),IF($HD14=0,999999,IF(6=$HE14,IF(130=$HL14,IF($JD14=2,30,0),IF(130=$HM14,IF($JD14=1,30,0),ABS(10-$HF14)*100)),100000+ABS(6-$HE14)*1000+100)),IF($HG14=0,999999,IF(6=$HH14,IF(130=$HN14,IF($JE14=2,30,0),IF(130=$HO14,IF($JE14=1,30,0),ABS(10-$HI14)*100)),100000+ABS(6-$HH14)*1000+100)))-IF((130=$HJ14)+(130=$HK14)+(130=$HL14)+(130=$HM14)+(130=$HN14)+(130=$HO14)&gt;=2,50,0))+EC$5*50)</f>
        <v/>
      </c>
      <c r="ED134">
        <f>IF(OR($JF14=0,calcA!$A$6=0),0,IF(OR(131=$HA14,131=$HD14,131=$HG14),200000,MIN(IF($HA14=0,999999,IF(6=$HB14,IF(131=$HJ14,IF($JC14=2,30,0),IF(131=$HK14,IF($JC14=1,30,0),ABS(11-$HC14)*100)),100000+ABS(6-$HB14)*1000+110)),IF($HD14=0,999999,IF(6=$HE14,IF(131=$HL14,IF($JD14=2,30,0),IF(131=$HM14,IF($JD14=1,30,0),ABS(11-$HF14)*100)),100000+ABS(6-$HE14)*1000+110)),IF($HG14=0,999999,IF(6=$HH14,IF(131=$HN14,IF($JE14=2,30,0),IF(131=$HO14,IF($JE14=1,30,0),ABS(11-$HI14)*100)),100000+ABS(6-$HH14)*1000+110)))-IF((131=$HJ14)+(131=$HK14)+(131=$HL14)+(131=$HM14)+(131=$HN14)+(131=$HO14)&gt;=2,50,0))+ED$5*50)</f>
        <v/>
      </c>
      <c r="EE134">
        <f>IF(OR($JF14=0,calcA!$A$6=0),0,IF(OR(132=$HA14,132=$HD14,132=$HG14),200000,MIN(IF($HA14=0,999999,IF(6=$HB14,IF(132=$HJ14,IF($JC14=2,30,0),IF(132=$HK14,IF($JC14=1,30,0),ABS(12-$HC14)*100)),100000+ABS(6-$HB14)*1000+120)),IF($HD14=0,999999,IF(6=$HE14,IF(132=$HL14,IF($JD14=2,30,0),IF(132=$HM14,IF($JD14=1,30,0),ABS(12-$HF14)*100)),100000+ABS(6-$HE14)*1000+120)),IF($HG14=0,999999,IF(6=$HH14,IF(132=$HN14,IF($JE14=2,30,0),IF(132=$HO14,IF($JE14=1,30,0),ABS(12-$HI14)*100)),100000+ABS(6-$HH14)*1000+120)))-IF((132=$HJ14)+(132=$HK14)+(132=$HL14)+(132=$HM14)+(132=$HN14)+(132=$HO14)&gt;=2,50,0))+EE$5*50)</f>
        <v/>
      </c>
      <c r="EF134">
        <f>IF(OR($JF14=0,calcA!$A$6=0),0,IF(OR(133=$HA14,133=$HD14,133=$HG14),200000,MIN(IF($HA14=0,999999,IF(6=$HB14,IF(133=$HJ14,IF($JC14=2,30,0),IF(133=$HK14,IF($JC14=1,30,0),ABS(13-$HC14)*100)),100000+ABS(6-$HB14)*1000+130)),IF($HD14=0,999999,IF(6=$HE14,IF(133=$HL14,IF($JD14=2,30,0),IF(133=$HM14,IF($JD14=1,30,0),ABS(13-$HF14)*100)),100000+ABS(6-$HE14)*1000+130)),IF($HG14=0,999999,IF(6=$HH14,IF(133=$HN14,IF($JE14=2,30,0),IF(133=$HO14,IF($JE14=1,30,0),ABS(13-$HI14)*100)),100000+ABS(6-$HH14)*1000+130)))-IF((133=$HJ14)+(133=$HK14)+(133=$HL14)+(133=$HM14)+(133=$HN14)+(133=$HO14)&gt;=2,50,0))+EF$5*50)</f>
        <v/>
      </c>
      <c r="EG134">
        <f>IF(OR($JF14=0,calcA!$A$6=0),0,IF(OR(134=$HA14,134=$HD14,134=$HG14),200000,MIN(IF($HA14=0,999999,IF(6=$HB14,IF(134=$HJ14,IF($JC14=2,30,0),IF(134=$HK14,IF($JC14=1,30,0),ABS(14-$HC14)*100)),100000+ABS(6-$HB14)*1000+140)),IF($HD14=0,999999,IF(6=$HE14,IF(134=$HL14,IF($JD14=2,30,0),IF(134=$HM14,IF($JD14=1,30,0),ABS(14-$HF14)*100)),100000+ABS(6-$HE14)*1000+140)),IF($HG14=0,999999,IF(6=$HH14,IF(134=$HN14,IF($JE14=2,30,0),IF(134=$HO14,IF($JE14=1,30,0),ABS(14-$HI14)*100)),100000+ABS(6-$HH14)*1000+140)))-IF((134=$HJ14)+(134=$HK14)+(134=$HL14)+(134=$HM14)+(134=$HN14)+(134=$HO14)&gt;=2,50,0))+EG$5*50)</f>
        <v/>
      </c>
      <c r="EH134">
        <f>IF(OR($JF14=0,calcA!$A$6=0),0,IF(OR(135=$HA14,135=$HD14,135=$HG14),200000,MIN(IF($HA14=0,999999,IF(6=$HB14,IF(135=$HJ14,IF($JC14=2,30,0),IF(135=$HK14,IF($JC14=1,30,0),ABS(15-$HC14)*100)),100000+ABS(6-$HB14)*1000+150)),IF($HD14=0,999999,IF(6=$HE14,IF(135=$HL14,IF($JD14=2,30,0),IF(135=$HM14,IF($JD14=1,30,0),ABS(15-$HF14)*100)),100000+ABS(6-$HE14)*1000+150)),IF($HG14=0,999999,IF(6=$HH14,IF(135=$HN14,IF($JE14=2,30,0),IF(135=$HO14,IF($JE14=1,30,0),ABS(15-$HI14)*100)),100000+ABS(6-$HH14)*1000+150)))-IF((135=$HJ14)+(135=$HK14)+(135=$HL14)+(135=$HM14)+(135=$HN14)+(135=$HO14)&gt;=2,50,0))+EH$5*50)</f>
        <v/>
      </c>
      <c r="EI134">
        <f>IF(OR($JF14=0,calcA!$A$6=0),0,IF(OR(136=$HA14,136=$HD14,136=$HG14),200000,MIN(IF($HA14=0,999999,IF(6=$HB14,IF(136=$HJ14,IF($JC14=2,30,0),IF(136=$HK14,IF($JC14=1,30,0),ABS(16-$HC14)*100)),100000+ABS(6-$HB14)*1000+160)),IF($HD14=0,999999,IF(6=$HE14,IF(136=$HL14,IF($JD14=2,30,0),IF(136=$HM14,IF($JD14=1,30,0),ABS(16-$HF14)*100)),100000+ABS(6-$HE14)*1000+160)),IF($HG14=0,999999,IF(6=$HH14,IF(136=$HN14,IF($JE14=2,30,0),IF(136=$HO14,IF($JE14=1,30,0),ABS(16-$HI14)*100)),100000+ABS(6-$HH14)*1000+160)))-IF((136=$HJ14)+(136=$HK14)+(136=$HL14)+(136=$HM14)+(136=$HN14)+(136=$HO14)&gt;=2,50,0))+EI$5*50)</f>
        <v/>
      </c>
      <c r="EJ134">
        <f>IF(OR($JF14=0,calcA!$A$6=0),0,IF(OR(137=$HA14,137=$HD14,137=$HG14),200000,MIN(IF($HA14=0,999999,IF(6=$HB14,IF(137=$HJ14,IF($JC14=2,30,0),IF(137=$HK14,IF($JC14=1,30,0),ABS(17-$HC14)*100)),100000+ABS(6-$HB14)*1000+170)),IF($HD14=0,999999,IF(6=$HE14,IF(137=$HL14,IF($JD14=2,30,0),IF(137=$HM14,IF($JD14=1,30,0),ABS(17-$HF14)*100)),100000+ABS(6-$HE14)*1000+170)),IF($HG14=0,999999,IF(6=$HH14,IF(137=$HN14,IF($JE14=2,30,0),IF(137=$HO14,IF($JE14=1,30,0),ABS(17-$HI14)*100)),100000+ABS(6-$HH14)*1000+170)))-IF((137=$HJ14)+(137=$HK14)+(137=$HL14)+(137=$HM14)+(137=$HN14)+(137=$HO14)&gt;=2,50,0))+EJ$5*50)</f>
        <v/>
      </c>
      <c r="EK134">
        <f>IF(OR($JF14=0,calcA!$A$6=0),0,IF(OR(138=$HA14,138=$HD14,138=$HG14),200000,MIN(IF($HA14=0,999999,IF(6=$HB14,IF(138=$HJ14,IF($JC14=2,30,0),IF(138=$HK14,IF($JC14=1,30,0),ABS(18-$HC14)*100)),100000+ABS(6-$HB14)*1000+180)),IF($HD14=0,999999,IF(6=$HE14,IF(138=$HL14,IF($JD14=2,30,0),IF(138=$HM14,IF($JD14=1,30,0),ABS(18-$HF14)*100)),100000+ABS(6-$HE14)*1000+180)),IF($HG14=0,999999,IF(6=$HH14,IF(138=$HN14,IF($JE14=2,30,0),IF(138=$HO14,IF($JE14=1,30,0),ABS(18-$HI14)*100)),100000+ABS(6-$HH14)*1000+180)))-IF((138=$HJ14)+(138=$HK14)+(138=$HL14)+(138=$HM14)+(138=$HN14)+(138=$HO14)&gt;=2,50,0))+EK$5*50)</f>
        <v/>
      </c>
      <c r="EL134">
        <f>IF(OR($JF14=0,calcA!$A$6=0),0,IF(OR(139=$HA14,139=$HD14,139=$HG14),200000,MIN(IF($HA14=0,999999,IF(6=$HB14,IF(139=$HJ14,IF($JC14=2,30,0),IF(139=$HK14,IF($JC14=1,30,0),ABS(19-$HC14)*100)),100000+ABS(6-$HB14)*1000+190)),IF($HD14=0,999999,IF(6=$HE14,IF(139=$HL14,IF($JD14=2,30,0),IF(139=$HM14,IF($JD14=1,30,0),ABS(19-$HF14)*100)),100000+ABS(6-$HE14)*1000+190)),IF($HG14=0,999999,IF(6=$HH14,IF(139=$HN14,IF($JE14=2,30,0),IF(139=$HO14,IF($JE14=1,30,0),ABS(19-$HI14)*100)),100000+ABS(6-$HH14)*1000+190)))-IF((139=$HJ14)+(139=$HK14)+(139=$HL14)+(139=$HM14)+(139=$HN14)+(139=$HO14)&gt;=2,50,0))+EL$5*50)</f>
        <v/>
      </c>
      <c r="EM134">
        <f>IF(OR($JF14=0,calcA!$A$6=0),0,IF(OR(140=$HA14,140=$HD14,140=$HG14),200000,MIN(IF($HA14=0,999999,IF(6=$HB14,IF(140=$HJ14,IF($JC14=2,30,0),IF(140=$HK14,IF($JC14=1,30,0),ABS(20-$HC14)*100)),100000+ABS(6-$HB14)*1000+200)),IF($HD14=0,999999,IF(6=$HE14,IF(140=$HL14,IF($JD14=2,30,0),IF(140=$HM14,IF($JD14=1,30,0),ABS(20-$HF14)*100)),100000+ABS(6-$HE14)*1000+200)),IF($HG14=0,999999,IF(6=$HH14,IF(140=$HN14,IF($JE14=2,30,0),IF(140=$HO14,IF($JE14=1,30,0),ABS(20-$HI14)*100)),100000+ABS(6-$HH14)*1000+200)))-IF((140=$HJ14)+(140=$HK14)+(140=$HL14)+(140=$HM14)+(140=$HN14)+(140=$HO14)&gt;=2,50,0))+EM$5*50)</f>
        <v/>
      </c>
      <c r="EN134">
        <f>IF(OR($JF14=0,calcA!$A$6=0),0,IF(OR(141=$HA14,141=$HD14,141=$HG14),200000,MIN(IF($HA14=0,999999,IF(6=$HB14,IF(141=$HJ14,IF($JC14=2,30,0),IF(141=$HK14,IF($JC14=1,30,0),ABS(21-$HC14)*100)),100000+ABS(6-$HB14)*1000+210)),IF($HD14=0,999999,IF(6=$HE14,IF(141=$HL14,IF($JD14=2,30,0),IF(141=$HM14,IF($JD14=1,30,0),ABS(21-$HF14)*100)),100000+ABS(6-$HE14)*1000+210)),IF($HG14=0,999999,IF(6=$HH14,IF(141=$HN14,IF($JE14=2,30,0),IF(141=$HO14,IF($JE14=1,30,0),ABS(21-$HI14)*100)),100000+ABS(6-$HH14)*1000+210)))-IF((141=$HJ14)+(141=$HK14)+(141=$HL14)+(141=$HM14)+(141=$HN14)+(141=$HO14)&gt;=2,50,0))+EN$5*50)</f>
        <v/>
      </c>
      <c r="EO134">
        <f>IF(OR($JF14=0,calcA!$A$6=0),0,IF(OR(142=$HA14,142=$HD14,142=$HG14),200000,MIN(IF($HA14=0,999999,IF(6=$HB14,IF(142=$HJ14,IF($JC14=2,30,0),IF(142=$HK14,IF($JC14=1,30,0),ABS(22-$HC14)*100)),100000+ABS(6-$HB14)*1000+220)),IF($HD14=0,999999,IF(6=$HE14,IF(142=$HL14,IF($JD14=2,30,0),IF(142=$HM14,IF($JD14=1,30,0),ABS(22-$HF14)*100)),100000+ABS(6-$HE14)*1000+220)),IF($HG14=0,999999,IF(6=$HH14,IF(142=$HN14,IF($JE14=2,30,0),IF(142=$HO14,IF($JE14=1,30,0),ABS(22-$HI14)*100)),100000+ABS(6-$HH14)*1000+220)))-IF((142=$HJ14)+(142=$HK14)+(142=$HL14)+(142=$HM14)+(142=$HN14)+(142=$HO14)&gt;=2,50,0))+EO$5*50)</f>
        <v/>
      </c>
      <c r="EP134">
        <f>IF(OR($JF14=0,calcA!$A$6=0),0,IF(OR(143=$HA14,143=$HD14,143=$HG14),200000,MIN(IF($HA14=0,999999,IF(6=$HB14,IF(143=$HJ14,IF($JC14=2,30,0),IF(143=$HK14,IF($JC14=1,30,0),ABS(23-$HC14)*100)),100000+ABS(6-$HB14)*1000+230)),IF($HD14=0,999999,IF(6=$HE14,IF(143=$HL14,IF($JD14=2,30,0),IF(143=$HM14,IF($JD14=1,30,0),ABS(23-$HF14)*100)),100000+ABS(6-$HE14)*1000+230)),IF($HG14=0,999999,IF(6=$HH14,IF(143=$HN14,IF($JE14=2,30,0),IF(143=$HO14,IF($JE14=1,30,0),ABS(23-$HI14)*100)),100000+ABS(6-$HH14)*1000+230)))-IF((143=$HJ14)+(143=$HK14)+(143=$HL14)+(143=$HM14)+(143=$HN14)+(143=$HO14)&gt;=2,50,0))+EP$5*50)</f>
        <v/>
      </c>
      <c r="EQ134">
        <f>IF(OR($JF14=0,calcA!$A$6=0),0,IF(OR(144=$HA14,144=$HD14,144=$HG14),200000,MIN(IF($HA14=0,999999,IF(6=$HB14,IF(144=$HJ14,IF($JC14=2,30,0),IF(144=$HK14,IF($JC14=1,30,0),ABS(24-$HC14)*100)),100000+ABS(6-$HB14)*1000+240)),IF($HD14=0,999999,IF(6=$HE14,IF(144=$HL14,IF($JD14=2,30,0),IF(144=$HM14,IF($JD14=1,30,0),ABS(24-$HF14)*100)),100000+ABS(6-$HE14)*1000+240)),IF($HG14=0,999999,IF(6=$HH14,IF(144=$HN14,IF($JE14=2,30,0),IF(144=$HO14,IF($JE14=1,30,0),ABS(24-$HI14)*100)),100000+ABS(6-$HH14)*1000+240)))-IF((144=$HJ14)+(144=$HK14)+(144=$HL14)+(144=$HM14)+(144=$HN14)+(144=$HO14)&gt;=2,50,0))+EQ$5*50)</f>
        <v/>
      </c>
    </row>
    <row r="135">
      <c r="D135">
        <f>IF(OR($JF15=0,calcA!$A$6=0),0,IF(OR(1=$HA15,1=$HD15,1=$HG15),200000,MIN(IF($HA15=0,999999,IF(1=$HB15,IF(1=$HJ15,IF($JC15=2,30,0),IF(1=$HK15,IF($JC15=1,30,0),ABS(1-$HC15)*100)),100000+ABS(1-$HB15)*1000+10)),IF($HD15=0,999999,IF(1=$HE15,IF(1=$HL15,IF($JD15=2,30,0),IF(1=$HM15,IF($JD15=1,30,0),ABS(1-$HF15)*100)),100000+ABS(1-$HE15)*1000+10)),IF($HG15=0,999999,IF(1=$HH15,IF(1=$HN15,IF($JE15=2,30,0),IF(1=$HO15,IF($JE15=1,30,0),ABS(1-$HI15)*100)),100000+ABS(1-$HH15)*1000+10)))-IF((1=$HJ15)+(1=$HK15)+(1=$HL15)+(1=$HM15)+(1=$HN15)+(1=$HO15)&gt;=2,50,0))+D$5*50)</f>
        <v/>
      </c>
      <c r="E135">
        <f>IF(OR($JF15=0,calcA!$A$6=0),0,IF(OR(2=$HA15,2=$HD15,2=$HG15),200000,MIN(IF($HA15=0,999999,IF(1=$HB15,IF(2=$HJ15,IF($JC15=2,30,0),IF(2=$HK15,IF($JC15=1,30,0),ABS(2-$HC15)*100)),100000+ABS(1-$HB15)*1000+20)),IF($HD15=0,999999,IF(1=$HE15,IF(2=$HL15,IF($JD15=2,30,0),IF(2=$HM15,IF($JD15=1,30,0),ABS(2-$HF15)*100)),100000+ABS(1-$HE15)*1000+20)),IF($HG15=0,999999,IF(1=$HH15,IF(2=$HN15,IF($JE15=2,30,0),IF(2=$HO15,IF($JE15=1,30,0),ABS(2-$HI15)*100)),100000+ABS(1-$HH15)*1000+20)))-IF((2=$HJ15)+(2=$HK15)+(2=$HL15)+(2=$HM15)+(2=$HN15)+(2=$HO15)&gt;=2,50,0))+E$5*50)</f>
        <v/>
      </c>
      <c r="F135">
        <f>IF(OR($JF15=0,calcA!$A$6=0),0,IF(OR(3=$HA15,3=$HD15,3=$HG15),200000,MIN(IF($HA15=0,999999,IF(1=$HB15,IF(3=$HJ15,IF($JC15=2,30,0),IF(3=$HK15,IF($JC15=1,30,0),ABS(3-$HC15)*100)),100000+ABS(1-$HB15)*1000+30)),IF($HD15=0,999999,IF(1=$HE15,IF(3=$HL15,IF($JD15=2,30,0),IF(3=$HM15,IF($JD15=1,30,0),ABS(3-$HF15)*100)),100000+ABS(1-$HE15)*1000+30)),IF($HG15=0,999999,IF(1=$HH15,IF(3=$HN15,IF($JE15=2,30,0),IF(3=$HO15,IF($JE15=1,30,0),ABS(3-$HI15)*100)),100000+ABS(1-$HH15)*1000+30)))-IF((3=$HJ15)+(3=$HK15)+(3=$HL15)+(3=$HM15)+(3=$HN15)+(3=$HO15)&gt;=2,50,0))+F$5*50)</f>
        <v/>
      </c>
      <c r="G135">
        <f>IF(OR($JF15=0,calcA!$A$6=0),0,IF(OR(4=$HA15,4=$HD15,4=$HG15),200000,MIN(IF($HA15=0,999999,IF(1=$HB15,IF(4=$HJ15,IF($JC15=2,30,0),IF(4=$HK15,IF($JC15=1,30,0),ABS(4-$HC15)*100)),100000+ABS(1-$HB15)*1000+40)),IF($HD15=0,999999,IF(1=$HE15,IF(4=$HL15,IF($JD15=2,30,0),IF(4=$HM15,IF($JD15=1,30,0),ABS(4-$HF15)*100)),100000+ABS(1-$HE15)*1000+40)),IF($HG15=0,999999,IF(1=$HH15,IF(4=$HN15,IF($JE15=2,30,0),IF(4=$HO15,IF($JE15=1,30,0),ABS(4-$HI15)*100)),100000+ABS(1-$HH15)*1000+40)))-IF((4=$HJ15)+(4=$HK15)+(4=$HL15)+(4=$HM15)+(4=$HN15)+(4=$HO15)&gt;=2,50,0))+G$5*50)</f>
        <v/>
      </c>
      <c r="H135">
        <f>IF(OR($JF15=0,calcA!$A$6=0),0,IF(OR(5=$HA15,5=$HD15,5=$HG15),200000,MIN(IF($HA15=0,999999,IF(1=$HB15,IF(5=$HJ15,IF($JC15=2,30,0),IF(5=$HK15,IF($JC15=1,30,0),ABS(5-$HC15)*100)),100000+ABS(1-$HB15)*1000+50)),IF($HD15=0,999999,IF(1=$HE15,IF(5=$HL15,IF($JD15=2,30,0),IF(5=$HM15,IF($JD15=1,30,0),ABS(5-$HF15)*100)),100000+ABS(1-$HE15)*1000+50)),IF($HG15=0,999999,IF(1=$HH15,IF(5=$HN15,IF($JE15=2,30,0),IF(5=$HO15,IF($JE15=1,30,0),ABS(5-$HI15)*100)),100000+ABS(1-$HH15)*1000+50)))-IF((5=$HJ15)+(5=$HK15)+(5=$HL15)+(5=$HM15)+(5=$HN15)+(5=$HO15)&gt;=2,50,0))+H$5*50)</f>
        <v/>
      </c>
      <c r="I135">
        <f>IF(OR($JF15=0,calcA!$A$6=0),0,IF(OR(6=$HA15,6=$HD15,6=$HG15),200000,MIN(IF($HA15=0,999999,IF(1=$HB15,IF(6=$HJ15,IF($JC15=2,30,0),IF(6=$HK15,IF($JC15=1,30,0),ABS(6-$HC15)*100)),100000+ABS(1-$HB15)*1000+60)),IF($HD15=0,999999,IF(1=$HE15,IF(6=$HL15,IF($JD15=2,30,0),IF(6=$HM15,IF($JD15=1,30,0),ABS(6-$HF15)*100)),100000+ABS(1-$HE15)*1000+60)),IF($HG15=0,999999,IF(1=$HH15,IF(6=$HN15,IF($JE15=2,30,0),IF(6=$HO15,IF($JE15=1,30,0),ABS(6-$HI15)*100)),100000+ABS(1-$HH15)*1000+60)))-IF((6=$HJ15)+(6=$HK15)+(6=$HL15)+(6=$HM15)+(6=$HN15)+(6=$HO15)&gt;=2,50,0))+I$5*50)</f>
        <v/>
      </c>
      <c r="J135">
        <f>IF(OR($JF15=0,calcA!$A$6=0),0,IF(OR(7=$HA15,7=$HD15,7=$HG15),200000,MIN(IF($HA15=0,999999,IF(1=$HB15,IF(7=$HJ15,IF($JC15=2,30,0),IF(7=$HK15,IF($JC15=1,30,0),ABS(7-$HC15)*100)),100000+ABS(1-$HB15)*1000+70)),IF($HD15=0,999999,IF(1=$HE15,IF(7=$HL15,IF($JD15=2,30,0),IF(7=$HM15,IF($JD15=1,30,0),ABS(7-$HF15)*100)),100000+ABS(1-$HE15)*1000+70)),IF($HG15=0,999999,IF(1=$HH15,IF(7=$HN15,IF($JE15=2,30,0),IF(7=$HO15,IF($JE15=1,30,0),ABS(7-$HI15)*100)),100000+ABS(1-$HH15)*1000+70)))-IF((7=$HJ15)+(7=$HK15)+(7=$HL15)+(7=$HM15)+(7=$HN15)+(7=$HO15)&gt;=2,50,0))+J$5*50)</f>
        <v/>
      </c>
      <c r="K135">
        <f>IF(OR($JF15=0,calcA!$A$6=0),0,IF(OR(8=$HA15,8=$HD15,8=$HG15),200000,MIN(IF($HA15=0,999999,IF(1=$HB15,IF(8=$HJ15,IF($JC15=2,30,0),IF(8=$HK15,IF($JC15=1,30,0),ABS(8-$HC15)*100)),100000+ABS(1-$HB15)*1000+80)),IF($HD15=0,999999,IF(1=$HE15,IF(8=$HL15,IF($JD15=2,30,0),IF(8=$HM15,IF($JD15=1,30,0),ABS(8-$HF15)*100)),100000+ABS(1-$HE15)*1000+80)),IF($HG15=0,999999,IF(1=$HH15,IF(8=$HN15,IF($JE15=2,30,0),IF(8=$HO15,IF($JE15=1,30,0),ABS(8-$HI15)*100)),100000+ABS(1-$HH15)*1000+80)))-IF((8=$HJ15)+(8=$HK15)+(8=$HL15)+(8=$HM15)+(8=$HN15)+(8=$HO15)&gt;=2,50,0))+K$5*50)</f>
        <v/>
      </c>
      <c r="L135">
        <f>IF(OR($JF15=0,calcA!$A$6=0),0,IF(OR(9=$HA15,9=$HD15,9=$HG15),200000,MIN(IF($HA15=0,999999,IF(1=$HB15,IF(9=$HJ15,IF($JC15=2,30,0),IF(9=$HK15,IF($JC15=1,30,0),ABS(9-$HC15)*100)),100000+ABS(1-$HB15)*1000+90)),IF($HD15=0,999999,IF(1=$HE15,IF(9=$HL15,IF($JD15=2,30,0),IF(9=$HM15,IF($JD15=1,30,0),ABS(9-$HF15)*100)),100000+ABS(1-$HE15)*1000+90)),IF($HG15=0,999999,IF(1=$HH15,IF(9=$HN15,IF($JE15=2,30,0),IF(9=$HO15,IF($JE15=1,30,0),ABS(9-$HI15)*100)),100000+ABS(1-$HH15)*1000+90)))-IF((9=$HJ15)+(9=$HK15)+(9=$HL15)+(9=$HM15)+(9=$HN15)+(9=$HO15)&gt;=2,50,0))+L$5*50)</f>
        <v/>
      </c>
      <c r="M135">
        <f>IF(OR($JF15=0,calcA!$A$6=0),0,IF(OR(10=$HA15,10=$HD15,10=$HG15),200000,MIN(IF($HA15=0,999999,IF(1=$HB15,IF(10=$HJ15,IF($JC15=2,30,0),IF(10=$HK15,IF($JC15=1,30,0),ABS(10-$HC15)*100)),100000+ABS(1-$HB15)*1000+100)),IF($HD15=0,999999,IF(1=$HE15,IF(10=$HL15,IF($JD15=2,30,0),IF(10=$HM15,IF($JD15=1,30,0),ABS(10-$HF15)*100)),100000+ABS(1-$HE15)*1000+100)),IF($HG15=0,999999,IF(1=$HH15,IF(10=$HN15,IF($JE15=2,30,0),IF(10=$HO15,IF($JE15=1,30,0),ABS(10-$HI15)*100)),100000+ABS(1-$HH15)*1000+100)))-IF((10=$HJ15)+(10=$HK15)+(10=$HL15)+(10=$HM15)+(10=$HN15)+(10=$HO15)&gt;=2,50,0))+M$5*50)</f>
        <v/>
      </c>
      <c r="N135">
        <f>IF(OR($JF15=0,calcA!$A$6=0),0,IF(OR(11=$HA15,11=$HD15,11=$HG15),200000,MIN(IF($HA15=0,999999,IF(1=$HB15,IF(11=$HJ15,IF($JC15=2,30,0),IF(11=$HK15,IF($JC15=1,30,0),ABS(11-$HC15)*100)),100000+ABS(1-$HB15)*1000+110)),IF($HD15=0,999999,IF(1=$HE15,IF(11=$HL15,IF($JD15=2,30,0),IF(11=$HM15,IF($JD15=1,30,0),ABS(11-$HF15)*100)),100000+ABS(1-$HE15)*1000+110)),IF($HG15=0,999999,IF(1=$HH15,IF(11=$HN15,IF($JE15=2,30,0),IF(11=$HO15,IF($JE15=1,30,0),ABS(11-$HI15)*100)),100000+ABS(1-$HH15)*1000+110)))-IF((11=$HJ15)+(11=$HK15)+(11=$HL15)+(11=$HM15)+(11=$HN15)+(11=$HO15)&gt;=2,50,0))+N$5*50)</f>
        <v/>
      </c>
      <c r="O135">
        <f>IF(OR($JF15=0,calcA!$A$6=0),0,IF(OR(12=$HA15,12=$HD15,12=$HG15),200000,MIN(IF($HA15=0,999999,IF(1=$HB15,IF(12=$HJ15,IF($JC15=2,30,0),IF(12=$HK15,IF($JC15=1,30,0),ABS(12-$HC15)*100)),100000+ABS(1-$HB15)*1000+120)),IF($HD15=0,999999,IF(1=$HE15,IF(12=$HL15,IF($JD15=2,30,0),IF(12=$HM15,IF($JD15=1,30,0),ABS(12-$HF15)*100)),100000+ABS(1-$HE15)*1000+120)),IF($HG15=0,999999,IF(1=$HH15,IF(12=$HN15,IF($JE15=2,30,0),IF(12=$HO15,IF($JE15=1,30,0),ABS(12-$HI15)*100)),100000+ABS(1-$HH15)*1000+120)))-IF((12=$HJ15)+(12=$HK15)+(12=$HL15)+(12=$HM15)+(12=$HN15)+(12=$HO15)&gt;=2,50,0))+O$5*50)</f>
        <v/>
      </c>
      <c r="P135">
        <f>IF(OR($JF15=0,calcA!$A$6=0),0,IF(OR(13=$HA15,13=$HD15,13=$HG15),200000,MIN(IF($HA15=0,999999,IF(1=$HB15,IF(13=$HJ15,IF($JC15=2,30,0),IF(13=$HK15,IF($JC15=1,30,0),ABS(13-$HC15)*100)),100000+ABS(1-$HB15)*1000+130)),IF($HD15=0,999999,IF(1=$HE15,IF(13=$HL15,IF($JD15=2,30,0),IF(13=$HM15,IF($JD15=1,30,0),ABS(13-$HF15)*100)),100000+ABS(1-$HE15)*1000+130)),IF($HG15=0,999999,IF(1=$HH15,IF(13=$HN15,IF($JE15=2,30,0),IF(13=$HO15,IF($JE15=1,30,0),ABS(13-$HI15)*100)),100000+ABS(1-$HH15)*1000+130)))-IF((13=$HJ15)+(13=$HK15)+(13=$HL15)+(13=$HM15)+(13=$HN15)+(13=$HO15)&gt;=2,50,0))+P$5*50)</f>
        <v/>
      </c>
      <c r="Q135">
        <f>IF(OR($JF15=0,calcA!$A$6=0),0,IF(OR(14=$HA15,14=$HD15,14=$HG15),200000,MIN(IF($HA15=0,999999,IF(1=$HB15,IF(14=$HJ15,IF($JC15=2,30,0),IF(14=$HK15,IF($JC15=1,30,0),ABS(14-$HC15)*100)),100000+ABS(1-$HB15)*1000+140)),IF($HD15=0,999999,IF(1=$HE15,IF(14=$HL15,IF($JD15=2,30,0),IF(14=$HM15,IF($JD15=1,30,0),ABS(14-$HF15)*100)),100000+ABS(1-$HE15)*1000+140)),IF($HG15=0,999999,IF(1=$HH15,IF(14=$HN15,IF($JE15=2,30,0),IF(14=$HO15,IF($JE15=1,30,0),ABS(14-$HI15)*100)),100000+ABS(1-$HH15)*1000+140)))-IF((14=$HJ15)+(14=$HK15)+(14=$HL15)+(14=$HM15)+(14=$HN15)+(14=$HO15)&gt;=2,50,0))+Q$5*50)</f>
        <v/>
      </c>
      <c r="R135">
        <f>IF(OR($JF15=0,calcA!$A$6=0),0,IF(OR(15=$HA15,15=$HD15,15=$HG15),200000,MIN(IF($HA15=0,999999,IF(1=$HB15,IF(15=$HJ15,IF($JC15=2,30,0),IF(15=$HK15,IF($JC15=1,30,0),ABS(15-$HC15)*100)),100000+ABS(1-$HB15)*1000+150)),IF($HD15=0,999999,IF(1=$HE15,IF(15=$HL15,IF($JD15=2,30,0),IF(15=$HM15,IF($JD15=1,30,0),ABS(15-$HF15)*100)),100000+ABS(1-$HE15)*1000+150)),IF($HG15=0,999999,IF(1=$HH15,IF(15=$HN15,IF($JE15=2,30,0),IF(15=$HO15,IF($JE15=1,30,0),ABS(15-$HI15)*100)),100000+ABS(1-$HH15)*1000+150)))-IF((15=$HJ15)+(15=$HK15)+(15=$HL15)+(15=$HM15)+(15=$HN15)+(15=$HO15)&gt;=2,50,0))+R$5*50)</f>
        <v/>
      </c>
      <c r="S135">
        <f>IF(OR($JF15=0,calcA!$A$6=0),0,IF(OR(16=$HA15,16=$HD15,16=$HG15),200000,MIN(IF($HA15=0,999999,IF(1=$HB15,IF(16=$HJ15,IF($JC15=2,30,0),IF(16=$HK15,IF($JC15=1,30,0),ABS(16-$HC15)*100)),100000+ABS(1-$HB15)*1000+160)),IF($HD15=0,999999,IF(1=$HE15,IF(16=$HL15,IF($JD15=2,30,0),IF(16=$HM15,IF($JD15=1,30,0),ABS(16-$HF15)*100)),100000+ABS(1-$HE15)*1000+160)),IF($HG15=0,999999,IF(1=$HH15,IF(16=$HN15,IF($JE15=2,30,0),IF(16=$HO15,IF($JE15=1,30,0),ABS(16-$HI15)*100)),100000+ABS(1-$HH15)*1000+160)))-IF((16=$HJ15)+(16=$HK15)+(16=$HL15)+(16=$HM15)+(16=$HN15)+(16=$HO15)&gt;=2,50,0))+S$5*50)</f>
        <v/>
      </c>
      <c r="T135">
        <f>IF(OR($JF15=0,calcA!$A$6=0),0,IF(OR(17=$HA15,17=$HD15,17=$HG15),200000,MIN(IF($HA15=0,999999,IF(1=$HB15,IF(17=$HJ15,IF($JC15=2,30,0),IF(17=$HK15,IF($JC15=1,30,0),ABS(17-$HC15)*100)),100000+ABS(1-$HB15)*1000+170)),IF($HD15=0,999999,IF(1=$HE15,IF(17=$HL15,IF($JD15=2,30,0),IF(17=$HM15,IF($JD15=1,30,0),ABS(17-$HF15)*100)),100000+ABS(1-$HE15)*1000+170)),IF($HG15=0,999999,IF(1=$HH15,IF(17=$HN15,IF($JE15=2,30,0),IF(17=$HO15,IF($JE15=1,30,0),ABS(17-$HI15)*100)),100000+ABS(1-$HH15)*1000+170)))-IF((17=$HJ15)+(17=$HK15)+(17=$HL15)+(17=$HM15)+(17=$HN15)+(17=$HO15)&gt;=2,50,0))+T$5*50)</f>
        <v/>
      </c>
      <c r="U135">
        <f>IF(OR($JF15=0,calcA!$A$6=0),0,IF(OR(18=$HA15,18=$HD15,18=$HG15),200000,MIN(IF($HA15=0,999999,IF(1=$HB15,IF(18=$HJ15,IF($JC15=2,30,0),IF(18=$HK15,IF($JC15=1,30,0),ABS(18-$HC15)*100)),100000+ABS(1-$HB15)*1000+180)),IF($HD15=0,999999,IF(1=$HE15,IF(18=$HL15,IF($JD15=2,30,0),IF(18=$HM15,IF($JD15=1,30,0),ABS(18-$HF15)*100)),100000+ABS(1-$HE15)*1000+180)),IF($HG15=0,999999,IF(1=$HH15,IF(18=$HN15,IF($JE15=2,30,0),IF(18=$HO15,IF($JE15=1,30,0),ABS(18-$HI15)*100)),100000+ABS(1-$HH15)*1000+180)))-IF((18=$HJ15)+(18=$HK15)+(18=$HL15)+(18=$HM15)+(18=$HN15)+(18=$HO15)&gt;=2,50,0))+U$5*50)</f>
        <v/>
      </c>
      <c r="V135">
        <f>IF(OR($JF15=0,calcA!$A$6=0),0,IF(OR(19=$HA15,19=$HD15,19=$HG15),200000,MIN(IF($HA15=0,999999,IF(1=$HB15,IF(19=$HJ15,IF($JC15=2,30,0),IF(19=$HK15,IF($JC15=1,30,0),ABS(19-$HC15)*100)),100000+ABS(1-$HB15)*1000+190)),IF($HD15=0,999999,IF(1=$HE15,IF(19=$HL15,IF($JD15=2,30,0),IF(19=$HM15,IF($JD15=1,30,0),ABS(19-$HF15)*100)),100000+ABS(1-$HE15)*1000+190)),IF($HG15=0,999999,IF(1=$HH15,IF(19=$HN15,IF($JE15=2,30,0),IF(19=$HO15,IF($JE15=1,30,0),ABS(19-$HI15)*100)),100000+ABS(1-$HH15)*1000+190)))-IF((19=$HJ15)+(19=$HK15)+(19=$HL15)+(19=$HM15)+(19=$HN15)+(19=$HO15)&gt;=2,50,0))+V$5*50)</f>
        <v/>
      </c>
      <c r="W135">
        <f>IF(OR($JF15=0,calcA!$A$6=0),0,IF(OR(20=$HA15,20=$HD15,20=$HG15),200000,MIN(IF($HA15=0,999999,IF(1=$HB15,IF(20=$HJ15,IF($JC15=2,30,0),IF(20=$HK15,IF($JC15=1,30,0),ABS(20-$HC15)*100)),100000+ABS(1-$HB15)*1000+200)),IF($HD15=0,999999,IF(1=$HE15,IF(20=$HL15,IF($JD15=2,30,0),IF(20=$HM15,IF($JD15=1,30,0),ABS(20-$HF15)*100)),100000+ABS(1-$HE15)*1000+200)),IF($HG15=0,999999,IF(1=$HH15,IF(20=$HN15,IF($JE15=2,30,0),IF(20=$HO15,IF($JE15=1,30,0),ABS(20-$HI15)*100)),100000+ABS(1-$HH15)*1000+200)))-IF((20=$HJ15)+(20=$HK15)+(20=$HL15)+(20=$HM15)+(20=$HN15)+(20=$HO15)&gt;=2,50,0))+W$5*50)</f>
        <v/>
      </c>
      <c r="X135">
        <f>IF(OR($JF15=0,calcA!$A$6=0),0,IF(OR(21=$HA15,21=$HD15,21=$HG15),200000,MIN(IF($HA15=0,999999,IF(1=$HB15,IF(21=$HJ15,IF($JC15=2,30,0),IF(21=$HK15,IF($JC15=1,30,0),ABS(21-$HC15)*100)),100000+ABS(1-$HB15)*1000+210)),IF($HD15=0,999999,IF(1=$HE15,IF(21=$HL15,IF($JD15=2,30,0),IF(21=$HM15,IF($JD15=1,30,0),ABS(21-$HF15)*100)),100000+ABS(1-$HE15)*1000+210)),IF($HG15=0,999999,IF(1=$HH15,IF(21=$HN15,IF($JE15=2,30,0),IF(21=$HO15,IF($JE15=1,30,0),ABS(21-$HI15)*100)),100000+ABS(1-$HH15)*1000+210)))-IF((21=$HJ15)+(21=$HK15)+(21=$HL15)+(21=$HM15)+(21=$HN15)+(21=$HO15)&gt;=2,50,0))+X$5*50)</f>
        <v/>
      </c>
      <c r="Y135">
        <f>IF(OR($JF15=0,calcA!$A$6=0),0,IF(OR(22=$HA15,22=$HD15,22=$HG15),200000,MIN(IF($HA15=0,999999,IF(1=$HB15,IF(22=$HJ15,IF($JC15=2,30,0),IF(22=$HK15,IF($JC15=1,30,0),ABS(22-$HC15)*100)),100000+ABS(1-$HB15)*1000+220)),IF($HD15=0,999999,IF(1=$HE15,IF(22=$HL15,IF($JD15=2,30,0),IF(22=$HM15,IF($JD15=1,30,0),ABS(22-$HF15)*100)),100000+ABS(1-$HE15)*1000+220)),IF($HG15=0,999999,IF(1=$HH15,IF(22=$HN15,IF($JE15=2,30,0),IF(22=$HO15,IF($JE15=1,30,0),ABS(22-$HI15)*100)),100000+ABS(1-$HH15)*1000+220)))-IF((22=$HJ15)+(22=$HK15)+(22=$HL15)+(22=$HM15)+(22=$HN15)+(22=$HO15)&gt;=2,50,0))+Y$5*50)</f>
        <v/>
      </c>
      <c r="Z135">
        <f>IF(OR($JF15=0,calcA!$A$6=0),0,IF(OR(23=$HA15,23=$HD15,23=$HG15),200000,MIN(IF($HA15=0,999999,IF(1=$HB15,IF(23=$HJ15,IF($JC15=2,30,0),IF(23=$HK15,IF($JC15=1,30,0),ABS(23-$HC15)*100)),100000+ABS(1-$HB15)*1000+230)),IF($HD15=0,999999,IF(1=$HE15,IF(23=$HL15,IF($JD15=2,30,0),IF(23=$HM15,IF($JD15=1,30,0),ABS(23-$HF15)*100)),100000+ABS(1-$HE15)*1000+230)),IF($HG15=0,999999,IF(1=$HH15,IF(23=$HN15,IF($JE15=2,30,0),IF(23=$HO15,IF($JE15=1,30,0),ABS(23-$HI15)*100)),100000+ABS(1-$HH15)*1000+230)))-IF((23=$HJ15)+(23=$HK15)+(23=$HL15)+(23=$HM15)+(23=$HN15)+(23=$HO15)&gt;=2,50,0))+Z$5*50)</f>
        <v/>
      </c>
      <c r="AA135">
        <f>IF(OR($JF15=0,calcA!$A$6=0),0,IF(OR(24=$HA15,24=$HD15,24=$HG15),200000,MIN(IF($HA15=0,999999,IF(1=$HB15,IF(24=$HJ15,IF($JC15=2,30,0),IF(24=$HK15,IF($JC15=1,30,0),ABS(24-$HC15)*100)),100000+ABS(1-$HB15)*1000+240)),IF($HD15=0,999999,IF(1=$HE15,IF(24=$HL15,IF($JD15=2,30,0),IF(24=$HM15,IF($JD15=1,30,0),ABS(24-$HF15)*100)),100000+ABS(1-$HE15)*1000+240)),IF($HG15=0,999999,IF(1=$HH15,IF(24=$HN15,IF($JE15=2,30,0),IF(24=$HO15,IF($JE15=1,30,0),ABS(24-$HI15)*100)),100000+ABS(1-$HH15)*1000+240)))-IF((24=$HJ15)+(24=$HK15)+(24=$HL15)+(24=$HM15)+(24=$HN15)+(24=$HO15)&gt;=2,50,0))+AA$5*50)</f>
        <v/>
      </c>
      <c r="AB135">
        <f>IF(OR($JF15=0,calcA!$A$6=0),0,IF(OR(25=$HA15,25=$HD15,25=$HG15),200000,MIN(IF($HA15=0,999999,IF(2=$HB15,IF(25=$HJ15,IF($JC15=2,30,0),IF(25=$HK15,IF($JC15=1,30,0),ABS(1-$HC15)*100)),100000+ABS(2-$HB15)*1000+10)),IF($HD15=0,999999,IF(2=$HE15,IF(25=$HL15,IF($JD15=2,30,0),IF(25=$HM15,IF($JD15=1,30,0),ABS(1-$HF15)*100)),100000+ABS(2-$HE15)*1000+10)),IF($HG15=0,999999,IF(2=$HH15,IF(25=$HN15,IF($JE15=2,30,0),IF(25=$HO15,IF($JE15=1,30,0),ABS(1-$HI15)*100)),100000+ABS(2-$HH15)*1000+10)))-IF((25=$HJ15)+(25=$HK15)+(25=$HL15)+(25=$HM15)+(25=$HN15)+(25=$HO15)&gt;=2,50,0))+AB$5*50)</f>
        <v/>
      </c>
      <c r="AC135">
        <f>IF(OR($JF15=0,calcA!$A$6=0),0,IF(OR(26=$HA15,26=$HD15,26=$HG15),200000,MIN(IF($HA15=0,999999,IF(2=$HB15,IF(26=$HJ15,IF($JC15=2,30,0),IF(26=$HK15,IF($JC15=1,30,0),ABS(2-$HC15)*100)),100000+ABS(2-$HB15)*1000+20)),IF($HD15=0,999999,IF(2=$HE15,IF(26=$HL15,IF($JD15=2,30,0),IF(26=$HM15,IF($JD15=1,30,0),ABS(2-$HF15)*100)),100000+ABS(2-$HE15)*1000+20)),IF($HG15=0,999999,IF(2=$HH15,IF(26=$HN15,IF($JE15=2,30,0),IF(26=$HO15,IF($JE15=1,30,0),ABS(2-$HI15)*100)),100000+ABS(2-$HH15)*1000+20)))-IF((26=$HJ15)+(26=$HK15)+(26=$HL15)+(26=$HM15)+(26=$HN15)+(26=$HO15)&gt;=2,50,0))+AC$5*50)</f>
        <v/>
      </c>
      <c r="AD135">
        <f>IF(OR($JF15=0,calcA!$A$6=0),0,IF(OR(27=$HA15,27=$HD15,27=$HG15),200000,MIN(IF($HA15=0,999999,IF(2=$HB15,IF(27=$HJ15,IF($JC15=2,30,0),IF(27=$HK15,IF($JC15=1,30,0),ABS(3-$HC15)*100)),100000+ABS(2-$HB15)*1000+30)),IF($HD15=0,999999,IF(2=$HE15,IF(27=$HL15,IF($JD15=2,30,0),IF(27=$HM15,IF($JD15=1,30,0),ABS(3-$HF15)*100)),100000+ABS(2-$HE15)*1000+30)),IF($HG15=0,999999,IF(2=$HH15,IF(27=$HN15,IF($JE15=2,30,0),IF(27=$HO15,IF($JE15=1,30,0),ABS(3-$HI15)*100)),100000+ABS(2-$HH15)*1000+30)))-IF((27=$HJ15)+(27=$HK15)+(27=$HL15)+(27=$HM15)+(27=$HN15)+(27=$HO15)&gt;=2,50,0))+AD$5*50)</f>
        <v/>
      </c>
      <c r="AE135">
        <f>IF(OR($JF15=0,calcA!$A$6=0),0,IF(OR(28=$HA15,28=$HD15,28=$HG15),200000,MIN(IF($HA15=0,999999,IF(2=$HB15,IF(28=$HJ15,IF($JC15=2,30,0),IF(28=$HK15,IF($JC15=1,30,0),ABS(4-$HC15)*100)),100000+ABS(2-$HB15)*1000+40)),IF($HD15=0,999999,IF(2=$HE15,IF(28=$HL15,IF($JD15=2,30,0),IF(28=$HM15,IF($JD15=1,30,0),ABS(4-$HF15)*100)),100000+ABS(2-$HE15)*1000+40)),IF($HG15=0,999999,IF(2=$HH15,IF(28=$HN15,IF($JE15=2,30,0),IF(28=$HO15,IF($JE15=1,30,0),ABS(4-$HI15)*100)),100000+ABS(2-$HH15)*1000+40)))-IF((28=$HJ15)+(28=$HK15)+(28=$HL15)+(28=$HM15)+(28=$HN15)+(28=$HO15)&gt;=2,50,0))+AE$5*50)</f>
        <v/>
      </c>
      <c r="AF135">
        <f>IF(OR($JF15=0,calcA!$A$6=0),0,IF(OR(29=$HA15,29=$HD15,29=$HG15),200000,MIN(IF($HA15=0,999999,IF(2=$HB15,IF(29=$HJ15,IF($JC15=2,30,0),IF(29=$HK15,IF($JC15=1,30,0),ABS(5-$HC15)*100)),100000+ABS(2-$HB15)*1000+50)),IF($HD15=0,999999,IF(2=$HE15,IF(29=$HL15,IF($JD15=2,30,0),IF(29=$HM15,IF($JD15=1,30,0),ABS(5-$HF15)*100)),100000+ABS(2-$HE15)*1000+50)),IF($HG15=0,999999,IF(2=$HH15,IF(29=$HN15,IF($JE15=2,30,0),IF(29=$HO15,IF($JE15=1,30,0),ABS(5-$HI15)*100)),100000+ABS(2-$HH15)*1000+50)))-IF((29=$HJ15)+(29=$HK15)+(29=$HL15)+(29=$HM15)+(29=$HN15)+(29=$HO15)&gt;=2,50,0))+AF$5*50)</f>
        <v/>
      </c>
      <c r="AG135">
        <f>IF(OR($JF15=0,calcA!$A$6=0),0,IF(OR(30=$HA15,30=$HD15,30=$HG15),200000,MIN(IF($HA15=0,999999,IF(2=$HB15,IF(30=$HJ15,IF($JC15=2,30,0),IF(30=$HK15,IF($JC15=1,30,0),ABS(6-$HC15)*100)),100000+ABS(2-$HB15)*1000+60)),IF($HD15=0,999999,IF(2=$HE15,IF(30=$HL15,IF($JD15=2,30,0),IF(30=$HM15,IF($JD15=1,30,0),ABS(6-$HF15)*100)),100000+ABS(2-$HE15)*1000+60)),IF($HG15=0,999999,IF(2=$HH15,IF(30=$HN15,IF($JE15=2,30,0),IF(30=$HO15,IF($JE15=1,30,0),ABS(6-$HI15)*100)),100000+ABS(2-$HH15)*1000+60)))-IF((30=$HJ15)+(30=$HK15)+(30=$HL15)+(30=$HM15)+(30=$HN15)+(30=$HO15)&gt;=2,50,0))+AG$5*50)</f>
        <v/>
      </c>
      <c r="AH135">
        <f>IF(OR($JF15=0,calcA!$A$6=0),0,IF(OR(31=$HA15,31=$HD15,31=$HG15),200000,MIN(IF($HA15=0,999999,IF(2=$HB15,IF(31=$HJ15,IF($JC15=2,30,0),IF(31=$HK15,IF($JC15=1,30,0),ABS(7-$HC15)*100)),100000+ABS(2-$HB15)*1000+70)),IF($HD15=0,999999,IF(2=$HE15,IF(31=$HL15,IF($JD15=2,30,0),IF(31=$HM15,IF($JD15=1,30,0),ABS(7-$HF15)*100)),100000+ABS(2-$HE15)*1000+70)),IF($HG15=0,999999,IF(2=$HH15,IF(31=$HN15,IF($JE15=2,30,0),IF(31=$HO15,IF($JE15=1,30,0),ABS(7-$HI15)*100)),100000+ABS(2-$HH15)*1000+70)))-IF((31=$HJ15)+(31=$HK15)+(31=$HL15)+(31=$HM15)+(31=$HN15)+(31=$HO15)&gt;=2,50,0))+AH$5*50)</f>
        <v/>
      </c>
      <c r="AI135">
        <f>IF(OR($JF15=0,calcA!$A$6=0),0,IF(OR(32=$HA15,32=$HD15,32=$HG15),200000,MIN(IF($HA15=0,999999,IF(2=$HB15,IF(32=$HJ15,IF($JC15=2,30,0),IF(32=$HK15,IF($JC15=1,30,0),ABS(8-$HC15)*100)),100000+ABS(2-$HB15)*1000+80)),IF($HD15=0,999999,IF(2=$HE15,IF(32=$HL15,IF($JD15=2,30,0),IF(32=$HM15,IF($JD15=1,30,0),ABS(8-$HF15)*100)),100000+ABS(2-$HE15)*1000+80)),IF($HG15=0,999999,IF(2=$HH15,IF(32=$HN15,IF($JE15=2,30,0),IF(32=$HO15,IF($JE15=1,30,0),ABS(8-$HI15)*100)),100000+ABS(2-$HH15)*1000+80)))-IF((32=$HJ15)+(32=$HK15)+(32=$HL15)+(32=$HM15)+(32=$HN15)+(32=$HO15)&gt;=2,50,0))+AI$5*50)</f>
        <v/>
      </c>
      <c r="AJ135">
        <f>IF(OR($JF15=0,calcA!$A$6=0),0,IF(OR(33=$HA15,33=$HD15,33=$HG15),200000,MIN(IF($HA15=0,999999,IF(2=$HB15,IF(33=$HJ15,IF($JC15=2,30,0),IF(33=$HK15,IF($JC15=1,30,0),ABS(9-$HC15)*100)),100000+ABS(2-$HB15)*1000+90)),IF($HD15=0,999999,IF(2=$HE15,IF(33=$HL15,IF($JD15=2,30,0),IF(33=$HM15,IF($JD15=1,30,0),ABS(9-$HF15)*100)),100000+ABS(2-$HE15)*1000+90)),IF($HG15=0,999999,IF(2=$HH15,IF(33=$HN15,IF($JE15=2,30,0),IF(33=$HO15,IF($JE15=1,30,0),ABS(9-$HI15)*100)),100000+ABS(2-$HH15)*1000+90)))-IF((33=$HJ15)+(33=$HK15)+(33=$HL15)+(33=$HM15)+(33=$HN15)+(33=$HO15)&gt;=2,50,0))+AJ$5*50)</f>
        <v/>
      </c>
      <c r="AK135">
        <f>IF(OR($JF15=0,calcA!$A$6=0),0,IF(OR(34=$HA15,34=$HD15,34=$HG15),200000,MIN(IF($HA15=0,999999,IF(2=$HB15,IF(34=$HJ15,IF($JC15=2,30,0),IF(34=$HK15,IF($JC15=1,30,0),ABS(10-$HC15)*100)),100000+ABS(2-$HB15)*1000+100)),IF($HD15=0,999999,IF(2=$HE15,IF(34=$HL15,IF($JD15=2,30,0),IF(34=$HM15,IF($JD15=1,30,0),ABS(10-$HF15)*100)),100000+ABS(2-$HE15)*1000+100)),IF($HG15=0,999999,IF(2=$HH15,IF(34=$HN15,IF($JE15=2,30,0),IF(34=$HO15,IF($JE15=1,30,0),ABS(10-$HI15)*100)),100000+ABS(2-$HH15)*1000+100)))-IF((34=$HJ15)+(34=$HK15)+(34=$HL15)+(34=$HM15)+(34=$HN15)+(34=$HO15)&gt;=2,50,0))+AK$5*50)</f>
        <v/>
      </c>
      <c r="AL135">
        <f>IF(OR($JF15=0,calcA!$A$6=0),0,IF(OR(35=$HA15,35=$HD15,35=$HG15),200000,MIN(IF($HA15=0,999999,IF(2=$HB15,IF(35=$HJ15,IF($JC15=2,30,0),IF(35=$HK15,IF($JC15=1,30,0),ABS(11-$HC15)*100)),100000+ABS(2-$HB15)*1000+110)),IF($HD15=0,999999,IF(2=$HE15,IF(35=$HL15,IF($JD15=2,30,0),IF(35=$HM15,IF($JD15=1,30,0),ABS(11-$HF15)*100)),100000+ABS(2-$HE15)*1000+110)),IF($HG15=0,999999,IF(2=$HH15,IF(35=$HN15,IF($JE15=2,30,0),IF(35=$HO15,IF($JE15=1,30,0),ABS(11-$HI15)*100)),100000+ABS(2-$HH15)*1000+110)))-IF((35=$HJ15)+(35=$HK15)+(35=$HL15)+(35=$HM15)+(35=$HN15)+(35=$HO15)&gt;=2,50,0))+AL$5*50)</f>
        <v/>
      </c>
      <c r="AM135">
        <f>IF(OR($JF15=0,calcA!$A$6=0),0,IF(OR(36=$HA15,36=$HD15,36=$HG15),200000,MIN(IF($HA15=0,999999,IF(2=$HB15,IF(36=$HJ15,IF($JC15=2,30,0),IF(36=$HK15,IF($JC15=1,30,0),ABS(12-$HC15)*100)),100000+ABS(2-$HB15)*1000+120)),IF($HD15=0,999999,IF(2=$HE15,IF(36=$HL15,IF($JD15=2,30,0),IF(36=$HM15,IF($JD15=1,30,0),ABS(12-$HF15)*100)),100000+ABS(2-$HE15)*1000+120)),IF($HG15=0,999999,IF(2=$HH15,IF(36=$HN15,IF($JE15=2,30,0),IF(36=$HO15,IF($JE15=1,30,0),ABS(12-$HI15)*100)),100000+ABS(2-$HH15)*1000+120)))-IF((36=$HJ15)+(36=$HK15)+(36=$HL15)+(36=$HM15)+(36=$HN15)+(36=$HO15)&gt;=2,50,0))+AM$5*50)</f>
        <v/>
      </c>
      <c r="AN135">
        <f>IF(OR($JF15=0,calcA!$A$6=0),0,IF(OR(37=$HA15,37=$HD15,37=$HG15),200000,MIN(IF($HA15=0,999999,IF(2=$HB15,IF(37=$HJ15,IF($JC15=2,30,0),IF(37=$HK15,IF($JC15=1,30,0),ABS(13-$HC15)*100)),100000+ABS(2-$HB15)*1000+130)),IF($HD15=0,999999,IF(2=$HE15,IF(37=$HL15,IF($JD15=2,30,0),IF(37=$HM15,IF($JD15=1,30,0),ABS(13-$HF15)*100)),100000+ABS(2-$HE15)*1000+130)),IF($HG15=0,999999,IF(2=$HH15,IF(37=$HN15,IF($JE15=2,30,0),IF(37=$HO15,IF($JE15=1,30,0),ABS(13-$HI15)*100)),100000+ABS(2-$HH15)*1000+130)))-IF((37=$HJ15)+(37=$HK15)+(37=$HL15)+(37=$HM15)+(37=$HN15)+(37=$HO15)&gt;=2,50,0))+AN$5*50)</f>
        <v/>
      </c>
      <c r="AO135">
        <f>IF(OR($JF15=0,calcA!$A$6=0),0,IF(OR(38=$HA15,38=$HD15,38=$HG15),200000,MIN(IF($HA15=0,999999,IF(2=$HB15,IF(38=$HJ15,IF($JC15=2,30,0),IF(38=$HK15,IF($JC15=1,30,0),ABS(14-$HC15)*100)),100000+ABS(2-$HB15)*1000+140)),IF($HD15=0,999999,IF(2=$HE15,IF(38=$HL15,IF($JD15=2,30,0),IF(38=$HM15,IF($JD15=1,30,0),ABS(14-$HF15)*100)),100000+ABS(2-$HE15)*1000+140)),IF($HG15=0,999999,IF(2=$HH15,IF(38=$HN15,IF($JE15=2,30,0),IF(38=$HO15,IF($JE15=1,30,0),ABS(14-$HI15)*100)),100000+ABS(2-$HH15)*1000+140)))-IF((38=$HJ15)+(38=$HK15)+(38=$HL15)+(38=$HM15)+(38=$HN15)+(38=$HO15)&gt;=2,50,0))+AO$5*50)</f>
        <v/>
      </c>
      <c r="AP135">
        <f>IF(OR($JF15=0,calcA!$A$6=0),0,IF(OR(39=$HA15,39=$HD15,39=$HG15),200000,MIN(IF($HA15=0,999999,IF(2=$HB15,IF(39=$HJ15,IF($JC15=2,30,0),IF(39=$HK15,IF($JC15=1,30,0),ABS(15-$HC15)*100)),100000+ABS(2-$HB15)*1000+150)),IF($HD15=0,999999,IF(2=$HE15,IF(39=$HL15,IF($JD15=2,30,0),IF(39=$HM15,IF($JD15=1,30,0),ABS(15-$HF15)*100)),100000+ABS(2-$HE15)*1000+150)),IF($HG15=0,999999,IF(2=$HH15,IF(39=$HN15,IF($JE15=2,30,0),IF(39=$HO15,IF($JE15=1,30,0),ABS(15-$HI15)*100)),100000+ABS(2-$HH15)*1000+150)))-IF((39=$HJ15)+(39=$HK15)+(39=$HL15)+(39=$HM15)+(39=$HN15)+(39=$HO15)&gt;=2,50,0))+AP$5*50)</f>
        <v/>
      </c>
      <c r="AQ135">
        <f>IF(OR($JF15=0,calcA!$A$6=0),0,IF(OR(40=$HA15,40=$HD15,40=$HG15),200000,MIN(IF($HA15=0,999999,IF(2=$HB15,IF(40=$HJ15,IF($JC15=2,30,0),IF(40=$HK15,IF($JC15=1,30,0),ABS(16-$HC15)*100)),100000+ABS(2-$HB15)*1000+160)),IF($HD15=0,999999,IF(2=$HE15,IF(40=$HL15,IF($JD15=2,30,0),IF(40=$HM15,IF($JD15=1,30,0),ABS(16-$HF15)*100)),100000+ABS(2-$HE15)*1000+160)),IF($HG15=0,999999,IF(2=$HH15,IF(40=$HN15,IF($JE15=2,30,0),IF(40=$HO15,IF($JE15=1,30,0),ABS(16-$HI15)*100)),100000+ABS(2-$HH15)*1000+160)))-IF((40=$HJ15)+(40=$HK15)+(40=$HL15)+(40=$HM15)+(40=$HN15)+(40=$HO15)&gt;=2,50,0))+AQ$5*50)</f>
        <v/>
      </c>
      <c r="AR135">
        <f>IF(OR($JF15=0,calcA!$A$6=0),0,IF(OR(41=$HA15,41=$HD15,41=$HG15),200000,MIN(IF($HA15=0,999999,IF(2=$HB15,IF(41=$HJ15,IF($JC15=2,30,0),IF(41=$HK15,IF($JC15=1,30,0),ABS(17-$HC15)*100)),100000+ABS(2-$HB15)*1000+170)),IF($HD15=0,999999,IF(2=$HE15,IF(41=$HL15,IF($JD15=2,30,0),IF(41=$HM15,IF($JD15=1,30,0),ABS(17-$HF15)*100)),100000+ABS(2-$HE15)*1000+170)),IF($HG15=0,999999,IF(2=$HH15,IF(41=$HN15,IF($JE15=2,30,0),IF(41=$HO15,IF($JE15=1,30,0),ABS(17-$HI15)*100)),100000+ABS(2-$HH15)*1000+170)))-IF((41=$HJ15)+(41=$HK15)+(41=$HL15)+(41=$HM15)+(41=$HN15)+(41=$HO15)&gt;=2,50,0))+AR$5*50)</f>
        <v/>
      </c>
      <c r="AS135">
        <f>IF(OR($JF15=0,calcA!$A$6=0),0,IF(OR(42=$HA15,42=$HD15,42=$HG15),200000,MIN(IF($HA15=0,999999,IF(2=$HB15,IF(42=$HJ15,IF($JC15=2,30,0),IF(42=$HK15,IF($JC15=1,30,0),ABS(18-$HC15)*100)),100000+ABS(2-$HB15)*1000+180)),IF($HD15=0,999999,IF(2=$HE15,IF(42=$HL15,IF($JD15=2,30,0),IF(42=$HM15,IF($JD15=1,30,0),ABS(18-$HF15)*100)),100000+ABS(2-$HE15)*1000+180)),IF($HG15=0,999999,IF(2=$HH15,IF(42=$HN15,IF($JE15=2,30,0),IF(42=$HO15,IF($JE15=1,30,0),ABS(18-$HI15)*100)),100000+ABS(2-$HH15)*1000+180)))-IF((42=$HJ15)+(42=$HK15)+(42=$HL15)+(42=$HM15)+(42=$HN15)+(42=$HO15)&gt;=2,50,0))+AS$5*50)</f>
        <v/>
      </c>
      <c r="AT135">
        <f>IF(OR($JF15=0,calcA!$A$6=0),0,IF(OR(43=$HA15,43=$HD15,43=$HG15),200000,MIN(IF($HA15=0,999999,IF(2=$HB15,IF(43=$HJ15,IF($JC15=2,30,0),IF(43=$HK15,IF($JC15=1,30,0),ABS(19-$HC15)*100)),100000+ABS(2-$HB15)*1000+190)),IF($HD15=0,999999,IF(2=$HE15,IF(43=$HL15,IF($JD15=2,30,0),IF(43=$HM15,IF($JD15=1,30,0),ABS(19-$HF15)*100)),100000+ABS(2-$HE15)*1000+190)),IF($HG15=0,999999,IF(2=$HH15,IF(43=$HN15,IF($JE15=2,30,0),IF(43=$HO15,IF($JE15=1,30,0),ABS(19-$HI15)*100)),100000+ABS(2-$HH15)*1000+190)))-IF((43=$HJ15)+(43=$HK15)+(43=$HL15)+(43=$HM15)+(43=$HN15)+(43=$HO15)&gt;=2,50,0))+AT$5*50)</f>
        <v/>
      </c>
      <c r="AU135">
        <f>IF(OR($JF15=0,calcA!$A$6=0),0,IF(OR(44=$HA15,44=$HD15,44=$HG15),200000,MIN(IF($HA15=0,999999,IF(2=$HB15,IF(44=$HJ15,IF($JC15=2,30,0),IF(44=$HK15,IF($JC15=1,30,0),ABS(20-$HC15)*100)),100000+ABS(2-$HB15)*1000+200)),IF($HD15=0,999999,IF(2=$HE15,IF(44=$HL15,IF($JD15=2,30,0),IF(44=$HM15,IF($JD15=1,30,0),ABS(20-$HF15)*100)),100000+ABS(2-$HE15)*1000+200)),IF($HG15=0,999999,IF(2=$HH15,IF(44=$HN15,IF($JE15=2,30,0),IF(44=$HO15,IF($JE15=1,30,0),ABS(20-$HI15)*100)),100000+ABS(2-$HH15)*1000+200)))-IF((44=$HJ15)+(44=$HK15)+(44=$HL15)+(44=$HM15)+(44=$HN15)+(44=$HO15)&gt;=2,50,0))+AU$5*50)</f>
        <v/>
      </c>
      <c r="AV135">
        <f>IF(OR($JF15=0,calcA!$A$6=0),0,IF(OR(45=$HA15,45=$HD15,45=$HG15),200000,MIN(IF($HA15=0,999999,IF(2=$HB15,IF(45=$HJ15,IF($JC15=2,30,0),IF(45=$HK15,IF($JC15=1,30,0),ABS(21-$HC15)*100)),100000+ABS(2-$HB15)*1000+210)),IF($HD15=0,999999,IF(2=$HE15,IF(45=$HL15,IF($JD15=2,30,0),IF(45=$HM15,IF($JD15=1,30,0),ABS(21-$HF15)*100)),100000+ABS(2-$HE15)*1000+210)),IF($HG15=0,999999,IF(2=$HH15,IF(45=$HN15,IF($JE15=2,30,0),IF(45=$HO15,IF($JE15=1,30,0),ABS(21-$HI15)*100)),100000+ABS(2-$HH15)*1000+210)))-IF((45=$HJ15)+(45=$HK15)+(45=$HL15)+(45=$HM15)+(45=$HN15)+(45=$HO15)&gt;=2,50,0))+AV$5*50)</f>
        <v/>
      </c>
      <c r="AW135">
        <f>IF(OR($JF15=0,calcA!$A$6=0),0,IF(OR(46=$HA15,46=$HD15,46=$HG15),200000,MIN(IF($HA15=0,999999,IF(2=$HB15,IF(46=$HJ15,IF($JC15=2,30,0),IF(46=$HK15,IF($JC15=1,30,0),ABS(22-$HC15)*100)),100000+ABS(2-$HB15)*1000+220)),IF($HD15=0,999999,IF(2=$HE15,IF(46=$HL15,IF($JD15=2,30,0),IF(46=$HM15,IF($JD15=1,30,0),ABS(22-$HF15)*100)),100000+ABS(2-$HE15)*1000+220)),IF($HG15=0,999999,IF(2=$HH15,IF(46=$HN15,IF($JE15=2,30,0),IF(46=$HO15,IF($JE15=1,30,0),ABS(22-$HI15)*100)),100000+ABS(2-$HH15)*1000+220)))-IF((46=$HJ15)+(46=$HK15)+(46=$HL15)+(46=$HM15)+(46=$HN15)+(46=$HO15)&gt;=2,50,0))+AW$5*50)</f>
        <v/>
      </c>
      <c r="AX135">
        <f>IF(OR($JF15=0,calcA!$A$6=0),0,IF(OR(47=$HA15,47=$HD15,47=$HG15),200000,MIN(IF($HA15=0,999999,IF(2=$HB15,IF(47=$HJ15,IF($JC15=2,30,0),IF(47=$HK15,IF($JC15=1,30,0),ABS(23-$HC15)*100)),100000+ABS(2-$HB15)*1000+230)),IF($HD15=0,999999,IF(2=$HE15,IF(47=$HL15,IF($JD15=2,30,0),IF(47=$HM15,IF($JD15=1,30,0),ABS(23-$HF15)*100)),100000+ABS(2-$HE15)*1000+230)),IF($HG15=0,999999,IF(2=$HH15,IF(47=$HN15,IF($JE15=2,30,0),IF(47=$HO15,IF($JE15=1,30,0),ABS(23-$HI15)*100)),100000+ABS(2-$HH15)*1000+230)))-IF((47=$HJ15)+(47=$HK15)+(47=$HL15)+(47=$HM15)+(47=$HN15)+(47=$HO15)&gt;=2,50,0))+AX$5*50)</f>
        <v/>
      </c>
      <c r="AY135">
        <f>IF(OR($JF15=0,calcA!$A$6=0),0,IF(OR(48=$HA15,48=$HD15,48=$HG15),200000,MIN(IF($HA15=0,999999,IF(2=$HB15,IF(48=$HJ15,IF($JC15=2,30,0),IF(48=$HK15,IF($JC15=1,30,0),ABS(24-$HC15)*100)),100000+ABS(2-$HB15)*1000+240)),IF($HD15=0,999999,IF(2=$HE15,IF(48=$HL15,IF($JD15=2,30,0),IF(48=$HM15,IF($JD15=1,30,0),ABS(24-$HF15)*100)),100000+ABS(2-$HE15)*1000+240)),IF($HG15=0,999999,IF(2=$HH15,IF(48=$HN15,IF($JE15=2,30,0),IF(48=$HO15,IF($JE15=1,30,0),ABS(24-$HI15)*100)),100000+ABS(2-$HH15)*1000+240)))-IF((48=$HJ15)+(48=$HK15)+(48=$HL15)+(48=$HM15)+(48=$HN15)+(48=$HO15)&gt;=2,50,0))+AY$5*50)</f>
        <v/>
      </c>
      <c r="AZ135">
        <f>IF(OR($JF15=0,calcA!$A$6=0),0,IF(OR(49=$HA15,49=$HD15,49=$HG15),200000,MIN(IF($HA15=0,999999,IF(3=$HB15,IF(49=$HJ15,IF($JC15=2,30,0),IF(49=$HK15,IF($JC15=1,30,0),ABS(1-$HC15)*100)),100000+ABS(3-$HB15)*1000+10)),IF($HD15=0,999999,IF(3=$HE15,IF(49=$HL15,IF($JD15=2,30,0),IF(49=$HM15,IF($JD15=1,30,0),ABS(1-$HF15)*100)),100000+ABS(3-$HE15)*1000+10)),IF($HG15=0,999999,IF(3=$HH15,IF(49=$HN15,IF($JE15=2,30,0),IF(49=$HO15,IF($JE15=1,30,0),ABS(1-$HI15)*100)),100000+ABS(3-$HH15)*1000+10)))-IF((49=$HJ15)+(49=$HK15)+(49=$HL15)+(49=$HM15)+(49=$HN15)+(49=$HO15)&gt;=2,50,0))+AZ$5*50)</f>
        <v/>
      </c>
      <c r="BA135">
        <f>IF(OR($JF15=0,calcA!$A$6=0),0,IF(OR(50=$HA15,50=$HD15,50=$HG15),200000,MIN(IF($HA15=0,999999,IF(3=$HB15,IF(50=$HJ15,IF($JC15=2,30,0),IF(50=$HK15,IF($JC15=1,30,0),ABS(2-$HC15)*100)),100000+ABS(3-$HB15)*1000+20)),IF($HD15=0,999999,IF(3=$HE15,IF(50=$HL15,IF($JD15=2,30,0),IF(50=$HM15,IF($JD15=1,30,0),ABS(2-$HF15)*100)),100000+ABS(3-$HE15)*1000+20)),IF($HG15=0,999999,IF(3=$HH15,IF(50=$HN15,IF($JE15=2,30,0),IF(50=$HO15,IF($JE15=1,30,0),ABS(2-$HI15)*100)),100000+ABS(3-$HH15)*1000+20)))-IF((50=$HJ15)+(50=$HK15)+(50=$HL15)+(50=$HM15)+(50=$HN15)+(50=$HO15)&gt;=2,50,0))+BA$5*50)</f>
        <v/>
      </c>
      <c r="BB135">
        <f>IF(OR($JF15=0,calcA!$A$6=0),0,IF(OR(51=$HA15,51=$HD15,51=$HG15),200000,MIN(IF($HA15=0,999999,IF(3=$HB15,IF(51=$HJ15,IF($JC15=2,30,0),IF(51=$HK15,IF($JC15=1,30,0),ABS(3-$HC15)*100)),100000+ABS(3-$HB15)*1000+30)),IF($HD15=0,999999,IF(3=$HE15,IF(51=$HL15,IF($JD15=2,30,0),IF(51=$HM15,IF($JD15=1,30,0),ABS(3-$HF15)*100)),100000+ABS(3-$HE15)*1000+30)),IF($HG15=0,999999,IF(3=$HH15,IF(51=$HN15,IF($JE15=2,30,0),IF(51=$HO15,IF($JE15=1,30,0),ABS(3-$HI15)*100)),100000+ABS(3-$HH15)*1000+30)))-IF((51=$HJ15)+(51=$HK15)+(51=$HL15)+(51=$HM15)+(51=$HN15)+(51=$HO15)&gt;=2,50,0))+BB$5*50)</f>
        <v/>
      </c>
      <c r="BC135">
        <f>IF(OR($JF15=0,calcA!$A$6=0),0,IF(OR(52=$HA15,52=$HD15,52=$HG15),200000,MIN(IF($HA15=0,999999,IF(3=$HB15,IF(52=$HJ15,IF($JC15=2,30,0),IF(52=$HK15,IF($JC15=1,30,0),ABS(4-$HC15)*100)),100000+ABS(3-$HB15)*1000+40)),IF($HD15=0,999999,IF(3=$HE15,IF(52=$HL15,IF($JD15=2,30,0),IF(52=$HM15,IF($JD15=1,30,0),ABS(4-$HF15)*100)),100000+ABS(3-$HE15)*1000+40)),IF($HG15=0,999999,IF(3=$HH15,IF(52=$HN15,IF($JE15=2,30,0),IF(52=$HO15,IF($JE15=1,30,0),ABS(4-$HI15)*100)),100000+ABS(3-$HH15)*1000+40)))-IF((52=$HJ15)+(52=$HK15)+(52=$HL15)+(52=$HM15)+(52=$HN15)+(52=$HO15)&gt;=2,50,0))+BC$5*50)</f>
        <v/>
      </c>
      <c r="BD135">
        <f>IF(OR($JF15=0,calcA!$A$6=0),0,IF(OR(53=$HA15,53=$HD15,53=$HG15),200000,MIN(IF($HA15=0,999999,IF(3=$HB15,IF(53=$HJ15,IF($JC15=2,30,0),IF(53=$HK15,IF($JC15=1,30,0),ABS(5-$HC15)*100)),100000+ABS(3-$HB15)*1000+50)),IF($HD15=0,999999,IF(3=$HE15,IF(53=$HL15,IF($JD15=2,30,0),IF(53=$HM15,IF($JD15=1,30,0),ABS(5-$HF15)*100)),100000+ABS(3-$HE15)*1000+50)),IF($HG15=0,999999,IF(3=$HH15,IF(53=$HN15,IF($JE15=2,30,0),IF(53=$HO15,IF($JE15=1,30,0),ABS(5-$HI15)*100)),100000+ABS(3-$HH15)*1000+50)))-IF((53=$HJ15)+(53=$HK15)+(53=$HL15)+(53=$HM15)+(53=$HN15)+(53=$HO15)&gt;=2,50,0))+BD$5*50)</f>
        <v/>
      </c>
      <c r="BE135">
        <f>IF(OR($JF15=0,calcA!$A$6=0),0,IF(OR(54=$HA15,54=$HD15,54=$HG15),200000,MIN(IF($HA15=0,999999,IF(3=$HB15,IF(54=$HJ15,IF($JC15=2,30,0),IF(54=$HK15,IF($JC15=1,30,0),ABS(6-$HC15)*100)),100000+ABS(3-$HB15)*1000+60)),IF($HD15=0,999999,IF(3=$HE15,IF(54=$HL15,IF($JD15=2,30,0),IF(54=$HM15,IF($JD15=1,30,0),ABS(6-$HF15)*100)),100000+ABS(3-$HE15)*1000+60)),IF($HG15=0,999999,IF(3=$HH15,IF(54=$HN15,IF($JE15=2,30,0),IF(54=$HO15,IF($JE15=1,30,0),ABS(6-$HI15)*100)),100000+ABS(3-$HH15)*1000+60)))-IF((54=$HJ15)+(54=$HK15)+(54=$HL15)+(54=$HM15)+(54=$HN15)+(54=$HO15)&gt;=2,50,0))+BE$5*50)</f>
        <v/>
      </c>
      <c r="BF135">
        <f>IF(OR($JF15=0,calcA!$A$6=0),0,IF(OR(55=$HA15,55=$HD15,55=$HG15),200000,MIN(IF($HA15=0,999999,IF(3=$HB15,IF(55=$HJ15,IF($JC15=2,30,0),IF(55=$HK15,IF($JC15=1,30,0),ABS(7-$HC15)*100)),100000+ABS(3-$HB15)*1000+70)),IF($HD15=0,999999,IF(3=$HE15,IF(55=$HL15,IF($JD15=2,30,0),IF(55=$HM15,IF($JD15=1,30,0),ABS(7-$HF15)*100)),100000+ABS(3-$HE15)*1000+70)),IF($HG15=0,999999,IF(3=$HH15,IF(55=$HN15,IF($JE15=2,30,0),IF(55=$HO15,IF($JE15=1,30,0),ABS(7-$HI15)*100)),100000+ABS(3-$HH15)*1000+70)))-IF((55=$HJ15)+(55=$HK15)+(55=$HL15)+(55=$HM15)+(55=$HN15)+(55=$HO15)&gt;=2,50,0))+BF$5*50)</f>
        <v/>
      </c>
      <c r="BG135">
        <f>IF(OR($JF15=0,calcA!$A$6=0),0,IF(OR(56=$HA15,56=$HD15,56=$HG15),200000,MIN(IF($HA15=0,999999,IF(3=$HB15,IF(56=$HJ15,IF($JC15=2,30,0),IF(56=$HK15,IF($JC15=1,30,0),ABS(8-$HC15)*100)),100000+ABS(3-$HB15)*1000+80)),IF($HD15=0,999999,IF(3=$HE15,IF(56=$HL15,IF($JD15=2,30,0),IF(56=$HM15,IF($JD15=1,30,0),ABS(8-$HF15)*100)),100000+ABS(3-$HE15)*1000+80)),IF($HG15=0,999999,IF(3=$HH15,IF(56=$HN15,IF($JE15=2,30,0),IF(56=$HO15,IF($JE15=1,30,0),ABS(8-$HI15)*100)),100000+ABS(3-$HH15)*1000+80)))-IF((56=$HJ15)+(56=$HK15)+(56=$HL15)+(56=$HM15)+(56=$HN15)+(56=$HO15)&gt;=2,50,0))+BG$5*50)</f>
        <v/>
      </c>
      <c r="BH135">
        <f>IF(OR($JF15=0,calcA!$A$6=0),0,IF(OR(57=$HA15,57=$HD15,57=$HG15),200000,MIN(IF($HA15=0,999999,IF(3=$HB15,IF(57=$HJ15,IF($JC15=2,30,0),IF(57=$HK15,IF($JC15=1,30,0),ABS(9-$HC15)*100)),100000+ABS(3-$HB15)*1000+90)),IF($HD15=0,999999,IF(3=$HE15,IF(57=$HL15,IF($JD15=2,30,0),IF(57=$HM15,IF($JD15=1,30,0),ABS(9-$HF15)*100)),100000+ABS(3-$HE15)*1000+90)),IF($HG15=0,999999,IF(3=$HH15,IF(57=$HN15,IF($JE15=2,30,0),IF(57=$HO15,IF($JE15=1,30,0),ABS(9-$HI15)*100)),100000+ABS(3-$HH15)*1000+90)))-IF((57=$HJ15)+(57=$HK15)+(57=$HL15)+(57=$HM15)+(57=$HN15)+(57=$HO15)&gt;=2,50,0))+BH$5*50)</f>
        <v/>
      </c>
      <c r="BI135">
        <f>IF(OR($JF15=0,calcA!$A$6=0),0,IF(OR(58=$HA15,58=$HD15,58=$HG15),200000,MIN(IF($HA15=0,999999,IF(3=$HB15,IF(58=$HJ15,IF($JC15=2,30,0),IF(58=$HK15,IF($JC15=1,30,0),ABS(10-$HC15)*100)),100000+ABS(3-$HB15)*1000+100)),IF($HD15=0,999999,IF(3=$HE15,IF(58=$HL15,IF($JD15=2,30,0),IF(58=$HM15,IF($JD15=1,30,0),ABS(10-$HF15)*100)),100000+ABS(3-$HE15)*1000+100)),IF($HG15=0,999999,IF(3=$HH15,IF(58=$HN15,IF($JE15=2,30,0),IF(58=$HO15,IF($JE15=1,30,0),ABS(10-$HI15)*100)),100000+ABS(3-$HH15)*1000+100)))-IF((58=$HJ15)+(58=$HK15)+(58=$HL15)+(58=$HM15)+(58=$HN15)+(58=$HO15)&gt;=2,50,0))+BI$5*50)</f>
        <v/>
      </c>
      <c r="BJ135">
        <f>IF(OR($JF15=0,calcA!$A$6=0),0,IF(OR(59=$HA15,59=$HD15,59=$HG15),200000,MIN(IF($HA15=0,999999,IF(3=$HB15,IF(59=$HJ15,IF($JC15=2,30,0),IF(59=$HK15,IF($JC15=1,30,0),ABS(11-$HC15)*100)),100000+ABS(3-$HB15)*1000+110)),IF($HD15=0,999999,IF(3=$HE15,IF(59=$HL15,IF($JD15=2,30,0),IF(59=$HM15,IF($JD15=1,30,0),ABS(11-$HF15)*100)),100000+ABS(3-$HE15)*1000+110)),IF($HG15=0,999999,IF(3=$HH15,IF(59=$HN15,IF($JE15=2,30,0),IF(59=$HO15,IF($JE15=1,30,0),ABS(11-$HI15)*100)),100000+ABS(3-$HH15)*1000+110)))-IF((59=$HJ15)+(59=$HK15)+(59=$HL15)+(59=$HM15)+(59=$HN15)+(59=$HO15)&gt;=2,50,0))+BJ$5*50)</f>
        <v/>
      </c>
      <c r="BK135">
        <f>IF(OR($JF15=0,calcA!$A$6=0),0,IF(OR(60=$HA15,60=$HD15,60=$HG15),200000,MIN(IF($HA15=0,999999,IF(3=$HB15,IF(60=$HJ15,IF($JC15=2,30,0),IF(60=$HK15,IF($JC15=1,30,0),ABS(12-$HC15)*100)),100000+ABS(3-$HB15)*1000+120)),IF($HD15=0,999999,IF(3=$HE15,IF(60=$HL15,IF($JD15=2,30,0),IF(60=$HM15,IF($JD15=1,30,0),ABS(12-$HF15)*100)),100000+ABS(3-$HE15)*1000+120)),IF($HG15=0,999999,IF(3=$HH15,IF(60=$HN15,IF($JE15=2,30,0),IF(60=$HO15,IF($JE15=1,30,0),ABS(12-$HI15)*100)),100000+ABS(3-$HH15)*1000+120)))-IF((60=$HJ15)+(60=$HK15)+(60=$HL15)+(60=$HM15)+(60=$HN15)+(60=$HO15)&gt;=2,50,0))+BK$5*50)</f>
        <v/>
      </c>
      <c r="BL135">
        <f>IF(OR($JF15=0,calcA!$A$6=0),0,IF(OR(61=$HA15,61=$HD15,61=$HG15),200000,MIN(IF($HA15=0,999999,IF(3=$HB15,IF(61=$HJ15,IF($JC15=2,30,0),IF(61=$HK15,IF($JC15=1,30,0),ABS(13-$HC15)*100)),100000+ABS(3-$HB15)*1000+130)),IF($HD15=0,999999,IF(3=$HE15,IF(61=$HL15,IF($JD15=2,30,0),IF(61=$HM15,IF($JD15=1,30,0),ABS(13-$HF15)*100)),100000+ABS(3-$HE15)*1000+130)),IF($HG15=0,999999,IF(3=$HH15,IF(61=$HN15,IF($JE15=2,30,0),IF(61=$HO15,IF($JE15=1,30,0),ABS(13-$HI15)*100)),100000+ABS(3-$HH15)*1000+130)))-IF((61=$HJ15)+(61=$HK15)+(61=$HL15)+(61=$HM15)+(61=$HN15)+(61=$HO15)&gt;=2,50,0))+BL$5*50)</f>
        <v/>
      </c>
      <c r="BM135">
        <f>IF(OR($JF15=0,calcA!$A$6=0),0,IF(OR(62=$HA15,62=$HD15,62=$HG15),200000,MIN(IF($HA15=0,999999,IF(3=$HB15,IF(62=$HJ15,IF($JC15=2,30,0),IF(62=$HK15,IF($JC15=1,30,0),ABS(14-$HC15)*100)),100000+ABS(3-$HB15)*1000+140)),IF($HD15=0,999999,IF(3=$HE15,IF(62=$HL15,IF($JD15=2,30,0),IF(62=$HM15,IF($JD15=1,30,0),ABS(14-$HF15)*100)),100000+ABS(3-$HE15)*1000+140)),IF($HG15=0,999999,IF(3=$HH15,IF(62=$HN15,IF($JE15=2,30,0),IF(62=$HO15,IF($JE15=1,30,0),ABS(14-$HI15)*100)),100000+ABS(3-$HH15)*1000+140)))-IF((62=$HJ15)+(62=$HK15)+(62=$HL15)+(62=$HM15)+(62=$HN15)+(62=$HO15)&gt;=2,50,0))+BM$5*50)</f>
        <v/>
      </c>
      <c r="BN135">
        <f>IF(OR($JF15=0,calcA!$A$6=0),0,IF(OR(63=$HA15,63=$HD15,63=$HG15),200000,MIN(IF($HA15=0,999999,IF(3=$HB15,IF(63=$HJ15,IF($JC15=2,30,0),IF(63=$HK15,IF($JC15=1,30,0),ABS(15-$HC15)*100)),100000+ABS(3-$HB15)*1000+150)),IF($HD15=0,999999,IF(3=$HE15,IF(63=$HL15,IF($JD15=2,30,0),IF(63=$HM15,IF($JD15=1,30,0),ABS(15-$HF15)*100)),100000+ABS(3-$HE15)*1000+150)),IF($HG15=0,999999,IF(3=$HH15,IF(63=$HN15,IF($JE15=2,30,0),IF(63=$HO15,IF($JE15=1,30,0),ABS(15-$HI15)*100)),100000+ABS(3-$HH15)*1000+150)))-IF((63=$HJ15)+(63=$HK15)+(63=$HL15)+(63=$HM15)+(63=$HN15)+(63=$HO15)&gt;=2,50,0))+BN$5*50)</f>
        <v/>
      </c>
      <c r="BO135">
        <f>IF(OR($JF15=0,calcA!$A$6=0),0,IF(OR(64=$HA15,64=$HD15,64=$HG15),200000,MIN(IF($HA15=0,999999,IF(3=$HB15,IF(64=$HJ15,IF($JC15=2,30,0),IF(64=$HK15,IF($JC15=1,30,0),ABS(16-$HC15)*100)),100000+ABS(3-$HB15)*1000+160)),IF($HD15=0,999999,IF(3=$HE15,IF(64=$HL15,IF($JD15=2,30,0),IF(64=$HM15,IF($JD15=1,30,0),ABS(16-$HF15)*100)),100000+ABS(3-$HE15)*1000+160)),IF($HG15=0,999999,IF(3=$HH15,IF(64=$HN15,IF($JE15=2,30,0),IF(64=$HO15,IF($JE15=1,30,0),ABS(16-$HI15)*100)),100000+ABS(3-$HH15)*1000+160)))-IF((64=$HJ15)+(64=$HK15)+(64=$HL15)+(64=$HM15)+(64=$HN15)+(64=$HO15)&gt;=2,50,0))+BO$5*50)</f>
        <v/>
      </c>
      <c r="BP135">
        <f>IF(OR($JF15=0,calcA!$A$6=0),0,IF(OR(65=$HA15,65=$HD15,65=$HG15),200000,MIN(IF($HA15=0,999999,IF(3=$HB15,IF(65=$HJ15,IF($JC15=2,30,0),IF(65=$HK15,IF($JC15=1,30,0),ABS(17-$HC15)*100)),100000+ABS(3-$HB15)*1000+170)),IF($HD15=0,999999,IF(3=$HE15,IF(65=$HL15,IF($JD15=2,30,0),IF(65=$HM15,IF($JD15=1,30,0),ABS(17-$HF15)*100)),100000+ABS(3-$HE15)*1000+170)),IF($HG15=0,999999,IF(3=$HH15,IF(65=$HN15,IF($JE15=2,30,0),IF(65=$HO15,IF($JE15=1,30,0),ABS(17-$HI15)*100)),100000+ABS(3-$HH15)*1000+170)))-IF((65=$HJ15)+(65=$HK15)+(65=$HL15)+(65=$HM15)+(65=$HN15)+(65=$HO15)&gt;=2,50,0))+BP$5*50)</f>
        <v/>
      </c>
      <c r="BQ135">
        <f>IF(OR($JF15=0,calcA!$A$6=0),0,IF(OR(66=$HA15,66=$HD15,66=$HG15),200000,MIN(IF($HA15=0,999999,IF(3=$HB15,IF(66=$HJ15,IF($JC15=2,30,0),IF(66=$HK15,IF($JC15=1,30,0),ABS(18-$HC15)*100)),100000+ABS(3-$HB15)*1000+180)),IF($HD15=0,999999,IF(3=$HE15,IF(66=$HL15,IF($JD15=2,30,0),IF(66=$HM15,IF($JD15=1,30,0),ABS(18-$HF15)*100)),100000+ABS(3-$HE15)*1000+180)),IF($HG15=0,999999,IF(3=$HH15,IF(66=$HN15,IF($JE15=2,30,0),IF(66=$HO15,IF($JE15=1,30,0),ABS(18-$HI15)*100)),100000+ABS(3-$HH15)*1000+180)))-IF((66=$HJ15)+(66=$HK15)+(66=$HL15)+(66=$HM15)+(66=$HN15)+(66=$HO15)&gt;=2,50,0))+BQ$5*50)</f>
        <v/>
      </c>
      <c r="BR135">
        <f>IF(OR($JF15=0,calcA!$A$6=0),0,IF(OR(67=$HA15,67=$HD15,67=$HG15),200000,MIN(IF($HA15=0,999999,IF(3=$HB15,IF(67=$HJ15,IF($JC15=2,30,0),IF(67=$HK15,IF($JC15=1,30,0),ABS(19-$HC15)*100)),100000+ABS(3-$HB15)*1000+190)),IF($HD15=0,999999,IF(3=$HE15,IF(67=$HL15,IF($JD15=2,30,0),IF(67=$HM15,IF($JD15=1,30,0),ABS(19-$HF15)*100)),100000+ABS(3-$HE15)*1000+190)),IF($HG15=0,999999,IF(3=$HH15,IF(67=$HN15,IF($JE15=2,30,0),IF(67=$HO15,IF($JE15=1,30,0),ABS(19-$HI15)*100)),100000+ABS(3-$HH15)*1000+190)))-IF((67=$HJ15)+(67=$HK15)+(67=$HL15)+(67=$HM15)+(67=$HN15)+(67=$HO15)&gt;=2,50,0))+BR$5*50)</f>
        <v/>
      </c>
      <c r="BS135">
        <f>IF(OR($JF15=0,calcA!$A$6=0),0,IF(OR(68=$HA15,68=$HD15,68=$HG15),200000,MIN(IF($HA15=0,999999,IF(3=$HB15,IF(68=$HJ15,IF($JC15=2,30,0),IF(68=$HK15,IF($JC15=1,30,0),ABS(20-$HC15)*100)),100000+ABS(3-$HB15)*1000+200)),IF($HD15=0,999999,IF(3=$HE15,IF(68=$HL15,IF($JD15=2,30,0),IF(68=$HM15,IF($JD15=1,30,0),ABS(20-$HF15)*100)),100000+ABS(3-$HE15)*1000+200)),IF($HG15=0,999999,IF(3=$HH15,IF(68=$HN15,IF($JE15=2,30,0),IF(68=$HO15,IF($JE15=1,30,0),ABS(20-$HI15)*100)),100000+ABS(3-$HH15)*1000+200)))-IF((68=$HJ15)+(68=$HK15)+(68=$HL15)+(68=$HM15)+(68=$HN15)+(68=$HO15)&gt;=2,50,0))+BS$5*50)</f>
        <v/>
      </c>
      <c r="BT135">
        <f>IF(OR($JF15=0,calcA!$A$6=0),0,IF(OR(69=$HA15,69=$HD15,69=$HG15),200000,MIN(IF($HA15=0,999999,IF(3=$HB15,IF(69=$HJ15,IF($JC15=2,30,0),IF(69=$HK15,IF($JC15=1,30,0),ABS(21-$HC15)*100)),100000+ABS(3-$HB15)*1000+210)),IF($HD15=0,999999,IF(3=$HE15,IF(69=$HL15,IF($JD15=2,30,0),IF(69=$HM15,IF($JD15=1,30,0),ABS(21-$HF15)*100)),100000+ABS(3-$HE15)*1000+210)),IF($HG15=0,999999,IF(3=$HH15,IF(69=$HN15,IF($JE15=2,30,0),IF(69=$HO15,IF($JE15=1,30,0),ABS(21-$HI15)*100)),100000+ABS(3-$HH15)*1000+210)))-IF((69=$HJ15)+(69=$HK15)+(69=$HL15)+(69=$HM15)+(69=$HN15)+(69=$HO15)&gt;=2,50,0))+BT$5*50)</f>
        <v/>
      </c>
      <c r="BU135">
        <f>IF(OR($JF15=0,calcA!$A$6=0),0,IF(OR(70=$HA15,70=$HD15,70=$HG15),200000,MIN(IF($HA15=0,999999,IF(3=$HB15,IF(70=$HJ15,IF($JC15=2,30,0),IF(70=$HK15,IF($JC15=1,30,0),ABS(22-$HC15)*100)),100000+ABS(3-$HB15)*1000+220)),IF($HD15=0,999999,IF(3=$HE15,IF(70=$HL15,IF($JD15=2,30,0),IF(70=$HM15,IF($JD15=1,30,0),ABS(22-$HF15)*100)),100000+ABS(3-$HE15)*1000+220)),IF($HG15=0,999999,IF(3=$HH15,IF(70=$HN15,IF($JE15=2,30,0),IF(70=$HO15,IF($JE15=1,30,0),ABS(22-$HI15)*100)),100000+ABS(3-$HH15)*1000+220)))-IF((70=$HJ15)+(70=$HK15)+(70=$HL15)+(70=$HM15)+(70=$HN15)+(70=$HO15)&gt;=2,50,0))+BU$5*50)</f>
        <v/>
      </c>
      <c r="BV135">
        <f>IF(OR($JF15=0,calcA!$A$6=0),0,IF(OR(71=$HA15,71=$HD15,71=$HG15),200000,MIN(IF($HA15=0,999999,IF(3=$HB15,IF(71=$HJ15,IF($JC15=2,30,0),IF(71=$HK15,IF($JC15=1,30,0),ABS(23-$HC15)*100)),100000+ABS(3-$HB15)*1000+230)),IF($HD15=0,999999,IF(3=$HE15,IF(71=$HL15,IF($JD15=2,30,0),IF(71=$HM15,IF($JD15=1,30,0),ABS(23-$HF15)*100)),100000+ABS(3-$HE15)*1000+230)),IF($HG15=0,999999,IF(3=$HH15,IF(71=$HN15,IF($JE15=2,30,0),IF(71=$HO15,IF($JE15=1,30,0),ABS(23-$HI15)*100)),100000+ABS(3-$HH15)*1000+230)))-IF((71=$HJ15)+(71=$HK15)+(71=$HL15)+(71=$HM15)+(71=$HN15)+(71=$HO15)&gt;=2,50,0))+BV$5*50)</f>
        <v/>
      </c>
      <c r="BW135">
        <f>IF(OR($JF15=0,calcA!$A$6=0),0,IF(OR(72=$HA15,72=$HD15,72=$HG15),200000,MIN(IF($HA15=0,999999,IF(3=$HB15,IF(72=$HJ15,IF($JC15=2,30,0),IF(72=$HK15,IF($JC15=1,30,0),ABS(24-$HC15)*100)),100000+ABS(3-$HB15)*1000+240)),IF($HD15=0,999999,IF(3=$HE15,IF(72=$HL15,IF($JD15=2,30,0),IF(72=$HM15,IF($JD15=1,30,0),ABS(24-$HF15)*100)),100000+ABS(3-$HE15)*1000+240)),IF($HG15=0,999999,IF(3=$HH15,IF(72=$HN15,IF($JE15=2,30,0),IF(72=$HO15,IF($JE15=1,30,0),ABS(24-$HI15)*100)),100000+ABS(3-$HH15)*1000+240)))-IF((72=$HJ15)+(72=$HK15)+(72=$HL15)+(72=$HM15)+(72=$HN15)+(72=$HO15)&gt;=2,50,0))+BW$5*50)</f>
        <v/>
      </c>
      <c r="BX135">
        <f>IF(OR($JF15=0,calcA!$A$6=0),0,IF(OR(73=$HA15,73=$HD15,73=$HG15),200000,MIN(IF($HA15=0,999999,IF(4=$HB15,IF(73=$HJ15,IF($JC15=2,30,0),IF(73=$HK15,IF($JC15=1,30,0),ABS(1-$HC15)*100)),100000+ABS(4-$HB15)*1000+10)),IF($HD15=0,999999,IF(4=$HE15,IF(73=$HL15,IF($JD15=2,30,0),IF(73=$HM15,IF($JD15=1,30,0),ABS(1-$HF15)*100)),100000+ABS(4-$HE15)*1000+10)),IF($HG15=0,999999,IF(4=$HH15,IF(73=$HN15,IF($JE15=2,30,0),IF(73=$HO15,IF($JE15=1,30,0),ABS(1-$HI15)*100)),100000+ABS(4-$HH15)*1000+10)))-IF((73=$HJ15)+(73=$HK15)+(73=$HL15)+(73=$HM15)+(73=$HN15)+(73=$HO15)&gt;=2,50,0))+BX$5*50)</f>
        <v/>
      </c>
      <c r="BY135">
        <f>IF(OR($JF15=0,calcA!$A$6=0),0,IF(OR(74=$HA15,74=$HD15,74=$HG15),200000,MIN(IF($HA15=0,999999,IF(4=$HB15,IF(74=$HJ15,IF($JC15=2,30,0),IF(74=$HK15,IF($JC15=1,30,0),ABS(2-$HC15)*100)),100000+ABS(4-$HB15)*1000+20)),IF($HD15=0,999999,IF(4=$HE15,IF(74=$HL15,IF($JD15=2,30,0),IF(74=$HM15,IF($JD15=1,30,0),ABS(2-$HF15)*100)),100000+ABS(4-$HE15)*1000+20)),IF($HG15=0,999999,IF(4=$HH15,IF(74=$HN15,IF($JE15=2,30,0),IF(74=$HO15,IF($JE15=1,30,0),ABS(2-$HI15)*100)),100000+ABS(4-$HH15)*1000+20)))-IF((74=$HJ15)+(74=$HK15)+(74=$HL15)+(74=$HM15)+(74=$HN15)+(74=$HO15)&gt;=2,50,0))+BY$5*50)</f>
        <v/>
      </c>
      <c r="BZ135">
        <f>IF(OR($JF15=0,calcA!$A$6=0),0,IF(OR(75=$HA15,75=$HD15,75=$HG15),200000,MIN(IF($HA15=0,999999,IF(4=$HB15,IF(75=$HJ15,IF($JC15=2,30,0),IF(75=$HK15,IF($JC15=1,30,0),ABS(3-$HC15)*100)),100000+ABS(4-$HB15)*1000+30)),IF($HD15=0,999999,IF(4=$HE15,IF(75=$HL15,IF($JD15=2,30,0),IF(75=$HM15,IF($JD15=1,30,0),ABS(3-$HF15)*100)),100000+ABS(4-$HE15)*1000+30)),IF($HG15=0,999999,IF(4=$HH15,IF(75=$HN15,IF($JE15=2,30,0),IF(75=$HO15,IF($JE15=1,30,0),ABS(3-$HI15)*100)),100000+ABS(4-$HH15)*1000+30)))-IF((75=$HJ15)+(75=$HK15)+(75=$HL15)+(75=$HM15)+(75=$HN15)+(75=$HO15)&gt;=2,50,0))+BZ$5*50)</f>
        <v/>
      </c>
      <c r="CA135">
        <f>IF(OR($JF15=0,calcA!$A$6=0),0,IF(OR(76=$HA15,76=$HD15,76=$HG15),200000,MIN(IF($HA15=0,999999,IF(4=$HB15,IF(76=$HJ15,IF($JC15=2,30,0),IF(76=$HK15,IF($JC15=1,30,0),ABS(4-$HC15)*100)),100000+ABS(4-$HB15)*1000+40)),IF($HD15=0,999999,IF(4=$HE15,IF(76=$HL15,IF($JD15=2,30,0),IF(76=$HM15,IF($JD15=1,30,0),ABS(4-$HF15)*100)),100000+ABS(4-$HE15)*1000+40)),IF($HG15=0,999999,IF(4=$HH15,IF(76=$HN15,IF($JE15=2,30,0),IF(76=$HO15,IF($JE15=1,30,0),ABS(4-$HI15)*100)),100000+ABS(4-$HH15)*1000+40)))-IF((76=$HJ15)+(76=$HK15)+(76=$HL15)+(76=$HM15)+(76=$HN15)+(76=$HO15)&gt;=2,50,0))+CA$5*50)</f>
        <v/>
      </c>
      <c r="CB135">
        <f>IF(OR($JF15=0,calcA!$A$6=0),0,IF(OR(77=$HA15,77=$HD15,77=$HG15),200000,MIN(IF($HA15=0,999999,IF(4=$HB15,IF(77=$HJ15,IF($JC15=2,30,0),IF(77=$HK15,IF($JC15=1,30,0),ABS(5-$HC15)*100)),100000+ABS(4-$HB15)*1000+50)),IF($HD15=0,999999,IF(4=$HE15,IF(77=$HL15,IF($JD15=2,30,0),IF(77=$HM15,IF($JD15=1,30,0),ABS(5-$HF15)*100)),100000+ABS(4-$HE15)*1000+50)),IF($HG15=0,999999,IF(4=$HH15,IF(77=$HN15,IF($JE15=2,30,0),IF(77=$HO15,IF($JE15=1,30,0),ABS(5-$HI15)*100)),100000+ABS(4-$HH15)*1000+50)))-IF((77=$HJ15)+(77=$HK15)+(77=$HL15)+(77=$HM15)+(77=$HN15)+(77=$HO15)&gt;=2,50,0))+CB$5*50)</f>
        <v/>
      </c>
      <c r="CC135">
        <f>IF(OR($JF15=0,calcA!$A$6=0),0,IF(OR(78=$HA15,78=$HD15,78=$HG15),200000,MIN(IF($HA15=0,999999,IF(4=$HB15,IF(78=$HJ15,IF($JC15=2,30,0),IF(78=$HK15,IF($JC15=1,30,0),ABS(6-$HC15)*100)),100000+ABS(4-$HB15)*1000+60)),IF($HD15=0,999999,IF(4=$HE15,IF(78=$HL15,IF($JD15=2,30,0),IF(78=$HM15,IF($JD15=1,30,0),ABS(6-$HF15)*100)),100000+ABS(4-$HE15)*1000+60)),IF($HG15=0,999999,IF(4=$HH15,IF(78=$HN15,IF($JE15=2,30,0),IF(78=$HO15,IF($JE15=1,30,0),ABS(6-$HI15)*100)),100000+ABS(4-$HH15)*1000+60)))-IF((78=$HJ15)+(78=$HK15)+(78=$HL15)+(78=$HM15)+(78=$HN15)+(78=$HO15)&gt;=2,50,0))+CC$5*50)</f>
        <v/>
      </c>
      <c r="CD135">
        <f>IF(OR($JF15=0,calcA!$A$6=0),0,IF(OR(79=$HA15,79=$HD15,79=$HG15),200000,MIN(IF($HA15=0,999999,IF(4=$HB15,IF(79=$HJ15,IF($JC15=2,30,0),IF(79=$HK15,IF($JC15=1,30,0),ABS(7-$HC15)*100)),100000+ABS(4-$HB15)*1000+70)),IF($HD15=0,999999,IF(4=$HE15,IF(79=$HL15,IF($JD15=2,30,0),IF(79=$HM15,IF($JD15=1,30,0),ABS(7-$HF15)*100)),100000+ABS(4-$HE15)*1000+70)),IF($HG15=0,999999,IF(4=$HH15,IF(79=$HN15,IF($JE15=2,30,0),IF(79=$HO15,IF($JE15=1,30,0),ABS(7-$HI15)*100)),100000+ABS(4-$HH15)*1000+70)))-IF((79=$HJ15)+(79=$HK15)+(79=$HL15)+(79=$HM15)+(79=$HN15)+(79=$HO15)&gt;=2,50,0))+CD$5*50)</f>
        <v/>
      </c>
      <c r="CE135">
        <f>IF(OR($JF15=0,calcA!$A$6=0),0,IF(OR(80=$HA15,80=$HD15,80=$HG15),200000,MIN(IF($HA15=0,999999,IF(4=$HB15,IF(80=$HJ15,IF($JC15=2,30,0),IF(80=$HK15,IF($JC15=1,30,0),ABS(8-$HC15)*100)),100000+ABS(4-$HB15)*1000+80)),IF($HD15=0,999999,IF(4=$HE15,IF(80=$HL15,IF($JD15=2,30,0),IF(80=$HM15,IF($JD15=1,30,0),ABS(8-$HF15)*100)),100000+ABS(4-$HE15)*1000+80)),IF($HG15=0,999999,IF(4=$HH15,IF(80=$HN15,IF($JE15=2,30,0),IF(80=$HO15,IF($JE15=1,30,0),ABS(8-$HI15)*100)),100000+ABS(4-$HH15)*1000+80)))-IF((80=$HJ15)+(80=$HK15)+(80=$HL15)+(80=$HM15)+(80=$HN15)+(80=$HO15)&gt;=2,50,0))+CE$5*50)</f>
        <v/>
      </c>
      <c r="CF135">
        <f>IF(OR($JF15=0,calcA!$A$6=0),0,IF(OR(81=$HA15,81=$HD15,81=$HG15),200000,MIN(IF($HA15=0,999999,IF(4=$HB15,IF(81=$HJ15,IF($JC15=2,30,0),IF(81=$HK15,IF($JC15=1,30,0),ABS(9-$HC15)*100)),100000+ABS(4-$HB15)*1000+90)),IF($HD15=0,999999,IF(4=$HE15,IF(81=$HL15,IF($JD15=2,30,0),IF(81=$HM15,IF($JD15=1,30,0),ABS(9-$HF15)*100)),100000+ABS(4-$HE15)*1000+90)),IF($HG15=0,999999,IF(4=$HH15,IF(81=$HN15,IF($JE15=2,30,0),IF(81=$HO15,IF($JE15=1,30,0),ABS(9-$HI15)*100)),100000+ABS(4-$HH15)*1000+90)))-IF((81=$HJ15)+(81=$HK15)+(81=$HL15)+(81=$HM15)+(81=$HN15)+(81=$HO15)&gt;=2,50,0))+CF$5*50)</f>
        <v/>
      </c>
      <c r="CG135">
        <f>IF(OR($JF15=0,calcA!$A$6=0),0,IF(OR(82=$HA15,82=$HD15,82=$HG15),200000,MIN(IF($HA15=0,999999,IF(4=$HB15,IF(82=$HJ15,IF($JC15=2,30,0),IF(82=$HK15,IF($JC15=1,30,0),ABS(10-$HC15)*100)),100000+ABS(4-$HB15)*1000+100)),IF($HD15=0,999999,IF(4=$HE15,IF(82=$HL15,IF($JD15=2,30,0),IF(82=$HM15,IF($JD15=1,30,0),ABS(10-$HF15)*100)),100000+ABS(4-$HE15)*1000+100)),IF($HG15=0,999999,IF(4=$HH15,IF(82=$HN15,IF($JE15=2,30,0),IF(82=$HO15,IF($JE15=1,30,0),ABS(10-$HI15)*100)),100000+ABS(4-$HH15)*1000+100)))-IF((82=$HJ15)+(82=$HK15)+(82=$HL15)+(82=$HM15)+(82=$HN15)+(82=$HO15)&gt;=2,50,0))+CG$5*50)</f>
        <v/>
      </c>
      <c r="CH135">
        <f>IF(OR($JF15=0,calcA!$A$6=0),0,IF(OR(83=$HA15,83=$HD15,83=$HG15),200000,MIN(IF($HA15=0,999999,IF(4=$HB15,IF(83=$HJ15,IF($JC15=2,30,0),IF(83=$HK15,IF($JC15=1,30,0),ABS(11-$HC15)*100)),100000+ABS(4-$HB15)*1000+110)),IF($HD15=0,999999,IF(4=$HE15,IF(83=$HL15,IF($JD15=2,30,0),IF(83=$HM15,IF($JD15=1,30,0),ABS(11-$HF15)*100)),100000+ABS(4-$HE15)*1000+110)),IF($HG15=0,999999,IF(4=$HH15,IF(83=$HN15,IF($JE15=2,30,0),IF(83=$HO15,IF($JE15=1,30,0),ABS(11-$HI15)*100)),100000+ABS(4-$HH15)*1000+110)))-IF((83=$HJ15)+(83=$HK15)+(83=$HL15)+(83=$HM15)+(83=$HN15)+(83=$HO15)&gt;=2,50,0))+CH$5*50)</f>
        <v/>
      </c>
      <c r="CI135">
        <f>IF(OR($JF15=0,calcA!$A$6=0),0,IF(OR(84=$HA15,84=$HD15,84=$HG15),200000,MIN(IF($HA15=0,999999,IF(4=$HB15,IF(84=$HJ15,IF($JC15=2,30,0),IF(84=$HK15,IF($JC15=1,30,0),ABS(12-$HC15)*100)),100000+ABS(4-$HB15)*1000+120)),IF($HD15=0,999999,IF(4=$HE15,IF(84=$HL15,IF($JD15=2,30,0),IF(84=$HM15,IF($JD15=1,30,0),ABS(12-$HF15)*100)),100000+ABS(4-$HE15)*1000+120)),IF($HG15=0,999999,IF(4=$HH15,IF(84=$HN15,IF($JE15=2,30,0),IF(84=$HO15,IF($JE15=1,30,0),ABS(12-$HI15)*100)),100000+ABS(4-$HH15)*1000+120)))-IF((84=$HJ15)+(84=$HK15)+(84=$HL15)+(84=$HM15)+(84=$HN15)+(84=$HO15)&gt;=2,50,0))+CI$5*50)</f>
        <v/>
      </c>
      <c r="CJ135">
        <f>IF(OR($JF15=0,calcA!$A$6=0),0,IF(OR(85=$HA15,85=$HD15,85=$HG15),200000,MIN(IF($HA15=0,999999,IF(4=$HB15,IF(85=$HJ15,IF($JC15=2,30,0),IF(85=$HK15,IF($JC15=1,30,0),ABS(13-$HC15)*100)),100000+ABS(4-$HB15)*1000+130)),IF($HD15=0,999999,IF(4=$HE15,IF(85=$HL15,IF($JD15=2,30,0),IF(85=$HM15,IF($JD15=1,30,0),ABS(13-$HF15)*100)),100000+ABS(4-$HE15)*1000+130)),IF($HG15=0,999999,IF(4=$HH15,IF(85=$HN15,IF($JE15=2,30,0),IF(85=$HO15,IF($JE15=1,30,0),ABS(13-$HI15)*100)),100000+ABS(4-$HH15)*1000+130)))-IF((85=$HJ15)+(85=$HK15)+(85=$HL15)+(85=$HM15)+(85=$HN15)+(85=$HO15)&gt;=2,50,0))+CJ$5*50)</f>
        <v/>
      </c>
      <c r="CK135">
        <f>IF(OR($JF15=0,calcA!$A$6=0),0,IF(OR(86=$HA15,86=$HD15,86=$HG15),200000,MIN(IF($HA15=0,999999,IF(4=$HB15,IF(86=$HJ15,IF($JC15=2,30,0),IF(86=$HK15,IF($JC15=1,30,0),ABS(14-$HC15)*100)),100000+ABS(4-$HB15)*1000+140)),IF($HD15=0,999999,IF(4=$HE15,IF(86=$HL15,IF($JD15=2,30,0),IF(86=$HM15,IF($JD15=1,30,0),ABS(14-$HF15)*100)),100000+ABS(4-$HE15)*1000+140)),IF($HG15=0,999999,IF(4=$HH15,IF(86=$HN15,IF($JE15=2,30,0),IF(86=$HO15,IF($JE15=1,30,0),ABS(14-$HI15)*100)),100000+ABS(4-$HH15)*1000+140)))-IF((86=$HJ15)+(86=$HK15)+(86=$HL15)+(86=$HM15)+(86=$HN15)+(86=$HO15)&gt;=2,50,0))+CK$5*50)</f>
        <v/>
      </c>
      <c r="CL135">
        <f>IF(OR($JF15=0,calcA!$A$6=0),0,IF(OR(87=$HA15,87=$HD15,87=$HG15),200000,MIN(IF($HA15=0,999999,IF(4=$HB15,IF(87=$HJ15,IF($JC15=2,30,0),IF(87=$HK15,IF($JC15=1,30,0),ABS(15-$HC15)*100)),100000+ABS(4-$HB15)*1000+150)),IF($HD15=0,999999,IF(4=$HE15,IF(87=$HL15,IF($JD15=2,30,0),IF(87=$HM15,IF($JD15=1,30,0),ABS(15-$HF15)*100)),100000+ABS(4-$HE15)*1000+150)),IF($HG15=0,999999,IF(4=$HH15,IF(87=$HN15,IF($JE15=2,30,0),IF(87=$HO15,IF($JE15=1,30,0),ABS(15-$HI15)*100)),100000+ABS(4-$HH15)*1000+150)))-IF((87=$HJ15)+(87=$HK15)+(87=$HL15)+(87=$HM15)+(87=$HN15)+(87=$HO15)&gt;=2,50,0))+CL$5*50)</f>
        <v/>
      </c>
      <c r="CM135">
        <f>IF(OR($JF15=0,calcA!$A$6=0),0,IF(OR(88=$HA15,88=$HD15,88=$HG15),200000,MIN(IF($HA15=0,999999,IF(4=$HB15,IF(88=$HJ15,IF($JC15=2,30,0),IF(88=$HK15,IF($JC15=1,30,0),ABS(16-$HC15)*100)),100000+ABS(4-$HB15)*1000+160)),IF($HD15=0,999999,IF(4=$HE15,IF(88=$HL15,IF($JD15=2,30,0),IF(88=$HM15,IF($JD15=1,30,0),ABS(16-$HF15)*100)),100000+ABS(4-$HE15)*1000+160)),IF($HG15=0,999999,IF(4=$HH15,IF(88=$HN15,IF($JE15=2,30,0),IF(88=$HO15,IF($JE15=1,30,0),ABS(16-$HI15)*100)),100000+ABS(4-$HH15)*1000+160)))-IF((88=$HJ15)+(88=$HK15)+(88=$HL15)+(88=$HM15)+(88=$HN15)+(88=$HO15)&gt;=2,50,0))+CM$5*50)</f>
        <v/>
      </c>
      <c r="CN135">
        <f>IF(OR($JF15=0,calcA!$A$6=0),0,IF(OR(89=$HA15,89=$HD15,89=$HG15),200000,MIN(IF($HA15=0,999999,IF(4=$HB15,IF(89=$HJ15,IF($JC15=2,30,0),IF(89=$HK15,IF($JC15=1,30,0),ABS(17-$HC15)*100)),100000+ABS(4-$HB15)*1000+170)),IF($HD15=0,999999,IF(4=$HE15,IF(89=$HL15,IF($JD15=2,30,0),IF(89=$HM15,IF($JD15=1,30,0),ABS(17-$HF15)*100)),100000+ABS(4-$HE15)*1000+170)),IF($HG15=0,999999,IF(4=$HH15,IF(89=$HN15,IF($JE15=2,30,0),IF(89=$HO15,IF($JE15=1,30,0),ABS(17-$HI15)*100)),100000+ABS(4-$HH15)*1000+170)))-IF((89=$HJ15)+(89=$HK15)+(89=$HL15)+(89=$HM15)+(89=$HN15)+(89=$HO15)&gt;=2,50,0))+CN$5*50)</f>
        <v/>
      </c>
      <c r="CO135">
        <f>IF(OR($JF15=0,calcA!$A$6=0),0,IF(OR(90=$HA15,90=$HD15,90=$HG15),200000,MIN(IF($HA15=0,999999,IF(4=$HB15,IF(90=$HJ15,IF($JC15=2,30,0),IF(90=$HK15,IF($JC15=1,30,0),ABS(18-$HC15)*100)),100000+ABS(4-$HB15)*1000+180)),IF($HD15=0,999999,IF(4=$HE15,IF(90=$HL15,IF($JD15=2,30,0),IF(90=$HM15,IF($JD15=1,30,0),ABS(18-$HF15)*100)),100000+ABS(4-$HE15)*1000+180)),IF($HG15=0,999999,IF(4=$HH15,IF(90=$HN15,IF($JE15=2,30,0),IF(90=$HO15,IF($JE15=1,30,0),ABS(18-$HI15)*100)),100000+ABS(4-$HH15)*1000+180)))-IF((90=$HJ15)+(90=$HK15)+(90=$HL15)+(90=$HM15)+(90=$HN15)+(90=$HO15)&gt;=2,50,0))+CO$5*50)</f>
        <v/>
      </c>
      <c r="CP135">
        <f>IF(OR($JF15=0,calcA!$A$6=0),0,IF(OR(91=$HA15,91=$HD15,91=$HG15),200000,MIN(IF($HA15=0,999999,IF(4=$HB15,IF(91=$HJ15,IF($JC15=2,30,0),IF(91=$HK15,IF($JC15=1,30,0),ABS(19-$HC15)*100)),100000+ABS(4-$HB15)*1000+190)),IF($HD15=0,999999,IF(4=$HE15,IF(91=$HL15,IF($JD15=2,30,0),IF(91=$HM15,IF($JD15=1,30,0),ABS(19-$HF15)*100)),100000+ABS(4-$HE15)*1000+190)),IF($HG15=0,999999,IF(4=$HH15,IF(91=$HN15,IF($JE15=2,30,0),IF(91=$HO15,IF($JE15=1,30,0),ABS(19-$HI15)*100)),100000+ABS(4-$HH15)*1000+190)))-IF((91=$HJ15)+(91=$HK15)+(91=$HL15)+(91=$HM15)+(91=$HN15)+(91=$HO15)&gt;=2,50,0))+CP$5*50)</f>
        <v/>
      </c>
      <c r="CQ135">
        <f>IF(OR($JF15=0,calcA!$A$6=0),0,IF(OR(92=$HA15,92=$HD15,92=$HG15),200000,MIN(IF($HA15=0,999999,IF(4=$HB15,IF(92=$HJ15,IF($JC15=2,30,0),IF(92=$HK15,IF($JC15=1,30,0),ABS(20-$HC15)*100)),100000+ABS(4-$HB15)*1000+200)),IF($HD15=0,999999,IF(4=$HE15,IF(92=$HL15,IF($JD15=2,30,0),IF(92=$HM15,IF($JD15=1,30,0),ABS(20-$HF15)*100)),100000+ABS(4-$HE15)*1000+200)),IF($HG15=0,999999,IF(4=$HH15,IF(92=$HN15,IF($JE15=2,30,0),IF(92=$HO15,IF($JE15=1,30,0),ABS(20-$HI15)*100)),100000+ABS(4-$HH15)*1000+200)))-IF((92=$HJ15)+(92=$HK15)+(92=$HL15)+(92=$HM15)+(92=$HN15)+(92=$HO15)&gt;=2,50,0))+CQ$5*50)</f>
        <v/>
      </c>
      <c r="CR135">
        <f>IF(OR($JF15=0,calcA!$A$6=0),0,IF(OR(93=$HA15,93=$HD15,93=$HG15),200000,MIN(IF($HA15=0,999999,IF(4=$HB15,IF(93=$HJ15,IF($JC15=2,30,0),IF(93=$HK15,IF($JC15=1,30,0),ABS(21-$HC15)*100)),100000+ABS(4-$HB15)*1000+210)),IF($HD15=0,999999,IF(4=$HE15,IF(93=$HL15,IF($JD15=2,30,0),IF(93=$HM15,IF($JD15=1,30,0),ABS(21-$HF15)*100)),100000+ABS(4-$HE15)*1000+210)),IF($HG15=0,999999,IF(4=$HH15,IF(93=$HN15,IF($JE15=2,30,0),IF(93=$HO15,IF($JE15=1,30,0),ABS(21-$HI15)*100)),100000+ABS(4-$HH15)*1000+210)))-IF((93=$HJ15)+(93=$HK15)+(93=$HL15)+(93=$HM15)+(93=$HN15)+(93=$HO15)&gt;=2,50,0))+CR$5*50)</f>
        <v/>
      </c>
      <c r="CS135">
        <f>IF(OR($JF15=0,calcA!$A$6=0),0,IF(OR(94=$HA15,94=$HD15,94=$HG15),200000,MIN(IF($HA15=0,999999,IF(4=$HB15,IF(94=$HJ15,IF($JC15=2,30,0),IF(94=$HK15,IF($JC15=1,30,0),ABS(22-$HC15)*100)),100000+ABS(4-$HB15)*1000+220)),IF($HD15=0,999999,IF(4=$HE15,IF(94=$HL15,IF($JD15=2,30,0),IF(94=$HM15,IF($JD15=1,30,0),ABS(22-$HF15)*100)),100000+ABS(4-$HE15)*1000+220)),IF($HG15=0,999999,IF(4=$HH15,IF(94=$HN15,IF($JE15=2,30,0),IF(94=$HO15,IF($JE15=1,30,0),ABS(22-$HI15)*100)),100000+ABS(4-$HH15)*1000+220)))-IF((94=$HJ15)+(94=$HK15)+(94=$HL15)+(94=$HM15)+(94=$HN15)+(94=$HO15)&gt;=2,50,0))+CS$5*50)</f>
        <v/>
      </c>
      <c r="CT135">
        <f>IF(OR($JF15=0,calcA!$A$6=0),0,IF(OR(95=$HA15,95=$HD15,95=$HG15),200000,MIN(IF($HA15=0,999999,IF(4=$HB15,IF(95=$HJ15,IF($JC15=2,30,0),IF(95=$HK15,IF($JC15=1,30,0),ABS(23-$HC15)*100)),100000+ABS(4-$HB15)*1000+230)),IF($HD15=0,999999,IF(4=$HE15,IF(95=$HL15,IF($JD15=2,30,0),IF(95=$HM15,IF($JD15=1,30,0),ABS(23-$HF15)*100)),100000+ABS(4-$HE15)*1000+230)),IF($HG15=0,999999,IF(4=$HH15,IF(95=$HN15,IF($JE15=2,30,0),IF(95=$HO15,IF($JE15=1,30,0),ABS(23-$HI15)*100)),100000+ABS(4-$HH15)*1000+230)))-IF((95=$HJ15)+(95=$HK15)+(95=$HL15)+(95=$HM15)+(95=$HN15)+(95=$HO15)&gt;=2,50,0))+CT$5*50)</f>
        <v/>
      </c>
      <c r="CU135">
        <f>IF(OR($JF15=0,calcA!$A$6=0),0,IF(OR(96=$HA15,96=$HD15,96=$HG15),200000,MIN(IF($HA15=0,999999,IF(4=$HB15,IF(96=$HJ15,IF($JC15=2,30,0),IF(96=$HK15,IF($JC15=1,30,0),ABS(24-$HC15)*100)),100000+ABS(4-$HB15)*1000+240)),IF($HD15=0,999999,IF(4=$HE15,IF(96=$HL15,IF($JD15=2,30,0),IF(96=$HM15,IF($JD15=1,30,0),ABS(24-$HF15)*100)),100000+ABS(4-$HE15)*1000+240)),IF($HG15=0,999999,IF(4=$HH15,IF(96=$HN15,IF($JE15=2,30,0),IF(96=$HO15,IF($JE15=1,30,0),ABS(24-$HI15)*100)),100000+ABS(4-$HH15)*1000+240)))-IF((96=$HJ15)+(96=$HK15)+(96=$HL15)+(96=$HM15)+(96=$HN15)+(96=$HO15)&gt;=2,50,0))+CU$5*50)</f>
        <v/>
      </c>
      <c r="CV135">
        <f>IF(OR($JF15=0,calcA!$A$6=0),0,IF(OR(97=$HA15,97=$HD15,97=$HG15),200000,MIN(IF($HA15=0,999999,IF(5=$HB15,IF(97=$HJ15,IF($JC15=2,30,0),IF(97=$HK15,IF($JC15=1,30,0),ABS(1-$HC15)*100)),100000+ABS(5-$HB15)*1000+10)),IF($HD15=0,999999,IF(5=$HE15,IF(97=$HL15,IF($JD15=2,30,0),IF(97=$HM15,IF($JD15=1,30,0),ABS(1-$HF15)*100)),100000+ABS(5-$HE15)*1000+10)),IF($HG15=0,999999,IF(5=$HH15,IF(97=$HN15,IF($JE15=2,30,0),IF(97=$HO15,IF($JE15=1,30,0),ABS(1-$HI15)*100)),100000+ABS(5-$HH15)*1000+10)))-IF((97=$HJ15)+(97=$HK15)+(97=$HL15)+(97=$HM15)+(97=$HN15)+(97=$HO15)&gt;=2,50,0))+CV$5*50)</f>
        <v/>
      </c>
      <c r="CW135">
        <f>IF(OR($JF15=0,calcA!$A$6=0),0,IF(OR(98=$HA15,98=$HD15,98=$HG15),200000,MIN(IF($HA15=0,999999,IF(5=$HB15,IF(98=$HJ15,IF($JC15=2,30,0),IF(98=$HK15,IF($JC15=1,30,0),ABS(2-$HC15)*100)),100000+ABS(5-$HB15)*1000+20)),IF($HD15=0,999999,IF(5=$HE15,IF(98=$HL15,IF($JD15=2,30,0),IF(98=$HM15,IF($JD15=1,30,0),ABS(2-$HF15)*100)),100000+ABS(5-$HE15)*1000+20)),IF($HG15=0,999999,IF(5=$HH15,IF(98=$HN15,IF($JE15=2,30,0),IF(98=$HO15,IF($JE15=1,30,0),ABS(2-$HI15)*100)),100000+ABS(5-$HH15)*1000+20)))-IF((98=$HJ15)+(98=$HK15)+(98=$HL15)+(98=$HM15)+(98=$HN15)+(98=$HO15)&gt;=2,50,0))+CW$5*50)</f>
        <v/>
      </c>
      <c r="CX135">
        <f>IF(OR($JF15=0,calcA!$A$6=0),0,IF(OR(99=$HA15,99=$HD15,99=$HG15),200000,MIN(IF($HA15=0,999999,IF(5=$HB15,IF(99=$HJ15,IF($JC15=2,30,0),IF(99=$HK15,IF($JC15=1,30,0),ABS(3-$HC15)*100)),100000+ABS(5-$HB15)*1000+30)),IF($HD15=0,999999,IF(5=$HE15,IF(99=$HL15,IF($JD15=2,30,0),IF(99=$HM15,IF($JD15=1,30,0),ABS(3-$HF15)*100)),100000+ABS(5-$HE15)*1000+30)),IF($HG15=0,999999,IF(5=$HH15,IF(99=$HN15,IF($JE15=2,30,0),IF(99=$HO15,IF($JE15=1,30,0),ABS(3-$HI15)*100)),100000+ABS(5-$HH15)*1000+30)))-IF((99=$HJ15)+(99=$HK15)+(99=$HL15)+(99=$HM15)+(99=$HN15)+(99=$HO15)&gt;=2,50,0))+CX$5*50)</f>
        <v/>
      </c>
      <c r="CY135">
        <f>IF(OR($JF15=0,calcA!$A$6=0),0,IF(OR(100=$HA15,100=$HD15,100=$HG15),200000,MIN(IF($HA15=0,999999,IF(5=$HB15,IF(100=$HJ15,IF($JC15=2,30,0),IF(100=$HK15,IF($JC15=1,30,0),ABS(4-$HC15)*100)),100000+ABS(5-$HB15)*1000+40)),IF($HD15=0,999999,IF(5=$HE15,IF(100=$HL15,IF($JD15=2,30,0),IF(100=$HM15,IF($JD15=1,30,0),ABS(4-$HF15)*100)),100000+ABS(5-$HE15)*1000+40)),IF($HG15=0,999999,IF(5=$HH15,IF(100=$HN15,IF($JE15=2,30,0),IF(100=$HO15,IF($JE15=1,30,0),ABS(4-$HI15)*100)),100000+ABS(5-$HH15)*1000+40)))-IF((100=$HJ15)+(100=$HK15)+(100=$HL15)+(100=$HM15)+(100=$HN15)+(100=$HO15)&gt;=2,50,0))+CY$5*50)</f>
        <v/>
      </c>
      <c r="CZ135">
        <f>IF(OR($JF15=0,calcA!$A$6=0),0,IF(OR(101=$HA15,101=$HD15,101=$HG15),200000,MIN(IF($HA15=0,999999,IF(5=$HB15,IF(101=$HJ15,IF($JC15=2,30,0),IF(101=$HK15,IF($JC15=1,30,0),ABS(5-$HC15)*100)),100000+ABS(5-$HB15)*1000+50)),IF($HD15=0,999999,IF(5=$HE15,IF(101=$HL15,IF($JD15=2,30,0),IF(101=$HM15,IF($JD15=1,30,0),ABS(5-$HF15)*100)),100000+ABS(5-$HE15)*1000+50)),IF($HG15=0,999999,IF(5=$HH15,IF(101=$HN15,IF($JE15=2,30,0),IF(101=$HO15,IF($JE15=1,30,0),ABS(5-$HI15)*100)),100000+ABS(5-$HH15)*1000+50)))-IF((101=$HJ15)+(101=$HK15)+(101=$HL15)+(101=$HM15)+(101=$HN15)+(101=$HO15)&gt;=2,50,0))+CZ$5*50)</f>
        <v/>
      </c>
      <c r="DA135">
        <f>IF(OR($JF15=0,calcA!$A$6=0),0,IF(OR(102=$HA15,102=$HD15,102=$HG15),200000,MIN(IF($HA15=0,999999,IF(5=$HB15,IF(102=$HJ15,IF($JC15=2,30,0),IF(102=$HK15,IF($JC15=1,30,0),ABS(6-$HC15)*100)),100000+ABS(5-$HB15)*1000+60)),IF($HD15=0,999999,IF(5=$HE15,IF(102=$HL15,IF($JD15=2,30,0),IF(102=$HM15,IF($JD15=1,30,0),ABS(6-$HF15)*100)),100000+ABS(5-$HE15)*1000+60)),IF($HG15=0,999999,IF(5=$HH15,IF(102=$HN15,IF($JE15=2,30,0),IF(102=$HO15,IF($JE15=1,30,0),ABS(6-$HI15)*100)),100000+ABS(5-$HH15)*1000+60)))-IF((102=$HJ15)+(102=$HK15)+(102=$HL15)+(102=$HM15)+(102=$HN15)+(102=$HO15)&gt;=2,50,0))+DA$5*50)</f>
        <v/>
      </c>
      <c r="DB135">
        <f>IF(OR($JF15=0,calcA!$A$6=0),0,IF(OR(103=$HA15,103=$HD15,103=$HG15),200000,MIN(IF($HA15=0,999999,IF(5=$HB15,IF(103=$HJ15,IF($JC15=2,30,0),IF(103=$HK15,IF($JC15=1,30,0),ABS(7-$HC15)*100)),100000+ABS(5-$HB15)*1000+70)),IF($HD15=0,999999,IF(5=$HE15,IF(103=$HL15,IF($JD15=2,30,0),IF(103=$HM15,IF($JD15=1,30,0),ABS(7-$HF15)*100)),100000+ABS(5-$HE15)*1000+70)),IF($HG15=0,999999,IF(5=$HH15,IF(103=$HN15,IF($JE15=2,30,0),IF(103=$HO15,IF($JE15=1,30,0),ABS(7-$HI15)*100)),100000+ABS(5-$HH15)*1000+70)))-IF((103=$HJ15)+(103=$HK15)+(103=$HL15)+(103=$HM15)+(103=$HN15)+(103=$HO15)&gt;=2,50,0))+DB$5*50)</f>
        <v/>
      </c>
      <c r="DC135">
        <f>IF(OR($JF15=0,calcA!$A$6=0),0,IF(OR(104=$HA15,104=$HD15,104=$HG15),200000,MIN(IF($HA15=0,999999,IF(5=$HB15,IF(104=$HJ15,IF($JC15=2,30,0),IF(104=$HK15,IF($JC15=1,30,0),ABS(8-$HC15)*100)),100000+ABS(5-$HB15)*1000+80)),IF($HD15=0,999999,IF(5=$HE15,IF(104=$HL15,IF($JD15=2,30,0),IF(104=$HM15,IF($JD15=1,30,0),ABS(8-$HF15)*100)),100000+ABS(5-$HE15)*1000+80)),IF($HG15=0,999999,IF(5=$HH15,IF(104=$HN15,IF($JE15=2,30,0),IF(104=$HO15,IF($JE15=1,30,0),ABS(8-$HI15)*100)),100000+ABS(5-$HH15)*1000+80)))-IF((104=$HJ15)+(104=$HK15)+(104=$HL15)+(104=$HM15)+(104=$HN15)+(104=$HO15)&gt;=2,50,0))+DC$5*50)</f>
        <v/>
      </c>
      <c r="DD135">
        <f>IF(OR($JF15=0,calcA!$A$6=0),0,IF(OR(105=$HA15,105=$HD15,105=$HG15),200000,MIN(IF($HA15=0,999999,IF(5=$HB15,IF(105=$HJ15,IF($JC15=2,30,0),IF(105=$HK15,IF($JC15=1,30,0),ABS(9-$HC15)*100)),100000+ABS(5-$HB15)*1000+90)),IF($HD15=0,999999,IF(5=$HE15,IF(105=$HL15,IF($JD15=2,30,0),IF(105=$HM15,IF($JD15=1,30,0),ABS(9-$HF15)*100)),100000+ABS(5-$HE15)*1000+90)),IF($HG15=0,999999,IF(5=$HH15,IF(105=$HN15,IF($JE15=2,30,0),IF(105=$HO15,IF($JE15=1,30,0),ABS(9-$HI15)*100)),100000+ABS(5-$HH15)*1000+90)))-IF((105=$HJ15)+(105=$HK15)+(105=$HL15)+(105=$HM15)+(105=$HN15)+(105=$HO15)&gt;=2,50,0))+DD$5*50)</f>
        <v/>
      </c>
      <c r="DE135">
        <f>IF(OR($JF15=0,calcA!$A$6=0),0,IF(OR(106=$HA15,106=$HD15,106=$HG15),200000,MIN(IF($HA15=0,999999,IF(5=$HB15,IF(106=$HJ15,IF($JC15=2,30,0),IF(106=$HK15,IF($JC15=1,30,0),ABS(10-$HC15)*100)),100000+ABS(5-$HB15)*1000+100)),IF($HD15=0,999999,IF(5=$HE15,IF(106=$HL15,IF($JD15=2,30,0),IF(106=$HM15,IF($JD15=1,30,0),ABS(10-$HF15)*100)),100000+ABS(5-$HE15)*1000+100)),IF($HG15=0,999999,IF(5=$HH15,IF(106=$HN15,IF($JE15=2,30,0),IF(106=$HO15,IF($JE15=1,30,0),ABS(10-$HI15)*100)),100000+ABS(5-$HH15)*1000+100)))-IF((106=$HJ15)+(106=$HK15)+(106=$HL15)+(106=$HM15)+(106=$HN15)+(106=$HO15)&gt;=2,50,0))+DE$5*50)</f>
        <v/>
      </c>
      <c r="DF135">
        <f>IF(OR($JF15=0,calcA!$A$6=0),0,IF(OR(107=$HA15,107=$HD15,107=$HG15),200000,MIN(IF($HA15=0,999999,IF(5=$HB15,IF(107=$HJ15,IF($JC15=2,30,0),IF(107=$HK15,IF($JC15=1,30,0),ABS(11-$HC15)*100)),100000+ABS(5-$HB15)*1000+110)),IF($HD15=0,999999,IF(5=$HE15,IF(107=$HL15,IF($JD15=2,30,0),IF(107=$HM15,IF($JD15=1,30,0),ABS(11-$HF15)*100)),100000+ABS(5-$HE15)*1000+110)),IF($HG15=0,999999,IF(5=$HH15,IF(107=$HN15,IF($JE15=2,30,0),IF(107=$HO15,IF($JE15=1,30,0),ABS(11-$HI15)*100)),100000+ABS(5-$HH15)*1000+110)))-IF((107=$HJ15)+(107=$HK15)+(107=$HL15)+(107=$HM15)+(107=$HN15)+(107=$HO15)&gt;=2,50,0))+DF$5*50)</f>
        <v/>
      </c>
      <c r="DG135">
        <f>IF(OR($JF15=0,calcA!$A$6=0),0,IF(OR(108=$HA15,108=$HD15,108=$HG15),200000,MIN(IF($HA15=0,999999,IF(5=$HB15,IF(108=$HJ15,IF($JC15=2,30,0),IF(108=$HK15,IF($JC15=1,30,0),ABS(12-$HC15)*100)),100000+ABS(5-$HB15)*1000+120)),IF($HD15=0,999999,IF(5=$HE15,IF(108=$HL15,IF($JD15=2,30,0),IF(108=$HM15,IF($JD15=1,30,0),ABS(12-$HF15)*100)),100000+ABS(5-$HE15)*1000+120)),IF($HG15=0,999999,IF(5=$HH15,IF(108=$HN15,IF($JE15=2,30,0),IF(108=$HO15,IF($JE15=1,30,0),ABS(12-$HI15)*100)),100000+ABS(5-$HH15)*1000+120)))-IF((108=$HJ15)+(108=$HK15)+(108=$HL15)+(108=$HM15)+(108=$HN15)+(108=$HO15)&gt;=2,50,0))+DG$5*50)</f>
        <v/>
      </c>
      <c r="DH135">
        <f>IF(OR($JF15=0,calcA!$A$6=0),0,IF(OR(109=$HA15,109=$HD15,109=$HG15),200000,MIN(IF($HA15=0,999999,IF(5=$HB15,IF(109=$HJ15,IF($JC15=2,30,0),IF(109=$HK15,IF($JC15=1,30,0),ABS(13-$HC15)*100)),100000+ABS(5-$HB15)*1000+130)),IF($HD15=0,999999,IF(5=$HE15,IF(109=$HL15,IF($JD15=2,30,0),IF(109=$HM15,IF($JD15=1,30,0),ABS(13-$HF15)*100)),100000+ABS(5-$HE15)*1000+130)),IF($HG15=0,999999,IF(5=$HH15,IF(109=$HN15,IF($JE15=2,30,0),IF(109=$HO15,IF($JE15=1,30,0),ABS(13-$HI15)*100)),100000+ABS(5-$HH15)*1000+130)))-IF((109=$HJ15)+(109=$HK15)+(109=$HL15)+(109=$HM15)+(109=$HN15)+(109=$HO15)&gt;=2,50,0))+DH$5*50)</f>
        <v/>
      </c>
      <c r="DI135">
        <f>IF(OR($JF15=0,calcA!$A$6=0),0,IF(OR(110=$HA15,110=$HD15,110=$HG15),200000,MIN(IF($HA15=0,999999,IF(5=$HB15,IF(110=$HJ15,IF($JC15=2,30,0),IF(110=$HK15,IF($JC15=1,30,0),ABS(14-$HC15)*100)),100000+ABS(5-$HB15)*1000+140)),IF($HD15=0,999999,IF(5=$HE15,IF(110=$HL15,IF($JD15=2,30,0),IF(110=$HM15,IF($JD15=1,30,0),ABS(14-$HF15)*100)),100000+ABS(5-$HE15)*1000+140)),IF($HG15=0,999999,IF(5=$HH15,IF(110=$HN15,IF($JE15=2,30,0),IF(110=$HO15,IF($JE15=1,30,0),ABS(14-$HI15)*100)),100000+ABS(5-$HH15)*1000+140)))-IF((110=$HJ15)+(110=$HK15)+(110=$HL15)+(110=$HM15)+(110=$HN15)+(110=$HO15)&gt;=2,50,0))+DI$5*50)</f>
        <v/>
      </c>
      <c r="DJ135">
        <f>IF(OR($JF15=0,calcA!$A$6=0),0,IF(OR(111=$HA15,111=$HD15,111=$HG15),200000,MIN(IF($HA15=0,999999,IF(5=$HB15,IF(111=$HJ15,IF($JC15=2,30,0),IF(111=$HK15,IF($JC15=1,30,0),ABS(15-$HC15)*100)),100000+ABS(5-$HB15)*1000+150)),IF($HD15=0,999999,IF(5=$HE15,IF(111=$HL15,IF($JD15=2,30,0),IF(111=$HM15,IF($JD15=1,30,0),ABS(15-$HF15)*100)),100000+ABS(5-$HE15)*1000+150)),IF($HG15=0,999999,IF(5=$HH15,IF(111=$HN15,IF($JE15=2,30,0),IF(111=$HO15,IF($JE15=1,30,0),ABS(15-$HI15)*100)),100000+ABS(5-$HH15)*1000+150)))-IF((111=$HJ15)+(111=$HK15)+(111=$HL15)+(111=$HM15)+(111=$HN15)+(111=$HO15)&gt;=2,50,0))+DJ$5*50)</f>
        <v/>
      </c>
      <c r="DK135">
        <f>IF(OR($JF15=0,calcA!$A$6=0),0,IF(OR(112=$HA15,112=$HD15,112=$HG15),200000,MIN(IF($HA15=0,999999,IF(5=$HB15,IF(112=$HJ15,IF($JC15=2,30,0),IF(112=$HK15,IF($JC15=1,30,0),ABS(16-$HC15)*100)),100000+ABS(5-$HB15)*1000+160)),IF($HD15=0,999999,IF(5=$HE15,IF(112=$HL15,IF($JD15=2,30,0),IF(112=$HM15,IF($JD15=1,30,0),ABS(16-$HF15)*100)),100000+ABS(5-$HE15)*1000+160)),IF($HG15=0,999999,IF(5=$HH15,IF(112=$HN15,IF($JE15=2,30,0),IF(112=$HO15,IF($JE15=1,30,0),ABS(16-$HI15)*100)),100000+ABS(5-$HH15)*1000+160)))-IF((112=$HJ15)+(112=$HK15)+(112=$HL15)+(112=$HM15)+(112=$HN15)+(112=$HO15)&gt;=2,50,0))+DK$5*50)</f>
        <v/>
      </c>
      <c r="DL135">
        <f>IF(OR($JF15=0,calcA!$A$6=0),0,IF(OR(113=$HA15,113=$HD15,113=$HG15),200000,MIN(IF($HA15=0,999999,IF(5=$HB15,IF(113=$HJ15,IF($JC15=2,30,0),IF(113=$HK15,IF($JC15=1,30,0),ABS(17-$HC15)*100)),100000+ABS(5-$HB15)*1000+170)),IF($HD15=0,999999,IF(5=$HE15,IF(113=$HL15,IF($JD15=2,30,0),IF(113=$HM15,IF($JD15=1,30,0),ABS(17-$HF15)*100)),100000+ABS(5-$HE15)*1000+170)),IF($HG15=0,999999,IF(5=$HH15,IF(113=$HN15,IF($JE15=2,30,0),IF(113=$HO15,IF($JE15=1,30,0),ABS(17-$HI15)*100)),100000+ABS(5-$HH15)*1000+170)))-IF((113=$HJ15)+(113=$HK15)+(113=$HL15)+(113=$HM15)+(113=$HN15)+(113=$HO15)&gt;=2,50,0))+DL$5*50)</f>
        <v/>
      </c>
      <c r="DM135">
        <f>IF(OR($JF15=0,calcA!$A$6=0),0,IF(OR(114=$HA15,114=$HD15,114=$HG15),200000,MIN(IF($HA15=0,999999,IF(5=$HB15,IF(114=$HJ15,IF($JC15=2,30,0),IF(114=$HK15,IF($JC15=1,30,0),ABS(18-$HC15)*100)),100000+ABS(5-$HB15)*1000+180)),IF($HD15=0,999999,IF(5=$HE15,IF(114=$HL15,IF($JD15=2,30,0),IF(114=$HM15,IF($JD15=1,30,0),ABS(18-$HF15)*100)),100000+ABS(5-$HE15)*1000+180)),IF($HG15=0,999999,IF(5=$HH15,IF(114=$HN15,IF($JE15=2,30,0),IF(114=$HO15,IF($JE15=1,30,0),ABS(18-$HI15)*100)),100000+ABS(5-$HH15)*1000+180)))-IF((114=$HJ15)+(114=$HK15)+(114=$HL15)+(114=$HM15)+(114=$HN15)+(114=$HO15)&gt;=2,50,0))+DM$5*50)</f>
        <v/>
      </c>
      <c r="DN135">
        <f>IF(OR($JF15=0,calcA!$A$6=0),0,IF(OR(115=$HA15,115=$HD15,115=$HG15),200000,MIN(IF($HA15=0,999999,IF(5=$HB15,IF(115=$HJ15,IF($JC15=2,30,0),IF(115=$HK15,IF($JC15=1,30,0),ABS(19-$HC15)*100)),100000+ABS(5-$HB15)*1000+190)),IF($HD15=0,999999,IF(5=$HE15,IF(115=$HL15,IF($JD15=2,30,0),IF(115=$HM15,IF($JD15=1,30,0),ABS(19-$HF15)*100)),100000+ABS(5-$HE15)*1000+190)),IF($HG15=0,999999,IF(5=$HH15,IF(115=$HN15,IF($JE15=2,30,0),IF(115=$HO15,IF($JE15=1,30,0),ABS(19-$HI15)*100)),100000+ABS(5-$HH15)*1000+190)))-IF((115=$HJ15)+(115=$HK15)+(115=$HL15)+(115=$HM15)+(115=$HN15)+(115=$HO15)&gt;=2,50,0))+DN$5*50)</f>
        <v/>
      </c>
      <c r="DO135">
        <f>IF(OR($JF15=0,calcA!$A$6=0),0,IF(OR(116=$HA15,116=$HD15,116=$HG15),200000,MIN(IF($HA15=0,999999,IF(5=$HB15,IF(116=$HJ15,IF($JC15=2,30,0),IF(116=$HK15,IF($JC15=1,30,0),ABS(20-$HC15)*100)),100000+ABS(5-$HB15)*1000+200)),IF($HD15=0,999999,IF(5=$HE15,IF(116=$HL15,IF($JD15=2,30,0),IF(116=$HM15,IF($JD15=1,30,0),ABS(20-$HF15)*100)),100000+ABS(5-$HE15)*1000+200)),IF($HG15=0,999999,IF(5=$HH15,IF(116=$HN15,IF($JE15=2,30,0),IF(116=$HO15,IF($JE15=1,30,0),ABS(20-$HI15)*100)),100000+ABS(5-$HH15)*1000+200)))-IF((116=$HJ15)+(116=$HK15)+(116=$HL15)+(116=$HM15)+(116=$HN15)+(116=$HO15)&gt;=2,50,0))+DO$5*50)</f>
        <v/>
      </c>
      <c r="DP135">
        <f>IF(OR($JF15=0,calcA!$A$6=0),0,IF(OR(117=$HA15,117=$HD15,117=$HG15),200000,MIN(IF($HA15=0,999999,IF(5=$HB15,IF(117=$HJ15,IF($JC15=2,30,0),IF(117=$HK15,IF($JC15=1,30,0),ABS(21-$HC15)*100)),100000+ABS(5-$HB15)*1000+210)),IF($HD15=0,999999,IF(5=$HE15,IF(117=$HL15,IF($JD15=2,30,0),IF(117=$HM15,IF($JD15=1,30,0),ABS(21-$HF15)*100)),100000+ABS(5-$HE15)*1000+210)),IF($HG15=0,999999,IF(5=$HH15,IF(117=$HN15,IF($JE15=2,30,0),IF(117=$HO15,IF($JE15=1,30,0),ABS(21-$HI15)*100)),100000+ABS(5-$HH15)*1000+210)))-IF((117=$HJ15)+(117=$HK15)+(117=$HL15)+(117=$HM15)+(117=$HN15)+(117=$HO15)&gt;=2,50,0))+DP$5*50)</f>
        <v/>
      </c>
      <c r="DQ135">
        <f>IF(OR($JF15=0,calcA!$A$6=0),0,IF(OR(118=$HA15,118=$HD15,118=$HG15),200000,MIN(IF($HA15=0,999999,IF(5=$HB15,IF(118=$HJ15,IF($JC15=2,30,0),IF(118=$HK15,IF($JC15=1,30,0),ABS(22-$HC15)*100)),100000+ABS(5-$HB15)*1000+220)),IF($HD15=0,999999,IF(5=$HE15,IF(118=$HL15,IF($JD15=2,30,0),IF(118=$HM15,IF($JD15=1,30,0),ABS(22-$HF15)*100)),100000+ABS(5-$HE15)*1000+220)),IF($HG15=0,999999,IF(5=$HH15,IF(118=$HN15,IF($JE15=2,30,0),IF(118=$HO15,IF($JE15=1,30,0),ABS(22-$HI15)*100)),100000+ABS(5-$HH15)*1000+220)))-IF((118=$HJ15)+(118=$HK15)+(118=$HL15)+(118=$HM15)+(118=$HN15)+(118=$HO15)&gt;=2,50,0))+DQ$5*50)</f>
        <v/>
      </c>
      <c r="DR135">
        <f>IF(OR($JF15=0,calcA!$A$6=0),0,IF(OR(119=$HA15,119=$HD15,119=$HG15),200000,MIN(IF($HA15=0,999999,IF(5=$HB15,IF(119=$HJ15,IF($JC15=2,30,0),IF(119=$HK15,IF($JC15=1,30,0),ABS(23-$HC15)*100)),100000+ABS(5-$HB15)*1000+230)),IF($HD15=0,999999,IF(5=$HE15,IF(119=$HL15,IF($JD15=2,30,0),IF(119=$HM15,IF($JD15=1,30,0),ABS(23-$HF15)*100)),100000+ABS(5-$HE15)*1000+230)),IF($HG15=0,999999,IF(5=$HH15,IF(119=$HN15,IF($JE15=2,30,0),IF(119=$HO15,IF($JE15=1,30,0),ABS(23-$HI15)*100)),100000+ABS(5-$HH15)*1000+230)))-IF((119=$HJ15)+(119=$HK15)+(119=$HL15)+(119=$HM15)+(119=$HN15)+(119=$HO15)&gt;=2,50,0))+DR$5*50)</f>
        <v/>
      </c>
      <c r="DS135">
        <f>IF(OR($JF15=0,calcA!$A$6=0),0,IF(OR(120=$HA15,120=$HD15,120=$HG15),200000,MIN(IF($HA15=0,999999,IF(5=$HB15,IF(120=$HJ15,IF($JC15=2,30,0),IF(120=$HK15,IF($JC15=1,30,0),ABS(24-$HC15)*100)),100000+ABS(5-$HB15)*1000+240)),IF($HD15=0,999999,IF(5=$HE15,IF(120=$HL15,IF($JD15=2,30,0),IF(120=$HM15,IF($JD15=1,30,0),ABS(24-$HF15)*100)),100000+ABS(5-$HE15)*1000+240)),IF($HG15=0,999999,IF(5=$HH15,IF(120=$HN15,IF($JE15=2,30,0),IF(120=$HO15,IF($JE15=1,30,0),ABS(24-$HI15)*100)),100000+ABS(5-$HH15)*1000+240)))-IF((120=$HJ15)+(120=$HK15)+(120=$HL15)+(120=$HM15)+(120=$HN15)+(120=$HO15)&gt;=2,50,0))+DS$5*50)</f>
        <v/>
      </c>
      <c r="DT135">
        <f>IF(OR($JF15=0,calcA!$A$6=0),0,IF(OR(121=$HA15,121=$HD15,121=$HG15),200000,MIN(IF($HA15=0,999999,IF(6=$HB15,IF(121=$HJ15,IF($JC15=2,30,0),IF(121=$HK15,IF($JC15=1,30,0),ABS(1-$HC15)*100)),100000+ABS(6-$HB15)*1000+10)),IF($HD15=0,999999,IF(6=$HE15,IF(121=$HL15,IF($JD15=2,30,0),IF(121=$HM15,IF($JD15=1,30,0),ABS(1-$HF15)*100)),100000+ABS(6-$HE15)*1000+10)),IF($HG15=0,999999,IF(6=$HH15,IF(121=$HN15,IF($JE15=2,30,0),IF(121=$HO15,IF($JE15=1,30,0),ABS(1-$HI15)*100)),100000+ABS(6-$HH15)*1000+10)))-IF((121=$HJ15)+(121=$HK15)+(121=$HL15)+(121=$HM15)+(121=$HN15)+(121=$HO15)&gt;=2,50,0))+DT$5*50)</f>
        <v/>
      </c>
      <c r="DU135">
        <f>IF(OR($JF15=0,calcA!$A$6=0),0,IF(OR(122=$HA15,122=$HD15,122=$HG15),200000,MIN(IF($HA15=0,999999,IF(6=$HB15,IF(122=$HJ15,IF($JC15=2,30,0),IF(122=$HK15,IF($JC15=1,30,0),ABS(2-$HC15)*100)),100000+ABS(6-$HB15)*1000+20)),IF($HD15=0,999999,IF(6=$HE15,IF(122=$HL15,IF($JD15=2,30,0),IF(122=$HM15,IF($JD15=1,30,0),ABS(2-$HF15)*100)),100000+ABS(6-$HE15)*1000+20)),IF($HG15=0,999999,IF(6=$HH15,IF(122=$HN15,IF($JE15=2,30,0),IF(122=$HO15,IF($JE15=1,30,0),ABS(2-$HI15)*100)),100000+ABS(6-$HH15)*1000+20)))-IF((122=$HJ15)+(122=$HK15)+(122=$HL15)+(122=$HM15)+(122=$HN15)+(122=$HO15)&gt;=2,50,0))+DU$5*50)</f>
        <v/>
      </c>
      <c r="DV135">
        <f>IF(OR($JF15=0,calcA!$A$6=0),0,IF(OR(123=$HA15,123=$HD15,123=$HG15),200000,MIN(IF($HA15=0,999999,IF(6=$HB15,IF(123=$HJ15,IF($JC15=2,30,0),IF(123=$HK15,IF($JC15=1,30,0),ABS(3-$HC15)*100)),100000+ABS(6-$HB15)*1000+30)),IF($HD15=0,999999,IF(6=$HE15,IF(123=$HL15,IF($JD15=2,30,0),IF(123=$HM15,IF($JD15=1,30,0),ABS(3-$HF15)*100)),100000+ABS(6-$HE15)*1000+30)),IF($HG15=0,999999,IF(6=$HH15,IF(123=$HN15,IF($JE15=2,30,0),IF(123=$HO15,IF($JE15=1,30,0),ABS(3-$HI15)*100)),100000+ABS(6-$HH15)*1000+30)))-IF((123=$HJ15)+(123=$HK15)+(123=$HL15)+(123=$HM15)+(123=$HN15)+(123=$HO15)&gt;=2,50,0))+DV$5*50)</f>
        <v/>
      </c>
      <c r="DW135">
        <f>IF(OR($JF15=0,calcA!$A$6=0),0,IF(OR(124=$HA15,124=$HD15,124=$HG15),200000,MIN(IF($HA15=0,999999,IF(6=$HB15,IF(124=$HJ15,IF($JC15=2,30,0),IF(124=$HK15,IF($JC15=1,30,0),ABS(4-$HC15)*100)),100000+ABS(6-$HB15)*1000+40)),IF($HD15=0,999999,IF(6=$HE15,IF(124=$HL15,IF($JD15=2,30,0),IF(124=$HM15,IF($JD15=1,30,0),ABS(4-$HF15)*100)),100000+ABS(6-$HE15)*1000+40)),IF($HG15=0,999999,IF(6=$HH15,IF(124=$HN15,IF($JE15=2,30,0),IF(124=$HO15,IF($JE15=1,30,0),ABS(4-$HI15)*100)),100000+ABS(6-$HH15)*1000+40)))-IF((124=$HJ15)+(124=$HK15)+(124=$HL15)+(124=$HM15)+(124=$HN15)+(124=$HO15)&gt;=2,50,0))+DW$5*50)</f>
        <v/>
      </c>
      <c r="DX135">
        <f>IF(OR($JF15=0,calcA!$A$6=0),0,IF(OR(125=$HA15,125=$HD15,125=$HG15),200000,MIN(IF($HA15=0,999999,IF(6=$HB15,IF(125=$HJ15,IF($JC15=2,30,0),IF(125=$HK15,IF($JC15=1,30,0),ABS(5-$HC15)*100)),100000+ABS(6-$HB15)*1000+50)),IF($HD15=0,999999,IF(6=$HE15,IF(125=$HL15,IF($JD15=2,30,0),IF(125=$HM15,IF($JD15=1,30,0),ABS(5-$HF15)*100)),100000+ABS(6-$HE15)*1000+50)),IF($HG15=0,999999,IF(6=$HH15,IF(125=$HN15,IF($JE15=2,30,0),IF(125=$HO15,IF($JE15=1,30,0),ABS(5-$HI15)*100)),100000+ABS(6-$HH15)*1000+50)))-IF((125=$HJ15)+(125=$HK15)+(125=$HL15)+(125=$HM15)+(125=$HN15)+(125=$HO15)&gt;=2,50,0))+DX$5*50)</f>
        <v/>
      </c>
      <c r="DY135">
        <f>IF(OR($JF15=0,calcA!$A$6=0),0,IF(OR(126=$HA15,126=$HD15,126=$HG15),200000,MIN(IF($HA15=0,999999,IF(6=$HB15,IF(126=$HJ15,IF($JC15=2,30,0),IF(126=$HK15,IF($JC15=1,30,0),ABS(6-$HC15)*100)),100000+ABS(6-$HB15)*1000+60)),IF($HD15=0,999999,IF(6=$HE15,IF(126=$HL15,IF($JD15=2,30,0),IF(126=$HM15,IF($JD15=1,30,0),ABS(6-$HF15)*100)),100000+ABS(6-$HE15)*1000+60)),IF($HG15=0,999999,IF(6=$HH15,IF(126=$HN15,IF($JE15=2,30,0),IF(126=$HO15,IF($JE15=1,30,0),ABS(6-$HI15)*100)),100000+ABS(6-$HH15)*1000+60)))-IF((126=$HJ15)+(126=$HK15)+(126=$HL15)+(126=$HM15)+(126=$HN15)+(126=$HO15)&gt;=2,50,0))+DY$5*50)</f>
        <v/>
      </c>
      <c r="DZ135">
        <f>IF(OR($JF15=0,calcA!$A$6=0),0,IF(OR(127=$HA15,127=$HD15,127=$HG15),200000,MIN(IF($HA15=0,999999,IF(6=$HB15,IF(127=$HJ15,IF($JC15=2,30,0),IF(127=$HK15,IF($JC15=1,30,0),ABS(7-$HC15)*100)),100000+ABS(6-$HB15)*1000+70)),IF($HD15=0,999999,IF(6=$HE15,IF(127=$HL15,IF($JD15=2,30,0),IF(127=$HM15,IF($JD15=1,30,0),ABS(7-$HF15)*100)),100000+ABS(6-$HE15)*1000+70)),IF($HG15=0,999999,IF(6=$HH15,IF(127=$HN15,IF($JE15=2,30,0),IF(127=$HO15,IF($JE15=1,30,0),ABS(7-$HI15)*100)),100000+ABS(6-$HH15)*1000+70)))-IF((127=$HJ15)+(127=$HK15)+(127=$HL15)+(127=$HM15)+(127=$HN15)+(127=$HO15)&gt;=2,50,0))+DZ$5*50)</f>
        <v/>
      </c>
      <c r="EA135">
        <f>IF(OR($JF15=0,calcA!$A$6=0),0,IF(OR(128=$HA15,128=$HD15,128=$HG15),200000,MIN(IF($HA15=0,999999,IF(6=$HB15,IF(128=$HJ15,IF($JC15=2,30,0),IF(128=$HK15,IF($JC15=1,30,0),ABS(8-$HC15)*100)),100000+ABS(6-$HB15)*1000+80)),IF($HD15=0,999999,IF(6=$HE15,IF(128=$HL15,IF($JD15=2,30,0),IF(128=$HM15,IF($JD15=1,30,0),ABS(8-$HF15)*100)),100000+ABS(6-$HE15)*1000+80)),IF($HG15=0,999999,IF(6=$HH15,IF(128=$HN15,IF($JE15=2,30,0),IF(128=$HO15,IF($JE15=1,30,0),ABS(8-$HI15)*100)),100000+ABS(6-$HH15)*1000+80)))-IF((128=$HJ15)+(128=$HK15)+(128=$HL15)+(128=$HM15)+(128=$HN15)+(128=$HO15)&gt;=2,50,0))+EA$5*50)</f>
        <v/>
      </c>
      <c r="EB135">
        <f>IF(OR($JF15=0,calcA!$A$6=0),0,IF(OR(129=$HA15,129=$HD15,129=$HG15),200000,MIN(IF($HA15=0,999999,IF(6=$HB15,IF(129=$HJ15,IF($JC15=2,30,0),IF(129=$HK15,IF($JC15=1,30,0),ABS(9-$HC15)*100)),100000+ABS(6-$HB15)*1000+90)),IF($HD15=0,999999,IF(6=$HE15,IF(129=$HL15,IF($JD15=2,30,0),IF(129=$HM15,IF($JD15=1,30,0),ABS(9-$HF15)*100)),100000+ABS(6-$HE15)*1000+90)),IF($HG15=0,999999,IF(6=$HH15,IF(129=$HN15,IF($JE15=2,30,0),IF(129=$HO15,IF($JE15=1,30,0),ABS(9-$HI15)*100)),100000+ABS(6-$HH15)*1000+90)))-IF((129=$HJ15)+(129=$HK15)+(129=$HL15)+(129=$HM15)+(129=$HN15)+(129=$HO15)&gt;=2,50,0))+EB$5*50)</f>
        <v/>
      </c>
      <c r="EC135">
        <f>IF(OR($JF15=0,calcA!$A$6=0),0,IF(OR(130=$HA15,130=$HD15,130=$HG15),200000,MIN(IF($HA15=0,999999,IF(6=$HB15,IF(130=$HJ15,IF($JC15=2,30,0),IF(130=$HK15,IF($JC15=1,30,0),ABS(10-$HC15)*100)),100000+ABS(6-$HB15)*1000+100)),IF($HD15=0,999999,IF(6=$HE15,IF(130=$HL15,IF($JD15=2,30,0),IF(130=$HM15,IF($JD15=1,30,0),ABS(10-$HF15)*100)),100000+ABS(6-$HE15)*1000+100)),IF($HG15=0,999999,IF(6=$HH15,IF(130=$HN15,IF($JE15=2,30,0),IF(130=$HO15,IF($JE15=1,30,0),ABS(10-$HI15)*100)),100000+ABS(6-$HH15)*1000+100)))-IF((130=$HJ15)+(130=$HK15)+(130=$HL15)+(130=$HM15)+(130=$HN15)+(130=$HO15)&gt;=2,50,0))+EC$5*50)</f>
        <v/>
      </c>
      <c r="ED135">
        <f>IF(OR($JF15=0,calcA!$A$6=0),0,IF(OR(131=$HA15,131=$HD15,131=$HG15),200000,MIN(IF($HA15=0,999999,IF(6=$HB15,IF(131=$HJ15,IF($JC15=2,30,0),IF(131=$HK15,IF($JC15=1,30,0),ABS(11-$HC15)*100)),100000+ABS(6-$HB15)*1000+110)),IF($HD15=0,999999,IF(6=$HE15,IF(131=$HL15,IF($JD15=2,30,0),IF(131=$HM15,IF($JD15=1,30,0),ABS(11-$HF15)*100)),100000+ABS(6-$HE15)*1000+110)),IF($HG15=0,999999,IF(6=$HH15,IF(131=$HN15,IF($JE15=2,30,0),IF(131=$HO15,IF($JE15=1,30,0),ABS(11-$HI15)*100)),100000+ABS(6-$HH15)*1000+110)))-IF((131=$HJ15)+(131=$HK15)+(131=$HL15)+(131=$HM15)+(131=$HN15)+(131=$HO15)&gt;=2,50,0))+ED$5*50)</f>
        <v/>
      </c>
      <c r="EE135">
        <f>IF(OR($JF15=0,calcA!$A$6=0),0,IF(OR(132=$HA15,132=$HD15,132=$HG15),200000,MIN(IF($HA15=0,999999,IF(6=$HB15,IF(132=$HJ15,IF($JC15=2,30,0),IF(132=$HK15,IF($JC15=1,30,0),ABS(12-$HC15)*100)),100000+ABS(6-$HB15)*1000+120)),IF($HD15=0,999999,IF(6=$HE15,IF(132=$HL15,IF($JD15=2,30,0),IF(132=$HM15,IF($JD15=1,30,0),ABS(12-$HF15)*100)),100000+ABS(6-$HE15)*1000+120)),IF($HG15=0,999999,IF(6=$HH15,IF(132=$HN15,IF($JE15=2,30,0),IF(132=$HO15,IF($JE15=1,30,0),ABS(12-$HI15)*100)),100000+ABS(6-$HH15)*1000+120)))-IF((132=$HJ15)+(132=$HK15)+(132=$HL15)+(132=$HM15)+(132=$HN15)+(132=$HO15)&gt;=2,50,0))+EE$5*50)</f>
        <v/>
      </c>
      <c r="EF135">
        <f>IF(OR($JF15=0,calcA!$A$6=0),0,IF(OR(133=$HA15,133=$HD15,133=$HG15),200000,MIN(IF($HA15=0,999999,IF(6=$HB15,IF(133=$HJ15,IF($JC15=2,30,0),IF(133=$HK15,IF($JC15=1,30,0),ABS(13-$HC15)*100)),100000+ABS(6-$HB15)*1000+130)),IF($HD15=0,999999,IF(6=$HE15,IF(133=$HL15,IF($JD15=2,30,0),IF(133=$HM15,IF($JD15=1,30,0),ABS(13-$HF15)*100)),100000+ABS(6-$HE15)*1000+130)),IF($HG15=0,999999,IF(6=$HH15,IF(133=$HN15,IF($JE15=2,30,0),IF(133=$HO15,IF($JE15=1,30,0),ABS(13-$HI15)*100)),100000+ABS(6-$HH15)*1000+130)))-IF((133=$HJ15)+(133=$HK15)+(133=$HL15)+(133=$HM15)+(133=$HN15)+(133=$HO15)&gt;=2,50,0))+EF$5*50)</f>
        <v/>
      </c>
      <c r="EG135">
        <f>IF(OR($JF15=0,calcA!$A$6=0),0,IF(OR(134=$HA15,134=$HD15,134=$HG15),200000,MIN(IF($HA15=0,999999,IF(6=$HB15,IF(134=$HJ15,IF($JC15=2,30,0),IF(134=$HK15,IF($JC15=1,30,0),ABS(14-$HC15)*100)),100000+ABS(6-$HB15)*1000+140)),IF($HD15=0,999999,IF(6=$HE15,IF(134=$HL15,IF($JD15=2,30,0),IF(134=$HM15,IF($JD15=1,30,0),ABS(14-$HF15)*100)),100000+ABS(6-$HE15)*1000+140)),IF($HG15=0,999999,IF(6=$HH15,IF(134=$HN15,IF($JE15=2,30,0),IF(134=$HO15,IF($JE15=1,30,0),ABS(14-$HI15)*100)),100000+ABS(6-$HH15)*1000+140)))-IF((134=$HJ15)+(134=$HK15)+(134=$HL15)+(134=$HM15)+(134=$HN15)+(134=$HO15)&gt;=2,50,0))+EG$5*50)</f>
        <v/>
      </c>
      <c r="EH135">
        <f>IF(OR($JF15=0,calcA!$A$6=0),0,IF(OR(135=$HA15,135=$HD15,135=$HG15),200000,MIN(IF($HA15=0,999999,IF(6=$HB15,IF(135=$HJ15,IF($JC15=2,30,0),IF(135=$HK15,IF($JC15=1,30,0),ABS(15-$HC15)*100)),100000+ABS(6-$HB15)*1000+150)),IF($HD15=0,999999,IF(6=$HE15,IF(135=$HL15,IF($JD15=2,30,0),IF(135=$HM15,IF($JD15=1,30,0),ABS(15-$HF15)*100)),100000+ABS(6-$HE15)*1000+150)),IF($HG15=0,999999,IF(6=$HH15,IF(135=$HN15,IF($JE15=2,30,0),IF(135=$HO15,IF($JE15=1,30,0),ABS(15-$HI15)*100)),100000+ABS(6-$HH15)*1000+150)))-IF((135=$HJ15)+(135=$HK15)+(135=$HL15)+(135=$HM15)+(135=$HN15)+(135=$HO15)&gt;=2,50,0))+EH$5*50)</f>
        <v/>
      </c>
      <c r="EI135">
        <f>IF(OR($JF15=0,calcA!$A$6=0),0,IF(OR(136=$HA15,136=$HD15,136=$HG15),200000,MIN(IF($HA15=0,999999,IF(6=$HB15,IF(136=$HJ15,IF($JC15=2,30,0),IF(136=$HK15,IF($JC15=1,30,0),ABS(16-$HC15)*100)),100000+ABS(6-$HB15)*1000+160)),IF($HD15=0,999999,IF(6=$HE15,IF(136=$HL15,IF($JD15=2,30,0),IF(136=$HM15,IF($JD15=1,30,0),ABS(16-$HF15)*100)),100000+ABS(6-$HE15)*1000+160)),IF($HG15=0,999999,IF(6=$HH15,IF(136=$HN15,IF($JE15=2,30,0),IF(136=$HO15,IF($JE15=1,30,0),ABS(16-$HI15)*100)),100000+ABS(6-$HH15)*1000+160)))-IF((136=$HJ15)+(136=$HK15)+(136=$HL15)+(136=$HM15)+(136=$HN15)+(136=$HO15)&gt;=2,50,0))+EI$5*50)</f>
        <v/>
      </c>
      <c r="EJ135">
        <f>IF(OR($JF15=0,calcA!$A$6=0),0,IF(OR(137=$HA15,137=$HD15,137=$HG15),200000,MIN(IF($HA15=0,999999,IF(6=$HB15,IF(137=$HJ15,IF($JC15=2,30,0),IF(137=$HK15,IF($JC15=1,30,0),ABS(17-$HC15)*100)),100000+ABS(6-$HB15)*1000+170)),IF($HD15=0,999999,IF(6=$HE15,IF(137=$HL15,IF($JD15=2,30,0),IF(137=$HM15,IF($JD15=1,30,0),ABS(17-$HF15)*100)),100000+ABS(6-$HE15)*1000+170)),IF($HG15=0,999999,IF(6=$HH15,IF(137=$HN15,IF($JE15=2,30,0),IF(137=$HO15,IF($JE15=1,30,0),ABS(17-$HI15)*100)),100000+ABS(6-$HH15)*1000+170)))-IF((137=$HJ15)+(137=$HK15)+(137=$HL15)+(137=$HM15)+(137=$HN15)+(137=$HO15)&gt;=2,50,0))+EJ$5*50)</f>
        <v/>
      </c>
      <c r="EK135">
        <f>IF(OR($JF15=0,calcA!$A$6=0),0,IF(OR(138=$HA15,138=$HD15,138=$HG15),200000,MIN(IF($HA15=0,999999,IF(6=$HB15,IF(138=$HJ15,IF($JC15=2,30,0),IF(138=$HK15,IF($JC15=1,30,0),ABS(18-$HC15)*100)),100000+ABS(6-$HB15)*1000+180)),IF($HD15=0,999999,IF(6=$HE15,IF(138=$HL15,IF($JD15=2,30,0),IF(138=$HM15,IF($JD15=1,30,0),ABS(18-$HF15)*100)),100000+ABS(6-$HE15)*1000+180)),IF($HG15=0,999999,IF(6=$HH15,IF(138=$HN15,IF($JE15=2,30,0),IF(138=$HO15,IF($JE15=1,30,0),ABS(18-$HI15)*100)),100000+ABS(6-$HH15)*1000+180)))-IF((138=$HJ15)+(138=$HK15)+(138=$HL15)+(138=$HM15)+(138=$HN15)+(138=$HO15)&gt;=2,50,0))+EK$5*50)</f>
        <v/>
      </c>
      <c r="EL135">
        <f>IF(OR($JF15=0,calcA!$A$6=0),0,IF(OR(139=$HA15,139=$HD15,139=$HG15),200000,MIN(IF($HA15=0,999999,IF(6=$HB15,IF(139=$HJ15,IF($JC15=2,30,0),IF(139=$HK15,IF($JC15=1,30,0),ABS(19-$HC15)*100)),100000+ABS(6-$HB15)*1000+190)),IF($HD15=0,999999,IF(6=$HE15,IF(139=$HL15,IF($JD15=2,30,0),IF(139=$HM15,IF($JD15=1,30,0),ABS(19-$HF15)*100)),100000+ABS(6-$HE15)*1000+190)),IF($HG15=0,999999,IF(6=$HH15,IF(139=$HN15,IF($JE15=2,30,0),IF(139=$HO15,IF($JE15=1,30,0),ABS(19-$HI15)*100)),100000+ABS(6-$HH15)*1000+190)))-IF((139=$HJ15)+(139=$HK15)+(139=$HL15)+(139=$HM15)+(139=$HN15)+(139=$HO15)&gt;=2,50,0))+EL$5*50)</f>
        <v/>
      </c>
      <c r="EM135">
        <f>IF(OR($JF15=0,calcA!$A$6=0),0,IF(OR(140=$HA15,140=$HD15,140=$HG15),200000,MIN(IF($HA15=0,999999,IF(6=$HB15,IF(140=$HJ15,IF($JC15=2,30,0),IF(140=$HK15,IF($JC15=1,30,0),ABS(20-$HC15)*100)),100000+ABS(6-$HB15)*1000+200)),IF($HD15=0,999999,IF(6=$HE15,IF(140=$HL15,IF($JD15=2,30,0),IF(140=$HM15,IF($JD15=1,30,0),ABS(20-$HF15)*100)),100000+ABS(6-$HE15)*1000+200)),IF($HG15=0,999999,IF(6=$HH15,IF(140=$HN15,IF($JE15=2,30,0),IF(140=$HO15,IF($JE15=1,30,0),ABS(20-$HI15)*100)),100000+ABS(6-$HH15)*1000+200)))-IF((140=$HJ15)+(140=$HK15)+(140=$HL15)+(140=$HM15)+(140=$HN15)+(140=$HO15)&gt;=2,50,0))+EM$5*50)</f>
        <v/>
      </c>
      <c r="EN135">
        <f>IF(OR($JF15=0,calcA!$A$6=0),0,IF(OR(141=$HA15,141=$HD15,141=$HG15),200000,MIN(IF($HA15=0,999999,IF(6=$HB15,IF(141=$HJ15,IF($JC15=2,30,0),IF(141=$HK15,IF($JC15=1,30,0),ABS(21-$HC15)*100)),100000+ABS(6-$HB15)*1000+210)),IF($HD15=0,999999,IF(6=$HE15,IF(141=$HL15,IF($JD15=2,30,0),IF(141=$HM15,IF($JD15=1,30,0),ABS(21-$HF15)*100)),100000+ABS(6-$HE15)*1000+210)),IF($HG15=0,999999,IF(6=$HH15,IF(141=$HN15,IF($JE15=2,30,0),IF(141=$HO15,IF($JE15=1,30,0),ABS(21-$HI15)*100)),100000+ABS(6-$HH15)*1000+210)))-IF((141=$HJ15)+(141=$HK15)+(141=$HL15)+(141=$HM15)+(141=$HN15)+(141=$HO15)&gt;=2,50,0))+EN$5*50)</f>
        <v/>
      </c>
      <c r="EO135">
        <f>IF(OR($JF15=0,calcA!$A$6=0),0,IF(OR(142=$HA15,142=$HD15,142=$HG15),200000,MIN(IF($HA15=0,999999,IF(6=$HB15,IF(142=$HJ15,IF($JC15=2,30,0),IF(142=$HK15,IF($JC15=1,30,0),ABS(22-$HC15)*100)),100000+ABS(6-$HB15)*1000+220)),IF($HD15=0,999999,IF(6=$HE15,IF(142=$HL15,IF($JD15=2,30,0),IF(142=$HM15,IF($JD15=1,30,0),ABS(22-$HF15)*100)),100000+ABS(6-$HE15)*1000+220)),IF($HG15=0,999999,IF(6=$HH15,IF(142=$HN15,IF($JE15=2,30,0),IF(142=$HO15,IF($JE15=1,30,0),ABS(22-$HI15)*100)),100000+ABS(6-$HH15)*1000+220)))-IF((142=$HJ15)+(142=$HK15)+(142=$HL15)+(142=$HM15)+(142=$HN15)+(142=$HO15)&gt;=2,50,0))+EO$5*50)</f>
        <v/>
      </c>
      <c r="EP135">
        <f>IF(OR($JF15=0,calcA!$A$6=0),0,IF(OR(143=$HA15,143=$HD15,143=$HG15),200000,MIN(IF($HA15=0,999999,IF(6=$HB15,IF(143=$HJ15,IF($JC15=2,30,0),IF(143=$HK15,IF($JC15=1,30,0),ABS(23-$HC15)*100)),100000+ABS(6-$HB15)*1000+230)),IF($HD15=0,999999,IF(6=$HE15,IF(143=$HL15,IF($JD15=2,30,0),IF(143=$HM15,IF($JD15=1,30,0),ABS(23-$HF15)*100)),100000+ABS(6-$HE15)*1000+230)),IF($HG15=0,999999,IF(6=$HH15,IF(143=$HN15,IF($JE15=2,30,0),IF(143=$HO15,IF($JE15=1,30,0),ABS(23-$HI15)*100)),100000+ABS(6-$HH15)*1000+230)))-IF((143=$HJ15)+(143=$HK15)+(143=$HL15)+(143=$HM15)+(143=$HN15)+(143=$HO15)&gt;=2,50,0))+EP$5*50)</f>
        <v/>
      </c>
      <c r="EQ135">
        <f>IF(OR($JF15=0,calcA!$A$6=0),0,IF(OR(144=$HA15,144=$HD15,144=$HG15),200000,MIN(IF($HA15=0,999999,IF(6=$HB15,IF(144=$HJ15,IF($JC15=2,30,0),IF(144=$HK15,IF($JC15=1,30,0),ABS(24-$HC15)*100)),100000+ABS(6-$HB15)*1000+240)),IF($HD15=0,999999,IF(6=$HE15,IF(144=$HL15,IF($JD15=2,30,0),IF(144=$HM15,IF($JD15=1,30,0),ABS(24-$HF15)*100)),100000+ABS(6-$HE15)*1000+240)),IF($HG15=0,999999,IF(6=$HH15,IF(144=$HN15,IF($JE15=2,30,0),IF(144=$HO15,IF($JE15=1,30,0),ABS(24-$HI15)*100)),100000+ABS(6-$HH15)*1000+240)))-IF((144=$HJ15)+(144=$HK15)+(144=$HL15)+(144=$HM15)+(144=$HN15)+(144=$HO15)&gt;=2,50,0))+EQ$5*50)</f>
        <v/>
      </c>
    </row>
    <row r="136">
      <c r="D136">
        <f>IF(OR($JF16=0,calcA!$A$6=0),0,IF(OR(1=$HA16,1=$HD16,1=$HG16),200000,MIN(IF($HA16=0,999999,IF(1=$HB16,IF(1=$HJ16,IF($JC16=2,30,0),IF(1=$HK16,IF($JC16=1,30,0),ABS(1-$HC16)*100)),100000+ABS(1-$HB16)*1000+10)),IF($HD16=0,999999,IF(1=$HE16,IF(1=$HL16,IF($JD16=2,30,0),IF(1=$HM16,IF($JD16=1,30,0),ABS(1-$HF16)*100)),100000+ABS(1-$HE16)*1000+10)),IF($HG16=0,999999,IF(1=$HH16,IF(1=$HN16,IF($JE16=2,30,0),IF(1=$HO16,IF($JE16=1,30,0),ABS(1-$HI16)*100)),100000+ABS(1-$HH16)*1000+10)))-IF((1=$HJ16)+(1=$HK16)+(1=$HL16)+(1=$HM16)+(1=$HN16)+(1=$HO16)&gt;=2,50,0))+D$5*50)</f>
        <v/>
      </c>
      <c r="E136">
        <f>IF(OR($JF16=0,calcA!$A$6=0),0,IF(OR(2=$HA16,2=$HD16,2=$HG16),200000,MIN(IF($HA16=0,999999,IF(1=$HB16,IF(2=$HJ16,IF($JC16=2,30,0),IF(2=$HK16,IF($JC16=1,30,0),ABS(2-$HC16)*100)),100000+ABS(1-$HB16)*1000+20)),IF($HD16=0,999999,IF(1=$HE16,IF(2=$HL16,IF($JD16=2,30,0),IF(2=$HM16,IF($JD16=1,30,0),ABS(2-$HF16)*100)),100000+ABS(1-$HE16)*1000+20)),IF($HG16=0,999999,IF(1=$HH16,IF(2=$HN16,IF($JE16=2,30,0),IF(2=$HO16,IF($JE16=1,30,0),ABS(2-$HI16)*100)),100000+ABS(1-$HH16)*1000+20)))-IF((2=$HJ16)+(2=$HK16)+(2=$HL16)+(2=$HM16)+(2=$HN16)+(2=$HO16)&gt;=2,50,0))+E$5*50)</f>
        <v/>
      </c>
      <c r="F136">
        <f>IF(OR($JF16=0,calcA!$A$6=0),0,IF(OR(3=$HA16,3=$HD16,3=$HG16),200000,MIN(IF($HA16=0,999999,IF(1=$HB16,IF(3=$HJ16,IF($JC16=2,30,0),IF(3=$HK16,IF($JC16=1,30,0),ABS(3-$HC16)*100)),100000+ABS(1-$HB16)*1000+30)),IF($HD16=0,999999,IF(1=$HE16,IF(3=$HL16,IF($JD16=2,30,0),IF(3=$HM16,IF($JD16=1,30,0),ABS(3-$HF16)*100)),100000+ABS(1-$HE16)*1000+30)),IF($HG16=0,999999,IF(1=$HH16,IF(3=$HN16,IF($JE16=2,30,0),IF(3=$HO16,IF($JE16=1,30,0),ABS(3-$HI16)*100)),100000+ABS(1-$HH16)*1000+30)))-IF((3=$HJ16)+(3=$HK16)+(3=$HL16)+(3=$HM16)+(3=$HN16)+(3=$HO16)&gt;=2,50,0))+F$5*50)</f>
        <v/>
      </c>
      <c r="G136">
        <f>IF(OR($JF16=0,calcA!$A$6=0),0,IF(OR(4=$HA16,4=$HD16,4=$HG16),200000,MIN(IF($HA16=0,999999,IF(1=$HB16,IF(4=$HJ16,IF($JC16=2,30,0),IF(4=$HK16,IF($JC16=1,30,0),ABS(4-$HC16)*100)),100000+ABS(1-$HB16)*1000+40)),IF($HD16=0,999999,IF(1=$HE16,IF(4=$HL16,IF($JD16=2,30,0),IF(4=$HM16,IF($JD16=1,30,0),ABS(4-$HF16)*100)),100000+ABS(1-$HE16)*1000+40)),IF($HG16=0,999999,IF(1=$HH16,IF(4=$HN16,IF($JE16=2,30,0),IF(4=$HO16,IF($JE16=1,30,0),ABS(4-$HI16)*100)),100000+ABS(1-$HH16)*1000+40)))-IF((4=$HJ16)+(4=$HK16)+(4=$HL16)+(4=$HM16)+(4=$HN16)+(4=$HO16)&gt;=2,50,0))+G$5*50)</f>
        <v/>
      </c>
      <c r="H136">
        <f>IF(OR($JF16=0,calcA!$A$6=0),0,IF(OR(5=$HA16,5=$HD16,5=$HG16),200000,MIN(IF($HA16=0,999999,IF(1=$HB16,IF(5=$HJ16,IF($JC16=2,30,0),IF(5=$HK16,IF($JC16=1,30,0),ABS(5-$HC16)*100)),100000+ABS(1-$HB16)*1000+50)),IF($HD16=0,999999,IF(1=$HE16,IF(5=$HL16,IF($JD16=2,30,0),IF(5=$HM16,IF($JD16=1,30,0),ABS(5-$HF16)*100)),100000+ABS(1-$HE16)*1000+50)),IF($HG16=0,999999,IF(1=$HH16,IF(5=$HN16,IF($JE16=2,30,0),IF(5=$HO16,IF($JE16=1,30,0),ABS(5-$HI16)*100)),100000+ABS(1-$HH16)*1000+50)))-IF((5=$HJ16)+(5=$HK16)+(5=$HL16)+(5=$HM16)+(5=$HN16)+(5=$HO16)&gt;=2,50,0))+H$5*50)</f>
        <v/>
      </c>
      <c r="I136">
        <f>IF(OR($JF16=0,calcA!$A$6=0),0,IF(OR(6=$HA16,6=$HD16,6=$HG16),200000,MIN(IF($HA16=0,999999,IF(1=$HB16,IF(6=$HJ16,IF($JC16=2,30,0),IF(6=$HK16,IF($JC16=1,30,0),ABS(6-$HC16)*100)),100000+ABS(1-$HB16)*1000+60)),IF($HD16=0,999999,IF(1=$HE16,IF(6=$HL16,IF($JD16=2,30,0),IF(6=$HM16,IF($JD16=1,30,0),ABS(6-$HF16)*100)),100000+ABS(1-$HE16)*1000+60)),IF($HG16=0,999999,IF(1=$HH16,IF(6=$HN16,IF($JE16=2,30,0),IF(6=$HO16,IF($JE16=1,30,0),ABS(6-$HI16)*100)),100000+ABS(1-$HH16)*1000+60)))-IF((6=$HJ16)+(6=$HK16)+(6=$HL16)+(6=$HM16)+(6=$HN16)+(6=$HO16)&gt;=2,50,0))+I$5*50)</f>
        <v/>
      </c>
      <c r="J136">
        <f>IF(OR($JF16=0,calcA!$A$6=0),0,IF(OR(7=$HA16,7=$HD16,7=$HG16),200000,MIN(IF($HA16=0,999999,IF(1=$HB16,IF(7=$HJ16,IF($JC16=2,30,0),IF(7=$HK16,IF($JC16=1,30,0),ABS(7-$HC16)*100)),100000+ABS(1-$HB16)*1000+70)),IF($HD16=0,999999,IF(1=$HE16,IF(7=$HL16,IF($JD16=2,30,0),IF(7=$HM16,IF($JD16=1,30,0),ABS(7-$HF16)*100)),100000+ABS(1-$HE16)*1000+70)),IF($HG16=0,999999,IF(1=$HH16,IF(7=$HN16,IF($JE16=2,30,0),IF(7=$HO16,IF($JE16=1,30,0),ABS(7-$HI16)*100)),100000+ABS(1-$HH16)*1000+70)))-IF((7=$HJ16)+(7=$HK16)+(7=$HL16)+(7=$HM16)+(7=$HN16)+(7=$HO16)&gt;=2,50,0))+J$5*50)</f>
        <v/>
      </c>
      <c r="K136">
        <f>IF(OR($JF16=0,calcA!$A$6=0),0,IF(OR(8=$HA16,8=$HD16,8=$HG16),200000,MIN(IF($HA16=0,999999,IF(1=$HB16,IF(8=$HJ16,IF($JC16=2,30,0),IF(8=$HK16,IF($JC16=1,30,0),ABS(8-$HC16)*100)),100000+ABS(1-$HB16)*1000+80)),IF($HD16=0,999999,IF(1=$HE16,IF(8=$HL16,IF($JD16=2,30,0),IF(8=$HM16,IF($JD16=1,30,0),ABS(8-$HF16)*100)),100000+ABS(1-$HE16)*1000+80)),IF($HG16=0,999999,IF(1=$HH16,IF(8=$HN16,IF($JE16=2,30,0),IF(8=$HO16,IF($JE16=1,30,0),ABS(8-$HI16)*100)),100000+ABS(1-$HH16)*1000+80)))-IF((8=$HJ16)+(8=$HK16)+(8=$HL16)+(8=$HM16)+(8=$HN16)+(8=$HO16)&gt;=2,50,0))+K$5*50)</f>
        <v/>
      </c>
      <c r="L136">
        <f>IF(OR($JF16=0,calcA!$A$6=0),0,IF(OR(9=$HA16,9=$HD16,9=$HG16),200000,MIN(IF($HA16=0,999999,IF(1=$HB16,IF(9=$HJ16,IF($JC16=2,30,0),IF(9=$HK16,IF($JC16=1,30,0),ABS(9-$HC16)*100)),100000+ABS(1-$HB16)*1000+90)),IF($HD16=0,999999,IF(1=$HE16,IF(9=$HL16,IF($JD16=2,30,0),IF(9=$HM16,IF($JD16=1,30,0),ABS(9-$HF16)*100)),100000+ABS(1-$HE16)*1000+90)),IF($HG16=0,999999,IF(1=$HH16,IF(9=$HN16,IF($JE16=2,30,0),IF(9=$HO16,IF($JE16=1,30,0),ABS(9-$HI16)*100)),100000+ABS(1-$HH16)*1000+90)))-IF((9=$HJ16)+(9=$HK16)+(9=$HL16)+(9=$HM16)+(9=$HN16)+(9=$HO16)&gt;=2,50,0))+L$5*50)</f>
        <v/>
      </c>
      <c r="M136">
        <f>IF(OR($JF16=0,calcA!$A$6=0),0,IF(OR(10=$HA16,10=$HD16,10=$HG16),200000,MIN(IF($HA16=0,999999,IF(1=$HB16,IF(10=$HJ16,IF($JC16=2,30,0),IF(10=$HK16,IF($JC16=1,30,0),ABS(10-$HC16)*100)),100000+ABS(1-$HB16)*1000+100)),IF($HD16=0,999999,IF(1=$HE16,IF(10=$HL16,IF($JD16=2,30,0),IF(10=$HM16,IF($JD16=1,30,0),ABS(10-$HF16)*100)),100000+ABS(1-$HE16)*1000+100)),IF($HG16=0,999999,IF(1=$HH16,IF(10=$HN16,IF($JE16=2,30,0),IF(10=$HO16,IF($JE16=1,30,0),ABS(10-$HI16)*100)),100000+ABS(1-$HH16)*1000+100)))-IF((10=$HJ16)+(10=$HK16)+(10=$HL16)+(10=$HM16)+(10=$HN16)+(10=$HO16)&gt;=2,50,0))+M$5*50)</f>
        <v/>
      </c>
      <c r="N136">
        <f>IF(OR($JF16=0,calcA!$A$6=0),0,IF(OR(11=$HA16,11=$HD16,11=$HG16),200000,MIN(IF($HA16=0,999999,IF(1=$HB16,IF(11=$HJ16,IF($JC16=2,30,0),IF(11=$HK16,IF($JC16=1,30,0),ABS(11-$HC16)*100)),100000+ABS(1-$HB16)*1000+110)),IF($HD16=0,999999,IF(1=$HE16,IF(11=$HL16,IF($JD16=2,30,0),IF(11=$HM16,IF($JD16=1,30,0),ABS(11-$HF16)*100)),100000+ABS(1-$HE16)*1000+110)),IF($HG16=0,999999,IF(1=$HH16,IF(11=$HN16,IF($JE16=2,30,0),IF(11=$HO16,IF($JE16=1,30,0),ABS(11-$HI16)*100)),100000+ABS(1-$HH16)*1000+110)))-IF((11=$HJ16)+(11=$HK16)+(11=$HL16)+(11=$HM16)+(11=$HN16)+(11=$HO16)&gt;=2,50,0))+N$5*50)</f>
        <v/>
      </c>
      <c r="O136">
        <f>IF(OR($JF16=0,calcA!$A$6=0),0,IF(OR(12=$HA16,12=$HD16,12=$HG16),200000,MIN(IF($HA16=0,999999,IF(1=$HB16,IF(12=$HJ16,IF($JC16=2,30,0),IF(12=$HK16,IF($JC16=1,30,0),ABS(12-$HC16)*100)),100000+ABS(1-$HB16)*1000+120)),IF($HD16=0,999999,IF(1=$HE16,IF(12=$HL16,IF($JD16=2,30,0),IF(12=$HM16,IF($JD16=1,30,0),ABS(12-$HF16)*100)),100000+ABS(1-$HE16)*1000+120)),IF($HG16=0,999999,IF(1=$HH16,IF(12=$HN16,IF($JE16=2,30,0),IF(12=$HO16,IF($JE16=1,30,0),ABS(12-$HI16)*100)),100000+ABS(1-$HH16)*1000+120)))-IF((12=$HJ16)+(12=$HK16)+(12=$HL16)+(12=$HM16)+(12=$HN16)+(12=$HO16)&gt;=2,50,0))+O$5*50)</f>
        <v/>
      </c>
      <c r="P136">
        <f>IF(OR($JF16=0,calcA!$A$6=0),0,IF(OR(13=$HA16,13=$HD16,13=$HG16),200000,MIN(IF($HA16=0,999999,IF(1=$HB16,IF(13=$HJ16,IF($JC16=2,30,0),IF(13=$HK16,IF($JC16=1,30,0),ABS(13-$HC16)*100)),100000+ABS(1-$HB16)*1000+130)),IF($HD16=0,999999,IF(1=$HE16,IF(13=$HL16,IF($JD16=2,30,0),IF(13=$HM16,IF($JD16=1,30,0),ABS(13-$HF16)*100)),100000+ABS(1-$HE16)*1000+130)),IF($HG16=0,999999,IF(1=$HH16,IF(13=$HN16,IF($JE16=2,30,0),IF(13=$HO16,IF($JE16=1,30,0),ABS(13-$HI16)*100)),100000+ABS(1-$HH16)*1000+130)))-IF((13=$HJ16)+(13=$HK16)+(13=$HL16)+(13=$HM16)+(13=$HN16)+(13=$HO16)&gt;=2,50,0))+P$5*50)</f>
        <v/>
      </c>
      <c r="Q136">
        <f>IF(OR($JF16=0,calcA!$A$6=0),0,IF(OR(14=$HA16,14=$HD16,14=$HG16),200000,MIN(IF($HA16=0,999999,IF(1=$HB16,IF(14=$HJ16,IF($JC16=2,30,0),IF(14=$HK16,IF($JC16=1,30,0),ABS(14-$HC16)*100)),100000+ABS(1-$HB16)*1000+140)),IF($HD16=0,999999,IF(1=$HE16,IF(14=$HL16,IF($JD16=2,30,0),IF(14=$HM16,IF($JD16=1,30,0),ABS(14-$HF16)*100)),100000+ABS(1-$HE16)*1000+140)),IF($HG16=0,999999,IF(1=$HH16,IF(14=$HN16,IF($JE16=2,30,0),IF(14=$HO16,IF($JE16=1,30,0),ABS(14-$HI16)*100)),100000+ABS(1-$HH16)*1000+140)))-IF((14=$HJ16)+(14=$HK16)+(14=$HL16)+(14=$HM16)+(14=$HN16)+(14=$HO16)&gt;=2,50,0))+Q$5*50)</f>
        <v/>
      </c>
      <c r="R136">
        <f>IF(OR($JF16=0,calcA!$A$6=0),0,IF(OR(15=$HA16,15=$HD16,15=$HG16),200000,MIN(IF($HA16=0,999999,IF(1=$HB16,IF(15=$HJ16,IF($JC16=2,30,0),IF(15=$HK16,IF($JC16=1,30,0),ABS(15-$HC16)*100)),100000+ABS(1-$HB16)*1000+150)),IF($HD16=0,999999,IF(1=$HE16,IF(15=$HL16,IF($JD16=2,30,0),IF(15=$HM16,IF($JD16=1,30,0),ABS(15-$HF16)*100)),100000+ABS(1-$HE16)*1000+150)),IF($HG16=0,999999,IF(1=$HH16,IF(15=$HN16,IF($JE16=2,30,0),IF(15=$HO16,IF($JE16=1,30,0),ABS(15-$HI16)*100)),100000+ABS(1-$HH16)*1000+150)))-IF((15=$HJ16)+(15=$HK16)+(15=$HL16)+(15=$HM16)+(15=$HN16)+(15=$HO16)&gt;=2,50,0))+R$5*50)</f>
        <v/>
      </c>
      <c r="S136">
        <f>IF(OR($JF16=0,calcA!$A$6=0),0,IF(OR(16=$HA16,16=$HD16,16=$HG16),200000,MIN(IF($HA16=0,999999,IF(1=$HB16,IF(16=$HJ16,IF($JC16=2,30,0),IF(16=$HK16,IF($JC16=1,30,0),ABS(16-$HC16)*100)),100000+ABS(1-$HB16)*1000+160)),IF($HD16=0,999999,IF(1=$HE16,IF(16=$HL16,IF($JD16=2,30,0),IF(16=$HM16,IF($JD16=1,30,0),ABS(16-$HF16)*100)),100000+ABS(1-$HE16)*1000+160)),IF($HG16=0,999999,IF(1=$HH16,IF(16=$HN16,IF($JE16=2,30,0),IF(16=$HO16,IF($JE16=1,30,0),ABS(16-$HI16)*100)),100000+ABS(1-$HH16)*1000+160)))-IF((16=$HJ16)+(16=$HK16)+(16=$HL16)+(16=$HM16)+(16=$HN16)+(16=$HO16)&gt;=2,50,0))+S$5*50)</f>
        <v/>
      </c>
      <c r="T136">
        <f>IF(OR($JF16=0,calcA!$A$6=0),0,IF(OR(17=$HA16,17=$HD16,17=$HG16),200000,MIN(IF($HA16=0,999999,IF(1=$HB16,IF(17=$HJ16,IF($JC16=2,30,0),IF(17=$HK16,IF($JC16=1,30,0),ABS(17-$HC16)*100)),100000+ABS(1-$HB16)*1000+170)),IF($HD16=0,999999,IF(1=$HE16,IF(17=$HL16,IF($JD16=2,30,0),IF(17=$HM16,IF($JD16=1,30,0),ABS(17-$HF16)*100)),100000+ABS(1-$HE16)*1000+170)),IF($HG16=0,999999,IF(1=$HH16,IF(17=$HN16,IF($JE16=2,30,0),IF(17=$HO16,IF($JE16=1,30,0),ABS(17-$HI16)*100)),100000+ABS(1-$HH16)*1000+170)))-IF((17=$HJ16)+(17=$HK16)+(17=$HL16)+(17=$HM16)+(17=$HN16)+(17=$HO16)&gt;=2,50,0))+T$5*50)</f>
        <v/>
      </c>
      <c r="U136">
        <f>IF(OR($JF16=0,calcA!$A$6=0),0,IF(OR(18=$HA16,18=$HD16,18=$HG16),200000,MIN(IF($HA16=0,999999,IF(1=$HB16,IF(18=$HJ16,IF($JC16=2,30,0),IF(18=$HK16,IF($JC16=1,30,0),ABS(18-$HC16)*100)),100000+ABS(1-$HB16)*1000+180)),IF($HD16=0,999999,IF(1=$HE16,IF(18=$HL16,IF($JD16=2,30,0),IF(18=$HM16,IF($JD16=1,30,0),ABS(18-$HF16)*100)),100000+ABS(1-$HE16)*1000+180)),IF($HG16=0,999999,IF(1=$HH16,IF(18=$HN16,IF($JE16=2,30,0),IF(18=$HO16,IF($JE16=1,30,0),ABS(18-$HI16)*100)),100000+ABS(1-$HH16)*1000+180)))-IF((18=$HJ16)+(18=$HK16)+(18=$HL16)+(18=$HM16)+(18=$HN16)+(18=$HO16)&gt;=2,50,0))+U$5*50)</f>
        <v/>
      </c>
      <c r="V136">
        <f>IF(OR($JF16=0,calcA!$A$6=0),0,IF(OR(19=$HA16,19=$HD16,19=$HG16),200000,MIN(IF($HA16=0,999999,IF(1=$HB16,IF(19=$HJ16,IF($JC16=2,30,0),IF(19=$HK16,IF($JC16=1,30,0),ABS(19-$HC16)*100)),100000+ABS(1-$HB16)*1000+190)),IF($HD16=0,999999,IF(1=$HE16,IF(19=$HL16,IF($JD16=2,30,0),IF(19=$HM16,IF($JD16=1,30,0),ABS(19-$HF16)*100)),100000+ABS(1-$HE16)*1000+190)),IF($HG16=0,999999,IF(1=$HH16,IF(19=$HN16,IF($JE16=2,30,0),IF(19=$HO16,IF($JE16=1,30,0),ABS(19-$HI16)*100)),100000+ABS(1-$HH16)*1000+190)))-IF((19=$HJ16)+(19=$HK16)+(19=$HL16)+(19=$HM16)+(19=$HN16)+(19=$HO16)&gt;=2,50,0))+V$5*50)</f>
        <v/>
      </c>
      <c r="W136">
        <f>IF(OR($JF16=0,calcA!$A$6=0),0,IF(OR(20=$HA16,20=$HD16,20=$HG16),200000,MIN(IF($HA16=0,999999,IF(1=$HB16,IF(20=$HJ16,IF($JC16=2,30,0),IF(20=$HK16,IF($JC16=1,30,0),ABS(20-$HC16)*100)),100000+ABS(1-$HB16)*1000+200)),IF($HD16=0,999999,IF(1=$HE16,IF(20=$HL16,IF($JD16=2,30,0),IF(20=$HM16,IF($JD16=1,30,0),ABS(20-$HF16)*100)),100000+ABS(1-$HE16)*1000+200)),IF($HG16=0,999999,IF(1=$HH16,IF(20=$HN16,IF($JE16=2,30,0),IF(20=$HO16,IF($JE16=1,30,0),ABS(20-$HI16)*100)),100000+ABS(1-$HH16)*1000+200)))-IF((20=$HJ16)+(20=$HK16)+(20=$HL16)+(20=$HM16)+(20=$HN16)+(20=$HO16)&gt;=2,50,0))+W$5*50)</f>
        <v/>
      </c>
      <c r="X136">
        <f>IF(OR($JF16=0,calcA!$A$6=0),0,IF(OR(21=$HA16,21=$HD16,21=$HG16),200000,MIN(IF($HA16=0,999999,IF(1=$HB16,IF(21=$HJ16,IF($JC16=2,30,0),IF(21=$HK16,IF($JC16=1,30,0),ABS(21-$HC16)*100)),100000+ABS(1-$HB16)*1000+210)),IF($HD16=0,999999,IF(1=$HE16,IF(21=$HL16,IF($JD16=2,30,0),IF(21=$HM16,IF($JD16=1,30,0),ABS(21-$HF16)*100)),100000+ABS(1-$HE16)*1000+210)),IF($HG16=0,999999,IF(1=$HH16,IF(21=$HN16,IF($JE16=2,30,0),IF(21=$HO16,IF($JE16=1,30,0),ABS(21-$HI16)*100)),100000+ABS(1-$HH16)*1000+210)))-IF((21=$HJ16)+(21=$HK16)+(21=$HL16)+(21=$HM16)+(21=$HN16)+(21=$HO16)&gt;=2,50,0))+X$5*50)</f>
        <v/>
      </c>
      <c r="Y136">
        <f>IF(OR($JF16=0,calcA!$A$6=0),0,IF(OR(22=$HA16,22=$HD16,22=$HG16),200000,MIN(IF($HA16=0,999999,IF(1=$HB16,IF(22=$HJ16,IF($JC16=2,30,0),IF(22=$HK16,IF($JC16=1,30,0),ABS(22-$HC16)*100)),100000+ABS(1-$HB16)*1000+220)),IF($HD16=0,999999,IF(1=$HE16,IF(22=$HL16,IF($JD16=2,30,0),IF(22=$HM16,IF($JD16=1,30,0),ABS(22-$HF16)*100)),100000+ABS(1-$HE16)*1000+220)),IF($HG16=0,999999,IF(1=$HH16,IF(22=$HN16,IF($JE16=2,30,0),IF(22=$HO16,IF($JE16=1,30,0),ABS(22-$HI16)*100)),100000+ABS(1-$HH16)*1000+220)))-IF((22=$HJ16)+(22=$HK16)+(22=$HL16)+(22=$HM16)+(22=$HN16)+(22=$HO16)&gt;=2,50,0))+Y$5*50)</f>
        <v/>
      </c>
      <c r="Z136">
        <f>IF(OR($JF16=0,calcA!$A$6=0),0,IF(OR(23=$HA16,23=$HD16,23=$HG16),200000,MIN(IF($HA16=0,999999,IF(1=$HB16,IF(23=$HJ16,IF($JC16=2,30,0),IF(23=$HK16,IF($JC16=1,30,0),ABS(23-$HC16)*100)),100000+ABS(1-$HB16)*1000+230)),IF($HD16=0,999999,IF(1=$HE16,IF(23=$HL16,IF($JD16=2,30,0),IF(23=$HM16,IF($JD16=1,30,0),ABS(23-$HF16)*100)),100000+ABS(1-$HE16)*1000+230)),IF($HG16=0,999999,IF(1=$HH16,IF(23=$HN16,IF($JE16=2,30,0),IF(23=$HO16,IF($JE16=1,30,0),ABS(23-$HI16)*100)),100000+ABS(1-$HH16)*1000+230)))-IF((23=$HJ16)+(23=$HK16)+(23=$HL16)+(23=$HM16)+(23=$HN16)+(23=$HO16)&gt;=2,50,0))+Z$5*50)</f>
        <v/>
      </c>
      <c r="AA136">
        <f>IF(OR($JF16=0,calcA!$A$6=0),0,IF(OR(24=$HA16,24=$HD16,24=$HG16),200000,MIN(IF($HA16=0,999999,IF(1=$HB16,IF(24=$HJ16,IF($JC16=2,30,0),IF(24=$HK16,IF($JC16=1,30,0),ABS(24-$HC16)*100)),100000+ABS(1-$HB16)*1000+240)),IF($HD16=0,999999,IF(1=$HE16,IF(24=$HL16,IF($JD16=2,30,0),IF(24=$HM16,IF($JD16=1,30,0),ABS(24-$HF16)*100)),100000+ABS(1-$HE16)*1000+240)),IF($HG16=0,999999,IF(1=$HH16,IF(24=$HN16,IF($JE16=2,30,0),IF(24=$HO16,IF($JE16=1,30,0),ABS(24-$HI16)*100)),100000+ABS(1-$HH16)*1000+240)))-IF((24=$HJ16)+(24=$HK16)+(24=$HL16)+(24=$HM16)+(24=$HN16)+(24=$HO16)&gt;=2,50,0))+AA$5*50)</f>
        <v/>
      </c>
      <c r="AB136">
        <f>IF(OR($JF16=0,calcA!$A$6=0),0,IF(OR(25=$HA16,25=$HD16,25=$HG16),200000,MIN(IF($HA16=0,999999,IF(2=$HB16,IF(25=$HJ16,IF($JC16=2,30,0),IF(25=$HK16,IF($JC16=1,30,0),ABS(1-$HC16)*100)),100000+ABS(2-$HB16)*1000+10)),IF($HD16=0,999999,IF(2=$HE16,IF(25=$HL16,IF($JD16=2,30,0),IF(25=$HM16,IF($JD16=1,30,0),ABS(1-$HF16)*100)),100000+ABS(2-$HE16)*1000+10)),IF($HG16=0,999999,IF(2=$HH16,IF(25=$HN16,IF($JE16=2,30,0),IF(25=$HO16,IF($JE16=1,30,0),ABS(1-$HI16)*100)),100000+ABS(2-$HH16)*1000+10)))-IF((25=$HJ16)+(25=$HK16)+(25=$HL16)+(25=$HM16)+(25=$HN16)+(25=$HO16)&gt;=2,50,0))+AB$5*50)</f>
        <v/>
      </c>
      <c r="AC136">
        <f>IF(OR($JF16=0,calcA!$A$6=0),0,IF(OR(26=$HA16,26=$HD16,26=$HG16),200000,MIN(IF($HA16=0,999999,IF(2=$HB16,IF(26=$HJ16,IF($JC16=2,30,0),IF(26=$HK16,IF($JC16=1,30,0),ABS(2-$HC16)*100)),100000+ABS(2-$HB16)*1000+20)),IF($HD16=0,999999,IF(2=$HE16,IF(26=$HL16,IF($JD16=2,30,0),IF(26=$HM16,IF($JD16=1,30,0),ABS(2-$HF16)*100)),100000+ABS(2-$HE16)*1000+20)),IF($HG16=0,999999,IF(2=$HH16,IF(26=$HN16,IF($JE16=2,30,0),IF(26=$HO16,IF($JE16=1,30,0),ABS(2-$HI16)*100)),100000+ABS(2-$HH16)*1000+20)))-IF((26=$HJ16)+(26=$HK16)+(26=$HL16)+(26=$HM16)+(26=$HN16)+(26=$HO16)&gt;=2,50,0))+AC$5*50)</f>
        <v/>
      </c>
      <c r="AD136">
        <f>IF(OR($JF16=0,calcA!$A$6=0),0,IF(OR(27=$HA16,27=$HD16,27=$HG16),200000,MIN(IF($HA16=0,999999,IF(2=$HB16,IF(27=$HJ16,IF($JC16=2,30,0),IF(27=$HK16,IF($JC16=1,30,0),ABS(3-$HC16)*100)),100000+ABS(2-$HB16)*1000+30)),IF($HD16=0,999999,IF(2=$HE16,IF(27=$HL16,IF($JD16=2,30,0),IF(27=$HM16,IF($JD16=1,30,0),ABS(3-$HF16)*100)),100000+ABS(2-$HE16)*1000+30)),IF($HG16=0,999999,IF(2=$HH16,IF(27=$HN16,IF($JE16=2,30,0),IF(27=$HO16,IF($JE16=1,30,0),ABS(3-$HI16)*100)),100000+ABS(2-$HH16)*1000+30)))-IF((27=$HJ16)+(27=$HK16)+(27=$HL16)+(27=$HM16)+(27=$HN16)+(27=$HO16)&gt;=2,50,0))+AD$5*50)</f>
        <v/>
      </c>
      <c r="AE136">
        <f>IF(OR($JF16=0,calcA!$A$6=0),0,IF(OR(28=$HA16,28=$HD16,28=$HG16),200000,MIN(IF($HA16=0,999999,IF(2=$HB16,IF(28=$HJ16,IF($JC16=2,30,0),IF(28=$HK16,IF($JC16=1,30,0),ABS(4-$HC16)*100)),100000+ABS(2-$HB16)*1000+40)),IF($HD16=0,999999,IF(2=$HE16,IF(28=$HL16,IF($JD16=2,30,0),IF(28=$HM16,IF($JD16=1,30,0),ABS(4-$HF16)*100)),100000+ABS(2-$HE16)*1000+40)),IF($HG16=0,999999,IF(2=$HH16,IF(28=$HN16,IF($JE16=2,30,0),IF(28=$HO16,IF($JE16=1,30,0),ABS(4-$HI16)*100)),100000+ABS(2-$HH16)*1000+40)))-IF((28=$HJ16)+(28=$HK16)+(28=$HL16)+(28=$HM16)+(28=$HN16)+(28=$HO16)&gt;=2,50,0))+AE$5*50)</f>
        <v/>
      </c>
      <c r="AF136">
        <f>IF(OR($JF16=0,calcA!$A$6=0),0,IF(OR(29=$HA16,29=$HD16,29=$HG16),200000,MIN(IF($HA16=0,999999,IF(2=$HB16,IF(29=$HJ16,IF($JC16=2,30,0),IF(29=$HK16,IF($JC16=1,30,0),ABS(5-$HC16)*100)),100000+ABS(2-$HB16)*1000+50)),IF($HD16=0,999999,IF(2=$HE16,IF(29=$HL16,IF($JD16=2,30,0),IF(29=$HM16,IF($JD16=1,30,0),ABS(5-$HF16)*100)),100000+ABS(2-$HE16)*1000+50)),IF($HG16=0,999999,IF(2=$HH16,IF(29=$HN16,IF($JE16=2,30,0),IF(29=$HO16,IF($JE16=1,30,0),ABS(5-$HI16)*100)),100000+ABS(2-$HH16)*1000+50)))-IF((29=$HJ16)+(29=$HK16)+(29=$HL16)+(29=$HM16)+(29=$HN16)+(29=$HO16)&gt;=2,50,0))+AF$5*50)</f>
        <v/>
      </c>
      <c r="AG136">
        <f>IF(OR($JF16=0,calcA!$A$6=0),0,IF(OR(30=$HA16,30=$HD16,30=$HG16),200000,MIN(IF($HA16=0,999999,IF(2=$HB16,IF(30=$HJ16,IF($JC16=2,30,0),IF(30=$HK16,IF($JC16=1,30,0),ABS(6-$HC16)*100)),100000+ABS(2-$HB16)*1000+60)),IF($HD16=0,999999,IF(2=$HE16,IF(30=$HL16,IF($JD16=2,30,0),IF(30=$HM16,IF($JD16=1,30,0),ABS(6-$HF16)*100)),100000+ABS(2-$HE16)*1000+60)),IF($HG16=0,999999,IF(2=$HH16,IF(30=$HN16,IF($JE16=2,30,0),IF(30=$HO16,IF($JE16=1,30,0),ABS(6-$HI16)*100)),100000+ABS(2-$HH16)*1000+60)))-IF((30=$HJ16)+(30=$HK16)+(30=$HL16)+(30=$HM16)+(30=$HN16)+(30=$HO16)&gt;=2,50,0))+AG$5*50)</f>
        <v/>
      </c>
      <c r="AH136">
        <f>IF(OR($JF16=0,calcA!$A$6=0),0,IF(OR(31=$HA16,31=$HD16,31=$HG16),200000,MIN(IF($HA16=0,999999,IF(2=$HB16,IF(31=$HJ16,IF($JC16=2,30,0),IF(31=$HK16,IF($JC16=1,30,0),ABS(7-$HC16)*100)),100000+ABS(2-$HB16)*1000+70)),IF($HD16=0,999999,IF(2=$HE16,IF(31=$HL16,IF($JD16=2,30,0),IF(31=$HM16,IF($JD16=1,30,0),ABS(7-$HF16)*100)),100000+ABS(2-$HE16)*1000+70)),IF($HG16=0,999999,IF(2=$HH16,IF(31=$HN16,IF($JE16=2,30,0),IF(31=$HO16,IF($JE16=1,30,0),ABS(7-$HI16)*100)),100000+ABS(2-$HH16)*1000+70)))-IF((31=$HJ16)+(31=$HK16)+(31=$HL16)+(31=$HM16)+(31=$HN16)+(31=$HO16)&gt;=2,50,0))+AH$5*50)</f>
        <v/>
      </c>
      <c r="AI136">
        <f>IF(OR($JF16=0,calcA!$A$6=0),0,IF(OR(32=$HA16,32=$HD16,32=$HG16),200000,MIN(IF($HA16=0,999999,IF(2=$HB16,IF(32=$HJ16,IF($JC16=2,30,0),IF(32=$HK16,IF($JC16=1,30,0),ABS(8-$HC16)*100)),100000+ABS(2-$HB16)*1000+80)),IF($HD16=0,999999,IF(2=$HE16,IF(32=$HL16,IF($JD16=2,30,0),IF(32=$HM16,IF($JD16=1,30,0),ABS(8-$HF16)*100)),100000+ABS(2-$HE16)*1000+80)),IF($HG16=0,999999,IF(2=$HH16,IF(32=$HN16,IF($JE16=2,30,0),IF(32=$HO16,IF($JE16=1,30,0),ABS(8-$HI16)*100)),100000+ABS(2-$HH16)*1000+80)))-IF((32=$HJ16)+(32=$HK16)+(32=$HL16)+(32=$HM16)+(32=$HN16)+(32=$HO16)&gt;=2,50,0))+AI$5*50)</f>
        <v/>
      </c>
      <c r="AJ136">
        <f>IF(OR($JF16=0,calcA!$A$6=0),0,IF(OR(33=$HA16,33=$HD16,33=$HG16),200000,MIN(IF($HA16=0,999999,IF(2=$HB16,IF(33=$HJ16,IF($JC16=2,30,0),IF(33=$HK16,IF($JC16=1,30,0),ABS(9-$HC16)*100)),100000+ABS(2-$HB16)*1000+90)),IF($HD16=0,999999,IF(2=$HE16,IF(33=$HL16,IF($JD16=2,30,0),IF(33=$HM16,IF($JD16=1,30,0),ABS(9-$HF16)*100)),100000+ABS(2-$HE16)*1000+90)),IF($HG16=0,999999,IF(2=$HH16,IF(33=$HN16,IF($JE16=2,30,0),IF(33=$HO16,IF($JE16=1,30,0),ABS(9-$HI16)*100)),100000+ABS(2-$HH16)*1000+90)))-IF((33=$HJ16)+(33=$HK16)+(33=$HL16)+(33=$HM16)+(33=$HN16)+(33=$HO16)&gt;=2,50,0))+AJ$5*50)</f>
        <v/>
      </c>
      <c r="AK136">
        <f>IF(OR($JF16=0,calcA!$A$6=0),0,IF(OR(34=$HA16,34=$HD16,34=$HG16),200000,MIN(IF($HA16=0,999999,IF(2=$HB16,IF(34=$HJ16,IF($JC16=2,30,0),IF(34=$HK16,IF($JC16=1,30,0),ABS(10-$HC16)*100)),100000+ABS(2-$HB16)*1000+100)),IF($HD16=0,999999,IF(2=$HE16,IF(34=$HL16,IF($JD16=2,30,0),IF(34=$HM16,IF($JD16=1,30,0),ABS(10-$HF16)*100)),100000+ABS(2-$HE16)*1000+100)),IF($HG16=0,999999,IF(2=$HH16,IF(34=$HN16,IF($JE16=2,30,0),IF(34=$HO16,IF($JE16=1,30,0),ABS(10-$HI16)*100)),100000+ABS(2-$HH16)*1000+100)))-IF((34=$HJ16)+(34=$HK16)+(34=$HL16)+(34=$HM16)+(34=$HN16)+(34=$HO16)&gt;=2,50,0))+AK$5*50)</f>
        <v/>
      </c>
      <c r="AL136">
        <f>IF(OR($JF16=0,calcA!$A$6=0),0,IF(OR(35=$HA16,35=$HD16,35=$HG16),200000,MIN(IF($HA16=0,999999,IF(2=$HB16,IF(35=$HJ16,IF($JC16=2,30,0),IF(35=$HK16,IF($JC16=1,30,0),ABS(11-$HC16)*100)),100000+ABS(2-$HB16)*1000+110)),IF($HD16=0,999999,IF(2=$HE16,IF(35=$HL16,IF($JD16=2,30,0),IF(35=$HM16,IF($JD16=1,30,0),ABS(11-$HF16)*100)),100000+ABS(2-$HE16)*1000+110)),IF($HG16=0,999999,IF(2=$HH16,IF(35=$HN16,IF($JE16=2,30,0),IF(35=$HO16,IF($JE16=1,30,0),ABS(11-$HI16)*100)),100000+ABS(2-$HH16)*1000+110)))-IF((35=$HJ16)+(35=$HK16)+(35=$HL16)+(35=$HM16)+(35=$HN16)+(35=$HO16)&gt;=2,50,0))+AL$5*50)</f>
        <v/>
      </c>
      <c r="AM136">
        <f>IF(OR($JF16=0,calcA!$A$6=0),0,IF(OR(36=$HA16,36=$HD16,36=$HG16),200000,MIN(IF($HA16=0,999999,IF(2=$HB16,IF(36=$HJ16,IF($JC16=2,30,0),IF(36=$HK16,IF($JC16=1,30,0),ABS(12-$HC16)*100)),100000+ABS(2-$HB16)*1000+120)),IF($HD16=0,999999,IF(2=$HE16,IF(36=$HL16,IF($JD16=2,30,0),IF(36=$HM16,IF($JD16=1,30,0),ABS(12-$HF16)*100)),100000+ABS(2-$HE16)*1000+120)),IF($HG16=0,999999,IF(2=$HH16,IF(36=$HN16,IF($JE16=2,30,0),IF(36=$HO16,IF($JE16=1,30,0),ABS(12-$HI16)*100)),100000+ABS(2-$HH16)*1000+120)))-IF((36=$HJ16)+(36=$HK16)+(36=$HL16)+(36=$HM16)+(36=$HN16)+(36=$HO16)&gt;=2,50,0))+AM$5*50)</f>
        <v/>
      </c>
      <c r="AN136">
        <f>IF(OR($JF16=0,calcA!$A$6=0),0,IF(OR(37=$HA16,37=$HD16,37=$HG16),200000,MIN(IF($HA16=0,999999,IF(2=$HB16,IF(37=$HJ16,IF($JC16=2,30,0),IF(37=$HK16,IF($JC16=1,30,0),ABS(13-$HC16)*100)),100000+ABS(2-$HB16)*1000+130)),IF($HD16=0,999999,IF(2=$HE16,IF(37=$HL16,IF($JD16=2,30,0),IF(37=$HM16,IF($JD16=1,30,0),ABS(13-$HF16)*100)),100000+ABS(2-$HE16)*1000+130)),IF($HG16=0,999999,IF(2=$HH16,IF(37=$HN16,IF($JE16=2,30,0),IF(37=$HO16,IF($JE16=1,30,0),ABS(13-$HI16)*100)),100000+ABS(2-$HH16)*1000+130)))-IF((37=$HJ16)+(37=$HK16)+(37=$HL16)+(37=$HM16)+(37=$HN16)+(37=$HO16)&gt;=2,50,0))+AN$5*50)</f>
        <v/>
      </c>
      <c r="AO136">
        <f>IF(OR($JF16=0,calcA!$A$6=0),0,IF(OR(38=$HA16,38=$HD16,38=$HG16),200000,MIN(IF($HA16=0,999999,IF(2=$HB16,IF(38=$HJ16,IF($JC16=2,30,0),IF(38=$HK16,IF($JC16=1,30,0),ABS(14-$HC16)*100)),100000+ABS(2-$HB16)*1000+140)),IF($HD16=0,999999,IF(2=$HE16,IF(38=$HL16,IF($JD16=2,30,0),IF(38=$HM16,IF($JD16=1,30,0),ABS(14-$HF16)*100)),100000+ABS(2-$HE16)*1000+140)),IF($HG16=0,999999,IF(2=$HH16,IF(38=$HN16,IF($JE16=2,30,0),IF(38=$HO16,IF($JE16=1,30,0),ABS(14-$HI16)*100)),100000+ABS(2-$HH16)*1000+140)))-IF((38=$HJ16)+(38=$HK16)+(38=$HL16)+(38=$HM16)+(38=$HN16)+(38=$HO16)&gt;=2,50,0))+AO$5*50)</f>
        <v/>
      </c>
      <c r="AP136">
        <f>IF(OR($JF16=0,calcA!$A$6=0),0,IF(OR(39=$HA16,39=$HD16,39=$HG16),200000,MIN(IF($HA16=0,999999,IF(2=$HB16,IF(39=$HJ16,IF($JC16=2,30,0),IF(39=$HK16,IF($JC16=1,30,0),ABS(15-$HC16)*100)),100000+ABS(2-$HB16)*1000+150)),IF($HD16=0,999999,IF(2=$HE16,IF(39=$HL16,IF($JD16=2,30,0),IF(39=$HM16,IF($JD16=1,30,0),ABS(15-$HF16)*100)),100000+ABS(2-$HE16)*1000+150)),IF($HG16=0,999999,IF(2=$HH16,IF(39=$HN16,IF($JE16=2,30,0),IF(39=$HO16,IF($JE16=1,30,0),ABS(15-$HI16)*100)),100000+ABS(2-$HH16)*1000+150)))-IF((39=$HJ16)+(39=$HK16)+(39=$HL16)+(39=$HM16)+(39=$HN16)+(39=$HO16)&gt;=2,50,0))+AP$5*50)</f>
        <v/>
      </c>
      <c r="AQ136">
        <f>IF(OR($JF16=0,calcA!$A$6=0),0,IF(OR(40=$HA16,40=$HD16,40=$HG16),200000,MIN(IF($HA16=0,999999,IF(2=$HB16,IF(40=$HJ16,IF($JC16=2,30,0),IF(40=$HK16,IF($JC16=1,30,0),ABS(16-$HC16)*100)),100000+ABS(2-$HB16)*1000+160)),IF($HD16=0,999999,IF(2=$HE16,IF(40=$HL16,IF($JD16=2,30,0),IF(40=$HM16,IF($JD16=1,30,0),ABS(16-$HF16)*100)),100000+ABS(2-$HE16)*1000+160)),IF($HG16=0,999999,IF(2=$HH16,IF(40=$HN16,IF($JE16=2,30,0),IF(40=$HO16,IF($JE16=1,30,0),ABS(16-$HI16)*100)),100000+ABS(2-$HH16)*1000+160)))-IF((40=$HJ16)+(40=$HK16)+(40=$HL16)+(40=$HM16)+(40=$HN16)+(40=$HO16)&gt;=2,50,0))+AQ$5*50)</f>
        <v/>
      </c>
      <c r="AR136">
        <f>IF(OR($JF16=0,calcA!$A$6=0),0,IF(OR(41=$HA16,41=$HD16,41=$HG16),200000,MIN(IF($HA16=0,999999,IF(2=$HB16,IF(41=$HJ16,IF($JC16=2,30,0),IF(41=$HK16,IF($JC16=1,30,0),ABS(17-$HC16)*100)),100000+ABS(2-$HB16)*1000+170)),IF($HD16=0,999999,IF(2=$HE16,IF(41=$HL16,IF($JD16=2,30,0),IF(41=$HM16,IF($JD16=1,30,0),ABS(17-$HF16)*100)),100000+ABS(2-$HE16)*1000+170)),IF($HG16=0,999999,IF(2=$HH16,IF(41=$HN16,IF($JE16=2,30,0),IF(41=$HO16,IF($JE16=1,30,0),ABS(17-$HI16)*100)),100000+ABS(2-$HH16)*1000+170)))-IF((41=$HJ16)+(41=$HK16)+(41=$HL16)+(41=$HM16)+(41=$HN16)+(41=$HO16)&gt;=2,50,0))+AR$5*50)</f>
        <v/>
      </c>
      <c r="AS136">
        <f>IF(OR($JF16=0,calcA!$A$6=0),0,IF(OR(42=$HA16,42=$HD16,42=$HG16),200000,MIN(IF($HA16=0,999999,IF(2=$HB16,IF(42=$HJ16,IF($JC16=2,30,0),IF(42=$HK16,IF($JC16=1,30,0),ABS(18-$HC16)*100)),100000+ABS(2-$HB16)*1000+180)),IF($HD16=0,999999,IF(2=$HE16,IF(42=$HL16,IF($JD16=2,30,0),IF(42=$HM16,IF($JD16=1,30,0),ABS(18-$HF16)*100)),100000+ABS(2-$HE16)*1000+180)),IF($HG16=0,999999,IF(2=$HH16,IF(42=$HN16,IF($JE16=2,30,0),IF(42=$HO16,IF($JE16=1,30,0),ABS(18-$HI16)*100)),100000+ABS(2-$HH16)*1000+180)))-IF((42=$HJ16)+(42=$HK16)+(42=$HL16)+(42=$HM16)+(42=$HN16)+(42=$HO16)&gt;=2,50,0))+AS$5*50)</f>
        <v/>
      </c>
      <c r="AT136">
        <f>IF(OR($JF16=0,calcA!$A$6=0),0,IF(OR(43=$HA16,43=$HD16,43=$HG16),200000,MIN(IF($HA16=0,999999,IF(2=$HB16,IF(43=$HJ16,IF($JC16=2,30,0),IF(43=$HK16,IF($JC16=1,30,0),ABS(19-$HC16)*100)),100000+ABS(2-$HB16)*1000+190)),IF($HD16=0,999999,IF(2=$HE16,IF(43=$HL16,IF($JD16=2,30,0),IF(43=$HM16,IF($JD16=1,30,0),ABS(19-$HF16)*100)),100000+ABS(2-$HE16)*1000+190)),IF($HG16=0,999999,IF(2=$HH16,IF(43=$HN16,IF($JE16=2,30,0),IF(43=$HO16,IF($JE16=1,30,0),ABS(19-$HI16)*100)),100000+ABS(2-$HH16)*1000+190)))-IF((43=$HJ16)+(43=$HK16)+(43=$HL16)+(43=$HM16)+(43=$HN16)+(43=$HO16)&gt;=2,50,0))+AT$5*50)</f>
        <v/>
      </c>
      <c r="AU136">
        <f>IF(OR($JF16=0,calcA!$A$6=0),0,IF(OR(44=$HA16,44=$HD16,44=$HG16),200000,MIN(IF($HA16=0,999999,IF(2=$HB16,IF(44=$HJ16,IF($JC16=2,30,0),IF(44=$HK16,IF($JC16=1,30,0),ABS(20-$HC16)*100)),100000+ABS(2-$HB16)*1000+200)),IF($HD16=0,999999,IF(2=$HE16,IF(44=$HL16,IF($JD16=2,30,0),IF(44=$HM16,IF($JD16=1,30,0),ABS(20-$HF16)*100)),100000+ABS(2-$HE16)*1000+200)),IF($HG16=0,999999,IF(2=$HH16,IF(44=$HN16,IF($JE16=2,30,0),IF(44=$HO16,IF($JE16=1,30,0),ABS(20-$HI16)*100)),100000+ABS(2-$HH16)*1000+200)))-IF((44=$HJ16)+(44=$HK16)+(44=$HL16)+(44=$HM16)+(44=$HN16)+(44=$HO16)&gt;=2,50,0))+AU$5*50)</f>
        <v/>
      </c>
      <c r="AV136">
        <f>IF(OR($JF16=0,calcA!$A$6=0),0,IF(OR(45=$HA16,45=$HD16,45=$HG16),200000,MIN(IF($HA16=0,999999,IF(2=$HB16,IF(45=$HJ16,IF($JC16=2,30,0),IF(45=$HK16,IF($JC16=1,30,0),ABS(21-$HC16)*100)),100000+ABS(2-$HB16)*1000+210)),IF($HD16=0,999999,IF(2=$HE16,IF(45=$HL16,IF($JD16=2,30,0),IF(45=$HM16,IF($JD16=1,30,0),ABS(21-$HF16)*100)),100000+ABS(2-$HE16)*1000+210)),IF($HG16=0,999999,IF(2=$HH16,IF(45=$HN16,IF($JE16=2,30,0),IF(45=$HO16,IF($JE16=1,30,0),ABS(21-$HI16)*100)),100000+ABS(2-$HH16)*1000+210)))-IF((45=$HJ16)+(45=$HK16)+(45=$HL16)+(45=$HM16)+(45=$HN16)+(45=$HO16)&gt;=2,50,0))+AV$5*50)</f>
        <v/>
      </c>
      <c r="AW136">
        <f>IF(OR($JF16=0,calcA!$A$6=0),0,IF(OR(46=$HA16,46=$HD16,46=$HG16),200000,MIN(IF($HA16=0,999999,IF(2=$HB16,IF(46=$HJ16,IF($JC16=2,30,0),IF(46=$HK16,IF($JC16=1,30,0),ABS(22-$HC16)*100)),100000+ABS(2-$HB16)*1000+220)),IF($HD16=0,999999,IF(2=$HE16,IF(46=$HL16,IF($JD16=2,30,0),IF(46=$HM16,IF($JD16=1,30,0),ABS(22-$HF16)*100)),100000+ABS(2-$HE16)*1000+220)),IF($HG16=0,999999,IF(2=$HH16,IF(46=$HN16,IF($JE16=2,30,0),IF(46=$HO16,IF($JE16=1,30,0),ABS(22-$HI16)*100)),100000+ABS(2-$HH16)*1000+220)))-IF((46=$HJ16)+(46=$HK16)+(46=$HL16)+(46=$HM16)+(46=$HN16)+(46=$HO16)&gt;=2,50,0))+AW$5*50)</f>
        <v/>
      </c>
      <c r="AX136">
        <f>IF(OR($JF16=0,calcA!$A$6=0),0,IF(OR(47=$HA16,47=$HD16,47=$HG16),200000,MIN(IF($HA16=0,999999,IF(2=$HB16,IF(47=$HJ16,IF($JC16=2,30,0),IF(47=$HK16,IF($JC16=1,30,0),ABS(23-$HC16)*100)),100000+ABS(2-$HB16)*1000+230)),IF($HD16=0,999999,IF(2=$HE16,IF(47=$HL16,IF($JD16=2,30,0),IF(47=$HM16,IF($JD16=1,30,0),ABS(23-$HF16)*100)),100000+ABS(2-$HE16)*1000+230)),IF($HG16=0,999999,IF(2=$HH16,IF(47=$HN16,IF($JE16=2,30,0),IF(47=$HO16,IF($JE16=1,30,0),ABS(23-$HI16)*100)),100000+ABS(2-$HH16)*1000+230)))-IF((47=$HJ16)+(47=$HK16)+(47=$HL16)+(47=$HM16)+(47=$HN16)+(47=$HO16)&gt;=2,50,0))+AX$5*50)</f>
        <v/>
      </c>
      <c r="AY136">
        <f>IF(OR($JF16=0,calcA!$A$6=0),0,IF(OR(48=$HA16,48=$HD16,48=$HG16),200000,MIN(IF($HA16=0,999999,IF(2=$HB16,IF(48=$HJ16,IF($JC16=2,30,0),IF(48=$HK16,IF($JC16=1,30,0),ABS(24-$HC16)*100)),100000+ABS(2-$HB16)*1000+240)),IF($HD16=0,999999,IF(2=$HE16,IF(48=$HL16,IF($JD16=2,30,0),IF(48=$HM16,IF($JD16=1,30,0),ABS(24-$HF16)*100)),100000+ABS(2-$HE16)*1000+240)),IF($HG16=0,999999,IF(2=$HH16,IF(48=$HN16,IF($JE16=2,30,0),IF(48=$HO16,IF($JE16=1,30,0),ABS(24-$HI16)*100)),100000+ABS(2-$HH16)*1000+240)))-IF((48=$HJ16)+(48=$HK16)+(48=$HL16)+(48=$HM16)+(48=$HN16)+(48=$HO16)&gt;=2,50,0))+AY$5*50)</f>
        <v/>
      </c>
      <c r="AZ136">
        <f>IF(OR($JF16=0,calcA!$A$6=0),0,IF(OR(49=$HA16,49=$HD16,49=$HG16),200000,MIN(IF($HA16=0,999999,IF(3=$HB16,IF(49=$HJ16,IF($JC16=2,30,0),IF(49=$HK16,IF($JC16=1,30,0),ABS(1-$HC16)*100)),100000+ABS(3-$HB16)*1000+10)),IF($HD16=0,999999,IF(3=$HE16,IF(49=$HL16,IF($JD16=2,30,0),IF(49=$HM16,IF($JD16=1,30,0),ABS(1-$HF16)*100)),100000+ABS(3-$HE16)*1000+10)),IF($HG16=0,999999,IF(3=$HH16,IF(49=$HN16,IF($JE16=2,30,0),IF(49=$HO16,IF($JE16=1,30,0),ABS(1-$HI16)*100)),100000+ABS(3-$HH16)*1000+10)))-IF((49=$HJ16)+(49=$HK16)+(49=$HL16)+(49=$HM16)+(49=$HN16)+(49=$HO16)&gt;=2,50,0))+AZ$5*50)</f>
        <v/>
      </c>
      <c r="BA136">
        <f>IF(OR($JF16=0,calcA!$A$6=0),0,IF(OR(50=$HA16,50=$HD16,50=$HG16),200000,MIN(IF($HA16=0,999999,IF(3=$HB16,IF(50=$HJ16,IF($JC16=2,30,0),IF(50=$HK16,IF($JC16=1,30,0),ABS(2-$HC16)*100)),100000+ABS(3-$HB16)*1000+20)),IF($HD16=0,999999,IF(3=$HE16,IF(50=$HL16,IF($JD16=2,30,0),IF(50=$HM16,IF($JD16=1,30,0),ABS(2-$HF16)*100)),100000+ABS(3-$HE16)*1000+20)),IF($HG16=0,999999,IF(3=$HH16,IF(50=$HN16,IF($JE16=2,30,0),IF(50=$HO16,IF($JE16=1,30,0),ABS(2-$HI16)*100)),100000+ABS(3-$HH16)*1000+20)))-IF((50=$HJ16)+(50=$HK16)+(50=$HL16)+(50=$HM16)+(50=$HN16)+(50=$HO16)&gt;=2,50,0))+BA$5*50)</f>
        <v/>
      </c>
      <c r="BB136">
        <f>IF(OR($JF16=0,calcA!$A$6=0),0,IF(OR(51=$HA16,51=$HD16,51=$HG16),200000,MIN(IF($HA16=0,999999,IF(3=$HB16,IF(51=$HJ16,IF($JC16=2,30,0),IF(51=$HK16,IF($JC16=1,30,0),ABS(3-$HC16)*100)),100000+ABS(3-$HB16)*1000+30)),IF($HD16=0,999999,IF(3=$HE16,IF(51=$HL16,IF($JD16=2,30,0),IF(51=$HM16,IF($JD16=1,30,0),ABS(3-$HF16)*100)),100000+ABS(3-$HE16)*1000+30)),IF($HG16=0,999999,IF(3=$HH16,IF(51=$HN16,IF($JE16=2,30,0),IF(51=$HO16,IF($JE16=1,30,0),ABS(3-$HI16)*100)),100000+ABS(3-$HH16)*1000+30)))-IF((51=$HJ16)+(51=$HK16)+(51=$HL16)+(51=$HM16)+(51=$HN16)+(51=$HO16)&gt;=2,50,0))+BB$5*50)</f>
        <v/>
      </c>
      <c r="BC136">
        <f>IF(OR($JF16=0,calcA!$A$6=0),0,IF(OR(52=$HA16,52=$HD16,52=$HG16),200000,MIN(IF($HA16=0,999999,IF(3=$HB16,IF(52=$HJ16,IF($JC16=2,30,0),IF(52=$HK16,IF($JC16=1,30,0),ABS(4-$HC16)*100)),100000+ABS(3-$HB16)*1000+40)),IF($HD16=0,999999,IF(3=$HE16,IF(52=$HL16,IF($JD16=2,30,0),IF(52=$HM16,IF($JD16=1,30,0),ABS(4-$HF16)*100)),100000+ABS(3-$HE16)*1000+40)),IF($HG16=0,999999,IF(3=$HH16,IF(52=$HN16,IF($JE16=2,30,0),IF(52=$HO16,IF($JE16=1,30,0),ABS(4-$HI16)*100)),100000+ABS(3-$HH16)*1000+40)))-IF((52=$HJ16)+(52=$HK16)+(52=$HL16)+(52=$HM16)+(52=$HN16)+(52=$HO16)&gt;=2,50,0))+BC$5*50)</f>
        <v/>
      </c>
      <c r="BD136">
        <f>IF(OR($JF16=0,calcA!$A$6=0),0,IF(OR(53=$HA16,53=$HD16,53=$HG16),200000,MIN(IF($HA16=0,999999,IF(3=$HB16,IF(53=$HJ16,IF($JC16=2,30,0),IF(53=$HK16,IF($JC16=1,30,0),ABS(5-$HC16)*100)),100000+ABS(3-$HB16)*1000+50)),IF($HD16=0,999999,IF(3=$HE16,IF(53=$HL16,IF($JD16=2,30,0),IF(53=$HM16,IF($JD16=1,30,0),ABS(5-$HF16)*100)),100000+ABS(3-$HE16)*1000+50)),IF($HG16=0,999999,IF(3=$HH16,IF(53=$HN16,IF($JE16=2,30,0),IF(53=$HO16,IF($JE16=1,30,0),ABS(5-$HI16)*100)),100000+ABS(3-$HH16)*1000+50)))-IF((53=$HJ16)+(53=$HK16)+(53=$HL16)+(53=$HM16)+(53=$HN16)+(53=$HO16)&gt;=2,50,0))+BD$5*50)</f>
        <v/>
      </c>
      <c r="BE136">
        <f>IF(OR($JF16=0,calcA!$A$6=0),0,IF(OR(54=$HA16,54=$HD16,54=$HG16),200000,MIN(IF($HA16=0,999999,IF(3=$HB16,IF(54=$HJ16,IF($JC16=2,30,0),IF(54=$HK16,IF($JC16=1,30,0),ABS(6-$HC16)*100)),100000+ABS(3-$HB16)*1000+60)),IF($HD16=0,999999,IF(3=$HE16,IF(54=$HL16,IF($JD16=2,30,0),IF(54=$HM16,IF($JD16=1,30,0),ABS(6-$HF16)*100)),100000+ABS(3-$HE16)*1000+60)),IF($HG16=0,999999,IF(3=$HH16,IF(54=$HN16,IF($JE16=2,30,0),IF(54=$HO16,IF($JE16=1,30,0),ABS(6-$HI16)*100)),100000+ABS(3-$HH16)*1000+60)))-IF((54=$HJ16)+(54=$HK16)+(54=$HL16)+(54=$HM16)+(54=$HN16)+(54=$HO16)&gt;=2,50,0))+BE$5*50)</f>
        <v/>
      </c>
      <c r="BF136">
        <f>IF(OR($JF16=0,calcA!$A$6=0),0,IF(OR(55=$HA16,55=$HD16,55=$HG16),200000,MIN(IF($HA16=0,999999,IF(3=$HB16,IF(55=$HJ16,IF($JC16=2,30,0),IF(55=$HK16,IF($JC16=1,30,0),ABS(7-$HC16)*100)),100000+ABS(3-$HB16)*1000+70)),IF($HD16=0,999999,IF(3=$HE16,IF(55=$HL16,IF($JD16=2,30,0),IF(55=$HM16,IF($JD16=1,30,0),ABS(7-$HF16)*100)),100000+ABS(3-$HE16)*1000+70)),IF($HG16=0,999999,IF(3=$HH16,IF(55=$HN16,IF($JE16=2,30,0),IF(55=$HO16,IF($JE16=1,30,0),ABS(7-$HI16)*100)),100000+ABS(3-$HH16)*1000+70)))-IF((55=$HJ16)+(55=$HK16)+(55=$HL16)+(55=$HM16)+(55=$HN16)+(55=$HO16)&gt;=2,50,0))+BF$5*50)</f>
        <v/>
      </c>
      <c r="BG136">
        <f>IF(OR($JF16=0,calcA!$A$6=0),0,IF(OR(56=$HA16,56=$HD16,56=$HG16),200000,MIN(IF($HA16=0,999999,IF(3=$HB16,IF(56=$HJ16,IF($JC16=2,30,0),IF(56=$HK16,IF($JC16=1,30,0),ABS(8-$HC16)*100)),100000+ABS(3-$HB16)*1000+80)),IF($HD16=0,999999,IF(3=$HE16,IF(56=$HL16,IF($JD16=2,30,0),IF(56=$HM16,IF($JD16=1,30,0),ABS(8-$HF16)*100)),100000+ABS(3-$HE16)*1000+80)),IF($HG16=0,999999,IF(3=$HH16,IF(56=$HN16,IF($JE16=2,30,0),IF(56=$HO16,IF($JE16=1,30,0),ABS(8-$HI16)*100)),100000+ABS(3-$HH16)*1000+80)))-IF((56=$HJ16)+(56=$HK16)+(56=$HL16)+(56=$HM16)+(56=$HN16)+(56=$HO16)&gt;=2,50,0))+BG$5*50)</f>
        <v/>
      </c>
      <c r="BH136">
        <f>IF(OR($JF16=0,calcA!$A$6=0),0,IF(OR(57=$HA16,57=$HD16,57=$HG16),200000,MIN(IF($HA16=0,999999,IF(3=$HB16,IF(57=$HJ16,IF($JC16=2,30,0),IF(57=$HK16,IF($JC16=1,30,0),ABS(9-$HC16)*100)),100000+ABS(3-$HB16)*1000+90)),IF($HD16=0,999999,IF(3=$HE16,IF(57=$HL16,IF($JD16=2,30,0),IF(57=$HM16,IF($JD16=1,30,0),ABS(9-$HF16)*100)),100000+ABS(3-$HE16)*1000+90)),IF($HG16=0,999999,IF(3=$HH16,IF(57=$HN16,IF($JE16=2,30,0),IF(57=$HO16,IF($JE16=1,30,0),ABS(9-$HI16)*100)),100000+ABS(3-$HH16)*1000+90)))-IF((57=$HJ16)+(57=$HK16)+(57=$HL16)+(57=$HM16)+(57=$HN16)+(57=$HO16)&gt;=2,50,0))+BH$5*50)</f>
        <v/>
      </c>
      <c r="BI136">
        <f>IF(OR($JF16=0,calcA!$A$6=0),0,IF(OR(58=$HA16,58=$HD16,58=$HG16),200000,MIN(IF($HA16=0,999999,IF(3=$HB16,IF(58=$HJ16,IF($JC16=2,30,0),IF(58=$HK16,IF($JC16=1,30,0),ABS(10-$HC16)*100)),100000+ABS(3-$HB16)*1000+100)),IF($HD16=0,999999,IF(3=$HE16,IF(58=$HL16,IF($JD16=2,30,0),IF(58=$HM16,IF($JD16=1,30,0),ABS(10-$HF16)*100)),100000+ABS(3-$HE16)*1000+100)),IF($HG16=0,999999,IF(3=$HH16,IF(58=$HN16,IF($JE16=2,30,0),IF(58=$HO16,IF($JE16=1,30,0),ABS(10-$HI16)*100)),100000+ABS(3-$HH16)*1000+100)))-IF((58=$HJ16)+(58=$HK16)+(58=$HL16)+(58=$HM16)+(58=$HN16)+(58=$HO16)&gt;=2,50,0))+BI$5*50)</f>
        <v/>
      </c>
      <c r="BJ136">
        <f>IF(OR($JF16=0,calcA!$A$6=0),0,IF(OR(59=$HA16,59=$HD16,59=$HG16),200000,MIN(IF($HA16=0,999999,IF(3=$HB16,IF(59=$HJ16,IF($JC16=2,30,0),IF(59=$HK16,IF($JC16=1,30,0),ABS(11-$HC16)*100)),100000+ABS(3-$HB16)*1000+110)),IF($HD16=0,999999,IF(3=$HE16,IF(59=$HL16,IF($JD16=2,30,0),IF(59=$HM16,IF($JD16=1,30,0),ABS(11-$HF16)*100)),100000+ABS(3-$HE16)*1000+110)),IF($HG16=0,999999,IF(3=$HH16,IF(59=$HN16,IF($JE16=2,30,0),IF(59=$HO16,IF($JE16=1,30,0),ABS(11-$HI16)*100)),100000+ABS(3-$HH16)*1000+110)))-IF((59=$HJ16)+(59=$HK16)+(59=$HL16)+(59=$HM16)+(59=$HN16)+(59=$HO16)&gt;=2,50,0))+BJ$5*50)</f>
        <v/>
      </c>
      <c r="BK136">
        <f>IF(OR($JF16=0,calcA!$A$6=0),0,IF(OR(60=$HA16,60=$HD16,60=$HG16),200000,MIN(IF($HA16=0,999999,IF(3=$HB16,IF(60=$HJ16,IF($JC16=2,30,0),IF(60=$HK16,IF($JC16=1,30,0),ABS(12-$HC16)*100)),100000+ABS(3-$HB16)*1000+120)),IF($HD16=0,999999,IF(3=$HE16,IF(60=$HL16,IF($JD16=2,30,0),IF(60=$HM16,IF($JD16=1,30,0),ABS(12-$HF16)*100)),100000+ABS(3-$HE16)*1000+120)),IF($HG16=0,999999,IF(3=$HH16,IF(60=$HN16,IF($JE16=2,30,0),IF(60=$HO16,IF($JE16=1,30,0),ABS(12-$HI16)*100)),100000+ABS(3-$HH16)*1000+120)))-IF((60=$HJ16)+(60=$HK16)+(60=$HL16)+(60=$HM16)+(60=$HN16)+(60=$HO16)&gt;=2,50,0))+BK$5*50)</f>
        <v/>
      </c>
      <c r="BL136">
        <f>IF(OR($JF16=0,calcA!$A$6=0),0,IF(OR(61=$HA16,61=$HD16,61=$HG16),200000,MIN(IF($HA16=0,999999,IF(3=$HB16,IF(61=$HJ16,IF($JC16=2,30,0),IF(61=$HK16,IF($JC16=1,30,0),ABS(13-$HC16)*100)),100000+ABS(3-$HB16)*1000+130)),IF($HD16=0,999999,IF(3=$HE16,IF(61=$HL16,IF($JD16=2,30,0),IF(61=$HM16,IF($JD16=1,30,0),ABS(13-$HF16)*100)),100000+ABS(3-$HE16)*1000+130)),IF($HG16=0,999999,IF(3=$HH16,IF(61=$HN16,IF($JE16=2,30,0),IF(61=$HO16,IF($JE16=1,30,0),ABS(13-$HI16)*100)),100000+ABS(3-$HH16)*1000+130)))-IF((61=$HJ16)+(61=$HK16)+(61=$HL16)+(61=$HM16)+(61=$HN16)+(61=$HO16)&gt;=2,50,0))+BL$5*50)</f>
        <v/>
      </c>
      <c r="BM136">
        <f>IF(OR($JF16=0,calcA!$A$6=0),0,IF(OR(62=$HA16,62=$HD16,62=$HG16),200000,MIN(IF($HA16=0,999999,IF(3=$HB16,IF(62=$HJ16,IF($JC16=2,30,0),IF(62=$HK16,IF($JC16=1,30,0),ABS(14-$HC16)*100)),100000+ABS(3-$HB16)*1000+140)),IF($HD16=0,999999,IF(3=$HE16,IF(62=$HL16,IF($JD16=2,30,0),IF(62=$HM16,IF($JD16=1,30,0),ABS(14-$HF16)*100)),100000+ABS(3-$HE16)*1000+140)),IF($HG16=0,999999,IF(3=$HH16,IF(62=$HN16,IF($JE16=2,30,0),IF(62=$HO16,IF($JE16=1,30,0),ABS(14-$HI16)*100)),100000+ABS(3-$HH16)*1000+140)))-IF((62=$HJ16)+(62=$HK16)+(62=$HL16)+(62=$HM16)+(62=$HN16)+(62=$HO16)&gt;=2,50,0))+BM$5*50)</f>
        <v/>
      </c>
      <c r="BN136">
        <f>IF(OR($JF16=0,calcA!$A$6=0),0,IF(OR(63=$HA16,63=$HD16,63=$HG16),200000,MIN(IF($HA16=0,999999,IF(3=$HB16,IF(63=$HJ16,IF($JC16=2,30,0),IF(63=$HK16,IF($JC16=1,30,0),ABS(15-$HC16)*100)),100000+ABS(3-$HB16)*1000+150)),IF($HD16=0,999999,IF(3=$HE16,IF(63=$HL16,IF($JD16=2,30,0),IF(63=$HM16,IF($JD16=1,30,0),ABS(15-$HF16)*100)),100000+ABS(3-$HE16)*1000+150)),IF($HG16=0,999999,IF(3=$HH16,IF(63=$HN16,IF($JE16=2,30,0),IF(63=$HO16,IF($JE16=1,30,0),ABS(15-$HI16)*100)),100000+ABS(3-$HH16)*1000+150)))-IF((63=$HJ16)+(63=$HK16)+(63=$HL16)+(63=$HM16)+(63=$HN16)+(63=$HO16)&gt;=2,50,0))+BN$5*50)</f>
        <v/>
      </c>
      <c r="BO136">
        <f>IF(OR($JF16=0,calcA!$A$6=0),0,IF(OR(64=$HA16,64=$HD16,64=$HG16),200000,MIN(IF($HA16=0,999999,IF(3=$HB16,IF(64=$HJ16,IF($JC16=2,30,0),IF(64=$HK16,IF($JC16=1,30,0),ABS(16-$HC16)*100)),100000+ABS(3-$HB16)*1000+160)),IF($HD16=0,999999,IF(3=$HE16,IF(64=$HL16,IF($JD16=2,30,0),IF(64=$HM16,IF($JD16=1,30,0),ABS(16-$HF16)*100)),100000+ABS(3-$HE16)*1000+160)),IF($HG16=0,999999,IF(3=$HH16,IF(64=$HN16,IF($JE16=2,30,0),IF(64=$HO16,IF($JE16=1,30,0),ABS(16-$HI16)*100)),100000+ABS(3-$HH16)*1000+160)))-IF((64=$HJ16)+(64=$HK16)+(64=$HL16)+(64=$HM16)+(64=$HN16)+(64=$HO16)&gt;=2,50,0))+BO$5*50)</f>
        <v/>
      </c>
      <c r="BP136">
        <f>IF(OR($JF16=0,calcA!$A$6=0),0,IF(OR(65=$HA16,65=$HD16,65=$HG16),200000,MIN(IF($HA16=0,999999,IF(3=$HB16,IF(65=$HJ16,IF($JC16=2,30,0),IF(65=$HK16,IF($JC16=1,30,0),ABS(17-$HC16)*100)),100000+ABS(3-$HB16)*1000+170)),IF($HD16=0,999999,IF(3=$HE16,IF(65=$HL16,IF($JD16=2,30,0),IF(65=$HM16,IF($JD16=1,30,0),ABS(17-$HF16)*100)),100000+ABS(3-$HE16)*1000+170)),IF($HG16=0,999999,IF(3=$HH16,IF(65=$HN16,IF($JE16=2,30,0),IF(65=$HO16,IF($JE16=1,30,0),ABS(17-$HI16)*100)),100000+ABS(3-$HH16)*1000+170)))-IF((65=$HJ16)+(65=$HK16)+(65=$HL16)+(65=$HM16)+(65=$HN16)+(65=$HO16)&gt;=2,50,0))+BP$5*50)</f>
        <v/>
      </c>
      <c r="BQ136">
        <f>IF(OR($JF16=0,calcA!$A$6=0),0,IF(OR(66=$HA16,66=$HD16,66=$HG16),200000,MIN(IF($HA16=0,999999,IF(3=$HB16,IF(66=$HJ16,IF($JC16=2,30,0),IF(66=$HK16,IF($JC16=1,30,0),ABS(18-$HC16)*100)),100000+ABS(3-$HB16)*1000+180)),IF($HD16=0,999999,IF(3=$HE16,IF(66=$HL16,IF($JD16=2,30,0),IF(66=$HM16,IF($JD16=1,30,0),ABS(18-$HF16)*100)),100000+ABS(3-$HE16)*1000+180)),IF($HG16=0,999999,IF(3=$HH16,IF(66=$HN16,IF($JE16=2,30,0),IF(66=$HO16,IF($JE16=1,30,0),ABS(18-$HI16)*100)),100000+ABS(3-$HH16)*1000+180)))-IF((66=$HJ16)+(66=$HK16)+(66=$HL16)+(66=$HM16)+(66=$HN16)+(66=$HO16)&gt;=2,50,0))+BQ$5*50)</f>
        <v/>
      </c>
      <c r="BR136">
        <f>IF(OR($JF16=0,calcA!$A$6=0),0,IF(OR(67=$HA16,67=$HD16,67=$HG16),200000,MIN(IF($HA16=0,999999,IF(3=$HB16,IF(67=$HJ16,IF($JC16=2,30,0),IF(67=$HK16,IF($JC16=1,30,0),ABS(19-$HC16)*100)),100000+ABS(3-$HB16)*1000+190)),IF($HD16=0,999999,IF(3=$HE16,IF(67=$HL16,IF($JD16=2,30,0),IF(67=$HM16,IF($JD16=1,30,0),ABS(19-$HF16)*100)),100000+ABS(3-$HE16)*1000+190)),IF($HG16=0,999999,IF(3=$HH16,IF(67=$HN16,IF($JE16=2,30,0),IF(67=$HO16,IF($JE16=1,30,0),ABS(19-$HI16)*100)),100000+ABS(3-$HH16)*1000+190)))-IF((67=$HJ16)+(67=$HK16)+(67=$HL16)+(67=$HM16)+(67=$HN16)+(67=$HO16)&gt;=2,50,0))+BR$5*50)</f>
        <v/>
      </c>
      <c r="BS136">
        <f>IF(OR($JF16=0,calcA!$A$6=0),0,IF(OR(68=$HA16,68=$HD16,68=$HG16),200000,MIN(IF($HA16=0,999999,IF(3=$HB16,IF(68=$HJ16,IF($JC16=2,30,0),IF(68=$HK16,IF($JC16=1,30,0),ABS(20-$HC16)*100)),100000+ABS(3-$HB16)*1000+200)),IF($HD16=0,999999,IF(3=$HE16,IF(68=$HL16,IF($JD16=2,30,0),IF(68=$HM16,IF($JD16=1,30,0),ABS(20-$HF16)*100)),100000+ABS(3-$HE16)*1000+200)),IF($HG16=0,999999,IF(3=$HH16,IF(68=$HN16,IF($JE16=2,30,0),IF(68=$HO16,IF($JE16=1,30,0),ABS(20-$HI16)*100)),100000+ABS(3-$HH16)*1000+200)))-IF((68=$HJ16)+(68=$HK16)+(68=$HL16)+(68=$HM16)+(68=$HN16)+(68=$HO16)&gt;=2,50,0))+BS$5*50)</f>
        <v/>
      </c>
      <c r="BT136">
        <f>IF(OR($JF16=0,calcA!$A$6=0),0,IF(OR(69=$HA16,69=$HD16,69=$HG16),200000,MIN(IF($HA16=0,999999,IF(3=$HB16,IF(69=$HJ16,IF($JC16=2,30,0),IF(69=$HK16,IF($JC16=1,30,0),ABS(21-$HC16)*100)),100000+ABS(3-$HB16)*1000+210)),IF($HD16=0,999999,IF(3=$HE16,IF(69=$HL16,IF($JD16=2,30,0),IF(69=$HM16,IF($JD16=1,30,0),ABS(21-$HF16)*100)),100000+ABS(3-$HE16)*1000+210)),IF($HG16=0,999999,IF(3=$HH16,IF(69=$HN16,IF($JE16=2,30,0),IF(69=$HO16,IF($JE16=1,30,0),ABS(21-$HI16)*100)),100000+ABS(3-$HH16)*1000+210)))-IF((69=$HJ16)+(69=$HK16)+(69=$HL16)+(69=$HM16)+(69=$HN16)+(69=$HO16)&gt;=2,50,0))+BT$5*50)</f>
        <v/>
      </c>
      <c r="BU136">
        <f>IF(OR($JF16=0,calcA!$A$6=0),0,IF(OR(70=$HA16,70=$HD16,70=$HG16),200000,MIN(IF($HA16=0,999999,IF(3=$HB16,IF(70=$HJ16,IF($JC16=2,30,0),IF(70=$HK16,IF($JC16=1,30,0),ABS(22-$HC16)*100)),100000+ABS(3-$HB16)*1000+220)),IF($HD16=0,999999,IF(3=$HE16,IF(70=$HL16,IF($JD16=2,30,0),IF(70=$HM16,IF($JD16=1,30,0),ABS(22-$HF16)*100)),100000+ABS(3-$HE16)*1000+220)),IF($HG16=0,999999,IF(3=$HH16,IF(70=$HN16,IF($JE16=2,30,0),IF(70=$HO16,IF($JE16=1,30,0),ABS(22-$HI16)*100)),100000+ABS(3-$HH16)*1000+220)))-IF((70=$HJ16)+(70=$HK16)+(70=$HL16)+(70=$HM16)+(70=$HN16)+(70=$HO16)&gt;=2,50,0))+BU$5*50)</f>
        <v/>
      </c>
      <c r="BV136">
        <f>IF(OR($JF16=0,calcA!$A$6=0),0,IF(OR(71=$HA16,71=$HD16,71=$HG16),200000,MIN(IF($HA16=0,999999,IF(3=$HB16,IF(71=$HJ16,IF($JC16=2,30,0),IF(71=$HK16,IF($JC16=1,30,0),ABS(23-$HC16)*100)),100000+ABS(3-$HB16)*1000+230)),IF($HD16=0,999999,IF(3=$HE16,IF(71=$HL16,IF($JD16=2,30,0),IF(71=$HM16,IF($JD16=1,30,0),ABS(23-$HF16)*100)),100000+ABS(3-$HE16)*1000+230)),IF($HG16=0,999999,IF(3=$HH16,IF(71=$HN16,IF($JE16=2,30,0),IF(71=$HO16,IF($JE16=1,30,0),ABS(23-$HI16)*100)),100000+ABS(3-$HH16)*1000+230)))-IF((71=$HJ16)+(71=$HK16)+(71=$HL16)+(71=$HM16)+(71=$HN16)+(71=$HO16)&gt;=2,50,0))+BV$5*50)</f>
        <v/>
      </c>
      <c r="BW136">
        <f>IF(OR($JF16=0,calcA!$A$6=0),0,IF(OR(72=$HA16,72=$HD16,72=$HG16),200000,MIN(IF($HA16=0,999999,IF(3=$HB16,IF(72=$HJ16,IF($JC16=2,30,0),IF(72=$HK16,IF($JC16=1,30,0),ABS(24-$HC16)*100)),100000+ABS(3-$HB16)*1000+240)),IF($HD16=0,999999,IF(3=$HE16,IF(72=$HL16,IF($JD16=2,30,0),IF(72=$HM16,IF($JD16=1,30,0),ABS(24-$HF16)*100)),100000+ABS(3-$HE16)*1000+240)),IF($HG16=0,999999,IF(3=$HH16,IF(72=$HN16,IF($JE16=2,30,0),IF(72=$HO16,IF($JE16=1,30,0),ABS(24-$HI16)*100)),100000+ABS(3-$HH16)*1000+240)))-IF((72=$HJ16)+(72=$HK16)+(72=$HL16)+(72=$HM16)+(72=$HN16)+(72=$HO16)&gt;=2,50,0))+BW$5*50)</f>
        <v/>
      </c>
      <c r="BX136">
        <f>IF(OR($JF16=0,calcA!$A$6=0),0,IF(OR(73=$HA16,73=$HD16,73=$HG16),200000,MIN(IF($HA16=0,999999,IF(4=$HB16,IF(73=$HJ16,IF($JC16=2,30,0),IF(73=$HK16,IF($JC16=1,30,0),ABS(1-$HC16)*100)),100000+ABS(4-$HB16)*1000+10)),IF($HD16=0,999999,IF(4=$HE16,IF(73=$HL16,IF($JD16=2,30,0),IF(73=$HM16,IF($JD16=1,30,0),ABS(1-$HF16)*100)),100000+ABS(4-$HE16)*1000+10)),IF($HG16=0,999999,IF(4=$HH16,IF(73=$HN16,IF($JE16=2,30,0),IF(73=$HO16,IF($JE16=1,30,0),ABS(1-$HI16)*100)),100000+ABS(4-$HH16)*1000+10)))-IF((73=$HJ16)+(73=$HK16)+(73=$HL16)+(73=$HM16)+(73=$HN16)+(73=$HO16)&gt;=2,50,0))+BX$5*50)</f>
        <v/>
      </c>
      <c r="BY136">
        <f>IF(OR($JF16=0,calcA!$A$6=0),0,IF(OR(74=$HA16,74=$HD16,74=$HG16),200000,MIN(IF($HA16=0,999999,IF(4=$HB16,IF(74=$HJ16,IF($JC16=2,30,0),IF(74=$HK16,IF($JC16=1,30,0),ABS(2-$HC16)*100)),100000+ABS(4-$HB16)*1000+20)),IF($HD16=0,999999,IF(4=$HE16,IF(74=$HL16,IF($JD16=2,30,0),IF(74=$HM16,IF($JD16=1,30,0),ABS(2-$HF16)*100)),100000+ABS(4-$HE16)*1000+20)),IF($HG16=0,999999,IF(4=$HH16,IF(74=$HN16,IF($JE16=2,30,0),IF(74=$HO16,IF($JE16=1,30,0),ABS(2-$HI16)*100)),100000+ABS(4-$HH16)*1000+20)))-IF((74=$HJ16)+(74=$HK16)+(74=$HL16)+(74=$HM16)+(74=$HN16)+(74=$HO16)&gt;=2,50,0))+BY$5*50)</f>
        <v/>
      </c>
      <c r="BZ136">
        <f>IF(OR($JF16=0,calcA!$A$6=0),0,IF(OR(75=$HA16,75=$HD16,75=$HG16),200000,MIN(IF($HA16=0,999999,IF(4=$HB16,IF(75=$HJ16,IF($JC16=2,30,0),IF(75=$HK16,IF($JC16=1,30,0),ABS(3-$HC16)*100)),100000+ABS(4-$HB16)*1000+30)),IF($HD16=0,999999,IF(4=$HE16,IF(75=$HL16,IF($JD16=2,30,0),IF(75=$HM16,IF($JD16=1,30,0),ABS(3-$HF16)*100)),100000+ABS(4-$HE16)*1000+30)),IF($HG16=0,999999,IF(4=$HH16,IF(75=$HN16,IF($JE16=2,30,0),IF(75=$HO16,IF($JE16=1,30,0),ABS(3-$HI16)*100)),100000+ABS(4-$HH16)*1000+30)))-IF((75=$HJ16)+(75=$HK16)+(75=$HL16)+(75=$HM16)+(75=$HN16)+(75=$HO16)&gt;=2,50,0))+BZ$5*50)</f>
        <v/>
      </c>
      <c r="CA136">
        <f>IF(OR($JF16=0,calcA!$A$6=0),0,IF(OR(76=$HA16,76=$HD16,76=$HG16),200000,MIN(IF($HA16=0,999999,IF(4=$HB16,IF(76=$HJ16,IF($JC16=2,30,0),IF(76=$HK16,IF($JC16=1,30,0),ABS(4-$HC16)*100)),100000+ABS(4-$HB16)*1000+40)),IF($HD16=0,999999,IF(4=$HE16,IF(76=$HL16,IF($JD16=2,30,0),IF(76=$HM16,IF($JD16=1,30,0),ABS(4-$HF16)*100)),100000+ABS(4-$HE16)*1000+40)),IF($HG16=0,999999,IF(4=$HH16,IF(76=$HN16,IF($JE16=2,30,0),IF(76=$HO16,IF($JE16=1,30,0),ABS(4-$HI16)*100)),100000+ABS(4-$HH16)*1000+40)))-IF((76=$HJ16)+(76=$HK16)+(76=$HL16)+(76=$HM16)+(76=$HN16)+(76=$HO16)&gt;=2,50,0))+CA$5*50)</f>
        <v/>
      </c>
      <c r="CB136">
        <f>IF(OR($JF16=0,calcA!$A$6=0),0,IF(OR(77=$HA16,77=$HD16,77=$HG16),200000,MIN(IF($HA16=0,999999,IF(4=$HB16,IF(77=$HJ16,IF($JC16=2,30,0),IF(77=$HK16,IF($JC16=1,30,0),ABS(5-$HC16)*100)),100000+ABS(4-$HB16)*1000+50)),IF($HD16=0,999999,IF(4=$HE16,IF(77=$HL16,IF($JD16=2,30,0),IF(77=$HM16,IF($JD16=1,30,0),ABS(5-$HF16)*100)),100000+ABS(4-$HE16)*1000+50)),IF($HG16=0,999999,IF(4=$HH16,IF(77=$HN16,IF($JE16=2,30,0),IF(77=$HO16,IF($JE16=1,30,0),ABS(5-$HI16)*100)),100000+ABS(4-$HH16)*1000+50)))-IF((77=$HJ16)+(77=$HK16)+(77=$HL16)+(77=$HM16)+(77=$HN16)+(77=$HO16)&gt;=2,50,0))+CB$5*50)</f>
        <v/>
      </c>
      <c r="CC136">
        <f>IF(OR($JF16=0,calcA!$A$6=0),0,IF(OR(78=$HA16,78=$HD16,78=$HG16),200000,MIN(IF($HA16=0,999999,IF(4=$HB16,IF(78=$HJ16,IF($JC16=2,30,0),IF(78=$HK16,IF($JC16=1,30,0),ABS(6-$HC16)*100)),100000+ABS(4-$HB16)*1000+60)),IF($HD16=0,999999,IF(4=$HE16,IF(78=$HL16,IF($JD16=2,30,0),IF(78=$HM16,IF($JD16=1,30,0),ABS(6-$HF16)*100)),100000+ABS(4-$HE16)*1000+60)),IF($HG16=0,999999,IF(4=$HH16,IF(78=$HN16,IF($JE16=2,30,0),IF(78=$HO16,IF($JE16=1,30,0),ABS(6-$HI16)*100)),100000+ABS(4-$HH16)*1000+60)))-IF((78=$HJ16)+(78=$HK16)+(78=$HL16)+(78=$HM16)+(78=$HN16)+(78=$HO16)&gt;=2,50,0))+CC$5*50)</f>
        <v/>
      </c>
      <c r="CD136">
        <f>IF(OR($JF16=0,calcA!$A$6=0),0,IF(OR(79=$HA16,79=$HD16,79=$HG16),200000,MIN(IF($HA16=0,999999,IF(4=$HB16,IF(79=$HJ16,IF($JC16=2,30,0),IF(79=$HK16,IF($JC16=1,30,0),ABS(7-$HC16)*100)),100000+ABS(4-$HB16)*1000+70)),IF($HD16=0,999999,IF(4=$HE16,IF(79=$HL16,IF($JD16=2,30,0),IF(79=$HM16,IF($JD16=1,30,0),ABS(7-$HF16)*100)),100000+ABS(4-$HE16)*1000+70)),IF($HG16=0,999999,IF(4=$HH16,IF(79=$HN16,IF($JE16=2,30,0),IF(79=$HO16,IF($JE16=1,30,0),ABS(7-$HI16)*100)),100000+ABS(4-$HH16)*1000+70)))-IF((79=$HJ16)+(79=$HK16)+(79=$HL16)+(79=$HM16)+(79=$HN16)+(79=$HO16)&gt;=2,50,0))+CD$5*50)</f>
        <v/>
      </c>
      <c r="CE136">
        <f>IF(OR($JF16=0,calcA!$A$6=0),0,IF(OR(80=$HA16,80=$HD16,80=$HG16),200000,MIN(IF($HA16=0,999999,IF(4=$HB16,IF(80=$HJ16,IF($JC16=2,30,0),IF(80=$HK16,IF($JC16=1,30,0),ABS(8-$HC16)*100)),100000+ABS(4-$HB16)*1000+80)),IF($HD16=0,999999,IF(4=$HE16,IF(80=$HL16,IF($JD16=2,30,0),IF(80=$HM16,IF($JD16=1,30,0),ABS(8-$HF16)*100)),100000+ABS(4-$HE16)*1000+80)),IF($HG16=0,999999,IF(4=$HH16,IF(80=$HN16,IF($JE16=2,30,0),IF(80=$HO16,IF($JE16=1,30,0),ABS(8-$HI16)*100)),100000+ABS(4-$HH16)*1000+80)))-IF((80=$HJ16)+(80=$HK16)+(80=$HL16)+(80=$HM16)+(80=$HN16)+(80=$HO16)&gt;=2,50,0))+CE$5*50)</f>
        <v/>
      </c>
      <c r="CF136">
        <f>IF(OR($JF16=0,calcA!$A$6=0),0,IF(OR(81=$HA16,81=$HD16,81=$HG16),200000,MIN(IF($HA16=0,999999,IF(4=$HB16,IF(81=$HJ16,IF($JC16=2,30,0),IF(81=$HK16,IF($JC16=1,30,0),ABS(9-$HC16)*100)),100000+ABS(4-$HB16)*1000+90)),IF($HD16=0,999999,IF(4=$HE16,IF(81=$HL16,IF($JD16=2,30,0),IF(81=$HM16,IF($JD16=1,30,0),ABS(9-$HF16)*100)),100000+ABS(4-$HE16)*1000+90)),IF($HG16=0,999999,IF(4=$HH16,IF(81=$HN16,IF($JE16=2,30,0),IF(81=$HO16,IF($JE16=1,30,0),ABS(9-$HI16)*100)),100000+ABS(4-$HH16)*1000+90)))-IF((81=$HJ16)+(81=$HK16)+(81=$HL16)+(81=$HM16)+(81=$HN16)+(81=$HO16)&gt;=2,50,0))+CF$5*50)</f>
        <v/>
      </c>
      <c r="CG136">
        <f>IF(OR($JF16=0,calcA!$A$6=0),0,IF(OR(82=$HA16,82=$HD16,82=$HG16),200000,MIN(IF($HA16=0,999999,IF(4=$HB16,IF(82=$HJ16,IF($JC16=2,30,0),IF(82=$HK16,IF($JC16=1,30,0),ABS(10-$HC16)*100)),100000+ABS(4-$HB16)*1000+100)),IF($HD16=0,999999,IF(4=$HE16,IF(82=$HL16,IF($JD16=2,30,0),IF(82=$HM16,IF($JD16=1,30,0),ABS(10-$HF16)*100)),100000+ABS(4-$HE16)*1000+100)),IF($HG16=0,999999,IF(4=$HH16,IF(82=$HN16,IF($JE16=2,30,0),IF(82=$HO16,IF($JE16=1,30,0),ABS(10-$HI16)*100)),100000+ABS(4-$HH16)*1000+100)))-IF((82=$HJ16)+(82=$HK16)+(82=$HL16)+(82=$HM16)+(82=$HN16)+(82=$HO16)&gt;=2,50,0))+CG$5*50)</f>
        <v/>
      </c>
      <c r="CH136">
        <f>IF(OR($JF16=0,calcA!$A$6=0),0,IF(OR(83=$HA16,83=$HD16,83=$HG16),200000,MIN(IF($HA16=0,999999,IF(4=$HB16,IF(83=$HJ16,IF($JC16=2,30,0),IF(83=$HK16,IF($JC16=1,30,0),ABS(11-$HC16)*100)),100000+ABS(4-$HB16)*1000+110)),IF($HD16=0,999999,IF(4=$HE16,IF(83=$HL16,IF($JD16=2,30,0),IF(83=$HM16,IF($JD16=1,30,0),ABS(11-$HF16)*100)),100000+ABS(4-$HE16)*1000+110)),IF($HG16=0,999999,IF(4=$HH16,IF(83=$HN16,IF($JE16=2,30,0),IF(83=$HO16,IF($JE16=1,30,0),ABS(11-$HI16)*100)),100000+ABS(4-$HH16)*1000+110)))-IF((83=$HJ16)+(83=$HK16)+(83=$HL16)+(83=$HM16)+(83=$HN16)+(83=$HO16)&gt;=2,50,0))+CH$5*50)</f>
        <v/>
      </c>
      <c r="CI136">
        <f>IF(OR($JF16=0,calcA!$A$6=0),0,IF(OR(84=$HA16,84=$HD16,84=$HG16),200000,MIN(IF($HA16=0,999999,IF(4=$HB16,IF(84=$HJ16,IF($JC16=2,30,0),IF(84=$HK16,IF($JC16=1,30,0),ABS(12-$HC16)*100)),100000+ABS(4-$HB16)*1000+120)),IF($HD16=0,999999,IF(4=$HE16,IF(84=$HL16,IF($JD16=2,30,0),IF(84=$HM16,IF($JD16=1,30,0),ABS(12-$HF16)*100)),100000+ABS(4-$HE16)*1000+120)),IF($HG16=0,999999,IF(4=$HH16,IF(84=$HN16,IF($JE16=2,30,0),IF(84=$HO16,IF($JE16=1,30,0),ABS(12-$HI16)*100)),100000+ABS(4-$HH16)*1000+120)))-IF((84=$HJ16)+(84=$HK16)+(84=$HL16)+(84=$HM16)+(84=$HN16)+(84=$HO16)&gt;=2,50,0))+CI$5*50)</f>
        <v/>
      </c>
      <c r="CJ136">
        <f>IF(OR($JF16=0,calcA!$A$6=0),0,IF(OR(85=$HA16,85=$HD16,85=$HG16),200000,MIN(IF($HA16=0,999999,IF(4=$HB16,IF(85=$HJ16,IF($JC16=2,30,0),IF(85=$HK16,IF($JC16=1,30,0),ABS(13-$HC16)*100)),100000+ABS(4-$HB16)*1000+130)),IF($HD16=0,999999,IF(4=$HE16,IF(85=$HL16,IF($JD16=2,30,0),IF(85=$HM16,IF($JD16=1,30,0),ABS(13-$HF16)*100)),100000+ABS(4-$HE16)*1000+130)),IF($HG16=0,999999,IF(4=$HH16,IF(85=$HN16,IF($JE16=2,30,0),IF(85=$HO16,IF($JE16=1,30,0),ABS(13-$HI16)*100)),100000+ABS(4-$HH16)*1000+130)))-IF((85=$HJ16)+(85=$HK16)+(85=$HL16)+(85=$HM16)+(85=$HN16)+(85=$HO16)&gt;=2,50,0))+CJ$5*50)</f>
        <v/>
      </c>
      <c r="CK136">
        <f>IF(OR($JF16=0,calcA!$A$6=0),0,IF(OR(86=$HA16,86=$HD16,86=$HG16),200000,MIN(IF($HA16=0,999999,IF(4=$HB16,IF(86=$HJ16,IF($JC16=2,30,0),IF(86=$HK16,IF($JC16=1,30,0),ABS(14-$HC16)*100)),100000+ABS(4-$HB16)*1000+140)),IF($HD16=0,999999,IF(4=$HE16,IF(86=$HL16,IF($JD16=2,30,0),IF(86=$HM16,IF($JD16=1,30,0),ABS(14-$HF16)*100)),100000+ABS(4-$HE16)*1000+140)),IF($HG16=0,999999,IF(4=$HH16,IF(86=$HN16,IF($JE16=2,30,0),IF(86=$HO16,IF($JE16=1,30,0),ABS(14-$HI16)*100)),100000+ABS(4-$HH16)*1000+140)))-IF((86=$HJ16)+(86=$HK16)+(86=$HL16)+(86=$HM16)+(86=$HN16)+(86=$HO16)&gt;=2,50,0))+CK$5*50)</f>
        <v/>
      </c>
      <c r="CL136">
        <f>IF(OR($JF16=0,calcA!$A$6=0),0,IF(OR(87=$HA16,87=$HD16,87=$HG16),200000,MIN(IF($HA16=0,999999,IF(4=$HB16,IF(87=$HJ16,IF($JC16=2,30,0),IF(87=$HK16,IF($JC16=1,30,0),ABS(15-$HC16)*100)),100000+ABS(4-$HB16)*1000+150)),IF($HD16=0,999999,IF(4=$HE16,IF(87=$HL16,IF($JD16=2,30,0),IF(87=$HM16,IF($JD16=1,30,0),ABS(15-$HF16)*100)),100000+ABS(4-$HE16)*1000+150)),IF($HG16=0,999999,IF(4=$HH16,IF(87=$HN16,IF($JE16=2,30,0),IF(87=$HO16,IF($JE16=1,30,0),ABS(15-$HI16)*100)),100000+ABS(4-$HH16)*1000+150)))-IF((87=$HJ16)+(87=$HK16)+(87=$HL16)+(87=$HM16)+(87=$HN16)+(87=$HO16)&gt;=2,50,0))+CL$5*50)</f>
        <v/>
      </c>
      <c r="CM136">
        <f>IF(OR($JF16=0,calcA!$A$6=0),0,IF(OR(88=$HA16,88=$HD16,88=$HG16),200000,MIN(IF($HA16=0,999999,IF(4=$HB16,IF(88=$HJ16,IF($JC16=2,30,0),IF(88=$HK16,IF($JC16=1,30,0),ABS(16-$HC16)*100)),100000+ABS(4-$HB16)*1000+160)),IF($HD16=0,999999,IF(4=$HE16,IF(88=$HL16,IF($JD16=2,30,0),IF(88=$HM16,IF($JD16=1,30,0),ABS(16-$HF16)*100)),100000+ABS(4-$HE16)*1000+160)),IF($HG16=0,999999,IF(4=$HH16,IF(88=$HN16,IF($JE16=2,30,0),IF(88=$HO16,IF($JE16=1,30,0),ABS(16-$HI16)*100)),100000+ABS(4-$HH16)*1000+160)))-IF((88=$HJ16)+(88=$HK16)+(88=$HL16)+(88=$HM16)+(88=$HN16)+(88=$HO16)&gt;=2,50,0))+CM$5*50)</f>
        <v/>
      </c>
      <c r="CN136">
        <f>IF(OR($JF16=0,calcA!$A$6=0),0,IF(OR(89=$HA16,89=$HD16,89=$HG16),200000,MIN(IF($HA16=0,999999,IF(4=$HB16,IF(89=$HJ16,IF($JC16=2,30,0),IF(89=$HK16,IF($JC16=1,30,0),ABS(17-$HC16)*100)),100000+ABS(4-$HB16)*1000+170)),IF($HD16=0,999999,IF(4=$HE16,IF(89=$HL16,IF($JD16=2,30,0),IF(89=$HM16,IF($JD16=1,30,0),ABS(17-$HF16)*100)),100000+ABS(4-$HE16)*1000+170)),IF($HG16=0,999999,IF(4=$HH16,IF(89=$HN16,IF($JE16=2,30,0),IF(89=$HO16,IF($JE16=1,30,0),ABS(17-$HI16)*100)),100000+ABS(4-$HH16)*1000+170)))-IF((89=$HJ16)+(89=$HK16)+(89=$HL16)+(89=$HM16)+(89=$HN16)+(89=$HO16)&gt;=2,50,0))+CN$5*50)</f>
        <v/>
      </c>
      <c r="CO136">
        <f>IF(OR($JF16=0,calcA!$A$6=0),0,IF(OR(90=$HA16,90=$HD16,90=$HG16),200000,MIN(IF($HA16=0,999999,IF(4=$HB16,IF(90=$HJ16,IF($JC16=2,30,0),IF(90=$HK16,IF($JC16=1,30,0),ABS(18-$HC16)*100)),100000+ABS(4-$HB16)*1000+180)),IF($HD16=0,999999,IF(4=$HE16,IF(90=$HL16,IF($JD16=2,30,0),IF(90=$HM16,IF($JD16=1,30,0),ABS(18-$HF16)*100)),100000+ABS(4-$HE16)*1000+180)),IF($HG16=0,999999,IF(4=$HH16,IF(90=$HN16,IF($JE16=2,30,0),IF(90=$HO16,IF($JE16=1,30,0),ABS(18-$HI16)*100)),100000+ABS(4-$HH16)*1000+180)))-IF((90=$HJ16)+(90=$HK16)+(90=$HL16)+(90=$HM16)+(90=$HN16)+(90=$HO16)&gt;=2,50,0))+CO$5*50)</f>
        <v/>
      </c>
      <c r="CP136">
        <f>IF(OR($JF16=0,calcA!$A$6=0),0,IF(OR(91=$HA16,91=$HD16,91=$HG16),200000,MIN(IF($HA16=0,999999,IF(4=$HB16,IF(91=$HJ16,IF($JC16=2,30,0),IF(91=$HK16,IF($JC16=1,30,0),ABS(19-$HC16)*100)),100000+ABS(4-$HB16)*1000+190)),IF($HD16=0,999999,IF(4=$HE16,IF(91=$HL16,IF($JD16=2,30,0),IF(91=$HM16,IF($JD16=1,30,0),ABS(19-$HF16)*100)),100000+ABS(4-$HE16)*1000+190)),IF($HG16=0,999999,IF(4=$HH16,IF(91=$HN16,IF($JE16=2,30,0),IF(91=$HO16,IF($JE16=1,30,0),ABS(19-$HI16)*100)),100000+ABS(4-$HH16)*1000+190)))-IF((91=$HJ16)+(91=$HK16)+(91=$HL16)+(91=$HM16)+(91=$HN16)+(91=$HO16)&gt;=2,50,0))+CP$5*50)</f>
        <v/>
      </c>
      <c r="CQ136">
        <f>IF(OR($JF16=0,calcA!$A$6=0),0,IF(OR(92=$HA16,92=$HD16,92=$HG16),200000,MIN(IF($HA16=0,999999,IF(4=$HB16,IF(92=$HJ16,IF($JC16=2,30,0),IF(92=$HK16,IF($JC16=1,30,0),ABS(20-$HC16)*100)),100000+ABS(4-$HB16)*1000+200)),IF($HD16=0,999999,IF(4=$HE16,IF(92=$HL16,IF($JD16=2,30,0),IF(92=$HM16,IF($JD16=1,30,0),ABS(20-$HF16)*100)),100000+ABS(4-$HE16)*1000+200)),IF($HG16=0,999999,IF(4=$HH16,IF(92=$HN16,IF($JE16=2,30,0),IF(92=$HO16,IF($JE16=1,30,0),ABS(20-$HI16)*100)),100000+ABS(4-$HH16)*1000+200)))-IF((92=$HJ16)+(92=$HK16)+(92=$HL16)+(92=$HM16)+(92=$HN16)+(92=$HO16)&gt;=2,50,0))+CQ$5*50)</f>
        <v/>
      </c>
      <c r="CR136">
        <f>IF(OR($JF16=0,calcA!$A$6=0),0,IF(OR(93=$HA16,93=$HD16,93=$HG16),200000,MIN(IF($HA16=0,999999,IF(4=$HB16,IF(93=$HJ16,IF($JC16=2,30,0),IF(93=$HK16,IF($JC16=1,30,0),ABS(21-$HC16)*100)),100000+ABS(4-$HB16)*1000+210)),IF($HD16=0,999999,IF(4=$HE16,IF(93=$HL16,IF($JD16=2,30,0),IF(93=$HM16,IF($JD16=1,30,0),ABS(21-$HF16)*100)),100000+ABS(4-$HE16)*1000+210)),IF($HG16=0,999999,IF(4=$HH16,IF(93=$HN16,IF($JE16=2,30,0),IF(93=$HO16,IF($JE16=1,30,0),ABS(21-$HI16)*100)),100000+ABS(4-$HH16)*1000+210)))-IF((93=$HJ16)+(93=$HK16)+(93=$HL16)+(93=$HM16)+(93=$HN16)+(93=$HO16)&gt;=2,50,0))+CR$5*50)</f>
        <v/>
      </c>
      <c r="CS136">
        <f>IF(OR($JF16=0,calcA!$A$6=0),0,IF(OR(94=$HA16,94=$HD16,94=$HG16),200000,MIN(IF($HA16=0,999999,IF(4=$HB16,IF(94=$HJ16,IF($JC16=2,30,0),IF(94=$HK16,IF($JC16=1,30,0),ABS(22-$HC16)*100)),100000+ABS(4-$HB16)*1000+220)),IF($HD16=0,999999,IF(4=$HE16,IF(94=$HL16,IF($JD16=2,30,0),IF(94=$HM16,IF($JD16=1,30,0),ABS(22-$HF16)*100)),100000+ABS(4-$HE16)*1000+220)),IF($HG16=0,999999,IF(4=$HH16,IF(94=$HN16,IF($JE16=2,30,0),IF(94=$HO16,IF($JE16=1,30,0),ABS(22-$HI16)*100)),100000+ABS(4-$HH16)*1000+220)))-IF((94=$HJ16)+(94=$HK16)+(94=$HL16)+(94=$HM16)+(94=$HN16)+(94=$HO16)&gt;=2,50,0))+CS$5*50)</f>
        <v/>
      </c>
      <c r="CT136">
        <f>IF(OR($JF16=0,calcA!$A$6=0),0,IF(OR(95=$HA16,95=$HD16,95=$HG16),200000,MIN(IF($HA16=0,999999,IF(4=$HB16,IF(95=$HJ16,IF($JC16=2,30,0),IF(95=$HK16,IF($JC16=1,30,0),ABS(23-$HC16)*100)),100000+ABS(4-$HB16)*1000+230)),IF($HD16=0,999999,IF(4=$HE16,IF(95=$HL16,IF($JD16=2,30,0),IF(95=$HM16,IF($JD16=1,30,0),ABS(23-$HF16)*100)),100000+ABS(4-$HE16)*1000+230)),IF($HG16=0,999999,IF(4=$HH16,IF(95=$HN16,IF($JE16=2,30,0),IF(95=$HO16,IF($JE16=1,30,0),ABS(23-$HI16)*100)),100000+ABS(4-$HH16)*1000+230)))-IF((95=$HJ16)+(95=$HK16)+(95=$HL16)+(95=$HM16)+(95=$HN16)+(95=$HO16)&gt;=2,50,0))+CT$5*50)</f>
        <v/>
      </c>
      <c r="CU136">
        <f>IF(OR($JF16=0,calcA!$A$6=0),0,IF(OR(96=$HA16,96=$HD16,96=$HG16),200000,MIN(IF($HA16=0,999999,IF(4=$HB16,IF(96=$HJ16,IF($JC16=2,30,0),IF(96=$HK16,IF($JC16=1,30,0),ABS(24-$HC16)*100)),100000+ABS(4-$HB16)*1000+240)),IF($HD16=0,999999,IF(4=$HE16,IF(96=$HL16,IF($JD16=2,30,0),IF(96=$HM16,IF($JD16=1,30,0),ABS(24-$HF16)*100)),100000+ABS(4-$HE16)*1000+240)),IF($HG16=0,999999,IF(4=$HH16,IF(96=$HN16,IF($JE16=2,30,0),IF(96=$HO16,IF($JE16=1,30,0),ABS(24-$HI16)*100)),100000+ABS(4-$HH16)*1000+240)))-IF((96=$HJ16)+(96=$HK16)+(96=$HL16)+(96=$HM16)+(96=$HN16)+(96=$HO16)&gt;=2,50,0))+CU$5*50)</f>
        <v/>
      </c>
      <c r="CV136">
        <f>IF(OR($JF16=0,calcA!$A$6=0),0,IF(OR(97=$HA16,97=$HD16,97=$HG16),200000,MIN(IF($HA16=0,999999,IF(5=$HB16,IF(97=$HJ16,IF($JC16=2,30,0),IF(97=$HK16,IF($JC16=1,30,0),ABS(1-$HC16)*100)),100000+ABS(5-$HB16)*1000+10)),IF($HD16=0,999999,IF(5=$HE16,IF(97=$HL16,IF($JD16=2,30,0),IF(97=$HM16,IF($JD16=1,30,0),ABS(1-$HF16)*100)),100000+ABS(5-$HE16)*1000+10)),IF($HG16=0,999999,IF(5=$HH16,IF(97=$HN16,IF($JE16=2,30,0),IF(97=$HO16,IF($JE16=1,30,0),ABS(1-$HI16)*100)),100000+ABS(5-$HH16)*1000+10)))-IF((97=$HJ16)+(97=$HK16)+(97=$HL16)+(97=$HM16)+(97=$HN16)+(97=$HO16)&gt;=2,50,0))+CV$5*50)</f>
        <v/>
      </c>
      <c r="CW136">
        <f>IF(OR($JF16=0,calcA!$A$6=0),0,IF(OR(98=$HA16,98=$HD16,98=$HG16),200000,MIN(IF($HA16=0,999999,IF(5=$HB16,IF(98=$HJ16,IF($JC16=2,30,0),IF(98=$HK16,IF($JC16=1,30,0),ABS(2-$HC16)*100)),100000+ABS(5-$HB16)*1000+20)),IF($HD16=0,999999,IF(5=$HE16,IF(98=$HL16,IF($JD16=2,30,0),IF(98=$HM16,IF($JD16=1,30,0),ABS(2-$HF16)*100)),100000+ABS(5-$HE16)*1000+20)),IF($HG16=0,999999,IF(5=$HH16,IF(98=$HN16,IF($JE16=2,30,0),IF(98=$HO16,IF($JE16=1,30,0),ABS(2-$HI16)*100)),100000+ABS(5-$HH16)*1000+20)))-IF((98=$HJ16)+(98=$HK16)+(98=$HL16)+(98=$HM16)+(98=$HN16)+(98=$HO16)&gt;=2,50,0))+CW$5*50)</f>
        <v/>
      </c>
      <c r="CX136">
        <f>IF(OR($JF16=0,calcA!$A$6=0),0,IF(OR(99=$HA16,99=$HD16,99=$HG16),200000,MIN(IF($HA16=0,999999,IF(5=$HB16,IF(99=$HJ16,IF($JC16=2,30,0),IF(99=$HK16,IF($JC16=1,30,0),ABS(3-$HC16)*100)),100000+ABS(5-$HB16)*1000+30)),IF($HD16=0,999999,IF(5=$HE16,IF(99=$HL16,IF($JD16=2,30,0),IF(99=$HM16,IF($JD16=1,30,0),ABS(3-$HF16)*100)),100000+ABS(5-$HE16)*1000+30)),IF($HG16=0,999999,IF(5=$HH16,IF(99=$HN16,IF($JE16=2,30,0),IF(99=$HO16,IF($JE16=1,30,0),ABS(3-$HI16)*100)),100000+ABS(5-$HH16)*1000+30)))-IF((99=$HJ16)+(99=$HK16)+(99=$HL16)+(99=$HM16)+(99=$HN16)+(99=$HO16)&gt;=2,50,0))+CX$5*50)</f>
        <v/>
      </c>
      <c r="CY136">
        <f>IF(OR($JF16=0,calcA!$A$6=0),0,IF(OR(100=$HA16,100=$HD16,100=$HG16),200000,MIN(IF($HA16=0,999999,IF(5=$HB16,IF(100=$HJ16,IF($JC16=2,30,0),IF(100=$HK16,IF($JC16=1,30,0),ABS(4-$HC16)*100)),100000+ABS(5-$HB16)*1000+40)),IF($HD16=0,999999,IF(5=$HE16,IF(100=$HL16,IF($JD16=2,30,0),IF(100=$HM16,IF($JD16=1,30,0),ABS(4-$HF16)*100)),100000+ABS(5-$HE16)*1000+40)),IF($HG16=0,999999,IF(5=$HH16,IF(100=$HN16,IF($JE16=2,30,0),IF(100=$HO16,IF($JE16=1,30,0),ABS(4-$HI16)*100)),100000+ABS(5-$HH16)*1000+40)))-IF((100=$HJ16)+(100=$HK16)+(100=$HL16)+(100=$HM16)+(100=$HN16)+(100=$HO16)&gt;=2,50,0))+CY$5*50)</f>
        <v/>
      </c>
      <c r="CZ136">
        <f>IF(OR($JF16=0,calcA!$A$6=0),0,IF(OR(101=$HA16,101=$HD16,101=$HG16),200000,MIN(IF($HA16=0,999999,IF(5=$HB16,IF(101=$HJ16,IF($JC16=2,30,0),IF(101=$HK16,IF($JC16=1,30,0),ABS(5-$HC16)*100)),100000+ABS(5-$HB16)*1000+50)),IF($HD16=0,999999,IF(5=$HE16,IF(101=$HL16,IF($JD16=2,30,0),IF(101=$HM16,IF($JD16=1,30,0),ABS(5-$HF16)*100)),100000+ABS(5-$HE16)*1000+50)),IF($HG16=0,999999,IF(5=$HH16,IF(101=$HN16,IF($JE16=2,30,0),IF(101=$HO16,IF($JE16=1,30,0),ABS(5-$HI16)*100)),100000+ABS(5-$HH16)*1000+50)))-IF((101=$HJ16)+(101=$HK16)+(101=$HL16)+(101=$HM16)+(101=$HN16)+(101=$HO16)&gt;=2,50,0))+CZ$5*50)</f>
        <v/>
      </c>
      <c r="DA136">
        <f>IF(OR($JF16=0,calcA!$A$6=0),0,IF(OR(102=$HA16,102=$HD16,102=$HG16),200000,MIN(IF($HA16=0,999999,IF(5=$HB16,IF(102=$HJ16,IF($JC16=2,30,0),IF(102=$HK16,IF($JC16=1,30,0),ABS(6-$HC16)*100)),100000+ABS(5-$HB16)*1000+60)),IF($HD16=0,999999,IF(5=$HE16,IF(102=$HL16,IF($JD16=2,30,0),IF(102=$HM16,IF($JD16=1,30,0),ABS(6-$HF16)*100)),100000+ABS(5-$HE16)*1000+60)),IF($HG16=0,999999,IF(5=$HH16,IF(102=$HN16,IF($JE16=2,30,0),IF(102=$HO16,IF($JE16=1,30,0),ABS(6-$HI16)*100)),100000+ABS(5-$HH16)*1000+60)))-IF((102=$HJ16)+(102=$HK16)+(102=$HL16)+(102=$HM16)+(102=$HN16)+(102=$HO16)&gt;=2,50,0))+DA$5*50)</f>
        <v/>
      </c>
      <c r="DB136">
        <f>IF(OR($JF16=0,calcA!$A$6=0),0,IF(OR(103=$HA16,103=$HD16,103=$HG16),200000,MIN(IF($HA16=0,999999,IF(5=$HB16,IF(103=$HJ16,IF($JC16=2,30,0),IF(103=$HK16,IF($JC16=1,30,0),ABS(7-$HC16)*100)),100000+ABS(5-$HB16)*1000+70)),IF($HD16=0,999999,IF(5=$HE16,IF(103=$HL16,IF($JD16=2,30,0),IF(103=$HM16,IF($JD16=1,30,0),ABS(7-$HF16)*100)),100000+ABS(5-$HE16)*1000+70)),IF($HG16=0,999999,IF(5=$HH16,IF(103=$HN16,IF($JE16=2,30,0),IF(103=$HO16,IF($JE16=1,30,0),ABS(7-$HI16)*100)),100000+ABS(5-$HH16)*1000+70)))-IF((103=$HJ16)+(103=$HK16)+(103=$HL16)+(103=$HM16)+(103=$HN16)+(103=$HO16)&gt;=2,50,0))+DB$5*50)</f>
        <v/>
      </c>
      <c r="DC136">
        <f>IF(OR($JF16=0,calcA!$A$6=0),0,IF(OR(104=$HA16,104=$HD16,104=$HG16),200000,MIN(IF($HA16=0,999999,IF(5=$HB16,IF(104=$HJ16,IF($JC16=2,30,0),IF(104=$HK16,IF($JC16=1,30,0),ABS(8-$HC16)*100)),100000+ABS(5-$HB16)*1000+80)),IF($HD16=0,999999,IF(5=$HE16,IF(104=$HL16,IF($JD16=2,30,0),IF(104=$HM16,IF($JD16=1,30,0),ABS(8-$HF16)*100)),100000+ABS(5-$HE16)*1000+80)),IF($HG16=0,999999,IF(5=$HH16,IF(104=$HN16,IF($JE16=2,30,0),IF(104=$HO16,IF($JE16=1,30,0),ABS(8-$HI16)*100)),100000+ABS(5-$HH16)*1000+80)))-IF((104=$HJ16)+(104=$HK16)+(104=$HL16)+(104=$HM16)+(104=$HN16)+(104=$HO16)&gt;=2,50,0))+DC$5*50)</f>
        <v/>
      </c>
      <c r="DD136">
        <f>IF(OR($JF16=0,calcA!$A$6=0),0,IF(OR(105=$HA16,105=$HD16,105=$HG16),200000,MIN(IF($HA16=0,999999,IF(5=$HB16,IF(105=$HJ16,IF($JC16=2,30,0),IF(105=$HK16,IF($JC16=1,30,0),ABS(9-$HC16)*100)),100000+ABS(5-$HB16)*1000+90)),IF($HD16=0,999999,IF(5=$HE16,IF(105=$HL16,IF($JD16=2,30,0),IF(105=$HM16,IF($JD16=1,30,0),ABS(9-$HF16)*100)),100000+ABS(5-$HE16)*1000+90)),IF($HG16=0,999999,IF(5=$HH16,IF(105=$HN16,IF($JE16=2,30,0),IF(105=$HO16,IF($JE16=1,30,0),ABS(9-$HI16)*100)),100000+ABS(5-$HH16)*1000+90)))-IF((105=$HJ16)+(105=$HK16)+(105=$HL16)+(105=$HM16)+(105=$HN16)+(105=$HO16)&gt;=2,50,0))+DD$5*50)</f>
        <v/>
      </c>
      <c r="DE136">
        <f>IF(OR($JF16=0,calcA!$A$6=0),0,IF(OR(106=$HA16,106=$HD16,106=$HG16),200000,MIN(IF($HA16=0,999999,IF(5=$HB16,IF(106=$HJ16,IF($JC16=2,30,0),IF(106=$HK16,IF($JC16=1,30,0),ABS(10-$HC16)*100)),100000+ABS(5-$HB16)*1000+100)),IF($HD16=0,999999,IF(5=$HE16,IF(106=$HL16,IF($JD16=2,30,0),IF(106=$HM16,IF($JD16=1,30,0),ABS(10-$HF16)*100)),100000+ABS(5-$HE16)*1000+100)),IF($HG16=0,999999,IF(5=$HH16,IF(106=$HN16,IF($JE16=2,30,0),IF(106=$HO16,IF($JE16=1,30,0),ABS(10-$HI16)*100)),100000+ABS(5-$HH16)*1000+100)))-IF((106=$HJ16)+(106=$HK16)+(106=$HL16)+(106=$HM16)+(106=$HN16)+(106=$HO16)&gt;=2,50,0))+DE$5*50)</f>
        <v/>
      </c>
      <c r="DF136">
        <f>IF(OR($JF16=0,calcA!$A$6=0),0,IF(OR(107=$HA16,107=$HD16,107=$HG16),200000,MIN(IF($HA16=0,999999,IF(5=$HB16,IF(107=$HJ16,IF($JC16=2,30,0),IF(107=$HK16,IF($JC16=1,30,0),ABS(11-$HC16)*100)),100000+ABS(5-$HB16)*1000+110)),IF($HD16=0,999999,IF(5=$HE16,IF(107=$HL16,IF($JD16=2,30,0),IF(107=$HM16,IF($JD16=1,30,0),ABS(11-$HF16)*100)),100000+ABS(5-$HE16)*1000+110)),IF($HG16=0,999999,IF(5=$HH16,IF(107=$HN16,IF($JE16=2,30,0),IF(107=$HO16,IF($JE16=1,30,0),ABS(11-$HI16)*100)),100000+ABS(5-$HH16)*1000+110)))-IF((107=$HJ16)+(107=$HK16)+(107=$HL16)+(107=$HM16)+(107=$HN16)+(107=$HO16)&gt;=2,50,0))+DF$5*50)</f>
        <v/>
      </c>
      <c r="DG136">
        <f>IF(OR($JF16=0,calcA!$A$6=0),0,IF(OR(108=$HA16,108=$HD16,108=$HG16),200000,MIN(IF($HA16=0,999999,IF(5=$HB16,IF(108=$HJ16,IF($JC16=2,30,0),IF(108=$HK16,IF($JC16=1,30,0),ABS(12-$HC16)*100)),100000+ABS(5-$HB16)*1000+120)),IF($HD16=0,999999,IF(5=$HE16,IF(108=$HL16,IF($JD16=2,30,0),IF(108=$HM16,IF($JD16=1,30,0),ABS(12-$HF16)*100)),100000+ABS(5-$HE16)*1000+120)),IF($HG16=0,999999,IF(5=$HH16,IF(108=$HN16,IF($JE16=2,30,0),IF(108=$HO16,IF($JE16=1,30,0),ABS(12-$HI16)*100)),100000+ABS(5-$HH16)*1000+120)))-IF((108=$HJ16)+(108=$HK16)+(108=$HL16)+(108=$HM16)+(108=$HN16)+(108=$HO16)&gt;=2,50,0))+DG$5*50)</f>
        <v/>
      </c>
      <c r="DH136">
        <f>IF(OR($JF16=0,calcA!$A$6=0),0,IF(OR(109=$HA16,109=$HD16,109=$HG16),200000,MIN(IF($HA16=0,999999,IF(5=$HB16,IF(109=$HJ16,IF($JC16=2,30,0),IF(109=$HK16,IF($JC16=1,30,0),ABS(13-$HC16)*100)),100000+ABS(5-$HB16)*1000+130)),IF($HD16=0,999999,IF(5=$HE16,IF(109=$HL16,IF($JD16=2,30,0),IF(109=$HM16,IF($JD16=1,30,0),ABS(13-$HF16)*100)),100000+ABS(5-$HE16)*1000+130)),IF($HG16=0,999999,IF(5=$HH16,IF(109=$HN16,IF($JE16=2,30,0),IF(109=$HO16,IF($JE16=1,30,0),ABS(13-$HI16)*100)),100000+ABS(5-$HH16)*1000+130)))-IF((109=$HJ16)+(109=$HK16)+(109=$HL16)+(109=$HM16)+(109=$HN16)+(109=$HO16)&gt;=2,50,0))+DH$5*50)</f>
        <v/>
      </c>
      <c r="DI136">
        <f>IF(OR($JF16=0,calcA!$A$6=0),0,IF(OR(110=$HA16,110=$HD16,110=$HG16),200000,MIN(IF($HA16=0,999999,IF(5=$HB16,IF(110=$HJ16,IF($JC16=2,30,0),IF(110=$HK16,IF($JC16=1,30,0),ABS(14-$HC16)*100)),100000+ABS(5-$HB16)*1000+140)),IF($HD16=0,999999,IF(5=$HE16,IF(110=$HL16,IF($JD16=2,30,0),IF(110=$HM16,IF($JD16=1,30,0),ABS(14-$HF16)*100)),100000+ABS(5-$HE16)*1000+140)),IF($HG16=0,999999,IF(5=$HH16,IF(110=$HN16,IF($JE16=2,30,0),IF(110=$HO16,IF($JE16=1,30,0),ABS(14-$HI16)*100)),100000+ABS(5-$HH16)*1000+140)))-IF((110=$HJ16)+(110=$HK16)+(110=$HL16)+(110=$HM16)+(110=$HN16)+(110=$HO16)&gt;=2,50,0))+DI$5*50)</f>
        <v/>
      </c>
      <c r="DJ136">
        <f>IF(OR($JF16=0,calcA!$A$6=0),0,IF(OR(111=$HA16,111=$HD16,111=$HG16),200000,MIN(IF($HA16=0,999999,IF(5=$HB16,IF(111=$HJ16,IF($JC16=2,30,0),IF(111=$HK16,IF($JC16=1,30,0),ABS(15-$HC16)*100)),100000+ABS(5-$HB16)*1000+150)),IF($HD16=0,999999,IF(5=$HE16,IF(111=$HL16,IF($JD16=2,30,0),IF(111=$HM16,IF($JD16=1,30,0),ABS(15-$HF16)*100)),100000+ABS(5-$HE16)*1000+150)),IF($HG16=0,999999,IF(5=$HH16,IF(111=$HN16,IF($JE16=2,30,0),IF(111=$HO16,IF($JE16=1,30,0),ABS(15-$HI16)*100)),100000+ABS(5-$HH16)*1000+150)))-IF((111=$HJ16)+(111=$HK16)+(111=$HL16)+(111=$HM16)+(111=$HN16)+(111=$HO16)&gt;=2,50,0))+DJ$5*50)</f>
        <v/>
      </c>
      <c r="DK136">
        <f>IF(OR($JF16=0,calcA!$A$6=0),0,IF(OR(112=$HA16,112=$HD16,112=$HG16),200000,MIN(IF($HA16=0,999999,IF(5=$HB16,IF(112=$HJ16,IF($JC16=2,30,0),IF(112=$HK16,IF($JC16=1,30,0),ABS(16-$HC16)*100)),100000+ABS(5-$HB16)*1000+160)),IF($HD16=0,999999,IF(5=$HE16,IF(112=$HL16,IF($JD16=2,30,0),IF(112=$HM16,IF($JD16=1,30,0),ABS(16-$HF16)*100)),100000+ABS(5-$HE16)*1000+160)),IF($HG16=0,999999,IF(5=$HH16,IF(112=$HN16,IF($JE16=2,30,0),IF(112=$HO16,IF($JE16=1,30,0),ABS(16-$HI16)*100)),100000+ABS(5-$HH16)*1000+160)))-IF((112=$HJ16)+(112=$HK16)+(112=$HL16)+(112=$HM16)+(112=$HN16)+(112=$HO16)&gt;=2,50,0))+DK$5*50)</f>
        <v/>
      </c>
      <c r="DL136">
        <f>IF(OR($JF16=0,calcA!$A$6=0),0,IF(OR(113=$HA16,113=$HD16,113=$HG16),200000,MIN(IF($HA16=0,999999,IF(5=$HB16,IF(113=$HJ16,IF($JC16=2,30,0),IF(113=$HK16,IF($JC16=1,30,0),ABS(17-$HC16)*100)),100000+ABS(5-$HB16)*1000+170)),IF($HD16=0,999999,IF(5=$HE16,IF(113=$HL16,IF($JD16=2,30,0),IF(113=$HM16,IF($JD16=1,30,0),ABS(17-$HF16)*100)),100000+ABS(5-$HE16)*1000+170)),IF($HG16=0,999999,IF(5=$HH16,IF(113=$HN16,IF($JE16=2,30,0),IF(113=$HO16,IF($JE16=1,30,0),ABS(17-$HI16)*100)),100000+ABS(5-$HH16)*1000+170)))-IF((113=$HJ16)+(113=$HK16)+(113=$HL16)+(113=$HM16)+(113=$HN16)+(113=$HO16)&gt;=2,50,0))+DL$5*50)</f>
        <v/>
      </c>
      <c r="DM136">
        <f>IF(OR($JF16=0,calcA!$A$6=0),0,IF(OR(114=$HA16,114=$HD16,114=$HG16),200000,MIN(IF($HA16=0,999999,IF(5=$HB16,IF(114=$HJ16,IF($JC16=2,30,0),IF(114=$HK16,IF($JC16=1,30,0),ABS(18-$HC16)*100)),100000+ABS(5-$HB16)*1000+180)),IF($HD16=0,999999,IF(5=$HE16,IF(114=$HL16,IF($JD16=2,30,0),IF(114=$HM16,IF($JD16=1,30,0),ABS(18-$HF16)*100)),100000+ABS(5-$HE16)*1000+180)),IF($HG16=0,999999,IF(5=$HH16,IF(114=$HN16,IF($JE16=2,30,0),IF(114=$HO16,IF($JE16=1,30,0),ABS(18-$HI16)*100)),100000+ABS(5-$HH16)*1000+180)))-IF((114=$HJ16)+(114=$HK16)+(114=$HL16)+(114=$HM16)+(114=$HN16)+(114=$HO16)&gt;=2,50,0))+DM$5*50)</f>
        <v/>
      </c>
      <c r="DN136">
        <f>IF(OR($JF16=0,calcA!$A$6=0),0,IF(OR(115=$HA16,115=$HD16,115=$HG16),200000,MIN(IF($HA16=0,999999,IF(5=$HB16,IF(115=$HJ16,IF($JC16=2,30,0),IF(115=$HK16,IF($JC16=1,30,0),ABS(19-$HC16)*100)),100000+ABS(5-$HB16)*1000+190)),IF($HD16=0,999999,IF(5=$HE16,IF(115=$HL16,IF($JD16=2,30,0),IF(115=$HM16,IF($JD16=1,30,0),ABS(19-$HF16)*100)),100000+ABS(5-$HE16)*1000+190)),IF($HG16=0,999999,IF(5=$HH16,IF(115=$HN16,IF($JE16=2,30,0),IF(115=$HO16,IF($JE16=1,30,0),ABS(19-$HI16)*100)),100000+ABS(5-$HH16)*1000+190)))-IF((115=$HJ16)+(115=$HK16)+(115=$HL16)+(115=$HM16)+(115=$HN16)+(115=$HO16)&gt;=2,50,0))+DN$5*50)</f>
        <v/>
      </c>
      <c r="DO136">
        <f>IF(OR($JF16=0,calcA!$A$6=0),0,IF(OR(116=$HA16,116=$HD16,116=$HG16),200000,MIN(IF($HA16=0,999999,IF(5=$HB16,IF(116=$HJ16,IF($JC16=2,30,0),IF(116=$HK16,IF($JC16=1,30,0),ABS(20-$HC16)*100)),100000+ABS(5-$HB16)*1000+200)),IF($HD16=0,999999,IF(5=$HE16,IF(116=$HL16,IF($JD16=2,30,0),IF(116=$HM16,IF($JD16=1,30,0),ABS(20-$HF16)*100)),100000+ABS(5-$HE16)*1000+200)),IF($HG16=0,999999,IF(5=$HH16,IF(116=$HN16,IF($JE16=2,30,0),IF(116=$HO16,IF($JE16=1,30,0),ABS(20-$HI16)*100)),100000+ABS(5-$HH16)*1000+200)))-IF((116=$HJ16)+(116=$HK16)+(116=$HL16)+(116=$HM16)+(116=$HN16)+(116=$HO16)&gt;=2,50,0))+DO$5*50)</f>
        <v/>
      </c>
      <c r="DP136">
        <f>IF(OR($JF16=0,calcA!$A$6=0),0,IF(OR(117=$HA16,117=$HD16,117=$HG16),200000,MIN(IF($HA16=0,999999,IF(5=$HB16,IF(117=$HJ16,IF($JC16=2,30,0),IF(117=$HK16,IF($JC16=1,30,0),ABS(21-$HC16)*100)),100000+ABS(5-$HB16)*1000+210)),IF($HD16=0,999999,IF(5=$HE16,IF(117=$HL16,IF($JD16=2,30,0),IF(117=$HM16,IF($JD16=1,30,0),ABS(21-$HF16)*100)),100000+ABS(5-$HE16)*1000+210)),IF($HG16=0,999999,IF(5=$HH16,IF(117=$HN16,IF($JE16=2,30,0),IF(117=$HO16,IF($JE16=1,30,0),ABS(21-$HI16)*100)),100000+ABS(5-$HH16)*1000+210)))-IF((117=$HJ16)+(117=$HK16)+(117=$HL16)+(117=$HM16)+(117=$HN16)+(117=$HO16)&gt;=2,50,0))+DP$5*50)</f>
        <v/>
      </c>
      <c r="DQ136">
        <f>IF(OR($JF16=0,calcA!$A$6=0),0,IF(OR(118=$HA16,118=$HD16,118=$HG16),200000,MIN(IF($HA16=0,999999,IF(5=$HB16,IF(118=$HJ16,IF($JC16=2,30,0),IF(118=$HK16,IF($JC16=1,30,0),ABS(22-$HC16)*100)),100000+ABS(5-$HB16)*1000+220)),IF($HD16=0,999999,IF(5=$HE16,IF(118=$HL16,IF($JD16=2,30,0),IF(118=$HM16,IF($JD16=1,30,0),ABS(22-$HF16)*100)),100000+ABS(5-$HE16)*1000+220)),IF($HG16=0,999999,IF(5=$HH16,IF(118=$HN16,IF($JE16=2,30,0),IF(118=$HO16,IF($JE16=1,30,0),ABS(22-$HI16)*100)),100000+ABS(5-$HH16)*1000+220)))-IF((118=$HJ16)+(118=$HK16)+(118=$HL16)+(118=$HM16)+(118=$HN16)+(118=$HO16)&gt;=2,50,0))+DQ$5*50)</f>
        <v/>
      </c>
      <c r="DR136">
        <f>IF(OR($JF16=0,calcA!$A$6=0),0,IF(OR(119=$HA16,119=$HD16,119=$HG16),200000,MIN(IF($HA16=0,999999,IF(5=$HB16,IF(119=$HJ16,IF($JC16=2,30,0),IF(119=$HK16,IF($JC16=1,30,0),ABS(23-$HC16)*100)),100000+ABS(5-$HB16)*1000+230)),IF($HD16=0,999999,IF(5=$HE16,IF(119=$HL16,IF($JD16=2,30,0),IF(119=$HM16,IF($JD16=1,30,0),ABS(23-$HF16)*100)),100000+ABS(5-$HE16)*1000+230)),IF($HG16=0,999999,IF(5=$HH16,IF(119=$HN16,IF($JE16=2,30,0),IF(119=$HO16,IF($JE16=1,30,0),ABS(23-$HI16)*100)),100000+ABS(5-$HH16)*1000+230)))-IF((119=$HJ16)+(119=$HK16)+(119=$HL16)+(119=$HM16)+(119=$HN16)+(119=$HO16)&gt;=2,50,0))+DR$5*50)</f>
        <v/>
      </c>
      <c r="DS136">
        <f>IF(OR($JF16=0,calcA!$A$6=0),0,IF(OR(120=$HA16,120=$HD16,120=$HG16),200000,MIN(IF($HA16=0,999999,IF(5=$HB16,IF(120=$HJ16,IF($JC16=2,30,0),IF(120=$HK16,IF($JC16=1,30,0),ABS(24-$HC16)*100)),100000+ABS(5-$HB16)*1000+240)),IF($HD16=0,999999,IF(5=$HE16,IF(120=$HL16,IF($JD16=2,30,0),IF(120=$HM16,IF($JD16=1,30,0),ABS(24-$HF16)*100)),100000+ABS(5-$HE16)*1000+240)),IF($HG16=0,999999,IF(5=$HH16,IF(120=$HN16,IF($JE16=2,30,0),IF(120=$HO16,IF($JE16=1,30,0),ABS(24-$HI16)*100)),100000+ABS(5-$HH16)*1000+240)))-IF((120=$HJ16)+(120=$HK16)+(120=$HL16)+(120=$HM16)+(120=$HN16)+(120=$HO16)&gt;=2,50,0))+DS$5*50)</f>
        <v/>
      </c>
      <c r="DT136">
        <f>IF(OR($JF16=0,calcA!$A$6=0),0,IF(OR(121=$HA16,121=$HD16,121=$HG16),200000,MIN(IF($HA16=0,999999,IF(6=$HB16,IF(121=$HJ16,IF($JC16=2,30,0),IF(121=$HK16,IF($JC16=1,30,0),ABS(1-$HC16)*100)),100000+ABS(6-$HB16)*1000+10)),IF($HD16=0,999999,IF(6=$HE16,IF(121=$HL16,IF($JD16=2,30,0),IF(121=$HM16,IF($JD16=1,30,0),ABS(1-$HF16)*100)),100000+ABS(6-$HE16)*1000+10)),IF($HG16=0,999999,IF(6=$HH16,IF(121=$HN16,IF($JE16=2,30,0),IF(121=$HO16,IF($JE16=1,30,0),ABS(1-$HI16)*100)),100000+ABS(6-$HH16)*1000+10)))-IF((121=$HJ16)+(121=$HK16)+(121=$HL16)+(121=$HM16)+(121=$HN16)+(121=$HO16)&gt;=2,50,0))+DT$5*50)</f>
        <v/>
      </c>
      <c r="DU136">
        <f>IF(OR($JF16=0,calcA!$A$6=0),0,IF(OR(122=$HA16,122=$HD16,122=$HG16),200000,MIN(IF($HA16=0,999999,IF(6=$HB16,IF(122=$HJ16,IF($JC16=2,30,0),IF(122=$HK16,IF($JC16=1,30,0),ABS(2-$HC16)*100)),100000+ABS(6-$HB16)*1000+20)),IF($HD16=0,999999,IF(6=$HE16,IF(122=$HL16,IF($JD16=2,30,0),IF(122=$HM16,IF($JD16=1,30,0),ABS(2-$HF16)*100)),100000+ABS(6-$HE16)*1000+20)),IF($HG16=0,999999,IF(6=$HH16,IF(122=$HN16,IF($JE16=2,30,0),IF(122=$HO16,IF($JE16=1,30,0),ABS(2-$HI16)*100)),100000+ABS(6-$HH16)*1000+20)))-IF((122=$HJ16)+(122=$HK16)+(122=$HL16)+(122=$HM16)+(122=$HN16)+(122=$HO16)&gt;=2,50,0))+DU$5*50)</f>
        <v/>
      </c>
      <c r="DV136">
        <f>IF(OR($JF16=0,calcA!$A$6=0),0,IF(OR(123=$HA16,123=$HD16,123=$HG16),200000,MIN(IF($HA16=0,999999,IF(6=$HB16,IF(123=$HJ16,IF($JC16=2,30,0),IF(123=$HK16,IF($JC16=1,30,0),ABS(3-$HC16)*100)),100000+ABS(6-$HB16)*1000+30)),IF($HD16=0,999999,IF(6=$HE16,IF(123=$HL16,IF($JD16=2,30,0),IF(123=$HM16,IF($JD16=1,30,0),ABS(3-$HF16)*100)),100000+ABS(6-$HE16)*1000+30)),IF($HG16=0,999999,IF(6=$HH16,IF(123=$HN16,IF($JE16=2,30,0),IF(123=$HO16,IF($JE16=1,30,0),ABS(3-$HI16)*100)),100000+ABS(6-$HH16)*1000+30)))-IF((123=$HJ16)+(123=$HK16)+(123=$HL16)+(123=$HM16)+(123=$HN16)+(123=$HO16)&gt;=2,50,0))+DV$5*50)</f>
        <v/>
      </c>
      <c r="DW136">
        <f>IF(OR($JF16=0,calcA!$A$6=0),0,IF(OR(124=$HA16,124=$HD16,124=$HG16),200000,MIN(IF($HA16=0,999999,IF(6=$HB16,IF(124=$HJ16,IF($JC16=2,30,0),IF(124=$HK16,IF($JC16=1,30,0),ABS(4-$HC16)*100)),100000+ABS(6-$HB16)*1000+40)),IF($HD16=0,999999,IF(6=$HE16,IF(124=$HL16,IF($JD16=2,30,0),IF(124=$HM16,IF($JD16=1,30,0),ABS(4-$HF16)*100)),100000+ABS(6-$HE16)*1000+40)),IF($HG16=0,999999,IF(6=$HH16,IF(124=$HN16,IF($JE16=2,30,0),IF(124=$HO16,IF($JE16=1,30,0),ABS(4-$HI16)*100)),100000+ABS(6-$HH16)*1000+40)))-IF((124=$HJ16)+(124=$HK16)+(124=$HL16)+(124=$HM16)+(124=$HN16)+(124=$HO16)&gt;=2,50,0))+DW$5*50)</f>
        <v/>
      </c>
      <c r="DX136">
        <f>IF(OR($JF16=0,calcA!$A$6=0),0,IF(OR(125=$HA16,125=$HD16,125=$HG16),200000,MIN(IF($HA16=0,999999,IF(6=$HB16,IF(125=$HJ16,IF($JC16=2,30,0),IF(125=$HK16,IF($JC16=1,30,0),ABS(5-$HC16)*100)),100000+ABS(6-$HB16)*1000+50)),IF($HD16=0,999999,IF(6=$HE16,IF(125=$HL16,IF($JD16=2,30,0),IF(125=$HM16,IF($JD16=1,30,0),ABS(5-$HF16)*100)),100000+ABS(6-$HE16)*1000+50)),IF($HG16=0,999999,IF(6=$HH16,IF(125=$HN16,IF($JE16=2,30,0),IF(125=$HO16,IF($JE16=1,30,0),ABS(5-$HI16)*100)),100000+ABS(6-$HH16)*1000+50)))-IF((125=$HJ16)+(125=$HK16)+(125=$HL16)+(125=$HM16)+(125=$HN16)+(125=$HO16)&gt;=2,50,0))+DX$5*50)</f>
        <v/>
      </c>
      <c r="DY136">
        <f>IF(OR($JF16=0,calcA!$A$6=0),0,IF(OR(126=$HA16,126=$HD16,126=$HG16),200000,MIN(IF($HA16=0,999999,IF(6=$HB16,IF(126=$HJ16,IF($JC16=2,30,0),IF(126=$HK16,IF($JC16=1,30,0),ABS(6-$HC16)*100)),100000+ABS(6-$HB16)*1000+60)),IF($HD16=0,999999,IF(6=$HE16,IF(126=$HL16,IF($JD16=2,30,0),IF(126=$HM16,IF($JD16=1,30,0),ABS(6-$HF16)*100)),100000+ABS(6-$HE16)*1000+60)),IF($HG16=0,999999,IF(6=$HH16,IF(126=$HN16,IF($JE16=2,30,0),IF(126=$HO16,IF($JE16=1,30,0),ABS(6-$HI16)*100)),100000+ABS(6-$HH16)*1000+60)))-IF((126=$HJ16)+(126=$HK16)+(126=$HL16)+(126=$HM16)+(126=$HN16)+(126=$HO16)&gt;=2,50,0))+DY$5*50)</f>
        <v/>
      </c>
      <c r="DZ136">
        <f>IF(OR($JF16=0,calcA!$A$6=0),0,IF(OR(127=$HA16,127=$HD16,127=$HG16),200000,MIN(IF($HA16=0,999999,IF(6=$HB16,IF(127=$HJ16,IF($JC16=2,30,0),IF(127=$HK16,IF($JC16=1,30,0),ABS(7-$HC16)*100)),100000+ABS(6-$HB16)*1000+70)),IF($HD16=0,999999,IF(6=$HE16,IF(127=$HL16,IF($JD16=2,30,0),IF(127=$HM16,IF($JD16=1,30,0),ABS(7-$HF16)*100)),100000+ABS(6-$HE16)*1000+70)),IF($HG16=0,999999,IF(6=$HH16,IF(127=$HN16,IF($JE16=2,30,0),IF(127=$HO16,IF($JE16=1,30,0),ABS(7-$HI16)*100)),100000+ABS(6-$HH16)*1000+70)))-IF((127=$HJ16)+(127=$HK16)+(127=$HL16)+(127=$HM16)+(127=$HN16)+(127=$HO16)&gt;=2,50,0))+DZ$5*50)</f>
        <v/>
      </c>
      <c r="EA136">
        <f>IF(OR($JF16=0,calcA!$A$6=0),0,IF(OR(128=$HA16,128=$HD16,128=$HG16),200000,MIN(IF($HA16=0,999999,IF(6=$HB16,IF(128=$HJ16,IF($JC16=2,30,0),IF(128=$HK16,IF($JC16=1,30,0),ABS(8-$HC16)*100)),100000+ABS(6-$HB16)*1000+80)),IF($HD16=0,999999,IF(6=$HE16,IF(128=$HL16,IF($JD16=2,30,0),IF(128=$HM16,IF($JD16=1,30,0),ABS(8-$HF16)*100)),100000+ABS(6-$HE16)*1000+80)),IF($HG16=0,999999,IF(6=$HH16,IF(128=$HN16,IF($JE16=2,30,0),IF(128=$HO16,IF($JE16=1,30,0),ABS(8-$HI16)*100)),100000+ABS(6-$HH16)*1000+80)))-IF((128=$HJ16)+(128=$HK16)+(128=$HL16)+(128=$HM16)+(128=$HN16)+(128=$HO16)&gt;=2,50,0))+EA$5*50)</f>
        <v/>
      </c>
      <c r="EB136">
        <f>IF(OR($JF16=0,calcA!$A$6=0),0,IF(OR(129=$HA16,129=$HD16,129=$HG16),200000,MIN(IF($HA16=0,999999,IF(6=$HB16,IF(129=$HJ16,IF($JC16=2,30,0),IF(129=$HK16,IF($JC16=1,30,0),ABS(9-$HC16)*100)),100000+ABS(6-$HB16)*1000+90)),IF($HD16=0,999999,IF(6=$HE16,IF(129=$HL16,IF($JD16=2,30,0),IF(129=$HM16,IF($JD16=1,30,0),ABS(9-$HF16)*100)),100000+ABS(6-$HE16)*1000+90)),IF($HG16=0,999999,IF(6=$HH16,IF(129=$HN16,IF($JE16=2,30,0),IF(129=$HO16,IF($JE16=1,30,0),ABS(9-$HI16)*100)),100000+ABS(6-$HH16)*1000+90)))-IF((129=$HJ16)+(129=$HK16)+(129=$HL16)+(129=$HM16)+(129=$HN16)+(129=$HO16)&gt;=2,50,0))+EB$5*50)</f>
        <v/>
      </c>
      <c r="EC136">
        <f>IF(OR($JF16=0,calcA!$A$6=0),0,IF(OR(130=$HA16,130=$HD16,130=$HG16),200000,MIN(IF($HA16=0,999999,IF(6=$HB16,IF(130=$HJ16,IF($JC16=2,30,0),IF(130=$HK16,IF($JC16=1,30,0),ABS(10-$HC16)*100)),100000+ABS(6-$HB16)*1000+100)),IF($HD16=0,999999,IF(6=$HE16,IF(130=$HL16,IF($JD16=2,30,0),IF(130=$HM16,IF($JD16=1,30,0),ABS(10-$HF16)*100)),100000+ABS(6-$HE16)*1000+100)),IF($HG16=0,999999,IF(6=$HH16,IF(130=$HN16,IF($JE16=2,30,0),IF(130=$HO16,IF($JE16=1,30,0),ABS(10-$HI16)*100)),100000+ABS(6-$HH16)*1000+100)))-IF((130=$HJ16)+(130=$HK16)+(130=$HL16)+(130=$HM16)+(130=$HN16)+(130=$HO16)&gt;=2,50,0))+EC$5*50)</f>
        <v/>
      </c>
      <c r="ED136">
        <f>IF(OR($JF16=0,calcA!$A$6=0),0,IF(OR(131=$HA16,131=$HD16,131=$HG16),200000,MIN(IF($HA16=0,999999,IF(6=$HB16,IF(131=$HJ16,IF($JC16=2,30,0),IF(131=$HK16,IF($JC16=1,30,0),ABS(11-$HC16)*100)),100000+ABS(6-$HB16)*1000+110)),IF($HD16=0,999999,IF(6=$HE16,IF(131=$HL16,IF($JD16=2,30,0),IF(131=$HM16,IF($JD16=1,30,0),ABS(11-$HF16)*100)),100000+ABS(6-$HE16)*1000+110)),IF($HG16=0,999999,IF(6=$HH16,IF(131=$HN16,IF($JE16=2,30,0),IF(131=$HO16,IF($JE16=1,30,0),ABS(11-$HI16)*100)),100000+ABS(6-$HH16)*1000+110)))-IF((131=$HJ16)+(131=$HK16)+(131=$HL16)+(131=$HM16)+(131=$HN16)+(131=$HO16)&gt;=2,50,0))+ED$5*50)</f>
        <v/>
      </c>
      <c r="EE136">
        <f>IF(OR($JF16=0,calcA!$A$6=0),0,IF(OR(132=$HA16,132=$HD16,132=$HG16),200000,MIN(IF($HA16=0,999999,IF(6=$HB16,IF(132=$HJ16,IF($JC16=2,30,0),IF(132=$HK16,IF($JC16=1,30,0),ABS(12-$HC16)*100)),100000+ABS(6-$HB16)*1000+120)),IF($HD16=0,999999,IF(6=$HE16,IF(132=$HL16,IF($JD16=2,30,0),IF(132=$HM16,IF($JD16=1,30,0),ABS(12-$HF16)*100)),100000+ABS(6-$HE16)*1000+120)),IF($HG16=0,999999,IF(6=$HH16,IF(132=$HN16,IF($JE16=2,30,0),IF(132=$HO16,IF($JE16=1,30,0),ABS(12-$HI16)*100)),100000+ABS(6-$HH16)*1000+120)))-IF((132=$HJ16)+(132=$HK16)+(132=$HL16)+(132=$HM16)+(132=$HN16)+(132=$HO16)&gt;=2,50,0))+EE$5*50)</f>
        <v/>
      </c>
      <c r="EF136">
        <f>IF(OR($JF16=0,calcA!$A$6=0),0,IF(OR(133=$HA16,133=$HD16,133=$HG16),200000,MIN(IF($HA16=0,999999,IF(6=$HB16,IF(133=$HJ16,IF($JC16=2,30,0),IF(133=$HK16,IF($JC16=1,30,0),ABS(13-$HC16)*100)),100000+ABS(6-$HB16)*1000+130)),IF($HD16=0,999999,IF(6=$HE16,IF(133=$HL16,IF($JD16=2,30,0),IF(133=$HM16,IF($JD16=1,30,0),ABS(13-$HF16)*100)),100000+ABS(6-$HE16)*1000+130)),IF($HG16=0,999999,IF(6=$HH16,IF(133=$HN16,IF($JE16=2,30,0),IF(133=$HO16,IF($JE16=1,30,0),ABS(13-$HI16)*100)),100000+ABS(6-$HH16)*1000+130)))-IF((133=$HJ16)+(133=$HK16)+(133=$HL16)+(133=$HM16)+(133=$HN16)+(133=$HO16)&gt;=2,50,0))+EF$5*50)</f>
        <v/>
      </c>
      <c r="EG136">
        <f>IF(OR($JF16=0,calcA!$A$6=0),0,IF(OR(134=$HA16,134=$HD16,134=$HG16),200000,MIN(IF($HA16=0,999999,IF(6=$HB16,IF(134=$HJ16,IF($JC16=2,30,0),IF(134=$HK16,IF($JC16=1,30,0),ABS(14-$HC16)*100)),100000+ABS(6-$HB16)*1000+140)),IF($HD16=0,999999,IF(6=$HE16,IF(134=$HL16,IF($JD16=2,30,0),IF(134=$HM16,IF($JD16=1,30,0),ABS(14-$HF16)*100)),100000+ABS(6-$HE16)*1000+140)),IF($HG16=0,999999,IF(6=$HH16,IF(134=$HN16,IF($JE16=2,30,0),IF(134=$HO16,IF($JE16=1,30,0),ABS(14-$HI16)*100)),100000+ABS(6-$HH16)*1000+140)))-IF((134=$HJ16)+(134=$HK16)+(134=$HL16)+(134=$HM16)+(134=$HN16)+(134=$HO16)&gt;=2,50,0))+EG$5*50)</f>
        <v/>
      </c>
      <c r="EH136">
        <f>IF(OR($JF16=0,calcA!$A$6=0),0,IF(OR(135=$HA16,135=$HD16,135=$HG16),200000,MIN(IF($HA16=0,999999,IF(6=$HB16,IF(135=$HJ16,IF($JC16=2,30,0),IF(135=$HK16,IF($JC16=1,30,0),ABS(15-$HC16)*100)),100000+ABS(6-$HB16)*1000+150)),IF($HD16=0,999999,IF(6=$HE16,IF(135=$HL16,IF($JD16=2,30,0),IF(135=$HM16,IF($JD16=1,30,0),ABS(15-$HF16)*100)),100000+ABS(6-$HE16)*1000+150)),IF($HG16=0,999999,IF(6=$HH16,IF(135=$HN16,IF($JE16=2,30,0),IF(135=$HO16,IF($JE16=1,30,0),ABS(15-$HI16)*100)),100000+ABS(6-$HH16)*1000+150)))-IF((135=$HJ16)+(135=$HK16)+(135=$HL16)+(135=$HM16)+(135=$HN16)+(135=$HO16)&gt;=2,50,0))+EH$5*50)</f>
        <v/>
      </c>
      <c r="EI136">
        <f>IF(OR($JF16=0,calcA!$A$6=0),0,IF(OR(136=$HA16,136=$HD16,136=$HG16),200000,MIN(IF($HA16=0,999999,IF(6=$HB16,IF(136=$HJ16,IF($JC16=2,30,0),IF(136=$HK16,IF($JC16=1,30,0),ABS(16-$HC16)*100)),100000+ABS(6-$HB16)*1000+160)),IF($HD16=0,999999,IF(6=$HE16,IF(136=$HL16,IF($JD16=2,30,0),IF(136=$HM16,IF($JD16=1,30,0),ABS(16-$HF16)*100)),100000+ABS(6-$HE16)*1000+160)),IF($HG16=0,999999,IF(6=$HH16,IF(136=$HN16,IF($JE16=2,30,0),IF(136=$HO16,IF($JE16=1,30,0),ABS(16-$HI16)*100)),100000+ABS(6-$HH16)*1000+160)))-IF((136=$HJ16)+(136=$HK16)+(136=$HL16)+(136=$HM16)+(136=$HN16)+(136=$HO16)&gt;=2,50,0))+EI$5*50)</f>
        <v/>
      </c>
      <c r="EJ136">
        <f>IF(OR($JF16=0,calcA!$A$6=0),0,IF(OR(137=$HA16,137=$HD16,137=$HG16),200000,MIN(IF($HA16=0,999999,IF(6=$HB16,IF(137=$HJ16,IF($JC16=2,30,0),IF(137=$HK16,IF($JC16=1,30,0),ABS(17-$HC16)*100)),100000+ABS(6-$HB16)*1000+170)),IF($HD16=0,999999,IF(6=$HE16,IF(137=$HL16,IF($JD16=2,30,0),IF(137=$HM16,IF($JD16=1,30,0),ABS(17-$HF16)*100)),100000+ABS(6-$HE16)*1000+170)),IF($HG16=0,999999,IF(6=$HH16,IF(137=$HN16,IF($JE16=2,30,0),IF(137=$HO16,IF($JE16=1,30,0),ABS(17-$HI16)*100)),100000+ABS(6-$HH16)*1000+170)))-IF((137=$HJ16)+(137=$HK16)+(137=$HL16)+(137=$HM16)+(137=$HN16)+(137=$HO16)&gt;=2,50,0))+EJ$5*50)</f>
        <v/>
      </c>
      <c r="EK136">
        <f>IF(OR($JF16=0,calcA!$A$6=0),0,IF(OR(138=$HA16,138=$HD16,138=$HG16),200000,MIN(IF($HA16=0,999999,IF(6=$HB16,IF(138=$HJ16,IF($JC16=2,30,0),IF(138=$HK16,IF($JC16=1,30,0),ABS(18-$HC16)*100)),100000+ABS(6-$HB16)*1000+180)),IF($HD16=0,999999,IF(6=$HE16,IF(138=$HL16,IF($JD16=2,30,0),IF(138=$HM16,IF($JD16=1,30,0),ABS(18-$HF16)*100)),100000+ABS(6-$HE16)*1000+180)),IF($HG16=0,999999,IF(6=$HH16,IF(138=$HN16,IF($JE16=2,30,0),IF(138=$HO16,IF($JE16=1,30,0),ABS(18-$HI16)*100)),100000+ABS(6-$HH16)*1000+180)))-IF((138=$HJ16)+(138=$HK16)+(138=$HL16)+(138=$HM16)+(138=$HN16)+(138=$HO16)&gt;=2,50,0))+EK$5*50)</f>
        <v/>
      </c>
      <c r="EL136">
        <f>IF(OR($JF16=0,calcA!$A$6=0),0,IF(OR(139=$HA16,139=$HD16,139=$HG16),200000,MIN(IF($HA16=0,999999,IF(6=$HB16,IF(139=$HJ16,IF($JC16=2,30,0),IF(139=$HK16,IF($JC16=1,30,0),ABS(19-$HC16)*100)),100000+ABS(6-$HB16)*1000+190)),IF($HD16=0,999999,IF(6=$HE16,IF(139=$HL16,IF($JD16=2,30,0),IF(139=$HM16,IF($JD16=1,30,0),ABS(19-$HF16)*100)),100000+ABS(6-$HE16)*1000+190)),IF($HG16=0,999999,IF(6=$HH16,IF(139=$HN16,IF($JE16=2,30,0),IF(139=$HO16,IF($JE16=1,30,0),ABS(19-$HI16)*100)),100000+ABS(6-$HH16)*1000+190)))-IF((139=$HJ16)+(139=$HK16)+(139=$HL16)+(139=$HM16)+(139=$HN16)+(139=$HO16)&gt;=2,50,0))+EL$5*50)</f>
        <v/>
      </c>
      <c r="EM136">
        <f>IF(OR($JF16=0,calcA!$A$6=0),0,IF(OR(140=$HA16,140=$HD16,140=$HG16),200000,MIN(IF($HA16=0,999999,IF(6=$HB16,IF(140=$HJ16,IF($JC16=2,30,0),IF(140=$HK16,IF($JC16=1,30,0),ABS(20-$HC16)*100)),100000+ABS(6-$HB16)*1000+200)),IF($HD16=0,999999,IF(6=$HE16,IF(140=$HL16,IF($JD16=2,30,0),IF(140=$HM16,IF($JD16=1,30,0),ABS(20-$HF16)*100)),100000+ABS(6-$HE16)*1000+200)),IF($HG16=0,999999,IF(6=$HH16,IF(140=$HN16,IF($JE16=2,30,0),IF(140=$HO16,IF($JE16=1,30,0),ABS(20-$HI16)*100)),100000+ABS(6-$HH16)*1000+200)))-IF((140=$HJ16)+(140=$HK16)+(140=$HL16)+(140=$HM16)+(140=$HN16)+(140=$HO16)&gt;=2,50,0))+EM$5*50)</f>
        <v/>
      </c>
      <c r="EN136">
        <f>IF(OR($JF16=0,calcA!$A$6=0),0,IF(OR(141=$HA16,141=$HD16,141=$HG16),200000,MIN(IF($HA16=0,999999,IF(6=$HB16,IF(141=$HJ16,IF($JC16=2,30,0),IF(141=$HK16,IF($JC16=1,30,0),ABS(21-$HC16)*100)),100000+ABS(6-$HB16)*1000+210)),IF($HD16=0,999999,IF(6=$HE16,IF(141=$HL16,IF($JD16=2,30,0),IF(141=$HM16,IF($JD16=1,30,0),ABS(21-$HF16)*100)),100000+ABS(6-$HE16)*1000+210)),IF($HG16=0,999999,IF(6=$HH16,IF(141=$HN16,IF($JE16=2,30,0),IF(141=$HO16,IF($JE16=1,30,0),ABS(21-$HI16)*100)),100000+ABS(6-$HH16)*1000+210)))-IF((141=$HJ16)+(141=$HK16)+(141=$HL16)+(141=$HM16)+(141=$HN16)+(141=$HO16)&gt;=2,50,0))+EN$5*50)</f>
        <v/>
      </c>
      <c r="EO136">
        <f>IF(OR($JF16=0,calcA!$A$6=0),0,IF(OR(142=$HA16,142=$HD16,142=$HG16),200000,MIN(IF($HA16=0,999999,IF(6=$HB16,IF(142=$HJ16,IF($JC16=2,30,0),IF(142=$HK16,IF($JC16=1,30,0),ABS(22-$HC16)*100)),100000+ABS(6-$HB16)*1000+220)),IF($HD16=0,999999,IF(6=$HE16,IF(142=$HL16,IF($JD16=2,30,0),IF(142=$HM16,IF($JD16=1,30,0),ABS(22-$HF16)*100)),100000+ABS(6-$HE16)*1000+220)),IF($HG16=0,999999,IF(6=$HH16,IF(142=$HN16,IF($JE16=2,30,0),IF(142=$HO16,IF($JE16=1,30,0),ABS(22-$HI16)*100)),100000+ABS(6-$HH16)*1000+220)))-IF((142=$HJ16)+(142=$HK16)+(142=$HL16)+(142=$HM16)+(142=$HN16)+(142=$HO16)&gt;=2,50,0))+EO$5*50)</f>
        <v/>
      </c>
      <c r="EP136">
        <f>IF(OR($JF16=0,calcA!$A$6=0),0,IF(OR(143=$HA16,143=$HD16,143=$HG16),200000,MIN(IF($HA16=0,999999,IF(6=$HB16,IF(143=$HJ16,IF($JC16=2,30,0),IF(143=$HK16,IF($JC16=1,30,0),ABS(23-$HC16)*100)),100000+ABS(6-$HB16)*1000+230)),IF($HD16=0,999999,IF(6=$HE16,IF(143=$HL16,IF($JD16=2,30,0),IF(143=$HM16,IF($JD16=1,30,0),ABS(23-$HF16)*100)),100000+ABS(6-$HE16)*1000+230)),IF($HG16=0,999999,IF(6=$HH16,IF(143=$HN16,IF($JE16=2,30,0),IF(143=$HO16,IF($JE16=1,30,0),ABS(23-$HI16)*100)),100000+ABS(6-$HH16)*1000+230)))-IF((143=$HJ16)+(143=$HK16)+(143=$HL16)+(143=$HM16)+(143=$HN16)+(143=$HO16)&gt;=2,50,0))+EP$5*50)</f>
        <v/>
      </c>
      <c r="EQ136">
        <f>IF(OR($JF16=0,calcA!$A$6=0),0,IF(OR(144=$HA16,144=$HD16,144=$HG16),200000,MIN(IF($HA16=0,999999,IF(6=$HB16,IF(144=$HJ16,IF($JC16=2,30,0),IF(144=$HK16,IF($JC16=1,30,0),ABS(24-$HC16)*100)),100000+ABS(6-$HB16)*1000+240)),IF($HD16=0,999999,IF(6=$HE16,IF(144=$HL16,IF($JD16=2,30,0),IF(144=$HM16,IF($JD16=1,30,0),ABS(24-$HF16)*100)),100000+ABS(6-$HE16)*1000+240)),IF($HG16=0,999999,IF(6=$HH16,IF(144=$HN16,IF($JE16=2,30,0),IF(144=$HO16,IF($JE16=1,30,0),ABS(24-$HI16)*100)),100000+ABS(6-$HH16)*1000+240)))-IF((144=$HJ16)+(144=$HK16)+(144=$HL16)+(144=$HM16)+(144=$HN16)+(144=$HO16)&gt;=2,50,0))+EQ$5*50)</f>
        <v/>
      </c>
    </row>
    <row r="137">
      <c r="D137">
        <f>IF(OR($JF17=0,calcA!$A$6=0),0,IF(OR(1=$HA17,1=$HD17,1=$HG17),200000,MIN(IF($HA17=0,999999,IF(1=$HB17,IF(1=$HJ17,IF($JC17=2,30,0),IF(1=$HK17,IF($JC17=1,30,0),ABS(1-$HC17)*100)),100000+ABS(1-$HB17)*1000+10)),IF($HD17=0,999999,IF(1=$HE17,IF(1=$HL17,IF($JD17=2,30,0),IF(1=$HM17,IF($JD17=1,30,0),ABS(1-$HF17)*100)),100000+ABS(1-$HE17)*1000+10)),IF($HG17=0,999999,IF(1=$HH17,IF(1=$HN17,IF($JE17=2,30,0),IF(1=$HO17,IF($JE17=1,30,0),ABS(1-$HI17)*100)),100000+ABS(1-$HH17)*1000+10)))-IF((1=$HJ17)+(1=$HK17)+(1=$HL17)+(1=$HM17)+(1=$HN17)+(1=$HO17)&gt;=2,50,0))+D$5*50)</f>
        <v/>
      </c>
      <c r="E137">
        <f>IF(OR($JF17=0,calcA!$A$6=0),0,IF(OR(2=$HA17,2=$HD17,2=$HG17),200000,MIN(IF($HA17=0,999999,IF(1=$HB17,IF(2=$HJ17,IF($JC17=2,30,0),IF(2=$HK17,IF($JC17=1,30,0),ABS(2-$HC17)*100)),100000+ABS(1-$HB17)*1000+20)),IF($HD17=0,999999,IF(1=$HE17,IF(2=$HL17,IF($JD17=2,30,0),IF(2=$HM17,IF($JD17=1,30,0),ABS(2-$HF17)*100)),100000+ABS(1-$HE17)*1000+20)),IF($HG17=0,999999,IF(1=$HH17,IF(2=$HN17,IF($JE17=2,30,0),IF(2=$HO17,IF($JE17=1,30,0),ABS(2-$HI17)*100)),100000+ABS(1-$HH17)*1000+20)))-IF((2=$HJ17)+(2=$HK17)+(2=$HL17)+(2=$HM17)+(2=$HN17)+(2=$HO17)&gt;=2,50,0))+E$5*50)</f>
        <v/>
      </c>
      <c r="F137">
        <f>IF(OR($JF17=0,calcA!$A$6=0),0,IF(OR(3=$HA17,3=$HD17,3=$HG17),200000,MIN(IF($HA17=0,999999,IF(1=$HB17,IF(3=$HJ17,IF($JC17=2,30,0),IF(3=$HK17,IF($JC17=1,30,0),ABS(3-$HC17)*100)),100000+ABS(1-$HB17)*1000+30)),IF($HD17=0,999999,IF(1=$HE17,IF(3=$HL17,IF($JD17=2,30,0),IF(3=$HM17,IF($JD17=1,30,0),ABS(3-$HF17)*100)),100000+ABS(1-$HE17)*1000+30)),IF($HG17=0,999999,IF(1=$HH17,IF(3=$HN17,IF($JE17=2,30,0),IF(3=$HO17,IF($JE17=1,30,0),ABS(3-$HI17)*100)),100000+ABS(1-$HH17)*1000+30)))-IF((3=$HJ17)+(3=$HK17)+(3=$HL17)+(3=$HM17)+(3=$HN17)+(3=$HO17)&gt;=2,50,0))+F$5*50)</f>
        <v/>
      </c>
      <c r="G137">
        <f>IF(OR($JF17=0,calcA!$A$6=0),0,IF(OR(4=$HA17,4=$HD17,4=$HG17),200000,MIN(IF($HA17=0,999999,IF(1=$HB17,IF(4=$HJ17,IF($JC17=2,30,0),IF(4=$HK17,IF($JC17=1,30,0),ABS(4-$HC17)*100)),100000+ABS(1-$HB17)*1000+40)),IF($HD17=0,999999,IF(1=$HE17,IF(4=$HL17,IF($JD17=2,30,0),IF(4=$HM17,IF($JD17=1,30,0),ABS(4-$HF17)*100)),100000+ABS(1-$HE17)*1000+40)),IF($HG17=0,999999,IF(1=$HH17,IF(4=$HN17,IF($JE17=2,30,0),IF(4=$HO17,IF($JE17=1,30,0),ABS(4-$HI17)*100)),100000+ABS(1-$HH17)*1000+40)))-IF((4=$HJ17)+(4=$HK17)+(4=$HL17)+(4=$HM17)+(4=$HN17)+(4=$HO17)&gt;=2,50,0))+G$5*50)</f>
        <v/>
      </c>
      <c r="H137">
        <f>IF(OR($JF17=0,calcA!$A$6=0),0,IF(OR(5=$HA17,5=$HD17,5=$HG17),200000,MIN(IF($HA17=0,999999,IF(1=$HB17,IF(5=$HJ17,IF($JC17=2,30,0),IF(5=$HK17,IF($JC17=1,30,0),ABS(5-$HC17)*100)),100000+ABS(1-$HB17)*1000+50)),IF($HD17=0,999999,IF(1=$HE17,IF(5=$HL17,IF($JD17=2,30,0),IF(5=$HM17,IF($JD17=1,30,0),ABS(5-$HF17)*100)),100000+ABS(1-$HE17)*1000+50)),IF($HG17=0,999999,IF(1=$HH17,IF(5=$HN17,IF($JE17=2,30,0),IF(5=$HO17,IF($JE17=1,30,0),ABS(5-$HI17)*100)),100000+ABS(1-$HH17)*1000+50)))-IF((5=$HJ17)+(5=$HK17)+(5=$HL17)+(5=$HM17)+(5=$HN17)+(5=$HO17)&gt;=2,50,0))+H$5*50)</f>
        <v/>
      </c>
      <c r="I137">
        <f>IF(OR($JF17=0,calcA!$A$6=0),0,IF(OR(6=$HA17,6=$HD17,6=$HG17),200000,MIN(IF($HA17=0,999999,IF(1=$HB17,IF(6=$HJ17,IF($JC17=2,30,0),IF(6=$HK17,IF($JC17=1,30,0),ABS(6-$HC17)*100)),100000+ABS(1-$HB17)*1000+60)),IF($HD17=0,999999,IF(1=$HE17,IF(6=$HL17,IF($JD17=2,30,0),IF(6=$HM17,IF($JD17=1,30,0),ABS(6-$HF17)*100)),100000+ABS(1-$HE17)*1000+60)),IF($HG17=0,999999,IF(1=$HH17,IF(6=$HN17,IF($JE17=2,30,0),IF(6=$HO17,IF($JE17=1,30,0),ABS(6-$HI17)*100)),100000+ABS(1-$HH17)*1000+60)))-IF((6=$HJ17)+(6=$HK17)+(6=$HL17)+(6=$HM17)+(6=$HN17)+(6=$HO17)&gt;=2,50,0))+I$5*50)</f>
        <v/>
      </c>
      <c r="J137">
        <f>IF(OR($JF17=0,calcA!$A$6=0),0,IF(OR(7=$HA17,7=$HD17,7=$HG17),200000,MIN(IF($HA17=0,999999,IF(1=$HB17,IF(7=$HJ17,IF($JC17=2,30,0),IF(7=$HK17,IF($JC17=1,30,0),ABS(7-$HC17)*100)),100000+ABS(1-$HB17)*1000+70)),IF($HD17=0,999999,IF(1=$HE17,IF(7=$HL17,IF($JD17=2,30,0),IF(7=$HM17,IF($JD17=1,30,0),ABS(7-$HF17)*100)),100000+ABS(1-$HE17)*1000+70)),IF($HG17=0,999999,IF(1=$HH17,IF(7=$HN17,IF($JE17=2,30,0),IF(7=$HO17,IF($JE17=1,30,0),ABS(7-$HI17)*100)),100000+ABS(1-$HH17)*1000+70)))-IF((7=$HJ17)+(7=$HK17)+(7=$HL17)+(7=$HM17)+(7=$HN17)+(7=$HO17)&gt;=2,50,0))+J$5*50)</f>
        <v/>
      </c>
      <c r="K137">
        <f>IF(OR($JF17=0,calcA!$A$6=0),0,IF(OR(8=$HA17,8=$HD17,8=$HG17),200000,MIN(IF($HA17=0,999999,IF(1=$HB17,IF(8=$HJ17,IF($JC17=2,30,0),IF(8=$HK17,IF($JC17=1,30,0),ABS(8-$HC17)*100)),100000+ABS(1-$HB17)*1000+80)),IF($HD17=0,999999,IF(1=$HE17,IF(8=$HL17,IF($JD17=2,30,0),IF(8=$HM17,IF($JD17=1,30,0),ABS(8-$HF17)*100)),100000+ABS(1-$HE17)*1000+80)),IF($HG17=0,999999,IF(1=$HH17,IF(8=$HN17,IF($JE17=2,30,0),IF(8=$HO17,IF($JE17=1,30,0),ABS(8-$HI17)*100)),100000+ABS(1-$HH17)*1000+80)))-IF((8=$HJ17)+(8=$HK17)+(8=$HL17)+(8=$HM17)+(8=$HN17)+(8=$HO17)&gt;=2,50,0))+K$5*50)</f>
        <v/>
      </c>
      <c r="L137">
        <f>IF(OR($JF17=0,calcA!$A$6=0),0,IF(OR(9=$HA17,9=$HD17,9=$HG17),200000,MIN(IF($HA17=0,999999,IF(1=$HB17,IF(9=$HJ17,IF($JC17=2,30,0),IF(9=$HK17,IF($JC17=1,30,0),ABS(9-$HC17)*100)),100000+ABS(1-$HB17)*1000+90)),IF($HD17=0,999999,IF(1=$HE17,IF(9=$HL17,IF($JD17=2,30,0),IF(9=$HM17,IF($JD17=1,30,0),ABS(9-$HF17)*100)),100000+ABS(1-$HE17)*1000+90)),IF($HG17=0,999999,IF(1=$HH17,IF(9=$HN17,IF($JE17=2,30,0),IF(9=$HO17,IF($JE17=1,30,0),ABS(9-$HI17)*100)),100000+ABS(1-$HH17)*1000+90)))-IF((9=$HJ17)+(9=$HK17)+(9=$HL17)+(9=$HM17)+(9=$HN17)+(9=$HO17)&gt;=2,50,0))+L$5*50)</f>
        <v/>
      </c>
      <c r="M137">
        <f>IF(OR($JF17=0,calcA!$A$6=0),0,IF(OR(10=$HA17,10=$HD17,10=$HG17),200000,MIN(IF($HA17=0,999999,IF(1=$HB17,IF(10=$HJ17,IF($JC17=2,30,0),IF(10=$HK17,IF($JC17=1,30,0),ABS(10-$HC17)*100)),100000+ABS(1-$HB17)*1000+100)),IF($HD17=0,999999,IF(1=$HE17,IF(10=$HL17,IF($JD17=2,30,0),IF(10=$HM17,IF($JD17=1,30,0),ABS(10-$HF17)*100)),100000+ABS(1-$HE17)*1000+100)),IF($HG17=0,999999,IF(1=$HH17,IF(10=$HN17,IF($JE17=2,30,0),IF(10=$HO17,IF($JE17=1,30,0),ABS(10-$HI17)*100)),100000+ABS(1-$HH17)*1000+100)))-IF((10=$HJ17)+(10=$HK17)+(10=$HL17)+(10=$HM17)+(10=$HN17)+(10=$HO17)&gt;=2,50,0))+M$5*50)</f>
        <v/>
      </c>
      <c r="N137">
        <f>IF(OR($JF17=0,calcA!$A$6=0),0,IF(OR(11=$HA17,11=$HD17,11=$HG17),200000,MIN(IF($HA17=0,999999,IF(1=$HB17,IF(11=$HJ17,IF($JC17=2,30,0),IF(11=$HK17,IF($JC17=1,30,0),ABS(11-$HC17)*100)),100000+ABS(1-$HB17)*1000+110)),IF($HD17=0,999999,IF(1=$HE17,IF(11=$HL17,IF($JD17=2,30,0),IF(11=$HM17,IF($JD17=1,30,0),ABS(11-$HF17)*100)),100000+ABS(1-$HE17)*1000+110)),IF($HG17=0,999999,IF(1=$HH17,IF(11=$HN17,IF($JE17=2,30,0),IF(11=$HO17,IF($JE17=1,30,0),ABS(11-$HI17)*100)),100000+ABS(1-$HH17)*1000+110)))-IF((11=$HJ17)+(11=$HK17)+(11=$HL17)+(11=$HM17)+(11=$HN17)+(11=$HO17)&gt;=2,50,0))+N$5*50)</f>
        <v/>
      </c>
      <c r="O137">
        <f>IF(OR($JF17=0,calcA!$A$6=0),0,IF(OR(12=$HA17,12=$HD17,12=$HG17),200000,MIN(IF($HA17=0,999999,IF(1=$HB17,IF(12=$HJ17,IF($JC17=2,30,0),IF(12=$HK17,IF($JC17=1,30,0),ABS(12-$HC17)*100)),100000+ABS(1-$HB17)*1000+120)),IF($HD17=0,999999,IF(1=$HE17,IF(12=$HL17,IF($JD17=2,30,0),IF(12=$HM17,IF($JD17=1,30,0),ABS(12-$HF17)*100)),100000+ABS(1-$HE17)*1000+120)),IF($HG17=0,999999,IF(1=$HH17,IF(12=$HN17,IF($JE17=2,30,0),IF(12=$HO17,IF($JE17=1,30,0),ABS(12-$HI17)*100)),100000+ABS(1-$HH17)*1000+120)))-IF((12=$HJ17)+(12=$HK17)+(12=$HL17)+(12=$HM17)+(12=$HN17)+(12=$HO17)&gt;=2,50,0))+O$5*50)</f>
        <v/>
      </c>
      <c r="P137">
        <f>IF(OR($JF17=0,calcA!$A$6=0),0,IF(OR(13=$HA17,13=$HD17,13=$HG17),200000,MIN(IF($HA17=0,999999,IF(1=$HB17,IF(13=$HJ17,IF($JC17=2,30,0),IF(13=$HK17,IF($JC17=1,30,0),ABS(13-$HC17)*100)),100000+ABS(1-$HB17)*1000+130)),IF($HD17=0,999999,IF(1=$HE17,IF(13=$HL17,IF($JD17=2,30,0),IF(13=$HM17,IF($JD17=1,30,0),ABS(13-$HF17)*100)),100000+ABS(1-$HE17)*1000+130)),IF($HG17=0,999999,IF(1=$HH17,IF(13=$HN17,IF($JE17=2,30,0),IF(13=$HO17,IF($JE17=1,30,0),ABS(13-$HI17)*100)),100000+ABS(1-$HH17)*1000+130)))-IF((13=$HJ17)+(13=$HK17)+(13=$HL17)+(13=$HM17)+(13=$HN17)+(13=$HO17)&gt;=2,50,0))+P$5*50)</f>
        <v/>
      </c>
      <c r="Q137">
        <f>IF(OR($JF17=0,calcA!$A$6=0),0,IF(OR(14=$HA17,14=$HD17,14=$HG17),200000,MIN(IF($HA17=0,999999,IF(1=$HB17,IF(14=$HJ17,IF($JC17=2,30,0),IF(14=$HK17,IF($JC17=1,30,0),ABS(14-$HC17)*100)),100000+ABS(1-$HB17)*1000+140)),IF($HD17=0,999999,IF(1=$HE17,IF(14=$HL17,IF($JD17=2,30,0),IF(14=$HM17,IF($JD17=1,30,0),ABS(14-$HF17)*100)),100000+ABS(1-$HE17)*1000+140)),IF($HG17=0,999999,IF(1=$HH17,IF(14=$HN17,IF($JE17=2,30,0),IF(14=$HO17,IF($JE17=1,30,0),ABS(14-$HI17)*100)),100000+ABS(1-$HH17)*1000+140)))-IF((14=$HJ17)+(14=$HK17)+(14=$HL17)+(14=$HM17)+(14=$HN17)+(14=$HO17)&gt;=2,50,0))+Q$5*50)</f>
        <v/>
      </c>
      <c r="R137">
        <f>IF(OR($JF17=0,calcA!$A$6=0),0,IF(OR(15=$HA17,15=$HD17,15=$HG17),200000,MIN(IF($HA17=0,999999,IF(1=$HB17,IF(15=$HJ17,IF($JC17=2,30,0),IF(15=$HK17,IF($JC17=1,30,0),ABS(15-$HC17)*100)),100000+ABS(1-$HB17)*1000+150)),IF($HD17=0,999999,IF(1=$HE17,IF(15=$HL17,IF($JD17=2,30,0),IF(15=$HM17,IF($JD17=1,30,0),ABS(15-$HF17)*100)),100000+ABS(1-$HE17)*1000+150)),IF($HG17=0,999999,IF(1=$HH17,IF(15=$HN17,IF($JE17=2,30,0),IF(15=$HO17,IF($JE17=1,30,0),ABS(15-$HI17)*100)),100000+ABS(1-$HH17)*1000+150)))-IF((15=$HJ17)+(15=$HK17)+(15=$HL17)+(15=$HM17)+(15=$HN17)+(15=$HO17)&gt;=2,50,0))+R$5*50)</f>
        <v/>
      </c>
      <c r="S137">
        <f>IF(OR($JF17=0,calcA!$A$6=0),0,IF(OR(16=$HA17,16=$HD17,16=$HG17),200000,MIN(IF($HA17=0,999999,IF(1=$HB17,IF(16=$HJ17,IF($JC17=2,30,0),IF(16=$HK17,IF($JC17=1,30,0),ABS(16-$HC17)*100)),100000+ABS(1-$HB17)*1000+160)),IF($HD17=0,999999,IF(1=$HE17,IF(16=$HL17,IF($JD17=2,30,0),IF(16=$HM17,IF($JD17=1,30,0),ABS(16-$HF17)*100)),100000+ABS(1-$HE17)*1000+160)),IF($HG17=0,999999,IF(1=$HH17,IF(16=$HN17,IF($JE17=2,30,0),IF(16=$HO17,IF($JE17=1,30,0),ABS(16-$HI17)*100)),100000+ABS(1-$HH17)*1000+160)))-IF((16=$HJ17)+(16=$HK17)+(16=$HL17)+(16=$HM17)+(16=$HN17)+(16=$HO17)&gt;=2,50,0))+S$5*50)</f>
        <v/>
      </c>
      <c r="T137">
        <f>IF(OR($JF17=0,calcA!$A$6=0),0,IF(OR(17=$HA17,17=$HD17,17=$HG17),200000,MIN(IF($HA17=0,999999,IF(1=$HB17,IF(17=$HJ17,IF($JC17=2,30,0),IF(17=$HK17,IF($JC17=1,30,0),ABS(17-$HC17)*100)),100000+ABS(1-$HB17)*1000+170)),IF($HD17=0,999999,IF(1=$HE17,IF(17=$HL17,IF($JD17=2,30,0),IF(17=$HM17,IF($JD17=1,30,0),ABS(17-$HF17)*100)),100000+ABS(1-$HE17)*1000+170)),IF($HG17=0,999999,IF(1=$HH17,IF(17=$HN17,IF($JE17=2,30,0),IF(17=$HO17,IF($JE17=1,30,0),ABS(17-$HI17)*100)),100000+ABS(1-$HH17)*1000+170)))-IF((17=$HJ17)+(17=$HK17)+(17=$HL17)+(17=$HM17)+(17=$HN17)+(17=$HO17)&gt;=2,50,0))+T$5*50)</f>
        <v/>
      </c>
      <c r="U137">
        <f>IF(OR($JF17=0,calcA!$A$6=0),0,IF(OR(18=$HA17,18=$HD17,18=$HG17),200000,MIN(IF($HA17=0,999999,IF(1=$HB17,IF(18=$HJ17,IF($JC17=2,30,0),IF(18=$HK17,IF($JC17=1,30,0),ABS(18-$HC17)*100)),100000+ABS(1-$HB17)*1000+180)),IF($HD17=0,999999,IF(1=$HE17,IF(18=$HL17,IF($JD17=2,30,0),IF(18=$HM17,IF($JD17=1,30,0),ABS(18-$HF17)*100)),100000+ABS(1-$HE17)*1000+180)),IF($HG17=0,999999,IF(1=$HH17,IF(18=$HN17,IF($JE17=2,30,0),IF(18=$HO17,IF($JE17=1,30,0),ABS(18-$HI17)*100)),100000+ABS(1-$HH17)*1000+180)))-IF((18=$HJ17)+(18=$HK17)+(18=$HL17)+(18=$HM17)+(18=$HN17)+(18=$HO17)&gt;=2,50,0))+U$5*50)</f>
        <v/>
      </c>
      <c r="V137">
        <f>IF(OR($JF17=0,calcA!$A$6=0),0,IF(OR(19=$HA17,19=$HD17,19=$HG17),200000,MIN(IF($HA17=0,999999,IF(1=$HB17,IF(19=$HJ17,IF($JC17=2,30,0),IF(19=$HK17,IF($JC17=1,30,0),ABS(19-$HC17)*100)),100000+ABS(1-$HB17)*1000+190)),IF($HD17=0,999999,IF(1=$HE17,IF(19=$HL17,IF($JD17=2,30,0),IF(19=$HM17,IF($JD17=1,30,0),ABS(19-$HF17)*100)),100000+ABS(1-$HE17)*1000+190)),IF($HG17=0,999999,IF(1=$HH17,IF(19=$HN17,IF($JE17=2,30,0),IF(19=$HO17,IF($JE17=1,30,0),ABS(19-$HI17)*100)),100000+ABS(1-$HH17)*1000+190)))-IF((19=$HJ17)+(19=$HK17)+(19=$HL17)+(19=$HM17)+(19=$HN17)+(19=$HO17)&gt;=2,50,0))+V$5*50)</f>
        <v/>
      </c>
      <c r="W137">
        <f>IF(OR($JF17=0,calcA!$A$6=0),0,IF(OR(20=$HA17,20=$HD17,20=$HG17),200000,MIN(IF($HA17=0,999999,IF(1=$HB17,IF(20=$HJ17,IF($JC17=2,30,0),IF(20=$HK17,IF($JC17=1,30,0),ABS(20-$HC17)*100)),100000+ABS(1-$HB17)*1000+200)),IF($HD17=0,999999,IF(1=$HE17,IF(20=$HL17,IF($JD17=2,30,0),IF(20=$HM17,IF($JD17=1,30,0),ABS(20-$HF17)*100)),100000+ABS(1-$HE17)*1000+200)),IF($HG17=0,999999,IF(1=$HH17,IF(20=$HN17,IF($JE17=2,30,0),IF(20=$HO17,IF($JE17=1,30,0),ABS(20-$HI17)*100)),100000+ABS(1-$HH17)*1000+200)))-IF((20=$HJ17)+(20=$HK17)+(20=$HL17)+(20=$HM17)+(20=$HN17)+(20=$HO17)&gt;=2,50,0))+W$5*50)</f>
        <v/>
      </c>
      <c r="X137">
        <f>IF(OR($JF17=0,calcA!$A$6=0),0,IF(OR(21=$HA17,21=$HD17,21=$HG17),200000,MIN(IF($HA17=0,999999,IF(1=$HB17,IF(21=$HJ17,IF($JC17=2,30,0),IF(21=$HK17,IF($JC17=1,30,0),ABS(21-$HC17)*100)),100000+ABS(1-$HB17)*1000+210)),IF($HD17=0,999999,IF(1=$HE17,IF(21=$HL17,IF($JD17=2,30,0),IF(21=$HM17,IF($JD17=1,30,0),ABS(21-$HF17)*100)),100000+ABS(1-$HE17)*1000+210)),IF($HG17=0,999999,IF(1=$HH17,IF(21=$HN17,IF($JE17=2,30,0),IF(21=$HO17,IF($JE17=1,30,0),ABS(21-$HI17)*100)),100000+ABS(1-$HH17)*1000+210)))-IF((21=$HJ17)+(21=$HK17)+(21=$HL17)+(21=$HM17)+(21=$HN17)+(21=$HO17)&gt;=2,50,0))+X$5*50)</f>
        <v/>
      </c>
      <c r="Y137">
        <f>IF(OR($JF17=0,calcA!$A$6=0),0,IF(OR(22=$HA17,22=$HD17,22=$HG17),200000,MIN(IF($HA17=0,999999,IF(1=$HB17,IF(22=$HJ17,IF($JC17=2,30,0),IF(22=$HK17,IF($JC17=1,30,0),ABS(22-$HC17)*100)),100000+ABS(1-$HB17)*1000+220)),IF($HD17=0,999999,IF(1=$HE17,IF(22=$HL17,IF($JD17=2,30,0),IF(22=$HM17,IF($JD17=1,30,0),ABS(22-$HF17)*100)),100000+ABS(1-$HE17)*1000+220)),IF($HG17=0,999999,IF(1=$HH17,IF(22=$HN17,IF($JE17=2,30,0),IF(22=$HO17,IF($JE17=1,30,0),ABS(22-$HI17)*100)),100000+ABS(1-$HH17)*1000+220)))-IF((22=$HJ17)+(22=$HK17)+(22=$HL17)+(22=$HM17)+(22=$HN17)+(22=$HO17)&gt;=2,50,0))+Y$5*50)</f>
        <v/>
      </c>
      <c r="Z137">
        <f>IF(OR($JF17=0,calcA!$A$6=0),0,IF(OR(23=$HA17,23=$HD17,23=$HG17),200000,MIN(IF($HA17=0,999999,IF(1=$HB17,IF(23=$HJ17,IF($JC17=2,30,0),IF(23=$HK17,IF($JC17=1,30,0),ABS(23-$HC17)*100)),100000+ABS(1-$HB17)*1000+230)),IF($HD17=0,999999,IF(1=$HE17,IF(23=$HL17,IF($JD17=2,30,0),IF(23=$HM17,IF($JD17=1,30,0),ABS(23-$HF17)*100)),100000+ABS(1-$HE17)*1000+230)),IF($HG17=0,999999,IF(1=$HH17,IF(23=$HN17,IF($JE17=2,30,0),IF(23=$HO17,IF($JE17=1,30,0),ABS(23-$HI17)*100)),100000+ABS(1-$HH17)*1000+230)))-IF((23=$HJ17)+(23=$HK17)+(23=$HL17)+(23=$HM17)+(23=$HN17)+(23=$HO17)&gt;=2,50,0))+Z$5*50)</f>
        <v/>
      </c>
      <c r="AA137">
        <f>IF(OR($JF17=0,calcA!$A$6=0),0,IF(OR(24=$HA17,24=$HD17,24=$HG17),200000,MIN(IF($HA17=0,999999,IF(1=$HB17,IF(24=$HJ17,IF($JC17=2,30,0),IF(24=$HK17,IF($JC17=1,30,0),ABS(24-$HC17)*100)),100000+ABS(1-$HB17)*1000+240)),IF($HD17=0,999999,IF(1=$HE17,IF(24=$HL17,IF($JD17=2,30,0),IF(24=$HM17,IF($JD17=1,30,0),ABS(24-$HF17)*100)),100000+ABS(1-$HE17)*1000+240)),IF($HG17=0,999999,IF(1=$HH17,IF(24=$HN17,IF($JE17=2,30,0),IF(24=$HO17,IF($JE17=1,30,0),ABS(24-$HI17)*100)),100000+ABS(1-$HH17)*1000+240)))-IF((24=$HJ17)+(24=$HK17)+(24=$HL17)+(24=$HM17)+(24=$HN17)+(24=$HO17)&gt;=2,50,0))+AA$5*50)</f>
        <v/>
      </c>
      <c r="AB137">
        <f>IF(OR($JF17=0,calcA!$A$6=0),0,IF(OR(25=$HA17,25=$HD17,25=$HG17),200000,MIN(IF($HA17=0,999999,IF(2=$HB17,IF(25=$HJ17,IF($JC17=2,30,0),IF(25=$HK17,IF($JC17=1,30,0),ABS(1-$HC17)*100)),100000+ABS(2-$HB17)*1000+10)),IF($HD17=0,999999,IF(2=$HE17,IF(25=$HL17,IF($JD17=2,30,0),IF(25=$HM17,IF($JD17=1,30,0),ABS(1-$HF17)*100)),100000+ABS(2-$HE17)*1000+10)),IF($HG17=0,999999,IF(2=$HH17,IF(25=$HN17,IF($JE17=2,30,0),IF(25=$HO17,IF($JE17=1,30,0),ABS(1-$HI17)*100)),100000+ABS(2-$HH17)*1000+10)))-IF((25=$HJ17)+(25=$HK17)+(25=$HL17)+(25=$HM17)+(25=$HN17)+(25=$HO17)&gt;=2,50,0))+AB$5*50)</f>
        <v/>
      </c>
      <c r="AC137">
        <f>IF(OR($JF17=0,calcA!$A$6=0),0,IF(OR(26=$HA17,26=$HD17,26=$HG17),200000,MIN(IF($HA17=0,999999,IF(2=$HB17,IF(26=$HJ17,IF($JC17=2,30,0),IF(26=$HK17,IF($JC17=1,30,0),ABS(2-$HC17)*100)),100000+ABS(2-$HB17)*1000+20)),IF($HD17=0,999999,IF(2=$HE17,IF(26=$HL17,IF($JD17=2,30,0),IF(26=$HM17,IF($JD17=1,30,0),ABS(2-$HF17)*100)),100000+ABS(2-$HE17)*1000+20)),IF($HG17=0,999999,IF(2=$HH17,IF(26=$HN17,IF($JE17=2,30,0),IF(26=$HO17,IF($JE17=1,30,0),ABS(2-$HI17)*100)),100000+ABS(2-$HH17)*1000+20)))-IF((26=$HJ17)+(26=$HK17)+(26=$HL17)+(26=$HM17)+(26=$HN17)+(26=$HO17)&gt;=2,50,0))+AC$5*50)</f>
        <v/>
      </c>
      <c r="AD137">
        <f>IF(OR($JF17=0,calcA!$A$6=0),0,IF(OR(27=$HA17,27=$HD17,27=$HG17),200000,MIN(IF($HA17=0,999999,IF(2=$HB17,IF(27=$HJ17,IF($JC17=2,30,0),IF(27=$HK17,IF($JC17=1,30,0),ABS(3-$HC17)*100)),100000+ABS(2-$HB17)*1000+30)),IF($HD17=0,999999,IF(2=$HE17,IF(27=$HL17,IF($JD17=2,30,0),IF(27=$HM17,IF($JD17=1,30,0),ABS(3-$HF17)*100)),100000+ABS(2-$HE17)*1000+30)),IF($HG17=0,999999,IF(2=$HH17,IF(27=$HN17,IF($JE17=2,30,0),IF(27=$HO17,IF($JE17=1,30,0),ABS(3-$HI17)*100)),100000+ABS(2-$HH17)*1000+30)))-IF((27=$HJ17)+(27=$HK17)+(27=$HL17)+(27=$HM17)+(27=$HN17)+(27=$HO17)&gt;=2,50,0))+AD$5*50)</f>
        <v/>
      </c>
      <c r="AE137">
        <f>IF(OR($JF17=0,calcA!$A$6=0),0,IF(OR(28=$HA17,28=$HD17,28=$HG17),200000,MIN(IF($HA17=0,999999,IF(2=$HB17,IF(28=$HJ17,IF($JC17=2,30,0),IF(28=$HK17,IF($JC17=1,30,0),ABS(4-$HC17)*100)),100000+ABS(2-$HB17)*1000+40)),IF($HD17=0,999999,IF(2=$HE17,IF(28=$HL17,IF($JD17=2,30,0),IF(28=$HM17,IF($JD17=1,30,0),ABS(4-$HF17)*100)),100000+ABS(2-$HE17)*1000+40)),IF($HG17=0,999999,IF(2=$HH17,IF(28=$HN17,IF($JE17=2,30,0),IF(28=$HO17,IF($JE17=1,30,0),ABS(4-$HI17)*100)),100000+ABS(2-$HH17)*1000+40)))-IF((28=$HJ17)+(28=$HK17)+(28=$HL17)+(28=$HM17)+(28=$HN17)+(28=$HO17)&gt;=2,50,0))+AE$5*50)</f>
        <v/>
      </c>
      <c r="AF137">
        <f>IF(OR($JF17=0,calcA!$A$6=0),0,IF(OR(29=$HA17,29=$HD17,29=$HG17),200000,MIN(IF($HA17=0,999999,IF(2=$HB17,IF(29=$HJ17,IF($JC17=2,30,0),IF(29=$HK17,IF($JC17=1,30,0),ABS(5-$HC17)*100)),100000+ABS(2-$HB17)*1000+50)),IF($HD17=0,999999,IF(2=$HE17,IF(29=$HL17,IF($JD17=2,30,0),IF(29=$HM17,IF($JD17=1,30,0),ABS(5-$HF17)*100)),100000+ABS(2-$HE17)*1000+50)),IF($HG17=0,999999,IF(2=$HH17,IF(29=$HN17,IF($JE17=2,30,0),IF(29=$HO17,IF($JE17=1,30,0),ABS(5-$HI17)*100)),100000+ABS(2-$HH17)*1000+50)))-IF((29=$HJ17)+(29=$HK17)+(29=$HL17)+(29=$HM17)+(29=$HN17)+(29=$HO17)&gt;=2,50,0))+AF$5*50)</f>
        <v/>
      </c>
      <c r="AG137">
        <f>IF(OR($JF17=0,calcA!$A$6=0),0,IF(OR(30=$HA17,30=$HD17,30=$HG17),200000,MIN(IF($HA17=0,999999,IF(2=$HB17,IF(30=$HJ17,IF($JC17=2,30,0),IF(30=$HK17,IF($JC17=1,30,0),ABS(6-$HC17)*100)),100000+ABS(2-$HB17)*1000+60)),IF($HD17=0,999999,IF(2=$HE17,IF(30=$HL17,IF($JD17=2,30,0),IF(30=$HM17,IF($JD17=1,30,0),ABS(6-$HF17)*100)),100000+ABS(2-$HE17)*1000+60)),IF($HG17=0,999999,IF(2=$HH17,IF(30=$HN17,IF($JE17=2,30,0),IF(30=$HO17,IF($JE17=1,30,0),ABS(6-$HI17)*100)),100000+ABS(2-$HH17)*1000+60)))-IF((30=$HJ17)+(30=$HK17)+(30=$HL17)+(30=$HM17)+(30=$HN17)+(30=$HO17)&gt;=2,50,0))+AG$5*50)</f>
        <v/>
      </c>
      <c r="AH137">
        <f>IF(OR($JF17=0,calcA!$A$6=0),0,IF(OR(31=$HA17,31=$HD17,31=$HG17),200000,MIN(IF($HA17=0,999999,IF(2=$HB17,IF(31=$HJ17,IF($JC17=2,30,0),IF(31=$HK17,IF($JC17=1,30,0),ABS(7-$HC17)*100)),100000+ABS(2-$HB17)*1000+70)),IF($HD17=0,999999,IF(2=$HE17,IF(31=$HL17,IF($JD17=2,30,0),IF(31=$HM17,IF($JD17=1,30,0),ABS(7-$HF17)*100)),100000+ABS(2-$HE17)*1000+70)),IF($HG17=0,999999,IF(2=$HH17,IF(31=$HN17,IF($JE17=2,30,0),IF(31=$HO17,IF($JE17=1,30,0),ABS(7-$HI17)*100)),100000+ABS(2-$HH17)*1000+70)))-IF((31=$HJ17)+(31=$HK17)+(31=$HL17)+(31=$HM17)+(31=$HN17)+(31=$HO17)&gt;=2,50,0))+AH$5*50)</f>
        <v/>
      </c>
      <c r="AI137">
        <f>IF(OR($JF17=0,calcA!$A$6=0),0,IF(OR(32=$HA17,32=$HD17,32=$HG17),200000,MIN(IF($HA17=0,999999,IF(2=$HB17,IF(32=$HJ17,IF($JC17=2,30,0),IF(32=$HK17,IF($JC17=1,30,0),ABS(8-$HC17)*100)),100000+ABS(2-$HB17)*1000+80)),IF($HD17=0,999999,IF(2=$HE17,IF(32=$HL17,IF($JD17=2,30,0),IF(32=$HM17,IF($JD17=1,30,0),ABS(8-$HF17)*100)),100000+ABS(2-$HE17)*1000+80)),IF($HG17=0,999999,IF(2=$HH17,IF(32=$HN17,IF($JE17=2,30,0),IF(32=$HO17,IF($JE17=1,30,0),ABS(8-$HI17)*100)),100000+ABS(2-$HH17)*1000+80)))-IF((32=$HJ17)+(32=$HK17)+(32=$HL17)+(32=$HM17)+(32=$HN17)+(32=$HO17)&gt;=2,50,0))+AI$5*50)</f>
        <v/>
      </c>
      <c r="AJ137">
        <f>IF(OR($JF17=0,calcA!$A$6=0),0,IF(OR(33=$HA17,33=$HD17,33=$HG17),200000,MIN(IF($HA17=0,999999,IF(2=$HB17,IF(33=$HJ17,IF($JC17=2,30,0),IF(33=$HK17,IF($JC17=1,30,0),ABS(9-$HC17)*100)),100000+ABS(2-$HB17)*1000+90)),IF($HD17=0,999999,IF(2=$HE17,IF(33=$HL17,IF($JD17=2,30,0),IF(33=$HM17,IF($JD17=1,30,0),ABS(9-$HF17)*100)),100000+ABS(2-$HE17)*1000+90)),IF($HG17=0,999999,IF(2=$HH17,IF(33=$HN17,IF($JE17=2,30,0),IF(33=$HO17,IF($JE17=1,30,0),ABS(9-$HI17)*100)),100000+ABS(2-$HH17)*1000+90)))-IF((33=$HJ17)+(33=$HK17)+(33=$HL17)+(33=$HM17)+(33=$HN17)+(33=$HO17)&gt;=2,50,0))+AJ$5*50)</f>
        <v/>
      </c>
      <c r="AK137">
        <f>IF(OR($JF17=0,calcA!$A$6=0),0,IF(OR(34=$HA17,34=$HD17,34=$HG17),200000,MIN(IF($HA17=0,999999,IF(2=$HB17,IF(34=$HJ17,IF($JC17=2,30,0),IF(34=$HK17,IF($JC17=1,30,0),ABS(10-$HC17)*100)),100000+ABS(2-$HB17)*1000+100)),IF($HD17=0,999999,IF(2=$HE17,IF(34=$HL17,IF($JD17=2,30,0),IF(34=$HM17,IF($JD17=1,30,0),ABS(10-$HF17)*100)),100000+ABS(2-$HE17)*1000+100)),IF($HG17=0,999999,IF(2=$HH17,IF(34=$HN17,IF($JE17=2,30,0),IF(34=$HO17,IF($JE17=1,30,0),ABS(10-$HI17)*100)),100000+ABS(2-$HH17)*1000+100)))-IF((34=$HJ17)+(34=$HK17)+(34=$HL17)+(34=$HM17)+(34=$HN17)+(34=$HO17)&gt;=2,50,0))+AK$5*50)</f>
        <v/>
      </c>
      <c r="AL137">
        <f>IF(OR($JF17=0,calcA!$A$6=0),0,IF(OR(35=$HA17,35=$HD17,35=$HG17),200000,MIN(IF($HA17=0,999999,IF(2=$HB17,IF(35=$HJ17,IF($JC17=2,30,0),IF(35=$HK17,IF($JC17=1,30,0),ABS(11-$HC17)*100)),100000+ABS(2-$HB17)*1000+110)),IF($HD17=0,999999,IF(2=$HE17,IF(35=$HL17,IF($JD17=2,30,0),IF(35=$HM17,IF($JD17=1,30,0),ABS(11-$HF17)*100)),100000+ABS(2-$HE17)*1000+110)),IF($HG17=0,999999,IF(2=$HH17,IF(35=$HN17,IF($JE17=2,30,0),IF(35=$HO17,IF($JE17=1,30,0),ABS(11-$HI17)*100)),100000+ABS(2-$HH17)*1000+110)))-IF((35=$HJ17)+(35=$HK17)+(35=$HL17)+(35=$HM17)+(35=$HN17)+(35=$HO17)&gt;=2,50,0))+AL$5*50)</f>
        <v/>
      </c>
      <c r="AM137">
        <f>IF(OR($JF17=0,calcA!$A$6=0),0,IF(OR(36=$HA17,36=$HD17,36=$HG17),200000,MIN(IF($HA17=0,999999,IF(2=$HB17,IF(36=$HJ17,IF($JC17=2,30,0),IF(36=$HK17,IF($JC17=1,30,0),ABS(12-$HC17)*100)),100000+ABS(2-$HB17)*1000+120)),IF($HD17=0,999999,IF(2=$HE17,IF(36=$HL17,IF($JD17=2,30,0),IF(36=$HM17,IF($JD17=1,30,0),ABS(12-$HF17)*100)),100000+ABS(2-$HE17)*1000+120)),IF($HG17=0,999999,IF(2=$HH17,IF(36=$HN17,IF($JE17=2,30,0),IF(36=$HO17,IF($JE17=1,30,0),ABS(12-$HI17)*100)),100000+ABS(2-$HH17)*1000+120)))-IF((36=$HJ17)+(36=$HK17)+(36=$HL17)+(36=$HM17)+(36=$HN17)+(36=$HO17)&gt;=2,50,0))+AM$5*50)</f>
        <v/>
      </c>
      <c r="AN137">
        <f>IF(OR($JF17=0,calcA!$A$6=0),0,IF(OR(37=$HA17,37=$HD17,37=$HG17),200000,MIN(IF($HA17=0,999999,IF(2=$HB17,IF(37=$HJ17,IF($JC17=2,30,0),IF(37=$HK17,IF($JC17=1,30,0),ABS(13-$HC17)*100)),100000+ABS(2-$HB17)*1000+130)),IF($HD17=0,999999,IF(2=$HE17,IF(37=$HL17,IF($JD17=2,30,0),IF(37=$HM17,IF($JD17=1,30,0),ABS(13-$HF17)*100)),100000+ABS(2-$HE17)*1000+130)),IF($HG17=0,999999,IF(2=$HH17,IF(37=$HN17,IF($JE17=2,30,0),IF(37=$HO17,IF($JE17=1,30,0),ABS(13-$HI17)*100)),100000+ABS(2-$HH17)*1000+130)))-IF((37=$HJ17)+(37=$HK17)+(37=$HL17)+(37=$HM17)+(37=$HN17)+(37=$HO17)&gt;=2,50,0))+AN$5*50)</f>
        <v/>
      </c>
      <c r="AO137">
        <f>IF(OR($JF17=0,calcA!$A$6=0),0,IF(OR(38=$HA17,38=$HD17,38=$HG17),200000,MIN(IF($HA17=0,999999,IF(2=$HB17,IF(38=$HJ17,IF($JC17=2,30,0),IF(38=$HK17,IF($JC17=1,30,0),ABS(14-$HC17)*100)),100000+ABS(2-$HB17)*1000+140)),IF($HD17=0,999999,IF(2=$HE17,IF(38=$HL17,IF($JD17=2,30,0),IF(38=$HM17,IF($JD17=1,30,0),ABS(14-$HF17)*100)),100000+ABS(2-$HE17)*1000+140)),IF($HG17=0,999999,IF(2=$HH17,IF(38=$HN17,IF($JE17=2,30,0),IF(38=$HO17,IF($JE17=1,30,0),ABS(14-$HI17)*100)),100000+ABS(2-$HH17)*1000+140)))-IF((38=$HJ17)+(38=$HK17)+(38=$HL17)+(38=$HM17)+(38=$HN17)+(38=$HO17)&gt;=2,50,0))+AO$5*50)</f>
        <v/>
      </c>
      <c r="AP137">
        <f>IF(OR($JF17=0,calcA!$A$6=0),0,IF(OR(39=$HA17,39=$HD17,39=$HG17),200000,MIN(IF($HA17=0,999999,IF(2=$HB17,IF(39=$HJ17,IF($JC17=2,30,0),IF(39=$HK17,IF($JC17=1,30,0),ABS(15-$HC17)*100)),100000+ABS(2-$HB17)*1000+150)),IF($HD17=0,999999,IF(2=$HE17,IF(39=$HL17,IF($JD17=2,30,0),IF(39=$HM17,IF($JD17=1,30,0),ABS(15-$HF17)*100)),100000+ABS(2-$HE17)*1000+150)),IF($HG17=0,999999,IF(2=$HH17,IF(39=$HN17,IF($JE17=2,30,0),IF(39=$HO17,IF($JE17=1,30,0),ABS(15-$HI17)*100)),100000+ABS(2-$HH17)*1000+150)))-IF((39=$HJ17)+(39=$HK17)+(39=$HL17)+(39=$HM17)+(39=$HN17)+(39=$HO17)&gt;=2,50,0))+AP$5*50)</f>
        <v/>
      </c>
      <c r="AQ137">
        <f>IF(OR($JF17=0,calcA!$A$6=0),0,IF(OR(40=$HA17,40=$HD17,40=$HG17),200000,MIN(IF($HA17=0,999999,IF(2=$HB17,IF(40=$HJ17,IF($JC17=2,30,0),IF(40=$HK17,IF($JC17=1,30,0),ABS(16-$HC17)*100)),100000+ABS(2-$HB17)*1000+160)),IF($HD17=0,999999,IF(2=$HE17,IF(40=$HL17,IF($JD17=2,30,0),IF(40=$HM17,IF($JD17=1,30,0),ABS(16-$HF17)*100)),100000+ABS(2-$HE17)*1000+160)),IF($HG17=0,999999,IF(2=$HH17,IF(40=$HN17,IF($JE17=2,30,0),IF(40=$HO17,IF($JE17=1,30,0),ABS(16-$HI17)*100)),100000+ABS(2-$HH17)*1000+160)))-IF((40=$HJ17)+(40=$HK17)+(40=$HL17)+(40=$HM17)+(40=$HN17)+(40=$HO17)&gt;=2,50,0))+AQ$5*50)</f>
        <v/>
      </c>
      <c r="AR137">
        <f>IF(OR($JF17=0,calcA!$A$6=0),0,IF(OR(41=$HA17,41=$HD17,41=$HG17),200000,MIN(IF($HA17=0,999999,IF(2=$HB17,IF(41=$HJ17,IF($JC17=2,30,0),IF(41=$HK17,IF($JC17=1,30,0),ABS(17-$HC17)*100)),100000+ABS(2-$HB17)*1000+170)),IF($HD17=0,999999,IF(2=$HE17,IF(41=$HL17,IF($JD17=2,30,0),IF(41=$HM17,IF($JD17=1,30,0),ABS(17-$HF17)*100)),100000+ABS(2-$HE17)*1000+170)),IF($HG17=0,999999,IF(2=$HH17,IF(41=$HN17,IF($JE17=2,30,0),IF(41=$HO17,IF($JE17=1,30,0),ABS(17-$HI17)*100)),100000+ABS(2-$HH17)*1000+170)))-IF((41=$HJ17)+(41=$HK17)+(41=$HL17)+(41=$HM17)+(41=$HN17)+(41=$HO17)&gt;=2,50,0))+AR$5*50)</f>
        <v/>
      </c>
      <c r="AS137">
        <f>IF(OR($JF17=0,calcA!$A$6=0),0,IF(OR(42=$HA17,42=$HD17,42=$HG17),200000,MIN(IF($HA17=0,999999,IF(2=$HB17,IF(42=$HJ17,IF($JC17=2,30,0),IF(42=$HK17,IF($JC17=1,30,0),ABS(18-$HC17)*100)),100000+ABS(2-$HB17)*1000+180)),IF($HD17=0,999999,IF(2=$HE17,IF(42=$HL17,IF($JD17=2,30,0),IF(42=$HM17,IF($JD17=1,30,0),ABS(18-$HF17)*100)),100000+ABS(2-$HE17)*1000+180)),IF($HG17=0,999999,IF(2=$HH17,IF(42=$HN17,IF($JE17=2,30,0),IF(42=$HO17,IF($JE17=1,30,0),ABS(18-$HI17)*100)),100000+ABS(2-$HH17)*1000+180)))-IF((42=$HJ17)+(42=$HK17)+(42=$HL17)+(42=$HM17)+(42=$HN17)+(42=$HO17)&gt;=2,50,0))+AS$5*50)</f>
        <v/>
      </c>
      <c r="AT137">
        <f>IF(OR($JF17=0,calcA!$A$6=0),0,IF(OR(43=$HA17,43=$HD17,43=$HG17),200000,MIN(IF($HA17=0,999999,IF(2=$HB17,IF(43=$HJ17,IF($JC17=2,30,0),IF(43=$HK17,IF($JC17=1,30,0),ABS(19-$HC17)*100)),100000+ABS(2-$HB17)*1000+190)),IF($HD17=0,999999,IF(2=$HE17,IF(43=$HL17,IF($JD17=2,30,0),IF(43=$HM17,IF($JD17=1,30,0),ABS(19-$HF17)*100)),100000+ABS(2-$HE17)*1000+190)),IF($HG17=0,999999,IF(2=$HH17,IF(43=$HN17,IF($JE17=2,30,0),IF(43=$HO17,IF($JE17=1,30,0),ABS(19-$HI17)*100)),100000+ABS(2-$HH17)*1000+190)))-IF((43=$HJ17)+(43=$HK17)+(43=$HL17)+(43=$HM17)+(43=$HN17)+(43=$HO17)&gt;=2,50,0))+AT$5*50)</f>
        <v/>
      </c>
      <c r="AU137">
        <f>IF(OR($JF17=0,calcA!$A$6=0),0,IF(OR(44=$HA17,44=$HD17,44=$HG17),200000,MIN(IF($HA17=0,999999,IF(2=$HB17,IF(44=$HJ17,IF($JC17=2,30,0),IF(44=$HK17,IF($JC17=1,30,0),ABS(20-$HC17)*100)),100000+ABS(2-$HB17)*1000+200)),IF($HD17=0,999999,IF(2=$HE17,IF(44=$HL17,IF($JD17=2,30,0),IF(44=$HM17,IF($JD17=1,30,0),ABS(20-$HF17)*100)),100000+ABS(2-$HE17)*1000+200)),IF($HG17=0,999999,IF(2=$HH17,IF(44=$HN17,IF($JE17=2,30,0),IF(44=$HO17,IF($JE17=1,30,0),ABS(20-$HI17)*100)),100000+ABS(2-$HH17)*1000+200)))-IF((44=$HJ17)+(44=$HK17)+(44=$HL17)+(44=$HM17)+(44=$HN17)+(44=$HO17)&gt;=2,50,0))+AU$5*50)</f>
        <v/>
      </c>
      <c r="AV137">
        <f>IF(OR($JF17=0,calcA!$A$6=0),0,IF(OR(45=$HA17,45=$HD17,45=$HG17),200000,MIN(IF($HA17=0,999999,IF(2=$HB17,IF(45=$HJ17,IF($JC17=2,30,0),IF(45=$HK17,IF($JC17=1,30,0),ABS(21-$HC17)*100)),100000+ABS(2-$HB17)*1000+210)),IF($HD17=0,999999,IF(2=$HE17,IF(45=$HL17,IF($JD17=2,30,0),IF(45=$HM17,IF($JD17=1,30,0),ABS(21-$HF17)*100)),100000+ABS(2-$HE17)*1000+210)),IF($HG17=0,999999,IF(2=$HH17,IF(45=$HN17,IF($JE17=2,30,0),IF(45=$HO17,IF($JE17=1,30,0),ABS(21-$HI17)*100)),100000+ABS(2-$HH17)*1000+210)))-IF((45=$HJ17)+(45=$HK17)+(45=$HL17)+(45=$HM17)+(45=$HN17)+(45=$HO17)&gt;=2,50,0))+AV$5*50)</f>
        <v/>
      </c>
      <c r="AW137">
        <f>IF(OR($JF17=0,calcA!$A$6=0),0,IF(OR(46=$HA17,46=$HD17,46=$HG17),200000,MIN(IF($HA17=0,999999,IF(2=$HB17,IF(46=$HJ17,IF($JC17=2,30,0),IF(46=$HK17,IF($JC17=1,30,0),ABS(22-$HC17)*100)),100000+ABS(2-$HB17)*1000+220)),IF($HD17=0,999999,IF(2=$HE17,IF(46=$HL17,IF($JD17=2,30,0),IF(46=$HM17,IF($JD17=1,30,0),ABS(22-$HF17)*100)),100000+ABS(2-$HE17)*1000+220)),IF($HG17=0,999999,IF(2=$HH17,IF(46=$HN17,IF($JE17=2,30,0),IF(46=$HO17,IF($JE17=1,30,0),ABS(22-$HI17)*100)),100000+ABS(2-$HH17)*1000+220)))-IF((46=$HJ17)+(46=$HK17)+(46=$HL17)+(46=$HM17)+(46=$HN17)+(46=$HO17)&gt;=2,50,0))+AW$5*50)</f>
        <v/>
      </c>
      <c r="AX137">
        <f>IF(OR($JF17=0,calcA!$A$6=0),0,IF(OR(47=$HA17,47=$HD17,47=$HG17),200000,MIN(IF($HA17=0,999999,IF(2=$HB17,IF(47=$HJ17,IF($JC17=2,30,0),IF(47=$HK17,IF($JC17=1,30,0),ABS(23-$HC17)*100)),100000+ABS(2-$HB17)*1000+230)),IF($HD17=0,999999,IF(2=$HE17,IF(47=$HL17,IF($JD17=2,30,0),IF(47=$HM17,IF($JD17=1,30,0),ABS(23-$HF17)*100)),100000+ABS(2-$HE17)*1000+230)),IF($HG17=0,999999,IF(2=$HH17,IF(47=$HN17,IF($JE17=2,30,0),IF(47=$HO17,IF($JE17=1,30,0),ABS(23-$HI17)*100)),100000+ABS(2-$HH17)*1000+230)))-IF((47=$HJ17)+(47=$HK17)+(47=$HL17)+(47=$HM17)+(47=$HN17)+(47=$HO17)&gt;=2,50,0))+AX$5*50)</f>
        <v/>
      </c>
      <c r="AY137">
        <f>IF(OR($JF17=0,calcA!$A$6=0),0,IF(OR(48=$HA17,48=$HD17,48=$HG17),200000,MIN(IF($HA17=0,999999,IF(2=$HB17,IF(48=$HJ17,IF($JC17=2,30,0),IF(48=$HK17,IF($JC17=1,30,0),ABS(24-$HC17)*100)),100000+ABS(2-$HB17)*1000+240)),IF($HD17=0,999999,IF(2=$HE17,IF(48=$HL17,IF($JD17=2,30,0),IF(48=$HM17,IF($JD17=1,30,0),ABS(24-$HF17)*100)),100000+ABS(2-$HE17)*1000+240)),IF($HG17=0,999999,IF(2=$HH17,IF(48=$HN17,IF($JE17=2,30,0),IF(48=$HO17,IF($JE17=1,30,0),ABS(24-$HI17)*100)),100000+ABS(2-$HH17)*1000+240)))-IF((48=$HJ17)+(48=$HK17)+(48=$HL17)+(48=$HM17)+(48=$HN17)+(48=$HO17)&gt;=2,50,0))+AY$5*50)</f>
        <v/>
      </c>
      <c r="AZ137">
        <f>IF(OR($JF17=0,calcA!$A$6=0),0,IF(OR(49=$HA17,49=$HD17,49=$HG17),200000,MIN(IF($HA17=0,999999,IF(3=$HB17,IF(49=$HJ17,IF($JC17=2,30,0),IF(49=$HK17,IF($JC17=1,30,0),ABS(1-$HC17)*100)),100000+ABS(3-$HB17)*1000+10)),IF($HD17=0,999999,IF(3=$HE17,IF(49=$HL17,IF($JD17=2,30,0),IF(49=$HM17,IF($JD17=1,30,0),ABS(1-$HF17)*100)),100000+ABS(3-$HE17)*1000+10)),IF($HG17=0,999999,IF(3=$HH17,IF(49=$HN17,IF($JE17=2,30,0),IF(49=$HO17,IF($JE17=1,30,0),ABS(1-$HI17)*100)),100000+ABS(3-$HH17)*1000+10)))-IF((49=$HJ17)+(49=$HK17)+(49=$HL17)+(49=$HM17)+(49=$HN17)+(49=$HO17)&gt;=2,50,0))+AZ$5*50)</f>
        <v/>
      </c>
      <c r="BA137">
        <f>IF(OR($JF17=0,calcA!$A$6=0),0,IF(OR(50=$HA17,50=$HD17,50=$HG17),200000,MIN(IF($HA17=0,999999,IF(3=$HB17,IF(50=$HJ17,IF($JC17=2,30,0),IF(50=$HK17,IF($JC17=1,30,0),ABS(2-$HC17)*100)),100000+ABS(3-$HB17)*1000+20)),IF($HD17=0,999999,IF(3=$HE17,IF(50=$HL17,IF($JD17=2,30,0),IF(50=$HM17,IF($JD17=1,30,0),ABS(2-$HF17)*100)),100000+ABS(3-$HE17)*1000+20)),IF($HG17=0,999999,IF(3=$HH17,IF(50=$HN17,IF($JE17=2,30,0),IF(50=$HO17,IF($JE17=1,30,0),ABS(2-$HI17)*100)),100000+ABS(3-$HH17)*1000+20)))-IF((50=$HJ17)+(50=$HK17)+(50=$HL17)+(50=$HM17)+(50=$HN17)+(50=$HO17)&gt;=2,50,0))+BA$5*50)</f>
        <v/>
      </c>
      <c r="BB137">
        <f>IF(OR($JF17=0,calcA!$A$6=0),0,IF(OR(51=$HA17,51=$HD17,51=$HG17),200000,MIN(IF($HA17=0,999999,IF(3=$HB17,IF(51=$HJ17,IF($JC17=2,30,0),IF(51=$HK17,IF($JC17=1,30,0),ABS(3-$HC17)*100)),100000+ABS(3-$HB17)*1000+30)),IF($HD17=0,999999,IF(3=$HE17,IF(51=$HL17,IF($JD17=2,30,0),IF(51=$HM17,IF($JD17=1,30,0),ABS(3-$HF17)*100)),100000+ABS(3-$HE17)*1000+30)),IF($HG17=0,999999,IF(3=$HH17,IF(51=$HN17,IF($JE17=2,30,0),IF(51=$HO17,IF($JE17=1,30,0),ABS(3-$HI17)*100)),100000+ABS(3-$HH17)*1000+30)))-IF((51=$HJ17)+(51=$HK17)+(51=$HL17)+(51=$HM17)+(51=$HN17)+(51=$HO17)&gt;=2,50,0))+BB$5*50)</f>
        <v/>
      </c>
      <c r="BC137">
        <f>IF(OR($JF17=0,calcA!$A$6=0),0,IF(OR(52=$HA17,52=$HD17,52=$HG17),200000,MIN(IF($HA17=0,999999,IF(3=$HB17,IF(52=$HJ17,IF($JC17=2,30,0),IF(52=$HK17,IF($JC17=1,30,0),ABS(4-$HC17)*100)),100000+ABS(3-$HB17)*1000+40)),IF($HD17=0,999999,IF(3=$HE17,IF(52=$HL17,IF($JD17=2,30,0),IF(52=$HM17,IF($JD17=1,30,0),ABS(4-$HF17)*100)),100000+ABS(3-$HE17)*1000+40)),IF($HG17=0,999999,IF(3=$HH17,IF(52=$HN17,IF($JE17=2,30,0),IF(52=$HO17,IF($JE17=1,30,0),ABS(4-$HI17)*100)),100000+ABS(3-$HH17)*1000+40)))-IF((52=$HJ17)+(52=$HK17)+(52=$HL17)+(52=$HM17)+(52=$HN17)+(52=$HO17)&gt;=2,50,0))+BC$5*50)</f>
        <v/>
      </c>
      <c r="BD137">
        <f>IF(OR($JF17=0,calcA!$A$6=0),0,IF(OR(53=$HA17,53=$HD17,53=$HG17),200000,MIN(IF($HA17=0,999999,IF(3=$HB17,IF(53=$HJ17,IF($JC17=2,30,0),IF(53=$HK17,IF($JC17=1,30,0),ABS(5-$HC17)*100)),100000+ABS(3-$HB17)*1000+50)),IF($HD17=0,999999,IF(3=$HE17,IF(53=$HL17,IF($JD17=2,30,0),IF(53=$HM17,IF($JD17=1,30,0),ABS(5-$HF17)*100)),100000+ABS(3-$HE17)*1000+50)),IF($HG17=0,999999,IF(3=$HH17,IF(53=$HN17,IF($JE17=2,30,0),IF(53=$HO17,IF($JE17=1,30,0),ABS(5-$HI17)*100)),100000+ABS(3-$HH17)*1000+50)))-IF((53=$HJ17)+(53=$HK17)+(53=$HL17)+(53=$HM17)+(53=$HN17)+(53=$HO17)&gt;=2,50,0))+BD$5*50)</f>
        <v/>
      </c>
      <c r="BE137">
        <f>IF(OR($JF17=0,calcA!$A$6=0),0,IF(OR(54=$HA17,54=$HD17,54=$HG17),200000,MIN(IF($HA17=0,999999,IF(3=$HB17,IF(54=$HJ17,IF($JC17=2,30,0),IF(54=$HK17,IF($JC17=1,30,0),ABS(6-$HC17)*100)),100000+ABS(3-$HB17)*1000+60)),IF($HD17=0,999999,IF(3=$HE17,IF(54=$HL17,IF($JD17=2,30,0),IF(54=$HM17,IF($JD17=1,30,0),ABS(6-$HF17)*100)),100000+ABS(3-$HE17)*1000+60)),IF($HG17=0,999999,IF(3=$HH17,IF(54=$HN17,IF($JE17=2,30,0),IF(54=$HO17,IF($JE17=1,30,0),ABS(6-$HI17)*100)),100000+ABS(3-$HH17)*1000+60)))-IF((54=$HJ17)+(54=$HK17)+(54=$HL17)+(54=$HM17)+(54=$HN17)+(54=$HO17)&gt;=2,50,0))+BE$5*50)</f>
        <v/>
      </c>
      <c r="BF137">
        <f>IF(OR($JF17=0,calcA!$A$6=0),0,IF(OR(55=$HA17,55=$HD17,55=$HG17),200000,MIN(IF($HA17=0,999999,IF(3=$HB17,IF(55=$HJ17,IF($JC17=2,30,0),IF(55=$HK17,IF($JC17=1,30,0),ABS(7-$HC17)*100)),100000+ABS(3-$HB17)*1000+70)),IF($HD17=0,999999,IF(3=$HE17,IF(55=$HL17,IF($JD17=2,30,0),IF(55=$HM17,IF($JD17=1,30,0),ABS(7-$HF17)*100)),100000+ABS(3-$HE17)*1000+70)),IF($HG17=0,999999,IF(3=$HH17,IF(55=$HN17,IF($JE17=2,30,0),IF(55=$HO17,IF($JE17=1,30,0),ABS(7-$HI17)*100)),100000+ABS(3-$HH17)*1000+70)))-IF((55=$HJ17)+(55=$HK17)+(55=$HL17)+(55=$HM17)+(55=$HN17)+(55=$HO17)&gt;=2,50,0))+BF$5*50)</f>
        <v/>
      </c>
      <c r="BG137">
        <f>IF(OR($JF17=0,calcA!$A$6=0),0,IF(OR(56=$HA17,56=$HD17,56=$HG17),200000,MIN(IF($HA17=0,999999,IF(3=$HB17,IF(56=$HJ17,IF($JC17=2,30,0),IF(56=$HK17,IF($JC17=1,30,0),ABS(8-$HC17)*100)),100000+ABS(3-$HB17)*1000+80)),IF($HD17=0,999999,IF(3=$HE17,IF(56=$HL17,IF($JD17=2,30,0),IF(56=$HM17,IF($JD17=1,30,0),ABS(8-$HF17)*100)),100000+ABS(3-$HE17)*1000+80)),IF($HG17=0,999999,IF(3=$HH17,IF(56=$HN17,IF($JE17=2,30,0),IF(56=$HO17,IF($JE17=1,30,0),ABS(8-$HI17)*100)),100000+ABS(3-$HH17)*1000+80)))-IF((56=$HJ17)+(56=$HK17)+(56=$HL17)+(56=$HM17)+(56=$HN17)+(56=$HO17)&gt;=2,50,0))+BG$5*50)</f>
        <v/>
      </c>
      <c r="BH137">
        <f>IF(OR($JF17=0,calcA!$A$6=0),0,IF(OR(57=$HA17,57=$HD17,57=$HG17),200000,MIN(IF($HA17=0,999999,IF(3=$HB17,IF(57=$HJ17,IF($JC17=2,30,0),IF(57=$HK17,IF($JC17=1,30,0),ABS(9-$HC17)*100)),100000+ABS(3-$HB17)*1000+90)),IF($HD17=0,999999,IF(3=$HE17,IF(57=$HL17,IF($JD17=2,30,0),IF(57=$HM17,IF($JD17=1,30,0),ABS(9-$HF17)*100)),100000+ABS(3-$HE17)*1000+90)),IF($HG17=0,999999,IF(3=$HH17,IF(57=$HN17,IF($JE17=2,30,0),IF(57=$HO17,IF($JE17=1,30,0),ABS(9-$HI17)*100)),100000+ABS(3-$HH17)*1000+90)))-IF((57=$HJ17)+(57=$HK17)+(57=$HL17)+(57=$HM17)+(57=$HN17)+(57=$HO17)&gt;=2,50,0))+BH$5*50)</f>
        <v/>
      </c>
      <c r="BI137">
        <f>IF(OR($JF17=0,calcA!$A$6=0),0,IF(OR(58=$HA17,58=$HD17,58=$HG17),200000,MIN(IF($HA17=0,999999,IF(3=$HB17,IF(58=$HJ17,IF($JC17=2,30,0),IF(58=$HK17,IF($JC17=1,30,0),ABS(10-$HC17)*100)),100000+ABS(3-$HB17)*1000+100)),IF($HD17=0,999999,IF(3=$HE17,IF(58=$HL17,IF($JD17=2,30,0),IF(58=$HM17,IF($JD17=1,30,0),ABS(10-$HF17)*100)),100000+ABS(3-$HE17)*1000+100)),IF($HG17=0,999999,IF(3=$HH17,IF(58=$HN17,IF($JE17=2,30,0),IF(58=$HO17,IF($JE17=1,30,0),ABS(10-$HI17)*100)),100000+ABS(3-$HH17)*1000+100)))-IF((58=$HJ17)+(58=$HK17)+(58=$HL17)+(58=$HM17)+(58=$HN17)+(58=$HO17)&gt;=2,50,0))+BI$5*50)</f>
        <v/>
      </c>
      <c r="BJ137">
        <f>IF(OR($JF17=0,calcA!$A$6=0),0,IF(OR(59=$HA17,59=$HD17,59=$HG17),200000,MIN(IF($HA17=0,999999,IF(3=$HB17,IF(59=$HJ17,IF($JC17=2,30,0),IF(59=$HK17,IF($JC17=1,30,0),ABS(11-$HC17)*100)),100000+ABS(3-$HB17)*1000+110)),IF($HD17=0,999999,IF(3=$HE17,IF(59=$HL17,IF($JD17=2,30,0),IF(59=$HM17,IF($JD17=1,30,0),ABS(11-$HF17)*100)),100000+ABS(3-$HE17)*1000+110)),IF($HG17=0,999999,IF(3=$HH17,IF(59=$HN17,IF($JE17=2,30,0),IF(59=$HO17,IF($JE17=1,30,0),ABS(11-$HI17)*100)),100000+ABS(3-$HH17)*1000+110)))-IF((59=$HJ17)+(59=$HK17)+(59=$HL17)+(59=$HM17)+(59=$HN17)+(59=$HO17)&gt;=2,50,0))+BJ$5*50)</f>
        <v/>
      </c>
      <c r="BK137">
        <f>IF(OR($JF17=0,calcA!$A$6=0),0,IF(OR(60=$HA17,60=$HD17,60=$HG17),200000,MIN(IF($HA17=0,999999,IF(3=$HB17,IF(60=$HJ17,IF($JC17=2,30,0),IF(60=$HK17,IF($JC17=1,30,0),ABS(12-$HC17)*100)),100000+ABS(3-$HB17)*1000+120)),IF($HD17=0,999999,IF(3=$HE17,IF(60=$HL17,IF($JD17=2,30,0),IF(60=$HM17,IF($JD17=1,30,0),ABS(12-$HF17)*100)),100000+ABS(3-$HE17)*1000+120)),IF($HG17=0,999999,IF(3=$HH17,IF(60=$HN17,IF($JE17=2,30,0),IF(60=$HO17,IF($JE17=1,30,0),ABS(12-$HI17)*100)),100000+ABS(3-$HH17)*1000+120)))-IF((60=$HJ17)+(60=$HK17)+(60=$HL17)+(60=$HM17)+(60=$HN17)+(60=$HO17)&gt;=2,50,0))+BK$5*50)</f>
        <v/>
      </c>
      <c r="BL137">
        <f>IF(OR($JF17=0,calcA!$A$6=0),0,IF(OR(61=$HA17,61=$HD17,61=$HG17),200000,MIN(IF($HA17=0,999999,IF(3=$HB17,IF(61=$HJ17,IF($JC17=2,30,0),IF(61=$HK17,IF($JC17=1,30,0),ABS(13-$HC17)*100)),100000+ABS(3-$HB17)*1000+130)),IF($HD17=0,999999,IF(3=$HE17,IF(61=$HL17,IF($JD17=2,30,0),IF(61=$HM17,IF($JD17=1,30,0),ABS(13-$HF17)*100)),100000+ABS(3-$HE17)*1000+130)),IF($HG17=0,999999,IF(3=$HH17,IF(61=$HN17,IF($JE17=2,30,0),IF(61=$HO17,IF($JE17=1,30,0),ABS(13-$HI17)*100)),100000+ABS(3-$HH17)*1000+130)))-IF((61=$HJ17)+(61=$HK17)+(61=$HL17)+(61=$HM17)+(61=$HN17)+(61=$HO17)&gt;=2,50,0))+BL$5*50)</f>
        <v/>
      </c>
      <c r="BM137">
        <f>IF(OR($JF17=0,calcA!$A$6=0),0,IF(OR(62=$HA17,62=$HD17,62=$HG17),200000,MIN(IF($HA17=0,999999,IF(3=$HB17,IF(62=$HJ17,IF($JC17=2,30,0),IF(62=$HK17,IF($JC17=1,30,0),ABS(14-$HC17)*100)),100000+ABS(3-$HB17)*1000+140)),IF($HD17=0,999999,IF(3=$HE17,IF(62=$HL17,IF($JD17=2,30,0),IF(62=$HM17,IF($JD17=1,30,0),ABS(14-$HF17)*100)),100000+ABS(3-$HE17)*1000+140)),IF($HG17=0,999999,IF(3=$HH17,IF(62=$HN17,IF($JE17=2,30,0),IF(62=$HO17,IF($JE17=1,30,0),ABS(14-$HI17)*100)),100000+ABS(3-$HH17)*1000+140)))-IF((62=$HJ17)+(62=$HK17)+(62=$HL17)+(62=$HM17)+(62=$HN17)+(62=$HO17)&gt;=2,50,0))+BM$5*50)</f>
        <v/>
      </c>
      <c r="BN137">
        <f>IF(OR($JF17=0,calcA!$A$6=0),0,IF(OR(63=$HA17,63=$HD17,63=$HG17),200000,MIN(IF($HA17=0,999999,IF(3=$HB17,IF(63=$HJ17,IF($JC17=2,30,0),IF(63=$HK17,IF($JC17=1,30,0),ABS(15-$HC17)*100)),100000+ABS(3-$HB17)*1000+150)),IF($HD17=0,999999,IF(3=$HE17,IF(63=$HL17,IF($JD17=2,30,0),IF(63=$HM17,IF($JD17=1,30,0),ABS(15-$HF17)*100)),100000+ABS(3-$HE17)*1000+150)),IF($HG17=0,999999,IF(3=$HH17,IF(63=$HN17,IF($JE17=2,30,0),IF(63=$HO17,IF($JE17=1,30,0),ABS(15-$HI17)*100)),100000+ABS(3-$HH17)*1000+150)))-IF((63=$HJ17)+(63=$HK17)+(63=$HL17)+(63=$HM17)+(63=$HN17)+(63=$HO17)&gt;=2,50,0))+BN$5*50)</f>
        <v/>
      </c>
      <c r="BO137">
        <f>IF(OR($JF17=0,calcA!$A$6=0),0,IF(OR(64=$HA17,64=$HD17,64=$HG17),200000,MIN(IF($HA17=0,999999,IF(3=$HB17,IF(64=$HJ17,IF($JC17=2,30,0),IF(64=$HK17,IF($JC17=1,30,0),ABS(16-$HC17)*100)),100000+ABS(3-$HB17)*1000+160)),IF($HD17=0,999999,IF(3=$HE17,IF(64=$HL17,IF($JD17=2,30,0),IF(64=$HM17,IF($JD17=1,30,0),ABS(16-$HF17)*100)),100000+ABS(3-$HE17)*1000+160)),IF($HG17=0,999999,IF(3=$HH17,IF(64=$HN17,IF($JE17=2,30,0),IF(64=$HO17,IF($JE17=1,30,0),ABS(16-$HI17)*100)),100000+ABS(3-$HH17)*1000+160)))-IF((64=$HJ17)+(64=$HK17)+(64=$HL17)+(64=$HM17)+(64=$HN17)+(64=$HO17)&gt;=2,50,0))+BO$5*50)</f>
        <v/>
      </c>
      <c r="BP137">
        <f>IF(OR($JF17=0,calcA!$A$6=0),0,IF(OR(65=$HA17,65=$HD17,65=$HG17),200000,MIN(IF($HA17=0,999999,IF(3=$HB17,IF(65=$HJ17,IF($JC17=2,30,0),IF(65=$HK17,IF($JC17=1,30,0),ABS(17-$HC17)*100)),100000+ABS(3-$HB17)*1000+170)),IF($HD17=0,999999,IF(3=$HE17,IF(65=$HL17,IF($JD17=2,30,0),IF(65=$HM17,IF($JD17=1,30,0),ABS(17-$HF17)*100)),100000+ABS(3-$HE17)*1000+170)),IF($HG17=0,999999,IF(3=$HH17,IF(65=$HN17,IF($JE17=2,30,0),IF(65=$HO17,IF($JE17=1,30,0),ABS(17-$HI17)*100)),100000+ABS(3-$HH17)*1000+170)))-IF((65=$HJ17)+(65=$HK17)+(65=$HL17)+(65=$HM17)+(65=$HN17)+(65=$HO17)&gt;=2,50,0))+BP$5*50)</f>
        <v/>
      </c>
      <c r="BQ137">
        <f>IF(OR($JF17=0,calcA!$A$6=0),0,IF(OR(66=$HA17,66=$HD17,66=$HG17),200000,MIN(IF($HA17=0,999999,IF(3=$HB17,IF(66=$HJ17,IF($JC17=2,30,0),IF(66=$HK17,IF($JC17=1,30,0),ABS(18-$HC17)*100)),100000+ABS(3-$HB17)*1000+180)),IF($HD17=0,999999,IF(3=$HE17,IF(66=$HL17,IF($JD17=2,30,0),IF(66=$HM17,IF($JD17=1,30,0),ABS(18-$HF17)*100)),100000+ABS(3-$HE17)*1000+180)),IF($HG17=0,999999,IF(3=$HH17,IF(66=$HN17,IF($JE17=2,30,0),IF(66=$HO17,IF($JE17=1,30,0),ABS(18-$HI17)*100)),100000+ABS(3-$HH17)*1000+180)))-IF((66=$HJ17)+(66=$HK17)+(66=$HL17)+(66=$HM17)+(66=$HN17)+(66=$HO17)&gt;=2,50,0))+BQ$5*50)</f>
        <v/>
      </c>
      <c r="BR137">
        <f>IF(OR($JF17=0,calcA!$A$6=0),0,IF(OR(67=$HA17,67=$HD17,67=$HG17),200000,MIN(IF($HA17=0,999999,IF(3=$HB17,IF(67=$HJ17,IF($JC17=2,30,0),IF(67=$HK17,IF($JC17=1,30,0),ABS(19-$HC17)*100)),100000+ABS(3-$HB17)*1000+190)),IF($HD17=0,999999,IF(3=$HE17,IF(67=$HL17,IF($JD17=2,30,0),IF(67=$HM17,IF($JD17=1,30,0),ABS(19-$HF17)*100)),100000+ABS(3-$HE17)*1000+190)),IF($HG17=0,999999,IF(3=$HH17,IF(67=$HN17,IF($JE17=2,30,0),IF(67=$HO17,IF($JE17=1,30,0),ABS(19-$HI17)*100)),100000+ABS(3-$HH17)*1000+190)))-IF((67=$HJ17)+(67=$HK17)+(67=$HL17)+(67=$HM17)+(67=$HN17)+(67=$HO17)&gt;=2,50,0))+BR$5*50)</f>
        <v/>
      </c>
      <c r="BS137">
        <f>IF(OR($JF17=0,calcA!$A$6=0),0,IF(OR(68=$HA17,68=$HD17,68=$HG17),200000,MIN(IF($HA17=0,999999,IF(3=$HB17,IF(68=$HJ17,IF($JC17=2,30,0),IF(68=$HK17,IF($JC17=1,30,0),ABS(20-$HC17)*100)),100000+ABS(3-$HB17)*1000+200)),IF($HD17=0,999999,IF(3=$HE17,IF(68=$HL17,IF($JD17=2,30,0),IF(68=$HM17,IF($JD17=1,30,0),ABS(20-$HF17)*100)),100000+ABS(3-$HE17)*1000+200)),IF($HG17=0,999999,IF(3=$HH17,IF(68=$HN17,IF($JE17=2,30,0),IF(68=$HO17,IF($JE17=1,30,0),ABS(20-$HI17)*100)),100000+ABS(3-$HH17)*1000+200)))-IF((68=$HJ17)+(68=$HK17)+(68=$HL17)+(68=$HM17)+(68=$HN17)+(68=$HO17)&gt;=2,50,0))+BS$5*50)</f>
        <v/>
      </c>
      <c r="BT137">
        <f>IF(OR($JF17=0,calcA!$A$6=0),0,IF(OR(69=$HA17,69=$HD17,69=$HG17),200000,MIN(IF($HA17=0,999999,IF(3=$HB17,IF(69=$HJ17,IF($JC17=2,30,0),IF(69=$HK17,IF($JC17=1,30,0),ABS(21-$HC17)*100)),100000+ABS(3-$HB17)*1000+210)),IF($HD17=0,999999,IF(3=$HE17,IF(69=$HL17,IF($JD17=2,30,0),IF(69=$HM17,IF($JD17=1,30,0),ABS(21-$HF17)*100)),100000+ABS(3-$HE17)*1000+210)),IF($HG17=0,999999,IF(3=$HH17,IF(69=$HN17,IF($JE17=2,30,0),IF(69=$HO17,IF($JE17=1,30,0),ABS(21-$HI17)*100)),100000+ABS(3-$HH17)*1000+210)))-IF((69=$HJ17)+(69=$HK17)+(69=$HL17)+(69=$HM17)+(69=$HN17)+(69=$HO17)&gt;=2,50,0))+BT$5*50)</f>
        <v/>
      </c>
      <c r="BU137">
        <f>IF(OR($JF17=0,calcA!$A$6=0),0,IF(OR(70=$HA17,70=$HD17,70=$HG17),200000,MIN(IF($HA17=0,999999,IF(3=$HB17,IF(70=$HJ17,IF($JC17=2,30,0),IF(70=$HK17,IF($JC17=1,30,0),ABS(22-$HC17)*100)),100000+ABS(3-$HB17)*1000+220)),IF($HD17=0,999999,IF(3=$HE17,IF(70=$HL17,IF($JD17=2,30,0),IF(70=$HM17,IF($JD17=1,30,0),ABS(22-$HF17)*100)),100000+ABS(3-$HE17)*1000+220)),IF($HG17=0,999999,IF(3=$HH17,IF(70=$HN17,IF($JE17=2,30,0),IF(70=$HO17,IF($JE17=1,30,0),ABS(22-$HI17)*100)),100000+ABS(3-$HH17)*1000+220)))-IF((70=$HJ17)+(70=$HK17)+(70=$HL17)+(70=$HM17)+(70=$HN17)+(70=$HO17)&gt;=2,50,0))+BU$5*50)</f>
        <v/>
      </c>
      <c r="BV137">
        <f>IF(OR($JF17=0,calcA!$A$6=0),0,IF(OR(71=$HA17,71=$HD17,71=$HG17),200000,MIN(IF($HA17=0,999999,IF(3=$HB17,IF(71=$HJ17,IF($JC17=2,30,0),IF(71=$HK17,IF($JC17=1,30,0),ABS(23-$HC17)*100)),100000+ABS(3-$HB17)*1000+230)),IF($HD17=0,999999,IF(3=$HE17,IF(71=$HL17,IF($JD17=2,30,0),IF(71=$HM17,IF($JD17=1,30,0),ABS(23-$HF17)*100)),100000+ABS(3-$HE17)*1000+230)),IF($HG17=0,999999,IF(3=$HH17,IF(71=$HN17,IF($JE17=2,30,0),IF(71=$HO17,IF($JE17=1,30,0),ABS(23-$HI17)*100)),100000+ABS(3-$HH17)*1000+230)))-IF((71=$HJ17)+(71=$HK17)+(71=$HL17)+(71=$HM17)+(71=$HN17)+(71=$HO17)&gt;=2,50,0))+BV$5*50)</f>
        <v/>
      </c>
      <c r="BW137">
        <f>IF(OR($JF17=0,calcA!$A$6=0),0,IF(OR(72=$HA17,72=$HD17,72=$HG17),200000,MIN(IF($HA17=0,999999,IF(3=$HB17,IF(72=$HJ17,IF($JC17=2,30,0),IF(72=$HK17,IF($JC17=1,30,0),ABS(24-$HC17)*100)),100000+ABS(3-$HB17)*1000+240)),IF($HD17=0,999999,IF(3=$HE17,IF(72=$HL17,IF($JD17=2,30,0),IF(72=$HM17,IF($JD17=1,30,0),ABS(24-$HF17)*100)),100000+ABS(3-$HE17)*1000+240)),IF($HG17=0,999999,IF(3=$HH17,IF(72=$HN17,IF($JE17=2,30,0),IF(72=$HO17,IF($JE17=1,30,0),ABS(24-$HI17)*100)),100000+ABS(3-$HH17)*1000+240)))-IF((72=$HJ17)+(72=$HK17)+(72=$HL17)+(72=$HM17)+(72=$HN17)+(72=$HO17)&gt;=2,50,0))+BW$5*50)</f>
        <v/>
      </c>
      <c r="BX137">
        <f>IF(OR($JF17=0,calcA!$A$6=0),0,IF(OR(73=$HA17,73=$HD17,73=$HG17),200000,MIN(IF($HA17=0,999999,IF(4=$HB17,IF(73=$HJ17,IF($JC17=2,30,0),IF(73=$HK17,IF($JC17=1,30,0),ABS(1-$HC17)*100)),100000+ABS(4-$HB17)*1000+10)),IF($HD17=0,999999,IF(4=$HE17,IF(73=$HL17,IF($JD17=2,30,0),IF(73=$HM17,IF($JD17=1,30,0),ABS(1-$HF17)*100)),100000+ABS(4-$HE17)*1000+10)),IF($HG17=0,999999,IF(4=$HH17,IF(73=$HN17,IF($JE17=2,30,0),IF(73=$HO17,IF($JE17=1,30,0),ABS(1-$HI17)*100)),100000+ABS(4-$HH17)*1000+10)))-IF((73=$HJ17)+(73=$HK17)+(73=$HL17)+(73=$HM17)+(73=$HN17)+(73=$HO17)&gt;=2,50,0))+BX$5*50)</f>
        <v/>
      </c>
      <c r="BY137">
        <f>IF(OR($JF17=0,calcA!$A$6=0),0,IF(OR(74=$HA17,74=$HD17,74=$HG17),200000,MIN(IF($HA17=0,999999,IF(4=$HB17,IF(74=$HJ17,IF($JC17=2,30,0),IF(74=$HK17,IF($JC17=1,30,0),ABS(2-$HC17)*100)),100000+ABS(4-$HB17)*1000+20)),IF($HD17=0,999999,IF(4=$HE17,IF(74=$HL17,IF($JD17=2,30,0),IF(74=$HM17,IF($JD17=1,30,0),ABS(2-$HF17)*100)),100000+ABS(4-$HE17)*1000+20)),IF($HG17=0,999999,IF(4=$HH17,IF(74=$HN17,IF($JE17=2,30,0),IF(74=$HO17,IF($JE17=1,30,0),ABS(2-$HI17)*100)),100000+ABS(4-$HH17)*1000+20)))-IF((74=$HJ17)+(74=$HK17)+(74=$HL17)+(74=$HM17)+(74=$HN17)+(74=$HO17)&gt;=2,50,0))+BY$5*50)</f>
        <v/>
      </c>
      <c r="BZ137">
        <f>IF(OR($JF17=0,calcA!$A$6=0),0,IF(OR(75=$HA17,75=$HD17,75=$HG17),200000,MIN(IF($HA17=0,999999,IF(4=$HB17,IF(75=$HJ17,IF($JC17=2,30,0),IF(75=$HK17,IF($JC17=1,30,0),ABS(3-$HC17)*100)),100000+ABS(4-$HB17)*1000+30)),IF($HD17=0,999999,IF(4=$HE17,IF(75=$HL17,IF($JD17=2,30,0),IF(75=$HM17,IF($JD17=1,30,0),ABS(3-$HF17)*100)),100000+ABS(4-$HE17)*1000+30)),IF($HG17=0,999999,IF(4=$HH17,IF(75=$HN17,IF($JE17=2,30,0),IF(75=$HO17,IF($JE17=1,30,0),ABS(3-$HI17)*100)),100000+ABS(4-$HH17)*1000+30)))-IF((75=$HJ17)+(75=$HK17)+(75=$HL17)+(75=$HM17)+(75=$HN17)+(75=$HO17)&gt;=2,50,0))+BZ$5*50)</f>
        <v/>
      </c>
      <c r="CA137">
        <f>IF(OR($JF17=0,calcA!$A$6=0),0,IF(OR(76=$HA17,76=$HD17,76=$HG17),200000,MIN(IF($HA17=0,999999,IF(4=$HB17,IF(76=$HJ17,IF($JC17=2,30,0),IF(76=$HK17,IF($JC17=1,30,0),ABS(4-$HC17)*100)),100000+ABS(4-$HB17)*1000+40)),IF($HD17=0,999999,IF(4=$HE17,IF(76=$HL17,IF($JD17=2,30,0),IF(76=$HM17,IF($JD17=1,30,0),ABS(4-$HF17)*100)),100000+ABS(4-$HE17)*1000+40)),IF($HG17=0,999999,IF(4=$HH17,IF(76=$HN17,IF($JE17=2,30,0),IF(76=$HO17,IF($JE17=1,30,0),ABS(4-$HI17)*100)),100000+ABS(4-$HH17)*1000+40)))-IF((76=$HJ17)+(76=$HK17)+(76=$HL17)+(76=$HM17)+(76=$HN17)+(76=$HO17)&gt;=2,50,0))+CA$5*50)</f>
        <v/>
      </c>
      <c r="CB137">
        <f>IF(OR($JF17=0,calcA!$A$6=0),0,IF(OR(77=$HA17,77=$HD17,77=$HG17),200000,MIN(IF($HA17=0,999999,IF(4=$HB17,IF(77=$HJ17,IF($JC17=2,30,0),IF(77=$HK17,IF($JC17=1,30,0),ABS(5-$HC17)*100)),100000+ABS(4-$HB17)*1000+50)),IF($HD17=0,999999,IF(4=$HE17,IF(77=$HL17,IF($JD17=2,30,0),IF(77=$HM17,IF($JD17=1,30,0),ABS(5-$HF17)*100)),100000+ABS(4-$HE17)*1000+50)),IF($HG17=0,999999,IF(4=$HH17,IF(77=$HN17,IF($JE17=2,30,0),IF(77=$HO17,IF($JE17=1,30,0),ABS(5-$HI17)*100)),100000+ABS(4-$HH17)*1000+50)))-IF((77=$HJ17)+(77=$HK17)+(77=$HL17)+(77=$HM17)+(77=$HN17)+(77=$HO17)&gt;=2,50,0))+CB$5*50)</f>
        <v/>
      </c>
      <c r="CC137">
        <f>IF(OR($JF17=0,calcA!$A$6=0),0,IF(OR(78=$HA17,78=$HD17,78=$HG17),200000,MIN(IF($HA17=0,999999,IF(4=$HB17,IF(78=$HJ17,IF($JC17=2,30,0),IF(78=$HK17,IF($JC17=1,30,0),ABS(6-$HC17)*100)),100000+ABS(4-$HB17)*1000+60)),IF($HD17=0,999999,IF(4=$HE17,IF(78=$HL17,IF($JD17=2,30,0),IF(78=$HM17,IF($JD17=1,30,0),ABS(6-$HF17)*100)),100000+ABS(4-$HE17)*1000+60)),IF($HG17=0,999999,IF(4=$HH17,IF(78=$HN17,IF($JE17=2,30,0),IF(78=$HO17,IF($JE17=1,30,0),ABS(6-$HI17)*100)),100000+ABS(4-$HH17)*1000+60)))-IF((78=$HJ17)+(78=$HK17)+(78=$HL17)+(78=$HM17)+(78=$HN17)+(78=$HO17)&gt;=2,50,0))+CC$5*50)</f>
        <v/>
      </c>
      <c r="CD137">
        <f>IF(OR($JF17=0,calcA!$A$6=0),0,IF(OR(79=$HA17,79=$HD17,79=$HG17),200000,MIN(IF($HA17=0,999999,IF(4=$HB17,IF(79=$HJ17,IF($JC17=2,30,0),IF(79=$HK17,IF($JC17=1,30,0),ABS(7-$HC17)*100)),100000+ABS(4-$HB17)*1000+70)),IF($HD17=0,999999,IF(4=$HE17,IF(79=$HL17,IF($JD17=2,30,0),IF(79=$HM17,IF($JD17=1,30,0),ABS(7-$HF17)*100)),100000+ABS(4-$HE17)*1000+70)),IF($HG17=0,999999,IF(4=$HH17,IF(79=$HN17,IF($JE17=2,30,0),IF(79=$HO17,IF($JE17=1,30,0),ABS(7-$HI17)*100)),100000+ABS(4-$HH17)*1000+70)))-IF((79=$HJ17)+(79=$HK17)+(79=$HL17)+(79=$HM17)+(79=$HN17)+(79=$HO17)&gt;=2,50,0))+CD$5*50)</f>
        <v/>
      </c>
      <c r="CE137">
        <f>IF(OR($JF17=0,calcA!$A$6=0),0,IF(OR(80=$HA17,80=$HD17,80=$HG17),200000,MIN(IF($HA17=0,999999,IF(4=$HB17,IF(80=$HJ17,IF($JC17=2,30,0),IF(80=$HK17,IF($JC17=1,30,0),ABS(8-$HC17)*100)),100000+ABS(4-$HB17)*1000+80)),IF($HD17=0,999999,IF(4=$HE17,IF(80=$HL17,IF($JD17=2,30,0),IF(80=$HM17,IF($JD17=1,30,0),ABS(8-$HF17)*100)),100000+ABS(4-$HE17)*1000+80)),IF($HG17=0,999999,IF(4=$HH17,IF(80=$HN17,IF($JE17=2,30,0),IF(80=$HO17,IF($JE17=1,30,0),ABS(8-$HI17)*100)),100000+ABS(4-$HH17)*1000+80)))-IF((80=$HJ17)+(80=$HK17)+(80=$HL17)+(80=$HM17)+(80=$HN17)+(80=$HO17)&gt;=2,50,0))+CE$5*50)</f>
        <v/>
      </c>
      <c r="CF137">
        <f>IF(OR($JF17=0,calcA!$A$6=0),0,IF(OR(81=$HA17,81=$HD17,81=$HG17),200000,MIN(IF($HA17=0,999999,IF(4=$HB17,IF(81=$HJ17,IF($JC17=2,30,0),IF(81=$HK17,IF($JC17=1,30,0),ABS(9-$HC17)*100)),100000+ABS(4-$HB17)*1000+90)),IF($HD17=0,999999,IF(4=$HE17,IF(81=$HL17,IF($JD17=2,30,0),IF(81=$HM17,IF($JD17=1,30,0),ABS(9-$HF17)*100)),100000+ABS(4-$HE17)*1000+90)),IF($HG17=0,999999,IF(4=$HH17,IF(81=$HN17,IF($JE17=2,30,0),IF(81=$HO17,IF($JE17=1,30,0),ABS(9-$HI17)*100)),100000+ABS(4-$HH17)*1000+90)))-IF((81=$HJ17)+(81=$HK17)+(81=$HL17)+(81=$HM17)+(81=$HN17)+(81=$HO17)&gt;=2,50,0))+CF$5*50)</f>
        <v/>
      </c>
      <c r="CG137">
        <f>IF(OR($JF17=0,calcA!$A$6=0),0,IF(OR(82=$HA17,82=$HD17,82=$HG17),200000,MIN(IF($HA17=0,999999,IF(4=$HB17,IF(82=$HJ17,IF($JC17=2,30,0),IF(82=$HK17,IF($JC17=1,30,0),ABS(10-$HC17)*100)),100000+ABS(4-$HB17)*1000+100)),IF($HD17=0,999999,IF(4=$HE17,IF(82=$HL17,IF($JD17=2,30,0),IF(82=$HM17,IF($JD17=1,30,0),ABS(10-$HF17)*100)),100000+ABS(4-$HE17)*1000+100)),IF($HG17=0,999999,IF(4=$HH17,IF(82=$HN17,IF($JE17=2,30,0),IF(82=$HO17,IF($JE17=1,30,0),ABS(10-$HI17)*100)),100000+ABS(4-$HH17)*1000+100)))-IF((82=$HJ17)+(82=$HK17)+(82=$HL17)+(82=$HM17)+(82=$HN17)+(82=$HO17)&gt;=2,50,0))+CG$5*50)</f>
        <v/>
      </c>
      <c r="CH137">
        <f>IF(OR($JF17=0,calcA!$A$6=0),0,IF(OR(83=$HA17,83=$HD17,83=$HG17),200000,MIN(IF($HA17=0,999999,IF(4=$HB17,IF(83=$HJ17,IF($JC17=2,30,0),IF(83=$HK17,IF($JC17=1,30,0),ABS(11-$HC17)*100)),100000+ABS(4-$HB17)*1000+110)),IF($HD17=0,999999,IF(4=$HE17,IF(83=$HL17,IF($JD17=2,30,0),IF(83=$HM17,IF($JD17=1,30,0),ABS(11-$HF17)*100)),100000+ABS(4-$HE17)*1000+110)),IF($HG17=0,999999,IF(4=$HH17,IF(83=$HN17,IF($JE17=2,30,0),IF(83=$HO17,IF($JE17=1,30,0),ABS(11-$HI17)*100)),100000+ABS(4-$HH17)*1000+110)))-IF((83=$HJ17)+(83=$HK17)+(83=$HL17)+(83=$HM17)+(83=$HN17)+(83=$HO17)&gt;=2,50,0))+CH$5*50)</f>
        <v/>
      </c>
      <c r="CI137">
        <f>IF(OR($JF17=0,calcA!$A$6=0),0,IF(OR(84=$HA17,84=$HD17,84=$HG17),200000,MIN(IF($HA17=0,999999,IF(4=$HB17,IF(84=$HJ17,IF($JC17=2,30,0),IF(84=$HK17,IF($JC17=1,30,0),ABS(12-$HC17)*100)),100000+ABS(4-$HB17)*1000+120)),IF($HD17=0,999999,IF(4=$HE17,IF(84=$HL17,IF($JD17=2,30,0),IF(84=$HM17,IF($JD17=1,30,0),ABS(12-$HF17)*100)),100000+ABS(4-$HE17)*1000+120)),IF($HG17=0,999999,IF(4=$HH17,IF(84=$HN17,IF($JE17=2,30,0),IF(84=$HO17,IF($JE17=1,30,0),ABS(12-$HI17)*100)),100000+ABS(4-$HH17)*1000+120)))-IF((84=$HJ17)+(84=$HK17)+(84=$HL17)+(84=$HM17)+(84=$HN17)+(84=$HO17)&gt;=2,50,0))+CI$5*50)</f>
        <v/>
      </c>
      <c r="CJ137">
        <f>IF(OR($JF17=0,calcA!$A$6=0),0,IF(OR(85=$HA17,85=$HD17,85=$HG17),200000,MIN(IF($HA17=0,999999,IF(4=$HB17,IF(85=$HJ17,IF($JC17=2,30,0),IF(85=$HK17,IF($JC17=1,30,0),ABS(13-$HC17)*100)),100000+ABS(4-$HB17)*1000+130)),IF($HD17=0,999999,IF(4=$HE17,IF(85=$HL17,IF($JD17=2,30,0),IF(85=$HM17,IF($JD17=1,30,0),ABS(13-$HF17)*100)),100000+ABS(4-$HE17)*1000+130)),IF($HG17=0,999999,IF(4=$HH17,IF(85=$HN17,IF($JE17=2,30,0),IF(85=$HO17,IF($JE17=1,30,0),ABS(13-$HI17)*100)),100000+ABS(4-$HH17)*1000+130)))-IF((85=$HJ17)+(85=$HK17)+(85=$HL17)+(85=$HM17)+(85=$HN17)+(85=$HO17)&gt;=2,50,0))+CJ$5*50)</f>
        <v/>
      </c>
      <c r="CK137">
        <f>IF(OR($JF17=0,calcA!$A$6=0),0,IF(OR(86=$HA17,86=$HD17,86=$HG17),200000,MIN(IF($HA17=0,999999,IF(4=$HB17,IF(86=$HJ17,IF($JC17=2,30,0),IF(86=$HK17,IF($JC17=1,30,0),ABS(14-$HC17)*100)),100000+ABS(4-$HB17)*1000+140)),IF($HD17=0,999999,IF(4=$HE17,IF(86=$HL17,IF($JD17=2,30,0),IF(86=$HM17,IF($JD17=1,30,0),ABS(14-$HF17)*100)),100000+ABS(4-$HE17)*1000+140)),IF($HG17=0,999999,IF(4=$HH17,IF(86=$HN17,IF($JE17=2,30,0),IF(86=$HO17,IF($JE17=1,30,0),ABS(14-$HI17)*100)),100000+ABS(4-$HH17)*1000+140)))-IF((86=$HJ17)+(86=$HK17)+(86=$HL17)+(86=$HM17)+(86=$HN17)+(86=$HO17)&gt;=2,50,0))+CK$5*50)</f>
        <v/>
      </c>
      <c r="CL137">
        <f>IF(OR($JF17=0,calcA!$A$6=0),0,IF(OR(87=$HA17,87=$HD17,87=$HG17),200000,MIN(IF($HA17=0,999999,IF(4=$HB17,IF(87=$HJ17,IF($JC17=2,30,0),IF(87=$HK17,IF($JC17=1,30,0),ABS(15-$HC17)*100)),100000+ABS(4-$HB17)*1000+150)),IF($HD17=0,999999,IF(4=$HE17,IF(87=$HL17,IF($JD17=2,30,0),IF(87=$HM17,IF($JD17=1,30,0),ABS(15-$HF17)*100)),100000+ABS(4-$HE17)*1000+150)),IF($HG17=0,999999,IF(4=$HH17,IF(87=$HN17,IF($JE17=2,30,0),IF(87=$HO17,IF($JE17=1,30,0),ABS(15-$HI17)*100)),100000+ABS(4-$HH17)*1000+150)))-IF((87=$HJ17)+(87=$HK17)+(87=$HL17)+(87=$HM17)+(87=$HN17)+(87=$HO17)&gt;=2,50,0))+CL$5*50)</f>
        <v/>
      </c>
      <c r="CM137">
        <f>IF(OR($JF17=0,calcA!$A$6=0),0,IF(OR(88=$HA17,88=$HD17,88=$HG17),200000,MIN(IF($HA17=0,999999,IF(4=$HB17,IF(88=$HJ17,IF($JC17=2,30,0),IF(88=$HK17,IF($JC17=1,30,0),ABS(16-$HC17)*100)),100000+ABS(4-$HB17)*1000+160)),IF($HD17=0,999999,IF(4=$HE17,IF(88=$HL17,IF($JD17=2,30,0),IF(88=$HM17,IF($JD17=1,30,0),ABS(16-$HF17)*100)),100000+ABS(4-$HE17)*1000+160)),IF($HG17=0,999999,IF(4=$HH17,IF(88=$HN17,IF($JE17=2,30,0),IF(88=$HO17,IF($JE17=1,30,0),ABS(16-$HI17)*100)),100000+ABS(4-$HH17)*1000+160)))-IF((88=$HJ17)+(88=$HK17)+(88=$HL17)+(88=$HM17)+(88=$HN17)+(88=$HO17)&gt;=2,50,0))+CM$5*50)</f>
        <v/>
      </c>
      <c r="CN137">
        <f>IF(OR($JF17=0,calcA!$A$6=0),0,IF(OR(89=$HA17,89=$HD17,89=$HG17),200000,MIN(IF($HA17=0,999999,IF(4=$HB17,IF(89=$HJ17,IF($JC17=2,30,0),IF(89=$HK17,IF($JC17=1,30,0),ABS(17-$HC17)*100)),100000+ABS(4-$HB17)*1000+170)),IF($HD17=0,999999,IF(4=$HE17,IF(89=$HL17,IF($JD17=2,30,0),IF(89=$HM17,IF($JD17=1,30,0),ABS(17-$HF17)*100)),100000+ABS(4-$HE17)*1000+170)),IF($HG17=0,999999,IF(4=$HH17,IF(89=$HN17,IF($JE17=2,30,0),IF(89=$HO17,IF($JE17=1,30,0),ABS(17-$HI17)*100)),100000+ABS(4-$HH17)*1000+170)))-IF((89=$HJ17)+(89=$HK17)+(89=$HL17)+(89=$HM17)+(89=$HN17)+(89=$HO17)&gt;=2,50,0))+CN$5*50)</f>
        <v/>
      </c>
      <c r="CO137">
        <f>IF(OR($JF17=0,calcA!$A$6=0),0,IF(OR(90=$HA17,90=$HD17,90=$HG17),200000,MIN(IF($HA17=0,999999,IF(4=$HB17,IF(90=$HJ17,IF($JC17=2,30,0),IF(90=$HK17,IF($JC17=1,30,0),ABS(18-$HC17)*100)),100000+ABS(4-$HB17)*1000+180)),IF($HD17=0,999999,IF(4=$HE17,IF(90=$HL17,IF($JD17=2,30,0),IF(90=$HM17,IF($JD17=1,30,0),ABS(18-$HF17)*100)),100000+ABS(4-$HE17)*1000+180)),IF($HG17=0,999999,IF(4=$HH17,IF(90=$HN17,IF($JE17=2,30,0),IF(90=$HO17,IF($JE17=1,30,0),ABS(18-$HI17)*100)),100000+ABS(4-$HH17)*1000+180)))-IF((90=$HJ17)+(90=$HK17)+(90=$HL17)+(90=$HM17)+(90=$HN17)+(90=$HO17)&gt;=2,50,0))+CO$5*50)</f>
        <v/>
      </c>
      <c r="CP137">
        <f>IF(OR($JF17=0,calcA!$A$6=0),0,IF(OR(91=$HA17,91=$HD17,91=$HG17),200000,MIN(IF($HA17=0,999999,IF(4=$HB17,IF(91=$HJ17,IF($JC17=2,30,0),IF(91=$HK17,IF($JC17=1,30,0),ABS(19-$HC17)*100)),100000+ABS(4-$HB17)*1000+190)),IF($HD17=0,999999,IF(4=$HE17,IF(91=$HL17,IF($JD17=2,30,0),IF(91=$HM17,IF($JD17=1,30,0),ABS(19-$HF17)*100)),100000+ABS(4-$HE17)*1000+190)),IF($HG17=0,999999,IF(4=$HH17,IF(91=$HN17,IF($JE17=2,30,0),IF(91=$HO17,IF($JE17=1,30,0),ABS(19-$HI17)*100)),100000+ABS(4-$HH17)*1000+190)))-IF((91=$HJ17)+(91=$HK17)+(91=$HL17)+(91=$HM17)+(91=$HN17)+(91=$HO17)&gt;=2,50,0))+CP$5*50)</f>
        <v/>
      </c>
      <c r="CQ137">
        <f>IF(OR($JF17=0,calcA!$A$6=0),0,IF(OR(92=$HA17,92=$HD17,92=$HG17),200000,MIN(IF($HA17=0,999999,IF(4=$HB17,IF(92=$HJ17,IF($JC17=2,30,0),IF(92=$HK17,IF($JC17=1,30,0),ABS(20-$HC17)*100)),100000+ABS(4-$HB17)*1000+200)),IF($HD17=0,999999,IF(4=$HE17,IF(92=$HL17,IF($JD17=2,30,0),IF(92=$HM17,IF($JD17=1,30,0),ABS(20-$HF17)*100)),100000+ABS(4-$HE17)*1000+200)),IF($HG17=0,999999,IF(4=$HH17,IF(92=$HN17,IF($JE17=2,30,0),IF(92=$HO17,IF($JE17=1,30,0),ABS(20-$HI17)*100)),100000+ABS(4-$HH17)*1000+200)))-IF((92=$HJ17)+(92=$HK17)+(92=$HL17)+(92=$HM17)+(92=$HN17)+(92=$HO17)&gt;=2,50,0))+CQ$5*50)</f>
        <v/>
      </c>
      <c r="CR137">
        <f>IF(OR($JF17=0,calcA!$A$6=0),0,IF(OR(93=$HA17,93=$HD17,93=$HG17),200000,MIN(IF($HA17=0,999999,IF(4=$HB17,IF(93=$HJ17,IF($JC17=2,30,0),IF(93=$HK17,IF($JC17=1,30,0),ABS(21-$HC17)*100)),100000+ABS(4-$HB17)*1000+210)),IF($HD17=0,999999,IF(4=$HE17,IF(93=$HL17,IF($JD17=2,30,0),IF(93=$HM17,IF($JD17=1,30,0),ABS(21-$HF17)*100)),100000+ABS(4-$HE17)*1000+210)),IF($HG17=0,999999,IF(4=$HH17,IF(93=$HN17,IF($JE17=2,30,0),IF(93=$HO17,IF($JE17=1,30,0),ABS(21-$HI17)*100)),100000+ABS(4-$HH17)*1000+210)))-IF((93=$HJ17)+(93=$HK17)+(93=$HL17)+(93=$HM17)+(93=$HN17)+(93=$HO17)&gt;=2,50,0))+CR$5*50)</f>
        <v/>
      </c>
      <c r="CS137">
        <f>IF(OR($JF17=0,calcA!$A$6=0),0,IF(OR(94=$HA17,94=$HD17,94=$HG17),200000,MIN(IF($HA17=0,999999,IF(4=$HB17,IF(94=$HJ17,IF($JC17=2,30,0),IF(94=$HK17,IF($JC17=1,30,0),ABS(22-$HC17)*100)),100000+ABS(4-$HB17)*1000+220)),IF($HD17=0,999999,IF(4=$HE17,IF(94=$HL17,IF($JD17=2,30,0),IF(94=$HM17,IF($JD17=1,30,0),ABS(22-$HF17)*100)),100000+ABS(4-$HE17)*1000+220)),IF($HG17=0,999999,IF(4=$HH17,IF(94=$HN17,IF($JE17=2,30,0),IF(94=$HO17,IF($JE17=1,30,0),ABS(22-$HI17)*100)),100000+ABS(4-$HH17)*1000+220)))-IF((94=$HJ17)+(94=$HK17)+(94=$HL17)+(94=$HM17)+(94=$HN17)+(94=$HO17)&gt;=2,50,0))+CS$5*50)</f>
        <v/>
      </c>
      <c r="CT137">
        <f>IF(OR($JF17=0,calcA!$A$6=0),0,IF(OR(95=$HA17,95=$HD17,95=$HG17),200000,MIN(IF($HA17=0,999999,IF(4=$HB17,IF(95=$HJ17,IF($JC17=2,30,0),IF(95=$HK17,IF($JC17=1,30,0),ABS(23-$HC17)*100)),100000+ABS(4-$HB17)*1000+230)),IF($HD17=0,999999,IF(4=$HE17,IF(95=$HL17,IF($JD17=2,30,0),IF(95=$HM17,IF($JD17=1,30,0),ABS(23-$HF17)*100)),100000+ABS(4-$HE17)*1000+230)),IF($HG17=0,999999,IF(4=$HH17,IF(95=$HN17,IF($JE17=2,30,0),IF(95=$HO17,IF($JE17=1,30,0),ABS(23-$HI17)*100)),100000+ABS(4-$HH17)*1000+230)))-IF((95=$HJ17)+(95=$HK17)+(95=$HL17)+(95=$HM17)+(95=$HN17)+(95=$HO17)&gt;=2,50,0))+CT$5*50)</f>
        <v/>
      </c>
      <c r="CU137">
        <f>IF(OR($JF17=0,calcA!$A$6=0),0,IF(OR(96=$HA17,96=$HD17,96=$HG17),200000,MIN(IF($HA17=0,999999,IF(4=$HB17,IF(96=$HJ17,IF($JC17=2,30,0),IF(96=$HK17,IF($JC17=1,30,0),ABS(24-$HC17)*100)),100000+ABS(4-$HB17)*1000+240)),IF($HD17=0,999999,IF(4=$HE17,IF(96=$HL17,IF($JD17=2,30,0),IF(96=$HM17,IF($JD17=1,30,0),ABS(24-$HF17)*100)),100000+ABS(4-$HE17)*1000+240)),IF($HG17=0,999999,IF(4=$HH17,IF(96=$HN17,IF($JE17=2,30,0),IF(96=$HO17,IF($JE17=1,30,0),ABS(24-$HI17)*100)),100000+ABS(4-$HH17)*1000+240)))-IF((96=$HJ17)+(96=$HK17)+(96=$HL17)+(96=$HM17)+(96=$HN17)+(96=$HO17)&gt;=2,50,0))+CU$5*50)</f>
        <v/>
      </c>
      <c r="CV137">
        <f>IF(OR($JF17=0,calcA!$A$6=0),0,IF(OR(97=$HA17,97=$HD17,97=$HG17),200000,MIN(IF($HA17=0,999999,IF(5=$HB17,IF(97=$HJ17,IF($JC17=2,30,0),IF(97=$HK17,IF($JC17=1,30,0),ABS(1-$HC17)*100)),100000+ABS(5-$HB17)*1000+10)),IF($HD17=0,999999,IF(5=$HE17,IF(97=$HL17,IF($JD17=2,30,0),IF(97=$HM17,IF($JD17=1,30,0),ABS(1-$HF17)*100)),100000+ABS(5-$HE17)*1000+10)),IF($HG17=0,999999,IF(5=$HH17,IF(97=$HN17,IF($JE17=2,30,0),IF(97=$HO17,IF($JE17=1,30,0),ABS(1-$HI17)*100)),100000+ABS(5-$HH17)*1000+10)))-IF((97=$HJ17)+(97=$HK17)+(97=$HL17)+(97=$HM17)+(97=$HN17)+(97=$HO17)&gt;=2,50,0))+CV$5*50)</f>
        <v/>
      </c>
      <c r="CW137">
        <f>IF(OR($JF17=0,calcA!$A$6=0),0,IF(OR(98=$HA17,98=$HD17,98=$HG17),200000,MIN(IF($HA17=0,999999,IF(5=$HB17,IF(98=$HJ17,IF($JC17=2,30,0),IF(98=$HK17,IF($JC17=1,30,0),ABS(2-$HC17)*100)),100000+ABS(5-$HB17)*1000+20)),IF($HD17=0,999999,IF(5=$HE17,IF(98=$HL17,IF($JD17=2,30,0),IF(98=$HM17,IF($JD17=1,30,0),ABS(2-$HF17)*100)),100000+ABS(5-$HE17)*1000+20)),IF($HG17=0,999999,IF(5=$HH17,IF(98=$HN17,IF($JE17=2,30,0),IF(98=$HO17,IF($JE17=1,30,0),ABS(2-$HI17)*100)),100000+ABS(5-$HH17)*1000+20)))-IF((98=$HJ17)+(98=$HK17)+(98=$HL17)+(98=$HM17)+(98=$HN17)+(98=$HO17)&gt;=2,50,0))+CW$5*50)</f>
        <v/>
      </c>
      <c r="CX137">
        <f>IF(OR($JF17=0,calcA!$A$6=0),0,IF(OR(99=$HA17,99=$HD17,99=$HG17),200000,MIN(IF($HA17=0,999999,IF(5=$HB17,IF(99=$HJ17,IF($JC17=2,30,0),IF(99=$HK17,IF($JC17=1,30,0),ABS(3-$HC17)*100)),100000+ABS(5-$HB17)*1000+30)),IF($HD17=0,999999,IF(5=$HE17,IF(99=$HL17,IF($JD17=2,30,0),IF(99=$HM17,IF($JD17=1,30,0),ABS(3-$HF17)*100)),100000+ABS(5-$HE17)*1000+30)),IF($HG17=0,999999,IF(5=$HH17,IF(99=$HN17,IF($JE17=2,30,0),IF(99=$HO17,IF($JE17=1,30,0),ABS(3-$HI17)*100)),100000+ABS(5-$HH17)*1000+30)))-IF((99=$HJ17)+(99=$HK17)+(99=$HL17)+(99=$HM17)+(99=$HN17)+(99=$HO17)&gt;=2,50,0))+CX$5*50)</f>
        <v/>
      </c>
      <c r="CY137">
        <f>IF(OR($JF17=0,calcA!$A$6=0),0,IF(OR(100=$HA17,100=$HD17,100=$HG17),200000,MIN(IF($HA17=0,999999,IF(5=$HB17,IF(100=$HJ17,IF($JC17=2,30,0),IF(100=$HK17,IF($JC17=1,30,0),ABS(4-$HC17)*100)),100000+ABS(5-$HB17)*1000+40)),IF($HD17=0,999999,IF(5=$HE17,IF(100=$HL17,IF($JD17=2,30,0),IF(100=$HM17,IF($JD17=1,30,0),ABS(4-$HF17)*100)),100000+ABS(5-$HE17)*1000+40)),IF($HG17=0,999999,IF(5=$HH17,IF(100=$HN17,IF($JE17=2,30,0),IF(100=$HO17,IF($JE17=1,30,0),ABS(4-$HI17)*100)),100000+ABS(5-$HH17)*1000+40)))-IF((100=$HJ17)+(100=$HK17)+(100=$HL17)+(100=$HM17)+(100=$HN17)+(100=$HO17)&gt;=2,50,0))+CY$5*50)</f>
        <v/>
      </c>
      <c r="CZ137">
        <f>IF(OR($JF17=0,calcA!$A$6=0),0,IF(OR(101=$HA17,101=$HD17,101=$HG17),200000,MIN(IF($HA17=0,999999,IF(5=$HB17,IF(101=$HJ17,IF($JC17=2,30,0),IF(101=$HK17,IF($JC17=1,30,0),ABS(5-$HC17)*100)),100000+ABS(5-$HB17)*1000+50)),IF($HD17=0,999999,IF(5=$HE17,IF(101=$HL17,IF($JD17=2,30,0),IF(101=$HM17,IF($JD17=1,30,0),ABS(5-$HF17)*100)),100000+ABS(5-$HE17)*1000+50)),IF($HG17=0,999999,IF(5=$HH17,IF(101=$HN17,IF($JE17=2,30,0),IF(101=$HO17,IF($JE17=1,30,0),ABS(5-$HI17)*100)),100000+ABS(5-$HH17)*1000+50)))-IF((101=$HJ17)+(101=$HK17)+(101=$HL17)+(101=$HM17)+(101=$HN17)+(101=$HO17)&gt;=2,50,0))+CZ$5*50)</f>
        <v/>
      </c>
      <c r="DA137">
        <f>IF(OR($JF17=0,calcA!$A$6=0),0,IF(OR(102=$HA17,102=$HD17,102=$HG17),200000,MIN(IF($HA17=0,999999,IF(5=$HB17,IF(102=$HJ17,IF($JC17=2,30,0),IF(102=$HK17,IF($JC17=1,30,0),ABS(6-$HC17)*100)),100000+ABS(5-$HB17)*1000+60)),IF($HD17=0,999999,IF(5=$HE17,IF(102=$HL17,IF($JD17=2,30,0),IF(102=$HM17,IF($JD17=1,30,0),ABS(6-$HF17)*100)),100000+ABS(5-$HE17)*1000+60)),IF($HG17=0,999999,IF(5=$HH17,IF(102=$HN17,IF($JE17=2,30,0),IF(102=$HO17,IF($JE17=1,30,0),ABS(6-$HI17)*100)),100000+ABS(5-$HH17)*1000+60)))-IF((102=$HJ17)+(102=$HK17)+(102=$HL17)+(102=$HM17)+(102=$HN17)+(102=$HO17)&gt;=2,50,0))+DA$5*50)</f>
        <v/>
      </c>
      <c r="DB137">
        <f>IF(OR($JF17=0,calcA!$A$6=0),0,IF(OR(103=$HA17,103=$HD17,103=$HG17),200000,MIN(IF($HA17=0,999999,IF(5=$HB17,IF(103=$HJ17,IF($JC17=2,30,0),IF(103=$HK17,IF($JC17=1,30,0),ABS(7-$HC17)*100)),100000+ABS(5-$HB17)*1000+70)),IF($HD17=0,999999,IF(5=$HE17,IF(103=$HL17,IF($JD17=2,30,0),IF(103=$HM17,IF($JD17=1,30,0),ABS(7-$HF17)*100)),100000+ABS(5-$HE17)*1000+70)),IF($HG17=0,999999,IF(5=$HH17,IF(103=$HN17,IF($JE17=2,30,0),IF(103=$HO17,IF($JE17=1,30,0),ABS(7-$HI17)*100)),100000+ABS(5-$HH17)*1000+70)))-IF((103=$HJ17)+(103=$HK17)+(103=$HL17)+(103=$HM17)+(103=$HN17)+(103=$HO17)&gt;=2,50,0))+DB$5*50)</f>
        <v/>
      </c>
      <c r="DC137">
        <f>IF(OR($JF17=0,calcA!$A$6=0),0,IF(OR(104=$HA17,104=$HD17,104=$HG17),200000,MIN(IF($HA17=0,999999,IF(5=$HB17,IF(104=$HJ17,IF($JC17=2,30,0),IF(104=$HK17,IF($JC17=1,30,0),ABS(8-$HC17)*100)),100000+ABS(5-$HB17)*1000+80)),IF($HD17=0,999999,IF(5=$HE17,IF(104=$HL17,IF($JD17=2,30,0),IF(104=$HM17,IF($JD17=1,30,0),ABS(8-$HF17)*100)),100000+ABS(5-$HE17)*1000+80)),IF($HG17=0,999999,IF(5=$HH17,IF(104=$HN17,IF($JE17=2,30,0),IF(104=$HO17,IF($JE17=1,30,0),ABS(8-$HI17)*100)),100000+ABS(5-$HH17)*1000+80)))-IF((104=$HJ17)+(104=$HK17)+(104=$HL17)+(104=$HM17)+(104=$HN17)+(104=$HO17)&gt;=2,50,0))+DC$5*50)</f>
        <v/>
      </c>
      <c r="DD137">
        <f>IF(OR($JF17=0,calcA!$A$6=0),0,IF(OR(105=$HA17,105=$HD17,105=$HG17),200000,MIN(IF($HA17=0,999999,IF(5=$HB17,IF(105=$HJ17,IF($JC17=2,30,0),IF(105=$HK17,IF($JC17=1,30,0),ABS(9-$HC17)*100)),100000+ABS(5-$HB17)*1000+90)),IF($HD17=0,999999,IF(5=$HE17,IF(105=$HL17,IF($JD17=2,30,0),IF(105=$HM17,IF($JD17=1,30,0),ABS(9-$HF17)*100)),100000+ABS(5-$HE17)*1000+90)),IF($HG17=0,999999,IF(5=$HH17,IF(105=$HN17,IF($JE17=2,30,0),IF(105=$HO17,IF($JE17=1,30,0),ABS(9-$HI17)*100)),100000+ABS(5-$HH17)*1000+90)))-IF((105=$HJ17)+(105=$HK17)+(105=$HL17)+(105=$HM17)+(105=$HN17)+(105=$HO17)&gt;=2,50,0))+DD$5*50)</f>
        <v/>
      </c>
      <c r="DE137">
        <f>IF(OR($JF17=0,calcA!$A$6=0),0,IF(OR(106=$HA17,106=$HD17,106=$HG17),200000,MIN(IF($HA17=0,999999,IF(5=$HB17,IF(106=$HJ17,IF($JC17=2,30,0),IF(106=$HK17,IF($JC17=1,30,0),ABS(10-$HC17)*100)),100000+ABS(5-$HB17)*1000+100)),IF($HD17=0,999999,IF(5=$HE17,IF(106=$HL17,IF($JD17=2,30,0),IF(106=$HM17,IF($JD17=1,30,0),ABS(10-$HF17)*100)),100000+ABS(5-$HE17)*1000+100)),IF($HG17=0,999999,IF(5=$HH17,IF(106=$HN17,IF($JE17=2,30,0),IF(106=$HO17,IF($JE17=1,30,0),ABS(10-$HI17)*100)),100000+ABS(5-$HH17)*1000+100)))-IF((106=$HJ17)+(106=$HK17)+(106=$HL17)+(106=$HM17)+(106=$HN17)+(106=$HO17)&gt;=2,50,0))+DE$5*50)</f>
        <v/>
      </c>
      <c r="DF137">
        <f>IF(OR($JF17=0,calcA!$A$6=0),0,IF(OR(107=$HA17,107=$HD17,107=$HG17),200000,MIN(IF($HA17=0,999999,IF(5=$HB17,IF(107=$HJ17,IF($JC17=2,30,0),IF(107=$HK17,IF($JC17=1,30,0),ABS(11-$HC17)*100)),100000+ABS(5-$HB17)*1000+110)),IF($HD17=0,999999,IF(5=$HE17,IF(107=$HL17,IF($JD17=2,30,0),IF(107=$HM17,IF($JD17=1,30,0),ABS(11-$HF17)*100)),100000+ABS(5-$HE17)*1000+110)),IF($HG17=0,999999,IF(5=$HH17,IF(107=$HN17,IF($JE17=2,30,0),IF(107=$HO17,IF($JE17=1,30,0),ABS(11-$HI17)*100)),100000+ABS(5-$HH17)*1000+110)))-IF((107=$HJ17)+(107=$HK17)+(107=$HL17)+(107=$HM17)+(107=$HN17)+(107=$HO17)&gt;=2,50,0))+DF$5*50)</f>
        <v/>
      </c>
      <c r="DG137">
        <f>IF(OR($JF17=0,calcA!$A$6=0),0,IF(OR(108=$HA17,108=$HD17,108=$HG17),200000,MIN(IF($HA17=0,999999,IF(5=$HB17,IF(108=$HJ17,IF($JC17=2,30,0),IF(108=$HK17,IF($JC17=1,30,0),ABS(12-$HC17)*100)),100000+ABS(5-$HB17)*1000+120)),IF($HD17=0,999999,IF(5=$HE17,IF(108=$HL17,IF($JD17=2,30,0),IF(108=$HM17,IF($JD17=1,30,0),ABS(12-$HF17)*100)),100000+ABS(5-$HE17)*1000+120)),IF($HG17=0,999999,IF(5=$HH17,IF(108=$HN17,IF($JE17=2,30,0),IF(108=$HO17,IF($JE17=1,30,0),ABS(12-$HI17)*100)),100000+ABS(5-$HH17)*1000+120)))-IF((108=$HJ17)+(108=$HK17)+(108=$HL17)+(108=$HM17)+(108=$HN17)+(108=$HO17)&gt;=2,50,0))+DG$5*50)</f>
        <v/>
      </c>
      <c r="DH137">
        <f>IF(OR($JF17=0,calcA!$A$6=0),0,IF(OR(109=$HA17,109=$HD17,109=$HG17),200000,MIN(IF($HA17=0,999999,IF(5=$HB17,IF(109=$HJ17,IF($JC17=2,30,0),IF(109=$HK17,IF($JC17=1,30,0),ABS(13-$HC17)*100)),100000+ABS(5-$HB17)*1000+130)),IF($HD17=0,999999,IF(5=$HE17,IF(109=$HL17,IF($JD17=2,30,0),IF(109=$HM17,IF($JD17=1,30,0),ABS(13-$HF17)*100)),100000+ABS(5-$HE17)*1000+130)),IF($HG17=0,999999,IF(5=$HH17,IF(109=$HN17,IF($JE17=2,30,0),IF(109=$HO17,IF($JE17=1,30,0),ABS(13-$HI17)*100)),100000+ABS(5-$HH17)*1000+130)))-IF((109=$HJ17)+(109=$HK17)+(109=$HL17)+(109=$HM17)+(109=$HN17)+(109=$HO17)&gt;=2,50,0))+DH$5*50)</f>
        <v/>
      </c>
      <c r="DI137">
        <f>IF(OR($JF17=0,calcA!$A$6=0),0,IF(OR(110=$HA17,110=$HD17,110=$HG17),200000,MIN(IF($HA17=0,999999,IF(5=$HB17,IF(110=$HJ17,IF($JC17=2,30,0),IF(110=$HK17,IF($JC17=1,30,0),ABS(14-$HC17)*100)),100000+ABS(5-$HB17)*1000+140)),IF($HD17=0,999999,IF(5=$HE17,IF(110=$HL17,IF($JD17=2,30,0),IF(110=$HM17,IF($JD17=1,30,0),ABS(14-$HF17)*100)),100000+ABS(5-$HE17)*1000+140)),IF($HG17=0,999999,IF(5=$HH17,IF(110=$HN17,IF($JE17=2,30,0),IF(110=$HO17,IF($JE17=1,30,0),ABS(14-$HI17)*100)),100000+ABS(5-$HH17)*1000+140)))-IF((110=$HJ17)+(110=$HK17)+(110=$HL17)+(110=$HM17)+(110=$HN17)+(110=$HO17)&gt;=2,50,0))+DI$5*50)</f>
        <v/>
      </c>
      <c r="DJ137">
        <f>IF(OR($JF17=0,calcA!$A$6=0),0,IF(OR(111=$HA17,111=$HD17,111=$HG17),200000,MIN(IF($HA17=0,999999,IF(5=$HB17,IF(111=$HJ17,IF($JC17=2,30,0),IF(111=$HK17,IF($JC17=1,30,0),ABS(15-$HC17)*100)),100000+ABS(5-$HB17)*1000+150)),IF($HD17=0,999999,IF(5=$HE17,IF(111=$HL17,IF($JD17=2,30,0),IF(111=$HM17,IF($JD17=1,30,0),ABS(15-$HF17)*100)),100000+ABS(5-$HE17)*1000+150)),IF($HG17=0,999999,IF(5=$HH17,IF(111=$HN17,IF($JE17=2,30,0),IF(111=$HO17,IF($JE17=1,30,0),ABS(15-$HI17)*100)),100000+ABS(5-$HH17)*1000+150)))-IF((111=$HJ17)+(111=$HK17)+(111=$HL17)+(111=$HM17)+(111=$HN17)+(111=$HO17)&gt;=2,50,0))+DJ$5*50)</f>
        <v/>
      </c>
      <c r="DK137">
        <f>IF(OR($JF17=0,calcA!$A$6=0),0,IF(OR(112=$HA17,112=$HD17,112=$HG17),200000,MIN(IF($HA17=0,999999,IF(5=$HB17,IF(112=$HJ17,IF($JC17=2,30,0),IF(112=$HK17,IF($JC17=1,30,0),ABS(16-$HC17)*100)),100000+ABS(5-$HB17)*1000+160)),IF($HD17=0,999999,IF(5=$HE17,IF(112=$HL17,IF($JD17=2,30,0),IF(112=$HM17,IF($JD17=1,30,0),ABS(16-$HF17)*100)),100000+ABS(5-$HE17)*1000+160)),IF($HG17=0,999999,IF(5=$HH17,IF(112=$HN17,IF($JE17=2,30,0),IF(112=$HO17,IF($JE17=1,30,0),ABS(16-$HI17)*100)),100000+ABS(5-$HH17)*1000+160)))-IF((112=$HJ17)+(112=$HK17)+(112=$HL17)+(112=$HM17)+(112=$HN17)+(112=$HO17)&gt;=2,50,0))+DK$5*50)</f>
        <v/>
      </c>
      <c r="DL137">
        <f>IF(OR($JF17=0,calcA!$A$6=0),0,IF(OR(113=$HA17,113=$HD17,113=$HG17),200000,MIN(IF($HA17=0,999999,IF(5=$HB17,IF(113=$HJ17,IF($JC17=2,30,0),IF(113=$HK17,IF($JC17=1,30,0),ABS(17-$HC17)*100)),100000+ABS(5-$HB17)*1000+170)),IF($HD17=0,999999,IF(5=$HE17,IF(113=$HL17,IF($JD17=2,30,0),IF(113=$HM17,IF($JD17=1,30,0),ABS(17-$HF17)*100)),100000+ABS(5-$HE17)*1000+170)),IF($HG17=0,999999,IF(5=$HH17,IF(113=$HN17,IF($JE17=2,30,0),IF(113=$HO17,IF($JE17=1,30,0),ABS(17-$HI17)*100)),100000+ABS(5-$HH17)*1000+170)))-IF((113=$HJ17)+(113=$HK17)+(113=$HL17)+(113=$HM17)+(113=$HN17)+(113=$HO17)&gt;=2,50,0))+DL$5*50)</f>
        <v/>
      </c>
      <c r="DM137">
        <f>IF(OR($JF17=0,calcA!$A$6=0),0,IF(OR(114=$HA17,114=$HD17,114=$HG17),200000,MIN(IF($HA17=0,999999,IF(5=$HB17,IF(114=$HJ17,IF($JC17=2,30,0),IF(114=$HK17,IF($JC17=1,30,0),ABS(18-$HC17)*100)),100000+ABS(5-$HB17)*1000+180)),IF($HD17=0,999999,IF(5=$HE17,IF(114=$HL17,IF($JD17=2,30,0),IF(114=$HM17,IF($JD17=1,30,0),ABS(18-$HF17)*100)),100000+ABS(5-$HE17)*1000+180)),IF($HG17=0,999999,IF(5=$HH17,IF(114=$HN17,IF($JE17=2,30,0),IF(114=$HO17,IF($JE17=1,30,0),ABS(18-$HI17)*100)),100000+ABS(5-$HH17)*1000+180)))-IF((114=$HJ17)+(114=$HK17)+(114=$HL17)+(114=$HM17)+(114=$HN17)+(114=$HO17)&gt;=2,50,0))+DM$5*50)</f>
        <v/>
      </c>
      <c r="DN137">
        <f>IF(OR($JF17=0,calcA!$A$6=0),0,IF(OR(115=$HA17,115=$HD17,115=$HG17),200000,MIN(IF($HA17=0,999999,IF(5=$HB17,IF(115=$HJ17,IF($JC17=2,30,0),IF(115=$HK17,IF($JC17=1,30,0),ABS(19-$HC17)*100)),100000+ABS(5-$HB17)*1000+190)),IF($HD17=0,999999,IF(5=$HE17,IF(115=$HL17,IF($JD17=2,30,0),IF(115=$HM17,IF($JD17=1,30,0),ABS(19-$HF17)*100)),100000+ABS(5-$HE17)*1000+190)),IF($HG17=0,999999,IF(5=$HH17,IF(115=$HN17,IF($JE17=2,30,0),IF(115=$HO17,IF($JE17=1,30,0),ABS(19-$HI17)*100)),100000+ABS(5-$HH17)*1000+190)))-IF((115=$HJ17)+(115=$HK17)+(115=$HL17)+(115=$HM17)+(115=$HN17)+(115=$HO17)&gt;=2,50,0))+DN$5*50)</f>
        <v/>
      </c>
      <c r="DO137">
        <f>IF(OR($JF17=0,calcA!$A$6=0),0,IF(OR(116=$HA17,116=$HD17,116=$HG17),200000,MIN(IF($HA17=0,999999,IF(5=$HB17,IF(116=$HJ17,IF($JC17=2,30,0),IF(116=$HK17,IF($JC17=1,30,0),ABS(20-$HC17)*100)),100000+ABS(5-$HB17)*1000+200)),IF($HD17=0,999999,IF(5=$HE17,IF(116=$HL17,IF($JD17=2,30,0),IF(116=$HM17,IF($JD17=1,30,0),ABS(20-$HF17)*100)),100000+ABS(5-$HE17)*1000+200)),IF($HG17=0,999999,IF(5=$HH17,IF(116=$HN17,IF($JE17=2,30,0),IF(116=$HO17,IF($JE17=1,30,0),ABS(20-$HI17)*100)),100000+ABS(5-$HH17)*1000+200)))-IF((116=$HJ17)+(116=$HK17)+(116=$HL17)+(116=$HM17)+(116=$HN17)+(116=$HO17)&gt;=2,50,0))+DO$5*50)</f>
        <v/>
      </c>
      <c r="DP137">
        <f>IF(OR($JF17=0,calcA!$A$6=0),0,IF(OR(117=$HA17,117=$HD17,117=$HG17),200000,MIN(IF($HA17=0,999999,IF(5=$HB17,IF(117=$HJ17,IF($JC17=2,30,0),IF(117=$HK17,IF($JC17=1,30,0),ABS(21-$HC17)*100)),100000+ABS(5-$HB17)*1000+210)),IF($HD17=0,999999,IF(5=$HE17,IF(117=$HL17,IF($JD17=2,30,0),IF(117=$HM17,IF($JD17=1,30,0),ABS(21-$HF17)*100)),100000+ABS(5-$HE17)*1000+210)),IF($HG17=0,999999,IF(5=$HH17,IF(117=$HN17,IF($JE17=2,30,0),IF(117=$HO17,IF($JE17=1,30,0),ABS(21-$HI17)*100)),100000+ABS(5-$HH17)*1000+210)))-IF((117=$HJ17)+(117=$HK17)+(117=$HL17)+(117=$HM17)+(117=$HN17)+(117=$HO17)&gt;=2,50,0))+DP$5*50)</f>
        <v/>
      </c>
      <c r="DQ137">
        <f>IF(OR($JF17=0,calcA!$A$6=0),0,IF(OR(118=$HA17,118=$HD17,118=$HG17),200000,MIN(IF($HA17=0,999999,IF(5=$HB17,IF(118=$HJ17,IF($JC17=2,30,0),IF(118=$HK17,IF($JC17=1,30,0),ABS(22-$HC17)*100)),100000+ABS(5-$HB17)*1000+220)),IF($HD17=0,999999,IF(5=$HE17,IF(118=$HL17,IF($JD17=2,30,0),IF(118=$HM17,IF($JD17=1,30,0),ABS(22-$HF17)*100)),100000+ABS(5-$HE17)*1000+220)),IF($HG17=0,999999,IF(5=$HH17,IF(118=$HN17,IF($JE17=2,30,0),IF(118=$HO17,IF($JE17=1,30,0),ABS(22-$HI17)*100)),100000+ABS(5-$HH17)*1000+220)))-IF((118=$HJ17)+(118=$HK17)+(118=$HL17)+(118=$HM17)+(118=$HN17)+(118=$HO17)&gt;=2,50,0))+DQ$5*50)</f>
        <v/>
      </c>
      <c r="DR137">
        <f>IF(OR($JF17=0,calcA!$A$6=0),0,IF(OR(119=$HA17,119=$HD17,119=$HG17),200000,MIN(IF($HA17=0,999999,IF(5=$HB17,IF(119=$HJ17,IF($JC17=2,30,0),IF(119=$HK17,IF($JC17=1,30,0),ABS(23-$HC17)*100)),100000+ABS(5-$HB17)*1000+230)),IF($HD17=0,999999,IF(5=$HE17,IF(119=$HL17,IF($JD17=2,30,0),IF(119=$HM17,IF($JD17=1,30,0),ABS(23-$HF17)*100)),100000+ABS(5-$HE17)*1000+230)),IF($HG17=0,999999,IF(5=$HH17,IF(119=$HN17,IF($JE17=2,30,0),IF(119=$HO17,IF($JE17=1,30,0),ABS(23-$HI17)*100)),100000+ABS(5-$HH17)*1000+230)))-IF((119=$HJ17)+(119=$HK17)+(119=$HL17)+(119=$HM17)+(119=$HN17)+(119=$HO17)&gt;=2,50,0))+DR$5*50)</f>
        <v/>
      </c>
      <c r="DS137">
        <f>IF(OR($JF17=0,calcA!$A$6=0),0,IF(OR(120=$HA17,120=$HD17,120=$HG17),200000,MIN(IF($HA17=0,999999,IF(5=$HB17,IF(120=$HJ17,IF($JC17=2,30,0),IF(120=$HK17,IF($JC17=1,30,0),ABS(24-$HC17)*100)),100000+ABS(5-$HB17)*1000+240)),IF($HD17=0,999999,IF(5=$HE17,IF(120=$HL17,IF($JD17=2,30,0),IF(120=$HM17,IF($JD17=1,30,0),ABS(24-$HF17)*100)),100000+ABS(5-$HE17)*1000+240)),IF($HG17=0,999999,IF(5=$HH17,IF(120=$HN17,IF($JE17=2,30,0),IF(120=$HO17,IF($JE17=1,30,0),ABS(24-$HI17)*100)),100000+ABS(5-$HH17)*1000+240)))-IF((120=$HJ17)+(120=$HK17)+(120=$HL17)+(120=$HM17)+(120=$HN17)+(120=$HO17)&gt;=2,50,0))+DS$5*50)</f>
        <v/>
      </c>
      <c r="DT137">
        <f>IF(OR($JF17=0,calcA!$A$6=0),0,IF(OR(121=$HA17,121=$HD17,121=$HG17),200000,MIN(IF($HA17=0,999999,IF(6=$HB17,IF(121=$HJ17,IF($JC17=2,30,0),IF(121=$HK17,IF($JC17=1,30,0),ABS(1-$HC17)*100)),100000+ABS(6-$HB17)*1000+10)),IF($HD17=0,999999,IF(6=$HE17,IF(121=$HL17,IF($JD17=2,30,0),IF(121=$HM17,IF($JD17=1,30,0),ABS(1-$HF17)*100)),100000+ABS(6-$HE17)*1000+10)),IF($HG17=0,999999,IF(6=$HH17,IF(121=$HN17,IF($JE17=2,30,0),IF(121=$HO17,IF($JE17=1,30,0),ABS(1-$HI17)*100)),100000+ABS(6-$HH17)*1000+10)))-IF((121=$HJ17)+(121=$HK17)+(121=$HL17)+(121=$HM17)+(121=$HN17)+(121=$HO17)&gt;=2,50,0))+DT$5*50)</f>
        <v/>
      </c>
      <c r="DU137">
        <f>IF(OR($JF17=0,calcA!$A$6=0),0,IF(OR(122=$HA17,122=$HD17,122=$HG17),200000,MIN(IF($HA17=0,999999,IF(6=$HB17,IF(122=$HJ17,IF($JC17=2,30,0),IF(122=$HK17,IF($JC17=1,30,0),ABS(2-$HC17)*100)),100000+ABS(6-$HB17)*1000+20)),IF($HD17=0,999999,IF(6=$HE17,IF(122=$HL17,IF($JD17=2,30,0),IF(122=$HM17,IF($JD17=1,30,0),ABS(2-$HF17)*100)),100000+ABS(6-$HE17)*1000+20)),IF($HG17=0,999999,IF(6=$HH17,IF(122=$HN17,IF($JE17=2,30,0),IF(122=$HO17,IF($JE17=1,30,0),ABS(2-$HI17)*100)),100000+ABS(6-$HH17)*1000+20)))-IF((122=$HJ17)+(122=$HK17)+(122=$HL17)+(122=$HM17)+(122=$HN17)+(122=$HO17)&gt;=2,50,0))+DU$5*50)</f>
        <v/>
      </c>
      <c r="DV137">
        <f>IF(OR($JF17=0,calcA!$A$6=0),0,IF(OR(123=$HA17,123=$HD17,123=$HG17),200000,MIN(IF($HA17=0,999999,IF(6=$HB17,IF(123=$HJ17,IF($JC17=2,30,0),IF(123=$HK17,IF($JC17=1,30,0),ABS(3-$HC17)*100)),100000+ABS(6-$HB17)*1000+30)),IF($HD17=0,999999,IF(6=$HE17,IF(123=$HL17,IF($JD17=2,30,0),IF(123=$HM17,IF($JD17=1,30,0),ABS(3-$HF17)*100)),100000+ABS(6-$HE17)*1000+30)),IF($HG17=0,999999,IF(6=$HH17,IF(123=$HN17,IF($JE17=2,30,0),IF(123=$HO17,IF($JE17=1,30,0),ABS(3-$HI17)*100)),100000+ABS(6-$HH17)*1000+30)))-IF((123=$HJ17)+(123=$HK17)+(123=$HL17)+(123=$HM17)+(123=$HN17)+(123=$HO17)&gt;=2,50,0))+DV$5*50)</f>
        <v/>
      </c>
      <c r="DW137">
        <f>IF(OR($JF17=0,calcA!$A$6=0),0,IF(OR(124=$HA17,124=$HD17,124=$HG17),200000,MIN(IF($HA17=0,999999,IF(6=$HB17,IF(124=$HJ17,IF($JC17=2,30,0),IF(124=$HK17,IF($JC17=1,30,0),ABS(4-$HC17)*100)),100000+ABS(6-$HB17)*1000+40)),IF($HD17=0,999999,IF(6=$HE17,IF(124=$HL17,IF($JD17=2,30,0),IF(124=$HM17,IF($JD17=1,30,0),ABS(4-$HF17)*100)),100000+ABS(6-$HE17)*1000+40)),IF($HG17=0,999999,IF(6=$HH17,IF(124=$HN17,IF($JE17=2,30,0),IF(124=$HO17,IF($JE17=1,30,0),ABS(4-$HI17)*100)),100000+ABS(6-$HH17)*1000+40)))-IF((124=$HJ17)+(124=$HK17)+(124=$HL17)+(124=$HM17)+(124=$HN17)+(124=$HO17)&gt;=2,50,0))+DW$5*50)</f>
        <v/>
      </c>
      <c r="DX137">
        <f>IF(OR($JF17=0,calcA!$A$6=0),0,IF(OR(125=$HA17,125=$HD17,125=$HG17),200000,MIN(IF($HA17=0,999999,IF(6=$HB17,IF(125=$HJ17,IF($JC17=2,30,0),IF(125=$HK17,IF($JC17=1,30,0),ABS(5-$HC17)*100)),100000+ABS(6-$HB17)*1000+50)),IF($HD17=0,999999,IF(6=$HE17,IF(125=$HL17,IF($JD17=2,30,0),IF(125=$HM17,IF($JD17=1,30,0),ABS(5-$HF17)*100)),100000+ABS(6-$HE17)*1000+50)),IF($HG17=0,999999,IF(6=$HH17,IF(125=$HN17,IF($JE17=2,30,0),IF(125=$HO17,IF($JE17=1,30,0),ABS(5-$HI17)*100)),100000+ABS(6-$HH17)*1000+50)))-IF((125=$HJ17)+(125=$HK17)+(125=$HL17)+(125=$HM17)+(125=$HN17)+(125=$HO17)&gt;=2,50,0))+DX$5*50)</f>
        <v/>
      </c>
      <c r="DY137">
        <f>IF(OR($JF17=0,calcA!$A$6=0),0,IF(OR(126=$HA17,126=$HD17,126=$HG17),200000,MIN(IF($HA17=0,999999,IF(6=$HB17,IF(126=$HJ17,IF($JC17=2,30,0),IF(126=$HK17,IF($JC17=1,30,0),ABS(6-$HC17)*100)),100000+ABS(6-$HB17)*1000+60)),IF($HD17=0,999999,IF(6=$HE17,IF(126=$HL17,IF($JD17=2,30,0),IF(126=$HM17,IF($JD17=1,30,0),ABS(6-$HF17)*100)),100000+ABS(6-$HE17)*1000+60)),IF($HG17=0,999999,IF(6=$HH17,IF(126=$HN17,IF($JE17=2,30,0),IF(126=$HO17,IF($JE17=1,30,0),ABS(6-$HI17)*100)),100000+ABS(6-$HH17)*1000+60)))-IF((126=$HJ17)+(126=$HK17)+(126=$HL17)+(126=$HM17)+(126=$HN17)+(126=$HO17)&gt;=2,50,0))+DY$5*50)</f>
        <v/>
      </c>
      <c r="DZ137">
        <f>IF(OR($JF17=0,calcA!$A$6=0),0,IF(OR(127=$HA17,127=$HD17,127=$HG17),200000,MIN(IF($HA17=0,999999,IF(6=$HB17,IF(127=$HJ17,IF($JC17=2,30,0),IF(127=$HK17,IF($JC17=1,30,0),ABS(7-$HC17)*100)),100000+ABS(6-$HB17)*1000+70)),IF($HD17=0,999999,IF(6=$HE17,IF(127=$HL17,IF($JD17=2,30,0),IF(127=$HM17,IF($JD17=1,30,0),ABS(7-$HF17)*100)),100000+ABS(6-$HE17)*1000+70)),IF($HG17=0,999999,IF(6=$HH17,IF(127=$HN17,IF($JE17=2,30,0),IF(127=$HO17,IF($JE17=1,30,0),ABS(7-$HI17)*100)),100000+ABS(6-$HH17)*1000+70)))-IF((127=$HJ17)+(127=$HK17)+(127=$HL17)+(127=$HM17)+(127=$HN17)+(127=$HO17)&gt;=2,50,0))+DZ$5*50)</f>
        <v/>
      </c>
      <c r="EA137">
        <f>IF(OR($JF17=0,calcA!$A$6=0),0,IF(OR(128=$HA17,128=$HD17,128=$HG17),200000,MIN(IF($HA17=0,999999,IF(6=$HB17,IF(128=$HJ17,IF($JC17=2,30,0),IF(128=$HK17,IF($JC17=1,30,0),ABS(8-$HC17)*100)),100000+ABS(6-$HB17)*1000+80)),IF($HD17=0,999999,IF(6=$HE17,IF(128=$HL17,IF($JD17=2,30,0),IF(128=$HM17,IF($JD17=1,30,0),ABS(8-$HF17)*100)),100000+ABS(6-$HE17)*1000+80)),IF($HG17=0,999999,IF(6=$HH17,IF(128=$HN17,IF($JE17=2,30,0),IF(128=$HO17,IF($JE17=1,30,0),ABS(8-$HI17)*100)),100000+ABS(6-$HH17)*1000+80)))-IF((128=$HJ17)+(128=$HK17)+(128=$HL17)+(128=$HM17)+(128=$HN17)+(128=$HO17)&gt;=2,50,0))+EA$5*50)</f>
        <v/>
      </c>
      <c r="EB137">
        <f>IF(OR($JF17=0,calcA!$A$6=0),0,IF(OR(129=$HA17,129=$HD17,129=$HG17),200000,MIN(IF($HA17=0,999999,IF(6=$HB17,IF(129=$HJ17,IF($JC17=2,30,0),IF(129=$HK17,IF($JC17=1,30,0),ABS(9-$HC17)*100)),100000+ABS(6-$HB17)*1000+90)),IF($HD17=0,999999,IF(6=$HE17,IF(129=$HL17,IF($JD17=2,30,0),IF(129=$HM17,IF($JD17=1,30,0),ABS(9-$HF17)*100)),100000+ABS(6-$HE17)*1000+90)),IF($HG17=0,999999,IF(6=$HH17,IF(129=$HN17,IF($JE17=2,30,0),IF(129=$HO17,IF($JE17=1,30,0),ABS(9-$HI17)*100)),100000+ABS(6-$HH17)*1000+90)))-IF((129=$HJ17)+(129=$HK17)+(129=$HL17)+(129=$HM17)+(129=$HN17)+(129=$HO17)&gt;=2,50,0))+EB$5*50)</f>
        <v/>
      </c>
      <c r="EC137">
        <f>IF(OR($JF17=0,calcA!$A$6=0),0,IF(OR(130=$HA17,130=$HD17,130=$HG17),200000,MIN(IF($HA17=0,999999,IF(6=$HB17,IF(130=$HJ17,IF($JC17=2,30,0),IF(130=$HK17,IF($JC17=1,30,0),ABS(10-$HC17)*100)),100000+ABS(6-$HB17)*1000+100)),IF($HD17=0,999999,IF(6=$HE17,IF(130=$HL17,IF($JD17=2,30,0),IF(130=$HM17,IF($JD17=1,30,0),ABS(10-$HF17)*100)),100000+ABS(6-$HE17)*1000+100)),IF($HG17=0,999999,IF(6=$HH17,IF(130=$HN17,IF($JE17=2,30,0),IF(130=$HO17,IF($JE17=1,30,0),ABS(10-$HI17)*100)),100000+ABS(6-$HH17)*1000+100)))-IF((130=$HJ17)+(130=$HK17)+(130=$HL17)+(130=$HM17)+(130=$HN17)+(130=$HO17)&gt;=2,50,0))+EC$5*50)</f>
        <v/>
      </c>
      <c r="ED137">
        <f>IF(OR($JF17=0,calcA!$A$6=0),0,IF(OR(131=$HA17,131=$HD17,131=$HG17),200000,MIN(IF($HA17=0,999999,IF(6=$HB17,IF(131=$HJ17,IF($JC17=2,30,0),IF(131=$HK17,IF($JC17=1,30,0),ABS(11-$HC17)*100)),100000+ABS(6-$HB17)*1000+110)),IF($HD17=0,999999,IF(6=$HE17,IF(131=$HL17,IF($JD17=2,30,0),IF(131=$HM17,IF($JD17=1,30,0),ABS(11-$HF17)*100)),100000+ABS(6-$HE17)*1000+110)),IF($HG17=0,999999,IF(6=$HH17,IF(131=$HN17,IF($JE17=2,30,0),IF(131=$HO17,IF($JE17=1,30,0),ABS(11-$HI17)*100)),100000+ABS(6-$HH17)*1000+110)))-IF((131=$HJ17)+(131=$HK17)+(131=$HL17)+(131=$HM17)+(131=$HN17)+(131=$HO17)&gt;=2,50,0))+ED$5*50)</f>
        <v/>
      </c>
      <c r="EE137">
        <f>IF(OR($JF17=0,calcA!$A$6=0),0,IF(OR(132=$HA17,132=$HD17,132=$HG17),200000,MIN(IF($HA17=0,999999,IF(6=$HB17,IF(132=$HJ17,IF($JC17=2,30,0),IF(132=$HK17,IF($JC17=1,30,0),ABS(12-$HC17)*100)),100000+ABS(6-$HB17)*1000+120)),IF($HD17=0,999999,IF(6=$HE17,IF(132=$HL17,IF($JD17=2,30,0),IF(132=$HM17,IF($JD17=1,30,0),ABS(12-$HF17)*100)),100000+ABS(6-$HE17)*1000+120)),IF($HG17=0,999999,IF(6=$HH17,IF(132=$HN17,IF($JE17=2,30,0),IF(132=$HO17,IF($JE17=1,30,0),ABS(12-$HI17)*100)),100000+ABS(6-$HH17)*1000+120)))-IF((132=$HJ17)+(132=$HK17)+(132=$HL17)+(132=$HM17)+(132=$HN17)+(132=$HO17)&gt;=2,50,0))+EE$5*50)</f>
        <v/>
      </c>
      <c r="EF137">
        <f>IF(OR($JF17=0,calcA!$A$6=0),0,IF(OR(133=$HA17,133=$HD17,133=$HG17),200000,MIN(IF($HA17=0,999999,IF(6=$HB17,IF(133=$HJ17,IF($JC17=2,30,0),IF(133=$HK17,IF($JC17=1,30,0),ABS(13-$HC17)*100)),100000+ABS(6-$HB17)*1000+130)),IF($HD17=0,999999,IF(6=$HE17,IF(133=$HL17,IF($JD17=2,30,0),IF(133=$HM17,IF($JD17=1,30,0),ABS(13-$HF17)*100)),100000+ABS(6-$HE17)*1000+130)),IF($HG17=0,999999,IF(6=$HH17,IF(133=$HN17,IF($JE17=2,30,0),IF(133=$HO17,IF($JE17=1,30,0),ABS(13-$HI17)*100)),100000+ABS(6-$HH17)*1000+130)))-IF((133=$HJ17)+(133=$HK17)+(133=$HL17)+(133=$HM17)+(133=$HN17)+(133=$HO17)&gt;=2,50,0))+EF$5*50)</f>
        <v/>
      </c>
      <c r="EG137">
        <f>IF(OR($JF17=0,calcA!$A$6=0),0,IF(OR(134=$HA17,134=$HD17,134=$HG17),200000,MIN(IF($HA17=0,999999,IF(6=$HB17,IF(134=$HJ17,IF($JC17=2,30,0),IF(134=$HK17,IF($JC17=1,30,0),ABS(14-$HC17)*100)),100000+ABS(6-$HB17)*1000+140)),IF($HD17=0,999999,IF(6=$HE17,IF(134=$HL17,IF($JD17=2,30,0),IF(134=$HM17,IF($JD17=1,30,0),ABS(14-$HF17)*100)),100000+ABS(6-$HE17)*1000+140)),IF($HG17=0,999999,IF(6=$HH17,IF(134=$HN17,IF($JE17=2,30,0),IF(134=$HO17,IF($JE17=1,30,0),ABS(14-$HI17)*100)),100000+ABS(6-$HH17)*1000+140)))-IF((134=$HJ17)+(134=$HK17)+(134=$HL17)+(134=$HM17)+(134=$HN17)+(134=$HO17)&gt;=2,50,0))+EG$5*50)</f>
        <v/>
      </c>
      <c r="EH137">
        <f>IF(OR($JF17=0,calcA!$A$6=0),0,IF(OR(135=$HA17,135=$HD17,135=$HG17),200000,MIN(IF($HA17=0,999999,IF(6=$HB17,IF(135=$HJ17,IF($JC17=2,30,0),IF(135=$HK17,IF($JC17=1,30,0),ABS(15-$HC17)*100)),100000+ABS(6-$HB17)*1000+150)),IF($HD17=0,999999,IF(6=$HE17,IF(135=$HL17,IF($JD17=2,30,0),IF(135=$HM17,IF($JD17=1,30,0),ABS(15-$HF17)*100)),100000+ABS(6-$HE17)*1000+150)),IF($HG17=0,999999,IF(6=$HH17,IF(135=$HN17,IF($JE17=2,30,0),IF(135=$HO17,IF($JE17=1,30,0),ABS(15-$HI17)*100)),100000+ABS(6-$HH17)*1000+150)))-IF((135=$HJ17)+(135=$HK17)+(135=$HL17)+(135=$HM17)+(135=$HN17)+(135=$HO17)&gt;=2,50,0))+EH$5*50)</f>
        <v/>
      </c>
      <c r="EI137">
        <f>IF(OR($JF17=0,calcA!$A$6=0),0,IF(OR(136=$HA17,136=$HD17,136=$HG17),200000,MIN(IF($HA17=0,999999,IF(6=$HB17,IF(136=$HJ17,IF($JC17=2,30,0),IF(136=$HK17,IF($JC17=1,30,0),ABS(16-$HC17)*100)),100000+ABS(6-$HB17)*1000+160)),IF($HD17=0,999999,IF(6=$HE17,IF(136=$HL17,IF($JD17=2,30,0),IF(136=$HM17,IF($JD17=1,30,0),ABS(16-$HF17)*100)),100000+ABS(6-$HE17)*1000+160)),IF($HG17=0,999999,IF(6=$HH17,IF(136=$HN17,IF($JE17=2,30,0),IF(136=$HO17,IF($JE17=1,30,0),ABS(16-$HI17)*100)),100000+ABS(6-$HH17)*1000+160)))-IF((136=$HJ17)+(136=$HK17)+(136=$HL17)+(136=$HM17)+(136=$HN17)+(136=$HO17)&gt;=2,50,0))+EI$5*50)</f>
        <v/>
      </c>
      <c r="EJ137">
        <f>IF(OR($JF17=0,calcA!$A$6=0),0,IF(OR(137=$HA17,137=$HD17,137=$HG17),200000,MIN(IF($HA17=0,999999,IF(6=$HB17,IF(137=$HJ17,IF($JC17=2,30,0),IF(137=$HK17,IF($JC17=1,30,0),ABS(17-$HC17)*100)),100000+ABS(6-$HB17)*1000+170)),IF($HD17=0,999999,IF(6=$HE17,IF(137=$HL17,IF($JD17=2,30,0),IF(137=$HM17,IF($JD17=1,30,0),ABS(17-$HF17)*100)),100000+ABS(6-$HE17)*1000+170)),IF($HG17=0,999999,IF(6=$HH17,IF(137=$HN17,IF($JE17=2,30,0),IF(137=$HO17,IF($JE17=1,30,0),ABS(17-$HI17)*100)),100000+ABS(6-$HH17)*1000+170)))-IF((137=$HJ17)+(137=$HK17)+(137=$HL17)+(137=$HM17)+(137=$HN17)+(137=$HO17)&gt;=2,50,0))+EJ$5*50)</f>
        <v/>
      </c>
      <c r="EK137">
        <f>IF(OR($JF17=0,calcA!$A$6=0),0,IF(OR(138=$HA17,138=$HD17,138=$HG17),200000,MIN(IF($HA17=0,999999,IF(6=$HB17,IF(138=$HJ17,IF($JC17=2,30,0),IF(138=$HK17,IF($JC17=1,30,0),ABS(18-$HC17)*100)),100000+ABS(6-$HB17)*1000+180)),IF($HD17=0,999999,IF(6=$HE17,IF(138=$HL17,IF($JD17=2,30,0),IF(138=$HM17,IF($JD17=1,30,0),ABS(18-$HF17)*100)),100000+ABS(6-$HE17)*1000+180)),IF($HG17=0,999999,IF(6=$HH17,IF(138=$HN17,IF($JE17=2,30,0),IF(138=$HO17,IF($JE17=1,30,0),ABS(18-$HI17)*100)),100000+ABS(6-$HH17)*1000+180)))-IF((138=$HJ17)+(138=$HK17)+(138=$HL17)+(138=$HM17)+(138=$HN17)+(138=$HO17)&gt;=2,50,0))+EK$5*50)</f>
        <v/>
      </c>
      <c r="EL137">
        <f>IF(OR($JF17=0,calcA!$A$6=0),0,IF(OR(139=$HA17,139=$HD17,139=$HG17),200000,MIN(IF($HA17=0,999999,IF(6=$HB17,IF(139=$HJ17,IF($JC17=2,30,0),IF(139=$HK17,IF($JC17=1,30,0),ABS(19-$HC17)*100)),100000+ABS(6-$HB17)*1000+190)),IF($HD17=0,999999,IF(6=$HE17,IF(139=$HL17,IF($JD17=2,30,0),IF(139=$HM17,IF($JD17=1,30,0),ABS(19-$HF17)*100)),100000+ABS(6-$HE17)*1000+190)),IF($HG17=0,999999,IF(6=$HH17,IF(139=$HN17,IF($JE17=2,30,0),IF(139=$HO17,IF($JE17=1,30,0),ABS(19-$HI17)*100)),100000+ABS(6-$HH17)*1000+190)))-IF((139=$HJ17)+(139=$HK17)+(139=$HL17)+(139=$HM17)+(139=$HN17)+(139=$HO17)&gt;=2,50,0))+EL$5*50)</f>
        <v/>
      </c>
      <c r="EM137">
        <f>IF(OR($JF17=0,calcA!$A$6=0),0,IF(OR(140=$HA17,140=$HD17,140=$HG17),200000,MIN(IF($HA17=0,999999,IF(6=$HB17,IF(140=$HJ17,IF($JC17=2,30,0),IF(140=$HK17,IF($JC17=1,30,0),ABS(20-$HC17)*100)),100000+ABS(6-$HB17)*1000+200)),IF($HD17=0,999999,IF(6=$HE17,IF(140=$HL17,IF($JD17=2,30,0),IF(140=$HM17,IF($JD17=1,30,0),ABS(20-$HF17)*100)),100000+ABS(6-$HE17)*1000+200)),IF($HG17=0,999999,IF(6=$HH17,IF(140=$HN17,IF($JE17=2,30,0),IF(140=$HO17,IF($JE17=1,30,0),ABS(20-$HI17)*100)),100000+ABS(6-$HH17)*1000+200)))-IF((140=$HJ17)+(140=$HK17)+(140=$HL17)+(140=$HM17)+(140=$HN17)+(140=$HO17)&gt;=2,50,0))+EM$5*50)</f>
        <v/>
      </c>
      <c r="EN137">
        <f>IF(OR($JF17=0,calcA!$A$6=0),0,IF(OR(141=$HA17,141=$HD17,141=$HG17),200000,MIN(IF($HA17=0,999999,IF(6=$HB17,IF(141=$HJ17,IF($JC17=2,30,0),IF(141=$HK17,IF($JC17=1,30,0),ABS(21-$HC17)*100)),100000+ABS(6-$HB17)*1000+210)),IF($HD17=0,999999,IF(6=$HE17,IF(141=$HL17,IF($JD17=2,30,0),IF(141=$HM17,IF($JD17=1,30,0),ABS(21-$HF17)*100)),100000+ABS(6-$HE17)*1000+210)),IF($HG17=0,999999,IF(6=$HH17,IF(141=$HN17,IF($JE17=2,30,0),IF(141=$HO17,IF($JE17=1,30,0),ABS(21-$HI17)*100)),100000+ABS(6-$HH17)*1000+210)))-IF((141=$HJ17)+(141=$HK17)+(141=$HL17)+(141=$HM17)+(141=$HN17)+(141=$HO17)&gt;=2,50,0))+EN$5*50)</f>
        <v/>
      </c>
      <c r="EO137">
        <f>IF(OR($JF17=0,calcA!$A$6=0),0,IF(OR(142=$HA17,142=$HD17,142=$HG17),200000,MIN(IF($HA17=0,999999,IF(6=$HB17,IF(142=$HJ17,IF($JC17=2,30,0),IF(142=$HK17,IF($JC17=1,30,0),ABS(22-$HC17)*100)),100000+ABS(6-$HB17)*1000+220)),IF($HD17=0,999999,IF(6=$HE17,IF(142=$HL17,IF($JD17=2,30,0),IF(142=$HM17,IF($JD17=1,30,0),ABS(22-$HF17)*100)),100000+ABS(6-$HE17)*1000+220)),IF($HG17=0,999999,IF(6=$HH17,IF(142=$HN17,IF($JE17=2,30,0),IF(142=$HO17,IF($JE17=1,30,0),ABS(22-$HI17)*100)),100000+ABS(6-$HH17)*1000+220)))-IF((142=$HJ17)+(142=$HK17)+(142=$HL17)+(142=$HM17)+(142=$HN17)+(142=$HO17)&gt;=2,50,0))+EO$5*50)</f>
        <v/>
      </c>
      <c r="EP137">
        <f>IF(OR($JF17=0,calcA!$A$6=0),0,IF(OR(143=$HA17,143=$HD17,143=$HG17),200000,MIN(IF($HA17=0,999999,IF(6=$HB17,IF(143=$HJ17,IF($JC17=2,30,0),IF(143=$HK17,IF($JC17=1,30,0),ABS(23-$HC17)*100)),100000+ABS(6-$HB17)*1000+230)),IF($HD17=0,999999,IF(6=$HE17,IF(143=$HL17,IF($JD17=2,30,0),IF(143=$HM17,IF($JD17=1,30,0),ABS(23-$HF17)*100)),100000+ABS(6-$HE17)*1000+230)),IF($HG17=0,999999,IF(6=$HH17,IF(143=$HN17,IF($JE17=2,30,0),IF(143=$HO17,IF($JE17=1,30,0),ABS(23-$HI17)*100)),100000+ABS(6-$HH17)*1000+230)))-IF((143=$HJ17)+(143=$HK17)+(143=$HL17)+(143=$HM17)+(143=$HN17)+(143=$HO17)&gt;=2,50,0))+EP$5*50)</f>
        <v/>
      </c>
      <c r="EQ137">
        <f>IF(OR($JF17=0,calcA!$A$6=0),0,IF(OR(144=$HA17,144=$HD17,144=$HG17),200000,MIN(IF($HA17=0,999999,IF(6=$HB17,IF(144=$HJ17,IF($JC17=2,30,0),IF(144=$HK17,IF($JC17=1,30,0),ABS(24-$HC17)*100)),100000+ABS(6-$HB17)*1000+240)),IF($HD17=0,999999,IF(6=$HE17,IF(144=$HL17,IF($JD17=2,30,0),IF(144=$HM17,IF($JD17=1,30,0),ABS(24-$HF17)*100)),100000+ABS(6-$HE17)*1000+240)),IF($HG17=0,999999,IF(6=$HH17,IF(144=$HN17,IF($JE17=2,30,0),IF(144=$HO17,IF($JE17=1,30,0),ABS(24-$HI17)*100)),100000+ABS(6-$HH17)*1000+240)))-IF((144=$HJ17)+(144=$HK17)+(144=$HL17)+(144=$HM17)+(144=$HN17)+(144=$HO17)&gt;=2,50,0))+EQ$5*50)</f>
        <v/>
      </c>
    </row>
    <row r="138">
      <c r="D138">
        <f>IF(OR($JF18=0,calcA!$A$6=0),0,IF(OR(1=$HA18,1=$HD18,1=$HG18),200000,MIN(IF($HA18=0,999999,IF(1=$HB18,IF(1=$HJ18,IF($JC18=2,30,0),IF(1=$HK18,IF($JC18=1,30,0),ABS(1-$HC18)*100)),100000+ABS(1-$HB18)*1000+10)),IF($HD18=0,999999,IF(1=$HE18,IF(1=$HL18,IF($JD18=2,30,0),IF(1=$HM18,IF($JD18=1,30,0),ABS(1-$HF18)*100)),100000+ABS(1-$HE18)*1000+10)),IF($HG18=0,999999,IF(1=$HH18,IF(1=$HN18,IF($JE18=2,30,0),IF(1=$HO18,IF($JE18=1,30,0),ABS(1-$HI18)*100)),100000+ABS(1-$HH18)*1000+10)))-IF((1=$HJ18)+(1=$HK18)+(1=$HL18)+(1=$HM18)+(1=$HN18)+(1=$HO18)&gt;=2,50,0))+D$5*50)</f>
        <v/>
      </c>
      <c r="E138">
        <f>IF(OR($JF18=0,calcA!$A$6=0),0,IF(OR(2=$HA18,2=$HD18,2=$HG18),200000,MIN(IF($HA18=0,999999,IF(1=$HB18,IF(2=$HJ18,IF($JC18=2,30,0),IF(2=$HK18,IF($JC18=1,30,0),ABS(2-$HC18)*100)),100000+ABS(1-$HB18)*1000+20)),IF($HD18=0,999999,IF(1=$HE18,IF(2=$HL18,IF($JD18=2,30,0),IF(2=$HM18,IF($JD18=1,30,0),ABS(2-$HF18)*100)),100000+ABS(1-$HE18)*1000+20)),IF($HG18=0,999999,IF(1=$HH18,IF(2=$HN18,IF($JE18=2,30,0),IF(2=$HO18,IF($JE18=1,30,0),ABS(2-$HI18)*100)),100000+ABS(1-$HH18)*1000+20)))-IF((2=$HJ18)+(2=$HK18)+(2=$HL18)+(2=$HM18)+(2=$HN18)+(2=$HO18)&gt;=2,50,0))+E$5*50)</f>
        <v/>
      </c>
      <c r="F138">
        <f>IF(OR($JF18=0,calcA!$A$6=0),0,IF(OR(3=$HA18,3=$HD18,3=$HG18),200000,MIN(IF($HA18=0,999999,IF(1=$HB18,IF(3=$HJ18,IF($JC18=2,30,0),IF(3=$HK18,IF($JC18=1,30,0),ABS(3-$HC18)*100)),100000+ABS(1-$HB18)*1000+30)),IF($HD18=0,999999,IF(1=$HE18,IF(3=$HL18,IF($JD18=2,30,0),IF(3=$HM18,IF($JD18=1,30,0),ABS(3-$HF18)*100)),100000+ABS(1-$HE18)*1000+30)),IF($HG18=0,999999,IF(1=$HH18,IF(3=$HN18,IF($JE18=2,30,0),IF(3=$HO18,IF($JE18=1,30,0),ABS(3-$HI18)*100)),100000+ABS(1-$HH18)*1000+30)))-IF((3=$HJ18)+(3=$HK18)+(3=$HL18)+(3=$HM18)+(3=$HN18)+(3=$HO18)&gt;=2,50,0))+F$5*50)</f>
        <v/>
      </c>
      <c r="G138">
        <f>IF(OR($JF18=0,calcA!$A$6=0),0,IF(OR(4=$HA18,4=$HD18,4=$HG18),200000,MIN(IF($HA18=0,999999,IF(1=$HB18,IF(4=$HJ18,IF($JC18=2,30,0),IF(4=$HK18,IF($JC18=1,30,0),ABS(4-$HC18)*100)),100000+ABS(1-$HB18)*1000+40)),IF($HD18=0,999999,IF(1=$HE18,IF(4=$HL18,IF($JD18=2,30,0),IF(4=$HM18,IF($JD18=1,30,0),ABS(4-$HF18)*100)),100000+ABS(1-$HE18)*1000+40)),IF($HG18=0,999999,IF(1=$HH18,IF(4=$HN18,IF($JE18=2,30,0),IF(4=$HO18,IF($JE18=1,30,0),ABS(4-$HI18)*100)),100000+ABS(1-$HH18)*1000+40)))-IF((4=$HJ18)+(4=$HK18)+(4=$HL18)+(4=$HM18)+(4=$HN18)+(4=$HO18)&gt;=2,50,0))+G$5*50)</f>
        <v/>
      </c>
      <c r="H138">
        <f>IF(OR($JF18=0,calcA!$A$6=0),0,IF(OR(5=$HA18,5=$HD18,5=$HG18),200000,MIN(IF($HA18=0,999999,IF(1=$HB18,IF(5=$HJ18,IF($JC18=2,30,0),IF(5=$HK18,IF($JC18=1,30,0),ABS(5-$HC18)*100)),100000+ABS(1-$HB18)*1000+50)),IF($HD18=0,999999,IF(1=$HE18,IF(5=$HL18,IF($JD18=2,30,0),IF(5=$HM18,IF($JD18=1,30,0),ABS(5-$HF18)*100)),100000+ABS(1-$HE18)*1000+50)),IF($HG18=0,999999,IF(1=$HH18,IF(5=$HN18,IF($JE18=2,30,0),IF(5=$HO18,IF($JE18=1,30,0),ABS(5-$HI18)*100)),100000+ABS(1-$HH18)*1000+50)))-IF((5=$HJ18)+(5=$HK18)+(5=$HL18)+(5=$HM18)+(5=$HN18)+(5=$HO18)&gt;=2,50,0))+H$5*50)</f>
        <v/>
      </c>
      <c r="I138">
        <f>IF(OR($JF18=0,calcA!$A$6=0),0,IF(OR(6=$HA18,6=$HD18,6=$HG18),200000,MIN(IF($HA18=0,999999,IF(1=$HB18,IF(6=$HJ18,IF($JC18=2,30,0),IF(6=$HK18,IF($JC18=1,30,0),ABS(6-$HC18)*100)),100000+ABS(1-$HB18)*1000+60)),IF($HD18=0,999999,IF(1=$HE18,IF(6=$HL18,IF($JD18=2,30,0),IF(6=$HM18,IF($JD18=1,30,0),ABS(6-$HF18)*100)),100000+ABS(1-$HE18)*1000+60)),IF($HG18=0,999999,IF(1=$HH18,IF(6=$HN18,IF($JE18=2,30,0),IF(6=$HO18,IF($JE18=1,30,0),ABS(6-$HI18)*100)),100000+ABS(1-$HH18)*1000+60)))-IF((6=$HJ18)+(6=$HK18)+(6=$HL18)+(6=$HM18)+(6=$HN18)+(6=$HO18)&gt;=2,50,0))+I$5*50)</f>
        <v/>
      </c>
      <c r="J138">
        <f>IF(OR($JF18=0,calcA!$A$6=0),0,IF(OR(7=$HA18,7=$HD18,7=$HG18),200000,MIN(IF($HA18=0,999999,IF(1=$HB18,IF(7=$HJ18,IF($JC18=2,30,0),IF(7=$HK18,IF($JC18=1,30,0),ABS(7-$HC18)*100)),100000+ABS(1-$HB18)*1000+70)),IF($HD18=0,999999,IF(1=$HE18,IF(7=$HL18,IF($JD18=2,30,0),IF(7=$HM18,IF($JD18=1,30,0),ABS(7-$HF18)*100)),100000+ABS(1-$HE18)*1000+70)),IF($HG18=0,999999,IF(1=$HH18,IF(7=$HN18,IF($JE18=2,30,0),IF(7=$HO18,IF($JE18=1,30,0),ABS(7-$HI18)*100)),100000+ABS(1-$HH18)*1000+70)))-IF((7=$HJ18)+(7=$HK18)+(7=$HL18)+(7=$HM18)+(7=$HN18)+(7=$HO18)&gt;=2,50,0))+J$5*50)</f>
        <v/>
      </c>
      <c r="K138">
        <f>IF(OR($JF18=0,calcA!$A$6=0),0,IF(OR(8=$HA18,8=$HD18,8=$HG18),200000,MIN(IF($HA18=0,999999,IF(1=$HB18,IF(8=$HJ18,IF($JC18=2,30,0),IF(8=$HK18,IF($JC18=1,30,0),ABS(8-$HC18)*100)),100000+ABS(1-$HB18)*1000+80)),IF($HD18=0,999999,IF(1=$HE18,IF(8=$HL18,IF($JD18=2,30,0),IF(8=$HM18,IF($JD18=1,30,0),ABS(8-$HF18)*100)),100000+ABS(1-$HE18)*1000+80)),IF($HG18=0,999999,IF(1=$HH18,IF(8=$HN18,IF($JE18=2,30,0),IF(8=$HO18,IF($JE18=1,30,0),ABS(8-$HI18)*100)),100000+ABS(1-$HH18)*1000+80)))-IF((8=$HJ18)+(8=$HK18)+(8=$HL18)+(8=$HM18)+(8=$HN18)+(8=$HO18)&gt;=2,50,0))+K$5*50)</f>
        <v/>
      </c>
      <c r="L138">
        <f>IF(OR($JF18=0,calcA!$A$6=0),0,IF(OR(9=$HA18,9=$HD18,9=$HG18),200000,MIN(IF($HA18=0,999999,IF(1=$HB18,IF(9=$HJ18,IF($JC18=2,30,0),IF(9=$HK18,IF($JC18=1,30,0),ABS(9-$HC18)*100)),100000+ABS(1-$HB18)*1000+90)),IF($HD18=0,999999,IF(1=$HE18,IF(9=$HL18,IF($JD18=2,30,0),IF(9=$HM18,IF($JD18=1,30,0),ABS(9-$HF18)*100)),100000+ABS(1-$HE18)*1000+90)),IF($HG18=0,999999,IF(1=$HH18,IF(9=$HN18,IF($JE18=2,30,0),IF(9=$HO18,IF($JE18=1,30,0),ABS(9-$HI18)*100)),100000+ABS(1-$HH18)*1000+90)))-IF((9=$HJ18)+(9=$HK18)+(9=$HL18)+(9=$HM18)+(9=$HN18)+(9=$HO18)&gt;=2,50,0))+L$5*50)</f>
        <v/>
      </c>
      <c r="M138">
        <f>IF(OR($JF18=0,calcA!$A$6=0),0,IF(OR(10=$HA18,10=$HD18,10=$HG18),200000,MIN(IF($HA18=0,999999,IF(1=$HB18,IF(10=$HJ18,IF($JC18=2,30,0),IF(10=$HK18,IF($JC18=1,30,0),ABS(10-$HC18)*100)),100000+ABS(1-$HB18)*1000+100)),IF($HD18=0,999999,IF(1=$HE18,IF(10=$HL18,IF($JD18=2,30,0),IF(10=$HM18,IF($JD18=1,30,0),ABS(10-$HF18)*100)),100000+ABS(1-$HE18)*1000+100)),IF($HG18=0,999999,IF(1=$HH18,IF(10=$HN18,IF($JE18=2,30,0),IF(10=$HO18,IF($JE18=1,30,0),ABS(10-$HI18)*100)),100000+ABS(1-$HH18)*1000+100)))-IF((10=$HJ18)+(10=$HK18)+(10=$HL18)+(10=$HM18)+(10=$HN18)+(10=$HO18)&gt;=2,50,0))+M$5*50)</f>
        <v/>
      </c>
      <c r="N138">
        <f>IF(OR($JF18=0,calcA!$A$6=0),0,IF(OR(11=$HA18,11=$HD18,11=$HG18),200000,MIN(IF($HA18=0,999999,IF(1=$HB18,IF(11=$HJ18,IF($JC18=2,30,0),IF(11=$HK18,IF($JC18=1,30,0),ABS(11-$HC18)*100)),100000+ABS(1-$HB18)*1000+110)),IF($HD18=0,999999,IF(1=$HE18,IF(11=$HL18,IF($JD18=2,30,0),IF(11=$HM18,IF($JD18=1,30,0),ABS(11-$HF18)*100)),100000+ABS(1-$HE18)*1000+110)),IF($HG18=0,999999,IF(1=$HH18,IF(11=$HN18,IF($JE18=2,30,0),IF(11=$HO18,IF($JE18=1,30,0),ABS(11-$HI18)*100)),100000+ABS(1-$HH18)*1000+110)))-IF((11=$HJ18)+(11=$HK18)+(11=$HL18)+(11=$HM18)+(11=$HN18)+(11=$HO18)&gt;=2,50,0))+N$5*50)</f>
        <v/>
      </c>
      <c r="O138">
        <f>IF(OR($JF18=0,calcA!$A$6=0),0,IF(OR(12=$HA18,12=$HD18,12=$HG18),200000,MIN(IF($HA18=0,999999,IF(1=$HB18,IF(12=$HJ18,IF($JC18=2,30,0),IF(12=$HK18,IF($JC18=1,30,0),ABS(12-$HC18)*100)),100000+ABS(1-$HB18)*1000+120)),IF($HD18=0,999999,IF(1=$HE18,IF(12=$HL18,IF($JD18=2,30,0),IF(12=$HM18,IF($JD18=1,30,0),ABS(12-$HF18)*100)),100000+ABS(1-$HE18)*1000+120)),IF($HG18=0,999999,IF(1=$HH18,IF(12=$HN18,IF($JE18=2,30,0),IF(12=$HO18,IF($JE18=1,30,0),ABS(12-$HI18)*100)),100000+ABS(1-$HH18)*1000+120)))-IF((12=$HJ18)+(12=$HK18)+(12=$HL18)+(12=$HM18)+(12=$HN18)+(12=$HO18)&gt;=2,50,0))+O$5*50)</f>
        <v/>
      </c>
      <c r="P138">
        <f>IF(OR($JF18=0,calcA!$A$6=0),0,IF(OR(13=$HA18,13=$HD18,13=$HG18),200000,MIN(IF($HA18=0,999999,IF(1=$HB18,IF(13=$HJ18,IF($JC18=2,30,0),IF(13=$HK18,IF($JC18=1,30,0),ABS(13-$HC18)*100)),100000+ABS(1-$HB18)*1000+130)),IF($HD18=0,999999,IF(1=$HE18,IF(13=$HL18,IF($JD18=2,30,0),IF(13=$HM18,IF($JD18=1,30,0),ABS(13-$HF18)*100)),100000+ABS(1-$HE18)*1000+130)),IF($HG18=0,999999,IF(1=$HH18,IF(13=$HN18,IF($JE18=2,30,0),IF(13=$HO18,IF($JE18=1,30,0),ABS(13-$HI18)*100)),100000+ABS(1-$HH18)*1000+130)))-IF((13=$HJ18)+(13=$HK18)+(13=$HL18)+(13=$HM18)+(13=$HN18)+(13=$HO18)&gt;=2,50,0))+P$5*50)</f>
        <v/>
      </c>
      <c r="Q138">
        <f>IF(OR($JF18=0,calcA!$A$6=0),0,IF(OR(14=$HA18,14=$HD18,14=$HG18),200000,MIN(IF($HA18=0,999999,IF(1=$HB18,IF(14=$HJ18,IF($JC18=2,30,0),IF(14=$HK18,IF($JC18=1,30,0),ABS(14-$HC18)*100)),100000+ABS(1-$HB18)*1000+140)),IF($HD18=0,999999,IF(1=$HE18,IF(14=$HL18,IF($JD18=2,30,0),IF(14=$HM18,IF($JD18=1,30,0),ABS(14-$HF18)*100)),100000+ABS(1-$HE18)*1000+140)),IF($HG18=0,999999,IF(1=$HH18,IF(14=$HN18,IF($JE18=2,30,0),IF(14=$HO18,IF($JE18=1,30,0),ABS(14-$HI18)*100)),100000+ABS(1-$HH18)*1000+140)))-IF((14=$HJ18)+(14=$HK18)+(14=$HL18)+(14=$HM18)+(14=$HN18)+(14=$HO18)&gt;=2,50,0))+Q$5*50)</f>
        <v/>
      </c>
      <c r="R138">
        <f>IF(OR($JF18=0,calcA!$A$6=0),0,IF(OR(15=$HA18,15=$HD18,15=$HG18),200000,MIN(IF($HA18=0,999999,IF(1=$HB18,IF(15=$HJ18,IF($JC18=2,30,0),IF(15=$HK18,IF($JC18=1,30,0),ABS(15-$HC18)*100)),100000+ABS(1-$HB18)*1000+150)),IF($HD18=0,999999,IF(1=$HE18,IF(15=$HL18,IF($JD18=2,30,0),IF(15=$HM18,IF($JD18=1,30,0),ABS(15-$HF18)*100)),100000+ABS(1-$HE18)*1000+150)),IF($HG18=0,999999,IF(1=$HH18,IF(15=$HN18,IF($JE18=2,30,0),IF(15=$HO18,IF($JE18=1,30,0),ABS(15-$HI18)*100)),100000+ABS(1-$HH18)*1000+150)))-IF((15=$HJ18)+(15=$HK18)+(15=$HL18)+(15=$HM18)+(15=$HN18)+(15=$HO18)&gt;=2,50,0))+R$5*50)</f>
        <v/>
      </c>
      <c r="S138">
        <f>IF(OR($JF18=0,calcA!$A$6=0),0,IF(OR(16=$HA18,16=$HD18,16=$HG18),200000,MIN(IF($HA18=0,999999,IF(1=$HB18,IF(16=$HJ18,IF($JC18=2,30,0),IF(16=$HK18,IF($JC18=1,30,0),ABS(16-$HC18)*100)),100000+ABS(1-$HB18)*1000+160)),IF($HD18=0,999999,IF(1=$HE18,IF(16=$HL18,IF($JD18=2,30,0),IF(16=$HM18,IF($JD18=1,30,0),ABS(16-$HF18)*100)),100000+ABS(1-$HE18)*1000+160)),IF($HG18=0,999999,IF(1=$HH18,IF(16=$HN18,IF($JE18=2,30,0),IF(16=$HO18,IF($JE18=1,30,0),ABS(16-$HI18)*100)),100000+ABS(1-$HH18)*1000+160)))-IF((16=$HJ18)+(16=$HK18)+(16=$HL18)+(16=$HM18)+(16=$HN18)+(16=$HO18)&gt;=2,50,0))+S$5*50)</f>
        <v/>
      </c>
      <c r="T138">
        <f>IF(OR($JF18=0,calcA!$A$6=0),0,IF(OR(17=$HA18,17=$HD18,17=$HG18),200000,MIN(IF($HA18=0,999999,IF(1=$HB18,IF(17=$HJ18,IF($JC18=2,30,0),IF(17=$HK18,IF($JC18=1,30,0),ABS(17-$HC18)*100)),100000+ABS(1-$HB18)*1000+170)),IF($HD18=0,999999,IF(1=$HE18,IF(17=$HL18,IF($JD18=2,30,0),IF(17=$HM18,IF($JD18=1,30,0),ABS(17-$HF18)*100)),100000+ABS(1-$HE18)*1000+170)),IF($HG18=0,999999,IF(1=$HH18,IF(17=$HN18,IF($JE18=2,30,0),IF(17=$HO18,IF($JE18=1,30,0),ABS(17-$HI18)*100)),100000+ABS(1-$HH18)*1000+170)))-IF((17=$HJ18)+(17=$HK18)+(17=$HL18)+(17=$HM18)+(17=$HN18)+(17=$HO18)&gt;=2,50,0))+T$5*50)</f>
        <v/>
      </c>
      <c r="U138">
        <f>IF(OR($JF18=0,calcA!$A$6=0),0,IF(OR(18=$HA18,18=$HD18,18=$HG18),200000,MIN(IF($HA18=0,999999,IF(1=$HB18,IF(18=$HJ18,IF($JC18=2,30,0),IF(18=$HK18,IF($JC18=1,30,0),ABS(18-$HC18)*100)),100000+ABS(1-$HB18)*1000+180)),IF($HD18=0,999999,IF(1=$HE18,IF(18=$HL18,IF($JD18=2,30,0),IF(18=$HM18,IF($JD18=1,30,0),ABS(18-$HF18)*100)),100000+ABS(1-$HE18)*1000+180)),IF($HG18=0,999999,IF(1=$HH18,IF(18=$HN18,IF($JE18=2,30,0),IF(18=$HO18,IF($JE18=1,30,0),ABS(18-$HI18)*100)),100000+ABS(1-$HH18)*1000+180)))-IF((18=$HJ18)+(18=$HK18)+(18=$HL18)+(18=$HM18)+(18=$HN18)+(18=$HO18)&gt;=2,50,0))+U$5*50)</f>
        <v/>
      </c>
      <c r="V138">
        <f>IF(OR($JF18=0,calcA!$A$6=0),0,IF(OR(19=$HA18,19=$HD18,19=$HG18),200000,MIN(IF($HA18=0,999999,IF(1=$HB18,IF(19=$HJ18,IF($JC18=2,30,0),IF(19=$HK18,IF($JC18=1,30,0),ABS(19-$HC18)*100)),100000+ABS(1-$HB18)*1000+190)),IF($HD18=0,999999,IF(1=$HE18,IF(19=$HL18,IF($JD18=2,30,0),IF(19=$HM18,IF($JD18=1,30,0),ABS(19-$HF18)*100)),100000+ABS(1-$HE18)*1000+190)),IF($HG18=0,999999,IF(1=$HH18,IF(19=$HN18,IF($JE18=2,30,0),IF(19=$HO18,IF($JE18=1,30,0),ABS(19-$HI18)*100)),100000+ABS(1-$HH18)*1000+190)))-IF((19=$HJ18)+(19=$HK18)+(19=$HL18)+(19=$HM18)+(19=$HN18)+(19=$HO18)&gt;=2,50,0))+V$5*50)</f>
        <v/>
      </c>
      <c r="W138">
        <f>IF(OR($JF18=0,calcA!$A$6=0),0,IF(OR(20=$HA18,20=$HD18,20=$HG18),200000,MIN(IF($HA18=0,999999,IF(1=$HB18,IF(20=$HJ18,IF($JC18=2,30,0),IF(20=$HK18,IF($JC18=1,30,0),ABS(20-$HC18)*100)),100000+ABS(1-$HB18)*1000+200)),IF($HD18=0,999999,IF(1=$HE18,IF(20=$HL18,IF($JD18=2,30,0),IF(20=$HM18,IF($JD18=1,30,0),ABS(20-$HF18)*100)),100000+ABS(1-$HE18)*1000+200)),IF($HG18=0,999999,IF(1=$HH18,IF(20=$HN18,IF($JE18=2,30,0),IF(20=$HO18,IF($JE18=1,30,0),ABS(20-$HI18)*100)),100000+ABS(1-$HH18)*1000+200)))-IF((20=$HJ18)+(20=$HK18)+(20=$HL18)+(20=$HM18)+(20=$HN18)+(20=$HO18)&gt;=2,50,0))+W$5*50)</f>
        <v/>
      </c>
      <c r="X138">
        <f>IF(OR($JF18=0,calcA!$A$6=0),0,IF(OR(21=$HA18,21=$HD18,21=$HG18),200000,MIN(IF($HA18=0,999999,IF(1=$HB18,IF(21=$HJ18,IF($JC18=2,30,0),IF(21=$HK18,IF($JC18=1,30,0),ABS(21-$HC18)*100)),100000+ABS(1-$HB18)*1000+210)),IF($HD18=0,999999,IF(1=$HE18,IF(21=$HL18,IF($JD18=2,30,0),IF(21=$HM18,IF($JD18=1,30,0),ABS(21-$HF18)*100)),100000+ABS(1-$HE18)*1000+210)),IF($HG18=0,999999,IF(1=$HH18,IF(21=$HN18,IF($JE18=2,30,0),IF(21=$HO18,IF($JE18=1,30,0),ABS(21-$HI18)*100)),100000+ABS(1-$HH18)*1000+210)))-IF((21=$HJ18)+(21=$HK18)+(21=$HL18)+(21=$HM18)+(21=$HN18)+(21=$HO18)&gt;=2,50,0))+X$5*50)</f>
        <v/>
      </c>
      <c r="Y138">
        <f>IF(OR($JF18=0,calcA!$A$6=0),0,IF(OR(22=$HA18,22=$HD18,22=$HG18),200000,MIN(IF($HA18=0,999999,IF(1=$HB18,IF(22=$HJ18,IF($JC18=2,30,0),IF(22=$HK18,IF($JC18=1,30,0),ABS(22-$HC18)*100)),100000+ABS(1-$HB18)*1000+220)),IF($HD18=0,999999,IF(1=$HE18,IF(22=$HL18,IF($JD18=2,30,0),IF(22=$HM18,IF($JD18=1,30,0),ABS(22-$HF18)*100)),100000+ABS(1-$HE18)*1000+220)),IF($HG18=0,999999,IF(1=$HH18,IF(22=$HN18,IF($JE18=2,30,0),IF(22=$HO18,IF($JE18=1,30,0),ABS(22-$HI18)*100)),100000+ABS(1-$HH18)*1000+220)))-IF((22=$HJ18)+(22=$HK18)+(22=$HL18)+(22=$HM18)+(22=$HN18)+(22=$HO18)&gt;=2,50,0))+Y$5*50)</f>
        <v/>
      </c>
      <c r="Z138">
        <f>IF(OR($JF18=0,calcA!$A$6=0),0,IF(OR(23=$HA18,23=$HD18,23=$HG18),200000,MIN(IF($HA18=0,999999,IF(1=$HB18,IF(23=$HJ18,IF($JC18=2,30,0),IF(23=$HK18,IF($JC18=1,30,0),ABS(23-$HC18)*100)),100000+ABS(1-$HB18)*1000+230)),IF($HD18=0,999999,IF(1=$HE18,IF(23=$HL18,IF($JD18=2,30,0),IF(23=$HM18,IF($JD18=1,30,0),ABS(23-$HF18)*100)),100000+ABS(1-$HE18)*1000+230)),IF($HG18=0,999999,IF(1=$HH18,IF(23=$HN18,IF($JE18=2,30,0),IF(23=$HO18,IF($JE18=1,30,0),ABS(23-$HI18)*100)),100000+ABS(1-$HH18)*1000+230)))-IF((23=$HJ18)+(23=$HK18)+(23=$HL18)+(23=$HM18)+(23=$HN18)+(23=$HO18)&gt;=2,50,0))+Z$5*50)</f>
        <v/>
      </c>
      <c r="AA138">
        <f>IF(OR($JF18=0,calcA!$A$6=0),0,IF(OR(24=$HA18,24=$HD18,24=$HG18),200000,MIN(IF($HA18=0,999999,IF(1=$HB18,IF(24=$HJ18,IF($JC18=2,30,0),IF(24=$HK18,IF($JC18=1,30,0),ABS(24-$HC18)*100)),100000+ABS(1-$HB18)*1000+240)),IF($HD18=0,999999,IF(1=$HE18,IF(24=$HL18,IF($JD18=2,30,0),IF(24=$HM18,IF($JD18=1,30,0),ABS(24-$HF18)*100)),100000+ABS(1-$HE18)*1000+240)),IF($HG18=0,999999,IF(1=$HH18,IF(24=$HN18,IF($JE18=2,30,0),IF(24=$HO18,IF($JE18=1,30,0),ABS(24-$HI18)*100)),100000+ABS(1-$HH18)*1000+240)))-IF((24=$HJ18)+(24=$HK18)+(24=$HL18)+(24=$HM18)+(24=$HN18)+(24=$HO18)&gt;=2,50,0))+AA$5*50)</f>
        <v/>
      </c>
      <c r="AB138">
        <f>IF(OR($JF18=0,calcA!$A$6=0),0,IF(OR(25=$HA18,25=$HD18,25=$HG18),200000,MIN(IF($HA18=0,999999,IF(2=$HB18,IF(25=$HJ18,IF($JC18=2,30,0),IF(25=$HK18,IF($JC18=1,30,0),ABS(1-$HC18)*100)),100000+ABS(2-$HB18)*1000+10)),IF($HD18=0,999999,IF(2=$HE18,IF(25=$HL18,IF($JD18=2,30,0),IF(25=$HM18,IF($JD18=1,30,0),ABS(1-$HF18)*100)),100000+ABS(2-$HE18)*1000+10)),IF($HG18=0,999999,IF(2=$HH18,IF(25=$HN18,IF($JE18=2,30,0),IF(25=$HO18,IF($JE18=1,30,0),ABS(1-$HI18)*100)),100000+ABS(2-$HH18)*1000+10)))-IF((25=$HJ18)+(25=$HK18)+(25=$HL18)+(25=$HM18)+(25=$HN18)+(25=$HO18)&gt;=2,50,0))+AB$5*50)</f>
        <v/>
      </c>
      <c r="AC138">
        <f>IF(OR($JF18=0,calcA!$A$6=0),0,IF(OR(26=$HA18,26=$HD18,26=$HG18),200000,MIN(IF($HA18=0,999999,IF(2=$HB18,IF(26=$HJ18,IF($JC18=2,30,0),IF(26=$HK18,IF($JC18=1,30,0),ABS(2-$HC18)*100)),100000+ABS(2-$HB18)*1000+20)),IF($HD18=0,999999,IF(2=$HE18,IF(26=$HL18,IF($JD18=2,30,0),IF(26=$HM18,IF($JD18=1,30,0),ABS(2-$HF18)*100)),100000+ABS(2-$HE18)*1000+20)),IF($HG18=0,999999,IF(2=$HH18,IF(26=$HN18,IF($JE18=2,30,0),IF(26=$HO18,IF($JE18=1,30,0),ABS(2-$HI18)*100)),100000+ABS(2-$HH18)*1000+20)))-IF((26=$HJ18)+(26=$HK18)+(26=$HL18)+(26=$HM18)+(26=$HN18)+(26=$HO18)&gt;=2,50,0))+AC$5*50)</f>
        <v/>
      </c>
      <c r="AD138">
        <f>IF(OR($JF18=0,calcA!$A$6=0),0,IF(OR(27=$HA18,27=$HD18,27=$HG18),200000,MIN(IF($HA18=0,999999,IF(2=$HB18,IF(27=$HJ18,IF($JC18=2,30,0),IF(27=$HK18,IF($JC18=1,30,0),ABS(3-$HC18)*100)),100000+ABS(2-$HB18)*1000+30)),IF($HD18=0,999999,IF(2=$HE18,IF(27=$HL18,IF($JD18=2,30,0),IF(27=$HM18,IF($JD18=1,30,0),ABS(3-$HF18)*100)),100000+ABS(2-$HE18)*1000+30)),IF($HG18=0,999999,IF(2=$HH18,IF(27=$HN18,IF($JE18=2,30,0),IF(27=$HO18,IF($JE18=1,30,0),ABS(3-$HI18)*100)),100000+ABS(2-$HH18)*1000+30)))-IF((27=$HJ18)+(27=$HK18)+(27=$HL18)+(27=$HM18)+(27=$HN18)+(27=$HO18)&gt;=2,50,0))+AD$5*50)</f>
        <v/>
      </c>
      <c r="AE138">
        <f>IF(OR($JF18=0,calcA!$A$6=0),0,IF(OR(28=$HA18,28=$HD18,28=$HG18),200000,MIN(IF($HA18=0,999999,IF(2=$HB18,IF(28=$HJ18,IF($JC18=2,30,0),IF(28=$HK18,IF($JC18=1,30,0),ABS(4-$HC18)*100)),100000+ABS(2-$HB18)*1000+40)),IF($HD18=0,999999,IF(2=$HE18,IF(28=$HL18,IF($JD18=2,30,0),IF(28=$HM18,IF($JD18=1,30,0),ABS(4-$HF18)*100)),100000+ABS(2-$HE18)*1000+40)),IF($HG18=0,999999,IF(2=$HH18,IF(28=$HN18,IF($JE18=2,30,0),IF(28=$HO18,IF($JE18=1,30,0),ABS(4-$HI18)*100)),100000+ABS(2-$HH18)*1000+40)))-IF((28=$HJ18)+(28=$HK18)+(28=$HL18)+(28=$HM18)+(28=$HN18)+(28=$HO18)&gt;=2,50,0))+AE$5*50)</f>
        <v/>
      </c>
      <c r="AF138">
        <f>IF(OR($JF18=0,calcA!$A$6=0),0,IF(OR(29=$HA18,29=$HD18,29=$HG18),200000,MIN(IF($HA18=0,999999,IF(2=$HB18,IF(29=$HJ18,IF($JC18=2,30,0),IF(29=$HK18,IF($JC18=1,30,0),ABS(5-$HC18)*100)),100000+ABS(2-$HB18)*1000+50)),IF($HD18=0,999999,IF(2=$HE18,IF(29=$HL18,IF($JD18=2,30,0),IF(29=$HM18,IF($JD18=1,30,0),ABS(5-$HF18)*100)),100000+ABS(2-$HE18)*1000+50)),IF($HG18=0,999999,IF(2=$HH18,IF(29=$HN18,IF($JE18=2,30,0),IF(29=$HO18,IF($JE18=1,30,0),ABS(5-$HI18)*100)),100000+ABS(2-$HH18)*1000+50)))-IF((29=$HJ18)+(29=$HK18)+(29=$HL18)+(29=$HM18)+(29=$HN18)+(29=$HO18)&gt;=2,50,0))+AF$5*50)</f>
        <v/>
      </c>
      <c r="AG138">
        <f>IF(OR($JF18=0,calcA!$A$6=0),0,IF(OR(30=$HA18,30=$HD18,30=$HG18),200000,MIN(IF($HA18=0,999999,IF(2=$HB18,IF(30=$HJ18,IF($JC18=2,30,0),IF(30=$HK18,IF($JC18=1,30,0),ABS(6-$HC18)*100)),100000+ABS(2-$HB18)*1000+60)),IF($HD18=0,999999,IF(2=$HE18,IF(30=$HL18,IF($JD18=2,30,0),IF(30=$HM18,IF($JD18=1,30,0),ABS(6-$HF18)*100)),100000+ABS(2-$HE18)*1000+60)),IF($HG18=0,999999,IF(2=$HH18,IF(30=$HN18,IF($JE18=2,30,0),IF(30=$HO18,IF($JE18=1,30,0),ABS(6-$HI18)*100)),100000+ABS(2-$HH18)*1000+60)))-IF((30=$HJ18)+(30=$HK18)+(30=$HL18)+(30=$HM18)+(30=$HN18)+(30=$HO18)&gt;=2,50,0))+AG$5*50)</f>
        <v/>
      </c>
      <c r="AH138">
        <f>IF(OR($JF18=0,calcA!$A$6=0),0,IF(OR(31=$HA18,31=$HD18,31=$HG18),200000,MIN(IF($HA18=0,999999,IF(2=$HB18,IF(31=$HJ18,IF($JC18=2,30,0),IF(31=$HK18,IF($JC18=1,30,0),ABS(7-$HC18)*100)),100000+ABS(2-$HB18)*1000+70)),IF($HD18=0,999999,IF(2=$HE18,IF(31=$HL18,IF($JD18=2,30,0),IF(31=$HM18,IF($JD18=1,30,0),ABS(7-$HF18)*100)),100000+ABS(2-$HE18)*1000+70)),IF($HG18=0,999999,IF(2=$HH18,IF(31=$HN18,IF($JE18=2,30,0),IF(31=$HO18,IF($JE18=1,30,0),ABS(7-$HI18)*100)),100000+ABS(2-$HH18)*1000+70)))-IF((31=$HJ18)+(31=$HK18)+(31=$HL18)+(31=$HM18)+(31=$HN18)+(31=$HO18)&gt;=2,50,0))+AH$5*50)</f>
        <v/>
      </c>
      <c r="AI138">
        <f>IF(OR($JF18=0,calcA!$A$6=0),0,IF(OR(32=$HA18,32=$HD18,32=$HG18),200000,MIN(IF($HA18=0,999999,IF(2=$HB18,IF(32=$HJ18,IF($JC18=2,30,0),IF(32=$HK18,IF($JC18=1,30,0),ABS(8-$HC18)*100)),100000+ABS(2-$HB18)*1000+80)),IF($HD18=0,999999,IF(2=$HE18,IF(32=$HL18,IF($JD18=2,30,0),IF(32=$HM18,IF($JD18=1,30,0),ABS(8-$HF18)*100)),100000+ABS(2-$HE18)*1000+80)),IF($HG18=0,999999,IF(2=$HH18,IF(32=$HN18,IF($JE18=2,30,0),IF(32=$HO18,IF($JE18=1,30,0),ABS(8-$HI18)*100)),100000+ABS(2-$HH18)*1000+80)))-IF((32=$HJ18)+(32=$HK18)+(32=$HL18)+(32=$HM18)+(32=$HN18)+(32=$HO18)&gt;=2,50,0))+AI$5*50)</f>
        <v/>
      </c>
      <c r="AJ138">
        <f>IF(OR($JF18=0,calcA!$A$6=0),0,IF(OR(33=$HA18,33=$HD18,33=$HG18),200000,MIN(IF($HA18=0,999999,IF(2=$HB18,IF(33=$HJ18,IF($JC18=2,30,0),IF(33=$HK18,IF($JC18=1,30,0),ABS(9-$HC18)*100)),100000+ABS(2-$HB18)*1000+90)),IF($HD18=0,999999,IF(2=$HE18,IF(33=$HL18,IF($JD18=2,30,0),IF(33=$HM18,IF($JD18=1,30,0),ABS(9-$HF18)*100)),100000+ABS(2-$HE18)*1000+90)),IF($HG18=0,999999,IF(2=$HH18,IF(33=$HN18,IF($JE18=2,30,0),IF(33=$HO18,IF($JE18=1,30,0),ABS(9-$HI18)*100)),100000+ABS(2-$HH18)*1000+90)))-IF((33=$HJ18)+(33=$HK18)+(33=$HL18)+(33=$HM18)+(33=$HN18)+(33=$HO18)&gt;=2,50,0))+AJ$5*50)</f>
        <v/>
      </c>
      <c r="AK138">
        <f>IF(OR($JF18=0,calcA!$A$6=0),0,IF(OR(34=$HA18,34=$HD18,34=$HG18),200000,MIN(IF($HA18=0,999999,IF(2=$HB18,IF(34=$HJ18,IF($JC18=2,30,0),IF(34=$HK18,IF($JC18=1,30,0),ABS(10-$HC18)*100)),100000+ABS(2-$HB18)*1000+100)),IF($HD18=0,999999,IF(2=$HE18,IF(34=$HL18,IF($JD18=2,30,0),IF(34=$HM18,IF($JD18=1,30,0),ABS(10-$HF18)*100)),100000+ABS(2-$HE18)*1000+100)),IF($HG18=0,999999,IF(2=$HH18,IF(34=$HN18,IF($JE18=2,30,0),IF(34=$HO18,IF($JE18=1,30,0),ABS(10-$HI18)*100)),100000+ABS(2-$HH18)*1000+100)))-IF((34=$HJ18)+(34=$HK18)+(34=$HL18)+(34=$HM18)+(34=$HN18)+(34=$HO18)&gt;=2,50,0))+AK$5*50)</f>
        <v/>
      </c>
      <c r="AL138">
        <f>IF(OR($JF18=0,calcA!$A$6=0),0,IF(OR(35=$HA18,35=$HD18,35=$HG18),200000,MIN(IF($HA18=0,999999,IF(2=$HB18,IF(35=$HJ18,IF($JC18=2,30,0),IF(35=$HK18,IF($JC18=1,30,0),ABS(11-$HC18)*100)),100000+ABS(2-$HB18)*1000+110)),IF($HD18=0,999999,IF(2=$HE18,IF(35=$HL18,IF($JD18=2,30,0),IF(35=$HM18,IF($JD18=1,30,0),ABS(11-$HF18)*100)),100000+ABS(2-$HE18)*1000+110)),IF($HG18=0,999999,IF(2=$HH18,IF(35=$HN18,IF($JE18=2,30,0),IF(35=$HO18,IF($JE18=1,30,0),ABS(11-$HI18)*100)),100000+ABS(2-$HH18)*1000+110)))-IF((35=$HJ18)+(35=$HK18)+(35=$HL18)+(35=$HM18)+(35=$HN18)+(35=$HO18)&gt;=2,50,0))+AL$5*50)</f>
        <v/>
      </c>
      <c r="AM138">
        <f>IF(OR($JF18=0,calcA!$A$6=0),0,IF(OR(36=$HA18,36=$HD18,36=$HG18),200000,MIN(IF($HA18=0,999999,IF(2=$HB18,IF(36=$HJ18,IF($JC18=2,30,0),IF(36=$HK18,IF($JC18=1,30,0),ABS(12-$HC18)*100)),100000+ABS(2-$HB18)*1000+120)),IF($HD18=0,999999,IF(2=$HE18,IF(36=$HL18,IF($JD18=2,30,0),IF(36=$HM18,IF($JD18=1,30,0),ABS(12-$HF18)*100)),100000+ABS(2-$HE18)*1000+120)),IF($HG18=0,999999,IF(2=$HH18,IF(36=$HN18,IF($JE18=2,30,0),IF(36=$HO18,IF($JE18=1,30,0),ABS(12-$HI18)*100)),100000+ABS(2-$HH18)*1000+120)))-IF((36=$HJ18)+(36=$HK18)+(36=$HL18)+(36=$HM18)+(36=$HN18)+(36=$HO18)&gt;=2,50,0))+AM$5*50)</f>
        <v/>
      </c>
      <c r="AN138">
        <f>IF(OR($JF18=0,calcA!$A$6=0),0,IF(OR(37=$HA18,37=$HD18,37=$HG18),200000,MIN(IF($HA18=0,999999,IF(2=$HB18,IF(37=$HJ18,IF($JC18=2,30,0),IF(37=$HK18,IF($JC18=1,30,0),ABS(13-$HC18)*100)),100000+ABS(2-$HB18)*1000+130)),IF($HD18=0,999999,IF(2=$HE18,IF(37=$HL18,IF($JD18=2,30,0),IF(37=$HM18,IF($JD18=1,30,0),ABS(13-$HF18)*100)),100000+ABS(2-$HE18)*1000+130)),IF($HG18=0,999999,IF(2=$HH18,IF(37=$HN18,IF($JE18=2,30,0),IF(37=$HO18,IF($JE18=1,30,0),ABS(13-$HI18)*100)),100000+ABS(2-$HH18)*1000+130)))-IF((37=$HJ18)+(37=$HK18)+(37=$HL18)+(37=$HM18)+(37=$HN18)+(37=$HO18)&gt;=2,50,0))+AN$5*50)</f>
        <v/>
      </c>
      <c r="AO138">
        <f>IF(OR($JF18=0,calcA!$A$6=0),0,IF(OR(38=$HA18,38=$HD18,38=$HG18),200000,MIN(IF($HA18=0,999999,IF(2=$HB18,IF(38=$HJ18,IF($JC18=2,30,0),IF(38=$HK18,IF($JC18=1,30,0),ABS(14-$HC18)*100)),100000+ABS(2-$HB18)*1000+140)),IF($HD18=0,999999,IF(2=$HE18,IF(38=$HL18,IF($JD18=2,30,0),IF(38=$HM18,IF($JD18=1,30,0),ABS(14-$HF18)*100)),100000+ABS(2-$HE18)*1000+140)),IF($HG18=0,999999,IF(2=$HH18,IF(38=$HN18,IF($JE18=2,30,0),IF(38=$HO18,IF($JE18=1,30,0),ABS(14-$HI18)*100)),100000+ABS(2-$HH18)*1000+140)))-IF((38=$HJ18)+(38=$HK18)+(38=$HL18)+(38=$HM18)+(38=$HN18)+(38=$HO18)&gt;=2,50,0))+AO$5*50)</f>
        <v/>
      </c>
      <c r="AP138">
        <f>IF(OR($JF18=0,calcA!$A$6=0),0,IF(OR(39=$HA18,39=$HD18,39=$HG18),200000,MIN(IF($HA18=0,999999,IF(2=$HB18,IF(39=$HJ18,IF($JC18=2,30,0),IF(39=$HK18,IF($JC18=1,30,0),ABS(15-$HC18)*100)),100000+ABS(2-$HB18)*1000+150)),IF($HD18=0,999999,IF(2=$HE18,IF(39=$HL18,IF($JD18=2,30,0),IF(39=$HM18,IF($JD18=1,30,0),ABS(15-$HF18)*100)),100000+ABS(2-$HE18)*1000+150)),IF($HG18=0,999999,IF(2=$HH18,IF(39=$HN18,IF($JE18=2,30,0),IF(39=$HO18,IF($JE18=1,30,0),ABS(15-$HI18)*100)),100000+ABS(2-$HH18)*1000+150)))-IF((39=$HJ18)+(39=$HK18)+(39=$HL18)+(39=$HM18)+(39=$HN18)+(39=$HO18)&gt;=2,50,0))+AP$5*50)</f>
        <v/>
      </c>
      <c r="AQ138">
        <f>IF(OR($JF18=0,calcA!$A$6=0),0,IF(OR(40=$HA18,40=$HD18,40=$HG18),200000,MIN(IF($HA18=0,999999,IF(2=$HB18,IF(40=$HJ18,IF($JC18=2,30,0),IF(40=$HK18,IF($JC18=1,30,0),ABS(16-$HC18)*100)),100000+ABS(2-$HB18)*1000+160)),IF($HD18=0,999999,IF(2=$HE18,IF(40=$HL18,IF($JD18=2,30,0),IF(40=$HM18,IF($JD18=1,30,0),ABS(16-$HF18)*100)),100000+ABS(2-$HE18)*1000+160)),IF($HG18=0,999999,IF(2=$HH18,IF(40=$HN18,IF($JE18=2,30,0),IF(40=$HO18,IF($JE18=1,30,0),ABS(16-$HI18)*100)),100000+ABS(2-$HH18)*1000+160)))-IF((40=$HJ18)+(40=$HK18)+(40=$HL18)+(40=$HM18)+(40=$HN18)+(40=$HO18)&gt;=2,50,0))+AQ$5*50)</f>
        <v/>
      </c>
      <c r="AR138">
        <f>IF(OR($JF18=0,calcA!$A$6=0),0,IF(OR(41=$HA18,41=$HD18,41=$HG18),200000,MIN(IF($HA18=0,999999,IF(2=$HB18,IF(41=$HJ18,IF($JC18=2,30,0),IF(41=$HK18,IF($JC18=1,30,0),ABS(17-$HC18)*100)),100000+ABS(2-$HB18)*1000+170)),IF($HD18=0,999999,IF(2=$HE18,IF(41=$HL18,IF($JD18=2,30,0),IF(41=$HM18,IF($JD18=1,30,0),ABS(17-$HF18)*100)),100000+ABS(2-$HE18)*1000+170)),IF($HG18=0,999999,IF(2=$HH18,IF(41=$HN18,IF($JE18=2,30,0),IF(41=$HO18,IF($JE18=1,30,0),ABS(17-$HI18)*100)),100000+ABS(2-$HH18)*1000+170)))-IF((41=$HJ18)+(41=$HK18)+(41=$HL18)+(41=$HM18)+(41=$HN18)+(41=$HO18)&gt;=2,50,0))+AR$5*50)</f>
        <v/>
      </c>
      <c r="AS138">
        <f>IF(OR($JF18=0,calcA!$A$6=0),0,IF(OR(42=$HA18,42=$HD18,42=$HG18),200000,MIN(IF($HA18=0,999999,IF(2=$HB18,IF(42=$HJ18,IF($JC18=2,30,0),IF(42=$HK18,IF($JC18=1,30,0),ABS(18-$HC18)*100)),100000+ABS(2-$HB18)*1000+180)),IF($HD18=0,999999,IF(2=$HE18,IF(42=$HL18,IF($JD18=2,30,0),IF(42=$HM18,IF($JD18=1,30,0),ABS(18-$HF18)*100)),100000+ABS(2-$HE18)*1000+180)),IF($HG18=0,999999,IF(2=$HH18,IF(42=$HN18,IF($JE18=2,30,0),IF(42=$HO18,IF($JE18=1,30,0),ABS(18-$HI18)*100)),100000+ABS(2-$HH18)*1000+180)))-IF((42=$HJ18)+(42=$HK18)+(42=$HL18)+(42=$HM18)+(42=$HN18)+(42=$HO18)&gt;=2,50,0))+AS$5*50)</f>
        <v/>
      </c>
      <c r="AT138">
        <f>IF(OR($JF18=0,calcA!$A$6=0),0,IF(OR(43=$HA18,43=$HD18,43=$HG18),200000,MIN(IF($HA18=0,999999,IF(2=$HB18,IF(43=$HJ18,IF($JC18=2,30,0),IF(43=$HK18,IF($JC18=1,30,0),ABS(19-$HC18)*100)),100000+ABS(2-$HB18)*1000+190)),IF($HD18=0,999999,IF(2=$HE18,IF(43=$HL18,IF($JD18=2,30,0),IF(43=$HM18,IF($JD18=1,30,0),ABS(19-$HF18)*100)),100000+ABS(2-$HE18)*1000+190)),IF($HG18=0,999999,IF(2=$HH18,IF(43=$HN18,IF($JE18=2,30,0),IF(43=$HO18,IF($JE18=1,30,0),ABS(19-$HI18)*100)),100000+ABS(2-$HH18)*1000+190)))-IF((43=$HJ18)+(43=$HK18)+(43=$HL18)+(43=$HM18)+(43=$HN18)+(43=$HO18)&gt;=2,50,0))+AT$5*50)</f>
        <v/>
      </c>
      <c r="AU138">
        <f>IF(OR($JF18=0,calcA!$A$6=0),0,IF(OR(44=$HA18,44=$HD18,44=$HG18),200000,MIN(IF($HA18=0,999999,IF(2=$HB18,IF(44=$HJ18,IF($JC18=2,30,0),IF(44=$HK18,IF($JC18=1,30,0),ABS(20-$HC18)*100)),100000+ABS(2-$HB18)*1000+200)),IF($HD18=0,999999,IF(2=$HE18,IF(44=$HL18,IF($JD18=2,30,0),IF(44=$HM18,IF($JD18=1,30,0),ABS(20-$HF18)*100)),100000+ABS(2-$HE18)*1000+200)),IF($HG18=0,999999,IF(2=$HH18,IF(44=$HN18,IF($JE18=2,30,0),IF(44=$HO18,IF($JE18=1,30,0),ABS(20-$HI18)*100)),100000+ABS(2-$HH18)*1000+200)))-IF((44=$HJ18)+(44=$HK18)+(44=$HL18)+(44=$HM18)+(44=$HN18)+(44=$HO18)&gt;=2,50,0))+AU$5*50)</f>
        <v/>
      </c>
      <c r="AV138">
        <f>IF(OR($JF18=0,calcA!$A$6=0),0,IF(OR(45=$HA18,45=$HD18,45=$HG18),200000,MIN(IF($HA18=0,999999,IF(2=$HB18,IF(45=$HJ18,IF($JC18=2,30,0),IF(45=$HK18,IF($JC18=1,30,0),ABS(21-$HC18)*100)),100000+ABS(2-$HB18)*1000+210)),IF($HD18=0,999999,IF(2=$HE18,IF(45=$HL18,IF($JD18=2,30,0),IF(45=$HM18,IF($JD18=1,30,0),ABS(21-$HF18)*100)),100000+ABS(2-$HE18)*1000+210)),IF($HG18=0,999999,IF(2=$HH18,IF(45=$HN18,IF($JE18=2,30,0),IF(45=$HO18,IF($JE18=1,30,0),ABS(21-$HI18)*100)),100000+ABS(2-$HH18)*1000+210)))-IF((45=$HJ18)+(45=$HK18)+(45=$HL18)+(45=$HM18)+(45=$HN18)+(45=$HO18)&gt;=2,50,0))+AV$5*50)</f>
        <v/>
      </c>
      <c r="AW138">
        <f>IF(OR($JF18=0,calcA!$A$6=0),0,IF(OR(46=$HA18,46=$HD18,46=$HG18),200000,MIN(IF($HA18=0,999999,IF(2=$HB18,IF(46=$HJ18,IF($JC18=2,30,0),IF(46=$HK18,IF($JC18=1,30,0),ABS(22-$HC18)*100)),100000+ABS(2-$HB18)*1000+220)),IF($HD18=0,999999,IF(2=$HE18,IF(46=$HL18,IF($JD18=2,30,0),IF(46=$HM18,IF($JD18=1,30,0),ABS(22-$HF18)*100)),100000+ABS(2-$HE18)*1000+220)),IF($HG18=0,999999,IF(2=$HH18,IF(46=$HN18,IF($JE18=2,30,0),IF(46=$HO18,IF($JE18=1,30,0),ABS(22-$HI18)*100)),100000+ABS(2-$HH18)*1000+220)))-IF((46=$HJ18)+(46=$HK18)+(46=$HL18)+(46=$HM18)+(46=$HN18)+(46=$HO18)&gt;=2,50,0))+AW$5*50)</f>
        <v/>
      </c>
      <c r="AX138">
        <f>IF(OR($JF18=0,calcA!$A$6=0),0,IF(OR(47=$HA18,47=$HD18,47=$HG18),200000,MIN(IF($HA18=0,999999,IF(2=$HB18,IF(47=$HJ18,IF($JC18=2,30,0),IF(47=$HK18,IF($JC18=1,30,0),ABS(23-$HC18)*100)),100000+ABS(2-$HB18)*1000+230)),IF($HD18=0,999999,IF(2=$HE18,IF(47=$HL18,IF($JD18=2,30,0),IF(47=$HM18,IF($JD18=1,30,0),ABS(23-$HF18)*100)),100000+ABS(2-$HE18)*1000+230)),IF($HG18=0,999999,IF(2=$HH18,IF(47=$HN18,IF($JE18=2,30,0),IF(47=$HO18,IF($JE18=1,30,0),ABS(23-$HI18)*100)),100000+ABS(2-$HH18)*1000+230)))-IF((47=$HJ18)+(47=$HK18)+(47=$HL18)+(47=$HM18)+(47=$HN18)+(47=$HO18)&gt;=2,50,0))+AX$5*50)</f>
        <v/>
      </c>
      <c r="AY138">
        <f>IF(OR($JF18=0,calcA!$A$6=0),0,IF(OR(48=$HA18,48=$HD18,48=$HG18),200000,MIN(IF($HA18=0,999999,IF(2=$HB18,IF(48=$HJ18,IF($JC18=2,30,0),IF(48=$HK18,IF($JC18=1,30,0),ABS(24-$HC18)*100)),100000+ABS(2-$HB18)*1000+240)),IF($HD18=0,999999,IF(2=$HE18,IF(48=$HL18,IF($JD18=2,30,0),IF(48=$HM18,IF($JD18=1,30,0),ABS(24-$HF18)*100)),100000+ABS(2-$HE18)*1000+240)),IF($HG18=0,999999,IF(2=$HH18,IF(48=$HN18,IF($JE18=2,30,0),IF(48=$HO18,IF($JE18=1,30,0),ABS(24-$HI18)*100)),100000+ABS(2-$HH18)*1000+240)))-IF((48=$HJ18)+(48=$HK18)+(48=$HL18)+(48=$HM18)+(48=$HN18)+(48=$HO18)&gt;=2,50,0))+AY$5*50)</f>
        <v/>
      </c>
      <c r="AZ138">
        <f>IF(OR($JF18=0,calcA!$A$6=0),0,IF(OR(49=$HA18,49=$HD18,49=$HG18),200000,MIN(IF($HA18=0,999999,IF(3=$HB18,IF(49=$HJ18,IF($JC18=2,30,0),IF(49=$HK18,IF($JC18=1,30,0),ABS(1-$HC18)*100)),100000+ABS(3-$HB18)*1000+10)),IF($HD18=0,999999,IF(3=$HE18,IF(49=$HL18,IF($JD18=2,30,0),IF(49=$HM18,IF($JD18=1,30,0),ABS(1-$HF18)*100)),100000+ABS(3-$HE18)*1000+10)),IF($HG18=0,999999,IF(3=$HH18,IF(49=$HN18,IF($JE18=2,30,0),IF(49=$HO18,IF($JE18=1,30,0),ABS(1-$HI18)*100)),100000+ABS(3-$HH18)*1000+10)))-IF((49=$HJ18)+(49=$HK18)+(49=$HL18)+(49=$HM18)+(49=$HN18)+(49=$HO18)&gt;=2,50,0))+AZ$5*50)</f>
        <v/>
      </c>
      <c r="BA138">
        <f>IF(OR($JF18=0,calcA!$A$6=0),0,IF(OR(50=$HA18,50=$HD18,50=$HG18),200000,MIN(IF($HA18=0,999999,IF(3=$HB18,IF(50=$HJ18,IF($JC18=2,30,0),IF(50=$HK18,IF($JC18=1,30,0),ABS(2-$HC18)*100)),100000+ABS(3-$HB18)*1000+20)),IF($HD18=0,999999,IF(3=$HE18,IF(50=$HL18,IF($JD18=2,30,0),IF(50=$HM18,IF($JD18=1,30,0),ABS(2-$HF18)*100)),100000+ABS(3-$HE18)*1000+20)),IF($HG18=0,999999,IF(3=$HH18,IF(50=$HN18,IF($JE18=2,30,0),IF(50=$HO18,IF($JE18=1,30,0),ABS(2-$HI18)*100)),100000+ABS(3-$HH18)*1000+20)))-IF((50=$HJ18)+(50=$HK18)+(50=$HL18)+(50=$HM18)+(50=$HN18)+(50=$HO18)&gt;=2,50,0))+BA$5*50)</f>
        <v/>
      </c>
      <c r="BB138">
        <f>IF(OR($JF18=0,calcA!$A$6=0),0,IF(OR(51=$HA18,51=$HD18,51=$HG18),200000,MIN(IF($HA18=0,999999,IF(3=$HB18,IF(51=$HJ18,IF($JC18=2,30,0),IF(51=$HK18,IF($JC18=1,30,0),ABS(3-$HC18)*100)),100000+ABS(3-$HB18)*1000+30)),IF($HD18=0,999999,IF(3=$HE18,IF(51=$HL18,IF($JD18=2,30,0),IF(51=$HM18,IF($JD18=1,30,0),ABS(3-$HF18)*100)),100000+ABS(3-$HE18)*1000+30)),IF($HG18=0,999999,IF(3=$HH18,IF(51=$HN18,IF($JE18=2,30,0),IF(51=$HO18,IF($JE18=1,30,0),ABS(3-$HI18)*100)),100000+ABS(3-$HH18)*1000+30)))-IF((51=$HJ18)+(51=$HK18)+(51=$HL18)+(51=$HM18)+(51=$HN18)+(51=$HO18)&gt;=2,50,0))+BB$5*50)</f>
        <v/>
      </c>
      <c r="BC138">
        <f>IF(OR($JF18=0,calcA!$A$6=0),0,IF(OR(52=$HA18,52=$HD18,52=$HG18),200000,MIN(IF($HA18=0,999999,IF(3=$HB18,IF(52=$HJ18,IF($JC18=2,30,0),IF(52=$HK18,IF($JC18=1,30,0),ABS(4-$HC18)*100)),100000+ABS(3-$HB18)*1000+40)),IF($HD18=0,999999,IF(3=$HE18,IF(52=$HL18,IF($JD18=2,30,0),IF(52=$HM18,IF($JD18=1,30,0),ABS(4-$HF18)*100)),100000+ABS(3-$HE18)*1000+40)),IF($HG18=0,999999,IF(3=$HH18,IF(52=$HN18,IF($JE18=2,30,0),IF(52=$HO18,IF($JE18=1,30,0),ABS(4-$HI18)*100)),100000+ABS(3-$HH18)*1000+40)))-IF((52=$HJ18)+(52=$HK18)+(52=$HL18)+(52=$HM18)+(52=$HN18)+(52=$HO18)&gt;=2,50,0))+BC$5*50)</f>
        <v/>
      </c>
      <c r="BD138">
        <f>IF(OR($JF18=0,calcA!$A$6=0),0,IF(OR(53=$HA18,53=$HD18,53=$HG18),200000,MIN(IF($HA18=0,999999,IF(3=$HB18,IF(53=$HJ18,IF($JC18=2,30,0),IF(53=$HK18,IF($JC18=1,30,0),ABS(5-$HC18)*100)),100000+ABS(3-$HB18)*1000+50)),IF($HD18=0,999999,IF(3=$HE18,IF(53=$HL18,IF($JD18=2,30,0),IF(53=$HM18,IF($JD18=1,30,0),ABS(5-$HF18)*100)),100000+ABS(3-$HE18)*1000+50)),IF($HG18=0,999999,IF(3=$HH18,IF(53=$HN18,IF($JE18=2,30,0),IF(53=$HO18,IF($JE18=1,30,0),ABS(5-$HI18)*100)),100000+ABS(3-$HH18)*1000+50)))-IF((53=$HJ18)+(53=$HK18)+(53=$HL18)+(53=$HM18)+(53=$HN18)+(53=$HO18)&gt;=2,50,0))+BD$5*50)</f>
        <v/>
      </c>
      <c r="BE138">
        <f>IF(OR($JF18=0,calcA!$A$6=0),0,IF(OR(54=$HA18,54=$HD18,54=$HG18),200000,MIN(IF($HA18=0,999999,IF(3=$HB18,IF(54=$HJ18,IF($JC18=2,30,0),IF(54=$HK18,IF($JC18=1,30,0),ABS(6-$HC18)*100)),100000+ABS(3-$HB18)*1000+60)),IF($HD18=0,999999,IF(3=$HE18,IF(54=$HL18,IF($JD18=2,30,0),IF(54=$HM18,IF($JD18=1,30,0),ABS(6-$HF18)*100)),100000+ABS(3-$HE18)*1000+60)),IF($HG18=0,999999,IF(3=$HH18,IF(54=$HN18,IF($JE18=2,30,0),IF(54=$HO18,IF($JE18=1,30,0),ABS(6-$HI18)*100)),100000+ABS(3-$HH18)*1000+60)))-IF((54=$HJ18)+(54=$HK18)+(54=$HL18)+(54=$HM18)+(54=$HN18)+(54=$HO18)&gt;=2,50,0))+BE$5*50)</f>
        <v/>
      </c>
      <c r="BF138">
        <f>IF(OR($JF18=0,calcA!$A$6=0),0,IF(OR(55=$HA18,55=$HD18,55=$HG18),200000,MIN(IF($HA18=0,999999,IF(3=$HB18,IF(55=$HJ18,IF($JC18=2,30,0),IF(55=$HK18,IF($JC18=1,30,0),ABS(7-$HC18)*100)),100000+ABS(3-$HB18)*1000+70)),IF($HD18=0,999999,IF(3=$HE18,IF(55=$HL18,IF($JD18=2,30,0),IF(55=$HM18,IF($JD18=1,30,0),ABS(7-$HF18)*100)),100000+ABS(3-$HE18)*1000+70)),IF($HG18=0,999999,IF(3=$HH18,IF(55=$HN18,IF($JE18=2,30,0),IF(55=$HO18,IF($JE18=1,30,0),ABS(7-$HI18)*100)),100000+ABS(3-$HH18)*1000+70)))-IF((55=$HJ18)+(55=$HK18)+(55=$HL18)+(55=$HM18)+(55=$HN18)+(55=$HO18)&gt;=2,50,0))+BF$5*50)</f>
        <v/>
      </c>
      <c r="BG138">
        <f>IF(OR($JF18=0,calcA!$A$6=0),0,IF(OR(56=$HA18,56=$HD18,56=$HG18),200000,MIN(IF($HA18=0,999999,IF(3=$HB18,IF(56=$HJ18,IF($JC18=2,30,0),IF(56=$HK18,IF($JC18=1,30,0),ABS(8-$HC18)*100)),100000+ABS(3-$HB18)*1000+80)),IF($HD18=0,999999,IF(3=$HE18,IF(56=$HL18,IF($JD18=2,30,0),IF(56=$HM18,IF($JD18=1,30,0),ABS(8-$HF18)*100)),100000+ABS(3-$HE18)*1000+80)),IF($HG18=0,999999,IF(3=$HH18,IF(56=$HN18,IF($JE18=2,30,0),IF(56=$HO18,IF($JE18=1,30,0),ABS(8-$HI18)*100)),100000+ABS(3-$HH18)*1000+80)))-IF((56=$HJ18)+(56=$HK18)+(56=$HL18)+(56=$HM18)+(56=$HN18)+(56=$HO18)&gt;=2,50,0))+BG$5*50)</f>
        <v/>
      </c>
      <c r="BH138">
        <f>IF(OR($JF18=0,calcA!$A$6=0),0,IF(OR(57=$HA18,57=$HD18,57=$HG18),200000,MIN(IF($HA18=0,999999,IF(3=$HB18,IF(57=$HJ18,IF($JC18=2,30,0),IF(57=$HK18,IF($JC18=1,30,0),ABS(9-$HC18)*100)),100000+ABS(3-$HB18)*1000+90)),IF($HD18=0,999999,IF(3=$HE18,IF(57=$HL18,IF($JD18=2,30,0),IF(57=$HM18,IF($JD18=1,30,0),ABS(9-$HF18)*100)),100000+ABS(3-$HE18)*1000+90)),IF($HG18=0,999999,IF(3=$HH18,IF(57=$HN18,IF($JE18=2,30,0),IF(57=$HO18,IF($JE18=1,30,0),ABS(9-$HI18)*100)),100000+ABS(3-$HH18)*1000+90)))-IF((57=$HJ18)+(57=$HK18)+(57=$HL18)+(57=$HM18)+(57=$HN18)+(57=$HO18)&gt;=2,50,0))+BH$5*50)</f>
        <v/>
      </c>
      <c r="BI138">
        <f>IF(OR($JF18=0,calcA!$A$6=0),0,IF(OR(58=$HA18,58=$HD18,58=$HG18),200000,MIN(IF($HA18=0,999999,IF(3=$HB18,IF(58=$HJ18,IF($JC18=2,30,0),IF(58=$HK18,IF($JC18=1,30,0),ABS(10-$HC18)*100)),100000+ABS(3-$HB18)*1000+100)),IF($HD18=0,999999,IF(3=$HE18,IF(58=$HL18,IF($JD18=2,30,0),IF(58=$HM18,IF($JD18=1,30,0),ABS(10-$HF18)*100)),100000+ABS(3-$HE18)*1000+100)),IF($HG18=0,999999,IF(3=$HH18,IF(58=$HN18,IF($JE18=2,30,0),IF(58=$HO18,IF($JE18=1,30,0),ABS(10-$HI18)*100)),100000+ABS(3-$HH18)*1000+100)))-IF((58=$HJ18)+(58=$HK18)+(58=$HL18)+(58=$HM18)+(58=$HN18)+(58=$HO18)&gt;=2,50,0))+BI$5*50)</f>
        <v/>
      </c>
      <c r="BJ138">
        <f>IF(OR($JF18=0,calcA!$A$6=0),0,IF(OR(59=$HA18,59=$HD18,59=$HG18),200000,MIN(IF($HA18=0,999999,IF(3=$HB18,IF(59=$HJ18,IF($JC18=2,30,0),IF(59=$HK18,IF($JC18=1,30,0),ABS(11-$HC18)*100)),100000+ABS(3-$HB18)*1000+110)),IF($HD18=0,999999,IF(3=$HE18,IF(59=$HL18,IF($JD18=2,30,0),IF(59=$HM18,IF($JD18=1,30,0),ABS(11-$HF18)*100)),100000+ABS(3-$HE18)*1000+110)),IF($HG18=0,999999,IF(3=$HH18,IF(59=$HN18,IF($JE18=2,30,0),IF(59=$HO18,IF($JE18=1,30,0),ABS(11-$HI18)*100)),100000+ABS(3-$HH18)*1000+110)))-IF((59=$HJ18)+(59=$HK18)+(59=$HL18)+(59=$HM18)+(59=$HN18)+(59=$HO18)&gt;=2,50,0))+BJ$5*50)</f>
        <v/>
      </c>
      <c r="BK138">
        <f>IF(OR($JF18=0,calcA!$A$6=0),0,IF(OR(60=$HA18,60=$HD18,60=$HG18),200000,MIN(IF($HA18=0,999999,IF(3=$HB18,IF(60=$HJ18,IF($JC18=2,30,0),IF(60=$HK18,IF($JC18=1,30,0),ABS(12-$HC18)*100)),100000+ABS(3-$HB18)*1000+120)),IF($HD18=0,999999,IF(3=$HE18,IF(60=$HL18,IF($JD18=2,30,0),IF(60=$HM18,IF($JD18=1,30,0),ABS(12-$HF18)*100)),100000+ABS(3-$HE18)*1000+120)),IF($HG18=0,999999,IF(3=$HH18,IF(60=$HN18,IF($JE18=2,30,0),IF(60=$HO18,IF($JE18=1,30,0),ABS(12-$HI18)*100)),100000+ABS(3-$HH18)*1000+120)))-IF((60=$HJ18)+(60=$HK18)+(60=$HL18)+(60=$HM18)+(60=$HN18)+(60=$HO18)&gt;=2,50,0))+BK$5*50)</f>
        <v/>
      </c>
      <c r="BL138">
        <f>IF(OR($JF18=0,calcA!$A$6=0),0,IF(OR(61=$HA18,61=$HD18,61=$HG18),200000,MIN(IF($HA18=0,999999,IF(3=$HB18,IF(61=$HJ18,IF($JC18=2,30,0),IF(61=$HK18,IF($JC18=1,30,0),ABS(13-$HC18)*100)),100000+ABS(3-$HB18)*1000+130)),IF($HD18=0,999999,IF(3=$HE18,IF(61=$HL18,IF($JD18=2,30,0),IF(61=$HM18,IF($JD18=1,30,0),ABS(13-$HF18)*100)),100000+ABS(3-$HE18)*1000+130)),IF($HG18=0,999999,IF(3=$HH18,IF(61=$HN18,IF($JE18=2,30,0),IF(61=$HO18,IF($JE18=1,30,0),ABS(13-$HI18)*100)),100000+ABS(3-$HH18)*1000+130)))-IF((61=$HJ18)+(61=$HK18)+(61=$HL18)+(61=$HM18)+(61=$HN18)+(61=$HO18)&gt;=2,50,0))+BL$5*50)</f>
        <v/>
      </c>
      <c r="BM138">
        <f>IF(OR($JF18=0,calcA!$A$6=0),0,IF(OR(62=$HA18,62=$HD18,62=$HG18),200000,MIN(IF($HA18=0,999999,IF(3=$HB18,IF(62=$HJ18,IF($JC18=2,30,0),IF(62=$HK18,IF($JC18=1,30,0),ABS(14-$HC18)*100)),100000+ABS(3-$HB18)*1000+140)),IF($HD18=0,999999,IF(3=$HE18,IF(62=$HL18,IF($JD18=2,30,0),IF(62=$HM18,IF($JD18=1,30,0),ABS(14-$HF18)*100)),100000+ABS(3-$HE18)*1000+140)),IF($HG18=0,999999,IF(3=$HH18,IF(62=$HN18,IF($JE18=2,30,0),IF(62=$HO18,IF($JE18=1,30,0),ABS(14-$HI18)*100)),100000+ABS(3-$HH18)*1000+140)))-IF((62=$HJ18)+(62=$HK18)+(62=$HL18)+(62=$HM18)+(62=$HN18)+(62=$HO18)&gt;=2,50,0))+BM$5*50)</f>
        <v/>
      </c>
      <c r="BN138">
        <f>IF(OR($JF18=0,calcA!$A$6=0),0,IF(OR(63=$HA18,63=$HD18,63=$HG18),200000,MIN(IF($HA18=0,999999,IF(3=$HB18,IF(63=$HJ18,IF($JC18=2,30,0),IF(63=$HK18,IF($JC18=1,30,0),ABS(15-$HC18)*100)),100000+ABS(3-$HB18)*1000+150)),IF($HD18=0,999999,IF(3=$HE18,IF(63=$HL18,IF($JD18=2,30,0),IF(63=$HM18,IF($JD18=1,30,0),ABS(15-$HF18)*100)),100000+ABS(3-$HE18)*1000+150)),IF($HG18=0,999999,IF(3=$HH18,IF(63=$HN18,IF($JE18=2,30,0),IF(63=$HO18,IF($JE18=1,30,0),ABS(15-$HI18)*100)),100000+ABS(3-$HH18)*1000+150)))-IF((63=$HJ18)+(63=$HK18)+(63=$HL18)+(63=$HM18)+(63=$HN18)+(63=$HO18)&gt;=2,50,0))+BN$5*50)</f>
        <v/>
      </c>
      <c r="BO138">
        <f>IF(OR($JF18=0,calcA!$A$6=0),0,IF(OR(64=$HA18,64=$HD18,64=$HG18),200000,MIN(IF($HA18=0,999999,IF(3=$HB18,IF(64=$HJ18,IF($JC18=2,30,0),IF(64=$HK18,IF($JC18=1,30,0),ABS(16-$HC18)*100)),100000+ABS(3-$HB18)*1000+160)),IF($HD18=0,999999,IF(3=$HE18,IF(64=$HL18,IF($JD18=2,30,0),IF(64=$HM18,IF($JD18=1,30,0),ABS(16-$HF18)*100)),100000+ABS(3-$HE18)*1000+160)),IF($HG18=0,999999,IF(3=$HH18,IF(64=$HN18,IF($JE18=2,30,0),IF(64=$HO18,IF($JE18=1,30,0),ABS(16-$HI18)*100)),100000+ABS(3-$HH18)*1000+160)))-IF((64=$HJ18)+(64=$HK18)+(64=$HL18)+(64=$HM18)+(64=$HN18)+(64=$HO18)&gt;=2,50,0))+BO$5*50)</f>
        <v/>
      </c>
      <c r="BP138">
        <f>IF(OR($JF18=0,calcA!$A$6=0),0,IF(OR(65=$HA18,65=$HD18,65=$HG18),200000,MIN(IF($HA18=0,999999,IF(3=$HB18,IF(65=$HJ18,IF($JC18=2,30,0),IF(65=$HK18,IF($JC18=1,30,0),ABS(17-$HC18)*100)),100000+ABS(3-$HB18)*1000+170)),IF($HD18=0,999999,IF(3=$HE18,IF(65=$HL18,IF($JD18=2,30,0),IF(65=$HM18,IF($JD18=1,30,0),ABS(17-$HF18)*100)),100000+ABS(3-$HE18)*1000+170)),IF($HG18=0,999999,IF(3=$HH18,IF(65=$HN18,IF($JE18=2,30,0),IF(65=$HO18,IF($JE18=1,30,0),ABS(17-$HI18)*100)),100000+ABS(3-$HH18)*1000+170)))-IF((65=$HJ18)+(65=$HK18)+(65=$HL18)+(65=$HM18)+(65=$HN18)+(65=$HO18)&gt;=2,50,0))+BP$5*50)</f>
        <v/>
      </c>
      <c r="BQ138">
        <f>IF(OR($JF18=0,calcA!$A$6=0),0,IF(OR(66=$HA18,66=$HD18,66=$HG18),200000,MIN(IF($HA18=0,999999,IF(3=$HB18,IF(66=$HJ18,IF($JC18=2,30,0),IF(66=$HK18,IF($JC18=1,30,0),ABS(18-$HC18)*100)),100000+ABS(3-$HB18)*1000+180)),IF($HD18=0,999999,IF(3=$HE18,IF(66=$HL18,IF($JD18=2,30,0),IF(66=$HM18,IF($JD18=1,30,0),ABS(18-$HF18)*100)),100000+ABS(3-$HE18)*1000+180)),IF($HG18=0,999999,IF(3=$HH18,IF(66=$HN18,IF($JE18=2,30,0),IF(66=$HO18,IF($JE18=1,30,0),ABS(18-$HI18)*100)),100000+ABS(3-$HH18)*1000+180)))-IF((66=$HJ18)+(66=$HK18)+(66=$HL18)+(66=$HM18)+(66=$HN18)+(66=$HO18)&gt;=2,50,0))+BQ$5*50)</f>
        <v/>
      </c>
      <c r="BR138">
        <f>IF(OR($JF18=0,calcA!$A$6=0),0,IF(OR(67=$HA18,67=$HD18,67=$HG18),200000,MIN(IF($HA18=0,999999,IF(3=$HB18,IF(67=$HJ18,IF($JC18=2,30,0),IF(67=$HK18,IF($JC18=1,30,0),ABS(19-$HC18)*100)),100000+ABS(3-$HB18)*1000+190)),IF($HD18=0,999999,IF(3=$HE18,IF(67=$HL18,IF($JD18=2,30,0),IF(67=$HM18,IF($JD18=1,30,0),ABS(19-$HF18)*100)),100000+ABS(3-$HE18)*1000+190)),IF($HG18=0,999999,IF(3=$HH18,IF(67=$HN18,IF($JE18=2,30,0),IF(67=$HO18,IF($JE18=1,30,0),ABS(19-$HI18)*100)),100000+ABS(3-$HH18)*1000+190)))-IF((67=$HJ18)+(67=$HK18)+(67=$HL18)+(67=$HM18)+(67=$HN18)+(67=$HO18)&gt;=2,50,0))+BR$5*50)</f>
        <v/>
      </c>
      <c r="BS138">
        <f>IF(OR($JF18=0,calcA!$A$6=0),0,IF(OR(68=$HA18,68=$HD18,68=$HG18),200000,MIN(IF($HA18=0,999999,IF(3=$HB18,IF(68=$HJ18,IF($JC18=2,30,0),IF(68=$HK18,IF($JC18=1,30,0),ABS(20-$HC18)*100)),100000+ABS(3-$HB18)*1000+200)),IF($HD18=0,999999,IF(3=$HE18,IF(68=$HL18,IF($JD18=2,30,0),IF(68=$HM18,IF($JD18=1,30,0),ABS(20-$HF18)*100)),100000+ABS(3-$HE18)*1000+200)),IF($HG18=0,999999,IF(3=$HH18,IF(68=$HN18,IF($JE18=2,30,0),IF(68=$HO18,IF($JE18=1,30,0),ABS(20-$HI18)*100)),100000+ABS(3-$HH18)*1000+200)))-IF((68=$HJ18)+(68=$HK18)+(68=$HL18)+(68=$HM18)+(68=$HN18)+(68=$HO18)&gt;=2,50,0))+BS$5*50)</f>
        <v/>
      </c>
      <c r="BT138">
        <f>IF(OR($JF18=0,calcA!$A$6=0),0,IF(OR(69=$HA18,69=$HD18,69=$HG18),200000,MIN(IF($HA18=0,999999,IF(3=$HB18,IF(69=$HJ18,IF($JC18=2,30,0),IF(69=$HK18,IF($JC18=1,30,0),ABS(21-$HC18)*100)),100000+ABS(3-$HB18)*1000+210)),IF($HD18=0,999999,IF(3=$HE18,IF(69=$HL18,IF($JD18=2,30,0),IF(69=$HM18,IF($JD18=1,30,0),ABS(21-$HF18)*100)),100000+ABS(3-$HE18)*1000+210)),IF($HG18=0,999999,IF(3=$HH18,IF(69=$HN18,IF($JE18=2,30,0),IF(69=$HO18,IF($JE18=1,30,0),ABS(21-$HI18)*100)),100000+ABS(3-$HH18)*1000+210)))-IF((69=$HJ18)+(69=$HK18)+(69=$HL18)+(69=$HM18)+(69=$HN18)+(69=$HO18)&gt;=2,50,0))+BT$5*50)</f>
        <v/>
      </c>
      <c r="BU138">
        <f>IF(OR($JF18=0,calcA!$A$6=0),0,IF(OR(70=$HA18,70=$HD18,70=$HG18),200000,MIN(IF($HA18=0,999999,IF(3=$HB18,IF(70=$HJ18,IF($JC18=2,30,0),IF(70=$HK18,IF($JC18=1,30,0),ABS(22-$HC18)*100)),100000+ABS(3-$HB18)*1000+220)),IF($HD18=0,999999,IF(3=$HE18,IF(70=$HL18,IF($JD18=2,30,0),IF(70=$HM18,IF($JD18=1,30,0),ABS(22-$HF18)*100)),100000+ABS(3-$HE18)*1000+220)),IF($HG18=0,999999,IF(3=$HH18,IF(70=$HN18,IF($JE18=2,30,0),IF(70=$HO18,IF($JE18=1,30,0),ABS(22-$HI18)*100)),100000+ABS(3-$HH18)*1000+220)))-IF((70=$HJ18)+(70=$HK18)+(70=$HL18)+(70=$HM18)+(70=$HN18)+(70=$HO18)&gt;=2,50,0))+BU$5*50)</f>
        <v/>
      </c>
      <c r="BV138">
        <f>IF(OR($JF18=0,calcA!$A$6=0),0,IF(OR(71=$HA18,71=$HD18,71=$HG18),200000,MIN(IF($HA18=0,999999,IF(3=$HB18,IF(71=$HJ18,IF($JC18=2,30,0),IF(71=$HK18,IF($JC18=1,30,0),ABS(23-$HC18)*100)),100000+ABS(3-$HB18)*1000+230)),IF($HD18=0,999999,IF(3=$HE18,IF(71=$HL18,IF($JD18=2,30,0),IF(71=$HM18,IF($JD18=1,30,0),ABS(23-$HF18)*100)),100000+ABS(3-$HE18)*1000+230)),IF($HG18=0,999999,IF(3=$HH18,IF(71=$HN18,IF($JE18=2,30,0),IF(71=$HO18,IF($JE18=1,30,0),ABS(23-$HI18)*100)),100000+ABS(3-$HH18)*1000+230)))-IF((71=$HJ18)+(71=$HK18)+(71=$HL18)+(71=$HM18)+(71=$HN18)+(71=$HO18)&gt;=2,50,0))+BV$5*50)</f>
        <v/>
      </c>
      <c r="BW138">
        <f>IF(OR($JF18=0,calcA!$A$6=0),0,IF(OR(72=$HA18,72=$HD18,72=$HG18),200000,MIN(IF($HA18=0,999999,IF(3=$HB18,IF(72=$HJ18,IF($JC18=2,30,0),IF(72=$HK18,IF($JC18=1,30,0),ABS(24-$HC18)*100)),100000+ABS(3-$HB18)*1000+240)),IF($HD18=0,999999,IF(3=$HE18,IF(72=$HL18,IF($JD18=2,30,0),IF(72=$HM18,IF($JD18=1,30,0),ABS(24-$HF18)*100)),100000+ABS(3-$HE18)*1000+240)),IF($HG18=0,999999,IF(3=$HH18,IF(72=$HN18,IF($JE18=2,30,0),IF(72=$HO18,IF($JE18=1,30,0),ABS(24-$HI18)*100)),100000+ABS(3-$HH18)*1000+240)))-IF((72=$HJ18)+(72=$HK18)+(72=$HL18)+(72=$HM18)+(72=$HN18)+(72=$HO18)&gt;=2,50,0))+BW$5*50)</f>
        <v/>
      </c>
      <c r="BX138">
        <f>IF(OR($JF18=0,calcA!$A$6=0),0,IF(OR(73=$HA18,73=$HD18,73=$HG18),200000,MIN(IF($HA18=0,999999,IF(4=$HB18,IF(73=$HJ18,IF($JC18=2,30,0),IF(73=$HK18,IF($JC18=1,30,0),ABS(1-$HC18)*100)),100000+ABS(4-$HB18)*1000+10)),IF($HD18=0,999999,IF(4=$HE18,IF(73=$HL18,IF($JD18=2,30,0),IF(73=$HM18,IF($JD18=1,30,0),ABS(1-$HF18)*100)),100000+ABS(4-$HE18)*1000+10)),IF($HG18=0,999999,IF(4=$HH18,IF(73=$HN18,IF($JE18=2,30,0),IF(73=$HO18,IF($JE18=1,30,0),ABS(1-$HI18)*100)),100000+ABS(4-$HH18)*1000+10)))-IF((73=$HJ18)+(73=$HK18)+(73=$HL18)+(73=$HM18)+(73=$HN18)+(73=$HO18)&gt;=2,50,0))+BX$5*50)</f>
        <v/>
      </c>
      <c r="BY138">
        <f>IF(OR($JF18=0,calcA!$A$6=0),0,IF(OR(74=$HA18,74=$HD18,74=$HG18),200000,MIN(IF($HA18=0,999999,IF(4=$HB18,IF(74=$HJ18,IF($JC18=2,30,0),IF(74=$HK18,IF($JC18=1,30,0),ABS(2-$HC18)*100)),100000+ABS(4-$HB18)*1000+20)),IF($HD18=0,999999,IF(4=$HE18,IF(74=$HL18,IF($JD18=2,30,0),IF(74=$HM18,IF($JD18=1,30,0),ABS(2-$HF18)*100)),100000+ABS(4-$HE18)*1000+20)),IF($HG18=0,999999,IF(4=$HH18,IF(74=$HN18,IF($JE18=2,30,0),IF(74=$HO18,IF($JE18=1,30,0),ABS(2-$HI18)*100)),100000+ABS(4-$HH18)*1000+20)))-IF((74=$HJ18)+(74=$HK18)+(74=$HL18)+(74=$HM18)+(74=$HN18)+(74=$HO18)&gt;=2,50,0))+BY$5*50)</f>
        <v/>
      </c>
      <c r="BZ138">
        <f>IF(OR($JF18=0,calcA!$A$6=0),0,IF(OR(75=$HA18,75=$HD18,75=$HG18),200000,MIN(IF($HA18=0,999999,IF(4=$HB18,IF(75=$HJ18,IF($JC18=2,30,0),IF(75=$HK18,IF($JC18=1,30,0),ABS(3-$HC18)*100)),100000+ABS(4-$HB18)*1000+30)),IF($HD18=0,999999,IF(4=$HE18,IF(75=$HL18,IF($JD18=2,30,0),IF(75=$HM18,IF($JD18=1,30,0),ABS(3-$HF18)*100)),100000+ABS(4-$HE18)*1000+30)),IF($HG18=0,999999,IF(4=$HH18,IF(75=$HN18,IF($JE18=2,30,0),IF(75=$HO18,IF($JE18=1,30,0),ABS(3-$HI18)*100)),100000+ABS(4-$HH18)*1000+30)))-IF((75=$HJ18)+(75=$HK18)+(75=$HL18)+(75=$HM18)+(75=$HN18)+(75=$HO18)&gt;=2,50,0))+BZ$5*50)</f>
        <v/>
      </c>
      <c r="CA138">
        <f>IF(OR($JF18=0,calcA!$A$6=0),0,IF(OR(76=$HA18,76=$HD18,76=$HG18),200000,MIN(IF($HA18=0,999999,IF(4=$HB18,IF(76=$HJ18,IF($JC18=2,30,0),IF(76=$HK18,IF($JC18=1,30,0),ABS(4-$HC18)*100)),100000+ABS(4-$HB18)*1000+40)),IF($HD18=0,999999,IF(4=$HE18,IF(76=$HL18,IF($JD18=2,30,0),IF(76=$HM18,IF($JD18=1,30,0),ABS(4-$HF18)*100)),100000+ABS(4-$HE18)*1000+40)),IF($HG18=0,999999,IF(4=$HH18,IF(76=$HN18,IF($JE18=2,30,0),IF(76=$HO18,IF($JE18=1,30,0),ABS(4-$HI18)*100)),100000+ABS(4-$HH18)*1000+40)))-IF((76=$HJ18)+(76=$HK18)+(76=$HL18)+(76=$HM18)+(76=$HN18)+(76=$HO18)&gt;=2,50,0))+CA$5*50)</f>
        <v/>
      </c>
      <c r="CB138">
        <f>IF(OR($JF18=0,calcA!$A$6=0),0,IF(OR(77=$HA18,77=$HD18,77=$HG18),200000,MIN(IF($HA18=0,999999,IF(4=$HB18,IF(77=$HJ18,IF($JC18=2,30,0),IF(77=$HK18,IF($JC18=1,30,0),ABS(5-$HC18)*100)),100000+ABS(4-$HB18)*1000+50)),IF($HD18=0,999999,IF(4=$HE18,IF(77=$HL18,IF($JD18=2,30,0),IF(77=$HM18,IF($JD18=1,30,0),ABS(5-$HF18)*100)),100000+ABS(4-$HE18)*1000+50)),IF($HG18=0,999999,IF(4=$HH18,IF(77=$HN18,IF($JE18=2,30,0),IF(77=$HO18,IF($JE18=1,30,0),ABS(5-$HI18)*100)),100000+ABS(4-$HH18)*1000+50)))-IF((77=$HJ18)+(77=$HK18)+(77=$HL18)+(77=$HM18)+(77=$HN18)+(77=$HO18)&gt;=2,50,0))+CB$5*50)</f>
        <v/>
      </c>
      <c r="CC138">
        <f>IF(OR($JF18=0,calcA!$A$6=0),0,IF(OR(78=$HA18,78=$HD18,78=$HG18),200000,MIN(IF($HA18=0,999999,IF(4=$HB18,IF(78=$HJ18,IF($JC18=2,30,0),IF(78=$HK18,IF($JC18=1,30,0),ABS(6-$HC18)*100)),100000+ABS(4-$HB18)*1000+60)),IF($HD18=0,999999,IF(4=$HE18,IF(78=$HL18,IF($JD18=2,30,0),IF(78=$HM18,IF($JD18=1,30,0),ABS(6-$HF18)*100)),100000+ABS(4-$HE18)*1000+60)),IF($HG18=0,999999,IF(4=$HH18,IF(78=$HN18,IF($JE18=2,30,0),IF(78=$HO18,IF($JE18=1,30,0),ABS(6-$HI18)*100)),100000+ABS(4-$HH18)*1000+60)))-IF((78=$HJ18)+(78=$HK18)+(78=$HL18)+(78=$HM18)+(78=$HN18)+(78=$HO18)&gt;=2,50,0))+CC$5*50)</f>
        <v/>
      </c>
      <c r="CD138">
        <f>IF(OR($JF18=0,calcA!$A$6=0),0,IF(OR(79=$HA18,79=$HD18,79=$HG18),200000,MIN(IF($HA18=0,999999,IF(4=$HB18,IF(79=$HJ18,IF($JC18=2,30,0),IF(79=$HK18,IF($JC18=1,30,0),ABS(7-$HC18)*100)),100000+ABS(4-$HB18)*1000+70)),IF($HD18=0,999999,IF(4=$HE18,IF(79=$HL18,IF($JD18=2,30,0),IF(79=$HM18,IF($JD18=1,30,0),ABS(7-$HF18)*100)),100000+ABS(4-$HE18)*1000+70)),IF($HG18=0,999999,IF(4=$HH18,IF(79=$HN18,IF($JE18=2,30,0),IF(79=$HO18,IF($JE18=1,30,0),ABS(7-$HI18)*100)),100000+ABS(4-$HH18)*1000+70)))-IF((79=$HJ18)+(79=$HK18)+(79=$HL18)+(79=$HM18)+(79=$HN18)+(79=$HO18)&gt;=2,50,0))+CD$5*50)</f>
        <v/>
      </c>
      <c r="CE138">
        <f>IF(OR($JF18=0,calcA!$A$6=0),0,IF(OR(80=$HA18,80=$HD18,80=$HG18),200000,MIN(IF($HA18=0,999999,IF(4=$HB18,IF(80=$HJ18,IF($JC18=2,30,0),IF(80=$HK18,IF($JC18=1,30,0),ABS(8-$HC18)*100)),100000+ABS(4-$HB18)*1000+80)),IF($HD18=0,999999,IF(4=$HE18,IF(80=$HL18,IF($JD18=2,30,0),IF(80=$HM18,IF($JD18=1,30,0),ABS(8-$HF18)*100)),100000+ABS(4-$HE18)*1000+80)),IF($HG18=0,999999,IF(4=$HH18,IF(80=$HN18,IF($JE18=2,30,0),IF(80=$HO18,IF($JE18=1,30,0),ABS(8-$HI18)*100)),100000+ABS(4-$HH18)*1000+80)))-IF((80=$HJ18)+(80=$HK18)+(80=$HL18)+(80=$HM18)+(80=$HN18)+(80=$HO18)&gt;=2,50,0))+CE$5*50)</f>
        <v/>
      </c>
      <c r="CF138">
        <f>IF(OR($JF18=0,calcA!$A$6=0),0,IF(OR(81=$HA18,81=$HD18,81=$HG18),200000,MIN(IF($HA18=0,999999,IF(4=$HB18,IF(81=$HJ18,IF($JC18=2,30,0),IF(81=$HK18,IF($JC18=1,30,0),ABS(9-$HC18)*100)),100000+ABS(4-$HB18)*1000+90)),IF($HD18=0,999999,IF(4=$HE18,IF(81=$HL18,IF($JD18=2,30,0),IF(81=$HM18,IF($JD18=1,30,0),ABS(9-$HF18)*100)),100000+ABS(4-$HE18)*1000+90)),IF($HG18=0,999999,IF(4=$HH18,IF(81=$HN18,IF($JE18=2,30,0),IF(81=$HO18,IF($JE18=1,30,0),ABS(9-$HI18)*100)),100000+ABS(4-$HH18)*1000+90)))-IF((81=$HJ18)+(81=$HK18)+(81=$HL18)+(81=$HM18)+(81=$HN18)+(81=$HO18)&gt;=2,50,0))+CF$5*50)</f>
        <v/>
      </c>
      <c r="CG138">
        <f>IF(OR($JF18=0,calcA!$A$6=0),0,IF(OR(82=$HA18,82=$HD18,82=$HG18),200000,MIN(IF($HA18=0,999999,IF(4=$HB18,IF(82=$HJ18,IF($JC18=2,30,0),IF(82=$HK18,IF($JC18=1,30,0),ABS(10-$HC18)*100)),100000+ABS(4-$HB18)*1000+100)),IF($HD18=0,999999,IF(4=$HE18,IF(82=$HL18,IF($JD18=2,30,0),IF(82=$HM18,IF($JD18=1,30,0),ABS(10-$HF18)*100)),100000+ABS(4-$HE18)*1000+100)),IF($HG18=0,999999,IF(4=$HH18,IF(82=$HN18,IF($JE18=2,30,0),IF(82=$HO18,IF($JE18=1,30,0),ABS(10-$HI18)*100)),100000+ABS(4-$HH18)*1000+100)))-IF((82=$HJ18)+(82=$HK18)+(82=$HL18)+(82=$HM18)+(82=$HN18)+(82=$HO18)&gt;=2,50,0))+CG$5*50)</f>
        <v/>
      </c>
      <c r="CH138">
        <f>IF(OR($JF18=0,calcA!$A$6=0),0,IF(OR(83=$HA18,83=$HD18,83=$HG18),200000,MIN(IF($HA18=0,999999,IF(4=$HB18,IF(83=$HJ18,IF($JC18=2,30,0),IF(83=$HK18,IF($JC18=1,30,0),ABS(11-$HC18)*100)),100000+ABS(4-$HB18)*1000+110)),IF($HD18=0,999999,IF(4=$HE18,IF(83=$HL18,IF($JD18=2,30,0),IF(83=$HM18,IF($JD18=1,30,0),ABS(11-$HF18)*100)),100000+ABS(4-$HE18)*1000+110)),IF($HG18=0,999999,IF(4=$HH18,IF(83=$HN18,IF($JE18=2,30,0),IF(83=$HO18,IF($JE18=1,30,0),ABS(11-$HI18)*100)),100000+ABS(4-$HH18)*1000+110)))-IF((83=$HJ18)+(83=$HK18)+(83=$HL18)+(83=$HM18)+(83=$HN18)+(83=$HO18)&gt;=2,50,0))+CH$5*50)</f>
        <v/>
      </c>
      <c r="CI138">
        <f>IF(OR($JF18=0,calcA!$A$6=0),0,IF(OR(84=$HA18,84=$HD18,84=$HG18),200000,MIN(IF($HA18=0,999999,IF(4=$HB18,IF(84=$HJ18,IF($JC18=2,30,0),IF(84=$HK18,IF($JC18=1,30,0),ABS(12-$HC18)*100)),100000+ABS(4-$HB18)*1000+120)),IF($HD18=0,999999,IF(4=$HE18,IF(84=$HL18,IF($JD18=2,30,0),IF(84=$HM18,IF($JD18=1,30,0),ABS(12-$HF18)*100)),100000+ABS(4-$HE18)*1000+120)),IF($HG18=0,999999,IF(4=$HH18,IF(84=$HN18,IF($JE18=2,30,0),IF(84=$HO18,IF($JE18=1,30,0),ABS(12-$HI18)*100)),100000+ABS(4-$HH18)*1000+120)))-IF((84=$HJ18)+(84=$HK18)+(84=$HL18)+(84=$HM18)+(84=$HN18)+(84=$HO18)&gt;=2,50,0))+CI$5*50)</f>
        <v/>
      </c>
      <c r="CJ138">
        <f>IF(OR($JF18=0,calcA!$A$6=0),0,IF(OR(85=$HA18,85=$HD18,85=$HG18),200000,MIN(IF($HA18=0,999999,IF(4=$HB18,IF(85=$HJ18,IF($JC18=2,30,0),IF(85=$HK18,IF($JC18=1,30,0),ABS(13-$HC18)*100)),100000+ABS(4-$HB18)*1000+130)),IF($HD18=0,999999,IF(4=$HE18,IF(85=$HL18,IF($JD18=2,30,0),IF(85=$HM18,IF($JD18=1,30,0),ABS(13-$HF18)*100)),100000+ABS(4-$HE18)*1000+130)),IF($HG18=0,999999,IF(4=$HH18,IF(85=$HN18,IF($JE18=2,30,0),IF(85=$HO18,IF($JE18=1,30,0),ABS(13-$HI18)*100)),100000+ABS(4-$HH18)*1000+130)))-IF((85=$HJ18)+(85=$HK18)+(85=$HL18)+(85=$HM18)+(85=$HN18)+(85=$HO18)&gt;=2,50,0))+CJ$5*50)</f>
        <v/>
      </c>
      <c r="CK138">
        <f>IF(OR($JF18=0,calcA!$A$6=0),0,IF(OR(86=$HA18,86=$HD18,86=$HG18),200000,MIN(IF($HA18=0,999999,IF(4=$HB18,IF(86=$HJ18,IF($JC18=2,30,0),IF(86=$HK18,IF($JC18=1,30,0),ABS(14-$HC18)*100)),100000+ABS(4-$HB18)*1000+140)),IF($HD18=0,999999,IF(4=$HE18,IF(86=$HL18,IF($JD18=2,30,0),IF(86=$HM18,IF($JD18=1,30,0),ABS(14-$HF18)*100)),100000+ABS(4-$HE18)*1000+140)),IF($HG18=0,999999,IF(4=$HH18,IF(86=$HN18,IF($JE18=2,30,0),IF(86=$HO18,IF($JE18=1,30,0),ABS(14-$HI18)*100)),100000+ABS(4-$HH18)*1000+140)))-IF((86=$HJ18)+(86=$HK18)+(86=$HL18)+(86=$HM18)+(86=$HN18)+(86=$HO18)&gt;=2,50,0))+CK$5*50)</f>
        <v/>
      </c>
      <c r="CL138">
        <f>IF(OR($JF18=0,calcA!$A$6=0),0,IF(OR(87=$HA18,87=$HD18,87=$HG18),200000,MIN(IF($HA18=0,999999,IF(4=$HB18,IF(87=$HJ18,IF($JC18=2,30,0),IF(87=$HK18,IF($JC18=1,30,0),ABS(15-$HC18)*100)),100000+ABS(4-$HB18)*1000+150)),IF($HD18=0,999999,IF(4=$HE18,IF(87=$HL18,IF($JD18=2,30,0),IF(87=$HM18,IF($JD18=1,30,0),ABS(15-$HF18)*100)),100000+ABS(4-$HE18)*1000+150)),IF($HG18=0,999999,IF(4=$HH18,IF(87=$HN18,IF($JE18=2,30,0),IF(87=$HO18,IF($JE18=1,30,0),ABS(15-$HI18)*100)),100000+ABS(4-$HH18)*1000+150)))-IF((87=$HJ18)+(87=$HK18)+(87=$HL18)+(87=$HM18)+(87=$HN18)+(87=$HO18)&gt;=2,50,0))+CL$5*50)</f>
        <v/>
      </c>
      <c r="CM138">
        <f>IF(OR($JF18=0,calcA!$A$6=0),0,IF(OR(88=$HA18,88=$HD18,88=$HG18),200000,MIN(IF($HA18=0,999999,IF(4=$HB18,IF(88=$HJ18,IF($JC18=2,30,0),IF(88=$HK18,IF($JC18=1,30,0),ABS(16-$HC18)*100)),100000+ABS(4-$HB18)*1000+160)),IF($HD18=0,999999,IF(4=$HE18,IF(88=$HL18,IF($JD18=2,30,0),IF(88=$HM18,IF($JD18=1,30,0),ABS(16-$HF18)*100)),100000+ABS(4-$HE18)*1000+160)),IF($HG18=0,999999,IF(4=$HH18,IF(88=$HN18,IF($JE18=2,30,0),IF(88=$HO18,IF($JE18=1,30,0),ABS(16-$HI18)*100)),100000+ABS(4-$HH18)*1000+160)))-IF((88=$HJ18)+(88=$HK18)+(88=$HL18)+(88=$HM18)+(88=$HN18)+(88=$HO18)&gt;=2,50,0))+CM$5*50)</f>
        <v/>
      </c>
      <c r="CN138">
        <f>IF(OR($JF18=0,calcA!$A$6=0),0,IF(OR(89=$HA18,89=$HD18,89=$HG18),200000,MIN(IF($HA18=0,999999,IF(4=$HB18,IF(89=$HJ18,IF($JC18=2,30,0),IF(89=$HK18,IF($JC18=1,30,0),ABS(17-$HC18)*100)),100000+ABS(4-$HB18)*1000+170)),IF($HD18=0,999999,IF(4=$HE18,IF(89=$HL18,IF($JD18=2,30,0),IF(89=$HM18,IF($JD18=1,30,0),ABS(17-$HF18)*100)),100000+ABS(4-$HE18)*1000+170)),IF($HG18=0,999999,IF(4=$HH18,IF(89=$HN18,IF($JE18=2,30,0),IF(89=$HO18,IF($JE18=1,30,0),ABS(17-$HI18)*100)),100000+ABS(4-$HH18)*1000+170)))-IF((89=$HJ18)+(89=$HK18)+(89=$HL18)+(89=$HM18)+(89=$HN18)+(89=$HO18)&gt;=2,50,0))+CN$5*50)</f>
        <v/>
      </c>
      <c r="CO138">
        <f>IF(OR($JF18=0,calcA!$A$6=0),0,IF(OR(90=$HA18,90=$HD18,90=$HG18),200000,MIN(IF($HA18=0,999999,IF(4=$HB18,IF(90=$HJ18,IF($JC18=2,30,0),IF(90=$HK18,IF($JC18=1,30,0),ABS(18-$HC18)*100)),100000+ABS(4-$HB18)*1000+180)),IF($HD18=0,999999,IF(4=$HE18,IF(90=$HL18,IF($JD18=2,30,0),IF(90=$HM18,IF($JD18=1,30,0),ABS(18-$HF18)*100)),100000+ABS(4-$HE18)*1000+180)),IF($HG18=0,999999,IF(4=$HH18,IF(90=$HN18,IF($JE18=2,30,0),IF(90=$HO18,IF($JE18=1,30,0),ABS(18-$HI18)*100)),100000+ABS(4-$HH18)*1000+180)))-IF((90=$HJ18)+(90=$HK18)+(90=$HL18)+(90=$HM18)+(90=$HN18)+(90=$HO18)&gt;=2,50,0))+CO$5*50)</f>
        <v/>
      </c>
      <c r="CP138">
        <f>IF(OR($JF18=0,calcA!$A$6=0),0,IF(OR(91=$HA18,91=$HD18,91=$HG18),200000,MIN(IF($HA18=0,999999,IF(4=$HB18,IF(91=$HJ18,IF($JC18=2,30,0),IF(91=$HK18,IF($JC18=1,30,0),ABS(19-$HC18)*100)),100000+ABS(4-$HB18)*1000+190)),IF($HD18=0,999999,IF(4=$HE18,IF(91=$HL18,IF($JD18=2,30,0),IF(91=$HM18,IF($JD18=1,30,0),ABS(19-$HF18)*100)),100000+ABS(4-$HE18)*1000+190)),IF($HG18=0,999999,IF(4=$HH18,IF(91=$HN18,IF($JE18=2,30,0),IF(91=$HO18,IF($JE18=1,30,0),ABS(19-$HI18)*100)),100000+ABS(4-$HH18)*1000+190)))-IF((91=$HJ18)+(91=$HK18)+(91=$HL18)+(91=$HM18)+(91=$HN18)+(91=$HO18)&gt;=2,50,0))+CP$5*50)</f>
        <v/>
      </c>
      <c r="CQ138">
        <f>IF(OR($JF18=0,calcA!$A$6=0),0,IF(OR(92=$HA18,92=$HD18,92=$HG18),200000,MIN(IF($HA18=0,999999,IF(4=$HB18,IF(92=$HJ18,IF($JC18=2,30,0),IF(92=$HK18,IF($JC18=1,30,0),ABS(20-$HC18)*100)),100000+ABS(4-$HB18)*1000+200)),IF($HD18=0,999999,IF(4=$HE18,IF(92=$HL18,IF($JD18=2,30,0),IF(92=$HM18,IF($JD18=1,30,0),ABS(20-$HF18)*100)),100000+ABS(4-$HE18)*1000+200)),IF($HG18=0,999999,IF(4=$HH18,IF(92=$HN18,IF($JE18=2,30,0),IF(92=$HO18,IF($JE18=1,30,0),ABS(20-$HI18)*100)),100000+ABS(4-$HH18)*1000+200)))-IF((92=$HJ18)+(92=$HK18)+(92=$HL18)+(92=$HM18)+(92=$HN18)+(92=$HO18)&gt;=2,50,0))+CQ$5*50)</f>
        <v/>
      </c>
      <c r="CR138">
        <f>IF(OR($JF18=0,calcA!$A$6=0),0,IF(OR(93=$HA18,93=$HD18,93=$HG18),200000,MIN(IF($HA18=0,999999,IF(4=$HB18,IF(93=$HJ18,IF($JC18=2,30,0),IF(93=$HK18,IF($JC18=1,30,0),ABS(21-$HC18)*100)),100000+ABS(4-$HB18)*1000+210)),IF($HD18=0,999999,IF(4=$HE18,IF(93=$HL18,IF($JD18=2,30,0),IF(93=$HM18,IF($JD18=1,30,0),ABS(21-$HF18)*100)),100000+ABS(4-$HE18)*1000+210)),IF($HG18=0,999999,IF(4=$HH18,IF(93=$HN18,IF($JE18=2,30,0),IF(93=$HO18,IF($JE18=1,30,0),ABS(21-$HI18)*100)),100000+ABS(4-$HH18)*1000+210)))-IF((93=$HJ18)+(93=$HK18)+(93=$HL18)+(93=$HM18)+(93=$HN18)+(93=$HO18)&gt;=2,50,0))+CR$5*50)</f>
        <v/>
      </c>
      <c r="CS138">
        <f>IF(OR($JF18=0,calcA!$A$6=0),0,IF(OR(94=$HA18,94=$HD18,94=$HG18),200000,MIN(IF($HA18=0,999999,IF(4=$HB18,IF(94=$HJ18,IF($JC18=2,30,0),IF(94=$HK18,IF($JC18=1,30,0),ABS(22-$HC18)*100)),100000+ABS(4-$HB18)*1000+220)),IF($HD18=0,999999,IF(4=$HE18,IF(94=$HL18,IF($JD18=2,30,0),IF(94=$HM18,IF($JD18=1,30,0),ABS(22-$HF18)*100)),100000+ABS(4-$HE18)*1000+220)),IF($HG18=0,999999,IF(4=$HH18,IF(94=$HN18,IF($JE18=2,30,0),IF(94=$HO18,IF($JE18=1,30,0),ABS(22-$HI18)*100)),100000+ABS(4-$HH18)*1000+220)))-IF((94=$HJ18)+(94=$HK18)+(94=$HL18)+(94=$HM18)+(94=$HN18)+(94=$HO18)&gt;=2,50,0))+CS$5*50)</f>
        <v/>
      </c>
      <c r="CT138">
        <f>IF(OR($JF18=0,calcA!$A$6=0),0,IF(OR(95=$HA18,95=$HD18,95=$HG18),200000,MIN(IF($HA18=0,999999,IF(4=$HB18,IF(95=$HJ18,IF($JC18=2,30,0),IF(95=$HK18,IF($JC18=1,30,0),ABS(23-$HC18)*100)),100000+ABS(4-$HB18)*1000+230)),IF($HD18=0,999999,IF(4=$HE18,IF(95=$HL18,IF($JD18=2,30,0),IF(95=$HM18,IF($JD18=1,30,0),ABS(23-$HF18)*100)),100000+ABS(4-$HE18)*1000+230)),IF($HG18=0,999999,IF(4=$HH18,IF(95=$HN18,IF($JE18=2,30,0),IF(95=$HO18,IF($JE18=1,30,0),ABS(23-$HI18)*100)),100000+ABS(4-$HH18)*1000+230)))-IF((95=$HJ18)+(95=$HK18)+(95=$HL18)+(95=$HM18)+(95=$HN18)+(95=$HO18)&gt;=2,50,0))+CT$5*50)</f>
        <v/>
      </c>
      <c r="CU138">
        <f>IF(OR($JF18=0,calcA!$A$6=0),0,IF(OR(96=$HA18,96=$HD18,96=$HG18),200000,MIN(IF($HA18=0,999999,IF(4=$HB18,IF(96=$HJ18,IF($JC18=2,30,0),IF(96=$HK18,IF($JC18=1,30,0),ABS(24-$HC18)*100)),100000+ABS(4-$HB18)*1000+240)),IF($HD18=0,999999,IF(4=$HE18,IF(96=$HL18,IF($JD18=2,30,0),IF(96=$HM18,IF($JD18=1,30,0),ABS(24-$HF18)*100)),100000+ABS(4-$HE18)*1000+240)),IF($HG18=0,999999,IF(4=$HH18,IF(96=$HN18,IF($JE18=2,30,0),IF(96=$HO18,IF($JE18=1,30,0),ABS(24-$HI18)*100)),100000+ABS(4-$HH18)*1000+240)))-IF((96=$HJ18)+(96=$HK18)+(96=$HL18)+(96=$HM18)+(96=$HN18)+(96=$HO18)&gt;=2,50,0))+CU$5*50)</f>
        <v/>
      </c>
      <c r="CV138">
        <f>IF(OR($JF18=0,calcA!$A$6=0),0,IF(OR(97=$HA18,97=$HD18,97=$HG18),200000,MIN(IF($HA18=0,999999,IF(5=$HB18,IF(97=$HJ18,IF($JC18=2,30,0),IF(97=$HK18,IF($JC18=1,30,0),ABS(1-$HC18)*100)),100000+ABS(5-$HB18)*1000+10)),IF($HD18=0,999999,IF(5=$HE18,IF(97=$HL18,IF($JD18=2,30,0),IF(97=$HM18,IF($JD18=1,30,0),ABS(1-$HF18)*100)),100000+ABS(5-$HE18)*1000+10)),IF($HG18=0,999999,IF(5=$HH18,IF(97=$HN18,IF($JE18=2,30,0),IF(97=$HO18,IF($JE18=1,30,0),ABS(1-$HI18)*100)),100000+ABS(5-$HH18)*1000+10)))-IF((97=$HJ18)+(97=$HK18)+(97=$HL18)+(97=$HM18)+(97=$HN18)+(97=$HO18)&gt;=2,50,0))+CV$5*50)</f>
        <v/>
      </c>
      <c r="CW138">
        <f>IF(OR($JF18=0,calcA!$A$6=0),0,IF(OR(98=$HA18,98=$HD18,98=$HG18),200000,MIN(IF($HA18=0,999999,IF(5=$HB18,IF(98=$HJ18,IF($JC18=2,30,0),IF(98=$HK18,IF($JC18=1,30,0),ABS(2-$HC18)*100)),100000+ABS(5-$HB18)*1000+20)),IF($HD18=0,999999,IF(5=$HE18,IF(98=$HL18,IF($JD18=2,30,0),IF(98=$HM18,IF($JD18=1,30,0),ABS(2-$HF18)*100)),100000+ABS(5-$HE18)*1000+20)),IF($HG18=0,999999,IF(5=$HH18,IF(98=$HN18,IF($JE18=2,30,0),IF(98=$HO18,IF($JE18=1,30,0),ABS(2-$HI18)*100)),100000+ABS(5-$HH18)*1000+20)))-IF((98=$HJ18)+(98=$HK18)+(98=$HL18)+(98=$HM18)+(98=$HN18)+(98=$HO18)&gt;=2,50,0))+CW$5*50)</f>
        <v/>
      </c>
      <c r="CX138">
        <f>IF(OR($JF18=0,calcA!$A$6=0),0,IF(OR(99=$HA18,99=$HD18,99=$HG18),200000,MIN(IF($HA18=0,999999,IF(5=$HB18,IF(99=$HJ18,IF($JC18=2,30,0),IF(99=$HK18,IF($JC18=1,30,0),ABS(3-$HC18)*100)),100000+ABS(5-$HB18)*1000+30)),IF($HD18=0,999999,IF(5=$HE18,IF(99=$HL18,IF($JD18=2,30,0),IF(99=$HM18,IF($JD18=1,30,0),ABS(3-$HF18)*100)),100000+ABS(5-$HE18)*1000+30)),IF($HG18=0,999999,IF(5=$HH18,IF(99=$HN18,IF($JE18=2,30,0),IF(99=$HO18,IF($JE18=1,30,0),ABS(3-$HI18)*100)),100000+ABS(5-$HH18)*1000+30)))-IF((99=$HJ18)+(99=$HK18)+(99=$HL18)+(99=$HM18)+(99=$HN18)+(99=$HO18)&gt;=2,50,0))+CX$5*50)</f>
        <v/>
      </c>
      <c r="CY138">
        <f>IF(OR($JF18=0,calcA!$A$6=0),0,IF(OR(100=$HA18,100=$HD18,100=$HG18),200000,MIN(IF($HA18=0,999999,IF(5=$HB18,IF(100=$HJ18,IF($JC18=2,30,0),IF(100=$HK18,IF($JC18=1,30,0),ABS(4-$HC18)*100)),100000+ABS(5-$HB18)*1000+40)),IF($HD18=0,999999,IF(5=$HE18,IF(100=$HL18,IF($JD18=2,30,0),IF(100=$HM18,IF($JD18=1,30,0),ABS(4-$HF18)*100)),100000+ABS(5-$HE18)*1000+40)),IF($HG18=0,999999,IF(5=$HH18,IF(100=$HN18,IF($JE18=2,30,0),IF(100=$HO18,IF($JE18=1,30,0),ABS(4-$HI18)*100)),100000+ABS(5-$HH18)*1000+40)))-IF((100=$HJ18)+(100=$HK18)+(100=$HL18)+(100=$HM18)+(100=$HN18)+(100=$HO18)&gt;=2,50,0))+CY$5*50)</f>
        <v/>
      </c>
      <c r="CZ138">
        <f>IF(OR($JF18=0,calcA!$A$6=0),0,IF(OR(101=$HA18,101=$HD18,101=$HG18),200000,MIN(IF($HA18=0,999999,IF(5=$HB18,IF(101=$HJ18,IF($JC18=2,30,0),IF(101=$HK18,IF($JC18=1,30,0),ABS(5-$HC18)*100)),100000+ABS(5-$HB18)*1000+50)),IF($HD18=0,999999,IF(5=$HE18,IF(101=$HL18,IF($JD18=2,30,0),IF(101=$HM18,IF($JD18=1,30,0),ABS(5-$HF18)*100)),100000+ABS(5-$HE18)*1000+50)),IF($HG18=0,999999,IF(5=$HH18,IF(101=$HN18,IF($JE18=2,30,0),IF(101=$HO18,IF($JE18=1,30,0),ABS(5-$HI18)*100)),100000+ABS(5-$HH18)*1000+50)))-IF((101=$HJ18)+(101=$HK18)+(101=$HL18)+(101=$HM18)+(101=$HN18)+(101=$HO18)&gt;=2,50,0))+CZ$5*50)</f>
        <v/>
      </c>
      <c r="DA138">
        <f>IF(OR($JF18=0,calcA!$A$6=0),0,IF(OR(102=$HA18,102=$HD18,102=$HG18),200000,MIN(IF($HA18=0,999999,IF(5=$HB18,IF(102=$HJ18,IF($JC18=2,30,0),IF(102=$HK18,IF($JC18=1,30,0),ABS(6-$HC18)*100)),100000+ABS(5-$HB18)*1000+60)),IF($HD18=0,999999,IF(5=$HE18,IF(102=$HL18,IF($JD18=2,30,0),IF(102=$HM18,IF($JD18=1,30,0),ABS(6-$HF18)*100)),100000+ABS(5-$HE18)*1000+60)),IF($HG18=0,999999,IF(5=$HH18,IF(102=$HN18,IF($JE18=2,30,0),IF(102=$HO18,IF($JE18=1,30,0),ABS(6-$HI18)*100)),100000+ABS(5-$HH18)*1000+60)))-IF((102=$HJ18)+(102=$HK18)+(102=$HL18)+(102=$HM18)+(102=$HN18)+(102=$HO18)&gt;=2,50,0))+DA$5*50)</f>
        <v/>
      </c>
      <c r="DB138">
        <f>IF(OR($JF18=0,calcA!$A$6=0),0,IF(OR(103=$HA18,103=$HD18,103=$HG18),200000,MIN(IF($HA18=0,999999,IF(5=$HB18,IF(103=$HJ18,IF($JC18=2,30,0),IF(103=$HK18,IF($JC18=1,30,0),ABS(7-$HC18)*100)),100000+ABS(5-$HB18)*1000+70)),IF($HD18=0,999999,IF(5=$HE18,IF(103=$HL18,IF($JD18=2,30,0),IF(103=$HM18,IF($JD18=1,30,0),ABS(7-$HF18)*100)),100000+ABS(5-$HE18)*1000+70)),IF($HG18=0,999999,IF(5=$HH18,IF(103=$HN18,IF($JE18=2,30,0),IF(103=$HO18,IF($JE18=1,30,0),ABS(7-$HI18)*100)),100000+ABS(5-$HH18)*1000+70)))-IF((103=$HJ18)+(103=$HK18)+(103=$HL18)+(103=$HM18)+(103=$HN18)+(103=$HO18)&gt;=2,50,0))+DB$5*50)</f>
        <v/>
      </c>
      <c r="DC138">
        <f>IF(OR($JF18=0,calcA!$A$6=0),0,IF(OR(104=$HA18,104=$HD18,104=$HG18),200000,MIN(IF($HA18=0,999999,IF(5=$HB18,IF(104=$HJ18,IF($JC18=2,30,0),IF(104=$HK18,IF($JC18=1,30,0),ABS(8-$HC18)*100)),100000+ABS(5-$HB18)*1000+80)),IF($HD18=0,999999,IF(5=$HE18,IF(104=$HL18,IF($JD18=2,30,0),IF(104=$HM18,IF($JD18=1,30,0),ABS(8-$HF18)*100)),100000+ABS(5-$HE18)*1000+80)),IF($HG18=0,999999,IF(5=$HH18,IF(104=$HN18,IF($JE18=2,30,0),IF(104=$HO18,IF($JE18=1,30,0),ABS(8-$HI18)*100)),100000+ABS(5-$HH18)*1000+80)))-IF((104=$HJ18)+(104=$HK18)+(104=$HL18)+(104=$HM18)+(104=$HN18)+(104=$HO18)&gt;=2,50,0))+DC$5*50)</f>
        <v/>
      </c>
      <c r="DD138">
        <f>IF(OR($JF18=0,calcA!$A$6=0),0,IF(OR(105=$HA18,105=$HD18,105=$HG18),200000,MIN(IF($HA18=0,999999,IF(5=$HB18,IF(105=$HJ18,IF($JC18=2,30,0),IF(105=$HK18,IF($JC18=1,30,0),ABS(9-$HC18)*100)),100000+ABS(5-$HB18)*1000+90)),IF($HD18=0,999999,IF(5=$HE18,IF(105=$HL18,IF($JD18=2,30,0),IF(105=$HM18,IF($JD18=1,30,0),ABS(9-$HF18)*100)),100000+ABS(5-$HE18)*1000+90)),IF($HG18=0,999999,IF(5=$HH18,IF(105=$HN18,IF($JE18=2,30,0),IF(105=$HO18,IF($JE18=1,30,0),ABS(9-$HI18)*100)),100000+ABS(5-$HH18)*1000+90)))-IF((105=$HJ18)+(105=$HK18)+(105=$HL18)+(105=$HM18)+(105=$HN18)+(105=$HO18)&gt;=2,50,0))+DD$5*50)</f>
        <v/>
      </c>
      <c r="DE138">
        <f>IF(OR($JF18=0,calcA!$A$6=0),0,IF(OR(106=$HA18,106=$HD18,106=$HG18),200000,MIN(IF($HA18=0,999999,IF(5=$HB18,IF(106=$HJ18,IF($JC18=2,30,0),IF(106=$HK18,IF($JC18=1,30,0),ABS(10-$HC18)*100)),100000+ABS(5-$HB18)*1000+100)),IF($HD18=0,999999,IF(5=$HE18,IF(106=$HL18,IF($JD18=2,30,0),IF(106=$HM18,IF($JD18=1,30,0),ABS(10-$HF18)*100)),100000+ABS(5-$HE18)*1000+100)),IF($HG18=0,999999,IF(5=$HH18,IF(106=$HN18,IF($JE18=2,30,0),IF(106=$HO18,IF($JE18=1,30,0),ABS(10-$HI18)*100)),100000+ABS(5-$HH18)*1000+100)))-IF((106=$HJ18)+(106=$HK18)+(106=$HL18)+(106=$HM18)+(106=$HN18)+(106=$HO18)&gt;=2,50,0))+DE$5*50)</f>
        <v/>
      </c>
      <c r="DF138">
        <f>IF(OR($JF18=0,calcA!$A$6=0),0,IF(OR(107=$HA18,107=$HD18,107=$HG18),200000,MIN(IF($HA18=0,999999,IF(5=$HB18,IF(107=$HJ18,IF($JC18=2,30,0),IF(107=$HK18,IF($JC18=1,30,0),ABS(11-$HC18)*100)),100000+ABS(5-$HB18)*1000+110)),IF($HD18=0,999999,IF(5=$HE18,IF(107=$HL18,IF($JD18=2,30,0),IF(107=$HM18,IF($JD18=1,30,0),ABS(11-$HF18)*100)),100000+ABS(5-$HE18)*1000+110)),IF($HG18=0,999999,IF(5=$HH18,IF(107=$HN18,IF($JE18=2,30,0),IF(107=$HO18,IF($JE18=1,30,0),ABS(11-$HI18)*100)),100000+ABS(5-$HH18)*1000+110)))-IF((107=$HJ18)+(107=$HK18)+(107=$HL18)+(107=$HM18)+(107=$HN18)+(107=$HO18)&gt;=2,50,0))+DF$5*50)</f>
        <v/>
      </c>
      <c r="DG138">
        <f>IF(OR($JF18=0,calcA!$A$6=0),0,IF(OR(108=$HA18,108=$HD18,108=$HG18),200000,MIN(IF($HA18=0,999999,IF(5=$HB18,IF(108=$HJ18,IF($JC18=2,30,0),IF(108=$HK18,IF($JC18=1,30,0),ABS(12-$HC18)*100)),100000+ABS(5-$HB18)*1000+120)),IF($HD18=0,999999,IF(5=$HE18,IF(108=$HL18,IF($JD18=2,30,0),IF(108=$HM18,IF($JD18=1,30,0),ABS(12-$HF18)*100)),100000+ABS(5-$HE18)*1000+120)),IF($HG18=0,999999,IF(5=$HH18,IF(108=$HN18,IF($JE18=2,30,0),IF(108=$HO18,IF($JE18=1,30,0),ABS(12-$HI18)*100)),100000+ABS(5-$HH18)*1000+120)))-IF((108=$HJ18)+(108=$HK18)+(108=$HL18)+(108=$HM18)+(108=$HN18)+(108=$HO18)&gt;=2,50,0))+DG$5*50)</f>
        <v/>
      </c>
      <c r="DH138">
        <f>IF(OR($JF18=0,calcA!$A$6=0),0,IF(OR(109=$HA18,109=$HD18,109=$HG18),200000,MIN(IF($HA18=0,999999,IF(5=$HB18,IF(109=$HJ18,IF($JC18=2,30,0),IF(109=$HK18,IF($JC18=1,30,0),ABS(13-$HC18)*100)),100000+ABS(5-$HB18)*1000+130)),IF($HD18=0,999999,IF(5=$HE18,IF(109=$HL18,IF($JD18=2,30,0),IF(109=$HM18,IF($JD18=1,30,0),ABS(13-$HF18)*100)),100000+ABS(5-$HE18)*1000+130)),IF($HG18=0,999999,IF(5=$HH18,IF(109=$HN18,IF($JE18=2,30,0),IF(109=$HO18,IF($JE18=1,30,0),ABS(13-$HI18)*100)),100000+ABS(5-$HH18)*1000+130)))-IF((109=$HJ18)+(109=$HK18)+(109=$HL18)+(109=$HM18)+(109=$HN18)+(109=$HO18)&gt;=2,50,0))+DH$5*50)</f>
        <v/>
      </c>
      <c r="DI138">
        <f>IF(OR($JF18=0,calcA!$A$6=0),0,IF(OR(110=$HA18,110=$HD18,110=$HG18),200000,MIN(IF($HA18=0,999999,IF(5=$HB18,IF(110=$HJ18,IF($JC18=2,30,0),IF(110=$HK18,IF($JC18=1,30,0),ABS(14-$HC18)*100)),100000+ABS(5-$HB18)*1000+140)),IF($HD18=0,999999,IF(5=$HE18,IF(110=$HL18,IF($JD18=2,30,0),IF(110=$HM18,IF($JD18=1,30,0),ABS(14-$HF18)*100)),100000+ABS(5-$HE18)*1000+140)),IF($HG18=0,999999,IF(5=$HH18,IF(110=$HN18,IF($JE18=2,30,0),IF(110=$HO18,IF($JE18=1,30,0),ABS(14-$HI18)*100)),100000+ABS(5-$HH18)*1000+140)))-IF((110=$HJ18)+(110=$HK18)+(110=$HL18)+(110=$HM18)+(110=$HN18)+(110=$HO18)&gt;=2,50,0))+DI$5*50)</f>
        <v/>
      </c>
      <c r="DJ138">
        <f>IF(OR($JF18=0,calcA!$A$6=0),0,IF(OR(111=$HA18,111=$HD18,111=$HG18),200000,MIN(IF($HA18=0,999999,IF(5=$HB18,IF(111=$HJ18,IF($JC18=2,30,0),IF(111=$HK18,IF($JC18=1,30,0),ABS(15-$HC18)*100)),100000+ABS(5-$HB18)*1000+150)),IF($HD18=0,999999,IF(5=$HE18,IF(111=$HL18,IF($JD18=2,30,0),IF(111=$HM18,IF($JD18=1,30,0),ABS(15-$HF18)*100)),100000+ABS(5-$HE18)*1000+150)),IF($HG18=0,999999,IF(5=$HH18,IF(111=$HN18,IF($JE18=2,30,0),IF(111=$HO18,IF($JE18=1,30,0),ABS(15-$HI18)*100)),100000+ABS(5-$HH18)*1000+150)))-IF((111=$HJ18)+(111=$HK18)+(111=$HL18)+(111=$HM18)+(111=$HN18)+(111=$HO18)&gt;=2,50,0))+DJ$5*50)</f>
        <v/>
      </c>
      <c r="DK138">
        <f>IF(OR($JF18=0,calcA!$A$6=0),0,IF(OR(112=$HA18,112=$HD18,112=$HG18),200000,MIN(IF($HA18=0,999999,IF(5=$HB18,IF(112=$HJ18,IF($JC18=2,30,0),IF(112=$HK18,IF($JC18=1,30,0),ABS(16-$HC18)*100)),100000+ABS(5-$HB18)*1000+160)),IF($HD18=0,999999,IF(5=$HE18,IF(112=$HL18,IF($JD18=2,30,0),IF(112=$HM18,IF($JD18=1,30,0),ABS(16-$HF18)*100)),100000+ABS(5-$HE18)*1000+160)),IF($HG18=0,999999,IF(5=$HH18,IF(112=$HN18,IF($JE18=2,30,0),IF(112=$HO18,IF($JE18=1,30,0),ABS(16-$HI18)*100)),100000+ABS(5-$HH18)*1000+160)))-IF((112=$HJ18)+(112=$HK18)+(112=$HL18)+(112=$HM18)+(112=$HN18)+(112=$HO18)&gt;=2,50,0))+DK$5*50)</f>
        <v/>
      </c>
      <c r="DL138">
        <f>IF(OR($JF18=0,calcA!$A$6=0),0,IF(OR(113=$HA18,113=$HD18,113=$HG18),200000,MIN(IF($HA18=0,999999,IF(5=$HB18,IF(113=$HJ18,IF($JC18=2,30,0),IF(113=$HK18,IF($JC18=1,30,0),ABS(17-$HC18)*100)),100000+ABS(5-$HB18)*1000+170)),IF($HD18=0,999999,IF(5=$HE18,IF(113=$HL18,IF($JD18=2,30,0),IF(113=$HM18,IF($JD18=1,30,0),ABS(17-$HF18)*100)),100000+ABS(5-$HE18)*1000+170)),IF($HG18=0,999999,IF(5=$HH18,IF(113=$HN18,IF($JE18=2,30,0),IF(113=$HO18,IF($JE18=1,30,0),ABS(17-$HI18)*100)),100000+ABS(5-$HH18)*1000+170)))-IF((113=$HJ18)+(113=$HK18)+(113=$HL18)+(113=$HM18)+(113=$HN18)+(113=$HO18)&gt;=2,50,0))+DL$5*50)</f>
        <v/>
      </c>
      <c r="DM138">
        <f>IF(OR($JF18=0,calcA!$A$6=0),0,IF(OR(114=$HA18,114=$HD18,114=$HG18),200000,MIN(IF($HA18=0,999999,IF(5=$HB18,IF(114=$HJ18,IF($JC18=2,30,0),IF(114=$HK18,IF($JC18=1,30,0),ABS(18-$HC18)*100)),100000+ABS(5-$HB18)*1000+180)),IF($HD18=0,999999,IF(5=$HE18,IF(114=$HL18,IF($JD18=2,30,0),IF(114=$HM18,IF($JD18=1,30,0),ABS(18-$HF18)*100)),100000+ABS(5-$HE18)*1000+180)),IF($HG18=0,999999,IF(5=$HH18,IF(114=$HN18,IF($JE18=2,30,0),IF(114=$HO18,IF($JE18=1,30,0),ABS(18-$HI18)*100)),100000+ABS(5-$HH18)*1000+180)))-IF((114=$HJ18)+(114=$HK18)+(114=$HL18)+(114=$HM18)+(114=$HN18)+(114=$HO18)&gt;=2,50,0))+DM$5*50)</f>
        <v/>
      </c>
      <c r="DN138">
        <f>IF(OR($JF18=0,calcA!$A$6=0),0,IF(OR(115=$HA18,115=$HD18,115=$HG18),200000,MIN(IF($HA18=0,999999,IF(5=$HB18,IF(115=$HJ18,IF($JC18=2,30,0),IF(115=$HK18,IF($JC18=1,30,0),ABS(19-$HC18)*100)),100000+ABS(5-$HB18)*1000+190)),IF($HD18=0,999999,IF(5=$HE18,IF(115=$HL18,IF($JD18=2,30,0),IF(115=$HM18,IF($JD18=1,30,0),ABS(19-$HF18)*100)),100000+ABS(5-$HE18)*1000+190)),IF($HG18=0,999999,IF(5=$HH18,IF(115=$HN18,IF($JE18=2,30,0),IF(115=$HO18,IF($JE18=1,30,0),ABS(19-$HI18)*100)),100000+ABS(5-$HH18)*1000+190)))-IF((115=$HJ18)+(115=$HK18)+(115=$HL18)+(115=$HM18)+(115=$HN18)+(115=$HO18)&gt;=2,50,0))+DN$5*50)</f>
        <v/>
      </c>
      <c r="DO138">
        <f>IF(OR($JF18=0,calcA!$A$6=0),0,IF(OR(116=$HA18,116=$HD18,116=$HG18),200000,MIN(IF($HA18=0,999999,IF(5=$HB18,IF(116=$HJ18,IF($JC18=2,30,0),IF(116=$HK18,IF($JC18=1,30,0),ABS(20-$HC18)*100)),100000+ABS(5-$HB18)*1000+200)),IF($HD18=0,999999,IF(5=$HE18,IF(116=$HL18,IF($JD18=2,30,0),IF(116=$HM18,IF($JD18=1,30,0),ABS(20-$HF18)*100)),100000+ABS(5-$HE18)*1000+200)),IF($HG18=0,999999,IF(5=$HH18,IF(116=$HN18,IF($JE18=2,30,0),IF(116=$HO18,IF($JE18=1,30,0),ABS(20-$HI18)*100)),100000+ABS(5-$HH18)*1000+200)))-IF((116=$HJ18)+(116=$HK18)+(116=$HL18)+(116=$HM18)+(116=$HN18)+(116=$HO18)&gt;=2,50,0))+DO$5*50)</f>
        <v/>
      </c>
      <c r="DP138">
        <f>IF(OR($JF18=0,calcA!$A$6=0),0,IF(OR(117=$HA18,117=$HD18,117=$HG18),200000,MIN(IF($HA18=0,999999,IF(5=$HB18,IF(117=$HJ18,IF($JC18=2,30,0),IF(117=$HK18,IF($JC18=1,30,0),ABS(21-$HC18)*100)),100000+ABS(5-$HB18)*1000+210)),IF($HD18=0,999999,IF(5=$HE18,IF(117=$HL18,IF($JD18=2,30,0),IF(117=$HM18,IF($JD18=1,30,0),ABS(21-$HF18)*100)),100000+ABS(5-$HE18)*1000+210)),IF($HG18=0,999999,IF(5=$HH18,IF(117=$HN18,IF($JE18=2,30,0),IF(117=$HO18,IF($JE18=1,30,0),ABS(21-$HI18)*100)),100000+ABS(5-$HH18)*1000+210)))-IF((117=$HJ18)+(117=$HK18)+(117=$HL18)+(117=$HM18)+(117=$HN18)+(117=$HO18)&gt;=2,50,0))+DP$5*50)</f>
        <v/>
      </c>
      <c r="DQ138">
        <f>IF(OR($JF18=0,calcA!$A$6=0),0,IF(OR(118=$HA18,118=$HD18,118=$HG18),200000,MIN(IF($HA18=0,999999,IF(5=$HB18,IF(118=$HJ18,IF($JC18=2,30,0),IF(118=$HK18,IF($JC18=1,30,0),ABS(22-$HC18)*100)),100000+ABS(5-$HB18)*1000+220)),IF($HD18=0,999999,IF(5=$HE18,IF(118=$HL18,IF($JD18=2,30,0),IF(118=$HM18,IF($JD18=1,30,0),ABS(22-$HF18)*100)),100000+ABS(5-$HE18)*1000+220)),IF($HG18=0,999999,IF(5=$HH18,IF(118=$HN18,IF($JE18=2,30,0),IF(118=$HO18,IF($JE18=1,30,0),ABS(22-$HI18)*100)),100000+ABS(5-$HH18)*1000+220)))-IF((118=$HJ18)+(118=$HK18)+(118=$HL18)+(118=$HM18)+(118=$HN18)+(118=$HO18)&gt;=2,50,0))+DQ$5*50)</f>
        <v/>
      </c>
      <c r="DR138">
        <f>IF(OR($JF18=0,calcA!$A$6=0),0,IF(OR(119=$HA18,119=$HD18,119=$HG18),200000,MIN(IF($HA18=0,999999,IF(5=$HB18,IF(119=$HJ18,IF($JC18=2,30,0),IF(119=$HK18,IF($JC18=1,30,0),ABS(23-$HC18)*100)),100000+ABS(5-$HB18)*1000+230)),IF($HD18=0,999999,IF(5=$HE18,IF(119=$HL18,IF($JD18=2,30,0),IF(119=$HM18,IF($JD18=1,30,0),ABS(23-$HF18)*100)),100000+ABS(5-$HE18)*1000+230)),IF($HG18=0,999999,IF(5=$HH18,IF(119=$HN18,IF($JE18=2,30,0),IF(119=$HO18,IF($JE18=1,30,0),ABS(23-$HI18)*100)),100000+ABS(5-$HH18)*1000+230)))-IF((119=$HJ18)+(119=$HK18)+(119=$HL18)+(119=$HM18)+(119=$HN18)+(119=$HO18)&gt;=2,50,0))+DR$5*50)</f>
        <v/>
      </c>
      <c r="DS138">
        <f>IF(OR($JF18=0,calcA!$A$6=0),0,IF(OR(120=$HA18,120=$HD18,120=$HG18),200000,MIN(IF($HA18=0,999999,IF(5=$HB18,IF(120=$HJ18,IF($JC18=2,30,0),IF(120=$HK18,IF($JC18=1,30,0),ABS(24-$HC18)*100)),100000+ABS(5-$HB18)*1000+240)),IF($HD18=0,999999,IF(5=$HE18,IF(120=$HL18,IF($JD18=2,30,0),IF(120=$HM18,IF($JD18=1,30,0),ABS(24-$HF18)*100)),100000+ABS(5-$HE18)*1000+240)),IF($HG18=0,999999,IF(5=$HH18,IF(120=$HN18,IF($JE18=2,30,0),IF(120=$HO18,IF($JE18=1,30,0),ABS(24-$HI18)*100)),100000+ABS(5-$HH18)*1000+240)))-IF((120=$HJ18)+(120=$HK18)+(120=$HL18)+(120=$HM18)+(120=$HN18)+(120=$HO18)&gt;=2,50,0))+DS$5*50)</f>
        <v/>
      </c>
      <c r="DT138">
        <f>IF(OR($JF18=0,calcA!$A$6=0),0,IF(OR(121=$HA18,121=$HD18,121=$HG18),200000,MIN(IF($HA18=0,999999,IF(6=$HB18,IF(121=$HJ18,IF($JC18=2,30,0),IF(121=$HK18,IF($JC18=1,30,0),ABS(1-$HC18)*100)),100000+ABS(6-$HB18)*1000+10)),IF($HD18=0,999999,IF(6=$HE18,IF(121=$HL18,IF($JD18=2,30,0),IF(121=$HM18,IF($JD18=1,30,0),ABS(1-$HF18)*100)),100000+ABS(6-$HE18)*1000+10)),IF($HG18=0,999999,IF(6=$HH18,IF(121=$HN18,IF($JE18=2,30,0),IF(121=$HO18,IF($JE18=1,30,0),ABS(1-$HI18)*100)),100000+ABS(6-$HH18)*1000+10)))-IF((121=$HJ18)+(121=$HK18)+(121=$HL18)+(121=$HM18)+(121=$HN18)+(121=$HO18)&gt;=2,50,0))+DT$5*50)</f>
        <v/>
      </c>
      <c r="DU138">
        <f>IF(OR($JF18=0,calcA!$A$6=0),0,IF(OR(122=$HA18,122=$HD18,122=$HG18),200000,MIN(IF($HA18=0,999999,IF(6=$HB18,IF(122=$HJ18,IF($JC18=2,30,0),IF(122=$HK18,IF($JC18=1,30,0),ABS(2-$HC18)*100)),100000+ABS(6-$HB18)*1000+20)),IF($HD18=0,999999,IF(6=$HE18,IF(122=$HL18,IF($JD18=2,30,0),IF(122=$HM18,IF($JD18=1,30,0),ABS(2-$HF18)*100)),100000+ABS(6-$HE18)*1000+20)),IF($HG18=0,999999,IF(6=$HH18,IF(122=$HN18,IF($JE18=2,30,0),IF(122=$HO18,IF($JE18=1,30,0),ABS(2-$HI18)*100)),100000+ABS(6-$HH18)*1000+20)))-IF((122=$HJ18)+(122=$HK18)+(122=$HL18)+(122=$HM18)+(122=$HN18)+(122=$HO18)&gt;=2,50,0))+DU$5*50)</f>
        <v/>
      </c>
      <c r="DV138">
        <f>IF(OR($JF18=0,calcA!$A$6=0),0,IF(OR(123=$HA18,123=$HD18,123=$HG18),200000,MIN(IF($HA18=0,999999,IF(6=$HB18,IF(123=$HJ18,IF($JC18=2,30,0),IF(123=$HK18,IF($JC18=1,30,0),ABS(3-$HC18)*100)),100000+ABS(6-$HB18)*1000+30)),IF($HD18=0,999999,IF(6=$HE18,IF(123=$HL18,IF($JD18=2,30,0),IF(123=$HM18,IF($JD18=1,30,0),ABS(3-$HF18)*100)),100000+ABS(6-$HE18)*1000+30)),IF($HG18=0,999999,IF(6=$HH18,IF(123=$HN18,IF($JE18=2,30,0),IF(123=$HO18,IF($JE18=1,30,0),ABS(3-$HI18)*100)),100000+ABS(6-$HH18)*1000+30)))-IF((123=$HJ18)+(123=$HK18)+(123=$HL18)+(123=$HM18)+(123=$HN18)+(123=$HO18)&gt;=2,50,0))+DV$5*50)</f>
        <v/>
      </c>
      <c r="DW138">
        <f>IF(OR($JF18=0,calcA!$A$6=0),0,IF(OR(124=$HA18,124=$HD18,124=$HG18),200000,MIN(IF($HA18=0,999999,IF(6=$HB18,IF(124=$HJ18,IF($JC18=2,30,0),IF(124=$HK18,IF($JC18=1,30,0),ABS(4-$HC18)*100)),100000+ABS(6-$HB18)*1000+40)),IF($HD18=0,999999,IF(6=$HE18,IF(124=$HL18,IF($JD18=2,30,0),IF(124=$HM18,IF($JD18=1,30,0),ABS(4-$HF18)*100)),100000+ABS(6-$HE18)*1000+40)),IF($HG18=0,999999,IF(6=$HH18,IF(124=$HN18,IF($JE18=2,30,0),IF(124=$HO18,IF($JE18=1,30,0),ABS(4-$HI18)*100)),100000+ABS(6-$HH18)*1000+40)))-IF((124=$HJ18)+(124=$HK18)+(124=$HL18)+(124=$HM18)+(124=$HN18)+(124=$HO18)&gt;=2,50,0))+DW$5*50)</f>
        <v/>
      </c>
      <c r="DX138">
        <f>IF(OR($JF18=0,calcA!$A$6=0),0,IF(OR(125=$HA18,125=$HD18,125=$HG18),200000,MIN(IF($HA18=0,999999,IF(6=$HB18,IF(125=$HJ18,IF($JC18=2,30,0),IF(125=$HK18,IF($JC18=1,30,0),ABS(5-$HC18)*100)),100000+ABS(6-$HB18)*1000+50)),IF($HD18=0,999999,IF(6=$HE18,IF(125=$HL18,IF($JD18=2,30,0),IF(125=$HM18,IF($JD18=1,30,0),ABS(5-$HF18)*100)),100000+ABS(6-$HE18)*1000+50)),IF($HG18=0,999999,IF(6=$HH18,IF(125=$HN18,IF($JE18=2,30,0),IF(125=$HO18,IF($JE18=1,30,0),ABS(5-$HI18)*100)),100000+ABS(6-$HH18)*1000+50)))-IF((125=$HJ18)+(125=$HK18)+(125=$HL18)+(125=$HM18)+(125=$HN18)+(125=$HO18)&gt;=2,50,0))+DX$5*50)</f>
        <v/>
      </c>
      <c r="DY138">
        <f>IF(OR($JF18=0,calcA!$A$6=0),0,IF(OR(126=$HA18,126=$HD18,126=$HG18),200000,MIN(IF($HA18=0,999999,IF(6=$HB18,IF(126=$HJ18,IF($JC18=2,30,0),IF(126=$HK18,IF($JC18=1,30,0),ABS(6-$HC18)*100)),100000+ABS(6-$HB18)*1000+60)),IF($HD18=0,999999,IF(6=$HE18,IF(126=$HL18,IF($JD18=2,30,0),IF(126=$HM18,IF($JD18=1,30,0),ABS(6-$HF18)*100)),100000+ABS(6-$HE18)*1000+60)),IF($HG18=0,999999,IF(6=$HH18,IF(126=$HN18,IF($JE18=2,30,0),IF(126=$HO18,IF($JE18=1,30,0),ABS(6-$HI18)*100)),100000+ABS(6-$HH18)*1000+60)))-IF((126=$HJ18)+(126=$HK18)+(126=$HL18)+(126=$HM18)+(126=$HN18)+(126=$HO18)&gt;=2,50,0))+DY$5*50)</f>
        <v/>
      </c>
      <c r="DZ138">
        <f>IF(OR($JF18=0,calcA!$A$6=0),0,IF(OR(127=$HA18,127=$HD18,127=$HG18),200000,MIN(IF($HA18=0,999999,IF(6=$HB18,IF(127=$HJ18,IF($JC18=2,30,0),IF(127=$HK18,IF($JC18=1,30,0),ABS(7-$HC18)*100)),100000+ABS(6-$HB18)*1000+70)),IF($HD18=0,999999,IF(6=$HE18,IF(127=$HL18,IF($JD18=2,30,0),IF(127=$HM18,IF($JD18=1,30,0),ABS(7-$HF18)*100)),100000+ABS(6-$HE18)*1000+70)),IF($HG18=0,999999,IF(6=$HH18,IF(127=$HN18,IF($JE18=2,30,0),IF(127=$HO18,IF($JE18=1,30,0),ABS(7-$HI18)*100)),100000+ABS(6-$HH18)*1000+70)))-IF((127=$HJ18)+(127=$HK18)+(127=$HL18)+(127=$HM18)+(127=$HN18)+(127=$HO18)&gt;=2,50,0))+DZ$5*50)</f>
        <v/>
      </c>
      <c r="EA138">
        <f>IF(OR($JF18=0,calcA!$A$6=0),0,IF(OR(128=$HA18,128=$HD18,128=$HG18),200000,MIN(IF($HA18=0,999999,IF(6=$HB18,IF(128=$HJ18,IF($JC18=2,30,0),IF(128=$HK18,IF($JC18=1,30,0),ABS(8-$HC18)*100)),100000+ABS(6-$HB18)*1000+80)),IF($HD18=0,999999,IF(6=$HE18,IF(128=$HL18,IF($JD18=2,30,0),IF(128=$HM18,IF($JD18=1,30,0),ABS(8-$HF18)*100)),100000+ABS(6-$HE18)*1000+80)),IF($HG18=0,999999,IF(6=$HH18,IF(128=$HN18,IF($JE18=2,30,0),IF(128=$HO18,IF($JE18=1,30,0),ABS(8-$HI18)*100)),100000+ABS(6-$HH18)*1000+80)))-IF((128=$HJ18)+(128=$HK18)+(128=$HL18)+(128=$HM18)+(128=$HN18)+(128=$HO18)&gt;=2,50,0))+EA$5*50)</f>
        <v/>
      </c>
      <c r="EB138">
        <f>IF(OR($JF18=0,calcA!$A$6=0),0,IF(OR(129=$HA18,129=$HD18,129=$HG18),200000,MIN(IF($HA18=0,999999,IF(6=$HB18,IF(129=$HJ18,IF($JC18=2,30,0),IF(129=$HK18,IF($JC18=1,30,0),ABS(9-$HC18)*100)),100000+ABS(6-$HB18)*1000+90)),IF($HD18=0,999999,IF(6=$HE18,IF(129=$HL18,IF($JD18=2,30,0),IF(129=$HM18,IF($JD18=1,30,0),ABS(9-$HF18)*100)),100000+ABS(6-$HE18)*1000+90)),IF($HG18=0,999999,IF(6=$HH18,IF(129=$HN18,IF($JE18=2,30,0),IF(129=$HO18,IF($JE18=1,30,0),ABS(9-$HI18)*100)),100000+ABS(6-$HH18)*1000+90)))-IF((129=$HJ18)+(129=$HK18)+(129=$HL18)+(129=$HM18)+(129=$HN18)+(129=$HO18)&gt;=2,50,0))+EB$5*50)</f>
        <v/>
      </c>
      <c r="EC138">
        <f>IF(OR($JF18=0,calcA!$A$6=0),0,IF(OR(130=$HA18,130=$HD18,130=$HG18),200000,MIN(IF($HA18=0,999999,IF(6=$HB18,IF(130=$HJ18,IF($JC18=2,30,0),IF(130=$HK18,IF($JC18=1,30,0),ABS(10-$HC18)*100)),100000+ABS(6-$HB18)*1000+100)),IF($HD18=0,999999,IF(6=$HE18,IF(130=$HL18,IF($JD18=2,30,0),IF(130=$HM18,IF($JD18=1,30,0),ABS(10-$HF18)*100)),100000+ABS(6-$HE18)*1000+100)),IF($HG18=0,999999,IF(6=$HH18,IF(130=$HN18,IF($JE18=2,30,0),IF(130=$HO18,IF($JE18=1,30,0),ABS(10-$HI18)*100)),100000+ABS(6-$HH18)*1000+100)))-IF((130=$HJ18)+(130=$HK18)+(130=$HL18)+(130=$HM18)+(130=$HN18)+(130=$HO18)&gt;=2,50,0))+EC$5*50)</f>
        <v/>
      </c>
      <c r="ED138">
        <f>IF(OR($JF18=0,calcA!$A$6=0),0,IF(OR(131=$HA18,131=$HD18,131=$HG18),200000,MIN(IF($HA18=0,999999,IF(6=$HB18,IF(131=$HJ18,IF($JC18=2,30,0),IF(131=$HK18,IF($JC18=1,30,0),ABS(11-$HC18)*100)),100000+ABS(6-$HB18)*1000+110)),IF($HD18=0,999999,IF(6=$HE18,IF(131=$HL18,IF($JD18=2,30,0),IF(131=$HM18,IF($JD18=1,30,0),ABS(11-$HF18)*100)),100000+ABS(6-$HE18)*1000+110)),IF($HG18=0,999999,IF(6=$HH18,IF(131=$HN18,IF($JE18=2,30,0),IF(131=$HO18,IF($JE18=1,30,0),ABS(11-$HI18)*100)),100000+ABS(6-$HH18)*1000+110)))-IF((131=$HJ18)+(131=$HK18)+(131=$HL18)+(131=$HM18)+(131=$HN18)+(131=$HO18)&gt;=2,50,0))+ED$5*50)</f>
        <v/>
      </c>
      <c r="EE138">
        <f>IF(OR($JF18=0,calcA!$A$6=0),0,IF(OR(132=$HA18,132=$HD18,132=$HG18),200000,MIN(IF($HA18=0,999999,IF(6=$HB18,IF(132=$HJ18,IF($JC18=2,30,0),IF(132=$HK18,IF($JC18=1,30,0),ABS(12-$HC18)*100)),100000+ABS(6-$HB18)*1000+120)),IF($HD18=0,999999,IF(6=$HE18,IF(132=$HL18,IF($JD18=2,30,0),IF(132=$HM18,IF($JD18=1,30,0),ABS(12-$HF18)*100)),100000+ABS(6-$HE18)*1000+120)),IF($HG18=0,999999,IF(6=$HH18,IF(132=$HN18,IF($JE18=2,30,0),IF(132=$HO18,IF($JE18=1,30,0),ABS(12-$HI18)*100)),100000+ABS(6-$HH18)*1000+120)))-IF((132=$HJ18)+(132=$HK18)+(132=$HL18)+(132=$HM18)+(132=$HN18)+(132=$HO18)&gt;=2,50,0))+EE$5*50)</f>
        <v/>
      </c>
      <c r="EF138">
        <f>IF(OR($JF18=0,calcA!$A$6=0),0,IF(OR(133=$HA18,133=$HD18,133=$HG18),200000,MIN(IF($HA18=0,999999,IF(6=$HB18,IF(133=$HJ18,IF($JC18=2,30,0),IF(133=$HK18,IF($JC18=1,30,0),ABS(13-$HC18)*100)),100000+ABS(6-$HB18)*1000+130)),IF($HD18=0,999999,IF(6=$HE18,IF(133=$HL18,IF($JD18=2,30,0),IF(133=$HM18,IF($JD18=1,30,0),ABS(13-$HF18)*100)),100000+ABS(6-$HE18)*1000+130)),IF($HG18=0,999999,IF(6=$HH18,IF(133=$HN18,IF($JE18=2,30,0),IF(133=$HO18,IF($JE18=1,30,0),ABS(13-$HI18)*100)),100000+ABS(6-$HH18)*1000+130)))-IF((133=$HJ18)+(133=$HK18)+(133=$HL18)+(133=$HM18)+(133=$HN18)+(133=$HO18)&gt;=2,50,0))+EF$5*50)</f>
        <v/>
      </c>
      <c r="EG138">
        <f>IF(OR($JF18=0,calcA!$A$6=0),0,IF(OR(134=$HA18,134=$HD18,134=$HG18),200000,MIN(IF($HA18=0,999999,IF(6=$HB18,IF(134=$HJ18,IF($JC18=2,30,0),IF(134=$HK18,IF($JC18=1,30,0),ABS(14-$HC18)*100)),100000+ABS(6-$HB18)*1000+140)),IF($HD18=0,999999,IF(6=$HE18,IF(134=$HL18,IF($JD18=2,30,0),IF(134=$HM18,IF($JD18=1,30,0),ABS(14-$HF18)*100)),100000+ABS(6-$HE18)*1000+140)),IF($HG18=0,999999,IF(6=$HH18,IF(134=$HN18,IF($JE18=2,30,0),IF(134=$HO18,IF($JE18=1,30,0),ABS(14-$HI18)*100)),100000+ABS(6-$HH18)*1000+140)))-IF((134=$HJ18)+(134=$HK18)+(134=$HL18)+(134=$HM18)+(134=$HN18)+(134=$HO18)&gt;=2,50,0))+EG$5*50)</f>
        <v/>
      </c>
      <c r="EH138">
        <f>IF(OR($JF18=0,calcA!$A$6=0),0,IF(OR(135=$HA18,135=$HD18,135=$HG18),200000,MIN(IF($HA18=0,999999,IF(6=$HB18,IF(135=$HJ18,IF($JC18=2,30,0),IF(135=$HK18,IF($JC18=1,30,0),ABS(15-$HC18)*100)),100000+ABS(6-$HB18)*1000+150)),IF($HD18=0,999999,IF(6=$HE18,IF(135=$HL18,IF($JD18=2,30,0),IF(135=$HM18,IF($JD18=1,30,0),ABS(15-$HF18)*100)),100000+ABS(6-$HE18)*1000+150)),IF($HG18=0,999999,IF(6=$HH18,IF(135=$HN18,IF($JE18=2,30,0),IF(135=$HO18,IF($JE18=1,30,0),ABS(15-$HI18)*100)),100000+ABS(6-$HH18)*1000+150)))-IF((135=$HJ18)+(135=$HK18)+(135=$HL18)+(135=$HM18)+(135=$HN18)+(135=$HO18)&gt;=2,50,0))+EH$5*50)</f>
        <v/>
      </c>
      <c r="EI138">
        <f>IF(OR($JF18=0,calcA!$A$6=0),0,IF(OR(136=$HA18,136=$HD18,136=$HG18),200000,MIN(IF($HA18=0,999999,IF(6=$HB18,IF(136=$HJ18,IF($JC18=2,30,0),IF(136=$HK18,IF($JC18=1,30,0),ABS(16-$HC18)*100)),100000+ABS(6-$HB18)*1000+160)),IF($HD18=0,999999,IF(6=$HE18,IF(136=$HL18,IF($JD18=2,30,0),IF(136=$HM18,IF($JD18=1,30,0),ABS(16-$HF18)*100)),100000+ABS(6-$HE18)*1000+160)),IF($HG18=0,999999,IF(6=$HH18,IF(136=$HN18,IF($JE18=2,30,0),IF(136=$HO18,IF($JE18=1,30,0),ABS(16-$HI18)*100)),100000+ABS(6-$HH18)*1000+160)))-IF((136=$HJ18)+(136=$HK18)+(136=$HL18)+(136=$HM18)+(136=$HN18)+(136=$HO18)&gt;=2,50,0))+EI$5*50)</f>
        <v/>
      </c>
      <c r="EJ138">
        <f>IF(OR($JF18=0,calcA!$A$6=0),0,IF(OR(137=$HA18,137=$HD18,137=$HG18),200000,MIN(IF($HA18=0,999999,IF(6=$HB18,IF(137=$HJ18,IF($JC18=2,30,0),IF(137=$HK18,IF($JC18=1,30,0),ABS(17-$HC18)*100)),100000+ABS(6-$HB18)*1000+170)),IF($HD18=0,999999,IF(6=$HE18,IF(137=$HL18,IF($JD18=2,30,0),IF(137=$HM18,IF($JD18=1,30,0),ABS(17-$HF18)*100)),100000+ABS(6-$HE18)*1000+170)),IF($HG18=0,999999,IF(6=$HH18,IF(137=$HN18,IF($JE18=2,30,0),IF(137=$HO18,IF($JE18=1,30,0),ABS(17-$HI18)*100)),100000+ABS(6-$HH18)*1000+170)))-IF((137=$HJ18)+(137=$HK18)+(137=$HL18)+(137=$HM18)+(137=$HN18)+(137=$HO18)&gt;=2,50,0))+EJ$5*50)</f>
        <v/>
      </c>
      <c r="EK138">
        <f>IF(OR($JF18=0,calcA!$A$6=0),0,IF(OR(138=$HA18,138=$HD18,138=$HG18),200000,MIN(IF($HA18=0,999999,IF(6=$HB18,IF(138=$HJ18,IF($JC18=2,30,0),IF(138=$HK18,IF($JC18=1,30,0),ABS(18-$HC18)*100)),100000+ABS(6-$HB18)*1000+180)),IF($HD18=0,999999,IF(6=$HE18,IF(138=$HL18,IF($JD18=2,30,0),IF(138=$HM18,IF($JD18=1,30,0),ABS(18-$HF18)*100)),100000+ABS(6-$HE18)*1000+180)),IF($HG18=0,999999,IF(6=$HH18,IF(138=$HN18,IF($JE18=2,30,0),IF(138=$HO18,IF($JE18=1,30,0),ABS(18-$HI18)*100)),100000+ABS(6-$HH18)*1000+180)))-IF((138=$HJ18)+(138=$HK18)+(138=$HL18)+(138=$HM18)+(138=$HN18)+(138=$HO18)&gt;=2,50,0))+EK$5*50)</f>
        <v/>
      </c>
      <c r="EL138">
        <f>IF(OR($JF18=0,calcA!$A$6=0),0,IF(OR(139=$HA18,139=$HD18,139=$HG18),200000,MIN(IF($HA18=0,999999,IF(6=$HB18,IF(139=$HJ18,IF($JC18=2,30,0),IF(139=$HK18,IF($JC18=1,30,0),ABS(19-$HC18)*100)),100000+ABS(6-$HB18)*1000+190)),IF($HD18=0,999999,IF(6=$HE18,IF(139=$HL18,IF($JD18=2,30,0),IF(139=$HM18,IF($JD18=1,30,0),ABS(19-$HF18)*100)),100000+ABS(6-$HE18)*1000+190)),IF($HG18=0,999999,IF(6=$HH18,IF(139=$HN18,IF($JE18=2,30,0),IF(139=$HO18,IF($JE18=1,30,0),ABS(19-$HI18)*100)),100000+ABS(6-$HH18)*1000+190)))-IF((139=$HJ18)+(139=$HK18)+(139=$HL18)+(139=$HM18)+(139=$HN18)+(139=$HO18)&gt;=2,50,0))+EL$5*50)</f>
        <v/>
      </c>
      <c r="EM138">
        <f>IF(OR($JF18=0,calcA!$A$6=0),0,IF(OR(140=$HA18,140=$HD18,140=$HG18),200000,MIN(IF($HA18=0,999999,IF(6=$HB18,IF(140=$HJ18,IF($JC18=2,30,0),IF(140=$HK18,IF($JC18=1,30,0),ABS(20-$HC18)*100)),100000+ABS(6-$HB18)*1000+200)),IF($HD18=0,999999,IF(6=$HE18,IF(140=$HL18,IF($JD18=2,30,0),IF(140=$HM18,IF($JD18=1,30,0),ABS(20-$HF18)*100)),100000+ABS(6-$HE18)*1000+200)),IF($HG18=0,999999,IF(6=$HH18,IF(140=$HN18,IF($JE18=2,30,0),IF(140=$HO18,IF($JE18=1,30,0),ABS(20-$HI18)*100)),100000+ABS(6-$HH18)*1000+200)))-IF((140=$HJ18)+(140=$HK18)+(140=$HL18)+(140=$HM18)+(140=$HN18)+(140=$HO18)&gt;=2,50,0))+EM$5*50)</f>
        <v/>
      </c>
      <c r="EN138">
        <f>IF(OR($JF18=0,calcA!$A$6=0),0,IF(OR(141=$HA18,141=$HD18,141=$HG18),200000,MIN(IF($HA18=0,999999,IF(6=$HB18,IF(141=$HJ18,IF($JC18=2,30,0),IF(141=$HK18,IF($JC18=1,30,0),ABS(21-$HC18)*100)),100000+ABS(6-$HB18)*1000+210)),IF($HD18=0,999999,IF(6=$HE18,IF(141=$HL18,IF($JD18=2,30,0),IF(141=$HM18,IF($JD18=1,30,0),ABS(21-$HF18)*100)),100000+ABS(6-$HE18)*1000+210)),IF($HG18=0,999999,IF(6=$HH18,IF(141=$HN18,IF($JE18=2,30,0),IF(141=$HO18,IF($JE18=1,30,0),ABS(21-$HI18)*100)),100000+ABS(6-$HH18)*1000+210)))-IF((141=$HJ18)+(141=$HK18)+(141=$HL18)+(141=$HM18)+(141=$HN18)+(141=$HO18)&gt;=2,50,0))+EN$5*50)</f>
        <v/>
      </c>
      <c r="EO138">
        <f>IF(OR($JF18=0,calcA!$A$6=0),0,IF(OR(142=$HA18,142=$HD18,142=$HG18),200000,MIN(IF($HA18=0,999999,IF(6=$HB18,IF(142=$HJ18,IF($JC18=2,30,0),IF(142=$HK18,IF($JC18=1,30,0),ABS(22-$HC18)*100)),100000+ABS(6-$HB18)*1000+220)),IF($HD18=0,999999,IF(6=$HE18,IF(142=$HL18,IF($JD18=2,30,0),IF(142=$HM18,IF($JD18=1,30,0),ABS(22-$HF18)*100)),100000+ABS(6-$HE18)*1000+220)),IF($HG18=0,999999,IF(6=$HH18,IF(142=$HN18,IF($JE18=2,30,0),IF(142=$HO18,IF($JE18=1,30,0),ABS(22-$HI18)*100)),100000+ABS(6-$HH18)*1000+220)))-IF((142=$HJ18)+(142=$HK18)+(142=$HL18)+(142=$HM18)+(142=$HN18)+(142=$HO18)&gt;=2,50,0))+EO$5*50)</f>
        <v/>
      </c>
      <c r="EP138">
        <f>IF(OR($JF18=0,calcA!$A$6=0),0,IF(OR(143=$HA18,143=$HD18,143=$HG18),200000,MIN(IF($HA18=0,999999,IF(6=$HB18,IF(143=$HJ18,IF($JC18=2,30,0),IF(143=$HK18,IF($JC18=1,30,0),ABS(23-$HC18)*100)),100000+ABS(6-$HB18)*1000+230)),IF($HD18=0,999999,IF(6=$HE18,IF(143=$HL18,IF($JD18=2,30,0),IF(143=$HM18,IF($JD18=1,30,0),ABS(23-$HF18)*100)),100000+ABS(6-$HE18)*1000+230)),IF($HG18=0,999999,IF(6=$HH18,IF(143=$HN18,IF($JE18=2,30,0),IF(143=$HO18,IF($JE18=1,30,0),ABS(23-$HI18)*100)),100000+ABS(6-$HH18)*1000+230)))-IF((143=$HJ18)+(143=$HK18)+(143=$HL18)+(143=$HM18)+(143=$HN18)+(143=$HO18)&gt;=2,50,0))+EP$5*50)</f>
        <v/>
      </c>
      <c r="EQ138">
        <f>IF(OR($JF18=0,calcA!$A$6=0),0,IF(OR(144=$HA18,144=$HD18,144=$HG18),200000,MIN(IF($HA18=0,999999,IF(6=$HB18,IF(144=$HJ18,IF($JC18=2,30,0),IF(144=$HK18,IF($JC18=1,30,0),ABS(24-$HC18)*100)),100000+ABS(6-$HB18)*1000+240)),IF($HD18=0,999999,IF(6=$HE18,IF(144=$HL18,IF($JD18=2,30,0),IF(144=$HM18,IF($JD18=1,30,0),ABS(24-$HF18)*100)),100000+ABS(6-$HE18)*1000+240)),IF($HG18=0,999999,IF(6=$HH18,IF(144=$HN18,IF($JE18=2,30,0),IF(144=$HO18,IF($JE18=1,30,0),ABS(24-$HI18)*100)),100000+ABS(6-$HH18)*1000+240)))-IF((144=$HJ18)+(144=$HK18)+(144=$HL18)+(144=$HM18)+(144=$HN18)+(144=$HO18)&gt;=2,50,0))+EQ$5*50)</f>
        <v/>
      </c>
    </row>
    <row r="139">
      <c r="D139">
        <f>IF(OR($JF19=0,calcA!$A$6=0),0,IF(OR(1=$HA19,1=$HD19,1=$HG19),200000,MIN(IF($HA19=0,999999,IF(1=$HB19,IF(1=$HJ19,IF($JC19=2,30,0),IF(1=$HK19,IF($JC19=1,30,0),ABS(1-$HC19)*100)),100000+ABS(1-$HB19)*1000+10)),IF($HD19=0,999999,IF(1=$HE19,IF(1=$HL19,IF($JD19=2,30,0),IF(1=$HM19,IF($JD19=1,30,0),ABS(1-$HF19)*100)),100000+ABS(1-$HE19)*1000+10)),IF($HG19=0,999999,IF(1=$HH19,IF(1=$HN19,IF($JE19=2,30,0),IF(1=$HO19,IF($JE19=1,30,0),ABS(1-$HI19)*100)),100000+ABS(1-$HH19)*1000+10)))-IF((1=$HJ19)+(1=$HK19)+(1=$HL19)+(1=$HM19)+(1=$HN19)+(1=$HO19)&gt;=2,50,0))+D$5*50)</f>
        <v/>
      </c>
      <c r="E139">
        <f>IF(OR($JF19=0,calcA!$A$6=0),0,IF(OR(2=$HA19,2=$HD19,2=$HG19),200000,MIN(IF($HA19=0,999999,IF(1=$HB19,IF(2=$HJ19,IF($JC19=2,30,0),IF(2=$HK19,IF($JC19=1,30,0),ABS(2-$HC19)*100)),100000+ABS(1-$HB19)*1000+20)),IF($HD19=0,999999,IF(1=$HE19,IF(2=$HL19,IF($JD19=2,30,0),IF(2=$HM19,IF($JD19=1,30,0),ABS(2-$HF19)*100)),100000+ABS(1-$HE19)*1000+20)),IF($HG19=0,999999,IF(1=$HH19,IF(2=$HN19,IF($JE19=2,30,0),IF(2=$HO19,IF($JE19=1,30,0),ABS(2-$HI19)*100)),100000+ABS(1-$HH19)*1000+20)))-IF((2=$HJ19)+(2=$HK19)+(2=$HL19)+(2=$HM19)+(2=$HN19)+(2=$HO19)&gt;=2,50,0))+E$5*50)</f>
        <v/>
      </c>
      <c r="F139">
        <f>IF(OR($JF19=0,calcA!$A$6=0),0,IF(OR(3=$HA19,3=$HD19,3=$HG19),200000,MIN(IF($HA19=0,999999,IF(1=$HB19,IF(3=$HJ19,IF($JC19=2,30,0),IF(3=$HK19,IF($JC19=1,30,0),ABS(3-$HC19)*100)),100000+ABS(1-$HB19)*1000+30)),IF($HD19=0,999999,IF(1=$HE19,IF(3=$HL19,IF($JD19=2,30,0),IF(3=$HM19,IF($JD19=1,30,0),ABS(3-$HF19)*100)),100000+ABS(1-$HE19)*1000+30)),IF($HG19=0,999999,IF(1=$HH19,IF(3=$HN19,IF($JE19=2,30,0),IF(3=$HO19,IF($JE19=1,30,0),ABS(3-$HI19)*100)),100000+ABS(1-$HH19)*1000+30)))-IF((3=$HJ19)+(3=$HK19)+(3=$HL19)+(3=$HM19)+(3=$HN19)+(3=$HO19)&gt;=2,50,0))+F$5*50)</f>
        <v/>
      </c>
      <c r="G139">
        <f>IF(OR($JF19=0,calcA!$A$6=0),0,IF(OR(4=$HA19,4=$HD19,4=$HG19),200000,MIN(IF($HA19=0,999999,IF(1=$HB19,IF(4=$HJ19,IF($JC19=2,30,0),IF(4=$HK19,IF($JC19=1,30,0),ABS(4-$HC19)*100)),100000+ABS(1-$HB19)*1000+40)),IF($HD19=0,999999,IF(1=$HE19,IF(4=$HL19,IF($JD19=2,30,0),IF(4=$HM19,IF($JD19=1,30,0),ABS(4-$HF19)*100)),100000+ABS(1-$HE19)*1000+40)),IF($HG19=0,999999,IF(1=$HH19,IF(4=$HN19,IF($JE19=2,30,0),IF(4=$HO19,IF($JE19=1,30,0),ABS(4-$HI19)*100)),100000+ABS(1-$HH19)*1000+40)))-IF((4=$HJ19)+(4=$HK19)+(4=$HL19)+(4=$HM19)+(4=$HN19)+(4=$HO19)&gt;=2,50,0))+G$5*50)</f>
        <v/>
      </c>
      <c r="H139">
        <f>IF(OR($JF19=0,calcA!$A$6=0),0,IF(OR(5=$HA19,5=$HD19,5=$HG19),200000,MIN(IF($HA19=0,999999,IF(1=$HB19,IF(5=$HJ19,IF($JC19=2,30,0),IF(5=$HK19,IF($JC19=1,30,0),ABS(5-$HC19)*100)),100000+ABS(1-$HB19)*1000+50)),IF($HD19=0,999999,IF(1=$HE19,IF(5=$HL19,IF($JD19=2,30,0),IF(5=$HM19,IF($JD19=1,30,0),ABS(5-$HF19)*100)),100000+ABS(1-$HE19)*1000+50)),IF($HG19=0,999999,IF(1=$HH19,IF(5=$HN19,IF($JE19=2,30,0),IF(5=$HO19,IF($JE19=1,30,0),ABS(5-$HI19)*100)),100000+ABS(1-$HH19)*1000+50)))-IF((5=$HJ19)+(5=$HK19)+(5=$HL19)+(5=$HM19)+(5=$HN19)+(5=$HO19)&gt;=2,50,0))+H$5*50)</f>
        <v/>
      </c>
      <c r="I139">
        <f>IF(OR($JF19=0,calcA!$A$6=0),0,IF(OR(6=$HA19,6=$HD19,6=$HG19),200000,MIN(IF($HA19=0,999999,IF(1=$HB19,IF(6=$HJ19,IF($JC19=2,30,0),IF(6=$HK19,IF($JC19=1,30,0),ABS(6-$HC19)*100)),100000+ABS(1-$HB19)*1000+60)),IF($HD19=0,999999,IF(1=$HE19,IF(6=$HL19,IF($JD19=2,30,0),IF(6=$HM19,IF($JD19=1,30,0),ABS(6-$HF19)*100)),100000+ABS(1-$HE19)*1000+60)),IF($HG19=0,999999,IF(1=$HH19,IF(6=$HN19,IF($JE19=2,30,0),IF(6=$HO19,IF($JE19=1,30,0),ABS(6-$HI19)*100)),100000+ABS(1-$HH19)*1000+60)))-IF((6=$HJ19)+(6=$HK19)+(6=$HL19)+(6=$HM19)+(6=$HN19)+(6=$HO19)&gt;=2,50,0))+I$5*50)</f>
        <v/>
      </c>
      <c r="J139">
        <f>IF(OR($JF19=0,calcA!$A$6=0),0,IF(OR(7=$HA19,7=$HD19,7=$HG19),200000,MIN(IF($HA19=0,999999,IF(1=$HB19,IF(7=$HJ19,IF($JC19=2,30,0),IF(7=$HK19,IF($JC19=1,30,0),ABS(7-$HC19)*100)),100000+ABS(1-$HB19)*1000+70)),IF($HD19=0,999999,IF(1=$HE19,IF(7=$HL19,IF($JD19=2,30,0),IF(7=$HM19,IF($JD19=1,30,0),ABS(7-$HF19)*100)),100000+ABS(1-$HE19)*1000+70)),IF($HG19=0,999999,IF(1=$HH19,IF(7=$HN19,IF($JE19=2,30,0),IF(7=$HO19,IF($JE19=1,30,0),ABS(7-$HI19)*100)),100000+ABS(1-$HH19)*1000+70)))-IF((7=$HJ19)+(7=$HK19)+(7=$HL19)+(7=$HM19)+(7=$HN19)+(7=$HO19)&gt;=2,50,0))+J$5*50)</f>
        <v/>
      </c>
      <c r="K139">
        <f>IF(OR($JF19=0,calcA!$A$6=0),0,IF(OR(8=$HA19,8=$HD19,8=$HG19),200000,MIN(IF($HA19=0,999999,IF(1=$HB19,IF(8=$HJ19,IF($JC19=2,30,0),IF(8=$HK19,IF($JC19=1,30,0),ABS(8-$HC19)*100)),100000+ABS(1-$HB19)*1000+80)),IF($HD19=0,999999,IF(1=$HE19,IF(8=$HL19,IF($JD19=2,30,0),IF(8=$HM19,IF($JD19=1,30,0),ABS(8-$HF19)*100)),100000+ABS(1-$HE19)*1000+80)),IF($HG19=0,999999,IF(1=$HH19,IF(8=$HN19,IF($JE19=2,30,0),IF(8=$HO19,IF($JE19=1,30,0),ABS(8-$HI19)*100)),100000+ABS(1-$HH19)*1000+80)))-IF((8=$HJ19)+(8=$HK19)+(8=$HL19)+(8=$HM19)+(8=$HN19)+(8=$HO19)&gt;=2,50,0))+K$5*50)</f>
        <v/>
      </c>
      <c r="L139">
        <f>IF(OR($JF19=0,calcA!$A$6=0),0,IF(OR(9=$HA19,9=$HD19,9=$HG19),200000,MIN(IF($HA19=0,999999,IF(1=$HB19,IF(9=$HJ19,IF($JC19=2,30,0),IF(9=$HK19,IF($JC19=1,30,0),ABS(9-$HC19)*100)),100000+ABS(1-$HB19)*1000+90)),IF($HD19=0,999999,IF(1=$HE19,IF(9=$HL19,IF($JD19=2,30,0),IF(9=$HM19,IF($JD19=1,30,0),ABS(9-$HF19)*100)),100000+ABS(1-$HE19)*1000+90)),IF($HG19=0,999999,IF(1=$HH19,IF(9=$HN19,IF($JE19=2,30,0),IF(9=$HO19,IF($JE19=1,30,0),ABS(9-$HI19)*100)),100000+ABS(1-$HH19)*1000+90)))-IF((9=$HJ19)+(9=$HK19)+(9=$HL19)+(9=$HM19)+(9=$HN19)+(9=$HO19)&gt;=2,50,0))+L$5*50)</f>
        <v/>
      </c>
      <c r="M139">
        <f>IF(OR($JF19=0,calcA!$A$6=0),0,IF(OR(10=$HA19,10=$HD19,10=$HG19),200000,MIN(IF($HA19=0,999999,IF(1=$HB19,IF(10=$HJ19,IF($JC19=2,30,0),IF(10=$HK19,IF($JC19=1,30,0),ABS(10-$HC19)*100)),100000+ABS(1-$HB19)*1000+100)),IF($HD19=0,999999,IF(1=$HE19,IF(10=$HL19,IF($JD19=2,30,0),IF(10=$HM19,IF($JD19=1,30,0),ABS(10-$HF19)*100)),100000+ABS(1-$HE19)*1000+100)),IF($HG19=0,999999,IF(1=$HH19,IF(10=$HN19,IF($JE19=2,30,0),IF(10=$HO19,IF($JE19=1,30,0),ABS(10-$HI19)*100)),100000+ABS(1-$HH19)*1000+100)))-IF((10=$HJ19)+(10=$HK19)+(10=$HL19)+(10=$HM19)+(10=$HN19)+(10=$HO19)&gt;=2,50,0))+M$5*50)</f>
        <v/>
      </c>
      <c r="N139">
        <f>IF(OR($JF19=0,calcA!$A$6=0),0,IF(OR(11=$HA19,11=$HD19,11=$HG19),200000,MIN(IF($HA19=0,999999,IF(1=$HB19,IF(11=$HJ19,IF($JC19=2,30,0),IF(11=$HK19,IF($JC19=1,30,0),ABS(11-$HC19)*100)),100000+ABS(1-$HB19)*1000+110)),IF($HD19=0,999999,IF(1=$HE19,IF(11=$HL19,IF($JD19=2,30,0),IF(11=$HM19,IF($JD19=1,30,0),ABS(11-$HF19)*100)),100000+ABS(1-$HE19)*1000+110)),IF($HG19=0,999999,IF(1=$HH19,IF(11=$HN19,IF($JE19=2,30,0),IF(11=$HO19,IF($JE19=1,30,0),ABS(11-$HI19)*100)),100000+ABS(1-$HH19)*1000+110)))-IF((11=$HJ19)+(11=$HK19)+(11=$HL19)+(11=$HM19)+(11=$HN19)+(11=$HO19)&gt;=2,50,0))+N$5*50)</f>
        <v/>
      </c>
      <c r="O139">
        <f>IF(OR($JF19=0,calcA!$A$6=0),0,IF(OR(12=$HA19,12=$HD19,12=$HG19),200000,MIN(IF($HA19=0,999999,IF(1=$HB19,IF(12=$HJ19,IF($JC19=2,30,0),IF(12=$HK19,IF($JC19=1,30,0),ABS(12-$HC19)*100)),100000+ABS(1-$HB19)*1000+120)),IF($HD19=0,999999,IF(1=$HE19,IF(12=$HL19,IF($JD19=2,30,0),IF(12=$HM19,IF($JD19=1,30,0),ABS(12-$HF19)*100)),100000+ABS(1-$HE19)*1000+120)),IF($HG19=0,999999,IF(1=$HH19,IF(12=$HN19,IF($JE19=2,30,0),IF(12=$HO19,IF($JE19=1,30,0),ABS(12-$HI19)*100)),100000+ABS(1-$HH19)*1000+120)))-IF((12=$HJ19)+(12=$HK19)+(12=$HL19)+(12=$HM19)+(12=$HN19)+(12=$HO19)&gt;=2,50,0))+O$5*50)</f>
        <v/>
      </c>
      <c r="P139">
        <f>IF(OR($JF19=0,calcA!$A$6=0),0,IF(OR(13=$HA19,13=$HD19,13=$HG19),200000,MIN(IF($HA19=0,999999,IF(1=$HB19,IF(13=$HJ19,IF($JC19=2,30,0),IF(13=$HK19,IF($JC19=1,30,0),ABS(13-$HC19)*100)),100000+ABS(1-$HB19)*1000+130)),IF($HD19=0,999999,IF(1=$HE19,IF(13=$HL19,IF($JD19=2,30,0),IF(13=$HM19,IF($JD19=1,30,0),ABS(13-$HF19)*100)),100000+ABS(1-$HE19)*1000+130)),IF($HG19=0,999999,IF(1=$HH19,IF(13=$HN19,IF($JE19=2,30,0),IF(13=$HO19,IF($JE19=1,30,0),ABS(13-$HI19)*100)),100000+ABS(1-$HH19)*1000+130)))-IF((13=$HJ19)+(13=$HK19)+(13=$HL19)+(13=$HM19)+(13=$HN19)+(13=$HO19)&gt;=2,50,0))+P$5*50)</f>
        <v/>
      </c>
      <c r="Q139">
        <f>IF(OR($JF19=0,calcA!$A$6=0),0,IF(OR(14=$HA19,14=$HD19,14=$HG19),200000,MIN(IF($HA19=0,999999,IF(1=$HB19,IF(14=$HJ19,IF($JC19=2,30,0),IF(14=$HK19,IF($JC19=1,30,0),ABS(14-$HC19)*100)),100000+ABS(1-$HB19)*1000+140)),IF($HD19=0,999999,IF(1=$HE19,IF(14=$HL19,IF($JD19=2,30,0),IF(14=$HM19,IF($JD19=1,30,0),ABS(14-$HF19)*100)),100000+ABS(1-$HE19)*1000+140)),IF($HG19=0,999999,IF(1=$HH19,IF(14=$HN19,IF($JE19=2,30,0),IF(14=$HO19,IF($JE19=1,30,0),ABS(14-$HI19)*100)),100000+ABS(1-$HH19)*1000+140)))-IF((14=$HJ19)+(14=$HK19)+(14=$HL19)+(14=$HM19)+(14=$HN19)+(14=$HO19)&gt;=2,50,0))+Q$5*50)</f>
        <v/>
      </c>
      <c r="R139">
        <f>IF(OR($JF19=0,calcA!$A$6=0),0,IF(OR(15=$HA19,15=$HD19,15=$HG19),200000,MIN(IF($HA19=0,999999,IF(1=$HB19,IF(15=$HJ19,IF($JC19=2,30,0),IF(15=$HK19,IF($JC19=1,30,0),ABS(15-$HC19)*100)),100000+ABS(1-$HB19)*1000+150)),IF($HD19=0,999999,IF(1=$HE19,IF(15=$HL19,IF($JD19=2,30,0),IF(15=$HM19,IF($JD19=1,30,0),ABS(15-$HF19)*100)),100000+ABS(1-$HE19)*1000+150)),IF($HG19=0,999999,IF(1=$HH19,IF(15=$HN19,IF($JE19=2,30,0),IF(15=$HO19,IF($JE19=1,30,0),ABS(15-$HI19)*100)),100000+ABS(1-$HH19)*1000+150)))-IF((15=$HJ19)+(15=$HK19)+(15=$HL19)+(15=$HM19)+(15=$HN19)+(15=$HO19)&gt;=2,50,0))+R$5*50)</f>
        <v/>
      </c>
      <c r="S139">
        <f>IF(OR($JF19=0,calcA!$A$6=0),0,IF(OR(16=$HA19,16=$HD19,16=$HG19),200000,MIN(IF($HA19=0,999999,IF(1=$HB19,IF(16=$HJ19,IF($JC19=2,30,0),IF(16=$HK19,IF($JC19=1,30,0),ABS(16-$HC19)*100)),100000+ABS(1-$HB19)*1000+160)),IF($HD19=0,999999,IF(1=$HE19,IF(16=$HL19,IF($JD19=2,30,0),IF(16=$HM19,IF($JD19=1,30,0),ABS(16-$HF19)*100)),100000+ABS(1-$HE19)*1000+160)),IF($HG19=0,999999,IF(1=$HH19,IF(16=$HN19,IF($JE19=2,30,0),IF(16=$HO19,IF($JE19=1,30,0),ABS(16-$HI19)*100)),100000+ABS(1-$HH19)*1000+160)))-IF((16=$HJ19)+(16=$HK19)+(16=$HL19)+(16=$HM19)+(16=$HN19)+(16=$HO19)&gt;=2,50,0))+S$5*50)</f>
        <v/>
      </c>
      <c r="T139">
        <f>IF(OR($JF19=0,calcA!$A$6=0),0,IF(OR(17=$HA19,17=$HD19,17=$HG19),200000,MIN(IF($HA19=0,999999,IF(1=$HB19,IF(17=$HJ19,IF($JC19=2,30,0),IF(17=$HK19,IF($JC19=1,30,0),ABS(17-$HC19)*100)),100000+ABS(1-$HB19)*1000+170)),IF($HD19=0,999999,IF(1=$HE19,IF(17=$HL19,IF($JD19=2,30,0),IF(17=$HM19,IF($JD19=1,30,0),ABS(17-$HF19)*100)),100000+ABS(1-$HE19)*1000+170)),IF($HG19=0,999999,IF(1=$HH19,IF(17=$HN19,IF($JE19=2,30,0),IF(17=$HO19,IF($JE19=1,30,0),ABS(17-$HI19)*100)),100000+ABS(1-$HH19)*1000+170)))-IF((17=$HJ19)+(17=$HK19)+(17=$HL19)+(17=$HM19)+(17=$HN19)+(17=$HO19)&gt;=2,50,0))+T$5*50)</f>
        <v/>
      </c>
      <c r="U139">
        <f>IF(OR($JF19=0,calcA!$A$6=0),0,IF(OR(18=$HA19,18=$HD19,18=$HG19),200000,MIN(IF($HA19=0,999999,IF(1=$HB19,IF(18=$HJ19,IF($JC19=2,30,0),IF(18=$HK19,IF($JC19=1,30,0),ABS(18-$HC19)*100)),100000+ABS(1-$HB19)*1000+180)),IF($HD19=0,999999,IF(1=$HE19,IF(18=$HL19,IF($JD19=2,30,0),IF(18=$HM19,IF($JD19=1,30,0),ABS(18-$HF19)*100)),100000+ABS(1-$HE19)*1000+180)),IF($HG19=0,999999,IF(1=$HH19,IF(18=$HN19,IF($JE19=2,30,0),IF(18=$HO19,IF($JE19=1,30,0),ABS(18-$HI19)*100)),100000+ABS(1-$HH19)*1000+180)))-IF((18=$HJ19)+(18=$HK19)+(18=$HL19)+(18=$HM19)+(18=$HN19)+(18=$HO19)&gt;=2,50,0))+U$5*50)</f>
        <v/>
      </c>
      <c r="V139">
        <f>IF(OR($JF19=0,calcA!$A$6=0),0,IF(OR(19=$HA19,19=$HD19,19=$HG19),200000,MIN(IF($HA19=0,999999,IF(1=$HB19,IF(19=$HJ19,IF($JC19=2,30,0),IF(19=$HK19,IF($JC19=1,30,0),ABS(19-$HC19)*100)),100000+ABS(1-$HB19)*1000+190)),IF($HD19=0,999999,IF(1=$HE19,IF(19=$HL19,IF($JD19=2,30,0),IF(19=$HM19,IF($JD19=1,30,0),ABS(19-$HF19)*100)),100000+ABS(1-$HE19)*1000+190)),IF($HG19=0,999999,IF(1=$HH19,IF(19=$HN19,IF($JE19=2,30,0),IF(19=$HO19,IF($JE19=1,30,0),ABS(19-$HI19)*100)),100000+ABS(1-$HH19)*1000+190)))-IF((19=$HJ19)+(19=$HK19)+(19=$HL19)+(19=$HM19)+(19=$HN19)+(19=$HO19)&gt;=2,50,0))+V$5*50)</f>
        <v/>
      </c>
      <c r="W139">
        <f>IF(OR($JF19=0,calcA!$A$6=0),0,IF(OR(20=$HA19,20=$HD19,20=$HG19),200000,MIN(IF($HA19=0,999999,IF(1=$HB19,IF(20=$HJ19,IF($JC19=2,30,0),IF(20=$HK19,IF($JC19=1,30,0),ABS(20-$HC19)*100)),100000+ABS(1-$HB19)*1000+200)),IF($HD19=0,999999,IF(1=$HE19,IF(20=$HL19,IF($JD19=2,30,0),IF(20=$HM19,IF($JD19=1,30,0),ABS(20-$HF19)*100)),100000+ABS(1-$HE19)*1000+200)),IF($HG19=0,999999,IF(1=$HH19,IF(20=$HN19,IF($JE19=2,30,0),IF(20=$HO19,IF($JE19=1,30,0),ABS(20-$HI19)*100)),100000+ABS(1-$HH19)*1000+200)))-IF((20=$HJ19)+(20=$HK19)+(20=$HL19)+(20=$HM19)+(20=$HN19)+(20=$HO19)&gt;=2,50,0))+W$5*50)</f>
        <v/>
      </c>
      <c r="X139">
        <f>IF(OR($JF19=0,calcA!$A$6=0),0,IF(OR(21=$HA19,21=$HD19,21=$HG19),200000,MIN(IF($HA19=0,999999,IF(1=$HB19,IF(21=$HJ19,IF($JC19=2,30,0),IF(21=$HK19,IF($JC19=1,30,0),ABS(21-$HC19)*100)),100000+ABS(1-$HB19)*1000+210)),IF($HD19=0,999999,IF(1=$HE19,IF(21=$HL19,IF($JD19=2,30,0),IF(21=$HM19,IF($JD19=1,30,0),ABS(21-$HF19)*100)),100000+ABS(1-$HE19)*1000+210)),IF($HG19=0,999999,IF(1=$HH19,IF(21=$HN19,IF($JE19=2,30,0),IF(21=$HO19,IF($JE19=1,30,0),ABS(21-$HI19)*100)),100000+ABS(1-$HH19)*1000+210)))-IF((21=$HJ19)+(21=$HK19)+(21=$HL19)+(21=$HM19)+(21=$HN19)+(21=$HO19)&gt;=2,50,0))+X$5*50)</f>
        <v/>
      </c>
      <c r="Y139">
        <f>IF(OR($JF19=0,calcA!$A$6=0),0,IF(OR(22=$HA19,22=$HD19,22=$HG19),200000,MIN(IF($HA19=0,999999,IF(1=$HB19,IF(22=$HJ19,IF($JC19=2,30,0),IF(22=$HK19,IF($JC19=1,30,0),ABS(22-$HC19)*100)),100000+ABS(1-$HB19)*1000+220)),IF($HD19=0,999999,IF(1=$HE19,IF(22=$HL19,IF($JD19=2,30,0),IF(22=$HM19,IF($JD19=1,30,0),ABS(22-$HF19)*100)),100000+ABS(1-$HE19)*1000+220)),IF($HG19=0,999999,IF(1=$HH19,IF(22=$HN19,IF($JE19=2,30,0),IF(22=$HO19,IF($JE19=1,30,0),ABS(22-$HI19)*100)),100000+ABS(1-$HH19)*1000+220)))-IF((22=$HJ19)+(22=$HK19)+(22=$HL19)+(22=$HM19)+(22=$HN19)+(22=$HO19)&gt;=2,50,0))+Y$5*50)</f>
        <v/>
      </c>
      <c r="Z139">
        <f>IF(OR($JF19=0,calcA!$A$6=0),0,IF(OR(23=$HA19,23=$HD19,23=$HG19),200000,MIN(IF($HA19=0,999999,IF(1=$HB19,IF(23=$HJ19,IF($JC19=2,30,0),IF(23=$HK19,IF($JC19=1,30,0),ABS(23-$HC19)*100)),100000+ABS(1-$HB19)*1000+230)),IF($HD19=0,999999,IF(1=$HE19,IF(23=$HL19,IF($JD19=2,30,0),IF(23=$HM19,IF($JD19=1,30,0),ABS(23-$HF19)*100)),100000+ABS(1-$HE19)*1000+230)),IF($HG19=0,999999,IF(1=$HH19,IF(23=$HN19,IF($JE19=2,30,0),IF(23=$HO19,IF($JE19=1,30,0),ABS(23-$HI19)*100)),100000+ABS(1-$HH19)*1000+230)))-IF((23=$HJ19)+(23=$HK19)+(23=$HL19)+(23=$HM19)+(23=$HN19)+(23=$HO19)&gt;=2,50,0))+Z$5*50)</f>
        <v/>
      </c>
      <c r="AA139">
        <f>IF(OR($JF19=0,calcA!$A$6=0),0,IF(OR(24=$HA19,24=$HD19,24=$HG19),200000,MIN(IF($HA19=0,999999,IF(1=$HB19,IF(24=$HJ19,IF($JC19=2,30,0),IF(24=$HK19,IF($JC19=1,30,0),ABS(24-$HC19)*100)),100000+ABS(1-$HB19)*1000+240)),IF($HD19=0,999999,IF(1=$HE19,IF(24=$HL19,IF($JD19=2,30,0),IF(24=$HM19,IF($JD19=1,30,0),ABS(24-$HF19)*100)),100000+ABS(1-$HE19)*1000+240)),IF($HG19=0,999999,IF(1=$HH19,IF(24=$HN19,IF($JE19=2,30,0),IF(24=$HO19,IF($JE19=1,30,0),ABS(24-$HI19)*100)),100000+ABS(1-$HH19)*1000+240)))-IF((24=$HJ19)+(24=$HK19)+(24=$HL19)+(24=$HM19)+(24=$HN19)+(24=$HO19)&gt;=2,50,0))+AA$5*50)</f>
        <v/>
      </c>
      <c r="AB139">
        <f>IF(OR($JF19=0,calcA!$A$6=0),0,IF(OR(25=$HA19,25=$HD19,25=$HG19),200000,MIN(IF($HA19=0,999999,IF(2=$HB19,IF(25=$HJ19,IF($JC19=2,30,0),IF(25=$HK19,IF($JC19=1,30,0),ABS(1-$HC19)*100)),100000+ABS(2-$HB19)*1000+10)),IF($HD19=0,999999,IF(2=$HE19,IF(25=$HL19,IF($JD19=2,30,0),IF(25=$HM19,IF($JD19=1,30,0),ABS(1-$HF19)*100)),100000+ABS(2-$HE19)*1000+10)),IF($HG19=0,999999,IF(2=$HH19,IF(25=$HN19,IF($JE19=2,30,0),IF(25=$HO19,IF($JE19=1,30,0),ABS(1-$HI19)*100)),100000+ABS(2-$HH19)*1000+10)))-IF((25=$HJ19)+(25=$HK19)+(25=$HL19)+(25=$HM19)+(25=$HN19)+(25=$HO19)&gt;=2,50,0))+AB$5*50)</f>
        <v/>
      </c>
      <c r="AC139">
        <f>IF(OR($JF19=0,calcA!$A$6=0),0,IF(OR(26=$HA19,26=$HD19,26=$HG19),200000,MIN(IF($HA19=0,999999,IF(2=$HB19,IF(26=$HJ19,IF($JC19=2,30,0),IF(26=$HK19,IF($JC19=1,30,0),ABS(2-$HC19)*100)),100000+ABS(2-$HB19)*1000+20)),IF($HD19=0,999999,IF(2=$HE19,IF(26=$HL19,IF($JD19=2,30,0),IF(26=$HM19,IF($JD19=1,30,0),ABS(2-$HF19)*100)),100000+ABS(2-$HE19)*1000+20)),IF($HG19=0,999999,IF(2=$HH19,IF(26=$HN19,IF($JE19=2,30,0),IF(26=$HO19,IF($JE19=1,30,0),ABS(2-$HI19)*100)),100000+ABS(2-$HH19)*1000+20)))-IF((26=$HJ19)+(26=$HK19)+(26=$HL19)+(26=$HM19)+(26=$HN19)+(26=$HO19)&gt;=2,50,0))+AC$5*50)</f>
        <v/>
      </c>
      <c r="AD139">
        <f>IF(OR($JF19=0,calcA!$A$6=0),0,IF(OR(27=$HA19,27=$HD19,27=$HG19),200000,MIN(IF($HA19=0,999999,IF(2=$HB19,IF(27=$HJ19,IF($JC19=2,30,0),IF(27=$HK19,IF($JC19=1,30,0),ABS(3-$HC19)*100)),100000+ABS(2-$HB19)*1000+30)),IF($HD19=0,999999,IF(2=$HE19,IF(27=$HL19,IF($JD19=2,30,0),IF(27=$HM19,IF($JD19=1,30,0),ABS(3-$HF19)*100)),100000+ABS(2-$HE19)*1000+30)),IF($HG19=0,999999,IF(2=$HH19,IF(27=$HN19,IF($JE19=2,30,0),IF(27=$HO19,IF($JE19=1,30,0),ABS(3-$HI19)*100)),100000+ABS(2-$HH19)*1000+30)))-IF((27=$HJ19)+(27=$HK19)+(27=$HL19)+(27=$HM19)+(27=$HN19)+(27=$HO19)&gt;=2,50,0))+AD$5*50)</f>
        <v/>
      </c>
      <c r="AE139">
        <f>IF(OR($JF19=0,calcA!$A$6=0),0,IF(OR(28=$HA19,28=$HD19,28=$HG19),200000,MIN(IF($HA19=0,999999,IF(2=$HB19,IF(28=$HJ19,IF($JC19=2,30,0),IF(28=$HK19,IF($JC19=1,30,0),ABS(4-$HC19)*100)),100000+ABS(2-$HB19)*1000+40)),IF($HD19=0,999999,IF(2=$HE19,IF(28=$HL19,IF($JD19=2,30,0),IF(28=$HM19,IF($JD19=1,30,0),ABS(4-$HF19)*100)),100000+ABS(2-$HE19)*1000+40)),IF($HG19=0,999999,IF(2=$HH19,IF(28=$HN19,IF($JE19=2,30,0),IF(28=$HO19,IF($JE19=1,30,0),ABS(4-$HI19)*100)),100000+ABS(2-$HH19)*1000+40)))-IF((28=$HJ19)+(28=$HK19)+(28=$HL19)+(28=$HM19)+(28=$HN19)+(28=$HO19)&gt;=2,50,0))+AE$5*50)</f>
        <v/>
      </c>
      <c r="AF139">
        <f>IF(OR($JF19=0,calcA!$A$6=0),0,IF(OR(29=$HA19,29=$HD19,29=$HG19),200000,MIN(IF($HA19=0,999999,IF(2=$HB19,IF(29=$HJ19,IF($JC19=2,30,0),IF(29=$HK19,IF($JC19=1,30,0),ABS(5-$HC19)*100)),100000+ABS(2-$HB19)*1000+50)),IF($HD19=0,999999,IF(2=$HE19,IF(29=$HL19,IF($JD19=2,30,0),IF(29=$HM19,IF($JD19=1,30,0),ABS(5-$HF19)*100)),100000+ABS(2-$HE19)*1000+50)),IF($HG19=0,999999,IF(2=$HH19,IF(29=$HN19,IF($JE19=2,30,0),IF(29=$HO19,IF($JE19=1,30,0),ABS(5-$HI19)*100)),100000+ABS(2-$HH19)*1000+50)))-IF((29=$HJ19)+(29=$HK19)+(29=$HL19)+(29=$HM19)+(29=$HN19)+(29=$HO19)&gt;=2,50,0))+AF$5*50)</f>
        <v/>
      </c>
      <c r="AG139">
        <f>IF(OR($JF19=0,calcA!$A$6=0),0,IF(OR(30=$HA19,30=$HD19,30=$HG19),200000,MIN(IF($HA19=0,999999,IF(2=$HB19,IF(30=$HJ19,IF($JC19=2,30,0),IF(30=$HK19,IF($JC19=1,30,0),ABS(6-$HC19)*100)),100000+ABS(2-$HB19)*1000+60)),IF($HD19=0,999999,IF(2=$HE19,IF(30=$HL19,IF($JD19=2,30,0),IF(30=$HM19,IF($JD19=1,30,0),ABS(6-$HF19)*100)),100000+ABS(2-$HE19)*1000+60)),IF($HG19=0,999999,IF(2=$HH19,IF(30=$HN19,IF($JE19=2,30,0),IF(30=$HO19,IF($JE19=1,30,0),ABS(6-$HI19)*100)),100000+ABS(2-$HH19)*1000+60)))-IF((30=$HJ19)+(30=$HK19)+(30=$HL19)+(30=$HM19)+(30=$HN19)+(30=$HO19)&gt;=2,50,0))+AG$5*50)</f>
        <v/>
      </c>
      <c r="AH139">
        <f>IF(OR($JF19=0,calcA!$A$6=0),0,IF(OR(31=$HA19,31=$HD19,31=$HG19),200000,MIN(IF($HA19=0,999999,IF(2=$HB19,IF(31=$HJ19,IF($JC19=2,30,0),IF(31=$HK19,IF($JC19=1,30,0),ABS(7-$HC19)*100)),100000+ABS(2-$HB19)*1000+70)),IF($HD19=0,999999,IF(2=$HE19,IF(31=$HL19,IF($JD19=2,30,0),IF(31=$HM19,IF($JD19=1,30,0),ABS(7-$HF19)*100)),100000+ABS(2-$HE19)*1000+70)),IF($HG19=0,999999,IF(2=$HH19,IF(31=$HN19,IF($JE19=2,30,0),IF(31=$HO19,IF($JE19=1,30,0),ABS(7-$HI19)*100)),100000+ABS(2-$HH19)*1000+70)))-IF((31=$HJ19)+(31=$HK19)+(31=$HL19)+(31=$HM19)+(31=$HN19)+(31=$HO19)&gt;=2,50,0))+AH$5*50)</f>
        <v/>
      </c>
      <c r="AI139">
        <f>IF(OR($JF19=0,calcA!$A$6=0),0,IF(OR(32=$HA19,32=$HD19,32=$HG19),200000,MIN(IF($HA19=0,999999,IF(2=$HB19,IF(32=$HJ19,IF($JC19=2,30,0),IF(32=$HK19,IF($JC19=1,30,0),ABS(8-$HC19)*100)),100000+ABS(2-$HB19)*1000+80)),IF($HD19=0,999999,IF(2=$HE19,IF(32=$HL19,IF($JD19=2,30,0),IF(32=$HM19,IF($JD19=1,30,0),ABS(8-$HF19)*100)),100000+ABS(2-$HE19)*1000+80)),IF($HG19=0,999999,IF(2=$HH19,IF(32=$HN19,IF($JE19=2,30,0),IF(32=$HO19,IF($JE19=1,30,0),ABS(8-$HI19)*100)),100000+ABS(2-$HH19)*1000+80)))-IF((32=$HJ19)+(32=$HK19)+(32=$HL19)+(32=$HM19)+(32=$HN19)+(32=$HO19)&gt;=2,50,0))+AI$5*50)</f>
        <v/>
      </c>
      <c r="AJ139">
        <f>IF(OR($JF19=0,calcA!$A$6=0),0,IF(OR(33=$HA19,33=$HD19,33=$HG19),200000,MIN(IF($HA19=0,999999,IF(2=$HB19,IF(33=$HJ19,IF($JC19=2,30,0),IF(33=$HK19,IF($JC19=1,30,0),ABS(9-$HC19)*100)),100000+ABS(2-$HB19)*1000+90)),IF($HD19=0,999999,IF(2=$HE19,IF(33=$HL19,IF($JD19=2,30,0),IF(33=$HM19,IF($JD19=1,30,0),ABS(9-$HF19)*100)),100000+ABS(2-$HE19)*1000+90)),IF($HG19=0,999999,IF(2=$HH19,IF(33=$HN19,IF($JE19=2,30,0),IF(33=$HO19,IF($JE19=1,30,0),ABS(9-$HI19)*100)),100000+ABS(2-$HH19)*1000+90)))-IF((33=$HJ19)+(33=$HK19)+(33=$HL19)+(33=$HM19)+(33=$HN19)+(33=$HO19)&gt;=2,50,0))+AJ$5*50)</f>
        <v/>
      </c>
      <c r="AK139">
        <f>IF(OR($JF19=0,calcA!$A$6=0),0,IF(OR(34=$HA19,34=$HD19,34=$HG19),200000,MIN(IF($HA19=0,999999,IF(2=$HB19,IF(34=$HJ19,IF($JC19=2,30,0),IF(34=$HK19,IF($JC19=1,30,0),ABS(10-$HC19)*100)),100000+ABS(2-$HB19)*1000+100)),IF($HD19=0,999999,IF(2=$HE19,IF(34=$HL19,IF($JD19=2,30,0),IF(34=$HM19,IF($JD19=1,30,0),ABS(10-$HF19)*100)),100000+ABS(2-$HE19)*1000+100)),IF($HG19=0,999999,IF(2=$HH19,IF(34=$HN19,IF($JE19=2,30,0),IF(34=$HO19,IF($JE19=1,30,0),ABS(10-$HI19)*100)),100000+ABS(2-$HH19)*1000+100)))-IF((34=$HJ19)+(34=$HK19)+(34=$HL19)+(34=$HM19)+(34=$HN19)+(34=$HO19)&gt;=2,50,0))+AK$5*50)</f>
        <v/>
      </c>
      <c r="AL139">
        <f>IF(OR($JF19=0,calcA!$A$6=0),0,IF(OR(35=$HA19,35=$HD19,35=$HG19),200000,MIN(IF($HA19=0,999999,IF(2=$HB19,IF(35=$HJ19,IF($JC19=2,30,0),IF(35=$HK19,IF($JC19=1,30,0),ABS(11-$HC19)*100)),100000+ABS(2-$HB19)*1000+110)),IF($HD19=0,999999,IF(2=$HE19,IF(35=$HL19,IF($JD19=2,30,0),IF(35=$HM19,IF($JD19=1,30,0),ABS(11-$HF19)*100)),100000+ABS(2-$HE19)*1000+110)),IF($HG19=0,999999,IF(2=$HH19,IF(35=$HN19,IF($JE19=2,30,0),IF(35=$HO19,IF($JE19=1,30,0),ABS(11-$HI19)*100)),100000+ABS(2-$HH19)*1000+110)))-IF((35=$HJ19)+(35=$HK19)+(35=$HL19)+(35=$HM19)+(35=$HN19)+(35=$HO19)&gt;=2,50,0))+AL$5*50)</f>
        <v/>
      </c>
      <c r="AM139">
        <f>IF(OR($JF19=0,calcA!$A$6=0),0,IF(OR(36=$HA19,36=$HD19,36=$HG19),200000,MIN(IF($HA19=0,999999,IF(2=$HB19,IF(36=$HJ19,IF($JC19=2,30,0),IF(36=$HK19,IF($JC19=1,30,0),ABS(12-$HC19)*100)),100000+ABS(2-$HB19)*1000+120)),IF($HD19=0,999999,IF(2=$HE19,IF(36=$HL19,IF($JD19=2,30,0),IF(36=$HM19,IF($JD19=1,30,0),ABS(12-$HF19)*100)),100000+ABS(2-$HE19)*1000+120)),IF($HG19=0,999999,IF(2=$HH19,IF(36=$HN19,IF($JE19=2,30,0),IF(36=$HO19,IF($JE19=1,30,0),ABS(12-$HI19)*100)),100000+ABS(2-$HH19)*1000+120)))-IF((36=$HJ19)+(36=$HK19)+(36=$HL19)+(36=$HM19)+(36=$HN19)+(36=$HO19)&gt;=2,50,0))+AM$5*50)</f>
        <v/>
      </c>
      <c r="AN139">
        <f>IF(OR($JF19=0,calcA!$A$6=0),0,IF(OR(37=$HA19,37=$HD19,37=$HG19),200000,MIN(IF($HA19=0,999999,IF(2=$HB19,IF(37=$HJ19,IF($JC19=2,30,0),IF(37=$HK19,IF($JC19=1,30,0),ABS(13-$HC19)*100)),100000+ABS(2-$HB19)*1000+130)),IF($HD19=0,999999,IF(2=$HE19,IF(37=$HL19,IF($JD19=2,30,0),IF(37=$HM19,IF($JD19=1,30,0),ABS(13-$HF19)*100)),100000+ABS(2-$HE19)*1000+130)),IF($HG19=0,999999,IF(2=$HH19,IF(37=$HN19,IF($JE19=2,30,0),IF(37=$HO19,IF($JE19=1,30,0),ABS(13-$HI19)*100)),100000+ABS(2-$HH19)*1000+130)))-IF((37=$HJ19)+(37=$HK19)+(37=$HL19)+(37=$HM19)+(37=$HN19)+(37=$HO19)&gt;=2,50,0))+AN$5*50)</f>
        <v/>
      </c>
      <c r="AO139">
        <f>IF(OR($JF19=0,calcA!$A$6=0),0,IF(OR(38=$HA19,38=$HD19,38=$HG19),200000,MIN(IF($HA19=0,999999,IF(2=$HB19,IF(38=$HJ19,IF($JC19=2,30,0),IF(38=$HK19,IF($JC19=1,30,0),ABS(14-$HC19)*100)),100000+ABS(2-$HB19)*1000+140)),IF($HD19=0,999999,IF(2=$HE19,IF(38=$HL19,IF($JD19=2,30,0),IF(38=$HM19,IF($JD19=1,30,0),ABS(14-$HF19)*100)),100000+ABS(2-$HE19)*1000+140)),IF($HG19=0,999999,IF(2=$HH19,IF(38=$HN19,IF($JE19=2,30,0),IF(38=$HO19,IF($JE19=1,30,0),ABS(14-$HI19)*100)),100000+ABS(2-$HH19)*1000+140)))-IF((38=$HJ19)+(38=$HK19)+(38=$HL19)+(38=$HM19)+(38=$HN19)+(38=$HO19)&gt;=2,50,0))+AO$5*50)</f>
        <v/>
      </c>
      <c r="AP139">
        <f>IF(OR($JF19=0,calcA!$A$6=0),0,IF(OR(39=$HA19,39=$HD19,39=$HG19),200000,MIN(IF($HA19=0,999999,IF(2=$HB19,IF(39=$HJ19,IF($JC19=2,30,0),IF(39=$HK19,IF($JC19=1,30,0),ABS(15-$HC19)*100)),100000+ABS(2-$HB19)*1000+150)),IF($HD19=0,999999,IF(2=$HE19,IF(39=$HL19,IF($JD19=2,30,0),IF(39=$HM19,IF($JD19=1,30,0),ABS(15-$HF19)*100)),100000+ABS(2-$HE19)*1000+150)),IF($HG19=0,999999,IF(2=$HH19,IF(39=$HN19,IF($JE19=2,30,0),IF(39=$HO19,IF($JE19=1,30,0),ABS(15-$HI19)*100)),100000+ABS(2-$HH19)*1000+150)))-IF((39=$HJ19)+(39=$HK19)+(39=$HL19)+(39=$HM19)+(39=$HN19)+(39=$HO19)&gt;=2,50,0))+AP$5*50)</f>
        <v/>
      </c>
      <c r="AQ139">
        <f>IF(OR($JF19=0,calcA!$A$6=0),0,IF(OR(40=$HA19,40=$HD19,40=$HG19),200000,MIN(IF($HA19=0,999999,IF(2=$HB19,IF(40=$HJ19,IF($JC19=2,30,0),IF(40=$HK19,IF($JC19=1,30,0),ABS(16-$HC19)*100)),100000+ABS(2-$HB19)*1000+160)),IF($HD19=0,999999,IF(2=$HE19,IF(40=$HL19,IF($JD19=2,30,0),IF(40=$HM19,IF($JD19=1,30,0),ABS(16-$HF19)*100)),100000+ABS(2-$HE19)*1000+160)),IF($HG19=0,999999,IF(2=$HH19,IF(40=$HN19,IF($JE19=2,30,0),IF(40=$HO19,IF($JE19=1,30,0),ABS(16-$HI19)*100)),100000+ABS(2-$HH19)*1000+160)))-IF((40=$HJ19)+(40=$HK19)+(40=$HL19)+(40=$HM19)+(40=$HN19)+(40=$HO19)&gt;=2,50,0))+AQ$5*50)</f>
        <v/>
      </c>
      <c r="AR139">
        <f>IF(OR($JF19=0,calcA!$A$6=0),0,IF(OR(41=$HA19,41=$HD19,41=$HG19),200000,MIN(IF($HA19=0,999999,IF(2=$HB19,IF(41=$HJ19,IF($JC19=2,30,0),IF(41=$HK19,IF($JC19=1,30,0),ABS(17-$HC19)*100)),100000+ABS(2-$HB19)*1000+170)),IF($HD19=0,999999,IF(2=$HE19,IF(41=$HL19,IF($JD19=2,30,0),IF(41=$HM19,IF($JD19=1,30,0),ABS(17-$HF19)*100)),100000+ABS(2-$HE19)*1000+170)),IF($HG19=0,999999,IF(2=$HH19,IF(41=$HN19,IF($JE19=2,30,0),IF(41=$HO19,IF($JE19=1,30,0),ABS(17-$HI19)*100)),100000+ABS(2-$HH19)*1000+170)))-IF((41=$HJ19)+(41=$HK19)+(41=$HL19)+(41=$HM19)+(41=$HN19)+(41=$HO19)&gt;=2,50,0))+AR$5*50)</f>
        <v/>
      </c>
      <c r="AS139">
        <f>IF(OR($JF19=0,calcA!$A$6=0),0,IF(OR(42=$HA19,42=$HD19,42=$HG19),200000,MIN(IF($HA19=0,999999,IF(2=$HB19,IF(42=$HJ19,IF($JC19=2,30,0),IF(42=$HK19,IF($JC19=1,30,0),ABS(18-$HC19)*100)),100000+ABS(2-$HB19)*1000+180)),IF($HD19=0,999999,IF(2=$HE19,IF(42=$HL19,IF($JD19=2,30,0),IF(42=$HM19,IF($JD19=1,30,0),ABS(18-$HF19)*100)),100000+ABS(2-$HE19)*1000+180)),IF($HG19=0,999999,IF(2=$HH19,IF(42=$HN19,IF($JE19=2,30,0),IF(42=$HO19,IF($JE19=1,30,0),ABS(18-$HI19)*100)),100000+ABS(2-$HH19)*1000+180)))-IF((42=$HJ19)+(42=$HK19)+(42=$HL19)+(42=$HM19)+(42=$HN19)+(42=$HO19)&gt;=2,50,0))+AS$5*50)</f>
        <v/>
      </c>
      <c r="AT139">
        <f>IF(OR($JF19=0,calcA!$A$6=0),0,IF(OR(43=$HA19,43=$HD19,43=$HG19),200000,MIN(IF($HA19=0,999999,IF(2=$HB19,IF(43=$HJ19,IF($JC19=2,30,0),IF(43=$HK19,IF($JC19=1,30,0),ABS(19-$HC19)*100)),100000+ABS(2-$HB19)*1000+190)),IF($HD19=0,999999,IF(2=$HE19,IF(43=$HL19,IF($JD19=2,30,0),IF(43=$HM19,IF($JD19=1,30,0),ABS(19-$HF19)*100)),100000+ABS(2-$HE19)*1000+190)),IF($HG19=0,999999,IF(2=$HH19,IF(43=$HN19,IF($JE19=2,30,0),IF(43=$HO19,IF($JE19=1,30,0),ABS(19-$HI19)*100)),100000+ABS(2-$HH19)*1000+190)))-IF((43=$HJ19)+(43=$HK19)+(43=$HL19)+(43=$HM19)+(43=$HN19)+(43=$HO19)&gt;=2,50,0))+AT$5*50)</f>
        <v/>
      </c>
      <c r="AU139">
        <f>IF(OR($JF19=0,calcA!$A$6=0),0,IF(OR(44=$HA19,44=$HD19,44=$HG19),200000,MIN(IF($HA19=0,999999,IF(2=$HB19,IF(44=$HJ19,IF($JC19=2,30,0),IF(44=$HK19,IF($JC19=1,30,0),ABS(20-$HC19)*100)),100000+ABS(2-$HB19)*1000+200)),IF($HD19=0,999999,IF(2=$HE19,IF(44=$HL19,IF($JD19=2,30,0),IF(44=$HM19,IF($JD19=1,30,0),ABS(20-$HF19)*100)),100000+ABS(2-$HE19)*1000+200)),IF($HG19=0,999999,IF(2=$HH19,IF(44=$HN19,IF($JE19=2,30,0),IF(44=$HO19,IF($JE19=1,30,0),ABS(20-$HI19)*100)),100000+ABS(2-$HH19)*1000+200)))-IF((44=$HJ19)+(44=$HK19)+(44=$HL19)+(44=$HM19)+(44=$HN19)+(44=$HO19)&gt;=2,50,0))+AU$5*50)</f>
        <v/>
      </c>
      <c r="AV139">
        <f>IF(OR($JF19=0,calcA!$A$6=0),0,IF(OR(45=$HA19,45=$HD19,45=$HG19),200000,MIN(IF($HA19=0,999999,IF(2=$HB19,IF(45=$HJ19,IF($JC19=2,30,0),IF(45=$HK19,IF($JC19=1,30,0),ABS(21-$HC19)*100)),100000+ABS(2-$HB19)*1000+210)),IF($HD19=0,999999,IF(2=$HE19,IF(45=$HL19,IF($JD19=2,30,0),IF(45=$HM19,IF($JD19=1,30,0),ABS(21-$HF19)*100)),100000+ABS(2-$HE19)*1000+210)),IF($HG19=0,999999,IF(2=$HH19,IF(45=$HN19,IF($JE19=2,30,0),IF(45=$HO19,IF($JE19=1,30,0),ABS(21-$HI19)*100)),100000+ABS(2-$HH19)*1000+210)))-IF((45=$HJ19)+(45=$HK19)+(45=$HL19)+(45=$HM19)+(45=$HN19)+(45=$HO19)&gt;=2,50,0))+AV$5*50)</f>
        <v/>
      </c>
      <c r="AW139">
        <f>IF(OR($JF19=0,calcA!$A$6=0),0,IF(OR(46=$HA19,46=$HD19,46=$HG19),200000,MIN(IF($HA19=0,999999,IF(2=$HB19,IF(46=$HJ19,IF($JC19=2,30,0),IF(46=$HK19,IF($JC19=1,30,0),ABS(22-$HC19)*100)),100000+ABS(2-$HB19)*1000+220)),IF($HD19=0,999999,IF(2=$HE19,IF(46=$HL19,IF($JD19=2,30,0),IF(46=$HM19,IF($JD19=1,30,0),ABS(22-$HF19)*100)),100000+ABS(2-$HE19)*1000+220)),IF($HG19=0,999999,IF(2=$HH19,IF(46=$HN19,IF($JE19=2,30,0),IF(46=$HO19,IF($JE19=1,30,0),ABS(22-$HI19)*100)),100000+ABS(2-$HH19)*1000+220)))-IF((46=$HJ19)+(46=$HK19)+(46=$HL19)+(46=$HM19)+(46=$HN19)+(46=$HO19)&gt;=2,50,0))+AW$5*50)</f>
        <v/>
      </c>
      <c r="AX139">
        <f>IF(OR($JF19=0,calcA!$A$6=0),0,IF(OR(47=$HA19,47=$HD19,47=$HG19),200000,MIN(IF($HA19=0,999999,IF(2=$HB19,IF(47=$HJ19,IF($JC19=2,30,0),IF(47=$HK19,IF($JC19=1,30,0),ABS(23-$HC19)*100)),100000+ABS(2-$HB19)*1000+230)),IF($HD19=0,999999,IF(2=$HE19,IF(47=$HL19,IF($JD19=2,30,0),IF(47=$HM19,IF($JD19=1,30,0),ABS(23-$HF19)*100)),100000+ABS(2-$HE19)*1000+230)),IF($HG19=0,999999,IF(2=$HH19,IF(47=$HN19,IF($JE19=2,30,0),IF(47=$HO19,IF($JE19=1,30,0),ABS(23-$HI19)*100)),100000+ABS(2-$HH19)*1000+230)))-IF((47=$HJ19)+(47=$HK19)+(47=$HL19)+(47=$HM19)+(47=$HN19)+(47=$HO19)&gt;=2,50,0))+AX$5*50)</f>
        <v/>
      </c>
      <c r="AY139">
        <f>IF(OR($JF19=0,calcA!$A$6=0),0,IF(OR(48=$HA19,48=$HD19,48=$HG19),200000,MIN(IF($HA19=0,999999,IF(2=$HB19,IF(48=$HJ19,IF($JC19=2,30,0),IF(48=$HK19,IF($JC19=1,30,0),ABS(24-$HC19)*100)),100000+ABS(2-$HB19)*1000+240)),IF($HD19=0,999999,IF(2=$HE19,IF(48=$HL19,IF($JD19=2,30,0),IF(48=$HM19,IF($JD19=1,30,0),ABS(24-$HF19)*100)),100000+ABS(2-$HE19)*1000+240)),IF($HG19=0,999999,IF(2=$HH19,IF(48=$HN19,IF($JE19=2,30,0),IF(48=$HO19,IF($JE19=1,30,0),ABS(24-$HI19)*100)),100000+ABS(2-$HH19)*1000+240)))-IF((48=$HJ19)+(48=$HK19)+(48=$HL19)+(48=$HM19)+(48=$HN19)+(48=$HO19)&gt;=2,50,0))+AY$5*50)</f>
        <v/>
      </c>
      <c r="AZ139">
        <f>IF(OR($JF19=0,calcA!$A$6=0),0,IF(OR(49=$HA19,49=$HD19,49=$HG19),200000,MIN(IF($HA19=0,999999,IF(3=$HB19,IF(49=$HJ19,IF($JC19=2,30,0),IF(49=$HK19,IF($JC19=1,30,0),ABS(1-$HC19)*100)),100000+ABS(3-$HB19)*1000+10)),IF($HD19=0,999999,IF(3=$HE19,IF(49=$HL19,IF($JD19=2,30,0),IF(49=$HM19,IF($JD19=1,30,0),ABS(1-$HF19)*100)),100000+ABS(3-$HE19)*1000+10)),IF($HG19=0,999999,IF(3=$HH19,IF(49=$HN19,IF($JE19=2,30,0),IF(49=$HO19,IF($JE19=1,30,0),ABS(1-$HI19)*100)),100000+ABS(3-$HH19)*1000+10)))-IF((49=$HJ19)+(49=$HK19)+(49=$HL19)+(49=$HM19)+(49=$HN19)+(49=$HO19)&gt;=2,50,0))+AZ$5*50)</f>
        <v/>
      </c>
      <c r="BA139">
        <f>IF(OR($JF19=0,calcA!$A$6=0),0,IF(OR(50=$HA19,50=$HD19,50=$HG19),200000,MIN(IF($HA19=0,999999,IF(3=$HB19,IF(50=$HJ19,IF($JC19=2,30,0),IF(50=$HK19,IF($JC19=1,30,0),ABS(2-$HC19)*100)),100000+ABS(3-$HB19)*1000+20)),IF($HD19=0,999999,IF(3=$HE19,IF(50=$HL19,IF($JD19=2,30,0),IF(50=$HM19,IF($JD19=1,30,0),ABS(2-$HF19)*100)),100000+ABS(3-$HE19)*1000+20)),IF($HG19=0,999999,IF(3=$HH19,IF(50=$HN19,IF($JE19=2,30,0),IF(50=$HO19,IF($JE19=1,30,0),ABS(2-$HI19)*100)),100000+ABS(3-$HH19)*1000+20)))-IF((50=$HJ19)+(50=$HK19)+(50=$HL19)+(50=$HM19)+(50=$HN19)+(50=$HO19)&gt;=2,50,0))+BA$5*50)</f>
        <v/>
      </c>
      <c r="BB139">
        <f>IF(OR($JF19=0,calcA!$A$6=0),0,IF(OR(51=$HA19,51=$HD19,51=$HG19),200000,MIN(IF($HA19=0,999999,IF(3=$HB19,IF(51=$HJ19,IF($JC19=2,30,0),IF(51=$HK19,IF($JC19=1,30,0),ABS(3-$HC19)*100)),100000+ABS(3-$HB19)*1000+30)),IF($HD19=0,999999,IF(3=$HE19,IF(51=$HL19,IF($JD19=2,30,0),IF(51=$HM19,IF($JD19=1,30,0),ABS(3-$HF19)*100)),100000+ABS(3-$HE19)*1000+30)),IF($HG19=0,999999,IF(3=$HH19,IF(51=$HN19,IF($JE19=2,30,0),IF(51=$HO19,IF($JE19=1,30,0),ABS(3-$HI19)*100)),100000+ABS(3-$HH19)*1000+30)))-IF((51=$HJ19)+(51=$HK19)+(51=$HL19)+(51=$HM19)+(51=$HN19)+(51=$HO19)&gt;=2,50,0))+BB$5*50)</f>
        <v/>
      </c>
      <c r="BC139">
        <f>IF(OR($JF19=0,calcA!$A$6=0),0,IF(OR(52=$HA19,52=$HD19,52=$HG19),200000,MIN(IF($HA19=0,999999,IF(3=$HB19,IF(52=$HJ19,IF($JC19=2,30,0),IF(52=$HK19,IF($JC19=1,30,0),ABS(4-$HC19)*100)),100000+ABS(3-$HB19)*1000+40)),IF($HD19=0,999999,IF(3=$HE19,IF(52=$HL19,IF($JD19=2,30,0),IF(52=$HM19,IF($JD19=1,30,0),ABS(4-$HF19)*100)),100000+ABS(3-$HE19)*1000+40)),IF($HG19=0,999999,IF(3=$HH19,IF(52=$HN19,IF($JE19=2,30,0),IF(52=$HO19,IF($JE19=1,30,0),ABS(4-$HI19)*100)),100000+ABS(3-$HH19)*1000+40)))-IF((52=$HJ19)+(52=$HK19)+(52=$HL19)+(52=$HM19)+(52=$HN19)+(52=$HO19)&gt;=2,50,0))+BC$5*50)</f>
        <v/>
      </c>
      <c r="BD139">
        <f>IF(OR($JF19=0,calcA!$A$6=0),0,IF(OR(53=$HA19,53=$HD19,53=$HG19),200000,MIN(IF($HA19=0,999999,IF(3=$HB19,IF(53=$HJ19,IF($JC19=2,30,0),IF(53=$HK19,IF($JC19=1,30,0),ABS(5-$HC19)*100)),100000+ABS(3-$HB19)*1000+50)),IF($HD19=0,999999,IF(3=$HE19,IF(53=$HL19,IF($JD19=2,30,0),IF(53=$HM19,IF($JD19=1,30,0),ABS(5-$HF19)*100)),100000+ABS(3-$HE19)*1000+50)),IF($HG19=0,999999,IF(3=$HH19,IF(53=$HN19,IF($JE19=2,30,0),IF(53=$HO19,IF($JE19=1,30,0),ABS(5-$HI19)*100)),100000+ABS(3-$HH19)*1000+50)))-IF((53=$HJ19)+(53=$HK19)+(53=$HL19)+(53=$HM19)+(53=$HN19)+(53=$HO19)&gt;=2,50,0))+BD$5*50)</f>
        <v/>
      </c>
      <c r="BE139">
        <f>IF(OR($JF19=0,calcA!$A$6=0),0,IF(OR(54=$HA19,54=$HD19,54=$HG19),200000,MIN(IF($HA19=0,999999,IF(3=$HB19,IF(54=$HJ19,IF($JC19=2,30,0),IF(54=$HK19,IF($JC19=1,30,0),ABS(6-$HC19)*100)),100000+ABS(3-$HB19)*1000+60)),IF($HD19=0,999999,IF(3=$HE19,IF(54=$HL19,IF($JD19=2,30,0),IF(54=$HM19,IF($JD19=1,30,0),ABS(6-$HF19)*100)),100000+ABS(3-$HE19)*1000+60)),IF($HG19=0,999999,IF(3=$HH19,IF(54=$HN19,IF($JE19=2,30,0),IF(54=$HO19,IF($JE19=1,30,0),ABS(6-$HI19)*100)),100000+ABS(3-$HH19)*1000+60)))-IF((54=$HJ19)+(54=$HK19)+(54=$HL19)+(54=$HM19)+(54=$HN19)+(54=$HO19)&gt;=2,50,0))+BE$5*50)</f>
        <v/>
      </c>
      <c r="BF139">
        <f>IF(OR($JF19=0,calcA!$A$6=0),0,IF(OR(55=$HA19,55=$HD19,55=$HG19),200000,MIN(IF($HA19=0,999999,IF(3=$HB19,IF(55=$HJ19,IF($JC19=2,30,0),IF(55=$HK19,IF($JC19=1,30,0),ABS(7-$HC19)*100)),100000+ABS(3-$HB19)*1000+70)),IF($HD19=0,999999,IF(3=$HE19,IF(55=$HL19,IF($JD19=2,30,0),IF(55=$HM19,IF($JD19=1,30,0),ABS(7-$HF19)*100)),100000+ABS(3-$HE19)*1000+70)),IF($HG19=0,999999,IF(3=$HH19,IF(55=$HN19,IF($JE19=2,30,0),IF(55=$HO19,IF($JE19=1,30,0),ABS(7-$HI19)*100)),100000+ABS(3-$HH19)*1000+70)))-IF((55=$HJ19)+(55=$HK19)+(55=$HL19)+(55=$HM19)+(55=$HN19)+(55=$HO19)&gt;=2,50,0))+BF$5*50)</f>
        <v/>
      </c>
      <c r="BG139">
        <f>IF(OR($JF19=0,calcA!$A$6=0),0,IF(OR(56=$HA19,56=$HD19,56=$HG19),200000,MIN(IF($HA19=0,999999,IF(3=$HB19,IF(56=$HJ19,IF($JC19=2,30,0),IF(56=$HK19,IF($JC19=1,30,0),ABS(8-$HC19)*100)),100000+ABS(3-$HB19)*1000+80)),IF($HD19=0,999999,IF(3=$HE19,IF(56=$HL19,IF($JD19=2,30,0),IF(56=$HM19,IF($JD19=1,30,0),ABS(8-$HF19)*100)),100000+ABS(3-$HE19)*1000+80)),IF($HG19=0,999999,IF(3=$HH19,IF(56=$HN19,IF($JE19=2,30,0),IF(56=$HO19,IF($JE19=1,30,0),ABS(8-$HI19)*100)),100000+ABS(3-$HH19)*1000+80)))-IF((56=$HJ19)+(56=$HK19)+(56=$HL19)+(56=$HM19)+(56=$HN19)+(56=$HO19)&gt;=2,50,0))+BG$5*50)</f>
        <v/>
      </c>
      <c r="BH139">
        <f>IF(OR($JF19=0,calcA!$A$6=0),0,IF(OR(57=$HA19,57=$HD19,57=$HG19),200000,MIN(IF($HA19=0,999999,IF(3=$HB19,IF(57=$HJ19,IF($JC19=2,30,0),IF(57=$HK19,IF($JC19=1,30,0),ABS(9-$HC19)*100)),100000+ABS(3-$HB19)*1000+90)),IF($HD19=0,999999,IF(3=$HE19,IF(57=$HL19,IF($JD19=2,30,0),IF(57=$HM19,IF($JD19=1,30,0),ABS(9-$HF19)*100)),100000+ABS(3-$HE19)*1000+90)),IF($HG19=0,999999,IF(3=$HH19,IF(57=$HN19,IF($JE19=2,30,0),IF(57=$HO19,IF($JE19=1,30,0),ABS(9-$HI19)*100)),100000+ABS(3-$HH19)*1000+90)))-IF((57=$HJ19)+(57=$HK19)+(57=$HL19)+(57=$HM19)+(57=$HN19)+(57=$HO19)&gt;=2,50,0))+BH$5*50)</f>
        <v/>
      </c>
      <c r="BI139">
        <f>IF(OR($JF19=0,calcA!$A$6=0),0,IF(OR(58=$HA19,58=$HD19,58=$HG19),200000,MIN(IF($HA19=0,999999,IF(3=$HB19,IF(58=$HJ19,IF($JC19=2,30,0),IF(58=$HK19,IF($JC19=1,30,0),ABS(10-$HC19)*100)),100000+ABS(3-$HB19)*1000+100)),IF($HD19=0,999999,IF(3=$HE19,IF(58=$HL19,IF($JD19=2,30,0),IF(58=$HM19,IF($JD19=1,30,0),ABS(10-$HF19)*100)),100000+ABS(3-$HE19)*1000+100)),IF($HG19=0,999999,IF(3=$HH19,IF(58=$HN19,IF($JE19=2,30,0),IF(58=$HO19,IF($JE19=1,30,0),ABS(10-$HI19)*100)),100000+ABS(3-$HH19)*1000+100)))-IF((58=$HJ19)+(58=$HK19)+(58=$HL19)+(58=$HM19)+(58=$HN19)+(58=$HO19)&gt;=2,50,0))+BI$5*50)</f>
        <v/>
      </c>
      <c r="BJ139">
        <f>IF(OR($JF19=0,calcA!$A$6=0),0,IF(OR(59=$HA19,59=$HD19,59=$HG19),200000,MIN(IF($HA19=0,999999,IF(3=$HB19,IF(59=$HJ19,IF($JC19=2,30,0),IF(59=$HK19,IF($JC19=1,30,0),ABS(11-$HC19)*100)),100000+ABS(3-$HB19)*1000+110)),IF($HD19=0,999999,IF(3=$HE19,IF(59=$HL19,IF($JD19=2,30,0),IF(59=$HM19,IF($JD19=1,30,0),ABS(11-$HF19)*100)),100000+ABS(3-$HE19)*1000+110)),IF($HG19=0,999999,IF(3=$HH19,IF(59=$HN19,IF($JE19=2,30,0),IF(59=$HO19,IF($JE19=1,30,0),ABS(11-$HI19)*100)),100000+ABS(3-$HH19)*1000+110)))-IF((59=$HJ19)+(59=$HK19)+(59=$HL19)+(59=$HM19)+(59=$HN19)+(59=$HO19)&gt;=2,50,0))+BJ$5*50)</f>
        <v/>
      </c>
      <c r="BK139">
        <f>IF(OR($JF19=0,calcA!$A$6=0),0,IF(OR(60=$HA19,60=$HD19,60=$HG19),200000,MIN(IF($HA19=0,999999,IF(3=$HB19,IF(60=$HJ19,IF($JC19=2,30,0),IF(60=$HK19,IF($JC19=1,30,0),ABS(12-$HC19)*100)),100000+ABS(3-$HB19)*1000+120)),IF($HD19=0,999999,IF(3=$HE19,IF(60=$HL19,IF($JD19=2,30,0),IF(60=$HM19,IF($JD19=1,30,0),ABS(12-$HF19)*100)),100000+ABS(3-$HE19)*1000+120)),IF($HG19=0,999999,IF(3=$HH19,IF(60=$HN19,IF($JE19=2,30,0),IF(60=$HO19,IF($JE19=1,30,0),ABS(12-$HI19)*100)),100000+ABS(3-$HH19)*1000+120)))-IF((60=$HJ19)+(60=$HK19)+(60=$HL19)+(60=$HM19)+(60=$HN19)+(60=$HO19)&gt;=2,50,0))+BK$5*50)</f>
        <v/>
      </c>
      <c r="BL139">
        <f>IF(OR($JF19=0,calcA!$A$6=0),0,IF(OR(61=$HA19,61=$HD19,61=$HG19),200000,MIN(IF($HA19=0,999999,IF(3=$HB19,IF(61=$HJ19,IF($JC19=2,30,0),IF(61=$HK19,IF($JC19=1,30,0),ABS(13-$HC19)*100)),100000+ABS(3-$HB19)*1000+130)),IF($HD19=0,999999,IF(3=$HE19,IF(61=$HL19,IF($JD19=2,30,0),IF(61=$HM19,IF($JD19=1,30,0),ABS(13-$HF19)*100)),100000+ABS(3-$HE19)*1000+130)),IF($HG19=0,999999,IF(3=$HH19,IF(61=$HN19,IF($JE19=2,30,0),IF(61=$HO19,IF($JE19=1,30,0),ABS(13-$HI19)*100)),100000+ABS(3-$HH19)*1000+130)))-IF((61=$HJ19)+(61=$HK19)+(61=$HL19)+(61=$HM19)+(61=$HN19)+(61=$HO19)&gt;=2,50,0))+BL$5*50)</f>
        <v/>
      </c>
      <c r="BM139">
        <f>IF(OR($JF19=0,calcA!$A$6=0),0,IF(OR(62=$HA19,62=$HD19,62=$HG19),200000,MIN(IF($HA19=0,999999,IF(3=$HB19,IF(62=$HJ19,IF($JC19=2,30,0),IF(62=$HK19,IF($JC19=1,30,0),ABS(14-$HC19)*100)),100000+ABS(3-$HB19)*1000+140)),IF($HD19=0,999999,IF(3=$HE19,IF(62=$HL19,IF($JD19=2,30,0),IF(62=$HM19,IF($JD19=1,30,0),ABS(14-$HF19)*100)),100000+ABS(3-$HE19)*1000+140)),IF($HG19=0,999999,IF(3=$HH19,IF(62=$HN19,IF($JE19=2,30,0),IF(62=$HO19,IF($JE19=1,30,0),ABS(14-$HI19)*100)),100000+ABS(3-$HH19)*1000+140)))-IF((62=$HJ19)+(62=$HK19)+(62=$HL19)+(62=$HM19)+(62=$HN19)+(62=$HO19)&gt;=2,50,0))+BM$5*50)</f>
        <v/>
      </c>
      <c r="BN139">
        <f>IF(OR($JF19=0,calcA!$A$6=0),0,IF(OR(63=$HA19,63=$HD19,63=$HG19),200000,MIN(IF($HA19=0,999999,IF(3=$HB19,IF(63=$HJ19,IF($JC19=2,30,0),IF(63=$HK19,IF($JC19=1,30,0),ABS(15-$HC19)*100)),100000+ABS(3-$HB19)*1000+150)),IF($HD19=0,999999,IF(3=$HE19,IF(63=$HL19,IF($JD19=2,30,0),IF(63=$HM19,IF($JD19=1,30,0),ABS(15-$HF19)*100)),100000+ABS(3-$HE19)*1000+150)),IF($HG19=0,999999,IF(3=$HH19,IF(63=$HN19,IF($JE19=2,30,0),IF(63=$HO19,IF($JE19=1,30,0),ABS(15-$HI19)*100)),100000+ABS(3-$HH19)*1000+150)))-IF((63=$HJ19)+(63=$HK19)+(63=$HL19)+(63=$HM19)+(63=$HN19)+(63=$HO19)&gt;=2,50,0))+BN$5*50)</f>
        <v/>
      </c>
      <c r="BO139">
        <f>IF(OR($JF19=0,calcA!$A$6=0),0,IF(OR(64=$HA19,64=$HD19,64=$HG19),200000,MIN(IF($HA19=0,999999,IF(3=$HB19,IF(64=$HJ19,IF($JC19=2,30,0),IF(64=$HK19,IF($JC19=1,30,0),ABS(16-$HC19)*100)),100000+ABS(3-$HB19)*1000+160)),IF($HD19=0,999999,IF(3=$HE19,IF(64=$HL19,IF($JD19=2,30,0),IF(64=$HM19,IF($JD19=1,30,0),ABS(16-$HF19)*100)),100000+ABS(3-$HE19)*1000+160)),IF($HG19=0,999999,IF(3=$HH19,IF(64=$HN19,IF($JE19=2,30,0),IF(64=$HO19,IF($JE19=1,30,0),ABS(16-$HI19)*100)),100000+ABS(3-$HH19)*1000+160)))-IF((64=$HJ19)+(64=$HK19)+(64=$HL19)+(64=$HM19)+(64=$HN19)+(64=$HO19)&gt;=2,50,0))+BO$5*50)</f>
        <v/>
      </c>
      <c r="BP139">
        <f>IF(OR($JF19=0,calcA!$A$6=0),0,IF(OR(65=$HA19,65=$HD19,65=$HG19),200000,MIN(IF($HA19=0,999999,IF(3=$HB19,IF(65=$HJ19,IF($JC19=2,30,0),IF(65=$HK19,IF($JC19=1,30,0),ABS(17-$HC19)*100)),100000+ABS(3-$HB19)*1000+170)),IF($HD19=0,999999,IF(3=$HE19,IF(65=$HL19,IF($JD19=2,30,0),IF(65=$HM19,IF($JD19=1,30,0),ABS(17-$HF19)*100)),100000+ABS(3-$HE19)*1000+170)),IF($HG19=0,999999,IF(3=$HH19,IF(65=$HN19,IF($JE19=2,30,0),IF(65=$HO19,IF($JE19=1,30,0),ABS(17-$HI19)*100)),100000+ABS(3-$HH19)*1000+170)))-IF((65=$HJ19)+(65=$HK19)+(65=$HL19)+(65=$HM19)+(65=$HN19)+(65=$HO19)&gt;=2,50,0))+BP$5*50)</f>
        <v/>
      </c>
      <c r="BQ139">
        <f>IF(OR($JF19=0,calcA!$A$6=0),0,IF(OR(66=$HA19,66=$HD19,66=$HG19),200000,MIN(IF($HA19=0,999999,IF(3=$HB19,IF(66=$HJ19,IF($JC19=2,30,0),IF(66=$HK19,IF($JC19=1,30,0),ABS(18-$HC19)*100)),100000+ABS(3-$HB19)*1000+180)),IF($HD19=0,999999,IF(3=$HE19,IF(66=$HL19,IF($JD19=2,30,0),IF(66=$HM19,IF($JD19=1,30,0),ABS(18-$HF19)*100)),100000+ABS(3-$HE19)*1000+180)),IF($HG19=0,999999,IF(3=$HH19,IF(66=$HN19,IF($JE19=2,30,0),IF(66=$HO19,IF($JE19=1,30,0),ABS(18-$HI19)*100)),100000+ABS(3-$HH19)*1000+180)))-IF((66=$HJ19)+(66=$HK19)+(66=$HL19)+(66=$HM19)+(66=$HN19)+(66=$HO19)&gt;=2,50,0))+BQ$5*50)</f>
        <v/>
      </c>
      <c r="BR139">
        <f>IF(OR($JF19=0,calcA!$A$6=0),0,IF(OR(67=$HA19,67=$HD19,67=$HG19),200000,MIN(IF($HA19=0,999999,IF(3=$HB19,IF(67=$HJ19,IF($JC19=2,30,0),IF(67=$HK19,IF($JC19=1,30,0),ABS(19-$HC19)*100)),100000+ABS(3-$HB19)*1000+190)),IF($HD19=0,999999,IF(3=$HE19,IF(67=$HL19,IF($JD19=2,30,0),IF(67=$HM19,IF($JD19=1,30,0),ABS(19-$HF19)*100)),100000+ABS(3-$HE19)*1000+190)),IF($HG19=0,999999,IF(3=$HH19,IF(67=$HN19,IF($JE19=2,30,0),IF(67=$HO19,IF($JE19=1,30,0),ABS(19-$HI19)*100)),100000+ABS(3-$HH19)*1000+190)))-IF((67=$HJ19)+(67=$HK19)+(67=$HL19)+(67=$HM19)+(67=$HN19)+(67=$HO19)&gt;=2,50,0))+BR$5*50)</f>
        <v/>
      </c>
      <c r="BS139">
        <f>IF(OR($JF19=0,calcA!$A$6=0),0,IF(OR(68=$HA19,68=$HD19,68=$HG19),200000,MIN(IF($HA19=0,999999,IF(3=$HB19,IF(68=$HJ19,IF($JC19=2,30,0),IF(68=$HK19,IF($JC19=1,30,0),ABS(20-$HC19)*100)),100000+ABS(3-$HB19)*1000+200)),IF($HD19=0,999999,IF(3=$HE19,IF(68=$HL19,IF($JD19=2,30,0),IF(68=$HM19,IF($JD19=1,30,0),ABS(20-$HF19)*100)),100000+ABS(3-$HE19)*1000+200)),IF($HG19=0,999999,IF(3=$HH19,IF(68=$HN19,IF($JE19=2,30,0),IF(68=$HO19,IF($JE19=1,30,0),ABS(20-$HI19)*100)),100000+ABS(3-$HH19)*1000+200)))-IF((68=$HJ19)+(68=$HK19)+(68=$HL19)+(68=$HM19)+(68=$HN19)+(68=$HO19)&gt;=2,50,0))+BS$5*50)</f>
        <v/>
      </c>
      <c r="BT139">
        <f>IF(OR($JF19=0,calcA!$A$6=0),0,IF(OR(69=$HA19,69=$HD19,69=$HG19),200000,MIN(IF($HA19=0,999999,IF(3=$HB19,IF(69=$HJ19,IF($JC19=2,30,0),IF(69=$HK19,IF($JC19=1,30,0),ABS(21-$HC19)*100)),100000+ABS(3-$HB19)*1000+210)),IF($HD19=0,999999,IF(3=$HE19,IF(69=$HL19,IF($JD19=2,30,0),IF(69=$HM19,IF($JD19=1,30,0),ABS(21-$HF19)*100)),100000+ABS(3-$HE19)*1000+210)),IF($HG19=0,999999,IF(3=$HH19,IF(69=$HN19,IF($JE19=2,30,0),IF(69=$HO19,IF($JE19=1,30,0),ABS(21-$HI19)*100)),100000+ABS(3-$HH19)*1000+210)))-IF((69=$HJ19)+(69=$HK19)+(69=$HL19)+(69=$HM19)+(69=$HN19)+(69=$HO19)&gt;=2,50,0))+BT$5*50)</f>
        <v/>
      </c>
      <c r="BU139">
        <f>IF(OR($JF19=0,calcA!$A$6=0),0,IF(OR(70=$HA19,70=$HD19,70=$HG19),200000,MIN(IF($HA19=0,999999,IF(3=$HB19,IF(70=$HJ19,IF($JC19=2,30,0),IF(70=$HK19,IF($JC19=1,30,0),ABS(22-$HC19)*100)),100000+ABS(3-$HB19)*1000+220)),IF($HD19=0,999999,IF(3=$HE19,IF(70=$HL19,IF($JD19=2,30,0),IF(70=$HM19,IF($JD19=1,30,0),ABS(22-$HF19)*100)),100000+ABS(3-$HE19)*1000+220)),IF($HG19=0,999999,IF(3=$HH19,IF(70=$HN19,IF($JE19=2,30,0),IF(70=$HO19,IF($JE19=1,30,0),ABS(22-$HI19)*100)),100000+ABS(3-$HH19)*1000+220)))-IF((70=$HJ19)+(70=$HK19)+(70=$HL19)+(70=$HM19)+(70=$HN19)+(70=$HO19)&gt;=2,50,0))+BU$5*50)</f>
        <v/>
      </c>
      <c r="BV139">
        <f>IF(OR($JF19=0,calcA!$A$6=0),0,IF(OR(71=$HA19,71=$HD19,71=$HG19),200000,MIN(IF($HA19=0,999999,IF(3=$HB19,IF(71=$HJ19,IF($JC19=2,30,0),IF(71=$HK19,IF($JC19=1,30,0),ABS(23-$HC19)*100)),100000+ABS(3-$HB19)*1000+230)),IF($HD19=0,999999,IF(3=$HE19,IF(71=$HL19,IF($JD19=2,30,0),IF(71=$HM19,IF($JD19=1,30,0),ABS(23-$HF19)*100)),100000+ABS(3-$HE19)*1000+230)),IF($HG19=0,999999,IF(3=$HH19,IF(71=$HN19,IF($JE19=2,30,0),IF(71=$HO19,IF($JE19=1,30,0),ABS(23-$HI19)*100)),100000+ABS(3-$HH19)*1000+230)))-IF((71=$HJ19)+(71=$HK19)+(71=$HL19)+(71=$HM19)+(71=$HN19)+(71=$HO19)&gt;=2,50,0))+BV$5*50)</f>
        <v/>
      </c>
      <c r="BW139">
        <f>IF(OR($JF19=0,calcA!$A$6=0),0,IF(OR(72=$HA19,72=$HD19,72=$HG19),200000,MIN(IF($HA19=0,999999,IF(3=$HB19,IF(72=$HJ19,IF($JC19=2,30,0),IF(72=$HK19,IF($JC19=1,30,0),ABS(24-$HC19)*100)),100000+ABS(3-$HB19)*1000+240)),IF($HD19=0,999999,IF(3=$HE19,IF(72=$HL19,IF($JD19=2,30,0),IF(72=$HM19,IF($JD19=1,30,0),ABS(24-$HF19)*100)),100000+ABS(3-$HE19)*1000+240)),IF($HG19=0,999999,IF(3=$HH19,IF(72=$HN19,IF($JE19=2,30,0),IF(72=$HO19,IF($JE19=1,30,0),ABS(24-$HI19)*100)),100000+ABS(3-$HH19)*1000+240)))-IF((72=$HJ19)+(72=$HK19)+(72=$HL19)+(72=$HM19)+(72=$HN19)+(72=$HO19)&gt;=2,50,0))+BW$5*50)</f>
        <v/>
      </c>
      <c r="BX139">
        <f>IF(OR($JF19=0,calcA!$A$6=0),0,IF(OR(73=$HA19,73=$HD19,73=$HG19),200000,MIN(IF($HA19=0,999999,IF(4=$HB19,IF(73=$HJ19,IF($JC19=2,30,0),IF(73=$HK19,IF($JC19=1,30,0),ABS(1-$HC19)*100)),100000+ABS(4-$HB19)*1000+10)),IF($HD19=0,999999,IF(4=$HE19,IF(73=$HL19,IF($JD19=2,30,0),IF(73=$HM19,IF($JD19=1,30,0),ABS(1-$HF19)*100)),100000+ABS(4-$HE19)*1000+10)),IF($HG19=0,999999,IF(4=$HH19,IF(73=$HN19,IF($JE19=2,30,0),IF(73=$HO19,IF($JE19=1,30,0),ABS(1-$HI19)*100)),100000+ABS(4-$HH19)*1000+10)))-IF((73=$HJ19)+(73=$HK19)+(73=$HL19)+(73=$HM19)+(73=$HN19)+(73=$HO19)&gt;=2,50,0))+BX$5*50)</f>
        <v/>
      </c>
      <c r="BY139">
        <f>IF(OR($JF19=0,calcA!$A$6=0),0,IF(OR(74=$HA19,74=$HD19,74=$HG19),200000,MIN(IF($HA19=0,999999,IF(4=$HB19,IF(74=$HJ19,IF($JC19=2,30,0),IF(74=$HK19,IF($JC19=1,30,0),ABS(2-$HC19)*100)),100000+ABS(4-$HB19)*1000+20)),IF($HD19=0,999999,IF(4=$HE19,IF(74=$HL19,IF($JD19=2,30,0),IF(74=$HM19,IF($JD19=1,30,0),ABS(2-$HF19)*100)),100000+ABS(4-$HE19)*1000+20)),IF($HG19=0,999999,IF(4=$HH19,IF(74=$HN19,IF($JE19=2,30,0),IF(74=$HO19,IF($JE19=1,30,0),ABS(2-$HI19)*100)),100000+ABS(4-$HH19)*1000+20)))-IF((74=$HJ19)+(74=$HK19)+(74=$HL19)+(74=$HM19)+(74=$HN19)+(74=$HO19)&gt;=2,50,0))+BY$5*50)</f>
        <v/>
      </c>
      <c r="BZ139">
        <f>IF(OR($JF19=0,calcA!$A$6=0),0,IF(OR(75=$HA19,75=$HD19,75=$HG19),200000,MIN(IF($HA19=0,999999,IF(4=$HB19,IF(75=$HJ19,IF($JC19=2,30,0),IF(75=$HK19,IF($JC19=1,30,0),ABS(3-$HC19)*100)),100000+ABS(4-$HB19)*1000+30)),IF($HD19=0,999999,IF(4=$HE19,IF(75=$HL19,IF($JD19=2,30,0),IF(75=$HM19,IF($JD19=1,30,0),ABS(3-$HF19)*100)),100000+ABS(4-$HE19)*1000+30)),IF($HG19=0,999999,IF(4=$HH19,IF(75=$HN19,IF($JE19=2,30,0),IF(75=$HO19,IF($JE19=1,30,0),ABS(3-$HI19)*100)),100000+ABS(4-$HH19)*1000+30)))-IF((75=$HJ19)+(75=$HK19)+(75=$HL19)+(75=$HM19)+(75=$HN19)+(75=$HO19)&gt;=2,50,0))+BZ$5*50)</f>
        <v/>
      </c>
      <c r="CA139">
        <f>IF(OR($JF19=0,calcA!$A$6=0),0,IF(OR(76=$HA19,76=$HD19,76=$HG19),200000,MIN(IF($HA19=0,999999,IF(4=$HB19,IF(76=$HJ19,IF($JC19=2,30,0),IF(76=$HK19,IF($JC19=1,30,0),ABS(4-$HC19)*100)),100000+ABS(4-$HB19)*1000+40)),IF($HD19=0,999999,IF(4=$HE19,IF(76=$HL19,IF($JD19=2,30,0),IF(76=$HM19,IF($JD19=1,30,0),ABS(4-$HF19)*100)),100000+ABS(4-$HE19)*1000+40)),IF($HG19=0,999999,IF(4=$HH19,IF(76=$HN19,IF($JE19=2,30,0),IF(76=$HO19,IF($JE19=1,30,0),ABS(4-$HI19)*100)),100000+ABS(4-$HH19)*1000+40)))-IF((76=$HJ19)+(76=$HK19)+(76=$HL19)+(76=$HM19)+(76=$HN19)+(76=$HO19)&gt;=2,50,0))+CA$5*50)</f>
        <v/>
      </c>
      <c r="CB139">
        <f>IF(OR($JF19=0,calcA!$A$6=0),0,IF(OR(77=$HA19,77=$HD19,77=$HG19),200000,MIN(IF($HA19=0,999999,IF(4=$HB19,IF(77=$HJ19,IF($JC19=2,30,0),IF(77=$HK19,IF($JC19=1,30,0),ABS(5-$HC19)*100)),100000+ABS(4-$HB19)*1000+50)),IF($HD19=0,999999,IF(4=$HE19,IF(77=$HL19,IF($JD19=2,30,0),IF(77=$HM19,IF($JD19=1,30,0),ABS(5-$HF19)*100)),100000+ABS(4-$HE19)*1000+50)),IF($HG19=0,999999,IF(4=$HH19,IF(77=$HN19,IF($JE19=2,30,0),IF(77=$HO19,IF($JE19=1,30,0),ABS(5-$HI19)*100)),100000+ABS(4-$HH19)*1000+50)))-IF((77=$HJ19)+(77=$HK19)+(77=$HL19)+(77=$HM19)+(77=$HN19)+(77=$HO19)&gt;=2,50,0))+CB$5*50)</f>
        <v/>
      </c>
      <c r="CC139">
        <f>IF(OR($JF19=0,calcA!$A$6=0),0,IF(OR(78=$HA19,78=$HD19,78=$HG19),200000,MIN(IF($HA19=0,999999,IF(4=$HB19,IF(78=$HJ19,IF($JC19=2,30,0),IF(78=$HK19,IF($JC19=1,30,0),ABS(6-$HC19)*100)),100000+ABS(4-$HB19)*1000+60)),IF($HD19=0,999999,IF(4=$HE19,IF(78=$HL19,IF($JD19=2,30,0),IF(78=$HM19,IF($JD19=1,30,0),ABS(6-$HF19)*100)),100000+ABS(4-$HE19)*1000+60)),IF($HG19=0,999999,IF(4=$HH19,IF(78=$HN19,IF($JE19=2,30,0),IF(78=$HO19,IF($JE19=1,30,0),ABS(6-$HI19)*100)),100000+ABS(4-$HH19)*1000+60)))-IF((78=$HJ19)+(78=$HK19)+(78=$HL19)+(78=$HM19)+(78=$HN19)+(78=$HO19)&gt;=2,50,0))+CC$5*50)</f>
        <v/>
      </c>
      <c r="CD139">
        <f>IF(OR($JF19=0,calcA!$A$6=0),0,IF(OR(79=$HA19,79=$HD19,79=$HG19),200000,MIN(IF($HA19=0,999999,IF(4=$HB19,IF(79=$HJ19,IF($JC19=2,30,0),IF(79=$HK19,IF($JC19=1,30,0),ABS(7-$HC19)*100)),100000+ABS(4-$HB19)*1000+70)),IF($HD19=0,999999,IF(4=$HE19,IF(79=$HL19,IF($JD19=2,30,0),IF(79=$HM19,IF($JD19=1,30,0),ABS(7-$HF19)*100)),100000+ABS(4-$HE19)*1000+70)),IF($HG19=0,999999,IF(4=$HH19,IF(79=$HN19,IF($JE19=2,30,0),IF(79=$HO19,IF($JE19=1,30,0),ABS(7-$HI19)*100)),100000+ABS(4-$HH19)*1000+70)))-IF((79=$HJ19)+(79=$HK19)+(79=$HL19)+(79=$HM19)+(79=$HN19)+(79=$HO19)&gt;=2,50,0))+CD$5*50)</f>
        <v/>
      </c>
      <c r="CE139">
        <f>IF(OR($JF19=0,calcA!$A$6=0),0,IF(OR(80=$HA19,80=$HD19,80=$HG19),200000,MIN(IF($HA19=0,999999,IF(4=$HB19,IF(80=$HJ19,IF($JC19=2,30,0),IF(80=$HK19,IF($JC19=1,30,0),ABS(8-$HC19)*100)),100000+ABS(4-$HB19)*1000+80)),IF($HD19=0,999999,IF(4=$HE19,IF(80=$HL19,IF($JD19=2,30,0),IF(80=$HM19,IF($JD19=1,30,0),ABS(8-$HF19)*100)),100000+ABS(4-$HE19)*1000+80)),IF($HG19=0,999999,IF(4=$HH19,IF(80=$HN19,IF($JE19=2,30,0),IF(80=$HO19,IF($JE19=1,30,0),ABS(8-$HI19)*100)),100000+ABS(4-$HH19)*1000+80)))-IF((80=$HJ19)+(80=$HK19)+(80=$HL19)+(80=$HM19)+(80=$HN19)+(80=$HO19)&gt;=2,50,0))+CE$5*50)</f>
        <v/>
      </c>
      <c r="CF139">
        <f>IF(OR($JF19=0,calcA!$A$6=0),0,IF(OR(81=$HA19,81=$HD19,81=$HG19),200000,MIN(IF($HA19=0,999999,IF(4=$HB19,IF(81=$HJ19,IF($JC19=2,30,0),IF(81=$HK19,IF($JC19=1,30,0),ABS(9-$HC19)*100)),100000+ABS(4-$HB19)*1000+90)),IF($HD19=0,999999,IF(4=$HE19,IF(81=$HL19,IF($JD19=2,30,0),IF(81=$HM19,IF($JD19=1,30,0),ABS(9-$HF19)*100)),100000+ABS(4-$HE19)*1000+90)),IF($HG19=0,999999,IF(4=$HH19,IF(81=$HN19,IF($JE19=2,30,0),IF(81=$HO19,IF($JE19=1,30,0),ABS(9-$HI19)*100)),100000+ABS(4-$HH19)*1000+90)))-IF((81=$HJ19)+(81=$HK19)+(81=$HL19)+(81=$HM19)+(81=$HN19)+(81=$HO19)&gt;=2,50,0))+CF$5*50)</f>
        <v/>
      </c>
      <c r="CG139">
        <f>IF(OR($JF19=0,calcA!$A$6=0),0,IF(OR(82=$HA19,82=$HD19,82=$HG19),200000,MIN(IF($HA19=0,999999,IF(4=$HB19,IF(82=$HJ19,IF($JC19=2,30,0),IF(82=$HK19,IF($JC19=1,30,0),ABS(10-$HC19)*100)),100000+ABS(4-$HB19)*1000+100)),IF($HD19=0,999999,IF(4=$HE19,IF(82=$HL19,IF($JD19=2,30,0),IF(82=$HM19,IF($JD19=1,30,0),ABS(10-$HF19)*100)),100000+ABS(4-$HE19)*1000+100)),IF($HG19=0,999999,IF(4=$HH19,IF(82=$HN19,IF($JE19=2,30,0),IF(82=$HO19,IF($JE19=1,30,0),ABS(10-$HI19)*100)),100000+ABS(4-$HH19)*1000+100)))-IF((82=$HJ19)+(82=$HK19)+(82=$HL19)+(82=$HM19)+(82=$HN19)+(82=$HO19)&gt;=2,50,0))+CG$5*50)</f>
        <v/>
      </c>
      <c r="CH139">
        <f>IF(OR($JF19=0,calcA!$A$6=0),0,IF(OR(83=$HA19,83=$HD19,83=$HG19),200000,MIN(IF($HA19=0,999999,IF(4=$HB19,IF(83=$HJ19,IF($JC19=2,30,0),IF(83=$HK19,IF($JC19=1,30,0),ABS(11-$HC19)*100)),100000+ABS(4-$HB19)*1000+110)),IF($HD19=0,999999,IF(4=$HE19,IF(83=$HL19,IF($JD19=2,30,0),IF(83=$HM19,IF($JD19=1,30,0),ABS(11-$HF19)*100)),100000+ABS(4-$HE19)*1000+110)),IF($HG19=0,999999,IF(4=$HH19,IF(83=$HN19,IF($JE19=2,30,0),IF(83=$HO19,IF($JE19=1,30,0),ABS(11-$HI19)*100)),100000+ABS(4-$HH19)*1000+110)))-IF((83=$HJ19)+(83=$HK19)+(83=$HL19)+(83=$HM19)+(83=$HN19)+(83=$HO19)&gt;=2,50,0))+CH$5*50)</f>
        <v/>
      </c>
      <c r="CI139">
        <f>IF(OR($JF19=0,calcA!$A$6=0),0,IF(OR(84=$HA19,84=$HD19,84=$HG19),200000,MIN(IF($HA19=0,999999,IF(4=$HB19,IF(84=$HJ19,IF($JC19=2,30,0),IF(84=$HK19,IF($JC19=1,30,0),ABS(12-$HC19)*100)),100000+ABS(4-$HB19)*1000+120)),IF($HD19=0,999999,IF(4=$HE19,IF(84=$HL19,IF($JD19=2,30,0),IF(84=$HM19,IF($JD19=1,30,0),ABS(12-$HF19)*100)),100000+ABS(4-$HE19)*1000+120)),IF($HG19=0,999999,IF(4=$HH19,IF(84=$HN19,IF($JE19=2,30,0),IF(84=$HO19,IF($JE19=1,30,0),ABS(12-$HI19)*100)),100000+ABS(4-$HH19)*1000+120)))-IF((84=$HJ19)+(84=$HK19)+(84=$HL19)+(84=$HM19)+(84=$HN19)+(84=$HO19)&gt;=2,50,0))+CI$5*50)</f>
        <v/>
      </c>
      <c r="CJ139">
        <f>IF(OR($JF19=0,calcA!$A$6=0),0,IF(OR(85=$HA19,85=$HD19,85=$HG19),200000,MIN(IF($HA19=0,999999,IF(4=$HB19,IF(85=$HJ19,IF($JC19=2,30,0),IF(85=$HK19,IF($JC19=1,30,0),ABS(13-$HC19)*100)),100000+ABS(4-$HB19)*1000+130)),IF($HD19=0,999999,IF(4=$HE19,IF(85=$HL19,IF($JD19=2,30,0),IF(85=$HM19,IF($JD19=1,30,0),ABS(13-$HF19)*100)),100000+ABS(4-$HE19)*1000+130)),IF($HG19=0,999999,IF(4=$HH19,IF(85=$HN19,IF($JE19=2,30,0),IF(85=$HO19,IF($JE19=1,30,0),ABS(13-$HI19)*100)),100000+ABS(4-$HH19)*1000+130)))-IF((85=$HJ19)+(85=$HK19)+(85=$HL19)+(85=$HM19)+(85=$HN19)+(85=$HO19)&gt;=2,50,0))+CJ$5*50)</f>
        <v/>
      </c>
      <c r="CK139">
        <f>IF(OR($JF19=0,calcA!$A$6=0),0,IF(OR(86=$HA19,86=$HD19,86=$HG19),200000,MIN(IF($HA19=0,999999,IF(4=$HB19,IF(86=$HJ19,IF($JC19=2,30,0),IF(86=$HK19,IF($JC19=1,30,0),ABS(14-$HC19)*100)),100000+ABS(4-$HB19)*1000+140)),IF($HD19=0,999999,IF(4=$HE19,IF(86=$HL19,IF($JD19=2,30,0),IF(86=$HM19,IF($JD19=1,30,0),ABS(14-$HF19)*100)),100000+ABS(4-$HE19)*1000+140)),IF($HG19=0,999999,IF(4=$HH19,IF(86=$HN19,IF($JE19=2,30,0),IF(86=$HO19,IF($JE19=1,30,0),ABS(14-$HI19)*100)),100000+ABS(4-$HH19)*1000+140)))-IF((86=$HJ19)+(86=$HK19)+(86=$HL19)+(86=$HM19)+(86=$HN19)+(86=$HO19)&gt;=2,50,0))+CK$5*50)</f>
        <v/>
      </c>
      <c r="CL139">
        <f>IF(OR($JF19=0,calcA!$A$6=0),0,IF(OR(87=$HA19,87=$HD19,87=$HG19),200000,MIN(IF($HA19=0,999999,IF(4=$HB19,IF(87=$HJ19,IF($JC19=2,30,0),IF(87=$HK19,IF($JC19=1,30,0),ABS(15-$HC19)*100)),100000+ABS(4-$HB19)*1000+150)),IF($HD19=0,999999,IF(4=$HE19,IF(87=$HL19,IF($JD19=2,30,0),IF(87=$HM19,IF($JD19=1,30,0),ABS(15-$HF19)*100)),100000+ABS(4-$HE19)*1000+150)),IF($HG19=0,999999,IF(4=$HH19,IF(87=$HN19,IF($JE19=2,30,0),IF(87=$HO19,IF($JE19=1,30,0),ABS(15-$HI19)*100)),100000+ABS(4-$HH19)*1000+150)))-IF((87=$HJ19)+(87=$HK19)+(87=$HL19)+(87=$HM19)+(87=$HN19)+(87=$HO19)&gt;=2,50,0))+CL$5*50)</f>
        <v/>
      </c>
      <c r="CM139">
        <f>IF(OR($JF19=0,calcA!$A$6=0),0,IF(OR(88=$HA19,88=$HD19,88=$HG19),200000,MIN(IF($HA19=0,999999,IF(4=$HB19,IF(88=$HJ19,IF($JC19=2,30,0),IF(88=$HK19,IF($JC19=1,30,0),ABS(16-$HC19)*100)),100000+ABS(4-$HB19)*1000+160)),IF($HD19=0,999999,IF(4=$HE19,IF(88=$HL19,IF($JD19=2,30,0),IF(88=$HM19,IF($JD19=1,30,0),ABS(16-$HF19)*100)),100000+ABS(4-$HE19)*1000+160)),IF($HG19=0,999999,IF(4=$HH19,IF(88=$HN19,IF($JE19=2,30,0),IF(88=$HO19,IF($JE19=1,30,0),ABS(16-$HI19)*100)),100000+ABS(4-$HH19)*1000+160)))-IF((88=$HJ19)+(88=$HK19)+(88=$HL19)+(88=$HM19)+(88=$HN19)+(88=$HO19)&gt;=2,50,0))+CM$5*50)</f>
        <v/>
      </c>
      <c r="CN139">
        <f>IF(OR($JF19=0,calcA!$A$6=0),0,IF(OR(89=$HA19,89=$HD19,89=$HG19),200000,MIN(IF($HA19=0,999999,IF(4=$HB19,IF(89=$HJ19,IF($JC19=2,30,0),IF(89=$HK19,IF($JC19=1,30,0),ABS(17-$HC19)*100)),100000+ABS(4-$HB19)*1000+170)),IF($HD19=0,999999,IF(4=$HE19,IF(89=$HL19,IF($JD19=2,30,0),IF(89=$HM19,IF($JD19=1,30,0),ABS(17-$HF19)*100)),100000+ABS(4-$HE19)*1000+170)),IF($HG19=0,999999,IF(4=$HH19,IF(89=$HN19,IF($JE19=2,30,0),IF(89=$HO19,IF($JE19=1,30,0),ABS(17-$HI19)*100)),100000+ABS(4-$HH19)*1000+170)))-IF((89=$HJ19)+(89=$HK19)+(89=$HL19)+(89=$HM19)+(89=$HN19)+(89=$HO19)&gt;=2,50,0))+CN$5*50)</f>
        <v/>
      </c>
      <c r="CO139">
        <f>IF(OR($JF19=0,calcA!$A$6=0),0,IF(OR(90=$HA19,90=$HD19,90=$HG19),200000,MIN(IF($HA19=0,999999,IF(4=$HB19,IF(90=$HJ19,IF($JC19=2,30,0),IF(90=$HK19,IF($JC19=1,30,0),ABS(18-$HC19)*100)),100000+ABS(4-$HB19)*1000+180)),IF($HD19=0,999999,IF(4=$HE19,IF(90=$HL19,IF($JD19=2,30,0),IF(90=$HM19,IF($JD19=1,30,0),ABS(18-$HF19)*100)),100000+ABS(4-$HE19)*1000+180)),IF($HG19=0,999999,IF(4=$HH19,IF(90=$HN19,IF($JE19=2,30,0),IF(90=$HO19,IF($JE19=1,30,0),ABS(18-$HI19)*100)),100000+ABS(4-$HH19)*1000+180)))-IF((90=$HJ19)+(90=$HK19)+(90=$HL19)+(90=$HM19)+(90=$HN19)+(90=$HO19)&gt;=2,50,0))+CO$5*50)</f>
        <v/>
      </c>
      <c r="CP139">
        <f>IF(OR($JF19=0,calcA!$A$6=0),0,IF(OR(91=$HA19,91=$HD19,91=$HG19),200000,MIN(IF($HA19=0,999999,IF(4=$HB19,IF(91=$HJ19,IF($JC19=2,30,0),IF(91=$HK19,IF($JC19=1,30,0),ABS(19-$HC19)*100)),100000+ABS(4-$HB19)*1000+190)),IF($HD19=0,999999,IF(4=$HE19,IF(91=$HL19,IF($JD19=2,30,0),IF(91=$HM19,IF($JD19=1,30,0),ABS(19-$HF19)*100)),100000+ABS(4-$HE19)*1000+190)),IF($HG19=0,999999,IF(4=$HH19,IF(91=$HN19,IF($JE19=2,30,0),IF(91=$HO19,IF($JE19=1,30,0),ABS(19-$HI19)*100)),100000+ABS(4-$HH19)*1000+190)))-IF((91=$HJ19)+(91=$HK19)+(91=$HL19)+(91=$HM19)+(91=$HN19)+(91=$HO19)&gt;=2,50,0))+CP$5*50)</f>
        <v/>
      </c>
      <c r="CQ139">
        <f>IF(OR($JF19=0,calcA!$A$6=0),0,IF(OR(92=$HA19,92=$HD19,92=$HG19),200000,MIN(IF($HA19=0,999999,IF(4=$HB19,IF(92=$HJ19,IF($JC19=2,30,0),IF(92=$HK19,IF($JC19=1,30,0),ABS(20-$HC19)*100)),100000+ABS(4-$HB19)*1000+200)),IF($HD19=0,999999,IF(4=$HE19,IF(92=$HL19,IF($JD19=2,30,0),IF(92=$HM19,IF($JD19=1,30,0),ABS(20-$HF19)*100)),100000+ABS(4-$HE19)*1000+200)),IF($HG19=0,999999,IF(4=$HH19,IF(92=$HN19,IF($JE19=2,30,0),IF(92=$HO19,IF($JE19=1,30,0),ABS(20-$HI19)*100)),100000+ABS(4-$HH19)*1000+200)))-IF((92=$HJ19)+(92=$HK19)+(92=$HL19)+(92=$HM19)+(92=$HN19)+(92=$HO19)&gt;=2,50,0))+CQ$5*50)</f>
        <v/>
      </c>
      <c r="CR139">
        <f>IF(OR($JF19=0,calcA!$A$6=0),0,IF(OR(93=$HA19,93=$HD19,93=$HG19),200000,MIN(IF($HA19=0,999999,IF(4=$HB19,IF(93=$HJ19,IF($JC19=2,30,0),IF(93=$HK19,IF($JC19=1,30,0),ABS(21-$HC19)*100)),100000+ABS(4-$HB19)*1000+210)),IF($HD19=0,999999,IF(4=$HE19,IF(93=$HL19,IF($JD19=2,30,0),IF(93=$HM19,IF($JD19=1,30,0),ABS(21-$HF19)*100)),100000+ABS(4-$HE19)*1000+210)),IF($HG19=0,999999,IF(4=$HH19,IF(93=$HN19,IF($JE19=2,30,0),IF(93=$HO19,IF($JE19=1,30,0),ABS(21-$HI19)*100)),100000+ABS(4-$HH19)*1000+210)))-IF((93=$HJ19)+(93=$HK19)+(93=$HL19)+(93=$HM19)+(93=$HN19)+(93=$HO19)&gt;=2,50,0))+CR$5*50)</f>
        <v/>
      </c>
      <c r="CS139">
        <f>IF(OR($JF19=0,calcA!$A$6=0),0,IF(OR(94=$HA19,94=$HD19,94=$HG19),200000,MIN(IF($HA19=0,999999,IF(4=$HB19,IF(94=$HJ19,IF($JC19=2,30,0),IF(94=$HK19,IF($JC19=1,30,0),ABS(22-$HC19)*100)),100000+ABS(4-$HB19)*1000+220)),IF($HD19=0,999999,IF(4=$HE19,IF(94=$HL19,IF($JD19=2,30,0),IF(94=$HM19,IF($JD19=1,30,0),ABS(22-$HF19)*100)),100000+ABS(4-$HE19)*1000+220)),IF($HG19=0,999999,IF(4=$HH19,IF(94=$HN19,IF($JE19=2,30,0),IF(94=$HO19,IF($JE19=1,30,0),ABS(22-$HI19)*100)),100000+ABS(4-$HH19)*1000+220)))-IF((94=$HJ19)+(94=$HK19)+(94=$HL19)+(94=$HM19)+(94=$HN19)+(94=$HO19)&gt;=2,50,0))+CS$5*50)</f>
        <v/>
      </c>
      <c r="CT139">
        <f>IF(OR($JF19=0,calcA!$A$6=0),0,IF(OR(95=$HA19,95=$HD19,95=$HG19),200000,MIN(IF($HA19=0,999999,IF(4=$HB19,IF(95=$HJ19,IF($JC19=2,30,0),IF(95=$HK19,IF($JC19=1,30,0),ABS(23-$HC19)*100)),100000+ABS(4-$HB19)*1000+230)),IF($HD19=0,999999,IF(4=$HE19,IF(95=$HL19,IF($JD19=2,30,0),IF(95=$HM19,IF($JD19=1,30,0),ABS(23-$HF19)*100)),100000+ABS(4-$HE19)*1000+230)),IF($HG19=0,999999,IF(4=$HH19,IF(95=$HN19,IF($JE19=2,30,0),IF(95=$HO19,IF($JE19=1,30,0),ABS(23-$HI19)*100)),100000+ABS(4-$HH19)*1000+230)))-IF((95=$HJ19)+(95=$HK19)+(95=$HL19)+(95=$HM19)+(95=$HN19)+(95=$HO19)&gt;=2,50,0))+CT$5*50)</f>
        <v/>
      </c>
      <c r="CU139">
        <f>IF(OR($JF19=0,calcA!$A$6=0),0,IF(OR(96=$HA19,96=$HD19,96=$HG19),200000,MIN(IF($HA19=0,999999,IF(4=$HB19,IF(96=$HJ19,IF($JC19=2,30,0),IF(96=$HK19,IF($JC19=1,30,0),ABS(24-$HC19)*100)),100000+ABS(4-$HB19)*1000+240)),IF($HD19=0,999999,IF(4=$HE19,IF(96=$HL19,IF($JD19=2,30,0),IF(96=$HM19,IF($JD19=1,30,0),ABS(24-$HF19)*100)),100000+ABS(4-$HE19)*1000+240)),IF($HG19=0,999999,IF(4=$HH19,IF(96=$HN19,IF($JE19=2,30,0),IF(96=$HO19,IF($JE19=1,30,0),ABS(24-$HI19)*100)),100000+ABS(4-$HH19)*1000+240)))-IF((96=$HJ19)+(96=$HK19)+(96=$HL19)+(96=$HM19)+(96=$HN19)+(96=$HO19)&gt;=2,50,0))+CU$5*50)</f>
        <v/>
      </c>
      <c r="CV139">
        <f>IF(OR($JF19=0,calcA!$A$6=0),0,IF(OR(97=$HA19,97=$HD19,97=$HG19),200000,MIN(IF($HA19=0,999999,IF(5=$HB19,IF(97=$HJ19,IF($JC19=2,30,0),IF(97=$HK19,IF($JC19=1,30,0),ABS(1-$HC19)*100)),100000+ABS(5-$HB19)*1000+10)),IF($HD19=0,999999,IF(5=$HE19,IF(97=$HL19,IF($JD19=2,30,0),IF(97=$HM19,IF($JD19=1,30,0),ABS(1-$HF19)*100)),100000+ABS(5-$HE19)*1000+10)),IF($HG19=0,999999,IF(5=$HH19,IF(97=$HN19,IF($JE19=2,30,0),IF(97=$HO19,IF($JE19=1,30,0),ABS(1-$HI19)*100)),100000+ABS(5-$HH19)*1000+10)))-IF((97=$HJ19)+(97=$HK19)+(97=$HL19)+(97=$HM19)+(97=$HN19)+(97=$HO19)&gt;=2,50,0))+CV$5*50)</f>
        <v/>
      </c>
      <c r="CW139">
        <f>IF(OR($JF19=0,calcA!$A$6=0),0,IF(OR(98=$HA19,98=$HD19,98=$HG19),200000,MIN(IF($HA19=0,999999,IF(5=$HB19,IF(98=$HJ19,IF($JC19=2,30,0),IF(98=$HK19,IF($JC19=1,30,0),ABS(2-$HC19)*100)),100000+ABS(5-$HB19)*1000+20)),IF($HD19=0,999999,IF(5=$HE19,IF(98=$HL19,IF($JD19=2,30,0),IF(98=$HM19,IF($JD19=1,30,0),ABS(2-$HF19)*100)),100000+ABS(5-$HE19)*1000+20)),IF($HG19=0,999999,IF(5=$HH19,IF(98=$HN19,IF($JE19=2,30,0),IF(98=$HO19,IF($JE19=1,30,0),ABS(2-$HI19)*100)),100000+ABS(5-$HH19)*1000+20)))-IF((98=$HJ19)+(98=$HK19)+(98=$HL19)+(98=$HM19)+(98=$HN19)+(98=$HO19)&gt;=2,50,0))+CW$5*50)</f>
        <v/>
      </c>
      <c r="CX139">
        <f>IF(OR($JF19=0,calcA!$A$6=0),0,IF(OR(99=$HA19,99=$HD19,99=$HG19),200000,MIN(IF($HA19=0,999999,IF(5=$HB19,IF(99=$HJ19,IF($JC19=2,30,0),IF(99=$HK19,IF($JC19=1,30,0),ABS(3-$HC19)*100)),100000+ABS(5-$HB19)*1000+30)),IF($HD19=0,999999,IF(5=$HE19,IF(99=$HL19,IF($JD19=2,30,0),IF(99=$HM19,IF($JD19=1,30,0),ABS(3-$HF19)*100)),100000+ABS(5-$HE19)*1000+30)),IF($HG19=0,999999,IF(5=$HH19,IF(99=$HN19,IF($JE19=2,30,0),IF(99=$HO19,IF($JE19=1,30,0),ABS(3-$HI19)*100)),100000+ABS(5-$HH19)*1000+30)))-IF((99=$HJ19)+(99=$HK19)+(99=$HL19)+(99=$HM19)+(99=$HN19)+(99=$HO19)&gt;=2,50,0))+CX$5*50)</f>
        <v/>
      </c>
      <c r="CY139">
        <f>IF(OR($JF19=0,calcA!$A$6=0),0,IF(OR(100=$HA19,100=$HD19,100=$HG19),200000,MIN(IF($HA19=0,999999,IF(5=$HB19,IF(100=$HJ19,IF($JC19=2,30,0),IF(100=$HK19,IF($JC19=1,30,0),ABS(4-$HC19)*100)),100000+ABS(5-$HB19)*1000+40)),IF($HD19=0,999999,IF(5=$HE19,IF(100=$HL19,IF($JD19=2,30,0),IF(100=$HM19,IF($JD19=1,30,0),ABS(4-$HF19)*100)),100000+ABS(5-$HE19)*1000+40)),IF($HG19=0,999999,IF(5=$HH19,IF(100=$HN19,IF($JE19=2,30,0),IF(100=$HO19,IF($JE19=1,30,0),ABS(4-$HI19)*100)),100000+ABS(5-$HH19)*1000+40)))-IF((100=$HJ19)+(100=$HK19)+(100=$HL19)+(100=$HM19)+(100=$HN19)+(100=$HO19)&gt;=2,50,0))+CY$5*50)</f>
        <v/>
      </c>
      <c r="CZ139">
        <f>IF(OR($JF19=0,calcA!$A$6=0),0,IF(OR(101=$HA19,101=$HD19,101=$HG19),200000,MIN(IF($HA19=0,999999,IF(5=$HB19,IF(101=$HJ19,IF($JC19=2,30,0),IF(101=$HK19,IF($JC19=1,30,0),ABS(5-$HC19)*100)),100000+ABS(5-$HB19)*1000+50)),IF($HD19=0,999999,IF(5=$HE19,IF(101=$HL19,IF($JD19=2,30,0),IF(101=$HM19,IF($JD19=1,30,0),ABS(5-$HF19)*100)),100000+ABS(5-$HE19)*1000+50)),IF($HG19=0,999999,IF(5=$HH19,IF(101=$HN19,IF($JE19=2,30,0),IF(101=$HO19,IF($JE19=1,30,0),ABS(5-$HI19)*100)),100000+ABS(5-$HH19)*1000+50)))-IF((101=$HJ19)+(101=$HK19)+(101=$HL19)+(101=$HM19)+(101=$HN19)+(101=$HO19)&gt;=2,50,0))+CZ$5*50)</f>
        <v/>
      </c>
      <c r="DA139">
        <f>IF(OR($JF19=0,calcA!$A$6=0),0,IF(OR(102=$HA19,102=$HD19,102=$HG19),200000,MIN(IF($HA19=0,999999,IF(5=$HB19,IF(102=$HJ19,IF($JC19=2,30,0),IF(102=$HK19,IF($JC19=1,30,0),ABS(6-$HC19)*100)),100000+ABS(5-$HB19)*1000+60)),IF($HD19=0,999999,IF(5=$HE19,IF(102=$HL19,IF($JD19=2,30,0),IF(102=$HM19,IF($JD19=1,30,0),ABS(6-$HF19)*100)),100000+ABS(5-$HE19)*1000+60)),IF($HG19=0,999999,IF(5=$HH19,IF(102=$HN19,IF($JE19=2,30,0),IF(102=$HO19,IF($JE19=1,30,0),ABS(6-$HI19)*100)),100000+ABS(5-$HH19)*1000+60)))-IF((102=$HJ19)+(102=$HK19)+(102=$HL19)+(102=$HM19)+(102=$HN19)+(102=$HO19)&gt;=2,50,0))+DA$5*50)</f>
        <v/>
      </c>
      <c r="DB139">
        <f>IF(OR($JF19=0,calcA!$A$6=0),0,IF(OR(103=$HA19,103=$HD19,103=$HG19),200000,MIN(IF($HA19=0,999999,IF(5=$HB19,IF(103=$HJ19,IF($JC19=2,30,0),IF(103=$HK19,IF($JC19=1,30,0),ABS(7-$HC19)*100)),100000+ABS(5-$HB19)*1000+70)),IF($HD19=0,999999,IF(5=$HE19,IF(103=$HL19,IF($JD19=2,30,0),IF(103=$HM19,IF($JD19=1,30,0),ABS(7-$HF19)*100)),100000+ABS(5-$HE19)*1000+70)),IF($HG19=0,999999,IF(5=$HH19,IF(103=$HN19,IF($JE19=2,30,0),IF(103=$HO19,IF($JE19=1,30,0),ABS(7-$HI19)*100)),100000+ABS(5-$HH19)*1000+70)))-IF((103=$HJ19)+(103=$HK19)+(103=$HL19)+(103=$HM19)+(103=$HN19)+(103=$HO19)&gt;=2,50,0))+DB$5*50)</f>
        <v/>
      </c>
      <c r="DC139">
        <f>IF(OR($JF19=0,calcA!$A$6=0),0,IF(OR(104=$HA19,104=$HD19,104=$HG19),200000,MIN(IF($HA19=0,999999,IF(5=$HB19,IF(104=$HJ19,IF($JC19=2,30,0),IF(104=$HK19,IF($JC19=1,30,0),ABS(8-$HC19)*100)),100000+ABS(5-$HB19)*1000+80)),IF($HD19=0,999999,IF(5=$HE19,IF(104=$HL19,IF($JD19=2,30,0),IF(104=$HM19,IF($JD19=1,30,0),ABS(8-$HF19)*100)),100000+ABS(5-$HE19)*1000+80)),IF($HG19=0,999999,IF(5=$HH19,IF(104=$HN19,IF($JE19=2,30,0),IF(104=$HO19,IF($JE19=1,30,0),ABS(8-$HI19)*100)),100000+ABS(5-$HH19)*1000+80)))-IF((104=$HJ19)+(104=$HK19)+(104=$HL19)+(104=$HM19)+(104=$HN19)+(104=$HO19)&gt;=2,50,0))+DC$5*50)</f>
        <v/>
      </c>
      <c r="DD139">
        <f>IF(OR($JF19=0,calcA!$A$6=0),0,IF(OR(105=$HA19,105=$HD19,105=$HG19),200000,MIN(IF($HA19=0,999999,IF(5=$HB19,IF(105=$HJ19,IF($JC19=2,30,0),IF(105=$HK19,IF($JC19=1,30,0),ABS(9-$HC19)*100)),100000+ABS(5-$HB19)*1000+90)),IF($HD19=0,999999,IF(5=$HE19,IF(105=$HL19,IF($JD19=2,30,0),IF(105=$HM19,IF($JD19=1,30,0),ABS(9-$HF19)*100)),100000+ABS(5-$HE19)*1000+90)),IF($HG19=0,999999,IF(5=$HH19,IF(105=$HN19,IF($JE19=2,30,0),IF(105=$HO19,IF($JE19=1,30,0),ABS(9-$HI19)*100)),100000+ABS(5-$HH19)*1000+90)))-IF((105=$HJ19)+(105=$HK19)+(105=$HL19)+(105=$HM19)+(105=$HN19)+(105=$HO19)&gt;=2,50,0))+DD$5*50)</f>
        <v/>
      </c>
      <c r="DE139">
        <f>IF(OR($JF19=0,calcA!$A$6=0),0,IF(OR(106=$HA19,106=$HD19,106=$HG19),200000,MIN(IF($HA19=0,999999,IF(5=$HB19,IF(106=$HJ19,IF($JC19=2,30,0),IF(106=$HK19,IF($JC19=1,30,0),ABS(10-$HC19)*100)),100000+ABS(5-$HB19)*1000+100)),IF($HD19=0,999999,IF(5=$HE19,IF(106=$HL19,IF($JD19=2,30,0),IF(106=$HM19,IF($JD19=1,30,0),ABS(10-$HF19)*100)),100000+ABS(5-$HE19)*1000+100)),IF($HG19=0,999999,IF(5=$HH19,IF(106=$HN19,IF($JE19=2,30,0),IF(106=$HO19,IF($JE19=1,30,0),ABS(10-$HI19)*100)),100000+ABS(5-$HH19)*1000+100)))-IF((106=$HJ19)+(106=$HK19)+(106=$HL19)+(106=$HM19)+(106=$HN19)+(106=$HO19)&gt;=2,50,0))+DE$5*50)</f>
        <v/>
      </c>
      <c r="DF139">
        <f>IF(OR($JF19=0,calcA!$A$6=0),0,IF(OR(107=$HA19,107=$HD19,107=$HG19),200000,MIN(IF($HA19=0,999999,IF(5=$HB19,IF(107=$HJ19,IF($JC19=2,30,0),IF(107=$HK19,IF($JC19=1,30,0),ABS(11-$HC19)*100)),100000+ABS(5-$HB19)*1000+110)),IF($HD19=0,999999,IF(5=$HE19,IF(107=$HL19,IF($JD19=2,30,0),IF(107=$HM19,IF($JD19=1,30,0),ABS(11-$HF19)*100)),100000+ABS(5-$HE19)*1000+110)),IF($HG19=0,999999,IF(5=$HH19,IF(107=$HN19,IF($JE19=2,30,0),IF(107=$HO19,IF($JE19=1,30,0),ABS(11-$HI19)*100)),100000+ABS(5-$HH19)*1000+110)))-IF((107=$HJ19)+(107=$HK19)+(107=$HL19)+(107=$HM19)+(107=$HN19)+(107=$HO19)&gt;=2,50,0))+DF$5*50)</f>
        <v/>
      </c>
      <c r="DG139">
        <f>IF(OR($JF19=0,calcA!$A$6=0),0,IF(OR(108=$HA19,108=$HD19,108=$HG19),200000,MIN(IF($HA19=0,999999,IF(5=$HB19,IF(108=$HJ19,IF($JC19=2,30,0),IF(108=$HK19,IF($JC19=1,30,0),ABS(12-$HC19)*100)),100000+ABS(5-$HB19)*1000+120)),IF($HD19=0,999999,IF(5=$HE19,IF(108=$HL19,IF($JD19=2,30,0),IF(108=$HM19,IF($JD19=1,30,0),ABS(12-$HF19)*100)),100000+ABS(5-$HE19)*1000+120)),IF($HG19=0,999999,IF(5=$HH19,IF(108=$HN19,IF($JE19=2,30,0),IF(108=$HO19,IF($JE19=1,30,0),ABS(12-$HI19)*100)),100000+ABS(5-$HH19)*1000+120)))-IF((108=$HJ19)+(108=$HK19)+(108=$HL19)+(108=$HM19)+(108=$HN19)+(108=$HO19)&gt;=2,50,0))+DG$5*50)</f>
        <v/>
      </c>
      <c r="DH139">
        <f>IF(OR($JF19=0,calcA!$A$6=0),0,IF(OR(109=$HA19,109=$HD19,109=$HG19),200000,MIN(IF($HA19=0,999999,IF(5=$HB19,IF(109=$HJ19,IF($JC19=2,30,0),IF(109=$HK19,IF($JC19=1,30,0),ABS(13-$HC19)*100)),100000+ABS(5-$HB19)*1000+130)),IF($HD19=0,999999,IF(5=$HE19,IF(109=$HL19,IF($JD19=2,30,0),IF(109=$HM19,IF($JD19=1,30,0),ABS(13-$HF19)*100)),100000+ABS(5-$HE19)*1000+130)),IF($HG19=0,999999,IF(5=$HH19,IF(109=$HN19,IF($JE19=2,30,0),IF(109=$HO19,IF($JE19=1,30,0),ABS(13-$HI19)*100)),100000+ABS(5-$HH19)*1000+130)))-IF((109=$HJ19)+(109=$HK19)+(109=$HL19)+(109=$HM19)+(109=$HN19)+(109=$HO19)&gt;=2,50,0))+DH$5*50)</f>
        <v/>
      </c>
      <c r="DI139">
        <f>IF(OR($JF19=0,calcA!$A$6=0),0,IF(OR(110=$HA19,110=$HD19,110=$HG19),200000,MIN(IF($HA19=0,999999,IF(5=$HB19,IF(110=$HJ19,IF($JC19=2,30,0),IF(110=$HK19,IF($JC19=1,30,0),ABS(14-$HC19)*100)),100000+ABS(5-$HB19)*1000+140)),IF($HD19=0,999999,IF(5=$HE19,IF(110=$HL19,IF($JD19=2,30,0),IF(110=$HM19,IF($JD19=1,30,0),ABS(14-$HF19)*100)),100000+ABS(5-$HE19)*1000+140)),IF($HG19=0,999999,IF(5=$HH19,IF(110=$HN19,IF($JE19=2,30,0),IF(110=$HO19,IF($JE19=1,30,0),ABS(14-$HI19)*100)),100000+ABS(5-$HH19)*1000+140)))-IF((110=$HJ19)+(110=$HK19)+(110=$HL19)+(110=$HM19)+(110=$HN19)+(110=$HO19)&gt;=2,50,0))+DI$5*50)</f>
        <v/>
      </c>
      <c r="DJ139">
        <f>IF(OR($JF19=0,calcA!$A$6=0),0,IF(OR(111=$HA19,111=$HD19,111=$HG19),200000,MIN(IF($HA19=0,999999,IF(5=$HB19,IF(111=$HJ19,IF($JC19=2,30,0),IF(111=$HK19,IF($JC19=1,30,0),ABS(15-$HC19)*100)),100000+ABS(5-$HB19)*1000+150)),IF($HD19=0,999999,IF(5=$HE19,IF(111=$HL19,IF($JD19=2,30,0),IF(111=$HM19,IF($JD19=1,30,0),ABS(15-$HF19)*100)),100000+ABS(5-$HE19)*1000+150)),IF($HG19=0,999999,IF(5=$HH19,IF(111=$HN19,IF($JE19=2,30,0),IF(111=$HO19,IF($JE19=1,30,0),ABS(15-$HI19)*100)),100000+ABS(5-$HH19)*1000+150)))-IF((111=$HJ19)+(111=$HK19)+(111=$HL19)+(111=$HM19)+(111=$HN19)+(111=$HO19)&gt;=2,50,0))+DJ$5*50)</f>
        <v/>
      </c>
      <c r="DK139">
        <f>IF(OR($JF19=0,calcA!$A$6=0),0,IF(OR(112=$HA19,112=$HD19,112=$HG19),200000,MIN(IF($HA19=0,999999,IF(5=$HB19,IF(112=$HJ19,IF($JC19=2,30,0),IF(112=$HK19,IF($JC19=1,30,0),ABS(16-$HC19)*100)),100000+ABS(5-$HB19)*1000+160)),IF($HD19=0,999999,IF(5=$HE19,IF(112=$HL19,IF($JD19=2,30,0),IF(112=$HM19,IF($JD19=1,30,0),ABS(16-$HF19)*100)),100000+ABS(5-$HE19)*1000+160)),IF($HG19=0,999999,IF(5=$HH19,IF(112=$HN19,IF($JE19=2,30,0),IF(112=$HO19,IF($JE19=1,30,0),ABS(16-$HI19)*100)),100000+ABS(5-$HH19)*1000+160)))-IF((112=$HJ19)+(112=$HK19)+(112=$HL19)+(112=$HM19)+(112=$HN19)+(112=$HO19)&gt;=2,50,0))+DK$5*50)</f>
        <v/>
      </c>
      <c r="DL139">
        <f>IF(OR($JF19=0,calcA!$A$6=0),0,IF(OR(113=$HA19,113=$HD19,113=$HG19),200000,MIN(IF($HA19=0,999999,IF(5=$HB19,IF(113=$HJ19,IF($JC19=2,30,0),IF(113=$HK19,IF($JC19=1,30,0),ABS(17-$HC19)*100)),100000+ABS(5-$HB19)*1000+170)),IF($HD19=0,999999,IF(5=$HE19,IF(113=$HL19,IF($JD19=2,30,0),IF(113=$HM19,IF($JD19=1,30,0),ABS(17-$HF19)*100)),100000+ABS(5-$HE19)*1000+170)),IF($HG19=0,999999,IF(5=$HH19,IF(113=$HN19,IF($JE19=2,30,0),IF(113=$HO19,IF($JE19=1,30,0),ABS(17-$HI19)*100)),100000+ABS(5-$HH19)*1000+170)))-IF((113=$HJ19)+(113=$HK19)+(113=$HL19)+(113=$HM19)+(113=$HN19)+(113=$HO19)&gt;=2,50,0))+DL$5*50)</f>
        <v/>
      </c>
      <c r="DM139">
        <f>IF(OR($JF19=0,calcA!$A$6=0),0,IF(OR(114=$HA19,114=$HD19,114=$HG19),200000,MIN(IF($HA19=0,999999,IF(5=$HB19,IF(114=$HJ19,IF($JC19=2,30,0),IF(114=$HK19,IF($JC19=1,30,0),ABS(18-$HC19)*100)),100000+ABS(5-$HB19)*1000+180)),IF($HD19=0,999999,IF(5=$HE19,IF(114=$HL19,IF($JD19=2,30,0),IF(114=$HM19,IF($JD19=1,30,0),ABS(18-$HF19)*100)),100000+ABS(5-$HE19)*1000+180)),IF($HG19=0,999999,IF(5=$HH19,IF(114=$HN19,IF($JE19=2,30,0),IF(114=$HO19,IF($JE19=1,30,0),ABS(18-$HI19)*100)),100000+ABS(5-$HH19)*1000+180)))-IF((114=$HJ19)+(114=$HK19)+(114=$HL19)+(114=$HM19)+(114=$HN19)+(114=$HO19)&gt;=2,50,0))+DM$5*50)</f>
        <v/>
      </c>
      <c r="DN139">
        <f>IF(OR($JF19=0,calcA!$A$6=0),0,IF(OR(115=$HA19,115=$HD19,115=$HG19),200000,MIN(IF($HA19=0,999999,IF(5=$HB19,IF(115=$HJ19,IF($JC19=2,30,0),IF(115=$HK19,IF($JC19=1,30,0),ABS(19-$HC19)*100)),100000+ABS(5-$HB19)*1000+190)),IF($HD19=0,999999,IF(5=$HE19,IF(115=$HL19,IF($JD19=2,30,0),IF(115=$HM19,IF($JD19=1,30,0),ABS(19-$HF19)*100)),100000+ABS(5-$HE19)*1000+190)),IF($HG19=0,999999,IF(5=$HH19,IF(115=$HN19,IF($JE19=2,30,0),IF(115=$HO19,IF($JE19=1,30,0),ABS(19-$HI19)*100)),100000+ABS(5-$HH19)*1000+190)))-IF((115=$HJ19)+(115=$HK19)+(115=$HL19)+(115=$HM19)+(115=$HN19)+(115=$HO19)&gt;=2,50,0))+DN$5*50)</f>
        <v/>
      </c>
      <c r="DO139">
        <f>IF(OR($JF19=0,calcA!$A$6=0),0,IF(OR(116=$HA19,116=$HD19,116=$HG19),200000,MIN(IF($HA19=0,999999,IF(5=$HB19,IF(116=$HJ19,IF($JC19=2,30,0),IF(116=$HK19,IF($JC19=1,30,0),ABS(20-$HC19)*100)),100000+ABS(5-$HB19)*1000+200)),IF($HD19=0,999999,IF(5=$HE19,IF(116=$HL19,IF($JD19=2,30,0),IF(116=$HM19,IF($JD19=1,30,0),ABS(20-$HF19)*100)),100000+ABS(5-$HE19)*1000+200)),IF($HG19=0,999999,IF(5=$HH19,IF(116=$HN19,IF($JE19=2,30,0),IF(116=$HO19,IF($JE19=1,30,0),ABS(20-$HI19)*100)),100000+ABS(5-$HH19)*1000+200)))-IF((116=$HJ19)+(116=$HK19)+(116=$HL19)+(116=$HM19)+(116=$HN19)+(116=$HO19)&gt;=2,50,0))+DO$5*50)</f>
        <v/>
      </c>
      <c r="DP139">
        <f>IF(OR($JF19=0,calcA!$A$6=0),0,IF(OR(117=$HA19,117=$HD19,117=$HG19),200000,MIN(IF($HA19=0,999999,IF(5=$HB19,IF(117=$HJ19,IF($JC19=2,30,0),IF(117=$HK19,IF($JC19=1,30,0),ABS(21-$HC19)*100)),100000+ABS(5-$HB19)*1000+210)),IF($HD19=0,999999,IF(5=$HE19,IF(117=$HL19,IF($JD19=2,30,0),IF(117=$HM19,IF($JD19=1,30,0),ABS(21-$HF19)*100)),100000+ABS(5-$HE19)*1000+210)),IF($HG19=0,999999,IF(5=$HH19,IF(117=$HN19,IF($JE19=2,30,0),IF(117=$HO19,IF($JE19=1,30,0),ABS(21-$HI19)*100)),100000+ABS(5-$HH19)*1000+210)))-IF((117=$HJ19)+(117=$HK19)+(117=$HL19)+(117=$HM19)+(117=$HN19)+(117=$HO19)&gt;=2,50,0))+DP$5*50)</f>
        <v/>
      </c>
      <c r="DQ139">
        <f>IF(OR($JF19=0,calcA!$A$6=0),0,IF(OR(118=$HA19,118=$HD19,118=$HG19),200000,MIN(IF($HA19=0,999999,IF(5=$HB19,IF(118=$HJ19,IF($JC19=2,30,0),IF(118=$HK19,IF($JC19=1,30,0),ABS(22-$HC19)*100)),100000+ABS(5-$HB19)*1000+220)),IF($HD19=0,999999,IF(5=$HE19,IF(118=$HL19,IF($JD19=2,30,0),IF(118=$HM19,IF($JD19=1,30,0),ABS(22-$HF19)*100)),100000+ABS(5-$HE19)*1000+220)),IF($HG19=0,999999,IF(5=$HH19,IF(118=$HN19,IF($JE19=2,30,0),IF(118=$HO19,IF($JE19=1,30,0),ABS(22-$HI19)*100)),100000+ABS(5-$HH19)*1000+220)))-IF((118=$HJ19)+(118=$HK19)+(118=$HL19)+(118=$HM19)+(118=$HN19)+(118=$HO19)&gt;=2,50,0))+DQ$5*50)</f>
        <v/>
      </c>
      <c r="DR139">
        <f>IF(OR($JF19=0,calcA!$A$6=0),0,IF(OR(119=$HA19,119=$HD19,119=$HG19),200000,MIN(IF($HA19=0,999999,IF(5=$HB19,IF(119=$HJ19,IF($JC19=2,30,0),IF(119=$HK19,IF($JC19=1,30,0),ABS(23-$HC19)*100)),100000+ABS(5-$HB19)*1000+230)),IF($HD19=0,999999,IF(5=$HE19,IF(119=$HL19,IF($JD19=2,30,0),IF(119=$HM19,IF($JD19=1,30,0),ABS(23-$HF19)*100)),100000+ABS(5-$HE19)*1000+230)),IF($HG19=0,999999,IF(5=$HH19,IF(119=$HN19,IF($JE19=2,30,0),IF(119=$HO19,IF($JE19=1,30,0),ABS(23-$HI19)*100)),100000+ABS(5-$HH19)*1000+230)))-IF((119=$HJ19)+(119=$HK19)+(119=$HL19)+(119=$HM19)+(119=$HN19)+(119=$HO19)&gt;=2,50,0))+DR$5*50)</f>
        <v/>
      </c>
      <c r="DS139">
        <f>IF(OR($JF19=0,calcA!$A$6=0),0,IF(OR(120=$HA19,120=$HD19,120=$HG19),200000,MIN(IF($HA19=0,999999,IF(5=$HB19,IF(120=$HJ19,IF($JC19=2,30,0),IF(120=$HK19,IF($JC19=1,30,0),ABS(24-$HC19)*100)),100000+ABS(5-$HB19)*1000+240)),IF($HD19=0,999999,IF(5=$HE19,IF(120=$HL19,IF($JD19=2,30,0),IF(120=$HM19,IF($JD19=1,30,0),ABS(24-$HF19)*100)),100000+ABS(5-$HE19)*1000+240)),IF($HG19=0,999999,IF(5=$HH19,IF(120=$HN19,IF($JE19=2,30,0),IF(120=$HO19,IF($JE19=1,30,0),ABS(24-$HI19)*100)),100000+ABS(5-$HH19)*1000+240)))-IF((120=$HJ19)+(120=$HK19)+(120=$HL19)+(120=$HM19)+(120=$HN19)+(120=$HO19)&gt;=2,50,0))+DS$5*50)</f>
        <v/>
      </c>
      <c r="DT139">
        <f>IF(OR($JF19=0,calcA!$A$6=0),0,IF(OR(121=$HA19,121=$HD19,121=$HG19),200000,MIN(IF($HA19=0,999999,IF(6=$HB19,IF(121=$HJ19,IF($JC19=2,30,0),IF(121=$HK19,IF($JC19=1,30,0),ABS(1-$HC19)*100)),100000+ABS(6-$HB19)*1000+10)),IF($HD19=0,999999,IF(6=$HE19,IF(121=$HL19,IF($JD19=2,30,0),IF(121=$HM19,IF($JD19=1,30,0),ABS(1-$HF19)*100)),100000+ABS(6-$HE19)*1000+10)),IF($HG19=0,999999,IF(6=$HH19,IF(121=$HN19,IF($JE19=2,30,0),IF(121=$HO19,IF($JE19=1,30,0),ABS(1-$HI19)*100)),100000+ABS(6-$HH19)*1000+10)))-IF((121=$HJ19)+(121=$HK19)+(121=$HL19)+(121=$HM19)+(121=$HN19)+(121=$HO19)&gt;=2,50,0))+DT$5*50)</f>
        <v/>
      </c>
      <c r="DU139">
        <f>IF(OR($JF19=0,calcA!$A$6=0),0,IF(OR(122=$HA19,122=$HD19,122=$HG19),200000,MIN(IF($HA19=0,999999,IF(6=$HB19,IF(122=$HJ19,IF($JC19=2,30,0),IF(122=$HK19,IF($JC19=1,30,0),ABS(2-$HC19)*100)),100000+ABS(6-$HB19)*1000+20)),IF($HD19=0,999999,IF(6=$HE19,IF(122=$HL19,IF($JD19=2,30,0),IF(122=$HM19,IF($JD19=1,30,0),ABS(2-$HF19)*100)),100000+ABS(6-$HE19)*1000+20)),IF($HG19=0,999999,IF(6=$HH19,IF(122=$HN19,IF($JE19=2,30,0),IF(122=$HO19,IF($JE19=1,30,0),ABS(2-$HI19)*100)),100000+ABS(6-$HH19)*1000+20)))-IF((122=$HJ19)+(122=$HK19)+(122=$HL19)+(122=$HM19)+(122=$HN19)+(122=$HO19)&gt;=2,50,0))+DU$5*50)</f>
        <v/>
      </c>
      <c r="DV139">
        <f>IF(OR($JF19=0,calcA!$A$6=0),0,IF(OR(123=$HA19,123=$HD19,123=$HG19),200000,MIN(IF($HA19=0,999999,IF(6=$HB19,IF(123=$HJ19,IF($JC19=2,30,0),IF(123=$HK19,IF($JC19=1,30,0),ABS(3-$HC19)*100)),100000+ABS(6-$HB19)*1000+30)),IF($HD19=0,999999,IF(6=$HE19,IF(123=$HL19,IF($JD19=2,30,0),IF(123=$HM19,IF($JD19=1,30,0),ABS(3-$HF19)*100)),100000+ABS(6-$HE19)*1000+30)),IF($HG19=0,999999,IF(6=$HH19,IF(123=$HN19,IF($JE19=2,30,0),IF(123=$HO19,IF($JE19=1,30,0),ABS(3-$HI19)*100)),100000+ABS(6-$HH19)*1000+30)))-IF((123=$HJ19)+(123=$HK19)+(123=$HL19)+(123=$HM19)+(123=$HN19)+(123=$HO19)&gt;=2,50,0))+DV$5*50)</f>
        <v/>
      </c>
      <c r="DW139">
        <f>IF(OR($JF19=0,calcA!$A$6=0),0,IF(OR(124=$HA19,124=$HD19,124=$HG19),200000,MIN(IF($HA19=0,999999,IF(6=$HB19,IF(124=$HJ19,IF($JC19=2,30,0),IF(124=$HK19,IF($JC19=1,30,0),ABS(4-$HC19)*100)),100000+ABS(6-$HB19)*1000+40)),IF($HD19=0,999999,IF(6=$HE19,IF(124=$HL19,IF($JD19=2,30,0),IF(124=$HM19,IF($JD19=1,30,0),ABS(4-$HF19)*100)),100000+ABS(6-$HE19)*1000+40)),IF($HG19=0,999999,IF(6=$HH19,IF(124=$HN19,IF($JE19=2,30,0),IF(124=$HO19,IF($JE19=1,30,0),ABS(4-$HI19)*100)),100000+ABS(6-$HH19)*1000+40)))-IF((124=$HJ19)+(124=$HK19)+(124=$HL19)+(124=$HM19)+(124=$HN19)+(124=$HO19)&gt;=2,50,0))+DW$5*50)</f>
        <v/>
      </c>
      <c r="DX139">
        <f>IF(OR($JF19=0,calcA!$A$6=0),0,IF(OR(125=$HA19,125=$HD19,125=$HG19),200000,MIN(IF($HA19=0,999999,IF(6=$HB19,IF(125=$HJ19,IF($JC19=2,30,0),IF(125=$HK19,IF($JC19=1,30,0),ABS(5-$HC19)*100)),100000+ABS(6-$HB19)*1000+50)),IF($HD19=0,999999,IF(6=$HE19,IF(125=$HL19,IF($JD19=2,30,0),IF(125=$HM19,IF($JD19=1,30,0),ABS(5-$HF19)*100)),100000+ABS(6-$HE19)*1000+50)),IF($HG19=0,999999,IF(6=$HH19,IF(125=$HN19,IF($JE19=2,30,0),IF(125=$HO19,IF($JE19=1,30,0),ABS(5-$HI19)*100)),100000+ABS(6-$HH19)*1000+50)))-IF((125=$HJ19)+(125=$HK19)+(125=$HL19)+(125=$HM19)+(125=$HN19)+(125=$HO19)&gt;=2,50,0))+DX$5*50)</f>
        <v/>
      </c>
      <c r="DY139">
        <f>IF(OR($JF19=0,calcA!$A$6=0),0,IF(OR(126=$HA19,126=$HD19,126=$HG19),200000,MIN(IF($HA19=0,999999,IF(6=$HB19,IF(126=$HJ19,IF($JC19=2,30,0),IF(126=$HK19,IF($JC19=1,30,0),ABS(6-$HC19)*100)),100000+ABS(6-$HB19)*1000+60)),IF($HD19=0,999999,IF(6=$HE19,IF(126=$HL19,IF($JD19=2,30,0),IF(126=$HM19,IF($JD19=1,30,0),ABS(6-$HF19)*100)),100000+ABS(6-$HE19)*1000+60)),IF($HG19=0,999999,IF(6=$HH19,IF(126=$HN19,IF($JE19=2,30,0),IF(126=$HO19,IF($JE19=1,30,0),ABS(6-$HI19)*100)),100000+ABS(6-$HH19)*1000+60)))-IF((126=$HJ19)+(126=$HK19)+(126=$HL19)+(126=$HM19)+(126=$HN19)+(126=$HO19)&gt;=2,50,0))+DY$5*50)</f>
        <v/>
      </c>
      <c r="DZ139">
        <f>IF(OR($JF19=0,calcA!$A$6=0),0,IF(OR(127=$HA19,127=$HD19,127=$HG19),200000,MIN(IF($HA19=0,999999,IF(6=$HB19,IF(127=$HJ19,IF($JC19=2,30,0),IF(127=$HK19,IF($JC19=1,30,0),ABS(7-$HC19)*100)),100000+ABS(6-$HB19)*1000+70)),IF($HD19=0,999999,IF(6=$HE19,IF(127=$HL19,IF($JD19=2,30,0),IF(127=$HM19,IF($JD19=1,30,0),ABS(7-$HF19)*100)),100000+ABS(6-$HE19)*1000+70)),IF($HG19=0,999999,IF(6=$HH19,IF(127=$HN19,IF($JE19=2,30,0),IF(127=$HO19,IF($JE19=1,30,0),ABS(7-$HI19)*100)),100000+ABS(6-$HH19)*1000+70)))-IF((127=$HJ19)+(127=$HK19)+(127=$HL19)+(127=$HM19)+(127=$HN19)+(127=$HO19)&gt;=2,50,0))+DZ$5*50)</f>
        <v/>
      </c>
      <c r="EA139">
        <f>IF(OR($JF19=0,calcA!$A$6=0),0,IF(OR(128=$HA19,128=$HD19,128=$HG19),200000,MIN(IF($HA19=0,999999,IF(6=$HB19,IF(128=$HJ19,IF($JC19=2,30,0),IF(128=$HK19,IF($JC19=1,30,0),ABS(8-$HC19)*100)),100000+ABS(6-$HB19)*1000+80)),IF($HD19=0,999999,IF(6=$HE19,IF(128=$HL19,IF($JD19=2,30,0),IF(128=$HM19,IF($JD19=1,30,0),ABS(8-$HF19)*100)),100000+ABS(6-$HE19)*1000+80)),IF($HG19=0,999999,IF(6=$HH19,IF(128=$HN19,IF($JE19=2,30,0),IF(128=$HO19,IF($JE19=1,30,0),ABS(8-$HI19)*100)),100000+ABS(6-$HH19)*1000+80)))-IF((128=$HJ19)+(128=$HK19)+(128=$HL19)+(128=$HM19)+(128=$HN19)+(128=$HO19)&gt;=2,50,0))+EA$5*50)</f>
        <v/>
      </c>
      <c r="EB139">
        <f>IF(OR($JF19=0,calcA!$A$6=0),0,IF(OR(129=$HA19,129=$HD19,129=$HG19),200000,MIN(IF($HA19=0,999999,IF(6=$HB19,IF(129=$HJ19,IF($JC19=2,30,0),IF(129=$HK19,IF($JC19=1,30,0),ABS(9-$HC19)*100)),100000+ABS(6-$HB19)*1000+90)),IF($HD19=0,999999,IF(6=$HE19,IF(129=$HL19,IF($JD19=2,30,0),IF(129=$HM19,IF($JD19=1,30,0),ABS(9-$HF19)*100)),100000+ABS(6-$HE19)*1000+90)),IF($HG19=0,999999,IF(6=$HH19,IF(129=$HN19,IF($JE19=2,30,0),IF(129=$HO19,IF($JE19=1,30,0),ABS(9-$HI19)*100)),100000+ABS(6-$HH19)*1000+90)))-IF((129=$HJ19)+(129=$HK19)+(129=$HL19)+(129=$HM19)+(129=$HN19)+(129=$HO19)&gt;=2,50,0))+EB$5*50)</f>
        <v/>
      </c>
      <c r="EC139">
        <f>IF(OR($JF19=0,calcA!$A$6=0),0,IF(OR(130=$HA19,130=$HD19,130=$HG19),200000,MIN(IF($HA19=0,999999,IF(6=$HB19,IF(130=$HJ19,IF($JC19=2,30,0),IF(130=$HK19,IF($JC19=1,30,0),ABS(10-$HC19)*100)),100000+ABS(6-$HB19)*1000+100)),IF($HD19=0,999999,IF(6=$HE19,IF(130=$HL19,IF($JD19=2,30,0),IF(130=$HM19,IF($JD19=1,30,0),ABS(10-$HF19)*100)),100000+ABS(6-$HE19)*1000+100)),IF($HG19=0,999999,IF(6=$HH19,IF(130=$HN19,IF($JE19=2,30,0),IF(130=$HO19,IF($JE19=1,30,0),ABS(10-$HI19)*100)),100000+ABS(6-$HH19)*1000+100)))-IF((130=$HJ19)+(130=$HK19)+(130=$HL19)+(130=$HM19)+(130=$HN19)+(130=$HO19)&gt;=2,50,0))+EC$5*50)</f>
        <v/>
      </c>
      <c r="ED139">
        <f>IF(OR($JF19=0,calcA!$A$6=0),0,IF(OR(131=$HA19,131=$HD19,131=$HG19),200000,MIN(IF($HA19=0,999999,IF(6=$HB19,IF(131=$HJ19,IF($JC19=2,30,0),IF(131=$HK19,IF($JC19=1,30,0),ABS(11-$HC19)*100)),100000+ABS(6-$HB19)*1000+110)),IF($HD19=0,999999,IF(6=$HE19,IF(131=$HL19,IF($JD19=2,30,0),IF(131=$HM19,IF($JD19=1,30,0),ABS(11-$HF19)*100)),100000+ABS(6-$HE19)*1000+110)),IF($HG19=0,999999,IF(6=$HH19,IF(131=$HN19,IF($JE19=2,30,0),IF(131=$HO19,IF($JE19=1,30,0),ABS(11-$HI19)*100)),100000+ABS(6-$HH19)*1000+110)))-IF((131=$HJ19)+(131=$HK19)+(131=$HL19)+(131=$HM19)+(131=$HN19)+(131=$HO19)&gt;=2,50,0))+ED$5*50)</f>
        <v/>
      </c>
      <c r="EE139">
        <f>IF(OR($JF19=0,calcA!$A$6=0),0,IF(OR(132=$HA19,132=$HD19,132=$HG19),200000,MIN(IF($HA19=0,999999,IF(6=$HB19,IF(132=$HJ19,IF($JC19=2,30,0),IF(132=$HK19,IF($JC19=1,30,0),ABS(12-$HC19)*100)),100000+ABS(6-$HB19)*1000+120)),IF($HD19=0,999999,IF(6=$HE19,IF(132=$HL19,IF($JD19=2,30,0),IF(132=$HM19,IF($JD19=1,30,0),ABS(12-$HF19)*100)),100000+ABS(6-$HE19)*1000+120)),IF($HG19=0,999999,IF(6=$HH19,IF(132=$HN19,IF($JE19=2,30,0),IF(132=$HO19,IF($JE19=1,30,0),ABS(12-$HI19)*100)),100000+ABS(6-$HH19)*1000+120)))-IF((132=$HJ19)+(132=$HK19)+(132=$HL19)+(132=$HM19)+(132=$HN19)+(132=$HO19)&gt;=2,50,0))+EE$5*50)</f>
        <v/>
      </c>
      <c r="EF139">
        <f>IF(OR($JF19=0,calcA!$A$6=0),0,IF(OR(133=$HA19,133=$HD19,133=$HG19),200000,MIN(IF($HA19=0,999999,IF(6=$HB19,IF(133=$HJ19,IF($JC19=2,30,0),IF(133=$HK19,IF($JC19=1,30,0),ABS(13-$HC19)*100)),100000+ABS(6-$HB19)*1000+130)),IF($HD19=0,999999,IF(6=$HE19,IF(133=$HL19,IF($JD19=2,30,0),IF(133=$HM19,IF($JD19=1,30,0),ABS(13-$HF19)*100)),100000+ABS(6-$HE19)*1000+130)),IF($HG19=0,999999,IF(6=$HH19,IF(133=$HN19,IF($JE19=2,30,0),IF(133=$HO19,IF($JE19=1,30,0),ABS(13-$HI19)*100)),100000+ABS(6-$HH19)*1000+130)))-IF((133=$HJ19)+(133=$HK19)+(133=$HL19)+(133=$HM19)+(133=$HN19)+(133=$HO19)&gt;=2,50,0))+EF$5*50)</f>
        <v/>
      </c>
      <c r="EG139">
        <f>IF(OR($JF19=0,calcA!$A$6=0),0,IF(OR(134=$HA19,134=$HD19,134=$HG19),200000,MIN(IF($HA19=0,999999,IF(6=$HB19,IF(134=$HJ19,IF($JC19=2,30,0),IF(134=$HK19,IF($JC19=1,30,0),ABS(14-$HC19)*100)),100000+ABS(6-$HB19)*1000+140)),IF($HD19=0,999999,IF(6=$HE19,IF(134=$HL19,IF($JD19=2,30,0),IF(134=$HM19,IF($JD19=1,30,0),ABS(14-$HF19)*100)),100000+ABS(6-$HE19)*1000+140)),IF($HG19=0,999999,IF(6=$HH19,IF(134=$HN19,IF($JE19=2,30,0),IF(134=$HO19,IF($JE19=1,30,0),ABS(14-$HI19)*100)),100000+ABS(6-$HH19)*1000+140)))-IF((134=$HJ19)+(134=$HK19)+(134=$HL19)+(134=$HM19)+(134=$HN19)+(134=$HO19)&gt;=2,50,0))+EG$5*50)</f>
        <v/>
      </c>
      <c r="EH139">
        <f>IF(OR($JF19=0,calcA!$A$6=0),0,IF(OR(135=$HA19,135=$HD19,135=$HG19),200000,MIN(IF($HA19=0,999999,IF(6=$HB19,IF(135=$HJ19,IF($JC19=2,30,0),IF(135=$HK19,IF($JC19=1,30,0),ABS(15-$HC19)*100)),100000+ABS(6-$HB19)*1000+150)),IF($HD19=0,999999,IF(6=$HE19,IF(135=$HL19,IF($JD19=2,30,0),IF(135=$HM19,IF($JD19=1,30,0),ABS(15-$HF19)*100)),100000+ABS(6-$HE19)*1000+150)),IF($HG19=0,999999,IF(6=$HH19,IF(135=$HN19,IF($JE19=2,30,0),IF(135=$HO19,IF($JE19=1,30,0),ABS(15-$HI19)*100)),100000+ABS(6-$HH19)*1000+150)))-IF((135=$HJ19)+(135=$HK19)+(135=$HL19)+(135=$HM19)+(135=$HN19)+(135=$HO19)&gt;=2,50,0))+EH$5*50)</f>
        <v/>
      </c>
      <c r="EI139">
        <f>IF(OR($JF19=0,calcA!$A$6=0),0,IF(OR(136=$HA19,136=$HD19,136=$HG19),200000,MIN(IF($HA19=0,999999,IF(6=$HB19,IF(136=$HJ19,IF($JC19=2,30,0),IF(136=$HK19,IF($JC19=1,30,0),ABS(16-$HC19)*100)),100000+ABS(6-$HB19)*1000+160)),IF($HD19=0,999999,IF(6=$HE19,IF(136=$HL19,IF($JD19=2,30,0),IF(136=$HM19,IF($JD19=1,30,0),ABS(16-$HF19)*100)),100000+ABS(6-$HE19)*1000+160)),IF($HG19=0,999999,IF(6=$HH19,IF(136=$HN19,IF($JE19=2,30,0),IF(136=$HO19,IF($JE19=1,30,0),ABS(16-$HI19)*100)),100000+ABS(6-$HH19)*1000+160)))-IF((136=$HJ19)+(136=$HK19)+(136=$HL19)+(136=$HM19)+(136=$HN19)+(136=$HO19)&gt;=2,50,0))+EI$5*50)</f>
        <v/>
      </c>
      <c r="EJ139">
        <f>IF(OR($JF19=0,calcA!$A$6=0),0,IF(OR(137=$HA19,137=$HD19,137=$HG19),200000,MIN(IF($HA19=0,999999,IF(6=$HB19,IF(137=$HJ19,IF($JC19=2,30,0),IF(137=$HK19,IF($JC19=1,30,0),ABS(17-$HC19)*100)),100000+ABS(6-$HB19)*1000+170)),IF($HD19=0,999999,IF(6=$HE19,IF(137=$HL19,IF($JD19=2,30,0),IF(137=$HM19,IF($JD19=1,30,0),ABS(17-$HF19)*100)),100000+ABS(6-$HE19)*1000+170)),IF($HG19=0,999999,IF(6=$HH19,IF(137=$HN19,IF($JE19=2,30,0),IF(137=$HO19,IF($JE19=1,30,0),ABS(17-$HI19)*100)),100000+ABS(6-$HH19)*1000+170)))-IF((137=$HJ19)+(137=$HK19)+(137=$HL19)+(137=$HM19)+(137=$HN19)+(137=$HO19)&gt;=2,50,0))+EJ$5*50)</f>
        <v/>
      </c>
      <c r="EK139">
        <f>IF(OR($JF19=0,calcA!$A$6=0),0,IF(OR(138=$HA19,138=$HD19,138=$HG19),200000,MIN(IF($HA19=0,999999,IF(6=$HB19,IF(138=$HJ19,IF($JC19=2,30,0),IF(138=$HK19,IF($JC19=1,30,0),ABS(18-$HC19)*100)),100000+ABS(6-$HB19)*1000+180)),IF($HD19=0,999999,IF(6=$HE19,IF(138=$HL19,IF($JD19=2,30,0),IF(138=$HM19,IF($JD19=1,30,0),ABS(18-$HF19)*100)),100000+ABS(6-$HE19)*1000+180)),IF($HG19=0,999999,IF(6=$HH19,IF(138=$HN19,IF($JE19=2,30,0),IF(138=$HO19,IF($JE19=1,30,0),ABS(18-$HI19)*100)),100000+ABS(6-$HH19)*1000+180)))-IF((138=$HJ19)+(138=$HK19)+(138=$HL19)+(138=$HM19)+(138=$HN19)+(138=$HO19)&gt;=2,50,0))+EK$5*50)</f>
        <v/>
      </c>
      <c r="EL139">
        <f>IF(OR($JF19=0,calcA!$A$6=0),0,IF(OR(139=$HA19,139=$HD19,139=$HG19),200000,MIN(IF($HA19=0,999999,IF(6=$HB19,IF(139=$HJ19,IF($JC19=2,30,0),IF(139=$HK19,IF($JC19=1,30,0),ABS(19-$HC19)*100)),100000+ABS(6-$HB19)*1000+190)),IF($HD19=0,999999,IF(6=$HE19,IF(139=$HL19,IF($JD19=2,30,0),IF(139=$HM19,IF($JD19=1,30,0),ABS(19-$HF19)*100)),100000+ABS(6-$HE19)*1000+190)),IF($HG19=0,999999,IF(6=$HH19,IF(139=$HN19,IF($JE19=2,30,0),IF(139=$HO19,IF($JE19=1,30,0),ABS(19-$HI19)*100)),100000+ABS(6-$HH19)*1000+190)))-IF((139=$HJ19)+(139=$HK19)+(139=$HL19)+(139=$HM19)+(139=$HN19)+(139=$HO19)&gt;=2,50,0))+EL$5*50)</f>
        <v/>
      </c>
      <c r="EM139">
        <f>IF(OR($JF19=0,calcA!$A$6=0),0,IF(OR(140=$HA19,140=$HD19,140=$HG19),200000,MIN(IF($HA19=0,999999,IF(6=$HB19,IF(140=$HJ19,IF($JC19=2,30,0),IF(140=$HK19,IF($JC19=1,30,0),ABS(20-$HC19)*100)),100000+ABS(6-$HB19)*1000+200)),IF($HD19=0,999999,IF(6=$HE19,IF(140=$HL19,IF($JD19=2,30,0),IF(140=$HM19,IF($JD19=1,30,0),ABS(20-$HF19)*100)),100000+ABS(6-$HE19)*1000+200)),IF($HG19=0,999999,IF(6=$HH19,IF(140=$HN19,IF($JE19=2,30,0),IF(140=$HO19,IF($JE19=1,30,0),ABS(20-$HI19)*100)),100000+ABS(6-$HH19)*1000+200)))-IF((140=$HJ19)+(140=$HK19)+(140=$HL19)+(140=$HM19)+(140=$HN19)+(140=$HO19)&gt;=2,50,0))+EM$5*50)</f>
        <v/>
      </c>
      <c r="EN139">
        <f>IF(OR($JF19=0,calcA!$A$6=0),0,IF(OR(141=$HA19,141=$HD19,141=$HG19),200000,MIN(IF($HA19=0,999999,IF(6=$HB19,IF(141=$HJ19,IF($JC19=2,30,0),IF(141=$HK19,IF($JC19=1,30,0),ABS(21-$HC19)*100)),100000+ABS(6-$HB19)*1000+210)),IF($HD19=0,999999,IF(6=$HE19,IF(141=$HL19,IF($JD19=2,30,0),IF(141=$HM19,IF($JD19=1,30,0),ABS(21-$HF19)*100)),100000+ABS(6-$HE19)*1000+210)),IF($HG19=0,999999,IF(6=$HH19,IF(141=$HN19,IF($JE19=2,30,0),IF(141=$HO19,IF($JE19=1,30,0),ABS(21-$HI19)*100)),100000+ABS(6-$HH19)*1000+210)))-IF((141=$HJ19)+(141=$HK19)+(141=$HL19)+(141=$HM19)+(141=$HN19)+(141=$HO19)&gt;=2,50,0))+EN$5*50)</f>
        <v/>
      </c>
      <c r="EO139">
        <f>IF(OR($JF19=0,calcA!$A$6=0),0,IF(OR(142=$HA19,142=$HD19,142=$HG19),200000,MIN(IF($HA19=0,999999,IF(6=$HB19,IF(142=$HJ19,IF($JC19=2,30,0),IF(142=$HK19,IF($JC19=1,30,0),ABS(22-$HC19)*100)),100000+ABS(6-$HB19)*1000+220)),IF($HD19=0,999999,IF(6=$HE19,IF(142=$HL19,IF($JD19=2,30,0),IF(142=$HM19,IF($JD19=1,30,0),ABS(22-$HF19)*100)),100000+ABS(6-$HE19)*1000+220)),IF($HG19=0,999999,IF(6=$HH19,IF(142=$HN19,IF($JE19=2,30,0),IF(142=$HO19,IF($JE19=1,30,0),ABS(22-$HI19)*100)),100000+ABS(6-$HH19)*1000+220)))-IF((142=$HJ19)+(142=$HK19)+(142=$HL19)+(142=$HM19)+(142=$HN19)+(142=$HO19)&gt;=2,50,0))+EO$5*50)</f>
        <v/>
      </c>
      <c r="EP139">
        <f>IF(OR($JF19=0,calcA!$A$6=0),0,IF(OR(143=$HA19,143=$HD19,143=$HG19),200000,MIN(IF($HA19=0,999999,IF(6=$HB19,IF(143=$HJ19,IF($JC19=2,30,0),IF(143=$HK19,IF($JC19=1,30,0),ABS(23-$HC19)*100)),100000+ABS(6-$HB19)*1000+230)),IF($HD19=0,999999,IF(6=$HE19,IF(143=$HL19,IF($JD19=2,30,0),IF(143=$HM19,IF($JD19=1,30,0),ABS(23-$HF19)*100)),100000+ABS(6-$HE19)*1000+230)),IF($HG19=0,999999,IF(6=$HH19,IF(143=$HN19,IF($JE19=2,30,0),IF(143=$HO19,IF($JE19=1,30,0),ABS(23-$HI19)*100)),100000+ABS(6-$HH19)*1000+230)))-IF((143=$HJ19)+(143=$HK19)+(143=$HL19)+(143=$HM19)+(143=$HN19)+(143=$HO19)&gt;=2,50,0))+EP$5*50)</f>
        <v/>
      </c>
      <c r="EQ139">
        <f>IF(OR($JF19=0,calcA!$A$6=0),0,IF(OR(144=$HA19,144=$HD19,144=$HG19),200000,MIN(IF($HA19=0,999999,IF(6=$HB19,IF(144=$HJ19,IF($JC19=2,30,0),IF(144=$HK19,IF($JC19=1,30,0),ABS(24-$HC19)*100)),100000+ABS(6-$HB19)*1000+240)),IF($HD19=0,999999,IF(6=$HE19,IF(144=$HL19,IF($JD19=2,30,0),IF(144=$HM19,IF($JD19=1,30,0),ABS(24-$HF19)*100)),100000+ABS(6-$HE19)*1000+240)),IF($HG19=0,999999,IF(6=$HH19,IF(144=$HN19,IF($JE19=2,30,0),IF(144=$HO19,IF($JE19=1,30,0),ABS(24-$HI19)*100)),100000+ABS(6-$HH19)*1000+240)))-IF((144=$HJ19)+(144=$HK19)+(144=$HL19)+(144=$HM19)+(144=$HN19)+(144=$HO19)&gt;=2,50,0))+EQ$5*50)</f>
        <v/>
      </c>
    </row>
    <row r="140">
      <c r="D140">
        <f>IF(OR($JF20=0,calcA!$A$6=0),0,IF(OR(1=$HA20,1=$HD20,1=$HG20),200000,MIN(IF($HA20=0,999999,IF(1=$HB20,IF(1=$HJ20,IF($JC20=2,30,0),IF(1=$HK20,IF($JC20=1,30,0),ABS(1-$HC20)*100)),100000+ABS(1-$HB20)*1000+10)),IF($HD20=0,999999,IF(1=$HE20,IF(1=$HL20,IF($JD20=2,30,0),IF(1=$HM20,IF($JD20=1,30,0),ABS(1-$HF20)*100)),100000+ABS(1-$HE20)*1000+10)),IF($HG20=0,999999,IF(1=$HH20,IF(1=$HN20,IF($JE20=2,30,0),IF(1=$HO20,IF($JE20=1,30,0),ABS(1-$HI20)*100)),100000+ABS(1-$HH20)*1000+10)))-IF((1=$HJ20)+(1=$HK20)+(1=$HL20)+(1=$HM20)+(1=$HN20)+(1=$HO20)&gt;=2,50,0))+D$5*50)</f>
        <v/>
      </c>
      <c r="E140">
        <f>IF(OR($JF20=0,calcA!$A$6=0),0,IF(OR(2=$HA20,2=$HD20,2=$HG20),200000,MIN(IF($HA20=0,999999,IF(1=$HB20,IF(2=$HJ20,IF($JC20=2,30,0),IF(2=$HK20,IF($JC20=1,30,0),ABS(2-$HC20)*100)),100000+ABS(1-$HB20)*1000+20)),IF($HD20=0,999999,IF(1=$HE20,IF(2=$HL20,IF($JD20=2,30,0),IF(2=$HM20,IF($JD20=1,30,0),ABS(2-$HF20)*100)),100000+ABS(1-$HE20)*1000+20)),IF($HG20=0,999999,IF(1=$HH20,IF(2=$HN20,IF($JE20=2,30,0),IF(2=$HO20,IF($JE20=1,30,0),ABS(2-$HI20)*100)),100000+ABS(1-$HH20)*1000+20)))-IF((2=$HJ20)+(2=$HK20)+(2=$HL20)+(2=$HM20)+(2=$HN20)+(2=$HO20)&gt;=2,50,0))+E$5*50)</f>
        <v/>
      </c>
      <c r="F140">
        <f>IF(OR($JF20=0,calcA!$A$6=0),0,IF(OR(3=$HA20,3=$HD20,3=$HG20),200000,MIN(IF($HA20=0,999999,IF(1=$HB20,IF(3=$HJ20,IF($JC20=2,30,0),IF(3=$HK20,IF($JC20=1,30,0),ABS(3-$HC20)*100)),100000+ABS(1-$HB20)*1000+30)),IF($HD20=0,999999,IF(1=$HE20,IF(3=$HL20,IF($JD20=2,30,0),IF(3=$HM20,IF($JD20=1,30,0),ABS(3-$HF20)*100)),100000+ABS(1-$HE20)*1000+30)),IF($HG20=0,999999,IF(1=$HH20,IF(3=$HN20,IF($JE20=2,30,0),IF(3=$HO20,IF($JE20=1,30,0),ABS(3-$HI20)*100)),100000+ABS(1-$HH20)*1000+30)))-IF((3=$HJ20)+(3=$HK20)+(3=$HL20)+(3=$HM20)+(3=$HN20)+(3=$HO20)&gt;=2,50,0))+F$5*50)</f>
        <v/>
      </c>
      <c r="G140">
        <f>IF(OR($JF20=0,calcA!$A$6=0),0,IF(OR(4=$HA20,4=$HD20,4=$HG20),200000,MIN(IF($HA20=0,999999,IF(1=$HB20,IF(4=$HJ20,IF($JC20=2,30,0),IF(4=$HK20,IF($JC20=1,30,0),ABS(4-$HC20)*100)),100000+ABS(1-$HB20)*1000+40)),IF($HD20=0,999999,IF(1=$HE20,IF(4=$HL20,IF($JD20=2,30,0),IF(4=$HM20,IF($JD20=1,30,0),ABS(4-$HF20)*100)),100000+ABS(1-$HE20)*1000+40)),IF($HG20=0,999999,IF(1=$HH20,IF(4=$HN20,IF($JE20=2,30,0),IF(4=$HO20,IF($JE20=1,30,0),ABS(4-$HI20)*100)),100000+ABS(1-$HH20)*1000+40)))-IF((4=$HJ20)+(4=$HK20)+(4=$HL20)+(4=$HM20)+(4=$HN20)+(4=$HO20)&gt;=2,50,0))+G$5*50)</f>
        <v/>
      </c>
      <c r="H140">
        <f>IF(OR($JF20=0,calcA!$A$6=0),0,IF(OR(5=$HA20,5=$HD20,5=$HG20),200000,MIN(IF($HA20=0,999999,IF(1=$HB20,IF(5=$HJ20,IF($JC20=2,30,0),IF(5=$HK20,IF($JC20=1,30,0),ABS(5-$HC20)*100)),100000+ABS(1-$HB20)*1000+50)),IF($HD20=0,999999,IF(1=$HE20,IF(5=$HL20,IF($JD20=2,30,0),IF(5=$HM20,IF($JD20=1,30,0),ABS(5-$HF20)*100)),100000+ABS(1-$HE20)*1000+50)),IF($HG20=0,999999,IF(1=$HH20,IF(5=$HN20,IF($JE20=2,30,0),IF(5=$HO20,IF($JE20=1,30,0),ABS(5-$HI20)*100)),100000+ABS(1-$HH20)*1000+50)))-IF((5=$HJ20)+(5=$HK20)+(5=$HL20)+(5=$HM20)+(5=$HN20)+(5=$HO20)&gt;=2,50,0))+H$5*50)</f>
        <v/>
      </c>
      <c r="I140">
        <f>IF(OR($JF20=0,calcA!$A$6=0),0,IF(OR(6=$HA20,6=$HD20,6=$HG20),200000,MIN(IF($HA20=0,999999,IF(1=$HB20,IF(6=$HJ20,IF($JC20=2,30,0),IF(6=$HK20,IF($JC20=1,30,0),ABS(6-$HC20)*100)),100000+ABS(1-$HB20)*1000+60)),IF($HD20=0,999999,IF(1=$HE20,IF(6=$HL20,IF($JD20=2,30,0),IF(6=$HM20,IF($JD20=1,30,0),ABS(6-$HF20)*100)),100000+ABS(1-$HE20)*1000+60)),IF($HG20=0,999999,IF(1=$HH20,IF(6=$HN20,IF($JE20=2,30,0),IF(6=$HO20,IF($JE20=1,30,0),ABS(6-$HI20)*100)),100000+ABS(1-$HH20)*1000+60)))-IF((6=$HJ20)+(6=$HK20)+(6=$HL20)+(6=$HM20)+(6=$HN20)+(6=$HO20)&gt;=2,50,0))+I$5*50)</f>
        <v/>
      </c>
      <c r="J140">
        <f>IF(OR($JF20=0,calcA!$A$6=0),0,IF(OR(7=$HA20,7=$HD20,7=$HG20),200000,MIN(IF($HA20=0,999999,IF(1=$HB20,IF(7=$HJ20,IF($JC20=2,30,0),IF(7=$HK20,IF($JC20=1,30,0),ABS(7-$HC20)*100)),100000+ABS(1-$HB20)*1000+70)),IF($HD20=0,999999,IF(1=$HE20,IF(7=$HL20,IF($JD20=2,30,0),IF(7=$HM20,IF($JD20=1,30,0),ABS(7-$HF20)*100)),100000+ABS(1-$HE20)*1000+70)),IF($HG20=0,999999,IF(1=$HH20,IF(7=$HN20,IF($JE20=2,30,0),IF(7=$HO20,IF($JE20=1,30,0),ABS(7-$HI20)*100)),100000+ABS(1-$HH20)*1000+70)))-IF((7=$HJ20)+(7=$HK20)+(7=$HL20)+(7=$HM20)+(7=$HN20)+(7=$HO20)&gt;=2,50,0))+J$5*50)</f>
        <v/>
      </c>
      <c r="K140">
        <f>IF(OR($JF20=0,calcA!$A$6=0),0,IF(OR(8=$HA20,8=$HD20,8=$HG20),200000,MIN(IF($HA20=0,999999,IF(1=$HB20,IF(8=$HJ20,IF($JC20=2,30,0),IF(8=$HK20,IF($JC20=1,30,0),ABS(8-$HC20)*100)),100000+ABS(1-$HB20)*1000+80)),IF($HD20=0,999999,IF(1=$HE20,IF(8=$HL20,IF($JD20=2,30,0),IF(8=$HM20,IF($JD20=1,30,0),ABS(8-$HF20)*100)),100000+ABS(1-$HE20)*1000+80)),IF($HG20=0,999999,IF(1=$HH20,IF(8=$HN20,IF($JE20=2,30,0),IF(8=$HO20,IF($JE20=1,30,0),ABS(8-$HI20)*100)),100000+ABS(1-$HH20)*1000+80)))-IF((8=$HJ20)+(8=$HK20)+(8=$HL20)+(8=$HM20)+(8=$HN20)+(8=$HO20)&gt;=2,50,0))+K$5*50)</f>
        <v/>
      </c>
      <c r="L140">
        <f>IF(OR($JF20=0,calcA!$A$6=0),0,IF(OR(9=$HA20,9=$HD20,9=$HG20),200000,MIN(IF($HA20=0,999999,IF(1=$HB20,IF(9=$HJ20,IF($JC20=2,30,0),IF(9=$HK20,IF($JC20=1,30,0),ABS(9-$HC20)*100)),100000+ABS(1-$HB20)*1000+90)),IF($HD20=0,999999,IF(1=$HE20,IF(9=$HL20,IF($JD20=2,30,0),IF(9=$HM20,IF($JD20=1,30,0),ABS(9-$HF20)*100)),100000+ABS(1-$HE20)*1000+90)),IF($HG20=0,999999,IF(1=$HH20,IF(9=$HN20,IF($JE20=2,30,0),IF(9=$HO20,IF($JE20=1,30,0),ABS(9-$HI20)*100)),100000+ABS(1-$HH20)*1000+90)))-IF((9=$HJ20)+(9=$HK20)+(9=$HL20)+(9=$HM20)+(9=$HN20)+(9=$HO20)&gt;=2,50,0))+L$5*50)</f>
        <v/>
      </c>
      <c r="M140">
        <f>IF(OR($JF20=0,calcA!$A$6=0),0,IF(OR(10=$HA20,10=$HD20,10=$HG20),200000,MIN(IF($HA20=0,999999,IF(1=$HB20,IF(10=$HJ20,IF($JC20=2,30,0),IF(10=$HK20,IF($JC20=1,30,0),ABS(10-$HC20)*100)),100000+ABS(1-$HB20)*1000+100)),IF($HD20=0,999999,IF(1=$HE20,IF(10=$HL20,IF($JD20=2,30,0),IF(10=$HM20,IF($JD20=1,30,0),ABS(10-$HF20)*100)),100000+ABS(1-$HE20)*1000+100)),IF($HG20=0,999999,IF(1=$HH20,IF(10=$HN20,IF($JE20=2,30,0),IF(10=$HO20,IF($JE20=1,30,0),ABS(10-$HI20)*100)),100000+ABS(1-$HH20)*1000+100)))-IF((10=$HJ20)+(10=$HK20)+(10=$HL20)+(10=$HM20)+(10=$HN20)+(10=$HO20)&gt;=2,50,0))+M$5*50)</f>
        <v/>
      </c>
      <c r="N140">
        <f>IF(OR($JF20=0,calcA!$A$6=0),0,IF(OR(11=$HA20,11=$HD20,11=$HG20),200000,MIN(IF($HA20=0,999999,IF(1=$HB20,IF(11=$HJ20,IF($JC20=2,30,0),IF(11=$HK20,IF($JC20=1,30,0),ABS(11-$HC20)*100)),100000+ABS(1-$HB20)*1000+110)),IF($HD20=0,999999,IF(1=$HE20,IF(11=$HL20,IF($JD20=2,30,0),IF(11=$HM20,IF($JD20=1,30,0),ABS(11-$HF20)*100)),100000+ABS(1-$HE20)*1000+110)),IF($HG20=0,999999,IF(1=$HH20,IF(11=$HN20,IF($JE20=2,30,0),IF(11=$HO20,IF($JE20=1,30,0),ABS(11-$HI20)*100)),100000+ABS(1-$HH20)*1000+110)))-IF((11=$HJ20)+(11=$HK20)+(11=$HL20)+(11=$HM20)+(11=$HN20)+(11=$HO20)&gt;=2,50,0))+N$5*50)</f>
        <v/>
      </c>
      <c r="O140">
        <f>IF(OR($JF20=0,calcA!$A$6=0),0,IF(OR(12=$HA20,12=$HD20,12=$HG20),200000,MIN(IF($HA20=0,999999,IF(1=$HB20,IF(12=$HJ20,IF($JC20=2,30,0),IF(12=$HK20,IF($JC20=1,30,0),ABS(12-$HC20)*100)),100000+ABS(1-$HB20)*1000+120)),IF($HD20=0,999999,IF(1=$HE20,IF(12=$HL20,IF($JD20=2,30,0),IF(12=$HM20,IF($JD20=1,30,0),ABS(12-$HF20)*100)),100000+ABS(1-$HE20)*1000+120)),IF($HG20=0,999999,IF(1=$HH20,IF(12=$HN20,IF($JE20=2,30,0),IF(12=$HO20,IF($JE20=1,30,0),ABS(12-$HI20)*100)),100000+ABS(1-$HH20)*1000+120)))-IF((12=$HJ20)+(12=$HK20)+(12=$HL20)+(12=$HM20)+(12=$HN20)+(12=$HO20)&gt;=2,50,0))+O$5*50)</f>
        <v/>
      </c>
      <c r="P140">
        <f>IF(OR($JF20=0,calcA!$A$6=0),0,IF(OR(13=$HA20,13=$HD20,13=$HG20),200000,MIN(IF($HA20=0,999999,IF(1=$HB20,IF(13=$HJ20,IF($JC20=2,30,0),IF(13=$HK20,IF($JC20=1,30,0),ABS(13-$HC20)*100)),100000+ABS(1-$HB20)*1000+130)),IF($HD20=0,999999,IF(1=$HE20,IF(13=$HL20,IF($JD20=2,30,0),IF(13=$HM20,IF($JD20=1,30,0),ABS(13-$HF20)*100)),100000+ABS(1-$HE20)*1000+130)),IF($HG20=0,999999,IF(1=$HH20,IF(13=$HN20,IF($JE20=2,30,0),IF(13=$HO20,IF($JE20=1,30,0),ABS(13-$HI20)*100)),100000+ABS(1-$HH20)*1000+130)))-IF((13=$HJ20)+(13=$HK20)+(13=$HL20)+(13=$HM20)+(13=$HN20)+(13=$HO20)&gt;=2,50,0))+P$5*50)</f>
        <v/>
      </c>
      <c r="Q140">
        <f>IF(OR($JF20=0,calcA!$A$6=0),0,IF(OR(14=$HA20,14=$HD20,14=$HG20),200000,MIN(IF($HA20=0,999999,IF(1=$HB20,IF(14=$HJ20,IF($JC20=2,30,0),IF(14=$HK20,IF($JC20=1,30,0),ABS(14-$HC20)*100)),100000+ABS(1-$HB20)*1000+140)),IF($HD20=0,999999,IF(1=$HE20,IF(14=$HL20,IF($JD20=2,30,0),IF(14=$HM20,IF($JD20=1,30,0),ABS(14-$HF20)*100)),100000+ABS(1-$HE20)*1000+140)),IF($HG20=0,999999,IF(1=$HH20,IF(14=$HN20,IF($JE20=2,30,0),IF(14=$HO20,IF($JE20=1,30,0),ABS(14-$HI20)*100)),100000+ABS(1-$HH20)*1000+140)))-IF((14=$HJ20)+(14=$HK20)+(14=$HL20)+(14=$HM20)+(14=$HN20)+(14=$HO20)&gt;=2,50,0))+Q$5*50)</f>
        <v/>
      </c>
      <c r="R140">
        <f>IF(OR($JF20=0,calcA!$A$6=0),0,IF(OR(15=$HA20,15=$HD20,15=$HG20),200000,MIN(IF($HA20=0,999999,IF(1=$HB20,IF(15=$HJ20,IF($JC20=2,30,0),IF(15=$HK20,IF($JC20=1,30,0),ABS(15-$HC20)*100)),100000+ABS(1-$HB20)*1000+150)),IF($HD20=0,999999,IF(1=$HE20,IF(15=$HL20,IF($JD20=2,30,0),IF(15=$HM20,IF($JD20=1,30,0),ABS(15-$HF20)*100)),100000+ABS(1-$HE20)*1000+150)),IF($HG20=0,999999,IF(1=$HH20,IF(15=$HN20,IF($JE20=2,30,0),IF(15=$HO20,IF($JE20=1,30,0),ABS(15-$HI20)*100)),100000+ABS(1-$HH20)*1000+150)))-IF((15=$HJ20)+(15=$HK20)+(15=$HL20)+(15=$HM20)+(15=$HN20)+(15=$HO20)&gt;=2,50,0))+R$5*50)</f>
        <v/>
      </c>
      <c r="S140">
        <f>IF(OR($JF20=0,calcA!$A$6=0),0,IF(OR(16=$HA20,16=$HD20,16=$HG20),200000,MIN(IF($HA20=0,999999,IF(1=$HB20,IF(16=$HJ20,IF($JC20=2,30,0),IF(16=$HK20,IF($JC20=1,30,0),ABS(16-$HC20)*100)),100000+ABS(1-$HB20)*1000+160)),IF($HD20=0,999999,IF(1=$HE20,IF(16=$HL20,IF($JD20=2,30,0),IF(16=$HM20,IF($JD20=1,30,0),ABS(16-$HF20)*100)),100000+ABS(1-$HE20)*1000+160)),IF($HG20=0,999999,IF(1=$HH20,IF(16=$HN20,IF($JE20=2,30,0),IF(16=$HO20,IF($JE20=1,30,0),ABS(16-$HI20)*100)),100000+ABS(1-$HH20)*1000+160)))-IF((16=$HJ20)+(16=$HK20)+(16=$HL20)+(16=$HM20)+(16=$HN20)+(16=$HO20)&gt;=2,50,0))+S$5*50)</f>
        <v/>
      </c>
      <c r="T140">
        <f>IF(OR($JF20=0,calcA!$A$6=0),0,IF(OR(17=$HA20,17=$HD20,17=$HG20),200000,MIN(IF($HA20=0,999999,IF(1=$HB20,IF(17=$HJ20,IF($JC20=2,30,0),IF(17=$HK20,IF($JC20=1,30,0),ABS(17-$HC20)*100)),100000+ABS(1-$HB20)*1000+170)),IF($HD20=0,999999,IF(1=$HE20,IF(17=$HL20,IF($JD20=2,30,0),IF(17=$HM20,IF($JD20=1,30,0),ABS(17-$HF20)*100)),100000+ABS(1-$HE20)*1000+170)),IF($HG20=0,999999,IF(1=$HH20,IF(17=$HN20,IF($JE20=2,30,0),IF(17=$HO20,IF($JE20=1,30,0),ABS(17-$HI20)*100)),100000+ABS(1-$HH20)*1000+170)))-IF((17=$HJ20)+(17=$HK20)+(17=$HL20)+(17=$HM20)+(17=$HN20)+(17=$HO20)&gt;=2,50,0))+T$5*50)</f>
        <v/>
      </c>
      <c r="U140">
        <f>IF(OR($JF20=0,calcA!$A$6=0),0,IF(OR(18=$HA20,18=$HD20,18=$HG20),200000,MIN(IF($HA20=0,999999,IF(1=$HB20,IF(18=$HJ20,IF($JC20=2,30,0),IF(18=$HK20,IF($JC20=1,30,0),ABS(18-$HC20)*100)),100000+ABS(1-$HB20)*1000+180)),IF($HD20=0,999999,IF(1=$HE20,IF(18=$HL20,IF($JD20=2,30,0),IF(18=$HM20,IF($JD20=1,30,0),ABS(18-$HF20)*100)),100000+ABS(1-$HE20)*1000+180)),IF($HG20=0,999999,IF(1=$HH20,IF(18=$HN20,IF($JE20=2,30,0),IF(18=$HO20,IF($JE20=1,30,0),ABS(18-$HI20)*100)),100000+ABS(1-$HH20)*1000+180)))-IF((18=$HJ20)+(18=$HK20)+(18=$HL20)+(18=$HM20)+(18=$HN20)+(18=$HO20)&gt;=2,50,0))+U$5*50)</f>
        <v/>
      </c>
      <c r="V140">
        <f>IF(OR($JF20=0,calcA!$A$6=0),0,IF(OR(19=$HA20,19=$HD20,19=$HG20),200000,MIN(IF($HA20=0,999999,IF(1=$HB20,IF(19=$HJ20,IF($JC20=2,30,0),IF(19=$HK20,IF($JC20=1,30,0),ABS(19-$HC20)*100)),100000+ABS(1-$HB20)*1000+190)),IF($HD20=0,999999,IF(1=$HE20,IF(19=$HL20,IF($JD20=2,30,0),IF(19=$HM20,IF($JD20=1,30,0),ABS(19-$HF20)*100)),100000+ABS(1-$HE20)*1000+190)),IF($HG20=0,999999,IF(1=$HH20,IF(19=$HN20,IF($JE20=2,30,0),IF(19=$HO20,IF($JE20=1,30,0),ABS(19-$HI20)*100)),100000+ABS(1-$HH20)*1000+190)))-IF((19=$HJ20)+(19=$HK20)+(19=$HL20)+(19=$HM20)+(19=$HN20)+(19=$HO20)&gt;=2,50,0))+V$5*50)</f>
        <v/>
      </c>
      <c r="W140">
        <f>IF(OR($JF20=0,calcA!$A$6=0),0,IF(OR(20=$HA20,20=$HD20,20=$HG20),200000,MIN(IF($HA20=0,999999,IF(1=$HB20,IF(20=$HJ20,IF($JC20=2,30,0),IF(20=$HK20,IF($JC20=1,30,0),ABS(20-$HC20)*100)),100000+ABS(1-$HB20)*1000+200)),IF($HD20=0,999999,IF(1=$HE20,IF(20=$HL20,IF($JD20=2,30,0),IF(20=$HM20,IF($JD20=1,30,0),ABS(20-$HF20)*100)),100000+ABS(1-$HE20)*1000+200)),IF($HG20=0,999999,IF(1=$HH20,IF(20=$HN20,IF($JE20=2,30,0),IF(20=$HO20,IF($JE20=1,30,0),ABS(20-$HI20)*100)),100000+ABS(1-$HH20)*1000+200)))-IF((20=$HJ20)+(20=$HK20)+(20=$HL20)+(20=$HM20)+(20=$HN20)+(20=$HO20)&gt;=2,50,0))+W$5*50)</f>
        <v/>
      </c>
      <c r="X140">
        <f>IF(OR($JF20=0,calcA!$A$6=0),0,IF(OR(21=$HA20,21=$HD20,21=$HG20),200000,MIN(IF($HA20=0,999999,IF(1=$HB20,IF(21=$HJ20,IF($JC20=2,30,0),IF(21=$HK20,IF($JC20=1,30,0),ABS(21-$HC20)*100)),100000+ABS(1-$HB20)*1000+210)),IF($HD20=0,999999,IF(1=$HE20,IF(21=$HL20,IF($JD20=2,30,0),IF(21=$HM20,IF($JD20=1,30,0),ABS(21-$HF20)*100)),100000+ABS(1-$HE20)*1000+210)),IF($HG20=0,999999,IF(1=$HH20,IF(21=$HN20,IF($JE20=2,30,0),IF(21=$HO20,IF($JE20=1,30,0),ABS(21-$HI20)*100)),100000+ABS(1-$HH20)*1000+210)))-IF((21=$HJ20)+(21=$HK20)+(21=$HL20)+(21=$HM20)+(21=$HN20)+(21=$HO20)&gt;=2,50,0))+X$5*50)</f>
        <v/>
      </c>
      <c r="Y140">
        <f>IF(OR($JF20=0,calcA!$A$6=0),0,IF(OR(22=$HA20,22=$HD20,22=$HG20),200000,MIN(IF($HA20=0,999999,IF(1=$HB20,IF(22=$HJ20,IF($JC20=2,30,0),IF(22=$HK20,IF($JC20=1,30,0),ABS(22-$HC20)*100)),100000+ABS(1-$HB20)*1000+220)),IF($HD20=0,999999,IF(1=$HE20,IF(22=$HL20,IF($JD20=2,30,0),IF(22=$HM20,IF($JD20=1,30,0),ABS(22-$HF20)*100)),100000+ABS(1-$HE20)*1000+220)),IF($HG20=0,999999,IF(1=$HH20,IF(22=$HN20,IF($JE20=2,30,0),IF(22=$HO20,IF($JE20=1,30,0),ABS(22-$HI20)*100)),100000+ABS(1-$HH20)*1000+220)))-IF((22=$HJ20)+(22=$HK20)+(22=$HL20)+(22=$HM20)+(22=$HN20)+(22=$HO20)&gt;=2,50,0))+Y$5*50)</f>
        <v/>
      </c>
      <c r="Z140">
        <f>IF(OR($JF20=0,calcA!$A$6=0),0,IF(OR(23=$HA20,23=$HD20,23=$HG20),200000,MIN(IF($HA20=0,999999,IF(1=$HB20,IF(23=$HJ20,IF($JC20=2,30,0),IF(23=$HK20,IF($JC20=1,30,0),ABS(23-$HC20)*100)),100000+ABS(1-$HB20)*1000+230)),IF($HD20=0,999999,IF(1=$HE20,IF(23=$HL20,IF($JD20=2,30,0),IF(23=$HM20,IF($JD20=1,30,0),ABS(23-$HF20)*100)),100000+ABS(1-$HE20)*1000+230)),IF($HG20=0,999999,IF(1=$HH20,IF(23=$HN20,IF($JE20=2,30,0),IF(23=$HO20,IF($JE20=1,30,0),ABS(23-$HI20)*100)),100000+ABS(1-$HH20)*1000+230)))-IF((23=$HJ20)+(23=$HK20)+(23=$HL20)+(23=$HM20)+(23=$HN20)+(23=$HO20)&gt;=2,50,0))+Z$5*50)</f>
        <v/>
      </c>
      <c r="AA140">
        <f>IF(OR($JF20=0,calcA!$A$6=0),0,IF(OR(24=$HA20,24=$HD20,24=$HG20),200000,MIN(IF($HA20=0,999999,IF(1=$HB20,IF(24=$HJ20,IF($JC20=2,30,0),IF(24=$HK20,IF($JC20=1,30,0),ABS(24-$HC20)*100)),100000+ABS(1-$HB20)*1000+240)),IF($HD20=0,999999,IF(1=$HE20,IF(24=$HL20,IF($JD20=2,30,0),IF(24=$HM20,IF($JD20=1,30,0),ABS(24-$HF20)*100)),100000+ABS(1-$HE20)*1000+240)),IF($HG20=0,999999,IF(1=$HH20,IF(24=$HN20,IF($JE20=2,30,0),IF(24=$HO20,IF($JE20=1,30,0),ABS(24-$HI20)*100)),100000+ABS(1-$HH20)*1000+240)))-IF((24=$HJ20)+(24=$HK20)+(24=$HL20)+(24=$HM20)+(24=$HN20)+(24=$HO20)&gt;=2,50,0))+AA$5*50)</f>
        <v/>
      </c>
      <c r="AB140">
        <f>IF(OR($JF20=0,calcA!$A$6=0),0,IF(OR(25=$HA20,25=$HD20,25=$HG20),200000,MIN(IF($HA20=0,999999,IF(2=$HB20,IF(25=$HJ20,IF($JC20=2,30,0),IF(25=$HK20,IF($JC20=1,30,0),ABS(1-$HC20)*100)),100000+ABS(2-$HB20)*1000+10)),IF($HD20=0,999999,IF(2=$HE20,IF(25=$HL20,IF($JD20=2,30,0),IF(25=$HM20,IF($JD20=1,30,0),ABS(1-$HF20)*100)),100000+ABS(2-$HE20)*1000+10)),IF($HG20=0,999999,IF(2=$HH20,IF(25=$HN20,IF($JE20=2,30,0),IF(25=$HO20,IF($JE20=1,30,0),ABS(1-$HI20)*100)),100000+ABS(2-$HH20)*1000+10)))-IF((25=$HJ20)+(25=$HK20)+(25=$HL20)+(25=$HM20)+(25=$HN20)+(25=$HO20)&gt;=2,50,0))+AB$5*50)</f>
        <v/>
      </c>
      <c r="AC140">
        <f>IF(OR($JF20=0,calcA!$A$6=0),0,IF(OR(26=$HA20,26=$HD20,26=$HG20),200000,MIN(IF($HA20=0,999999,IF(2=$HB20,IF(26=$HJ20,IF($JC20=2,30,0),IF(26=$HK20,IF($JC20=1,30,0),ABS(2-$HC20)*100)),100000+ABS(2-$HB20)*1000+20)),IF($HD20=0,999999,IF(2=$HE20,IF(26=$HL20,IF($JD20=2,30,0),IF(26=$HM20,IF($JD20=1,30,0),ABS(2-$HF20)*100)),100000+ABS(2-$HE20)*1000+20)),IF($HG20=0,999999,IF(2=$HH20,IF(26=$HN20,IF($JE20=2,30,0),IF(26=$HO20,IF($JE20=1,30,0),ABS(2-$HI20)*100)),100000+ABS(2-$HH20)*1000+20)))-IF((26=$HJ20)+(26=$HK20)+(26=$HL20)+(26=$HM20)+(26=$HN20)+(26=$HO20)&gt;=2,50,0))+AC$5*50)</f>
        <v/>
      </c>
      <c r="AD140">
        <f>IF(OR($JF20=0,calcA!$A$6=0),0,IF(OR(27=$HA20,27=$HD20,27=$HG20),200000,MIN(IF($HA20=0,999999,IF(2=$HB20,IF(27=$HJ20,IF($JC20=2,30,0),IF(27=$HK20,IF($JC20=1,30,0),ABS(3-$HC20)*100)),100000+ABS(2-$HB20)*1000+30)),IF($HD20=0,999999,IF(2=$HE20,IF(27=$HL20,IF($JD20=2,30,0),IF(27=$HM20,IF($JD20=1,30,0),ABS(3-$HF20)*100)),100000+ABS(2-$HE20)*1000+30)),IF($HG20=0,999999,IF(2=$HH20,IF(27=$HN20,IF($JE20=2,30,0),IF(27=$HO20,IF($JE20=1,30,0),ABS(3-$HI20)*100)),100000+ABS(2-$HH20)*1000+30)))-IF((27=$HJ20)+(27=$HK20)+(27=$HL20)+(27=$HM20)+(27=$HN20)+(27=$HO20)&gt;=2,50,0))+AD$5*50)</f>
        <v/>
      </c>
      <c r="AE140">
        <f>IF(OR($JF20=0,calcA!$A$6=0),0,IF(OR(28=$HA20,28=$HD20,28=$HG20),200000,MIN(IF($HA20=0,999999,IF(2=$HB20,IF(28=$HJ20,IF($JC20=2,30,0),IF(28=$HK20,IF($JC20=1,30,0),ABS(4-$HC20)*100)),100000+ABS(2-$HB20)*1000+40)),IF($HD20=0,999999,IF(2=$HE20,IF(28=$HL20,IF($JD20=2,30,0),IF(28=$HM20,IF($JD20=1,30,0),ABS(4-$HF20)*100)),100000+ABS(2-$HE20)*1000+40)),IF($HG20=0,999999,IF(2=$HH20,IF(28=$HN20,IF($JE20=2,30,0),IF(28=$HO20,IF($JE20=1,30,0),ABS(4-$HI20)*100)),100000+ABS(2-$HH20)*1000+40)))-IF((28=$HJ20)+(28=$HK20)+(28=$HL20)+(28=$HM20)+(28=$HN20)+(28=$HO20)&gt;=2,50,0))+AE$5*50)</f>
        <v/>
      </c>
      <c r="AF140">
        <f>IF(OR($JF20=0,calcA!$A$6=0),0,IF(OR(29=$HA20,29=$HD20,29=$HG20),200000,MIN(IF($HA20=0,999999,IF(2=$HB20,IF(29=$HJ20,IF($JC20=2,30,0),IF(29=$HK20,IF($JC20=1,30,0),ABS(5-$HC20)*100)),100000+ABS(2-$HB20)*1000+50)),IF($HD20=0,999999,IF(2=$HE20,IF(29=$HL20,IF($JD20=2,30,0),IF(29=$HM20,IF($JD20=1,30,0),ABS(5-$HF20)*100)),100000+ABS(2-$HE20)*1000+50)),IF($HG20=0,999999,IF(2=$HH20,IF(29=$HN20,IF($JE20=2,30,0),IF(29=$HO20,IF($JE20=1,30,0),ABS(5-$HI20)*100)),100000+ABS(2-$HH20)*1000+50)))-IF((29=$HJ20)+(29=$HK20)+(29=$HL20)+(29=$HM20)+(29=$HN20)+(29=$HO20)&gt;=2,50,0))+AF$5*50)</f>
        <v/>
      </c>
      <c r="AG140">
        <f>IF(OR($JF20=0,calcA!$A$6=0),0,IF(OR(30=$HA20,30=$HD20,30=$HG20),200000,MIN(IF($HA20=0,999999,IF(2=$HB20,IF(30=$HJ20,IF($JC20=2,30,0),IF(30=$HK20,IF($JC20=1,30,0),ABS(6-$HC20)*100)),100000+ABS(2-$HB20)*1000+60)),IF($HD20=0,999999,IF(2=$HE20,IF(30=$HL20,IF($JD20=2,30,0),IF(30=$HM20,IF($JD20=1,30,0),ABS(6-$HF20)*100)),100000+ABS(2-$HE20)*1000+60)),IF($HG20=0,999999,IF(2=$HH20,IF(30=$HN20,IF($JE20=2,30,0),IF(30=$HO20,IF($JE20=1,30,0),ABS(6-$HI20)*100)),100000+ABS(2-$HH20)*1000+60)))-IF((30=$HJ20)+(30=$HK20)+(30=$HL20)+(30=$HM20)+(30=$HN20)+(30=$HO20)&gt;=2,50,0))+AG$5*50)</f>
        <v/>
      </c>
      <c r="AH140">
        <f>IF(OR($JF20=0,calcA!$A$6=0),0,IF(OR(31=$HA20,31=$HD20,31=$HG20),200000,MIN(IF($HA20=0,999999,IF(2=$HB20,IF(31=$HJ20,IF($JC20=2,30,0),IF(31=$HK20,IF($JC20=1,30,0),ABS(7-$HC20)*100)),100000+ABS(2-$HB20)*1000+70)),IF($HD20=0,999999,IF(2=$HE20,IF(31=$HL20,IF($JD20=2,30,0),IF(31=$HM20,IF($JD20=1,30,0),ABS(7-$HF20)*100)),100000+ABS(2-$HE20)*1000+70)),IF($HG20=0,999999,IF(2=$HH20,IF(31=$HN20,IF($JE20=2,30,0),IF(31=$HO20,IF($JE20=1,30,0),ABS(7-$HI20)*100)),100000+ABS(2-$HH20)*1000+70)))-IF((31=$HJ20)+(31=$HK20)+(31=$HL20)+(31=$HM20)+(31=$HN20)+(31=$HO20)&gt;=2,50,0))+AH$5*50)</f>
        <v/>
      </c>
      <c r="AI140">
        <f>IF(OR($JF20=0,calcA!$A$6=0),0,IF(OR(32=$HA20,32=$HD20,32=$HG20),200000,MIN(IF($HA20=0,999999,IF(2=$HB20,IF(32=$HJ20,IF($JC20=2,30,0),IF(32=$HK20,IF($JC20=1,30,0),ABS(8-$HC20)*100)),100000+ABS(2-$HB20)*1000+80)),IF($HD20=0,999999,IF(2=$HE20,IF(32=$HL20,IF($JD20=2,30,0),IF(32=$HM20,IF($JD20=1,30,0),ABS(8-$HF20)*100)),100000+ABS(2-$HE20)*1000+80)),IF($HG20=0,999999,IF(2=$HH20,IF(32=$HN20,IF($JE20=2,30,0),IF(32=$HO20,IF($JE20=1,30,0),ABS(8-$HI20)*100)),100000+ABS(2-$HH20)*1000+80)))-IF((32=$HJ20)+(32=$HK20)+(32=$HL20)+(32=$HM20)+(32=$HN20)+(32=$HO20)&gt;=2,50,0))+AI$5*50)</f>
        <v/>
      </c>
      <c r="AJ140">
        <f>IF(OR($JF20=0,calcA!$A$6=0),0,IF(OR(33=$HA20,33=$HD20,33=$HG20),200000,MIN(IF($HA20=0,999999,IF(2=$HB20,IF(33=$HJ20,IF($JC20=2,30,0),IF(33=$HK20,IF($JC20=1,30,0),ABS(9-$HC20)*100)),100000+ABS(2-$HB20)*1000+90)),IF($HD20=0,999999,IF(2=$HE20,IF(33=$HL20,IF($JD20=2,30,0),IF(33=$HM20,IF($JD20=1,30,0),ABS(9-$HF20)*100)),100000+ABS(2-$HE20)*1000+90)),IF($HG20=0,999999,IF(2=$HH20,IF(33=$HN20,IF($JE20=2,30,0),IF(33=$HO20,IF($JE20=1,30,0),ABS(9-$HI20)*100)),100000+ABS(2-$HH20)*1000+90)))-IF((33=$HJ20)+(33=$HK20)+(33=$HL20)+(33=$HM20)+(33=$HN20)+(33=$HO20)&gt;=2,50,0))+AJ$5*50)</f>
        <v/>
      </c>
      <c r="AK140">
        <f>IF(OR($JF20=0,calcA!$A$6=0),0,IF(OR(34=$HA20,34=$HD20,34=$HG20),200000,MIN(IF($HA20=0,999999,IF(2=$HB20,IF(34=$HJ20,IF($JC20=2,30,0),IF(34=$HK20,IF($JC20=1,30,0),ABS(10-$HC20)*100)),100000+ABS(2-$HB20)*1000+100)),IF($HD20=0,999999,IF(2=$HE20,IF(34=$HL20,IF($JD20=2,30,0),IF(34=$HM20,IF($JD20=1,30,0),ABS(10-$HF20)*100)),100000+ABS(2-$HE20)*1000+100)),IF($HG20=0,999999,IF(2=$HH20,IF(34=$HN20,IF($JE20=2,30,0),IF(34=$HO20,IF($JE20=1,30,0),ABS(10-$HI20)*100)),100000+ABS(2-$HH20)*1000+100)))-IF((34=$HJ20)+(34=$HK20)+(34=$HL20)+(34=$HM20)+(34=$HN20)+(34=$HO20)&gt;=2,50,0))+AK$5*50)</f>
        <v/>
      </c>
      <c r="AL140">
        <f>IF(OR($JF20=0,calcA!$A$6=0),0,IF(OR(35=$HA20,35=$HD20,35=$HG20),200000,MIN(IF($HA20=0,999999,IF(2=$HB20,IF(35=$HJ20,IF($JC20=2,30,0),IF(35=$HK20,IF($JC20=1,30,0),ABS(11-$HC20)*100)),100000+ABS(2-$HB20)*1000+110)),IF($HD20=0,999999,IF(2=$HE20,IF(35=$HL20,IF($JD20=2,30,0),IF(35=$HM20,IF($JD20=1,30,0),ABS(11-$HF20)*100)),100000+ABS(2-$HE20)*1000+110)),IF($HG20=0,999999,IF(2=$HH20,IF(35=$HN20,IF($JE20=2,30,0),IF(35=$HO20,IF($JE20=1,30,0),ABS(11-$HI20)*100)),100000+ABS(2-$HH20)*1000+110)))-IF((35=$HJ20)+(35=$HK20)+(35=$HL20)+(35=$HM20)+(35=$HN20)+(35=$HO20)&gt;=2,50,0))+AL$5*50)</f>
        <v/>
      </c>
      <c r="AM140">
        <f>IF(OR($JF20=0,calcA!$A$6=0),0,IF(OR(36=$HA20,36=$HD20,36=$HG20),200000,MIN(IF($HA20=0,999999,IF(2=$HB20,IF(36=$HJ20,IF($JC20=2,30,0),IF(36=$HK20,IF($JC20=1,30,0),ABS(12-$HC20)*100)),100000+ABS(2-$HB20)*1000+120)),IF($HD20=0,999999,IF(2=$HE20,IF(36=$HL20,IF($JD20=2,30,0),IF(36=$HM20,IF($JD20=1,30,0),ABS(12-$HF20)*100)),100000+ABS(2-$HE20)*1000+120)),IF($HG20=0,999999,IF(2=$HH20,IF(36=$HN20,IF($JE20=2,30,0),IF(36=$HO20,IF($JE20=1,30,0),ABS(12-$HI20)*100)),100000+ABS(2-$HH20)*1000+120)))-IF((36=$HJ20)+(36=$HK20)+(36=$HL20)+(36=$HM20)+(36=$HN20)+(36=$HO20)&gt;=2,50,0))+AM$5*50)</f>
        <v/>
      </c>
      <c r="AN140">
        <f>IF(OR($JF20=0,calcA!$A$6=0),0,IF(OR(37=$HA20,37=$HD20,37=$HG20),200000,MIN(IF($HA20=0,999999,IF(2=$HB20,IF(37=$HJ20,IF($JC20=2,30,0),IF(37=$HK20,IF($JC20=1,30,0),ABS(13-$HC20)*100)),100000+ABS(2-$HB20)*1000+130)),IF($HD20=0,999999,IF(2=$HE20,IF(37=$HL20,IF($JD20=2,30,0),IF(37=$HM20,IF($JD20=1,30,0),ABS(13-$HF20)*100)),100000+ABS(2-$HE20)*1000+130)),IF($HG20=0,999999,IF(2=$HH20,IF(37=$HN20,IF($JE20=2,30,0),IF(37=$HO20,IF($JE20=1,30,0),ABS(13-$HI20)*100)),100000+ABS(2-$HH20)*1000+130)))-IF((37=$HJ20)+(37=$HK20)+(37=$HL20)+(37=$HM20)+(37=$HN20)+(37=$HO20)&gt;=2,50,0))+AN$5*50)</f>
        <v/>
      </c>
      <c r="AO140">
        <f>IF(OR($JF20=0,calcA!$A$6=0),0,IF(OR(38=$HA20,38=$HD20,38=$HG20),200000,MIN(IF($HA20=0,999999,IF(2=$HB20,IF(38=$HJ20,IF($JC20=2,30,0),IF(38=$HK20,IF($JC20=1,30,0),ABS(14-$HC20)*100)),100000+ABS(2-$HB20)*1000+140)),IF($HD20=0,999999,IF(2=$HE20,IF(38=$HL20,IF($JD20=2,30,0),IF(38=$HM20,IF($JD20=1,30,0),ABS(14-$HF20)*100)),100000+ABS(2-$HE20)*1000+140)),IF($HG20=0,999999,IF(2=$HH20,IF(38=$HN20,IF($JE20=2,30,0),IF(38=$HO20,IF($JE20=1,30,0),ABS(14-$HI20)*100)),100000+ABS(2-$HH20)*1000+140)))-IF((38=$HJ20)+(38=$HK20)+(38=$HL20)+(38=$HM20)+(38=$HN20)+(38=$HO20)&gt;=2,50,0))+AO$5*50)</f>
        <v/>
      </c>
      <c r="AP140">
        <f>IF(OR($JF20=0,calcA!$A$6=0),0,IF(OR(39=$HA20,39=$HD20,39=$HG20),200000,MIN(IF($HA20=0,999999,IF(2=$HB20,IF(39=$HJ20,IF($JC20=2,30,0),IF(39=$HK20,IF($JC20=1,30,0),ABS(15-$HC20)*100)),100000+ABS(2-$HB20)*1000+150)),IF($HD20=0,999999,IF(2=$HE20,IF(39=$HL20,IF($JD20=2,30,0),IF(39=$HM20,IF($JD20=1,30,0),ABS(15-$HF20)*100)),100000+ABS(2-$HE20)*1000+150)),IF($HG20=0,999999,IF(2=$HH20,IF(39=$HN20,IF($JE20=2,30,0),IF(39=$HO20,IF($JE20=1,30,0),ABS(15-$HI20)*100)),100000+ABS(2-$HH20)*1000+150)))-IF((39=$HJ20)+(39=$HK20)+(39=$HL20)+(39=$HM20)+(39=$HN20)+(39=$HO20)&gt;=2,50,0))+AP$5*50)</f>
        <v/>
      </c>
      <c r="AQ140">
        <f>IF(OR($JF20=0,calcA!$A$6=0),0,IF(OR(40=$HA20,40=$HD20,40=$HG20),200000,MIN(IF($HA20=0,999999,IF(2=$HB20,IF(40=$HJ20,IF($JC20=2,30,0),IF(40=$HK20,IF($JC20=1,30,0),ABS(16-$HC20)*100)),100000+ABS(2-$HB20)*1000+160)),IF($HD20=0,999999,IF(2=$HE20,IF(40=$HL20,IF($JD20=2,30,0),IF(40=$HM20,IF($JD20=1,30,0),ABS(16-$HF20)*100)),100000+ABS(2-$HE20)*1000+160)),IF($HG20=0,999999,IF(2=$HH20,IF(40=$HN20,IF($JE20=2,30,0),IF(40=$HO20,IF($JE20=1,30,0),ABS(16-$HI20)*100)),100000+ABS(2-$HH20)*1000+160)))-IF((40=$HJ20)+(40=$HK20)+(40=$HL20)+(40=$HM20)+(40=$HN20)+(40=$HO20)&gt;=2,50,0))+AQ$5*50)</f>
        <v/>
      </c>
      <c r="AR140">
        <f>IF(OR($JF20=0,calcA!$A$6=0),0,IF(OR(41=$HA20,41=$HD20,41=$HG20),200000,MIN(IF($HA20=0,999999,IF(2=$HB20,IF(41=$HJ20,IF($JC20=2,30,0),IF(41=$HK20,IF($JC20=1,30,0),ABS(17-$HC20)*100)),100000+ABS(2-$HB20)*1000+170)),IF($HD20=0,999999,IF(2=$HE20,IF(41=$HL20,IF($JD20=2,30,0),IF(41=$HM20,IF($JD20=1,30,0),ABS(17-$HF20)*100)),100000+ABS(2-$HE20)*1000+170)),IF($HG20=0,999999,IF(2=$HH20,IF(41=$HN20,IF($JE20=2,30,0),IF(41=$HO20,IF($JE20=1,30,0),ABS(17-$HI20)*100)),100000+ABS(2-$HH20)*1000+170)))-IF((41=$HJ20)+(41=$HK20)+(41=$HL20)+(41=$HM20)+(41=$HN20)+(41=$HO20)&gt;=2,50,0))+AR$5*50)</f>
        <v/>
      </c>
      <c r="AS140">
        <f>IF(OR($JF20=0,calcA!$A$6=0),0,IF(OR(42=$HA20,42=$HD20,42=$HG20),200000,MIN(IF($HA20=0,999999,IF(2=$HB20,IF(42=$HJ20,IF($JC20=2,30,0),IF(42=$HK20,IF($JC20=1,30,0),ABS(18-$HC20)*100)),100000+ABS(2-$HB20)*1000+180)),IF($HD20=0,999999,IF(2=$HE20,IF(42=$HL20,IF($JD20=2,30,0),IF(42=$HM20,IF($JD20=1,30,0),ABS(18-$HF20)*100)),100000+ABS(2-$HE20)*1000+180)),IF($HG20=0,999999,IF(2=$HH20,IF(42=$HN20,IF($JE20=2,30,0),IF(42=$HO20,IF($JE20=1,30,0),ABS(18-$HI20)*100)),100000+ABS(2-$HH20)*1000+180)))-IF((42=$HJ20)+(42=$HK20)+(42=$HL20)+(42=$HM20)+(42=$HN20)+(42=$HO20)&gt;=2,50,0))+AS$5*50)</f>
        <v/>
      </c>
      <c r="AT140">
        <f>IF(OR($JF20=0,calcA!$A$6=0),0,IF(OR(43=$HA20,43=$HD20,43=$HG20),200000,MIN(IF($HA20=0,999999,IF(2=$HB20,IF(43=$HJ20,IF($JC20=2,30,0),IF(43=$HK20,IF($JC20=1,30,0),ABS(19-$HC20)*100)),100000+ABS(2-$HB20)*1000+190)),IF($HD20=0,999999,IF(2=$HE20,IF(43=$HL20,IF($JD20=2,30,0),IF(43=$HM20,IF($JD20=1,30,0),ABS(19-$HF20)*100)),100000+ABS(2-$HE20)*1000+190)),IF($HG20=0,999999,IF(2=$HH20,IF(43=$HN20,IF($JE20=2,30,0),IF(43=$HO20,IF($JE20=1,30,0),ABS(19-$HI20)*100)),100000+ABS(2-$HH20)*1000+190)))-IF((43=$HJ20)+(43=$HK20)+(43=$HL20)+(43=$HM20)+(43=$HN20)+(43=$HO20)&gt;=2,50,0))+AT$5*50)</f>
        <v/>
      </c>
      <c r="AU140">
        <f>IF(OR($JF20=0,calcA!$A$6=0),0,IF(OR(44=$HA20,44=$HD20,44=$HG20),200000,MIN(IF($HA20=0,999999,IF(2=$HB20,IF(44=$HJ20,IF($JC20=2,30,0),IF(44=$HK20,IF($JC20=1,30,0),ABS(20-$HC20)*100)),100000+ABS(2-$HB20)*1000+200)),IF($HD20=0,999999,IF(2=$HE20,IF(44=$HL20,IF($JD20=2,30,0),IF(44=$HM20,IF($JD20=1,30,0),ABS(20-$HF20)*100)),100000+ABS(2-$HE20)*1000+200)),IF($HG20=0,999999,IF(2=$HH20,IF(44=$HN20,IF($JE20=2,30,0),IF(44=$HO20,IF($JE20=1,30,0),ABS(20-$HI20)*100)),100000+ABS(2-$HH20)*1000+200)))-IF((44=$HJ20)+(44=$HK20)+(44=$HL20)+(44=$HM20)+(44=$HN20)+(44=$HO20)&gt;=2,50,0))+AU$5*50)</f>
        <v/>
      </c>
      <c r="AV140">
        <f>IF(OR($JF20=0,calcA!$A$6=0),0,IF(OR(45=$HA20,45=$HD20,45=$HG20),200000,MIN(IF($HA20=0,999999,IF(2=$HB20,IF(45=$HJ20,IF($JC20=2,30,0),IF(45=$HK20,IF($JC20=1,30,0),ABS(21-$HC20)*100)),100000+ABS(2-$HB20)*1000+210)),IF($HD20=0,999999,IF(2=$HE20,IF(45=$HL20,IF($JD20=2,30,0),IF(45=$HM20,IF($JD20=1,30,0),ABS(21-$HF20)*100)),100000+ABS(2-$HE20)*1000+210)),IF($HG20=0,999999,IF(2=$HH20,IF(45=$HN20,IF($JE20=2,30,0),IF(45=$HO20,IF($JE20=1,30,0),ABS(21-$HI20)*100)),100000+ABS(2-$HH20)*1000+210)))-IF((45=$HJ20)+(45=$HK20)+(45=$HL20)+(45=$HM20)+(45=$HN20)+(45=$HO20)&gt;=2,50,0))+AV$5*50)</f>
        <v/>
      </c>
      <c r="AW140">
        <f>IF(OR($JF20=0,calcA!$A$6=0),0,IF(OR(46=$HA20,46=$HD20,46=$HG20),200000,MIN(IF($HA20=0,999999,IF(2=$HB20,IF(46=$HJ20,IF($JC20=2,30,0),IF(46=$HK20,IF($JC20=1,30,0),ABS(22-$HC20)*100)),100000+ABS(2-$HB20)*1000+220)),IF($HD20=0,999999,IF(2=$HE20,IF(46=$HL20,IF($JD20=2,30,0),IF(46=$HM20,IF($JD20=1,30,0),ABS(22-$HF20)*100)),100000+ABS(2-$HE20)*1000+220)),IF($HG20=0,999999,IF(2=$HH20,IF(46=$HN20,IF($JE20=2,30,0),IF(46=$HO20,IF($JE20=1,30,0),ABS(22-$HI20)*100)),100000+ABS(2-$HH20)*1000+220)))-IF((46=$HJ20)+(46=$HK20)+(46=$HL20)+(46=$HM20)+(46=$HN20)+(46=$HO20)&gt;=2,50,0))+AW$5*50)</f>
        <v/>
      </c>
      <c r="AX140">
        <f>IF(OR($JF20=0,calcA!$A$6=0),0,IF(OR(47=$HA20,47=$HD20,47=$HG20),200000,MIN(IF($HA20=0,999999,IF(2=$HB20,IF(47=$HJ20,IF($JC20=2,30,0),IF(47=$HK20,IF($JC20=1,30,0),ABS(23-$HC20)*100)),100000+ABS(2-$HB20)*1000+230)),IF($HD20=0,999999,IF(2=$HE20,IF(47=$HL20,IF($JD20=2,30,0),IF(47=$HM20,IF($JD20=1,30,0),ABS(23-$HF20)*100)),100000+ABS(2-$HE20)*1000+230)),IF($HG20=0,999999,IF(2=$HH20,IF(47=$HN20,IF($JE20=2,30,0),IF(47=$HO20,IF($JE20=1,30,0),ABS(23-$HI20)*100)),100000+ABS(2-$HH20)*1000+230)))-IF((47=$HJ20)+(47=$HK20)+(47=$HL20)+(47=$HM20)+(47=$HN20)+(47=$HO20)&gt;=2,50,0))+AX$5*50)</f>
        <v/>
      </c>
      <c r="AY140">
        <f>IF(OR($JF20=0,calcA!$A$6=0),0,IF(OR(48=$HA20,48=$HD20,48=$HG20),200000,MIN(IF($HA20=0,999999,IF(2=$HB20,IF(48=$HJ20,IF($JC20=2,30,0),IF(48=$HK20,IF($JC20=1,30,0),ABS(24-$HC20)*100)),100000+ABS(2-$HB20)*1000+240)),IF($HD20=0,999999,IF(2=$HE20,IF(48=$HL20,IF($JD20=2,30,0),IF(48=$HM20,IF($JD20=1,30,0),ABS(24-$HF20)*100)),100000+ABS(2-$HE20)*1000+240)),IF($HG20=0,999999,IF(2=$HH20,IF(48=$HN20,IF($JE20=2,30,0),IF(48=$HO20,IF($JE20=1,30,0),ABS(24-$HI20)*100)),100000+ABS(2-$HH20)*1000+240)))-IF((48=$HJ20)+(48=$HK20)+(48=$HL20)+(48=$HM20)+(48=$HN20)+(48=$HO20)&gt;=2,50,0))+AY$5*50)</f>
        <v/>
      </c>
      <c r="AZ140">
        <f>IF(OR($JF20=0,calcA!$A$6=0),0,IF(OR(49=$HA20,49=$HD20,49=$HG20),200000,MIN(IF($HA20=0,999999,IF(3=$HB20,IF(49=$HJ20,IF($JC20=2,30,0),IF(49=$HK20,IF($JC20=1,30,0),ABS(1-$HC20)*100)),100000+ABS(3-$HB20)*1000+10)),IF($HD20=0,999999,IF(3=$HE20,IF(49=$HL20,IF($JD20=2,30,0),IF(49=$HM20,IF($JD20=1,30,0),ABS(1-$HF20)*100)),100000+ABS(3-$HE20)*1000+10)),IF($HG20=0,999999,IF(3=$HH20,IF(49=$HN20,IF($JE20=2,30,0),IF(49=$HO20,IF($JE20=1,30,0),ABS(1-$HI20)*100)),100000+ABS(3-$HH20)*1000+10)))-IF((49=$HJ20)+(49=$HK20)+(49=$HL20)+(49=$HM20)+(49=$HN20)+(49=$HO20)&gt;=2,50,0))+AZ$5*50)</f>
        <v/>
      </c>
      <c r="BA140">
        <f>IF(OR($JF20=0,calcA!$A$6=0),0,IF(OR(50=$HA20,50=$HD20,50=$HG20),200000,MIN(IF($HA20=0,999999,IF(3=$HB20,IF(50=$HJ20,IF($JC20=2,30,0),IF(50=$HK20,IF($JC20=1,30,0),ABS(2-$HC20)*100)),100000+ABS(3-$HB20)*1000+20)),IF($HD20=0,999999,IF(3=$HE20,IF(50=$HL20,IF($JD20=2,30,0),IF(50=$HM20,IF($JD20=1,30,0),ABS(2-$HF20)*100)),100000+ABS(3-$HE20)*1000+20)),IF($HG20=0,999999,IF(3=$HH20,IF(50=$HN20,IF($JE20=2,30,0),IF(50=$HO20,IF($JE20=1,30,0),ABS(2-$HI20)*100)),100000+ABS(3-$HH20)*1000+20)))-IF((50=$HJ20)+(50=$HK20)+(50=$HL20)+(50=$HM20)+(50=$HN20)+(50=$HO20)&gt;=2,50,0))+BA$5*50)</f>
        <v/>
      </c>
      <c r="BB140">
        <f>IF(OR($JF20=0,calcA!$A$6=0),0,IF(OR(51=$HA20,51=$HD20,51=$HG20),200000,MIN(IF($HA20=0,999999,IF(3=$HB20,IF(51=$HJ20,IF($JC20=2,30,0),IF(51=$HK20,IF($JC20=1,30,0),ABS(3-$HC20)*100)),100000+ABS(3-$HB20)*1000+30)),IF($HD20=0,999999,IF(3=$HE20,IF(51=$HL20,IF($JD20=2,30,0),IF(51=$HM20,IF($JD20=1,30,0),ABS(3-$HF20)*100)),100000+ABS(3-$HE20)*1000+30)),IF($HG20=0,999999,IF(3=$HH20,IF(51=$HN20,IF($JE20=2,30,0),IF(51=$HO20,IF($JE20=1,30,0),ABS(3-$HI20)*100)),100000+ABS(3-$HH20)*1000+30)))-IF((51=$HJ20)+(51=$HK20)+(51=$HL20)+(51=$HM20)+(51=$HN20)+(51=$HO20)&gt;=2,50,0))+BB$5*50)</f>
        <v/>
      </c>
      <c r="BC140">
        <f>IF(OR($JF20=0,calcA!$A$6=0),0,IF(OR(52=$HA20,52=$HD20,52=$HG20),200000,MIN(IF($HA20=0,999999,IF(3=$HB20,IF(52=$HJ20,IF($JC20=2,30,0),IF(52=$HK20,IF($JC20=1,30,0),ABS(4-$HC20)*100)),100000+ABS(3-$HB20)*1000+40)),IF($HD20=0,999999,IF(3=$HE20,IF(52=$HL20,IF($JD20=2,30,0),IF(52=$HM20,IF($JD20=1,30,0),ABS(4-$HF20)*100)),100000+ABS(3-$HE20)*1000+40)),IF($HG20=0,999999,IF(3=$HH20,IF(52=$HN20,IF($JE20=2,30,0),IF(52=$HO20,IF($JE20=1,30,0),ABS(4-$HI20)*100)),100000+ABS(3-$HH20)*1000+40)))-IF((52=$HJ20)+(52=$HK20)+(52=$HL20)+(52=$HM20)+(52=$HN20)+(52=$HO20)&gt;=2,50,0))+BC$5*50)</f>
        <v/>
      </c>
      <c r="BD140">
        <f>IF(OR($JF20=0,calcA!$A$6=0),0,IF(OR(53=$HA20,53=$HD20,53=$HG20),200000,MIN(IF($HA20=0,999999,IF(3=$HB20,IF(53=$HJ20,IF($JC20=2,30,0),IF(53=$HK20,IF($JC20=1,30,0),ABS(5-$HC20)*100)),100000+ABS(3-$HB20)*1000+50)),IF($HD20=0,999999,IF(3=$HE20,IF(53=$HL20,IF($JD20=2,30,0),IF(53=$HM20,IF($JD20=1,30,0),ABS(5-$HF20)*100)),100000+ABS(3-$HE20)*1000+50)),IF($HG20=0,999999,IF(3=$HH20,IF(53=$HN20,IF($JE20=2,30,0),IF(53=$HO20,IF($JE20=1,30,0),ABS(5-$HI20)*100)),100000+ABS(3-$HH20)*1000+50)))-IF((53=$HJ20)+(53=$HK20)+(53=$HL20)+(53=$HM20)+(53=$HN20)+(53=$HO20)&gt;=2,50,0))+BD$5*50)</f>
        <v/>
      </c>
      <c r="BE140">
        <f>IF(OR($JF20=0,calcA!$A$6=0),0,IF(OR(54=$HA20,54=$HD20,54=$HG20),200000,MIN(IF($HA20=0,999999,IF(3=$HB20,IF(54=$HJ20,IF($JC20=2,30,0),IF(54=$HK20,IF($JC20=1,30,0),ABS(6-$HC20)*100)),100000+ABS(3-$HB20)*1000+60)),IF($HD20=0,999999,IF(3=$HE20,IF(54=$HL20,IF($JD20=2,30,0),IF(54=$HM20,IF($JD20=1,30,0),ABS(6-$HF20)*100)),100000+ABS(3-$HE20)*1000+60)),IF($HG20=0,999999,IF(3=$HH20,IF(54=$HN20,IF($JE20=2,30,0),IF(54=$HO20,IF($JE20=1,30,0),ABS(6-$HI20)*100)),100000+ABS(3-$HH20)*1000+60)))-IF((54=$HJ20)+(54=$HK20)+(54=$HL20)+(54=$HM20)+(54=$HN20)+(54=$HO20)&gt;=2,50,0))+BE$5*50)</f>
        <v/>
      </c>
      <c r="BF140">
        <f>IF(OR($JF20=0,calcA!$A$6=0),0,IF(OR(55=$HA20,55=$HD20,55=$HG20),200000,MIN(IF($HA20=0,999999,IF(3=$HB20,IF(55=$HJ20,IF($JC20=2,30,0),IF(55=$HK20,IF($JC20=1,30,0),ABS(7-$HC20)*100)),100000+ABS(3-$HB20)*1000+70)),IF($HD20=0,999999,IF(3=$HE20,IF(55=$HL20,IF($JD20=2,30,0),IF(55=$HM20,IF($JD20=1,30,0),ABS(7-$HF20)*100)),100000+ABS(3-$HE20)*1000+70)),IF($HG20=0,999999,IF(3=$HH20,IF(55=$HN20,IF($JE20=2,30,0),IF(55=$HO20,IF($JE20=1,30,0),ABS(7-$HI20)*100)),100000+ABS(3-$HH20)*1000+70)))-IF((55=$HJ20)+(55=$HK20)+(55=$HL20)+(55=$HM20)+(55=$HN20)+(55=$HO20)&gt;=2,50,0))+BF$5*50)</f>
        <v/>
      </c>
      <c r="BG140">
        <f>IF(OR($JF20=0,calcA!$A$6=0),0,IF(OR(56=$HA20,56=$HD20,56=$HG20),200000,MIN(IF($HA20=0,999999,IF(3=$HB20,IF(56=$HJ20,IF($JC20=2,30,0),IF(56=$HK20,IF($JC20=1,30,0),ABS(8-$HC20)*100)),100000+ABS(3-$HB20)*1000+80)),IF($HD20=0,999999,IF(3=$HE20,IF(56=$HL20,IF($JD20=2,30,0),IF(56=$HM20,IF($JD20=1,30,0),ABS(8-$HF20)*100)),100000+ABS(3-$HE20)*1000+80)),IF($HG20=0,999999,IF(3=$HH20,IF(56=$HN20,IF($JE20=2,30,0),IF(56=$HO20,IF($JE20=1,30,0),ABS(8-$HI20)*100)),100000+ABS(3-$HH20)*1000+80)))-IF((56=$HJ20)+(56=$HK20)+(56=$HL20)+(56=$HM20)+(56=$HN20)+(56=$HO20)&gt;=2,50,0))+BG$5*50)</f>
        <v/>
      </c>
      <c r="BH140">
        <f>IF(OR($JF20=0,calcA!$A$6=0),0,IF(OR(57=$HA20,57=$HD20,57=$HG20),200000,MIN(IF($HA20=0,999999,IF(3=$HB20,IF(57=$HJ20,IF($JC20=2,30,0),IF(57=$HK20,IF($JC20=1,30,0),ABS(9-$HC20)*100)),100000+ABS(3-$HB20)*1000+90)),IF($HD20=0,999999,IF(3=$HE20,IF(57=$HL20,IF($JD20=2,30,0),IF(57=$HM20,IF($JD20=1,30,0),ABS(9-$HF20)*100)),100000+ABS(3-$HE20)*1000+90)),IF($HG20=0,999999,IF(3=$HH20,IF(57=$HN20,IF($JE20=2,30,0),IF(57=$HO20,IF($JE20=1,30,0),ABS(9-$HI20)*100)),100000+ABS(3-$HH20)*1000+90)))-IF((57=$HJ20)+(57=$HK20)+(57=$HL20)+(57=$HM20)+(57=$HN20)+(57=$HO20)&gt;=2,50,0))+BH$5*50)</f>
        <v/>
      </c>
      <c r="BI140">
        <f>IF(OR($JF20=0,calcA!$A$6=0),0,IF(OR(58=$HA20,58=$HD20,58=$HG20),200000,MIN(IF($HA20=0,999999,IF(3=$HB20,IF(58=$HJ20,IF($JC20=2,30,0),IF(58=$HK20,IF($JC20=1,30,0),ABS(10-$HC20)*100)),100000+ABS(3-$HB20)*1000+100)),IF($HD20=0,999999,IF(3=$HE20,IF(58=$HL20,IF($JD20=2,30,0),IF(58=$HM20,IF($JD20=1,30,0),ABS(10-$HF20)*100)),100000+ABS(3-$HE20)*1000+100)),IF($HG20=0,999999,IF(3=$HH20,IF(58=$HN20,IF($JE20=2,30,0),IF(58=$HO20,IF($JE20=1,30,0),ABS(10-$HI20)*100)),100000+ABS(3-$HH20)*1000+100)))-IF((58=$HJ20)+(58=$HK20)+(58=$HL20)+(58=$HM20)+(58=$HN20)+(58=$HO20)&gt;=2,50,0))+BI$5*50)</f>
        <v/>
      </c>
      <c r="BJ140">
        <f>IF(OR($JF20=0,calcA!$A$6=0),0,IF(OR(59=$HA20,59=$HD20,59=$HG20),200000,MIN(IF($HA20=0,999999,IF(3=$HB20,IF(59=$HJ20,IF($JC20=2,30,0),IF(59=$HK20,IF($JC20=1,30,0),ABS(11-$HC20)*100)),100000+ABS(3-$HB20)*1000+110)),IF($HD20=0,999999,IF(3=$HE20,IF(59=$HL20,IF($JD20=2,30,0),IF(59=$HM20,IF($JD20=1,30,0),ABS(11-$HF20)*100)),100000+ABS(3-$HE20)*1000+110)),IF($HG20=0,999999,IF(3=$HH20,IF(59=$HN20,IF($JE20=2,30,0),IF(59=$HO20,IF($JE20=1,30,0),ABS(11-$HI20)*100)),100000+ABS(3-$HH20)*1000+110)))-IF((59=$HJ20)+(59=$HK20)+(59=$HL20)+(59=$HM20)+(59=$HN20)+(59=$HO20)&gt;=2,50,0))+BJ$5*50)</f>
        <v/>
      </c>
      <c r="BK140">
        <f>IF(OR($JF20=0,calcA!$A$6=0),0,IF(OR(60=$HA20,60=$HD20,60=$HG20),200000,MIN(IF($HA20=0,999999,IF(3=$HB20,IF(60=$HJ20,IF($JC20=2,30,0),IF(60=$HK20,IF($JC20=1,30,0),ABS(12-$HC20)*100)),100000+ABS(3-$HB20)*1000+120)),IF($HD20=0,999999,IF(3=$HE20,IF(60=$HL20,IF($JD20=2,30,0),IF(60=$HM20,IF($JD20=1,30,0),ABS(12-$HF20)*100)),100000+ABS(3-$HE20)*1000+120)),IF($HG20=0,999999,IF(3=$HH20,IF(60=$HN20,IF($JE20=2,30,0),IF(60=$HO20,IF($JE20=1,30,0),ABS(12-$HI20)*100)),100000+ABS(3-$HH20)*1000+120)))-IF((60=$HJ20)+(60=$HK20)+(60=$HL20)+(60=$HM20)+(60=$HN20)+(60=$HO20)&gt;=2,50,0))+BK$5*50)</f>
        <v/>
      </c>
      <c r="BL140">
        <f>IF(OR($JF20=0,calcA!$A$6=0),0,IF(OR(61=$HA20,61=$HD20,61=$HG20),200000,MIN(IF($HA20=0,999999,IF(3=$HB20,IF(61=$HJ20,IF($JC20=2,30,0),IF(61=$HK20,IF($JC20=1,30,0),ABS(13-$HC20)*100)),100000+ABS(3-$HB20)*1000+130)),IF($HD20=0,999999,IF(3=$HE20,IF(61=$HL20,IF($JD20=2,30,0),IF(61=$HM20,IF($JD20=1,30,0),ABS(13-$HF20)*100)),100000+ABS(3-$HE20)*1000+130)),IF($HG20=0,999999,IF(3=$HH20,IF(61=$HN20,IF($JE20=2,30,0),IF(61=$HO20,IF($JE20=1,30,0),ABS(13-$HI20)*100)),100000+ABS(3-$HH20)*1000+130)))-IF((61=$HJ20)+(61=$HK20)+(61=$HL20)+(61=$HM20)+(61=$HN20)+(61=$HO20)&gt;=2,50,0))+BL$5*50)</f>
        <v/>
      </c>
      <c r="BM140">
        <f>IF(OR($JF20=0,calcA!$A$6=0),0,IF(OR(62=$HA20,62=$HD20,62=$HG20),200000,MIN(IF($HA20=0,999999,IF(3=$HB20,IF(62=$HJ20,IF($JC20=2,30,0),IF(62=$HK20,IF($JC20=1,30,0),ABS(14-$HC20)*100)),100000+ABS(3-$HB20)*1000+140)),IF($HD20=0,999999,IF(3=$HE20,IF(62=$HL20,IF($JD20=2,30,0),IF(62=$HM20,IF($JD20=1,30,0),ABS(14-$HF20)*100)),100000+ABS(3-$HE20)*1000+140)),IF($HG20=0,999999,IF(3=$HH20,IF(62=$HN20,IF($JE20=2,30,0),IF(62=$HO20,IF($JE20=1,30,0),ABS(14-$HI20)*100)),100000+ABS(3-$HH20)*1000+140)))-IF((62=$HJ20)+(62=$HK20)+(62=$HL20)+(62=$HM20)+(62=$HN20)+(62=$HO20)&gt;=2,50,0))+BM$5*50)</f>
        <v/>
      </c>
      <c r="BN140">
        <f>IF(OR($JF20=0,calcA!$A$6=0),0,IF(OR(63=$HA20,63=$HD20,63=$HG20),200000,MIN(IF($HA20=0,999999,IF(3=$HB20,IF(63=$HJ20,IF($JC20=2,30,0),IF(63=$HK20,IF($JC20=1,30,0),ABS(15-$HC20)*100)),100000+ABS(3-$HB20)*1000+150)),IF($HD20=0,999999,IF(3=$HE20,IF(63=$HL20,IF($JD20=2,30,0),IF(63=$HM20,IF($JD20=1,30,0),ABS(15-$HF20)*100)),100000+ABS(3-$HE20)*1000+150)),IF($HG20=0,999999,IF(3=$HH20,IF(63=$HN20,IF($JE20=2,30,0),IF(63=$HO20,IF($JE20=1,30,0),ABS(15-$HI20)*100)),100000+ABS(3-$HH20)*1000+150)))-IF((63=$HJ20)+(63=$HK20)+(63=$HL20)+(63=$HM20)+(63=$HN20)+(63=$HO20)&gt;=2,50,0))+BN$5*50)</f>
        <v/>
      </c>
      <c r="BO140">
        <f>IF(OR($JF20=0,calcA!$A$6=0),0,IF(OR(64=$HA20,64=$HD20,64=$HG20),200000,MIN(IF($HA20=0,999999,IF(3=$HB20,IF(64=$HJ20,IF($JC20=2,30,0),IF(64=$HK20,IF($JC20=1,30,0),ABS(16-$HC20)*100)),100000+ABS(3-$HB20)*1000+160)),IF($HD20=0,999999,IF(3=$HE20,IF(64=$HL20,IF($JD20=2,30,0),IF(64=$HM20,IF($JD20=1,30,0),ABS(16-$HF20)*100)),100000+ABS(3-$HE20)*1000+160)),IF($HG20=0,999999,IF(3=$HH20,IF(64=$HN20,IF($JE20=2,30,0),IF(64=$HO20,IF($JE20=1,30,0),ABS(16-$HI20)*100)),100000+ABS(3-$HH20)*1000+160)))-IF((64=$HJ20)+(64=$HK20)+(64=$HL20)+(64=$HM20)+(64=$HN20)+(64=$HO20)&gt;=2,50,0))+BO$5*50)</f>
        <v/>
      </c>
      <c r="BP140">
        <f>IF(OR($JF20=0,calcA!$A$6=0),0,IF(OR(65=$HA20,65=$HD20,65=$HG20),200000,MIN(IF($HA20=0,999999,IF(3=$HB20,IF(65=$HJ20,IF($JC20=2,30,0),IF(65=$HK20,IF($JC20=1,30,0),ABS(17-$HC20)*100)),100000+ABS(3-$HB20)*1000+170)),IF($HD20=0,999999,IF(3=$HE20,IF(65=$HL20,IF($JD20=2,30,0),IF(65=$HM20,IF($JD20=1,30,0),ABS(17-$HF20)*100)),100000+ABS(3-$HE20)*1000+170)),IF($HG20=0,999999,IF(3=$HH20,IF(65=$HN20,IF($JE20=2,30,0),IF(65=$HO20,IF($JE20=1,30,0),ABS(17-$HI20)*100)),100000+ABS(3-$HH20)*1000+170)))-IF((65=$HJ20)+(65=$HK20)+(65=$HL20)+(65=$HM20)+(65=$HN20)+(65=$HO20)&gt;=2,50,0))+BP$5*50)</f>
        <v/>
      </c>
      <c r="BQ140">
        <f>IF(OR($JF20=0,calcA!$A$6=0),0,IF(OR(66=$HA20,66=$HD20,66=$HG20),200000,MIN(IF($HA20=0,999999,IF(3=$HB20,IF(66=$HJ20,IF($JC20=2,30,0),IF(66=$HK20,IF($JC20=1,30,0),ABS(18-$HC20)*100)),100000+ABS(3-$HB20)*1000+180)),IF($HD20=0,999999,IF(3=$HE20,IF(66=$HL20,IF($JD20=2,30,0),IF(66=$HM20,IF($JD20=1,30,0),ABS(18-$HF20)*100)),100000+ABS(3-$HE20)*1000+180)),IF($HG20=0,999999,IF(3=$HH20,IF(66=$HN20,IF($JE20=2,30,0),IF(66=$HO20,IF($JE20=1,30,0),ABS(18-$HI20)*100)),100000+ABS(3-$HH20)*1000+180)))-IF((66=$HJ20)+(66=$HK20)+(66=$HL20)+(66=$HM20)+(66=$HN20)+(66=$HO20)&gt;=2,50,0))+BQ$5*50)</f>
        <v/>
      </c>
      <c r="BR140">
        <f>IF(OR($JF20=0,calcA!$A$6=0),0,IF(OR(67=$HA20,67=$HD20,67=$HG20),200000,MIN(IF($HA20=0,999999,IF(3=$HB20,IF(67=$HJ20,IF($JC20=2,30,0),IF(67=$HK20,IF($JC20=1,30,0),ABS(19-$HC20)*100)),100000+ABS(3-$HB20)*1000+190)),IF($HD20=0,999999,IF(3=$HE20,IF(67=$HL20,IF($JD20=2,30,0),IF(67=$HM20,IF($JD20=1,30,0),ABS(19-$HF20)*100)),100000+ABS(3-$HE20)*1000+190)),IF($HG20=0,999999,IF(3=$HH20,IF(67=$HN20,IF($JE20=2,30,0),IF(67=$HO20,IF($JE20=1,30,0),ABS(19-$HI20)*100)),100000+ABS(3-$HH20)*1000+190)))-IF((67=$HJ20)+(67=$HK20)+(67=$HL20)+(67=$HM20)+(67=$HN20)+(67=$HO20)&gt;=2,50,0))+BR$5*50)</f>
        <v/>
      </c>
      <c r="BS140">
        <f>IF(OR($JF20=0,calcA!$A$6=0),0,IF(OR(68=$HA20,68=$HD20,68=$HG20),200000,MIN(IF($HA20=0,999999,IF(3=$HB20,IF(68=$HJ20,IF($JC20=2,30,0),IF(68=$HK20,IF($JC20=1,30,0),ABS(20-$HC20)*100)),100000+ABS(3-$HB20)*1000+200)),IF($HD20=0,999999,IF(3=$HE20,IF(68=$HL20,IF($JD20=2,30,0),IF(68=$HM20,IF($JD20=1,30,0),ABS(20-$HF20)*100)),100000+ABS(3-$HE20)*1000+200)),IF($HG20=0,999999,IF(3=$HH20,IF(68=$HN20,IF($JE20=2,30,0),IF(68=$HO20,IF($JE20=1,30,0),ABS(20-$HI20)*100)),100000+ABS(3-$HH20)*1000+200)))-IF((68=$HJ20)+(68=$HK20)+(68=$HL20)+(68=$HM20)+(68=$HN20)+(68=$HO20)&gt;=2,50,0))+BS$5*50)</f>
        <v/>
      </c>
      <c r="BT140">
        <f>IF(OR($JF20=0,calcA!$A$6=0),0,IF(OR(69=$HA20,69=$HD20,69=$HG20),200000,MIN(IF($HA20=0,999999,IF(3=$HB20,IF(69=$HJ20,IF($JC20=2,30,0),IF(69=$HK20,IF($JC20=1,30,0),ABS(21-$HC20)*100)),100000+ABS(3-$HB20)*1000+210)),IF($HD20=0,999999,IF(3=$HE20,IF(69=$HL20,IF($JD20=2,30,0),IF(69=$HM20,IF($JD20=1,30,0),ABS(21-$HF20)*100)),100000+ABS(3-$HE20)*1000+210)),IF($HG20=0,999999,IF(3=$HH20,IF(69=$HN20,IF($JE20=2,30,0),IF(69=$HO20,IF($JE20=1,30,0),ABS(21-$HI20)*100)),100000+ABS(3-$HH20)*1000+210)))-IF((69=$HJ20)+(69=$HK20)+(69=$HL20)+(69=$HM20)+(69=$HN20)+(69=$HO20)&gt;=2,50,0))+BT$5*50)</f>
        <v/>
      </c>
      <c r="BU140">
        <f>IF(OR($JF20=0,calcA!$A$6=0),0,IF(OR(70=$HA20,70=$HD20,70=$HG20),200000,MIN(IF($HA20=0,999999,IF(3=$HB20,IF(70=$HJ20,IF($JC20=2,30,0),IF(70=$HK20,IF($JC20=1,30,0),ABS(22-$HC20)*100)),100000+ABS(3-$HB20)*1000+220)),IF($HD20=0,999999,IF(3=$HE20,IF(70=$HL20,IF($JD20=2,30,0),IF(70=$HM20,IF($JD20=1,30,0),ABS(22-$HF20)*100)),100000+ABS(3-$HE20)*1000+220)),IF($HG20=0,999999,IF(3=$HH20,IF(70=$HN20,IF($JE20=2,30,0),IF(70=$HO20,IF($JE20=1,30,0),ABS(22-$HI20)*100)),100000+ABS(3-$HH20)*1000+220)))-IF((70=$HJ20)+(70=$HK20)+(70=$HL20)+(70=$HM20)+(70=$HN20)+(70=$HO20)&gt;=2,50,0))+BU$5*50)</f>
        <v/>
      </c>
      <c r="BV140">
        <f>IF(OR($JF20=0,calcA!$A$6=0),0,IF(OR(71=$HA20,71=$HD20,71=$HG20),200000,MIN(IF($HA20=0,999999,IF(3=$HB20,IF(71=$HJ20,IF($JC20=2,30,0),IF(71=$HK20,IF($JC20=1,30,0),ABS(23-$HC20)*100)),100000+ABS(3-$HB20)*1000+230)),IF($HD20=0,999999,IF(3=$HE20,IF(71=$HL20,IF($JD20=2,30,0),IF(71=$HM20,IF($JD20=1,30,0),ABS(23-$HF20)*100)),100000+ABS(3-$HE20)*1000+230)),IF($HG20=0,999999,IF(3=$HH20,IF(71=$HN20,IF($JE20=2,30,0),IF(71=$HO20,IF($JE20=1,30,0),ABS(23-$HI20)*100)),100000+ABS(3-$HH20)*1000+230)))-IF((71=$HJ20)+(71=$HK20)+(71=$HL20)+(71=$HM20)+(71=$HN20)+(71=$HO20)&gt;=2,50,0))+BV$5*50)</f>
        <v/>
      </c>
      <c r="BW140">
        <f>IF(OR($JF20=0,calcA!$A$6=0),0,IF(OR(72=$HA20,72=$HD20,72=$HG20),200000,MIN(IF($HA20=0,999999,IF(3=$HB20,IF(72=$HJ20,IF($JC20=2,30,0),IF(72=$HK20,IF($JC20=1,30,0),ABS(24-$HC20)*100)),100000+ABS(3-$HB20)*1000+240)),IF($HD20=0,999999,IF(3=$HE20,IF(72=$HL20,IF($JD20=2,30,0),IF(72=$HM20,IF($JD20=1,30,0),ABS(24-$HF20)*100)),100000+ABS(3-$HE20)*1000+240)),IF($HG20=0,999999,IF(3=$HH20,IF(72=$HN20,IF($JE20=2,30,0),IF(72=$HO20,IF($JE20=1,30,0),ABS(24-$HI20)*100)),100000+ABS(3-$HH20)*1000+240)))-IF((72=$HJ20)+(72=$HK20)+(72=$HL20)+(72=$HM20)+(72=$HN20)+(72=$HO20)&gt;=2,50,0))+BW$5*50)</f>
        <v/>
      </c>
      <c r="BX140">
        <f>IF(OR($JF20=0,calcA!$A$6=0),0,IF(OR(73=$HA20,73=$HD20,73=$HG20),200000,MIN(IF($HA20=0,999999,IF(4=$HB20,IF(73=$HJ20,IF($JC20=2,30,0),IF(73=$HK20,IF($JC20=1,30,0),ABS(1-$HC20)*100)),100000+ABS(4-$HB20)*1000+10)),IF($HD20=0,999999,IF(4=$HE20,IF(73=$HL20,IF($JD20=2,30,0),IF(73=$HM20,IF($JD20=1,30,0),ABS(1-$HF20)*100)),100000+ABS(4-$HE20)*1000+10)),IF($HG20=0,999999,IF(4=$HH20,IF(73=$HN20,IF($JE20=2,30,0),IF(73=$HO20,IF($JE20=1,30,0),ABS(1-$HI20)*100)),100000+ABS(4-$HH20)*1000+10)))-IF((73=$HJ20)+(73=$HK20)+(73=$HL20)+(73=$HM20)+(73=$HN20)+(73=$HO20)&gt;=2,50,0))+BX$5*50)</f>
        <v/>
      </c>
      <c r="BY140">
        <f>IF(OR($JF20=0,calcA!$A$6=0),0,IF(OR(74=$HA20,74=$HD20,74=$HG20),200000,MIN(IF($HA20=0,999999,IF(4=$HB20,IF(74=$HJ20,IF($JC20=2,30,0),IF(74=$HK20,IF($JC20=1,30,0),ABS(2-$HC20)*100)),100000+ABS(4-$HB20)*1000+20)),IF($HD20=0,999999,IF(4=$HE20,IF(74=$HL20,IF($JD20=2,30,0),IF(74=$HM20,IF($JD20=1,30,0),ABS(2-$HF20)*100)),100000+ABS(4-$HE20)*1000+20)),IF($HG20=0,999999,IF(4=$HH20,IF(74=$HN20,IF($JE20=2,30,0),IF(74=$HO20,IF($JE20=1,30,0),ABS(2-$HI20)*100)),100000+ABS(4-$HH20)*1000+20)))-IF((74=$HJ20)+(74=$HK20)+(74=$HL20)+(74=$HM20)+(74=$HN20)+(74=$HO20)&gt;=2,50,0))+BY$5*50)</f>
        <v/>
      </c>
      <c r="BZ140">
        <f>IF(OR($JF20=0,calcA!$A$6=0),0,IF(OR(75=$HA20,75=$HD20,75=$HG20),200000,MIN(IF($HA20=0,999999,IF(4=$HB20,IF(75=$HJ20,IF($JC20=2,30,0),IF(75=$HK20,IF($JC20=1,30,0),ABS(3-$HC20)*100)),100000+ABS(4-$HB20)*1000+30)),IF($HD20=0,999999,IF(4=$HE20,IF(75=$HL20,IF($JD20=2,30,0),IF(75=$HM20,IF($JD20=1,30,0),ABS(3-$HF20)*100)),100000+ABS(4-$HE20)*1000+30)),IF($HG20=0,999999,IF(4=$HH20,IF(75=$HN20,IF($JE20=2,30,0),IF(75=$HO20,IF($JE20=1,30,0),ABS(3-$HI20)*100)),100000+ABS(4-$HH20)*1000+30)))-IF((75=$HJ20)+(75=$HK20)+(75=$HL20)+(75=$HM20)+(75=$HN20)+(75=$HO20)&gt;=2,50,0))+BZ$5*50)</f>
        <v/>
      </c>
      <c r="CA140">
        <f>IF(OR($JF20=0,calcA!$A$6=0),0,IF(OR(76=$HA20,76=$HD20,76=$HG20),200000,MIN(IF($HA20=0,999999,IF(4=$HB20,IF(76=$HJ20,IF($JC20=2,30,0),IF(76=$HK20,IF($JC20=1,30,0),ABS(4-$HC20)*100)),100000+ABS(4-$HB20)*1000+40)),IF($HD20=0,999999,IF(4=$HE20,IF(76=$HL20,IF($JD20=2,30,0),IF(76=$HM20,IF($JD20=1,30,0),ABS(4-$HF20)*100)),100000+ABS(4-$HE20)*1000+40)),IF($HG20=0,999999,IF(4=$HH20,IF(76=$HN20,IF($JE20=2,30,0),IF(76=$HO20,IF($JE20=1,30,0),ABS(4-$HI20)*100)),100000+ABS(4-$HH20)*1000+40)))-IF((76=$HJ20)+(76=$HK20)+(76=$HL20)+(76=$HM20)+(76=$HN20)+(76=$HO20)&gt;=2,50,0))+CA$5*50)</f>
        <v/>
      </c>
      <c r="CB140">
        <f>IF(OR($JF20=0,calcA!$A$6=0),0,IF(OR(77=$HA20,77=$HD20,77=$HG20),200000,MIN(IF($HA20=0,999999,IF(4=$HB20,IF(77=$HJ20,IF($JC20=2,30,0),IF(77=$HK20,IF($JC20=1,30,0),ABS(5-$HC20)*100)),100000+ABS(4-$HB20)*1000+50)),IF($HD20=0,999999,IF(4=$HE20,IF(77=$HL20,IF($JD20=2,30,0),IF(77=$HM20,IF($JD20=1,30,0),ABS(5-$HF20)*100)),100000+ABS(4-$HE20)*1000+50)),IF($HG20=0,999999,IF(4=$HH20,IF(77=$HN20,IF($JE20=2,30,0),IF(77=$HO20,IF($JE20=1,30,0),ABS(5-$HI20)*100)),100000+ABS(4-$HH20)*1000+50)))-IF((77=$HJ20)+(77=$HK20)+(77=$HL20)+(77=$HM20)+(77=$HN20)+(77=$HO20)&gt;=2,50,0))+CB$5*50)</f>
        <v/>
      </c>
      <c r="CC140">
        <f>IF(OR($JF20=0,calcA!$A$6=0),0,IF(OR(78=$HA20,78=$HD20,78=$HG20),200000,MIN(IF($HA20=0,999999,IF(4=$HB20,IF(78=$HJ20,IF($JC20=2,30,0),IF(78=$HK20,IF($JC20=1,30,0),ABS(6-$HC20)*100)),100000+ABS(4-$HB20)*1000+60)),IF($HD20=0,999999,IF(4=$HE20,IF(78=$HL20,IF($JD20=2,30,0),IF(78=$HM20,IF($JD20=1,30,0),ABS(6-$HF20)*100)),100000+ABS(4-$HE20)*1000+60)),IF($HG20=0,999999,IF(4=$HH20,IF(78=$HN20,IF($JE20=2,30,0),IF(78=$HO20,IF($JE20=1,30,0),ABS(6-$HI20)*100)),100000+ABS(4-$HH20)*1000+60)))-IF((78=$HJ20)+(78=$HK20)+(78=$HL20)+(78=$HM20)+(78=$HN20)+(78=$HO20)&gt;=2,50,0))+CC$5*50)</f>
        <v/>
      </c>
      <c r="CD140">
        <f>IF(OR($JF20=0,calcA!$A$6=0),0,IF(OR(79=$HA20,79=$HD20,79=$HG20),200000,MIN(IF($HA20=0,999999,IF(4=$HB20,IF(79=$HJ20,IF($JC20=2,30,0),IF(79=$HK20,IF($JC20=1,30,0),ABS(7-$HC20)*100)),100000+ABS(4-$HB20)*1000+70)),IF($HD20=0,999999,IF(4=$HE20,IF(79=$HL20,IF($JD20=2,30,0),IF(79=$HM20,IF($JD20=1,30,0),ABS(7-$HF20)*100)),100000+ABS(4-$HE20)*1000+70)),IF($HG20=0,999999,IF(4=$HH20,IF(79=$HN20,IF($JE20=2,30,0),IF(79=$HO20,IF($JE20=1,30,0),ABS(7-$HI20)*100)),100000+ABS(4-$HH20)*1000+70)))-IF((79=$HJ20)+(79=$HK20)+(79=$HL20)+(79=$HM20)+(79=$HN20)+(79=$HO20)&gt;=2,50,0))+CD$5*50)</f>
        <v/>
      </c>
      <c r="CE140">
        <f>IF(OR($JF20=0,calcA!$A$6=0),0,IF(OR(80=$HA20,80=$HD20,80=$HG20),200000,MIN(IF($HA20=0,999999,IF(4=$HB20,IF(80=$HJ20,IF($JC20=2,30,0),IF(80=$HK20,IF($JC20=1,30,0),ABS(8-$HC20)*100)),100000+ABS(4-$HB20)*1000+80)),IF($HD20=0,999999,IF(4=$HE20,IF(80=$HL20,IF($JD20=2,30,0),IF(80=$HM20,IF($JD20=1,30,0),ABS(8-$HF20)*100)),100000+ABS(4-$HE20)*1000+80)),IF($HG20=0,999999,IF(4=$HH20,IF(80=$HN20,IF($JE20=2,30,0),IF(80=$HO20,IF($JE20=1,30,0),ABS(8-$HI20)*100)),100000+ABS(4-$HH20)*1000+80)))-IF((80=$HJ20)+(80=$HK20)+(80=$HL20)+(80=$HM20)+(80=$HN20)+(80=$HO20)&gt;=2,50,0))+CE$5*50)</f>
        <v/>
      </c>
      <c r="CF140">
        <f>IF(OR($JF20=0,calcA!$A$6=0),0,IF(OR(81=$HA20,81=$HD20,81=$HG20),200000,MIN(IF($HA20=0,999999,IF(4=$HB20,IF(81=$HJ20,IF($JC20=2,30,0),IF(81=$HK20,IF($JC20=1,30,0),ABS(9-$HC20)*100)),100000+ABS(4-$HB20)*1000+90)),IF($HD20=0,999999,IF(4=$HE20,IF(81=$HL20,IF($JD20=2,30,0),IF(81=$HM20,IF($JD20=1,30,0),ABS(9-$HF20)*100)),100000+ABS(4-$HE20)*1000+90)),IF($HG20=0,999999,IF(4=$HH20,IF(81=$HN20,IF($JE20=2,30,0),IF(81=$HO20,IF($JE20=1,30,0),ABS(9-$HI20)*100)),100000+ABS(4-$HH20)*1000+90)))-IF((81=$HJ20)+(81=$HK20)+(81=$HL20)+(81=$HM20)+(81=$HN20)+(81=$HO20)&gt;=2,50,0))+CF$5*50)</f>
        <v/>
      </c>
      <c r="CG140">
        <f>IF(OR($JF20=0,calcA!$A$6=0),0,IF(OR(82=$HA20,82=$HD20,82=$HG20),200000,MIN(IF($HA20=0,999999,IF(4=$HB20,IF(82=$HJ20,IF($JC20=2,30,0),IF(82=$HK20,IF($JC20=1,30,0),ABS(10-$HC20)*100)),100000+ABS(4-$HB20)*1000+100)),IF($HD20=0,999999,IF(4=$HE20,IF(82=$HL20,IF($JD20=2,30,0),IF(82=$HM20,IF($JD20=1,30,0),ABS(10-$HF20)*100)),100000+ABS(4-$HE20)*1000+100)),IF($HG20=0,999999,IF(4=$HH20,IF(82=$HN20,IF($JE20=2,30,0),IF(82=$HO20,IF($JE20=1,30,0),ABS(10-$HI20)*100)),100000+ABS(4-$HH20)*1000+100)))-IF((82=$HJ20)+(82=$HK20)+(82=$HL20)+(82=$HM20)+(82=$HN20)+(82=$HO20)&gt;=2,50,0))+CG$5*50)</f>
        <v/>
      </c>
      <c r="CH140">
        <f>IF(OR($JF20=0,calcA!$A$6=0),0,IF(OR(83=$HA20,83=$HD20,83=$HG20),200000,MIN(IF($HA20=0,999999,IF(4=$HB20,IF(83=$HJ20,IF($JC20=2,30,0),IF(83=$HK20,IF($JC20=1,30,0),ABS(11-$HC20)*100)),100000+ABS(4-$HB20)*1000+110)),IF($HD20=0,999999,IF(4=$HE20,IF(83=$HL20,IF($JD20=2,30,0),IF(83=$HM20,IF($JD20=1,30,0),ABS(11-$HF20)*100)),100000+ABS(4-$HE20)*1000+110)),IF($HG20=0,999999,IF(4=$HH20,IF(83=$HN20,IF($JE20=2,30,0),IF(83=$HO20,IF($JE20=1,30,0),ABS(11-$HI20)*100)),100000+ABS(4-$HH20)*1000+110)))-IF((83=$HJ20)+(83=$HK20)+(83=$HL20)+(83=$HM20)+(83=$HN20)+(83=$HO20)&gt;=2,50,0))+CH$5*50)</f>
        <v/>
      </c>
      <c r="CI140">
        <f>IF(OR($JF20=0,calcA!$A$6=0),0,IF(OR(84=$HA20,84=$HD20,84=$HG20),200000,MIN(IF($HA20=0,999999,IF(4=$HB20,IF(84=$HJ20,IF($JC20=2,30,0),IF(84=$HK20,IF($JC20=1,30,0),ABS(12-$HC20)*100)),100000+ABS(4-$HB20)*1000+120)),IF($HD20=0,999999,IF(4=$HE20,IF(84=$HL20,IF($JD20=2,30,0),IF(84=$HM20,IF($JD20=1,30,0),ABS(12-$HF20)*100)),100000+ABS(4-$HE20)*1000+120)),IF($HG20=0,999999,IF(4=$HH20,IF(84=$HN20,IF($JE20=2,30,0),IF(84=$HO20,IF($JE20=1,30,0),ABS(12-$HI20)*100)),100000+ABS(4-$HH20)*1000+120)))-IF((84=$HJ20)+(84=$HK20)+(84=$HL20)+(84=$HM20)+(84=$HN20)+(84=$HO20)&gt;=2,50,0))+CI$5*50)</f>
        <v/>
      </c>
      <c r="CJ140">
        <f>IF(OR($JF20=0,calcA!$A$6=0),0,IF(OR(85=$HA20,85=$HD20,85=$HG20),200000,MIN(IF($HA20=0,999999,IF(4=$HB20,IF(85=$HJ20,IF($JC20=2,30,0),IF(85=$HK20,IF($JC20=1,30,0),ABS(13-$HC20)*100)),100000+ABS(4-$HB20)*1000+130)),IF($HD20=0,999999,IF(4=$HE20,IF(85=$HL20,IF($JD20=2,30,0),IF(85=$HM20,IF($JD20=1,30,0),ABS(13-$HF20)*100)),100000+ABS(4-$HE20)*1000+130)),IF($HG20=0,999999,IF(4=$HH20,IF(85=$HN20,IF($JE20=2,30,0),IF(85=$HO20,IF($JE20=1,30,0),ABS(13-$HI20)*100)),100000+ABS(4-$HH20)*1000+130)))-IF((85=$HJ20)+(85=$HK20)+(85=$HL20)+(85=$HM20)+(85=$HN20)+(85=$HO20)&gt;=2,50,0))+CJ$5*50)</f>
        <v/>
      </c>
      <c r="CK140">
        <f>IF(OR($JF20=0,calcA!$A$6=0),0,IF(OR(86=$HA20,86=$HD20,86=$HG20),200000,MIN(IF($HA20=0,999999,IF(4=$HB20,IF(86=$HJ20,IF($JC20=2,30,0),IF(86=$HK20,IF($JC20=1,30,0),ABS(14-$HC20)*100)),100000+ABS(4-$HB20)*1000+140)),IF($HD20=0,999999,IF(4=$HE20,IF(86=$HL20,IF($JD20=2,30,0),IF(86=$HM20,IF($JD20=1,30,0),ABS(14-$HF20)*100)),100000+ABS(4-$HE20)*1000+140)),IF($HG20=0,999999,IF(4=$HH20,IF(86=$HN20,IF($JE20=2,30,0),IF(86=$HO20,IF($JE20=1,30,0),ABS(14-$HI20)*100)),100000+ABS(4-$HH20)*1000+140)))-IF((86=$HJ20)+(86=$HK20)+(86=$HL20)+(86=$HM20)+(86=$HN20)+(86=$HO20)&gt;=2,50,0))+CK$5*50)</f>
        <v/>
      </c>
      <c r="CL140">
        <f>IF(OR($JF20=0,calcA!$A$6=0),0,IF(OR(87=$HA20,87=$HD20,87=$HG20),200000,MIN(IF($HA20=0,999999,IF(4=$HB20,IF(87=$HJ20,IF($JC20=2,30,0),IF(87=$HK20,IF($JC20=1,30,0),ABS(15-$HC20)*100)),100000+ABS(4-$HB20)*1000+150)),IF($HD20=0,999999,IF(4=$HE20,IF(87=$HL20,IF($JD20=2,30,0),IF(87=$HM20,IF($JD20=1,30,0),ABS(15-$HF20)*100)),100000+ABS(4-$HE20)*1000+150)),IF($HG20=0,999999,IF(4=$HH20,IF(87=$HN20,IF($JE20=2,30,0),IF(87=$HO20,IF($JE20=1,30,0),ABS(15-$HI20)*100)),100000+ABS(4-$HH20)*1000+150)))-IF((87=$HJ20)+(87=$HK20)+(87=$HL20)+(87=$HM20)+(87=$HN20)+(87=$HO20)&gt;=2,50,0))+CL$5*50)</f>
        <v/>
      </c>
      <c r="CM140">
        <f>IF(OR($JF20=0,calcA!$A$6=0),0,IF(OR(88=$HA20,88=$HD20,88=$HG20),200000,MIN(IF($HA20=0,999999,IF(4=$HB20,IF(88=$HJ20,IF($JC20=2,30,0),IF(88=$HK20,IF($JC20=1,30,0),ABS(16-$HC20)*100)),100000+ABS(4-$HB20)*1000+160)),IF($HD20=0,999999,IF(4=$HE20,IF(88=$HL20,IF($JD20=2,30,0),IF(88=$HM20,IF($JD20=1,30,0),ABS(16-$HF20)*100)),100000+ABS(4-$HE20)*1000+160)),IF($HG20=0,999999,IF(4=$HH20,IF(88=$HN20,IF($JE20=2,30,0),IF(88=$HO20,IF($JE20=1,30,0),ABS(16-$HI20)*100)),100000+ABS(4-$HH20)*1000+160)))-IF((88=$HJ20)+(88=$HK20)+(88=$HL20)+(88=$HM20)+(88=$HN20)+(88=$HO20)&gt;=2,50,0))+CM$5*50)</f>
        <v/>
      </c>
      <c r="CN140">
        <f>IF(OR($JF20=0,calcA!$A$6=0),0,IF(OR(89=$HA20,89=$HD20,89=$HG20),200000,MIN(IF($HA20=0,999999,IF(4=$HB20,IF(89=$HJ20,IF($JC20=2,30,0),IF(89=$HK20,IF($JC20=1,30,0),ABS(17-$HC20)*100)),100000+ABS(4-$HB20)*1000+170)),IF($HD20=0,999999,IF(4=$HE20,IF(89=$HL20,IF($JD20=2,30,0),IF(89=$HM20,IF($JD20=1,30,0),ABS(17-$HF20)*100)),100000+ABS(4-$HE20)*1000+170)),IF($HG20=0,999999,IF(4=$HH20,IF(89=$HN20,IF($JE20=2,30,0),IF(89=$HO20,IF($JE20=1,30,0),ABS(17-$HI20)*100)),100000+ABS(4-$HH20)*1000+170)))-IF((89=$HJ20)+(89=$HK20)+(89=$HL20)+(89=$HM20)+(89=$HN20)+(89=$HO20)&gt;=2,50,0))+CN$5*50)</f>
        <v/>
      </c>
      <c r="CO140">
        <f>IF(OR($JF20=0,calcA!$A$6=0),0,IF(OR(90=$HA20,90=$HD20,90=$HG20),200000,MIN(IF($HA20=0,999999,IF(4=$HB20,IF(90=$HJ20,IF($JC20=2,30,0),IF(90=$HK20,IF($JC20=1,30,0),ABS(18-$HC20)*100)),100000+ABS(4-$HB20)*1000+180)),IF($HD20=0,999999,IF(4=$HE20,IF(90=$HL20,IF($JD20=2,30,0),IF(90=$HM20,IF($JD20=1,30,0),ABS(18-$HF20)*100)),100000+ABS(4-$HE20)*1000+180)),IF($HG20=0,999999,IF(4=$HH20,IF(90=$HN20,IF($JE20=2,30,0),IF(90=$HO20,IF($JE20=1,30,0),ABS(18-$HI20)*100)),100000+ABS(4-$HH20)*1000+180)))-IF((90=$HJ20)+(90=$HK20)+(90=$HL20)+(90=$HM20)+(90=$HN20)+(90=$HO20)&gt;=2,50,0))+CO$5*50)</f>
        <v/>
      </c>
      <c r="CP140">
        <f>IF(OR($JF20=0,calcA!$A$6=0),0,IF(OR(91=$HA20,91=$HD20,91=$HG20),200000,MIN(IF($HA20=0,999999,IF(4=$HB20,IF(91=$HJ20,IF($JC20=2,30,0),IF(91=$HK20,IF($JC20=1,30,0),ABS(19-$HC20)*100)),100000+ABS(4-$HB20)*1000+190)),IF($HD20=0,999999,IF(4=$HE20,IF(91=$HL20,IF($JD20=2,30,0),IF(91=$HM20,IF($JD20=1,30,0),ABS(19-$HF20)*100)),100000+ABS(4-$HE20)*1000+190)),IF($HG20=0,999999,IF(4=$HH20,IF(91=$HN20,IF($JE20=2,30,0),IF(91=$HO20,IF($JE20=1,30,0),ABS(19-$HI20)*100)),100000+ABS(4-$HH20)*1000+190)))-IF((91=$HJ20)+(91=$HK20)+(91=$HL20)+(91=$HM20)+(91=$HN20)+(91=$HO20)&gt;=2,50,0))+CP$5*50)</f>
        <v/>
      </c>
      <c r="CQ140">
        <f>IF(OR($JF20=0,calcA!$A$6=0),0,IF(OR(92=$HA20,92=$HD20,92=$HG20),200000,MIN(IF($HA20=0,999999,IF(4=$HB20,IF(92=$HJ20,IF($JC20=2,30,0),IF(92=$HK20,IF($JC20=1,30,0),ABS(20-$HC20)*100)),100000+ABS(4-$HB20)*1000+200)),IF($HD20=0,999999,IF(4=$HE20,IF(92=$HL20,IF($JD20=2,30,0),IF(92=$HM20,IF($JD20=1,30,0),ABS(20-$HF20)*100)),100000+ABS(4-$HE20)*1000+200)),IF($HG20=0,999999,IF(4=$HH20,IF(92=$HN20,IF($JE20=2,30,0),IF(92=$HO20,IF($JE20=1,30,0),ABS(20-$HI20)*100)),100000+ABS(4-$HH20)*1000+200)))-IF((92=$HJ20)+(92=$HK20)+(92=$HL20)+(92=$HM20)+(92=$HN20)+(92=$HO20)&gt;=2,50,0))+CQ$5*50)</f>
        <v/>
      </c>
      <c r="CR140">
        <f>IF(OR($JF20=0,calcA!$A$6=0),0,IF(OR(93=$HA20,93=$HD20,93=$HG20),200000,MIN(IF($HA20=0,999999,IF(4=$HB20,IF(93=$HJ20,IF($JC20=2,30,0),IF(93=$HK20,IF($JC20=1,30,0),ABS(21-$HC20)*100)),100000+ABS(4-$HB20)*1000+210)),IF($HD20=0,999999,IF(4=$HE20,IF(93=$HL20,IF($JD20=2,30,0),IF(93=$HM20,IF($JD20=1,30,0),ABS(21-$HF20)*100)),100000+ABS(4-$HE20)*1000+210)),IF($HG20=0,999999,IF(4=$HH20,IF(93=$HN20,IF($JE20=2,30,0),IF(93=$HO20,IF($JE20=1,30,0),ABS(21-$HI20)*100)),100000+ABS(4-$HH20)*1000+210)))-IF((93=$HJ20)+(93=$HK20)+(93=$HL20)+(93=$HM20)+(93=$HN20)+(93=$HO20)&gt;=2,50,0))+CR$5*50)</f>
        <v/>
      </c>
      <c r="CS140">
        <f>IF(OR($JF20=0,calcA!$A$6=0),0,IF(OR(94=$HA20,94=$HD20,94=$HG20),200000,MIN(IF($HA20=0,999999,IF(4=$HB20,IF(94=$HJ20,IF($JC20=2,30,0),IF(94=$HK20,IF($JC20=1,30,0),ABS(22-$HC20)*100)),100000+ABS(4-$HB20)*1000+220)),IF($HD20=0,999999,IF(4=$HE20,IF(94=$HL20,IF($JD20=2,30,0),IF(94=$HM20,IF($JD20=1,30,0),ABS(22-$HF20)*100)),100000+ABS(4-$HE20)*1000+220)),IF($HG20=0,999999,IF(4=$HH20,IF(94=$HN20,IF($JE20=2,30,0),IF(94=$HO20,IF($JE20=1,30,0),ABS(22-$HI20)*100)),100000+ABS(4-$HH20)*1000+220)))-IF((94=$HJ20)+(94=$HK20)+(94=$HL20)+(94=$HM20)+(94=$HN20)+(94=$HO20)&gt;=2,50,0))+CS$5*50)</f>
        <v/>
      </c>
      <c r="CT140">
        <f>IF(OR($JF20=0,calcA!$A$6=0),0,IF(OR(95=$HA20,95=$HD20,95=$HG20),200000,MIN(IF($HA20=0,999999,IF(4=$HB20,IF(95=$HJ20,IF($JC20=2,30,0),IF(95=$HK20,IF($JC20=1,30,0),ABS(23-$HC20)*100)),100000+ABS(4-$HB20)*1000+230)),IF($HD20=0,999999,IF(4=$HE20,IF(95=$HL20,IF($JD20=2,30,0),IF(95=$HM20,IF($JD20=1,30,0),ABS(23-$HF20)*100)),100000+ABS(4-$HE20)*1000+230)),IF($HG20=0,999999,IF(4=$HH20,IF(95=$HN20,IF($JE20=2,30,0),IF(95=$HO20,IF($JE20=1,30,0),ABS(23-$HI20)*100)),100000+ABS(4-$HH20)*1000+230)))-IF((95=$HJ20)+(95=$HK20)+(95=$HL20)+(95=$HM20)+(95=$HN20)+(95=$HO20)&gt;=2,50,0))+CT$5*50)</f>
        <v/>
      </c>
      <c r="CU140">
        <f>IF(OR($JF20=0,calcA!$A$6=0),0,IF(OR(96=$HA20,96=$HD20,96=$HG20),200000,MIN(IF($HA20=0,999999,IF(4=$HB20,IF(96=$HJ20,IF($JC20=2,30,0),IF(96=$HK20,IF($JC20=1,30,0),ABS(24-$HC20)*100)),100000+ABS(4-$HB20)*1000+240)),IF($HD20=0,999999,IF(4=$HE20,IF(96=$HL20,IF($JD20=2,30,0),IF(96=$HM20,IF($JD20=1,30,0),ABS(24-$HF20)*100)),100000+ABS(4-$HE20)*1000+240)),IF($HG20=0,999999,IF(4=$HH20,IF(96=$HN20,IF($JE20=2,30,0),IF(96=$HO20,IF($JE20=1,30,0),ABS(24-$HI20)*100)),100000+ABS(4-$HH20)*1000+240)))-IF((96=$HJ20)+(96=$HK20)+(96=$HL20)+(96=$HM20)+(96=$HN20)+(96=$HO20)&gt;=2,50,0))+CU$5*50)</f>
        <v/>
      </c>
      <c r="CV140">
        <f>IF(OR($JF20=0,calcA!$A$6=0),0,IF(OR(97=$HA20,97=$HD20,97=$HG20),200000,MIN(IF($HA20=0,999999,IF(5=$HB20,IF(97=$HJ20,IF($JC20=2,30,0),IF(97=$HK20,IF($JC20=1,30,0),ABS(1-$HC20)*100)),100000+ABS(5-$HB20)*1000+10)),IF($HD20=0,999999,IF(5=$HE20,IF(97=$HL20,IF($JD20=2,30,0),IF(97=$HM20,IF($JD20=1,30,0),ABS(1-$HF20)*100)),100000+ABS(5-$HE20)*1000+10)),IF($HG20=0,999999,IF(5=$HH20,IF(97=$HN20,IF($JE20=2,30,0),IF(97=$HO20,IF($JE20=1,30,0),ABS(1-$HI20)*100)),100000+ABS(5-$HH20)*1000+10)))-IF((97=$HJ20)+(97=$HK20)+(97=$HL20)+(97=$HM20)+(97=$HN20)+(97=$HO20)&gt;=2,50,0))+CV$5*50)</f>
        <v/>
      </c>
      <c r="CW140">
        <f>IF(OR($JF20=0,calcA!$A$6=0),0,IF(OR(98=$HA20,98=$HD20,98=$HG20),200000,MIN(IF($HA20=0,999999,IF(5=$HB20,IF(98=$HJ20,IF($JC20=2,30,0),IF(98=$HK20,IF($JC20=1,30,0),ABS(2-$HC20)*100)),100000+ABS(5-$HB20)*1000+20)),IF($HD20=0,999999,IF(5=$HE20,IF(98=$HL20,IF($JD20=2,30,0),IF(98=$HM20,IF($JD20=1,30,0),ABS(2-$HF20)*100)),100000+ABS(5-$HE20)*1000+20)),IF($HG20=0,999999,IF(5=$HH20,IF(98=$HN20,IF($JE20=2,30,0),IF(98=$HO20,IF($JE20=1,30,0),ABS(2-$HI20)*100)),100000+ABS(5-$HH20)*1000+20)))-IF((98=$HJ20)+(98=$HK20)+(98=$HL20)+(98=$HM20)+(98=$HN20)+(98=$HO20)&gt;=2,50,0))+CW$5*50)</f>
        <v/>
      </c>
      <c r="CX140">
        <f>IF(OR($JF20=0,calcA!$A$6=0),0,IF(OR(99=$HA20,99=$HD20,99=$HG20),200000,MIN(IF($HA20=0,999999,IF(5=$HB20,IF(99=$HJ20,IF($JC20=2,30,0),IF(99=$HK20,IF($JC20=1,30,0),ABS(3-$HC20)*100)),100000+ABS(5-$HB20)*1000+30)),IF($HD20=0,999999,IF(5=$HE20,IF(99=$HL20,IF($JD20=2,30,0),IF(99=$HM20,IF($JD20=1,30,0),ABS(3-$HF20)*100)),100000+ABS(5-$HE20)*1000+30)),IF($HG20=0,999999,IF(5=$HH20,IF(99=$HN20,IF($JE20=2,30,0),IF(99=$HO20,IF($JE20=1,30,0),ABS(3-$HI20)*100)),100000+ABS(5-$HH20)*1000+30)))-IF((99=$HJ20)+(99=$HK20)+(99=$HL20)+(99=$HM20)+(99=$HN20)+(99=$HO20)&gt;=2,50,0))+CX$5*50)</f>
        <v/>
      </c>
      <c r="CY140">
        <f>IF(OR($JF20=0,calcA!$A$6=0),0,IF(OR(100=$HA20,100=$HD20,100=$HG20),200000,MIN(IF($HA20=0,999999,IF(5=$HB20,IF(100=$HJ20,IF($JC20=2,30,0),IF(100=$HK20,IF($JC20=1,30,0),ABS(4-$HC20)*100)),100000+ABS(5-$HB20)*1000+40)),IF($HD20=0,999999,IF(5=$HE20,IF(100=$HL20,IF($JD20=2,30,0),IF(100=$HM20,IF($JD20=1,30,0),ABS(4-$HF20)*100)),100000+ABS(5-$HE20)*1000+40)),IF($HG20=0,999999,IF(5=$HH20,IF(100=$HN20,IF($JE20=2,30,0),IF(100=$HO20,IF($JE20=1,30,0),ABS(4-$HI20)*100)),100000+ABS(5-$HH20)*1000+40)))-IF((100=$HJ20)+(100=$HK20)+(100=$HL20)+(100=$HM20)+(100=$HN20)+(100=$HO20)&gt;=2,50,0))+CY$5*50)</f>
        <v/>
      </c>
      <c r="CZ140">
        <f>IF(OR($JF20=0,calcA!$A$6=0),0,IF(OR(101=$HA20,101=$HD20,101=$HG20),200000,MIN(IF($HA20=0,999999,IF(5=$HB20,IF(101=$HJ20,IF($JC20=2,30,0),IF(101=$HK20,IF($JC20=1,30,0),ABS(5-$HC20)*100)),100000+ABS(5-$HB20)*1000+50)),IF($HD20=0,999999,IF(5=$HE20,IF(101=$HL20,IF($JD20=2,30,0),IF(101=$HM20,IF($JD20=1,30,0),ABS(5-$HF20)*100)),100000+ABS(5-$HE20)*1000+50)),IF($HG20=0,999999,IF(5=$HH20,IF(101=$HN20,IF($JE20=2,30,0),IF(101=$HO20,IF($JE20=1,30,0),ABS(5-$HI20)*100)),100000+ABS(5-$HH20)*1000+50)))-IF((101=$HJ20)+(101=$HK20)+(101=$HL20)+(101=$HM20)+(101=$HN20)+(101=$HO20)&gt;=2,50,0))+CZ$5*50)</f>
        <v/>
      </c>
      <c r="DA140">
        <f>IF(OR($JF20=0,calcA!$A$6=0),0,IF(OR(102=$HA20,102=$HD20,102=$HG20),200000,MIN(IF($HA20=0,999999,IF(5=$HB20,IF(102=$HJ20,IF($JC20=2,30,0),IF(102=$HK20,IF($JC20=1,30,0),ABS(6-$HC20)*100)),100000+ABS(5-$HB20)*1000+60)),IF($HD20=0,999999,IF(5=$HE20,IF(102=$HL20,IF($JD20=2,30,0),IF(102=$HM20,IF($JD20=1,30,0),ABS(6-$HF20)*100)),100000+ABS(5-$HE20)*1000+60)),IF($HG20=0,999999,IF(5=$HH20,IF(102=$HN20,IF($JE20=2,30,0),IF(102=$HO20,IF($JE20=1,30,0),ABS(6-$HI20)*100)),100000+ABS(5-$HH20)*1000+60)))-IF((102=$HJ20)+(102=$HK20)+(102=$HL20)+(102=$HM20)+(102=$HN20)+(102=$HO20)&gt;=2,50,0))+DA$5*50)</f>
        <v/>
      </c>
      <c r="DB140">
        <f>IF(OR($JF20=0,calcA!$A$6=0),0,IF(OR(103=$HA20,103=$HD20,103=$HG20),200000,MIN(IF($HA20=0,999999,IF(5=$HB20,IF(103=$HJ20,IF($JC20=2,30,0),IF(103=$HK20,IF($JC20=1,30,0),ABS(7-$HC20)*100)),100000+ABS(5-$HB20)*1000+70)),IF($HD20=0,999999,IF(5=$HE20,IF(103=$HL20,IF($JD20=2,30,0),IF(103=$HM20,IF($JD20=1,30,0),ABS(7-$HF20)*100)),100000+ABS(5-$HE20)*1000+70)),IF($HG20=0,999999,IF(5=$HH20,IF(103=$HN20,IF($JE20=2,30,0),IF(103=$HO20,IF($JE20=1,30,0),ABS(7-$HI20)*100)),100000+ABS(5-$HH20)*1000+70)))-IF((103=$HJ20)+(103=$HK20)+(103=$HL20)+(103=$HM20)+(103=$HN20)+(103=$HO20)&gt;=2,50,0))+DB$5*50)</f>
        <v/>
      </c>
      <c r="DC140">
        <f>IF(OR($JF20=0,calcA!$A$6=0),0,IF(OR(104=$HA20,104=$HD20,104=$HG20),200000,MIN(IF($HA20=0,999999,IF(5=$HB20,IF(104=$HJ20,IF($JC20=2,30,0),IF(104=$HK20,IF($JC20=1,30,0),ABS(8-$HC20)*100)),100000+ABS(5-$HB20)*1000+80)),IF($HD20=0,999999,IF(5=$HE20,IF(104=$HL20,IF($JD20=2,30,0),IF(104=$HM20,IF($JD20=1,30,0),ABS(8-$HF20)*100)),100000+ABS(5-$HE20)*1000+80)),IF($HG20=0,999999,IF(5=$HH20,IF(104=$HN20,IF($JE20=2,30,0),IF(104=$HO20,IF($JE20=1,30,0),ABS(8-$HI20)*100)),100000+ABS(5-$HH20)*1000+80)))-IF((104=$HJ20)+(104=$HK20)+(104=$HL20)+(104=$HM20)+(104=$HN20)+(104=$HO20)&gt;=2,50,0))+DC$5*50)</f>
        <v/>
      </c>
      <c r="DD140">
        <f>IF(OR($JF20=0,calcA!$A$6=0),0,IF(OR(105=$HA20,105=$HD20,105=$HG20),200000,MIN(IF($HA20=0,999999,IF(5=$HB20,IF(105=$HJ20,IF($JC20=2,30,0),IF(105=$HK20,IF($JC20=1,30,0),ABS(9-$HC20)*100)),100000+ABS(5-$HB20)*1000+90)),IF($HD20=0,999999,IF(5=$HE20,IF(105=$HL20,IF($JD20=2,30,0),IF(105=$HM20,IF($JD20=1,30,0),ABS(9-$HF20)*100)),100000+ABS(5-$HE20)*1000+90)),IF($HG20=0,999999,IF(5=$HH20,IF(105=$HN20,IF($JE20=2,30,0),IF(105=$HO20,IF($JE20=1,30,0),ABS(9-$HI20)*100)),100000+ABS(5-$HH20)*1000+90)))-IF((105=$HJ20)+(105=$HK20)+(105=$HL20)+(105=$HM20)+(105=$HN20)+(105=$HO20)&gt;=2,50,0))+DD$5*50)</f>
        <v/>
      </c>
      <c r="DE140">
        <f>IF(OR($JF20=0,calcA!$A$6=0),0,IF(OR(106=$HA20,106=$HD20,106=$HG20),200000,MIN(IF($HA20=0,999999,IF(5=$HB20,IF(106=$HJ20,IF($JC20=2,30,0),IF(106=$HK20,IF($JC20=1,30,0),ABS(10-$HC20)*100)),100000+ABS(5-$HB20)*1000+100)),IF($HD20=0,999999,IF(5=$HE20,IF(106=$HL20,IF($JD20=2,30,0),IF(106=$HM20,IF($JD20=1,30,0),ABS(10-$HF20)*100)),100000+ABS(5-$HE20)*1000+100)),IF($HG20=0,999999,IF(5=$HH20,IF(106=$HN20,IF($JE20=2,30,0),IF(106=$HO20,IF($JE20=1,30,0),ABS(10-$HI20)*100)),100000+ABS(5-$HH20)*1000+100)))-IF((106=$HJ20)+(106=$HK20)+(106=$HL20)+(106=$HM20)+(106=$HN20)+(106=$HO20)&gt;=2,50,0))+DE$5*50)</f>
        <v/>
      </c>
      <c r="DF140">
        <f>IF(OR($JF20=0,calcA!$A$6=0),0,IF(OR(107=$HA20,107=$HD20,107=$HG20),200000,MIN(IF($HA20=0,999999,IF(5=$HB20,IF(107=$HJ20,IF($JC20=2,30,0),IF(107=$HK20,IF($JC20=1,30,0),ABS(11-$HC20)*100)),100000+ABS(5-$HB20)*1000+110)),IF($HD20=0,999999,IF(5=$HE20,IF(107=$HL20,IF($JD20=2,30,0),IF(107=$HM20,IF($JD20=1,30,0),ABS(11-$HF20)*100)),100000+ABS(5-$HE20)*1000+110)),IF($HG20=0,999999,IF(5=$HH20,IF(107=$HN20,IF($JE20=2,30,0),IF(107=$HO20,IF($JE20=1,30,0),ABS(11-$HI20)*100)),100000+ABS(5-$HH20)*1000+110)))-IF((107=$HJ20)+(107=$HK20)+(107=$HL20)+(107=$HM20)+(107=$HN20)+(107=$HO20)&gt;=2,50,0))+DF$5*50)</f>
        <v/>
      </c>
      <c r="DG140">
        <f>IF(OR($JF20=0,calcA!$A$6=0),0,IF(OR(108=$HA20,108=$HD20,108=$HG20),200000,MIN(IF($HA20=0,999999,IF(5=$HB20,IF(108=$HJ20,IF($JC20=2,30,0),IF(108=$HK20,IF($JC20=1,30,0),ABS(12-$HC20)*100)),100000+ABS(5-$HB20)*1000+120)),IF($HD20=0,999999,IF(5=$HE20,IF(108=$HL20,IF($JD20=2,30,0),IF(108=$HM20,IF($JD20=1,30,0),ABS(12-$HF20)*100)),100000+ABS(5-$HE20)*1000+120)),IF($HG20=0,999999,IF(5=$HH20,IF(108=$HN20,IF($JE20=2,30,0),IF(108=$HO20,IF($JE20=1,30,0),ABS(12-$HI20)*100)),100000+ABS(5-$HH20)*1000+120)))-IF((108=$HJ20)+(108=$HK20)+(108=$HL20)+(108=$HM20)+(108=$HN20)+(108=$HO20)&gt;=2,50,0))+DG$5*50)</f>
        <v/>
      </c>
      <c r="DH140">
        <f>IF(OR($JF20=0,calcA!$A$6=0),0,IF(OR(109=$HA20,109=$HD20,109=$HG20),200000,MIN(IF($HA20=0,999999,IF(5=$HB20,IF(109=$HJ20,IF($JC20=2,30,0),IF(109=$HK20,IF($JC20=1,30,0),ABS(13-$HC20)*100)),100000+ABS(5-$HB20)*1000+130)),IF($HD20=0,999999,IF(5=$HE20,IF(109=$HL20,IF($JD20=2,30,0),IF(109=$HM20,IF($JD20=1,30,0),ABS(13-$HF20)*100)),100000+ABS(5-$HE20)*1000+130)),IF($HG20=0,999999,IF(5=$HH20,IF(109=$HN20,IF($JE20=2,30,0),IF(109=$HO20,IF($JE20=1,30,0),ABS(13-$HI20)*100)),100000+ABS(5-$HH20)*1000+130)))-IF((109=$HJ20)+(109=$HK20)+(109=$HL20)+(109=$HM20)+(109=$HN20)+(109=$HO20)&gt;=2,50,0))+DH$5*50)</f>
        <v/>
      </c>
      <c r="DI140">
        <f>IF(OR($JF20=0,calcA!$A$6=0),0,IF(OR(110=$HA20,110=$HD20,110=$HG20),200000,MIN(IF($HA20=0,999999,IF(5=$HB20,IF(110=$HJ20,IF($JC20=2,30,0),IF(110=$HK20,IF($JC20=1,30,0),ABS(14-$HC20)*100)),100000+ABS(5-$HB20)*1000+140)),IF($HD20=0,999999,IF(5=$HE20,IF(110=$HL20,IF($JD20=2,30,0),IF(110=$HM20,IF($JD20=1,30,0),ABS(14-$HF20)*100)),100000+ABS(5-$HE20)*1000+140)),IF($HG20=0,999999,IF(5=$HH20,IF(110=$HN20,IF($JE20=2,30,0),IF(110=$HO20,IF($JE20=1,30,0),ABS(14-$HI20)*100)),100000+ABS(5-$HH20)*1000+140)))-IF((110=$HJ20)+(110=$HK20)+(110=$HL20)+(110=$HM20)+(110=$HN20)+(110=$HO20)&gt;=2,50,0))+DI$5*50)</f>
        <v/>
      </c>
      <c r="DJ140">
        <f>IF(OR($JF20=0,calcA!$A$6=0),0,IF(OR(111=$HA20,111=$HD20,111=$HG20),200000,MIN(IF($HA20=0,999999,IF(5=$HB20,IF(111=$HJ20,IF($JC20=2,30,0),IF(111=$HK20,IF($JC20=1,30,0),ABS(15-$HC20)*100)),100000+ABS(5-$HB20)*1000+150)),IF($HD20=0,999999,IF(5=$HE20,IF(111=$HL20,IF($JD20=2,30,0),IF(111=$HM20,IF($JD20=1,30,0),ABS(15-$HF20)*100)),100000+ABS(5-$HE20)*1000+150)),IF($HG20=0,999999,IF(5=$HH20,IF(111=$HN20,IF($JE20=2,30,0),IF(111=$HO20,IF($JE20=1,30,0),ABS(15-$HI20)*100)),100000+ABS(5-$HH20)*1000+150)))-IF((111=$HJ20)+(111=$HK20)+(111=$HL20)+(111=$HM20)+(111=$HN20)+(111=$HO20)&gt;=2,50,0))+DJ$5*50)</f>
        <v/>
      </c>
      <c r="DK140">
        <f>IF(OR($JF20=0,calcA!$A$6=0),0,IF(OR(112=$HA20,112=$HD20,112=$HG20),200000,MIN(IF($HA20=0,999999,IF(5=$HB20,IF(112=$HJ20,IF($JC20=2,30,0),IF(112=$HK20,IF($JC20=1,30,0),ABS(16-$HC20)*100)),100000+ABS(5-$HB20)*1000+160)),IF($HD20=0,999999,IF(5=$HE20,IF(112=$HL20,IF($JD20=2,30,0),IF(112=$HM20,IF($JD20=1,30,0),ABS(16-$HF20)*100)),100000+ABS(5-$HE20)*1000+160)),IF($HG20=0,999999,IF(5=$HH20,IF(112=$HN20,IF($JE20=2,30,0),IF(112=$HO20,IF($JE20=1,30,0),ABS(16-$HI20)*100)),100000+ABS(5-$HH20)*1000+160)))-IF((112=$HJ20)+(112=$HK20)+(112=$HL20)+(112=$HM20)+(112=$HN20)+(112=$HO20)&gt;=2,50,0))+DK$5*50)</f>
        <v/>
      </c>
      <c r="DL140">
        <f>IF(OR($JF20=0,calcA!$A$6=0),0,IF(OR(113=$HA20,113=$HD20,113=$HG20),200000,MIN(IF($HA20=0,999999,IF(5=$HB20,IF(113=$HJ20,IF($JC20=2,30,0),IF(113=$HK20,IF($JC20=1,30,0),ABS(17-$HC20)*100)),100000+ABS(5-$HB20)*1000+170)),IF($HD20=0,999999,IF(5=$HE20,IF(113=$HL20,IF($JD20=2,30,0),IF(113=$HM20,IF($JD20=1,30,0),ABS(17-$HF20)*100)),100000+ABS(5-$HE20)*1000+170)),IF($HG20=0,999999,IF(5=$HH20,IF(113=$HN20,IF($JE20=2,30,0),IF(113=$HO20,IF($JE20=1,30,0),ABS(17-$HI20)*100)),100000+ABS(5-$HH20)*1000+170)))-IF((113=$HJ20)+(113=$HK20)+(113=$HL20)+(113=$HM20)+(113=$HN20)+(113=$HO20)&gt;=2,50,0))+DL$5*50)</f>
        <v/>
      </c>
      <c r="DM140">
        <f>IF(OR($JF20=0,calcA!$A$6=0),0,IF(OR(114=$HA20,114=$HD20,114=$HG20),200000,MIN(IF($HA20=0,999999,IF(5=$HB20,IF(114=$HJ20,IF($JC20=2,30,0),IF(114=$HK20,IF($JC20=1,30,0),ABS(18-$HC20)*100)),100000+ABS(5-$HB20)*1000+180)),IF($HD20=0,999999,IF(5=$HE20,IF(114=$HL20,IF($JD20=2,30,0),IF(114=$HM20,IF($JD20=1,30,0),ABS(18-$HF20)*100)),100000+ABS(5-$HE20)*1000+180)),IF($HG20=0,999999,IF(5=$HH20,IF(114=$HN20,IF($JE20=2,30,0),IF(114=$HO20,IF($JE20=1,30,0),ABS(18-$HI20)*100)),100000+ABS(5-$HH20)*1000+180)))-IF((114=$HJ20)+(114=$HK20)+(114=$HL20)+(114=$HM20)+(114=$HN20)+(114=$HO20)&gt;=2,50,0))+DM$5*50)</f>
        <v/>
      </c>
      <c r="DN140">
        <f>IF(OR($JF20=0,calcA!$A$6=0),0,IF(OR(115=$HA20,115=$HD20,115=$HG20),200000,MIN(IF($HA20=0,999999,IF(5=$HB20,IF(115=$HJ20,IF($JC20=2,30,0),IF(115=$HK20,IF($JC20=1,30,0),ABS(19-$HC20)*100)),100000+ABS(5-$HB20)*1000+190)),IF($HD20=0,999999,IF(5=$HE20,IF(115=$HL20,IF($JD20=2,30,0),IF(115=$HM20,IF($JD20=1,30,0),ABS(19-$HF20)*100)),100000+ABS(5-$HE20)*1000+190)),IF($HG20=0,999999,IF(5=$HH20,IF(115=$HN20,IF($JE20=2,30,0),IF(115=$HO20,IF($JE20=1,30,0),ABS(19-$HI20)*100)),100000+ABS(5-$HH20)*1000+190)))-IF((115=$HJ20)+(115=$HK20)+(115=$HL20)+(115=$HM20)+(115=$HN20)+(115=$HO20)&gt;=2,50,0))+DN$5*50)</f>
        <v/>
      </c>
      <c r="DO140">
        <f>IF(OR($JF20=0,calcA!$A$6=0),0,IF(OR(116=$HA20,116=$HD20,116=$HG20),200000,MIN(IF($HA20=0,999999,IF(5=$HB20,IF(116=$HJ20,IF($JC20=2,30,0),IF(116=$HK20,IF($JC20=1,30,0),ABS(20-$HC20)*100)),100000+ABS(5-$HB20)*1000+200)),IF($HD20=0,999999,IF(5=$HE20,IF(116=$HL20,IF($JD20=2,30,0),IF(116=$HM20,IF($JD20=1,30,0),ABS(20-$HF20)*100)),100000+ABS(5-$HE20)*1000+200)),IF($HG20=0,999999,IF(5=$HH20,IF(116=$HN20,IF($JE20=2,30,0),IF(116=$HO20,IF($JE20=1,30,0),ABS(20-$HI20)*100)),100000+ABS(5-$HH20)*1000+200)))-IF((116=$HJ20)+(116=$HK20)+(116=$HL20)+(116=$HM20)+(116=$HN20)+(116=$HO20)&gt;=2,50,0))+DO$5*50)</f>
        <v/>
      </c>
      <c r="DP140">
        <f>IF(OR($JF20=0,calcA!$A$6=0),0,IF(OR(117=$HA20,117=$HD20,117=$HG20),200000,MIN(IF($HA20=0,999999,IF(5=$HB20,IF(117=$HJ20,IF($JC20=2,30,0),IF(117=$HK20,IF($JC20=1,30,0),ABS(21-$HC20)*100)),100000+ABS(5-$HB20)*1000+210)),IF($HD20=0,999999,IF(5=$HE20,IF(117=$HL20,IF($JD20=2,30,0),IF(117=$HM20,IF($JD20=1,30,0),ABS(21-$HF20)*100)),100000+ABS(5-$HE20)*1000+210)),IF($HG20=0,999999,IF(5=$HH20,IF(117=$HN20,IF($JE20=2,30,0),IF(117=$HO20,IF($JE20=1,30,0),ABS(21-$HI20)*100)),100000+ABS(5-$HH20)*1000+210)))-IF((117=$HJ20)+(117=$HK20)+(117=$HL20)+(117=$HM20)+(117=$HN20)+(117=$HO20)&gt;=2,50,0))+DP$5*50)</f>
        <v/>
      </c>
      <c r="DQ140">
        <f>IF(OR($JF20=0,calcA!$A$6=0),0,IF(OR(118=$HA20,118=$HD20,118=$HG20),200000,MIN(IF($HA20=0,999999,IF(5=$HB20,IF(118=$HJ20,IF($JC20=2,30,0),IF(118=$HK20,IF($JC20=1,30,0),ABS(22-$HC20)*100)),100000+ABS(5-$HB20)*1000+220)),IF($HD20=0,999999,IF(5=$HE20,IF(118=$HL20,IF($JD20=2,30,0),IF(118=$HM20,IF($JD20=1,30,0),ABS(22-$HF20)*100)),100000+ABS(5-$HE20)*1000+220)),IF($HG20=0,999999,IF(5=$HH20,IF(118=$HN20,IF($JE20=2,30,0),IF(118=$HO20,IF($JE20=1,30,0),ABS(22-$HI20)*100)),100000+ABS(5-$HH20)*1000+220)))-IF((118=$HJ20)+(118=$HK20)+(118=$HL20)+(118=$HM20)+(118=$HN20)+(118=$HO20)&gt;=2,50,0))+DQ$5*50)</f>
        <v/>
      </c>
      <c r="DR140">
        <f>IF(OR($JF20=0,calcA!$A$6=0),0,IF(OR(119=$HA20,119=$HD20,119=$HG20),200000,MIN(IF($HA20=0,999999,IF(5=$HB20,IF(119=$HJ20,IF($JC20=2,30,0),IF(119=$HK20,IF($JC20=1,30,0),ABS(23-$HC20)*100)),100000+ABS(5-$HB20)*1000+230)),IF($HD20=0,999999,IF(5=$HE20,IF(119=$HL20,IF($JD20=2,30,0),IF(119=$HM20,IF($JD20=1,30,0),ABS(23-$HF20)*100)),100000+ABS(5-$HE20)*1000+230)),IF($HG20=0,999999,IF(5=$HH20,IF(119=$HN20,IF($JE20=2,30,0),IF(119=$HO20,IF($JE20=1,30,0),ABS(23-$HI20)*100)),100000+ABS(5-$HH20)*1000+230)))-IF((119=$HJ20)+(119=$HK20)+(119=$HL20)+(119=$HM20)+(119=$HN20)+(119=$HO20)&gt;=2,50,0))+DR$5*50)</f>
        <v/>
      </c>
      <c r="DS140">
        <f>IF(OR($JF20=0,calcA!$A$6=0),0,IF(OR(120=$HA20,120=$HD20,120=$HG20),200000,MIN(IF($HA20=0,999999,IF(5=$HB20,IF(120=$HJ20,IF($JC20=2,30,0),IF(120=$HK20,IF($JC20=1,30,0),ABS(24-$HC20)*100)),100000+ABS(5-$HB20)*1000+240)),IF($HD20=0,999999,IF(5=$HE20,IF(120=$HL20,IF($JD20=2,30,0),IF(120=$HM20,IF($JD20=1,30,0),ABS(24-$HF20)*100)),100000+ABS(5-$HE20)*1000+240)),IF($HG20=0,999999,IF(5=$HH20,IF(120=$HN20,IF($JE20=2,30,0),IF(120=$HO20,IF($JE20=1,30,0),ABS(24-$HI20)*100)),100000+ABS(5-$HH20)*1000+240)))-IF((120=$HJ20)+(120=$HK20)+(120=$HL20)+(120=$HM20)+(120=$HN20)+(120=$HO20)&gt;=2,50,0))+DS$5*50)</f>
        <v/>
      </c>
      <c r="DT140">
        <f>IF(OR($JF20=0,calcA!$A$6=0),0,IF(OR(121=$HA20,121=$HD20,121=$HG20),200000,MIN(IF($HA20=0,999999,IF(6=$HB20,IF(121=$HJ20,IF($JC20=2,30,0),IF(121=$HK20,IF($JC20=1,30,0),ABS(1-$HC20)*100)),100000+ABS(6-$HB20)*1000+10)),IF($HD20=0,999999,IF(6=$HE20,IF(121=$HL20,IF($JD20=2,30,0),IF(121=$HM20,IF($JD20=1,30,0),ABS(1-$HF20)*100)),100000+ABS(6-$HE20)*1000+10)),IF($HG20=0,999999,IF(6=$HH20,IF(121=$HN20,IF($JE20=2,30,0),IF(121=$HO20,IF($JE20=1,30,0),ABS(1-$HI20)*100)),100000+ABS(6-$HH20)*1000+10)))-IF((121=$HJ20)+(121=$HK20)+(121=$HL20)+(121=$HM20)+(121=$HN20)+(121=$HO20)&gt;=2,50,0))+DT$5*50)</f>
        <v/>
      </c>
      <c r="DU140">
        <f>IF(OR($JF20=0,calcA!$A$6=0),0,IF(OR(122=$HA20,122=$HD20,122=$HG20),200000,MIN(IF($HA20=0,999999,IF(6=$HB20,IF(122=$HJ20,IF($JC20=2,30,0),IF(122=$HK20,IF($JC20=1,30,0),ABS(2-$HC20)*100)),100000+ABS(6-$HB20)*1000+20)),IF($HD20=0,999999,IF(6=$HE20,IF(122=$HL20,IF($JD20=2,30,0),IF(122=$HM20,IF($JD20=1,30,0),ABS(2-$HF20)*100)),100000+ABS(6-$HE20)*1000+20)),IF($HG20=0,999999,IF(6=$HH20,IF(122=$HN20,IF($JE20=2,30,0),IF(122=$HO20,IF($JE20=1,30,0),ABS(2-$HI20)*100)),100000+ABS(6-$HH20)*1000+20)))-IF((122=$HJ20)+(122=$HK20)+(122=$HL20)+(122=$HM20)+(122=$HN20)+(122=$HO20)&gt;=2,50,0))+DU$5*50)</f>
        <v/>
      </c>
      <c r="DV140">
        <f>IF(OR($JF20=0,calcA!$A$6=0),0,IF(OR(123=$HA20,123=$HD20,123=$HG20),200000,MIN(IF($HA20=0,999999,IF(6=$HB20,IF(123=$HJ20,IF($JC20=2,30,0),IF(123=$HK20,IF($JC20=1,30,0),ABS(3-$HC20)*100)),100000+ABS(6-$HB20)*1000+30)),IF($HD20=0,999999,IF(6=$HE20,IF(123=$HL20,IF($JD20=2,30,0),IF(123=$HM20,IF($JD20=1,30,0),ABS(3-$HF20)*100)),100000+ABS(6-$HE20)*1000+30)),IF($HG20=0,999999,IF(6=$HH20,IF(123=$HN20,IF($JE20=2,30,0),IF(123=$HO20,IF($JE20=1,30,0),ABS(3-$HI20)*100)),100000+ABS(6-$HH20)*1000+30)))-IF((123=$HJ20)+(123=$HK20)+(123=$HL20)+(123=$HM20)+(123=$HN20)+(123=$HO20)&gt;=2,50,0))+DV$5*50)</f>
        <v/>
      </c>
      <c r="DW140">
        <f>IF(OR($JF20=0,calcA!$A$6=0),0,IF(OR(124=$HA20,124=$HD20,124=$HG20),200000,MIN(IF($HA20=0,999999,IF(6=$HB20,IF(124=$HJ20,IF($JC20=2,30,0),IF(124=$HK20,IF($JC20=1,30,0),ABS(4-$HC20)*100)),100000+ABS(6-$HB20)*1000+40)),IF($HD20=0,999999,IF(6=$HE20,IF(124=$HL20,IF($JD20=2,30,0),IF(124=$HM20,IF($JD20=1,30,0),ABS(4-$HF20)*100)),100000+ABS(6-$HE20)*1000+40)),IF($HG20=0,999999,IF(6=$HH20,IF(124=$HN20,IF($JE20=2,30,0),IF(124=$HO20,IF($JE20=1,30,0),ABS(4-$HI20)*100)),100000+ABS(6-$HH20)*1000+40)))-IF((124=$HJ20)+(124=$HK20)+(124=$HL20)+(124=$HM20)+(124=$HN20)+(124=$HO20)&gt;=2,50,0))+DW$5*50)</f>
        <v/>
      </c>
      <c r="DX140">
        <f>IF(OR($JF20=0,calcA!$A$6=0),0,IF(OR(125=$HA20,125=$HD20,125=$HG20),200000,MIN(IF($HA20=0,999999,IF(6=$HB20,IF(125=$HJ20,IF($JC20=2,30,0),IF(125=$HK20,IF($JC20=1,30,0),ABS(5-$HC20)*100)),100000+ABS(6-$HB20)*1000+50)),IF($HD20=0,999999,IF(6=$HE20,IF(125=$HL20,IF($JD20=2,30,0),IF(125=$HM20,IF($JD20=1,30,0),ABS(5-$HF20)*100)),100000+ABS(6-$HE20)*1000+50)),IF($HG20=0,999999,IF(6=$HH20,IF(125=$HN20,IF($JE20=2,30,0),IF(125=$HO20,IF($JE20=1,30,0),ABS(5-$HI20)*100)),100000+ABS(6-$HH20)*1000+50)))-IF((125=$HJ20)+(125=$HK20)+(125=$HL20)+(125=$HM20)+(125=$HN20)+(125=$HO20)&gt;=2,50,0))+DX$5*50)</f>
        <v/>
      </c>
      <c r="DY140">
        <f>IF(OR($JF20=0,calcA!$A$6=0),0,IF(OR(126=$HA20,126=$HD20,126=$HG20),200000,MIN(IF($HA20=0,999999,IF(6=$HB20,IF(126=$HJ20,IF($JC20=2,30,0),IF(126=$HK20,IF($JC20=1,30,0),ABS(6-$HC20)*100)),100000+ABS(6-$HB20)*1000+60)),IF($HD20=0,999999,IF(6=$HE20,IF(126=$HL20,IF($JD20=2,30,0),IF(126=$HM20,IF($JD20=1,30,0),ABS(6-$HF20)*100)),100000+ABS(6-$HE20)*1000+60)),IF($HG20=0,999999,IF(6=$HH20,IF(126=$HN20,IF($JE20=2,30,0),IF(126=$HO20,IF($JE20=1,30,0),ABS(6-$HI20)*100)),100000+ABS(6-$HH20)*1000+60)))-IF((126=$HJ20)+(126=$HK20)+(126=$HL20)+(126=$HM20)+(126=$HN20)+(126=$HO20)&gt;=2,50,0))+DY$5*50)</f>
        <v/>
      </c>
      <c r="DZ140">
        <f>IF(OR($JF20=0,calcA!$A$6=0),0,IF(OR(127=$HA20,127=$HD20,127=$HG20),200000,MIN(IF($HA20=0,999999,IF(6=$HB20,IF(127=$HJ20,IF($JC20=2,30,0),IF(127=$HK20,IF($JC20=1,30,0),ABS(7-$HC20)*100)),100000+ABS(6-$HB20)*1000+70)),IF($HD20=0,999999,IF(6=$HE20,IF(127=$HL20,IF($JD20=2,30,0),IF(127=$HM20,IF($JD20=1,30,0),ABS(7-$HF20)*100)),100000+ABS(6-$HE20)*1000+70)),IF($HG20=0,999999,IF(6=$HH20,IF(127=$HN20,IF($JE20=2,30,0),IF(127=$HO20,IF($JE20=1,30,0),ABS(7-$HI20)*100)),100000+ABS(6-$HH20)*1000+70)))-IF((127=$HJ20)+(127=$HK20)+(127=$HL20)+(127=$HM20)+(127=$HN20)+(127=$HO20)&gt;=2,50,0))+DZ$5*50)</f>
        <v/>
      </c>
      <c r="EA140">
        <f>IF(OR($JF20=0,calcA!$A$6=0),0,IF(OR(128=$HA20,128=$HD20,128=$HG20),200000,MIN(IF($HA20=0,999999,IF(6=$HB20,IF(128=$HJ20,IF($JC20=2,30,0),IF(128=$HK20,IF($JC20=1,30,0),ABS(8-$HC20)*100)),100000+ABS(6-$HB20)*1000+80)),IF($HD20=0,999999,IF(6=$HE20,IF(128=$HL20,IF($JD20=2,30,0),IF(128=$HM20,IF($JD20=1,30,0),ABS(8-$HF20)*100)),100000+ABS(6-$HE20)*1000+80)),IF($HG20=0,999999,IF(6=$HH20,IF(128=$HN20,IF($JE20=2,30,0),IF(128=$HO20,IF($JE20=1,30,0),ABS(8-$HI20)*100)),100000+ABS(6-$HH20)*1000+80)))-IF((128=$HJ20)+(128=$HK20)+(128=$HL20)+(128=$HM20)+(128=$HN20)+(128=$HO20)&gt;=2,50,0))+EA$5*50)</f>
        <v/>
      </c>
      <c r="EB140">
        <f>IF(OR($JF20=0,calcA!$A$6=0),0,IF(OR(129=$HA20,129=$HD20,129=$HG20),200000,MIN(IF($HA20=0,999999,IF(6=$HB20,IF(129=$HJ20,IF($JC20=2,30,0),IF(129=$HK20,IF($JC20=1,30,0),ABS(9-$HC20)*100)),100000+ABS(6-$HB20)*1000+90)),IF($HD20=0,999999,IF(6=$HE20,IF(129=$HL20,IF($JD20=2,30,0),IF(129=$HM20,IF($JD20=1,30,0),ABS(9-$HF20)*100)),100000+ABS(6-$HE20)*1000+90)),IF($HG20=0,999999,IF(6=$HH20,IF(129=$HN20,IF($JE20=2,30,0),IF(129=$HO20,IF($JE20=1,30,0),ABS(9-$HI20)*100)),100000+ABS(6-$HH20)*1000+90)))-IF((129=$HJ20)+(129=$HK20)+(129=$HL20)+(129=$HM20)+(129=$HN20)+(129=$HO20)&gt;=2,50,0))+EB$5*50)</f>
        <v/>
      </c>
      <c r="EC140">
        <f>IF(OR($JF20=0,calcA!$A$6=0),0,IF(OR(130=$HA20,130=$HD20,130=$HG20),200000,MIN(IF($HA20=0,999999,IF(6=$HB20,IF(130=$HJ20,IF($JC20=2,30,0),IF(130=$HK20,IF($JC20=1,30,0),ABS(10-$HC20)*100)),100000+ABS(6-$HB20)*1000+100)),IF($HD20=0,999999,IF(6=$HE20,IF(130=$HL20,IF($JD20=2,30,0),IF(130=$HM20,IF($JD20=1,30,0),ABS(10-$HF20)*100)),100000+ABS(6-$HE20)*1000+100)),IF($HG20=0,999999,IF(6=$HH20,IF(130=$HN20,IF($JE20=2,30,0),IF(130=$HO20,IF($JE20=1,30,0),ABS(10-$HI20)*100)),100000+ABS(6-$HH20)*1000+100)))-IF((130=$HJ20)+(130=$HK20)+(130=$HL20)+(130=$HM20)+(130=$HN20)+(130=$HO20)&gt;=2,50,0))+EC$5*50)</f>
        <v/>
      </c>
      <c r="ED140">
        <f>IF(OR($JF20=0,calcA!$A$6=0),0,IF(OR(131=$HA20,131=$HD20,131=$HG20),200000,MIN(IF($HA20=0,999999,IF(6=$HB20,IF(131=$HJ20,IF($JC20=2,30,0),IF(131=$HK20,IF($JC20=1,30,0),ABS(11-$HC20)*100)),100000+ABS(6-$HB20)*1000+110)),IF($HD20=0,999999,IF(6=$HE20,IF(131=$HL20,IF($JD20=2,30,0),IF(131=$HM20,IF($JD20=1,30,0),ABS(11-$HF20)*100)),100000+ABS(6-$HE20)*1000+110)),IF($HG20=0,999999,IF(6=$HH20,IF(131=$HN20,IF($JE20=2,30,0),IF(131=$HO20,IF($JE20=1,30,0),ABS(11-$HI20)*100)),100000+ABS(6-$HH20)*1000+110)))-IF((131=$HJ20)+(131=$HK20)+(131=$HL20)+(131=$HM20)+(131=$HN20)+(131=$HO20)&gt;=2,50,0))+ED$5*50)</f>
        <v/>
      </c>
      <c r="EE140">
        <f>IF(OR($JF20=0,calcA!$A$6=0),0,IF(OR(132=$HA20,132=$HD20,132=$HG20),200000,MIN(IF($HA20=0,999999,IF(6=$HB20,IF(132=$HJ20,IF($JC20=2,30,0),IF(132=$HK20,IF($JC20=1,30,0),ABS(12-$HC20)*100)),100000+ABS(6-$HB20)*1000+120)),IF($HD20=0,999999,IF(6=$HE20,IF(132=$HL20,IF($JD20=2,30,0),IF(132=$HM20,IF($JD20=1,30,0),ABS(12-$HF20)*100)),100000+ABS(6-$HE20)*1000+120)),IF($HG20=0,999999,IF(6=$HH20,IF(132=$HN20,IF($JE20=2,30,0),IF(132=$HO20,IF($JE20=1,30,0),ABS(12-$HI20)*100)),100000+ABS(6-$HH20)*1000+120)))-IF((132=$HJ20)+(132=$HK20)+(132=$HL20)+(132=$HM20)+(132=$HN20)+(132=$HO20)&gt;=2,50,0))+EE$5*50)</f>
        <v/>
      </c>
      <c r="EF140">
        <f>IF(OR($JF20=0,calcA!$A$6=0),0,IF(OR(133=$HA20,133=$HD20,133=$HG20),200000,MIN(IF($HA20=0,999999,IF(6=$HB20,IF(133=$HJ20,IF($JC20=2,30,0),IF(133=$HK20,IF($JC20=1,30,0),ABS(13-$HC20)*100)),100000+ABS(6-$HB20)*1000+130)),IF($HD20=0,999999,IF(6=$HE20,IF(133=$HL20,IF($JD20=2,30,0),IF(133=$HM20,IF($JD20=1,30,0),ABS(13-$HF20)*100)),100000+ABS(6-$HE20)*1000+130)),IF($HG20=0,999999,IF(6=$HH20,IF(133=$HN20,IF($JE20=2,30,0),IF(133=$HO20,IF($JE20=1,30,0),ABS(13-$HI20)*100)),100000+ABS(6-$HH20)*1000+130)))-IF((133=$HJ20)+(133=$HK20)+(133=$HL20)+(133=$HM20)+(133=$HN20)+(133=$HO20)&gt;=2,50,0))+EF$5*50)</f>
        <v/>
      </c>
      <c r="EG140">
        <f>IF(OR($JF20=0,calcA!$A$6=0),0,IF(OR(134=$HA20,134=$HD20,134=$HG20),200000,MIN(IF($HA20=0,999999,IF(6=$HB20,IF(134=$HJ20,IF($JC20=2,30,0),IF(134=$HK20,IF($JC20=1,30,0),ABS(14-$HC20)*100)),100000+ABS(6-$HB20)*1000+140)),IF($HD20=0,999999,IF(6=$HE20,IF(134=$HL20,IF($JD20=2,30,0),IF(134=$HM20,IF($JD20=1,30,0),ABS(14-$HF20)*100)),100000+ABS(6-$HE20)*1000+140)),IF($HG20=0,999999,IF(6=$HH20,IF(134=$HN20,IF($JE20=2,30,0),IF(134=$HO20,IF($JE20=1,30,0),ABS(14-$HI20)*100)),100000+ABS(6-$HH20)*1000+140)))-IF((134=$HJ20)+(134=$HK20)+(134=$HL20)+(134=$HM20)+(134=$HN20)+(134=$HO20)&gt;=2,50,0))+EG$5*50)</f>
        <v/>
      </c>
      <c r="EH140">
        <f>IF(OR($JF20=0,calcA!$A$6=0),0,IF(OR(135=$HA20,135=$HD20,135=$HG20),200000,MIN(IF($HA20=0,999999,IF(6=$HB20,IF(135=$HJ20,IF($JC20=2,30,0),IF(135=$HK20,IF($JC20=1,30,0),ABS(15-$HC20)*100)),100000+ABS(6-$HB20)*1000+150)),IF($HD20=0,999999,IF(6=$HE20,IF(135=$HL20,IF($JD20=2,30,0),IF(135=$HM20,IF($JD20=1,30,0),ABS(15-$HF20)*100)),100000+ABS(6-$HE20)*1000+150)),IF($HG20=0,999999,IF(6=$HH20,IF(135=$HN20,IF($JE20=2,30,0),IF(135=$HO20,IF($JE20=1,30,0),ABS(15-$HI20)*100)),100000+ABS(6-$HH20)*1000+150)))-IF((135=$HJ20)+(135=$HK20)+(135=$HL20)+(135=$HM20)+(135=$HN20)+(135=$HO20)&gt;=2,50,0))+EH$5*50)</f>
        <v/>
      </c>
      <c r="EI140">
        <f>IF(OR($JF20=0,calcA!$A$6=0),0,IF(OR(136=$HA20,136=$HD20,136=$HG20),200000,MIN(IF($HA20=0,999999,IF(6=$HB20,IF(136=$HJ20,IF($JC20=2,30,0),IF(136=$HK20,IF($JC20=1,30,0),ABS(16-$HC20)*100)),100000+ABS(6-$HB20)*1000+160)),IF($HD20=0,999999,IF(6=$HE20,IF(136=$HL20,IF($JD20=2,30,0),IF(136=$HM20,IF($JD20=1,30,0),ABS(16-$HF20)*100)),100000+ABS(6-$HE20)*1000+160)),IF($HG20=0,999999,IF(6=$HH20,IF(136=$HN20,IF($JE20=2,30,0),IF(136=$HO20,IF($JE20=1,30,0),ABS(16-$HI20)*100)),100000+ABS(6-$HH20)*1000+160)))-IF((136=$HJ20)+(136=$HK20)+(136=$HL20)+(136=$HM20)+(136=$HN20)+(136=$HO20)&gt;=2,50,0))+EI$5*50)</f>
        <v/>
      </c>
      <c r="EJ140">
        <f>IF(OR($JF20=0,calcA!$A$6=0),0,IF(OR(137=$HA20,137=$HD20,137=$HG20),200000,MIN(IF($HA20=0,999999,IF(6=$HB20,IF(137=$HJ20,IF($JC20=2,30,0),IF(137=$HK20,IF($JC20=1,30,0),ABS(17-$HC20)*100)),100000+ABS(6-$HB20)*1000+170)),IF($HD20=0,999999,IF(6=$HE20,IF(137=$HL20,IF($JD20=2,30,0),IF(137=$HM20,IF($JD20=1,30,0),ABS(17-$HF20)*100)),100000+ABS(6-$HE20)*1000+170)),IF($HG20=0,999999,IF(6=$HH20,IF(137=$HN20,IF($JE20=2,30,0),IF(137=$HO20,IF($JE20=1,30,0),ABS(17-$HI20)*100)),100000+ABS(6-$HH20)*1000+170)))-IF((137=$HJ20)+(137=$HK20)+(137=$HL20)+(137=$HM20)+(137=$HN20)+(137=$HO20)&gt;=2,50,0))+EJ$5*50)</f>
        <v/>
      </c>
      <c r="EK140">
        <f>IF(OR($JF20=0,calcA!$A$6=0),0,IF(OR(138=$HA20,138=$HD20,138=$HG20),200000,MIN(IF($HA20=0,999999,IF(6=$HB20,IF(138=$HJ20,IF($JC20=2,30,0),IF(138=$HK20,IF($JC20=1,30,0),ABS(18-$HC20)*100)),100000+ABS(6-$HB20)*1000+180)),IF($HD20=0,999999,IF(6=$HE20,IF(138=$HL20,IF($JD20=2,30,0),IF(138=$HM20,IF($JD20=1,30,0),ABS(18-$HF20)*100)),100000+ABS(6-$HE20)*1000+180)),IF($HG20=0,999999,IF(6=$HH20,IF(138=$HN20,IF($JE20=2,30,0),IF(138=$HO20,IF($JE20=1,30,0),ABS(18-$HI20)*100)),100000+ABS(6-$HH20)*1000+180)))-IF((138=$HJ20)+(138=$HK20)+(138=$HL20)+(138=$HM20)+(138=$HN20)+(138=$HO20)&gt;=2,50,0))+EK$5*50)</f>
        <v/>
      </c>
      <c r="EL140">
        <f>IF(OR($JF20=0,calcA!$A$6=0),0,IF(OR(139=$HA20,139=$HD20,139=$HG20),200000,MIN(IF($HA20=0,999999,IF(6=$HB20,IF(139=$HJ20,IF($JC20=2,30,0),IF(139=$HK20,IF($JC20=1,30,0),ABS(19-$HC20)*100)),100000+ABS(6-$HB20)*1000+190)),IF($HD20=0,999999,IF(6=$HE20,IF(139=$HL20,IF($JD20=2,30,0),IF(139=$HM20,IF($JD20=1,30,0),ABS(19-$HF20)*100)),100000+ABS(6-$HE20)*1000+190)),IF($HG20=0,999999,IF(6=$HH20,IF(139=$HN20,IF($JE20=2,30,0),IF(139=$HO20,IF($JE20=1,30,0),ABS(19-$HI20)*100)),100000+ABS(6-$HH20)*1000+190)))-IF((139=$HJ20)+(139=$HK20)+(139=$HL20)+(139=$HM20)+(139=$HN20)+(139=$HO20)&gt;=2,50,0))+EL$5*50)</f>
        <v/>
      </c>
      <c r="EM140">
        <f>IF(OR($JF20=0,calcA!$A$6=0),0,IF(OR(140=$HA20,140=$HD20,140=$HG20),200000,MIN(IF($HA20=0,999999,IF(6=$HB20,IF(140=$HJ20,IF($JC20=2,30,0),IF(140=$HK20,IF($JC20=1,30,0),ABS(20-$HC20)*100)),100000+ABS(6-$HB20)*1000+200)),IF($HD20=0,999999,IF(6=$HE20,IF(140=$HL20,IF($JD20=2,30,0),IF(140=$HM20,IF($JD20=1,30,0),ABS(20-$HF20)*100)),100000+ABS(6-$HE20)*1000+200)),IF($HG20=0,999999,IF(6=$HH20,IF(140=$HN20,IF($JE20=2,30,0),IF(140=$HO20,IF($JE20=1,30,0),ABS(20-$HI20)*100)),100000+ABS(6-$HH20)*1000+200)))-IF((140=$HJ20)+(140=$HK20)+(140=$HL20)+(140=$HM20)+(140=$HN20)+(140=$HO20)&gt;=2,50,0))+EM$5*50)</f>
        <v/>
      </c>
      <c r="EN140">
        <f>IF(OR($JF20=0,calcA!$A$6=0),0,IF(OR(141=$HA20,141=$HD20,141=$HG20),200000,MIN(IF($HA20=0,999999,IF(6=$HB20,IF(141=$HJ20,IF($JC20=2,30,0),IF(141=$HK20,IF($JC20=1,30,0),ABS(21-$HC20)*100)),100000+ABS(6-$HB20)*1000+210)),IF($HD20=0,999999,IF(6=$HE20,IF(141=$HL20,IF($JD20=2,30,0),IF(141=$HM20,IF($JD20=1,30,0),ABS(21-$HF20)*100)),100000+ABS(6-$HE20)*1000+210)),IF($HG20=0,999999,IF(6=$HH20,IF(141=$HN20,IF($JE20=2,30,0),IF(141=$HO20,IF($JE20=1,30,0),ABS(21-$HI20)*100)),100000+ABS(6-$HH20)*1000+210)))-IF((141=$HJ20)+(141=$HK20)+(141=$HL20)+(141=$HM20)+(141=$HN20)+(141=$HO20)&gt;=2,50,0))+EN$5*50)</f>
        <v/>
      </c>
      <c r="EO140">
        <f>IF(OR($JF20=0,calcA!$A$6=0),0,IF(OR(142=$HA20,142=$HD20,142=$HG20),200000,MIN(IF($HA20=0,999999,IF(6=$HB20,IF(142=$HJ20,IF($JC20=2,30,0),IF(142=$HK20,IF($JC20=1,30,0),ABS(22-$HC20)*100)),100000+ABS(6-$HB20)*1000+220)),IF($HD20=0,999999,IF(6=$HE20,IF(142=$HL20,IF($JD20=2,30,0),IF(142=$HM20,IF($JD20=1,30,0),ABS(22-$HF20)*100)),100000+ABS(6-$HE20)*1000+220)),IF($HG20=0,999999,IF(6=$HH20,IF(142=$HN20,IF($JE20=2,30,0),IF(142=$HO20,IF($JE20=1,30,0),ABS(22-$HI20)*100)),100000+ABS(6-$HH20)*1000+220)))-IF((142=$HJ20)+(142=$HK20)+(142=$HL20)+(142=$HM20)+(142=$HN20)+(142=$HO20)&gt;=2,50,0))+EO$5*50)</f>
        <v/>
      </c>
      <c r="EP140">
        <f>IF(OR($JF20=0,calcA!$A$6=0),0,IF(OR(143=$HA20,143=$HD20,143=$HG20),200000,MIN(IF($HA20=0,999999,IF(6=$HB20,IF(143=$HJ20,IF($JC20=2,30,0),IF(143=$HK20,IF($JC20=1,30,0),ABS(23-$HC20)*100)),100000+ABS(6-$HB20)*1000+230)),IF($HD20=0,999999,IF(6=$HE20,IF(143=$HL20,IF($JD20=2,30,0),IF(143=$HM20,IF($JD20=1,30,0),ABS(23-$HF20)*100)),100000+ABS(6-$HE20)*1000+230)),IF($HG20=0,999999,IF(6=$HH20,IF(143=$HN20,IF($JE20=2,30,0),IF(143=$HO20,IF($JE20=1,30,0),ABS(23-$HI20)*100)),100000+ABS(6-$HH20)*1000+230)))-IF((143=$HJ20)+(143=$HK20)+(143=$HL20)+(143=$HM20)+(143=$HN20)+(143=$HO20)&gt;=2,50,0))+EP$5*50)</f>
        <v/>
      </c>
      <c r="EQ140">
        <f>IF(OR($JF20=0,calcA!$A$6=0),0,IF(OR(144=$HA20,144=$HD20,144=$HG20),200000,MIN(IF($HA20=0,999999,IF(6=$HB20,IF(144=$HJ20,IF($JC20=2,30,0),IF(144=$HK20,IF($JC20=1,30,0),ABS(24-$HC20)*100)),100000+ABS(6-$HB20)*1000+240)),IF($HD20=0,999999,IF(6=$HE20,IF(144=$HL20,IF($JD20=2,30,0),IF(144=$HM20,IF($JD20=1,30,0),ABS(24-$HF20)*100)),100000+ABS(6-$HE20)*1000+240)),IF($HG20=0,999999,IF(6=$HH20,IF(144=$HN20,IF($JE20=2,30,0),IF(144=$HO20,IF($JE20=1,30,0),ABS(24-$HI20)*100)),100000+ABS(6-$HH20)*1000+240)))-IF((144=$HJ20)+(144=$HK20)+(144=$HL20)+(144=$HM20)+(144=$HN20)+(144=$HO20)&gt;=2,50,0))+EQ$5*50)</f>
        <v/>
      </c>
    </row>
    <row r="141">
      <c r="D141">
        <f>IF(OR($JF21=0,calcA!$A$6=0),0,IF(OR(1=$HA21,1=$HD21,1=$HG21),200000,MIN(IF($HA21=0,999999,IF(1=$HB21,IF(1=$HJ21,IF($JC21=2,30,0),IF(1=$HK21,IF($JC21=1,30,0),ABS(1-$HC21)*100)),100000+ABS(1-$HB21)*1000+10)),IF($HD21=0,999999,IF(1=$HE21,IF(1=$HL21,IF($JD21=2,30,0),IF(1=$HM21,IF($JD21=1,30,0),ABS(1-$HF21)*100)),100000+ABS(1-$HE21)*1000+10)),IF($HG21=0,999999,IF(1=$HH21,IF(1=$HN21,IF($JE21=2,30,0),IF(1=$HO21,IF($JE21=1,30,0),ABS(1-$HI21)*100)),100000+ABS(1-$HH21)*1000+10)))-IF((1=$HJ21)+(1=$HK21)+(1=$HL21)+(1=$HM21)+(1=$HN21)+(1=$HO21)&gt;=2,50,0))+D$5*50)</f>
        <v/>
      </c>
      <c r="E141">
        <f>IF(OR($JF21=0,calcA!$A$6=0),0,IF(OR(2=$HA21,2=$HD21,2=$HG21),200000,MIN(IF($HA21=0,999999,IF(1=$HB21,IF(2=$HJ21,IF($JC21=2,30,0),IF(2=$HK21,IF($JC21=1,30,0),ABS(2-$HC21)*100)),100000+ABS(1-$HB21)*1000+20)),IF($HD21=0,999999,IF(1=$HE21,IF(2=$HL21,IF($JD21=2,30,0),IF(2=$HM21,IF($JD21=1,30,0),ABS(2-$HF21)*100)),100000+ABS(1-$HE21)*1000+20)),IF($HG21=0,999999,IF(1=$HH21,IF(2=$HN21,IF($JE21=2,30,0),IF(2=$HO21,IF($JE21=1,30,0),ABS(2-$HI21)*100)),100000+ABS(1-$HH21)*1000+20)))-IF((2=$HJ21)+(2=$HK21)+(2=$HL21)+(2=$HM21)+(2=$HN21)+(2=$HO21)&gt;=2,50,0))+E$5*50)</f>
        <v/>
      </c>
      <c r="F141">
        <f>IF(OR($JF21=0,calcA!$A$6=0),0,IF(OR(3=$HA21,3=$HD21,3=$HG21),200000,MIN(IF($HA21=0,999999,IF(1=$HB21,IF(3=$HJ21,IF($JC21=2,30,0),IF(3=$HK21,IF($JC21=1,30,0),ABS(3-$HC21)*100)),100000+ABS(1-$HB21)*1000+30)),IF($HD21=0,999999,IF(1=$HE21,IF(3=$HL21,IF($JD21=2,30,0),IF(3=$HM21,IF($JD21=1,30,0),ABS(3-$HF21)*100)),100000+ABS(1-$HE21)*1000+30)),IF($HG21=0,999999,IF(1=$HH21,IF(3=$HN21,IF($JE21=2,30,0),IF(3=$HO21,IF($JE21=1,30,0),ABS(3-$HI21)*100)),100000+ABS(1-$HH21)*1000+30)))-IF((3=$HJ21)+(3=$HK21)+(3=$HL21)+(3=$HM21)+(3=$HN21)+(3=$HO21)&gt;=2,50,0))+F$5*50)</f>
        <v/>
      </c>
      <c r="G141">
        <f>IF(OR($JF21=0,calcA!$A$6=0),0,IF(OR(4=$HA21,4=$HD21,4=$HG21),200000,MIN(IF($HA21=0,999999,IF(1=$HB21,IF(4=$HJ21,IF($JC21=2,30,0),IF(4=$HK21,IF($JC21=1,30,0),ABS(4-$HC21)*100)),100000+ABS(1-$HB21)*1000+40)),IF($HD21=0,999999,IF(1=$HE21,IF(4=$HL21,IF($JD21=2,30,0),IF(4=$HM21,IF($JD21=1,30,0),ABS(4-$HF21)*100)),100000+ABS(1-$HE21)*1000+40)),IF($HG21=0,999999,IF(1=$HH21,IF(4=$HN21,IF($JE21=2,30,0),IF(4=$HO21,IF($JE21=1,30,0),ABS(4-$HI21)*100)),100000+ABS(1-$HH21)*1000+40)))-IF((4=$HJ21)+(4=$HK21)+(4=$HL21)+(4=$HM21)+(4=$HN21)+(4=$HO21)&gt;=2,50,0))+G$5*50)</f>
        <v/>
      </c>
      <c r="H141">
        <f>IF(OR($JF21=0,calcA!$A$6=0),0,IF(OR(5=$HA21,5=$HD21,5=$HG21),200000,MIN(IF($HA21=0,999999,IF(1=$HB21,IF(5=$HJ21,IF($JC21=2,30,0),IF(5=$HK21,IF($JC21=1,30,0),ABS(5-$HC21)*100)),100000+ABS(1-$HB21)*1000+50)),IF($HD21=0,999999,IF(1=$HE21,IF(5=$HL21,IF($JD21=2,30,0),IF(5=$HM21,IF($JD21=1,30,0),ABS(5-$HF21)*100)),100000+ABS(1-$HE21)*1000+50)),IF($HG21=0,999999,IF(1=$HH21,IF(5=$HN21,IF($JE21=2,30,0),IF(5=$HO21,IF($JE21=1,30,0),ABS(5-$HI21)*100)),100000+ABS(1-$HH21)*1000+50)))-IF((5=$HJ21)+(5=$HK21)+(5=$HL21)+(5=$HM21)+(5=$HN21)+(5=$HO21)&gt;=2,50,0))+H$5*50)</f>
        <v/>
      </c>
      <c r="I141">
        <f>IF(OR($JF21=0,calcA!$A$6=0),0,IF(OR(6=$HA21,6=$HD21,6=$HG21),200000,MIN(IF($HA21=0,999999,IF(1=$HB21,IF(6=$HJ21,IF($JC21=2,30,0),IF(6=$HK21,IF($JC21=1,30,0),ABS(6-$HC21)*100)),100000+ABS(1-$HB21)*1000+60)),IF($HD21=0,999999,IF(1=$HE21,IF(6=$HL21,IF($JD21=2,30,0),IF(6=$HM21,IF($JD21=1,30,0),ABS(6-$HF21)*100)),100000+ABS(1-$HE21)*1000+60)),IF($HG21=0,999999,IF(1=$HH21,IF(6=$HN21,IF($JE21=2,30,0),IF(6=$HO21,IF($JE21=1,30,0),ABS(6-$HI21)*100)),100000+ABS(1-$HH21)*1000+60)))-IF((6=$HJ21)+(6=$HK21)+(6=$HL21)+(6=$HM21)+(6=$HN21)+(6=$HO21)&gt;=2,50,0))+I$5*50)</f>
        <v/>
      </c>
      <c r="J141">
        <f>IF(OR($JF21=0,calcA!$A$6=0),0,IF(OR(7=$HA21,7=$HD21,7=$HG21),200000,MIN(IF($HA21=0,999999,IF(1=$HB21,IF(7=$HJ21,IF($JC21=2,30,0),IF(7=$HK21,IF($JC21=1,30,0),ABS(7-$HC21)*100)),100000+ABS(1-$HB21)*1000+70)),IF($HD21=0,999999,IF(1=$HE21,IF(7=$HL21,IF($JD21=2,30,0),IF(7=$HM21,IF($JD21=1,30,0),ABS(7-$HF21)*100)),100000+ABS(1-$HE21)*1000+70)),IF($HG21=0,999999,IF(1=$HH21,IF(7=$HN21,IF($JE21=2,30,0),IF(7=$HO21,IF($JE21=1,30,0),ABS(7-$HI21)*100)),100000+ABS(1-$HH21)*1000+70)))-IF((7=$HJ21)+(7=$HK21)+(7=$HL21)+(7=$HM21)+(7=$HN21)+(7=$HO21)&gt;=2,50,0))+J$5*50)</f>
        <v/>
      </c>
      <c r="K141">
        <f>IF(OR($JF21=0,calcA!$A$6=0),0,IF(OR(8=$HA21,8=$HD21,8=$HG21),200000,MIN(IF($HA21=0,999999,IF(1=$HB21,IF(8=$HJ21,IF($JC21=2,30,0),IF(8=$HK21,IF($JC21=1,30,0),ABS(8-$HC21)*100)),100000+ABS(1-$HB21)*1000+80)),IF($HD21=0,999999,IF(1=$HE21,IF(8=$HL21,IF($JD21=2,30,0),IF(8=$HM21,IF($JD21=1,30,0),ABS(8-$HF21)*100)),100000+ABS(1-$HE21)*1000+80)),IF($HG21=0,999999,IF(1=$HH21,IF(8=$HN21,IF($JE21=2,30,0),IF(8=$HO21,IF($JE21=1,30,0),ABS(8-$HI21)*100)),100000+ABS(1-$HH21)*1000+80)))-IF((8=$HJ21)+(8=$HK21)+(8=$HL21)+(8=$HM21)+(8=$HN21)+(8=$HO21)&gt;=2,50,0))+K$5*50)</f>
        <v/>
      </c>
      <c r="L141">
        <f>IF(OR($JF21=0,calcA!$A$6=0),0,IF(OR(9=$HA21,9=$HD21,9=$HG21),200000,MIN(IF($HA21=0,999999,IF(1=$HB21,IF(9=$HJ21,IF($JC21=2,30,0),IF(9=$HK21,IF($JC21=1,30,0),ABS(9-$HC21)*100)),100000+ABS(1-$HB21)*1000+90)),IF($HD21=0,999999,IF(1=$HE21,IF(9=$HL21,IF($JD21=2,30,0),IF(9=$HM21,IF($JD21=1,30,0),ABS(9-$HF21)*100)),100000+ABS(1-$HE21)*1000+90)),IF($HG21=0,999999,IF(1=$HH21,IF(9=$HN21,IF($JE21=2,30,0),IF(9=$HO21,IF($JE21=1,30,0),ABS(9-$HI21)*100)),100000+ABS(1-$HH21)*1000+90)))-IF((9=$HJ21)+(9=$HK21)+(9=$HL21)+(9=$HM21)+(9=$HN21)+(9=$HO21)&gt;=2,50,0))+L$5*50)</f>
        <v/>
      </c>
      <c r="M141">
        <f>IF(OR($JF21=0,calcA!$A$6=0),0,IF(OR(10=$HA21,10=$HD21,10=$HG21),200000,MIN(IF($HA21=0,999999,IF(1=$HB21,IF(10=$HJ21,IF($JC21=2,30,0),IF(10=$HK21,IF($JC21=1,30,0),ABS(10-$HC21)*100)),100000+ABS(1-$HB21)*1000+100)),IF($HD21=0,999999,IF(1=$HE21,IF(10=$HL21,IF($JD21=2,30,0),IF(10=$HM21,IF($JD21=1,30,0),ABS(10-$HF21)*100)),100000+ABS(1-$HE21)*1000+100)),IF($HG21=0,999999,IF(1=$HH21,IF(10=$HN21,IF($JE21=2,30,0),IF(10=$HO21,IF($JE21=1,30,0),ABS(10-$HI21)*100)),100000+ABS(1-$HH21)*1000+100)))-IF((10=$HJ21)+(10=$HK21)+(10=$HL21)+(10=$HM21)+(10=$HN21)+(10=$HO21)&gt;=2,50,0))+M$5*50)</f>
        <v/>
      </c>
      <c r="N141">
        <f>IF(OR($JF21=0,calcA!$A$6=0),0,IF(OR(11=$HA21,11=$HD21,11=$HG21),200000,MIN(IF($HA21=0,999999,IF(1=$HB21,IF(11=$HJ21,IF($JC21=2,30,0),IF(11=$HK21,IF($JC21=1,30,0),ABS(11-$HC21)*100)),100000+ABS(1-$HB21)*1000+110)),IF($HD21=0,999999,IF(1=$HE21,IF(11=$HL21,IF($JD21=2,30,0),IF(11=$HM21,IF($JD21=1,30,0),ABS(11-$HF21)*100)),100000+ABS(1-$HE21)*1000+110)),IF($HG21=0,999999,IF(1=$HH21,IF(11=$HN21,IF($JE21=2,30,0),IF(11=$HO21,IF($JE21=1,30,0),ABS(11-$HI21)*100)),100000+ABS(1-$HH21)*1000+110)))-IF((11=$HJ21)+(11=$HK21)+(11=$HL21)+(11=$HM21)+(11=$HN21)+(11=$HO21)&gt;=2,50,0))+N$5*50)</f>
        <v/>
      </c>
      <c r="O141">
        <f>IF(OR($JF21=0,calcA!$A$6=0),0,IF(OR(12=$HA21,12=$HD21,12=$HG21),200000,MIN(IF($HA21=0,999999,IF(1=$HB21,IF(12=$HJ21,IF($JC21=2,30,0),IF(12=$HK21,IF($JC21=1,30,0),ABS(12-$HC21)*100)),100000+ABS(1-$HB21)*1000+120)),IF($HD21=0,999999,IF(1=$HE21,IF(12=$HL21,IF($JD21=2,30,0),IF(12=$HM21,IF($JD21=1,30,0),ABS(12-$HF21)*100)),100000+ABS(1-$HE21)*1000+120)),IF($HG21=0,999999,IF(1=$HH21,IF(12=$HN21,IF($JE21=2,30,0),IF(12=$HO21,IF($JE21=1,30,0),ABS(12-$HI21)*100)),100000+ABS(1-$HH21)*1000+120)))-IF((12=$HJ21)+(12=$HK21)+(12=$HL21)+(12=$HM21)+(12=$HN21)+(12=$HO21)&gt;=2,50,0))+O$5*50)</f>
        <v/>
      </c>
      <c r="P141">
        <f>IF(OR($JF21=0,calcA!$A$6=0),0,IF(OR(13=$HA21,13=$HD21,13=$HG21),200000,MIN(IF($HA21=0,999999,IF(1=$HB21,IF(13=$HJ21,IF($JC21=2,30,0),IF(13=$HK21,IF($JC21=1,30,0),ABS(13-$HC21)*100)),100000+ABS(1-$HB21)*1000+130)),IF($HD21=0,999999,IF(1=$HE21,IF(13=$HL21,IF($JD21=2,30,0),IF(13=$HM21,IF($JD21=1,30,0),ABS(13-$HF21)*100)),100000+ABS(1-$HE21)*1000+130)),IF($HG21=0,999999,IF(1=$HH21,IF(13=$HN21,IF($JE21=2,30,0),IF(13=$HO21,IF($JE21=1,30,0),ABS(13-$HI21)*100)),100000+ABS(1-$HH21)*1000+130)))-IF((13=$HJ21)+(13=$HK21)+(13=$HL21)+(13=$HM21)+(13=$HN21)+(13=$HO21)&gt;=2,50,0))+P$5*50)</f>
        <v/>
      </c>
      <c r="Q141">
        <f>IF(OR($JF21=0,calcA!$A$6=0),0,IF(OR(14=$HA21,14=$HD21,14=$HG21),200000,MIN(IF($HA21=0,999999,IF(1=$HB21,IF(14=$HJ21,IF($JC21=2,30,0),IF(14=$HK21,IF($JC21=1,30,0),ABS(14-$HC21)*100)),100000+ABS(1-$HB21)*1000+140)),IF($HD21=0,999999,IF(1=$HE21,IF(14=$HL21,IF($JD21=2,30,0),IF(14=$HM21,IF($JD21=1,30,0),ABS(14-$HF21)*100)),100000+ABS(1-$HE21)*1000+140)),IF($HG21=0,999999,IF(1=$HH21,IF(14=$HN21,IF($JE21=2,30,0),IF(14=$HO21,IF($JE21=1,30,0),ABS(14-$HI21)*100)),100000+ABS(1-$HH21)*1000+140)))-IF((14=$HJ21)+(14=$HK21)+(14=$HL21)+(14=$HM21)+(14=$HN21)+(14=$HO21)&gt;=2,50,0))+Q$5*50)</f>
        <v/>
      </c>
      <c r="R141">
        <f>IF(OR($JF21=0,calcA!$A$6=0),0,IF(OR(15=$HA21,15=$HD21,15=$HG21),200000,MIN(IF($HA21=0,999999,IF(1=$HB21,IF(15=$HJ21,IF($JC21=2,30,0),IF(15=$HK21,IF($JC21=1,30,0),ABS(15-$HC21)*100)),100000+ABS(1-$HB21)*1000+150)),IF($HD21=0,999999,IF(1=$HE21,IF(15=$HL21,IF($JD21=2,30,0),IF(15=$HM21,IF($JD21=1,30,0),ABS(15-$HF21)*100)),100000+ABS(1-$HE21)*1000+150)),IF($HG21=0,999999,IF(1=$HH21,IF(15=$HN21,IF($JE21=2,30,0),IF(15=$HO21,IF($JE21=1,30,0),ABS(15-$HI21)*100)),100000+ABS(1-$HH21)*1000+150)))-IF((15=$HJ21)+(15=$HK21)+(15=$HL21)+(15=$HM21)+(15=$HN21)+(15=$HO21)&gt;=2,50,0))+R$5*50)</f>
        <v/>
      </c>
      <c r="S141">
        <f>IF(OR($JF21=0,calcA!$A$6=0),0,IF(OR(16=$HA21,16=$HD21,16=$HG21),200000,MIN(IF($HA21=0,999999,IF(1=$HB21,IF(16=$HJ21,IF($JC21=2,30,0),IF(16=$HK21,IF($JC21=1,30,0),ABS(16-$HC21)*100)),100000+ABS(1-$HB21)*1000+160)),IF($HD21=0,999999,IF(1=$HE21,IF(16=$HL21,IF($JD21=2,30,0),IF(16=$HM21,IF($JD21=1,30,0),ABS(16-$HF21)*100)),100000+ABS(1-$HE21)*1000+160)),IF($HG21=0,999999,IF(1=$HH21,IF(16=$HN21,IF($JE21=2,30,0),IF(16=$HO21,IF($JE21=1,30,0),ABS(16-$HI21)*100)),100000+ABS(1-$HH21)*1000+160)))-IF((16=$HJ21)+(16=$HK21)+(16=$HL21)+(16=$HM21)+(16=$HN21)+(16=$HO21)&gt;=2,50,0))+S$5*50)</f>
        <v/>
      </c>
      <c r="T141">
        <f>IF(OR($JF21=0,calcA!$A$6=0),0,IF(OR(17=$HA21,17=$HD21,17=$HG21),200000,MIN(IF($HA21=0,999999,IF(1=$HB21,IF(17=$HJ21,IF($JC21=2,30,0),IF(17=$HK21,IF($JC21=1,30,0),ABS(17-$HC21)*100)),100000+ABS(1-$HB21)*1000+170)),IF($HD21=0,999999,IF(1=$HE21,IF(17=$HL21,IF($JD21=2,30,0),IF(17=$HM21,IF($JD21=1,30,0),ABS(17-$HF21)*100)),100000+ABS(1-$HE21)*1000+170)),IF($HG21=0,999999,IF(1=$HH21,IF(17=$HN21,IF($JE21=2,30,0),IF(17=$HO21,IF($JE21=1,30,0),ABS(17-$HI21)*100)),100000+ABS(1-$HH21)*1000+170)))-IF((17=$HJ21)+(17=$HK21)+(17=$HL21)+(17=$HM21)+(17=$HN21)+(17=$HO21)&gt;=2,50,0))+T$5*50)</f>
        <v/>
      </c>
      <c r="U141">
        <f>IF(OR($JF21=0,calcA!$A$6=0),0,IF(OR(18=$HA21,18=$HD21,18=$HG21),200000,MIN(IF($HA21=0,999999,IF(1=$HB21,IF(18=$HJ21,IF($JC21=2,30,0),IF(18=$HK21,IF($JC21=1,30,0),ABS(18-$HC21)*100)),100000+ABS(1-$HB21)*1000+180)),IF($HD21=0,999999,IF(1=$HE21,IF(18=$HL21,IF($JD21=2,30,0),IF(18=$HM21,IF($JD21=1,30,0),ABS(18-$HF21)*100)),100000+ABS(1-$HE21)*1000+180)),IF($HG21=0,999999,IF(1=$HH21,IF(18=$HN21,IF($JE21=2,30,0),IF(18=$HO21,IF($JE21=1,30,0),ABS(18-$HI21)*100)),100000+ABS(1-$HH21)*1000+180)))-IF((18=$HJ21)+(18=$HK21)+(18=$HL21)+(18=$HM21)+(18=$HN21)+(18=$HO21)&gt;=2,50,0))+U$5*50)</f>
        <v/>
      </c>
      <c r="V141">
        <f>IF(OR($JF21=0,calcA!$A$6=0),0,IF(OR(19=$HA21,19=$HD21,19=$HG21),200000,MIN(IF($HA21=0,999999,IF(1=$HB21,IF(19=$HJ21,IF($JC21=2,30,0),IF(19=$HK21,IF($JC21=1,30,0),ABS(19-$HC21)*100)),100000+ABS(1-$HB21)*1000+190)),IF($HD21=0,999999,IF(1=$HE21,IF(19=$HL21,IF($JD21=2,30,0),IF(19=$HM21,IF($JD21=1,30,0),ABS(19-$HF21)*100)),100000+ABS(1-$HE21)*1000+190)),IF($HG21=0,999999,IF(1=$HH21,IF(19=$HN21,IF($JE21=2,30,0),IF(19=$HO21,IF($JE21=1,30,0),ABS(19-$HI21)*100)),100000+ABS(1-$HH21)*1000+190)))-IF((19=$HJ21)+(19=$HK21)+(19=$HL21)+(19=$HM21)+(19=$HN21)+(19=$HO21)&gt;=2,50,0))+V$5*50)</f>
        <v/>
      </c>
      <c r="W141">
        <f>IF(OR($JF21=0,calcA!$A$6=0),0,IF(OR(20=$HA21,20=$HD21,20=$HG21),200000,MIN(IF($HA21=0,999999,IF(1=$HB21,IF(20=$HJ21,IF($JC21=2,30,0),IF(20=$HK21,IF($JC21=1,30,0),ABS(20-$HC21)*100)),100000+ABS(1-$HB21)*1000+200)),IF($HD21=0,999999,IF(1=$HE21,IF(20=$HL21,IF($JD21=2,30,0),IF(20=$HM21,IF($JD21=1,30,0),ABS(20-$HF21)*100)),100000+ABS(1-$HE21)*1000+200)),IF($HG21=0,999999,IF(1=$HH21,IF(20=$HN21,IF($JE21=2,30,0),IF(20=$HO21,IF($JE21=1,30,0),ABS(20-$HI21)*100)),100000+ABS(1-$HH21)*1000+200)))-IF((20=$HJ21)+(20=$HK21)+(20=$HL21)+(20=$HM21)+(20=$HN21)+(20=$HO21)&gt;=2,50,0))+W$5*50)</f>
        <v/>
      </c>
      <c r="X141">
        <f>IF(OR($JF21=0,calcA!$A$6=0),0,IF(OR(21=$HA21,21=$HD21,21=$HG21),200000,MIN(IF($HA21=0,999999,IF(1=$HB21,IF(21=$HJ21,IF($JC21=2,30,0),IF(21=$HK21,IF($JC21=1,30,0),ABS(21-$HC21)*100)),100000+ABS(1-$HB21)*1000+210)),IF($HD21=0,999999,IF(1=$HE21,IF(21=$HL21,IF($JD21=2,30,0),IF(21=$HM21,IF($JD21=1,30,0),ABS(21-$HF21)*100)),100000+ABS(1-$HE21)*1000+210)),IF($HG21=0,999999,IF(1=$HH21,IF(21=$HN21,IF($JE21=2,30,0),IF(21=$HO21,IF($JE21=1,30,0),ABS(21-$HI21)*100)),100000+ABS(1-$HH21)*1000+210)))-IF((21=$HJ21)+(21=$HK21)+(21=$HL21)+(21=$HM21)+(21=$HN21)+(21=$HO21)&gt;=2,50,0))+X$5*50)</f>
        <v/>
      </c>
      <c r="Y141">
        <f>IF(OR($JF21=0,calcA!$A$6=0),0,IF(OR(22=$HA21,22=$HD21,22=$HG21),200000,MIN(IF($HA21=0,999999,IF(1=$HB21,IF(22=$HJ21,IF($JC21=2,30,0),IF(22=$HK21,IF($JC21=1,30,0),ABS(22-$HC21)*100)),100000+ABS(1-$HB21)*1000+220)),IF($HD21=0,999999,IF(1=$HE21,IF(22=$HL21,IF($JD21=2,30,0),IF(22=$HM21,IF($JD21=1,30,0),ABS(22-$HF21)*100)),100000+ABS(1-$HE21)*1000+220)),IF($HG21=0,999999,IF(1=$HH21,IF(22=$HN21,IF($JE21=2,30,0),IF(22=$HO21,IF($JE21=1,30,0),ABS(22-$HI21)*100)),100000+ABS(1-$HH21)*1000+220)))-IF((22=$HJ21)+(22=$HK21)+(22=$HL21)+(22=$HM21)+(22=$HN21)+(22=$HO21)&gt;=2,50,0))+Y$5*50)</f>
        <v/>
      </c>
      <c r="Z141">
        <f>IF(OR($JF21=0,calcA!$A$6=0),0,IF(OR(23=$HA21,23=$HD21,23=$HG21),200000,MIN(IF($HA21=0,999999,IF(1=$HB21,IF(23=$HJ21,IF($JC21=2,30,0),IF(23=$HK21,IF($JC21=1,30,0),ABS(23-$HC21)*100)),100000+ABS(1-$HB21)*1000+230)),IF($HD21=0,999999,IF(1=$HE21,IF(23=$HL21,IF($JD21=2,30,0),IF(23=$HM21,IF($JD21=1,30,0),ABS(23-$HF21)*100)),100000+ABS(1-$HE21)*1000+230)),IF($HG21=0,999999,IF(1=$HH21,IF(23=$HN21,IF($JE21=2,30,0),IF(23=$HO21,IF($JE21=1,30,0),ABS(23-$HI21)*100)),100000+ABS(1-$HH21)*1000+230)))-IF((23=$HJ21)+(23=$HK21)+(23=$HL21)+(23=$HM21)+(23=$HN21)+(23=$HO21)&gt;=2,50,0))+Z$5*50)</f>
        <v/>
      </c>
      <c r="AA141">
        <f>IF(OR($JF21=0,calcA!$A$6=0),0,IF(OR(24=$HA21,24=$HD21,24=$HG21),200000,MIN(IF($HA21=0,999999,IF(1=$HB21,IF(24=$HJ21,IF($JC21=2,30,0),IF(24=$HK21,IF($JC21=1,30,0),ABS(24-$HC21)*100)),100000+ABS(1-$HB21)*1000+240)),IF($HD21=0,999999,IF(1=$HE21,IF(24=$HL21,IF($JD21=2,30,0),IF(24=$HM21,IF($JD21=1,30,0),ABS(24-$HF21)*100)),100000+ABS(1-$HE21)*1000+240)),IF($HG21=0,999999,IF(1=$HH21,IF(24=$HN21,IF($JE21=2,30,0),IF(24=$HO21,IF($JE21=1,30,0),ABS(24-$HI21)*100)),100000+ABS(1-$HH21)*1000+240)))-IF((24=$HJ21)+(24=$HK21)+(24=$HL21)+(24=$HM21)+(24=$HN21)+(24=$HO21)&gt;=2,50,0))+AA$5*50)</f>
        <v/>
      </c>
      <c r="AB141">
        <f>IF(OR($JF21=0,calcA!$A$6=0),0,IF(OR(25=$HA21,25=$HD21,25=$HG21),200000,MIN(IF($HA21=0,999999,IF(2=$HB21,IF(25=$HJ21,IF($JC21=2,30,0),IF(25=$HK21,IF($JC21=1,30,0),ABS(1-$HC21)*100)),100000+ABS(2-$HB21)*1000+10)),IF($HD21=0,999999,IF(2=$HE21,IF(25=$HL21,IF($JD21=2,30,0),IF(25=$HM21,IF($JD21=1,30,0),ABS(1-$HF21)*100)),100000+ABS(2-$HE21)*1000+10)),IF($HG21=0,999999,IF(2=$HH21,IF(25=$HN21,IF($JE21=2,30,0),IF(25=$HO21,IF($JE21=1,30,0),ABS(1-$HI21)*100)),100000+ABS(2-$HH21)*1000+10)))-IF((25=$HJ21)+(25=$HK21)+(25=$HL21)+(25=$HM21)+(25=$HN21)+(25=$HO21)&gt;=2,50,0))+AB$5*50)</f>
        <v/>
      </c>
      <c r="AC141">
        <f>IF(OR($JF21=0,calcA!$A$6=0),0,IF(OR(26=$HA21,26=$HD21,26=$HG21),200000,MIN(IF($HA21=0,999999,IF(2=$HB21,IF(26=$HJ21,IF($JC21=2,30,0),IF(26=$HK21,IF($JC21=1,30,0),ABS(2-$HC21)*100)),100000+ABS(2-$HB21)*1000+20)),IF($HD21=0,999999,IF(2=$HE21,IF(26=$HL21,IF($JD21=2,30,0),IF(26=$HM21,IF($JD21=1,30,0),ABS(2-$HF21)*100)),100000+ABS(2-$HE21)*1000+20)),IF($HG21=0,999999,IF(2=$HH21,IF(26=$HN21,IF($JE21=2,30,0),IF(26=$HO21,IF($JE21=1,30,0),ABS(2-$HI21)*100)),100000+ABS(2-$HH21)*1000+20)))-IF((26=$HJ21)+(26=$HK21)+(26=$HL21)+(26=$HM21)+(26=$HN21)+(26=$HO21)&gt;=2,50,0))+AC$5*50)</f>
        <v/>
      </c>
      <c r="AD141">
        <f>IF(OR($JF21=0,calcA!$A$6=0),0,IF(OR(27=$HA21,27=$HD21,27=$HG21),200000,MIN(IF($HA21=0,999999,IF(2=$HB21,IF(27=$HJ21,IF($JC21=2,30,0),IF(27=$HK21,IF($JC21=1,30,0),ABS(3-$HC21)*100)),100000+ABS(2-$HB21)*1000+30)),IF($HD21=0,999999,IF(2=$HE21,IF(27=$HL21,IF($JD21=2,30,0),IF(27=$HM21,IF($JD21=1,30,0),ABS(3-$HF21)*100)),100000+ABS(2-$HE21)*1000+30)),IF($HG21=0,999999,IF(2=$HH21,IF(27=$HN21,IF($JE21=2,30,0),IF(27=$HO21,IF($JE21=1,30,0),ABS(3-$HI21)*100)),100000+ABS(2-$HH21)*1000+30)))-IF((27=$HJ21)+(27=$HK21)+(27=$HL21)+(27=$HM21)+(27=$HN21)+(27=$HO21)&gt;=2,50,0))+AD$5*50)</f>
        <v/>
      </c>
      <c r="AE141">
        <f>IF(OR($JF21=0,calcA!$A$6=0),0,IF(OR(28=$HA21,28=$HD21,28=$HG21),200000,MIN(IF($HA21=0,999999,IF(2=$HB21,IF(28=$HJ21,IF($JC21=2,30,0),IF(28=$HK21,IF($JC21=1,30,0),ABS(4-$HC21)*100)),100000+ABS(2-$HB21)*1000+40)),IF($HD21=0,999999,IF(2=$HE21,IF(28=$HL21,IF($JD21=2,30,0),IF(28=$HM21,IF($JD21=1,30,0),ABS(4-$HF21)*100)),100000+ABS(2-$HE21)*1000+40)),IF($HG21=0,999999,IF(2=$HH21,IF(28=$HN21,IF($JE21=2,30,0),IF(28=$HO21,IF($JE21=1,30,0),ABS(4-$HI21)*100)),100000+ABS(2-$HH21)*1000+40)))-IF((28=$HJ21)+(28=$HK21)+(28=$HL21)+(28=$HM21)+(28=$HN21)+(28=$HO21)&gt;=2,50,0))+AE$5*50)</f>
        <v/>
      </c>
      <c r="AF141">
        <f>IF(OR($JF21=0,calcA!$A$6=0),0,IF(OR(29=$HA21,29=$HD21,29=$HG21),200000,MIN(IF($HA21=0,999999,IF(2=$HB21,IF(29=$HJ21,IF($JC21=2,30,0),IF(29=$HK21,IF($JC21=1,30,0),ABS(5-$HC21)*100)),100000+ABS(2-$HB21)*1000+50)),IF($HD21=0,999999,IF(2=$HE21,IF(29=$HL21,IF($JD21=2,30,0),IF(29=$HM21,IF($JD21=1,30,0),ABS(5-$HF21)*100)),100000+ABS(2-$HE21)*1000+50)),IF($HG21=0,999999,IF(2=$HH21,IF(29=$HN21,IF($JE21=2,30,0),IF(29=$HO21,IF($JE21=1,30,0),ABS(5-$HI21)*100)),100000+ABS(2-$HH21)*1000+50)))-IF((29=$HJ21)+(29=$HK21)+(29=$HL21)+(29=$HM21)+(29=$HN21)+(29=$HO21)&gt;=2,50,0))+AF$5*50)</f>
        <v/>
      </c>
      <c r="AG141">
        <f>IF(OR($JF21=0,calcA!$A$6=0),0,IF(OR(30=$HA21,30=$HD21,30=$HG21),200000,MIN(IF($HA21=0,999999,IF(2=$HB21,IF(30=$HJ21,IF($JC21=2,30,0),IF(30=$HK21,IF($JC21=1,30,0),ABS(6-$HC21)*100)),100000+ABS(2-$HB21)*1000+60)),IF($HD21=0,999999,IF(2=$HE21,IF(30=$HL21,IF($JD21=2,30,0),IF(30=$HM21,IF($JD21=1,30,0),ABS(6-$HF21)*100)),100000+ABS(2-$HE21)*1000+60)),IF($HG21=0,999999,IF(2=$HH21,IF(30=$HN21,IF($JE21=2,30,0),IF(30=$HO21,IF($JE21=1,30,0),ABS(6-$HI21)*100)),100000+ABS(2-$HH21)*1000+60)))-IF((30=$HJ21)+(30=$HK21)+(30=$HL21)+(30=$HM21)+(30=$HN21)+(30=$HO21)&gt;=2,50,0))+AG$5*50)</f>
        <v/>
      </c>
      <c r="AH141">
        <f>IF(OR($JF21=0,calcA!$A$6=0),0,IF(OR(31=$HA21,31=$HD21,31=$HG21),200000,MIN(IF($HA21=0,999999,IF(2=$HB21,IF(31=$HJ21,IF($JC21=2,30,0),IF(31=$HK21,IF($JC21=1,30,0),ABS(7-$HC21)*100)),100000+ABS(2-$HB21)*1000+70)),IF($HD21=0,999999,IF(2=$HE21,IF(31=$HL21,IF($JD21=2,30,0),IF(31=$HM21,IF($JD21=1,30,0),ABS(7-$HF21)*100)),100000+ABS(2-$HE21)*1000+70)),IF($HG21=0,999999,IF(2=$HH21,IF(31=$HN21,IF($JE21=2,30,0),IF(31=$HO21,IF($JE21=1,30,0),ABS(7-$HI21)*100)),100000+ABS(2-$HH21)*1000+70)))-IF((31=$HJ21)+(31=$HK21)+(31=$HL21)+(31=$HM21)+(31=$HN21)+(31=$HO21)&gt;=2,50,0))+AH$5*50)</f>
        <v/>
      </c>
      <c r="AI141">
        <f>IF(OR($JF21=0,calcA!$A$6=0),0,IF(OR(32=$HA21,32=$HD21,32=$HG21),200000,MIN(IF($HA21=0,999999,IF(2=$HB21,IF(32=$HJ21,IF($JC21=2,30,0),IF(32=$HK21,IF($JC21=1,30,0),ABS(8-$HC21)*100)),100000+ABS(2-$HB21)*1000+80)),IF($HD21=0,999999,IF(2=$HE21,IF(32=$HL21,IF($JD21=2,30,0),IF(32=$HM21,IF($JD21=1,30,0),ABS(8-$HF21)*100)),100000+ABS(2-$HE21)*1000+80)),IF($HG21=0,999999,IF(2=$HH21,IF(32=$HN21,IF($JE21=2,30,0),IF(32=$HO21,IF($JE21=1,30,0),ABS(8-$HI21)*100)),100000+ABS(2-$HH21)*1000+80)))-IF((32=$HJ21)+(32=$HK21)+(32=$HL21)+(32=$HM21)+(32=$HN21)+(32=$HO21)&gt;=2,50,0))+AI$5*50)</f>
        <v/>
      </c>
      <c r="AJ141">
        <f>IF(OR($JF21=0,calcA!$A$6=0),0,IF(OR(33=$HA21,33=$HD21,33=$HG21),200000,MIN(IF($HA21=0,999999,IF(2=$HB21,IF(33=$HJ21,IF($JC21=2,30,0),IF(33=$HK21,IF($JC21=1,30,0),ABS(9-$HC21)*100)),100000+ABS(2-$HB21)*1000+90)),IF($HD21=0,999999,IF(2=$HE21,IF(33=$HL21,IF($JD21=2,30,0),IF(33=$HM21,IF($JD21=1,30,0),ABS(9-$HF21)*100)),100000+ABS(2-$HE21)*1000+90)),IF($HG21=0,999999,IF(2=$HH21,IF(33=$HN21,IF($JE21=2,30,0),IF(33=$HO21,IF($JE21=1,30,0),ABS(9-$HI21)*100)),100000+ABS(2-$HH21)*1000+90)))-IF((33=$HJ21)+(33=$HK21)+(33=$HL21)+(33=$HM21)+(33=$HN21)+(33=$HO21)&gt;=2,50,0))+AJ$5*50)</f>
        <v/>
      </c>
      <c r="AK141">
        <f>IF(OR($JF21=0,calcA!$A$6=0),0,IF(OR(34=$HA21,34=$HD21,34=$HG21),200000,MIN(IF($HA21=0,999999,IF(2=$HB21,IF(34=$HJ21,IF($JC21=2,30,0),IF(34=$HK21,IF($JC21=1,30,0),ABS(10-$HC21)*100)),100000+ABS(2-$HB21)*1000+100)),IF($HD21=0,999999,IF(2=$HE21,IF(34=$HL21,IF($JD21=2,30,0),IF(34=$HM21,IF($JD21=1,30,0),ABS(10-$HF21)*100)),100000+ABS(2-$HE21)*1000+100)),IF($HG21=0,999999,IF(2=$HH21,IF(34=$HN21,IF($JE21=2,30,0),IF(34=$HO21,IF($JE21=1,30,0),ABS(10-$HI21)*100)),100000+ABS(2-$HH21)*1000+100)))-IF((34=$HJ21)+(34=$HK21)+(34=$HL21)+(34=$HM21)+(34=$HN21)+(34=$HO21)&gt;=2,50,0))+AK$5*50)</f>
        <v/>
      </c>
      <c r="AL141">
        <f>IF(OR($JF21=0,calcA!$A$6=0),0,IF(OR(35=$HA21,35=$HD21,35=$HG21),200000,MIN(IF($HA21=0,999999,IF(2=$HB21,IF(35=$HJ21,IF($JC21=2,30,0),IF(35=$HK21,IF($JC21=1,30,0),ABS(11-$HC21)*100)),100000+ABS(2-$HB21)*1000+110)),IF($HD21=0,999999,IF(2=$HE21,IF(35=$HL21,IF($JD21=2,30,0),IF(35=$HM21,IF($JD21=1,30,0),ABS(11-$HF21)*100)),100000+ABS(2-$HE21)*1000+110)),IF($HG21=0,999999,IF(2=$HH21,IF(35=$HN21,IF($JE21=2,30,0),IF(35=$HO21,IF($JE21=1,30,0),ABS(11-$HI21)*100)),100000+ABS(2-$HH21)*1000+110)))-IF((35=$HJ21)+(35=$HK21)+(35=$HL21)+(35=$HM21)+(35=$HN21)+(35=$HO21)&gt;=2,50,0))+AL$5*50)</f>
        <v/>
      </c>
      <c r="AM141">
        <f>IF(OR($JF21=0,calcA!$A$6=0),0,IF(OR(36=$HA21,36=$HD21,36=$HG21),200000,MIN(IF($HA21=0,999999,IF(2=$HB21,IF(36=$HJ21,IF($JC21=2,30,0),IF(36=$HK21,IF($JC21=1,30,0),ABS(12-$HC21)*100)),100000+ABS(2-$HB21)*1000+120)),IF($HD21=0,999999,IF(2=$HE21,IF(36=$HL21,IF($JD21=2,30,0),IF(36=$HM21,IF($JD21=1,30,0),ABS(12-$HF21)*100)),100000+ABS(2-$HE21)*1000+120)),IF($HG21=0,999999,IF(2=$HH21,IF(36=$HN21,IF($JE21=2,30,0),IF(36=$HO21,IF($JE21=1,30,0),ABS(12-$HI21)*100)),100000+ABS(2-$HH21)*1000+120)))-IF((36=$HJ21)+(36=$HK21)+(36=$HL21)+(36=$HM21)+(36=$HN21)+(36=$HO21)&gt;=2,50,0))+AM$5*50)</f>
        <v/>
      </c>
      <c r="AN141">
        <f>IF(OR($JF21=0,calcA!$A$6=0),0,IF(OR(37=$HA21,37=$HD21,37=$HG21),200000,MIN(IF($HA21=0,999999,IF(2=$HB21,IF(37=$HJ21,IF($JC21=2,30,0),IF(37=$HK21,IF($JC21=1,30,0),ABS(13-$HC21)*100)),100000+ABS(2-$HB21)*1000+130)),IF($HD21=0,999999,IF(2=$HE21,IF(37=$HL21,IF($JD21=2,30,0),IF(37=$HM21,IF($JD21=1,30,0),ABS(13-$HF21)*100)),100000+ABS(2-$HE21)*1000+130)),IF($HG21=0,999999,IF(2=$HH21,IF(37=$HN21,IF($JE21=2,30,0),IF(37=$HO21,IF($JE21=1,30,0),ABS(13-$HI21)*100)),100000+ABS(2-$HH21)*1000+130)))-IF((37=$HJ21)+(37=$HK21)+(37=$HL21)+(37=$HM21)+(37=$HN21)+(37=$HO21)&gt;=2,50,0))+AN$5*50)</f>
        <v/>
      </c>
      <c r="AO141">
        <f>IF(OR($JF21=0,calcA!$A$6=0),0,IF(OR(38=$HA21,38=$HD21,38=$HG21),200000,MIN(IF($HA21=0,999999,IF(2=$HB21,IF(38=$HJ21,IF($JC21=2,30,0),IF(38=$HK21,IF($JC21=1,30,0),ABS(14-$HC21)*100)),100000+ABS(2-$HB21)*1000+140)),IF($HD21=0,999999,IF(2=$HE21,IF(38=$HL21,IF($JD21=2,30,0),IF(38=$HM21,IF($JD21=1,30,0),ABS(14-$HF21)*100)),100000+ABS(2-$HE21)*1000+140)),IF($HG21=0,999999,IF(2=$HH21,IF(38=$HN21,IF($JE21=2,30,0),IF(38=$HO21,IF($JE21=1,30,0),ABS(14-$HI21)*100)),100000+ABS(2-$HH21)*1000+140)))-IF((38=$HJ21)+(38=$HK21)+(38=$HL21)+(38=$HM21)+(38=$HN21)+(38=$HO21)&gt;=2,50,0))+AO$5*50)</f>
        <v/>
      </c>
      <c r="AP141">
        <f>IF(OR($JF21=0,calcA!$A$6=0),0,IF(OR(39=$HA21,39=$HD21,39=$HG21),200000,MIN(IF($HA21=0,999999,IF(2=$HB21,IF(39=$HJ21,IF($JC21=2,30,0),IF(39=$HK21,IF($JC21=1,30,0),ABS(15-$HC21)*100)),100000+ABS(2-$HB21)*1000+150)),IF($HD21=0,999999,IF(2=$HE21,IF(39=$HL21,IF($JD21=2,30,0),IF(39=$HM21,IF($JD21=1,30,0),ABS(15-$HF21)*100)),100000+ABS(2-$HE21)*1000+150)),IF($HG21=0,999999,IF(2=$HH21,IF(39=$HN21,IF($JE21=2,30,0),IF(39=$HO21,IF($JE21=1,30,0),ABS(15-$HI21)*100)),100000+ABS(2-$HH21)*1000+150)))-IF((39=$HJ21)+(39=$HK21)+(39=$HL21)+(39=$HM21)+(39=$HN21)+(39=$HO21)&gt;=2,50,0))+AP$5*50)</f>
        <v/>
      </c>
      <c r="AQ141">
        <f>IF(OR($JF21=0,calcA!$A$6=0),0,IF(OR(40=$HA21,40=$HD21,40=$HG21),200000,MIN(IF($HA21=0,999999,IF(2=$HB21,IF(40=$HJ21,IF($JC21=2,30,0),IF(40=$HK21,IF($JC21=1,30,0),ABS(16-$HC21)*100)),100000+ABS(2-$HB21)*1000+160)),IF($HD21=0,999999,IF(2=$HE21,IF(40=$HL21,IF($JD21=2,30,0),IF(40=$HM21,IF($JD21=1,30,0),ABS(16-$HF21)*100)),100000+ABS(2-$HE21)*1000+160)),IF($HG21=0,999999,IF(2=$HH21,IF(40=$HN21,IF($JE21=2,30,0),IF(40=$HO21,IF($JE21=1,30,0),ABS(16-$HI21)*100)),100000+ABS(2-$HH21)*1000+160)))-IF((40=$HJ21)+(40=$HK21)+(40=$HL21)+(40=$HM21)+(40=$HN21)+(40=$HO21)&gt;=2,50,0))+AQ$5*50)</f>
        <v/>
      </c>
      <c r="AR141">
        <f>IF(OR($JF21=0,calcA!$A$6=0),0,IF(OR(41=$HA21,41=$HD21,41=$HG21),200000,MIN(IF($HA21=0,999999,IF(2=$HB21,IF(41=$HJ21,IF($JC21=2,30,0),IF(41=$HK21,IF($JC21=1,30,0),ABS(17-$HC21)*100)),100000+ABS(2-$HB21)*1000+170)),IF($HD21=0,999999,IF(2=$HE21,IF(41=$HL21,IF($JD21=2,30,0),IF(41=$HM21,IF($JD21=1,30,0),ABS(17-$HF21)*100)),100000+ABS(2-$HE21)*1000+170)),IF($HG21=0,999999,IF(2=$HH21,IF(41=$HN21,IF($JE21=2,30,0),IF(41=$HO21,IF($JE21=1,30,0),ABS(17-$HI21)*100)),100000+ABS(2-$HH21)*1000+170)))-IF((41=$HJ21)+(41=$HK21)+(41=$HL21)+(41=$HM21)+(41=$HN21)+(41=$HO21)&gt;=2,50,0))+AR$5*50)</f>
        <v/>
      </c>
      <c r="AS141">
        <f>IF(OR($JF21=0,calcA!$A$6=0),0,IF(OR(42=$HA21,42=$HD21,42=$HG21),200000,MIN(IF($HA21=0,999999,IF(2=$HB21,IF(42=$HJ21,IF($JC21=2,30,0),IF(42=$HK21,IF($JC21=1,30,0),ABS(18-$HC21)*100)),100000+ABS(2-$HB21)*1000+180)),IF($HD21=0,999999,IF(2=$HE21,IF(42=$HL21,IF($JD21=2,30,0),IF(42=$HM21,IF($JD21=1,30,0),ABS(18-$HF21)*100)),100000+ABS(2-$HE21)*1000+180)),IF($HG21=0,999999,IF(2=$HH21,IF(42=$HN21,IF($JE21=2,30,0),IF(42=$HO21,IF($JE21=1,30,0),ABS(18-$HI21)*100)),100000+ABS(2-$HH21)*1000+180)))-IF((42=$HJ21)+(42=$HK21)+(42=$HL21)+(42=$HM21)+(42=$HN21)+(42=$HO21)&gt;=2,50,0))+AS$5*50)</f>
        <v/>
      </c>
      <c r="AT141">
        <f>IF(OR($JF21=0,calcA!$A$6=0),0,IF(OR(43=$HA21,43=$HD21,43=$HG21),200000,MIN(IF($HA21=0,999999,IF(2=$HB21,IF(43=$HJ21,IF($JC21=2,30,0),IF(43=$HK21,IF($JC21=1,30,0),ABS(19-$HC21)*100)),100000+ABS(2-$HB21)*1000+190)),IF($HD21=0,999999,IF(2=$HE21,IF(43=$HL21,IF($JD21=2,30,0),IF(43=$HM21,IF($JD21=1,30,0),ABS(19-$HF21)*100)),100000+ABS(2-$HE21)*1000+190)),IF($HG21=0,999999,IF(2=$HH21,IF(43=$HN21,IF($JE21=2,30,0),IF(43=$HO21,IF($JE21=1,30,0),ABS(19-$HI21)*100)),100000+ABS(2-$HH21)*1000+190)))-IF((43=$HJ21)+(43=$HK21)+(43=$HL21)+(43=$HM21)+(43=$HN21)+(43=$HO21)&gt;=2,50,0))+AT$5*50)</f>
        <v/>
      </c>
      <c r="AU141">
        <f>IF(OR($JF21=0,calcA!$A$6=0),0,IF(OR(44=$HA21,44=$HD21,44=$HG21),200000,MIN(IF($HA21=0,999999,IF(2=$HB21,IF(44=$HJ21,IF($JC21=2,30,0),IF(44=$HK21,IF($JC21=1,30,0),ABS(20-$HC21)*100)),100000+ABS(2-$HB21)*1000+200)),IF($HD21=0,999999,IF(2=$HE21,IF(44=$HL21,IF($JD21=2,30,0),IF(44=$HM21,IF($JD21=1,30,0),ABS(20-$HF21)*100)),100000+ABS(2-$HE21)*1000+200)),IF($HG21=0,999999,IF(2=$HH21,IF(44=$HN21,IF($JE21=2,30,0),IF(44=$HO21,IF($JE21=1,30,0),ABS(20-$HI21)*100)),100000+ABS(2-$HH21)*1000+200)))-IF((44=$HJ21)+(44=$HK21)+(44=$HL21)+(44=$HM21)+(44=$HN21)+(44=$HO21)&gt;=2,50,0))+AU$5*50)</f>
        <v/>
      </c>
      <c r="AV141">
        <f>IF(OR($JF21=0,calcA!$A$6=0),0,IF(OR(45=$HA21,45=$HD21,45=$HG21),200000,MIN(IF($HA21=0,999999,IF(2=$HB21,IF(45=$HJ21,IF($JC21=2,30,0),IF(45=$HK21,IF($JC21=1,30,0),ABS(21-$HC21)*100)),100000+ABS(2-$HB21)*1000+210)),IF($HD21=0,999999,IF(2=$HE21,IF(45=$HL21,IF($JD21=2,30,0),IF(45=$HM21,IF($JD21=1,30,0),ABS(21-$HF21)*100)),100000+ABS(2-$HE21)*1000+210)),IF($HG21=0,999999,IF(2=$HH21,IF(45=$HN21,IF($JE21=2,30,0),IF(45=$HO21,IF($JE21=1,30,0),ABS(21-$HI21)*100)),100000+ABS(2-$HH21)*1000+210)))-IF((45=$HJ21)+(45=$HK21)+(45=$HL21)+(45=$HM21)+(45=$HN21)+(45=$HO21)&gt;=2,50,0))+AV$5*50)</f>
        <v/>
      </c>
      <c r="AW141">
        <f>IF(OR($JF21=0,calcA!$A$6=0),0,IF(OR(46=$HA21,46=$HD21,46=$HG21),200000,MIN(IF($HA21=0,999999,IF(2=$HB21,IF(46=$HJ21,IF($JC21=2,30,0),IF(46=$HK21,IF($JC21=1,30,0),ABS(22-$HC21)*100)),100000+ABS(2-$HB21)*1000+220)),IF($HD21=0,999999,IF(2=$HE21,IF(46=$HL21,IF($JD21=2,30,0),IF(46=$HM21,IF($JD21=1,30,0),ABS(22-$HF21)*100)),100000+ABS(2-$HE21)*1000+220)),IF($HG21=0,999999,IF(2=$HH21,IF(46=$HN21,IF($JE21=2,30,0),IF(46=$HO21,IF($JE21=1,30,0),ABS(22-$HI21)*100)),100000+ABS(2-$HH21)*1000+220)))-IF((46=$HJ21)+(46=$HK21)+(46=$HL21)+(46=$HM21)+(46=$HN21)+(46=$HO21)&gt;=2,50,0))+AW$5*50)</f>
        <v/>
      </c>
      <c r="AX141">
        <f>IF(OR($JF21=0,calcA!$A$6=0),0,IF(OR(47=$HA21,47=$HD21,47=$HG21),200000,MIN(IF($HA21=0,999999,IF(2=$HB21,IF(47=$HJ21,IF($JC21=2,30,0),IF(47=$HK21,IF($JC21=1,30,0),ABS(23-$HC21)*100)),100000+ABS(2-$HB21)*1000+230)),IF($HD21=0,999999,IF(2=$HE21,IF(47=$HL21,IF($JD21=2,30,0),IF(47=$HM21,IF($JD21=1,30,0),ABS(23-$HF21)*100)),100000+ABS(2-$HE21)*1000+230)),IF($HG21=0,999999,IF(2=$HH21,IF(47=$HN21,IF($JE21=2,30,0),IF(47=$HO21,IF($JE21=1,30,0),ABS(23-$HI21)*100)),100000+ABS(2-$HH21)*1000+230)))-IF((47=$HJ21)+(47=$HK21)+(47=$HL21)+(47=$HM21)+(47=$HN21)+(47=$HO21)&gt;=2,50,0))+AX$5*50)</f>
        <v/>
      </c>
      <c r="AY141">
        <f>IF(OR($JF21=0,calcA!$A$6=0),0,IF(OR(48=$HA21,48=$HD21,48=$HG21),200000,MIN(IF($HA21=0,999999,IF(2=$HB21,IF(48=$HJ21,IF($JC21=2,30,0),IF(48=$HK21,IF($JC21=1,30,0),ABS(24-$HC21)*100)),100000+ABS(2-$HB21)*1000+240)),IF($HD21=0,999999,IF(2=$HE21,IF(48=$HL21,IF($JD21=2,30,0),IF(48=$HM21,IF($JD21=1,30,0),ABS(24-$HF21)*100)),100000+ABS(2-$HE21)*1000+240)),IF($HG21=0,999999,IF(2=$HH21,IF(48=$HN21,IF($JE21=2,30,0),IF(48=$HO21,IF($JE21=1,30,0),ABS(24-$HI21)*100)),100000+ABS(2-$HH21)*1000+240)))-IF((48=$HJ21)+(48=$HK21)+(48=$HL21)+(48=$HM21)+(48=$HN21)+(48=$HO21)&gt;=2,50,0))+AY$5*50)</f>
        <v/>
      </c>
      <c r="AZ141">
        <f>IF(OR($JF21=0,calcA!$A$6=0),0,IF(OR(49=$HA21,49=$HD21,49=$HG21),200000,MIN(IF($HA21=0,999999,IF(3=$HB21,IF(49=$HJ21,IF($JC21=2,30,0),IF(49=$HK21,IF($JC21=1,30,0),ABS(1-$HC21)*100)),100000+ABS(3-$HB21)*1000+10)),IF($HD21=0,999999,IF(3=$HE21,IF(49=$HL21,IF($JD21=2,30,0),IF(49=$HM21,IF($JD21=1,30,0),ABS(1-$HF21)*100)),100000+ABS(3-$HE21)*1000+10)),IF($HG21=0,999999,IF(3=$HH21,IF(49=$HN21,IF($JE21=2,30,0),IF(49=$HO21,IF($JE21=1,30,0),ABS(1-$HI21)*100)),100000+ABS(3-$HH21)*1000+10)))-IF((49=$HJ21)+(49=$HK21)+(49=$HL21)+(49=$HM21)+(49=$HN21)+(49=$HO21)&gt;=2,50,0))+AZ$5*50)</f>
        <v/>
      </c>
      <c r="BA141">
        <f>IF(OR($JF21=0,calcA!$A$6=0),0,IF(OR(50=$HA21,50=$HD21,50=$HG21),200000,MIN(IF($HA21=0,999999,IF(3=$HB21,IF(50=$HJ21,IF($JC21=2,30,0),IF(50=$HK21,IF($JC21=1,30,0),ABS(2-$HC21)*100)),100000+ABS(3-$HB21)*1000+20)),IF($HD21=0,999999,IF(3=$HE21,IF(50=$HL21,IF($JD21=2,30,0),IF(50=$HM21,IF($JD21=1,30,0),ABS(2-$HF21)*100)),100000+ABS(3-$HE21)*1000+20)),IF($HG21=0,999999,IF(3=$HH21,IF(50=$HN21,IF($JE21=2,30,0),IF(50=$HO21,IF($JE21=1,30,0),ABS(2-$HI21)*100)),100000+ABS(3-$HH21)*1000+20)))-IF((50=$HJ21)+(50=$HK21)+(50=$HL21)+(50=$HM21)+(50=$HN21)+(50=$HO21)&gt;=2,50,0))+BA$5*50)</f>
        <v/>
      </c>
      <c r="BB141">
        <f>IF(OR($JF21=0,calcA!$A$6=0),0,IF(OR(51=$HA21,51=$HD21,51=$HG21),200000,MIN(IF($HA21=0,999999,IF(3=$HB21,IF(51=$HJ21,IF($JC21=2,30,0),IF(51=$HK21,IF($JC21=1,30,0),ABS(3-$HC21)*100)),100000+ABS(3-$HB21)*1000+30)),IF($HD21=0,999999,IF(3=$HE21,IF(51=$HL21,IF($JD21=2,30,0),IF(51=$HM21,IF($JD21=1,30,0),ABS(3-$HF21)*100)),100000+ABS(3-$HE21)*1000+30)),IF($HG21=0,999999,IF(3=$HH21,IF(51=$HN21,IF($JE21=2,30,0),IF(51=$HO21,IF($JE21=1,30,0),ABS(3-$HI21)*100)),100000+ABS(3-$HH21)*1000+30)))-IF((51=$HJ21)+(51=$HK21)+(51=$HL21)+(51=$HM21)+(51=$HN21)+(51=$HO21)&gt;=2,50,0))+BB$5*50)</f>
        <v/>
      </c>
      <c r="BC141">
        <f>IF(OR($JF21=0,calcA!$A$6=0),0,IF(OR(52=$HA21,52=$HD21,52=$HG21),200000,MIN(IF($HA21=0,999999,IF(3=$HB21,IF(52=$HJ21,IF($JC21=2,30,0),IF(52=$HK21,IF($JC21=1,30,0),ABS(4-$HC21)*100)),100000+ABS(3-$HB21)*1000+40)),IF($HD21=0,999999,IF(3=$HE21,IF(52=$HL21,IF($JD21=2,30,0),IF(52=$HM21,IF($JD21=1,30,0),ABS(4-$HF21)*100)),100000+ABS(3-$HE21)*1000+40)),IF($HG21=0,999999,IF(3=$HH21,IF(52=$HN21,IF($JE21=2,30,0),IF(52=$HO21,IF($JE21=1,30,0),ABS(4-$HI21)*100)),100000+ABS(3-$HH21)*1000+40)))-IF((52=$HJ21)+(52=$HK21)+(52=$HL21)+(52=$HM21)+(52=$HN21)+(52=$HO21)&gt;=2,50,0))+BC$5*50)</f>
        <v/>
      </c>
      <c r="BD141">
        <f>IF(OR($JF21=0,calcA!$A$6=0),0,IF(OR(53=$HA21,53=$HD21,53=$HG21),200000,MIN(IF($HA21=0,999999,IF(3=$HB21,IF(53=$HJ21,IF($JC21=2,30,0),IF(53=$HK21,IF($JC21=1,30,0),ABS(5-$HC21)*100)),100000+ABS(3-$HB21)*1000+50)),IF($HD21=0,999999,IF(3=$HE21,IF(53=$HL21,IF($JD21=2,30,0),IF(53=$HM21,IF($JD21=1,30,0),ABS(5-$HF21)*100)),100000+ABS(3-$HE21)*1000+50)),IF($HG21=0,999999,IF(3=$HH21,IF(53=$HN21,IF($JE21=2,30,0),IF(53=$HO21,IF($JE21=1,30,0),ABS(5-$HI21)*100)),100000+ABS(3-$HH21)*1000+50)))-IF((53=$HJ21)+(53=$HK21)+(53=$HL21)+(53=$HM21)+(53=$HN21)+(53=$HO21)&gt;=2,50,0))+BD$5*50)</f>
        <v/>
      </c>
      <c r="BE141">
        <f>IF(OR($JF21=0,calcA!$A$6=0),0,IF(OR(54=$HA21,54=$HD21,54=$HG21),200000,MIN(IF($HA21=0,999999,IF(3=$HB21,IF(54=$HJ21,IF($JC21=2,30,0),IF(54=$HK21,IF($JC21=1,30,0),ABS(6-$HC21)*100)),100000+ABS(3-$HB21)*1000+60)),IF($HD21=0,999999,IF(3=$HE21,IF(54=$HL21,IF($JD21=2,30,0),IF(54=$HM21,IF($JD21=1,30,0),ABS(6-$HF21)*100)),100000+ABS(3-$HE21)*1000+60)),IF($HG21=0,999999,IF(3=$HH21,IF(54=$HN21,IF($JE21=2,30,0),IF(54=$HO21,IF($JE21=1,30,0),ABS(6-$HI21)*100)),100000+ABS(3-$HH21)*1000+60)))-IF((54=$HJ21)+(54=$HK21)+(54=$HL21)+(54=$HM21)+(54=$HN21)+(54=$HO21)&gt;=2,50,0))+BE$5*50)</f>
        <v/>
      </c>
      <c r="BF141">
        <f>IF(OR($JF21=0,calcA!$A$6=0),0,IF(OR(55=$HA21,55=$HD21,55=$HG21),200000,MIN(IF($HA21=0,999999,IF(3=$HB21,IF(55=$HJ21,IF($JC21=2,30,0),IF(55=$HK21,IF($JC21=1,30,0),ABS(7-$HC21)*100)),100000+ABS(3-$HB21)*1000+70)),IF($HD21=0,999999,IF(3=$HE21,IF(55=$HL21,IF($JD21=2,30,0),IF(55=$HM21,IF($JD21=1,30,0),ABS(7-$HF21)*100)),100000+ABS(3-$HE21)*1000+70)),IF($HG21=0,999999,IF(3=$HH21,IF(55=$HN21,IF($JE21=2,30,0),IF(55=$HO21,IF($JE21=1,30,0),ABS(7-$HI21)*100)),100000+ABS(3-$HH21)*1000+70)))-IF((55=$HJ21)+(55=$HK21)+(55=$HL21)+(55=$HM21)+(55=$HN21)+(55=$HO21)&gt;=2,50,0))+BF$5*50)</f>
        <v/>
      </c>
      <c r="BG141">
        <f>IF(OR($JF21=0,calcA!$A$6=0),0,IF(OR(56=$HA21,56=$HD21,56=$HG21),200000,MIN(IF($HA21=0,999999,IF(3=$HB21,IF(56=$HJ21,IF($JC21=2,30,0),IF(56=$HK21,IF($JC21=1,30,0),ABS(8-$HC21)*100)),100000+ABS(3-$HB21)*1000+80)),IF($HD21=0,999999,IF(3=$HE21,IF(56=$HL21,IF($JD21=2,30,0),IF(56=$HM21,IF($JD21=1,30,0),ABS(8-$HF21)*100)),100000+ABS(3-$HE21)*1000+80)),IF($HG21=0,999999,IF(3=$HH21,IF(56=$HN21,IF($JE21=2,30,0),IF(56=$HO21,IF($JE21=1,30,0),ABS(8-$HI21)*100)),100000+ABS(3-$HH21)*1000+80)))-IF((56=$HJ21)+(56=$HK21)+(56=$HL21)+(56=$HM21)+(56=$HN21)+(56=$HO21)&gt;=2,50,0))+BG$5*50)</f>
        <v/>
      </c>
      <c r="BH141">
        <f>IF(OR($JF21=0,calcA!$A$6=0),0,IF(OR(57=$HA21,57=$HD21,57=$HG21),200000,MIN(IF($HA21=0,999999,IF(3=$HB21,IF(57=$HJ21,IF($JC21=2,30,0),IF(57=$HK21,IF($JC21=1,30,0),ABS(9-$HC21)*100)),100000+ABS(3-$HB21)*1000+90)),IF($HD21=0,999999,IF(3=$HE21,IF(57=$HL21,IF($JD21=2,30,0),IF(57=$HM21,IF($JD21=1,30,0),ABS(9-$HF21)*100)),100000+ABS(3-$HE21)*1000+90)),IF($HG21=0,999999,IF(3=$HH21,IF(57=$HN21,IF($JE21=2,30,0),IF(57=$HO21,IF($JE21=1,30,0),ABS(9-$HI21)*100)),100000+ABS(3-$HH21)*1000+90)))-IF((57=$HJ21)+(57=$HK21)+(57=$HL21)+(57=$HM21)+(57=$HN21)+(57=$HO21)&gt;=2,50,0))+BH$5*50)</f>
        <v/>
      </c>
      <c r="BI141">
        <f>IF(OR($JF21=0,calcA!$A$6=0),0,IF(OR(58=$HA21,58=$HD21,58=$HG21),200000,MIN(IF($HA21=0,999999,IF(3=$HB21,IF(58=$HJ21,IF($JC21=2,30,0),IF(58=$HK21,IF($JC21=1,30,0),ABS(10-$HC21)*100)),100000+ABS(3-$HB21)*1000+100)),IF($HD21=0,999999,IF(3=$HE21,IF(58=$HL21,IF($JD21=2,30,0),IF(58=$HM21,IF($JD21=1,30,0),ABS(10-$HF21)*100)),100000+ABS(3-$HE21)*1000+100)),IF($HG21=0,999999,IF(3=$HH21,IF(58=$HN21,IF($JE21=2,30,0),IF(58=$HO21,IF($JE21=1,30,0),ABS(10-$HI21)*100)),100000+ABS(3-$HH21)*1000+100)))-IF((58=$HJ21)+(58=$HK21)+(58=$HL21)+(58=$HM21)+(58=$HN21)+(58=$HO21)&gt;=2,50,0))+BI$5*50)</f>
        <v/>
      </c>
      <c r="BJ141">
        <f>IF(OR($JF21=0,calcA!$A$6=0),0,IF(OR(59=$HA21,59=$HD21,59=$HG21),200000,MIN(IF($HA21=0,999999,IF(3=$HB21,IF(59=$HJ21,IF($JC21=2,30,0),IF(59=$HK21,IF($JC21=1,30,0),ABS(11-$HC21)*100)),100000+ABS(3-$HB21)*1000+110)),IF($HD21=0,999999,IF(3=$HE21,IF(59=$HL21,IF($JD21=2,30,0),IF(59=$HM21,IF($JD21=1,30,0),ABS(11-$HF21)*100)),100000+ABS(3-$HE21)*1000+110)),IF($HG21=0,999999,IF(3=$HH21,IF(59=$HN21,IF($JE21=2,30,0),IF(59=$HO21,IF($JE21=1,30,0),ABS(11-$HI21)*100)),100000+ABS(3-$HH21)*1000+110)))-IF((59=$HJ21)+(59=$HK21)+(59=$HL21)+(59=$HM21)+(59=$HN21)+(59=$HO21)&gt;=2,50,0))+BJ$5*50)</f>
        <v/>
      </c>
      <c r="BK141">
        <f>IF(OR($JF21=0,calcA!$A$6=0),0,IF(OR(60=$HA21,60=$HD21,60=$HG21),200000,MIN(IF($HA21=0,999999,IF(3=$HB21,IF(60=$HJ21,IF($JC21=2,30,0),IF(60=$HK21,IF($JC21=1,30,0),ABS(12-$HC21)*100)),100000+ABS(3-$HB21)*1000+120)),IF($HD21=0,999999,IF(3=$HE21,IF(60=$HL21,IF($JD21=2,30,0),IF(60=$HM21,IF($JD21=1,30,0),ABS(12-$HF21)*100)),100000+ABS(3-$HE21)*1000+120)),IF($HG21=0,999999,IF(3=$HH21,IF(60=$HN21,IF($JE21=2,30,0),IF(60=$HO21,IF($JE21=1,30,0),ABS(12-$HI21)*100)),100000+ABS(3-$HH21)*1000+120)))-IF((60=$HJ21)+(60=$HK21)+(60=$HL21)+(60=$HM21)+(60=$HN21)+(60=$HO21)&gt;=2,50,0))+BK$5*50)</f>
        <v/>
      </c>
      <c r="BL141">
        <f>IF(OR($JF21=0,calcA!$A$6=0),0,IF(OR(61=$HA21,61=$HD21,61=$HG21),200000,MIN(IF($HA21=0,999999,IF(3=$HB21,IF(61=$HJ21,IF($JC21=2,30,0),IF(61=$HK21,IF($JC21=1,30,0),ABS(13-$HC21)*100)),100000+ABS(3-$HB21)*1000+130)),IF($HD21=0,999999,IF(3=$HE21,IF(61=$HL21,IF($JD21=2,30,0),IF(61=$HM21,IF($JD21=1,30,0),ABS(13-$HF21)*100)),100000+ABS(3-$HE21)*1000+130)),IF($HG21=0,999999,IF(3=$HH21,IF(61=$HN21,IF($JE21=2,30,0),IF(61=$HO21,IF($JE21=1,30,0),ABS(13-$HI21)*100)),100000+ABS(3-$HH21)*1000+130)))-IF((61=$HJ21)+(61=$HK21)+(61=$HL21)+(61=$HM21)+(61=$HN21)+(61=$HO21)&gt;=2,50,0))+BL$5*50)</f>
        <v/>
      </c>
      <c r="BM141">
        <f>IF(OR($JF21=0,calcA!$A$6=0),0,IF(OR(62=$HA21,62=$HD21,62=$HG21),200000,MIN(IF($HA21=0,999999,IF(3=$HB21,IF(62=$HJ21,IF($JC21=2,30,0),IF(62=$HK21,IF($JC21=1,30,0),ABS(14-$HC21)*100)),100000+ABS(3-$HB21)*1000+140)),IF($HD21=0,999999,IF(3=$HE21,IF(62=$HL21,IF($JD21=2,30,0),IF(62=$HM21,IF($JD21=1,30,0),ABS(14-$HF21)*100)),100000+ABS(3-$HE21)*1000+140)),IF($HG21=0,999999,IF(3=$HH21,IF(62=$HN21,IF($JE21=2,30,0),IF(62=$HO21,IF($JE21=1,30,0),ABS(14-$HI21)*100)),100000+ABS(3-$HH21)*1000+140)))-IF((62=$HJ21)+(62=$HK21)+(62=$HL21)+(62=$HM21)+(62=$HN21)+(62=$HO21)&gt;=2,50,0))+BM$5*50)</f>
        <v/>
      </c>
      <c r="BN141">
        <f>IF(OR($JF21=0,calcA!$A$6=0),0,IF(OR(63=$HA21,63=$HD21,63=$HG21),200000,MIN(IF($HA21=0,999999,IF(3=$HB21,IF(63=$HJ21,IF($JC21=2,30,0),IF(63=$HK21,IF($JC21=1,30,0),ABS(15-$HC21)*100)),100000+ABS(3-$HB21)*1000+150)),IF($HD21=0,999999,IF(3=$HE21,IF(63=$HL21,IF($JD21=2,30,0),IF(63=$HM21,IF($JD21=1,30,0),ABS(15-$HF21)*100)),100000+ABS(3-$HE21)*1000+150)),IF($HG21=0,999999,IF(3=$HH21,IF(63=$HN21,IF($JE21=2,30,0),IF(63=$HO21,IF($JE21=1,30,0),ABS(15-$HI21)*100)),100000+ABS(3-$HH21)*1000+150)))-IF((63=$HJ21)+(63=$HK21)+(63=$HL21)+(63=$HM21)+(63=$HN21)+(63=$HO21)&gt;=2,50,0))+BN$5*50)</f>
        <v/>
      </c>
      <c r="BO141">
        <f>IF(OR($JF21=0,calcA!$A$6=0),0,IF(OR(64=$HA21,64=$HD21,64=$HG21),200000,MIN(IF($HA21=0,999999,IF(3=$HB21,IF(64=$HJ21,IF($JC21=2,30,0),IF(64=$HK21,IF($JC21=1,30,0),ABS(16-$HC21)*100)),100000+ABS(3-$HB21)*1000+160)),IF($HD21=0,999999,IF(3=$HE21,IF(64=$HL21,IF($JD21=2,30,0),IF(64=$HM21,IF($JD21=1,30,0),ABS(16-$HF21)*100)),100000+ABS(3-$HE21)*1000+160)),IF($HG21=0,999999,IF(3=$HH21,IF(64=$HN21,IF($JE21=2,30,0),IF(64=$HO21,IF($JE21=1,30,0),ABS(16-$HI21)*100)),100000+ABS(3-$HH21)*1000+160)))-IF((64=$HJ21)+(64=$HK21)+(64=$HL21)+(64=$HM21)+(64=$HN21)+(64=$HO21)&gt;=2,50,0))+BO$5*50)</f>
        <v/>
      </c>
      <c r="BP141">
        <f>IF(OR($JF21=0,calcA!$A$6=0),0,IF(OR(65=$HA21,65=$HD21,65=$HG21),200000,MIN(IF($HA21=0,999999,IF(3=$HB21,IF(65=$HJ21,IF($JC21=2,30,0),IF(65=$HK21,IF($JC21=1,30,0),ABS(17-$HC21)*100)),100000+ABS(3-$HB21)*1000+170)),IF($HD21=0,999999,IF(3=$HE21,IF(65=$HL21,IF($JD21=2,30,0),IF(65=$HM21,IF($JD21=1,30,0),ABS(17-$HF21)*100)),100000+ABS(3-$HE21)*1000+170)),IF($HG21=0,999999,IF(3=$HH21,IF(65=$HN21,IF($JE21=2,30,0),IF(65=$HO21,IF($JE21=1,30,0),ABS(17-$HI21)*100)),100000+ABS(3-$HH21)*1000+170)))-IF((65=$HJ21)+(65=$HK21)+(65=$HL21)+(65=$HM21)+(65=$HN21)+(65=$HO21)&gt;=2,50,0))+BP$5*50)</f>
        <v/>
      </c>
      <c r="BQ141">
        <f>IF(OR($JF21=0,calcA!$A$6=0),0,IF(OR(66=$HA21,66=$HD21,66=$HG21),200000,MIN(IF($HA21=0,999999,IF(3=$HB21,IF(66=$HJ21,IF($JC21=2,30,0),IF(66=$HK21,IF($JC21=1,30,0),ABS(18-$HC21)*100)),100000+ABS(3-$HB21)*1000+180)),IF($HD21=0,999999,IF(3=$HE21,IF(66=$HL21,IF($JD21=2,30,0),IF(66=$HM21,IF($JD21=1,30,0),ABS(18-$HF21)*100)),100000+ABS(3-$HE21)*1000+180)),IF($HG21=0,999999,IF(3=$HH21,IF(66=$HN21,IF($JE21=2,30,0),IF(66=$HO21,IF($JE21=1,30,0),ABS(18-$HI21)*100)),100000+ABS(3-$HH21)*1000+180)))-IF((66=$HJ21)+(66=$HK21)+(66=$HL21)+(66=$HM21)+(66=$HN21)+(66=$HO21)&gt;=2,50,0))+BQ$5*50)</f>
        <v/>
      </c>
      <c r="BR141">
        <f>IF(OR($JF21=0,calcA!$A$6=0),0,IF(OR(67=$HA21,67=$HD21,67=$HG21),200000,MIN(IF($HA21=0,999999,IF(3=$HB21,IF(67=$HJ21,IF($JC21=2,30,0),IF(67=$HK21,IF($JC21=1,30,0),ABS(19-$HC21)*100)),100000+ABS(3-$HB21)*1000+190)),IF($HD21=0,999999,IF(3=$HE21,IF(67=$HL21,IF($JD21=2,30,0),IF(67=$HM21,IF($JD21=1,30,0),ABS(19-$HF21)*100)),100000+ABS(3-$HE21)*1000+190)),IF($HG21=0,999999,IF(3=$HH21,IF(67=$HN21,IF($JE21=2,30,0),IF(67=$HO21,IF($JE21=1,30,0),ABS(19-$HI21)*100)),100000+ABS(3-$HH21)*1000+190)))-IF((67=$HJ21)+(67=$HK21)+(67=$HL21)+(67=$HM21)+(67=$HN21)+(67=$HO21)&gt;=2,50,0))+BR$5*50)</f>
        <v/>
      </c>
      <c r="BS141">
        <f>IF(OR($JF21=0,calcA!$A$6=0),0,IF(OR(68=$HA21,68=$HD21,68=$HG21),200000,MIN(IF($HA21=0,999999,IF(3=$HB21,IF(68=$HJ21,IF($JC21=2,30,0),IF(68=$HK21,IF($JC21=1,30,0),ABS(20-$HC21)*100)),100000+ABS(3-$HB21)*1000+200)),IF($HD21=0,999999,IF(3=$HE21,IF(68=$HL21,IF($JD21=2,30,0),IF(68=$HM21,IF($JD21=1,30,0),ABS(20-$HF21)*100)),100000+ABS(3-$HE21)*1000+200)),IF($HG21=0,999999,IF(3=$HH21,IF(68=$HN21,IF($JE21=2,30,0),IF(68=$HO21,IF($JE21=1,30,0),ABS(20-$HI21)*100)),100000+ABS(3-$HH21)*1000+200)))-IF((68=$HJ21)+(68=$HK21)+(68=$HL21)+(68=$HM21)+(68=$HN21)+(68=$HO21)&gt;=2,50,0))+BS$5*50)</f>
        <v/>
      </c>
      <c r="BT141">
        <f>IF(OR($JF21=0,calcA!$A$6=0),0,IF(OR(69=$HA21,69=$HD21,69=$HG21),200000,MIN(IF($HA21=0,999999,IF(3=$HB21,IF(69=$HJ21,IF($JC21=2,30,0),IF(69=$HK21,IF($JC21=1,30,0),ABS(21-$HC21)*100)),100000+ABS(3-$HB21)*1000+210)),IF($HD21=0,999999,IF(3=$HE21,IF(69=$HL21,IF($JD21=2,30,0),IF(69=$HM21,IF($JD21=1,30,0),ABS(21-$HF21)*100)),100000+ABS(3-$HE21)*1000+210)),IF($HG21=0,999999,IF(3=$HH21,IF(69=$HN21,IF($JE21=2,30,0),IF(69=$HO21,IF($JE21=1,30,0),ABS(21-$HI21)*100)),100000+ABS(3-$HH21)*1000+210)))-IF((69=$HJ21)+(69=$HK21)+(69=$HL21)+(69=$HM21)+(69=$HN21)+(69=$HO21)&gt;=2,50,0))+BT$5*50)</f>
        <v/>
      </c>
      <c r="BU141">
        <f>IF(OR($JF21=0,calcA!$A$6=0),0,IF(OR(70=$HA21,70=$HD21,70=$HG21),200000,MIN(IF($HA21=0,999999,IF(3=$HB21,IF(70=$HJ21,IF($JC21=2,30,0),IF(70=$HK21,IF($JC21=1,30,0),ABS(22-$HC21)*100)),100000+ABS(3-$HB21)*1000+220)),IF($HD21=0,999999,IF(3=$HE21,IF(70=$HL21,IF($JD21=2,30,0),IF(70=$HM21,IF($JD21=1,30,0),ABS(22-$HF21)*100)),100000+ABS(3-$HE21)*1000+220)),IF($HG21=0,999999,IF(3=$HH21,IF(70=$HN21,IF($JE21=2,30,0),IF(70=$HO21,IF($JE21=1,30,0),ABS(22-$HI21)*100)),100000+ABS(3-$HH21)*1000+220)))-IF((70=$HJ21)+(70=$HK21)+(70=$HL21)+(70=$HM21)+(70=$HN21)+(70=$HO21)&gt;=2,50,0))+BU$5*50)</f>
        <v/>
      </c>
      <c r="BV141">
        <f>IF(OR($JF21=0,calcA!$A$6=0),0,IF(OR(71=$HA21,71=$HD21,71=$HG21),200000,MIN(IF($HA21=0,999999,IF(3=$HB21,IF(71=$HJ21,IF($JC21=2,30,0),IF(71=$HK21,IF($JC21=1,30,0),ABS(23-$HC21)*100)),100000+ABS(3-$HB21)*1000+230)),IF($HD21=0,999999,IF(3=$HE21,IF(71=$HL21,IF($JD21=2,30,0),IF(71=$HM21,IF($JD21=1,30,0),ABS(23-$HF21)*100)),100000+ABS(3-$HE21)*1000+230)),IF($HG21=0,999999,IF(3=$HH21,IF(71=$HN21,IF($JE21=2,30,0),IF(71=$HO21,IF($JE21=1,30,0),ABS(23-$HI21)*100)),100000+ABS(3-$HH21)*1000+230)))-IF((71=$HJ21)+(71=$HK21)+(71=$HL21)+(71=$HM21)+(71=$HN21)+(71=$HO21)&gt;=2,50,0))+BV$5*50)</f>
        <v/>
      </c>
      <c r="BW141">
        <f>IF(OR($JF21=0,calcA!$A$6=0),0,IF(OR(72=$HA21,72=$HD21,72=$HG21),200000,MIN(IF($HA21=0,999999,IF(3=$HB21,IF(72=$HJ21,IF($JC21=2,30,0),IF(72=$HK21,IF($JC21=1,30,0),ABS(24-$HC21)*100)),100000+ABS(3-$HB21)*1000+240)),IF($HD21=0,999999,IF(3=$HE21,IF(72=$HL21,IF($JD21=2,30,0),IF(72=$HM21,IF($JD21=1,30,0),ABS(24-$HF21)*100)),100000+ABS(3-$HE21)*1000+240)),IF($HG21=0,999999,IF(3=$HH21,IF(72=$HN21,IF($JE21=2,30,0),IF(72=$HO21,IF($JE21=1,30,0),ABS(24-$HI21)*100)),100000+ABS(3-$HH21)*1000+240)))-IF((72=$HJ21)+(72=$HK21)+(72=$HL21)+(72=$HM21)+(72=$HN21)+(72=$HO21)&gt;=2,50,0))+BW$5*50)</f>
        <v/>
      </c>
      <c r="BX141">
        <f>IF(OR($JF21=0,calcA!$A$6=0),0,IF(OR(73=$HA21,73=$HD21,73=$HG21),200000,MIN(IF($HA21=0,999999,IF(4=$HB21,IF(73=$HJ21,IF($JC21=2,30,0),IF(73=$HK21,IF($JC21=1,30,0),ABS(1-$HC21)*100)),100000+ABS(4-$HB21)*1000+10)),IF($HD21=0,999999,IF(4=$HE21,IF(73=$HL21,IF($JD21=2,30,0),IF(73=$HM21,IF($JD21=1,30,0),ABS(1-$HF21)*100)),100000+ABS(4-$HE21)*1000+10)),IF($HG21=0,999999,IF(4=$HH21,IF(73=$HN21,IF($JE21=2,30,0),IF(73=$HO21,IF($JE21=1,30,0),ABS(1-$HI21)*100)),100000+ABS(4-$HH21)*1000+10)))-IF((73=$HJ21)+(73=$HK21)+(73=$HL21)+(73=$HM21)+(73=$HN21)+(73=$HO21)&gt;=2,50,0))+BX$5*50)</f>
        <v/>
      </c>
      <c r="BY141">
        <f>IF(OR($JF21=0,calcA!$A$6=0),0,IF(OR(74=$HA21,74=$HD21,74=$HG21),200000,MIN(IF($HA21=0,999999,IF(4=$HB21,IF(74=$HJ21,IF($JC21=2,30,0),IF(74=$HK21,IF($JC21=1,30,0),ABS(2-$HC21)*100)),100000+ABS(4-$HB21)*1000+20)),IF($HD21=0,999999,IF(4=$HE21,IF(74=$HL21,IF($JD21=2,30,0),IF(74=$HM21,IF($JD21=1,30,0),ABS(2-$HF21)*100)),100000+ABS(4-$HE21)*1000+20)),IF($HG21=0,999999,IF(4=$HH21,IF(74=$HN21,IF($JE21=2,30,0),IF(74=$HO21,IF($JE21=1,30,0),ABS(2-$HI21)*100)),100000+ABS(4-$HH21)*1000+20)))-IF((74=$HJ21)+(74=$HK21)+(74=$HL21)+(74=$HM21)+(74=$HN21)+(74=$HO21)&gt;=2,50,0))+BY$5*50)</f>
        <v/>
      </c>
      <c r="BZ141">
        <f>IF(OR($JF21=0,calcA!$A$6=0),0,IF(OR(75=$HA21,75=$HD21,75=$HG21),200000,MIN(IF($HA21=0,999999,IF(4=$HB21,IF(75=$HJ21,IF($JC21=2,30,0),IF(75=$HK21,IF($JC21=1,30,0),ABS(3-$HC21)*100)),100000+ABS(4-$HB21)*1000+30)),IF($HD21=0,999999,IF(4=$HE21,IF(75=$HL21,IF($JD21=2,30,0),IF(75=$HM21,IF($JD21=1,30,0),ABS(3-$HF21)*100)),100000+ABS(4-$HE21)*1000+30)),IF($HG21=0,999999,IF(4=$HH21,IF(75=$HN21,IF($JE21=2,30,0),IF(75=$HO21,IF($JE21=1,30,0),ABS(3-$HI21)*100)),100000+ABS(4-$HH21)*1000+30)))-IF((75=$HJ21)+(75=$HK21)+(75=$HL21)+(75=$HM21)+(75=$HN21)+(75=$HO21)&gt;=2,50,0))+BZ$5*50)</f>
        <v/>
      </c>
      <c r="CA141">
        <f>IF(OR($JF21=0,calcA!$A$6=0),0,IF(OR(76=$HA21,76=$HD21,76=$HG21),200000,MIN(IF($HA21=0,999999,IF(4=$HB21,IF(76=$HJ21,IF($JC21=2,30,0),IF(76=$HK21,IF($JC21=1,30,0),ABS(4-$HC21)*100)),100000+ABS(4-$HB21)*1000+40)),IF($HD21=0,999999,IF(4=$HE21,IF(76=$HL21,IF($JD21=2,30,0),IF(76=$HM21,IF($JD21=1,30,0),ABS(4-$HF21)*100)),100000+ABS(4-$HE21)*1000+40)),IF($HG21=0,999999,IF(4=$HH21,IF(76=$HN21,IF($JE21=2,30,0),IF(76=$HO21,IF($JE21=1,30,0),ABS(4-$HI21)*100)),100000+ABS(4-$HH21)*1000+40)))-IF((76=$HJ21)+(76=$HK21)+(76=$HL21)+(76=$HM21)+(76=$HN21)+(76=$HO21)&gt;=2,50,0))+CA$5*50)</f>
        <v/>
      </c>
      <c r="CB141">
        <f>IF(OR($JF21=0,calcA!$A$6=0),0,IF(OR(77=$HA21,77=$HD21,77=$HG21),200000,MIN(IF($HA21=0,999999,IF(4=$HB21,IF(77=$HJ21,IF($JC21=2,30,0),IF(77=$HK21,IF($JC21=1,30,0),ABS(5-$HC21)*100)),100000+ABS(4-$HB21)*1000+50)),IF($HD21=0,999999,IF(4=$HE21,IF(77=$HL21,IF($JD21=2,30,0),IF(77=$HM21,IF($JD21=1,30,0),ABS(5-$HF21)*100)),100000+ABS(4-$HE21)*1000+50)),IF($HG21=0,999999,IF(4=$HH21,IF(77=$HN21,IF($JE21=2,30,0),IF(77=$HO21,IF($JE21=1,30,0),ABS(5-$HI21)*100)),100000+ABS(4-$HH21)*1000+50)))-IF((77=$HJ21)+(77=$HK21)+(77=$HL21)+(77=$HM21)+(77=$HN21)+(77=$HO21)&gt;=2,50,0))+CB$5*50)</f>
        <v/>
      </c>
      <c r="CC141">
        <f>IF(OR($JF21=0,calcA!$A$6=0),0,IF(OR(78=$HA21,78=$HD21,78=$HG21),200000,MIN(IF($HA21=0,999999,IF(4=$HB21,IF(78=$HJ21,IF($JC21=2,30,0),IF(78=$HK21,IF($JC21=1,30,0),ABS(6-$HC21)*100)),100000+ABS(4-$HB21)*1000+60)),IF($HD21=0,999999,IF(4=$HE21,IF(78=$HL21,IF($JD21=2,30,0),IF(78=$HM21,IF($JD21=1,30,0),ABS(6-$HF21)*100)),100000+ABS(4-$HE21)*1000+60)),IF($HG21=0,999999,IF(4=$HH21,IF(78=$HN21,IF($JE21=2,30,0),IF(78=$HO21,IF($JE21=1,30,0),ABS(6-$HI21)*100)),100000+ABS(4-$HH21)*1000+60)))-IF((78=$HJ21)+(78=$HK21)+(78=$HL21)+(78=$HM21)+(78=$HN21)+(78=$HO21)&gt;=2,50,0))+CC$5*50)</f>
        <v/>
      </c>
      <c r="CD141">
        <f>IF(OR($JF21=0,calcA!$A$6=0),0,IF(OR(79=$HA21,79=$HD21,79=$HG21),200000,MIN(IF($HA21=0,999999,IF(4=$HB21,IF(79=$HJ21,IF($JC21=2,30,0),IF(79=$HK21,IF($JC21=1,30,0),ABS(7-$HC21)*100)),100000+ABS(4-$HB21)*1000+70)),IF($HD21=0,999999,IF(4=$HE21,IF(79=$HL21,IF($JD21=2,30,0),IF(79=$HM21,IF($JD21=1,30,0),ABS(7-$HF21)*100)),100000+ABS(4-$HE21)*1000+70)),IF($HG21=0,999999,IF(4=$HH21,IF(79=$HN21,IF($JE21=2,30,0),IF(79=$HO21,IF($JE21=1,30,0),ABS(7-$HI21)*100)),100000+ABS(4-$HH21)*1000+70)))-IF((79=$HJ21)+(79=$HK21)+(79=$HL21)+(79=$HM21)+(79=$HN21)+(79=$HO21)&gt;=2,50,0))+CD$5*50)</f>
        <v/>
      </c>
      <c r="CE141">
        <f>IF(OR($JF21=0,calcA!$A$6=0),0,IF(OR(80=$HA21,80=$HD21,80=$HG21),200000,MIN(IF($HA21=0,999999,IF(4=$HB21,IF(80=$HJ21,IF($JC21=2,30,0),IF(80=$HK21,IF($JC21=1,30,0),ABS(8-$HC21)*100)),100000+ABS(4-$HB21)*1000+80)),IF($HD21=0,999999,IF(4=$HE21,IF(80=$HL21,IF($JD21=2,30,0),IF(80=$HM21,IF($JD21=1,30,0),ABS(8-$HF21)*100)),100000+ABS(4-$HE21)*1000+80)),IF($HG21=0,999999,IF(4=$HH21,IF(80=$HN21,IF($JE21=2,30,0),IF(80=$HO21,IF($JE21=1,30,0),ABS(8-$HI21)*100)),100000+ABS(4-$HH21)*1000+80)))-IF((80=$HJ21)+(80=$HK21)+(80=$HL21)+(80=$HM21)+(80=$HN21)+(80=$HO21)&gt;=2,50,0))+CE$5*50)</f>
        <v/>
      </c>
      <c r="CF141">
        <f>IF(OR($JF21=0,calcA!$A$6=0),0,IF(OR(81=$HA21,81=$HD21,81=$HG21),200000,MIN(IF($HA21=0,999999,IF(4=$HB21,IF(81=$HJ21,IF($JC21=2,30,0),IF(81=$HK21,IF($JC21=1,30,0),ABS(9-$HC21)*100)),100000+ABS(4-$HB21)*1000+90)),IF($HD21=0,999999,IF(4=$HE21,IF(81=$HL21,IF($JD21=2,30,0),IF(81=$HM21,IF($JD21=1,30,0),ABS(9-$HF21)*100)),100000+ABS(4-$HE21)*1000+90)),IF($HG21=0,999999,IF(4=$HH21,IF(81=$HN21,IF($JE21=2,30,0),IF(81=$HO21,IF($JE21=1,30,0),ABS(9-$HI21)*100)),100000+ABS(4-$HH21)*1000+90)))-IF((81=$HJ21)+(81=$HK21)+(81=$HL21)+(81=$HM21)+(81=$HN21)+(81=$HO21)&gt;=2,50,0))+CF$5*50)</f>
        <v/>
      </c>
      <c r="CG141">
        <f>IF(OR($JF21=0,calcA!$A$6=0),0,IF(OR(82=$HA21,82=$HD21,82=$HG21),200000,MIN(IF($HA21=0,999999,IF(4=$HB21,IF(82=$HJ21,IF($JC21=2,30,0),IF(82=$HK21,IF($JC21=1,30,0),ABS(10-$HC21)*100)),100000+ABS(4-$HB21)*1000+100)),IF($HD21=0,999999,IF(4=$HE21,IF(82=$HL21,IF($JD21=2,30,0),IF(82=$HM21,IF($JD21=1,30,0),ABS(10-$HF21)*100)),100000+ABS(4-$HE21)*1000+100)),IF($HG21=0,999999,IF(4=$HH21,IF(82=$HN21,IF($JE21=2,30,0),IF(82=$HO21,IF($JE21=1,30,0),ABS(10-$HI21)*100)),100000+ABS(4-$HH21)*1000+100)))-IF((82=$HJ21)+(82=$HK21)+(82=$HL21)+(82=$HM21)+(82=$HN21)+(82=$HO21)&gt;=2,50,0))+CG$5*50)</f>
        <v/>
      </c>
      <c r="CH141">
        <f>IF(OR($JF21=0,calcA!$A$6=0),0,IF(OR(83=$HA21,83=$HD21,83=$HG21),200000,MIN(IF($HA21=0,999999,IF(4=$HB21,IF(83=$HJ21,IF($JC21=2,30,0),IF(83=$HK21,IF($JC21=1,30,0),ABS(11-$HC21)*100)),100000+ABS(4-$HB21)*1000+110)),IF($HD21=0,999999,IF(4=$HE21,IF(83=$HL21,IF($JD21=2,30,0),IF(83=$HM21,IF($JD21=1,30,0),ABS(11-$HF21)*100)),100000+ABS(4-$HE21)*1000+110)),IF($HG21=0,999999,IF(4=$HH21,IF(83=$HN21,IF($JE21=2,30,0),IF(83=$HO21,IF($JE21=1,30,0),ABS(11-$HI21)*100)),100000+ABS(4-$HH21)*1000+110)))-IF((83=$HJ21)+(83=$HK21)+(83=$HL21)+(83=$HM21)+(83=$HN21)+(83=$HO21)&gt;=2,50,0))+CH$5*50)</f>
        <v/>
      </c>
      <c r="CI141">
        <f>IF(OR($JF21=0,calcA!$A$6=0),0,IF(OR(84=$HA21,84=$HD21,84=$HG21),200000,MIN(IF($HA21=0,999999,IF(4=$HB21,IF(84=$HJ21,IF($JC21=2,30,0),IF(84=$HK21,IF($JC21=1,30,0),ABS(12-$HC21)*100)),100000+ABS(4-$HB21)*1000+120)),IF($HD21=0,999999,IF(4=$HE21,IF(84=$HL21,IF($JD21=2,30,0),IF(84=$HM21,IF($JD21=1,30,0),ABS(12-$HF21)*100)),100000+ABS(4-$HE21)*1000+120)),IF($HG21=0,999999,IF(4=$HH21,IF(84=$HN21,IF($JE21=2,30,0),IF(84=$HO21,IF($JE21=1,30,0),ABS(12-$HI21)*100)),100000+ABS(4-$HH21)*1000+120)))-IF((84=$HJ21)+(84=$HK21)+(84=$HL21)+(84=$HM21)+(84=$HN21)+(84=$HO21)&gt;=2,50,0))+CI$5*50)</f>
        <v/>
      </c>
      <c r="CJ141">
        <f>IF(OR($JF21=0,calcA!$A$6=0),0,IF(OR(85=$HA21,85=$HD21,85=$HG21),200000,MIN(IF($HA21=0,999999,IF(4=$HB21,IF(85=$HJ21,IF($JC21=2,30,0),IF(85=$HK21,IF($JC21=1,30,0),ABS(13-$HC21)*100)),100000+ABS(4-$HB21)*1000+130)),IF($HD21=0,999999,IF(4=$HE21,IF(85=$HL21,IF($JD21=2,30,0),IF(85=$HM21,IF($JD21=1,30,0),ABS(13-$HF21)*100)),100000+ABS(4-$HE21)*1000+130)),IF($HG21=0,999999,IF(4=$HH21,IF(85=$HN21,IF($JE21=2,30,0),IF(85=$HO21,IF($JE21=1,30,0),ABS(13-$HI21)*100)),100000+ABS(4-$HH21)*1000+130)))-IF((85=$HJ21)+(85=$HK21)+(85=$HL21)+(85=$HM21)+(85=$HN21)+(85=$HO21)&gt;=2,50,0))+CJ$5*50)</f>
        <v/>
      </c>
      <c r="CK141">
        <f>IF(OR($JF21=0,calcA!$A$6=0),0,IF(OR(86=$HA21,86=$HD21,86=$HG21),200000,MIN(IF($HA21=0,999999,IF(4=$HB21,IF(86=$HJ21,IF($JC21=2,30,0),IF(86=$HK21,IF($JC21=1,30,0),ABS(14-$HC21)*100)),100000+ABS(4-$HB21)*1000+140)),IF($HD21=0,999999,IF(4=$HE21,IF(86=$HL21,IF($JD21=2,30,0),IF(86=$HM21,IF($JD21=1,30,0),ABS(14-$HF21)*100)),100000+ABS(4-$HE21)*1000+140)),IF($HG21=0,999999,IF(4=$HH21,IF(86=$HN21,IF($JE21=2,30,0),IF(86=$HO21,IF($JE21=1,30,0),ABS(14-$HI21)*100)),100000+ABS(4-$HH21)*1000+140)))-IF((86=$HJ21)+(86=$HK21)+(86=$HL21)+(86=$HM21)+(86=$HN21)+(86=$HO21)&gt;=2,50,0))+CK$5*50)</f>
        <v/>
      </c>
      <c r="CL141">
        <f>IF(OR($JF21=0,calcA!$A$6=0),0,IF(OR(87=$HA21,87=$HD21,87=$HG21),200000,MIN(IF($HA21=0,999999,IF(4=$HB21,IF(87=$HJ21,IF($JC21=2,30,0),IF(87=$HK21,IF($JC21=1,30,0),ABS(15-$HC21)*100)),100000+ABS(4-$HB21)*1000+150)),IF($HD21=0,999999,IF(4=$HE21,IF(87=$HL21,IF($JD21=2,30,0),IF(87=$HM21,IF($JD21=1,30,0),ABS(15-$HF21)*100)),100000+ABS(4-$HE21)*1000+150)),IF($HG21=0,999999,IF(4=$HH21,IF(87=$HN21,IF($JE21=2,30,0),IF(87=$HO21,IF($JE21=1,30,0),ABS(15-$HI21)*100)),100000+ABS(4-$HH21)*1000+150)))-IF((87=$HJ21)+(87=$HK21)+(87=$HL21)+(87=$HM21)+(87=$HN21)+(87=$HO21)&gt;=2,50,0))+CL$5*50)</f>
        <v/>
      </c>
      <c r="CM141">
        <f>IF(OR($JF21=0,calcA!$A$6=0),0,IF(OR(88=$HA21,88=$HD21,88=$HG21),200000,MIN(IF($HA21=0,999999,IF(4=$HB21,IF(88=$HJ21,IF($JC21=2,30,0),IF(88=$HK21,IF($JC21=1,30,0),ABS(16-$HC21)*100)),100000+ABS(4-$HB21)*1000+160)),IF($HD21=0,999999,IF(4=$HE21,IF(88=$HL21,IF($JD21=2,30,0),IF(88=$HM21,IF($JD21=1,30,0),ABS(16-$HF21)*100)),100000+ABS(4-$HE21)*1000+160)),IF($HG21=0,999999,IF(4=$HH21,IF(88=$HN21,IF($JE21=2,30,0),IF(88=$HO21,IF($JE21=1,30,0),ABS(16-$HI21)*100)),100000+ABS(4-$HH21)*1000+160)))-IF((88=$HJ21)+(88=$HK21)+(88=$HL21)+(88=$HM21)+(88=$HN21)+(88=$HO21)&gt;=2,50,0))+CM$5*50)</f>
        <v/>
      </c>
      <c r="CN141">
        <f>IF(OR($JF21=0,calcA!$A$6=0),0,IF(OR(89=$HA21,89=$HD21,89=$HG21),200000,MIN(IF($HA21=0,999999,IF(4=$HB21,IF(89=$HJ21,IF($JC21=2,30,0),IF(89=$HK21,IF($JC21=1,30,0),ABS(17-$HC21)*100)),100000+ABS(4-$HB21)*1000+170)),IF($HD21=0,999999,IF(4=$HE21,IF(89=$HL21,IF($JD21=2,30,0),IF(89=$HM21,IF($JD21=1,30,0),ABS(17-$HF21)*100)),100000+ABS(4-$HE21)*1000+170)),IF($HG21=0,999999,IF(4=$HH21,IF(89=$HN21,IF($JE21=2,30,0),IF(89=$HO21,IF($JE21=1,30,0),ABS(17-$HI21)*100)),100000+ABS(4-$HH21)*1000+170)))-IF((89=$HJ21)+(89=$HK21)+(89=$HL21)+(89=$HM21)+(89=$HN21)+(89=$HO21)&gt;=2,50,0))+CN$5*50)</f>
        <v/>
      </c>
      <c r="CO141">
        <f>IF(OR($JF21=0,calcA!$A$6=0),0,IF(OR(90=$HA21,90=$HD21,90=$HG21),200000,MIN(IF($HA21=0,999999,IF(4=$HB21,IF(90=$HJ21,IF($JC21=2,30,0),IF(90=$HK21,IF($JC21=1,30,0),ABS(18-$HC21)*100)),100000+ABS(4-$HB21)*1000+180)),IF($HD21=0,999999,IF(4=$HE21,IF(90=$HL21,IF($JD21=2,30,0),IF(90=$HM21,IF($JD21=1,30,0),ABS(18-$HF21)*100)),100000+ABS(4-$HE21)*1000+180)),IF($HG21=0,999999,IF(4=$HH21,IF(90=$HN21,IF($JE21=2,30,0),IF(90=$HO21,IF($JE21=1,30,0),ABS(18-$HI21)*100)),100000+ABS(4-$HH21)*1000+180)))-IF((90=$HJ21)+(90=$HK21)+(90=$HL21)+(90=$HM21)+(90=$HN21)+(90=$HO21)&gt;=2,50,0))+CO$5*50)</f>
        <v/>
      </c>
      <c r="CP141">
        <f>IF(OR($JF21=0,calcA!$A$6=0),0,IF(OR(91=$HA21,91=$HD21,91=$HG21),200000,MIN(IF($HA21=0,999999,IF(4=$HB21,IF(91=$HJ21,IF($JC21=2,30,0),IF(91=$HK21,IF($JC21=1,30,0),ABS(19-$HC21)*100)),100000+ABS(4-$HB21)*1000+190)),IF($HD21=0,999999,IF(4=$HE21,IF(91=$HL21,IF($JD21=2,30,0),IF(91=$HM21,IF($JD21=1,30,0),ABS(19-$HF21)*100)),100000+ABS(4-$HE21)*1000+190)),IF($HG21=0,999999,IF(4=$HH21,IF(91=$HN21,IF($JE21=2,30,0),IF(91=$HO21,IF($JE21=1,30,0),ABS(19-$HI21)*100)),100000+ABS(4-$HH21)*1000+190)))-IF((91=$HJ21)+(91=$HK21)+(91=$HL21)+(91=$HM21)+(91=$HN21)+(91=$HO21)&gt;=2,50,0))+CP$5*50)</f>
        <v/>
      </c>
      <c r="CQ141">
        <f>IF(OR($JF21=0,calcA!$A$6=0),0,IF(OR(92=$HA21,92=$HD21,92=$HG21),200000,MIN(IF($HA21=0,999999,IF(4=$HB21,IF(92=$HJ21,IF($JC21=2,30,0),IF(92=$HK21,IF($JC21=1,30,0),ABS(20-$HC21)*100)),100000+ABS(4-$HB21)*1000+200)),IF($HD21=0,999999,IF(4=$HE21,IF(92=$HL21,IF($JD21=2,30,0),IF(92=$HM21,IF($JD21=1,30,0),ABS(20-$HF21)*100)),100000+ABS(4-$HE21)*1000+200)),IF($HG21=0,999999,IF(4=$HH21,IF(92=$HN21,IF($JE21=2,30,0),IF(92=$HO21,IF($JE21=1,30,0),ABS(20-$HI21)*100)),100000+ABS(4-$HH21)*1000+200)))-IF((92=$HJ21)+(92=$HK21)+(92=$HL21)+(92=$HM21)+(92=$HN21)+(92=$HO21)&gt;=2,50,0))+CQ$5*50)</f>
        <v/>
      </c>
      <c r="CR141">
        <f>IF(OR($JF21=0,calcA!$A$6=0),0,IF(OR(93=$HA21,93=$HD21,93=$HG21),200000,MIN(IF($HA21=0,999999,IF(4=$HB21,IF(93=$HJ21,IF($JC21=2,30,0),IF(93=$HK21,IF($JC21=1,30,0),ABS(21-$HC21)*100)),100000+ABS(4-$HB21)*1000+210)),IF($HD21=0,999999,IF(4=$HE21,IF(93=$HL21,IF($JD21=2,30,0),IF(93=$HM21,IF($JD21=1,30,0),ABS(21-$HF21)*100)),100000+ABS(4-$HE21)*1000+210)),IF($HG21=0,999999,IF(4=$HH21,IF(93=$HN21,IF($JE21=2,30,0),IF(93=$HO21,IF($JE21=1,30,0),ABS(21-$HI21)*100)),100000+ABS(4-$HH21)*1000+210)))-IF((93=$HJ21)+(93=$HK21)+(93=$HL21)+(93=$HM21)+(93=$HN21)+(93=$HO21)&gt;=2,50,0))+CR$5*50)</f>
        <v/>
      </c>
      <c r="CS141">
        <f>IF(OR($JF21=0,calcA!$A$6=0),0,IF(OR(94=$HA21,94=$HD21,94=$HG21),200000,MIN(IF($HA21=0,999999,IF(4=$HB21,IF(94=$HJ21,IF($JC21=2,30,0),IF(94=$HK21,IF($JC21=1,30,0),ABS(22-$HC21)*100)),100000+ABS(4-$HB21)*1000+220)),IF($HD21=0,999999,IF(4=$HE21,IF(94=$HL21,IF($JD21=2,30,0),IF(94=$HM21,IF($JD21=1,30,0),ABS(22-$HF21)*100)),100000+ABS(4-$HE21)*1000+220)),IF($HG21=0,999999,IF(4=$HH21,IF(94=$HN21,IF($JE21=2,30,0),IF(94=$HO21,IF($JE21=1,30,0),ABS(22-$HI21)*100)),100000+ABS(4-$HH21)*1000+220)))-IF((94=$HJ21)+(94=$HK21)+(94=$HL21)+(94=$HM21)+(94=$HN21)+(94=$HO21)&gt;=2,50,0))+CS$5*50)</f>
        <v/>
      </c>
      <c r="CT141">
        <f>IF(OR($JF21=0,calcA!$A$6=0),0,IF(OR(95=$HA21,95=$HD21,95=$HG21),200000,MIN(IF($HA21=0,999999,IF(4=$HB21,IF(95=$HJ21,IF($JC21=2,30,0),IF(95=$HK21,IF($JC21=1,30,0),ABS(23-$HC21)*100)),100000+ABS(4-$HB21)*1000+230)),IF($HD21=0,999999,IF(4=$HE21,IF(95=$HL21,IF($JD21=2,30,0),IF(95=$HM21,IF($JD21=1,30,0),ABS(23-$HF21)*100)),100000+ABS(4-$HE21)*1000+230)),IF($HG21=0,999999,IF(4=$HH21,IF(95=$HN21,IF($JE21=2,30,0),IF(95=$HO21,IF($JE21=1,30,0),ABS(23-$HI21)*100)),100000+ABS(4-$HH21)*1000+230)))-IF((95=$HJ21)+(95=$HK21)+(95=$HL21)+(95=$HM21)+(95=$HN21)+(95=$HO21)&gt;=2,50,0))+CT$5*50)</f>
        <v/>
      </c>
      <c r="CU141">
        <f>IF(OR($JF21=0,calcA!$A$6=0),0,IF(OR(96=$HA21,96=$HD21,96=$HG21),200000,MIN(IF($HA21=0,999999,IF(4=$HB21,IF(96=$HJ21,IF($JC21=2,30,0),IF(96=$HK21,IF($JC21=1,30,0),ABS(24-$HC21)*100)),100000+ABS(4-$HB21)*1000+240)),IF($HD21=0,999999,IF(4=$HE21,IF(96=$HL21,IF($JD21=2,30,0),IF(96=$HM21,IF($JD21=1,30,0),ABS(24-$HF21)*100)),100000+ABS(4-$HE21)*1000+240)),IF($HG21=0,999999,IF(4=$HH21,IF(96=$HN21,IF($JE21=2,30,0),IF(96=$HO21,IF($JE21=1,30,0),ABS(24-$HI21)*100)),100000+ABS(4-$HH21)*1000+240)))-IF((96=$HJ21)+(96=$HK21)+(96=$HL21)+(96=$HM21)+(96=$HN21)+(96=$HO21)&gt;=2,50,0))+CU$5*50)</f>
        <v/>
      </c>
      <c r="CV141">
        <f>IF(OR($JF21=0,calcA!$A$6=0),0,IF(OR(97=$HA21,97=$HD21,97=$HG21),200000,MIN(IF($HA21=0,999999,IF(5=$HB21,IF(97=$HJ21,IF($JC21=2,30,0),IF(97=$HK21,IF($JC21=1,30,0),ABS(1-$HC21)*100)),100000+ABS(5-$HB21)*1000+10)),IF($HD21=0,999999,IF(5=$HE21,IF(97=$HL21,IF($JD21=2,30,0),IF(97=$HM21,IF($JD21=1,30,0),ABS(1-$HF21)*100)),100000+ABS(5-$HE21)*1000+10)),IF($HG21=0,999999,IF(5=$HH21,IF(97=$HN21,IF($JE21=2,30,0),IF(97=$HO21,IF($JE21=1,30,0),ABS(1-$HI21)*100)),100000+ABS(5-$HH21)*1000+10)))-IF((97=$HJ21)+(97=$HK21)+(97=$HL21)+(97=$HM21)+(97=$HN21)+(97=$HO21)&gt;=2,50,0))+CV$5*50)</f>
        <v/>
      </c>
      <c r="CW141">
        <f>IF(OR($JF21=0,calcA!$A$6=0),0,IF(OR(98=$HA21,98=$HD21,98=$HG21),200000,MIN(IF($HA21=0,999999,IF(5=$HB21,IF(98=$HJ21,IF($JC21=2,30,0),IF(98=$HK21,IF($JC21=1,30,0),ABS(2-$HC21)*100)),100000+ABS(5-$HB21)*1000+20)),IF($HD21=0,999999,IF(5=$HE21,IF(98=$HL21,IF($JD21=2,30,0),IF(98=$HM21,IF($JD21=1,30,0),ABS(2-$HF21)*100)),100000+ABS(5-$HE21)*1000+20)),IF($HG21=0,999999,IF(5=$HH21,IF(98=$HN21,IF($JE21=2,30,0),IF(98=$HO21,IF($JE21=1,30,0),ABS(2-$HI21)*100)),100000+ABS(5-$HH21)*1000+20)))-IF((98=$HJ21)+(98=$HK21)+(98=$HL21)+(98=$HM21)+(98=$HN21)+(98=$HO21)&gt;=2,50,0))+CW$5*50)</f>
        <v/>
      </c>
      <c r="CX141">
        <f>IF(OR($JF21=0,calcA!$A$6=0),0,IF(OR(99=$HA21,99=$HD21,99=$HG21),200000,MIN(IF($HA21=0,999999,IF(5=$HB21,IF(99=$HJ21,IF($JC21=2,30,0),IF(99=$HK21,IF($JC21=1,30,0),ABS(3-$HC21)*100)),100000+ABS(5-$HB21)*1000+30)),IF($HD21=0,999999,IF(5=$HE21,IF(99=$HL21,IF($JD21=2,30,0),IF(99=$HM21,IF($JD21=1,30,0),ABS(3-$HF21)*100)),100000+ABS(5-$HE21)*1000+30)),IF($HG21=0,999999,IF(5=$HH21,IF(99=$HN21,IF($JE21=2,30,0),IF(99=$HO21,IF($JE21=1,30,0),ABS(3-$HI21)*100)),100000+ABS(5-$HH21)*1000+30)))-IF((99=$HJ21)+(99=$HK21)+(99=$HL21)+(99=$HM21)+(99=$HN21)+(99=$HO21)&gt;=2,50,0))+CX$5*50)</f>
        <v/>
      </c>
      <c r="CY141">
        <f>IF(OR($JF21=0,calcA!$A$6=0),0,IF(OR(100=$HA21,100=$HD21,100=$HG21),200000,MIN(IF($HA21=0,999999,IF(5=$HB21,IF(100=$HJ21,IF($JC21=2,30,0),IF(100=$HK21,IF($JC21=1,30,0),ABS(4-$HC21)*100)),100000+ABS(5-$HB21)*1000+40)),IF($HD21=0,999999,IF(5=$HE21,IF(100=$HL21,IF($JD21=2,30,0),IF(100=$HM21,IF($JD21=1,30,0),ABS(4-$HF21)*100)),100000+ABS(5-$HE21)*1000+40)),IF($HG21=0,999999,IF(5=$HH21,IF(100=$HN21,IF($JE21=2,30,0),IF(100=$HO21,IF($JE21=1,30,0),ABS(4-$HI21)*100)),100000+ABS(5-$HH21)*1000+40)))-IF((100=$HJ21)+(100=$HK21)+(100=$HL21)+(100=$HM21)+(100=$HN21)+(100=$HO21)&gt;=2,50,0))+CY$5*50)</f>
        <v/>
      </c>
      <c r="CZ141">
        <f>IF(OR($JF21=0,calcA!$A$6=0),0,IF(OR(101=$HA21,101=$HD21,101=$HG21),200000,MIN(IF($HA21=0,999999,IF(5=$HB21,IF(101=$HJ21,IF($JC21=2,30,0),IF(101=$HK21,IF($JC21=1,30,0),ABS(5-$HC21)*100)),100000+ABS(5-$HB21)*1000+50)),IF($HD21=0,999999,IF(5=$HE21,IF(101=$HL21,IF($JD21=2,30,0),IF(101=$HM21,IF($JD21=1,30,0),ABS(5-$HF21)*100)),100000+ABS(5-$HE21)*1000+50)),IF($HG21=0,999999,IF(5=$HH21,IF(101=$HN21,IF($JE21=2,30,0),IF(101=$HO21,IF($JE21=1,30,0),ABS(5-$HI21)*100)),100000+ABS(5-$HH21)*1000+50)))-IF((101=$HJ21)+(101=$HK21)+(101=$HL21)+(101=$HM21)+(101=$HN21)+(101=$HO21)&gt;=2,50,0))+CZ$5*50)</f>
        <v/>
      </c>
      <c r="DA141">
        <f>IF(OR($JF21=0,calcA!$A$6=0),0,IF(OR(102=$HA21,102=$HD21,102=$HG21),200000,MIN(IF($HA21=0,999999,IF(5=$HB21,IF(102=$HJ21,IF($JC21=2,30,0),IF(102=$HK21,IF($JC21=1,30,0),ABS(6-$HC21)*100)),100000+ABS(5-$HB21)*1000+60)),IF($HD21=0,999999,IF(5=$HE21,IF(102=$HL21,IF($JD21=2,30,0),IF(102=$HM21,IF($JD21=1,30,0),ABS(6-$HF21)*100)),100000+ABS(5-$HE21)*1000+60)),IF($HG21=0,999999,IF(5=$HH21,IF(102=$HN21,IF($JE21=2,30,0),IF(102=$HO21,IF($JE21=1,30,0),ABS(6-$HI21)*100)),100000+ABS(5-$HH21)*1000+60)))-IF((102=$HJ21)+(102=$HK21)+(102=$HL21)+(102=$HM21)+(102=$HN21)+(102=$HO21)&gt;=2,50,0))+DA$5*50)</f>
        <v/>
      </c>
      <c r="DB141">
        <f>IF(OR($JF21=0,calcA!$A$6=0),0,IF(OR(103=$HA21,103=$HD21,103=$HG21),200000,MIN(IF($HA21=0,999999,IF(5=$HB21,IF(103=$HJ21,IF($JC21=2,30,0),IF(103=$HK21,IF($JC21=1,30,0),ABS(7-$HC21)*100)),100000+ABS(5-$HB21)*1000+70)),IF($HD21=0,999999,IF(5=$HE21,IF(103=$HL21,IF($JD21=2,30,0),IF(103=$HM21,IF($JD21=1,30,0),ABS(7-$HF21)*100)),100000+ABS(5-$HE21)*1000+70)),IF($HG21=0,999999,IF(5=$HH21,IF(103=$HN21,IF($JE21=2,30,0),IF(103=$HO21,IF($JE21=1,30,0),ABS(7-$HI21)*100)),100000+ABS(5-$HH21)*1000+70)))-IF((103=$HJ21)+(103=$HK21)+(103=$HL21)+(103=$HM21)+(103=$HN21)+(103=$HO21)&gt;=2,50,0))+DB$5*50)</f>
        <v/>
      </c>
      <c r="DC141">
        <f>IF(OR($JF21=0,calcA!$A$6=0),0,IF(OR(104=$HA21,104=$HD21,104=$HG21),200000,MIN(IF($HA21=0,999999,IF(5=$HB21,IF(104=$HJ21,IF($JC21=2,30,0),IF(104=$HK21,IF($JC21=1,30,0),ABS(8-$HC21)*100)),100000+ABS(5-$HB21)*1000+80)),IF($HD21=0,999999,IF(5=$HE21,IF(104=$HL21,IF($JD21=2,30,0),IF(104=$HM21,IF($JD21=1,30,0),ABS(8-$HF21)*100)),100000+ABS(5-$HE21)*1000+80)),IF($HG21=0,999999,IF(5=$HH21,IF(104=$HN21,IF($JE21=2,30,0),IF(104=$HO21,IF($JE21=1,30,0),ABS(8-$HI21)*100)),100000+ABS(5-$HH21)*1000+80)))-IF((104=$HJ21)+(104=$HK21)+(104=$HL21)+(104=$HM21)+(104=$HN21)+(104=$HO21)&gt;=2,50,0))+DC$5*50)</f>
        <v/>
      </c>
      <c r="DD141">
        <f>IF(OR($JF21=0,calcA!$A$6=0),0,IF(OR(105=$HA21,105=$HD21,105=$HG21),200000,MIN(IF($HA21=0,999999,IF(5=$HB21,IF(105=$HJ21,IF($JC21=2,30,0),IF(105=$HK21,IF($JC21=1,30,0),ABS(9-$HC21)*100)),100000+ABS(5-$HB21)*1000+90)),IF($HD21=0,999999,IF(5=$HE21,IF(105=$HL21,IF($JD21=2,30,0),IF(105=$HM21,IF($JD21=1,30,0),ABS(9-$HF21)*100)),100000+ABS(5-$HE21)*1000+90)),IF($HG21=0,999999,IF(5=$HH21,IF(105=$HN21,IF($JE21=2,30,0),IF(105=$HO21,IF($JE21=1,30,0),ABS(9-$HI21)*100)),100000+ABS(5-$HH21)*1000+90)))-IF((105=$HJ21)+(105=$HK21)+(105=$HL21)+(105=$HM21)+(105=$HN21)+(105=$HO21)&gt;=2,50,0))+DD$5*50)</f>
        <v/>
      </c>
      <c r="DE141">
        <f>IF(OR($JF21=0,calcA!$A$6=0),0,IF(OR(106=$HA21,106=$HD21,106=$HG21),200000,MIN(IF($HA21=0,999999,IF(5=$HB21,IF(106=$HJ21,IF($JC21=2,30,0),IF(106=$HK21,IF($JC21=1,30,0),ABS(10-$HC21)*100)),100000+ABS(5-$HB21)*1000+100)),IF($HD21=0,999999,IF(5=$HE21,IF(106=$HL21,IF($JD21=2,30,0),IF(106=$HM21,IF($JD21=1,30,0),ABS(10-$HF21)*100)),100000+ABS(5-$HE21)*1000+100)),IF($HG21=0,999999,IF(5=$HH21,IF(106=$HN21,IF($JE21=2,30,0),IF(106=$HO21,IF($JE21=1,30,0),ABS(10-$HI21)*100)),100000+ABS(5-$HH21)*1000+100)))-IF((106=$HJ21)+(106=$HK21)+(106=$HL21)+(106=$HM21)+(106=$HN21)+(106=$HO21)&gt;=2,50,0))+DE$5*50)</f>
        <v/>
      </c>
      <c r="DF141">
        <f>IF(OR($JF21=0,calcA!$A$6=0),0,IF(OR(107=$HA21,107=$HD21,107=$HG21),200000,MIN(IF($HA21=0,999999,IF(5=$HB21,IF(107=$HJ21,IF($JC21=2,30,0),IF(107=$HK21,IF($JC21=1,30,0),ABS(11-$HC21)*100)),100000+ABS(5-$HB21)*1000+110)),IF($HD21=0,999999,IF(5=$HE21,IF(107=$HL21,IF($JD21=2,30,0),IF(107=$HM21,IF($JD21=1,30,0),ABS(11-$HF21)*100)),100000+ABS(5-$HE21)*1000+110)),IF($HG21=0,999999,IF(5=$HH21,IF(107=$HN21,IF($JE21=2,30,0),IF(107=$HO21,IF($JE21=1,30,0),ABS(11-$HI21)*100)),100000+ABS(5-$HH21)*1000+110)))-IF((107=$HJ21)+(107=$HK21)+(107=$HL21)+(107=$HM21)+(107=$HN21)+(107=$HO21)&gt;=2,50,0))+DF$5*50)</f>
        <v/>
      </c>
      <c r="DG141">
        <f>IF(OR($JF21=0,calcA!$A$6=0),0,IF(OR(108=$HA21,108=$HD21,108=$HG21),200000,MIN(IF($HA21=0,999999,IF(5=$HB21,IF(108=$HJ21,IF($JC21=2,30,0),IF(108=$HK21,IF($JC21=1,30,0),ABS(12-$HC21)*100)),100000+ABS(5-$HB21)*1000+120)),IF($HD21=0,999999,IF(5=$HE21,IF(108=$HL21,IF($JD21=2,30,0),IF(108=$HM21,IF($JD21=1,30,0),ABS(12-$HF21)*100)),100000+ABS(5-$HE21)*1000+120)),IF($HG21=0,999999,IF(5=$HH21,IF(108=$HN21,IF($JE21=2,30,0),IF(108=$HO21,IF($JE21=1,30,0),ABS(12-$HI21)*100)),100000+ABS(5-$HH21)*1000+120)))-IF((108=$HJ21)+(108=$HK21)+(108=$HL21)+(108=$HM21)+(108=$HN21)+(108=$HO21)&gt;=2,50,0))+DG$5*50)</f>
        <v/>
      </c>
      <c r="DH141">
        <f>IF(OR($JF21=0,calcA!$A$6=0),0,IF(OR(109=$HA21,109=$HD21,109=$HG21),200000,MIN(IF($HA21=0,999999,IF(5=$HB21,IF(109=$HJ21,IF($JC21=2,30,0),IF(109=$HK21,IF($JC21=1,30,0),ABS(13-$HC21)*100)),100000+ABS(5-$HB21)*1000+130)),IF($HD21=0,999999,IF(5=$HE21,IF(109=$HL21,IF($JD21=2,30,0),IF(109=$HM21,IF($JD21=1,30,0),ABS(13-$HF21)*100)),100000+ABS(5-$HE21)*1000+130)),IF($HG21=0,999999,IF(5=$HH21,IF(109=$HN21,IF($JE21=2,30,0),IF(109=$HO21,IF($JE21=1,30,0),ABS(13-$HI21)*100)),100000+ABS(5-$HH21)*1000+130)))-IF((109=$HJ21)+(109=$HK21)+(109=$HL21)+(109=$HM21)+(109=$HN21)+(109=$HO21)&gt;=2,50,0))+DH$5*50)</f>
        <v/>
      </c>
      <c r="DI141">
        <f>IF(OR($JF21=0,calcA!$A$6=0),0,IF(OR(110=$HA21,110=$HD21,110=$HG21),200000,MIN(IF($HA21=0,999999,IF(5=$HB21,IF(110=$HJ21,IF($JC21=2,30,0),IF(110=$HK21,IF($JC21=1,30,0),ABS(14-$HC21)*100)),100000+ABS(5-$HB21)*1000+140)),IF($HD21=0,999999,IF(5=$HE21,IF(110=$HL21,IF($JD21=2,30,0),IF(110=$HM21,IF($JD21=1,30,0),ABS(14-$HF21)*100)),100000+ABS(5-$HE21)*1000+140)),IF($HG21=0,999999,IF(5=$HH21,IF(110=$HN21,IF($JE21=2,30,0),IF(110=$HO21,IF($JE21=1,30,0),ABS(14-$HI21)*100)),100000+ABS(5-$HH21)*1000+140)))-IF((110=$HJ21)+(110=$HK21)+(110=$HL21)+(110=$HM21)+(110=$HN21)+(110=$HO21)&gt;=2,50,0))+DI$5*50)</f>
        <v/>
      </c>
      <c r="DJ141">
        <f>IF(OR($JF21=0,calcA!$A$6=0),0,IF(OR(111=$HA21,111=$HD21,111=$HG21),200000,MIN(IF($HA21=0,999999,IF(5=$HB21,IF(111=$HJ21,IF($JC21=2,30,0),IF(111=$HK21,IF($JC21=1,30,0),ABS(15-$HC21)*100)),100000+ABS(5-$HB21)*1000+150)),IF($HD21=0,999999,IF(5=$HE21,IF(111=$HL21,IF($JD21=2,30,0),IF(111=$HM21,IF($JD21=1,30,0),ABS(15-$HF21)*100)),100000+ABS(5-$HE21)*1000+150)),IF($HG21=0,999999,IF(5=$HH21,IF(111=$HN21,IF($JE21=2,30,0),IF(111=$HO21,IF($JE21=1,30,0),ABS(15-$HI21)*100)),100000+ABS(5-$HH21)*1000+150)))-IF((111=$HJ21)+(111=$HK21)+(111=$HL21)+(111=$HM21)+(111=$HN21)+(111=$HO21)&gt;=2,50,0))+DJ$5*50)</f>
        <v/>
      </c>
      <c r="DK141">
        <f>IF(OR($JF21=0,calcA!$A$6=0),0,IF(OR(112=$HA21,112=$HD21,112=$HG21),200000,MIN(IF($HA21=0,999999,IF(5=$HB21,IF(112=$HJ21,IF($JC21=2,30,0),IF(112=$HK21,IF($JC21=1,30,0),ABS(16-$HC21)*100)),100000+ABS(5-$HB21)*1000+160)),IF($HD21=0,999999,IF(5=$HE21,IF(112=$HL21,IF($JD21=2,30,0),IF(112=$HM21,IF($JD21=1,30,0),ABS(16-$HF21)*100)),100000+ABS(5-$HE21)*1000+160)),IF($HG21=0,999999,IF(5=$HH21,IF(112=$HN21,IF($JE21=2,30,0),IF(112=$HO21,IF($JE21=1,30,0),ABS(16-$HI21)*100)),100000+ABS(5-$HH21)*1000+160)))-IF((112=$HJ21)+(112=$HK21)+(112=$HL21)+(112=$HM21)+(112=$HN21)+(112=$HO21)&gt;=2,50,0))+DK$5*50)</f>
        <v/>
      </c>
      <c r="DL141">
        <f>IF(OR($JF21=0,calcA!$A$6=0),0,IF(OR(113=$HA21,113=$HD21,113=$HG21),200000,MIN(IF($HA21=0,999999,IF(5=$HB21,IF(113=$HJ21,IF($JC21=2,30,0),IF(113=$HK21,IF($JC21=1,30,0),ABS(17-$HC21)*100)),100000+ABS(5-$HB21)*1000+170)),IF($HD21=0,999999,IF(5=$HE21,IF(113=$HL21,IF($JD21=2,30,0),IF(113=$HM21,IF($JD21=1,30,0),ABS(17-$HF21)*100)),100000+ABS(5-$HE21)*1000+170)),IF($HG21=0,999999,IF(5=$HH21,IF(113=$HN21,IF($JE21=2,30,0),IF(113=$HO21,IF($JE21=1,30,0),ABS(17-$HI21)*100)),100000+ABS(5-$HH21)*1000+170)))-IF((113=$HJ21)+(113=$HK21)+(113=$HL21)+(113=$HM21)+(113=$HN21)+(113=$HO21)&gt;=2,50,0))+DL$5*50)</f>
        <v/>
      </c>
      <c r="DM141">
        <f>IF(OR($JF21=0,calcA!$A$6=0),0,IF(OR(114=$HA21,114=$HD21,114=$HG21),200000,MIN(IF($HA21=0,999999,IF(5=$HB21,IF(114=$HJ21,IF($JC21=2,30,0),IF(114=$HK21,IF($JC21=1,30,0),ABS(18-$HC21)*100)),100000+ABS(5-$HB21)*1000+180)),IF($HD21=0,999999,IF(5=$HE21,IF(114=$HL21,IF($JD21=2,30,0),IF(114=$HM21,IF($JD21=1,30,0),ABS(18-$HF21)*100)),100000+ABS(5-$HE21)*1000+180)),IF($HG21=0,999999,IF(5=$HH21,IF(114=$HN21,IF($JE21=2,30,0),IF(114=$HO21,IF($JE21=1,30,0),ABS(18-$HI21)*100)),100000+ABS(5-$HH21)*1000+180)))-IF((114=$HJ21)+(114=$HK21)+(114=$HL21)+(114=$HM21)+(114=$HN21)+(114=$HO21)&gt;=2,50,0))+DM$5*50)</f>
        <v/>
      </c>
      <c r="DN141">
        <f>IF(OR($JF21=0,calcA!$A$6=0),0,IF(OR(115=$HA21,115=$HD21,115=$HG21),200000,MIN(IF($HA21=0,999999,IF(5=$HB21,IF(115=$HJ21,IF($JC21=2,30,0),IF(115=$HK21,IF($JC21=1,30,0),ABS(19-$HC21)*100)),100000+ABS(5-$HB21)*1000+190)),IF($HD21=0,999999,IF(5=$HE21,IF(115=$HL21,IF($JD21=2,30,0),IF(115=$HM21,IF($JD21=1,30,0),ABS(19-$HF21)*100)),100000+ABS(5-$HE21)*1000+190)),IF($HG21=0,999999,IF(5=$HH21,IF(115=$HN21,IF($JE21=2,30,0),IF(115=$HO21,IF($JE21=1,30,0),ABS(19-$HI21)*100)),100000+ABS(5-$HH21)*1000+190)))-IF((115=$HJ21)+(115=$HK21)+(115=$HL21)+(115=$HM21)+(115=$HN21)+(115=$HO21)&gt;=2,50,0))+DN$5*50)</f>
        <v/>
      </c>
      <c r="DO141">
        <f>IF(OR($JF21=0,calcA!$A$6=0),0,IF(OR(116=$HA21,116=$HD21,116=$HG21),200000,MIN(IF($HA21=0,999999,IF(5=$HB21,IF(116=$HJ21,IF($JC21=2,30,0),IF(116=$HK21,IF($JC21=1,30,0),ABS(20-$HC21)*100)),100000+ABS(5-$HB21)*1000+200)),IF($HD21=0,999999,IF(5=$HE21,IF(116=$HL21,IF($JD21=2,30,0),IF(116=$HM21,IF($JD21=1,30,0),ABS(20-$HF21)*100)),100000+ABS(5-$HE21)*1000+200)),IF($HG21=0,999999,IF(5=$HH21,IF(116=$HN21,IF($JE21=2,30,0),IF(116=$HO21,IF($JE21=1,30,0),ABS(20-$HI21)*100)),100000+ABS(5-$HH21)*1000+200)))-IF((116=$HJ21)+(116=$HK21)+(116=$HL21)+(116=$HM21)+(116=$HN21)+(116=$HO21)&gt;=2,50,0))+DO$5*50)</f>
        <v/>
      </c>
      <c r="DP141">
        <f>IF(OR($JF21=0,calcA!$A$6=0),0,IF(OR(117=$HA21,117=$HD21,117=$HG21),200000,MIN(IF($HA21=0,999999,IF(5=$HB21,IF(117=$HJ21,IF($JC21=2,30,0),IF(117=$HK21,IF($JC21=1,30,0),ABS(21-$HC21)*100)),100000+ABS(5-$HB21)*1000+210)),IF($HD21=0,999999,IF(5=$HE21,IF(117=$HL21,IF($JD21=2,30,0),IF(117=$HM21,IF($JD21=1,30,0),ABS(21-$HF21)*100)),100000+ABS(5-$HE21)*1000+210)),IF($HG21=0,999999,IF(5=$HH21,IF(117=$HN21,IF($JE21=2,30,0),IF(117=$HO21,IF($JE21=1,30,0),ABS(21-$HI21)*100)),100000+ABS(5-$HH21)*1000+210)))-IF((117=$HJ21)+(117=$HK21)+(117=$HL21)+(117=$HM21)+(117=$HN21)+(117=$HO21)&gt;=2,50,0))+DP$5*50)</f>
        <v/>
      </c>
      <c r="DQ141">
        <f>IF(OR($JF21=0,calcA!$A$6=0),0,IF(OR(118=$HA21,118=$HD21,118=$HG21),200000,MIN(IF($HA21=0,999999,IF(5=$HB21,IF(118=$HJ21,IF($JC21=2,30,0),IF(118=$HK21,IF($JC21=1,30,0),ABS(22-$HC21)*100)),100000+ABS(5-$HB21)*1000+220)),IF($HD21=0,999999,IF(5=$HE21,IF(118=$HL21,IF($JD21=2,30,0),IF(118=$HM21,IF($JD21=1,30,0),ABS(22-$HF21)*100)),100000+ABS(5-$HE21)*1000+220)),IF($HG21=0,999999,IF(5=$HH21,IF(118=$HN21,IF($JE21=2,30,0),IF(118=$HO21,IF($JE21=1,30,0),ABS(22-$HI21)*100)),100000+ABS(5-$HH21)*1000+220)))-IF((118=$HJ21)+(118=$HK21)+(118=$HL21)+(118=$HM21)+(118=$HN21)+(118=$HO21)&gt;=2,50,0))+DQ$5*50)</f>
        <v/>
      </c>
      <c r="DR141">
        <f>IF(OR($JF21=0,calcA!$A$6=0),0,IF(OR(119=$HA21,119=$HD21,119=$HG21),200000,MIN(IF($HA21=0,999999,IF(5=$HB21,IF(119=$HJ21,IF($JC21=2,30,0),IF(119=$HK21,IF($JC21=1,30,0),ABS(23-$HC21)*100)),100000+ABS(5-$HB21)*1000+230)),IF($HD21=0,999999,IF(5=$HE21,IF(119=$HL21,IF($JD21=2,30,0),IF(119=$HM21,IF($JD21=1,30,0),ABS(23-$HF21)*100)),100000+ABS(5-$HE21)*1000+230)),IF($HG21=0,999999,IF(5=$HH21,IF(119=$HN21,IF($JE21=2,30,0),IF(119=$HO21,IF($JE21=1,30,0),ABS(23-$HI21)*100)),100000+ABS(5-$HH21)*1000+230)))-IF((119=$HJ21)+(119=$HK21)+(119=$HL21)+(119=$HM21)+(119=$HN21)+(119=$HO21)&gt;=2,50,0))+DR$5*50)</f>
        <v/>
      </c>
      <c r="DS141">
        <f>IF(OR($JF21=0,calcA!$A$6=0),0,IF(OR(120=$HA21,120=$HD21,120=$HG21),200000,MIN(IF($HA21=0,999999,IF(5=$HB21,IF(120=$HJ21,IF($JC21=2,30,0),IF(120=$HK21,IF($JC21=1,30,0),ABS(24-$HC21)*100)),100000+ABS(5-$HB21)*1000+240)),IF($HD21=0,999999,IF(5=$HE21,IF(120=$HL21,IF($JD21=2,30,0),IF(120=$HM21,IF($JD21=1,30,0),ABS(24-$HF21)*100)),100000+ABS(5-$HE21)*1000+240)),IF($HG21=0,999999,IF(5=$HH21,IF(120=$HN21,IF($JE21=2,30,0),IF(120=$HO21,IF($JE21=1,30,0),ABS(24-$HI21)*100)),100000+ABS(5-$HH21)*1000+240)))-IF((120=$HJ21)+(120=$HK21)+(120=$HL21)+(120=$HM21)+(120=$HN21)+(120=$HO21)&gt;=2,50,0))+DS$5*50)</f>
        <v/>
      </c>
      <c r="DT141">
        <f>IF(OR($JF21=0,calcA!$A$6=0),0,IF(OR(121=$HA21,121=$HD21,121=$HG21),200000,MIN(IF($HA21=0,999999,IF(6=$HB21,IF(121=$HJ21,IF($JC21=2,30,0),IF(121=$HK21,IF($JC21=1,30,0),ABS(1-$HC21)*100)),100000+ABS(6-$HB21)*1000+10)),IF($HD21=0,999999,IF(6=$HE21,IF(121=$HL21,IF($JD21=2,30,0),IF(121=$HM21,IF($JD21=1,30,0),ABS(1-$HF21)*100)),100000+ABS(6-$HE21)*1000+10)),IF($HG21=0,999999,IF(6=$HH21,IF(121=$HN21,IF($JE21=2,30,0),IF(121=$HO21,IF($JE21=1,30,0),ABS(1-$HI21)*100)),100000+ABS(6-$HH21)*1000+10)))-IF((121=$HJ21)+(121=$HK21)+(121=$HL21)+(121=$HM21)+(121=$HN21)+(121=$HO21)&gt;=2,50,0))+DT$5*50)</f>
        <v/>
      </c>
      <c r="DU141">
        <f>IF(OR($JF21=0,calcA!$A$6=0),0,IF(OR(122=$HA21,122=$HD21,122=$HG21),200000,MIN(IF($HA21=0,999999,IF(6=$HB21,IF(122=$HJ21,IF($JC21=2,30,0),IF(122=$HK21,IF($JC21=1,30,0),ABS(2-$HC21)*100)),100000+ABS(6-$HB21)*1000+20)),IF($HD21=0,999999,IF(6=$HE21,IF(122=$HL21,IF($JD21=2,30,0),IF(122=$HM21,IF($JD21=1,30,0),ABS(2-$HF21)*100)),100000+ABS(6-$HE21)*1000+20)),IF($HG21=0,999999,IF(6=$HH21,IF(122=$HN21,IF($JE21=2,30,0),IF(122=$HO21,IF($JE21=1,30,0),ABS(2-$HI21)*100)),100000+ABS(6-$HH21)*1000+20)))-IF((122=$HJ21)+(122=$HK21)+(122=$HL21)+(122=$HM21)+(122=$HN21)+(122=$HO21)&gt;=2,50,0))+DU$5*50)</f>
        <v/>
      </c>
      <c r="DV141">
        <f>IF(OR($JF21=0,calcA!$A$6=0),0,IF(OR(123=$HA21,123=$HD21,123=$HG21),200000,MIN(IF($HA21=0,999999,IF(6=$HB21,IF(123=$HJ21,IF($JC21=2,30,0),IF(123=$HK21,IF($JC21=1,30,0),ABS(3-$HC21)*100)),100000+ABS(6-$HB21)*1000+30)),IF($HD21=0,999999,IF(6=$HE21,IF(123=$HL21,IF($JD21=2,30,0),IF(123=$HM21,IF($JD21=1,30,0),ABS(3-$HF21)*100)),100000+ABS(6-$HE21)*1000+30)),IF($HG21=0,999999,IF(6=$HH21,IF(123=$HN21,IF($JE21=2,30,0),IF(123=$HO21,IF($JE21=1,30,0),ABS(3-$HI21)*100)),100000+ABS(6-$HH21)*1000+30)))-IF((123=$HJ21)+(123=$HK21)+(123=$HL21)+(123=$HM21)+(123=$HN21)+(123=$HO21)&gt;=2,50,0))+DV$5*50)</f>
        <v/>
      </c>
      <c r="DW141">
        <f>IF(OR($JF21=0,calcA!$A$6=0),0,IF(OR(124=$HA21,124=$HD21,124=$HG21),200000,MIN(IF($HA21=0,999999,IF(6=$HB21,IF(124=$HJ21,IF($JC21=2,30,0),IF(124=$HK21,IF($JC21=1,30,0),ABS(4-$HC21)*100)),100000+ABS(6-$HB21)*1000+40)),IF($HD21=0,999999,IF(6=$HE21,IF(124=$HL21,IF($JD21=2,30,0),IF(124=$HM21,IF($JD21=1,30,0),ABS(4-$HF21)*100)),100000+ABS(6-$HE21)*1000+40)),IF($HG21=0,999999,IF(6=$HH21,IF(124=$HN21,IF($JE21=2,30,0),IF(124=$HO21,IF($JE21=1,30,0),ABS(4-$HI21)*100)),100000+ABS(6-$HH21)*1000+40)))-IF((124=$HJ21)+(124=$HK21)+(124=$HL21)+(124=$HM21)+(124=$HN21)+(124=$HO21)&gt;=2,50,0))+DW$5*50)</f>
        <v/>
      </c>
      <c r="DX141">
        <f>IF(OR($JF21=0,calcA!$A$6=0),0,IF(OR(125=$HA21,125=$HD21,125=$HG21),200000,MIN(IF($HA21=0,999999,IF(6=$HB21,IF(125=$HJ21,IF($JC21=2,30,0),IF(125=$HK21,IF($JC21=1,30,0),ABS(5-$HC21)*100)),100000+ABS(6-$HB21)*1000+50)),IF($HD21=0,999999,IF(6=$HE21,IF(125=$HL21,IF($JD21=2,30,0),IF(125=$HM21,IF($JD21=1,30,0),ABS(5-$HF21)*100)),100000+ABS(6-$HE21)*1000+50)),IF($HG21=0,999999,IF(6=$HH21,IF(125=$HN21,IF($JE21=2,30,0),IF(125=$HO21,IF($JE21=1,30,0),ABS(5-$HI21)*100)),100000+ABS(6-$HH21)*1000+50)))-IF((125=$HJ21)+(125=$HK21)+(125=$HL21)+(125=$HM21)+(125=$HN21)+(125=$HO21)&gt;=2,50,0))+DX$5*50)</f>
        <v/>
      </c>
      <c r="DY141">
        <f>IF(OR($JF21=0,calcA!$A$6=0),0,IF(OR(126=$HA21,126=$HD21,126=$HG21),200000,MIN(IF($HA21=0,999999,IF(6=$HB21,IF(126=$HJ21,IF($JC21=2,30,0),IF(126=$HK21,IF($JC21=1,30,0),ABS(6-$HC21)*100)),100000+ABS(6-$HB21)*1000+60)),IF($HD21=0,999999,IF(6=$HE21,IF(126=$HL21,IF($JD21=2,30,0),IF(126=$HM21,IF($JD21=1,30,0),ABS(6-$HF21)*100)),100000+ABS(6-$HE21)*1000+60)),IF($HG21=0,999999,IF(6=$HH21,IF(126=$HN21,IF($JE21=2,30,0),IF(126=$HO21,IF($JE21=1,30,0),ABS(6-$HI21)*100)),100000+ABS(6-$HH21)*1000+60)))-IF((126=$HJ21)+(126=$HK21)+(126=$HL21)+(126=$HM21)+(126=$HN21)+(126=$HO21)&gt;=2,50,0))+DY$5*50)</f>
        <v/>
      </c>
      <c r="DZ141">
        <f>IF(OR($JF21=0,calcA!$A$6=0),0,IF(OR(127=$HA21,127=$HD21,127=$HG21),200000,MIN(IF($HA21=0,999999,IF(6=$HB21,IF(127=$HJ21,IF($JC21=2,30,0),IF(127=$HK21,IF($JC21=1,30,0),ABS(7-$HC21)*100)),100000+ABS(6-$HB21)*1000+70)),IF($HD21=0,999999,IF(6=$HE21,IF(127=$HL21,IF($JD21=2,30,0),IF(127=$HM21,IF($JD21=1,30,0),ABS(7-$HF21)*100)),100000+ABS(6-$HE21)*1000+70)),IF($HG21=0,999999,IF(6=$HH21,IF(127=$HN21,IF($JE21=2,30,0),IF(127=$HO21,IF($JE21=1,30,0),ABS(7-$HI21)*100)),100000+ABS(6-$HH21)*1000+70)))-IF((127=$HJ21)+(127=$HK21)+(127=$HL21)+(127=$HM21)+(127=$HN21)+(127=$HO21)&gt;=2,50,0))+DZ$5*50)</f>
        <v/>
      </c>
      <c r="EA141">
        <f>IF(OR($JF21=0,calcA!$A$6=0),0,IF(OR(128=$HA21,128=$HD21,128=$HG21),200000,MIN(IF($HA21=0,999999,IF(6=$HB21,IF(128=$HJ21,IF($JC21=2,30,0),IF(128=$HK21,IF($JC21=1,30,0),ABS(8-$HC21)*100)),100000+ABS(6-$HB21)*1000+80)),IF($HD21=0,999999,IF(6=$HE21,IF(128=$HL21,IF($JD21=2,30,0),IF(128=$HM21,IF($JD21=1,30,0),ABS(8-$HF21)*100)),100000+ABS(6-$HE21)*1000+80)),IF($HG21=0,999999,IF(6=$HH21,IF(128=$HN21,IF($JE21=2,30,0),IF(128=$HO21,IF($JE21=1,30,0),ABS(8-$HI21)*100)),100000+ABS(6-$HH21)*1000+80)))-IF((128=$HJ21)+(128=$HK21)+(128=$HL21)+(128=$HM21)+(128=$HN21)+(128=$HO21)&gt;=2,50,0))+EA$5*50)</f>
        <v/>
      </c>
      <c r="EB141">
        <f>IF(OR($JF21=0,calcA!$A$6=0),0,IF(OR(129=$HA21,129=$HD21,129=$HG21),200000,MIN(IF($HA21=0,999999,IF(6=$HB21,IF(129=$HJ21,IF($JC21=2,30,0),IF(129=$HK21,IF($JC21=1,30,0),ABS(9-$HC21)*100)),100000+ABS(6-$HB21)*1000+90)),IF($HD21=0,999999,IF(6=$HE21,IF(129=$HL21,IF($JD21=2,30,0),IF(129=$HM21,IF($JD21=1,30,0),ABS(9-$HF21)*100)),100000+ABS(6-$HE21)*1000+90)),IF($HG21=0,999999,IF(6=$HH21,IF(129=$HN21,IF($JE21=2,30,0),IF(129=$HO21,IF($JE21=1,30,0),ABS(9-$HI21)*100)),100000+ABS(6-$HH21)*1000+90)))-IF((129=$HJ21)+(129=$HK21)+(129=$HL21)+(129=$HM21)+(129=$HN21)+(129=$HO21)&gt;=2,50,0))+EB$5*50)</f>
        <v/>
      </c>
      <c r="EC141">
        <f>IF(OR($JF21=0,calcA!$A$6=0),0,IF(OR(130=$HA21,130=$HD21,130=$HG21),200000,MIN(IF($HA21=0,999999,IF(6=$HB21,IF(130=$HJ21,IF($JC21=2,30,0),IF(130=$HK21,IF($JC21=1,30,0),ABS(10-$HC21)*100)),100000+ABS(6-$HB21)*1000+100)),IF($HD21=0,999999,IF(6=$HE21,IF(130=$HL21,IF($JD21=2,30,0),IF(130=$HM21,IF($JD21=1,30,0),ABS(10-$HF21)*100)),100000+ABS(6-$HE21)*1000+100)),IF($HG21=0,999999,IF(6=$HH21,IF(130=$HN21,IF($JE21=2,30,0),IF(130=$HO21,IF($JE21=1,30,0),ABS(10-$HI21)*100)),100000+ABS(6-$HH21)*1000+100)))-IF((130=$HJ21)+(130=$HK21)+(130=$HL21)+(130=$HM21)+(130=$HN21)+(130=$HO21)&gt;=2,50,0))+EC$5*50)</f>
        <v/>
      </c>
      <c r="ED141">
        <f>IF(OR($JF21=0,calcA!$A$6=0),0,IF(OR(131=$HA21,131=$HD21,131=$HG21),200000,MIN(IF($HA21=0,999999,IF(6=$HB21,IF(131=$HJ21,IF($JC21=2,30,0),IF(131=$HK21,IF($JC21=1,30,0),ABS(11-$HC21)*100)),100000+ABS(6-$HB21)*1000+110)),IF($HD21=0,999999,IF(6=$HE21,IF(131=$HL21,IF($JD21=2,30,0),IF(131=$HM21,IF($JD21=1,30,0),ABS(11-$HF21)*100)),100000+ABS(6-$HE21)*1000+110)),IF($HG21=0,999999,IF(6=$HH21,IF(131=$HN21,IF($JE21=2,30,0),IF(131=$HO21,IF($JE21=1,30,0),ABS(11-$HI21)*100)),100000+ABS(6-$HH21)*1000+110)))-IF((131=$HJ21)+(131=$HK21)+(131=$HL21)+(131=$HM21)+(131=$HN21)+(131=$HO21)&gt;=2,50,0))+ED$5*50)</f>
        <v/>
      </c>
      <c r="EE141">
        <f>IF(OR($JF21=0,calcA!$A$6=0),0,IF(OR(132=$HA21,132=$HD21,132=$HG21),200000,MIN(IF($HA21=0,999999,IF(6=$HB21,IF(132=$HJ21,IF($JC21=2,30,0),IF(132=$HK21,IF($JC21=1,30,0),ABS(12-$HC21)*100)),100000+ABS(6-$HB21)*1000+120)),IF($HD21=0,999999,IF(6=$HE21,IF(132=$HL21,IF($JD21=2,30,0),IF(132=$HM21,IF($JD21=1,30,0),ABS(12-$HF21)*100)),100000+ABS(6-$HE21)*1000+120)),IF($HG21=0,999999,IF(6=$HH21,IF(132=$HN21,IF($JE21=2,30,0),IF(132=$HO21,IF($JE21=1,30,0),ABS(12-$HI21)*100)),100000+ABS(6-$HH21)*1000+120)))-IF((132=$HJ21)+(132=$HK21)+(132=$HL21)+(132=$HM21)+(132=$HN21)+(132=$HO21)&gt;=2,50,0))+EE$5*50)</f>
        <v/>
      </c>
      <c r="EF141">
        <f>IF(OR($JF21=0,calcA!$A$6=0),0,IF(OR(133=$HA21,133=$HD21,133=$HG21),200000,MIN(IF($HA21=0,999999,IF(6=$HB21,IF(133=$HJ21,IF($JC21=2,30,0),IF(133=$HK21,IF($JC21=1,30,0),ABS(13-$HC21)*100)),100000+ABS(6-$HB21)*1000+130)),IF($HD21=0,999999,IF(6=$HE21,IF(133=$HL21,IF($JD21=2,30,0),IF(133=$HM21,IF($JD21=1,30,0),ABS(13-$HF21)*100)),100000+ABS(6-$HE21)*1000+130)),IF($HG21=0,999999,IF(6=$HH21,IF(133=$HN21,IF($JE21=2,30,0),IF(133=$HO21,IF($JE21=1,30,0),ABS(13-$HI21)*100)),100000+ABS(6-$HH21)*1000+130)))-IF((133=$HJ21)+(133=$HK21)+(133=$HL21)+(133=$HM21)+(133=$HN21)+(133=$HO21)&gt;=2,50,0))+EF$5*50)</f>
        <v/>
      </c>
      <c r="EG141">
        <f>IF(OR($JF21=0,calcA!$A$6=0),0,IF(OR(134=$HA21,134=$HD21,134=$HG21),200000,MIN(IF($HA21=0,999999,IF(6=$HB21,IF(134=$HJ21,IF($JC21=2,30,0),IF(134=$HK21,IF($JC21=1,30,0),ABS(14-$HC21)*100)),100000+ABS(6-$HB21)*1000+140)),IF($HD21=0,999999,IF(6=$HE21,IF(134=$HL21,IF($JD21=2,30,0),IF(134=$HM21,IF($JD21=1,30,0),ABS(14-$HF21)*100)),100000+ABS(6-$HE21)*1000+140)),IF($HG21=0,999999,IF(6=$HH21,IF(134=$HN21,IF($JE21=2,30,0),IF(134=$HO21,IF($JE21=1,30,0),ABS(14-$HI21)*100)),100000+ABS(6-$HH21)*1000+140)))-IF((134=$HJ21)+(134=$HK21)+(134=$HL21)+(134=$HM21)+(134=$HN21)+(134=$HO21)&gt;=2,50,0))+EG$5*50)</f>
        <v/>
      </c>
      <c r="EH141">
        <f>IF(OR($JF21=0,calcA!$A$6=0),0,IF(OR(135=$HA21,135=$HD21,135=$HG21),200000,MIN(IF($HA21=0,999999,IF(6=$HB21,IF(135=$HJ21,IF($JC21=2,30,0),IF(135=$HK21,IF($JC21=1,30,0),ABS(15-$HC21)*100)),100000+ABS(6-$HB21)*1000+150)),IF($HD21=0,999999,IF(6=$HE21,IF(135=$HL21,IF($JD21=2,30,0),IF(135=$HM21,IF($JD21=1,30,0),ABS(15-$HF21)*100)),100000+ABS(6-$HE21)*1000+150)),IF($HG21=0,999999,IF(6=$HH21,IF(135=$HN21,IF($JE21=2,30,0),IF(135=$HO21,IF($JE21=1,30,0),ABS(15-$HI21)*100)),100000+ABS(6-$HH21)*1000+150)))-IF((135=$HJ21)+(135=$HK21)+(135=$HL21)+(135=$HM21)+(135=$HN21)+(135=$HO21)&gt;=2,50,0))+EH$5*50)</f>
        <v/>
      </c>
      <c r="EI141">
        <f>IF(OR($JF21=0,calcA!$A$6=0),0,IF(OR(136=$HA21,136=$HD21,136=$HG21),200000,MIN(IF($HA21=0,999999,IF(6=$HB21,IF(136=$HJ21,IF($JC21=2,30,0),IF(136=$HK21,IF($JC21=1,30,0),ABS(16-$HC21)*100)),100000+ABS(6-$HB21)*1000+160)),IF($HD21=0,999999,IF(6=$HE21,IF(136=$HL21,IF($JD21=2,30,0),IF(136=$HM21,IF($JD21=1,30,0),ABS(16-$HF21)*100)),100000+ABS(6-$HE21)*1000+160)),IF($HG21=0,999999,IF(6=$HH21,IF(136=$HN21,IF($JE21=2,30,0),IF(136=$HO21,IF($JE21=1,30,0),ABS(16-$HI21)*100)),100000+ABS(6-$HH21)*1000+160)))-IF((136=$HJ21)+(136=$HK21)+(136=$HL21)+(136=$HM21)+(136=$HN21)+(136=$HO21)&gt;=2,50,0))+EI$5*50)</f>
        <v/>
      </c>
      <c r="EJ141">
        <f>IF(OR($JF21=0,calcA!$A$6=0),0,IF(OR(137=$HA21,137=$HD21,137=$HG21),200000,MIN(IF($HA21=0,999999,IF(6=$HB21,IF(137=$HJ21,IF($JC21=2,30,0),IF(137=$HK21,IF($JC21=1,30,0),ABS(17-$HC21)*100)),100000+ABS(6-$HB21)*1000+170)),IF($HD21=0,999999,IF(6=$HE21,IF(137=$HL21,IF($JD21=2,30,0),IF(137=$HM21,IF($JD21=1,30,0),ABS(17-$HF21)*100)),100000+ABS(6-$HE21)*1000+170)),IF($HG21=0,999999,IF(6=$HH21,IF(137=$HN21,IF($JE21=2,30,0),IF(137=$HO21,IF($JE21=1,30,0),ABS(17-$HI21)*100)),100000+ABS(6-$HH21)*1000+170)))-IF((137=$HJ21)+(137=$HK21)+(137=$HL21)+(137=$HM21)+(137=$HN21)+(137=$HO21)&gt;=2,50,0))+EJ$5*50)</f>
        <v/>
      </c>
      <c r="EK141">
        <f>IF(OR($JF21=0,calcA!$A$6=0),0,IF(OR(138=$HA21,138=$HD21,138=$HG21),200000,MIN(IF($HA21=0,999999,IF(6=$HB21,IF(138=$HJ21,IF($JC21=2,30,0),IF(138=$HK21,IF($JC21=1,30,0),ABS(18-$HC21)*100)),100000+ABS(6-$HB21)*1000+180)),IF($HD21=0,999999,IF(6=$HE21,IF(138=$HL21,IF($JD21=2,30,0),IF(138=$HM21,IF($JD21=1,30,0),ABS(18-$HF21)*100)),100000+ABS(6-$HE21)*1000+180)),IF($HG21=0,999999,IF(6=$HH21,IF(138=$HN21,IF($JE21=2,30,0),IF(138=$HO21,IF($JE21=1,30,0),ABS(18-$HI21)*100)),100000+ABS(6-$HH21)*1000+180)))-IF((138=$HJ21)+(138=$HK21)+(138=$HL21)+(138=$HM21)+(138=$HN21)+(138=$HO21)&gt;=2,50,0))+EK$5*50)</f>
        <v/>
      </c>
      <c r="EL141">
        <f>IF(OR($JF21=0,calcA!$A$6=0),0,IF(OR(139=$HA21,139=$HD21,139=$HG21),200000,MIN(IF($HA21=0,999999,IF(6=$HB21,IF(139=$HJ21,IF($JC21=2,30,0),IF(139=$HK21,IF($JC21=1,30,0),ABS(19-$HC21)*100)),100000+ABS(6-$HB21)*1000+190)),IF($HD21=0,999999,IF(6=$HE21,IF(139=$HL21,IF($JD21=2,30,0),IF(139=$HM21,IF($JD21=1,30,0),ABS(19-$HF21)*100)),100000+ABS(6-$HE21)*1000+190)),IF($HG21=0,999999,IF(6=$HH21,IF(139=$HN21,IF($JE21=2,30,0),IF(139=$HO21,IF($JE21=1,30,0),ABS(19-$HI21)*100)),100000+ABS(6-$HH21)*1000+190)))-IF((139=$HJ21)+(139=$HK21)+(139=$HL21)+(139=$HM21)+(139=$HN21)+(139=$HO21)&gt;=2,50,0))+EL$5*50)</f>
        <v/>
      </c>
      <c r="EM141">
        <f>IF(OR($JF21=0,calcA!$A$6=0),0,IF(OR(140=$HA21,140=$HD21,140=$HG21),200000,MIN(IF($HA21=0,999999,IF(6=$HB21,IF(140=$HJ21,IF($JC21=2,30,0),IF(140=$HK21,IF($JC21=1,30,0),ABS(20-$HC21)*100)),100000+ABS(6-$HB21)*1000+200)),IF($HD21=0,999999,IF(6=$HE21,IF(140=$HL21,IF($JD21=2,30,0),IF(140=$HM21,IF($JD21=1,30,0),ABS(20-$HF21)*100)),100000+ABS(6-$HE21)*1000+200)),IF($HG21=0,999999,IF(6=$HH21,IF(140=$HN21,IF($JE21=2,30,0),IF(140=$HO21,IF($JE21=1,30,0),ABS(20-$HI21)*100)),100000+ABS(6-$HH21)*1000+200)))-IF((140=$HJ21)+(140=$HK21)+(140=$HL21)+(140=$HM21)+(140=$HN21)+(140=$HO21)&gt;=2,50,0))+EM$5*50)</f>
        <v/>
      </c>
      <c r="EN141">
        <f>IF(OR($JF21=0,calcA!$A$6=0),0,IF(OR(141=$HA21,141=$HD21,141=$HG21),200000,MIN(IF($HA21=0,999999,IF(6=$HB21,IF(141=$HJ21,IF($JC21=2,30,0),IF(141=$HK21,IF($JC21=1,30,0),ABS(21-$HC21)*100)),100000+ABS(6-$HB21)*1000+210)),IF($HD21=0,999999,IF(6=$HE21,IF(141=$HL21,IF($JD21=2,30,0),IF(141=$HM21,IF($JD21=1,30,0),ABS(21-$HF21)*100)),100000+ABS(6-$HE21)*1000+210)),IF($HG21=0,999999,IF(6=$HH21,IF(141=$HN21,IF($JE21=2,30,0),IF(141=$HO21,IF($JE21=1,30,0),ABS(21-$HI21)*100)),100000+ABS(6-$HH21)*1000+210)))-IF((141=$HJ21)+(141=$HK21)+(141=$HL21)+(141=$HM21)+(141=$HN21)+(141=$HO21)&gt;=2,50,0))+EN$5*50)</f>
        <v/>
      </c>
      <c r="EO141">
        <f>IF(OR($JF21=0,calcA!$A$6=0),0,IF(OR(142=$HA21,142=$HD21,142=$HG21),200000,MIN(IF($HA21=0,999999,IF(6=$HB21,IF(142=$HJ21,IF($JC21=2,30,0),IF(142=$HK21,IF($JC21=1,30,0),ABS(22-$HC21)*100)),100000+ABS(6-$HB21)*1000+220)),IF($HD21=0,999999,IF(6=$HE21,IF(142=$HL21,IF($JD21=2,30,0),IF(142=$HM21,IF($JD21=1,30,0),ABS(22-$HF21)*100)),100000+ABS(6-$HE21)*1000+220)),IF($HG21=0,999999,IF(6=$HH21,IF(142=$HN21,IF($JE21=2,30,0),IF(142=$HO21,IF($JE21=1,30,0),ABS(22-$HI21)*100)),100000+ABS(6-$HH21)*1000+220)))-IF((142=$HJ21)+(142=$HK21)+(142=$HL21)+(142=$HM21)+(142=$HN21)+(142=$HO21)&gt;=2,50,0))+EO$5*50)</f>
        <v/>
      </c>
      <c r="EP141">
        <f>IF(OR($JF21=0,calcA!$A$6=0),0,IF(OR(143=$HA21,143=$HD21,143=$HG21),200000,MIN(IF($HA21=0,999999,IF(6=$HB21,IF(143=$HJ21,IF($JC21=2,30,0),IF(143=$HK21,IF($JC21=1,30,0),ABS(23-$HC21)*100)),100000+ABS(6-$HB21)*1000+230)),IF($HD21=0,999999,IF(6=$HE21,IF(143=$HL21,IF($JD21=2,30,0),IF(143=$HM21,IF($JD21=1,30,0),ABS(23-$HF21)*100)),100000+ABS(6-$HE21)*1000+230)),IF($HG21=0,999999,IF(6=$HH21,IF(143=$HN21,IF($JE21=2,30,0),IF(143=$HO21,IF($JE21=1,30,0),ABS(23-$HI21)*100)),100000+ABS(6-$HH21)*1000+230)))-IF((143=$HJ21)+(143=$HK21)+(143=$HL21)+(143=$HM21)+(143=$HN21)+(143=$HO21)&gt;=2,50,0))+EP$5*50)</f>
        <v/>
      </c>
      <c r="EQ141">
        <f>IF(OR($JF21=0,calcA!$A$6=0),0,IF(OR(144=$HA21,144=$HD21,144=$HG21),200000,MIN(IF($HA21=0,999999,IF(6=$HB21,IF(144=$HJ21,IF($JC21=2,30,0),IF(144=$HK21,IF($JC21=1,30,0),ABS(24-$HC21)*100)),100000+ABS(6-$HB21)*1000+240)),IF($HD21=0,999999,IF(6=$HE21,IF(144=$HL21,IF($JD21=2,30,0),IF(144=$HM21,IF($JD21=1,30,0),ABS(24-$HF21)*100)),100000+ABS(6-$HE21)*1000+240)),IF($HG21=0,999999,IF(6=$HH21,IF(144=$HN21,IF($JE21=2,30,0),IF(144=$HO21,IF($JE21=1,30,0),ABS(24-$HI21)*100)),100000+ABS(6-$HH21)*1000+240)))-IF((144=$HJ21)+(144=$HK21)+(144=$HL21)+(144=$HM21)+(144=$HN21)+(144=$HO21)&gt;=2,50,0))+EQ$5*50)</f>
        <v/>
      </c>
    </row>
    <row r="142">
      <c r="D142">
        <f>IF(OR($JF22=0,calcA!$A$6=0),0,IF(OR(1=$HA22,1=$HD22,1=$HG22),200000,MIN(IF($HA22=0,999999,IF(1=$HB22,IF(1=$HJ22,IF($JC22=2,30,0),IF(1=$HK22,IF($JC22=1,30,0),ABS(1-$HC22)*100)),100000+ABS(1-$HB22)*1000+10)),IF($HD22=0,999999,IF(1=$HE22,IF(1=$HL22,IF($JD22=2,30,0),IF(1=$HM22,IF($JD22=1,30,0),ABS(1-$HF22)*100)),100000+ABS(1-$HE22)*1000+10)),IF($HG22=0,999999,IF(1=$HH22,IF(1=$HN22,IF($JE22=2,30,0),IF(1=$HO22,IF($JE22=1,30,0),ABS(1-$HI22)*100)),100000+ABS(1-$HH22)*1000+10)))-IF((1=$HJ22)+(1=$HK22)+(1=$HL22)+(1=$HM22)+(1=$HN22)+(1=$HO22)&gt;=2,50,0))+D$5*50)</f>
        <v/>
      </c>
      <c r="E142">
        <f>IF(OR($JF22=0,calcA!$A$6=0),0,IF(OR(2=$HA22,2=$HD22,2=$HG22),200000,MIN(IF($HA22=0,999999,IF(1=$HB22,IF(2=$HJ22,IF($JC22=2,30,0),IF(2=$HK22,IF($JC22=1,30,0),ABS(2-$HC22)*100)),100000+ABS(1-$HB22)*1000+20)),IF($HD22=0,999999,IF(1=$HE22,IF(2=$HL22,IF($JD22=2,30,0),IF(2=$HM22,IF($JD22=1,30,0),ABS(2-$HF22)*100)),100000+ABS(1-$HE22)*1000+20)),IF($HG22=0,999999,IF(1=$HH22,IF(2=$HN22,IF($JE22=2,30,0),IF(2=$HO22,IF($JE22=1,30,0),ABS(2-$HI22)*100)),100000+ABS(1-$HH22)*1000+20)))-IF((2=$HJ22)+(2=$HK22)+(2=$HL22)+(2=$HM22)+(2=$HN22)+(2=$HO22)&gt;=2,50,0))+E$5*50)</f>
        <v/>
      </c>
      <c r="F142">
        <f>IF(OR($JF22=0,calcA!$A$6=0),0,IF(OR(3=$HA22,3=$HD22,3=$HG22),200000,MIN(IF($HA22=0,999999,IF(1=$HB22,IF(3=$HJ22,IF($JC22=2,30,0),IF(3=$HK22,IF($JC22=1,30,0),ABS(3-$HC22)*100)),100000+ABS(1-$HB22)*1000+30)),IF($HD22=0,999999,IF(1=$HE22,IF(3=$HL22,IF($JD22=2,30,0),IF(3=$HM22,IF($JD22=1,30,0),ABS(3-$HF22)*100)),100000+ABS(1-$HE22)*1000+30)),IF($HG22=0,999999,IF(1=$HH22,IF(3=$HN22,IF($JE22=2,30,0),IF(3=$HO22,IF($JE22=1,30,0),ABS(3-$HI22)*100)),100000+ABS(1-$HH22)*1000+30)))-IF((3=$HJ22)+(3=$HK22)+(3=$HL22)+(3=$HM22)+(3=$HN22)+(3=$HO22)&gt;=2,50,0))+F$5*50)</f>
        <v/>
      </c>
      <c r="G142">
        <f>IF(OR($JF22=0,calcA!$A$6=0),0,IF(OR(4=$HA22,4=$HD22,4=$HG22),200000,MIN(IF($HA22=0,999999,IF(1=$HB22,IF(4=$HJ22,IF($JC22=2,30,0),IF(4=$HK22,IF($JC22=1,30,0),ABS(4-$HC22)*100)),100000+ABS(1-$HB22)*1000+40)),IF($HD22=0,999999,IF(1=$HE22,IF(4=$HL22,IF($JD22=2,30,0),IF(4=$HM22,IF($JD22=1,30,0),ABS(4-$HF22)*100)),100000+ABS(1-$HE22)*1000+40)),IF($HG22=0,999999,IF(1=$HH22,IF(4=$HN22,IF($JE22=2,30,0),IF(4=$HO22,IF($JE22=1,30,0),ABS(4-$HI22)*100)),100000+ABS(1-$HH22)*1000+40)))-IF((4=$HJ22)+(4=$HK22)+(4=$HL22)+(4=$HM22)+(4=$HN22)+(4=$HO22)&gt;=2,50,0))+G$5*50)</f>
        <v/>
      </c>
      <c r="H142">
        <f>IF(OR($JF22=0,calcA!$A$6=0),0,IF(OR(5=$HA22,5=$HD22,5=$HG22),200000,MIN(IF($HA22=0,999999,IF(1=$HB22,IF(5=$HJ22,IF($JC22=2,30,0),IF(5=$HK22,IF($JC22=1,30,0),ABS(5-$HC22)*100)),100000+ABS(1-$HB22)*1000+50)),IF($HD22=0,999999,IF(1=$HE22,IF(5=$HL22,IF($JD22=2,30,0),IF(5=$HM22,IF($JD22=1,30,0),ABS(5-$HF22)*100)),100000+ABS(1-$HE22)*1000+50)),IF($HG22=0,999999,IF(1=$HH22,IF(5=$HN22,IF($JE22=2,30,0),IF(5=$HO22,IF($JE22=1,30,0),ABS(5-$HI22)*100)),100000+ABS(1-$HH22)*1000+50)))-IF((5=$HJ22)+(5=$HK22)+(5=$HL22)+(5=$HM22)+(5=$HN22)+(5=$HO22)&gt;=2,50,0))+H$5*50)</f>
        <v/>
      </c>
      <c r="I142">
        <f>IF(OR($JF22=0,calcA!$A$6=0),0,IF(OR(6=$HA22,6=$HD22,6=$HG22),200000,MIN(IF($HA22=0,999999,IF(1=$HB22,IF(6=$HJ22,IF($JC22=2,30,0),IF(6=$HK22,IF($JC22=1,30,0),ABS(6-$HC22)*100)),100000+ABS(1-$HB22)*1000+60)),IF($HD22=0,999999,IF(1=$HE22,IF(6=$HL22,IF($JD22=2,30,0),IF(6=$HM22,IF($JD22=1,30,0),ABS(6-$HF22)*100)),100000+ABS(1-$HE22)*1000+60)),IF($HG22=0,999999,IF(1=$HH22,IF(6=$HN22,IF($JE22=2,30,0),IF(6=$HO22,IF($JE22=1,30,0),ABS(6-$HI22)*100)),100000+ABS(1-$HH22)*1000+60)))-IF((6=$HJ22)+(6=$HK22)+(6=$HL22)+(6=$HM22)+(6=$HN22)+(6=$HO22)&gt;=2,50,0))+I$5*50)</f>
        <v/>
      </c>
      <c r="J142">
        <f>IF(OR($JF22=0,calcA!$A$6=0),0,IF(OR(7=$HA22,7=$HD22,7=$HG22),200000,MIN(IF($HA22=0,999999,IF(1=$HB22,IF(7=$HJ22,IF($JC22=2,30,0),IF(7=$HK22,IF($JC22=1,30,0),ABS(7-$HC22)*100)),100000+ABS(1-$HB22)*1000+70)),IF($HD22=0,999999,IF(1=$HE22,IF(7=$HL22,IF($JD22=2,30,0),IF(7=$HM22,IF($JD22=1,30,0),ABS(7-$HF22)*100)),100000+ABS(1-$HE22)*1000+70)),IF($HG22=0,999999,IF(1=$HH22,IF(7=$HN22,IF($JE22=2,30,0),IF(7=$HO22,IF($JE22=1,30,0),ABS(7-$HI22)*100)),100000+ABS(1-$HH22)*1000+70)))-IF((7=$HJ22)+(7=$HK22)+(7=$HL22)+(7=$HM22)+(7=$HN22)+(7=$HO22)&gt;=2,50,0))+J$5*50)</f>
        <v/>
      </c>
      <c r="K142">
        <f>IF(OR($JF22=0,calcA!$A$6=0),0,IF(OR(8=$HA22,8=$HD22,8=$HG22),200000,MIN(IF($HA22=0,999999,IF(1=$HB22,IF(8=$HJ22,IF($JC22=2,30,0),IF(8=$HK22,IF($JC22=1,30,0),ABS(8-$HC22)*100)),100000+ABS(1-$HB22)*1000+80)),IF($HD22=0,999999,IF(1=$HE22,IF(8=$HL22,IF($JD22=2,30,0),IF(8=$HM22,IF($JD22=1,30,0),ABS(8-$HF22)*100)),100000+ABS(1-$HE22)*1000+80)),IF($HG22=0,999999,IF(1=$HH22,IF(8=$HN22,IF($JE22=2,30,0),IF(8=$HO22,IF($JE22=1,30,0),ABS(8-$HI22)*100)),100000+ABS(1-$HH22)*1000+80)))-IF((8=$HJ22)+(8=$HK22)+(8=$HL22)+(8=$HM22)+(8=$HN22)+(8=$HO22)&gt;=2,50,0))+K$5*50)</f>
        <v/>
      </c>
      <c r="L142">
        <f>IF(OR($JF22=0,calcA!$A$6=0),0,IF(OR(9=$HA22,9=$HD22,9=$HG22),200000,MIN(IF($HA22=0,999999,IF(1=$HB22,IF(9=$HJ22,IF($JC22=2,30,0),IF(9=$HK22,IF($JC22=1,30,0),ABS(9-$HC22)*100)),100000+ABS(1-$HB22)*1000+90)),IF($HD22=0,999999,IF(1=$HE22,IF(9=$HL22,IF($JD22=2,30,0),IF(9=$HM22,IF($JD22=1,30,0),ABS(9-$HF22)*100)),100000+ABS(1-$HE22)*1000+90)),IF($HG22=0,999999,IF(1=$HH22,IF(9=$HN22,IF($JE22=2,30,0),IF(9=$HO22,IF($JE22=1,30,0),ABS(9-$HI22)*100)),100000+ABS(1-$HH22)*1000+90)))-IF((9=$HJ22)+(9=$HK22)+(9=$HL22)+(9=$HM22)+(9=$HN22)+(9=$HO22)&gt;=2,50,0))+L$5*50)</f>
        <v/>
      </c>
      <c r="M142">
        <f>IF(OR($JF22=0,calcA!$A$6=0),0,IF(OR(10=$HA22,10=$HD22,10=$HG22),200000,MIN(IF($HA22=0,999999,IF(1=$HB22,IF(10=$HJ22,IF($JC22=2,30,0),IF(10=$HK22,IF($JC22=1,30,0),ABS(10-$HC22)*100)),100000+ABS(1-$HB22)*1000+100)),IF($HD22=0,999999,IF(1=$HE22,IF(10=$HL22,IF($JD22=2,30,0),IF(10=$HM22,IF($JD22=1,30,0),ABS(10-$HF22)*100)),100000+ABS(1-$HE22)*1000+100)),IF($HG22=0,999999,IF(1=$HH22,IF(10=$HN22,IF($JE22=2,30,0),IF(10=$HO22,IF($JE22=1,30,0),ABS(10-$HI22)*100)),100000+ABS(1-$HH22)*1000+100)))-IF((10=$HJ22)+(10=$HK22)+(10=$HL22)+(10=$HM22)+(10=$HN22)+(10=$HO22)&gt;=2,50,0))+M$5*50)</f>
        <v/>
      </c>
      <c r="N142">
        <f>IF(OR($JF22=0,calcA!$A$6=0),0,IF(OR(11=$HA22,11=$HD22,11=$HG22),200000,MIN(IF($HA22=0,999999,IF(1=$HB22,IF(11=$HJ22,IF($JC22=2,30,0),IF(11=$HK22,IF($JC22=1,30,0),ABS(11-$HC22)*100)),100000+ABS(1-$HB22)*1000+110)),IF($HD22=0,999999,IF(1=$HE22,IF(11=$HL22,IF($JD22=2,30,0),IF(11=$HM22,IF($JD22=1,30,0),ABS(11-$HF22)*100)),100000+ABS(1-$HE22)*1000+110)),IF($HG22=0,999999,IF(1=$HH22,IF(11=$HN22,IF($JE22=2,30,0),IF(11=$HO22,IF($JE22=1,30,0),ABS(11-$HI22)*100)),100000+ABS(1-$HH22)*1000+110)))-IF((11=$HJ22)+(11=$HK22)+(11=$HL22)+(11=$HM22)+(11=$HN22)+(11=$HO22)&gt;=2,50,0))+N$5*50)</f>
        <v/>
      </c>
      <c r="O142">
        <f>IF(OR($JF22=0,calcA!$A$6=0),0,IF(OR(12=$HA22,12=$HD22,12=$HG22),200000,MIN(IF($HA22=0,999999,IF(1=$HB22,IF(12=$HJ22,IF($JC22=2,30,0),IF(12=$HK22,IF($JC22=1,30,0),ABS(12-$HC22)*100)),100000+ABS(1-$HB22)*1000+120)),IF($HD22=0,999999,IF(1=$HE22,IF(12=$HL22,IF($JD22=2,30,0),IF(12=$HM22,IF($JD22=1,30,0),ABS(12-$HF22)*100)),100000+ABS(1-$HE22)*1000+120)),IF($HG22=0,999999,IF(1=$HH22,IF(12=$HN22,IF($JE22=2,30,0),IF(12=$HO22,IF($JE22=1,30,0),ABS(12-$HI22)*100)),100000+ABS(1-$HH22)*1000+120)))-IF((12=$HJ22)+(12=$HK22)+(12=$HL22)+(12=$HM22)+(12=$HN22)+(12=$HO22)&gt;=2,50,0))+O$5*50)</f>
        <v/>
      </c>
      <c r="P142">
        <f>IF(OR($JF22=0,calcA!$A$6=0),0,IF(OR(13=$HA22,13=$HD22,13=$HG22),200000,MIN(IF($HA22=0,999999,IF(1=$HB22,IF(13=$HJ22,IF($JC22=2,30,0),IF(13=$HK22,IF($JC22=1,30,0),ABS(13-$HC22)*100)),100000+ABS(1-$HB22)*1000+130)),IF($HD22=0,999999,IF(1=$HE22,IF(13=$HL22,IF($JD22=2,30,0),IF(13=$HM22,IF($JD22=1,30,0),ABS(13-$HF22)*100)),100000+ABS(1-$HE22)*1000+130)),IF($HG22=0,999999,IF(1=$HH22,IF(13=$HN22,IF($JE22=2,30,0),IF(13=$HO22,IF($JE22=1,30,0),ABS(13-$HI22)*100)),100000+ABS(1-$HH22)*1000+130)))-IF((13=$HJ22)+(13=$HK22)+(13=$HL22)+(13=$HM22)+(13=$HN22)+(13=$HO22)&gt;=2,50,0))+P$5*50)</f>
        <v/>
      </c>
      <c r="Q142">
        <f>IF(OR($JF22=0,calcA!$A$6=0),0,IF(OR(14=$HA22,14=$HD22,14=$HG22),200000,MIN(IF($HA22=0,999999,IF(1=$HB22,IF(14=$HJ22,IF($JC22=2,30,0),IF(14=$HK22,IF($JC22=1,30,0),ABS(14-$HC22)*100)),100000+ABS(1-$HB22)*1000+140)),IF($HD22=0,999999,IF(1=$HE22,IF(14=$HL22,IF($JD22=2,30,0),IF(14=$HM22,IF($JD22=1,30,0),ABS(14-$HF22)*100)),100000+ABS(1-$HE22)*1000+140)),IF($HG22=0,999999,IF(1=$HH22,IF(14=$HN22,IF($JE22=2,30,0),IF(14=$HO22,IF($JE22=1,30,0),ABS(14-$HI22)*100)),100000+ABS(1-$HH22)*1000+140)))-IF((14=$HJ22)+(14=$HK22)+(14=$HL22)+(14=$HM22)+(14=$HN22)+(14=$HO22)&gt;=2,50,0))+Q$5*50)</f>
        <v/>
      </c>
      <c r="R142">
        <f>IF(OR($JF22=0,calcA!$A$6=0),0,IF(OR(15=$HA22,15=$HD22,15=$HG22),200000,MIN(IF($HA22=0,999999,IF(1=$HB22,IF(15=$HJ22,IF($JC22=2,30,0),IF(15=$HK22,IF($JC22=1,30,0),ABS(15-$HC22)*100)),100000+ABS(1-$HB22)*1000+150)),IF($HD22=0,999999,IF(1=$HE22,IF(15=$HL22,IF($JD22=2,30,0),IF(15=$HM22,IF($JD22=1,30,0),ABS(15-$HF22)*100)),100000+ABS(1-$HE22)*1000+150)),IF($HG22=0,999999,IF(1=$HH22,IF(15=$HN22,IF($JE22=2,30,0),IF(15=$HO22,IF($JE22=1,30,0),ABS(15-$HI22)*100)),100000+ABS(1-$HH22)*1000+150)))-IF((15=$HJ22)+(15=$HK22)+(15=$HL22)+(15=$HM22)+(15=$HN22)+(15=$HO22)&gt;=2,50,0))+R$5*50)</f>
        <v/>
      </c>
      <c r="S142">
        <f>IF(OR($JF22=0,calcA!$A$6=0),0,IF(OR(16=$HA22,16=$HD22,16=$HG22),200000,MIN(IF($HA22=0,999999,IF(1=$HB22,IF(16=$HJ22,IF($JC22=2,30,0),IF(16=$HK22,IF($JC22=1,30,0),ABS(16-$HC22)*100)),100000+ABS(1-$HB22)*1000+160)),IF($HD22=0,999999,IF(1=$HE22,IF(16=$HL22,IF($JD22=2,30,0),IF(16=$HM22,IF($JD22=1,30,0),ABS(16-$HF22)*100)),100000+ABS(1-$HE22)*1000+160)),IF($HG22=0,999999,IF(1=$HH22,IF(16=$HN22,IF($JE22=2,30,0),IF(16=$HO22,IF($JE22=1,30,0),ABS(16-$HI22)*100)),100000+ABS(1-$HH22)*1000+160)))-IF((16=$HJ22)+(16=$HK22)+(16=$HL22)+(16=$HM22)+(16=$HN22)+(16=$HO22)&gt;=2,50,0))+S$5*50)</f>
        <v/>
      </c>
      <c r="T142">
        <f>IF(OR($JF22=0,calcA!$A$6=0),0,IF(OR(17=$HA22,17=$HD22,17=$HG22),200000,MIN(IF($HA22=0,999999,IF(1=$HB22,IF(17=$HJ22,IF($JC22=2,30,0),IF(17=$HK22,IF($JC22=1,30,0),ABS(17-$HC22)*100)),100000+ABS(1-$HB22)*1000+170)),IF($HD22=0,999999,IF(1=$HE22,IF(17=$HL22,IF($JD22=2,30,0),IF(17=$HM22,IF($JD22=1,30,0),ABS(17-$HF22)*100)),100000+ABS(1-$HE22)*1000+170)),IF($HG22=0,999999,IF(1=$HH22,IF(17=$HN22,IF($JE22=2,30,0),IF(17=$HO22,IF($JE22=1,30,0),ABS(17-$HI22)*100)),100000+ABS(1-$HH22)*1000+170)))-IF((17=$HJ22)+(17=$HK22)+(17=$HL22)+(17=$HM22)+(17=$HN22)+(17=$HO22)&gt;=2,50,0))+T$5*50)</f>
        <v/>
      </c>
      <c r="U142">
        <f>IF(OR($JF22=0,calcA!$A$6=0),0,IF(OR(18=$HA22,18=$HD22,18=$HG22),200000,MIN(IF($HA22=0,999999,IF(1=$HB22,IF(18=$HJ22,IF($JC22=2,30,0),IF(18=$HK22,IF($JC22=1,30,0),ABS(18-$HC22)*100)),100000+ABS(1-$HB22)*1000+180)),IF($HD22=0,999999,IF(1=$HE22,IF(18=$HL22,IF($JD22=2,30,0),IF(18=$HM22,IF($JD22=1,30,0),ABS(18-$HF22)*100)),100000+ABS(1-$HE22)*1000+180)),IF($HG22=0,999999,IF(1=$HH22,IF(18=$HN22,IF($JE22=2,30,0),IF(18=$HO22,IF($JE22=1,30,0),ABS(18-$HI22)*100)),100000+ABS(1-$HH22)*1000+180)))-IF((18=$HJ22)+(18=$HK22)+(18=$HL22)+(18=$HM22)+(18=$HN22)+(18=$HO22)&gt;=2,50,0))+U$5*50)</f>
        <v/>
      </c>
      <c r="V142">
        <f>IF(OR($JF22=0,calcA!$A$6=0),0,IF(OR(19=$HA22,19=$HD22,19=$HG22),200000,MIN(IF($HA22=0,999999,IF(1=$HB22,IF(19=$HJ22,IF($JC22=2,30,0),IF(19=$HK22,IF($JC22=1,30,0),ABS(19-$HC22)*100)),100000+ABS(1-$HB22)*1000+190)),IF($HD22=0,999999,IF(1=$HE22,IF(19=$HL22,IF($JD22=2,30,0),IF(19=$HM22,IF($JD22=1,30,0),ABS(19-$HF22)*100)),100000+ABS(1-$HE22)*1000+190)),IF($HG22=0,999999,IF(1=$HH22,IF(19=$HN22,IF($JE22=2,30,0),IF(19=$HO22,IF($JE22=1,30,0),ABS(19-$HI22)*100)),100000+ABS(1-$HH22)*1000+190)))-IF((19=$HJ22)+(19=$HK22)+(19=$HL22)+(19=$HM22)+(19=$HN22)+(19=$HO22)&gt;=2,50,0))+V$5*50)</f>
        <v/>
      </c>
      <c r="W142">
        <f>IF(OR($JF22=0,calcA!$A$6=0),0,IF(OR(20=$HA22,20=$HD22,20=$HG22),200000,MIN(IF($HA22=0,999999,IF(1=$HB22,IF(20=$HJ22,IF($JC22=2,30,0),IF(20=$HK22,IF($JC22=1,30,0),ABS(20-$HC22)*100)),100000+ABS(1-$HB22)*1000+200)),IF($HD22=0,999999,IF(1=$HE22,IF(20=$HL22,IF($JD22=2,30,0),IF(20=$HM22,IF($JD22=1,30,0),ABS(20-$HF22)*100)),100000+ABS(1-$HE22)*1000+200)),IF($HG22=0,999999,IF(1=$HH22,IF(20=$HN22,IF($JE22=2,30,0),IF(20=$HO22,IF($JE22=1,30,0),ABS(20-$HI22)*100)),100000+ABS(1-$HH22)*1000+200)))-IF((20=$HJ22)+(20=$HK22)+(20=$HL22)+(20=$HM22)+(20=$HN22)+(20=$HO22)&gt;=2,50,0))+W$5*50)</f>
        <v/>
      </c>
      <c r="X142">
        <f>IF(OR($JF22=0,calcA!$A$6=0),0,IF(OR(21=$HA22,21=$HD22,21=$HG22),200000,MIN(IF($HA22=0,999999,IF(1=$HB22,IF(21=$HJ22,IF($JC22=2,30,0),IF(21=$HK22,IF($JC22=1,30,0),ABS(21-$HC22)*100)),100000+ABS(1-$HB22)*1000+210)),IF($HD22=0,999999,IF(1=$HE22,IF(21=$HL22,IF($JD22=2,30,0),IF(21=$HM22,IF($JD22=1,30,0),ABS(21-$HF22)*100)),100000+ABS(1-$HE22)*1000+210)),IF($HG22=0,999999,IF(1=$HH22,IF(21=$HN22,IF($JE22=2,30,0),IF(21=$HO22,IF($JE22=1,30,0),ABS(21-$HI22)*100)),100000+ABS(1-$HH22)*1000+210)))-IF((21=$HJ22)+(21=$HK22)+(21=$HL22)+(21=$HM22)+(21=$HN22)+(21=$HO22)&gt;=2,50,0))+X$5*50)</f>
        <v/>
      </c>
      <c r="Y142">
        <f>IF(OR($JF22=0,calcA!$A$6=0),0,IF(OR(22=$HA22,22=$HD22,22=$HG22),200000,MIN(IF($HA22=0,999999,IF(1=$HB22,IF(22=$HJ22,IF($JC22=2,30,0),IF(22=$HK22,IF($JC22=1,30,0),ABS(22-$HC22)*100)),100000+ABS(1-$HB22)*1000+220)),IF($HD22=0,999999,IF(1=$HE22,IF(22=$HL22,IF($JD22=2,30,0),IF(22=$HM22,IF($JD22=1,30,0),ABS(22-$HF22)*100)),100000+ABS(1-$HE22)*1000+220)),IF($HG22=0,999999,IF(1=$HH22,IF(22=$HN22,IF($JE22=2,30,0),IF(22=$HO22,IF($JE22=1,30,0),ABS(22-$HI22)*100)),100000+ABS(1-$HH22)*1000+220)))-IF((22=$HJ22)+(22=$HK22)+(22=$HL22)+(22=$HM22)+(22=$HN22)+(22=$HO22)&gt;=2,50,0))+Y$5*50)</f>
        <v/>
      </c>
      <c r="Z142">
        <f>IF(OR($JF22=0,calcA!$A$6=0),0,IF(OR(23=$HA22,23=$HD22,23=$HG22),200000,MIN(IF($HA22=0,999999,IF(1=$HB22,IF(23=$HJ22,IF($JC22=2,30,0),IF(23=$HK22,IF($JC22=1,30,0),ABS(23-$HC22)*100)),100000+ABS(1-$HB22)*1000+230)),IF($HD22=0,999999,IF(1=$HE22,IF(23=$HL22,IF($JD22=2,30,0),IF(23=$HM22,IF($JD22=1,30,0),ABS(23-$HF22)*100)),100000+ABS(1-$HE22)*1000+230)),IF($HG22=0,999999,IF(1=$HH22,IF(23=$HN22,IF($JE22=2,30,0),IF(23=$HO22,IF($JE22=1,30,0),ABS(23-$HI22)*100)),100000+ABS(1-$HH22)*1000+230)))-IF((23=$HJ22)+(23=$HK22)+(23=$HL22)+(23=$HM22)+(23=$HN22)+(23=$HO22)&gt;=2,50,0))+Z$5*50)</f>
        <v/>
      </c>
      <c r="AA142">
        <f>IF(OR($JF22=0,calcA!$A$6=0),0,IF(OR(24=$HA22,24=$HD22,24=$HG22),200000,MIN(IF($HA22=0,999999,IF(1=$HB22,IF(24=$HJ22,IF($JC22=2,30,0),IF(24=$HK22,IF($JC22=1,30,0),ABS(24-$HC22)*100)),100000+ABS(1-$HB22)*1000+240)),IF($HD22=0,999999,IF(1=$HE22,IF(24=$HL22,IF($JD22=2,30,0),IF(24=$HM22,IF($JD22=1,30,0),ABS(24-$HF22)*100)),100000+ABS(1-$HE22)*1000+240)),IF($HG22=0,999999,IF(1=$HH22,IF(24=$HN22,IF($JE22=2,30,0),IF(24=$HO22,IF($JE22=1,30,0),ABS(24-$HI22)*100)),100000+ABS(1-$HH22)*1000+240)))-IF((24=$HJ22)+(24=$HK22)+(24=$HL22)+(24=$HM22)+(24=$HN22)+(24=$HO22)&gt;=2,50,0))+AA$5*50)</f>
        <v/>
      </c>
      <c r="AB142">
        <f>IF(OR($JF22=0,calcA!$A$6=0),0,IF(OR(25=$HA22,25=$HD22,25=$HG22),200000,MIN(IF($HA22=0,999999,IF(2=$HB22,IF(25=$HJ22,IF($JC22=2,30,0),IF(25=$HK22,IF($JC22=1,30,0),ABS(1-$HC22)*100)),100000+ABS(2-$HB22)*1000+10)),IF($HD22=0,999999,IF(2=$HE22,IF(25=$HL22,IF($JD22=2,30,0),IF(25=$HM22,IF($JD22=1,30,0),ABS(1-$HF22)*100)),100000+ABS(2-$HE22)*1000+10)),IF($HG22=0,999999,IF(2=$HH22,IF(25=$HN22,IF($JE22=2,30,0),IF(25=$HO22,IF($JE22=1,30,0),ABS(1-$HI22)*100)),100000+ABS(2-$HH22)*1000+10)))-IF((25=$HJ22)+(25=$HK22)+(25=$HL22)+(25=$HM22)+(25=$HN22)+(25=$HO22)&gt;=2,50,0))+AB$5*50)</f>
        <v/>
      </c>
      <c r="AC142">
        <f>IF(OR($JF22=0,calcA!$A$6=0),0,IF(OR(26=$HA22,26=$HD22,26=$HG22),200000,MIN(IF($HA22=0,999999,IF(2=$HB22,IF(26=$HJ22,IF($JC22=2,30,0),IF(26=$HK22,IF($JC22=1,30,0),ABS(2-$HC22)*100)),100000+ABS(2-$HB22)*1000+20)),IF($HD22=0,999999,IF(2=$HE22,IF(26=$HL22,IF($JD22=2,30,0),IF(26=$HM22,IF($JD22=1,30,0),ABS(2-$HF22)*100)),100000+ABS(2-$HE22)*1000+20)),IF($HG22=0,999999,IF(2=$HH22,IF(26=$HN22,IF($JE22=2,30,0),IF(26=$HO22,IF($JE22=1,30,0),ABS(2-$HI22)*100)),100000+ABS(2-$HH22)*1000+20)))-IF((26=$HJ22)+(26=$HK22)+(26=$HL22)+(26=$HM22)+(26=$HN22)+(26=$HO22)&gt;=2,50,0))+AC$5*50)</f>
        <v/>
      </c>
      <c r="AD142">
        <f>IF(OR($JF22=0,calcA!$A$6=0),0,IF(OR(27=$HA22,27=$HD22,27=$HG22),200000,MIN(IF($HA22=0,999999,IF(2=$HB22,IF(27=$HJ22,IF($JC22=2,30,0),IF(27=$HK22,IF($JC22=1,30,0),ABS(3-$HC22)*100)),100000+ABS(2-$HB22)*1000+30)),IF($HD22=0,999999,IF(2=$HE22,IF(27=$HL22,IF($JD22=2,30,0),IF(27=$HM22,IF($JD22=1,30,0),ABS(3-$HF22)*100)),100000+ABS(2-$HE22)*1000+30)),IF($HG22=0,999999,IF(2=$HH22,IF(27=$HN22,IF($JE22=2,30,0),IF(27=$HO22,IF($JE22=1,30,0),ABS(3-$HI22)*100)),100000+ABS(2-$HH22)*1000+30)))-IF((27=$HJ22)+(27=$HK22)+(27=$HL22)+(27=$HM22)+(27=$HN22)+(27=$HO22)&gt;=2,50,0))+AD$5*50)</f>
        <v/>
      </c>
      <c r="AE142">
        <f>IF(OR($JF22=0,calcA!$A$6=0),0,IF(OR(28=$HA22,28=$HD22,28=$HG22),200000,MIN(IF($HA22=0,999999,IF(2=$HB22,IF(28=$HJ22,IF($JC22=2,30,0),IF(28=$HK22,IF($JC22=1,30,0),ABS(4-$HC22)*100)),100000+ABS(2-$HB22)*1000+40)),IF($HD22=0,999999,IF(2=$HE22,IF(28=$HL22,IF($JD22=2,30,0),IF(28=$HM22,IF($JD22=1,30,0),ABS(4-$HF22)*100)),100000+ABS(2-$HE22)*1000+40)),IF($HG22=0,999999,IF(2=$HH22,IF(28=$HN22,IF($JE22=2,30,0),IF(28=$HO22,IF($JE22=1,30,0),ABS(4-$HI22)*100)),100000+ABS(2-$HH22)*1000+40)))-IF((28=$HJ22)+(28=$HK22)+(28=$HL22)+(28=$HM22)+(28=$HN22)+(28=$HO22)&gt;=2,50,0))+AE$5*50)</f>
        <v/>
      </c>
      <c r="AF142">
        <f>IF(OR($JF22=0,calcA!$A$6=0),0,IF(OR(29=$HA22,29=$HD22,29=$HG22),200000,MIN(IF($HA22=0,999999,IF(2=$HB22,IF(29=$HJ22,IF($JC22=2,30,0),IF(29=$HK22,IF($JC22=1,30,0),ABS(5-$HC22)*100)),100000+ABS(2-$HB22)*1000+50)),IF($HD22=0,999999,IF(2=$HE22,IF(29=$HL22,IF($JD22=2,30,0),IF(29=$HM22,IF($JD22=1,30,0),ABS(5-$HF22)*100)),100000+ABS(2-$HE22)*1000+50)),IF($HG22=0,999999,IF(2=$HH22,IF(29=$HN22,IF($JE22=2,30,0),IF(29=$HO22,IF($JE22=1,30,0),ABS(5-$HI22)*100)),100000+ABS(2-$HH22)*1000+50)))-IF((29=$HJ22)+(29=$HK22)+(29=$HL22)+(29=$HM22)+(29=$HN22)+(29=$HO22)&gt;=2,50,0))+AF$5*50)</f>
        <v/>
      </c>
      <c r="AG142">
        <f>IF(OR($JF22=0,calcA!$A$6=0),0,IF(OR(30=$HA22,30=$HD22,30=$HG22),200000,MIN(IF($HA22=0,999999,IF(2=$HB22,IF(30=$HJ22,IF($JC22=2,30,0),IF(30=$HK22,IF($JC22=1,30,0),ABS(6-$HC22)*100)),100000+ABS(2-$HB22)*1000+60)),IF($HD22=0,999999,IF(2=$HE22,IF(30=$HL22,IF($JD22=2,30,0),IF(30=$HM22,IF($JD22=1,30,0),ABS(6-$HF22)*100)),100000+ABS(2-$HE22)*1000+60)),IF($HG22=0,999999,IF(2=$HH22,IF(30=$HN22,IF($JE22=2,30,0),IF(30=$HO22,IF($JE22=1,30,0),ABS(6-$HI22)*100)),100000+ABS(2-$HH22)*1000+60)))-IF((30=$HJ22)+(30=$HK22)+(30=$HL22)+(30=$HM22)+(30=$HN22)+(30=$HO22)&gt;=2,50,0))+AG$5*50)</f>
        <v/>
      </c>
      <c r="AH142">
        <f>IF(OR($JF22=0,calcA!$A$6=0),0,IF(OR(31=$HA22,31=$HD22,31=$HG22),200000,MIN(IF($HA22=0,999999,IF(2=$HB22,IF(31=$HJ22,IF($JC22=2,30,0),IF(31=$HK22,IF($JC22=1,30,0),ABS(7-$HC22)*100)),100000+ABS(2-$HB22)*1000+70)),IF($HD22=0,999999,IF(2=$HE22,IF(31=$HL22,IF($JD22=2,30,0),IF(31=$HM22,IF($JD22=1,30,0),ABS(7-$HF22)*100)),100000+ABS(2-$HE22)*1000+70)),IF($HG22=0,999999,IF(2=$HH22,IF(31=$HN22,IF($JE22=2,30,0),IF(31=$HO22,IF($JE22=1,30,0),ABS(7-$HI22)*100)),100000+ABS(2-$HH22)*1000+70)))-IF((31=$HJ22)+(31=$HK22)+(31=$HL22)+(31=$HM22)+(31=$HN22)+(31=$HO22)&gt;=2,50,0))+AH$5*50)</f>
        <v/>
      </c>
      <c r="AI142">
        <f>IF(OR($JF22=0,calcA!$A$6=0),0,IF(OR(32=$HA22,32=$HD22,32=$HG22),200000,MIN(IF($HA22=0,999999,IF(2=$HB22,IF(32=$HJ22,IF($JC22=2,30,0),IF(32=$HK22,IF($JC22=1,30,0),ABS(8-$HC22)*100)),100000+ABS(2-$HB22)*1000+80)),IF($HD22=0,999999,IF(2=$HE22,IF(32=$HL22,IF($JD22=2,30,0),IF(32=$HM22,IF($JD22=1,30,0),ABS(8-$HF22)*100)),100000+ABS(2-$HE22)*1000+80)),IF($HG22=0,999999,IF(2=$HH22,IF(32=$HN22,IF($JE22=2,30,0),IF(32=$HO22,IF($JE22=1,30,0),ABS(8-$HI22)*100)),100000+ABS(2-$HH22)*1000+80)))-IF((32=$HJ22)+(32=$HK22)+(32=$HL22)+(32=$HM22)+(32=$HN22)+(32=$HO22)&gt;=2,50,0))+AI$5*50)</f>
        <v/>
      </c>
      <c r="AJ142">
        <f>IF(OR($JF22=0,calcA!$A$6=0),0,IF(OR(33=$HA22,33=$HD22,33=$HG22),200000,MIN(IF($HA22=0,999999,IF(2=$HB22,IF(33=$HJ22,IF($JC22=2,30,0),IF(33=$HK22,IF($JC22=1,30,0),ABS(9-$HC22)*100)),100000+ABS(2-$HB22)*1000+90)),IF($HD22=0,999999,IF(2=$HE22,IF(33=$HL22,IF($JD22=2,30,0),IF(33=$HM22,IF($JD22=1,30,0),ABS(9-$HF22)*100)),100000+ABS(2-$HE22)*1000+90)),IF($HG22=0,999999,IF(2=$HH22,IF(33=$HN22,IF($JE22=2,30,0),IF(33=$HO22,IF($JE22=1,30,0),ABS(9-$HI22)*100)),100000+ABS(2-$HH22)*1000+90)))-IF((33=$HJ22)+(33=$HK22)+(33=$HL22)+(33=$HM22)+(33=$HN22)+(33=$HO22)&gt;=2,50,0))+AJ$5*50)</f>
        <v/>
      </c>
      <c r="AK142">
        <f>IF(OR($JF22=0,calcA!$A$6=0),0,IF(OR(34=$HA22,34=$HD22,34=$HG22),200000,MIN(IF($HA22=0,999999,IF(2=$HB22,IF(34=$HJ22,IF($JC22=2,30,0),IF(34=$HK22,IF($JC22=1,30,0),ABS(10-$HC22)*100)),100000+ABS(2-$HB22)*1000+100)),IF($HD22=0,999999,IF(2=$HE22,IF(34=$HL22,IF($JD22=2,30,0),IF(34=$HM22,IF($JD22=1,30,0),ABS(10-$HF22)*100)),100000+ABS(2-$HE22)*1000+100)),IF($HG22=0,999999,IF(2=$HH22,IF(34=$HN22,IF($JE22=2,30,0),IF(34=$HO22,IF($JE22=1,30,0),ABS(10-$HI22)*100)),100000+ABS(2-$HH22)*1000+100)))-IF((34=$HJ22)+(34=$HK22)+(34=$HL22)+(34=$HM22)+(34=$HN22)+(34=$HO22)&gt;=2,50,0))+AK$5*50)</f>
        <v/>
      </c>
      <c r="AL142">
        <f>IF(OR($JF22=0,calcA!$A$6=0),0,IF(OR(35=$HA22,35=$HD22,35=$HG22),200000,MIN(IF($HA22=0,999999,IF(2=$HB22,IF(35=$HJ22,IF($JC22=2,30,0),IF(35=$HK22,IF($JC22=1,30,0),ABS(11-$HC22)*100)),100000+ABS(2-$HB22)*1000+110)),IF($HD22=0,999999,IF(2=$HE22,IF(35=$HL22,IF($JD22=2,30,0),IF(35=$HM22,IF($JD22=1,30,0),ABS(11-$HF22)*100)),100000+ABS(2-$HE22)*1000+110)),IF($HG22=0,999999,IF(2=$HH22,IF(35=$HN22,IF($JE22=2,30,0),IF(35=$HO22,IF($JE22=1,30,0),ABS(11-$HI22)*100)),100000+ABS(2-$HH22)*1000+110)))-IF((35=$HJ22)+(35=$HK22)+(35=$HL22)+(35=$HM22)+(35=$HN22)+(35=$HO22)&gt;=2,50,0))+AL$5*50)</f>
        <v/>
      </c>
      <c r="AM142">
        <f>IF(OR($JF22=0,calcA!$A$6=0),0,IF(OR(36=$HA22,36=$HD22,36=$HG22),200000,MIN(IF($HA22=0,999999,IF(2=$HB22,IF(36=$HJ22,IF($JC22=2,30,0),IF(36=$HK22,IF($JC22=1,30,0),ABS(12-$HC22)*100)),100000+ABS(2-$HB22)*1000+120)),IF($HD22=0,999999,IF(2=$HE22,IF(36=$HL22,IF($JD22=2,30,0),IF(36=$HM22,IF($JD22=1,30,0),ABS(12-$HF22)*100)),100000+ABS(2-$HE22)*1000+120)),IF($HG22=0,999999,IF(2=$HH22,IF(36=$HN22,IF($JE22=2,30,0),IF(36=$HO22,IF($JE22=1,30,0),ABS(12-$HI22)*100)),100000+ABS(2-$HH22)*1000+120)))-IF((36=$HJ22)+(36=$HK22)+(36=$HL22)+(36=$HM22)+(36=$HN22)+(36=$HO22)&gt;=2,50,0))+AM$5*50)</f>
        <v/>
      </c>
      <c r="AN142">
        <f>IF(OR($JF22=0,calcA!$A$6=0),0,IF(OR(37=$HA22,37=$HD22,37=$HG22),200000,MIN(IF($HA22=0,999999,IF(2=$HB22,IF(37=$HJ22,IF($JC22=2,30,0),IF(37=$HK22,IF($JC22=1,30,0),ABS(13-$HC22)*100)),100000+ABS(2-$HB22)*1000+130)),IF($HD22=0,999999,IF(2=$HE22,IF(37=$HL22,IF($JD22=2,30,0),IF(37=$HM22,IF($JD22=1,30,0),ABS(13-$HF22)*100)),100000+ABS(2-$HE22)*1000+130)),IF($HG22=0,999999,IF(2=$HH22,IF(37=$HN22,IF($JE22=2,30,0),IF(37=$HO22,IF($JE22=1,30,0),ABS(13-$HI22)*100)),100000+ABS(2-$HH22)*1000+130)))-IF((37=$HJ22)+(37=$HK22)+(37=$HL22)+(37=$HM22)+(37=$HN22)+(37=$HO22)&gt;=2,50,0))+AN$5*50)</f>
        <v/>
      </c>
      <c r="AO142">
        <f>IF(OR($JF22=0,calcA!$A$6=0),0,IF(OR(38=$HA22,38=$HD22,38=$HG22),200000,MIN(IF($HA22=0,999999,IF(2=$HB22,IF(38=$HJ22,IF($JC22=2,30,0),IF(38=$HK22,IF($JC22=1,30,0),ABS(14-$HC22)*100)),100000+ABS(2-$HB22)*1000+140)),IF($HD22=0,999999,IF(2=$HE22,IF(38=$HL22,IF($JD22=2,30,0),IF(38=$HM22,IF($JD22=1,30,0),ABS(14-$HF22)*100)),100000+ABS(2-$HE22)*1000+140)),IF($HG22=0,999999,IF(2=$HH22,IF(38=$HN22,IF($JE22=2,30,0),IF(38=$HO22,IF($JE22=1,30,0),ABS(14-$HI22)*100)),100000+ABS(2-$HH22)*1000+140)))-IF((38=$HJ22)+(38=$HK22)+(38=$HL22)+(38=$HM22)+(38=$HN22)+(38=$HO22)&gt;=2,50,0))+AO$5*50)</f>
        <v/>
      </c>
      <c r="AP142">
        <f>IF(OR($JF22=0,calcA!$A$6=0),0,IF(OR(39=$HA22,39=$HD22,39=$HG22),200000,MIN(IF($HA22=0,999999,IF(2=$HB22,IF(39=$HJ22,IF($JC22=2,30,0),IF(39=$HK22,IF($JC22=1,30,0),ABS(15-$HC22)*100)),100000+ABS(2-$HB22)*1000+150)),IF($HD22=0,999999,IF(2=$HE22,IF(39=$HL22,IF($JD22=2,30,0),IF(39=$HM22,IF($JD22=1,30,0),ABS(15-$HF22)*100)),100000+ABS(2-$HE22)*1000+150)),IF($HG22=0,999999,IF(2=$HH22,IF(39=$HN22,IF($JE22=2,30,0),IF(39=$HO22,IF($JE22=1,30,0),ABS(15-$HI22)*100)),100000+ABS(2-$HH22)*1000+150)))-IF((39=$HJ22)+(39=$HK22)+(39=$HL22)+(39=$HM22)+(39=$HN22)+(39=$HO22)&gt;=2,50,0))+AP$5*50)</f>
        <v/>
      </c>
      <c r="AQ142">
        <f>IF(OR($JF22=0,calcA!$A$6=0),0,IF(OR(40=$HA22,40=$HD22,40=$HG22),200000,MIN(IF($HA22=0,999999,IF(2=$HB22,IF(40=$HJ22,IF($JC22=2,30,0),IF(40=$HK22,IF($JC22=1,30,0),ABS(16-$HC22)*100)),100000+ABS(2-$HB22)*1000+160)),IF($HD22=0,999999,IF(2=$HE22,IF(40=$HL22,IF($JD22=2,30,0),IF(40=$HM22,IF($JD22=1,30,0),ABS(16-$HF22)*100)),100000+ABS(2-$HE22)*1000+160)),IF($HG22=0,999999,IF(2=$HH22,IF(40=$HN22,IF($JE22=2,30,0),IF(40=$HO22,IF($JE22=1,30,0),ABS(16-$HI22)*100)),100000+ABS(2-$HH22)*1000+160)))-IF((40=$HJ22)+(40=$HK22)+(40=$HL22)+(40=$HM22)+(40=$HN22)+(40=$HO22)&gt;=2,50,0))+AQ$5*50)</f>
        <v/>
      </c>
      <c r="AR142">
        <f>IF(OR($JF22=0,calcA!$A$6=0),0,IF(OR(41=$HA22,41=$HD22,41=$HG22),200000,MIN(IF($HA22=0,999999,IF(2=$HB22,IF(41=$HJ22,IF($JC22=2,30,0),IF(41=$HK22,IF($JC22=1,30,0),ABS(17-$HC22)*100)),100000+ABS(2-$HB22)*1000+170)),IF($HD22=0,999999,IF(2=$HE22,IF(41=$HL22,IF($JD22=2,30,0),IF(41=$HM22,IF($JD22=1,30,0),ABS(17-$HF22)*100)),100000+ABS(2-$HE22)*1000+170)),IF($HG22=0,999999,IF(2=$HH22,IF(41=$HN22,IF($JE22=2,30,0),IF(41=$HO22,IF($JE22=1,30,0),ABS(17-$HI22)*100)),100000+ABS(2-$HH22)*1000+170)))-IF((41=$HJ22)+(41=$HK22)+(41=$HL22)+(41=$HM22)+(41=$HN22)+(41=$HO22)&gt;=2,50,0))+AR$5*50)</f>
        <v/>
      </c>
      <c r="AS142">
        <f>IF(OR($JF22=0,calcA!$A$6=0),0,IF(OR(42=$HA22,42=$HD22,42=$HG22),200000,MIN(IF($HA22=0,999999,IF(2=$HB22,IF(42=$HJ22,IF($JC22=2,30,0),IF(42=$HK22,IF($JC22=1,30,0),ABS(18-$HC22)*100)),100000+ABS(2-$HB22)*1000+180)),IF($HD22=0,999999,IF(2=$HE22,IF(42=$HL22,IF($JD22=2,30,0),IF(42=$HM22,IF($JD22=1,30,0),ABS(18-$HF22)*100)),100000+ABS(2-$HE22)*1000+180)),IF($HG22=0,999999,IF(2=$HH22,IF(42=$HN22,IF($JE22=2,30,0),IF(42=$HO22,IF($JE22=1,30,0),ABS(18-$HI22)*100)),100000+ABS(2-$HH22)*1000+180)))-IF((42=$HJ22)+(42=$HK22)+(42=$HL22)+(42=$HM22)+(42=$HN22)+(42=$HO22)&gt;=2,50,0))+AS$5*50)</f>
        <v/>
      </c>
      <c r="AT142">
        <f>IF(OR($JF22=0,calcA!$A$6=0),0,IF(OR(43=$HA22,43=$HD22,43=$HG22),200000,MIN(IF($HA22=0,999999,IF(2=$HB22,IF(43=$HJ22,IF($JC22=2,30,0),IF(43=$HK22,IF($JC22=1,30,0),ABS(19-$HC22)*100)),100000+ABS(2-$HB22)*1000+190)),IF($HD22=0,999999,IF(2=$HE22,IF(43=$HL22,IF($JD22=2,30,0),IF(43=$HM22,IF($JD22=1,30,0),ABS(19-$HF22)*100)),100000+ABS(2-$HE22)*1000+190)),IF($HG22=0,999999,IF(2=$HH22,IF(43=$HN22,IF($JE22=2,30,0),IF(43=$HO22,IF($JE22=1,30,0),ABS(19-$HI22)*100)),100000+ABS(2-$HH22)*1000+190)))-IF((43=$HJ22)+(43=$HK22)+(43=$HL22)+(43=$HM22)+(43=$HN22)+(43=$HO22)&gt;=2,50,0))+AT$5*50)</f>
        <v/>
      </c>
      <c r="AU142">
        <f>IF(OR($JF22=0,calcA!$A$6=0),0,IF(OR(44=$HA22,44=$HD22,44=$HG22),200000,MIN(IF($HA22=0,999999,IF(2=$HB22,IF(44=$HJ22,IF($JC22=2,30,0),IF(44=$HK22,IF($JC22=1,30,0),ABS(20-$HC22)*100)),100000+ABS(2-$HB22)*1000+200)),IF($HD22=0,999999,IF(2=$HE22,IF(44=$HL22,IF($JD22=2,30,0),IF(44=$HM22,IF($JD22=1,30,0),ABS(20-$HF22)*100)),100000+ABS(2-$HE22)*1000+200)),IF($HG22=0,999999,IF(2=$HH22,IF(44=$HN22,IF($JE22=2,30,0),IF(44=$HO22,IF($JE22=1,30,0),ABS(20-$HI22)*100)),100000+ABS(2-$HH22)*1000+200)))-IF((44=$HJ22)+(44=$HK22)+(44=$HL22)+(44=$HM22)+(44=$HN22)+(44=$HO22)&gt;=2,50,0))+AU$5*50)</f>
        <v/>
      </c>
      <c r="AV142">
        <f>IF(OR($JF22=0,calcA!$A$6=0),0,IF(OR(45=$HA22,45=$HD22,45=$HG22),200000,MIN(IF($HA22=0,999999,IF(2=$HB22,IF(45=$HJ22,IF($JC22=2,30,0),IF(45=$HK22,IF($JC22=1,30,0),ABS(21-$HC22)*100)),100000+ABS(2-$HB22)*1000+210)),IF($HD22=0,999999,IF(2=$HE22,IF(45=$HL22,IF($JD22=2,30,0),IF(45=$HM22,IF($JD22=1,30,0),ABS(21-$HF22)*100)),100000+ABS(2-$HE22)*1000+210)),IF($HG22=0,999999,IF(2=$HH22,IF(45=$HN22,IF($JE22=2,30,0),IF(45=$HO22,IF($JE22=1,30,0),ABS(21-$HI22)*100)),100000+ABS(2-$HH22)*1000+210)))-IF((45=$HJ22)+(45=$HK22)+(45=$HL22)+(45=$HM22)+(45=$HN22)+(45=$HO22)&gt;=2,50,0))+AV$5*50)</f>
        <v/>
      </c>
      <c r="AW142">
        <f>IF(OR($JF22=0,calcA!$A$6=0),0,IF(OR(46=$HA22,46=$HD22,46=$HG22),200000,MIN(IF($HA22=0,999999,IF(2=$HB22,IF(46=$HJ22,IF($JC22=2,30,0),IF(46=$HK22,IF($JC22=1,30,0),ABS(22-$HC22)*100)),100000+ABS(2-$HB22)*1000+220)),IF($HD22=0,999999,IF(2=$HE22,IF(46=$HL22,IF($JD22=2,30,0),IF(46=$HM22,IF($JD22=1,30,0),ABS(22-$HF22)*100)),100000+ABS(2-$HE22)*1000+220)),IF($HG22=0,999999,IF(2=$HH22,IF(46=$HN22,IF($JE22=2,30,0),IF(46=$HO22,IF($JE22=1,30,0),ABS(22-$HI22)*100)),100000+ABS(2-$HH22)*1000+220)))-IF((46=$HJ22)+(46=$HK22)+(46=$HL22)+(46=$HM22)+(46=$HN22)+(46=$HO22)&gt;=2,50,0))+AW$5*50)</f>
        <v/>
      </c>
      <c r="AX142">
        <f>IF(OR($JF22=0,calcA!$A$6=0),0,IF(OR(47=$HA22,47=$HD22,47=$HG22),200000,MIN(IF($HA22=0,999999,IF(2=$HB22,IF(47=$HJ22,IF($JC22=2,30,0),IF(47=$HK22,IF($JC22=1,30,0),ABS(23-$HC22)*100)),100000+ABS(2-$HB22)*1000+230)),IF($HD22=0,999999,IF(2=$HE22,IF(47=$HL22,IF($JD22=2,30,0),IF(47=$HM22,IF($JD22=1,30,0),ABS(23-$HF22)*100)),100000+ABS(2-$HE22)*1000+230)),IF($HG22=0,999999,IF(2=$HH22,IF(47=$HN22,IF($JE22=2,30,0),IF(47=$HO22,IF($JE22=1,30,0),ABS(23-$HI22)*100)),100000+ABS(2-$HH22)*1000+230)))-IF((47=$HJ22)+(47=$HK22)+(47=$HL22)+(47=$HM22)+(47=$HN22)+(47=$HO22)&gt;=2,50,0))+AX$5*50)</f>
        <v/>
      </c>
      <c r="AY142">
        <f>IF(OR($JF22=0,calcA!$A$6=0),0,IF(OR(48=$HA22,48=$HD22,48=$HG22),200000,MIN(IF($HA22=0,999999,IF(2=$HB22,IF(48=$HJ22,IF($JC22=2,30,0),IF(48=$HK22,IF($JC22=1,30,0),ABS(24-$HC22)*100)),100000+ABS(2-$HB22)*1000+240)),IF($HD22=0,999999,IF(2=$HE22,IF(48=$HL22,IF($JD22=2,30,0),IF(48=$HM22,IF($JD22=1,30,0),ABS(24-$HF22)*100)),100000+ABS(2-$HE22)*1000+240)),IF($HG22=0,999999,IF(2=$HH22,IF(48=$HN22,IF($JE22=2,30,0),IF(48=$HO22,IF($JE22=1,30,0),ABS(24-$HI22)*100)),100000+ABS(2-$HH22)*1000+240)))-IF((48=$HJ22)+(48=$HK22)+(48=$HL22)+(48=$HM22)+(48=$HN22)+(48=$HO22)&gt;=2,50,0))+AY$5*50)</f>
        <v/>
      </c>
      <c r="AZ142">
        <f>IF(OR($JF22=0,calcA!$A$6=0),0,IF(OR(49=$HA22,49=$HD22,49=$HG22),200000,MIN(IF($HA22=0,999999,IF(3=$HB22,IF(49=$HJ22,IF($JC22=2,30,0),IF(49=$HK22,IF($JC22=1,30,0),ABS(1-$HC22)*100)),100000+ABS(3-$HB22)*1000+10)),IF($HD22=0,999999,IF(3=$HE22,IF(49=$HL22,IF($JD22=2,30,0),IF(49=$HM22,IF($JD22=1,30,0),ABS(1-$HF22)*100)),100000+ABS(3-$HE22)*1000+10)),IF($HG22=0,999999,IF(3=$HH22,IF(49=$HN22,IF($JE22=2,30,0),IF(49=$HO22,IF($JE22=1,30,0),ABS(1-$HI22)*100)),100000+ABS(3-$HH22)*1000+10)))-IF((49=$HJ22)+(49=$HK22)+(49=$HL22)+(49=$HM22)+(49=$HN22)+(49=$HO22)&gt;=2,50,0))+AZ$5*50)</f>
        <v/>
      </c>
      <c r="BA142">
        <f>IF(OR($JF22=0,calcA!$A$6=0),0,IF(OR(50=$HA22,50=$HD22,50=$HG22),200000,MIN(IF($HA22=0,999999,IF(3=$HB22,IF(50=$HJ22,IF($JC22=2,30,0),IF(50=$HK22,IF($JC22=1,30,0),ABS(2-$HC22)*100)),100000+ABS(3-$HB22)*1000+20)),IF($HD22=0,999999,IF(3=$HE22,IF(50=$HL22,IF($JD22=2,30,0),IF(50=$HM22,IF($JD22=1,30,0),ABS(2-$HF22)*100)),100000+ABS(3-$HE22)*1000+20)),IF($HG22=0,999999,IF(3=$HH22,IF(50=$HN22,IF($JE22=2,30,0),IF(50=$HO22,IF($JE22=1,30,0),ABS(2-$HI22)*100)),100000+ABS(3-$HH22)*1000+20)))-IF((50=$HJ22)+(50=$HK22)+(50=$HL22)+(50=$HM22)+(50=$HN22)+(50=$HO22)&gt;=2,50,0))+BA$5*50)</f>
        <v/>
      </c>
      <c r="BB142">
        <f>IF(OR($JF22=0,calcA!$A$6=0),0,IF(OR(51=$HA22,51=$HD22,51=$HG22),200000,MIN(IF($HA22=0,999999,IF(3=$HB22,IF(51=$HJ22,IF($JC22=2,30,0),IF(51=$HK22,IF($JC22=1,30,0),ABS(3-$HC22)*100)),100000+ABS(3-$HB22)*1000+30)),IF($HD22=0,999999,IF(3=$HE22,IF(51=$HL22,IF($JD22=2,30,0),IF(51=$HM22,IF($JD22=1,30,0),ABS(3-$HF22)*100)),100000+ABS(3-$HE22)*1000+30)),IF($HG22=0,999999,IF(3=$HH22,IF(51=$HN22,IF($JE22=2,30,0),IF(51=$HO22,IF($JE22=1,30,0),ABS(3-$HI22)*100)),100000+ABS(3-$HH22)*1000+30)))-IF((51=$HJ22)+(51=$HK22)+(51=$HL22)+(51=$HM22)+(51=$HN22)+(51=$HO22)&gt;=2,50,0))+BB$5*50)</f>
        <v/>
      </c>
      <c r="BC142">
        <f>IF(OR($JF22=0,calcA!$A$6=0),0,IF(OR(52=$HA22,52=$HD22,52=$HG22),200000,MIN(IF($HA22=0,999999,IF(3=$HB22,IF(52=$HJ22,IF($JC22=2,30,0),IF(52=$HK22,IF($JC22=1,30,0),ABS(4-$HC22)*100)),100000+ABS(3-$HB22)*1000+40)),IF($HD22=0,999999,IF(3=$HE22,IF(52=$HL22,IF($JD22=2,30,0),IF(52=$HM22,IF($JD22=1,30,0),ABS(4-$HF22)*100)),100000+ABS(3-$HE22)*1000+40)),IF($HG22=0,999999,IF(3=$HH22,IF(52=$HN22,IF($JE22=2,30,0),IF(52=$HO22,IF($JE22=1,30,0),ABS(4-$HI22)*100)),100000+ABS(3-$HH22)*1000+40)))-IF((52=$HJ22)+(52=$HK22)+(52=$HL22)+(52=$HM22)+(52=$HN22)+(52=$HO22)&gt;=2,50,0))+BC$5*50)</f>
        <v/>
      </c>
      <c r="BD142">
        <f>IF(OR($JF22=0,calcA!$A$6=0),0,IF(OR(53=$HA22,53=$HD22,53=$HG22),200000,MIN(IF($HA22=0,999999,IF(3=$HB22,IF(53=$HJ22,IF($JC22=2,30,0),IF(53=$HK22,IF($JC22=1,30,0),ABS(5-$HC22)*100)),100000+ABS(3-$HB22)*1000+50)),IF($HD22=0,999999,IF(3=$HE22,IF(53=$HL22,IF($JD22=2,30,0),IF(53=$HM22,IF($JD22=1,30,0),ABS(5-$HF22)*100)),100000+ABS(3-$HE22)*1000+50)),IF($HG22=0,999999,IF(3=$HH22,IF(53=$HN22,IF($JE22=2,30,0),IF(53=$HO22,IF($JE22=1,30,0),ABS(5-$HI22)*100)),100000+ABS(3-$HH22)*1000+50)))-IF((53=$HJ22)+(53=$HK22)+(53=$HL22)+(53=$HM22)+(53=$HN22)+(53=$HO22)&gt;=2,50,0))+BD$5*50)</f>
        <v/>
      </c>
      <c r="BE142">
        <f>IF(OR($JF22=0,calcA!$A$6=0),0,IF(OR(54=$HA22,54=$HD22,54=$HG22),200000,MIN(IF($HA22=0,999999,IF(3=$HB22,IF(54=$HJ22,IF($JC22=2,30,0),IF(54=$HK22,IF($JC22=1,30,0),ABS(6-$HC22)*100)),100000+ABS(3-$HB22)*1000+60)),IF($HD22=0,999999,IF(3=$HE22,IF(54=$HL22,IF($JD22=2,30,0),IF(54=$HM22,IF($JD22=1,30,0),ABS(6-$HF22)*100)),100000+ABS(3-$HE22)*1000+60)),IF($HG22=0,999999,IF(3=$HH22,IF(54=$HN22,IF($JE22=2,30,0),IF(54=$HO22,IF($JE22=1,30,0),ABS(6-$HI22)*100)),100000+ABS(3-$HH22)*1000+60)))-IF((54=$HJ22)+(54=$HK22)+(54=$HL22)+(54=$HM22)+(54=$HN22)+(54=$HO22)&gt;=2,50,0))+BE$5*50)</f>
        <v/>
      </c>
      <c r="BF142">
        <f>IF(OR($JF22=0,calcA!$A$6=0),0,IF(OR(55=$HA22,55=$HD22,55=$HG22),200000,MIN(IF($HA22=0,999999,IF(3=$HB22,IF(55=$HJ22,IF($JC22=2,30,0),IF(55=$HK22,IF($JC22=1,30,0),ABS(7-$HC22)*100)),100000+ABS(3-$HB22)*1000+70)),IF($HD22=0,999999,IF(3=$HE22,IF(55=$HL22,IF($JD22=2,30,0),IF(55=$HM22,IF($JD22=1,30,0),ABS(7-$HF22)*100)),100000+ABS(3-$HE22)*1000+70)),IF($HG22=0,999999,IF(3=$HH22,IF(55=$HN22,IF($JE22=2,30,0),IF(55=$HO22,IF($JE22=1,30,0),ABS(7-$HI22)*100)),100000+ABS(3-$HH22)*1000+70)))-IF((55=$HJ22)+(55=$HK22)+(55=$HL22)+(55=$HM22)+(55=$HN22)+(55=$HO22)&gt;=2,50,0))+BF$5*50)</f>
        <v/>
      </c>
      <c r="BG142">
        <f>IF(OR($JF22=0,calcA!$A$6=0),0,IF(OR(56=$HA22,56=$HD22,56=$HG22),200000,MIN(IF($HA22=0,999999,IF(3=$HB22,IF(56=$HJ22,IF($JC22=2,30,0),IF(56=$HK22,IF($JC22=1,30,0),ABS(8-$HC22)*100)),100000+ABS(3-$HB22)*1000+80)),IF($HD22=0,999999,IF(3=$HE22,IF(56=$HL22,IF($JD22=2,30,0),IF(56=$HM22,IF($JD22=1,30,0),ABS(8-$HF22)*100)),100000+ABS(3-$HE22)*1000+80)),IF($HG22=0,999999,IF(3=$HH22,IF(56=$HN22,IF($JE22=2,30,0),IF(56=$HO22,IF($JE22=1,30,0),ABS(8-$HI22)*100)),100000+ABS(3-$HH22)*1000+80)))-IF((56=$HJ22)+(56=$HK22)+(56=$HL22)+(56=$HM22)+(56=$HN22)+(56=$HO22)&gt;=2,50,0))+BG$5*50)</f>
        <v/>
      </c>
      <c r="BH142">
        <f>IF(OR($JF22=0,calcA!$A$6=0),0,IF(OR(57=$HA22,57=$HD22,57=$HG22),200000,MIN(IF($HA22=0,999999,IF(3=$HB22,IF(57=$HJ22,IF($JC22=2,30,0),IF(57=$HK22,IF($JC22=1,30,0),ABS(9-$HC22)*100)),100000+ABS(3-$HB22)*1000+90)),IF($HD22=0,999999,IF(3=$HE22,IF(57=$HL22,IF($JD22=2,30,0),IF(57=$HM22,IF($JD22=1,30,0),ABS(9-$HF22)*100)),100000+ABS(3-$HE22)*1000+90)),IF($HG22=0,999999,IF(3=$HH22,IF(57=$HN22,IF($JE22=2,30,0),IF(57=$HO22,IF($JE22=1,30,0),ABS(9-$HI22)*100)),100000+ABS(3-$HH22)*1000+90)))-IF((57=$HJ22)+(57=$HK22)+(57=$HL22)+(57=$HM22)+(57=$HN22)+(57=$HO22)&gt;=2,50,0))+BH$5*50)</f>
        <v/>
      </c>
      <c r="BI142">
        <f>IF(OR($JF22=0,calcA!$A$6=0),0,IF(OR(58=$HA22,58=$HD22,58=$HG22),200000,MIN(IF($HA22=0,999999,IF(3=$HB22,IF(58=$HJ22,IF($JC22=2,30,0),IF(58=$HK22,IF($JC22=1,30,0),ABS(10-$HC22)*100)),100000+ABS(3-$HB22)*1000+100)),IF($HD22=0,999999,IF(3=$HE22,IF(58=$HL22,IF($JD22=2,30,0),IF(58=$HM22,IF($JD22=1,30,0),ABS(10-$HF22)*100)),100000+ABS(3-$HE22)*1000+100)),IF($HG22=0,999999,IF(3=$HH22,IF(58=$HN22,IF($JE22=2,30,0),IF(58=$HO22,IF($JE22=1,30,0),ABS(10-$HI22)*100)),100000+ABS(3-$HH22)*1000+100)))-IF((58=$HJ22)+(58=$HK22)+(58=$HL22)+(58=$HM22)+(58=$HN22)+(58=$HO22)&gt;=2,50,0))+BI$5*50)</f>
        <v/>
      </c>
      <c r="BJ142">
        <f>IF(OR($JF22=0,calcA!$A$6=0),0,IF(OR(59=$HA22,59=$HD22,59=$HG22),200000,MIN(IF($HA22=0,999999,IF(3=$HB22,IF(59=$HJ22,IF($JC22=2,30,0),IF(59=$HK22,IF($JC22=1,30,0),ABS(11-$HC22)*100)),100000+ABS(3-$HB22)*1000+110)),IF($HD22=0,999999,IF(3=$HE22,IF(59=$HL22,IF($JD22=2,30,0),IF(59=$HM22,IF($JD22=1,30,0),ABS(11-$HF22)*100)),100000+ABS(3-$HE22)*1000+110)),IF($HG22=0,999999,IF(3=$HH22,IF(59=$HN22,IF($JE22=2,30,0),IF(59=$HO22,IF($JE22=1,30,0),ABS(11-$HI22)*100)),100000+ABS(3-$HH22)*1000+110)))-IF((59=$HJ22)+(59=$HK22)+(59=$HL22)+(59=$HM22)+(59=$HN22)+(59=$HO22)&gt;=2,50,0))+BJ$5*50)</f>
        <v/>
      </c>
      <c r="BK142">
        <f>IF(OR($JF22=0,calcA!$A$6=0),0,IF(OR(60=$HA22,60=$HD22,60=$HG22),200000,MIN(IF($HA22=0,999999,IF(3=$HB22,IF(60=$HJ22,IF($JC22=2,30,0),IF(60=$HK22,IF($JC22=1,30,0),ABS(12-$HC22)*100)),100000+ABS(3-$HB22)*1000+120)),IF($HD22=0,999999,IF(3=$HE22,IF(60=$HL22,IF($JD22=2,30,0),IF(60=$HM22,IF($JD22=1,30,0),ABS(12-$HF22)*100)),100000+ABS(3-$HE22)*1000+120)),IF($HG22=0,999999,IF(3=$HH22,IF(60=$HN22,IF($JE22=2,30,0),IF(60=$HO22,IF($JE22=1,30,0),ABS(12-$HI22)*100)),100000+ABS(3-$HH22)*1000+120)))-IF((60=$HJ22)+(60=$HK22)+(60=$HL22)+(60=$HM22)+(60=$HN22)+(60=$HO22)&gt;=2,50,0))+BK$5*50)</f>
        <v/>
      </c>
      <c r="BL142">
        <f>IF(OR($JF22=0,calcA!$A$6=0),0,IF(OR(61=$HA22,61=$HD22,61=$HG22),200000,MIN(IF($HA22=0,999999,IF(3=$HB22,IF(61=$HJ22,IF($JC22=2,30,0),IF(61=$HK22,IF($JC22=1,30,0),ABS(13-$HC22)*100)),100000+ABS(3-$HB22)*1000+130)),IF($HD22=0,999999,IF(3=$HE22,IF(61=$HL22,IF($JD22=2,30,0),IF(61=$HM22,IF($JD22=1,30,0),ABS(13-$HF22)*100)),100000+ABS(3-$HE22)*1000+130)),IF($HG22=0,999999,IF(3=$HH22,IF(61=$HN22,IF($JE22=2,30,0),IF(61=$HO22,IF($JE22=1,30,0),ABS(13-$HI22)*100)),100000+ABS(3-$HH22)*1000+130)))-IF((61=$HJ22)+(61=$HK22)+(61=$HL22)+(61=$HM22)+(61=$HN22)+(61=$HO22)&gt;=2,50,0))+BL$5*50)</f>
        <v/>
      </c>
      <c r="BM142">
        <f>IF(OR($JF22=0,calcA!$A$6=0),0,IF(OR(62=$HA22,62=$HD22,62=$HG22),200000,MIN(IF($HA22=0,999999,IF(3=$HB22,IF(62=$HJ22,IF($JC22=2,30,0),IF(62=$HK22,IF($JC22=1,30,0),ABS(14-$HC22)*100)),100000+ABS(3-$HB22)*1000+140)),IF($HD22=0,999999,IF(3=$HE22,IF(62=$HL22,IF($JD22=2,30,0),IF(62=$HM22,IF($JD22=1,30,0),ABS(14-$HF22)*100)),100000+ABS(3-$HE22)*1000+140)),IF($HG22=0,999999,IF(3=$HH22,IF(62=$HN22,IF($JE22=2,30,0),IF(62=$HO22,IF($JE22=1,30,0),ABS(14-$HI22)*100)),100000+ABS(3-$HH22)*1000+140)))-IF((62=$HJ22)+(62=$HK22)+(62=$HL22)+(62=$HM22)+(62=$HN22)+(62=$HO22)&gt;=2,50,0))+BM$5*50)</f>
        <v/>
      </c>
      <c r="BN142">
        <f>IF(OR($JF22=0,calcA!$A$6=0),0,IF(OR(63=$HA22,63=$HD22,63=$HG22),200000,MIN(IF($HA22=0,999999,IF(3=$HB22,IF(63=$HJ22,IF($JC22=2,30,0),IF(63=$HK22,IF($JC22=1,30,0),ABS(15-$HC22)*100)),100000+ABS(3-$HB22)*1000+150)),IF($HD22=0,999999,IF(3=$HE22,IF(63=$HL22,IF($JD22=2,30,0),IF(63=$HM22,IF($JD22=1,30,0),ABS(15-$HF22)*100)),100000+ABS(3-$HE22)*1000+150)),IF($HG22=0,999999,IF(3=$HH22,IF(63=$HN22,IF($JE22=2,30,0),IF(63=$HO22,IF($JE22=1,30,0),ABS(15-$HI22)*100)),100000+ABS(3-$HH22)*1000+150)))-IF((63=$HJ22)+(63=$HK22)+(63=$HL22)+(63=$HM22)+(63=$HN22)+(63=$HO22)&gt;=2,50,0))+BN$5*50)</f>
        <v/>
      </c>
      <c r="BO142">
        <f>IF(OR($JF22=0,calcA!$A$6=0),0,IF(OR(64=$HA22,64=$HD22,64=$HG22),200000,MIN(IF($HA22=0,999999,IF(3=$HB22,IF(64=$HJ22,IF($JC22=2,30,0),IF(64=$HK22,IF($JC22=1,30,0),ABS(16-$HC22)*100)),100000+ABS(3-$HB22)*1000+160)),IF($HD22=0,999999,IF(3=$HE22,IF(64=$HL22,IF($JD22=2,30,0),IF(64=$HM22,IF($JD22=1,30,0),ABS(16-$HF22)*100)),100000+ABS(3-$HE22)*1000+160)),IF($HG22=0,999999,IF(3=$HH22,IF(64=$HN22,IF($JE22=2,30,0),IF(64=$HO22,IF($JE22=1,30,0),ABS(16-$HI22)*100)),100000+ABS(3-$HH22)*1000+160)))-IF((64=$HJ22)+(64=$HK22)+(64=$HL22)+(64=$HM22)+(64=$HN22)+(64=$HO22)&gt;=2,50,0))+BO$5*50)</f>
        <v/>
      </c>
      <c r="BP142">
        <f>IF(OR($JF22=0,calcA!$A$6=0),0,IF(OR(65=$HA22,65=$HD22,65=$HG22),200000,MIN(IF($HA22=0,999999,IF(3=$HB22,IF(65=$HJ22,IF($JC22=2,30,0),IF(65=$HK22,IF($JC22=1,30,0),ABS(17-$HC22)*100)),100000+ABS(3-$HB22)*1000+170)),IF($HD22=0,999999,IF(3=$HE22,IF(65=$HL22,IF($JD22=2,30,0),IF(65=$HM22,IF($JD22=1,30,0),ABS(17-$HF22)*100)),100000+ABS(3-$HE22)*1000+170)),IF($HG22=0,999999,IF(3=$HH22,IF(65=$HN22,IF($JE22=2,30,0),IF(65=$HO22,IF($JE22=1,30,0),ABS(17-$HI22)*100)),100000+ABS(3-$HH22)*1000+170)))-IF((65=$HJ22)+(65=$HK22)+(65=$HL22)+(65=$HM22)+(65=$HN22)+(65=$HO22)&gt;=2,50,0))+BP$5*50)</f>
        <v/>
      </c>
      <c r="BQ142">
        <f>IF(OR($JF22=0,calcA!$A$6=0),0,IF(OR(66=$HA22,66=$HD22,66=$HG22),200000,MIN(IF($HA22=0,999999,IF(3=$HB22,IF(66=$HJ22,IF($JC22=2,30,0),IF(66=$HK22,IF($JC22=1,30,0),ABS(18-$HC22)*100)),100000+ABS(3-$HB22)*1000+180)),IF($HD22=0,999999,IF(3=$HE22,IF(66=$HL22,IF($JD22=2,30,0),IF(66=$HM22,IF($JD22=1,30,0),ABS(18-$HF22)*100)),100000+ABS(3-$HE22)*1000+180)),IF($HG22=0,999999,IF(3=$HH22,IF(66=$HN22,IF($JE22=2,30,0),IF(66=$HO22,IF($JE22=1,30,0),ABS(18-$HI22)*100)),100000+ABS(3-$HH22)*1000+180)))-IF((66=$HJ22)+(66=$HK22)+(66=$HL22)+(66=$HM22)+(66=$HN22)+(66=$HO22)&gt;=2,50,0))+BQ$5*50)</f>
        <v/>
      </c>
      <c r="BR142">
        <f>IF(OR($JF22=0,calcA!$A$6=0),0,IF(OR(67=$HA22,67=$HD22,67=$HG22),200000,MIN(IF($HA22=0,999999,IF(3=$HB22,IF(67=$HJ22,IF($JC22=2,30,0),IF(67=$HK22,IF($JC22=1,30,0),ABS(19-$HC22)*100)),100000+ABS(3-$HB22)*1000+190)),IF($HD22=0,999999,IF(3=$HE22,IF(67=$HL22,IF($JD22=2,30,0),IF(67=$HM22,IF($JD22=1,30,0),ABS(19-$HF22)*100)),100000+ABS(3-$HE22)*1000+190)),IF($HG22=0,999999,IF(3=$HH22,IF(67=$HN22,IF($JE22=2,30,0),IF(67=$HO22,IF($JE22=1,30,0),ABS(19-$HI22)*100)),100000+ABS(3-$HH22)*1000+190)))-IF((67=$HJ22)+(67=$HK22)+(67=$HL22)+(67=$HM22)+(67=$HN22)+(67=$HO22)&gt;=2,50,0))+BR$5*50)</f>
        <v/>
      </c>
      <c r="BS142">
        <f>IF(OR($JF22=0,calcA!$A$6=0),0,IF(OR(68=$HA22,68=$HD22,68=$HG22),200000,MIN(IF($HA22=0,999999,IF(3=$HB22,IF(68=$HJ22,IF($JC22=2,30,0),IF(68=$HK22,IF($JC22=1,30,0),ABS(20-$HC22)*100)),100000+ABS(3-$HB22)*1000+200)),IF($HD22=0,999999,IF(3=$HE22,IF(68=$HL22,IF($JD22=2,30,0),IF(68=$HM22,IF($JD22=1,30,0),ABS(20-$HF22)*100)),100000+ABS(3-$HE22)*1000+200)),IF($HG22=0,999999,IF(3=$HH22,IF(68=$HN22,IF($JE22=2,30,0),IF(68=$HO22,IF($JE22=1,30,0),ABS(20-$HI22)*100)),100000+ABS(3-$HH22)*1000+200)))-IF((68=$HJ22)+(68=$HK22)+(68=$HL22)+(68=$HM22)+(68=$HN22)+(68=$HO22)&gt;=2,50,0))+BS$5*50)</f>
        <v/>
      </c>
      <c r="BT142">
        <f>IF(OR($JF22=0,calcA!$A$6=0),0,IF(OR(69=$HA22,69=$HD22,69=$HG22),200000,MIN(IF($HA22=0,999999,IF(3=$HB22,IF(69=$HJ22,IF($JC22=2,30,0),IF(69=$HK22,IF($JC22=1,30,0),ABS(21-$HC22)*100)),100000+ABS(3-$HB22)*1000+210)),IF($HD22=0,999999,IF(3=$HE22,IF(69=$HL22,IF($JD22=2,30,0),IF(69=$HM22,IF($JD22=1,30,0),ABS(21-$HF22)*100)),100000+ABS(3-$HE22)*1000+210)),IF($HG22=0,999999,IF(3=$HH22,IF(69=$HN22,IF($JE22=2,30,0),IF(69=$HO22,IF($JE22=1,30,0),ABS(21-$HI22)*100)),100000+ABS(3-$HH22)*1000+210)))-IF((69=$HJ22)+(69=$HK22)+(69=$HL22)+(69=$HM22)+(69=$HN22)+(69=$HO22)&gt;=2,50,0))+BT$5*50)</f>
        <v/>
      </c>
      <c r="BU142">
        <f>IF(OR($JF22=0,calcA!$A$6=0),0,IF(OR(70=$HA22,70=$HD22,70=$HG22),200000,MIN(IF($HA22=0,999999,IF(3=$HB22,IF(70=$HJ22,IF($JC22=2,30,0),IF(70=$HK22,IF($JC22=1,30,0),ABS(22-$HC22)*100)),100000+ABS(3-$HB22)*1000+220)),IF($HD22=0,999999,IF(3=$HE22,IF(70=$HL22,IF($JD22=2,30,0),IF(70=$HM22,IF($JD22=1,30,0),ABS(22-$HF22)*100)),100000+ABS(3-$HE22)*1000+220)),IF($HG22=0,999999,IF(3=$HH22,IF(70=$HN22,IF($JE22=2,30,0),IF(70=$HO22,IF($JE22=1,30,0),ABS(22-$HI22)*100)),100000+ABS(3-$HH22)*1000+220)))-IF((70=$HJ22)+(70=$HK22)+(70=$HL22)+(70=$HM22)+(70=$HN22)+(70=$HO22)&gt;=2,50,0))+BU$5*50)</f>
        <v/>
      </c>
      <c r="BV142">
        <f>IF(OR($JF22=0,calcA!$A$6=0),0,IF(OR(71=$HA22,71=$HD22,71=$HG22),200000,MIN(IF($HA22=0,999999,IF(3=$HB22,IF(71=$HJ22,IF($JC22=2,30,0),IF(71=$HK22,IF($JC22=1,30,0),ABS(23-$HC22)*100)),100000+ABS(3-$HB22)*1000+230)),IF($HD22=0,999999,IF(3=$HE22,IF(71=$HL22,IF($JD22=2,30,0),IF(71=$HM22,IF($JD22=1,30,0),ABS(23-$HF22)*100)),100000+ABS(3-$HE22)*1000+230)),IF($HG22=0,999999,IF(3=$HH22,IF(71=$HN22,IF($JE22=2,30,0),IF(71=$HO22,IF($JE22=1,30,0),ABS(23-$HI22)*100)),100000+ABS(3-$HH22)*1000+230)))-IF((71=$HJ22)+(71=$HK22)+(71=$HL22)+(71=$HM22)+(71=$HN22)+(71=$HO22)&gt;=2,50,0))+BV$5*50)</f>
        <v/>
      </c>
      <c r="BW142">
        <f>IF(OR($JF22=0,calcA!$A$6=0),0,IF(OR(72=$HA22,72=$HD22,72=$HG22),200000,MIN(IF($HA22=0,999999,IF(3=$HB22,IF(72=$HJ22,IF($JC22=2,30,0),IF(72=$HK22,IF($JC22=1,30,0),ABS(24-$HC22)*100)),100000+ABS(3-$HB22)*1000+240)),IF($HD22=0,999999,IF(3=$HE22,IF(72=$HL22,IF($JD22=2,30,0),IF(72=$HM22,IF($JD22=1,30,0),ABS(24-$HF22)*100)),100000+ABS(3-$HE22)*1000+240)),IF($HG22=0,999999,IF(3=$HH22,IF(72=$HN22,IF($JE22=2,30,0),IF(72=$HO22,IF($JE22=1,30,0),ABS(24-$HI22)*100)),100000+ABS(3-$HH22)*1000+240)))-IF((72=$HJ22)+(72=$HK22)+(72=$HL22)+(72=$HM22)+(72=$HN22)+(72=$HO22)&gt;=2,50,0))+BW$5*50)</f>
        <v/>
      </c>
      <c r="BX142">
        <f>IF(OR($JF22=0,calcA!$A$6=0),0,IF(OR(73=$HA22,73=$HD22,73=$HG22),200000,MIN(IF($HA22=0,999999,IF(4=$HB22,IF(73=$HJ22,IF($JC22=2,30,0),IF(73=$HK22,IF($JC22=1,30,0),ABS(1-$HC22)*100)),100000+ABS(4-$HB22)*1000+10)),IF($HD22=0,999999,IF(4=$HE22,IF(73=$HL22,IF($JD22=2,30,0),IF(73=$HM22,IF($JD22=1,30,0),ABS(1-$HF22)*100)),100000+ABS(4-$HE22)*1000+10)),IF($HG22=0,999999,IF(4=$HH22,IF(73=$HN22,IF($JE22=2,30,0),IF(73=$HO22,IF($JE22=1,30,0),ABS(1-$HI22)*100)),100000+ABS(4-$HH22)*1000+10)))-IF((73=$HJ22)+(73=$HK22)+(73=$HL22)+(73=$HM22)+(73=$HN22)+(73=$HO22)&gt;=2,50,0))+BX$5*50)</f>
        <v/>
      </c>
      <c r="BY142">
        <f>IF(OR($JF22=0,calcA!$A$6=0),0,IF(OR(74=$HA22,74=$HD22,74=$HG22),200000,MIN(IF($HA22=0,999999,IF(4=$HB22,IF(74=$HJ22,IF($JC22=2,30,0),IF(74=$HK22,IF($JC22=1,30,0),ABS(2-$HC22)*100)),100000+ABS(4-$HB22)*1000+20)),IF($HD22=0,999999,IF(4=$HE22,IF(74=$HL22,IF($JD22=2,30,0),IF(74=$HM22,IF($JD22=1,30,0),ABS(2-$HF22)*100)),100000+ABS(4-$HE22)*1000+20)),IF($HG22=0,999999,IF(4=$HH22,IF(74=$HN22,IF($JE22=2,30,0),IF(74=$HO22,IF($JE22=1,30,0),ABS(2-$HI22)*100)),100000+ABS(4-$HH22)*1000+20)))-IF((74=$HJ22)+(74=$HK22)+(74=$HL22)+(74=$HM22)+(74=$HN22)+(74=$HO22)&gt;=2,50,0))+BY$5*50)</f>
        <v/>
      </c>
      <c r="BZ142">
        <f>IF(OR($JF22=0,calcA!$A$6=0),0,IF(OR(75=$HA22,75=$HD22,75=$HG22),200000,MIN(IF($HA22=0,999999,IF(4=$HB22,IF(75=$HJ22,IF($JC22=2,30,0),IF(75=$HK22,IF($JC22=1,30,0),ABS(3-$HC22)*100)),100000+ABS(4-$HB22)*1000+30)),IF($HD22=0,999999,IF(4=$HE22,IF(75=$HL22,IF($JD22=2,30,0),IF(75=$HM22,IF($JD22=1,30,0),ABS(3-$HF22)*100)),100000+ABS(4-$HE22)*1000+30)),IF($HG22=0,999999,IF(4=$HH22,IF(75=$HN22,IF($JE22=2,30,0),IF(75=$HO22,IF($JE22=1,30,0),ABS(3-$HI22)*100)),100000+ABS(4-$HH22)*1000+30)))-IF((75=$HJ22)+(75=$HK22)+(75=$HL22)+(75=$HM22)+(75=$HN22)+(75=$HO22)&gt;=2,50,0))+BZ$5*50)</f>
        <v/>
      </c>
      <c r="CA142">
        <f>IF(OR($JF22=0,calcA!$A$6=0),0,IF(OR(76=$HA22,76=$HD22,76=$HG22),200000,MIN(IF($HA22=0,999999,IF(4=$HB22,IF(76=$HJ22,IF($JC22=2,30,0),IF(76=$HK22,IF($JC22=1,30,0),ABS(4-$HC22)*100)),100000+ABS(4-$HB22)*1000+40)),IF($HD22=0,999999,IF(4=$HE22,IF(76=$HL22,IF($JD22=2,30,0),IF(76=$HM22,IF($JD22=1,30,0),ABS(4-$HF22)*100)),100000+ABS(4-$HE22)*1000+40)),IF($HG22=0,999999,IF(4=$HH22,IF(76=$HN22,IF($JE22=2,30,0),IF(76=$HO22,IF($JE22=1,30,0),ABS(4-$HI22)*100)),100000+ABS(4-$HH22)*1000+40)))-IF((76=$HJ22)+(76=$HK22)+(76=$HL22)+(76=$HM22)+(76=$HN22)+(76=$HO22)&gt;=2,50,0))+CA$5*50)</f>
        <v/>
      </c>
      <c r="CB142">
        <f>IF(OR($JF22=0,calcA!$A$6=0),0,IF(OR(77=$HA22,77=$HD22,77=$HG22),200000,MIN(IF($HA22=0,999999,IF(4=$HB22,IF(77=$HJ22,IF($JC22=2,30,0),IF(77=$HK22,IF($JC22=1,30,0),ABS(5-$HC22)*100)),100000+ABS(4-$HB22)*1000+50)),IF($HD22=0,999999,IF(4=$HE22,IF(77=$HL22,IF($JD22=2,30,0),IF(77=$HM22,IF($JD22=1,30,0),ABS(5-$HF22)*100)),100000+ABS(4-$HE22)*1000+50)),IF($HG22=0,999999,IF(4=$HH22,IF(77=$HN22,IF($JE22=2,30,0),IF(77=$HO22,IF($JE22=1,30,0),ABS(5-$HI22)*100)),100000+ABS(4-$HH22)*1000+50)))-IF((77=$HJ22)+(77=$HK22)+(77=$HL22)+(77=$HM22)+(77=$HN22)+(77=$HO22)&gt;=2,50,0))+CB$5*50)</f>
        <v/>
      </c>
      <c r="CC142">
        <f>IF(OR($JF22=0,calcA!$A$6=0),0,IF(OR(78=$HA22,78=$HD22,78=$HG22),200000,MIN(IF($HA22=0,999999,IF(4=$HB22,IF(78=$HJ22,IF($JC22=2,30,0),IF(78=$HK22,IF($JC22=1,30,0),ABS(6-$HC22)*100)),100000+ABS(4-$HB22)*1000+60)),IF($HD22=0,999999,IF(4=$HE22,IF(78=$HL22,IF($JD22=2,30,0),IF(78=$HM22,IF($JD22=1,30,0),ABS(6-$HF22)*100)),100000+ABS(4-$HE22)*1000+60)),IF($HG22=0,999999,IF(4=$HH22,IF(78=$HN22,IF($JE22=2,30,0),IF(78=$HO22,IF($JE22=1,30,0),ABS(6-$HI22)*100)),100000+ABS(4-$HH22)*1000+60)))-IF((78=$HJ22)+(78=$HK22)+(78=$HL22)+(78=$HM22)+(78=$HN22)+(78=$HO22)&gt;=2,50,0))+CC$5*50)</f>
        <v/>
      </c>
      <c r="CD142">
        <f>IF(OR($JF22=0,calcA!$A$6=0),0,IF(OR(79=$HA22,79=$HD22,79=$HG22),200000,MIN(IF($HA22=0,999999,IF(4=$HB22,IF(79=$HJ22,IF($JC22=2,30,0),IF(79=$HK22,IF($JC22=1,30,0),ABS(7-$HC22)*100)),100000+ABS(4-$HB22)*1000+70)),IF($HD22=0,999999,IF(4=$HE22,IF(79=$HL22,IF($JD22=2,30,0),IF(79=$HM22,IF($JD22=1,30,0),ABS(7-$HF22)*100)),100000+ABS(4-$HE22)*1000+70)),IF($HG22=0,999999,IF(4=$HH22,IF(79=$HN22,IF($JE22=2,30,0),IF(79=$HO22,IF($JE22=1,30,0),ABS(7-$HI22)*100)),100000+ABS(4-$HH22)*1000+70)))-IF((79=$HJ22)+(79=$HK22)+(79=$HL22)+(79=$HM22)+(79=$HN22)+(79=$HO22)&gt;=2,50,0))+CD$5*50)</f>
        <v/>
      </c>
      <c r="CE142">
        <f>IF(OR($JF22=0,calcA!$A$6=0),0,IF(OR(80=$HA22,80=$HD22,80=$HG22),200000,MIN(IF($HA22=0,999999,IF(4=$HB22,IF(80=$HJ22,IF($JC22=2,30,0),IF(80=$HK22,IF($JC22=1,30,0),ABS(8-$HC22)*100)),100000+ABS(4-$HB22)*1000+80)),IF($HD22=0,999999,IF(4=$HE22,IF(80=$HL22,IF($JD22=2,30,0),IF(80=$HM22,IF($JD22=1,30,0),ABS(8-$HF22)*100)),100000+ABS(4-$HE22)*1000+80)),IF($HG22=0,999999,IF(4=$HH22,IF(80=$HN22,IF($JE22=2,30,0),IF(80=$HO22,IF($JE22=1,30,0),ABS(8-$HI22)*100)),100000+ABS(4-$HH22)*1000+80)))-IF((80=$HJ22)+(80=$HK22)+(80=$HL22)+(80=$HM22)+(80=$HN22)+(80=$HO22)&gt;=2,50,0))+CE$5*50)</f>
        <v/>
      </c>
      <c r="CF142">
        <f>IF(OR($JF22=0,calcA!$A$6=0),0,IF(OR(81=$HA22,81=$HD22,81=$HG22),200000,MIN(IF($HA22=0,999999,IF(4=$HB22,IF(81=$HJ22,IF($JC22=2,30,0),IF(81=$HK22,IF($JC22=1,30,0),ABS(9-$HC22)*100)),100000+ABS(4-$HB22)*1000+90)),IF($HD22=0,999999,IF(4=$HE22,IF(81=$HL22,IF($JD22=2,30,0),IF(81=$HM22,IF($JD22=1,30,0),ABS(9-$HF22)*100)),100000+ABS(4-$HE22)*1000+90)),IF($HG22=0,999999,IF(4=$HH22,IF(81=$HN22,IF($JE22=2,30,0),IF(81=$HO22,IF($JE22=1,30,0),ABS(9-$HI22)*100)),100000+ABS(4-$HH22)*1000+90)))-IF((81=$HJ22)+(81=$HK22)+(81=$HL22)+(81=$HM22)+(81=$HN22)+(81=$HO22)&gt;=2,50,0))+CF$5*50)</f>
        <v/>
      </c>
      <c r="CG142">
        <f>IF(OR($JF22=0,calcA!$A$6=0),0,IF(OR(82=$HA22,82=$HD22,82=$HG22),200000,MIN(IF($HA22=0,999999,IF(4=$HB22,IF(82=$HJ22,IF($JC22=2,30,0),IF(82=$HK22,IF($JC22=1,30,0),ABS(10-$HC22)*100)),100000+ABS(4-$HB22)*1000+100)),IF($HD22=0,999999,IF(4=$HE22,IF(82=$HL22,IF($JD22=2,30,0),IF(82=$HM22,IF($JD22=1,30,0),ABS(10-$HF22)*100)),100000+ABS(4-$HE22)*1000+100)),IF($HG22=0,999999,IF(4=$HH22,IF(82=$HN22,IF($JE22=2,30,0),IF(82=$HO22,IF($JE22=1,30,0),ABS(10-$HI22)*100)),100000+ABS(4-$HH22)*1000+100)))-IF((82=$HJ22)+(82=$HK22)+(82=$HL22)+(82=$HM22)+(82=$HN22)+(82=$HO22)&gt;=2,50,0))+CG$5*50)</f>
        <v/>
      </c>
      <c r="CH142">
        <f>IF(OR($JF22=0,calcA!$A$6=0),0,IF(OR(83=$HA22,83=$HD22,83=$HG22),200000,MIN(IF($HA22=0,999999,IF(4=$HB22,IF(83=$HJ22,IF($JC22=2,30,0),IF(83=$HK22,IF($JC22=1,30,0),ABS(11-$HC22)*100)),100000+ABS(4-$HB22)*1000+110)),IF($HD22=0,999999,IF(4=$HE22,IF(83=$HL22,IF($JD22=2,30,0),IF(83=$HM22,IF($JD22=1,30,0),ABS(11-$HF22)*100)),100000+ABS(4-$HE22)*1000+110)),IF($HG22=0,999999,IF(4=$HH22,IF(83=$HN22,IF($JE22=2,30,0),IF(83=$HO22,IF($JE22=1,30,0),ABS(11-$HI22)*100)),100000+ABS(4-$HH22)*1000+110)))-IF((83=$HJ22)+(83=$HK22)+(83=$HL22)+(83=$HM22)+(83=$HN22)+(83=$HO22)&gt;=2,50,0))+CH$5*50)</f>
        <v/>
      </c>
      <c r="CI142">
        <f>IF(OR($JF22=0,calcA!$A$6=0),0,IF(OR(84=$HA22,84=$HD22,84=$HG22),200000,MIN(IF($HA22=0,999999,IF(4=$HB22,IF(84=$HJ22,IF($JC22=2,30,0),IF(84=$HK22,IF($JC22=1,30,0),ABS(12-$HC22)*100)),100000+ABS(4-$HB22)*1000+120)),IF($HD22=0,999999,IF(4=$HE22,IF(84=$HL22,IF($JD22=2,30,0),IF(84=$HM22,IF($JD22=1,30,0),ABS(12-$HF22)*100)),100000+ABS(4-$HE22)*1000+120)),IF($HG22=0,999999,IF(4=$HH22,IF(84=$HN22,IF($JE22=2,30,0),IF(84=$HO22,IF($JE22=1,30,0),ABS(12-$HI22)*100)),100000+ABS(4-$HH22)*1000+120)))-IF((84=$HJ22)+(84=$HK22)+(84=$HL22)+(84=$HM22)+(84=$HN22)+(84=$HO22)&gt;=2,50,0))+CI$5*50)</f>
        <v/>
      </c>
      <c r="CJ142">
        <f>IF(OR($JF22=0,calcA!$A$6=0),0,IF(OR(85=$HA22,85=$HD22,85=$HG22),200000,MIN(IF($HA22=0,999999,IF(4=$HB22,IF(85=$HJ22,IF($JC22=2,30,0),IF(85=$HK22,IF($JC22=1,30,0),ABS(13-$HC22)*100)),100000+ABS(4-$HB22)*1000+130)),IF($HD22=0,999999,IF(4=$HE22,IF(85=$HL22,IF($JD22=2,30,0),IF(85=$HM22,IF($JD22=1,30,0),ABS(13-$HF22)*100)),100000+ABS(4-$HE22)*1000+130)),IF($HG22=0,999999,IF(4=$HH22,IF(85=$HN22,IF($JE22=2,30,0),IF(85=$HO22,IF($JE22=1,30,0),ABS(13-$HI22)*100)),100000+ABS(4-$HH22)*1000+130)))-IF((85=$HJ22)+(85=$HK22)+(85=$HL22)+(85=$HM22)+(85=$HN22)+(85=$HO22)&gt;=2,50,0))+CJ$5*50)</f>
        <v/>
      </c>
      <c r="CK142">
        <f>IF(OR($JF22=0,calcA!$A$6=0),0,IF(OR(86=$HA22,86=$HD22,86=$HG22),200000,MIN(IF($HA22=0,999999,IF(4=$HB22,IF(86=$HJ22,IF($JC22=2,30,0),IF(86=$HK22,IF($JC22=1,30,0),ABS(14-$HC22)*100)),100000+ABS(4-$HB22)*1000+140)),IF($HD22=0,999999,IF(4=$HE22,IF(86=$HL22,IF($JD22=2,30,0),IF(86=$HM22,IF($JD22=1,30,0),ABS(14-$HF22)*100)),100000+ABS(4-$HE22)*1000+140)),IF($HG22=0,999999,IF(4=$HH22,IF(86=$HN22,IF($JE22=2,30,0),IF(86=$HO22,IF($JE22=1,30,0),ABS(14-$HI22)*100)),100000+ABS(4-$HH22)*1000+140)))-IF((86=$HJ22)+(86=$HK22)+(86=$HL22)+(86=$HM22)+(86=$HN22)+(86=$HO22)&gt;=2,50,0))+CK$5*50)</f>
        <v/>
      </c>
      <c r="CL142">
        <f>IF(OR($JF22=0,calcA!$A$6=0),0,IF(OR(87=$HA22,87=$HD22,87=$HG22),200000,MIN(IF($HA22=0,999999,IF(4=$HB22,IF(87=$HJ22,IF($JC22=2,30,0),IF(87=$HK22,IF($JC22=1,30,0),ABS(15-$HC22)*100)),100000+ABS(4-$HB22)*1000+150)),IF($HD22=0,999999,IF(4=$HE22,IF(87=$HL22,IF($JD22=2,30,0),IF(87=$HM22,IF($JD22=1,30,0),ABS(15-$HF22)*100)),100000+ABS(4-$HE22)*1000+150)),IF($HG22=0,999999,IF(4=$HH22,IF(87=$HN22,IF($JE22=2,30,0),IF(87=$HO22,IF($JE22=1,30,0),ABS(15-$HI22)*100)),100000+ABS(4-$HH22)*1000+150)))-IF((87=$HJ22)+(87=$HK22)+(87=$HL22)+(87=$HM22)+(87=$HN22)+(87=$HO22)&gt;=2,50,0))+CL$5*50)</f>
        <v/>
      </c>
      <c r="CM142">
        <f>IF(OR($JF22=0,calcA!$A$6=0),0,IF(OR(88=$HA22,88=$HD22,88=$HG22),200000,MIN(IF($HA22=0,999999,IF(4=$HB22,IF(88=$HJ22,IF($JC22=2,30,0),IF(88=$HK22,IF($JC22=1,30,0),ABS(16-$HC22)*100)),100000+ABS(4-$HB22)*1000+160)),IF($HD22=0,999999,IF(4=$HE22,IF(88=$HL22,IF($JD22=2,30,0),IF(88=$HM22,IF($JD22=1,30,0),ABS(16-$HF22)*100)),100000+ABS(4-$HE22)*1000+160)),IF($HG22=0,999999,IF(4=$HH22,IF(88=$HN22,IF($JE22=2,30,0),IF(88=$HO22,IF($JE22=1,30,0),ABS(16-$HI22)*100)),100000+ABS(4-$HH22)*1000+160)))-IF((88=$HJ22)+(88=$HK22)+(88=$HL22)+(88=$HM22)+(88=$HN22)+(88=$HO22)&gt;=2,50,0))+CM$5*50)</f>
        <v/>
      </c>
      <c r="CN142">
        <f>IF(OR($JF22=0,calcA!$A$6=0),0,IF(OR(89=$HA22,89=$HD22,89=$HG22),200000,MIN(IF($HA22=0,999999,IF(4=$HB22,IF(89=$HJ22,IF($JC22=2,30,0),IF(89=$HK22,IF($JC22=1,30,0),ABS(17-$HC22)*100)),100000+ABS(4-$HB22)*1000+170)),IF($HD22=0,999999,IF(4=$HE22,IF(89=$HL22,IF($JD22=2,30,0),IF(89=$HM22,IF($JD22=1,30,0),ABS(17-$HF22)*100)),100000+ABS(4-$HE22)*1000+170)),IF($HG22=0,999999,IF(4=$HH22,IF(89=$HN22,IF($JE22=2,30,0),IF(89=$HO22,IF($JE22=1,30,0),ABS(17-$HI22)*100)),100000+ABS(4-$HH22)*1000+170)))-IF((89=$HJ22)+(89=$HK22)+(89=$HL22)+(89=$HM22)+(89=$HN22)+(89=$HO22)&gt;=2,50,0))+CN$5*50)</f>
        <v/>
      </c>
      <c r="CO142">
        <f>IF(OR($JF22=0,calcA!$A$6=0),0,IF(OR(90=$HA22,90=$HD22,90=$HG22),200000,MIN(IF($HA22=0,999999,IF(4=$HB22,IF(90=$HJ22,IF($JC22=2,30,0),IF(90=$HK22,IF($JC22=1,30,0),ABS(18-$HC22)*100)),100000+ABS(4-$HB22)*1000+180)),IF($HD22=0,999999,IF(4=$HE22,IF(90=$HL22,IF($JD22=2,30,0),IF(90=$HM22,IF($JD22=1,30,0),ABS(18-$HF22)*100)),100000+ABS(4-$HE22)*1000+180)),IF($HG22=0,999999,IF(4=$HH22,IF(90=$HN22,IF($JE22=2,30,0),IF(90=$HO22,IF($JE22=1,30,0),ABS(18-$HI22)*100)),100000+ABS(4-$HH22)*1000+180)))-IF((90=$HJ22)+(90=$HK22)+(90=$HL22)+(90=$HM22)+(90=$HN22)+(90=$HO22)&gt;=2,50,0))+CO$5*50)</f>
        <v/>
      </c>
      <c r="CP142">
        <f>IF(OR($JF22=0,calcA!$A$6=0),0,IF(OR(91=$HA22,91=$HD22,91=$HG22),200000,MIN(IF($HA22=0,999999,IF(4=$HB22,IF(91=$HJ22,IF($JC22=2,30,0),IF(91=$HK22,IF($JC22=1,30,0),ABS(19-$HC22)*100)),100000+ABS(4-$HB22)*1000+190)),IF($HD22=0,999999,IF(4=$HE22,IF(91=$HL22,IF($JD22=2,30,0),IF(91=$HM22,IF($JD22=1,30,0),ABS(19-$HF22)*100)),100000+ABS(4-$HE22)*1000+190)),IF($HG22=0,999999,IF(4=$HH22,IF(91=$HN22,IF($JE22=2,30,0),IF(91=$HO22,IF($JE22=1,30,0),ABS(19-$HI22)*100)),100000+ABS(4-$HH22)*1000+190)))-IF((91=$HJ22)+(91=$HK22)+(91=$HL22)+(91=$HM22)+(91=$HN22)+(91=$HO22)&gt;=2,50,0))+CP$5*50)</f>
        <v/>
      </c>
      <c r="CQ142">
        <f>IF(OR($JF22=0,calcA!$A$6=0),0,IF(OR(92=$HA22,92=$HD22,92=$HG22),200000,MIN(IF($HA22=0,999999,IF(4=$HB22,IF(92=$HJ22,IF($JC22=2,30,0),IF(92=$HK22,IF($JC22=1,30,0),ABS(20-$HC22)*100)),100000+ABS(4-$HB22)*1000+200)),IF($HD22=0,999999,IF(4=$HE22,IF(92=$HL22,IF($JD22=2,30,0),IF(92=$HM22,IF($JD22=1,30,0),ABS(20-$HF22)*100)),100000+ABS(4-$HE22)*1000+200)),IF($HG22=0,999999,IF(4=$HH22,IF(92=$HN22,IF($JE22=2,30,0),IF(92=$HO22,IF($JE22=1,30,0),ABS(20-$HI22)*100)),100000+ABS(4-$HH22)*1000+200)))-IF((92=$HJ22)+(92=$HK22)+(92=$HL22)+(92=$HM22)+(92=$HN22)+(92=$HO22)&gt;=2,50,0))+CQ$5*50)</f>
        <v/>
      </c>
      <c r="CR142">
        <f>IF(OR($JF22=0,calcA!$A$6=0),0,IF(OR(93=$HA22,93=$HD22,93=$HG22),200000,MIN(IF($HA22=0,999999,IF(4=$HB22,IF(93=$HJ22,IF($JC22=2,30,0),IF(93=$HK22,IF($JC22=1,30,0),ABS(21-$HC22)*100)),100000+ABS(4-$HB22)*1000+210)),IF($HD22=0,999999,IF(4=$HE22,IF(93=$HL22,IF($JD22=2,30,0),IF(93=$HM22,IF($JD22=1,30,0),ABS(21-$HF22)*100)),100000+ABS(4-$HE22)*1000+210)),IF($HG22=0,999999,IF(4=$HH22,IF(93=$HN22,IF($JE22=2,30,0),IF(93=$HO22,IF($JE22=1,30,0),ABS(21-$HI22)*100)),100000+ABS(4-$HH22)*1000+210)))-IF((93=$HJ22)+(93=$HK22)+(93=$HL22)+(93=$HM22)+(93=$HN22)+(93=$HO22)&gt;=2,50,0))+CR$5*50)</f>
        <v/>
      </c>
      <c r="CS142">
        <f>IF(OR($JF22=0,calcA!$A$6=0),0,IF(OR(94=$HA22,94=$HD22,94=$HG22),200000,MIN(IF($HA22=0,999999,IF(4=$HB22,IF(94=$HJ22,IF($JC22=2,30,0),IF(94=$HK22,IF($JC22=1,30,0),ABS(22-$HC22)*100)),100000+ABS(4-$HB22)*1000+220)),IF($HD22=0,999999,IF(4=$HE22,IF(94=$HL22,IF($JD22=2,30,0),IF(94=$HM22,IF($JD22=1,30,0),ABS(22-$HF22)*100)),100000+ABS(4-$HE22)*1000+220)),IF($HG22=0,999999,IF(4=$HH22,IF(94=$HN22,IF($JE22=2,30,0),IF(94=$HO22,IF($JE22=1,30,0),ABS(22-$HI22)*100)),100000+ABS(4-$HH22)*1000+220)))-IF((94=$HJ22)+(94=$HK22)+(94=$HL22)+(94=$HM22)+(94=$HN22)+(94=$HO22)&gt;=2,50,0))+CS$5*50)</f>
        <v/>
      </c>
      <c r="CT142">
        <f>IF(OR($JF22=0,calcA!$A$6=0),0,IF(OR(95=$HA22,95=$HD22,95=$HG22),200000,MIN(IF($HA22=0,999999,IF(4=$HB22,IF(95=$HJ22,IF($JC22=2,30,0),IF(95=$HK22,IF($JC22=1,30,0),ABS(23-$HC22)*100)),100000+ABS(4-$HB22)*1000+230)),IF($HD22=0,999999,IF(4=$HE22,IF(95=$HL22,IF($JD22=2,30,0),IF(95=$HM22,IF($JD22=1,30,0),ABS(23-$HF22)*100)),100000+ABS(4-$HE22)*1000+230)),IF($HG22=0,999999,IF(4=$HH22,IF(95=$HN22,IF($JE22=2,30,0),IF(95=$HO22,IF($JE22=1,30,0),ABS(23-$HI22)*100)),100000+ABS(4-$HH22)*1000+230)))-IF((95=$HJ22)+(95=$HK22)+(95=$HL22)+(95=$HM22)+(95=$HN22)+(95=$HO22)&gt;=2,50,0))+CT$5*50)</f>
        <v/>
      </c>
      <c r="CU142">
        <f>IF(OR($JF22=0,calcA!$A$6=0),0,IF(OR(96=$HA22,96=$HD22,96=$HG22),200000,MIN(IF($HA22=0,999999,IF(4=$HB22,IF(96=$HJ22,IF($JC22=2,30,0),IF(96=$HK22,IF($JC22=1,30,0),ABS(24-$HC22)*100)),100000+ABS(4-$HB22)*1000+240)),IF($HD22=0,999999,IF(4=$HE22,IF(96=$HL22,IF($JD22=2,30,0),IF(96=$HM22,IF($JD22=1,30,0),ABS(24-$HF22)*100)),100000+ABS(4-$HE22)*1000+240)),IF($HG22=0,999999,IF(4=$HH22,IF(96=$HN22,IF($JE22=2,30,0),IF(96=$HO22,IF($JE22=1,30,0),ABS(24-$HI22)*100)),100000+ABS(4-$HH22)*1000+240)))-IF((96=$HJ22)+(96=$HK22)+(96=$HL22)+(96=$HM22)+(96=$HN22)+(96=$HO22)&gt;=2,50,0))+CU$5*50)</f>
        <v/>
      </c>
      <c r="CV142">
        <f>IF(OR($JF22=0,calcA!$A$6=0),0,IF(OR(97=$HA22,97=$HD22,97=$HG22),200000,MIN(IF($HA22=0,999999,IF(5=$HB22,IF(97=$HJ22,IF($JC22=2,30,0),IF(97=$HK22,IF($JC22=1,30,0),ABS(1-$HC22)*100)),100000+ABS(5-$HB22)*1000+10)),IF($HD22=0,999999,IF(5=$HE22,IF(97=$HL22,IF($JD22=2,30,0),IF(97=$HM22,IF($JD22=1,30,0),ABS(1-$HF22)*100)),100000+ABS(5-$HE22)*1000+10)),IF($HG22=0,999999,IF(5=$HH22,IF(97=$HN22,IF($JE22=2,30,0),IF(97=$HO22,IF($JE22=1,30,0),ABS(1-$HI22)*100)),100000+ABS(5-$HH22)*1000+10)))-IF((97=$HJ22)+(97=$HK22)+(97=$HL22)+(97=$HM22)+(97=$HN22)+(97=$HO22)&gt;=2,50,0))+CV$5*50)</f>
        <v/>
      </c>
      <c r="CW142">
        <f>IF(OR($JF22=0,calcA!$A$6=0),0,IF(OR(98=$HA22,98=$HD22,98=$HG22),200000,MIN(IF($HA22=0,999999,IF(5=$HB22,IF(98=$HJ22,IF($JC22=2,30,0),IF(98=$HK22,IF($JC22=1,30,0),ABS(2-$HC22)*100)),100000+ABS(5-$HB22)*1000+20)),IF($HD22=0,999999,IF(5=$HE22,IF(98=$HL22,IF($JD22=2,30,0),IF(98=$HM22,IF($JD22=1,30,0),ABS(2-$HF22)*100)),100000+ABS(5-$HE22)*1000+20)),IF($HG22=0,999999,IF(5=$HH22,IF(98=$HN22,IF($JE22=2,30,0),IF(98=$HO22,IF($JE22=1,30,0),ABS(2-$HI22)*100)),100000+ABS(5-$HH22)*1000+20)))-IF((98=$HJ22)+(98=$HK22)+(98=$HL22)+(98=$HM22)+(98=$HN22)+(98=$HO22)&gt;=2,50,0))+CW$5*50)</f>
        <v/>
      </c>
      <c r="CX142">
        <f>IF(OR($JF22=0,calcA!$A$6=0),0,IF(OR(99=$HA22,99=$HD22,99=$HG22),200000,MIN(IF($HA22=0,999999,IF(5=$HB22,IF(99=$HJ22,IF($JC22=2,30,0),IF(99=$HK22,IF($JC22=1,30,0),ABS(3-$HC22)*100)),100000+ABS(5-$HB22)*1000+30)),IF($HD22=0,999999,IF(5=$HE22,IF(99=$HL22,IF($JD22=2,30,0),IF(99=$HM22,IF($JD22=1,30,0),ABS(3-$HF22)*100)),100000+ABS(5-$HE22)*1000+30)),IF($HG22=0,999999,IF(5=$HH22,IF(99=$HN22,IF($JE22=2,30,0),IF(99=$HO22,IF($JE22=1,30,0),ABS(3-$HI22)*100)),100000+ABS(5-$HH22)*1000+30)))-IF((99=$HJ22)+(99=$HK22)+(99=$HL22)+(99=$HM22)+(99=$HN22)+(99=$HO22)&gt;=2,50,0))+CX$5*50)</f>
        <v/>
      </c>
      <c r="CY142">
        <f>IF(OR($JF22=0,calcA!$A$6=0),0,IF(OR(100=$HA22,100=$HD22,100=$HG22),200000,MIN(IF($HA22=0,999999,IF(5=$HB22,IF(100=$HJ22,IF($JC22=2,30,0),IF(100=$HK22,IF($JC22=1,30,0),ABS(4-$HC22)*100)),100000+ABS(5-$HB22)*1000+40)),IF($HD22=0,999999,IF(5=$HE22,IF(100=$HL22,IF($JD22=2,30,0),IF(100=$HM22,IF($JD22=1,30,0),ABS(4-$HF22)*100)),100000+ABS(5-$HE22)*1000+40)),IF($HG22=0,999999,IF(5=$HH22,IF(100=$HN22,IF($JE22=2,30,0),IF(100=$HO22,IF($JE22=1,30,0),ABS(4-$HI22)*100)),100000+ABS(5-$HH22)*1000+40)))-IF((100=$HJ22)+(100=$HK22)+(100=$HL22)+(100=$HM22)+(100=$HN22)+(100=$HO22)&gt;=2,50,0))+CY$5*50)</f>
        <v/>
      </c>
      <c r="CZ142">
        <f>IF(OR($JF22=0,calcA!$A$6=0),0,IF(OR(101=$HA22,101=$HD22,101=$HG22),200000,MIN(IF($HA22=0,999999,IF(5=$HB22,IF(101=$HJ22,IF($JC22=2,30,0),IF(101=$HK22,IF($JC22=1,30,0),ABS(5-$HC22)*100)),100000+ABS(5-$HB22)*1000+50)),IF($HD22=0,999999,IF(5=$HE22,IF(101=$HL22,IF($JD22=2,30,0),IF(101=$HM22,IF($JD22=1,30,0),ABS(5-$HF22)*100)),100000+ABS(5-$HE22)*1000+50)),IF($HG22=0,999999,IF(5=$HH22,IF(101=$HN22,IF($JE22=2,30,0),IF(101=$HO22,IF($JE22=1,30,0),ABS(5-$HI22)*100)),100000+ABS(5-$HH22)*1000+50)))-IF((101=$HJ22)+(101=$HK22)+(101=$HL22)+(101=$HM22)+(101=$HN22)+(101=$HO22)&gt;=2,50,0))+CZ$5*50)</f>
        <v/>
      </c>
      <c r="DA142">
        <f>IF(OR($JF22=0,calcA!$A$6=0),0,IF(OR(102=$HA22,102=$HD22,102=$HG22),200000,MIN(IF($HA22=0,999999,IF(5=$HB22,IF(102=$HJ22,IF($JC22=2,30,0),IF(102=$HK22,IF($JC22=1,30,0),ABS(6-$HC22)*100)),100000+ABS(5-$HB22)*1000+60)),IF($HD22=0,999999,IF(5=$HE22,IF(102=$HL22,IF($JD22=2,30,0),IF(102=$HM22,IF($JD22=1,30,0),ABS(6-$HF22)*100)),100000+ABS(5-$HE22)*1000+60)),IF($HG22=0,999999,IF(5=$HH22,IF(102=$HN22,IF($JE22=2,30,0),IF(102=$HO22,IF($JE22=1,30,0),ABS(6-$HI22)*100)),100000+ABS(5-$HH22)*1000+60)))-IF((102=$HJ22)+(102=$HK22)+(102=$HL22)+(102=$HM22)+(102=$HN22)+(102=$HO22)&gt;=2,50,0))+DA$5*50)</f>
        <v/>
      </c>
      <c r="DB142">
        <f>IF(OR($JF22=0,calcA!$A$6=0),0,IF(OR(103=$HA22,103=$HD22,103=$HG22),200000,MIN(IF($HA22=0,999999,IF(5=$HB22,IF(103=$HJ22,IF($JC22=2,30,0),IF(103=$HK22,IF($JC22=1,30,0),ABS(7-$HC22)*100)),100000+ABS(5-$HB22)*1000+70)),IF($HD22=0,999999,IF(5=$HE22,IF(103=$HL22,IF($JD22=2,30,0),IF(103=$HM22,IF($JD22=1,30,0),ABS(7-$HF22)*100)),100000+ABS(5-$HE22)*1000+70)),IF($HG22=0,999999,IF(5=$HH22,IF(103=$HN22,IF($JE22=2,30,0),IF(103=$HO22,IF($JE22=1,30,0),ABS(7-$HI22)*100)),100000+ABS(5-$HH22)*1000+70)))-IF((103=$HJ22)+(103=$HK22)+(103=$HL22)+(103=$HM22)+(103=$HN22)+(103=$HO22)&gt;=2,50,0))+DB$5*50)</f>
        <v/>
      </c>
      <c r="DC142">
        <f>IF(OR($JF22=0,calcA!$A$6=0),0,IF(OR(104=$HA22,104=$HD22,104=$HG22),200000,MIN(IF($HA22=0,999999,IF(5=$HB22,IF(104=$HJ22,IF($JC22=2,30,0),IF(104=$HK22,IF($JC22=1,30,0),ABS(8-$HC22)*100)),100000+ABS(5-$HB22)*1000+80)),IF($HD22=0,999999,IF(5=$HE22,IF(104=$HL22,IF($JD22=2,30,0),IF(104=$HM22,IF($JD22=1,30,0),ABS(8-$HF22)*100)),100000+ABS(5-$HE22)*1000+80)),IF($HG22=0,999999,IF(5=$HH22,IF(104=$HN22,IF($JE22=2,30,0),IF(104=$HO22,IF($JE22=1,30,0),ABS(8-$HI22)*100)),100000+ABS(5-$HH22)*1000+80)))-IF((104=$HJ22)+(104=$HK22)+(104=$HL22)+(104=$HM22)+(104=$HN22)+(104=$HO22)&gt;=2,50,0))+DC$5*50)</f>
        <v/>
      </c>
      <c r="DD142">
        <f>IF(OR($JF22=0,calcA!$A$6=0),0,IF(OR(105=$HA22,105=$HD22,105=$HG22),200000,MIN(IF($HA22=0,999999,IF(5=$HB22,IF(105=$HJ22,IF($JC22=2,30,0),IF(105=$HK22,IF($JC22=1,30,0),ABS(9-$HC22)*100)),100000+ABS(5-$HB22)*1000+90)),IF($HD22=0,999999,IF(5=$HE22,IF(105=$HL22,IF($JD22=2,30,0),IF(105=$HM22,IF($JD22=1,30,0),ABS(9-$HF22)*100)),100000+ABS(5-$HE22)*1000+90)),IF($HG22=0,999999,IF(5=$HH22,IF(105=$HN22,IF($JE22=2,30,0),IF(105=$HO22,IF($JE22=1,30,0),ABS(9-$HI22)*100)),100000+ABS(5-$HH22)*1000+90)))-IF((105=$HJ22)+(105=$HK22)+(105=$HL22)+(105=$HM22)+(105=$HN22)+(105=$HO22)&gt;=2,50,0))+DD$5*50)</f>
        <v/>
      </c>
      <c r="DE142">
        <f>IF(OR($JF22=0,calcA!$A$6=0),0,IF(OR(106=$HA22,106=$HD22,106=$HG22),200000,MIN(IF($HA22=0,999999,IF(5=$HB22,IF(106=$HJ22,IF($JC22=2,30,0),IF(106=$HK22,IF($JC22=1,30,0),ABS(10-$HC22)*100)),100000+ABS(5-$HB22)*1000+100)),IF($HD22=0,999999,IF(5=$HE22,IF(106=$HL22,IF($JD22=2,30,0),IF(106=$HM22,IF($JD22=1,30,0),ABS(10-$HF22)*100)),100000+ABS(5-$HE22)*1000+100)),IF($HG22=0,999999,IF(5=$HH22,IF(106=$HN22,IF($JE22=2,30,0),IF(106=$HO22,IF($JE22=1,30,0),ABS(10-$HI22)*100)),100000+ABS(5-$HH22)*1000+100)))-IF((106=$HJ22)+(106=$HK22)+(106=$HL22)+(106=$HM22)+(106=$HN22)+(106=$HO22)&gt;=2,50,0))+DE$5*50)</f>
        <v/>
      </c>
      <c r="DF142">
        <f>IF(OR($JF22=0,calcA!$A$6=0),0,IF(OR(107=$HA22,107=$HD22,107=$HG22),200000,MIN(IF($HA22=0,999999,IF(5=$HB22,IF(107=$HJ22,IF($JC22=2,30,0),IF(107=$HK22,IF($JC22=1,30,0),ABS(11-$HC22)*100)),100000+ABS(5-$HB22)*1000+110)),IF($HD22=0,999999,IF(5=$HE22,IF(107=$HL22,IF($JD22=2,30,0),IF(107=$HM22,IF($JD22=1,30,0),ABS(11-$HF22)*100)),100000+ABS(5-$HE22)*1000+110)),IF($HG22=0,999999,IF(5=$HH22,IF(107=$HN22,IF($JE22=2,30,0),IF(107=$HO22,IF($JE22=1,30,0),ABS(11-$HI22)*100)),100000+ABS(5-$HH22)*1000+110)))-IF((107=$HJ22)+(107=$HK22)+(107=$HL22)+(107=$HM22)+(107=$HN22)+(107=$HO22)&gt;=2,50,0))+DF$5*50)</f>
        <v/>
      </c>
      <c r="DG142">
        <f>IF(OR($JF22=0,calcA!$A$6=0),0,IF(OR(108=$HA22,108=$HD22,108=$HG22),200000,MIN(IF($HA22=0,999999,IF(5=$HB22,IF(108=$HJ22,IF($JC22=2,30,0),IF(108=$HK22,IF($JC22=1,30,0),ABS(12-$HC22)*100)),100000+ABS(5-$HB22)*1000+120)),IF($HD22=0,999999,IF(5=$HE22,IF(108=$HL22,IF($JD22=2,30,0),IF(108=$HM22,IF($JD22=1,30,0),ABS(12-$HF22)*100)),100000+ABS(5-$HE22)*1000+120)),IF($HG22=0,999999,IF(5=$HH22,IF(108=$HN22,IF($JE22=2,30,0),IF(108=$HO22,IF($JE22=1,30,0),ABS(12-$HI22)*100)),100000+ABS(5-$HH22)*1000+120)))-IF((108=$HJ22)+(108=$HK22)+(108=$HL22)+(108=$HM22)+(108=$HN22)+(108=$HO22)&gt;=2,50,0))+DG$5*50)</f>
        <v/>
      </c>
      <c r="DH142">
        <f>IF(OR($JF22=0,calcA!$A$6=0),0,IF(OR(109=$HA22,109=$HD22,109=$HG22),200000,MIN(IF($HA22=0,999999,IF(5=$HB22,IF(109=$HJ22,IF($JC22=2,30,0),IF(109=$HK22,IF($JC22=1,30,0),ABS(13-$HC22)*100)),100000+ABS(5-$HB22)*1000+130)),IF($HD22=0,999999,IF(5=$HE22,IF(109=$HL22,IF($JD22=2,30,0),IF(109=$HM22,IF($JD22=1,30,0),ABS(13-$HF22)*100)),100000+ABS(5-$HE22)*1000+130)),IF($HG22=0,999999,IF(5=$HH22,IF(109=$HN22,IF($JE22=2,30,0),IF(109=$HO22,IF($JE22=1,30,0),ABS(13-$HI22)*100)),100000+ABS(5-$HH22)*1000+130)))-IF((109=$HJ22)+(109=$HK22)+(109=$HL22)+(109=$HM22)+(109=$HN22)+(109=$HO22)&gt;=2,50,0))+DH$5*50)</f>
        <v/>
      </c>
      <c r="DI142">
        <f>IF(OR($JF22=0,calcA!$A$6=0),0,IF(OR(110=$HA22,110=$HD22,110=$HG22),200000,MIN(IF($HA22=0,999999,IF(5=$HB22,IF(110=$HJ22,IF($JC22=2,30,0),IF(110=$HK22,IF($JC22=1,30,0),ABS(14-$HC22)*100)),100000+ABS(5-$HB22)*1000+140)),IF($HD22=0,999999,IF(5=$HE22,IF(110=$HL22,IF($JD22=2,30,0),IF(110=$HM22,IF($JD22=1,30,0),ABS(14-$HF22)*100)),100000+ABS(5-$HE22)*1000+140)),IF($HG22=0,999999,IF(5=$HH22,IF(110=$HN22,IF($JE22=2,30,0),IF(110=$HO22,IF($JE22=1,30,0),ABS(14-$HI22)*100)),100000+ABS(5-$HH22)*1000+140)))-IF((110=$HJ22)+(110=$HK22)+(110=$HL22)+(110=$HM22)+(110=$HN22)+(110=$HO22)&gt;=2,50,0))+DI$5*50)</f>
        <v/>
      </c>
      <c r="DJ142">
        <f>IF(OR($JF22=0,calcA!$A$6=0),0,IF(OR(111=$HA22,111=$HD22,111=$HG22),200000,MIN(IF($HA22=0,999999,IF(5=$HB22,IF(111=$HJ22,IF($JC22=2,30,0),IF(111=$HK22,IF($JC22=1,30,0),ABS(15-$HC22)*100)),100000+ABS(5-$HB22)*1000+150)),IF($HD22=0,999999,IF(5=$HE22,IF(111=$HL22,IF($JD22=2,30,0),IF(111=$HM22,IF($JD22=1,30,0),ABS(15-$HF22)*100)),100000+ABS(5-$HE22)*1000+150)),IF($HG22=0,999999,IF(5=$HH22,IF(111=$HN22,IF($JE22=2,30,0),IF(111=$HO22,IF($JE22=1,30,0),ABS(15-$HI22)*100)),100000+ABS(5-$HH22)*1000+150)))-IF((111=$HJ22)+(111=$HK22)+(111=$HL22)+(111=$HM22)+(111=$HN22)+(111=$HO22)&gt;=2,50,0))+DJ$5*50)</f>
        <v/>
      </c>
      <c r="DK142">
        <f>IF(OR($JF22=0,calcA!$A$6=0),0,IF(OR(112=$HA22,112=$HD22,112=$HG22),200000,MIN(IF($HA22=0,999999,IF(5=$HB22,IF(112=$HJ22,IF($JC22=2,30,0),IF(112=$HK22,IF($JC22=1,30,0),ABS(16-$HC22)*100)),100000+ABS(5-$HB22)*1000+160)),IF($HD22=0,999999,IF(5=$HE22,IF(112=$HL22,IF($JD22=2,30,0),IF(112=$HM22,IF($JD22=1,30,0),ABS(16-$HF22)*100)),100000+ABS(5-$HE22)*1000+160)),IF($HG22=0,999999,IF(5=$HH22,IF(112=$HN22,IF($JE22=2,30,0),IF(112=$HO22,IF($JE22=1,30,0),ABS(16-$HI22)*100)),100000+ABS(5-$HH22)*1000+160)))-IF((112=$HJ22)+(112=$HK22)+(112=$HL22)+(112=$HM22)+(112=$HN22)+(112=$HO22)&gt;=2,50,0))+DK$5*50)</f>
        <v/>
      </c>
      <c r="DL142">
        <f>IF(OR($JF22=0,calcA!$A$6=0),0,IF(OR(113=$HA22,113=$HD22,113=$HG22),200000,MIN(IF($HA22=0,999999,IF(5=$HB22,IF(113=$HJ22,IF($JC22=2,30,0),IF(113=$HK22,IF($JC22=1,30,0),ABS(17-$HC22)*100)),100000+ABS(5-$HB22)*1000+170)),IF($HD22=0,999999,IF(5=$HE22,IF(113=$HL22,IF($JD22=2,30,0),IF(113=$HM22,IF($JD22=1,30,0),ABS(17-$HF22)*100)),100000+ABS(5-$HE22)*1000+170)),IF($HG22=0,999999,IF(5=$HH22,IF(113=$HN22,IF($JE22=2,30,0),IF(113=$HO22,IF($JE22=1,30,0),ABS(17-$HI22)*100)),100000+ABS(5-$HH22)*1000+170)))-IF((113=$HJ22)+(113=$HK22)+(113=$HL22)+(113=$HM22)+(113=$HN22)+(113=$HO22)&gt;=2,50,0))+DL$5*50)</f>
        <v/>
      </c>
      <c r="DM142">
        <f>IF(OR($JF22=0,calcA!$A$6=0),0,IF(OR(114=$HA22,114=$HD22,114=$HG22),200000,MIN(IF($HA22=0,999999,IF(5=$HB22,IF(114=$HJ22,IF($JC22=2,30,0),IF(114=$HK22,IF($JC22=1,30,0),ABS(18-$HC22)*100)),100000+ABS(5-$HB22)*1000+180)),IF($HD22=0,999999,IF(5=$HE22,IF(114=$HL22,IF($JD22=2,30,0),IF(114=$HM22,IF($JD22=1,30,0),ABS(18-$HF22)*100)),100000+ABS(5-$HE22)*1000+180)),IF($HG22=0,999999,IF(5=$HH22,IF(114=$HN22,IF($JE22=2,30,0),IF(114=$HO22,IF($JE22=1,30,0),ABS(18-$HI22)*100)),100000+ABS(5-$HH22)*1000+180)))-IF((114=$HJ22)+(114=$HK22)+(114=$HL22)+(114=$HM22)+(114=$HN22)+(114=$HO22)&gt;=2,50,0))+DM$5*50)</f>
        <v/>
      </c>
      <c r="DN142">
        <f>IF(OR($JF22=0,calcA!$A$6=0),0,IF(OR(115=$HA22,115=$HD22,115=$HG22),200000,MIN(IF($HA22=0,999999,IF(5=$HB22,IF(115=$HJ22,IF($JC22=2,30,0),IF(115=$HK22,IF($JC22=1,30,0),ABS(19-$HC22)*100)),100000+ABS(5-$HB22)*1000+190)),IF($HD22=0,999999,IF(5=$HE22,IF(115=$HL22,IF($JD22=2,30,0),IF(115=$HM22,IF($JD22=1,30,0),ABS(19-$HF22)*100)),100000+ABS(5-$HE22)*1000+190)),IF($HG22=0,999999,IF(5=$HH22,IF(115=$HN22,IF($JE22=2,30,0),IF(115=$HO22,IF($JE22=1,30,0),ABS(19-$HI22)*100)),100000+ABS(5-$HH22)*1000+190)))-IF((115=$HJ22)+(115=$HK22)+(115=$HL22)+(115=$HM22)+(115=$HN22)+(115=$HO22)&gt;=2,50,0))+DN$5*50)</f>
        <v/>
      </c>
      <c r="DO142">
        <f>IF(OR($JF22=0,calcA!$A$6=0),0,IF(OR(116=$HA22,116=$HD22,116=$HG22),200000,MIN(IF($HA22=0,999999,IF(5=$HB22,IF(116=$HJ22,IF($JC22=2,30,0),IF(116=$HK22,IF($JC22=1,30,0),ABS(20-$HC22)*100)),100000+ABS(5-$HB22)*1000+200)),IF($HD22=0,999999,IF(5=$HE22,IF(116=$HL22,IF($JD22=2,30,0),IF(116=$HM22,IF($JD22=1,30,0),ABS(20-$HF22)*100)),100000+ABS(5-$HE22)*1000+200)),IF($HG22=0,999999,IF(5=$HH22,IF(116=$HN22,IF($JE22=2,30,0),IF(116=$HO22,IF($JE22=1,30,0),ABS(20-$HI22)*100)),100000+ABS(5-$HH22)*1000+200)))-IF((116=$HJ22)+(116=$HK22)+(116=$HL22)+(116=$HM22)+(116=$HN22)+(116=$HO22)&gt;=2,50,0))+DO$5*50)</f>
        <v/>
      </c>
      <c r="DP142">
        <f>IF(OR($JF22=0,calcA!$A$6=0),0,IF(OR(117=$HA22,117=$HD22,117=$HG22),200000,MIN(IF($HA22=0,999999,IF(5=$HB22,IF(117=$HJ22,IF($JC22=2,30,0),IF(117=$HK22,IF($JC22=1,30,0),ABS(21-$HC22)*100)),100000+ABS(5-$HB22)*1000+210)),IF($HD22=0,999999,IF(5=$HE22,IF(117=$HL22,IF($JD22=2,30,0),IF(117=$HM22,IF($JD22=1,30,0),ABS(21-$HF22)*100)),100000+ABS(5-$HE22)*1000+210)),IF($HG22=0,999999,IF(5=$HH22,IF(117=$HN22,IF($JE22=2,30,0),IF(117=$HO22,IF($JE22=1,30,0),ABS(21-$HI22)*100)),100000+ABS(5-$HH22)*1000+210)))-IF((117=$HJ22)+(117=$HK22)+(117=$HL22)+(117=$HM22)+(117=$HN22)+(117=$HO22)&gt;=2,50,0))+DP$5*50)</f>
        <v/>
      </c>
      <c r="DQ142">
        <f>IF(OR($JF22=0,calcA!$A$6=0),0,IF(OR(118=$HA22,118=$HD22,118=$HG22),200000,MIN(IF($HA22=0,999999,IF(5=$HB22,IF(118=$HJ22,IF($JC22=2,30,0),IF(118=$HK22,IF($JC22=1,30,0),ABS(22-$HC22)*100)),100000+ABS(5-$HB22)*1000+220)),IF($HD22=0,999999,IF(5=$HE22,IF(118=$HL22,IF($JD22=2,30,0),IF(118=$HM22,IF($JD22=1,30,0),ABS(22-$HF22)*100)),100000+ABS(5-$HE22)*1000+220)),IF($HG22=0,999999,IF(5=$HH22,IF(118=$HN22,IF($JE22=2,30,0),IF(118=$HO22,IF($JE22=1,30,0),ABS(22-$HI22)*100)),100000+ABS(5-$HH22)*1000+220)))-IF((118=$HJ22)+(118=$HK22)+(118=$HL22)+(118=$HM22)+(118=$HN22)+(118=$HO22)&gt;=2,50,0))+DQ$5*50)</f>
        <v/>
      </c>
      <c r="DR142">
        <f>IF(OR($JF22=0,calcA!$A$6=0),0,IF(OR(119=$HA22,119=$HD22,119=$HG22),200000,MIN(IF($HA22=0,999999,IF(5=$HB22,IF(119=$HJ22,IF($JC22=2,30,0),IF(119=$HK22,IF($JC22=1,30,0),ABS(23-$HC22)*100)),100000+ABS(5-$HB22)*1000+230)),IF($HD22=0,999999,IF(5=$HE22,IF(119=$HL22,IF($JD22=2,30,0),IF(119=$HM22,IF($JD22=1,30,0),ABS(23-$HF22)*100)),100000+ABS(5-$HE22)*1000+230)),IF($HG22=0,999999,IF(5=$HH22,IF(119=$HN22,IF($JE22=2,30,0),IF(119=$HO22,IF($JE22=1,30,0),ABS(23-$HI22)*100)),100000+ABS(5-$HH22)*1000+230)))-IF((119=$HJ22)+(119=$HK22)+(119=$HL22)+(119=$HM22)+(119=$HN22)+(119=$HO22)&gt;=2,50,0))+DR$5*50)</f>
        <v/>
      </c>
      <c r="DS142">
        <f>IF(OR($JF22=0,calcA!$A$6=0),0,IF(OR(120=$HA22,120=$HD22,120=$HG22),200000,MIN(IF($HA22=0,999999,IF(5=$HB22,IF(120=$HJ22,IF($JC22=2,30,0),IF(120=$HK22,IF($JC22=1,30,0),ABS(24-$HC22)*100)),100000+ABS(5-$HB22)*1000+240)),IF($HD22=0,999999,IF(5=$HE22,IF(120=$HL22,IF($JD22=2,30,0),IF(120=$HM22,IF($JD22=1,30,0),ABS(24-$HF22)*100)),100000+ABS(5-$HE22)*1000+240)),IF($HG22=0,999999,IF(5=$HH22,IF(120=$HN22,IF($JE22=2,30,0),IF(120=$HO22,IF($JE22=1,30,0),ABS(24-$HI22)*100)),100000+ABS(5-$HH22)*1000+240)))-IF((120=$HJ22)+(120=$HK22)+(120=$HL22)+(120=$HM22)+(120=$HN22)+(120=$HO22)&gt;=2,50,0))+DS$5*50)</f>
        <v/>
      </c>
      <c r="DT142">
        <f>IF(OR($JF22=0,calcA!$A$6=0),0,IF(OR(121=$HA22,121=$HD22,121=$HG22),200000,MIN(IF($HA22=0,999999,IF(6=$HB22,IF(121=$HJ22,IF($JC22=2,30,0),IF(121=$HK22,IF($JC22=1,30,0),ABS(1-$HC22)*100)),100000+ABS(6-$HB22)*1000+10)),IF($HD22=0,999999,IF(6=$HE22,IF(121=$HL22,IF($JD22=2,30,0),IF(121=$HM22,IF($JD22=1,30,0),ABS(1-$HF22)*100)),100000+ABS(6-$HE22)*1000+10)),IF($HG22=0,999999,IF(6=$HH22,IF(121=$HN22,IF($JE22=2,30,0),IF(121=$HO22,IF($JE22=1,30,0),ABS(1-$HI22)*100)),100000+ABS(6-$HH22)*1000+10)))-IF((121=$HJ22)+(121=$HK22)+(121=$HL22)+(121=$HM22)+(121=$HN22)+(121=$HO22)&gt;=2,50,0))+DT$5*50)</f>
        <v/>
      </c>
      <c r="DU142">
        <f>IF(OR($JF22=0,calcA!$A$6=0),0,IF(OR(122=$HA22,122=$HD22,122=$HG22),200000,MIN(IF($HA22=0,999999,IF(6=$HB22,IF(122=$HJ22,IF($JC22=2,30,0),IF(122=$HK22,IF($JC22=1,30,0),ABS(2-$HC22)*100)),100000+ABS(6-$HB22)*1000+20)),IF($HD22=0,999999,IF(6=$HE22,IF(122=$HL22,IF($JD22=2,30,0),IF(122=$HM22,IF($JD22=1,30,0),ABS(2-$HF22)*100)),100000+ABS(6-$HE22)*1000+20)),IF($HG22=0,999999,IF(6=$HH22,IF(122=$HN22,IF($JE22=2,30,0),IF(122=$HO22,IF($JE22=1,30,0),ABS(2-$HI22)*100)),100000+ABS(6-$HH22)*1000+20)))-IF((122=$HJ22)+(122=$HK22)+(122=$HL22)+(122=$HM22)+(122=$HN22)+(122=$HO22)&gt;=2,50,0))+DU$5*50)</f>
        <v/>
      </c>
      <c r="DV142">
        <f>IF(OR($JF22=0,calcA!$A$6=0),0,IF(OR(123=$HA22,123=$HD22,123=$HG22),200000,MIN(IF($HA22=0,999999,IF(6=$HB22,IF(123=$HJ22,IF($JC22=2,30,0),IF(123=$HK22,IF($JC22=1,30,0),ABS(3-$HC22)*100)),100000+ABS(6-$HB22)*1000+30)),IF($HD22=0,999999,IF(6=$HE22,IF(123=$HL22,IF($JD22=2,30,0),IF(123=$HM22,IF($JD22=1,30,0),ABS(3-$HF22)*100)),100000+ABS(6-$HE22)*1000+30)),IF($HG22=0,999999,IF(6=$HH22,IF(123=$HN22,IF($JE22=2,30,0),IF(123=$HO22,IF($JE22=1,30,0),ABS(3-$HI22)*100)),100000+ABS(6-$HH22)*1000+30)))-IF((123=$HJ22)+(123=$HK22)+(123=$HL22)+(123=$HM22)+(123=$HN22)+(123=$HO22)&gt;=2,50,0))+DV$5*50)</f>
        <v/>
      </c>
      <c r="DW142">
        <f>IF(OR($JF22=0,calcA!$A$6=0),0,IF(OR(124=$HA22,124=$HD22,124=$HG22),200000,MIN(IF($HA22=0,999999,IF(6=$HB22,IF(124=$HJ22,IF($JC22=2,30,0),IF(124=$HK22,IF($JC22=1,30,0),ABS(4-$HC22)*100)),100000+ABS(6-$HB22)*1000+40)),IF($HD22=0,999999,IF(6=$HE22,IF(124=$HL22,IF($JD22=2,30,0),IF(124=$HM22,IF($JD22=1,30,0),ABS(4-$HF22)*100)),100000+ABS(6-$HE22)*1000+40)),IF($HG22=0,999999,IF(6=$HH22,IF(124=$HN22,IF($JE22=2,30,0),IF(124=$HO22,IF($JE22=1,30,0),ABS(4-$HI22)*100)),100000+ABS(6-$HH22)*1000+40)))-IF((124=$HJ22)+(124=$HK22)+(124=$HL22)+(124=$HM22)+(124=$HN22)+(124=$HO22)&gt;=2,50,0))+DW$5*50)</f>
        <v/>
      </c>
      <c r="DX142">
        <f>IF(OR($JF22=0,calcA!$A$6=0),0,IF(OR(125=$HA22,125=$HD22,125=$HG22),200000,MIN(IF($HA22=0,999999,IF(6=$HB22,IF(125=$HJ22,IF($JC22=2,30,0),IF(125=$HK22,IF($JC22=1,30,0),ABS(5-$HC22)*100)),100000+ABS(6-$HB22)*1000+50)),IF($HD22=0,999999,IF(6=$HE22,IF(125=$HL22,IF($JD22=2,30,0),IF(125=$HM22,IF($JD22=1,30,0),ABS(5-$HF22)*100)),100000+ABS(6-$HE22)*1000+50)),IF($HG22=0,999999,IF(6=$HH22,IF(125=$HN22,IF($JE22=2,30,0),IF(125=$HO22,IF($JE22=1,30,0),ABS(5-$HI22)*100)),100000+ABS(6-$HH22)*1000+50)))-IF((125=$HJ22)+(125=$HK22)+(125=$HL22)+(125=$HM22)+(125=$HN22)+(125=$HO22)&gt;=2,50,0))+DX$5*50)</f>
        <v/>
      </c>
      <c r="DY142">
        <f>IF(OR($JF22=0,calcA!$A$6=0),0,IF(OR(126=$HA22,126=$HD22,126=$HG22),200000,MIN(IF($HA22=0,999999,IF(6=$HB22,IF(126=$HJ22,IF($JC22=2,30,0),IF(126=$HK22,IF($JC22=1,30,0),ABS(6-$HC22)*100)),100000+ABS(6-$HB22)*1000+60)),IF($HD22=0,999999,IF(6=$HE22,IF(126=$HL22,IF($JD22=2,30,0),IF(126=$HM22,IF($JD22=1,30,0),ABS(6-$HF22)*100)),100000+ABS(6-$HE22)*1000+60)),IF($HG22=0,999999,IF(6=$HH22,IF(126=$HN22,IF($JE22=2,30,0),IF(126=$HO22,IF($JE22=1,30,0),ABS(6-$HI22)*100)),100000+ABS(6-$HH22)*1000+60)))-IF((126=$HJ22)+(126=$HK22)+(126=$HL22)+(126=$HM22)+(126=$HN22)+(126=$HO22)&gt;=2,50,0))+DY$5*50)</f>
        <v/>
      </c>
      <c r="DZ142">
        <f>IF(OR($JF22=0,calcA!$A$6=0),0,IF(OR(127=$HA22,127=$HD22,127=$HG22),200000,MIN(IF($HA22=0,999999,IF(6=$HB22,IF(127=$HJ22,IF($JC22=2,30,0),IF(127=$HK22,IF($JC22=1,30,0),ABS(7-$HC22)*100)),100000+ABS(6-$HB22)*1000+70)),IF($HD22=0,999999,IF(6=$HE22,IF(127=$HL22,IF($JD22=2,30,0),IF(127=$HM22,IF($JD22=1,30,0),ABS(7-$HF22)*100)),100000+ABS(6-$HE22)*1000+70)),IF($HG22=0,999999,IF(6=$HH22,IF(127=$HN22,IF($JE22=2,30,0),IF(127=$HO22,IF($JE22=1,30,0),ABS(7-$HI22)*100)),100000+ABS(6-$HH22)*1000+70)))-IF((127=$HJ22)+(127=$HK22)+(127=$HL22)+(127=$HM22)+(127=$HN22)+(127=$HO22)&gt;=2,50,0))+DZ$5*50)</f>
        <v/>
      </c>
      <c r="EA142">
        <f>IF(OR($JF22=0,calcA!$A$6=0),0,IF(OR(128=$HA22,128=$HD22,128=$HG22),200000,MIN(IF($HA22=0,999999,IF(6=$HB22,IF(128=$HJ22,IF($JC22=2,30,0),IF(128=$HK22,IF($JC22=1,30,0),ABS(8-$HC22)*100)),100000+ABS(6-$HB22)*1000+80)),IF($HD22=0,999999,IF(6=$HE22,IF(128=$HL22,IF($JD22=2,30,0),IF(128=$HM22,IF($JD22=1,30,0),ABS(8-$HF22)*100)),100000+ABS(6-$HE22)*1000+80)),IF($HG22=0,999999,IF(6=$HH22,IF(128=$HN22,IF($JE22=2,30,0),IF(128=$HO22,IF($JE22=1,30,0),ABS(8-$HI22)*100)),100000+ABS(6-$HH22)*1000+80)))-IF((128=$HJ22)+(128=$HK22)+(128=$HL22)+(128=$HM22)+(128=$HN22)+(128=$HO22)&gt;=2,50,0))+EA$5*50)</f>
        <v/>
      </c>
      <c r="EB142">
        <f>IF(OR($JF22=0,calcA!$A$6=0),0,IF(OR(129=$HA22,129=$HD22,129=$HG22),200000,MIN(IF($HA22=0,999999,IF(6=$HB22,IF(129=$HJ22,IF($JC22=2,30,0),IF(129=$HK22,IF($JC22=1,30,0),ABS(9-$HC22)*100)),100000+ABS(6-$HB22)*1000+90)),IF($HD22=0,999999,IF(6=$HE22,IF(129=$HL22,IF($JD22=2,30,0),IF(129=$HM22,IF($JD22=1,30,0),ABS(9-$HF22)*100)),100000+ABS(6-$HE22)*1000+90)),IF($HG22=0,999999,IF(6=$HH22,IF(129=$HN22,IF($JE22=2,30,0),IF(129=$HO22,IF($JE22=1,30,0),ABS(9-$HI22)*100)),100000+ABS(6-$HH22)*1000+90)))-IF((129=$HJ22)+(129=$HK22)+(129=$HL22)+(129=$HM22)+(129=$HN22)+(129=$HO22)&gt;=2,50,0))+EB$5*50)</f>
        <v/>
      </c>
      <c r="EC142">
        <f>IF(OR($JF22=0,calcA!$A$6=0),0,IF(OR(130=$HA22,130=$HD22,130=$HG22),200000,MIN(IF($HA22=0,999999,IF(6=$HB22,IF(130=$HJ22,IF($JC22=2,30,0),IF(130=$HK22,IF($JC22=1,30,0),ABS(10-$HC22)*100)),100000+ABS(6-$HB22)*1000+100)),IF($HD22=0,999999,IF(6=$HE22,IF(130=$HL22,IF($JD22=2,30,0),IF(130=$HM22,IF($JD22=1,30,0),ABS(10-$HF22)*100)),100000+ABS(6-$HE22)*1000+100)),IF($HG22=0,999999,IF(6=$HH22,IF(130=$HN22,IF($JE22=2,30,0),IF(130=$HO22,IF($JE22=1,30,0),ABS(10-$HI22)*100)),100000+ABS(6-$HH22)*1000+100)))-IF((130=$HJ22)+(130=$HK22)+(130=$HL22)+(130=$HM22)+(130=$HN22)+(130=$HO22)&gt;=2,50,0))+EC$5*50)</f>
        <v/>
      </c>
      <c r="ED142">
        <f>IF(OR($JF22=0,calcA!$A$6=0),0,IF(OR(131=$HA22,131=$HD22,131=$HG22),200000,MIN(IF($HA22=0,999999,IF(6=$HB22,IF(131=$HJ22,IF($JC22=2,30,0),IF(131=$HK22,IF($JC22=1,30,0),ABS(11-$HC22)*100)),100000+ABS(6-$HB22)*1000+110)),IF($HD22=0,999999,IF(6=$HE22,IF(131=$HL22,IF($JD22=2,30,0),IF(131=$HM22,IF($JD22=1,30,0),ABS(11-$HF22)*100)),100000+ABS(6-$HE22)*1000+110)),IF($HG22=0,999999,IF(6=$HH22,IF(131=$HN22,IF($JE22=2,30,0),IF(131=$HO22,IF($JE22=1,30,0),ABS(11-$HI22)*100)),100000+ABS(6-$HH22)*1000+110)))-IF((131=$HJ22)+(131=$HK22)+(131=$HL22)+(131=$HM22)+(131=$HN22)+(131=$HO22)&gt;=2,50,0))+ED$5*50)</f>
        <v/>
      </c>
      <c r="EE142">
        <f>IF(OR($JF22=0,calcA!$A$6=0),0,IF(OR(132=$HA22,132=$HD22,132=$HG22),200000,MIN(IF($HA22=0,999999,IF(6=$HB22,IF(132=$HJ22,IF($JC22=2,30,0),IF(132=$HK22,IF($JC22=1,30,0),ABS(12-$HC22)*100)),100000+ABS(6-$HB22)*1000+120)),IF($HD22=0,999999,IF(6=$HE22,IF(132=$HL22,IF($JD22=2,30,0),IF(132=$HM22,IF($JD22=1,30,0),ABS(12-$HF22)*100)),100000+ABS(6-$HE22)*1000+120)),IF($HG22=0,999999,IF(6=$HH22,IF(132=$HN22,IF($JE22=2,30,0),IF(132=$HO22,IF($JE22=1,30,0),ABS(12-$HI22)*100)),100000+ABS(6-$HH22)*1000+120)))-IF((132=$HJ22)+(132=$HK22)+(132=$HL22)+(132=$HM22)+(132=$HN22)+(132=$HO22)&gt;=2,50,0))+EE$5*50)</f>
        <v/>
      </c>
      <c r="EF142">
        <f>IF(OR($JF22=0,calcA!$A$6=0),0,IF(OR(133=$HA22,133=$HD22,133=$HG22),200000,MIN(IF($HA22=0,999999,IF(6=$HB22,IF(133=$HJ22,IF($JC22=2,30,0),IF(133=$HK22,IF($JC22=1,30,0),ABS(13-$HC22)*100)),100000+ABS(6-$HB22)*1000+130)),IF($HD22=0,999999,IF(6=$HE22,IF(133=$HL22,IF($JD22=2,30,0),IF(133=$HM22,IF($JD22=1,30,0),ABS(13-$HF22)*100)),100000+ABS(6-$HE22)*1000+130)),IF($HG22=0,999999,IF(6=$HH22,IF(133=$HN22,IF($JE22=2,30,0),IF(133=$HO22,IF($JE22=1,30,0),ABS(13-$HI22)*100)),100000+ABS(6-$HH22)*1000+130)))-IF((133=$HJ22)+(133=$HK22)+(133=$HL22)+(133=$HM22)+(133=$HN22)+(133=$HO22)&gt;=2,50,0))+EF$5*50)</f>
        <v/>
      </c>
      <c r="EG142">
        <f>IF(OR($JF22=0,calcA!$A$6=0),0,IF(OR(134=$HA22,134=$HD22,134=$HG22),200000,MIN(IF($HA22=0,999999,IF(6=$HB22,IF(134=$HJ22,IF($JC22=2,30,0),IF(134=$HK22,IF($JC22=1,30,0),ABS(14-$HC22)*100)),100000+ABS(6-$HB22)*1000+140)),IF($HD22=0,999999,IF(6=$HE22,IF(134=$HL22,IF($JD22=2,30,0),IF(134=$HM22,IF($JD22=1,30,0),ABS(14-$HF22)*100)),100000+ABS(6-$HE22)*1000+140)),IF($HG22=0,999999,IF(6=$HH22,IF(134=$HN22,IF($JE22=2,30,0),IF(134=$HO22,IF($JE22=1,30,0),ABS(14-$HI22)*100)),100000+ABS(6-$HH22)*1000+140)))-IF((134=$HJ22)+(134=$HK22)+(134=$HL22)+(134=$HM22)+(134=$HN22)+(134=$HO22)&gt;=2,50,0))+EG$5*50)</f>
        <v/>
      </c>
      <c r="EH142">
        <f>IF(OR($JF22=0,calcA!$A$6=0),0,IF(OR(135=$HA22,135=$HD22,135=$HG22),200000,MIN(IF($HA22=0,999999,IF(6=$HB22,IF(135=$HJ22,IF($JC22=2,30,0),IF(135=$HK22,IF($JC22=1,30,0),ABS(15-$HC22)*100)),100000+ABS(6-$HB22)*1000+150)),IF($HD22=0,999999,IF(6=$HE22,IF(135=$HL22,IF($JD22=2,30,0),IF(135=$HM22,IF($JD22=1,30,0),ABS(15-$HF22)*100)),100000+ABS(6-$HE22)*1000+150)),IF($HG22=0,999999,IF(6=$HH22,IF(135=$HN22,IF($JE22=2,30,0),IF(135=$HO22,IF($JE22=1,30,0),ABS(15-$HI22)*100)),100000+ABS(6-$HH22)*1000+150)))-IF((135=$HJ22)+(135=$HK22)+(135=$HL22)+(135=$HM22)+(135=$HN22)+(135=$HO22)&gt;=2,50,0))+EH$5*50)</f>
        <v/>
      </c>
      <c r="EI142">
        <f>IF(OR($JF22=0,calcA!$A$6=0),0,IF(OR(136=$HA22,136=$HD22,136=$HG22),200000,MIN(IF($HA22=0,999999,IF(6=$HB22,IF(136=$HJ22,IF($JC22=2,30,0),IF(136=$HK22,IF($JC22=1,30,0),ABS(16-$HC22)*100)),100000+ABS(6-$HB22)*1000+160)),IF($HD22=0,999999,IF(6=$HE22,IF(136=$HL22,IF($JD22=2,30,0),IF(136=$HM22,IF($JD22=1,30,0),ABS(16-$HF22)*100)),100000+ABS(6-$HE22)*1000+160)),IF($HG22=0,999999,IF(6=$HH22,IF(136=$HN22,IF($JE22=2,30,0),IF(136=$HO22,IF($JE22=1,30,0),ABS(16-$HI22)*100)),100000+ABS(6-$HH22)*1000+160)))-IF((136=$HJ22)+(136=$HK22)+(136=$HL22)+(136=$HM22)+(136=$HN22)+(136=$HO22)&gt;=2,50,0))+EI$5*50)</f>
        <v/>
      </c>
      <c r="EJ142">
        <f>IF(OR($JF22=0,calcA!$A$6=0),0,IF(OR(137=$HA22,137=$HD22,137=$HG22),200000,MIN(IF($HA22=0,999999,IF(6=$HB22,IF(137=$HJ22,IF($JC22=2,30,0),IF(137=$HK22,IF($JC22=1,30,0),ABS(17-$HC22)*100)),100000+ABS(6-$HB22)*1000+170)),IF($HD22=0,999999,IF(6=$HE22,IF(137=$HL22,IF($JD22=2,30,0),IF(137=$HM22,IF($JD22=1,30,0),ABS(17-$HF22)*100)),100000+ABS(6-$HE22)*1000+170)),IF($HG22=0,999999,IF(6=$HH22,IF(137=$HN22,IF($JE22=2,30,0),IF(137=$HO22,IF($JE22=1,30,0),ABS(17-$HI22)*100)),100000+ABS(6-$HH22)*1000+170)))-IF((137=$HJ22)+(137=$HK22)+(137=$HL22)+(137=$HM22)+(137=$HN22)+(137=$HO22)&gt;=2,50,0))+EJ$5*50)</f>
        <v/>
      </c>
      <c r="EK142">
        <f>IF(OR($JF22=0,calcA!$A$6=0),0,IF(OR(138=$HA22,138=$HD22,138=$HG22),200000,MIN(IF($HA22=0,999999,IF(6=$HB22,IF(138=$HJ22,IF($JC22=2,30,0),IF(138=$HK22,IF($JC22=1,30,0),ABS(18-$HC22)*100)),100000+ABS(6-$HB22)*1000+180)),IF($HD22=0,999999,IF(6=$HE22,IF(138=$HL22,IF($JD22=2,30,0),IF(138=$HM22,IF($JD22=1,30,0),ABS(18-$HF22)*100)),100000+ABS(6-$HE22)*1000+180)),IF($HG22=0,999999,IF(6=$HH22,IF(138=$HN22,IF($JE22=2,30,0),IF(138=$HO22,IF($JE22=1,30,0),ABS(18-$HI22)*100)),100000+ABS(6-$HH22)*1000+180)))-IF((138=$HJ22)+(138=$HK22)+(138=$HL22)+(138=$HM22)+(138=$HN22)+(138=$HO22)&gt;=2,50,0))+EK$5*50)</f>
        <v/>
      </c>
      <c r="EL142">
        <f>IF(OR($JF22=0,calcA!$A$6=0),0,IF(OR(139=$HA22,139=$HD22,139=$HG22),200000,MIN(IF($HA22=0,999999,IF(6=$HB22,IF(139=$HJ22,IF($JC22=2,30,0),IF(139=$HK22,IF($JC22=1,30,0),ABS(19-$HC22)*100)),100000+ABS(6-$HB22)*1000+190)),IF($HD22=0,999999,IF(6=$HE22,IF(139=$HL22,IF($JD22=2,30,0),IF(139=$HM22,IF($JD22=1,30,0),ABS(19-$HF22)*100)),100000+ABS(6-$HE22)*1000+190)),IF($HG22=0,999999,IF(6=$HH22,IF(139=$HN22,IF($JE22=2,30,0),IF(139=$HO22,IF($JE22=1,30,0),ABS(19-$HI22)*100)),100000+ABS(6-$HH22)*1000+190)))-IF((139=$HJ22)+(139=$HK22)+(139=$HL22)+(139=$HM22)+(139=$HN22)+(139=$HO22)&gt;=2,50,0))+EL$5*50)</f>
        <v/>
      </c>
      <c r="EM142">
        <f>IF(OR($JF22=0,calcA!$A$6=0),0,IF(OR(140=$HA22,140=$HD22,140=$HG22),200000,MIN(IF($HA22=0,999999,IF(6=$HB22,IF(140=$HJ22,IF($JC22=2,30,0),IF(140=$HK22,IF($JC22=1,30,0),ABS(20-$HC22)*100)),100000+ABS(6-$HB22)*1000+200)),IF($HD22=0,999999,IF(6=$HE22,IF(140=$HL22,IF($JD22=2,30,0),IF(140=$HM22,IF($JD22=1,30,0),ABS(20-$HF22)*100)),100000+ABS(6-$HE22)*1000+200)),IF($HG22=0,999999,IF(6=$HH22,IF(140=$HN22,IF($JE22=2,30,0),IF(140=$HO22,IF($JE22=1,30,0),ABS(20-$HI22)*100)),100000+ABS(6-$HH22)*1000+200)))-IF((140=$HJ22)+(140=$HK22)+(140=$HL22)+(140=$HM22)+(140=$HN22)+(140=$HO22)&gt;=2,50,0))+EM$5*50)</f>
        <v/>
      </c>
      <c r="EN142">
        <f>IF(OR($JF22=0,calcA!$A$6=0),0,IF(OR(141=$HA22,141=$HD22,141=$HG22),200000,MIN(IF($HA22=0,999999,IF(6=$HB22,IF(141=$HJ22,IF($JC22=2,30,0),IF(141=$HK22,IF($JC22=1,30,0),ABS(21-$HC22)*100)),100000+ABS(6-$HB22)*1000+210)),IF($HD22=0,999999,IF(6=$HE22,IF(141=$HL22,IF($JD22=2,30,0),IF(141=$HM22,IF($JD22=1,30,0),ABS(21-$HF22)*100)),100000+ABS(6-$HE22)*1000+210)),IF($HG22=0,999999,IF(6=$HH22,IF(141=$HN22,IF($JE22=2,30,0),IF(141=$HO22,IF($JE22=1,30,0),ABS(21-$HI22)*100)),100000+ABS(6-$HH22)*1000+210)))-IF((141=$HJ22)+(141=$HK22)+(141=$HL22)+(141=$HM22)+(141=$HN22)+(141=$HO22)&gt;=2,50,0))+EN$5*50)</f>
        <v/>
      </c>
      <c r="EO142">
        <f>IF(OR($JF22=0,calcA!$A$6=0),0,IF(OR(142=$HA22,142=$HD22,142=$HG22),200000,MIN(IF($HA22=0,999999,IF(6=$HB22,IF(142=$HJ22,IF($JC22=2,30,0),IF(142=$HK22,IF($JC22=1,30,0),ABS(22-$HC22)*100)),100000+ABS(6-$HB22)*1000+220)),IF($HD22=0,999999,IF(6=$HE22,IF(142=$HL22,IF($JD22=2,30,0),IF(142=$HM22,IF($JD22=1,30,0),ABS(22-$HF22)*100)),100000+ABS(6-$HE22)*1000+220)),IF($HG22=0,999999,IF(6=$HH22,IF(142=$HN22,IF($JE22=2,30,0),IF(142=$HO22,IF($JE22=1,30,0),ABS(22-$HI22)*100)),100000+ABS(6-$HH22)*1000+220)))-IF((142=$HJ22)+(142=$HK22)+(142=$HL22)+(142=$HM22)+(142=$HN22)+(142=$HO22)&gt;=2,50,0))+EO$5*50)</f>
        <v/>
      </c>
      <c r="EP142">
        <f>IF(OR($JF22=0,calcA!$A$6=0),0,IF(OR(143=$HA22,143=$HD22,143=$HG22),200000,MIN(IF($HA22=0,999999,IF(6=$HB22,IF(143=$HJ22,IF($JC22=2,30,0),IF(143=$HK22,IF($JC22=1,30,0),ABS(23-$HC22)*100)),100000+ABS(6-$HB22)*1000+230)),IF($HD22=0,999999,IF(6=$HE22,IF(143=$HL22,IF($JD22=2,30,0),IF(143=$HM22,IF($JD22=1,30,0),ABS(23-$HF22)*100)),100000+ABS(6-$HE22)*1000+230)),IF($HG22=0,999999,IF(6=$HH22,IF(143=$HN22,IF($JE22=2,30,0),IF(143=$HO22,IF($JE22=1,30,0),ABS(23-$HI22)*100)),100000+ABS(6-$HH22)*1000+230)))-IF((143=$HJ22)+(143=$HK22)+(143=$HL22)+(143=$HM22)+(143=$HN22)+(143=$HO22)&gt;=2,50,0))+EP$5*50)</f>
        <v/>
      </c>
      <c r="EQ142">
        <f>IF(OR($JF22=0,calcA!$A$6=0),0,IF(OR(144=$HA22,144=$HD22,144=$HG22),200000,MIN(IF($HA22=0,999999,IF(6=$HB22,IF(144=$HJ22,IF($JC22=2,30,0),IF(144=$HK22,IF($JC22=1,30,0),ABS(24-$HC22)*100)),100000+ABS(6-$HB22)*1000+240)),IF($HD22=0,999999,IF(6=$HE22,IF(144=$HL22,IF($JD22=2,30,0),IF(144=$HM22,IF($JD22=1,30,0),ABS(24-$HF22)*100)),100000+ABS(6-$HE22)*1000+240)),IF($HG22=0,999999,IF(6=$HH22,IF(144=$HN22,IF($JE22=2,30,0),IF(144=$HO22,IF($JE22=1,30,0),ABS(24-$HI22)*100)),100000+ABS(6-$HH22)*1000+240)))-IF((144=$HJ22)+(144=$HK22)+(144=$HL22)+(144=$HM22)+(144=$HN22)+(144=$HO22)&gt;=2,50,0))+EQ$5*50)</f>
        <v/>
      </c>
    </row>
    <row r="143">
      <c r="D143">
        <f>IF(OR($JF23=0,calcA!$A$6=0),0,IF(OR(1=$HA23,1=$HD23,1=$HG23),200000,MIN(IF($HA23=0,999999,IF(1=$HB23,IF(1=$HJ23,IF($JC23=2,30,0),IF(1=$HK23,IF($JC23=1,30,0),ABS(1-$HC23)*100)),100000+ABS(1-$HB23)*1000+10)),IF($HD23=0,999999,IF(1=$HE23,IF(1=$HL23,IF($JD23=2,30,0),IF(1=$HM23,IF($JD23=1,30,0),ABS(1-$HF23)*100)),100000+ABS(1-$HE23)*1000+10)),IF($HG23=0,999999,IF(1=$HH23,IF(1=$HN23,IF($JE23=2,30,0),IF(1=$HO23,IF($JE23=1,30,0),ABS(1-$HI23)*100)),100000+ABS(1-$HH23)*1000+10)))-IF((1=$HJ23)+(1=$HK23)+(1=$HL23)+(1=$HM23)+(1=$HN23)+(1=$HO23)&gt;=2,50,0))+D$5*50)</f>
        <v/>
      </c>
      <c r="E143">
        <f>IF(OR($JF23=0,calcA!$A$6=0),0,IF(OR(2=$HA23,2=$HD23,2=$HG23),200000,MIN(IF($HA23=0,999999,IF(1=$HB23,IF(2=$HJ23,IF($JC23=2,30,0),IF(2=$HK23,IF($JC23=1,30,0),ABS(2-$HC23)*100)),100000+ABS(1-$HB23)*1000+20)),IF($HD23=0,999999,IF(1=$HE23,IF(2=$HL23,IF($JD23=2,30,0),IF(2=$HM23,IF($JD23=1,30,0),ABS(2-$HF23)*100)),100000+ABS(1-$HE23)*1000+20)),IF($HG23=0,999999,IF(1=$HH23,IF(2=$HN23,IF($JE23=2,30,0),IF(2=$HO23,IF($JE23=1,30,0),ABS(2-$HI23)*100)),100000+ABS(1-$HH23)*1000+20)))-IF((2=$HJ23)+(2=$HK23)+(2=$HL23)+(2=$HM23)+(2=$HN23)+(2=$HO23)&gt;=2,50,0))+E$5*50)</f>
        <v/>
      </c>
      <c r="F143">
        <f>IF(OR($JF23=0,calcA!$A$6=0),0,IF(OR(3=$HA23,3=$HD23,3=$HG23),200000,MIN(IF($HA23=0,999999,IF(1=$HB23,IF(3=$HJ23,IF($JC23=2,30,0),IF(3=$HK23,IF($JC23=1,30,0),ABS(3-$HC23)*100)),100000+ABS(1-$HB23)*1000+30)),IF($HD23=0,999999,IF(1=$HE23,IF(3=$HL23,IF($JD23=2,30,0),IF(3=$HM23,IF($JD23=1,30,0),ABS(3-$HF23)*100)),100000+ABS(1-$HE23)*1000+30)),IF($HG23=0,999999,IF(1=$HH23,IF(3=$HN23,IF($JE23=2,30,0),IF(3=$HO23,IF($JE23=1,30,0),ABS(3-$HI23)*100)),100000+ABS(1-$HH23)*1000+30)))-IF((3=$HJ23)+(3=$HK23)+(3=$HL23)+(3=$HM23)+(3=$HN23)+(3=$HO23)&gt;=2,50,0))+F$5*50)</f>
        <v/>
      </c>
      <c r="G143">
        <f>IF(OR($JF23=0,calcA!$A$6=0),0,IF(OR(4=$HA23,4=$HD23,4=$HG23),200000,MIN(IF($HA23=0,999999,IF(1=$HB23,IF(4=$HJ23,IF($JC23=2,30,0),IF(4=$HK23,IF($JC23=1,30,0),ABS(4-$HC23)*100)),100000+ABS(1-$HB23)*1000+40)),IF($HD23=0,999999,IF(1=$HE23,IF(4=$HL23,IF($JD23=2,30,0),IF(4=$HM23,IF($JD23=1,30,0),ABS(4-$HF23)*100)),100000+ABS(1-$HE23)*1000+40)),IF($HG23=0,999999,IF(1=$HH23,IF(4=$HN23,IF($JE23=2,30,0),IF(4=$HO23,IF($JE23=1,30,0),ABS(4-$HI23)*100)),100000+ABS(1-$HH23)*1000+40)))-IF((4=$HJ23)+(4=$HK23)+(4=$HL23)+(4=$HM23)+(4=$HN23)+(4=$HO23)&gt;=2,50,0))+G$5*50)</f>
        <v/>
      </c>
      <c r="H143">
        <f>IF(OR($JF23=0,calcA!$A$6=0),0,IF(OR(5=$HA23,5=$HD23,5=$HG23),200000,MIN(IF($HA23=0,999999,IF(1=$HB23,IF(5=$HJ23,IF($JC23=2,30,0),IF(5=$HK23,IF($JC23=1,30,0),ABS(5-$HC23)*100)),100000+ABS(1-$HB23)*1000+50)),IF($HD23=0,999999,IF(1=$HE23,IF(5=$HL23,IF($JD23=2,30,0),IF(5=$HM23,IF($JD23=1,30,0),ABS(5-$HF23)*100)),100000+ABS(1-$HE23)*1000+50)),IF($HG23=0,999999,IF(1=$HH23,IF(5=$HN23,IF($JE23=2,30,0),IF(5=$HO23,IF($JE23=1,30,0),ABS(5-$HI23)*100)),100000+ABS(1-$HH23)*1000+50)))-IF((5=$HJ23)+(5=$HK23)+(5=$HL23)+(5=$HM23)+(5=$HN23)+(5=$HO23)&gt;=2,50,0))+H$5*50)</f>
        <v/>
      </c>
      <c r="I143">
        <f>IF(OR($JF23=0,calcA!$A$6=0),0,IF(OR(6=$HA23,6=$HD23,6=$HG23),200000,MIN(IF($HA23=0,999999,IF(1=$HB23,IF(6=$HJ23,IF($JC23=2,30,0),IF(6=$HK23,IF($JC23=1,30,0),ABS(6-$HC23)*100)),100000+ABS(1-$HB23)*1000+60)),IF($HD23=0,999999,IF(1=$HE23,IF(6=$HL23,IF($JD23=2,30,0),IF(6=$HM23,IF($JD23=1,30,0),ABS(6-$HF23)*100)),100000+ABS(1-$HE23)*1000+60)),IF($HG23=0,999999,IF(1=$HH23,IF(6=$HN23,IF($JE23=2,30,0),IF(6=$HO23,IF($JE23=1,30,0),ABS(6-$HI23)*100)),100000+ABS(1-$HH23)*1000+60)))-IF((6=$HJ23)+(6=$HK23)+(6=$HL23)+(6=$HM23)+(6=$HN23)+(6=$HO23)&gt;=2,50,0))+I$5*50)</f>
        <v/>
      </c>
      <c r="J143">
        <f>IF(OR($JF23=0,calcA!$A$6=0),0,IF(OR(7=$HA23,7=$HD23,7=$HG23),200000,MIN(IF($HA23=0,999999,IF(1=$HB23,IF(7=$HJ23,IF($JC23=2,30,0),IF(7=$HK23,IF($JC23=1,30,0),ABS(7-$HC23)*100)),100000+ABS(1-$HB23)*1000+70)),IF($HD23=0,999999,IF(1=$HE23,IF(7=$HL23,IF($JD23=2,30,0),IF(7=$HM23,IF($JD23=1,30,0),ABS(7-$HF23)*100)),100000+ABS(1-$HE23)*1000+70)),IF($HG23=0,999999,IF(1=$HH23,IF(7=$HN23,IF($JE23=2,30,0),IF(7=$HO23,IF($JE23=1,30,0),ABS(7-$HI23)*100)),100000+ABS(1-$HH23)*1000+70)))-IF((7=$HJ23)+(7=$HK23)+(7=$HL23)+(7=$HM23)+(7=$HN23)+(7=$HO23)&gt;=2,50,0))+J$5*50)</f>
        <v/>
      </c>
      <c r="K143">
        <f>IF(OR($JF23=0,calcA!$A$6=0),0,IF(OR(8=$HA23,8=$HD23,8=$HG23),200000,MIN(IF($HA23=0,999999,IF(1=$HB23,IF(8=$HJ23,IF($JC23=2,30,0),IF(8=$HK23,IF($JC23=1,30,0),ABS(8-$HC23)*100)),100000+ABS(1-$HB23)*1000+80)),IF($HD23=0,999999,IF(1=$HE23,IF(8=$HL23,IF($JD23=2,30,0),IF(8=$HM23,IF($JD23=1,30,0),ABS(8-$HF23)*100)),100000+ABS(1-$HE23)*1000+80)),IF($HG23=0,999999,IF(1=$HH23,IF(8=$HN23,IF($JE23=2,30,0),IF(8=$HO23,IF($JE23=1,30,0),ABS(8-$HI23)*100)),100000+ABS(1-$HH23)*1000+80)))-IF((8=$HJ23)+(8=$HK23)+(8=$HL23)+(8=$HM23)+(8=$HN23)+(8=$HO23)&gt;=2,50,0))+K$5*50)</f>
        <v/>
      </c>
      <c r="L143">
        <f>IF(OR($JF23=0,calcA!$A$6=0),0,IF(OR(9=$HA23,9=$HD23,9=$HG23),200000,MIN(IF($HA23=0,999999,IF(1=$HB23,IF(9=$HJ23,IF($JC23=2,30,0),IF(9=$HK23,IF($JC23=1,30,0),ABS(9-$HC23)*100)),100000+ABS(1-$HB23)*1000+90)),IF($HD23=0,999999,IF(1=$HE23,IF(9=$HL23,IF($JD23=2,30,0),IF(9=$HM23,IF($JD23=1,30,0),ABS(9-$HF23)*100)),100000+ABS(1-$HE23)*1000+90)),IF($HG23=0,999999,IF(1=$HH23,IF(9=$HN23,IF($JE23=2,30,0),IF(9=$HO23,IF($JE23=1,30,0),ABS(9-$HI23)*100)),100000+ABS(1-$HH23)*1000+90)))-IF((9=$HJ23)+(9=$HK23)+(9=$HL23)+(9=$HM23)+(9=$HN23)+(9=$HO23)&gt;=2,50,0))+L$5*50)</f>
        <v/>
      </c>
      <c r="M143">
        <f>IF(OR($JF23=0,calcA!$A$6=0),0,IF(OR(10=$HA23,10=$HD23,10=$HG23),200000,MIN(IF($HA23=0,999999,IF(1=$HB23,IF(10=$HJ23,IF($JC23=2,30,0),IF(10=$HK23,IF($JC23=1,30,0),ABS(10-$HC23)*100)),100000+ABS(1-$HB23)*1000+100)),IF($HD23=0,999999,IF(1=$HE23,IF(10=$HL23,IF($JD23=2,30,0),IF(10=$HM23,IF($JD23=1,30,0),ABS(10-$HF23)*100)),100000+ABS(1-$HE23)*1000+100)),IF($HG23=0,999999,IF(1=$HH23,IF(10=$HN23,IF($JE23=2,30,0),IF(10=$HO23,IF($JE23=1,30,0),ABS(10-$HI23)*100)),100000+ABS(1-$HH23)*1000+100)))-IF((10=$HJ23)+(10=$HK23)+(10=$HL23)+(10=$HM23)+(10=$HN23)+(10=$HO23)&gt;=2,50,0))+M$5*50)</f>
        <v/>
      </c>
      <c r="N143">
        <f>IF(OR($JF23=0,calcA!$A$6=0),0,IF(OR(11=$HA23,11=$HD23,11=$HG23),200000,MIN(IF($HA23=0,999999,IF(1=$HB23,IF(11=$HJ23,IF($JC23=2,30,0),IF(11=$HK23,IF($JC23=1,30,0),ABS(11-$HC23)*100)),100000+ABS(1-$HB23)*1000+110)),IF($HD23=0,999999,IF(1=$HE23,IF(11=$HL23,IF($JD23=2,30,0),IF(11=$HM23,IF($JD23=1,30,0),ABS(11-$HF23)*100)),100000+ABS(1-$HE23)*1000+110)),IF($HG23=0,999999,IF(1=$HH23,IF(11=$HN23,IF($JE23=2,30,0),IF(11=$HO23,IF($JE23=1,30,0),ABS(11-$HI23)*100)),100000+ABS(1-$HH23)*1000+110)))-IF((11=$HJ23)+(11=$HK23)+(11=$HL23)+(11=$HM23)+(11=$HN23)+(11=$HO23)&gt;=2,50,0))+N$5*50)</f>
        <v/>
      </c>
      <c r="O143">
        <f>IF(OR($JF23=0,calcA!$A$6=0),0,IF(OR(12=$HA23,12=$HD23,12=$HG23),200000,MIN(IF($HA23=0,999999,IF(1=$HB23,IF(12=$HJ23,IF($JC23=2,30,0),IF(12=$HK23,IF($JC23=1,30,0),ABS(12-$HC23)*100)),100000+ABS(1-$HB23)*1000+120)),IF($HD23=0,999999,IF(1=$HE23,IF(12=$HL23,IF($JD23=2,30,0),IF(12=$HM23,IF($JD23=1,30,0),ABS(12-$HF23)*100)),100000+ABS(1-$HE23)*1000+120)),IF($HG23=0,999999,IF(1=$HH23,IF(12=$HN23,IF($JE23=2,30,0),IF(12=$HO23,IF($JE23=1,30,0),ABS(12-$HI23)*100)),100000+ABS(1-$HH23)*1000+120)))-IF((12=$HJ23)+(12=$HK23)+(12=$HL23)+(12=$HM23)+(12=$HN23)+(12=$HO23)&gt;=2,50,0))+O$5*50)</f>
        <v/>
      </c>
      <c r="P143">
        <f>IF(OR($JF23=0,calcA!$A$6=0),0,IF(OR(13=$HA23,13=$HD23,13=$HG23),200000,MIN(IF($HA23=0,999999,IF(1=$HB23,IF(13=$HJ23,IF($JC23=2,30,0),IF(13=$HK23,IF($JC23=1,30,0),ABS(13-$HC23)*100)),100000+ABS(1-$HB23)*1000+130)),IF($HD23=0,999999,IF(1=$HE23,IF(13=$HL23,IF($JD23=2,30,0),IF(13=$HM23,IF($JD23=1,30,0),ABS(13-$HF23)*100)),100000+ABS(1-$HE23)*1000+130)),IF($HG23=0,999999,IF(1=$HH23,IF(13=$HN23,IF($JE23=2,30,0),IF(13=$HO23,IF($JE23=1,30,0),ABS(13-$HI23)*100)),100000+ABS(1-$HH23)*1000+130)))-IF((13=$HJ23)+(13=$HK23)+(13=$HL23)+(13=$HM23)+(13=$HN23)+(13=$HO23)&gt;=2,50,0))+P$5*50)</f>
        <v/>
      </c>
      <c r="Q143">
        <f>IF(OR($JF23=0,calcA!$A$6=0),0,IF(OR(14=$HA23,14=$HD23,14=$HG23),200000,MIN(IF($HA23=0,999999,IF(1=$HB23,IF(14=$HJ23,IF($JC23=2,30,0),IF(14=$HK23,IF($JC23=1,30,0),ABS(14-$HC23)*100)),100000+ABS(1-$HB23)*1000+140)),IF($HD23=0,999999,IF(1=$HE23,IF(14=$HL23,IF($JD23=2,30,0),IF(14=$HM23,IF($JD23=1,30,0),ABS(14-$HF23)*100)),100000+ABS(1-$HE23)*1000+140)),IF($HG23=0,999999,IF(1=$HH23,IF(14=$HN23,IF($JE23=2,30,0),IF(14=$HO23,IF($JE23=1,30,0),ABS(14-$HI23)*100)),100000+ABS(1-$HH23)*1000+140)))-IF((14=$HJ23)+(14=$HK23)+(14=$HL23)+(14=$HM23)+(14=$HN23)+(14=$HO23)&gt;=2,50,0))+Q$5*50)</f>
        <v/>
      </c>
      <c r="R143">
        <f>IF(OR($JF23=0,calcA!$A$6=0),0,IF(OR(15=$HA23,15=$HD23,15=$HG23),200000,MIN(IF($HA23=0,999999,IF(1=$HB23,IF(15=$HJ23,IF($JC23=2,30,0),IF(15=$HK23,IF($JC23=1,30,0),ABS(15-$HC23)*100)),100000+ABS(1-$HB23)*1000+150)),IF($HD23=0,999999,IF(1=$HE23,IF(15=$HL23,IF($JD23=2,30,0),IF(15=$HM23,IF($JD23=1,30,0),ABS(15-$HF23)*100)),100000+ABS(1-$HE23)*1000+150)),IF($HG23=0,999999,IF(1=$HH23,IF(15=$HN23,IF($JE23=2,30,0),IF(15=$HO23,IF($JE23=1,30,0),ABS(15-$HI23)*100)),100000+ABS(1-$HH23)*1000+150)))-IF((15=$HJ23)+(15=$HK23)+(15=$HL23)+(15=$HM23)+(15=$HN23)+(15=$HO23)&gt;=2,50,0))+R$5*50)</f>
        <v/>
      </c>
      <c r="S143">
        <f>IF(OR($JF23=0,calcA!$A$6=0),0,IF(OR(16=$HA23,16=$HD23,16=$HG23),200000,MIN(IF($HA23=0,999999,IF(1=$HB23,IF(16=$HJ23,IF($JC23=2,30,0),IF(16=$HK23,IF($JC23=1,30,0),ABS(16-$HC23)*100)),100000+ABS(1-$HB23)*1000+160)),IF($HD23=0,999999,IF(1=$HE23,IF(16=$HL23,IF($JD23=2,30,0),IF(16=$HM23,IF($JD23=1,30,0),ABS(16-$HF23)*100)),100000+ABS(1-$HE23)*1000+160)),IF($HG23=0,999999,IF(1=$HH23,IF(16=$HN23,IF($JE23=2,30,0),IF(16=$HO23,IF($JE23=1,30,0),ABS(16-$HI23)*100)),100000+ABS(1-$HH23)*1000+160)))-IF((16=$HJ23)+(16=$HK23)+(16=$HL23)+(16=$HM23)+(16=$HN23)+(16=$HO23)&gt;=2,50,0))+S$5*50)</f>
        <v/>
      </c>
      <c r="T143">
        <f>IF(OR($JF23=0,calcA!$A$6=0),0,IF(OR(17=$HA23,17=$HD23,17=$HG23),200000,MIN(IF($HA23=0,999999,IF(1=$HB23,IF(17=$HJ23,IF($JC23=2,30,0),IF(17=$HK23,IF($JC23=1,30,0),ABS(17-$HC23)*100)),100000+ABS(1-$HB23)*1000+170)),IF($HD23=0,999999,IF(1=$HE23,IF(17=$HL23,IF($JD23=2,30,0),IF(17=$HM23,IF($JD23=1,30,0),ABS(17-$HF23)*100)),100000+ABS(1-$HE23)*1000+170)),IF($HG23=0,999999,IF(1=$HH23,IF(17=$HN23,IF($JE23=2,30,0),IF(17=$HO23,IF($JE23=1,30,0),ABS(17-$HI23)*100)),100000+ABS(1-$HH23)*1000+170)))-IF((17=$HJ23)+(17=$HK23)+(17=$HL23)+(17=$HM23)+(17=$HN23)+(17=$HO23)&gt;=2,50,0))+T$5*50)</f>
        <v/>
      </c>
      <c r="U143">
        <f>IF(OR($JF23=0,calcA!$A$6=0),0,IF(OR(18=$HA23,18=$HD23,18=$HG23),200000,MIN(IF($HA23=0,999999,IF(1=$HB23,IF(18=$HJ23,IF($JC23=2,30,0),IF(18=$HK23,IF($JC23=1,30,0),ABS(18-$HC23)*100)),100000+ABS(1-$HB23)*1000+180)),IF($HD23=0,999999,IF(1=$HE23,IF(18=$HL23,IF($JD23=2,30,0),IF(18=$HM23,IF($JD23=1,30,0),ABS(18-$HF23)*100)),100000+ABS(1-$HE23)*1000+180)),IF($HG23=0,999999,IF(1=$HH23,IF(18=$HN23,IF($JE23=2,30,0),IF(18=$HO23,IF($JE23=1,30,0),ABS(18-$HI23)*100)),100000+ABS(1-$HH23)*1000+180)))-IF((18=$HJ23)+(18=$HK23)+(18=$HL23)+(18=$HM23)+(18=$HN23)+(18=$HO23)&gt;=2,50,0))+U$5*50)</f>
        <v/>
      </c>
      <c r="V143">
        <f>IF(OR($JF23=0,calcA!$A$6=0),0,IF(OR(19=$HA23,19=$HD23,19=$HG23),200000,MIN(IF($HA23=0,999999,IF(1=$HB23,IF(19=$HJ23,IF($JC23=2,30,0),IF(19=$HK23,IF($JC23=1,30,0),ABS(19-$HC23)*100)),100000+ABS(1-$HB23)*1000+190)),IF($HD23=0,999999,IF(1=$HE23,IF(19=$HL23,IF($JD23=2,30,0),IF(19=$HM23,IF($JD23=1,30,0),ABS(19-$HF23)*100)),100000+ABS(1-$HE23)*1000+190)),IF($HG23=0,999999,IF(1=$HH23,IF(19=$HN23,IF($JE23=2,30,0),IF(19=$HO23,IF($JE23=1,30,0),ABS(19-$HI23)*100)),100000+ABS(1-$HH23)*1000+190)))-IF((19=$HJ23)+(19=$HK23)+(19=$HL23)+(19=$HM23)+(19=$HN23)+(19=$HO23)&gt;=2,50,0))+V$5*50)</f>
        <v/>
      </c>
      <c r="W143">
        <f>IF(OR($JF23=0,calcA!$A$6=0),0,IF(OR(20=$HA23,20=$HD23,20=$HG23),200000,MIN(IF($HA23=0,999999,IF(1=$HB23,IF(20=$HJ23,IF($JC23=2,30,0),IF(20=$HK23,IF($JC23=1,30,0),ABS(20-$HC23)*100)),100000+ABS(1-$HB23)*1000+200)),IF($HD23=0,999999,IF(1=$HE23,IF(20=$HL23,IF($JD23=2,30,0),IF(20=$HM23,IF($JD23=1,30,0),ABS(20-$HF23)*100)),100000+ABS(1-$HE23)*1000+200)),IF($HG23=0,999999,IF(1=$HH23,IF(20=$HN23,IF($JE23=2,30,0),IF(20=$HO23,IF($JE23=1,30,0),ABS(20-$HI23)*100)),100000+ABS(1-$HH23)*1000+200)))-IF((20=$HJ23)+(20=$HK23)+(20=$HL23)+(20=$HM23)+(20=$HN23)+(20=$HO23)&gt;=2,50,0))+W$5*50)</f>
        <v/>
      </c>
      <c r="X143">
        <f>IF(OR($JF23=0,calcA!$A$6=0),0,IF(OR(21=$HA23,21=$HD23,21=$HG23),200000,MIN(IF($HA23=0,999999,IF(1=$HB23,IF(21=$HJ23,IF($JC23=2,30,0),IF(21=$HK23,IF($JC23=1,30,0),ABS(21-$HC23)*100)),100000+ABS(1-$HB23)*1000+210)),IF($HD23=0,999999,IF(1=$HE23,IF(21=$HL23,IF($JD23=2,30,0),IF(21=$HM23,IF($JD23=1,30,0),ABS(21-$HF23)*100)),100000+ABS(1-$HE23)*1000+210)),IF($HG23=0,999999,IF(1=$HH23,IF(21=$HN23,IF($JE23=2,30,0),IF(21=$HO23,IF($JE23=1,30,0),ABS(21-$HI23)*100)),100000+ABS(1-$HH23)*1000+210)))-IF((21=$HJ23)+(21=$HK23)+(21=$HL23)+(21=$HM23)+(21=$HN23)+(21=$HO23)&gt;=2,50,0))+X$5*50)</f>
        <v/>
      </c>
      <c r="Y143">
        <f>IF(OR($JF23=0,calcA!$A$6=0),0,IF(OR(22=$HA23,22=$HD23,22=$HG23),200000,MIN(IF($HA23=0,999999,IF(1=$HB23,IF(22=$HJ23,IF($JC23=2,30,0),IF(22=$HK23,IF($JC23=1,30,0),ABS(22-$HC23)*100)),100000+ABS(1-$HB23)*1000+220)),IF($HD23=0,999999,IF(1=$HE23,IF(22=$HL23,IF($JD23=2,30,0),IF(22=$HM23,IF($JD23=1,30,0),ABS(22-$HF23)*100)),100000+ABS(1-$HE23)*1000+220)),IF($HG23=0,999999,IF(1=$HH23,IF(22=$HN23,IF($JE23=2,30,0),IF(22=$HO23,IF($JE23=1,30,0),ABS(22-$HI23)*100)),100000+ABS(1-$HH23)*1000+220)))-IF((22=$HJ23)+(22=$HK23)+(22=$HL23)+(22=$HM23)+(22=$HN23)+(22=$HO23)&gt;=2,50,0))+Y$5*50)</f>
        <v/>
      </c>
      <c r="Z143">
        <f>IF(OR($JF23=0,calcA!$A$6=0),0,IF(OR(23=$HA23,23=$HD23,23=$HG23),200000,MIN(IF($HA23=0,999999,IF(1=$HB23,IF(23=$HJ23,IF($JC23=2,30,0),IF(23=$HK23,IF($JC23=1,30,0),ABS(23-$HC23)*100)),100000+ABS(1-$HB23)*1000+230)),IF($HD23=0,999999,IF(1=$HE23,IF(23=$HL23,IF($JD23=2,30,0),IF(23=$HM23,IF($JD23=1,30,0),ABS(23-$HF23)*100)),100000+ABS(1-$HE23)*1000+230)),IF($HG23=0,999999,IF(1=$HH23,IF(23=$HN23,IF($JE23=2,30,0),IF(23=$HO23,IF($JE23=1,30,0),ABS(23-$HI23)*100)),100000+ABS(1-$HH23)*1000+230)))-IF((23=$HJ23)+(23=$HK23)+(23=$HL23)+(23=$HM23)+(23=$HN23)+(23=$HO23)&gt;=2,50,0))+Z$5*50)</f>
        <v/>
      </c>
      <c r="AA143">
        <f>IF(OR($JF23=0,calcA!$A$6=0),0,IF(OR(24=$HA23,24=$HD23,24=$HG23),200000,MIN(IF($HA23=0,999999,IF(1=$HB23,IF(24=$HJ23,IF($JC23=2,30,0),IF(24=$HK23,IF($JC23=1,30,0),ABS(24-$HC23)*100)),100000+ABS(1-$HB23)*1000+240)),IF($HD23=0,999999,IF(1=$HE23,IF(24=$HL23,IF($JD23=2,30,0),IF(24=$HM23,IF($JD23=1,30,0),ABS(24-$HF23)*100)),100000+ABS(1-$HE23)*1000+240)),IF($HG23=0,999999,IF(1=$HH23,IF(24=$HN23,IF($JE23=2,30,0),IF(24=$HO23,IF($JE23=1,30,0),ABS(24-$HI23)*100)),100000+ABS(1-$HH23)*1000+240)))-IF((24=$HJ23)+(24=$HK23)+(24=$HL23)+(24=$HM23)+(24=$HN23)+(24=$HO23)&gt;=2,50,0))+AA$5*50)</f>
        <v/>
      </c>
      <c r="AB143">
        <f>IF(OR($JF23=0,calcA!$A$6=0),0,IF(OR(25=$HA23,25=$HD23,25=$HG23),200000,MIN(IF($HA23=0,999999,IF(2=$HB23,IF(25=$HJ23,IF($JC23=2,30,0),IF(25=$HK23,IF($JC23=1,30,0),ABS(1-$HC23)*100)),100000+ABS(2-$HB23)*1000+10)),IF($HD23=0,999999,IF(2=$HE23,IF(25=$HL23,IF($JD23=2,30,0),IF(25=$HM23,IF($JD23=1,30,0),ABS(1-$HF23)*100)),100000+ABS(2-$HE23)*1000+10)),IF($HG23=0,999999,IF(2=$HH23,IF(25=$HN23,IF($JE23=2,30,0),IF(25=$HO23,IF($JE23=1,30,0),ABS(1-$HI23)*100)),100000+ABS(2-$HH23)*1000+10)))-IF((25=$HJ23)+(25=$HK23)+(25=$HL23)+(25=$HM23)+(25=$HN23)+(25=$HO23)&gt;=2,50,0))+AB$5*50)</f>
        <v/>
      </c>
      <c r="AC143">
        <f>IF(OR($JF23=0,calcA!$A$6=0),0,IF(OR(26=$HA23,26=$HD23,26=$HG23),200000,MIN(IF($HA23=0,999999,IF(2=$HB23,IF(26=$HJ23,IF($JC23=2,30,0),IF(26=$HK23,IF($JC23=1,30,0),ABS(2-$HC23)*100)),100000+ABS(2-$HB23)*1000+20)),IF($HD23=0,999999,IF(2=$HE23,IF(26=$HL23,IF($JD23=2,30,0),IF(26=$HM23,IF($JD23=1,30,0),ABS(2-$HF23)*100)),100000+ABS(2-$HE23)*1000+20)),IF($HG23=0,999999,IF(2=$HH23,IF(26=$HN23,IF($JE23=2,30,0),IF(26=$HO23,IF($JE23=1,30,0),ABS(2-$HI23)*100)),100000+ABS(2-$HH23)*1000+20)))-IF((26=$HJ23)+(26=$HK23)+(26=$HL23)+(26=$HM23)+(26=$HN23)+(26=$HO23)&gt;=2,50,0))+AC$5*50)</f>
        <v/>
      </c>
      <c r="AD143">
        <f>IF(OR($JF23=0,calcA!$A$6=0),0,IF(OR(27=$HA23,27=$HD23,27=$HG23),200000,MIN(IF($HA23=0,999999,IF(2=$HB23,IF(27=$HJ23,IF($JC23=2,30,0),IF(27=$HK23,IF($JC23=1,30,0),ABS(3-$HC23)*100)),100000+ABS(2-$HB23)*1000+30)),IF($HD23=0,999999,IF(2=$HE23,IF(27=$HL23,IF($JD23=2,30,0),IF(27=$HM23,IF($JD23=1,30,0),ABS(3-$HF23)*100)),100000+ABS(2-$HE23)*1000+30)),IF($HG23=0,999999,IF(2=$HH23,IF(27=$HN23,IF($JE23=2,30,0),IF(27=$HO23,IF($JE23=1,30,0),ABS(3-$HI23)*100)),100000+ABS(2-$HH23)*1000+30)))-IF((27=$HJ23)+(27=$HK23)+(27=$HL23)+(27=$HM23)+(27=$HN23)+(27=$HO23)&gt;=2,50,0))+AD$5*50)</f>
        <v/>
      </c>
      <c r="AE143">
        <f>IF(OR($JF23=0,calcA!$A$6=0),0,IF(OR(28=$HA23,28=$HD23,28=$HG23),200000,MIN(IF($HA23=0,999999,IF(2=$HB23,IF(28=$HJ23,IF($JC23=2,30,0),IF(28=$HK23,IF($JC23=1,30,0),ABS(4-$HC23)*100)),100000+ABS(2-$HB23)*1000+40)),IF($HD23=0,999999,IF(2=$HE23,IF(28=$HL23,IF($JD23=2,30,0),IF(28=$HM23,IF($JD23=1,30,0),ABS(4-$HF23)*100)),100000+ABS(2-$HE23)*1000+40)),IF($HG23=0,999999,IF(2=$HH23,IF(28=$HN23,IF($JE23=2,30,0),IF(28=$HO23,IF($JE23=1,30,0),ABS(4-$HI23)*100)),100000+ABS(2-$HH23)*1000+40)))-IF((28=$HJ23)+(28=$HK23)+(28=$HL23)+(28=$HM23)+(28=$HN23)+(28=$HO23)&gt;=2,50,0))+AE$5*50)</f>
        <v/>
      </c>
      <c r="AF143">
        <f>IF(OR($JF23=0,calcA!$A$6=0),0,IF(OR(29=$HA23,29=$HD23,29=$HG23),200000,MIN(IF($HA23=0,999999,IF(2=$HB23,IF(29=$HJ23,IF($JC23=2,30,0),IF(29=$HK23,IF($JC23=1,30,0),ABS(5-$HC23)*100)),100000+ABS(2-$HB23)*1000+50)),IF($HD23=0,999999,IF(2=$HE23,IF(29=$HL23,IF($JD23=2,30,0),IF(29=$HM23,IF($JD23=1,30,0),ABS(5-$HF23)*100)),100000+ABS(2-$HE23)*1000+50)),IF($HG23=0,999999,IF(2=$HH23,IF(29=$HN23,IF($JE23=2,30,0),IF(29=$HO23,IF($JE23=1,30,0),ABS(5-$HI23)*100)),100000+ABS(2-$HH23)*1000+50)))-IF((29=$HJ23)+(29=$HK23)+(29=$HL23)+(29=$HM23)+(29=$HN23)+(29=$HO23)&gt;=2,50,0))+AF$5*50)</f>
        <v/>
      </c>
      <c r="AG143">
        <f>IF(OR($JF23=0,calcA!$A$6=0),0,IF(OR(30=$HA23,30=$HD23,30=$HG23),200000,MIN(IF($HA23=0,999999,IF(2=$HB23,IF(30=$HJ23,IF($JC23=2,30,0),IF(30=$HK23,IF($JC23=1,30,0),ABS(6-$HC23)*100)),100000+ABS(2-$HB23)*1000+60)),IF($HD23=0,999999,IF(2=$HE23,IF(30=$HL23,IF($JD23=2,30,0),IF(30=$HM23,IF($JD23=1,30,0),ABS(6-$HF23)*100)),100000+ABS(2-$HE23)*1000+60)),IF($HG23=0,999999,IF(2=$HH23,IF(30=$HN23,IF($JE23=2,30,0),IF(30=$HO23,IF($JE23=1,30,0),ABS(6-$HI23)*100)),100000+ABS(2-$HH23)*1000+60)))-IF((30=$HJ23)+(30=$HK23)+(30=$HL23)+(30=$HM23)+(30=$HN23)+(30=$HO23)&gt;=2,50,0))+AG$5*50)</f>
        <v/>
      </c>
      <c r="AH143">
        <f>IF(OR($JF23=0,calcA!$A$6=0),0,IF(OR(31=$HA23,31=$HD23,31=$HG23),200000,MIN(IF($HA23=0,999999,IF(2=$HB23,IF(31=$HJ23,IF($JC23=2,30,0),IF(31=$HK23,IF($JC23=1,30,0),ABS(7-$HC23)*100)),100000+ABS(2-$HB23)*1000+70)),IF($HD23=0,999999,IF(2=$HE23,IF(31=$HL23,IF($JD23=2,30,0),IF(31=$HM23,IF($JD23=1,30,0),ABS(7-$HF23)*100)),100000+ABS(2-$HE23)*1000+70)),IF($HG23=0,999999,IF(2=$HH23,IF(31=$HN23,IF($JE23=2,30,0),IF(31=$HO23,IF($JE23=1,30,0),ABS(7-$HI23)*100)),100000+ABS(2-$HH23)*1000+70)))-IF((31=$HJ23)+(31=$HK23)+(31=$HL23)+(31=$HM23)+(31=$HN23)+(31=$HO23)&gt;=2,50,0))+AH$5*50)</f>
        <v/>
      </c>
      <c r="AI143">
        <f>IF(OR($JF23=0,calcA!$A$6=0),0,IF(OR(32=$HA23,32=$HD23,32=$HG23),200000,MIN(IF($HA23=0,999999,IF(2=$HB23,IF(32=$HJ23,IF($JC23=2,30,0),IF(32=$HK23,IF($JC23=1,30,0),ABS(8-$HC23)*100)),100000+ABS(2-$HB23)*1000+80)),IF($HD23=0,999999,IF(2=$HE23,IF(32=$HL23,IF($JD23=2,30,0),IF(32=$HM23,IF($JD23=1,30,0),ABS(8-$HF23)*100)),100000+ABS(2-$HE23)*1000+80)),IF($HG23=0,999999,IF(2=$HH23,IF(32=$HN23,IF($JE23=2,30,0),IF(32=$HO23,IF($JE23=1,30,0),ABS(8-$HI23)*100)),100000+ABS(2-$HH23)*1000+80)))-IF((32=$HJ23)+(32=$HK23)+(32=$HL23)+(32=$HM23)+(32=$HN23)+(32=$HO23)&gt;=2,50,0))+AI$5*50)</f>
        <v/>
      </c>
      <c r="AJ143">
        <f>IF(OR($JF23=0,calcA!$A$6=0),0,IF(OR(33=$HA23,33=$HD23,33=$HG23),200000,MIN(IF($HA23=0,999999,IF(2=$HB23,IF(33=$HJ23,IF($JC23=2,30,0),IF(33=$HK23,IF($JC23=1,30,0),ABS(9-$HC23)*100)),100000+ABS(2-$HB23)*1000+90)),IF($HD23=0,999999,IF(2=$HE23,IF(33=$HL23,IF($JD23=2,30,0),IF(33=$HM23,IF($JD23=1,30,0),ABS(9-$HF23)*100)),100000+ABS(2-$HE23)*1000+90)),IF($HG23=0,999999,IF(2=$HH23,IF(33=$HN23,IF($JE23=2,30,0),IF(33=$HO23,IF($JE23=1,30,0),ABS(9-$HI23)*100)),100000+ABS(2-$HH23)*1000+90)))-IF((33=$HJ23)+(33=$HK23)+(33=$HL23)+(33=$HM23)+(33=$HN23)+(33=$HO23)&gt;=2,50,0))+AJ$5*50)</f>
        <v/>
      </c>
      <c r="AK143">
        <f>IF(OR($JF23=0,calcA!$A$6=0),0,IF(OR(34=$HA23,34=$HD23,34=$HG23),200000,MIN(IF($HA23=0,999999,IF(2=$HB23,IF(34=$HJ23,IF($JC23=2,30,0),IF(34=$HK23,IF($JC23=1,30,0),ABS(10-$HC23)*100)),100000+ABS(2-$HB23)*1000+100)),IF($HD23=0,999999,IF(2=$HE23,IF(34=$HL23,IF($JD23=2,30,0),IF(34=$HM23,IF($JD23=1,30,0),ABS(10-$HF23)*100)),100000+ABS(2-$HE23)*1000+100)),IF($HG23=0,999999,IF(2=$HH23,IF(34=$HN23,IF($JE23=2,30,0),IF(34=$HO23,IF($JE23=1,30,0),ABS(10-$HI23)*100)),100000+ABS(2-$HH23)*1000+100)))-IF((34=$HJ23)+(34=$HK23)+(34=$HL23)+(34=$HM23)+(34=$HN23)+(34=$HO23)&gt;=2,50,0))+AK$5*50)</f>
        <v/>
      </c>
      <c r="AL143">
        <f>IF(OR($JF23=0,calcA!$A$6=0),0,IF(OR(35=$HA23,35=$HD23,35=$HG23),200000,MIN(IF($HA23=0,999999,IF(2=$HB23,IF(35=$HJ23,IF($JC23=2,30,0),IF(35=$HK23,IF($JC23=1,30,0),ABS(11-$HC23)*100)),100000+ABS(2-$HB23)*1000+110)),IF($HD23=0,999999,IF(2=$HE23,IF(35=$HL23,IF($JD23=2,30,0),IF(35=$HM23,IF($JD23=1,30,0),ABS(11-$HF23)*100)),100000+ABS(2-$HE23)*1000+110)),IF($HG23=0,999999,IF(2=$HH23,IF(35=$HN23,IF($JE23=2,30,0),IF(35=$HO23,IF($JE23=1,30,0),ABS(11-$HI23)*100)),100000+ABS(2-$HH23)*1000+110)))-IF((35=$HJ23)+(35=$HK23)+(35=$HL23)+(35=$HM23)+(35=$HN23)+(35=$HO23)&gt;=2,50,0))+AL$5*50)</f>
        <v/>
      </c>
      <c r="AM143">
        <f>IF(OR($JF23=0,calcA!$A$6=0),0,IF(OR(36=$HA23,36=$HD23,36=$HG23),200000,MIN(IF($HA23=0,999999,IF(2=$HB23,IF(36=$HJ23,IF($JC23=2,30,0),IF(36=$HK23,IF($JC23=1,30,0),ABS(12-$HC23)*100)),100000+ABS(2-$HB23)*1000+120)),IF($HD23=0,999999,IF(2=$HE23,IF(36=$HL23,IF($JD23=2,30,0),IF(36=$HM23,IF($JD23=1,30,0),ABS(12-$HF23)*100)),100000+ABS(2-$HE23)*1000+120)),IF($HG23=0,999999,IF(2=$HH23,IF(36=$HN23,IF($JE23=2,30,0),IF(36=$HO23,IF($JE23=1,30,0),ABS(12-$HI23)*100)),100000+ABS(2-$HH23)*1000+120)))-IF((36=$HJ23)+(36=$HK23)+(36=$HL23)+(36=$HM23)+(36=$HN23)+(36=$HO23)&gt;=2,50,0))+AM$5*50)</f>
        <v/>
      </c>
      <c r="AN143">
        <f>IF(OR($JF23=0,calcA!$A$6=0),0,IF(OR(37=$HA23,37=$HD23,37=$HG23),200000,MIN(IF($HA23=0,999999,IF(2=$HB23,IF(37=$HJ23,IF($JC23=2,30,0),IF(37=$HK23,IF($JC23=1,30,0),ABS(13-$HC23)*100)),100000+ABS(2-$HB23)*1000+130)),IF($HD23=0,999999,IF(2=$HE23,IF(37=$HL23,IF($JD23=2,30,0),IF(37=$HM23,IF($JD23=1,30,0),ABS(13-$HF23)*100)),100000+ABS(2-$HE23)*1000+130)),IF($HG23=0,999999,IF(2=$HH23,IF(37=$HN23,IF($JE23=2,30,0),IF(37=$HO23,IF($JE23=1,30,0),ABS(13-$HI23)*100)),100000+ABS(2-$HH23)*1000+130)))-IF((37=$HJ23)+(37=$HK23)+(37=$HL23)+(37=$HM23)+(37=$HN23)+(37=$HO23)&gt;=2,50,0))+AN$5*50)</f>
        <v/>
      </c>
      <c r="AO143">
        <f>IF(OR($JF23=0,calcA!$A$6=0),0,IF(OR(38=$HA23,38=$HD23,38=$HG23),200000,MIN(IF($HA23=0,999999,IF(2=$HB23,IF(38=$HJ23,IF($JC23=2,30,0),IF(38=$HK23,IF($JC23=1,30,0),ABS(14-$HC23)*100)),100000+ABS(2-$HB23)*1000+140)),IF($HD23=0,999999,IF(2=$HE23,IF(38=$HL23,IF($JD23=2,30,0),IF(38=$HM23,IF($JD23=1,30,0),ABS(14-$HF23)*100)),100000+ABS(2-$HE23)*1000+140)),IF($HG23=0,999999,IF(2=$HH23,IF(38=$HN23,IF($JE23=2,30,0),IF(38=$HO23,IF($JE23=1,30,0),ABS(14-$HI23)*100)),100000+ABS(2-$HH23)*1000+140)))-IF((38=$HJ23)+(38=$HK23)+(38=$HL23)+(38=$HM23)+(38=$HN23)+(38=$HO23)&gt;=2,50,0))+AO$5*50)</f>
        <v/>
      </c>
      <c r="AP143">
        <f>IF(OR($JF23=0,calcA!$A$6=0),0,IF(OR(39=$HA23,39=$HD23,39=$HG23),200000,MIN(IF($HA23=0,999999,IF(2=$HB23,IF(39=$HJ23,IF($JC23=2,30,0),IF(39=$HK23,IF($JC23=1,30,0),ABS(15-$HC23)*100)),100000+ABS(2-$HB23)*1000+150)),IF($HD23=0,999999,IF(2=$HE23,IF(39=$HL23,IF($JD23=2,30,0),IF(39=$HM23,IF($JD23=1,30,0),ABS(15-$HF23)*100)),100000+ABS(2-$HE23)*1000+150)),IF($HG23=0,999999,IF(2=$HH23,IF(39=$HN23,IF($JE23=2,30,0),IF(39=$HO23,IF($JE23=1,30,0),ABS(15-$HI23)*100)),100000+ABS(2-$HH23)*1000+150)))-IF((39=$HJ23)+(39=$HK23)+(39=$HL23)+(39=$HM23)+(39=$HN23)+(39=$HO23)&gt;=2,50,0))+AP$5*50)</f>
        <v/>
      </c>
      <c r="AQ143">
        <f>IF(OR($JF23=0,calcA!$A$6=0),0,IF(OR(40=$HA23,40=$HD23,40=$HG23),200000,MIN(IF($HA23=0,999999,IF(2=$HB23,IF(40=$HJ23,IF($JC23=2,30,0),IF(40=$HK23,IF($JC23=1,30,0),ABS(16-$HC23)*100)),100000+ABS(2-$HB23)*1000+160)),IF($HD23=0,999999,IF(2=$HE23,IF(40=$HL23,IF($JD23=2,30,0),IF(40=$HM23,IF($JD23=1,30,0),ABS(16-$HF23)*100)),100000+ABS(2-$HE23)*1000+160)),IF($HG23=0,999999,IF(2=$HH23,IF(40=$HN23,IF($JE23=2,30,0),IF(40=$HO23,IF($JE23=1,30,0),ABS(16-$HI23)*100)),100000+ABS(2-$HH23)*1000+160)))-IF((40=$HJ23)+(40=$HK23)+(40=$HL23)+(40=$HM23)+(40=$HN23)+(40=$HO23)&gt;=2,50,0))+AQ$5*50)</f>
        <v/>
      </c>
      <c r="AR143">
        <f>IF(OR($JF23=0,calcA!$A$6=0),0,IF(OR(41=$HA23,41=$HD23,41=$HG23),200000,MIN(IF($HA23=0,999999,IF(2=$HB23,IF(41=$HJ23,IF($JC23=2,30,0),IF(41=$HK23,IF($JC23=1,30,0),ABS(17-$HC23)*100)),100000+ABS(2-$HB23)*1000+170)),IF($HD23=0,999999,IF(2=$HE23,IF(41=$HL23,IF($JD23=2,30,0),IF(41=$HM23,IF($JD23=1,30,0),ABS(17-$HF23)*100)),100000+ABS(2-$HE23)*1000+170)),IF($HG23=0,999999,IF(2=$HH23,IF(41=$HN23,IF($JE23=2,30,0),IF(41=$HO23,IF($JE23=1,30,0),ABS(17-$HI23)*100)),100000+ABS(2-$HH23)*1000+170)))-IF((41=$HJ23)+(41=$HK23)+(41=$HL23)+(41=$HM23)+(41=$HN23)+(41=$HO23)&gt;=2,50,0))+AR$5*50)</f>
        <v/>
      </c>
      <c r="AS143">
        <f>IF(OR($JF23=0,calcA!$A$6=0),0,IF(OR(42=$HA23,42=$HD23,42=$HG23),200000,MIN(IF($HA23=0,999999,IF(2=$HB23,IF(42=$HJ23,IF($JC23=2,30,0),IF(42=$HK23,IF($JC23=1,30,0),ABS(18-$HC23)*100)),100000+ABS(2-$HB23)*1000+180)),IF($HD23=0,999999,IF(2=$HE23,IF(42=$HL23,IF($JD23=2,30,0),IF(42=$HM23,IF($JD23=1,30,0),ABS(18-$HF23)*100)),100000+ABS(2-$HE23)*1000+180)),IF($HG23=0,999999,IF(2=$HH23,IF(42=$HN23,IF($JE23=2,30,0),IF(42=$HO23,IF($JE23=1,30,0),ABS(18-$HI23)*100)),100000+ABS(2-$HH23)*1000+180)))-IF((42=$HJ23)+(42=$HK23)+(42=$HL23)+(42=$HM23)+(42=$HN23)+(42=$HO23)&gt;=2,50,0))+AS$5*50)</f>
        <v/>
      </c>
      <c r="AT143">
        <f>IF(OR($JF23=0,calcA!$A$6=0),0,IF(OR(43=$HA23,43=$HD23,43=$HG23),200000,MIN(IF($HA23=0,999999,IF(2=$HB23,IF(43=$HJ23,IF($JC23=2,30,0),IF(43=$HK23,IF($JC23=1,30,0),ABS(19-$HC23)*100)),100000+ABS(2-$HB23)*1000+190)),IF($HD23=0,999999,IF(2=$HE23,IF(43=$HL23,IF($JD23=2,30,0),IF(43=$HM23,IF($JD23=1,30,0),ABS(19-$HF23)*100)),100000+ABS(2-$HE23)*1000+190)),IF($HG23=0,999999,IF(2=$HH23,IF(43=$HN23,IF($JE23=2,30,0),IF(43=$HO23,IF($JE23=1,30,0),ABS(19-$HI23)*100)),100000+ABS(2-$HH23)*1000+190)))-IF((43=$HJ23)+(43=$HK23)+(43=$HL23)+(43=$HM23)+(43=$HN23)+(43=$HO23)&gt;=2,50,0))+AT$5*50)</f>
        <v/>
      </c>
      <c r="AU143">
        <f>IF(OR($JF23=0,calcA!$A$6=0),0,IF(OR(44=$HA23,44=$HD23,44=$HG23),200000,MIN(IF($HA23=0,999999,IF(2=$HB23,IF(44=$HJ23,IF($JC23=2,30,0),IF(44=$HK23,IF($JC23=1,30,0),ABS(20-$HC23)*100)),100000+ABS(2-$HB23)*1000+200)),IF($HD23=0,999999,IF(2=$HE23,IF(44=$HL23,IF($JD23=2,30,0),IF(44=$HM23,IF($JD23=1,30,0),ABS(20-$HF23)*100)),100000+ABS(2-$HE23)*1000+200)),IF($HG23=0,999999,IF(2=$HH23,IF(44=$HN23,IF($JE23=2,30,0),IF(44=$HO23,IF($JE23=1,30,0),ABS(20-$HI23)*100)),100000+ABS(2-$HH23)*1000+200)))-IF((44=$HJ23)+(44=$HK23)+(44=$HL23)+(44=$HM23)+(44=$HN23)+(44=$HO23)&gt;=2,50,0))+AU$5*50)</f>
        <v/>
      </c>
      <c r="AV143">
        <f>IF(OR($JF23=0,calcA!$A$6=0),0,IF(OR(45=$HA23,45=$HD23,45=$HG23),200000,MIN(IF($HA23=0,999999,IF(2=$HB23,IF(45=$HJ23,IF($JC23=2,30,0),IF(45=$HK23,IF($JC23=1,30,0),ABS(21-$HC23)*100)),100000+ABS(2-$HB23)*1000+210)),IF($HD23=0,999999,IF(2=$HE23,IF(45=$HL23,IF($JD23=2,30,0),IF(45=$HM23,IF($JD23=1,30,0),ABS(21-$HF23)*100)),100000+ABS(2-$HE23)*1000+210)),IF($HG23=0,999999,IF(2=$HH23,IF(45=$HN23,IF($JE23=2,30,0),IF(45=$HO23,IF($JE23=1,30,0),ABS(21-$HI23)*100)),100000+ABS(2-$HH23)*1000+210)))-IF((45=$HJ23)+(45=$HK23)+(45=$HL23)+(45=$HM23)+(45=$HN23)+(45=$HO23)&gt;=2,50,0))+AV$5*50)</f>
        <v/>
      </c>
      <c r="AW143">
        <f>IF(OR($JF23=0,calcA!$A$6=0),0,IF(OR(46=$HA23,46=$HD23,46=$HG23),200000,MIN(IF($HA23=0,999999,IF(2=$HB23,IF(46=$HJ23,IF($JC23=2,30,0),IF(46=$HK23,IF($JC23=1,30,0),ABS(22-$HC23)*100)),100000+ABS(2-$HB23)*1000+220)),IF($HD23=0,999999,IF(2=$HE23,IF(46=$HL23,IF($JD23=2,30,0),IF(46=$HM23,IF($JD23=1,30,0),ABS(22-$HF23)*100)),100000+ABS(2-$HE23)*1000+220)),IF($HG23=0,999999,IF(2=$HH23,IF(46=$HN23,IF($JE23=2,30,0),IF(46=$HO23,IF($JE23=1,30,0),ABS(22-$HI23)*100)),100000+ABS(2-$HH23)*1000+220)))-IF((46=$HJ23)+(46=$HK23)+(46=$HL23)+(46=$HM23)+(46=$HN23)+(46=$HO23)&gt;=2,50,0))+AW$5*50)</f>
        <v/>
      </c>
      <c r="AX143">
        <f>IF(OR($JF23=0,calcA!$A$6=0),0,IF(OR(47=$HA23,47=$HD23,47=$HG23),200000,MIN(IF($HA23=0,999999,IF(2=$HB23,IF(47=$HJ23,IF($JC23=2,30,0),IF(47=$HK23,IF($JC23=1,30,0),ABS(23-$HC23)*100)),100000+ABS(2-$HB23)*1000+230)),IF($HD23=0,999999,IF(2=$HE23,IF(47=$HL23,IF($JD23=2,30,0),IF(47=$HM23,IF($JD23=1,30,0),ABS(23-$HF23)*100)),100000+ABS(2-$HE23)*1000+230)),IF($HG23=0,999999,IF(2=$HH23,IF(47=$HN23,IF($JE23=2,30,0),IF(47=$HO23,IF($JE23=1,30,0),ABS(23-$HI23)*100)),100000+ABS(2-$HH23)*1000+230)))-IF((47=$HJ23)+(47=$HK23)+(47=$HL23)+(47=$HM23)+(47=$HN23)+(47=$HO23)&gt;=2,50,0))+AX$5*50)</f>
        <v/>
      </c>
      <c r="AY143">
        <f>IF(OR($JF23=0,calcA!$A$6=0),0,IF(OR(48=$HA23,48=$HD23,48=$HG23),200000,MIN(IF($HA23=0,999999,IF(2=$HB23,IF(48=$HJ23,IF($JC23=2,30,0),IF(48=$HK23,IF($JC23=1,30,0),ABS(24-$HC23)*100)),100000+ABS(2-$HB23)*1000+240)),IF($HD23=0,999999,IF(2=$HE23,IF(48=$HL23,IF($JD23=2,30,0),IF(48=$HM23,IF($JD23=1,30,0),ABS(24-$HF23)*100)),100000+ABS(2-$HE23)*1000+240)),IF($HG23=0,999999,IF(2=$HH23,IF(48=$HN23,IF($JE23=2,30,0),IF(48=$HO23,IF($JE23=1,30,0),ABS(24-$HI23)*100)),100000+ABS(2-$HH23)*1000+240)))-IF((48=$HJ23)+(48=$HK23)+(48=$HL23)+(48=$HM23)+(48=$HN23)+(48=$HO23)&gt;=2,50,0))+AY$5*50)</f>
        <v/>
      </c>
      <c r="AZ143">
        <f>IF(OR($JF23=0,calcA!$A$6=0),0,IF(OR(49=$HA23,49=$HD23,49=$HG23),200000,MIN(IF($HA23=0,999999,IF(3=$HB23,IF(49=$HJ23,IF($JC23=2,30,0),IF(49=$HK23,IF($JC23=1,30,0),ABS(1-$HC23)*100)),100000+ABS(3-$HB23)*1000+10)),IF($HD23=0,999999,IF(3=$HE23,IF(49=$HL23,IF($JD23=2,30,0),IF(49=$HM23,IF($JD23=1,30,0),ABS(1-$HF23)*100)),100000+ABS(3-$HE23)*1000+10)),IF($HG23=0,999999,IF(3=$HH23,IF(49=$HN23,IF($JE23=2,30,0),IF(49=$HO23,IF($JE23=1,30,0),ABS(1-$HI23)*100)),100000+ABS(3-$HH23)*1000+10)))-IF((49=$HJ23)+(49=$HK23)+(49=$HL23)+(49=$HM23)+(49=$HN23)+(49=$HO23)&gt;=2,50,0))+AZ$5*50)</f>
        <v/>
      </c>
      <c r="BA143">
        <f>IF(OR($JF23=0,calcA!$A$6=0),0,IF(OR(50=$HA23,50=$HD23,50=$HG23),200000,MIN(IF($HA23=0,999999,IF(3=$HB23,IF(50=$HJ23,IF($JC23=2,30,0),IF(50=$HK23,IF($JC23=1,30,0),ABS(2-$HC23)*100)),100000+ABS(3-$HB23)*1000+20)),IF($HD23=0,999999,IF(3=$HE23,IF(50=$HL23,IF($JD23=2,30,0),IF(50=$HM23,IF($JD23=1,30,0),ABS(2-$HF23)*100)),100000+ABS(3-$HE23)*1000+20)),IF($HG23=0,999999,IF(3=$HH23,IF(50=$HN23,IF($JE23=2,30,0),IF(50=$HO23,IF($JE23=1,30,0),ABS(2-$HI23)*100)),100000+ABS(3-$HH23)*1000+20)))-IF((50=$HJ23)+(50=$HK23)+(50=$HL23)+(50=$HM23)+(50=$HN23)+(50=$HO23)&gt;=2,50,0))+BA$5*50)</f>
        <v/>
      </c>
      <c r="BB143">
        <f>IF(OR($JF23=0,calcA!$A$6=0),0,IF(OR(51=$HA23,51=$HD23,51=$HG23),200000,MIN(IF($HA23=0,999999,IF(3=$HB23,IF(51=$HJ23,IF($JC23=2,30,0),IF(51=$HK23,IF($JC23=1,30,0),ABS(3-$HC23)*100)),100000+ABS(3-$HB23)*1000+30)),IF($HD23=0,999999,IF(3=$HE23,IF(51=$HL23,IF($JD23=2,30,0),IF(51=$HM23,IF($JD23=1,30,0),ABS(3-$HF23)*100)),100000+ABS(3-$HE23)*1000+30)),IF($HG23=0,999999,IF(3=$HH23,IF(51=$HN23,IF($JE23=2,30,0),IF(51=$HO23,IF($JE23=1,30,0),ABS(3-$HI23)*100)),100000+ABS(3-$HH23)*1000+30)))-IF((51=$HJ23)+(51=$HK23)+(51=$HL23)+(51=$HM23)+(51=$HN23)+(51=$HO23)&gt;=2,50,0))+BB$5*50)</f>
        <v/>
      </c>
      <c r="BC143">
        <f>IF(OR($JF23=0,calcA!$A$6=0),0,IF(OR(52=$HA23,52=$HD23,52=$HG23),200000,MIN(IF($HA23=0,999999,IF(3=$HB23,IF(52=$HJ23,IF($JC23=2,30,0),IF(52=$HK23,IF($JC23=1,30,0),ABS(4-$HC23)*100)),100000+ABS(3-$HB23)*1000+40)),IF($HD23=0,999999,IF(3=$HE23,IF(52=$HL23,IF($JD23=2,30,0),IF(52=$HM23,IF($JD23=1,30,0),ABS(4-$HF23)*100)),100000+ABS(3-$HE23)*1000+40)),IF($HG23=0,999999,IF(3=$HH23,IF(52=$HN23,IF($JE23=2,30,0),IF(52=$HO23,IF($JE23=1,30,0),ABS(4-$HI23)*100)),100000+ABS(3-$HH23)*1000+40)))-IF((52=$HJ23)+(52=$HK23)+(52=$HL23)+(52=$HM23)+(52=$HN23)+(52=$HO23)&gt;=2,50,0))+BC$5*50)</f>
        <v/>
      </c>
      <c r="BD143">
        <f>IF(OR($JF23=0,calcA!$A$6=0),0,IF(OR(53=$HA23,53=$HD23,53=$HG23),200000,MIN(IF($HA23=0,999999,IF(3=$HB23,IF(53=$HJ23,IF($JC23=2,30,0),IF(53=$HK23,IF($JC23=1,30,0),ABS(5-$HC23)*100)),100000+ABS(3-$HB23)*1000+50)),IF($HD23=0,999999,IF(3=$HE23,IF(53=$HL23,IF($JD23=2,30,0),IF(53=$HM23,IF($JD23=1,30,0),ABS(5-$HF23)*100)),100000+ABS(3-$HE23)*1000+50)),IF($HG23=0,999999,IF(3=$HH23,IF(53=$HN23,IF($JE23=2,30,0),IF(53=$HO23,IF($JE23=1,30,0),ABS(5-$HI23)*100)),100000+ABS(3-$HH23)*1000+50)))-IF((53=$HJ23)+(53=$HK23)+(53=$HL23)+(53=$HM23)+(53=$HN23)+(53=$HO23)&gt;=2,50,0))+BD$5*50)</f>
        <v/>
      </c>
      <c r="BE143">
        <f>IF(OR($JF23=0,calcA!$A$6=0),0,IF(OR(54=$HA23,54=$HD23,54=$HG23),200000,MIN(IF($HA23=0,999999,IF(3=$HB23,IF(54=$HJ23,IF($JC23=2,30,0),IF(54=$HK23,IF($JC23=1,30,0),ABS(6-$HC23)*100)),100000+ABS(3-$HB23)*1000+60)),IF($HD23=0,999999,IF(3=$HE23,IF(54=$HL23,IF($JD23=2,30,0),IF(54=$HM23,IF($JD23=1,30,0),ABS(6-$HF23)*100)),100000+ABS(3-$HE23)*1000+60)),IF($HG23=0,999999,IF(3=$HH23,IF(54=$HN23,IF($JE23=2,30,0),IF(54=$HO23,IF($JE23=1,30,0),ABS(6-$HI23)*100)),100000+ABS(3-$HH23)*1000+60)))-IF((54=$HJ23)+(54=$HK23)+(54=$HL23)+(54=$HM23)+(54=$HN23)+(54=$HO23)&gt;=2,50,0))+BE$5*50)</f>
        <v/>
      </c>
      <c r="BF143">
        <f>IF(OR($JF23=0,calcA!$A$6=0),0,IF(OR(55=$HA23,55=$HD23,55=$HG23),200000,MIN(IF($HA23=0,999999,IF(3=$HB23,IF(55=$HJ23,IF($JC23=2,30,0),IF(55=$HK23,IF($JC23=1,30,0),ABS(7-$HC23)*100)),100000+ABS(3-$HB23)*1000+70)),IF($HD23=0,999999,IF(3=$HE23,IF(55=$HL23,IF($JD23=2,30,0),IF(55=$HM23,IF($JD23=1,30,0),ABS(7-$HF23)*100)),100000+ABS(3-$HE23)*1000+70)),IF($HG23=0,999999,IF(3=$HH23,IF(55=$HN23,IF($JE23=2,30,0),IF(55=$HO23,IF($JE23=1,30,0),ABS(7-$HI23)*100)),100000+ABS(3-$HH23)*1000+70)))-IF((55=$HJ23)+(55=$HK23)+(55=$HL23)+(55=$HM23)+(55=$HN23)+(55=$HO23)&gt;=2,50,0))+BF$5*50)</f>
        <v/>
      </c>
      <c r="BG143">
        <f>IF(OR($JF23=0,calcA!$A$6=0),0,IF(OR(56=$HA23,56=$HD23,56=$HG23),200000,MIN(IF($HA23=0,999999,IF(3=$HB23,IF(56=$HJ23,IF($JC23=2,30,0),IF(56=$HK23,IF($JC23=1,30,0),ABS(8-$HC23)*100)),100000+ABS(3-$HB23)*1000+80)),IF($HD23=0,999999,IF(3=$HE23,IF(56=$HL23,IF($JD23=2,30,0),IF(56=$HM23,IF($JD23=1,30,0),ABS(8-$HF23)*100)),100000+ABS(3-$HE23)*1000+80)),IF($HG23=0,999999,IF(3=$HH23,IF(56=$HN23,IF($JE23=2,30,0),IF(56=$HO23,IF($JE23=1,30,0),ABS(8-$HI23)*100)),100000+ABS(3-$HH23)*1000+80)))-IF((56=$HJ23)+(56=$HK23)+(56=$HL23)+(56=$HM23)+(56=$HN23)+(56=$HO23)&gt;=2,50,0))+BG$5*50)</f>
        <v/>
      </c>
      <c r="BH143">
        <f>IF(OR($JF23=0,calcA!$A$6=0),0,IF(OR(57=$HA23,57=$HD23,57=$HG23),200000,MIN(IF($HA23=0,999999,IF(3=$HB23,IF(57=$HJ23,IF($JC23=2,30,0),IF(57=$HK23,IF($JC23=1,30,0),ABS(9-$HC23)*100)),100000+ABS(3-$HB23)*1000+90)),IF($HD23=0,999999,IF(3=$HE23,IF(57=$HL23,IF($JD23=2,30,0),IF(57=$HM23,IF($JD23=1,30,0),ABS(9-$HF23)*100)),100000+ABS(3-$HE23)*1000+90)),IF($HG23=0,999999,IF(3=$HH23,IF(57=$HN23,IF($JE23=2,30,0),IF(57=$HO23,IF($JE23=1,30,0),ABS(9-$HI23)*100)),100000+ABS(3-$HH23)*1000+90)))-IF((57=$HJ23)+(57=$HK23)+(57=$HL23)+(57=$HM23)+(57=$HN23)+(57=$HO23)&gt;=2,50,0))+BH$5*50)</f>
        <v/>
      </c>
      <c r="BI143">
        <f>IF(OR($JF23=0,calcA!$A$6=0),0,IF(OR(58=$HA23,58=$HD23,58=$HG23),200000,MIN(IF($HA23=0,999999,IF(3=$HB23,IF(58=$HJ23,IF($JC23=2,30,0),IF(58=$HK23,IF($JC23=1,30,0),ABS(10-$HC23)*100)),100000+ABS(3-$HB23)*1000+100)),IF($HD23=0,999999,IF(3=$HE23,IF(58=$HL23,IF($JD23=2,30,0),IF(58=$HM23,IF($JD23=1,30,0),ABS(10-$HF23)*100)),100000+ABS(3-$HE23)*1000+100)),IF($HG23=0,999999,IF(3=$HH23,IF(58=$HN23,IF($JE23=2,30,0),IF(58=$HO23,IF($JE23=1,30,0),ABS(10-$HI23)*100)),100000+ABS(3-$HH23)*1000+100)))-IF((58=$HJ23)+(58=$HK23)+(58=$HL23)+(58=$HM23)+(58=$HN23)+(58=$HO23)&gt;=2,50,0))+BI$5*50)</f>
        <v/>
      </c>
      <c r="BJ143">
        <f>IF(OR($JF23=0,calcA!$A$6=0),0,IF(OR(59=$HA23,59=$HD23,59=$HG23),200000,MIN(IF($HA23=0,999999,IF(3=$HB23,IF(59=$HJ23,IF($JC23=2,30,0),IF(59=$HK23,IF($JC23=1,30,0),ABS(11-$HC23)*100)),100000+ABS(3-$HB23)*1000+110)),IF($HD23=0,999999,IF(3=$HE23,IF(59=$HL23,IF($JD23=2,30,0),IF(59=$HM23,IF($JD23=1,30,0),ABS(11-$HF23)*100)),100000+ABS(3-$HE23)*1000+110)),IF($HG23=0,999999,IF(3=$HH23,IF(59=$HN23,IF($JE23=2,30,0),IF(59=$HO23,IF($JE23=1,30,0),ABS(11-$HI23)*100)),100000+ABS(3-$HH23)*1000+110)))-IF((59=$HJ23)+(59=$HK23)+(59=$HL23)+(59=$HM23)+(59=$HN23)+(59=$HO23)&gt;=2,50,0))+BJ$5*50)</f>
        <v/>
      </c>
      <c r="BK143">
        <f>IF(OR($JF23=0,calcA!$A$6=0),0,IF(OR(60=$HA23,60=$HD23,60=$HG23),200000,MIN(IF($HA23=0,999999,IF(3=$HB23,IF(60=$HJ23,IF($JC23=2,30,0),IF(60=$HK23,IF($JC23=1,30,0),ABS(12-$HC23)*100)),100000+ABS(3-$HB23)*1000+120)),IF($HD23=0,999999,IF(3=$HE23,IF(60=$HL23,IF($JD23=2,30,0),IF(60=$HM23,IF($JD23=1,30,0),ABS(12-$HF23)*100)),100000+ABS(3-$HE23)*1000+120)),IF($HG23=0,999999,IF(3=$HH23,IF(60=$HN23,IF($JE23=2,30,0),IF(60=$HO23,IF($JE23=1,30,0),ABS(12-$HI23)*100)),100000+ABS(3-$HH23)*1000+120)))-IF((60=$HJ23)+(60=$HK23)+(60=$HL23)+(60=$HM23)+(60=$HN23)+(60=$HO23)&gt;=2,50,0))+BK$5*50)</f>
        <v/>
      </c>
      <c r="BL143">
        <f>IF(OR($JF23=0,calcA!$A$6=0),0,IF(OR(61=$HA23,61=$HD23,61=$HG23),200000,MIN(IF($HA23=0,999999,IF(3=$HB23,IF(61=$HJ23,IF($JC23=2,30,0),IF(61=$HK23,IF($JC23=1,30,0),ABS(13-$HC23)*100)),100000+ABS(3-$HB23)*1000+130)),IF($HD23=0,999999,IF(3=$HE23,IF(61=$HL23,IF($JD23=2,30,0),IF(61=$HM23,IF($JD23=1,30,0),ABS(13-$HF23)*100)),100000+ABS(3-$HE23)*1000+130)),IF($HG23=0,999999,IF(3=$HH23,IF(61=$HN23,IF($JE23=2,30,0),IF(61=$HO23,IF($JE23=1,30,0),ABS(13-$HI23)*100)),100000+ABS(3-$HH23)*1000+130)))-IF((61=$HJ23)+(61=$HK23)+(61=$HL23)+(61=$HM23)+(61=$HN23)+(61=$HO23)&gt;=2,50,0))+BL$5*50)</f>
        <v/>
      </c>
      <c r="BM143">
        <f>IF(OR($JF23=0,calcA!$A$6=0),0,IF(OR(62=$HA23,62=$HD23,62=$HG23),200000,MIN(IF($HA23=0,999999,IF(3=$HB23,IF(62=$HJ23,IF($JC23=2,30,0),IF(62=$HK23,IF($JC23=1,30,0),ABS(14-$HC23)*100)),100000+ABS(3-$HB23)*1000+140)),IF($HD23=0,999999,IF(3=$HE23,IF(62=$HL23,IF($JD23=2,30,0),IF(62=$HM23,IF($JD23=1,30,0),ABS(14-$HF23)*100)),100000+ABS(3-$HE23)*1000+140)),IF($HG23=0,999999,IF(3=$HH23,IF(62=$HN23,IF($JE23=2,30,0),IF(62=$HO23,IF($JE23=1,30,0),ABS(14-$HI23)*100)),100000+ABS(3-$HH23)*1000+140)))-IF((62=$HJ23)+(62=$HK23)+(62=$HL23)+(62=$HM23)+(62=$HN23)+(62=$HO23)&gt;=2,50,0))+BM$5*50)</f>
        <v/>
      </c>
      <c r="BN143">
        <f>IF(OR($JF23=0,calcA!$A$6=0),0,IF(OR(63=$HA23,63=$HD23,63=$HG23),200000,MIN(IF($HA23=0,999999,IF(3=$HB23,IF(63=$HJ23,IF($JC23=2,30,0),IF(63=$HK23,IF($JC23=1,30,0),ABS(15-$HC23)*100)),100000+ABS(3-$HB23)*1000+150)),IF($HD23=0,999999,IF(3=$HE23,IF(63=$HL23,IF($JD23=2,30,0),IF(63=$HM23,IF($JD23=1,30,0),ABS(15-$HF23)*100)),100000+ABS(3-$HE23)*1000+150)),IF($HG23=0,999999,IF(3=$HH23,IF(63=$HN23,IF($JE23=2,30,0),IF(63=$HO23,IF($JE23=1,30,0),ABS(15-$HI23)*100)),100000+ABS(3-$HH23)*1000+150)))-IF((63=$HJ23)+(63=$HK23)+(63=$HL23)+(63=$HM23)+(63=$HN23)+(63=$HO23)&gt;=2,50,0))+BN$5*50)</f>
        <v/>
      </c>
      <c r="BO143">
        <f>IF(OR($JF23=0,calcA!$A$6=0),0,IF(OR(64=$HA23,64=$HD23,64=$HG23),200000,MIN(IF($HA23=0,999999,IF(3=$HB23,IF(64=$HJ23,IF($JC23=2,30,0),IF(64=$HK23,IF($JC23=1,30,0),ABS(16-$HC23)*100)),100000+ABS(3-$HB23)*1000+160)),IF($HD23=0,999999,IF(3=$HE23,IF(64=$HL23,IF($JD23=2,30,0),IF(64=$HM23,IF($JD23=1,30,0),ABS(16-$HF23)*100)),100000+ABS(3-$HE23)*1000+160)),IF($HG23=0,999999,IF(3=$HH23,IF(64=$HN23,IF($JE23=2,30,0),IF(64=$HO23,IF($JE23=1,30,0),ABS(16-$HI23)*100)),100000+ABS(3-$HH23)*1000+160)))-IF((64=$HJ23)+(64=$HK23)+(64=$HL23)+(64=$HM23)+(64=$HN23)+(64=$HO23)&gt;=2,50,0))+BO$5*50)</f>
        <v/>
      </c>
      <c r="BP143">
        <f>IF(OR($JF23=0,calcA!$A$6=0),0,IF(OR(65=$HA23,65=$HD23,65=$HG23),200000,MIN(IF($HA23=0,999999,IF(3=$HB23,IF(65=$HJ23,IF($JC23=2,30,0),IF(65=$HK23,IF($JC23=1,30,0),ABS(17-$HC23)*100)),100000+ABS(3-$HB23)*1000+170)),IF($HD23=0,999999,IF(3=$HE23,IF(65=$HL23,IF($JD23=2,30,0),IF(65=$HM23,IF($JD23=1,30,0),ABS(17-$HF23)*100)),100000+ABS(3-$HE23)*1000+170)),IF($HG23=0,999999,IF(3=$HH23,IF(65=$HN23,IF($JE23=2,30,0),IF(65=$HO23,IF($JE23=1,30,0),ABS(17-$HI23)*100)),100000+ABS(3-$HH23)*1000+170)))-IF((65=$HJ23)+(65=$HK23)+(65=$HL23)+(65=$HM23)+(65=$HN23)+(65=$HO23)&gt;=2,50,0))+BP$5*50)</f>
        <v/>
      </c>
      <c r="BQ143">
        <f>IF(OR($JF23=0,calcA!$A$6=0),0,IF(OR(66=$HA23,66=$HD23,66=$HG23),200000,MIN(IF($HA23=0,999999,IF(3=$HB23,IF(66=$HJ23,IF($JC23=2,30,0),IF(66=$HK23,IF($JC23=1,30,0),ABS(18-$HC23)*100)),100000+ABS(3-$HB23)*1000+180)),IF($HD23=0,999999,IF(3=$HE23,IF(66=$HL23,IF($JD23=2,30,0),IF(66=$HM23,IF($JD23=1,30,0),ABS(18-$HF23)*100)),100000+ABS(3-$HE23)*1000+180)),IF($HG23=0,999999,IF(3=$HH23,IF(66=$HN23,IF($JE23=2,30,0),IF(66=$HO23,IF($JE23=1,30,0),ABS(18-$HI23)*100)),100000+ABS(3-$HH23)*1000+180)))-IF((66=$HJ23)+(66=$HK23)+(66=$HL23)+(66=$HM23)+(66=$HN23)+(66=$HO23)&gt;=2,50,0))+BQ$5*50)</f>
        <v/>
      </c>
      <c r="BR143">
        <f>IF(OR($JF23=0,calcA!$A$6=0),0,IF(OR(67=$HA23,67=$HD23,67=$HG23),200000,MIN(IF($HA23=0,999999,IF(3=$HB23,IF(67=$HJ23,IF($JC23=2,30,0),IF(67=$HK23,IF($JC23=1,30,0),ABS(19-$HC23)*100)),100000+ABS(3-$HB23)*1000+190)),IF($HD23=0,999999,IF(3=$HE23,IF(67=$HL23,IF($JD23=2,30,0),IF(67=$HM23,IF($JD23=1,30,0),ABS(19-$HF23)*100)),100000+ABS(3-$HE23)*1000+190)),IF($HG23=0,999999,IF(3=$HH23,IF(67=$HN23,IF($JE23=2,30,0),IF(67=$HO23,IF($JE23=1,30,0),ABS(19-$HI23)*100)),100000+ABS(3-$HH23)*1000+190)))-IF((67=$HJ23)+(67=$HK23)+(67=$HL23)+(67=$HM23)+(67=$HN23)+(67=$HO23)&gt;=2,50,0))+BR$5*50)</f>
        <v/>
      </c>
      <c r="BS143">
        <f>IF(OR($JF23=0,calcA!$A$6=0),0,IF(OR(68=$HA23,68=$HD23,68=$HG23),200000,MIN(IF($HA23=0,999999,IF(3=$HB23,IF(68=$HJ23,IF($JC23=2,30,0),IF(68=$HK23,IF($JC23=1,30,0),ABS(20-$HC23)*100)),100000+ABS(3-$HB23)*1000+200)),IF($HD23=0,999999,IF(3=$HE23,IF(68=$HL23,IF($JD23=2,30,0),IF(68=$HM23,IF($JD23=1,30,0),ABS(20-$HF23)*100)),100000+ABS(3-$HE23)*1000+200)),IF($HG23=0,999999,IF(3=$HH23,IF(68=$HN23,IF($JE23=2,30,0),IF(68=$HO23,IF($JE23=1,30,0),ABS(20-$HI23)*100)),100000+ABS(3-$HH23)*1000+200)))-IF((68=$HJ23)+(68=$HK23)+(68=$HL23)+(68=$HM23)+(68=$HN23)+(68=$HO23)&gt;=2,50,0))+BS$5*50)</f>
        <v/>
      </c>
      <c r="BT143">
        <f>IF(OR($JF23=0,calcA!$A$6=0),0,IF(OR(69=$HA23,69=$HD23,69=$HG23),200000,MIN(IF($HA23=0,999999,IF(3=$HB23,IF(69=$HJ23,IF($JC23=2,30,0),IF(69=$HK23,IF($JC23=1,30,0),ABS(21-$HC23)*100)),100000+ABS(3-$HB23)*1000+210)),IF($HD23=0,999999,IF(3=$HE23,IF(69=$HL23,IF($JD23=2,30,0),IF(69=$HM23,IF($JD23=1,30,0),ABS(21-$HF23)*100)),100000+ABS(3-$HE23)*1000+210)),IF($HG23=0,999999,IF(3=$HH23,IF(69=$HN23,IF($JE23=2,30,0),IF(69=$HO23,IF($JE23=1,30,0),ABS(21-$HI23)*100)),100000+ABS(3-$HH23)*1000+210)))-IF((69=$HJ23)+(69=$HK23)+(69=$HL23)+(69=$HM23)+(69=$HN23)+(69=$HO23)&gt;=2,50,0))+BT$5*50)</f>
        <v/>
      </c>
      <c r="BU143">
        <f>IF(OR($JF23=0,calcA!$A$6=0),0,IF(OR(70=$HA23,70=$HD23,70=$HG23),200000,MIN(IF($HA23=0,999999,IF(3=$HB23,IF(70=$HJ23,IF($JC23=2,30,0),IF(70=$HK23,IF($JC23=1,30,0),ABS(22-$HC23)*100)),100000+ABS(3-$HB23)*1000+220)),IF($HD23=0,999999,IF(3=$HE23,IF(70=$HL23,IF($JD23=2,30,0),IF(70=$HM23,IF($JD23=1,30,0),ABS(22-$HF23)*100)),100000+ABS(3-$HE23)*1000+220)),IF($HG23=0,999999,IF(3=$HH23,IF(70=$HN23,IF($JE23=2,30,0),IF(70=$HO23,IF($JE23=1,30,0),ABS(22-$HI23)*100)),100000+ABS(3-$HH23)*1000+220)))-IF((70=$HJ23)+(70=$HK23)+(70=$HL23)+(70=$HM23)+(70=$HN23)+(70=$HO23)&gt;=2,50,0))+BU$5*50)</f>
        <v/>
      </c>
      <c r="BV143">
        <f>IF(OR($JF23=0,calcA!$A$6=0),0,IF(OR(71=$HA23,71=$HD23,71=$HG23),200000,MIN(IF($HA23=0,999999,IF(3=$HB23,IF(71=$HJ23,IF($JC23=2,30,0),IF(71=$HK23,IF($JC23=1,30,0),ABS(23-$HC23)*100)),100000+ABS(3-$HB23)*1000+230)),IF($HD23=0,999999,IF(3=$HE23,IF(71=$HL23,IF($JD23=2,30,0),IF(71=$HM23,IF($JD23=1,30,0),ABS(23-$HF23)*100)),100000+ABS(3-$HE23)*1000+230)),IF($HG23=0,999999,IF(3=$HH23,IF(71=$HN23,IF($JE23=2,30,0),IF(71=$HO23,IF($JE23=1,30,0),ABS(23-$HI23)*100)),100000+ABS(3-$HH23)*1000+230)))-IF((71=$HJ23)+(71=$HK23)+(71=$HL23)+(71=$HM23)+(71=$HN23)+(71=$HO23)&gt;=2,50,0))+BV$5*50)</f>
        <v/>
      </c>
      <c r="BW143">
        <f>IF(OR($JF23=0,calcA!$A$6=0),0,IF(OR(72=$HA23,72=$HD23,72=$HG23),200000,MIN(IF($HA23=0,999999,IF(3=$HB23,IF(72=$HJ23,IF($JC23=2,30,0),IF(72=$HK23,IF($JC23=1,30,0),ABS(24-$HC23)*100)),100000+ABS(3-$HB23)*1000+240)),IF($HD23=0,999999,IF(3=$HE23,IF(72=$HL23,IF($JD23=2,30,0),IF(72=$HM23,IF($JD23=1,30,0),ABS(24-$HF23)*100)),100000+ABS(3-$HE23)*1000+240)),IF($HG23=0,999999,IF(3=$HH23,IF(72=$HN23,IF($JE23=2,30,0),IF(72=$HO23,IF($JE23=1,30,0),ABS(24-$HI23)*100)),100000+ABS(3-$HH23)*1000+240)))-IF((72=$HJ23)+(72=$HK23)+(72=$HL23)+(72=$HM23)+(72=$HN23)+(72=$HO23)&gt;=2,50,0))+BW$5*50)</f>
        <v/>
      </c>
      <c r="BX143">
        <f>IF(OR($JF23=0,calcA!$A$6=0),0,IF(OR(73=$HA23,73=$HD23,73=$HG23),200000,MIN(IF($HA23=0,999999,IF(4=$HB23,IF(73=$HJ23,IF($JC23=2,30,0),IF(73=$HK23,IF($JC23=1,30,0),ABS(1-$HC23)*100)),100000+ABS(4-$HB23)*1000+10)),IF($HD23=0,999999,IF(4=$HE23,IF(73=$HL23,IF($JD23=2,30,0),IF(73=$HM23,IF($JD23=1,30,0),ABS(1-$HF23)*100)),100000+ABS(4-$HE23)*1000+10)),IF($HG23=0,999999,IF(4=$HH23,IF(73=$HN23,IF($JE23=2,30,0),IF(73=$HO23,IF($JE23=1,30,0),ABS(1-$HI23)*100)),100000+ABS(4-$HH23)*1000+10)))-IF((73=$HJ23)+(73=$HK23)+(73=$HL23)+(73=$HM23)+(73=$HN23)+(73=$HO23)&gt;=2,50,0))+BX$5*50)</f>
        <v/>
      </c>
      <c r="BY143">
        <f>IF(OR($JF23=0,calcA!$A$6=0),0,IF(OR(74=$HA23,74=$HD23,74=$HG23),200000,MIN(IF($HA23=0,999999,IF(4=$HB23,IF(74=$HJ23,IF($JC23=2,30,0),IF(74=$HK23,IF($JC23=1,30,0),ABS(2-$HC23)*100)),100000+ABS(4-$HB23)*1000+20)),IF($HD23=0,999999,IF(4=$HE23,IF(74=$HL23,IF($JD23=2,30,0),IF(74=$HM23,IF($JD23=1,30,0),ABS(2-$HF23)*100)),100000+ABS(4-$HE23)*1000+20)),IF($HG23=0,999999,IF(4=$HH23,IF(74=$HN23,IF($JE23=2,30,0),IF(74=$HO23,IF($JE23=1,30,0),ABS(2-$HI23)*100)),100000+ABS(4-$HH23)*1000+20)))-IF((74=$HJ23)+(74=$HK23)+(74=$HL23)+(74=$HM23)+(74=$HN23)+(74=$HO23)&gt;=2,50,0))+BY$5*50)</f>
        <v/>
      </c>
      <c r="BZ143">
        <f>IF(OR($JF23=0,calcA!$A$6=0),0,IF(OR(75=$HA23,75=$HD23,75=$HG23),200000,MIN(IF($HA23=0,999999,IF(4=$HB23,IF(75=$HJ23,IF($JC23=2,30,0),IF(75=$HK23,IF($JC23=1,30,0),ABS(3-$HC23)*100)),100000+ABS(4-$HB23)*1000+30)),IF($HD23=0,999999,IF(4=$HE23,IF(75=$HL23,IF($JD23=2,30,0),IF(75=$HM23,IF($JD23=1,30,0),ABS(3-$HF23)*100)),100000+ABS(4-$HE23)*1000+30)),IF($HG23=0,999999,IF(4=$HH23,IF(75=$HN23,IF($JE23=2,30,0),IF(75=$HO23,IF($JE23=1,30,0),ABS(3-$HI23)*100)),100000+ABS(4-$HH23)*1000+30)))-IF((75=$HJ23)+(75=$HK23)+(75=$HL23)+(75=$HM23)+(75=$HN23)+(75=$HO23)&gt;=2,50,0))+BZ$5*50)</f>
        <v/>
      </c>
      <c r="CA143">
        <f>IF(OR($JF23=0,calcA!$A$6=0),0,IF(OR(76=$HA23,76=$HD23,76=$HG23),200000,MIN(IF($HA23=0,999999,IF(4=$HB23,IF(76=$HJ23,IF($JC23=2,30,0),IF(76=$HK23,IF($JC23=1,30,0),ABS(4-$HC23)*100)),100000+ABS(4-$HB23)*1000+40)),IF($HD23=0,999999,IF(4=$HE23,IF(76=$HL23,IF($JD23=2,30,0),IF(76=$HM23,IF($JD23=1,30,0),ABS(4-$HF23)*100)),100000+ABS(4-$HE23)*1000+40)),IF($HG23=0,999999,IF(4=$HH23,IF(76=$HN23,IF($JE23=2,30,0),IF(76=$HO23,IF($JE23=1,30,0),ABS(4-$HI23)*100)),100000+ABS(4-$HH23)*1000+40)))-IF((76=$HJ23)+(76=$HK23)+(76=$HL23)+(76=$HM23)+(76=$HN23)+(76=$HO23)&gt;=2,50,0))+CA$5*50)</f>
        <v/>
      </c>
      <c r="CB143">
        <f>IF(OR($JF23=0,calcA!$A$6=0),0,IF(OR(77=$HA23,77=$HD23,77=$HG23),200000,MIN(IF($HA23=0,999999,IF(4=$HB23,IF(77=$HJ23,IF($JC23=2,30,0),IF(77=$HK23,IF($JC23=1,30,0),ABS(5-$HC23)*100)),100000+ABS(4-$HB23)*1000+50)),IF($HD23=0,999999,IF(4=$HE23,IF(77=$HL23,IF($JD23=2,30,0),IF(77=$HM23,IF($JD23=1,30,0),ABS(5-$HF23)*100)),100000+ABS(4-$HE23)*1000+50)),IF($HG23=0,999999,IF(4=$HH23,IF(77=$HN23,IF($JE23=2,30,0),IF(77=$HO23,IF($JE23=1,30,0),ABS(5-$HI23)*100)),100000+ABS(4-$HH23)*1000+50)))-IF((77=$HJ23)+(77=$HK23)+(77=$HL23)+(77=$HM23)+(77=$HN23)+(77=$HO23)&gt;=2,50,0))+CB$5*50)</f>
        <v/>
      </c>
      <c r="CC143">
        <f>IF(OR($JF23=0,calcA!$A$6=0),0,IF(OR(78=$HA23,78=$HD23,78=$HG23),200000,MIN(IF($HA23=0,999999,IF(4=$HB23,IF(78=$HJ23,IF($JC23=2,30,0),IF(78=$HK23,IF($JC23=1,30,0),ABS(6-$HC23)*100)),100000+ABS(4-$HB23)*1000+60)),IF($HD23=0,999999,IF(4=$HE23,IF(78=$HL23,IF($JD23=2,30,0),IF(78=$HM23,IF($JD23=1,30,0),ABS(6-$HF23)*100)),100000+ABS(4-$HE23)*1000+60)),IF($HG23=0,999999,IF(4=$HH23,IF(78=$HN23,IF($JE23=2,30,0),IF(78=$HO23,IF($JE23=1,30,0),ABS(6-$HI23)*100)),100000+ABS(4-$HH23)*1000+60)))-IF((78=$HJ23)+(78=$HK23)+(78=$HL23)+(78=$HM23)+(78=$HN23)+(78=$HO23)&gt;=2,50,0))+CC$5*50)</f>
        <v/>
      </c>
      <c r="CD143">
        <f>IF(OR($JF23=0,calcA!$A$6=0),0,IF(OR(79=$HA23,79=$HD23,79=$HG23),200000,MIN(IF($HA23=0,999999,IF(4=$HB23,IF(79=$HJ23,IF($JC23=2,30,0),IF(79=$HK23,IF($JC23=1,30,0),ABS(7-$HC23)*100)),100000+ABS(4-$HB23)*1000+70)),IF($HD23=0,999999,IF(4=$HE23,IF(79=$HL23,IF($JD23=2,30,0),IF(79=$HM23,IF($JD23=1,30,0),ABS(7-$HF23)*100)),100000+ABS(4-$HE23)*1000+70)),IF($HG23=0,999999,IF(4=$HH23,IF(79=$HN23,IF($JE23=2,30,0),IF(79=$HO23,IF($JE23=1,30,0),ABS(7-$HI23)*100)),100000+ABS(4-$HH23)*1000+70)))-IF((79=$HJ23)+(79=$HK23)+(79=$HL23)+(79=$HM23)+(79=$HN23)+(79=$HO23)&gt;=2,50,0))+CD$5*50)</f>
        <v/>
      </c>
      <c r="CE143">
        <f>IF(OR($JF23=0,calcA!$A$6=0),0,IF(OR(80=$HA23,80=$HD23,80=$HG23),200000,MIN(IF($HA23=0,999999,IF(4=$HB23,IF(80=$HJ23,IF($JC23=2,30,0),IF(80=$HK23,IF($JC23=1,30,0),ABS(8-$HC23)*100)),100000+ABS(4-$HB23)*1000+80)),IF($HD23=0,999999,IF(4=$HE23,IF(80=$HL23,IF($JD23=2,30,0),IF(80=$HM23,IF($JD23=1,30,0),ABS(8-$HF23)*100)),100000+ABS(4-$HE23)*1000+80)),IF($HG23=0,999999,IF(4=$HH23,IF(80=$HN23,IF($JE23=2,30,0),IF(80=$HO23,IF($JE23=1,30,0),ABS(8-$HI23)*100)),100000+ABS(4-$HH23)*1000+80)))-IF((80=$HJ23)+(80=$HK23)+(80=$HL23)+(80=$HM23)+(80=$HN23)+(80=$HO23)&gt;=2,50,0))+CE$5*50)</f>
        <v/>
      </c>
      <c r="CF143">
        <f>IF(OR($JF23=0,calcA!$A$6=0),0,IF(OR(81=$HA23,81=$HD23,81=$HG23),200000,MIN(IF($HA23=0,999999,IF(4=$HB23,IF(81=$HJ23,IF($JC23=2,30,0),IF(81=$HK23,IF($JC23=1,30,0),ABS(9-$HC23)*100)),100000+ABS(4-$HB23)*1000+90)),IF($HD23=0,999999,IF(4=$HE23,IF(81=$HL23,IF($JD23=2,30,0),IF(81=$HM23,IF($JD23=1,30,0),ABS(9-$HF23)*100)),100000+ABS(4-$HE23)*1000+90)),IF($HG23=0,999999,IF(4=$HH23,IF(81=$HN23,IF($JE23=2,30,0),IF(81=$HO23,IF($JE23=1,30,0),ABS(9-$HI23)*100)),100000+ABS(4-$HH23)*1000+90)))-IF((81=$HJ23)+(81=$HK23)+(81=$HL23)+(81=$HM23)+(81=$HN23)+(81=$HO23)&gt;=2,50,0))+CF$5*50)</f>
        <v/>
      </c>
      <c r="CG143">
        <f>IF(OR($JF23=0,calcA!$A$6=0),0,IF(OR(82=$HA23,82=$HD23,82=$HG23),200000,MIN(IF($HA23=0,999999,IF(4=$HB23,IF(82=$HJ23,IF($JC23=2,30,0),IF(82=$HK23,IF($JC23=1,30,0),ABS(10-$HC23)*100)),100000+ABS(4-$HB23)*1000+100)),IF($HD23=0,999999,IF(4=$HE23,IF(82=$HL23,IF($JD23=2,30,0),IF(82=$HM23,IF($JD23=1,30,0),ABS(10-$HF23)*100)),100000+ABS(4-$HE23)*1000+100)),IF($HG23=0,999999,IF(4=$HH23,IF(82=$HN23,IF($JE23=2,30,0),IF(82=$HO23,IF($JE23=1,30,0),ABS(10-$HI23)*100)),100000+ABS(4-$HH23)*1000+100)))-IF((82=$HJ23)+(82=$HK23)+(82=$HL23)+(82=$HM23)+(82=$HN23)+(82=$HO23)&gt;=2,50,0))+CG$5*50)</f>
        <v/>
      </c>
      <c r="CH143">
        <f>IF(OR($JF23=0,calcA!$A$6=0),0,IF(OR(83=$HA23,83=$HD23,83=$HG23),200000,MIN(IF($HA23=0,999999,IF(4=$HB23,IF(83=$HJ23,IF($JC23=2,30,0),IF(83=$HK23,IF($JC23=1,30,0),ABS(11-$HC23)*100)),100000+ABS(4-$HB23)*1000+110)),IF($HD23=0,999999,IF(4=$HE23,IF(83=$HL23,IF($JD23=2,30,0),IF(83=$HM23,IF($JD23=1,30,0),ABS(11-$HF23)*100)),100000+ABS(4-$HE23)*1000+110)),IF($HG23=0,999999,IF(4=$HH23,IF(83=$HN23,IF($JE23=2,30,0),IF(83=$HO23,IF($JE23=1,30,0),ABS(11-$HI23)*100)),100000+ABS(4-$HH23)*1000+110)))-IF((83=$HJ23)+(83=$HK23)+(83=$HL23)+(83=$HM23)+(83=$HN23)+(83=$HO23)&gt;=2,50,0))+CH$5*50)</f>
        <v/>
      </c>
      <c r="CI143">
        <f>IF(OR($JF23=0,calcA!$A$6=0),0,IF(OR(84=$HA23,84=$HD23,84=$HG23),200000,MIN(IF($HA23=0,999999,IF(4=$HB23,IF(84=$HJ23,IF($JC23=2,30,0),IF(84=$HK23,IF($JC23=1,30,0),ABS(12-$HC23)*100)),100000+ABS(4-$HB23)*1000+120)),IF($HD23=0,999999,IF(4=$HE23,IF(84=$HL23,IF($JD23=2,30,0),IF(84=$HM23,IF($JD23=1,30,0),ABS(12-$HF23)*100)),100000+ABS(4-$HE23)*1000+120)),IF($HG23=0,999999,IF(4=$HH23,IF(84=$HN23,IF($JE23=2,30,0),IF(84=$HO23,IF($JE23=1,30,0),ABS(12-$HI23)*100)),100000+ABS(4-$HH23)*1000+120)))-IF((84=$HJ23)+(84=$HK23)+(84=$HL23)+(84=$HM23)+(84=$HN23)+(84=$HO23)&gt;=2,50,0))+CI$5*50)</f>
        <v/>
      </c>
      <c r="CJ143">
        <f>IF(OR($JF23=0,calcA!$A$6=0),0,IF(OR(85=$HA23,85=$HD23,85=$HG23),200000,MIN(IF($HA23=0,999999,IF(4=$HB23,IF(85=$HJ23,IF($JC23=2,30,0),IF(85=$HK23,IF($JC23=1,30,0),ABS(13-$HC23)*100)),100000+ABS(4-$HB23)*1000+130)),IF($HD23=0,999999,IF(4=$HE23,IF(85=$HL23,IF($JD23=2,30,0),IF(85=$HM23,IF($JD23=1,30,0),ABS(13-$HF23)*100)),100000+ABS(4-$HE23)*1000+130)),IF($HG23=0,999999,IF(4=$HH23,IF(85=$HN23,IF($JE23=2,30,0),IF(85=$HO23,IF($JE23=1,30,0),ABS(13-$HI23)*100)),100000+ABS(4-$HH23)*1000+130)))-IF((85=$HJ23)+(85=$HK23)+(85=$HL23)+(85=$HM23)+(85=$HN23)+(85=$HO23)&gt;=2,50,0))+CJ$5*50)</f>
        <v/>
      </c>
      <c r="CK143">
        <f>IF(OR($JF23=0,calcA!$A$6=0),0,IF(OR(86=$HA23,86=$HD23,86=$HG23),200000,MIN(IF($HA23=0,999999,IF(4=$HB23,IF(86=$HJ23,IF($JC23=2,30,0),IF(86=$HK23,IF($JC23=1,30,0),ABS(14-$HC23)*100)),100000+ABS(4-$HB23)*1000+140)),IF($HD23=0,999999,IF(4=$HE23,IF(86=$HL23,IF($JD23=2,30,0),IF(86=$HM23,IF($JD23=1,30,0),ABS(14-$HF23)*100)),100000+ABS(4-$HE23)*1000+140)),IF($HG23=0,999999,IF(4=$HH23,IF(86=$HN23,IF($JE23=2,30,0),IF(86=$HO23,IF($JE23=1,30,0),ABS(14-$HI23)*100)),100000+ABS(4-$HH23)*1000+140)))-IF((86=$HJ23)+(86=$HK23)+(86=$HL23)+(86=$HM23)+(86=$HN23)+(86=$HO23)&gt;=2,50,0))+CK$5*50)</f>
        <v/>
      </c>
      <c r="CL143">
        <f>IF(OR($JF23=0,calcA!$A$6=0),0,IF(OR(87=$HA23,87=$HD23,87=$HG23),200000,MIN(IF($HA23=0,999999,IF(4=$HB23,IF(87=$HJ23,IF($JC23=2,30,0),IF(87=$HK23,IF($JC23=1,30,0),ABS(15-$HC23)*100)),100000+ABS(4-$HB23)*1000+150)),IF($HD23=0,999999,IF(4=$HE23,IF(87=$HL23,IF($JD23=2,30,0),IF(87=$HM23,IF($JD23=1,30,0),ABS(15-$HF23)*100)),100000+ABS(4-$HE23)*1000+150)),IF($HG23=0,999999,IF(4=$HH23,IF(87=$HN23,IF($JE23=2,30,0),IF(87=$HO23,IF($JE23=1,30,0),ABS(15-$HI23)*100)),100000+ABS(4-$HH23)*1000+150)))-IF((87=$HJ23)+(87=$HK23)+(87=$HL23)+(87=$HM23)+(87=$HN23)+(87=$HO23)&gt;=2,50,0))+CL$5*50)</f>
        <v/>
      </c>
      <c r="CM143">
        <f>IF(OR($JF23=0,calcA!$A$6=0),0,IF(OR(88=$HA23,88=$HD23,88=$HG23),200000,MIN(IF($HA23=0,999999,IF(4=$HB23,IF(88=$HJ23,IF($JC23=2,30,0),IF(88=$HK23,IF($JC23=1,30,0),ABS(16-$HC23)*100)),100000+ABS(4-$HB23)*1000+160)),IF($HD23=0,999999,IF(4=$HE23,IF(88=$HL23,IF($JD23=2,30,0),IF(88=$HM23,IF($JD23=1,30,0),ABS(16-$HF23)*100)),100000+ABS(4-$HE23)*1000+160)),IF($HG23=0,999999,IF(4=$HH23,IF(88=$HN23,IF($JE23=2,30,0),IF(88=$HO23,IF($JE23=1,30,0),ABS(16-$HI23)*100)),100000+ABS(4-$HH23)*1000+160)))-IF((88=$HJ23)+(88=$HK23)+(88=$HL23)+(88=$HM23)+(88=$HN23)+(88=$HO23)&gt;=2,50,0))+CM$5*50)</f>
        <v/>
      </c>
      <c r="CN143">
        <f>IF(OR($JF23=0,calcA!$A$6=0),0,IF(OR(89=$HA23,89=$HD23,89=$HG23),200000,MIN(IF($HA23=0,999999,IF(4=$HB23,IF(89=$HJ23,IF($JC23=2,30,0),IF(89=$HK23,IF($JC23=1,30,0),ABS(17-$HC23)*100)),100000+ABS(4-$HB23)*1000+170)),IF($HD23=0,999999,IF(4=$HE23,IF(89=$HL23,IF($JD23=2,30,0),IF(89=$HM23,IF($JD23=1,30,0),ABS(17-$HF23)*100)),100000+ABS(4-$HE23)*1000+170)),IF($HG23=0,999999,IF(4=$HH23,IF(89=$HN23,IF($JE23=2,30,0),IF(89=$HO23,IF($JE23=1,30,0),ABS(17-$HI23)*100)),100000+ABS(4-$HH23)*1000+170)))-IF((89=$HJ23)+(89=$HK23)+(89=$HL23)+(89=$HM23)+(89=$HN23)+(89=$HO23)&gt;=2,50,0))+CN$5*50)</f>
        <v/>
      </c>
      <c r="CO143">
        <f>IF(OR($JF23=0,calcA!$A$6=0),0,IF(OR(90=$HA23,90=$HD23,90=$HG23),200000,MIN(IF($HA23=0,999999,IF(4=$HB23,IF(90=$HJ23,IF($JC23=2,30,0),IF(90=$HK23,IF($JC23=1,30,0),ABS(18-$HC23)*100)),100000+ABS(4-$HB23)*1000+180)),IF($HD23=0,999999,IF(4=$HE23,IF(90=$HL23,IF($JD23=2,30,0),IF(90=$HM23,IF($JD23=1,30,0),ABS(18-$HF23)*100)),100000+ABS(4-$HE23)*1000+180)),IF($HG23=0,999999,IF(4=$HH23,IF(90=$HN23,IF($JE23=2,30,0),IF(90=$HO23,IF($JE23=1,30,0),ABS(18-$HI23)*100)),100000+ABS(4-$HH23)*1000+180)))-IF((90=$HJ23)+(90=$HK23)+(90=$HL23)+(90=$HM23)+(90=$HN23)+(90=$HO23)&gt;=2,50,0))+CO$5*50)</f>
        <v/>
      </c>
      <c r="CP143">
        <f>IF(OR($JF23=0,calcA!$A$6=0),0,IF(OR(91=$HA23,91=$HD23,91=$HG23),200000,MIN(IF($HA23=0,999999,IF(4=$HB23,IF(91=$HJ23,IF($JC23=2,30,0),IF(91=$HK23,IF($JC23=1,30,0),ABS(19-$HC23)*100)),100000+ABS(4-$HB23)*1000+190)),IF($HD23=0,999999,IF(4=$HE23,IF(91=$HL23,IF($JD23=2,30,0),IF(91=$HM23,IF($JD23=1,30,0),ABS(19-$HF23)*100)),100000+ABS(4-$HE23)*1000+190)),IF($HG23=0,999999,IF(4=$HH23,IF(91=$HN23,IF($JE23=2,30,0),IF(91=$HO23,IF($JE23=1,30,0),ABS(19-$HI23)*100)),100000+ABS(4-$HH23)*1000+190)))-IF((91=$HJ23)+(91=$HK23)+(91=$HL23)+(91=$HM23)+(91=$HN23)+(91=$HO23)&gt;=2,50,0))+CP$5*50)</f>
        <v/>
      </c>
      <c r="CQ143">
        <f>IF(OR($JF23=0,calcA!$A$6=0),0,IF(OR(92=$HA23,92=$HD23,92=$HG23),200000,MIN(IF($HA23=0,999999,IF(4=$HB23,IF(92=$HJ23,IF($JC23=2,30,0),IF(92=$HK23,IF($JC23=1,30,0),ABS(20-$HC23)*100)),100000+ABS(4-$HB23)*1000+200)),IF($HD23=0,999999,IF(4=$HE23,IF(92=$HL23,IF($JD23=2,30,0),IF(92=$HM23,IF($JD23=1,30,0),ABS(20-$HF23)*100)),100000+ABS(4-$HE23)*1000+200)),IF($HG23=0,999999,IF(4=$HH23,IF(92=$HN23,IF($JE23=2,30,0),IF(92=$HO23,IF($JE23=1,30,0),ABS(20-$HI23)*100)),100000+ABS(4-$HH23)*1000+200)))-IF((92=$HJ23)+(92=$HK23)+(92=$HL23)+(92=$HM23)+(92=$HN23)+(92=$HO23)&gt;=2,50,0))+CQ$5*50)</f>
        <v/>
      </c>
      <c r="CR143">
        <f>IF(OR($JF23=0,calcA!$A$6=0),0,IF(OR(93=$HA23,93=$HD23,93=$HG23),200000,MIN(IF($HA23=0,999999,IF(4=$HB23,IF(93=$HJ23,IF($JC23=2,30,0),IF(93=$HK23,IF($JC23=1,30,0),ABS(21-$HC23)*100)),100000+ABS(4-$HB23)*1000+210)),IF($HD23=0,999999,IF(4=$HE23,IF(93=$HL23,IF($JD23=2,30,0),IF(93=$HM23,IF($JD23=1,30,0),ABS(21-$HF23)*100)),100000+ABS(4-$HE23)*1000+210)),IF($HG23=0,999999,IF(4=$HH23,IF(93=$HN23,IF($JE23=2,30,0),IF(93=$HO23,IF($JE23=1,30,0),ABS(21-$HI23)*100)),100000+ABS(4-$HH23)*1000+210)))-IF((93=$HJ23)+(93=$HK23)+(93=$HL23)+(93=$HM23)+(93=$HN23)+(93=$HO23)&gt;=2,50,0))+CR$5*50)</f>
        <v/>
      </c>
      <c r="CS143">
        <f>IF(OR($JF23=0,calcA!$A$6=0),0,IF(OR(94=$HA23,94=$HD23,94=$HG23),200000,MIN(IF($HA23=0,999999,IF(4=$HB23,IF(94=$HJ23,IF($JC23=2,30,0),IF(94=$HK23,IF($JC23=1,30,0),ABS(22-$HC23)*100)),100000+ABS(4-$HB23)*1000+220)),IF($HD23=0,999999,IF(4=$HE23,IF(94=$HL23,IF($JD23=2,30,0),IF(94=$HM23,IF($JD23=1,30,0),ABS(22-$HF23)*100)),100000+ABS(4-$HE23)*1000+220)),IF($HG23=0,999999,IF(4=$HH23,IF(94=$HN23,IF($JE23=2,30,0),IF(94=$HO23,IF($JE23=1,30,0),ABS(22-$HI23)*100)),100000+ABS(4-$HH23)*1000+220)))-IF((94=$HJ23)+(94=$HK23)+(94=$HL23)+(94=$HM23)+(94=$HN23)+(94=$HO23)&gt;=2,50,0))+CS$5*50)</f>
        <v/>
      </c>
      <c r="CT143">
        <f>IF(OR($JF23=0,calcA!$A$6=0),0,IF(OR(95=$HA23,95=$HD23,95=$HG23),200000,MIN(IF($HA23=0,999999,IF(4=$HB23,IF(95=$HJ23,IF($JC23=2,30,0),IF(95=$HK23,IF($JC23=1,30,0),ABS(23-$HC23)*100)),100000+ABS(4-$HB23)*1000+230)),IF($HD23=0,999999,IF(4=$HE23,IF(95=$HL23,IF($JD23=2,30,0),IF(95=$HM23,IF($JD23=1,30,0),ABS(23-$HF23)*100)),100000+ABS(4-$HE23)*1000+230)),IF($HG23=0,999999,IF(4=$HH23,IF(95=$HN23,IF($JE23=2,30,0),IF(95=$HO23,IF($JE23=1,30,0),ABS(23-$HI23)*100)),100000+ABS(4-$HH23)*1000+230)))-IF((95=$HJ23)+(95=$HK23)+(95=$HL23)+(95=$HM23)+(95=$HN23)+(95=$HO23)&gt;=2,50,0))+CT$5*50)</f>
        <v/>
      </c>
      <c r="CU143">
        <f>IF(OR($JF23=0,calcA!$A$6=0),0,IF(OR(96=$HA23,96=$HD23,96=$HG23),200000,MIN(IF($HA23=0,999999,IF(4=$HB23,IF(96=$HJ23,IF($JC23=2,30,0),IF(96=$HK23,IF($JC23=1,30,0),ABS(24-$HC23)*100)),100000+ABS(4-$HB23)*1000+240)),IF($HD23=0,999999,IF(4=$HE23,IF(96=$HL23,IF($JD23=2,30,0),IF(96=$HM23,IF($JD23=1,30,0),ABS(24-$HF23)*100)),100000+ABS(4-$HE23)*1000+240)),IF($HG23=0,999999,IF(4=$HH23,IF(96=$HN23,IF($JE23=2,30,0),IF(96=$HO23,IF($JE23=1,30,0),ABS(24-$HI23)*100)),100000+ABS(4-$HH23)*1000+240)))-IF((96=$HJ23)+(96=$HK23)+(96=$HL23)+(96=$HM23)+(96=$HN23)+(96=$HO23)&gt;=2,50,0))+CU$5*50)</f>
        <v/>
      </c>
      <c r="CV143">
        <f>IF(OR($JF23=0,calcA!$A$6=0),0,IF(OR(97=$HA23,97=$HD23,97=$HG23),200000,MIN(IF($HA23=0,999999,IF(5=$HB23,IF(97=$HJ23,IF($JC23=2,30,0),IF(97=$HK23,IF($JC23=1,30,0),ABS(1-$HC23)*100)),100000+ABS(5-$HB23)*1000+10)),IF($HD23=0,999999,IF(5=$HE23,IF(97=$HL23,IF($JD23=2,30,0),IF(97=$HM23,IF($JD23=1,30,0),ABS(1-$HF23)*100)),100000+ABS(5-$HE23)*1000+10)),IF($HG23=0,999999,IF(5=$HH23,IF(97=$HN23,IF($JE23=2,30,0),IF(97=$HO23,IF($JE23=1,30,0),ABS(1-$HI23)*100)),100000+ABS(5-$HH23)*1000+10)))-IF((97=$HJ23)+(97=$HK23)+(97=$HL23)+(97=$HM23)+(97=$HN23)+(97=$HO23)&gt;=2,50,0))+CV$5*50)</f>
        <v/>
      </c>
      <c r="CW143">
        <f>IF(OR($JF23=0,calcA!$A$6=0),0,IF(OR(98=$HA23,98=$HD23,98=$HG23),200000,MIN(IF($HA23=0,999999,IF(5=$HB23,IF(98=$HJ23,IF($JC23=2,30,0),IF(98=$HK23,IF($JC23=1,30,0),ABS(2-$HC23)*100)),100000+ABS(5-$HB23)*1000+20)),IF($HD23=0,999999,IF(5=$HE23,IF(98=$HL23,IF($JD23=2,30,0),IF(98=$HM23,IF($JD23=1,30,0),ABS(2-$HF23)*100)),100000+ABS(5-$HE23)*1000+20)),IF($HG23=0,999999,IF(5=$HH23,IF(98=$HN23,IF($JE23=2,30,0),IF(98=$HO23,IF($JE23=1,30,0),ABS(2-$HI23)*100)),100000+ABS(5-$HH23)*1000+20)))-IF((98=$HJ23)+(98=$HK23)+(98=$HL23)+(98=$HM23)+(98=$HN23)+(98=$HO23)&gt;=2,50,0))+CW$5*50)</f>
        <v/>
      </c>
      <c r="CX143">
        <f>IF(OR($JF23=0,calcA!$A$6=0),0,IF(OR(99=$HA23,99=$HD23,99=$HG23),200000,MIN(IF($HA23=0,999999,IF(5=$HB23,IF(99=$HJ23,IF($JC23=2,30,0),IF(99=$HK23,IF($JC23=1,30,0),ABS(3-$HC23)*100)),100000+ABS(5-$HB23)*1000+30)),IF($HD23=0,999999,IF(5=$HE23,IF(99=$HL23,IF($JD23=2,30,0),IF(99=$HM23,IF($JD23=1,30,0),ABS(3-$HF23)*100)),100000+ABS(5-$HE23)*1000+30)),IF($HG23=0,999999,IF(5=$HH23,IF(99=$HN23,IF($JE23=2,30,0),IF(99=$HO23,IF($JE23=1,30,0),ABS(3-$HI23)*100)),100000+ABS(5-$HH23)*1000+30)))-IF((99=$HJ23)+(99=$HK23)+(99=$HL23)+(99=$HM23)+(99=$HN23)+(99=$HO23)&gt;=2,50,0))+CX$5*50)</f>
        <v/>
      </c>
      <c r="CY143">
        <f>IF(OR($JF23=0,calcA!$A$6=0),0,IF(OR(100=$HA23,100=$HD23,100=$HG23),200000,MIN(IF($HA23=0,999999,IF(5=$HB23,IF(100=$HJ23,IF($JC23=2,30,0),IF(100=$HK23,IF($JC23=1,30,0),ABS(4-$HC23)*100)),100000+ABS(5-$HB23)*1000+40)),IF($HD23=0,999999,IF(5=$HE23,IF(100=$HL23,IF($JD23=2,30,0),IF(100=$HM23,IF($JD23=1,30,0),ABS(4-$HF23)*100)),100000+ABS(5-$HE23)*1000+40)),IF($HG23=0,999999,IF(5=$HH23,IF(100=$HN23,IF($JE23=2,30,0),IF(100=$HO23,IF($JE23=1,30,0),ABS(4-$HI23)*100)),100000+ABS(5-$HH23)*1000+40)))-IF((100=$HJ23)+(100=$HK23)+(100=$HL23)+(100=$HM23)+(100=$HN23)+(100=$HO23)&gt;=2,50,0))+CY$5*50)</f>
        <v/>
      </c>
      <c r="CZ143">
        <f>IF(OR($JF23=0,calcA!$A$6=0),0,IF(OR(101=$HA23,101=$HD23,101=$HG23),200000,MIN(IF($HA23=0,999999,IF(5=$HB23,IF(101=$HJ23,IF($JC23=2,30,0),IF(101=$HK23,IF($JC23=1,30,0),ABS(5-$HC23)*100)),100000+ABS(5-$HB23)*1000+50)),IF($HD23=0,999999,IF(5=$HE23,IF(101=$HL23,IF($JD23=2,30,0),IF(101=$HM23,IF($JD23=1,30,0),ABS(5-$HF23)*100)),100000+ABS(5-$HE23)*1000+50)),IF($HG23=0,999999,IF(5=$HH23,IF(101=$HN23,IF($JE23=2,30,0),IF(101=$HO23,IF($JE23=1,30,0),ABS(5-$HI23)*100)),100000+ABS(5-$HH23)*1000+50)))-IF((101=$HJ23)+(101=$HK23)+(101=$HL23)+(101=$HM23)+(101=$HN23)+(101=$HO23)&gt;=2,50,0))+CZ$5*50)</f>
        <v/>
      </c>
      <c r="DA143">
        <f>IF(OR($JF23=0,calcA!$A$6=0),0,IF(OR(102=$HA23,102=$HD23,102=$HG23),200000,MIN(IF($HA23=0,999999,IF(5=$HB23,IF(102=$HJ23,IF($JC23=2,30,0),IF(102=$HK23,IF($JC23=1,30,0),ABS(6-$HC23)*100)),100000+ABS(5-$HB23)*1000+60)),IF($HD23=0,999999,IF(5=$HE23,IF(102=$HL23,IF($JD23=2,30,0),IF(102=$HM23,IF($JD23=1,30,0),ABS(6-$HF23)*100)),100000+ABS(5-$HE23)*1000+60)),IF($HG23=0,999999,IF(5=$HH23,IF(102=$HN23,IF($JE23=2,30,0),IF(102=$HO23,IF($JE23=1,30,0),ABS(6-$HI23)*100)),100000+ABS(5-$HH23)*1000+60)))-IF((102=$HJ23)+(102=$HK23)+(102=$HL23)+(102=$HM23)+(102=$HN23)+(102=$HO23)&gt;=2,50,0))+DA$5*50)</f>
        <v/>
      </c>
      <c r="DB143">
        <f>IF(OR($JF23=0,calcA!$A$6=0),0,IF(OR(103=$HA23,103=$HD23,103=$HG23),200000,MIN(IF($HA23=0,999999,IF(5=$HB23,IF(103=$HJ23,IF($JC23=2,30,0),IF(103=$HK23,IF($JC23=1,30,0),ABS(7-$HC23)*100)),100000+ABS(5-$HB23)*1000+70)),IF($HD23=0,999999,IF(5=$HE23,IF(103=$HL23,IF($JD23=2,30,0),IF(103=$HM23,IF($JD23=1,30,0),ABS(7-$HF23)*100)),100000+ABS(5-$HE23)*1000+70)),IF($HG23=0,999999,IF(5=$HH23,IF(103=$HN23,IF($JE23=2,30,0),IF(103=$HO23,IF($JE23=1,30,0),ABS(7-$HI23)*100)),100000+ABS(5-$HH23)*1000+70)))-IF((103=$HJ23)+(103=$HK23)+(103=$HL23)+(103=$HM23)+(103=$HN23)+(103=$HO23)&gt;=2,50,0))+DB$5*50)</f>
        <v/>
      </c>
      <c r="DC143">
        <f>IF(OR($JF23=0,calcA!$A$6=0),0,IF(OR(104=$HA23,104=$HD23,104=$HG23),200000,MIN(IF($HA23=0,999999,IF(5=$HB23,IF(104=$HJ23,IF($JC23=2,30,0),IF(104=$HK23,IF($JC23=1,30,0),ABS(8-$HC23)*100)),100000+ABS(5-$HB23)*1000+80)),IF($HD23=0,999999,IF(5=$HE23,IF(104=$HL23,IF($JD23=2,30,0),IF(104=$HM23,IF($JD23=1,30,0),ABS(8-$HF23)*100)),100000+ABS(5-$HE23)*1000+80)),IF($HG23=0,999999,IF(5=$HH23,IF(104=$HN23,IF($JE23=2,30,0),IF(104=$HO23,IF($JE23=1,30,0),ABS(8-$HI23)*100)),100000+ABS(5-$HH23)*1000+80)))-IF((104=$HJ23)+(104=$HK23)+(104=$HL23)+(104=$HM23)+(104=$HN23)+(104=$HO23)&gt;=2,50,0))+DC$5*50)</f>
        <v/>
      </c>
      <c r="DD143">
        <f>IF(OR($JF23=0,calcA!$A$6=0),0,IF(OR(105=$HA23,105=$HD23,105=$HG23),200000,MIN(IF($HA23=0,999999,IF(5=$HB23,IF(105=$HJ23,IF($JC23=2,30,0),IF(105=$HK23,IF($JC23=1,30,0),ABS(9-$HC23)*100)),100000+ABS(5-$HB23)*1000+90)),IF($HD23=0,999999,IF(5=$HE23,IF(105=$HL23,IF($JD23=2,30,0),IF(105=$HM23,IF($JD23=1,30,0),ABS(9-$HF23)*100)),100000+ABS(5-$HE23)*1000+90)),IF($HG23=0,999999,IF(5=$HH23,IF(105=$HN23,IF($JE23=2,30,0),IF(105=$HO23,IF($JE23=1,30,0),ABS(9-$HI23)*100)),100000+ABS(5-$HH23)*1000+90)))-IF((105=$HJ23)+(105=$HK23)+(105=$HL23)+(105=$HM23)+(105=$HN23)+(105=$HO23)&gt;=2,50,0))+DD$5*50)</f>
        <v/>
      </c>
      <c r="DE143">
        <f>IF(OR($JF23=0,calcA!$A$6=0),0,IF(OR(106=$HA23,106=$HD23,106=$HG23),200000,MIN(IF($HA23=0,999999,IF(5=$HB23,IF(106=$HJ23,IF($JC23=2,30,0),IF(106=$HK23,IF($JC23=1,30,0),ABS(10-$HC23)*100)),100000+ABS(5-$HB23)*1000+100)),IF($HD23=0,999999,IF(5=$HE23,IF(106=$HL23,IF($JD23=2,30,0),IF(106=$HM23,IF($JD23=1,30,0),ABS(10-$HF23)*100)),100000+ABS(5-$HE23)*1000+100)),IF($HG23=0,999999,IF(5=$HH23,IF(106=$HN23,IF($JE23=2,30,0),IF(106=$HO23,IF($JE23=1,30,0),ABS(10-$HI23)*100)),100000+ABS(5-$HH23)*1000+100)))-IF((106=$HJ23)+(106=$HK23)+(106=$HL23)+(106=$HM23)+(106=$HN23)+(106=$HO23)&gt;=2,50,0))+DE$5*50)</f>
        <v/>
      </c>
      <c r="DF143">
        <f>IF(OR($JF23=0,calcA!$A$6=0),0,IF(OR(107=$HA23,107=$HD23,107=$HG23),200000,MIN(IF($HA23=0,999999,IF(5=$HB23,IF(107=$HJ23,IF($JC23=2,30,0),IF(107=$HK23,IF($JC23=1,30,0),ABS(11-$HC23)*100)),100000+ABS(5-$HB23)*1000+110)),IF($HD23=0,999999,IF(5=$HE23,IF(107=$HL23,IF($JD23=2,30,0),IF(107=$HM23,IF($JD23=1,30,0),ABS(11-$HF23)*100)),100000+ABS(5-$HE23)*1000+110)),IF($HG23=0,999999,IF(5=$HH23,IF(107=$HN23,IF($JE23=2,30,0),IF(107=$HO23,IF($JE23=1,30,0),ABS(11-$HI23)*100)),100000+ABS(5-$HH23)*1000+110)))-IF((107=$HJ23)+(107=$HK23)+(107=$HL23)+(107=$HM23)+(107=$HN23)+(107=$HO23)&gt;=2,50,0))+DF$5*50)</f>
        <v/>
      </c>
      <c r="DG143">
        <f>IF(OR($JF23=0,calcA!$A$6=0),0,IF(OR(108=$HA23,108=$HD23,108=$HG23),200000,MIN(IF($HA23=0,999999,IF(5=$HB23,IF(108=$HJ23,IF($JC23=2,30,0),IF(108=$HK23,IF($JC23=1,30,0),ABS(12-$HC23)*100)),100000+ABS(5-$HB23)*1000+120)),IF($HD23=0,999999,IF(5=$HE23,IF(108=$HL23,IF($JD23=2,30,0),IF(108=$HM23,IF($JD23=1,30,0),ABS(12-$HF23)*100)),100000+ABS(5-$HE23)*1000+120)),IF($HG23=0,999999,IF(5=$HH23,IF(108=$HN23,IF($JE23=2,30,0),IF(108=$HO23,IF($JE23=1,30,0),ABS(12-$HI23)*100)),100000+ABS(5-$HH23)*1000+120)))-IF((108=$HJ23)+(108=$HK23)+(108=$HL23)+(108=$HM23)+(108=$HN23)+(108=$HO23)&gt;=2,50,0))+DG$5*50)</f>
        <v/>
      </c>
      <c r="DH143">
        <f>IF(OR($JF23=0,calcA!$A$6=0),0,IF(OR(109=$HA23,109=$HD23,109=$HG23),200000,MIN(IF($HA23=0,999999,IF(5=$HB23,IF(109=$HJ23,IF($JC23=2,30,0),IF(109=$HK23,IF($JC23=1,30,0),ABS(13-$HC23)*100)),100000+ABS(5-$HB23)*1000+130)),IF($HD23=0,999999,IF(5=$HE23,IF(109=$HL23,IF($JD23=2,30,0),IF(109=$HM23,IF($JD23=1,30,0),ABS(13-$HF23)*100)),100000+ABS(5-$HE23)*1000+130)),IF($HG23=0,999999,IF(5=$HH23,IF(109=$HN23,IF($JE23=2,30,0),IF(109=$HO23,IF($JE23=1,30,0),ABS(13-$HI23)*100)),100000+ABS(5-$HH23)*1000+130)))-IF((109=$HJ23)+(109=$HK23)+(109=$HL23)+(109=$HM23)+(109=$HN23)+(109=$HO23)&gt;=2,50,0))+DH$5*50)</f>
        <v/>
      </c>
      <c r="DI143">
        <f>IF(OR($JF23=0,calcA!$A$6=0),0,IF(OR(110=$HA23,110=$HD23,110=$HG23),200000,MIN(IF($HA23=0,999999,IF(5=$HB23,IF(110=$HJ23,IF($JC23=2,30,0),IF(110=$HK23,IF($JC23=1,30,0),ABS(14-$HC23)*100)),100000+ABS(5-$HB23)*1000+140)),IF($HD23=0,999999,IF(5=$HE23,IF(110=$HL23,IF($JD23=2,30,0),IF(110=$HM23,IF($JD23=1,30,0),ABS(14-$HF23)*100)),100000+ABS(5-$HE23)*1000+140)),IF($HG23=0,999999,IF(5=$HH23,IF(110=$HN23,IF($JE23=2,30,0),IF(110=$HO23,IF($JE23=1,30,0),ABS(14-$HI23)*100)),100000+ABS(5-$HH23)*1000+140)))-IF((110=$HJ23)+(110=$HK23)+(110=$HL23)+(110=$HM23)+(110=$HN23)+(110=$HO23)&gt;=2,50,0))+DI$5*50)</f>
        <v/>
      </c>
      <c r="DJ143">
        <f>IF(OR($JF23=0,calcA!$A$6=0),0,IF(OR(111=$HA23,111=$HD23,111=$HG23),200000,MIN(IF($HA23=0,999999,IF(5=$HB23,IF(111=$HJ23,IF($JC23=2,30,0),IF(111=$HK23,IF($JC23=1,30,0),ABS(15-$HC23)*100)),100000+ABS(5-$HB23)*1000+150)),IF($HD23=0,999999,IF(5=$HE23,IF(111=$HL23,IF($JD23=2,30,0),IF(111=$HM23,IF($JD23=1,30,0),ABS(15-$HF23)*100)),100000+ABS(5-$HE23)*1000+150)),IF($HG23=0,999999,IF(5=$HH23,IF(111=$HN23,IF($JE23=2,30,0),IF(111=$HO23,IF($JE23=1,30,0),ABS(15-$HI23)*100)),100000+ABS(5-$HH23)*1000+150)))-IF((111=$HJ23)+(111=$HK23)+(111=$HL23)+(111=$HM23)+(111=$HN23)+(111=$HO23)&gt;=2,50,0))+DJ$5*50)</f>
        <v/>
      </c>
      <c r="DK143">
        <f>IF(OR($JF23=0,calcA!$A$6=0),0,IF(OR(112=$HA23,112=$HD23,112=$HG23),200000,MIN(IF($HA23=0,999999,IF(5=$HB23,IF(112=$HJ23,IF($JC23=2,30,0),IF(112=$HK23,IF($JC23=1,30,0),ABS(16-$HC23)*100)),100000+ABS(5-$HB23)*1000+160)),IF($HD23=0,999999,IF(5=$HE23,IF(112=$HL23,IF($JD23=2,30,0),IF(112=$HM23,IF($JD23=1,30,0),ABS(16-$HF23)*100)),100000+ABS(5-$HE23)*1000+160)),IF($HG23=0,999999,IF(5=$HH23,IF(112=$HN23,IF($JE23=2,30,0),IF(112=$HO23,IF($JE23=1,30,0),ABS(16-$HI23)*100)),100000+ABS(5-$HH23)*1000+160)))-IF((112=$HJ23)+(112=$HK23)+(112=$HL23)+(112=$HM23)+(112=$HN23)+(112=$HO23)&gt;=2,50,0))+DK$5*50)</f>
        <v/>
      </c>
      <c r="DL143">
        <f>IF(OR($JF23=0,calcA!$A$6=0),0,IF(OR(113=$HA23,113=$HD23,113=$HG23),200000,MIN(IF($HA23=0,999999,IF(5=$HB23,IF(113=$HJ23,IF($JC23=2,30,0),IF(113=$HK23,IF($JC23=1,30,0),ABS(17-$HC23)*100)),100000+ABS(5-$HB23)*1000+170)),IF($HD23=0,999999,IF(5=$HE23,IF(113=$HL23,IF($JD23=2,30,0),IF(113=$HM23,IF($JD23=1,30,0),ABS(17-$HF23)*100)),100000+ABS(5-$HE23)*1000+170)),IF($HG23=0,999999,IF(5=$HH23,IF(113=$HN23,IF($JE23=2,30,0),IF(113=$HO23,IF($JE23=1,30,0),ABS(17-$HI23)*100)),100000+ABS(5-$HH23)*1000+170)))-IF((113=$HJ23)+(113=$HK23)+(113=$HL23)+(113=$HM23)+(113=$HN23)+(113=$HO23)&gt;=2,50,0))+DL$5*50)</f>
        <v/>
      </c>
      <c r="DM143">
        <f>IF(OR($JF23=0,calcA!$A$6=0),0,IF(OR(114=$HA23,114=$HD23,114=$HG23),200000,MIN(IF($HA23=0,999999,IF(5=$HB23,IF(114=$HJ23,IF($JC23=2,30,0),IF(114=$HK23,IF($JC23=1,30,0),ABS(18-$HC23)*100)),100000+ABS(5-$HB23)*1000+180)),IF($HD23=0,999999,IF(5=$HE23,IF(114=$HL23,IF($JD23=2,30,0),IF(114=$HM23,IF($JD23=1,30,0),ABS(18-$HF23)*100)),100000+ABS(5-$HE23)*1000+180)),IF($HG23=0,999999,IF(5=$HH23,IF(114=$HN23,IF($JE23=2,30,0),IF(114=$HO23,IF($JE23=1,30,0),ABS(18-$HI23)*100)),100000+ABS(5-$HH23)*1000+180)))-IF((114=$HJ23)+(114=$HK23)+(114=$HL23)+(114=$HM23)+(114=$HN23)+(114=$HO23)&gt;=2,50,0))+DM$5*50)</f>
        <v/>
      </c>
      <c r="DN143">
        <f>IF(OR($JF23=0,calcA!$A$6=0),0,IF(OR(115=$HA23,115=$HD23,115=$HG23),200000,MIN(IF($HA23=0,999999,IF(5=$HB23,IF(115=$HJ23,IF($JC23=2,30,0),IF(115=$HK23,IF($JC23=1,30,0),ABS(19-$HC23)*100)),100000+ABS(5-$HB23)*1000+190)),IF($HD23=0,999999,IF(5=$HE23,IF(115=$HL23,IF($JD23=2,30,0),IF(115=$HM23,IF($JD23=1,30,0),ABS(19-$HF23)*100)),100000+ABS(5-$HE23)*1000+190)),IF($HG23=0,999999,IF(5=$HH23,IF(115=$HN23,IF($JE23=2,30,0),IF(115=$HO23,IF($JE23=1,30,0),ABS(19-$HI23)*100)),100000+ABS(5-$HH23)*1000+190)))-IF((115=$HJ23)+(115=$HK23)+(115=$HL23)+(115=$HM23)+(115=$HN23)+(115=$HO23)&gt;=2,50,0))+DN$5*50)</f>
        <v/>
      </c>
      <c r="DO143">
        <f>IF(OR($JF23=0,calcA!$A$6=0),0,IF(OR(116=$HA23,116=$HD23,116=$HG23),200000,MIN(IF($HA23=0,999999,IF(5=$HB23,IF(116=$HJ23,IF($JC23=2,30,0),IF(116=$HK23,IF($JC23=1,30,0),ABS(20-$HC23)*100)),100000+ABS(5-$HB23)*1000+200)),IF($HD23=0,999999,IF(5=$HE23,IF(116=$HL23,IF($JD23=2,30,0),IF(116=$HM23,IF($JD23=1,30,0),ABS(20-$HF23)*100)),100000+ABS(5-$HE23)*1000+200)),IF($HG23=0,999999,IF(5=$HH23,IF(116=$HN23,IF($JE23=2,30,0),IF(116=$HO23,IF($JE23=1,30,0),ABS(20-$HI23)*100)),100000+ABS(5-$HH23)*1000+200)))-IF((116=$HJ23)+(116=$HK23)+(116=$HL23)+(116=$HM23)+(116=$HN23)+(116=$HO23)&gt;=2,50,0))+DO$5*50)</f>
        <v/>
      </c>
      <c r="DP143">
        <f>IF(OR($JF23=0,calcA!$A$6=0),0,IF(OR(117=$HA23,117=$HD23,117=$HG23),200000,MIN(IF($HA23=0,999999,IF(5=$HB23,IF(117=$HJ23,IF($JC23=2,30,0),IF(117=$HK23,IF($JC23=1,30,0),ABS(21-$HC23)*100)),100000+ABS(5-$HB23)*1000+210)),IF($HD23=0,999999,IF(5=$HE23,IF(117=$HL23,IF($JD23=2,30,0),IF(117=$HM23,IF($JD23=1,30,0),ABS(21-$HF23)*100)),100000+ABS(5-$HE23)*1000+210)),IF($HG23=0,999999,IF(5=$HH23,IF(117=$HN23,IF($JE23=2,30,0),IF(117=$HO23,IF($JE23=1,30,0),ABS(21-$HI23)*100)),100000+ABS(5-$HH23)*1000+210)))-IF((117=$HJ23)+(117=$HK23)+(117=$HL23)+(117=$HM23)+(117=$HN23)+(117=$HO23)&gt;=2,50,0))+DP$5*50)</f>
        <v/>
      </c>
      <c r="DQ143">
        <f>IF(OR($JF23=0,calcA!$A$6=0),0,IF(OR(118=$HA23,118=$HD23,118=$HG23),200000,MIN(IF($HA23=0,999999,IF(5=$HB23,IF(118=$HJ23,IF($JC23=2,30,0),IF(118=$HK23,IF($JC23=1,30,0),ABS(22-$HC23)*100)),100000+ABS(5-$HB23)*1000+220)),IF($HD23=0,999999,IF(5=$HE23,IF(118=$HL23,IF($JD23=2,30,0),IF(118=$HM23,IF($JD23=1,30,0),ABS(22-$HF23)*100)),100000+ABS(5-$HE23)*1000+220)),IF($HG23=0,999999,IF(5=$HH23,IF(118=$HN23,IF($JE23=2,30,0),IF(118=$HO23,IF($JE23=1,30,0),ABS(22-$HI23)*100)),100000+ABS(5-$HH23)*1000+220)))-IF((118=$HJ23)+(118=$HK23)+(118=$HL23)+(118=$HM23)+(118=$HN23)+(118=$HO23)&gt;=2,50,0))+DQ$5*50)</f>
        <v/>
      </c>
      <c r="DR143">
        <f>IF(OR($JF23=0,calcA!$A$6=0),0,IF(OR(119=$HA23,119=$HD23,119=$HG23),200000,MIN(IF($HA23=0,999999,IF(5=$HB23,IF(119=$HJ23,IF($JC23=2,30,0),IF(119=$HK23,IF($JC23=1,30,0),ABS(23-$HC23)*100)),100000+ABS(5-$HB23)*1000+230)),IF($HD23=0,999999,IF(5=$HE23,IF(119=$HL23,IF($JD23=2,30,0),IF(119=$HM23,IF($JD23=1,30,0),ABS(23-$HF23)*100)),100000+ABS(5-$HE23)*1000+230)),IF($HG23=0,999999,IF(5=$HH23,IF(119=$HN23,IF($JE23=2,30,0),IF(119=$HO23,IF($JE23=1,30,0),ABS(23-$HI23)*100)),100000+ABS(5-$HH23)*1000+230)))-IF((119=$HJ23)+(119=$HK23)+(119=$HL23)+(119=$HM23)+(119=$HN23)+(119=$HO23)&gt;=2,50,0))+DR$5*50)</f>
        <v/>
      </c>
      <c r="DS143">
        <f>IF(OR($JF23=0,calcA!$A$6=0),0,IF(OR(120=$HA23,120=$HD23,120=$HG23),200000,MIN(IF($HA23=0,999999,IF(5=$HB23,IF(120=$HJ23,IF($JC23=2,30,0),IF(120=$HK23,IF($JC23=1,30,0),ABS(24-$HC23)*100)),100000+ABS(5-$HB23)*1000+240)),IF($HD23=0,999999,IF(5=$HE23,IF(120=$HL23,IF($JD23=2,30,0),IF(120=$HM23,IF($JD23=1,30,0),ABS(24-$HF23)*100)),100000+ABS(5-$HE23)*1000+240)),IF($HG23=0,999999,IF(5=$HH23,IF(120=$HN23,IF($JE23=2,30,0),IF(120=$HO23,IF($JE23=1,30,0),ABS(24-$HI23)*100)),100000+ABS(5-$HH23)*1000+240)))-IF((120=$HJ23)+(120=$HK23)+(120=$HL23)+(120=$HM23)+(120=$HN23)+(120=$HO23)&gt;=2,50,0))+DS$5*50)</f>
        <v/>
      </c>
      <c r="DT143">
        <f>IF(OR($JF23=0,calcA!$A$6=0),0,IF(OR(121=$HA23,121=$HD23,121=$HG23),200000,MIN(IF($HA23=0,999999,IF(6=$HB23,IF(121=$HJ23,IF($JC23=2,30,0),IF(121=$HK23,IF($JC23=1,30,0),ABS(1-$HC23)*100)),100000+ABS(6-$HB23)*1000+10)),IF($HD23=0,999999,IF(6=$HE23,IF(121=$HL23,IF($JD23=2,30,0),IF(121=$HM23,IF($JD23=1,30,0),ABS(1-$HF23)*100)),100000+ABS(6-$HE23)*1000+10)),IF($HG23=0,999999,IF(6=$HH23,IF(121=$HN23,IF($JE23=2,30,0),IF(121=$HO23,IF($JE23=1,30,0),ABS(1-$HI23)*100)),100000+ABS(6-$HH23)*1000+10)))-IF((121=$HJ23)+(121=$HK23)+(121=$HL23)+(121=$HM23)+(121=$HN23)+(121=$HO23)&gt;=2,50,0))+DT$5*50)</f>
        <v/>
      </c>
      <c r="DU143">
        <f>IF(OR($JF23=0,calcA!$A$6=0),0,IF(OR(122=$HA23,122=$HD23,122=$HG23),200000,MIN(IF($HA23=0,999999,IF(6=$HB23,IF(122=$HJ23,IF($JC23=2,30,0),IF(122=$HK23,IF($JC23=1,30,0),ABS(2-$HC23)*100)),100000+ABS(6-$HB23)*1000+20)),IF($HD23=0,999999,IF(6=$HE23,IF(122=$HL23,IF($JD23=2,30,0),IF(122=$HM23,IF($JD23=1,30,0),ABS(2-$HF23)*100)),100000+ABS(6-$HE23)*1000+20)),IF($HG23=0,999999,IF(6=$HH23,IF(122=$HN23,IF($JE23=2,30,0),IF(122=$HO23,IF($JE23=1,30,0),ABS(2-$HI23)*100)),100000+ABS(6-$HH23)*1000+20)))-IF((122=$HJ23)+(122=$HK23)+(122=$HL23)+(122=$HM23)+(122=$HN23)+(122=$HO23)&gt;=2,50,0))+DU$5*50)</f>
        <v/>
      </c>
      <c r="DV143">
        <f>IF(OR($JF23=0,calcA!$A$6=0),0,IF(OR(123=$HA23,123=$HD23,123=$HG23),200000,MIN(IF($HA23=0,999999,IF(6=$HB23,IF(123=$HJ23,IF($JC23=2,30,0),IF(123=$HK23,IF($JC23=1,30,0),ABS(3-$HC23)*100)),100000+ABS(6-$HB23)*1000+30)),IF($HD23=0,999999,IF(6=$HE23,IF(123=$HL23,IF($JD23=2,30,0),IF(123=$HM23,IF($JD23=1,30,0),ABS(3-$HF23)*100)),100000+ABS(6-$HE23)*1000+30)),IF($HG23=0,999999,IF(6=$HH23,IF(123=$HN23,IF($JE23=2,30,0),IF(123=$HO23,IF($JE23=1,30,0),ABS(3-$HI23)*100)),100000+ABS(6-$HH23)*1000+30)))-IF((123=$HJ23)+(123=$HK23)+(123=$HL23)+(123=$HM23)+(123=$HN23)+(123=$HO23)&gt;=2,50,0))+DV$5*50)</f>
        <v/>
      </c>
      <c r="DW143">
        <f>IF(OR($JF23=0,calcA!$A$6=0),0,IF(OR(124=$HA23,124=$HD23,124=$HG23),200000,MIN(IF($HA23=0,999999,IF(6=$HB23,IF(124=$HJ23,IF($JC23=2,30,0),IF(124=$HK23,IF($JC23=1,30,0),ABS(4-$HC23)*100)),100000+ABS(6-$HB23)*1000+40)),IF($HD23=0,999999,IF(6=$HE23,IF(124=$HL23,IF($JD23=2,30,0),IF(124=$HM23,IF($JD23=1,30,0),ABS(4-$HF23)*100)),100000+ABS(6-$HE23)*1000+40)),IF($HG23=0,999999,IF(6=$HH23,IF(124=$HN23,IF($JE23=2,30,0),IF(124=$HO23,IF($JE23=1,30,0),ABS(4-$HI23)*100)),100000+ABS(6-$HH23)*1000+40)))-IF((124=$HJ23)+(124=$HK23)+(124=$HL23)+(124=$HM23)+(124=$HN23)+(124=$HO23)&gt;=2,50,0))+DW$5*50)</f>
        <v/>
      </c>
      <c r="DX143">
        <f>IF(OR($JF23=0,calcA!$A$6=0),0,IF(OR(125=$HA23,125=$HD23,125=$HG23),200000,MIN(IF($HA23=0,999999,IF(6=$HB23,IF(125=$HJ23,IF($JC23=2,30,0),IF(125=$HK23,IF($JC23=1,30,0),ABS(5-$HC23)*100)),100000+ABS(6-$HB23)*1000+50)),IF($HD23=0,999999,IF(6=$HE23,IF(125=$HL23,IF($JD23=2,30,0),IF(125=$HM23,IF($JD23=1,30,0),ABS(5-$HF23)*100)),100000+ABS(6-$HE23)*1000+50)),IF($HG23=0,999999,IF(6=$HH23,IF(125=$HN23,IF($JE23=2,30,0),IF(125=$HO23,IF($JE23=1,30,0),ABS(5-$HI23)*100)),100000+ABS(6-$HH23)*1000+50)))-IF((125=$HJ23)+(125=$HK23)+(125=$HL23)+(125=$HM23)+(125=$HN23)+(125=$HO23)&gt;=2,50,0))+DX$5*50)</f>
        <v/>
      </c>
      <c r="DY143">
        <f>IF(OR($JF23=0,calcA!$A$6=0),0,IF(OR(126=$HA23,126=$HD23,126=$HG23),200000,MIN(IF($HA23=0,999999,IF(6=$HB23,IF(126=$HJ23,IF($JC23=2,30,0),IF(126=$HK23,IF($JC23=1,30,0),ABS(6-$HC23)*100)),100000+ABS(6-$HB23)*1000+60)),IF($HD23=0,999999,IF(6=$HE23,IF(126=$HL23,IF($JD23=2,30,0),IF(126=$HM23,IF($JD23=1,30,0),ABS(6-$HF23)*100)),100000+ABS(6-$HE23)*1000+60)),IF($HG23=0,999999,IF(6=$HH23,IF(126=$HN23,IF($JE23=2,30,0),IF(126=$HO23,IF($JE23=1,30,0),ABS(6-$HI23)*100)),100000+ABS(6-$HH23)*1000+60)))-IF((126=$HJ23)+(126=$HK23)+(126=$HL23)+(126=$HM23)+(126=$HN23)+(126=$HO23)&gt;=2,50,0))+DY$5*50)</f>
        <v/>
      </c>
      <c r="DZ143">
        <f>IF(OR($JF23=0,calcA!$A$6=0),0,IF(OR(127=$HA23,127=$HD23,127=$HG23),200000,MIN(IF($HA23=0,999999,IF(6=$HB23,IF(127=$HJ23,IF($JC23=2,30,0),IF(127=$HK23,IF($JC23=1,30,0),ABS(7-$HC23)*100)),100000+ABS(6-$HB23)*1000+70)),IF($HD23=0,999999,IF(6=$HE23,IF(127=$HL23,IF($JD23=2,30,0),IF(127=$HM23,IF($JD23=1,30,0),ABS(7-$HF23)*100)),100000+ABS(6-$HE23)*1000+70)),IF($HG23=0,999999,IF(6=$HH23,IF(127=$HN23,IF($JE23=2,30,0),IF(127=$HO23,IF($JE23=1,30,0),ABS(7-$HI23)*100)),100000+ABS(6-$HH23)*1000+70)))-IF((127=$HJ23)+(127=$HK23)+(127=$HL23)+(127=$HM23)+(127=$HN23)+(127=$HO23)&gt;=2,50,0))+DZ$5*50)</f>
        <v/>
      </c>
      <c r="EA143">
        <f>IF(OR($JF23=0,calcA!$A$6=0),0,IF(OR(128=$HA23,128=$HD23,128=$HG23),200000,MIN(IF($HA23=0,999999,IF(6=$HB23,IF(128=$HJ23,IF($JC23=2,30,0),IF(128=$HK23,IF($JC23=1,30,0),ABS(8-$HC23)*100)),100000+ABS(6-$HB23)*1000+80)),IF($HD23=0,999999,IF(6=$HE23,IF(128=$HL23,IF($JD23=2,30,0),IF(128=$HM23,IF($JD23=1,30,0),ABS(8-$HF23)*100)),100000+ABS(6-$HE23)*1000+80)),IF($HG23=0,999999,IF(6=$HH23,IF(128=$HN23,IF($JE23=2,30,0),IF(128=$HO23,IF($JE23=1,30,0),ABS(8-$HI23)*100)),100000+ABS(6-$HH23)*1000+80)))-IF((128=$HJ23)+(128=$HK23)+(128=$HL23)+(128=$HM23)+(128=$HN23)+(128=$HO23)&gt;=2,50,0))+EA$5*50)</f>
        <v/>
      </c>
      <c r="EB143">
        <f>IF(OR($JF23=0,calcA!$A$6=0),0,IF(OR(129=$HA23,129=$HD23,129=$HG23),200000,MIN(IF($HA23=0,999999,IF(6=$HB23,IF(129=$HJ23,IF($JC23=2,30,0),IF(129=$HK23,IF($JC23=1,30,0),ABS(9-$HC23)*100)),100000+ABS(6-$HB23)*1000+90)),IF($HD23=0,999999,IF(6=$HE23,IF(129=$HL23,IF($JD23=2,30,0),IF(129=$HM23,IF($JD23=1,30,0),ABS(9-$HF23)*100)),100000+ABS(6-$HE23)*1000+90)),IF($HG23=0,999999,IF(6=$HH23,IF(129=$HN23,IF($JE23=2,30,0),IF(129=$HO23,IF($JE23=1,30,0),ABS(9-$HI23)*100)),100000+ABS(6-$HH23)*1000+90)))-IF((129=$HJ23)+(129=$HK23)+(129=$HL23)+(129=$HM23)+(129=$HN23)+(129=$HO23)&gt;=2,50,0))+EB$5*50)</f>
        <v/>
      </c>
      <c r="EC143">
        <f>IF(OR($JF23=0,calcA!$A$6=0),0,IF(OR(130=$HA23,130=$HD23,130=$HG23),200000,MIN(IF($HA23=0,999999,IF(6=$HB23,IF(130=$HJ23,IF($JC23=2,30,0),IF(130=$HK23,IF($JC23=1,30,0),ABS(10-$HC23)*100)),100000+ABS(6-$HB23)*1000+100)),IF($HD23=0,999999,IF(6=$HE23,IF(130=$HL23,IF($JD23=2,30,0),IF(130=$HM23,IF($JD23=1,30,0),ABS(10-$HF23)*100)),100000+ABS(6-$HE23)*1000+100)),IF($HG23=0,999999,IF(6=$HH23,IF(130=$HN23,IF($JE23=2,30,0),IF(130=$HO23,IF($JE23=1,30,0),ABS(10-$HI23)*100)),100000+ABS(6-$HH23)*1000+100)))-IF((130=$HJ23)+(130=$HK23)+(130=$HL23)+(130=$HM23)+(130=$HN23)+(130=$HO23)&gt;=2,50,0))+EC$5*50)</f>
        <v/>
      </c>
      <c r="ED143">
        <f>IF(OR($JF23=0,calcA!$A$6=0),0,IF(OR(131=$HA23,131=$HD23,131=$HG23),200000,MIN(IF($HA23=0,999999,IF(6=$HB23,IF(131=$HJ23,IF($JC23=2,30,0),IF(131=$HK23,IF($JC23=1,30,0),ABS(11-$HC23)*100)),100000+ABS(6-$HB23)*1000+110)),IF($HD23=0,999999,IF(6=$HE23,IF(131=$HL23,IF($JD23=2,30,0),IF(131=$HM23,IF($JD23=1,30,0),ABS(11-$HF23)*100)),100000+ABS(6-$HE23)*1000+110)),IF($HG23=0,999999,IF(6=$HH23,IF(131=$HN23,IF($JE23=2,30,0),IF(131=$HO23,IF($JE23=1,30,0),ABS(11-$HI23)*100)),100000+ABS(6-$HH23)*1000+110)))-IF((131=$HJ23)+(131=$HK23)+(131=$HL23)+(131=$HM23)+(131=$HN23)+(131=$HO23)&gt;=2,50,0))+ED$5*50)</f>
        <v/>
      </c>
      <c r="EE143">
        <f>IF(OR($JF23=0,calcA!$A$6=0),0,IF(OR(132=$HA23,132=$HD23,132=$HG23),200000,MIN(IF($HA23=0,999999,IF(6=$HB23,IF(132=$HJ23,IF($JC23=2,30,0),IF(132=$HK23,IF($JC23=1,30,0),ABS(12-$HC23)*100)),100000+ABS(6-$HB23)*1000+120)),IF($HD23=0,999999,IF(6=$HE23,IF(132=$HL23,IF($JD23=2,30,0),IF(132=$HM23,IF($JD23=1,30,0),ABS(12-$HF23)*100)),100000+ABS(6-$HE23)*1000+120)),IF($HG23=0,999999,IF(6=$HH23,IF(132=$HN23,IF($JE23=2,30,0),IF(132=$HO23,IF($JE23=1,30,0),ABS(12-$HI23)*100)),100000+ABS(6-$HH23)*1000+120)))-IF((132=$HJ23)+(132=$HK23)+(132=$HL23)+(132=$HM23)+(132=$HN23)+(132=$HO23)&gt;=2,50,0))+EE$5*50)</f>
        <v/>
      </c>
      <c r="EF143">
        <f>IF(OR($JF23=0,calcA!$A$6=0),0,IF(OR(133=$HA23,133=$HD23,133=$HG23),200000,MIN(IF($HA23=0,999999,IF(6=$HB23,IF(133=$HJ23,IF($JC23=2,30,0),IF(133=$HK23,IF($JC23=1,30,0),ABS(13-$HC23)*100)),100000+ABS(6-$HB23)*1000+130)),IF($HD23=0,999999,IF(6=$HE23,IF(133=$HL23,IF($JD23=2,30,0),IF(133=$HM23,IF($JD23=1,30,0),ABS(13-$HF23)*100)),100000+ABS(6-$HE23)*1000+130)),IF($HG23=0,999999,IF(6=$HH23,IF(133=$HN23,IF($JE23=2,30,0),IF(133=$HO23,IF($JE23=1,30,0),ABS(13-$HI23)*100)),100000+ABS(6-$HH23)*1000+130)))-IF((133=$HJ23)+(133=$HK23)+(133=$HL23)+(133=$HM23)+(133=$HN23)+(133=$HO23)&gt;=2,50,0))+EF$5*50)</f>
        <v/>
      </c>
      <c r="EG143">
        <f>IF(OR($JF23=0,calcA!$A$6=0),0,IF(OR(134=$HA23,134=$HD23,134=$HG23),200000,MIN(IF($HA23=0,999999,IF(6=$HB23,IF(134=$HJ23,IF($JC23=2,30,0),IF(134=$HK23,IF($JC23=1,30,0),ABS(14-$HC23)*100)),100000+ABS(6-$HB23)*1000+140)),IF($HD23=0,999999,IF(6=$HE23,IF(134=$HL23,IF($JD23=2,30,0),IF(134=$HM23,IF($JD23=1,30,0),ABS(14-$HF23)*100)),100000+ABS(6-$HE23)*1000+140)),IF($HG23=0,999999,IF(6=$HH23,IF(134=$HN23,IF($JE23=2,30,0),IF(134=$HO23,IF($JE23=1,30,0),ABS(14-$HI23)*100)),100000+ABS(6-$HH23)*1000+140)))-IF((134=$HJ23)+(134=$HK23)+(134=$HL23)+(134=$HM23)+(134=$HN23)+(134=$HO23)&gt;=2,50,0))+EG$5*50)</f>
        <v/>
      </c>
      <c r="EH143">
        <f>IF(OR($JF23=0,calcA!$A$6=0),0,IF(OR(135=$HA23,135=$HD23,135=$HG23),200000,MIN(IF($HA23=0,999999,IF(6=$HB23,IF(135=$HJ23,IF($JC23=2,30,0),IF(135=$HK23,IF($JC23=1,30,0),ABS(15-$HC23)*100)),100000+ABS(6-$HB23)*1000+150)),IF($HD23=0,999999,IF(6=$HE23,IF(135=$HL23,IF($JD23=2,30,0),IF(135=$HM23,IF($JD23=1,30,0),ABS(15-$HF23)*100)),100000+ABS(6-$HE23)*1000+150)),IF($HG23=0,999999,IF(6=$HH23,IF(135=$HN23,IF($JE23=2,30,0),IF(135=$HO23,IF($JE23=1,30,0),ABS(15-$HI23)*100)),100000+ABS(6-$HH23)*1000+150)))-IF((135=$HJ23)+(135=$HK23)+(135=$HL23)+(135=$HM23)+(135=$HN23)+(135=$HO23)&gt;=2,50,0))+EH$5*50)</f>
        <v/>
      </c>
      <c r="EI143">
        <f>IF(OR($JF23=0,calcA!$A$6=0),0,IF(OR(136=$HA23,136=$HD23,136=$HG23),200000,MIN(IF($HA23=0,999999,IF(6=$HB23,IF(136=$HJ23,IF($JC23=2,30,0),IF(136=$HK23,IF($JC23=1,30,0),ABS(16-$HC23)*100)),100000+ABS(6-$HB23)*1000+160)),IF($HD23=0,999999,IF(6=$HE23,IF(136=$HL23,IF($JD23=2,30,0),IF(136=$HM23,IF($JD23=1,30,0),ABS(16-$HF23)*100)),100000+ABS(6-$HE23)*1000+160)),IF($HG23=0,999999,IF(6=$HH23,IF(136=$HN23,IF($JE23=2,30,0),IF(136=$HO23,IF($JE23=1,30,0),ABS(16-$HI23)*100)),100000+ABS(6-$HH23)*1000+160)))-IF((136=$HJ23)+(136=$HK23)+(136=$HL23)+(136=$HM23)+(136=$HN23)+(136=$HO23)&gt;=2,50,0))+EI$5*50)</f>
        <v/>
      </c>
      <c r="EJ143">
        <f>IF(OR($JF23=0,calcA!$A$6=0),0,IF(OR(137=$HA23,137=$HD23,137=$HG23),200000,MIN(IF($HA23=0,999999,IF(6=$HB23,IF(137=$HJ23,IF($JC23=2,30,0),IF(137=$HK23,IF($JC23=1,30,0),ABS(17-$HC23)*100)),100000+ABS(6-$HB23)*1000+170)),IF($HD23=0,999999,IF(6=$HE23,IF(137=$HL23,IF($JD23=2,30,0),IF(137=$HM23,IF($JD23=1,30,0),ABS(17-$HF23)*100)),100000+ABS(6-$HE23)*1000+170)),IF($HG23=0,999999,IF(6=$HH23,IF(137=$HN23,IF($JE23=2,30,0),IF(137=$HO23,IF($JE23=1,30,0),ABS(17-$HI23)*100)),100000+ABS(6-$HH23)*1000+170)))-IF((137=$HJ23)+(137=$HK23)+(137=$HL23)+(137=$HM23)+(137=$HN23)+(137=$HO23)&gt;=2,50,0))+EJ$5*50)</f>
        <v/>
      </c>
      <c r="EK143">
        <f>IF(OR($JF23=0,calcA!$A$6=0),0,IF(OR(138=$HA23,138=$HD23,138=$HG23),200000,MIN(IF($HA23=0,999999,IF(6=$HB23,IF(138=$HJ23,IF($JC23=2,30,0),IF(138=$HK23,IF($JC23=1,30,0),ABS(18-$HC23)*100)),100000+ABS(6-$HB23)*1000+180)),IF($HD23=0,999999,IF(6=$HE23,IF(138=$HL23,IF($JD23=2,30,0),IF(138=$HM23,IF($JD23=1,30,0),ABS(18-$HF23)*100)),100000+ABS(6-$HE23)*1000+180)),IF($HG23=0,999999,IF(6=$HH23,IF(138=$HN23,IF($JE23=2,30,0),IF(138=$HO23,IF($JE23=1,30,0),ABS(18-$HI23)*100)),100000+ABS(6-$HH23)*1000+180)))-IF((138=$HJ23)+(138=$HK23)+(138=$HL23)+(138=$HM23)+(138=$HN23)+(138=$HO23)&gt;=2,50,0))+EK$5*50)</f>
        <v/>
      </c>
      <c r="EL143">
        <f>IF(OR($JF23=0,calcA!$A$6=0),0,IF(OR(139=$HA23,139=$HD23,139=$HG23),200000,MIN(IF($HA23=0,999999,IF(6=$HB23,IF(139=$HJ23,IF($JC23=2,30,0),IF(139=$HK23,IF($JC23=1,30,0),ABS(19-$HC23)*100)),100000+ABS(6-$HB23)*1000+190)),IF($HD23=0,999999,IF(6=$HE23,IF(139=$HL23,IF($JD23=2,30,0),IF(139=$HM23,IF($JD23=1,30,0),ABS(19-$HF23)*100)),100000+ABS(6-$HE23)*1000+190)),IF($HG23=0,999999,IF(6=$HH23,IF(139=$HN23,IF($JE23=2,30,0),IF(139=$HO23,IF($JE23=1,30,0),ABS(19-$HI23)*100)),100000+ABS(6-$HH23)*1000+190)))-IF((139=$HJ23)+(139=$HK23)+(139=$HL23)+(139=$HM23)+(139=$HN23)+(139=$HO23)&gt;=2,50,0))+EL$5*50)</f>
        <v/>
      </c>
      <c r="EM143">
        <f>IF(OR($JF23=0,calcA!$A$6=0),0,IF(OR(140=$HA23,140=$HD23,140=$HG23),200000,MIN(IF($HA23=0,999999,IF(6=$HB23,IF(140=$HJ23,IF($JC23=2,30,0),IF(140=$HK23,IF($JC23=1,30,0),ABS(20-$HC23)*100)),100000+ABS(6-$HB23)*1000+200)),IF($HD23=0,999999,IF(6=$HE23,IF(140=$HL23,IF($JD23=2,30,0),IF(140=$HM23,IF($JD23=1,30,0),ABS(20-$HF23)*100)),100000+ABS(6-$HE23)*1000+200)),IF($HG23=0,999999,IF(6=$HH23,IF(140=$HN23,IF($JE23=2,30,0),IF(140=$HO23,IF($JE23=1,30,0),ABS(20-$HI23)*100)),100000+ABS(6-$HH23)*1000+200)))-IF((140=$HJ23)+(140=$HK23)+(140=$HL23)+(140=$HM23)+(140=$HN23)+(140=$HO23)&gt;=2,50,0))+EM$5*50)</f>
        <v/>
      </c>
      <c r="EN143">
        <f>IF(OR($JF23=0,calcA!$A$6=0),0,IF(OR(141=$HA23,141=$HD23,141=$HG23),200000,MIN(IF($HA23=0,999999,IF(6=$HB23,IF(141=$HJ23,IF($JC23=2,30,0),IF(141=$HK23,IF($JC23=1,30,0),ABS(21-$HC23)*100)),100000+ABS(6-$HB23)*1000+210)),IF($HD23=0,999999,IF(6=$HE23,IF(141=$HL23,IF($JD23=2,30,0),IF(141=$HM23,IF($JD23=1,30,0),ABS(21-$HF23)*100)),100000+ABS(6-$HE23)*1000+210)),IF($HG23=0,999999,IF(6=$HH23,IF(141=$HN23,IF($JE23=2,30,0),IF(141=$HO23,IF($JE23=1,30,0),ABS(21-$HI23)*100)),100000+ABS(6-$HH23)*1000+210)))-IF((141=$HJ23)+(141=$HK23)+(141=$HL23)+(141=$HM23)+(141=$HN23)+(141=$HO23)&gt;=2,50,0))+EN$5*50)</f>
        <v/>
      </c>
      <c r="EO143">
        <f>IF(OR($JF23=0,calcA!$A$6=0),0,IF(OR(142=$HA23,142=$HD23,142=$HG23),200000,MIN(IF($HA23=0,999999,IF(6=$HB23,IF(142=$HJ23,IF($JC23=2,30,0),IF(142=$HK23,IF($JC23=1,30,0),ABS(22-$HC23)*100)),100000+ABS(6-$HB23)*1000+220)),IF($HD23=0,999999,IF(6=$HE23,IF(142=$HL23,IF($JD23=2,30,0),IF(142=$HM23,IF($JD23=1,30,0),ABS(22-$HF23)*100)),100000+ABS(6-$HE23)*1000+220)),IF($HG23=0,999999,IF(6=$HH23,IF(142=$HN23,IF($JE23=2,30,0),IF(142=$HO23,IF($JE23=1,30,0),ABS(22-$HI23)*100)),100000+ABS(6-$HH23)*1000+220)))-IF((142=$HJ23)+(142=$HK23)+(142=$HL23)+(142=$HM23)+(142=$HN23)+(142=$HO23)&gt;=2,50,0))+EO$5*50)</f>
        <v/>
      </c>
      <c r="EP143">
        <f>IF(OR($JF23=0,calcA!$A$6=0),0,IF(OR(143=$HA23,143=$HD23,143=$HG23),200000,MIN(IF($HA23=0,999999,IF(6=$HB23,IF(143=$HJ23,IF($JC23=2,30,0),IF(143=$HK23,IF($JC23=1,30,0),ABS(23-$HC23)*100)),100000+ABS(6-$HB23)*1000+230)),IF($HD23=0,999999,IF(6=$HE23,IF(143=$HL23,IF($JD23=2,30,0),IF(143=$HM23,IF($JD23=1,30,0),ABS(23-$HF23)*100)),100000+ABS(6-$HE23)*1000+230)),IF($HG23=0,999999,IF(6=$HH23,IF(143=$HN23,IF($JE23=2,30,0),IF(143=$HO23,IF($JE23=1,30,0),ABS(23-$HI23)*100)),100000+ABS(6-$HH23)*1000+230)))-IF((143=$HJ23)+(143=$HK23)+(143=$HL23)+(143=$HM23)+(143=$HN23)+(143=$HO23)&gt;=2,50,0))+EP$5*50)</f>
        <v/>
      </c>
      <c r="EQ143">
        <f>IF(OR($JF23=0,calcA!$A$6=0),0,IF(OR(144=$HA23,144=$HD23,144=$HG23),200000,MIN(IF($HA23=0,999999,IF(6=$HB23,IF(144=$HJ23,IF($JC23=2,30,0),IF(144=$HK23,IF($JC23=1,30,0),ABS(24-$HC23)*100)),100000+ABS(6-$HB23)*1000+240)),IF($HD23=0,999999,IF(6=$HE23,IF(144=$HL23,IF($JD23=2,30,0),IF(144=$HM23,IF($JD23=1,30,0),ABS(24-$HF23)*100)),100000+ABS(6-$HE23)*1000+240)),IF($HG23=0,999999,IF(6=$HH23,IF(144=$HN23,IF($JE23=2,30,0),IF(144=$HO23,IF($JE23=1,30,0),ABS(24-$HI23)*100)),100000+ABS(6-$HH23)*1000+240)))-IF((144=$HJ23)+(144=$HK23)+(144=$HL23)+(144=$HM23)+(144=$HN23)+(144=$HO23)&gt;=2,50,0))+EQ$5*50)</f>
        <v/>
      </c>
    </row>
    <row r="144">
      <c r="D144">
        <f>IF(OR($JF24=0,calcA!$A$6=0),0,IF(OR(1=$HA24,1=$HD24,1=$HG24),200000,MIN(IF($HA24=0,999999,IF(1=$HB24,IF(1=$HJ24,IF($JC24=2,30,0),IF(1=$HK24,IF($JC24=1,30,0),ABS(1-$HC24)*100)),100000+ABS(1-$HB24)*1000+10)),IF($HD24=0,999999,IF(1=$HE24,IF(1=$HL24,IF($JD24=2,30,0),IF(1=$HM24,IF($JD24=1,30,0),ABS(1-$HF24)*100)),100000+ABS(1-$HE24)*1000+10)),IF($HG24=0,999999,IF(1=$HH24,IF(1=$HN24,IF($JE24=2,30,0),IF(1=$HO24,IF($JE24=1,30,0),ABS(1-$HI24)*100)),100000+ABS(1-$HH24)*1000+10)))-IF((1=$HJ24)+(1=$HK24)+(1=$HL24)+(1=$HM24)+(1=$HN24)+(1=$HO24)&gt;=2,50,0))+D$5*50)</f>
        <v/>
      </c>
      <c r="E144">
        <f>IF(OR($JF24=0,calcA!$A$6=0),0,IF(OR(2=$HA24,2=$HD24,2=$HG24),200000,MIN(IF($HA24=0,999999,IF(1=$HB24,IF(2=$HJ24,IF($JC24=2,30,0),IF(2=$HK24,IF($JC24=1,30,0),ABS(2-$HC24)*100)),100000+ABS(1-$HB24)*1000+20)),IF($HD24=0,999999,IF(1=$HE24,IF(2=$HL24,IF($JD24=2,30,0),IF(2=$HM24,IF($JD24=1,30,0),ABS(2-$HF24)*100)),100000+ABS(1-$HE24)*1000+20)),IF($HG24=0,999999,IF(1=$HH24,IF(2=$HN24,IF($JE24=2,30,0),IF(2=$HO24,IF($JE24=1,30,0),ABS(2-$HI24)*100)),100000+ABS(1-$HH24)*1000+20)))-IF((2=$HJ24)+(2=$HK24)+(2=$HL24)+(2=$HM24)+(2=$HN24)+(2=$HO24)&gt;=2,50,0))+E$5*50)</f>
        <v/>
      </c>
      <c r="F144">
        <f>IF(OR($JF24=0,calcA!$A$6=0),0,IF(OR(3=$HA24,3=$HD24,3=$HG24),200000,MIN(IF($HA24=0,999999,IF(1=$HB24,IF(3=$HJ24,IF($JC24=2,30,0),IF(3=$HK24,IF($JC24=1,30,0),ABS(3-$HC24)*100)),100000+ABS(1-$HB24)*1000+30)),IF($HD24=0,999999,IF(1=$HE24,IF(3=$HL24,IF($JD24=2,30,0),IF(3=$HM24,IF($JD24=1,30,0),ABS(3-$HF24)*100)),100000+ABS(1-$HE24)*1000+30)),IF($HG24=0,999999,IF(1=$HH24,IF(3=$HN24,IF($JE24=2,30,0),IF(3=$HO24,IF($JE24=1,30,0),ABS(3-$HI24)*100)),100000+ABS(1-$HH24)*1000+30)))-IF((3=$HJ24)+(3=$HK24)+(3=$HL24)+(3=$HM24)+(3=$HN24)+(3=$HO24)&gt;=2,50,0))+F$5*50)</f>
        <v/>
      </c>
      <c r="G144">
        <f>IF(OR($JF24=0,calcA!$A$6=0),0,IF(OR(4=$HA24,4=$HD24,4=$HG24),200000,MIN(IF($HA24=0,999999,IF(1=$HB24,IF(4=$HJ24,IF($JC24=2,30,0),IF(4=$HK24,IF($JC24=1,30,0),ABS(4-$HC24)*100)),100000+ABS(1-$HB24)*1000+40)),IF($HD24=0,999999,IF(1=$HE24,IF(4=$HL24,IF($JD24=2,30,0),IF(4=$HM24,IF($JD24=1,30,0),ABS(4-$HF24)*100)),100000+ABS(1-$HE24)*1000+40)),IF($HG24=0,999999,IF(1=$HH24,IF(4=$HN24,IF($JE24=2,30,0),IF(4=$HO24,IF($JE24=1,30,0),ABS(4-$HI24)*100)),100000+ABS(1-$HH24)*1000+40)))-IF((4=$HJ24)+(4=$HK24)+(4=$HL24)+(4=$HM24)+(4=$HN24)+(4=$HO24)&gt;=2,50,0))+G$5*50)</f>
        <v/>
      </c>
      <c r="H144">
        <f>IF(OR($JF24=0,calcA!$A$6=0),0,IF(OR(5=$HA24,5=$HD24,5=$HG24),200000,MIN(IF($HA24=0,999999,IF(1=$HB24,IF(5=$HJ24,IF($JC24=2,30,0),IF(5=$HK24,IF($JC24=1,30,0),ABS(5-$HC24)*100)),100000+ABS(1-$HB24)*1000+50)),IF($HD24=0,999999,IF(1=$HE24,IF(5=$HL24,IF($JD24=2,30,0),IF(5=$HM24,IF($JD24=1,30,0),ABS(5-$HF24)*100)),100000+ABS(1-$HE24)*1000+50)),IF($HG24=0,999999,IF(1=$HH24,IF(5=$HN24,IF($JE24=2,30,0),IF(5=$HO24,IF($JE24=1,30,0),ABS(5-$HI24)*100)),100000+ABS(1-$HH24)*1000+50)))-IF((5=$HJ24)+(5=$HK24)+(5=$HL24)+(5=$HM24)+(5=$HN24)+(5=$HO24)&gt;=2,50,0))+H$5*50)</f>
        <v/>
      </c>
      <c r="I144">
        <f>IF(OR($JF24=0,calcA!$A$6=0),0,IF(OR(6=$HA24,6=$HD24,6=$HG24),200000,MIN(IF($HA24=0,999999,IF(1=$HB24,IF(6=$HJ24,IF($JC24=2,30,0),IF(6=$HK24,IF($JC24=1,30,0),ABS(6-$HC24)*100)),100000+ABS(1-$HB24)*1000+60)),IF($HD24=0,999999,IF(1=$HE24,IF(6=$HL24,IF($JD24=2,30,0),IF(6=$HM24,IF($JD24=1,30,0),ABS(6-$HF24)*100)),100000+ABS(1-$HE24)*1000+60)),IF($HG24=0,999999,IF(1=$HH24,IF(6=$HN24,IF($JE24=2,30,0),IF(6=$HO24,IF($JE24=1,30,0),ABS(6-$HI24)*100)),100000+ABS(1-$HH24)*1000+60)))-IF((6=$HJ24)+(6=$HK24)+(6=$HL24)+(6=$HM24)+(6=$HN24)+(6=$HO24)&gt;=2,50,0))+I$5*50)</f>
        <v/>
      </c>
      <c r="J144">
        <f>IF(OR($JF24=0,calcA!$A$6=0),0,IF(OR(7=$HA24,7=$HD24,7=$HG24),200000,MIN(IF($HA24=0,999999,IF(1=$HB24,IF(7=$HJ24,IF($JC24=2,30,0),IF(7=$HK24,IF($JC24=1,30,0),ABS(7-$HC24)*100)),100000+ABS(1-$HB24)*1000+70)),IF($HD24=0,999999,IF(1=$HE24,IF(7=$HL24,IF($JD24=2,30,0),IF(7=$HM24,IF($JD24=1,30,0),ABS(7-$HF24)*100)),100000+ABS(1-$HE24)*1000+70)),IF($HG24=0,999999,IF(1=$HH24,IF(7=$HN24,IF($JE24=2,30,0),IF(7=$HO24,IF($JE24=1,30,0),ABS(7-$HI24)*100)),100000+ABS(1-$HH24)*1000+70)))-IF((7=$HJ24)+(7=$HK24)+(7=$HL24)+(7=$HM24)+(7=$HN24)+(7=$HO24)&gt;=2,50,0))+J$5*50)</f>
        <v/>
      </c>
      <c r="K144">
        <f>IF(OR($JF24=0,calcA!$A$6=0),0,IF(OR(8=$HA24,8=$HD24,8=$HG24),200000,MIN(IF($HA24=0,999999,IF(1=$HB24,IF(8=$HJ24,IF($JC24=2,30,0),IF(8=$HK24,IF($JC24=1,30,0),ABS(8-$HC24)*100)),100000+ABS(1-$HB24)*1000+80)),IF($HD24=0,999999,IF(1=$HE24,IF(8=$HL24,IF($JD24=2,30,0),IF(8=$HM24,IF($JD24=1,30,0),ABS(8-$HF24)*100)),100000+ABS(1-$HE24)*1000+80)),IF($HG24=0,999999,IF(1=$HH24,IF(8=$HN24,IF($JE24=2,30,0),IF(8=$HO24,IF($JE24=1,30,0),ABS(8-$HI24)*100)),100000+ABS(1-$HH24)*1000+80)))-IF((8=$HJ24)+(8=$HK24)+(8=$HL24)+(8=$HM24)+(8=$HN24)+(8=$HO24)&gt;=2,50,0))+K$5*50)</f>
        <v/>
      </c>
      <c r="L144">
        <f>IF(OR($JF24=0,calcA!$A$6=0),0,IF(OR(9=$HA24,9=$HD24,9=$HG24),200000,MIN(IF($HA24=0,999999,IF(1=$HB24,IF(9=$HJ24,IF($JC24=2,30,0),IF(9=$HK24,IF($JC24=1,30,0),ABS(9-$HC24)*100)),100000+ABS(1-$HB24)*1000+90)),IF($HD24=0,999999,IF(1=$HE24,IF(9=$HL24,IF($JD24=2,30,0),IF(9=$HM24,IF($JD24=1,30,0),ABS(9-$HF24)*100)),100000+ABS(1-$HE24)*1000+90)),IF($HG24=0,999999,IF(1=$HH24,IF(9=$HN24,IF($JE24=2,30,0),IF(9=$HO24,IF($JE24=1,30,0),ABS(9-$HI24)*100)),100000+ABS(1-$HH24)*1000+90)))-IF((9=$HJ24)+(9=$HK24)+(9=$HL24)+(9=$HM24)+(9=$HN24)+(9=$HO24)&gt;=2,50,0))+L$5*50)</f>
        <v/>
      </c>
      <c r="M144">
        <f>IF(OR($JF24=0,calcA!$A$6=0),0,IF(OR(10=$HA24,10=$HD24,10=$HG24),200000,MIN(IF($HA24=0,999999,IF(1=$HB24,IF(10=$HJ24,IF($JC24=2,30,0),IF(10=$HK24,IF($JC24=1,30,0),ABS(10-$HC24)*100)),100000+ABS(1-$HB24)*1000+100)),IF($HD24=0,999999,IF(1=$HE24,IF(10=$HL24,IF($JD24=2,30,0),IF(10=$HM24,IF($JD24=1,30,0),ABS(10-$HF24)*100)),100000+ABS(1-$HE24)*1000+100)),IF($HG24=0,999999,IF(1=$HH24,IF(10=$HN24,IF($JE24=2,30,0),IF(10=$HO24,IF($JE24=1,30,0),ABS(10-$HI24)*100)),100000+ABS(1-$HH24)*1000+100)))-IF((10=$HJ24)+(10=$HK24)+(10=$HL24)+(10=$HM24)+(10=$HN24)+(10=$HO24)&gt;=2,50,0))+M$5*50)</f>
        <v/>
      </c>
      <c r="N144">
        <f>IF(OR($JF24=0,calcA!$A$6=0),0,IF(OR(11=$HA24,11=$HD24,11=$HG24),200000,MIN(IF($HA24=0,999999,IF(1=$HB24,IF(11=$HJ24,IF($JC24=2,30,0),IF(11=$HK24,IF($JC24=1,30,0),ABS(11-$HC24)*100)),100000+ABS(1-$HB24)*1000+110)),IF($HD24=0,999999,IF(1=$HE24,IF(11=$HL24,IF($JD24=2,30,0),IF(11=$HM24,IF($JD24=1,30,0),ABS(11-$HF24)*100)),100000+ABS(1-$HE24)*1000+110)),IF($HG24=0,999999,IF(1=$HH24,IF(11=$HN24,IF($JE24=2,30,0),IF(11=$HO24,IF($JE24=1,30,0),ABS(11-$HI24)*100)),100000+ABS(1-$HH24)*1000+110)))-IF((11=$HJ24)+(11=$HK24)+(11=$HL24)+(11=$HM24)+(11=$HN24)+(11=$HO24)&gt;=2,50,0))+N$5*50)</f>
        <v/>
      </c>
      <c r="O144">
        <f>IF(OR($JF24=0,calcA!$A$6=0),0,IF(OR(12=$HA24,12=$HD24,12=$HG24),200000,MIN(IF($HA24=0,999999,IF(1=$HB24,IF(12=$HJ24,IF($JC24=2,30,0),IF(12=$HK24,IF($JC24=1,30,0),ABS(12-$HC24)*100)),100000+ABS(1-$HB24)*1000+120)),IF($HD24=0,999999,IF(1=$HE24,IF(12=$HL24,IF($JD24=2,30,0),IF(12=$HM24,IF($JD24=1,30,0),ABS(12-$HF24)*100)),100000+ABS(1-$HE24)*1000+120)),IF($HG24=0,999999,IF(1=$HH24,IF(12=$HN24,IF($JE24=2,30,0),IF(12=$HO24,IF($JE24=1,30,0),ABS(12-$HI24)*100)),100000+ABS(1-$HH24)*1000+120)))-IF((12=$HJ24)+(12=$HK24)+(12=$HL24)+(12=$HM24)+(12=$HN24)+(12=$HO24)&gt;=2,50,0))+O$5*50)</f>
        <v/>
      </c>
      <c r="P144">
        <f>IF(OR($JF24=0,calcA!$A$6=0),0,IF(OR(13=$HA24,13=$HD24,13=$HG24),200000,MIN(IF($HA24=0,999999,IF(1=$HB24,IF(13=$HJ24,IF($JC24=2,30,0),IF(13=$HK24,IF($JC24=1,30,0),ABS(13-$HC24)*100)),100000+ABS(1-$HB24)*1000+130)),IF($HD24=0,999999,IF(1=$HE24,IF(13=$HL24,IF($JD24=2,30,0),IF(13=$HM24,IF($JD24=1,30,0),ABS(13-$HF24)*100)),100000+ABS(1-$HE24)*1000+130)),IF($HG24=0,999999,IF(1=$HH24,IF(13=$HN24,IF($JE24=2,30,0),IF(13=$HO24,IF($JE24=1,30,0),ABS(13-$HI24)*100)),100000+ABS(1-$HH24)*1000+130)))-IF((13=$HJ24)+(13=$HK24)+(13=$HL24)+(13=$HM24)+(13=$HN24)+(13=$HO24)&gt;=2,50,0))+P$5*50)</f>
        <v/>
      </c>
      <c r="Q144">
        <f>IF(OR($JF24=0,calcA!$A$6=0),0,IF(OR(14=$HA24,14=$HD24,14=$HG24),200000,MIN(IF($HA24=0,999999,IF(1=$HB24,IF(14=$HJ24,IF($JC24=2,30,0),IF(14=$HK24,IF($JC24=1,30,0),ABS(14-$HC24)*100)),100000+ABS(1-$HB24)*1000+140)),IF($HD24=0,999999,IF(1=$HE24,IF(14=$HL24,IF($JD24=2,30,0),IF(14=$HM24,IF($JD24=1,30,0),ABS(14-$HF24)*100)),100000+ABS(1-$HE24)*1000+140)),IF($HG24=0,999999,IF(1=$HH24,IF(14=$HN24,IF($JE24=2,30,0),IF(14=$HO24,IF($JE24=1,30,0),ABS(14-$HI24)*100)),100000+ABS(1-$HH24)*1000+140)))-IF((14=$HJ24)+(14=$HK24)+(14=$HL24)+(14=$HM24)+(14=$HN24)+(14=$HO24)&gt;=2,50,0))+Q$5*50)</f>
        <v/>
      </c>
      <c r="R144">
        <f>IF(OR($JF24=0,calcA!$A$6=0),0,IF(OR(15=$HA24,15=$HD24,15=$HG24),200000,MIN(IF($HA24=0,999999,IF(1=$HB24,IF(15=$HJ24,IF($JC24=2,30,0),IF(15=$HK24,IF($JC24=1,30,0),ABS(15-$HC24)*100)),100000+ABS(1-$HB24)*1000+150)),IF($HD24=0,999999,IF(1=$HE24,IF(15=$HL24,IF($JD24=2,30,0),IF(15=$HM24,IF($JD24=1,30,0),ABS(15-$HF24)*100)),100000+ABS(1-$HE24)*1000+150)),IF($HG24=0,999999,IF(1=$HH24,IF(15=$HN24,IF($JE24=2,30,0),IF(15=$HO24,IF($JE24=1,30,0),ABS(15-$HI24)*100)),100000+ABS(1-$HH24)*1000+150)))-IF((15=$HJ24)+(15=$HK24)+(15=$HL24)+(15=$HM24)+(15=$HN24)+(15=$HO24)&gt;=2,50,0))+R$5*50)</f>
        <v/>
      </c>
      <c r="S144">
        <f>IF(OR($JF24=0,calcA!$A$6=0),0,IF(OR(16=$HA24,16=$HD24,16=$HG24),200000,MIN(IF($HA24=0,999999,IF(1=$HB24,IF(16=$HJ24,IF($JC24=2,30,0),IF(16=$HK24,IF($JC24=1,30,0),ABS(16-$HC24)*100)),100000+ABS(1-$HB24)*1000+160)),IF($HD24=0,999999,IF(1=$HE24,IF(16=$HL24,IF($JD24=2,30,0),IF(16=$HM24,IF($JD24=1,30,0),ABS(16-$HF24)*100)),100000+ABS(1-$HE24)*1000+160)),IF($HG24=0,999999,IF(1=$HH24,IF(16=$HN24,IF($JE24=2,30,0),IF(16=$HO24,IF($JE24=1,30,0),ABS(16-$HI24)*100)),100000+ABS(1-$HH24)*1000+160)))-IF((16=$HJ24)+(16=$HK24)+(16=$HL24)+(16=$HM24)+(16=$HN24)+(16=$HO24)&gt;=2,50,0))+S$5*50)</f>
        <v/>
      </c>
      <c r="T144">
        <f>IF(OR($JF24=0,calcA!$A$6=0),0,IF(OR(17=$HA24,17=$HD24,17=$HG24),200000,MIN(IF($HA24=0,999999,IF(1=$HB24,IF(17=$HJ24,IF($JC24=2,30,0),IF(17=$HK24,IF($JC24=1,30,0),ABS(17-$HC24)*100)),100000+ABS(1-$HB24)*1000+170)),IF($HD24=0,999999,IF(1=$HE24,IF(17=$HL24,IF($JD24=2,30,0),IF(17=$HM24,IF($JD24=1,30,0),ABS(17-$HF24)*100)),100000+ABS(1-$HE24)*1000+170)),IF($HG24=0,999999,IF(1=$HH24,IF(17=$HN24,IF($JE24=2,30,0),IF(17=$HO24,IF($JE24=1,30,0),ABS(17-$HI24)*100)),100000+ABS(1-$HH24)*1000+170)))-IF((17=$HJ24)+(17=$HK24)+(17=$HL24)+(17=$HM24)+(17=$HN24)+(17=$HO24)&gt;=2,50,0))+T$5*50)</f>
        <v/>
      </c>
      <c r="U144">
        <f>IF(OR($JF24=0,calcA!$A$6=0),0,IF(OR(18=$HA24,18=$HD24,18=$HG24),200000,MIN(IF($HA24=0,999999,IF(1=$HB24,IF(18=$HJ24,IF($JC24=2,30,0),IF(18=$HK24,IF($JC24=1,30,0),ABS(18-$HC24)*100)),100000+ABS(1-$HB24)*1000+180)),IF($HD24=0,999999,IF(1=$HE24,IF(18=$HL24,IF($JD24=2,30,0),IF(18=$HM24,IF($JD24=1,30,0),ABS(18-$HF24)*100)),100000+ABS(1-$HE24)*1000+180)),IF($HG24=0,999999,IF(1=$HH24,IF(18=$HN24,IF($JE24=2,30,0),IF(18=$HO24,IF($JE24=1,30,0),ABS(18-$HI24)*100)),100000+ABS(1-$HH24)*1000+180)))-IF((18=$HJ24)+(18=$HK24)+(18=$HL24)+(18=$HM24)+(18=$HN24)+(18=$HO24)&gt;=2,50,0))+U$5*50)</f>
        <v/>
      </c>
      <c r="V144">
        <f>IF(OR($JF24=0,calcA!$A$6=0),0,IF(OR(19=$HA24,19=$HD24,19=$HG24),200000,MIN(IF($HA24=0,999999,IF(1=$HB24,IF(19=$HJ24,IF($JC24=2,30,0),IF(19=$HK24,IF($JC24=1,30,0),ABS(19-$HC24)*100)),100000+ABS(1-$HB24)*1000+190)),IF($HD24=0,999999,IF(1=$HE24,IF(19=$HL24,IF($JD24=2,30,0),IF(19=$HM24,IF($JD24=1,30,0),ABS(19-$HF24)*100)),100000+ABS(1-$HE24)*1000+190)),IF($HG24=0,999999,IF(1=$HH24,IF(19=$HN24,IF($JE24=2,30,0),IF(19=$HO24,IF($JE24=1,30,0),ABS(19-$HI24)*100)),100000+ABS(1-$HH24)*1000+190)))-IF((19=$HJ24)+(19=$HK24)+(19=$HL24)+(19=$HM24)+(19=$HN24)+(19=$HO24)&gt;=2,50,0))+V$5*50)</f>
        <v/>
      </c>
      <c r="W144">
        <f>IF(OR($JF24=0,calcA!$A$6=0),0,IF(OR(20=$HA24,20=$HD24,20=$HG24),200000,MIN(IF($HA24=0,999999,IF(1=$HB24,IF(20=$HJ24,IF($JC24=2,30,0),IF(20=$HK24,IF($JC24=1,30,0),ABS(20-$HC24)*100)),100000+ABS(1-$HB24)*1000+200)),IF($HD24=0,999999,IF(1=$HE24,IF(20=$HL24,IF($JD24=2,30,0),IF(20=$HM24,IF($JD24=1,30,0),ABS(20-$HF24)*100)),100000+ABS(1-$HE24)*1000+200)),IF($HG24=0,999999,IF(1=$HH24,IF(20=$HN24,IF($JE24=2,30,0),IF(20=$HO24,IF($JE24=1,30,0),ABS(20-$HI24)*100)),100000+ABS(1-$HH24)*1000+200)))-IF((20=$HJ24)+(20=$HK24)+(20=$HL24)+(20=$HM24)+(20=$HN24)+(20=$HO24)&gt;=2,50,0))+W$5*50)</f>
        <v/>
      </c>
      <c r="X144">
        <f>IF(OR($JF24=0,calcA!$A$6=0),0,IF(OR(21=$HA24,21=$HD24,21=$HG24),200000,MIN(IF($HA24=0,999999,IF(1=$HB24,IF(21=$HJ24,IF($JC24=2,30,0),IF(21=$HK24,IF($JC24=1,30,0),ABS(21-$HC24)*100)),100000+ABS(1-$HB24)*1000+210)),IF($HD24=0,999999,IF(1=$HE24,IF(21=$HL24,IF($JD24=2,30,0),IF(21=$HM24,IF($JD24=1,30,0),ABS(21-$HF24)*100)),100000+ABS(1-$HE24)*1000+210)),IF($HG24=0,999999,IF(1=$HH24,IF(21=$HN24,IF($JE24=2,30,0),IF(21=$HO24,IF($JE24=1,30,0),ABS(21-$HI24)*100)),100000+ABS(1-$HH24)*1000+210)))-IF((21=$HJ24)+(21=$HK24)+(21=$HL24)+(21=$HM24)+(21=$HN24)+(21=$HO24)&gt;=2,50,0))+X$5*50)</f>
        <v/>
      </c>
      <c r="Y144">
        <f>IF(OR($JF24=0,calcA!$A$6=0),0,IF(OR(22=$HA24,22=$HD24,22=$HG24),200000,MIN(IF($HA24=0,999999,IF(1=$HB24,IF(22=$HJ24,IF($JC24=2,30,0),IF(22=$HK24,IF($JC24=1,30,0),ABS(22-$HC24)*100)),100000+ABS(1-$HB24)*1000+220)),IF($HD24=0,999999,IF(1=$HE24,IF(22=$HL24,IF($JD24=2,30,0),IF(22=$HM24,IF($JD24=1,30,0),ABS(22-$HF24)*100)),100000+ABS(1-$HE24)*1000+220)),IF($HG24=0,999999,IF(1=$HH24,IF(22=$HN24,IF($JE24=2,30,0),IF(22=$HO24,IF($JE24=1,30,0),ABS(22-$HI24)*100)),100000+ABS(1-$HH24)*1000+220)))-IF((22=$HJ24)+(22=$HK24)+(22=$HL24)+(22=$HM24)+(22=$HN24)+(22=$HO24)&gt;=2,50,0))+Y$5*50)</f>
        <v/>
      </c>
      <c r="Z144">
        <f>IF(OR($JF24=0,calcA!$A$6=0),0,IF(OR(23=$HA24,23=$HD24,23=$HG24),200000,MIN(IF($HA24=0,999999,IF(1=$HB24,IF(23=$HJ24,IF($JC24=2,30,0),IF(23=$HK24,IF($JC24=1,30,0),ABS(23-$HC24)*100)),100000+ABS(1-$HB24)*1000+230)),IF($HD24=0,999999,IF(1=$HE24,IF(23=$HL24,IF($JD24=2,30,0),IF(23=$HM24,IF($JD24=1,30,0),ABS(23-$HF24)*100)),100000+ABS(1-$HE24)*1000+230)),IF($HG24=0,999999,IF(1=$HH24,IF(23=$HN24,IF($JE24=2,30,0),IF(23=$HO24,IF($JE24=1,30,0),ABS(23-$HI24)*100)),100000+ABS(1-$HH24)*1000+230)))-IF((23=$HJ24)+(23=$HK24)+(23=$HL24)+(23=$HM24)+(23=$HN24)+(23=$HO24)&gt;=2,50,0))+Z$5*50)</f>
        <v/>
      </c>
      <c r="AA144">
        <f>IF(OR($JF24=0,calcA!$A$6=0),0,IF(OR(24=$HA24,24=$HD24,24=$HG24),200000,MIN(IF($HA24=0,999999,IF(1=$HB24,IF(24=$HJ24,IF($JC24=2,30,0),IF(24=$HK24,IF($JC24=1,30,0),ABS(24-$HC24)*100)),100000+ABS(1-$HB24)*1000+240)),IF($HD24=0,999999,IF(1=$HE24,IF(24=$HL24,IF($JD24=2,30,0),IF(24=$HM24,IF($JD24=1,30,0),ABS(24-$HF24)*100)),100000+ABS(1-$HE24)*1000+240)),IF($HG24=0,999999,IF(1=$HH24,IF(24=$HN24,IF($JE24=2,30,0),IF(24=$HO24,IF($JE24=1,30,0),ABS(24-$HI24)*100)),100000+ABS(1-$HH24)*1000+240)))-IF((24=$HJ24)+(24=$HK24)+(24=$HL24)+(24=$HM24)+(24=$HN24)+(24=$HO24)&gt;=2,50,0))+AA$5*50)</f>
        <v/>
      </c>
      <c r="AB144">
        <f>IF(OR($JF24=0,calcA!$A$6=0),0,IF(OR(25=$HA24,25=$HD24,25=$HG24),200000,MIN(IF($HA24=0,999999,IF(2=$HB24,IF(25=$HJ24,IF($JC24=2,30,0),IF(25=$HK24,IF($JC24=1,30,0),ABS(1-$HC24)*100)),100000+ABS(2-$HB24)*1000+10)),IF($HD24=0,999999,IF(2=$HE24,IF(25=$HL24,IF($JD24=2,30,0),IF(25=$HM24,IF($JD24=1,30,0),ABS(1-$HF24)*100)),100000+ABS(2-$HE24)*1000+10)),IF($HG24=0,999999,IF(2=$HH24,IF(25=$HN24,IF($JE24=2,30,0),IF(25=$HO24,IF($JE24=1,30,0),ABS(1-$HI24)*100)),100000+ABS(2-$HH24)*1000+10)))-IF((25=$HJ24)+(25=$HK24)+(25=$HL24)+(25=$HM24)+(25=$HN24)+(25=$HO24)&gt;=2,50,0))+AB$5*50)</f>
        <v/>
      </c>
      <c r="AC144">
        <f>IF(OR($JF24=0,calcA!$A$6=0),0,IF(OR(26=$HA24,26=$HD24,26=$HG24),200000,MIN(IF($HA24=0,999999,IF(2=$HB24,IF(26=$HJ24,IF($JC24=2,30,0),IF(26=$HK24,IF($JC24=1,30,0),ABS(2-$HC24)*100)),100000+ABS(2-$HB24)*1000+20)),IF($HD24=0,999999,IF(2=$HE24,IF(26=$HL24,IF($JD24=2,30,0),IF(26=$HM24,IF($JD24=1,30,0),ABS(2-$HF24)*100)),100000+ABS(2-$HE24)*1000+20)),IF($HG24=0,999999,IF(2=$HH24,IF(26=$HN24,IF($JE24=2,30,0),IF(26=$HO24,IF($JE24=1,30,0),ABS(2-$HI24)*100)),100000+ABS(2-$HH24)*1000+20)))-IF((26=$HJ24)+(26=$HK24)+(26=$HL24)+(26=$HM24)+(26=$HN24)+(26=$HO24)&gt;=2,50,0))+AC$5*50)</f>
        <v/>
      </c>
      <c r="AD144">
        <f>IF(OR($JF24=0,calcA!$A$6=0),0,IF(OR(27=$HA24,27=$HD24,27=$HG24),200000,MIN(IF($HA24=0,999999,IF(2=$HB24,IF(27=$HJ24,IF($JC24=2,30,0),IF(27=$HK24,IF($JC24=1,30,0),ABS(3-$HC24)*100)),100000+ABS(2-$HB24)*1000+30)),IF($HD24=0,999999,IF(2=$HE24,IF(27=$HL24,IF($JD24=2,30,0),IF(27=$HM24,IF($JD24=1,30,0),ABS(3-$HF24)*100)),100000+ABS(2-$HE24)*1000+30)),IF($HG24=0,999999,IF(2=$HH24,IF(27=$HN24,IF($JE24=2,30,0),IF(27=$HO24,IF($JE24=1,30,0),ABS(3-$HI24)*100)),100000+ABS(2-$HH24)*1000+30)))-IF((27=$HJ24)+(27=$HK24)+(27=$HL24)+(27=$HM24)+(27=$HN24)+(27=$HO24)&gt;=2,50,0))+AD$5*50)</f>
        <v/>
      </c>
      <c r="AE144">
        <f>IF(OR($JF24=0,calcA!$A$6=0),0,IF(OR(28=$HA24,28=$HD24,28=$HG24),200000,MIN(IF($HA24=0,999999,IF(2=$HB24,IF(28=$HJ24,IF($JC24=2,30,0),IF(28=$HK24,IF($JC24=1,30,0),ABS(4-$HC24)*100)),100000+ABS(2-$HB24)*1000+40)),IF($HD24=0,999999,IF(2=$HE24,IF(28=$HL24,IF($JD24=2,30,0),IF(28=$HM24,IF($JD24=1,30,0),ABS(4-$HF24)*100)),100000+ABS(2-$HE24)*1000+40)),IF($HG24=0,999999,IF(2=$HH24,IF(28=$HN24,IF($JE24=2,30,0),IF(28=$HO24,IF($JE24=1,30,0),ABS(4-$HI24)*100)),100000+ABS(2-$HH24)*1000+40)))-IF((28=$HJ24)+(28=$HK24)+(28=$HL24)+(28=$HM24)+(28=$HN24)+(28=$HO24)&gt;=2,50,0))+AE$5*50)</f>
        <v/>
      </c>
      <c r="AF144">
        <f>IF(OR($JF24=0,calcA!$A$6=0),0,IF(OR(29=$HA24,29=$HD24,29=$HG24),200000,MIN(IF($HA24=0,999999,IF(2=$HB24,IF(29=$HJ24,IF($JC24=2,30,0),IF(29=$HK24,IF($JC24=1,30,0),ABS(5-$HC24)*100)),100000+ABS(2-$HB24)*1000+50)),IF($HD24=0,999999,IF(2=$HE24,IF(29=$HL24,IF($JD24=2,30,0),IF(29=$HM24,IF($JD24=1,30,0),ABS(5-$HF24)*100)),100000+ABS(2-$HE24)*1000+50)),IF($HG24=0,999999,IF(2=$HH24,IF(29=$HN24,IF($JE24=2,30,0),IF(29=$HO24,IF($JE24=1,30,0),ABS(5-$HI24)*100)),100000+ABS(2-$HH24)*1000+50)))-IF((29=$HJ24)+(29=$HK24)+(29=$HL24)+(29=$HM24)+(29=$HN24)+(29=$HO24)&gt;=2,50,0))+AF$5*50)</f>
        <v/>
      </c>
      <c r="AG144">
        <f>IF(OR($JF24=0,calcA!$A$6=0),0,IF(OR(30=$HA24,30=$HD24,30=$HG24),200000,MIN(IF($HA24=0,999999,IF(2=$HB24,IF(30=$HJ24,IF($JC24=2,30,0),IF(30=$HK24,IF($JC24=1,30,0),ABS(6-$HC24)*100)),100000+ABS(2-$HB24)*1000+60)),IF($HD24=0,999999,IF(2=$HE24,IF(30=$HL24,IF($JD24=2,30,0),IF(30=$HM24,IF($JD24=1,30,0),ABS(6-$HF24)*100)),100000+ABS(2-$HE24)*1000+60)),IF($HG24=0,999999,IF(2=$HH24,IF(30=$HN24,IF($JE24=2,30,0),IF(30=$HO24,IF($JE24=1,30,0),ABS(6-$HI24)*100)),100000+ABS(2-$HH24)*1000+60)))-IF((30=$HJ24)+(30=$HK24)+(30=$HL24)+(30=$HM24)+(30=$HN24)+(30=$HO24)&gt;=2,50,0))+AG$5*50)</f>
        <v/>
      </c>
      <c r="AH144">
        <f>IF(OR($JF24=0,calcA!$A$6=0),0,IF(OR(31=$HA24,31=$HD24,31=$HG24),200000,MIN(IF($HA24=0,999999,IF(2=$HB24,IF(31=$HJ24,IF($JC24=2,30,0),IF(31=$HK24,IF($JC24=1,30,0),ABS(7-$HC24)*100)),100000+ABS(2-$HB24)*1000+70)),IF($HD24=0,999999,IF(2=$HE24,IF(31=$HL24,IF($JD24=2,30,0),IF(31=$HM24,IF($JD24=1,30,0),ABS(7-$HF24)*100)),100000+ABS(2-$HE24)*1000+70)),IF($HG24=0,999999,IF(2=$HH24,IF(31=$HN24,IF($JE24=2,30,0),IF(31=$HO24,IF($JE24=1,30,0),ABS(7-$HI24)*100)),100000+ABS(2-$HH24)*1000+70)))-IF((31=$HJ24)+(31=$HK24)+(31=$HL24)+(31=$HM24)+(31=$HN24)+(31=$HO24)&gt;=2,50,0))+AH$5*50)</f>
        <v/>
      </c>
      <c r="AI144">
        <f>IF(OR($JF24=0,calcA!$A$6=0),0,IF(OR(32=$HA24,32=$HD24,32=$HG24),200000,MIN(IF($HA24=0,999999,IF(2=$HB24,IF(32=$HJ24,IF($JC24=2,30,0),IF(32=$HK24,IF($JC24=1,30,0),ABS(8-$HC24)*100)),100000+ABS(2-$HB24)*1000+80)),IF($HD24=0,999999,IF(2=$HE24,IF(32=$HL24,IF($JD24=2,30,0),IF(32=$HM24,IF($JD24=1,30,0),ABS(8-$HF24)*100)),100000+ABS(2-$HE24)*1000+80)),IF($HG24=0,999999,IF(2=$HH24,IF(32=$HN24,IF($JE24=2,30,0),IF(32=$HO24,IF($JE24=1,30,0),ABS(8-$HI24)*100)),100000+ABS(2-$HH24)*1000+80)))-IF((32=$HJ24)+(32=$HK24)+(32=$HL24)+(32=$HM24)+(32=$HN24)+(32=$HO24)&gt;=2,50,0))+AI$5*50)</f>
        <v/>
      </c>
      <c r="AJ144">
        <f>IF(OR($JF24=0,calcA!$A$6=0),0,IF(OR(33=$HA24,33=$HD24,33=$HG24),200000,MIN(IF($HA24=0,999999,IF(2=$HB24,IF(33=$HJ24,IF($JC24=2,30,0),IF(33=$HK24,IF($JC24=1,30,0),ABS(9-$HC24)*100)),100000+ABS(2-$HB24)*1000+90)),IF($HD24=0,999999,IF(2=$HE24,IF(33=$HL24,IF($JD24=2,30,0),IF(33=$HM24,IF($JD24=1,30,0),ABS(9-$HF24)*100)),100000+ABS(2-$HE24)*1000+90)),IF($HG24=0,999999,IF(2=$HH24,IF(33=$HN24,IF($JE24=2,30,0),IF(33=$HO24,IF($JE24=1,30,0),ABS(9-$HI24)*100)),100000+ABS(2-$HH24)*1000+90)))-IF((33=$HJ24)+(33=$HK24)+(33=$HL24)+(33=$HM24)+(33=$HN24)+(33=$HO24)&gt;=2,50,0))+AJ$5*50)</f>
        <v/>
      </c>
      <c r="AK144">
        <f>IF(OR($JF24=0,calcA!$A$6=0),0,IF(OR(34=$HA24,34=$HD24,34=$HG24),200000,MIN(IF($HA24=0,999999,IF(2=$HB24,IF(34=$HJ24,IF($JC24=2,30,0),IF(34=$HK24,IF($JC24=1,30,0),ABS(10-$HC24)*100)),100000+ABS(2-$HB24)*1000+100)),IF($HD24=0,999999,IF(2=$HE24,IF(34=$HL24,IF($JD24=2,30,0),IF(34=$HM24,IF($JD24=1,30,0),ABS(10-$HF24)*100)),100000+ABS(2-$HE24)*1000+100)),IF($HG24=0,999999,IF(2=$HH24,IF(34=$HN24,IF($JE24=2,30,0),IF(34=$HO24,IF($JE24=1,30,0),ABS(10-$HI24)*100)),100000+ABS(2-$HH24)*1000+100)))-IF((34=$HJ24)+(34=$HK24)+(34=$HL24)+(34=$HM24)+(34=$HN24)+(34=$HO24)&gt;=2,50,0))+AK$5*50)</f>
        <v/>
      </c>
      <c r="AL144">
        <f>IF(OR($JF24=0,calcA!$A$6=0),0,IF(OR(35=$HA24,35=$HD24,35=$HG24),200000,MIN(IF($HA24=0,999999,IF(2=$HB24,IF(35=$HJ24,IF($JC24=2,30,0),IF(35=$HK24,IF($JC24=1,30,0),ABS(11-$HC24)*100)),100000+ABS(2-$HB24)*1000+110)),IF($HD24=0,999999,IF(2=$HE24,IF(35=$HL24,IF($JD24=2,30,0),IF(35=$HM24,IF($JD24=1,30,0),ABS(11-$HF24)*100)),100000+ABS(2-$HE24)*1000+110)),IF($HG24=0,999999,IF(2=$HH24,IF(35=$HN24,IF($JE24=2,30,0),IF(35=$HO24,IF($JE24=1,30,0),ABS(11-$HI24)*100)),100000+ABS(2-$HH24)*1000+110)))-IF((35=$HJ24)+(35=$HK24)+(35=$HL24)+(35=$HM24)+(35=$HN24)+(35=$HO24)&gt;=2,50,0))+AL$5*50)</f>
        <v/>
      </c>
      <c r="AM144">
        <f>IF(OR($JF24=0,calcA!$A$6=0),0,IF(OR(36=$HA24,36=$HD24,36=$HG24),200000,MIN(IF($HA24=0,999999,IF(2=$HB24,IF(36=$HJ24,IF($JC24=2,30,0),IF(36=$HK24,IF($JC24=1,30,0),ABS(12-$HC24)*100)),100000+ABS(2-$HB24)*1000+120)),IF($HD24=0,999999,IF(2=$HE24,IF(36=$HL24,IF($JD24=2,30,0),IF(36=$HM24,IF($JD24=1,30,0),ABS(12-$HF24)*100)),100000+ABS(2-$HE24)*1000+120)),IF($HG24=0,999999,IF(2=$HH24,IF(36=$HN24,IF($JE24=2,30,0),IF(36=$HO24,IF($JE24=1,30,0),ABS(12-$HI24)*100)),100000+ABS(2-$HH24)*1000+120)))-IF((36=$HJ24)+(36=$HK24)+(36=$HL24)+(36=$HM24)+(36=$HN24)+(36=$HO24)&gt;=2,50,0))+AM$5*50)</f>
        <v/>
      </c>
      <c r="AN144">
        <f>IF(OR($JF24=0,calcA!$A$6=0),0,IF(OR(37=$HA24,37=$HD24,37=$HG24),200000,MIN(IF($HA24=0,999999,IF(2=$HB24,IF(37=$HJ24,IF($JC24=2,30,0),IF(37=$HK24,IF($JC24=1,30,0),ABS(13-$HC24)*100)),100000+ABS(2-$HB24)*1000+130)),IF($HD24=0,999999,IF(2=$HE24,IF(37=$HL24,IF($JD24=2,30,0),IF(37=$HM24,IF($JD24=1,30,0),ABS(13-$HF24)*100)),100000+ABS(2-$HE24)*1000+130)),IF($HG24=0,999999,IF(2=$HH24,IF(37=$HN24,IF($JE24=2,30,0),IF(37=$HO24,IF($JE24=1,30,0),ABS(13-$HI24)*100)),100000+ABS(2-$HH24)*1000+130)))-IF((37=$HJ24)+(37=$HK24)+(37=$HL24)+(37=$HM24)+(37=$HN24)+(37=$HO24)&gt;=2,50,0))+AN$5*50)</f>
        <v/>
      </c>
      <c r="AO144">
        <f>IF(OR($JF24=0,calcA!$A$6=0),0,IF(OR(38=$HA24,38=$HD24,38=$HG24),200000,MIN(IF($HA24=0,999999,IF(2=$HB24,IF(38=$HJ24,IF($JC24=2,30,0),IF(38=$HK24,IF($JC24=1,30,0),ABS(14-$HC24)*100)),100000+ABS(2-$HB24)*1000+140)),IF($HD24=0,999999,IF(2=$HE24,IF(38=$HL24,IF($JD24=2,30,0),IF(38=$HM24,IF($JD24=1,30,0),ABS(14-$HF24)*100)),100000+ABS(2-$HE24)*1000+140)),IF($HG24=0,999999,IF(2=$HH24,IF(38=$HN24,IF($JE24=2,30,0),IF(38=$HO24,IF($JE24=1,30,0),ABS(14-$HI24)*100)),100000+ABS(2-$HH24)*1000+140)))-IF((38=$HJ24)+(38=$HK24)+(38=$HL24)+(38=$HM24)+(38=$HN24)+(38=$HO24)&gt;=2,50,0))+AO$5*50)</f>
        <v/>
      </c>
      <c r="AP144">
        <f>IF(OR($JF24=0,calcA!$A$6=0),0,IF(OR(39=$HA24,39=$HD24,39=$HG24),200000,MIN(IF($HA24=0,999999,IF(2=$HB24,IF(39=$HJ24,IF($JC24=2,30,0),IF(39=$HK24,IF($JC24=1,30,0),ABS(15-$HC24)*100)),100000+ABS(2-$HB24)*1000+150)),IF($HD24=0,999999,IF(2=$HE24,IF(39=$HL24,IF($JD24=2,30,0),IF(39=$HM24,IF($JD24=1,30,0),ABS(15-$HF24)*100)),100000+ABS(2-$HE24)*1000+150)),IF($HG24=0,999999,IF(2=$HH24,IF(39=$HN24,IF($JE24=2,30,0),IF(39=$HO24,IF($JE24=1,30,0),ABS(15-$HI24)*100)),100000+ABS(2-$HH24)*1000+150)))-IF((39=$HJ24)+(39=$HK24)+(39=$HL24)+(39=$HM24)+(39=$HN24)+(39=$HO24)&gt;=2,50,0))+AP$5*50)</f>
        <v/>
      </c>
      <c r="AQ144">
        <f>IF(OR($JF24=0,calcA!$A$6=0),0,IF(OR(40=$HA24,40=$HD24,40=$HG24),200000,MIN(IF($HA24=0,999999,IF(2=$HB24,IF(40=$HJ24,IF($JC24=2,30,0),IF(40=$HK24,IF($JC24=1,30,0),ABS(16-$HC24)*100)),100000+ABS(2-$HB24)*1000+160)),IF($HD24=0,999999,IF(2=$HE24,IF(40=$HL24,IF($JD24=2,30,0),IF(40=$HM24,IF($JD24=1,30,0),ABS(16-$HF24)*100)),100000+ABS(2-$HE24)*1000+160)),IF($HG24=0,999999,IF(2=$HH24,IF(40=$HN24,IF($JE24=2,30,0),IF(40=$HO24,IF($JE24=1,30,0),ABS(16-$HI24)*100)),100000+ABS(2-$HH24)*1000+160)))-IF((40=$HJ24)+(40=$HK24)+(40=$HL24)+(40=$HM24)+(40=$HN24)+(40=$HO24)&gt;=2,50,0))+AQ$5*50)</f>
        <v/>
      </c>
      <c r="AR144">
        <f>IF(OR($JF24=0,calcA!$A$6=0),0,IF(OR(41=$HA24,41=$HD24,41=$HG24),200000,MIN(IF($HA24=0,999999,IF(2=$HB24,IF(41=$HJ24,IF($JC24=2,30,0),IF(41=$HK24,IF($JC24=1,30,0),ABS(17-$HC24)*100)),100000+ABS(2-$HB24)*1000+170)),IF($HD24=0,999999,IF(2=$HE24,IF(41=$HL24,IF($JD24=2,30,0),IF(41=$HM24,IF($JD24=1,30,0),ABS(17-$HF24)*100)),100000+ABS(2-$HE24)*1000+170)),IF($HG24=0,999999,IF(2=$HH24,IF(41=$HN24,IF($JE24=2,30,0),IF(41=$HO24,IF($JE24=1,30,0),ABS(17-$HI24)*100)),100000+ABS(2-$HH24)*1000+170)))-IF((41=$HJ24)+(41=$HK24)+(41=$HL24)+(41=$HM24)+(41=$HN24)+(41=$HO24)&gt;=2,50,0))+AR$5*50)</f>
        <v/>
      </c>
      <c r="AS144">
        <f>IF(OR($JF24=0,calcA!$A$6=0),0,IF(OR(42=$HA24,42=$HD24,42=$HG24),200000,MIN(IF($HA24=0,999999,IF(2=$HB24,IF(42=$HJ24,IF($JC24=2,30,0),IF(42=$HK24,IF($JC24=1,30,0),ABS(18-$HC24)*100)),100000+ABS(2-$HB24)*1000+180)),IF($HD24=0,999999,IF(2=$HE24,IF(42=$HL24,IF($JD24=2,30,0),IF(42=$HM24,IF($JD24=1,30,0),ABS(18-$HF24)*100)),100000+ABS(2-$HE24)*1000+180)),IF($HG24=0,999999,IF(2=$HH24,IF(42=$HN24,IF($JE24=2,30,0),IF(42=$HO24,IF($JE24=1,30,0),ABS(18-$HI24)*100)),100000+ABS(2-$HH24)*1000+180)))-IF((42=$HJ24)+(42=$HK24)+(42=$HL24)+(42=$HM24)+(42=$HN24)+(42=$HO24)&gt;=2,50,0))+AS$5*50)</f>
        <v/>
      </c>
      <c r="AT144">
        <f>IF(OR($JF24=0,calcA!$A$6=0),0,IF(OR(43=$HA24,43=$HD24,43=$HG24),200000,MIN(IF($HA24=0,999999,IF(2=$HB24,IF(43=$HJ24,IF($JC24=2,30,0),IF(43=$HK24,IF($JC24=1,30,0),ABS(19-$HC24)*100)),100000+ABS(2-$HB24)*1000+190)),IF($HD24=0,999999,IF(2=$HE24,IF(43=$HL24,IF($JD24=2,30,0),IF(43=$HM24,IF($JD24=1,30,0),ABS(19-$HF24)*100)),100000+ABS(2-$HE24)*1000+190)),IF($HG24=0,999999,IF(2=$HH24,IF(43=$HN24,IF($JE24=2,30,0),IF(43=$HO24,IF($JE24=1,30,0),ABS(19-$HI24)*100)),100000+ABS(2-$HH24)*1000+190)))-IF((43=$HJ24)+(43=$HK24)+(43=$HL24)+(43=$HM24)+(43=$HN24)+(43=$HO24)&gt;=2,50,0))+AT$5*50)</f>
        <v/>
      </c>
      <c r="AU144">
        <f>IF(OR($JF24=0,calcA!$A$6=0),0,IF(OR(44=$HA24,44=$HD24,44=$HG24),200000,MIN(IF($HA24=0,999999,IF(2=$HB24,IF(44=$HJ24,IF($JC24=2,30,0),IF(44=$HK24,IF($JC24=1,30,0),ABS(20-$HC24)*100)),100000+ABS(2-$HB24)*1000+200)),IF($HD24=0,999999,IF(2=$HE24,IF(44=$HL24,IF($JD24=2,30,0),IF(44=$HM24,IF($JD24=1,30,0),ABS(20-$HF24)*100)),100000+ABS(2-$HE24)*1000+200)),IF($HG24=0,999999,IF(2=$HH24,IF(44=$HN24,IF($JE24=2,30,0),IF(44=$HO24,IF($JE24=1,30,0),ABS(20-$HI24)*100)),100000+ABS(2-$HH24)*1000+200)))-IF((44=$HJ24)+(44=$HK24)+(44=$HL24)+(44=$HM24)+(44=$HN24)+(44=$HO24)&gt;=2,50,0))+AU$5*50)</f>
        <v/>
      </c>
      <c r="AV144">
        <f>IF(OR($JF24=0,calcA!$A$6=0),0,IF(OR(45=$HA24,45=$HD24,45=$HG24),200000,MIN(IF($HA24=0,999999,IF(2=$HB24,IF(45=$HJ24,IF($JC24=2,30,0),IF(45=$HK24,IF($JC24=1,30,0),ABS(21-$HC24)*100)),100000+ABS(2-$HB24)*1000+210)),IF($HD24=0,999999,IF(2=$HE24,IF(45=$HL24,IF($JD24=2,30,0),IF(45=$HM24,IF($JD24=1,30,0),ABS(21-$HF24)*100)),100000+ABS(2-$HE24)*1000+210)),IF($HG24=0,999999,IF(2=$HH24,IF(45=$HN24,IF($JE24=2,30,0),IF(45=$HO24,IF($JE24=1,30,0),ABS(21-$HI24)*100)),100000+ABS(2-$HH24)*1000+210)))-IF((45=$HJ24)+(45=$HK24)+(45=$HL24)+(45=$HM24)+(45=$HN24)+(45=$HO24)&gt;=2,50,0))+AV$5*50)</f>
        <v/>
      </c>
      <c r="AW144">
        <f>IF(OR($JF24=0,calcA!$A$6=0),0,IF(OR(46=$HA24,46=$HD24,46=$HG24),200000,MIN(IF($HA24=0,999999,IF(2=$HB24,IF(46=$HJ24,IF($JC24=2,30,0),IF(46=$HK24,IF($JC24=1,30,0),ABS(22-$HC24)*100)),100000+ABS(2-$HB24)*1000+220)),IF($HD24=0,999999,IF(2=$HE24,IF(46=$HL24,IF($JD24=2,30,0),IF(46=$HM24,IF($JD24=1,30,0),ABS(22-$HF24)*100)),100000+ABS(2-$HE24)*1000+220)),IF($HG24=0,999999,IF(2=$HH24,IF(46=$HN24,IF($JE24=2,30,0),IF(46=$HO24,IF($JE24=1,30,0),ABS(22-$HI24)*100)),100000+ABS(2-$HH24)*1000+220)))-IF((46=$HJ24)+(46=$HK24)+(46=$HL24)+(46=$HM24)+(46=$HN24)+(46=$HO24)&gt;=2,50,0))+AW$5*50)</f>
        <v/>
      </c>
      <c r="AX144">
        <f>IF(OR($JF24=0,calcA!$A$6=0),0,IF(OR(47=$HA24,47=$HD24,47=$HG24),200000,MIN(IF($HA24=0,999999,IF(2=$HB24,IF(47=$HJ24,IF($JC24=2,30,0),IF(47=$HK24,IF($JC24=1,30,0),ABS(23-$HC24)*100)),100000+ABS(2-$HB24)*1000+230)),IF($HD24=0,999999,IF(2=$HE24,IF(47=$HL24,IF($JD24=2,30,0),IF(47=$HM24,IF($JD24=1,30,0),ABS(23-$HF24)*100)),100000+ABS(2-$HE24)*1000+230)),IF($HG24=0,999999,IF(2=$HH24,IF(47=$HN24,IF($JE24=2,30,0),IF(47=$HO24,IF($JE24=1,30,0),ABS(23-$HI24)*100)),100000+ABS(2-$HH24)*1000+230)))-IF((47=$HJ24)+(47=$HK24)+(47=$HL24)+(47=$HM24)+(47=$HN24)+(47=$HO24)&gt;=2,50,0))+AX$5*50)</f>
        <v/>
      </c>
      <c r="AY144">
        <f>IF(OR($JF24=0,calcA!$A$6=0),0,IF(OR(48=$HA24,48=$HD24,48=$HG24),200000,MIN(IF($HA24=0,999999,IF(2=$HB24,IF(48=$HJ24,IF($JC24=2,30,0),IF(48=$HK24,IF($JC24=1,30,0),ABS(24-$HC24)*100)),100000+ABS(2-$HB24)*1000+240)),IF($HD24=0,999999,IF(2=$HE24,IF(48=$HL24,IF($JD24=2,30,0),IF(48=$HM24,IF($JD24=1,30,0),ABS(24-$HF24)*100)),100000+ABS(2-$HE24)*1000+240)),IF($HG24=0,999999,IF(2=$HH24,IF(48=$HN24,IF($JE24=2,30,0),IF(48=$HO24,IF($JE24=1,30,0),ABS(24-$HI24)*100)),100000+ABS(2-$HH24)*1000+240)))-IF((48=$HJ24)+(48=$HK24)+(48=$HL24)+(48=$HM24)+(48=$HN24)+(48=$HO24)&gt;=2,50,0))+AY$5*50)</f>
        <v/>
      </c>
      <c r="AZ144">
        <f>IF(OR($JF24=0,calcA!$A$6=0),0,IF(OR(49=$HA24,49=$HD24,49=$HG24),200000,MIN(IF($HA24=0,999999,IF(3=$HB24,IF(49=$HJ24,IF($JC24=2,30,0),IF(49=$HK24,IF($JC24=1,30,0),ABS(1-$HC24)*100)),100000+ABS(3-$HB24)*1000+10)),IF($HD24=0,999999,IF(3=$HE24,IF(49=$HL24,IF($JD24=2,30,0),IF(49=$HM24,IF($JD24=1,30,0),ABS(1-$HF24)*100)),100000+ABS(3-$HE24)*1000+10)),IF($HG24=0,999999,IF(3=$HH24,IF(49=$HN24,IF($JE24=2,30,0),IF(49=$HO24,IF($JE24=1,30,0),ABS(1-$HI24)*100)),100000+ABS(3-$HH24)*1000+10)))-IF((49=$HJ24)+(49=$HK24)+(49=$HL24)+(49=$HM24)+(49=$HN24)+(49=$HO24)&gt;=2,50,0))+AZ$5*50)</f>
        <v/>
      </c>
      <c r="BA144">
        <f>IF(OR($JF24=0,calcA!$A$6=0),0,IF(OR(50=$HA24,50=$HD24,50=$HG24),200000,MIN(IF($HA24=0,999999,IF(3=$HB24,IF(50=$HJ24,IF($JC24=2,30,0),IF(50=$HK24,IF($JC24=1,30,0),ABS(2-$HC24)*100)),100000+ABS(3-$HB24)*1000+20)),IF($HD24=0,999999,IF(3=$HE24,IF(50=$HL24,IF($JD24=2,30,0),IF(50=$HM24,IF($JD24=1,30,0),ABS(2-$HF24)*100)),100000+ABS(3-$HE24)*1000+20)),IF($HG24=0,999999,IF(3=$HH24,IF(50=$HN24,IF($JE24=2,30,0),IF(50=$HO24,IF($JE24=1,30,0),ABS(2-$HI24)*100)),100000+ABS(3-$HH24)*1000+20)))-IF((50=$HJ24)+(50=$HK24)+(50=$HL24)+(50=$HM24)+(50=$HN24)+(50=$HO24)&gt;=2,50,0))+BA$5*50)</f>
        <v/>
      </c>
      <c r="BB144">
        <f>IF(OR($JF24=0,calcA!$A$6=0),0,IF(OR(51=$HA24,51=$HD24,51=$HG24),200000,MIN(IF($HA24=0,999999,IF(3=$HB24,IF(51=$HJ24,IF($JC24=2,30,0),IF(51=$HK24,IF($JC24=1,30,0),ABS(3-$HC24)*100)),100000+ABS(3-$HB24)*1000+30)),IF($HD24=0,999999,IF(3=$HE24,IF(51=$HL24,IF($JD24=2,30,0),IF(51=$HM24,IF($JD24=1,30,0),ABS(3-$HF24)*100)),100000+ABS(3-$HE24)*1000+30)),IF($HG24=0,999999,IF(3=$HH24,IF(51=$HN24,IF($JE24=2,30,0),IF(51=$HO24,IF($JE24=1,30,0),ABS(3-$HI24)*100)),100000+ABS(3-$HH24)*1000+30)))-IF((51=$HJ24)+(51=$HK24)+(51=$HL24)+(51=$HM24)+(51=$HN24)+(51=$HO24)&gt;=2,50,0))+BB$5*50)</f>
        <v/>
      </c>
      <c r="BC144">
        <f>IF(OR($JF24=0,calcA!$A$6=0),0,IF(OR(52=$HA24,52=$HD24,52=$HG24),200000,MIN(IF($HA24=0,999999,IF(3=$HB24,IF(52=$HJ24,IF($JC24=2,30,0),IF(52=$HK24,IF($JC24=1,30,0),ABS(4-$HC24)*100)),100000+ABS(3-$HB24)*1000+40)),IF($HD24=0,999999,IF(3=$HE24,IF(52=$HL24,IF($JD24=2,30,0),IF(52=$HM24,IF($JD24=1,30,0),ABS(4-$HF24)*100)),100000+ABS(3-$HE24)*1000+40)),IF($HG24=0,999999,IF(3=$HH24,IF(52=$HN24,IF($JE24=2,30,0),IF(52=$HO24,IF($JE24=1,30,0),ABS(4-$HI24)*100)),100000+ABS(3-$HH24)*1000+40)))-IF((52=$HJ24)+(52=$HK24)+(52=$HL24)+(52=$HM24)+(52=$HN24)+(52=$HO24)&gt;=2,50,0))+BC$5*50)</f>
        <v/>
      </c>
      <c r="BD144">
        <f>IF(OR($JF24=0,calcA!$A$6=0),0,IF(OR(53=$HA24,53=$HD24,53=$HG24),200000,MIN(IF($HA24=0,999999,IF(3=$HB24,IF(53=$HJ24,IF($JC24=2,30,0),IF(53=$HK24,IF($JC24=1,30,0),ABS(5-$HC24)*100)),100000+ABS(3-$HB24)*1000+50)),IF($HD24=0,999999,IF(3=$HE24,IF(53=$HL24,IF($JD24=2,30,0),IF(53=$HM24,IF($JD24=1,30,0),ABS(5-$HF24)*100)),100000+ABS(3-$HE24)*1000+50)),IF($HG24=0,999999,IF(3=$HH24,IF(53=$HN24,IF($JE24=2,30,0),IF(53=$HO24,IF($JE24=1,30,0),ABS(5-$HI24)*100)),100000+ABS(3-$HH24)*1000+50)))-IF((53=$HJ24)+(53=$HK24)+(53=$HL24)+(53=$HM24)+(53=$HN24)+(53=$HO24)&gt;=2,50,0))+BD$5*50)</f>
        <v/>
      </c>
      <c r="BE144">
        <f>IF(OR($JF24=0,calcA!$A$6=0),0,IF(OR(54=$HA24,54=$HD24,54=$HG24),200000,MIN(IF($HA24=0,999999,IF(3=$HB24,IF(54=$HJ24,IF($JC24=2,30,0),IF(54=$HK24,IF($JC24=1,30,0),ABS(6-$HC24)*100)),100000+ABS(3-$HB24)*1000+60)),IF($HD24=0,999999,IF(3=$HE24,IF(54=$HL24,IF($JD24=2,30,0),IF(54=$HM24,IF($JD24=1,30,0),ABS(6-$HF24)*100)),100000+ABS(3-$HE24)*1000+60)),IF($HG24=0,999999,IF(3=$HH24,IF(54=$HN24,IF($JE24=2,30,0),IF(54=$HO24,IF($JE24=1,30,0),ABS(6-$HI24)*100)),100000+ABS(3-$HH24)*1000+60)))-IF((54=$HJ24)+(54=$HK24)+(54=$HL24)+(54=$HM24)+(54=$HN24)+(54=$HO24)&gt;=2,50,0))+BE$5*50)</f>
        <v/>
      </c>
      <c r="BF144">
        <f>IF(OR($JF24=0,calcA!$A$6=0),0,IF(OR(55=$HA24,55=$HD24,55=$HG24),200000,MIN(IF($HA24=0,999999,IF(3=$HB24,IF(55=$HJ24,IF($JC24=2,30,0),IF(55=$HK24,IF($JC24=1,30,0),ABS(7-$HC24)*100)),100000+ABS(3-$HB24)*1000+70)),IF($HD24=0,999999,IF(3=$HE24,IF(55=$HL24,IF($JD24=2,30,0),IF(55=$HM24,IF($JD24=1,30,0),ABS(7-$HF24)*100)),100000+ABS(3-$HE24)*1000+70)),IF($HG24=0,999999,IF(3=$HH24,IF(55=$HN24,IF($JE24=2,30,0),IF(55=$HO24,IF($JE24=1,30,0),ABS(7-$HI24)*100)),100000+ABS(3-$HH24)*1000+70)))-IF((55=$HJ24)+(55=$HK24)+(55=$HL24)+(55=$HM24)+(55=$HN24)+(55=$HO24)&gt;=2,50,0))+BF$5*50)</f>
        <v/>
      </c>
      <c r="BG144">
        <f>IF(OR($JF24=0,calcA!$A$6=0),0,IF(OR(56=$HA24,56=$HD24,56=$HG24),200000,MIN(IF($HA24=0,999999,IF(3=$HB24,IF(56=$HJ24,IF($JC24=2,30,0),IF(56=$HK24,IF($JC24=1,30,0),ABS(8-$HC24)*100)),100000+ABS(3-$HB24)*1000+80)),IF($HD24=0,999999,IF(3=$HE24,IF(56=$HL24,IF($JD24=2,30,0),IF(56=$HM24,IF($JD24=1,30,0),ABS(8-$HF24)*100)),100000+ABS(3-$HE24)*1000+80)),IF($HG24=0,999999,IF(3=$HH24,IF(56=$HN24,IF($JE24=2,30,0),IF(56=$HO24,IF($JE24=1,30,0),ABS(8-$HI24)*100)),100000+ABS(3-$HH24)*1000+80)))-IF((56=$HJ24)+(56=$HK24)+(56=$HL24)+(56=$HM24)+(56=$HN24)+(56=$HO24)&gt;=2,50,0))+BG$5*50)</f>
        <v/>
      </c>
      <c r="BH144">
        <f>IF(OR($JF24=0,calcA!$A$6=0),0,IF(OR(57=$HA24,57=$HD24,57=$HG24),200000,MIN(IF($HA24=0,999999,IF(3=$HB24,IF(57=$HJ24,IF($JC24=2,30,0),IF(57=$HK24,IF($JC24=1,30,0),ABS(9-$HC24)*100)),100000+ABS(3-$HB24)*1000+90)),IF($HD24=0,999999,IF(3=$HE24,IF(57=$HL24,IF($JD24=2,30,0),IF(57=$HM24,IF($JD24=1,30,0),ABS(9-$HF24)*100)),100000+ABS(3-$HE24)*1000+90)),IF($HG24=0,999999,IF(3=$HH24,IF(57=$HN24,IF($JE24=2,30,0),IF(57=$HO24,IF($JE24=1,30,0),ABS(9-$HI24)*100)),100000+ABS(3-$HH24)*1000+90)))-IF((57=$HJ24)+(57=$HK24)+(57=$HL24)+(57=$HM24)+(57=$HN24)+(57=$HO24)&gt;=2,50,0))+BH$5*50)</f>
        <v/>
      </c>
      <c r="BI144">
        <f>IF(OR($JF24=0,calcA!$A$6=0),0,IF(OR(58=$HA24,58=$HD24,58=$HG24),200000,MIN(IF($HA24=0,999999,IF(3=$HB24,IF(58=$HJ24,IF($JC24=2,30,0),IF(58=$HK24,IF($JC24=1,30,0),ABS(10-$HC24)*100)),100000+ABS(3-$HB24)*1000+100)),IF($HD24=0,999999,IF(3=$HE24,IF(58=$HL24,IF($JD24=2,30,0),IF(58=$HM24,IF($JD24=1,30,0),ABS(10-$HF24)*100)),100000+ABS(3-$HE24)*1000+100)),IF($HG24=0,999999,IF(3=$HH24,IF(58=$HN24,IF($JE24=2,30,0),IF(58=$HO24,IF($JE24=1,30,0),ABS(10-$HI24)*100)),100000+ABS(3-$HH24)*1000+100)))-IF((58=$HJ24)+(58=$HK24)+(58=$HL24)+(58=$HM24)+(58=$HN24)+(58=$HO24)&gt;=2,50,0))+BI$5*50)</f>
        <v/>
      </c>
      <c r="BJ144">
        <f>IF(OR($JF24=0,calcA!$A$6=0),0,IF(OR(59=$HA24,59=$HD24,59=$HG24),200000,MIN(IF($HA24=0,999999,IF(3=$HB24,IF(59=$HJ24,IF($JC24=2,30,0),IF(59=$HK24,IF($JC24=1,30,0),ABS(11-$HC24)*100)),100000+ABS(3-$HB24)*1000+110)),IF($HD24=0,999999,IF(3=$HE24,IF(59=$HL24,IF($JD24=2,30,0),IF(59=$HM24,IF($JD24=1,30,0),ABS(11-$HF24)*100)),100000+ABS(3-$HE24)*1000+110)),IF($HG24=0,999999,IF(3=$HH24,IF(59=$HN24,IF($JE24=2,30,0),IF(59=$HO24,IF($JE24=1,30,0),ABS(11-$HI24)*100)),100000+ABS(3-$HH24)*1000+110)))-IF((59=$HJ24)+(59=$HK24)+(59=$HL24)+(59=$HM24)+(59=$HN24)+(59=$HO24)&gt;=2,50,0))+BJ$5*50)</f>
        <v/>
      </c>
      <c r="BK144">
        <f>IF(OR($JF24=0,calcA!$A$6=0),0,IF(OR(60=$HA24,60=$HD24,60=$HG24),200000,MIN(IF($HA24=0,999999,IF(3=$HB24,IF(60=$HJ24,IF($JC24=2,30,0),IF(60=$HK24,IF($JC24=1,30,0),ABS(12-$HC24)*100)),100000+ABS(3-$HB24)*1000+120)),IF($HD24=0,999999,IF(3=$HE24,IF(60=$HL24,IF($JD24=2,30,0),IF(60=$HM24,IF($JD24=1,30,0),ABS(12-$HF24)*100)),100000+ABS(3-$HE24)*1000+120)),IF($HG24=0,999999,IF(3=$HH24,IF(60=$HN24,IF($JE24=2,30,0),IF(60=$HO24,IF($JE24=1,30,0),ABS(12-$HI24)*100)),100000+ABS(3-$HH24)*1000+120)))-IF((60=$HJ24)+(60=$HK24)+(60=$HL24)+(60=$HM24)+(60=$HN24)+(60=$HO24)&gt;=2,50,0))+BK$5*50)</f>
        <v/>
      </c>
      <c r="BL144">
        <f>IF(OR($JF24=0,calcA!$A$6=0),0,IF(OR(61=$HA24,61=$HD24,61=$HG24),200000,MIN(IF($HA24=0,999999,IF(3=$HB24,IF(61=$HJ24,IF($JC24=2,30,0),IF(61=$HK24,IF($JC24=1,30,0),ABS(13-$HC24)*100)),100000+ABS(3-$HB24)*1000+130)),IF($HD24=0,999999,IF(3=$HE24,IF(61=$HL24,IF($JD24=2,30,0),IF(61=$HM24,IF($JD24=1,30,0),ABS(13-$HF24)*100)),100000+ABS(3-$HE24)*1000+130)),IF($HG24=0,999999,IF(3=$HH24,IF(61=$HN24,IF($JE24=2,30,0),IF(61=$HO24,IF($JE24=1,30,0),ABS(13-$HI24)*100)),100000+ABS(3-$HH24)*1000+130)))-IF((61=$HJ24)+(61=$HK24)+(61=$HL24)+(61=$HM24)+(61=$HN24)+(61=$HO24)&gt;=2,50,0))+BL$5*50)</f>
        <v/>
      </c>
      <c r="BM144">
        <f>IF(OR($JF24=0,calcA!$A$6=0),0,IF(OR(62=$HA24,62=$HD24,62=$HG24),200000,MIN(IF($HA24=0,999999,IF(3=$HB24,IF(62=$HJ24,IF($JC24=2,30,0),IF(62=$HK24,IF($JC24=1,30,0),ABS(14-$HC24)*100)),100000+ABS(3-$HB24)*1000+140)),IF($HD24=0,999999,IF(3=$HE24,IF(62=$HL24,IF($JD24=2,30,0),IF(62=$HM24,IF($JD24=1,30,0),ABS(14-$HF24)*100)),100000+ABS(3-$HE24)*1000+140)),IF($HG24=0,999999,IF(3=$HH24,IF(62=$HN24,IF($JE24=2,30,0),IF(62=$HO24,IF($JE24=1,30,0),ABS(14-$HI24)*100)),100000+ABS(3-$HH24)*1000+140)))-IF((62=$HJ24)+(62=$HK24)+(62=$HL24)+(62=$HM24)+(62=$HN24)+(62=$HO24)&gt;=2,50,0))+BM$5*50)</f>
        <v/>
      </c>
      <c r="BN144">
        <f>IF(OR($JF24=0,calcA!$A$6=0),0,IF(OR(63=$HA24,63=$HD24,63=$HG24),200000,MIN(IF($HA24=0,999999,IF(3=$HB24,IF(63=$HJ24,IF($JC24=2,30,0),IF(63=$HK24,IF($JC24=1,30,0),ABS(15-$HC24)*100)),100000+ABS(3-$HB24)*1000+150)),IF($HD24=0,999999,IF(3=$HE24,IF(63=$HL24,IF($JD24=2,30,0),IF(63=$HM24,IF($JD24=1,30,0),ABS(15-$HF24)*100)),100000+ABS(3-$HE24)*1000+150)),IF($HG24=0,999999,IF(3=$HH24,IF(63=$HN24,IF($JE24=2,30,0),IF(63=$HO24,IF($JE24=1,30,0),ABS(15-$HI24)*100)),100000+ABS(3-$HH24)*1000+150)))-IF((63=$HJ24)+(63=$HK24)+(63=$HL24)+(63=$HM24)+(63=$HN24)+(63=$HO24)&gt;=2,50,0))+BN$5*50)</f>
        <v/>
      </c>
      <c r="BO144">
        <f>IF(OR($JF24=0,calcA!$A$6=0),0,IF(OR(64=$HA24,64=$HD24,64=$HG24),200000,MIN(IF($HA24=0,999999,IF(3=$HB24,IF(64=$HJ24,IF($JC24=2,30,0),IF(64=$HK24,IF($JC24=1,30,0),ABS(16-$HC24)*100)),100000+ABS(3-$HB24)*1000+160)),IF($HD24=0,999999,IF(3=$HE24,IF(64=$HL24,IF($JD24=2,30,0),IF(64=$HM24,IF($JD24=1,30,0),ABS(16-$HF24)*100)),100000+ABS(3-$HE24)*1000+160)),IF($HG24=0,999999,IF(3=$HH24,IF(64=$HN24,IF($JE24=2,30,0),IF(64=$HO24,IF($JE24=1,30,0),ABS(16-$HI24)*100)),100000+ABS(3-$HH24)*1000+160)))-IF((64=$HJ24)+(64=$HK24)+(64=$HL24)+(64=$HM24)+(64=$HN24)+(64=$HO24)&gt;=2,50,0))+BO$5*50)</f>
        <v/>
      </c>
      <c r="BP144">
        <f>IF(OR($JF24=0,calcA!$A$6=0),0,IF(OR(65=$HA24,65=$HD24,65=$HG24),200000,MIN(IF($HA24=0,999999,IF(3=$HB24,IF(65=$HJ24,IF($JC24=2,30,0),IF(65=$HK24,IF($JC24=1,30,0),ABS(17-$HC24)*100)),100000+ABS(3-$HB24)*1000+170)),IF($HD24=0,999999,IF(3=$HE24,IF(65=$HL24,IF($JD24=2,30,0),IF(65=$HM24,IF($JD24=1,30,0),ABS(17-$HF24)*100)),100000+ABS(3-$HE24)*1000+170)),IF($HG24=0,999999,IF(3=$HH24,IF(65=$HN24,IF($JE24=2,30,0),IF(65=$HO24,IF($JE24=1,30,0),ABS(17-$HI24)*100)),100000+ABS(3-$HH24)*1000+170)))-IF((65=$HJ24)+(65=$HK24)+(65=$HL24)+(65=$HM24)+(65=$HN24)+(65=$HO24)&gt;=2,50,0))+BP$5*50)</f>
        <v/>
      </c>
      <c r="BQ144">
        <f>IF(OR($JF24=0,calcA!$A$6=0),0,IF(OR(66=$HA24,66=$HD24,66=$HG24),200000,MIN(IF($HA24=0,999999,IF(3=$HB24,IF(66=$HJ24,IF($JC24=2,30,0),IF(66=$HK24,IF($JC24=1,30,0),ABS(18-$HC24)*100)),100000+ABS(3-$HB24)*1000+180)),IF($HD24=0,999999,IF(3=$HE24,IF(66=$HL24,IF($JD24=2,30,0),IF(66=$HM24,IF($JD24=1,30,0),ABS(18-$HF24)*100)),100000+ABS(3-$HE24)*1000+180)),IF($HG24=0,999999,IF(3=$HH24,IF(66=$HN24,IF($JE24=2,30,0),IF(66=$HO24,IF($JE24=1,30,0),ABS(18-$HI24)*100)),100000+ABS(3-$HH24)*1000+180)))-IF((66=$HJ24)+(66=$HK24)+(66=$HL24)+(66=$HM24)+(66=$HN24)+(66=$HO24)&gt;=2,50,0))+BQ$5*50)</f>
        <v/>
      </c>
      <c r="BR144">
        <f>IF(OR($JF24=0,calcA!$A$6=0),0,IF(OR(67=$HA24,67=$HD24,67=$HG24),200000,MIN(IF($HA24=0,999999,IF(3=$HB24,IF(67=$HJ24,IF($JC24=2,30,0),IF(67=$HK24,IF($JC24=1,30,0),ABS(19-$HC24)*100)),100000+ABS(3-$HB24)*1000+190)),IF($HD24=0,999999,IF(3=$HE24,IF(67=$HL24,IF($JD24=2,30,0),IF(67=$HM24,IF($JD24=1,30,0),ABS(19-$HF24)*100)),100000+ABS(3-$HE24)*1000+190)),IF($HG24=0,999999,IF(3=$HH24,IF(67=$HN24,IF($JE24=2,30,0),IF(67=$HO24,IF($JE24=1,30,0),ABS(19-$HI24)*100)),100000+ABS(3-$HH24)*1000+190)))-IF((67=$HJ24)+(67=$HK24)+(67=$HL24)+(67=$HM24)+(67=$HN24)+(67=$HO24)&gt;=2,50,0))+BR$5*50)</f>
        <v/>
      </c>
      <c r="BS144">
        <f>IF(OR($JF24=0,calcA!$A$6=0),0,IF(OR(68=$HA24,68=$HD24,68=$HG24),200000,MIN(IF($HA24=0,999999,IF(3=$HB24,IF(68=$HJ24,IF($JC24=2,30,0),IF(68=$HK24,IF($JC24=1,30,0),ABS(20-$HC24)*100)),100000+ABS(3-$HB24)*1000+200)),IF($HD24=0,999999,IF(3=$HE24,IF(68=$HL24,IF($JD24=2,30,0),IF(68=$HM24,IF($JD24=1,30,0),ABS(20-$HF24)*100)),100000+ABS(3-$HE24)*1000+200)),IF($HG24=0,999999,IF(3=$HH24,IF(68=$HN24,IF($JE24=2,30,0),IF(68=$HO24,IF($JE24=1,30,0),ABS(20-$HI24)*100)),100000+ABS(3-$HH24)*1000+200)))-IF((68=$HJ24)+(68=$HK24)+(68=$HL24)+(68=$HM24)+(68=$HN24)+(68=$HO24)&gt;=2,50,0))+BS$5*50)</f>
        <v/>
      </c>
      <c r="BT144">
        <f>IF(OR($JF24=0,calcA!$A$6=0),0,IF(OR(69=$HA24,69=$HD24,69=$HG24),200000,MIN(IF($HA24=0,999999,IF(3=$HB24,IF(69=$HJ24,IF($JC24=2,30,0),IF(69=$HK24,IF($JC24=1,30,0),ABS(21-$HC24)*100)),100000+ABS(3-$HB24)*1000+210)),IF($HD24=0,999999,IF(3=$HE24,IF(69=$HL24,IF($JD24=2,30,0),IF(69=$HM24,IF($JD24=1,30,0),ABS(21-$HF24)*100)),100000+ABS(3-$HE24)*1000+210)),IF($HG24=0,999999,IF(3=$HH24,IF(69=$HN24,IF($JE24=2,30,0),IF(69=$HO24,IF($JE24=1,30,0),ABS(21-$HI24)*100)),100000+ABS(3-$HH24)*1000+210)))-IF((69=$HJ24)+(69=$HK24)+(69=$HL24)+(69=$HM24)+(69=$HN24)+(69=$HO24)&gt;=2,50,0))+BT$5*50)</f>
        <v/>
      </c>
      <c r="BU144">
        <f>IF(OR($JF24=0,calcA!$A$6=0),0,IF(OR(70=$HA24,70=$HD24,70=$HG24),200000,MIN(IF($HA24=0,999999,IF(3=$HB24,IF(70=$HJ24,IF($JC24=2,30,0),IF(70=$HK24,IF($JC24=1,30,0),ABS(22-$HC24)*100)),100000+ABS(3-$HB24)*1000+220)),IF($HD24=0,999999,IF(3=$HE24,IF(70=$HL24,IF($JD24=2,30,0),IF(70=$HM24,IF($JD24=1,30,0),ABS(22-$HF24)*100)),100000+ABS(3-$HE24)*1000+220)),IF($HG24=0,999999,IF(3=$HH24,IF(70=$HN24,IF($JE24=2,30,0),IF(70=$HO24,IF($JE24=1,30,0),ABS(22-$HI24)*100)),100000+ABS(3-$HH24)*1000+220)))-IF((70=$HJ24)+(70=$HK24)+(70=$HL24)+(70=$HM24)+(70=$HN24)+(70=$HO24)&gt;=2,50,0))+BU$5*50)</f>
        <v/>
      </c>
      <c r="BV144">
        <f>IF(OR($JF24=0,calcA!$A$6=0),0,IF(OR(71=$HA24,71=$HD24,71=$HG24),200000,MIN(IF($HA24=0,999999,IF(3=$HB24,IF(71=$HJ24,IF($JC24=2,30,0),IF(71=$HK24,IF($JC24=1,30,0),ABS(23-$HC24)*100)),100000+ABS(3-$HB24)*1000+230)),IF($HD24=0,999999,IF(3=$HE24,IF(71=$HL24,IF($JD24=2,30,0),IF(71=$HM24,IF($JD24=1,30,0),ABS(23-$HF24)*100)),100000+ABS(3-$HE24)*1000+230)),IF($HG24=0,999999,IF(3=$HH24,IF(71=$HN24,IF($JE24=2,30,0),IF(71=$HO24,IF($JE24=1,30,0),ABS(23-$HI24)*100)),100000+ABS(3-$HH24)*1000+230)))-IF((71=$HJ24)+(71=$HK24)+(71=$HL24)+(71=$HM24)+(71=$HN24)+(71=$HO24)&gt;=2,50,0))+BV$5*50)</f>
        <v/>
      </c>
      <c r="BW144">
        <f>IF(OR($JF24=0,calcA!$A$6=0),0,IF(OR(72=$HA24,72=$HD24,72=$HG24),200000,MIN(IF($HA24=0,999999,IF(3=$HB24,IF(72=$HJ24,IF($JC24=2,30,0),IF(72=$HK24,IF($JC24=1,30,0),ABS(24-$HC24)*100)),100000+ABS(3-$HB24)*1000+240)),IF($HD24=0,999999,IF(3=$HE24,IF(72=$HL24,IF($JD24=2,30,0),IF(72=$HM24,IF($JD24=1,30,0),ABS(24-$HF24)*100)),100000+ABS(3-$HE24)*1000+240)),IF($HG24=0,999999,IF(3=$HH24,IF(72=$HN24,IF($JE24=2,30,0),IF(72=$HO24,IF($JE24=1,30,0),ABS(24-$HI24)*100)),100000+ABS(3-$HH24)*1000+240)))-IF((72=$HJ24)+(72=$HK24)+(72=$HL24)+(72=$HM24)+(72=$HN24)+(72=$HO24)&gt;=2,50,0))+BW$5*50)</f>
        <v/>
      </c>
      <c r="BX144">
        <f>IF(OR($JF24=0,calcA!$A$6=0),0,IF(OR(73=$HA24,73=$HD24,73=$HG24),200000,MIN(IF($HA24=0,999999,IF(4=$HB24,IF(73=$HJ24,IF($JC24=2,30,0),IF(73=$HK24,IF($JC24=1,30,0),ABS(1-$HC24)*100)),100000+ABS(4-$HB24)*1000+10)),IF($HD24=0,999999,IF(4=$HE24,IF(73=$HL24,IF($JD24=2,30,0),IF(73=$HM24,IF($JD24=1,30,0),ABS(1-$HF24)*100)),100000+ABS(4-$HE24)*1000+10)),IF($HG24=0,999999,IF(4=$HH24,IF(73=$HN24,IF($JE24=2,30,0),IF(73=$HO24,IF($JE24=1,30,0),ABS(1-$HI24)*100)),100000+ABS(4-$HH24)*1000+10)))-IF((73=$HJ24)+(73=$HK24)+(73=$HL24)+(73=$HM24)+(73=$HN24)+(73=$HO24)&gt;=2,50,0))+BX$5*50)</f>
        <v/>
      </c>
      <c r="BY144">
        <f>IF(OR($JF24=0,calcA!$A$6=0),0,IF(OR(74=$HA24,74=$HD24,74=$HG24),200000,MIN(IF($HA24=0,999999,IF(4=$HB24,IF(74=$HJ24,IF($JC24=2,30,0),IF(74=$HK24,IF($JC24=1,30,0),ABS(2-$HC24)*100)),100000+ABS(4-$HB24)*1000+20)),IF($HD24=0,999999,IF(4=$HE24,IF(74=$HL24,IF($JD24=2,30,0),IF(74=$HM24,IF($JD24=1,30,0),ABS(2-$HF24)*100)),100000+ABS(4-$HE24)*1000+20)),IF($HG24=0,999999,IF(4=$HH24,IF(74=$HN24,IF($JE24=2,30,0),IF(74=$HO24,IF($JE24=1,30,0),ABS(2-$HI24)*100)),100000+ABS(4-$HH24)*1000+20)))-IF((74=$HJ24)+(74=$HK24)+(74=$HL24)+(74=$HM24)+(74=$HN24)+(74=$HO24)&gt;=2,50,0))+BY$5*50)</f>
        <v/>
      </c>
      <c r="BZ144">
        <f>IF(OR($JF24=0,calcA!$A$6=0),0,IF(OR(75=$HA24,75=$HD24,75=$HG24),200000,MIN(IF($HA24=0,999999,IF(4=$HB24,IF(75=$HJ24,IF($JC24=2,30,0),IF(75=$HK24,IF($JC24=1,30,0),ABS(3-$HC24)*100)),100000+ABS(4-$HB24)*1000+30)),IF($HD24=0,999999,IF(4=$HE24,IF(75=$HL24,IF($JD24=2,30,0),IF(75=$HM24,IF($JD24=1,30,0),ABS(3-$HF24)*100)),100000+ABS(4-$HE24)*1000+30)),IF($HG24=0,999999,IF(4=$HH24,IF(75=$HN24,IF($JE24=2,30,0),IF(75=$HO24,IF($JE24=1,30,0),ABS(3-$HI24)*100)),100000+ABS(4-$HH24)*1000+30)))-IF((75=$HJ24)+(75=$HK24)+(75=$HL24)+(75=$HM24)+(75=$HN24)+(75=$HO24)&gt;=2,50,0))+BZ$5*50)</f>
        <v/>
      </c>
      <c r="CA144">
        <f>IF(OR($JF24=0,calcA!$A$6=0),0,IF(OR(76=$HA24,76=$HD24,76=$HG24),200000,MIN(IF($HA24=0,999999,IF(4=$HB24,IF(76=$HJ24,IF($JC24=2,30,0),IF(76=$HK24,IF($JC24=1,30,0),ABS(4-$HC24)*100)),100000+ABS(4-$HB24)*1000+40)),IF($HD24=0,999999,IF(4=$HE24,IF(76=$HL24,IF($JD24=2,30,0),IF(76=$HM24,IF($JD24=1,30,0),ABS(4-$HF24)*100)),100000+ABS(4-$HE24)*1000+40)),IF($HG24=0,999999,IF(4=$HH24,IF(76=$HN24,IF($JE24=2,30,0),IF(76=$HO24,IF($JE24=1,30,0),ABS(4-$HI24)*100)),100000+ABS(4-$HH24)*1000+40)))-IF((76=$HJ24)+(76=$HK24)+(76=$HL24)+(76=$HM24)+(76=$HN24)+(76=$HO24)&gt;=2,50,0))+CA$5*50)</f>
        <v/>
      </c>
      <c r="CB144">
        <f>IF(OR($JF24=0,calcA!$A$6=0),0,IF(OR(77=$HA24,77=$HD24,77=$HG24),200000,MIN(IF($HA24=0,999999,IF(4=$HB24,IF(77=$HJ24,IF($JC24=2,30,0),IF(77=$HK24,IF($JC24=1,30,0),ABS(5-$HC24)*100)),100000+ABS(4-$HB24)*1000+50)),IF($HD24=0,999999,IF(4=$HE24,IF(77=$HL24,IF($JD24=2,30,0),IF(77=$HM24,IF($JD24=1,30,0),ABS(5-$HF24)*100)),100000+ABS(4-$HE24)*1000+50)),IF($HG24=0,999999,IF(4=$HH24,IF(77=$HN24,IF($JE24=2,30,0),IF(77=$HO24,IF($JE24=1,30,0),ABS(5-$HI24)*100)),100000+ABS(4-$HH24)*1000+50)))-IF((77=$HJ24)+(77=$HK24)+(77=$HL24)+(77=$HM24)+(77=$HN24)+(77=$HO24)&gt;=2,50,0))+CB$5*50)</f>
        <v/>
      </c>
      <c r="CC144">
        <f>IF(OR($JF24=0,calcA!$A$6=0),0,IF(OR(78=$HA24,78=$HD24,78=$HG24),200000,MIN(IF($HA24=0,999999,IF(4=$HB24,IF(78=$HJ24,IF($JC24=2,30,0),IF(78=$HK24,IF($JC24=1,30,0),ABS(6-$HC24)*100)),100000+ABS(4-$HB24)*1000+60)),IF($HD24=0,999999,IF(4=$HE24,IF(78=$HL24,IF($JD24=2,30,0),IF(78=$HM24,IF($JD24=1,30,0),ABS(6-$HF24)*100)),100000+ABS(4-$HE24)*1000+60)),IF($HG24=0,999999,IF(4=$HH24,IF(78=$HN24,IF($JE24=2,30,0),IF(78=$HO24,IF($JE24=1,30,0),ABS(6-$HI24)*100)),100000+ABS(4-$HH24)*1000+60)))-IF((78=$HJ24)+(78=$HK24)+(78=$HL24)+(78=$HM24)+(78=$HN24)+(78=$HO24)&gt;=2,50,0))+CC$5*50)</f>
        <v/>
      </c>
      <c r="CD144">
        <f>IF(OR($JF24=0,calcA!$A$6=0),0,IF(OR(79=$HA24,79=$HD24,79=$HG24),200000,MIN(IF($HA24=0,999999,IF(4=$HB24,IF(79=$HJ24,IF($JC24=2,30,0),IF(79=$HK24,IF($JC24=1,30,0),ABS(7-$HC24)*100)),100000+ABS(4-$HB24)*1000+70)),IF($HD24=0,999999,IF(4=$HE24,IF(79=$HL24,IF($JD24=2,30,0),IF(79=$HM24,IF($JD24=1,30,0),ABS(7-$HF24)*100)),100000+ABS(4-$HE24)*1000+70)),IF($HG24=0,999999,IF(4=$HH24,IF(79=$HN24,IF($JE24=2,30,0),IF(79=$HO24,IF($JE24=1,30,0),ABS(7-$HI24)*100)),100000+ABS(4-$HH24)*1000+70)))-IF((79=$HJ24)+(79=$HK24)+(79=$HL24)+(79=$HM24)+(79=$HN24)+(79=$HO24)&gt;=2,50,0))+CD$5*50)</f>
        <v/>
      </c>
      <c r="CE144">
        <f>IF(OR($JF24=0,calcA!$A$6=0),0,IF(OR(80=$HA24,80=$HD24,80=$HG24),200000,MIN(IF($HA24=0,999999,IF(4=$HB24,IF(80=$HJ24,IF($JC24=2,30,0),IF(80=$HK24,IF($JC24=1,30,0),ABS(8-$HC24)*100)),100000+ABS(4-$HB24)*1000+80)),IF($HD24=0,999999,IF(4=$HE24,IF(80=$HL24,IF($JD24=2,30,0),IF(80=$HM24,IF($JD24=1,30,0),ABS(8-$HF24)*100)),100000+ABS(4-$HE24)*1000+80)),IF($HG24=0,999999,IF(4=$HH24,IF(80=$HN24,IF($JE24=2,30,0),IF(80=$HO24,IF($JE24=1,30,0),ABS(8-$HI24)*100)),100000+ABS(4-$HH24)*1000+80)))-IF((80=$HJ24)+(80=$HK24)+(80=$HL24)+(80=$HM24)+(80=$HN24)+(80=$HO24)&gt;=2,50,0))+CE$5*50)</f>
        <v/>
      </c>
      <c r="CF144">
        <f>IF(OR($JF24=0,calcA!$A$6=0),0,IF(OR(81=$HA24,81=$HD24,81=$HG24),200000,MIN(IF($HA24=0,999999,IF(4=$HB24,IF(81=$HJ24,IF($JC24=2,30,0),IF(81=$HK24,IF($JC24=1,30,0),ABS(9-$HC24)*100)),100000+ABS(4-$HB24)*1000+90)),IF($HD24=0,999999,IF(4=$HE24,IF(81=$HL24,IF($JD24=2,30,0),IF(81=$HM24,IF($JD24=1,30,0),ABS(9-$HF24)*100)),100000+ABS(4-$HE24)*1000+90)),IF($HG24=0,999999,IF(4=$HH24,IF(81=$HN24,IF($JE24=2,30,0),IF(81=$HO24,IF($JE24=1,30,0),ABS(9-$HI24)*100)),100000+ABS(4-$HH24)*1000+90)))-IF((81=$HJ24)+(81=$HK24)+(81=$HL24)+(81=$HM24)+(81=$HN24)+(81=$HO24)&gt;=2,50,0))+CF$5*50)</f>
        <v/>
      </c>
      <c r="CG144">
        <f>IF(OR($JF24=0,calcA!$A$6=0),0,IF(OR(82=$HA24,82=$HD24,82=$HG24),200000,MIN(IF($HA24=0,999999,IF(4=$HB24,IF(82=$HJ24,IF($JC24=2,30,0),IF(82=$HK24,IF($JC24=1,30,0),ABS(10-$HC24)*100)),100000+ABS(4-$HB24)*1000+100)),IF($HD24=0,999999,IF(4=$HE24,IF(82=$HL24,IF($JD24=2,30,0),IF(82=$HM24,IF($JD24=1,30,0),ABS(10-$HF24)*100)),100000+ABS(4-$HE24)*1000+100)),IF($HG24=0,999999,IF(4=$HH24,IF(82=$HN24,IF($JE24=2,30,0),IF(82=$HO24,IF($JE24=1,30,0),ABS(10-$HI24)*100)),100000+ABS(4-$HH24)*1000+100)))-IF((82=$HJ24)+(82=$HK24)+(82=$HL24)+(82=$HM24)+(82=$HN24)+(82=$HO24)&gt;=2,50,0))+CG$5*50)</f>
        <v/>
      </c>
      <c r="CH144">
        <f>IF(OR($JF24=0,calcA!$A$6=0),0,IF(OR(83=$HA24,83=$HD24,83=$HG24),200000,MIN(IF($HA24=0,999999,IF(4=$HB24,IF(83=$HJ24,IF($JC24=2,30,0),IF(83=$HK24,IF($JC24=1,30,0),ABS(11-$HC24)*100)),100000+ABS(4-$HB24)*1000+110)),IF($HD24=0,999999,IF(4=$HE24,IF(83=$HL24,IF($JD24=2,30,0),IF(83=$HM24,IF($JD24=1,30,0),ABS(11-$HF24)*100)),100000+ABS(4-$HE24)*1000+110)),IF($HG24=0,999999,IF(4=$HH24,IF(83=$HN24,IF($JE24=2,30,0),IF(83=$HO24,IF($JE24=1,30,0),ABS(11-$HI24)*100)),100000+ABS(4-$HH24)*1000+110)))-IF((83=$HJ24)+(83=$HK24)+(83=$HL24)+(83=$HM24)+(83=$HN24)+(83=$HO24)&gt;=2,50,0))+CH$5*50)</f>
        <v/>
      </c>
      <c r="CI144">
        <f>IF(OR($JF24=0,calcA!$A$6=0),0,IF(OR(84=$HA24,84=$HD24,84=$HG24),200000,MIN(IF($HA24=0,999999,IF(4=$HB24,IF(84=$HJ24,IF($JC24=2,30,0),IF(84=$HK24,IF($JC24=1,30,0),ABS(12-$HC24)*100)),100000+ABS(4-$HB24)*1000+120)),IF($HD24=0,999999,IF(4=$HE24,IF(84=$HL24,IF($JD24=2,30,0),IF(84=$HM24,IF($JD24=1,30,0),ABS(12-$HF24)*100)),100000+ABS(4-$HE24)*1000+120)),IF($HG24=0,999999,IF(4=$HH24,IF(84=$HN24,IF($JE24=2,30,0),IF(84=$HO24,IF($JE24=1,30,0),ABS(12-$HI24)*100)),100000+ABS(4-$HH24)*1000+120)))-IF((84=$HJ24)+(84=$HK24)+(84=$HL24)+(84=$HM24)+(84=$HN24)+(84=$HO24)&gt;=2,50,0))+CI$5*50)</f>
        <v/>
      </c>
      <c r="CJ144">
        <f>IF(OR($JF24=0,calcA!$A$6=0),0,IF(OR(85=$HA24,85=$HD24,85=$HG24),200000,MIN(IF($HA24=0,999999,IF(4=$HB24,IF(85=$HJ24,IF($JC24=2,30,0),IF(85=$HK24,IF($JC24=1,30,0),ABS(13-$HC24)*100)),100000+ABS(4-$HB24)*1000+130)),IF($HD24=0,999999,IF(4=$HE24,IF(85=$HL24,IF($JD24=2,30,0),IF(85=$HM24,IF($JD24=1,30,0),ABS(13-$HF24)*100)),100000+ABS(4-$HE24)*1000+130)),IF($HG24=0,999999,IF(4=$HH24,IF(85=$HN24,IF($JE24=2,30,0),IF(85=$HO24,IF($JE24=1,30,0),ABS(13-$HI24)*100)),100000+ABS(4-$HH24)*1000+130)))-IF((85=$HJ24)+(85=$HK24)+(85=$HL24)+(85=$HM24)+(85=$HN24)+(85=$HO24)&gt;=2,50,0))+CJ$5*50)</f>
        <v/>
      </c>
      <c r="CK144">
        <f>IF(OR($JF24=0,calcA!$A$6=0),0,IF(OR(86=$HA24,86=$HD24,86=$HG24),200000,MIN(IF($HA24=0,999999,IF(4=$HB24,IF(86=$HJ24,IF($JC24=2,30,0),IF(86=$HK24,IF($JC24=1,30,0),ABS(14-$HC24)*100)),100000+ABS(4-$HB24)*1000+140)),IF($HD24=0,999999,IF(4=$HE24,IF(86=$HL24,IF($JD24=2,30,0),IF(86=$HM24,IF($JD24=1,30,0),ABS(14-$HF24)*100)),100000+ABS(4-$HE24)*1000+140)),IF($HG24=0,999999,IF(4=$HH24,IF(86=$HN24,IF($JE24=2,30,0),IF(86=$HO24,IF($JE24=1,30,0),ABS(14-$HI24)*100)),100000+ABS(4-$HH24)*1000+140)))-IF((86=$HJ24)+(86=$HK24)+(86=$HL24)+(86=$HM24)+(86=$HN24)+(86=$HO24)&gt;=2,50,0))+CK$5*50)</f>
        <v/>
      </c>
      <c r="CL144">
        <f>IF(OR($JF24=0,calcA!$A$6=0),0,IF(OR(87=$HA24,87=$HD24,87=$HG24),200000,MIN(IF($HA24=0,999999,IF(4=$HB24,IF(87=$HJ24,IF($JC24=2,30,0),IF(87=$HK24,IF($JC24=1,30,0),ABS(15-$HC24)*100)),100000+ABS(4-$HB24)*1000+150)),IF($HD24=0,999999,IF(4=$HE24,IF(87=$HL24,IF($JD24=2,30,0),IF(87=$HM24,IF($JD24=1,30,0),ABS(15-$HF24)*100)),100000+ABS(4-$HE24)*1000+150)),IF($HG24=0,999999,IF(4=$HH24,IF(87=$HN24,IF($JE24=2,30,0),IF(87=$HO24,IF($JE24=1,30,0),ABS(15-$HI24)*100)),100000+ABS(4-$HH24)*1000+150)))-IF((87=$HJ24)+(87=$HK24)+(87=$HL24)+(87=$HM24)+(87=$HN24)+(87=$HO24)&gt;=2,50,0))+CL$5*50)</f>
        <v/>
      </c>
      <c r="CM144">
        <f>IF(OR($JF24=0,calcA!$A$6=0),0,IF(OR(88=$HA24,88=$HD24,88=$HG24),200000,MIN(IF($HA24=0,999999,IF(4=$HB24,IF(88=$HJ24,IF($JC24=2,30,0),IF(88=$HK24,IF($JC24=1,30,0),ABS(16-$HC24)*100)),100000+ABS(4-$HB24)*1000+160)),IF($HD24=0,999999,IF(4=$HE24,IF(88=$HL24,IF($JD24=2,30,0),IF(88=$HM24,IF($JD24=1,30,0),ABS(16-$HF24)*100)),100000+ABS(4-$HE24)*1000+160)),IF($HG24=0,999999,IF(4=$HH24,IF(88=$HN24,IF($JE24=2,30,0),IF(88=$HO24,IF($JE24=1,30,0),ABS(16-$HI24)*100)),100000+ABS(4-$HH24)*1000+160)))-IF((88=$HJ24)+(88=$HK24)+(88=$HL24)+(88=$HM24)+(88=$HN24)+(88=$HO24)&gt;=2,50,0))+CM$5*50)</f>
        <v/>
      </c>
      <c r="CN144">
        <f>IF(OR($JF24=0,calcA!$A$6=0),0,IF(OR(89=$HA24,89=$HD24,89=$HG24),200000,MIN(IF($HA24=0,999999,IF(4=$HB24,IF(89=$HJ24,IF($JC24=2,30,0),IF(89=$HK24,IF($JC24=1,30,0),ABS(17-$HC24)*100)),100000+ABS(4-$HB24)*1000+170)),IF($HD24=0,999999,IF(4=$HE24,IF(89=$HL24,IF($JD24=2,30,0),IF(89=$HM24,IF($JD24=1,30,0),ABS(17-$HF24)*100)),100000+ABS(4-$HE24)*1000+170)),IF($HG24=0,999999,IF(4=$HH24,IF(89=$HN24,IF($JE24=2,30,0),IF(89=$HO24,IF($JE24=1,30,0),ABS(17-$HI24)*100)),100000+ABS(4-$HH24)*1000+170)))-IF((89=$HJ24)+(89=$HK24)+(89=$HL24)+(89=$HM24)+(89=$HN24)+(89=$HO24)&gt;=2,50,0))+CN$5*50)</f>
        <v/>
      </c>
      <c r="CO144">
        <f>IF(OR($JF24=0,calcA!$A$6=0),0,IF(OR(90=$HA24,90=$HD24,90=$HG24),200000,MIN(IF($HA24=0,999999,IF(4=$HB24,IF(90=$HJ24,IF($JC24=2,30,0),IF(90=$HK24,IF($JC24=1,30,0),ABS(18-$HC24)*100)),100000+ABS(4-$HB24)*1000+180)),IF($HD24=0,999999,IF(4=$HE24,IF(90=$HL24,IF($JD24=2,30,0),IF(90=$HM24,IF($JD24=1,30,0),ABS(18-$HF24)*100)),100000+ABS(4-$HE24)*1000+180)),IF($HG24=0,999999,IF(4=$HH24,IF(90=$HN24,IF($JE24=2,30,0),IF(90=$HO24,IF($JE24=1,30,0),ABS(18-$HI24)*100)),100000+ABS(4-$HH24)*1000+180)))-IF((90=$HJ24)+(90=$HK24)+(90=$HL24)+(90=$HM24)+(90=$HN24)+(90=$HO24)&gt;=2,50,0))+CO$5*50)</f>
        <v/>
      </c>
      <c r="CP144">
        <f>IF(OR($JF24=0,calcA!$A$6=0),0,IF(OR(91=$HA24,91=$HD24,91=$HG24),200000,MIN(IF($HA24=0,999999,IF(4=$HB24,IF(91=$HJ24,IF($JC24=2,30,0),IF(91=$HK24,IF($JC24=1,30,0),ABS(19-$HC24)*100)),100000+ABS(4-$HB24)*1000+190)),IF($HD24=0,999999,IF(4=$HE24,IF(91=$HL24,IF($JD24=2,30,0),IF(91=$HM24,IF($JD24=1,30,0),ABS(19-$HF24)*100)),100000+ABS(4-$HE24)*1000+190)),IF($HG24=0,999999,IF(4=$HH24,IF(91=$HN24,IF($JE24=2,30,0),IF(91=$HO24,IF($JE24=1,30,0),ABS(19-$HI24)*100)),100000+ABS(4-$HH24)*1000+190)))-IF((91=$HJ24)+(91=$HK24)+(91=$HL24)+(91=$HM24)+(91=$HN24)+(91=$HO24)&gt;=2,50,0))+CP$5*50)</f>
        <v/>
      </c>
      <c r="CQ144">
        <f>IF(OR($JF24=0,calcA!$A$6=0),0,IF(OR(92=$HA24,92=$HD24,92=$HG24),200000,MIN(IF($HA24=0,999999,IF(4=$HB24,IF(92=$HJ24,IF($JC24=2,30,0),IF(92=$HK24,IF($JC24=1,30,0),ABS(20-$HC24)*100)),100000+ABS(4-$HB24)*1000+200)),IF($HD24=0,999999,IF(4=$HE24,IF(92=$HL24,IF($JD24=2,30,0),IF(92=$HM24,IF($JD24=1,30,0),ABS(20-$HF24)*100)),100000+ABS(4-$HE24)*1000+200)),IF($HG24=0,999999,IF(4=$HH24,IF(92=$HN24,IF($JE24=2,30,0),IF(92=$HO24,IF($JE24=1,30,0),ABS(20-$HI24)*100)),100000+ABS(4-$HH24)*1000+200)))-IF((92=$HJ24)+(92=$HK24)+(92=$HL24)+(92=$HM24)+(92=$HN24)+(92=$HO24)&gt;=2,50,0))+CQ$5*50)</f>
        <v/>
      </c>
      <c r="CR144">
        <f>IF(OR($JF24=0,calcA!$A$6=0),0,IF(OR(93=$HA24,93=$HD24,93=$HG24),200000,MIN(IF($HA24=0,999999,IF(4=$HB24,IF(93=$HJ24,IF($JC24=2,30,0),IF(93=$HK24,IF($JC24=1,30,0),ABS(21-$HC24)*100)),100000+ABS(4-$HB24)*1000+210)),IF($HD24=0,999999,IF(4=$HE24,IF(93=$HL24,IF($JD24=2,30,0),IF(93=$HM24,IF($JD24=1,30,0),ABS(21-$HF24)*100)),100000+ABS(4-$HE24)*1000+210)),IF($HG24=0,999999,IF(4=$HH24,IF(93=$HN24,IF($JE24=2,30,0),IF(93=$HO24,IF($JE24=1,30,0),ABS(21-$HI24)*100)),100000+ABS(4-$HH24)*1000+210)))-IF((93=$HJ24)+(93=$HK24)+(93=$HL24)+(93=$HM24)+(93=$HN24)+(93=$HO24)&gt;=2,50,0))+CR$5*50)</f>
        <v/>
      </c>
      <c r="CS144">
        <f>IF(OR($JF24=0,calcA!$A$6=0),0,IF(OR(94=$HA24,94=$HD24,94=$HG24),200000,MIN(IF($HA24=0,999999,IF(4=$HB24,IF(94=$HJ24,IF($JC24=2,30,0),IF(94=$HK24,IF($JC24=1,30,0),ABS(22-$HC24)*100)),100000+ABS(4-$HB24)*1000+220)),IF($HD24=0,999999,IF(4=$HE24,IF(94=$HL24,IF($JD24=2,30,0),IF(94=$HM24,IF($JD24=1,30,0),ABS(22-$HF24)*100)),100000+ABS(4-$HE24)*1000+220)),IF($HG24=0,999999,IF(4=$HH24,IF(94=$HN24,IF($JE24=2,30,0),IF(94=$HO24,IF($JE24=1,30,0),ABS(22-$HI24)*100)),100000+ABS(4-$HH24)*1000+220)))-IF((94=$HJ24)+(94=$HK24)+(94=$HL24)+(94=$HM24)+(94=$HN24)+(94=$HO24)&gt;=2,50,0))+CS$5*50)</f>
        <v/>
      </c>
      <c r="CT144">
        <f>IF(OR($JF24=0,calcA!$A$6=0),0,IF(OR(95=$HA24,95=$HD24,95=$HG24),200000,MIN(IF($HA24=0,999999,IF(4=$HB24,IF(95=$HJ24,IF($JC24=2,30,0),IF(95=$HK24,IF($JC24=1,30,0),ABS(23-$HC24)*100)),100000+ABS(4-$HB24)*1000+230)),IF($HD24=0,999999,IF(4=$HE24,IF(95=$HL24,IF($JD24=2,30,0),IF(95=$HM24,IF($JD24=1,30,0),ABS(23-$HF24)*100)),100000+ABS(4-$HE24)*1000+230)),IF($HG24=0,999999,IF(4=$HH24,IF(95=$HN24,IF($JE24=2,30,0),IF(95=$HO24,IF($JE24=1,30,0),ABS(23-$HI24)*100)),100000+ABS(4-$HH24)*1000+230)))-IF((95=$HJ24)+(95=$HK24)+(95=$HL24)+(95=$HM24)+(95=$HN24)+(95=$HO24)&gt;=2,50,0))+CT$5*50)</f>
        <v/>
      </c>
      <c r="CU144">
        <f>IF(OR($JF24=0,calcA!$A$6=0),0,IF(OR(96=$HA24,96=$HD24,96=$HG24),200000,MIN(IF($HA24=0,999999,IF(4=$HB24,IF(96=$HJ24,IF($JC24=2,30,0),IF(96=$HK24,IF($JC24=1,30,0),ABS(24-$HC24)*100)),100000+ABS(4-$HB24)*1000+240)),IF($HD24=0,999999,IF(4=$HE24,IF(96=$HL24,IF($JD24=2,30,0),IF(96=$HM24,IF($JD24=1,30,0),ABS(24-$HF24)*100)),100000+ABS(4-$HE24)*1000+240)),IF($HG24=0,999999,IF(4=$HH24,IF(96=$HN24,IF($JE24=2,30,0),IF(96=$HO24,IF($JE24=1,30,0),ABS(24-$HI24)*100)),100000+ABS(4-$HH24)*1000+240)))-IF((96=$HJ24)+(96=$HK24)+(96=$HL24)+(96=$HM24)+(96=$HN24)+(96=$HO24)&gt;=2,50,0))+CU$5*50)</f>
        <v/>
      </c>
      <c r="CV144">
        <f>IF(OR($JF24=0,calcA!$A$6=0),0,IF(OR(97=$HA24,97=$HD24,97=$HG24),200000,MIN(IF($HA24=0,999999,IF(5=$HB24,IF(97=$HJ24,IF($JC24=2,30,0),IF(97=$HK24,IF($JC24=1,30,0),ABS(1-$HC24)*100)),100000+ABS(5-$HB24)*1000+10)),IF($HD24=0,999999,IF(5=$HE24,IF(97=$HL24,IF($JD24=2,30,0),IF(97=$HM24,IF($JD24=1,30,0),ABS(1-$HF24)*100)),100000+ABS(5-$HE24)*1000+10)),IF($HG24=0,999999,IF(5=$HH24,IF(97=$HN24,IF($JE24=2,30,0),IF(97=$HO24,IF($JE24=1,30,0),ABS(1-$HI24)*100)),100000+ABS(5-$HH24)*1000+10)))-IF((97=$HJ24)+(97=$HK24)+(97=$HL24)+(97=$HM24)+(97=$HN24)+(97=$HO24)&gt;=2,50,0))+CV$5*50)</f>
        <v/>
      </c>
      <c r="CW144">
        <f>IF(OR($JF24=0,calcA!$A$6=0),0,IF(OR(98=$HA24,98=$HD24,98=$HG24),200000,MIN(IF($HA24=0,999999,IF(5=$HB24,IF(98=$HJ24,IF($JC24=2,30,0),IF(98=$HK24,IF($JC24=1,30,0),ABS(2-$HC24)*100)),100000+ABS(5-$HB24)*1000+20)),IF($HD24=0,999999,IF(5=$HE24,IF(98=$HL24,IF($JD24=2,30,0),IF(98=$HM24,IF($JD24=1,30,0),ABS(2-$HF24)*100)),100000+ABS(5-$HE24)*1000+20)),IF($HG24=0,999999,IF(5=$HH24,IF(98=$HN24,IF($JE24=2,30,0),IF(98=$HO24,IF($JE24=1,30,0),ABS(2-$HI24)*100)),100000+ABS(5-$HH24)*1000+20)))-IF((98=$HJ24)+(98=$HK24)+(98=$HL24)+(98=$HM24)+(98=$HN24)+(98=$HO24)&gt;=2,50,0))+CW$5*50)</f>
        <v/>
      </c>
      <c r="CX144">
        <f>IF(OR($JF24=0,calcA!$A$6=0),0,IF(OR(99=$HA24,99=$HD24,99=$HG24),200000,MIN(IF($HA24=0,999999,IF(5=$HB24,IF(99=$HJ24,IF($JC24=2,30,0),IF(99=$HK24,IF($JC24=1,30,0),ABS(3-$HC24)*100)),100000+ABS(5-$HB24)*1000+30)),IF($HD24=0,999999,IF(5=$HE24,IF(99=$HL24,IF($JD24=2,30,0),IF(99=$HM24,IF($JD24=1,30,0),ABS(3-$HF24)*100)),100000+ABS(5-$HE24)*1000+30)),IF($HG24=0,999999,IF(5=$HH24,IF(99=$HN24,IF($JE24=2,30,0),IF(99=$HO24,IF($JE24=1,30,0),ABS(3-$HI24)*100)),100000+ABS(5-$HH24)*1000+30)))-IF((99=$HJ24)+(99=$HK24)+(99=$HL24)+(99=$HM24)+(99=$HN24)+(99=$HO24)&gt;=2,50,0))+CX$5*50)</f>
        <v/>
      </c>
      <c r="CY144">
        <f>IF(OR($JF24=0,calcA!$A$6=0),0,IF(OR(100=$HA24,100=$HD24,100=$HG24),200000,MIN(IF($HA24=0,999999,IF(5=$HB24,IF(100=$HJ24,IF($JC24=2,30,0),IF(100=$HK24,IF($JC24=1,30,0),ABS(4-$HC24)*100)),100000+ABS(5-$HB24)*1000+40)),IF($HD24=0,999999,IF(5=$HE24,IF(100=$HL24,IF($JD24=2,30,0),IF(100=$HM24,IF($JD24=1,30,0),ABS(4-$HF24)*100)),100000+ABS(5-$HE24)*1000+40)),IF($HG24=0,999999,IF(5=$HH24,IF(100=$HN24,IF($JE24=2,30,0),IF(100=$HO24,IF($JE24=1,30,0),ABS(4-$HI24)*100)),100000+ABS(5-$HH24)*1000+40)))-IF((100=$HJ24)+(100=$HK24)+(100=$HL24)+(100=$HM24)+(100=$HN24)+(100=$HO24)&gt;=2,50,0))+CY$5*50)</f>
        <v/>
      </c>
      <c r="CZ144">
        <f>IF(OR($JF24=0,calcA!$A$6=0),0,IF(OR(101=$HA24,101=$HD24,101=$HG24),200000,MIN(IF($HA24=0,999999,IF(5=$HB24,IF(101=$HJ24,IF($JC24=2,30,0),IF(101=$HK24,IF($JC24=1,30,0),ABS(5-$HC24)*100)),100000+ABS(5-$HB24)*1000+50)),IF($HD24=0,999999,IF(5=$HE24,IF(101=$HL24,IF($JD24=2,30,0),IF(101=$HM24,IF($JD24=1,30,0),ABS(5-$HF24)*100)),100000+ABS(5-$HE24)*1000+50)),IF($HG24=0,999999,IF(5=$HH24,IF(101=$HN24,IF($JE24=2,30,0),IF(101=$HO24,IF($JE24=1,30,0),ABS(5-$HI24)*100)),100000+ABS(5-$HH24)*1000+50)))-IF((101=$HJ24)+(101=$HK24)+(101=$HL24)+(101=$HM24)+(101=$HN24)+(101=$HO24)&gt;=2,50,0))+CZ$5*50)</f>
        <v/>
      </c>
      <c r="DA144">
        <f>IF(OR($JF24=0,calcA!$A$6=0),0,IF(OR(102=$HA24,102=$HD24,102=$HG24),200000,MIN(IF($HA24=0,999999,IF(5=$HB24,IF(102=$HJ24,IF($JC24=2,30,0),IF(102=$HK24,IF($JC24=1,30,0),ABS(6-$HC24)*100)),100000+ABS(5-$HB24)*1000+60)),IF($HD24=0,999999,IF(5=$HE24,IF(102=$HL24,IF($JD24=2,30,0),IF(102=$HM24,IF($JD24=1,30,0),ABS(6-$HF24)*100)),100000+ABS(5-$HE24)*1000+60)),IF($HG24=0,999999,IF(5=$HH24,IF(102=$HN24,IF($JE24=2,30,0),IF(102=$HO24,IF($JE24=1,30,0),ABS(6-$HI24)*100)),100000+ABS(5-$HH24)*1000+60)))-IF((102=$HJ24)+(102=$HK24)+(102=$HL24)+(102=$HM24)+(102=$HN24)+(102=$HO24)&gt;=2,50,0))+DA$5*50)</f>
        <v/>
      </c>
      <c r="DB144">
        <f>IF(OR($JF24=0,calcA!$A$6=0),0,IF(OR(103=$HA24,103=$HD24,103=$HG24),200000,MIN(IF($HA24=0,999999,IF(5=$HB24,IF(103=$HJ24,IF($JC24=2,30,0),IF(103=$HK24,IF($JC24=1,30,0),ABS(7-$HC24)*100)),100000+ABS(5-$HB24)*1000+70)),IF($HD24=0,999999,IF(5=$HE24,IF(103=$HL24,IF($JD24=2,30,0),IF(103=$HM24,IF($JD24=1,30,0),ABS(7-$HF24)*100)),100000+ABS(5-$HE24)*1000+70)),IF($HG24=0,999999,IF(5=$HH24,IF(103=$HN24,IF($JE24=2,30,0),IF(103=$HO24,IF($JE24=1,30,0),ABS(7-$HI24)*100)),100000+ABS(5-$HH24)*1000+70)))-IF((103=$HJ24)+(103=$HK24)+(103=$HL24)+(103=$HM24)+(103=$HN24)+(103=$HO24)&gt;=2,50,0))+DB$5*50)</f>
        <v/>
      </c>
      <c r="DC144">
        <f>IF(OR($JF24=0,calcA!$A$6=0),0,IF(OR(104=$HA24,104=$HD24,104=$HG24),200000,MIN(IF($HA24=0,999999,IF(5=$HB24,IF(104=$HJ24,IF($JC24=2,30,0),IF(104=$HK24,IF($JC24=1,30,0),ABS(8-$HC24)*100)),100000+ABS(5-$HB24)*1000+80)),IF($HD24=0,999999,IF(5=$HE24,IF(104=$HL24,IF($JD24=2,30,0),IF(104=$HM24,IF($JD24=1,30,0),ABS(8-$HF24)*100)),100000+ABS(5-$HE24)*1000+80)),IF($HG24=0,999999,IF(5=$HH24,IF(104=$HN24,IF($JE24=2,30,0),IF(104=$HO24,IF($JE24=1,30,0),ABS(8-$HI24)*100)),100000+ABS(5-$HH24)*1000+80)))-IF((104=$HJ24)+(104=$HK24)+(104=$HL24)+(104=$HM24)+(104=$HN24)+(104=$HO24)&gt;=2,50,0))+DC$5*50)</f>
        <v/>
      </c>
      <c r="DD144">
        <f>IF(OR($JF24=0,calcA!$A$6=0),0,IF(OR(105=$HA24,105=$HD24,105=$HG24),200000,MIN(IF($HA24=0,999999,IF(5=$HB24,IF(105=$HJ24,IF($JC24=2,30,0),IF(105=$HK24,IF($JC24=1,30,0),ABS(9-$HC24)*100)),100000+ABS(5-$HB24)*1000+90)),IF($HD24=0,999999,IF(5=$HE24,IF(105=$HL24,IF($JD24=2,30,0),IF(105=$HM24,IF($JD24=1,30,0),ABS(9-$HF24)*100)),100000+ABS(5-$HE24)*1000+90)),IF($HG24=0,999999,IF(5=$HH24,IF(105=$HN24,IF($JE24=2,30,0),IF(105=$HO24,IF($JE24=1,30,0),ABS(9-$HI24)*100)),100000+ABS(5-$HH24)*1000+90)))-IF((105=$HJ24)+(105=$HK24)+(105=$HL24)+(105=$HM24)+(105=$HN24)+(105=$HO24)&gt;=2,50,0))+DD$5*50)</f>
        <v/>
      </c>
      <c r="DE144">
        <f>IF(OR($JF24=0,calcA!$A$6=0),0,IF(OR(106=$HA24,106=$HD24,106=$HG24),200000,MIN(IF($HA24=0,999999,IF(5=$HB24,IF(106=$HJ24,IF($JC24=2,30,0),IF(106=$HK24,IF($JC24=1,30,0),ABS(10-$HC24)*100)),100000+ABS(5-$HB24)*1000+100)),IF($HD24=0,999999,IF(5=$HE24,IF(106=$HL24,IF($JD24=2,30,0),IF(106=$HM24,IF($JD24=1,30,0),ABS(10-$HF24)*100)),100000+ABS(5-$HE24)*1000+100)),IF($HG24=0,999999,IF(5=$HH24,IF(106=$HN24,IF($JE24=2,30,0),IF(106=$HO24,IF($JE24=1,30,0),ABS(10-$HI24)*100)),100000+ABS(5-$HH24)*1000+100)))-IF((106=$HJ24)+(106=$HK24)+(106=$HL24)+(106=$HM24)+(106=$HN24)+(106=$HO24)&gt;=2,50,0))+DE$5*50)</f>
        <v/>
      </c>
      <c r="DF144">
        <f>IF(OR($JF24=0,calcA!$A$6=0),0,IF(OR(107=$HA24,107=$HD24,107=$HG24),200000,MIN(IF($HA24=0,999999,IF(5=$HB24,IF(107=$HJ24,IF($JC24=2,30,0),IF(107=$HK24,IF($JC24=1,30,0),ABS(11-$HC24)*100)),100000+ABS(5-$HB24)*1000+110)),IF($HD24=0,999999,IF(5=$HE24,IF(107=$HL24,IF($JD24=2,30,0),IF(107=$HM24,IF($JD24=1,30,0),ABS(11-$HF24)*100)),100000+ABS(5-$HE24)*1000+110)),IF($HG24=0,999999,IF(5=$HH24,IF(107=$HN24,IF($JE24=2,30,0),IF(107=$HO24,IF($JE24=1,30,0),ABS(11-$HI24)*100)),100000+ABS(5-$HH24)*1000+110)))-IF((107=$HJ24)+(107=$HK24)+(107=$HL24)+(107=$HM24)+(107=$HN24)+(107=$HO24)&gt;=2,50,0))+DF$5*50)</f>
        <v/>
      </c>
      <c r="DG144">
        <f>IF(OR($JF24=0,calcA!$A$6=0),0,IF(OR(108=$HA24,108=$HD24,108=$HG24),200000,MIN(IF($HA24=0,999999,IF(5=$HB24,IF(108=$HJ24,IF($JC24=2,30,0),IF(108=$HK24,IF($JC24=1,30,0),ABS(12-$HC24)*100)),100000+ABS(5-$HB24)*1000+120)),IF($HD24=0,999999,IF(5=$HE24,IF(108=$HL24,IF($JD24=2,30,0),IF(108=$HM24,IF($JD24=1,30,0),ABS(12-$HF24)*100)),100000+ABS(5-$HE24)*1000+120)),IF($HG24=0,999999,IF(5=$HH24,IF(108=$HN24,IF($JE24=2,30,0),IF(108=$HO24,IF($JE24=1,30,0),ABS(12-$HI24)*100)),100000+ABS(5-$HH24)*1000+120)))-IF((108=$HJ24)+(108=$HK24)+(108=$HL24)+(108=$HM24)+(108=$HN24)+(108=$HO24)&gt;=2,50,0))+DG$5*50)</f>
        <v/>
      </c>
      <c r="DH144">
        <f>IF(OR($JF24=0,calcA!$A$6=0),0,IF(OR(109=$HA24,109=$HD24,109=$HG24),200000,MIN(IF($HA24=0,999999,IF(5=$HB24,IF(109=$HJ24,IF($JC24=2,30,0),IF(109=$HK24,IF($JC24=1,30,0),ABS(13-$HC24)*100)),100000+ABS(5-$HB24)*1000+130)),IF($HD24=0,999999,IF(5=$HE24,IF(109=$HL24,IF($JD24=2,30,0),IF(109=$HM24,IF($JD24=1,30,0),ABS(13-$HF24)*100)),100000+ABS(5-$HE24)*1000+130)),IF($HG24=0,999999,IF(5=$HH24,IF(109=$HN24,IF($JE24=2,30,0),IF(109=$HO24,IF($JE24=1,30,0),ABS(13-$HI24)*100)),100000+ABS(5-$HH24)*1000+130)))-IF((109=$HJ24)+(109=$HK24)+(109=$HL24)+(109=$HM24)+(109=$HN24)+(109=$HO24)&gt;=2,50,0))+DH$5*50)</f>
        <v/>
      </c>
      <c r="DI144">
        <f>IF(OR($JF24=0,calcA!$A$6=0),0,IF(OR(110=$HA24,110=$HD24,110=$HG24),200000,MIN(IF($HA24=0,999999,IF(5=$HB24,IF(110=$HJ24,IF($JC24=2,30,0),IF(110=$HK24,IF($JC24=1,30,0),ABS(14-$HC24)*100)),100000+ABS(5-$HB24)*1000+140)),IF($HD24=0,999999,IF(5=$HE24,IF(110=$HL24,IF($JD24=2,30,0),IF(110=$HM24,IF($JD24=1,30,0),ABS(14-$HF24)*100)),100000+ABS(5-$HE24)*1000+140)),IF($HG24=0,999999,IF(5=$HH24,IF(110=$HN24,IF($JE24=2,30,0),IF(110=$HO24,IF($JE24=1,30,0),ABS(14-$HI24)*100)),100000+ABS(5-$HH24)*1000+140)))-IF((110=$HJ24)+(110=$HK24)+(110=$HL24)+(110=$HM24)+(110=$HN24)+(110=$HO24)&gt;=2,50,0))+DI$5*50)</f>
        <v/>
      </c>
      <c r="DJ144">
        <f>IF(OR($JF24=0,calcA!$A$6=0),0,IF(OR(111=$HA24,111=$HD24,111=$HG24),200000,MIN(IF($HA24=0,999999,IF(5=$HB24,IF(111=$HJ24,IF($JC24=2,30,0),IF(111=$HK24,IF($JC24=1,30,0),ABS(15-$HC24)*100)),100000+ABS(5-$HB24)*1000+150)),IF($HD24=0,999999,IF(5=$HE24,IF(111=$HL24,IF($JD24=2,30,0),IF(111=$HM24,IF($JD24=1,30,0),ABS(15-$HF24)*100)),100000+ABS(5-$HE24)*1000+150)),IF($HG24=0,999999,IF(5=$HH24,IF(111=$HN24,IF($JE24=2,30,0),IF(111=$HO24,IF($JE24=1,30,0),ABS(15-$HI24)*100)),100000+ABS(5-$HH24)*1000+150)))-IF((111=$HJ24)+(111=$HK24)+(111=$HL24)+(111=$HM24)+(111=$HN24)+(111=$HO24)&gt;=2,50,0))+DJ$5*50)</f>
        <v/>
      </c>
      <c r="DK144">
        <f>IF(OR($JF24=0,calcA!$A$6=0),0,IF(OR(112=$HA24,112=$HD24,112=$HG24),200000,MIN(IF($HA24=0,999999,IF(5=$HB24,IF(112=$HJ24,IF($JC24=2,30,0),IF(112=$HK24,IF($JC24=1,30,0),ABS(16-$HC24)*100)),100000+ABS(5-$HB24)*1000+160)),IF($HD24=0,999999,IF(5=$HE24,IF(112=$HL24,IF($JD24=2,30,0),IF(112=$HM24,IF($JD24=1,30,0),ABS(16-$HF24)*100)),100000+ABS(5-$HE24)*1000+160)),IF($HG24=0,999999,IF(5=$HH24,IF(112=$HN24,IF($JE24=2,30,0),IF(112=$HO24,IF($JE24=1,30,0),ABS(16-$HI24)*100)),100000+ABS(5-$HH24)*1000+160)))-IF((112=$HJ24)+(112=$HK24)+(112=$HL24)+(112=$HM24)+(112=$HN24)+(112=$HO24)&gt;=2,50,0))+DK$5*50)</f>
        <v/>
      </c>
      <c r="DL144">
        <f>IF(OR($JF24=0,calcA!$A$6=0),0,IF(OR(113=$HA24,113=$HD24,113=$HG24),200000,MIN(IF($HA24=0,999999,IF(5=$HB24,IF(113=$HJ24,IF($JC24=2,30,0),IF(113=$HK24,IF($JC24=1,30,0),ABS(17-$HC24)*100)),100000+ABS(5-$HB24)*1000+170)),IF($HD24=0,999999,IF(5=$HE24,IF(113=$HL24,IF($JD24=2,30,0),IF(113=$HM24,IF($JD24=1,30,0),ABS(17-$HF24)*100)),100000+ABS(5-$HE24)*1000+170)),IF($HG24=0,999999,IF(5=$HH24,IF(113=$HN24,IF($JE24=2,30,0),IF(113=$HO24,IF($JE24=1,30,0),ABS(17-$HI24)*100)),100000+ABS(5-$HH24)*1000+170)))-IF((113=$HJ24)+(113=$HK24)+(113=$HL24)+(113=$HM24)+(113=$HN24)+(113=$HO24)&gt;=2,50,0))+DL$5*50)</f>
        <v/>
      </c>
      <c r="DM144">
        <f>IF(OR($JF24=0,calcA!$A$6=0),0,IF(OR(114=$HA24,114=$HD24,114=$HG24),200000,MIN(IF($HA24=0,999999,IF(5=$HB24,IF(114=$HJ24,IF($JC24=2,30,0),IF(114=$HK24,IF($JC24=1,30,0),ABS(18-$HC24)*100)),100000+ABS(5-$HB24)*1000+180)),IF($HD24=0,999999,IF(5=$HE24,IF(114=$HL24,IF($JD24=2,30,0),IF(114=$HM24,IF($JD24=1,30,0),ABS(18-$HF24)*100)),100000+ABS(5-$HE24)*1000+180)),IF($HG24=0,999999,IF(5=$HH24,IF(114=$HN24,IF($JE24=2,30,0),IF(114=$HO24,IF($JE24=1,30,0),ABS(18-$HI24)*100)),100000+ABS(5-$HH24)*1000+180)))-IF((114=$HJ24)+(114=$HK24)+(114=$HL24)+(114=$HM24)+(114=$HN24)+(114=$HO24)&gt;=2,50,0))+DM$5*50)</f>
        <v/>
      </c>
      <c r="DN144">
        <f>IF(OR($JF24=0,calcA!$A$6=0),0,IF(OR(115=$HA24,115=$HD24,115=$HG24),200000,MIN(IF($HA24=0,999999,IF(5=$HB24,IF(115=$HJ24,IF($JC24=2,30,0),IF(115=$HK24,IF($JC24=1,30,0),ABS(19-$HC24)*100)),100000+ABS(5-$HB24)*1000+190)),IF($HD24=0,999999,IF(5=$HE24,IF(115=$HL24,IF($JD24=2,30,0),IF(115=$HM24,IF($JD24=1,30,0),ABS(19-$HF24)*100)),100000+ABS(5-$HE24)*1000+190)),IF($HG24=0,999999,IF(5=$HH24,IF(115=$HN24,IF($JE24=2,30,0),IF(115=$HO24,IF($JE24=1,30,0),ABS(19-$HI24)*100)),100000+ABS(5-$HH24)*1000+190)))-IF((115=$HJ24)+(115=$HK24)+(115=$HL24)+(115=$HM24)+(115=$HN24)+(115=$HO24)&gt;=2,50,0))+DN$5*50)</f>
        <v/>
      </c>
      <c r="DO144">
        <f>IF(OR($JF24=0,calcA!$A$6=0),0,IF(OR(116=$HA24,116=$HD24,116=$HG24),200000,MIN(IF($HA24=0,999999,IF(5=$HB24,IF(116=$HJ24,IF($JC24=2,30,0),IF(116=$HK24,IF($JC24=1,30,0),ABS(20-$HC24)*100)),100000+ABS(5-$HB24)*1000+200)),IF($HD24=0,999999,IF(5=$HE24,IF(116=$HL24,IF($JD24=2,30,0),IF(116=$HM24,IF($JD24=1,30,0),ABS(20-$HF24)*100)),100000+ABS(5-$HE24)*1000+200)),IF($HG24=0,999999,IF(5=$HH24,IF(116=$HN24,IF($JE24=2,30,0),IF(116=$HO24,IF($JE24=1,30,0),ABS(20-$HI24)*100)),100000+ABS(5-$HH24)*1000+200)))-IF((116=$HJ24)+(116=$HK24)+(116=$HL24)+(116=$HM24)+(116=$HN24)+(116=$HO24)&gt;=2,50,0))+DO$5*50)</f>
        <v/>
      </c>
      <c r="DP144">
        <f>IF(OR($JF24=0,calcA!$A$6=0),0,IF(OR(117=$HA24,117=$HD24,117=$HG24),200000,MIN(IF($HA24=0,999999,IF(5=$HB24,IF(117=$HJ24,IF($JC24=2,30,0),IF(117=$HK24,IF($JC24=1,30,0),ABS(21-$HC24)*100)),100000+ABS(5-$HB24)*1000+210)),IF($HD24=0,999999,IF(5=$HE24,IF(117=$HL24,IF($JD24=2,30,0),IF(117=$HM24,IF($JD24=1,30,0),ABS(21-$HF24)*100)),100000+ABS(5-$HE24)*1000+210)),IF($HG24=0,999999,IF(5=$HH24,IF(117=$HN24,IF($JE24=2,30,0),IF(117=$HO24,IF($JE24=1,30,0),ABS(21-$HI24)*100)),100000+ABS(5-$HH24)*1000+210)))-IF((117=$HJ24)+(117=$HK24)+(117=$HL24)+(117=$HM24)+(117=$HN24)+(117=$HO24)&gt;=2,50,0))+DP$5*50)</f>
        <v/>
      </c>
      <c r="DQ144">
        <f>IF(OR($JF24=0,calcA!$A$6=0),0,IF(OR(118=$HA24,118=$HD24,118=$HG24),200000,MIN(IF($HA24=0,999999,IF(5=$HB24,IF(118=$HJ24,IF($JC24=2,30,0),IF(118=$HK24,IF($JC24=1,30,0),ABS(22-$HC24)*100)),100000+ABS(5-$HB24)*1000+220)),IF($HD24=0,999999,IF(5=$HE24,IF(118=$HL24,IF($JD24=2,30,0),IF(118=$HM24,IF($JD24=1,30,0),ABS(22-$HF24)*100)),100000+ABS(5-$HE24)*1000+220)),IF($HG24=0,999999,IF(5=$HH24,IF(118=$HN24,IF($JE24=2,30,0),IF(118=$HO24,IF($JE24=1,30,0),ABS(22-$HI24)*100)),100000+ABS(5-$HH24)*1000+220)))-IF((118=$HJ24)+(118=$HK24)+(118=$HL24)+(118=$HM24)+(118=$HN24)+(118=$HO24)&gt;=2,50,0))+DQ$5*50)</f>
        <v/>
      </c>
      <c r="DR144">
        <f>IF(OR($JF24=0,calcA!$A$6=0),0,IF(OR(119=$HA24,119=$HD24,119=$HG24),200000,MIN(IF($HA24=0,999999,IF(5=$HB24,IF(119=$HJ24,IF($JC24=2,30,0),IF(119=$HK24,IF($JC24=1,30,0),ABS(23-$HC24)*100)),100000+ABS(5-$HB24)*1000+230)),IF($HD24=0,999999,IF(5=$HE24,IF(119=$HL24,IF($JD24=2,30,0),IF(119=$HM24,IF($JD24=1,30,0),ABS(23-$HF24)*100)),100000+ABS(5-$HE24)*1000+230)),IF($HG24=0,999999,IF(5=$HH24,IF(119=$HN24,IF($JE24=2,30,0),IF(119=$HO24,IF($JE24=1,30,0),ABS(23-$HI24)*100)),100000+ABS(5-$HH24)*1000+230)))-IF((119=$HJ24)+(119=$HK24)+(119=$HL24)+(119=$HM24)+(119=$HN24)+(119=$HO24)&gt;=2,50,0))+DR$5*50)</f>
        <v/>
      </c>
      <c r="DS144">
        <f>IF(OR($JF24=0,calcA!$A$6=0),0,IF(OR(120=$HA24,120=$HD24,120=$HG24),200000,MIN(IF($HA24=0,999999,IF(5=$HB24,IF(120=$HJ24,IF($JC24=2,30,0),IF(120=$HK24,IF($JC24=1,30,0),ABS(24-$HC24)*100)),100000+ABS(5-$HB24)*1000+240)),IF($HD24=0,999999,IF(5=$HE24,IF(120=$HL24,IF($JD24=2,30,0),IF(120=$HM24,IF($JD24=1,30,0),ABS(24-$HF24)*100)),100000+ABS(5-$HE24)*1000+240)),IF($HG24=0,999999,IF(5=$HH24,IF(120=$HN24,IF($JE24=2,30,0),IF(120=$HO24,IF($JE24=1,30,0),ABS(24-$HI24)*100)),100000+ABS(5-$HH24)*1000+240)))-IF((120=$HJ24)+(120=$HK24)+(120=$HL24)+(120=$HM24)+(120=$HN24)+(120=$HO24)&gt;=2,50,0))+DS$5*50)</f>
        <v/>
      </c>
      <c r="DT144">
        <f>IF(OR($JF24=0,calcA!$A$6=0),0,IF(OR(121=$HA24,121=$HD24,121=$HG24),200000,MIN(IF($HA24=0,999999,IF(6=$HB24,IF(121=$HJ24,IF($JC24=2,30,0),IF(121=$HK24,IF($JC24=1,30,0),ABS(1-$HC24)*100)),100000+ABS(6-$HB24)*1000+10)),IF($HD24=0,999999,IF(6=$HE24,IF(121=$HL24,IF($JD24=2,30,0),IF(121=$HM24,IF($JD24=1,30,0),ABS(1-$HF24)*100)),100000+ABS(6-$HE24)*1000+10)),IF($HG24=0,999999,IF(6=$HH24,IF(121=$HN24,IF($JE24=2,30,0),IF(121=$HO24,IF($JE24=1,30,0),ABS(1-$HI24)*100)),100000+ABS(6-$HH24)*1000+10)))-IF((121=$HJ24)+(121=$HK24)+(121=$HL24)+(121=$HM24)+(121=$HN24)+(121=$HO24)&gt;=2,50,0))+DT$5*50)</f>
        <v/>
      </c>
      <c r="DU144">
        <f>IF(OR($JF24=0,calcA!$A$6=0),0,IF(OR(122=$HA24,122=$HD24,122=$HG24),200000,MIN(IF($HA24=0,999999,IF(6=$HB24,IF(122=$HJ24,IF($JC24=2,30,0),IF(122=$HK24,IF($JC24=1,30,0),ABS(2-$HC24)*100)),100000+ABS(6-$HB24)*1000+20)),IF($HD24=0,999999,IF(6=$HE24,IF(122=$HL24,IF($JD24=2,30,0),IF(122=$HM24,IF($JD24=1,30,0),ABS(2-$HF24)*100)),100000+ABS(6-$HE24)*1000+20)),IF($HG24=0,999999,IF(6=$HH24,IF(122=$HN24,IF($JE24=2,30,0),IF(122=$HO24,IF($JE24=1,30,0),ABS(2-$HI24)*100)),100000+ABS(6-$HH24)*1000+20)))-IF((122=$HJ24)+(122=$HK24)+(122=$HL24)+(122=$HM24)+(122=$HN24)+(122=$HO24)&gt;=2,50,0))+DU$5*50)</f>
        <v/>
      </c>
      <c r="DV144">
        <f>IF(OR($JF24=0,calcA!$A$6=0),0,IF(OR(123=$HA24,123=$HD24,123=$HG24),200000,MIN(IF($HA24=0,999999,IF(6=$HB24,IF(123=$HJ24,IF($JC24=2,30,0),IF(123=$HK24,IF($JC24=1,30,0),ABS(3-$HC24)*100)),100000+ABS(6-$HB24)*1000+30)),IF($HD24=0,999999,IF(6=$HE24,IF(123=$HL24,IF($JD24=2,30,0),IF(123=$HM24,IF($JD24=1,30,0),ABS(3-$HF24)*100)),100000+ABS(6-$HE24)*1000+30)),IF($HG24=0,999999,IF(6=$HH24,IF(123=$HN24,IF($JE24=2,30,0),IF(123=$HO24,IF($JE24=1,30,0),ABS(3-$HI24)*100)),100000+ABS(6-$HH24)*1000+30)))-IF((123=$HJ24)+(123=$HK24)+(123=$HL24)+(123=$HM24)+(123=$HN24)+(123=$HO24)&gt;=2,50,0))+DV$5*50)</f>
        <v/>
      </c>
      <c r="DW144">
        <f>IF(OR($JF24=0,calcA!$A$6=0),0,IF(OR(124=$HA24,124=$HD24,124=$HG24),200000,MIN(IF($HA24=0,999999,IF(6=$HB24,IF(124=$HJ24,IF($JC24=2,30,0),IF(124=$HK24,IF($JC24=1,30,0),ABS(4-$HC24)*100)),100000+ABS(6-$HB24)*1000+40)),IF($HD24=0,999999,IF(6=$HE24,IF(124=$HL24,IF($JD24=2,30,0),IF(124=$HM24,IF($JD24=1,30,0),ABS(4-$HF24)*100)),100000+ABS(6-$HE24)*1000+40)),IF($HG24=0,999999,IF(6=$HH24,IF(124=$HN24,IF($JE24=2,30,0),IF(124=$HO24,IF($JE24=1,30,0),ABS(4-$HI24)*100)),100000+ABS(6-$HH24)*1000+40)))-IF((124=$HJ24)+(124=$HK24)+(124=$HL24)+(124=$HM24)+(124=$HN24)+(124=$HO24)&gt;=2,50,0))+DW$5*50)</f>
        <v/>
      </c>
      <c r="DX144">
        <f>IF(OR($JF24=0,calcA!$A$6=0),0,IF(OR(125=$HA24,125=$HD24,125=$HG24),200000,MIN(IF($HA24=0,999999,IF(6=$HB24,IF(125=$HJ24,IF($JC24=2,30,0),IF(125=$HK24,IF($JC24=1,30,0),ABS(5-$HC24)*100)),100000+ABS(6-$HB24)*1000+50)),IF($HD24=0,999999,IF(6=$HE24,IF(125=$HL24,IF($JD24=2,30,0),IF(125=$HM24,IF($JD24=1,30,0),ABS(5-$HF24)*100)),100000+ABS(6-$HE24)*1000+50)),IF($HG24=0,999999,IF(6=$HH24,IF(125=$HN24,IF($JE24=2,30,0),IF(125=$HO24,IF($JE24=1,30,0),ABS(5-$HI24)*100)),100000+ABS(6-$HH24)*1000+50)))-IF((125=$HJ24)+(125=$HK24)+(125=$HL24)+(125=$HM24)+(125=$HN24)+(125=$HO24)&gt;=2,50,0))+DX$5*50)</f>
        <v/>
      </c>
      <c r="DY144">
        <f>IF(OR($JF24=0,calcA!$A$6=0),0,IF(OR(126=$HA24,126=$HD24,126=$HG24),200000,MIN(IF($HA24=0,999999,IF(6=$HB24,IF(126=$HJ24,IF($JC24=2,30,0),IF(126=$HK24,IF($JC24=1,30,0),ABS(6-$HC24)*100)),100000+ABS(6-$HB24)*1000+60)),IF($HD24=0,999999,IF(6=$HE24,IF(126=$HL24,IF($JD24=2,30,0),IF(126=$HM24,IF($JD24=1,30,0),ABS(6-$HF24)*100)),100000+ABS(6-$HE24)*1000+60)),IF($HG24=0,999999,IF(6=$HH24,IF(126=$HN24,IF($JE24=2,30,0),IF(126=$HO24,IF($JE24=1,30,0),ABS(6-$HI24)*100)),100000+ABS(6-$HH24)*1000+60)))-IF((126=$HJ24)+(126=$HK24)+(126=$HL24)+(126=$HM24)+(126=$HN24)+(126=$HO24)&gt;=2,50,0))+DY$5*50)</f>
        <v/>
      </c>
      <c r="DZ144">
        <f>IF(OR($JF24=0,calcA!$A$6=0),0,IF(OR(127=$HA24,127=$HD24,127=$HG24),200000,MIN(IF($HA24=0,999999,IF(6=$HB24,IF(127=$HJ24,IF($JC24=2,30,0),IF(127=$HK24,IF($JC24=1,30,0),ABS(7-$HC24)*100)),100000+ABS(6-$HB24)*1000+70)),IF($HD24=0,999999,IF(6=$HE24,IF(127=$HL24,IF($JD24=2,30,0),IF(127=$HM24,IF($JD24=1,30,0),ABS(7-$HF24)*100)),100000+ABS(6-$HE24)*1000+70)),IF($HG24=0,999999,IF(6=$HH24,IF(127=$HN24,IF($JE24=2,30,0),IF(127=$HO24,IF($JE24=1,30,0),ABS(7-$HI24)*100)),100000+ABS(6-$HH24)*1000+70)))-IF((127=$HJ24)+(127=$HK24)+(127=$HL24)+(127=$HM24)+(127=$HN24)+(127=$HO24)&gt;=2,50,0))+DZ$5*50)</f>
        <v/>
      </c>
      <c r="EA144">
        <f>IF(OR($JF24=0,calcA!$A$6=0),0,IF(OR(128=$HA24,128=$HD24,128=$HG24),200000,MIN(IF($HA24=0,999999,IF(6=$HB24,IF(128=$HJ24,IF($JC24=2,30,0),IF(128=$HK24,IF($JC24=1,30,0),ABS(8-$HC24)*100)),100000+ABS(6-$HB24)*1000+80)),IF($HD24=0,999999,IF(6=$HE24,IF(128=$HL24,IF($JD24=2,30,0),IF(128=$HM24,IF($JD24=1,30,0),ABS(8-$HF24)*100)),100000+ABS(6-$HE24)*1000+80)),IF($HG24=0,999999,IF(6=$HH24,IF(128=$HN24,IF($JE24=2,30,0),IF(128=$HO24,IF($JE24=1,30,0),ABS(8-$HI24)*100)),100000+ABS(6-$HH24)*1000+80)))-IF((128=$HJ24)+(128=$HK24)+(128=$HL24)+(128=$HM24)+(128=$HN24)+(128=$HO24)&gt;=2,50,0))+EA$5*50)</f>
        <v/>
      </c>
      <c r="EB144">
        <f>IF(OR($JF24=0,calcA!$A$6=0),0,IF(OR(129=$HA24,129=$HD24,129=$HG24),200000,MIN(IF($HA24=0,999999,IF(6=$HB24,IF(129=$HJ24,IF($JC24=2,30,0),IF(129=$HK24,IF($JC24=1,30,0),ABS(9-$HC24)*100)),100000+ABS(6-$HB24)*1000+90)),IF($HD24=0,999999,IF(6=$HE24,IF(129=$HL24,IF($JD24=2,30,0),IF(129=$HM24,IF($JD24=1,30,0),ABS(9-$HF24)*100)),100000+ABS(6-$HE24)*1000+90)),IF($HG24=0,999999,IF(6=$HH24,IF(129=$HN24,IF($JE24=2,30,0),IF(129=$HO24,IF($JE24=1,30,0),ABS(9-$HI24)*100)),100000+ABS(6-$HH24)*1000+90)))-IF((129=$HJ24)+(129=$HK24)+(129=$HL24)+(129=$HM24)+(129=$HN24)+(129=$HO24)&gt;=2,50,0))+EB$5*50)</f>
        <v/>
      </c>
      <c r="EC144">
        <f>IF(OR($JF24=0,calcA!$A$6=0),0,IF(OR(130=$HA24,130=$HD24,130=$HG24),200000,MIN(IF($HA24=0,999999,IF(6=$HB24,IF(130=$HJ24,IF($JC24=2,30,0),IF(130=$HK24,IF($JC24=1,30,0),ABS(10-$HC24)*100)),100000+ABS(6-$HB24)*1000+100)),IF($HD24=0,999999,IF(6=$HE24,IF(130=$HL24,IF($JD24=2,30,0),IF(130=$HM24,IF($JD24=1,30,0),ABS(10-$HF24)*100)),100000+ABS(6-$HE24)*1000+100)),IF($HG24=0,999999,IF(6=$HH24,IF(130=$HN24,IF($JE24=2,30,0),IF(130=$HO24,IF($JE24=1,30,0),ABS(10-$HI24)*100)),100000+ABS(6-$HH24)*1000+100)))-IF((130=$HJ24)+(130=$HK24)+(130=$HL24)+(130=$HM24)+(130=$HN24)+(130=$HO24)&gt;=2,50,0))+EC$5*50)</f>
        <v/>
      </c>
      <c r="ED144">
        <f>IF(OR($JF24=0,calcA!$A$6=0),0,IF(OR(131=$HA24,131=$HD24,131=$HG24),200000,MIN(IF($HA24=0,999999,IF(6=$HB24,IF(131=$HJ24,IF($JC24=2,30,0),IF(131=$HK24,IF($JC24=1,30,0),ABS(11-$HC24)*100)),100000+ABS(6-$HB24)*1000+110)),IF($HD24=0,999999,IF(6=$HE24,IF(131=$HL24,IF($JD24=2,30,0),IF(131=$HM24,IF($JD24=1,30,0),ABS(11-$HF24)*100)),100000+ABS(6-$HE24)*1000+110)),IF($HG24=0,999999,IF(6=$HH24,IF(131=$HN24,IF($JE24=2,30,0),IF(131=$HO24,IF($JE24=1,30,0),ABS(11-$HI24)*100)),100000+ABS(6-$HH24)*1000+110)))-IF((131=$HJ24)+(131=$HK24)+(131=$HL24)+(131=$HM24)+(131=$HN24)+(131=$HO24)&gt;=2,50,0))+ED$5*50)</f>
        <v/>
      </c>
      <c r="EE144">
        <f>IF(OR($JF24=0,calcA!$A$6=0),0,IF(OR(132=$HA24,132=$HD24,132=$HG24),200000,MIN(IF($HA24=0,999999,IF(6=$HB24,IF(132=$HJ24,IF($JC24=2,30,0),IF(132=$HK24,IF($JC24=1,30,0),ABS(12-$HC24)*100)),100000+ABS(6-$HB24)*1000+120)),IF($HD24=0,999999,IF(6=$HE24,IF(132=$HL24,IF($JD24=2,30,0),IF(132=$HM24,IF($JD24=1,30,0),ABS(12-$HF24)*100)),100000+ABS(6-$HE24)*1000+120)),IF($HG24=0,999999,IF(6=$HH24,IF(132=$HN24,IF($JE24=2,30,0),IF(132=$HO24,IF($JE24=1,30,0),ABS(12-$HI24)*100)),100000+ABS(6-$HH24)*1000+120)))-IF((132=$HJ24)+(132=$HK24)+(132=$HL24)+(132=$HM24)+(132=$HN24)+(132=$HO24)&gt;=2,50,0))+EE$5*50)</f>
        <v/>
      </c>
      <c r="EF144">
        <f>IF(OR($JF24=0,calcA!$A$6=0),0,IF(OR(133=$HA24,133=$HD24,133=$HG24),200000,MIN(IF($HA24=0,999999,IF(6=$HB24,IF(133=$HJ24,IF($JC24=2,30,0),IF(133=$HK24,IF($JC24=1,30,0),ABS(13-$HC24)*100)),100000+ABS(6-$HB24)*1000+130)),IF($HD24=0,999999,IF(6=$HE24,IF(133=$HL24,IF($JD24=2,30,0),IF(133=$HM24,IF($JD24=1,30,0),ABS(13-$HF24)*100)),100000+ABS(6-$HE24)*1000+130)),IF($HG24=0,999999,IF(6=$HH24,IF(133=$HN24,IF($JE24=2,30,0),IF(133=$HO24,IF($JE24=1,30,0),ABS(13-$HI24)*100)),100000+ABS(6-$HH24)*1000+130)))-IF((133=$HJ24)+(133=$HK24)+(133=$HL24)+(133=$HM24)+(133=$HN24)+(133=$HO24)&gt;=2,50,0))+EF$5*50)</f>
        <v/>
      </c>
      <c r="EG144">
        <f>IF(OR($JF24=0,calcA!$A$6=0),0,IF(OR(134=$HA24,134=$HD24,134=$HG24),200000,MIN(IF($HA24=0,999999,IF(6=$HB24,IF(134=$HJ24,IF($JC24=2,30,0),IF(134=$HK24,IF($JC24=1,30,0),ABS(14-$HC24)*100)),100000+ABS(6-$HB24)*1000+140)),IF($HD24=0,999999,IF(6=$HE24,IF(134=$HL24,IF($JD24=2,30,0),IF(134=$HM24,IF($JD24=1,30,0),ABS(14-$HF24)*100)),100000+ABS(6-$HE24)*1000+140)),IF($HG24=0,999999,IF(6=$HH24,IF(134=$HN24,IF($JE24=2,30,0),IF(134=$HO24,IF($JE24=1,30,0),ABS(14-$HI24)*100)),100000+ABS(6-$HH24)*1000+140)))-IF((134=$HJ24)+(134=$HK24)+(134=$HL24)+(134=$HM24)+(134=$HN24)+(134=$HO24)&gt;=2,50,0))+EG$5*50)</f>
        <v/>
      </c>
      <c r="EH144">
        <f>IF(OR($JF24=0,calcA!$A$6=0),0,IF(OR(135=$HA24,135=$HD24,135=$HG24),200000,MIN(IF($HA24=0,999999,IF(6=$HB24,IF(135=$HJ24,IF($JC24=2,30,0),IF(135=$HK24,IF($JC24=1,30,0),ABS(15-$HC24)*100)),100000+ABS(6-$HB24)*1000+150)),IF($HD24=0,999999,IF(6=$HE24,IF(135=$HL24,IF($JD24=2,30,0),IF(135=$HM24,IF($JD24=1,30,0),ABS(15-$HF24)*100)),100000+ABS(6-$HE24)*1000+150)),IF($HG24=0,999999,IF(6=$HH24,IF(135=$HN24,IF($JE24=2,30,0),IF(135=$HO24,IF($JE24=1,30,0),ABS(15-$HI24)*100)),100000+ABS(6-$HH24)*1000+150)))-IF((135=$HJ24)+(135=$HK24)+(135=$HL24)+(135=$HM24)+(135=$HN24)+(135=$HO24)&gt;=2,50,0))+EH$5*50)</f>
        <v/>
      </c>
      <c r="EI144">
        <f>IF(OR($JF24=0,calcA!$A$6=0),0,IF(OR(136=$HA24,136=$HD24,136=$HG24),200000,MIN(IF($HA24=0,999999,IF(6=$HB24,IF(136=$HJ24,IF($JC24=2,30,0),IF(136=$HK24,IF($JC24=1,30,0),ABS(16-$HC24)*100)),100000+ABS(6-$HB24)*1000+160)),IF($HD24=0,999999,IF(6=$HE24,IF(136=$HL24,IF($JD24=2,30,0),IF(136=$HM24,IF($JD24=1,30,0),ABS(16-$HF24)*100)),100000+ABS(6-$HE24)*1000+160)),IF($HG24=0,999999,IF(6=$HH24,IF(136=$HN24,IF($JE24=2,30,0),IF(136=$HO24,IF($JE24=1,30,0),ABS(16-$HI24)*100)),100000+ABS(6-$HH24)*1000+160)))-IF((136=$HJ24)+(136=$HK24)+(136=$HL24)+(136=$HM24)+(136=$HN24)+(136=$HO24)&gt;=2,50,0))+EI$5*50)</f>
        <v/>
      </c>
      <c r="EJ144">
        <f>IF(OR($JF24=0,calcA!$A$6=0),0,IF(OR(137=$HA24,137=$HD24,137=$HG24),200000,MIN(IF($HA24=0,999999,IF(6=$HB24,IF(137=$HJ24,IF($JC24=2,30,0),IF(137=$HK24,IF($JC24=1,30,0),ABS(17-$HC24)*100)),100000+ABS(6-$HB24)*1000+170)),IF($HD24=0,999999,IF(6=$HE24,IF(137=$HL24,IF($JD24=2,30,0),IF(137=$HM24,IF($JD24=1,30,0),ABS(17-$HF24)*100)),100000+ABS(6-$HE24)*1000+170)),IF($HG24=0,999999,IF(6=$HH24,IF(137=$HN24,IF($JE24=2,30,0),IF(137=$HO24,IF($JE24=1,30,0),ABS(17-$HI24)*100)),100000+ABS(6-$HH24)*1000+170)))-IF((137=$HJ24)+(137=$HK24)+(137=$HL24)+(137=$HM24)+(137=$HN24)+(137=$HO24)&gt;=2,50,0))+EJ$5*50)</f>
        <v/>
      </c>
      <c r="EK144">
        <f>IF(OR($JF24=0,calcA!$A$6=0),0,IF(OR(138=$HA24,138=$HD24,138=$HG24),200000,MIN(IF($HA24=0,999999,IF(6=$HB24,IF(138=$HJ24,IF($JC24=2,30,0),IF(138=$HK24,IF($JC24=1,30,0),ABS(18-$HC24)*100)),100000+ABS(6-$HB24)*1000+180)),IF($HD24=0,999999,IF(6=$HE24,IF(138=$HL24,IF($JD24=2,30,0),IF(138=$HM24,IF($JD24=1,30,0),ABS(18-$HF24)*100)),100000+ABS(6-$HE24)*1000+180)),IF($HG24=0,999999,IF(6=$HH24,IF(138=$HN24,IF($JE24=2,30,0),IF(138=$HO24,IF($JE24=1,30,0),ABS(18-$HI24)*100)),100000+ABS(6-$HH24)*1000+180)))-IF((138=$HJ24)+(138=$HK24)+(138=$HL24)+(138=$HM24)+(138=$HN24)+(138=$HO24)&gt;=2,50,0))+EK$5*50)</f>
        <v/>
      </c>
      <c r="EL144">
        <f>IF(OR($JF24=0,calcA!$A$6=0),0,IF(OR(139=$HA24,139=$HD24,139=$HG24),200000,MIN(IF($HA24=0,999999,IF(6=$HB24,IF(139=$HJ24,IF($JC24=2,30,0),IF(139=$HK24,IF($JC24=1,30,0),ABS(19-$HC24)*100)),100000+ABS(6-$HB24)*1000+190)),IF($HD24=0,999999,IF(6=$HE24,IF(139=$HL24,IF($JD24=2,30,0),IF(139=$HM24,IF($JD24=1,30,0),ABS(19-$HF24)*100)),100000+ABS(6-$HE24)*1000+190)),IF($HG24=0,999999,IF(6=$HH24,IF(139=$HN24,IF($JE24=2,30,0),IF(139=$HO24,IF($JE24=1,30,0),ABS(19-$HI24)*100)),100000+ABS(6-$HH24)*1000+190)))-IF((139=$HJ24)+(139=$HK24)+(139=$HL24)+(139=$HM24)+(139=$HN24)+(139=$HO24)&gt;=2,50,0))+EL$5*50)</f>
        <v/>
      </c>
      <c r="EM144">
        <f>IF(OR($JF24=0,calcA!$A$6=0),0,IF(OR(140=$HA24,140=$HD24,140=$HG24),200000,MIN(IF($HA24=0,999999,IF(6=$HB24,IF(140=$HJ24,IF($JC24=2,30,0),IF(140=$HK24,IF($JC24=1,30,0),ABS(20-$HC24)*100)),100000+ABS(6-$HB24)*1000+200)),IF($HD24=0,999999,IF(6=$HE24,IF(140=$HL24,IF($JD24=2,30,0),IF(140=$HM24,IF($JD24=1,30,0),ABS(20-$HF24)*100)),100000+ABS(6-$HE24)*1000+200)),IF($HG24=0,999999,IF(6=$HH24,IF(140=$HN24,IF($JE24=2,30,0),IF(140=$HO24,IF($JE24=1,30,0),ABS(20-$HI24)*100)),100000+ABS(6-$HH24)*1000+200)))-IF((140=$HJ24)+(140=$HK24)+(140=$HL24)+(140=$HM24)+(140=$HN24)+(140=$HO24)&gt;=2,50,0))+EM$5*50)</f>
        <v/>
      </c>
      <c r="EN144">
        <f>IF(OR($JF24=0,calcA!$A$6=0),0,IF(OR(141=$HA24,141=$HD24,141=$HG24),200000,MIN(IF($HA24=0,999999,IF(6=$HB24,IF(141=$HJ24,IF($JC24=2,30,0),IF(141=$HK24,IF($JC24=1,30,0),ABS(21-$HC24)*100)),100000+ABS(6-$HB24)*1000+210)),IF($HD24=0,999999,IF(6=$HE24,IF(141=$HL24,IF($JD24=2,30,0),IF(141=$HM24,IF($JD24=1,30,0),ABS(21-$HF24)*100)),100000+ABS(6-$HE24)*1000+210)),IF($HG24=0,999999,IF(6=$HH24,IF(141=$HN24,IF($JE24=2,30,0),IF(141=$HO24,IF($JE24=1,30,0),ABS(21-$HI24)*100)),100000+ABS(6-$HH24)*1000+210)))-IF((141=$HJ24)+(141=$HK24)+(141=$HL24)+(141=$HM24)+(141=$HN24)+(141=$HO24)&gt;=2,50,0))+EN$5*50)</f>
        <v/>
      </c>
      <c r="EO144">
        <f>IF(OR($JF24=0,calcA!$A$6=0),0,IF(OR(142=$HA24,142=$HD24,142=$HG24),200000,MIN(IF($HA24=0,999999,IF(6=$HB24,IF(142=$HJ24,IF($JC24=2,30,0),IF(142=$HK24,IF($JC24=1,30,0),ABS(22-$HC24)*100)),100000+ABS(6-$HB24)*1000+220)),IF($HD24=0,999999,IF(6=$HE24,IF(142=$HL24,IF($JD24=2,30,0),IF(142=$HM24,IF($JD24=1,30,0),ABS(22-$HF24)*100)),100000+ABS(6-$HE24)*1000+220)),IF($HG24=0,999999,IF(6=$HH24,IF(142=$HN24,IF($JE24=2,30,0),IF(142=$HO24,IF($JE24=1,30,0),ABS(22-$HI24)*100)),100000+ABS(6-$HH24)*1000+220)))-IF((142=$HJ24)+(142=$HK24)+(142=$HL24)+(142=$HM24)+(142=$HN24)+(142=$HO24)&gt;=2,50,0))+EO$5*50)</f>
        <v/>
      </c>
      <c r="EP144">
        <f>IF(OR($JF24=0,calcA!$A$6=0),0,IF(OR(143=$HA24,143=$HD24,143=$HG24),200000,MIN(IF($HA24=0,999999,IF(6=$HB24,IF(143=$HJ24,IF($JC24=2,30,0),IF(143=$HK24,IF($JC24=1,30,0),ABS(23-$HC24)*100)),100000+ABS(6-$HB24)*1000+230)),IF($HD24=0,999999,IF(6=$HE24,IF(143=$HL24,IF($JD24=2,30,0),IF(143=$HM24,IF($JD24=1,30,0),ABS(23-$HF24)*100)),100000+ABS(6-$HE24)*1000+230)),IF($HG24=0,999999,IF(6=$HH24,IF(143=$HN24,IF($JE24=2,30,0),IF(143=$HO24,IF($JE24=1,30,0),ABS(23-$HI24)*100)),100000+ABS(6-$HH24)*1000+230)))-IF((143=$HJ24)+(143=$HK24)+(143=$HL24)+(143=$HM24)+(143=$HN24)+(143=$HO24)&gt;=2,50,0))+EP$5*50)</f>
        <v/>
      </c>
      <c r="EQ144">
        <f>IF(OR($JF24=0,calcA!$A$6=0),0,IF(OR(144=$HA24,144=$HD24,144=$HG24),200000,MIN(IF($HA24=0,999999,IF(6=$HB24,IF(144=$HJ24,IF($JC24=2,30,0),IF(144=$HK24,IF($JC24=1,30,0),ABS(24-$HC24)*100)),100000+ABS(6-$HB24)*1000+240)),IF($HD24=0,999999,IF(6=$HE24,IF(144=$HL24,IF($JD24=2,30,0),IF(144=$HM24,IF($JD24=1,30,0),ABS(24-$HF24)*100)),100000+ABS(6-$HE24)*1000+240)),IF($HG24=0,999999,IF(6=$HH24,IF(144=$HN24,IF($JE24=2,30,0),IF(144=$HO24,IF($JE24=1,30,0),ABS(24-$HI24)*100)),100000+ABS(6-$HH24)*1000+240)))-IF((144=$HJ24)+(144=$HK24)+(144=$HL24)+(144=$HM24)+(144=$HN24)+(144=$HO24)&gt;=2,50,0))+EQ$5*50)</f>
        <v/>
      </c>
    </row>
    <row r="145">
      <c r="D145">
        <f>IF(OR($JF25=0,calcA!$A$6=0),0,IF(OR(1=$HA25,1=$HD25,1=$HG25),200000,MIN(IF($HA25=0,999999,IF(1=$HB25,IF(1=$HJ25,IF($JC25=2,30,0),IF(1=$HK25,IF($JC25=1,30,0),ABS(1-$HC25)*100)),100000+ABS(1-$HB25)*1000+10)),IF($HD25=0,999999,IF(1=$HE25,IF(1=$HL25,IF($JD25=2,30,0),IF(1=$HM25,IF($JD25=1,30,0),ABS(1-$HF25)*100)),100000+ABS(1-$HE25)*1000+10)),IF($HG25=0,999999,IF(1=$HH25,IF(1=$HN25,IF($JE25=2,30,0),IF(1=$HO25,IF($JE25=1,30,0),ABS(1-$HI25)*100)),100000+ABS(1-$HH25)*1000+10)))-IF((1=$HJ25)+(1=$HK25)+(1=$HL25)+(1=$HM25)+(1=$HN25)+(1=$HO25)&gt;=2,50,0))+D$5*50)</f>
        <v/>
      </c>
      <c r="E145">
        <f>IF(OR($JF25=0,calcA!$A$6=0),0,IF(OR(2=$HA25,2=$HD25,2=$HG25),200000,MIN(IF($HA25=0,999999,IF(1=$HB25,IF(2=$HJ25,IF($JC25=2,30,0),IF(2=$HK25,IF($JC25=1,30,0),ABS(2-$HC25)*100)),100000+ABS(1-$HB25)*1000+20)),IF($HD25=0,999999,IF(1=$HE25,IF(2=$HL25,IF($JD25=2,30,0),IF(2=$HM25,IF($JD25=1,30,0),ABS(2-$HF25)*100)),100000+ABS(1-$HE25)*1000+20)),IF($HG25=0,999999,IF(1=$HH25,IF(2=$HN25,IF($JE25=2,30,0),IF(2=$HO25,IF($JE25=1,30,0),ABS(2-$HI25)*100)),100000+ABS(1-$HH25)*1000+20)))-IF((2=$HJ25)+(2=$HK25)+(2=$HL25)+(2=$HM25)+(2=$HN25)+(2=$HO25)&gt;=2,50,0))+E$5*50)</f>
        <v/>
      </c>
      <c r="F145">
        <f>IF(OR($JF25=0,calcA!$A$6=0),0,IF(OR(3=$HA25,3=$HD25,3=$HG25),200000,MIN(IF($HA25=0,999999,IF(1=$HB25,IF(3=$HJ25,IF($JC25=2,30,0),IF(3=$HK25,IF($JC25=1,30,0),ABS(3-$HC25)*100)),100000+ABS(1-$HB25)*1000+30)),IF($HD25=0,999999,IF(1=$HE25,IF(3=$HL25,IF($JD25=2,30,0),IF(3=$HM25,IF($JD25=1,30,0),ABS(3-$HF25)*100)),100000+ABS(1-$HE25)*1000+30)),IF($HG25=0,999999,IF(1=$HH25,IF(3=$HN25,IF($JE25=2,30,0),IF(3=$HO25,IF($JE25=1,30,0),ABS(3-$HI25)*100)),100000+ABS(1-$HH25)*1000+30)))-IF((3=$HJ25)+(3=$HK25)+(3=$HL25)+(3=$HM25)+(3=$HN25)+(3=$HO25)&gt;=2,50,0))+F$5*50)</f>
        <v/>
      </c>
      <c r="G145">
        <f>IF(OR($JF25=0,calcA!$A$6=0),0,IF(OR(4=$HA25,4=$HD25,4=$HG25),200000,MIN(IF($HA25=0,999999,IF(1=$HB25,IF(4=$HJ25,IF($JC25=2,30,0),IF(4=$HK25,IF($JC25=1,30,0),ABS(4-$HC25)*100)),100000+ABS(1-$HB25)*1000+40)),IF($HD25=0,999999,IF(1=$HE25,IF(4=$HL25,IF($JD25=2,30,0),IF(4=$HM25,IF($JD25=1,30,0),ABS(4-$HF25)*100)),100000+ABS(1-$HE25)*1000+40)),IF($HG25=0,999999,IF(1=$HH25,IF(4=$HN25,IF($JE25=2,30,0),IF(4=$HO25,IF($JE25=1,30,0),ABS(4-$HI25)*100)),100000+ABS(1-$HH25)*1000+40)))-IF((4=$HJ25)+(4=$HK25)+(4=$HL25)+(4=$HM25)+(4=$HN25)+(4=$HO25)&gt;=2,50,0))+G$5*50)</f>
        <v/>
      </c>
      <c r="H145">
        <f>IF(OR($JF25=0,calcA!$A$6=0),0,IF(OR(5=$HA25,5=$HD25,5=$HG25),200000,MIN(IF($HA25=0,999999,IF(1=$HB25,IF(5=$HJ25,IF($JC25=2,30,0),IF(5=$HK25,IF($JC25=1,30,0),ABS(5-$HC25)*100)),100000+ABS(1-$HB25)*1000+50)),IF($HD25=0,999999,IF(1=$HE25,IF(5=$HL25,IF($JD25=2,30,0),IF(5=$HM25,IF($JD25=1,30,0),ABS(5-$HF25)*100)),100000+ABS(1-$HE25)*1000+50)),IF($HG25=0,999999,IF(1=$HH25,IF(5=$HN25,IF($JE25=2,30,0),IF(5=$HO25,IF($JE25=1,30,0),ABS(5-$HI25)*100)),100000+ABS(1-$HH25)*1000+50)))-IF((5=$HJ25)+(5=$HK25)+(5=$HL25)+(5=$HM25)+(5=$HN25)+(5=$HO25)&gt;=2,50,0))+H$5*50)</f>
        <v/>
      </c>
      <c r="I145">
        <f>IF(OR($JF25=0,calcA!$A$6=0),0,IF(OR(6=$HA25,6=$HD25,6=$HG25),200000,MIN(IF($HA25=0,999999,IF(1=$HB25,IF(6=$HJ25,IF($JC25=2,30,0),IF(6=$HK25,IF($JC25=1,30,0),ABS(6-$HC25)*100)),100000+ABS(1-$HB25)*1000+60)),IF($HD25=0,999999,IF(1=$HE25,IF(6=$HL25,IF($JD25=2,30,0),IF(6=$HM25,IF($JD25=1,30,0),ABS(6-$HF25)*100)),100000+ABS(1-$HE25)*1000+60)),IF($HG25=0,999999,IF(1=$HH25,IF(6=$HN25,IF($JE25=2,30,0),IF(6=$HO25,IF($JE25=1,30,0),ABS(6-$HI25)*100)),100000+ABS(1-$HH25)*1000+60)))-IF((6=$HJ25)+(6=$HK25)+(6=$HL25)+(6=$HM25)+(6=$HN25)+(6=$HO25)&gt;=2,50,0))+I$5*50)</f>
        <v/>
      </c>
      <c r="J145">
        <f>IF(OR($JF25=0,calcA!$A$6=0),0,IF(OR(7=$HA25,7=$HD25,7=$HG25),200000,MIN(IF($HA25=0,999999,IF(1=$HB25,IF(7=$HJ25,IF($JC25=2,30,0),IF(7=$HK25,IF($JC25=1,30,0),ABS(7-$HC25)*100)),100000+ABS(1-$HB25)*1000+70)),IF($HD25=0,999999,IF(1=$HE25,IF(7=$HL25,IF($JD25=2,30,0),IF(7=$HM25,IF($JD25=1,30,0),ABS(7-$HF25)*100)),100000+ABS(1-$HE25)*1000+70)),IF($HG25=0,999999,IF(1=$HH25,IF(7=$HN25,IF($JE25=2,30,0),IF(7=$HO25,IF($JE25=1,30,0),ABS(7-$HI25)*100)),100000+ABS(1-$HH25)*1000+70)))-IF((7=$HJ25)+(7=$HK25)+(7=$HL25)+(7=$HM25)+(7=$HN25)+(7=$HO25)&gt;=2,50,0))+J$5*50)</f>
        <v/>
      </c>
      <c r="K145">
        <f>IF(OR($JF25=0,calcA!$A$6=0),0,IF(OR(8=$HA25,8=$HD25,8=$HG25),200000,MIN(IF($HA25=0,999999,IF(1=$HB25,IF(8=$HJ25,IF($JC25=2,30,0),IF(8=$HK25,IF($JC25=1,30,0),ABS(8-$HC25)*100)),100000+ABS(1-$HB25)*1000+80)),IF($HD25=0,999999,IF(1=$HE25,IF(8=$HL25,IF($JD25=2,30,0),IF(8=$HM25,IF($JD25=1,30,0),ABS(8-$HF25)*100)),100000+ABS(1-$HE25)*1000+80)),IF($HG25=0,999999,IF(1=$HH25,IF(8=$HN25,IF($JE25=2,30,0),IF(8=$HO25,IF($JE25=1,30,0),ABS(8-$HI25)*100)),100000+ABS(1-$HH25)*1000+80)))-IF((8=$HJ25)+(8=$HK25)+(8=$HL25)+(8=$HM25)+(8=$HN25)+(8=$HO25)&gt;=2,50,0))+K$5*50)</f>
        <v/>
      </c>
      <c r="L145">
        <f>IF(OR($JF25=0,calcA!$A$6=0),0,IF(OR(9=$HA25,9=$HD25,9=$HG25),200000,MIN(IF($HA25=0,999999,IF(1=$HB25,IF(9=$HJ25,IF($JC25=2,30,0),IF(9=$HK25,IF($JC25=1,30,0),ABS(9-$HC25)*100)),100000+ABS(1-$HB25)*1000+90)),IF($HD25=0,999999,IF(1=$HE25,IF(9=$HL25,IF($JD25=2,30,0),IF(9=$HM25,IF($JD25=1,30,0),ABS(9-$HF25)*100)),100000+ABS(1-$HE25)*1000+90)),IF($HG25=0,999999,IF(1=$HH25,IF(9=$HN25,IF($JE25=2,30,0),IF(9=$HO25,IF($JE25=1,30,0),ABS(9-$HI25)*100)),100000+ABS(1-$HH25)*1000+90)))-IF((9=$HJ25)+(9=$HK25)+(9=$HL25)+(9=$HM25)+(9=$HN25)+(9=$HO25)&gt;=2,50,0))+L$5*50)</f>
        <v/>
      </c>
      <c r="M145">
        <f>IF(OR($JF25=0,calcA!$A$6=0),0,IF(OR(10=$HA25,10=$HD25,10=$HG25),200000,MIN(IF($HA25=0,999999,IF(1=$HB25,IF(10=$HJ25,IF($JC25=2,30,0),IF(10=$HK25,IF($JC25=1,30,0),ABS(10-$HC25)*100)),100000+ABS(1-$HB25)*1000+100)),IF($HD25=0,999999,IF(1=$HE25,IF(10=$HL25,IF($JD25=2,30,0),IF(10=$HM25,IF($JD25=1,30,0),ABS(10-$HF25)*100)),100000+ABS(1-$HE25)*1000+100)),IF($HG25=0,999999,IF(1=$HH25,IF(10=$HN25,IF($JE25=2,30,0),IF(10=$HO25,IF($JE25=1,30,0),ABS(10-$HI25)*100)),100000+ABS(1-$HH25)*1000+100)))-IF((10=$HJ25)+(10=$HK25)+(10=$HL25)+(10=$HM25)+(10=$HN25)+(10=$HO25)&gt;=2,50,0))+M$5*50)</f>
        <v/>
      </c>
      <c r="N145">
        <f>IF(OR($JF25=0,calcA!$A$6=0),0,IF(OR(11=$HA25,11=$HD25,11=$HG25),200000,MIN(IF($HA25=0,999999,IF(1=$HB25,IF(11=$HJ25,IF($JC25=2,30,0),IF(11=$HK25,IF($JC25=1,30,0),ABS(11-$HC25)*100)),100000+ABS(1-$HB25)*1000+110)),IF($HD25=0,999999,IF(1=$HE25,IF(11=$HL25,IF($JD25=2,30,0),IF(11=$HM25,IF($JD25=1,30,0),ABS(11-$HF25)*100)),100000+ABS(1-$HE25)*1000+110)),IF($HG25=0,999999,IF(1=$HH25,IF(11=$HN25,IF($JE25=2,30,0),IF(11=$HO25,IF($JE25=1,30,0),ABS(11-$HI25)*100)),100000+ABS(1-$HH25)*1000+110)))-IF((11=$HJ25)+(11=$HK25)+(11=$HL25)+(11=$HM25)+(11=$HN25)+(11=$HO25)&gt;=2,50,0))+N$5*50)</f>
        <v/>
      </c>
      <c r="O145">
        <f>IF(OR($JF25=0,calcA!$A$6=0),0,IF(OR(12=$HA25,12=$HD25,12=$HG25),200000,MIN(IF($HA25=0,999999,IF(1=$HB25,IF(12=$HJ25,IF($JC25=2,30,0),IF(12=$HK25,IF($JC25=1,30,0),ABS(12-$HC25)*100)),100000+ABS(1-$HB25)*1000+120)),IF($HD25=0,999999,IF(1=$HE25,IF(12=$HL25,IF($JD25=2,30,0),IF(12=$HM25,IF($JD25=1,30,0),ABS(12-$HF25)*100)),100000+ABS(1-$HE25)*1000+120)),IF($HG25=0,999999,IF(1=$HH25,IF(12=$HN25,IF($JE25=2,30,0),IF(12=$HO25,IF($JE25=1,30,0),ABS(12-$HI25)*100)),100000+ABS(1-$HH25)*1000+120)))-IF((12=$HJ25)+(12=$HK25)+(12=$HL25)+(12=$HM25)+(12=$HN25)+(12=$HO25)&gt;=2,50,0))+O$5*50)</f>
        <v/>
      </c>
      <c r="P145">
        <f>IF(OR($JF25=0,calcA!$A$6=0),0,IF(OR(13=$HA25,13=$HD25,13=$HG25),200000,MIN(IF($HA25=0,999999,IF(1=$HB25,IF(13=$HJ25,IF($JC25=2,30,0),IF(13=$HK25,IF($JC25=1,30,0),ABS(13-$HC25)*100)),100000+ABS(1-$HB25)*1000+130)),IF($HD25=0,999999,IF(1=$HE25,IF(13=$HL25,IF($JD25=2,30,0),IF(13=$HM25,IF($JD25=1,30,0),ABS(13-$HF25)*100)),100000+ABS(1-$HE25)*1000+130)),IF($HG25=0,999999,IF(1=$HH25,IF(13=$HN25,IF($JE25=2,30,0),IF(13=$HO25,IF($JE25=1,30,0),ABS(13-$HI25)*100)),100000+ABS(1-$HH25)*1000+130)))-IF((13=$HJ25)+(13=$HK25)+(13=$HL25)+(13=$HM25)+(13=$HN25)+(13=$HO25)&gt;=2,50,0))+P$5*50)</f>
        <v/>
      </c>
      <c r="Q145">
        <f>IF(OR($JF25=0,calcA!$A$6=0),0,IF(OR(14=$HA25,14=$HD25,14=$HG25),200000,MIN(IF($HA25=0,999999,IF(1=$HB25,IF(14=$HJ25,IF($JC25=2,30,0),IF(14=$HK25,IF($JC25=1,30,0),ABS(14-$HC25)*100)),100000+ABS(1-$HB25)*1000+140)),IF($HD25=0,999999,IF(1=$HE25,IF(14=$HL25,IF($JD25=2,30,0),IF(14=$HM25,IF($JD25=1,30,0),ABS(14-$HF25)*100)),100000+ABS(1-$HE25)*1000+140)),IF($HG25=0,999999,IF(1=$HH25,IF(14=$HN25,IF($JE25=2,30,0),IF(14=$HO25,IF($JE25=1,30,0),ABS(14-$HI25)*100)),100000+ABS(1-$HH25)*1000+140)))-IF((14=$HJ25)+(14=$HK25)+(14=$HL25)+(14=$HM25)+(14=$HN25)+(14=$HO25)&gt;=2,50,0))+Q$5*50)</f>
        <v/>
      </c>
      <c r="R145">
        <f>IF(OR($JF25=0,calcA!$A$6=0),0,IF(OR(15=$HA25,15=$HD25,15=$HG25),200000,MIN(IF($HA25=0,999999,IF(1=$HB25,IF(15=$HJ25,IF($JC25=2,30,0),IF(15=$HK25,IF($JC25=1,30,0),ABS(15-$HC25)*100)),100000+ABS(1-$HB25)*1000+150)),IF($HD25=0,999999,IF(1=$HE25,IF(15=$HL25,IF($JD25=2,30,0),IF(15=$HM25,IF($JD25=1,30,0),ABS(15-$HF25)*100)),100000+ABS(1-$HE25)*1000+150)),IF($HG25=0,999999,IF(1=$HH25,IF(15=$HN25,IF($JE25=2,30,0),IF(15=$HO25,IF($JE25=1,30,0),ABS(15-$HI25)*100)),100000+ABS(1-$HH25)*1000+150)))-IF((15=$HJ25)+(15=$HK25)+(15=$HL25)+(15=$HM25)+(15=$HN25)+(15=$HO25)&gt;=2,50,0))+R$5*50)</f>
        <v/>
      </c>
      <c r="S145">
        <f>IF(OR($JF25=0,calcA!$A$6=0),0,IF(OR(16=$HA25,16=$HD25,16=$HG25),200000,MIN(IF($HA25=0,999999,IF(1=$HB25,IF(16=$HJ25,IF($JC25=2,30,0),IF(16=$HK25,IF($JC25=1,30,0),ABS(16-$HC25)*100)),100000+ABS(1-$HB25)*1000+160)),IF($HD25=0,999999,IF(1=$HE25,IF(16=$HL25,IF($JD25=2,30,0),IF(16=$HM25,IF($JD25=1,30,0),ABS(16-$HF25)*100)),100000+ABS(1-$HE25)*1000+160)),IF($HG25=0,999999,IF(1=$HH25,IF(16=$HN25,IF($JE25=2,30,0),IF(16=$HO25,IF($JE25=1,30,0),ABS(16-$HI25)*100)),100000+ABS(1-$HH25)*1000+160)))-IF((16=$HJ25)+(16=$HK25)+(16=$HL25)+(16=$HM25)+(16=$HN25)+(16=$HO25)&gt;=2,50,0))+S$5*50)</f>
        <v/>
      </c>
      <c r="T145">
        <f>IF(OR($JF25=0,calcA!$A$6=0),0,IF(OR(17=$HA25,17=$HD25,17=$HG25),200000,MIN(IF($HA25=0,999999,IF(1=$HB25,IF(17=$HJ25,IF($JC25=2,30,0),IF(17=$HK25,IF($JC25=1,30,0),ABS(17-$HC25)*100)),100000+ABS(1-$HB25)*1000+170)),IF($HD25=0,999999,IF(1=$HE25,IF(17=$HL25,IF($JD25=2,30,0),IF(17=$HM25,IF($JD25=1,30,0),ABS(17-$HF25)*100)),100000+ABS(1-$HE25)*1000+170)),IF($HG25=0,999999,IF(1=$HH25,IF(17=$HN25,IF($JE25=2,30,0),IF(17=$HO25,IF($JE25=1,30,0),ABS(17-$HI25)*100)),100000+ABS(1-$HH25)*1000+170)))-IF((17=$HJ25)+(17=$HK25)+(17=$HL25)+(17=$HM25)+(17=$HN25)+(17=$HO25)&gt;=2,50,0))+T$5*50)</f>
        <v/>
      </c>
      <c r="U145">
        <f>IF(OR($JF25=0,calcA!$A$6=0),0,IF(OR(18=$HA25,18=$HD25,18=$HG25),200000,MIN(IF($HA25=0,999999,IF(1=$HB25,IF(18=$HJ25,IF($JC25=2,30,0),IF(18=$HK25,IF($JC25=1,30,0),ABS(18-$HC25)*100)),100000+ABS(1-$HB25)*1000+180)),IF($HD25=0,999999,IF(1=$HE25,IF(18=$HL25,IF($JD25=2,30,0),IF(18=$HM25,IF($JD25=1,30,0),ABS(18-$HF25)*100)),100000+ABS(1-$HE25)*1000+180)),IF($HG25=0,999999,IF(1=$HH25,IF(18=$HN25,IF($JE25=2,30,0),IF(18=$HO25,IF($JE25=1,30,0),ABS(18-$HI25)*100)),100000+ABS(1-$HH25)*1000+180)))-IF((18=$HJ25)+(18=$HK25)+(18=$HL25)+(18=$HM25)+(18=$HN25)+(18=$HO25)&gt;=2,50,0))+U$5*50)</f>
        <v/>
      </c>
      <c r="V145">
        <f>IF(OR($JF25=0,calcA!$A$6=0),0,IF(OR(19=$HA25,19=$HD25,19=$HG25),200000,MIN(IF($HA25=0,999999,IF(1=$HB25,IF(19=$HJ25,IF($JC25=2,30,0),IF(19=$HK25,IF($JC25=1,30,0),ABS(19-$HC25)*100)),100000+ABS(1-$HB25)*1000+190)),IF($HD25=0,999999,IF(1=$HE25,IF(19=$HL25,IF($JD25=2,30,0),IF(19=$HM25,IF($JD25=1,30,0),ABS(19-$HF25)*100)),100000+ABS(1-$HE25)*1000+190)),IF($HG25=0,999999,IF(1=$HH25,IF(19=$HN25,IF($JE25=2,30,0),IF(19=$HO25,IF($JE25=1,30,0),ABS(19-$HI25)*100)),100000+ABS(1-$HH25)*1000+190)))-IF((19=$HJ25)+(19=$HK25)+(19=$HL25)+(19=$HM25)+(19=$HN25)+(19=$HO25)&gt;=2,50,0))+V$5*50)</f>
        <v/>
      </c>
      <c r="W145">
        <f>IF(OR($JF25=0,calcA!$A$6=0),0,IF(OR(20=$HA25,20=$HD25,20=$HG25),200000,MIN(IF($HA25=0,999999,IF(1=$HB25,IF(20=$HJ25,IF($JC25=2,30,0),IF(20=$HK25,IF($JC25=1,30,0),ABS(20-$HC25)*100)),100000+ABS(1-$HB25)*1000+200)),IF($HD25=0,999999,IF(1=$HE25,IF(20=$HL25,IF($JD25=2,30,0),IF(20=$HM25,IF($JD25=1,30,0),ABS(20-$HF25)*100)),100000+ABS(1-$HE25)*1000+200)),IF($HG25=0,999999,IF(1=$HH25,IF(20=$HN25,IF($JE25=2,30,0),IF(20=$HO25,IF($JE25=1,30,0),ABS(20-$HI25)*100)),100000+ABS(1-$HH25)*1000+200)))-IF((20=$HJ25)+(20=$HK25)+(20=$HL25)+(20=$HM25)+(20=$HN25)+(20=$HO25)&gt;=2,50,0))+W$5*50)</f>
        <v/>
      </c>
      <c r="X145">
        <f>IF(OR($JF25=0,calcA!$A$6=0),0,IF(OR(21=$HA25,21=$HD25,21=$HG25),200000,MIN(IF($HA25=0,999999,IF(1=$HB25,IF(21=$HJ25,IF($JC25=2,30,0),IF(21=$HK25,IF($JC25=1,30,0),ABS(21-$HC25)*100)),100000+ABS(1-$HB25)*1000+210)),IF($HD25=0,999999,IF(1=$HE25,IF(21=$HL25,IF($JD25=2,30,0),IF(21=$HM25,IF($JD25=1,30,0),ABS(21-$HF25)*100)),100000+ABS(1-$HE25)*1000+210)),IF($HG25=0,999999,IF(1=$HH25,IF(21=$HN25,IF($JE25=2,30,0),IF(21=$HO25,IF($JE25=1,30,0),ABS(21-$HI25)*100)),100000+ABS(1-$HH25)*1000+210)))-IF((21=$HJ25)+(21=$HK25)+(21=$HL25)+(21=$HM25)+(21=$HN25)+(21=$HO25)&gt;=2,50,0))+X$5*50)</f>
        <v/>
      </c>
      <c r="Y145">
        <f>IF(OR($JF25=0,calcA!$A$6=0),0,IF(OR(22=$HA25,22=$HD25,22=$HG25),200000,MIN(IF($HA25=0,999999,IF(1=$HB25,IF(22=$HJ25,IF($JC25=2,30,0),IF(22=$HK25,IF($JC25=1,30,0),ABS(22-$HC25)*100)),100000+ABS(1-$HB25)*1000+220)),IF($HD25=0,999999,IF(1=$HE25,IF(22=$HL25,IF($JD25=2,30,0),IF(22=$HM25,IF($JD25=1,30,0),ABS(22-$HF25)*100)),100000+ABS(1-$HE25)*1000+220)),IF($HG25=0,999999,IF(1=$HH25,IF(22=$HN25,IF($JE25=2,30,0),IF(22=$HO25,IF($JE25=1,30,0),ABS(22-$HI25)*100)),100000+ABS(1-$HH25)*1000+220)))-IF((22=$HJ25)+(22=$HK25)+(22=$HL25)+(22=$HM25)+(22=$HN25)+(22=$HO25)&gt;=2,50,0))+Y$5*50)</f>
        <v/>
      </c>
      <c r="Z145">
        <f>IF(OR($JF25=0,calcA!$A$6=0),0,IF(OR(23=$HA25,23=$HD25,23=$HG25),200000,MIN(IF($HA25=0,999999,IF(1=$HB25,IF(23=$HJ25,IF($JC25=2,30,0),IF(23=$HK25,IF($JC25=1,30,0),ABS(23-$HC25)*100)),100000+ABS(1-$HB25)*1000+230)),IF($HD25=0,999999,IF(1=$HE25,IF(23=$HL25,IF($JD25=2,30,0),IF(23=$HM25,IF($JD25=1,30,0),ABS(23-$HF25)*100)),100000+ABS(1-$HE25)*1000+230)),IF($HG25=0,999999,IF(1=$HH25,IF(23=$HN25,IF($JE25=2,30,0),IF(23=$HO25,IF($JE25=1,30,0),ABS(23-$HI25)*100)),100000+ABS(1-$HH25)*1000+230)))-IF((23=$HJ25)+(23=$HK25)+(23=$HL25)+(23=$HM25)+(23=$HN25)+(23=$HO25)&gt;=2,50,0))+Z$5*50)</f>
        <v/>
      </c>
      <c r="AA145">
        <f>IF(OR($JF25=0,calcA!$A$6=0),0,IF(OR(24=$HA25,24=$HD25,24=$HG25),200000,MIN(IF($HA25=0,999999,IF(1=$HB25,IF(24=$HJ25,IF($JC25=2,30,0),IF(24=$HK25,IF($JC25=1,30,0),ABS(24-$HC25)*100)),100000+ABS(1-$HB25)*1000+240)),IF($HD25=0,999999,IF(1=$HE25,IF(24=$HL25,IF($JD25=2,30,0),IF(24=$HM25,IF($JD25=1,30,0),ABS(24-$HF25)*100)),100000+ABS(1-$HE25)*1000+240)),IF($HG25=0,999999,IF(1=$HH25,IF(24=$HN25,IF($JE25=2,30,0),IF(24=$HO25,IF($JE25=1,30,0),ABS(24-$HI25)*100)),100000+ABS(1-$HH25)*1000+240)))-IF((24=$HJ25)+(24=$HK25)+(24=$HL25)+(24=$HM25)+(24=$HN25)+(24=$HO25)&gt;=2,50,0))+AA$5*50)</f>
        <v/>
      </c>
      <c r="AB145">
        <f>IF(OR($JF25=0,calcA!$A$6=0),0,IF(OR(25=$HA25,25=$HD25,25=$HG25),200000,MIN(IF($HA25=0,999999,IF(2=$HB25,IF(25=$HJ25,IF($JC25=2,30,0),IF(25=$HK25,IF($JC25=1,30,0),ABS(1-$HC25)*100)),100000+ABS(2-$HB25)*1000+10)),IF($HD25=0,999999,IF(2=$HE25,IF(25=$HL25,IF($JD25=2,30,0),IF(25=$HM25,IF($JD25=1,30,0),ABS(1-$HF25)*100)),100000+ABS(2-$HE25)*1000+10)),IF($HG25=0,999999,IF(2=$HH25,IF(25=$HN25,IF($JE25=2,30,0),IF(25=$HO25,IF($JE25=1,30,0),ABS(1-$HI25)*100)),100000+ABS(2-$HH25)*1000+10)))-IF((25=$HJ25)+(25=$HK25)+(25=$HL25)+(25=$HM25)+(25=$HN25)+(25=$HO25)&gt;=2,50,0))+AB$5*50)</f>
        <v/>
      </c>
      <c r="AC145">
        <f>IF(OR($JF25=0,calcA!$A$6=0),0,IF(OR(26=$HA25,26=$HD25,26=$HG25),200000,MIN(IF($HA25=0,999999,IF(2=$HB25,IF(26=$HJ25,IF($JC25=2,30,0),IF(26=$HK25,IF($JC25=1,30,0),ABS(2-$HC25)*100)),100000+ABS(2-$HB25)*1000+20)),IF($HD25=0,999999,IF(2=$HE25,IF(26=$HL25,IF($JD25=2,30,0),IF(26=$HM25,IF($JD25=1,30,0),ABS(2-$HF25)*100)),100000+ABS(2-$HE25)*1000+20)),IF($HG25=0,999999,IF(2=$HH25,IF(26=$HN25,IF($JE25=2,30,0),IF(26=$HO25,IF($JE25=1,30,0),ABS(2-$HI25)*100)),100000+ABS(2-$HH25)*1000+20)))-IF((26=$HJ25)+(26=$HK25)+(26=$HL25)+(26=$HM25)+(26=$HN25)+(26=$HO25)&gt;=2,50,0))+AC$5*50)</f>
        <v/>
      </c>
      <c r="AD145">
        <f>IF(OR($JF25=0,calcA!$A$6=0),0,IF(OR(27=$HA25,27=$HD25,27=$HG25),200000,MIN(IF($HA25=0,999999,IF(2=$HB25,IF(27=$HJ25,IF($JC25=2,30,0),IF(27=$HK25,IF($JC25=1,30,0),ABS(3-$HC25)*100)),100000+ABS(2-$HB25)*1000+30)),IF($HD25=0,999999,IF(2=$HE25,IF(27=$HL25,IF($JD25=2,30,0),IF(27=$HM25,IF($JD25=1,30,0),ABS(3-$HF25)*100)),100000+ABS(2-$HE25)*1000+30)),IF($HG25=0,999999,IF(2=$HH25,IF(27=$HN25,IF($JE25=2,30,0),IF(27=$HO25,IF($JE25=1,30,0),ABS(3-$HI25)*100)),100000+ABS(2-$HH25)*1000+30)))-IF((27=$HJ25)+(27=$HK25)+(27=$HL25)+(27=$HM25)+(27=$HN25)+(27=$HO25)&gt;=2,50,0))+AD$5*50)</f>
        <v/>
      </c>
      <c r="AE145">
        <f>IF(OR($JF25=0,calcA!$A$6=0),0,IF(OR(28=$HA25,28=$HD25,28=$HG25),200000,MIN(IF($HA25=0,999999,IF(2=$HB25,IF(28=$HJ25,IF($JC25=2,30,0),IF(28=$HK25,IF($JC25=1,30,0),ABS(4-$HC25)*100)),100000+ABS(2-$HB25)*1000+40)),IF($HD25=0,999999,IF(2=$HE25,IF(28=$HL25,IF($JD25=2,30,0),IF(28=$HM25,IF($JD25=1,30,0),ABS(4-$HF25)*100)),100000+ABS(2-$HE25)*1000+40)),IF($HG25=0,999999,IF(2=$HH25,IF(28=$HN25,IF($JE25=2,30,0),IF(28=$HO25,IF($JE25=1,30,0),ABS(4-$HI25)*100)),100000+ABS(2-$HH25)*1000+40)))-IF((28=$HJ25)+(28=$HK25)+(28=$HL25)+(28=$HM25)+(28=$HN25)+(28=$HO25)&gt;=2,50,0))+AE$5*50)</f>
        <v/>
      </c>
      <c r="AF145">
        <f>IF(OR($JF25=0,calcA!$A$6=0),0,IF(OR(29=$HA25,29=$HD25,29=$HG25),200000,MIN(IF($HA25=0,999999,IF(2=$HB25,IF(29=$HJ25,IF($JC25=2,30,0),IF(29=$HK25,IF($JC25=1,30,0),ABS(5-$HC25)*100)),100000+ABS(2-$HB25)*1000+50)),IF($HD25=0,999999,IF(2=$HE25,IF(29=$HL25,IF($JD25=2,30,0),IF(29=$HM25,IF($JD25=1,30,0),ABS(5-$HF25)*100)),100000+ABS(2-$HE25)*1000+50)),IF($HG25=0,999999,IF(2=$HH25,IF(29=$HN25,IF($JE25=2,30,0),IF(29=$HO25,IF($JE25=1,30,0),ABS(5-$HI25)*100)),100000+ABS(2-$HH25)*1000+50)))-IF((29=$HJ25)+(29=$HK25)+(29=$HL25)+(29=$HM25)+(29=$HN25)+(29=$HO25)&gt;=2,50,0))+AF$5*50)</f>
        <v/>
      </c>
      <c r="AG145">
        <f>IF(OR($JF25=0,calcA!$A$6=0),0,IF(OR(30=$HA25,30=$HD25,30=$HG25),200000,MIN(IF($HA25=0,999999,IF(2=$HB25,IF(30=$HJ25,IF($JC25=2,30,0),IF(30=$HK25,IF($JC25=1,30,0),ABS(6-$HC25)*100)),100000+ABS(2-$HB25)*1000+60)),IF($HD25=0,999999,IF(2=$HE25,IF(30=$HL25,IF($JD25=2,30,0),IF(30=$HM25,IF($JD25=1,30,0),ABS(6-$HF25)*100)),100000+ABS(2-$HE25)*1000+60)),IF($HG25=0,999999,IF(2=$HH25,IF(30=$HN25,IF($JE25=2,30,0),IF(30=$HO25,IF($JE25=1,30,0),ABS(6-$HI25)*100)),100000+ABS(2-$HH25)*1000+60)))-IF((30=$HJ25)+(30=$HK25)+(30=$HL25)+(30=$HM25)+(30=$HN25)+(30=$HO25)&gt;=2,50,0))+AG$5*50)</f>
        <v/>
      </c>
      <c r="AH145">
        <f>IF(OR($JF25=0,calcA!$A$6=0),0,IF(OR(31=$HA25,31=$HD25,31=$HG25),200000,MIN(IF($HA25=0,999999,IF(2=$HB25,IF(31=$HJ25,IF($JC25=2,30,0),IF(31=$HK25,IF($JC25=1,30,0),ABS(7-$HC25)*100)),100000+ABS(2-$HB25)*1000+70)),IF($HD25=0,999999,IF(2=$HE25,IF(31=$HL25,IF($JD25=2,30,0),IF(31=$HM25,IF($JD25=1,30,0),ABS(7-$HF25)*100)),100000+ABS(2-$HE25)*1000+70)),IF($HG25=0,999999,IF(2=$HH25,IF(31=$HN25,IF($JE25=2,30,0),IF(31=$HO25,IF($JE25=1,30,0),ABS(7-$HI25)*100)),100000+ABS(2-$HH25)*1000+70)))-IF((31=$HJ25)+(31=$HK25)+(31=$HL25)+(31=$HM25)+(31=$HN25)+(31=$HO25)&gt;=2,50,0))+AH$5*50)</f>
        <v/>
      </c>
      <c r="AI145">
        <f>IF(OR($JF25=0,calcA!$A$6=0),0,IF(OR(32=$HA25,32=$HD25,32=$HG25),200000,MIN(IF($HA25=0,999999,IF(2=$HB25,IF(32=$HJ25,IF($JC25=2,30,0),IF(32=$HK25,IF($JC25=1,30,0),ABS(8-$HC25)*100)),100000+ABS(2-$HB25)*1000+80)),IF($HD25=0,999999,IF(2=$HE25,IF(32=$HL25,IF($JD25=2,30,0),IF(32=$HM25,IF($JD25=1,30,0),ABS(8-$HF25)*100)),100000+ABS(2-$HE25)*1000+80)),IF($HG25=0,999999,IF(2=$HH25,IF(32=$HN25,IF($JE25=2,30,0),IF(32=$HO25,IF($JE25=1,30,0),ABS(8-$HI25)*100)),100000+ABS(2-$HH25)*1000+80)))-IF((32=$HJ25)+(32=$HK25)+(32=$HL25)+(32=$HM25)+(32=$HN25)+(32=$HO25)&gt;=2,50,0))+AI$5*50)</f>
        <v/>
      </c>
      <c r="AJ145">
        <f>IF(OR($JF25=0,calcA!$A$6=0),0,IF(OR(33=$HA25,33=$HD25,33=$HG25),200000,MIN(IF($HA25=0,999999,IF(2=$HB25,IF(33=$HJ25,IF($JC25=2,30,0),IF(33=$HK25,IF($JC25=1,30,0),ABS(9-$HC25)*100)),100000+ABS(2-$HB25)*1000+90)),IF($HD25=0,999999,IF(2=$HE25,IF(33=$HL25,IF($JD25=2,30,0),IF(33=$HM25,IF($JD25=1,30,0),ABS(9-$HF25)*100)),100000+ABS(2-$HE25)*1000+90)),IF($HG25=0,999999,IF(2=$HH25,IF(33=$HN25,IF($JE25=2,30,0),IF(33=$HO25,IF($JE25=1,30,0),ABS(9-$HI25)*100)),100000+ABS(2-$HH25)*1000+90)))-IF((33=$HJ25)+(33=$HK25)+(33=$HL25)+(33=$HM25)+(33=$HN25)+(33=$HO25)&gt;=2,50,0))+AJ$5*50)</f>
        <v/>
      </c>
      <c r="AK145">
        <f>IF(OR($JF25=0,calcA!$A$6=0),0,IF(OR(34=$HA25,34=$HD25,34=$HG25),200000,MIN(IF($HA25=0,999999,IF(2=$HB25,IF(34=$HJ25,IF($JC25=2,30,0),IF(34=$HK25,IF($JC25=1,30,0),ABS(10-$HC25)*100)),100000+ABS(2-$HB25)*1000+100)),IF($HD25=0,999999,IF(2=$HE25,IF(34=$HL25,IF($JD25=2,30,0),IF(34=$HM25,IF($JD25=1,30,0),ABS(10-$HF25)*100)),100000+ABS(2-$HE25)*1000+100)),IF($HG25=0,999999,IF(2=$HH25,IF(34=$HN25,IF($JE25=2,30,0),IF(34=$HO25,IF($JE25=1,30,0),ABS(10-$HI25)*100)),100000+ABS(2-$HH25)*1000+100)))-IF((34=$HJ25)+(34=$HK25)+(34=$HL25)+(34=$HM25)+(34=$HN25)+(34=$HO25)&gt;=2,50,0))+AK$5*50)</f>
        <v/>
      </c>
      <c r="AL145">
        <f>IF(OR($JF25=0,calcA!$A$6=0),0,IF(OR(35=$HA25,35=$HD25,35=$HG25),200000,MIN(IF($HA25=0,999999,IF(2=$HB25,IF(35=$HJ25,IF($JC25=2,30,0),IF(35=$HK25,IF($JC25=1,30,0),ABS(11-$HC25)*100)),100000+ABS(2-$HB25)*1000+110)),IF($HD25=0,999999,IF(2=$HE25,IF(35=$HL25,IF($JD25=2,30,0),IF(35=$HM25,IF($JD25=1,30,0),ABS(11-$HF25)*100)),100000+ABS(2-$HE25)*1000+110)),IF($HG25=0,999999,IF(2=$HH25,IF(35=$HN25,IF($JE25=2,30,0),IF(35=$HO25,IF($JE25=1,30,0),ABS(11-$HI25)*100)),100000+ABS(2-$HH25)*1000+110)))-IF((35=$HJ25)+(35=$HK25)+(35=$HL25)+(35=$HM25)+(35=$HN25)+(35=$HO25)&gt;=2,50,0))+AL$5*50)</f>
        <v/>
      </c>
      <c r="AM145">
        <f>IF(OR($JF25=0,calcA!$A$6=0),0,IF(OR(36=$HA25,36=$HD25,36=$HG25),200000,MIN(IF($HA25=0,999999,IF(2=$HB25,IF(36=$HJ25,IF($JC25=2,30,0),IF(36=$HK25,IF($JC25=1,30,0),ABS(12-$HC25)*100)),100000+ABS(2-$HB25)*1000+120)),IF($HD25=0,999999,IF(2=$HE25,IF(36=$HL25,IF($JD25=2,30,0),IF(36=$HM25,IF($JD25=1,30,0),ABS(12-$HF25)*100)),100000+ABS(2-$HE25)*1000+120)),IF($HG25=0,999999,IF(2=$HH25,IF(36=$HN25,IF($JE25=2,30,0),IF(36=$HO25,IF($JE25=1,30,0),ABS(12-$HI25)*100)),100000+ABS(2-$HH25)*1000+120)))-IF((36=$HJ25)+(36=$HK25)+(36=$HL25)+(36=$HM25)+(36=$HN25)+(36=$HO25)&gt;=2,50,0))+AM$5*50)</f>
        <v/>
      </c>
      <c r="AN145">
        <f>IF(OR($JF25=0,calcA!$A$6=0),0,IF(OR(37=$HA25,37=$HD25,37=$HG25),200000,MIN(IF($HA25=0,999999,IF(2=$HB25,IF(37=$HJ25,IF($JC25=2,30,0),IF(37=$HK25,IF($JC25=1,30,0),ABS(13-$HC25)*100)),100000+ABS(2-$HB25)*1000+130)),IF($HD25=0,999999,IF(2=$HE25,IF(37=$HL25,IF($JD25=2,30,0),IF(37=$HM25,IF($JD25=1,30,0),ABS(13-$HF25)*100)),100000+ABS(2-$HE25)*1000+130)),IF($HG25=0,999999,IF(2=$HH25,IF(37=$HN25,IF($JE25=2,30,0),IF(37=$HO25,IF($JE25=1,30,0),ABS(13-$HI25)*100)),100000+ABS(2-$HH25)*1000+130)))-IF((37=$HJ25)+(37=$HK25)+(37=$HL25)+(37=$HM25)+(37=$HN25)+(37=$HO25)&gt;=2,50,0))+AN$5*50)</f>
        <v/>
      </c>
      <c r="AO145">
        <f>IF(OR($JF25=0,calcA!$A$6=0),0,IF(OR(38=$HA25,38=$HD25,38=$HG25),200000,MIN(IF($HA25=0,999999,IF(2=$HB25,IF(38=$HJ25,IF($JC25=2,30,0),IF(38=$HK25,IF($JC25=1,30,0),ABS(14-$HC25)*100)),100000+ABS(2-$HB25)*1000+140)),IF($HD25=0,999999,IF(2=$HE25,IF(38=$HL25,IF($JD25=2,30,0),IF(38=$HM25,IF($JD25=1,30,0),ABS(14-$HF25)*100)),100000+ABS(2-$HE25)*1000+140)),IF($HG25=0,999999,IF(2=$HH25,IF(38=$HN25,IF($JE25=2,30,0),IF(38=$HO25,IF($JE25=1,30,0),ABS(14-$HI25)*100)),100000+ABS(2-$HH25)*1000+140)))-IF((38=$HJ25)+(38=$HK25)+(38=$HL25)+(38=$HM25)+(38=$HN25)+(38=$HO25)&gt;=2,50,0))+AO$5*50)</f>
        <v/>
      </c>
      <c r="AP145">
        <f>IF(OR($JF25=0,calcA!$A$6=0),0,IF(OR(39=$HA25,39=$HD25,39=$HG25),200000,MIN(IF($HA25=0,999999,IF(2=$HB25,IF(39=$HJ25,IF($JC25=2,30,0),IF(39=$HK25,IF($JC25=1,30,0),ABS(15-$HC25)*100)),100000+ABS(2-$HB25)*1000+150)),IF($HD25=0,999999,IF(2=$HE25,IF(39=$HL25,IF($JD25=2,30,0),IF(39=$HM25,IF($JD25=1,30,0),ABS(15-$HF25)*100)),100000+ABS(2-$HE25)*1000+150)),IF($HG25=0,999999,IF(2=$HH25,IF(39=$HN25,IF($JE25=2,30,0),IF(39=$HO25,IF($JE25=1,30,0),ABS(15-$HI25)*100)),100000+ABS(2-$HH25)*1000+150)))-IF((39=$HJ25)+(39=$HK25)+(39=$HL25)+(39=$HM25)+(39=$HN25)+(39=$HO25)&gt;=2,50,0))+AP$5*50)</f>
        <v/>
      </c>
      <c r="AQ145">
        <f>IF(OR($JF25=0,calcA!$A$6=0),0,IF(OR(40=$HA25,40=$HD25,40=$HG25),200000,MIN(IF($HA25=0,999999,IF(2=$HB25,IF(40=$HJ25,IF($JC25=2,30,0),IF(40=$HK25,IF($JC25=1,30,0),ABS(16-$HC25)*100)),100000+ABS(2-$HB25)*1000+160)),IF($HD25=0,999999,IF(2=$HE25,IF(40=$HL25,IF($JD25=2,30,0),IF(40=$HM25,IF($JD25=1,30,0),ABS(16-$HF25)*100)),100000+ABS(2-$HE25)*1000+160)),IF($HG25=0,999999,IF(2=$HH25,IF(40=$HN25,IF($JE25=2,30,0),IF(40=$HO25,IF($JE25=1,30,0),ABS(16-$HI25)*100)),100000+ABS(2-$HH25)*1000+160)))-IF((40=$HJ25)+(40=$HK25)+(40=$HL25)+(40=$HM25)+(40=$HN25)+(40=$HO25)&gt;=2,50,0))+AQ$5*50)</f>
        <v/>
      </c>
      <c r="AR145">
        <f>IF(OR($JF25=0,calcA!$A$6=0),0,IF(OR(41=$HA25,41=$HD25,41=$HG25),200000,MIN(IF($HA25=0,999999,IF(2=$HB25,IF(41=$HJ25,IF($JC25=2,30,0),IF(41=$HK25,IF($JC25=1,30,0),ABS(17-$HC25)*100)),100000+ABS(2-$HB25)*1000+170)),IF($HD25=0,999999,IF(2=$HE25,IF(41=$HL25,IF($JD25=2,30,0),IF(41=$HM25,IF($JD25=1,30,0),ABS(17-$HF25)*100)),100000+ABS(2-$HE25)*1000+170)),IF($HG25=0,999999,IF(2=$HH25,IF(41=$HN25,IF($JE25=2,30,0),IF(41=$HO25,IF($JE25=1,30,0),ABS(17-$HI25)*100)),100000+ABS(2-$HH25)*1000+170)))-IF((41=$HJ25)+(41=$HK25)+(41=$HL25)+(41=$HM25)+(41=$HN25)+(41=$HO25)&gt;=2,50,0))+AR$5*50)</f>
        <v/>
      </c>
      <c r="AS145">
        <f>IF(OR($JF25=0,calcA!$A$6=0),0,IF(OR(42=$HA25,42=$HD25,42=$HG25),200000,MIN(IF($HA25=0,999999,IF(2=$HB25,IF(42=$HJ25,IF($JC25=2,30,0),IF(42=$HK25,IF($JC25=1,30,0),ABS(18-$HC25)*100)),100000+ABS(2-$HB25)*1000+180)),IF($HD25=0,999999,IF(2=$HE25,IF(42=$HL25,IF($JD25=2,30,0),IF(42=$HM25,IF($JD25=1,30,0),ABS(18-$HF25)*100)),100000+ABS(2-$HE25)*1000+180)),IF($HG25=0,999999,IF(2=$HH25,IF(42=$HN25,IF($JE25=2,30,0),IF(42=$HO25,IF($JE25=1,30,0),ABS(18-$HI25)*100)),100000+ABS(2-$HH25)*1000+180)))-IF((42=$HJ25)+(42=$HK25)+(42=$HL25)+(42=$HM25)+(42=$HN25)+(42=$HO25)&gt;=2,50,0))+AS$5*50)</f>
        <v/>
      </c>
      <c r="AT145">
        <f>IF(OR($JF25=0,calcA!$A$6=0),0,IF(OR(43=$HA25,43=$HD25,43=$HG25),200000,MIN(IF($HA25=0,999999,IF(2=$HB25,IF(43=$HJ25,IF($JC25=2,30,0),IF(43=$HK25,IF($JC25=1,30,0),ABS(19-$HC25)*100)),100000+ABS(2-$HB25)*1000+190)),IF($HD25=0,999999,IF(2=$HE25,IF(43=$HL25,IF($JD25=2,30,0),IF(43=$HM25,IF($JD25=1,30,0),ABS(19-$HF25)*100)),100000+ABS(2-$HE25)*1000+190)),IF($HG25=0,999999,IF(2=$HH25,IF(43=$HN25,IF($JE25=2,30,0),IF(43=$HO25,IF($JE25=1,30,0),ABS(19-$HI25)*100)),100000+ABS(2-$HH25)*1000+190)))-IF((43=$HJ25)+(43=$HK25)+(43=$HL25)+(43=$HM25)+(43=$HN25)+(43=$HO25)&gt;=2,50,0))+AT$5*50)</f>
        <v/>
      </c>
      <c r="AU145">
        <f>IF(OR($JF25=0,calcA!$A$6=0),0,IF(OR(44=$HA25,44=$HD25,44=$HG25),200000,MIN(IF($HA25=0,999999,IF(2=$HB25,IF(44=$HJ25,IF($JC25=2,30,0),IF(44=$HK25,IF($JC25=1,30,0),ABS(20-$HC25)*100)),100000+ABS(2-$HB25)*1000+200)),IF($HD25=0,999999,IF(2=$HE25,IF(44=$HL25,IF($JD25=2,30,0),IF(44=$HM25,IF($JD25=1,30,0),ABS(20-$HF25)*100)),100000+ABS(2-$HE25)*1000+200)),IF($HG25=0,999999,IF(2=$HH25,IF(44=$HN25,IF($JE25=2,30,0),IF(44=$HO25,IF($JE25=1,30,0),ABS(20-$HI25)*100)),100000+ABS(2-$HH25)*1000+200)))-IF((44=$HJ25)+(44=$HK25)+(44=$HL25)+(44=$HM25)+(44=$HN25)+(44=$HO25)&gt;=2,50,0))+AU$5*50)</f>
        <v/>
      </c>
      <c r="AV145">
        <f>IF(OR($JF25=0,calcA!$A$6=0),0,IF(OR(45=$HA25,45=$HD25,45=$HG25),200000,MIN(IF($HA25=0,999999,IF(2=$HB25,IF(45=$HJ25,IF($JC25=2,30,0),IF(45=$HK25,IF($JC25=1,30,0),ABS(21-$HC25)*100)),100000+ABS(2-$HB25)*1000+210)),IF($HD25=0,999999,IF(2=$HE25,IF(45=$HL25,IF($JD25=2,30,0),IF(45=$HM25,IF($JD25=1,30,0),ABS(21-$HF25)*100)),100000+ABS(2-$HE25)*1000+210)),IF($HG25=0,999999,IF(2=$HH25,IF(45=$HN25,IF($JE25=2,30,0),IF(45=$HO25,IF($JE25=1,30,0),ABS(21-$HI25)*100)),100000+ABS(2-$HH25)*1000+210)))-IF((45=$HJ25)+(45=$HK25)+(45=$HL25)+(45=$HM25)+(45=$HN25)+(45=$HO25)&gt;=2,50,0))+AV$5*50)</f>
        <v/>
      </c>
      <c r="AW145">
        <f>IF(OR($JF25=0,calcA!$A$6=0),0,IF(OR(46=$HA25,46=$HD25,46=$HG25),200000,MIN(IF($HA25=0,999999,IF(2=$HB25,IF(46=$HJ25,IF($JC25=2,30,0),IF(46=$HK25,IF($JC25=1,30,0),ABS(22-$HC25)*100)),100000+ABS(2-$HB25)*1000+220)),IF($HD25=0,999999,IF(2=$HE25,IF(46=$HL25,IF($JD25=2,30,0),IF(46=$HM25,IF($JD25=1,30,0),ABS(22-$HF25)*100)),100000+ABS(2-$HE25)*1000+220)),IF($HG25=0,999999,IF(2=$HH25,IF(46=$HN25,IF($JE25=2,30,0),IF(46=$HO25,IF($JE25=1,30,0),ABS(22-$HI25)*100)),100000+ABS(2-$HH25)*1000+220)))-IF((46=$HJ25)+(46=$HK25)+(46=$HL25)+(46=$HM25)+(46=$HN25)+(46=$HO25)&gt;=2,50,0))+AW$5*50)</f>
        <v/>
      </c>
      <c r="AX145">
        <f>IF(OR($JF25=0,calcA!$A$6=0),0,IF(OR(47=$HA25,47=$HD25,47=$HG25),200000,MIN(IF($HA25=0,999999,IF(2=$HB25,IF(47=$HJ25,IF($JC25=2,30,0),IF(47=$HK25,IF($JC25=1,30,0),ABS(23-$HC25)*100)),100000+ABS(2-$HB25)*1000+230)),IF($HD25=0,999999,IF(2=$HE25,IF(47=$HL25,IF($JD25=2,30,0),IF(47=$HM25,IF($JD25=1,30,0),ABS(23-$HF25)*100)),100000+ABS(2-$HE25)*1000+230)),IF($HG25=0,999999,IF(2=$HH25,IF(47=$HN25,IF($JE25=2,30,0),IF(47=$HO25,IF($JE25=1,30,0),ABS(23-$HI25)*100)),100000+ABS(2-$HH25)*1000+230)))-IF((47=$HJ25)+(47=$HK25)+(47=$HL25)+(47=$HM25)+(47=$HN25)+(47=$HO25)&gt;=2,50,0))+AX$5*50)</f>
        <v/>
      </c>
      <c r="AY145">
        <f>IF(OR($JF25=0,calcA!$A$6=0),0,IF(OR(48=$HA25,48=$HD25,48=$HG25),200000,MIN(IF($HA25=0,999999,IF(2=$HB25,IF(48=$HJ25,IF($JC25=2,30,0),IF(48=$HK25,IF($JC25=1,30,0),ABS(24-$HC25)*100)),100000+ABS(2-$HB25)*1000+240)),IF($HD25=0,999999,IF(2=$HE25,IF(48=$HL25,IF($JD25=2,30,0),IF(48=$HM25,IF($JD25=1,30,0),ABS(24-$HF25)*100)),100000+ABS(2-$HE25)*1000+240)),IF($HG25=0,999999,IF(2=$HH25,IF(48=$HN25,IF($JE25=2,30,0),IF(48=$HO25,IF($JE25=1,30,0),ABS(24-$HI25)*100)),100000+ABS(2-$HH25)*1000+240)))-IF((48=$HJ25)+(48=$HK25)+(48=$HL25)+(48=$HM25)+(48=$HN25)+(48=$HO25)&gt;=2,50,0))+AY$5*50)</f>
        <v/>
      </c>
      <c r="AZ145">
        <f>IF(OR($JF25=0,calcA!$A$6=0),0,IF(OR(49=$HA25,49=$HD25,49=$HG25),200000,MIN(IF($HA25=0,999999,IF(3=$HB25,IF(49=$HJ25,IF($JC25=2,30,0),IF(49=$HK25,IF($JC25=1,30,0),ABS(1-$HC25)*100)),100000+ABS(3-$HB25)*1000+10)),IF($HD25=0,999999,IF(3=$HE25,IF(49=$HL25,IF($JD25=2,30,0),IF(49=$HM25,IF($JD25=1,30,0),ABS(1-$HF25)*100)),100000+ABS(3-$HE25)*1000+10)),IF($HG25=0,999999,IF(3=$HH25,IF(49=$HN25,IF($JE25=2,30,0),IF(49=$HO25,IF($JE25=1,30,0),ABS(1-$HI25)*100)),100000+ABS(3-$HH25)*1000+10)))-IF((49=$HJ25)+(49=$HK25)+(49=$HL25)+(49=$HM25)+(49=$HN25)+(49=$HO25)&gt;=2,50,0))+AZ$5*50)</f>
        <v/>
      </c>
      <c r="BA145">
        <f>IF(OR($JF25=0,calcA!$A$6=0),0,IF(OR(50=$HA25,50=$HD25,50=$HG25),200000,MIN(IF($HA25=0,999999,IF(3=$HB25,IF(50=$HJ25,IF($JC25=2,30,0),IF(50=$HK25,IF($JC25=1,30,0),ABS(2-$HC25)*100)),100000+ABS(3-$HB25)*1000+20)),IF($HD25=0,999999,IF(3=$HE25,IF(50=$HL25,IF($JD25=2,30,0),IF(50=$HM25,IF($JD25=1,30,0),ABS(2-$HF25)*100)),100000+ABS(3-$HE25)*1000+20)),IF($HG25=0,999999,IF(3=$HH25,IF(50=$HN25,IF($JE25=2,30,0),IF(50=$HO25,IF($JE25=1,30,0),ABS(2-$HI25)*100)),100000+ABS(3-$HH25)*1000+20)))-IF((50=$HJ25)+(50=$HK25)+(50=$HL25)+(50=$HM25)+(50=$HN25)+(50=$HO25)&gt;=2,50,0))+BA$5*50)</f>
        <v/>
      </c>
      <c r="BB145">
        <f>IF(OR($JF25=0,calcA!$A$6=0),0,IF(OR(51=$HA25,51=$HD25,51=$HG25),200000,MIN(IF($HA25=0,999999,IF(3=$HB25,IF(51=$HJ25,IF($JC25=2,30,0),IF(51=$HK25,IF($JC25=1,30,0),ABS(3-$HC25)*100)),100000+ABS(3-$HB25)*1000+30)),IF($HD25=0,999999,IF(3=$HE25,IF(51=$HL25,IF($JD25=2,30,0),IF(51=$HM25,IF($JD25=1,30,0),ABS(3-$HF25)*100)),100000+ABS(3-$HE25)*1000+30)),IF($HG25=0,999999,IF(3=$HH25,IF(51=$HN25,IF($JE25=2,30,0),IF(51=$HO25,IF($JE25=1,30,0),ABS(3-$HI25)*100)),100000+ABS(3-$HH25)*1000+30)))-IF((51=$HJ25)+(51=$HK25)+(51=$HL25)+(51=$HM25)+(51=$HN25)+(51=$HO25)&gt;=2,50,0))+BB$5*50)</f>
        <v/>
      </c>
      <c r="BC145">
        <f>IF(OR($JF25=0,calcA!$A$6=0),0,IF(OR(52=$HA25,52=$HD25,52=$HG25),200000,MIN(IF($HA25=0,999999,IF(3=$HB25,IF(52=$HJ25,IF($JC25=2,30,0),IF(52=$HK25,IF($JC25=1,30,0),ABS(4-$HC25)*100)),100000+ABS(3-$HB25)*1000+40)),IF($HD25=0,999999,IF(3=$HE25,IF(52=$HL25,IF($JD25=2,30,0),IF(52=$HM25,IF($JD25=1,30,0),ABS(4-$HF25)*100)),100000+ABS(3-$HE25)*1000+40)),IF($HG25=0,999999,IF(3=$HH25,IF(52=$HN25,IF($JE25=2,30,0),IF(52=$HO25,IF($JE25=1,30,0),ABS(4-$HI25)*100)),100000+ABS(3-$HH25)*1000+40)))-IF((52=$HJ25)+(52=$HK25)+(52=$HL25)+(52=$HM25)+(52=$HN25)+(52=$HO25)&gt;=2,50,0))+BC$5*50)</f>
        <v/>
      </c>
      <c r="BD145">
        <f>IF(OR($JF25=0,calcA!$A$6=0),0,IF(OR(53=$HA25,53=$HD25,53=$HG25),200000,MIN(IF($HA25=0,999999,IF(3=$HB25,IF(53=$HJ25,IF($JC25=2,30,0),IF(53=$HK25,IF($JC25=1,30,0),ABS(5-$HC25)*100)),100000+ABS(3-$HB25)*1000+50)),IF($HD25=0,999999,IF(3=$HE25,IF(53=$HL25,IF($JD25=2,30,0),IF(53=$HM25,IF($JD25=1,30,0),ABS(5-$HF25)*100)),100000+ABS(3-$HE25)*1000+50)),IF($HG25=0,999999,IF(3=$HH25,IF(53=$HN25,IF($JE25=2,30,0),IF(53=$HO25,IF($JE25=1,30,0),ABS(5-$HI25)*100)),100000+ABS(3-$HH25)*1000+50)))-IF((53=$HJ25)+(53=$HK25)+(53=$HL25)+(53=$HM25)+(53=$HN25)+(53=$HO25)&gt;=2,50,0))+BD$5*50)</f>
        <v/>
      </c>
      <c r="BE145">
        <f>IF(OR($JF25=0,calcA!$A$6=0),0,IF(OR(54=$HA25,54=$HD25,54=$HG25),200000,MIN(IF($HA25=0,999999,IF(3=$HB25,IF(54=$HJ25,IF($JC25=2,30,0),IF(54=$HK25,IF($JC25=1,30,0),ABS(6-$HC25)*100)),100000+ABS(3-$HB25)*1000+60)),IF($HD25=0,999999,IF(3=$HE25,IF(54=$HL25,IF($JD25=2,30,0),IF(54=$HM25,IF($JD25=1,30,0),ABS(6-$HF25)*100)),100000+ABS(3-$HE25)*1000+60)),IF($HG25=0,999999,IF(3=$HH25,IF(54=$HN25,IF($JE25=2,30,0),IF(54=$HO25,IF($JE25=1,30,0),ABS(6-$HI25)*100)),100000+ABS(3-$HH25)*1000+60)))-IF((54=$HJ25)+(54=$HK25)+(54=$HL25)+(54=$HM25)+(54=$HN25)+(54=$HO25)&gt;=2,50,0))+BE$5*50)</f>
        <v/>
      </c>
      <c r="BF145">
        <f>IF(OR($JF25=0,calcA!$A$6=0),0,IF(OR(55=$HA25,55=$HD25,55=$HG25),200000,MIN(IF($HA25=0,999999,IF(3=$HB25,IF(55=$HJ25,IF($JC25=2,30,0),IF(55=$HK25,IF($JC25=1,30,0),ABS(7-$HC25)*100)),100000+ABS(3-$HB25)*1000+70)),IF($HD25=0,999999,IF(3=$HE25,IF(55=$HL25,IF($JD25=2,30,0),IF(55=$HM25,IF($JD25=1,30,0),ABS(7-$HF25)*100)),100000+ABS(3-$HE25)*1000+70)),IF($HG25=0,999999,IF(3=$HH25,IF(55=$HN25,IF($JE25=2,30,0),IF(55=$HO25,IF($JE25=1,30,0),ABS(7-$HI25)*100)),100000+ABS(3-$HH25)*1000+70)))-IF((55=$HJ25)+(55=$HK25)+(55=$HL25)+(55=$HM25)+(55=$HN25)+(55=$HO25)&gt;=2,50,0))+BF$5*50)</f>
        <v/>
      </c>
      <c r="BG145">
        <f>IF(OR($JF25=0,calcA!$A$6=0),0,IF(OR(56=$HA25,56=$HD25,56=$HG25),200000,MIN(IF($HA25=0,999999,IF(3=$HB25,IF(56=$HJ25,IF($JC25=2,30,0),IF(56=$HK25,IF($JC25=1,30,0),ABS(8-$HC25)*100)),100000+ABS(3-$HB25)*1000+80)),IF($HD25=0,999999,IF(3=$HE25,IF(56=$HL25,IF($JD25=2,30,0),IF(56=$HM25,IF($JD25=1,30,0),ABS(8-$HF25)*100)),100000+ABS(3-$HE25)*1000+80)),IF($HG25=0,999999,IF(3=$HH25,IF(56=$HN25,IF($JE25=2,30,0),IF(56=$HO25,IF($JE25=1,30,0),ABS(8-$HI25)*100)),100000+ABS(3-$HH25)*1000+80)))-IF((56=$HJ25)+(56=$HK25)+(56=$HL25)+(56=$HM25)+(56=$HN25)+(56=$HO25)&gt;=2,50,0))+BG$5*50)</f>
        <v/>
      </c>
      <c r="BH145">
        <f>IF(OR($JF25=0,calcA!$A$6=0),0,IF(OR(57=$HA25,57=$HD25,57=$HG25),200000,MIN(IF($HA25=0,999999,IF(3=$HB25,IF(57=$HJ25,IF($JC25=2,30,0),IF(57=$HK25,IF($JC25=1,30,0),ABS(9-$HC25)*100)),100000+ABS(3-$HB25)*1000+90)),IF($HD25=0,999999,IF(3=$HE25,IF(57=$HL25,IF($JD25=2,30,0),IF(57=$HM25,IF($JD25=1,30,0),ABS(9-$HF25)*100)),100000+ABS(3-$HE25)*1000+90)),IF($HG25=0,999999,IF(3=$HH25,IF(57=$HN25,IF($JE25=2,30,0),IF(57=$HO25,IF($JE25=1,30,0),ABS(9-$HI25)*100)),100000+ABS(3-$HH25)*1000+90)))-IF((57=$HJ25)+(57=$HK25)+(57=$HL25)+(57=$HM25)+(57=$HN25)+(57=$HO25)&gt;=2,50,0))+BH$5*50)</f>
        <v/>
      </c>
      <c r="BI145">
        <f>IF(OR($JF25=0,calcA!$A$6=0),0,IF(OR(58=$HA25,58=$HD25,58=$HG25),200000,MIN(IF($HA25=0,999999,IF(3=$HB25,IF(58=$HJ25,IF($JC25=2,30,0),IF(58=$HK25,IF($JC25=1,30,0),ABS(10-$HC25)*100)),100000+ABS(3-$HB25)*1000+100)),IF($HD25=0,999999,IF(3=$HE25,IF(58=$HL25,IF($JD25=2,30,0),IF(58=$HM25,IF($JD25=1,30,0),ABS(10-$HF25)*100)),100000+ABS(3-$HE25)*1000+100)),IF($HG25=0,999999,IF(3=$HH25,IF(58=$HN25,IF($JE25=2,30,0),IF(58=$HO25,IF($JE25=1,30,0),ABS(10-$HI25)*100)),100000+ABS(3-$HH25)*1000+100)))-IF((58=$HJ25)+(58=$HK25)+(58=$HL25)+(58=$HM25)+(58=$HN25)+(58=$HO25)&gt;=2,50,0))+BI$5*50)</f>
        <v/>
      </c>
      <c r="BJ145">
        <f>IF(OR($JF25=0,calcA!$A$6=0),0,IF(OR(59=$HA25,59=$HD25,59=$HG25),200000,MIN(IF($HA25=0,999999,IF(3=$HB25,IF(59=$HJ25,IF($JC25=2,30,0),IF(59=$HK25,IF($JC25=1,30,0),ABS(11-$HC25)*100)),100000+ABS(3-$HB25)*1000+110)),IF($HD25=0,999999,IF(3=$HE25,IF(59=$HL25,IF($JD25=2,30,0),IF(59=$HM25,IF($JD25=1,30,0),ABS(11-$HF25)*100)),100000+ABS(3-$HE25)*1000+110)),IF($HG25=0,999999,IF(3=$HH25,IF(59=$HN25,IF($JE25=2,30,0),IF(59=$HO25,IF($JE25=1,30,0),ABS(11-$HI25)*100)),100000+ABS(3-$HH25)*1000+110)))-IF((59=$HJ25)+(59=$HK25)+(59=$HL25)+(59=$HM25)+(59=$HN25)+(59=$HO25)&gt;=2,50,0))+BJ$5*50)</f>
        <v/>
      </c>
      <c r="BK145">
        <f>IF(OR($JF25=0,calcA!$A$6=0),0,IF(OR(60=$HA25,60=$HD25,60=$HG25),200000,MIN(IF($HA25=0,999999,IF(3=$HB25,IF(60=$HJ25,IF($JC25=2,30,0),IF(60=$HK25,IF($JC25=1,30,0),ABS(12-$HC25)*100)),100000+ABS(3-$HB25)*1000+120)),IF($HD25=0,999999,IF(3=$HE25,IF(60=$HL25,IF($JD25=2,30,0),IF(60=$HM25,IF($JD25=1,30,0),ABS(12-$HF25)*100)),100000+ABS(3-$HE25)*1000+120)),IF($HG25=0,999999,IF(3=$HH25,IF(60=$HN25,IF($JE25=2,30,0),IF(60=$HO25,IF($JE25=1,30,0),ABS(12-$HI25)*100)),100000+ABS(3-$HH25)*1000+120)))-IF((60=$HJ25)+(60=$HK25)+(60=$HL25)+(60=$HM25)+(60=$HN25)+(60=$HO25)&gt;=2,50,0))+BK$5*50)</f>
        <v/>
      </c>
      <c r="BL145">
        <f>IF(OR($JF25=0,calcA!$A$6=0),0,IF(OR(61=$HA25,61=$HD25,61=$HG25),200000,MIN(IF($HA25=0,999999,IF(3=$HB25,IF(61=$HJ25,IF($JC25=2,30,0),IF(61=$HK25,IF($JC25=1,30,0),ABS(13-$HC25)*100)),100000+ABS(3-$HB25)*1000+130)),IF($HD25=0,999999,IF(3=$HE25,IF(61=$HL25,IF($JD25=2,30,0),IF(61=$HM25,IF($JD25=1,30,0),ABS(13-$HF25)*100)),100000+ABS(3-$HE25)*1000+130)),IF($HG25=0,999999,IF(3=$HH25,IF(61=$HN25,IF($JE25=2,30,0),IF(61=$HO25,IF($JE25=1,30,0),ABS(13-$HI25)*100)),100000+ABS(3-$HH25)*1000+130)))-IF((61=$HJ25)+(61=$HK25)+(61=$HL25)+(61=$HM25)+(61=$HN25)+(61=$HO25)&gt;=2,50,0))+BL$5*50)</f>
        <v/>
      </c>
      <c r="BM145">
        <f>IF(OR($JF25=0,calcA!$A$6=0),0,IF(OR(62=$HA25,62=$HD25,62=$HG25),200000,MIN(IF($HA25=0,999999,IF(3=$HB25,IF(62=$HJ25,IF($JC25=2,30,0),IF(62=$HK25,IF($JC25=1,30,0),ABS(14-$HC25)*100)),100000+ABS(3-$HB25)*1000+140)),IF($HD25=0,999999,IF(3=$HE25,IF(62=$HL25,IF($JD25=2,30,0),IF(62=$HM25,IF($JD25=1,30,0),ABS(14-$HF25)*100)),100000+ABS(3-$HE25)*1000+140)),IF($HG25=0,999999,IF(3=$HH25,IF(62=$HN25,IF($JE25=2,30,0),IF(62=$HO25,IF($JE25=1,30,0),ABS(14-$HI25)*100)),100000+ABS(3-$HH25)*1000+140)))-IF((62=$HJ25)+(62=$HK25)+(62=$HL25)+(62=$HM25)+(62=$HN25)+(62=$HO25)&gt;=2,50,0))+BM$5*50)</f>
        <v/>
      </c>
      <c r="BN145">
        <f>IF(OR($JF25=0,calcA!$A$6=0),0,IF(OR(63=$HA25,63=$HD25,63=$HG25),200000,MIN(IF($HA25=0,999999,IF(3=$HB25,IF(63=$HJ25,IF($JC25=2,30,0),IF(63=$HK25,IF($JC25=1,30,0),ABS(15-$HC25)*100)),100000+ABS(3-$HB25)*1000+150)),IF($HD25=0,999999,IF(3=$HE25,IF(63=$HL25,IF($JD25=2,30,0),IF(63=$HM25,IF($JD25=1,30,0),ABS(15-$HF25)*100)),100000+ABS(3-$HE25)*1000+150)),IF($HG25=0,999999,IF(3=$HH25,IF(63=$HN25,IF($JE25=2,30,0),IF(63=$HO25,IF($JE25=1,30,0),ABS(15-$HI25)*100)),100000+ABS(3-$HH25)*1000+150)))-IF((63=$HJ25)+(63=$HK25)+(63=$HL25)+(63=$HM25)+(63=$HN25)+(63=$HO25)&gt;=2,50,0))+BN$5*50)</f>
        <v/>
      </c>
      <c r="BO145">
        <f>IF(OR($JF25=0,calcA!$A$6=0),0,IF(OR(64=$HA25,64=$HD25,64=$HG25),200000,MIN(IF($HA25=0,999999,IF(3=$HB25,IF(64=$HJ25,IF($JC25=2,30,0),IF(64=$HK25,IF($JC25=1,30,0),ABS(16-$HC25)*100)),100000+ABS(3-$HB25)*1000+160)),IF($HD25=0,999999,IF(3=$HE25,IF(64=$HL25,IF($JD25=2,30,0),IF(64=$HM25,IF($JD25=1,30,0),ABS(16-$HF25)*100)),100000+ABS(3-$HE25)*1000+160)),IF($HG25=0,999999,IF(3=$HH25,IF(64=$HN25,IF($JE25=2,30,0),IF(64=$HO25,IF($JE25=1,30,0),ABS(16-$HI25)*100)),100000+ABS(3-$HH25)*1000+160)))-IF((64=$HJ25)+(64=$HK25)+(64=$HL25)+(64=$HM25)+(64=$HN25)+(64=$HO25)&gt;=2,50,0))+BO$5*50)</f>
        <v/>
      </c>
      <c r="BP145">
        <f>IF(OR($JF25=0,calcA!$A$6=0),0,IF(OR(65=$HA25,65=$HD25,65=$HG25),200000,MIN(IF($HA25=0,999999,IF(3=$HB25,IF(65=$HJ25,IF($JC25=2,30,0),IF(65=$HK25,IF($JC25=1,30,0),ABS(17-$HC25)*100)),100000+ABS(3-$HB25)*1000+170)),IF($HD25=0,999999,IF(3=$HE25,IF(65=$HL25,IF($JD25=2,30,0),IF(65=$HM25,IF($JD25=1,30,0),ABS(17-$HF25)*100)),100000+ABS(3-$HE25)*1000+170)),IF($HG25=0,999999,IF(3=$HH25,IF(65=$HN25,IF($JE25=2,30,0),IF(65=$HO25,IF($JE25=1,30,0),ABS(17-$HI25)*100)),100000+ABS(3-$HH25)*1000+170)))-IF((65=$HJ25)+(65=$HK25)+(65=$HL25)+(65=$HM25)+(65=$HN25)+(65=$HO25)&gt;=2,50,0))+BP$5*50)</f>
        <v/>
      </c>
      <c r="BQ145">
        <f>IF(OR($JF25=0,calcA!$A$6=0),0,IF(OR(66=$HA25,66=$HD25,66=$HG25),200000,MIN(IF($HA25=0,999999,IF(3=$HB25,IF(66=$HJ25,IF($JC25=2,30,0),IF(66=$HK25,IF($JC25=1,30,0),ABS(18-$HC25)*100)),100000+ABS(3-$HB25)*1000+180)),IF($HD25=0,999999,IF(3=$HE25,IF(66=$HL25,IF($JD25=2,30,0),IF(66=$HM25,IF($JD25=1,30,0),ABS(18-$HF25)*100)),100000+ABS(3-$HE25)*1000+180)),IF($HG25=0,999999,IF(3=$HH25,IF(66=$HN25,IF($JE25=2,30,0),IF(66=$HO25,IF($JE25=1,30,0),ABS(18-$HI25)*100)),100000+ABS(3-$HH25)*1000+180)))-IF((66=$HJ25)+(66=$HK25)+(66=$HL25)+(66=$HM25)+(66=$HN25)+(66=$HO25)&gt;=2,50,0))+BQ$5*50)</f>
        <v/>
      </c>
      <c r="BR145">
        <f>IF(OR($JF25=0,calcA!$A$6=0),0,IF(OR(67=$HA25,67=$HD25,67=$HG25),200000,MIN(IF($HA25=0,999999,IF(3=$HB25,IF(67=$HJ25,IF($JC25=2,30,0),IF(67=$HK25,IF($JC25=1,30,0),ABS(19-$HC25)*100)),100000+ABS(3-$HB25)*1000+190)),IF($HD25=0,999999,IF(3=$HE25,IF(67=$HL25,IF($JD25=2,30,0),IF(67=$HM25,IF($JD25=1,30,0),ABS(19-$HF25)*100)),100000+ABS(3-$HE25)*1000+190)),IF($HG25=0,999999,IF(3=$HH25,IF(67=$HN25,IF($JE25=2,30,0),IF(67=$HO25,IF($JE25=1,30,0),ABS(19-$HI25)*100)),100000+ABS(3-$HH25)*1000+190)))-IF((67=$HJ25)+(67=$HK25)+(67=$HL25)+(67=$HM25)+(67=$HN25)+(67=$HO25)&gt;=2,50,0))+BR$5*50)</f>
        <v/>
      </c>
      <c r="BS145">
        <f>IF(OR($JF25=0,calcA!$A$6=0),0,IF(OR(68=$HA25,68=$HD25,68=$HG25),200000,MIN(IF($HA25=0,999999,IF(3=$HB25,IF(68=$HJ25,IF($JC25=2,30,0),IF(68=$HK25,IF($JC25=1,30,0),ABS(20-$HC25)*100)),100000+ABS(3-$HB25)*1000+200)),IF($HD25=0,999999,IF(3=$HE25,IF(68=$HL25,IF($JD25=2,30,0),IF(68=$HM25,IF($JD25=1,30,0),ABS(20-$HF25)*100)),100000+ABS(3-$HE25)*1000+200)),IF($HG25=0,999999,IF(3=$HH25,IF(68=$HN25,IF($JE25=2,30,0),IF(68=$HO25,IF($JE25=1,30,0),ABS(20-$HI25)*100)),100000+ABS(3-$HH25)*1000+200)))-IF((68=$HJ25)+(68=$HK25)+(68=$HL25)+(68=$HM25)+(68=$HN25)+(68=$HO25)&gt;=2,50,0))+BS$5*50)</f>
        <v/>
      </c>
      <c r="BT145">
        <f>IF(OR($JF25=0,calcA!$A$6=0),0,IF(OR(69=$HA25,69=$HD25,69=$HG25),200000,MIN(IF($HA25=0,999999,IF(3=$HB25,IF(69=$HJ25,IF($JC25=2,30,0),IF(69=$HK25,IF($JC25=1,30,0),ABS(21-$HC25)*100)),100000+ABS(3-$HB25)*1000+210)),IF($HD25=0,999999,IF(3=$HE25,IF(69=$HL25,IF($JD25=2,30,0),IF(69=$HM25,IF($JD25=1,30,0),ABS(21-$HF25)*100)),100000+ABS(3-$HE25)*1000+210)),IF($HG25=0,999999,IF(3=$HH25,IF(69=$HN25,IF($JE25=2,30,0),IF(69=$HO25,IF($JE25=1,30,0),ABS(21-$HI25)*100)),100000+ABS(3-$HH25)*1000+210)))-IF((69=$HJ25)+(69=$HK25)+(69=$HL25)+(69=$HM25)+(69=$HN25)+(69=$HO25)&gt;=2,50,0))+BT$5*50)</f>
        <v/>
      </c>
      <c r="BU145">
        <f>IF(OR($JF25=0,calcA!$A$6=0),0,IF(OR(70=$HA25,70=$HD25,70=$HG25),200000,MIN(IF($HA25=0,999999,IF(3=$HB25,IF(70=$HJ25,IF($JC25=2,30,0),IF(70=$HK25,IF($JC25=1,30,0),ABS(22-$HC25)*100)),100000+ABS(3-$HB25)*1000+220)),IF($HD25=0,999999,IF(3=$HE25,IF(70=$HL25,IF($JD25=2,30,0),IF(70=$HM25,IF($JD25=1,30,0),ABS(22-$HF25)*100)),100000+ABS(3-$HE25)*1000+220)),IF($HG25=0,999999,IF(3=$HH25,IF(70=$HN25,IF($JE25=2,30,0),IF(70=$HO25,IF($JE25=1,30,0),ABS(22-$HI25)*100)),100000+ABS(3-$HH25)*1000+220)))-IF((70=$HJ25)+(70=$HK25)+(70=$HL25)+(70=$HM25)+(70=$HN25)+(70=$HO25)&gt;=2,50,0))+BU$5*50)</f>
        <v/>
      </c>
      <c r="BV145">
        <f>IF(OR($JF25=0,calcA!$A$6=0),0,IF(OR(71=$HA25,71=$HD25,71=$HG25),200000,MIN(IF($HA25=0,999999,IF(3=$HB25,IF(71=$HJ25,IF($JC25=2,30,0),IF(71=$HK25,IF($JC25=1,30,0),ABS(23-$HC25)*100)),100000+ABS(3-$HB25)*1000+230)),IF($HD25=0,999999,IF(3=$HE25,IF(71=$HL25,IF($JD25=2,30,0),IF(71=$HM25,IF($JD25=1,30,0),ABS(23-$HF25)*100)),100000+ABS(3-$HE25)*1000+230)),IF($HG25=0,999999,IF(3=$HH25,IF(71=$HN25,IF($JE25=2,30,0),IF(71=$HO25,IF($JE25=1,30,0),ABS(23-$HI25)*100)),100000+ABS(3-$HH25)*1000+230)))-IF((71=$HJ25)+(71=$HK25)+(71=$HL25)+(71=$HM25)+(71=$HN25)+(71=$HO25)&gt;=2,50,0))+BV$5*50)</f>
        <v/>
      </c>
      <c r="BW145">
        <f>IF(OR($JF25=0,calcA!$A$6=0),0,IF(OR(72=$HA25,72=$HD25,72=$HG25),200000,MIN(IF($HA25=0,999999,IF(3=$HB25,IF(72=$HJ25,IF($JC25=2,30,0),IF(72=$HK25,IF($JC25=1,30,0),ABS(24-$HC25)*100)),100000+ABS(3-$HB25)*1000+240)),IF($HD25=0,999999,IF(3=$HE25,IF(72=$HL25,IF($JD25=2,30,0),IF(72=$HM25,IF($JD25=1,30,0),ABS(24-$HF25)*100)),100000+ABS(3-$HE25)*1000+240)),IF($HG25=0,999999,IF(3=$HH25,IF(72=$HN25,IF($JE25=2,30,0),IF(72=$HO25,IF($JE25=1,30,0),ABS(24-$HI25)*100)),100000+ABS(3-$HH25)*1000+240)))-IF((72=$HJ25)+(72=$HK25)+(72=$HL25)+(72=$HM25)+(72=$HN25)+(72=$HO25)&gt;=2,50,0))+BW$5*50)</f>
        <v/>
      </c>
      <c r="BX145">
        <f>IF(OR($JF25=0,calcA!$A$6=0),0,IF(OR(73=$HA25,73=$HD25,73=$HG25),200000,MIN(IF($HA25=0,999999,IF(4=$HB25,IF(73=$HJ25,IF($JC25=2,30,0),IF(73=$HK25,IF($JC25=1,30,0),ABS(1-$HC25)*100)),100000+ABS(4-$HB25)*1000+10)),IF($HD25=0,999999,IF(4=$HE25,IF(73=$HL25,IF($JD25=2,30,0),IF(73=$HM25,IF($JD25=1,30,0),ABS(1-$HF25)*100)),100000+ABS(4-$HE25)*1000+10)),IF($HG25=0,999999,IF(4=$HH25,IF(73=$HN25,IF($JE25=2,30,0),IF(73=$HO25,IF($JE25=1,30,0),ABS(1-$HI25)*100)),100000+ABS(4-$HH25)*1000+10)))-IF((73=$HJ25)+(73=$HK25)+(73=$HL25)+(73=$HM25)+(73=$HN25)+(73=$HO25)&gt;=2,50,0))+BX$5*50)</f>
        <v/>
      </c>
      <c r="BY145">
        <f>IF(OR($JF25=0,calcA!$A$6=0),0,IF(OR(74=$HA25,74=$HD25,74=$HG25),200000,MIN(IF($HA25=0,999999,IF(4=$HB25,IF(74=$HJ25,IF($JC25=2,30,0),IF(74=$HK25,IF($JC25=1,30,0),ABS(2-$HC25)*100)),100000+ABS(4-$HB25)*1000+20)),IF($HD25=0,999999,IF(4=$HE25,IF(74=$HL25,IF($JD25=2,30,0),IF(74=$HM25,IF($JD25=1,30,0),ABS(2-$HF25)*100)),100000+ABS(4-$HE25)*1000+20)),IF($HG25=0,999999,IF(4=$HH25,IF(74=$HN25,IF($JE25=2,30,0),IF(74=$HO25,IF($JE25=1,30,0),ABS(2-$HI25)*100)),100000+ABS(4-$HH25)*1000+20)))-IF((74=$HJ25)+(74=$HK25)+(74=$HL25)+(74=$HM25)+(74=$HN25)+(74=$HO25)&gt;=2,50,0))+BY$5*50)</f>
        <v/>
      </c>
      <c r="BZ145">
        <f>IF(OR($JF25=0,calcA!$A$6=0),0,IF(OR(75=$HA25,75=$HD25,75=$HG25),200000,MIN(IF($HA25=0,999999,IF(4=$HB25,IF(75=$HJ25,IF($JC25=2,30,0),IF(75=$HK25,IF($JC25=1,30,0),ABS(3-$HC25)*100)),100000+ABS(4-$HB25)*1000+30)),IF($HD25=0,999999,IF(4=$HE25,IF(75=$HL25,IF($JD25=2,30,0),IF(75=$HM25,IF($JD25=1,30,0),ABS(3-$HF25)*100)),100000+ABS(4-$HE25)*1000+30)),IF($HG25=0,999999,IF(4=$HH25,IF(75=$HN25,IF($JE25=2,30,0),IF(75=$HO25,IF($JE25=1,30,0),ABS(3-$HI25)*100)),100000+ABS(4-$HH25)*1000+30)))-IF((75=$HJ25)+(75=$HK25)+(75=$HL25)+(75=$HM25)+(75=$HN25)+(75=$HO25)&gt;=2,50,0))+BZ$5*50)</f>
        <v/>
      </c>
      <c r="CA145">
        <f>IF(OR($JF25=0,calcA!$A$6=0),0,IF(OR(76=$HA25,76=$HD25,76=$HG25),200000,MIN(IF($HA25=0,999999,IF(4=$HB25,IF(76=$HJ25,IF($JC25=2,30,0),IF(76=$HK25,IF($JC25=1,30,0),ABS(4-$HC25)*100)),100000+ABS(4-$HB25)*1000+40)),IF($HD25=0,999999,IF(4=$HE25,IF(76=$HL25,IF($JD25=2,30,0),IF(76=$HM25,IF($JD25=1,30,0),ABS(4-$HF25)*100)),100000+ABS(4-$HE25)*1000+40)),IF($HG25=0,999999,IF(4=$HH25,IF(76=$HN25,IF($JE25=2,30,0),IF(76=$HO25,IF($JE25=1,30,0),ABS(4-$HI25)*100)),100000+ABS(4-$HH25)*1000+40)))-IF((76=$HJ25)+(76=$HK25)+(76=$HL25)+(76=$HM25)+(76=$HN25)+(76=$HO25)&gt;=2,50,0))+CA$5*50)</f>
        <v/>
      </c>
      <c r="CB145">
        <f>IF(OR($JF25=0,calcA!$A$6=0),0,IF(OR(77=$HA25,77=$HD25,77=$HG25),200000,MIN(IF($HA25=0,999999,IF(4=$HB25,IF(77=$HJ25,IF($JC25=2,30,0),IF(77=$HK25,IF($JC25=1,30,0),ABS(5-$HC25)*100)),100000+ABS(4-$HB25)*1000+50)),IF($HD25=0,999999,IF(4=$HE25,IF(77=$HL25,IF($JD25=2,30,0),IF(77=$HM25,IF($JD25=1,30,0),ABS(5-$HF25)*100)),100000+ABS(4-$HE25)*1000+50)),IF($HG25=0,999999,IF(4=$HH25,IF(77=$HN25,IF($JE25=2,30,0),IF(77=$HO25,IF($JE25=1,30,0),ABS(5-$HI25)*100)),100000+ABS(4-$HH25)*1000+50)))-IF((77=$HJ25)+(77=$HK25)+(77=$HL25)+(77=$HM25)+(77=$HN25)+(77=$HO25)&gt;=2,50,0))+CB$5*50)</f>
        <v/>
      </c>
      <c r="CC145">
        <f>IF(OR($JF25=0,calcA!$A$6=0),0,IF(OR(78=$HA25,78=$HD25,78=$HG25),200000,MIN(IF($HA25=0,999999,IF(4=$HB25,IF(78=$HJ25,IF($JC25=2,30,0),IF(78=$HK25,IF($JC25=1,30,0),ABS(6-$HC25)*100)),100000+ABS(4-$HB25)*1000+60)),IF($HD25=0,999999,IF(4=$HE25,IF(78=$HL25,IF($JD25=2,30,0),IF(78=$HM25,IF($JD25=1,30,0),ABS(6-$HF25)*100)),100000+ABS(4-$HE25)*1000+60)),IF($HG25=0,999999,IF(4=$HH25,IF(78=$HN25,IF($JE25=2,30,0),IF(78=$HO25,IF($JE25=1,30,0),ABS(6-$HI25)*100)),100000+ABS(4-$HH25)*1000+60)))-IF((78=$HJ25)+(78=$HK25)+(78=$HL25)+(78=$HM25)+(78=$HN25)+(78=$HO25)&gt;=2,50,0))+CC$5*50)</f>
        <v/>
      </c>
      <c r="CD145">
        <f>IF(OR($JF25=0,calcA!$A$6=0),0,IF(OR(79=$HA25,79=$HD25,79=$HG25),200000,MIN(IF($HA25=0,999999,IF(4=$HB25,IF(79=$HJ25,IF($JC25=2,30,0),IF(79=$HK25,IF($JC25=1,30,0),ABS(7-$HC25)*100)),100000+ABS(4-$HB25)*1000+70)),IF($HD25=0,999999,IF(4=$HE25,IF(79=$HL25,IF($JD25=2,30,0),IF(79=$HM25,IF($JD25=1,30,0),ABS(7-$HF25)*100)),100000+ABS(4-$HE25)*1000+70)),IF($HG25=0,999999,IF(4=$HH25,IF(79=$HN25,IF($JE25=2,30,0),IF(79=$HO25,IF($JE25=1,30,0),ABS(7-$HI25)*100)),100000+ABS(4-$HH25)*1000+70)))-IF((79=$HJ25)+(79=$HK25)+(79=$HL25)+(79=$HM25)+(79=$HN25)+(79=$HO25)&gt;=2,50,0))+CD$5*50)</f>
        <v/>
      </c>
      <c r="CE145">
        <f>IF(OR($JF25=0,calcA!$A$6=0),0,IF(OR(80=$HA25,80=$HD25,80=$HG25),200000,MIN(IF($HA25=0,999999,IF(4=$HB25,IF(80=$HJ25,IF($JC25=2,30,0),IF(80=$HK25,IF($JC25=1,30,0),ABS(8-$HC25)*100)),100000+ABS(4-$HB25)*1000+80)),IF($HD25=0,999999,IF(4=$HE25,IF(80=$HL25,IF($JD25=2,30,0),IF(80=$HM25,IF($JD25=1,30,0),ABS(8-$HF25)*100)),100000+ABS(4-$HE25)*1000+80)),IF($HG25=0,999999,IF(4=$HH25,IF(80=$HN25,IF($JE25=2,30,0),IF(80=$HO25,IF($JE25=1,30,0),ABS(8-$HI25)*100)),100000+ABS(4-$HH25)*1000+80)))-IF((80=$HJ25)+(80=$HK25)+(80=$HL25)+(80=$HM25)+(80=$HN25)+(80=$HO25)&gt;=2,50,0))+CE$5*50)</f>
        <v/>
      </c>
      <c r="CF145">
        <f>IF(OR($JF25=0,calcA!$A$6=0),0,IF(OR(81=$HA25,81=$HD25,81=$HG25),200000,MIN(IF($HA25=0,999999,IF(4=$HB25,IF(81=$HJ25,IF($JC25=2,30,0),IF(81=$HK25,IF($JC25=1,30,0),ABS(9-$HC25)*100)),100000+ABS(4-$HB25)*1000+90)),IF($HD25=0,999999,IF(4=$HE25,IF(81=$HL25,IF($JD25=2,30,0),IF(81=$HM25,IF($JD25=1,30,0),ABS(9-$HF25)*100)),100000+ABS(4-$HE25)*1000+90)),IF($HG25=0,999999,IF(4=$HH25,IF(81=$HN25,IF($JE25=2,30,0),IF(81=$HO25,IF($JE25=1,30,0),ABS(9-$HI25)*100)),100000+ABS(4-$HH25)*1000+90)))-IF((81=$HJ25)+(81=$HK25)+(81=$HL25)+(81=$HM25)+(81=$HN25)+(81=$HO25)&gt;=2,50,0))+CF$5*50)</f>
        <v/>
      </c>
      <c r="CG145">
        <f>IF(OR($JF25=0,calcA!$A$6=0),0,IF(OR(82=$HA25,82=$HD25,82=$HG25),200000,MIN(IF($HA25=0,999999,IF(4=$HB25,IF(82=$HJ25,IF($JC25=2,30,0),IF(82=$HK25,IF($JC25=1,30,0),ABS(10-$HC25)*100)),100000+ABS(4-$HB25)*1000+100)),IF($HD25=0,999999,IF(4=$HE25,IF(82=$HL25,IF($JD25=2,30,0),IF(82=$HM25,IF($JD25=1,30,0),ABS(10-$HF25)*100)),100000+ABS(4-$HE25)*1000+100)),IF($HG25=0,999999,IF(4=$HH25,IF(82=$HN25,IF($JE25=2,30,0),IF(82=$HO25,IF($JE25=1,30,0),ABS(10-$HI25)*100)),100000+ABS(4-$HH25)*1000+100)))-IF((82=$HJ25)+(82=$HK25)+(82=$HL25)+(82=$HM25)+(82=$HN25)+(82=$HO25)&gt;=2,50,0))+CG$5*50)</f>
        <v/>
      </c>
      <c r="CH145">
        <f>IF(OR($JF25=0,calcA!$A$6=0),0,IF(OR(83=$HA25,83=$HD25,83=$HG25),200000,MIN(IF($HA25=0,999999,IF(4=$HB25,IF(83=$HJ25,IF($JC25=2,30,0),IF(83=$HK25,IF($JC25=1,30,0),ABS(11-$HC25)*100)),100000+ABS(4-$HB25)*1000+110)),IF($HD25=0,999999,IF(4=$HE25,IF(83=$HL25,IF($JD25=2,30,0),IF(83=$HM25,IF($JD25=1,30,0),ABS(11-$HF25)*100)),100000+ABS(4-$HE25)*1000+110)),IF($HG25=0,999999,IF(4=$HH25,IF(83=$HN25,IF($JE25=2,30,0),IF(83=$HO25,IF($JE25=1,30,0),ABS(11-$HI25)*100)),100000+ABS(4-$HH25)*1000+110)))-IF((83=$HJ25)+(83=$HK25)+(83=$HL25)+(83=$HM25)+(83=$HN25)+(83=$HO25)&gt;=2,50,0))+CH$5*50)</f>
        <v/>
      </c>
      <c r="CI145">
        <f>IF(OR($JF25=0,calcA!$A$6=0),0,IF(OR(84=$HA25,84=$HD25,84=$HG25),200000,MIN(IF($HA25=0,999999,IF(4=$HB25,IF(84=$HJ25,IF($JC25=2,30,0),IF(84=$HK25,IF($JC25=1,30,0),ABS(12-$HC25)*100)),100000+ABS(4-$HB25)*1000+120)),IF($HD25=0,999999,IF(4=$HE25,IF(84=$HL25,IF($JD25=2,30,0),IF(84=$HM25,IF($JD25=1,30,0),ABS(12-$HF25)*100)),100000+ABS(4-$HE25)*1000+120)),IF($HG25=0,999999,IF(4=$HH25,IF(84=$HN25,IF($JE25=2,30,0),IF(84=$HO25,IF($JE25=1,30,0),ABS(12-$HI25)*100)),100000+ABS(4-$HH25)*1000+120)))-IF((84=$HJ25)+(84=$HK25)+(84=$HL25)+(84=$HM25)+(84=$HN25)+(84=$HO25)&gt;=2,50,0))+CI$5*50)</f>
        <v/>
      </c>
      <c r="CJ145">
        <f>IF(OR($JF25=0,calcA!$A$6=0),0,IF(OR(85=$HA25,85=$HD25,85=$HG25),200000,MIN(IF($HA25=0,999999,IF(4=$HB25,IF(85=$HJ25,IF($JC25=2,30,0),IF(85=$HK25,IF($JC25=1,30,0),ABS(13-$HC25)*100)),100000+ABS(4-$HB25)*1000+130)),IF($HD25=0,999999,IF(4=$HE25,IF(85=$HL25,IF($JD25=2,30,0),IF(85=$HM25,IF($JD25=1,30,0),ABS(13-$HF25)*100)),100000+ABS(4-$HE25)*1000+130)),IF($HG25=0,999999,IF(4=$HH25,IF(85=$HN25,IF($JE25=2,30,0),IF(85=$HO25,IF($JE25=1,30,0),ABS(13-$HI25)*100)),100000+ABS(4-$HH25)*1000+130)))-IF((85=$HJ25)+(85=$HK25)+(85=$HL25)+(85=$HM25)+(85=$HN25)+(85=$HO25)&gt;=2,50,0))+CJ$5*50)</f>
        <v/>
      </c>
      <c r="CK145">
        <f>IF(OR($JF25=0,calcA!$A$6=0),0,IF(OR(86=$HA25,86=$HD25,86=$HG25),200000,MIN(IF($HA25=0,999999,IF(4=$HB25,IF(86=$HJ25,IF($JC25=2,30,0),IF(86=$HK25,IF($JC25=1,30,0),ABS(14-$HC25)*100)),100000+ABS(4-$HB25)*1000+140)),IF($HD25=0,999999,IF(4=$HE25,IF(86=$HL25,IF($JD25=2,30,0),IF(86=$HM25,IF($JD25=1,30,0),ABS(14-$HF25)*100)),100000+ABS(4-$HE25)*1000+140)),IF($HG25=0,999999,IF(4=$HH25,IF(86=$HN25,IF($JE25=2,30,0),IF(86=$HO25,IF($JE25=1,30,0),ABS(14-$HI25)*100)),100000+ABS(4-$HH25)*1000+140)))-IF((86=$HJ25)+(86=$HK25)+(86=$HL25)+(86=$HM25)+(86=$HN25)+(86=$HO25)&gt;=2,50,0))+CK$5*50)</f>
        <v/>
      </c>
      <c r="CL145">
        <f>IF(OR($JF25=0,calcA!$A$6=0),0,IF(OR(87=$HA25,87=$HD25,87=$HG25),200000,MIN(IF($HA25=0,999999,IF(4=$HB25,IF(87=$HJ25,IF($JC25=2,30,0),IF(87=$HK25,IF($JC25=1,30,0),ABS(15-$HC25)*100)),100000+ABS(4-$HB25)*1000+150)),IF($HD25=0,999999,IF(4=$HE25,IF(87=$HL25,IF($JD25=2,30,0),IF(87=$HM25,IF($JD25=1,30,0),ABS(15-$HF25)*100)),100000+ABS(4-$HE25)*1000+150)),IF($HG25=0,999999,IF(4=$HH25,IF(87=$HN25,IF($JE25=2,30,0),IF(87=$HO25,IF($JE25=1,30,0),ABS(15-$HI25)*100)),100000+ABS(4-$HH25)*1000+150)))-IF((87=$HJ25)+(87=$HK25)+(87=$HL25)+(87=$HM25)+(87=$HN25)+(87=$HO25)&gt;=2,50,0))+CL$5*50)</f>
        <v/>
      </c>
      <c r="CM145">
        <f>IF(OR($JF25=0,calcA!$A$6=0),0,IF(OR(88=$HA25,88=$HD25,88=$HG25),200000,MIN(IF($HA25=0,999999,IF(4=$HB25,IF(88=$HJ25,IF($JC25=2,30,0),IF(88=$HK25,IF($JC25=1,30,0),ABS(16-$HC25)*100)),100000+ABS(4-$HB25)*1000+160)),IF($HD25=0,999999,IF(4=$HE25,IF(88=$HL25,IF($JD25=2,30,0),IF(88=$HM25,IF($JD25=1,30,0),ABS(16-$HF25)*100)),100000+ABS(4-$HE25)*1000+160)),IF($HG25=0,999999,IF(4=$HH25,IF(88=$HN25,IF($JE25=2,30,0),IF(88=$HO25,IF($JE25=1,30,0),ABS(16-$HI25)*100)),100000+ABS(4-$HH25)*1000+160)))-IF((88=$HJ25)+(88=$HK25)+(88=$HL25)+(88=$HM25)+(88=$HN25)+(88=$HO25)&gt;=2,50,0))+CM$5*50)</f>
        <v/>
      </c>
      <c r="CN145">
        <f>IF(OR($JF25=0,calcA!$A$6=0),0,IF(OR(89=$HA25,89=$HD25,89=$HG25),200000,MIN(IF($HA25=0,999999,IF(4=$HB25,IF(89=$HJ25,IF($JC25=2,30,0),IF(89=$HK25,IF($JC25=1,30,0),ABS(17-$HC25)*100)),100000+ABS(4-$HB25)*1000+170)),IF($HD25=0,999999,IF(4=$HE25,IF(89=$HL25,IF($JD25=2,30,0),IF(89=$HM25,IF($JD25=1,30,0),ABS(17-$HF25)*100)),100000+ABS(4-$HE25)*1000+170)),IF($HG25=0,999999,IF(4=$HH25,IF(89=$HN25,IF($JE25=2,30,0),IF(89=$HO25,IF($JE25=1,30,0),ABS(17-$HI25)*100)),100000+ABS(4-$HH25)*1000+170)))-IF((89=$HJ25)+(89=$HK25)+(89=$HL25)+(89=$HM25)+(89=$HN25)+(89=$HO25)&gt;=2,50,0))+CN$5*50)</f>
        <v/>
      </c>
      <c r="CO145">
        <f>IF(OR($JF25=0,calcA!$A$6=0),0,IF(OR(90=$HA25,90=$HD25,90=$HG25),200000,MIN(IF($HA25=0,999999,IF(4=$HB25,IF(90=$HJ25,IF($JC25=2,30,0),IF(90=$HK25,IF($JC25=1,30,0),ABS(18-$HC25)*100)),100000+ABS(4-$HB25)*1000+180)),IF($HD25=0,999999,IF(4=$HE25,IF(90=$HL25,IF($JD25=2,30,0),IF(90=$HM25,IF($JD25=1,30,0),ABS(18-$HF25)*100)),100000+ABS(4-$HE25)*1000+180)),IF($HG25=0,999999,IF(4=$HH25,IF(90=$HN25,IF($JE25=2,30,0),IF(90=$HO25,IF($JE25=1,30,0),ABS(18-$HI25)*100)),100000+ABS(4-$HH25)*1000+180)))-IF((90=$HJ25)+(90=$HK25)+(90=$HL25)+(90=$HM25)+(90=$HN25)+(90=$HO25)&gt;=2,50,0))+CO$5*50)</f>
        <v/>
      </c>
      <c r="CP145">
        <f>IF(OR($JF25=0,calcA!$A$6=0),0,IF(OR(91=$HA25,91=$HD25,91=$HG25),200000,MIN(IF($HA25=0,999999,IF(4=$HB25,IF(91=$HJ25,IF($JC25=2,30,0),IF(91=$HK25,IF($JC25=1,30,0),ABS(19-$HC25)*100)),100000+ABS(4-$HB25)*1000+190)),IF($HD25=0,999999,IF(4=$HE25,IF(91=$HL25,IF($JD25=2,30,0),IF(91=$HM25,IF($JD25=1,30,0),ABS(19-$HF25)*100)),100000+ABS(4-$HE25)*1000+190)),IF($HG25=0,999999,IF(4=$HH25,IF(91=$HN25,IF($JE25=2,30,0),IF(91=$HO25,IF($JE25=1,30,0),ABS(19-$HI25)*100)),100000+ABS(4-$HH25)*1000+190)))-IF((91=$HJ25)+(91=$HK25)+(91=$HL25)+(91=$HM25)+(91=$HN25)+(91=$HO25)&gt;=2,50,0))+CP$5*50)</f>
        <v/>
      </c>
      <c r="CQ145">
        <f>IF(OR($JF25=0,calcA!$A$6=0),0,IF(OR(92=$HA25,92=$HD25,92=$HG25),200000,MIN(IF($HA25=0,999999,IF(4=$HB25,IF(92=$HJ25,IF($JC25=2,30,0),IF(92=$HK25,IF($JC25=1,30,0),ABS(20-$HC25)*100)),100000+ABS(4-$HB25)*1000+200)),IF($HD25=0,999999,IF(4=$HE25,IF(92=$HL25,IF($JD25=2,30,0),IF(92=$HM25,IF($JD25=1,30,0),ABS(20-$HF25)*100)),100000+ABS(4-$HE25)*1000+200)),IF($HG25=0,999999,IF(4=$HH25,IF(92=$HN25,IF($JE25=2,30,0),IF(92=$HO25,IF($JE25=1,30,0),ABS(20-$HI25)*100)),100000+ABS(4-$HH25)*1000+200)))-IF((92=$HJ25)+(92=$HK25)+(92=$HL25)+(92=$HM25)+(92=$HN25)+(92=$HO25)&gt;=2,50,0))+CQ$5*50)</f>
        <v/>
      </c>
      <c r="CR145">
        <f>IF(OR($JF25=0,calcA!$A$6=0),0,IF(OR(93=$HA25,93=$HD25,93=$HG25),200000,MIN(IF($HA25=0,999999,IF(4=$HB25,IF(93=$HJ25,IF($JC25=2,30,0),IF(93=$HK25,IF($JC25=1,30,0),ABS(21-$HC25)*100)),100000+ABS(4-$HB25)*1000+210)),IF($HD25=0,999999,IF(4=$HE25,IF(93=$HL25,IF($JD25=2,30,0),IF(93=$HM25,IF($JD25=1,30,0),ABS(21-$HF25)*100)),100000+ABS(4-$HE25)*1000+210)),IF($HG25=0,999999,IF(4=$HH25,IF(93=$HN25,IF($JE25=2,30,0),IF(93=$HO25,IF($JE25=1,30,0),ABS(21-$HI25)*100)),100000+ABS(4-$HH25)*1000+210)))-IF((93=$HJ25)+(93=$HK25)+(93=$HL25)+(93=$HM25)+(93=$HN25)+(93=$HO25)&gt;=2,50,0))+CR$5*50)</f>
        <v/>
      </c>
      <c r="CS145">
        <f>IF(OR($JF25=0,calcA!$A$6=0),0,IF(OR(94=$HA25,94=$HD25,94=$HG25),200000,MIN(IF($HA25=0,999999,IF(4=$HB25,IF(94=$HJ25,IF($JC25=2,30,0),IF(94=$HK25,IF($JC25=1,30,0),ABS(22-$HC25)*100)),100000+ABS(4-$HB25)*1000+220)),IF($HD25=0,999999,IF(4=$HE25,IF(94=$HL25,IF($JD25=2,30,0),IF(94=$HM25,IF($JD25=1,30,0),ABS(22-$HF25)*100)),100000+ABS(4-$HE25)*1000+220)),IF($HG25=0,999999,IF(4=$HH25,IF(94=$HN25,IF($JE25=2,30,0),IF(94=$HO25,IF($JE25=1,30,0),ABS(22-$HI25)*100)),100000+ABS(4-$HH25)*1000+220)))-IF((94=$HJ25)+(94=$HK25)+(94=$HL25)+(94=$HM25)+(94=$HN25)+(94=$HO25)&gt;=2,50,0))+CS$5*50)</f>
        <v/>
      </c>
      <c r="CT145">
        <f>IF(OR($JF25=0,calcA!$A$6=0),0,IF(OR(95=$HA25,95=$HD25,95=$HG25),200000,MIN(IF($HA25=0,999999,IF(4=$HB25,IF(95=$HJ25,IF($JC25=2,30,0),IF(95=$HK25,IF($JC25=1,30,0),ABS(23-$HC25)*100)),100000+ABS(4-$HB25)*1000+230)),IF($HD25=0,999999,IF(4=$HE25,IF(95=$HL25,IF($JD25=2,30,0),IF(95=$HM25,IF($JD25=1,30,0),ABS(23-$HF25)*100)),100000+ABS(4-$HE25)*1000+230)),IF($HG25=0,999999,IF(4=$HH25,IF(95=$HN25,IF($JE25=2,30,0),IF(95=$HO25,IF($JE25=1,30,0),ABS(23-$HI25)*100)),100000+ABS(4-$HH25)*1000+230)))-IF((95=$HJ25)+(95=$HK25)+(95=$HL25)+(95=$HM25)+(95=$HN25)+(95=$HO25)&gt;=2,50,0))+CT$5*50)</f>
        <v/>
      </c>
      <c r="CU145">
        <f>IF(OR($JF25=0,calcA!$A$6=0),0,IF(OR(96=$HA25,96=$HD25,96=$HG25),200000,MIN(IF($HA25=0,999999,IF(4=$HB25,IF(96=$HJ25,IF($JC25=2,30,0),IF(96=$HK25,IF($JC25=1,30,0),ABS(24-$HC25)*100)),100000+ABS(4-$HB25)*1000+240)),IF($HD25=0,999999,IF(4=$HE25,IF(96=$HL25,IF($JD25=2,30,0),IF(96=$HM25,IF($JD25=1,30,0),ABS(24-$HF25)*100)),100000+ABS(4-$HE25)*1000+240)),IF($HG25=0,999999,IF(4=$HH25,IF(96=$HN25,IF($JE25=2,30,0),IF(96=$HO25,IF($JE25=1,30,0),ABS(24-$HI25)*100)),100000+ABS(4-$HH25)*1000+240)))-IF((96=$HJ25)+(96=$HK25)+(96=$HL25)+(96=$HM25)+(96=$HN25)+(96=$HO25)&gt;=2,50,0))+CU$5*50)</f>
        <v/>
      </c>
      <c r="CV145">
        <f>IF(OR($JF25=0,calcA!$A$6=0),0,IF(OR(97=$HA25,97=$HD25,97=$HG25),200000,MIN(IF($HA25=0,999999,IF(5=$HB25,IF(97=$HJ25,IF($JC25=2,30,0),IF(97=$HK25,IF($JC25=1,30,0),ABS(1-$HC25)*100)),100000+ABS(5-$HB25)*1000+10)),IF($HD25=0,999999,IF(5=$HE25,IF(97=$HL25,IF($JD25=2,30,0),IF(97=$HM25,IF($JD25=1,30,0),ABS(1-$HF25)*100)),100000+ABS(5-$HE25)*1000+10)),IF($HG25=0,999999,IF(5=$HH25,IF(97=$HN25,IF($JE25=2,30,0),IF(97=$HO25,IF($JE25=1,30,0),ABS(1-$HI25)*100)),100000+ABS(5-$HH25)*1000+10)))-IF((97=$HJ25)+(97=$HK25)+(97=$HL25)+(97=$HM25)+(97=$HN25)+(97=$HO25)&gt;=2,50,0))+CV$5*50)</f>
        <v/>
      </c>
      <c r="CW145">
        <f>IF(OR($JF25=0,calcA!$A$6=0),0,IF(OR(98=$HA25,98=$HD25,98=$HG25),200000,MIN(IF($HA25=0,999999,IF(5=$HB25,IF(98=$HJ25,IF($JC25=2,30,0),IF(98=$HK25,IF($JC25=1,30,0),ABS(2-$HC25)*100)),100000+ABS(5-$HB25)*1000+20)),IF($HD25=0,999999,IF(5=$HE25,IF(98=$HL25,IF($JD25=2,30,0),IF(98=$HM25,IF($JD25=1,30,0),ABS(2-$HF25)*100)),100000+ABS(5-$HE25)*1000+20)),IF($HG25=0,999999,IF(5=$HH25,IF(98=$HN25,IF($JE25=2,30,0),IF(98=$HO25,IF($JE25=1,30,0),ABS(2-$HI25)*100)),100000+ABS(5-$HH25)*1000+20)))-IF((98=$HJ25)+(98=$HK25)+(98=$HL25)+(98=$HM25)+(98=$HN25)+(98=$HO25)&gt;=2,50,0))+CW$5*50)</f>
        <v/>
      </c>
      <c r="CX145">
        <f>IF(OR($JF25=0,calcA!$A$6=0),0,IF(OR(99=$HA25,99=$HD25,99=$HG25),200000,MIN(IF($HA25=0,999999,IF(5=$HB25,IF(99=$HJ25,IF($JC25=2,30,0),IF(99=$HK25,IF($JC25=1,30,0),ABS(3-$HC25)*100)),100000+ABS(5-$HB25)*1000+30)),IF($HD25=0,999999,IF(5=$HE25,IF(99=$HL25,IF($JD25=2,30,0),IF(99=$HM25,IF($JD25=1,30,0),ABS(3-$HF25)*100)),100000+ABS(5-$HE25)*1000+30)),IF($HG25=0,999999,IF(5=$HH25,IF(99=$HN25,IF($JE25=2,30,0),IF(99=$HO25,IF($JE25=1,30,0),ABS(3-$HI25)*100)),100000+ABS(5-$HH25)*1000+30)))-IF((99=$HJ25)+(99=$HK25)+(99=$HL25)+(99=$HM25)+(99=$HN25)+(99=$HO25)&gt;=2,50,0))+CX$5*50)</f>
        <v/>
      </c>
      <c r="CY145">
        <f>IF(OR($JF25=0,calcA!$A$6=0),0,IF(OR(100=$HA25,100=$HD25,100=$HG25),200000,MIN(IF($HA25=0,999999,IF(5=$HB25,IF(100=$HJ25,IF($JC25=2,30,0),IF(100=$HK25,IF($JC25=1,30,0),ABS(4-$HC25)*100)),100000+ABS(5-$HB25)*1000+40)),IF($HD25=0,999999,IF(5=$HE25,IF(100=$HL25,IF($JD25=2,30,0),IF(100=$HM25,IF($JD25=1,30,0),ABS(4-$HF25)*100)),100000+ABS(5-$HE25)*1000+40)),IF($HG25=0,999999,IF(5=$HH25,IF(100=$HN25,IF($JE25=2,30,0),IF(100=$HO25,IF($JE25=1,30,0),ABS(4-$HI25)*100)),100000+ABS(5-$HH25)*1000+40)))-IF((100=$HJ25)+(100=$HK25)+(100=$HL25)+(100=$HM25)+(100=$HN25)+(100=$HO25)&gt;=2,50,0))+CY$5*50)</f>
        <v/>
      </c>
      <c r="CZ145">
        <f>IF(OR($JF25=0,calcA!$A$6=0),0,IF(OR(101=$HA25,101=$HD25,101=$HG25),200000,MIN(IF($HA25=0,999999,IF(5=$HB25,IF(101=$HJ25,IF($JC25=2,30,0),IF(101=$HK25,IF($JC25=1,30,0),ABS(5-$HC25)*100)),100000+ABS(5-$HB25)*1000+50)),IF($HD25=0,999999,IF(5=$HE25,IF(101=$HL25,IF($JD25=2,30,0),IF(101=$HM25,IF($JD25=1,30,0),ABS(5-$HF25)*100)),100000+ABS(5-$HE25)*1000+50)),IF($HG25=0,999999,IF(5=$HH25,IF(101=$HN25,IF($JE25=2,30,0),IF(101=$HO25,IF($JE25=1,30,0),ABS(5-$HI25)*100)),100000+ABS(5-$HH25)*1000+50)))-IF((101=$HJ25)+(101=$HK25)+(101=$HL25)+(101=$HM25)+(101=$HN25)+(101=$HO25)&gt;=2,50,0))+CZ$5*50)</f>
        <v/>
      </c>
      <c r="DA145">
        <f>IF(OR($JF25=0,calcA!$A$6=0),0,IF(OR(102=$HA25,102=$HD25,102=$HG25),200000,MIN(IF($HA25=0,999999,IF(5=$HB25,IF(102=$HJ25,IF($JC25=2,30,0),IF(102=$HK25,IF($JC25=1,30,0),ABS(6-$HC25)*100)),100000+ABS(5-$HB25)*1000+60)),IF($HD25=0,999999,IF(5=$HE25,IF(102=$HL25,IF($JD25=2,30,0),IF(102=$HM25,IF($JD25=1,30,0),ABS(6-$HF25)*100)),100000+ABS(5-$HE25)*1000+60)),IF($HG25=0,999999,IF(5=$HH25,IF(102=$HN25,IF($JE25=2,30,0),IF(102=$HO25,IF($JE25=1,30,0),ABS(6-$HI25)*100)),100000+ABS(5-$HH25)*1000+60)))-IF((102=$HJ25)+(102=$HK25)+(102=$HL25)+(102=$HM25)+(102=$HN25)+(102=$HO25)&gt;=2,50,0))+DA$5*50)</f>
        <v/>
      </c>
      <c r="DB145">
        <f>IF(OR($JF25=0,calcA!$A$6=0),0,IF(OR(103=$HA25,103=$HD25,103=$HG25),200000,MIN(IF($HA25=0,999999,IF(5=$HB25,IF(103=$HJ25,IF($JC25=2,30,0),IF(103=$HK25,IF($JC25=1,30,0),ABS(7-$HC25)*100)),100000+ABS(5-$HB25)*1000+70)),IF($HD25=0,999999,IF(5=$HE25,IF(103=$HL25,IF($JD25=2,30,0),IF(103=$HM25,IF($JD25=1,30,0),ABS(7-$HF25)*100)),100000+ABS(5-$HE25)*1000+70)),IF($HG25=0,999999,IF(5=$HH25,IF(103=$HN25,IF($JE25=2,30,0),IF(103=$HO25,IF($JE25=1,30,0),ABS(7-$HI25)*100)),100000+ABS(5-$HH25)*1000+70)))-IF((103=$HJ25)+(103=$HK25)+(103=$HL25)+(103=$HM25)+(103=$HN25)+(103=$HO25)&gt;=2,50,0))+DB$5*50)</f>
        <v/>
      </c>
      <c r="DC145">
        <f>IF(OR($JF25=0,calcA!$A$6=0),0,IF(OR(104=$HA25,104=$HD25,104=$HG25),200000,MIN(IF($HA25=0,999999,IF(5=$HB25,IF(104=$HJ25,IF($JC25=2,30,0),IF(104=$HK25,IF($JC25=1,30,0),ABS(8-$HC25)*100)),100000+ABS(5-$HB25)*1000+80)),IF($HD25=0,999999,IF(5=$HE25,IF(104=$HL25,IF($JD25=2,30,0),IF(104=$HM25,IF($JD25=1,30,0),ABS(8-$HF25)*100)),100000+ABS(5-$HE25)*1000+80)),IF($HG25=0,999999,IF(5=$HH25,IF(104=$HN25,IF($JE25=2,30,0),IF(104=$HO25,IF($JE25=1,30,0),ABS(8-$HI25)*100)),100000+ABS(5-$HH25)*1000+80)))-IF((104=$HJ25)+(104=$HK25)+(104=$HL25)+(104=$HM25)+(104=$HN25)+(104=$HO25)&gt;=2,50,0))+DC$5*50)</f>
        <v/>
      </c>
      <c r="DD145">
        <f>IF(OR($JF25=0,calcA!$A$6=0),0,IF(OR(105=$HA25,105=$HD25,105=$HG25),200000,MIN(IF($HA25=0,999999,IF(5=$HB25,IF(105=$HJ25,IF($JC25=2,30,0),IF(105=$HK25,IF($JC25=1,30,0),ABS(9-$HC25)*100)),100000+ABS(5-$HB25)*1000+90)),IF($HD25=0,999999,IF(5=$HE25,IF(105=$HL25,IF($JD25=2,30,0),IF(105=$HM25,IF($JD25=1,30,0),ABS(9-$HF25)*100)),100000+ABS(5-$HE25)*1000+90)),IF($HG25=0,999999,IF(5=$HH25,IF(105=$HN25,IF($JE25=2,30,0),IF(105=$HO25,IF($JE25=1,30,0),ABS(9-$HI25)*100)),100000+ABS(5-$HH25)*1000+90)))-IF((105=$HJ25)+(105=$HK25)+(105=$HL25)+(105=$HM25)+(105=$HN25)+(105=$HO25)&gt;=2,50,0))+DD$5*50)</f>
        <v/>
      </c>
      <c r="DE145">
        <f>IF(OR($JF25=0,calcA!$A$6=0),0,IF(OR(106=$HA25,106=$HD25,106=$HG25),200000,MIN(IF($HA25=0,999999,IF(5=$HB25,IF(106=$HJ25,IF($JC25=2,30,0),IF(106=$HK25,IF($JC25=1,30,0),ABS(10-$HC25)*100)),100000+ABS(5-$HB25)*1000+100)),IF($HD25=0,999999,IF(5=$HE25,IF(106=$HL25,IF($JD25=2,30,0),IF(106=$HM25,IF($JD25=1,30,0),ABS(10-$HF25)*100)),100000+ABS(5-$HE25)*1000+100)),IF($HG25=0,999999,IF(5=$HH25,IF(106=$HN25,IF($JE25=2,30,0),IF(106=$HO25,IF($JE25=1,30,0),ABS(10-$HI25)*100)),100000+ABS(5-$HH25)*1000+100)))-IF((106=$HJ25)+(106=$HK25)+(106=$HL25)+(106=$HM25)+(106=$HN25)+(106=$HO25)&gt;=2,50,0))+DE$5*50)</f>
        <v/>
      </c>
      <c r="DF145">
        <f>IF(OR($JF25=0,calcA!$A$6=0),0,IF(OR(107=$HA25,107=$HD25,107=$HG25),200000,MIN(IF($HA25=0,999999,IF(5=$HB25,IF(107=$HJ25,IF($JC25=2,30,0),IF(107=$HK25,IF($JC25=1,30,0),ABS(11-$HC25)*100)),100000+ABS(5-$HB25)*1000+110)),IF($HD25=0,999999,IF(5=$HE25,IF(107=$HL25,IF($JD25=2,30,0),IF(107=$HM25,IF($JD25=1,30,0),ABS(11-$HF25)*100)),100000+ABS(5-$HE25)*1000+110)),IF($HG25=0,999999,IF(5=$HH25,IF(107=$HN25,IF($JE25=2,30,0),IF(107=$HO25,IF($JE25=1,30,0),ABS(11-$HI25)*100)),100000+ABS(5-$HH25)*1000+110)))-IF((107=$HJ25)+(107=$HK25)+(107=$HL25)+(107=$HM25)+(107=$HN25)+(107=$HO25)&gt;=2,50,0))+DF$5*50)</f>
        <v/>
      </c>
      <c r="DG145">
        <f>IF(OR($JF25=0,calcA!$A$6=0),0,IF(OR(108=$HA25,108=$HD25,108=$HG25),200000,MIN(IF($HA25=0,999999,IF(5=$HB25,IF(108=$HJ25,IF($JC25=2,30,0),IF(108=$HK25,IF($JC25=1,30,0),ABS(12-$HC25)*100)),100000+ABS(5-$HB25)*1000+120)),IF($HD25=0,999999,IF(5=$HE25,IF(108=$HL25,IF($JD25=2,30,0),IF(108=$HM25,IF($JD25=1,30,0),ABS(12-$HF25)*100)),100000+ABS(5-$HE25)*1000+120)),IF($HG25=0,999999,IF(5=$HH25,IF(108=$HN25,IF($JE25=2,30,0),IF(108=$HO25,IF($JE25=1,30,0),ABS(12-$HI25)*100)),100000+ABS(5-$HH25)*1000+120)))-IF((108=$HJ25)+(108=$HK25)+(108=$HL25)+(108=$HM25)+(108=$HN25)+(108=$HO25)&gt;=2,50,0))+DG$5*50)</f>
        <v/>
      </c>
      <c r="DH145">
        <f>IF(OR($JF25=0,calcA!$A$6=0),0,IF(OR(109=$HA25,109=$HD25,109=$HG25),200000,MIN(IF($HA25=0,999999,IF(5=$HB25,IF(109=$HJ25,IF($JC25=2,30,0),IF(109=$HK25,IF($JC25=1,30,0),ABS(13-$HC25)*100)),100000+ABS(5-$HB25)*1000+130)),IF($HD25=0,999999,IF(5=$HE25,IF(109=$HL25,IF($JD25=2,30,0),IF(109=$HM25,IF($JD25=1,30,0),ABS(13-$HF25)*100)),100000+ABS(5-$HE25)*1000+130)),IF($HG25=0,999999,IF(5=$HH25,IF(109=$HN25,IF($JE25=2,30,0),IF(109=$HO25,IF($JE25=1,30,0),ABS(13-$HI25)*100)),100000+ABS(5-$HH25)*1000+130)))-IF((109=$HJ25)+(109=$HK25)+(109=$HL25)+(109=$HM25)+(109=$HN25)+(109=$HO25)&gt;=2,50,0))+DH$5*50)</f>
        <v/>
      </c>
      <c r="DI145">
        <f>IF(OR($JF25=0,calcA!$A$6=0),0,IF(OR(110=$HA25,110=$HD25,110=$HG25),200000,MIN(IF($HA25=0,999999,IF(5=$HB25,IF(110=$HJ25,IF($JC25=2,30,0),IF(110=$HK25,IF($JC25=1,30,0),ABS(14-$HC25)*100)),100000+ABS(5-$HB25)*1000+140)),IF($HD25=0,999999,IF(5=$HE25,IF(110=$HL25,IF($JD25=2,30,0),IF(110=$HM25,IF($JD25=1,30,0),ABS(14-$HF25)*100)),100000+ABS(5-$HE25)*1000+140)),IF($HG25=0,999999,IF(5=$HH25,IF(110=$HN25,IF($JE25=2,30,0),IF(110=$HO25,IF($JE25=1,30,0),ABS(14-$HI25)*100)),100000+ABS(5-$HH25)*1000+140)))-IF((110=$HJ25)+(110=$HK25)+(110=$HL25)+(110=$HM25)+(110=$HN25)+(110=$HO25)&gt;=2,50,0))+DI$5*50)</f>
        <v/>
      </c>
      <c r="DJ145">
        <f>IF(OR($JF25=0,calcA!$A$6=0),0,IF(OR(111=$HA25,111=$HD25,111=$HG25),200000,MIN(IF($HA25=0,999999,IF(5=$HB25,IF(111=$HJ25,IF($JC25=2,30,0),IF(111=$HK25,IF($JC25=1,30,0),ABS(15-$HC25)*100)),100000+ABS(5-$HB25)*1000+150)),IF($HD25=0,999999,IF(5=$HE25,IF(111=$HL25,IF($JD25=2,30,0),IF(111=$HM25,IF($JD25=1,30,0),ABS(15-$HF25)*100)),100000+ABS(5-$HE25)*1000+150)),IF($HG25=0,999999,IF(5=$HH25,IF(111=$HN25,IF($JE25=2,30,0),IF(111=$HO25,IF($JE25=1,30,0),ABS(15-$HI25)*100)),100000+ABS(5-$HH25)*1000+150)))-IF((111=$HJ25)+(111=$HK25)+(111=$HL25)+(111=$HM25)+(111=$HN25)+(111=$HO25)&gt;=2,50,0))+DJ$5*50)</f>
        <v/>
      </c>
      <c r="DK145">
        <f>IF(OR($JF25=0,calcA!$A$6=0),0,IF(OR(112=$HA25,112=$HD25,112=$HG25),200000,MIN(IF($HA25=0,999999,IF(5=$HB25,IF(112=$HJ25,IF($JC25=2,30,0),IF(112=$HK25,IF($JC25=1,30,0),ABS(16-$HC25)*100)),100000+ABS(5-$HB25)*1000+160)),IF($HD25=0,999999,IF(5=$HE25,IF(112=$HL25,IF($JD25=2,30,0),IF(112=$HM25,IF($JD25=1,30,0),ABS(16-$HF25)*100)),100000+ABS(5-$HE25)*1000+160)),IF($HG25=0,999999,IF(5=$HH25,IF(112=$HN25,IF($JE25=2,30,0),IF(112=$HO25,IF($JE25=1,30,0),ABS(16-$HI25)*100)),100000+ABS(5-$HH25)*1000+160)))-IF((112=$HJ25)+(112=$HK25)+(112=$HL25)+(112=$HM25)+(112=$HN25)+(112=$HO25)&gt;=2,50,0))+DK$5*50)</f>
        <v/>
      </c>
      <c r="DL145">
        <f>IF(OR($JF25=0,calcA!$A$6=0),0,IF(OR(113=$HA25,113=$HD25,113=$HG25),200000,MIN(IF($HA25=0,999999,IF(5=$HB25,IF(113=$HJ25,IF($JC25=2,30,0),IF(113=$HK25,IF($JC25=1,30,0),ABS(17-$HC25)*100)),100000+ABS(5-$HB25)*1000+170)),IF($HD25=0,999999,IF(5=$HE25,IF(113=$HL25,IF($JD25=2,30,0),IF(113=$HM25,IF($JD25=1,30,0),ABS(17-$HF25)*100)),100000+ABS(5-$HE25)*1000+170)),IF($HG25=0,999999,IF(5=$HH25,IF(113=$HN25,IF($JE25=2,30,0),IF(113=$HO25,IF($JE25=1,30,0),ABS(17-$HI25)*100)),100000+ABS(5-$HH25)*1000+170)))-IF((113=$HJ25)+(113=$HK25)+(113=$HL25)+(113=$HM25)+(113=$HN25)+(113=$HO25)&gt;=2,50,0))+DL$5*50)</f>
        <v/>
      </c>
      <c r="DM145">
        <f>IF(OR($JF25=0,calcA!$A$6=0),0,IF(OR(114=$HA25,114=$HD25,114=$HG25),200000,MIN(IF($HA25=0,999999,IF(5=$HB25,IF(114=$HJ25,IF($JC25=2,30,0),IF(114=$HK25,IF($JC25=1,30,0),ABS(18-$HC25)*100)),100000+ABS(5-$HB25)*1000+180)),IF($HD25=0,999999,IF(5=$HE25,IF(114=$HL25,IF($JD25=2,30,0),IF(114=$HM25,IF($JD25=1,30,0),ABS(18-$HF25)*100)),100000+ABS(5-$HE25)*1000+180)),IF($HG25=0,999999,IF(5=$HH25,IF(114=$HN25,IF($JE25=2,30,0),IF(114=$HO25,IF($JE25=1,30,0),ABS(18-$HI25)*100)),100000+ABS(5-$HH25)*1000+180)))-IF((114=$HJ25)+(114=$HK25)+(114=$HL25)+(114=$HM25)+(114=$HN25)+(114=$HO25)&gt;=2,50,0))+DM$5*50)</f>
        <v/>
      </c>
      <c r="DN145">
        <f>IF(OR($JF25=0,calcA!$A$6=0),0,IF(OR(115=$HA25,115=$HD25,115=$HG25),200000,MIN(IF($HA25=0,999999,IF(5=$HB25,IF(115=$HJ25,IF($JC25=2,30,0),IF(115=$HK25,IF($JC25=1,30,0),ABS(19-$HC25)*100)),100000+ABS(5-$HB25)*1000+190)),IF($HD25=0,999999,IF(5=$HE25,IF(115=$HL25,IF($JD25=2,30,0),IF(115=$HM25,IF($JD25=1,30,0),ABS(19-$HF25)*100)),100000+ABS(5-$HE25)*1000+190)),IF($HG25=0,999999,IF(5=$HH25,IF(115=$HN25,IF($JE25=2,30,0),IF(115=$HO25,IF($JE25=1,30,0),ABS(19-$HI25)*100)),100000+ABS(5-$HH25)*1000+190)))-IF((115=$HJ25)+(115=$HK25)+(115=$HL25)+(115=$HM25)+(115=$HN25)+(115=$HO25)&gt;=2,50,0))+DN$5*50)</f>
        <v/>
      </c>
      <c r="DO145">
        <f>IF(OR($JF25=0,calcA!$A$6=0),0,IF(OR(116=$HA25,116=$HD25,116=$HG25),200000,MIN(IF($HA25=0,999999,IF(5=$HB25,IF(116=$HJ25,IF($JC25=2,30,0),IF(116=$HK25,IF($JC25=1,30,0),ABS(20-$HC25)*100)),100000+ABS(5-$HB25)*1000+200)),IF($HD25=0,999999,IF(5=$HE25,IF(116=$HL25,IF($JD25=2,30,0),IF(116=$HM25,IF($JD25=1,30,0),ABS(20-$HF25)*100)),100000+ABS(5-$HE25)*1000+200)),IF($HG25=0,999999,IF(5=$HH25,IF(116=$HN25,IF($JE25=2,30,0),IF(116=$HO25,IF($JE25=1,30,0),ABS(20-$HI25)*100)),100000+ABS(5-$HH25)*1000+200)))-IF((116=$HJ25)+(116=$HK25)+(116=$HL25)+(116=$HM25)+(116=$HN25)+(116=$HO25)&gt;=2,50,0))+DO$5*50)</f>
        <v/>
      </c>
      <c r="DP145">
        <f>IF(OR($JF25=0,calcA!$A$6=0),0,IF(OR(117=$HA25,117=$HD25,117=$HG25),200000,MIN(IF($HA25=0,999999,IF(5=$HB25,IF(117=$HJ25,IF($JC25=2,30,0),IF(117=$HK25,IF($JC25=1,30,0),ABS(21-$HC25)*100)),100000+ABS(5-$HB25)*1000+210)),IF($HD25=0,999999,IF(5=$HE25,IF(117=$HL25,IF($JD25=2,30,0),IF(117=$HM25,IF($JD25=1,30,0),ABS(21-$HF25)*100)),100000+ABS(5-$HE25)*1000+210)),IF($HG25=0,999999,IF(5=$HH25,IF(117=$HN25,IF($JE25=2,30,0),IF(117=$HO25,IF($JE25=1,30,0),ABS(21-$HI25)*100)),100000+ABS(5-$HH25)*1000+210)))-IF((117=$HJ25)+(117=$HK25)+(117=$HL25)+(117=$HM25)+(117=$HN25)+(117=$HO25)&gt;=2,50,0))+DP$5*50)</f>
        <v/>
      </c>
      <c r="DQ145">
        <f>IF(OR($JF25=0,calcA!$A$6=0),0,IF(OR(118=$HA25,118=$HD25,118=$HG25),200000,MIN(IF($HA25=0,999999,IF(5=$HB25,IF(118=$HJ25,IF($JC25=2,30,0),IF(118=$HK25,IF($JC25=1,30,0),ABS(22-$HC25)*100)),100000+ABS(5-$HB25)*1000+220)),IF($HD25=0,999999,IF(5=$HE25,IF(118=$HL25,IF($JD25=2,30,0),IF(118=$HM25,IF($JD25=1,30,0),ABS(22-$HF25)*100)),100000+ABS(5-$HE25)*1000+220)),IF($HG25=0,999999,IF(5=$HH25,IF(118=$HN25,IF($JE25=2,30,0),IF(118=$HO25,IF($JE25=1,30,0),ABS(22-$HI25)*100)),100000+ABS(5-$HH25)*1000+220)))-IF((118=$HJ25)+(118=$HK25)+(118=$HL25)+(118=$HM25)+(118=$HN25)+(118=$HO25)&gt;=2,50,0))+DQ$5*50)</f>
        <v/>
      </c>
      <c r="DR145">
        <f>IF(OR($JF25=0,calcA!$A$6=0),0,IF(OR(119=$HA25,119=$HD25,119=$HG25),200000,MIN(IF($HA25=0,999999,IF(5=$HB25,IF(119=$HJ25,IF($JC25=2,30,0),IF(119=$HK25,IF($JC25=1,30,0),ABS(23-$HC25)*100)),100000+ABS(5-$HB25)*1000+230)),IF($HD25=0,999999,IF(5=$HE25,IF(119=$HL25,IF($JD25=2,30,0),IF(119=$HM25,IF($JD25=1,30,0),ABS(23-$HF25)*100)),100000+ABS(5-$HE25)*1000+230)),IF($HG25=0,999999,IF(5=$HH25,IF(119=$HN25,IF($JE25=2,30,0),IF(119=$HO25,IF($JE25=1,30,0),ABS(23-$HI25)*100)),100000+ABS(5-$HH25)*1000+230)))-IF((119=$HJ25)+(119=$HK25)+(119=$HL25)+(119=$HM25)+(119=$HN25)+(119=$HO25)&gt;=2,50,0))+DR$5*50)</f>
        <v/>
      </c>
      <c r="DS145">
        <f>IF(OR($JF25=0,calcA!$A$6=0),0,IF(OR(120=$HA25,120=$HD25,120=$HG25),200000,MIN(IF($HA25=0,999999,IF(5=$HB25,IF(120=$HJ25,IF($JC25=2,30,0),IF(120=$HK25,IF($JC25=1,30,0),ABS(24-$HC25)*100)),100000+ABS(5-$HB25)*1000+240)),IF($HD25=0,999999,IF(5=$HE25,IF(120=$HL25,IF($JD25=2,30,0),IF(120=$HM25,IF($JD25=1,30,0),ABS(24-$HF25)*100)),100000+ABS(5-$HE25)*1000+240)),IF($HG25=0,999999,IF(5=$HH25,IF(120=$HN25,IF($JE25=2,30,0),IF(120=$HO25,IF($JE25=1,30,0),ABS(24-$HI25)*100)),100000+ABS(5-$HH25)*1000+240)))-IF((120=$HJ25)+(120=$HK25)+(120=$HL25)+(120=$HM25)+(120=$HN25)+(120=$HO25)&gt;=2,50,0))+DS$5*50)</f>
        <v/>
      </c>
      <c r="DT145">
        <f>IF(OR($JF25=0,calcA!$A$6=0),0,IF(OR(121=$HA25,121=$HD25,121=$HG25),200000,MIN(IF($HA25=0,999999,IF(6=$HB25,IF(121=$HJ25,IF($JC25=2,30,0),IF(121=$HK25,IF($JC25=1,30,0),ABS(1-$HC25)*100)),100000+ABS(6-$HB25)*1000+10)),IF($HD25=0,999999,IF(6=$HE25,IF(121=$HL25,IF($JD25=2,30,0),IF(121=$HM25,IF($JD25=1,30,0),ABS(1-$HF25)*100)),100000+ABS(6-$HE25)*1000+10)),IF($HG25=0,999999,IF(6=$HH25,IF(121=$HN25,IF($JE25=2,30,0),IF(121=$HO25,IF($JE25=1,30,0),ABS(1-$HI25)*100)),100000+ABS(6-$HH25)*1000+10)))-IF((121=$HJ25)+(121=$HK25)+(121=$HL25)+(121=$HM25)+(121=$HN25)+(121=$HO25)&gt;=2,50,0))+DT$5*50)</f>
        <v/>
      </c>
      <c r="DU145">
        <f>IF(OR($JF25=0,calcA!$A$6=0),0,IF(OR(122=$HA25,122=$HD25,122=$HG25),200000,MIN(IF($HA25=0,999999,IF(6=$HB25,IF(122=$HJ25,IF($JC25=2,30,0),IF(122=$HK25,IF($JC25=1,30,0),ABS(2-$HC25)*100)),100000+ABS(6-$HB25)*1000+20)),IF($HD25=0,999999,IF(6=$HE25,IF(122=$HL25,IF($JD25=2,30,0),IF(122=$HM25,IF($JD25=1,30,0),ABS(2-$HF25)*100)),100000+ABS(6-$HE25)*1000+20)),IF($HG25=0,999999,IF(6=$HH25,IF(122=$HN25,IF($JE25=2,30,0),IF(122=$HO25,IF($JE25=1,30,0),ABS(2-$HI25)*100)),100000+ABS(6-$HH25)*1000+20)))-IF((122=$HJ25)+(122=$HK25)+(122=$HL25)+(122=$HM25)+(122=$HN25)+(122=$HO25)&gt;=2,50,0))+DU$5*50)</f>
        <v/>
      </c>
      <c r="DV145">
        <f>IF(OR($JF25=0,calcA!$A$6=0),0,IF(OR(123=$HA25,123=$HD25,123=$HG25),200000,MIN(IF($HA25=0,999999,IF(6=$HB25,IF(123=$HJ25,IF($JC25=2,30,0),IF(123=$HK25,IF($JC25=1,30,0),ABS(3-$HC25)*100)),100000+ABS(6-$HB25)*1000+30)),IF($HD25=0,999999,IF(6=$HE25,IF(123=$HL25,IF($JD25=2,30,0),IF(123=$HM25,IF($JD25=1,30,0),ABS(3-$HF25)*100)),100000+ABS(6-$HE25)*1000+30)),IF($HG25=0,999999,IF(6=$HH25,IF(123=$HN25,IF($JE25=2,30,0),IF(123=$HO25,IF($JE25=1,30,0),ABS(3-$HI25)*100)),100000+ABS(6-$HH25)*1000+30)))-IF((123=$HJ25)+(123=$HK25)+(123=$HL25)+(123=$HM25)+(123=$HN25)+(123=$HO25)&gt;=2,50,0))+DV$5*50)</f>
        <v/>
      </c>
      <c r="DW145">
        <f>IF(OR($JF25=0,calcA!$A$6=0),0,IF(OR(124=$HA25,124=$HD25,124=$HG25),200000,MIN(IF($HA25=0,999999,IF(6=$HB25,IF(124=$HJ25,IF($JC25=2,30,0),IF(124=$HK25,IF($JC25=1,30,0),ABS(4-$HC25)*100)),100000+ABS(6-$HB25)*1000+40)),IF($HD25=0,999999,IF(6=$HE25,IF(124=$HL25,IF($JD25=2,30,0),IF(124=$HM25,IF($JD25=1,30,0),ABS(4-$HF25)*100)),100000+ABS(6-$HE25)*1000+40)),IF($HG25=0,999999,IF(6=$HH25,IF(124=$HN25,IF($JE25=2,30,0),IF(124=$HO25,IF($JE25=1,30,0),ABS(4-$HI25)*100)),100000+ABS(6-$HH25)*1000+40)))-IF((124=$HJ25)+(124=$HK25)+(124=$HL25)+(124=$HM25)+(124=$HN25)+(124=$HO25)&gt;=2,50,0))+DW$5*50)</f>
        <v/>
      </c>
      <c r="DX145">
        <f>IF(OR($JF25=0,calcA!$A$6=0),0,IF(OR(125=$HA25,125=$HD25,125=$HG25),200000,MIN(IF($HA25=0,999999,IF(6=$HB25,IF(125=$HJ25,IF($JC25=2,30,0),IF(125=$HK25,IF($JC25=1,30,0),ABS(5-$HC25)*100)),100000+ABS(6-$HB25)*1000+50)),IF($HD25=0,999999,IF(6=$HE25,IF(125=$HL25,IF($JD25=2,30,0),IF(125=$HM25,IF($JD25=1,30,0),ABS(5-$HF25)*100)),100000+ABS(6-$HE25)*1000+50)),IF($HG25=0,999999,IF(6=$HH25,IF(125=$HN25,IF($JE25=2,30,0),IF(125=$HO25,IF($JE25=1,30,0),ABS(5-$HI25)*100)),100000+ABS(6-$HH25)*1000+50)))-IF((125=$HJ25)+(125=$HK25)+(125=$HL25)+(125=$HM25)+(125=$HN25)+(125=$HO25)&gt;=2,50,0))+DX$5*50)</f>
        <v/>
      </c>
      <c r="DY145">
        <f>IF(OR($JF25=0,calcA!$A$6=0),0,IF(OR(126=$HA25,126=$HD25,126=$HG25),200000,MIN(IF($HA25=0,999999,IF(6=$HB25,IF(126=$HJ25,IF($JC25=2,30,0),IF(126=$HK25,IF($JC25=1,30,0),ABS(6-$HC25)*100)),100000+ABS(6-$HB25)*1000+60)),IF($HD25=0,999999,IF(6=$HE25,IF(126=$HL25,IF($JD25=2,30,0),IF(126=$HM25,IF($JD25=1,30,0),ABS(6-$HF25)*100)),100000+ABS(6-$HE25)*1000+60)),IF($HG25=0,999999,IF(6=$HH25,IF(126=$HN25,IF($JE25=2,30,0),IF(126=$HO25,IF($JE25=1,30,0),ABS(6-$HI25)*100)),100000+ABS(6-$HH25)*1000+60)))-IF((126=$HJ25)+(126=$HK25)+(126=$HL25)+(126=$HM25)+(126=$HN25)+(126=$HO25)&gt;=2,50,0))+DY$5*50)</f>
        <v/>
      </c>
      <c r="DZ145">
        <f>IF(OR($JF25=0,calcA!$A$6=0),0,IF(OR(127=$HA25,127=$HD25,127=$HG25),200000,MIN(IF($HA25=0,999999,IF(6=$HB25,IF(127=$HJ25,IF($JC25=2,30,0),IF(127=$HK25,IF($JC25=1,30,0),ABS(7-$HC25)*100)),100000+ABS(6-$HB25)*1000+70)),IF($HD25=0,999999,IF(6=$HE25,IF(127=$HL25,IF($JD25=2,30,0),IF(127=$HM25,IF($JD25=1,30,0),ABS(7-$HF25)*100)),100000+ABS(6-$HE25)*1000+70)),IF($HG25=0,999999,IF(6=$HH25,IF(127=$HN25,IF($JE25=2,30,0),IF(127=$HO25,IF($JE25=1,30,0),ABS(7-$HI25)*100)),100000+ABS(6-$HH25)*1000+70)))-IF((127=$HJ25)+(127=$HK25)+(127=$HL25)+(127=$HM25)+(127=$HN25)+(127=$HO25)&gt;=2,50,0))+DZ$5*50)</f>
        <v/>
      </c>
      <c r="EA145">
        <f>IF(OR($JF25=0,calcA!$A$6=0),0,IF(OR(128=$HA25,128=$HD25,128=$HG25),200000,MIN(IF($HA25=0,999999,IF(6=$HB25,IF(128=$HJ25,IF($JC25=2,30,0),IF(128=$HK25,IF($JC25=1,30,0),ABS(8-$HC25)*100)),100000+ABS(6-$HB25)*1000+80)),IF($HD25=0,999999,IF(6=$HE25,IF(128=$HL25,IF($JD25=2,30,0),IF(128=$HM25,IF($JD25=1,30,0),ABS(8-$HF25)*100)),100000+ABS(6-$HE25)*1000+80)),IF($HG25=0,999999,IF(6=$HH25,IF(128=$HN25,IF($JE25=2,30,0),IF(128=$HO25,IF($JE25=1,30,0),ABS(8-$HI25)*100)),100000+ABS(6-$HH25)*1000+80)))-IF((128=$HJ25)+(128=$HK25)+(128=$HL25)+(128=$HM25)+(128=$HN25)+(128=$HO25)&gt;=2,50,0))+EA$5*50)</f>
        <v/>
      </c>
      <c r="EB145">
        <f>IF(OR($JF25=0,calcA!$A$6=0),0,IF(OR(129=$HA25,129=$HD25,129=$HG25),200000,MIN(IF($HA25=0,999999,IF(6=$HB25,IF(129=$HJ25,IF($JC25=2,30,0),IF(129=$HK25,IF($JC25=1,30,0),ABS(9-$HC25)*100)),100000+ABS(6-$HB25)*1000+90)),IF($HD25=0,999999,IF(6=$HE25,IF(129=$HL25,IF($JD25=2,30,0),IF(129=$HM25,IF($JD25=1,30,0),ABS(9-$HF25)*100)),100000+ABS(6-$HE25)*1000+90)),IF($HG25=0,999999,IF(6=$HH25,IF(129=$HN25,IF($JE25=2,30,0),IF(129=$HO25,IF($JE25=1,30,0),ABS(9-$HI25)*100)),100000+ABS(6-$HH25)*1000+90)))-IF((129=$HJ25)+(129=$HK25)+(129=$HL25)+(129=$HM25)+(129=$HN25)+(129=$HO25)&gt;=2,50,0))+EB$5*50)</f>
        <v/>
      </c>
      <c r="EC145">
        <f>IF(OR($JF25=0,calcA!$A$6=0),0,IF(OR(130=$HA25,130=$HD25,130=$HG25),200000,MIN(IF($HA25=0,999999,IF(6=$HB25,IF(130=$HJ25,IF($JC25=2,30,0),IF(130=$HK25,IF($JC25=1,30,0),ABS(10-$HC25)*100)),100000+ABS(6-$HB25)*1000+100)),IF($HD25=0,999999,IF(6=$HE25,IF(130=$HL25,IF($JD25=2,30,0),IF(130=$HM25,IF($JD25=1,30,0),ABS(10-$HF25)*100)),100000+ABS(6-$HE25)*1000+100)),IF($HG25=0,999999,IF(6=$HH25,IF(130=$HN25,IF($JE25=2,30,0),IF(130=$HO25,IF($JE25=1,30,0),ABS(10-$HI25)*100)),100000+ABS(6-$HH25)*1000+100)))-IF((130=$HJ25)+(130=$HK25)+(130=$HL25)+(130=$HM25)+(130=$HN25)+(130=$HO25)&gt;=2,50,0))+EC$5*50)</f>
        <v/>
      </c>
      <c r="ED145">
        <f>IF(OR($JF25=0,calcA!$A$6=0),0,IF(OR(131=$HA25,131=$HD25,131=$HG25),200000,MIN(IF($HA25=0,999999,IF(6=$HB25,IF(131=$HJ25,IF($JC25=2,30,0),IF(131=$HK25,IF($JC25=1,30,0),ABS(11-$HC25)*100)),100000+ABS(6-$HB25)*1000+110)),IF($HD25=0,999999,IF(6=$HE25,IF(131=$HL25,IF($JD25=2,30,0),IF(131=$HM25,IF($JD25=1,30,0),ABS(11-$HF25)*100)),100000+ABS(6-$HE25)*1000+110)),IF($HG25=0,999999,IF(6=$HH25,IF(131=$HN25,IF($JE25=2,30,0),IF(131=$HO25,IF($JE25=1,30,0),ABS(11-$HI25)*100)),100000+ABS(6-$HH25)*1000+110)))-IF((131=$HJ25)+(131=$HK25)+(131=$HL25)+(131=$HM25)+(131=$HN25)+(131=$HO25)&gt;=2,50,0))+ED$5*50)</f>
        <v/>
      </c>
      <c r="EE145">
        <f>IF(OR($JF25=0,calcA!$A$6=0),0,IF(OR(132=$HA25,132=$HD25,132=$HG25),200000,MIN(IF($HA25=0,999999,IF(6=$HB25,IF(132=$HJ25,IF($JC25=2,30,0),IF(132=$HK25,IF($JC25=1,30,0),ABS(12-$HC25)*100)),100000+ABS(6-$HB25)*1000+120)),IF($HD25=0,999999,IF(6=$HE25,IF(132=$HL25,IF($JD25=2,30,0),IF(132=$HM25,IF($JD25=1,30,0),ABS(12-$HF25)*100)),100000+ABS(6-$HE25)*1000+120)),IF($HG25=0,999999,IF(6=$HH25,IF(132=$HN25,IF($JE25=2,30,0),IF(132=$HO25,IF($JE25=1,30,0),ABS(12-$HI25)*100)),100000+ABS(6-$HH25)*1000+120)))-IF((132=$HJ25)+(132=$HK25)+(132=$HL25)+(132=$HM25)+(132=$HN25)+(132=$HO25)&gt;=2,50,0))+EE$5*50)</f>
        <v/>
      </c>
      <c r="EF145">
        <f>IF(OR($JF25=0,calcA!$A$6=0),0,IF(OR(133=$HA25,133=$HD25,133=$HG25),200000,MIN(IF($HA25=0,999999,IF(6=$HB25,IF(133=$HJ25,IF($JC25=2,30,0),IF(133=$HK25,IF($JC25=1,30,0),ABS(13-$HC25)*100)),100000+ABS(6-$HB25)*1000+130)),IF($HD25=0,999999,IF(6=$HE25,IF(133=$HL25,IF($JD25=2,30,0),IF(133=$HM25,IF($JD25=1,30,0),ABS(13-$HF25)*100)),100000+ABS(6-$HE25)*1000+130)),IF($HG25=0,999999,IF(6=$HH25,IF(133=$HN25,IF($JE25=2,30,0),IF(133=$HO25,IF($JE25=1,30,0),ABS(13-$HI25)*100)),100000+ABS(6-$HH25)*1000+130)))-IF((133=$HJ25)+(133=$HK25)+(133=$HL25)+(133=$HM25)+(133=$HN25)+(133=$HO25)&gt;=2,50,0))+EF$5*50)</f>
        <v/>
      </c>
      <c r="EG145">
        <f>IF(OR($JF25=0,calcA!$A$6=0),0,IF(OR(134=$HA25,134=$HD25,134=$HG25),200000,MIN(IF($HA25=0,999999,IF(6=$HB25,IF(134=$HJ25,IF($JC25=2,30,0),IF(134=$HK25,IF($JC25=1,30,0),ABS(14-$HC25)*100)),100000+ABS(6-$HB25)*1000+140)),IF($HD25=0,999999,IF(6=$HE25,IF(134=$HL25,IF($JD25=2,30,0),IF(134=$HM25,IF($JD25=1,30,0),ABS(14-$HF25)*100)),100000+ABS(6-$HE25)*1000+140)),IF($HG25=0,999999,IF(6=$HH25,IF(134=$HN25,IF($JE25=2,30,0),IF(134=$HO25,IF($JE25=1,30,0),ABS(14-$HI25)*100)),100000+ABS(6-$HH25)*1000+140)))-IF((134=$HJ25)+(134=$HK25)+(134=$HL25)+(134=$HM25)+(134=$HN25)+(134=$HO25)&gt;=2,50,0))+EG$5*50)</f>
        <v/>
      </c>
      <c r="EH145">
        <f>IF(OR($JF25=0,calcA!$A$6=0),0,IF(OR(135=$HA25,135=$HD25,135=$HG25),200000,MIN(IF($HA25=0,999999,IF(6=$HB25,IF(135=$HJ25,IF($JC25=2,30,0),IF(135=$HK25,IF($JC25=1,30,0),ABS(15-$HC25)*100)),100000+ABS(6-$HB25)*1000+150)),IF($HD25=0,999999,IF(6=$HE25,IF(135=$HL25,IF($JD25=2,30,0),IF(135=$HM25,IF($JD25=1,30,0),ABS(15-$HF25)*100)),100000+ABS(6-$HE25)*1000+150)),IF($HG25=0,999999,IF(6=$HH25,IF(135=$HN25,IF($JE25=2,30,0),IF(135=$HO25,IF($JE25=1,30,0),ABS(15-$HI25)*100)),100000+ABS(6-$HH25)*1000+150)))-IF((135=$HJ25)+(135=$HK25)+(135=$HL25)+(135=$HM25)+(135=$HN25)+(135=$HO25)&gt;=2,50,0))+EH$5*50)</f>
        <v/>
      </c>
      <c r="EI145">
        <f>IF(OR($JF25=0,calcA!$A$6=0),0,IF(OR(136=$HA25,136=$HD25,136=$HG25),200000,MIN(IF($HA25=0,999999,IF(6=$HB25,IF(136=$HJ25,IF($JC25=2,30,0),IF(136=$HK25,IF($JC25=1,30,0),ABS(16-$HC25)*100)),100000+ABS(6-$HB25)*1000+160)),IF($HD25=0,999999,IF(6=$HE25,IF(136=$HL25,IF($JD25=2,30,0),IF(136=$HM25,IF($JD25=1,30,0),ABS(16-$HF25)*100)),100000+ABS(6-$HE25)*1000+160)),IF($HG25=0,999999,IF(6=$HH25,IF(136=$HN25,IF($JE25=2,30,0),IF(136=$HO25,IF($JE25=1,30,0),ABS(16-$HI25)*100)),100000+ABS(6-$HH25)*1000+160)))-IF((136=$HJ25)+(136=$HK25)+(136=$HL25)+(136=$HM25)+(136=$HN25)+(136=$HO25)&gt;=2,50,0))+EI$5*50)</f>
        <v/>
      </c>
      <c r="EJ145">
        <f>IF(OR($JF25=0,calcA!$A$6=0),0,IF(OR(137=$HA25,137=$HD25,137=$HG25),200000,MIN(IF($HA25=0,999999,IF(6=$HB25,IF(137=$HJ25,IF($JC25=2,30,0),IF(137=$HK25,IF($JC25=1,30,0),ABS(17-$HC25)*100)),100000+ABS(6-$HB25)*1000+170)),IF($HD25=0,999999,IF(6=$HE25,IF(137=$HL25,IF($JD25=2,30,0),IF(137=$HM25,IF($JD25=1,30,0),ABS(17-$HF25)*100)),100000+ABS(6-$HE25)*1000+170)),IF($HG25=0,999999,IF(6=$HH25,IF(137=$HN25,IF($JE25=2,30,0),IF(137=$HO25,IF($JE25=1,30,0),ABS(17-$HI25)*100)),100000+ABS(6-$HH25)*1000+170)))-IF((137=$HJ25)+(137=$HK25)+(137=$HL25)+(137=$HM25)+(137=$HN25)+(137=$HO25)&gt;=2,50,0))+EJ$5*50)</f>
        <v/>
      </c>
      <c r="EK145">
        <f>IF(OR($JF25=0,calcA!$A$6=0),0,IF(OR(138=$HA25,138=$HD25,138=$HG25),200000,MIN(IF($HA25=0,999999,IF(6=$HB25,IF(138=$HJ25,IF($JC25=2,30,0),IF(138=$HK25,IF($JC25=1,30,0),ABS(18-$HC25)*100)),100000+ABS(6-$HB25)*1000+180)),IF($HD25=0,999999,IF(6=$HE25,IF(138=$HL25,IF($JD25=2,30,0),IF(138=$HM25,IF($JD25=1,30,0),ABS(18-$HF25)*100)),100000+ABS(6-$HE25)*1000+180)),IF($HG25=0,999999,IF(6=$HH25,IF(138=$HN25,IF($JE25=2,30,0),IF(138=$HO25,IF($JE25=1,30,0),ABS(18-$HI25)*100)),100000+ABS(6-$HH25)*1000+180)))-IF((138=$HJ25)+(138=$HK25)+(138=$HL25)+(138=$HM25)+(138=$HN25)+(138=$HO25)&gt;=2,50,0))+EK$5*50)</f>
        <v/>
      </c>
      <c r="EL145">
        <f>IF(OR($JF25=0,calcA!$A$6=0),0,IF(OR(139=$HA25,139=$HD25,139=$HG25),200000,MIN(IF($HA25=0,999999,IF(6=$HB25,IF(139=$HJ25,IF($JC25=2,30,0),IF(139=$HK25,IF($JC25=1,30,0),ABS(19-$HC25)*100)),100000+ABS(6-$HB25)*1000+190)),IF($HD25=0,999999,IF(6=$HE25,IF(139=$HL25,IF($JD25=2,30,0),IF(139=$HM25,IF($JD25=1,30,0),ABS(19-$HF25)*100)),100000+ABS(6-$HE25)*1000+190)),IF($HG25=0,999999,IF(6=$HH25,IF(139=$HN25,IF($JE25=2,30,0),IF(139=$HO25,IF($JE25=1,30,0),ABS(19-$HI25)*100)),100000+ABS(6-$HH25)*1000+190)))-IF((139=$HJ25)+(139=$HK25)+(139=$HL25)+(139=$HM25)+(139=$HN25)+(139=$HO25)&gt;=2,50,0))+EL$5*50)</f>
        <v/>
      </c>
      <c r="EM145">
        <f>IF(OR($JF25=0,calcA!$A$6=0),0,IF(OR(140=$HA25,140=$HD25,140=$HG25),200000,MIN(IF($HA25=0,999999,IF(6=$HB25,IF(140=$HJ25,IF($JC25=2,30,0),IF(140=$HK25,IF($JC25=1,30,0),ABS(20-$HC25)*100)),100000+ABS(6-$HB25)*1000+200)),IF($HD25=0,999999,IF(6=$HE25,IF(140=$HL25,IF($JD25=2,30,0),IF(140=$HM25,IF($JD25=1,30,0),ABS(20-$HF25)*100)),100000+ABS(6-$HE25)*1000+200)),IF($HG25=0,999999,IF(6=$HH25,IF(140=$HN25,IF($JE25=2,30,0),IF(140=$HO25,IF($JE25=1,30,0),ABS(20-$HI25)*100)),100000+ABS(6-$HH25)*1000+200)))-IF((140=$HJ25)+(140=$HK25)+(140=$HL25)+(140=$HM25)+(140=$HN25)+(140=$HO25)&gt;=2,50,0))+EM$5*50)</f>
        <v/>
      </c>
      <c r="EN145">
        <f>IF(OR($JF25=0,calcA!$A$6=0),0,IF(OR(141=$HA25,141=$HD25,141=$HG25),200000,MIN(IF($HA25=0,999999,IF(6=$HB25,IF(141=$HJ25,IF($JC25=2,30,0),IF(141=$HK25,IF($JC25=1,30,0),ABS(21-$HC25)*100)),100000+ABS(6-$HB25)*1000+210)),IF($HD25=0,999999,IF(6=$HE25,IF(141=$HL25,IF($JD25=2,30,0),IF(141=$HM25,IF($JD25=1,30,0),ABS(21-$HF25)*100)),100000+ABS(6-$HE25)*1000+210)),IF($HG25=0,999999,IF(6=$HH25,IF(141=$HN25,IF($JE25=2,30,0),IF(141=$HO25,IF($JE25=1,30,0),ABS(21-$HI25)*100)),100000+ABS(6-$HH25)*1000+210)))-IF((141=$HJ25)+(141=$HK25)+(141=$HL25)+(141=$HM25)+(141=$HN25)+(141=$HO25)&gt;=2,50,0))+EN$5*50)</f>
        <v/>
      </c>
      <c r="EO145">
        <f>IF(OR($JF25=0,calcA!$A$6=0),0,IF(OR(142=$HA25,142=$HD25,142=$HG25),200000,MIN(IF($HA25=0,999999,IF(6=$HB25,IF(142=$HJ25,IF($JC25=2,30,0),IF(142=$HK25,IF($JC25=1,30,0),ABS(22-$HC25)*100)),100000+ABS(6-$HB25)*1000+220)),IF($HD25=0,999999,IF(6=$HE25,IF(142=$HL25,IF($JD25=2,30,0),IF(142=$HM25,IF($JD25=1,30,0),ABS(22-$HF25)*100)),100000+ABS(6-$HE25)*1000+220)),IF($HG25=0,999999,IF(6=$HH25,IF(142=$HN25,IF($JE25=2,30,0),IF(142=$HO25,IF($JE25=1,30,0),ABS(22-$HI25)*100)),100000+ABS(6-$HH25)*1000+220)))-IF((142=$HJ25)+(142=$HK25)+(142=$HL25)+(142=$HM25)+(142=$HN25)+(142=$HO25)&gt;=2,50,0))+EO$5*50)</f>
        <v/>
      </c>
      <c r="EP145">
        <f>IF(OR($JF25=0,calcA!$A$6=0),0,IF(OR(143=$HA25,143=$HD25,143=$HG25),200000,MIN(IF($HA25=0,999999,IF(6=$HB25,IF(143=$HJ25,IF($JC25=2,30,0),IF(143=$HK25,IF($JC25=1,30,0),ABS(23-$HC25)*100)),100000+ABS(6-$HB25)*1000+230)),IF($HD25=0,999999,IF(6=$HE25,IF(143=$HL25,IF($JD25=2,30,0),IF(143=$HM25,IF($JD25=1,30,0),ABS(23-$HF25)*100)),100000+ABS(6-$HE25)*1000+230)),IF($HG25=0,999999,IF(6=$HH25,IF(143=$HN25,IF($JE25=2,30,0),IF(143=$HO25,IF($JE25=1,30,0),ABS(23-$HI25)*100)),100000+ABS(6-$HH25)*1000+230)))-IF((143=$HJ25)+(143=$HK25)+(143=$HL25)+(143=$HM25)+(143=$HN25)+(143=$HO25)&gt;=2,50,0))+EP$5*50)</f>
        <v/>
      </c>
      <c r="EQ145">
        <f>IF(OR($JF25=0,calcA!$A$6=0),0,IF(OR(144=$HA25,144=$HD25,144=$HG25),200000,MIN(IF($HA25=0,999999,IF(6=$HB25,IF(144=$HJ25,IF($JC25=2,30,0),IF(144=$HK25,IF($JC25=1,30,0),ABS(24-$HC25)*100)),100000+ABS(6-$HB25)*1000+240)),IF($HD25=0,999999,IF(6=$HE25,IF(144=$HL25,IF($JD25=2,30,0),IF(144=$HM25,IF($JD25=1,30,0),ABS(24-$HF25)*100)),100000+ABS(6-$HE25)*1000+240)),IF($HG25=0,999999,IF(6=$HH25,IF(144=$HN25,IF($JE25=2,30,0),IF(144=$HO25,IF($JE25=1,30,0),ABS(24-$HI25)*100)),100000+ABS(6-$HH25)*1000+240)))-IF((144=$HJ25)+(144=$HK25)+(144=$HL25)+(144=$HM25)+(144=$HN25)+(144=$HO25)&gt;=2,50,0))+EQ$5*50)</f>
        <v/>
      </c>
    </row>
    <row r="146">
      <c r="D146">
        <f>IF(OR($JF26=0,calcA!$A$6=0),0,IF(OR(1=$HA26,1=$HD26,1=$HG26),200000,MIN(IF($HA26=0,999999,IF(1=$HB26,IF(1=$HJ26,IF($JC26=2,30,0),IF(1=$HK26,IF($JC26=1,30,0),ABS(1-$HC26)*100)),100000+ABS(1-$HB26)*1000+10)),IF($HD26=0,999999,IF(1=$HE26,IF(1=$HL26,IF($JD26=2,30,0),IF(1=$HM26,IF($JD26=1,30,0),ABS(1-$HF26)*100)),100000+ABS(1-$HE26)*1000+10)),IF($HG26=0,999999,IF(1=$HH26,IF(1=$HN26,IF($JE26=2,30,0),IF(1=$HO26,IF($JE26=1,30,0),ABS(1-$HI26)*100)),100000+ABS(1-$HH26)*1000+10)))-IF((1=$HJ26)+(1=$HK26)+(1=$HL26)+(1=$HM26)+(1=$HN26)+(1=$HO26)&gt;=2,50,0))+D$5*50)</f>
        <v/>
      </c>
      <c r="E146">
        <f>IF(OR($JF26=0,calcA!$A$6=0),0,IF(OR(2=$HA26,2=$HD26,2=$HG26),200000,MIN(IF($HA26=0,999999,IF(1=$HB26,IF(2=$HJ26,IF($JC26=2,30,0),IF(2=$HK26,IF($JC26=1,30,0),ABS(2-$HC26)*100)),100000+ABS(1-$HB26)*1000+20)),IF($HD26=0,999999,IF(1=$HE26,IF(2=$HL26,IF($JD26=2,30,0),IF(2=$HM26,IF($JD26=1,30,0),ABS(2-$HF26)*100)),100000+ABS(1-$HE26)*1000+20)),IF($HG26=0,999999,IF(1=$HH26,IF(2=$HN26,IF($JE26=2,30,0),IF(2=$HO26,IF($JE26=1,30,0),ABS(2-$HI26)*100)),100000+ABS(1-$HH26)*1000+20)))-IF((2=$HJ26)+(2=$HK26)+(2=$HL26)+(2=$HM26)+(2=$HN26)+(2=$HO26)&gt;=2,50,0))+E$5*50)</f>
        <v/>
      </c>
      <c r="F146">
        <f>IF(OR($JF26=0,calcA!$A$6=0),0,IF(OR(3=$HA26,3=$HD26,3=$HG26),200000,MIN(IF($HA26=0,999999,IF(1=$HB26,IF(3=$HJ26,IF($JC26=2,30,0),IF(3=$HK26,IF($JC26=1,30,0),ABS(3-$HC26)*100)),100000+ABS(1-$HB26)*1000+30)),IF($HD26=0,999999,IF(1=$HE26,IF(3=$HL26,IF($JD26=2,30,0),IF(3=$HM26,IF($JD26=1,30,0),ABS(3-$HF26)*100)),100000+ABS(1-$HE26)*1000+30)),IF($HG26=0,999999,IF(1=$HH26,IF(3=$HN26,IF($JE26=2,30,0),IF(3=$HO26,IF($JE26=1,30,0),ABS(3-$HI26)*100)),100000+ABS(1-$HH26)*1000+30)))-IF((3=$HJ26)+(3=$HK26)+(3=$HL26)+(3=$HM26)+(3=$HN26)+(3=$HO26)&gt;=2,50,0))+F$5*50)</f>
        <v/>
      </c>
      <c r="G146">
        <f>IF(OR($JF26=0,calcA!$A$6=0),0,IF(OR(4=$HA26,4=$HD26,4=$HG26),200000,MIN(IF($HA26=0,999999,IF(1=$HB26,IF(4=$HJ26,IF($JC26=2,30,0),IF(4=$HK26,IF($JC26=1,30,0),ABS(4-$HC26)*100)),100000+ABS(1-$HB26)*1000+40)),IF($HD26=0,999999,IF(1=$HE26,IF(4=$HL26,IF($JD26=2,30,0),IF(4=$HM26,IF($JD26=1,30,0),ABS(4-$HF26)*100)),100000+ABS(1-$HE26)*1000+40)),IF($HG26=0,999999,IF(1=$HH26,IF(4=$HN26,IF($JE26=2,30,0),IF(4=$HO26,IF($JE26=1,30,0),ABS(4-$HI26)*100)),100000+ABS(1-$HH26)*1000+40)))-IF((4=$HJ26)+(4=$HK26)+(4=$HL26)+(4=$HM26)+(4=$HN26)+(4=$HO26)&gt;=2,50,0))+G$5*50)</f>
        <v/>
      </c>
      <c r="H146">
        <f>IF(OR($JF26=0,calcA!$A$6=0),0,IF(OR(5=$HA26,5=$HD26,5=$HG26),200000,MIN(IF($HA26=0,999999,IF(1=$HB26,IF(5=$HJ26,IF($JC26=2,30,0),IF(5=$HK26,IF($JC26=1,30,0),ABS(5-$HC26)*100)),100000+ABS(1-$HB26)*1000+50)),IF($HD26=0,999999,IF(1=$HE26,IF(5=$HL26,IF($JD26=2,30,0),IF(5=$HM26,IF($JD26=1,30,0),ABS(5-$HF26)*100)),100000+ABS(1-$HE26)*1000+50)),IF($HG26=0,999999,IF(1=$HH26,IF(5=$HN26,IF($JE26=2,30,0),IF(5=$HO26,IF($JE26=1,30,0),ABS(5-$HI26)*100)),100000+ABS(1-$HH26)*1000+50)))-IF((5=$HJ26)+(5=$HK26)+(5=$HL26)+(5=$HM26)+(5=$HN26)+(5=$HO26)&gt;=2,50,0))+H$5*50)</f>
        <v/>
      </c>
      <c r="I146">
        <f>IF(OR($JF26=0,calcA!$A$6=0),0,IF(OR(6=$HA26,6=$HD26,6=$HG26),200000,MIN(IF($HA26=0,999999,IF(1=$HB26,IF(6=$HJ26,IF($JC26=2,30,0),IF(6=$HK26,IF($JC26=1,30,0),ABS(6-$HC26)*100)),100000+ABS(1-$HB26)*1000+60)),IF($HD26=0,999999,IF(1=$HE26,IF(6=$HL26,IF($JD26=2,30,0),IF(6=$HM26,IF($JD26=1,30,0),ABS(6-$HF26)*100)),100000+ABS(1-$HE26)*1000+60)),IF($HG26=0,999999,IF(1=$HH26,IF(6=$HN26,IF($JE26=2,30,0),IF(6=$HO26,IF($JE26=1,30,0),ABS(6-$HI26)*100)),100000+ABS(1-$HH26)*1000+60)))-IF((6=$HJ26)+(6=$HK26)+(6=$HL26)+(6=$HM26)+(6=$HN26)+(6=$HO26)&gt;=2,50,0))+I$5*50)</f>
        <v/>
      </c>
      <c r="J146">
        <f>IF(OR($JF26=0,calcA!$A$6=0),0,IF(OR(7=$HA26,7=$HD26,7=$HG26),200000,MIN(IF($HA26=0,999999,IF(1=$HB26,IF(7=$HJ26,IF($JC26=2,30,0),IF(7=$HK26,IF($JC26=1,30,0),ABS(7-$HC26)*100)),100000+ABS(1-$HB26)*1000+70)),IF($HD26=0,999999,IF(1=$HE26,IF(7=$HL26,IF($JD26=2,30,0),IF(7=$HM26,IF($JD26=1,30,0),ABS(7-$HF26)*100)),100000+ABS(1-$HE26)*1000+70)),IF($HG26=0,999999,IF(1=$HH26,IF(7=$HN26,IF($JE26=2,30,0),IF(7=$HO26,IF($JE26=1,30,0),ABS(7-$HI26)*100)),100000+ABS(1-$HH26)*1000+70)))-IF((7=$HJ26)+(7=$HK26)+(7=$HL26)+(7=$HM26)+(7=$HN26)+(7=$HO26)&gt;=2,50,0))+J$5*50)</f>
        <v/>
      </c>
      <c r="K146">
        <f>IF(OR($JF26=0,calcA!$A$6=0),0,IF(OR(8=$HA26,8=$HD26,8=$HG26),200000,MIN(IF($HA26=0,999999,IF(1=$HB26,IF(8=$HJ26,IF($JC26=2,30,0),IF(8=$HK26,IF($JC26=1,30,0),ABS(8-$HC26)*100)),100000+ABS(1-$HB26)*1000+80)),IF($HD26=0,999999,IF(1=$HE26,IF(8=$HL26,IF($JD26=2,30,0),IF(8=$HM26,IF($JD26=1,30,0),ABS(8-$HF26)*100)),100000+ABS(1-$HE26)*1000+80)),IF($HG26=0,999999,IF(1=$HH26,IF(8=$HN26,IF($JE26=2,30,0),IF(8=$HO26,IF($JE26=1,30,0),ABS(8-$HI26)*100)),100000+ABS(1-$HH26)*1000+80)))-IF((8=$HJ26)+(8=$HK26)+(8=$HL26)+(8=$HM26)+(8=$HN26)+(8=$HO26)&gt;=2,50,0))+K$5*50)</f>
        <v/>
      </c>
      <c r="L146">
        <f>IF(OR($JF26=0,calcA!$A$6=0),0,IF(OR(9=$HA26,9=$HD26,9=$HG26),200000,MIN(IF($HA26=0,999999,IF(1=$HB26,IF(9=$HJ26,IF($JC26=2,30,0),IF(9=$HK26,IF($JC26=1,30,0),ABS(9-$HC26)*100)),100000+ABS(1-$HB26)*1000+90)),IF($HD26=0,999999,IF(1=$HE26,IF(9=$HL26,IF($JD26=2,30,0),IF(9=$HM26,IF($JD26=1,30,0),ABS(9-$HF26)*100)),100000+ABS(1-$HE26)*1000+90)),IF($HG26=0,999999,IF(1=$HH26,IF(9=$HN26,IF($JE26=2,30,0),IF(9=$HO26,IF($JE26=1,30,0),ABS(9-$HI26)*100)),100000+ABS(1-$HH26)*1000+90)))-IF((9=$HJ26)+(9=$HK26)+(9=$HL26)+(9=$HM26)+(9=$HN26)+(9=$HO26)&gt;=2,50,0))+L$5*50)</f>
        <v/>
      </c>
      <c r="M146">
        <f>IF(OR($JF26=0,calcA!$A$6=0),0,IF(OR(10=$HA26,10=$HD26,10=$HG26),200000,MIN(IF($HA26=0,999999,IF(1=$HB26,IF(10=$HJ26,IF($JC26=2,30,0),IF(10=$HK26,IF($JC26=1,30,0),ABS(10-$HC26)*100)),100000+ABS(1-$HB26)*1000+100)),IF($HD26=0,999999,IF(1=$HE26,IF(10=$HL26,IF($JD26=2,30,0),IF(10=$HM26,IF($JD26=1,30,0),ABS(10-$HF26)*100)),100000+ABS(1-$HE26)*1000+100)),IF($HG26=0,999999,IF(1=$HH26,IF(10=$HN26,IF($JE26=2,30,0),IF(10=$HO26,IF($JE26=1,30,0),ABS(10-$HI26)*100)),100000+ABS(1-$HH26)*1000+100)))-IF((10=$HJ26)+(10=$HK26)+(10=$HL26)+(10=$HM26)+(10=$HN26)+(10=$HO26)&gt;=2,50,0))+M$5*50)</f>
        <v/>
      </c>
      <c r="N146">
        <f>IF(OR($JF26=0,calcA!$A$6=0),0,IF(OR(11=$HA26,11=$HD26,11=$HG26),200000,MIN(IF($HA26=0,999999,IF(1=$HB26,IF(11=$HJ26,IF($JC26=2,30,0),IF(11=$HK26,IF($JC26=1,30,0),ABS(11-$HC26)*100)),100000+ABS(1-$HB26)*1000+110)),IF($HD26=0,999999,IF(1=$HE26,IF(11=$HL26,IF($JD26=2,30,0),IF(11=$HM26,IF($JD26=1,30,0),ABS(11-$HF26)*100)),100000+ABS(1-$HE26)*1000+110)),IF($HG26=0,999999,IF(1=$HH26,IF(11=$HN26,IF($JE26=2,30,0),IF(11=$HO26,IF($JE26=1,30,0),ABS(11-$HI26)*100)),100000+ABS(1-$HH26)*1000+110)))-IF((11=$HJ26)+(11=$HK26)+(11=$HL26)+(11=$HM26)+(11=$HN26)+(11=$HO26)&gt;=2,50,0))+N$5*50)</f>
        <v/>
      </c>
      <c r="O146">
        <f>IF(OR($JF26=0,calcA!$A$6=0),0,IF(OR(12=$HA26,12=$HD26,12=$HG26),200000,MIN(IF($HA26=0,999999,IF(1=$HB26,IF(12=$HJ26,IF($JC26=2,30,0),IF(12=$HK26,IF($JC26=1,30,0),ABS(12-$HC26)*100)),100000+ABS(1-$HB26)*1000+120)),IF($HD26=0,999999,IF(1=$HE26,IF(12=$HL26,IF($JD26=2,30,0),IF(12=$HM26,IF($JD26=1,30,0),ABS(12-$HF26)*100)),100000+ABS(1-$HE26)*1000+120)),IF($HG26=0,999999,IF(1=$HH26,IF(12=$HN26,IF($JE26=2,30,0),IF(12=$HO26,IF($JE26=1,30,0),ABS(12-$HI26)*100)),100000+ABS(1-$HH26)*1000+120)))-IF((12=$HJ26)+(12=$HK26)+(12=$HL26)+(12=$HM26)+(12=$HN26)+(12=$HO26)&gt;=2,50,0))+O$5*50)</f>
        <v/>
      </c>
      <c r="P146">
        <f>IF(OR($JF26=0,calcA!$A$6=0),0,IF(OR(13=$HA26,13=$HD26,13=$HG26),200000,MIN(IF($HA26=0,999999,IF(1=$HB26,IF(13=$HJ26,IF($JC26=2,30,0),IF(13=$HK26,IF($JC26=1,30,0),ABS(13-$HC26)*100)),100000+ABS(1-$HB26)*1000+130)),IF($HD26=0,999999,IF(1=$HE26,IF(13=$HL26,IF($JD26=2,30,0),IF(13=$HM26,IF($JD26=1,30,0),ABS(13-$HF26)*100)),100000+ABS(1-$HE26)*1000+130)),IF($HG26=0,999999,IF(1=$HH26,IF(13=$HN26,IF($JE26=2,30,0),IF(13=$HO26,IF($JE26=1,30,0),ABS(13-$HI26)*100)),100000+ABS(1-$HH26)*1000+130)))-IF((13=$HJ26)+(13=$HK26)+(13=$HL26)+(13=$HM26)+(13=$HN26)+(13=$HO26)&gt;=2,50,0))+P$5*50)</f>
        <v/>
      </c>
      <c r="Q146">
        <f>IF(OR($JF26=0,calcA!$A$6=0),0,IF(OR(14=$HA26,14=$HD26,14=$HG26),200000,MIN(IF($HA26=0,999999,IF(1=$HB26,IF(14=$HJ26,IF($JC26=2,30,0),IF(14=$HK26,IF($JC26=1,30,0),ABS(14-$HC26)*100)),100000+ABS(1-$HB26)*1000+140)),IF($HD26=0,999999,IF(1=$HE26,IF(14=$HL26,IF($JD26=2,30,0),IF(14=$HM26,IF($JD26=1,30,0),ABS(14-$HF26)*100)),100000+ABS(1-$HE26)*1000+140)),IF($HG26=0,999999,IF(1=$HH26,IF(14=$HN26,IF($JE26=2,30,0),IF(14=$HO26,IF($JE26=1,30,0),ABS(14-$HI26)*100)),100000+ABS(1-$HH26)*1000+140)))-IF((14=$HJ26)+(14=$HK26)+(14=$HL26)+(14=$HM26)+(14=$HN26)+(14=$HO26)&gt;=2,50,0))+Q$5*50)</f>
        <v/>
      </c>
      <c r="R146">
        <f>IF(OR($JF26=0,calcA!$A$6=0),0,IF(OR(15=$HA26,15=$HD26,15=$HG26),200000,MIN(IF($HA26=0,999999,IF(1=$HB26,IF(15=$HJ26,IF($JC26=2,30,0),IF(15=$HK26,IF($JC26=1,30,0),ABS(15-$HC26)*100)),100000+ABS(1-$HB26)*1000+150)),IF($HD26=0,999999,IF(1=$HE26,IF(15=$HL26,IF($JD26=2,30,0),IF(15=$HM26,IF($JD26=1,30,0),ABS(15-$HF26)*100)),100000+ABS(1-$HE26)*1000+150)),IF($HG26=0,999999,IF(1=$HH26,IF(15=$HN26,IF($JE26=2,30,0),IF(15=$HO26,IF($JE26=1,30,0),ABS(15-$HI26)*100)),100000+ABS(1-$HH26)*1000+150)))-IF((15=$HJ26)+(15=$HK26)+(15=$HL26)+(15=$HM26)+(15=$HN26)+(15=$HO26)&gt;=2,50,0))+R$5*50)</f>
        <v/>
      </c>
      <c r="S146">
        <f>IF(OR($JF26=0,calcA!$A$6=0),0,IF(OR(16=$HA26,16=$HD26,16=$HG26),200000,MIN(IF($HA26=0,999999,IF(1=$HB26,IF(16=$HJ26,IF($JC26=2,30,0),IF(16=$HK26,IF($JC26=1,30,0),ABS(16-$HC26)*100)),100000+ABS(1-$HB26)*1000+160)),IF($HD26=0,999999,IF(1=$HE26,IF(16=$HL26,IF($JD26=2,30,0),IF(16=$HM26,IF($JD26=1,30,0),ABS(16-$HF26)*100)),100000+ABS(1-$HE26)*1000+160)),IF($HG26=0,999999,IF(1=$HH26,IF(16=$HN26,IF($JE26=2,30,0),IF(16=$HO26,IF($JE26=1,30,0),ABS(16-$HI26)*100)),100000+ABS(1-$HH26)*1000+160)))-IF((16=$HJ26)+(16=$HK26)+(16=$HL26)+(16=$HM26)+(16=$HN26)+(16=$HO26)&gt;=2,50,0))+S$5*50)</f>
        <v/>
      </c>
      <c r="T146">
        <f>IF(OR($JF26=0,calcA!$A$6=0),0,IF(OR(17=$HA26,17=$HD26,17=$HG26),200000,MIN(IF($HA26=0,999999,IF(1=$HB26,IF(17=$HJ26,IF($JC26=2,30,0),IF(17=$HK26,IF($JC26=1,30,0),ABS(17-$HC26)*100)),100000+ABS(1-$HB26)*1000+170)),IF($HD26=0,999999,IF(1=$HE26,IF(17=$HL26,IF($JD26=2,30,0),IF(17=$HM26,IF($JD26=1,30,0),ABS(17-$HF26)*100)),100000+ABS(1-$HE26)*1000+170)),IF($HG26=0,999999,IF(1=$HH26,IF(17=$HN26,IF($JE26=2,30,0),IF(17=$HO26,IF($JE26=1,30,0),ABS(17-$HI26)*100)),100000+ABS(1-$HH26)*1000+170)))-IF((17=$HJ26)+(17=$HK26)+(17=$HL26)+(17=$HM26)+(17=$HN26)+(17=$HO26)&gt;=2,50,0))+T$5*50)</f>
        <v/>
      </c>
      <c r="U146">
        <f>IF(OR($JF26=0,calcA!$A$6=0),0,IF(OR(18=$HA26,18=$HD26,18=$HG26),200000,MIN(IF($HA26=0,999999,IF(1=$HB26,IF(18=$HJ26,IF($JC26=2,30,0),IF(18=$HK26,IF($JC26=1,30,0),ABS(18-$HC26)*100)),100000+ABS(1-$HB26)*1000+180)),IF($HD26=0,999999,IF(1=$HE26,IF(18=$HL26,IF($JD26=2,30,0),IF(18=$HM26,IF($JD26=1,30,0),ABS(18-$HF26)*100)),100000+ABS(1-$HE26)*1000+180)),IF($HG26=0,999999,IF(1=$HH26,IF(18=$HN26,IF($JE26=2,30,0),IF(18=$HO26,IF($JE26=1,30,0),ABS(18-$HI26)*100)),100000+ABS(1-$HH26)*1000+180)))-IF((18=$HJ26)+(18=$HK26)+(18=$HL26)+(18=$HM26)+(18=$HN26)+(18=$HO26)&gt;=2,50,0))+U$5*50)</f>
        <v/>
      </c>
      <c r="V146">
        <f>IF(OR($JF26=0,calcA!$A$6=0),0,IF(OR(19=$HA26,19=$HD26,19=$HG26),200000,MIN(IF($HA26=0,999999,IF(1=$HB26,IF(19=$HJ26,IF($JC26=2,30,0),IF(19=$HK26,IF($JC26=1,30,0),ABS(19-$HC26)*100)),100000+ABS(1-$HB26)*1000+190)),IF($HD26=0,999999,IF(1=$HE26,IF(19=$HL26,IF($JD26=2,30,0),IF(19=$HM26,IF($JD26=1,30,0),ABS(19-$HF26)*100)),100000+ABS(1-$HE26)*1000+190)),IF($HG26=0,999999,IF(1=$HH26,IF(19=$HN26,IF($JE26=2,30,0),IF(19=$HO26,IF($JE26=1,30,0),ABS(19-$HI26)*100)),100000+ABS(1-$HH26)*1000+190)))-IF((19=$HJ26)+(19=$HK26)+(19=$HL26)+(19=$HM26)+(19=$HN26)+(19=$HO26)&gt;=2,50,0))+V$5*50)</f>
        <v/>
      </c>
      <c r="W146">
        <f>IF(OR($JF26=0,calcA!$A$6=0),0,IF(OR(20=$HA26,20=$HD26,20=$HG26),200000,MIN(IF($HA26=0,999999,IF(1=$HB26,IF(20=$HJ26,IF($JC26=2,30,0),IF(20=$HK26,IF($JC26=1,30,0),ABS(20-$HC26)*100)),100000+ABS(1-$HB26)*1000+200)),IF($HD26=0,999999,IF(1=$HE26,IF(20=$HL26,IF($JD26=2,30,0),IF(20=$HM26,IF($JD26=1,30,0),ABS(20-$HF26)*100)),100000+ABS(1-$HE26)*1000+200)),IF($HG26=0,999999,IF(1=$HH26,IF(20=$HN26,IF($JE26=2,30,0),IF(20=$HO26,IF($JE26=1,30,0),ABS(20-$HI26)*100)),100000+ABS(1-$HH26)*1000+200)))-IF((20=$HJ26)+(20=$HK26)+(20=$HL26)+(20=$HM26)+(20=$HN26)+(20=$HO26)&gt;=2,50,0))+W$5*50)</f>
        <v/>
      </c>
      <c r="X146">
        <f>IF(OR($JF26=0,calcA!$A$6=0),0,IF(OR(21=$HA26,21=$HD26,21=$HG26),200000,MIN(IF($HA26=0,999999,IF(1=$HB26,IF(21=$HJ26,IF($JC26=2,30,0),IF(21=$HK26,IF($JC26=1,30,0),ABS(21-$HC26)*100)),100000+ABS(1-$HB26)*1000+210)),IF($HD26=0,999999,IF(1=$HE26,IF(21=$HL26,IF($JD26=2,30,0),IF(21=$HM26,IF($JD26=1,30,0),ABS(21-$HF26)*100)),100000+ABS(1-$HE26)*1000+210)),IF($HG26=0,999999,IF(1=$HH26,IF(21=$HN26,IF($JE26=2,30,0),IF(21=$HO26,IF($JE26=1,30,0),ABS(21-$HI26)*100)),100000+ABS(1-$HH26)*1000+210)))-IF((21=$HJ26)+(21=$HK26)+(21=$HL26)+(21=$HM26)+(21=$HN26)+(21=$HO26)&gt;=2,50,0))+X$5*50)</f>
        <v/>
      </c>
      <c r="Y146">
        <f>IF(OR($JF26=0,calcA!$A$6=0),0,IF(OR(22=$HA26,22=$HD26,22=$HG26),200000,MIN(IF($HA26=0,999999,IF(1=$HB26,IF(22=$HJ26,IF($JC26=2,30,0),IF(22=$HK26,IF($JC26=1,30,0),ABS(22-$HC26)*100)),100000+ABS(1-$HB26)*1000+220)),IF($HD26=0,999999,IF(1=$HE26,IF(22=$HL26,IF($JD26=2,30,0),IF(22=$HM26,IF($JD26=1,30,0),ABS(22-$HF26)*100)),100000+ABS(1-$HE26)*1000+220)),IF($HG26=0,999999,IF(1=$HH26,IF(22=$HN26,IF($JE26=2,30,0),IF(22=$HO26,IF($JE26=1,30,0),ABS(22-$HI26)*100)),100000+ABS(1-$HH26)*1000+220)))-IF((22=$HJ26)+(22=$HK26)+(22=$HL26)+(22=$HM26)+(22=$HN26)+(22=$HO26)&gt;=2,50,0))+Y$5*50)</f>
        <v/>
      </c>
      <c r="Z146">
        <f>IF(OR($JF26=0,calcA!$A$6=0),0,IF(OR(23=$HA26,23=$HD26,23=$HG26),200000,MIN(IF($HA26=0,999999,IF(1=$HB26,IF(23=$HJ26,IF($JC26=2,30,0),IF(23=$HK26,IF($JC26=1,30,0),ABS(23-$HC26)*100)),100000+ABS(1-$HB26)*1000+230)),IF($HD26=0,999999,IF(1=$HE26,IF(23=$HL26,IF($JD26=2,30,0),IF(23=$HM26,IF($JD26=1,30,0),ABS(23-$HF26)*100)),100000+ABS(1-$HE26)*1000+230)),IF($HG26=0,999999,IF(1=$HH26,IF(23=$HN26,IF($JE26=2,30,0),IF(23=$HO26,IF($JE26=1,30,0),ABS(23-$HI26)*100)),100000+ABS(1-$HH26)*1000+230)))-IF((23=$HJ26)+(23=$HK26)+(23=$HL26)+(23=$HM26)+(23=$HN26)+(23=$HO26)&gt;=2,50,0))+Z$5*50)</f>
        <v/>
      </c>
      <c r="AA146">
        <f>IF(OR($JF26=0,calcA!$A$6=0),0,IF(OR(24=$HA26,24=$HD26,24=$HG26),200000,MIN(IF($HA26=0,999999,IF(1=$HB26,IF(24=$HJ26,IF($JC26=2,30,0),IF(24=$HK26,IF($JC26=1,30,0),ABS(24-$HC26)*100)),100000+ABS(1-$HB26)*1000+240)),IF($HD26=0,999999,IF(1=$HE26,IF(24=$HL26,IF($JD26=2,30,0),IF(24=$HM26,IF($JD26=1,30,0),ABS(24-$HF26)*100)),100000+ABS(1-$HE26)*1000+240)),IF($HG26=0,999999,IF(1=$HH26,IF(24=$HN26,IF($JE26=2,30,0),IF(24=$HO26,IF($JE26=1,30,0),ABS(24-$HI26)*100)),100000+ABS(1-$HH26)*1000+240)))-IF((24=$HJ26)+(24=$HK26)+(24=$HL26)+(24=$HM26)+(24=$HN26)+(24=$HO26)&gt;=2,50,0))+AA$5*50)</f>
        <v/>
      </c>
      <c r="AB146">
        <f>IF(OR($JF26=0,calcA!$A$6=0),0,IF(OR(25=$HA26,25=$HD26,25=$HG26),200000,MIN(IF($HA26=0,999999,IF(2=$HB26,IF(25=$HJ26,IF($JC26=2,30,0),IF(25=$HK26,IF($JC26=1,30,0),ABS(1-$HC26)*100)),100000+ABS(2-$HB26)*1000+10)),IF($HD26=0,999999,IF(2=$HE26,IF(25=$HL26,IF($JD26=2,30,0),IF(25=$HM26,IF($JD26=1,30,0),ABS(1-$HF26)*100)),100000+ABS(2-$HE26)*1000+10)),IF($HG26=0,999999,IF(2=$HH26,IF(25=$HN26,IF($JE26=2,30,0),IF(25=$HO26,IF($JE26=1,30,0),ABS(1-$HI26)*100)),100000+ABS(2-$HH26)*1000+10)))-IF((25=$HJ26)+(25=$HK26)+(25=$HL26)+(25=$HM26)+(25=$HN26)+(25=$HO26)&gt;=2,50,0))+AB$5*50)</f>
        <v/>
      </c>
      <c r="AC146">
        <f>IF(OR($JF26=0,calcA!$A$6=0),0,IF(OR(26=$HA26,26=$HD26,26=$HG26),200000,MIN(IF($HA26=0,999999,IF(2=$HB26,IF(26=$HJ26,IF($JC26=2,30,0),IF(26=$HK26,IF($JC26=1,30,0),ABS(2-$HC26)*100)),100000+ABS(2-$HB26)*1000+20)),IF($HD26=0,999999,IF(2=$HE26,IF(26=$HL26,IF($JD26=2,30,0),IF(26=$HM26,IF($JD26=1,30,0),ABS(2-$HF26)*100)),100000+ABS(2-$HE26)*1000+20)),IF($HG26=0,999999,IF(2=$HH26,IF(26=$HN26,IF($JE26=2,30,0),IF(26=$HO26,IF($JE26=1,30,0),ABS(2-$HI26)*100)),100000+ABS(2-$HH26)*1000+20)))-IF((26=$HJ26)+(26=$HK26)+(26=$HL26)+(26=$HM26)+(26=$HN26)+(26=$HO26)&gt;=2,50,0))+AC$5*50)</f>
        <v/>
      </c>
      <c r="AD146">
        <f>IF(OR($JF26=0,calcA!$A$6=0),0,IF(OR(27=$HA26,27=$HD26,27=$HG26),200000,MIN(IF($HA26=0,999999,IF(2=$HB26,IF(27=$HJ26,IF($JC26=2,30,0),IF(27=$HK26,IF($JC26=1,30,0),ABS(3-$HC26)*100)),100000+ABS(2-$HB26)*1000+30)),IF($HD26=0,999999,IF(2=$HE26,IF(27=$HL26,IF($JD26=2,30,0),IF(27=$HM26,IF($JD26=1,30,0),ABS(3-$HF26)*100)),100000+ABS(2-$HE26)*1000+30)),IF($HG26=0,999999,IF(2=$HH26,IF(27=$HN26,IF($JE26=2,30,0),IF(27=$HO26,IF($JE26=1,30,0),ABS(3-$HI26)*100)),100000+ABS(2-$HH26)*1000+30)))-IF((27=$HJ26)+(27=$HK26)+(27=$HL26)+(27=$HM26)+(27=$HN26)+(27=$HO26)&gt;=2,50,0))+AD$5*50)</f>
        <v/>
      </c>
      <c r="AE146">
        <f>IF(OR($JF26=0,calcA!$A$6=0),0,IF(OR(28=$HA26,28=$HD26,28=$HG26),200000,MIN(IF($HA26=0,999999,IF(2=$HB26,IF(28=$HJ26,IF($JC26=2,30,0),IF(28=$HK26,IF($JC26=1,30,0),ABS(4-$HC26)*100)),100000+ABS(2-$HB26)*1000+40)),IF($HD26=0,999999,IF(2=$HE26,IF(28=$HL26,IF($JD26=2,30,0),IF(28=$HM26,IF($JD26=1,30,0),ABS(4-$HF26)*100)),100000+ABS(2-$HE26)*1000+40)),IF($HG26=0,999999,IF(2=$HH26,IF(28=$HN26,IF($JE26=2,30,0),IF(28=$HO26,IF($JE26=1,30,0),ABS(4-$HI26)*100)),100000+ABS(2-$HH26)*1000+40)))-IF((28=$HJ26)+(28=$HK26)+(28=$HL26)+(28=$HM26)+(28=$HN26)+(28=$HO26)&gt;=2,50,0))+AE$5*50)</f>
        <v/>
      </c>
      <c r="AF146">
        <f>IF(OR($JF26=0,calcA!$A$6=0),0,IF(OR(29=$HA26,29=$HD26,29=$HG26),200000,MIN(IF($HA26=0,999999,IF(2=$HB26,IF(29=$HJ26,IF($JC26=2,30,0),IF(29=$HK26,IF($JC26=1,30,0),ABS(5-$HC26)*100)),100000+ABS(2-$HB26)*1000+50)),IF($HD26=0,999999,IF(2=$HE26,IF(29=$HL26,IF($JD26=2,30,0),IF(29=$HM26,IF($JD26=1,30,0),ABS(5-$HF26)*100)),100000+ABS(2-$HE26)*1000+50)),IF($HG26=0,999999,IF(2=$HH26,IF(29=$HN26,IF($JE26=2,30,0),IF(29=$HO26,IF($JE26=1,30,0),ABS(5-$HI26)*100)),100000+ABS(2-$HH26)*1000+50)))-IF((29=$HJ26)+(29=$HK26)+(29=$HL26)+(29=$HM26)+(29=$HN26)+(29=$HO26)&gt;=2,50,0))+AF$5*50)</f>
        <v/>
      </c>
      <c r="AG146">
        <f>IF(OR($JF26=0,calcA!$A$6=0),0,IF(OR(30=$HA26,30=$HD26,30=$HG26),200000,MIN(IF($HA26=0,999999,IF(2=$HB26,IF(30=$HJ26,IF($JC26=2,30,0),IF(30=$HK26,IF($JC26=1,30,0),ABS(6-$HC26)*100)),100000+ABS(2-$HB26)*1000+60)),IF($HD26=0,999999,IF(2=$HE26,IF(30=$HL26,IF($JD26=2,30,0),IF(30=$HM26,IF($JD26=1,30,0),ABS(6-$HF26)*100)),100000+ABS(2-$HE26)*1000+60)),IF($HG26=0,999999,IF(2=$HH26,IF(30=$HN26,IF($JE26=2,30,0),IF(30=$HO26,IF($JE26=1,30,0),ABS(6-$HI26)*100)),100000+ABS(2-$HH26)*1000+60)))-IF((30=$HJ26)+(30=$HK26)+(30=$HL26)+(30=$HM26)+(30=$HN26)+(30=$HO26)&gt;=2,50,0))+AG$5*50)</f>
        <v/>
      </c>
      <c r="AH146">
        <f>IF(OR($JF26=0,calcA!$A$6=0),0,IF(OR(31=$HA26,31=$HD26,31=$HG26),200000,MIN(IF($HA26=0,999999,IF(2=$HB26,IF(31=$HJ26,IF($JC26=2,30,0),IF(31=$HK26,IF($JC26=1,30,0),ABS(7-$HC26)*100)),100000+ABS(2-$HB26)*1000+70)),IF($HD26=0,999999,IF(2=$HE26,IF(31=$HL26,IF($JD26=2,30,0),IF(31=$HM26,IF($JD26=1,30,0),ABS(7-$HF26)*100)),100000+ABS(2-$HE26)*1000+70)),IF($HG26=0,999999,IF(2=$HH26,IF(31=$HN26,IF($JE26=2,30,0),IF(31=$HO26,IF($JE26=1,30,0),ABS(7-$HI26)*100)),100000+ABS(2-$HH26)*1000+70)))-IF((31=$HJ26)+(31=$HK26)+(31=$HL26)+(31=$HM26)+(31=$HN26)+(31=$HO26)&gt;=2,50,0))+AH$5*50)</f>
        <v/>
      </c>
      <c r="AI146">
        <f>IF(OR($JF26=0,calcA!$A$6=0),0,IF(OR(32=$HA26,32=$HD26,32=$HG26),200000,MIN(IF($HA26=0,999999,IF(2=$HB26,IF(32=$HJ26,IF($JC26=2,30,0),IF(32=$HK26,IF($JC26=1,30,0),ABS(8-$HC26)*100)),100000+ABS(2-$HB26)*1000+80)),IF($HD26=0,999999,IF(2=$HE26,IF(32=$HL26,IF($JD26=2,30,0),IF(32=$HM26,IF($JD26=1,30,0),ABS(8-$HF26)*100)),100000+ABS(2-$HE26)*1000+80)),IF($HG26=0,999999,IF(2=$HH26,IF(32=$HN26,IF($JE26=2,30,0),IF(32=$HO26,IF($JE26=1,30,0),ABS(8-$HI26)*100)),100000+ABS(2-$HH26)*1000+80)))-IF((32=$HJ26)+(32=$HK26)+(32=$HL26)+(32=$HM26)+(32=$HN26)+(32=$HO26)&gt;=2,50,0))+AI$5*50)</f>
        <v/>
      </c>
      <c r="AJ146">
        <f>IF(OR($JF26=0,calcA!$A$6=0),0,IF(OR(33=$HA26,33=$HD26,33=$HG26),200000,MIN(IF($HA26=0,999999,IF(2=$HB26,IF(33=$HJ26,IF($JC26=2,30,0),IF(33=$HK26,IF($JC26=1,30,0),ABS(9-$HC26)*100)),100000+ABS(2-$HB26)*1000+90)),IF($HD26=0,999999,IF(2=$HE26,IF(33=$HL26,IF($JD26=2,30,0),IF(33=$HM26,IF($JD26=1,30,0),ABS(9-$HF26)*100)),100000+ABS(2-$HE26)*1000+90)),IF($HG26=0,999999,IF(2=$HH26,IF(33=$HN26,IF($JE26=2,30,0),IF(33=$HO26,IF($JE26=1,30,0),ABS(9-$HI26)*100)),100000+ABS(2-$HH26)*1000+90)))-IF((33=$HJ26)+(33=$HK26)+(33=$HL26)+(33=$HM26)+(33=$HN26)+(33=$HO26)&gt;=2,50,0))+AJ$5*50)</f>
        <v/>
      </c>
      <c r="AK146">
        <f>IF(OR($JF26=0,calcA!$A$6=0),0,IF(OR(34=$HA26,34=$HD26,34=$HG26),200000,MIN(IF($HA26=0,999999,IF(2=$HB26,IF(34=$HJ26,IF($JC26=2,30,0),IF(34=$HK26,IF($JC26=1,30,0),ABS(10-$HC26)*100)),100000+ABS(2-$HB26)*1000+100)),IF($HD26=0,999999,IF(2=$HE26,IF(34=$HL26,IF($JD26=2,30,0),IF(34=$HM26,IF($JD26=1,30,0),ABS(10-$HF26)*100)),100000+ABS(2-$HE26)*1000+100)),IF($HG26=0,999999,IF(2=$HH26,IF(34=$HN26,IF($JE26=2,30,0),IF(34=$HO26,IF($JE26=1,30,0),ABS(10-$HI26)*100)),100000+ABS(2-$HH26)*1000+100)))-IF((34=$HJ26)+(34=$HK26)+(34=$HL26)+(34=$HM26)+(34=$HN26)+(34=$HO26)&gt;=2,50,0))+AK$5*50)</f>
        <v/>
      </c>
      <c r="AL146">
        <f>IF(OR($JF26=0,calcA!$A$6=0),0,IF(OR(35=$HA26,35=$HD26,35=$HG26),200000,MIN(IF($HA26=0,999999,IF(2=$HB26,IF(35=$HJ26,IF($JC26=2,30,0),IF(35=$HK26,IF($JC26=1,30,0),ABS(11-$HC26)*100)),100000+ABS(2-$HB26)*1000+110)),IF($HD26=0,999999,IF(2=$HE26,IF(35=$HL26,IF($JD26=2,30,0),IF(35=$HM26,IF($JD26=1,30,0),ABS(11-$HF26)*100)),100000+ABS(2-$HE26)*1000+110)),IF($HG26=0,999999,IF(2=$HH26,IF(35=$HN26,IF($JE26=2,30,0),IF(35=$HO26,IF($JE26=1,30,0),ABS(11-$HI26)*100)),100000+ABS(2-$HH26)*1000+110)))-IF((35=$HJ26)+(35=$HK26)+(35=$HL26)+(35=$HM26)+(35=$HN26)+(35=$HO26)&gt;=2,50,0))+AL$5*50)</f>
        <v/>
      </c>
      <c r="AM146">
        <f>IF(OR($JF26=0,calcA!$A$6=0),0,IF(OR(36=$HA26,36=$HD26,36=$HG26),200000,MIN(IF($HA26=0,999999,IF(2=$HB26,IF(36=$HJ26,IF($JC26=2,30,0),IF(36=$HK26,IF($JC26=1,30,0),ABS(12-$HC26)*100)),100000+ABS(2-$HB26)*1000+120)),IF($HD26=0,999999,IF(2=$HE26,IF(36=$HL26,IF($JD26=2,30,0),IF(36=$HM26,IF($JD26=1,30,0),ABS(12-$HF26)*100)),100000+ABS(2-$HE26)*1000+120)),IF($HG26=0,999999,IF(2=$HH26,IF(36=$HN26,IF($JE26=2,30,0),IF(36=$HO26,IF($JE26=1,30,0),ABS(12-$HI26)*100)),100000+ABS(2-$HH26)*1000+120)))-IF((36=$HJ26)+(36=$HK26)+(36=$HL26)+(36=$HM26)+(36=$HN26)+(36=$HO26)&gt;=2,50,0))+AM$5*50)</f>
        <v/>
      </c>
      <c r="AN146">
        <f>IF(OR($JF26=0,calcA!$A$6=0),0,IF(OR(37=$HA26,37=$HD26,37=$HG26),200000,MIN(IF($HA26=0,999999,IF(2=$HB26,IF(37=$HJ26,IF($JC26=2,30,0),IF(37=$HK26,IF($JC26=1,30,0),ABS(13-$HC26)*100)),100000+ABS(2-$HB26)*1000+130)),IF($HD26=0,999999,IF(2=$HE26,IF(37=$HL26,IF($JD26=2,30,0),IF(37=$HM26,IF($JD26=1,30,0),ABS(13-$HF26)*100)),100000+ABS(2-$HE26)*1000+130)),IF($HG26=0,999999,IF(2=$HH26,IF(37=$HN26,IF($JE26=2,30,0),IF(37=$HO26,IF($JE26=1,30,0),ABS(13-$HI26)*100)),100000+ABS(2-$HH26)*1000+130)))-IF((37=$HJ26)+(37=$HK26)+(37=$HL26)+(37=$HM26)+(37=$HN26)+(37=$HO26)&gt;=2,50,0))+AN$5*50)</f>
        <v/>
      </c>
      <c r="AO146">
        <f>IF(OR($JF26=0,calcA!$A$6=0),0,IF(OR(38=$HA26,38=$HD26,38=$HG26),200000,MIN(IF($HA26=0,999999,IF(2=$HB26,IF(38=$HJ26,IF($JC26=2,30,0),IF(38=$HK26,IF($JC26=1,30,0),ABS(14-$HC26)*100)),100000+ABS(2-$HB26)*1000+140)),IF($HD26=0,999999,IF(2=$HE26,IF(38=$HL26,IF($JD26=2,30,0),IF(38=$HM26,IF($JD26=1,30,0),ABS(14-$HF26)*100)),100000+ABS(2-$HE26)*1000+140)),IF($HG26=0,999999,IF(2=$HH26,IF(38=$HN26,IF($JE26=2,30,0),IF(38=$HO26,IF($JE26=1,30,0),ABS(14-$HI26)*100)),100000+ABS(2-$HH26)*1000+140)))-IF((38=$HJ26)+(38=$HK26)+(38=$HL26)+(38=$HM26)+(38=$HN26)+(38=$HO26)&gt;=2,50,0))+AO$5*50)</f>
        <v/>
      </c>
      <c r="AP146">
        <f>IF(OR($JF26=0,calcA!$A$6=0),0,IF(OR(39=$HA26,39=$HD26,39=$HG26),200000,MIN(IF($HA26=0,999999,IF(2=$HB26,IF(39=$HJ26,IF($JC26=2,30,0),IF(39=$HK26,IF($JC26=1,30,0),ABS(15-$HC26)*100)),100000+ABS(2-$HB26)*1000+150)),IF($HD26=0,999999,IF(2=$HE26,IF(39=$HL26,IF($JD26=2,30,0),IF(39=$HM26,IF($JD26=1,30,0),ABS(15-$HF26)*100)),100000+ABS(2-$HE26)*1000+150)),IF($HG26=0,999999,IF(2=$HH26,IF(39=$HN26,IF($JE26=2,30,0),IF(39=$HO26,IF($JE26=1,30,0),ABS(15-$HI26)*100)),100000+ABS(2-$HH26)*1000+150)))-IF((39=$HJ26)+(39=$HK26)+(39=$HL26)+(39=$HM26)+(39=$HN26)+(39=$HO26)&gt;=2,50,0))+AP$5*50)</f>
        <v/>
      </c>
      <c r="AQ146">
        <f>IF(OR($JF26=0,calcA!$A$6=0),0,IF(OR(40=$HA26,40=$HD26,40=$HG26),200000,MIN(IF($HA26=0,999999,IF(2=$HB26,IF(40=$HJ26,IF($JC26=2,30,0),IF(40=$HK26,IF($JC26=1,30,0),ABS(16-$HC26)*100)),100000+ABS(2-$HB26)*1000+160)),IF($HD26=0,999999,IF(2=$HE26,IF(40=$HL26,IF($JD26=2,30,0),IF(40=$HM26,IF($JD26=1,30,0),ABS(16-$HF26)*100)),100000+ABS(2-$HE26)*1000+160)),IF($HG26=0,999999,IF(2=$HH26,IF(40=$HN26,IF($JE26=2,30,0),IF(40=$HO26,IF($JE26=1,30,0),ABS(16-$HI26)*100)),100000+ABS(2-$HH26)*1000+160)))-IF((40=$HJ26)+(40=$HK26)+(40=$HL26)+(40=$HM26)+(40=$HN26)+(40=$HO26)&gt;=2,50,0))+AQ$5*50)</f>
        <v/>
      </c>
      <c r="AR146">
        <f>IF(OR($JF26=0,calcA!$A$6=0),0,IF(OR(41=$HA26,41=$HD26,41=$HG26),200000,MIN(IF($HA26=0,999999,IF(2=$HB26,IF(41=$HJ26,IF($JC26=2,30,0),IF(41=$HK26,IF($JC26=1,30,0),ABS(17-$HC26)*100)),100000+ABS(2-$HB26)*1000+170)),IF($HD26=0,999999,IF(2=$HE26,IF(41=$HL26,IF($JD26=2,30,0),IF(41=$HM26,IF($JD26=1,30,0),ABS(17-$HF26)*100)),100000+ABS(2-$HE26)*1000+170)),IF($HG26=0,999999,IF(2=$HH26,IF(41=$HN26,IF($JE26=2,30,0),IF(41=$HO26,IF($JE26=1,30,0),ABS(17-$HI26)*100)),100000+ABS(2-$HH26)*1000+170)))-IF((41=$HJ26)+(41=$HK26)+(41=$HL26)+(41=$HM26)+(41=$HN26)+(41=$HO26)&gt;=2,50,0))+AR$5*50)</f>
        <v/>
      </c>
      <c r="AS146">
        <f>IF(OR($JF26=0,calcA!$A$6=0),0,IF(OR(42=$HA26,42=$HD26,42=$HG26),200000,MIN(IF($HA26=0,999999,IF(2=$HB26,IF(42=$HJ26,IF($JC26=2,30,0),IF(42=$HK26,IF($JC26=1,30,0),ABS(18-$HC26)*100)),100000+ABS(2-$HB26)*1000+180)),IF($HD26=0,999999,IF(2=$HE26,IF(42=$HL26,IF($JD26=2,30,0),IF(42=$HM26,IF($JD26=1,30,0),ABS(18-$HF26)*100)),100000+ABS(2-$HE26)*1000+180)),IF($HG26=0,999999,IF(2=$HH26,IF(42=$HN26,IF($JE26=2,30,0),IF(42=$HO26,IF($JE26=1,30,0),ABS(18-$HI26)*100)),100000+ABS(2-$HH26)*1000+180)))-IF((42=$HJ26)+(42=$HK26)+(42=$HL26)+(42=$HM26)+(42=$HN26)+(42=$HO26)&gt;=2,50,0))+AS$5*50)</f>
        <v/>
      </c>
      <c r="AT146">
        <f>IF(OR($JF26=0,calcA!$A$6=0),0,IF(OR(43=$HA26,43=$HD26,43=$HG26),200000,MIN(IF($HA26=0,999999,IF(2=$HB26,IF(43=$HJ26,IF($JC26=2,30,0),IF(43=$HK26,IF($JC26=1,30,0),ABS(19-$HC26)*100)),100000+ABS(2-$HB26)*1000+190)),IF($HD26=0,999999,IF(2=$HE26,IF(43=$HL26,IF($JD26=2,30,0),IF(43=$HM26,IF($JD26=1,30,0),ABS(19-$HF26)*100)),100000+ABS(2-$HE26)*1000+190)),IF($HG26=0,999999,IF(2=$HH26,IF(43=$HN26,IF($JE26=2,30,0),IF(43=$HO26,IF($JE26=1,30,0),ABS(19-$HI26)*100)),100000+ABS(2-$HH26)*1000+190)))-IF((43=$HJ26)+(43=$HK26)+(43=$HL26)+(43=$HM26)+(43=$HN26)+(43=$HO26)&gt;=2,50,0))+AT$5*50)</f>
        <v/>
      </c>
      <c r="AU146">
        <f>IF(OR($JF26=0,calcA!$A$6=0),0,IF(OR(44=$HA26,44=$HD26,44=$HG26),200000,MIN(IF($HA26=0,999999,IF(2=$HB26,IF(44=$HJ26,IF($JC26=2,30,0),IF(44=$HK26,IF($JC26=1,30,0),ABS(20-$HC26)*100)),100000+ABS(2-$HB26)*1000+200)),IF($HD26=0,999999,IF(2=$HE26,IF(44=$HL26,IF($JD26=2,30,0),IF(44=$HM26,IF($JD26=1,30,0),ABS(20-$HF26)*100)),100000+ABS(2-$HE26)*1000+200)),IF($HG26=0,999999,IF(2=$HH26,IF(44=$HN26,IF($JE26=2,30,0),IF(44=$HO26,IF($JE26=1,30,0),ABS(20-$HI26)*100)),100000+ABS(2-$HH26)*1000+200)))-IF((44=$HJ26)+(44=$HK26)+(44=$HL26)+(44=$HM26)+(44=$HN26)+(44=$HO26)&gt;=2,50,0))+AU$5*50)</f>
        <v/>
      </c>
      <c r="AV146">
        <f>IF(OR($JF26=0,calcA!$A$6=0),0,IF(OR(45=$HA26,45=$HD26,45=$HG26),200000,MIN(IF($HA26=0,999999,IF(2=$HB26,IF(45=$HJ26,IF($JC26=2,30,0),IF(45=$HK26,IF($JC26=1,30,0),ABS(21-$HC26)*100)),100000+ABS(2-$HB26)*1000+210)),IF($HD26=0,999999,IF(2=$HE26,IF(45=$HL26,IF($JD26=2,30,0),IF(45=$HM26,IF($JD26=1,30,0),ABS(21-$HF26)*100)),100000+ABS(2-$HE26)*1000+210)),IF($HG26=0,999999,IF(2=$HH26,IF(45=$HN26,IF($JE26=2,30,0),IF(45=$HO26,IF($JE26=1,30,0),ABS(21-$HI26)*100)),100000+ABS(2-$HH26)*1000+210)))-IF((45=$HJ26)+(45=$HK26)+(45=$HL26)+(45=$HM26)+(45=$HN26)+(45=$HO26)&gt;=2,50,0))+AV$5*50)</f>
        <v/>
      </c>
      <c r="AW146">
        <f>IF(OR($JF26=0,calcA!$A$6=0),0,IF(OR(46=$HA26,46=$HD26,46=$HG26),200000,MIN(IF($HA26=0,999999,IF(2=$HB26,IF(46=$HJ26,IF($JC26=2,30,0),IF(46=$HK26,IF($JC26=1,30,0),ABS(22-$HC26)*100)),100000+ABS(2-$HB26)*1000+220)),IF($HD26=0,999999,IF(2=$HE26,IF(46=$HL26,IF($JD26=2,30,0),IF(46=$HM26,IF($JD26=1,30,0),ABS(22-$HF26)*100)),100000+ABS(2-$HE26)*1000+220)),IF($HG26=0,999999,IF(2=$HH26,IF(46=$HN26,IF($JE26=2,30,0),IF(46=$HO26,IF($JE26=1,30,0),ABS(22-$HI26)*100)),100000+ABS(2-$HH26)*1000+220)))-IF((46=$HJ26)+(46=$HK26)+(46=$HL26)+(46=$HM26)+(46=$HN26)+(46=$HO26)&gt;=2,50,0))+AW$5*50)</f>
        <v/>
      </c>
      <c r="AX146">
        <f>IF(OR($JF26=0,calcA!$A$6=0),0,IF(OR(47=$HA26,47=$HD26,47=$HG26),200000,MIN(IF($HA26=0,999999,IF(2=$HB26,IF(47=$HJ26,IF($JC26=2,30,0),IF(47=$HK26,IF($JC26=1,30,0),ABS(23-$HC26)*100)),100000+ABS(2-$HB26)*1000+230)),IF($HD26=0,999999,IF(2=$HE26,IF(47=$HL26,IF($JD26=2,30,0),IF(47=$HM26,IF($JD26=1,30,0),ABS(23-$HF26)*100)),100000+ABS(2-$HE26)*1000+230)),IF($HG26=0,999999,IF(2=$HH26,IF(47=$HN26,IF($JE26=2,30,0),IF(47=$HO26,IF($JE26=1,30,0),ABS(23-$HI26)*100)),100000+ABS(2-$HH26)*1000+230)))-IF((47=$HJ26)+(47=$HK26)+(47=$HL26)+(47=$HM26)+(47=$HN26)+(47=$HO26)&gt;=2,50,0))+AX$5*50)</f>
        <v/>
      </c>
      <c r="AY146">
        <f>IF(OR($JF26=0,calcA!$A$6=0),0,IF(OR(48=$HA26,48=$HD26,48=$HG26),200000,MIN(IF($HA26=0,999999,IF(2=$HB26,IF(48=$HJ26,IF($JC26=2,30,0),IF(48=$HK26,IF($JC26=1,30,0),ABS(24-$HC26)*100)),100000+ABS(2-$HB26)*1000+240)),IF($HD26=0,999999,IF(2=$HE26,IF(48=$HL26,IF($JD26=2,30,0),IF(48=$HM26,IF($JD26=1,30,0),ABS(24-$HF26)*100)),100000+ABS(2-$HE26)*1000+240)),IF($HG26=0,999999,IF(2=$HH26,IF(48=$HN26,IF($JE26=2,30,0),IF(48=$HO26,IF($JE26=1,30,0),ABS(24-$HI26)*100)),100000+ABS(2-$HH26)*1000+240)))-IF((48=$HJ26)+(48=$HK26)+(48=$HL26)+(48=$HM26)+(48=$HN26)+(48=$HO26)&gt;=2,50,0))+AY$5*50)</f>
        <v/>
      </c>
      <c r="AZ146">
        <f>IF(OR($JF26=0,calcA!$A$6=0),0,IF(OR(49=$HA26,49=$HD26,49=$HG26),200000,MIN(IF($HA26=0,999999,IF(3=$HB26,IF(49=$HJ26,IF($JC26=2,30,0),IF(49=$HK26,IF($JC26=1,30,0),ABS(1-$HC26)*100)),100000+ABS(3-$HB26)*1000+10)),IF($HD26=0,999999,IF(3=$HE26,IF(49=$HL26,IF($JD26=2,30,0),IF(49=$HM26,IF($JD26=1,30,0),ABS(1-$HF26)*100)),100000+ABS(3-$HE26)*1000+10)),IF($HG26=0,999999,IF(3=$HH26,IF(49=$HN26,IF($JE26=2,30,0),IF(49=$HO26,IF($JE26=1,30,0),ABS(1-$HI26)*100)),100000+ABS(3-$HH26)*1000+10)))-IF((49=$HJ26)+(49=$HK26)+(49=$HL26)+(49=$HM26)+(49=$HN26)+(49=$HO26)&gt;=2,50,0))+AZ$5*50)</f>
        <v/>
      </c>
      <c r="BA146">
        <f>IF(OR($JF26=0,calcA!$A$6=0),0,IF(OR(50=$HA26,50=$HD26,50=$HG26),200000,MIN(IF($HA26=0,999999,IF(3=$HB26,IF(50=$HJ26,IF($JC26=2,30,0),IF(50=$HK26,IF($JC26=1,30,0),ABS(2-$HC26)*100)),100000+ABS(3-$HB26)*1000+20)),IF($HD26=0,999999,IF(3=$HE26,IF(50=$HL26,IF($JD26=2,30,0),IF(50=$HM26,IF($JD26=1,30,0),ABS(2-$HF26)*100)),100000+ABS(3-$HE26)*1000+20)),IF($HG26=0,999999,IF(3=$HH26,IF(50=$HN26,IF($JE26=2,30,0),IF(50=$HO26,IF($JE26=1,30,0),ABS(2-$HI26)*100)),100000+ABS(3-$HH26)*1000+20)))-IF((50=$HJ26)+(50=$HK26)+(50=$HL26)+(50=$HM26)+(50=$HN26)+(50=$HO26)&gt;=2,50,0))+BA$5*50)</f>
        <v/>
      </c>
      <c r="BB146">
        <f>IF(OR($JF26=0,calcA!$A$6=0),0,IF(OR(51=$HA26,51=$HD26,51=$HG26),200000,MIN(IF($HA26=0,999999,IF(3=$HB26,IF(51=$HJ26,IF($JC26=2,30,0),IF(51=$HK26,IF($JC26=1,30,0),ABS(3-$HC26)*100)),100000+ABS(3-$HB26)*1000+30)),IF($HD26=0,999999,IF(3=$HE26,IF(51=$HL26,IF($JD26=2,30,0),IF(51=$HM26,IF($JD26=1,30,0),ABS(3-$HF26)*100)),100000+ABS(3-$HE26)*1000+30)),IF($HG26=0,999999,IF(3=$HH26,IF(51=$HN26,IF($JE26=2,30,0),IF(51=$HO26,IF($JE26=1,30,0),ABS(3-$HI26)*100)),100000+ABS(3-$HH26)*1000+30)))-IF((51=$HJ26)+(51=$HK26)+(51=$HL26)+(51=$HM26)+(51=$HN26)+(51=$HO26)&gt;=2,50,0))+BB$5*50)</f>
        <v/>
      </c>
      <c r="BC146">
        <f>IF(OR($JF26=0,calcA!$A$6=0),0,IF(OR(52=$HA26,52=$HD26,52=$HG26),200000,MIN(IF($HA26=0,999999,IF(3=$HB26,IF(52=$HJ26,IF($JC26=2,30,0),IF(52=$HK26,IF($JC26=1,30,0),ABS(4-$HC26)*100)),100000+ABS(3-$HB26)*1000+40)),IF($HD26=0,999999,IF(3=$HE26,IF(52=$HL26,IF($JD26=2,30,0),IF(52=$HM26,IF($JD26=1,30,0),ABS(4-$HF26)*100)),100000+ABS(3-$HE26)*1000+40)),IF($HG26=0,999999,IF(3=$HH26,IF(52=$HN26,IF($JE26=2,30,0),IF(52=$HO26,IF($JE26=1,30,0),ABS(4-$HI26)*100)),100000+ABS(3-$HH26)*1000+40)))-IF((52=$HJ26)+(52=$HK26)+(52=$HL26)+(52=$HM26)+(52=$HN26)+(52=$HO26)&gt;=2,50,0))+BC$5*50)</f>
        <v/>
      </c>
      <c r="BD146">
        <f>IF(OR($JF26=0,calcA!$A$6=0),0,IF(OR(53=$HA26,53=$HD26,53=$HG26),200000,MIN(IF($HA26=0,999999,IF(3=$HB26,IF(53=$HJ26,IF($JC26=2,30,0),IF(53=$HK26,IF($JC26=1,30,0),ABS(5-$HC26)*100)),100000+ABS(3-$HB26)*1000+50)),IF($HD26=0,999999,IF(3=$HE26,IF(53=$HL26,IF($JD26=2,30,0),IF(53=$HM26,IF($JD26=1,30,0),ABS(5-$HF26)*100)),100000+ABS(3-$HE26)*1000+50)),IF($HG26=0,999999,IF(3=$HH26,IF(53=$HN26,IF($JE26=2,30,0),IF(53=$HO26,IF($JE26=1,30,0),ABS(5-$HI26)*100)),100000+ABS(3-$HH26)*1000+50)))-IF((53=$HJ26)+(53=$HK26)+(53=$HL26)+(53=$HM26)+(53=$HN26)+(53=$HO26)&gt;=2,50,0))+BD$5*50)</f>
        <v/>
      </c>
      <c r="BE146">
        <f>IF(OR($JF26=0,calcA!$A$6=0),0,IF(OR(54=$HA26,54=$HD26,54=$HG26),200000,MIN(IF($HA26=0,999999,IF(3=$HB26,IF(54=$HJ26,IF($JC26=2,30,0),IF(54=$HK26,IF($JC26=1,30,0),ABS(6-$HC26)*100)),100000+ABS(3-$HB26)*1000+60)),IF($HD26=0,999999,IF(3=$HE26,IF(54=$HL26,IF($JD26=2,30,0),IF(54=$HM26,IF($JD26=1,30,0),ABS(6-$HF26)*100)),100000+ABS(3-$HE26)*1000+60)),IF($HG26=0,999999,IF(3=$HH26,IF(54=$HN26,IF($JE26=2,30,0),IF(54=$HO26,IF($JE26=1,30,0),ABS(6-$HI26)*100)),100000+ABS(3-$HH26)*1000+60)))-IF((54=$HJ26)+(54=$HK26)+(54=$HL26)+(54=$HM26)+(54=$HN26)+(54=$HO26)&gt;=2,50,0))+BE$5*50)</f>
        <v/>
      </c>
      <c r="BF146">
        <f>IF(OR($JF26=0,calcA!$A$6=0),0,IF(OR(55=$HA26,55=$HD26,55=$HG26),200000,MIN(IF($HA26=0,999999,IF(3=$HB26,IF(55=$HJ26,IF($JC26=2,30,0),IF(55=$HK26,IF($JC26=1,30,0),ABS(7-$HC26)*100)),100000+ABS(3-$HB26)*1000+70)),IF($HD26=0,999999,IF(3=$HE26,IF(55=$HL26,IF($JD26=2,30,0),IF(55=$HM26,IF($JD26=1,30,0),ABS(7-$HF26)*100)),100000+ABS(3-$HE26)*1000+70)),IF($HG26=0,999999,IF(3=$HH26,IF(55=$HN26,IF($JE26=2,30,0),IF(55=$HO26,IF($JE26=1,30,0),ABS(7-$HI26)*100)),100000+ABS(3-$HH26)*1000+70)))-IF((55=$HJ26)+(55=$HK26)+(55=$HL26)+(55=$HM26)+(55=$HN26)+(55=$HO26)&gt;=2,50,0))+BF$5*50)</f>
        <v/>
      </c>
      <c r="BG146">
        <f>IF(OR($JF26=0,calcA!$A$6=0),0,IF(OR(56=$HA26,56=$HD26,56=$HG26),200000,MIN(IF($HA26=0,999999,IF(3=$HB26,IF(56=$HJ26,IF($JC26=2,30,0),IF(56=$HK26,IF($JC26=1,30,0),ABS(8-$HC26)*100)),100000+ABS(3-$HB26)*1000+80)),IF($HD26=0,999999,IF(3=$HE26,IF(56=$HL26,IF($JD26=2,30,0),IF(56=$HM26,IF($JD26=1,30,0),ABS(8-$HF26)*100)),100000+ABS(3-$HE26)*1000+80)),IF($HG26=0,999999,IF(3=$HH26,IF(56=$HN26,IF($JE26=2,30,0),IF(56=$HO26,IF($JE26=1,30,0),ABS(8-$HI26)*100)),100000+ABS(3-$HH26)*1000+80)))-IF((56=$HJ26)+(56=$HK26)+(56=$HL26)+(56=$HM26)+(56=$HN26)+(56=$HO26)&gt;=2,50,0))+BG$5*50)</f>
        <v/>
      </c>
      <c r="BH146">
        <f>IF(OR($JF26=0,calcA!$A$6=0),0,IF(OR(57=$HA26,57=$HD26,57=$HG26),200000,MIN(IF($HA26=0,999999,IF(3=$HB26,IF(57=$HJ26,IF($JC26=2,30,0),IF(57=$HK26,IF($JC26=1,30,0),ABS(9-$HC26)*100)),100000+ABS(3-$HB26)*1000+90)),IF($HD26=0,999999,IF(3=$HE26,IF(57=$HL26,IF($JD26=2,30,0),IF(57=$HM26,IF($JD26=1,30,0),ABS(9-$HF26)*100)),100000+ABS(3-$HE26)*1000+90)),IF($HG26=0,999999,IF(3=$HH26,IF(57=$HN26,IF($JE26=2,30,0),IF(57=$HO26,IF($JE26=1,30,0),ABS(9-$HI26)*100)),100000+ABS(3-$HH26)*1000+90)))-IF((57=$HJ26)+(57=$HK26)+(57=$HL26)+(57=$HM26)+(57=$HN26)+(57=$HO26)&gt;=2,50,0))+BH$5*50)</f>
        <v/>
      </c>
      <c r="BI146">
        <f>IF(OR($JF26=0,calcA!$A$6=0),0,IF(OR(58=$HA26,58=$HD26,58=$HG26),200000,MIN(IF($HA26=0,999999,IF(3=$HB26,IF(58=$HJ26,IF($JC26=2,30,0),IF(58=$HK26,IF($JC26=1,30,0),ABS(10-$HC26)*100)),100000+ABS(3-$HB26)*1000+100)),IF($HD26=0,999999,IF(3=$HE26,IF(58=$HL26,IF($JD26=2,30,0),IF(58=$HM26,IF($JD26=1,30,0),ABS(10-$HF26)*100)),100000+ABS(3-$HE26)*1000+100)),IF($HG26=0,999999,IF(3=$HH26,IF(58=$HN26,IF($JE26=2,30,0),IF(58=$HO26,IF($JE26=1,30,0),ABS(10-$HI26)*100)),100000+ABS(3-$HH26)*1000+100)))-IF((58=$HJ26)+(58=$HK26)+(58=$HL26)+(58=$HM26)+(58=$HN26)+(58=$HO26)&gt;=2,50,0))+BI$5*50)</f>
        <v/>
      </c>
      <c r="BJ146">
        <f>IF(OR($JF26=0,calcA!$A$6=0),0,IF(OR(59=$HA26,59=$HD26,59=$HG26),200000,MIN(IF($HA26=0,999999,IF(3=$HB26,IF(59=$HJ26,IF($JC26=2,30,0),IF(59=$HK26,IF($JC26=1,30,0),ABS(11-$HC26)*100)),100000+ABS(3-$HB26)*1000+110)),IF($HD26=0,999999,IF(3=$HE26,IF(59=$HL26,IF($JD26=2,30,0),IF(59=$HM26,IF($JD26=1,30,0),ABS(11-$HF26)*100)),100000+ABS(3-$HE26)*1000+110)),IF($HG26=0,999999,IF(3=$HH26,IF(59=$HN26,IF($JE26=2,30,0),IF(59=$HO26,IF($JE26=1,30,0),ABS(11-$HI26)*100)),100000+ABS(3-$HH26)*1000+110)))-IF((59=$HJ26)+(59=$HK26)+(59=$HL26)+(59=$HM26)+(59=$HN26)+(59=$HO26)&gt;=2,50,0))+BJ$5*50)</f>
        <v/>
      </c>
      <c r="BK146">
        <f>IF(OR($JF26=0,calcA!$A$6=0),0,IF(OR(60=$HA26,60=$HD26,60=$HG26),200000,MIN(IF($HA26=0,999999,IF(3=$HB26,IF(60=$HJ26,IF($JC26=2,30,0),IF(60=$HK26,IF($JC26=1,30,0),ABS(12-$HC26)*100)),100000+ABS(3-$HB26)*1000+120)),IF($HD26=0,999999,IF(3=$HE26,IF(60=$HL26,IF($JD26=2,30,0),IF(60=$HM26,IF($JD26=1,30,0),ABS(12-$HF26)*100)),100000+ABS(3-$HE26)*1000+120)),IF($HG26=0,999999,IF(3=$HH26,IF(60=$HN26,IF($JE26=2,30,0),IF(60=$HO26,IF($JE26=1,30,0),ABS(12-$HI26)*100)),100000+ABS(3-$HH26)*1000+120)))-IF((60=$HJ26)+(60=$HK26)+(60=$HL26)+(60=$HM26)+(60=$HN26)+(60=$HO26)&gt;=2,50,0))+BK$5*50)</f>
        <v/>
      </c>
      <c r="BL146">
        <f>IF(OR($JF26=0,calcA!$A$6=0),0,IF(OR(61=$HA26,61=$HD26,61=$HG26),200000,MIN(IF($HA26=0,999999,IF(3=$HB26,IF(61=$HJ26,IF($JC26=2,30,0),IF(61=$HK26,IF($JC26=1,30,0),ABS(13-$HC26)*100)),100000+ABS(3-$HB26)*1000+130)),IF($HD26=0,999999,IF(3=$HE26,IF(61=$HL26,IF($JD26=2,30,0),IF(61=$HM26,IF($JD26=1,30,0),ABS(13-$HF26)*100)),100000+ABS(3-$HE26)*1000+130)),IF($HG26=0,999999,IF(3=$HH26,IF(61=$HN26,IF($JE26=2,30,0),IF(61=$HO26,IF($JE26=1,30,0),ABS(13-$HI26)*100)),100000+ABS(3-$HH26)*1000+130)))-IF((61=$HJ26)+(61=$HK26)+(61=$HL26)+(61=$HM26)+(61=$HN26)+(61=$HO26)&gt;=2,50,0))+BL$5*50)</f>
        <v/>
      </c>
      <c r="BM146">
        <f>IF(OR($JF26=0,calcA!$A$6=0),0,IF(OR(62=$HA26,62=$HD26,62=$HG26),200000,MIN(IF($HA26=0,999999,IF(3=$HB26,IF(62=$HJ26,IF($JC26=2,30,0),IF(62=$HK26,IF($JC26=1,30,0),ABS(14-$HC26)*100)),100000+ABS(3-$HB26)*1000+140)),IF($HD26=0,999999,IF(3=$HE26,IF(62=$HL26,IF($JD26=2,30,0),IF(62=$HM26,IF($JD26=1,30,0),ABS(14-$HF26)*100)),100000+ABS(3-$HE26)*1000+140)),IF($HG26=0,999999,IF(3=$HH26,IF(62=$HN26,IF($JE26=2,30,0),IF(62=$HO26,IF($JE26=1,30,0),ABS(14-$HI26)*100)),100000+ABS(3-$HH26)*1000+140)))-IF((62=$HJ26)+(62=$HK26)+(62=$HL26)+(62=$HM26)+(62=$HN26)+(62=$HO26)&gt;=2,50,0))+BM$5*50)</f>
        <v/>
      </c>
      <c r="BN146">
        <f>IF(OR($JF26=0,calcA!$A$6=0),0,IF(OR(63=$HA26,63=$HD26,63=$HG26),200000,MIN(IF($HA26=0,999999,IF(3=$HB26,IF(63=$HJ26,IF($JC26=2,30,0),IF(63=$HK26,IF($JC26=1,30,0),ABS(15-$HC26)*100)),100000+ABS(3-$HB26)*1000+150)),IF($HD26=0,999999,IF(3=$HE26,IF(63=$HL26,IF($JD26=2,30,0),IF(63=$HM26,IF($JD26=1,30,0),ABS(15-$HF26)*100)),100000+ABS(3-$HE26)*1000+150)),IF($HG26=0,999999,IF(3=$HH26,IF(63=$HN26,IF($JE26=2,30,0),IF(63=$HO26,IF($JE26=1,30,0),ABS(15-$HI26)*100)),100000+ABS(3-$HH26)*1000+150)))-IF((63=$HJ26)+(63=$HK26)+(63=$HL26)+(63=$HM26)+(63=$HN26)+(63=$HO26)&gt;=2,50,0))+BN$5*50)</f>
        <v/>
      </c>
      <c r="BO146">
        <f>IF(OR($JF26=0,calcA!$A$6=0),0,IF(OR(64=$HA26,64=$HD26,64=$HG26),200000,MIN(IF($HA26=0,999999,IF(3=$HB26,IF(64=$HJ26,IF($JC26=2,30,0),IF(64=$HK26,IF($JC26=1,30,0),ABS(16-$HC26)*100)),100000+ABS(3-$HB26)*1000+160)),IF($HD26=0,999999,IF(3=$HE26,IF(64=$HL26,IF($JD26=2,30,0),IF(64=$HM26,IF($JD26=1,30,0),ABS(16-$HF26)*100)),100000+ABS(3-$HE26)*1000+160)),IF($HG26=0,999999,IF(3=$HH26,IF(64=$HN26,IF($JE26=2,30,0),IF(64=$HO26,IF($JE26=1,30,0),ABS(16-$HI26)*100)),100000+ABS(3-$HH26)*1000+160)))-IF((64=$HJ26)+(64=$HK26)+(64=$HL26)+(64=$HM26)+(64=$HN26)+(64=$HO26)&gt;=2,50,0))+BO$5*50)</f>
        <v/>
      </c>
      <c r="BP146">
        <f>IF(OR($JF26=0,calcA!$A$6=0),0,IF(OR(65=$HA26,65=$HD26,65=$HG26),200000,MIN(IF($HA26=0,999999,IF(3=$HB26,IF(65=$HJ26,IF($JC26=2,30,0),IF(65=$HK26,IF($JC26=1,30,0),ABS(17-$HC26)*100)),100000+ABS(3-$HB26)*1000+170)),IF($HD26=0,999999,IF(3=$HE26,IF(65=$HL26,IF($JD26=2,30,0),IF(65=$HM26,IF($JD26=1,30,0),ABS(17-$HF26)*100)),100000+ABS(3-$HE26)*1000+170)),IF($HG26=0,999999,IF(3=$HH26,IF(65=$HN26,IF($JE26=2,30,0),IF(65=$HO26,IF($JE26=1,30,0),ABS(17-$HI26)*100)),100000+ABS(3-$HH26)*1000+170)))-IF((65=$HJ26)+(65=$HK26)+(65=$HL26)+(65=$HM26)+(65=$HN26)+(65=$HO26)&gt;=2,50,0))+BP$5*50)</f>
        <v/>
      </c>
      <c r="BQ146">
        <f>IF(OR($JF26=0,calcA!$A$6=0),0,IF(OR(66=$HA26,66=$HD26,66=$HG26),200000,MIN(IF($HA26=0,999999,IF(3=$HB26,IF(66=$HJ26,IF($JC26=2,30,0),IF(66=$HK26,IF($JC26=1,30,0),ABS(18-$HC26)*100)),100000+ABS(3-$HB26)*1000+180)),IF($HD26=0,999999,IF(3=$HE26,IF(66=$HL26,IF($JD26=2,30,0),IF(66=$HM26,IF($JD26=1,30,0),ABS(18-$HF26)*100)),100000+ABS(3-$HE26)*1000+180)),IF($HG26=0,999999,IF(3=$HH26,IF(66=$HN26,IF($JE26=2,30,0),IF(66=$HO26,IF($JE26=1,30,0),ABS(18-$HI26)*100)),100000+ABS(3-$HH26)*1000+180)))-IF((66=$HJ26)+(66=$HK26)+(66=$HL26)+(66=$HM26)+(66=$HN26)+(66=$HO26)&gt;=2,50,0))+BQ$5*50)</f>
        <v/>
      </c>
      <c r="BR146">
        <f>IF(OR($JF26=0,calcA!$A$6=0),0,IF(OR(67=$HA26,67=$HD26,67=$HG26),200000,MIN(IF($HA26=0,999999,IF(3=$HB26,IF(67=$HJ26,IF($JC26=2,30,0),IF(67=$HK26,IF($JC26=1,30,0),ABS(19-$HC26)*100)),100000+ABS(3-$HB26)*1000+190)),IF($HD26=0,999999,IF(3=$HE26,IF(67=$HL26,IF($JD26=2,30,0),IF(67=$HM26,IF($JD26=1,30,0),ABS(19-$HF26)*100)),100000+ABS(3-$HE26)*1000+190)),IF($HG26=0,999999,IF(3=$HH26,IF(67=$HN26,IF($JE26=2,30,0),IF(67=$HO26,IF($JE26=1,30,0),ABS(19-$HI26)*100)),100000+ABS(3-$HH26)*1000+190)))-IF((67=$HJ26)+(67=$HK26)+(67=$HL26)+(67=$HM26)+(67=$HN26)+(67=$HO26)&gt;=2,50,0))+BR$5*50)</f>
        <v/>
      </c>
      <c r="BS146">
        <f>IF(OR($JF26=0,calcA!$A$6=0),0,IF(OR(68=$HA26,68=$HD26,68=$HG26),200000,MIN(IF($HA26=0,999999,IF(3=$HB26,IF(68=$HJ26,IF($JC26=2,30,0),IF(68=$HK26,IF($JC26=1,30,0),ABS(20-$HC26)*100)),100000+ABS(3-$HB26)*1000+200)),IF($HD26=0,999999,IF(3=$HE26,IF(68=$HL26,IF($JD26=2,30,0),IF(68=$HM26,IF($JD26=1,30,0),ABS(20-$HF26)*100)),100000+ABS(3-$HE26)*1000+200)),IF($HG26=0,999999,IF(3=$HH26,IF(68=$HN26,IF($JE26=2,30,0),IF(68=$HO26,IF($JE26=1,30,0),ABS(20-$HI26)*100)),100000+ABS(3-$HH26)*1000+200)))-IF((68=$HJ26)+(68=$HK26)+(68=$HL26)+(68=$HM26)+(68=$HN26)+(68=$HO26)&gt;=2,50,0))+BS$5*50)</f>
        <v/>
      </c>
      <c r="BT146">
        <f>IF(OR($JF26=0,calcA!$A$6=0),0,IF(OR(69=$HA26,69=$HD26,69=$HG26),200000,MIN(IF($HA26=0,999999,IF(3=$HB26,IF(69=$HJ26,IF($JC26=2,30,0),IF(69=$HK26,IF($JC26=1,30,0),ABS(21-$HC26)*100)),100000+ABS(3-$HB26)*1000+210)),IF($HD26=0,999999,IF(3=$HE26,IF(69=$HL26,IF($JD26=2,30,0),IF(69=$HM26,IF($JD26=1,30,0),ABS(21-$HF26)*100)),100000+ABS(3-$HE26)*1000+210)),IF($HG26=0,999999,IF(3=$HH26,IF(69=$HN26,IF($JE26=2,30,0),IF(69=$HO26,IF($JE26=1,30,0),ABS(21-$HI26)*100)),100000+ABS(3-$HH26)*1000+210)))-IF((69=$HJ26)+(69=$HK26)+(69=$HL26)+(69=$HM26)+(69=$HN26)+(69=$HO26)&gt;=2,50,0))+BT$5*50)</f>
        <v/>
      </c>
      <c r="BU146">
        <f>IF(OR($JF26=0,calcA!$A$6=0),0,IF(OR(70=$HA26,70=$HD26,70=$HG26),200000,MIN(IF($HA26=0,999999,IF(3=$HB26,IF(70=$HJ26,IF($JC26=2,30,0),IF(70=$HK26,IF($JC26=1,30,0),ABS(22-$HC26)*100)),100000+ABS(3-$HB26)*1000+220)),IF($HD26=0,999999,IF(3=$HE26,IF(70=$HL26,IF($JD26=2,30,0),IF(70=$HM26,IF($JD26=1,30,0),ABS(22-$HF26)*100)),100000+ABS(3-$HE26)*1000+220)),IF($HG26=0,999999,IF(3=$HH26,IF(70=$HN26,IF($JE26=2,30,0),IF(70=$HO26,IF($JE26=1,30,0),ABS(22-$HI26)*100)),100000+ABS(3-$HH26)*1000+220)))-IF((70=$HJ26)+(70=$HK26)+(70=$HL26)+(70=$HM26)+(70=$HN26)+(70=$HO26)&gt;=2,50,0))+BU$5*50)</f>
        <v/>
      </c>
      <c r="BV146">
        <f>IF(OR($JF26=0,calcA!$A$6=0),0,IF(OR(71=$HA26,71=$HD26,71=$HG26),200000,MIN(IF($HA26=0,999999,IF(3=$HB26,IF(71=$HJ26,IF($JC26=2,30,0),IF(71=$HK26,IF($JC26=1,30,0),ABS(23-$HC26)*100)),100000+ABS(3-$HB26)*1000+230)),IF($HD26=0,999999,IF(3=$HE26,IF(71=$HL26,IF($JD26=2,30,0),IF(71=$HM26,IF($JD26=1,30,0),ABS(23-$HF26)*100)),100000+ABS(3-$HE26)*1000+230)),IF($HG26=0,999999,IF(3=$HH26,IF(71=$HN26,IF($JE26=2,30,0),IF(71=$HO26,IF($JE26=1,30,0),ABS(23-$HI26)*100)),100000+ABS(3-$HH26)*1000+230)))-IF((71=$HJ26)+(71=$HK26)+(71=$HL26)+(71=$HM26)+(71=$HN26)+(71=$HO26)&gt;=2,50,0))+BV$5*50)</f>
        <v/>
      </c>
      <c r="BW146">
        <f>IF(OR($JF26=0,calcA!$A$6=0),0,IF(OR(72=$HA26,72=$HD26,72=$HG26),200000,MIN(IF($HA26=0,999999,IF(3=$HB26,IF(72=$HJ26,IF($JC26=2,30,0),IF(72=$HK26,IF($JC26=1,30,0),ABS(24-$HC26)*100)),100000+ABS(3-$HB26)*1000+240)),IF($HD26=0,999999,IF(3=$HE26,IF(72=$HL26,IF($JD26=2,30,0),IF(72=$HM26,IF($JD26=1,30,0),ABS(24-$HF26)*100)),100000+ABS(3-$HE26)*1000+240)),IF($HG26=0,999999,IF(3=$HH26,IF(72=$HN26,IF($JE26=2,30,0),IF(72=$HO26,IF($JE26=1,30,0),ABS(24-$HI26)*100)),100000+ABS(3-$HH26)*1000+240)))-IF((72=$HJ26)+(72=$HK26)+(72=$HL26)+(72=$HM26)+(72=$HN26)+(72=$HO26)&gt;=2,50,0))+BW$5*50)</f>
        <v/>
      </c>
      <c r="BX146">
        <f>IF(OR($JF26=0,calcA!$A$6=0),0,IF(OR(73=$HA26,73=$HD26,73=$HG26),200000,MIN(IF($HA26=0,999999,IF(4=$HB26,IF(73=$HJ26,IF($JC26=2,30,0),IF(73=$HK26,IF($JC26=1,30,0),ABS(1-$HC26)*100)),100000+ABS(4-$HB26)*1000+10)),IF($HD26=0,999999,IF(4=$HE26,IF(73=$HL26,IF($JD26=2,30,0),IF(73=$HM26,IF($JD26=1,30,0),ABS(1-$HF26)*100)),100000+ABS(4-$HE26)*1000+10)),IF($HG26=0,999999,IF(4=$HH26,IF(73=$HN26,IF($JE26=2,30,0),IF(73=$HO26,IF($JE26=1,30,0),ABS(1-$HI26)*100)),100000+ABS(4-$HH26)*1000+10)))-IF((73=$HJ26)+(73=$HK26)+(73=$HL26)+(73=$HM26)+(73=$HN26)+(73=$HO26)&gt;=2,50,0))+BX$5*50)</f>
        <v/>
      </c>
      <c r="BY146">
        <f>IF(OR($JF26=0,calcA!$A$6=0),0,IF(OR(74=$HA26,74=$HD26,74=$HG26),200000,MIN(IF($HA26=0,999999,IF(4=$HB26,IF(74=$HJ26,IF($JC26=2,30,0),IF(74=$HK26,IF($JC26=1,30,0),ABS(2-$HC26)*100)),100000+ABS(4-$HB26)*1000+20)),IF($HD26=0,999999,IF(4=$HE26,IF(74=$HL26,IF($JD26=2,30,0),IF(74=$HM26,IF($JD26=1,30,0),ABS(2-$HF26)*100)),100000+ABS(4-$HE26)*1000+20)),IF($HG26=0,999999,IF(4=$HH26,IF(74=$HN26,IF($JE26=2,30,0),IF(74=$HO26,IF($JE26=1,30,0),ABS(2-$HI26)*100)),100000+ABS(4-$HH26)*1000+20)))-IF((74=$HJ26)+(74=$HK26)+(74=$HL26)+(74=$HM26)+(74=$HN26)+(74=$HO26)&gt;=2,50,0))+BY$5*50)</f>
        <v/>
      </c>
      <c r="BZ146">
        <f>IF(OR($JF26=0,calcA!$A$6=0),0,IF(OR(75=$HA26,75=$HD26,75=$HG26),200000,MIN(IF($HA26=0,999999,IF(4=$HB26,IF(75=$HJ26,IF($JC26=2,30,0),IF(75=$HK26,IF($JC26=1,30,0),ABS(3-$HC26)*100)),100000+ABS(4-$HB26)*1000+30)),IF($HD26=0,999999,IF(4=$HE26,IF(75=$HL26,IF($JD26=2,30,0),IF(75=$HM26,IF($JD26=1,30,0),ABS(3-$HF26)*100)),100000+ABS(4-$HE26)*1000+30)),IF($HG26=0,999999,IF(4=$HH26,IF(75=$HN26,IF($JE26=2,30,0),IF(75=$HO26,IF($JE26=1,30,0),ABS(3-$HI26)*100)),100000+ABS(4-$HH26)*1000+30)))-IF((75=$HJ26)+(75=$HK26)+(75=$HL26)+(75=$HM26)+(75=$HN26)+(75=$HO26)&gt;=2,50,0))+BZ$5*50)</f>
        <v/>
      </c>
      <c r="CA146">
        <f>IF(OR($JF26=0,calcA!$A$6=0),0,IF(OR(76=$HA26,76=$HD26,76=$HG26),200000,MIN(IF($HA26=0,999999,IF(4=$HB26,IF(76=$HJ26,IF($JC26=2,30,0),IF(76=$HK26,IF($JC26=1,30,0),ABS(4-$HC26)*100)),100000+ABS(4-$HB26)*1000+40)),IF($HD26=0,999999,IF(4=$HE26,IF(76=$HL26,IF($JD26=2,30,0),IF(76=$HM26,IF($JD26=1,30,0),ABS(4-$HF26)*100)),100000+ABS(4-$HE26)*1000+40)),IF($HG26=0,999999,IF(4=$HH26,IF(76=$HN26,IF($JE26=2,30,0),IF(76=$HO26,IF($JE26=1,30,0),ABS(4-$HI26)*100)),100000+ABS(4-$HH26)*1000+40)))-IF((76=$HJ26)+(76=$HK26)+(76=$HL26)+(76=$HM26)+(76=$HN26)+(76=$HO26)&gt;=2,50,0))+CA$5*50)</f>
        <v/>
      </c>
      <c r="CB146">
        <f>IF(OR($JF26=0,calcA!$A$6=0),0,IF(OR(77=$HA26,77=$HD26,77=$HG26),200000,MIN(IF($HA26=0,999999,IF(4=$HB26,IF(77=$HJ26,IF($JC26=2,30,0),IF(77=$HK26,IF($JC26=1,30,0),ABS(5-$HC26)*100)),100000+ABS(4-$HB26)*1000+50)),IF($HD26=0,999999,IF(4=$HE26,IF(77=$HL26,IF($JD26=2,30,0),IF(77=$HM26,IF($JD26=1,30,0),ABS(5-$HF26)*100)),100000+ABS(4-$HE26)*1000+50)),IF($HG26=0,999999,IF(4=$HH26,IF(77=$HN26,IF($JE26=2,30,0),IF(77=$HO26,IF($JE26=1,30,0),ABS(5-$HI26)*100)),100000+ABS(4-$HH26)*1000+50)))-IF((77=$HJ26)+(77=$HK26)+(77=$HL26)+(77=$HM26)+(77=$HN26)+(77=$HO26)&gt;=2,50,0))+CB$5*50)</f>
        <v/>
      </c>
      <c r="CC146">
        <f>IF(OR($JF26=0,calcA!$A$6=0),0,IF(OR(78=$HA26,78=$HD26,78=$HG26),200000,MIN(IF($HA26=0,999999,IF(4=$HB26,IF(78=$HJ26,IF($JC26=2,30,0),IF(78=$HK26,IF($JC26=1,30,0),ABS(6-$HC26)*100)),100000+ABS(4-$HB26)*1000+60)),IF($HD26=0,999999,IF(4=$HE26,IF(78=$HL26,IF($JD26=2,30,0),IF(78=$HM26,IF($JD26=1,30,0),ABS(6-$HF26)*100)),100000+ABS(4-$HE26)*1000+60)),IF($HG26=0,999999,IF(4=$HH26,IF(78=$HN26,IF($JE26=2,30,0),IF(78=$HO26,IF($JE26=1,30,0),ABS(6-$HI26)*100)),100000+ABS(4-$HH26)*1000+60)))-IF((78=$HJ26)+(78=$HK26)+(78=$HL26)+(78=$HM26)+(78=$HN26)+(78=$HO26)&gt;=2,50,0))+CC$5*50)</f>
        <v/>
      </c>
      <c r="CD146">
        <f>IF(OR($JF26=0,calcA!$A$6=0),0,IF(OR(79=$HA26,79=$HD26,79=$HG26),200000,MIN(IF($HA26=0,999999,IF(4=$HB26,IF(79=$HJ26,IF($JC26=2,30,0),IF(79=$HK26,IF($JC26=1,30,0),ABS(7-$HC26)*100)),100000+ABS(4-$HB26)*1000+70)),IF($HD26=0,999999,IF(4=$HE26,IF(79=$HL26,IF($JD26=2,30,0),IF(79=$HM26,IF($JD26=1,30,0),ABS(7-$HF26)*100)),100000+ABS(4-$HE26)*1000+70)),IF($HG26=0,999999,IF(4=$HH26,IF(79=$HN26,IF($JE26=2,30,0),IF(79=$HO26,IF($JE26=1,30,0),ABS(7-$HI26)*100)),100000+ABS(4-$HH26)*1000+70)))-IF((79=$HJ26)+(79=$HK26)+(79=$HL26)+(79=$HM26)+(79=$HN26)+(79=$HO26)&gt;=2,50,0))+CD$5*50)</f>
        <v/>
      </c>
      <c r="CE146">
        <f>IF(OR($JF26=0,calcA!$A$6=0),0,IF(OR(80=$HA26,80=$HD26,80=$HG26),200000,MIN(IF($HA26=0,999999,IF(4=$HB26,IF(80=$HJ26,IF($JC26=2,30,0),IF(80=$HK26,IF($JC26=1,30,0),ABS(8-$HC26)*100)),100000+ABS(4-$HB26)*1000+80)),IF($HD26=0,999999,IF(4=$HE26,IF(80=$HL26,IF($JD26=2,30,0),IF(80=$HM26,IF($JD26=1,30,0),ABS(8-$HF26)*100)),100000+ABS(4-$HE26)*1000+80)),IF($HG26=0,999999,IF(4=$HH26,IF(80=$HN26,IF($JE26=2,30,0),IF(80=$HO26,IF($JE26=1,30,0),ABS(8-$HI26)*100)),100000+ABS(4-$HH26)*1000+80)))-IF((80=$HJ26)+(80=$HK26)+(80=$HL26)+(80=$HM26)+(80=$HN26)+(80=$HO26)&gt;=2,50,0))+CE$5*50)</f>
        <v/>
      </c>
      <c r="CF146">
        <f>IF(OR($JF26=0,calcA!$A$6=0),0,IF(OR(81=$HA26,81=$HD26,81=$HG26),200000,MIN(IF($HA26=0,999999,IF(4=$HB26,IF(81=$HJ26,IF($JC26=2,30,0),IF(81=$HK26,IF($JC26=1,30,0),ABS(9-$HC26)*100)),100000+ABS(4-$HB26)*1000+90)),IF($HD26=0,999999,IF(4=$HE26,IF(81=$HL26,IF($JD26=2,30,0),IF(81=$HM26,IF($JD26=1,30,0),ABS(9-$HF26)*100)),100000+ABS(4-$HE26)*1000+90)),IF($HG26=0,999999,IF(4=$HH26,IF(81=$HN26,IF($JE26=2,30,0),IF(81=$HO26,IF($JE26=1,30,0),ABS(9-$HI26)*100)),100000+ABS(4-$HH26)*1000+90)))-IF((81=$HJ26)+(81=$HK26)+(81=$HL26)+(81=$HM26)+(81=$HN26)+(81=$HO26)&gt;=2,50,0))+CF$5*50)</f>
        <v/>
      </c>
      <c r="CG146">
        <f>IF(OR($JF26=0,calcA!$A$6=0),0,IF(OR(82=$HA26,82=$HD26,82=$HG26),200000,MIN(IF($HA26=0,999999,IF(4=$HB26,IF(82=$HJ26,IF($JC26=2,30,0),IF(82=$HK26,IF($JC26=1,30,0),ABS(10-$HC26)*100)),100000+ABS(4-$HB26)*1000+100)),IF($HD26=0,999999,IF(4=$HE26,IF(82=$HL26,IF($JD26=2,30,0),IF(82=$HM26,IF($JD26=1,30,0),ABS(10-$HF26)*100)),100000+ABS(4-$HE26)*1000+100)),IF($HG26=0,999999,IF(4=$HH26,IF(82=$HN26,IF($JE26=2,30,0),IF(82=$HO26,IF($JE26=1,30,0),ABS(10-$HI26)*100)),100000+ABS(4-$HH26)*1000+100)))-IF((82=$HJ26)+(82=$HK26)+(82=$HL26)+(82=$HM26)+(82=$HN26)+(82=$HO26)&gt;=2,50,0))+CG$5*50)</f>
        <v/>
      </c>
      <c r="CH146">
        <f>IF(OR($JF26=0,calcA!$A$6=0),0,IF(OR(83=$HA26,83=$HD26,83=$HG26),200000,MIN(IF($HA26=0,999999,IF(4=$HB26,IF(83=$HJ26,IF($JC26=2,30,0),IF(83=$HK26,IF($JC26=1,30,0),ABS(11-$HC26)*100)),100000+ABS(4-$HB26)*1000+110)),IF($HD26=0,999999,IF(4=$HE26,IF(83=$HL26,IF($JD26=2,30,0),IF(83=$HM26,IF($JD26=1,30,0),ABS(11-$HF26)*100)),100000+ABS(4-$HE26)*1000+110)),IF($HG26=0,999999,IF(4=$HH26,IF(83=$HN26,IF($JE26=2,30,0),IF(83=$HO26,IF($JE26=1,30,0),ABS(11-$HI26)*100)),100000+ABS(4-$HH26)*1000+110)))-IF((83=$HJ26)+(83=$HK26)+(83=$HL26)+(83=$HM26)+(83=$HN26)+(83=$HO26)&gt;=2,50,0))+CH$5*50)</f>
        <v/>
      </c>
      <c r="CI146">
        <f>IF(OR($JF26=0,calcA!$A$6=0),0,IF(OR(84=$HA26,84=$HD26,84=$HG26),200000,MIN(IF($HA26=0,999999,IF(4=$HB26,IF(84=$HJ26,IF($JC26=2,30,0),IF(84=$HK26,IF($JC26=1,30,0),ABS(12-$HC26)*100)),100000+ABS(4-$HB26)*1000+120)),IF($HD26=0,999999,IF(4=$HE26,IF(84=$HL26,IF($JD26=2,30,0),IF(84=$HM26,IF($JD26=1,30,0),ABS(12-$HF26)*100)),100000+ABS(4-$HE26)*1000+120)),IF($HG26=0,999999,IF(4=$HH26,IF(84=$HN26,IF($JE26=2,30,0),IF(84=$HO26,IF($JE26=1,30,0),ABS(12-$HI26)*100)),100000+ABS(4-$HH26)*1000+120)))-IF((84=$HJ26)+(84=$HK26)+(84=$HL26)+(84=$HM26)+(84=$HN26)+(84=$HO26)&gt;=2,50,0))+CI$5*50)</f>
        <v/>
      </c>
      <c r="CJ146">
        <f>IF(OR($JF26=0,calcA!$A$6=0),0,IF(OR(85=$HA26,85=$HD26,85=$HG26),200000,MIN(IF($HA26=0,999999,IF(4=$HB26,IF(85=$HJ26,IF($JC26=2,30,0),IF(85=$HK26,IF($JC26=1,30,0),ABS(13-$HC26)*100)),100000+ABS(4-$HB26)*1000+130)),IF($HD26=0,999999,IF(4=$HE26,IF(85=$HL26,IF($JD26=2,30,0),IF(85=$HM26,IF($JD26=1,30,0),ABS(13-$HF26)*100)),100000+ABS(4-$HE26)*1000+130)),IF($HG26=0,999999,IF(4=$HH26,IF(85=$HN26,IF($JE26=2,30,0),IF(85=$HO26,IF($JE26=1,30,0),ABS(13-$HI26)*100)),100000+ABS(4-$HH26)*1000+130)))-IF((85=$HJ26)+(85=$HK26)+(85=$HL26)+(85=$HM26)+(85=$HN26)+(85=$HO26)&gt;=2,50,0))+CJ$5*50)</f>
        <v/>
      </c>
      <c r="CK146">
        <f>IF(OR($JF26=0,calcA!$A$6=0),0,IF(OR(86=$HA26,86=$HD26,86=$HG26),200000,MIN(IF($HA26=0,999999,IF(4=$HB26,IF(86=$HJ26,IF($JC26=2,30,0),IF(86=$HK26,IF($JC26=1,30,0),ABS(14-$HC26)*100)),100000+ABS(4-$HB26)*1000+140)),IF($HD26=0,999999,IF(4=$HE26,IF(86=$HL26,IF($JD26=2,30,0),IF(86=$HM26,IF($JD26=1,30,0),ABS(14-$HF26)*100)),100000+ABS(4-$HE26)*1000+140)),IF($HG26=0,999999,IF(4=$HH26,IF(86=$HN26,IF($JE26=2,30,0),IF(86=$HO26,IF($JE26=1,30,0),ABS(14-$HI26)*100)),100000+ABS(4-$HH26)*1000+140)))-IF((86=$HJ26)+(86=$HK26)+(86=$HL26)+(86=$HM26)+(86=$HN26)+(86=$HO26)&gt;=2,50,0))+CK$5*50)</f>
        <v/>
      </c>
      <c r="CL146">
        <f>IF(OR($JF26=0,calcA!$A$6=0),0,IF(OR(87=$HA26,87=$HD26,87=$HG26),200000,MIN(IF($HA26=0,999999,IF(4=$HB26,IF(87=$HJ26,IF($JC26=2,30,0),IF(87=$HK26,IF($JC26=1,30,0),ABS(15-$HC26)*100)),100000+ABS(4-$HB26)*1000+150)),IF($HD26=0,999999,IF(4=$HE26,IF(87=$HL26,IF($JD26=2,30,0),IF(87=$HM26,IF($JD26=1,30,0),ABS(15-$HF26)*100)),100000+ABS(4-$HE26)*1000+150)),IF($HG26=0,999999,IF(4=$HH26,IF(87=$HN26,IF($JE26=2,30,0),IF(87=$HO26,IF($JE26=1,30,0),ABS(15-$HI26)*100)),100000+ABS(4-$HH26)*1000+150)))-IF((87=$HJ26)+(87=$HK26)+(87=$HL26)+(87=$HM26)+(87=$HN26)+(87=$HO26)&gt;=2,50,0))+CL$5*50)</f>
        <v/>
      </c>
      <c r="CM146">
        <f>IF(OR($JF26=0,calcA!$A$6=0),0,IF(OR(88=$HA26,88=$HD26,88=$HG26),200000,MIN(IF($HA26=0,999999,IF(4=$HB26,IF(88=$HJ26,IF($JC26=2,30,0),IF(88=$HK26,IF($JC26=1,30,0),ABS(16-$HC26)*100)),100000+ABS(4-$HB26)*1000+160)),IF($HD26=0,999999,IF(4=$HE26,IF(88=$HL26,IF($JD26=2,30,0),IF(88=$HM26,IF($JD26=1,30,0),ABS(16-$HF26)*100)),100000+ABS(4-$HE26)*1000+160)),IF($HG26=0,999999,IF(4=$HH26,IF(88=$HN26,IF($JE26=2,30,0),IF(88=$HO26,IF($JE26=1,30,0),ABS(16-$HI26)*100)),100000+ABS(4-$HH26)*1000+160)))-IF((88=$HJ26)+(88=$HK26)+(88=$HL26)+(88=$HM26)+(88=$HN26)+(88=$HO26)&gt;=2,50,0))+CM$5*50)</f>
        <v/>
      </c>
      <c r="CN146">
        <f>IF(OR($JF26=0,calcA!$A$6=0),0,IF(OR(89=$HA26,89=$HD26,89=$HG26),200000,MIN(IF($HA26=0,999999,IF(4=$HB26,IF(89=$HJ26,IF($JC26=2,30,0),IF(89=$HK26,IF($JC26=1,30,0),ABS(17-$HC26)*100)),100000+ABS(4-$HB26)*1000+170)),IF($HD26=0,999999,IF(4=$HE26,IF(89=$HL26,IF($JD26=2,30,0),IF(89=$HM26,IF($JD26=1,30,0),ABS(17-$HF26)*100)),100000+ABS(4-$HE26)*1000+170)),IF($HG26=0,999999,IF(4=$HH26,IF(89=$HN26,IF($JE26=2,30,0),IF(89=$HO26,IF($JE26=1,30,0),ABS(17-$HI26)*100)),100000+ABS(4-$HH26)*1000+170)))-IF((89=$HJ26)+(89=$HK26)+(89=$HL26)+(89=$HM26)+(89=$HN26)+(89=$HO26)&gt;=2,50,0))+CN$5*50)</f>
        <v/>
      </c>
      <c r="CO146">
        <f>IF(OR($JF26=0,calcA!$A$6=0),0,IF(OR(90=$HA26,90=$HD26,90=$HG26),200000,MIN(IF($HA26=0,999999,IF(4=$HB26,IF(90=$HJ26,IF($JC26=2,30,0),IF(90=$HK26,IF($JC26=1,30,0),ABS(18-$HC26)*100)),100000+ABS(4-$HB26)*1000+180)),IF($HD26=0,999999,IF(4=$HE26,IF(90=$HL26,IF($JD26=2,30,0),IF(90=$HM26,IF($JD26=1,30,0),ABS(18-$HF26)*100)),100000+ABS(4-$HE26)*1000+180)),IF($HG26=0,999999,IF(4=$HH26,IF(90=$HN26,IF($JE26=2,30,0),IF(90=$HO26,IF($JE26=1,30,0),ABS(18-$HI26)*100)),100000+ABS(4-$HH26)*1000+180)))-IF((90=$HJ26)+(90=$HK26)+(90=$HL26)+(90=$HM26)+(90=$HN26)+(90=$HO26)&gt;=2,50,0))+CO$5*50)</f>
        <v/>
      </c>
      <c r="CP146">
        <f>IF(OR($JF26=0,calcA!$A$6=0),0,IF(OR(91=$HA26,91=$HD26,91=$HG26),200000,MIN(IF($HA26=0,999999,IF(4=$HB26,IF(91=$HJ26,IF($JC26=2,30,0),IF(91=$HK26,IF($JC26=1,30,0),ABS(19-$HC26)*100)),100000+ABS(4-$HB26)*1000+190)),IF($HD26=0,999999,IF(4=$HE26,IF(91=$HL26,IF($JD26=2,30,0),IF(91=$HM26,IF($JD26=1,30,0),ABS(19-$HF26)*100)),100000+ABS(4-$HE26)*1000+190)),IF($HG26=0,999999,IF(4=$HH26,IF(91=$HN26,IF($JE26=2,30,0),IF(91=$HO26,IF($JE26=1,30,0),ABS(19-$HI26)*100)),100000+ABS(4-$HH26)*1000+190)))-IF((91=$HJ26)+(91=$HK26)+(91=$HL26)+(91=$HM26)+(91=$HN26)+(91=$HO26)&gt;=2,50,0))+CP$5*50)</f>
        <v/>
      </c>
      <c r="CQ146">
        <f>IF(OR($JF26=0,calcA!$A$6=0),0,IF(OR(92=$HA26,92=$HD26,92=$HG26),200000,MIN(IF($HA26=0,999999,IF(4=$HB26,IF(92=$HJ26,IF($JC26=2,30,0),IF(92=$HK26,IF($JC26=1,30,0),ABS(20-$HC26)*100)),100000+ABS(4-$HB26)*1000+200)),IF($HD26=0,999999,IF(4=$HE26,IF(92=$HL26,IF($JD26=2,30,0),IF(92=$HM26,IF($JD26=1,30,0),ABS(20-$HF26)*100)),100000+ABS(4-$HE26)*1000+200)),IF($HG26=0,999999,IF(4=$HH26,IF(92=$HN26,IF($JE26=2,30,0),IF(92=$HO26,IF($JE26=1,30,0),ABS(20-$HI26)*100)),100000+ABS(4-$HH26)*1000+200)))-IF((92=$HJ26)+(92=$HK26)+(92=$HL26)+(92=$HM26)+(92=$HN26)+(92=$HO26)&gt;=2,50,0))+CQ$5*50)</f>
        <v/>
      </c>
      <c r="CR146">
        <f>IF(OR($JF26=0,calcA!$A$6=0),0,IF(OR(93=$HA26,93=$HD26,93=$HG26),200000,MIN(IF($HA26=0,999999,IF(4=$HB26,IF(93=$HJ26,IF($JC26=2,30,0),IF(93=$HK26,IF($JC26=1,30,0),ABS(21-$HC26)*100)),100000+ABS(4-$HB26)*1000+210)),IF($HD26=0,999999,IF(4=$HE26,IF(93=$HL26,IF($JD26=2,30,0),IF(93=$HM26,IF($JD26=1,30,0),ABS(21-$HF26)*100)),100000+ABS(4-$HE26)*1000+210)),IF($HG26=0,999999,IF(4=$HH26,IF(93=$HN26,IF($JE26=2,30,0),IF(93=$HO26,IF($JE26=1,30,0),ABS(21-$HI26)*100)),100000+ABS(4-$HH26)*1000+210)))-IF((93=$HJ26)+(93=$HK26)+(93=$HL26)+(93=$HM26)+(93=$HN26)+(93=$HO26)&gt;=2,50,0))+CR$5*50)</f>
        <v/>
      </c>
      <c r="CS146">
        <f>IF(OR($JF26=0,calcA!$A$6=0),0,IF(OR(94=$HA26,94=$HD26,94=$HG26),200000,MIN(IF($HA26=0,999999,IF(4=$HB26,IF(94=$HJ26,IF($JC26=2,30,0),IF(94=$HK26,IF($JC26=1,30,0),ABS(22-$HC26)*100)),100000+ABS(4-$HB26)*1000+220)),IF($HD26=0,999999,IF(4=$HE26,IF(94=$HL26,IF($JD26=2,30,0),IF(94=$HM26,IF($JD26=1,30,0),ABS(22-$HF26)*100)),100000+ABS(4-$HE26)*1000+220)),IF($HG26=0,999999,IF(4=$HH26,IF(94=$HN26,IF($JE26=2,30,0),IF(94=$HO26,IF($JE26=1,30,0),ABS(22-$HI26)*100)),100000+ABS(4-$HH26)*1000+220)))-IF((94=$HJ26)+(94=$HK26)+(94=$HL26)+(94=$HM26)+(94=$HN26)+(94=$HO26)&gt;=2,50,0))+CS$5*50)</f>
        <v/>
      </c>
      <c r="CT146">
        <f>IF(OR($JF26=0,calcA!$A$6=0),0,IF(OR(95=$HA26,95=$HD26,95=$HG26),200000,MIN(IF($HA26=0,999999,IF(4=$HB26,IF(95=$HJ26,IF($JC26=2,30,0),IF(95=$HK26,IF($JC26=1,30,0),ABS(23-$HC26)*100)),100000+ABS(4-$HB26)*1000+230)),IF($HD26=0,999999,IF(4=$HE26,IF(95=$HL26,IF($JD26=2,30,0),IF(95=$HM26,IF($JD26=1,30,0),ABS(23-$HF26)*100)),100000+ABS(4-$HE26)*1000+230)),IF($HG26=0,999999,IF(4=$HH26,IF(95=$HN26,IF($JE26=2,30,0),IF(95=$HO26,IF($JE26=1,30,0),ABS(23-$HI26)*100)),100000+ABS(4-$HH26)*1000+230)))-IF((95=$HJ26)+(95=$HK26)+(95=$HL26)+(95=$HM26)+(95=$HN26)+(95=$HO26)&gt;=2,50,0))+CT$5*50)</f>
        <v/>
      </c>
      <c r="CU146">
        <f>IF(OR($JF26=0,calcA!$A$6=0),0,IF(OR(96=$HA26,96=$HD26,96=$HG26),200000,MIN(IF($HA26=0,999999,IF(4=$HB26,IF(96=$HJ26,IF($JC26=2,30,0),IF(96=$HK26,IF($JC26=1,30,0),ABS(24-$HC26)*100)),100000+ABS(4-$HB26)*1000+240)),IF($HD26=0,999999,IF(4=$HE26,IF(96=$HL26,IF($JD26=2,30,0),IF(96=$HM26,IF($JD26=1,30,0),ABS(24-$HF26)*100)),100000+ABS(4-$HE26)*1000+240)),IF($HG26=0,999999,IF(4=$HH26,IF(96=$HN26,IF($JE26=2,30,0),IF(96=$HO26,IF($JE26=1,30,0),ABS(24-$HI26)*100)),100000+ABS(4-$HH26)*1000+240)))-IF((96=$HJ26)+(96=$HK26)+(96=$HL26)+(96=$HM26)+(96=$HN26)+(96=$HO26)&gt;=2,50,0))+CU$5*50)</f>
        <v/>
      </c>
      <c r="CV146">
        <f>IF(OR($JF26=0,calcA!$A$6=0),0,IF(OR(97=$HA26,97=$HD26,97=$HG26),200000,MIN(IF($HA26=0,999999,IF(5=$HB26,IF(97=$HJ26,IF($JC26=2,30,0),IF(97=$HK26,IF($JC26=1,30,0),ABS(1-$HC26)*100)),100000+ABS(5-$HB26)*1000+10)),IF($HD26=0,999999,IF(5=$HE26,IF(97=$HL26,IF($JD26=2,30,0),IF(97=$HM26,IF($JD26=1,30,0),ABS(1-$HF26)*100)),100000+ABS(5-$HE26)*1000+10)),IF($HG26=0,999999,IF(5=$HH26,IF(97=$HN26,IF($JE26=2,30,0),IF(97=$HO26,IF($JE26=1,30,0),ABS(1-$HI26)*100)),100000+ABS(5-$HH26)*1000+10)))-IF((97=$HJ26)+(97=$HK26)+(97=$HL26)+(97=$HM26)+(97=$HN26)+(97=$HO26)&gt;=2,50,0))+CV$5*50)</f>
        <v/>
      </c>
      <c r="CW146">
        <f>IF(OR($JF26=0,calcA!$A$6=0),0,IF(OR(98=$HA26,98=$HD26,98=$HG26),200000,MIN(IF($HA26=0,999999,IF(5=$HB26,IF(98=$HJ26,IF($JC26=2,30,0),IF(98=$HK26,IF($JC26=1,30,0),ABS(2-$HC26)*100)),100000+ABS(5-$HB26)*1000+20)),IF($HD26=0,999999,IF(5=$HE26,IF(98=$HL26,IF($JD26=2,30,0),IF(98=$HM26,IF($JD26=1,30,0),ABS(2-$HF26)*100)),100000+ABS(5-$HE26)*1000+20)),IF($HG26=0,999999,IF(5=$HH26,IF(98=$HN26,IF($JE26=2,30,0),IF(98=$HO26,IF($JE26=1,30,0),ABS(2-$HI26)*100)),100000+ABS(5-$HH26)*1000+20)))-IF((98=$HJ26)+(98=$HK26)+(98=$HL26)+(98=$HM26)+(98=$HN26)+(98=$HO26)&gt;=2,50,0))+CW$5*50)</f>
        <v/>
      </c>
      <c r="CX146">
        <f>IF(OR($JF26=0,calcA!$A$6=0),0,IF(OR(99=$HA26,99=$HD26,99=$HG26),200000,MIN(IF($HA26=0,999999,IF(5=$HB26,IF(99=$HJ26,IF($JC26=2,30,0),IF(99=$HK26,IF($JC26=1,30,0),ABS(3-$HC26)*100)),100000+ABS(5-$HB26)*1000+30)),IF($HD26=0,999999,IF(5=$HE26,IF(99=$HL26,IF($JD26=2,30,0),IF(99=$HM26,IF($JD26=1,30,0),ABS(3-$HF26)*100)),100000+ABS(5-$HE26)*1000+30)),IF($HG26=0,999999,IF(5=$HH26,IF(99=$HN26,IF($JE26=2,30,0),IF(99=$HO26,IF($JE26=1,30,0),ABS(3-$HI26)*100)),100000+ABS(5-$HH26)*1000+30)))-IF((99=$HJ26)+(99=$HK26)+(99=$HL26)+(99=$HM26)+(99=$HN26)+(99=$HO26)&gt;=2,50,0))+CX$5*50)</f>
        <v/>
      </c>
      <c r="CY146">
        <f>IF(OR($JF26=0,calcA!$A$6=0),0,IF(OR(100=$HA26,100=$HD26,100=$HG26),200000,MIN(IF($HA26=0,999999,IF(5=$HB26,IF(100=$HJ26,IF($JC26=2,30,0),IF(100=$HK26,IF($JC26=1,30,0),ABS(4-$HC26)*100)),100000+ABS(5-$HB26)*1000+40)),IF($HD26=0,999999,IF(5=$HE26,IF(100=$HL26,IF($JD26=2,30,0),IF(100=$HM26,IF($JD26=1,30,0),ABS(4-$HF26)*100)),100000+ABS(5-$HE26)*1000+40)),IF($HG26=0,999999,IF(5=$HH26,IF(100=$HN26,IF($JE26=2,30,0),IF(100=$HO26,IF($JE26=1,30,0),ABS(4-$HI26)*100)),100000+ABS(5-$HH26)*1000+40)))-IF((100=$HJ26)+(100=$HK26)+(100=$HL26)+(100=$HM26)+(100=$HN26)+(100=$HO26)&gt;=2,50,0))+CY$5*50)</f>
        <v/>
      </c>
      <c r="CZ146">
        <f>IF(OR($JF26=0,calcA!$A$6=0),0,IF(OR(101=$HA26,101=$HD26,101=$HG26),200000,MIN(IF($HA26=0,999999,IF(5=$HB26,IF(101=$HJ26,IF($JC26=2,30,0),IF(101=$HK26,IF($JC26=1,30,0),ABS(5-$HC26)*100)),100000+ABS(5-$HB26)*1000+50)),IF($HD26=0,999999,IF(5=$HE26,IF(101=$HL26,IF($JD26=2,30,0),IF(101=$HM26,IF($JD26=1,30,0),ABS(5-$HF26)*100)),100000+ABS(5-$HE26)*1000+50)),IF($HG26=0,999999,IF(5=$HH26,IF(101=$HN26,IF($JE26=2,30,0),IF(101=$HO26,IF($JE26=1,30,0),ABS(5-$HI26)*100)),100000+ABS(5-$HH26)*1000+50)))-IF((101=$HJ26)+(101=$HK26)+(101=$HL26)+(101=$HM26)+(101=$HN26)+(101=$HO26)&gt;=2,50,0))+CZ$5*50)</f>
        <v/>
      </c>
      <c r="DA146">
        <f>IF(OR($JF26=0,calcA!$A$6=0),0,IF(OR(102=$HA26,102=$HD26,102=$HG26),200000,MIN(IF($HA26=0,999999,IF(5=$HB26,IF(102=$HJ26,IF($JC26=2,30,0),IF(102=$HK26,IF($JC26=1,30,0),ABS(6-$HC26)*100)),100000+ABS(5-$HB26)*1000+60)),IF($HD26=0,999999,IF(5=$HE26,IF(102=$HL26,IF($JD26=2,30,0),IF(102=$HM26,IF($JD26=1,30,0),ABS(6-$HF26)*100)),100000+ABS(5-$HE26)*1000+60)),IF($HG26=0,999999,IF(5=$HH26,IF(102=$HN26,IF($JE26=2,30,0),IF(102=$HO26,IF($JE26=1,30,0),ABS(6-$HI26)*100)),100000+ABS(5-$HH26)*1000+60)))-IF((102=$HJ26)+(102=$HK26)+(102=$HL26)+(102=$HM26)+(102=$HN26)+(102=$HO26)&gt;=2,50,0))+DA$5*50)</f>
        <v/>
      </c>
      <c r="DB146">
        <f>IF(OR($JF26=0,calcA!$A$6=0),0,IF(OR(103=$HA26,103=$HD26,103=$HG26),200000,MIN(IF($HA26=0,999999,IF(5=$HB26,IF(103=$HJ26,IF($JC26=2,30,0),IF(103=$HK26,IF($JC26=1,30,0),ABS(7-$HC26)*100)),100000+ABS(5-$HB26)*1000+70)),IF($HD26=0,999999,IF(5=$HE26,IF(103=$HL26,IF($JD26=2,30,0),IF(103=$HM26,IF($JD26=1,30,0),ABS(7-$HF26)*100)),100000+ABS(5-$HE26)*1000+70)),IF($HG26=0,999999,IF(5=$HH26,IF(103=$HN26,IF($JE26=2,30,0),IF(103=$HO26,IF($JE26=1,30,0),ABS(7-$HI26)*100)),100000+ABS(5-$HH26)*1000+70)))-IF((103=$HJ26)+(103=$HK26)+(103=$HL26)+(103=$HM26)+(103=$HN26)+(103=$HO26)&gt;=2,50,0))+DB$5*50)</f>
        <v/>
      </c>
      <c r="DC146">
        <f>IF(OR($JF26=0,calcA!$A$6=0),0,IF(OR(104=$HA26,104=$HD26,104=$HG26),200000,MIN(IF($HA26=0,999999,IF(5=$HB26,IF(104=$HJ26,IF($JC26=2,30,0),IF(104=$HK26,IF($JC26=1,30,0),ABS(8-$HC26)*100)),100000+ABS(5-$HB26)*1000+80)),IF($HD26=0,999999,IF(5=$HE26,IF(104=$HL26,IF($JD26=2,30,0),IF(104=$HM26,IF($JD26=1,30,0),ABS(8-$HF26)*100)),100000+ABS(5-$HE26)*1000+80)),IF($HG26=0,999999,IF(5=$HH26,IF(104=$HN26,IF($JE26=2,30,0),IF(104=$HO26,IF($JE26=1,30,0),ABS(8-$HI26)*100)),100000+ABS(5-$HH26)*1000+80)))-IF((104=$HJ26)+(104=$HK26)+(104=$HL26)+(104=$HM26)+(104=$HN26)+(104=$HO26)&gt;=2,50,0))+DC$5*50)</f>
        <v/>
      </c>
      <c r="DD146">
        <f>IF(OR($JF26=0,calcA!$A$6=0),0,IF(OR(105=$HA26,105=$HD26,105=$HG26),200000,MIN(IF($HA26=0,999999,IF(5=$HB26,IF(105=$HJ26,IF($JC26=2,30,0),IF(105=$HK26,IF($JC26=1,30,0),ABS(9-$HC26)*100)),100000+ABS(5-$HB26)*1000+90)),IF($HD26=0,999999,IF(5=$HE26,IF(105=$HL26,IF($JD26=2,30,0),IF(105=$HM26,IF($JD26=1,30,0),ABS(9-$HF26)*100)),100000+ABS(5-$HE26)*1000+90)),IF($HG26=0,999999,IF(5=$HH26,IF(105=$HN26,IF($JE26=2,30,0),IF(105=$HO26,IF($JE26=1,30,0),ABS(9-$HI26)*100)),100000+ABS(5-$HH26)*1000+90)))-IF((105=$HJ26)+(105=$HK26)+(105=$HL26)+(105=$HM26)+(105=$HN26)+(105=$HO26)&gt;=2,50,0))+DD$5*50)</f>
        <v/>
      </c>
      <c r="DE146">
        <f>IF(OR($JF26=0,calcA!$A$6=0),0,IF(OR(106=$HA26,106=$HD26,106=$HG26),200000,MIN(IF($HA26=0,999999,IF(5=$HB26,IF(106=$HJ26,IF($JC26=2,30,0),IF(106=$HK26,IF($JC26=1,30,0),ABS(10-$HC26)*100)),100000+ABS(5-$HB26)*1000+100)),IF($HD26=0,999999,IF(5=$HE26,IF(106=$HL26,IF($JD26=2,30,0),IF(106=$HM26,IF($JD26=1,30,0),ABS(10-$HF26)*100)),100000+ABS(5-$HE26)*1000+100)),IF($HG26=0,999999,IF(5=$HH26,IF(106=$HN26,IF($JE26=2,30,0),IF(106=$HO26,IF($JE26=1,30,0),ABS(10-$HI26)*100)),100000+ABS(5-$HH26)*1000+100)))-IF((106=$HJ26)+(106=$HK26)+(106=$HL26)+(106=$HM26)+(106=$HN26)+(106=$HO26)&gt;=2,50,0))+DE$5*50)</f>
        <v/>
      </c>
      <c r="DF146">
        <f>IF(OR($JF26=0,calcA!$A$6=0),0,IF(OR(107=$HA26,107=$HD26,107=$HG26),200000,MIN(IF($HA26=0,999999,IF(5=$HB26,IF(107=$HJ26,IF($JC26=2,30,0),IF(107=$HK26,IF($JC26=1,30,0),ABS(11-$HC26)*100)),100000+ABS(5-$HB26)*1000+110)),IF($HD26=0,999999,IF(5=$HE26,IF(107=$HL26,IF($JD26=2,30,0),IF(107=$HM26,IF($JD26=1,30,0),ABS(11-$HF26)*100)),100000+ABS(5-$HE26)*1000+110)),IF($HG26=0,999999,IF(5=$HH26,IF(107=$HN26,IF($JE26=2,30,0),IF(107=$HO26,IF($JE26=1,30,0),ABS(11-$HI26)*100)),100000+ABS(5-$HH26)*1000+110)))-IF((107=$HJ26)+(107=$HK26)+(107=$HL26)+(107=$HM26)+(107=$HN26)+(107=$HO26)&gt;=2,50,0))+DF$5*50)</f>
        <v/>
      </c>
      <c r="DG146">
        <f>IF(OR($JF26=0,calcA!$A$6=0),0,IF(OR(108=$HA26,108=$HD26,108=$HG26),200000,MIN(IF($HA26=0,999999,IF(5=$HB26,IF(108=$HJ26,IF($JC26=2,30,0),IF(108=$HK26,IF($JC26=1,30,0),ABS(12-$HC26)*100)),100000+ABS(5-$HB26)*1000+120)),IF($HD26=0,999999,IF(5=$HE26,IF(108=$HL26,IF($JD26=2,30,0),IF(108=$HM26,IF($JD26=1,30,0),ABS(12-$HF26)*100)),100000+ABS(5-$HE26)*1000+120)),IF($HG26=0,999999,IF(5=$HH26,IF(108=$HN26,IF($JE26=2,30,0),IF(108=$HO26,IF($JE26=1,30,0),ABS(12-$HI26)*100)),100000+ABS(5-$HH26)*1000+120)))-IF((108=$HJ26)+(108=$HK26)+(108=$HL26)+(108=$HM26)+(108=$HN26)+(108=$HO26)&gt;=2,50,0))+DG$5*50)</f>
        <v/>
      </c>
      <c r="DH146">
        <f>IF(OR($JF26=0,calcA!$A$6=0),0,IF(OR(109=$HA26,109=$HD26,109=$HG26),200000,MIN(IF($HA26=0,999999,IF(5=$HB26,IF(109=$HJ26,IF($JC26=2,30,0),IF(109=$HK26,IF($JC26=1,30,0),ABS(13-$HC26)*100)),100000+ABS(5-$HB26)*1000+130)),IF($HD26=0,999999,IF(5=$HE26,IF(109=$HL26,IF($JD26=2,30,0),IF(109=$HM26,IF($JD26=1,30,0),ABS(13-$HF26)*100)),100000+ABS(5-$HE26)*1000+130)),IF($HG26=0,999999,IF(5=$HH26,IF(109=$HN26,IF($JE26=2,30,0),IF(109=$HO26,IF($JE26=1,30,0),ABS(13-$HI26)*100)),100000+ABS(5-$HH26)*1000+130)))-IF((109=$HJ26)+(109=$HK26)+(109=$HL26)+(109=$HM26)+(109=$HN26)+(109=$HO26)&gt;=2,50,0))+DH$5*50)</f>
        <v/>
      </c>
      <c r="DI146">
        <f>IF(OR($JF26=0,calcA!$A$6=0),0,IF(OR(110=$HA26,110=$HD26,110=$HG26),200000,MIN(IF($HA26=0,999999,IF(5=$HB26,IF(110=$HJ26,IF($JC26=2,30,0),IF(110=$HK26,IF($JC26=1,30,0),ABS(14-$HC26)*100)),100000+ABS(5-$HB26)*1000+140)),IF($HD26=0,999999,IF(5=$HE26,IF(110=$HL26,IF($JD26=2,30,0),IF(110=$HM26,IF($JD26=1,30,0),ABS(14-$HF26)*100)),100000+ABS(5-$HE26)*1000+140)),IF($HG26=0,999999,IF(5=$HH26,IF(110=$HN26,IF($JE26=2,30,0),IF(110=$HO26,IF($JE26=1,30,0),ABS(14-$HI26)*100)),100000+ABS(5-$HH26)*1000+140)))-IF((110=$HJ26)+(110=$HK26)+(110=$HL26)+(110=$HM26)+(110=$HN26)+(110=$HO26)&gt;=2,50,0))+DI$5*50)</f>
        <v/>
      </c>
      <c r="DJ146">
        <f>IF(OR($JF26=0,calcA!$A$6=0),0,IF(OR(111=$HA26,111=$HD26,111=$HG26),200000,MIN(IF($HA26=0,999999,IF(5=$HB26,IF(111=$HJ26,IF($JC26=2,30,0),IF(111=$HK26,IF($JC26=1,30,0),ABS(15-$HC26)*100)),100000+ABS(5-$HB26)*1000+150)),IF($HD26=0,999999,IF(5=$HE26,IF(111=$HL26,IF($JD26=2,30,0),IF(111=$HM26,IF($JD26=1,30,0),ABS(15-$HF26)*100)),100000+ABS(5-$HE26)*1000+150)),IF($HG26=0,999999,IF(5=$HH26,IF(111=$HN26,IF($JE26=2,30,0),IF(111=$HO26,IF($JE26=1,30,0),ABS(15-$HI26)*100)),100000+ABS(5-$HH26)*1000+150)))-IF((111=$HJ26)+(111=$HK26)+(111=$HL26)+(111=$HM26)+(111=$HN26)+(111=$HO26)&gt;=2,50,0))+DJ$5*50)</f>
        <v/>
      </c>
      <c r="DK146">
        <f>IF(OR($JF26=0,calcA!$A$6=0),0,IF(OR(112=$HA26,112=$HD26,112=$HG26),200000,MIN(IF($HA26=0,999999,IF(5=$HB26,IF(112=$HJ26,IF($JC26=2,30,0),IF(112=$HK26,IF($JC26=1,30,0),ABS(16-$HC26)*100)),100000+ABS(5-$HB26)*1000+160)),IF($HD26=0,999999,IF(5=$HE26,IF(112=$HL26,IF($JD26=2,30,0),IF(112=$HM26,IF($JD26=1,30,0),ABS(16-$HF26)*100)),100000+ABS(5-$HE26)*1000+160)),IF($HG26=0,999999,IF(5=$HH26,IF(112=$HN26,IF($JE26=2,30,0),IF(112=$HO26,IF($JE26=1,30,0),ABS(16-$HI26)*100)),100000+ABS(5-$HH26)*1000+160)))-IF((112=$HJ26)+(112=$HK26)+(112=$HL26)+(112=$HM26)+(112=$HN26)+(112=$HO26)&gt;=2,50,0))+DK$5*50)</f>
        <v/>
      </c>
      <c r="DL146">
        <f>IF(OR($JF26=0,calcA!$A$6=0),0,IF(OR(113=$HA26,113=$HD26,113=$HG26),200000,MIN(IF($HA26=0,999999,IF(5=$HB26,IF(113=$HJ26,IF($JC26=2,30,0),IF(113=$HK26,IF($JC26=1,30,0),ABS(17-$HC26)*100)),100000+ABS(5-$HB26)*1000+170)),IF($HD26=0,999999,IF(5=$HE26,IF(113=$HL26,IF($JD26=2,30,0),IF(113=$HM26,IF($JD26=1,30,0),ABS(17-$HF26)*100)),100000+ABS(5-$HE26)*1000+170)),IF($HG26=0,999999,IF(5=$HH26,IF(113=$HN26,IF($JE26=2,30,0),IF(113=$HO26,IF($JE26=1,30,0),ABS(17-$HI26)*100)),100000+ABS(5-$HH26)*1000+170)))-IF((113=$HJ26)+(113=$HK26)+(113=$HL26)+(113=$HM26)+(113=$HN26)+(113=$HO26)&gt;=2,50,0))+DL$5*50)</f>
        <v/>
      </c>
      <c r="DM146">
        <f>IF(OR($JF26=0,calcA!$A$6=0),0,IF(OR(114=$HA26,114=$HD26,114=$HG26),200000,MIN(IF($HA26=0,999999,IF(5=$HB26,IF(114=$HJ26,IF($JC26=2,30,0),IF(114=$HK26,IF($JC26=1,30,0),ABS(18-$HC26)*100)),100000+ABS(5-$HB26)*1000+180)),IF($HD26=0,999999,IF(5=$HE26,IF(114=$HL26,IF($JD26=2,30,0),IF(114=$HM26,IF($JD26=1,30,0),ABS(18-$HF26)*100)),100000+ABS(5-$HE26)*1000+180)),IF($HG26=0,999999,IF(5=$HH26,IF(114=$HN26,IF($JE26=2,30,0),IF(114=$HO26,IF($JE26=1,30,0),ABS(18-$HI26)*100)),100000+ABS(5-$HH26)*1000+180)))-IF((114=$HJ26)+(114=$HK26)+(114=$HL26)+(114=$HM26)+(114=$HN26)+(114=$HO26)&gt;=2,50,0))+DM$5*50)</f>
        <v/>
      </c>
      <c r="DN146">
        <f>IF(OR($JF26=0,calcA!$A$6=0),0,IF(OR(115=$HA26,115=$HD26,115=$HG26),200000,MIN(IF($HA26=0,999999,IF(5=$HB26,IF(115=$HJ26,IF($JC26=2,30,0),IF(115=$HK26,IF($JC26=1,30,0),ABS(19-$HC26)*100)),100000+ABS(5-$HB26)*1000+190)),IF($HD26=0,999999,IF(5=$HE26,IF(115=$HL26,IF($JD26=2,30,0),IF(115=$HM26,IF($JD26=1,30,0),ABS(19-$HF26)*100)),100000+ABS(5-$HE26)*1000+190)),IF($HG26=0,999999,IF(5=$HH26,IF(115=$HN26,IF($JE26=2,30,0),IF(115=$HO26,IF($JE26=1,30,0),ABS(19-$HI26)*100)),100000+ABS(5-$HH26)*1000+190)))-IF((115=$HJ26)+(115=$HK26)+(115=$HL26)+(115=$HM26)+(115=$HN26)+(115=$HO26)&gt;=2,50,0))+DN$5*50)</f>
        <v/>
      </c>
      <c r="DO146">
        <f>IF(OR($JF26=0,calcA!$A$6=0),0,IF(OR(116=$HA26,116=$HD26,116=$HG26),200000,MIN(IF($HA26=0,999999,IF(5=$HB26,IF(116=$HJ26,IF($JC26=2,30,0),IF(116=$HK26,IF($JC26=1,30,0),ABS(20-$HC26)*100)),100000+ABS(5-$HB26)*1000+200)),IF($HD26=0,999999,IF(5=$HE26,IF(116=$HL26,IF($JD26=2,30,0),IF(116=$HM26,IF($JD26=1,30,0),ABS(20-$HF26)*100)),100000+ABS(5-$HE26)*1000+200)),IF($HG26=0,999999,IF(5=$HH26,IF(116=$HN26,IF($JE26=2,30,0),IF(116=$HO26,IF($JE26=1,30,0),ABS(20-$HI26)*100)),100000+ABS(5-$HH26)*1000+200)))-IF((116=$HJ26)+(116=$HK26)+(116=$HL26)+(116=$HM26)+(116=$HN26)+(116=$HO26)&gt;=2,50,0))+DO$5*50)</f>
        <v/>
      </c>
      <c r="DP146">
        <f>IF(OR($JF26=0,calcA!$A$6=0),0,IF(OR(117=$HA26,117=$HD26,117=$HG26),200000,MIN(IF($HA26=0,999999,IF(5=$HB26,IF(117=$HJ26,IF($JC26=2,30,0),IF(117=$HK26,IF($JC26=1,30,0),ABS(21-$HC26)*100)),100000+ABS(5-$HB26)*1000+210)),IF($HD26=0,999999,IF(5=$HE26,IF(117=$HL26,IF($JD26=2,30,0),IF(117=$HM26,IF($JD26=1,30,0),ABS(21-$HF26)*100)),100000+ABS(5-$HE26)*1000+210)),IF($HG26=0,999999,IF(5=$HH26,IF(117=$HN26,IF($JE26=2,30,0),IF(117=$HO26,IF($JE26=1,30,0),ABS(21-$HI26)*100)),100000+ABS(5-$HH26)*1000+210)))-IF((117=$HJ26)+(117=$HK26)+(117=$HL26)+(117=$HM26)+(117=$HN26)+(117=$HO26)&gt;=2,50,0))+DP$5*50)</f>
        <v/>
      </c>
      <c r="DQ146">
        <f>IF(OR($JF26=0,calcA!$A$6=0),0,IF(OR(118=$HA26,118=$HD26,118=$HG26),200000,MIN(IF($HA26=0,999999,IF(5=$HB26,IF(118=$HJ26,IF($JC26=2,30,0),IF(118=$HK26,IF($JC26=1,30,0),ABS(22-$HC26)*100)),100000+ABS(5-$HB26)*1000+220)),IF($HD26=0,999999,IF(5=$HE26,IF(118=$HL26,IF($JD26=2,30,0),IF(118=$HM26,IF($JD26=1,30,0),ABS(22-$HF26)*100)),100000+ABS(5-$HE26)*1000+220)),IF($HG26=0,999999,IF(5=$HH26,IF(118=$HN26,IF($JE26=2,30,0),IF(118=$HO26,IF($JE26=1,30,0),ABS(22-$HI26)*100)),100000+ABS(5-$HH26)*1000+220)))-IF((118=$HJ26)+(118=$HK26)+(118=$HL26)+(118=$HM26)+(118=$HN26)+(118=$HO26)&gt;=2,50,0))+DQ$5*50)</f>
        <v/>
      </c>
      <c r="DR146">
        <f>IF(OR($JF26=0,calcA!$A$6=0),0,IF(OR(119=$HA26,119=$HD26,119=$HG26),200000,MIN(IF($HA26=0,999999,IF(5=$HB26,IF(119=$HJ26,IF($JC26=2,30,0),IF(119=$HK26,IF($JC26=1,30,0),ABS(23-$HC26)*100)),100000+ABS(5-$HB26)*1000+230)),IF($HD26=0,999999,IF(5=$HE26,IF(119=$HL26,IF($JD26=2,30,0),IF(119=$HM26,IF($JD26=1,30,0),ABS(23-$HF26)*100)),100000+ABS(5-$HE26)*1000+230)),IF($HG26=0,999999,IF(5=$HH26,IF(119=$HN26,IF($JE26=2,30,0),IF(119=$HO26,IF($JE26=1,30,0),ABS(23-$HI26)*100)),100000+ABS(5-$HH26)*1000+230)))-IF((119=$HJ26)+(119=$HK26)+(119=$HL26)+(119=$HM26)+(119=$HN26)+(119=$HO26)&gt;=2,50,0))+DR$5*50)</f>
        <v/>
      </c>
      <c r="DS146">
        <f>IF(OR($JF26=0,calcA!$A$6=0),0,IF(OR(120=$HA26,120=$HD26,120=$HG26),200000,MIN(IF($HA26=0,999999,IF(5=$HB26,IF(120=$HJ26,IF($JC26=2,30,0),IF(120=$HK26,IF($JC26=1,30,0),ABS(24-$HC26)*100)),100000+ABS(5-$HB26)*1000+240)),IF($HD26=0,999999,IF(5=$HE26,IF(120=$HL26,IF($JD26=2,30,0),IF(120=$HM26,IF($JD26=1,30,0),ABS(24-$HF26)*100)),100000+ABS(5-$HE26)*1000+240)),IF($HG26=0,999999,IF(5=$HH26,IF(120=$HN26,IF($JE26=2,30,0),IF(120=$HO26,IF($JE26=1,30,0),ABS(24-$HI26)*100)),100000+ABS(5-$HH26)*1000+240)))-IF((120=$HJ26)+(120=$HK26)+(120=$HL26)+(120=$HM26)+(120=$HN26)+(120=$HO26)&gt;=2,50,0))+DS$5*50)</f>
        <v/>
      </c>
      <c r="DT146">
        <f>IF(OR($JF26=0,calcA!$A$6=0),0,IF(OR(121=$HA26,121=$HD26,121=$HG26),200000,MIN(IF($HA26=0,999999,IF(6=$HB26,IF(121=$HJ26,IF($JC26=2,30,0),IF(121=$HK26,IF($JC26=1,30,0),ABS(1-$HC26)*100)),100000+ABS(6-$HB26)*1000+10)),IF($HD26=0,999999,IF(6=$HE26,IF(121=$HL26,IF($JD26=2,30,0),IF(121=$HM26,IF($JD26=1,30,0),ABS(1-$HF26)*100)),100000+ABS(6-$HE26)*1000+10)),IF($HG26=0,999999,IF(6=$HH26,IF(121=$HN26,IF($JE26=2,30,0),IF(121=$HO26,IF($JE26=1,30,0),ABS(1-$HI26)*100)),100000+ABS(6-$HH26)*1000+10)))-IF((121=$HJ26)+(121=$HK26)+(121=$HL26)+(121=$HM26)+(121=$HN26)+(121=$HO26)&gt;=2,50,0))+DT$5*50)</f>
        <v/>
      </c>
      <c r="DU146">
        <f>IF(OR($JF26=0,calcA!$A$6=0),0,IF(OR(122=$HA26,122=$HD26,122=$HG26),200000,MIN(IF($HA26=0,999999,IF(6=$HB26,IF(122=$HJ26,IF($JC26=2,30,0),IF(122=$HK26,IF($JC26=1,30,0),ABS(2-$HC26)*100)),100000+ABS(6-$HB26)*1000+20)),IF($HD26=0,999999,IF(6=$HE26,IF(122=$HL26,IF($JD26=2,30,0),IF(122=$HM26,IF($JD26=1,30,0),ABS(2-$HF26)*100)),100000+ABS(6-$HE26)*1000+20)),IF($HG26=0,999999,IF(6=$HH26,IF(122=$HN26,IF($JE26=2,30,0),IF(122=$HO26,IF($JE26=1,30,0),ABS(2-$HI26)*100)),100000+ABS(6-$HH26)*1000+20)))-IF((122=$HJ26)+(122=$HK26)+(122=$HL26)+(122=$HM26)+(122=$HN26)+(122=$HO26)&gt;=2,50,0))+DU$5*50)</f>
        <v/>
      </c>
      <c r="DV146">
        <f>IF(OR($JF26=0,calcA!$A$6=0),0,IF(OR(123=$HA26,123=$HD26,123=$HG26),200000,MIN(IF($HA26=0,999999,IF(6=$HB26,IF(123=$HJ26,IF($JC26=2,30,0),IF(123=$HK26,IF($JC26=1,30,0),ABS(3-$HC26)*100)),100000+ABS(6-$HB26)*1000+30)),IF($HD26=0,999999,IF(6=$HE26,IF(123=$HL26,IF($JD26=2,30,0),IF(123=$HM26,IF($JD26=1,30,0),ABS(3-$HF26)*100)),100000+ABS(6-$HE26)*1000+30)),IF($HG26=0,999999,IF(6=$HH26,IF(123=$HN26,IF($JE26=2,30,0),IF(123=$HO26,IF($JE26=1,30,0),ABS(3-$HI26)*100)),100000+ABS(6-$HH26)*1000+30)))-IF((123=$HJ26)+(123=$HK26)+(123=$HL26)+(123=$HM26)+(123=$HN26)+(123=$HO26)&gt;=2,50,0))+DV$5*50)</f>
        <v/>
      </c>
      <c r="DW146">
        <f>IF(OR($JF26=0,calcA!$A$6=0),0,IF(OR(124=$HA26,124=$HD26,124=$HG26),200000,MIN(IF($HA26=0,999999,IF(6=$HB26,IF(124=$HJ26,IF($JC26=2,30,0),IF(124=$HK26,IF($JC26=1,30,0),ABS(4-$HC26)*100)),100000+ABS(6-$HB26)*1000+40)),IF($HD26=0,999999,IF(6=$HE26,IF(124=$HL26,IF($JD26=2,30,0),IF(124=$HM26,IF($JD26=1,30,0),ABS(4-$HF26)*100)),100000+ABS(6-$HE26)*1000+40)),IF($HG26=0,999999,IF(6=$HH26,IF(124=$HN26,IF($JE26=2,30,0),IF(124=$HO26,IF($JE26=1,30,0),ABS(4-$HI26)*100)),100000+ABS(6-$HH26)*1000+40)))-IF((124=$HJ26)+(124=$HK26)+(124=$HL26)+(124=$HM26)+(124=$HN26)+(124=$HO26)&gt;=2,50,0))+DW$5*50)</f>
        <v/>
      </c>
      <c r="DX146">
        <f>IF(OR($JF26=0,calcA!$A$6=0),0,IF(OR(125=$HA26,125=$HD26,125=$HG26),200000,MIN(IF($HA26=0,999999,IF(6=$HB26,IF(125=$HJ26,IF($JC26=2,30,0),IF(125=$HK26,IF($JC26=1,30,0),ABS(5-$HC26)*100)),100000+ABS(6-$HB26)*1000+50)),IF($HD26=0,999999,IF(6=$HE26,IF(125=$HL26,IF($JD26=2,30,0),IF(125=$HM26,IF($JD26=1,30,0),ABS(5-$HF26)*100)),100000+ABS(6-$HE26)*1000+50)),IF($HG26=0,999999,IF(6=$HH26,IF(125=$HN26,IF($JE26=2,30,0),IF(125=$HO26,IF($JE26=1,30,0),ABS(5-$HI26)*100)),100000+ABS(6-$HH26)*1000+50)))-IF((125=$HJ26)+(125=$HK26)+(125=$HL26)+(125=$HM26)+(125=$HN26)+(125=$HO26)&gt;=2,50,0))+DX$5*50)</f>
        <v/>
      </c>
      <c r="DY146">
        <f>IF(OR($JF26=0,calcA!$A$6=0),0,IF(OR(126=$HA26,126=$HD26,126=$HG26),200000,MIN(IF($HA26=0,999999,IF(6=$HB26,IF(126=$HJ26,IF($JC26=2,30,0),IF(126=$HK26,IF($JC26=1,30,0),ABS(6-$HC26)*100)),100000+ABS(6-$HB26)*1000+60)),IF($HD26=0,999999,IF(6=$HE26,IF(126=$HL26,IF($JD26=2,30,0),IF(126=$HM26,IF($JD26=1,30,0),ABS(6-$HF26)*100)),100000+ABS(6-$HE26)*1000+60)),IF($HG26=0,999999,IF(6=$HH26,IF(126=$HN26,IF($JE26=2,30,0),IF(126=$HO26,IF($JE26=1,30,0),ABS(6-$HI26)*100)),100000+ABS(6-$HH26)*1000+60)))-IF((126=$HJ26)+(126=$HK26)+(126=$HL26)+(126=$HM26)+(126=$HN26)+(126=$HO26)&gt;=2,50,0))+DY$5*50)</f>
        <v/>
      </c>
      <c r="DZ146">
        <f>IF(OR($JF26=0,calcA!$A$6=0),0,IF(OR(127=$HA26,127=$HD26,127=$HG26),200000,MIN(IF($HA26=0,999999,IF(6=$HB26,IF(127=$HJ26,IF($JC26=2,30,0),IF(127=$HK26,IF($JC26=1,30,0),ABS(7-$HC26)*100)),100000+ABS(6-$HB26)*1000+70)),IF($HD26=0,999999,IF(6=$HE26,IF(127=$HL26,IF($JD26=2,30,0),IF(127=$HM26,IF($JD26=1,30,0),ABS(7-$HF26)*100)),100000+ABS(6-$HE26)*1000+70)),IF($HG26=0,999999,IF(6=$HH26,IF(127=$HN26,IF($JE26=2,30,0),IF(127=$HO26,IF($JE26=1,30,0),ABS(7-$HI26)*100)),100000+ABS(6-$HH26)*1000+70)))-IF((127=$HJ26)+(127=$HK26)+(127=$HL26)+(127=$HM26)+(127=$HN26)+(127=$HO26)&gt;=2,50,0))+DZ$5*50)</f>
        <v/>
      </c>
      <c r="EA146">
        <f>IF(OR($JF26=0,calcA!$A$6=0),0,IF(OR(128=$HA26,128=$HD26,128=$HG26),200000,MIN(IF($HA26=0,999999,IF(6=$HB26,IF(128=$HJ26,IF($JC26=2,30,0),IF(128=$HK26,IF($JC26=1,30,0),ABS(8-$HC26)*100)),100000+ABS(6-$HB26)*1000+80)),IF($HD26=0,999999,IF(6=$HE26,IF(128=$HL26,IF($JD26=2,30,0),IF(128=$HM26,IF($JD26=1,30,0),ABS(8-$HF26)*100)),100000+ABS(6-$HE26)*1000+80)),IF($HG26=0,999999,IF(6=$HH26,IF(128=$HN26,IF($JE26=2,30,0),IF(128=$HO26,IF($JE26=1,30,0),ABS(8-$HI26)*100)),100000+ABS(6-$HH26)*1000+80)))-IF((128=$HJ26)+(128=$HK26)+(128=$HL26)+(128=$HM26)+(128=$HN26)+(128=$HO26)&gt;=2,50,0))+EA$5*50)</f>
        <v/>
      </c>
      <c r="EB146">
        <f>IF(OR($JF26=0,calcA!$A$6=0),0,IF(OR(129=$HA26,129=$HD26,129=$HG26),200000,MIN(IF($HA26=0,999999,IF(6=$HB26,IF(129=$HJ26,IF($JC26=2,30,0),IF(129=$HK26,IF($JC26=1,30,0),ABS(9-$HC26)*100)),100000+ABS(6-$HB26)*1000+90)),IF($HD26=0,999999,IF(6=$HE26,IF(129=$HL26,IF($JD26=2,30,0),IF(129=$HM26,IF($JD26=1,30,0),ABS(9-$HF26)*100)),100000+ABS(6-$HE26)*1000+90)),IF($HG26=0,999999,IF(6=$HH26,IF(129=$HN26,IF($JE26=2,30,0),IF(129=$HO26,IF($JE26=1,30,0),ABS(9-$HI26)*100)),100000+ABS(6-$HH26)*1000+90)))-IF((129=$HJ26)+(129=$HK26)+(129=$HL26)+(129=$HM26)+(129=$HN26)+(129=$HO26)&gt;=2,50,0))+EB$5*50)</f>
        <v/>
      </c>
      <c r="EC146">
        <f>IF(OR($JF26=0,calcA!$A$6=0),0,IF(OR(130=$HA26,130=$HD26,130=$HG26),200000,MIN(IF($HA26=0,999999,IF(6=$HB26,IF(130=$HJ26,IF($JC26=2,30,0),IF(130=$HK26,IF($JC26=1,30,0),ABS(10-$HC26)*100)),100000+ABS(6-$HB26)*1000+100)),IF($HD26=0,999999,IF(6=$HE26,IF(130=$HL26,IF($JD26=2,30,0),IF(130=$HM26,IF($JD26=1,30,0),ABS(10-$HF26)*100)),100000+ABS(6-$HE26)*1000+100)),IF($HG26=0,999999,IF(6=$HH26,IF(130=$HN26,IF($JE26=2,30,0),IF(130=$HO26,IF($JE26=1,30,0),ABS(10-$HI26)*100)),100000+ABS(6-$HH26)*1000+100)))-IF((130=$HJ26)+(130=$HK26)+(130=$HL26)+(130=$HM26)+(130=$HN26)+(130=$HO26)&gt;=2,50,0))+EC$5*50)</f>
        <v/>
      </c>
      <c r="ED146">
        <f>IF(OR($JF26=0,calcA!$A$6=0),0,IF(OR(131=$HA26,131=$HD26,131=$HG26),200000,MIN(IF($HA26=0,999999,IF(6=$HB26,IF(131=$HJ26,IF($JC26=2,30,0),IF(131=$HK26,IF($JC26=1,30,0),ABS(11-$HC26)*100)),100000+ABS(6-$HB26)*1000+110)),IF($HD26=0,999999,IF(6=$HE26,IF(131=$HL26,IF($JD26=2,30,0),IF(131=$HM26,IF($JD26=1,30,0),ABS(11-$HF26)*100)),100000+ABS(6-$HE26)*1000+110)),IF($HG26=0,999999,IF(6=$HH26,IF(131=$HN26,IF($JE26=2,30,0),IF(131=$HO26,IF($JE26=1,30,0),ABS(11-$HI26)*100)),100000+ABS(6-$HH26)*1000+110)))-IF((131=$HJ26)+(131=$HK26)+(131=$HL26)+(131=$HM26)+(131=$HN26)+(131=$HO26)&gt;=2,50,0))+ED$5*50)</f>
        <v/>
      </c>
      <c r="EE146">
        <f>IF(OR($JF26=0,calcA!$A$6=0),0,IF(OR(132=$HA26,132=$HD26,132=$HG26),200000,MIN(IF($HA26=0,999999,IF(6=$HB26,IF(132=$HJ26,IF($JC26=2,30,0),IF(132=$HK26,IF($JC26=1,30,0),ABS(12-$HC26)*100)),100000+ABS(6-$HB26)*1000+120)),IF($HD26=0,999999,IF(6=$HE26,IF(132=$HL26,IF($JD26=2,30,0),IF(132=$HM26,IF($JD26=1,30,0),ABS(12-$HF26)*100)),100000+ABS(6-$HE26)*1000+120)),IF($HG26=0,999999,IF(6=$HH26,IF(132=$HN26,IF($JE26=2,30,0),IF(132=$HO26,IF($JE26=1,30,0),ABS(12-$HI26)*100)),100000+ABS(6-$HH26)*1000+120)))-IF((132=$HJ26)+(132=$HK26)+(132=$HL26)+(132=$HM26)+(132=$HN26)+(132=$HO26)&gt;=2,50,0))+EE$5*50)</f>
        <v/>
      </c>
      <c r="EF146">
        <f>IF(OR($JF26=0,calcA!$A$6=0),0,IF(OR(133=$HA26,133=$HD26,133=$HG26),200000,MIN(IF($HA26=0,999999,IF(6=$HB26,IF(133=$HJ26,IF($JC26=2,30,0),IF(133=$HK26,IF($JC26=1,30,0),ABS(13-$HC26)*100)),100000+ABS(6-$HB26)*1000+130)),IF($HD26=0,999999,IF(6=$HE26,IF(133=$HL26,IF($JD26=2,30,0),IF(133=$HM26,IF($JD26=1,30,0),ABS(13-$HF26)*100)),100000+ABS(6-$HE26)*1000+130)),IF($HG26=0,999999,IF(6=$HH26,IF(133=$HN26,IF($JE26=2,30,0),IF(133=$HO26,IF($JE26=1,30,0),ABS(13-$HI26)*100)),100000+ABS(6-$HH26)*1000+130)))-IF((133=$HJ26)+(133=$HK26)+(133=$HL26)+(133=$HM26)+(133=$HN26)+(133=$HO26)&gt;=2,50,0))+EF$5*50)</f>
        <v/>
      </c>
      <c r="EG146">
        <f>IF(OR($JF26=0,calcA!$A$6=0),0,IF(OR(134=$HA26,134=$HD26,134=$HG26),200000,MIN(IF($HA26=0,999999,IF(6=$HB26,IF(134=$HJ26,IF($JC26=2,30,0),IF(134=$HK26,IF($JC26=1,30,0),ABS(14-$HC26)*100)),100000+ABS(6-$HB26)*1000+140)),IF($HD26=0,999999,IF(6=$HE26,IF(134=$HL26,IF($JD26=2,30,0),IF(134=$HM26,IF($JD26=1,30,0),ABS(14-$HF26)*100)),100000+ABS(6-$HE26)*1000+140)),IF($HG26=0,999999,IF(6=$HH26,IF(134=$HN26,IF($JE26=2,30,0),IF(134=$HO26,IF($JE26=1,30,0),ABS(14-$HI26)*100)),100000+ABS(6-$HH26)*1000+140)))-IF((134=$HJ26)+(134=$HK26)+(134=$HL26)+(134=$HM26)+(134=$HN26)+(134=$HO26)&gt;=2,50,0))+EG$5*50)</f>
        <v/>
      </c>
      <c r="EH146">
        <f>IF(OR($JF26=0,calcA!$A$6=0),0,IF(OR(135=$HA26,135=$HD26,135=$HG26),200000,MIN(IF($HA26=0,999999,IF(6=$HB26,IF(135=$HJ26,IF($JC26=2,30,0),IF(135=$HK26,IF($JC26=1,30,0),ABS(15-$HC26)*100)),100000+ABS(6-$HB26)*1000+150)),IF($HD26=0,999999,IF(6=$HE26,IF(135=$HL26,IF($JD26=2,30,0),IF(135=$HM26,IF($JD26=1,30,0),ABS(15-$HF26)*100)),100000+ABS(6-$HE26)*1000+150)),IF($HG26=0,999999,IF(6=$HH26,IF(135=$HN26,IF($JE26=2,30,0),IF(135=$HO26,IF($JE26=1,30,0),ABS(15-$HI26)*100)),100000+ABS(6-$HH26)*1000+150)))-IF((135=$HJ26)+(135=$HK26)+(135=$HL26)+(135=$HM26)+(135=$HN26)+(135=$HO26)&gt;=2,50,0))+EH$5*50)</f>
        <v/>
      </c>
      <c r="EI146">
        <f>IF(OR($JF26=0,calcA!$A$6=0),0,IF(OR(136=$HA26,136=$HD26,136=$HG26),200000,MIN(IF($HA26=0,999999,IF(6=$HB26,IF(136=$HJ26,IF($JC26=2,30,0),IF(136=$HK26,IF($JC26=1,30,0),ABS(16-$HC26)*100)),100000+ABS(6-$HB26)*1000+160)),IF($HD26=0,999999,IF(6=$HE26,IF(136=$HL26,IF($JD26=2,30,0),IF(136=$HM26,IF($JD26=1,30,0),ABS(16-$HF26)*100)),100000+ABS(6-$HE26)*1000+160)),IF($HG26=0,999999,IF(6=$HH26,IF(136=$HN26,IF($JE26=2,30,0),IF(136=$HO26,IF($JE26=1,30,0),ABS(16-$HI26)*100)),100000+ABS(6-$HH26)*1000+160)))-IF((136=$HJ26)+(136=$HK26)+(136=$HL26)+(136=$HM26)+(136=$HN26)+(136=$HO26)&gt;=2,50,0))+EI$5*50)</f>
        <v/>
      </c>
      <c r="EJ146">
        <f>IF(OR($JF26=0,calcA!$A$6=0),0,IF(OR(137=$HA26,137=$HD26,137=$HG26),200000,MIN(IF($HA26=0,999999,IF(6=$HB26,IF(137=$HJ26,IF($JC26=2,30,0),IF(137=$HK26,IF($JC26=1,30,0),ABS(17-$HC26)*100)),100000+ABS(6-$HB26)*1000+170)),IF($HD26=0,999999,IF(6=$HE26,IF(137=$HL26,IF($JD26=2,30,0),IF(137=$HM26,IF($JD26=1,30,0),ABS(17-$HF26)*100)),100000+ABS(6-$HE26)*1000+170)),IF($HG26=0,999999,IF(6=$HH26,IF(137=$HN26,IF($JE26=2,30,0),IF(137=$HO26,IF($JE26=1,30,0),ABS(17-$HI26)*100)),100000+ABS(6-$HH26)*1000+170)))-IF((137=$HJ26)+(137=$HK26)+(137=$HL26)+(137=$HM26)+(137=$HN26)+(137=$HO26)&gt;=2,50,0))+EJ$5*50)</f>
        <v/>
      </c>
      <c r="EK146">
        <f>IF(OR($JF26=0,calcA!$A$6=0),0,IF(OR(138=$HA26,138=$HD26,138=$HG26),200000,MIN(IF($HA26=0,999999,IF(6=$HB26,IF(138=$HJ26,IF($JC26=2,30,0),IF(138=$HK26,IF($JC26=1,30,0),ABS(18-$HC26)*100)),100000+ABS(6-$HB26)*1000+180)),IF($HD26=0,999999,IF(6=$HE26,IF(138=$HL26,IF($JD26=2,30,0),IF(138=$HM26,IF($JD26=1,30,0),ABS(18-$HF26)*100)),100000+ABS(6-$HE26)*1000+180)),IF($HG26=0,999999,IF(6=$HH26,IF(138=$HN26,IF($JE26=2,30,0),IF(138=$HO26,IF($JE26=1,30,0),ABS(18-$HI26)*100)),100000+ABS(6-$HH26)*1000+180)))-IF((138=$HJ26)+(138=$HK26)+(138=$HL26)+(138=$HM26)+(138=$HN26)+(138=$HO26)&gt;=2,50,0))+EK$5*50)</f>
        <v/>
      </c>
      <c r="EL146">
        <f>IF(OR($JF26=0,calcA!$A$6=0),0,IF(OR(139=$HA26,139=$HD26,139=$HG26),200000,MIN(IF($HA26=0,999999,IF(6=$HB26,IF(139=$HJ26,IF($JC26=2,30,0),IF(139=$HK26,IF($JC26=1,30,0),ABS(19-$HC26)*100)),100000+ABS(6-$HB26)*1000+190)),IF($HD26=0,999999,IF(6=$HE26,IF(139=$HL26,IF($JD26=2,30,0),IF(139=$HM26,IF($JD26=1,30,0),ABS(19-$HF26)*100)),100000+ABS(6-$HE26)*1000+190)),IF($HG26=0,999999,IF(6=$HH26,IF(139=$HN26,IF($JE26=2,30,0),IF(139=$HO26,IF($JE26=1,30,0),ABS(19-$HI26)*100)),100000+ABS(6-$HH26)*1000+190)))-IF((139=$HJ26)+(139=$HK26)+(139=$HL26)+(139=$HM26)+(139=$HN26)+(139=$HO26)&gt;=2,50,0))+EL$5*50)</f>
        <v/>
      </c>
      <c r="EM146">
        <f>IF(OR($JF26=0,calcA!$A$6=0),0,IF(OR(140=$HA26,140=$HD26,140=$HG26),200000,MIN(IF($HA26=0,999999,IF(6=$HB26,IF(140=$HJ26,IF($JC26=2,30,0),IF(140=$HK26,IF($JC26=1,30,0),ABS(20-$HC26)*100)),100000+ABS(6-$HB26)*1000+200)),IF($HD26=0,999999,IF(6=$HE26,IF(140=$HL26,IF($JD26=2,30,0),IF(140=$HM26,IF($JD26=1,30,0),ABS(20-$HF26)*100)),100000+ABS(6-$HE26)*1000+200)),IF($HG26=0,999999,IF(6=$HH26,IF(140=$HN26,IF($JE26=2,30,0),IF(140=$HO26,IF($JE26=1,30,0),ABS(20-$HI26)*100)),100000+ABS(6-$HH26)*1000+200)))-IF((140=$HJ26)+(140=$HK26)+(140=$HL26)+(140=$HM26)+(140=$HN26)+(140=$HO26)&gt;=2,50,0))+EM$5*50)</f>
        <v/>
      </c>
      <c r="EN146">
        <f>IF(OR($JF26=0,calcA!$A$6=0),0,IF(OR(141=$HA26,141=$HD26,141=$HG26),200000,MIN(IF($HA26=0,999999,IF(6=$HB26,IF(141=$HJ26,IF($JC26=2,30,0),IF(141=$HK26,IF($JC26=1,30,0),ABS(21-$HC26)*100)),100000+ABS(6-$HB26)*1000+210)),IF($HD26=0,999999,IF(6=$HE26,IF(141=$HL26,IF($JD26=2,30,0),IF(141=$HM26,IF($JD26=1,30,0),ABS(21-$HF26)*100)),100000+ABS(6-$HE26)*1000+210)),IF($HG26=0,999999,IF(6=$HH26,IF(141=$HN26,IF($JE26=2,30,0),IF(141=$HO26,IF($JE26=1,30,0),ABS(21-$HI26)*100)),100000+ABS(6-$HH26)*1000+210)))-IF((141=$HJ26)+(141=$HK26)+(141=$HL26)+(141=$HM26)+(141=$HN26)+(141=$HO26)&gt;=2,50,0))+EN$5*50)</f>
        <v/>
      </c>
      <c r="EO146">
        <f>IF(OR($JF26=0,calcA!$A$6=0),0,IF(OR(142=$HA26,142=$HD26,142=$HG26),200000,MIN(IF($HA26=0,999999,IF(6=$HB26,IF(142=$HJ26,IF($JC26=2,30,0),IF(142=$HK26,IF($JC26=1,30,0),ABS(22-$HC26)*100)),100000+ABS(6-$HB26)*1000+220)),IF($HD26=0,999999,IF(6=$HE26,IF(142=$HL26,IF($JD26=2,30,0),IF(142=$HM26,IF($JD26=1,30,0),ABS(22-$HF26)*100)),100000+ABS(6-$HE26)*1000+220)),IF($HG26=0,999999,IF(6=$HH26,IF(142=$HN26,IF($JE26=2,30,0),IF(142=$HO26,IF($JE26=1,30,0),ABS(22-$HI26)*100)),100000+ABS(6-$HH26)*1000+220)))-IF((142=$HJ26)+(142=$HK26)+(142=$HL26)+(142=$HM26)+(142=$HN26)+(142=$HO26)&gt;=2,50,0))+EO$5*50)</f>
        <v/>
      </c>
      <c r="EP146">
        <f>IF(OR($JF26=0,calcA!$A$6=0),0,IF(OR(143=$HA26,143=$HD26,143=$HG26),200000,MIN(IF($HA26=0,999999,IF(6=$HB26,IF(143=$HJ26,IF($JC26=2,30,0),IF(143=$HK26,IF($JC26=1,30,0),ABS(23-$HC26)*100)),100000+ABS(6-$HB26)*1000+230)),IF($HD26=0,999999,IF(6=$HE26,IF(143=$HL26,IF($JD26=2,30,0),IF(143=$HM26,IF($JD26=1,30,0),ABS(23-$HF26)*100)),100000+ABS(6-$HE26)*1000+230)),IF($HG26=0,999999,IF(6=$HH26,IF(143=$HN26,IF($JE26=2,30,0),IF(143=$HO26,IF($JE26=1,30,0),ABS(23-$HI26)*100)),100000+ABS(6-$HH26)*1000+230)))-IF((143=$HJ26)+(143=$HK26)+(143=$HL26)+(143=$HM26)+(143=$HN26)+(143=$HO26)&gt;=2,50,0))+EP$5*50)</f>
        <v/>
      </c>
      <c r="EQ146">
        <f>IF(OR($JF26=0,calcA!$A$6=0),0,IF(OR(144=$HA26,144=$HD26,144=$HG26),200000,MIN(IF($HA26=0,999999,IF(6=$HB26,IF(144=$HJ26,IF($JC26=2,30,0),IF(144=$HK26,IF($JC26=1,30,0),ABS(24-$HC26)*100)),100000+ABS(6-$HB26)*1000+240)),IF($HD26=0,999999,IF(6=$HE26,IF(144=$HL26,IF($JD26=2,30,0),IF(144=$HM26,IF($JD26=1,30,0),ABS(24-$HF26)*100)),100000+ABS(6-$HE26)*1000+240)),IF($HG26=0,999999,IF(6=$HH26,IF(144=$HN26,IF($JE26=2,30,0),IF(144=$HO26,IF($JE26=1,30,0),ABS(24-$HI26)*100)),100000+ABS(6-$HH26)*1000+240)))-IF((144=$HJ26)+(144=$HK26)+(144=$HL26)+(144=$HM26)+(144=$HN26)+(144=$HO26)&gt;=2,50,0))+EQ$5*50)</f>
        <v/>
      </c>
    </row>
    <row r="147">
      <c r="D147">
        <f>IF(OR($JF27=0,calcA!$A$6=0),0,IF(OR(1=$HA27,1=$HD27,1=$HG27),200000,MIN(IF($HA27=0,999999,IF(1=$HB27,IF(1=$HJ27,IF($JC27=2,30,0),IF(1=$HK27,IF($JC27=1,30,0),ABS(1-$HC27)*100)),100000+ABS(1-$HB27)*1000+10)),IF($HD27=0,999999,IF(1=$HE27,IF(1=$HL27,IF($JD27=2,30,0),IF(1=$HM27,IF($JD27=1,30,0),ABS(1-$HF27)*100)),100000+ABS(1-$HE27)*1000+10)),IF($HG27=0,999999,IF(1=$HH27,IF(1=$HN27,IF($JE27=2,30,0),IF(1=$HO27,IF($JE27=1,30,0),ABS(1-$HI27)*100)),100000+ABS(1-$HH27)*1000+10)))-IF((1=$HJ27)+(1=$HK27)+(1=$HL27)+(1=$HM27)+(1=$HN27)+(1=$HO27)&gt;=2,50,0))+D$5*50)</f>
        <v/>
      </c>
      <c r="E147">
        <f>IF(OR($JF27=0,calcA!$A$6=0),0,IF(OR(2=$HA27,2=$HD27,2=$HG27),200000,MIN(IF($HA27=0,999999,IF(1=$HB27,IF(2=$HJ27,IF($JC27=2,30,0),IF(2=$HK27,IF($JC27=1,30,0),ABS(2-$HC27)*100)),100000+ABS(1-$HB27)*1000+20)),IF($HD27=0,999999,IF(1=$HE27,IF(2=$HL27,IF($JD27=2,30,0),IF(2=$HM27,IF($JD27=1,30,0),ABS(2-$HF27)*100)),100000+ABS(1-$HE27)*1000+20)),IF($HG27=0,999999,IF(1=$HH27,IF(2=$HN27,IF($JE27=2,30,0),IF(2=$HO27,IF($JE27=1,30,0),ABS(2-$HI27)*100)),100000+ABS(1-$HH27)*1000+20)))-IF((2=$HJ27)+(2=$HK27)+(2=$HL27)+(2=$HM27)+(2=$HN27)+(2=$HO27)&gt;=2,50,0))+E$5*50)</f>
        <v/>
      </c>
      <c r="F147">
        <f>IF(OR($JF27=0,calcA!$A$6=0),0,IF(OR(3=$HA27,3=$HD27,3=$HG27),200000,MIN(IF($HA27=0,999999,IF(1=$HB27,IF(3=$HJ27,IF($JC27=2,30,0),IF(3=$HK27,IF($JC27=1,30,0),ABS(3-$HC27)*100)),100000+ABS(1-$HB27)*1000+30)),IF($HD27=0,999999,IF(1=$HE27,IF(3=$HL27,IF($JD27=2,30,0),IF(3=$HM27,IF($JD27=1,30,0),ABS(3-$HF27)*100)),100000+ABS(1-$HE27)*1000+30)),IF($HG27=0,999999,IF(1=$HH27,IF(3=$HN27,IF($JE27=2,30,0),IF(3=$HO27,IF($JE27=1,30,0),ABS(3-$HI27)*100)),100000+ABS(1-$HH27)*1000+30)))-IF((3=$HJ27)+(3=$HK27)+(3=$HL27)+(3=$HM27)+(3=$HN27)+(3=$HO27)&gt;=2,50,0))+F$5*50)</f>
        <v/>
      </c>
      <c r="G147">
        <f>IF(OR($JF27=0,calcA!$A$6=0),0,IF(OR(4=$HA27,4=$HD27,4=$HG27),200000,MIN(IF($HA27=0,999999,IF(1=$HB27,IF(4=$HJ27,IF($JC27=2,30,0),IF(4=$HK27,IF($JC27=1,30,0),ABS(4-$HC27)*100)),100000+ABS(1-$HB27)*1000+40)),IF($HD27=0,999999,IF(1=$HE27,IF(4=$HL27,IF($JD27=2,30,0),IF(4=$HM27,IF($JD27=1,30,0),ABS(4-$HF27)*100)),100000+ABS(1-$HE27)*1000+40)),IF($HG27=0,999999,IF(1=$HH27,IF(4=$HN27,IF($JE27=2,30,0),IF(4=$HO27,IF($JE27=1,30,0),ABS(4-$HI27)*100)),100000+ABS(1-$HH27)*1000+40)))-IF((4=$HJ27)+(4=$HK27)+(4=$HL27)+(4=$HM27)+(4=$HN27)+(4=$HO27)&gt;=2,50,0))+G$5*50)</f>
        <v/>
      </c>
      <c r="H147">
        <f>IF(OR($JF27=0,calcA!$A$6=0),0,IF(OR(5=$HA27,5=$HD27,5=$HG27),200000,MIN(IF($HA27=0,999999,IF(1=$HB27,IF(5=$HJ27,IF($JC27=2,30,0),IF(5=$HK27,IF($JC27=1,30,0),ABS(5-$HC27)*100)),100000+ABS(1-$HB27)*1000+50)),IF($HD27=0,999999,IF(1=$HE27,IF(5=$HL27,IF($JD27=2,30,0),IF(5=$HM27,IF($JD27=1,30,0),ABS(5-$HF27)*100)),100000+ABS(1-$HE27)*1000+50)),IF($HG27=0,999999,IF(1=$HH27,IF(5=$HN27,IF($JE27=2,30,0),IF(5=$HO27,IF($JE27=1,30,0),ABS(5-$HI27)*100)),100000+ABS(1-$HH27)*1000+50)))-IF((5=$HJ27)+(5=$HK27)+(5=$HL27)+(5=$HM27)+(5=$HN27)+(5=$HO27)&gt;=2,50,0))+H$5*50)</f>
        <v/>
      </c>
      <c r="I147">
        <f>IF(OR($JF27=0,calcA!$A$6=0),0,IF(OR(6=$HA27,6=$HD27,6=$HG27),200000,MIN(IF($HA27=0,999999,IF(1=$HB27,IF(6=$HJ27,IF($JC27=2,30,0),IF(6=$HK27,IF($JC27=1,30,0),ABS(6-$HC27)*100)),100000+ABS(1-$HB27)*1000+60)),IF($HD27=0,999999,IF(1=$HE27,IF(6=$HL27,IF($JD27=2,30,0),IF(6=$HM27,IF($JD27=1,30,0),ABS(6-$HF27)*100)),100000+ABS(1-$HE27)*1000+60)),IF($HG27=0,999999,IF(1=$HH27,IF(6=$HN27,IF($JE27=2,30,0),IF(6=$HO27,IF($JE27=1,30,0),ABS(6-$HI27)*100)),100000+ABS(1-$HH27)*1000+60)))-IF((6=$HJ27)+(6=$HK27)+(6=$HL27)+(6=$HM27)+(6=$HN27)+(6=$HO27)&gt;=2,50,0))+I$5*50)</f>
        <v/>
      </c>
      <c r="J147">
        <f>IF(OR($JF27=0,calcA!$A$6=0),0,IF(OR(7=$HA27,7=$HD27,7=$HG27),200000,MIN(IF($HA27=0,999999,IF(1=$HB27,IF(7=$HJ27,IF($JC27=2,30,0),IF(7=$HK27,IF($JC27=1,30,0),ABS(7-$HC27)*100)),100000+ABS(1-$HB27)*1000+70)),IF($HD27=0,999999,IF(1=$HE27,IF(7=$HL27,IF($JD27=2,30,0),IF(7=$HM27,IF($JD27=1,30,0),ABS(7-$HF27)*100)),100000+ABS(1-$HE27)*1000+70)),IF($HG27=0,999999,IF(1=$HH27,IF(7=$HN27,IF($JE27=2,30,0),IF(7=$HO27,IF($JE27=1,30,0),ABS(7-$HI27)*100)),100000+ABS(1-$HH27)*1000+70)))-IF((7=$HJ27)+(7=$HK27)+(7=$HL27)+(7=$HM27)+(7=$HN27)+(7=$HO27)&gt;=2,50,0))+J$5*50)</f>
        <v/>
      </c>
      <c r="K147">
        <f>IF(OR($JF27=0,calcA!$A$6=0),0,IF(OR(8=$HA27,8=$HD27,8=$HG27),200000,MIN(IF($HA27=0,999999,IF(1=$HB27,IF(8=$HJ27,IF($JC27=2,30,0),IF(8=$HK27,IF($JC27=1,30,0),ABS(8-$HC27)*100)),100000+ABS(1-$HB27)*1000+80)),IF($HD27=0,999999,IF(1=$HE27,IF(8=$HL27,IF($JD27=2,30,0),IF(8=$HM27,IF($JD27=1,30,0),ABS(8-$HF27)*100)),100000+ABS(1-$HE27)*1000+80)),IF($HG27=0,999999,IF(1=$HH27,IF(8=$HN27,IF($JE27=2,30,0),IF(8=$HO27,IF($JE27=1,30,0),ABS(8-$HI27)*100)),100000+ABS(1-$HH27)*1000+80)))-IF((8=$HJ27)+(8=$HK27)+(8=$HL27)+(8=$HM27)+(8=$HN27)+(8=$HO27)&gt;=2,50,0))+K$5*50)</f>
        <v/>
      </c>
      <c r="L147">
        <f>IF(OR($JF27=0,calcA!$A$6=0),0,IF(OR(9=$HA27,9=$HD27,9=$HG27),200000,MIN(IF($HA27=0,999999,IF(1=$HB27,IF(9=$HJ27,IF($JC27=2,30,0),IF(9=$HK27,IF($JC27=1,30,0),ABS(9-$HC27)*100)),100000+ABS(1-$HB27)*1000+90)),IF($HD27=0,999999,IF(1=$HE27,IF(9=$HL27,IF($JD27=2,30,0),IF(9=$HM27,IF($JD27=1,30,0),ABS(9-$HF27)*100)),100000+ABS(1-$HE27)*1000+90)),IF($HG27=0,999999,IF(1=$HH27,IF(9=$HN27,IF($JE27=2,30,0),IF(9=$HO27,IF($JE27=1,30,0),ABS(9-$HI27)*100)),100000+ABS(1-$HH27)*1000+90)))-IF((9=$HJ27)+(9=$HK27)+(9=$HL27)+(9=$HM27)+(9=$HN27)+(9=$HO27)&gt;=2,50,0))+L$5*50)</f>
        <v/>
      </c>
      <c r="M147">
        <f>IF(OR($JF27=0,calcA!$A$6=0),0,IF(OR(10=$HA27,10=$HD27,10=$HG27),200000,MIN(IF($HA27=0,999999,IF(1=$HB27,IF(10=$HJ27,IF($JC27=2,30,0),IF(10=$HK27,IF($JC27=1,30,0),ABS(10-$HC27)*100)),100000+ABS(1-$HB27)*1000+100)),IF($HD27=0,999999,IF(1=$HE27,IF(10=$HL27,IF($JD27=2,30,0),IF(10=$HM27,IF($JD27=1,30,0),ABS(10-$HF27)*100)),100000+ABS(1-$HE27)*1000+100)),IF($HG27=0,999999,IF(1=$HH27,IF(10=$HN27,IF($JE27=2,30,0),IF(10=$HO27,IF($JE27=1,30,0),ABS(10-$HI27)*100)),100000+ABS(1-$HH27)*1000+100)))-IF((10=$HJ27)+(10=$HK27)+(10=$HL27)+(10=$HM27)+(10=$HN27)+(10=$HO27)&gt;=2,50,0))+M$5*50)</f>
        <v/>
      </c>
      <c r="N147">
        <f>IF(OR($JF27=0,calcA!$A$6=0),0,IF(OR(11=$HA27,11=$HD27,11=$HG27),200000,MIN(IF($HA27=0,999999,IF(1=$HB27,IF(11=$HJ27,IF($JC27=2,30,0),IF(11=$HK27,IF($JC27=1,30,0),ABS(11-$HC27)*100)),100000+ABS(1-$HB27)*1000+110)),IF($HD27=0,999999,IF(1=$HE27,IF(11=$HL27,IF($JD27=2,30,0),IF(11=$HM27,IF($JD27=1,30,0),ABS(11-$HF27)*100)),100000+ABS(1-$HE27)*1000+110)),IF($HG27=0,999999,IF(1=$HH27,IF(11=$HN27,IF($JE27=2,30,0),IF(11=$HO27,IF($JE27=1,30,0),ABS(11-$HI27)*100)),100000+ABS(1-$HH27)*1000+110)))-IF((11=$HJ27)+(11=$HK27)+(11=$HL27)+(11=$HM27)+(11=$HN27)+(11=$HO27)&gt;=2,50,0))+N$5*50)</f>
        <v/>
      </c>
      <c r="O147">
        <f>IF(OR($JF27=0,calcA!$A$6=0),0,IF(OR(12=$HA27,12=$HD27,12=$HG27),200000,MIN(IF($HA27=0,999999,IF(1=$HB27,IF(12=$HJ27,IF($JC27=2,30,0),IF(12=$HK27,IF($JC27=1,30,0),ABS(12-$HC27)*100)),100000+ABS(1-$HB27)*1000+120)),IF($HD27=0,999999,IF(1=$HE27,IF(12=$HL27,IF($JD27=2,30,0),IF(12=$HM27,IF($JD27=1,30,0),ABS(12-$HF27)*100)),100000+ABS(1-$HE27)*1000+120)),IF($HG27=0,999999,IF(1=$HH27,IF(12=$HN27,IF($JE27=2,30,0),IF(12=$HO27,IF($JE27=1,30,0),ABS(12-$HI27)*100)),100000+ABS(1-$HH27)*1000+120)))-IF((12=$HJ27)+(12=$HK27)+(12=$HL27)+(12=$HM27)+(12=$HN27)+(12=$HO27)&gt;=2,50,0))+O$5*50)</f>
        <v/>
      </c>
      <c r="P147">
        <f>IF(OR($JF27=0,calcA!$A$6=0),0,IF(OR(13=$HA27,13=$HD27,13=$HG27),200000,MIN(IF($HA27=0,999999,IF(1=$HB27,IF(13=$HJ27,IF($JC27=2,30,0),IF(13=$HK27,IF($JC27=1,30,0),ABS(13-$HC27)*100)),100000+ABS(1-$HB27)*1000+130)),IF($HD27=0,999999,IF(1=$HE27,IF(13=$HL27,IF($JD27=2,30,0),IF(13=$HM27,IF($JD27=1,30,0),ABS(13-$HF27)*100)),100000+ABS(1-$HE27)*1000+130)),IF($HG27=0,999999,IF(1=$HH27,IF(13=$HN27,IF($JE27=2,30,0),IF(13=$HO27,IF($JE27=1,30,0),ABS(13-$HI27)*100)),100000+ABS(1-$HH27)*1000+130)))-IF((13=$HJ27)+(13=$HK27)+(13=$HL27)+(13=$HM27)+(13=$HN27)+(13=$HO27)&gt;=2,50,0))+P$5*50)</f>
        <v/>
      </c>
      <c r="Q147">
        <f>IF(OR($JF27=0,calcA!$A$6=0),0,IF(OR(14=$HA27,14=$HD27,14=$HG27),200000,MIN(IF($HA27=0,999999,IF(1=$HB27,IF(14=$HJ27,IF($JC27=2,30,0),IF(14=$HK27,IF($JC27=1,30,0),ABS(14-$HC27)*100)),100000+ABS(1-$HB27)*1000+140)),IF($HD27=0,999999,IF(1=$HE27,IF(14=$HL27,IF($JD27=2,30,0),IF(14=$HM27,IF($JD27=1,30,0),ABS(14-$HF27)*100)),100000+ABS(1-$HE27)*1000+140)),IF($HG27=0,999999,IF(1=$HH27,IF(14=$HN27,IF($JE27=2,30,0),IF(14=$HO27,IF($JE27=1,30,0),ABS(14-$HI27)*100)),100000+ABS(1-$HH27)*1000+140)))-IF((14=$HJ27)+(14=$HK27)+(14=$HL27)+(14=$HM27)+(14=$HN27)+(14=$HO27)&gt;=2,50,0))+Q$5*50)</f>
        <v/>
      </c>
      <c r="R147">
        <f>IF(OR($JF27=0,calcA!$A$6=0),0,IF(OR(15=$HA27,15=$HD27,15=$HG27),200000,MIN(IF($HA27=0,999999,IF(1=$HB27,IF(15=$HJ27,IF($JC27=2,30,0),IF(15=$HK27,IF($JC27=1,30,0),ABS(15-$HC27)*100)),100000+ABS(1-$HB27)*1000+150)),IF($HD27=0,999999,IF(1=$HE27,IF(15=$HL27,IF($JD27=2,30,0),IF(15=$HM27,IF($JD27=1,30,0),ABS(15-$HF27)*100)),100000+ABS(1-$HE27)*1000+150)),IF($HG27=0,999999,IF(1=$HH27,IF(15=$HN27,IF($JE27=2,30,0),IF(15=$HO27,IF($JE27=1,30,0),ABS(15-$HI27)*100)),100000+ABS(1-$HH27)*1000+150)))-IF((15=$HJ27)+(15=$HK27)+(15=$HL27)+(15=$HM27)+(15=$HN27)+(15=$HO27)&gt;=2,50,0))+R$5*50)</f>
        <v/>
      </c>
      <c r="S147">
        <f>IF(OR($JF27=0,calcA!$A$6=0),0,IF(OR(16=$HA27,16=$HD27,16=$HG27),200000,MIN(IF($HA27=0,999999,IF(1=$HB27,IF(16=$HJ27,IF($JC27=2,30,0),IF(16=$HK27,IF($JC27=1,30,0),ABS(16-$HC27)*100)),100000+ABS(1-$HB27)*1000+160)),IF($HD27=0,999999,IF(1=$HE27,IF(16=$HL27,IF($JD27=2,30,0),IF(16=$HM27,IF($JD27=1,30,0),ABS(16-$HF27)*100)),100000+ABS(1-$HE27)*1000+160)),IF($HG27=0,999999,IF(1=$HH27,IF(16=$HN27,IF($JE27=2,30,0),IF(16=$HO27,IF($JE27=1,30,0),ABS(16-$HI27)*100)),100000+ABS(1-$HH27)*1000+160)))-IF((16=$HJ27)+(16=$HK27)+(16=$HL27)+(16=$HM27)+(16=$HN27)+(16=$HO27)&gt;=2,50,0))+S$5*50)</f>
        <v/>
      </c>
      <c r="T147">
        <f>IF(OR($JF27=0,calcA!$A$6=0),0,IF(OR(17=$HA27,17=$HD27,17=$HG27),200000,MIN(IF($HA27=0,999999,IF(1=$HB27,IF(17=$HJ27,IF($JC27=2,30,0),IF(17=$HK27,IF($JC27=1,30,0),ABS(17-$HC27)*100)),100000+ABS(1-$HB27)*1000+170)),IF($HD27=0,999999,IF(1=$HE27,IF(17=$HL27,IF($JD27=2,30,0),IF(17=$HM27,IF($JD27=1,30,0),ABS(17-$HF27)*100)),100000+ABS(1-$HE27)*1000+170)),IF($HG27=0,999999,IF(1=$HH27,IF(17=$HN27,IF($JE27=2,30,0),IF(17=$HO27,IF($JE27=1,30,0),ABS(17-$HI27)*100)),100000+ABS(1-$HH27)*1000+170)))-IF((17=$HJ27)+(17=$HK27)+(17=$HL27)+(17=$HM27)+(17=$HN27)+(17=$HO27)&gt;=2,50,0))+T$5*50)</f>
        <v/>
      </c>
      <c r="U147">
        <f>IF(OR($JF27=0,calcA!$A$6=0),0,IF(OR(18=$HA27,18=$HD27,18=$HG27),200000,MIN(IF($HA27=0,999999,IF(1=$HB27,IF(18=$HJ27,IF($JC27=2,30,0),IF(18=$HK27,IF($JC27=1,30,0),ABS(18-$HC27)*100)),100000+ABS(1-$HB27)*1000+180)),IF($HD27=0,999999,IF(1=$HE27,IF(18=$HL27,IF($JD27=2,30,0),IF(18=$HM27,IF($JD27=1,30,0),ABS(18-$HF27)*100)),100000+ABS(1-$HE27)*1000+180)),IF($HG27=0,999999,IF(1=$HH27,IF(18=$HN27,IF($JE27=2,30,0),IF(18=$HO27,IF($JE27=1,30,0),ABS(18-$HI27)*100)),100000+ABS(1-$HH27)*1000+180)))-IF((18=$HJ27)+(18=$HK27)+(18=$HL27)+(18=$HM27)+(18=$HN27)+(18=$HO27)&gt;=2,50,0))+U$5*50)</f>
        <v/>
      </c>
      <c r="V147">
        <f>IF(OR($JF27=0,calcA!$A$6=0),0,IF(OR(19=$HA27,19=$HD27,19=$HG27),200000,MIN(IF($HA27=0,999999,IF(1=$HB27,IF(19=$HJ27,IF($JC27=2,30,0),IF(19=$HK27,IF($JC27=1,30,0),ABS(19-$HC27)*100)),100000+ABS(1-$HB27)*1000+190)),IF($HD27=0,999999,IF(1=$HE27,IF(19=$HL27,IF($JD27=2,30,0),IF(19=$HM27,IF($JD27=1,30,0),ABS(19-$HF27)*100)),100000+ABS(1-$HE27)*1000+190)),IF($HG27=0,999999,IF(1=$HH27,IF(19=$HN27,IF($JE27=2,30,0),IF(19=$HO27,IF($JE27=1,30,0),ABS(19-$HI27)*100)),100000+ABS(1-$HH27)*1000+190)))-IF((19=$HJ27)+(19=$HK27)+(19=$HL27)+(19=$HM27)+(19=$HN27)+(19=$HO27)&gt;=2,50,0))+V$5*50)</f>
        <v/>
      </c>
      <c r="W147">
        <f>IF(OR($JF27=0,calcA!$A$6=0),0,IF(OR(20=$HA27,20=$HD27,20=$HG27),200000,MIN(IF($HA27=0,999999,IF(1=$HB27,IF(20=$HJ27,IF($JC27=2,30,0),IF(20=$HK27,IF($JC27=1,30,0),ABS(20-$HC27)*100)),100000+ABS(1-$HB27)*1000+200)),IF($HD27=0,999999,IF(1=$HE27,IF(20=$HL27,IF($JD27=2,30,0),IF(20=$HM27,IF($JD27=1,30,0),ABS(20-$HF27)*100)),100000+ABS(1-$HE27)*1000+200)),IF($HG27=0,999999,IF(1=$HH27,IF(20=$HN27,IF($JE27=2,30,0),IF(20=$HO27,IF($JE27=1,30,0),ABS(20-$HI27)*100)),100000+ABS(1-$HH27)*1000+200)))-IF((20=$HJ27)+(20=$HK27)+(20=$HL27)+(20=$HM27)+(20=$HN27)+(20=$HO27)&gt;=2,50,0))+W$5*50)</f>
        <v/>
      </c>
      <c r="X147">
        <f>IF(OR($JF27=0,calcA!$A$6=0),0,IF(OR(21=$HA27,21=$HD27,21=$HG27),200000,MIN(IF($HA27=0,999999,IF(1=$HB27,IF(21=$HJ27,IF($JC27=2,30,0),IF(21=$HK27,IF($JC27=1,30,0),ABS(21-$HC27)*100)),100000+ABS(1-$HB27)*1000+210)),IF($HD27=0,999999,IF(1=$HE27,IF(21=$HL27,IF($JD27=2,30,0),IF(21=$HM27,IF($JD27=1,30,0),ABS(21-$HF27)*100)),100000+ABS(1-$HE27)*1000+210)),IF($HG27=0,999999,IF(1=$HH27,IF(21=$HN27,IF($JE27=2,30,0),IF(21=$HO27,IF($JE27=1,30,0),ABS(21-$HI27)*100)),100000+ABS(1-$HH27)*1000+210)))-IF((21=$HJ27)+(21=$HK27)+(21=$HL27)+(21=$HM27)+(21=$HN27)+(21=$HO27)&gt;=2,50,0))+X$5*50)</f>
        <v/>
      </c>
      <c r="Y147">
        <f>IF(OR($JF27=0,calcA!$A$6=0),0,IF(OR(22=$HA27,22=$HD27,22=$HG27),200000,MIN(IF($HA27=0,999999,IF(1=$HB27,IF(22=$HJ27,IF($JC27=2,30,0),IF(22=$HK27,IF($JC27=1,30,0),ABS(22-$HC27)*100)),100000+ABS(1-$HB27)*1000+220)),IF($HD27=0,999999,IF(1=$HE27,IF(22=$HL27,IF($JD27=2,30,0),IF(22=$HM27,IF($JD27=1,30,0),ABS(22-$HF27)*100)),100000+ABS(1-$HE27)*1000+220)),IF($HG27=0,999999,IF(1=$HH27,IF(22=$HN27,IF($JE27=2,30,0),IF(22=$HO27,IF($JE27=1,30,0),ABS(22-$HI27)*100)),100000+ABS(1-$HH27)*1000+220)))-IF((22=$HJ27)+(22=$HK27)+(22=$HL27)+(22=$HM27)+(22=$HN27)+(22=$HO27)&gt;=2,50,0))+Y$5*50)</f>
        <v/>
      </c>
      <c r="Z147">
        <f>IF(OR($JF27=0,calcA!$A$6=0),0,IF(OR(23=$HA27,23=$HD27,23=$HG27),200000,MIN(IF($HA27=0,999999,IF(1=$HB27,IF(23=$HJ27,IF($JC27=2,30,0),IF(23=$HK27,IF($JC27=1,30,0),ABS(23-$HC27)*100)),100000+ABS(1-$HB27)*1000+230)),IF($HD27=0,999999,IF(1=$HE27,IF(23=$HL27,IF($JD27=2,30,0),IF(23=$HM27,IF($JD27=1,30,0),ABS(23-$HF27)*100)),100000+ABS(1-$HE27)*1000+230)),IF($HG27=0,999999,IF(1=$HH27,IF(23=$HN27,IF($JE27=2,30,0),IF(23=$HO27,IF($JE27=1,30,0),ABS(23-$HI27)*100)),100000+ABS(1-$HH27)*1000+230)))-IF((23=$HJ27)+(23=$HK27)+(23=$HL27)+(23=$HM27)+(23=$HN27)+(23=$HO27)&gt;=2,50,0))+Z$5*50)</f>
        <v/>
      </c>
      <c r="AA147">
        <f>IF(OR($JF27=0,calcA!$A$6=0),0,IF(OR(24=$HA27,24=$HD27,24=$HG27),200000,MIN(IF($HA27=0,999999,IF(1=$HB27,IF(24=$HJ27,IF($JC27=2,30,0),IF(24=$HK27,IF($JC27=1,30,0),ABS(24-$HC27)*100)),100000+ABS(1-$HB27)*1000+240)),IF($HD27=0,999999,IF(1=$HE27,IF(24=$HL27,IF($JD27=2,30,0),IF(24=$HM27,IF($JD27=1,30,0),ABS(24-$HF27)*100)),100000+ABS(1-$HE27)*1000+240)),IF($HG27=0,999999,IF(1=$HH27,IF(24=$HN27,IF($JE27=2,30,0),IF(24=$HO27,IF($JE27=1,30,0),ABS(24-$HI27)*100)),100000+ABS(1-$HH27)*1000+240)))-IF((24=$HJ27)+(24=$HK27)+(24=$HL27)+(24=$HM27)+(24=$HN27)+(24=$HO27)&gt;=2,50,0))+AA$5*50)</f>
        <v/>
      </c>
      <c r="AB147">
        <f>IF(OR($JF27=0,calcA!$A$6=0),0,IF(OR(25=$HA27,25=$HD27,25=$HG27),200000,MIN(IF($HA27=0,999999,IF(2=$HB27,IF(25=$HJ27,IF($JC27=2,30,0),IF(25=$HK27,IF($JC27=1,30,0),ABS(1-$HC27)*100)),100000+ABS(2-$HB27)*1000+10)),IF($HD27=0,999999,IF(2=$HE27,IF(25=$HL27,IF($JD27=2,30,0),IF(25=$HM27,IF($JD27=1,30,0),ABS(1-$HF27)*100)),100000+ABS(2-$HE27)*1000+10)),IF($HG27=0,999999,IF(2=$HH27,IF(25=$HN27,IF($JE27=2,30,0),IF(25=$HO27,IF($JE27=1,30,0),ABS(1-$HI27)*100)),100000+ABS(2-$HH27)*1000+10)))-IF((25=$HJ27)+(25=$HK27)+(25=$HL27)+(25=$HM27)+(25=$HN27)+(25=$HO27)&gt;=2,50,0))+AB$5*50)</f>
        <v/>
      </c>
      <c r="AC147">
        <f>IF(OR($JF27=0,calcA!$A$6=0),0,IF(OR(26=$HA27,26=$HD27,26=$HG27),200000,MIN(IF($HA27=0,999999,IF(2=$HB27,IF(26=$HJ27,IF($JC27=2,30,0),IF(26=$HK27,IF($JC27=1,30,0),ABS(2-$HC27)*100)),100000+ABS(2-$HB27)*1000+20)),IF($HD27=0,999999,IF(2=$HE27,IF(26=$HL27,IF($JD27=2,30,0),IF(26=$HM27,IF($JD27=1,30,0),ABS(2-$HF27)*100)),100000+ABS(2-$HE27)*1000+20)),IF($HG27=0,999999,IF(2=$HH27,IF(26=$HN27,IF($JE27=2,30,0),IF(26=$HO27,IF($JE27=1,30,0),ABS(2-$HI27)*100)),100000+ABS(2-$HH27)*1000+20)))-IF((26=$HJ27)+(26=$HK27)+(26=$HL27)+(26=$HM27)+(26=$HN27)+(26=$HO27)&gt;=2,50,0))+AC$5*50)</f>
        <v/>
      </c>
      <c r="AD147">
        <f>IF(OR($JF27=0,calcA!$A$6=0),0,IF(OR(27=$HA27,27=$HD27,27=$HG27),200000,MIN(IF($HA27=0,999999,IF(2=$HB27,IF(27=$HJ27,IF($JC27=2,30,0),IF(27=$HK27,IF($JC27=1,30,0),ABS(3-$HC27)*100)),100000+ABS(2-$HB27)*1000+30)),IF($HD27=0,999999,IF(2=$HE27,IF(27=$HL27,IF($JD27=2,30,0),IF(27=$HM27,IF($JD27=1,30,0),ABS(3-$HF27)*100)),100000+ABS(2-$HE27)*1000+30)),IF($HG27=0,999999,IF(2=$HH27,IF(27=$HN27,IF($JE27=2,30,0),IF(27=$HO27,IF($JE27=1,30,0),ABS(3-$HI27)*100)),100000+ABS(2-$HH27)*1000+30)))-IF((27=$HJ27)+(27=$HK27)+(27=$HL27)+(27=$HM27)+(27=$HN27)+(27=$HO27)&gt;=2,50,0))+AD$5*50)</f>
        <v/>
      </c>
      <c r="AE147">
        <f>IF(OR($JF27=0,calcA!$A$6=0),0,IF(OR(28=$HA27,28=$HD27,28=$HG27),200000,MIN(IF($HA27=0,999999,IF(2=$HB27,IF(28=$HJ27,IF($JC27=2,30,0),IF(28=$HK27,IF($JC27=1,30,0),ABS(4-$HC27)*100)),100000+ABS(2-$HB27)*1000+40)),IF($HD27=0,999999,IF(2=$HE27,IF(28=$HL27,IF($JD27=2,30,0),IF(28=$HM27,IF($JD27=1,30,0),ABS(4-$HF27)*100)),100000+ABS(2-$HE27)*1000+40)),IF($HG27=0,999999,IF(2=$HH27,IF(28=$HN27,IF($JE27=2,30,0),IF(28=$HO27,IF($JE27=1,30,0),ABS(4-$HI27)*100)),100000+ABS(2-$HH27)*1000+40)))-IF((28=$HJ27)+(28=$HK27)+(28=$HL27)+(28=$HM27)+(28=$HN27)+(28=$HO27)&gt;=2,50,0))+AE$5*50)</f>
        <v/>
      </c>
      <c r="AF147">
        <f>IF(OR($JF27=0,calcA!$A$6=0),0,IF(OR(29=$HA27,29=$HD27,29=$HG27),200000,MIN(IF($HA27=0,999999,IF(2=$HB27,IF(29=$HJ27,IF($JC27=2,30,0),IF(29=$HK27,IF($JC27=1,30,0),ABS(5-$HC27)*100)),100000+ABS(2-$HB27)*1000+50)),IF($HD27=0,999999,IF(2=$HE27,IF(29=$HL27,IF($JD27=2,30,0),IF(29=$HM27,IF($JD27=1,30,0),ABS(5-$HF27)*100)),100000+ABS(2-$HE27)*1000+50)),IF($HG27=0,999999,IF(2=$HH27,IF(29=$HN27,IF($JE27=2,30,0),IF(29=$HO27,IF($JE27=1,30,0),ABS(5-$HI27)*100)),100000+ABS(2-$HH27)*1000+50)))-IF((29=$HJ27)+(29=$HK27)+(29=$HL27)+(29=$HM27)+(29=$HN27)+(29=$HO27)&gt;=2,50,0))+AF$5*50)</f>
        <v/>
      </c>
      <c r="AG147">
        <f>IF(OR($JF27=0,calcA!$A$6=0),0,IF(OR(30=$HA27,30=$HD27,30=$HG27),200000,MIN(IF($HA27=0,999999,IF(2=$HB27,IF(30=$HJ27,IF($JC27=2,30,0),IF(30=$HK27,IF($JC27=1,30,0),ABS(6-$HC27)*100)),100000+ABS(2-$HB27)*1000+60)),IF($HD27=0,999999,IF(2=$HE27,IF(30=$HL27,IF($JD27=2,30,0),IF(30=$HM27,IF($JD27=1,30,0),ABS(6-$HF27)*100)),100000+ABS(2-$HE27)*1000+60)),IF($HG27=0,999999,IF(2=$HH27,IF(30=$HN27,IF($JE27=2,30,0),IF(30=$HO27,IF($JE27=1,30,0),ABS(6-$HI27)*100)),100000+ABS(2-$HH27)*1000+60)))-IF((30=$HJ27)+(30=$HK27)+(30=$HL27)+(30=$HM27)+(30=$HN27)+(30=$HO27)&gt;=2,50,0))+AG$5*50)</f>
        <v/>
      </c>
      <c r="AH147">
        <f>IF(OR($JF27=0,calcA!$A$6=0),0,IF(OR(31=$HA27,31=$HD27,31=$HG27),200000,MIN(IF($HA27=0,999999,IF(2=$HB27,IF(31=$HJ27,IF($JC27=2,30,0),IF(31=$HK27,IF($JC27=1,30,0),ABS(7-$HC27)*100)),100000+ABS(2-$HB27)*1000+70)),IF($HD27=0,999999,IF(2=$HE27,IF(31=$HL27,IF($JD27=2,30,0),IF(31=$HM27,IF($JD27=1,30,0),ABS(7-$HF27)*100)),100000+ABS(2-$HE27)*1000+70)),IF($HG27=0,999999,IF(2=$HH27,IF(31=$HN27,IF($JE27=2,30,0),IF(31=$HO27,IF($JE27=1,30,0),ABS(7-$HI27)*100)),100000+ABS(2-$HH27)*1000+70)))-IF((31=$HJ27)+(31=$HK27)+(31=$HL27)+(31=$HM27)+(31=$HN27)+(31=$HO27)&gt;=2,50,0))+AH$5*50)</f>
        <v/>
      </c>
      <c r="AI147">
        <f>IF(OR($JF27=0,calcA!$A$6=0),0,IF(OR(32=$HA27,32=$HD27,32=$HG27),200000,MIN(IF($HA27=0,999999,IF(2=$HB27,IF(32=$HJ27,IF($JC27=2,30,0),IF(32=$HK27,IF($JC27=1,30,0),ABS(8-$HC27)*100)),100000+ABS(2-$HB27)*1000+80)),IF($HD27=0,999999,IF(2=$HE27,IF(32=$HL27,IF($JD27=2,30,0),IF(32=$HM27,IF($JD27=1,30,0),ABS(8-$HF27)*100)),100000+ABS(2-$HE27)*1000+80)),IF($HG27=0,999999,IF(2=$HH27,IF(32=$HN27,IF($JE27=2,30,0),IF(32=$HO27,IF($JE27=1,30,0),ABS(8-$HI27)*100)),100000+ABS(2-$HH27)*1000+80)))-IF((32=$HJ27)+(32=$HK27)+(32=$HL27)+(32=$HM27)+(32=$HN27)+(32=$HO27)&gt;=2,50,0))+AI$5*50)</f>
        <v/>
      </c>
      <c r="AJ147">
        <f>IF(OR($JF27=0,calcA!$A$6=0),0,IF(OR(33=$HA27,33=$HD27,33=$HG27),200000,MIN(IF($HA27=0,999999,IF(2=$HB27,IF(33=$HJ27,IF($JC27=2,30,0),IF(33=$HK27,IF($JC27=1,30,0),ABS(9-$HC27)*100)),100000+ABS(2-$HB27)*1000+90)),IF($HD27=0,999999,IF(2=$HE27,IF(33=$HL27,IF($JD27=2,30,0),IF(33=$HM27,IF($JD27=1,30,0),ABS(9-$HF27)*100)),100000+ABS(2-$HE27)*1000+90)),IF($HG27=0,999999,IF(2=$HH27,IF(33=$HN27,IF($JE27=2,30,0),IF(33=$HO27,IF($JE27=1,30,0),ABS(9-$HI27)*100)),100000+ABS(2-$HH27)*1000+90)))-IF((33=$HJ27)+(33=$HK27)+(33=$HL27)+(33=$HM27)+(33=$HN27)+(33=$HO27)&gt;=2,50,0))+AJ$5*50)</f>
        <v/>
      </c>
      <c r="AK147">
        <f>IF(OR($JF27=0,calcA!$A$6=0),0,IF(OR(34=$HA27,34=$HD27,34=$HG27),200000,MIN(IF($HA27=0,999999,IF(2=$HB27,IF(34=$HJ27,IF($JC27=2,30,0),IF(34=$HK27,IF($JC27=1,30,0),ABS(10-$HC27)*100)),100000+ABS(2-$HB27)*1000+100)),IF($HD27=0,999999,IF(2=$HE27,IF(34=$HL27,IF($JD27=2,30,0),IF(34=$HM27,IF($JD27=1,30,0),ABS(10-$HF27)*100)),100000+ABS(2-$HE27)*1000+100)),IF($HG27=0,999999,IF(2=$HH27,IF(34=$HN27,IF($JE27=2,30,0),IF(34=$HO27,IF($JE27=1,30,0),ABS(10-$HI27)*100)),100000+ABS(2-$HH27)*1000+100)))-IF((34=$HJ27)+(34=$HK27)+(34=$HL27)+(34=$HM27)+(34=$HN27)+(34=$HO27)&gt;=2,50,0))+AK$5*50)</f>
        <v/>
      </c>
      <c r="AL147">
        <f>IF(OR($JF27=0,calcA!$A$6=0),0,IF(OR(35=$HA27,35=$HD27,35=$HG27),200000,MIN(IF($HA27=0,999999,IF(2=$HB27,IF(35=$HJ27,IF($JC27=2,30,0),IF(35=$HK27,IF($JC27=1,30,0),ABS(11-$HC27)*100)),100000+ABS(2-$HB27)*1000+110)),IF($HD27=0,999999,IF(2=$HE27,IF(35=$HL27,IF($JD27=2,30,0),IF(35=$HM27,IF($JD27=1,30,0),ABS(11-$HF27)*100)),100000+ABS(2-$HE27)*1000+110)),IF($HG27=0,999999,IF(2=$HH27,IF(35=$HN27,IF($JE27=2,30,0),IF(35=$HO27,IF($JE27=1,30,0),ABS(11-$HI27)*100)),100000+ABS(2-$HH27)*1000+110)))-IF((35=$HJ27)+(35=$HK27)+(35=$HL27)+(35=$HM27)+(35=$HN27)+(35=$HO27)&gt;=2,50,0))+AL$5*50)</f>
        <v/>
      </c>
      <c r="AM147">
        <f>IF(OR($JF27=0,calcA!$A$6=0),0,IF(OR(36=$HA27,36=$HD27,36=$HG27),200000,MIN(IF($HA27=0,999999,IF(2=$HB27,IF(36=$HJ27,IF($JC27=2,30,0),IF(36=$HK27,IF($JC27=1,30,0),ABS(12-$HC27)*100)),100000+ABS(2-$HB27)*1000+120)),IF($HD27=0,999999,IF(2=$HE27,IF(36=$HL27,IF($JD27=2,30,0),IF(36=$HM27,IF($JD27=1,30,0),ABS(12-$HF27)*100)),100000+ABS(2-$HE27)*1000+120)),IF($HG27=0,999999,IF(2=$HH27,IF(36=$HN27,IF($JE27=2,30,0),IF(36=$HO27,IF($JE27=1,30,0),ABS(12-$HI27)*100)),100000+ABS(2-$HH27)*1000+120)))-IF((36=$HJ27)+(36=$HK27)+(36=$HL27)+(36=$HM27)+(36=$HN27)+(36=$HO27)&gt;=2,50,0))+AM$5*50)</f>
        <v/>
      </c>
      <c r="AN147">
        <f>IF(OR($JF27=0,calcA!$A$6=0),0,IF(OR(37=$HA27,37=$HD27,37=$HG27),200000,MIN(IF($HA27=0,999999,IF(2=$HB27,IF(37=$HJ27,IF($JC27=2,30,0),IF(37=$HK27,IF($JC27=1,30,0),ABS(13-$HC27)*100)),100000+ABS(2-$HB27)*1000+130)),IF($HD27=0,999999,IF(2=$HE27,IF(37=$HL27,IF($JD27=2,30,0),IF(37=$HM27,IF($JD27=1,30,0),ABS(13-$HF27)*100)),100000+ABS(2-$HE27)*1000+130)),IF($HG27=0,999999,IF(2=$HH27,IF(37=$HN27,IF($JE27=2,30,0),IF(37=$HO27,IF($JE27=1,30,0),ABS(13-$HI27)*100)),100000+ABS(2-$HH27)*1000+130)))-IF((37=$HJ27)+(37=$HK27)+(37=$HL27)+(37=$HM27)+(37=$HN27)+(37=$HO27)&gt;=2,50,0))+AN$5*50)</f>
        <v/>
      </c>
      <c r="AO147">
        <f>IF(OR($JF27=0,calcA!$A$6=0),0,IF(OR(38=$HA27,38=$HD27,38=$HG27),200000,MIN(IF($HA27=0,999999,IF(2=$HB27,IF(38=$HJ27,IF($JC27=2,30,0),IF(38=$HK27,IF($JC27=1,30,0),ABS(14-$HC27)*100)),100000+ABS(2-$HB27)*1000+140)),IF($HD27=0,999999,IF(2=$HE27,IF(38=$HL27,IF($JD27=2,30,0),IF(38=$HM27,IF($JD27=1,30,0),ABS(14-$HF27)*100)),100000+ABS(2-$HE27)*1000+140)),IF($HG27=0,999999,IF(2=$HH27,IF(38=$HN27,IF($JE27=2,30,0),IF(38=$HO27,IF($JE27=1,30,0),ABS(14-$HI27)*100)),100000+ABS(2-$HH27)*1000+140)))-IF((38=$HJ27)+(38=$HK27)+(38=$HL27)+(38=$HM27)+(38=$HN27)+(38=$HO27)&gt;=2,50,0))+AO$5*50)</f>
        <v/>
      </c>
      <c r="AP147">
        <f>IF(OR($JF27=0,calcA!$A$6=0),0,IF(OR(39=$HA27,39=$HD27,39=$HG27),200000,MIN(IF($HA27=0,999999,IF(2=$HB27,IF(39=$HJ27,IF($JC27=2,30,0),IF(39=$HK27,IF($JC27=1,30,0),ABS(15-$HC27)*100)),100000+ABS(2-$HB27)*1000+150)),IF($HD27=0,999999,IF(2=$HE27,IF(39=$HL27,IF($JD27=2,30,0),IF(39=$HM27,IF($JD27=1,30,0),ABS(15-$HF27)*100)),100000+ABS(2-$HE27)*1000+150)),IF($HG27=0,999999,IF(2=$HH27,IF(39=$HN27,IF($JE27=2,30,0),IF(39=$HO27,IF($JE27=1,30,0),ABS(15-$HI27)*100)),100000+ABS(2-$HH27)*1000+150)))-IF((39=$HJ27)+(39=$HK27)+(39=$HL27)+(39=$HM27)+(39=$HN27)+(39=$HO27)&gt;=2,50,0))+AP$5*50)</f>
        <v/>
      </c>
      <c r="AQ147">
        <f>IF(OR($JF27=0,calcA!$A$6=0),0,IF(OR(40=$HA27,40=$HD27,40=$HG27),200000,MIN(IF($HA27=0,999999,IF(2=$HB27,IF(40=$HJ27,IF($JC27=2,30,0),IF(40=$HK27,IF($JC27=1,30,0),ABS(16-$HC27)*100)),100000+ABS(2-$HB27)*1000+160)),IF($HD27=0,999999,IF(2=$HE27,IF(40=$HL27,IF($JD27=2,30,0),IF(40=$HM27,IF($JD27=1,30,0),ABS(16-$HF27)*100)),100000+ABS(2-$HE27)*1000+160)),IF($HG27=0,999999,IF(2=$HH27,IF(40=$HN27,IF($JE27=2,30,0),IF(40=$HO27,IF($JE27=1,30,0),ABS(16-$HI27)*100)),100000+ABS(2-$HH27)*1000+160)))-IF((40=$HJ27)+(40=$HK27)+(40=$HL27)+(40=$HM27)+(40=$HN27)+(40=$HO27)&gt;=2,50,0))+AQ$5*50)</f>
        <v/>
      </c>
      <c r="AR147">
        <f>IF(OR($JF27=0,calcA!$A$6=0),0,IF(OR(41=$HA27,41=$HD27,41=$HG27),200000,MIN(IF($HA27=0,999999,IF(2=$HB27,IF(41=$HJ27,IF($JC27=2,30,0),IF(41=$HK27,IF($JC27=1,30,0),ABS(17-$HC27)*100)),100000+ABS(2-$HB27)*1000+170)),IF($HD27=0,999999,IF(2=$HE27,IF(41=$HL27,IF($JD27=2,30,0),IF(41=$HM27,IF($JD27=1,30,0),ABS(17-$HF27)*100)),100000+ABS(2-$HE27)*1000+170)),IF($HG27=0,999999,IF(2=$HH27,IF(41=$HN27,IF($JE27=2,30,0),IF(41=$HO27,IF($JE27=1,30,0),ABS(17-$HI27)*100)),100000+ABS(2-$HH27)*1000+170)))-IF((41=$HJ27)+(41=$HK27)+(41=$HL27)+(41=$HM27)+(41=$HN27)+(41=$HO27)&gt;=2,50,0))+AR$5*50)</f>
        <v/>
      </c>
      <c r="AS147">
        <f>IF(OR($JF27=0,calcA!$A$6=0),0,IF(OR(42=$HA27,42=$HD27,42=$HG27),200000,MIN(IF($HA27=0,999999,IF(2=$HB27,IF(42=$HJ27,IF($JC27=2,30,0),IF(42=$HK27,IF($JC27=1,30,0),ABS(18-$HC27)*100)),100000+ABS(2-$HB27)*1000+180)),IF($HD27=0,999999,IF(2=$HE27,IF(42=$HL27,IF($JD27=2,30,0),IF(42=$HM27,IF($JD27=1,30,0),ABS(18-$HF27)*100)),100000+ABS(2-$HE27)*1000+180)),IF($HG27=0,999999,IF(2=$HH27,IF(42=$HN27,IF($JE27=2,30,0),IF(42=$HO27,IF($JE27=1,30,0),ABS(18-$HI27)*100)),100000+ABS(2-$HH27)*1000+180)))-IF((42=$HJ27)+(42=$HK27)+(42=$HL27)+(42=$HM27)+(42=$HN27)+(42=$HO27)&gt;=2,50,0))+AS$5*50)</f>
        <v/>
      </c>
      <c r="AT147">
        <f>IF(OR($JF27=0,calcA!$A$6=0),0,IF(OR(43=$HA27,43=$HD27,43=$HG27),200000,MIN(IF($HA27=0,999999,IF(2=$HB27,IF(43=$HJ27,IF($JC27=2,30,0),IF(43=$HK27,IF($JC27=1,30,0),ABS(19-$HC27)*100)),100000+ABS(2-$HB27)*1000+190)),IF($HD27=0,999999,IF(2=$HE27,IF(43=$HL27,IF($JD27=2,30,0),IF(43=$HM27,IF($JD27=1,30,0),ABS(19-$HF27)*100)),100000+ABS(2-$HE27)*1000+190)),IF($HG27=0,999999,IF(2=$HH27,IF(43=$HN27,IF($JE27=2,30,0),IF(43=$HO27,IF($JE27=1,30,0),ABS(19-$HI27)*100)),100000+ABS(2-$HH27)*1000+190)))-IF((43=$HJ27)+(43=$HK27)+(43=$HL27)+(43=$HM27)+(43=$HN27)+(43=$HO27)&gt;=2,50,0))+AT$5*50)</f>
        <v/>
      </c>
      <c r="AU147">
        <f>IF(OR($JF27=0,calcA!$A$6=0),0,IF(OR(44=$HA27,44=$HD27,44=$HG27),200000,MIN(IF($HA27=0,999999,IF(2=$HB27,IF(44=$HJ27,IF($JC27=2,30,0),IF(44=$HK27,IF($JC27=1,30,0),ABS(20-$HC27)*100)),100000+ABS(2-$HB27)*1000+200)),IF($HD27=0,999999,IF(2=$HE27,IF(44=$HL27,IF($JD27=2,30,0),IF(44=$HM27,IF($JD27=1,30,0),ABS(20-$HF27)*100)),100000+ABS(2-$HE27)*1000+200)),IF($HG27=0,999999,IF(2=$HH27,IF(44=$HN27,IF($JE27=2,30,0),IF(44=$HO27,IF($JE27=1,30,0),ABS(20-$HI27)*100)),100000+ABS(2-$HH27)*1000+200)))-IF((44=$HJ27)+(44=$HK27)+(44=$HL27)+(44=$HM27)+(44=$HN27)+(44=$HO27)&gt;=2,50,0))+AU$5*50)</f>
        <v/>
      </c>
      <c r="AV147">
        <f>IF(OR($JF27=0,calcA!$A$6=0),0,IF(OR(45=$HA27,45=$HD27,45=$HG27),200000,MIN(IF($HA27=0,999999,IF(2=$HB27,IF(45=$HJ27,IF($JC27=2,30,0),IF(45=$HK27,IF($JC27=1,30,0),ABS(21-$HC27)*100)),100000+ABS(2-$HB27)*1000+210)),IF($HD27=0,999999,IF(2=$HE27,IF(45=$HL27,IF($JD27=2,30,0),IF(45=$HM27,IF($JD27=1,30,0),ABS(21-$HF27)*100)),100000+ABS(2-$HE27)*1000+210)),IF($HG27=0,999999,IF(2=$HH27,IF(45=$HN27,IF($JE27=2,30,0),IF(45=$HO27,IF($JE27=1,30,0),ABS(21-$HI27)*100)),100000+ABS(2-$HH27)*1000+210)))-IF((45=$HJ27)+(45=$HK27)+(45=$HL27)+(45=$HM27)+(45=$HN27)+(45=$HO27)&gt;=2,50,0))+AV$5*50)</f>
        <v/>
      </c>
      <c r="AW147">
        <f>IF(OR($JF27=0,calcA!$A$6=0),0,IF(OR(46=$HA27,46=$HD27,46=$HG27),200000,MIN(IF($HA27=0,999999,IF(2=$HB27,IF(46=$HJ27,IF($JC27=2,30,0),IF(46=$HK27,IF($JC27=1,30,0),ABS(22-$HC27)*100)),100000+ABS(2-$HB27)*1000+220)),IF($HD27=0,999999,IF(2=$HE27,IF(46=$HL27,IF($JD27=2,30,0),IF(46=$HM27,IF($JD27=1,30,0),ABS(22-$HF27)*100)),100000+ABS(2-$HE27)*1000+220)),IF($HG27=0,999999,IF(2=$HH27,IF(46=$HN27,IF($JE27=2,30,0),IF(46=$HO27,IF($JE27=1,30,0),ABS(22-$HI27)*100)),100000+ABS(2-$HH27)*1000+220)))-IF((46=$HJ27)+(46=$HK27)+(46=$HL27)+(46=$HM27)+(46=$HN27)+(46=$HO27)&gt;=2,50,0))+AW$5*50)</f>
        <v/>
      </c>
      <c r="AX147">
        <f>IF(OR($JF27=0,calcA!$A$6=0),0,IF(OR(47=$HA27,47=$HD27,47=$HG27),200000,MIN(IF($HA27=0,999999,IF(2=$HB27,IF(47=$HJ27,IF($JC27=2,30,0),IF(47=$HK27,IF($JC27=1,30,0),ABS(23-$HC27)*100)),100000+ABS(2-$HB27)*1000+230)),IF($HD27=0,999999,IF(2=$HE27,IF(47=$HL27,IF($JD27=2,30,0),IF(47=$HM27,IF($JD27=1,30,0),ABS(23-$HF27)*100)),100000+ABS(2-$HE27)*1000+230)),IF($HG27=0,999999,IF(2=$HH27,IF(47=$HN27,IF($JE27=2,30,0),IF(47=$HO27,IF($JE27=1,30,0),ABS(23-$HI27)*100)),100000+ABS(2-$HH27)*1000+230)))-IF((47=$HJ27)+(47=$HK27)+(47=$HL27)+(47=$HM27)+(47=$HN27)+(47=$HO27)&gt;=2,50,0))+AX$5*50)</f>
        <v/>
      </c>
      <c r="AY147">
        <f>IF(OR($JF27=0,calcA!$A$6=0),0,IF(OR(48=$HA27,48=$HD27,48=$HG27),200000,MIN(IF($HA27=0,999999,IF(2=$HB27,IF(48=$HJ27,IF($JC27=2,30,0),IF(48=$HK27,IF($JC27=1,30,0),ABS(24-$HC27)*100)),100000+ABS(2-$HB27)*1000+240)),IF($HD27=0,999999,IF(2=$HE27,IF(48=$HL27,IF($JD27=2,30,0),IF(48=$HM27,IF($JD27=1,30,0),ABS(24-$HF27)*100)),100000+ABS(2-$HE27)*1000+240)),IF($HG27=0,999999,IF(2=$HH27,IF(48=$HN27,IF($JE27=2,30,0),IF(48=$HO27,IF($JE27=1,30,0),ABS(24-$HI27)*100)),100000+ABS(2-$HH27)*1000+240)))-IF((48=$HJ27)+(48=$HK27)+(48=$HL27)+(48=$HM27)+(48=$HN27)+(48=$HO27)&gt;=2,50,0))+AY$5*50)</f>
        <v/>
      </c>
      <c r="AZ147">
        <f>IF(OR($JF27=0,calcA!$A$6=0),0,IF(OR(49=$HA27,49=$HD27,49=$HG27),200000,MIN(IF($HA27=0,999999,IF(3=$HB27,IF(49=$HJ27,IF($JC27=2,30,0),IF(49=$HK27,IF($JC27=1,30,0),ABS(1-$HC27)*100)),100000+ABS(3-$HB27)*1000+10)),IF($HD27=0,999999,IF(3=$HE27,IF(49=$HL27,IF($JD27=2,30,0),IF(49=$HM27,IF($JD27=1,30,0),ABS(1-$HF27)*100)),100000+ABS(3-$HE27)*1000+10)),IF($HG27=0,999999,IF(3=$HH27,IF(49=$HN27,IF($JE27=2,30,0),IF(49=$HO27,IF($JE27=1,30,0),ABS(1-$HI27)*100)),100000+ABS(3-$HH27)*1000+10)))-IF((49=$HJ27)+(49=$HK27)+(49=$HL27)+(49=$HM27)+(49=$HN27)+(49=$HO27)&gt;=2,50,0))+AZ$5*50)</f>
        <v/>
      </c>
      <c r="BA147">
        <f>IF(OR($JF27=0,calcA!$A$6=0),0,IF(OR(50=$HA27,50=$HD27,50=$HG27),200000,MIN(IF($HA27=0,999999,IF(3=$HB27,IF(50=$HJ27,IF($JC27=2,30,0),IF(50=$HK27,IF($JC27=1,30,0),ABS(2-$HC27)*100)),100000+ABS(3-$HB27)*1000+20)),IF($HD27=0,999999,IF(3=$HE27,IF(50=$HL27,IF($JD27=2,30,0),IF(50=$HM27,IF($JD27=1,30,0),ABS(2-$HF27)*100)),100000+ABS(3-$HE27)*1000+20)),IF($HG27=0,999999,IF(3=$HH27,IF(50=$HN27,IF($JE27=2,30,0),IF(50=$HO27,IF($JE27=1,30,0),ABS(2-$HI27)*100)),100000+ABS(3-$HH27)*1000+20)))-IF((50=$HJ27)+(50=$HK27)+(50=$HL27)+(50=$HM27)+(50=$HN27)+(50=$HO27)&gt;=2,50,0))+BA$5*50)</f>
        <v/>
      </c>
      <c r="BB147">
        <f>IF(OR($JF27=0,calcA!$A$6=0),0,IF(OR(51=$HA27,51=$HD27,51=$HG27),200000,MIN(IF($HA27=0,999999,IF(3=$HB27,IF(51=$HJ27,IF($JC27=2,30,0),IF(51=$HK27,IF($JC27=1,30,0),ABS(3-$HC27)*100)),100000+ABS(3-$HB27)*1000+30)),IF($HD27=0,999999,IF(3=$HE27,IF(51=$HL27,IF($JD27=2,30,0),IF(51=$HM27,IF($JD27=1,30,0),ABS(3-$HF27)*100)),100000+ABS(3-$HE27)*1000+30)),IF($HG27=0,999999,IF(3=$HH27,IF(51=$HN27,IF($JE27=2,30,0),IF(51=$HO27,IF($JE27=1,30,0),ABS(3-$HI27)*100)),100000+ABS(3-$HH27)*1000+30)))-IF((51=$HJ27)+(51=$HK27)+(51=$HL27)+(51=$HM27)+(51=$HN27)+(51=$HO27)&gt;=2,50,0))+BB$5*50)</f>
        <v/>
      </c>
      <c r="BC147">
        <f>IF(OR($JF27=0,calcA!$A$6=0),0,IF(OR(52=$HA27,52=$HD27,52=$HG27),200000,MIN(IF($HA27=0,999999,IF(3=$HB27,IF(52=$HJ27,IF($JC27=2,30,0),IF(52=$HK27,IF($JC27=1,30,0),ABS(4-$HC27)*100)),100000+ABS(3-$HB27)*1000+40)),IF($HD27=0,999999,IF(3=$HE27,IF(52=$HL27,IF($JD27=2,30,0),IF(52=$HM27,IF($JD27=1,30,0),ABS(4-$HF27)*100)),100000+ABS(3-$HE27)*1000+40)),IF($HG27=0,999999,IF(3=$HH27,IF(52=$HN27,IF($JE27=2,30,0),IF(52=$HO27,IF($JE27=1,30,0),ABS(4-$HI27)*100)),100000+ABS(3-$HH27)*1000+40)))-IF((52=$HJ27)+(52=$HK27)+(52=$HL27)+(52=$HM27)+(52=$HN27)+(52=$HO27)&gt;=2,50,0))+BC$5*50)</f>
        <v/>
      </c>
      <c r="BD147">
        <f>IF(OR($JF27=0,calcA!$A$6=0),0,IF(OR(53=$HA27,53=$HD27,53=$HG27),200000,MIN(IF($HA27=0,999999,IF(3=$HB27,IF(53=$HJ27,IF($JC27=2,30,0),IF(53=$HK27,IF($JC27=1,30,0),ABS(5-$HC27)*100)),100000+ABS(3-$HB27)*1000+50)),IF($HD27=0,999999,IF(3=$HE27,IF(53=$HL27,IF($JD27=2,30,0),IF(53=$HM27,IF($JD27=1,30,0),ABS(5-$HF27)*100)),100000+ABS(3-$HE27)*1000+50)),IF($HG27=0,999999,IF(3=$HH27,IF(53=$HN27,IF($JE27=2,30,0),IF(53=$HO27,IF($JE27=1,30,0),ABS(5-$HI27)*100)),100000+ABS(3-$HH27)*1000+50)))-IF((53=$HJ27)+(53=$HK27)+(53=$HL27)+(53=$HM27)+(53=$HN27)+(53=$HO27)&gt;=2,50,0))+BD$5*50)</f>
        <v/>
      </c>
      <c r="BE147">
        <f>IF(OR($JF27=0,calcA!$A$6=0),0,IF(OR(54=$HA27,54=$HD27,54=$HG27),200000,MIN(IF($HA27=0,999999,IF(3=$HB27,IF(54=$HJ27,IF($JC27=2,30,0),IF(54=$HK27,IF($JC27=1,30,0),ABS(6-$HC27)*100)),100000+ABS(3-$HB27)*1000+60)),IF($HD27=0,999999,IF(3=$HE27,IF(54=$HL27,IF($JD27=2,30,0),IF(54=$HM27,IF($JD27=1,30,0),ABS(6-$HF27)*100)),100000+ABS(3-$HE27)*1000+60)),IF($HG27=0,999999,IF(3=$HH27,IF(54=$HN27,IF($JE27=2,30,0),IF(54=$HO27,IF($JE27=1,30,0),ABS(6-$HI27)*100)),100000+ABS(3-$HH27)*1000+60)))-IF((54=$HJ27)+(54=$HK27)+(54=$HL27)+(54=$HM27)+(54=$HN27)+(54=$HO27)&gt;=2,50,0))+BE$5*50)</f>
        <v/>
      </c>
      <c r="BF147">
        <f>IF(OR($JF27=0,calcA!$A$6=0),0,IF(OR(55=$HA27,55=$HD27,55=$HG27),200000,MIN(IF($HA27=0,999999,IF(3=$HB27,IF(55=$HJ27,IF($JC27=2,30,0),IF(55=$HK27,IF($JC27=1,30,0),ABS(7-$HC27)*100)),100000+ABS(3-$HB27)*1000+70)),IF($HD27=0,999999,IF(3=$HE27,IF(55=$HL27,IF($JD27=2,30,0),IF(55=$HM27,IF($JD27=1,30,0),ABS(7-$HF27)*100)),100000+ABS(3-$HE27)*1000+70)),IF($HG27=0,999999,IF(3=$HH27,IF(55=$HN27,IF($JE27=2,30,0),IF(55=$HO27,IF($JE27=1,30,0),ABS(7-$HI27)*100)),100000+ABS(3-$HH27)*1000+70)))-IF((55=$HJ27)+(55=$HK27)+(55=$HL27)+(55=$HM27)+(55=$HN27)+(55=$HO27)&gt;=2,50,0))+BF$5*50)</f>
        <v/>
      </c>
      <c r="BG147">
        <f>IF(OR($JF27=0,calcA!$A$6=0),0,IF(OR(56=$HA27,56=$HD27,56=$HG27),200000,MIN(IF($HA27=0,999999,IF(3=$HB27,IF(56=$HJ27,IF($JC27=2,30,0),IF(56=$HK27,IF($JC27=1,30,0),ABS(8-$HC27)*100)),100000+ABS(3-$HB27)*1000+80)),IF($HD27=0,999999,IF(3=$HE27,IF(56=$HL27,IF($JD27=2,30,0),IF(56=$HM27,IF($JD27=1,30,0),ABS(8-$HF27)*100)),100000+ABS(3-$HE27)*1000+80)),IF($HG27=0,999999,IF(3=$HH27,IF(56=$HN27,IF($JE27=2,30,0),IF(56=$HO27,IF($JE27=1,30,0),ABS(8-$HI27)*100)),100000+ABS(3-$HH27)*1000+80)))-IF((56=$HJ27)+(56=$HK27)+(56=$HL27)+(56=$HM27)+(56=$HN27)+(56=$HO27)&gt;=2,50,0))+BG$5*50)</f>
        <v/>
      </c>
      <c r="BH147">
        <f>IF(OR($JF27=0,calcA!$A$6=0),0,IF(OR(57=$HA27,57=$HD27,57=$HG27),200000,MIN(IF($HA27=0,999999,IF(3=$HB27,IF(57=$HJ27,IF($JC27=2,30,0),IF(57=$HK27,IF($JC27=1,30,0),ABS(9-$HC27)*100)),100000+ABS(3-$HB27)*1000+90)),IF($HD27=0,999999,IF(3=$HE27,IF(57=$HL27,IF($JD27=2,30,0),IF(57=$HM27,IF($JD27=1,30,0),ABS(9-$HF27)*100)),100000+ABS(3-$HE27)*1000+90)),IF($HG27=0,999999,IF(3=$HH27,IF(57=$HN27,IF($JE27=2,30,0),IF(57=$HO27,IF($JE27=1,30,0),ABS(9-$HI27)*100)),100000+ABS(3-$HH27)*1000+90)))-IF((57=$HJ27)+(57=$HK27)+(57=$HL27)+(57=$HM27)+(57=$HN27)+(57=$HO27)&gt;=2,50,0))+BH$5*50)</f>
        <v/>
      </c>
      <c r="BI147">
        <f>IF(OR($JF27=0,calcA!$A$6=0),0,IF(OR(58=$HA27,58=$HD27,58=$HG27),200000,MIN(IF($HA27=0,999999,IF(3=$HB27,IF(58=$HJ27,IF($JC27=2,30,0),IF(58=$HK27,IF($JC27=1,30,0),ABS(10-$HC27)*100)),100000+ABS(3-$HB27)*1000+100)),IF($HD27=0,999999,IF(3=$HE27,IF(58=$HL27,IF($JD27=2,30,0),IF(58=$HM27,IF($JD27=1,30,0),ABS(10-$HF27)*100)),100000+ABS(3-$HE27)*1000+100)),IF($HG27=0,999999,IF(3=$HH27,IF(58=$HN27,IF($JE27=2,30,0),IF(58=$HO27,IF($JE27=1,30,0),ABS(10-$HI27)*100)),100000+ABS(3-$HH27)*1000+100)))-IF((58=$HJ27)+(58=$HK27)+(58=$HL27)+(58=$HM27)+(58=$HN27)+(58=$HO27)&gt;=2,50,0))+BI$5*50)</f>
        <v/>
      </c>
      <c r="BJ147">
        <f>IF(OR($JF27=0,calcA!$A$6=0),0,IF(OR(59=$HA27,59=$HD27,59=$HG27),200000,MIN(IF($HA27=0,999999,IF(3=$HB27,IF(59=$HJ27,IF($JC27=2,30,0),IF(59=$HK27,IF($JC27=1,30,0),ABS(11-$HC27)*100)),100000+ABS(3-$HB27)*1000+110)),IF($HD27=0,999999,IF(3=$HE27,IF(59=$HL27,IF($JD27=2,30,0),IF(59=$HM27,IF($JD27=1,30,0),ABS(11-$HF27)*100)),100000+ABS(3-$HE27)*1000+110)),IF($HG27=0,999999,IF(3=$HH27,IF(59=$HN27,IF($JE27=2,30,0),IF(59=$HO27,IF($JE27=1,30,0),ABS(11-$HI27)*100)),100000+ABS(3-$HH27)*1000+110)))-IF((59=$HJ27)+(59=$HK27)+(59=$HL27)+(59=$HM27)+(59=$HN27)+(59=$HO27)&gt;=2,50,0))+BJ$5*50)</f>
        <v/>
      </c>
      <c r="BK147">
        <f>IF(OR($JF27=0,calcA!$A$6=0),0,IF(OR(60=$HA27,60=$HD27,60=$HG27),200000,MIN(IF($HA27=0,999999,IF(3=$HB27,IF(60=$HJ27,IF($JC27=2,30,0),IF(60=$HK27,IF($JC27=1,30,0),ABS(12-$HC27)*100)),100000+ABS(3-$HB27)*1000+120)),IF($HD27=0,999999,IF(3=$HE27,IF(60=$HL27,IF($JD27=2,30,0),IF(60=$HM27,IF($JD27=1,30,0),ABS(12-$HF27)*100)),100000+ABS(3-$HE27)*1000+120)),IF($HG27=0,999999,IF(3=$HH27,IF(60=$HN27,IF($JE27=2,30,0),IF(60=$HO27,IF($JE27=1,30,0),ABS(12-$HI27)*100)),100000+ABS(3-$HH27)*1000+120)))-IF((60=$HJ27)+(60=$HK27)+(60=$HL27)+(60=$HM27)+(60=$HN27)+(60=$HO27)&gt;=2,50,0))+BK$5*50)</f>
        <v/>
      </c>
      <c r="BL147">
        <f>IF(OR($JF27=0,calcA!$A$6=0),0,IF(OR(61=$HA27,61=$HD27,61=$HG27),200000,MIN(IF($HA27=0,999999,IF(3=$HB27,IF(61=$HJ27,IF($JC27=2,30,0),IF(61=$HK27,IF($JC27=1,30,0),ABS(13-$HC27)*100)),100000+ABS(3-$HB27)*1000+130)),IF($HD27=0,999999,IF(3=$HE27,IF(61=$HL27,IF($JD27=2,30,0),IF(61=$HM27,IF($JD27=1,30,0),ABS(13-$HF27)*100)),100000+ABS(3-$HE27)*1000+130)),IF($HG27=0,999999,IF(3=$HH27,IF(61=$HN27,IF($JE27=2,30,0),IF(61=$HO27,IF($JE27=1,30,0),ABS(13-$HI27)*100)),100000+ABS(3-$HH27)*1000+130)))-IF((61=$HJ27)+(61=$HK27)+(61=$HL27)+(61=$HM27)+(61=$HN27)+(61=$HO27)&gt;=2,50,0))+BL$5*50)</f>
        <v/>
      </c>
      <c r="BM147">
        <f>IF(OR($JF27=0,calcA!$A$6=0),0,IF(OR(62=$HA27,62=$HD27,62=$HG27),200000,MIN(IF($HA27=0,999999,IF(3=$HB27,IF(62=$HJ27,IF($JC27=2,30,0),IF(62=$HK27,IF($JC27=1,30,0),ABS(14-$HC27)*100)),100000+ABS(3-$HB27)*1000+140)),IF($HD27=0,999999,IF(3=$HE27,IF(62=$HL27,IF($JD27=2,30,0),IF(62=$HM27,IF($JD27=1,30,0),ABS(14-$HF27)*100)),100000+ABS(3-$HE27)*1000+140)),IF($HG27=0,999999,IF(3=$HH27,IF(62=$HN27,IF($JE27=2,30,0),IF(62=$HO27,IF($JE27=1,30,0),ABS(14-$HI27)*100)),100000+ABS(3-$HH27)*1000+140)))-IF((62=$HJ27)+(62=$HK27)+(62=$HL27)+(62=$HM27)+(62=$HN27)+(62=$HO27)&gt;=2,50,0))+BM$5*50)</f>
        <v/>
      </c>
      <c r="BN147">
        <f>IF(OR($JF27=0,calcA!$A$6=0),0,IF(OR(63=$HA27,63=$HD27,63=$HG27),200000,MIN(IF($HA27=0,999999,IF(3=$HB27,IF(63=$HJ27,IF($JC27=2,30,0),IF(63=$HK27,IF($JC27=1,30,0),ABS(15-$HC27)*100)),100000+ABS(3-$HB27)*1000+150)),IF($HD27=0,999999,IF(3=$HE27,IF(63=$HL27,IF($JD27=2,30,0),IF(63=$HM27,IF($JD27=1,30,0),ABS(15-$HF27)*100)),100000+ABS(3-$HE27)*1000+150)),IF($HG27=0,999999,IF(3=$HH27,IF(63=$HN27,IF($JE27=2,30,0),IF(63=$HO27,IF($JE27=1,30,0),ABS(15-$HI27)*100)),100000+ABS(3-$HH27)*1000+150)))-IF((63=$HJ27)+(63=$HK27)+(63=$HL27)+(63=$HM27)+(63=$HN27)+(63=$HO27)&gt;=2,50,0))+BN$5*50)</f>
        <v/>
      </c>
      <c r="BO147">
        <f>IF(OR($JF27=0,calcA!$A$6=0),0,IF(OR(64=$HA27,64=$HD27,64=$HG27),200000,MIN(IF($HA27=0,999999,IF(3=$HB27,IF(64=$HJ27,IF($JC27=2,30,0),IF(64=$HK27,IF($JC27=1,30,0),ABS(16-$HC27)*100)),100000+ABS(3-$HB27)*1000+160)),IF($HD27=0,999999,IF(3=$HE27,IF(64=$HL27,IF($JD27=2,30,0),IF(64=$HM27,IF($JD27=1,30,0),ABS(16-$HF27)*100)),100000+ABS(3-$HE27)*1000+160)),IF($HG27=0,999999,IF(3=$HH27,IF(64=$HN27,IF($JE27=2,30,0),IF(64=$HO27,IF($JE27=1,30,0),ABS(16-$HI27)*100)),100000+ABS(3-$HH27)*1000+160)))-IF((64=$HJ27)+(64=$HK27)+(64=$HL27)+(64=$HM27)+(64=$HN27)+(64=$HO27)&gt;=2,50,0))+BO$5*50)</f>
        <v/>
      </c>
      <c r="BP147">
        <f>IF(OR($JF27=0,calcA!$A$6=0),0,IF(OR(65=$HA27,65=$HD27,65=$HG27),200000,MIN(IF($HA27=0,999999,IF(3=$HB27,IF(65=$HJ27,IF($JC27=2,30,0),IF(65=$HK27,IF($JC27=1,30,0),ABS(17-$HC27)*100)),100000+ABS(3-$HB27)*1000+170)),IF($HD27=0,999999,IF(3=$HE27,IF(65=$HL27,IF($JD27=2,30,0),IF(65=$HM27,IF($JD27=1,30,0),ABS(17-$HF27)*100)),100000+ABS(3-$HE27)*1000+170)),IF($HG27=0,999999,IF(3=$HH27,IF(65=$HN27,IF($JE27=2,30,0),IF(65=$HO27,IF($JE27=1,30,0),ABS(17-$HI27)*100)),100000+ABS(3-$HH27)*1000+170)))-IF((65=$HJ27)+(65=$HK27)+(65=$HL27)+(65=$HM27)+(65=$HN27)+(65=$HO27)&gt;=2,50,0))+BP$5*50)</f>
        <v/>
      </c>
      <c r="BQ147">
        <f>IF(OR($JF27=0,calcA!$A$6=0),0,IF(OR(66=$HA27,66=$HD27,66=$HG27),200000,MIN(IF($HA27=0,999999,IF(3=$HB27,IF(66=$HJ27,IF($JC27=2,30,0),IF(66=$HK27,IF($JC27=1,30,0),ABS(18-$HC27)*100)),100000+ABS(3-$HB27)*1000+180)),IF($HD27=0,999999,IF(3=$HE27,IF(66=$HL27,IF($JD27=2,30,0),IF(66=$HM27,IF($JD27=1,30,0),ABS(18-$HF27)*100)),100000+ABS(3-$HE27)*1000+180)),IF($HG27=0,999999,IF(3=$HH27,IF(66=$HN27,IF($JE27=2,30,0),IF(66=$HO27,IF($JE27=1,30,0),ABS(18-$HI27)*100)),100000+ABS(3-$HH27)*1000+180)))-IF((66=$HJ27)+(66=$HK27)+(66=$HL27)+(66=$HM27)+(66=$HN27)+(66=$HO27)&gt;=2,50,0))+BQ$5*50)</f>
        <v/>
      </c>
      <c r="BR147">
        <f>IF(OR($JF27=0,calcA!$A$6=0),0,IF(OR(67=$HA27,67=$HD27,67=$HG27),200000,MIN(IF($HA27=0,999999,IF(3=$HB27,IF(67=$HJ27,IF($JC27=2,30,0),IF(67=$HK27,IF($JC27=1,30,0),ABS(19-$HC27)*100)),100000+ABS(3-$HB27)*1000+190)),IF($HD27=0,999999,IF(3=$HE27,IF(67=$HL27,IF($JD27=2,30,0),IF(67=$HM27,IF($JD27=1,30,0),ABS(19-$HF27)*100)),100000+ABS(3-$HE27)*1000+190)),IF($HG27=0,999999,IF(3=$HH27,IF(67=$HN27,IF($JE27=2,30,0),IF(67=$HO27,IF($JE27=1,30,0),ABS(19-$HI27)*100)),100000+ABS(3-$HH27)*1000+190)))-IF((67=$HJ27)+(67=$HK27)+(67=$HL27)+(67=$HM27)+(67=$HN27)+(67=$HO27)&gt;=2,50,0))+BR$5*50)</f>
        <v/>
      </c>
      <c r="BS147">
        <f>IF(OR($JF27=0,calcA!$A$6=0),0,IF(OR(68=$HA27,68=$HD27,68=$HG27),200000,MIN(IF($HA27=0,999999,IF(3=$HB27,IF(68=$HJ27,IF($JC27=2,30,0),IF(68=$HK27,IF($JC27=1,30,0),ABS(20-$HC27)*100)),100000+ABS(3-$HB27)*1000+200)),IF($HD27=0,999999,IF(3=$HE27,IF(68=$HL27,IF($JD27=2,30,0),IF(68=$HM27,IF($JD27=1,30,0),ABS(20-$HF27)*100)),100000+ABS(3-$HE27)*1000+200)),IF($HG27=0,999999,IF(3=$HH27,IF(68=$HN27,IF($JE27=2,30,0),IF(68=$HO27,IF($JE27=1,30,0),ABS(20-$HI27)*100)),100000+ABS(3-$HH27)*1000+200)))-IF((68=$HJ27)+(68=$HK27)+(68=$HL27)+(68=$HM27)+(68=$HN27)+(68=$HO27)&gt;=2,50,0))+BS$5*50)</f>
        <v/>
      </c>
      <c r="BT147">
        <f>IF(OR($JF27=0,calcA!$A$6=0),0,IF(OR(69=$HA27,69=$HD27,69=$HG27),200000,MIN(IF($HA27=0,999999,IF(3=$HB27,IF(69=$HJ27,IF($JC27=2,30,0),IF(69=$HK27,IF($JC27=1,30,0),ABS(21-$HC27)*100)),100000+ABS(3-$HB27)*1000+210)),IF($HD27=0,999999,IF(3=$HE27,IF(69=$HL27,IF($JD27=2,30,0),IF(69=$HM27,IF($JD27=1,30,0),ABS(21-$HF27)*100)),100000+ABS(3-$HE27)*1000+210)),IF($HG27=0,999999,IF(3=$HH27,IF(69=$HN27,IF($JE27=2,30,0),IF(69=$HO27,IF($JE27=1,30,0),ABS(21-$HI27)*100)),100000+ABS(3-$HH27)*1000+210)))-IF((69=$HJ27)+(69=$HK27)+(69=$HL27)+(69=$HM27)+(69=$HN27)+(69=$HO27)&gt;=2,50,0))+BT$5*50)</f>
        <v/>
      </c>
      <c r="BU147">
        <f>IF(OR($JF27=0,calcA!$A$6=0),0,IF(OR(70=$HA27,70=$HD27,70=$HG27),200000,MIN(IF($HA27=0,999999,IF(3=$HB27,IF(70=$HJ27,IF($JC27=2,30,0),IF(70=$HK27,IF($JC27=1,30,0),ABS(22-$HC27)*100)),100000+ABS(3-$HB27)*1000+220)),IF($HD27=0,999999,IF(3=$HE27,IF(70=$HL27,IF($JD27=2,30,0),IF(70=$HM27,IF($JD27=1,30,0),ABS(22-$HF27)*100)),100000+ABS(3-$HE27)*1000+220)),IF($HG27=0,999999,IF(3=$HH27,IF(70=$HN27,IF($JE27=2,30,0),IF(70=$HO27,IF($JE27=1,30,0),ABS(22-$HI27)*100)),100000+ABS(3-$HH27)*1000+220)))-IF((70=$HJ27)+(70=$HK27)+(70=$HL27)+(70=$HM27)+(70=$HN27)+(70=$HO27)&gt;=2,50,0))+BU$5*50)</f>
        <v/>
      </c>
      <c r="BV147">
        <f>IF(OR($JF27=0,calcA!$A$6=0),0,IF(OR(71=$HA27,71=$HD27,71=$HG27),200000,MIN(IF($HA27=0,999999,IF(3=$HB27,IF(71=$HJ27,IF($JC27=2,30,0),IF(71=$HK27,IF($JC27=1,30,0),ABS(23-$HC27)*100)),100000+ABS(3-$HB27)*1000+230)),IF($HD27=0,999999,IF(3=$HE27,IF(71=$HL27,IF($JD27=2,30,0),IF(71=$HM27,IF($JD27=1,30,0),ABS(23-$HF27)*100)),100000+ABS(3-$HE27)*1000+230)),IF($HG27=0,999999,IF(3=$HH27,IF(71=$HN27,IF($JE27=2,30,0),IF(71=$HO27,IF($JE27=1,30,0),ABS(23-$HI27)*100)),100000+ABS(3-$HH27)*1000+230)))-IF((71=$HJ27)+(71=$HK27)+(71=$HL27)+(71=$HM27)+(71=$HN27)+(71=$HO27)&gt;=2,50,0))+BV$5*50)</f>
        <v/>
      </c>
      <c r="BW147">
        <f>IF(OR($JF27=0,calcA!$A$6=0),0,IF(OR(72=$HA27,72=$HD27,72=$HG27),200000,MIN(IF($HA27=0,999999,IF(3=$HB27,IF(72=$HJ27,IF($JC27=2,30,0),IF(72=$HK27,IF($JC27=1,30,0),ABS(24-$HC27)*100)),100000+ABS(3-$HB27)*1000+240)),IF($HD27=0,999999,IF(3=$HE27,IF(72=$HL27,IF($JD27=2,30,0),IF(72=$HM27,IF($JD27=1,30,0),ABS(24-$HF27)*100)),100000+ABS(3-$HE27)*1000+240)),IF($HG27=0,999999,IF(3=$HH27,IF(72=$HN27,IF($JE27=2,30,0),IF(72=$HO27,IF($JE27=1,30,0),ABS(24-$HI27)*100)),100000+ABS(3-$HH27)*1000+240)))-IF((72=$HJ27)+(72=$HK27)+(72=$HL27)+(72=$HM27)+(72=$HN27)+(72=$HO27)&gt;=2,50,0))+BW$5*50)</f>
        <v/>
      </c>
      <c r="BX147">
        <f>IF(OR($JF27=0,calcA!$A$6=0),0,IF(OR(73=$HA27,73=$HD27,73=$HG27),200000,MIN(IF($HA27=0,999999,IF(4=$HB27,IF(73=$HJ27,IF($JC27=2,30,0),IF(73=$HK27,IF($JC27=1,30,0),ABS(1-$HC27)*100)),100000+ABS(4-$HB27)*1000+10)),IF($HD27=0,999999,IF(4=$HE27,IF(73=$HL27,IF($JD27=2,30,0),IF(73=$HM27,IF($JD27=1,30,0),ABS(1-$HF27)*100)),100000+ABS(4-$HE27)*1000+10)),IF($HG27=0,999999,IF(4=$HH27,IF(73=$HN27,IF($JE27=2,30,0),IF(73=$HO27,IF($JE27=1,30,0),ABS(1-$HI27)*100)),100000+ABS(4-$HH27)*1000+10)))-IF((73=$HJ27)+(73=$HK27)+(73=$HL27)+(73=$HM27)+(73=$HN27)+(73=$HO27)&gt;=2,50,0))+BX$5*50)</f>
        <v/>
      </c>
      <c r="BY147">
        <f>IF(OR($JF27=0,calcA!$A$6=0),0,IF(OR(74=$HA27,74=$HD27,74=$HG27),200000,MIN(IF($HA27=0,999999,IF(4=$HB27,IF(74=$HJ27,IF($JC27=2,30,0),IF(74=$HK27,IF($JC27=1,30,0),ABS(2-$HC27)*100)),100000+ABS(4-$HB27)*1000+20)),IF($HD27=0,999999,IF(4=$HE27,IF(74=$HL27,IF($JD27=2,30,0),IF(74=$HM27,IF($JD27=1,30,0),ABS(2-$HF27)*100)),100000+ABS(4-$HE27)*1000+20)),IF($HG27=0,999999,IF(4=$HH27,IF(74=$HN27,IF($JE27=2,30,0),IF(74=$HO27,IF($JE27=1,30,0),ABS(2-$HI27)*100)),100000+ABS(4-$HH27)*1000+20)))-IF((74=$HJ27)+(74=$HK27)+(74=$HL27)+(74=$HM27)+(74=$HN27)+(74=$HO27)&gt;=2,50,0))+BY$5*50)</f>
        <v/>
      </c>
      <c r="BZ147">
        <f>IF(OR($JF27=0,calcA!$A$6=0),0,IF(OR(75=$HA27,75=$HD27,75=$HG27),200000,MIN(IF($HA27=0,999999,IF(4=$HB27,IF(75=$HJ27,IF($JC27=2,30,0),IF(75=$HK27,IF($JC27=1,30,0),ABS(3-$HC27)*100)),100000+ABS(4-$HB27)*1000+30)),IF($HD27=0,999999,IF(4=$HE27,IF(75=$HL27,IF($JD27=2,30,0),IF(75=$HM27,IF($JD27=1,30,0),ABS(3-$HF27)*100)),100000+ABS(4-$HE27)*1000+30)),IF($HG27=0,999999,IF(4=$HH27,IF(75=$HN27,IF($JE27=2,30,0),IF(75=$HO27,IF($JE27=1,30,0),ABS(3-$HI27)*100)),100000+ABS(4-$HH27)*1000+30)))-IF((75=$HJ27)+(75=$HK27)+(75=$HL27)+(75=$HM27)+(75=$HN27)+(75=$HO27)&gt;=2,50,0))+BZ$5*50)</f>
        <v/>
      </c>
      <c r="CA147">
        <f>IF(OR($JF27=0,calcA!$A$6=0),0,IF(OR(76=$HA27,76=$HD27,76=$HG27),200000,MIN(IF($HA27=0,999999,IF(4=$HB27,IF(76=$HJ27,IF($JC27=2,30,0),IF(76=$HK27,IF($JC27=1,30,0),ABS(4-$HC27)*100)),100000+ABS(4-$HB27)*1000+40)),IF($HD27=0,999999,IF(4=$HE27,IF(76=$HL27,IF($JD27=2,30,0),IF(76=$HM27,IF($JD27=1,30,0),ABS(4-$HF27)*100)),100000+ABS(4-$HE27)*1000+40)),IF($HG27=0,999999,IF(4=$HH27,IF(76=$HN27,IF($JE27=2,30,0),IF(76=$HO27,IF($JE27=1,30,0),ABS(4-$HI27)*100)),100000+ABS(4-$HH27)*1000+40)))-IF((76=$HJ27)+(76=$HK27)+(76=$HL27)+(76=$HM27)+(76=$HN27)+(76=$HO27)&gt;=2,50,0))+CA$5*50)</f>
        <v/>
      </c>
      <c r="CB147">
        <f>IF(OR($JF27=0,calcA!$A$6=0),0,IF(OR(77=$HA27,77=$HD27,77=$HG27),200000,MIN(IF($HA27=0,999999,IF(4=$HB27,IF(77=$HJ27,IF($JC27=2,30,0),IF(77=$HK27,IF($JC27=1,30,0),ABS(5-$HC27)*100)),100000+ABS(4-$HB27)*1000+50)),IF($HD27=0,999999,IF(4=$HE27,IF(77=$HL27,IF($JD27=2,30,0),IF(77=$HM27,IF($JD27=1,30,0),ABS(5-$HF27)*100)),100000+ABS(4-$HE27)*1000+50)),IF($HG27=0,999999,IF(4=$HH27,IF(77=$HN27,IF($JE27=2,30,0),IF(77=$HO27,IF($JE27=1,30,0),ABS(5-$HI27)*100)),100000+ABS(4-$HH27)*1000+50)))-IF((77=$HJ27)+(77=$HK27)+(77=$HL27)+(77=$HM27)+(77=$HN27)+(77=$HO27)&gt;=2,50,0))+CB$5*50)</f>
        <v/>
      </c>
      <c r="CC147">
        <f>IF(OR($JF27=0,calcA!$A$6=0),0,IF(OR(78=$HA27,78=$HD27,78=$HG27),200000,MIN(IF($HA27=0,999999,IF(4=$HB27,IF(78=$HJ27,IF($JC27=2,30,0),IF(78=$HK27,IF($JC27=1,30,0),ABS(6-$HC27)*100)),100000+ABS(4-$HB27)*1000+60)),IF($HD27=0,999999,IF(4=$HE27,IF(78=$HL27,IF($JD27=2,30,0),IF(78=$HM27,IF($JD27=1,30,0),ABS(6-$HF27)*100)),100000+ABS(4-$HE27)*1000+60)),IF($HG27=0,999999,IF(4=$HH27,IF(78=$HN27,IF($JE27=2,30,0),IF(78=$HO27,IF($JE27=1,30,0),ABS(6-$HI27)*100)),100000+ABS(4-$HH27)*1000+60)))-IF((78=$HJ27)+(78=$HK27)+(78=$HL27)+(78=$HM27)+(78=$HN27)+(78=$HO27)&gt;=2,50,0))+CC$5*50)</f>
        <v/>
      </c>
      <c r="CD147">
        <f>IF(OR($JF27=0,calcA!$A$6=0),0,IF(OR(79=$HA27,79=$HD27,79=$HG27),200000,MIN(IF($HA27=0,999999,IF(4=$HB27,IF(79=$HJ27,IF($JC27=2,30,0),IF(79=$HK27,IF($JC27=1,30,0),ABS(7-$HC27)*100)),100000+ABS(4-$HB27)*1000+70)),IF($HD27=0,999999,IF(4=$HE27,IF(79=$HL27,IF($JD27=2,30,0),IF(79=$HM27,IF($JD27=1,30,0),ABS(7-$HF27)*100)),100000+ABS(4-$HE27)*1000+70)),IF($HG27=0,999999,IF(4=$HH27,IF(79=$HN27,IF($JE27=2,30,0),IF(79=$HO27,IF($JE27=1,30,0),ABS(7-$HI27)*100)),100000+ABS(4-$HH27)*1000+70)))-IF((79=$HJ27)+(79=$HK27)+(79=$HL27)+(79=$HM27)+(79=$HN27)+(79=$HO27)&gt;=2,50,0))+CD$5*50)</f>
        <v/>
      </c>
      <c r="CE147">
        <f>IF(OR($JF27=0,calcA!$A$6=0),0,IF(OR(80=$HA27,80=$HD27,80=$HG27),200000,MIN(IF($HA27=0,999999,IF(4=$HB27,IF(80=$HJ27,IF($JC27=2,30,0),IF(80=$HK27,IF($JC27=1,30,0),ABS(8-$HC27)*100)),100000+ABS(4-$HB27)*1000+80)),IF($HD27=0,999999,IF(4=$HE27,IF(80=$HL27,IF($JD27=2,30,0),IF(80=$HM27,IF($JD27=1,30,0),ABS(8-$HF27)*100)),100000+ABS(4-$HE27)*1000+80)),IF($HG27=0,999999,IF(4=$HH27,IF(80=$HN27,IF($JE27=2,30,0),IF(80=$HO27,IF($JE27=1,30,0),ABS(8-$HI27)*100)),100000+ABS(4-$HH27)*1000+80)))-IF((80=$HJ27)+(80=$HK27)+(80=$HL27)+(80=$HM27)+(80=$HN27)+(80=$HO27)&gt;=2,50,0))+CE$5*50)</f>
        <v/>
      </c>
      <c r="CF147">
        <f>IF(OR($JF27=0,calcA!$A$6=0),0,IF(OR(81=$HA27,81=$HD27,81=$HG27),200000,MIN(IF($HA27=0,999999,IF(4=$HB27,IF(81=$HJ27,IF($JC27=2,30,0),IF(81=$HK27,IF($JC27=1,30,0),ABS(9-$HC27)*100)),100000+ABS(4-$HB27)*1000+90)),IF($HD27=0,999999,IF(4=$HE27,IF(81=$HL27,IF($JD27=2,30,0),IF(81=$HM27,IF($JD27=1,30,0),ABS(9-$HF27)*100)),100000+ABS(4-$HE27)*1000+90)),IF($HG27=0,999999,IF(4=$HH27,IF(81=$HN27,IF($JE27=2,30,0),IF(81=$HO27,IF($JE27=1,30,0),ABS(9-$HI27)*100)),100000+ABS(4-$HH27)*1000+90)))-IF((81=$HJ27)+(81=$HK27)+(81=$HL27)+(81=$HM27)+(81=$HN27)+(81=$HO27)&gt;=2,50,0))+CF$5*50)</f>
        <v/>
      </c>
      <c r="CG147">
        <f>IF(OR($JF27=0,calcA!$A$6=0),0,IF(OR(82=$HA27,82=$HD27,82=$HG27),200000,MIN(IF($HA27=0,999999,IF(4=$HB27,IF(82=$HJ27,IF($JC27=2,30,0),IF(82=$HK27,IF($JC27=1,30,0),ABS(10-$HC27)*100)),100000+ABS(4-$HB27)*1000+100)),IF($HD27=0,999999,IF(4=$HE27,IF(82=$HL27,IF($JD27=2,30,0),IF(82=$HM27,IF($JD27=1,30,0),ABS(10-$HF27)*100)),100000+ABS(4-$HE27)*1000+100)),IF($HG27=0,999999,IF(4=$HH27,IF(82=$HN27,IF($JE27=2,30,0),IF(82=$HO27,IF($JE27=1,30,0),ABS(10-$HI27)*100)),100000+ABS(4-$HH27)*1000+100)))-IF((82=$HJ27)+(82=$HK27)+(82=$HL27)+(82=$HM27)+(82=$HN27)+(82=$HO27)&gt;=2,50,0))+CG$5*50)</f>
        <v/>
      </c>
      <c r="CH147">
        <f>IF(OR($JF27=0,calcA!$A$6=0),0,IF(OR(83=$HA27,83=$HD27,83=$HG27),200000,MIN(IF($HA27=0,999999,IF(4=$HB27,IF(83=$HJ27,IF($JC27=2,30,0),IF(83=$HK27,IF($JC27=1,30,0),ABS(11-$HC27)*100)),100000+ABS(4-$HB27)*1000+110)),IF($HD27=0,999999,IF(4=$HE27,IF(83=$HL27,IF($JD27=2,30,0),IF(83=$HM27,IF($JD27=1,30,0),ABS(11-$HF27)*100)),100000+ABS(4-$HE27)*1000+110)),IF($HG27=0,999999,IF(4=$HH27,IF(83=$HN27,IF($JE27=2,30,0),IF(83=$HO27,IF($JE27=1,30,0),ABS(11-$HI27)*100)),100000+ABS(4-$HH27)*1000+110)))-IF((83=$HJ27)+(83=$HK27)+(83=$HL27)+(83=$HM27)+(83=$HN27)+(83=$HO27)&gt;=2,50,0))+CH$5*50)</f>
        <v/>
      </c>
      <c r="CI147">
        <f>IF(OR($JF27=0,calcA!$A$6=0),0,IF(OR(84=$HA27,84=$HD27,84=$HG27),200000,MIN(IF($HA27=0,999999,IF(4=$HB27,IF(84=$HJ27,IF($JC27=2,30,0),IF(84=$HK27,IF($JC27=1,30,0),ABS(12-$HC27)*100)),100000+ABS(4-$HB27)*1000+120)),IF($HD27=0,999999,IF(4=$HE27,IF(84=$HL27,IF($JD27=2,30,0),IF(84=$HM27,IF($JD27=1,30,0),ABS(12-$HF27)*100)),100000+ABS(4-$HE27)*1000+120)),IF($HG27=0,999999,IF(4=$HH27,IF(84=$HN27,IF($JE27=2,30,0),IF(84=$HO27,IF($JE27=1,30,0),ABS(12-$HI27)*100)),100000+ABS(4-$HH27)*1000+120)))-IF((84=$HJ27)+(84=$HK27)+(84=$HL27)+(84=$HM27)+(84=$HN27)+(84=$HO27)&gt;=2,50,0))+CI$5*50)</f>
        <v/>
      </c>
      <c r="CJ147">
        <f>IF(OR($JF27=0,calcA!$A$6=0),0,IF(OR(85=$HA27,85=$HD27,85=$HG27),200000,MIN(IF($HA27=0,999999,IF(4=$HB27,IF(85=$HJ27,IF($JC27=2,30,0),IF(85=$HK27,IF($JC27=1,30,0),ABS(13-$HC27)*100)),100000+ABS(4-$HB27)*1000+130)),IF($HD27=0,999999,IF(4=$HE27,IF(85=$HL27,IF($JD27=2,30,0),IF(85=$HM27,IF($JD27=1,30,0),ABS(13-$HF27)*100)),100000+ABS(4-$HE27)*1000+130)),IF($HG27=0,999999,IF(4=$HH27,IF(85=$HN27,IF($JE27=2,30,0),IF(85=$HO27,IF($JE27=1,30,0),ABS(13-$HI27)*100)),100000+ABS(4-$HH27)*1000+130)))-IF((85=$HJ27)+(85=$HK27)+(85=$HL27)+(85=$HM27)+(85=$HN27)+(85=$HO27)&gt;=2,50,0))+CJ$5*50)</f>
        <v/>
      </c>
      <c r="CK147">
        <f>IF(OR($JF27=0,calcA!$A$6=0),0,IF(OR(86=$HA27,86=$HD27,86=$HG27),200000,MIN(IF($HA27=0,999999,IF(4=$HB27,IF(86=$HJ27,IF($JC27=2,30,0),IF(86=$HK27,IF($JC27=1,30,0),ABS(14-$HC27)*100)),100000+ABS(4-$HB27)*1000+140)),IF($HD27=0,999999,IF(4=$HE27,IF(86=$HL27,IF($JD27=2,30,0),IF(86=$HM27,IF($JD27=1,30,0),ABS(14-$HF27)*100)),100000+ABS(4-$HE27)*1000+140)),IF($HG27=0,999999,IF(4=$HH27,IF(86=$HN27,IF($JE27=2,30,0),IF(86=$HO27,IF($JE27=1,30,0),ABS(14-$HI27)*100)),100000+ABS(4-$HH27)*1000+140)))-IF((86=$HJ27)+(86=$HK27)+(86=$HL27)+(86=$HM27)+(86=$HN27)+(86=$HO27)&gt;=2,50,0))+CK$5*50)</f>
        <v/>
      </c>
      <c r="CL147">
        <f>IF(OR($JF27=0,calcA!$A$6=0),0,IF(OR(87=$HA27,87=$HD27,87=$HG27),200000,MIN(IF($HA27=0,999999,IF(4=$HB27,IF(87=$HJ27,IF($JC27=2,30,0),IF(87=$HK27,IF($JC27=1,30,0),ABS(15-$HC27)*100)),100000+ABS(4-$HB27)*1000+150)),IF($HD27=0,999999,IF(4=$HE27,IF(87=$HL27,IF($JD27=2,30,0),IF(87=$HM27,IF($JD27=1,30,0),ABS(15-$HF27)*100)),100000+ABS(4-$HE27)*1000+150)),IF($HG27=0,999999,IF(4=$HH27,IF(87=$HN27,IF($JE27=2,30,0),IF(87=$HO27,IF($JE27=1,30,0),ABS(15-$HI27)*100)),100000+ABS(4-$HH27)*1000+150)))-IF((87=$HJ27)+(87=$HK27)+(87=$HL27)+(87=$HM27)+(87=$HN27)+(87=$HO27)&gt;=2,50,0))+CL$5*50)</f>
        <v/>
      </c>
      <c r="CM147">
        <f>IF(OR($JF27=0,calcA!$A$6=0),0,IF(OR(88=$HA27,88=$HD27,88=$HG27),200000,MIN(IF($HA27=0,999999,IF(4=$HB27,IF(88=$HJ27,IF($JC27=2,30,0),IF(88=$HK27,IF($JC27=1,30,0),ABS(16-$HC27)*100)),100000+ABS(4-$HB27)*1000+160)),IF($HD27=0,999999,IF(4=$HE27,IF(88=$HL27,IF($JD27=2,30,0),IF(88=$HM27,IF($JD27=1,30,0),ABS(16-$HF27)*100)),100000+ABS(4-$HE27)*1000+160)),IF($HG27=0,999999,IF(4=$HH27,IF(88=$HN27,IF($JE27=2,30,0),IF(88=$HO27,IF($JE27=1,30,0),ABS(16-$HI27)*100)),100000+ABS(4-$HH27)*1000+160)))-IF((88=$HJ27)+(88=$HK27)+(88=$HL27)+(88=$HM27)+(88=$HN27)+(88=$HO27)&gt;=2,50,0))+CM$5*50)</f>
        <v/>
      </c>
      <c r="CN147">
        <f>IF(OR($JF27=0,calcA!$A$6=0),0,IF(OR(89=$HA27,89=$HD27,89=$HG27),200000,MIN(IF($HA27=0,999999,IF(4=$HB27,IF(89=$HJ27,IF($JC27=2,30,0),IF(89=$HK27,IF($JC27=1,30,0),ABS(17-$HC27)*100)),100000+ABS(4-$HB27)*1000+170)),IF($HD27=0,999999,IF(4=$HE27,IF(89=$HL27,IF($JD27=2,30,0),IF(89=$HM27,IF($JD27=1,30,0),ABS(17-$HF27)*100)),100000+ABS(4-$HE27)*1000+170)),IF($HG27=0,999999,IF(4=$HH27,IF(89=$HN27,IF($JE27=2,30,0),IF(89=$HO27,IF($JE27=1,30,0),ABS(17-$HI27)*100)),100000+ABS(4-$HH27)*1000+170)))-IF((89=$HJ27)+(89=$HK27)+(89=$HL27)+(89=$HM27)+(89=$HN27)+(89=$HO27)&gt;=2,50,0))+CN$5*50)</f>
        <v/>
      </c>
      <c r="CO147">
        <f>IF(OR($JF27=0,calcA!$A$6=0),0,IF(OR(90=$HA27,90=$HD27,90=$HG27),200000,MIN(IF($HA27=0,999999,IF(4=$HB27,IF(90=$HJ27,IF($JC27=2,30,0),IF(90=$HK27,IF($JC27=1,30,0),ABS(18-$HC27)*100)),100000+ABS(4-$HB27)*1000+180)),IF($HD27=0,999999,IF(4=$HE27,IF(90=$HL27,IF($JD27=2,30,0),IF(90=$HM27,IF($JD27=1,30,0),ABS(18-$HF27)*100)),100000+ABS(4-$HE27)*1000+180)),IF($HG27=0,999999,IF(4=$HH27,IF(90=$HN27,IF($JE27=2,30,0),IF(90=$HO27,IF($JE27=1,30,0),ABS(18-$HI27)*100)),100000+ABS(4-$HH27)*1000+180)))-IF((90=$HJ27)+(90=$HK27)+(90=$HL27)+(90=$HM27)+(90=$HN27)+(90=$HO27)&gt;=2,50,0))+CO$5*50)</f>
        <v/>
      </c>
      <c r="CP147">
        <f>IF(OR($JF27=0,calcA!$A$6=0),0,IF(OR(91=$HA27,91=$HD27,91=$HG27),200000,MIN(IF($HA27=0,999999,IF(4=$HB27,IF(91=$HJ27,IF($JC27=2,30,0),IF(91=$HK27,IF($JC27=1,30,0),ABS(19-$HC27)*100)),100000+ABS(4-$HB27)*1000+190)),IF($HD27=0,999999,IF(4=$HE27,IF(91=$HL27,IF($JD27=2,30,0),IF(91=$HM27,IF($JD27=1,30,0),ABS(19-$HF27)*100)),100000+ABS(4-$HE27)*1000+190)),IF($HG27=0,999999,IF(4=$HH27,IF(91=$HN27,IF($JE27=2,30,0),IF(91=$HO27,IF($JE27=1,30,0),ABS(19-$HI27)*100)),100000+ABS(4-$HH27)*1000+190)))-IF((91=$HJ27)+(91=$HK27)+(91=$HL27)+(91=$HM27)+(91=$HN27)+(91=$HO27)&gt;=2,50,0))+CP$5*50)</f>
        <v/>
      </c>
      <c r="CQ147">
        <f>IF(OR($JF27=0,calcA!$A$6=0),0,IF(OR(92=$HA27,92=$HD27,92=$HG27),200000,MIN(IF($HA27=0,999999,IF(4=$HB27,IF(92=$HJ27,IF($JC27=2,30,0),IF(92=$HK27,IF($JC27=1,30,0),ABS(20-$HC27)*100)),100000+ABS(4-$HB27)*1000+200)),IF($HD27=0,999999,IF(4=$HE27,IF(92=$HL27,IF($JD27=2,30,0),IF(92=$HM27,IF($JD27=1,30,0),ABS(20-$HF27)*100)),100000+ABS(4-$HE27)*1000+200)),IF($HG27=0,999999,IF(4=$HH27,IF(92=$HN27,IF($JE27=2,30,0),IF(92=$HO27,IF($JE27=1,30,0),ABS(20-$HI27)*100)),100000+ABS(4-$HH27)*1000+200)))-IF((92=$HJ27)+(92=$HK27)+(92=$HL27)+(92=$HM27)+(92=$HN27)+(92=$HO27)&gt;=2,50,0))+CQ$5*50)</f>
        <v/>
      </c>
      <c r="CR147">
        <f>IF(OR($JF27=0,calcA!$A$6=0),0,IF(OR(93=$HA27,93=$HD27,93=$HG27),200000,MIN(IF($HA27=0,999999,IF(4=$HB27,IF(93=$HJ27,IF($JC27=2,30,0),IF(93=$HK27,IF($JC27=1,30,0),ABS(21-$HC27)*100)),100000+ABS(4-$HB27)*1000+210)),IF($HD27=0,999999,IF(4=$HE27,IF(93=$HL27,IF($JD27=2,30,0),IF(93=$HM27,IF($JD27=1,30,0),ABS(21-$HF27)*100)),100000+ABS(4-$HE27)*1000+210)),IF($HG27=0,999999,IF(4=$HH27,IF(93=$HN27,IF($JE27=2,30,0),IF(93=$HO27,IF($JE27=1,30,0),ABS(21-$HI27)*100)),100000+ABS(4-$HH27)*1000+210)))-IF((93=$HJ27)+(93=$HK27)+(93=$HL27)+(93=$HM27)+(93=$HN27)+(93=$HO27)&gt;=2,50,0))+CR$5*50)</f>
        <v/>
      </c>
      <c r="CS147">
        <f>IF(OR($JF27=0,calcA!$A$6=0),0,IF(OR(94=$HA27,94=$HD27,94=$HG27),200000,MIN(IF($HA27=0,999999,IF(4=$HB27,IF(94=$HJ27,IF($JC27=2,30,0),IF(94=$HK27,IF($JC27=1,30,0),ABS(22-$HC27)*100)),100000+ABS(4-$HB27)*1000+220)),IF($HD27=0,999999,IF(4=$HE27,IF(94=$HL27,IF($JD27=2,30,0),IF(94=$HM27,IF($JD27=1,30,0),ABS(22-$HF27)*100)),100000+ABS(4-$HE27)*1000+220)),IF($HG27=0,999999,IF(4=$HH27,IF(94=$HN27,IF($JE27=2,30,0),IF(94=$HO27,IF($JE27=1,30,0),ABS(22-$HI27)*100)),100000+ABS(4-$HH27)*1000+220)))-IF((94=$HJ27)+(94=$HK27)+(94=$HL27)+(94=$HM27)+(94=$HN27)+(94=$HO27)&gt;=2,50,0))+CS$5*50)</f>
        <v/>
      </c>
      <c r="CT147">
        <f>IF(OR($JF27=0,calcA!$A$6=0),0,IF(OR(95=$HA27,95=$HD27,95=$HG27),200000,MIN(IF($HA27=0,999999,IF(4=$HB27,IF(95=$HJ27,IF($JC27=2,30,0),IF(95=$HK27,IF($JC27=1,30,0),ABS(23-$HC27)*100)),100000+ABS(4-$HB27)*1000+230)),IF($HD27=0,999999,IF(4=$HE27,IF(95=$HL27,IF($JD27=2,30,0),IF(95=$HM27,IF($JD27=1,30,0),ABS(23-$HF27)*100)),100000+ABS(4-$HE27)*1000+230)),IF($HG27=0,999999,IF(4=$HH27,IF(95=$HN27,IF($JE27=2,30,0),IF(95=$HO27,IF($JE27=1,30,0),ABS(23-$HI27)*100)),100000+ABS(4-$HH27)*1000+230)))-IF((95=$HJ27)+(95=$HK27)+(95=$HL27)+(95=$HM27)+(95=$HN27)+(95=$HO27)&gt;=2,50,0))+CT$5*50)</f>
        <v/>
      </c>
      <c r="CU147">
        <f>IF(OR($JF27=0,calcA!$A$6=0),0,IF(OR(96=$HA27,96=$HD27,96=$HG27),200000,MIN(IF($HA27=0,999999,IF(4=$HB27,IF(96=$HJ27,IF($JC27=2,30,0),IF(96=$HK27,IF($JC27=1,30,0),ABS(24-$HC27)*100)),100000+ABS(4-$HB27)*1000+240)),IF($HD27=0,999999,IF(4=$HE27,IF(96=$HL27,IF($JD27=2,30,0),IF(96=$HM27,IF($JD27=1,30,0),ABS(24-$HF27)*100)),100000+ABS(4-$HE27)*1000+240)),IF($HG27=0,999999,IF(4=$HH27,IF(96=$HN27,IF($JE27=2,30,0),IF(96=$HO27,IF($JE27=1,30,0),ABS(24-$HI27)*100)),100000+ABS(4-$HH27)*1000+240)))-IF((96=$HJ27)+(96=$HK27)+(96=$HL27)+(96=$HM27)+(96=$HN27)+(96=$HO27)&gt;=2,50,0))+CU$5*50)</f>
        <v/>
      </c>
      <c r="CV147">
        <f>IF(OR($JF27=0,calcA!$A$6=0),0,IF(OR(97=$HA27,97=$HD27,97=$HG27),200000,MIN(IF($HA27=0,999999,IF(5=$HB27,IF(97=$HJ27,IF($JC27=2,30,0),IF(97=$HK27,IF($JC27=1,30,0),ABS(1-$HC27)*100)),100000+ABS(5-$HB27)*1000+10)),IF($HD27=0,999999,IF(5=$HE27,IF(97=$HL27,IF($JD27=2,30,0),IF(97=$HM27,IF($JD27=1,30,0),ABS(1-$HF27)*100)),100000+ABS(5-$HE27)*1000+10)),IF($HG27=0,999999,IF(5=$HH27,IF(97=$HN27,IF($JE27=2,30,0),IF(97=$HO27,IF($JE27=1,30,0),ABS(1-$HI27)*100)),100000+ABS(5-$HH27)*1000+10)))-IF((97=$HJ27)+(97=$HK27)+(97=$HL27)+(97=$HM27)+(97=$HN27)+(97=$HO27)&gt;=2,50,0))+CV$5*50)</f>
        <v/>
      </c>
      <c r="CW147">
        <f>IF(OR($JF27=0,calcA!$A$6=0),0,IF(OR(98=$HA27,98=$HD27,98=$HG27),200000,MIN(IF($HA27=0,999999,IF(5=$HB27,IF(98=$HJ27,IF($JC27=2,30,0),IF(98=$HK27,IF($JC27=1,30,0),ABS(2-$HC27)*100)),100000+ABS(5-$HB27)*1000+20)),IF($HD27=0,999999,IF(5=$HE27,IF(98=$HL27,IF($JD27=2,30,0),IF(98=$HM27,IF($JD27=1,30,0),ABS(2-$HF27)*100)),100000+ABS(5-$HE27)*1000+20)),IF($HG27=0,999999,IF(5=$HH27,IF(98=$HN27,IF($JE27=2,30,0),IF(98=$HO27,IF($JE27=1,30,0),ABS(2-$HI27)*100)),100000+ABS(5-$HH27)*1000+20)))-IF((98=$HJ27)+(98=$HK27)+(98=$HL27)+(98=$HM27)+(98=$HN27)+(98=$HO27)&gt;=2,50,0))+CW$5*50)</f>
        <v/>
      </c>
      <c r="CX147">
        <f>IF(OR($JF27=0,calcA!$A$6=0),0,IF(OR(99=$HA27,99=$HD27,99=$HG27),200000,MIN(IF($HA27=0,999999,IF(5=$HB27,IF(99=$HJ27,IF($JC27=2,30,0),IF(99=$HK27,IF($JC27=1,30,0),ABS(3-$HC27)*100)),100000+ABS(5-$HB27)*1000+30)),IF($HD27=0,999999,IF(5=$HE27,IF(99=$HL27,IF($JD27=2,30,0),IF(99=$HM27,IF($JD27=1,30,0),ABS(3-$HF27)*100)),100000+ABS(5-$HE27)*1000+30)),IF($HG27=0,999999,IF(5=$HH27,IF(99=$HN27,IF($JE27=2,30,0),IF(99=$HO27,IF($JE27=1,30,0),ABS(3-$HI27)*100)),100000+ABS(5-$HH27)*1000+30)))-IF((99=$HJ27)+(99=$HK27)+(99=$HL27)+(99=$HM27)+(99=$HN27)+(99=$HO27)&gt;=2,50,0))+CX$5*50)</f>
        <v/>
      </c>
      <c r="CY147">
        <f>IF(OR($JF27=0,calcA!$A$6=0),0,IF(OR(100=$HA27,100=$HD27,100=$HG27),200000,MIN(IF($HA27=0,999999,IF(5=$HB27,IF(100=$HJ27,IF($JC27=2,30,0),IF(100=$HK27,IF($JC27=1,30,0),ABS(4-$HC27)*100)),100000+ABS(5-$HB27)*1000+40)),IF($HD27=0,999999,IF(5=$HE27,IF(100=$HL27,IF($JD27=2,30,0),IF(100=$HM27,IF($JD27=1,30,0),ABS(4-$HF27)*100)),100000+ABS(5-$HE27)*1000+40)),IF($HG27=0,999999,IF(5=$HH27,IF(100=$HN27,IF($JE27=2,30,0),IF(100=$HO27,IF($JE27=1,30,0),ABS(4-$HI27)*100)),100000+ABS(5-$HH27)*1000+40)))-IF((100=$HJ27)+(100=$HK27)+(100=$HL27)+(100=$HM27)+(100=$HN27)+(100=$HO27)&gt;=2,50,0))+CY$5*50)</f>
        <v/>
      </c>
      <c r="CZ147">
        <f>IF(OR($JF27=0,calcA!$A$6=0),0,IF(OR(101=$HA27,101=$HD27,101=$HG27),200000,MIN(IF($HA27=0,999999,IF(5=$HB27,IF(101=$HJ27,IF($JC27=2,30,0),IF(101=$HK27,IF($JC27=1,30,0),ABS(5-$HC27)*100)),100000+ABS(5-$HB27)*1000+50)),IF($HD27=0,999999,IF(5=$HE27,IF(101=$HL27,IF($JD27=2,30,0),IF(101=$HM27,IF($JD27=1,30,0),ABS(5-$HF27)*100)),100000+ABS(5-$HE27)*1000+50)),IF($HG27=0,999999,IF(5=$HH27,IF(101=$HN27,IF($JE27=2,30,0),IF(101=$HO27,IF($JE27=1,30,0),ABS(5-$HI27)*100)),100000+ABS(5-$HH27)*1000+50)))-IF((101=$HJ27)+(101=$HK27)+(101=$HL27)+(101=$HM27)+(101=$HN27)+(101=$HO27)&gt;=2,50,0))+CZ$5*50)</f>
        <v/>
      </c>
      <c r="DA147">
        <f>IF(OR($JF27=0,calcA!$A$6=0),0,IF(OR(102=$HA27,102=$HD27,102=$HG27),200000,MIN(IF($HA27=0,999999,IF(5=$HB27,IF(102=$HJ27,IF($JC27=2,30,0),IF(102=$HK27,IF($JC27=1,30,0),ABS(6-$HC27)*100)),100000+ABS(5-$HB27)*1000+60)),IF($HD27=0,999999,IF(5=$HE27,IF(102=$HL27,IF($JD27=2,30,0),IF(102=$HM27,IF($JD27=1,30,0),ABS(6-$HF27)*100)),100000+ABS(5-$HE27)*1000+60)),IF($HG27=0,999999,IF(5=$HH27,IF(102=$HN27,IF($JE27=2,30,0),IF(102=$HO27,IF($JE27=1,30,0),ABS(6-$HI27)*100)),100000+ABS(5-$HH27)*1000+60)))-IF((102=$HJ27)+(102=$HK27)+(102=$HL27)+(102=$HM27)+(102=$HN27)+(102=$HO27)&gt;=2,50,0))+DA$5*50)</f>
        <v/>
      </c>
      <c r="DB147">
        <f>IF(OR($JF27=0,calcA!$A$6=0),0,IF(OR(103=$HA27,103=$HD27,103=$HG27),200000,MIN(IF($HA27=0,999999,IF(5=$HB27,IF(103=$HJ27,IF($JC27=2,30,0),IF(103=$HK27,IF($JC27=1,30,0),ABS(7-$HC27)*100)),100000+ABS(5-$HB27)*1000+70)),IF($HD27=0,999999,IF(5=$HE27,IF(103=$HL27,IF($JD27=2,30,0),IF(103=$HM27,IF($JD27=1,30,0),ABS(7-$HF27)*100)),100000+ABS(5-$HE27)*1000+70)),IF($HG27=0,999999,IF(5=$HH27,IF(103=$HN27,IF($JE27=2,30,0),IF(103=$HO27,IF($JE27=1,30,0),ABS(7-$HI27)*100)),100000+ABS(5-$HH27)*1000+70)))-IF((103=$HJ27)+(103=$HK27)+(103=$HL27)+(103=$HM27)+(103=$HN27)+(103=$HO27)&gt;=2,50,0))+DB$5*50)</f>
        <v/>
      </c>
      <c r="DC147">
        <f>IF(OR($JF27=0,calcA!$A$6=0),0,IF(OR(104=$HA27,104=$HD27,104=$HG27),200000,MIN(IF($HA27=0,999999,IF(5=$HB27,IF(104=$HJ27,IF($JC27=2,30,0),IF(104=$HK27,IF($JC27=1,30,0),ABS(8-$HC27)*100)),100000+ABS(5-$HB27)*1000+80)),IF($HD27=0,999999,IF(5=$HE27,IF(104=$HL27,IF($JD27=2,30,0),IF(104=$HM27,IF($JD27=1,30,0),ABS(8-$HF27)*100)),100000+ABS(5-$HE27)*1000+80)),IF($HG27=0,999999,IF(5=$HH27,IF(104=$HN27,IF($JE27=2,30,0),IF(104=$HO27,IF($JE27=1,30,0),ABS(8-$HI27)*100)),100000+ABS(5-$HH27)*1000+80)))-IF((104=$HJ27)+(104=$HK27)+(104=$HL27)+(104=$HM27)+(104=$HN27)+(104=$HO27)&gt;=2,50,0))+DC$5*50)</f>
        <v/>
      </c>
      <c r="DD147">
        <f>IF(OR($JF27=0,calcA!$A$6=0),0,IF(OR(105=$HA27,105=$HD27,105=$HG27),200000,MIN(IF($HA27=0,999999,IF(5=$HB27,IF(105=$HJ27,IF($JC27=2,30,0),IF(105=$HK27,IF($JC27=1,30,0),ABS(9-$HC27)*100)),100000+ABS(5-$HB27)*1000+90)),IF($HD27=0,999999,IF(5=$HE27,IF(105=$HL27,IF($JD27=2,30,0),IF(105=$HM27,IF($JD27=1,30,0),ABS(9-$HF27)*100)),100000+ABS(5-$HE27)*1000+90)),IF($HG27=0,999999,IF(5=$HH27,IF(105=$HN27,IF($JE27=2,30,0),IF(105=$HO27,IF($JE27=1,30,0),ABS(9-$HI27)*100)),100000+ABS(5-$HH27)*1000+90)))-IF((105=$HJ27)+(105=$HK27)+(105=$HL27)+(105=$HM27)+(105=$HN27)+(105=$HO27)&gt;=2,50,0))+DD$5*50)</f>
        <v/>
      </c>
      <c r="DE147">
        <f>IF(OR($JF27=0,calcA!$A$6=0),0,IF(OR(106=$HA27,106=$HD27,106=$HG27),200000,MIN(IF($HA27=0,999999,IF(5=$HB27,IF(106=$HJ27,IF($JC27=2,30,0),IF(106=$HK27,IF($JC27=1,30,0),ABS(10-$HC27)*100)),100000+ABS(5-$HB27)*1000+100)),IF($HD27=0,999999,IF(5=$HE27,IF(106=$HL27,IF($JD27=2,30,0),IF(106=$HM27,IF($JD27=1,30,0),ABS(10-$HF27)*100)),100000+ABS(5-$HE27)*1000+100)),IF($HG27=0,999999,IF(5=$HH27,IF(106=$HN27,IF($JE27=2,30,0),IF(106=$HO27,IF($JE27=1,30,0),ABS(10-$HI27)*100)),100000+ABS(5-$HH27)*1000+100)))-IF((106=$HJ27)+(106=$HK27)+(106=$HL27)+(106=$HM27)+(106=$HN27)+(106=$HO27)&gt;=2,50,0))+DE$5*50)</f>
        <v/>
      </c>
      <c r="DF147">
        <f>IF(OR($JF27=0,calcA!$A$6=0),0,IF(OR(107=$HA27,107=$HD27,107=$HG27),200000,MIN(IF($HA27=0,999999,IF(5=$HB27,IF(107=$HJ27,IF($JC27=2,30,0),IF(107=$HK27,IF($JC27=1,30,0),ABS(11-$HC27)*100)),100000+ABS(5-$HB27)*1000+110)),IF($HD27=0,999999,IF(5=$HE27,IF(107=$HL27,IF($JD27=2,30,0),IF(107=$HM27,IF($JD27=1,30,0),ABS(11-$HF27)*100)),100000+ABS(5-$HE27)*1000+110)),IF($HG27=0,999999,IF(5=$HH27,IF(107=$HN27,IF($JE27=2,30,0),IF(107=$HO27,IF($JE27=1,30,0),ABS(11-$HI27)*100)),100000+ABS(5-$HH27)*1000+110)))-IF((107=$HJ27)+(107=$HK27)+(107=$HL27)+(107=$HM27)+(107=$HN27)+(107=$HO27)&gt;=2,50,0))+DF$5*50)</f>
        <v/>
      </c>
      <c r="DG147">
        <f>IF(OR($JF27=0,calcA!$A$6=0),0,IF(OR(108=$HA27,108=$HD27,108=$HG27),200000,MIN(IF($HA27=0,999999,IF(5=$HB27,IF(108=$HJ27,IF($JC27=2,30,0),IF(108=$HK27,IF($JC27=1,30,0),ABS(12-$HC27)*100)),100000+ABS(5-$HB27)*1000+120)),IF($HD27=0,999999,IF(5=$HE27,IF(108=$HL27,IF($JD27=2,30,0),IF(108=$HM27,IF($JD27=1,30,0),ABS(12-$HF27)*100)),100000+ABS(5-$HE27)*1000+120)),IF($HG27=0,999999,IF(5=$HH27,IF(108=$HN27,IF($JE27=2,30,0),IF(108=$HO27,IF($JE27=1,30,0),ABS(12-$HI27)*100)),100000+ABS(5-$HH27)*1000+120)))-IF((108=$HJ27)+(108=$HK27)+(108=$HL27)+(108=$HM27)+(108=$HN27)+(108=$HO27)&gt;=2,50,0))+DG$5*50)</f>
        <v/>
      </c>
      <c r="DH147">
        <f>IF(OR($JF27=0,calcA!$A$6=0),0,IF(OR(109=$HA27,109=$HD27,109=$HG27),200000,MIN(IF($HA27=0,999999,IF(5=$HB27,IF(109=$HJ27,IF($JC27=2,30,0),IF(109=$HK27,IF($JC27=1,30,0),ABS(13-$HC27)*100)),100000+ABS(5-$HB27)*1000+130)),IF($HD27=0,999999,IF(5=$HE27,IF(109=$HL27,IF($JD27=2,30,0),IF(109=$HM27,IF($JD27=1,30,0),ABS(13-$HF27)*100)),100000+ABS(5-$HE27)*1000+130)),IF($HG27=0,999999,IF(5=$HH27,IF(109=$HN27,IF($JE27=2,30,0),IF(109=$HO27,IF($JE27=1,30,0),ABS(13-$HI27)*100)),100000+ABS(5-$HH27)*1000+130)))-IF((109=$HJ27)+(109=$HK27)+(109=$HL27)+(109=$HM27)+(109=$HN27)+(109=$HO27)&gt;=2,50,0))+DH$5*50)</f>
        <v/>
      </c>
      <c r="DI147">
        <f>IF(OR($JF27=0,calcA!$A$6=0),0,IF(OR(110=$HA27,110=$HD27,110=$HG27),200000,MIN(IF($HA27=0,999999,IF(5=$HB27,IF(110=$HJ27,IF($JC27=2,30,0),IF(110=$HK27,IF($JC27=1,30,0),ABS(14-$HC27)*100)),100000+ABS(5-$HB27)*1000+140)),IF($HD27=0,999999,IF(5=$HE27,IF(110=$HL27,IF($JD27=2,30,0),IF(110=$HM27,IF($JD27=1,30,0),ABS(14-$HF27)*100)),100000+ABS(5-$HE27)*1000+140)),IF($HG27=0,999999,IF(5=$HH27,IF(110=$HN27,IF($JE27=2,30,0),IF(110=$HO27,IF($JE27=1,30,0),ABS(14-$HI27)*100)),100000+ABS(5-$HH27)*1000+140)))-IF((110=$HJ27)+(110=$HK27)+(110=$HL27)+(110=$HM27)+(110=$HN27)+(110=$HO27)&gt;=2,50,0))+DI$5*50)</f>
        <v/>
      </c>
      <c r="DJ147">
        <f>IF(OR($JF27=0,calcA!$A$6=0),0,IF(OR(111=$HA27,111=$HD27,111=$HG27),200000,MIN(IF($HA27=0,999999,IF(5=$HB27,IF(111=$HJ27,IF($JC27=2,30,0),IF(111=$HK27,IF($JC27=1,30,0),ABS(15-$HC27)*100)),100000+ABS(5-$HB27)*1000+150)),IF($HD27=0,999999,IF(5=$HE27,IF(111=$HL27,IF($JD27=2,30,0),IF(111=$HM27,IF($JD27=1,30,0),ABS(15-$HF27)*100)),100000+ABS(5-$HE27)*1000+150)),IF($HG27=0,999999,IF(5=$HH27,IF(111=$HN27,IF($JE27=2,30,0),IF(111=$HO27,IF($JE27=1,30,0),ABS(15-$HI27)*100)),100000+ABS(5-$HH27)*1000+150)))-IF((111=$HJ27)+(111=$HK27)+(111=$HL27)+(111=$HM27)+(111=$HN27)+(111=$HO27)&gt;=2,50,0))+DJ$5*50)</f>
        <v/>
      </c>
      <c r="DK147">
        <f>IF(OR($JF27=0,calcA!$A$6=0),0,IF(OR(112=$HA27,112=$HD27,112=$HG27),200000,MIN(IF($HA27=0,999999,IF(5=$HB27,IF(112=$HJ27,IF($JC27=2,30,0),IF(112=$HK27,IF($JC27=1,30,0),ABS(16-$HC27)*100)),100000+ABS(5-$HB27)*1000+160)),IF($HD27=0,999999,IF(5=$HE27,IF(112=$HL27,IF($JD27=2,30,0),IF(112=$HM27,IF($JD27=1,30,0),ABS(16-$HF27)*100)),100000+ABS(5-$HE27)*1000+160)),IF($HG27=0,999999,IF(5=$HH27,IF(112=$HN27,IF($JE27=2,30,0),IF(112=$HO27,IF($JE27=1,30,0),ABS(16-$HI27)*100)),100000+ABS(5-$HH27)*1000+160)))-IF((112=$HJ27)+(112=$HK27)+(112=$HL27)+(112=$HM27)+(112=$HN27)+(112=$HO27)&gt;=2,50,0))+DK$5*50)</f>
        <v/>
      </c>
      <c r="DL147">
        <f>IF(OR($JF27=0,calcA!$A$6=0),0,IF(OR(113=$HA27,113=$HD27,113=$HG27),200000,MIN(IF($HA27=0,999999,IF(5=$HB27,IF(113=$HJ27,IF($JC27=2,30,0),IF(113=$HK27,IF($JC27=1,30,0),ABS(17-$HC27)*100)),100000+ABS(5-$HB27)*1000+170)),IF($HD27=0,999999,IF(5=$HE27,IF(113=$HL27,IF($JD27=2,30,0),IF(113=$HM27,IF($JD27=1,30,0),ABS(17-$HF27)*100)),100000+ABS(5-$HE27)*1000+170)),IF($HG27=0,999999,IF(5=$HH27,IF(113=$HN27,IF($JE27=2,30,0),IF(113=$HO27,IF($JE27=1,30,0),ABS(17-$HI27)*100)),100000+ABS(5-$HH27)*1000+170)))-IF((113=$HJ27)+(113=$HK27)+(113=$HL27)+(113=$HM27)+(113=$HN27)+(113=$HO27)&gt;=2,50,0))+DL$5*50)</f>
        <v/>
      </c>
      <c r="DM147">
        <f>IF(OR($JF27=0,calcA!$A$6=0),0,IF(OR(114=$HA27,114=$HD27,114=$HG27),200000,MIN(IF($HA27=0,999999,IF(5=$HB27,IF(114=$HJ27,IF($JC27=2,30,0),IF(114=$HK27,IF($JC27=1,30,0),ABS(18-$HC27)*100)),100000+ABS(5-$HB27)*1000+180)),IF($HD27=0,999999,IF(5=$HE27,IF(114=$HL27,IF($JD27=2,30,0),IF(114=$HM27,IF($JD27=1,30,0),ABS(18-$HF27)*100)),100000+ABS(5-$HE27)*1000+180)),IF($HG27=0,999999,IF(5=$HH27,IF(114=$HN27,IF($JE27=2,30,0),IF(114=$HO27,IF($JE27=1,30,0),ABS(18-$HI27)*100)),100000+ABS(5-$HH27)*1000+180)))-IF((114=$HJ27)+(114=$HK27)+(114=$HL27)+(114=$HM27)+(114=$HN27)+(114=$HO27)&gt;=2,50,0))+DM$5*50)</f>
        <v/>
      </c>
      <c r="DN147">
        <f>IF(OR($JF27=0,calcA!$A$6=0),0,IF(OR(115=$HA27,115=$HD27,115=$HG27),200000,MIN(IF($HA27=0,999999,IF(5=$HB27,IF(115=$HJ27,IF($JC27=2,30,0),IF(115=$HK27,IF($JC27=1,30,0),ABS(19-$HC27)*100)),100000+ABS(5-$HB27)*1000+190)),IF($HD27=0,999999,IF(5=$HE27,IF(115=$HL27,IF($JD27=2,30,0),IF(115=$HM27,IF($JD27=1,30,0),ABS(19-$HF27)*100)),100000+ABS(5-$HE27)*1000+190)),IF($HG27=0,999999,IF(5=$HH27,IF(115=$HN27,IF($JE27=2,30,0),IF(115=$HO27,IF($JE27=1,30,0),ABS(19-$HI27)*100)),100000+ABS(5-$HH27)*1000+190)))-IF((115=$HJ27)+(115=$HK27)+(115=$HL27)+(115=$HM27)+(115=$HN27)+(115=$HO27)&gt;=2,50,0))+DN$5*50)</f>
        <v/>
      </c>
      <c r="DO147">
        <f>IF(OR($JF27=0,calcA!$A$6=0),0,IF(OR(116=$HA27,116=$HD27,116=$HG27),200000,MIN(IF($HA27=0,999999,IF(5=$HB27,IF(116=$HJ27,IF($JC27=2,30,0),IF(116=$HK27,IF($JC27=1,30,0),ABS(20-$HC27)*100)),100000+ABS(5-$HB27)*1000+200)),IF($HD27=0,999999,IF(5=$HE27,IF(116=$HL27,IF($JD27=2,30,0),IF(116=$HM27,IF($JD27=1,30,0),ABS(20-$HF27)*100)),100000+ABS(5-$HE27)*1000+200)),IF($HG27=0,999999,IF(5=$HH27,IF(116=$HN27,IF($JE27=2,30,0),IF(116=$HO27,IF($JE27=1,30,0),ABS(20-$HI27)*100)),100000+ABS(5-$HH27)*1000+200)))-IF((116=$HJ27)+(116=$HK27)+(116=$HL27)+(116=$HM27)+(116=$HN27)+(116=$HO27)&gt;=2,50,0))+DO$5*50)</f>
        <v/>
      </c>
      <c r="DP147">
        <f>IF(OR($JF27=0,calcA!$A$6=0),0,IF(OR(117=$HA27,117=$HD27,117=$HG27),200000,MIN(IF($HA27=0,999999,IF(5=$HB27,IF(117=$HJ27,IF($JC27=2,30,0),IF(117=$HK27,IF($JC27=1,30,0),ABS(21-$HC27)*100)),100000+ABS(5-$HB27)*1000+210)),IF($HD27=0,999999,IF(5=$HE27,IF(117=$HL27,IF($JD27=2,30,0),IF(117=$HM27,IF($JD27=1,30,0),ABS(21-$HF27)*100)),100000+ABS(5-$HE27)*1000+210)),IF($HG27=0,999999,IF(5=$HH27,IF(117=$HN27,IF($JE27=2,30,0),IF(117=$HO27,IF($JE27=1,30,0),ABS(21-$HI27)*100)),100000+ABS(5-$HH27)*1000+210)))-IF((117=$HJ27)+(117=$HK27)+(117=$HL27)+(117=$HM27)+(117=$HN27)+(117=$HO27)&gt;=2,50,0))+DP$5*50)</f>
        <v/>
      </c>
      <c r="DQ147">
        <f>IF(OR($JF27=0,calcA!$A$6=0),0,IF(OR(118=$HA27,118=$HD27,118=$HG27),200000,MIN(IF($HA27=0,999999,IF(5=$HB27,IF(118=$HJ27,IF($JC27=2,30,0),IF(118=$HK27,IF($JC27=1,30,0),ABS(22-$HC27)*100)),100000+ABS(5-$HB27)*1000+220)),IF($HD27=0,999999,IF(5=$HE27,IF(118=$HL27,IF($JD27=2,30,0),IF(118=$HM27,IF($JD27=1,30,0),ABS(22-$HF27)*100)),100000+ABS(5-$HE27)*1000+220)),IF($HG27=0,999999,IF(5=$HH27,IF(118=$HN27,IF($JE27=2,30,0),IF(118=$HO27,IF($JE27=1,30,0),ABS(22-$HI27)*100)),100000+ABS(5-$HH27)*1000+220)))-IF((118=$HJ27)+(118=$HK27)+(118=$HL27)+(118=$HM27)+(118=$HN27)+(118=$HO27)&gt;=2,50,0))+DQ$5*50)</f>
        <v/>
      </c>
      <c r="DR147">
        <f>IF(OR($JF27=0,calcA!$A$6=0),0,IF(OR(119=$HA27,119=$HD27,119=$HG27),200000,MIN(IF($HA27=0,999999,IF(5=$HB27,IF(119=$HJ27,IF($JC27=2,30,0),IF(119=$HK27,IF($JC27=1,30,0),ABS(23-$HC27)*100)),100000+ABS(5-$HB27)*1000+230)),IF($HD27=0,999999,IF(5=$HE27,IF(119=$HL27,IF($JD27=2,30,0),IF(119=$HM27,IF($JD27=1,30,0),ABS(23-$HF27)*100)),100000+ABS(5-$HE27)*1000+230)),IF($HG27=0,999999,IF(5=$HH27,IF(119=$HN27,IF($JE27=2,30,0),IF(119=$HO27,IF($JE27=1,30,0),ABS(23-$HI27)*100)),100000+ABS(5-$HH27)*1000+230)))-IF((119=$HJ27)+(119=$HK27)+(119=$HL27)+(119=$HM27)+(119=$HN27)+(119=$HO27)&gt;=2,50,0))+DR$5*50)</f>
        <v/>
      </c>
      <c r="DS147">
        <f>IF(OR($JF27=0,calcA!$A$6=0),0,IF(OR(120=$HA27,120=$HD27,120=$HG27),200000,MIN(IF($HA27=0,999999,IF(5=$HB27,IF(120=$HJ27,IF($JC27=2,30,0),IF(120=$HK27,IF($JC27=1,30,0),ABS(24-$HC27)*100)),100000+ABS(5-$HB27)*1000+240)),IF($HD27=0,999999,IF(5=$HE27,IF(120=$HL27,IF($JD27=2,30,0),IF(120=$HM27,IF($JD27=1,30,0),ABS(24-$HF27)*100)),100000+ABS(5-$HE27)*1000+240)),IF($HG27=0,999999,IF(5=$HH27,IF(120=$HN27,IF($JE27=2,30,0),IF(120=$HO27,IF($JE27=1,30,0),ABS(24-$HI27)*100)),100000+ABS(5-$HH27)*1000+240)))-IF((120=$HJ27)+(120=$HK27)+(120=$HL27)+(120=$HM27)+(120=$HN27)+(120=$HO27)&gt;=2,50,0))+DS$5*50)</f>
        <v/>
      </c>
      <c r="DT147">
        <f>IF(OR($JF27=0,calcA!$A$6=0),0,IF(OR(121=$HA27,121=$HD27,121=$HG27),200000,MIN(IF($HA27=0,999999,IF(6=$HB27,IF(121=$HJ27,IF($JC27=2,30,0),IF(121=$HK27,IF($JC27=1,30,0),ABS(1-$HC27)*100)),100000+ABS(6-$HB27)*1000+10)),IF($HD27=0,999999,IF(6=$HE27,IF(121=$HL27,IF($JD27=2,30,0),IF(121=$HM27,IF($JD27=1,30,0),ABS(1-$HF27)*100)),100000+ABS(6-$HE27)*1000+10)),IF($HG27=0,999999,IF(6=$HH27,IF(121=$HN27,IF($JE27=2,30,0),IF(121=$HO27,IF($JE27=1,30,0),ABS(1-$HI27)*100)),100000+ABS(6-$HH27)*1000+10)))-IF((121=$HJ27)+(121=$HK27)+(121=$HL27)+(121=$HM27)+(121=$HN27)+(121=$HO27)&gt;=2,50,0))+DT$5*50)</f>
        <v/>
      </c>
      <c r="DU147">
        <f>IF(OR($JF27=0,calcA!$A$6=0),0,IF(OR(122=$HA27,122=$HD27,122=$HG27),200000,MIN(IF($HA27=0,999999,IF(6=$HB27,IF(122=$HJ27,IF($JC27=2,30,0),IF(122=$HK27,IF($JC27=1,30,0),ABS(2-$HC27)*100)),100000+ABS(6-$HB27)*1000+20)),IF($HD27=0,999999,IF(6=$HE27,IF(122=$HL27,IF($JD27=2,30,0),IF(122=$HM27,IF($JD27=1,30,0),ABS(2-$HF27)*100)),100000+ABS(6-$HE27)*1000+20)),IF($HG27=0,999999,IF(6=$HH27,IF(122=$HN27,IF($JE27=2,30,0),IF(122=$HO27,IF($JE27=1,30,0),ABS(2-$HI27)*100)),100000+ABS(6-$HH27)*1000+20)))-IF((122=$HJ27)+(122=$HK27)+(122=$HL27)+(122=$HM27)+(122=$HN27)+(122=$HO27)&gt;=2,50,0))+DU$5*50)</f>
        <v/>
      </c>
      <c r="DV147">
        <f>IF(OR($JF27=0,calcA!$A$6=0),0,IF(OR(123=$HA27,123=$HD27,123=$HG27),200000,MIN(IF($HA27=0,999999,IF(6=$HB27,IF(123=$HJ27,IF($JC27=2,30,0),IF(123=$HK27,IF($JC27=1,30,0),ABS(3-$HC27)*100)),100000+ABS(6-$HB27)*1000+30)),IF($HD27=0,999999,IF(6=$HE27,IF(123=$HL27,IF($JD27=2,30,0),IF(123=$HM27,IF($JD27=1,30,0),ABS(3-$HF27)*100)),100000+ABS(6-$HE27)*1000+30)),IF($HG27=0,999999,IF(6=$HH27,IF(123=$HN27,IF($JE27=2,30,0),IF(123=$HO27,IF($JE27=1,30,0),ABS(3-$HI27)*100)),100000+ABS(6-$HH27)*1000+30)))-IF((123=$HJ27)+(123=$HK27)+(123=$HL27)+(123=$HM27)+(123=$HN27)+(123=$HO27)&gt;=2,50,0))+DV$5*50)</f>
        <v/>
      </c>
      <c r="DW147">
        <f>IF(OR($JF27=0,calcA!$A$6=0),0,IF(OR(124=$HA27,124=$HD27,124=$HG27),200000,MIN(IF($HA27=0,999999,IF(6=$HB27,IF(124=$HJ27,IF($JC27=2,30,0),IF(124=$HK27,IF($JC27=1,30,0),ABS(4-$HC27)*100)),100000+ABS(6-$HB27)*1000+40)),IF($HD27=0,999999,IF(6=$HE27,IF(124=$HL27,IF($JD27=2,30,0),IF(124=$HM27,IF($JD27=1,30,0),ABS(4-$HF27)*100)),100000+ABS(6-$HE27)*1000+40)),IF($HG27=0,999999,IF(6=$HH27,IF(124=$HN27,IF($JE27=2,30,0),IF(124=$HO27,IF($JE27=1,30,0),ABS(4-$HI27)*100)),100000+ABS(6-$HH27)*1000+40)))-IF((124=$HJ27)+(124=$HK27)+(124=$HL27)+(124=$HM27)+(124=$HN27)+(124=$HO27)&gt;=2,50,0))+DW$5*50)</f>
        <v/>
      </c>
      <c r="DX147">
        <f>IF(OR($JF27=0,calcA!$A$6=0),0,IF(OR(125=$HA27,125=$HD27,125=$HG27),200000,MIN(IF($HA27=0,999999,IF(6=$HB27,IF(125=$HJ27,IF($JC27=2,30,0),IF(125=$HK27,IF($JC27=1,30,0),ABS(5-$HC27)*100)),100000+ABS(6-$HB27)*1000+50)),IF($HD27=0,999999,IF(6=$HE27,IF(125=$HL27,IF($JD27=2,30,0),IF(125=$HM27,IF($JD27=1,30,0),ABS(5-$HF27)*100)),100000+ABS(6-$HE27)*1000+50)),IF($HG27=0,999999,IF(6=$HH27,IF(125=$HN27,IF($JE27=2,30,0),IF(125=$HO27,IF($JE27=1,30,0),ABS(5-$HI27)*100)),100000+ABS(6-$HH27)*1000+50)))-IF((125=$HJ27)+(125=$HK27)+(125=$HL27)+(125=$HM27)+(125=$HN27)+(125=$HO27)&gt;=2,50,0))+DX$5*50)</f>
        <v/>
      </c>
      <c r="DY147">
        <f>IF(OR($JF27=0,calcA!$A$6=0),0,IF(OR(126=$HA27,126=$HD27,126=$HG27),200000,MIN(IF($HA27=0,999999,IF(6=$HB27,IF(126=$HJ27,IF($JC27=2,30,0),IF(126=$HK27,IF($JC27=1,30,0),ABS(6-$HC27)*100)),100000+ABS(6-$HB27)*1000+60)),IF($HD27=0,999999,IF(6=$HE27,IF(126=$HL27,IF($JD27=2,30,0),IF(126=$HM27,IF($JD27=1,30,0),ABS(6-$HF27)*100)),100000+ABS(6-$HE27)*1000+60)),IF($HG27=0,999999,IF(6=$HH27,IF(126=$HN27,IF($JE27=2,30,0),IF(126=$HO27,IF($JE27=1,30,0),ABS(6-$HI27)*100)),100000+ABS(6-$HH27)*1000+60)))-IF((126=$HJ27)+(126=$HK27)+(126=$HL27)+(126=$HM27)+(126=$HN27)+(126=$HO27)&gt;=2,50,0))+DY$5*50)</f>
        <v/>
      </c>
      <c r="DZ147">
        <f>IF(OR($JF27=0,calcA!$A$6=0),0,IF(OR(127=$HA27,127=$HD27,127=$HG27),200000,MIN(IF($HA27=0,999999,IF(6=$HB27,IF(127=$HJ27,IF($JC27=2,30,0),IF(127=$HK27,IF($JC27=1,30,0),ABS(7-$HC27)*100)),100000+ABS(6-$HB27)*1000+70)),IF($HD27=0,999999,IF(6=$HE27,IF(127=$HL27,IF($JD27=2,30,0),IF(127=$HM27,IF($JD27=1,30,0),ABS(7-$HF27)*100)),100000+ABS(6-$HE27)*1000+70)),IF($HG27=0,999999,IF(6=$HH27,IF(127=$HN27,IF($JE27=2,30,0),IF(127=$HO27,IF($JE27=1,30,0),ABS(7-$HI27)*100)),100000+ABS(6-$HH27)*1000+70)))-IF((127=$HJ27)+(127=$HK27)+(127=$HL27)+(127=$HM27)+(127=$HN27)+(127=$HO27)&gt;=2,50,0))+DZ$5*50)</f>
        <v/>
      </c>
      <c r="EA147">
        <f>IF(OR($JF27=0,calcA!$A$6=0),0,IF(OR(128=$HA27,128=$HD27,128=$HG27),200000,MIN(IF($HA27=0,999999,IF(6=$HB27,IF(128=$HJ27,IF($JC27=2,30,0),IF(128=$HK27,IF($JC27=1,30,0),ABS(8-$HC27)*100)),100000+ABS(6-$HB27)*1000+80)),IF($HD27=0,999999,IF(6=$HE27,IF(128=$HL27,IF($JD27=2,30,0),IF(128=$HM27,IF($JD27=1,30,0),ABS(8-$HF27)*100)),100000+ABS(6-$HE27)*1000+80)),IF($HG27=0,999999,IF(6=$HH27,IF(128=$HN27,IF($JE27=2,30,0),IF(128=$HO27,IF($JE27=1,30,0),ABS(8-$HI27)*100)),100000+ABS(6-$HH27)*1000+80)))-IF((128=$HJ27)+(128=$HK27)+(128=$HL27)+(128=$HM27)+(128=$HN27)+(128=$HO27)&gt;=2,50,0))+EA$5*50)</f>
        <v/>
      </c>
      <c r="EB147">
        <f>IF(OR($JF27=0,calcA!$A$6=0),0,IF(OR(129=$HA27,129=$HD27,129=$HG27),200000,MIN(IF($HA27=0,999999,IF(6=$HB27,IF(129=$HJ27,IF($JC27=2,30,0),IF(129=$HK27,IF($JC27=1,30,0),ABS(9-$HC27)*100)),100000+ABS(6-$HB27)*1000+90)),IF($HD27=0,999999,IF(6=$HE27,IF(129=$HL27,IF($JD27=2,30,0),IF(129=$HM27,IF($JD27=1,30,0),ABS(9-$HF27)*100)),100000+ABS(6-$HE27)*1000+90)),IF($HG27=0,999999,IF(6=$HH27,IF(129=$HN27,IF($JE27=2,30,0),IF(129=$HO27,IF($JE27=1,30,0),ABS(9-$HI27)*100)),100000+ABS(6-$HH27)*1000+90)))-IF((129=$HJ27)+(129=$HK27)+(129=$HL27)+(129=$HM27)+(129=$HN27)+(129=$HO27)&gt;=2,50,0))+EB$5*50)</f>
        <v/>
      </c>
      <c r="EC147">
        <f>IF(OR($JF27=0,calcA!$A$6=0),0,IF(OR(130=$HA27,130=$HD27,130=$HG27),200000,MIN(IF($HA27=0,999999,IF(6=$HB27,IF(130=$HJ27,IF($JC27=2,30,0),IF(130=$HK27,IF($JC27=1,30,0),ABS(10-$HC27)*100)),100000+ABS(6-$HB27)*1000+100)),IF($HD27=0,999999,IF(6=$HE27,IF(130=$HL27,IF($JD27=2,30,0),IF(130=$HM27,IF($JD27=1,30,0),ABS(10-$HF27)*100)),100000+ABS(6-$HE27)*1000+100)),IF($HG27=0,999999,IF(6=$HH27,IF(130=$HN27,IF($JE27=2,30,0),IF(130=$HO27,IF($JE27=1,30,0),ABS(10-$HI27)*100)),100000+ABS(6-$HH27)*1000+100)))-IF((130=$HJ27)+(130=$HK27)+(130=$HL27)+(130=$HM27)+(130=$HN27)+(130=$HO27)&gt;=2,50,0))+EC$5*50)</f>
        <v/>
      </c>
      <c r="ED147">
        <f>IF(OR($JF27=0,calcA!$A$6=0),0,IF(OR(131=$HA27,131=$HD27,131=$HG27),200000,MIN(IF($HA27=0,999999,IF(6=$HB27,IF(131=$HJ27,IF($JC27=2,30,0),IF(131=$HK27,IF($JC27=1,30,0),ABS(11-$HC27)*100)),100000+ABS(6-$HB27)*1000+110)),IF($HD27=0,999999,IF(6=$HE27,IF(131=$HL27,IF($JD27=2,30,0),IF(131=$HM27,IF($JD27=1,30,0),ABS(11-$HF27)*100)),100000+ABS(6-$HE27)*1000+110)),IF($HG27=0,999999,IF(6=$HH27,IF(131=$HN27,IF($JE27=2,30,0),IF(131=$HO27,IF($JE27=1,30,0),ABS(11-$HI27)*100)),100000+ABS(6-$HH27)*1000+110)))-IF((131=$HJ27)+(131=$HK27)+(131=$HL27)+(131=$HM27)+(131=$HN27)+(131=$HO27)&gt;=2,50,0))+ED$5*50)</f>
        <v/>
      </c>
      <c r="EE147">
        <f>IF(OR($JF27=0,calcA!$A$6=0),0,IF(OR(132=$HA27,132=$HD27,132=$HG27),200000,MIN(IF($HA27=0,999999,IF(6=$HB27,IF(132=$HJ27,IF($JC27=2,30,0),IF(132=$HK27,IF($JC27=1,30,0),ABS(12-$HC27)*100)),100000+ABS(6-$HB27)*1000+120)),IF($HD27=0,999999,IF(6=$HE27,IF(132=$HL27,IF($JD27=2,30,0),IF(132=$HM27,IF($JD27=1,30,0),ABS(12-$HF27)*100)),100000+ABS(6-$HE27)*1000+120)),IF($HG27=0,999999,IF(6=$HH27,IF(132=$HN27,IF($JE27=2,30,0),IF(132=$HO27,IF($JE27=1,30,0),ABS(12-$HI27)*100)),100000+ABS(6-$HH27)*1000+120)))-IF((132=$HJ27)+(132=$HK27)+(132=$HL27)+(132=$HM27)+(132=$HN27)+(132=$HO27)&gt;=2,50,0))+EE$5*50)</f>
        <v/>
      </c>
      <c r="EF147">
        <f>IF(OR($JF27=0,calcA!$A$6=0),0,IF(OR(133=$HA27,133=$HD27,133=$HG27),200000,MIN(IF($HA27=0,999999,IF(6=$HB27,IF(133=$HJ27,IF($JC27=2,30,0),IF(133=$HK27,IF($JC27=1,30,0),ABS(13-$HC27)*100)),100000+ABS(6-$HB27)*1000+130)),IF($HD27=0,999999,IF(6=$HE27,IF(133=$HL27,IF($JD27=2,30,0),IF(133=$HM27,IF($JD27=1,30,0),ABS(13-$HF27)*100)),100000+ABS(6-$HE27)*1000+130)),IF($HG27=0,999999,IF(6=$HH27,IF(133=$HN27,IF($JE27=2,30,0),IF(133=$HO27,IF($JE27=1,30,0),ABS(13-$HI27)*100)),100000+ABS(6-$HH27)*1000+130)))-IF((133=$HJ27)+(133=$HK27)+(133=$HL27)+(133=$HM27)+(133=$HN27)+(133=$HO27)&gt;=2,50,0))+EF$5*50)</f>
        <v/>
      </c>
      <c r="EG147">
        <f>IF(OR($JF27=0,calcA!$A$6=0),0,IF(OR(134=$HA27,134=$HD27,134=$HG27),200000,MIN(IF($HA27=0,999999,IF(6=$HB27,IF(134=$HJ27,IF($JC27=2,30,0),IF(134=$HK27,IF($JC27=1,30,0),ABS(14-$HC27)*100)),100000+ABS(6-$HB27)*1000+140)),IF($HD27=0,999999,IF(6=$HE27,IF(134=$HL27,IF($JD27=2,30,0),IF(134=$HM27,IF($JD27=1,30,0),ABS(14-$HF27)*100)),100000+ABS(6-$HE27)*1000+140)),IF($HG27=0,999999,IF(6=$HH27,IF(134=$HN27,IF($JE27=2,30,0),IF(134=$HO27,IF($JE27=1,30,0),ABS(14-$HI27)*100)),100000+ABS(6-$HH27)*1000+140)))-IF((134=$HJ27)+(134=$HK27)+(134=$HL27)+(134=$HM27)+(134=$HN27)+(134=$HO27)&gt;=2,50,0))+EG$5*50)</f>
        <v/>
      </c>
      <c r="EH147">
        <f>IF(OR($JF27=0,calcA!$A$6=0),0,IF(OR(135=$HA27,135=$HD27,135=$HG27),200000,MIN(IF($HA27=0,999999,IF(6=$HB27,IF(135=$HJ27,IF($JC27=2,30,0),IF(135=$HK27,IF($JC27=1,30,0),ABS(15-$HC27)*100)),100000+ABS(6-$HB27)*1000+150)),IF($HD27=0,999999,IF(6=$HE27,IF(135=$HL27,IF($JD27=2,30,0),IF(135=$HM27,IF($JD27=1,30,0),ABS(15-$HF27)*100)),100000+ABS(6-$HE27)*1000+150)),IF($HG27=0,999999,IF(6=$HH27,IF(135=$HN27,IF($JE27=2,30,0),IF(135=$HO27,IF($JE27=1,30,0),ABS(15-$HI27)*100)),100000+ABS(6-$HH27)*1000+150)))-IF((135=$HJ27)+(135=$HK27)+(135=$HL27)+(135=$HM27)+(135=$HN27)+(135=$HO27)&gt;=2,50,0))+EH$5*50)</f>
        <v/>
      </c>
      <c r="EI147">
        <f>IF(OR($JF27=0,calcA!$A$6=0),0,IF(OR(136=$HA27,136=$HD27,136=$HG27),200000,MIN(IF($HA27=0,999999,IF(6=$HB27,IF(136=$HJ27,IF($JC27=2,30,0),IF(136=$HK27,IF($JC27=1,30,0),ABS(16-$HC27)*100)),100000+ABS(6-$HB27)*1000+160)),IF($HD27=0,999999,IF(6=$HE27,IF(136=$HL27,IF($JD27=2,30,0),IF(136=$HM27,IF($JD27=1,30,0),ABS(16-$HF27)*100)),100000+ABS(6-$HE27)*1000+160)),IF($HG27=0,999999,IF(6=$HH27,IF(136=$HN27,IF($JE27=2,30,0),IF(136=$HO27,IF($JE27=1,30,0),ABS(16-$HI27)*100)),100000+ABS(6-$HH27)*1000+160)))-IF((136=$HJ27)+(136=$HK27)+(136=$HL27)+(136=$HM27)+(136=$HN27)+(136=$HO27)&gt;=2,50,0))+EI$5*50)</f>
        <v/>
      </c>
      <c r="EJ147">
        <f>IF(OR($JF27=0,calcA!$A$6=0),0,IF(OR(137=$HA27,137=$HD27,137=$HG27),200000,MIN(IF($HA27=0,999999,IF(6=$HB27,IF(137=$HJ27,IF($JC27=2,30,0),IF(137=$HK27,IF($JC27=1,30,0),ABS(17-$HC27)*100)),100000+ABS(6-$HB27)*1000+170)),IF($HD27=0,999999,IF(6=$HE27,IF(137=$HL27,IF($JD27=2,30,0),IF(137=$HM27,IF($JD27=1,30,0),ABS(17-$HF27)*100)),100000+ABS(6-$HE27)*1000+170)),IF($HG27=0,999999,IF(6=$HH27,IF(137=$HN27,IF($JE27=2,30,0),IF(137=$HO27,IF($JE27=1,30,0),ABS(17-$HI27)*100)),100000+ABS(6-$HH27)*1000+170)))-IF((137=$HJ27)+(137=$HK27)+(137=$HL27)+(137=$HM27)+(137=$HN27)+(137=$HO27)&gt;=2,50,0))+EJ$5*50)</f>
        <v/>
      </c>
      <c r="EK147">
        <f>IF(OR($JF27=0,calcA!$A$6=0),0,IF(OR(138=$HA27,138=$HD27,138=$HG27),200000,MIN(IF($HA27=0,999999,IF(6=$HB27,IF(138=$HJ27,IF($JC27=2,30,0),IF(138=$HK27,IF($JC27=1,30,0),ABS(18-$HC27)*100)),100000+ABS(6-$HB27)*1000+180)),IF($HD27=0,999999,IF(6=$HE27,IF(138=$HL27,IF($JD27=2,30,0),IF(138=$HM27,IF($JD27=1,30,0),ABS(18-$HF27)*100)),100000+ABS(6-$HE27)*1000+180)),IF($HG27=0,999999,IF(6=$HH27,IF(138=$HN27,IF($JE27=2,30,0),IF(138=$HO27,IF($JE27=1,30,0),ABS(18-$HI27)*100)),100000+ABS(6-$HH27)*1000+180)))-IF((138=$HJ27)+(138=$HK27)+(138=$HL27)+(138=$HM27)+(138=$HN27)+(138=$HO27)&gt;=2,50,0))+EK$5*50)</f>
        <v/>
      </c>
      <c r="EL147">
        <f>IF(OR($JF27=0,calcA!$A$6=0),0,IF(OR(139=$HA27,139=$HD27,139=$HG27),200000,MIN(IF($HA27=0,999999,IF(6=$HB27,IF(139=$HJ27,IF($JC27=2,30,0),IF(139=$HK27,IF($JC27=1,30,0),ABS(19-$HC27)*100)),100000+ABS(6-$HB27)*1000+190)),IF($HD27=0,999999,IF(6=$HE27,IF(139=$HL27,IF($JD27=2,30,0),IF(139=$HM27,IF($JD27=1,30,0),ABS(19-$HF27)*100)),100000+ABS(6-$HE27)*1000+190)),IF($HG27=0,999999,IF(6=$HH27,IF(139=$HN27,IF($JE27=2,30,0),IF(139=$HO27,IF($JE27=1,30,0),ABS(19-$HI27)*100)),100000+ABS(6-$HH27)*1000+190)))-IF((139=$HJ27)+(139=$HK27)+(139=$HL27)+(139=$HM27)+(139=$HN27)+(139=$HO27)&gt;=2,50,0))+EL$5*50)</f>
        <v/>
      </c>
      <c r="EM147">
        <f>IF(OR($JF27=0,calcA!$A$6=0),0,IF(OR(140=$HA27,140=$HD27,140=$HG27),200000,MIN(IF($HA27=0,999999,IF(6=$HB27,IF(140=$HJ27,IF($JC27=2,30,0),IF(140=$HK27,IF($JC27=1,30,0),ABS(20-$HC27)*100)),100000+ABS(6-$HB27)*1000+200)),IF($HD27=0,999999,IF(6=$HE27,IF(140=$HL27,IF($JD27=2,30,0),IF(140=$HM27,IF($JD27=1,30,0),ABS(20-$HF27)*100)),100000+ABS(6-$HE27)*1000+200)),IF($HG27=0,999999,IF(6=$HH27,IF(140=$HN27,IF($JE27=2,30,0),IF(140=$HO27,IF($JE27=1,30,0),ABS(20-$HI27)*100)),100000+ABS(6-$HH27)*1000+200)))-IF((140=$HJ27)+(140=$HK27)+(140=$HL27)+(140=$HM27)+(140=$HN27)+(140=$HO27)&gt;=2,50,0))+EM$5*50)</f>
        <v/>
      </c>
      <c r="EN147">
        <f>IF(OR($JF27=0,calcA!$A$6=0),0,IF(OR(141=$HA27,141=$HD27,141=$HG27),200000,MIN(IF($HA27=0,999999,IF(6=$HB27,IF(141=$HJ27,IF($JC27=2,30,0),IF(141=$HK27,IF($JC27=1,30,0),ABS(21-$HC27)*100)),100000+ABS(6-$HB27)*1000+210)),IF($HD27=0,999999,IF(6=$HE27,IF(141=$HL27,IF($JD27=2,30,0),IF(141=$HM27,IF($JD27=1,30,0),ABS(21-$HF27)*100)),100000+ABS(6-$HE27)*1000+210)),IF($HG27=0,999999,IF(6=$HH27,IF(141=$HN27,IF($JE27=2,30,0),IF(141=$HO27,IF($JE27=1,30,0),ABS(21-$HI27)*100)),100000+ABS(6-$HH27)*1000+210)))-IF((141=$HJ27)+(141=$HK27)+(141=$HL27)+(141=$HM27)+(141=$HN27)+(141=$HO27)&gt;=2,50,0))+EN$5*50)</f>
        <v/>
      </c>
      <c r="EO147">
        <f>IF(OR($JF27=0,calcA!$A$6=0),0,IF(OR(142=$HA27,142=$HD27,142=$HG27),200000,MIN(IF($HA27=0,999999,IF(6=$HB27,IF(142=$HJ27,IF($JC27=2,30,0),IF(142=$HK27,IF($JC27=1,30,0),ABS(22-$HC27)*100)),100000+ABS(6-$HB27)*1000+220)),IF($HD27=0,999999,IF(6=$HE27,IF(142=$HL27,IF($JD27=2,30,0),IF(142=$HM27,IF($JD27=1,30,0),ABS(22-$HF27)*100)),100000+ABS(6-$HE27)*1000+220)),IF($HG27=0,999999,IF(6=$HH27,IF(142=$HN27,IF($JE27=2,30,0),IF(142=$HO27,IF($JE27=1,30,0),ABS(22-$HI27)*100)),100000+ABS(6-$HH27)*1000+220)))-IF((142=$HJ27)+(142=$HK27)+(142=$HL27)+(142=$HM27)+(142=$HN27)+(142=$HO27)&gt;=2,50,0))+EO$5*50)</f>
        <v/>
      </c>
      <c r="EP147">
        <f>IF(OR($JF27=0,calcA!$A$6=0),0,IF(OR(143=$HA27,143=$HD27,143=$HG27),200000,MIN(IF($HA27=0,999999,IF(6=$HB27,IF(143=$HJ27,IF($JC27=2,30,0),IF(143=$HK27,IF($JC27=1,30,0),ABS(23-$HC27)*100)),100000+ABS(6-$HB27)*1000+230)),IF($HD27=0,999999,IF(6=$HE27,IF(143=$HL27,IF($JD27=2,30,0),IF(143=$HM27,IF($JD27=1,30,0),ABS(23-$HF27)*100)),100000+ABS(6-$HE27)*1000+230)),IF($HG27=0,999999,IF(6=$HH27,IF(143=$HN27,IF($JE27=2,30,0),IF(143=$HO27,IF($JE27=1,30,0),ABS(23-$HI27)*100)),100000+ABS(6-$HH27)*1000+230)))-IF((143=$HJ27)+(143=$HK27)+(143=$HL27)+(143=$HM27)+(143=$HN27)+(143=$HO27)&gt;=2,50,0))+EP$5*50)</f>
        <v/>
      </c>
      <c r="EQ147">
        <f>IF(OR($JF27=0,calcA!$A$6=0),0,IF(OR(144=$HA27,144=$HD27,144=$HG27),200000,MIN(IF($HA27=0,999999,IF(6=$HB27,IF(144=$HJ27,IF($JC27=2,30,0),IF(144=$HK27,IF($JC27=1,30,0),ABS(24-$HC27)*100)),100000+ABS(6-$HB27)*1000+240)),IF($HD27=0,999999,IF(6=$HE27,IF(144=$HL27,IF($JD27=2,30,0),IF(144=$HM27,IF($JD27=1,30,0),ABS(24-$HF27)*100)),100000+ABS(6-$HE27)*1000+240)),IF($HG27=0,999999,IF(6=$HH27,IF(144=$HN27,IF($JE27=2,30,0),IF(144=$HO27,IF($JE27=1,30,0),ABS(24-$HI27)*100)),100000+ABS(6-$HH27)*1000+240)))-IF((144=$HJ27)+(144=$HK27)+(144=$HL27)+(144=$HM27)+(144=$HN27)+(144=$HO27)&gt;=2,50,0))+EQ$5*50)</f>
        <v/>
      </c>
    </row>
    <row r="148">
      <c r="D148">
        <f>IF(OR($JF28=0,calcA!$A$6=0),0,IF(OR(1=$HA28,1=$HD28,1=$HG28),200000,MIN(IF($HA28=0,999999,IF(1=$HB28,IF(1=$HJ28,IF($JC28=2,30,0),IF(1=$HK28,IF($JC28=1,30,0),ABS(1-$HC28)*100)),100000+ABS(1-$HB28)*1000+10)),IF($HD28=0,999999,IF(1=$HE28,IF(1=$HL28,IF($JD28=2,30,0),IF(1=$HM28,IF($JD28=1,30,0),ABS(1-$HF28)*100)),100000+ABS(1-$HE28)*1000+10)),IF($HG28=0,999999,IF(1=$HH28,IF(1=$HN28,IF($JE28=2,30,0),IF(1=$HO28,IF($JE28=1,30,0),ABS(1-$HI28)*100)),100000+ABS(1-$HH28)*1000+10)))-IF((1=$HJ28)+(1=$HK28)+(1=$HL28)+(1=$HM28)+(1=$HN28)+(1=$HO28)&gt;=2,50,0))+D$5*50)</f>
        <v/>
      </c>
      <c r="E148">
        <f>IF(OR($JF28=0,calcA!$A$6=0),0,IF(OR(2=$HA28,2=$HD28,2=$HG28),200000,MIN(IF($HA28=0,999999,IF(1=$HB28,IF(2=$HJ28,IF($JC28=2,30,0),IF(2=$HK28,IF($JC28=1,30,0),ABS(2-$HC28)*100)),100000+ABS(1-$HB28)*1000+20)),IF($HD28=0,999999,IF(1=$HE28,IF(2=$HL28,IF($JD28=2,30,0),IF(2=$HM28,IF($JD28=1,30,0),ABS(2-$HF28)*100)),100000+ABS(1-$HE28)*1000+20)),IF($HG28=0,999999,IF(1=$HH28,IF(2=$HN28,IF($JE28=2,30,0),IF(2=$HO28,IF($JE28=1,30,0),ABS(2-$HI28)*100)),100000+ABS(1-$HH28)*1000+20)))-IF((2=$HJ28)+(2=$HK28)+(2=$HL28)+(2=$HM28)+(2=$HN28)+(2=$HO28)&gt;=2,50,0))+E$5*50)</f>
        <v/>
      </c>
      <c r="F148">
        <f>IF(OR($JF28=0,calcA!$A$6=0),0,IF(OR(3=$HA28,3=$HD28,3=$HG28),200000,MIN(IF($HA28=0,999999,IF(1=$HB28,IF(3=$HJ28,IF($JC28=2,30,0),IF(3=$HK28,IF($JC28=1,30,0),ABS(3-$HC28)*100)),100000+ABS(1-$HB28)*1000+30)),IF($HD28=0,999999,IF(1=$HE28,IF(3=$HL28,IF($JD28=2,30,0),IF(3=$HM28,IF($JD28=1,30,0),ABS(3-$HF28)*100)),100000+ABS(1-$HE28)*1000+30)),IF($HG28=0,999999,IF(1=$HH28,IF(3=$HN28,IF($JE28=2,30,0),IF(3=$HO28,IF($JE28=1,30,0),ABS(3-$HI28)*100)),100000+ABS(1-$HH28)*1000+30)))-IF((3=$HJ28)+(3=$HK28)+(3=$HL28)+(3=$HM28)+(3=$HN28)+(3=$HO28)&gt;=2,50,0))+F$5*50)</f>
        <v/>
      </c>
      <c r="G148">
        <f>IF(OR($JF28=0,calcA!$A$6=0),0,IF(OR(4=$HA28,4=$HD28,4=$HG28),200000,MIN(IF($HA28=0,999999,IF(1=$HB28,IF(4=$HJ28,IF($JC28=2,30,0),IF(4=$HK28,IF($JC28=1,30,0),ABS(4-$HC28)*100)),100000+ABS(1-$HB28)*1000+40)),IF($HD28=0,999999,IF(1=$HE28,IF(4=$HL28,IF($JD28=2,30,0),IF(4=$HM28,IF($JD28=1,30,0),ABS(4-$HF28)*100)),100000+ABS(1-$HE28)*1000+40)),IF($HG28=0,999999,IF(1=$HH28,IF(4=$HN28,IF($JE28=2,30,0),IF(4=$HO28,IF($JE28=1,30,0),ABS(4-$HI28)*100)),100000+ABS(1-$HH28)*1000+40)))-IF((4=$HJ28)+(4=$HK28)+(4=$HL28)+(4=$HM28)+(4=$HN28)+(4=$HO28)&gt;=2,50,0))+G$5*50)</f>
        <v/>
      </c>
      <c r="H148">
        <f>IF(OR($JF28=0,calcA!$A$6=0),0,IF(OR(5=$HA28,5=$HD28,5=$HG28),200000,MIN(IF($HA28=0,999999,IF(1=$HB28,IF(5=$HJ28,IF($JC28=2,30,0),IF(5=$HK28,IF($JC28=1,30,0),ABS(5-$HC28)*100)),100000+ABS(1-$HB28)*1000+50)),IF($HD28=0,999999,IF(1=$HE28,IF(5=$HL28,IF($JD28=2,30,0),IF(5=$HM28,IF($JD28=1,30,0),ABS(5-$HF28)*100)),100000+ABS(1-$HE28)*1000+50)),IF($HG28=0,999999,IF(1=$HH28,IF(5=$HN28,IF($JE28=2,30,0),IF(5=$HO28,IF($JE28=1,30,0),ABS(5-$HI28)*100)),100000+ABS(1-$HH28)*1000+50)))-IF((5=$HJ28)+(5=$HK28)+(5=$HL28)+(5=$HM28)+(5=$HN28)+(5=$HO28)&gt;=2,50,0))+H$5*50)</f>
        <v/>
      </c>
      <c r="I148">
        <f>IF(OR($JF28=0,calcA!$A$6=0),0,IF(OR(6=$HA28,6=$HD28,6=$HG28),200000,MIN(IF($HA28=0,999999,IF(1=$HB28,IF(6=$HJ28,IF($JC28=2,30,0),IF(6=$HK28,IF($JC28=1,30,0),ABS(6-$HC28)*100)),100000+ABS(1-$HB28)*1000+60)),IF($HD28=0,999999,IF(1=$HE28,IF(6=$HL28,IF($JD28=2,30,0),IF(6=$HM28,IF($JD28=1,30,0),ABS(6-$HF28)*100)),100000+ABS(1-$HE28)*1000+60)),IF($HG28=0,999999,IF(1=$HH28,IF(6=$HN28,IF($JE28=2,30,0),IF(6=$HO28,IF($JE28=1,30,0),ABS(6-$HI28)*100)),100000+ABS(1-$HH28)*1000+60)))-IF((6=$HJ28)+(6=$HK28)+(6=$HL28)+(6=$HM28)+(6=$HN28)+(6=$HO28)&gt;=2,50,0))+I$5*50)</f>
        <v/>
      </c>
      <c r="J148">
        <f>IF(OR($JF28=0,calcA!$A$6=0),0,IF(OR(7=$HA28,7=$HD28,7=$HG28),200000,MIN(IF($HA28=0,999999,IF(1=$HB28,IF(7=$HJ28,IF($JC28=2,30,0),IF(7=$HK28,IF($JC28=1,30,0),ABS(7-$HC28)*100)),100000+ABS(1-$HB28)*1000+70)),IF($HD28=0,999999,IF(1=$HE28,IF(7=$HL28,IF($JD28=2,30,0),IF(7=$HM28,IF($JD28=1,30,0),ABS(7-$HF28)*100)),100000+ABS(1-$HE28)*1000+70)),IF($HG28=0,999999,IF(1=$HH28,IF(7=$HN28,IF($JE28=2,30,0),IF(7=$HO28,IF($JE28=1,30,0),ABS(7-$HI28)*100)),100000+ABS(1-$HH28)*1000+70)))-IF((7=$HJ28)+(7=$HK28)+(7=$HL28)+(7=$HM28)+(7=$HN28)+(7=$HO28)&gt;=2,50,0))+J$5*50)</f>
        <v/>
      </c>
      <c r="K148">
        <f>IF(OR($JF28=0,calcA!$A$6=0),0,IF(OR(8=$HA28,8=$HD28,8=$HG28),200000,MIN(IF($HA28=0,999999,IF(1=$HB28,IF(8=$HJ28,IF($JC28=2,30,0),IF(8=$HK28,IF($JC28=1,30,0),ABS(8-$HC28)*100)),100000+ABS(1-$HB28)*1000+80)),IF($HD28=0,999999,IF(1=$HE28,IF(8=$HL28,IF($JD28=2,30,0),IF(8=$HM28,IF($JD28=1,30,0),ABS(8-$HF28)*100)),100000+ABS(1-$HE28)*1000+80)),IF($HG28=0,999999,IF(1=$HH28,IF(8=$HN28,IF($JE28=2,30,0),IF(8=$HO28,IF($JE28=1,30,0),ABS(8-$HI28)*100)),100000+ABS(1-$HH28)*1000+80)))-IF((8=$HJ28)+(8=$HK28)+(8=$HL28)+(8=$HM28)+(8=$HN28)+(8=$HO28)&gt;=2,50,0))+K$5*50)</f>
        <v/>
      </c>
      <c r="L148">
        <f>IF(OR($JF28=0,calcA!$A$6=0),0,IF(OR(9=$HA28,9=$HD28,9=$HG28),200000,MIN(IF($HA28=0,999999,IF(1=$HB28,IF(9=$HJ28,IF($JC28=2,30,0),IF(9=$HK28,IF($JC28=1,30,0),ABS(9-$HC28)*100)),100000+ABS(1-$HB28)*1000+90)),IF($HD28=0,999999,IF(1=$HE28,IF(9=$HL28,IF($JD28=2,30,0),IF(9=$HM28,IF($JD28=1,30,0),ABS(9-$HF28)*100)),100000+ABS(1-$HE28)*1000+90)),IF($HG28=0,999999,IF(1=$HH28,IF(9=$HN28,IF($JE28=2,30,0),IF(9=$HO28,IF($JE28=1,30,0),ABS(9-$HI28)*100)),100000+ABS(1-$HH28)*1000+90)))-IF((9=$HJ28)+(9=$HK28)+(9=$HL28)+(9=$HM28)+(9=$HN28)+(9=$HO28)&gt;=2,50,0))+L$5*50)</f>
        <v/>
      </c>
      <c r="M148">
        <f>IF(OR($JF28=0,calcA!$A$6=0),0,IF(OR(10=$HA28,10=$HD28,10=$HG28),200000,MIN(IF($HA28=0,999999,IF(1=$HB28,IF(10=$HJ28,IF($JC28=2,30,0),IF(10=$HK28,IF($JC28=1,30,0),ABS(10-$HC28)*100)),100000+ABS(1-$HB28)*1000+100)),IF($HD28=0,999999,IF(1=$HE28,IF(10=$HL28,IF($JD28=2,30,0),IF(10=$HM28,IF($JD28=1,30,0),ABS(10-$HF28)*100)),100000+ABS(1-$HE28)*1000+100)),IF($HG28=0,999999,IF(1=$HH28,IF(10=$HN28,IF($JE28=2,30,0),IF(10=$HO28,IF($JE28=1,30,0),ABS(10-$HI28)*100)),100000+ABS(1-$HH28)*1000+100)))-IF((10=$HJ28)+(10=$HK28)+(10=$HL28)+(10=$HM28)+(10=$HN28)+(10=$HO28)&gt;=2,50,0))+M$5*50)</f>
        <v/>
      </c>
      <c r="N148">
        <f>IF(OR($JF28=0,calcA!$A$6=0),0,IF(OR(11=$HA28,11=$HD28,11=$HG28),200000,MIN(IF($HA28=0,999999,IF(1=$HB28,IF(11=$HJ28,IF($JC28=2,30,0),IF(11=$HK28,IF($JC28=1,30,0),ABS(11-$HC28)*100)),100000+ABS(1-$HB28)*1000+110)),IF($HD28=0,999999,IF(1=$HE28,IF(11=$HL28,IF($JD28=2,30,0),IF(11=$HM28,IF($JD28=1,30,0),ABS(11-$HF28)*100)),100000+ABS(1-$HE28)*1000+110)),IF($HG28=0,999999,IF(1=$HH28,IF(11=$HN28,IF($JE28=2,30,0),IF(11=$HO28,IF($JE28=1,30,0),ABS(11-$HI28)*100)),100000+ABS(1-$HH28)*1000+110)))-IF((11=$HJ28)+(11=$HK28)+(11=$HL28)+(11=$HM28)+(11=$HN28)+(11=$HO28)&gt;=2,50,0))+N$5*50)</f>
        <v/>
      </c>
      <c r="O148">
        <f>IF(OR($JF28=0,calcA!$A$6=0),0,IF(OR(12=$HA28,12=$HD28,12=$HG28),200000,MIN(IF($HA28=0,999999,IF(1=$HB28,IF(12=$HJ28,IF($JC28=2,30,0),IF(12=$HK28,IF($JC28=1,30,0),ABS(12-$HC28)*100)),100000+ABS(1-$HB28)*1000+120)),IF($HD28=0,999999,IF(1=$HE28,IF(12=$HL28,IF($JD28=2,30,0),IF(12=$HM28,IF($JD28=1,30,0),ABS(12-$HF28)*100)),100000+ABS(1-$HE28)*1000+120)),IF($HG28=0,999999,IF(1=$HH28,IF(12=$HN28,IF($JE28=2,30,0),IF(12=$HO28,IF($JE28=1,30,0),ABS(12-$HI28)*100)),100000+ABS(1-$HH28)*1000+120)))-IF((12=$HJ28)+(12=$HK28)+(12=$HL28)+(12=$HM28)+(12=$HN28)+(12=$HO28)&gt;=2,50,0))+O$5*50)</f>
        <v/>
      </c>
      <c r="P148">
        <f>IF(OR($JF28=0,calcA!$A$6=0),0,IF(OR(13=$HA28,13=$HD28,13=$HG28),200000,MIN(IF($HA28=0,999999,IF(1=$HB28,IF(13=$HJ28,IF($JC28=2,30,0),IF(13=$HK28,IF($JC28=1,30,0),ABS(13-$HC28)*100)),100000+ABS(1-$HB28)*1000+130)),IF($HD28=0,999999,IF(1=$HE28,IF(13=$HL28,IF($JD28=2,30,0),IF(13=$HM28,IF($JD28=1,30,0),ABS(13-$HF28)*100)),100000+ABS(1-$HE28)*1000+130)),IF($HG28=0,999999,IF(1=$HH28,IF(13=$HN28,IF($JE28=2,30,0),IF(13=$HO28,IF($JE28=1,30,0),ABS(13-$HI28)*100)),100000+ABS(1-$HH28)*1000+130)))-IF((13=$HJ28)+(13=$HK28)+(13=$HL28)+(13=$HM28)+(13=$HN28)+(13=$HO28)&gt;=2,50,0))+P$5*50)</f>
        <v/>
      </c>
      <c r="Q148">
        <f>IF(OR($JF28=0,calcA!$A$6=0),0,IF(OR(14=$HA28,14=$HD28,14=$HG28),200000,MIN(IF($HA28=0,999999,IF(1=$HB28,IF(14=$HJ28,IF($JC28=2,30,0),IF(14=$HK28,IF($JC28=1,30,0),ABS(14-$HC28)*100)),100000+ABS(1-$HB28)*1000+140)),IF($HD28=0,999999,IF(1=$HE28,IF(14=$HL28,IF($JD28=2,30,0),IF(14=$HM28,IF($JD28=1,30,0),ABS(14-$HF28)*100)),100000+ABS(1-$HE28)*1000+140)),IF($HG28=0,999999,IF(1=$HH28,IF(14=$HN28,IF($JE28=2,30,0),IF(14=$HO28,IF($JE28=1,30,0),ABS(14-$HI28)*100)),100000+ABS(1-$HH28)*1000+140)))-IF((14=$HJ28)+(14=$HK28)+(14=$HL28)+(14=$HM28)+(14=$HN28)+(14=$HO28)&gt;=2,50,0))+Q$5*50)</f>
        <v/>
      </c>
      <c r="R148">
        <f>IF(OR($JF28=0,calcA!$A$6=0),0,IF(OR(15=$HA28,15=$HD28,15=$HG28),200000,MIN(IF($HA28=0,999999,IF(1=$HB28,IF(15=$HJ28,IF($JC28=2,30,0),IF(15=$HK28,IF($JC28=1,30,0),ABS(15-$HC28)*100)),100000+ABS(1-$HB28)*1000+150)),IF($HD28=0,999999,IF(1=$HE28,IF(15=$HL28,IF($JD28=2,30,0),IF(15=$HM28,IF($JD28=1,30,0),ABS(15-$HF28)*100)),100000+ABS(1-$HE28)*1000+150)),IF($HG28=0,999999,IF(1=$HH28,IF(15=$HN28,IF($JE28=2,30,0),IF(15=$HO28,IF($JE28=1,30,0),ABS(15-$HI28)*100)),100000+ABS(1-$HH28)*1000+150)))-IF((15=$HJ28)+(15=$HK28)+(15=$HL28)+(15=$HM28)+(15=$HN28)+(15=$HO28)&gt;=2,50,0))+R$5*50)</f>
        <v/>
      </c>
      <c r="S148">
        <f>IF(OR($JF28=0,calcA!$A$6=0),0,IF(OR(16=$HA28,16=$HD28,16=$HG28),200000,MIN(IF($HA28=0,999999,IF(1=$HB28,IF(16=$HJ28,IF($JC28=2,30,0),IF(16=$HK28,IF($JC28=1,30,0),ABS(16-$HC28)*100)),100000+ABS(1-$HB28)*1000+160)),IF($HD28=0,999999,IF(1=$HE28,IF(16=$HL28,IF($JD28=2,30,0),IF(16=$HM28,IF($JD28=1,30,0),ABS(16-$HF28)*100)),100000+ABS(1-$HE28)*1000+160)),IF($HG28=0,999999,IF(1=$HH28,IF(16=$HN28,IF($JE28=2,30,0),IF(16=$HO28,IF($JE28=1,30,0),ABS(16-$HI28)*100)),100000+ABS(1-$HH28)*1000+160)))-IF((16=$HJ28)+(16=$HK28)+(16=$HL28)+(16=$HM28)+(16=$HN28)+(16=$HO28)&gt;=2,50,0))+S$5*50)</f>
        <v/>
      </c>
      <c r="T148">
        <f>IF(OR($JF28=0,calcA!$A$6=0),0,IF(OR(17=$HA28,17=$HD28,17=$HG28),200000,MIN(IF($HA28=0,999999,IF(1=$HB28,IF(17=$HJ28,IF($JC28=2,30,0),IF(17=$HK28,IF($JC28=1,30,0),ABS(17-$HC28)*100)),100000+ABS(1-$HB28)*1000+170)),IF($HD28=0,999999,IF(1=$HE28,IF(17=$HL28,IF($JD28=2,30,0),IF(17=$HM28,IF($JD28=1,30,0),ABS(17-$HF28)*100)),100000+ABS(1-$HE28)*1000+170)),IF($HG28=0,999999,IF(1=$HH28,IF(17=$HN28,IF($JE28=2,30,0),IF(17=$HO28,IF($JE28=1,30,0),ABS(17-$HI28)*100)),100000+ABS(1-$HH28)*1000+170)))-IF((17=$HJ28)+(17=$HK28)+(17=$HL28)+(17=$HM28)+(17=$HN28)+(17=$HO28)&gt;=2,50,0))+T$5*50)</f>
        <v/>
      </c>
      <c r="U148">
        <f>IF(OR($JF28=0,calcA!$A$6=0),0,IF(OR(18=$HA28,18=$HD28,18=$HG28),200000,MIN(IF($HA28=0,999999,IF(1=$HB28,IF(18=$HJ28,IF($JC28=2,30,0),IF(18=$HK28,IF($JC28=1,30,0),ABS(18-$HC28)*100)),100000+ABS(1-$HB28)*1000+180)),IF($HD28=0,999999,IF(1=$HE28,IF(18=$HL28,IF($JD28=2,30,0),IF(18=$HM28,IF($JD28=1,30,0),ABS(18-$HF28)*100)),100000+ABS(1-$HE28)*1000+180)),IF($HG28=0,999999,IF(1=$HH28,IF(18=$HN28,IF($JE28=2,30,0),IF(18=$HO28,IF($JE28=1,30,0),ABS(18-$HI28)*100)),100000+ABS(1-$HH28)*1000+180)))-IF((18=$HJ28)+(18=$HK28)+(18=$HL28)+(18=$HM28)+(18=$HN28)+(18=$HO28)&gt;=2,50,0))+U$5*50)</f>
        <v/>
      </c>
      <c r="V148">
        <f>IF(OR($JF28=0,calcA!$A$6=0),0,IF(OR(19=$HA28,19=$HD28,19=$HG28),200000,MIN(IF($HA28=0,999999,IF(1=$HB28,IF(19=$HJ28,IF($JC28=2,30,0),IF(19=$HK28,IF($JC28=1,30,0),ABS(19-$HC28)*100)),100000+ABS(1-$HB28)*1000+190)),IF($HD28=0,999999,IF(1=$HE28,IF(19=$HL28,IF($JD28=2,30,0),IF(19=$HM28,IF($JD28=1,30,0),ABS(19-$HF28)*100)),100000+ABS(1-$HE28)*1000+190)),IF($HG28=0,999999,IF(1=$HH28,IF(19=$HN28,IF($JE28=2,30,0),IF(19=$HO28,IF($JE28=1,30,0),ABS(19-$HI28)*100)),100000+ABS(1-$HH28)*1000+190)))-IF((19=$HJ28)+(19=$HK28)+(19=$HL28)+(19=$HM28)+(19=$HN28)+(19=$HO28)&gt;=2,50,0))+V$5*50)</f>
        <v/>
      </c>
      <c r="W148">
        <f>IF(OR($JF28=0,calcA!$A$6=0),0,IF(OR(20=$HA28,20=$HD28,20=$HG28),200000,MIN(IF($HA28=0,999999,IF(1=$HB28,IF(20=$HJ28,IF($JC28=2,30,0),IF(20=$HK28,IF($JC28=1,30,0),ABS(20-$HC28)*100)),100000+ABS(1-$HB28)*1000+200)),IF($HD28=0,999999,IF(1=$HE28,IF(20=$HL28,IF($JD28=2,30,0),IF(20=$HM28,IF($JD28=1,30,0),ABS(20-$HF28)*100)),100000+ABS(1-$HE28)*1000+200)),IF($HG28=0,999999,IF(1=$HH28,IF(20=$HN28,IF($JE28=2,30,0),IF(20=$HO28,IF($JE28=1,30,0),ABS(20-$HI28)*100)),100000+ABS(1-$HH28)*1000+200)))-IF((20=$HJ28)+(20=$HK28)+(20=$HL28)+(20=$HM28)+(20=$HN28)+(20=$HO28)&gt;=2,50,0))+W$5*50)</f>
        <v/>
      </c>
      <c r="X148">
        <f>IF(OR($JF28=0,calcA!$A$6=0),0,IF(OR(21=$HA28,21=$HD28,21=$HG28),200000,MIN(IF($HA28=0,999999,IF(1=$HB28,IF(21=$HJ28,IF($JC28=2,30,0),IF(21=$HK28,IF($JC28=1,30,0),ABS(21-$HC28)*100)),100000+ABS(1-$HB28)*1000+210)),IF($HD28=0,999999,IF(1=$HE28,IF(21=$HL28,IF($JD28=2,30,0),IF(21=$HM28,IF($JD28=1,30,0),ABS(21-$HF28)*100)),100000+ABS(1-$HE28)*1000+210)),IF($HG28=0,999999,IF(1=$HH28,IF(21=$HN28,IF($JE28=2,30,0),IF(21=$HO28,IF($JE28=1,30,0),ABS(21-$HI28)*100)),100000+ABS(1-$HH28)*1000+210)))-IF((21=$HJ28)+(21=$HK28)+(21=$HL28)+(21=$HM28)+(21=$HN28)+(21=$HO28)&gt;=2,50,0))+X$5*50)</f>
        <v/>
      </c>
      <c r="Y148">
        <f>IF(OR($JF28=0,calcA!$A$6=0),0,IF(OR(22=$HA28,22=$HD28,22=$HG28),200000,MIN(IF($HA28=0,999999,IF(1=$HB28,IF(22=$HJ28,IF($JC28=2,30,0),IF(22=$HK28,IF($JC28=1,30,0),ABS(22-$HC28)*100)),100000+ABS(1-$HB28)*1000+220)),IF($HD28=0,999999,IF(1=$HE28,IF(22=$HL28,IF($JD28=2,30,0),IF(22=$HM28,IF($JD28=1,30,0),ABS(22-$HF28)*100)),100000+ABS(1-$HE28)*1000+220)),IF($HG28=0,999999,IF(1=$HH28,IF(22=$HN28,IF($JE28=2,30,0),IF(22=$HO28,IF($JE28=1,30,0),ABS(22-$HI28)*100)),100000+ABS(1-$HH28)*1000+220)))-IF((22=$HJ28)+(22=$HK28)+(22=$HL28)+(22=$HM28)+(22=$HN28)+(22=$HO28)&gt;=2,50,0))+Y$5*50)</f>
        <v/>
      </c>
      <c r="Z148">
        <f>IF(OR($JF28=0,calcA!$A$6=0),0,IF(OR(23=$HA28,23=$HD28,23=$HG28),200000,MIN(IF($HA28=0,999999,IF(1=$HB28,IF(23=$HJ28,IF($JC28=2,30,0),IF(23=$HK28,IF($JC28=1,30,0),ABS(23-$HC28)*100)),100000+ABS(1-$HB28)*1000+230)),IF($HD28=0,999999,IF(1=$HE28,IF(23=$HL28,IF($JD28=2,30,0),IF(23=$HM28,IF($JD28=1,30,0),ABS(23-$HF28)*100)),100000+ABS(1-$HE28)*1000+230)),IF($HG28=0,999999,IF(1=$HH28,IF(23=$HN28,IF($JE28=2,30,0),IF(23=$HO28,IF($JE28=1,30,0),ABS(23-$HI28)*100)),100000+ABS(1-$HH28)*1000+230)))-IF((23=$HJ28)+(23=$HK28)+(23=$HL28)+(23=$HM28)+(23=$HN28)+(23=$HO28)&gt;=2,50,0))+Z$5*50)</f>
        <v/>
      </c>
      <c r="AA148">
        <f>IF(OR($JF28=0,calcA!$A$6=0),0,IF(OR(24=$HA28,24=$HD28,24=$HG28),200000,MIN(IF($HA28=0,999999,IF(1=$HB28,IF(24=$HJ28,IF($JC28=2,30,0),IF(24=$HK28,IF($JC28=1,30,0),ABS(24-$HC28)*100)),100000+ABS(1-$HB28)*1000+240)),IF($HD28=0,999999,IF(1=$HE28,IF(24=$HL28,IF($JD28=2,30,0),IF(24=$HM28,IF($JD28=1,30,0),ABS(24-$HF28)*100)),100000+ABS(1-$HE28)*1000+240)),IF($HG28=0,999999,IF(1=$HH28,IF(24=$HN28,IF($JE28=2,30,0),IF(24=$HO28,IF($JE28=1,30,0),ABS(24-$HI28)*100)),100000+ABS(1-$HH28)*1000+240)))-IF((24=$HJ28)+(24=$HK28)+(24=$HL28)+(24=$HM28)+(24=$HN28)+(24=$HO28)&gt;=2,50,0))+AA$5*50)</f>
        <v/>
      </c>
      <c r="AB148">
        <f>IF(OR($JF28=0,calcA!$A$6=0),0,IF(OR(25=$HA28,25=$HD28,25=$HG28),200000,MIN(IF($HA28=0,999999,IF(2=$HB28,IF(25=$HJ28,IF($JC28=2,30,0),IF(25=$HK28,IF($JC28=1,30,0),ABS(1-$HC28)*100)),100000+ABS(2-$HB28)*1000+10)),IF($HD28=0,999999,IF(2=$HE28,IF(25=$HL28,IF($JD28=2,30,0),IF(25=$HM28,IF($JD28=1,30,0),ABS(1-$HF28)*100)),100000+ABS(2-$HE28)*1000+10)),IF($HG28=0,999999,IF(2=$HH28,IF(25=$HN28,IF($JE28=2,30,0),IF(25=$HO28,IF($JE28=1,30,0),ABS(1-$HI28)*100)),100000+ABS(2-$HH28)*1000+10)))-IF((25=$HJ28)+(25=$HK28)+(25=$HL28)+(25=$HM28)+(25=$HN28)+(25=$HO28)&gt;=2,50,0))+AB$5*50)</f>
        <v/>
      </c>
      <c r="AC148">
        <f>IF(OR($JF28=0,calcA!$A$6=0),0,IF(OR(26=$HA28,26=$HD28,26=$HG28),200000,MIN(IF($HA28=0,999999,IF(2=$HB28,IF(26=$HJ28,IF($JC28=2,30,0),IF(26=$HK28,IF($JC28=1,30,0),ABS(2-$HC28)*100)),100000+ABS(2-$HB28)*1000+20)),IF($HD28=0,999999,IF(2=$HE28,IF(26=$HL28,IF($JD28=2,30,0),IF(26=$HM28,IF($JD28=1,30,0),ABS(2-$HF28)*100)),100000+ABS(2-$HE28)*1000+20)),IF($HG28=0,999999,IF(2=$HH28,IF(26=$HN28,IF($JE28=2,30,0),IF(26=$HO28,IF($JE28=1,30,0),ABS(2-$HI28)*100)),100000+ABS(2-$HH28)*1000+20)))-IF((26=$HJ28)+(26=$HK28)+(26=$HL28)+(26=$HM28)+(26=$HN28)+(26=$HO28)&gt;=2,50,0))+AC$5*50)</f>
        <v/>
      </c>
      <c r="AD148">
        <f>IF(OR($JF28=0,calcA!$A$6=0),0,IF(OR(27=$HA28,27=$HD28,27=$HG28),200000,MIN(IF($HA28=0,999999,IF(2=$HB28,IF(27=$HJ28,IF($JC28=2,30,0),IF(27=$HK28,IF($JC28=1,30,0),ABS(3-$HC28)*100)),100000+ABS(2-$HB28)*1000+30)),IF($HD28=0,999999,IF(2=$HE28,IF(27=$HL28,IF($JD28=2,30,0),IF(27=$HM28,IF($JD28=1,30,0),ABS(3-$HF28)*100)),100000+ABS(2-$HE28)*1000+30)),IF($HG28=0,999999,IF(2=$HH28,IF(27=$HN28,IF($JE28=2,30,0),IF(27=$HO28,IF($JE28=1,30,0),ABS(3-$HI28)*100)),100000+ABS(2-$HH28)*1000+30)))-IF((27=$HJ28)+(27=$HK28)+(27=$HL28)+(27=$HM28)+(27=$HN28)+(27=$HO28)&gt;=2,50,0))+AD$5*50)</f>
        <v/>
      </c>
      <c r="AE148">
        <f>IF(OR($JF28=0,calcA!$A$6=0),0,IF(OR(28=$HA28,28=$HD28,28=$HG28),200000,MIN(IF($HA28=0,999999,IF(2=$HB28,IF(28=$HJ28,IF($JC28=2,30,0),IF(28=$HK28,IF($JC28=1,30,0),ABS(4-$HC28)*100)),100000+ABS(2-$HB28)*1000+40)),IF($HD28=0,999999,IF(2=$HE28,IF(28=$HL28,IF($JD28=2,30,0),IF(28=$HM28,IF($JD28=1,30,0),ABS(4-$HF28)*100)),100000+ABS(2-$HE28)*1000+40)),IF($HG28=0,999999,IF(2=$HH28,IF(28=$HN28,IF($JE28=2,30,0),IF(28=$HO28,IF($JE28=1,30,0),ABS(4-$HI28)*100)),100000+ABS(2-$HH28)*1000+40)))-IF((28=$HJ28)+(28=$HK28)+(28=$HL28)+(28=$HM28)+(28=$HN28)+(28=$HO28)&gt;=2,50,0))+AE$5*50)</f>
        <v/>
      </c>
      <c r="AF148">
        <f>IF(OR($JF28=0,calcA!$A$6=0),0,IF(OR(29=$HA28,29=$HD28,29=$HG28),200000,MIN(IF($HA28=0,999999,IF(2=$HB28,IF(29=$HJ28,IF($JC28=2,30,0),IF(29=$HK28,IF($JC28=1,30,0),ABS(5-$HC28)*100)),100000+ABS(2-$HB28)*1000+50)),IF($HD28=0,999999,IF(2=$HE28,IF(29=$HL28,IF($JD28=2,30,0),IF(29=$HM28,IF($JD28=1,30,0),ABS(5-$HF28)*100)),100000+ABS(2-$HE28)*1000+50)),IF($HG28=0,999999,IF(2=$HH28,IF(29=$HN28,IF($JE28=2,30,0),IF(29=$HO28,IF($JE28=1,30,0),ABS(5-$HI28)*100)),100000+ABS(2-$HH28)*1000+50)))-IF((29=$HJ28)+(29=$HK28)+(29=$HL28)+(29=$HM28)+(29=$HN28)+(29=$HO28)&gt;=2,50,0))+AF$5*50)</f>
        <v/>
      </c>
      <c r="AG148">
        <f>IF(OR($JF28=0,calcA!$A$6=0),0,IF(OR(30=$HA28,30=$HD28,30=$HG28),200000,MIN(IF($HA28=0,999999,IF(2=$HB28,IF(30=$HJ28,IF($JC28=2,30,0),IF(30=$HK28,IF($JC28=1,30,0),ABS(6-$HC28)*100)),100000+ABS(2-$HB28)*1000+60)),IF($HD28=0,999999,IF(2=$HE28,IF(30=$HL28,IF($JD28=2,30,0),IF(30=$HM28,IF($JD28=1,30,0),ABS(6-$HF28)*100)),100000+ABS(2-$HE28)*1000+60)),IF($HG28=0,999999,IF(2=$HH28,IF(30=$HN28,IF($JE28=2,30,0),IF(30=$HO28,IF($JE28=1,30,0),ABS(6-$HI28)*100)),100000+ABS(2-$HH28)*1000+60)))-IF((30=$HJ28)+(30=$HK28)+(30=$HL28)+(30=$HM28)+(30=$HN28)+(30=$HO28)&gt;=2,50,0))+AG$5*50)</f>
        <v/>
      </c>
      <c r="AH148">
        <f>IF(OR($JF28=0,calcA!$A$6=0),0,IF(OR(31=$HA28,31=$HD28,31=$HG28),200000,MIN(IF($HA28=0,999999,IF(2=$HB28,IF(31=$HJ28,IF($JC28=2,30,0),IF(31=$HK28,IF($JC28=1,30,0),ABS(7-$HC28)*100)),100000+ABS(2-$HB28)*1000+70)),IF($HD28=0,999999,IF(2=$HE28,IF(31=$HL28,IF($JD28=2,30,0),IF(31=$HM28,IF($JD28=1,30,0),ABS(7-$HF28)*100)),100000+ABS(2-$HE28)*1000+70)),IF($HG28=0,999999,IF(2=$HH28,IF(31=$HN28,IF($JE28=2,30,0),IF(31=$HO28,IF($JE28=1,30,0),ABS(7-$HI28)*100)),100000+ABS(2-$HH28)*1000+70)))-IF((31=$HJ28)+(31=$HK28)+(31=$HL28)+(31=$HM28)+(31=$HN28)+(31=$HO28)&gt;=2,50,0))+AH$5*50)</f>
        <v/>
      </c>
      <c r="AI148">
        <f>IF(OR($JF28=0,calcA!$A$6=0),0,IF(OR(32=$HA28,32=$HD28,32=$HG28),200000,MIN(IF($HA28=0,999999,IF(2=$HB28,IF(32=$HJ28,IF($JC28=2,30,0),IF(32=$HK28,IF($JC28=1,30,0),ABS(8-$HC28)*100)),100000+ABS(2-$HB28)*1000+80)),IF($HD28=0,999999,IF(2=$HE28,IF(32=$HL28,IF($JD28=2,30,0),IF(32=$HM28,IF($JD28=1,30,0),ABS(8-$HF28)*100)),100000+ABS(2-$HE28)*1000+80)),IF($HG28=0,999999,IF(2=$HH28,IF(32=$HN28,IF($JE28=2,30,0),IF(32=$HO28,IF($JE28=1,30,0),ABS(8-$HI28)*100)),100000+ABS(2-$HH28)*1000+80)))-IF((32=$HJ28)+(32=$HK28)+(32=$HL28)+(32=$HM28)+(32=$HN28)+(32=$HO28)&gt;=2,50,0))+AI$5*50)</f>
        <v/>
      </c>
      <c r="AJ148">
        <f>IF(OR($JF28=0,calcA!$A$6=0),0,IF(OR(33=$HA28,33=$HD28,33=$HG28),200000,MIN(IF($HA28=0,999999,IF(2=$HB28,IF(33=$HJ28,IF($JC28=2,30,0),IF(33=$HK28,IF($JC28=1,30,0),ABS(9-$HC28)*100)),100000+ABS(2-$HB28)*1000+90)),IF($HD28=0,999999,IF(2=$HE28,IF(33=$HL28,IF($JD28=2,30,0),IF(33=$HM28,IF($JD28=1,30,0),ABS(9-$HF28)*100)),100000+ABS(2-$HE28)*1000+90)),IF($HG28=0,999999,IF(2=$HH28,IF(33=$HN28,IF($JE28=2,30,0),IF(33=$HO28,IF($JE28=1,30,0),ABS(9-$HI28)*100)),100000+ABS(2-$HH28)*1000+90)))-IF((33=$HJ28)+(33=$HK28)+(33=$HL28)+(33=$HM28)+(33=$HN28)+(33=$HO28)&gt;=2,50,0))+AJ$5*50)</f>
        <v/>
      </c>
      <c r="AK148">
        <f>IF(OR($JF28=0,calcA!$A$6=0),0,IF(OR(34=$HA28,34=$HD28,34=$HG28),200000,MIN(IF($HA28=0,999999,IF(2=$HB28,IF(34=$HJ28,IF($JC28=2,30,0),IF(34=$HK28,IF($JC28=1,30,0),ABS(10-$HC28)*100)),100000+ABS(2-$HB28)*1000+100)),IF($HD28=0,999999,IF(2=$HE28,IF(34=$HL28,IF($JD28=2,30,0),IF(34=$HM28,IF($JD28=1,30,0),ABS(10-$HF28)*100)),100000+ABS(2-$HE28)*1000+100)),IF($HG28=0,999999,IF(2=$HH28,IF(34=$HN28,IF($JE28=2,30,0),IF(34=$HO28,IF($JE28=1,30,0),ABS(10-$HI28)*100)),100000+ABS(2-$HH28)*1000+100)))-IF((34=$HJ28)+(34=$HK28)+(34=$HL28)+(34=$HM28)+(34=$HN28)+(34=$HO28)&gt;=2,50,0))+AK$5*50)</f>
        <v/>
      </c>
      <c r="AL148">
        <f>IF(OR($JF28=0,calcA!$A$6=0),0,IF(OR(35=$HA28,35=$HD28,35=$HG28),200000,MIN(IF($HA28=0,999999,IF(2=$HB28,IF(35=$HJ28,IF($JC28=2,30,0),IF(35=$HK28,IF($JC28=1,30,0),ABS(11-$HC28)*100)),100000+ABS(2-$HB28)*1000+110)),IF($HD28=0,999999,IF(2=$HE28,IF(35=$HL28,IF($JD28=2,30,0),IF(35=$HM28,IF($JD28=1,30,0),ABS(11-$HF28)*100)),100000+ABS(2-$HE28)*1000+110)),IF($HG28=0,999999,IF(2=$HH28,IF(35=$HN28,IF($JE28=2,30,0),IF(35=$HO28,IF($JE28=1,30,0),ABS(11-$HI28)*100)),100000+ABS(2-$HH28)*1000+110)))-IF((35=$HJ28)+(35=$HK28)+(35=$HL28)+(35=$HM28)+(35=$HN28)+(35=$HO28)&gt;=2,50,0))+AL$5*50)</f>
        <v/>
      </c>
      <c r="AM148">
        <f>IF(OR($JF28=0,calcA!$A$6=0),0,IF(OR(36=$HA28,36=$HD28,36=$HG28),200000,MIN(IF($HA28=0,999999,IF(2=$HB28,IF(36=$HJ28,IF($JC28=2,30,0),IF(36=$HK28,IF($JC28=1,30,0),ABS(12-$HC28)*100)),100000+ABS(2-$HB28)*1000+120)),IF($HD28=0,999999,IF(2=$HE28,IF(36=$HL28,IF($JD28=2,30,0),IF(36=$HM28,IF($JD28=1,30,0),ABS(12-$HF28)*100)),100000+ABS(2-$HE28)*1000+120)),IF($HG28=0,999999,IF(2=$HH28,IF(36=$HN28,IF($JE28=2,30,0),IF(36=$HO28,IF($JE28=1,30,0),ABS(12-$HI28)*100)),100000+ABS(2-$HH28)*1000+120)))-IF((36=$HJ28)+(36=$HK28)+(36=$HL28)+(36=$HM28)+(36=$HN28)+(36=$HO28)&gt;=2,50,0))+AM$5*50)</f>
        <v/>
      </c>
      <c r="AN148">
        <f>IF(OR($JF28=0,calcA!$A$6=0),0,IF(OR(37=$HA28,37=$HD28,37=$HG28),200000,MIN(IF($HA28=0,999999,IF(2=$HB28,IF(37=$HJ28,IF($JC28=2,30,0),IF(37=$HK28,IF($JC28=1,30,0),ABS(13-$HC28)*100)),100000+ABS(2-$HB28)*1000+130)),IF($HD28=0,999999,IF(2=$HE28,IF(37=$HL28,IF($JD28=2,30,0),IF(37=$HM28,IF($JD28=1,30,0),ABS(13-$HF28)*100)),100000+ABS(2-$HE28)*1000+130)),IF($HG28=0,999999,IF(2=$HH28,IF(37=$HN28,IF($JE28=2,30,0),IF(37=$HO28,IF($JE28=1,30,0),ABS(13-$HI28)*100)),100000+ABS(2-$HH28)*1000+130)))-IF((37=$HJ28)+(37=$HK28)+(37=$HL28)+(37=$HM28)+(37=$HN28)+(37=$HO28)&gt;=2,50,0))+AN$5*50)</f>
        <v/>
      </c>
      <c r="AO148">
        <f>IF(OR($JF28=0,calcA!$A$6=0),0,IF(OR(38=$HA28,38=$HD28,38=$HG28),200000,MIN(IF($HA28=0,999999,IF(2=$HB28,IF(38=$HJ28,IF($JC28=2,30,0),IF(38=$HK28,IF($JC28=1,30,0),ABS(14-$HC28)*100)),100000+ABS(2-$HB28)*1000+140)),IF($HD28=0,999999,IF(2=$HE28,IF(38=$HL28,IF($JD28=2,30,0),IF(38=$HM28,IF($JD28=1,30,0),ABS(14-$HF28)*100)),100000+ABS(2-$HE28)*1000+140)),IF($HG28=0,999999,IF(2=$HH28,IF(38=$HN28,IF($JE28=2,30,0),IF(38=$HO28,IF($JE28=1,30,0),ABS(14-$HI28)*100)),100000+ABS(2-$HH28)*1000+140)))-IF((38=$HJ28)+(38=$HK28)+(38=$HL28)+(38=$HM28)+(38=$HN28)+(38=$HO28)&gt;=2,50,0))+AO$5*50)</f>
        <v/>
      </c>
      <c r="AP148">
        <f>IF(OR($JF28=0,calcA!$A$6=0),0,IF(OR(39=$HA28,39=$HD28,39=$HG28),200000,MIN(IF($HA28=0,999999,IF(2=$HB28,IF(39=$HJ28,IF($JC28=2,30,0),IF(39=$HK28,IF($JC28=1,30,0),ABS(15-$HC28)*100)),100000+ABS(2-$HB28)*1000+150)),IF($HD28=0,999999,IF(2=$HE28,IF(39=$HL28,IF($JD28=2,30,0),IF(39=$HM28,IF($JD28=1,30,0),ABS(15-$HF28)*100)),100000+ABS(2-$HE28)*1000+150)),IF($HG28=0,999999,IF(2=$HH28,IF(39=$HN28,IF($JE28=2,30,0),IF(39=$HO28,IF($JE28=1,30,0),ABS(15-$HI28)*100)),100000+ABS(2-$HH28)*1000+150)))-IF((39=$HJ28)+(39=$HK28)+(39=$HL28)+(39=$HM28)+(39=$HN28)+(39=$HO28)&gt;=2,50,0))+AP$5*50)</f>
        <v/>
      </c>
      <c r="AQ148">
        <f>IF(OR($JF28=0,calcA!$A$6=0),0,IF(OR(40=$HA28,40=$HD28,40=$HG28),200000,MIN(IF($HA28=0,999999,IF(2=$HB28,IF(40=$HJ28,IF($JC28=2,30,0),IF(40=$HK28,IF($JC28=1,30,0),ABS(16-$HC28)*100)),100000+ABS(2-$HB28)*1000+160)),IF($HD28=0,999999,IF(2=$HE28,IF(40=$HL28,IF($JD28=2,30,0),IF(40=$HM28,IF($JD28=1,30,0),ABS(16-$HF28)*100)),100000+ABS(2-$HE28)*1000+160)),IF($HG28=0,999999,IF(2=$HH28,IF(40=$HN28,IF($JE28=2,30,0),IF(40=$HO28,IF($JE28=1,30,0),ABS(16-$HI28)*100)),100000+ABS(2-$HH28)*1000+160)))-IF((40=$HJ28)+(40=$HK28)+(40=$HL28)+(40=$HM28)+(40=$HN28)+(40=$HO28)&gt;=2,50,0))+AQ$5*50)</f>
        <v/>
      </c>
      <c r="AR148">
        <f>IF(OR($JF28=0,calcA!$A$6=0),0,IF(OR(41=$HA28,41=$HD28,41=$HG28),200000,MIN(IF($HA28=0,999999,IF(2=$HB28,IF(41=$HJ28,IF($JC28=2,30,0),IF(41=$HK28,IF($JC28=1,30,0),ABS(17-$HC28)*100)),100000+ABS(2-$HB28)*1000+170)),IF($HD28=0,999999,IF(2=$HE28,IF(41=$HL28,IF($JD28=2,30,0),IF(41=$HM28,IF($JD28=1,30,0),ABS(17-$HF28)*100)),100000+ABS(2-$HE28)*1000+170)),IF($HG28=0,999999,IF(2=$HH28,IF(41=$HN28,IF($JE28=2,30,0),IF(41=$HO28,IF($JE28=1,30,0),ABS(17-$HI28)*100)),100000+ABS(2-$HH28)*1000+170)))-IF((41=$HJ28)+(41=$HK28)+(41=$HL28)+(41=$HM28)+(41=$HN28)+(41=$HO28)&gt;=2,50,0))+AR$5*50)</f>
        <v/>
      </c>
      <c r="AS148">
        <f>IF(OR($JF28=0,calcA!$A$6=0),0,IF(OR(42=$HA28,42=$HD28,42=$HG28),200000,MIN(IF($HA28=0,999999,IF(2=$HB28,IF(42=$HJ28,IF($JC28=2,30,0),IF(42=$HK28,IF($JC28=1,30,0),ABS(18-$HC28)*100)),100000+ABS(2-$HB28)*1000+180)),IF($HD28=0,999999,IF(2=$HE28,IF(42=$HL28,IF($JD28=2,30,0),IF(42=$HM28,IF($JD28=1,30,0),ABS(18-$HF28)*100)),100000+ABS(2-$HE28)*1000+180)),IF($HG28=0,999999,IF(2=$HH28,IF(42=$HN28,IF($JE28=2,30,0),IF(42=$HO28,IF($JE28=1,30,0),ABS(18-$HI28)*100)),100000+ABS(2-$HH28)*1000+180)))-IF((42=$HJ28)+(42=$HK28)+(42=$HL28)+(42=$HM28)+(42=$HN28)+(42=$HO28)&gt;=2,50,0))+AS$5*50)</f>
        <v/>
      </c>
      <c r="AT148">
        <f>IF(OR($JF28=0,calcA!$A$6=0),0,IF(OR(43=$HA28,43=$HD28,43=$HG28),200000,MIN(IF($HA28=0,999999,IF(2=$HB28,IF(43=$HJ28,IF($JC28=2,30,0),IF(43=$HK28,IF($JC28=1,30,0),ABS(19-$HC28)*100)),100000+ABS(2-$HB28)*1000+190)),IF($HD28=0,999999,IF(2=$HE28,IF(43=$HL28,IF($JD28=2,30,0),IF(43=$HM28,IF($JD28=1,30,0),ABS(19-$HF28)*100)),100000+ABS(2-$HE28)*1000+190)),IF($HG28=0,999999,IF(2=$HH28,IF(43=$HN28,IF($JE28=2,30,0),IF(43=$HO28,IF($JE28=1,30,0),ABS(19-$HI28)*100)),100000+ABS(2-$HH28)*1000+190)))-IF((43=$HJ28)+(43=$HK28)+(43=$HL28)+(43=$HM28)+(43=$HN28)+(43=$HO28)&gt;=2,50,0))+AT$5*50)</f>
        <v/>
      </c>
      <c r="AU148">
        <f>IF(OR($JF28=0,calcA!$A$6=0),0,IF(OR(44=$HA28,44=$HD28,44=$HG28),200000,MIN(IF($HA28=0,999999,IF(2=$HB28,IF(44=$HJ28,IF($JC28=2,30,0),IF(44=$HK28,IF($JC28=1,30,0),ABS(20-$HC28)*100)),100000+ABS(2-$HB28)*1000+200)),IF($HD28=0,999999,IF(2=$HE28,IF(44=$HL28,IF($JD28=2,30,0),IF(44=$HM28,IF($JD28=1,30,0),ABS(20-$HF28)*100)),100000+ABS(2-$HE28)*1000+200)),IF($HG28=0,999999,IF(2=$HH28,IF(44=$HN28,IF($JE28=2,30,0),IF(44=$HO28,IF($JE28=1,30,0),ABS(20-$HI28)*100)),100000+ABS(2-$HH28)*1000+200)))-IF((44=$HJ28)+(44=$HK28)+(44=$HL28)+(44=$HM28)+(44=$HN28)+(44=$HO28)&gt;=2,50,0))+AU$5*50)</f>
        <v/>
      </c>
      <c r="AV148">
        <f>IF(OR($JF28=0,calcA!$A$6=0),0,IF(OR(45=$HA28,45=$HD28,45=$HG28),200000,MIN(IF($HA28=0,999999,IF(2=$HB28,IF(45=$HJ28,IF($JC28=2,30,0),IF(45=$HK28,IF($JC28=1,30,0),ABS(21-$HC28)*100)),100000+ABS(2-$HB28)*1000+210)),IF($HD28=0,999999,IF(2=$HE28,IF(45=$HL28,IF($JD28=2,30,0),IF(45=$HM28,IF($JD28=1,30,0),ABS(21-$HF28)*100)),100000+ABS(2-$HE28)*1000+210)),IF($HG28=0,999999,IF(2=$HH28,IF(45=$HN28,IF($JE28=2,30,0),IF(45=$HO28,IF($JE28=1,30,0),ABS(21-$HI28)*100)),100000+ABS(2-$HH28)*1000+210)))-IF((45=$HJ28)+(45=$HK28)+(45=$HL28)+(45=$HM28)+(45=$HN28)+(45=$HO28)&gt;=2,50,0))+AV$5*50)</f>
        <v/>
      </c>
      <c r="AW148">
        <f>IF(OR($JF28=0,calcA!$A$6=0),0,IF(OR(46=$HA28,46=$HD28,46=$HG28),200000,MIN(IF($HA28=0,999999,IF(2=$HB28,IF(46=$HJ28,IF($JC28=2,30,0),IF(46=$HK28,IF($JC28=1,30,0),ABS(22-$HC28)*100)),100000+ABS(2-$HB28)*1000+220)),IF($HD28=0,999999,IF(2=$HE28,IF(46=$HL28,IF($JD28=2,30,0),IF(46=$HM28,IF($JD28=1,30,0),ABS(22-$HF28)*100)),100000+ABS(2-$HE28)*1000+220)),IF($HG28=0,999999,IF(2=$HH28,IF(46=$HN28,IF($JE28=2,30,0),IF(46=$HO28,IF($JE28=1,30,0),ABS(22-$HI28)*100)),100000+ABS(2-$HH28)*1000+220)))-IF((46=$HJ28)+(46=$HK28)+(46=$HL28)+(46=$HM28)+(46=$HN28)+(46=$HO28)&gt;=2,50,0))+AW$5*50)</f>
        <v/>
      </c>
      <c r="AX148">
        <f>IF(OR($JF28=0,calcA!$A$6=0),0,IF(OR(47=$HA28,47=$HD28,47=$HG28),200000,MIN(IF($HA28=0,999999,IF(2=$HB28,IF(47=$HJ28,IF($JC28=2,30,0),IF(47=$HK28,IF($JC28=1,30,0),ABS(23-$HC28)*100)),100000+ABS(2-$HB28)*1000+230)),IF($HD28=0,999999,IF(2=$HE28,IF(47=$HL28,IF($JD28=2,30,0),IF(47=$HM28,IF($JD28=1,30,0),ABS(23-$HF28)*100)),100000+ABS(2-$HE28)*1000+230)),IF($HG28=0,999999,IF(2=$HH28,IF(47=$HN28,IF($JE28=2,30,0),IF(47=$HO28,IF($JE28=1,30,0),ABS(23-$HI28)*100)),100000+ABS(2-$HH28)*1000+230)))-IF((47=$HJ28)+(47=$HK28)+(47=$HL28)+(47=$HM28)+(47=$HN28)+(47=$HO28)&gt;=2,50,0))+AX$5*50)</f>
        <v/>
      </c>
      <c r="AY148">
        <f>IF(OR($JF28=0,calcA!$A$6=0),0,IF(OR(48=$HA28,48=$HD28,48=$HG28),200000,MIN(IF($HA28=0,999999,IF(2=$HB28,IF(48=$HJ28,IF($JC28=2,30,0),IF(48=$HK28,IF($JC28=1,30,0),ABS(24-$HC28)*100)),100000+ABS(2-$HB28)*1000+240)),IF($HD28=0,999999,IF(2=$HE28,IF(48=$HL28,IF($JD28=2,30,0),IF(48=$HM28,IF($JD28=1,30,0),ABS(24-$HF28)*100)),100000+ABS(2-$HE28)*1000+240)),IF($HG28=0,999999,IF(2=$HH28,IF(48=$HN28,IF($JE28=2,30,0),IF(48=$HO28,IF($JE28=1,30,0),ABS(24-$HI28)*100)),100000+ABS(2-$HH28)*1000+240)))-IF((48=$HJ28)+(48=$HK28)+(48=$HL28)+(48=$HM28)+(48=$HN28)+(48=$HO28)&gt;=2,50,0))+AY$5*50)</f>
        <v/>
      </c>
      <c r="AZ148">
        <f>IF(OR($JF28=0,calcA!$A$6=0),0,IF(OR(49=$HA28,49=$HD28,49=$HG28),200000,MIN(IF($HA28=0,999999,IF(3=$HB28,IF(49=$HJ28,IF($JC28=2,30,0),IF(49=$HK28,IF($JC28=1,30,0),ABS(1-$HC28)*100)),100000+ABS(3-$HB28)*1000+10)),IF($HD28=0,999999,IF(3=$HE28,IF(49=$HL28,IF($JD28=2,30,0),IF(49=$HM28,IF($JD28=1,30,0),ABS(1-$HF28)*100)),100000+ABS(3-$HE28)*1000+10)),IF($HG28=0,999999,IF(3=$HH28,IF(49=$HN28,IF($JE28=2,30,0),IF(49=$HO28,IF($JE28=1,30,0),ABS(1-$HI28)*100)),100000+ABS(3-$HH28)*1000+10)))-IF((49=$HJ28)+(49=$HK28)+(49=$HL28)+(49=$HM28)+(49=$HN28)+(49=$HO28)&gt;=2,50,0))+AZ$5*50)</f>
        <v/>
      </c>
      <c r="BA148">
        <f>IF(OR($JF28=0,calcA!$A$6=0),0,IF(OR(50=$HA28,50=$HD28,50=$HG28),200000,MIN(IF($HA28=0,999999,IF(3=$HB28,IF(50=$HJ28,IF($JC28=2,30,0),IF(50=$HK28,IF($JC28=1,30,0),ABS(2-$HC28)*100)),100000+ABS(3-$HB28)*1000+20)),IF($HD28=0,999999,IF(3=$HE28,IF(50=$HL28,IF($JD28=2,30,0),IF(50=$HM28,IF($JD28=1,30,0),ABS(2-$HF28)*100)),100000+ABS(3-$HE28)*1000+20)),IF($HG28=0,999999,IF(3=$HH28,IF(50=$HN28,IF($JE28=2,30,0),IF(50=$HO28,IF($JE28=1,30,0),ABS(2-$HI28)*100)),100000+ABS(3-$HH28)*1000+20)))-IF((50=$HJ28)+(50=$HK28)+(50=$HL28)+(50=$HM28)+(50=$HN28)+(50=$HO28)&gt;=2,50,0))+BA$5*50)</f>
        <v/>
      </c>
      <c r="BB148">
        <f>IF(OR($JF28=0,calcA!$A$6=0),0,IF(OR(51=$HA28,51=$HD28,51=$HG28),200000,MIN(IF($HA28=0,999999,IF(3=$HB28,IF(51=$HJ28,IF($JC28=2,30,0),IF(51=$HK28,IF($JC28=1,30,0),ABS(3-$HC28)*100)),100000+ABS(3-$HB28)*1000+30)),IF($HD28=0,999999,IF(3=$HE28,IF(51=$HL28,IF($JD28=2,30,0),IF(51=$HM28,IF($JD28=1,30,0),ABS(3-$HF28)*100)),100000+ABS(3-$HE28)*1000+30)),IF($HG28=0,999999,IF(3=$HH28,IF(51=$HN28,IF($JE28=2,30,0),IF(51=$HO28,IF($JE28=1,30,0),ABS(3-$HI28)*100)),100000+ABS(3-$HH28)*1000+30)))-IF((51=$HJ28)+(51=$HK28)+(51=$HL28)+(51=$HM28)+(51=$HN28)+(51=$HO28)&gt;=2,50,0))+BB$5*50)</f>
        <v/>
      </c>
      <c r="BC148">
        <f>IF(OR($JF28=0,calcA!$A$6=0),0,IF(OR(52=$HA28,52=$HD28,52=$HG28),200000,MIN(IF($HA28=0,999999,IF(3=$HB28,IF(52=$HJ28,IF($JC28=2,30,0),IF(52=$HK28,IF($JC28=1,30,0),ABS(4-$HC28)*100)),100000+ABS(3-$HB28)*1000+40)),IF($HD28=0,999999,IF(3=$HE28,IF(52=$HL28,IF($JD28=2,30,0),IF(52=$HM28,IF($JD28=1,30,0),ABS(4-$HF28)*100)),100000+ABS(3-$HE28)*1000+40)),IF($HG28=0,999999,IF(3=$HH28,IF(52=$HN28,IF($JE28=2,30,0),IF(52=$HO28,IF($JE28=1,30,0),ABS(4-$HI28)*100)),100000+ABS(3-$HH28)*1000+40)))-IF((52=$HJ28)+(52=$HK28)+(52=$HL28)+(52=$HM28)+(52=$HN28)+(52=$HO28)&gt;=2,50,0))+BC$5*50)</f>
        <v/>
      </c>
      <c r="BD148">
        <f>IF(OR($JF28=0,calcA!$A$6=0),0,IF(OR(53=$HA28,53=$HD28,53=$HG28),200000,MIN(IF($HA28=0,999999,IF(3=$HB28,IF(53=$HJ28,IF($JC28=2,30,0),IF(53=$HK28,IF($JC28=1,30,0),ABS(5-$HC28)*100)),100000+ABS(3-$HB28)*1000+50)),IF($HD28=0,999999,IF(3=$HE28,IF(53=$HL28,IF($JD28=2,30,0),IF(53=$HM28,IF($JD28=1,30,0),ABS(5-$HF28)*100)),100000+ABS(3-$HE28)*1000+50)),IF($HG28=0,999999,IF(3=$HH28,IF(53=$HN28,IF($JE28=2,30,0),IF(53=$HO28,IF($JE28=1,30,0),ABS(5-$HI28)*100)),100000+ABS(3-$HH28)*1000+50)))-IF((53=$HJ28)+(53=$HK28)+(53=$HL28)+(53=$HM28)+(53=$HN28)+(53=$HO28)&gt;=2,50,0))+BD$5*50)</f>
        <v/>
      </c>
      <c r="BE148">
        <f>IF(OR($JF28=0,calcA!$A$6=0),0,IF(OR(54=$HA28,54=$HD28,54=$HG28),200000,MIN(IF($HA28=0,999999,IF(3=$HB28,IF(54=$HJ28,IF($JC28=2,30,0),IF(54=$HK28,IF($JC28=1,30,0),ABS(6-$HC28)*100)),100000+ABS(3-$HB28)*1000+60)),IF($HD28=0,999999,IF(3=$HE28,IF(54=$HL28,IF($JD28=2,30,0),IF(54=$HM28,IF($JD28=1,30,0),ABS(6-$HF28)*100)),100000+ABS(3-$HE28)*1000+60)),IF($HG28=0,999999,IF(3=$HH28,IF(54=$HN28,IF($JE28=2,30,0),IF(54=$HO28,IF($JE28=1,30,0),ABS(6-$HI28)*100)),100000+ABS(3-$HH28)*1000+60)))-IF((54=$HJ28)+(54=$HK28)+(54=$HL28)+(54=$HM28)+(54=$HN28)+(54=$HO28)&gt;=2,50,0))+BE$5*50)</f>
        <v/>
      </c>
      <c r="BF148">
        <f>IF(OR($JF28=0,calcA!$A$6=0),0,IF(OR(55=$HA28,55=$HD28,55=$HG28),200000,MIN(IF($HA28=0,999999,IF(3=$HB28,IF(55=$HJ28,IF($JC28=2,30,0),IF(55=$HK28,IF($JC28=1,30,0),ABS(7-$HC28)*100)),100000+ABS(3-$HB28)*1000+70)),IF($HD28=0,999999,IF(3=$HE28,IF(55=$HL28,IF($JD28=2,30,0),IF(55=$HM28,IF($JD28=1,30,0),ABS(7-$HF28)*100)),100000+ABS(3-$HE28)*1000+70)),IF($HG28=0,999999,IF(3=$HH28,IF(55=$HN28,IF($JE28=2,30,0),IF(55=$HO28,IF($JE28=1,30,0),ABS(7-$HI28)*100)),100000+ABS(3-$HH28)*1000+70)))-IF((55=$HJ28)+(55=$HK28)+(55=$HL28)+(55=$HM28)+(55=$HN28)+(55=$HO28)&gt;=2,50,0))+BF$5*50)</f>
        <v/>
      </c>
      <c r="BG148">
        <f>IF(OR($JF28=0,calcA!$A$6=0),0,IF(OR(56=$HA28,56=$HD28,56=$HG28),200000,MIN(IF($HA28=0,999999,IF(3=$HB28,IF(56=$HJ28,IF($JC28=2,30,0),IF(56=$HK28,IF($JC28=1,30,0),ABS(8-$HC28)*100)),100000+ABS(3-$HB28)*1000+80)),IF($HD28=0,999999,IF(3=$HE28,IF(56=$HL28,IF($JD28=2,30,0),IF(56=$HM28,IF($JD28=1,30,0),ABS(8-$HF28)*100)),100000+ABS(3-$HE28)*1000+80)),IF($HG28=0,999999,IF(3=$HH28,IF(56=$HN28,IF($JE28=2,30,0),IF(56=$HO28,IF($JE28=1,30,0),ABS(8-$HI28)*100)),100000+ABS(3-$HH28)*1000+80)))-IF((56=$HJ28)+(56=$HK28)+(56=$HL28)+(56=$HM28)+(56=$HN28)+(56=$HO28)&gt;=2,50,0))+BG$5*50)</f>
        <v/>
      </c>
      <c r="BH148">
        <f>IF(OR($JF28=0,calcA!$A$6=0),0,IF(OR(57=$HA28,57=$HD28,57=$HG28),200000,MIN(IF($HA28=0,999999,IF(3=$HB28,IF(57=$HJ28,IF($JC28=2,30,0),IF(57=$HK28,IF($JC28=1,30,0),ABS(9-$HC28)*100)),100000+ABS(3-$HB28)*1000+90)),IF($HD28=0,999999,IF(3=$HE28,IF(57=$HL28,IF($JD28=2,30,0),IF(57=$HM28,IF($JD28=1,30,0),ABS(9-$HF28)*100)),100000+ABS(3-$HE28)*1000+90)),IF($HG28=0,999999,IF(3=$HH28,IF(57=$HN28,IF($JE28=2,30,0),IF(57=$HO28,IF($JE28=1,30,0),ABS(9-$HI28)*100)),100000+ABS(3-$HH28)*1000+90)))-IF((57=$HJ28)+(57=$HK28)+(57=$HL28)+(57=$HM28)+(57=$HN28)+(57=$HO28)&gt;=2,50,0))+BH$5*50)</f>
        <v/>
      </c>
      <c r="BI148">
        <f>IF(OR($JF28=0,calcA!$A$6=0),0,IF(OR(58=$HA28,58=$HD28,58=$HG28),200000,MIN(IF($HA28=0,999999,IF(3=$HB28,IF(58=$HJ28,IF($JC28=2,30,0),IF(58=$HK28,IF($JC28=1,30,0),ABS(10-$HC28)*100)),100000+ABS(3-$HB28)*1000+100)),IF($HD28=0,999999,IF(3=$HE28,IF(58=$HL28,IF($JD28=2,30,0),IF(58=$HM28,IF($JD28=1,30,0),ABS(10-$HF28)*100)),100000+ABS(3-$HE28)*1000+100)),IF($HG28=0,999999,IF(3=$HH28,IF(58=$HN28,IF($JE28=2,30,0),IF(58=$HO28,IF($JE28=1,30,0),ABS(10-$HI28)*100)),100000+ABS(3-$HH28)*1000+100)))-IF((58=$HJ28)+(58=$HK28)+(58=$HL28)+(58=$HM28)+(58=$HN28)+(58=$HO28)&gt;=2,50,0))+BI$5*50)</f>
        <v/>
      </c>
      <c r="BJ148">
        <f>IF(OR($JF28=0,calcA!$A$6=0),0,IF(OR(59=$HA28,59=$HD28,59=$HG28),200000,MIN(IF($HA28=0,999999,IF(3=$HB28,IF(59=$HJ28,IF($JC28=2,30,0),IF(59=$HK28,IF($JC28=1,30,0),ABS(11-$HC28)*100)),100000+ABS(3-$HB28)*1000+110)),IF($HD28=0,999999,IF(3=$HE28,IF(59=$HL28,IF($JD28=2,30,0),IF(59=$HM28,IF($JD28=1,30,0),ABS(11-$HF28)*100)),100000+ABS(3-$HE28)*1000+110)),IF($HG28=0,999999,IF(3=$HH28,IF(59=$HN28,IF($JE28=2,30,0),IF(59=$HO28,IF($JE28=1,30,0),ABS(11-$HI28)*100)),100000+ABS(3-$HH28)*1000+110)))-IF((59=$HJ28)+(59=$HK28)+(59=$HL28)+(59=$HM28)+(59=$HN28)+(59=$HO28)&gt;=2,50,0))+BJ$5*50)</f>
        <v/>
      </c>
      <c r="BK148">
        <f>IF(OR($JF28=0,calcA!$A$6=0),0,IF(OR(60=$HA28,60=$HD28,60=$HG28),200000,MIN(IF($HA28=0,999999,IF(3=$HB28,IF(60=$HJ28,IF($JC28=2,30,0),IF(60=$HK28,IF($JC28=1,30,0),ABS(12-$HC28)*100)),100000+ABS(3-$HB28)*1000+120)),IF($HD28=0,999999,IF(3=$HE28,IF(60=$HL28,IF($JD28=2,30,0),IF(60=$HM28,IF($JD28=1,30,0),ABS(12-$HF28)*100)),100000+ABS(3-$HE28)*1000+120)),IF($HG28=0,999999,IF(3=$HH28,IF(60=$HN28,IF($JE28=2,30,0),IF(60=$HO28,IF($JE28=1,30,0),ABS(12-$HI28)*100)),100000+ABS(3-$HH28)*1000+120)))-IF((60=$HJ28)+(60=$HK28)+(60=$HL28)+(60=$HM28)+(60=$HN28)+(60=$HO28)&gt;=2,50,0))+BK$5*50)</f>
        <v/>
      </c>
      <c r="BL148">
        <f>IF(OR($JF28=0,calcA!$A$6=0),0,IF(OR(61=$HA28,61=$HD28,61=$HG28),200000,MIN(IF($HA28=0,999999,IF(3=$HB28,IF(61=$HJ28,IF($JC28=2,30,0),IF(61=$HK28,IF($JC28=1,30,0),ABS(13-$HC28)*100)),100000+ABS(3-$HB28)*1000+130)),IF($HD28=0,999999,IF(3=$HE28,IF(61=$HL28,IF($JD28=2,30,0),IF(61=$HM28,IF($JD28=1,30,0),ABS(13-$HF28)*100)),100000+ABS(3-$HE28)*1000+130)),IF($HG28=0,999999,IF(3=$HH28,IF(61=$HN28,IF($JE28=2,30,0),IF(61=$HO28,IF($JE28=1,30,0),ABS(13-$HI28)*100)),100000+ABS(3-$HH28)*1000+130)))-IF((61=$HJ28)+(61=$HK28)+(61=$HL28)+(61=$HM28)+(61=$HN28)+(61=$HO28)&gt;=2,50,0))+BL$5*50)</f>
        <v/>
      </c>
      <c r="BM148">
        <f>IF(OR($JF28=0,calcA!$A$6=0),0,IF(OR(62=$HA28,62=$HD28,62=$HG28),200000,MIN(IF($HA28=0,999999,IF(3=$HB28,IF(62=$HJ28,IF($JC28=2,30,0),IF(62=$HK28,IF($JC28=1,30,0),ABS(14-$HC28)*100)),100000+ABS(3-$HB28)*1000+140)),IF($HD28=0,999999,IF(3=$HE28,IF(62=$HL28,IF($JD28=2,30,0),IF(62=$HM28,IF($JD28=1,30,0),ABS(14-$HF28)*100)),100000+ABS(3-$HE28)*1000+140)),IF($HG28=0,999999,IF(3=$HH28,IF(62=$HN28,IF($JE28=2,30,0),IF(62=$HO28,IF($JE28=1,30,0),ABS(14-$HI28)*100)),100000+ABS(3-$HH28)*1000+140)))-IF((62=$HJ28)+(62=$HK28)+(62=$HL28)+(62=$HM28)+(62=$HN28)+(62=$HO28)&gt;=2,50,0))+BM$5*50)</f>
        <v/>
      </c>
      <c r="BN148">
        <f>IF(OR($JF28=0,calcA!$A$6=0),0,IF(OR(63=$HA28,63=$HD28,63=$HG28),200000,MIN(IF($HA28=0,999999,IF(3=$HB28,IF(63=$HJ28,IF($JC28=2,30,0),IF(63=$HK28,IF($JC28=1,30,0),ABS(15-$HC28)*100)),100000+ABS(3-$HB28)*1000+150)),IF($HD28=0,999999,IF(3=$HE28,IF(63=$HL28,IF($JD28=2,30,0),IF(63=$HM28,IF($JD28=1,30,0),ABS(15-$HF28)*100)),100000+ABS(3-$HE28)*1000+150)),IF($HG28=0,999999,IF(3=$HH28,IF(63=$HN28,IF($JE28=2,30,0),IF(63=$HO28,IF($JE28=1,30,0),ABS(15-$HI28)*100)),100000+ABS(3-$HH28)*1000+150)))-IF((63=$HJ28)+(63=$HK28)+(63=$HL28)+(63=$HM28)+(63=$HN28)+(63=$HO28)&gt;=2,50,0))+BN$5*50)</f>
        <v/>
      </c>
      <c r="BO148">
        <f>IF(OR($JF28=0,calcA!$A$6=0),0,IF(OR(64=$HA28,64=$HD28,64=$HG28),200000,MIN(IF($HA28=0,999999,IF(3=$HB28,IF(64=$HJ28,IF($JC28=2,30,0),IF(64=$HK28,IF($JC28=1,30,0),ABS(16-$HC28)*100)),100000+ABS(3-$HB28)*1000+160)),IF($HD28=0,999999,IF(3=$HE28,IF(64=$HL28,IF($JD28=2,30,0),IF(64=$HM28,IF($JD28=1,30,0),ABS(16-$HF28)*100)),100000+ABS(3-$HE28)*1000+160)),IF($HG28=0,999999,IF(3=$HH28,IF(64=$HN28,IF($JE28=2,30,0),IF(64=$HO28,IF($JE28=1,30,0),ABS(16-$HI28)*100)),100000+ABS(3-$HH28)*1000+160)))-IF((64=$HJ28)+(64=$HK28)+(64=$HL28)+(64=$HM28)+(64=$HN28)+(64=$HO28)&gt;=2,50,0))+BO$5*50)</f>
        <v/>
      </c>
      <c r="BP148">
        <f>IF(OR($JF28=0,calcA!$A$6=0),0,IF(OR(65=$HA28,65=$HD28,65=$HG28),200000,MIN(IF($HA28=0,999999,IF(3=$HB28,IF(65=$HJ28,IF($JC28=2,30,0),IF(65=$HK28,IF($JC28=1,30,0),ABS(17-$HC28)*100)),100000+ABS(3-$HB28)*1000+170)),IF($HD28=0,999999,IF(3=$HE28,IF(65=$HL28,IF($JD28=2,30,0),IF(65=$HM28,IF($JD28=1,30,0),ABS(17-$HF28)*100)),100000+ABS(3-$HE28)*1000+170)),IF($HG28=0,999999,IF(3=$HH28,IF(65=$HN28,IF($JE28=2,30,0),IF(65=$HO28,IF($JE28=1,30,0),ABS(17-$HI28)*100)),100000+ABS(3-$HH28)*1000+170)))-IF((65=$HJ28)+(65=$HK28)+(65=$HL28)+(65=$HM28)+(65=$HN28)+(65=$HO28)&gt;=2,50,0))+BP$5*50)</f>
        <v/>
      </c>
      <c r="BQ148">
        <f>IF(OR($JF28=0,calcA!$A$6=0),0,IF(OR(66=$HA28,66=$HD28,66=$HG28),200000,MIN(IF($HA28=0,999999,IF(3=$HB28,IF(66=$HJ28,IF($JC28=2,30,0),IF(66=$HK28,IF($JC28=1,30,0),ABS(18-$HC28)*100)),100000+ABS(3-$HB28)*1000+180)),IF($HD28=0,999999,IF(3=$HE28,IF(66=$HL28,IF($JD28=2,30,0),IF(66=$HM28,IF($JD28=1,30,0),ABS(18-$HF28)*100)),100000+ABS(3-$HE28)*1000+180)),IF($HG28=0,999999,IF(3=$HH28,IF(66=$HN28,IF($JE28=2,30,0),IF(66=$HO28,IF($JE28=1,30,0),ABS(18-$HI28)*100)),100000+ABS(3-$HH28)*1000+180)))-IF((66=$HJ28)+(66=$HK28)+(66=$HL28)+(66=$HM28)+(66=$HN28)+(66=$HO28)&gt;=2,50,0))+BQ$5*50)</f>
        <v/>
      </c>
      <c r="BR148">
        <f>IF(OR($JF28=0,calcA!$A$6=0),0,IF(OR(67=$HA28,67=$HD28,67=$HG28),200000,MIN(IF($HA28=0,999999,IF(3=$HB28,IF(67=$HJ28,IF($JC28=2,30,0),IF(67=$HK28,IF($JC28=1,30,0),ABS(19-$HC28)*100)),100000+ABS(3-$HB28)*1000+190)),IF($HD28=0,999999,IF(3=$HE28,IF(67=$HL28,IF($JD28=2,30,0),IF(67=$HM28,IF($JD28=1,30,0),ABS(19-$HF28)*100)),100000+ABS(3-$HE28)*1000+190)),IF($HG28=0,999999,IF(3=$HH28,IF(67=$HN28,IF($JE28=2,30,0),IF(67=$HO28,IF($JE28=1,30,0),ABS(19-$HI28)*100)),100000+ABS(3-$HH28)*1000+190)))-IF((67=$HJ28)+(67=$HK28)+(67=$HL28)+(67=$HM28)+(67=$HN28)+(67=$HO28)&gt;=2,50,0))+BR$5*50)</f>
        <v/>
      </c>
      <c r="BS148">
        <f>IF(OR($JF28=0,calcA!$A$6=0),0,IF(OR(68=$HA28,68=$HD28,68=$HG28),200000,MIN(IF($HA28=0,999999,IF(3=$HB28,IF(68=$HJ28,IF($JC28=2,30,0),IF(68=$HK28,IF($JC28=1,30,0),ABS(20-$HC28)*100)),100000+ABS(3-$HB28)*1000+200)),IF($HD28=0,999999,IF(3=$HE28,IF(68=$HL28,IF($JD28=2,30,0),IF(68=$HM28,IF($JD28=1,30,0),ABS(20-$HF28)*100)),100000+ABS(3-$HE28)*1000+200)),IF($HG28=0,999999,IF(3=$HH28,IF(68=$HN28,IF($JE28=2,30,0),IF(68=$HO28,IF($JE28=1,30,0),ABS(20-$HI28)*100)),100000+ABS(3-$HH28)*1000+200)))-IF((68=$HJ28)+(68=$HK28)+(68=$HL28)+(68=$HM28)+(68=$HN28)+(68=$HO28)&gt;=2,50,0))+BS$5*50)</f>
        <v/>
      </c>
      <c r="BT148">
        <f>IF(OR($JF28=0,calcA!$A$6=0),0,IF(OR(69=$HA28,69=$HD28,69=$HG28),200000,MIN(IF($HA28=0,999999,IF(3=$HB28,IF(69=$HJ28,IF($JC28=2,30,0),IF(69=$HK28,IF($JC28=1,30,0),ABS(21-$HC28)*100)),100000+ABS(3-$HB28)*1000+210)),IF($HD28=0,999999,IF(3=$HE28,IF(69=$HL28,IF($JD28=2,30,0),IF(69=$HM28,IF($JD28=1,30,0),ABS(21-$HF28)*100)),100000+ABS(3-$HE28)*1000+210)),IF($HG28=0,999999,IF(3=$HH28,IF(69=$HN28,IF($JE28=2,30,0),IF(69=$HO28,IF($JE28=1,30,0),ABS(21-$HI28)*100)),100000+ABS(3-$HH28)*1000+210)))-IF((69=$HJ28)+(69=$HK28)+(69=$HL28)+(69=$HM28)+(69=$HN28)+(69=$HO28)&gt;=2,50,0))+BT$5*50)</f>
        <v/>
      </c>
      <c r="BU148">
        <f>IF(OR($JF28=0,calcA!$A$6=0),0,IF(OR(70=$HA28,70=$HD28,70=$HG28),200000,MIN(IF($HA28=0,999999,IF(3=$HB28,IF(70=$HJ28,IF($JC28=2,30,0),IF(70=$HK28,IF($JC28=1,30,0),ABS(22-$HC28)*100)),100000+ABS(3-$HB28)*1000+220)),IF($HD28=0,999999,IF(3=$HE28,IF(70=$HL28,IF($JD28=2,30,0),IF(70=$HM28,IF($JD28=1,30,0),ABS(22-$HF28)*100)),100000+ABS(3-$HE28)*1000+220)),IF($HG28=0,999999,IF(3=$HH28,IF(70=$HN28,IF($JE28=2,30,0),IF(70=$HO28,IF($JE28=1,30,0),ABS(22-$HI28)*100)),100000+ABS(3-$HH28)*1000+220)))-IF((70=$HJ28)+(70=$HK28)+(70=$HL28)+(70=$HM28)+(70=$HN28)+(70=$HO28)&gt;=2,50,0))+BU$5*50)</f>
        <v/>
      </c>
      <c r="BV148">
        <f>IF(OR($JF28=0,calcA!$A$6=0),0,IF(OR(71=$HA28,71=$HD28,71=$HG28),200000,MIN(IF($HA28=0,999999,IF(3=$HB28,IF(71=$HJ28,IF($JC28=2,30,0),IF(71=$HK28,IF($JC28=1,30,0),ABS(23-$HC28)*100)),100000+ABS(3-$HB28)*1000+230)),IF($HD28=0,999999,IF(3=$HE28,IF(71=$HL28,IF($JD28=2,30,0),IF(71=$HM28,IF($JD28=1,30,0),ABS(23-$HF28)*100)),100000+ABS(3-$HE28)*1000+230)),IF($HG28=0,999999,IF(3=$HH28,IF(71=$HN28,IF($JE28=2,30,0),IF(71=$HO28,IF($JE28=1,30,0),ABS(23-$HI28)*100)),100000+ABS(3-$HH28)*1000+230)))-IF((71=$HJ28)+(71=$HK28)+(71=$HL28)+(71=$HM28)+(71=$HN28)+(71=$HO28)&gt;=2,50,0))+BV$5*50)</f>
        <v/>
      </c>
      <c r="BW148">
        <f>IF(OR($JF28=0,calcA!$A$6=0),0,IF(OR(72=$HA28,72=$HD28,72=$HG28),200000,MIN(IF($HA28=0,999999,IF(3=$HB28,IF(72=$HJ28,IF($JC28=2,30,0),IF(72=$HK28,IF($JC28=1,30,0),ABS(24-$HC28)*100)),100000+ABS(3-$HB28)*1000+240)),IF($HD28=0,999999,IF(3=$HE28,IF(72=$HL28,IF($JD28=2,30,0),IF(72=$HM28,IF($JD28=1,30,0),ABS(24-$HF28)*100)),100000+ABS(3-$HE28)*1000+240)),IF($HG28=0,999999,IF(3=$HH28,IF(72=$HN28,IF($JE28=2,30,0),IF(72=$HO28,IF($JE28=1,30,0),ABS(24-$HI28)*100)),100000+ABS(3-$HH28)*1000+240)))-IF((72=$HJ28)+(72=$HK28)+(72=$HL28)+(72=$HM28)+(72=$HN28)+(72=$HO28)&gt;=2,50,0))+BW$5*50)</f>
        <v/>
      </c>
      <c r="BX148">
        <f>IF(OR($JF28=0,calcA!$A$6=0),0,IF(OR(73=$HA28,73=$HD28,73=$HG28),200000,MIN(IF($HA28=0,999999,IF(4=$HB28,IF(73=$HJ28,IF($JC28=2,30,0),IF(73=$HK28,IF($JC28=1,30,0),ABS(1-$HC28)*100)),100000+ABS(4-$HB28)*1000+10)),IF($HD28=0,999999,IF(4=$HE28,IF(73=$HL28,IF($JD28=2,30,0),IF(73=$HM28,IF($JD28=1,30,0),ABS(1-$HF28)*100)),100000+ABS(4-$HE28)*1000+10)),IF($HG28=0,999999,IF(4=$HH28,IF(73=$HN28,IF($JE28=2,30,0),IF(73=$HO28,IF($JE28=1,30,0),ABS(1-$HI28)*100)),100000+ABS(4-$HH28)*1000+10)))-IF((73=$HJ28)+(73=$HK28)+(73=$HL28)+(73=$HM28)+(73=$HN28)+(73=$HO28)&gt;=2,50,0))+BX$5*50)</f>
        <v/>
      </c>
      <c r="BY148">
        <f>IF(OR($JF28=0,calcA!$A$6=0),0,IF(OR(74=$HA28,74=$HD28,74=$HG28),200000,MIN(IF($HA28=0,999999,IF(4=$HB28,IF(74=$HJ28,IF($JC28=2,30,0),IF(74=$HK28,IF($JC28=1,30,0),ABS(2-$HC28)*100)),100000+ABS(4-$HB28)*1000+20)),IF($HD28=0,999999,IF(4=$HE28,IF(74=$HL28,IF($JD28=2,30,0),IF(74=$HM28,IF($JD28=1,30,0),ABS(2-$HF28)*100)),100000+ABS(4-$HE28)*1000+20)),IF($HG28=0,999999,IF(4=$HH28,IF(74=$HN28,IF($JE28=2,30,0),IF(74=$HO28,IF($JE28=1,30,0),ABS(2-$HI28)*100)),100000+ABS(4-$HH28)*1000+20)))-IF((74=$HJ28)+(74=$HK28)+(74=$HL28)+(74=$HM28)+(74=$HN28)+(74=$HO28)&gt;=2,50,0))+BY$5*50)</f>
        <v/>
      </c>
      <c r="BZ148">
        <f>IF(OR($JF28=0,calcA!$A$6=0),0,IF(OR(75=$HA28,75=$HD28,75=$HG28),200000,MIN(IF($HA28=0,999999,IF(4=$HB28,IF(75=$HJ28,IF($JC28=2,30,0),IF(75=$HK28,IF($JC28=1,30,0),ABS(3-$HC28)*100)),100000+ABS(4-$HB28)*1000+30)),IF($HD28=0,999999,IF(4=$HE28,IF(75=$HL28,IF($JD28=2,30,0),IF(75=$HM28,IF($JD28=1,30,0),ABS(3-$HF28)*100)),100000+ABS(4-$HE28)*1000+30)),IF($HG28=0,999999,IF(4=$HH28,IF(75=$HN28,IF($JE28=2,30,0),IF(75=$HO28,IF($JE28=1,30,0),ABS(3-$HI28)*100)),100000+ABS(4-$HH28)*1000+30)))-IF((75=$HJ28)+(75=$HK28)+(75=$HL28)+(75=$HM28)+(75=$HN28)+(75=$HO28)&gt;=2,50,0))+BZ$5*50)</f>
        <v/>
      </c>
      <c r="CA148">
        <f>IF(OR($JF28=0,calcA!$A$6=0),0,IF(OR(76=$HA28,76=$HD28,76=$HG28),200000,MIN(IF($HA28=0,999999,IF(4=$HB28,IF(76=$HJ28,IF($JC28=2,30,0),IF(76=$HK28,IF($JC28=1,30,0),ABS(4-$HC28)*100)),100000+ABS(4-$HB28)*1000+40)),IF($HD28=0,999999,IF(4=$HE28,IF(76=$HL28,IF($JD28=2,30,0),IF(76=$HM28,IF($JD28=1,30,0),ABS(4-$HF28)*100)),100000+ABS(4-$HE28)*1000+40)),IF($HG28=0,999999,IF(4=$HH28,IF(76=$HN28,IF($JE28=2,30,0),IF(76=$HO28,IF($JE28=1,30,0),ABS(4-$HI28)*100)),100000+ABS(4-$HH28)*1000+40)))-IF((76=$HJ28)+(76=$HK28)+(76=$HL28)+(76=$HM28)+(76=$HN28)+(76=$HO28)&gt;=2,50,0))+CA$5*50)</f>
        <v/>
      </c>
      <c r="CB148">
        <f>IF(OR($JF28=0,calcA!$A$6=0),0,IF(OR(77=$HA28,77=$HD28,77=$HG28),200000,MIN(IF($HA28=0,999999,IF(4=$HB28,IF(77=$HJ28,IF($JC28=2,30,0),IF(77=$HK28,IF($JC28=1,30,0),ABS(5-$HC28)*100)),100000+ABS(4-$HB28)*1000+50)),IF($HD28=0,999999,IF(4=$HE28,IF(77=$HL28,IF($JD28=2,30,0),IF(77=$HM28,IF($JD28=1,30,0),ABS(5-$HF28)*100)),100000+ABS(4-$HE28)*1000+50)),IF($HG28=0,999999,IF(4=$HH28,IF(77=$HN28,IF($JE28=2,30,0),IF(77=$HO28,IF($JE28=1,30,0),ABS(5-$HI28)*100)),100000+ABS(4-$HH28)*1000+50)))-IF((77=$HJ28)+(77=$HK28)+(77=$HL28)+(77=$HM28)+(77=$HN28)+(77=$HO28)&gt;=2,50,0))+CB$5*50)</f>
        <v/>
      </c>
      <c r="CC148">
        <f>IF(OR($JF28=0,calcA!$A$6=0),0,IF(OR(78=$HA28,78=$HD28,78=$HG28),200000,MIN(IF($HA28=0,999999,IF(4=$HB28,IF(78=$HJ28,IF($JC28=2,30,0),IF(78=$HK28,IF($JC28=1,30,0),ABS(6-$HC28)*100)),100000+ABS(4-$HB28)*1000+60)),IF($HD28=0,999999,IF(4=$HE28,IF(78=$HL28,IF($JD28=2,30,0),IF(78=$HM28,IF($JD28=1,30,0),ABS(6-$HF28)*100)),100000+ABS(4-$HE28)*1000+60)),IF($HG28=0,999999,IF(4=$HH28,IF(78=$HN28,IF($JE28=2,30,0),IF(78=$HO28,IF($JE28=1,30,0),ABS(6-$HI28)*100)),100000+ABS(4-$HH28)*1000+60)))-IF((78=$HJ28)+(78=$HK28)+(78=$HL28)+(78=$HM28)+(78=$HN28)+(78=$HO28)&gt;=2,50,0))+CC$5*50)</f>
        <v/>
      </c>
      <c r="CD148">
        <f>IF(OR($JF28=0,calcA!$A$6=0),0,IF(OR(79=$HA28,79=$HD28,79=$HG28),200000,MIN(IF($HA28=0,999999,IF(4=$HB28,IF(79=$HJ28,IF($JC28=2,30,0),IF(79=$HK28,IF($JC28=1,30,0),ABS(7-$HC28)*100)),100000+ABS(4-$HB28)*1000+70)),IF($HD28=0,999999,IF(4=$HE28,IF(79=$HL28,IF($JD28=2,30,0),IF(79=$HM28,IF($JD28=1,30,0),ABS(7-$HF28)*100)),100000+ABS(4-$HE28)*1000+70)),IF($HG28=0,999999,IF(4=$HH28,IF(79=$HN28,IF($JE28=2,30,0),IF(79=$HO28,IF($JE28=1,30,0),ABS(7-$HI28)*100)),100000+ABS(4-$HH28)*1000+70)))-IF((79=$HJ28)+(79=$HK28)+(79=$HL28)+(79=$HM28)+(79=$HN28)+(79=$HO28)&gt;=2,50,0))+CD$5*50)</f>
        <v/>
      </c>
      <c r="CE148">
        <f>IF(OR($JF28=0,calcA!$A$6=0),0,IF(OR(80=$HA28,80=$HD28,80=$HG28),200000,MIN(IF($HA28=0,999999,IF(4=$HB28,IF(80=$HJ28,IF($JC28=2,30,0),IF(80=$HK28,IF($JC28=1,30,0),ABS(8-$HC28)*100)),100000+ABS(4-$HB28)*1000+80)),IF($HD28=0,999999,IF(4=$HE28,IF(80=$HL28,IF($JD28=2,30,0),IF(80=$HM28,IF($JD28=1,30,0),ABS(8-$HF28)*100)),100000+ABS(4-$HE28)*1000+80)),IF($HG28=0,999999,IF(4=$HH28,IF(80=$HN28,IF($JE28=2,30,0),IF(80=$HO28,IF($JE28=1,30,0),ABS(8-$HI28)*100)),100000+ABS(4-$HH28)*1000+80)))-IF((80=$HJ28)+(80=$HK28)+(80=$HL28)+(80=$HM28)+(80=$HN28)+(80=$HO28)&gt;=2,50,0))+CE$5*50)</f>
        <v/>
      </c>
      <c r="CF148">
        <f>IF(OR($JF28=0,calcA!$A$6=0),0,IF(OR(81=$HA28,81=$HD28,81=$HG28),200000,MIN(IF($HA28=0,999999,IF(4=$HB28,IF(81=$HJ28,IF($JC28=2,30,0),IF(81=$HK28,IF($JC28=1,30,0),ABS(9-$HC28)*100)),100000+ABS(4-$HB28)*1000+90)),IF($HD28=0,999999,IF(4=$HE28,IF(81=$HL28,IF($JD28=2,30,0),IF(81=$HM28,IF($JD28=1,30,0),ABS(9-$HF28)*100)),100000+ABS(4-$HE28)*1000+90)),IF($HG28=0,999999,IF(4=$HH28,IF(81=$HN28,IF($JE28=2,30,0),IF(81=$HO28,IF($JE28=1,30,0),ABS(9-$HI28)*100)),100000+ABS(4-$HH28)*1000+90)))-IF((81=$HJ28)+(81=$HK28)+(81=$HL28)+(81=$HM28)+(81=$HN28)+(81=$HO28)&gt;=2,50,0))+CF$5*50)</f>
        <v/>
      </c>
      <c r="CG148">
        <f>IF(OR($JF28=0,calcA!$A$6=0),0,IF(OR(82=$HA28,82=$HD28,82=$HG28),200000,MIN(IF($HA28=0,999999,IF(4=$HB28,IF(82=$HJ28,IF($JC28=2,30,0),IF(82=$HK28,IF($JC28=1,30,0),ABS(10-$HC28)*100)),100000+ABS(4-$HB28)*1000+100)),IF($HD28=0,999999,IF(4=$HE28,IF(82=$HL28,IF($JD28=2,30,0),IF(82=$HM28,IF($JD28=1,30,0),ABS(10-$HF28)*100)),100000+ABS(4-$HE28)*1000+100)),IF($HG28=0,999999,IF(4=$HH28,IF(82=$HN28,IF($JE28=2,30,0),IF(82=$HO28,IF($JE28=1,30,0),ABS(10-$HI28)*100)),100000+ABS(4-$HH28)*1000+100)))-IF((82=$HJ28)+(82=$HK28)+(82=$HL28)+(82=$HM28)+(82=$HN28)+(82=$HO28)&gt;=2,50,0))+CG$5*50)</f>
        <v/>
      </c>
      <c r="CH148">
        <f>IF(OR($JF28=0,calcA!$A$6=0),0,IF(OR(83=$HA28,83=$HD28,83=$HG28),200000,MIN(IF($HA28=0,999999,IF(4=$HB28,IF(83=$HJ28,IF($JC28=2,30,0),IF(83=$HK28,IF($JC28=1,30,0),ABS(11-$HC28)*100)),100000+ABS(4-$HB28)*1000+110)),IF($HD28=0,999999,IF(4=$HE28,IF(83=$HL28,IF($JD28=2,30,0),IF(83=$HM28,IF($JD28=1,30,0),ABS(11-$HF28)*100)),100000+ABS(4-$HE28)*1000+110)),IF($HG28=0,999999,IF(4=$HH28,IF(83=$HN28,IF($JE28=2,30,0),IF(83=$HO28,IF($JE28=1,30,0),ABS(11-$HI28)*100)),100000+ABS(4-$HH28)*1000+110)))-IF((83=$HJ28)+(83=$HK28)+(83=$HL28)+(83=$HM28)+(83=$HN28)+(83=$HO28)&gt;=2,50,0))+CH$5*50)</f>
        <v/>
      </c>
      <c r="CI148">
        <f>IF(OR($JF28=0,calcA!$A$6=0),0,IF(OR(84=$HA28,84=$HD28,84=$HG28),200000,MIN(IF($HA28=0,999999,IF(4=$HB28,IF(84=$HJ28,IF($JC28=2,30,0),IF(84=$HK28,IF($JC28=1,30,0),ABS(12-$HC28)*100)),100000+ABS(4-$HB28)*1000+120)),IF($HD28=0,999999,IF(4=$HE28,IF(84=$HL28,IF($JD28=2,30,0),IF(84=$HM28,IF($JD28=1,30,0),ABS(12-$HF28)*100)),100000+ABS(4-$HE28)*1000+120)),IF($HG28=0,999999,IF(4=$HH28,IF(84=$HN28,IF($JE28=2,30,0),IF(84=$HO28,IF($JE28=1,30,0),ABS(12-$HI28)*100)),100000+ABS(4-$HH28)*1000+120)))-IF((84=$HJ28)+(84=$HK28)+(84=$HL28)+(84=$HM28)+(84=$HN28)+(84=$HO28)&gt;=2,50,0))+CI$5*50)</f>
        <v/>
      </c>
      <c r="CJ148">
        <f>IF(OR($JF28=0,calcA!$A$6=0),0,IF(OR(85=$HA28,85=$HD28,85=$HG28),200000,MIN(IF($HA28=0,999999,IF(4=$HB28,IF(85=$HJ28,IF($JC28=2,30,0),IF(85=$HK28,IF($JC28=1,30,0),ABS(13-$HC28)*100)),100000+ABS(4-$HB28)*1000+130)),IF($HD28=0,999999,IF(4=$HE28,IF(85=$HL28,IF($JD28=2,30,0),IF(85=$HM28,IF($JD28=1,30,0),ABS(13-$HF28)*100)),100000+ABS(4-$HE28)*1000+130)),IF($HG28=0,999999,IF(4=$HH28,IF(85=$HN28,IF($JE28=2,30,0),IF(85=$HO28,IF($JE28=1,30,0),ABS(13-$HI28)*100)),100000+ABS(4-$HH28)*1000+130)))-IF((85=$HJ28)+(85=$HK28)+(85=$HL28)+(85=$HM28)+(85=$HN28)+(85=$HO28)&gt;=2,50,0))+CJ$5*50)</f>
        <v/>
      </c>
      <c r="CK148">
        <f>IF(OR($JF28=0,calcA!$A$6=0),0,IF(OR(86=$HA28,86=$HD28,86=$HG28),200000,MIN(IF($HA28=0,999999,IF(4=$HB28,IF(86=$HJ28,IF($JC28=2,30,0),IF(86=$HK28,IF($JC28=1,30,0),ABS(14-$HC28)*100)),100000+ABS(4-$HB28)*1000+140)),IF($HD28=0,999999,IF(4=$HE28,IF(86=$HL28,IF($JD28=2,30,0),IF(86=$HM28,IF($JD28=1,30,0),ABS(14-$HF28)*100)),100000+ABS(4-$HE28)*1000+140)),IF($HG28=0,999999,IF(4=$HH28,IF(86=$HN28,IF($JE28=2,30,0),IF(86=$HO28,IF($JE28=1,30,0),ABS(14-$HI28)*100)),100000+ABS(4-$HH28)*1000+140)))-IF((86=$HJ28)+(86=$HK28)+(86=$HL28)+(86=$HM28)+(86=$HN28)+(86=$HO28)&gt;=2,50,0))+CK$5*50)</f>
        <v/>
      </c>
      <c r="CL148">
        <f>IF(OR($JF28=0,calcA!$A$6=0),0,IF(OR(87=$HA28,87=$HD28,87=$HG28),200000,MIN(IF($HA28=0,999999,IF(4=$HB28,IF(87=$HJ28,IF($JC28=2,30,0),IF(87=$HK28,IF($JC28=1,30,0),ABS(15-$HC28)*100)),100000+ABS(4-$HB28)*1000+150)),IF($HD28=0,999999,IF(4=$HE28,IF(87=$HL28,IF($JD28=2,30,0),IF(87=$HM28,IF($JD28=1,30,0),ABS(15-$HF28)*100)),100000+ABS(4-$HE28)*1000+150)),IF($HG28=0,999999,IF(4=$HH28,IF(87=$HN28,IF($JE28=2,30,0),IF(87=$HO28,IF($JE28=1,30,0),ABS(15-$HI28)*100)),100000+ABS(4-$HH28)*1000+150)))-IF((87=$HJ28)+(87=$HK28)+(87=$HL28)+(87=$HM28)+(87=$HN28)+(87=$HO28)&gt;=2,50,0))+CL$5*50)</f>
        <v/>
      </c>
      <c r="CM148">
        <f>IF(OR($JF28=0,calcA!$A$6=0),0,IF(OR(88=$HA28,88=$HD28,88=$HG28),200000,MIN(IF($HA28=0,999999,IF(4=$HB28,IF(88=$HJ28,IF($JC28=2,30,0),IF(88=$HK28,IF($JC28=1,30,0),ABS(16-$HC28)*100)),100000+ABS(4-$HB28)*1000+160)),IF($HD28=0,999999,IF(4=$HE28,IF(88=$HL28,IF($JD28=2,30,0),IF(88=$HM28,IF($JD28=1,30,0),ABS(16-$HF28)*100)),100000+ABS(4-$HE28)*1000+160)),IF($HG28=0,999999,IF(4=$HH28,IF(88=$HN28,IF($JE28=2,30,0),IF(88=$HO28,IF($JE28=1,30,0),ABS(16-$HI28)*100)),100000+ABS(4-$HH28)*1000+160)))-IF((88=$HJ28)+(88=$HK28)+(88=$HL28)+(88=$HM28)+(88=$HN28)+(88=$HO28)&gt;=2,50,0))+CM$5*50)</f>
        <v/>
      </c>
      <c r="CN148">
        <f>IF(OR($JF28=0,calcA!$A$6=0),0,IF(OR(89=$HA28,89=$HD28,89=$HG28),200000,MIN(IF($HA28=0,999999,IF(4=$HB28,IF(89=$HJ28,IF($JC28=2,30,0),IF(89=$HK28,IF($JC28=1,30,0),ABS(17-$HC28)*100)),100000+ABS(4-$HB28)*1000+170)),IF($HD28=0,999999,IF(4=$HE28,IF(89=$HL28,IF($JD28=2,30,0),IF(89=$HM28,IF($JD28=1,30,0),ABS(17-$HF28)*100)),100000+ABS(4-$HE28)*1000+170)),IF($HG28=0,999999,IF(4=$HH28,IF(89=$HN28,IF($JE28=2,30,0),IF(89=$HO28,IF($JE28=1,30,0),ABS(17-$HI28)*100)),100000+ABS(4-$HH28)*1000+170)))-IF((89=$HJ28)+(89=$HK28)+(89=$HL28)+(89=$HM28)+(89=$HN28)+(89=$HO28)&gt;=2,50,0))+CN$5*50)</f>
        <v/>
      </c>
      <c r="CO148">
        <f>IF(OR($JF28=0,calcA!$A$6=0),0,IF(OR(90=$HA28,90=$HD28,90=$HG28),200000,MIN(IF($HA28=0,999999,IF(4=$HB28,IF(90=$HJ28,IF($JC28=2,30,0),IF(90=$HK28,IF($JC28=1,30,0),ABS(18-$HC28)*100)),100000+ABS(4-$HB28)*1000+180)),IF($HD28=0,999999,IF(4=$HE28,IF(90=$HL28,IF($JD28=2,30,0),IF(90=$HM28,IF($JD28=1,30,0),ABS(18-$HF28)*100)),100000+ABS(4-$HE28)*1000+180)),IF($HG28=0,999999,IF(4=$HH28,IF(90=$HN28,IF($JE28=2,30,0),IF(90=$HO28,IF($JE28=1,30,0),ABS(18-$HI28)*100)),100000+ABS(4-$HH28)*1000+180)))-IF((90=$HJ28)+(90=$HK28)+(90=$HL28)+(90=$HM28)+(90=$HN28)+(90=$HO28)&gt;=2,50,0))+CO$5*50)</f>
        <v/>
      </c>
      <c r="CP148">
        <f>IF(OR($JF28=0,calcA!$A$6=0),0,IF(OR(91=$HA28,91=$HD28,91=$HG28),200000,MIN(IF($HA28=0,999999,IF(4=$HB28,IF(91=$HJ28,IF($JC28=2,30,0),IF(91=$HK28,IF($JC28=1,30,0),ABS(19-$HC28)*100)),100000+ABS(4-$HB28)*1000+190)),IF($HD28=0,999999,IF(4=$HE28,IF(91=$HL28,IF($JD28=2,30,0),IF(91=$HM28,IF($JD28=1,30,0),ABS(19-$HF28)*100)),100000+ABS(4-$HE28)*1000+190)),IF($HG28=0,999999,IF(4=$HH28,IF(91=$HN28,IF($JE28=2,30,0),IF(91=$HO28,IF($JE28=1,30,0),ABS(19-$HI28)*100)),100000+ABS(4-$HH28)*1000+190)))-IF((91=$HJ28)+(91=$HK28)+(91=$HL28)+(91=$HM28)+(91=$HN28)+(91=$HO28)&gt;=2,50,0))+CP$5*50)</f>
        <v/>
      </c>
      <c r="CQ148">
        <f>IF(OR($JF28=0,calcA!$A$6=0),0,IF(OR(92=$HA28,92=$HD28,92=$HG28),200000,MIN(IF($HA28=0,999999,IF(4=$HB28,IF(92=$HJ28,IF($JC28=2,30,0),IF(92=$HK28,IF($JC28=1,30,0),ABS(20-$HC28)*100)),100000+ABS(4-$HB28)*1000+200)),IF($HD28=0,999999,IF(4=$HE28,IF(92=$HL28,IF($JD28=2,30,0),IF(92=$HM28,IF($JD28=1,30,0),ABS(20-$HF28)*100)),100000+ABS(4-$HE28)*1000+200)),IF($HG28=0,999999,IF(4=$HH28,IF(92=$HN28,IF($JE28=2,30,0),IF(92=$HO28,IF($JE28=1,30,0),ABS(20-$HI28)*100)),100000+ABS(4-$HH28)*1000+200)))-IF((92=$HJ28)+(92=$HK28)+(92=$HL28)+(92=$HM28)+(92=$HN28)+(92=$HO28)&gt;=2,50,0))+CQ$5*50)</f>
        <v/>
      </c>
      <c r="CR148">
        <f>IF(OR($JF28=0,calcA!$A$6=0),0,IF(OR(93=$HA28,93=$HD28,93=$HG28),200000,MIN(IF($HA28=0,999999,IF(4=$HB28,IF(93=$HJ28,IF($JC28=2,30,0),IF(93=$HK28,IF($JC28=1,30,0),ABS(21-$HC28)*100)),100000+ABS(4-$HB28)*1000+210)),IF($HD28=0,999999,IF(4=$HE28,IF(93=$HL28,IF($JD28=2,30,0),IF(93=$HM28,IF($JD28=1,30,0),ABS(21-$HF28)*100)),100000+ABS(4-$HE28)*1000+210)),IF($HG28=0,999999,IF(4=$HH28,IF(93=$HN28,IF($JE28=2,30,0),IF(93=$HO28,IF($JE28=1,30,0),ABS(21-$HI28)*100)),100000+ABS(4-$HH28)*1000+210)))-IF((93=$HJ28)+(93=$HK28)+(93=$HL28)+(93=$HM28)+(93=$HN28)+(93=$HO28)&gt;=2,50,0))+CR$5*50)</f>
        <v/>
      </c>
      <c r="CS148">
        <f>IF(OR($JF28=0,calcA!$A$6=0),0,IF(OR(94=$HA28,94=$HD28,94=$HG28),200000,MIN(IF($HA28=0,999999,IF(4=$HB28,IF(94=$HJ28,IF($JC28=2,30,0),IF(94=$HK28,IF($JC28=1,30,0),ABS(22-$HC28)*100)),100000+ABS(4-$HB28)*1000+220)),IF($HD28=0,999999,IF(4=$HE28,IF(94=$HL28,IF($JD28=2,30,0),IF(94=$HM28,IF($JD28=1,30,0),ABS(22-$HF28)*100)),100000+ABS(4-$HE28)*1000+220)),IF($HG28=0,999999,IF(4=$HH28,IF(94=$HN28,IF($JE28=2,30,0),IF(94=$HO28,IF($JE28=1,30,0),ABS(22-$HI28)*100)),100000+ABS(4-$HH28)*1000+220)))-IF((94=$HJ28)+(94=$HK28)+(94=$HL28)+(94=$HM28)+(94=$HN28)+(94=$HO28)&gt;=2,50,0))+CS$5*50)</f>
        <v/>
      </c>
      <c r="CT148">
        <f>IF(OR($JF28=0,calcA!$A$6=0),0,IF(OR(95=$HA28,95=$HD28,95=$HG28),200000,MIN(IF($HA28=0,999999,IF(4=$HB28,IF(95=$HJ28,IF($JC28=2,30,0),IF(95=$HK28,IF($JC28=1,30,0),ABS(23-$HC28)*100)),100000+ABS(4-$HB28)*1000+230)),IF($HD28=0,999999,IF(4=$HE28,IF(95=$HL28,IF($JD28=2,30,0),IF(95=$HM28,IF($JD28=1,30,0),ABS(23-$HF28)*100)),100000+ABS(4-$HE28)*1000+230)),IF($HG28=0,999999,IF(4=$HH28,IF(95=$HN28,IF($JE28=2,30,0),IF(95=$HO28,IF($JE28=1,30,0),ABS(23-$HI28)*100)),100000+ABS(4-$HH28)*1000+230)))-IF((95=$HJ28)+(95=$HK28)+(95=$HL28)+(95=$HM28)+(95=$HN28)+(95=$HO28)&gt;=2,50,0))+CT$5*50)</f>
        <v/>
      </c>
      <c r="CU148">
        <f>IF(OR($JF28=0,calcA!$A$6=0),0,IF(OR(96=$HA28,96=$HD28,96=$HG28),200000,MIN(IF($HA28=0,999999,IF(4=$HB28,IF(96=$HJ28,IF($JC28=2,30,0),IF(96=$HK28,IF($JC28=1,30,0),ABS(24-$HC28)*100)),100000+ABS(4-$HB28)*1000+240)),IF($HD28=0,999999,IF(4=$HE28,IF(96=$HL28,IF($JD28=2,30,0),IF(96=$HM28,IF($JD28=1,30,0),ABS(24-$HF28)*100)),100000+ABS(4-$HE28)*1000+240)),IF($HG28=0,999999,IF(4=$HH28,IF(96=$HN28,IF($JE28=2,30,0),IF(96=$HO28,IF($JE28=1,30,0),ABS(24-$HI28)*100)),100000+ABS(4-$HH28)*1000+240)))-IF((96=$HJ28)+(96=$HK28)+(96=$HL28)+(96=$HM28)+(96=$HN28)+(96=$HO28)&gt;=2,50,0))+CU$5*50)</f>
        <v/>
      </c>
      <c r="CV148">
        <f>IF(OR($JF28=0,calcA!$A$6=0),0,IF(OR(97=$HA28,97=$HD28,97=$HG28),200000,MIN(IF($HA28=0,999999,IF(5=$HB28,IF(97=$HJ28,IF($JC28=2,30,0),IF(97=$HK28,IF($JC28=1,30,0),ABS(1-$HC28)*100)),100000+ABS(5-$HB28)*1000+10)),IF($HD28=0,999999,IF(5=$HE28,IF(97=$HL28,IF($JD28=2,30,0),IF(97=$HM28,IF($JD28=1,30,0),ABS(1-$HF28)*100)),100000+ABS(5-$HE28)*1000+10)),IF($HG28=0,999999,IF(5=$HH28,IF(97=$HN28,IF($JE28=2,30,0),IF(97=$HO28,IF($JE28=1,30,0),ABS(1-$HI28)*100)),100000+ABS(5-$HH28)*1000+10)))-IF((97=$HJ28)+(97=$HK28)+(97=$HL28)+(97=$HM28)+(97=$HN28)+(97=$HO28)&gt;=2,50,0))+CV$5*50)</f>
        <v/>
      </c>
      <c r="CW148">
        <f>IF(OR($JF28=0,calcA!$A$6=0),0,IF(OR(98=$HA28,98=$HD28,98=$HG28),200000,MIN(IF($HA28=0,999999,IF(5=$HB28,IF(98=$HJ28,IF($JC28=2,30,0),IF(98=$HK28,IF($JC28=1,30,0),ABS(2-$HC28)*100)),100000+ABS(5-$HB28)*1000+20)),IF($HD28=0,999999,IF(5=$HE28,IF(98=$HL28,IF($JD28=2,30,0),IF(98=$HM28,IF($JD28=1,30,0),ABS(2-$HF28)*100)),100000+ABS(5-$HE28)*1000+20)),IF($HG28=0,999999,IF(5=$HH28,IF(98=$HN28,IF($JE28=2,30,0),IF(98=$HO28,IF($JE28=1,30,0),ABS(2-$HI28)*100)),100000+ABS(5-$HH28)*1000+20)))-IF((98=$HJ28)+(98=$HK28)+(98=$HL28)+(98=$HM28)+(98=$HN28)+(98=$HO28)&gt;=2,50,0))+CW$5*50)</f>
        <v/>
      </c>
      <c r="CX148">
        <f>IF(OR($JF28=0,calcA!$A$6=0),0,IF(OR(99=$HA28,99=$HD28,99=$HG28),200000,MIN(IF($HA28=0,999999,IF(5=$HB28,IF(99=$HJ28,IF($JC28=2,30,0),IF(99=$HK28,IF($JC28=1,30,0),ABS(3-$HC28)*100)),100000+ABS(5-$HB28)*1000+30)),IF($HD28=0,999999,IF(5=$HE28,IF(99=$HL28,IF($JD28=2,30,0),IF(99=$HM28,IF($JD28=1,30,0),ABS(3-$HF28)*100)),100000+ABS(5-$HE28)*1000+30)),IF($HG28=0,999999,IF(5=$HH28,IF(99=$HN28,IF($JE28=2,30,0),IF(99=$HO28,IF($JE28=1,30,0),ABS(3-$HI28)*100)),100000+ABS(5-$HH28)*1000+30)))-IF((99=$HJ28)+(99=$HK28)+(99=$HL28)+(99=$HM28)+(99=$HN28)+(99=$HO28)&gt;=2,50,0))+CX$5*50)</f>
        <v/>
      </c>
      <c r="CY148">
        <f>IF(OR($JF28=0,calcA!$A$6=0),0,IF(OR(100=$HA28,100=$HD28,100=$HG28),200000,MIN(IF($HA28=0,999999,IF(5=$HB28,IF(100=$HJ28,IF($JC28=2,30,0),IF(100=$HK28,IF($JC28=1,30,0),ABS(4-$HC28)*100)),100000+ABS(5-$HB28)*1000+40)),IF($HD28=0,999999,IF(5=$HE28,IF(100=$HL28,IF($JD28=2,30,0),IF(100=$HM28,IF($JD28=1,30,0),ABS(4-$HF28)*100)),100000+ABS(5-$HE28)*1000+40)),IF($HG28=0,999999,IF(5=$HH28,IF(100=$HN28,IF($JE28=2,30,0),IF(100=$HO28,IF($JE28=1,30,0),ABS(4-$HI28)*100)),100000+ABS(5-$HH28)*1000+40)))-IF((100=$HJ28)+(100=$HK28)+(100=$HL28)+(100=$HM28)+(100=$HN28)+(100=$HO28)&gt;=2,50,0))+CY$5*50)</f>
        <v/>
      </c>
      <c r="CZ148">
        <f>IF(OR($JF28=0,calcA!$A$6=0),0,IF(OR(101=$HA28,101=$HD28,101=$HG28),200000,MIN(IF($HA28=0,999999,IF(5=$HB28,IF(101=$HJ28,IF($JC28=2,30,0),IF(101=$HK28,IF($JC28=1,30,0),ABS(5-$HC28)*100)),100000+ABS(5-$HB28)*1000+50)),IF($HD28=0,999999,IF(5=$HE28,IF(101=$HL28,IF($JD28=2,30,0),IF(101=$HM28,IF($JD28=1,30,0),ABS(5-$HF28)*100)),100000+ABS(5-$HE28)*1000+50)),IF($HG28=0,999999,IF(5=$HH28,IF(101=$HN28,IF($JE28=2,30,0),IF(101=$HO28,IF($JE28=1,30,0),ABS(5-$HI28)*100)),100000+ABS(5-$HH28)*1000+50)))-IF((101=$HJ28)+(101=$HK28)+(101=$HL28)+(101=$HM28)+(101=$HN28)+(101=$HO28)&gt;=2,50,0))+CZ$5*50)</f>
        <v/>
      </c>
      <c r="DA148">
        <f>IF(OR($JF28=0,calcA!$A$6=0),0,IF(OR(102=$HA28,102=$HD28,102=$HG28),200000,MIN(IF($HA28=0,999999,IF(5=$HB28,IF(102=$HJ28,IF($JC28=2,30,0),IF(102=$HK28,IF($JC28=1,30,0),ABS(6-$HC28)*100)),100000+ABS(5-$HB28)*1000+60)),IF($HD28=0,999999,IF(5=$HE28,IF(102=$HL28,IF($JD28=2,30,0),IF(102=$HM28,IF($JD28=1,30,0),ABS(6-$HF28)*100)),100000+ABS(5-$HE28)*1000+60)),IF($HG28=0,999999,IF(5=$HH28,IF(102=$HN28,IF($JE28=2,30,0),IF(102=$HO28,IF($JE28=1,30,0),ABS(6-$HI28)*100)),100000+ABS(5-$HH28)*1000+60)))-IF((102=$HJ28)+(102=$HK28)+(102=$HL28)+(102=$HM28)+(102=$HN28)+(102=$HO28)&gt;=2,50,0))+DA$5*50)</f>
        <v/>
      </c>
      <c r="DB148">
        <f>IF(OR($JF28=0,calcA!$A$6=0),0,IF(OR(103=$HA28,103=$HD28,103=$HG28),200000,MIN(IF($HA28=0,999999,IF(5=$HB28,IF(103=$HJ28,IF($JC28=2,30,0),IF(103=$HK28,IF($JC28=1,30,0),ABS(7-$HC28)*100)),100000+ABS(5-$HB28)*1000+70)),IF($HD28=0,999999,IF(5=$HE28,IF(103=$HL28,IF($JD28=2,30,0),IF(103=$HM28,IF($JD28=1,30,0),ABS(7-$HF28)*100)),100000+ABS(5-$HE28)*1000+70)),IF($HG28=0,999999,IF(5=$HH28,IF(103=$HN28,IF($JE28=2,30,0),IF(103=$HO28,IF($JE28=1,30,0),ABS(7-$HI28)*100)),100000+ABS(5-$HH28)*1000+70)))-IF((103=$HJ28)+(103=$HK28)+(103=$HL28)+(103=$HM28)+(103=$HN28)+(103=$HO28)&gt;=2,50,0))+DB$5*50)</f>
        <v/>
      </c>
      <c r="DC148">
        <f>IF(OR($JF28=0,calcA!$A$6=0),0,IF(OR(104=$HA28,104=$HD28,104=$HG28),200000,MIN(IF($HA28=0,999999,IF(5=$HB28,IF(104=$HJ28,IF($JC28=2,30,0),IF(104=$HK28,IF($JC28=1,30,0),ABS(8-$HC28)*100)),100000+ABS(5-$HB28)*1000+80)),IF($HD28=0,999999,IF(5=$HE28,IF(104=$HL28,IF($JD28=2,30,0),IF(104=$HM28,IF($JD28=1,30,0),ABS(8-$HF28)*100)),100000+ABS(5-$HE28)*1000+80)),IF($HG28=0,999999,IF(5=$HH28,IF(104=$HN28,IF($JE28=2,30,0),IF(104=$HO28,IF($JE28=1,30,0),ABS(8-$HI28)*100)),100000+ABS(5-$HH28)*1000+80)))-IF((104=$HJ28)+(104=$HK28)+(104=$HL28)+(104=$HM28)+(104=$HN28)+(104=$HO28)&gt;=2,50,0))+DC$5*50)</f>
        <v/>
      </c>
      <c r="DD148">
        <f>IF(OR($JF28=0,calcA!$A$6=0),0,IF(OR(105=$HA28,105=$HD28,105=$HG28),200000,MIN(IF($HA28=0,999999,IF(5=$HB28,IF(105=$HJ28,IF($JC28=2,30,0),IF(105=$HK28,IF($JC28=1,30,0),ABS(9-$HC28)*100)),100000+ABS(5-$HB28)*1000+90)),IF($HD28=0,999999,IF(5=$HE28,IF(105=$HL28,IF($JD28=2,30,0),IF(105=$HM28,IF($JD28=1,30,0),ABS(9-$HF28)*100)),100000+ABS(5-$HE28)*1000+90)),IF($HG28=0,999999,IF(5=$HH28,IF(105=$HN28,IF($JE28=2,30,0),IF(105=$HO28,IF($JE28=1,30,0),ABS(9-$HI28)*100)),100000+ABS(5-$HH28)*1000+90)))-IF((105=$HJ28)+(105=$HK28)+(105=$HL28)+(105=$HM28)+(105=$HN28)+(105=$HO28)&gt;=2,50,0))+DD$5*50)</f>
        <v/>
      </c>
      <c r="DE148">
        <f>IF(OR($JF28=0,calcA!$A$6=0),0,IF(OR(106=$HA28,106=$HD28,106=$HG28),200000,MIN(IF($HA28=0,999999,IF(5=$HB28,IF(106=$HJ28,IF($JC28=2,30,0),IF(106=$HK28,IF($JC28=1,30,0),ABS(10-$HC28)*100)),100000+ABS(5-$HB28)*1000+100)),IF($HD28=0,999999,IF(5=$HE28,IF(106=$HL28,IF($JD28=2,30,0),IF(106=$HM28,IF($JD28=1,30,0),ABS(10-$HF28)*100)),100000+ABS(5-$HE28)*1000+100)),IF($HG28=0,999999,IF(5=$HH28,IF(106=$HN28,IF($JE28=2,30,0),IF(106=$HO28,IF($JE28=1,30,0),ABS(10-$HI28)*100)),100000+ABS(5-$HH28)*1000+100)))-IF((106=$HJ28)+(106=$HK28)+(106=$HL28)+(106=$HM28)+(106=$HN28)+(106=$HO28)&gt;=2,50,0))+DE$5*50)</f>
        <v/>
      </c>
      <c r="DF148">
        <f>IF(OR($JF28=0,calcA!$A$6=0),0,IF(OR(107=$HA28,107=$HD28,107=$HG28),200000,MIN(IF($HA28=0,999999,IF(5=$HB28,IF(107=$HJ28,IF($JC28=2,30,0),IF(107=$HK28,IF($JC28=1,30,0),ABS(11-$HC28)*100)),100000+ABS(5-$HB28)*1000+110)),IF($HD28=0,999999,IF(5=$HE28,IF(107=$HL28,IF($JD28=2,30,0),IF(107=$HM28,IF($JD28=1,30,0),ABS(11-$HF28)*100)),100000+ABS(5-$HE28)*1000+110)),IF($HG28=0,999999,IF(5=$HH28,IF(107=$HN28,IF($JE28=2,30,0),IF(107=$HO28,IF($JE28=1,30,0),ABS(11-$HI28)*100)),100000+ABS(5-$HH28)*1000+110)))-IF((107=$HJ28)+(107=$HK28)+(107=$HL28)+(107=$HM28)+(107=$HN28)+(107=$HO28)&gt;=2,50,0))+DF$5*50)</f>
        <v/>
      </c>
      <c r="DG148">
        <f>IF(OR($JF28=0,calcA!$A$6=0),0,IF(OR(108=$HA28,108=$HD28,108=$HG28),200000,MIN(IF($HA28=0,999999,IF(5=$HB28,IF(108=$HJ28,IF($JC28=2,30,0),IF(108=$HK28,IF($JC28=1,30,0),ABS(12-$HC28)*100)),100000+ABS(5-$HB28)*1000+120)),IF($HD28=0,999999,IF(5=$HE28,IF(108=$HL28,IF($JD28=2,30,0),IF(108=$HM28,IF($JD28=1,30,0),ABS(12-$HF28)*100)),100000+ABS(5-$HE28)*1000+120)),IF($HG28=0,999999,IF(5=$HH28,IF(108=$HN28,IF($JE28=2,30,0),IF(108=$HO28,IF($JE28=1,30,0),ABS(12-$HI28)*100)),100000+ABS(5-$HH28)*1000+120)))-IF((108=$HJ28)+(108=$HK28)+(108=$HL28)+(108=$HM28)+(108=$HN28)+(108=$HO28)&gt;=2,50,0))+DG$5*50)</f>
        <v/>
      </c>
      <c r="DH148">
        <f>IF(OR($JF28=0,calcA!$A$6=0),0,IF(OR(109=$HA28,109=$HD28,109=$HG28),200000,MIN(IF($HA28=0,999999,IF(5=$HB28,IF(109=$HJ28,IF($JC28=2,30,0),IF(109=$HK28,IF($JC28=1,30,0),ABS(13-$HC28)*100)),100000+ABS(5-$HB28)*1000+130)),IF($HD28=0,999999,IF(5=$HE28,IF(109=$HL28,IF($JD28=2,30,0),IF(109=$HM28,IF($JD28=1,30,0),ABS(13-$HF28)*100)),100000+ABS(5-$HE28)*1000+130)),IF($HG28=0,999999,IF(5=$HH28,IF(109=$HN28,IF($JE28=2,30,0),IF(109=$HO28,IF($JE28=1,30,0),ABS(13-$HI28)*100)),100000+ABS(5-$HH28)*1000+130)))-IF((109=$HJ28)+(109=$HK28)+(109=$HL28)+(109=$HM28)+(109=$HN28)+(109=$HO28)&gt;=2,50,0))+DH$5*50)</f>
        <v/>
      </c>
      <c r="DI148">
        <f>IF(OR($JF28=0,calcA!$A$6=0),0,IF(OR(110=$HA28,110=$HD28,110=$HG28),200000,MIN(IF($HA28=0,999999,IF(5=$HB28,IF(110=$HJ28,IF($JC28=2,30,0),IF(110=$HK28,IF($JC28=1,30,0),ABS(14-$HC28)*100)),100000+ABS(5-$HB28)*1000+140)),IF($HD28=0,999999,IF(5=$HE28,IF(110=$HL28,IF($JD28=2,30,0),IF(110=$HM28,IF($JD28=1,30,0),ABS(14-$HF28)*100)),100000+ABS(5-$HE28)*1000+140)),IF($HG28=0,999999,IF(5=$HH28,IF(110=$HN28,IF($JE28=2,30,0),IF(110=$HO28,IF($JE28=1,30,0),ABS(14-$HI28)*100)),100000+ABS(5-$HH28)*1000+140)))-IF((110=$HJ28)+(110=$HK28)+(110=$HL28)+(110=$HM28)+(110=$HN28)+(110=$HO28)&gt;=2,50,0))+DI$5*50)</f>
        <v/>
      </c>
      <c r="DJ148">
        <f>IF(OR($JF28=0,calcA!$A$6=0),0,IF(OR(111=$HA28,111=$HD28,111=$HG28),200000,MIN(IF($HA28=0,999999,IF(5=$HB28,IF(111=$HJ28,IF($JC28=2,30,0),IF(111=$HK28,IF($JC28=1,30,0),ABS(15-$HC28)*100)),100000+ABS(5-$HB28)*1000+150)),IF($HD28=0,999999,IF(5=$HE28,IF(111=$HL28,IF($JD28=2,30,0),IF(111=$HM28,IF($JD28=1,30,0),ABS(15-$HF28)*100)),100000+ABS(5-$HE28)*1000+150)),IF($HG28=0,999999,IF(5=$HH28,IF(111=$HN28,IF($JE28=2,30,0),IF(111=$HO28,IF($JE28=1,30,0),ABS(15-$HI28)*100)),100000+ABS(5-$HH28)*1000+150)))-IF((111=$HJ28)+(111=$HK28)+(111=$HL28)+(111=$HM28)+(111=$HN28)+(111=$HO28)&gt;=2,50,0))+DJ$5*50)</f>
        <v/>
      </c>
      <c r="DK148">
        <f>IF(OR($JF28=0,calcA!$A$6=0),0,IF(OR(112=$HA28,112=$HD28,112=$HG28),200000,MIN(IF($HA28=0,999999,IF(5=$HB28,IF(112=$HJ28,IF($JC28=2,30,0),IF(112=$HK28,IF($JC28=1,30,0),ABS(16-$HC28)*100)),100000+ABS(5-$HB28)*1000+160)),IF($HD28=0,999999,IF(5=$HE28,IF(112=$HL28,IF($JD28=2,30,0),IF(112=$HM28,IF($JD28=1,30,0),ABS(16-$HF28)*100)),100000+ABS(5-$HE28)*1000+160)),IF($HG28=0,999999,IF(5=$HH28,IF(112=$HN28,IF($JE28=2,30,0),IF(112=$HO28,IF($JE28=1,30,0),ABS(16-$HI28)*100)),100000+ABS(5-$HH28)*1000+160)))-IF((112=$HJ28)+(112=$HK28)+(112=$HL28)+(112=$HM28)+(112=$HN28)+(112=$HO28)&gt;=2,50,0))+DK$5*50)</f>
        <v/>
      </c>
      <c r="DL148">
        <f>IF(OR($JF28=0,calcA!$A$6=0),0,IF(OR(113=$HA28,113=$HD28,113=$HG28),200000,MIN(IF($HA28=0,999999,IF(5=$HB28,IF(113=$HJ28,IF($JC28=2,30,0),IF(113=$HK28,IF($JC28=1,30,0),ABS(17-$HC28)*100)),100000+ABS(5-$HB28)*1000+170)),IF($HD28=0,999999,IF(5=$HE28,IF(113=$HL28,IF($JD28=2,30,0),IF(113=$HM28,IF($JD28=1,30,0),ABS(17-$HF28)*100)),100000+ABS(5-$HE28)*1000+170)),IF($HG28=0,999999,IF(5=$HH28,IF(113=$HN28,IF($JE28=2,30,0),IF(113=$HO28,IF($JE28=1,30,0),ABS(17-$HI28)*100)),100000+ABS(5-$HH28)*1000+170)))-IF((113=$HJ28)+(113=$HK28)+(113=$HL28)+(113=$HM28)+(113=$HN28)+(113=$HO28)&gt;=2,50,0))+DL$5*50)</f>
        <v/>
      </c>
      <c r="DM148">
        <f>IF(OR($JF28=0,calcA!$A$6=0),0,IF(OR(114=$HA28,114=$HD28,114=$HG28),200000,MIN(IF($HA28=0,999999,IF(5=$HB28,IF(114=$HJ28,IF($JC28=2,30,0),IF(114=$HK28,IF($JC28=1,30,0),ABS(18-$HC28)*100)),100000+ABS(5-$HB28)*1000+180)),IF($HD28=0,999999,IF(5=$HE28,IF(114=$HL28,IF($JD28=2,30,0),IF(114=$HM28,IF($JD28=1,30,0),ABS(18-$HF28)*100)),100000+ABS(5-$HE28)*1000+180)),IF($HG28=0,999999,IF(5=$HH28,IF(114=$HN28,IF($JE28=2,30,0),IF(114=$HO28,IF($JE28=1,30,0),ABS(18-$HI28)*100)),100000+ABS(5-$HH28)*1000+180)))-IF((114=$HJ28)+(114=$HK28)+(114=$HL28)+(114=$HM28)+(114=$HN28)+(114=$HO28)&gt;=2,50,0))+DM$5*50)</f>
        <v/>
      </c>
      <c r="DN148">
        <f>IF(OR($JF28=0,calcA!$A$6=0),0,IF(OR(115=$HA28,115=$HD28,115=$HG28),200000,MIN(IF($HA28=0,999999,IF(5=$HB28,IF(115=$HJ28,IF($JC28=2,30,0),IF(115=$HK28,IF($JC28=1,30,0),ABS(19-$HC28)*100)),100000+ABS(5-$HB28)*1000+190)),IF($HD28=0,999999,IF(5=$HE28,IF(115=$HL28,IF($JD28=2,30,0),IF(115=$HM28,IF($JD28=1,30,0),ABS(19-$HF28)*100)),100000+ABS(5-$HE28)*1000+190)),IF($HG28=0,999999,IF(5=$HH28,IF(115=$HN28,IF($JE28=2,30,0),IF(115=$HO28,IF($JE28=1,30,0),ABS(19-$HI28)*100)),100000+ABS(5-$HH28)*1000+190)))-IF((115=$HJ28)+(115=$HK28)+(115=$HL28)+(115=$HM28)+(115=$HN28)+(115=$HO28)&gt;=2,50,0))+DN$5*50)</f>
        <v/>
      </c>
      <c r="DO148">
        <f>IF(OR($JF28=0,calcA!$A$6=0),0,IF(OR(116=$HA28,116=$HD28,116=$HG28),200000,MIN(IF($HA28=0,999999,IF(5=$HB28,IF(116=$HJ28,IF($JC28=2,30,0),IF(116=$HK28,IF($JC28=1,30,0),ABS(20-$HC28)*100)),100000+ABS(5-$HB28)*1000+200)),IF($HD28=0,999999,IF(5=$HE28,IF(116=$HL28,IF($JD28=2,30,0),IF(116=$HM28,IF($JD28=1,30,0),ABS(20-$HF28)*100)),100000+ABS(5-$HE28)*1000+200)),IF($HG28=0,999999,IF(5=$HH28,IF(116=$HN28,IF($JE28=2,30,0),IF(116=$HO28,IF($JE28=1,30,0),ABS(20-$HI28)*100)),100000+ABS(5-$HH28)*1000+200)))-IF((116=$HJ28)+(116=$HK28)+(116=$HL28)+(116=$HM28)+(116=$HN28)+(116=$HO28)&gt;=2,50,0))+DO$5*50)</f>
        <v/>
      </c>
      <c r="DP148">
        <f>IF(OR($JF28=0,calcA!$A$6=0),0,IF(OR(117=$HA28,117=$HD28,117=$HG28),200000,MIN(IF($HA28=0,999999,IF(5=$HB28,IF(117=$HJ28,IF($JC28=2,30,0),IF(117=$HK28,IF($JC28=1,30,0),ABS(21-$HC28)*100)),100000+ABS(5-$HB28)*1000+210)),IF($HD28=0,999999,IF(5=$HE28,IF(117=$HL28,IF($JD28=2,30,0),IF(117=$HM28,IF($JD28=1,30,0),ABS(21-$HF28)*100)),100000+ABS(5-$HE28)*1000+210)),IF($HG28=0,999999,IF(5=$HH28,IF(117=$HN28,IF($JE28=2,30,0),IF(117=$HO28,IF($JE28=1,30,0),ABS(21-$HI28)*100)),100000+ABS(5-$HH28)*1000+210)))-IF((117=$HJ28)+(117=$HK28)+(117=$HL28)+(117=$HM28)+(117=$HN28)+(117=$HO28)&gt;=2,50,0))+DP$5*50)</f>
        <v/>
      </c>
      <c r="DQ148">
        <f>IF(OR($JF28=0,calcA!$A$6=0),0,IF(OR(118=$HA28,118=$HD28,118=$HG28),200000,MIN(IF($HA28=0,999999,IF(5=$HB28,IF(118=$HJ28,IF($JC28=2,30,0),IF(118=$HK28,IF($JC28=1,30,0),ABS(22-$HC28)*100)),100000+ABS(5-$HB28)*1000+220)),IF($HD28=0,999999,IF(5=$HE28,IF(118=$HL28,IF($JD28=2,30,0),IF(118=$HM28,IF($JD28=1,30,0),ABS(22-$HF28)*100)),100000+ABS(5-$HE28)*1000+220)),IF($HG28=0,999999,IF(5=$HH28,IF(118=$HN28,IF($JE28=2,30,0),IF(118=$HO28,IF($JE28=1,30,0),ABS(22-$HI28)*100)),100000+ABS(5-$HH28)*1000+220)))-IF((118=$HJ28)+(118=$HK28)+(118=$HL28)+(118=$HM28)+(118=$HN28)+(118=$HO28)&gt;=2,50,0))+DQ$5*50)</f>
        <v/>
      </c>
      <c r="DR148">
        <f>IF(OR($JF28=0,calcA!$A$6=0),0,IF(OR(119=$HA28,119=$HD28,119=$HG28),200000,MIN(IF($HA28=0,999999,IF(5=$HB28,IF(119=$HJ28,IF($JC28=2,30,0),IF(119=$HK28,IF($JC28=1,30,0),ABS(23-$HC28)*100)),100000+ABS(5-$HB28)*1000+230)),IF($HD28=0,999999,IF(5=$HE28,IF(119=$HL28,IF($JD28=2,30,0),IF(119=$HM28,IF($JD28=1,30,0),ABS(23-$HF28)*100)),100000+ABS(5-$HE28)*1000+230)),IF($HG28=0,999999,IF(5=$HH28,IF(119=$HN28,IF($JE28=2,30,0),IF(119=$HO28,IF($JE28=1,30,0),ABS(23-$HI28)*100)),100000+ABS(5-$HH28)*1000+230)))-IF((119=$HJ28)+(119=$HK28)+(119=$HL28)+(119=$HM28)+(119=$HN28)+(119=$HO28)&gt;=2,50,0))+DR$5*50)</f>
        <v/>
      </c>
      <c r="DS148">
        <f>IF(OR($JF28=0,calcA!$A$6=0),0,IF(OR(120=$HA28,120=$HD28,120=$HG28),200000,MIN(IF($HA28=0,999999,IF(5=$HB28,IF(120=$HJ28,IF($JC28=2,30,0),IF(120=$HK28,IF($JC28=1,30,0),ABS(24-$HC28)*100)),100000+ABS(5-$HB28)*1000+240)),IF($HD28=0,999999,IF(5=$HE28,IF(120=$HL28,IF($JD28=2,30,0),IF(120=$HM28,IF($JD28=1,30,0),ABS(24-$HF28)*100)),100000+ABS(5-$HE28)*1000+240)),IF($HG28=0,999999,IF(5=$HH28,IF(120=$HN28,IF($JE28=2,30,0),IF(120=$HO28,IF($JE28=1,30,0),ABS(24-$HI28)*100)),100000+ABS(5-$HH28)*1000+240)))-IF((120=$HJ28)+(120=$HK28)+(120=$HL28)+(120=$HM28)+(120=$HN28)+(120=$HO28)&gt;=2,50,0))+DS$5*50)</f>
        <v/>
      </c>
      <c r="DT148">
        <f>IF(OR($JF28=0,calcA!$A$6=0),0,IF(OR(121=$HA28,121=$HD28,121=$HG28),200000,MIN(IF($HA28=0,999999,IF(6=$HB28,IF(121=$HJ28,IF($JC28=2,30,0),IF(121=$HK28,IF($JC28=1,30,0),ABS(1-$HC28)*100)),100000+ABS(6-$HB28)*1000+10)),IF($HD28=0,999999,IF(6=$HE28,IF(121=$HL28,IF($JD28=2,30,0),IF(121=$HM28,IF($JD28=1,30,0),ABS(1-$HF28)*100)),100000+ABS(6-$HE28)*1000+10)),IF($HG28=0,999999,IF(6=$HH28,IF(121=$HN28,IF($JE28=2,30,0),IF(121=$HO28,IF($JE28=1,30,0),ABS(1-$HI28)*100)),100000+ABS(6-$HH28)*1000+10)))-IF((121=$HJ28)+(121=$HK28)+(121=$HL28)+(121=$HM28)+(121=$HN28)+(121=$HO28)&gt;=2,50,0))+DT$5*50)</f>
        <v/>
      </c>
      <c r="DU148">
        <f>IF(OR($JF28=0,calcA!$A$6=0),0,IF(OR(122=$HA28,122=$HD28,122=$HG28),200000,MIN(IF($HA28=0,999999,IF(6=$HB28,IF(122=$HJ28,IF($JC28=2,30,0),IF(122=$HK28,IF($JC28=1,30,0),ABS(2-$HC28)*100)),100000+ABS(6-$HB28)*1000+20)),IF($HD28=0,999999,IF(6=$HE28,IF(122=$HL28,IF($JD28=2,30,0),IF(122=$HM28,IF($JD28=1,30,0),ABS(2-$HF28)*100)),100000+ABS(6-$HE28)*1000+20)),IF($HG28=0,999999,IF(6=$HH28,IF(122=$HN28,IF($JE28=2,30,0),IF(122=$HO28,IF($JE28=1,30,0),ABS(2-$HI28)*100)),100000+ABS(6-$HH28)*1000+20)))-IF((122=$HJ28)+(122=$HK28)+(122=$HL28)+(122=$HM28)+(122=$HN28)+(122=$HO28)&gt;=2,50,0))+DU$5*50)</f>
        <v/>
      </c>
      <c r="DV148">
        <f>IF(OR($JF28=0,calcA!$A$6=0),0,IF(OR(123=$HA28,123=$HD28,123=$HG28),200000,MIN(IF($HA28=0,999999,IF(6=$HB28,IF(123=$HJ28,IF($JC28=2,30,0),IF(123=$HK28,IF($JC28=1,30,0),ABS(3-$HC28)*100)),100000+ABS(6-$HB28)*1000+30)),IF($HD28=0,999999,IF(6=$HE28,IF(123=$HL28,IF($JD28=2,30,0),IF(123=$HM28,IF($JD28=1,30,0),ABS(3-$HF28)*100)),100000+ABS(6-$HE28)*1000+30)),IF($HG28=0,999999,IF(6=$HH28,IF(123=$HN28,IF($JE28=2,30,0),IF(123=$HO28,IF($JE28=1,30,0),ABS(3-$HI28)*100)),100000+ABS(6-$HH28)*1000+30)))-IF((123=$HJ28)+(123=$HK28)+(123=$HL28)+(123=$HM28)+(123=$HN28)+(123=$HO28)&gt;=2,50,0))+DV$5*50)</f>
        <v/>
      </c>
      <c r="DW148">
        <f>IF(OR($JF28=0,calcA!$A$6=0),0,IF(OR(124=$HA28,124=$HD28,124=$HG28),200000,MIN(IF($HA28=0,999999,IF(6=$HB28,IF(124=$HJ28,IF($JC28=2,30,0),IF(124=$HK28,IF($JC28=1,30,0),ABS(4-$HC28)*100)),100000+ABS(6-$HB28)*1000+40)),IF($HD28=0,999999,IF(6=$HE28,IF(124=$HL28,IF($JD28=2,30,0),IF(124=$HM28,IF($JD28=1,30,0),ABS(4-$HF28)*100)),100000+ABS(6-$HE28)*1000+40)),IF($HG28=0,999999,IF(6=$HH28,IF(124=$HN28,IF($JE28=2,30,0),IF(124=$HO28,IF($JE28=1,30,0),ABS(4-$HI28)*100)),100000+ABS(6-$HH28)*1000+40)))-IF((124=$HJ28)+(124=$HK28)+(124=$HL28)+(124=$HM28)+(124=$HN28)+(124=$HO28)&gt;=2,50,0))+DW$5*50)</f>
        <v/>
      </c>
      <c r="DX148">
        <f>IF(OR($JF28=0,calcA!$A$6=0),0,IF(OR(125=$HA28,125=$HD28,125=$HG28),200000,MIN(IF($HA28=0,999999,IF(6=$HB28,IF(125=$HJ28,IF($JC28=2,30,0),IF(125=$HK28,IF($JC28=1,30,0),ABS(5-$HC28)*100)),100000+ABS(6-$HB28)*1000+50)),IF($HD28=0,999999,IF(6=$HE28,IF(125=$HL28,IF($JD28=2,30,0),IF(125=$HM28,IF($JD28=1,30,0),ABS(5-$HF28)*100)),100000+ABS(6-$HE28)*1000+50)),IF($HG28=0,999999,IF(6=$HH28,IF(125=$HN28,IF($JE28=2,30,0),IF(125=$HO28,IF($JE28=1,30,0),ABS(5-$HI28)*100)),100000+ABS(6-$HH28)*1000+50)))-IF((125=$HJ28)+(125=$HK28)+(125=$HL28)+(125=$HM28)+(125=$HN28)+(125=$HO28)&gt;=2,50,0))+DX$5*50)</f>
        <v/>
      </c>
      <c r="DY148">
        <f>IF(OR($JF28=0,calcA!$A$6=0),0,IF(OR(126=$HA28,126=$HD28,126=$HG28),200000,MIN(IF($HA28=0,999999,IF(6=$HB28,IF(126=$HJ28,IF($JC28=2,30,0),IF(126=$HK28,IF($JC28=1,30,0),ABS(6-$HC28)*100)),100000+ABS(6-$HB28)*1000+60)),IF($HD28=0,999999,IF(6=$HE28,IF(126=$HL28,IF($JD28=2,30,0),IF(126=$HM28,IF($JD28=1,30,0),ABS(6-$HF28)*100)),100000+ABS(6-$HE28)*1000+60)),IF($HG28=0,999999,IF(6=$HH28,IF(126=$HN28,IF($JE28=2,30,0),IF(126=$HO28,IF($JE28=1,30,0),ABS(6-$HI28)*100)),100000+ABS(6-$HH28)*1000+60)))-IF((126=$HJ28)+(126=$HK28)+(126=$HL28)+(126=$HM28)+(126=$HN28)+(126=$HO28)&gt;=2,50,0))+DY$5*50)</f>
        <v/>
      </c>
      <c r="DZ148">
        <f>IF(OR($JF28=0,calcA!$A$6=0),0,IF(OR(127=$HA28,127=$HD28,127=$HG28),200000,MIN(IF($HA28=0,999999,IF(6=$HB28,IF(127=$HJ28,IF($JC28=2,30,0),IF(127=$HK28,IF($JC28=1,30,0),ABS(7-$HC28)*100)),100000+ABS(6-$HB28)*1000+70)),IF($HD28=0,999999,IF(6=$HE28,IF(127=$HL28,IF($JD28=2,30,0),IF(127=$HM28,IF($JD28=1,30,0),ABS(7-$HF28)*100)),100000+ABS(6-$HE28)*1000+70)),IF($HG28=0,999999,IF(6=$HH28,IF(127=$HN28,IF($JE28=2,30,0),IF(127=$HO28,IF($JE28=1,30,0),ABS(7-$HI28)*100)),100000+ABS(6-$HH28)*1000+70)))-IF((127=$HJ28)+(127=$HK28)+(127=$HL28)+(127=$HM28)+(127=$HN28)+(127=$HO28)&gt;=2,50,0))+DZ$5*50)</f>
        <v/>
      </c>
      <c r="EA148">
        <f>IF(OR($JF28=0,calcA!$A$6=0),0,IF(OR(128=$HA28,128=$HD28,128=$HG28),200000,MIN(IF($HA28=0,999999,IF(6=$HB28,IF(128=$HJ28,IF($JC28=2,30,0),IF(128=$HK28,IF($JC28=1,30,0),ABS(8-$HC28)*100)),100000+ABS(6-$HB28)*1000+80)),IF($HD28=0,999999,IF(6=$HE28,IF(128=$HL28,IF($JD28=2,30,0),IF(128=$HM28,IF($JD28=1,30,0),ABS(8-$HF28)*100)),100000+ABS(6-$HE28)*1000+80)),IF($HG28=0,999999,IF(6=$HH28,IF(128=$HN28,IF($JE28=2,30,0),IF(128=$HO28,IF($JE28=1,30,0),ABS(8-$HI28)*100)),100000+ABS(6-$HH28)*1000+80)))-IF((128=$HJ28)+(128=$HK28)+(128=$HL28)+(128=$HM28)+(128=$HN28)+(128=$HO28)&gt;=2,50,0))+EA$5*50)</f>
        <v/>
      </c>
      <c r="EB148">
        <f>IF(OR($JF28=0,calcA!$A$6=0),0,IF(OR(129=$HA28,129=$HD28,129=$HG28),200000,MIN(IF($HA28=0,999999,IF(6=$HB28,IF(129=$HJ28,IF($JC28=2,30,0),IF(129=$HK28,IF($JC28=1,30,0),ABS(9-$HC28)*100)),100000+ABS(6-$HB28)*1000+90)),IF($HD28=0,999999,IF(6=$HE28,IF(129=$HL28,IF($JD28=2,30,0),IF(129=$HM28,IF($JD28=1,30,0),ABS(9-$HF28)*100)),100000+ABS(6-$HE28)*1000+90)),IF($HG28=0,999999,IF(6=$HH28,IF(129=$HN28,IF($JE28=2,30,0),IF(129=$HO28,IF($JE28=1,30,0),ABS(9-$HI28)*100)),100000+ABS(6-$HH28)*1000+90)))-IF((129=$HJ28)+(129=$HK28)+(129=$HL28)+(129=$HM28)+(129=$HN28)+(129=$HO28)&gt;=2,50,0))+EB$5*50)</f>
        <v/>
      </c>
      <c r="EC148">
        <f>IF(OR($JF28=0,calcA!$A$6=0),0,IF(OR(130=$HA28,130=$HD28,130=$HG28),200000,MIN(IF($HA28=0,999999,IF(6=$HB28,IF(130=$HJ28,IF($JC28=2,30,0),IF(130=$HK28,IF($JC28=1,30,0),ABS(10-$HC28)*100)),100000+ABS(6-$HB28)*1000+100)),IF($HD28=0,999999,IF(6=$HE28,IF(130=$HL28,IF($JD28=2,30,0),IF(130=$HM28,IF($JD28=1,30,0),ABS(10-$HF28)*100)),100000+ABS(6-$HE28)*1000+100)),IF($HG28=0,999999,IF(6=$HH28,IF(130=$HN28,IF($JE28=2,30,0),IF(130=$HO28,IF($JE28=1,30,0),ABS(10-$HI28)*100)),100000+ABS(6-$HH28)*1000+100)))-IF((130=$HJ28)+(130=$HK28)+(130=$HL28)+(130=$HM28)+(130=$HN28)+(130=$HO28)&gt;=2,50,0))+EC$5*50)</f>
        <v/>
      </c>
      <c r="ED148">
        <f>IF(OR($JF28=0,calcA!$A$6=0),0,IF(OR(131=$HA28,131=$HD28,131=$HG28),200000,MIN(IF($HA28=0,999999,IF(6=$HB28,IF(131=$HJ28,IF($JC28=2,30,0),IF(131=$HK28,IF($JC28=1,30,0),ABS(11-$HC28)*100)),100000+ABS(6-$HB28)*1000+110)),IF($HD28=0,999999,IF(6=$HE28,IF(131=$HL28,IF($JD28=2,30,0),IF(131=$HM28,IF($JD28=1,30,0),ABS(11-$HF28)*100)),100000+ABS(6-$HE28)*1000+110)),IF($HG28=0,999999,IF(6=$HH28,IF(131=$HN28,IF($JE28=2,30,0),IF(131=$HO28,IF($JE28=1,30,0),ABS(11-$HI28)*100)),100000+ABS(6-$HH28)*1000+110)))-IF((131=$HJ28)+(131=$HK28)+(131=$HL28)+(131=$HM28)+(131=$HN28)+(131=$HO28)&gt;=2,50,0))+ED$5*50)</f>
        <v/>
      </c>
      <c r="EE148">
        <f>IF(OR($JF28=0,calcA!$A$6=0),0,IF(OR(132=$HA28,132=$HD28,132=$HG28),200000,MIN(IF($HA28=0,999999,IF(6=$HB28,IF(132=$HJ28,IF($JC28=2,30,0),IF(132=$HK28,IF($JC28=1,30,0),ABS(12-$HC28)*100)),100000+ABS(6-$HB28)*1000+120)),IF($HD28=0,999999,IF(6=$HE28,IF(132=$HL28,IF($JD28=2,30,0),IF(132=$HM28,IF($JD28=1,30,0),ABS(12-$HF28)*100)),100000+ABS(6-$HE28)*1000+120)),IF($HG28=0,999999,IF(6=$HH28,IF(132=$HN28,IF($JE28=2,30,0),IF(132=$HO28,IF($JE28=1,30,0),ABS(12-$HI28)*100)),100000+ABS(6-$HH28)*1000+120)))-IF((132=$HJ28)+(132=$HK28)+(132=$HL28)+(132=$HM28)+(132=$HN28)+(132=$HO28)&gt;=2,50,0))+EE$5*50)</f>
        <v/>
      </c>
      <c r="EF148">
        <f>IF(OR($JF28=0,calcA!$A$6=0),0,IF(OR(133=$HA28,133=$HD28,133=$HG28),200000,MIN(IF($HA28=0,999999,IF(6=$HB28,IF(133=$HJ28,IF($JC28=2,30,0),IF(133=$HK28,IF($JC28=1,30,0),ABS(13-$HC28)*100)),100000+ABS(6-$HB28)*1000+130)),IF($HD28=0,999999,IF(6=$HE28,IF(133=$HL28,IF($JD28=2,30,0),IF(133=$HM28,IF($JD28=1,30,0),ABS(13-$HF28)*100)),100000+ABS(6-$HE28)*1000+130)),IF($HG28=0,999999,IF(6=$HH28,IF(133=$HN28,IF($JE28=2,30,0),IF(133=$HO28,IF($JE28=1,30,0),ABS(13-$HI28)*100)),100000+ABS(6-$HH28)*1000+130)))-IF((133=$HJ28)+(133=$HK28)+(133=$HL28)+(133=$HM28)+(133=$HN28)+(133=$HO28)&gt;=2,50,0))+EF$5*50)</f>
        <v/>
      </c>
      <c r="EG148">
        <f>IF(OR($JF28=0,calcA!$A$6=0),0,IF(OR(134=$HA28,134=$HD28,134=$HG28),200000,MIN(IF($HA28=0,999999,IF(6=$HB28,IF(134=$HJ28,IF($JC28=2,30,0),IF(134=$HK28,IF($JC28=1,30,0),ABS(14-$HC28)*100)),100000+ABS(6-$HB28)*1000+140)),IF($HD28=0,999999,IF(6=$HE28,IF(134=$HL28,IF($JD28=2,30,0),IF(134=$HM28,IF($JD28=1,30,0),ABS(14-$HF28)*100)),100000+ABS(6-$HE28)*1000+140)),IF($HG28=0,999999,IF(6=$HH28,IF(134=$HN28,IF($JE28=2,30,0),IF(134=$HO28,IF($JE28=1,30,0),ABS(14-$HI28)*100)),100000+ABS(6-$HH28)*1000+140)))-IF((134=$HJ28)+(134=$HK28)+(134=$HL28)+(134=$HM28)+(134=$HN28)+(134=$HO28)&gt;=2,50,0))+EG$5*50)</f>
        <v/>
      </c>
      <c r="EH148">
        <f>IF(OR($JF28=0,calcA!$A$6=0),0,IF(OR(135=$HA28,135=$HD28,135=$HG28),200000,MIN(IF($HA28=0,999999,IF(6=$HB28,IF(135=$HJ28,IF($JC28=2,30,0),IF(135=$HK28,IF($JC28=1,30,0),ABS(15-$HC28)*100)),100000+ABS(6-$HB28)*1000+150)),IF($HD28=0,999999,IF(6=$HE28,IF(135=$HL28,IF($JD28=2,30,0),IF(135=$HM28,IF($JD28=1,30,0),ABS(15-$HF28)*100)),100000+ABS(6-$HE28)*1000+150)),IF($HG28=0,999999,IF(6=$HH28,IF(135=$HN28,IF($JE28=2,30,0),IF(135=$HO28,IF($JE28=1,30,0),ABS(15-$HI28)*100)),100000+ABS(6-$HH28)*1000+150)))-IF((135=$HJ28)+(135=$HK28)+(135=$HL28)+(135=$HM28)+(135=$HN28)+(135=$HO28)&gt;=2,50,0))+EH$5*50)</f>
        <v/>
      </c>
      <c r="EI148">
        <f>IF(OR($JF28=0,calcA!$A$6=0),0,IF(OR(136=$HA28,136=$HD28,136=$HG28),200000,MIN(IF($HA28=0,999999,IF(6=$HB28,IF(136=$HJ28,IF($JC28=2,30,0),IF(136=$HK28,IF($JC28=1,30,0),ABS(16-$HC28)*100)),100000+ABS(6-$HB28)*1000+160)),IF($HD28=0,999999,IF(6=$HE28,IF(136=$HL28,IF($JD28=2,30,0),IF(136=$HM28,IF($JD28=1,30,0),ABS(16-$HF28)*100)),100000+ABS(6-$HE28)*1000+160)),IF($HG28=0,999999,IF(6=$HH28,IF(136=$HN28,IF($JE28=2,30,0),IF(136=$HO28,IF($JE28=1,30,0),ABS(16-$HI28)*100)),100000+ABS(6-$HH28)*1000+160)))-IF((136=$HJ28)+(136=$HK28)+(136=$HL28)+(136=$HM28)+(136=$HN28)+(136=$HO28)&gt;=2,50,0))+EI$5*50)</f>
        <v/>
      </c>
      <c r="EJ148">
        <f>IF(OR($JF28=0,calcA!$A$6=0),0,IF(OR(137=$HA28,137=$HD28,137=$HG28),200000,MIN(IF($HA28=0,999999,IF(6=$HB28,IF(137=$HJ28,IF($JC28=2,30,0),IF(137=$HK28,IF($JC28=1,30,0),ABS(17-$HC28)*100)),100000+ABS(6-$HB28)*1000+170)),IF($HD28=0,999999,IF(6=$HE28,IF(137=$HL28,IF($JD28=2,30,0),IF(137=$HM28,IF($JD28=1,30,0),ABS(17-$HF28)*100)),100000+ABS(6-$HE28)*1000+170)),IF($HG28=0,999999,IF(6=$HH28,IF(137=$HN28,IF($JE28=2,30,0),IF(137=$HO28,IF($JE28=1,30,0),ABS(17-$HI28)*100)),100000+ABS(6-$HH28)*1000+170)))-IF((137=$HJ28)+(137=$HK28)+(137=$HL28)+(137=$HM28)+(137=$HN28)+(137=$HO28)&gt;=2,50,0))+EJ$5*50)</f>
        <v/>
      </c>
      <c r="EK148">
        <f>IF(OR($JF28=0,calcA!$A$6=0),0,IF(OR(138=$HA28,138=$HD28,138=$HG28),200000,MIN(IF($HA28=0,999999,IF(6=$HB28,IF(138=$HJ28,IF($JC28=2,30,0),IF(138=$HK28,IF($JC28=1,30,0),ABS(18-$HC28)*100)),100000+ABS(6-$HB28)*1000+180)),IF($HD28=0,999999,IF(6=$HE28,IF(138=$HL28,IF($JD28=2,30,0),IF(138=$HM28,IF($JD28=1,30,0),ABS(18-$HF28)*100)),100000+ABS(6-$HE28)*1000+180)),IF($HG28=0,999999,IF(6=$HH28,IF(138=$HN28,IF($JE28=2,30,0),IF(138=$HO28,IF($JE28=1,30,0),ABS(18-$HI28)*100)),100000+ABS(6-$HH28)*1000+180)))-IF((138=$HJ28)+(138=$HK28)+(138=$HL28)+(138=$HM28)+(138=$HN28)+(138=$HO28)&gt;=2,50,0))+EK$5*50)</f>
        <v/>
      </c>
      <c r="EL148">
        <f>IF(OR($JF28=0,calcA!$A$6=0),0,IF(OR(139=$HA28,139=$HD28,139=$HG28),200000,MIN(IF($HA28=0,999999,IF(6=$HB28,IF(139=$HJ28,IF($JC28=2,30,0),IF(139=$HK28,IF($JC28=1,30,0),ABS(19-$HC28)*100)),100000+ABS(6-$HB28)*1000+190)),IF($HD28=0,999999,IF(6=$HE28,IF(139=$HL28,IF($JD28=2,30,0),IF(139=$HM28,IF($JD28=1,30,0),ABS(19-$HF28)*100)),100000+ABS(6-$HE28)*1000+190)),IF($HG28=0,999999,IF(6=$HH28,IF(139=$HN28,IF($JE28=2,30,0),IF(139=$HO28,IF($JE28=1,30,0),ABS(19-$HI28)*100)),100000+ABS(6-$HH28)*1000+190)))-IF((139=$HJ28)+(139=$HK28)+(139=$HL28)+(139=$HM28)+(139=$HN28)+(139=$HO28)&gt;=2,50,0))+EL$5*50)</f>
        <v/>
      </c>
      <c r="EM148">
        <f>IF(OR($JF28=0,calcA!$A$6=0),0,IF(OR(140=$HA28,140=$HD28,140=$HG28),200000,MIN(IF($HA28=0,999999,IF(6=$HB28,IF(140=$HJ28,IF($JC28=2,30,0),IF(140=$HK28,IF($JC28=1,30,0),ABS(20-$HC28)*100)),100000+ABS(6-$HB28)*1000+200)),IF($HD28=0,999999,IF(6=$HE28,IF(140=$HL28,IF($JD28=2,30,0),IF(140=$HM28,IF($JD28=1,30,0),ABS(20-$HF28)*100)),100000+ABS(6-$HE28)*1000+200)),IF($HG28=0,999999,IF(6=$HH28,IF(140=$HN28,IF($JE28=2,30,0),IF(140=$HO28,IF($JE28=1,30,0),ABS(20-$HI28)*100)),100000+ABS(6-$HH28)*1000+200)))-IF((140=$HJ28)+(140=$HK28)+(140=$HL28)+(140=$HM28)+(140=$HN28)+(140=$HO28)&gt;=2,50,0))+EM$5*50)</f>
        <v/>
      </c>
      <c r="EN148">
        <f>IF(OR($JF28=0,calcA!$A$6=0),0,IF(OR(141=$HA28,141=$HD28,141=$HG28),200000,MIN(IF($HA28=0,999999,IF(6=$HB28,IF(141=$HJ28,IF($JC28=2,30,0),IF(141=$HK28,IF($JC28=1,30,0),ABS(21-$HC28)*100)),100000+ABS(6-$HB28)*1000+210)),IF($HD28=0,999999,IF(6=$HE28,IF(141=$HL28,IF($JD28=2,30,0),IF(141=$HM28,IF($JD28=1,30,0),ABS(21-$HF28)*100)),100000+ABS(6-$HE28)*1000+210)),IF($HG28=0,999999,IF(6=$HH28,IF(141=$HN28,IF($JE28=2,30,0),IF(141=$HO28,IF($JE28=1,30,0),ABS(21-$HI28)*100)),100000+ABS(6-$HH28)*1000+210)))-IF((141=$HJ28)+(141=$HK28)+(141=$HL28)+(141=$HM28)+(141=$HN28)+(141=$HO28)&gt;=2,50,0))+EN$5*50)</f>
        <v/>
      </c>
      <c r="EO148">
        <f>IF(OR($JF28=0,calcA!$A$6=0),0,IF(OR(142=$HA28,142=$HD28,142=$HG28),200000,MIN(IF($HA28=0,999999,IF(6=$HB28,IF(142=$HJ28,IF($JC28=2,30,0),IF(142=$HK28,IF($JC28=1,30,0),ABS(22-$HC28)*100)),100000+ABS(6-$HB28)*1000+220)),IF($HD28=0,999999,IF(6=$HE28,IF(142=$HL28,IF($JD28=2,30,0),IF(142=$HM28,IF($JD28=1,30,0),ABS(22-$HF28)*100)),100000+ABS(6-$HE28)*1000+220)),IF($HG28=0,999999,IF(6=$HH28,IF(142=$HN28,IF($JE28=2,30,0),IF(142=$HO28,IF($JE28=1,30,0),ABS(22-$HI28)*100)),100000+ABS(6-$HH28)*1000+220)))-IF((142=$HJ28)+(142=$HK28)+(142=$HL28)+(142=$HM28)+(142=$HN28)+(142=$HO28)&gt;=2,50,0))+EO$5*50)</f>
        <v/>
      </c>
      <c r="EP148">
        <f>IF(OR($JF28=0,calcA!$A$6=0),0,IF(OR(143=$HA28,143=$HD28,143=$HG28),200000,MIN(IF($HA28=0,999999,IF(6=$HB28,IF(143=$HJ28,IF($JC28=2,30,0),IF(143=$HK28,IF($JC28=1,30,0),ABS(23-$HC28)*100)),100000+ABS(6-$HB28)*1000+230)),IF($HD28=0,999999,IF(6=$HE28,IF(143=$HL28,IF($JD28=2,30,0),IF(143=$HM28,IF($JD28=1,30,0),ABS(23-$HF28)*100)),100000+ABS(6-$HE28)*1000+230)),IF($HG28=0,999999,IF(6=$HH28,IF(143=$HN28,IF($JE28=2,30,0),IF(143=$HO28,IF($JE28=1,30,0),ABS(23-$HI28)*100)),100000+ABS(6-$HH28)*1000+230)))-IF((143=$HJ28)+(143=$HK28)+(143=$HL28)+(143=$HM28)+(143=$HN28)+(143=$HO28)&gt;=2,50,0))+EP$5*50)</f>
        <v/>
      </c>
      <c r="EQ148">
        <f>IF(OR($JF28=0,calcA!$A$6=0),0,IF(OR(144=$HA28,144=$HD28,144=$HG28),200000,MIN(IF($HA28=0,999999,IF(6=$HB28,IF(144=$HJ28,IF($JC28=2,30,0),IF(144=$HK28,IF($JC28=1,30,0),ABS(24-$HC28)*100)),100000+ABS(6-$HB28)*1000+240)),IF($HD28=0,999999,IF(6=$HE28,IF(144=$HL28,IF($JD28=2,30,0),IF(144=$HM28,IF($JD28=1,30,0),ABS(24-$HF28)*100)),100000+ABS(6-$HE28)*1000+240)),IF($HG28=0,999999,IF(6=$HH28,IF(144=$HN28,IF($JE28=2,30,0),IF(144=$HO28,IF($JE28=1,30,0),ABS(24-$HI28)*100)),100000+ABS(6-$HH28)*1000+240)))-IF((144=$HJ28)+(144=$HK28)+(144=$HL28)+(144=$HM28)+(144=$HN28)+(144=$HO28)&gt;=2,50,0))+EQ$5*50)</f>
        <v/>
      </c>
    </row>
    <row r="149">
      <c r="D149">
        <f>IF(OR($JF29=0,calcA!$A$6=0),0,IF(OR(1=$HA29,1=$HD29,1=$HG29),200000,MIN(IF($HA29=0,999999,IF(1=$HB29,IF(1=$HJ29,IF($JC29=2,30,0),IF(1=$HK29,IF($JC29=1,30,0),ABS(1-$HC29)*100)),100000+ABS(1-$HB29)*1000+10)),IF($HD29=0,999999,IF(1=$HE29,IF(1=$HL29,IF($JD29=2,30,0),IF(1=$HM29,IF($JD29=1,30,0),ABS(1-$HF29)*100)),100000+ABS(1-$HE29)*1000+10)),IF($HG29=0,999999,IF(1=$HH29,IF(1=$HN29,IF($JE29=2,30,0),IF(1=$HO29,IF($JE29=1,30,0),ABS(1-$HI29)*100)),100000+ABS(1-$HH29)*1000+10)))-IF((1=$HJ29)+(1=$HK29)+(1=$HL29)+(1=$HM29)+(1=$HN29)+(1=$HO29)&gt;=2,50,0))+D$5*50)</f>
        <v/>
      </c>
      <c r="E149">
        <f>IF(OR($JF29=0,calcA!$A$6=0),0,IF(OR(2=$HA29,2=$HD29,2=$HG29),200000,MIN(IF($HA29=0,999999,IF(1=$HB29,IF(2=$HJ29,IF($JC29=2,30,0),IF(2=$HK29,IF($JC29=1,30,0),ABS(2-$HC29)*100)),100000+ABS(1-$HB29)*1000+20)),IF($HD29=0,999999,IF(1=$HE29,IF(2=$HL29,IF($JD29=2,30,0),IF(2=$HM29,IF($JD29=1,30,0),ABS(2-$HF29)*100)),100000+ABS(1-$HE29)*1000+20)),IF($HG29=0,999999,IF(1=$HH29,IF(2=$HN29,IF($JE29=2,30,0),IF(2=$HO29,IF($JE29=1,30,0),ABS(2-$HI29)*100)),100000+ABS(1-$HH29)*1000+20)))-IF((2=$HJ29)+(2=$HK29)+(2=$HL29)+(2=$HM29)+(2=$HN29)+(2=$HO29)&gt;=2,50,0))+E$5*50)</f>
        <v/>
      </c>
      <c r="F149">
        <f>IF(OR($JF29=0,calcA!$A$6=0),0,IF(OR(3=$HA29,3=$HD29,3=$HG29),200000,MIN(IF($HA29=0,999999,IF(1=$HB29,IF(3=$HJ29,IF($JC29=2,30,0),IF(3=$HK29,IF($JC29=1,30,0),ABS(3-$HC29)*100)),100000+ABS(1-$HB29)*1000+30)),IF($HD29=0,999999,IF(1=$HE29,IF(3=$HL29,IF($JD29=2,30,0),IF(3=$HM29,IF($JD29=1,30,0),ABS(3-$HF29)*100)),100000+ABS(1-$HE29)*1000+30)),IF($HG29=0,999999,IF(1=$HH29,IF(3=$HN29,IF($JE29=2,30,0),IF(3=$HO29,IF($JE29=1,30,0),ABS(3-$HI29)*100)),100000+ABS(1-$HH29)*1000+30)))-IF((3=$HJ29)+(3=$HK29)+(3=$HL29)+(3=$HM29)+(3=$HN29)+(3=$HO29)&gt;=2,50,0))+F$5*50)</f>
        <v/>
      </c>
      <c r="G149">
        <f>IF(OR($JF29=0,calcA!$A$6=0),0,IF(OR(4=$HA29,4=$HD29,4=$HG29),200000,MIN(IF($HA29=0,999999,IF(1=$HB29,IF(4=$HJ29,IF($JC29=2,30,0),IF(4=$HK29,IF($JC29=1,30,0),ABS(4-$HC29)*100)),100000+ABS(1-$HB29)*1000+40)),IF($HD29=0,999999,IF(1=$HE29,IF(4=$HL29,IF($JD29=2,30,0),IF(4=$HM29,IF($JD29=1,30,0),ABS(4-$HF29)*100)),100000+ABS(1-$HE29)*1000+40)),IF($HG29=0,999999,IF(1=$HH29,IF(4=$HN29,IF($JE29=2,30,0),IF(4=$HO29,IF($JE29=1,30,0),ABS(4-$HI29)*100)),100000+ABS(1-$HH29)*1000+40)))-IF((4=$HJ29)+(4=$HK29)+(4=$HL29)+(4=$HM29)+(4=$HN29)+(4=$HO29)&gt;=2,50,0))+G$5*50)</f>
        <v/>
      </c>
      <c r="H149">
        <f>IF(OR($JF29=0,calcA!$A$6=0),0,IF(OR(5=$HA29,5=$HD29,5=$HG29),200000,MIN(IF($HA29=0,999999,IF(1=$HB29,IF(5=$HJ29,IF($JC29=2,30,0),IF(5=$HK29,IF($JC29=1,30,0),ABS(5-$HC29)*100)),100000+ABS(1-$HB29)*1000+50)),IF($HD29=0,999999,IF(1=$HE29,IF(5=$HL29,IF($JD29=2,30,0),IF(5=$HM29,IF($JD29=1,30,0),ABS(5-$HF29)*100)),100000+ABS(1-$HE29)*1000+50)),IF($HG29=0,999999,IF(1=$HH29,IF(5=$HN29,IF($JE29=2,30,0),IF(5=$HO29,IF($JE29=1,30,0),ABS(5-$HI29)*100)),100000+ABS(1-$HH29)*1000+50)))-IF((5=$HJ29)+(5=$HK29)+(5=$HL29)+(5=$HM29)+(5=$HN29)+(5=$HO29)&gt;=2,50,0))+H$5*50)</f>
        <v/>
      </c>
      <c r="I149">
        <f>IF(OR($JF29=0,calcA!$A$6=0),0,IF(OR(6=$HA29,6=$HD29,6=$HG29),200000,MIN(IF($HA29=0,999999,IF(1=$HB29,IF(6=$HJ29,IF($JC29=2,30,0),IF(6=$HK29,IF($JC29=1,30,0),ABS(6-$HC29)*100)),100000+ABS(1-$HB29)*1000+60)),IF($HD29=0,999999,IF(1=$HE29,IF(6=$HL29,IF($JD29=2,30,0),IF(6=$HM29,IF($JD29=1,30,0),ABS(6-$HF29)*100)),100000+ABS(1-$HE29)*1000+60)),IF($HG29=0,999999,IF(1=$HH29,IF(6=$HN29,IF($JE29=2,30,0),IF(6=$HO29,IF($JE29=1,30,0),ABS(6-$HI29)*100)),100000+ABS(1-$HH29)*1000+60)))-IF((6=$HJ29)+(6=$HK29)+(6=$HL29)+(6=$HM29)+(6=$HN29)+(6=$HO29)&gt;=2,50,0))+I$5*50)</f>
        <v/>
      </c>
      <c r="J149">
        <f>IF(OR($JF29=0,calcA!$A$6=0),0,IF(OR(7=$HA29,7=$HD29,7=$HG29),200000,MIN(IF($HA29=0,999999,IF(1=$HB29,IF(7=$HJ29,IF($JC29=2,30,0),IF(7=$HK29,IF($JC29=1,30,0),ABS(7-$HC29)*100)),100000+ABS(1-$HB29)*1000+70)),IF($HD29=0,999999,IF(1=$HE29,IF(7=$HL29,IF($JD29=2,30,0),IF(7=$HM29,IF($JD29=1,30,0),ABS(7-$HF29)*100)),100000+ABS(1-$HE29)*1000+70)),IF($HG29=0,999999,IF(1=$HH29,IF(7=$HN29,IF($JE29=2,30,0),IF(7=$HO29,IF($JE29=1,30,0),ABS(7-$HI29)*100)),100000+ABS(1-$HH29)*1000+70)))-IF((7=$HJ29)+(7=$HK29)+(7=$HL29)+(7=$HM29)+(7=$HN29)+(7=$HO29)&gt;=2,50,0))+J$5*50)</f>
        <v/>
      </c>
      <c r="K149">
        <f>IF(OR($JF29=0,calcA!$A$6=0),0,IF(OR(8=$HA29,8=$HD29,8=$HG29),200000,MIN(IF($HA29=0,999999,IF(1=$HB29,IF(8=$HJ29,IF($JC29=2,30,0),IF(8=$HK29,IF($JC29=1,30,0),ABS(8-$HC29)*100)),100000+ABS(1-$HB29)*1000+80)),IF($HD29=0,999999,IF(1=$HE29,IF(8=$HL29,IF($JD29=2,30,0),IF(8=$HM29,IF($JD29=1,30,0),ABS(8-$HF29)*100)),100000+ABS(1-$HE29)*1000+80)),IF($HG29=0,999999,IF(1=$HH29,IF(8=$HN29,IF($JE29=2,30,0),IF(8=$HO29,IF($JE29=1,30,0),ABS(8-$HI29)*100)),100000+ABS(1-$HH29)*1000+80)))-IF((8=$HJ29)+(8=$HK29)+(8=$HL29)+(8=$HM29)+(8=$HN29)+(8=$HO29)&gt;=2,50,0))+K$5*50)</f>
        <v/>
      </c>
      <c r="L149">
        <f>IF(OR($JF29=0,calcA!$A$6=0),0,IF(OR(9=$HA29,9=$HD29,9=$HG29),200000,MIN(IF($HA29=0,999999,IF(1=$HB29,IF(9=$HJ29,IF($JC29=2,30,0),IF(9=$HK29,IF($JC29=1,30,0),ABS(9-$HC29)*100)),100000+ABS(1-$HB29)*1000+90)),IF($HD29=0,999999,IF(1=$HE29,IF(9=$HL29,IF($JD29=2,30,0),IF(9=$HM29,IF($JD29=1,30,0),ABS(9-$HF29)*100)),100000+ABS(1-$HE29)*1000+90)),IF($HG29=0,999999,IF(1=$HH29,IF(9=$HN29,IF($JE29=2,30,0),IF(9=$HO29,IF($JE29=1,30,0),ABS(9-$HI29)*100)),100000+ABS(1-$HH29)*1000+90)))-IF((9=$HJ29)+(9=$HK29)+(9=$HL29)+(9=$HM29)+(9=$HN29)+(9=$HO29)&gt;=2,50,0))+L$5*50)</f>
        <v/>
      </c>
      <c r="M149">
        <f>IF(OR($JF29=0,calcA!$A$6=0),0,IF(OR(10=$HA29,10=$HD29,10=$HG29),200000,MIN(IF($HA29=0,999999,IF(1=$HB29,IF(10=$HJ29,IF($JC29=2,30,0),IF(10=$HK29,IF($JC29=1,30,0),ABS(10-$HC29)*100)),100000+ABS(1-$HB29)*1000+100)),IF($HD29=0,999999,IF(1=$HE29,IF(10=$HL29,IF($JD29=2,30,0),IF(10=$HM29,IF($JD29=1,30,0),ABS(10-$HF29)*100)),100000+ABS(1-$HE29)*1000+100)),IF($HG29=0,999999,IF(1=$HH29,IF(10=$HN29,IF($JE29=2,30,0),IF(10=$HO29,IF($JE29=1,30,0),ABS(10-$HI29)*100)),100000+ABS(1-$HH29)*1000+100)))-IF((10=$HJ29)+(10=$HK29)+(10=$HL29)+(10=$HM29)+(10=$HN29)+(10=$HO29)&gt;=2,50,0))+M$5*50)</f>
        <v/>
      </c>
      <c r="N149">
        <f>IF(OR($JF29=0,calcA!$A$6=0),0,IF(OR(11=$HA29,11=$HD29,11=$HG29),200000,MIN(IF($HA29=0,999999,IF(1=$HB29,IF(11=$HJ29,IF($JC29=2,30,0),IF(11=$HK29,IF($JC29=1,30,0),ABS(11-$HC29)*100)),100000+ABS(1-$HB29)*1000+110)),IF($HD29=0,999999,IF(1=$HE29,IF(11=$HL29,IF($JD29=2,30,0),IF(11=$HM29,IF($JD29=1,30,0),ABS(11-$HF29)*100)),100000+ABS(1-$HE29)*1000+110)),IF($HG29=0,999999,IF(1=$HH29,IF(11=$HN29,IF($JE29=2,30,0),IF(11=$HO29,IF($JE29=1,30,0),ABS(11-$HI29)*100)),100000+ABS(1-$HH29)*1000+110)))-IF((11=$HJ29)+(11=$HK29)+(11=$HL29)+(11=$HM29)+(11=$HN29)+(11=$HO29)&gt;=2,50,0))+N$5*50)</f>
        <v/>
      </c>
      <c r="O149">
        <f>IF(OR($JF29=0,calcA!$A$6=0),0,IF(OR(12=$HA29,12=$HD29,12=$HG29),200000,MIN(IF($HA29=0,999999,IF(1=$HB29,IF(12=$HJ29,IF($JC29=2,30,0),IF(12=$HK29,IF($JC29=1,30,0),ABS(12-$HC29)*100)),100000+ABS(1-$HB29)*1000+120)),IF($HD29=0,999999,IF(1=$HE29,IF(12=$HL29,IF($JD29=2,30,0),IF(12=$HM29,IF($JD29=1,30,0),ABS(12-$HF29)*100)),100000+ABS(1-$HE29)*1000+120)),IF($HG29=0,999999,IF(1=$HH29,IF(12=$HN29,IF($JE29=2,30,0),IF(12=$HO29,IF($JE29=1,30,0),ABS(12-$HI29)*100)),100000+ABS(1-$HH29)*1000+120)))-IF((12=$HJ29)+(12=$HK29)+(12=$HL29)+(12=$HM29)+(12=$HN29)+(12=$HO29)&gt;=2,50,0))+O$5*50)</f>
        <v/>
      </c>
      <c r="P149">
        <f>IF(OR($JF29=0,calcA!$A$6=0),0,IF(OR(13=$HA29,13=$HD29,13=$HG29),200000,MIN(IF($HA29=0,999999,IF(1=$HB29,IF(13=$HJ29,IF($JC29=2,30,0),IF(13=$HK29,IF($JC29=1,30,0),ABS(13-$HC29)*100)),100000+ABS(1-$HB29)*1000+130)),IF($HD29=0,999999,IF(1=$HE29,IF(13=$HL29,IF($JD29=2,30,0),IF(13=$HM29,IF($JD29=1,30,0),ABS(13-$HF29)*100)),100000+ABS(1-$HE29)*1000+130)),IF($HG29=0,999999,IF(1=$HH29,IF(13=$HN29,IF($JE29=2,30,0),IF(13=$HO29,IF($JE29=1,30,0),ABS(13-$HI29)*100)),100000+ABS(1-$HH29)*1000+130)))-IF((13=$HJ29)+(13=$HK29)+(13=$HL29)+(13=$HM29)+(13=$HN29)+(13=$HO29)&gt;=2,50,0))+P$5*50)</f>
        <v/>
      </c>
      <c r="Q149">
        <f>IF(OR($JF29=0,calcA!$A$6=0),0,IF(OR(14=$HA29,14=$HD29,14=$HG29),200000,MIN(IF($HA29=0,999999,IF(1=$HB29,IF(14=$HJ29,IF($JC29=2,30,0),IF(14=$HK29,IF($JC29=1,30,0),ABS(14-$HC29)*100)),100000+ABS(1-$HB29)*1000+140)),IF($HD29=0,999999,IF(1=$HE29,IF(14=$HL29,IF($JD29=2,30,0),IF(14=$HM29,IF($JD29=1,30,0),ABS(14-$HF29)*100)),100000+ABS(1-$HE29)*1000+140)),IF($HG29=0,999999,IF(1=$HH29,IF(14=$HN29,IF($JE29=2,30,0),IF(14=$HO29,IF($JE29=1,30,0),ABS(14-$HI29)*100)),100000+ABS(1-$HH29)*1000+140)))-IF((14=$HJ29)+(14=$HK29)+(14=$HL29)+(14=$HM29)+(14=$HN29)+(14=$HO29)&gt;=2,50,0))+Q$5*50)</f>
        <v/>
      </c>
      <c r="R149">
        <f>IF(OR($JF29=0,calcA!$A$6=0),0,IF(OR(15=$HA29,15=$HD29,15=$HG29),200000,MIN(IF($HA29=0,999999,IF(1=$HB29,IF(15=$HJ29,IF($JC29=2,30,0),IF(15=$HK29,IF($JC29=1,30,0),ABS(15-$HC29)*100)),100000+ABS(1-$HB29)*1000+150)),IF($HD29=0,999999,IF(1=$HE29,IF(15=$HL29,IF($JD29=2,30,0),IF(15=$HM29,IF($JD29=1,30,0),ABS(15-$HF29)*100)),100000+ABS(1-$HE29)*1000+150)),IF($HG29=0,999999,IF(1=$HH29,IF(15=$HN29,IF($JE29=2,30,0),IF(15=$HO29,IF($JE29=1,30,0),ABS(15-$HI29)*100)),100000+ABS(1-$HH29)*1000+150)))-IF((15=$HJ29)+(15=$HK29)+(15=$HL29)+(15=$HM29)+(15=$HN29)+(15=$HO29)&gt;=2,50,0))+R$5*50)</f>
        <v/>
      </c>
      <c r="S149">
        <f>IF(OR($JF29=0,calcA!$A$6=0),0,IF(OR(16=$HA29,16=$HD29,16=$HG29),200000,MIN(IF($HA29=0,999999,IF(1=$HB29,IF(16=$HJ29,IF($JC29=2,30,0),IF(16=$HK29,IF($JC29=1,30,0),ABS(16-$HC29)*100)),100000+ABS(1-$HB29)*1000+160)),IF($HD29=0,999999,IF(1=$HE29,IF(16=$HL29,IF($JD29=2,30,0),IF(16=$HM29,IF($JD29=1,30,0),ABS(16-$HF29)*100)),100000+ABS(1-$HE29)*1000+160)),IF($HG29=0,999999,IF(1=$HH29,IF(16=$HN29,IF($JE29=2,30,0),IF(16=$HO29,IF($JE29=1,30,0),ABS(16-$HI29)*100)),100000+ABS(1-$HH29)*1000+160)))-IF((16=$HJ29)+(16=$HK29)+(16=$HL29)+(16=$HM29)+(16=$HN29)+(16=$HO29)&gt;=2,50,0))+S$5*50)</f>
        <v/>
      </c>
      <c r="T149">
        <f>IF(OR($JF29=0,calcA!$A$6=0),0,IF(OR(17=$HA29,17=$HD29,17=$HG29),200000,MIN(IF($HA29=0,999999,IF(1=$HB29,IF(17=$HJ29,IF($JC29=2,30,0),IF(17=$HK29,IF($JC29=1,30,0),ABS(17-$HC29)*100)),100000+ABS(1-$HB29)*1000+170)),IF($HD29=0,999999,IF(1=$HE29,IF(17=$HL29,IF($JD29=2,30,0),IF(17=$HM29,IF($JD29=1,30,0),ABS(17-$HF29)*100)),100000+ABS(1-$HE29)*1000+170)),IF($HG29=0,999999,IF(1=$HH29,IF(17=$HN29,IF($JE29=2,30,0),IF(17=$HO29,IF($JE29=1,30,0),ABS(17-$HI29)*100)),100000+ABS(1-$HH29)*1000+170)))-IF((17=$HJ29)+(17=$HK29)+(17=$HL29)+(17=$HM29)+(17=$HN29)+(17=$HO29)&gt;=2,50,0))+T$5*50)</f>
        <v/>
      </c>
      <c r="U149">
        <f>IF(OR($JF29=0,calcA!$A$6=0),0,IF(OR(18=$HA29,18=$HD29,18=$HG29),200000,MIN(IF($HA29=0,999999,IF(1=$HB29,IF(18=$HJ29,IF($JC29=2,30,0),IF(18=$HK29,IF($JC29=1,30,0),ABS(18-$HC29)*100)),100000+ABS(1-$HB29)*1000+180)),IF($HD29=0,999999,IF(1=$HE29,IF(18=$HL29,IF($JD29=2,30,0),IF(18=$HM29,IF($JD29=1,30,0),ABS(18-$HF29)*100)),100000+ABS(1-$HE29)*1000+180)),IF($HG29=0,999999,IF(1=$HH29,IF(18=$HN29,IF($JE29=2,30,0),IF(18=$HO29,IF($JE29=1,30,0),ABS(18-$HI29)*100)),100000+ABS(1-$HH29)*1000+180)))-IF((18=$HJ29)+(18=$HK29)+(18=$HL29)+(18=$HM29)+(18=$HN29)+(18=$HO29)&gt;=2,50,0))+U$5*50)</f>
        <v/>
      </c>
      <c r="V149">
        <f>IF(OR($JF29=0,calcA!$A$6=0),0,IF(OR(19=$HA29,19=$HD29,19=$HG29),200000,MIN(IF($HA29=0,999999,IF(1=$HB29,IF(19=$HJ29,IF($JC29=2,30,0),IF(19=$HK29,IF($JC29=1,30,0),ABS(19-$HC29)*100)),100000+ABS(1-$HB29)*1000+190)),IF($HD29=0,999999,IF(1=$HE29,IF(19=$HL29,IF($JD29=2,30,0),IF(19=$HM29,IF($JD29=1,30,0),ABS(19-$HF29)*100)),100000+ABS(1-$HE29)*1000+190)),IF($HG29=0,999999,IF(1=$HH29,IF(19=$HN29,IF($JE29=2,30,0),IF(19=$HO29,IF($JE29=1,30,0),ABS(19-$HI29)*100)),100000+ABS(1-$HH29)*1000+190)))-IF((19=$HJ29)+(19=$HK29)+(19=$HL29)+(19=$HM29)+(19=$HN29)+(19=$HO29)&gt;=2,50,0))+V$5*50)</f>
        <v/>
      </c>
      <c r="W149">
        <f>IF(OR($JF29=0,calcA!$A$6=0),0,IF(OR(20=$HA29,20=$HD29,20=$HG29),200000,MIN(IF($HA29=0,999999,IF(1=$HB29,IF(20=$HJ29,IF($JC29=2,30,0),IF(20=$HK29,IF($JC29=1,30,0),ABS(20-$HC29)*100)),100000+ABS(1-$HB29)*1000+200)),IF($HD29=0,999999,IF(1=$HE29,IF(20=$HL29,IF($JD29=2,30,0),IF(20=$HM29,IF($JD29=1,30,0),ABS(20-$HF29)*100)),100000+ABS(1-$HE29)*1000+200)),IF($HG29=0,999999,IF(1=$HH29,IF(20=$HN29,IF($JE29=2,30,0),IF(20=$HO29,IF($JE29=1,30,0),ABS(20-$HI29)*100)),100000+ABS(1-$HH29)*1000+200)))-IF((20=$HJ29)+(20=$HK29)+(20=$HL29)+(20=$HM29)+(20=$HN29)+(20=$HO29)&gt;=2,50,0))+W$5*50)</f>
        <v/>
      </c>
      <c r="X149">
        <f>IF(OR($JF29=0,calcA!$A$6=0),0,IF(OR(21=$HA29,21=$HD29,21=$HG29),200000,MIN(IF($HA29=0,999999,IF(1=$HB29,IF(21=$HJ29,IF($JC29=2,30,0),IF(21=$HK29,IF($JC29=1,30,0),ABS(21-$HC29)*100)),100000+ABS(1-$HB29)*1000+210)),IF($HD29=0,999999,IF(1=$HE29,IF(21=$HL29,IF($JD29=2,30,0),IF(21=$HM29,IF($JD29=1,30,0),ABS(21-$HF29)*100)),100000+ABS(1-$HE29)*1000+210)),IF($HG29=0,999999,IF(1=$HH29,IF(21=$HN29,IF($JE29=2,30,0),IF(21=$HO29,IF($JE29=1,30,0),ABS(21-$HI29)*100)),100000+ABS(1-$HH29)*1000+210)))-IF((21=$HJ29)+(21=$HK29)+(21=$HL29)+(21=$HM29)+(21=$HN29)+(21=$HO29)&gt;=2,50,0))+X$5*50)</f>
        <v/>
      </c>
      <c r="Y149">
        <f>IF(OR($JF29=0,calcA!$A$6=0),0,IF(OR(22=$HA29,22=$HD29,22=$HG29),200000,MIN(IF($HA29=0,999999,IF(1=$HB29,IF(22=$HJ29,IF($JC29=2,30,0),IF(22=$HK29,IF($JC29=1,30,0),ABS(22-$HC29)*100)),100000+ABS(1-$HB29)*1000+220)),IF($HD29=0,999999,IF(1=$HE29,IF(22=$HL29,IF($JD29=2,30,0),IF(22=$HM29,IF($JD29=1,30,0),ABS(22-$HF29)*100)),100000+ABS(1-$HE29)*1000+220)),IF($HG29=0,999999,IF(1=$HH29,IF(22=$HN29,IF($JE29=2,30,0),IF(22=$HO29,IF($JE29=1,30,0),ABS(22-$HI29)*100)),100000+ABS(1-$HH29)*1000+220)))-IF((22=$HJ29)+(22=$HK29)+(22=$HL29)+(22=$HM29)+(22=$HN29)+(22=$HO29)&gt;=2,50,0))+Y$5*50)</f>
        <v/>
      </c>
      <c r="Z149">
        <f>IF(OR($JF29=0,calcA!$A$6=0),0,IF(OR(23=$HA29,23=$HD29,23=$HG29),200000,MIN(IF($HA29=0,999999,IF(1=$HB29,IF(23=$HJ29,IF($JC29=2,30,0),IF(23=$HK29,IF($JC29=1,30,0),ABS(23-$HC29)*100)),100000+ABS(1-$HB29)*1000+230)),IF($HD29=0,999999,IF(1=$HE29,IF(23=$HL29,IF($JD29=2,30,0),IF(23=$HM29,IF($JD29=1,30,0),ABS(23-$HF29)*100)),100000+ABS(1-$HE29)*1000+230)),IF($HG29=0,999999,IF(1=$HH29,IF(23=$HN29,IF($JE29=2,30,0),IF(23=$HO29,IF($JE29=1,30,0),ABS(23-$HI29)*100)),100000+ABS(1-$HH29)*1000+230)))-IF((23=$HJ29)+(23=$HK29)+(23=$HL29)+(23=$HM29)+(23=$HN29)+(23=$HO29)&gt;=2,50,0))+Z$5*50)</f>
        <v/>
      </c>
      <c r="AA149">
        <f>IF(OR($JF29=0,calcA!$A$6=0),0,IF(OR(24=$HA29,24=$HD29,24=$HG29),200000,MIN(IF($HA29=0,999999,IF(1=$HB29,IF(24=$HJ29,IF($JC29=2,30,0),IF(24=$HK29,IF($JC29=1,30,0),ABS(24-$HC29)*100)),100000+ABS(1-$HB29)*1000+240)),IF($HD29=0,999999,IF(1=$HE29,IF(24=$HL29,IF($JD29=2,30,0),IF(24=$HM29,IF($JD29=1,30,0),ABS(24-$HF29)*100)),100000+ABS(1-$HE29)*1000+240)),IF($HG29=0,999999,IF(1=$HH29,IF(24=$HN29,IF($JE29=2,30,0),IF(24=$HO29,IF($JE29=1,30,0),ABS(24-$HI29)*100)),100000+ABS(1-$HH29)*1000+240)))-IF((24=$HJ29)+(24=$HK29)+(24=$HL29)+(24=$HM29)+(24=$HN29)+(24=$HO29)&gt;=2,50,0))+AA$5*50)</f>
        <v/>
      </c>
      <c r="AB149">
        <f>IF(OR($JF29=0,calcA!$A$6=0),0,IF(OR(25=$HA29,25=$HD29,25=$HG29),200000,MIN(IF($HA29=0,999999,IF(2=$HB29,IF(25=$HJ29,IF($JC29=2,30,0),IF(25=$HK29,IF($JC29=1,30,0),ABS(1-$HC29)*100)),100000+ABS(2-$HB29)*1000+10)),IF($HD29=0,999999,IF(2=$HE29,IF(25=$HL29,IF($JD29=2,30,0),IF(25=$HM29,IF($JD29=1,30,0),ABS(1-$HF29)*100)),100000+ABS(2-$HE29)*1000+10)),IF($HG29=0,999999,IF(2=$HH29,IF(25=$HN29,IF($JE29=2,30,0),IF(25=$HO29,IF($JE29=1,30,0),ABS(1-$HI29)*100)),100000+ABS(2-$HH29)*1000+10)))-IF((25=$HJ29)+(25=$HK29)+(25=$HL29)+(25=$HM29)+(25=$HN29)+(25=$HO29)&gt;=2,50,0))+AB$5*50)</f>
        <v/>
      </c>
      <c r="AC149">
        <f>IF(OR($JF29=0,calcA!$A$6=0),0,IF(OR(26=$HA29,26=$HD29,26=$HG29),200000,MIN(IF($HA29=0,999999,IF(2=$HB29,IF(26=$HJ29,IF($JC29=2,30,0),IF(26=$HK29,IF($JC29=1,30,0),ABS(2-$HC29)*100)),100000+ABS(2-$HB29)*1000+20)),IF($HD29=0,999999,IF(2=$HE29,IF(26=$HL29,IF($JD29=2,30,0),IF(26=$HM29,IF($JD29=1,30,0),ABS(2-$HF29)*100)),100000+ABS(2-$HE29)*1000+20)),IF($HG29=0,999999,IF(2=$HH29,IF(26=$HN29,IF($JE29=2,30,0),IF(26=$HO29,IF($JE29=1,30,0),ABS(2-$HI29)*100)),100000+ABS(2-$HH29)*1000+20)))-IF((26=$HJ29)+(26=$HK29)+(26=$HL29)+(26=$HM29)+(26=$HN29)+(26=$HO29)&gt;=2,50,0))+AC$5*50)</f>
        <v/>
      </c>
      <c r="AD149">
        <f>IF(OR($JF29=0,calcA!$A$6=0),0,IF(OR(27=$HA29,27=$HD29,27=$HG29),200000,MIN(IF($HA29=0,999999,IF(2=$HB29,IF(27=$HJ29,IF($JC29=2,30,0),IF(27=$HK29,IF($JC29=1,30,0),ABS(3-$HC29)*100)),100000+ABS(2-$HB29)*1000+30)),IF($HD29=0,999999,IF(2=$HE29,IF(27=$HL29,IF($JD29=2,30,0),IF(27=$HM29,IF($JD29=1,30,0),ABS(3-$HF29)*100)),100000+ABS(2-$HE29)*1000+30)),IF($HG29=0,999999,IF(2=$HH29,IF(27=$HN29,IF($JE29=2,30,0),IF(27=$HO29,IF($JE29=1,30,0),ABS(3-$HI29)*100)),100000+ABS(2-$HH29)*1000+30)))-IF((27=$HJ29)+(27=$HK29)+(27=$HL29)+(27=$HM29)+(27=$HN29)+(27=$HO29)&gt;=2,50,0))+AD$5*50)</f>
        <v/>
      </c>
      <c r="AE149">
        <f>IF(OR($JF29=0,calcA!$A$6=0),0,IF(OR(28=$HA29,28=$HD29,28=$HG29),200000,MIN(IF($HA29=0,999999,IF(2=$HB29,IF(28=$HJ29,IF($JC29=2,30,0),IF(28=$HK29,IF($JC29=1,30,0),ABS(4-$HC29)*100)),100000+ABS(2-$HB29)*1000+40)),IF($HD29=0,999999,IF(2=$HE29,IF(28=$HL29,IF($JD29=2,30,0),IF(28=$HM29,IF($JD29=1,30,0),ABS(4-$HF29)*100)),100000+ABS(2-$HE29)*1000+40)),IF($HG29=0,999999,IF(2=$HH29,IF(28=$HN29,IF($JE29=2,30,0),IF(28=$HO29,IF($JE29=1,30,0),ABS(4-$HI29)*100)),100000+ABS(2-$HH29)*1000+40)))-IF((28=$HJ29)+(28=$HK29)+(28=$HL29)+(28=$HM29)+(28=$HN29)+(28=$HO29)&gt;=2,50,0))+AE$5*50)</f>
        <v/>
      </c>
      <c r="AF149">
        <f>IF(OR($JF29=0,calcA!$A$6=0),0,IF(OR(29=$HA29,29=$HD29,29=$HG29),200000,MIN(IF($HA29=0,999999,IF(2=$HB29,IF(29=$HJ29,IF($JC29=2,30,0),IF(29=$HK29,IF($JC29=1,30,0),ABS(5-$HC29)*100)),100000+ABS(2-$HB29)*1000+50)),IF($HD29=0,999999,IF(2=$HE29,IF(29=$HL29,IF($JD29=2,30,0),IF(29=$HM29,IF($JD29=1,30,0),ABS(5-$HF29)*100)),100000+ABS(2-$HE29)*1000+50)),IF($HG29=0,999999,IF(2=$HH29,IF(29=$HN29,IF($JE29=2,30,0),IF(29=$HO29,IF($JE29=1,30,0),ABS(5-$HI29)*100)),100000+ABS(2-$HH29)*1000+50)))-IF((29=$HJ29)+(29=$HK29)+(29=$HL29)+(29=$HM29)+(29=$HN29)+(29=$HO29)&gt;=2,50,0))+AF$5*50)</f>
        <v/>
      </c>
      <c r="AG149">
        <f>IF(OR($JF29=0,calcA!$A$6=0),0,IF(OR(30=$HA29,30=$HD29,30=$HG29),200000,MIN(IF($HA29=0,999999,IF(2=$HB29,IF(30=$HJ29,IF($JC29=2,30,0),IF(30=$HK29,IF($JC29=1,30,0),ABS(6-$HC29)*100)),100000+ABS(2-$HB29)*1000+60)),IF($HD29=0,999999,IF(2=$HE29,IF(30=$HL29,IF($JD29=2,30,0),IF(30=$HM29,IF($JD29=1,30,0),ABS(6-$HF29)*100)),100000+ABS(2-$HE29)*1000+60)),IF($HG29=0,999999,IF(2=$HH29,IF(30=$HN29,IF($JE29=2,30,0),IF(30=$HO29,IF($JE29=1,30,0),ABS(6-$HI29)*100)),100000+ABS(2-$HH29)*1000+60)))-IF((30=$HJ29)+(30=$HK29)+(30=$HL29)+(30=$HM29)+(30=$HN29)+(30=$HO29)&gt;=2,50,0))+AG$5*50)</f>
        <v/>
      </c>
      <c r="AH149">
        <f>IF(OR($JF29=0,calcA!$A$6=0),0,IF(OR(31=$HA29,31=$HD29,31=$HG29),200000,MIN(IF($HA29=0,999999,IF(2=$HB29,IF(31=$HJ29,IF($JC29=2,30,0),IF(31=$HK29,IF($JC29=1,30,0),ABS(7-$HC29)*100)),100000+ABS(2-$HB29)*1000+70)),IF($HD29=0,999999,IF(2=$HE29,IF(31=$HL29,IF($JD29=2,30,0),IF(31=$HM29,IF($JD29=1,30,0),ABS(7-$HF29)*100)),100000+ABS(2-$HE29)*1000+70)),IF($HG29=0,999999,IF(2=$HH29,IF(31=$HN29,IF($JE29=2,30,0),IF(31=$HO29,IF($JE29=1,30,0),ABS(7-$HI29)*100)),100000+ABS(2-$HH29)*1000+70)))-IF((31=$HJ29)+(31=$HK29)+(31=$HL29)+(31=$HM29)+(31=$HN29)+(31=$HO29)&gt;=2,50,0))+AH$5*50)</f>
        <v/>
      </c>
      <c r="AI149">
        <f>IF(OR($JF29=0,calcA!$A$6=0),0,IF(OR(32=$HA29,32=$HD29,32=$HG29),200000,MIN(IF($HA29=0,999999,IF(2=$HB29,IF(32=$HJ29,IF($JC29=2,30,0),IF(32=$HK29,IF($JC29=1,30,0),ABS(8-$HC29)*100)),100000+ABS(2-$HB29)*1000+80)),IF($HD29=0,999999,IF(2=$HE29,IF(32=$HL29,IF($JD29=2,30,0),IF(32=$HM29,IF($JD29=1,30,0),ABS(8-$HF29)*100)),100000+ABS(2-$HE29)*1000+80)),IF($HG29=0,999999,IF(2=$HH29,IF(32=$HN29,IF($JE29=2,30,0),IF(32=$HO29,IF($JE29=1,30,0),ABS(8-$HI29)*100)),100000+ABS(2-$HH29)*1000+80)))-IF((32=$HJ29)+(32=$HK29)+(32=$HL29)+(32=$HM29)+(32=$HN29)+(32=$HO29)&gt;=2,50,0))+AI$5*50)</f>
        <v/>
      </c>
      <c r="AJ149">
        <f>IF(OR($JF29=0,calcA!$A$6=0),0,IF(OR(33=$HA29,33=$HD29,33=$HG29),200000,MIN(IF($HA29=0,999999,IF(2=$HB29,IF(33=$HJ29,IF($JC29=2,30,0),IF(33=$HK29,IF($JC29=1,30,0),ABS(9-$HC29)*100)),100000+ABS(2-$HB29)*1000+90)),IF($HD29=0,999999,IF(2=$HE29,IF(33=$HL29,IF($JD29=2,30,0),IF(33=$HM29,IF($JD29=1,30,0),ABS(9-$HF29)*100)),100000+ABS(2-$HE29)*1000+90)),IF($HG29=0,999999,IF(2=$HH29,IF(33=$HN29,IF($JE29=2,30,0),IF(33=$HO29,IF($JE29=1,30,0),ABS(9-$HI29)*100)),100000+ABS(2-$HH29)*1000+90)))-IF((33=$HJ29)+(33=$HK29)+(33=$HL29)+(33=$HM29)+(33=$HN29)+(33=$HO29)&gt;=2,50,0))+AJ$5*50)</f>
        <v/>
      </c>
      <c r="AK149">
        <f>IF(OR($JF29=0,calcA!$A$6=0),0,IF(OR(34=$HA29,34=$HD29,34=$HG29),200000,MIN(IF($HA29=0,999999,IF(2=$HB29,IF(34=$HJ29,IF($JC29=2,30,0),IF(34=$HK29,IF($JC29=1,30,0),ABS(10-$HC29)*100)),100000+ABS(2-$HB29)*1000+100)),IF($HD29=0,999999,IF(2=$HE29,IF(34=$HL29,IF($JD29=2,30,0),IF(34=$HM29,IF($JD29=1,30,0),ABS(10-$HF29)*100)),100000+ABS(2-$HE29)*1000+100)),IF($HG29=0,999999,IF(2=$HH29,IF(34=$HN29,IF($JE29=2,30,0),IF(34=$HO29,IF($JE29=1,30,0),ABS(10-$HI29)*100)),100000+ABS(2-$HH29)*1000+100)))-IF((34=$HJ29)+(34=$HK29)+(34=$HL29)+(34=$HM29)+(34=$HN29)+(34=$HO29)&gt;=2,50,0))+AK$5*50)</f>
        <v/>
      </c>
      <c r="AL149">
        <f>IF(OR($JF29=0,calcA!$A$6=0),0,IF(OR(35=$HA29,35=$HD29,35=$HG29),200000,MIN(IF($HA29=0,999999,IF(2=$HB29,IF(35=$HJ29,IF($JC29=2,30,0),IF(35=$HK29,IF($JC29=1,30,0),ABS(11-$HC29)*100)),100000+ABS(2-$HB29)*1000+110)),IF($HD29=0,999999,IF(2=$HE29,IF(35=$HL29,IF($JD29=2,30,0),IF(35=$HM29,IF($JD29=1,30,0),ABS(11-$HF29)*100)),100000+ABS(2-$HE29)*1000+110)),IF($HG29=0,999999,IF(2=$HH29,IF(35=$HN29,IF($JE29=2,30,0),IF(35=$HO29,IF($JE29=1,30,0),ABS(11-$HI29)*100)),100000+ABS(2-$HH29)*1000+110)))-IF((35=$HJ29)+(35=$HK29)+(35=$HL29)+(35=$HM29)+(35=$HN29)+(35=$HO29)&gt;=2,50,0))+AL$5*50)</f>
        <v/>
      </c>
      <c r="AM149">
        <f>IF(OR($JF29=0,calcA!$A$6=0),0,IF(OR(36=$HA29,36=$HD29,36=$HG29),200000,MIN(IF($HA29=0,999999,IF(2=$HB29,IF(36=$HJ29,IF($JC29=2,30,0),IF(36=$HK29,IF($JC29=1,30,0),ABS(12-$HC29)*100)),100000+ABS(2-$HB29)*1000+120)),IF($HD29=0,999999,IF(2=$HE29,IF(36=$HL29,IF($JD29=2,30,0),IF(36=$HM29,IF($JD29=1,30,0),ABS(12-$HF29)*100)),100000+ABS(2-$HE29)*1000+120)),IF($HG29=0,999999,IF(2=$HH29,IF(36=$HN29,IF($JE29=2,30,0),IF(36=$HO29,IF($JE29=1,30,0),ABS(12-$HI29)*100)),100000+ABS(2-$HH29)*1000+120)))-IF((36=$HJ29)+(36=$HK29)+(36=$HL29)+(36=$HM29)+(36=$HN29)+(36=$HO29)&gt;=2,50,0))+AM$5*50)</f>
        <v/>
      </c>
      <c r="AN149">
        <f>IF(OR($JF29=0,calcA!$A$6=0),0,IF(OR(37=$HA29,37=$HD29,37=$HG29),200000,MIN(IF($HA29=0,999999,IF(2=$HB29,IF(37=$HJ29,IF($JC29=2,30,0),IF(37=$HK29,IF($JC29=1,30,0),ABS(13-$HC29)*100)),100000+ABS(2-$HB29)*1000+130)),IF($HD29=0,999999,IF(2=$HE29,IF(37=$HL29,IF($JD29=2,30,0),IF(37=$HM29,IF($JD29=1,30,0),ABS(13-$HF29)*100)),100000+ABS(2-$HE29)*1000+130)),IF($HG29=0,999999,IF(2=$HH29,IF(37=$HN29,IF($JE29=2,30,0),IF(37=$HO29,IF($JE29=1,30,0),ABS(13-$HI29)*100)),100000+ABS(2-$HH29)*1000+130)))-IF((37=$HJ29)+(37=$HK29)+(37=$HL29)+(37=$HM29)+(37=$HN29)+(37=$HO29)&gt;=2,50,0))+AN$5*50)</f>
        <v/>
      </c>
      <c r="AO149">
        <f>IF(OR($JF29=0,calcA!$A$6=0),0,IF(OR(38=$HA29,38=$HD29,38=$HG29),200000,MIN(IF($HA29=0,999999,IF(2=$HB29,IF(38=$HJ29,IF($JC29=2,30,0),IF(38=$HK29,IF($JC29=1,30,0),ABS(14-$HC29)*100)),100000+ABS(2-$HB29)*1000+140)),IF($HD29=0,999999,IF(2=$HE29,IF(38=$HL29,IF($JD29=2,30,0),IF(38=$HM29,IF($JD29=1,30,0),ABS(14-$HF29)*100)),100000+ABS(2-$HE29)*1000+140)),IF($HG29=0,999999,IF(2=$HH29,IF(38=$HN29,IF($JE29=2,30,0),IF(38=$HO29,IF($JE29=1,30,0),ABS(14-$HI29)*100)),100000+ABS(2-$HH29)*1000+140)))-IF((38=$HJ29)+(38=$HK29)+(38=$HL29)+(38=$HM29)+(38=$HN29)+(38=$HO29)&gt;=2,50,0))+AO$5*50)</f>
        <v/>
      </c>
      <c r="AP149">
        <f>IF(OR($JF29=0,calcA!$A$6=0),0,IF(OR(39=$HA29,39=$HD29,39=$HG29),200000,MIN(IF($HA29=0,999999,IF(2=$HB29,IF(39=$HJ29,IF($JC29=2,30,0),IF(39=$HK29,IF($JC29=1,30,0),ABS(15-$HC29)*100)),100000+ABS(2-$HB29)*1000+150)),IF($HD29=0,999999,IF(2=$HE29,IF(39=$HL29,IF($JD29=2,30,0),IF(39=$HM29,IF($JD29=1,30,0),ABS(15-$HF29)*100)),100000+ABS(2-$HE29)*1000+150)),IF($HG29=0,999999,IF(2=$HH29,IF(39=$HN29,IF($JE29=2,30,0),IF(39=$HO29,IF($JE29=1,30,0),ABS(15-$HI29)*100)),100000+ABS(2-$HH29)*1000+150)))-IF((39=$HJ29)+(39=$HK29)+(39=$HL29)+(39=$HM29)+(39=$HN29)+(39=$HO29)&gt;=2,50,0))+AP$5*50)</f>
        <v/>
      </c>
      <c r="AQ149">
        <f>IF(OR($JF29=0,calcA!$A$6=0),0,IF(OR(40=$HA29,40=$HD29,40=$HG29),200000,MIN(IF($HA29=0,999999,IF(2=$HB29,IF(40=$HJ29,IF($JC29=2,30,0),IF(40=$HK29,IF($JC29=1,30,0),ABS(16-$HC29)*100)),100000+ABS(2-$HB29)*1000+160)),IF($HD29=0,999999,IF(2=$HE29,IF(40=$HL29,IF($JD29=2,30,0),IF(40=$HM29,IF($JD29=1,30,0),ABS(16-$HF29)*100)),100000+ABS(2-$HE29)*1000+160)),IF($HG29=0,999999,IF(2=$HH29,IF(40=$HN29,IF($JE29=2,30,0),IF(40=$HO29,IF($JE29=1,30,0),ABS(16-$HI29)*100)),100000+ABS(2-$HH29)*1000+160)))-IF((40=$HJ29)+(40=$HK29)+(40=$HL29)+(40=$HM29)+(40=$HN29)+(40=$HO29)&gt;=2,50,0))+AQ$5*50)</f>
        <v/>
      </c>
      <c r="AR149">
        <f>IF(OR($JF29=0,calcA!$A$6=0),0,IF(OR(41=$HA29,41=$HD29,41=$HG29),200000,MIN(IF($HA29=0,999999,IF(2=$HB29,IF(41=$HJ29,IF($JC29=2,30,0),IF(41=$HK29,IF($JC29=1,30,0),ABS(17-$HC29)*100)),100000+ABS(2-$HB29)*1000+170)),IF($HD29=0,999999,IF(2=$HE29,IF(41=$HL29,IF($JD29=2,30,0),IF(41=$HM29,IF($JD29=1,30,0),ABS(17-$HF29)*100)),100000+ABS(2-$HE29)*1000+170)),IF($HG29=0,999999,IF(2=$HH29,IF(41=$HN29,IF($JE29=2,30,0),IF(41=$HO29,IF($JE29=1,30,0),ABS(17-$HI29)*100)),100000+ABS(2-$HH29)*1000+170)))-IF((41=$HJ29)+(41=$HK29)+(41=$HL29)+(41=$HM29)+(41=$HN29)+(41=$HO29)&gt;=2,50,0))+AR$5*50)</f>
        <v/>
      </c>
      <c r="AS149">
        <f>IF(OR($JF29=0,calcA!$A$6=0),0,IF(OR(42=$HA29,42=$HD29,42=$HG29),200000,MIN(IF($HA29=0,999999,IF(2=$HB29,IF(42=$HJ29,IF($JC29=2,30,0),IF(42=$HK29,IF($JC29=1,30,0),ABS(18-$HC29)*100)),100000+ABS(2-$HB29)*1000+180)),IF($HD29=0,999999,IF(2=$HE29,IF(42=$HL29,IF($JD29=2,30,0),IF(42=$HM29,IF($JD29=1,30,0),ABS(18-$HF29)*100)),100000+ABS(2-$HE29)*1000+180)),IF($HG29=0,999999,IF(2=$HH29,IF(42=$HN29,IF($JE29=2,30,0),IF(42=$HO29,IF($JE29=1,30,0),ABS(18-$HI29)*100)),100000+ABS(2-$HH29)*1000+180)))-IF((42=$HJ29)+(42=$HK29)+(42=$HL29)+(42=$HM29)+(42=$HN29)+(42=$HO29)&gt;=2,50,0))+AS$5*50)</f>
        <v/>
      </c>
      <c r="AT149">
        <f>IF(OR($JF29=0,calcA!$A$6=0),0,IF(OR(43=$HA29,43=$HD29,43=$HG29),200000,MIN(IF($HA29=0,999999,IF(2=$HB29,IF(43=$HJ29,IF($JC29=2,30,0),IF(43=$HK29,IF($JC29=1,30,0),ABS(19-$HC29)*100)),100000+ABS(2-$HB29)*1000+190)),IF($HD29=0,999999,IF(2=$HE29,IF(43=$HL29,IF($JD29=2,30,0),IF(43=$HM29,IF($JD29=1,30,0),ABS(19-$HF29)*100)),100000+ABS(2-$HE29)*1000+190)),IF($HG29=0,999999,IF(2=$HH29,IF(43=$HN29,IF($JE29=2,30,0),IF(43=$HO29,IF($JE29=1,30,0),ABS(19-$HI29)*100)),100000+ABS(2-$HH29)*1000+190)))-IF((43=$HJ29)+(43=$HK29)+(43=$HL29)+(43=$HM29)+(43=$HN29)+(43=$HO29)&gt;=2,50,0))+AT$5*50)</f>
        <v/>
      </c>
      <c r="AU149">
        <f>IF(OR($JF29=0,calcA!$A$6=0),0,IF(OR(44=$HA29,44=$HD29,44=$HG29),200000,MIN(IF($HA29=0,999999,IF(2=$HB29,IF(44=$HJ29,IF($JC29=2,30,0),IF(44=$HK29,IF($JC29=1,30,0),ABS(20-$HC29)*100)),100000+ABS(2-$HB29)*1000+200)),IF($HD29=0,999999,IF(2=$HE29,IF(44=$HL29,IF($JD29=2,30,0),IF(44=$HM29,IF($JD29=1,30,0),ABS(20-$HF29)*100)),100000+ABS(2-$HE29)*1000+200)),IF($HG29=0,999999,IF(2=$HH29,IF(44=$HN29,IF($JE29=2,30,0),IF(44=$HO29,IF($JE29=1,30,0),ABS(20-$HI29)*100)),100000+ABS(2-$HH29)*1000+200)))-IF((44=$HJ29)+(44=$HK29)+(44=$HL29)+(44=$HM29)+(44=$HN29)+(44=$HO29)&gt;=2,50,0))+AU$5*50)</f>
        <v/>
      </c>
      <c r="AV149">
        <f>IF(OR($JF29=0,calcA!$A$6=0),0,IF(OR(45=$HA29,45=$HD29,45=$HG29),200000,MIN(IF($HA29=0,999999,IF(2=$HB29,IF(45=$HJ29,IF($JC29=2,30,0),IF(45=$HK29,IF($JC29=1,30,0),ABS(21-$HC29)*100)),100000+ABS(2-$HB29)*1000+210)),IF($HD29=0,999999,IF(2=$HE29,IF(45=$HL29,IF($JD29=2,30,0),IF(45=$HM29,IF($JD29=1,30,0),ABS(21-$HF29)*100)),100000+ABS(2-$HE29)*1000+210)),IF($HG29=0,999999,IF(2=$HH29,IF(45=$HN29,IF($JE29=2,30,0),IF(45=$HO29,IF($JE29=1,30,0),ABS(21-$HI29)*100)),100000+ABS(2-$HH29)*1000+210)))-IF((45=$HJ29)+(45=$HK29)+(45=$HL29)+(45=$HM29)+(45=$HN29)+(45=$HO29)&gt;=2,50,0))+AV$5*50)</f>
        <v/>
      </c>
      <c r="AW149">
        <f>IF(OR($JF29=0,calcA!$A$6=0),0,IF(OR(46=$HA29,46=$HD29,46=$HG29),200000,MIN(IF($HA29=0,999999,IF(2=$HB29,IF(46=$HJ29,IF($JC29=2,30,0),IF(46=$HK29,IF($JC29=1,30,0),ABS(22-$HC29)*100)),100000+ABS(2-$HB29)*1000+220)),IF($HD29=0,999999,IF(2=$HE29,IF(46=$HL29,IF($JD29=2,30,0),IF(46=$HM29,IF($JD29=1,30,0),ABS(22-$HF29)*100)),100000+ABS(2-$HE29)*1000+220)),IF($HG29=0,999999,IF(2=$HH29,IF(46=$HN29,IF($JE29=2,30,0),IF(46=$HO29,IF($JE29=1,30,0),ABS(22-$HI29)*100)),100000+ABS(2-$HH29)*1000+220)))-IF((46=$HJ29)+(46=$HK29)+(46=$HL29)+(46=$HM29)+(46=$HN29)+(46=$HO29)&gt;=2,50,0))+AW$5*50)</f>
        <v/>
      </c>
      <c r="AX149">
        <f>IF(OR($JF29=0,calcA!$A$6=0),0,IF(OR(47=$HA29,47=$HD29,47=$HG29),200000,MIN(IF($HA29=0,999999,IF(2=$HB29,IF(47=$HJ29,IF($JC29=2,30,0),IF(47=$HK29,IF($JC29=1,30,0),ABS(23-$HC29)*100)),100000+ABS(2-$HB29)*1000+230)),IF($HD29=0,999999,IF(2=$HE29,IF(47=$HL29,IF($JD29=2,30,0),IF(47=$HM29,IF($JD29=1,30,0),ABS(23-$HF29)*100)),100000+ABS(2-$HE29)*1000+230)),IF($HG29=0,999999,IF(2=$HH29,IF(47=$HN29,IF($JE29=2,30,0),IF(47=$HO29,IF($JE29=1,30,0),ABS(23-$HI29)*100)),100000+ABS(2-$HH29)*1000+230)))-IF((47=$HJ29)+(47=$HK29)+(47=$HL29)+(47=$HM29)+(47=$HN29)+(47=$HO29)&gt;=2,50,0))+AX$5*50)</f>
        <v/>
      </c>
      <c r="AY149">
        <f>IF(OR($JF29=0,calcA!$A$6=0),0,IF(OR(48=$HA29,48=$HD29,48=$HG29),200000,MIN(IF($HA29=0,999999,IF(2=$HB29,IF(48=$HJ29,IF($JC29=2,30,0),IF(48=$HK29,IF($JC29=1,30,0),ABS(24-$HC29)*100)),100000+ABS(2-$HB29)*1000+240)),IF($HD29=0,999999,IF(2=$HE29,IF(48=$HL29,IF($JD29=2,30,0),IF(48=$HM29,IF($JD29=1,30,0),ABS(24-$HF29)*100)),100000+ABS(2-$HE29)*1000+240)),IF($HG29=0,999999,IF(2=$HH29,IF(48=$HN29,IF($JE29=2,30,0),IF(48=$HO29,IF($JE29=1,30,0),ABS(24-$HI29)*100)),100000+ABS(2-$HH29)*1000+240)))-IF((48=$HJ29)+(48=$HK29)+(48=$HL29)+(48=$HM29)+(48=$HN29)+(48=$HO29)&gt;=2,50,0))+AY$5*50)</f>
        <v/>
      </c>
      <c r="AZ149">
        <f>IF(OR($JF29=0,calcA!$A$6=0),0,IF(OR(49=$HA29,49=$HD29,49=$HG29),200000,MIN(IF($HA29=0,999999,IF(3=$HB29,IF(49=$HJ29,IF($JC29=2,30,0),IF(49=$HK29,IF($JC29=1,30,0),ABS(1-$HC29)*100)),100000+ABS(3-$HB29)*1000+10)),IF($HD29=0,999999,IF(3=$HE29,IF(49=$HL29,IF($JD29=2,30,0),IF(49=$HM29,IF($JD29=1,30,0),ABS(1-$HF29)*100)),100000+ABS(3-$HE29)*1000+10)),IF($HG29=0,999999,IF(3=$HH29,IF(49=$HN29,IF($JE29=2,30,0),IF(49=$HO29,IF($JE29=1,30,0),ABS(1-$HI29)*100)),100000+ABS(3-$HH29)*1000+10)))-IF((49=$HJ29)+(49=$HK29)+(49=$HL29)+(49=$HM29)+(49=$HN29)+(49=$HO29)&gt;=2,50,0))+AZ$5*50)</f>
        <v/>
      </c>
      <c r="BA149">
        <f>IF(OR($JF29=0,calcA!$A$6=0),0,IF(OR(50=$HA29,50=$HD29,50=$HG29),200000,MIN(IF($HA29=0,999999,IF(3=$HB29,IF(50=$HJ29,IF($JC29=2,30,0),IF(50=$HK29,IF($JC29=1,30,0),ABS(2-$HC29)*100)),100000+ABS(3-$HB29)*1000+20)),IF($HD29=0,999999,IF(3=$HE29,IF(50=$HL29,IF($JD29=2,30,0),IF(50=$HM29,IF($JD29=1,30,0),ABS(2-$HF29)*100)),100000+ABS(3-$HE29)*1000+20)),IF($HG29=0,999999,IF(3=$HH29,IF(50=$HN29,IF($JE29=2,30,0),IF(50=$HO29,IF($JE29=1,30,0),ABS(2-$HI29)*100)),100000+ABS(3-$HH29)*1000+20)))-IF((50=$HJ29)+(50=$HK29)+(50=$HL29)+(50=$HM29)+(50=$HN29)+(50=$HO29)&gt;=2,50,0))+BA$5*50)</f>
        <v/>
      </c>
      <c r="BB149">
        <f>IF(OR($JF29=0,calcA!$A$6=0),0,IF(OR(51=$HA29,51=$HD29,51=$HG29),200000,MIN(IF($HA29=0,999999,IF(3=$HB29,IF(51=$HJ29,IF($JC29=2,30,0),IF(51=$HK29,IF($JC29=1,30,0),ABS(3-$HC29)*100)),100000+ABS(3-$HB29)*1000+30)),IF($HD29=0,999999,IF(3=$HE29,IF(51=$HL29,IF($JD29=2,30,0),IF(51=$HM29,IF($JD29=1,30,0),ABS(3-$HF29)*100)),100000+ABS(3-$HE29)*1000+30)),IF($HG29=0,999999,IF(3=$HH29,IF(51=$HN29,IF($JE29=2,30,0),IF(51=$HO29,IF($JE29=1,30,0),ABS(3-$HI29)*100)),100000+ABS(3-$HH29)*1000+30)))-IF((51=$HJ29)+(51=$HK29)+(51=$HL29)+(51=$HM29)+(51=$HN29)+(51=$HO29)&gt;=2,50,0))+BB$5*50)</f>
        <v/>
      </c>
      <c r="BC149">
        <f>IF(OR($JF29=0,calcA!$A$6=0),0,IF(OR(52=$HA29,52=$HD29,52=$HG29),200000,MIN(IF($HA29=0,999999,IF(3=$HB29,IF(52=$HJ29,IF($JC29=2,30,0),IF(52=$HK29,IF($JC29=1,30,0),ABS(4-$HC29)*100)),100000+ABS(3-$HB29)*1000+40)),IF($HD29=0,999999,IF(3=$HE29,IF(52=$HL29,IF($JD29=2,30,0),IF(52=$HM29,IF($JD29=1,30,0),ABS(4-$HF29)*100)),100000+ABS(3-$HE29)*1000+40)),IF($HG29=0,999999,IF(3=$HH29,IF(52=$HN29,IF($JE29=2,30,0),IF(52=$HO29,IF($JE29=1,30,0),ABS(4-$HI29)*100)),100000+ABS(3-$HH29)*1000+40)))-IF((52=$HJ29)+(52=$HK29)+(52=$HL29)+(52=$HM29)+(52=$HN29)+(52=$HO29)&gt;=2,50,0))+BC$5*50)</f>
        <v/>
      </c>
      <c r="BD149">
        <f>IF(OR($JF29=0,calcA!$A$6=0),0,IF(OR(53=$HA29,53=$HD29,53=$HG29),200000,MIN(IF($HA29=0,999999,IF(3=$HB29,IF(53=$HJ29,IF($JC29=2,30,0),IF(53=$HK29,IF($JC29=1,30,0),ABS(5-$HC29)*100)),100000+ABS(3-$HB29)*1000+50)),IF($HD29=0,999999,IF(3=$HE29,IF(53=$HL29,IF($JD29=2,30,0),IF(53=$HM29,IF($JD29=1,30,0),ABS(5-$HF29)*100)),100000+ABS(3-$HE29)*1000+50)),IF($HG29=0,999999,IF(3=$HH29,IF(53=$HN29,IF($JE29=2,30,0),IF(53=$HO29,IF($JE29=1,30,0),ABS(5-$HI29)*100)),100000+ABS(3-$HH29)*1000+50)))-IF((53=$HJ29)+(53=$HK29)+(53=$HL29)+(53=$HM29)+(53=$HN29)+(53=$HO29)&gt;=2,50,0))+BD$5*50)</f>
        <v/>
      </c>
      <c r="BE149">
        <f>IF(OR($JF29=0,calcA!$A$6=0),0,IF(OR(54=$HA29,54=$HD29,54=$HG29),200000,MIN(IF($HA29=0,999999,IF(3=$HB29,IF(54=$HJ29,IF($JC29=2,30,0),IF(54=$HK29,IF($JC29=1,30,0),ABS(6-$HC29)*100)),100000+ABS(3-$HB29)*1000+60)),IF($HD29=0,999999,IF(3=$HE29,IF(54=$HL29,IF($JD29=2,30,0),IF(54=$HM29,IF($JD29=1,30,0),ABS(6-$HF29)*100)),100000+ABS(3-$HE29)*1000+60)),IF($HG29=0,999999,IF(3=$HH29,IF(54=$HN29,IF($JE29=2,30,0),IF(54=$HO29,IF($JE29=1,30,0),ABS(6-$HI29)*100)),100000+ABS(3-$HH29)*1000+60)))-IF((54=$HJ29)+(54=$HK29)+(54=$HL29)+(54=$HM29)+(54=$HN29)+(54=$HO29)&gt;=2,50,0))+BE$5*50)</f>
        <v/>
      </c>
      <c r="BF149">
        <f>IF(OR($JF29=0,calcA!$A$6=0),0,IF(OR(55=$HA29,55=$HD29,55=$HG29),200000,MIN(IF($HA29=0,999999,IF(3=$HB29,IF(55=$HJ29,IF($JC29=2,30,0),IF(55=$HK29,IF($JC29=1,30,0),ABS(7-$HC29)*100)),100000+ABS(3-$HB29)*1000+70)),IF($HD29=0,999999,IF(3=$HE29,IF(55=$HL29,IF($JD29=2,30,0),IF(55=$HM29,IF($JD29=1,30,0),ABS(7-$HF29)*100)),100000+ABS(3-$HE29)*1000+70)),IF($HG29=0,999999,IF(3=$HH29,IF(55=$HN29,IF($JE29=2,30,0),IF(55=$HO29,IF($JE29=1,30,0),ABS(7-$HI29)*100)),100000+ABS(3-$HH29)*1000+70)))-IF((55=$HJ29)+(55=$HK29)+(55=$HL29)+(55=$HM29)+(55=$HN29)+(55=$HO29)&gt;=2,50,0))+BF$5*50)</f>
        <v/>
      </c>
      <c r="BG149">
        <f>IF(OR($JF29=0,calcA!$A$6=0),0,IF(OR(56=$HA29,56=$HD29,56=$HG29),200000,MIN(IF($HA29=0,999999,IF(3=$HB29,IF(56=$HJ29,IF($JC29=2,30,0),IF(56=$HK29,IF($JC29=1,30,0),ABS(8-$HC29)*100)),100000+ABS(3-$HB29)*1000+80)),IF($HD29=0,999999,IF(3=$HE29,IF(56=$HL29,IF($JD29=2,30,0),IF(56=$HM29,IF($JD29=1,30,0),ABS(8-$HF29)*100)),100000+ABS(3-$HE29)*1000+80)),IF($HG29=0,999999,IF(3=$HH29,IF(56=$HN29,IF($JE29=2,30,0),IF(56=$HO29,IF($JE29=1,30,0),ABS(8-$HI29)*100)),100000+ABS(3-$HH29)*1000+80)))-IF((56=$HJ29)+(56=$HK29)+(56=$HL29)+(56=$HM29)+(56=$HN29)+(56=$HO29)&gt;=2,50,0))+BG$5*50)</f>
        <v/>
      </c>
      <c r="BH149">
        <f>IF(OR($JF29=0,calcA!$A$6=0),0,IF(OR(57=$HA29,57=$HD29,57=$HG29),200000,MIN(IF($HA29=0,999999,IF(3=$HB29,IF(57=$HJ29,IF($JC29=2,30,0),IF(57=$HK29,IF($JC29=1,30,0),ABS(9-$HC29)*100)),100000+ABS(3-$HB29)*1000+90)),IF($HD29=0,999999,IF(3=$HE29,IF(57=$HL29,IF($JD29=2,30,0),IF(57=$HM29,IF($JD29=1,30,0),ABS(9-$HF29)*100)),100000+ABS(3-$HE29)*1000+90)),IF($HG29=0,999999,IF(3=$HH29,IF(57=$HN29,IF($JE29=2,30,0),IF(57=$HO29,IF($JE29=1,30,0),ABS(9-$HI29)*100)),100000+ABS(3-$HH29)*1000+90)))-IF((57=$HJ29)+(57=$HK29)+(57=$HL29)+(57=$HM29)+(57=$HN29)+(57=$HO29)&gt;=2,50,0))+BH$5*50)</f>
        <v/>
      </c>
      <c r="BI149">
        <f>IF(OR($JF29=0,calcA!$A$6=0),0,IF(OR(58=$HA29,58=$HD29,58=$HG29),200000,MIN(IF($HA29=0,999999,IF(3=$HB29,IF(58=$HJ29,IF($JC29=2,30,0),IF(58=$HK29,IF($JC29=1,30,0),ABS(10-$HC29)*100)),100000+ABS(3-$HB29)*1000+100)),IF($HD29=0,999999,IF(3=$HE29,IF(58=$HL29,IF($JD29=2,30,0),IF(58=$HM29,IF($JD29=1,30,0),ABS(10-$HF29)*100)),100000+ABS(3-$HE29)*1000+100)),IF($HG29=0,999999,IF(3=$HH29,IF(58=$HN29,IF($JE29=2,30,0),IF(58=$HO29,IF($JE29=1,30,0),ABS(10-$HI29)*100)),100000+ABS(3-$HH29)*1000+100)))-IF((58=$HJ29)+(58=$HK29)+(58=$HL29)+(58=$HM29)+(58=$HN29)+(58=$HO29)&gt;=2,50,0))+BI$5*50)</f>
        <v/>
      </c>
      <c r="BJ149">
        <f>IF(OR($JF29=0,calcA!$A$6=0),0,IF(OR(59=$HA29,59=$HD29,59=$HG29),200000,MIN(IF($HA29=0,999999,IF(3=$HB29,IF(59=$HJ29,IF($JC29=2,30,0),IF(59=$HK29,IF($JC29=1,30,0),ABS(11-$HC29)*100)),100000+ABS(3-$HB29)*1000+110)),IF($HD29=0,999999,IF(3=$HE29,IF(59=$HL29,IF($JD29=2,30,0),IF(59=$HM29,IF($JD29=1,30,0),ABS(11-$HF29)*100)),100000+ABS(3-$HE29)*1000+110)),IF($HG29=0,999999,IF(3=$HH29,IF(59=$HN29,IF($JE29=2,30,0),IF(59=$HO29,IF($JE29=1,30,0),ABS(11-$HI29)*100)),100000+ABS(3-$HH29)*1000+110)))-IF((59=$HJ29)+(59=$HK29)+(59=$HL29)+(59=$HM29)+(59=$HN29)+(59=$HO29)&gt;=2,50,0))+BJ$5*50)</f>
        <v/>
      </c>
      <c r="BK149">
        <f>IF(OR($JF29=0,calcA!$A$6=0),0,IF(OR(60=$HA29,60=$HD29,60=$HG29),200000,MIN(IF($HA29=0,999999,IF(3=$HB29,IF(60=$HJ29,IF($JC29=2,30,0),IF(60=$HK29,IF($JC29=1,30,0),ABS(12-$HC29)*100)),100000+ABS(3-$HB29)*1000+120)),IF($HD29=0,999999,IF(3=$HE29,IF(60=$HL29,IF($JD29=2,30,0),IF(60=$HM29,IF($JD29=1,30,0),ABS(12-$HF29)*100)),100000+ABS(3-$HE29)*1000+120)),IF($HG29=0,999999,IF(3=$HH29,IF(60=$HN29,IF($JE29=2,30,0),IF(60=$HO29,IF($JE29=1,30,0),ABS(12-$HI29)*100)),100000+ABS(3-$HH29)*1000+120)))-IF((60=$HJ29)+(60=$HK29)+(60=$HL29)+(60=$HM29)+(60=$HN29)+(60=$HO29)&gt;=2,50,0))+BK$5*50)</f>
        <v/>
      </c>
      <c r="BL149">
        <f>IF(OR($JF29=0,calcA!$A$6=0),0,IF(OR(61=$HA29,61=$HD29,61=$HG29),200000,MIN(IF($HA29=0,999999,IF(3=$HB29,IF(61=$HJ29,IF($JC29=2,30,0),IF(61=$HK29,IF($JC29=1,30,0),ABS(13-$HC29)*100)),100000+ABS(3-$HB29)*1000+130)),IF($HD29=0,999999,IF(3=$HE29,IF(61=$HL29,IF($JD29=2,30,0),IF(61=$HM29,IF($JD29=1,30,0),ABS(13-$HF29)*100)),100000+ABS(3-$HE29)*1000+130)),IF($HG29=0,999999,IF(3=$HH29,IF(61=$HN29,IF($JE29=2,30,0),IF(61=$HO29,IF($JE29=1,30,0),ABS(13-$HI29)*100)),100000+ABS(3-$HH29)*1000+130)))-IF((61=$HJ29)+(61=$HK29)+(61=$HL29)+(61=$HM29)+(61=$HN29)+(61=$HO29)&gt;=2,50,0))+BL$5*50)</f>
        <v/>
      </c>
      <c r="BM149">
        <f>IF(OR($JF29=0,calcA!$A$6=0),0,IF(OR(62=$HA29,62=$HD29,62=$HG29),200000,MIN(IF($HA29=0,999999,IF(3=$HB29,IF(62=$HJ29,IF($JC29=2,30,0),IF(62=$HK29,IF($JC29=1,30,0),ABS(14-$HC29)*100)),100000+ABS(3-$HB29)*1000+140)),IF($HD29=0,999999,IF(3=$HE29,IF(62=$HL29,IF($JD29=2,30,0),IF(62=$HM29,IF($JD29=1,30,0),ABS(14-$HF29)*100)),100000+ABS(3-$HE29)*1000+140)),IF($HG29=0,999999,IF(3=$HH29,IF(62=$HN29,IF($JE29=2,30,0),IF(62=$HO29,IF($JE29=1,30,0),ABS(14-$HI29)*100)),100000+ABS(3-$HH29)*1000+140)))-IF((62=$HJ29)+(62=$HK29)+(62=$HL29)+(62=$HM29)+(62=$HN29)+(62=$HO29)&gt;=2,50,0))+BM$5*50)</f>
        <v/>
      </c>
      <c r="BN149">
        <f>IF(OR($JF29=0,calcA!$A$6=0),0,IF(OR(63=$HA29,63=$HD29,63=$HG29),200000,MIN(IF($HA29=0,999999,IF(3=$HB29,IF(63=$HJ29,IF($JC29=2,30,0),IF(63=$HK29,IF($JC29=1,30,0),ABS(15-$HC29)*100)),100000+ABS(3-$HB29)*1000+150)),IF($HD29=0,999999,IF(3=$HE29,IF(63=$HL29,IF($JD29=2,30,0),IF(63=$HM29,IF($JD29=1,30,0),ABS(15-$HF29)*100)),100000+ABS(3-$HE29)*1000+150)),IF($HG29=0,999999,IF(3=$HH29,IF(63=$HN29,IF($JE29=2,30,0),IF(63=$HO29,IF($JE29=1,30,0),ABS(15-$HI29)*100)),100000+ABS(3-$HH29)*1000+150)))-IF((63=$HJ29)+(63=$HK29)+(63=$HL29)+(63=$HM29)+(63=$HN29)+(63=$HO29)&gt;=2,50,0))+BN$5*50)</f>
        <v/>
      </c>
      <c r="BO149">
        <f>IF(OR($JF29=0,calcA!$A$6=0),0,IF(OR(64=$HA29,64=$HD29,64=$HG29),200000,MIN(IF($HA29=0,999999,IF(3=$HB29,IF(64=$HJ29,IF($JC29=2,30,0),IF(64=$HK29,IF($JC29=1,30,0),ABS(16-$HC29)*100)),100000+ABS(3-$HB29)*1000+160)),IF($HD29=0,999999,IF(3=$HE29,IF(64=$HL29,IF($JD29=2,30,0),IF(64=$HM29,IF($JD29=1,30,0),ABS(16-$HF29)*100)),100000+ABS(3-$HE29)*1000+160)),IF($HG29=0,999999,IF(3=$HH29,IF(64=$HN29,IF($JE29=2,30,0),IF(64=$HO29,IF($JE29=1,30,0),ABS(16-$HI29)*100)),100000+ABS(3-$HH29)*1000+160)))-IF((64=$HJ29)+(64=$HK29)+(64=$HL29)+(64=$HM29)+(64=$HN29)+(64=$HO29)&gt;=2,50,0))+BO$5*50)</f>
        <v/>
      </c>
      <c r="BP149">
        <f>IF(OR($JF29=0,calcA!$A$6=0),0,IF(OR(65=$HA29,65=$HD29,65=$HG29),200000,MIN(IF($HA29=0,999999,IF(3=$HB29,IF(65=$HJ29,IF($JC29=2,30,0),IF(65=$HK29,IF($JC29=1,30,0),ABS(17-$HC29)*100)),100000+ABS(3-$HB29)*1000+170)),IF($HD29=0,999999,IF(3=$HE29,IF(65=$HL29,IF($JD29=2,30,0),IF(65=$HM29,IF($JD29=1,30,0),ABS(17-$HF29)*100)),100000+ABS(3-$HE29)*1000+170)),IF($HG29=0,999999,IF(3=$HH29,IF(65=$HN29,IF($JE29=2,30,0),IF(65=$HO29,IF($JE29=1,30,0),ABS(17-$HI29)*100)),100000+ABS(3-$HH29)*1000+170)))-IF((65=$HJ29)+(65=$HK29)+(65=$HL29)+(65=$HM29)+(65=$HN29)+(65=$HO29)&gt;=2,50,0))+BP$5*50)</f>
        <v/>
      </c>
      <c r="BQ149">
        <f>IF(OR($JF29=0,calcA!$A$6=0),0,IF(OR(66=$HA29,66=$HD29,66=$HG29),200000,MIN(IF($HA29=0,999999,IF(3=$HB29,IF(66=$HJ29,IF($JC29=2,30,0),IF(66=$HK29,IF($JC29=1,30,0),ABS(18-$HC29)*100)),100000+ABS(3-$HB29)*1000+180)),IF($HD29=0,999999,IF(3=$HE29,IF(66=$HL29,IF($JD29=2,30,0),IF(66=$HM29,IF($JD29=1,30,0),ABS(18-$HF29)*100)),100000+ABS(3-$HE29)*1000+180)),IF($HG29=0,999999,IF(3=$HH29,IF(66=$HN29,IF($JE29=2,30,0),IF(66=$HO29,IF($JE29=1,30,0),ABS(18-$HI29)*100)),100000+ABS(3-$HH29)*1000+180)))-IF((66=$HJ29)+(66=$HK29)+(66=$HL29)+(66=$HM29)+(66=$HN29)+(66=$HO29)&gt;=2,50,0))+BQ$5*50)</f>
        <v/>
      </c>
      <c r="BR149">
        <f>IF(OR($JF29=0,calcA!$A$6=0),0,IF(OR(67=$HA29,67=$HD29,67=$HG29),200000,MIN(IF($HA29=0,999999,IF(3=$HB29,IF(67=$HJ29,IF($JC29=2,30,0),IF(67=$HK29,IF($JC29=1,30,0),ABS(19-$HC29)*100)),100000+ABS(3-$HB29)*1000+190)),IF($HD29=0,999999,IF(3=$HE29,IF(67=$HL29,IF($JD29=2,30,0),IF(67=$HM29,IF($JD29=1,30,0),ABS(19-$HF29)*100)),100000+ABS(3-$HE29)*1000+190)),IF($HG29=0,999999,IF(3=$HH29,IF(67=$HN29,IF($JE29=2,30,0),IF(67=$HO29,IF($JE29=1,30,0),ABS(19-$HI29)*100)),100000+ABS(3-$HH29)*1000+190)))-IF((67=$HJ29)+(67=$HK29)+(67=$HL29)+(67=$HM29)+(67=$HN29)+(67=$HO29)&gt;=2,50,0))+BR$5*50)</f>
        <v/>
      </c>
      <c r="BS149">
        <f>IF(OR($JF29=0,calcA!$A$6=0),0,IF(OR(68=$HA29,68=$HD29,68=$HG29),200000,MIN(IF($HA29=0,999999,IF(3=$HB29,IF(68=$HJ29,IF($JC29=2,30,0),IF(68=$HK29,IF($JC29=1,30,0),ABS(20-$HC29)*100)),100000+ABS(3-$HB29)*1000+200)),IF($HD29=0,999999,IF(3=$HE29,IF(68=$HL29,IF($JD29=2,30,0),IF(68=$HM29,IF($JD29=1,30,0),ABS(20-$HF29)*100)),100000+ABS(3-$HE29)*1000+200)),IF($HG29=0,999999,IF(3=$HH29,IF(68=$HN29,IF($JE29=2,30,0),IF(68=$HO29,IF($JE29=1,30,0),ABS(20-$HI29)*100)),100000+ABS(3-$HH29)*1000+200)))-IF((68=$HJ29)+(68=$HK29)+(68=$HL29)+(68=$HM29)+(68=$HN29)+(68=$HO29)&gt;=2,50,0))+BS$5*50)</f>
        <v/>
      </c>
      <c r="BT149">
        <f>IF(OR($JF29=0,calcA!$A$6=0),0,IF(OR(69=$HA29,69=$HD29,69=$HG29),200000,MIN(IF($HA29=0,999999,IF(3=$HB29,IF(69=$HJ29,IF($JC29=2,30,0),IF(69=$HK29,IF($JC29=1,30,0),ABS(21-$HC29)*100)),100000+ABS(3-$HB29)*1000+210)),IF($HD29=0,999999,IF(3=$HE29,IF(69=$HL29,IF($JD29=2,30,0),IF(69=$HM29,IF($JD29=1,30,0),ABS(21-$HF29)*100)),100000+ABS(3-$HE29)*1000+210)),IF($HG29=0,999999,IF(3=$HH29,IF(69=$HN29,IF($JE29=2,30,0),IF(69=$HO29,IF($JE29=1,30,0),ABS(21-$HI29)*100)),100000+ABS(3-$HH29)*1000+210)))-IF((69=$HJ29)+(69=$HK29)+(69=$HL29)+(69=$HM29)+(69=$HN29)+(69=$HO29)&gt;=2,50,0))+BT$5*50)</f>
        <v/>
      </c>
      <c r="BU149">
        <f>IF(OR($JF29=0,calcA!$A$6=0),0,IF(OR(70=$HA29,70=$HD29,70=$HG29),200000,MIN(IF($HA29=0,999999,IF(3=$HB29,IF(70=$HJ29,IF($JC29=2,30,0),IF(70=$HK29,IF($JC29=1,30,0),ABS(22-$HC29)*100)),100000+ABS(3-$HB29)*1000+220)),IF($HD29=0,999999,IF(3=$HE29,IF(70=$HL29,IF($JD29=2,30,0),IF(70=$HM29,IF($JD29=1,30,0),ABS(22-$HF29)*100)),100000+ABS(3-$HE29)*1000+220)),IF($HG29=0,999999,IF(3=$HH29,IF(70=$HN29,IF($JE29=2,30,0),IF(70=$HO29,IF($JE29=1,30,0),ABS(22-$HI29)*100)),100000+ABS(3-$HH29)*1000+220)))-IF((70=$HJ29)+(70=$HK29)+(70=$HL29)+(70=$HM29)+(70=$HN29)+(70=$HO29)&gt;=2,50,0))+BU$5*50)</f>
        <v/>
      </c>
      <c r="BV149">
        <f>IF(OR($JF29=0,calcA!$A$6=0),0,IF(OR(71=$HA29,71=$HD29,71=$HG29),200000,MIN(IF($HA29=0,999999,IF(3=$HB29,IF(71=$HJ29,IF($JC29=2,30,0),IF(71=$HK29,IF($JC29=1,30,0),ABS(23-$HC29)*100)),100000+ABS(3-$HB29)*1000+230)),IF($HD29=0,999999,IF(3=$HE29,IF(71=$HL29,IF($JD29=2,30,0),IF(71=$HM29,IF($JD29=1,30,0),ABS(23-$HF29)*100)),100000+ABS(3-$HE29)*1000+230)),IF($HG29=0,999999,IF(3=$HH29,IF(71=$HN29,IF($JE29=2,30,0),IF(71=$HO29,IF($JE29=1,30,0),ABS(23-$HI29)*100)),100000+ABS(3-$HH29)*1000+230)))-IF((71=$HJ29)+(71=$HK29)+(71=$HL29)+(71=$HM29)+(71=$HN29)+(71=$HO29)&gt;=2,50,0))+BV$5*50)</f>
        <v/>
      </c>
      <c r="BW149">
        <f>IF(OR($JF29=0,calcA!$A$6=0),0,IF(OR(72=$HA29,72=$HD29,72=$HG29),200000,MIN(IF($HA29=0,999999,IF(3=$HB29,IF(72=$HJ29,IF($JC29=2,30,0),IF(72=$HK29,IF($JC29=1,30,0),ABS(24-$HC29)*100)),100000+ABS(3-$HB29)*1000+240)),IF($HD29=0,999999,IF(3=$HE29,IF(72=$HL29,IF($JD29=2,30,0),IF(72=$HM29,IF($JD29=1,30,0),ABS(24-$HF29)*100)),100000+ABS(3-$HE29)*1000+240)),IF($HG29=0,999999,IF(3=$HH29,IF(72=$HN29,IF($JE29=2,30,0),IF(72=$HO29,IF($JE29=1,30,0),ABS(24-$HI29)*100)),100000+ABS(3-$HH29)*1000+240)))-IF((72=$HJ29)+(72=$HK29)+(72=$HL29)+(72=$HM29)+(72=$HN29)+(72=$HO29)&gt;=2,50,0))+BW$5*50)</f>
        <v/>
      </c>
      <c r="BX149">
        <f>IF(OR($JF29=0,calcA!$A$6=0),0,IF(OR(73=$HA29,73=$HD29,73=$HG29),200000,MIN(IF($HA29=0,999999,IF(4=$HB29,IF(73=$HJ29,IF($JC29=2,30,0),IF(73=$HK29,IF($JC29=1,30,0),ABS(1-$HC29)*100)),100000+ABS(4-$HB29)*1000+10)),IF($HD29=0,999999,IF(4=$HE29,IF(73=$HL29,IF($JD29=2,30,0),IF(73=$HM29,IF($JD29=1,30,0),ABS(1-$HF29)*100)),100000+ABS(4-$HE29)*1000+10)),IF($HG29=0,999999,IF(4=$HH29,IF(73=$HN29,IF($JE29=2,30,0),IF(73=$HO29,IF($JE29=1,30,0),ABS(1-$HI29)*100)),100000+ABS(4-$HH29)*1000+10)))-IF((73=$HJ29)+(73=$HK29)+(73=$HL29)+(73=$HM29)+(73=$HN29)+(73=$HO29)&gt;=2,50,0))+BX$5*50)</f>
        <v/>
      </c>
      <c r="BY149">
        <f>IF(OR($JF29=0,calcA!$A$6=0),0,IF(OR(74=$HA29,74=$HD29,74=$HG29),200000,MIN(IF($HA29=0,999999,IF(4=$HB29,IF(74=$HJ29,IF($JC29=2,30,0),IF(74=$HK29,IF($JC29=1,30,0),ABS(2-$HC29)*100)),100000+ABS(4-$HB29)*1000+20)),IF($HD29=0,999999,IF(4=$HE29,IF(74=$HL29,IF($JD29=2,30,0),IF(74=$HM29,IF($JD29=1,30,0),ABS(2-$HF29)*100)),100000+ABS(4-$HE29)*1000+20)),IF($HG29=0,999999,IF(4=$HH29,IF(74=$HN29,IF($JE29=2,30,0),IF(74=$HO29,IF($JE29=1,30,0),ABS(2-$HI29)*100)),100000+ABS(4-$HH29)*1000+20)))-IF((74=$HJ29)+(74=$HK29)+(74=$HL29)+(74=$HM29)+(74=$HN29)+(74=$HO29)&gt;=2,50,0))+BY$5*50)</f>
        <v/>
      </c>
      <c r="BZ149">
        <f>IF(OR($JF29=0,calcA!$A$6=0),0,IF(OR(75=$HA29,75=$HD29,75=$HG29),200000,MIN(IF($HA29=0,999999,IF(4=$HB29,IF(75=$HJ29,IF($JC29=2,30,0),IF(75=$HK29,IF($JC29=1,30,0),ABS(3-$HC29)*100)),100000+ABS(4-$HB29)*1000+30)),IF($HD29=0,999999,IF(4=$HE29,IF(75=$HL29,IF($JD29=2,30,0),IF(75=$HM29,IF($JD29=1,30,0),ABS(3-$HF29)*100)),100000+ABS(4-$HE29)*1000+30)),IF($HG29=0,999999,IF(4=$HH29,IF(75=$HN29,IF($JE29=2,30,0),IF(75=$HO29,IF($JE29=1,30,0),ABS(3-$HI29)*100)),100000+ABS(4-$HH29)*1000+30)))-IF((75=$HJ29)+(75=$HK29)+(75=$HL29)+(75=$HM29)+(75=$HN29)+(75=$HO29)&gt;=2,50,0))+BZ$5*50)</f>
        <v/>
      </c>
      <c r="CA149">
        <f>IF(OR($JF29=0,calcA!$A$6=0),0,IF(OR(76=$HA29,76=$HD29,76=$HG29),200000,MIN(IF($HA29=0,999999,IF(4=$HB29,IF(76=$HJ29,IF($JC29=2,30,0),IF(76=$HK29,IF($JC29=1,30,0),ABS(4-$HC29)*100)),100000+ABS(4-$HB29)*1000+40)),IF($HD29=0,999999,IF(4=$HE29,IF(76=$HL29,IF($JD29=2,30,0),IF(76=$HM29,IF($JD29=1,30,0),ABS(4-$HF29)*100)),100000+ABS(4-$HE29)*1000+40)),IF($HG29=0,999999,IF(4=$HH29,IF(76=$HN29,IF($JE29=2,30,0),IF(76=$HO29,IF($JE29=1,30,0),ABS(4-$HI29)*100)),100000+ABS(4-$HH29)*1000+40)))-IF((76=$HJ29)+(76=$HK29)+(76=$HL29)+(76=$HM29)+(76=$HN29)+(76=$HO29)&gt;=2,50,0))+CA$5*50)</f>
        <v/>
      </c>
      <c r="CB149">
        <f>IF(OR($JF29=0,calcA!$A$6=0),0,IF(OR(77=$HA29,77=$HD29,77=$HG29),200000,MIN(IF($HA29=0,999999,IF(4=$HB29,IF(77=$HJ29,IF($JC29=2,30,0),IF(77=$HK29,IF($JC29=1,30,0),ABS(5-$HC29)*100)),100000+ABS(4-$HB29)*1000+50)),IF($HD29=0,999999,IF(4=$HE29,IF(77=$HL29,IF($JD29=2,30,0),IF(77=$HM29,IF($JD29=1,30,0),ABS(5-$HF29)*100)),100000+ABS(4-$HE29)*1000+50)),IF($HG29=0,999999,IF(4=$HH29,IF(77=$HN29,IF($JE29=2,30,0),IF(77=$HO29,IF($JE29=1,30,0),ABS(5-$HI29)*100)),100000+ABS(4-$HH29)*1000+50)))-IF((77=$HJ29)+(77=$HK29)+(77=$HL29)+(77=$HM29)+(77=$HN29)+(77=$HO29)&gt;=2,50,0))+CB$5*50)</f>
        <v/>
      </c>
      <c r="CC149">
        <f>IF(OR($JF29=0,calcA!$A$6=0),0,IF(OR(78=$HA29,78=$HD29,78=$HG29),200000,MIN(IF($HA29=0,999999,IF(4=$HB29,IF(78=$HJ29,IF($JC29=2,30,0),IF(78=$HK29,IF($JC29=1,30,0),ABS(6-$HC29)*100)),100000+ABS(4-$HB29)*1000+60)),IF($HD29=0,999999,IF(4=$HE29,IF(78=$HL29,IF($JD29=2,30,0),IF(78=$HM29,IF($JD29=1,30,0),ABS(6-$HF29)*100)),100000+ABS(4-$HE29)*1000+60)),IF($HG29=0,999999,IF(4=$HH29,IF(78=$HN29,IF($JE29=2,30,0),IF(78=$HO29,IF($JE29=1,30,0),ABS(6-$HI29)*100)),100000+ABS(4-$HH29)*1000+60)))-IF((78=$HJ29)+(78=$HK29)+(78=$HL29)+(78=$HM29)+(78=$HN29)+(78=$HO29)&gt;=2,50,0))+CC$5*50)</f>
        <v/>
      </c>
      <c r="CD149">
        <f>IF(OR($JF29=0,calcA!$A$6=0),0,IF(OR(79=$HA29,79=$HD29,79=$HG29),200000,MIN(IF($HA29=0,999999,IF(4=$HB29,IF(79=$HJ29,IF($JC29=2,30,0),IF(79=$HK29,IF($JC29=1,30,0),ABS(7-$HC29)*100)),100000+ABS(4-$HB29)*1000+70)),IF($HD29=0,999999,IF(4=$HE29,IF(79=$HL29,IF($JD29=2,30,0),IF(79=$HM29,IF($JD29=1,30,0),ABS(7-$HF29)*100)),100000+ABS(4-$HE29)*1000+70)),IF($HG29=0,999999,IF(4=$HH29,IF(79=$HN29,IF($JE29=2,30,0),IF(79=$HO29,IF($JE29=1,30,0),ABS(7-$HI29)*100)),100000+ABS(4-$HH29)*1000+70)))-IF((79=$HJ29)+(79=$HK29)+(79=$HL29)+(79=$HM29)+(79=$HN29)+(79=$HO29)&gt;=2,50,0))+CD$5*50)</f>
        <v/>
      </c>
      <c r="CE149">
        <f>IF(OR($JF29=0,calcA!$A$6=0),0,IF(OR(80=$HA29,80=$HD29,80=$HG29),200000,MIN(IF($HA29=0,999999,IF(4=$HB29,IF(80=$HJ29,IF($JC29=2,30,0),IF(80=$HK29,IF($JC29=1,30,0),ABS(8-$HC29)*100)),100000+ABS(4-$HB29)*1000+80)),IF($HD29=0,999999,IF(4=$HE29,IF(80=$HL29,IF($JD29=2,30,0),IF(80=$HM29,IF($JD29=1,30,0),ABS(8-$HF29)*100)),100000+ABS(4-$HE29)*1000+80)),IF($HG29=0,999999,IF(4=$HH29,IF(80=$HN29,IF($JE29=2,30,0),IF(80=$HO29,IF($JE29=1,30,0),ABS(8-$HI29)*100)),100000+ABS(4-$HH29)*1000+80)))-IF((80=$HJ29)+(80=$HK29)+(80=$HL29)+(80=$HM29)+(80=$HN29)+(80=$HO29)&gt;=2,50,0))+CE$5*50)</f>
        <v/>
      </c>
      <c r="CF149">
        <f>IF(OR($JF29=0,calcA!$A$6=0),0,IF(OR(81=$HA29,81=$HD29,81=$HG29),200000,MIN(IF($HA29=0,999999,IF(4=$HB29,IF(81=$HJ29,IF($JC29=2,30,0),IF(81=$HK29,IF($JC29=1,30,0),ABS(9-$HC29)*100)),100000+ABS(4-$HB29)*1000+90)),IF($HD29=0,999999,IF(4=$HE29,IF(81=$HL29,IF($JD29=2,30,0),IF(81=$HM29,IF($JD29=1,30,0),ABS(9-$HF29)*100)),100000+ABS(4-$HE29)*1000+90)),IF($HG29=0,999999,IF(4=$HH29,IF(81=$HN29,IF($JE29=2,30,0),IF(81=$HO29,IF($JE29=1,30,0),ABS(9-$HI29)*100)),100000+ABS(4-$HH29)*1000+90)))-IF((81=$HJ29)+(81=$HK29)+(81=$HL29)+(81=$HM29)+(81=$HN29)+(81=$HO29)&gt;=2,50,0))+CF$5*50)</f>
        <v/>
      </c>
      <c r="CG149">
        <f>IF(OR($JF29=0,calcA!$A$6=0),0,IF(OR(82=$HA29,82=$HD29,82=$HG29),200000,MIN(IF($HA29=0,999999,IF(4=$HB29,IF(82=$HJ29,IF($JC29=2,30,0),IF(82=$HK29,IF($JC29=1,30,0),ABS(10-$HC29)*100)),100000+ABS(4-$HB29)*1000+100)),IF($HD29=0,999999,IF(4=$HE29,IF(82=$HL29,IF($JD29=2,30,0),IF(82=$HM29,IF($JD29=1,30,0),ABS(10-$HF29)*100)),100000+ABS(4-$HE29)*1000+100)),IF($HG29=0,999999,IF(4=$HH29,IF(82=$HN29,IF($JE29=2,30,0),IF(82=$HO29,IF($JE29=1,30,0),ABS(10-$HI29)*100)),100000+ABS(4-$HH29)*1000+100)))-IF((82=$HJ29)+(82=$HK29)+(82=$HL29)+(82=$HM29)+(82=$HN29)+(82=$HO29)&gt;=2,50,0))+CG$5*50)</f>
        <v/>
      </c>
      <c r="CH149">
        <f>IF(OR($JF29=0,calcA!$A$6=0),0,IF(OR(83=$HA29,83=$HD29,83=$HG29),200000,MIN(IF($HA29=0,999999,IF(4=$HB29,IF(83=$HJ29,IF($JC29=2,30,0),IF(83=$HK29,IF($JC29=1,30,0),ABS(11-$HC29)*100)),100000+ABS(4-$HB29)*1000+110)),IF($HD29=0,999999,IF(4=$HE29,IF(83=$HL29,IF($JD29=2,30,0),IF(83=$HM29,IF($JD29=1,30,0),ABS(11-$HF29)*100)),100000+ABS(4-$HE29)*1000+110)),IF($HG29=0,999999,IF(4=$HH29,IF(83=$HN29,IF($JE29=2,30,0),IF(83=$HO29,IF($JE29=1,30,0),ABS(11-$HI29)*100)),100000+ABS(4-$HH29)*1000+110)))-IF((83=$HJ29)+(83=$HK29)+(83=$HL29)+(83=$HM29)+(83=$HN29)+(83=$HO29)&gt;=2,50,0))+CH$5*50)</f>
        <v/>
      </c>
      <c r="CI149">
        <f>IF(OR($JF29=0,calcA!$A$6=0),0,IF(OR(84=$HA29,84=$HD29,84=$HG29),200000,MIN(IF($HA29=0,999999,IF(4=$HB29,IF(84=$HJ29,IF($JC29=2,30,0),IF(84=$HK29,IF($JC29=1,30,0),ABS(12-$HC29)*100)),100000+ABS(4-$HB29)*1000+120)),IF($HD29=0,999999,IF(4=$HE29,IF(84=$HL29,IF($JD29=2,30,0),IF(84=$HM29,IF($JD29=1,30,0),ABS(12-$HF29)*100)),100000+ABS(4-$HE29)*1000+120)),IF($HG29=0,999999,IF(4=$HH29,IF(84=$HN29,IF($JE29=2,30,0),IF(84=$HO29,IF($JE29=1,30,0),ABS(12-$HI29)*100)),100000+ABS(4-$HH29)*1000+120)))-IF((84=$HJ29)+(84=$HK29)+(84=$HL29)+(84=$HM29)+(84=$HN29)+(84=$HO29)&gt;=2,50,0))+CI$5*50)</f>
        <v/>
      </c>
      <c r="CJ149">
        <f>IF(OR($JF29=0,calcA!$A$6=0),0,IF(OR(85=$HA29,85=$HD29,85=$HG29),200000,MIN(IF($HA29=0,999999,IF(4=$HB29,IF(85=$HJ29,IF($JC29=2,30,0),IF(85=$HK29,IF($JC29=1,30,0),ABS(13-$HC29)*100)),100000+ABS(4-$HB29)*1000+130)),IF($HD29=0,999999,IF(4=$HE29,IF(85=$HL29,IF($JD29=2,30,0),IF(85=$HM29,IF($JD29=1,30,0),ABS(13-$HF29)*100)),100000+ABS(4-$HE29)*1000+130)),IF($HG29=0,999999,IF(4=$HH29,IF(85=$HN29,IF($JE29=2,30,0),IF(85=$HO29,IF($JE29=1,30,0),ABS(13-$HI29)*100)),100000+ABS(4-$HH29)*1000+130)))-IF((85=$HJ29)+(85=$HK29)+(85=$HL29)+(85=$HM29)+(85=$HN29)+(85=$HO29)&gt;=2,50,0))+CJ$5*50)</f>
        <v/>
      </c>
      <c r="CK149">
        <f>IF(OR($JF29=0,calcA!$A$6=0),0,IF(OR(86=$HA29,86=$HD29,86=$HG29),200000,MIN(IF($HA29=0,999999,IF(4=$HB29,IF(86=$HJ29,IF($JC29=2,30,0),IF(86=$HK29,IF($JC29=1,30,0),ABS(14-$HC29)*100)),100000+ABS(4-$HB29)*1000+140)),IF($HD29=0,999999,IF(4=$HE29,IF(86=$HL29,IF($JD29=2,30,0),IF(86=$HM29,IF($JD29=1,30,0),ABS(14-$HF29)*100)),100000+ABS(4-$HE29)*1000+140)),IF($HG29=0,999999,IF(4=$HH29,IF(86=$HN29,IF($JE29=2,30,0),IF(86=$HO29,IF($JE29=1,30,0),ABS(14-$HI29)*100)),100000+ABS(4-$HH29)*1000+140)))-IF((86=$HJ29)+(86=$HK29)+(86=$HL29)+(86=$HM29)+(86=$HN29)+(86=$HO29)&gt;=2,50,0))+CK$5*50)</f>
        <v/>
      </c>
      <c r="CL149">
        <f>IF(OR($JF29=0,calcA!$A$6=0),0,IF(OR(87=$HA29,87=$HD29,87=$HG29),200000,MIN(IF($HA29=0,999999,IF(4=$HB29,IF(87=$HJ29,IF($JC29=2,30,0),IF(87=$HK29,IF($JC29=1,30,0),ABS(15-$HC29)*100)),100000+ABS(4-$HB29)*1000+150)),IF($HD29=0,999999,IF(4=$HE29,IF(87=$HL29,IF($JD29=2,30,0),IF(87=$HM29,IF($JD29=1,30,0),ABS(15-$HF29)*100)),100000+ABS(4-$HE29)*1000+150)),IF($HG29=0,999999,IF(4=$HH29,IF(87=$HN29,IF($JE29=2,30,0),IF(87=$HO29,IF($JE29=1,30,0),ABS(15-$HI29)*100)),100000+ABS(4-$HH29)*1000+150)))-IF((87=$HJ29)+(87=$HK29)+(87=$HL29)+(87=$HM29)+(87=$HN29)+(87=$HO29)&gt;=2,50,0))+CL$5*50)</f>
        <v/>
      </c>
      <c r="CM149">
        <f>IF(OR($JF29=0,calcA!$A$6=0),0,IF(OR(88=$HA29,88=$HD29,88=$HG29),200000,MIN(IF($HA29=0,999999,IF(4=$HB29,IF(88=$HJ29,IF($JC29=2,30,0),IF(88=$HK29,IF($JC29=1,30,0),ABS(16-$HC29)*100)),100000+ABS(4-$HB29)*1000+160)),IF($HD29=0,999999,IF(4=$HE29,IF(88=$HL29,IF($JD29=2,30,0),IF(88=$HM29,IF($JD29=1,30,0),ABS(16-$HF29)*100)),100000+ABS(4-$HE29)*1000+160)),IF($HG29=0,999999,IF(4=$HH29,IF(88=$HN29,IF($JE29=2,30,0),IF(88=$HO29,IF($JE29=1,30,0),ABS(16-$HI29)*100)),100000+ABS(4-$HH29)*1000+160)))-IF((88=$HJ29)+(88=$HK29)+(88=$HL29)+(88=$HM29)+(88=$HN29)+(88=$HO29)&gt;=2,50,0))+CM$5*50)</f>
        <v/>
      </c>
      <c r="CN149">
        <f>IF(OR($JF29=0,calcA!$A$6=0),0,IF(OR(89=$HA29,89=$HD29,89=$HG29),200000,MIN(IF($HA29=0,999999,IF(4=$HB29,IF(89=$HJ29,IF($JC29=2,30,0),IF(89=$HK29,IF($JC29=1,30,0),ABS(17-$HC29)*100)),100000+ABS(4-$HB29)*1000+170)),IF($HD29=0,999999,IF(4=$HE29,IF(89=$HL29,IF($JD29=2,30,0),IF(89=$HM29,IF($JD29=1,30,0),ABS(17-$HF29)*100)),100000+ABS(4-$HE29)*1000+170)),IF($HG29=0,999999,IF(4=$HH29,IF(89=$HN29,IF($JE29=2,30,0),IF(89=$HO29,IF($JE29=1,30,0),ABS(17-$HI29)*100)),100000+ABS(4-$HH29)*1000+170)))-IF((89=$HJ29)+(89=$HK29)+(89=$HL29)+(89=$HM29)+(89=$HN29)+(89=$HO29)&gt;=2,50,0))+CN$5*50)</f>
        <v/>
      </c>
      <c r="CO149">
        <f>IF(OR($JF29=0,calcA!$A$6=0),0,IF(OR(90=$HA29,90=$HD29,90=$HG29),200000,MIN(IF($HA29=0,999999,IF(4=$HB29,IF(90=$HJ29,IF($JC29=2,30,0),IF(90=$HK29,IF($JC29=1,30,0),ABS(18-$HC29)*100)),100000+ABS(4-$HB29)*1000+180)),IF($HD29=0,999999,IF(4=$HE29,IF(90=$HL29,IF($JD29=2,30,0),IF(90=$HM29,IF($JD29=1,30,0),ABS(18-$HF29)*100)),100000+ABS(4-$HE29)*1000+180)),IF($HG29=0,999999,IF(4=$HH29,IF(90=$HN29,IF($JE29=2,30,0),IF(90=$HO29,IF($JE29=1,30,0),ABS(18-$HI29)*100)),100000+ABS(4-$HH29)*1000+180)))-IF((90=$HJ29)+(90=$HK29)+(90=$HL29)+(90=$HM29)+(90=$HN29)+(90=$HO29)&gt;=2,50,0))+CO$5*50)</f>
        <v/>
      </c>
      <c r="CP149">
        <f>IF(OR($JF29=0,calcA!$A$6=0),0,IF(OR(91=$HA29,91=$HD29,91=$HG29),200000,MIN(IF($HA29=0,999999,IF(4=$HB29,IF(91=$HJ29,IF($JC29=2,30,0),IF(91=$HK29,IF($JC29=1,30,0),ABS(19-$HC29)*100)),100000+ABS(4-$HB29)*1000+190)),IF($HD29=0,999999,IF(4=$HE29,IF(91=$HL29,IF($JD29=2,30,0),IF(91=$HM29,IF($JD29=1,30,0),ABS(19-$HF29)*100)),100000+ABS(4-$HE29)*1000+190)),IF($HG29=0,999999,IF(4=$HH29,IF(91=$HN29,IF($JE29=2,30,0),IF(91=$HO29,IF($JE29=1,30,0),ABS(19-$HI29)*100)),100000+ABS(4-$HH29)*1000+190)))-IF((91=$HJ29)+(91=$HK29)+(91=$HL29)+(91=$HM29)+(91=$HN29)+(91=$HO29)&gt;=2,50,0))+CP$5*50)</f>
        <v/>
      </c>
      <c r="CQ149">
        <f>IF(OR($JF29=0,calcA!$A$6=0),0,IF(OR(92=$HA29,92=$HD29,92=$HG29),200000,MIN(IF($HA29=0,999999,IF(4=$HB29,IF(92=$HJ29,IF($JC29=2,30,0),IF(92=$HK29,IF($JC29=1,30,0),ABS(20-$HC29)*100)),100000+ABS(4-$HB29)*1000+200)),IF($HD29=0,999999,IF(4=$HE29,IF(92=$HL29,IF($JD29=2,30,0),IF(92=$HM29,IF($JD29=1,30,0),ABS(20-$HF29)*100)),100000+ABS(4-$HE29)*1000+200)),IF($HG29=0,999999,IF(4=$HH29,IF(92=$HN29,IF($JE29=2,30,0),IF(92=$HO29,IF($JE29=1,30,0),ABS(20-$HI29)*100)),100000+ABS(4-$HH29)*1000+200)))-IF((92=$HJ29)+(92=$HK29)+(92=$HL29)+(92=$HM29)+(92=$HN29)+(92=$HO29)&gt;=2,50,0))+CQ$5*50)</f>
        <v/>
      </c>
      <c r="CR149">
        <f>IF(OR($JF29=0,calcA!$A$6=0),0,IF(OR(93=$HA29,93=$HD29,93=$HG29),200000,MIN(IF($HA29=0,999999,IF(4=$HB29,IF(93=$HJ29,IF($JC29=2,30,0),IF(93=$HK29,IF($JC29=1,30,0),ABS(21-$HC29)*100)),100000+ABS(4-$HB29)*1000+210)),IF($HD29=0,999999,IF(4=$HE29,IF(93=$HL29,IF($JD29=2,30,0),IF(93=$HM29,IF($JD29=1,30,0),ABS(21-$HF29)*100)),100000+ABS(4-$HE29)*1000+210)),IF($HG29=0,999999,IF(4=$HH29,IF(93=$HN29,IF($JE29=2,30,0),IF(93=$HO29,IF($JE29=1,30,0),ABS(21-$HI29)*100)),100000+ABS(4-$HH29)*1000+210)))-IF((93=$HJ29)+(93=$HK29)+(93=$HL29)+(93=$HM29)+(93=$HN29)+(93=$HO29)&gt;=2,50,0))+CR$5*50)</f>
        <v/>
      </c>
      <c r="CS149">
        <f>IF(OR($JF29=0,calcA!$A$6=0),0,IF(OR(94=$HA29,94=$HD29,94=$HG29),200000,MIN(IF($HA29=0,999999,IF(4=$HB29,IF(94=$HJ29,IF($JC29=2,30,0),IF(94=$HK29,IF($JC29=1,30,0),ABS(22-$HC29)*100)),100000+ABS(4-$HB29)*1000+220)),IF($HD29=0,999999,IF(4=$HE29,IF(94=$HL29,IF($JD29=2,30,0),IF(94=$HM29,IF($JD29=1,30,0),ABS(22-$HF29)*100)),100000+ABS(4-$HE29)*1000+220)),IF($HG29=0,999999,IF(4=$HH29,IF(94=$HN29,IF($JE29=2,30,0),IF(94=$HO29,IF($JE29=1,30,0),ABS(22-$HI29)*100)),100000+ABS(4-$HH29)*1000+220)))-IF((94=$HJ29)+(94=$HK29)+(94=$HL29)+(94=$HM29)+(94=$HN29)+(94=$HO29)&gt;=2,50,0))+CS$5*50)</f>
        <v/>
      </c>
      <c r="CT149">
        <f>IF(OR($JF29=0,calcA!$A$6=0),0,IF(OR(95=$HA29,95=$HD29,95=$HG29),200000,MIN(IF($HA29=0,999999,IF(4=$HB29,IF(95=$HJ29,IF($JC29=2,30,0),IF(95=$HK29,IF($JC29=1,30,0),ABS(23-$HC29)*100)),100000+ABS(4-$HB29)*1000+230)),IF($HD29=0,999999,IF(4=$HE29,IF(95=$HL29,IF($JD29=2,30,0),IF(95=$HM29,IF($JD29=1,30,0),ABS(23-$HF29)*100)),100000+ABS(4-$HE29)*1000+230)),IF($HG29=0,999999,IF(4=$HH29,IF(95=$HN29,IF($JE29=2,30,0),IF(95=$HO29,IF($JE29=1,30,0),ABS(23-$HI29)*100)),100000+ABS(4-$HH29)*1000+230)))-IF((95=$HJ29)+(95=$HK29)+(95=$HL29)+(95=$HM29)+(95=$HN29)+(95=$HO29)&gt;=2,50,0))+CT$5*50)</f>
        <v/>
      </c>
      <c r="CU149">
        <f>IF(OR($JF29=0,calcA!$A$6=0),0,IF(OR(96=$HA29,96=$HD29,96=$HG29),200000,MIN(IF($HA29=0,999999,IF(4=$HB29,IF(96=$HJ29,IF($JC29=2,30,0),IF(96=$HK29,IF($JC29=1,30,0),ABS(24-$HC29)*100)),100000+ABS(4-$HB29)*1000+240)),IF($HD29=0,999999,IF(4=$HE29,IF(96=$HL29,IF($JD29=2,30,0),IF(96=$HM29,IF($JD29=1,30,0),ABS(24-$HF29)*100)),100000+ABS(4-$HE29)*1000+240)),IF($HG29=0,999999,IF(4=$HH29,IF(96=$HN29,IF($JE29=2,30,0),IF(96=$HO29,IF($JE29=1,30,0),ABS(24-$HI29)*100)),100000+ABS(4-$HH29)*1000+240)))-IF((96=$HJ29)+(96=$HK29)+(96=$HL29)+(96=$HM29)+(96=$HN29)+(96=$HO29)&gt;=2,50,0))+CU$5*50)</f>
        <v/>
      </c>
      <c r="CV149">
        <f>IF(OR($JF29=0,calcA!$A$6=0),0,IF(OR(97=$HA29,97=$HD29,97=$HG29),200000,MIN(IF($HA29=0,999999,IF(5=$HB29,IF(97=$HJ29,IF($JC29=2,30,0),IF(97=$HK29,IF($JC29=1,30,0),ABS(1-$HC29)*100)),100000+ABS(5-$HB29)*1000+10)),IF($HD29=0,999999,IF(5=$HE29,IF(97=$HL29,IF($JD29=2,30,0),IF(97=$HM29,IF($JD29=1,30,0),ABS(1-$HF29)*100)),100000+ABS(5-$HE29)*1000+10)),IF($HG29=0,999999,IF(5=$HH29,IF(97=$HN29,IF($JE29=2,30,0),IF(97=$HO29,IF($JE29=1,30,0),ABS(1-$HI29)*100)),100000+ABS(5-$HH29)*1000+10)))-IF((97=$HJ29)+(97=$HK29)+(97=$HL29)+(97=$HM29)+(97=$HN29)+(97=$HO29)&gt;=2,50,0))+CV$5*50)</f>
        <v/>
      </c>
      <c r="CW149">
        <f>IF(OR($JF29=0,calcA!$A$6=0),0,IF(OR(98=$HA29,98=$HD29,98=$HG29),200000,MIN(IF($HA29=0,999999,IF(5=$HB29,IF(98=$HJ29,IF($JC29=2,30,0),IF(98=$HK29,IF($JC29=1,30,0),ABS(2-$HC29)*100)),100000+ABS(5-$HB29)*1000+20)),IF($HD29=0,999999,IF(5=$HE29,IF(98=$HL29,IF($JD29=2,30,0),IF(98=$HM29,IF($JD29=1,30,0),ABS(2-$HF29)*100)),100000+ABS(5-$HE29)*1000+20)),IF($HG29=0,999999,IF(5=$HH29,IF(98=$HN29,IF($JE29=2,30,0),IF(98=$HO29,IF($JE29=1,30,0),ABS(2-$HI29)*100)),100000+ABS(5-$HH29)*1000+20)))-IF((98=$HJ29)+(98=$HK29)+(98=$HL29)+(98=$HM29)+(98=$HN29)+(98=$HO29)&gt;=2,50,0))+CW$5*50)</f>
        <v/>
      </c>
      <c r="CX149">
        <f>IF(OR($JF29=0,calcA!$A$6=0),0,IF(OR(99=$HA29,99=$HD29,99=$HG29),200000,MIN(IF($HA29=0,999999,IF(5=$HB29,IF(99=$HJ29,IF($JC29=2,30,0),IF(99=$HK29,IF($JC29=1,30,0),ABS(3-$HC29)*100)),100000+ABS(5-$HB29)*1000+30)),IF($HD29=0,999999,IF(5=$HE29,IF(99=$HL29,IF($JD29=2,30,0),IF(99=$HM29,IF($JD29=1,30,0),ABS(3-$HF29)*100)),100000+ABS(5-$HE29)*1000+30)),IF($HG29=0,999999,IF(5=$HH29,IF(99=$HN29,IF($JE29=2,30,0),IF(99=$HO29,IF($JE29=1,30,0),ABS(3-$HI29)*100)),100000+ABS(5-$HH29)*1000+30)))-IF((99=$HJ29)+(99=$HK29)+(99=$HL29)+(99=$HM29)+(99=$HN29)+(99=$HO29)&gt;=2,50,0))+CX$5*50)</f>
        <v/>
      </c>
      <c r="CY149">
        <f>IF(OR($JF29=0,calcA!$A$6=0),0,IF(OR(100=$HA29,100=$HD29,100=$HG29),200000,MIN(IF($HA29=0,999999,IF(5=$HB29,IF(100=$HJ29,IF($JC29=2,30,0),IF(100=$HK29,IF($JC29=1,30,0),ABS(4-$HC29)*100)),100000+ABS(5-$HB29)*1000+40)),IF($HD29=0,999999,IF(5=$HE29,IF(100=$HL29,IF($JD29=2,30,0),IF(100=$HM29,IF($JD29=1,30,0),ABS(4-$HF29)*100)),100000+ABS(5-$HE29)*1000+40)),IF($HG29=0,999999,IF(5=$HH29,IF(100=$HN29,IF($JE29=2,30,0),IF(100=$HO29,IF($JE29=1,30,0),ABS(4-$HI29)*100)),100000+ABS(5-$HH29)*1000+40)))-IF((100=$HJ29)+(100=$HK29)+(100=$HL29)+(100=$HM29)+(100=$HN29)+(100=$HO29)&gt;=2,50,0))+CY$5*50)</f>
        <v/>
      </c>
      <c r="CZ149">
        <f>IF(OR($JF29=0,calcA!$A$6=0),0,IF(OR(101=$HA29,101=$HD29,101=$HG29),200000,MIN(IF($HA29=0,999999,IF(5=$HB29,IF(101=$HJ29,IF($JC29=2,30,0),IF(101=$HK29,IF($JC29=1,30,0),ABS(5-$HC29)*100)),100000+ABS(5-$HB29)*1000+50)),IF($HD29=0,999999,IF(5=$HE29,IF(101=$HL29,IF($JD29=2,30,0),IF(101=$HM29,IF($JD29=1,30,0),ABS(5-$HF29)*100)),100000+ABS(5-$HE29)*1000+50)),IF($HG29=0,999999,IF(5=$HH29,IF(101=$HN29,IF($JE29=2,30,0),IF(101=$HO29,IF($JE29=1,30,0),ABS(5-$HI29)*100)),100000+ABS(5-$HH29)*1000+50)))-IF((101=$HJ29)+(101=$HK29)+(101=$HL29)+(101=$HM29)+(101=$HN29)+(101=$HO29)&gt;=2,50,0))+CZ$5*50)</f>
        <v/>
      </c>
      <c r="DA149">
        <f>IF(OR($JF29=0,calcA!$A$6=0),0,IF(OR(102=$HA29,102=$HD29,102=$HG29),200000,MIN(IF($HA29=0,999999,IF(5=$HB29,IF(102=$HJ29,IF($JC29=2,30,0),IF(102=$HK29,IF($JC29=1,30,0),ABS(6-$HC29)*100)),100000+ABS(5-$HB29)*1000+60)),IF($HD29=0,999999,IF(5=$HE29,IF(102=$HL29,IF($JD29=2,30,0),IF(102=$HM29,IF($JD29=1,30,0),ABS(6-$HF29)*100)),100000+ABS(5-$HE29)*1000+60)),IF($HG29=0,999999,IF(5=$HH29,IF(102=$HN29,IF($JE29=2,30,0),IF(102=$HO29,IF($JE29=1,30,0),ABS(6-$HI29)*100)),100000+ABS(5-$HH29)*1000+60)))-IF((102=$HJ29)+(102=$HK29)+(102=$HL29)+(102=$HM29)+(102=$HN29)+(102=$HO29)&gt;=2,50,0))+DA$5*50)</f>
        <v/>
      </c>
      <c r="DB149">
        <f>IF(OR($JF29=0,calcA!$A$6=0),0,IF(OR(103=$HA29,103=$HD29,103=$HG29),200000,MIN(IF($HA29=0,999999,IF(5=$HB29,IF(103=$HJ29,IF($JC29=2,30,0),IF(103=$HK29,IF($JC29=1,30,0),ABS(7-$HC29)*100)),100000+ABS(5-$HB29)*1000+70)),IF($HD29=0,999999,IF(5=$HE29,IF(103=$HL29,IF($JD29=2,30,0),IF(103=$HM29,IF($JD29=1,30,0),ABS(7-$HF29)*100)),100000+ABS(5-$HE29)*1000+70)),IF($HG29=0,999999,IF(5=$HH29,IF(103=$HN29,IF($JE29=2,30,0),IF(103=$HO29,IF($JE29=1,30,0),ABS(7-$HI29)*100)),100000+ABS(5-$HH29)*1000+70)))-IF((103=$HJ29)+(103=$HK29)+(103=$HL29)+(103=$HM29)+(103=$HN29)+(103=$HO29)&gt;=2,50,0))+DB$5*50)</f>
        <v/>
      </c>
      <c r="DC149">
        <f>IF(OR($JF29=0,calcA!$A$6=0),0,IF(OR(104=$HA29,104=$HD29,104=$HG29),200000,MIN(IF($HA29=0,999999,IF(5=$HB29,IF(104=$HJ29,IF($JC29=2,30,0),IF(104=$HK29,IF($JC29=1,30,0),ABS(8-$HC29)*100)),100000+ABS(5-$HB29)*1000+80)),IF($HD29=0,999999,IF(5=$HE29,IF(104=$HL29,IF($JD29=2,30,0),IF(104=$HM29,IF($JD29=1,30,0),ABS(8-$HF29)*100)),100000+ABS(5-$HE29)*1000+80)),IF($HG29=0,999999,IF(5=$HH29,IF(104=$HN29,IF($JE29=2,30,0),IF(104=$HO29,IF($JE29=1,30,0),ABS(8-$HI29)*100)),100000+ABS(5-$HH29)*1000+80)))-IF((104=$HJ29)+(104=$HK29)+(104=$HL29)+(104=$HM29)+(104=$HN29)+(104=$HO29)&gt;=2,50,0))+DC$5*50)</f>
        <v/>
      </c>
      <c r="DD149">
        <f>IF(OR($JF29=0,calcA!$A$6=0),0,IF(OR(105=$HA29,105=$HD29,105=$HG29),200000,MIN(IF($HA29=0,999999,IF(5=$HB29,IF(105=$HJ29,IF($JC29=2,30,0),IF(105=$HK29,IF($JC29=1,30,0),ABS(9-$HC29)*100)),100000+ABS(5-$HB29)*1000+90)),IF($HD29=0,999999,IF(5=$HE29,IF(105=$HL29,IF($JD29=2,30,0),IF(105=$HM29,IF($JD29=1,30,0),ABS(9-$HF29)*100)),100000+ABS(5-$HE29)*1000+90)),IF($HG29=0,999999,IF(5=$HH29,IF(105=$HN29,IF($JE29=2,30,0),IF(105=$HO29,IF($JE29=1,30,0),ABS(9-$HI29)*100)),100000+ABS(5-$HH29)*1000+90)))-IF((105=$HJ29)+(105=$HK29)+(105=$HL29)+(105=$HM29)+(105=$HN29)+(105=$HO29)&gt;=2,50,0))+DD$5*50)</f>
        <v/>
      </c>
      <c r="DE149">
        <f>IF(OR($JF29=0,calcA!$A$6=0),0,IF(OR(106=$HA29,106=$HD29,106=$HG29),200000,MIN(IF($HA29=0,999999,IF(5=$HB29,IF(106=$HJ29,IF($JC29=2,30,0),IF(106=$HK29,IF($JC29=1,30,0),ABS(10-$HC29)*100)),100000+ABS(5-$HB29)*1000+100)),IF($HD29=0,999999,IF(5=$HE29,IF(106=$HL29,IF($JD29=2,30,0),IF(106=$HM29,IF($JD29=1,30,0),ABS(10-$HF29)*100)),100000+ABS(5-$HE29)*1000+100)),IF($HG29=0,999999,IF(5=$HH29,IF(106=$HN29,IF($JE29=2,30,0),IF(106=$HO29,IF($JE29=1,30,0),ABS(10-$HI29)*100)),100000+ABS(5-$HH29)*1000+100)))-IF((106=$HJ29)+(106=$HK29)+(106=$HL29)+(106=$HM29)+(106=$HN29)+(106=$HO29)&gt;=2,50,0))+DE$5*50)</f>
        <v/>
      </c>
      <c r="DF149">
        <f>IF(OR($JF29=0,calcA!$A$6=0),0,IF(OR(107=$HA29,107=$HD29,107=$HG29),200000,MIN(IF($HA29=0,999999,IF(5=$HB29,IF(107=$HJ29,IF($JC29=2,30,0),IF(107=$HK29,IF($JC29=1,30,0),ABS(11-$HC29)*100)),100000+ABS(5-$HB29)*1000+110)),IF($HD29=0,999999,IF(5=$HE29,IF(107=$HL29,IF($JD29=2,30,0),IF(107=$HM29,IF($JD29=1,30,0),ABS(11-$HF29)*100)),100000+ABS(5-$HE29)*1000+110)),IF($HG29=0,999999,IF(5=$HH29,IF(107=$HN29,IF($JE29=2,30,0),IF(107=$HO29,IF($JE29=1,30,0),ABS(11-$HI29)*100)),100000+ABS(5-$HH29)*1000+110)))-IF((107=$HJ29)+(107=$HK29)+(107=$HL29)+(107=$HM29)+(107=$HN29)+(107=$HO29)&gt;=2,50,0))+DF$5*50)</f>
        <v/>
      </c>
      <c r="DG149">
        <f>IF(OR($JF29=0,calcA!$A$6=0),0,IF(OR(108=$HA29,108=$HD29,108=$HG29),200000,MIN(IF($HA29=0,999999,IF(5=$HB29,IF(108=$HJ29,IF($JC29=2,30,0),IF(108=$HK29,IF($JC29=1,30,0),ABS(12-$HC29)*100)),100000+ABS(5-$HB29)*1000+120)),IF($HD29=0,999999,IF(5=$HE29,IF(108=$HL29,IF($JD29=2,30,0),IF(108=$HM29,IF($JD29=1,30,0),ABS(12-$HF29)*100)),100000+ABS(5-$HE29)*1000+120)),IF($HG29=0,999999,IF(5=$HH29,IF(108=$HN29,IF($JE29=2,30,0),IF(108=$HO29,IF($JE29=1,30,0),ABS(12-$HI29)*100)),100000+ABS(5-$HH29)*1000+120)))-IF((108=$HJ29)+(108=$HK29)+(108=$HL29)+(108=$HM29)+(108=$HN29)+(108=$HO29)&gt;=2,50,0))+DG$5*50)</f>
        <v/>
      </c>
      <c r="DH149">
        <f>IF(OR($JF29=0,calcA!$A$6=0),0,IF(OR(109=$HA29,109=$HD29,109=$HG29),200000,MIN(IF($HA29=0,999999,IF(5=$HB29,IF(109=$HJ29,IF($JC29=2,30,0),IF(109=$HK29,IF($JC29=1,30,0),ABS(13-$HC29)*100)),100000+ABS(5-$HB29)*1000+130)),IF($HD29=0,999999,IF(5=$HE29,IF(109=$HL29,IF($JD29=2,30,0),IF(109=$HM29,IF($JD29=1,30,0),ABS(13-$HF29)*100)),100000+ABS(5-$HE29)*1000+130)),IF($HG29=0,999999,IF(5=$HH29,IF(109=$HN29,IF($JE29=2,30,0),IF(109=$HO29,IF($JE29=1,30,0),ABS(13-$HI29)*100)),100000+ABS(5-$HH29)*1000+130)))-IF((109=$HJ29)+(109=$HK29)+(109=$HL29)+(109=$HM29)+(109=$HN29)+(109=$HO29)&gt;=2,50,0))+DH$5*50)</f>
        <v/>
      </c>
      <c r="DI149">
        <f>IF(OR($JF29=0,calcA!$A$6=0),0,IF(OR(110=$HA29,110=$HD29,110=$HG29),200000,MIN(IF($HA29=0,999999,IF(5=$HB29,IF(110=$HJ29,IF($JC29=2,30,0),IF(110=$HK29,IF($JC29=1,30,0),ABS(14-$HC29)*100)),100000+ABS(5-$HB29)*1000+140)),IF($HD29=0,999999,IF(5=$HE29,IF(110=$HL29,IF($JD29=2,30,0),IF(110=$HM29,IF($JD29=1,30,0),ABS(14-$HF29)*100)),100000+ABS(5-$HE29)*1000+140)),IF($HG29=0,999999,IF(5=$HH29,IF(110=$HN29,IF($JE29=2,30,0),IF(110=$HO29,IF($JE29=1,30,0),ABS(14-$HI29)*100)),100000+ABS(5-$HH29)*1000+140)))-IF((110=$HJ29)+(110=$HK29)+(110=$HL29)+(110=$HM29)+(110=$HN29)+(110=$HO29)&gt;=2,50,0))+DI$5*50)</f>
        <v/>
      </c>
      <c r="DJ149">
        <f>IF(OR($JF29=0,calcA!$A$6=0),0,IF(OR(111=$HA29,111=$HD29,111=$HG29),200000,MIN(IF($HA29=0,999999,IF(5=$HB29,IF(111=$HJ29,IF($JC29=2,30,0),IF(111=$HK29,IF($JC29=1,30,0),ABS(15-$HC29)*100)),100000+ABS(5-$HB29)*1000+150)),IF($HD29=0,999999,IF(5=$HE29,IF(111=$HL29,IF($JD29=2,30,0),IF(111=$HM29,IF($JD29=1,30,0),ABS(15-$HF29)*100)),100000+ABS(5-$HE29)*1000+150)),IF($HG29=0,999999,IF(5=$HH29,IF(111=$HN29,IF($JE29=2,30,0),IF(111=$HO29,IF($JE29=1,30,0),ABS(15-$HI29)*100)),100000+ABS(5-$HH29)*1000+150)))-IF((111=$HJ29)+(111=$HK29)+(111=$HL29)+(111=$HM29)+(111=$HN29)+(111=$HO29)&gt;=2,50,0))+DJ$5*50)</f>
        <v/>
      </c>
      <c r="DK149">
        <f>IF(OR($JF29=0,calcA!$A$6=0),0,IF(OR(112=$HA29,112=$HD29,112=$HG29),200000,MIN(IF($HA29=0,999999,IF(5=$HB29,IF(112=$HJ29,IF($JC29=2,30,0),IF(112=$HK29,IF($JC29=1,30,0),ABS(16-$HC29)*100)),100000+ABS(5-$HB29)*1000+160)),IF($HD29=0,999999,IF(5=$HE29,IF(112=$HL29,IF($JD29=2,30,0),IF(112=$HM29,IF($JD29=1,30,0),ABS(16-$HF29)*100)),100000+ABS(5-$HE29)*1000+160)),IF($HG29=0,999999,IF(5=$HH29,IF(112=$HN29,IF($JE29=2,30,0),IF(112=$HO29,IF($JE29=1,30,0),ABS(16-$HI29)*100)),100000+ABS(5-$HH29)*1000+160)))-IF((112=$HJ29)+(112=$HK29)+(112=$HL29)+(112=$HM29)+(112=$HN29)+(112=$HO29)&gt;=2,50,0))+DK$5*50)</f>
        <v/>
      </c>
      <c r="DL149">
        <f>IF(OR($JF29=0,calcA!$A$6=0),0,IF(OR(113=$HA29,113=$HD29,113=$HG29),200000,MIN(IF($HA29=0,999999,IF(5=$HB29,IF(113=$HJ29,IF($JC29=2,30,0),IF(113=$HK29,IF($JC29=1,30,0),ABS(17-$HC29)*100)),100000+ABS(5-$HB29)*1000+170)),IF($HD29=0,999999,IF(5=$HE29,IF(113=$HL29,IF($JD29=2,30,0),IF(113=$HM29,IF($JD29=1,30,0),ABS(17-$HF29)*100)),100000+ABS(5-$HE29)*1000+170)),IF($HG29=0,999999,IF(5=$HH29,IF(113=$HN29,IF($JE29=2,30,0),IF(113=$HO29,IF($JE29=1,30,0),ABS(17-$HI29)*100)),100000+ABS(5-$HH29)*1000+170)))-IF((113=$HJ29)+(113=$HK29)+(113=$HL29)+(113=$HM29)+(113=$HN29)+(113=$HO29)&gt;=2,50,0))+DL$5*50)</f>
        <v/>
      </c>
      <c r="DM149">
        <f>IF(OR($JF29=0,calcA!$A$6=0),0,IF(OR(114=$HA29,114=$HD29,114=$HG29),200000,MIN(IF($HA29=0,999999,IF(5=$HB29,IF(114=$HJ29,IF($JC29=2,30,0),IF(114=$HK29,IF($JC29=1,30,0),ABS(18-$HC29)*100)),100000+ABS(5-$HB29)*1000+180)),IF($HD29=0,999999,IF(5=$HE29,IF(114=$HL29,IF($JD29=2,30,0),IF(114=$HM29,IF($JD29=1,30,0),ABS(18-$HF29)*100)),100000+ABS(5-$HE29)*1000+180)),IF($HG29=0,999999,IF(5=$HH29,IF(114=$HN29,IF($JE29=2,30,0),IF(114=$HO29,IF($JE29=1,30,0),ABS(18-$HI29)*100)),100000+ABS(5-$HH29)*1000+180)))-IF((114=$HJ29)+(114=$HK29)+(114=$HL29)+(114=$HM29)+(114=$HN29)+(114=$HO29)&gt;=2,50,0))+DM$5*50)</f>
        <v/>
      </c>
      <c r="DN149">
        <f>IF(OR($JF29=0,calcA!$A$6=0),0,IF(OR(115=$HA29,115=$HD29,115=$HG29),200000,MIN(IF($HA29=0,999999,IF(5=$HB29,IF(115=$HJ29,IF($JC29=2,30,0),IF(115=$HK29,IF($JC29=1,30,0),ABS(19-$HC29)*100)),100000+ABS(5-$HB29)*1000+190)),IF($HD29=0,999999,IF(5=$HE29,IF(115=$HL29,IF($JD29=2,30,0),IF(115=$HM29,IF($JD29=1,30,0),ABS(19-$HF29)*100)),100000+ABS(5-$HE29)*1000+190)),IF($HG29=0,999999,IF(5=$HH29,IF(115=$HN29,IF($JE29=2,30,0),IF(115=$HO29,IF($JE29=1,30,0),ABS(19-$HI29)*100)),100000+ABS(5-$HH29)*1000+190)))-IF((115=$HJ29)+(115=$HK29)+(115=$HL29)+(115=$HM29)+(115=$HN29)+(115=$HO29)&gt;=2,50,0))+DN$5*50)</f>
        <v/>
      </c>
      <c r="DO149">
        <f>IF(OR($JF29=0,calcA!$A$6=0),0,IF(OR(116=$HA29,116=$HD29,116=$HG29),200000,MIN(IF($HA29=0,999999,IF(5=$HB29,IF(116=$HJ29,IF($JC29=2,30,0),IF(116=$HK29,IF($JC29=1,30,0),ABS(20-$HC29)*100)),100000+ABS(5-$HB29)*1000+200)),IF($HD29=0,999999,IF(5=$HE29,IF(116=$HL29,IF($JD29=2,30,0),IF(116=$HM29,IF($JD29=1,30,0),ABS(20-$HF29)*100)),100000+ABS(5-$HE29)*1000+200)),IF($HG29=0,999999,IF(5=$HH29,IF(116=$HN29,IF($JE29=2,30,0),IF(116=$HO29,IF($JE29=1,30,0),ABS(20-$HI29)*100)),100000+ABS(5-$HH29)*1000+200)))-IF((116=$HJ29)+(116=$HK29)+(116=$HL29)+(116=$HM29)+(116=$HN29)+(116=$HO29)&gt;=2,50,0))+DO$5*50)</f>
        <v/>
      </c>
      <c r="DP149">
        <f>IF(OR($JF29=0,calcA!$A$6=0),0,IF(OR(117=$HA29,117=$HD29,117=$HG29),200000,MIN(IF($HA29=0,999999,IF(5=$HB29,IF(117=$HJ29,IF($JC29=2,30,0),IF(117=$HK29,IF($JC29=1,30,0),ABS(21-$HC29)*100)),100000+ABS(5-$HB29)*1000+210)),IF($HD29=0,999999,IF(5=$HE29,IF(117=$HL29,IF($JD29=2,30,0),IF(117=$HM29,IF($JD29=1,30,0),ABS(21-$HF29)*100)),100000+ABS(5-$HE29)*1000+210)),IF($HG29=0,999999,IF(5=$HH29,IF(117=$HN29,IF($JE29=2,30,0),IF(117=$HO29,IF($JE29=1,30,0),ABS(21-$HI29)*100)),100000+ABS(5-$HH29)*1000+210)))-IF((117=$HJ29)+(117=$HK29)+(117=$HL29)+(117=$HM29)+(117=$HN29)+(117=$HO29)&gt;=2,50,0))+DP$5*50)</f>
        <v/>
      </c>
      <c r="DQ149">
        <f>IF(OR($JF29=0,calcA!$A$6=0),0,IF(OR(118=$HA29,118=$HD29,118=$HG29),200000,MIN(IF($HA29=0,999999,IF(5=$HB29,IF(118=$HJ29,IF($JC29=2,30,0),IF(118=$HK29,IF($JC29=1,30,0),ABS(22-$HC29)*100)),100000+ABS(5-$HB29)*1000+220)),IF($HD29=0,999999,IF(5=$HE29,IF(118=$HL29,IF($JD29=2,30,0),IF(118=$HM29,IF($JD29=1,30,0),ABS(22-$HF29)*100)),100000+ABS(5-$HE29)*1000+220)),IF($HG29=0,999999,IF(5=$HH29,IF(118=$HN29,IF($JE29=2,30,0),IF(118=$HO29,IF($JE29=1,30,0),ABS(22-$HI29)*100)),100000+ABS(5-$HH29)*1000+220)))-IF((118=$HJ29)+(118=$HK29)+(118=$HL29)+(118=$HM29)+(118=$HN29)+(118=$HO29)&gt;=2,50,0))+DQ$5*50)</f>
        <v/>
      </c>
      <c r="DR149">
        <f>IF(OR($JF29=0,calcA!$A$6=0),0,IF(OR(119=$HA29,119=$HD29,119=$HG29),200000,MIN(IF($HA29=0,999999,IF(5=$HB29,IF(119=$HJ29,IF($JC29=2,30,0),IF(119=$HK29,IF($JC29=1,30,0),ABS(23-$HC29)*100)),100000+ABS(5-$HB29)*1000+230)),IF($HD29=0,999999,IF(5=$HE29,IF(119=$HL29,IF($JD29=2,30,0),IF(119=$HM29,IF($JD29=1,30,0),ABS(23-$HF29)*100)),100000+ABS(5-$HE29)*1000+230)),IF($HG29=0,999999,IF(5=$HH29,IF(119=$HN29,IF($JE29=2,30,0),IF(119=$HO29,IF($JE29=1,30,0),ABS(23-$HI29)*100)),100000+ABS(5-$HH29)*1000+230)))-IF((119=$HJ29)+(119=$HK29)+(119=$HL29)+(119=$HM29)+(119=$HN29)+(119=$HO29)&gt;=2,50,0))+DR$5*50)</f>
        <v/>
      </c>
      <c r="DS149">
        <f>IF(OR($JF29=0,calcA!$A$6=0),0,IF(OR(120=$HA29,120=$HD29,120=$HG29),200000,MIN(IF($HA29=0,999999,IF(5=$HB29,IF(120=$HJ29,IF($JC29=2,30,0),IF(120=$HK29,IF($JC29=1,30,0),ABS(24-$HC29)*100)),100000+ABS(5-$HB29)*1000+240)),IF($HD29=0,999999,IF(5=$HE29,IF(120=$HL29,IF($JD29=2,30,0),IF(120=$HM29,IF($JD29=1,30,0),ABS(24-$HF29)*100)),100000+ABS(5-$HE29)*1000+240)),IF($HG29=0,999999,IF(5=$HH29,IF(120=$HN29,IF($JE29=2,30,0),IF(120=$HO29,IF($JE29=1,30,0),ABS(24-$HI29)*100)),100000+ABS(5-$HH29)*1000+240)))-IF((120=$HJ29)+(120=$HK29)+(120=$HL29)+(120=$HM29)+(120=$HN29)+(120=$HO29)&gt;=2,50,0))+DS$5*50)</f>
        <v/>
      </c>
      <c r="DT149">
        <f>IF(OR($JF29=0,calcA!$A$6=0),0,IF(OR(121=$HA29,121=$HD29,121=$HG29),200000,MIN(IF($HA29=0,999999,IF(6=$HB29,IF(121=$HJ29,IF($JC29=2,30,0),IF(121=$HK29,IF($JC29=1,30,0),ABS(1-$HC29)*100)),100000+ABS(6-$HB29)*1000+10)),IF($HD29=0,999999,IF(6=$HE29,IF(121=$HL29,IF($JD29=2,30,0),IF(121=$HM29,IF($JD29=1,30,0),ABS(1-$HF29)*100)),100000+ABS(6-$HE29)*1000+10)),IF($HG29=0,999999,IF(6=$HH29,IF(121=$HN29,IF($JE29=2,30,0),IF(121=$HO29,IF($JE29=1,30,0),ABS(1-$HI29)*100)),100000+ABS(6-$HH29)*1000+10)))-IF((121=$HJ29)+(121=$HK29)+(121=$HL29)+(121=$HM29)+(121=$HN29)+(121=$HO29)&gt;=2,50,0))+DT$5*50)</f>
        <v/>
      </c>
      <c r="DU149">
        <f>IF(OR($JF29=0,calcA!$A$6=0),0,IF(OR(122=$HA29,122=$HD29,122=$HG29),200000,MIN(IF($HA29=0,999999,IF(6=$HB29,IF(122=$HJ29,IF($JC29=2,30,0),IF(122=$HK29,IF($JC29=1,30,0),ABS(2-$HC29)*100)),100000+ABS(6-$HB29)*1000+20)),IF($HD29=0,999999,IF(6=$HE29,IF(122=$HL29,IF($JD29=2,30,0),IF(122=$HM29,IF($JD29=1,30,0),ABS(2-$HF29)*100)),100000+ABS(6-$HE29)*1000+20)),IF($HG29=0,999999,IF(6=$HH29,IF(122=$HN29,IF($JE29=2,30,0),IF(122=$HO29,IF($JE29=1,30,0),ABS(2-$HI29)*100)),100000+ABS(6-$HH29)*1000+20)))-IF((122=$HJ29)+(122=$HK29)+(122=$HL29)+(122=$HM29)+(122=$HN29)+(122=$HO29)&gt;=2,50,0))+DU$5*50)</f>
        <v/>
      </c>
      <c r="DV149">
        <f>IF(OR($JF29=0,calcA!$A$6=0),0,IF(OR(123=$HA29,123=$HD29,123=$HG29),200000,MIN(IF($HA29=0,999999,IF(6=$HB29,IF(123=$HJ29,IF($JC29=2,30,0),IF(123=$HK29,IF($JC29=1,30,0),ABS(3-$HC29)*100)),100000+ABS(6-$HB29)*1000+30)),IF($HD29=0,999999,IF(6=$HE29,IF(123=$HL29,IF($JD29=2,30,0),IF(123=$HM29,IF($JD29=1,30,0),ABS(3-$HF29)*100)),100000+ABS(6-$HE29)*1000+30)),IF($HG29=0,999999,IF(6=$HH29,IF(123=$HN29,IF($JE29=2,30,0),IF(123=$HO29,IF($JE29=1,30,0),ABS(3-$HI29)*100)),100000+ABS(6-$HH29)*1000+30)))-IF((123=$HJ29)+(123=$HK29)+(123=$HL29)+(123=$HM29)+(123=$HN29)+(123=$HO29)&gt;=2,50,0))+DV$5*50)</f>
        <v/>
      </c>
      <c r="DW149">
        <f>IF(OR($JF29=0,calcA!$A$6=0),0,IF(OR(124=$HA29,124=$HD29,124=$HG29),200000,MIN(IF($HA29=0,999999,IF(6=$HB29,IF(124=$HJ29,IF($JC29=2,30,0),IF(124=$HK29,IF($JC29=1,30,0),ABS(4-$HC29)*100)),100000+ABS(6-$HB29)*1000+40)),IF($HD29=0,999999,IF(6=$HE29,IF(124=$HL29,IF($JD29=2,30,0),IF(124=$HM29,IF($JD29=1,30,0),ABS(4-$HF29)*100)),100000+ABS(6-$HE29)*1000+40)),IF($HG29=0,999999,IF(6=$HH29,IF(124=$HN29,IF($JE29=2,30,0),IF(124=$HO29,IF($JE29=1,30,0),ABS(4-$HI29)*100)),100000+ABS(6-$HH29)*1000+40)))-IF((124=$HJ29)+(124=$HK29)+(124=$HL29)+(124=$HM29)+(124=$HN29)+(124=$HO29)&gt;=2,50,0))+DW$5*50)</f>
        <v/>
      </c>
      <c r="DX149">
        <f>IF(OR($JF29=0,calcA!$A$6=0),0,IF(OR(125=$HA29,125=$HD29,125=$HG29),200000,MIN(IF($HA29=0,999999,IF(6=$HB29,IF(125=$HJ29,IF($JC29=2,30,0),IF(125=$HK29,IF($JC29=1,30,0),ABS(5-$HC29)*100)),100000+ABS(6-$HB29)*1000+50)),IF($HD29=0,999999,IF(6=$HE29,IF(125=$HL29,IF($JD29=2,30,0),IF(125=$HM29,IF($JD29=1,30,0),ABS(5-$HF29)*100)),100000+ABS(6-$HE29)*1000+50)),IF($HG29=0,999999,IF(6=$HH29,IF(125=$HN29,IF($JE29=2,30,0),IF(125=$HO29,IF($JE29=1,30,0),ABS(5-$HI29)*100)),100000+ABS(6-$HH29)*1000+50)))-IF((125=$HJ29)+(125=$HK29)+(125=$HL29)+(125=$HM29)+(125=$HN29)+(125=$HO29)&gt;=2,50,0))+DX$5*50)</f>
        <v/>
      </c>
      <c r="DY149">
        <f>IF(OR($JF29=0,calcA!$A$6=0),0,IF(OR(126=$HA29,126=$HD29,126=$HG29),200000,MIN(IF($HA29=0,999999,IF(6=$HB29,IF(126=$HJ29,IF($JC29=2,30,0),IF(126=$HK29,IF($JC29=1,30,0),ABS(6-$HC29)*100)),100000+ABS(6-$HB29)*1000+60)),IF($HD29=0,999999,IF(6=$HE29,IF(126=$HL29,IF($JD29=2,30,0),IF(126=$HM29,IF($JD29=1,30,0),ABS(6-$HF29)*100)),100000+ABS(6-$HE29)*1000+60)),IF($HG29=0,999999,IF(6=$HH29,IF(126=$HN29,IF($JE29=2,30,0),IF(126=$HO29,IF($JE29=1,30,0),ABS(6-$HI29)*100)),100000+ABS(6-$HH29)*1000+60)))-IF((126=$HJ29)+(126=$HK29)+(126=$HL29)+(126=$HM29)+(126=$HN29)+(126=$HO29)&gt;=2,50,0))+DY$5*50)</f>
        <v/>
      </c>
      <c r="DZ149">
        <f>IF(OR($JF29=0,calcA!$A$6=0),0,IF(OR(127=$HA29,127=$HD29,127=$HG29),200000,MIN(IF($HA29=0,999999,IF(6=$HB29,IF(127=$HJ29,IF($JC29=2,30,0),IF(127=$HK29,IF($JC29=1,30,0),ABS(7-$HC29)*100)),100000+ABS(6-$HB29)*1000+70)),IF($HD29=0,999999,IF(6=$HE29,IF(127=$HL29,IF($JD29=2,30,0),IF(127=$HM29,IF($JD29=1,30,0),ABS(7-$HF29)*100)),100000+ABS(6-$HE29)*1000+70)),IF($HG29=0,999999,IF(6=$HH29,IF(127=$HN29,IF($JE29=2,30,0),IF(127=$HO29,IF($JE29=1,30,0),ABS(7-$HI29)*100)),100000+ABS(6-$HH29)*1000+70)))-IF((127=$HJ29)+(127=$HK29)+(127=$HL29)+(127=$HM29)+(127=$HN29)+(127=$HO29)&gt;=2,50,0))+DZ$5*50)</f>
        <v/>
      </c>
      <c r="EA149">
        <f>IF(OR($JF29=0,calcA!$A$6=0),0,IF(OR(128=$HA29,128=$HD29,128=$HG29),200000,MIN(IF($HA29=0,999999,IF(6=$HB29,IF(128=$HJ29,IF($JC29=2,30,0),IF(128=$HK29,IF($JC29=1,30,0),ABS(8-$HC29)*100)),100000+ABS(6-$HB29)*1000+80)),IF($HD29=0,999999,IF(6=$HE29,IF(128=$HL29,IF($JD29=2,30,0),IF(128=$HM29,IF($JD29=1,30,0),ABS(8-$HF29)*100)),100000+ABS(6-$HE29)*1000+80)),IF($HG29=0,999999,IF(6=$HH29,IF(128=$HN29,IF($JE29=2,30,0),IF(128=$HO29,IF($JE29=1,30,0),ABS(8-$HI29)*100)),100000+ABS(6-$HH29)*1000+80)))-IF((128=$HJ29)+(128=$HK29)+(128=$HL29)+(128=$HM29)+(128=$HN29)+(128=$HO29)&gt;=2,50,0))+EA$5*50)</f>
        <v/>
      </c>
      <c r="EB149">
        <f>IF(OR($JF29=0,calcA!$A$6=0),0,IF(OR(129=$HA29,129=$HD29,129=$HG29),200000,MIN(IF($HA29=0,999999,IF(6=$HB29,IF(129=$HJ29,IF($JC29=2,30,0),IF(129=$HK29,IF($JC29=1,30,0),ABS(9-$HC29)*100)),100000+ABS(6-$HB29)*1000+90)),IF($HD29=0,999999,IF(6=$HE29,IF(129=$HL29,IF($JD29=2,30,0),IF(129=$HM29,IF($JD29=1,30,0),ABS(9-$HF29)*100)),100000+ABS(6-$HE29)*1000+90)),IF($HG29=0,999999,IF(6=$HH29,IF(129=$HN29,IF($JE29=2,30,0),IF(129=$HO29,IF($JE29=1,30,0),ABS(9-$HI29)*100)),100000+ABS(6-$HH29)*1000+90)))-IF((129=$HJ29)+(129=$HK29)+(129=$HL29)+(129=$HM29)+(129=$HN29)+(129=$HO29)&gt;=2,50,0))+EB$5*50)</f>
        <v/>
      </c>
      <c r="EC149">
        <f>IF(OR($JF29=0,calcA!$A$6=0),0,IF(OR(130=$HA29,130=$HD29,130=$HG29),200000,MIN(IF($HA29=0,999999,IF(6=$HB29,IF(130=$HJ29,IF($JC29=2,30,0),IF(130=$HK29,IF($JC29=1,30,0),ABS(10-$HC29)*100)),100000+ABS(6-$HB29)*1000+100)),IF($HD29=0,999999,IF(6=$HE29,IF(130=$HL29,IF($JD29=2,30,0),IF(130=$HM29,IF($JD29=1,30,0),ABS(10-$HF29)*100)),100000+ABS(6-$HE29)*1000+100)),IF($HG29=0,999999,IF(6=$HH29,IF(130=$HN29,IF($JE29=2,30,0),IF(130=$HO29,IF($JE29=1,30,0),ABS(10-$HI29)*100)),100000+ABS(6-$HH29)*1000+100)))-IF((130=$HJ29)+(130=$HK29)+(130=$HL29)+(130=$HM29)+(130=$HN29)+(130=$HO29)&gt;=2,50,0))+EC$5*50)</f>
        <v/>
      </c>
      <c r="ED149">
        <f>IF(OR($JF29=0,calcA!$A$6=0),0,IF(OR(131=$HA29,131=$HD29,131=$HG29),200000,MIN(IF($HA29=0,999999,IF(6=$HB29,IF(131=$HJ29,IF($JC29=2,30,0),IF(131=$HK29,IF($JC29=1,30,0),ABS(11-$HC29)*100)),100000+ABS(6-$HB29)*1000+110)),IF($HD29=0,999999,IF(6=$HE29,IF(131=$HL29,IF($JD29=2,30,0),IF(131=$HM29,IF($JD29=1,30,0),ABS(11-$HF29)*100)),100000+ABS(6-$HE29)*1000+110)),IF($HG29=0,999999,IF(6=$HH29,IF(131=$HN29,IF($JE29=2,30,0),IF(131=$HO29,IF($JE29=1,30,0),ABS(11-$HI29)*100)),100000+ABS(6-$HH29)*1000+110)))-IF((131=$HJ29)+(131=$HK29)+(131=$HL29)+(131=$HM29)+(131=$HN29)+(131=$HO29)&gt;=2,50,0))+ED$5*50)</f>
        <v/>
      </c>
      <c r="EE149">
        <f>IF(OR($JF29=0,calcA!$A$6=0),0,IF(OR(132=$HA29,132=$HD29,132=$HG29),200000,MIN(IF($HA29=0,999999,IF(6=$HB29,IF(132=$HJ29,IF($JC29=2,30,0),IF(132=$HK29,IF($JC29=1,30,0),ABS(12-$HC29)*100)),100000+ABS(6-$HB29)*1000+120)),IF($HD29=0,999999,IF(6=$HE29,IF(132=$HL29,IF($JD29=2,30,0),IF(132=$HM29,IF($JD29=1,30,0),ABS(12-$HF29)*100)),100000+ABS(6-$HE29)*1000+120)),IF($HG29=0,999999,IF(6=$HH29,IF(132=$HN29,IF($JE29=2,30,0),IF(132=$HO29,IF($JE29=1,30,0),ABS(12-$HI29)*100)),100000+ABS(6-$HH29)*1000+120)))-IF((132=$HJ29)+(132=$HK29)+(132=$HL29)+(132=$HM29)+(132=$HN29)+(132=$HO29)&gt;=2,50,0))+EE$5*50)</f>
        <v/>
      </c>
      <c r="EF149">
        <f>IF(OR($JF29=0,calcA!$A$6=0),0,IF(OR(133=$HA29,133=$HD29,133=$HG29),200000,MIN(IF($HA29=0,999999,IF(6=$HB29,IF(133=$HJ29,IF($JC29=2,30,0),IF(133=$HK29,IF($JC29=1,30,0),ABS(13-$HC29)*100)),100000+ABS(6-$HB29)*1000+130)),IF($HD29=0,999999,IF(6=$HE29,IF(133=$HL29,IF($JD29=2,30,0),IF(133=$HM29,IF($JD29=1,30,0),ABS(13-$HF29)*100)),100000+ABS(6-$HE29)*1000+130)),IF($HG29=0,999999,IF(6=$HH29,IF(133=$HN29,IF($JE29=2,30,0),IF(133=$HO29,IF($JE29=1,30,0),ABS(13-$HI29)*100)),100000+ABS(6-$HH29)*1000+130)))-IF((133=$HJ29)+(133=$HK29)+(133=$HL29)+(133=$HM29)+(133=$HN29)+(133=$HO29)&gt;=2,50,0))+EF$5*50)</f>
        <v/>
      </c>
      <c r="EG149">
        <f>IF(OR($JF29=0,calcA!$A$6=0),0,IF(OR(134=$HA29,134=$HD29,134=$HG29),200000,MIN(IF($HA29=0,999999,IF(6=$HB29,IF(134=$HJ29,IF($JC29=2,30,0),IF(134=$HK29,IF($JC29=1,30,0),ABS(14-$HC29)*100)),100000+ABS(6-$HB29)*1000+140)),IF($HD29=0,999999,IF(6=$HE29,IF(134=$HL29,IF($JD29=2,30,0),IF(134=$HM29,IF($JD29=1,30,0),ABS(14-$HF29)*100)),100000+ABS(6-$HE29)*1000+140)),IF($HG29=0,999999,IF(6=$HH29,IF(134=$HN29,IF($JE29=2,30,0),IF(134=$HO29,IF($JE29=1,30,0),ABS(14-$HI29)*100)),100000+ABS(6-$HH29)*1000+140)))-IF((134=$HJ29)+(134=$HK29)+(134=$HL29)+(134=$HM29)+(134=$HN29)+(134=$HO29)&gt;=2,50,0))+EG$5*50)</f>
        <v/>
      </c>
      <c r="EH149">
        <f>IF(OR($JF29=0,calcA!$A$6=0),0,IF(OR(135=$HA29,135=$HD29,135=$HG29),200000,MIN(IF($HA29=0,999999,IF(6=$HB29,IF(135=$HJ29,IF($JC29=2,30,0),IF(135=$HK29,IF($JC29=1,30,0),ABS(15-$HC29)*100)),100000+ABS(6-$HB29)*1000+150)),IF($HD29=0,999999,IF(6=$HE29,IF(135=$HL29,IF($JD29=2,30,0),IF(135=$HM29,IF($JD29=1,30,0),ABS(15-$HF29)*100)),100000+ABS(6-$HE29)*1000+150)),IF($HG29=0,999999,IF(6=$HH29,IF(135=$HN29,IF($JE29=2,30,0),IF(135=$HO29,IF($JE29=1,30,0),ABS(15-$HI29)*100)),100000+ABS(6-$HH29)*1000+150)))-IF((135=$HJ29)+(135=$HK29)+(135=$HL29)+(135=$HM29)+(135=$HN29)+(135=$HO29)&gt;=2,50,0))+EH$5*50)</f>
        <v/>
      </c>
      <c r="EI149">
        <f>IF(OR($JF29=0,calcA!$A$6=0),0,IF(OR(136=$HA29,136=$HD29,136=$HG29),200000,MIN(IF($HA29=0,999999,IF(6=$HB29,IF(136=$HJ29,IF($JC29=2,30,0),IF(136=$HK29,IF($JC29=1,30,0),ABS(16-$HC29)*100)),100000+ABS(6-$HB29)*1000+160)),IF($HD29=0,999999,IF(6=$HE29,IF(136=$HL29,IF($JD29=2,30,0),IF(136=$HM29,IF($JD29=1,30,0),ABS(16-$HF29)*100)),100000+ABS(6-$HE29)*1000+160)),IF($HG29=0,999999,IF(6=$HH29,IF(136=$HN29,IF($JE29=2,30,0),IF(136=$HO29,IF($JE29=1,30,0),ABS(16-$HI29)*100)),100000+ABS(6-$HH29)*1000+160)))-IF((136=$HJ29)+(136=$HK29)+(136=$HL29)+(136=$HM29)+(136=$HN29)+(136=$HO29)&gt;=2,50,0))+EI$5*50)</f>
        <v/>
      </c>
      <c r="EJ149">
        <f>IF(OR($JF29=0,calcA!$A$6=0),0,IF(OR(137=$HA29,137=$HD29,137=$HG29),200000,MIN(IF($HA29=0,999999,IF(6=$HB29,IF(137=$HJ29,IF($JC29=2,30,0),IF(137=$HK29,IF($JC29=1,30,0),ABS(17-$HC29)*100)),100000+ABS(6-$HB29)*1000+170)),IF($HD29=0,999999,IF(6=$HE29,IF(137=$HL29,IF($JD29=2,30,0),IF(137=$HM29,IF($JD29=1,30,0),ABS(17-$HF29)*100)),100000+ABS(6-$HE29)*1000+170)),IF($HG29=0,999999,IF(6=$HH29,IF(137=$HN29,IF($JE29=2,30,0),IF(137=$HO29,IF($JE29=1,30,0),ABS(17-$HI29)*100)),100000+ABS(6-$HH29)*1000+170)))-IF((137=$HJ29)+(137=$HK29)+(137=$HL29)+(137=$HM29)+(137=$HN29)+(137=$HO29)&gt;=2,50,0))+EJ$5*50)</f>
        <v/>
      </c>
      <c r="EK149">
        <f>IF(OR($JF29=0,calcA!$A$6=0),0,IF(OR(138=$HA29,138=$HD29,138=$HG29),200000,MIN(IF($HA29=0,999999,IF(6=$HB29,IF(138=$HJ29,IF($JC29=2,30,0),IF(138=$HK29,IF($JC29=1,30,0),ABS(18-$HC29)*100)),100000+ABS(6-$HB29)*1000+180)),IF($HD29=0,999999,IF(6=$HE29,IF(138=$HL29,IF($JD29=2,30,0),IF(138=$HM29,IF($JD29=1,30,0),ABS(18-$HF29)*100)),100000+ABS(6-$HE29)*1000+180)),IF($HG29=0,999999,IF(6=$HH29,IF(138=$HN29,IF($JE29=2,30,0),IF(138=$HO29,IF($JE29=1,30,0),ABS(18-$HI29)*100)),100000+ABS(6-$HH29)*1000+180)))-IF((138=$HJ29)+(138=$HK29)+(138=$HL29)+(138=$HM29)+(138=$HN29)+(138=$HO29)&gt;=2,50,0))+EK$5*50)</f>
        <v/>
      </c>
      <c r="EL149">
        <f>IF(OR($JF29=0,calcA!$A$6=0),0,IF(OR(139=$HA29,139=$HD29,139=$HG29),200000,MIN(IF($HA29=0,999999,IF(6=$HB29,IF(139=$HJ29,IF($JC29=2,30,0),IF(139=$HK29,IF($JC29=1,30,0),ABS(19-$HC29)*100)),100000+ABS(6-$HB29)*1000+190)),IF($HD29=0,999999,IF(6=$HE29,IF(139=$HL29,IF($JD29=2,30,0),IF(139=$HM29,IF($JD29=1,30,0),ABS(19-$HF29)*100)),100000+ABS(6-$HE29)*1000+190)),IF($HG29=0,999999,IF(6=$HH29,IF(139=$HN29,IF($JE29=2,30,0),IF(139=$HO29,IF($JE29=1,30,0),ABS(19-$HI29)*100)),100000+ABS(6-$HH29)*1000+190)))-IF((139=$HJ29)+(139=$HK29)+(139=$HL29)+(139=$HM29)+(139=$HN29)+(139=$HO29)&gt;=2,50,0))+EL$5*50)</f>
        <v/>
      </c>
      <c r="EM149">
        <f>IF(OR($JF29=0,calcA!$A$6=0),0,IF(OR(140=$HA29,140=$HD29,140=$HG29),200000,MIN(IF($HA29=0,999999,IF(6=$HB29,IF(140=$HJ29,IF($JC29=2,30,0),IF(140=$HK29,IF($JC29=1,30,0),ABS(20-$HC29)*100)),100000+ABS(6-$HB29)*1000+200)),IF($HD29=0,999999,IF(6=$HE29,IF(140=$HL29,IF($JD29=2,30,0),IF(140=$HM29,IF($JD29=1,30,0),ABS(20-$HF29)*100)),100000+ABS(6-$HE29)*1000+200)),IF($HG29=0,999999,IF(6=$HH29,IF(140=$HN29,IF($JE29=2,30,0),IF(140=$HO29,IF($JE29=1,30,0),ABS(20-$HI29)*100)),100000+ABS(6-$HH29)*1000+200)))-IF((140=$HJ29)+(140=$HK29)+(140=$HL29)+(140=$HM29)+(140=$HN29)+(140=$HO29)&gt;=2,50,0))+EM$5*50)</f>
        <v/>
      </c>
      <c r="EN149">
        <f>IF(OR($JF29=0,calcA!$A$6=0),0,IF(OR(141=$HA29,141=$HD29,141=$HG29),200000,MIN(IF($HA29=0,999999,IF(6=$HB29,IF(141=$HJ29,IF($JC29=2,30,0),IF(141=$HK29,IF($JC29=1,30,0),ABS(21-$HC29)*100)),100000+ABS(6-$HB29)*1000+210)),IF($HD29=0,999999,IF(6=$HE29,IF(141=$HL29,IF($JD29=2,30,0),IF(141=$HM29,IF($JD29=1,30,0),ABS(21-$HF29)*100)),100000+ABS(6-$HE29)*1000+210)),IF($HG29=0,999999,IF(6=$HH29,IF(141=$HN29,IF($JE29=2,30,0),IF(141=$HO29,IF($JE29=1,30,0),ABS(21-$HI29)*100)),100000+ABS(6-$HH29)*1000+210)))-IF((141=$HJ29)+(141=$HK29)+(141=$HL29)+(141=$HM29)+(141=$HN29)+(141=$HO29)&gt;=2,50,0))+EN$5*50)</f>
        <v/>
      </c>
      <c r="EO149">
        <f>IF(OR($JF29=0,calcA!$A$6=0),0,IF(OR(142=$HA29,142=$HD29,142=$HG29),200000,MIN(IF($HA29=0,999999,IF(6=$HB29,IF(142=$HJ29,IF($JC29=2,30,0),IF(142=$HK29,IF($JC29=1,30,0),ABS(22-$HC29)*100)),100000+ABS(6-$HB29)*1000+220)),IF($HD29=0,999999,IF(6=$HE29,IF(142=$HL29,IF($JD29=2,30,0),IF(142=$HM29,IF($JD29=1,30,0),ABS(22-$HF29)*100)),100000+ABS(6-$HE29)*1000+220)),IF($HG29=0,999999,IF(6=$HH29,IF(142=$HN29,IF($JE29=2,30,0),IF(142=$HO29,IF($JE29=1,30,0),ABS(22-$HI29)*100)),100000+ABS(6-$HH29)*1000+220)))-IF((142=$HJ29)+(142=$HK29)+(142=$HL29)+(142=$HM29)+(142=$HN29)+(142=$HO29)&gt;=2,50,0))+EO$5*50)</f>
        <v/>
      </c>
      <c r="EP149">
        <f>IF(OR($JF29=0,calcA!$A$6=0),0,IF(OR(143=$HA29,143=$HD29,143=$HG29),200000,MIN(IF($HA29=0,999999,IF(6=$HB29,IF(143=$HJ29,IF($JC29=2,30,0),IF(143=$HK29,IF($JC29=1,30,0),ABS(23-$HC29)*100)),100000+ABS(6-$HB29)*1000+230)),IF($HD29=0,999999,IF(6=$HE29,IF(143=$HL29,IF($JD29=2,30,0),IF(143=$HM29,IF($JD29=1,30,0),ABS(23-$HF29)*100)),100000+ABS(6-$HE29)*1000+230)),IF($HG29=0,999999,IF(6=$HH29,IF(143=$HN29,IF($JE29=2,30,0),IF(143=$HO29,IF($JE29=1,30,0),ABS(23-$HI29)*100)),100000+ABS(6-$HH29)*1000+230)))-IF((143=$HJ29)+(143=$HK29)+(143=$HL29)+(143=$HM29)+(143=$HN29)+(143=$HO29)&gt;=2,50,0))+EP$5*50)</f>
        <v/>
      </c>
      <c r="EQ149">
        <f>IF(OR($JF29=0,calcA!$A$6=0),0,IF(OR(144=$HA29,144=$HD29,144=$HG29),200000,MIN(IF($HA29=0,999999,IF(6=$HB29,IF(144=$HJ29,IF($JC29=2,30,0),IF(144=$HK29,IF($JC29=1,30,0),ABS(24-$HC29)*100)),100000+ABS(6-$HB29)*1000+240)),IF($HD29=0,999999,IF(6=$HE29,IF(144=$HL29,IF($JD29=2,30,0),IF(144=$HM29,IF($JD29=1,30,0),ABS(24-$HF29)*100)),100000+ABS(6-$HE29)*1000+240)),IF($HG29=0,999999,IF(6=$HH29,IF(144=$HN29,IF($JE29=2,30,0),IF(144=$HO29,IF($JE29=1,30,0),ABS(24-$HI29)*100)),100000+ABS(6-$HH29)*1000+240)))-IF((144=$HJ29)+(144=$HK29)+(144=$HL29)+(144=$HM29)+(144=$HN29)+(144=$HO29)&gt;=2,50,0))+EQ$5*50)</f>
        <v/>
      </c>
    </row>
    <row r="150">
      <c r="D150">
        <f>IF(OR($JF30=0,calcA!$A$6=0),0,IF(OR(1=$HA30,1=$HD30,1=$HG30),200000,MIN(IF($HA30=0,999999,IF(1=$HB30,IF(1=$HJ30,IF($JC30=2,30,0),IF(1=$HK30,IF($JC30=1,30,0),ABS(1-$HC30)*100)),100000+ABS(1-$HB30)*1000+10)),IF($HD30=0,999999,IF(1=$HE30,IF(1=$HL30,IF($JD30=2,30,0),IF(1=$HM30,IF($JD30=1,30,0),ABS(1-$HF30)*100)),100000+ABS(1-$HE30)*1000+10)),IF($HG30=0,999999,IF(1=$HH30,IF(1=$HN30,IF($JE30=2,30,0),IF(1=$HO30,IF($JE30=1,30,0),ABS(1-$HI30)*100)),100000+ABS(1-$HH30)*1000+10)))-IF((1=$HJ30)+(1=$HK30)+(1=$HL30)+(1=$HM30)+(1=$HN30)+(1=$HO30)&gt;=2,50,0))+D$5*50)</f>
        <v/>
      </c>
      <c r="E150">
        <f>IF(OR($JF30=0,calcA!$A$6=0),0,IF(OR(2=$HA30,2=$HD30,2=$HG30),200000,MIN(IF($HA30=0,999999,IF(1=$HB30,IF(2=$HJ30,IF($JC30=2,30,0),IF(2=$HK30,IF($JC30=1,30,0),ABS(2-$HC30)*100)),100000+ABS(1-$HB30)*1000+20)),IF($HD30=0,999999,IF(1=$HE30,IF(2=$HL30,IF($JD30=2,30,0),IF(2=$HM30,IF($JD30=1,30,0),ABS(2-$HF30)*100)),100000+ABS(1-$HE30)*1000+20)),IF($HG30=0,999999,IF(1=$HH30,IF(2=$HN30,IF($JE30=2,30,0),IF(2=$HO30,IF($JE30=1,30,0),ABS(2-$HI30)*100)),100000+ABS(1-$HH30)*1000+20)))-IF((2=$HJ30)+(2=$HK30)+(2=$HL30)+(2=$HM30)+(2=$HN30)+(2=$HO30)&gt;=2,50,0))+E$5*50)</f>
        <v/>
      </c>
      <c r="F150">
        <f>IF(OR($JF30=0,calcA!$A$6=0),0,IF(OR(3=$HA30,3=$HD30,3=$HG30),200000,MIN(IF($HA30=0,999999,IF(1=$HB30,IF(3=$HJ30,IF($JC30=2,30,0),IF(3=$HK30,IF($JC30=1,30,0),ABS(3-$HC30)*100)),100000+ABS(1-$HB30)*1000+30)),IF($HD30=0,999999,IF(1=$HE30,IF(3=$HL30,IF($JD30=2,30,0),IF(3=$HM30,IF($JD30=1,30,0),ABS(3-$HF30)*100)),100000+ABS(1-$HE30)*1000+30)),IF($HG30=0,999999,IF(1=$HH30,IF(3=$HN30,IF($JE30=2,30,0),IF(3=$HO30,IF($JE30=1,30,0),ABS(3-$HI30)*100)),100000+ABS(1-$HH30)*1000+30)))-IF((3=$HJ30)+(3=$HK30)+(3=$HL30)+(3=$HM30)+(3=$HN30)+(3=$HO30)&gt;=2,50,0))+F$5*50)</f>
        <v/>
      </c>
      <c r="G150">
        <f>IF(OR($JF30=0,calcA!$A$6=0),0,IF(OR(4=$HA30,4=$HD30,4=$HG30),200000,MIN(IF($HA30=0,999999,IF(1=$HB30,IF(4=$HJ30,IF($JC30=2,30,0),IF(4=$HK30,IF($JC30=1,30,0),ABS(4-$HC30)*100)),100000+ABS(1-$HB30)*1000+40)),IF($HD30=0,999999,IF(1=$HE30,IF(4=$HL30,IF($JD30=2,30,0),IF(4=$HM30,IF($JD30=1,30,0),ABS(4-$HF30)*100)),100000+ABS(1-$HE30)*1000+40)),IF($HG30=0,999999,IF(1=$HH30,IF(4=$HN30,IF($JE30=2,30,0),IF(4=$HO30,IF($JE30=1,30,0),ABS(4-$HI30)*100)),100000+ABS(1-$HH30)*1000+40)))-IF((4=$HJ30)+(4=$HK30)+(4=$HL30)+(4=$HM30)+(4=$HN30)+(4=$HO30)&gt;=2,50,0))+G$5*50)</f>
        <v/>
      </c>
      <c r="H150">
        <f>IF(OR($JF30=0,calcA!$A$6=0),0,IF(OR(5=$HA30,5=$HD30,5=$HG30),200000,MIN(IF($HA30=0,999999,IF(1=$HB30,IF(5=$HJ30,IF($JC30=2,30,0),IF(5=$HK30,IF($JC30=1,30,0),ABS(5-$HC30)*100)),100000+ABS(1-$HB30)*1000+50)),IF($HD30=0,999999,IF(1=$HE30,IF(5=$HL30,IF($JD30=2,30,0),IF(5=$HM30,IF($JD30=1,30,0),ABS(5-$HF30)*100)),100000+ABS(1-$HE30)*1000+50)),IF($HG30=0,999999,IF(1=$HH30,IF(5=$HN30,IF($JE30=2,30,0),IF(5=$HO30,IF($JE30=1,30,0),ABS(5-$HI30)*100)),100000+ABS(1-$HH30)*1000+50)))-IF((5=$HJ30)+(5=$HK30)+(5=$HL30)+(5=$HM30)+(5=$HN30)+(5=$HO30)&gt;=2,50,0))+H$5*50)</f>
        <v/>
      </c>
      <c r="I150">
        <f>IF(OR($JF30=0,calcA!$A$6=0),0,IF(OR(6=$HA30,6=$HD30,6=$HG30),200000,MIN(IF($HA30=0,999999,IF(1=$HB30,IF(6=$HJ30,IF($JC30=2,30,0),IF(6=$HK30,IF($JC30=1,30,0),ABS(6-$HC30)*100)),100000+ABS(1-$HB30)*1000+60)),IF($HD30=0,999999,IF(1=$HE30,IF(6=$HL30,IF($JD30=2,30,0),IF(6=$HM30,IF($JD30=1,30,0),ABS(6-$HF30)*100)),100000+ABS(1-$HE30)*1000+60)),IF($HG30=0,999999,IF(1=$HH30,IF(6=$HN30,IF($JE30=2,30,0),IF(6=$HO30,IF($JE30=1,30,0),ABS(6-$HI30)*100)),100000+ABS(1-$HH30)*1000+60)))-IF((6=$HJ30)+(6=$HK30)+(6=$HL30)+(6=$HM30)+(6=$HN30)+(6=$HO30)&gt;=2,50,0))+I$5*50)</f>
        <v/>
      </c>
      <c r="J150">
        <f>IF(OR($JF30=0,calcA!$A$6=0),0,IF(OR(7=$HA30,7=$HD30,7=$HG30),200000,MIN(IF($HA30=0,999999,IF(1=$HB30,IF(7=$HJ30,IF($JC30=2,30,0),IF(7=$HK30,IF($JC30=1,30,0),ABS(7-$HC30)*100)),100000+ABS(1-$HB30)*1000+70)),IF($HD30=0,999999,IF(1=$HE30,IF(7=$HL30,IF($JD30=2,30,0),IF(7=$HM30,IF($JD30=1,30,0),ABS(7-$HF30)*100)),100000+ABS(1-$HE30)*1000+70)),IF($HG30=0,999999,IF(1=$HH30,IF(7=$HN30,IF($JE30=2,30,0),IF(7=$HO30,IF($JE30=1,30,0),ABS(7-$HI30)*100)),100000+ABS(1-$HH30)*1000+70)))-IF((7=$HJ30)+(7=$HK30)+(7=$HL30)+(7=$HM30)+(7=$HN30)+(7=$HO30)&gt;=2,50,0))+J$5*50)</f>
        <v/>
      </c>
      <c r="K150">
        <f>IF(OR($JF30=0,calcA!$A$6=0),0,IF(OR(8=$HA30,8=$HD30,8=$HG30),200000,MIN(IF($HA30=0,999999,IF(1=$HB30,IF(8=$HJ30,IF($JC30=2,30,0),IF(8=$HK30,IF($JC30=1,30,0),ABS(8-$HC30)*100)),100000+ABS(1-$HB30)*1000+80)),IF($HD30=0,999999,IF(1=$HE30,IF(8=$HL30,IF($JD30=2,30,0),IF(8=$HM30,IF($JD30=1,30,0),ABS(8-$HF30)*100)),100000+ABS(1-$HE30)*1000+80)),IF($HG30=0,999999,IF(1=$HH30,IF(8=$HN30,IF($JE30=2,30,0),IF(8=$HO30,IF($JE30=1,30,0),ABS(8-$HI30)*100)),100000+ABS(1-$HH30)*1000+80)))-IF((8=$HJ30)+(8=$HK30)+(8=$HL30)+(8=$HM30)+(8=$HN30)+(8=$HO30)&gt;=2,50,0))+K$5*50)</f>
        <v/>
      </c>
      <c r="L150">
        <f>IF(OR($JF30=0,calcA!$A$6=0),0,IF(OR(9=$HA30,9=$HD30,9=$HG30),200000,MIN(IF($HA30=0,999999,IF(1=$HB30,IF(9=$HJ30,IF($JC30=2,30,0),IF(9=$HK30,IF($JC30=1,30,0),ABS(9-$HC30)*100)),100000+ABS(1-$HB30)*1000+90)),IF($HD30=0,999999,IF(1=$HE30,IF(9=$HL30,IF($JD30=2,30,0),IF(9=$HM30,IF($JD30=1,30,0),ABS(9-$HF30)*100)),100000+ABS(1-$HE30)*1000+90)),IF($HG30=0,999999,IF(1=$HH30,IF(9=$HN30,IF($JE30=2,30,0),IF(9=$HO30,IF($JE30=1,30,0),ABS(9-$HI30)*100)),100000+ABS(1-$HH30)*1000+90)))-IF((9=$HJ30)+(9=$HK30)+(9=$HL30)+(9=$HM30)+(9=$HN30)+(9=$HO30)&gt;=2,50,0))+L$5*50)</f>
        <v/>
      </c>
      <c r="M150">
        <f>IF(OR($JF30=0,calcA!$A$6=0),0,IF(OR(10=$HA30,10=$HD30,10=$HG30),200000,MIN(IF($HA30=0,999999,IF(1=$HB30,IF(10=$HJ30,IF($JC30=2,30,0),IF(10=$HK30,IF($JC30=1,30,0),ABS(10-$HC30)*100)),100000+ABS(1-$HB30)*1000+100)),IF($HD30=0,999999,IF(1=$HE30,IF(10=$HL30,IF($JD30=2,30,0),IF(10=$HM30,IF($JD30=1,30,0),ABS(10-$HF30)*100)),100000+ABS(1-$HE30)*1000+100)),IF($HG30=0,999999,IF(1=$HH30,IF(10=$HN30,IF($JE30=2,30,0),IF(10=$HO30,IF($JE30=1,30,0),ABS(10-$HI30)*100)),100000+ABS(1-$HH30)*1000+100)))-IF((10=$HJ30)+(10=$HK30)+(10=$HL30)+(10=$HM30)+(10=$HN30)+(10=$HO30)&gt;=2,50,0))+M$5*50)</f>
        <v/>
      </c>
      <c r="N150">
        <f>IF(OR($JF30=0,calcA!$A$6=0),0,IF(OR(11=$HA30,11=$HD30,11=$HG30),200000,MIN(IF($HA30=0,999999,IF(1=$HB30,IF(11=$HJ30,IF($JC30=2,30,0),IF(11=$HK30,IF($JC30=1,30,0),ABS(11-$HC30)*100)),100000+ABS(1-$HB30)*1000+110)),IF($HD30=0,999999,IF(1=$HE30,IF(11=$HL30,IF($JD30=2,30,0),IF(11=$HM30,IF($JD30=1,30,0),ABS(11-$HF30)*100)),100000+ABS(1-$HE30)*1000+110)),IF($HG30=0,999999,IF(1=$HH30,IF(11=$HN30,IF($JE30=2,30,0),IF(11=$HO30,IF($JE30=1,30,0),ABS(11-$HI30)*100)),100000+ABS(1-$HH30)*1000+110)))-IF((11=$HJ30)+(11=$HK30)+(11=$HL30)+(11=$HM30)+(11=$HN30)+(11=$HO30)&gt;=2,50,0))+N$5*50)</f>
        <v/>
      </c>
      <c r="O150">
        <f>IF(OR($JF30=0,calcA!$A$6=0),0,IF(OR(12=$HA30,12=$HD30,12=$HG30),200000,MIN(IF($HA30=0,999999,IF(1=$HB30,IF(12=$HJ30,IF($JC30=2,30,0),IF(12=$HK30,IF($JC30=1,30,0),ABS(12-$HC30)*100)),100000+ABS(1-$HB30)*1000+120)),IF($HD30=0,999999,IF(1=$HE30,IF(12=$HL30,IF($JD30=2,30,0),IF(12=$HM30,IF($JD30=1,30,0),ABS(12-$HF30)*100)),100000+ABS(1-$HE30)*1000+120)),IF($HG30=0,999999,IF(1=$HH30,IF(12=$HN30,IF($JE30=2,30,0),IF(12=$HO30,IF($JE30=1,30,0),ABS(12-$HI30)*100)),100000+ABS(1-$HH30)*1000+120)))-IF((12=$HJ30)+(12=$HK30)+(12=$HL30)+(12=$HM30)+(12=$HN30)+(12=$HO30)&gt;=2,50,0))+O$5*50)</f>
        <v/>
      </c>
      <c r="P150">
        <f>IF(OR($JF30=0,calcA!$A$6=0),0,IF(OR(13=$HA30,13=$HD30,13=$HG30),200000,MIN(IF($HA30=0,999999,IF(1=$HB30,IF(13=$HJ30,IF($JC30=2,30,0),IF(13=$HK30,IF($JC30=1,30,0),ABS(13-$HC30)*100)),100000+ABS(1-$HB30)*1000+130)),IF($HD30=0,999999,IF(1=$HE30,IF(13=$HL30,IF($JD30=2,30,0),IF(13=$HM30,IF($JD30=1,30,0),ABS(13-$HF30)*100)),100000+ABS(1-$HE30)*1000+130)),IF($HG30=0,999999,IF(1=$HH30,IF(13=$HN30,IF($JE30=2,30,0),IF(13=$HO30,IF($JE30=1,30,0),ABS(13-$HI30)*100)),100000+ABS(1-$HH30)*1000+130)))-IF((13=$HJ30)+(13=$HK30)+(13=$HL30)+(13=$HM30)+(13=$HN30)+(13=$HO30)&gt;=2,50,0))+P$5*50)</f>
        <v/>
      </c>
      <c r="Q150">
        <f>IF(OR($JF30=0,calcA!$A$6=0),0,IF(OR(14=$HA30,14=$HD30,14=$HG30),200000,MIN(IF($HA30=0,999999,IF(1=$HB30,IF(14=$HJ30,IF($JC30=2,30,0),IF(14=$HK30,IF($JC30=1,30,0),ABS(14-$HC30)*100)),100000+ABS(1-$HB30)*1000+140)),IF($HD30=0,999999,IF(1=$HE30,IF(14=$HL30,IF($JD30=2,30,0),IF(14=$HM30,IF($JD30=1,30,0),ABS(14-$HF30)*100)),100000+ABS(1-$HE30)*1000+140)),IF($HG30=0,999999,IF(1=$HH30,IF(14=$HN30,IF($JE30=2,30,0),IF(14=$HO30,IF($JE30=1,30,0),ABS(14-$HI30)*100)),100000+ABS(1-$HH30)*1000+140)))-IF((14=$HJ30)+(14=$HK30)+(14=$HL30)+(14=$HM30)+(14=$HN30)+(14=$HO30)&gt;=2,50,0))+Q$5*50)</f>
        <v/>
      </c>
      <c r="R150">
        <f>IF(OR($JF30=0,calcA!$A$6=0),0,IF(OR(15=$HA30,15=$HD30,15=$HG30),200000,MIN(IF($HA30=0,999999,IF(1=$HB30,IF(15=$HJ30,IF($JC30=2,30,0),IF(15=$HK30,IF($JC30=1,30,0),ABS(15-$HC30)*100)),100000+ABS(1-$HB30)*1000+150)),IF($HD30=0,999999,IF(1=$HE30,IF(15=$HL30,IF($JD30=2,30,0),IF(15=$HM30,IF($JD30=1,30,0),ABS(15-$HF30)*100)),100000+ABS(1-$HE30)*1000+150)),IF($HG30=0,999999,IF(1=$HH30,IF(15=$HN30,IF($JE30=2,30,0),IF(15=$HO30,IF($JE30=1,30,0),ABS(15-$HI30)*100)),100000+ABS(1-$HH30)*1000+150)))-IF((15=$HJ30)+(15=$HK30)+(15=$HL30)+(15=$HM30)+(15=$HN30)+(15=$HO30)&gt;=2,50,0))+R$5*50)</f>
        <v/>
      </c>
      <c r="S150">
        <f>IF(OR($JF30=0,calcA!$A$6=0),0,IF(OR(16=$HA30,16=$HD30,16=$HG30),200000,MIN(IF($HA30=0,999999,IF(1=$HB30,IF(16=$HJ30,IF($JC30=2,30,0),IF(16=$HK30,IF($JC30=1,30,0),ABS(16-$HC30)*100)),100000+ABS(1-$HB30)*1000+160)),IF($HD30=0,999999,IF(1=$HE30,IF(16=$HL30,IF($JD30=2,30,0),IF(16=$HM30,IF($JD30=1,30,0),ABS(16-$HF30)*100)),100000+ABS(1-$HE30)*1000+160)),IF($HG30=0,999999,IF(1=$HH30,IF(16=$HN30,IF($JE30=2,30,0),IF(16=$HO30,IF($JE30=1,30,0),ABS(16-$HI30)*100)),100000+ABS(1-$HH30)*1000+160)))-IF((16=$HJ30)+(16=$HK30)+(16=$HL30)+(16=$HM30)+(16=$HN30)+(16=$HO30)&gt;=2,50,0))+S$5*50)</f>
        <v/>
      </c>
      <c r="T150">
        <f>IF(OR($JF30=0,calcA!$A$6=0),0,IF(OR(17=$HA30,17=$HD30,17=$HG30),200000,MIN(IF($HA30=0,999999,IF(1=$HB30,IF(17=$HJ30,IF($JC30=2,30,0),IF(17=$HK30,IF($JC30=1,30,0),ABS(17-$HC30)*100)),100000+ABS(1-$HB30)*1000+170)),IF($HD30=0,999999,IF(1=$HE30,IF(17=$HL30,IF($JD30=2,30,0),IF(17=$HM30,IF($JD30=1,30,0),ABS(17-$HF30)*100)),100000+ABS(1-$HE30)*1000+170)),IF($HG30=0,999999,IF(1=$HH30,IF(17=$HN30,IF($JE30=2,30,0),IF(17=$HO30,IF($JE30=1,30,0),ABS(17-$HI30)*100)),100000+ABS(1-$HH30)*1000+170)))-IF((17=$HJ30)+(17=$HK30)+(17=$HL30)+(17=$HM30)+(17=$HN30)+(17=$HO30)&gt;=2,50,0))+T$5*50)</f>
        <v/>
      </c>
      <c r="U150">
        <f>IF(OR($JF30=0,calcA!$A$6=0),0,IF(OR(18=$HA30,18=$HD30,18=$HG30),200000,MIN(IF($HA30=0,999999,IF(1=$HB30,IF(18=$HJ30,IF($JC30=2,30,0),IF(18=$HK30,IF($JC30=1,30,0),ABS(18-$HC30)*100)),100000+ABS(1-$HB30)*1000+180)),IF($HD30=0,999999,IF(1=$HE30,IF(18=$HL30,IF($JD30=2,30,0),IF(18=$HM30,IF($JD30=1,30,0),ABS(18-$HF30)*100)),100000+ABS(1-$HE30)*1000+180)),IF($HG30=0,999999,IF(1=$HH30,IF(18=$HN30,IF($JE30=2,30,0),IF(18=$HO30,IF($JE30=1,30,0),ABS(18-$HI30)*100)),100000+ABS(1-$HH30)*1000+180)))-IF((18=$HJ30)+(18=$HK30)+(18=$HL30)+(18=$HM30)+(18=$HN30)+(18=$HO30)&gt;=2,50,0))+U$5*50)</f>
        <v/>
      </c>
      <c r="V150">
        <f>IF(OR($JF30=0,calcA!$A$6=0),0,IF(OR(19=$HA30,19=$HD30,19=$HG30),200000,MIN(IF($HA30=0,999999,IF(1=$HB30,IF(19=$HJ30,IF($JC30=2,30,0),IF(19=$HK30,IF($JC30=1,30,0),ABS(19-$HC30)*100)),100000+ABS(1-$HB30)*1000+190)),IF($HD30=0,999999,IF(1=$HE30,IF(19=$HL30,IF($JD30=2,30,0),IF(19=$HM30,IF($JD30=1,30,0),ABS(19-$HF30)*100)),100000+ABS(1-$HE30)*1000+190)),IF($HG30=0,999999,IF(1=$HH30,IF(19=$HN30,IF($JE30=2,30,0),IF(19=$HO30,IF($JE30=1,30,0),ABS(19-$HI30)*100)),100000+ABS(1-$HH30)*1000+190)))-IF((19=$HJ30)+(19=$HK30)+(19=$HL30)+(19=$HM30)+(19=$HN30)+(19=$HO30)&gt;=2,50,0))+V$5*50)</f>
        <v/>
      </c>
      <c r="W150">
        <f>IF(OR($JF30=0,calcA!$A$6=0),0,IF(OR(20=$HA30,20=$HD30,20=$HG30),200000,MIN(IF($HA30=0,999999,IF(1=$HB30,IF(20=$HJ30,IF($JC30=2,30,0),IF(20=$HK30,IF($JC30=1,30,0),ABS(20-$HC30)*100)),100000+ABS(1-$HB30)*1000+200)),IF($HD30=0,999999,IF(1=$HE30,IF(20=$HL30,IF($JD30=2,30,0),IF(20=$HM30,IF($JD30=1,30,0),ABS(20-$HF30)*100)),100000+ABS(1-$HE30)*1000+200)),IF($HG30=0,999999,IF(1=$HH30,IF(20=$HN30,IF($JE30=2,30,0),IF(20=$HO30,IF($JE30=1,30,0),ABS(20-$HI30)*100)),100000+ABS(1-$HH30)*1000+200)))-IF((20=$HJ30)+(20=$HK30)+(20=$HL30)+(20=$HM30)+(20=$HN30)+(20=$HO30)&gt;=2,50,0))+W$5*50)</f>
        <v/>
      </c>
      <c r="X150">
        <f>IF(OR($JF30=0,calcA!$A$6=0),0,IF(OR(21=$HA30,21=$HD30,21=$HG30),200000,MIN(IF($HA30=0,999999,IF(1=$HB30,IF(21=$HJ30,IF($JC30=2,30,0),IF(21=$HK30,IF($JC30=1,30,0),ABS(21-$HC30)*100)),100000+ABS(1-$HB30)*1000+210)),IF($HD30=0,999999,IF(1=$HE30,IF(21=$HL30,IF($JD30=2,30,0),IF(21=$HM30,IF($JD30=1,30,0),ABS(21-$HF30)*100)),100000+ABS(1-$HE30)*1000+210)),IF($HG30=0,999999,IF(1=$HH30,IF(21=$HN30,IF($JE30=2,30,0),IF(21=$HO30,IF($JE30=1,30,0),ABS(21-$HI30)*100)),100000+ABS(1-$HH30)*1000+210)))-IF((21=$HJ30)+(21=$HK30)+(21=$HL30)+(21=$HM30)+(21=$HN30)+(21=$HO30)&gt;=2,50,0))+X$5*50)</f>
        <v/>
      </c>
      <c r="Y150">
        <f>IF(OR($JF30=0,calcA!$A$6=0),0,IF(OR(22=$HA30,22=$HD30,22=$HG30),200000,MIN(IF($HA30=0,999999,IF(1=$HB30,IF(22=$HJ30,IF($JC30=2,30,0),IF(22=$HK30,IF($JC30=1,30,0),ABS(22-$HC30)*100)),100000+ABS(1-$HB30)*1000+220)),IF($HD30=0,999999,IF(1=$HE30,IF(22=$HL30,IF($JD30=2,30,0),IF(22=$HM30,IF($JD30=1,30,0),ABS(22-$HF30)*100)),100000+ABS(1-$HE30)*1000+220)),IF($HG30=0,999999,IF(1=$HH30,IF(22=$HN30,IF($JE30=2,30,0),IF(22=$HO30,IF($JE30=1,30,0),ABS(22-$HI30)*100)),100000+ABS(1-$HH30)*1000+220)))-IF((22=$HJ30)+(22=$HK30)+(22=$HL30)+(22=$HM30)+(22=$HN30)+(22=$HO30)&gt;=2,50,0))+Y$5*50)</f>
        <v/>
      </c>
      <c r="Z150">
        <f>IF(OR($JF30=0,calcA!$A$6=0),0,IF(OR(23=$HA30,23=$HD30,23=$HG30),200000,MIN(IF($HA30=0,999999,IF(1=$HB30,IF(23=$HJ30,IF($JC30=2,30,0),IF(23=$HK30,IF($JC30=1,30,0),ABS(23-$HC30)*100)),100000+ABS(1-$HB30)*1000+230)),IF($HD30=0,999999,IF(1=$HE30,IF(23=$HL30,IF($JD30=2,30,0),IF(23=$HM30,IF($JD30=1,30,0),ABS(23-$HF30)*100)),100000+ABS(1-$HE30)*1000+230)),IF($HG30=0,999999,IF(1=$HH30,IF(23=$HN30,IF($JE30=2,30,0),IF(23=$HO30,IF($JE30=1,30,0),ABS(23-$HI30)*100)),100000+ABS(1-$HH30)*1000+230)))-IF((23=$HJ30)+(23=$HK30)+(23=$HL30)+(23=$HM30)+(23=$HN30)+(23=$HO30)&gt;=2,50,0))+Z$5*50)</f>
        <v/>
      </c>
      <c r="AA150">
        <f>IF(OR($JF30=0,calcA!$A$6=0),0,IF(OR(24=$HA30,24=$HD30,24=$HG30),200000,MIN(IF($HA30=0,999999,IF(1=$HB30,IF(24=$HJ30,IF($JC30=2,30,0),IF(24=$HK30,IF($JC30=1,30,0),ABS(24-$HC30)*100)),100000+ABS(1-$HB30)*1000+240)),IF($HD30=0,999999,IF(1=$HE30,IF(24=$HL30,IF($JD30=2,30,0),IF(24=$HM30,IF($JD30=1,30,0),ABS(24-$HF30)*100)),100000+ABS(1-$HE30)*1000+240)),IF($HG30=0,999999,IF(1=$HH30,IF(24=$HN30,IF($JE30=2,30,0),IF(24=$HO30,IF($JE30=1,30,0),ABS(24-$HI30)*100)),100000+ABS(1-$HH30)*1000+240)))-IF((24=$HJ30)+(24=$HK30)+(24=$HL30)+(24=$HM30)+(24=$HN30)+(24=$HO30)&gt;=2,50,0))+AA$5*50)</f>
        <v/>
      </c>
      <c r="AB150">
        <f>IF(OR($JF30=0,calcA!$A$6=0),0,IF(OR(25=$HA30,25=$HD30,25=$HG30),200000,MIN(IF($HA30=0,999999,IF(2=$HB30,IF(25=$HJ30,IF($JC30=2,30,0),IF(25=$HK30,IF($JC30=1,30,0),ABS(1-$HC30)*100)),100000+ABS(2-$HB30)*1000+10)),IF($HD30=0,999999,IF(2=$HE30,IF(25=$HL30,IF($JD30=2,30,0),IF(25=$HM30,IF($JD30=1,30,0),ABS(1-$HF30)*100)),100000+ABS(2-$HE30)*1000+10)),IF($HG30=0,999999,IF(2=$HH30,IF(25=$HN30,IF($JE30=2,30,0),IF(25=$HO30,IF($JE30=1,30,0),ABS(1-$HI30)*100)),100000+ABS(2-$HH30)*1000+10)))-IF((25=$HJ30)+(25=$HK30)+(25=$HL30)+(25=$HM30)+(25=$HN30)+(25=$HO30)&gt;=2,50,0))+AB$5*50)</f>
        <v/>
      </c>
      <c r="AC150">
        <f>IF(OR($JF30=0,calcA!$A$6=0),0,IF(OR(26=$HA30,26=$HD30,26=$HG30),200000,MIN(IF($HA30=0,999999,IF(2=$HB30,IF(26=$HJ30,IF($JC30=2,30,0),IF(26=$HK30,IF($JC30=1,30,0),ABS(2-$HC30)*100)),100000+ABS(2-$HB30)*1000+20)),IF($HD30=0,999999,IF(2=$HE30,IF(26=$HL30,IF($JD30=2,30,0),IF(26=$HM30,IF($JD30=1,30,0),ABS(2-$HF30)*100)),100000+ABS(2-$HE30)*1000+20)),IF($HG30=0,999999,IF(2=$HH30,IF(26=$HN30,IF($JE30=2,30,0),IF(26=$HO30,IF($JE30=1,30,0),ABS(2-$HI30)*100)),100000+ABS(2-$HH30)*1000+20)))-IF((26=$HJ30)+(26=$HK30)+(26=$HL30)+(26=$HM30)+(26=$HN30)+(26=$HO30)&gt;=2,50,0))+AC$5*50)</f>
        <v/>
      </c>
      <c r="AD150">
        <f>IF(OR($JF30=0,calcA!$A$6=0),0,IF(OR(27=$HA30,27=$HD30,27=$HG30),200000,MIN(IF($HA30=0,999999,IF(2=$HB30,IF(27=$HJ30,IF($JC30=2,30,0),IF(27=$HK30,IF($JC30=1,30,0),ABS(3-$HC30)*100)),100000+ABS(2-$HB30)*1000+30)),IF($HD30=0,999999,IF(2=$HE30,IF(27=$HL30,IF($JD30=2,30,0),IF(27=$HM30,IF($JD30=1,30,0),ABS(3-$HF30)*100)),100000+ABS(2-$HE30)*1000+30)),IF($HG30=0,999999,IF(2=$HH30,IF(27=$HN30,IF($JE30=2,30,0),IF(27=$HO30,IF($JE30=1,30,0),ABS(3-$HI30)*100)),100000+ABS(2-$HH30)*1000+30)))-IF((27=$HJ30)+(27=$HK30)+(27=$HL30)+(27=$HM30)+(27=$HN30)+(27=$HO30)&gt;=2,50,0))+AD$5*50)</f>
        <v/>
      </c>
      <c r="AE150">
        <f>IF(OR($JF30=0,calcA!$A$6=0),0,IF(OR(28=$HA30,28=$HD30,28=$HG30),200000,MIN(IF($HA30=0,999999,IF(2=$HB30,IF(28=$HJ30,IF($JC30=2,30,0),IF(28=$HK30,IF($JC30=1,30,0),ABS(4-$HC30)*100)),100000+ABS(2-$HB30)*1000+40)),IF($HD30=0,999999,IF(2=$HE30,IF(28=$HL30,IF($JD30=2,30,0),IF(28=$HM30,IF($JD30=1,30,0),ABS(4-$HF30)*100)),100000+ABS(2-$HE30)*1000+40)),IF($HG30=0,999999,IF(2=$HH30,IF(28=$HN30,IF($JE30=2,30,0),IF(28=$HO30,IF($JE30=1,30,0),ABS(4-$HI30)*100)),100000+ABS(2-$HH30)*1000+40)))-IF((28=$HJ30)+(28=$HK30)+(28=$HL30)+(28=$HM30)+(28=$HN30)+(28=$HO30)&gt;=2,50,0))+AE$5*50)</f>
        <v/>
      </c>
      <c r="AF150">
        <f>IF(OR($JF30=0,calcA!$A$6=0),0,IF(OR(29=$HA30,29=$HD30,29=$HG30),200000,MIN(IF($HA30=0,999999,IF(2=$HB30,IF(29=$HJ30,IF($JC30=2,30,0),IF(29=$HK30,IF($JC30=1,30,0),ABS(5-$HC30)*100)),100000+ABS(2-$HB30)*1000+50)),IF($HD30=0,999999,IF(2=$HE30,IF(29=$HL30,IF($JD30=2,30,0),IF(29=$HM30,IF($JD30=1,30,0),ABS(5-$HF30)*100)),100000+ABS(2-$HE30)*1000+50)),IF($HG30=0,999999,IF(2=$HH30,IF(29=$HN30,IF($JE30=2,30,0),IF(29=$HO30,IF($JE30=1,30,0),ABS(5-$HI30)*100)),100000+ABS(2-$HH30)*1000+50)))-IF((29=$HJ30)+(29=$HK30)+(29=$HL30)+(29=$HM30)+(29=$HN30)+(29=$HO30)&gt;=2,50,0))+AF$5*50)</f>
        <v/>
      </c>
      <c r="AG150">
        <f>IF(OR($JF30=0,calcA!$A$6=0),0,IF(OR(30=$HA30,30=$HD30,30=$HG30),200000,MIN(IF($HA30=0,999999,IF(2=$HB30,IF(30=$HJ30,IF($JC30=2,30,0),IF(30=$HK30,IF($JC30=1,30,0),ABS(6-$HC30)*100)),100000+ABS(2-$HB30)*1000+60)),IF($HD30=0,999999,IF(2=$HE30,IF(30=$HL30,IF($JD30=2,30,0),IF(30=$HM30,IF($JD30=1,30,0),ABS(6-$HF30)*100)),100000+ABS(2-$HE30)*1000+60)),IF($HG30=0,999999,IF(2=$HH30,IF(30=$HN30,IF($JE30=2,30,0),IF(30=$HO30,IF($JE30=1,30,0),ABS(6-$HI30)*100)),100000+ABS(2-$HH30)*1000+60)))-IF((30=$HJ30)+(30=$HK30)+(30=$HL30)+(30=$HM30)+(30=$HN30)+(30=$HO30)&gt;=2,50,0))+AG$5*50)</f>
        <v/>
      </c>
      <c r="AH150">
        <f>IF(OR($JF30=0,calcA!$A$6=0),0,IF(OR(31=$HA30,31=$HD30,31=$HG30),200000,MIN(IF($HA30=0,999999,IF(2=$HB30,IF(31=$HJ30,IF($JC30=2,30,0),IF(31=$HK30,IF($JC30=1,30,0),ABS(7-$HC30)*100)),100000+ABS(2-$HB30)*1000+70)),IF($HD30=0,999999,IF(2=$HE30,IF(31=$HL30,IF($JD30=2,30,0),IF(31=$HM30,IF($JD30=1,30,0),ABS(7-$HF30)*100)),100000+ABS(2-$HE30)*1000+70)),IF($HG30=0,999999,IF(2=$HH30,IF(31=$HN30,IF($JE30=2,30,0),IF(31=$HO30,IF($JE30=1,30,0),ABS(7-$HI30)*100)),100000+ABS(2-$HH30)*1000+70)))-IF((31=$HJ30)+(31=$HK30)+(31=$HL30)+(31=$HM30)+(31=$HN30)+(31=$HO30)&gt;=2,50,0))+AH$5*50)</f>
        <v/>
      </c>
      <c r="AI150">
        <f>IF(OR($JF30=0,calcA!$A$6=0),0,IF(OR(32=$HA30,32=$HD30,32=$HG30),200000,MIN(IF($HA30=0,999999,IF(2=$HB30,IF(32=$HJ30,IF($JC30=2,30,0),IF(32=$HK30,IF($JC30=1,30,0),ABS(8-$HC30)*100)),100000+ABS(2-$HB30)*1000+80)),IF($HD30=0,999999,IF(2=$HE30,IF(32=$HL30,IF($JD30=2,30,0),IF(32=$HM30,IF($JD30=1,30,0),ABS(8-$HF30)*100)),100000+ABS(2-$HE30)*1000+80)),IF($HG30=0,999999,IF(2=$HH30,IF(32=$HN30,IF($JE30=2,30,0),IF(32=$HO30,IF($JE30=1,30,0),ABS(8-$HI30)*100)),100000+ABS(2-$HH30)*1000+80)))-IF((32=$HJ30)+(32=$HK30)+(32=$HL30)+(32=$HM30)+(32=$HN30)+(32=$HO30)&gt;=2,50,0))+AI$5*50)</f>
        <v/>
      </c>
      <c r="AJ150">
        <f>IF(OR($JF30=0,calcA!$A$6=0),0,IF(OR(33=$HA30,33=$HD30,33=$HG30),200000,MIN(IF($HA30=0,999999,IF(2=$HB30,IF(33=$HJ30,IF($JC30=2,30,0),IF(33=$HK30,IF($JC30=1,30,0),ABS(9-$HC30)*100)),100000+ABS(2-$HB30)*1000+90)),IF($HD30=0,999999,IF(2=$HE30,IF(33=$HL30,IF($JD30=2,30,0),IF(33=$HM30,IF($JD30=1,30,0),ABS(9-$HF30)*100)),100000+ABS(2-$HE30)*1000+90)),IF($HG30=0,999999,IF(2=$HH30,IF(33=$HN30,IF($JE30=2,30,0),IF(33=$HO30,IF($JE30=1,30,0),ABS(9-$HI30)*100)),100000+ABS(2-$HH30)*1000+90)))-IF((33=$HJ30)+(33=$HK30)+(33=$HL30)+(33=$HM30)+(33=$HN30)+(33=$HO30)&gt;=2,50,0))+AJ$5*50)</f>
        <v/>
      </c>
      <c r="AK150">
        <f>IF(OR($JF30=0,calcA!$A$6=0),0,IF(OR(34=$HA30,34=$HD30,34=$HG30),200000,MIN(IF($HA30=0,999999,IF(2=$HB30,IF(34=$HJ30,IF($JC30=2,30,0),IF(34=$HK30,IF($JC30=1,30,0),ABS(10-$HC30)*100)),100000+ABS(2-$HB30)*1000+100)),IF($HD30=0,999999,IF(2=$HE30,IF(34=$HL30,IF($JD30=2,30,0),IF(34=$HM30,IF($JD30=1,30,0),ABS(10-$HF30)*100)),100000+ABS(2-$HE30)*1000+100)),IF($HG30=0,999999,IF(2=$HH30,IF(34=$HN30,IF($JE30=2,30,0),IF(34=$HO30,IF($JE30=1,30,0),ABS(10-$HI30)*100)),100000+ABS(2-$HH30)*1000+100)))-IF((34=$HJ30)+(34=$HK30)+(34=$HL30)+(34=$HM30)+(34=$HN30)+(34=$HO30)&gt;=2,50,0))+AK$5*50)</f>
        <v/>
      </c>
      <c r="AL150">
        <f>IF(OR($JF30=0,calcA!$A$6=0),0,IF(OR(35=$HA30,35=$HD30,35=$HG30),200000,MIN(IF($HA30=0,999999,IF(2=$HB30,IF(35=$HJ30,IF($JC30=2,30,0),IF(35=$HK30,IF($JC30=1,30,0),ABS(11-$HC30)*100)),100000+ABS(2-$HB30)*1000+110)),IF($HD30=0,999999,IF(2=$HE30,IF(35=$HL30,IF($JD30=2,30,0),IF(35=$HM30,IF($JD30=1,30,0),ABS(11-$HF30)*100)),100000+ABS(2-$HE30)*1000+110)),IF($HG30=0,999999,IF(2=$HH30,IF(35=$HN30,IF($JE30=2,30,0),IF(35=$HO30,IF($JE30=1,30,0),ABS(11-$HI30)*100)),100000+ABS(2-$HH30)*1000+110)))-IF((35=$HJ30)+(35=$HK30)+(35=$HL30)+(35=$HM30)+(35=$HN30)+(35=$HO30)&gt;=2,50,0))+AL$5*50)</f>
        <v/>
      </c>
      <c r="AM150">
        <f>IF(OR($JF30=0,calcA!$A$6=0),0,IF(OR(36=$HA30,36=$HD30,36=$HG30),200000,MIN(IF($HA30=0,999999,IF(2=$HB30,IF(36=$HJ30,IF($JC30=2,30,0),IF(36=$HK30,IF($JC30=1,30,0),ABS(12-$HC30)*100)),100000+ABS(2-$HB30)*1000+120)),IF($HD30=0,999999,IF(2=$HE30,IF(36=$HL30,IF($JD30=2,30,0),IF(36=$HM30,IF($JD30=1,30,0),ABS(12-$HF30)*100)),100000+ABS(2-$HE30)*1000+120)),IF($HG30=0,999999,IF(2=$HH30,IF(36=$HN30,IF($JE30=2,30,0),IF(36=$HO30,IF($JE30=1,30,0),ABS(12-$HI30)*100)),100000+ABS(2-$HH30)*1000+120)))-IF((36=$HJ30)+(36=$HK30)+(36=$HL30)+(36=$HM30)+(36=$HN30)+(36=$HO30)&gt;=2,50,0))+AM$5*50)</f>
        <v/>
      </c>
      <c r="AN150">
        <f>IF(OR($JF30=0,calcA!$A$6=0),0,IF(OR(37=$HA30,37=$HD30,37=$HG30),200000,MIN(IF($HA30=0,999999,IF(2=$HB30,IF(37=$HJ30,IF($JC30=2,30,0),IF(37=$HK30,IF($JC30=1,30,0),ABS(13-$HC30)*100)),100000+ABS(2-$HB30)*1000+130)),IF($HD30=0,999999,IF(2=$HE30,IF(37=$HL30,IF($JD30=2,30,0),IF(37=$HM30,IF($JD30=1,30,0),ABS(13-$HF30)*100)),100000+ABS(2-$HE30)*1000+130)),IF($HG30=0,999999,IF(2=$HH30,IF(37=$HN30,IF($JE30=2,30,0),IF(37=$HO30,IF($JE30=1,30,0),ABS(13-$HI30)*100)),100000+ABS(2-$HH30)*1000+130)))-IF((37=$HJ30)+(37=$HK30)+(37=$HL30)+(37=$HM30)+(37=$HN30)+(37=$HO30)&gt;=2,50,0))+AN$5*50)</f>
        <v/>
      </c>
      <c r="AO150">
        <f>IF(OR($JF30=0,calcA!$A$6=0),0,IF(OR(38=$HA30,38=$HD30,38=$HG30),200000,MIN(IF($HA30=0,999999,IF(2=$HB30,IF(38=$HJ30,IF($JC30=2,30,0),IF(38=$HK30,IF($JC30=1,30,0),ABS(14-$HC30)*100)),100000+ABS(2-$HB30)*1000+140)),IF($HD30=0,999999,IF(2=$HE30,IF(38=$HL30,IF($JD30=2,30,0),IF(38=$HM30,IF($JD30=1,30,0),ABS(14-$HF30)*100)),100000+ABS(2-$HE30)*1000+140)),IF($HG30=0,999999,IF(2=$HH30,IF(38=$HN30,IF($JE30=2,30,0),IF(38=$HO30,IF($JE30=1,30,0),ABS(14-$HI30)*100)),100000+ABS(2-$HH30)*1000+140)))-IF((38=$HJ30)+(38=$HK30)+(38=$HL30)+(38=$HM30)+(38=$HN30)+(38=$HO30)&gt;=2,50,0))+AO$5*50)</f>
        <v/>
      </c>
      <c r="AP150">
        <f>IF(OR($JF30=0,calcA!$A$6=0),0,IF(OR(39=$HA30,39=$HD30,39=$HG30),200000,MIN(IF($HA30=0,999999,IF(2=$HB30,IF(39=$HJ30,IF($JC30=2,30,0),IF(39=$HK30,IF($JC30=1,30,0),ABS(15-$HC30)*100)),100000+ABS(2-$HB30)*1000+150)),IF($HD30=0,999999,IF(2=$HE30,IF(39=$HL30,IF($JD30=2,30,0),IF(39=$HM30,IF($JD30=1,30,0),ABS(15-$HF30)*100)),100000+ABS(2-$HE30)*1000+150)),IF($HG30=0,999999,IF(2=$HH30,IF(39=$HN30,IF($JE30=2,30,0),IF(39=$HO30,IF($JE30=1,30,0),ABS(15-$HI30)*100)),100000+ABS(2-$HH30)*1000+150)))-IF((39=$HJ30)+(39=$HK30)+(39=$HL30)+(39=$HM30)+(39=$HN30)+(39=$HO30)&gt;=2,50,0))+AP$5*50)</f>
        <v/>
      </c>
      <c r="AQ150">
        <f>IF(OR($JF30=0,calcA!$A$6=0),0,IF(OR(40=$HA30,40=$HD30,40=$HG30),200000,MIN(IF($HA30=0,999999,IF(2=$HB30,IF(40=$HJ30,IF($JC30=2,30,0),IF(40=$HK30,IF($JC30=1,30,0),ABS(16-$HC30)*100)),100000+ABS(2-$HB30)*1000+160)),IF($HD30=0,999999,IF(2=$HE30,IF(40=$HL30,IF($JD30=2,30,0),IF(40=$HM30,IF($JD30=1,30,0),ABS(16-$HF30)*100)),100000+ABS(2-$HE30)*1000+160)),IF($HG30=0,999999,IF(2=$HH30,IF(40=$HN30,IF($JE30=2,30,0),IF(40=$HO30,IF($JE30=1,30,0),ABS(16-$HI30)*100)),100000+ABS(2-$HH30)*1000+160)))-IF((40=$HJ30)+(40=$HK30)+(40=$HL30)+(40=$HM30)+(40=$HN30)+(40=$HO30)&gt;=2,50,0))+AQ$5*50)</f>
        <v/>
      </c>
      <c r="AR150">
        <f>IF(OR($JF30=0,calcA!$A$6=0),0,IF(OR(41=$HA30,41=$HD30,41=$HG30),200000,MIN(IF($HA30=0,999999,IF(2=$HB30,IF(41=$HJ30,IF($JC30=2,30,0),IF(41=$HK30,IF($JC30=1,30,0),ABS(17-$HC30)*100)),100000+ABS(2-$HB30)*1000+170)),IF($HD30=0,999999,IF(2=$HE30,IF(41=$HL30,IF($JD30=2,30,0),IF(41=$HM30,IF($JD30=1,30,0),ABS(17-$HF30)*100)),100000+ABS(2-$HE30)*1000+170)),IF($HG30=0,999999,IF(2=$HH30,IF(41=$HN30,IF($JE30=2,30,0),IF(41=$HO30,IF($JE30=1,30,0),ABS(17-$HI30)*100)),100000+ABS(2-$HH30)*1000+170)))-IF((41=$HJ30)+(41=$HK30)+(41=$HL30)+(41=$HM30)+(41=$HN30)+(41=$HO30)&gt;=2,50,0))+AR$5*50)</f>
        <v/>
      </c>
      <c r="AS150">
        <f>IF(OR($JF30=0,calcA!$A$6=0),0,IF(OR(42=$HA30,42=$HD30,42=$HG30),200000,MIN(IF($HA30=0,999999,IF(2=$HB30,IF(42=$HJ30,IF($JC30=2,30,0),IF(42=$HK30,IF($JC30=1,30,0),ABS(18-$HC30)*100)),100000+ABS(2-$HB30)*1000+180)),IF($HD30=0,999999,IF(2=$HE30,IF(42=$HL30,IF($JD30=2,30,0),IF(42=$HM30,IF($JD30=1,30,0),ABS(18-$HF30)*100)),100000+ABS(2-$HE30)*1000+180)),IF($HG30=0,999999,IF(2=$HH30,IF(42=$HN30,IF($JE30=2,30,0),IF(42=$HO30,IF($JE30=1,30,0),ABS(18-$HI30)*100)),100000+ABS(2-$HH30)*1000+180)))-IF((42=$HJ30)+(42=$HK30)+(42=$HL30)+(42=$HM30)+(42=$HN30)+(42=$HO30)&gt;=2,50,0))+AS$5*50)</f>
        <v/>
      </c>
      <c r="AT150">
        <f>IF(OR($JF30=0,calcA!$A$6=0),0,IF(OR(43=$HA30,43=$HD30,43=$HG30),200000,MIN(IF($HA30=0,999999,IF(2=$HB30,IF(43=$HJ30,IF($JC30=2,30,0),IF(43=$HK30,IF($JC30=1,30,0),ABS(19-$HC30)*100)),100000+ABS(2-$HB30)*1000+190)),IF($HD30=0,999999,IF(2=$HE30,IF(43=$HL30,IF($JD30=2,30,0),IF(43=$HM30,IF($JD30=1,30,0),ABS(19-$HF30)*100)),100000+ABS(2-$HE30)*1000+190)),IF($HG30=0,999999,IF(2=$HH30,IF(43=$HN30,IF($JE30=2,30,0),IF(43=$HO30,IF($JE30=1,30,0),ABS(19-$HI30)*100)),100000+ABS(2-$HH30)*1000+190)))-IF((43=$HJ30)+(43=$HK30)+(43=$HL30)+(43=$HM30)+(43=$HN30)+(43=$HO30)&gt;=2,50,0))+AT$5*50)</f>
        <v/>
      </c>
      <c r="AU150">
        <f>IF(OR($JF30=0,calcA!$A$6=0),0,IF(OR(44=$HA30,44=$HD30,44=$HG30),200000,MIN(IF($HA30=0,999999,IF(2=$HB30,IF(44=$HJ30,IF($JC30=2,30,0),IF(44=$HK30,IF($JC30=1,30,0),ABS(20-$HC30)*100)),100000+ABS(2-$HB30)*1000+200)),IF($HD30=0,999999,IF(2=$HE30,IF(44=$HL30,IF($JD30=2,30,0),IF(44=$HM30,IF($JD30=1,30,0),ABS(20-$HF30)*100)),100000+ABS(2-$HE30)*1000+200)),IF($HG30=0,999999,IF(2=$HH30,IF(44=$HN30,IF($JE30=2,30,0),IF(44=$HO30,IF($JE30=1,30,0),ABS(20-$HI30)*100)),100000+ABS(2-$HH30)*1000+200)))-IF((44=$HJ30)+(44=$HK30)+(44=$HL30)+(44=$HM30)+(44=$HN30)+(44=$HO30)&gt;=2,50,0))+AU$5*50)</f>
        <v/>
      </c>
      <c r="AV150">
        <f>IF(OR($JF30=0,calcA!$A$6=0),0,IF(OR(45=$HA30,45=$HD30,45=$HG30),200000,MIN(IF($HA30=0,999999,IF(2=$HB30,IF(45=$HJ30,IF($JC30=2,30,0),IF(45=$HK30,IF($JC30=1,30,0),ABS(21-$HC30)*100)),100000+ABS(2-$HB30)*1000+210)),IF($HD30=0,999999,IF(2=$HE30,IF(45=$HL30,IF($JD30=2,30,0),IF(45=$HM30,IF($JD30=1,30,0),ABS(21-$HF30)*100)),100000+ABS(2-$HE30)*1000+210)),IF($HG30=0,999999,IF(2=$HH30,IF(45=$HN30,IF($JE30=2,30,0),IF(45=$HO30,IF($JE30=1,30,0),ABS(21-$HI30)*100)),100000+ABS(2-$HH30)*1000+210)))-IF((45=$HJ30)+(45=$HK30)+(45=$HL30)+(45=$HM30)+(45=$HN30)+(45=$HO30)&gt;=2,50,0))+AV$5*50)</f>
        <v/>
      </c>
      <c r="AW150">
        <f>IF(OR($JF30=0,calcA!$A$6=0),0,IF(OR(46=$HA30,46=$HD30,46=$HG30),200000,MIN(IF($HA30=0,999999,IF(2=$HB30,IF(46=$HJ30,IF($JC30=2,30,0),IF(46=$HK30,IF($JC30=1,30,0),ABS(22-$HC30)*100)),100000+ABS(2-$HB30)*1000+220)),IF($HD30=0,999999,IF(2=$HE30,IF(46=$HL30,IF($JD30=2,30,0),IF(46=$HM30,IF($JD30=1,30,0),ABS(22-$HF30)*100)),100000+ABS(2-$HE30)*1000+220)),IF($HG30=0,999999,IF(2=$HH30,IF(46=$HN30,IF($JE30=2,30,0),IF(46=$HO30,IF($JE30=1,30,0),ABS(22-$HI30)*100)),100000+ABS(2-$HH30)*1000+220)))-IF((46=$HJ30)+(46=$HK30)+(46=$HL30)+(46=$HM30)+(46=$HN30)+(46=$HO30)&gt;=2,50,0))+AW$5*50)</f>
        <v/>
      </c>
      <c r="AX150">
        <f>IF(OR($JF30=0,calcA!$A$6=0),0,IF(OR(47=$HA30,47=$HD30,47=$HG30),200000,MIN(IF($HA30=0,999999,IF(2=$HB30,IF(47=$HJ30,IF($JC30=2,30,0),IF(47=$HK30,IF($JC30=1,30,0),ABS(23-$HC30)*100)),100000+ABS(2-$HB30)*1000+230)),IF($HD30=0,999999,IF(2=$HE30,IF(47=$HL30,IF($JD30=2,30,0),IF(47=$HM30,IF($JD30=1,30,0),ABS(23-$HF30)*100)),100000+ABS(2-$HE30)*1000+230)),IF($HG30=0,999999,IF(2=$HH30,IF(47=$HN30,IF($JE30=2,30,0),IF(47=$HO30,IF($JE30=1,30,0),ABS(23-$HI30)*100)),100000+ABS(2-$HH30)*1000+230)))-IF((47=$HJ30)+(47=$HK30)+(47=$HL30)+(47=$HM30)+(47=$HN30)+(47=$HO30)&gt;=2,50,0))+AX$5*50)</f>
        <v/>
      </c>
      <c r="AY150">
        <f>IF(OR($JF30=0,calcA!$A$6=0),0,IF(OR(48=$HA30,48=$HD30,48=$HG30),200000,MIN(IF($HA30=0,999999,IF(2=$HB30,IF(48=$HJ30,IF($JC30=2,30,0),IF(48=$HK30,IF($JC30=1,30,0),ABS(24-$HC30)*100)),100000+ABS(2-$HB30)*1000+240)),IF($HD30=0,999999,IF(2=$HE30,IF(48=$HL30,IF($JD30=2,30,0),IF(48=$HM30,IF($JD30=1,30,0),ABS(24-$HF30)*100)),100000+ABS(2-$HE30)*1000+240)),IF($HG30=0,999999,IF(2=$HH30,IF(48=$HN30,IF($JE30=2,30,0),IF(48=$HO30,IF($JE30=1,30,0),ABS(24-$HI30)*100)),100000+ABS(2-$HH30)*1000+240)))-IF((48=$HJ30)+(48=$HK30)+(48=$HL30)+(48=$HM30)+(48=$HN30)+(48=$HO30)&gt;=2,50,0))+AY$5*50)</f>
        <v/>
      </c>
      <c r="AZ150">
        <f>IF(OR($JF30=0,calcA!$A$6=0),0,IF(OR(49=$HA30,49=$HD30,49=$HG30),200000,MIN(IF($HA30=0,999999,IF(3=$HB30,IF(49=$HJ30,IF($JC30=2,30,0),IF(49=$HK30,IF($JC30=1,30,0),ABS(1-$HC30)*100)),100000+ABS(3-$HB30)*1000+10)),IF($HD30=0,999999,IF(3=$HE30,IF(49=$HL30,IF($JD30=2,30,0),IF(49=$HM30,IF($JD30=1,30,0),ABS(1-$HF30)*100)),100000+ABS(3-$HE30)*1000+10)),IF($HG30=0,999999,IF(3=$HH30,IF(49=$HN30,IF($JE30=2,30,0),IF(49=$HO30,IF($JE30=1,30,0),ABS(1-$HI30)*100)),100000+ABS(3-$HH30)*1000+10)))-IF((49=$HJ30)+(49=$HK30)+(49=$HL30)+(49=$HM30)+(49=$HN30)+(49=$HO30)&gt;=2,50,0))+AZ$5*50)</f>
        <v/>
      </c>
      <c r="BA150">
        <f>IF(OR($JF30=0,calcA!$A$6=0),0,IF(OR(50=$HA30,50=$HD30,50=$HG30),200000,MIN(IF($HA30=0,999999,IF(3=$HB30,IF(50=$HJ30,IF($JC30=2,30,0),IF(50=$HK30,IF($JC30=1,30,0),ABS(2-$HC30)*100)),100000+ABS(3-$HB30)*1000+20)),IF($HD30=0,999999,IF(3=$HE30,IF(50=$HL30,IF($JD30=2,30,0),IF(50=$HM30,IF($JD30=1,30,0),ABS(2-$HF30)*100)),100000+ABS(3-$HE30)*1000+20)),IF($HG30=0,999999,IF(3=$HH30,IF(50=$HN30,IF($JE30=2,30,0),IF(50=$HO30,IF($JE30=1,30,0),ABS(2-$HI30)*100)),100000+ABS(3-$HH30)*1000+20)))-IF((50=$HJ30)+(50=$HK30)+(50=$HL30)+(50=$HM30)+(50=$HN30)+(50=$HO30)&gt;=2,50,0))+BA$5*50)</f>
        <v/>
      </c>
      <c r="BB150">
        <f>IF(OR($JF30=0,calcA!$A$6=0),0,IF(OR(51=$HA30,51=$HD30,51=$HG30),200000,MIN(IF($HA30=0,999999,IF(3=$HB30,IF(51=$HJ30,IF($JC30=2,30,0),IF(51=$HK30,IF($JC30=1,30,0),ABS(3-$HC30)*100)),100000+ABS(3-$HB30)*1000+30)),IF($HD30=0,999999,IF(3=$HE30,IF(51=$HL30,IF($JD30=2,30,0),IF(51=$HM30,IF($JD30=1,30,0),ABS(3-$HF30)*100)),100000+ABS(3-$HE30)*1000+30)),IF($HG30=0,999999,IF(3=$HH30,IF(51=$HN30,IF($JE30=2,30,0),IF(51=$HO30,IF($JE30=1,30,0),ABS(3-$HI30)*100)),100000+ABS(3-$HH30)*1000+30)))-IF((51=$HJ30)+(51=$HK30)+(51=$HL30)+(51=$HM30)+(51=$HN30)+(51=$HO30)&gt;=2,50,0))+BB$5*50)</f>
        <v/>
      </c>
      <c r="BC150">
        <f>IF(OR($JF30=0,calcA!$A$6=0),0,IF(OR(52=$HA30,52=$HD30,52=$HG30),200000,MIN(IF($HA30=0,999999,IF(3=$HB30,IF(52=$HJ30,IF($JC30=2,30,0),IF(52=$HK30,IF($JC30=1,30,0),ABS(4-$HC30)*100)),100000+ABS(3-$HB30)*1000+40)),IF($HD30=0,999999,IF(3=$HE30,IF(52=$HL30,IF($JD30=2,30,0),IF(52=$HM30,IF($JD30=1,30,0),ABS(4-$HF30)*100)),100000+ABS(3-$HE30)*1000+40)),IF($HG30=0,999999,IF(3=$HH30,IF(52=$HN30,IF($JE30=2,30,0),IF(52=$HO30,IF($JE30=1,30,0),ABS(4-$HI30)*100)),100000+ABS(3-$HH30)*1000+40)))-IF((52=$HJ30)+(52=$HK30)+(52=$HL30)+(52=$HM30)+(52=$HN30)+(52=$HO30)&gt;=2,50,0))+BC$5*50)</f>
        <v/>
      </c>
      <c r="BD150">
        <f>IF(OR($JF30=0,calcA!$A$6=0),0,IF(OR(53=$HA30,53=$HD30,53=$HG30),200000,MIN(IF($HA30=0,999999,IF(3=$HB30,IF(53=$HJ30,IF($JC30=2,30,0),IF(53=$HK30,IF($JC30=1,30,0),ABS(5-$HC30)*100)),100000+ABS(3-$HB30)*1000+50)),IF($HD30=0,999999,IF(3=$HE30,IF(53=$HL30,IF($JD30=2,30,0),IF(53=$HM30,IF($JD30=1,30,0),ABS(5-$HF30)*100)),100000+ABS(3-$HE30)*1000+50)),IF($HG30=0,999999,IF(3=$HH30,IF(53=$HN30,IF($JE30=2,30,0),IF(53=$HO30,IF($JE30=1,30,0),ABS(5-$HI30)*100)),100000+ABS(3-$HH30)*1000+50)))-IF((53=$HJ30)+(53=$HK30)+(53=$HL30)+(53=$HM30)+(53=$HN30)+(53=$HO30)&gt;=2,50,0))+BD$5*50)</f>
        <v/>
      </c>
      <c r="BE150">
        <f>IF(OR($JF30=0,calcA!$A$6=0),0,IF(OR(54=$HA30,54=$HD30,54=$HG30),200000,MIN(IF($HA30=0,999999,IF(3=$HB30,IF(54=$HJ30,IF($JC30=2,30,0),IF(54=$HK30,IF($JC30=1,30,0),ABS(6-$HC30)*100)),100000+ABS(3-$HB30)*1000+60)),IF($HD30=0,999999,IF(3=$HE30,IF(54=$HL30,IF($JD30=2,30,0),IF(54=$HM30,IF($JD30=1,30,0),ABS(6-$HF30)*100)),100000+ABS(3-$HE30)*1000+60)),IF($HG30=0,999999,IF(3=$HH30,IF(54=$HN30,IF($JE30=2,30,0),IF(54=$HO30,IF($JE30=1,30,0),ABS(6-$HI30)*100)),100000+ABS(3-$HH30)*1000+60)))-IF((54=$HJ30)+(54=$HK30)+(54=$HL30)+(54=$HM30)+(54=$HN30)+(54=$HO30)&gt;=2,50,0))+BE$5*50)</f>
        <v/>
      </c>
      <c r="BF150">
        <f>IF(OR($JF30=0,calcA!$A$6=0),0,IF(OR(55=$HA30,55=$HD30,55=$HG30),200000,MIN(IF($HA30=0,999999,IF(3=$HB30,IF(55=$HJ30,IF($JC30=2,30,0),IF(55=$HK30,IF($JC30=1,30,0),ABS(7-$HC30)*100)),100000+ABS(3-$HB30)*1000+70)),IF($HD30=0,999999,IF(3=$HE30,IF(55=$HL30,IF($JD30=2,30,0),IF(55=$HM30,IF($JD30=1,30,0),ABS(7-$HF30)*100)),100000+ABS(3-$HE30)*1000+70)),IF($HG30=0,999999,IF(3=$HH30,IF(55=$HN30,IF($JE30=2,30,0),IF(55=$HO30,IF($JE30=1,30,0),ABS(7-$HI30)*100)),100000+ABS(3-$HH30)*1000+70)))-IF((55=$HJ30)+(55=$HK30)+(55=$HL30)+(55=$HM30)+(55=$HN30)+(55=$HO30)&gt;=2,50,0))+BF$5*50)</f>
        <v/>
      </c>
      <c r="BG150">
        <f>IF(OR($JF30=0,calcA!$A$6=0),0,IF(OR(56=$HA30,56=$HD30,56=$HG30),200000,MIN(IF($HA30=0,999999,IF(3=$HB30,IF(56=$HJ30,IF($JC30=2,30,0),IF(56=$HK30,IF($JC30=1,30,0),ABS(8-$HC30)*100)),100000+ABS(3-$HB30)*1000+80)),IF($HD30=0,999999,IF(3=$HE30,IF(56=$HL30,IF($JD30=2,30,0),IF(56=$HM30,IF($JD30=1,30,0),ABS(8-$HF30)*100)),100000+ABS(3-$HE30)*1000+80)),IF($HG30=0,999999,IF(3=$HH30,IF(56=$HN30,IF($JE30=2,30,0),IF(56=$HO30,IF($JE30=1,30,0),ABS(8-$HI30)*100)),100000+ABS(3-$HH30)*1000+80)))-IF((56=$HJ30)+(56=$HK30)+(56=$HL30)+(56=$HM30)+(56=$HN30)+(56=$HO30)&gt;=2,50,0))+BG$5*50)</f>
        <v/>
      </c>
      <c r="BH150">
        <f>IF(OR($JF30=0,calcA!$A$6=0),0,IF(OR(57=$HA30,57=$HD30,57=$HG30),200000,MIN(IF($HA30=0,999999,IF(3=$HB30,IF(57=$HJ30,IF($JC30=2,30,0),IF(57=$HK30,IF($JC30=1,30,0),ABS(9-$HC30)*100)),100000+ABS(3-$HB30)*1000+90)),IF($HD30=0,999999,IF(3=$HE30,IF(57=$HL30,IF($JD30=2,30,0),IF(57=$HM30,IF($JD30=1,30,0),ABS(9-$HF30)*100)),100000+ABS(3-$HE30)*1000+90)),IF($HG30=0,999999,IF(3=$HH30,IF(57=$HN30,IF($JE30=2,30,0),IF(57=$HO30,IF($JE30=1,30,0),ABS(9-$HI30)*100)),100000+ABS(3-$HH30)*1000+90)))-IF((57=$HJ30)+(57=$HK30)+(57=$HL30)+(57=$HM30)+(57=$HN30)+(57=$HO30)&gt;=2,50,0))+BH$5*50)</f>
        <v/>
      </c>
      <c r="BI150">
        <f>IF(OR($JF30=0,calcA!$A$6=0),0,IF(OR(58=$HA30,58=$HD30,58=$HG30),200000,MIN(IF($HA30=0,999999,IF(3=$HB30,IF(58=$HJ30,IF($JC30=2,30,0),IF(58=$HK30,IF($JC30=1,30,0),ABS(10-$HC30)*100)),100000+ABS(3-$HB30)*1000+100)),IF($HD30=0,999999,IF(3=$HE30,IF(58=$HL30,IF($JD30=2,30,0),IF(58=$HM30,IF($JD30=1,30,0),ABS(10-$HF30)*100)),100000+ABS(3-$HE30)*1000+100)),IF($HG30=0,999999,IF(3=$HH30,IF(58=$HN30,IF($JE30=2,30,0),IF(58=$HO30,IF($JE30=1,30,0),ABS(10-$HI30)*100)),100000+ABS(3-$HH30)*1000+100)))-IF((58=$HJ30)+(58=$HK30)+(58=$HL30)+(58=$HM30)+(58=$HN30)+(58=$HO30)&gt;=2,50,0))+BI$5*50)</f>
        <v/>
      </c>
      <c r="BJ150">
        <f>IF(OR($JF30=0,calcA!$A$6=0),0,IF(OR(59=$HA30,59=$HD30,59=$HG30),200000,MIN(IF($HA30=0,999999,IF(3=$HB30,IF(59=$HJ30,IF($JC30=2,30,0),IF(59=$HK30,IF($JC30=1,30,0),ABS(11-$HC30)*100)),100000+ABS(3-$HB30)*1000+110)),IF($HD30=0,999999,IF(3=$HE30,IF(59=$HL30,IF($JD30=2,30,0),IF(59=$HM30,IF($JD30=1,30,0),ABS(11-$HF30)*100)),100000+ABS(3-$HE30)*1000+110)),IF($HG30=0,999999,IF(3=$HH30,IF(59=$HN30,IF($JE30=2,30,0),IF(59=$HO30,IF($JE30=1,30,0),ABS(11-$HI30)*100)),100000+ABS(3-$HH30)*1000+110)))-IF((59=$HJ30)+(59=$HK30)+(59=$HL30)+(59=$HM30)+(59=$HN30)+(59=$HO30)&gt;=2,50,0))+BJ$5*50)</f>
        <v/>
      </c>
      <c r="BK150">
        <f>IF(OR($JF30=0,calcA!$A$6=0),0,IF(OR(60=$HA30,60=$HD30,60=$HG30),200000,MIN(IF($HA30=0,999999,IF(3=$HB30,IF(60=$HJ30,IF($JC30=2,30,0),IF(60=$HK30,IF($JC30=1,30,0),ABS(12-$HC30)*100)),100000+ABS(3-$HB30)*1000+120)),IF($HD30=0,999999,IF(3=$HE30,IF(60=$HL30,IF($JD30=2,30,0),IF(60=$HM30,IF($JD30=1,30,0),ABS(12-$HF30)*100)),100000+ABS(3-$HE30)*1000+120)),IF($HG30=0,999999,IF(3=$HH30,IF(60=$HN30,IF($JE30=2,30,0),IF(60=$HO30,IF($JE30=1,30,0),ABS(12-$HI30)*100)),100000+ABS(3-$HH30)*1000+120)))-IF((60=$HJ30)+(60=$HK30)+(60=$HL30)+(60=$HM30)+(60=$HN30)+(60=$HO30)&gt;=2,50,0))+BK$5*50)</f>
        <v/>
      </c>
      <c r="BL150">
        <f>IF(OR($JF30=0,calcA!$A$6=0),0,IF(OR(61=$HA30,61=$HD30,61=$HG30),200000,MIN(IF($HA30=0,999999,IF(3=$HB30,IF(61=$HJ30,IF($JC30=2,30,0),IF(61=$HK30,IF($JC30=1,30,0),ABS(13-$HC30)*100)),100000+ABS(3-$HB30)*1000+130)),IF($HD30=0,999999,IF(3=$HE30,IF(61=$HL30,IF($JD30=2,30,0),IF(61=$HM30,IF($JD30=1,30,0),ABS(13-$HF30)*100)),100000+ABS(3-$HE30)*1000+130)),IF($HG30=0,999999,IF(3=$HH30,IF(61=$HN30,IF($JE30=2,30,0),IF(61=$HO30,IF($JE30=1,30,0),ABS(13-$HI30)*100)),100000+ABS(3-$HH30)*1000+130)))-IF((61=$HJ30)+(61=$HK30)+(61=$HL30)+(61=$HM30)+(61=$HN30)+(61=$HO30)&gt;=2,50,0))+BL$5*50)</f>
        <v/>
      </c>
      <c r="BM150">
        <f>IF(OR($JF30=0,calcA!$A$6=0),0,IF(OR(62=$HA30,62=$HD30,62=$HG30),200000,MIN(IF($HA30=0,999999,IF(3=$HB30,IF(62=$HJ30,IF($JC30=2,30,0),IF(62=$HK30,IF($JC30=1,30,0),ABS(14-$HC30)*100)),100000+ABS(3-$HB30)*1000+140)),IF($HD30=0,999999,IF(3=$HE30,IF(62=$HL30,IF($JD30=2,30,0),IF(62=$HM30,IF($JD30=1,30,0),ABS(14-$HF30)*100)),100000+ABS(3-$HE30)*1000+140)),IF($HG30=0,999999,IF(3=$HH30,IF(62=$HN30,IF($JE30=2,30,0),IF(62=$HO30,IF($JE30=1,30,0),ABS(14-$HI30)*100)),100000+ABS(3-$HH30)*1000+140)))-IF((62=$HJ30)+(62=$HK30)+(62=$HL30)+(62=$HM30)+(62=$HN30)+(62=$HO30)&gt;=2,50,0))+BM$5*50)</f>
        <v/>
      </c>
      <c r="BN150">
        <f>IF(OR($JF30=0,calcA!$A$6=0),0,IF(OR(63=$HA30,63=$HD30,63=$HG30),200000,MIN(IF($HA30=0,999999,IF(3=$HB30,IF(63=$HJ30,IF($JC30=2,30,0),IF(63=$HK30,IF($JC30=1,30,0),ABS(15-$HC30)*100)),100000+ABS(3-$HB30)*1000+150)),IF($HD30=0,999999,IF(3=$HE30,IF(63=$HL30,IF($JD30=2,30,0),IF(63=$HM30,IF($JD30=1,30,0),ABS(15-$HF30)*100)),100000+ABS(3-$HE30)*1000+150)),IF($HG30=0,999999,IF(3=$HH30,IF(63=$HN30,IF($JE30=2,30,0),IF(63=$HO30,IF($JE30=1,30,0),ABS(15-$HI30)*100)),100000+ABS(3-$HH30)*1000+150)))-IF((63=$HJ30)+(63=$HK30)+(63=$HL30)+(63=$HM30)+(63=$HN30)+(63=$HO30)&gt;=2,50,0))+BN$5*50)</f>
        <v/>
      </c>
      <c r="BO150">
        <f>IF(OR($JF30=0,calcA!$A$6=0),0,IF(OR(64=$HA30,64=$HD30,64=$HG30),200000,MIN(IF($HA30=0,999999,IF(3=$HB30,IF(64=$HJ30,IF($JC30=2,30,0),IF(64=$HK30,IF($JC30=1,30,0),ABS(16-$HC30)*100)),100000+ABS(3-$HB30)*1000+160)),IF($HD30=0,999999,IF(3=$HE30,IF(64=$HL30,IF($JD30=2,30,0),IF(64=$HM30,IF($JD30=1,30,0),ABS(16-$HF30)*100)),100000+ABS(3-$HE30)*1000+160)),IF($HG30=0,999999,IF(3=$HH30,IF(64=$HN30,IF($JE30=2,30,0),IF(64=$HO30,IF($JE30=1,30,0),ABS(16-$HI30)*100)),100000+ABS(3-$HH30)*1000+160)))-IF((64=$HJ30)+(64=$HK30)+(64=$HL30)+(64=$HM30)+(64=$HN30)+(64=$HO30)&gt;=2,50,0))+BO$5*50)</f>
        <v/>
      </c>
      <c r="BP150">
        <f>IF(OR($JF30=0,calcA!$A$6=0),0,IF(OR(65=$HA30,65=$HD30,65=$HG30),200000,MIN(IF($HA30=0,999999,IF(3=$HB30,IF(65=$HJ30,IF($JC30=2,30,0),IF(65=$HK30,IF($JC30=1,30,0),ABS(17-$HC30)*100)),100000+ABS(3-$HB30)*1000+170)),IF($HD30=0,999999,IF(3=$HE30,IF(65=$HL30,IF($JD30=2,30,0),IF(65=$HM30,IF($JD30=1,30,0),ABS(17-$HF30)*100)),100000+ABS(3-$HE30)*1000+170)),IF($HG30=0,999999,IF(3=$HH30,IF(65=$HN30,IF($JE30=2,30,0),IF(65=$HO30,IF($JE30=1,30,0),ABS(17-$HI30)*100)),100000+ABS(3-$HH30)*1000+170)))-IF((65=$HJ30)+(65=$HK30)+(65=$HL30)+(65=$HM30)+(65=$HN30)+(65=$HO30)&gt;=2,50,0))+BP$5*50)</f>
        <v/>
      </c>
      <c r="BQ150">
        <f>IF(OR($JF30=0,calcA!$A$6=0),0,IF(OR(66=$HA30,66=$HD30,66=$HG30),200000,MIN(IF($HA30=0,999999,IF(3=$HB30,IF(66=$HJ30,IF($JC30=2,30,0),IF(66=$HK30,IF($JC30=1,30,0),ABS(18-$HC30)*100)),100000+ABS(3-$HB30)*1000+180)),IF($HD30=0,999999,IF(3=$HE30,IF(66=$HL30,IF($JD30=2,30,0),IF(66=$HM30,IF($JD30=1,30,0),ABS(18-$HF30)*100)),100000+ABS(3-$HE30)*1000+180)),IF($HG30=0,999999,IF(3=$HH30,IF(66=$HN30,IF($JE30=2,30,0),IF(66=$HO30,IF($JE30=1,30,0),ABS(18-$HI30)*100)),100000+ABS(3-$HH30)*1000+180)))-IF((66=$HJ30)+(66=$HK30)+(66=$HL30)+(66=$HM30)+(66=$HN30)+(66=$HO30)&gt;=2,50,0))+BQ$5*50)</f>
        <v/>
      </c>
      <c r="BR150">
        <f>IF(OR($JF30=0,calcA!$A$6=0),0,IF(OR(67=$HA30,67=$HD30,67=$HG30),200000,MIN(IF($HA30=0,999999,IF(3=$HB30,IF(67=$HJ30,IF($JC30=2,30,0),IF(67=$HK30,IF($JC30=1,30,0),ABS(19-$HC30)*100)),100000+ABS(3-$HB30)*1000+190)),IF($HD30=0,999999,IF(3=$HE30,IF(67=$HL30,IF($JD30=2,30,0),IF(67=$HM30,IF($JD30=1,30,0),ABS(19-$HF30)*100)),100000+ABS(3-$HE30)*1000+190)),IF($HG30=0,999999,IF(3=$HH30,IF(67=$HN30,IF($JE30=2,30,0),IF(67=$HO30,IF($JE30=1,30,0),ABS(19-$HI30)*100)),100000+ABS(3-$HH30)*1000+190)))-IF((67=$HJ30)+(67=$HK30)+(67=$HL30)+(67=$HM30)+(67=$HN30)+(67=$HO30)&gt;=2,50,0))+BR$5*50)</f>
        <v/>
      </c>
      <c r="BS150">
        <f>IF(OR($JF30=0,calcA!$A$6=0),0,IF(OR(68=$HA30,68=$HD30,68=$HG30),200000,MIN(IF($HA30=0,999999,IF(3=$HB30,IF(68=$HJ30,IF($JC30=2,30,0),IF(68=$HK30,IF($JC30=1,30,0),ABS(20-$HC30)*100)),100000+ABS(3-$HB30)*1000+200)),IF($HD30=0,999999,IF(3=$HE30,IF(68=$HL30,IF($JD30=2,30,0),IF(68=$HM30,IF($JD30=1,30,0),ABS(20-$HF30)*100)),100000+ABS(3-$HE30)*1000+200)),IF($HG30=0,999999,IF(3=$HH30,IF(68=$HN30,IF($JE30=2,30,0),IF(68=$HO30,IF($JE30=1,30,0),ABS(20-$HI30)*100)),100000+ABS(3-$HH30)*1000+200)))-IF((68=$HJ30)+(68=$HK30)+(68=$HL30)+(68=$HM30)+(68=$HN30)+(68=$HO30)&gt;=2,50,0))+BS$5*50)</f>
        <v/>
      </c>
      <c r="BT150">
        <f>IF(OR($JF30=0,calcA!$A$6=0),0,IF(OR(69=$HA30,69=$HD30,69=$HG30),200000,MIN(IF($HA30=0,999999,IF(3=$HB30,IF(69=$HJ30,IF($JC30=2,30,0),IF(69=$HK30,IF($JC30=1,30,0),ABS(21-$HC30)*100)),100000+ABS(3-$HB30)*1000+210)),IF($HD30=0,999999,IF(3=$HE30,IF(69=$HL30,IF($JD30=2,30,0),IF(69=$HM30,IF($JD30=1,30,0),ABS(21-$HF30)*100)),100000+ABS(3-$HE30)*1000+210)),IF($HG30=0,999999,IF(3=$HH30,IF(69=$HN30,IF($JE30=2,30,0),IF(69=$HO30,IF($JE30=1,30,0),ABS(21-$HI30)*100)),100000+ABS(3-$HH30)*1000+210)))-IF((69=$HJ30)+(69=$HK30)+(69=$HL30)+(69=$HM30)+(69=$HN30)+(69=$HO30)&gt;=2,50,0))+BT$5*50)</f>
        <v/>
      </c>
      <c r="BU150">
        <f>IF(OR($JF30=0,calcA!$A$6=0),0,IF(OR(70=$HA30,70=$HD30,70=$HG30),200000,MIN(IF($HA30=0,999999,IF(3=$HB30,IF(70=$HJ30,IF($JC30=2,30,0),IF(70=$HK30,IF($JC30=1,30,0),ABS(22-$HC30)*100)),100000+ABS(3-$HB30)*1000+220)),IF($HD30=0,999999,IF(3=$HE30,IF(70=$HL30,IF($JD30=2,30,0),IF(70=$HM30,IF($JD30=1,30,0),ABS(22-$HF30)*100)),100000+ABS(3-$HE30)*1000+220)),IF($HG30=0,999999,IF(3=$HH30,IF(70=$HN30,IF($JE30=2,30,0),IF(70=$HO30,IF($JE30=1,30,0),ABS(22-$HI30)*100)),100000+ABS(3-$HH30)*1000+220)))-IF((70=$HJ30)+(70=$HK30)+(70=$HL30)+(70=$HM30)+(70=$HN30)+(70=$HO30)&gt;=2,50,0))+BU$5*50)</f>
        <v/>
      </c>
      <c r="BV150">
        <f>IF(OR($JF30=0,calcA!$A$6=0),0,IF(OR(71=$HA30,71=$HD30,71=$HG30),200000,MIN(IF($HA30=0,999999,IF(3=$HB30,IF(71=$HJ30,IF($JC30=2,30,0),IF(71=$HK30,IF($JC30=1,30,0),ABS(23-$HC30)*100)),100000+ABS(3-$HB30)*1000+230)),IF($HD30=0,999999,IF(3=$HE30,IF(71=$HL30,IF($JD30=2,30,0),IF(71=$HM30,IF($JD30=1,30,0),ABS(23-$HF30)*100)),100000+ABS(3-$HE30)*1000+230)),IF($HG30=0,999999,IF(3=$HH30,IF(71=$HN30,IF($JE30=2,30,0),IF(71=$HO30,IF($JE30=1,30,0),ABS(23-$HI30)*100)),100000+ABS(3-$HH30)*1000+230)))-IF((71=$HJ30)+(71=$HK30)+(71=$HL30)+(71=$HM30)+(71=$HN30)+(71=$HO30)&gt;=2,50,0))+BV$5*50)</f>
        <v/>
      </c>
      <c r="BW150">
        <f>IF(OR($JF30=0,calcA!$A$6=0),0,IF(OR(72=$HA30,72=$HD30,72=$HG30),200000,MIN(IF($HA30=0,999999,IF(3=$HB30,IF(72=$HJ30,IF($JC30=2,30,0),IF(72=$HK30,IF($JC30=1,30,0),ABS(24-$HC30)*100)),100000+ABS(3-$HB30)*1000+240)),IF($HD30=0,999999,IF(3=$HE30,IF(72=$HL30,IF($JD30=2,30,0),IF(72=$HM30,IF($JD30=1,30,0),ABS(24-$HF30)*100)),100000+ABS(3-$HE30)*1000+240)),IF($HG30=0,999999,IF(3=$HH30,IF(72=$HN30,IF($JE30=2,30,0),IF(72=$HO30,IF($JE30=1,30,0),ABS(24-$HI30)*100)),100000+ABS(3-$HH30)*1000+240)))-IF((72=$HJ30)+(72=$HK30)+(72=$HL30)+(72=$HM30)+(72=$HN30)+(72=$HO30)&gt;=2,50,0))+BW$5*50)</f>
        <v/>
      </c>
      <c r="BX150">
        <f>IF(OR($JF30=0,calcA!$A$6=0),0,IF(OR(73=$HA30,73=$HD30,73=$HG30),200000,MIN(IF($HA30=0,999999,IF(4=$HB30,IF(73=$HJ30,IF($JC30=2,30,0),IF(73=$HK30,IF($JC30=1,30,0),ABS(1-$HC30)*100)),100000+ABS(4-$HB30)*1000+10)),IF($HD30=0,999999,IF(4=$HE30,IF(73=$HL30,IF($JD30=2,30,0),IF(73=$HM30,IF($JD30=1,30,0),ABS(1-$HF30)*100)),100000+ABS(4-$HE30)*1000+10)),IF($HG30=0,999999,IF(4=$HH30,IF(73=$HN30,IF($JE30=2,30,0),IF(73=$HO30,IF($JE30=1,30,0),ABS(1-$HI30)*100)),100000+ABS(4-$HH30)*1000+10)))-IF((73=$HJ30)+(73=$HK30)+(73=$HL30)+(73=$HM30)+(73=$HN30)+(73=$HO30)&gt;=2,50,0))+BX$5*50)</f>
        <v/>
      </c>
      <c r="BY150">
        <f>IF(OR($JF30=0,calcA!$A$6=0),0,IF(OR(74=$HA30,74=$HD30,74=$HG30),200000,MIN(IF($HA30=0,999999,IF(4=$HB30,IF(74=$HJ30,IF($JC30=2,30,0),IF(74=$HK30,IF($JC30=1,30,0),ABS(2-$HC30)*100)),100000+ABS(4-$HB30)*1000+20)),IF($HD30=0,999999,IF(4=$HE30,IF(74=$HL30,IF($JD30=2,30,0),IF(74=$HM30,IF($JD30=1,30,0),ABS(2-$HF30)*100)),100000+ABS(4-$HE30)*1000+20)),IF($HG30=0,999999,IF(4=$HH30,IF(74=$HN30,IF($JE30=2,30,0),IF(74=$HO30,IF($JE30=1,30,0),ABS(2-$HI30)*100)),100000+ABS(4-$HH30)*1000+20)))-IF((74=$HJ30)+(74=$HK30)+(74=$HL30)+(74=$HM30)+(74=$HN30)+(74=$HO30)&gt;=2,50,0))+BY$5*50)</f>
        <v/>
      </c>
      <c r="BZ150">
        <f>IF(OR($JF30=0,calcA!$A$6=0),0,IF(OR(75=$HA30,75=$HD30,75=$HG30),200000,MIN(IF($HA30=0,999999,IF(4=$HB30,IF(75=$HJ30,IF($JC30=2,30,0),IF(75=$HK30,IF($JC30=1,30,0),ABS(3-$HC30)*100)),100000+ABS(4-$HB30)*1000+30)),IF($HD30=0,999999,IF(4=$HE30,IF(75=$HL30,IF($JD30=2,30,0),IF(75=$HM30,IF($JD30=1,30,0),ABS(3-$HF30)*100)),100000+ABS(4-$HE30)*1000+30)),IF($HG30=0,999999,IF(4=$HH30,IF(75=$HN30,IF($JE30=2,30,0),IF(75=$HO30,IF($JE30=1,30,0),ABS(3-$HI30)*100)),100000+ABS(4-$HH30)*1000+30)))-IF((75=$HJ30)+(75=$HK30)+(75=$HL30)+(75=$HM30)+(75=$HN30)+(75=$HO30)&gt;=2,50,0))+BZ$5*50)</f>
        <v/>
      </c>
      <c r="CA150">
        <f>IF(OR($JF30=0,calcA!$A$6=0),0,IF(OR(76=$HA30,76=$HD30,76=$HG30),200000,MIN(IF($HA30=0,999999,IF(4=$HB30,IF(76=$HJ30,IF($JC30=2,30,0),IF(76=$HK30,IF($JC30=1,30,0),ABS(4-$HC30)*100)),100000+ABS(4-$HB30)*1000+40)),IF($HD30=0,999999,IF(4=$HE30,IF(76=$HL30,IF($JD30=2,30,0),IF(76=$HM30,IF($JD30=1,30,0),ABS(4-$HF30)*100)),100000+ABS(4-$HE30)*1000+40)),IF($HG30=0,999999,IF(4=$HH30,IF(76=$HN30,IF($JE30=2,30,0),IF(76=$HO30,IF($JE30=1,30,0),ABS(4-$HI30)*100)),100000+ABS(4-$HH30)*1000+40)))-IF((76=$HJ30)+(76=$HK30)+(76=$HL30)+(76=$HM30)+(76=$HN30)+(76=$HO30)&gt;=2,50,0))+CA$5*50)</f>
        <v/>
      </c>
      <c r="CB150">
        <f>IF(OR($JF30=0,calcA!$A$6=0),0,IF(OR(77=$HA30,77=$HD30,77=$HG30),200000,MIN(IF($HA30=0,999999,IF(4=$HB30,IF(77=$HJ30,IF($JC30=2,30,0),IF(77=$HK30,IF($JC30=1,30,0),ABS(5-$HC30)*100)),100000+ABS(4-$HB30)*1000+50)),IF($HD30=0,999999,IF(4=$HE30,IF(77=$HL30,IF($JD30=2,30,0),IF(77=$HM30,IF($JD30=1,30,0),ABS(5-$HF30)*100)),100000+ABS(4-$HE30)*1000+50)),IF($HG30=0,999999,IF(4=$HH30,IF(77=$HN30,IF($JE30=2,30,0),IF(77=$HO30,IF($JE30=1,30,0),ABS(5-$HI30)*100)),100000+ABS(4-$HH30)*1000+50)))-IF((77=$HJ30)+(77=$HK30)+(77=$HL30)+(77=$HM30)+(77=$HN30)+(77=$HO30)&gt;=2,50,0))+CB$5*50)</f>
        <v/>
      </c>
      <c r="CC150">
        <f>IF(OR($JF30=0,calcA!$A$6=0),0,IF(OR(78=$HA30,78=$HD30,78=$HG30),200000,MIN(IF($HA30=0,999999,IF(4=$HB30,IF(78=$HJ30,IF($JC30=2,30,0),IF(78=$HK30,IF($JC30=1,30,0),ABS(6-$HC30)*100)),100000+ABS(4-$HB30)*1000+60)),IF($HD30=0,999999,IF(4=$HE30,IF(78=$HL30,IF($JD30=2,30,0),IF(78=$HM30,IF($JD30=1,30,0),ABS(6-$HF30)*100)),100000+ABS(4-$HE30)*1000+60)),IF($HG30=0,999999,IF(4=$HH30,IF(78=$HN30,IF($JE30=2,30,0),IF(78=$HO30,IF($JE30=1,30,0),ABS(6-$HI30)*100)),100000+ABS(4-$HH30)*1000+60)))-IF((78=$HJ30)+(78=$HK30)+(78=$HL30)+(78=$HM30)+(78=$HN30)+(78=$HO30)&gt;=2,50,0))+CC$5*50)</f>
        <v/>
      </c>
      <c r="CD150">
        <f>IF(OR($JF30=0,calcA!$A$6=0),0,IF(OR(79=$HA30,79=$HD30,79=$HG30),200000,MIN(IF($HA30=0,999999,IF(4=$HB30,IF(79=$HJ30,IF($JC30=2,30,0),IF(79=$HK30,IF($JC30=1,30,0),ABS(7-$HC30)*100)),100000+ABS(4-$HB30)*1000+70)),IF($HD30=0,999999,IF(4=$HE30,IF(79=$HL30,IF($JD30=2,30,0),IF(79=$HM30,IF($JD30=1,30,0),ABS(7-$HF30)*100)),100000+ABS(4-$HE30)*1000+70)),IF($HG30=0,999999,IF(4=$HH30,IF(79=$HN30,IF($JE30=2,30,0),IF(79=$HO30,IF($JE30=1,30,0),ABS(7-$HI30)*100)),100000+ABS(4-$HH30)*1000+70)))-IF((79=$HJ30)+(79=$HK30)+(79=$HL30)+(79=$HM30)+(79=$HN30)+(79=$HO30)&gt;=2,50,0))+CD$5*50)</f>
        <v/>
      </c>
      <c r="CE150">
        <f>IF(OR($JF30=0,calcA!$A$6=0),0,IF(OR(80=$HA30,80=$HD30,80=$HG30),200000,MIN(IF($HA30=0,999999,IF(4=$HB30,IF(80=$HJ30,IF($JC30=2,30,0),IF(80=$HK30,IF($JC30=1,30,0),ABS(8-$HC30)*100)),100000+ABS(4-$HB30)*1000+80)),IF($HD30=0,999999,IF(4=$HE30,IF(80=$HL30,IF($JD30=2,30,0),IF(80=$HM30,IF($JD30=1,30,0),ABS(8-$HF30)*100)),100000+ABS(4-$HE30)*1000+80)),IF($HG30=0,999999,IF(4=$HH30,IF(80=$HN30,IF($JE30=2,30,0),IF(80=$HO30,IF($JE30=1,30,0),ABS(8-$HI30)*100)),100000+ABS(4-$HH30)*1000+80)))-IF((80=$HJ30)+(80=$HK30)+(80=$HL30)+(80=$HM30)+(80=$HN30)+(80=$HO30)&gt;=2,50,0))+CE$5*50)</f>
        <v/>
      </c>
      <c r="CF150">
        <f>IF(OR($JF30=0,calcA!$A$6=0),0,IF(OR(81=$HA30,81=$HD30,81=$HG30),200000,MIN(IF($HA30=0,999999,IF(4=$HB30,IF(81=$HJ30,IF($JC30=2,30,0),IF(81=$HK30,IF($JC30=1,30,0),ABS(9-$HC30)*100)),100000+ABS(4-$HB30)*1000+90)),IF($HD30=0,999999,IF(4=$HE30,IF(81=$HL30,IF($JD30=2,30,0),IF(81=$HM30,IF($JD30=1,30,0),ABS(9-$HF30)*100)),100000+ABS(4-$HE30)*1000+90)),IF($HG30=0,999999,IF(4=$HH30,IF(81=$HN30,IF($JE30=2,30,0),IF(81=$HO30,IF($JE30=1,30,0),ABS(9-$HI30)*100)),100000+ABS(4-$HH30)*1000+90)))-IF((81=$HJ30)+(81=$HK30)+(81=$HL30)+(81=$HM30)+(81=$HN30)+(81=$HO30)&gt;=2,50,0))+CF$5*50)</f>
        <v/>
      </c>
      <c r="CG150">
        <f>IF(OR($JF30=0,calcA!$A$6=0),0,IF(OR(82=$HA30,82=$HD30,82=$HG30),200000,MIN(IF($HA30=0,999999,IF(4=$HB30,IF(82=$HJ30,IF($JC30=2,30,0),IF(82=$HK30,IF($JC30=1,30,0),ABS(10-$HC30)*100)),100000+ABS(4-$HB30)*1000+100)),IF($HD30=0,999999,IF(4=$HE30,IF(82=$HL30,IF($JD30=2,30,0),IF(82=$HM30,IF($JD30=1,30,0),ABS(10-$HF30)*100)),100000+ABS(4-$HE30)*1000+100)),IF($HG30=0,999999,IF(4=$HH30,IF(82=$HN30,IF($JE30=2,30,0),IF(82=$HO30,IF($JE30=1,30,0),ABS(10-$HI30)*100)),100000+ABS(4-$HH30)*1000+100)))-IF((82=$HJ30)+(82=$HK30)+(82=$HL30)+(82=$HM30)+(82=$HN30)+(82=$HO30)&gt;=2,50,0))+CG$5*50)</f>
        <v/>
      </c>
      <c r="CH150">
        <f>IF(OR($JF30=0,calcA!$A$6=0),0,IF(OR(83=$HA30,83=$HD30,83=$HG30),200000,MIN(IF($HA30=0,999999,IF(4=$HB30,IF(83=$HJ30,IF($JC30=2,30,0),IF(83=$HK30,IF($JC30=1,30,0),ABS(11-$HC30)*100)),100000+ABS(4-$HB30)*1000+110)),IF($HD30=0,999999,IF(4=$HE30,IF(83=$HL30,IF($JD30=2,30,0),IF(83=$HM30,IF($JD30=1,30,0),ABS(11-$HF30)*100)),100000+ABS(4-$HE30)*1000+110)),IF($HG30=0,999999,IF(4=$HH30,IF(83=$HN30,IF($JE30=2,30,0),IF(83=$HO30,IF($JE30=1,30,0),ABS(11-$HI30)*100)),100000+ABS(4-$HH30)*1000+110)))-IF((83=$HJ30)+(83=$HK30)+(83=$HL30)+(83=$HM30)+(83=$HN30)+(83=$HO30)&gt;=2,50,0))+CH$5*50)</f>
        <v/>
      </c>
      <c r="CI150">
        <f>IF(OR($JF30=0,calcA!$A$6=0),0,IF(OR(84=$HA30,84=$HD30,84=$HG30),200000,MIN(IF($HA30=0,999999,IF(4=$HB30,IF(84=$HJ30,IF($JC30=2,30,0),IF(84=$HK30,IF($JC30=1,30,0),ABS(12-$HC30)*100)),100000+ABS(4-$HB30)*1000+120)),IF($HD30=0,999999,IF(4=$HE30,IF(84=$HL30,IF($JD30=2,30,0),IF(84=$HM30,IF($JD30=1,30,0),ABS(12-$HF30)*100)),100000+ABS(4-$HE30)*1000+120)),IF($HG30=0,999999,IF(4=$HH30,IF(84=$HN30,IF($JE30=2,30,0),IF(84=$HO30,IF($JE30=1,30,0),ABS(12-$HI30)*100)),100000+ABS(4-$HH30)*1000+120)))-IF((84=$HJ30)+(84=$HK30)+(84=$HL30)+(84=$HM30)+(84=$HN30)+(84=$HO30)&gt;=2,50,0))+CI$5*50)</f>
        <v/>
      </c>
      <c r="CJ150">
        <f>IF(OR($JF30=0,calcA!$A$6=0),0,IF(OR(85=$HA30,85=$HD30,85=$HG30),200000,MIN(IF($HA30=0,999999,IF(4=$HB30,IF(85=$HJ30,IF($JC30=2,30,0),IF(85=$HK30,IF($JC30=1,30,0),ABS(13-$HC30)*100)),100000+ABS(4-$HB30)*1000+130)),IF($HD30=0,999999,IF(4=$HE30,IF(85=$HL30,IF($JD30=2,30,0),IF(85=$HM30,IF($JD30=1,30,0),ABS(13-$HF30)*100)),100000+ABS(4-$HE30)*1000+130)),IF($HG30=0,999999,IF(4=$HH30,IF(85=$HN30,IF($JE30=2,30,0),IF(85=$HO30,IF($JE30=1,30,0),ABS(13-$HI30)*100)),100000+ABS(4-$HH30)*1000+130)))-IF((85=$HJ30)+(85=$HK30)+(85=$HL30)+(85=$HM30)+(85=$HN30)+(85=$HO30)&gt;=2,50,0))+CJ$5*50)</f>
        <v/>
      </c>
      <c r="CK150">
        <f>IF(OR($JF30=0,calcA!$A$6=0),0,IF(OR(86=$HA30,86=$HD30,86=$HG30),200000,MIN(IF($HA30=0,999999,IF(4=$HB30,IF(86=$HJ30,IF($JC30=2,30,0),IF(86=$HK30,IF($JC30=1,30,0),ABS(14-$HC30)*100)),100000+ABS(4-$HB30)*1000+140)),IF($HD30=0,999999,IF(4=$HE30,IF(86=$HL30,IF($JD30=2,30,0),IF(86=$HM30,IF($JD30=1,30,0),ABS(14-$HF30)*100)),100000+ABS(4-$HE30)*1000+140)),IF($HG30=0,999999,IF(4=$HH30,IF(86=$HN30,IF($JE30=2,30,0),IF(86=$HO30,IF($JE30=1,30,0),ABS(14-$HI30)*100)),100000+ABS(4-$HH30)*1000+140)))-IF((86=$HJ30)+(86=$HK30)+(86=$HL30)+(86=$HM30)+(86=$HN30)+(86=$HO30)&gt;=2,50,0))+CK$5*50)</f>
        <v/>
      </c>
      <c r="CL150">
        <f>IF(OR($JF30=0,calcA!$A$6=0),0,IF(OR(87=$HA30,87=$HD30,87=$HG30),200000,MIN(IF($HA30=0,999999,IF(4=$HB30,IF(87=$HJ30,IF($JC30=2,30,0),IF(87=$HK30,IF($JC30=1,30,0),ABS(15-$HC30)*100)),100000+ABS(4-$HB30)*1000+150)),IF($HD30=0,999999,IF(4=$HE30,IF(87=$HL30,IF($JD30=2,30,0),IF(87=$HM30,IF($JD30=1,30,0),ABS(15-$HF30)*100)),100000+ABS(4-$HE30)*1000+150)),IF($HG30=0,999999,IF(4=$HH30,IF(87=$HN30,IF($JE30=2,30,0),IF(87=$HO30,IF($JE30=1,30,0),ABS(15-$HI30)*100)),100000+ABS(4-$HH30)*1000+150)))-IF((87=$HJ30)+(87=$HK30)+(87=$HL30)+(87=$HM30)+(87=$HN30)+(87=$HO30)&gt;=2,50,0))+CL$5*50)</f>
        <v/>
      </c>
      <c r="CM150">
        <f>IF(OR($JF30=0,calcA!$A$6=0),0,IF(OR(88=$HA30,88=$HD30,88=$HG30),200000,MIN(IF($HA30=0,999999,IF(4=$HB30,IF(88=$HJ30,IF($JC30=2,30,0),IF(88=$HK30,IF($JC30=1,30,0),ABS(16-$HC30)*100)),100000+ABS(4-$HB30)*1000+160)),IF($HD30=0,999999,IF(4=$HE30,IF(88=$HL30,IF($JD30=2,30,0),IF(88=$HM30,IF($JD30=1,30,0),ABS(16-$HF30)*100)),100000+ABS(4-$HE30)*1000+160)),IF($HG30=0,999999,IF(4=$HH30,IF(88=$HN30,IF($JE30=2,30,0),IF(88=$HO30,IF($JE30=1,30,0),ABS(16-$HI30)*100)),100000+ABS(4-$HH30)*1000+160)))-IF((88=$HJ30)+(88=$HK30)+(88=$HL30)+(88=$HM30)+(88=$HN30)+(88=$HO30)&gt;=2,50,0))+CM$5*50)</f>
        <v/>
      </c>
      <c r="CN150">
        <f>IF(OR($JF30=0,calcA!$A$6=0),0,IF(OR(89=$HA30,89=$HD30,89=$HG30),200000,MIN(IF($HA30=0,999999,IF(4=$HB30,IF(89=$HJ30,IF($JC30=2,30,0),IF(89=$HK30,IF($JC30=1,30,0),ABS(17-$HC30)*100)),100000+ABS(4-$HB30)*1000+170)),IF($HD30=0,999999,IF(4=$HE30,IF(89=$HL30,IF($JD30=2,30,0),IF(89=$HM30,IF($JD30=1,30,0),ABS(17-$HF30)*100)),100000+ABS(4-$HE30)*1000+170)),IF($HG30=0,999999,IF(4=$HH30,IF(89=$HN30,IF($JE30=2,30,0),IF(89=$HO30,IF($JE30=1,30,0),ABS(17-$HI30)*100)),100000+ABS(4-$HH30)*1000+170)))-IF((89=$HJ30)+(89=$HK30)+(89=$HL30)+(89=$HM30)+(89=$HN30)+(89=$HO30)&gt;=2,50,0))+CN$5*50)</f>
        <v/>
      </c>
      <c r="CO150">
        <f>IF(OR($JF30=0,calcA!$A$6=0),0,IF(OR(90=$HA30,90=$HD30,90=$HG30),200000,MIN(IF($HA30=0,999999,IF(4=$HB30,IF(90=$HJ30,IF($JC30=2,30,0),IF(90=$HK30,IF($JC30=1,30,0),ABS(18-$HC30)*100)),100000+ABS(4-$HB30)*1000+180)),IF($HD30=0,999999,IF(4=$HE30,IF(90=$HL30,IF($JD30=2,30,0),IF(90=$HM30,IF($JD30=1,30,0),ABS(18-$HF30)*100)),100000+ABS(4-$HE30)*1000+180)),IF($HG30=0,999999,IF(4=$HH30,IF(90=$HN30,IF($JE30=2,30,0),IF(90=$HO30,IF($JE30=1,30,0),ABS(18-$HI30)*100)),100000+ABS(4-$HH30)*1000+180)))-IF((90=$HJ30)+(90=$HK30)+(90=$HL30)+(90=$HM30)+(90=$HN30)+(90=$HO30)&gt;=2,50,0))+CO$5*50)</f>
        <v/>
      </c>
      <c r="CP150">
        <f>IF(OR($JF30=0,calcA!$A$6=0),0,IF(OR(91=$HA30,91=$HD30,91=$HG30),200000,MIN(IF($HA30=0,999999,IF(4=$HB30,IF(91=$HJ30,IF($JC30=2,30,0),IF(91=$HK30,IF($JC30=1,30,0),ABS(19-$HC30)*100)),100000+ABS(4-$HB30)*1000+190)),IF($HD30=0,999999,IF(4=$HE30,IF(91=$HL30,IF($JD30=2,30,0),IF(91=$HM30,IF($JD30=1,30,0),ABS(19-$HF30)*100)),100000+ABS(4-$HE30)*1000+190)),IF($HG30=0,999999,IF(4=$HH30,IF(91=$HN30,IF($JE30=2,30,0),IF(91=$HO30,IF($JE30=1,30,0),ABS(19-$HI30)*100)),100000+ABS(4-$HH30)*1000+190)))-IF((91=$HJ30)+(91=$HK30)+(91=$HL30)+(91=$HM30)+(91=$HN30)+(91=$HO30)&gt;=2,50,0))+CP$5*50)</f>
        <v/>
      </c>
      <c r="CQ150">
        <f>IF(OR($JF30=0,calcA!$A$6=0),0,IF(OR(92=$HA30,92=$HD30,92=$HG30),200000,MIN(IF($HA30=0,999999,IF(4=$HB30,IF(92=$HJ30,IF($JC30=2,30,0),IF(92=$HK30,IF($JC30=1,30,0),ABS(20-$HC30)*100)),100000+ABS(4-$HB30)*1000+200)),IF($HD30=0,999999,IF(4=$HE30,IF(92=$HL30,IF($JD30=2,30,0),IF(92=$HM30,IF($JD30=1,30,0),ABS(20-$HF30)*100)),100000+ABS(4-$HE30)*1000+200)),IF($HG30=0,999999,IF(4=$HH30,IF(92=$HN30,IF($JE30=2,30,0),IF(92=$HO30,IF($JE30=1,30,0),ABS(20-$HI30)*100)),100000+ABS(4-$HH30)*1000+200)))-IF((92=$HJ30)+(92=$HK30)+(92=$HL30)+(92=$HM30)+(92=$HN30)+(92=$HO30)&gt;=2,50,0))+CQ$5*50)</f>
        <v/>
      </c>
      <c r="CR150">
        <f>IF(OR($JF30=0,calcA!$A$6=0),0,IF(OR(93=$HA30,93=$HD30,93=$HG30),200000,MIN(IF($HA30=0,999999,IF(4=$HB30,IF(93=$HJ30,IF($JC30=2,30,0),IF(93=$HK30,IF($JC30=1,30,0),ABS(21-$HC30)*100)),100000+ABS(4-$HB30)*1000+210)),IF($HD30=0,999999,IF(4=$HE30,IF(93=$HL30,IF($JD30=2,30,0),IF(93=$HM30,IF($JD30=1,30,0),ABS(21-$HF30)*100)),100000+ABS(4-$HE30)*1000+210)),IF($HG30=0,999999,IF(4=$HH30,IF(93=$HN30,IF($JE30=2,30,0),IF(93=$HO30,IF($JE30=1,30,0),ABS(21-$HI30)*100)),100000+ABS(4-$HH30)*1000+210)))-IF((93=$HJ30)+(93=$HK30)+(93=$HL30)+(93=$HM30)+(93=$HN30)+(93=$HO30)&gt;=2,50,0))+CR$5*50)</f>
        <v/>
      </c>
      <c r="CS150">
        <f>IF(OR($JF30=0,calcA!$A$6=0),0,IF(OR(94=$HA30,94=$HD30,94=$HG30),200000,MIN(IF($HA30=0,999999,IF(4=$HB30,IF(94=$HJ30,IF($JC30=2,30,0),IF(94=$HK30,IF($JC30=1,30,0),ABS(22-$HC30)*100)),100000+ABS(4-$HB30)*1000+220)),IF($HD30=0,999999,IF(4=$HE30,IF(94=$HL30,IF($JD30=2,30,0),IF(94=$HM30,IF($JD30=1,30,0),ABS(22-$HF30)*100)),100000+ABS(4-$HE30)*1000+220)),IF($HG30=0,999999,IF(4=$HH30,IF(94=$HN30,IF($JE30=2,30,0),IF(94=$HO30,IF($JE30=1,30,0),ABS(22-$HI30)*100)),100000+ABS(4-$HH30)*1000+220)))-IF((94=$HJ30)+(94=$HK30)+(94=$HL30)+(94=$HM30)+(94=$HN30)+(94=$HO30)&gt;=2,50,0))+CS$5*50)</f>
        <v/>
      </c>
      <c r="CT150">
        <f>IF(OR($JF30=0,calcA!$A$6=0),0,IF(OR(95=$HA30,95=$HD30,95=$HG30),200000,MIN(IF($HA30=0,999999,IF(4=$HB30,IF(95=$HJ30,IF($JC30=2,30,0),IF(95=$HK30,IF($JC30=1,30,0),ABS(23-$HC30)*100)),100000+ABS(4-$HB30)*1000+230)),IF($HD30=0,999999,IF(4=$HE30,IF(95=$HL30,IF($JD30=2,30,0),IF(95=$HM30,IF($JD30=1,30,0),ABS(23-$HF30)*100)),100000+ABS(4-$HE30)*1000+230)),IF($HG30=0,999999,IF(4=$HH30,IF(95=$HN30,IF($JE30=2,30,0),IF(95=$HO30,IF($JE30=1,30,0),ABS(23-$HI30)*100)),100000+ABS(4-$HH30)*1000+230)))-IF((95=$HJ30)+(95=$HK30)+(95=$HL30)+(95=$HM30)+(95=$HN30)+(95=$HO30)&gt;=2,50,0))+CT$5*50)</f>
        <v/>
      </c>
      <c r="CU150">
        <f>IF(OR($JF30=0,calcA!$A$6=0),0,IF(OR(96=$HA30,96=$HD30,96=$HG30),200000,MIN(IF($HA30=0,999999,IF(4=$HB30,IF(96=$HJ30,IF($JC30=2,30,0),IF(96=$HK30,IF($JC30=1,30,0),ABS(24-$HC30)*100)),100000+ABS(4-$HB30)*1000+240)),IF($HD30=0,999999,IF(4=$HE30,IF(96=$HL30,IF($JD30=2,30,0),IF(96=$HM30,IF($JD30=1,30,0),ABS(24-$HF30)*100)),100000+ABS(4-$HE30)*1000+240)),IF($HG30=0,999999,IF(4=$HH30,IF(96=$HN30,IF($JE30=2,30,0),IF(96=$HO30,IF($JE30=1,30,0),ABS(24-$HI30)*100)),100000+ABS(4-$HH30)*1000+240)))-IF((96=$HJ30)+(96=$HK30)+(96=$HL30)+(96=$HM30)+(96=$HN30)+(96=$HO30)&gt;=2,50,0))+CU$5*50)</f>
        <v/>
      </c>
      <c r="CV150">
        <f>IF(OR($JF30=0,calcA!$A$6=0),0,IF(OR(97=$HA30,97=$HD30,97=$HG30),200000,MIN(IF($HA30=0,999999,IF(5=$HB30,IF(97=$HJ30,IF($JC30=2,30,0),IF(97=$HK30,IF($JC30=1,30,0),ABS(1-$HC30)*100)),100000+ABS(5-$HB30)*1000+10)),IF($HD30=0,999999,IF(5=$HE30,IF(97=$HL30,IF($JD30=2,30,0),IF(97=$HM30,IF($JD30=1,30,0),ABS(1-$HF30)*100)),100000+ABS(5-$HE30)*1000+10)),IF($HG30=0,999999,IF(5=$HH30,IF(97=$HN30,IF($JE30=2,30,0),IF(97=$HO30,IF($JE30=1,30,0),ABS(1-$HI30)*100)),100000+ABS(5-$HH30)*1000+10)))-IF((97=$HJ30)+(97=$HK30)+(97=$HL30)+(97=$HM30)+(97=$HN30)+(97=$HO30)&gt;=2,50,0))+CV$5*50)</f>
        <v/>
      </c>
      <c r="CW150">
        <f>IF(OR($JF30=0,calcA!$A$6=0),0,IF(OR(98=$HA30,98=$HD30,98=$HG30),200000,MIN(IF($HA30=0,999999,IF(5=$HB30,IF(98=$HJ30,IF($JC30=2,30,0),IF(98=$HK30,IF($JC30=1,30,0),ABS(2-$HC30)*100)),100000+ABS(5-$HB30)*1000+20)),IF($HD30=0,999999,IF(5=$HE30,IF(98=$HL30,IF($JD30=2,30,0),IF(98=$HM30,IF($JD30=1,30,0),ABS(2-$HF30)*100)),100000+ABS(5-$HE30)*1000+20)),IF($HG30=0,999999,IF(5=$HH30,IF(98=$HN30,IF($JE30=2,30,0),IF(98=$HO30,IF($JE30=1,30,0),ABS(2-$HI30)*100)),100000+ABS(5-$HH30)*1000+20)))-IF((98=$HJ30)+(98=$HK30)+(98=$HL30)+(98=$HM30)+(98=$HN30)+(98=$HO30)&gt;=2,50,0))+CW$5*50)</f>
        <v/>
      </c>
      <c r="CX150">
        <f>IF(OR($JF30=0,calcA!$A$6=0),0,IF(OR(99=$HA30,99=$HD30,99=$HG30),200000,MIN(IF($HA30=0,999999,IF(5=$HB30,IF(99=$HJ30,IF($JC30=2,30,0),IF(99=$HK30,IF($JC30=1,30,0),ABS(3-$HC30)*100)),100000+ABS(5-$HB30)*1000+30)),IF($HD30=0,999999,IF(5=$HE30,IF(99=$HL30,IF($JD30=2,30,0),IF(99=$HM30,IF($JD30=1,30,0),ABS(3-$HF30)*100)),100000+ABS(5-$HE30)*1000+30)),IF($HG30=0,999999,IF(5=$HH30,IF(99=$HN30,IF($JE30=2,30,0),IF(99=$HO30,IF($JE30=1,30,0),ABS(3-$HI30)*100)),100000+ABS(5-$HH30)*1000+30)))-IF((99=$HJ30)+(99=$HK30)+(99=$HL30)+(99=$HM30)+(99=$HN30)+(99=$HO30)&gt;=2,50,0))+CX$5*50)</f>
        <v/>
      </c>
      <c r="CY150">
        <f>IF(OR($JF30=0,calcA!$A$6=0),0,IF(OR(100=$HA30,100=$HD30,100=$HG30),200000,MIN(IF($HA30=0,999999,IF(5=$HB30,IF(100=$HJ30,IF($JC30=2,30,0),IF(100=$HK30,IF($JC30=1,30,0),ABS(4-$HC30)*100)),100000+ABS(5-$HB30)*1000+40)),IF($HD30=0,999999,IF(5=$HE30,IF(100=$HL30,IF($JD30=2,30,0),IF(100=$HM30,IF($JD30=1,30,0),ABS(4-$HF30)*100)),100000+ABS(5-$HE30)*1000+40)),IF($HG30=0,999999,IF(5=$HH30,IF(100=$HN30,IF($JE30=2,30,0),IF(100=$HO30,IF($JE30=1,30,0),ABS(4-$HI30)*100)),100000+ABS(5-$HH30)*1000+40)))-IF((100=$HJ30)+(100=$HK30)+(100=$HL30)+(100=$HM30)+(100=$HN30)+(100=$HO30)&gt;=2,50,0))+CY$5*50)</f>
        <v/>
      </c>
      <c r="CZ150">
        <f>IF(OR($JF30=0,calcA!$A$6=0),0,IF(OR(101=$HA30,101=$HD30,101=$HG30),200000,MIN(IF($HA30=0,999999,IF(5=$HB30,IF(101=$HJ30,IF($JC30=2,30,0),IF(101=$HK30,IF($JC30=1,30,0),ABS(5-$HC30)*100)),100000+ABS(5-$HB30)*1000+50)),IF($HD30=0,999999,IF(5=$HE30,IF(101=$HL30,IF($JD30=2,30,0),IF(101=$HM30,IF($JD30=1,30,0),ABS(5-$HF30)*100)),100000+ABS(5-$HE30)*1000+50)),IF($HG30=0,999999,IF(5=$HH30,IF(101=$HN30,IF($JE30=2,30,0),IF(101=$HO30,IF($JE30=1,30,0),ABS(5-$HI30)*100)),100000+ABS(5-$HH30)*1000+50)))-IF((101=$HJ30)+(101=$HK30)+(101=$HL30)+(101=$HM30)+(101=$HN30)+(101=$HO30)&gt;=2,50,0))+CZ$5*50)</f>
        <v/>
      </c>
      <c r="DA150">
        <f>IF(OR($JF30=0,calcA!$A$6=0),0,IF(OR(102=$HA30,102=$HD30,102=$HG30),200000,MIN(IF($HA30=0,999999,IF(5=$HB30,IF(102=$HJ30,IF($JC30=2,30,0),IF(102=$HK30,IF($JC30=1,30,0),ABS(6-$HC30)*100)),100000+ABS(5-$HB30)*1000+60)),IF($HD30=0,999999,IF(5=$HE30,IF(102=$HL30,IF($JD30=2,30,0),IF(102=$HM30,IF($JD30=1,30,0),ABS(6-$HF30)*100)),100000+ABS(5-$HE30)*1000+60)),IF($HG30=0,999999,IF(5=$HH30,IF(102=$HN30,IF($JE30=2,30,0),IF(102=$HO30,IF($JE30=1,30,0),ABS(6-$HI30)*100)),100000+ABS(5-$HH30)*1000+60)))-IF((102=$HJ30)+(102=$HK30)+(102=$HL30)+(102=$HM30)+(102=$HN30)+(102=$HO30)&gt;=2,50,0))+DA$5*50)</f>
        <v/>
      </c>
      <c r="DB150">
        <f>IF(OR($JF30=0,calcA!$A$6=0),0,IF(OR(103=$HA30,103=$HD30,103=$HG30),200000,MIN(IF($HA30=0,999999,IF(5=$HB30,IF(103=$HJ30,IF($JC30=2,30,0),IF(103=$HK30,IF($JC30=1,30,0),ABS(7-$HC30)*100)),100000+ABS(5-$HB30)*1000+70)),IF($HD30=0,999999,IF(5=$HE30,IF(103=$HL30,IF($JD30=2,30,0),IF(103=$HM30,IF($JD30=1,30,0),ABS(7-$HF30)*100)),100000+ABS(5-$HE30)*1000+70)),IF($HG30=0,999999,IF(5=$HH30,IF(103=$HN30,IF($JE30=2,30,0),IF(103=$HO30,IF($JE30=1,30,0),ABS(7-$HI30)*100)),100000+ABS(5-$HH30)*1000+70)))-IF((103=$HJ30)+(103=$HK30)+(103=$HL30)+(103=$HM30)+(103=$HN30)+(103=$HO30)&gt;=2,50,0))+DB$5*50)</f>
        <v/>
      </c>
      <c r="DC150">
        <f>IF(OR($JF30=0,calcA!$A$6=0),0,IF(OR(104=$HA30,104=$HD30,104=$HG30),200000,MIN(IF($HA30=0,999999,IF(5=$HB30,IF(104=$HJ30,IF($JC30=2,30,0),IF(104=$HK30,IF($JC30=1,30,0),ABS(8-$HC30)*100)),100000+ABS(5-$HB30)*1000+80)),IF($HD30=0,999999,IF(5=$HE30,IF(104=$HL30,IF($JD30=2,30,0),IF(104=$HM30,IF($JD30=1,30,0),ABS(8-$HF30)*100)),100000+ABS(5-$HE30)*1000+80)),IF($HG30=0,999999,IF(5=$HH30,IF(104=$HN30,IF($JE30=2,30,0),IF(104=$HO30,IF($JE30=1,30,0),ABS(8-$HI30)*100)),100000+ABS(5-$HH30)*1000+80)))-IF((104=$HJ30)+(104=$HK30)+(104=$HL30)+(104=$HM30)+(104=$HN30)+(104=$HO30)&gt;=2,50,0))+DC$5*50)</f>
        <v/>
      </c>
      <c r="DD150">
        <f>IF(OR($JF30=0,calcA!$A$6=0),0,IF(OR(105=$HA30,105=$HD30,105=$HG30),200000,MIN(IF($HA30=0,999999,IF(5=$HB30,IF(105=$HJ30,IF($JC30=2,30,0),IF(105=$HK30,IF($JC30=1,30,0),ABS(9-$HC30)*100)),100000+ABS(5-$HB30)*1000+90)),IF($HD30=0,999999,IF(5=$HE30,IF(105=$HL30,IF($JD30=2,30,0),IF(105=$HM30,IF($JD30=1,30,0),ABS(9-$HF30)*100)),100000+ABS(5-$HE30)*1000+90)),IF($HG30=0,999999,IF(5=$HH30,IF(105=$HN30,IF($JE30=2,30,0),IF(105=$HO30,IF($JE30=1,30,0),ABS(9-$HI30)*100)),100000+ABS(5-$HH30)*1000+90)))-IF((105=$HJ30)+(105=$HK30)+(105=$HL30)+(105=$HM30)+(105=$HN30)+(105=$HO30)&gt;=2,50,0))+DD$5*50)</f>
        <v/>
      </c>
      <c r="DE150">
        <f>IF(OR($JF30=0,calcA!$A$6=0),0,IF(OR(106=$HA30,106=$HD30,106=$HG30),200000,MIN(IF($HA30=0,999999,IF(5=$HB30,IF(106=$HJ30,IF($JC30=2,30,0),IF(106=$HK30,IF($JC30=1,30,0),ABS(10-$HC30)*100)),100000+ABS(5-$HB30)*1000+100)),IF($HD30=0,999999,IF(5=$HE30,IF(106=$HL30,IF($JD30=2,30,0),IF(106=$HM30,IF($JD30=1,30,0),ABS(10-$HF30)*100)),100000+ABS(5-$HE30)*1000+100)),IF($HG30=0,999999,IF(5=$HH30,IF(106=$HN30,IF($JE30=2,30,0),IF(106=$HO30,IF($JE30=1,30,0),ABS(10-$HI30)*100)),100000+ABS(5-$HH30)*1000+100)))-IF((106=$HJ30)+(106=$HK30)+(106=$HL30)+(106=$HM30)+(106=$HN30)+(106=$HO30)&gt;=2,50,0))+DE$5*50)</f>
        <v/>
      </c>
      <c r="DF150">
        <f>IF(OR($JF30=0,calcA!$A$6=0),0,IF(OR(107=$HA30,107=$HD30,107=$HG30),200000,MIN(IF($HA30=0,999999,IF(5=$HB30,IF(107=$HJ30,IF($JC30=2,30,0),IF(107=$HK30,IF($JC30=1,30,0),ABS(11-$HC30)*100)),100000+ABS(5-$HB30)*1000+110)),IF($HD30=0,999999,IF(5=$HE30,IF(107=$HL30,IF($JD30=2,30,0),IF(107=$HM30,IF($JD30=1,30,0),ABS(11-$HF30)*100)),100000+ABS(5-$HE30)*1000+110)),IF($HG30=0,999999,IF(5=$HH30,IF(107=$HN30,IF($JE30=2,30,0),IF(107=$HO30,IF($JE30=1,30,0),ABS(11-$HI30)*100)),100000+ABS(5-$HH30)*1000+110)))-IF((107=$HJ30)+(107=$HK30)+(107=$HL30)+(107=$HM30)+(107=$HN30)+(107=$HO30)&gt;=2,50,0))+DF$5*50)</f>
        <v/>
      </c>
      <c r="DG150">
        <f>IF(OR($JF30=0,calcA!$A$6=0),0,IF(OR(108=$HA30,108=$HD30,108=$HG30),200000,MIN(IF($HA30=0,999999,IF(5=$HB30,IF(108=$HJ30,IF($JC30=2,30,0),IF(108=$HK30,IF($JC30=1,30,0),ABS(12-$HC30)*100)),100000+ABS(5-$HB30)*1000+120)),IF($HD30=0,999999,IF(5=$HE30,IF(108=$HL30,IF($JD30=2,30,0),IF(108=$HM30,IF($JD30=1,30,0),ABS(12-$HF30)*100)),100000+ABS(5-$HE30)*1000+120)),IF($HG30=0,999999,IF(5=$HH30,IF(108=$HN30,IF($JE30=2,30,0),IF(108=$HO30,IF($JE30=1,30,0),ABS(12-$HI30)*100)),100000+ABS(5-$HH30)*1000+120)))-IF((108=$HJ30)+(108=$HK30)+(108=$HL30)+(108=$HM30)+(108=$HN30)+(108=$HO30)&gt;=2,50,0))+DG$5*50)</f>
        <v/>
      </c>
      <c r="DH150">
        <f>IF(OR($JF30=0,calcA!$A$6=0),0,IF(OR(109=$HA30,109=$HD30,109=$HG30),200000,MIN(IF($HA30=0,999999,IF(5=$HB30,IF(109=$HJ30,IF($JC30=2,30,0),IF(109=$HK30,IF($JC30=1,30,0),ABS(13-$HC30)*100)),100000+ABS(5-$HB30)*1000+130)),IF($HD30=0,999999,IF(5=$HE30,IF(109=$HL30,IF($JD30=2,30,0),IF(109=$HM30,IF($JD30=1,30,0),ABS(13-$HF30)*100)),100000+ABS(5-$HE30)*1000+130)),IF($HG30=0,999999,IF(5=$HH30,IF(109=$HN30,IF($JE30=2,30,0),IF(109=$HO30,IF($JE30=1,30,0),ABS(13-$HI30)*100)),100000+ABS(5-$HH30)*1000+130)))-IF((109=$HJ30)+(109=$HK30)+(109=$HL30)+(109=$HM30)+(109=$HN30)+(109=$HO30)&gt;=2,50,0))+DH$5*50)</f>
        <v/>
      </c>
      <c r="DI150">
        <f>IF(OR($JF30=0,calcA!$A$6=0),0,IF(OR(110=$HA30,110=$HD30,110=$HG30),200000,MIN(IF($HA30=0,999999,IF(5=$HB30,IF(110=$HJ30,IF($JC30=2,30,0),IF(110=$HK30,IF($JC30=1,30,0),ABS(14-$HC30)*100)),100000+ABS(5-$HB30)*1000+140)),IF($HD30=0,999999,IF(5=$HE30,IF(110=$HL30,IF($JD30=2,30,0),IF(110=$HM30,IF($JD30=1,30,0),ABS(14-$HF30)*100)),100000+ABS(5-$HE30)*1000+140)),IF($HG30=0,999999,IF(5=$HH30,IF(110=$HN30,IF($JE30=2,30,0),IF(110=$HO30,IF($JE30=1,30,0),ABS(14-$HI30)*100)),100000+ABS(5-$HH30)*1000+140)))-IF((110=$HJ30)+(110=$HK30)+(110=$HL30)+(110=$HM30)+(110=$HN30)+(110=$HO30)&gt;=2,50,0))+DI$5*50)</f>
        <v/>
      </c>
      <c r="DJ150">
        <f>IF(OR($JF30=0,calcA!$A$6=0),0,IF(OR(111=$HA30,111=$HD30,111=$HG30),200000,MIN(IF($HA30=0,999999,IF(5=$HB30,IF(111=$HJ30,IF($JC30=2,30,0),IF(111=$HK30,IF($JC30=1,30,0),ABS(15-$HC30)*100)),100000+ABS(5-$HB30)*1000+150)),IF($HD30=0,999999,IF(5=$HE30,IF(111=$HL30,IF($JD30=2,30,0),IF(111=$HM30,IF($JD30=1,30,0),ABS(15-$HF30)*100)),100000+ABS(5-$HE30)*1000+150)),IF($HG30=0,999999,IF(5=$HH30,IF(111=$HN30,IF($JE30=2,30,0),IF(111=$HO30,IF($JE30=1,30,0),ABS(15-$HI30)*100)),100000+ABS(5-$HH30)*1000+150)))-IF((111=$HJ30)+(111=$HK30)+(111=$HL30)+(111=$HM30)+(111=$HN30)+(111=$HO30)&gt;=2,50,0))+DJ$5*50)</f>
        <v/>
      </c>
      <c r="DK150">
        <f>IF(OR($JF30=0,calcA!$A$6=0),0,IF(OR(112=$HA30,112=$HD30,112=$HG30),200000,MIN(IF($HA30=0,999999,IF(5=$HB30,IF(112=$HJ30,IF($JC30=2,30,0),IF(112=$HK30,IF($JC30=1,30,0),ABS(16-$HC30)*100)),100000+ABS(5-$HB30)*1000+160)),IF($HD30=0,999999,IF(5=$HE30,IF(112=$HL30,IF($JD30=2,30,0),IF(112=$HM30,IF($JD30=1,30,0),ABS(16-$HF30)*100)),100000+ABS(5-$HE30)*1000+160)),IF($HG30=0,999999,IF(5=$HH30,IF(112=$HN30,IF($JE30=2,30,0),IF(112=$HO30,IF($JE30=1,30,0),ABS(16-$HI30)*100)),100000+ABS(5-$HH30)*1000+160)))-IF((112=$HJ30)+(112=$HK30)+(112=$HL30)+(112=$HM30)+(112=$HN30)+(112=$HO30)&gt;=2,50,0))+DK$5*50)</f>
        <v/>
      </c>
      <c r="DL150">
        <f>IF(OR($JF30=0,calcA!$A$6=0),0,IF(OR(113=$HA30,113=$HD30,113=$HG30),200000,MIN(IF($HA30=0,999999,IF(5=$HB30,IF(113=$HJ30,IF($JC30=2,30,0),IF(113=$HK30,IF($JC30=1,30,0),ABS(17-$HC30)*100)),100000+ABS(5-$HB30)*1000+170)),IF($HD30=0,999999,IF(5=$HE30,IF(113=$HL30,IF($JD30=2,30,0),IF(113=$HM30,IF($JD30=1,30,0),ABS(17-$HF30)*100)),100000+ABS(5-$HE30)*1000+170)),IF($HG30=0,999999,IF(5=$HH30,IF(113=$HN30,IF($JE30=2,30,0),IF(113=$HO30,IF($JE30=1,30,0),ABS(17-$HI30)*100)),100000+ABS(5-$HH30)*1000+170)))-IF((113=$HJ30)+(113=$HK30)+(113=$HL30)+(113=$HM30)+(113=$HN30)+(113=$HO30)&gt;=2,50,0))+DL$5*50)</f>
        <v/>
      </c>
      <c r="DM150">
        <f>IF(OR($JF30=0,calcA!$A$6=0),0,IF(OR(114=$HA30,114=$HD30,114=$HG30),200000,MIN(IF($HA30=0,999999,IF(5=$HB30,IF(114=$HJ30,IF($JC30=2,30,0),IF(114=$HK30,IF($JC30=1,30,0),ABS(18-$HC30)*100)),100000+ABS(5-$HB30)*1000+180)),IF($HD30=0,999999,IF(5=$HE30,IF(114=$HL30,IF($JD30=2,30,0),IF(114=$HM30,IF($JD30=1,30,0),ABS(18-$HF30)*100)),100000+ABS(5-$HE30)*1000+180)),IF($HG30=0,999999,IF(5=$HH30,IF(114=$HN30,IF($JE30=2,30,0),IF(114=$HO30,IF($JE30=1,30,0),ABS(18-$HI30)*100)),100000+ABS(5-$HH30)*1000+180)))-IF((114=$HJ30)+(114=$HK30)+(114=$HL30)+(114=$HM30)+(114=$HN30)+(114=$HO30)&gt;=2,50,0))+DM$5*50)</f>
        <v/>
      </c>
      <c r="DN150">
        <f>IF(OR($JF30=0,calcA!$A$6=0),0,IF(OR(115=$HA30,115=$HD30,115=$HG30),200000,MIN(IF($HA30=0,999999,IF(5=$HB30,IF(115=$HJ30,IF($JC30=2,30,0),IF(115=$HK30,IF($JC30=1,30,0),ABS(19-$HC30)*100)),100000+ABS(5-$HB30)*1000+190)),IF($HD30=0,999999,IF(5=$HE30,IF(115=$HL30,IF($JD30=2,30,0),IF(115=$HM30,IF($JD30=1,30,0),ABS(19-$HF30)*100)),100000+ABS(5-$HE30)*1000+190)),IF($HG30=0,999999,IF(5=$HH30,IF(115=$HN30,IF($JE30=2,30,0),IF(115=$HO30,IF($JE30=1,30,0),ABS(19-$HI30)*100)),100000+ABS(5-$HH30)*1000+190)))-IF((115=$HJ30)+(115=$HK30)+(115=$HL30)+(115=$HM30)+(115=$HN30)+(115=$HO30)&gt;=2,50,0))+DN$5*50)</f>
        <v/>
      </c>
      <c r="DO150">
        <f>IF(OR($JF30=0,calcA!$A$6=0),0,IF(OR(116=$HA30,116=$HD30,116=$HG30),200000,MIN(IF($HA30=0,999999,IF(5=$HB30,IF(116=$HJ30,IF($JC30=2,30,0),IF(116=$HK30,IF($JC30=1,30,0),ABS(20-$HC30)*100)),100000+ABS(5-$HB30)*1000+200)),IF($HD30=0,999999,IF(5=$HE30,IF(116=$HL30,IF($JD30=2,30,0),IF(116=$HM30,IF($JD30=1,30,0),ABS(20-$HF30)*100)),100000+ABS(5-$HE30)*1000+200)),IF($HG30=0,999999,IF(5=$HH30,IF(116=$HN30,IF($JE30=2,30,0),IF(116=$HO30,IF($JE30=1,30,0),ABS(20-$HI30)*100)),100000+ABS(5-$HH30)*1000+200)))-IF((116=$HJ30)+(116=$HK30)+(116=$HL30)+(116=$HM30)+(116=$HN30)+(116=$HO30)&gt;=2,50,0))+DO$5*50)</f>
        <v/>
      </c>
      <c r="DP150">
        <f>IF(OR($JF30=0,calcA!$A$6=0),0,IF(OR(117=$HA30,117=$HD30,117=$HG30),200000,MIN(IF($HA30=0,999999,IF(5=$HB30,IF(117=$HJ30,IF($JC30=2,30,0),IF(117=$HK30,IF($JC30=1,30,0),ABS(21-$HC30)*100)),100000+ABS(5-$HB30)*1000+210)),IF($HD30=0,999999,IF(5=$HE30,IF(117=$HL30,IF($JD30=2,30,0),IF(117=$HM30,IF($JD30=1,30,0),ABS(21-$HF30)*100)),100000+ABS(5-$HE30)*1000+210)),IF($HG30=0,999999,IF(5=$HH30,IF(117=$HN30,IF($JE30=2,30,0),IF(117=$HO30,IF($JE30=1,30,0),ABS(21-$HI30)*100)),100000+ABS(5-$HH30)*1000+210)))-IF((117=$HJ30)+(117=$HK30)+(117=$HL30)+(117=$HM30)+(117=$HN30)+(117=$HO30)&gt;=2,50,0))+DP$5*50)</f>
        <v/>
      </c>
      <c r="DQ150">
        <f>IF(OR($JF30=0,calcA!$A$6=0),0,IF(OR(118=$HA30,118=$HD30,118=$HG30),200000,MIN(IF($HA30=0,999999,IF(5=$HB30,IF(118=$HJ30,IF($JC30=2,30,0),IF(118=$HK30,IF($JC30=1,30,0),ABS(22-$HC30)*100)),100000+ABS(5-$HB30)*1000+220)),IF($HD30=0,999999,IF(5=$HE30,IF(118=$HL30,IF($JD30=2,30,0),IF(118=$HM30,IF($JD30=1,30,0),ABS(22-$HF30)*100)),100000+ABS(5-$HE30)*1000+220)),IF($HG30=0,999999,IF(5=$HH30,IF(118=$HN30,IF($JE30=2,30,0),IF(118=$HO30,IF($JE30=1,30,0),ABS(22-$HI30)*100)),100000+ABS(5-$HH30)*1000+220)))-IF((118=$HJ30)+(118=$HK30)+(118=$HL30)+(118=$HM30)+(118=$HN30)+(118=$HO30)&gt;=2,50,0))+DQ$5*50)</f>
        <v/>
      </c>
      <c r="DR150">
        <f>IF(OR($JF30=0,calcA!$A$6=0),0,IF(OR(119=$HA30,119=$HD30,119=$HG30),200000,MIN(IF($HA30=0,999999,IF(5=$HB30,IF(119=$HJ30,IF($JC30=2,30,0),IF(119=$HK30,IF($JC30=1,30,0),ABS(23-$HC30)*100)),100000+ABS(5-$HB30)*1000+230)),IF($HD30=0,999999,IF(5=$HE30,IF(119=$HL30,IF($JD30=2,30,0),IF(119=$HM30,IF($JD30=1,30,0),ABS(23-$HF30)*100)),100000+ABS(5-$HE30)*1000+230)),IF($HG30=0,999999,IF(5=$HH30,IF(119=$HN30,IF($JE30=2,30,0),IF(119=$HO30,IF($JE30=1,30,0),ABS(23-$HI30)*100)),100000+ABS(5-$HH30)*1000+230)))-IF((119=$HJ30)+(119=$HK30)+(119=$HL30)+(119=$HM30)+(119=$HN30)+(119=$HO30)&gt;=2,50,0))+DR$5*50)</f>
        <v/>
      </c>
      <c r="DS150">
        <f>IF(OR($JF30=0,calcA!$A$6=0),0,IF(OR(120=$HA30,120=$HD30,120=$HG30),200000,MIN(IF($HA30=0,999999,IF(5=$HB30,IF(120=$HJ30,IF($JC30=2,30,0),IF(120=$HK30,IF($JC30=1,30,0),ABS(24-$HC30)*100)),100000+ABS(5-$HB30)*1000+240)),IF($HD30=0,999999,IF(5=$HE30,IF(120=$HL30,IF($JD30=2,30,0),IF(120=$HM30,IF($JD30=1,30,0),ABS(24-$HF30)*100)),100000+ABS(5-$HE30)*1000+240)),IF($HG30=0,999999,IF(5=$HH30,IF(120=$HN30,IF($JE30=2,30,0),IF(120=$HO30,IF($JE30=1,30,0),ABS(24-$HI30)*100)),100000+ABS(5-$HH30)*1000+240)))-IF((120=$HJ30)+(120=$HK30)+(120=$HL30)+(120=$HM30)+(120=$HN30)+(120=$HO30)&gt;=2,50,0))+DS$5*50)</f>
        <v/>
      </c>
      <c r="DT150">
        <f>IF(OR($JF30=0,calcA!$A$6=0),0,IF(OR(121=$HA30,121=$HD30,121=$HG30),200000,MIN(IF($HA30=0,999999,IF(6=$HB30,IF(121=$HJ30,IF($JC30=2,30,0),IF(121=$HK30,IF($JC30=1,30,0),ABS(1-$HC30)*100)),100000+ABS(6-$HB30)*1000+10)),IF($HD30=0,999999,IF(6=$HE30,IF(121=$HL30,IF($JD30=2,30,0),IF(121=$HM30,IF($JD30=1,30,0),ABS(1-$HF30)*100)),100000+ABS(6-$HE30)*1000+10)),IF($HG30=0,999999,IF(6=$HH30,IF(121=$HN30,IF($JE30=2,30,0),IF(121=$HO30,IF($JE30=1,30,0),ABS(1-$HI30)*100)),100000+ABS(6-$HH30)*1000+10)))-IF((121=$HJ30)+(121=$HK30)+(121=$HL30)+(121=$HM30)+(121=$HN30)+(121=$HO30)&gt;=2,50,0))+DT$5*50)</f>
        <v/>
      </c>
      <c r="DU150">
        <f>IF(OR($JF30=0,calcA!$A$6=0),0,IF(OR(122=$HA30,122=$HD30,122=$HG30),200000,MIN(IF($HA30=0,999999,IF(6=$HB30,IF(122=$HJ30,IF($JC30=2,30,0),IF(122=$HK30,IF($JC30=1,30,0),ABS(2-$HC30)*100)),100000+ABS(6-$HB30)*1000+20)),IF($HD30=0,999999,IF(6=$HE30,IF(122=$HL30,IF($JD30=2,30,0),IF(122=$HM30,IF($JD30=1,30,0),ABS(2-$HF30)*100)),100000+ABS(6-$HE30)*1000+20)),IF($HG30=0,999999,IF(6=$HH30,IF(122=$HN30,IF($JE30=2,30,0),IF(122=$HO30,IF($JE30=1,30,0),ABS(2-$HI30)*100)),100000+ABS(6-$HH30)*1000+20)))-IF((122=$HJ30)+(122=$HK30)+(122=$HL30)+(122=$HM30)+(122=$HN30)+(122=$HO30)&gt;=2,50,0))+DU$5*50)</f>
        <v/>
      </c>
      <c r="DV150">
        <f>IF(OR($JF30=0,calcA!$A$6=0),0,IF(OR(123=$HA30,123=$HD30,123=$HG30),200000,MIN(IF($HA30=0,999999,IF(6=$HB30,IF(123=$HJ30,IF($JC30=2,30,0),IF(123=$HK30,IF($JC30=1,30,0),ABS(3-$HC30)*100)),100000+ABS(6-$HB30)*1000+30)),IF($HD30=0,999999,IF(6=$HE30,IF(123=$HL30,IF($JD30=2,30,0),IF(123=$HM30,IF($JD30=1,30,0),ABS(3-$HF30)*100)),100000+ABS(6-$HE30)*1000+30)),IF($HG30=0,999999,IF(6=$HH30,IF(123=$HN30,IF($JE30=2,30,0),IF(123=$HO30,IF($JE30=1,30,0),ABS(3-$HI30)*100)),100000+ABS(6-$HH30)*1000+30)))-IF((123=$HJ30)+(123=$HK30)+(123=$HL30)+(123=$HM30)+(123=$HN30)+(123=$HO30)&gt;=2,50,0))+DV$5*50)</f>
        <v/>
      </c>
      <c r="DW150">
        <f>IF(OR($JF30=0,calcA!$A$6=0),0,IF(OR(124=$HA30,124=$HD30,124=$HG30),200000,MIN(IF($HA30=0,999999,IF(6=$HB30,IF(124=$HJ30,IF($JC30=2,30,0),IF(124=$HK30,IF($JC30=1,30,0),ABS(4-$HC30)*100)),100000+ABS(6-$HB30)*1000+40)),IF($HD30=0,999999,IF(6=$HE30,IF(124=$HL30,IF($JD30=2,30,0),IF(124=$HM30,IF($JD30=1,30,0),ABS(4-$HF30)*100)),100000+ABS(6-$HE30)*1000+40)),IF($HG30=0,999999,IF(6=$HH30,IF(124=$HN30,IF($JE30=2,30,0),IF(124=$HO30,IF($JE30=1,30,0),ABS(4-$HI30)*100)),100000+ABS(6-$HH30)*1000+40)))-IF((124=$HJ30)+(124=$HK30)+(124=$HL30)+(124=$HM30)+(124=$HN30)+(124=$HO30)&gt;=2,50,0))+DW$5*50)</f>
        <v/>
      </c>
      <c r="DX150">
        <f>IF(OR($JF30=0,calcA!$A$6=0),0,IF(OR(125=$HA30,125=$HD30,125=$HG30),200000,MIN(IF($HA30=0,999999,IF(6=$HB30,IF(125=$HJ30,IF($JC30=2,30,0),IF(125=$HK30,IF($JC30=1,30,0),ABS(5-$HC30)*100)),100000+ABS(6-$HB30)*1000+50)),IF($HD30=0,999999,IF(6=$HE30,IF(125=$HL30,IF($JD30=2,30,0),IF(125=$HM30,IF($JD30=1,30,0),ABS(5-$HF30)*100)),100000+ABS(6-$HE30)*1000+50)),IF($HG30=0,999999,IF(6=$HH30,IF(125=$HN30,IF($JE30=2,30,0),IF(125=$HO30,IF($JE30=1,30,0),ABS(5-$HI30)*100)),100000+ABS(6-$HH30)*1000+50)))-IF((125=$HJ30)+(125=$HK30)+(125=$HL30)+(125=$HM30)+(125=$HN30)+(125=$HO30)&gt;=2,50,0))+DX$5*50)</f>
        <v/>
      </c>
      <c r="DY150">
        <f>IF(OR($JF30=0,calcA!$A$6=0),0,IF(OR(126=$HA30,126=$HD30,126=$HG30),200000,MIN(IF($HA30=0,999999,IF(6=$HB30,IF(126=$HJ30,IF($JC30=2,30,0),IF(126=$HK30,IF($JC30=1,30,0),ABS(6-$HC30)*100)),100000+ABS(6-$HB30)*1000+60)),IF($HD30=0,999999,IF(6=$HE30,IF(126=$HL30,IF($JD30=2,30,0),IF(126=$HM30,IF($JD30=1,30,0),ABS(6-$HF30)*100)),100000+ABS(6-$HE30)*1000+60)),IF($HG30=0,999999,IF(6=$HH30,IF(126=$HN30,IF($JE30=2,30,0),IF(126=$HO30,IF($JE30=1,30,0),ABS(6-$HI30)*100)),100000+ABS(6-$HH30)*1000+60)))-IF((126=$HJ30)+(126=$HK30)+(126=$HL30)+(126=$HM30)+(126=$HN30)+(126=$HO30)&gt;=2,50,0))+DY$5*50)</f>
        <v/>
      </c>
      <c r="DZ150">
        <f>IF(OR($JF30=0,calcA!$A$6=0),0,IF(OR(127=$HA30,127=$HD30,127=$HG30),200000,MIN(IF($HA30=0,999999,IF(6=$HB30,IF(127=$HJ30,IF($JC30=2,30,0),IF(127=$HK30,IF($JC30=1,30,0),ABS(7-$HC30)*100)),100000+ABS(6-$HB30)*1000+70)),IF($HD30=0,999999,IF(6=$HE30,IF(127=$HL30,IF($JD30=2,30,0),IF(127=$HM30,IF($JD30=1,30,0),ABS(7-$HF30)*100)),100000+ABS(6-$HE30)*1000+70)),IF($HG30=0,999999,IF(6=$HH30,IF(127=$HN30,IF($JE30=2,30,0),IF(127=$HO30,IF($JE30=1,30,0),ABS(7-$HI30)*100)),100000+ABS(6-$HH30)*1000+70)))-IF((127=$HJ30)+(127=$HK30)+(127=$HL30)+(127=$HM30)+(127=$HN30)+(127=$HO30)&gt;=2,50,0))+DZ$5*50)</f>
        <v/>
      </c>
      <c r="EA150">
        <f>IF(OR($JF30=0,calcA!$A$6=0),0,IF(OR(128=$HA30,128=$HD30,128=$HG30),200000,MIN(IF($HA30=0,999999,IF(6=$HB30,IF(128=$HJ30,IF($JC30=2,30,0),IF(128=$HK30,IF($JC30=1,30,0),ABS(8-$HC30)*100)),100000+ABS(6-$HB30)*1000+80)),IF($HD30=0,999999,IF(6=$HE30,IF(128=$HL30,IF($JD30=2,30,0),IF(128=$HM30,IF($JD30=1,30,0),ABS(8-$HF30)*100)),100000+ABS(6-$HE30)*1000+80)),IF($HG30=0,999999,IF(6=$HH30,IF(128=$HN30,IF($JE30=2,30,0),IF(128=$HO30,IF($JE30=1,30,0),ABS(8-$HI30)*100)),100000+ABS(6-$HH30)*1000+80)))-IF((128=$HJ30)+(128=$HK30)+(128=$HL30)+(128=$HM30)+(128=$HN30)+(128=$HO30)&gt;=2,50,0))+EA$5*50)</f>
        <v/>
      </c>
      <c r="EB150">
        <f>IF(OR($JF30=0,calcA!$A$6=0),0,IF(OR(129=$HA30,129=$HD30,129=$HG30),200000,MIN(IF($HA30=0,999999,IF(6=$HB30,IF(129=$HJ30,IF($JC30=2,30,0),IF(129=$HK30,IF($JC30=1,30,0),ABS(9-$HC30)*100)),100000+ABS(6-$HB30)*1000+90)),IF($HD30=0,999999,IF(6=$HE30,IF(129=$HL30,IF($JD30=2,30,0),IF(129=$HM30,IF($JD30=1,30,0),ABS(9-$HF30)*100)),100000+ABS(6-$HE30)*1000+90)),IF($HG30=0,999999,IF(6=$HH30,IF(129=$HN30,IF($JE30=2,30,0),IF(129=$HO30,IF($JE30=1,30,0),ABS(9-$HI30)*100)),100000+ABS(6-$HH30)*1000+90)))-IF((129=$HJ30)+(129=$HK30)+(129=$HL30)+(129=$HM30)+(129=$HN30)+(129=$HO30)&gt;=2,50,0))+EB$5*50)</f>
        <v/>
      </c>
      <c r="EC150">
        <f>IF(OR($JF30=0,calcA!$A$6=0),0,IF(OR(130=$HA30,130=$HD30,130=$HG30),200000,MIN(IF($HA30=0,999999,IF(6=$HB30,IF(130=$HJ30,IF($JC30=2,30,0),IF(130=$HK30,IF($JC30=1,30,0),ABS(10-$HC30)*100)),100000+ABS(6-$HB30)*1000+100)),IF($HD30=0,999999,IF(6=$HE30,IF(130=$HL30,IF($JD30=2,30,0),IF(130=$HM30,IF($JD30=1,30,0),ABS(10-$HF30)*100)),100000+ABS(6-$HE30)*1000+100)),IF($HG30=0,999999,IF(6=$HH30,IF(130=$HN30,IF($JE30=2,30,0),IF(130=$HO30,IF($JE30=1,30,0),ABS(10-$HI30)*100)),100000+ABS(6-$HH30)*1000+100)))-IF((130=$HJ30)+(130=$HK30)+(130=$HL30)+(130=$HM30)+(130=$HN30)+(130=$HO30)&gt;=2,50,0))+EC$5*50)</f>
        <v/>
      </c>
      <c r="ED150">
        <f>IF(OR($JF30=0,calcA!$A$6=0),0,IF(OR(131=$HA30,131=$HD30,131=$HG30),200000,MIN(IF($HA30=0,999999,IF(6=$HB30,IF(131=$HJ30,IF($JC30=2,30,0),IF(131=$HK30,IF($JC30=1,30,0),ABS(11-$HC30)*100)),100000+ABS(6-$HB30)*1000+110)),IF($HD30=0,999999,IF(6=$HE30,IF(131=$HL30,IF($JD30=2,30,0),IF(131=$HM30,IF($JD30=1,30,0),ABS(11-$HF30)*100)),100000+ABS(6-$HE30)*1000+110)),IF($HG30=0,999999,IF(6=$HH30,IF(131=$HN30,IF($JE30=2,30,0),IF(131=$HO30,IF($JE30=1,30,0),ABS(11-$HI30)*100)),100000+ABS(6-$HH30)*1000+110)))-IF((131=$HJ30)+(131=$HK30)+(131=$HL30)+(131=$HM30)+(131=$HN30)+(131=$HO30)&gt;=2,50,0))+ED$5*50)</f>
        <v/>
      </c>
      <c r="EE150">
        <f>IF(OR($JF30=0,calcA!$A$6=0),0,IF(OR(132=$HA30,132=$HD30,132=$HG30),200000,MIN(IF($HA30=0,999999,IF(6=$HB30,IF(132=$HJ30,IF($JC30=2,30,0),IF(132=$HK30,IF($JC30=1,30,0),ABS(12-$HC30)*100)),100000+ABS(6-$HB30)*1000+120)),IF($HD30=0,999999,IF(6=$HE30,IF(132=$HL30,IF($JD30=2,30,0),IF(132=$HM30,IF($JD30=1,30,0),ABS(12-$HF30)*100)),100000+ABS(6-$HE30)*1000+120)),IF($HG30=0,999999,IF(6=$HH30,IF(132=$HN30,IF($JE30=2,30,0),IF(132=$HO30,IF($JE30=1,30,0),ABS(12-$HI30)*100)),100000+ABS(6-$HH30)*1000+120)))-IF((132=$HJ30)+(132=$HK30)+(132=$HL30)+(132=$HM30)+(132=$HN30)+(132=$HO30)&gt;=2,50,0))+EE$5*50)</f>
        <v/>
      </c>
      <c r="EF150">
        <f>IF(OR($JF30=0,calcA!$A$6=0),0,IF(OR(133=$HA30,133=$HD30,133=$HG30),200000,MIN(IF($HA30=0,999999,IF(6=$HB30,IF(133=$HJ30,IF($JC30=2,30,0),IF(133=$HK30,IF($JC30=1,30,0),ABS(13-$HC30)*100)),100000+ABS(6-$HB30)*1000+130)),IF($HD30=0,999999,IF(6=$HE30,IF(133=$HL30,IF($JD30=2,30,0),IF(133=$HM30,IF($JD30=1,30,0),ABS(13-$HF30)*100)),100000+ABS(6-$HE30)*1000+130)),IF($HG30=0,999999,IF(6=$HH30,IF(133=$HN30,IF($JE30=2,30,0),IF(133=$HO30,IF($JE30=1,30,0),ABS(13-$HI30)*100)),100000+ABS(6-$HH30)*1000+130)))-IF((133=$HJ30)+(133=$HK30)+(133=$HL30)+(133=$HM30)+(133=$HN30)+(133=$HO30)&gt;=2,50,0))+EF$5*50)</f>
        <v/>
      </c>
      <c r="EG150">
        <f>IF(OR($JF30=0,calcA!$A$6=0),0,IF(OR(134=$HA30,134=$HD30,134=$HG30),200000,MIN(IF($HA30=0,999999,IF(6=$HB30,IF(134=$HJ30,IF($JC30=2,30,0),IF(134=$HK30,IF($JC30=1,30,0),ABS(14-$HC30)*100)),100000+ABS(6-$HB30)*1000+140)),IF($HD30=0,999999,IF(6=$HE30,IF(134=$HL30,IF($JD30=2,30,0),IF(134=$HM30,IF($JD30=1,30,0),ABS(14-$HF30)*100)),100000+ABS(6-$HE30)*1000+140)),IF($HG30=0,999999,IF(6=$HH30,IF(134=$HN30,IF($JE30=2,30,0),IF(134=$HO30,IF($JE30=1,30,0),ABS(14-$HI30)*100)),100000+ABS(6-$HH30)*1000+140)))-IF((134=$HJ30)+(134=$HK30)+(134=$HL30)+(134=$HM30)+(134=$HN30)+(134=$HO30)&gt;=2,50,0))+EG$5*50)</f>
        <v/>
      </c>
      <c r="EH150">
        <f>IF(OR($JF30=0,calcA!$A$6=0),0,IF(OR(135=$HA30,135=$HD30,135=$HG30),200000,MIN(IF($HA30=0,999999,IF(6=$HB30,IF(135=$HJ30,IF($JC30=2,30,0),IF(135=$HK30,IF($JC30=1,30,0),ABS(15-$HC30)*100)),100000+ABS(6-$HB30)*1000+150)),IF($HD30=0,999999,IF(6=$HE30,IF(135=$HL30,IF($JD30=2,30,0),IF(135=$HM30,IF($JD30=1,30,0),ABS(15-$HF30)*100)),100000+ABS(6-$HE30)*1000+150)),IF($HG30=0,999999,IF(6=$HH30,IF(135=$HN30,IF($JE30=2,30,0),IF(135=$HO30,IF($JE30=1,30,0),ABS(15-$HI30)*100)),100000+ABS(6-$HH30)*1000+150)))-IF((135=$HJ30)+(135=$HK30)+(135=$HL30)+(135=$HM30)+(135=$HN30)+(135=$HO30)&gt;=2,50,0))+EH$5*50)</f>
        <v/>
      </c>
      <c r="EI150">
        <f>IF(OR($JF30=0,calcA!$A$6=0),0,IF(OR(136=$HA30,136=$HD30,136=$HG30),200000,MIN(IF($HA30=0,999999,IF(6=$HB30,IF(136=$HJ30,IF($JC30=2,30,0),IF(136=$HK30,IF($JC30=1,30,0),ABS(16-$HC30)*100)),100000+ABS(6-$HB30)*1000+160)),IF($HD30=0,999999,IF(6=$HE30,IF(136=$HL30,IF($JD30=2,30,0),IF(136=$HM30,IF($JD30=1,30,0),ABS(16-$HF30)*100)),100000+ABS(6-$HE30)*1000+160)),IF($HG30=0,999999,IF(6=$HH30,IF(136=$HN30,IF($JE30=2,30,0),IF(136=$HO30,IF($JE30=1,30,0),ABS(16-$HI30)*100)),100000+ABS(6-$HH30)*1000+160)))-IF((136=$HJ30)+(136=$HK30)+(136=$HL30)+(136=$HM30)+(136=$HN30)+(136=$HO30)&gt;=2,50,0))+EI$5*50)</f>
        <v/>
      </c>
      <c r="EJ150">
        <f>IF(OR($JF30=0,calcA!$A$6=0),0,IF(OR(137=$HA30,137=$HD30,137=$HG30),200000,MIN(IF($HA30=0,999999,IF(6=$HB30,IF(137=$HJ30,IF($JC30=2,30,0),IF(137=$HK30,IF($JC30=1,30,0),ABS(17-$HC30)*100)),100000+ABS(6-$HB30)*1000+170)),IF($HD30=0,999999,IF(6=$HE30,IF(137=$HL30,IF($JD30=2,30,0),IF(137=$HM30,IF($JD30=1,30,0),ABS(17-$HF30)*100)),100000+ABS(6-$HE30)*1000+170)),IF($HG30=0,999999,IF(6=$HH30,IF(137=$HN30,IF($JE30=2,30,0),IF(137=$HO30,IF($JE30=1,30,0),ABS(17-$HI30)*100)),100000+ABS(6-$HH30)*1000+170)))-IF((137=$HJ30)+(137=$HK30)+(137=$HL30)+(137=$HM30)+(137=$HN30)+(137=$HO30)&gt;=2,50,0))+EJ$5*50)</f>
        <v/>
      </c>
      <c r="EK150">
        <f>IF(OR($JF30=0,calcA!$A$6=0),0,IF(OR(138=$HA30,138=$HD30,138=$HG30),200000,MIN(IF($HA30=0,999999,IF(6=$HB30,IF(138=$HJ30,IF($JC30=2,30,0),IF(138=$HK30,IF($JC30=1,30,0),ABS(18-$HC30)*100)),100000+ABS(6-$HB30)*1000+180)),IF($HD30=0,999999,IF(6=$HE30,IF(138=$HL30,IF($JD30=2,30,0),IF(138=$HM30,IF($JD30=1,30,0),ABS(18-$HF30)*100)),100000+ABS(6-$HE30)*1000+180)),IF($HG30=0,999999,IF(6=$HH30,IF(138=$HN30,IF($JE30=2,30,0),IF(138=$HO30,IF($JE30=1,30,0),ABS(18-$HI30)*100)),100000+ABS(6-$HH30)*1000+180)))-IF((138=$HJ30)+(138=$HK30)+(138=$HL30)+(138=$HM30)+(138=$HN30)+(138=$HO30)&gt;=2,50,0))+EK$5*50)</f>
        <v/>
      </c>
      <c r="EL150">
        <f>IF(OR($JF30=0,calcA!$A$6=0),0,IF(OR(139=$HA30,139=$HD30,139=$HG30),200000,MIN(IF($HA30=0,999999,IF(6=$HB30,IF(139=$HJ30,IF($JC30=2,30,0),IF(139=$HK30,IF($JC30=1,30,0),ABS(19-$HC30)*100)),100000+ABS(6-$HB30)*1000+190)),IF($HD30=0,999999,IF(6=$HE30,IF(139=$HL30,IF($JD30=2,30,0),IF(139=$HM30,IF($JD30=1,30,0),ABS(19-$HF30)*100)),100000+ABS(6-$HE30)*1000+190)),IF($HG30=0,999999,IF(6=$HH30,IF(139=$HN30,IF($JE30=2,30,0),IF(139=$HO30,IF($JE30=1,30,0),ABS(19-$HI30)*100)),100000+ABS(6-$HH30)*1000+190)))-IF((139=$HJ30)+(139=$HK30)+(139=$HL30)+(139=$HM30)+(139=$HN30)+(139=$HO30)&gt;=2,50,0))+EL$5*50)</f>
        <v/>
      </c>
      <c r="EM150">
        <f>IF(OR($JF30=0,calcA!$A$6=0),0,IF(OR(140=$HA30,140=$HD30,140=$HG30),200000,MIN(IF($HA30=0,999999,IF(6=$HB30,IF(140=$HJ30,IF($JC30=2,30,0),IF(140=$HK30,IF($JC30=1,30,0),ABS(20-$HC30)*100)),100000+ABS(6-$HB30)*1000+200)),IF($HD30=0,999999,IF(6=$HE30,IF(140=$HL30,IF($JD30=2,30,0),IF(140=$HM30,IF($JD30=1,30,0),ABS(20-$HF30)*100)),100000+ABS(6-$HE30)*1000+200)),IF($HG30=0,999999,IF(6=$HH30,IF(140=$HN30,IF($JE30=2,30,0),IF(140=$HO30,IF($JE30=1,30,0),ABS(20-$HI30)*100)),100000+ABS(6-$HH30)*1000+200)))-IF((140=$HJ30)+(140=$HK30)+(140=$HL30)+(140=$HM30)+(140=$HN30)+(140=$HO30)&gt;=2,50,0))+EM$5*50)</f>
        <v/>
      </c>
      <c r="EN150">
        <f>IF(OR($JF30=0,calcA!$A$6=0),0,IF(OR(141=$HA30,141=$HD30,141=$HG30),200000,MIN(IF($HA30=0,999999,IF(6=$HB30,IF(141=$HJ30,IF($JC30=2,30,0),IF(141=$HK30,IF($JC30=1,30,0),ABS(21-$HC30)*100)),100000+ABS(6-$HB30)*1000+210)),IF($HD30=0,999999,IF(6=$HE30,IF(141=$HL30,IF($JD30=2,30,0),IF(141=$HM30,IF($JD30=1,30,0),ABS(21-$HF30)*100)),100000+ABS(6-$HE30)*1000+210)),IF($HG30=0,999999,IF(6=$HH30,IF(141=$HN30,IF($JE30=2,30,0),IF(141=$HO30,IF($JE30=1,30,0),ABS(21-$HI30)*100)),100000+ABS(6-$HH30)*1000+210)))-IF((141=$HJ30)+(141=$HK30)+(141=$HL30)+(141=$HM30)+(141=$HN30)+(141=$HO30)&gt;=2,50,0))+EN$5*50)</f>
        <v/>
      </c>
      <c r="EO150">
        <f>IF(OR($JF30=0,calcA!$A$6=0),0,IF(OR(142=$HA30,142=$HD30,142=$HG30),200000,MIN(IF($HA30=0,999999,IF(6=$HB30,IF(142=$HJ30,IF($JC30=2,30,0),IF(142=$HK30,IF($JC30=1,30,0),ABS(22-$HC30)*100)),100000+ABS(6-$HB30)*1000+220)),IF($HD30=0,999999,IF(6=$HE30,IF(142=$HL30,IF($JD30=2,30,0),IF(142=$HM30,IF($JD30=1,30,0),ABS(22-$HF30)*100)),100000+ABS(6-$HE30)*1000+220)),IF($HG30=0,999999,IF(6=$HH30,IF(142=$HN30,IF($JE30=2,30,0),IF(142=$HO30,IF($JE30=1,30,0),ABS(22-$HI30)*100)),100000+ABS(6-$HH30)*1000+220)))-IF((142=$HJ30)+(142=$HK30)+(142=$HL30)+(142=$HM30)+(142=$HN30)+(142=$HO30)&gt;=2,50,0))+EO$5*50)</f>
        <v/>
      </c>
      <c r="EP150">
        <f>IF(OR($JF30=0,calcA!$A$6=0),0,IF(OR(143=$HA30,143=$HD30,143=$HG30),200000,MIN(IF($HA30=0,999999,IF(6=$HB30,IF(143=$HJ30,IF($JC30=2,30,0),IF(143=$HK30,IF($JC30=1,30,0),ABS(23-$HC30)*100)),100000+ABS(6-$HB30)*1000+230)),IF($HD30=0,999999,IF(6=$HE30,IF(143=$HL30,IF($JD30=2,30,0),IF(143=$HM30,IF($JD30=1,30,0),ABS(23-$HF30)*100)),100000+ABS(6-$HE30)*1000+230)),IF($HG30=0,999999,IF(6=$HH30,IF(143=$HN30,IF($JE30=2,30,0),IF(143=$HO30,IF($JE30=1,30,0),ABS(23-$HI30)*100)),100000+ABS(6-$HH30)*1000+230)))-IF((143=$HJ30)+(143=$HK30)+(143=$HL30)+(143=$HM30)+(143=$HN30)+(143=$HO30)&gt;=2,50,0))+EP$5*50)</f>
        <v/>
      </c>
      <c r="EQ150">
        <f>IF(OR($JF30=0,calcA!$A$6=0),0,IF(OR(144=$HA30,144=$HD30,144=$HG30),200000,MIN(IF($HA30=0,999999,IF(6=$HB30,IF(144=$HJ30,IF($JC30=2,30,0),IF(144=$HK30,IF($JC30=1,30,0),ABS(24-$HC30)*100)),100000+ABS(6-$HB30)*1000+240)),IF($HD30=0,999999,IF(6=$HE30,IF(144=$HL30,IF($JD30=2,30,0),IF(144=$HM30,IF($JD30=1,30,0),ABS(24-$HF30)*100)),100000+ABS(6-$HE30)*1000+240)),IF($HG30=0,999999,IF(6=$HH30,IF(144=$HN30,IF($JE30=2,30,0),IF(144=$HO30,IF($JE30=1,30,0),ABS(24-$HI30)*100)),100000+ABS(6-$HH30)*1000+240)))-IF((144=$HJ30)+(144=$HK30)+(144=$HL30)+(144=$HM30)+(144=$HN30)+(144=$HO30)&gt;=2,50,0))+EQ$5*50)</f>
        <v/>
      </c>
    </row>
    <row r="151">
      <c r="D151">
        <f>IF(OR($JF31=0,calcA!$A$6=0),0,IF(OR(1=$HA31,1=$HD31,1=$HG31),200000,MIN(IF($HA31=0,999999,IF(1=$HB31,IF(1=$HJ31,IF($JC31=2,30,0),IF(1=$HK31,IF($JC31=1,30,0),ABS(1-$HC31)*100)),100000+ABS(1-$HB31)*1000+10)),IF($HD31=0,999999,IF(1=$HE31,IF(1=$HL31,IF($JD31=2,30,0),IF(1=$HM31,IF($JD31=1,30,0),ABS(1-$HF31)*100)),100000+ABS(1-$HE31)*1000+10)),IF($HG31=0,999999,IF(1=$HH31,IF(1=$HN31,IF($JE31=2,30,0),IF(1=$HO31,IF($JE31=1,30,0),ABS(1-$HI31)*100)),100000+ABS(1-$HH31)*1000+10)))-IF((1=$HJ31)+(1=$HK31)+(1=$HL31)+(1=$HM31)+(1=$HN31)+(1=$HO31)&gt;=2,50,0))+D$5*50)</f>
        <v/>
      </c>
      <c r="E151">
        <f>IF(OR($JF31=0,calcA!$A$6=0),0,IF(OR(2=$HA31,2=$HD31,2=$HG31),200000,MIN(IF($HA31=0,999999,IF(1=$HB31,IF(2=$HJ31,IF($JC31=2,30,0),IF(2=$HK31,IF($JC31=1,30,0),ABS(2-$HC31)*100)),100000+ABS(1-$HB31)*1000+20)),IF($HD31=0,999999,IF(1=$HE31,IF(2=$HL31,IF($JD31=2,30,0),IF(2=$HM31,IF($JD31=1,30,0),ABS(2-$HF31)*100)),100000+ABS(1-$HE31)*1000+20)),IF($HG31=0,999999,IF(1=$HH31,IF(2=$HN31,IF($JE31=2,30,0),IF(2=$HO31,IF($JE31=1,30,0),ABS(2-$HI31)*100)),100000+ABS(1-$HH31)*1000+20)))-IF((2=$HJ31)+(2=$HK31)+(2=$HL31)+(2=$HM31)+(2=$HN31)+(2=$HO31)&gt;=2,50,0))+E$5*50)</f>
        <v/>
      </c>
      <c r="F151">
        <f>IF(OR($JF31=0,calcA!$A$6=0),0,IF(OR(3=$HA31,3=$HD31,3=$HG31),200000,MIN(IF($HA31=0,999999,IF(1=$HB31,IF(3=$HJ31,IF($JC31=2,30,0),IF(3=$HK31,IF($JC31=1,30,0),ABS(3-$HC31)*100)),100000+ABS(1-$HB31)*1000+30)),IF($HD31=0,999999,IF(1=$HE31,IF(3=$HL31,IF($JD31=2,30,0),IF(3=$HM31,IF($JD31=1,30,0),ABS(3-$HF31)*100)),100000+ABS(1-$HE31)*1000+30)),IF($HG31=0,999999,IF(1=$HH31,IF(3=$HN31,IF($JE31=2,30,0),IF(3=$HO31,IF($JE31=1,30,0),ABS(3-$HI31)*100)),100000+ABS(1-$HH31)*1000+30)))-IF((3=$HJ31)+(3=$HK31)+(3=$HL31)+(3=$HM31)+(3=$HN31)+(3=$HO31)&gt;=2,50,0))+F$5*50)</f>
        <v/>
      </c>
      <c r="G151">
        <f>IF(OR($JF31=0,calcA!$A$6=0),0,IF(OR(4=$HA31,4=$HD31,4=$HG31),200000,MIN(IF($HA31=0,999999,IF(1=$HB31,IF(4=$HJ31,IF($JC31=2,30,0),IF(4=$HK31,IF($JC31=1,30,0),ABS(4-$HC31)*100)),100000+ABS(1-$HB31)*1000+40)),IF($HD31=0,999999,IF(1=$HE31,IF(4=$HL31,IF($JD31=2,30,0),IF(4=$HM31,IF($JD31=1,30,0),ABS(4-$HF31)*100)),100000+ABS(1-$HE31)*1000+40)),IF($HG31=0,999999,IF(1=$HH31,IF(4=$HN31,IF($JE31=2,30,0),IF(4=$HO31,IF($JE31=1,30,0),ABS(4-$HI31)*100)),100000+ABS(1-$HH31)*1000+40)))-IF((4=$HJ31)+(4=$HK31)+(4=$HL31)+(4=$HM31)+(4=$HN31)+(4=$HO31)&gt;=2,50,0))+G$5*50)</f>
        <v/>
      </c>
      <c r="H151">
        <f>IF(OR($JF31=0,calcA!$A$6=0),0,IF(OR(5=$HA31,5=$HD31,5=$HG31),200000,MIN(IF($HA31=0,999999,IF(1=$HB31,IF(5=$HJ31,IF($JC31=2,30,0),IF(5=$HK31,IF($JC31=1,30,0),ABS(5-$HC31)*100)),100000+ABS(1-$HB31)*1000+50)),IF($HD31=0,999999,IF(1=$HE31,IF(5=$HL31,IF($JD31=2,30,0),IF(5=$HM31,IF($JD31=1,30,0),ABS(5-$HF31)*100)),100000+ABS(1-$HE31)*1000+50)),IF($HG31=0,999999,IF(1=$HH31,IF(5=$HN31,IF($JE31=2,30,0),IF(5=$HO31,IF($JE31=1,30,0),ABS(5-$HI31)*100)),100000+ABS(1-$HH31)*1000+50)))-IF((5=$HJ31)+(5=$HK31)+(5=$HL31)+(5=$HM31)+(5=$HN31)+(5=$HO31)&gt;=2,50,0))+H$5*50)</f>
        <v/>
      </c>
      <c r="I151">
        <f>IF(OR($JF31=0,calcA!$A$6=0),0,IF(OR(6=$HA31,6=$HD31,6=$HG31),200000,MIN(IF($HA31=0,999999,IF(1=$HB31,IF(6=$HJ31,IF($JC31=2,30,0),IF(6=$HK31,IF($JC31=1,30,0),ABS(6-$HC31)*100)),100000+ABS(1-$HB31)*1000+60)),IF($HD31=0,999999,IF(1=$HE31,IF(6=$HL31,IF($JD31=2,30,0),IF(6=$HM31,IF($JD31=1,30,0),ABS(6-$HF31)*100)),100000+ABS(1-$HE31)*1000+60)),IF($HG31=0,999999,IF(1=$HH31,IF(6=$HN31,IF($JE31=2,30,0),IF(6=$HO31,IF($JE31=1,30,0),ABS(6-$HI31)*100)),100000+ABS(1-$HH31)*1000+60)))-IF((6=$HJ31)+(6=$HK31)+(6=$HL31)+(6=$HM31)+(6=$HN31)+(6=$HO31)&gt;=2,50,0))+I$5*50)</f>
        <v/>
      </c>
      <c r="J151">
        <f>IF(OR($JF31=0,calcA!$A$6=0),0,IF(OR(7=$HA31,7=$HD31,7=$HG31),200000,MIN(IF($HA31=0,999999,IF(1=$HB31,IF(7=$HJ31,IF($JC31=2,30,0),IF(7=$HK31,IF($JC31=1,30,0),ABS(7-$HC31)*100)),100000+ABS(1-$HB31)*1000+70)),IF($HD31=0,999999,IF(1=$HE31,IF(7=$HL31,IF($JD31=2,30,0),IF(7=$HM31,IF($JD31=1,30,0),ABS(7-$HF31)*100)),100000+ABS(1-$HE31)*1000+70)),IF($HG31=0,999999,IF(1=$HH31,IF(7=$HN31,IF($JE31=2,30,0),IF(7=$HO31,IF($JE31=1,30,0),ABS(7-$HI31)*100)),100000+ABS(1-$HH31)*1000+70)))-IF((7=$HJ31)+(7=$HK31)+(7=$HL31)+(7=$HM31)+(7=$HN31)+(7=$HO31)&gt;=2,50,0))+J$5*50)</f>
        <v/>
      </c>
      <c r="K151">
        <f>IF(OR($JF31=0,calcA!$A$6=0),0,IF(OR(8=$HA31,8=$HD31,8=$HG31),200000,MIN(IF($HA31=0,999999,IF(1=$HB31,IF(8=$HJ31,IF($JC31=2,30,0),IF(8=$HK31,IF($JC31=1,30,0),ABS(8-$HC31)*100)),100000+ABS(1-$HB31)*1000+80)),IF($HD31=0,999999,IF(1=$HE31,IF(8=$HL31,IF($JD31=2,30,0),IF(8=$HM31,IF($JD31=1,30,0),ABS(8-$HF31)*100)),100000+ABS(1-$HE31)*1000+80)),IF($HG31=0,999999,IF(1=$HH31,IF(8=$HN31,IF($JE31=2,30,0),IF(8=$HO31,IF($JE31=1,30,0),ABS(8-$HI31)*100)),100000+ABS(1-$HH31)*1000+80)))-IF((8=$HJ31)+(8=$HK31)+(8=$HL31)+(8=$HM31)+(8=$HN31)+(8=$HO31)&gt;=2,50,0))+K$5*50)</f>
        <v/>
      </c>
      <c r="L151">
        <f>IF(OR($JF31=0,calcA!$A$6=0),0,IF(OR(9=$HA31,9=$HD31,9=$HG31),200000,MIN(IF($HA31=0,999999,IF(1=$HB31,IF(9=$HJ31,IF($JC31=2,30,0),IF(9=$HK31,IF($JC31=1,30,0),ABS(9-$HC31)*100)),100000+ABS(1-$HB31)*1000+90)),IF($HD31=0,999999,IF(1=$HE31,IF(9=$HL31,IF($JD31=2,30,0),IF(9=$HM31,IF($JD31=1,30,0),ABS(9-$HF31)*100)),100000+ABS(1-$HE31)*1000+90)),IF($HG31=0,999999,IF(1=$HH31,IF(9=$HN31,IF($JE31=2,30,0),IF(9=$HO31,IF($JE31=1,30,0),ABS(9-$HI31)*100)),100000+ABS(1-$HH31)*1000+90)))-IF((9=$HJ31)+(9=$HK31)+(9=$HL31)+(9=$HM31)+(9=$HN31)+(9=$HO31)&gt;=2,50,0))+L$5*50)</f>
        <v/>
      </c>
      <c r="M151">
        <f>IF(OR($JF31=0,calcA!$A$6=0),0,IF(OR(10=$HA31,10=$HD31,10=$HG31),200000,MIN(IF($HA31=0,999999,IF(1=$HB31,IF(10=$HJ31,IF($JC31=2,30,0),IF(10=$HK31,IF($JC31=1,30,0),ABS(10-$HC31)*100)),100000+ABS(1-$HB31)*1000+100)),IF($HD31=0,999999,IF(1=$HE31,IF(10=$HL31,IF($JD31=2,30,0),IF(10=$HM31,IF($JD31=1,30,0),ABS(10-$HF31)*100)),100000+ABS(1-$HE31)*1000+100)),IF($HG31=0,999999,IF(1=$HH31,IF(10=$HN31,IF($JE31=2,30,0),IF(10=$HO31,IF($JE31=1,30,0),ABS(10-$HI31)*100)),100000+ABS(1-$HH31)*1000+100)))-IF((10=$HJ31)+(10=$HK31)+(10=$HL31)+(10=$HM31)+(10=$HN31)+(10=$HO31)&gt;=2,50,0))+M$5*50)</f>
        <v/>
      </c>
      <c r="N151">
        <f>IF(OR($JF31=0,calcA!$A$6=0),0,IF(OR(11=$HA31,11=$HD31,11=$HG31),200000,MIN(IF($HA31=0,999999,IF(1=$HB31,IF(11=$HJ31,IF($JC31=2,30,0),IF(11=$HK31,IF($JC31=1,30,0),ABS(11-$HC31)*100)),100000+ABS(1-$HB31)*1000+110)),IF($HD31=0,999999,IF(1=$HE31,IF(11=$HL31,IF($JD31=2,30,0),IF(11=$HM31,IF($JD31=1,30,0),ABS(11-$HF31)*100)),100000+ABS(1-$HE31)*1000+110)),IF($HG31=0,999999,IF(1=$HH31,IF(11=$HN31,IF($JE31=2,30,0),IF(11=$HO31,IF($JE31=1,30,0),ABS(11-$HI31)*100)),100000+ABS(1-$HH31)*1000+110)))-IF((11=$HJ31)+(11=$HK31)+(11=$HL31)+(11=$HM31)+(11=$HN31)+(11=$HO31)&gt;=2,50,0))+N$5*50)</f>
        <v/>
      </c>
      <c r="O151">
        <f>IF(OR($JF31=0,calcA!$A$6=0),0,IF(OR(12=$HA31,12=$HD31,12=$HG31),200000,MIN(IF($HA31=0,999999,IF(1=$HB31,IF(12=$HJ31,IF($JC31=2,30,0),IF(12=$HK31,IF($JC31=1,30,0),ABS(12-$HC31)*100)),100000+ABS(1-$HB31)*1000+120)),IF($HD31=0,999999,IF(1=$HE31,IF(12=$HL31,IF($JD31=2,30,0),IF(12=$HM31,IF($JD31=1,30,0),ABS(12-$HF31)*100)),100000+ABS(1-$HE31)*1000+120)),IF($HG31=0,999999,IF(1=$HH31,IF(12=$HN31,IF($JE31=2,30,0),IF(12=$HO31,IF($JE31=1,30,0),ABS(12-$HI31)*100)),100000+ABS(1-$HH31)*1000+120)))-IF((12=$HJ31)+(12=$HK31)+(12=$HL31)+(12=$HM31)+(12=$HN31)+(12=$HO31)&gt;=2,50,0))+O$5*50)</f>
        <v/>
      </c>
      <c r="P151">
        <f>IF(OR($JF31=0,calcA!$A$6=0),0,IF(OR(13=$HA31,13=$HD31,13=$HG31),200000,MIN(IF($HA31=0,999999,IF(1=$HB31,IF(13=$HJ31,IF($JC31=2,30,0),IF(13=$HK31,IF($JC31=1,30,0),ABS(13-$HC31)*100)),100000+ABS(1-$HB31)*1000+130)),IF($HD31=0,999999,IF(1=$HE31,IF(13=$HL31,IF($JD31=2,30,0),IF(13=$HM31,IF($JD31=1,30,0),ABS(13-$HF31)*100)),100000+ABS(1-$HE31)*1000+130)),IF($HG31=0,999999,IF(1=$HH31,IF(13=$HN31,IF($JE31=2,30,0),IF(13=$HO31,IF($JE31=1,30,0),ABS(13-$HI31)*100)),100000+ABS(1-$HH31)*1000+130)))-IF((13=$HJ31)+(13=$HK31)+(13=$HL31)+(13=$HM31)+(13=$HN31)+(13=$HO31)&gt;=2,50,0))+P$5*50)</f>
        <v/>
      </c>
      <c r="Q151">
        <f>IF(OR($JF31=0,calcA!$A$6=0),0,IF(OR(14=$HA31,14=$HD31,14=$HG31),200000,MIN(IF($HA31=0,999999,IF(1=$HB31,IF(14=$HJ31,IF($JC31=2,30,0),IF(14=$HK31,IF($JC31=1,30,0),ABS(14-$HC31)*100)),100000+ABS(1-$HB31)*1000+140)),IF($HD31=0,999999,IF(1=$HE31,IF(14=$HL31,IF($JD31=2,30,0),IF(14=$HM31,IF($JD31=1,30,0),ABS(14-$HF31)*100)),100000+ABS(1-$HE31)*1000+140)),IF($HG31=0,999999,IF(1=$HH31,IF(14=$HN31,IF($JE31=2,30,0),IF(14=$HO31,IF($JE31=1,30,0),ABS(14-$HI31)*100)),100000+ABS(1-$HH31)*1000+140)))-IF((14=$HJ31)+(14=$HK31)+(14=$HL31)+(14=$HM31)+(14=$HN31)+(14=$HO31)&gt;=2,50,0))+Q$5*50)</f>
        <v/>
      </c>
      <c r="R151">
        <f>IF(OR($JF31=0,calcA!$A$6=0),0,IF(OR(15=$HA31,15=$HD31,15=$HG31),200000,MIN(IF($HA31=0,999999,IF(1=$HB31,IF(15=$HJ31,IF($JC31=2,30,0),IF(15=$HK31,IF($JC31=1,30,0),ABS(15-$HC31)*100)),100000+ABS(1-$HB31)*1000+150)),IF($HD31=0,999999,IF(1=$HE31,IF(15=$HL31,IF($JD31=2,30,0),IF(15=$HM31,IF($JD31=1,30,0),ABS(15-$HF31)*100)),100000+ABS(1-$HE31)*1000+150)),IF($HG31=0,999999,IF(1=$HH31,IF(15=$HN31,IF($JE31=2,30,0),IF(15=$HO31,IF($JE31=1,30,0),ABS(15-$HI31)*100)),100000+ABS(1-$HH31)*1000+150)))-IF((15=$HJ31)+(15=$HK31)+(15=$HL31)+(15=$HM31)+(15=$HN31)+(15=$HO31)&gt;=2,50,0))+R$5*50)</f>
        <v/>
      </c>
      <c r="S151">
        <f>IF(OR($JF31=0,calcA!$A$6=0),0,IF(OR(16=$HA31,16=$HD31,16=$HG31),200000,MIN(IF($HA31=0,999999,IF(1=$HB31,IF(16=$HJ31,IF($JC31=2,30,0),IF(16=$HK31,IF($JC31=1,30,0),ABS(16-$HC31)*100)),100000+ABS(1-$HB31)*1000+160)),IF($HD31=0,999999,IF(1=$HE31,IF(16=$HL31,IF($JD31=2,30,0),IF(16=$HM31,IF($JD31=1,30,0),ABS(16-$HF31)*100)),100000+ABS(1-$HE31)*1000+160)),IF($HG31=0,999999,IF(1=$HH31,IF(16=$HN31,IF($JE31=2,30,0),IF(16=$HO31,IF($JE31=1,30,0),ABS(16-$HI31)*100)),100000+ABS(1-$HH31)*1000+160)))-IF((16=$HJ31)+(16=$HK31)+(16=$HL31)+(16=$HM31)+(16=$HN31)+(16=$HO31)&gt;=2,50,0))+S$5*50)</f>
        <v/>
      </c>
      <c r="T151">
        <f>IF(OR($JF31=0,calcA!$A$6=0),0,IF(OR(17=$HA31,17=$HD31,17=$HG31),200000,MIN(IF($HA31=0,999999,IF(1=$HB31,IF(17=$HJ31,IF($JC31=2,30,0),IF(17=$HK31,IF($JC31=1,30,0),ABS(17-$HC31)*100)),100000+ABS(1-$HB31)*1000+170)),IF($HD31=0,999999,IF(1=$HE31,IF(17=$HL31,IF($JD31=2,30,0),IF(17=$HM31,IF($JD31=1,30,0),ABS(17-$HF31)*100)),100000+ABS(1-$HE31)*1000+170)),IF($HG31=0,999999,IF(1=$HH31,IF(17=$HN31,IF($JE31=2,30,0),IF(17=$HO31,IF($JE31=1,30,0),ABS(17-$HI31)*100)),100000+ABS(1-$HH31)*1000+170)))-IF((17=$HJ31)+(17=$HK31)+(17=$HL31)+(17=$HM31)+(17=$HN31)+(17=$HO31)&gt;=2,50,0))+T$5*50)</f>
        <v/>
      </c>
      <c r="U151">
        <f>IF(OR($JF31=0,calcA!$A$6=0),0,IF(OR(18=$HA31,18=$HD31,18=$HG31),200000,MIN(IF($HA31=0,999999,IF(1=$HB31,IF(18=$HJ31,IF($JC31=2,30,0),IF(18=$HK31,IF($JC31=1,30,0),ABS(18-$HC31)*100)),100000+ABS(1-$HB31)*1000+180)),IF($HD31=0,999999,IF(1=$HE31,IF(18=$HL31,IF($JD31=2,30,0),IF(18=$HM31,IF($JD31=1,30,0),ABS(18-$HF31)*100)),100000+ABS(1-$HE31)*1000+180)),IF($HG31=0,999999,IF(1=$HH31,IF(18=$HN31,IF($JE31=2,30,0),IF(18=$HO31,IF($JE31=1,30,0),ABS(18-$HI31)*100)),100000+ABS(1-$HH31)*1000+180)))-IF((18=$HJ31)+(18=$HK31)+(18=$HL31)+(18=$HM31)+(18=$HN31)+(18=$HO31)&gt;=2,50,0))+U$5*50)</f>
        <v/>
      </c>
      <c r="V151">
        <f>IF(OR($JF31=0,calcA!$A$6=0),0,IF(OR(19=$HA31,19=$HD31,19=$HG31),200000,MIN(IF($HA31=0,999999,IF(1=$HB31,IF(19=$HJ31,IF($JC31=2,30,0),IF(19=$HK31,IF($JC31=1,30,0),ABS(19-$HC31)*100)),100000+ABS(1-$HB31)*1000+190)),IF($HD31=0,999999,IF(1=$HE31,IF(19=$HL31,IF($JD31=2,30,0),IF(19=$HM31,IF($JD31=1,30,0),ABS(19-$HF31)*100)),100000+ABS(1-$HE31)*1000+190)),IF($HG31=0,999999,IF(1=$HH31,IF(19=$HN31,IF($JE31=2,30,0),IF(19=$HO31,IF($JE31=1,30,0),ABS(19-$HI31)*100)),100000+ABS(1-$HH31)*1000+190)))-IF((19=$HJ31)+(19=$HK31)+(19=$HL31)+(19=$HM31)+(19=$HN31)+(19=$HO31)&gt;=2,50,0))+V$5*50)</f>
        <v/>
      </c>
      <c r="W151">
        <f>IF(OR($JF31=0,calcA!$A$6=0),0,IF(OR(20=$HA31,20=$HD31,20=$HG31),200000,MIN(IF($HA31=0,999999,IF(1=$HB31,IF(20=$HJ31,IF($JC31=2,30,0),IF(20=$HK31,IF($JC31=1,30,0),ABS(20-$HC31)*100)),100000+ABS(1-$HB31)*1000+200)),IF($HD31=0,999999,IF(1=$HE31,IF(20=$HL31,IF($JD31=2,30,0),IF(20=$HM31,IF($JD31=1,30,0),ABS(20-$HF31)*100)),100000+ABS(1-$HE31)*1000+200)),IF($HG31=0,999999,IF(1=$HH31,IF(20=$HN31,IF($JE31=2,30,0),IF(20=$HO31,IF($JE31=1,30,0),ABS(20-$HI31)*100)),100000+ABS(1-$HH31)*1000+200)))-IF((20=$HJ31)+(20=$HK31)+(20=$HL31)+(20=$HM31)+(20=$HN31)+(20=$HO31)&gt;=2,50,0))+W$5*50)</f>
        <v/>
      </c>
      <c r="X151">
        <f>IF(OR($JF31=0,calcA!$A$6=0),0,IF(OR(21=$HA31,21=$HD31,21=$HG31),200000,MIN(IF($HA31=0,999999,IF(1=$HB31,IF(21=$HJ31,IF($JC31=2,30,0),IF(21=$HK31,IF($JC31=1,30,0),ABS(21-$HC31)*100)),100000+ABS(1-$HB31)*1000+210)),IF($HD31=0,999999,IF(1=$HE31,IF(21=$HL31,IF($JD31=2,30,0),IF(21=$HM31,IF($JD31=1,30,0),ABS(21-$HF31)*100)),100000+ABS(1-$HE31)*1000+210)),IF($HG31=0,999999,IF(1=$HH31,IF(21=$HN31,IF($JE31=2,30,0),IF(21=$HO31,IF($JE31=1,30,0),ABS(21-$HI31)*100)),100000+ABS(1-$HH31)*1000+210)))-IF((21=$HJ31)+(21=$HK31)+(21=$HL31)+(21=$HM31)+(21=$HN31)+(21=$HO31)&gt;=2,50,0))+X$5*50)</f>
        <v/>
      </c>
      <c r="Y151">
        <f>IF(OR($JF31=0,calcA!$A$6=0),0,IF(OR(22=$HA31,22=$HD31,22=$HG31),200000,MIN(IF($HA31=0,999999,IF(1=$HB31,IF(22=$HJ31,IF($JC31=2,30,0),IF(22=$HK31,IF($JC31=1,30,0),ABS(22-$HC31)*100)),100000+ABS(1-$HB31)*1000+220)),IF($HD31=0,999999,IF(1=$HE31,IF(22=$HL31,IF($JD31=2,30,0),IF(22=$HM31,IF($JD31=1,30,0),ABS(22-$HF31)*100)),100000+ABS(1-$HE31)*1000+220)),IF($HG31=0,999999,IF(1=$HH31,IF(22=$HN31,IF($JE31=2,30,0),IF(22=$HO31,IF($JE31=1,30,0),ABS(22-$HI31)*100)),100000+ABS(1-$HH31)*1000+220)))-IF((22=$HJ31)+(22=$HK31)+(22=$HL31)+(22=$HM31)+(22=$HN31)+(22=$HO31)&gt;=2,50,0))+Y$5*50)</f>
        <v/>
      </c>
      <c r="Z151">
        <f>IF(OR($JF31=0,calcA!$A$6=0),0,IF(OR(23=$HA31,23=$HD31,23=$HG31),200000,MIN(IF($HA31=0,999999,IF(1=$HB31,IF(23=$HJ31,IF($JC31=2,30,0),IF(23=$HK31,IF($JC31=1,30,0),ABS(23-$HC31)*100)),100000+ABS(1-$HB31)*1000+230)),IF($HD31=0,999999,IF(1=$HE31,IF(23=$HL31,IF($JD31=2,30,0),IF(23=$HM31,IF($JD31=1,30,0),ABS(23-$HF31)*100)),100000+ABS(1-$HE31)*1000+230)),IF($HG31=0,999999,IF(1=$HH31,IF(23=$HN31,IF($JE31=2,30,0),IF(23=$HO31,IF($JE31=1,30,0),ABS(23-$HI31)*100)),100000+ABS(1-$HH31)*1000+230)))-IF((23=$HJ31)+(23=$HK31)+(23=$HL31)+(23=$HM31)+(23=$HN31)+(23=$HO31)&gt;=2,50,0))+Z$5*50)</f>
        <v/>
      </c>
      <c r="AA151">
        <f>IF(OR($JF31=0,calcA!$A$6=0),0,IF(OR(24=$HA31,24=$HD31,24=$HG31),200000,MIN(IF($HA31=0,999999,IF(1=$HB31,IF(24=$HJ31,IF($JC31=2,30,0),IF(24=$HK31,IF($JC31=1,30,0),ABS(24-$HC31)*100)),100000+ABS(1-$HB31)*1000+240)),IF($HD31=0,999999,IF(1=$HE31,IF(24=$HL31,IF($JD31=2,30,0),IF(24=$HM31,IF($JD31=1,30,0),ABS(24-$HF31)*100)),100000+ABS(1-$HE31)*1000+240)),IF($HG31=0,999999,IF(1=$HH31,IF(24=$HN31,IF($JE31=2,30,0),IF(24=$HO31,IF($JE31=1,30,0),ABS(24-$HI31)*100)),100000+ABS(1-$HH31)*1000+240)))-IF((24=$HJ31)+(24=$HK31)+(24=$HL31)+(24=$HM31)+(24=$HN31)+(24=$HO31)&gt;=2,50,0))+AA$5*50)</f>
        <v/>
      </c>
      <c r="AB151">
        <f>IF(OR($JF31=0,calcA!$A$6=0),0,IF(OR(25=$HA31,25=$HD31,25=$HG31),200000,MIN(IF($HA31=0,999999,IF(2=$HB31,IF(25=$HJ31,IF($JC31=2,30,0),IF(25=$HK31,IF($JC31=1,30,0),ABS(1-$HC31)*100)),100000+ABS(2-$HB31)*1000+10)),IF($HD31=0,999999,IF(2=$HE31,IF(25=$HL31,IF($JD31=2,30,0),IF(25=$HM31,IF($JD31=1,30,0),ABS(1-$HF31)*100)),100000+ABS(2-$HE31)*1000+10)),IF($HG31=0,999999,IF(2=$HH31,IF(25=$HN31,IF($JE31=2,30,0),IF(25=$HO31,IF($JE31=1,30,0),ABS(1-$HI31)*100)),100000+ABS(2-$HH31)*1000+10)))-IF((25=$HJ31)+(25=$HK31)+(25=$HL31)+(25=$HM31)+(25=$HN31)+(25=$HO31)&gt;=2,50,0))+AB$5*50)</f>
        <v/>
      </c>
      <c r="AC151">
        <f>IF(OR($JF31=0,calcA!$A$6=0),0,IF(OR(26=$HA31,26=$HD31,26=$HG31),200000,MIN(IF($HA31=0,999999,IF(2=$HB31,IF(26=$HJ31,IF($JC31=2,30,0),IF(26=$HK31,IF($JC31=1,30,0),ABS(2-$HC31)*100)),100000+ABS(2-$HB31)*1000+20)),IF($HD31=0,999999,IF(2=$HE31,IF(26=$HL31,IF($JD31=2,30,0),IF(26=$HM31,IF($JD31=1,30,0),ABS(2-$HF31)*100)),100000+ABS(2-$HE31)*1000+20)),IF($HG31=0,999999,IF(2=$HH31,IF(26=$HN31,IF($JE31=2,30,0),IF(26=$HO31,IF($JE31=1,30,0),ABS(2-$HI31)*100)),100000+ABS(2-$HH31)*1000+20)))-IF((26=$HJ31)+(26=$HK31)+(26=$HL31)+(26=$HM31)+(26=$HN31)+(26=$HO31)&gt;=2,50,0))+AC$5*50)</f>
        <v/>
      </c>
      <c r="AD151">
        <f>IF(OR($JF31=0,calcA!$A$6=0),0,IF(OR(27=$HA31,27=$HD31,27=$HG31),200000,MIN(IF($HA31=0,999999,IF(2=$HB31,IF(27=$HJ31,IF($JC31=2,30,0),IF(27=$HK31,IF($JC31=1,30,0),ABS(3-$HC31)*100)),100000+ABS(2-$HB31)*1000+30)),IF($HD31=0,999999,IF(2=$HE31,IF(27=$HL31,IF($JD31=2,30,0),IF(27=$HM31,IF($JD31=1,30,0),ABS(3-$HF31)*100)),100000+ABS(2-$HE31)*1000+30)),IF($HG31=0,999999,IF(2=$HH31,IF(27=$HN31,IF($JE31=2,30,0),IF(27=$HO31,IF($JE31=1,30,0),ABS(3-$HI31)*100)),100000+ABS(2-$HH31)*1000+30)))-IF((27=$HJ31)+(27=$HK31)+(27=$HL31)+(27=$HM31)+(27=$HN31)+(27=$HO31)&gt;=2,50,0))+AD$5*50)</f>
        <v/>
      </c>
      <c r="AE151">
        <f>IF(OR($JF31=0,calcA!$A$6=0),0,IF(OR(28=$HA31,28=$HD31,28=$HG31),200000,MIN(IF($HA31=0,999999,IF(2=$HB31,IF(28=$HJ31,IF($JC31=2,30,0),IF(28=$HK31,IF($JC31=1,30,0),ABS(4-$HC31)*100)),100000+ABS(2-$HB31)*1000+40)),IF($HD31=0,999999,IF(2=$HE31,IF(28=$HL31,IF($JD31=2,30,0),IF(28=$HM31,IF($JD31=1,30,0),ABS(4-$HF31)*100)),100000+ABS(2-$HE31)*1000+40)),IF($HG31=0,999999,IF(2=$HH31,IF(28=$HN31,IF($JE31=2,30,0),IF(28=$HO31,IF($JE31=1,30,0),ABS(4-$HI31)*100)),100000+ABS(2-$HH31)*1000+40)))-IF((28=$HJ31)+(28=$HK31)+(28=$HL31)+(28=$HM31)+(28=$HN31)+(28=$HO31)&gt;=2,50,0))+AE$5*50)</f>
        <v/>
      </c>
      <c r="AF151">
        <f>IF(OR($JF31=0,calcA!$A$6=0),0,IF(OR(29=$HA31,29=$HD31,29=$HG31),200000,MIN(IF($HA31=0,999999,IF(2=$HB31,IF(29=$HJ31,IF($JC31=2,30,0),IF(29=$HK31,IF($JC31=1,30,0),ABS(5-$HC31)*100)),100000+ABS(2-$HB31)*1000+50)),IF($HD31=0,999999,IF(2=$HE31,IF(29=$HL31,IF($JD31=2,30,0),IF(29=$HM31,IF($JD31=1,30,0),ABS(5-$HF31)*100)),100000+ABS(2-$HE31)*1000+50)),IF($HG31=0,999999,IF(2=$HH31,IF(29=$HN31,IF($JE31=2,30,0),IF(29=$HO31,IF($JE31=1,30,0),ABS(5-$HI31)*100)),100000+ABS(2-$HH31)*1000+50)))-IF((29=$HJ31)+(29=$HK31)+(29=$HL31)+(29=$HM31)+(29=$HN31)+(29=$HO31)&gt;=2,50,0))+AF$5*50)</f>
        <v/>
      </c>
      <c r="AG151">
        <f>IF(OR($JF31=0,calcA!$A$6=0),0,IF(OR(30=$HA31,30=$HD31,30=$HG31),200000,MIN(IF($HA31=0,999999,IF(2=$HB31,IF(30=$HJ31,IF($JC31=2,30,0),IF(30=$HK31,IF($JC31=1,30,0),ABS(6-$HC31)*100)),100000+ABS(2-$HB31)*1000+60)),IF($HD31=0,999999,IF(2=$HE31,IF(30=$HL31,IF($JD31=2,30,0),IF(30=$HM31,IF($JD31=1,30,0),ABS(6-$HF31)*100)),100000+ABS(2-$HE31)*1000+60)),IF($HG31=0,999999,IF(2=$HH31,IF(30=$HN31,IF($JE31=2,30,0),IF(30=$HO31,IF($JE31=1,30,0),ABS(6-$HI31)*100)),100000+ABS(2-$HH31)*1000+60)))-IF((30=$HJ31)+(30=$HK31)+(30=$HL31)+(30=$HM31)+(30=$HN31)+(30=$HO31)&gt;=2,50,0))+AG$5*50)</f>
        <v/>
      </c>
      <c r="AH151">
        <f>IF(OR($JF31=0,calcA!$A$6=0),0,IF(OR(31=$HA31,31=$HD31,31=$HG31),200000,MIN(IF($HA31=0,999999,IF(2=$HB31,IF(31=$HJ31,IF($JC31=2,30,0),IF(31=$HK31,IF($JC31=1,30,0),ABS(7-$HC31)*100)),100000+ABS(2-$HB31)*1000+70)),IF($HD31=0,999999,IF(2=$HE31,IF(31=$HL31,IF($JD31=2,30,0),IF(31=$HM31,IF($JD31=1,30,0),ABS(7-$HF31)*100)),100000+ABS(2-$HE31)*1000+70)),IF($HG31=0,999999,IF(2=$HH31,IF(31=$HN31,IF($JE31=2,30,0),IF(31=$HO31,IF($JE31=1,30,0),ABS(7-$HI31)*100)),100000+ABS(2-$HH31)*1000+70)))-IF((31=$HJ31)+(31=$HK31)+(31=$HL31)+(31=$HM31)+(31=$HN31)+(31=$HO31)&gt;=2,50,0))+AH$5*50)</f>
        <v/>
      </c>
      <c r="AI151">
        <f>IF(OR($JF31=0,calcA!$A$6=0),0,IF(OR(32=$HA31,32=$HD31,32=$HG31),200000,MIN(IF($HA31=0,999999,IF(2=$HB31,IF(32=$HJ31,IF($JC31=2,30,0),IF(32=$HK31,IF($JC31=1,30,0),ABS(8-$HC31)*100)),100000+ABS(2-$HB31)*1000+80)),IF($HD31=0,999999,IF(2=$HE31,IF(32=$HL31,IF($JD31=2,30,0),IF(32=$HM31,IF($JD31=1,30,0),ABS(8-$HF31)*100)),100000+ABS(2-$HE31)*1000+80)),IF($HG31=0,999999,IF(2=$HH31,IF(32=$HN31,IF($JE31=2,30,0),IF(32=$HO31,IF($JE31=1,30,0),ABS(8-$HI31)*100)),100000+ABS(2-$HH31)*1000+80)))-IF((32=$HJ31)+(32=$HK31)+(32=$HL31)+(32=$HM31)+(32=$HN31)+(32=$HO31)&gt;=2,50,0))+AI$5*50)</f>
        <v/>
      </c>
      <c r="AJ151">
        <f>IF(OR($JF31=0,calcA!$A$6=0),0,IF(OR(33=$HA31,33=$HD31,33=$HG31),200000,MIN(IF($HA31=0,999999,IF(2=$HB31,IF(33=$HJ31,IF($JC31=2,30,0),IF(33=$HK31,IF($JC31=1,30,0),ABS(9-$HC31)*100)),100000+ABS(2-$HB31)*1000+90)),IF($HD31=0,999999,IF(2=$HE31,IF(33=$HL31,IF($JD31=2,30,0),IF(33=$HM31,IF($JD31=1,30,0),ABS(9-$HF31)*100)),100000+ABS(2-$HE31)*1000+90)),IF($HG31=0,999999,IF(2=$HH31,IF(33=$HN31,IF($JE31=2,30,0),IF(33=$HO31,IF($JE31=1,30,0),ABS(9-$HI31)*100)),100000+ABS(2-$HH31)*1000+90)))-IF((33=$HJ31)+(33=$HK31)+(33=$HL31)+(33=$HM31)+(33=$HN31)+(33=$HO31)&gt;=2,50,0))+AJ$5*50)</f>
        <v/>
      </c>
      <c r="AK151">
        <f>IF(OR($JF31=0,calcA!$A$6=0),0,IF(OR(34=$HA31,34=$HD31,34=$HG31),200000,MIN(IF($HA31=0,999999,IF(2=$HB31,IF(34=$HJ31,IF($JC31=2,30,0),IF(34=$HK31,IF($JC31=1,30,0),ABS(10-$HC31)*100)),100000+ABS(2-$HB31)*1000+100)),IF($HD31=0,999999,IF(2=$HE31,IF(34=$HL31,IF($JD31=2,30,0),IF(34=$HM31,IF($JD31=1,30,0),ABS(10-$HF31)*100)),100000+ABS(2-$HE31)*1000+100)),IF($HG31=0,999999,IF(2=$HH31,IF(34=$HN31,IF($JE31=2,30,0),IF(34=$HO31,IF($JE31=1,30,0),ABS(10-$HI31)*100)),100000+ABS(2-$HH31)*1000+100)))-IF((34=$HJ31)+(34=$HK31)+(34=$HL31)+(34=$HM31)+(34=$HN31)+(34=$HO31)&gt;=2,50,0))+AK$5*50)</f>
        <v/>
      </c>
      <c r="AL151">
        <f>IF(OR($JF31=0,calcA!$A$6=0),0,IF(OR(35=$HA31,35=$HD31,35=$HG31),200000,MIN(IF($HA31=0,999999,IF(2=$HB31,IF(35=$HJ31,IF($JC31=2,30,0),IF(35=$HK31,IF($JC31=1,30,0),ABS(11-$HC31)*100)),100000+ABS(2-$HB31)*1000+110)),IF($HD31=0,999999,IF(2=$HE31,IF(35=$HL31,IF($JD31=2,30,0),IF(35=$HM31,IF($JD31=1,30,0),ABS(11-$HF31)*100)),100000+ABS(2-$HE31)*1000+110)),IF($HG31=0,999999,IF(2=$HH31,IF(35=$HN31,IF($JE31=2,30,0),IF(35=$HO31,IF($JE31=1,30,0),ABS(11-$HI31)*100)),100000+ABS(2-$HH31)*1000+110)))-IF((35=$HJ31)+(35=$HK31)+(35=$HL31)+(35=$HM31)+(35=$HN31)+(35=$HO31)&gt;=2,50,0))+AL$5*50)</f>
        <v/>
      </c>
      <c r="AM151">
        <f>IF(OR($JF31=0,calcA!$A$6=0),0,IF(OR(36=$HA31,36=$HD31,36=$HG31),200000,MIN(IF($HA31=0,999999,IF(2=$HB31,IF(36=$HJ31,IF($JC31=2,30,0),IF(36=$HK31,IF($JC31=1,30,0),ABS(12-$HC31)*100)),100000+ABS(2-$HB31)*1000+120)),IF($HD31=0,999999,IF(2=$HE31,IF(36=$HL31,IF($JD31=2,30,0),IF(36=$HM31,IF($JD31=1,30,0),ABS(12-$HF31)*100)),100000+ABS(2-$HE31)*1000+120)),IF($HG31=0,999999,IF(2=$HH31,IF(36=$HN31,IF($JE31=2,30,0),IF(36=$HO31,IF($JE31=1,30,0),ABS(12-$HI31)*100)),100000+ABS(2-$HH31)*1000+120)))-IF((36=$HJ31)+(36=$HK31)+(36=$HL31)+(36=$HM31)+(36=$HN31)+(36=$HO31)&gt;=2,50,0))+AM$5*50)</f>
        <v/>
      </c>
      <c r="AN151">
        <f>IF(OR($JF31=0,calcA!$A$6=0),0,IF(OR(37=$HA31,37=$HD31,37=$HG31),200000,MIN(IF($HA31=0,999999,IF(2=$HB31,IF(37=$HJ31,IF($JC31=2,30,0),IF(37=$HK31,IF($JC31=1,30,0),ABS(13-$HC31)*100)),100000+ABS(2-$HB31)*1000+130)),IF($HD31=0,999999,IF(2=$HE31,IF(37=$HL31,IF($JD31=2,30,0),IF(37=$HM31,IF($JD31=1,30,0),ABS(13-$HF31)*100)),100000+ABS(2-$HE31)*1000+130)),IF($HG31=0,999999,IF(2=$HH31,IF(37=$HN31,IF($JE31=2,30,0),IF(37=$HO31,IF($JE31=1,30,0),ABS(13-$HI31)*100)),100000+ABS(2-$HH31)*1000+130)))-IF((37=$HJ31)+(37=$HK31)+(37=$HL31)+(37=$HM31)+(37=$HN31)+(37=$HO31)&gt;=2,50,0))+AN$5*50)</f>
        <v/>
      </c>
      <c r="AO151">
        <f>IF(OR($JF31=0,calcA!$A$6=0),0,IF(OR(38=$HA31,38=$HD31,38=$HG31),200000,MIN(IF($HA31=0,999999,IF(2=$HB31,IF(38=$HJ31,IF($JC31=2,30,0),IF(38=$HK31,IF($JC31=1,30,0),ABS(14-$HC31)*100)),100000+ABS(2-$HB31)*1000+140)),IF($HD31=0,999999,IF(2=$HE31,IF(38=$HL31,IF($JD31=2,30,0),IF(38=$HM31,IF($JD31=1,30,0),ABS(14-$HF31)*100)),100000+ABS(2-$HE31)*1000+140)),IF($HG31=0,999999,IF(2=$HH31,IF(38=$HN31,IF($JE31=2,30,0),IF(38=$HO31,IF($JE31=1,30,0),ABS(14-$HI31)*100)),100000+ABS(2-$HH31)*1000+140)))-IF((38=$HJ31)+(38=$HK31)+(38=$HL31)+(38=$HM31)+(38=$HN31)+(38=$HO31)&gt;=2,50,0))+AO$5*50)</f>
        <v/>
      </c>
      <c r="AP151">
        <f>IF(OR($JF31=0,calcA!$A$6=0),0,IF(OR(39=$HA31,39=$HD31,39=$HG31),200000,MIN(IF($HA31=0,999999,IF(2=$HB31,IF(39=$HJ31,IF($JC31=2,30,0),IF(39=$HK31,IF($JC31=1,30,0),ABS(15-$HC31)*100)),100000+ABS(2-$HB31)*1000+150)),IF($HD31=0,999999,IF(2=$HE31,IF(39=$HL31,IF($JD31=2,30,0),IF(39=$HM31,IF($JD31=1,30,0),ABS(15-$HF31)*100)),100000+ABS(2-$HE31)*1000+150)),IF($HG31=0,999999,IF(2=$HH31,IF(39=$HN31,IF($JE31=2,30,0),IF(39=$HO31,IF($JE31=1,30,0),ABS(15-$HI31)*100)),100000+ABS(2-$HH31)*1000+150)))-IF((39=$HJ31)+(39=$HK31)+(39=$HL31)+(39=$HM31)+(39=$HN31)+(39=$HO31)&gt;=2,50,0))+AP$5*50)</f>
        <v/>
      </c>
      <c r="AQ151">
        <f>IF(OR($JF31=0,calcA!$A$6=0),0,IF(OR(40=$HA31,40=$HD31,40=$HG31),200000,MIN(IF($HA31=0,999999,IF(2=$HB31,IF(40=$HJ31,IF($JC31=2,30,0),IF(40=$HK31,IF($JC31=1,30,0),ABS(16-$HC31)*100)),100000+ABS(2-$HB31)*1000+160)),IF($HD31=0,999999,IF(2=$HE31,IF(40=$HL31,IF($JD31=2,30,0),IF(40=$HM31,IF($JD31=1,30,0),ABS(16-$HF31)*100)),100000+ABS(2-$HE31)*1000+160)),IF($HG31=0,999999,IF(2=$HH31,IF(40=$HN31,IF($JE31=2,30,0),IF(40=$HO31,IF($JE31=1,30,0),ABS(16-$HI31)*100)),100000+ABS(2-$HH31)*1000+160)))-IF((40=$HJ31)+(40=$HK31)+(40=$HL31)+(40=$HM31)+(40=$HN31)+(40=$HO31)&gt;=2,50,0))+AQ$5*50)</f>
        <v/>
      </c>
      <c r="AR151">
        <f>IF(OR($JF31=0,calcA!$A$6=0),0,IF(OR(41=$HA31,41=$HD31,41=$HG31),200000,MIN(IF($HA31=0,999999,IF(2=$HB31,IF(41=$HJ31,IF($JC31=2,30,0),IF(41=$HK31,IF($JC31=1,30,0),ABS(17-$HC31)*100)),100000+ABS(2-$HB31)*1000+170)),IF($HD31=0,999999,IF(2=$HE31,IF(41=$HL31,IF($JD31=2,30,0),IF(41=$HM31,IF($JD31=1,30,0),ABS(17-$HF31)*100)),100000+ABS(2-$HE31)*1000+170)),IF($HG31=0,999999,IF(2=$HH31,IF(41=$HN31,IF($JE31=2,30,0),IF(41=$HO31,IF($JE31=1,30,0),ABS(17-$HI31)*100)),100000+ABS(2-$HH31)*1000+170)))-IF((41=$HJ31)+(41=$HK31)+(41=$HL31)+(41=$HM31)+(41=$HN31)+(41=$HO31)&gt;=2,50,0))+AR$5*50)</f>
        <v/>
      </c>
      <c r="AS151">
        <f>IF(OR($JF31=0,calcA!$A$6=0),0,IF(OR(42=$HA31,42=$HD31,42=$HG31),200000,MIN(IF($HA31=0,999999,IF(2=$HB31,IF(42=$HJ31,IF($JC31=2,30,0),IF(42=$HK31,IF($JC31=1,30,0),ABS(18-$HC31)*100)),100000+ABS(2-$HB31)*1000+180)),IF($HD31=0,999999,IF(2=$HE31,IF(42=$HL31,IF($JD31=2,30,0),IF(42=$HM31,IF($JD31=1,30,0),ABS(18-$HF31)*100)),100000+ABS(2-$HE31)*1000+180)),IF($HG31=0,999999,IF(2=$HH31,IF(42=$HN31,IF($JE31=2,30,0),IF(42=$HO31,IF($JE31=1,30,0),ABS(18-$HI31)*100)),100000+ABS(2-$HH31)*1000+180)))-IF((42=$HJ31)+(42=$HK31)+(42=$HL31)+(42=$HM31)+(42=$HN31)+(42=$HO31)&gt;=2,50,0))+AS$5*50)</f>
        <v/>
      </c>
      <c r="AT151">
        <f>IF(OR($JF31=0,calcA!$A$6=0),0,IF(OR(43=$HA31,43=$HD31,43=$HG31),200000,MIN(IF($HA31=0,999999,IF(2=$HB31,IF(43=$HJ31,IF($JC31=2,30,0),IF(43=$HK31,IF($JC31=1,30,0),ABS(19-$HC31)*100)),100000+ABS(2-$HB31)*1000+190)),IF($HD31=0,999999,IF(2=$HE31,IF(43=$HL31,IF($JD31=2,30,0),IF(43=$HM31,IF($JD31=1,30,0),ABS(19-$HF31)*100)),100000+ABS(2-$HE31)*1000+190)),IF($HG31=0,999999,IF(2=$HH31,IF(43=$HN31,IF($JE31=2,30,0),IF(43=$HO31,IF($JE31=1,30,0),ABS(19-$HI31)*100)),100000+ABS(2-$HH31)*1000+190)))-IF((43=$HJ31)+(43=$HK31)+(43=$HL31)+(43=$HM31)+(43=$HN31)+(43=$HO31)&gt;=2,50,0))+AT$5*50)</f>
        <v/>
      </c>
      <c r="AU151">
        <f>IF(OR($JF31=0,calcA!$A$6=0),0,IF(OR(44=$HA31,44=$HD31,44=$HG31),200000,MIN(IF($HA31=0,999999,IF(2=$HB31,IF(44=$HJ31,IF($JC31=2,30,0),IF(44=$HK31,IF($JC31=1,30,0),ABS(20-$HC31)*100)),100000+ABS(2-$HB31)*1000+200)),IF($HD31=0,999999,IF(2=$HE31,IF(44=$HL31,IF($JD31=2,30,0),IF(44=$HM31,IF($JD31=1,30,0),ABS(20-$HF31)*100)),100000+ABS(2-$HE31)*1000+200)),IF($HG31=0,999999,IF(2=$HH31,IF(44=$HN31,IF($JE31=2,30,0),IF(44=$HO31,IF($JE31=1,30,0),ABS(20-$HI31)*100)),100000+ABS(2-$HH31)*1000+200)))-IF((44=$HJ31)+(44=$HK31)+(44=$HL31)+(44=$HM31)+(44=$HN31)+(44=$HO31)&gt;=2,50,0))+AU$5*50)</f>
        <v/>
      </c>
      <c r="AV151">
        <f>IF(OR($JF31=0,calcA!$A$6=0),0,IF(OR(45=$HA31,45=$HD31,45=$HG31),200000,MIN(IF($HA31=0,999999,IF(2=$HB31,IF(45=$HJ31,IF($JC31=2,30,0),IF(45=$HK31,IF($JC31=1,30,0),ABS(21-$HC31)*100)),100000+ABS(2-$HB31)*1000+210)),IF($HD31=0,999999,IF(2=$HE31,IF(45=$HL31,IF($JD31=2,30,0),IF(45=$HM31,IF($JD31=1,30,0),ABS(21-$HF31)*100)),100000+ABS(2-$HE31)*1000+210)),IF($HG31=0,999999,IF(2=$HH31,IF(45=$HN31,IF($JE31=2,30,0),IF(45=$HO31,IF($JE31=1,30,0),ABS(21-$HI31)*100)),100000+ABS(2-$HH31)*1000+210)))-IF((45=$HJ31)+(45=$HK31)+(45=$HL31)+(45=$HM31)+(45=$HN31)+(45=$HO31)&gt;=2,50,0))+AV$5*50)</f>
        <v/>
      </c>
      <c r="AW151">
        <f>IF(OR($JF31=0,calcA!$A$6=0),0,IF(OR(46=$HA31,46=$HD31,46=$HG31),200000,MIN(IF($HA31=0,999999,IF(2=$HB31,IF(46=$HJ31,IF($JC31=2,30,0),IF(46=$HK31,IF($JC31=1,30,0),ABS(22-$HC31)*100)),100000+ABS(2-$HB31)*1000+220)),IF($HD31=0,999999,IF(2=$HE31,IF(46=$HL31,IF($JD31=2,30,0),IF(46=$HM31,IF($JD31=1,30,0),ABS(22-$HF31)*100)),100000+ABS(2-$HE31)*1000+220)),IF($HG31=0,999999,IF(2=$HH31,IF(46=$HN31,IF($JE31=2,30,0),IF(46=$HO31,IF($JE31=1,30,0),ABS(22-$HI31)*100)),100000+ABS(2-$HH31)*1000+220)))-IF((46=$HJ31)+(46=$HK31)+(46=$HL31)+(46=$HM31)+(46=$HN31)+(46=$HO31)&gt;=2,50,0))+AW$5*50)</f>
        <v/>
      </c>
      <c r="AX151">
        <f>IF(OR($JF31=0,calcA!$A$6=0),0,IF(OR(47=$HA31,47=$HD31,47=$HG31),200000,MIN(IF($HA31=0,999999,IF(2=$HB31,IF(47=$HJ31,IF($JC31=2,30,0),IF(47=$HK31,IF($JC31=1,30,0),ABS(23-$HC31)*100)),100000+ABS(2-$HB31)*1000+230)),IF($HD31=0,999999,IF(2=$HE31,IF(47=$HL31,IF($JD31=2,30,0),IF(47=$HM31,IF($JD31=1,30,0),ABS(23-$HF31)*100)),100000+ABS(2-$HE31)*1000+230)),IF($HG31=0,999999,IF(2=$HH31,IF(47=$HN31,IF($JE31=2,30,0),IF(47=$HO31,IF($JE31=1,30,0),ABS(23-$HI31)*100)),100000+ABS(2-$HH31)*1000+230)))-IF((47=$HJ31)+(47=$HK31)+(47=$HL31)+(47=$HM31)+(47=$HN31)+(47=$HO31)&gt;=2,50,0))+AX$5*50)</f>
        <v/>
      </c>
      <c r="AY151">
        <f>IF(OR($JF31=0,calcA!$A$6=0),0,IF(OR(48=$HA31,48=$HD31,48=$HG31),200000,MIN(IF($HA31=0,999999,IF(2=$HB31,IF(48=$HJ31,IF($JC31=2,30,0),IF(48=$HK31,IF($JC31=1,30,0),ABS(24-$HC31)*100)),100000+ABS(2-$HB31)*1000+240)),IF($HD31=0,999999,IF(2=$HE31,IF(48=$HL31,IF($JD31=2,30,0),IF(48=$HM31,IF($JD31=1,30,0),ABS(24-$HF31)*100)),100000+ABS(2-$HE31)*1000+240)),IF($HG31=0,999999,IF(2=$HH31,IF(48=$HN31,IF($JE31=2,30,0),IF(48=$HO31,IF($JE31=1,30,0),ABS(24-$HI31)*100)),100000+ABS(2-$HH31)*1000+240)))-IF((48=$HJ31)+(48=$HK31)+(48=$HL31)+(48=$HM31)+(48=$HN31)+(48=$HO31)&gt;=2,50,0))+AY$5*50)</f>
        <v/>
      </c>
      <c r="AZ151">
        <f>IF(OR($JF31=0,calcA!$A$6=0),0,IF(OR(49=$HA31,49=$HD31,49=$HG31),200000,MIN(IF($HA31=0,999999,IF(3=$HB31,IF(49=$HJ31,IF($JC31=2,30,0),IF(49=$HK31,IF($JC31=1,30,0),ABS(1-$HC31)*100)),100000+ABS(3-$HB31)*1000+10)),IF($HD31=0,999999,IF(3=$HE31,IF(49=$HL31,IF($JD31=2,30,0),IF(49=$HM31,IF($JD31=1,30,0),ABS(1-$HF31)*100)),100000+ABS(3-$HE31)*1000+10)),IF($HG31=0,999999,IF(3=$HH31,IF(49=$HN31,IF($JE31=2,30,0),IF(49=$HO31,IF($JE31=1,30,0),ABS(1-$HI31)*100)),100000+ABS(3-$HH31)*1000+10)))-IF((49=$HJ31)+(49=$HK31)+(49=$HL31)+(49=$HM31)+(49=$HN31)+(49=$HO31)&gt;=2,50,0))+AZ$5*50)</f>
        <v/>
      </c>
      <c r="BA151">
        <f>IF(OR($JF31=0,calcA!$A$6=0),0,IF(OR(50=$HA31,50=$HD31,50=$HG31),200000,MIN(IF($HA31=0,999999,IF(3=$HB31,IF(50=$HJ31,IF($JC31=2,30,0),IF(50=$HK31,IF($JC31=1,30,0),ABS(2-$HC31)*100)),100000+ABS(3-$HB31)*1000+20)),IF($HD31=0,999999,IF(3=$HE31,IF(50=$HL31,IF($JD31=2,30,0),IF(50=$HM31,IF($JD31=1,30,0),ABS(2-$HF31)*100)),100000+ABS(3-$HE31)*1000+20)),IF($HG31=0,999999,IF(3=$HH31,IF(50=$HN31,IF($JE31=2,30,0),IF(50=$HO31,IF($JE31=1,30,0),ABS(2-$HI31)*100)),100000+ABS(3-$HH31)*1000+20)))-IF((50=$HJ31)+(50=$HK31)+(50=$HL31)+(50=$HM31)+(50=$HN31)+(50=$HO31)&gt;=2,50,0))+BA$5*50)</f>
        <v/>
      </c>
      <c r="BB151">
        <f>IF(OR($JF31=0,calcA!$A$6=0),0,IF(OR(51=$HA31,51=$HD31,51=$HG31),200000,MIN(IF($HA31=0,999999,IF(3=$HB31,IF(51=$HJ31,IF($JC31=2,30,0),IF(51=$HK31,IF($JC31=1,30,0),ABS(3-$HC31)*100)),100000+ABS(3-$HB31)*1000+30)),IF($HD31=0,999999,IF(3=$HE31,IF(51=$HL31,IF($JD31=2,30,0),IF(51=$HM31,IF($JD31=1,30,0),ABS(3-$HF31)*100)),100000+ABS(3-$HE31)*1000+30)),IF($HG31=0,999999,IF(3=$HH31,IF(51=$HN31,IF($JE31=2,30,0),IF(51=$HO31,IF($JE31=1,30,0),ABS(3-$HI31)*100)),100000+ABS(3-$HH31)*1000+30)))-IF((51=$HJ31)+(51=$HK31)+(51=$HL31)+(51=$HM31)+(51=$HN31)+(51=$HO31)&gt;=2,50,0))+BB$5*50)</f>
        <v/>
      </c>
      <c r="BC151">
        <f>IF(OR($JF31=0,calcA!$A$6=0),0,IF(OR(52=$HA31,52=$HD31,52=$HG31),200000,MIN(IF($HA31=0,999999,IF(3=$HB31,IF(52=$HJ31,IF($JC31=2,30,0),IF(52=$HK31,IF($JC31=1,30,0),ABS(4-$HC31)*100)),100000+ABS(3-$HB31)*1000+40)),IF($HD31=0,999999,IF(3=$HE31,IF(52=$HL31,IF($JD31=2,30,0),IF(52=$HM31,IF($JD31=1,30,0),ABS(4-$HF31)*100)),100000+ABS(3-$HE31)*1000+40)),IF($HG31=0,999999,IF(3=$HH31,IF(52=$HN31,IF($JE31=2,30,0),IF(52=$HO31,IF($JE31=1,30,0),ABS(4-$HI31)*100)),100000+ABS(3-$HH31)*1000+40)))-IF((52=$HJ31)+(52=$HK31)+(52=$HL31)+(52=$HM31)+(52=$HN31)+(52=$HO31)&gt;=2,50,0))+BC$5*50)</f>
        <v/>
      </c>
      <c r="BD151">
        <f>IF(OR($JF31=0,calcA!$A$6=0),0,IF(OR(53=$HA31,53=$HD31,53=$HG31),200000,MIN(IF($HA31=0,999999,IF(3=$HB31,IF(53=$HJ31,IF($JC31=2,30,0),IF(53=$HK31,IF($JC31=1,30,0),ABS(5-$HC31)*100)),100000+ABS(3-$HB31)*1000+50)),IF($HD31=0,999999,IF(3=$HE31,IF(53=$HL31,IF($JD31=2,30,0),IF(53=$HM31,IF($JD31=1,30,0),ABS(5-$HF31)*100)),100000+ABS(3-$HE31)*1000+50)),IF($HG31=0,999999,IF(3=$HH31,IF(53=$HN31,IF($JE31=2,30,0),IF(53=$HO31,IF($JE31=1,30,0),ABS(5-$HI31)*100)),100000+ABS(3-$HH31)*1000+50)))-IF((53=$HJ31)+(53=$HK31)+(53=$HL31)+(53=$HM31)+(53=$HN31)+(53=$HO31)&gt;=2,50,0))+BD$5*50)</f>
        <v/>
      </c>
      <c r="BE151">
        <f>IF(OR($JF31=0,calcA!$A$6=0),0,IF(OR(54=$HA31,54=$HD31,54=$HG31),200000,MIN(IF($HA31=0,999999,IF(3=$HB31,IF(54=$HJ31,IF($JC31=2,30,0),IF(54=$HK31,IF($JC31=1,30,0),ABS(6-$HC31)*100)),100000+ABS(3-$HB31)*1000+60)),IF($HD31=0,999999,IF(3=$HE31,IF(54=$HL31,IF($JD31=2,30,0),IF(54=$HM31,IF($JD31=1,30,0),ABS(6-$HF31)*100)),100000+ABS(3-$HE31)*1000+60)),IF($HG31=0,999999,IF(3=$HH31,IF(54=$HN31,IF($JE31=2,30,0),IF(54=$HO31,IF($JE31=1,30,0),ABS(6-$HI31)*100)),100000+ABS(3-$HH31)*1000+60)))-IF((54=$HJ31)+(54=$HK31)+(54=$HL31)+(54=$HM31)+(54=$HN31)+(54=$HO31)&gt;=2,50,0))+BE$5*50)</f>
        <v/>
      </c>
      <c r="BF151">
        <f>IF(OR($JF31=0,calcA!$A$6=0),0,IF(OR(55=$HA31,55=$HD31,55=$HG31),200000,MIN(IF($HA31=0,999999,IF(3=$HB31,IF(55=$HJ31,IF($JC31=2,30,0),IF(55=$HK31,IF($JC31=1,30,0),ABS(7-$HC31)*100)),100000+ABS(3-$HB31)*1000+70)),IF($HD31=0,999999,IF(3=$HE31,IF(55=$HL31,IF($JD31=2,30,0),IF(55=$HM31,IF($JD31=1,30,0),ABS(7-$HF31)*100)),100000+ABS(3-$HE31)*1000+70)),IF($HG31=0,999999,IF(3=$HH31,IF(55=$HN31,IF($JE31=2,30,0),IF(55=$HO31,IF($JE31=1,30,0),ABS(7-$HI31)*100)),100000+ABS(3-$HH31)*1000+70)))-IF((55=$HJ31)+(55=$HK31)+(55=$HL31)+(55=$HM31)+(55=$HN31)+(55=$HO31)&gt;=2,50,0))+BF$5*50)</f>
        <v/>
      </c>
      <c r="BG151">
        <f>IF(OR($JF31=0,calcA!$A$6=0),0,IF(OR(56=$HA31,56=$HD31,56=$HG31),200000,MIN(IF($HA31=0,999999,IF(3=$HB31,IF(56=$HJ31,IF($JC31=2,30,0),IF(56=$HK31,IF($JC31=1,30,0),ABS(8-$HC31)*100)),100000+ABS(3-$HB31)*1000+80)),IF($HD31=0,999999,IF(3=$HE31,IF(56=$HL31,IF($JD31=2,30,0),IF(56=$HM31,IF($JD31=1,30,0),ABS(8-$HF31)*100)),100000+ABS(3-$HE31)*1000+80)),IF($HG31=0,999999,IF(3=$HH31,IF(56=$HN31,IF($JE31=2,30,0),IF(56=$HO31,IF($JE31=1,30,0),ABS(8-$HI31)*100)),100000+ABS(3-$HH31)*1000+80)))-IF((56=$HJ31)+(56=$HK31)+(56=$HL31)+(56=$HM31)+(56=$HN31)+(56=$HO31)&gt;=2,50,0))+BG$5*50)</f>
        <v/>
      </c>
      <c r="BH151">
        <f>IF(OR($JF31=0,calcA!$A$6=0),0,IF(OR(57=$HA31,57=$HD31,57=$HG31),200000,MIN(IF($HA31=0,999999,IF(3=$HB31,IF(57=$HJ31,IF($JC31=2,30,0),IF(57=$HK31,IF($JC31=1,30,0),ABS(9-$HC31)*100)),100000+ABS(3-$HB31)*1000+90)),IF($HD31=0,999999,IF(3=$HE31,IF(57=$HL31,IF($JD31=2,30,0),IF(57=$HM31,IF($JD31=1,30,0),ABS(9-$HF31)*100)),100000+ABS(3-$HE31)*1000+90)),IF($HG31=0,999999,IF(3=$HH31,IF(57=$HN31,IF($JE31=2,30,0),IF(57=$HO31,IF($JE31=1,30,0),ABS(9-$HI31)*100)),100000+ABS(3-$HH31)*1000+90)))-IF((57=$HJ31)+(57=$HK31)+(57=$HL31)+(57=$HM31)+(57=$HN31)+(57=$HO31)&gt;=2,50,0))+BH$5*50)</f>
        <v/>
      </c>
      <c r="BI151">
        <f>IF(OR($JF31=0,calcA!$A$6=0),0,IF(OR(58=$HA31,58=$HD31,58=$HG31),200000,MIN(IF($HA31=0,999999,IF(3=$HB31,IF(58=$HJ31,IF($JC31=2,30,0),IF(58=$HK31,IF($JC31=1,30,0),ABS(10-$HC31)*100)),100000+ABS(3-$HB31)*1000+100)),IF($HD31=0,999999,IF(3=$HE31,IF(58=$HL31,IF($JD31=2,30,0),IF(58=$HM31,IF($JD31=1,30,0),ABS(10-$HF31)*100)),100000+ABS(3-$HE31)*1000+100)),IF($HG31=0,999999,IF(3=$HH31,IF(58=$HN31,IF($JE31=2,30,0),IF(58=$HO31,IF($JE31=1,30,0),ABS(10-$HI31)*100)),100000+ABS(3-$HH31)*1000+100)))-IF((58=$HJ31)+(58=$HK31)+(58=$HL31)+(58=$HM31)+(58=$HN31)+(58=$HO31)&gt;=2,50,0))+BI$5*50)</f>
        <v/>
      </c>
      <c r="BJ151">
        <f>IF(OR($JF31=0,calcA!$A$6=0),0,IF(OR(59=$HA31,59=$HD31,59=$HG31),200000,MIN(IF($HA31=0,999999,IF(3=$HB31,IF(59=$HJ31,IF($JC31=2,30,0),IF(59=$HK31,IF($JC31=1,30,0),ABS(11-$HC31)*100)),100000+ABS(3-$HB31)*1000+110)),IF($HD31=0,999999,IF(3=$HE31,IF(59=$HL31,IF($JD31=2,30,0),IF(59=$HM31,IF($JD31=1,30,0),ABS(11-$HF31)*100)),100000+ABS(3-$HE31)*1000+110)),IF($HG31=0,999999,IF(3=$HH31,IF(59=$HN31,IF($JE31=2,30,0),IF(59=$HO31,IF($JE31=1,30,0),ABS(11-$HI31)*100)),100000+ABS(3-$HH31)*1000+110)))-IF((59=$HJ31)+(59=$HK31)+(59=$HL31)+(59=$HM31)+(59=$HN31)+(59=$HO31)&gt;=2,50,0))+BJ$5*50)</f>
        <v/>
      </c>
      <c r="BK151">
        <f>IF(OR($JF31=0,calcA!$A$6=0),0,IF(OR(60=$HA31,60=$HD31,60=$HG31),200000,MIN(IF($HA31=0,999999,IF(3=$HB31,IF(60=$HJ31,IF($JC31=2,30,0),IF(60=$HK31,IF($JC31=1,30,0),ABS(12-$HC31)*100)),100000+ABS(3-$HB31)*1000+120)),IF($HD31=0,999999,IF(3=$HE31,IF(60=$HL31,IF($JD31=2,30,0),IF(60=$HM31,IF($JD31=1,30,0),ABS(12-$HF31)*100)),100000+ABS(3-$HE31)*1000+120)),IF($HG31=0,999999,IF(3=$HH31,IF(60=$HN31,IF($JE31=2,30,0),IF(60=$HO31,IF($JE31=1,30,0),ABS(12-$HI31)*100)),100000+ABS(3-$HH31)*1000+120)))-IF((60=$HJ31)+(60=$HK31)+(60=$HL31)+(60=$HM31)+(60=$HN31)+(60=$HO31)&gt;=2,50,0))+BK$5*50)</f>
        <v/>
      </c>
      <c r="BL151">
        <f>IF(OR($JF31=0,calcA!$A$6=0),0,IF(OR(61=$HA31,61=$HD31,61=$HG31),200000,MIN(IF($HA31=0,999999,IF(3=$HB31,IF(61=$HJ31,IF($JC31=2,30,0),IF(61=$HK31,IF($JC31=1,30,0),ABS(13-$HC31)*100)),100000+ABS(3-$HB31)*1000+130)),IF($HD31=0,999999,IF(3=$HE31,IF(61=$HL31,IF($JD31=2,30,0),IF(61=$HM31,IF($JD31=1,30,0),ABS(13-$HF31)*100)),100000+ABS(3-$HE31)*1000+130)),IF($HG31=0,999999,IF(3=$HH31,IF(61=$HN31,IF($JE31=2,30,0),IF(61=$HO31,IF($JE31=1,30,0),ABS(13-$HI31)*100)),100000+ABS(3-$HH31)*1000+130)))-IF((61=$HJ31)+(61=$HK31)+(61=$HL31)+(61=$HM31)+(61=$HN31)+(61=$HO31)&gt;=2,50,0))+BL$5*50)</f>
        <v/>
      </c>
      <c r="BM151">
        <f>IF(OR($JF31=0,calcA!$A$6=0),0,IF(OR(62=$HA31,62=$HD31,62=$HG31),200000,MIN(IF($HA31=0,999999,IF(3=$HB31,IF(62=$HJ31,IF($JC31=2,30,0),IF(62=$HK31,IF($JC31=1,30,0),ABS(14-$HC31)*100)),100000+ABS(3-$HB31)*1000+140)),IF($HD31=0,999999,IF(3=$HE31,IF(62=$HL31,IF($JD31=2,30,0),IF(62=$HM31,IF($JD31=1,30,0),ABS(14-$HF31)*100)),100000+ABS(3-$HE31)*1000+140)),IF($HG31=0,999999,IF(3=$HH31,IF(62=$HN31,IF($JE31=2,30,0),IF(62=$HO31,IF($JE31=1,30,0),ABS(14-$HI31)*100)),100000+ABS(3-$HH31)*1000+140)))-IF((62=$HJ31)+(62=$HK31)+(62=$HL31)+(62=$HM31)+(62=$HN31)+(62=$HO31)&gt;=2,50,0))+BM$5*50)</f>
        <v/>
      </c>
      <c r="BN151">
        <f>IF(OR($JF31=0,calcA!$A$6=0),0,IF(OR(63=$HA31,63=$HD31,63=$HG31),200000,MIN(IF($HA31=0,999999,IF(3=$HB31,IF(63=$HJ31,IF($JC31=2,30,0),IF(63=$HK31,IF($JC31=1,30,0),ABS(15-$HC31)*100)),100000+ABS(3-$HB31)*1000+150)),IF($HD31=0,999999,IF(3=$HE31,IF(63=$HL31,IF($JD31=2,30,0),IF(63=$HM31,IF($JD31=1,30,0),ABS(15-$HF31)*100)),100000+ABS(3-$HE31)*1000+150)),IF($HG31=0,999999,IF(3=$HH31,IF(63=$HN31,IF($JE31=2,30,0),IF(63=$HO31,IF($JE31=1,30,0),ABS(15-$HI31)*100)),100000+ABS(3-$HH31)*1000+150)))-IF((63=$HJ31)+(63=$HK31)+(63=$HL31)+(63=$HM31)+(63=$HN31)+(63=$HO31)&gt;=2,50,0))+BN$5*50)</f>
        <v/>
      </c>
      <c r="BO151">
        <f>IF(OR($JF31=0,calcA!$A$6=0),0,IF(OR(64=$HA31,64=$HD31,64=$HG31),200000,MIN(IF($HA31=0,999999,IF(3=$HB31,IF(64=$HJ31,IF($JC31=2,30,0),IF(64=$HK31,IF($JC31=1,30,0),ABS(16-$HC31)*100)),100000+ABS(3-$HB31)*1000+160)),IF($HD31=0,999999,IF(3=$HE31,IF(64=$HL31,IF($JD31=2,30,0),IF(64=$HM31,IF($JD31=1,30,0),ABS(16-$HF31)*100)),100000+ABS(3-$HE31)*1000+160)),IF($HG31=0,999999,IF(3=$HH31,IF(64=$HN31,IF($JE31=2,30,0),IF(64=$HO31,IF($JE31=1,30,0),ABS(16-$HI31)*100)),100000+ABS(3-$HH31)*1000+160)))-IF((64=$HJ31)+(64=$HK31)+(64=$HL31)+(64=$HM31)+(64=$HN31)+(64=$HO31)&gt;=2,50,0))+BO$5*50)</f>
        <v/>
      </c>
      <c r="BP151">
        <f>IF(OR($JF31=0,calcA!$A$6=0),0,IF(OR(65=$HA31,65=$HD31,65=$HG31),200000,MIN(IF($HA31=0,999999,IF(3=$HB31,IF(65=$HJ31,IF($JC31=2,30,0),IF(65=$HK31,IF($JC31=1,30,0),ABS(17-$HC31)*100)),100000+ABS(3-$HB31)*1000+170)),IF($HD31=0,999999,IF(3=$HE31,IF(65=$HL31,IF($JD31=2,30,0),IF(65=$HM31,IF($JD31=1,30,0),ABS(17-$HF31)*100)),100000+ABS(3-$HE31)*1000+170)),IF($HG31=0,999999,IF(3=$HH31,IF(65=$HN31,IF($JE31=2,30,0),IF(65=$HO31,IF($JE31=1,30,0),ABS(17-$HI31)*100)),100000+ABS(3-$HH31)*1000+170)))-IF((65=$HJ31)+(65=$HK31)+(65=$HL31)+(65=$HM31)+(65=$HN31)+(65=$HO31)&gt;=2,50,0))+BP$5*50)</f>
        <v/>
      </c>
      <c r="BQ151">
        <f>IF(OR($JF31=0,calcA!$A$6=0),0,IF(OR(66=$HA31,66=$HD31,66=$HG31),200000,MIN(IF($HA31=0,999999,IF(3=$HB31,IF(66=$HJ31,IF($JC31=2,30,0),IF(66=$HK31,IF($JC31=1,30,0),ABS(18-$HC31)*100)),100000+ABS(3-$HB31)*1000+180)),IF($HD31=0,999999,IF(3=$HE31,IF(66=$HL31,IF($JD31=2,30,0),IF(66=$HM31,IF($JD31=1,30,0),ABS(18-$HF31)*100)),100000+ABS(3-$HE31)*1000+180)),IF($HG31=0,999999,IF(3=$HH31,IF(66=$HN31,IF($JE31=2,30,0),IF(66=$HO31,IF($JE31=1,30,0),ABS(18-$HI31)*100)),100000+ABS(3-$HH31)*1000+180)))-IF((66=$HJ31)+(66=$HK31)+(66=$HL31)+(66=$HM31)+(66=$HN31)+(66=$HO31)&gt;=2,50,0))+BQ$5*50)</f>
        <v/>
      </c>
      <c r="BR151">
        <f>IF(OR($JF31=0,calcA!$A$6=0),0,IF(OR(67=$HA31,67=$HD31,67=$HG31),200000,MIN(IF($HA31=0,999999,IF(3=$HB31,IF(67=$HJ31,IF($JC31=2,30,0),IF(67=$HK31,IF($JC31=1,30,0),ABS(19-$HC31)*100)),100000+ABS(3-$HB31)*1000+190)),IF($HD31=0,999999,IF(3=$HE31,IF(67=$HL31,IF($JD31=2,30,0),IF(67=$HM31,IF($JD31=1,30,0),ABS(19-$HF31)*100)),100000+ABS(3-$HE31)*1000+190)),IF($HG31=0,999999,IF(3=$HH31,IF(67=$HN31,IF($JE31=2,30,0),IF(67=$HO31,IF($JE31=1,30,0),ABS(19-$HI31)*100)),100000+ABS(3-$HH31)*1000+190)))-IF((67=$HJ31)+(67=$HK31)+(67=$HL31)+(67=$HM31)+(67=$HN31)+(67=$HO31)&gt;=2,50,0))+BR$5*50)</f>
        <v/>
      </c>
      <c r="BS151">
        <f>IF(OR($JF31=0,calcA!$A$6=0),0,IF(OR(68=$HA31,68=$HD31,68=$HG31),200000,MIN(IF($HA31=0,999999,IF(3=$HB31,IF(68=$HJ31,IF($JC31=2,30,0),IF(68=$HK31,IF($JC31=1,30,0),ABS(20-$HC31)*100)),100000+ABS(3-$HB31)*1000+200)),IF($HD31=0,999999,IF(3=$HE31,IF(68=$HL31,IF($JD31=2,30,0),IF(68=$HM31,IF($JD31=1,30,0),ABS(20-$HF31)*100)),100000+ABS(3-$HE31)*1000+200)),IF($HG31=0,999999,IF(3=$HH31,IF(68=$HN31,IF($JE31=2,30,0),IF(68=$HO31,IF($JE31=1,30,0),ABS(20-$HI31)*100)),100000+ABS(3-$HH31)*1000+200)))-IF((68=$HJ31)+(68=$HK31)+(68=$HL31)+(68=$HM31)+(68=$HN31)+(68=$HO31)&gt;=2,50,0))+BS$5*50)</f>
        <v/>
      </c>
      <c r="BT151">
        <f>IF(OR($JF31=0,calcA!$A$6=0),0,IF(OR(69=$HA31,69=$HD31,69=$HG31),200000,MIN(IF($HA31=0,999999,IF(3=$HB31,IF(69=$HJ31,IF($JC31=2,30,0),IF(69=$HK31,IF($JC31=1,30,0),ABS(21-$HC31)*100)),100000+ABS(3-$HB31)*1000+210)),IF($HD31=0,999999,IF(3=$HE31,IF(69=$HL31,IF($JD31=2,30,0),IF(69=$HM31,IF($JD31=1,30,0),ABS(21-$HF31)*100)),100000+ABS(3-$HE31)*1000+210)),IF($HG31=0,999999,IF(3=$HH31,IF(69=$HN31,IF($JE31=2,30,0),IF(69=$HO31,IF($JE31=1,30,0),ABS(21-$HI31)*100)),100000+ABS(3-$HH31)*1000+210)))-IF((69=$HJ31)+(69=$HK31)+(69=$HL31)+(69=$HM31)+(69=$HN31)+(69=$HO31)&gt;=2,50,0))+BT$5*50)</f>
        <v/>
      </c>
      <c r="BU151">
        <f>IF(OR($JF31=0,calcA!$A$6=0),0,IF(OR(70=$HA31,70=$HD31,70=$HG31),200000,MIN(IF($HA31=0,999999,IF(3=$HB31,IF(70=$HJ31,IF($JC31=2,30,0),IF(70=$HK31,IF($JC31=1,30,0),ABS(22-$HC31)*100)),100000+ABS(3-$HB31)*1000+220)),IF($HD31=0,999999,IF(3=$HE31,IF(70=$HL31,IF($JD31=2,30,0),IF(70=$HM31,IF($JD31=1,30,0),ABS(22-$HF31)*100)),100000+ABS(3-$HE31)*1000+220)),IF($HG31=0,999999,IF(3=$HH31,IF(70=$HN31,IF($JE31=2,30,0),IF(70=$HO31,IF($JE31=1,30,0),ABS(22-$HI31)*100)),100000+ABS(3-$HH31)*1000+220)))-IF((70=$HJ31)+(70=$HK31)+(70=$HL31)+(70=$HM31)+(70=$HN31)+(70=$HO31)&gt;=2,50,0))+BU$5*50)</f>
        <v/>
      </c>
      <c r="BV151">
        <f>IF(OR($JF31=0,calcA!$A$6=0),0,IF(OR(71=$HA31,71=$HD31,71=$HG31),200000,MIN(IF($HA31=0,999999,IF(3=$HB31,IF(71=$HJ31,IF($JC31=2,30,0),IF(71=$HK31,IF($JC31=1,30,0),ABS(23-$HC31)*100)),100000+ABS(3-$HB31)*1000+230)),IF($HD31=0,999999,IF(3=$HE31,IF(71=$HL31,IF($JD31=2,30,0),IF(71=$HM31,IF($JD31=1,30,0),ABS(23-$HF31)*100)),100000+ABS(3-$HE31)*1000+230)),IF($HG31=0,999999,IF(3=$HH31,IF(71=$HN31,IF($JE31=2,30,0),IF(71=$HO31,IF($JE31=1,30,0),ABS(23-$HI31)*100)),100000+ABS(3-$HH31)*1000+230)))-IF((71=$HJ31)+(71=$HK31)+(71=$HL31)+(71=$HM31)+(71=$HN31)+(71=$HO31)&gt;=2,50,0))+BV$5*50)</f>
        <v/>
      </c>
      <c r="BW151">
        <f>IF(OR($JF31=0,calcA!$A$6=0),0,IF(OR(72=$HA31,72=$HD31,72=$HG31),200000,MIN(IF($HA31=0,999999,IF(3=$HB31,IF(72=$HJ31,IF($JC31=2,30,0),IF(72=$HK31,IF($JC31=1,30,0),ABS(24-$HC31)*100)),100000+ABS(3-$HB31)*1000+240)),IF($HD31=0,999999,IF(3=$HE31,IF(72=$HL31,IF($JD31=2,30,0),IF(72=$HM31,IF($JD31=1,30,0),ABS(24-$HF31)*100)),100000+ABS(3-$HE31)*1000+240)),IF($HG31=0,999999,IF(3=$HH31,IF(72=$HN31,IF($JE31=2,30,0),IF(72=$HO31,IF($JE31=1,30,0),ABS(24-$HI31)*100)),100000+ABS(3-$HH31)*1000+240)))-IF((72=$HJ31)+(72=$HK31)+(72=$HL31)+(72=$HM31)+(72=$HN31)+(72=$HO31)&gt;=2,50,0))+BW$5*50)</f>
        <v/>
      </c>
      <c r="BX151">
        <f>IF(OR($JF31=0,calcA!$A$6=0),0,IF(OR(73=$HA31,73=$HD31,73=$HG31),200000,MIN(IF($HA31=0,999999,IF(4=$HB31,IF(73=$HJ31,IF($JC31=2,30,0),IF(73=$HK31,IF($JC31=1,30,0),ABS(1-$HC31)*100)),100000+ABS(4-$HB31)*1000+10)),IF($HD31=0,999999,IF(4=$HE31,IF(73=$HL31,IF($JD31=2,30,0),IF(73=$HM31,IF($JD31=1,30,0),ABS(1-$HF31)*100)),100000+ABS(4-$HE31)*1000+10)),IF($HG31=0,999999,IF(4=$HH31,IF(73=$HN31,IF($JE31=2,30,0),IF(73=$HO31,IF($JE31=1,30,0),ABS(1-$HI31)*100)),100000+ABS(4-$HH31)*1000+10)))-IF((73=$HJ31)+(73=$HK31)+(73=$HL31)+(73=$HM31)+(73=$HN31)+(73=$HO31)&gt;=2,50,0))+BX$5*50)</f>
        <v/>
      </c>
      <c r="BY151">
        <f>IF(OR($JF31=0,calcA!$A$6=0),0,IF(OR(74=$HA31,74=$HD31,74=$HG31),200000,MIN(IF($HA31=0,999999,IF(4=$HB31,IF(74=$HJ31,IF($JC31=2,30,0),IF(74=$HK31,IF($JC31=1,30,0),ABS(2-$HC31)*100)),100000+ABS(4-$HB31)*1000+20)),IF($HD31=0,999999,IF(4=$HE31,IF(74=$HL31,IF($JD31=2,30,0),IF(74=$HM31,IF($JD31=1,30,0),ABS(2-$HF31)*100)),100000+ABS(4-$HE31)*1000+20)),IF($HG31=0,999999,IF(4=$HH31,IF(74=$HN31,IF($JE31=2,30,0),IF(74=$HO31,IF($JE31=1,30,0),ABS(2-$HI31)*100)),100000+ABS(4-$HH31)*1000+20)))-IF((74=$HJ31)+(74=$HK31)+(74=$HL31)+(74=$HM31)+(74=$HN31)+(74=$HO31)&gt;=2,50,0))+BY$5*50)</f>
        <v/>
      </c>
      <c r="BZ151">
        <f>IF(OR($JF31=0,calcA!$A$6=0),0,IF(OR(75=$HA31,75=$HD31,75=$HG31),200000,MIN(IF($HA31=0,999999,IF(4=$HB31,IF(75=$HJ31,IF($JC31=2,30,0),IF(75=$HK31,IF($JC31=1,30,0),ABS(3-$HC31)*100)),100000+ABS(4-$HB31)*1000+30)),IF($HD31=0,999999,IF(4=$HE31,IF(75=$HL31,IF($JD31=2,30,0),IF(75=$HM31,IF($JD31=1,30,0),ABS(3-$HF31)*100)),100000+ABS(4-$HE31)*1000+30)),IF($HG31=0,999999,IF(4=$HH31,IF(75=$HN31,IF($JE31=2,30,0),IF(75=$HO31,IF($JE31=1,30,0),ABS(3-$HI31)*100)),100000+ABS(4-$HH31)*1000+30)))-IF((75=$HJ31)+(75=$HK31)+(75=$HL31)+(75=$HM31)+(75=$HN31)+(75=$HO31)&gt;=2,50,0))+BZ$5*50)</f>
        <v/>
      </c>
      <c r="CA151">
        <f>IF(OR($JF31=0,calcA!$A$6=0),0,IF(OR(76=$HA31,76=$HD31,76=$HG31),200000,MIN(IF($HA31=0,999999,IF(4=$HB31,IF(76=$HJ31,IF($JC31=2,30,0),IF(76=$HK31,IF($JC31=1,30,0),ABS(4-$HC31)*100)),100000+ABS(4-$HB31)*1000+40)),IF($HD31=0,999999,IF(4=$HE31,IF(76=$HL31,IF($JD31=2,30,0),IF(76=$HM31,IF($JD31=1,30,0),ABS(4-$HF31)*100)),100000+ABS(4-$HE31)*1000+40)),IF($HG31=0,999999,IF(4=$HH31,IF(76=$HN31,IF($JE31=2,30,0),IF(76=$HO31,IF($JE31=1,30,0),ABS(4-$HI31)*100)),100000+ABS(4-$HH31)*1000+40)))-IF((76=$HJ31)+(76=$HK31)+(76=$HL31)+(76=$HM31)+(76=$HN31)+(76=$HO31)&gt;=2,50,0))+CA$5*50)</f>
        <v/>
      </c>
      <c r="CB151">
        <f>IF(OR($JF31=0,calcA!$A$6=0),0,IF(OR(77=$HA31,77=$HD31,77=$HG31),200000,MIN(IF($HA31=0,999999,IF(4=$HB31,IF(77=$HJ31,IF($JC31=2,30,0),IF(77=$HK31,IF($JC31=1,30,0),ABS(5-$HC31)*100)),100000+ABS(4-$HB31)*1000+50)),IF($HD31=0,999999,IF(4=$HE31,IF(77=$HL31,IF($JD31=2,30,0),IF(77=$HM31,IF($JD31=1,30,0),ABS(5-$HF31)*100)),100000+ABS(4-$HE31)*1000+50)),IF($HG31=0,999999,IF(4=$HH31,IF(77=$HN31,IF($JE31=2,30,0),IF(77=$HO31,IF($JE31=1,30,0),ABS(5-$HI31)*100)),100000+ABS(4-$HH31)*1000+50)))-IF((77=$HJ31)+(77=$HK31)+(77=$HL31)+(77=$HM31)+(77=$HN31)+(77=$HO31)&gt;=2,50,0))+CB$5*50)</f>
        <v/>
      </c>
      <c r="CC151">
        <f>IF(OR($JF31=0,calcA!$A$6=0),0,IF(OR(78=$HA31,78=$HD31,78=$HG31),200000,MIN(IF($HA31=0,999999,IF(4=$HB31,IF(78=$HJ31,IF($JC31=2,30,0),IF(78=$HK31,IF($JC31=1,30,0),ABS(6-$HC31)*100)),100000+ABS(4-$HB31)*1000+60)),IF($HD31=0,999999,IF(4=$HE31,IF(78=$HL31,IF($JD31=2,30,0),IF(78=$HM31,IF($JD31=1,30,0),ABS(6-$HF31)*100)),100000+ABS(4-$HE31)*1000+60)),IF($HG31=0,999999,IF(4=$HH31,IF(78=$HN31,IF($JE31=2,30,0),IF(78=$HO31,IF($JE31=1,30,0),ABS(6-$HI31)*100)),100000+ABS(4-$HH31)*1000+60)))-IF((78=$HJ31)+(78=$HK31)+(78=$HL31)+(78=$HM31)+(78=$HN31)+(78=$HO31)&gt;=2,50,0))+CC$5*50)</f>
        <v/>
      </c>
      <c r="CD151">
        <f>IF(OR($JF31=0,calcA!$A$6=0),0,IF(OR(79=$HA31,79=$HD31,79=$HG31),200000,MIN(IF($HA31=0,999999,IF(4=$HB31,IF(79=$HJ31,IF($JC31=2,30,0),IF(79=$HK31,IF($JC31=1,30,0),ABS(7-$HC31)*100)),100000+ABS(4-$HB31)*1000+70)),IF($HD31=0,999999,IF(4=$HE31,IF(79=$HL31,IF($JD31=2,30,0),IF(79=$HM31,IF($JD31=1,30,0),ABS(7-$HF31)*100)),100000+ABS(4-$HE31)*1000+70)),IF($HG31=0,999999,IF(4=$HH31,IF(79=$HN31,IF($JE31=2,30,0),IF(79=$HO31,IF($JE31=1,30,0),ABS(7-$HI31)*100)),100000+ABS(4-$HH31)*1000+70)))-IF((79=$HJ31)+(79=$HK31)+(79=$HL31)+(79=$HM31)+(79=$HN31)+(79=$HO31)&gt;=2,50,0))+CD$5*50)</f>
        <v/>
      </c>
      <c r="CE151">
        <f>IF(OR($JF31=0,calcA!$A$6=0),0,IF(OR(80=$HA31,80=$HD31,80=$HG31),200000,MIN(IF($HA31=0,999999,IF(4=$HB31,IF(80=$HJ31,IF($JC31=2,30,0),IF(80=$HK31,IF($JC31=1,30,0),ABS(8-$HC31)*100)),100000+ABS(4-$HB31)*1000+80)),IF($HD31=0,999999,IF(4=$HE31,IF(80=$HL31,IF($JD31=2,30,0),IF(80=$HM31,IF($JD31=1,30,0),ABS(8-$HF31)*100)),100000+ABS(4-$HE31)*1000+80)),IF($HG31=0,999999,IF(4=$HH31,IF(80=$HN31,IF($JE31=2,30,0),IF(80=$HO31,IF($JE31=1,30,0),ABS(8-$HI31)*100)),100000+ABS(4-$HH31)*1000+80)))-IF((80=$HJ31)+(80=$HK31)+(80=$HL31)+(80=$HM31)+(80=$HN31)+(80=$HO31)&gt;=2,50,0))+CE$5*50)</f>
        <v/>
      </c>
      <c r="CF151">
        <f>IF(OR($JF31=0,calcA!$A$6=0),0,IF(OR(81=$HA31,81=$HD31,81=$HG31),200000,MIN(IF($HA31=0,999999,IF(4=$HB31,IF(81=$HJ31,IF($JC31=2,30,0),IF(81=$HK31,IF($JC31=1,30,0),ABS(9-$HC31)*100)),100000+ABS(4-$HB31)*1000+90)),IF($HD31=0,999999,IF(4=$HE31,IF(81=$HL31,IF($JD31=2,30,0),IF(81=$HM31,IF($JD31=1,30,0),ABS(9-$HF31)*100)),100000+ABS(4-$HE31)*1000+90)),IF($HG31=0,999999,IF(4=$HH31,IF(81=$HN31,IF($JE31=2,30,0),IF(81=$HO31,IF($JE31=1,30,0),ABS(9-$HI31)*100)),100000+ABS(4-$HH31)*1000+90)))-IF((81=$HJ31)+(81=$HK31)+(81=$HL31)+(81=$HM31)+(81=$HN31)+(81=$HO31)&gt;=2,50,0))+CF$5*50)</f>
        <v/>
      </c>
      <c r="CG151">
        <f>IF(OR($JF31=0,calcA!$A$6=0),0,IF(OR(82=$HA31,82=$HD31,82=$HG31),200000,MIN(IF($HA31=0,999999,IF(4=$HB31,IF(82=$HJ31,IF($JC31=2,30,0),IF(82=$HK31,IF($JC31=1,30,0),ABS(10-$HC31)*100)),100000+ABS(4-$HB31)*1000+100)),IF($HD31=0,999999,IF(4=$HE31,IF(82=$HL31,IF($JD31=2,30,0),IF(82=$HM31,IF($JD31=1,30,0),ABS(10-$HF31)*100)),100000+ABS(4-$HE31)*1000+100)),IF($HG31=0,999999,IF(4=$HH31,IF(82=$HN31,IF($JE31=2,30,0),IF(82=$HO31,IF($JE31=1,30,0),ABS(10-$HI31)*100)),100000+ABS(4-$HH31)*1000+100)))-IF((82=$HJ31)+(82=$HK31)+(82=$HL31)+(82=$HM31)+(82=$HN31)+(82=$HO31)&gt;=2,50,0))+CG$5*50)</f>
        <v/>
      </c>
      <c r="CH151">
        <f>IF(OR($JF31=0,calcA!$A$6=0),0,IF(OR(83=$HA31,83=$HD31,83=$HG31),200000,MIN(IF($HA31=0,999999,IF(4=$HB31,IF(83=$HJ31,IF($JC31=2,30,0),IF(83=$HK31,IF($JC31=1,30,0),ABS(11-$HC31)*100)),100000+ABS(4-$HB31)*1000+110)),IF($HD31=0,999999,IF(4=$HE31,IF(83=$HL31,IF($JD31=2,30,0),IF(83=$HM31,IF($JD31=1,30,0),ABS(11-$HF31)*100)),100000+ABS(4-$HE31)*1000+110)),IF($HG31=0,999999,IF(4=$HH31,IF(83=$HN31,IF($JE31=2,30,0),IF(83=$HO31,IF($JE31=1,30,0),ABS(11-$HI31)*100)),100000+ABS(4-$HH31)*1000+110)))-IF((83=$HJ31)+(83=$HK31)+(83=$HL31)+(83=$HM31)+(83=$HN31)+(83=$HO31)&gt;=2,50,0))+CH$5*50)</f>
        <v/>
      </c>
      <c r="CI151">
        <f>IF(OR($JF31=0,calcA!$A$6=0),0,IF(OR(84=$HA31,84=$HD31,84=$HG31),200000,MIN(IF($HA31=0,999999,IF(4=$HB31,IF(84=$HJ31,IF($JC31=2,30,0),IF(84=$HK31,IF($JC31=1,30,0),ABS(12-$HC31)*100)),100000+ABS(4-$HB31)*1000+120)),IF($HD31=0,999999,IF(4=$HE31,IF(84=$HL31,IF($JD31=2,30,0),IF(84=$HM31,IF($JD31=1,30,0),ABS(12-$HF31)*100)),100000+ABS(4-$HE31)*1000+120)),IF($HG31=0,999999,IF(4=$HH31,IF(84=$HN31,IF($JE31=2,30,0),IF(84=$HO31,IF($JE31=1,30,0),ABS(12-$HI31)*100)),100000+ABS(4-$HH31)*1000+120)))-IF((84=$HJ31)+(84=$HK31)+(84=$HL31)+(84=$HM31)+(84=$HN31)+(84=$HO31)&gt;=2,50,0))+CI$5*50)</f>
        <v/>
      </c>
      <c r="CJ151">
        <f>IF(OR($JF31=0,calcA!$A$6=0),0,IF(OR(85=$HA31,85=$HD31,85=$HG31),200000,MIN(IF($HA31=0,999999,IF(4=$HB31,IF(85=$HJ31,IF($JC31=2,30,0),IF(85=$HK31,IF($JC31=1,30,0),ABS(13-$HC31)*100)),100000+ABS(4-$HB31)*1000+130)),IF($HD31=0,999999,IF(4=$HE31,IF(85=$HL31,IF($JD31=2,30,0),IF(85=$HM31,IF($JD31=1,30,0),ABS(13-$HF31)*100)),100000+ABS(4-$HE31)*1000+130)),IF($HG31=0,999999,IF(4=$HH31,IF(85=$HN31,IF($JE31=2,30,0),IF(85=$HO31,IF($JE31=1,30,0),ABS(13-$HI31)*100)),100000+ABS(4-$HH31)*1000+130)))-IF((85=$HJ31)+(85=$HK31)+(85=$HL31)+(85=$HM31)+(85=$HN31)+(85=$HO31)&gt;=2,50,0))+CJ$5*50)</f>
        <v/>
      </c>
      <c r="CK151">
        <f>IF(OR($JF31=0,calcA!$A$6=0),0,IF(OR(86=$HA31,86=$HD31,86=$HG31),200000,MIN(IF($HA31=0,999999,IF(4=$HB31,IF(86=$HJ31,IF($JC31=2,30,0),IF(86=$HK31,IF($JC31=1,30,0),ABS(14-$HC31)*100)),100000+ABS(4-$HB31)*1000+140)),IF($HD31=0,999999,IF(4=$HE31,IF(86=$HL31,IF($JD31=2,30,0),IF(86=$HM31,IF($JD31=1,30,0),ABS(14-$HF31)*100)),100000+ABS(4-$HE31)*1000+140)),IF($HG31=0,999999,IF(4=$HH31,IF(86=$HN31,IF($JE31=2,30,0),IF(86=$HO31,IF($JE31=1,30,0),ABS(14-$HI31)*100)),100000+ABS(4-$HH31)*1000+140)))-IF((86=$HJ31)+(86=$HK31)+(86=$HL31)+(86=$HM31)+(86=$HN31)+(86=$HO31)&gt;=2,50,0))+CK$5*50)</f>
        <v/>
      </c>
      <c r="CL151">
        <f>IF(OR($JF31=0,calcA!$A$6=0),0,IF(OR(87=$HA31,87=$HD31,87=$HG31),200000,MIN(IF($HA31=0,999999,IF(4=$HB31,IF(87=$HJ31,IF($JC31=2,30,0),IF(87=$HK31,IF($JC31=1,30,0),ABS(15-$HC31)*100)),100000+ABS(4-$HB31)*1000+150)),IF($HD31=0,999999,IF(4=$HE31,IF(87=$HL31,IF($JD31=2,30,0),IF(87=$HM31,IF($JD31=1,30,0),ABS(15-$HF31)*100)),100000+ABS(4-$HE31)*1000+150)),IF($HG31=0,999999,IF(4=$HH31,IF(87=$HN31,IF($JE31=2,30,0),IF(87=$HO31,IF($JE31=1,30,0),ABS(15-$HI31)*100)),100000+ABS(4-$HH31)*1000+150)))-IF((87=$HJ31)+(87=$HK31)+(87=$HL31)+(87=$HM31)+(87=$HN31)+(87=$HO31)&gt;=2,50,0))+CL$5*50)</f>
        <v/>
      </c>
      <c r="CM151">
        <f>IF(OR($JF31=0,calcA!$A$6=0),0,IF(OR(88=$HA31,88=$HD31,88=$HG31),200000,MIN(IF($HA31=0,999999,IF(4=$HB31,IF(88=$HJ31,IF($JC31=2,30,0),IF(88=$HK31,IF($JC31=1,30,0),ABS(16-$HC31)*100)),100000+ABS(4-$HB31)*1000+160)),IF($HD31=0,999999,IF(4=$HE31,IF(88=$HL31,IF($JD31=2,30,0),IF(88=$HM31,IF($JD31=1,30,0),ABS(16-$HF31)*100)),100000+ABS(4-$HE31)*1000+160)),IF($HG31=0,999999,IF(4=$HH31,IF(88=$HN31,IF($JE31=2,30,0),IF(88=$HO31,IF($JE31=1,30,0),ABS(16-$HI31)*100)),100000+ABS(4-$HH31)*1000+160)))-IF((88=$HJ31)+(88=$HK31)+(88=$HL31)+(88=$HM31)+(88=$HN31)+(88=$HO31)&gt;=2,50,0))+CM$5*50)</f>
        <v/>
      </c>
      <c r="CN151">
        <f>IF(OR($JF31=0,calcA!$A$6=0),0,IF(OR(89=$HA31,89=$HD31,89=$HG31),200000,MIN(IF($HA31=0,999999,IF(4=$HB31,IF(89=$HJ31,IF($JC31=2,30,0),IF(89=$HK31,IF($JC31=1,30,0),ABS(17-$HC31)*100)),100000+ABS(4-$HB31)*1000+170)),IF($HD31=0,999999,IF(4=$HE31,IF(89=$HL31,IF($JD31=2,30,0),IF(89=$HM31,IF($JD31=1,30,0),ABS(17-$HF31)*100)),100000+ABS(4-$HE31)*1000+170)),IF($HG31=0,999999,IF(4=$HH31,IF(89=$HN31,IF($JE31=2,30,0),IF(89=$HO31,IF($JE31=1,30,0),ABS(17-$HI31)*100)),100000+ABS(4-$HH31)*1000+170)))-IF((89=$HJ31)+(89=$HK31)+(89=$HL31)+(89=$HM31)+(89=$HN31)+(89=$HO31)&gt;=2,50,0))+CN$5*50)</f>
        <v/>
      </c>
      <c r="CO151">
        <f>IF(OR($JF31=0,calcA!$A$6=0),0,IF(OR(90=$HA31,90=$HD31,90=$HG31),200000,MIN(IF($HA31=0,999999,IF(4=$HB31,IF(90=$HJ31,IF($JC31=2,30,0),IF(90=$HK31,IF($JC31=1,30,0),ABS(18-$HC31)*100)),100000+ABS(4-$HB31)*1000+180)),IF($HD31=0,999999,IF(4=$HE31,IF(90=$HL31,IF($JD31=2,30,0),IF(90=$HM31,IF($JD31=1,30,0),ABS(18-$HF31)*100)),100000+ABS(4-$HE31)*1000+180)),IF($HG31=0,999999,IF(4=$HH31,IF(90=$HN31,IF($JE31=2,30,0),IF(90=$HO31,IF($JE31=1,30,0),ABS(18-$HI31)*100)),100000+ABS(4-$HH31)*1000+180)))-IF((90=$HJ31)+(90=$HK31)+(90=$HL31)+(90=$HM31)+(90=$HN31)+(90=$HO31)&gt;=2,50,0))+CO$5*50)</f>
        <v/>
      </c>
      <c r="CP151">
        <f>IF(OR($JF31=0,calcA!$A$6=0),0,IF(OR(91=$HA31,91=$HD31,91=$HG31),200000,MIN(IF($HA31=0,999999,IF(4=$HB31,IF(91=$HJ31,IF($JC31=2,30,0),IF(91=$HK31,IF($JC31=1,30,0),ABS(19-$HC31)*100)),100000+ABS(4-$HB31)*1000+190)),IF($HD31=0,999999,IF(4=$HE31,IF(91=$HL31,IF($JD31=2,30,0),IF(91=$HM31,IF($JD31=1,30,0),ABS(19-$HF31)*100)),100000+ABS(4-$HE31)*1000+190)),IF($HG31=0,999999,IF(4=$HH31,IF(91=$HN31,IF($JE31=2,30,0),IF(91=$HO31,IF($JE31=1,30,0),ABS(19-$HI31)*100)),100000+ABS(4-$HH31)*1000+190)))-IF((91=$HJ31)+(91=$HK31)+(91=$HL31)+(91=$HM31)+(91=$HN31)+(91=$HO31)&gt;=2,50,0))+CP$5*50)</f>
        <v/>
      </c>
      <c r="CQ151">
        <f>IF(OR($JF31=0,calcA!$A$6=0),0,IF(OR(92=$HA31,92=$HD31,92=$HG31),200000,MIN(IF($HA31=0,999999,IF(4=$HB31,IF(92=$HJ31,IF($JC31=2,30,0),IF(92=$HK31,IF($JC31=1,30,0),ABS(20-$HC31)*100)),100000+ABS(4-$HB31)*1000+200)),IF($HD31=0,999999,IF(4=$HE31,IF(92=$HL31,IF($JD31=2,30,0),IF(92=$HM31,IF($JD31=1,30,0),ABS(20-$HF31)*100)),100000+ABS(4-$HE31)*1000+200)),IF($HG31=0,999999,IF(4=$HH31,IF(92=$HN31,IF($JE31=2,30,0),IF(92=$HO31,IF($JE31=1,30,0),ABS(20-$HI31)*100)),100000+ABS(4-$HH31)*1000+200)))-IF((92=$HJ31)+(92=$HK31)+(92=$HL31)+(92=$HM31)+(92=$HN31)+(92=$HO31)&gt;=2,50,0))+CQ$5*50)</f>
        <v/>
      </c>
      <c r="CR151">
        <f>IF(OR($JF31=0,calcA!$A$6=0),0,IF(OR(93=$HA31,93=$HD31,93=$HG31),200000,MIN(IF($HA31=0,999999,IF(4=$HB31,IF(93=$HJ31,IF($JC31=2,30,0),IF(93=$HK31,IF($JC31=1,30,0),ABS(21-$HC31)*100)),100000+ABS(4-$HB31)*1000+210)),IF($HD31=0,999999,IF(4=$HE31,IF(93=$HL31,IF($JD31=2,30,0),IF(93=$HM31,IF($JD31=1,30,0),ABS(21-$HF31)*100)),100000+ABS(4-$HE31)*1000+210)),IF($HG31=0,999999,IF(4=$HH31,IF(93=$HN31,IF($JE31=2,30,0),IF(93=$HO31,IF($JE31=1,30,0),ABS(21-$HI31)*100)),100000+ABS(4-$HH31)*1000+210)))-IF((93=$HJ31)+(93=$HK31)+(93=$HL31)+(93=$HM31)+(93=$HN31)+(93=$HO31)&gt;=2,50,0))+CR$5*50)</f>
        <v/>
      </c>
      <c r="CS151">
        <f>IF(OR($JF31=0,calcA!$A$6=0),0,IF(OR(94=$HA31,94=$HD31,94=$HG31),200000,MIN(IF($HA31=0,999999,IF(4=$HB31,IF(94=$HJ31,IF($JC31=2,30,0),IF(94=$HK31,IF($JC31=1,30,0),ABS(22-$HC31)*100)),100000+ABS(4-$HB31)*1000+220)),IF($HD31=0,999999,IF(4=$HE31,IF(94=$HL31,IF($JD31=2,30,0),IF(94=$HM31,IF($JD31=1,30,0),ABS(22-$HF31)*100)),100000+ABS(4-$HE31)*1000+220)),IF($HG31=0,999999,IF(4=$HH31,IF(94=$HN31,IF($JE31=2,30,0),IF(94=$HO31,IF($JE31=1,30,0),ABS(22-$HI31)*100)),100000+ABS(4-$HH31)*1000+220)))-IF((94=$HJ31)+(94=$HK31)+(94=$HL31)+(94=$HM31)+(94=$HN31)+(94=$HO31)&gt;=2,50,0))+CS$5*50)</f>
        <v/>
      </c>
      <c r="CT151">
        <f>IF(OR($JF31=0,calcA!$A$6=0),0,IF(OR(95=$HA31,95=$HD31,95=$HG31),200000,MIN(IF($HA31=0,999999,IF(4=$HB31,IF(95=$HJ31,IF($JC31=2,30,0),IF(95=$HK31,IF($JC31=1,30,0),ABS(23-$HC31)*100)),100000+ABS(4-$HB31)*1000+230)),IF($HD31=0,999999,IF(4=$HE31,IF(95=$HL31,IF($JD31=2,30,0),IF(95=$HM31,IF($JD31=1,30,0),ABS(23-$HF31)*100)),100000+ABS(4-$HE31)*1000+230)),IF($HG31=0,999999,IF(4=$HH31,IF(95=$HN31,IF($JE31=2,30,0),IF(95=$HO31,IF($JE31=1,30,0),ABS(23-$HI31)*100)),100000+ABS(4-$HH31)*1000+230)))-IF((95=$HJ31)+(95=$HK31)+(95=$HL31)+(95=$HM31)+(95=$HN31)+(95=$HO31)&gt;=2,50,0))+CT$5*50)</f>
        <v/>
      </c>
      <c r="CU151">
        <f>IF(OR($JF31=0,calcA!$A$6=0),0,IF(OR(96=$HA31,96=$HD31,96=$HG31),200000,MIN(IF($HA31=0,999999,IF(4=$HB31,IF(96=$HJ31,IF($JC31=2,30,0),IF(96=$HK31,IF($JC31=1,30,0),ABS(24-$HC31)*100)),100000+ABS(4-$HB31)*1000+240)),IF($HD31=0,999999,IF(4=$HE31,IF(96=$HL31,IF($JD31=2,30,0),IF(96=$HM31,IF($JD31=1,30,0),ABS(24-$HF31)*100)),100000+ABS(4-$HE31)*1000+240)),IF($HG31=0,999999,IF(4=$HH31,IF(96=$HN31,IF($JE31=2,30,0),IF(96=$HO31,IF($JE31=1,30,0),ABS(24-$HI31)*100)),100000+ABS(4-$HH31)*1000+240)))-IF((96=$HJ31)+(96=$HK31)+(96=$HL31)+(96=$HM31)+(96=$HN31)+(96=$HO31)&gt;=2,50,0))+CU$5*50)</f>
        <v/>
      </c>
      <c r="CV151">
        <f>IF(OR($JF31=0,calcA!$A$6=0),0,IF(OR(97=$HA31,97=$HD31,97=$HG31),200000,MIN(IF($HA31=0,999999,IF(5=$HB31,IF(97=$HJ31,IF($JC31=2,30,0),IF(97=$HK31,IF($JC31=1,30,0),ABS(1-$HC31)*100)),100000+ABS(5-$HB31)*1000+10)),IF($HD31=0,999999,IF(5=$HE31,IF(97=$HL31,IF($JD31=2,30,0),IF(97=$HM31,IF($JD31=1,30,0),ABS(1-$HF31)*100)),100000+ABS(5-$HE31)*1000+10)),IF($HG31=0,999999,IF(5=$HH31,IF(97=$HN31,IF($JE31=2,30,0),IF(97=$HO31,IF($JE31=1,30,0),ABS(1-$HI31)*100)),100000+ABS(5-$HH31)*1000+10)))-IF((97=$HJ31)+(97=$HK31)+(97=$HL31)+(97=$HM31)+(97=$HN31)+(97=$HO31)&gt;=2,50,0))+CV$5*50)</f>
        <v/>
      </c>
      <c r="CW151">
        <f>IF(OR($JF31=0,calcA!$A$6=0),0,IF(OR(98=$HA31,98=$HD31,98=$HG31),200000,MIN(IF($HA31=0,999999,IF(5=$HB31,IF(98=$HJ31,IF($JC31=2,30,0),IF(98=$HK31,IF($JC31=1,30,0),ABS(2-$HC31)*100)),100000+ABS(5-$HB31)*1000+20)),IF($HD31=0,999999,IF(5=$HE31,IF(98=$HL31,IF($JD31=2,30,0),IF(98=$HM31,IF($JD31=1,30,0),ABS(2-$HF31)*100)),100000+ABS(5-$HE31)*1000+20)),IF($HG31=0,999999,IF(5=$HH31,IF(98=$HN31,IF($JE31=2,30,0),IF(98=$HO31,IF($JE31=1,30,0),ABS(2-$HI31)*100)),100000+ABS(5-$HH31)*1000+20)))-IF((98=$HJ31)+(98=$HK31)+(98=$HL31)+(98=$HM31)+(98=$HN31)+(98=$HO31)&gt;=2,50,0))+CW$5*50)</f>
        <v/>
      </c>
      <c r="CX151">
        <f>IF(OR($JF31=0,calcA!$A$6=0),0,IF(OR(99=$HA31,99=$HD31,99=$HG31),200000,MIN(IF($HA31=0,999999,IF(5=$HB31,IF(99=$HJ31,IF($JC31=2,30,0),IF(99=$HK31,IF($JC31=1,30,0),ABS(3-$HC31)*100)),100000+ABS(5-$HB31)*1000+30)),IF($HD31=0,999999,IF(5=$HE31,IF(99=$HL31,IF($JD31=2,30,0),IF(99=$HM31,IF($JD31=1,30,0),ABS(3-$HF31)*100)),100000+ABS(5-$HE31)*1000+30)),IF($HG31=0,999999,IF(5=$HH31,IF(99=$HN31,IF($JE31=2,30,0),IF(99=$HO31,IF($JE31=1,30,0),ABS(3-$HI31)*100)),100000+ABS(5-$HH31)*1000+30)))-IF((99=$HJ31)+(99=$HK31)+(99=$HL31)+(99=$HM31)+(99=$HN31)+(99=$HO31)&gt;=2,50,0))+CX$5*50)</f>
        <v/>
      </c>
      <c r="CY151">
        <f>IF(OR($JF31=0,calcA!$A$6=0),0,IF(OR(100=$HA31,100=$HD31,100=$HG31),200000,MIN(IF($HA31=0,999999,IF(5=$HB31,IF(100=$HJ31,IF($JC31=2,30,0),IF(100=$HK31,IF($JC31=1,30,0),ABS(4-$HC31)*100)),100000+ABS(5-$HB31)*1000+40)),IF($HD31=0,999999,IF(5=$HE31,IF(100=$HL31,IF($JD31=2,30,0),IF(100=$HM31,IF($JD31=1,30,0),ABS(4-$HF31)*100)),100000+ABS(5-$HE31)*1000+40)),IF($HG31=0,999999,IF(5=$HH31,IF(100=$HN31,IF($JE31=2,30,0),IF(100=$HO31,IF($JE31=1,30,0),ABS(4-$HI31)*100)),100000+ABS(5-$HH31)*1000+40)))-IF((100=$HJ31)+(100=$HK31)+(100=$HL31)+(100=$HM31)+(100=$HN31)+(100=$HO31)&gt;=2,50,0))+CY$5*50)</f>
        <v/>
      </c>
      <c r="CZ151">
        <f>IF(OR($JF31=0,calcA!$A$6=0),0,IF(OR(101=$HA31,101=$HD31,101=$HG31),200000,MIN(IF($HA31=0,999999,IF(5=$HB31,IF(101=$HJ31,IF($JC31=2,30,0),IF(101=$HK31,IF($JC31=1,30,0),ABS(5-$HC31)*100)),100000+ABS(5-$HB31)*1000+50)),IF($HD31=0,999999,IF(5=$HE31,IF(101=$HL31,IF($JD31=2,30,0),IF(101=$HM31,IF($JD31=1,30,0),ABS(5-$HF31)*100)),100000+ABS(5-$HE31)*1000+50)),IF($HG31=0,999999,IF(5=$HH31,IF(101=$HN31,IF($JE31=2,30,0),IF(101=$HO31,IF($JE31=1,30,0),ABS(5-$HI31)*100)),100000+ABS(5-$HH31)*1000+50)))-IF((101=$HJ31)+(101=$HK31)+(101=$HL31)+(101=$HM31)+(101=$HN31)+(101=$HO31)&gt;=2,50,0))+CZ$5*50)</f>
        <v/>
      </c>
      <c r="DA151">
        <f>IF(OR($JF31=0,calcA!$A$6=0),0,IF(OR(102=$HA31,102=$HD31,102=$HG31),200000,MIN(IF($HA31=0,999999,IF(5=$HB31,IF(102=$HJ31,IF($JC31=2,30,0),IF(102=$HK31,IF($JC31=1,30,0),ABS(6-$HC31)*100)),100000+ABS(5-$HB31)*1000+60)),IF($HD31=0,999999,IF(5=$HE31,IF(102=$HL31,IF($JD31=2,30,0),IF(102=$HM31,IF($JD31=1,30,0),ABS(6-$HF31)*100)),100000+ABS(5-$HE31)*1000+60)),IF($HG31=0,999999,IF(5=$HH31,IF(102=$HN31,IF($JE31=2,30,0),IF(102=$HO31,IF($JE31=1,30,0),ABS(6-$HI31)*100)),100000+ABS(5-$HH31)*1000+60)))-IF((102=$HJ31)+(102=$HK31)+(102=$HL31)+(102=$HM31)+(102=$HN31)+(102=$HO31)&gt;=2,50,0))+DA$5*50)</f>
        <v/>
      </c>
      <c r="DB151">
        <f>IF(OR($JF31=0,calcA!$A$6=0),0,IF(OR(103=$HA31,103=$HD31,103=$HG31),200000,MIN(IF($HA31=0,999999,IF(5=$HB31,IF(103=$HJ31,IF($JC31=2,30,0),IF(103=$HK31,IF($JC31=1,30,0),ABS(7-$HC31)*100)),100000+ABS(5-$HB31)*1000+70)),IF($HD31=0,999999,IF(5=$HE31,IF(103=$HL31,IF($JD31=2,30,0),IF(103=$HM31,IF($JD31=1,30,0),ABS(7-$HF31)*100)),100000+ABS(5-$HE31)*1000+70)),IF($HG31=0,999999,IF(5=$HH31,IF(103=$HN31,IF($JE31=2,30,0),IF(103=$HO31,IF($JE31=1,30,0),ABS(7-$HI31)*100)),100000+ABS(5-$HH31)*1000+70)))-IF((103=$HJ31)+(103=$HK31)+(103=$HL31)+(103=$HM31)+(103=$HN31)+(103=$HO31)&gt;=2,50,0))+DB$5*50)</f>
        <v/>
      </c>
      <c r="DC151">
        <f>IF(OR($JF31=0,calcA!$A$6=0),0,IF(OR(104=$HA31,104=$HD31,104=$HG31),200000,MIN(IF($HA31=0,999999,IF(5=$HB31,IF(104=$HJ31,IF($JC31=2,30,0),IF(104=$HK31,IF($JC31=1,30,0),ABS(8-$HC31)*100)),100000+ABS(5-$HB31)*1000+80)),IF($HD31=0,999999,IF(5=$HE31,IF(104=$HL31,IF($JD31=2,30,0),IF(104=$HM31,IF($JD31=1,30,0),ABS(8-$HF31)*100)),100000+ABS(5-$HE31)*1000+80)),IF($HG31=0,999999,IF(5=$HH31,IF(104=$HN31,IF($JE31=2,30,0),IF(104=$HO31,IF($JE31=1,30,0),ABS(8-$HI31)*100)),100000+ABS(5-$HH31)*1000+80)))-IF((104=$HJ31)+(104=$HK31)+(104=$HL31)+(104=$HM31)+(104=$HN31)+(104=$HO31)&gt;=2,50,0))+DC$5*50)</f>
        <v/>
      </c>
      <c r="DD151">
        <f>IF(OR($JF31=0,calcA!$A$6=0),0,IF(OR(105=$HA31,105=$HD31,105=$HG31),200000,MIN(IF($HA31=0,999999,IF(5=$HB31,IF(105=$HJ31,IF($JC31=2,30,0),IF(105=$HK31,IF($JC31=1,30,0),ABS(9-$HC31)*100)),100000+ABS(5-$HB31)*1000+90)),IF($HD31=0,999999,IF(5=$HE31,IF(105=$HL31,IF($JD31=2,30,0),IF(105=$HM31,IF($JD31=1,30,0),ABS(9-$HF31)*100)),100000+ABS(5-$HE31)*1000+90)),IF($HG31=0,999999,IF(5=$HH31,IF(105=$HN31,IF($JE31=2,30,0),IF(105=$HO31,IF($JE31=1,30,0),ABS(9-$HI31)*100)),100000+ABS(5-$HH31)*1000+90)))-IF((105=$HJ31)+(105=$HK31)+(105=$HL31)+(105=$HM31)+(105=$HN31)+(105=$HO31)&gt;=2,50,0))+DD$5*50)</f>
        <v/>
      </c>
      <c r="DE151">
        <f>IF(OR($JF31=0,calcA!$A$6=0),0,IF(OR(106=$HA31,106=$HD31,106=$HG31),200000,MIN(IF($HA31=0,999999,IF(5=$HB31,IF(106=$HJ31,IF($JC31=2,30,0),IF(106=$HK31,IF($JC31=1,30,0),ABS(10-$HC31)*100)),100000+ABS(5-$HB31)*1000+100)),IF($HD31=0,999999,IF(5=$HE31,IF(106=$HL31,IF($JD31=2,30,0),IF(106=$HM31,IF($JD31=1,30,0),ABS(10-$HF31)*100)),100000+ABS(5-$HE31)*1000+100)),IF($HG31=0,999999,IF(5=$HH31,IF(106=$HN31,IF($JE31=2,30,0),IF(106=$HO31,IF($JE31=1,30,0),ABS(10-$HI31)*100)),100000+ABS(5-$HH31)*1000+100)))-IF((106=$HJ31)+(106=$HK31)+(106=$HL31)+(106=$HM31)+(106=$HN31)+(106=$HO31)&gt;=2,50,0))+DE$5*50)</f>
        <v/>
      </c>
      <c r="DF151">
        <f>IF(OR($JF31=0,calcA!$A$6=0),0,IF(OR(107=$HA31,107=$HD31,107=$HG31),200000,MIN(IF($HA31=0,999999,IF(5=$HB31,IF(107=$HJ31,IF($JC31=2,30,0),IF(107=$HK31,IF($JC31=1,30,0),ABS(11-$HC31)*100)),100000+ABS(5-$HB31)*1000+110)),IF($HD31=0,999999,IF(5=$HE31,IF(107=$HL31,IF($JD31=2,30,0),IF(107=$HM31,IF($JD31=1,30,0),ABS(11-$HF31)*100)),100000+ABS(5-$HE31)*1000+110)),IF($HG31=0,999999,IF(5=$HH31,IF(107=$HN31,IF($JE31=2,30,0),IF(107=$HO31,IF($JE31=1,30,0),ABS(11-$HI31)*100)),100000+ABS(5-$HH31)*1000+110)))-IF((107=$HJ31)+(107=$HK31)+(107=$HL31)+(107=$HM31)+(107=$HN31)+(107=$HO31)&gt;=2,50,0))+DF$5*50)</f>
        <v/>
      </c>
      <c r="DG151">
        <f>IF(OR($JF31=0,calcA!$A$6=0),0,IF(OR(108=$HA31,108=$HD31,108=$HG31),200000,MIN(IF($HA31=0,999999,IF(5=$HB31,IF(108=$HJ31,IF($JC31=2,30,0),IF(108=$HK31,IF($JC31=1,30,0),ABS(12-$HC31)*100)),100000+ABS(5-$HB31)*1000+120)),IF($HD31=0,999999,IF(5=$HE31,IF(108=$HL31,IF($JD31=2,30,0),IF(108=$HM31,IF($JD31=1,30,0),ABS(12-$HF31)*100)),100000+ABS(5-$HE31)*1000+120)),IF($HG31=0,999999,IF(5=$HH31,IF(108=$HN31,IF($JE31=2,30,0),IF(108=$HO31,IF($JE31=1,30,0),ABS(12-$HI31)*100)),100000+ABS(5-$HH31)*1000+120)))-IF((108=$HJ31)+(108=$HK31)+(108=$HL31)+(108=$HM31)+(108=$HN31)+(108=$HO31)&gt;=2,50,0))+DG$5*50)</f>
        <v/>
      </c>
      <c r="DH151">
        <f>IF(OR($JF31=0,calcA!$A$6=0),0,IF(OR(109=$HA31,109=$HD31,109=$HG31),200000,MIN(IF($HA31=0,999999,IF(5=$HB31,IF(109=$HJ31,IF($JC31=2,30,0),IF(109=$HK31,IF($JC31=1,30,0),ABS(13-$HC31)*100)),100000+ABS(5-$HB31)*1000+130)),IF($HD31=0,999999,IF(5=$HE31,IF(109=$HL31,IF($JD31=2,30,0),IF(109=$HM31,IF($JD31=1,30,0),ABS(13-$HF31)*100)),100000+ABS(5-$HE31)*1000+130)),IF($HG31=0,999999,IF(5=$HH31,IF(109=$HN31,IF($JE31=2,30,0),IF(109=$HO31,IF($JE31=1,30,0),ABS(13-$HI31)*100)),100000+ABS(5-$HH31)*1000+130)))-IF((109=$HJ31)+(109=$HK31)+(109=$HL31)+(109=$HM31)+(109=$HN31)+(109=$HO31)&gt;=2,50,0))+DH$5*50)</f>
        <v/>
      </c>
      <c r="DI151">
        <f>IF(OR($JF31=0,calcA!$A$6=0),0,IF(OR(110=$HA31,110=$HD31,110=$HG31),200000,MIN(IF($HA31=0,999999,IF(5=$HB31,IF(110=$HJ31,IF($JC31=2,30,0),IF(110=$HK31,IF($JC31=1,30,0),ABS(14-$HC31)*100)),100000+ABS(5-$HB31)*1000+140)),IF($HD31=0,999999,IF(5=$HE31,IF(110=$HL31,IF($JD31=2,30,0),IF(110=$HM31,IF($JD31=1,30,0),ABS(14-$HF31)*100)),100000+ABS(5-$HE31)*1000+140)),IF($HG31=0,999999,IF(5=$HH31,IF(110=$HN31,IF($JE31=2,30,0),IF(110=$HO31,IF($JE31=1,30,0),ABS(14-$HI31)*100)),100000+ABS(5-$HH31)*1000+140)))-IF((110=$HJ31)+(110=$HK31)+(110=$HL31)+(110=$HM31)+(110=$HN31)+(110=$HO31)&gt;=2,50,0))+DI$5*50)</f>
        <v/>
      </c>
      <c r="DJ151">
        <f>IF(OR($JF31=0,calcA!$A$6=0),0,IF(OR(111=$HA31,111=$HD31,111=$HG31),200000,MIN(IF($HA31=0,999999,IF(5=$HB31,IF(111=$HJ31,IF($JC31=2,30,0),IF(111=$HK31,IF($JC31=1,30,0),ABS(15-$HC31)*100)),100000+ABS(5-$HB31)*1000+150)),IF($HD31=0,999999,IF(5=$HE31,IF(111=$HL31,IF($JD31=2,30,0),IF(111=$HM31,IF($JD31=1,30,0),ABS(15-$HF31)*100)),100000+ABS(5-$HE31)*1000+150)),IF($HG31=0,999999,IF(5=$HH31,IF(111=$HN31,IF($JE31=2,30,0),IF(111=$HO31,IF($JE31=1,30,0),ABS(15-$HI31)*100)),100000+ABS(5-$HH31)*1000+150)))-IF((111=$HJ31)+(111=$HK31)+(111=$HL31)+(111=$HM31)+(111=$HN31)+(111=$HO31)&gt;=2,50,0))+DJ$5*50)</f>
        <v/>
      </c>
      <c r="DK151">
        <f>IF(OR($JF31=0,calcA!$A$6=0),0,IF(OR(112=$HA31,112=$HD31,112=$HG31),200000,MIN(IF($HA31=0,999999,IF(5=$HB31,IF(112=$HJ31,IF($JC31=2,30,0),IF(112=$HK31,IF($JC31=1,30,0),ABS(16-$HC31)*100)),100000+ABS(5-$HB31)*1000+160)),IF($HD31=0,999999,IF(5=$HE31,IF(112=$HL31,IF($JD31=2,30,0),IF(112=$HM31,IF($JD31=1,30,0),ABS(16-$HF31)*100)),100000+ABS(5-$HE31)*1000+160)),IF($HG31=0,999999,IF(5=$HH31,IF(112=$HN31,IF($JE31=2,30,0),IF(112=$HO31,IF($JE31=1,30,0),ABS(16-$HI31)*100)),100000+ABS(5-$HH31)*1000+160)))-IF((112=$HJ31)+(112=$HK31)+(112=$HL31)+(112=$HM31)+(112=$HN31)+(112=$HO31)&gt;=2,50,0))+DK$5*50)</f>
        <v/>
      </c>
      <c r="DL151">
        <f>IF(OR($JF31=0,calcA!$A$6=0),0,IF(OR(113=$HA31,113=$HD31,113=$HG31),200000,MIN(IF($HA31=0,999999,IF(5=$HB31,IF(113=$HJ31,IF($JC31=2,30,0),IF(113=$HK31,IF($JC31=1,30,0),ABS(17-$HC31)*100)),100000+ABS(5-$HB31)*1000+170)),IF($HD31=0,999999,IF(5=$HE31,IF(113=$HL31,IF($JD31=2,30,0),IF(113=$HM31,IF($JD31=1,30,0),ABS(17-$HF31)*100)),100000+ABS(5-$HE31)*1000+170)),IF($HG31=0,999999,IF(5=$HH31,IF(113=$HN31,IF($JE31=2,30,0),IF(113=$HO31,IF($JE31=1,30,0),ABS(17-$HI31)*100)),100000+ABS(5-$HH31)*1000+170)))-IF((113=$HJ31)+(113=$HK31)+(113=$HL31)+(113=$HM31)+(113=$HN31)+(113=$HO31)&gt;=2,50,0))+DL$5*50)</f>
        <v/>
      </c>
      <c r="DM151">
        <f>IF(OR($JF31=0,calcA!$A$6=0),0,IF(OR(114=$HA31,114=$HD31,114=$HG31),200000,MIN(IF($HA31=0,999999,IF(5=$HB31,IF(114=$HJ31,IF($JC31=2,30,0),IF(114=$HK31,IF($JC31=1,30,0),ABS(18-$HC31)*100)),100000+ABS(5-$HB31)*1000+180)),IF($HD31=0,999999,IF(5=$HE31,IF(114=$HL31,IF($JD31=2,30,0),IF(114=$HM31,IF($JD31=1,30,0),ABS(18-$HF31)*100)),100000+ABS(5-$HE31)*1000+180)),IF($HG31=0,999999,IF(5=$HH31,IF(114=$HN31,IF($JE31=2,30,0),IF(114=$HO31,IF($JE31=1,30,0),ABS(18-$HI31)*100)),100000+ABS(5-$HH31)*1000+180)))-IF((114=$HJ31)+(114=$HK31)+(114=$HL31)+(114=$HM31)+(114=$HN31)+(114=$HO31)&gt;=2,50,0))+DM$5*50)</f>
        <v/>
      </c>
      <c r="DN151">
        <f>IF(OR($JF31=0,calcA!$A$6=0),0,IF(OR(115=$HA31,115=$HD31,115=$HG31),200000,MIN(IF($HA31=0,999999,IF(5=$HB31,IF(115=$HJ31,IF($JC31=2,30,0),IF(115=$HK31,IF($JC31=1,30,0),ABS(19-$HC31)*100)),100000+ABS(5-$HB31)*1000+190)),IF($HD31=0,999999,IF(5=$HE31,IF(115=$HL31,IF($JD31=2,30,0),IF(115=$HM31,IF($JD31=1,30,0),ABS(19-$HF31)*100)),100000+ABS(5-$HE31)*1000+190)),IF($HG31=0,999999,IF(5=$HH31,IF(115=$HN31,IF($JE31=2,30,0),IF(115=$HO31,IF($JE31=1,30,0),ABS(19-$HI31)*100)),100000+ABS(5-$HH31)*1000+190)))-IF((115=$HJ31)+(115=$HK31)+(115=$HL31)+(115=$HM31)+(115=$HN31)+(115=$HO31)&gt;=2,50,0))+DN$5*50)</f>
        <v/>
      </c>
      <c r="DO151">
        <f>IF(OR($JF31=0,calcA!$A$6=0),0,IF(OR(116=$HA31,116=$HD31,116=$HG31),200000,MIN(IF($HA31=0,999999,IF(5=$HB31,IF(116=$HJ31,IF($JC31=2,30,0),IF(116=$HK31,IF($JC31=1,30,0),ABS(20-$HC31)*100)),100000+ABS(5-$HB31)*1000+200)),IF($HD31=0,999999,IF(5=$HE31,IF(116=$HL31,IF($JD31=2,30,0),IF(116=$HM31,IF($JD31=1,30,0),ABS(20-$HF31)*100)),100000+ABS(5-$HE31)*1000+200)),IF($HG31=0,999999,IF(5=$HH31,IF(116=$HN31,IF($JE31=2,30,0),IF(116=$HO31,IF($JE31=1,30,0),ABS(20-$HI31)*100)),100000+ABS(5-$HH31)*1000+200)))-IF((116=$HJ31)+(116=$HK31)+(116=$HL31)+(116=$HM31)+(116=$HN31)+(116=$HO31)&gt;=2,50,0))+DO$5*50)</f>
        <v/>
      </c>
      <c r="DP151">
        <f>IF(OR($JF31=0,calcA!$A$6=0),0,IF(OR(117=$HA31,117=$HD31,117=$HG31),200000,MIN(IF($HA31=0,999999,IF(5=$HB31,IF(117=$HJ31,IF($JC31=2,30,0),IF(117=$HK31,IF($JC31=1,30,0),ABS(21-$HC31)*100)),100000+ABS(5-$HB31)*1000+210)),IF($HD31=0,999999,IF(5=$HE31,IF(117=$HL31,IF($JD31=2,30,0),IF(117=$HM31,IF($JD31=1,30,0),ABS(21-$HF31)*100)),100000+ABS(5-$HE31)*1000+210)),IF($HG31=0,999999,IF(5=$HH31,IF(117=$HN31,IF($JE31=2,30,0),IF(117=$HO31,IF($JE31=1,30,0),ABS(21-$HI31)*100)),100000+ABS(5-$HH31)*1000+210)))-IF((117=$HJ31)+(117=$HK31)+(117=$HL31)+(117=$HM31)+(117=$HN31)+(117=$HO31)&gt;=2,50,0))+DP$5*50)</f>
        <v/>
      </c>
      <c r="DQ151">
        <f>IF(OR($JF31=0,calcA!$A$6=0),0,IF(OR(118=$HA31,118=$HD31,118=$HG31),200000,MIN(IF($HA31=0,999999,IF(5=$HB31,IF(118=$HJ31,IF($JC31=2,30,0),IF(118=$HK31,IF($JC31=1,30,0),ABS(22-$HC31)*100)),100000+ABS(5-$HB31)*1000+220)),IF($HD31=0,999999,IF(5=$HE31,IF(118=$HL31,IF($JD31=2,30,0),IF(118=$HM31,IF($JD31=1,30,0),ABS(22-$HF31)*100)),100000+ABS(5-$HE31)*1000+220)),IF($HG31=0,999999,IF(5=$HH31,IF(118=$HN31,IF($JE31=2,30,0),IF(118=$HO31,IF($JE31=1,30,0),ABS(22-$HI31)*100)),100000+ABS(5-$HH31)*1000+220)))-IF((118=$HJ31)+(118=$HK31)+(118=$HL31)+(118=$HM31)+(118=$HN31)+(118=$HO31)&gt;=2,50,0))+DQ$5*50)</f>
        <v/>
      </c>
      <c r="DR151">
        <f>IF(OR($JF31=0,calcA!$A$6=0),0,IF(OR(119=$HA31,119=$HD31,119=$HG31),200000,MIN(IF($HA31=0,999999,IF(5=$HB31,IF(119=$HJ31,IF($JC31=2,30,0),IF(119=$HK31,IF($JC31=1,30,0),ABS(23-$HC31)*100)),100000+ABS(5-$HB31)*1000+230)),IF($HD31=0,999999,IF(5=$HE31,IF(119=$HL31,IF($JD31=2,30,0),IF(119=$HM31,IF($JD31=1,30,0),ABS(23-$HF31)*100)),100000+ABS(5-$HE31)*1000+230)),IF($HG31=0,999999,IF(5=$HH31,IF(119=$HN31,IF($JE31=2,30,0),IF(119=$HO31,IF($JE31=1,30,0),ABS(23-$HI31)*100)),100000+ABS(5-$HH31)*1000+230)))-IF((119=$HJ31)+(119=$HK31)+(119=$HL31)+(119=$HM31)+(119=$HN31)+(119=$HO31)&gt;=2,50,0))+DR$5*50)</f>
        <v/>
      </c>
      <c r="DS151">
        <f>IF(OR($JF31=0,calcA!$A$6=0),0,IF(OR(120=$HA31,120=$HD31,120=$HG31),200000,MIN(IF($HA31=0,999999,IF(5=$HB31,IF(120=$HJ31,IF($JC31=2,30,0),IF(120=$HK31,IF($JC31=1,30,0),ABS(24-$HC31)*100)),100000+ABS(5-$HB31)*1000+240)),IF($HD31=0,999999,IF(5=$HE31,IF(120=$HL31,IF($JD31=2,30,0),IF(120=$HM31,IF($JD31=1,30,0),ABS(24-$HF31)*100)),100000+ABS(5-$HE31)*1000+240)),IF($HG31=0,999999,IF(5=$HH31,IF(120=$HN31,IF($JE31=2,30,0),IF(120=$HO31,IF($JE31=1,30,0),ABS(24-$HI31)*100)),100000+ABS(5-$HH31)*1000+240)))-IF((120=$HJ31)+(120=$HK31)+(120=$HL31)+(120=$HM31)+(120=$HN31)+(120=$HO31)&gt;=2,50,0))+DS$5*50)</f>
        <v/>
      </c>
      <c r="DT151">
        <f>IF(OR($JF31=0,calcA!$A$6=0),0,IF(OR(121=$HA31,121=$HD31,121=$HG31),200000,MIN(IF($HA31=0,999999,IF(6=$HB31,IF(121=$HJ31,IF($JC31=2,30,0),IF(121=$HK31,IF($JC31=1,30,0),ABS(1-$HC31)*100)),100000+ABS(6-$HB31)*1000+10)),IF($HD31=0,999999,IF(6=$HE31,IF(121=$HL31,IF($JD31=2,30,0),IF(121=$HM31,IF($JD31=1,30,0),ABS(1-$HF31)*100)),100000+ABS(6-$HE31)*1000+10)),IF($HG31=0,999999,IF(6=$HH31,IF(121=$HN31,IF($JE31=2,30,0),IF(121=$HO31,IF($JE31=1,30,0),ABS(1-$HI31)*100)),100000+ABS(6-$HH31)*1000+10)))-IF((121=$HJ31)+(121=$HK31)+(121=$HL31)+(121=$HM31)+(121=$HN31)+(121=$HO31)&gt;=2,50,0))+DT$5*50)</f>
        <v/>
      </c>
      <c r="DU151">
        <f>IF(OR($JF31=0,calcA!$A$6=0),0,IF(OR(122=$HA31,122=$HD31,122=$HG31),200000,MIN(IF($HA31=0,999999,IF(6=$HB31,IF(122=$HJ31,IF($JC31=2,30,0),IF(122=$HK31,IF($JC31=1,30,0),ABS(2-$HC31)*100)),100000+ABS(6-$HB31)*1000+20)),IF($HD31=0,999999,IF(6=$HE31,IF(122=$HL31,IF($JD31=2,30,0),IF(122=$HM31,IF($JD31=1,30,0),ABS(2-$HF31)*100)),100000+ABS(6-$HE31)*1000+20)),IF($HG31=0,999999,IF(6=$HH31,IF(122=$HN31,IF($JE31=2,30,0),IF(122=$HO31,IF($JE31=1,30,0),ABS(2-$HI31)*100)),100000+ABS(6-$HH31)*1000+20)))-IF((122=$HJ31)+(122=$HK31)+(122=$HL31)+(122=$HM31)+(122=$HN31)+(122=$HO31)&gt;=2,50,0))+DU$5*50)</f>
        <v/>
      </c>
      <c r="DV151">
        <f>IF(OR($JF31=0,calcA!$A$6=0),0,IF(OR(123=$HA31,123=$HD31,123=$HG31),200000,MIN(IF($HA31=0,999999,IF(6=$HB31,IF(123=$HJ31,IF($JC31=2,30,0),IF(123=$HK31,IF($JC31=1,30,0),ABS(3-$HC31)*100)),100000+ABS(6-$HB31)*1000+30)),IF($HD31=0,999999,IF(6=$HE31,IF(123=$HL31,IF($JD31=2,30,0),IF(123=$HM31,IF($JD31=1,30,0),ABS(3-$HF31)*100)),100000+ABS(6-$HE31)*1000+30)),IF($HG31=0,999999,IF(6=$HH31,IF(123=$HN31,IF($JE31=2,30,0),IF(123=$HO31,IF($JE31=1,30,0),ABS(3-$HI31)*100)),100000+ABS(6-$HH31)*1000+30)))-IF((123=$HJ31)+(123=$HK31)+(123=$HL31)+(123=$HM31)+(123=$HN31)+(123=$HO31)&gt;=2,50,0))+DV$5*50)</f>
        <v/>
      </c>
      <c r="DW151">
        <f>IF(OR($JF31=0,calcA!$A$6=0),0,IF(OR(124=$HA31,124=$HD31,124=$HG31),200000,MIN(IF($HA31=0,999999,IF(6=$HB31,IF(124=$HJ31,IF($JC31=2,30,0),IF(124=$HK31,IF($JC31=1,30,0),ABS(4-$HC31)*100)),100000+ABS(6-$HB31)*1000+40)),IF($HD31=0,999999,IF(6=$HE31,IF(124=$HL31,IF($JD31=2,30,0),IF(124=$HM31,IF($JD31=1,30,0),ABS(4-$HF31)*100)),100000+ABS(6-$HE31)*1000+40)),IF($HG31=0,999999,IF(6=$HH31,IF(124=$HN31,IF($JE31=2,30,0),IF(124=$HO31,IF($JE31=1,30,0),ABS(4-$HI31)*100)),100000+ABS(6-$HH31)*1000+40)))-IF((124=$HJ31)+(124=$HK31)+(124=$HL31)+(124=$HM31)+(124=$HN31)+(124=$HO31)&gt;=2,50,0))+DW$5*50)</f>
        <v/>
      </c>
      <c r="DX151">
        <f>IF(OR($JF31=0,calcA!$A$6=0),0,IF(OR(125=$HA31,125=$HD31,125=$HG31),200000,MIN(IF($HA31=0,999999,IF(6=$HB31,IF(125=$HJ31,IF($JC31=2,30,0),IF(125=$HK31,IF($JC31=1,30,0),ABS(5-$HC31)*100)),100000+ABS(6-$HB31)*1000+50)),IF($HD31=0,999999,IF(6=$HE31,IF(125=$HL31,IF($JD31=2,30,0),IF(125=$HM31,IF($JD31=1,30,0),ABS(5-$HF31)*100)),100000+ABS(6-$HE31)*1000+50)),IF($HG31=0,999999,IF(6=$HH31,IF(125=$HN31,IF($JE31=2,30,0),IF(125=$HO31,IF($JE31=1,30,0),ABS(5-$HI31)*100)),100000+ABS(6-$HH31)*1000+50)))-IF((125=$HJ31)+(125=$HK31)+(125=$HL31)+(125=$HM31)+(125=$HN31)+(125=$HO31)&gt;=2,50,0))+DX$5*50)</f>
        <v/>
      </c>
      <c r="DY151">
        <f>IF(OR($JF31=0,calcA!$A$6=0),0,IF(OR(126=$HA31,126=$HD31,126=$HG31),200000,MIN(IF($HA31=0,999999,IF(6=$HB31,IF(126=$HJ31,IF($JC31=2,30,0),IF(126=$HK31,IF($JC31=1,30,0),ABS(6-$HC31)*100)),100000+ABS(6-$HB31)*1000+60)),IF($HD31=0,999999,IF(6=$HE31,IF(126=$HL31,IF($JD31=2,30,0),IF(126=$HM31,IF($JD31=1,30,0),ABS(6-$HF31)*100)),100000+ABS(6-$HE31)*1000+60)),IF($HG31=0,999999,IF(6=$HH31,IF(126=$HN31,IF($JE31=2,30,0),IF(126=$HO31,IF($JE31=1,30,0),ABS(6-$HI31)*100)),100000+ABS(6-$HH31)*1000+60)))-IF((126=$HJ31)+(126=$HK31)+(126=$HL31)+(126=$HM31)+(126=$HN31)+(126=$HO31)&gt;=2,50,0))+DY$5*50)</f>
        <v/>
      </c>
      <c r="DZ151">
        <f>IF(OR($JF31=0,calcA!$A$6=0),0,IF(OR(127=$HA31,127=$HD31,127=$HG31),200000,MIN(IF($HA31=0,999999,IF(6=$HB31,IF(127=$HJ31,IF($JC31=2,30,0),IF(127=$HK31,IF($JC31=1,30,0),ABS(7-$HC31)*100)),100000+ABS(6-$HB31)*1000+70)),IF($HD31=0,999999,IF(6=$HE31,IF(127=$HL31,IF($JD31=2,30,0),IF(127=$HM31,IF($JD31=1,30,0),ABS(7-$HF31)*100)),100000+ABS(6-$HE31)*1000+70)),IF($HG31=0,999999,IF(6=$HH31,IF(127=$HN31,IF($JE31=2,30,0),IF(127=$HO31,IF($JE31=1,30,0),ABS(7-$HI31)*100)),100000+ABS(6-$HH31)*1000+70)))-IF((127=$HJ31)+(127=$HK31)+(127=$HL31)+(127=$HM31)+(127=$HN31)+(127=$HO31)&gt;=2,50,0))+DZ$5*50)</f>
        <v/>
      </c>
      <c r="EA151">
        <f>IF(OR($JF31=0,calcA!$A$6=0),0,IF(OR(128=$HA31,128=$HD31,128=$HG31),200000,MIN(IF($HA31=0,999999,IF(6=$HB31,IF(128=$HJ31,IF($JC31=2,30,0),IF(128=$HK31,IF($JC31=1,30,0),ABS(8-$HC31)*100)),100000+ABS(6-$HB31)*1000+80)),IF($HD31=0,999999,IF(6=$HE31,IF(128=$HL31,IF($JD31=2,30,0),IF(128=$HM31,IF($JD31=1,30,0),ABS(8-$HF31)*100)),100000+ABS(6-$HE31)*1000+80)),IF($HG31=0,999999,IF(6=$HH31,IF(128=$HN31,IF($JE31=2,30,0),IF(128=$HO31,IF($JE31=1,30,0),ABS(8-$HI31)*100)),100000+ABS(6-$HH31)*1000+80)))-IF((128=$HJ31)+(128=$HK31)+(128=$HL31)+(128=$HM31)+(128=$HN31)+(128=$HO31)&gt;=2,50,0))+EA$5*50)</f>
        <v/>
      </c>
      <c r="EB151">
        <f>IF(OR($JF31=0,calcA!$A$6=0),0,IF(OR(129=$HA31,129=$HD31,129=$HG31),200000,MIN(IF($HA31=0,999999,IF(6=$HB31,IF(129=$HJ31,IF($JC31=2,30,0),IF(129=$HK31,IF($JC31=1,30,0),ABS(9-$HC31)*100)),100000+ABS(6-$HB31)*1000+90)),IF($HD31=0,999999,IF(6=$HE31,IF(129=$HL31,IF($JD31=2,30,0),IF(129=$HM31,IF($JD31=1,30,0),ABS(9-$HF31)*100)),100000+ABS(6-$HE31)*1000+90)),IF($HG31=0,999999,IF(6=$HH31,IF(129=$HN31,IF($JE31=2,30,0),IF(129=$HO31,IF($JE31=1,30,0),ABS(9-$HI31)*100)),100000+ABS(6-$HH31)*1000+90)))-IF((129=$HJ31)+(129=$HK31)+(129=$HL31)+(129=$HM31)+(129=$HN31)+(129=$HO31)&gt;=2,50,0))+EB$5*50)</f>
        <v/>
      </c>
      <c r="EC151">
        <f>IF(OR($JF31=0,calcA!$A$6=0),0,IF(OR(130=$HA31,130=$HD31,130=$HG31),200000,MIN(IF($HA31=0,999999,IF(6=$HB31,IF(130=$HJ31,IF($JC31=2,30,0),IF(130=$HK31,IF($JC31=1,30,0),ABS(10-$HC31)*100)),100000+ABS(6-$HB31)*1000+100)),IF($HD31=0,999999,IF(6=$HE31,IF(130=$HL31,IF($JD31=2,30,0),IF(130=$HM31,IF($JD31=1,30,0),ABS(10-$HF31)*100)),100000+ABS(6-$HE31)*1000+100)),IF($HG31=0,999999,IF(6=$HH31,IF(130=$HN31,IF($JE31=2,30,0),IF(130=$HO31,IF($JE31=1,30,0),ABS(10-$HI31)*100)),100000+ABS(6-$HH31)*1000+100)))-IF((130=$HJ31)+(130=$HK31)+(130=$HL31)+(130=$HM31)+(130=$HN31)+(130=$HO31)&gt;=2,50,0))+EC$5*50)</f>
        <v/>
      </c>
      <c r="ED151">
        <f>IF(OR($JF31=0,calcA!$A$6=0),0,IF(OR(131=$HA31,131=$HD31,131=$HG31),200000,MIN(IF($HA31=0,999999,IF(6=$HB31,IF(131=$HJ31,IF($JC31=2,30,0),IF(131=$HK31,IF($JC31=1,30,0),ABS(11-$HC31)*100)),100000+ABS(6-$HB31)*1000+110)),IF($HD31=0,999999,IF(6=$HE31,IF(131=$HL31,IF($JD31=2,30,0),IF(131=$HM31,IF($JD31=1,30,0),ABS(11-$HF31)*100)),100000+ABS(6-$HE31)*1000+110)),IF($HG31=0,999999,IF(6=$HH31,IF(131=$HN31,IF($JE31=2,30,0),IF(131=$HO31,IF($JE31=1,30,0),ABS(11-$HI31)*100)),100000+ABS(6-$HH31)*1000+110)))-IF((131=$HJ31)+(131=$HK31)+(131=$HL31)+(131=$HM31)+(131=$HN31)+(131=$HO31)&gt;=2,50,0))+ED$5*50)</f>
        <v/>
      </c>
      <c r="EE151">
        <f>IF(OR($JF31=0,calcA!$A$6=0),0,IF(OR(132=$HA31,132=$HD31,132=$HG31),200000,MIN(IF($HA31=0,999999,IF(6=$HB31,IF(132=$HJ31,IF($JC31=2,30,0),IF(132=$HK31,IF($JC31=1,30,0),ABS(12-$HC31)*100)),100000+ABS(6-$HB31)*1000+120)),IF($HD31=0,999999,IF(6=$HE31,IF(132=$HL31,IF($JD31=2,30,0),IF(132=$HM31,IF($JD31=1,30,0),ABS(12-$HF31)*100)),100000+ABS(6-$HE31)*1000+120)),IF($HG31=0,999999,IF(6=$HH31,IF(132=$HN31,IF($JE31=2,30,0),IF(132=$HO31,IF($JE31=1,30,0),ABS(12-$HI31)*100)),100000+ABS(6-$HH31)*1000+120)))-IF((132=$HJ31)+(132=$HK31)+(132=$HL31)+(132=$HM31)+(132=$HN31)+(132=$HO31)&gt;=2,50,0))+EE$5*50)</f>
        <v/>
      </c>
      <c r="EF151">
        <f>IF(OR($JF31=0,calcA!$A$6=0),0,IF(OR(133=$HA31,133=$HD31,133=$HG31),200000,MIN(IF($HA31=0,999999,IF(6=$HB31,IF(133=$HJ31,IF($JC31=2,30,0),IF(133=$HK31,IF($JC31=1,30,0),ABS(13-$HC31)*100)),100000+ABS(6-$HB31)*1000+130)),IF($HD31=0,999999,IF(6=$HE31,IF(133=$HL31,IF($JD31=2,30,0),IF(133=$HM31,IF($JD31=1,30,0),ABS(13-$HF31)*100)),100000+ABS(6-$HE31)*1000+130)),IF($HG31=0,999999,IF(6=$HH31,IF(133=$HN31,IF($JE31=2,30,0),IF(133=$HO31,IF($JE31=1,30,0),ABS(13-$HI31)*100)),100000+ABS(6-$HH31)*1000+130)))-IF((133=$HJ31)+(133=$HK31)+(133=$HL31)+(133=$HM31)+(133=$HN31)+(133=$HO31)&gt;=2,50,0))+EF$5*50)</f>
        <v/>
      </c>
      <c r="EG151">
        <f>IF(OR($JF31=0,calcA!$A$6=0),0,IF(OR(134=$HA31,134=$HD31,134=$HG31),200000,MIN(IF($HA31=0,999999,IF(6=$HB31,IF(134=$HJ31,IF($JC31=2,30,0),IF(134=$HK31,IF($JC31=1,30,0),ABS(14-$HC31)*100)),100000+ABS(6-$HB31)*1000+140)),IF($HD31=0,999999,IF(6=$HE31,IF(134=$HL31,IF($JD31=2,30,0),IF(134=$HM31,IF($JD31=1,30,0),ABS(14-$HF31)*100)),100000+ABS(6-$HE31)*1000+140)),IF($HG31=0,999999,IF(6=$HH31,IF(134=$HN31,IF($JE31=2,30,0),IF(134=$HO31,IF($JE31=1,30,0),ABS(14-$HI31)*100)),100000+ABS(6-$HH31)*1000+140)))-IF((134=$HJ31)+(134=$HK31)+(134=$HL31)+(134=$HM31)+(134=$HN31)+(134=$HO31)&gt;=2,50,0))+EG$5*50)</f>
        <v/>
      </c>
      <c r="EH151">
        <f>IF(OR($JF31=0,calcA!$A$6=0),0,IF(OR(135=$HA31,135=$HD31,135=$HG31),200000,MIN(IF($HA31=0,999999,IF(6=$HB31,IF(135=$HJ31,IF($JC31=2,30,0),IF(135=$HK31,IF($JC31=1,30,0),ABS(15-$HC31)*100)),100000+ABS(6-$HB31)*1000+150)),IF($HD31=0,999999,IF(6=$HE31,IF(135=$HL31,IF($JD31=2,30,0),IF(135=$HM31,IF($JD31=1,30,0),ABS(15-$HF31)*100)),100000+ABS(6-$HE31)*1000+150)),IF($HG31=0,999999,IF(6=$HH31,IF(135=$HN31,IF($JE31=2,30,0),IF(135=$HO31,IF($JE31=1,30,0),ABS(15-$HI31)*100)),100000+ABS(6-$HH31)*1000+150)))-IF((135=$HJ31)+(135=$HK31)+(135=$HL31)+(135=$HM31)+(135=$HN31)+(135=$HO31)&gt;=2,50,0))+EH$5*50)</f>
        <v/>
      </c>
      <c r="EI151">
        <f>IF(OR($JF31=0,calcA!$A$6=0),0,IF(OR(136=$HA31,136=$HD31,136=$HG31),200000,MIN(IF($HA31=0,999999,IF(6=$HB31,IF(136=$HJ31,IF($JC31=2,30,0),IF(136=$HK31,IF($JC31=1,30,0),ABS(16-$HC31)*100)),100000+ABS(6-$HB31)*1000+160)),IF($HD31=0,999999,IF(6=$HE31,IF(136=$HL31,IF($JD31=2,30,0),IF(136=$HM31,IF($JD31=1,30,0),ABS(16-$HF31)*100)),100000+ABS(6-$HE31)*1000+160)),IF($HG31=0,999999,IF(6=$HH31,IF(136=$HN31,IF($JE31=2,30,0),IF(136=$HO31,IF($JE31=1,30,0),ABS(16-$HI31)*100)),100000+ABS(6-$HH31)*1000+160)))-IF((136=$HJ31)+(136=$HK31)+(136=$HL31)+(136=$HM31)+(136=$HN31)+(136=$HO31)&gt;=2,50,0))+EI$5*50)</f>
        <v/>
      </c>
      <c r="EJ151">
        <f>IF(OR($JF31=0,calcA!$A$6=0),0,IF(OR(137=$HA31,137=$HD31,137=$HG31),200000,MIN(IF($HA31=0,999999,IF(6=$HB31,IF(137=$HJ31,IF($JC31=2,30,0),IF(137=$HK31,IF($JC31=1,30,0),ABS(17-$HC31)*100)),100000+ABS(6-$HB31)*1000+170)),IF($HD31=0,999999,IF(6=$HE31,IF(137=$HL31,IF($JD31=2,30,0),IF(137=$HM31,IF($JD31=1,30,0),ABS(17-$HF31)*100)),100000+ABS(6-$HE31)*1000+170)),IF($HG31=0,999999,IF(6=$HH31,IF(137=$HN31,IF($JE31=2,30,0),IF(137=$HO31,IF($JE31=1,30,0),ABS(17-$HI31)*100)),100000+ABS(6-$HH31)*1000+170)))-IF((137=$HJ31)+(137=$HK31)+(137=$HL31)+(137=$HM31)+(137=$HN31)+(137=$HO31)&gt;=2,50,0))+EJ$5*50)</f>
        <v/>
      </c>
      <c r="EK151">
        <f>IF(OR($JF31=0,calcA!$A$6=0),0,IF(OR(138=$HA31,138=$HD31,138=$HG31),200000,MIN(IF($HA31=0,999999,IF(6=$HB31,IF(138=$HJ31,IF($JC31=2,30,0),IF(138=$HK31,IF($JC31=1,30,0),ABS(18-$HC31)*100)),100000+ABS(6-$HB31)*1000+180)),IF($HD31=0,999999,IF(6=$HE31,IF(138=$HL31,IF($JD31=2,30,0),IF(138=$HM31,IF($JD31=1,30,0),ABS(18-$HF31)*100)),100000+ABS(6-$HE31)*1000+180)),IF($HG31=0,999999,IF(6=$HH31,IF(138=$HN31,IF($JE31=2,30,0),IF(138=$HO31,IF($JE31=1,30,0),ABS(18-$HI31)*100)),100000+ABS(6-$HH31)*1000+180)))-IF((138=$HJ31)+(138=$HK31)+(138=$HL31)+(138=$HM31)+(138=$HN31)+(138=$HO31)&gt;=2,50,0))+EK$5*50)</f>
        <v/>
      </c>
      <c r="EL151">
        <f>IF(OR($JF31=0,calcA!$A$6=0),0,IF(OR(139=$HA31,139=$HD31,139=$HG31),200000,MIN(IF($HA31=0,999999,IF(6=$HB31,IF(139=$HJ31,IF($JC31=2,30,0),IF(139=$HK31,IF($JC31=1,30,0),ABS(19-$HC31)*100)),100000+ABS(6-$HB31)*1000+190)),IF($HD31=0,999999,IF(6=$HE31,IF(139=$HL31,IF($JD31=2,30,0),IF(139=$HM31,IF($JD31=1,30,0),ABS(19-$HF31)*100)),100000+ABS(6-$HE31)*1000+190)),IF($HG31=0,999999,IF(6=$HH31,IF(139=$HN31,IF($JE31=2,30,0),IF(139=$HO31,IF($JE31=1,30,0),ABS(19-$HI31)*100)),100000+ABS(6-$HH31)*1000+190)))-IF((139=$HJ31)+(139=$HK31)+(139=$HL31)+(139=$HM31)+(139=$HN31)+(139=$HO31)&gt;=2,50,0))+EL$5*50)</f>
        <v/>
      </c>
      <c r="EM151">
        <f>IF(OR($JF31=0,calcA!$A$6=0),0,IF(OR(140=$HA31,140=$HD31,140=$HG31),200000,MIN(IF($HA31=0,999999,IF(6=$HB31,IF(140=$HJ31,IF($JC31=2,30,0),IF(140=$HK31,IF($JC31=1,30,0),ABS(20-$HC31)*100)),100000+ABS(6-$HB31)*1000+200)),IF($HD31=0,999999,IF(6=$HE31,IF(140=$HL31,IF($JD31=2,30,0),IF(140=$HM31,IF($JD31=1,30,0),ABS(20-$HF31)*100)),100000+ABS(6-$HE31)*1000+200)),IF($HG31=0,999999,IF(6=$HH31,IF(140=$HN31,IF($JE31=2,30,0),IF(140=$HO31,IF($JE31=1,30,0),ABS(20-$HI31)*100)),100000+ABS(6-$HH31)*1000+200)))-IF((140=$HJ31)+(140=$HK31)+(140=$HL31)+(140=$HM31)+(140=$HN31)+(140=$HO31)&gt;=2,50,0))+EM$5*50)</f>
        <v/>
      </c>
      <c r="EN151">
        <f>IF(OR($JF31=0,calcA!$A$6=0),0,IF(OR(141=$HA31,141=$HD31,141=$HG31),200000,MIN(IF($HA31=0,999999,IF(6=$HB31,IF(141=$HJ31,IF($JC31=2,30,0),IF(141=$HK31,IF($JC31=1,30,0),ABS(21-$HC31)*100)),100000+ABS(6-$HB31)*1000+210)),IF($HD31=0,999999,IF(6=$HE31,IF(141=$HL31,IF($JD31=2,30,0),IF(141=$HM31,IF($JD31=1,30,0),ABS(21-$HF31)*100)),100000+ABS(6-$HE31)*1000+210)),IF($HG31=0,999999,IF(6=$HH31,IF(141=$HN31,IF($JE31=2,30,0),IF(141=$HO31,IF($JE31=1,30,0),ABS(21-$HI31)*100)),100000+ABS(6-$HH31)*1000+210)))-IF((141=$HJ31)+(141=$HK31)+(141=$HL31)+(141=$HM31)+(141=$HN31)+(141=$HO31)&gt;=2,50,0))+EN$5*50)</f>
        <v/>
      </c>
      <c r="EO151">
        <f>IF(OR($JF31=0,calcA!$A$6=0),0,IF(OR(142=$HA31,142=$HD31,142=$HG31),200000,MIN(IF($HA31=0,999999,IF(6=$HB31,IF(142=$HJ31,IF($JC31=2,30,0),IF(142=$HK31,IF($JC31=1,30,0),ABS(22-$HC31)*100)),100000+ABS(6-$HB31)*1000+220)),IF($HD31=0,999999,IF(6=$HE31,IF(142=$HL31,IF($JD31=2,30,0),IF(142=$HM31,IF($JD31=1,30,0),ABS(22-$HF31)*100)),100000+ABS(6-$HE31)*1000+220)),IF($HG31=0,999999,IF(6=$HH31,IF(142=$HN31,IF($JE31=2,30,0),IF(142=$HO31,IF($JE31=1,30,0),ABS(22-$HI31)*100)),100000+ABS(6-$HH31)*1000+220)))-IF((142=$HJ31)+(142=$HK31)+(142=$HL31)+(142=$HM31)+(142=$HN31)+(142=$HO31)&gt;=2,50,0))+EO$5*50)</f>
        <v/>
      </c>
      <c r="EP151">
        <f>IF(OR($JF31=0,calcA!$A$6=0),0,IF(OR(143=$HA31,143=$HD31,143=$HG31),200000,MIN(IF($HA31=0,999999,IF(6=$HB31,IF(143=$HJ31,IF($JC31=2,30,0),IF(143=$HK31,IF($JC31=1,30,0),ABS(23-$HC31)*100)),100000+ABS(6-$HB31)*1000+230)),IF($HD31=0,999999,IF(6=$HE31,IF(143=$HL31,IF($JD31=2,30,0),IF(143=$HM31,IF($JD31=1,30,0),ABS(23-$HF31)*100)),100000+ABS(6-$HE31)*1000+230)),IF($HG31=0,999999,IF(6=$HH31,IF(143=$HN31,IF($JE31=2,30,0),IF(143=$HO31,IF($JE31=1,30,0),ABS(23-$HI31)*100)),100000+ABS(6-$HH31)*1000+230)))-IF((143=$HJ31)+(143=$HK31)+(143=$HL31)+(143=$HM31)+(143=$HN31)+(143=$HO31)&gt;=2,50,0))+EP$5*50)</f>
        <v/>
      </c>
      <c r="EQ151">
        <f>IF(OR($JF31=0,calcA!$A$6=0),0,IF(OR(144=$HA31,144=$HD31,144=$HG31),200000,MIN(IF($HA31=0,999999,IF(6=$HB31,IF(144=$HJ31,IF($JC31=2,30,0),IF(144=$HK31,IF($JC31=1,30,0),ABS(24-$HC31)*100)),100000+ABS(6-$HB31)*1000+240)),IF($HD31=0,999999,IF(6=$HE31,IF(144=$HL31,IF($JD31=2,30,0),IF(144=$HM31,IF($JD31=1,30,0),ABS(24-$HF31)*100)),100000+ABS(6-$HE31)*1000+240)),IF($HG31=0,999999,IF(6=$HH31,IF(144=$HN31,IF($JE31=2,30,0),IF(144=$HO31,IF($JE31=1,30,0),ABS(24-$HI31)*100)),100000+ABS(6-$HH31)*1000+240)))-IF((144=$HJ31)+(144=$HK31)+(144=$HL31)+(144=$HM31)+(144=$HN31)+(144=$HO31)&gt;=2,50,0))+EQ$5*50)</f>
        <v/>
      </c>
    </row>
    <row r="152">
      <c r="D152">
        <f>IF(OR($JF32=0,calcA!$A$6=0),0,IF(OR(1=$HA32,1=$HD32,1=$HG32),200000,MIN(IF($HA32=0,999999,IF(1=$HB32,IF(1=$HJ32,IF($JC32=2,30,0),IF(1=$HK32,IF($JC32=1,30,0),ABS(1-$HC32)*100)),100000+ABS(1-$HB32)*1000+10)),IF($HD32=0,999999,IF(1=$HE32,IF(1=$HL32,IF($JD32=2,30,0),IF(1=$HM32,IF($JD32=1,30,0),ABS(1-$HF32)*100)),100000+ABS(1-$HE32)*1000+10)),IF($HG32=0,999999,IF(1=$HH32,IF(1=$HN32,IF($JE32=2,30,0),IF(1=$HO32,IF($JE32=1,30,0),ABS(1-$HI32)*100)),100000+ABS(1-$HH32)*1000+10)))-IF((1=$HJ32)+(1=$HK32)+(1=$HL32)+(1=$HM32)+(1=$HN32)+(1=$HO32)&gt;=2,50,0))+D$5*50)</f>
        <v/>
      </c>
      <c r="E152">
        <f>IF(OR($JF32=0,calcA!$A$6=0),0,IF(OR(2=$HA32,2=$HD32,2=$HG32),200000,MIN(IF($HA32=0,999999,IF(1=$HB32,IF(2=$HJ32,IF($JC32=2,30,0),IF(2=$HK32,IF($JC32=1,30,0),ABS(2-$HC32)*100)),100000+ABS(1-$HB32)*1000+20)),IF($HD32=0,999999,IF(1=$HE32,IF(2=$HL32,IF($JD32=2,30,0),IF(2=$HM32,IF($JD32=1,30,0),ABS(2-$HF32)*100)),100000+ABS(1-$HE32)*1000+20)),IF($HG32=0,999999,IF(1=$HH32,IF(2=$HN32,IF($JE32=2,30,0),IF(2=$HO32,IF($JE32=1,30,0),ABS(2-$HI32)*100)),100000+ABS(1-$HH32)*1000+20)))-IF((2=$HJ32)+(2=$HK32)+(2=$HL32)+(2=$HM32)+(2=$HN32)+(2=$HO32)&gt;=2,50,0))+E$5*50)</f>
        <v/>
      </c>
      <c r="F152">
        <f>IF(OR($JF32=0,calcA!$A$6=0),0,IF(OR(3=$HA32,3=$HD32,3=$HG32),200000,MIN(IF($HA32=0,999999,IF(1=$HB32,IF(3=$HJ32,IF($JC32=2,30,0),IF(3=$HK32,IF($JC32=1,30,0),ABS(3-$HC32)*100)),100000+ABS(1-$HB32)*1000+30)),IF($HD32=0,999999,IF(1=$HE32,IF(3=$HL32,IF($JD32=2,30,0),IF(3=$HM32,IF($JD32=1,30,0),ABS(3-$HF32)*100)),100000+ABS(1-$HE32)*1000+30)),IF($HG32=0,999999,IF(1=$HH32,IF(3=$HN32,IF($JE32=2,30,0),IF(3=$HO32,IF($JE32=1,30,0),ABS(3-$HI32)*100)),100000+ABS(1-$HH32)*1000+30)))-IF((3=$HJ32)+(3=$HK32)+(3=$HL32)+(3=$HM32)+(3=$HN32)+(3=$HO32)&gt;=2,50,0))+F$5*50)</f>
        <v/>
      </c>
      <c r="G152">
        <f>IF(OR($JF32=0,calcA!$A$6=0),0,IF(OR(4=$HA32,4=$HD32,4=$HG32),200000,MIN(IF($HA32=0,999999,IF(1=$HB32,IF(4=$HJ32,IF($JC32=2,30,0),IF(4=$HK32,IF($JC32=1,30,0),ABS(4-$HC32)*100)),100000+ABS(1-$HB32)*1000+40)),IF($HD32=0,999999,IF(1=$HE32,IF(4=$HL32,IF($JD32=2,30,0),IF(4=$HM32,IF($JD32=1,30,0),ABS(4-$HF32)*100)),100000+ABS(1-$HE32)*1000+40)),IF($HG32=0,999999,IF(1=$HH32,IF(4=$HN32,IF($JE32=2,30,0),IF(4=$HO32,IF($JE32=1,30,0),ABS(4-$HI32)*100)),100000+ABS(1-$HH32)*1000+40)))-IF((4=$HJ32)+(4=$HK32)+(4=$HL32)+(4=$HM32)+(4=$HN32)+(4=$HO32)&gt;=2,50,0))+G$5*50)</f>
        <v/>
      </c>
      <c r="H152">
        <f>IF(OR($JF32=0,calcA!$A$6=0),0,IF(OR(5=$HA32,5=$HD32,5=$HG32),200000,MIN(IF($HA32=0,999999,IF(1=$HB32,IF(5=$HJ32,IF($JC32=2,30,0),IF(5=$HK32,IF($JC32=1,30,0),ABS(5-$HC32)*100)),100000+ABS(1-$HB32)*1000+50)),IF($HD32=0,999999,IF(1=$HE32,IF(5=$HL32,IF($JD32=2,30,0),IF(5=$HM32,IF($JD32=1,30,0),ABS(5-$HF32)*100)),100000+ABS(1-$HE32)*1000+50)),IF($HG32=0,999999,IF(1=$HH32,IF(5=$HN32,IF($JE32=2,30,0),IF(5=$HO32,IF($JE32=1,30,0),ABS(5-$HI32)*100)),100000+ABS(1-$HH32)*1000+50)))-IF((5=$HJ32)+(5=$HK32)+(5=$HL32)+(5=$HM32)+(5=$HN32)+(5=$HO32)&gt;=2,50,0))+H$5*50)</f>
        <v/>
      </c>
      <c r="I152">
        <f>IF(OR($JF32=0,calcA!$A$6=0),0,IF(OR(6=$HA32,6=$HD32,6=$HG32),200000,MIN(IF($HA32=0,999999,IF(1=$HB32,IF(6=$HJ32,IF($JC32=2,30,0),IF(6=$HK32,IF($JC32=1,30,0),ABS(6-$HC32)*100)),100000+ABS(1-$HB32)*1000+60)),IF($HD32=0,999999,IF(1=$HE32,IF(6=$HL32,IF($JD32=2,30,0),IF(6=$HM32,IF($JD32=1,30,0),ABS(6-$HF32)*100)),100000+ABS(1-$HE32)*1000+60)),IF($HG32=0,999999,IF(1=$HH32,IF(6=$HN32,IF($JE32=2,30,0),IF(6=$HO32,IF($JE32=1,30,0),ABS(6-$HI32)*100)),100000+ABS(1-$HH32)*1000+60)))-IF((6=$HJ32)+(6=$HK32)+(6=$HL32)+(6=$HM32)+(6=$HN32)+(6=$HO32)&gt;=2,50,0))+I$5*50)</f>
        <v/>
      </c>
      <c r="J152">
        <f>IF(OR($JF32=0,calcA!$A$6=0),0,IF(OR(7=$HA32,7=$HD32,7=$HG32),200000,MIN(IF($HA32=0,999999,IF(1=$HB32,IF(7=$HJ32,IF($JC32=2,30,0),IF(7=$HK32,IF($JC32=1,30,0),ABS(7-$HC32)*100)),100000+ABS(1-$HB32)*1000+70)),IF($HD32=0,999999,IF(1=$HE32,IF(7=$HL32,IF($JD32=2,30,0),IF(7=$HM32,IF($JD32=1,30,0),ABS(7-$HF32)*100)),100000+ABS(1-$HE32)*1000+70)),IF($HG32=0,999999,IF(1=$HH32,IF(7=$HN32,IF($JE32=2,30,0),IF(7=$HO32,IF($JE32=1,30,0),ABS(7-$HI32)*100)),100000+ABS(1-$HH32)*1000+70)))-IF((7=$HJ32)+(7=$HK32)+(7=$HL32)+(7=$HM32)+(7=$HN32)+(7=$HO32)&gt;=2,50,0))+J$5*50)</f>
        <v/>
      </c>
      <c r="K152">
        <f>IF(OR($JF32=0,calcA!$A$6=0),0,IF(OR(8=$HA32,8=$HD32,8=$HG32),200000,MIN(IF($HA32=0,999999,IF(1=$HB32,IF(8=$HJ32,IF($JC32=2,30,0),IF(8=$HK32,IF($JC32=1,30,0),ABS(8-$HC32)*100)),100000+ABS(1-$HB32)*1000+80)),IF($HD32=0,999999,IF(1=$HE32,IF(8=$HL32,IF($JD32=2,30,0),IF(8=$HM32,IF($JD32=1,30,0),ABS(8-$HF32)*100)),100000+ABS(1-$HE32)*1000+80)),IF($HG32=0,999999,IF(1=$HH32,IF(8=$HN32,IF($JE32=2,30,0),IF(8=$HO32,IF($JE32=1,30,0),ABS(8-$HI32)*100)),100000+ABS(1-$HH32)*1000+80)))-IF((8=$HJ32)+(8=$HK32)+(8=$HL32)+(8=$HM32)+(8=$HN32)+(8=$HO32)&gt;=2,50,0))+K$5*50)</f>
        <v/>
      </c>
      <c r="L152">
        <f>IF(OR($JF32=0,calcA!$A$6=0),0,IF(OR(9=$HA32,9=$HD32,9=$HG32),200000,MIN(IF($HA32=0,999999,IF(1=$HB32,IF(9=$HJ32,IF($JC32=2,30,0),IF(9=$HK32,IF($JC32=1,30,0),ABS(9-$HC32)*100)),100000+ABS(1-$HB32)*1000+90)),IF($HD32=0,999999,IF(1=$HE32,IF(9=$HL32,IF($JD32=2,30,0),IF(9=$HM32,IF($JD32=1,30,0),ABS(9-$HF32)*100)),100000+ABS(1-$HE32)*1000+90)),IF($HG32=0,999999,IF(1=$HH32,IF(9=$HN32,IF($JE32=2,30,0),IF(9=$HO32,IF($JE32=1,30,0),ABS(9-$HI32)*100)),100000+ABS(1-$HH32)*1000+90)))-IF((9=$HJ32)+(9=$HK32)+(9=$HL32)+(9=$HM32)+(9=$HN32)+(9=$HO32)&gt;=2,50,0))+L$5*50)</f>
        <v/>
      </c>
      <c r="M152">
        <f>IF(OR($JF32=0,calcA!$A$6=0),0,IF(OR(10=$HA32,10=$HD32,10=$HG32),200000,MIN(IF($HA32=0,999999,IF(1=$HB32,IF(10=$HJ32,IF($JC32=2,30,0),IF(10=$HK32,IF($JC32=1,30,0),ABS(10-$HC32)*100)),100000+ABS(1-$HB32)*1000+100)),IF($HD32=0,999999,IF(1=$HE32,IF(10=$HL32,IF($JD32=2,30,0),IF(10=$HM32,IF($JD32=1,30,0),ABS(10-$HF32)*100)),100000+ABS(1-$HE32)*1000+100)),IF($HG32=0,999999,IF(1=$HH32,IF(10=$HN32,IF($JE32=2,30,0),IF(10=$HO32,IF($JE32=1,30,0),ABS(10-$HI32)*100)),100000+ABS(1-$HH32)*1000+100)))-IF((10=$HJ32)+(10=$HK32)+(10=$HL32)+(10=$HM32)+(10=$HN32)+(10=$HO32)&gt;=2,50,0))+M$5*50)</f>
        <v/>
      </c>
      <c r="N152">
        <f>IF(OR($JF32=0,calcA!$A$6=0),0,IF(OR(11=$HA32,11=$HD32,11=$HG32),200000,MIN(IF($HA32=0,999999,IF(1=$HB32,IF(11=$HJ32,IF($JC32=2,30,0),IF(11=$HK32,IF($JC32=1,30,0),ABS(11-$HC32)*100)),100000+ABS(1-$HB32)*1000+110)),IF($HD32=0,999999,IF(1=$HE32,IF(11=$HL32,IF($JD32=2,30,0),IF(11=$HM32,IF($JD32=1,30,0),ABS(11-$HF32)*100)),100000+ABS(1-$HE32)*1000+110)),IF($HG32=0,999999,IF(1=$HH32,IF(11=$HN32,IF($JE32=2,30,0),IF(11=$HO32,IF($JE32=1,30,0),ABS(11-$HI32)*100)),100000+ABS(1-$HH32)*1000+110)))-IF((11=$HJ32)+(11=$HK32)+(11=$HL32)+(11=$HM32)+(11=$HN32)+(11=$HO32)&gt;=2,50,0))+N$5*50)</f>
        <v/>
      </c>
      <c r="O152">
        <f>IF(OR($JF32=0,calcA!$A$6=0),0,IF(OR(12=$HA32,12=$HD32,12=$HG32),200000,MIN(IF($HA32=0,999999,IF(1=$HB32,IF(12=$HJ32,IF($JC32=2,30,0),IF(12=$HK32,IF($JC32=1,30,0),ABS(12-$HC32)*100)),100000+ABS(1-$HB32)*1000+120)),IF($HD32=0,999999,IF(1=$HE32,IF(12=$HL32,IF($JD32=2,30,0),IF(12=$HM32,IF($JD32=1,30,0),ABS(12-$HF32)*100)),100000+ABS(1-$HE32)*1000+120)),IF($HG32=0,999999,IF(1=$HH32,IF(12=$HN32,IF($JE32=2,30,0),IF(12=$HO32,IF($JE32=1,30,0),ABS(12-$HI32)*100)),100000+ABS(1-$HH32)*1000+120)))-IF((12=$HJ32)+(12=$HK32)+(12=$HL32)+(12=$HM32)+(12=$HN32)+(12=$HO32)&gt;=2,50,0))+O$5*50)</f>
        <v/>
      </c>
      <c r="P152">
        <f>IF(OR($JF32=0,calcA!$A$6=0),0,IF(OR(13=$HA32,13=$HD32,13=$HG32),200000,MIN(IF($HA32=0,999999,IF(1=$HB32,IF(13=$HJ32,IF($JC32=2,30,0),IF(13=$HK32,IF($JC32=1,30,0),ABS(13-$HC32)*100)),100000+ABS(1-$HB32)*1000+130)),IF($HD32=0,999999,IF(1=$HE32,IF(13=$HL32,IF($JD32=2,30,0),IF(13=$HM32,IF($JD32=1,30,0),ABS(13-$HF32)*100)),100000+ABS(1-$HE32)*1000+130)),IF($HG32=0,999999,IF(1=$HH32,IF(13=$HN32,IF($JE32=2,30,0),IF(13=$HO32,IF($JE32=1,30,0),ABS(13-$HI32)*100)),100000+ABS(1-$HH32)*1000+130)))-IF((13=$HJ32)+(13=$HK32)+(13=$HL32)+(13=$HM32)+(13=$HN32)+(13=$HO32)&gt;=2,50,0))+P$5*50)</f>
        <v/>
      </c>
      <c r="Q152">
        <f>IF(OR($JF32=0,calcA!$A$6=0),0,IF(OR(14=$HA32,14=$HD32,14=$HG32),200000,MIN(IF($HA32=0,999999,IF(1=$HB32,IF(14=$HJ32,IF($JC32=2,30,0),IF(14=$HK32,IF($JC32=1,30,0),ABS(14-$HC32)*100)),100000+ABS(1-$HB32)*1000+140)),IF($HD32=0,999999,IF(1=$HE32,IF(14=$HL32,IF($JD32=2,30,0),IF(14=$HM32,IF($JD32=1,30,0),ABS(14-$HF32)*100)),100000+ABS(1-$HE32)*1000+140)),IF($HG32=0,999999,IF(1=$HH32,IF(14=$HN32,IF($JE32=2,30,0),IF(14=$HO32,IF($JE32=1,30,0),ABS(14-$HI32)*100)),100000+ABS(1-$HH32)*1000+140)))-IF((14=$HJ32)+(14=$HK32)+(14=$HL32)+(14=$HM32)+(14=$HN32)+(14=$HO32)&gt;=2,50,0))+Q$5*50)</f>
        <v/>
      </c>
      <c r="R152">
        <f>IF(OR($JF32=0,calcA!$A$6=0),0,IF(OR(15=$HA32,15=$HD32,15=$HG32),200000,MIN(IF($HA32=0,999999,IF(1=$HB32,IF(15=$HJ32,IF($JC32=2,30,0),IF(15=$HK32,IF($JC32=1,30,0),ABS(15-$HC32)*100)),100000+ABS(1-$HB32)*1000+150)),IF($HD32=0,999999,IF(1=$HE32,IF(15=$HL32,IF($JD32=2,30,0),IF(15=$HM32,IF($JD32=1,30,0),ABS(15-$HF32)*100)),100000+ABS(1-$HE32)*1000+150)),IF($HG32=0,999999,IF(1=$HH32,IF(15=$HN32,IF($JE32=2,30,0),IF(15=$HO32,IF($JE32=1,30,0),ABS(15-$HI32)*100)),100000+ABS(1-$HH32)*1000+150)))-IF((15=$HJ32)+(15=$HK32)+(15=$HL32)+(15=$HM32)+(15=$HN32)+(15=$HO32)&gt;=2,50,0))+R$5*50)</f>
        <v/>
      </c>
      <c r="S152">
        <f>IF(OR($JF32=0,calcA!$A$6=0),0,IF(OR(16=$HA32,16=$HD32,16=$HG32),200000,MIN(IF($HA32=0,999999,IF(1=$HB32,IF(16=$HJ32,IF($JC32=2,30,0),IF(16=$HK32,IF($JC32=1,30,0),ABS(16-$HC32)*100)),100000+ABS(1-$HB32)*1000+160)),IF($HD32=0,999999,IF(1=$HE32,IF(16=$HL32,IF($JD32=2,30,0),IF(16=$HM32,IF($JD32=1,30,0),ABS(16-$HF32)*100)),100000+ABS(1-$HE32)*1000+160)),IF($HG32=0,999999,IF(1=$HH32,IF(16=$HN32,IF($JE32=2,30,0),IF(16=$HO32,IF($JE32=1,30,0),ABS(16-$HI32)*100)),100000+ABS(1-$HH32)*1000+160)))-IF((16=$HJ32)+(16=$HK32)+(16=$HL32)+(16=$HM32)+(16=$HN32)+(16=$HO32)&gt;=2,50,0))+S$5*50)</f>
        <v/>
      </c>
      <c r="T152">
        <f>IF(OR($JF32=0,calcA!$A$6=0),0,IF(OR(17=$HA32,17=$HD32,17=$HG32),200000,MIN(IF($HA32=0,999999,IF(1=$HB32,IF(17=$HJ32,IF($JC32=2,30,0),IF(17=$HK32,IF($JC32=1,30,0),ABS(17-$HC32)*100)),100000+ABS(1-$HB32)*1000+170)),IF($HD32=0,999999,IF(1=$HE32,IF(17=$HL32,IF($JD32=2,30,0),IF(17=$HM32,IF($JD32=1,30,0),ABS(17-$HF32)*100)),100000+ABS(1-$HE32)*1000+170)),IF($HG32=0,999999,IF(1=$HH32,IF(17=$HN32,IF($JE32=2,30,0),IF(17=$HO32,IF($JE32=1,30,0),ABS(17-$HI32)*100)),100000+ABS(1-$HH32)*1000+170)))-IF((17=$HJ32)+(17=$HK32)+(17=$HL32)+(17=$HM32)+(17=$HN32)+(17=$HO32)&gt;=2,50,0))+T$5*50)</f>
        <v/>
      </c>
      <c r="U152">
        <f>IF(OR($JF32=0,calcA!$A$6=0),0,IF(OR(18=$HA32,18=$HD32,18=$HG32),200000,MIN(IF($HA32=0,999999,IF(1=$HB32,IF(18=$HJ32,IF($JC32=2,30,0),IF(18=$HK32,IF($JC32=1,30,0),ABS(18-$HC32)*100)),100000+ABS(1-$HB32)*1000+180)),IF($HD32=0,999999,IF(1=$HE32,IF(18=$HL32,IF($JD32=2,30,0),IF(18=$HM32,IF($JD32=1,30,0),ABS(18-$HF32)*100)),100000+ABS(1-$HE32)*1000+180)),IF($HG32=0,999999,IF(1=$HH32,IF(18=$HN32,IF($JE32=2,30,0),IF(18=$HO32,IF($JE32=1,30,0),ABS(18-$HI32)*100)),100000+ABS(1-$HH32)*1000+180)))-IF((18=$HJ32)+(18=$HK32)+(18=$HL32)+(18=$HM32)+(18=$HN32)+(18=$HO32)&gt;=2,50,0))+U$5*50)</f>
        <v/>
      </c>
      <c r="V152">
        <f>IF(OR($JF32=0,calcA!$A$6=0),0,IF(OR(19=$HA32,19=$HD32,19=$HG32),200000,MIN(IF($HA32=0,999999,IF(1=$HB32,IF(19=$HJ32,IF($JC32=2,30,0),IF(19=$HK32,IF($JC32=1,30,0),ABS(19-$HC32)*100)),100000+ABS(1-$HB32)*1000+190)),IF($HD32=0,999999,IF(1=$HE32,IF(19=$HL32,IF($JD32=2,30,0),IF(19=$HM32,IF($JD32=1,30,0),ABS(19-$HF32)*100)),100000+ABS(1-$HE32)*1000+190)),IF($HG32=0,999999,IF(1=$HH32,IF(19=$HN32,IF($JE32=2,30,0),IF(19=$HO32,IF($JE32=1,30,0),ABS(19-$HI32)*100)),100000+ABS(1-$HH32)*1000+190)))-IF((19=$HJ32)+(19=$HK32)+(19=$HL32)+(19=$HM32)+(19=$HN32)+(19=$HO32)&gt;=2,50,0))+V$5*50)</f>
        <v/>
      </c>
      <c r="W152">
        <f>IF(OR($JF32=0,calcA!$A$6=0),0,IF(OR(20=$HA32,20=$HD32,20=$HG32),200000,MIN(IF($HA32=0,999999,IF(1=$HB32,IF(20=$HJ32,IF($JC32=2,30,0),IF(20=$HK32,IF($JC32=1,30,0),ABS(20-$HC32)*100)),100000+ABS(1-$HB32)*1000+200)),IF($HD32=0,999999,IF(1=$HE32,IF(20=$HL32,IF($JD32=2,30,0),IF(20=$HM32,IF($JD32=1,30,0),ABS(20-$HF32)*100)),100000+ABS(1-$HE32)*1000+200)),IF($HG32=0,999999,IF(1=$HH32,IF(20=$HN32,IF($JE32=2,30,0),IF(20=$HO32,IF($JE32=1,30,0),ABS(20-$HI32)*100)),100000+ABS(1-$HH32)*1000+200)))-IF((20=$HJ32)+(20=$HK32)+(20=$HL32)+(20=$HM32)+(20=$HN32)+(20=$HO32)&gt;=2,50,0))+W$5*50)</f>
        <v/>
      </c>
      <c r="X152">
        <f>IF(OR($JF32=0,calcA!$A$6=0),0,IF(OR(21=$HA32,21=$HD32,21=$HG32),200000,MIN(IF($HA32=0,999999,IF(1=$HB32,IF(21=$HJ32,IF($JC32=2,30,0),IF(21=$HK32,IF($JC32=1,30,0),ABS(21-$HC32)*100)),100000+ABS(1-$HB32)*1000+210)),IF($HD32=0,999999,IF(1=$HE32,IF(21=$HL32,IF($JD32=2,30,0),IF(21=$HM32,IF($JD32=1,30,0),ABS(21-$HF32)*100)),100000+ABS(1-$HE32)*1000+210)),IF($HG32=0,999999,IF(1=$HH32,IF(21=$HN32,IF($JE32=2,30,0),IF(21=$HO32,IF($JE32=1,30,0),ABS(21-$HI32)*100)),100000+ABS(1-$HH32)*1000+210)))-IF((21=$HJ32)+(21=$HK32)+(21=$HL32)+(21=$HM32)+(21=$HN32)+(21=$HO32)&gt;=2,50,0))+X$5*50)</f>
        <v/>
      </c>
      <c r="Y152">
        <f>IF(OR($JF32=0,calcA!$A$6=0),0,IF(OR(22=$HA32,22=$HD32,22=$HG32),200000,MIN(IF($HA32=0,999999,IF(1=$HB32,IF(22=$HJ32,IF($JC32=2,30,0),IF(22=$HK32,IF($JC32=1,30,0),ABS(22-$HC32)*100)),100000+ABS(1-$HB32)*1000+220)),IF($HD32=0,999999,IF(1=$HE32,IF(22=$HL32,IF($JD32=2,30,0),IF(22=$HM32,IF($JD32=1,30,0),ABS(22-$HF32)*100)),100000+ABS(1-$HE32)*1000+220)),IF($HG32=0,999999,IF(1=$HH32,IF(22=$HN32,IF($JE32=2,30,0),IF(22=$HO32,IF($JE32=1,30,0),ABS(22-$HI32)*100)),100000+ABS(1-$HH32)*1000+220)))-IF((22=$HJ32)+(22=$HK32)+(22=$HL32)+(22=$HM32)+(22=$HN32)+(22=$HO32)&gt;=2,50,0))+Y$5*50)</f>
        <v/>
      </c>
      <c r="Z152">
        <f>IF(OR($JF32=0,calcA!$A$6=0),0,IF(OR(23=$HA32,23=$HD32,23=$HG32),200000,MIN(IF($HA32=0,999999,IF(1=$HB32,IF(23=$HJ32,IF($JC32=2,30,0),IF(23=$HK32,IF($JC32=1,30,0),ABS(23-$HC32)*100)),100000+ABS(1-$HB32)*1000+230)),IF($HD32=0,999999,IF(1=$HE32,IF(23=$HL32,IF($JD32=2,30,0),IF(23=$HM32,IF($JD32=1,30,0),ABS(23-$HF32)*100)),100000+ABS(1-$HE32)*1000+230)),IF($HG32=0,999999,IF(1=$HH32,IF(23=$HN32,IF($JE32=2,30,0),IF(23=$HO32,IF($JE32=1,30,0),ABS(23-$HI32)*100)),100000+ABS(1-$HH32)*1000+230)))-IF((23=$HJ32)+(23=$HK32)+(23=$HL32)+(23=$HM32)+(23=$HN32)+(23=$HO32)&gt;=2,50,0))+Z$5*50)</f>
        <v/>
      </c>
      <c r="AA152">
        <f>IF(OR($JF32=0,calcA!$A$6=0),0,IF(OR(24=$HA32,24=$HD32,24=$HG32),200000,MIN(IF($HA32=0,999999,IF(1=$HB32,IF(24=$HJ32,IF($JC32=2,30,0),IF(24=$HK32,IF($JC32=1,30,0),ABS(24-$HC32)*100)),100000+ABS(1-$HB32)*1000+240)),IF($HD32=0,999999,IF(1=$HE32,IF(24=$HL32,IF($JD32=2,30,0),IF(24=$HM32,IF($JD32=1,30,0),ABS(24-$HF32)*100)),100000+ABS(1-$HE32)*1000+240)),IF($HG32=0,999999,IF(1=$HH32,IF(24=$HN32,IF($JE32=2,30,0),IF(24=$HO32,IF($JE32=1,30,0),ABS(24-$HI32)*100)),100000+ABS(1-$HH32)*1000+240)))-IF((24=$HJ32)+(24=$HK32)+(24=$HL32)+(24=$HM32)+(24=$HN32)+(24=$HO32)&gt;=2,50,0))+AA$5*50)</f>
        <v/>
      </c>
      <c r="AB152">
        <f>IF(OR($JF32=0,calcA!$A$6=0),0,IF(OR(25=$HA32,25=$HD32,25=$HG32),200000,MIN(IF($HA32=0,999999,IF(2=$HB32,IF(25=$HJ32,IF($JC32=2,30,0),IF(25=$HK32,IF($JC32=1,30,0),ABS(1-$HC32)*100)),100000+ABS(2-$HB32)*1000+10)),IF($HD32=0,999999,IF(2=$HE32,IF(25=$HL32,IF($JD32=2,30,0),IF(25=$HM32,IF($JD32=1,30,0),ABS(1-$HF32)*100)),100000+ABS(2-$HE32)*1000+10)),IF($HG32=0,999999,IF(2=$HH32,IF(25=$HN32,IF($JE32=2,30,0),IF(25=$HO32,IF($JE32=1,30,0),ABS(1-$HI32)*100)),100000+ABS(2-$HH32)*1000+10)))-IF((25=$HJ32)+(25=$HK32)+(25=$HL32)+(25=$HM32)+(25=$HN32)+(25=$HO32)&gt;=2,50,0))+AB$5*50)</f>
        <v/>
      </c>
      <c r="AC152">
        <f>IF(OR($JF32=0,calcA!$A$6=0),0,IF(OR(26=$HA32,26=$HD32,26=$HG32),200000,MIN(IF($HA32=0,999999,IF(2=$HB32,IF(26=$HJ32,IF($JC32=2,30,0),IF(26=$HK32,IF($JC32=1,30,0),ABS(2-$HC32)*100)),100000+ABS(2-$HB32)*1000+20)),IF($HD32=0,999999,IF(2=$HE32,IF(26=$HL32,IF($JD32=2,30,0),IF(26=$HM32,IF($JD32=1,30,0),ABS(2-$HF32)*100)),100000+ABS(2-$HE32)*1000+20)),IF($HG32=0,999999,IF(2=$HH32,IF(26=$HN32,IF($JE32=2,30,0),IF(26=$HO32,IF($JE32=1,30,0),ABS(2-$HI32)*100)),100000+ABS(2-$HH32)*1000+20)))-IF((26=$HJ32)+(26=$HK32)+(26=$HL32)+(26=$HM32)+(26=$HN32)+(26=$HO32)&gt;=2,50,0))+AC$5*50)</f>
        <v/>
      </c>
      <c r="AD152">
        <f>IF(OR($JF32=0,calcA!$A$6=0),0,IF(OR(27=$HA32,27=$HD32,27=$HG32),200000,MIN(IF($HA32=0,999999,IF(2=$HB32,IF(27=$HJ32,IF($JC32=2,30,0),IF(27=$HK32,IF($JC32=1,30,0),ABS(3-$HC32)*100)),100000+ABS(2-$HB32)*1000+30)),IF($HD32=0,999999,IF(2=$HE32,IF(27=$HL32,IF($JD32=2,30,0),IF(27=$HM32,IF($JD32=1,30,0),ABS(3-$HF32)*100)),100000+ABS(2-$HE32)*1000+30)),IF($HG32=0,999999,IF(2=$HH32,IF(27=$HN32,IF($JE32=2,30,0),IF(27=$HO32,IF($JE32=1,30,0),ABS(3-$HI32)*100)),100000+ABS(2-$HH32)*1000+30)))-IF((27=$HJ32)+(27=$HK32)+(27=$HL32)+(27=$HM32)+(27=$HN32)+(27=$HO32)&gt;=2,50,0))+AD$5*50)</f>
        <v/>
      </c>
      <c r="AE152">
        <f>IF(OR($JF32=0,calcA!$A$6=0),0,IF(OR(28=$HA32,28=$HD32,28=$HG32),200000,MIN(IF($HA32=0,999999,IF(2=$HB32,IF(28=$HJ32,IF($JC32=2,30,0),IF(28=$HK32,IF($JC32=1,30,0),ABS(4-$HC32)*100)),100000+ABS(2-$HB32)*1000+40)),IF($HD32=0,999999,IF(2=$HE32,IF(28=$HL32,IF($JD32=2,30,0),IF(28=$HM32,IF($JD32=1,30,0),ABS(4-$HF32)*100)),100000+ABS(2-$HE32)*1000+40)),IF($HG32=0,999999,IF(2=$HH32,IF(28=$HN32,IF($JE32=2,30,0),IF(28=$HO32,IF($JE32=1,30,0),ABS(4-$HI32)*100)),100000+ABS(2-$HH32)*1000+40)))-IF((28=$HJ32)+(28=$HK32)+(28=$HL32)+(28=$HM32)+(28=$HN32)+(28=$HO32)&gt;=2,50,0))+AE$5*50)</f>
        <v/>
      </c>
      <c r="AF152">
        <f>IF(OR($JF32=0,calcA!$A$6=0),0,IF(OR(29=$HA32,29=$HD32,29=$HG32),200000,MIN(IF($HA32=0,999999,IF(2=$HB32,IF(29=$HJ32,IF($JC32=2,30,0),IF(29=$HK32,IF($JC32=1,30,0),ABS(5-$HC32)*100)),100000+ABS(2-$HB32)*1000+50)),IF($HD32=0,999999,IF(2=$HE32,IF(29=$HL32,IF($JD32=2,30,0),IF(29=$HM32,IF($JD32=1,30,0),ABS(5-$HF32)*100)),100000+ABS(2-$HE32)*1000+50)),IF($HG32=0,999999,IF(2=$HH32,IF(29=$HN32,IF($JE32=2,30,0),IF(29=$HO32,IF($JE32=1,30,0),ABS(5-$HI32)*100)),100000+ABS(2-$HH32)*1000+50)))-IF((29=$HJ32)+(29=$HK32)+(29=$HL32)+(29=$HM32)+(29=$HN32)+(29=$HO32)&gt;=2,50,0))+AF$5*50)</f>
        <v/>
      </c>
      <c r="AG152">
        <f>IF(OR($JF32=0,calcA!$A$6=0),0,IF(OR(30=$HA32,30=$HD32,30=$HG32),200000,MIN(IF($HA32=0,999999,IF(2=$HB32,IF(30=$HJ32,IF($JC32=2,30,0),IF(30=$HK32,IF($JC32=1,30,0),ABS(6-$HC32)*100)),100000+ABS(2-$HB32)*1000+60)),IF($HD32=0,999999,IF(2=$HE32,IF(30=$HL32,IF($JD32=2,30,0),IF(30=$HM32,IF($JD32=1,30,0),ABS(6-$HF32)*100)),100000+ABS(2-$HE32)*1000+60)),IF($HG32=0,999999,IF(2=$HH32,IF(30=$HN32,IF($JE32=2,30,0),IF(30=$HO32,IF($JE32=1,30,0),ABS(6-$HI32)*100)),100000+ABS(2-$HH32)*1000+60)))-IF((30=$HJ32)+(30=$HK32)+(30=$HL32)+(30=$HM32)+(30=$HN32)+(30=$HO32)&gt;=2,50,0))+AG$5*50)</f>
        <v/>
      </c>
      <c r="AH152">
        <f>IF(OR($JF32=0,calcA!$A$6=0),0,IF(OR(31=$HA32,31=$HD32,31=$HG32),200000,MIN(IF($HA32=0,999999,IF(2=$HB32,IF(31=$HJ32,IF($JC32=2,30,0),IF(31=$HK32,IF($JC32=1,30,0),ABS(7-$HC32)*100)),100000+ABS(2-$HB32)*1000+70)),IF($HD32=0,999999,IF(2=$HE32,IF(31=$HL32,IF($JD32=2,30,0),IF(31=$HM32,IF($JD32=1,30,0),ABS(7-$HF32)*100)),100000+ABS(2-$HE32)*1000+70)),IF($HG32=0,999999,IF(2=$HH32,IF(31=$HN32,IF($JE32=2,30,0),IF(31=$HO32,IF($JE32=1,30,0),ABS(7-$HI32)*100)),100000+ABS(2-$HH32)*1000+70)))-IF((31=$HJ32)+(31=$HK32)+(31=$HL32)+(31=$HM32)+(31=$HN32)+(31=$HO32)&gt;=2,50,0))+AH$5*50)</f>
        <v/>
      </c>
      <c r="AI152">
        <f>IF(OR($JF32=0,calcA!$A$6=0),0,IF(OR(32=$HA32,32=$HD32,32=$HG32),200000,MIN(IF($HA32=0,999999,IF(2=$HB32,IF(32=$HJ32,IF($JC32=2,30,0),IF(32=$HK32,IF($JC32=1,30,0),ABS(8-$HC32)*100)),100000+ABS(2-$HB32)*1000+80)),IF($HD32=0,999999,IF(2=$HE32,IF(32=$HL32,IF($JD32=2,30,0),IF(32=$HM32,IF($JD32=1,30,0),ABS(8-$HF32)*100)),100000+ABS(2-$HE32)*1000+80)),IF($HG32=0,999999,IF(2=$HH32,IF(32=$HN32,IF($JE32=2,30,0),IF(32=$HO32,IF($JE32=1,30,0),ABS(8-$HI32)*100)),100000+ABS(2-$HH32)*1000+80)))-IF((32=$HJ32)+(32=$HK32)+(32=$HL32)+(32=$HM32)+(32=$HN32)+(32=$HO32)&gt;=2,50,0))+AI$5*50)</f>
        <v/>
      </c>
      <c r="AJ152">
        <f>IF(OR($JF32=0,calcA!$A$6=0),0,IF(OR(33=$HA32,33=$HD32,33=$HG32),200000,MIN(IF($HA32=0,999999,IF(2=$HB32,IF(33=$HJ32,IF($JC32=2,30,0),IF(33=$HK32,IF($JC32=1,30,0),ABS(9-$HC32)*100)),100000+ABS(2-$HB32)*1000+90)),IF($HD32=0,999999,IF(2=$HE32,IF(33=$HL32,IF($JD32=2,30,0),IF(33=$HM32,IF($JD32=1,30,0),ABS(9-$HF32)*100)),100000+ABS(2-$HE32)*1000+90)),IF($HG32=0,999999,IF(2=$HH32,IF(33=$HN32,IF($JE32=2,30,0),IF(33=$HO32,IF($JE32=1,30,0),ABS(9-$HI32)*100)),100000+ABS(2-$HH32)*1000+90)))-IF((33=$HJ32)+(33=$HK32)+(33=$HL32)+(33=$HM32)+(33=$HN32)+(33=$HO32)&gt;=2,50,0))+AJ$5*50)</f>
        <v/>
      </c>
      <c r="AK152">
        <f>IF(OR($JF32=0,calcA!$A$6=0),0,IF(OR(34=$HA32,34=$HD32,34=$HG32),200000,MIN(IF($HA32=0,999999,IF(2=$HB32,IF(34=$HJ32,IF($JC32=2,30,0),IF(34=$HK32,IF($JC32=1,30,0),ABS(10-$HC32)*100)),100000+ABS(2-$HB32)*1000+100)),IF($HD32=0,999999,IF(2=$HE32,IF(34=$HL32,IF($JD32=2,30,0),IF(34=$HM32,IF($JD32=1,30,0),ABS(10-$HF32)*100)),100000+ABS(2-$HE32)*1000+100)),IF($HG32=0,999999,IF(2=$HH32,IF(34=$HN32,IF($JE32=2,30,0),IF(34=$HO32,IF($JE32=1,30,0),ABS(10-$HI32)*100)),100000+ABS(2-$HH32)*1000+100)))-IF((34=$HJ32)+(34=$HK32)+(34=$HL32)+(34=$HM32)+(34=$HN32)+(34=$HO32)&gt;=2,50,0))+AK$5*50)</f>
        <v/>
      </c>
      <c r="AL152">
        <f>IF(OR($JF32=0,calcA!$A$6=0),0,IF(OR(35=$HA32,35=$HD32,35=$HG32),200000,MIN(IF($HA32=0,999999,IF(2=$HB32,IF(35=$HJ32,IF($JC32=2,30,0),IF(35=$HK32,IF($JC32=1,30,0),ABS(11-$HC32)*100)),100000+ABS(2-$HB32)*1000+110)),IF($HD32=0,999999,IF(2=$HE32,IF(35=$HL32,IF($JD32=2,30,0),IF(35=$HM32,IF($JD32=1,30,0),ABS(11-$HF32)*100)),100000+ABS(2-$HE32)*1000+110)),IF($HG32=0,999999,IF(2=$HH32,IF(35=$HN32,IF($JE32=2,30,0),IF(35=$HO32,IF($JE32=1,30,0),ABS(11-$HI32)*100)),100000+ABS(2-$HH32)*1000+110)))-IF((35=$HJ32)+(35=$HK32)+(35=$HL32)+(35=$HM32)+(35=$HN32)+(35=$HO32)&gt;=2,50,0))+AL$5*50)</f>
        <v/>
      </c>
      <c r="AM152">
        <f>IF(OR($JF32=0,calcA!$A$6=0),0,IF(OR(36=$HA32,36=$HD32,36=$HG32),200000,MIN(IF($HA32=0,999999,IF(2=$HB32,IF(36=$HJ32,IF($JC32=2,30,0),IF(36=$HK32,IF($JC32=1,30,0),ABS(12-$HC32)*100)),100000+ABS(2-$HB32)*1000+120)),IF($HD32=0,999999,IF(2=$HE32,IF(36=$HL32,IF($JD32=2,30,0),IF(36=$HM32,IF($JD32=1,30,0),ABS(12-$HF32)*100)),100000+ABS(2-$HE32)*1000+120)),IF($HG32=0,999999,IF(2=$HH32,IF(36=$HN32,IF($JE32=2,30,0),IF(36=$HO32,IF($JE32=1,30,0),ABS(12-$HI32)*100)),100000+ABS(2-$HH32)*1000+120)))-IF((36=$HJ32)+(36=$HK32)+(36=$HL32)+(36=$HM32)+(36=$HN32)+(36=$HO32)&gt;=2,50,0))+AM$5*50)</f>
        <v/>
      </c>
      <c r="AN152">
        <f>IF(OR($JF32=0,calcA!$A$6=0),0,IF(OR(37=$HA32,37=$HD32,37=$HG32),200000,MIN(IF($HA32=0,999999,IF(2=$HB32,IF(37=$HJ32,IF($JC32=2,30,0),IF(37=$HK32,IF($JC32=1,30,0),ABS(13-$HC32)*100)),100000+ABS(2-$HB32)*1000+130)),IF($HD32=0,999999,IF(2=$HE32,IF(37=$HL32,IF($JD32=2,30,0),IF(37=$HM32,IF($JD32=1,30,0),ABS(13-$HF32)*100)),100000+ABS(2-$HE32)*1000+130)),IF($HG32=0,999999,IF(2=$HH32,IF(37=$HN32,IF($JE32=2,30,0),IF(37=$HO32,IF($JE32=1,30,0),ABS(13-$HI32)*100)),100000+ABS(2-$HH32)*1000+130)))-IF((37=$HJ32)+(37=$HK32)+(37=$HL32)+(37=$HM32)+(37=$HN32)+(37=$HO32)&gt;=2,50,0))+AN$5*50)</f>
        <v/>
      </c>
      <c r="AO152">
        <f>IF(OR($JF32=0,calcA!$A$6=0),0,IF(OR(38=$HA32,38=$HD32,38=$HG32),200000,MIN(IF($HA32=0,999999,IF(2=$HB32,IF(38=$HJ32,IF($JC32=2,30,0),IF(38=$HK32,IF($JC32=1,30,0),ABS(14-$HC32)*100)),100000+ABS(2-$HB32)*1000+140)),IF($HD32=0,999999,IF(2=$HE32,IF(38=$HL32,IF($JD32=2,30,0),IF(38=$HM32,IF($JD32=1,30,0),ABS(14-$HF32)*100)),100000+ABS(2-$HE32)*1000+140)),IF($HG32=0,999999,IF(2=$HH32,IF(38=$HN32,IF($JE32=2,30,0),IF(38=$HO32,IF($JE32=1,30,0),ABS(14-$HI32)*100)),100000+ABS(2-$HH32)*1000+140)))-IF((38=$HJ32)+(38=$HK32)+(38=$HL32)+(38=$HM32)+(38=$HN32)+(38=$HO32)&gt;=2,50,0))+AO$5*50)</f>
        <v/>
      </c>
      <c r="AP152">
        <f>IF(OR($JF32=0,calcA!$A$6=0),0,IF(OR(39=$HA32,39=$HD32,39=$HG32),200000,MIN(IF($HA32=0,999999,IF(2=$HB32,IF(39=$HJ32,IF($JC32=2,30,0),IF(39=$HK32,IF($JC32=1,30,0),ABS(15-$HC32)*100)),100000+ABS(2-$HB32)*1000+150)),IF($HD32=0,999999,IF(2=$HE32,IF(39=$HL32,IF($JD32=2,30,0),IF(39=$HM32,IF($JD32=1,30,0),ABS(15-$HF32)*100)),100000+ABS(2-$HE32)*1000+150)),IF($HG32=0,999999,IF(2=$HH32,IF(39=$HN32,IF($JE32=2,30,0),IF(39=$HO32,IF($JE32=1,30,0),ABS(15-$HI32)*100)),100000+ABS(2-$HH32)*1000+150)))-IF((39=$HJ32)+(39=$HK32)+(39=$HL32)+(39=$HM32)+(39=$HN32)+(39=$HO32)&gt;=2,50,0))+AP$5*50)</f>
        <v/>
      </c>
      <c r="AQ152">
        <f>IF(OR($JF32=0,calcA!$A$6=0),0,IF(OR(40=$HA32,40=$HD32,40=$HG32),200000,MIN(IF($HA32=0,999999,IF(2=$HB32,IF(40=$HJ32,IF($JC32=2,30,0),IF(40=$HK32,IF($JC32=1,30,0),ABS(16-$HC32)*100)),100000+ABS(2-$HB32)*1000+160)),IF($HD32=0,999999,IF(2=$HE32,IF(40=$HL32,IF($JD32=2,30,0),IF(40=$HM32,IF($JD32=1,30,0),ABS(16-$HF32)*100)),100000+ABS(2-$HE32)*1000+160)),IF($HG32=0,999999,IF(2=$HH32,IF(40=$HN32,IF($JE32=2,30,0),IF(40=$HO32,IF($JE32=1,30,0),ABS(16-$HI32)*100)),100000+ABS(2-$HH32)*1000+160)))-IF((40=$HJ32)+(40=$HK32)+(40=$HL32)+(40=$HM32)+(40=$HN32)+(40=$HO32)&gt;=2,50,0))+AQ$5*50)</f>
        <v/>
      </c>
      <c r="AR152">
        <f>IF(OR($JF32=0,calcA!$A$6=0),0,IF(OR(41=$HA32,41=$HD32,41=$HG32),200000,MIN(IF($HA32=0,999999,IF(2=$HB32,IF(41=$HJ32,IF($JC32=2,30,0),IF(41=$HK32,IF($JC32=1,30,0),ABS(17-$HC32)*100)),100000+ABS(2-$HB32)*1000+170)),IF($HD32=0,999999,IF(2=$HE32,IF(41=$HL32,IF($JD32=2,30,0),IF(41=$HM32,IF($JD32=1,30,0),ABS(17-$HF32)*100)),100000+ABS(2-$HE32)*1000+170)),IF($HG32=0,999999,IF(2=$HH32,IF(41=$HN32,IF($JE32=2,30,0),IF(41=$HO32,IF($JE32=1,30,0),ABS(17-$HI32)*100)),100000+ABS(2-$HH32)*1000+170)))-IF((41=$HJ32)+(41=$HK32)+(41=$HL32)+(41=$HM32)+(41=$HN32)+(41=$HO32)&gt;=2,50,0))+AR$5*50)</f>
        <v/>
      </c>
      <c r="AS152">
        <f>IF(OR($JF32=0,calcA!$A$6=0),0,IF(OR(42=$HA32,42=$HD32,42=$HG32),200000,MIN(IF($HA32=0,999999,IF(2=$HB32,IF(42=$HJ32,IF($JC32=2,30,0),IF(42=$HK32,IF($JC32=1,30,0),ABS(18-$HC32)*100)),100000+ABS(2-$HB32)*1000+180)),IF($HD32=0,999999,IF(2=$HE32,IF(42=$HL32,IF($JD32=2,30,0),IF(42=$HM32,IF($JD32=1,30,0),ABS(18-$HF32)*100)),100000+ABS(2-$HE32)*1000+180)),IF($HG32=0,999999,IF(2=$HH32,IF(42=$HN32,IF($JE32=2,30,0),IF(42=$HO32,IF($JE32=1,30,0),ABS(18-$HI32)*100)),100000+ABS(2-$HH32)*1000+180)))-IF((42=$HJ32)+(42=$HK32)+(42=$HL32)+(42=$HM32)+(42=$HN32)+(42=$HO32)&gt;=2,50,0))+AS$5*50)</f>
        <v/>
      </c>
      <c r="AT152">
        <f>IF(OR($JF32=0,calcA!$A$6=0),0,IF(OR(43=$HA32,43=$HD32,43=$HG32),200000,MIN(IF($HA32=0,999999,IF(2=$HB32,IF(43=$HJ32,IF($JC32=2,30,0),IF(43=$HK32,IF($JC32=1,30,0),ABS(19-$HC32)*100)),100000+ABS(2-$HB32)*1000+190)),IF($HD32=0,999999,IF(2=$HE32,IF(43=$HL32,IF($JD32=2,30,0),IF(43=$HM32,IF($JD32=1,30,0),ABS(19-$HF32)*100)),100000+ABS(2-$HE32)*1000+190)),IF($HG32=0,999999,IF(2=$HH32,IF(43=$HN32,IF($JE32=2,30,0),IF(43=$HO32,IF($JE32=1,30,0),ABS(19-$HI32)*100)),100000+ABS(2-$HH32)*1000+190)))-IF((43=$HJ32)+(43=$HK32)+(43=$HL32)+(43=$HM32)+(43=$HN32)+(43=$HO32)&gt;=2,50,0))+AT$5*50)</f>
        <v/>
      </c>
      <c r="AU152">
        <f>IF(OR($JF32=0,calcA!$A$6=0),0,IF(OR(44=$HA32,44=$HD32,44=$HG32),200000,MIN(IF($HA32=0,999999,IF(2=$HB32,IF(44=$HJ32,IF($JC32=2,30,0),IF(44=$HK32,IF($JC32=1,30,0),ABS(20-$HC32)*100)),100000+ABS(2-$HB32)*1000+200)),IF($HD32=0,999999,IF(2=$HE32,IF(44=$HL32,IF($JD32=2,30,0),IF(44=$HM32,IF($JD32=1,30,0),ABS(20-$HF32)*100)),100000+ABS(2-$HE32)*1000+200)),IF($HG32=0,999999,IF(2=$HH32,IF(44=$HN32,IF($JE32=2,30,0),IF(44=$HO32,IF($JE32=1,30,0),ABS(20-$HI32)*100)),100000+ABS(2-$HH32)*1000+200)))-IF((44=$HJ32)+(44=$HK32)+(44=$HL32)+(44=$HM32)+(44=$HN32)+(44=$HO32)&gt;=2,50,0))+AU$5*50)</f>
        <v/>
      </c>
      <c r="AV152">
        <f>IF(OR($JF32=0,calcA!$A$6=0),0,IF(OR(45=$HA32,45=$HD32,45=$HG32),200000,MIN(IF($HA32=0,999999,IF(2=$HB32,IF(45=$HJ32,IF($JC32=2,30,0),IF(45=$HK32,IF($JC32=1,30,0),ABS(21-$HC32)*100)),100000+ABS(2-$HB32)*1000+210)),IF($HD32=0,999999,IF(2=$HE32,IF(45=$HL32,IF($JD32=2,30,0),IF(45=$HM32,IF($JD32=1,30,0),ABS(21-$HF32)*100)),100000+ABS(2-$HE32)*1000+210)),IF($HG32=0,999999,IF(2=$HH32,IF(45=$HN32,IF($JE32=2,30,0),IF(45=$HO32,IF($JE32=1,30,0),ABS(21-$HI32)*100)),100000+ABS(2-$HH32)*1000+210)))-IF((45=$HJ32)+(45=$HK32)+(45=$HL32)+(45=$HM32)+(45=$HN32)+(45=$HO32)&gt;=2,50,0))+AV$5*50)</f>
        <v/>
      </c>
      <c r="AW152">
        <f>IF(OR($JF32=0,calcA!$A$6=0),0,IF(OR(46=$HA32,46=$HD32,46=$HG32),200000,MIN(IF($HA32=0,999999,IF(2=$HB32,IF(46=$HJ32,IF($JC32=2,30,0),IF(46=$HK32,IF($JC32=1,30,0),ABS(22-$HC32)*100)),100000+ABS(2-$HB32)*1000+220)),IF($HD32=0,999999,IF(2=$HE32,IF(46=$HL32,IF($JD32=2,30,0),IF(46=$HM32,IF($JD32=1,30,0),ABS(22-$HF32)*100)),100000+ABS(2-$HE32)*1000+220)),IF($HG32=0,999999,IF(2=$HH32,IF(46=$HN32,IF($JE32=2,30,0),IF(46=$HO32,IF($JE32=1,30,0),ABS(22-$HI32)*100)),100000+ABS(2-$HH32)*1000+220)))-IF((46=$HJ32)+(46=$HK32)+(46=$HL32)+(46=$HM32)+(46=$HN32)+(46=$HO32)&gt;=2,50,0))+AW$5*50)</f>
        <v/>
      </c>
      <c r="AX152">
        <f>IF(OR($JF32=0,calcA!$A$6=0),0,IF(OR(47=$HA32,47=$HD32,47=$HG32),200000,MIN(IF($HA32=0,999999,IF(2=$HB32,IF(47=$HJ32,IF($JC32=2,30,0),IF(47=$HK32,IF($JC32=1,30,0),ABS(23-$HC32)*100)),100000+ABS(2-$HB32)*1000+230)),IF($HD32=0,999999,IF(2=$HE32,IF(47=$HL32,IF($JD32=2,30,0),IF(47=$HM32,IF($JD32=1,30,0),ABS(23-$HF32)*100)),100000+ABS(2-$HE32)*1000+230)),IF($HG32=0,999999,IF(2=$HH32,IF(47=$HN32,IF($JE32=2,30,0),IF(47=$HO32,IF($JE32=1,30,0),ABS(23-$HI32)*100)),100000+ABS(2-$HH32)*1000+230)))-IF((47=$HJ32)+(47=$HK32)+(47=$HL32)+(47=$HM32)+(47=$HN32)+(47=$HO32)&gt;=2,50,0))+AX$5*50)</f>
        <v/>
      </c>
      <c r="AY152">
        <f>IF(OR($JF32=0,calcA!$A$6=0),0,IF(OR(48=$HA32,48=$HD32,48=$HG32),200000,MIN(IF($HA32=0,999999,IF(2=$HB32,IF(48=$HJ32,IF($JC32=2,30,0),IF(48=$HK32,IF($JC32=1,30,0),ABS(24-$HC32)*100)),100000+ABS(2-$HB32)*1000+240)),IF($HD32=0,999999,IF(2=$HE32,IF(48=$HL32,IF($JD32=2,30,0),IF(48=$HM32,IF($JD32=1,30,0),ABS(24-$HF32)*100)),100000+ABS(2-$HE32)*1000+240)),IF($HG32=0,999999,IF(2=$HH32,IF(48=$HN32,IF($JE32=2,30,0),IF(48=$HO32,IF($JE32=1,30,0),ABS(24-$HI32)*100)),100000+ABS(2-$HH32)*1000+240)))-IF((48=$HJ32)+(48=$HK32)+(48=$HL32)+(48=$HM32)+(48=$HN32)+(48=$HO32)&gt;=2,50,0))+AY$5*50)</f>
        <v/>
      </c>
      <c r="AZ152">
        <f>IF(OR($JF32=0,calcA!$A$6=0),0,IF(OR(49=$HA32,49=$HD32,49=$HG32),200000,MIN(IF($HA32=0,999999,IF(3=$HB32,IF(49=$HJ32,IF($JC32=2,30,0),IF(49=$HK32,IF($JC32=1,30,0),ABS(1-$HC32)*100)),100000+ABS(3-$HB32)*1000+10)),IF($HD32=0,999999,IF(3=$HE32,IF(49=$HL32,IF($JD32=2,30,0),IF(49=$HM32,IF($JD32=1,30,0),ABS(1-$HF32)*100)),100000+ABS(3-$HE32)*1000+10)),IF($HG32=0,999999,IF(3=$HH32,IF(49=$HN32,IF($JE32=2,30,0),IF(49=$HO32,IF($JE32=1,30,0),ABS(1-$HI32)*100)),100000+ABS(3-$HH32)*1000+10)))-IF((49=$HJ32)+(49=$HK32)+(49=$HL32)+(49=$HM32)+(49=$HN32)+(49=$HO32)&gt;=2,50,0))+AZ$5*50)</f>
        <v/>
      </c>
      <c r="BA152">
        <f>IF(OR($JF32=0,calcA!$A$6=0),0,IF(OR(50=$HA32,50=$HD32,50=$HG32),200000,MIN(IF($HA32=0,999999,IF(3=$HB32,IF(50=$HJ32,IF($JC32=2,30,0),IF(50=$HK32,IF($JC32=1,30,0),ABS(2-$HC32)*100)),100000+ABS(3-$HB32)*1000+20)),IF($HD32=0,999999,IF(3=$HE32,IF(50=$HL32,IF($JD32=2,30,0),IF(50=$HM32,IF($JD32=1,30,0),ABS(2-$HF32)*100)),100000+ABS(3-$HE32)*1000+20)),IF($HG32=0,999999,IF(3=$HH32,IF(50=$HN32,IF($JE32=2,30,0),IF(50=$HO32,IF($JE32=1,30,0),ABS(2-$HI32)*100)),100000+ABS(3-$HH32)*1000+20)))-IF((50=$HJ32)+(50=$HK32)+(50=$HL32)+(50=$HM32)+(50=$HN32)+(50=$HO32)&gt;=2,50,0))+BA$5*50)</f>
        <v/>
      </c>
      <c r="BB152">
        <f>IF(OR($JF32=0,calcA!$A$6=0),0,IF(OR(51=$HA32,51=$HD32,51=$HG32),200000,MIN(IF($HA32=0,999999,IF(3=$HB32,IF(51=$HJ32,IF($JC32=2,30,0),IF(51=$HK32,IF($JC32=1,30,0),ABS(3-$HC32)*100)),100000+ABS(3-$HB32)*1000+30)),IF($HD32=0,999999,IF(3=$HE32,IF(51=$HL32,IF($JD32=2,30,0),IF(51=$HM32,IF($JD32=1,30,0),ABS(3-$HF32)*100)),100000+ABS(3-$HE32)*1000+30)),IF($HG32=0,999999,IF(3=$HH32,IF(51=$HN32,IF($JE32=2,30,0),IF(51=$HO32,IF($JE32=1,30,0),ABS(3-$HI32)*100)),100000+ABS(3-$HH32)*1000+30)))-IF((51=$HJ32)+(51=$HK32)+(51=$HL32)+(51=$HM32)+(51=$HN32)+(51=$HO32)&gt;=2,50,0))+BB$5*50)</f>
        <v/>
      </c>
      <c r="BC152">
        <f>IF(OR($JF32=0,calcA!$A$6=0),0,IF(OR(52=$HA32,52=$HD32,52=$HG32),200000,MIN(IF($HA32=0,999999,IF(3=$HB32,IF(52=$HJ32,IF($JC32=2,30,0),IF(52=$HK32,IF($JC32=1,30,0),ABS(4-$HC32)*100)),100000+ABS(3-$HB32)*1000+40)),IF($HD32=0,999999,IF(3=$HE32,IF(52=$HL32,IF($JD32=2,30,0),IF(52=$HM32,IF($JD32=1,30,0),ABS(4-$HF32)*100)),100000+ABS(3-$HE32)*1000+40)),IF($HG32=0,999999,IF(3=$HH32,IF(52=$HN32,IF($JE32=2,30,0),IF(52=$HO32,IF($JE32=1,30,0),ABS(4-$HI32)*100)),100000+ABS(3-$HH32)*1000+40)))-IF((52=$HJ32)+(52=$HK32)+(52=$HL32)+(52=$HM32)+(52=$HN32)+(52=$HO32)&gt;=2,50,0))+BC$5*50)</f>
        <v/>
      </c>
      <c r="BD152">
        <f>IF(OR($JF32=0,calcA!$A$6=0),0,IF(OR(53=$HA32,53=$HD32,53=$HG32),200000,MIN(IF($HA32=0,999999,IF(3=$HB32,IF(53=$HJ32,IF($JC32=2,30,0),IF(53=$HK32,IF($JC32=1,30,0),ABS(5-$HC32)*100)),100000+ABS(3-$HB32)*1000+50)),IF($HD32=0,999999,IF(3=$HE32,IF(53=$HL32,IF($JD32=2,30,0),IF(53=$HM32,IF($JD32=1,30,0),ABS(5-$HF32)*100)),100000+ABS(3-$HE32)*1000+50)),IF($HG32=0,999999,IF(3=$HH32,IF(53=$HN32,IF($JE32=2,30,0),IF(53=$HO32,IF($JE32=1,30,0),ABS(5-$HI32)*100)),100000+ABS(3-$HH32)*1000+50)))-IF((53=$HJ32)+(53=$HK32)+(53=$HL32)+(53=$HM32)+(53=$HN32)+(53=$HO32)&gt;=2,50,0))+BD$5*50)</f>
        <v/>
      </c>
      <c r="BE152">
        <f>IF(OR($JF32=0,calcA!$A$6=0),0,IF(OR(54=$HA32,54=$HD32,54=$HG32),200000,MIN(IF($HA32=0,999999,IF(3=$HB32,IF(54=$HJ32,IF($JC32=2,30,0),IF(54=$HK32,IF($JC32=1,30,0),ABS(6-$HC32)*100)),100000+ABS(3-$HB32)*1000+60)),IF($HD32=0,999999,IF(3=$HE32,IF(54=$HL32,IF($JD32=2,30,0),IF(54=$HM32,IF($JD32=1,30,0),ABS(6-$HF32)*100)),100000+ABS(3-$HE32)*1000+60)),IF($HG32=0,999999,IF(3=$HH32,IF(54=$HN32,IF($JE32=2,30,0),IF(54=$HO32,IF($JE32=1,30,0),ABS(6-$HI32)*100)),100000+ABS(3-$HH32)*1000+60)))-IF((54=$HJ32)+(54=$HK32)+(54=$HL32)+(54=$HM32)+(54=$HN32)+(54=$HO32)&gt;=2,50,0))+BE$5*50)</f>
        <v/>
      </c>
      <c r="BF152">
        <f>IF(OR($JF32=0,calcA!$A$6=0),0,IF(OR(55=$HA32,55=$HD32,55=$HG32),200000,MIN(IF($HA32=0,999999,IF(3=$HB32,IF(55=$HJ32,IF($JC32=2,30,0),IF(55=$HK32,IF($JC32=1,30,0),ABS(7-$HC32)*100)),100000+ABS(3-$HB32)*1000+70)),IF($HD32=0,999999,IF(3=$HE32,IF(55=$HL32,IF($JD32=2,30,0),IF(55=$HM32,IF($JD32=1,30,0),ABS(7-$HF32)*100)),100000+ABS(3-$HE32)*1000+70)),IF($HG32=0,999999,IF(3=$HH32,IF(55=$HN32,IF($JE32=2,30,0),IF(55=$HO32,IF($JE32=1,30,0),ABS(7-$HI32)*100)),100000+ABS(3-$HH32)*1000+70)))-IF((55=$HJ32)+(55=$HK32)+(55=$HL32)+(55=$HM32)+(55=$HN32)+(55=$HO32)&gt;=2,50,0))+BF$5*50)</f>
        <v/>
      </c>
      <c r="BG152">
        <f>IF(OR($JF32=0,calcA!$A$6=0),0,IF(OR(56=$HA32,56=$HD32,56=$HG32),200000,MIN(IF($HA32=0,999999,IF(3=$HB32,IF(56=$HJ32,IF($JC32=2,30,0),IF(56=$HK32,IF($JC32=1,30,0),ABS(8-$HC32)*100)),100000+ABS(3-$HB32)*1000+80)),IF($HD32=0,999999,IF(3=$HE32,IF(56=$HL32,IF($JD32=2,30,0),IF(56=$HM32,IF($JD32=1,30,0),ABS(8-$HF32)*100)),100000+ABS(3-$HE32)*1000+80)),IF($HG32=0,999999,IF(3=$HH32,IF(56=$HN32,IF($JE32=2,30,0),IF(56=$HO32,IF($JE32=1,30,0),ABS(8-$HI32)*100)),100000+ABS(3-$HH32)*1000+80)))-IF((56=$HJ32)+(56=$HK32)+(56=$HL32)+(56=$HM32)+(56=$HN32)+(56=$HO32)&gt;=2,50,0))+BG$5*50)</f>
        <v/>
      </c>
      <c r="BH152">
        <f>IF(OR($JF32=0,calcA!$A$6=0),0,IF(OR(57=$HA32,57=$HD32,57=$HG32),200000,MIN(IF($HA32=0,999999,IF(3=$HB32,IF(57=$HJ32,IF($JC32=2,30,0),IF(57=$HK32,IF($JC32=1,30,0),ABS(9-$HC32)*100)),100000+ABS(3-$HB32)*1000+90)),IF($HD32=0,999999,IF(3=$HE32,IF(57=$HL32,IF($JD32=2,30,0),IF(57=$HM32,IF($JD32=1,30,0),ABS(9-$HF32)*100)),100000+ABS(3-$HE32)*1000+90)),IF($HG32=0,999999,IF(3=$HH32,IF(57=$HN32,IF($JE32=2,30,0),IF(57=$HO32,IF($JE32=1,30,0),ABS(9-$HI32)*100)),100000+ABS(3-$HH32)*1000+90)))-IF((57=$HJ32)+(57=$HK32)+(57=$HL32)+(57=$HM32)+(57=$HN32)+(57=$HO32)&gt;=2,50,0))+BH$5*50)</f>
        <v/>
      </c>
      <c r="BI152">
        <f>IF(OR($JF32=0,calcA!$A$6=0),0,IF(OR(58=$HA32,58=$HD32,58=$HG32),200000,MIN(IF($HA32=0,999999,IF(3=$HB32,IF(58=$HJ32,IF($JC32=2,30,0),IF(58=$HK32,IF($JC32=1,30,0),ABS(10-$HC32)*100)),100000+ABS(3-$HB32)*1000+100)),IF($HD32=0,999999,IF(3=$HE32,IF(58=$HL32,IF($JD32=2,30,0),IF(58=$HM32,IF($JD32=1,30,0),ABS(10-$HF32)*100)),100000+ABS(3-$HE32)*1000+100)),IF($HG32=0,999999,IF(3=$HH32,IF(58=$HN32,IF($JE32=2,30,0),IF(58=$HO32,IF($JE32=1,30,0),ABS(10-$HI32)*100)),100000+ABS(3-$HH32)*1000+100)))-IF((58=$HJ32)+(58=$HK32)+(58=$HL32)+(58=$HM32)+(58=$HN32)+(58=$HO32)&gt;=2,50,0))+BI$5*50)</f>
        <v/>
      </c>
      <c r="BJ152">
        <f>IF(OR($JF32=0,calcA!$A$6=0),0,IF(OR(59=$HA32,59=$HD32,59=$HG32),200000,MIN(IF($HA32=0,999999,IF(3=$HB32,IF(59=$HJ32,IF($JC32=2,30,0),IF(59=$HK32,IF($JC32=1,30,0),ABS(11-$HC32)*100)),100000+ABS(3-$HB32)*1000+110)),IF($HD32=0,999999,IF(3=$HE32,IF(59=$HL32,IF($JD32=2,30,0),IF(59=$HM32,IF($JD32=1,30,0),ABS(11-$HF32)*100)),100000+ABS(3-$HE32)*1000+110)),IF($HG32=0,999999,IF(3=$HH32,IF(59=$HN32,IF($JE32=2,30,0),IF(59=$HO32,IF($JE32=1,30,0),ABS(11-$HI32)*100)),100000+ABS(3-$HH32)*1000+110)))-IF((59=$HJ32)+(59=$HK32)+(59=$HL32)+(59=$HM32)+(59=$HN32)+(59=$HO32)&gt;=2,50,0))+BJ$5*50)</f>
        <v/>
      </c>
      <c r="BK152">
        <f>IF(OR($JF32=0,calcA!$A$6=0),0,IF(OR(60=$HA32,60=$HD32,60=$HG32),200000,MIN(IF($HA32=0,999999,IF(3=$HB32,IF(60=$HJ32,IF($JC32=2,30,0),IF(60=$HK32,IF($JC32=1,30,0),ABS(12-$HC32)*100)),100000+ABS(3-$HB32)*1000+120)),IF($HD32=0,999999,IF(3=$HE32,IF(60=$HL32,IF($JD32=2,30,0),IF(60=$HM32,IF($JD32=1,30,0),ABS(12-$HF32)*100)),100000+ABS(3-$HE32)*1000+120)),IF($HG32=0,999999,IF(3=$HH32,IF(60=$HN32,IF($JE32=2,30,0),IF(60=$HO32,IF($JE32=1,30,0),ABS(12-$HI32)*100)),100000+ABS(3-$HH32)*1000+120)))-IF((60=$HJ32)+(60=$HK32)+(60=$HL32)+(60=$HM32)+(60=$HN32)+(60=$HO32)&gt;=2,50,0))+BK$5*50)</f>
        <v/>
      </c>
      <c r="BL152">
        <f>IF(OR($JF32=0,calcA!$A$6=0),0,IF(OR(61=$HA32,61=$HD32,61=$HG32),200000,MIN(IF($HA32=0,999999,IF(3=$HB32,IF(61=$HJ32,IF($JC32=2,30,0),IF(61=$HK32,IF($JC32=1,30,0),ABS(13-$HC32)*100)),100000+ABS(3-$HB32)*1000+130)),IF($HD32=0,999999,IF(3=$HE32,IF(61=$HL32,IF($JD32=2,30,0),IF(61=$HM32,IF($JD32=1,30,0),ABS(13-$HF32)*100)),100000+ABS(3-$HE32)*1000+130)),IF($HG32=0,999999,IF(3=$HH32,IF(61=$HN32,IF($JE32=2,30,0),IF(61=$HO32,IF($JE32=1,30,0),ABS(13-$HI32)*100)),100000+ABS(3-$HH32)*1000+130)))-IF((61=$HJ32)+(61=$HK32)+(61=$HL32)+(61=$HM32)+(61=$HN32)+(61=$HO32)&gt;=2,50,0))+BL$5*50)</f>
        <v/>
      </c>
      <c r="BM152">
        <f>IF(OR($JF32=0,calcA!$A$6=0),0,IF(OR(62=$HA32,62=$HD32,62=$HG32),200000,MIN(IF($HA32=0,999999,IF(3=$HB32,IF(62=$HJ32,IF($JC32=2,30,0),IF(62=$HK32,IF($JC32=1,30,0),ABS(14-$HC32)*100)),100000+ABS(3-$HB32)*1000+140)),IF($HD32=0,999999,IF(3=$HE32,IF(62=$HL32,IF($JD32=2,30,0),IF(62=$HM32,IF($JD32=1,30,0),ABS(14-$HF32)*100)),100000+ABS(3-$HE32)*1000+140)),IF($HG32=0,999999,IF(3=$HH32,IF(62=$HN32,IF($JE32=2,30,0),IF(62=$HO32,IF($JE32=1,30,0),ABS(14-$HI32)*100)),100000+ABS(3-$HH32)*1000+140)))-IF((62=$HJ32)+(62=$HK32)+(62=$HL32)+(62=$HM32)+(62=$HN32)+(62=$HO32)&gt;=2,50,0))+BM$5*50)</f>
        <v/>
      </c>
      <c r="BN152">
        <f>IF(OR($JF32=0,calcA!$A$6=0),0,IF(OR(63=$HA32,63=$HD32,63=$HG32),200000,MIN(IF($HA32=0,999999,IF(3=$HB32,IF(63=$HJ32,IF($JC32=2,30,0),IF(63=$HK32,IF($JC32=1,30,0),ABS(15-$HC32)*100)),100000+ABS(3-$HB32)*1000+150)),IF($HD32=0,999999,IF(3=$HE32,IF(63=$HL32,IF($JD32=2,30,0),IF(63=$HM32,IF($JD32=1,30,0),ABS(15-$HF32)*100)),100000+ABS(3-$HE32)*1000+150)),IF($HG32=0,999999,IF(3=$HH32,IF(63=$HN32,IF($JE32=2,30,0),IF(63=$HO32,IF($JE32=1,30,0),ABS(15-$HI32)*100)),100000+ABS(3-$HH32)*1000+150)))-IF((63=$HJ32)+(63=$HK32)+(63=$HL32)+(63=$HM32)+(63=$HN32)+(63=$HO32)&gt;=2,50,0))+BN$5*50)</f>
        <v/>
      </c>
      <c r="BO152">
        <f>IF(OR($JF32=0,calcA!$A$6=0),0,IF(OR(64=$HA32,64=$HD32,64=$HG32),200000,MIN(IF($HA32=0,999999,IF(3=$HB32,IF(64=$HJ32,IF($JC32=2,30,0),IF(64=$HK32,IF($JC32=1,30,0),ABS(16-$HC32)*100)),100000+ABS(3-$HB32)*1000+160)),IF($HD32=0,999999,IF(3=$HE32,IF(64=$HL32,IF($JD32=2,30,0),IF(64=$HM32,IF($JD32=1,30,0),ABS(16-$HF32)*100)),100000+ABS(3-$HE32)*1000+160)),IF($HG32=0,999999,IF(3=$HH32,IF(64=$HN32,IF($JE32=2,30,0),IF(64=$HO32,IF($JE32=1,30,0),ABS(16-$HI32)*100)),100000+ABS(3-$HH32)*1000+160)))-IF((64=$HJ32)+(64=$HK32)+(64=$HL32)+(64=$HM32)+(64=$HN32)+(64=$HO32)&gt;=2,50,0))+BO$5*50)</f>
        <v/>
      </c>
      <c r="BP152">
        <f>IF(OR($JF32=0,calcA!$A$6=0),0,IF(OR(65=$HA32,65=$HD32,65=$HG32),200000,MIN(IF($HA32=0,999999,IF(3=$HB32,IF(65=$HJ32,IF($JC32=2,30,0),IF(65=$HK32,IF($JC32=1,30,0),ABS(17-$HC32)*100)),100000+ABS(3-$HB32)*1000+170)),IF($HD32=0,999999,IF(3=$HE32,IF(65=$HL32,IF($JD32=2,30,0),IF(65=$HM32,IF($JD32=1,30,0),ABS(17-$HF32)*100)),100000+ABS(3-$HE32)*1000+170)),IF($HG32=0,999999,IF(3=$HH32,IF(65=$HN32,IF($JE32=2,30,0),IF(65=$HO32,IF($JE32=1,30,0),ABS(17-$HI32)*100)),100000+ABS(3-$HH32)*1000+170)))-IF((65=$HJ32)+(65=$HK32)+(65=$HL32)+(65=$HM32)+(65=$HN32)+(65=$HO32)&gt;=2,50,0))+BP$5*50)</f>
        <v/>
      </c>
      <c r="BQ152">
        <f>IF(OR($JF32=0,calcA!$A$6=0),0,IF(OR(66=$HA32,66=$HD32,66=$HG32),200000,MIN(IF($HA32=0,999999,IF(3=$HB32,IF(66=$HJ32,IF($JC32=2,30,0),IF(66=$HK32,IF($JC32=1,30,0),ABS(18-$HC32)*100)),100000+ABS(3-$HB32)*1000+180)),IF($HD32=0,999999,IF(3=$HE32,IF(66=$HL32,IF($JD32=2,30,0),IF(66=$HM32,IF($JD32=1,30,0),ABS(18-$HF32)*100)),100000+ABS(3-$HE32)*1000+180)),IF($HG32=0,999999,IF(3=$HH32,IF(66=$HN32,IF($JE32=2,30,0),IF(66=$HO32,IF($JE32=1,30,0),ABS(18-$HI32)*100)),100000+ABS(3-$HH32)*1000+180)))-IF((66=$HJ32)+(66=$HK32)+(66=$HL32)+(66=$HM32)+(66=$HN32)+(66=$HO32)&gt;=2,50,0))+BQ$5*50)</f>
        <v/>
      </c>
      <c r="BR152">
        <f>IF(OR($JF32=0,calcA!$A$6=0),0,IF(OR(67=$HA32,67=$HD32,67=$HG32),200000,MIN(IF($HA32=0,999999,IF(3=$HB32,IF(67=$HJ32,IF($JC32=2,30,0),IF(67=$HK32,IF($JC32=1,30,0),ABS(19-$HC32)*100)),100000+ABS(3-$HB32)*1000+190)),IF($HD32=0,999999,IF(3=$HE32,IF(67=$HL32,IF($JD32=2,30,0),IF(67=$HM32,IF($JD32=1,30,0),ABS(19-$HF32)*100)),100000+ABS(3-$HE32)*1000+190)),IF($HG32=0,999999,IF(3=$HH32,IF(67=$HN32,IF($JE32=2,30,0),IF(67=$HO32,IF($JE32=1,30,0),ABS(19-$HI32)*100)),100000+ABS(3-$HH32)*1000+190)))-IF((67=$HJ32)+(67=$HK32)+(67=$HL32)+(67=$HM32)+(67=$HN32)+(67=$HO32)&gt;=2,50,0))+BR$5*50)</f>
        <v/>
      </c>
      <c r="BS152">
        <f>IF(OR($JF32=0,calcA!$A$6=0),0,IF(OR(68=$HA32,68=$HD32,68=$HG32),200000,MIN(IF($HA32=0,999999,IF(3=$HB32,IF(68=$HJ32,IF($JC32=2,30,0),IF(68=$HK32,IF($JC32=1,30,0),ABS(20-$HC32)*100)),100000+ABS(3-$HB32)*1000+200)),IF($HD32=0,999999,IF(3=$HE32,IF(68=$HL32,IF($JD32=2,30,0),IF(68=$HM32,IF($JD32=1,30,0),ABS(20-$HF32)*100)),100000+ABS(3-$HE32)*1000+200)),IF($HG32=0,999999,IF(3=$HH32,IF(68=$HN32,IF($JE32=2,30,0),IF(68=$HO32,IF($JE32=1,30,0),ABS(20-$HI32)*100)),100000+ABS(3-$HH32)*1000+200)))-IF((68=$HJ32)+(68=$HK32)+(68=$HL32)+(68=$HM32)+(68=$HN32)+(68=$HO32)&gt;=2,50,0))+BS$5*50)</f>
        <v/>
      </c>
      <c r="BT152">
        <f>IF(OR($JF32=0,calcA!$A$6=0),0,IF(OR(69=$HA32,69=$HD32,69=$HG32),200000,MIN(IF($HA32=0,999999,IF(3=$HB32,IF(69=$HJ32,IF($JC32=2,30,0),IF(69=$HK32,IF($JC32=1,30,0),ABS(21-$HC32)*100)),100000+ABS(3-$HB32)*1000+210)),IF($HD32=0,999999,IF(3=$HE32,IF(69=$HL32,IF($JD32=2,30,0),IF(69=$HM32,IF($JD32=1,30,0),ABS(21-$HF32)*100)),100000+ABS(3-$HE32)*1000+210)),IF($HG32=0,999999,IF(3=$HH32,IF(69=$HN32,IF($JE32=2,30,0),IF(69=$HO32,IF($JE32=1,30,0),ABS(21-$HI32)*100)),100000+ABS(3-$HH32)*1000+210)))-IF((69=$HJ32)+(69=$HK32)+(69=$HL32)+(69=$HM32)+(69=$HN32)+(69=$HO32)&gt;=2,50,0))+BT$5*50)</f>
        <v/>
      </c>
      <c r="BU152">
        <f>IF(OR($JF32=0,calcA!$A$6=0),0,IF(OR(70=$HA32,70=$HD32,70=$HG32),200000,MIN(IF($HA32=0,999999,IF(3=$HB32,IF(70=$HJ32,IF($JC32=2,30,0),IF(70=$HK32,IF($JC32=1,30,0),ABS(22-$HC32)*100)),100000+ABS(3-$HB32)*1000+220)),IF($HD32=0,999999,IF(3=$HE32,IF(70=$HL32,IF($JD32=2,30,0),IF(70=$HM32,IF($JD32=1,30,0),ABS(22-$HF32)*100)),100000+ABS(3-$HE32)*1000+220)),IF($HG32=0,999999,IF(3=$HH32,IF(70=$HN32,IF($JE32=2,30,0),IF(70=$HO32,IF($JE32=1,30,0),ABS(22-$HI32)*100)),100000+ABS(3-$HH32)*1000+220)))-IF((70=$HJ32)+(70=$HK32)+(70=$HL32)+(70=$HM32)+(70=$HN32)+(70=$HO32)&gt;=2,50,0))+BU$5*50)</f>
        <v/>
      </c>
      <c r="BV152">
        <f>IF(OR($JF32=0,calcA!$A$6=0),0,IF(OR(71=$HA32,71=$HD32,71=$HG32),200000,MIN(IF($HA32=0,999999,IF(3=$HB32,IF(71=$HJ32,IF($JC32=2,30,0),IF(71=$HK32,IF($JC32=1,30,0),ABS(23-$HC32)*100)),100000+ABS(3-$HB32)*1000+230)),IF($HD32=0,999999,IF(3=$HE32,IF(71=$HL32,IF($JD32=2,30,0),IF(71=$HM32,IF($JD32=1,30,0),ABS(23-$HF32)*100)),100000+ABS(3-$HE32)*1000+230)),IF($HG32=0,999999,IF(3=$HH32,IF(71=$HN32,IF($JE32=2,30,0),IF(71=$HO32,IF($JE32=1,30,0),ABS(23-$HI32)*100)),100000+ABS(3-$HH32)*1000+230)))-IF((71=$HJ32)+(71=$HK32)+(71=$HL32)+(71=$HM32)+(71=$HN32)+(71=$HO32)&gt;=2,50,0))+BV$5*50)</f>
        <v/>
      </c>
      <c r="BW152">
        <f>IF(OR($JF32=0,calcA!$A$6=0),0,IF(OR(72=$HA32,72=$HD32,72=$HG32),200000,MIN(IF($HA32=0,999999,IF(3=$HB32,IF(72=$HJ32,IF($JC32=2,30,0),IF(72=$HK32,IF($JC32=1,30,0),ABS(24-$HC32)*100)),100000+ABS(3-$HB32)*1000+240)),IF($HD32=0,999999,IF(3=$HE32,IF(72=$HL32,IF($JD32=2,30,0),IF(72=$HM32,IF($JD32=1,30,0),ABS(24-$HF32)*100)),100000+ABS(3-$HE32)*1000+240)),IF($HG32=0,999999,IF(3=$HH32,IF(72=$HN32,IF($JE32=2,30,0),IF(72=$HO32,IF($JE32=1,30,0),ABS(24-$HI32)*100)),100000+ABS(3-$HH32)*1000+240)))-IF((72=$HJ32)+(72=$HK32)+(72=$HL32)+(72=$HM32)+(72=$HN32)+(72=$HO32)&gt;=2,50,0))+BW$5*50)</f>
        <v/>
      </c>
      <c r="BX152">
        <f>IF(OR($JF32=0,calcA!$A$6=0),0,IF(OR(73=$HA32,73=$HD32,73=$HG32),200000,MIN(IF($HA32=0,999999,IF(4=$HB32,IF(73=$HJ32,IF($JC32=2,30,0),IF(73=$HK32,IF($JC32=1,30,0),ABS(1-$HC32)*100)),100000+ABS(4-$HB32)*1000+10)),IF($HD32=0,999999,IF(4=$HE32,IF(73=$HL32,IF($JD32=2,30,0),IF(73=$HM32,IF($JD32=1,30,0),ABS(1-$HF32)*100)),100000+ABS(4-$HE32)*1000+10)),IF($HG32=0,999999,IF(4=$HH32,IF(73=$HN32,IF($JE32=2,30,0),IF(73=$HO32,IF($JE32=1,30,0),ABS(1-$HI32)*100)),100000+ABS(4-$HH32)*1000+10)))-IF((73=$HJ32)+(73=$HK32)+(73=$HL32)+(73=$HM32)+(73=$HN32)+(73=$HO32)&gt;=2,50,0))+BX$5*50)</f>
        <v/>
      </c>
      <c r="BY152">
        <f>IF(OR($JF32=0,calcA!$A$6=0),0,IF(OR(74=$HA32,74=$HD32,74=$HG32),200000,MIN(IF($HA32=0,999999,IF(4=$HB32,IF(74=$HJ32,IF($JC32=2,30,0),IF(74=$HK32,IF($JC32=1,30,0),ABS(2-$HC32)*100)),100000+ABS(4-$HB32)*1000+20)),IF($HD32=0,999999,IF(4=$HE32,IF(74=$HL32,IF($JD32=2,30,0),IF(74=$HM32,IF($JD32=1,30,0),ABS(2-$HF32)*100)),100000+ABS(4-$HE32)*1000+20)),IF($HG32=0,999999,IF(4=$HH32,IF(74=$HN32,IF($JE32=2,30,0),IF(74=$HO32,IF($JE32=1,30,0),ABS(2-$HI32)*100)),100000+ABS(4-$HH32)*1000+20)))-IF((74=$HJ32)+(74=$HK32)+(74=$HL32)+(74=$HM32)+(74=$HN32)+(74=$HO32)&gt;=2,50,0))+BY$5*50)</f>
        <v/>
      </c>
      <c r="BZ152">
        <f>IF(OR($JF32=0,calcA!$A$6=0),0,IF(OR(75=$HA32,75=$HD32,75=$HG32),200000,MIN(IF($HA32=0,999999,IF(4=$HB32,IF(75=$HJ32,IF($JC32=2,30,0),IF(75=$HK32,IF($JC32=1,30,0),ABS(3-$HC32)*100)),100000+ABS(4-$HB32)*1000+30)),IF($HD32=0,999999,IF(4=$HE32,IF(75=$HL32,IF($JD32=2,30,0),IF(75=$HM32,IF($JD32=1,30,0),ABS(3-$HF32)*100)),100000+ABS(4-$HE32)*1000+30)),IF($HG32=0,999999,IF(4=$HH32,IF(75=$HN32,IF($JE32=2,30,0),IF(75=$HO32,IF($JE32=1,30,0),ABS(3-$HI32)*100)),100000+ABS(4-$HH32)*1000+30)))-IF((75=$HJ32)+(75=$HK32)+(75=$HL32)+(75=$HM32)+(75=$HN32)+(75=$HO32)&gt;=2,50,0))+BZ$5*50)</f>
        <v/>
      </c>
      <c r="CA152">
        <f>IF(OR($JF32=0,calcA!$A$6=0),0,IF(OR(76=$HA32,76=$HD32,76=$HG32),200000,MIN(IF($HA32=0,999999,IF(4=$HB32,IF(76=$HJ32,IF($JC32=2,30,0),IF(76=$HK32,IF($JC32=1,30,0),ABS(4-$HC32)*100)),100000+ABS(4-$HB32)*1000+40)),IF($HD32=0,999999,IF(4=$HE32,IF(76=$HL32,IF($JD32=2,30,0),IF(76=$HM32,IF($JD32=1,30,0),ABS(4-$HF32)*100)),100000+ABS(4-$HE32)*1000+40)),IF($HG32=0,999999,IF(4=$HH32,IF(76=$HN32,IF($JE32=2,30,0),IF(76=$HO32,IF($JE32=1,30,0),ABS(4-$HI32)*100)),100000+ABS(4-$HH32)*1000+40)))-IF((76=$HJ32)+(76=$HK32)+(76=$HL32)+(76=$HM32)+(76=$HN32)+(76=$HO32)&gt;=2,50,0))+CA$5*50)</f>
        <v/>
      </c>
      <c r="CB152">
        <f>IF(OR($JF32=0,calcA!$A$6=0),0,IF(OR(77=$HA32,77=$HD32,77=$HG32),200000,MIN(IF($HA32=0,999999,IF(4=$HB32,IF(77=$HJ32,IF($JC32=2,30,0),IF(77=$HK32,IF($JC32=1,30,0),ABS(5-$HC32)*100)),100000+ABS(4-$HB32)*1000+50)),IF($HD32=0,999999,IF(4=$HE32,IF(77=$HL32,IF($JD32=2,30,0),IF(77=$HM32,IF($JD32=1,30,0),ABS(5-$HF32)*100)),100000+ABS(4-$HE32)*1000+50)),IF($HG32=0,999999,IF(4=$HH32,IF(77=$HN32,IF($JE32=2,30,0),IF(77=$HO32,IF($JE32=1,30,0),ABS(5-$HI32)*100)),100000+ABS(4-$HH32)*1000+50)))-IF((77=$HJ32)+(77=$HK32)+(77=$HL32)+(77=$HM32)+(77=$HN32)+(77=$HO32)&gt;=2,50,0))+CB$5*50)</f>
        <v/>
      </c>
      <c r="CC152">
        <f>IF(OR($JF32=0,calcA!$A$6=0),0,IF(OR(78=$HA32,78=$HD32,78=$HG32),200000,MIN(IF($HA32=0,999999,IF(4=$HB32,IF(78=$HJ32,IF($JC32=2,30,0),IF(78=$HK32,IF($JC32=1,30,0),ABS(6-$HC32)*100)),100000+ABS(4-$HB32)*1000+60)),IF($HD32=0,999999,IF(4=$HE32,IF(78=$HL32,IF($JD32=2,30,0),IF(78=$HM32,IF($JD32=1,30,0),ABS(6-$HF32)*100)),100000+ABS(4-$HE32)*1000+60)),IF($HG32=0,999999,IF(4=$HH32,IF(78=$HN32,IF($JE32=2,30,0),IF(78=$HO32,IF($JE32=1,30,0),ABS(6-$HI32)*100)),100000+ABS(4-$HH32)*1000+60)))-IF((78=$HJ32)+(78=$HK32)+(78=$HL32)+(78=$HM32)+(78=$HN32)+(78=$HO32)&gt;=2,50,0))+CC$5*50)</f>
        <v/>
      </c>
      <c r="CD152">
        <f>IF(OR($JF32=0,calcA!$A$6=0),0,IF(OR(79=$HA32,79=$HD32,79=$HG32),200000,MIN(IF($HA32=0,999999,IF(4=$HB32,IF(79=$HJ32,IF($JC32=2,30,0),IF(79=$HK32,IF($JC32=1,30,0),ABS(7-$HC32)*100)),100000+ABS(4-$HB32)*1000+70)),IF($HD32=0,999999,IF(4=$HE32,IF(79=$HL32,IF($JD32=2,30,0),IF(79=$HM32,IF($JD32=1,30,0),ABS(7-$HF32)*100)),100000+ABS(4-$HE32)*1000+70)),IF($HG32=0,999999,IF(4=$HH32,IF(79=$HN32,IF($JE32=2,30,0),IF(79=$HO32,IF($JE32=1,30,0),ABS(7-$HI32)*100)),100000+ABS(4-$HH32)*1000+70)))-IF((79=$HJ32)+(79=$HK32)+(79=$HL32)+(79=$HM32)+(79=$HN32)+(79=$HO32)&gt;=2,50,0))+CD$5*50)</f>
        <v/>
      </c>
      <c r="CE152">
        <f>IF(OR($JF32=0,calcA!$A$6=0),0,IF(OR(80=$HA32,80=$HD32,80=$HG32),200000,MIN(IF($HA32=0,999999,IF(4=$HB32,IF(80=$HJ32,IF($JC32=2,30,0),IF(80=$HK32,IF($JC32=1,30,0),ABS(8-$HC32)*100)),100000+ABS(4-$HB32)*1000+80)),IF($HD32=0,999999,IF(4=$HE32,IF(80=$HL32,IF($JD32=2,30,0),IF(80=$HM32,IF($JD32=1,30,0),ABS(8-$HF32)*100)),100000+ABS(4-$HE32)*1000+80)),IF($HG32=0,999999,IF(4=$HH32,IF(80=$HN32,IF($JE32=2,30,0),IF(80=$HO32,IF($JE32=1,30,0),ABS(8-$HI32)*100)),100000+ABS(4-$HH32)*1000+80)))-IF((80=$HJ32)+(80=$HK32)+(80=$HL32)+(80=$HM32)+(80=$HN32)+(80=$HO32)&gt;=2,50,0))+CE$5*50)</f>
        <v/>
      </c>
      <c r="CF152">
        <f>IF(OR($JF32=0,calcA!$A$6=0),0,IF(OR(81=$HA32,81=$HD32,81=$HG32),200000,MIN(IF($HA32=0,999999,IF(4=$HB32,IF(81=$HJ32,IF($JC32=2,30,0),IF(81=$HK32,IF($JC32=1,30,0),ABS(9-$HC32)*100)),100000+ABS(4-$HB32)*1000+90)),IF($HD32=0,999999,IF(4=$HE32,IF(81=$HL32,IF($JD32=2,30,0),IF(81=$HM32,IF($JD32=1,30,0),ABS(9-$HF32)*100)),100000+ABS(4-$HE32)*1000+90)),IF($HG32=0,999999,IF(4=$HH32,IF(81=$HN32,IF($JE32=2,30,0),IF(81=$HO32,IF($JE32=1,30,0),ABS(9-$HI32)*100)),100000+ABS(4-$HH32)*1000+90)))-IF((81=$HJ32)+(81=$HK32)+(81=$HL32)+(81=$HM32)+(81=$HN32)+(81=$HO32)&gt;=2,50,0))+CF$5*50)</f>
        <v/>
      </c>
      <c r="CG152">
        <f>IF(OR($JF32=0,calcA!$A$6=0),0,IF(OR(82=$HA32,82=$HD32,82=$HG32),200000,MIN(IF($HA32=0,999999,IF(4=$HB32,IF(82=$HJ32,IF($JC32=2,30,0),IF(82=$HK32,IF($JC32=1,30,0),ABS(10-$HC32)*100)),100000+ABS(4-$HB32)*1000+100)),IF($HD32=0,999999,IF(4=$HE32,IF(82=$HL32,IF($JD32=2,30,0),IF(82=$HM32,IF($JD32=1,30,0),ABS(10-$HF32)*100)),100000+ABS(4-$HE32)*1000+100)),IF($HG32=0,999999,IF(4=$HH32,IF(82=$HN32,IF($JE32=2,30,0),IF(82=$HO32,IF($JE32=1,30,0),ABS(10-$HI32)*100)),100000+ABS(4-$HH32)*1000+100)))-IF((82=$HJ32)+(82=$HK32)+(82=$HL32)+(82=$HM32)+(82=$HN32)+(82=$HO32)&gt;=2,50,0))+CG$5*50)</f>
        <v/>
      </c>
      <c r="CH152">
        <f>IF(OR($JF32=0,calcA!$A$6=0),0,IF(OR(83=$HA32,83=$HD32,83=$HG32),200000,MIN(IF($HA32=0,999999,IF(4=$HB32,IF(83=$HJ32,IF($JC32=2,30,0),IF(83=$HK32,IF($JC32=1,30,0),ABS(11-$HC32)*100)),100000+ABS(4-$HB32)*1000+110)),IF($HD32=0,999999,IF(4=$HE32,IF(83=$HL32,IF($JD32=2,30,0),IF(83=$HM32,IF($JD32=1,30,0),ABS(11-$HF32)*100)),100000+ABS(4-$HE32)*1000+110)),IF($HG32=0,999999,IF(4=$HH32,IF(83=$HN32,IF($JE32=2,30,0),IF(83=$HO32,IF($JE32=1,30,0),ABS(11-$HI32)*100)),100000+ABS(4-$HH32)*1000+110)))-IF((83=$HJ32)+(83=$HK32)+(83=$HL32)+(83=$HM32)+(83=$HN32)+(83=$HO32)&gt;=2,50,0))+CH$5*50)</f>
        <v/>
      </c>
      <c r="CI152">
        <f>IF(OR($JF32=0,calcA!$A$6=0),0,IF(OR(84=$HA32,84=$HD32,84=$HG32),200000,MIN(IF($HA32=0,999999,IF(4=$HB32,IF(84=$HJ32,IF($JC32=2,30,0),IF(84=$HK32,IF($JC32=1,30,0),ABS(12-$HC32)*100)),100000+ABS(4-$HB32)*1000+120)),IF($HD32=0,999999,IF(4=$HE32,IF(84=$HL32,IF($JD32=2,30,0),IF(84=$HM32,IF($JD32=1,30,0),ABS(12-$HF32)*100)),100000+ABS(4-$HE32)*1000+120)),IF($HG32=0,999999,IF(4=$HH32,IF(84=$HN32,IF($JE32=2,30,0),IF(84=$HO32,IF($JE32=1,30,0),ABS(12-$HI32)*100)),100000+ABS(4-$HH32)*1000+120)))-IF((84=$HJ32)+(84=$HK32)+(84=$HL32)+(84=$HM32)+(84=$HN32)+(84=$HO32)&gt;=2,50,0))+CI$5*50)</f>
        <v/>
      </c>
      <c r="CJ152">
        <f>IF(OR($JF32=0,calcA!$A$6=0),0,IF(OR(85=$HA32,85=$HD32,85=$HG32),200000,MIN(IF($HA32=0,999999,IF(4=$HB32,IF(85=$HJ32,IF($JC32=2,30,0),IF(85=$HK32,IF($JC32=1,30,0),ABS(13-$HC32)*100)),100000+ABS(4-$HB32)*1000+130)),IF($HD32=0,999999,IF(4=$HE32,IF(85=$HL32,IF($JD32=2,30,0),IF(85=$HM32,IF($JD32=1,30,0),ABS(13-$HF32)*100)),100000+ABS(4-$HE32)*1000+130)),IF($HG32=0,999999,IF(4=$HH32,IF(85=$HN32,IF($JE32=2,30,0),IF(85=$HO32,IF($JE32=1,30,0),ABS(13-$HI32)*100)),100000+ABS(4-$HH32)*1000+130)))-IF((85=$HJ32)+(85=$HK32)+(85=$HL32)+(85=$HM32)+(85=$HN32)+(85=$HO32)&gt;=2,50,0))+CJ$5*50)</f>
        <v/>
      </c>
      <c r="CK152">
        <f>IF(OR($JF32=0,calcA!$A$6=0),0,IF(OR(86=$HA32,86=$HD32,86=$HG32),200000,MIN(IF($HA32=0,999999,IF(4=$HB32,IF(86=$HJ32,IF($JC32=2,30,0),IF(86=$HK32,IF($JC32=1,30,0),ABS(14-$HC32)*100)),100000+ABS(4-$HB32)*1000+140)),IF($HD32=0,999999,IF(4=$HE32,IF(86=$HL32,IF($JD32=2,30,0),IF(86=$HM32,IF($JD32=1,30,0),ABS(14-$HF32)*100)),100000+ABS(4-$HE32)*1000+140)),IF($HG32=0,999999,IF(4=$HH32,IF(86=$HN32,IF($JE32=2,30,0),IF(86=$HO32,IF($JE32=1,30,0),ABS(14-$HI32)*100)),100000+ABS(4-$HH32)*1000+140)))-IF((86=$HJ32)+(86=$HK32)+(86=$HL32)+(86=$HM32)+(86=$HN32)+(86=$HO32)&gt;=2,50,0))+CK$5*50)</f>
        <v/>
      </c>
      <c r="CL152">
        <f>IF(OR($JF32=0,calcA!$A$6=0),0,IF(OR(87=$HA32,87=$HD32,87=$HG32),200000,MIN(IF($HA32=0,999999,IF(4=$HB32,IF(87=$HJ32,IF($JC32=2,30,0),IF(87=$HK32,IF($JC32=1,30,0),ABS(15-$HC32)*100)),100000+ABS(4-$HB32)*1000+150)),IF($HD32=0,999999,IF(4=$HE32,IF(87=$HL32,IF($JD32=2,30,0),IF(87=$HM32,IF($JD32=1,30,0),ABS(15-$HF32)*100)),100000+ABS(4-$HE32)*1000+150)),IF($HG32=0,999999,IF(4=$HH32,IF(87=$HN32,IF($JE32=2,30,0),IF(87=$HO32,IF($JE32=1,30,0),ABS(15-$HI32)*100)),100000+ABS(4-$HH32)*1000+150)))-IF((87=$HJ32)+(87=$HK32)+(87=$HL32)+(87=$HM32)+(87=$HN32)+(87=$HO32)&gt;=2,50,0))+CL$5*50)</f>
        <v/>
      </c>
      <c r="CM152">
        <f>IF(OR($JF32=0,calcA!$A$6=0),0,IF(OR(88=$HA32,88=$HD32,88=$HG32),200000,MIN(IF($HA32=0,999999,IF(4=$HB32,IF(88=$HJ32,IF($JC32=2,30,0),IF(88=$HK32,IF($JC32=1,30,0),ABS(16-$HC32)*100)),100000+ABS(4-$HB32)*1000+160)),IF($HD32=0,999999,IF(4=$HE32,IF(88=$HL32,IF($JD32=2,30,0),IF(88=$HM32,IF($JD32=1,30,0),ABS(16-$HF32)*100)),100000+ABS(4-$HE32)*1000+160)),IF($HG32=0,999999,IF(4=$HH32,IF(88=$HN32,IF($JE32=2,30,0),IF(88=$HO32,IF($JE32=1,30,0),ABS(16-$HI32)*100)),100000+ABS(4-$HH32)*1000+160)))-IF((88=$HJ32)+(88=$HK32)+(88=$HL32)+(88=$HM32)+(88=$HN32)+(88=$HO32)&gt;=2,50,0))+CM$5*50)</f>
        <v/>
      </c>
      <c r="CN152">
        <f>IF(OR($JF32=0,calcA!$A$6=0),0,IF(OR(89=$HA32,89=$HD32,89=$HG32),200000,MIN(IF($HA32=0,999999,IF(4=$HB32,IF(89=$HJ32,IF($JC32=2,30,0),IF(89=$HK32,IF($JC32=1,30,0),ABS(17-$HC32)*100)),100000+ABS(4-$HB32)*1000+170)),IF($HD32=0,999999,IF(4=$HE32,IF(89=$HL32,IF($JD32=2,30,0),IF(89=$HM32,IF($JD32=1,30,0),ABS(17-$HF32)*100)),100000+ABS(4-$HE32)*1000+170)),IF($HG32=0,999999,IF(4=$HH32,IF(89=$HN32,IF($JE32=2,30,0),IF(89=$HO32,IF($JE32=1,30,0),ABS(17-$HI32)*100)),100000+ABS(4-$HH32)*1000+170)))-IF((89=$HJ32)+(89=$HK32)+(89=$HL32)+(89=$HM32)+(89=$HN32)+(89=$HO32)&gt;=2,50,0))+CN$5*50)</f>
        <v/>
      </c>
      <c r="CO152">
        <f>IF(OR($JF32=0,calcA!$A$6=0),0,IF(OR(90=$HA32,90=$HD32,90=$HG32),200000,MIN(IF($HA32=0,999999,IF(4=$HB32,IF(90=$HJ32,IF($JC32=2,30,0),IF(90=$HK32,IF($JC32=1,30,0),ABS(18-$HC32)*100)),100000+ABS(4-$HB32)*1000+180)),IF($HD32=0,999999,IF(4=$HE32,IF(90=$HL32,IF($JD32=2,30,0),IF(90=$HM32,IF($JD32=1,30,0),ABS(18-$HF32)*100)),100000+ABS(4-$HE32)*1000+180)),IF($HG32=0,999999,IF(4=$HH32,IF(90=$HN32,IF($JE32=2,30,0),IF(90=$HO32,IF($JE32=1,30,0),ABS(18-$HI32)*100)),100000+ABS(4-$HH32)*1000+180)))-IF((90=$HJ32)+(90=$HK32)+(90=$HL32)+(90=$HM32)+(90=$HN32)+(90=$HO32)&gt;=2,50,0))+CO$5*50)</f>
        <v/>
      </c>
      <c r="CP152">
        <f>IF(OR($JF32=0,calcA!$A$6=0),0,IF(OR(91=$HA32,91=$HD32,91=$HG32),200000,MIN(IF($HA32=0,999999,IF(4=$HB32,IF(91=$HJ32,IF($JC32=2,30,0),IF(91=$HK32,IF($JC32=1,30,0),ABS(19-$HC32)*100)),100000+ABS(4-$HB32)*1000+190)),IF($HD32=0,999999,IF(4=$HE32,IF(91=$HL32,IF($JD32=2,30,0),IF(91=$HM32,IF($JD32=1,30,0),ABS(19-$HF32)*100)),100000+ABS(4-$HE32)*1000+190)),IF($HG32=0,999999,IF(4=$HH32,IF(91=$HN32,IF($JE32=2,30,0),IF(91=$HO32,IF($JE32=1,30,0),ABS(19-$HI32)*100)),100000+ABS(4-$HH32)*1000+190)))-IF((91=$HJ32)+(91=$HK32)+(91=$HL32)+(91=$HM32)+(91=$HN32)+(91=$HO32)&gt;=2,50,0))+CP$5*50)</f>
        <v/>
      </c>
      <c r="CQ152">
        <f>IF(OR($JF32=0,calcA!$A$6=0),0,IF(OR(92=$HA32,92=$HD32,92=$HG32),200000,MIN(IF($HA32=0,999999,IF(4=$HB32,IF(92=$HJ32,IF($JC32=2,30,0),IF(92=$HK32,IF($JC32=1,30,0),ABS(20-$HC32)*100)),100000+ABS(4-$HB32)*1000+200)),IF($HD32=0,999999,IF(4=$HE32,IF(92=$HL32,IF($JD32=2,30,0),IF(92=$HM32,IF($JD32=1,30,0),ABS(20-$HF32)*100)),100000+ABS(4-$HE32)*1000+200)),IF($HG32=0,999999,IF(4=$HH32,IF(92=$HN32,IF($JE32=2,30,0),IF(92=$HO32,IF($JE32=1,30,0),ABS(20-$HI32)*100)),100000+ABS(4-$HH32)*1000+200)))-IF((92=$HJ32)+(92=$HK32)+(92=$HL32)+(92=$HM32)+(92=$HN32)+(92=$HO32)&gt;=2,50,0))+CQ$5*50)</f>
        <v/>
      </c>
      <c r="CR152">
        <f>IF(OR($JF32=0,calcA!$A$6=0),0,IF(OR(93=$HA32,93=$HD32,93=$HG32),200000,MIN(IF($HA32=0,999999,IF(4=$HB32,IF(93=$HJ32,IF($JC32=2,30,0),IF(93=$HK32,IF($JC32=1,30,0),ABS(21-$HC32)*100)),100000+ABS(4-$HB32)*1000+210)),IF($HD32=0,999999,IF(4=$HE32,IF(93=$HL32,IF($JD32=2,30,0),IF(93=$HM32,IF($JD32=1,30,0),ABS(21-$HF32)*100)),100000+ABS(4-$HE32)*1000+210)),IF($HG32=0,999999,IF(4=$HH32,IF(93=$HN32,IF($JE32=2,30,0),IF(93=$HO32,IF($JE32=1,30,0),ABS(21-$HI32)*100)),100000+ABS(4-$HH32)*1000+210)))-IF((93=$HJ32)+(93=$HK32)+(93=$HL32)+(93=$HM32)+(93=$HN32)+(93=$HO32)&gt;=2,50,0))+CR$5*50)</f>
        <v/>
      </c>
      <c r="CS152">
        <f>IF(OR($JF32=0,calcA!$A$6=0),0,IF(OR(94=$HA32,94=$HD32,94=$HG32),200000,MIN(IF($HA32=0,999999,IF(4=$HB32,IF(94=$HJ32,IF($JC32=2,30,0),IF(94=$HK32,IF($JC32=1,30,0),ABS(22-$HC32)*100)),100000+ABS(4-$HB32)*1000+220)),IF($HD32=0,999999,IF(4=$HE32,IF(94=$HL32,IF($JD32=2,30,0),IF(94=$HM32,IF($JD32=1,30,0),ABS(22-$HF32)*100)),100000+ABS(4-$HE32)*1000+220)),IF($HG32=0,999999,IF(4=$HH32,IF(94=$HN32,IF($JE32=2,30,0),IF(94=$HO32,IF($JE32=1,30,0),ABS(22-$HI32)*100)),100000+ABS(4-$HH32)*1000+220)))-IF((94=$HJ32)+(94=$HK32)+(94=$HL32)+(94=$HM32)+(94=$HN32)+(94=$HO32)&gt;=2,50,0))+CS$5*50)</f>
        <v/>
      </c>
      <c r="CT152">
        <f>IF(OR($JF32=0,calcA!$A$6=0),0,IF(OR(95=$HA32,95=$HD32,95=$HG32),200000,MIN(IF($HA32=0,999999,IF(4=$HB32,IF(95=$HJ32,IF($JC32=2,30,0),IF(95=$HK32,IF($JC32=1,30,0),ABS(23-$HC32)*100)),100000+ABS(4-$HB32)*1000+230)),IF($HD32=0,999999,IF(4=$HE32,IF(95=$HL32,IF($JD32=2,30,0),IF(95=$HM32,IF($JD32=1,30,0),ABS(23-$HF32)*100)),100000+ABS(4-$HE32)*1000+230)),IF($HG32=0,999999,IF(4=$HH32,IF(95=$HN32,IF($JE32=2,30,0),IF(95=$HO32,IF($JE32=1,30,0),ABS(23-$HI32)*100)),100000+ABS(4-$HH32)*1000+230)))-IF((95=$HJ32)+(95=$HK32)+(95=$HL32)+(95=$HM32)+(95=$HN32)+(95=$HO32)&gt;=2,50,0))+CT$5*50)</f>
        <v/>
      </c>
      <c r="CU152">
        <f>IF(OR($JF32=0,calcA!$A$6=0),0,IF(OR(96=$HA32,96=$HD32,96=$HG32),200000,MIN(IF($HA32=0,999999,IF(4=$HB32,IF(96=$HJ32,IF($JC32=2,30,0),IF(96=$HK32,IF($JC32=1,30,0),ABS(24-$HC32)*100)),100000+ABS(4-$HB32)*1000+240)),IF($HD32=0,999999,IF(4=$HE32,IF(96=$HL32,IF($JD32=2,30,0),IF(96=$HM32,IF($JD32=1,30,0),ABS(24-$HF32)*100)),100000+ABS(4-$HE32)*1000+240)),IF($HG32=0,999999,IF(4=$HH32,IF(96=$HN32,IF($JE32=2,30,0),IF(96=$HO32,IF($JE32=1,30,0),ABS(24-$HI32)*100)),100000+ABS(4-$HH32)*1000+240)))-IF((96=$HJ32)+(96=$HK32)+(96=$HL32)+(96=$HM32)+(96=$HN32)+(96=$HO32)&gt;=2,50,0))+CU$5*50)</f>
        <v/>
      </c>
      <c r="CV152">
        <f>IF(OR($JF32=0,calcA!$A$6=0),0,IF(OR(97=$HA32,97=$HD32,97=$HG32),200000,MIN(IF($HA32=0,999999,IF(5=$HB32,IF(97=$HJ32,IF($JC32=2,30,0),IF(97=$HK32,IF($JC32=1,30,0),ABS(1-$HC32)*100)),100000+ABS(5-$HB32)*1000+10)),IF($HD32=0,999999,IF(5=$HE32,IF(97=$HL32,IF($JD32=2,30,0),IF(97=$HM32,IF($JD32=1,30,0),ABS(1-$HF32)*100)),100000+ABS(5-$HE32)*1000+10)),IF($HG32=0,999999,IF(5=$HH32,IF(97=$HN32,IF($JE32=2,30,0),IF(97=$HO32,IF($JE32=1,30,0),ABS(1-$HI32)*100)),100000+ABS(5-$HH32)*1000+10)))-IF((97=$HJ32)+(97=$HK32)+(97=$HL32)+(97=$HM32)+(97=$HN32)+(97=$HO32)&gt;=2,50,0))+CV$5*50)</f>
        <v/>
      </c>
      <c r="CW152">
        <f>IF(OR($JF32=0,calcA!$A$6=0),0,IF(OR(98=$HA32,98=$HD32,98=$HG32),200000,MIN(IF($HA32=0,999999,IF(5=$HB32,IF(98=$HJ32,IF($JC32=2,30,0),IF(98=$HK32,IF($JC32=1,30,0),ABS(2-$HC32)*100)),100000+ABS(5-$HB32)*1000+20)),IF($HD32=0,999999,IF(5=$HE32,IF(98=$HL32,IF($JD32=2,30,0),IF(98=$HM32,IF($JD32=1,30,0),ABS(2-$HF32)*100)),100000+ABS(5-$HE32)*1000+20)),IF($HG32=0,999999,IF(5=$HH32,IF(98=$HN32,IF($JE32=2,30,0),IF(98=$HO32,IF($JE32=1,30,0),ABS(2-$HI32)*100)),100000+ABS(5-$HH32)*1000+20)))-IF((98=$HJ32)+(98=$HK32)+(98=$HL32)+(98=$HM32)+(98=$HN32)+(98=$HO32)&gt;=2,50,0))+CW$5*50)</f>
        <v/>
      </c>
      <c r="CX152">
        <f>IF(OR($JF32=0,calcA!$A$6=0),0,IF(OR(99=$HA32,99=$HD32,99=$HG32),200000,MIN(IF($HA32=0,999999,IF(5=$HB32,IF(99=$HJ32,IF($JC32=2,30,0),IF(99=$HK32,IF($JC32=1,30,0),ABS(3-$HC32)*100)),100000+ABS(5-$HB32)*1000+30)),IF($HD32=0,999999,IF(5=$HE32,IF(99=$HL32,IF($JD32=2,30,0),IF(99=$HM32,IF($JD32=1,30,0),ABS(3-$HF32)*100)),100000+ABS(5-$HE32)*1000+30)),IF($HG32=0,999999,IF(5=$HH32,IF(99=$HN32,IF($JE32=2,30,0),IF(99=$HO32,IF($JE32=1,30,0),ABS(3-$HI32)*100)),100000+ABS(5-$HH32)*1000+30)))-IF((99=$HJ32)+(99=$HK32)+(99=$HL32)+(99=$HM32)+(99=$HN32)+(99=$HO32)&gt;=2,50,0))+CX$5*50)</f>
        <v/>
      </c>
      <c r="CY152">
        <f>IF(OR($JF32=0,calcA!$A$6=0),0,IF(OR(100=$HA32,100=$HD32,100=$HG32),200000,MIN(IF($HA32=0,999999,IF(5=$HB32,IF(100=$HJ32,IF($JC32=2,30,0),IF(100=$HK32,IF($JC32=1,30,0),ABS(4-$HC32)*100)),100000+ABS(5-$HB32)*1000+40)),IF($HD32=0,999999,IF(5=$HE32,IF(100=$HL32,IF($JD32=2,30,0),IF(100=$HM32,IF($JD32=1,30,0),ABS(4-$HF32)*100)),100000+ABS(5-$HE32)*1000+40)),IF($HG32=0,999999,IF(5=$HH32,IF(100=$HN32,IF($JE32=2,30,0),IF(100=$HO32,IF($JE32=1,30,0),ABS(4-$HI32)*100)),100000+ABS(5-$HH32)*1000+40)))-IF((100=$HJ32)+(100=$HK32)+(100=$HL32)+(100=$HM32)+(100=$HN32)+(100=$HO32)&gt;=2,50,0))+CY$5*50)</f>
        <v/>
      </c>
      <c r="CZ152">
        <f>IF(OR($JF32=0,calcA!$A$6=0),0,IF(OR(101=$HA32,101=$HD32,101=$HG32),200000,MIN(IF($HA32=0,999999,IF(5=$HB32,IF(101=$HJ32,IF($JC32=2,30,0),IF(101=$HK32,IF($JC32=1,30,0),ABS(5-$HC32)*100)),100000+ABS(5-$HB32)*1000+50)),IF($HD32=0,999999,IF(5=$HE32,IF(101=$HL32,IF($JD32=2,30,0),IF(101=$HM32,IF($JD32=1,30,0),ABS(5-$HF32)*100)),100000+ABS(5-$HE32)*1000+50)),IF($HG32=0,999999,IF(5=$HH32,IF(101=$HN32,IF($JE32=2,30,0),IF(101=$HO32,IF($JE32=1,30,0),ABS(5-$HI32)*100)),100000+ABS(5-$HH32)*1000+50)))-IF((101=$HJ32)+(101=$HK32)+(101=$HL32)+(101=$HM32)+(101=$HN32)+(101=$HO32)&gt;=2,50,0))+CZ$5*50)</f>
        <v/>
      </c>
      <c r="DA152">
        <f>IF(OR($JF32=0,calcA!$A$6=0),0,IF(OR(102=$HA32,102=$HD32,102=$HG32),200000,MIN(IF($HA32=0,999999,IF(5=$HB32,IF(102=$HJ32,IF($JC32=2,30,0),IF(102=$HK32,IF($JC32=1,30,0),ABS(6-$HC32)*100)),100000+ABS(5-$HB32)*1000+60)),IF($HD32=0,999999,IF(5=$HE32,IF(102=$HL32,IF($JD32=2,30,0),IF(102=$HM32,IF($JD32=1,30,0),ABS(6-$HF32)*100)),100000+ABS(5-$HE32)*1000+60)),IF($HG32=0,999999,IF(5=$HH32,IF(102=$HN32,IF($JE32=2,30,0),IF(102=$HO32,IF($JE32=1,30,0),ABS(6-$HI32)*100)),100000+ABS(5-$HH32)*1000+60)))-IF((102=$HJ32)+(102=$HK32)+(102=$HL32)+(102=$HM32)+(102=$HN32)+(102=$HO32)&gt;=2,50,0))+DA$5*50)</f>
        <v/>
      </c>
      <c r="DB152">
        <f>IF(OR($JF32=0,calcA!$A$6=0),0,IF(OR(103=$HA32,103=$HD32,103=$HG32),200000,MIN(IF($HA32=0,999999,IF(5=$HB32,IF(103=$HJ32,IF($JC32=2,30,0),IF(103=$HK32,IF($JC32=1,30,0),ABS(7-$HC32)*100)),100000+ABS(5-$HB32)*1000+70)),IF($HD32=0,999999,IF(5=$HE32,IF(103=$HL32,IF($JD32=2,30,0),IF(103=$HM32,IF($JD32=1,30,0),ABS(7-$HF32)*100)),100000+ABS(5-$HE32)*1000+70)),IF($HG32=0,999999,IF(5=$HH32,IF(103=$HN32,IF($JE32=2,30,0),IF(103=$HO32,IF($JE32=1,30,0),ABS(7-$HI32)*100)),100000+ABS(5-$HH32)*1000+70)))-IF((103=$HJ32)+(103=$HK32)+(103=$HL32)+(103=$HM32)+(103=$HN32)+(103=$HO32)&gt;=2,50,0))+DB$5*50)</f>
        <v/>
      </c>
      <c r="DC152">
        <f>IF(OR($JF32=0,calcA!$A$6=0),0,IF(OR(104=$HA32,104=$HD32,104=$HG32),200000,MIN(IF($HA32=0,999999,IF(5=$HB32,IF(104=$HJ32,IF($JC32=2,30,0),IF(104=$HK32,IF($JC32=1,30,0),ABS(8-$HC32)*100)),100000+ABS(5-$HB32)*1000+80)),IF($HD32=0,999999,IF(5=$HE32,IF(104=$HL32,IF($JD32=2,30,0),IF(104=$HM32,IF($JD32=1,30,0),ABS(8-$HF32)*100)),100000+ABS(5-$HE32)*1000+80)),IF($HG32=0,999999,IF(5=$HH32,IF(104=$HN32,IF($JE32=2,30,0),IF(104=$HO32,IF($JE32=1,30,0),ABS(8-$HI32)*100)),100000+ABS(5-$HH32)*1000+80)))-IF((104=$HJ32)+(104=$HK32)+(104=$HL32)+(104=$HM32)+(104=$HN32)+(104=$HO32)&gt;=2,50,0))+DC$5*50)</f>
        <v/>
      </c>
      <c r="DD152">
        <f>IF(OR($JF32=0,calcA!$A$6=0),0,IF(OR(105=$HA32,105=$HD32,105=$HG32),200000,MIN(IF($HA32=0,999999,IF(5=$HB32,IF(105=$HJ32,IF($JC32=2,30,0),IF(105=$HK32,IF($JC32=1,30,0),ABS(9-$HC32)*100)),100000+ABS(5-$HB32)*1000+90)),IF($HD32=0,999999,IF(5=$HE32,IF(105=$HL32,IF($JD32=2,30,0),IF(105=$HM32,IF($JD32=1,30,0),ABS(9-$HF32)*100)),100000+ABS(5-$HE32)*1000+90)),IF($HG32=0,999999,IF(5=$HH32,IF(105=$HN32,IF($JE32=2,30,0),IF(105=$HO32,IF($JE32=1,30,0),ABS(9-$HI32)*100)),100000+ABS(5-$HH32)*1000+90)))-IF((105=$HJ32)+(105=$HK32)+(105=$HL32)+(105=$HM32)+(105=$HN32)+(105=$HO32)&gt;=2,50,0))+DD$5*50)</f>
        <v/>
      </c>
      <c r="DE152">
        <f>IF(OR($JF32=0,calcA!$A$6=0),0,IF(OR(106=$HA32,106=$HD32,106=$HG32),200000,MIN(IF($HA32=0,999999,IF(5=$HB32,IF(106=$HJ32,IF($JC32=2,30,0),IF(106=$HK32,IF($JC32=1,30,0),ABS(10-$HC32)*100)),100000+ABS(5-$HB32)*1000+100)),IF($HD32=0,999999,IF(5=$HE32,IF(106=$HL32,IF($JD32=2,30,0),IF(106=$HM32,IF($JD32=1,30,0),ABS(10-$HF32)*100)),100000+ABS(5-$HE32)*1000+100)),IF($HG32=0,999999,IF(5=$HH32,IF(106=$HN32,IF($JE32=2,30,0),IF(106=$HO32,IF($JE32=1,30,0),ABS(10-$HI32)*100)),100000+ABS(5-$HH32)*1000+100)))-IF((106=$HJ32)+(106=$HK32)+(106=$HL32)+(106=$HM32)+(106=$HN32)+(106=$HO32)&gt;=2,50,0))+DE$5*50)</f>
        <v/>
      </c>
      <c r="DF152">
        <f>IF(OR($JF32=0,calcA!$A$6=0),0,IF(OR(107=$HA32,107=$HD32,107=$HG32),200000,MIN(IF($HA32=0,999999,IF(5=$HB32,IF(107=$HJ32,IF($JC32=2,30,0),IF(107=$HK32,IF($JC32=1,30,0),ABS(11-$HC32)*100)),100000+ABS(5-$HB32)*1000+110)),IF($HD32=0,999999,IF(5=$HE32,IF(107=$HL32,IF($JD32=2,30,0),IF(107=$HM32,IF($JD32=1,30,0),ABS(11-$HF32)*100)),100000+ABS(5-$HE32)*1000+110)),IF($HG32=0,999999,IF(5=$HH32,IF(107=$HN32,IF($JE32=2,30,0),IF(107=$HO32,IF($JE32=1,30,0),ABS(11-$HI32)*100)),100000+ABS(5-$HH32)*1000+110)))-IF((107=$HJ32)+(107=$HK32)+(107=$HL32)+(107=$HM32)+(107=$HN32)+(107=$HO32)&gt;=2,50,0))+DF$5*50)</f>
        <v/>
      </c>
      <c r="DG152">
        <f>IF(OR($JF32=0,calcA!$A$6=0),0,IF(OR(108=$HA32,108=$HD32,108=$HG32),200000,MIN(IF($HA32=0,999999,IF(5=$HB32,IF(108=$HJ32,IF($JC32=2,30,0),IF(108=$HK32,IF($JC32=1,30,0),ABS(12-$HC32)*100)),100000+ABS(5-$HB32)*1000+120)),IF($HD32=0,999999,IF(5=$HE32,IF(108=$HL32,IF($JD32=2,30,0),IF(108=$HM32,IF($JD32=1,30,0),ABS(12-$HF32)*100)),100000+ABS(5-$HE32)*1000+120)),IF($HG32=0,999999,IF(5=$HH32,IF(108=$HN32,IF($JE32=2,30,0),IF(108=$HO32,IF($JE32=1,30,0),ABS(12-$HI32)*100)),100000+ABS(5-$HH32)*1000+120)))-IF((108=$HJ32)+(108=$HK32)+(108=$HL32)+(108=$HM32)+(108=$HN32)+(108=$HO32)&gt;=2,50,0))+DG$5*50)</f>
        <v/>
      </c>
      <c r="DH152">
        <f>IF(OR($JF32=0,calcA!$A$6=0),0,IF(OR(109=$HA32,109=$HD32,109=$HG32),200000,MIN(IF($HA32=0,999999,IF(5=$HB32,IF(109=$HJ32,IF($JC32=2,30,0),IF(109=$HK32,IF($JC32=1,30,0),ABS(13-$HC32)*100)),100000+ABS(5-$HB32)*1000+130)),IF($HD32=0,999999,IF(5=$HE32,IF(109=$HL32,IF($JD32=2,30,0),IF(109=$HM32,IF($JD32=1,30,0),ABS(13-$HF32)*100)),100000+ABS(5-$HE32)*1000+130)),IF($HG32=0,999999,IF(5=$HH32,IF(109=$HN32,IF($JE32=2,30,0),IF(109=$HO32,IF($JE32=1,30,0),ABS(13-$HI32)*100)),100000+ABS(5-$HH32)*1000+130)))-IF((109=$HJ32)+(109=$HK32)+(109=$HL32)+(109=$HM32)+(109=$HN32)+(109=$HO32)&gt;=2,50,0))+DH$5*50)</f>
        <v/>
      </c>
      <c r="DI152">
        <f>IF(OR($JF32=0,calcA!$A$6=0),0,IF(OR(110=$HA32,110=$HD32,110=$HG32),200000,MIN(IF($HA32=0,999999,IF(5=$HB32,IF(110=$HJ32,IF($JC32=2,30,0),IF(110=$HK32,IF($JC32=1,30,0),ABS(14-$HC32)*100)),100000+ABS(5-$HB32)*1000+140)),IF($HD32=0,999999,IF(5=$HE32,IF(110=$HL32,IF($JD32=2,30,0),IF(110=$HM32,IF($JD32=1,30,0),ABS(14-$HF32)*100)),100000+ABS(5-$HE32)*1000+140)),IF($HG32=0,999999,IF(5=$HH32,IF(110=$HN32,IF($JE32=2,30,0),IF(110=$HO32,IF($JE32=1,30,0),ABS(14-$HI32)*100)),100000+ABS(5-$HH32)*1000+140)))-IF((110=$HJ32)+(110=$HK32)+(110=$HL32)+(110=$HM32)+(110=$HN32)+(110=$HO32)&gt;=2,50,0))+DI$5*50)</f>
        <v/>
      </c>
      <c r="DJ152">
        <f>IF(OR($JF32=0,calcA!$A$6=0),0,IF(OR(111=$HA32,111=$HD32,111=$HG32),200000,MIN(IF($HA32=0,999999,IF(5=$HB32,IF(111=$HJ32,IF($JC32=2,30,0),IF(111=$HK32,IF($JC32=1,30,0),ABS(15-$HC32)*100)),100000+ABS(5-$HB32)*1000+150)),IF($HD32=0,999999,IF(5=$HE32,IF(111=$HL32,IF($JD32=2,30,0),IF(111=$HM32,IF($JD32=1,30,0),ABS(15-$HF32)*100)),100000+ABS(5-$HE32)*1000+150)),IF($HG32=0,999999,IF(5=$HH32,IF(111=$HN32,IF($JE32=2,30,0),IF(111=$HO32,IF($JE32=1,30,0),ABS(15-$HI32)*100)),100000+ABS(5-$HH32)*1000+150)))-IF((111=$HJ32)+(111=$HK32)+(111=$HL32)+(111=$HM32)+(111=$HN32)+(111=$HO32)&gt;=2,50,0))+DJ$5*50)</f>
        <v/>
      </c>
      <c r="DK152">
        <f>IF(OR($JF32=0,calcA!$A$6=0),0,IF(OR(112=$HA32,112=$HD32,112=$HG32),200000,MIN(IF($HA32=0,999999,IF(5=$HB32,IF(112=$HJ32,IF($JC32=2,30,0),IF(112=$HK32,IF($JC32=1,30,0),ABS(16-$HC32)*100)),100000+ABS(5-$HB32)*1000+160)),IF($HD32=0,999999,IF(5=$HE32,IF(112=$HL32,IF($JD32=2,30,0),IF(112=$HM32,IF($JD32=1,30,0),ABS(16-$HF32)*100)),100000+ABS(5-$HE32)*1000+160)),IF($HG32=0,999999,IF(5=$HH32,IF(112=$HN32,IF($JE32=2,30,0),IF(112=$HO32,IF($JE32=1,30,0),ABS(16-$HI32)*100)),100000+ABS(5-$HH32)*1000+160)))-IF((112=$HJ32)+(112=$HK32)+(112=$HL32)+(112=$HM32)+(112=$HN32)+(112=$HO32)&gt;=2,50,0))+DK$5*50)</f>
        <v/>
      </c>
      <c r="DL152">
        <f>IF(OR($JF32=0,calcA!$A$6=0),0,IF(OR(113=$HA32,113=$HD32,113=$HG32),200000,MIN(IF($HA32=0,999999,IF(5=$HB32,IF(113=$HJ32,IF($JC32=2,30,0),IF(113=$HK32,IF($JC32=1,30,0),ABS(17-$HC32)*100)),100000+ABS(5-$HB32)*1000+170)),IF($HD32=0,999999,IF(5=$HE32,IF(113=$HL32,IF($JD32=2,30,0),IF(113=$HM32,IF($JD32=1,30,0),ABS(17-$HF32)*100)),100000+ABS(5-$HE32)*1000+170)),IF($HG32=0,999999,IF(5=$HH32,IF(113=$HN32,IF($JE32=2,30,0),IF(113=$HO32,IF($JE32=1,30,0),ABS(17-$HI32)*100)),100000+ABS(5-$HH32)*1000+170)))-IF((113=$HJ32)+(113=$HK32)+(113=$HL32)+(113=$HM32)+(113=$HN32)+(113=$HO32)&gt;=2,50,0))+DL$5*50)</f>
        <v/>
      </c>
      <c r="DM152">
        <f>IF(OR($JF32=0,calcA!$A$6=0),0,IF(OR(114=$HA32,114=$HD32,114=$HG32),200000,MIN(IF($HA32=0,999999,IF(5=$HB32,IF(114=$HJ32,IF($JC32=2,30,0),IF(114=$HK32,IF($JC32=1,30,0),ABS(18-$HC32)*100)),100000+ABS(5-$HB32)*1000+180)),IF($HD32=0,999999,IF(5=$HE32,IF(114=$HL32,IF($JD32=2,30,0),IF(114=$HM32,IF($JD32=1,30,0),ABS(18-$HF32)*100)),100000+ABS(5-$HE32)*1000+180)),IF($HG32=0,999999,IF(5=$HH32,IF(114=$HN32,IF($JE32=2,30,0),IF(114=$HO32,IF($JE32=1,30,0),ABS(18-$HI32)*100)),100000+ABS(5-$HH32)*1000+180)))-IF((114=$HJ32)+(114=$HK32)+(114=$HL32)+(114=$HM32)+(114=$HN32)+(114=$HO32)&gt;=2,50,0))+DM$5*50)</f>
        <v/>
      </c>
      <c r="DN152">
        <f>IF(OR($JF32=0,calcA!$A$6=0),0,IF(OR(115=$HA32,115=$HD32,115=$HG32),200000,MIN(IF($HA32=0,999999,IF(5=$HB32,IF(115=$HJ32,IF($JC32=2,30,0),IF(115=$HK32,IF($JC32=1,30,0),ABS(19-$HC32)*100)),100000+ABS(5-$HB32)*1000+190)),IF($HD32=0,999999,IF(5=$HE32,IF(115=$HL32,IF($JD32=2,30,0),IF(115=$HM32,IF($JD32=1,30,0),ABS(19-$HF32)*100)),100000+ABS(5-$HE32)*1000+190)),IF($HG32=0,999999,IF(5=$HH32,IF(115=$HN32,IF($JE32=2,30,0),IF(115=$HO32,IF($JE32=1,30,0),ABS(19-$HI32)*100)),100000+ABS(5-$HH32)*1000+190)))-IF((115=$HJ32)+(115=$HK32)+(115=$HL32)+(115=$HM32)+(115=$HN32)+(115=$HO32)&gt;=2,50,0))+DN$5*50)</f>
        <v/>
      </c>
      <c r="DO152">
        <f>IF(OR($JF32=0,calcA!$A$6=0),0,IF(OR(116=$HA32,116=$HD32,116=$HG32),200000,MIN(IF($HA32=0,999999,IF(5=$HB32,IF(116=$HJ32,IF($JC32=2,30,0),IF(116=$HK32,IF($JC32=1,30,0),ABS(20-$HC32)*100)),100000+ABS(5-$HB32)*1000+200)),IF($HD32=0,999999,IF(5=$HE32,IF(116=$HL32,IF($JD32=2,30,0),IF(116=$HM32,IF($JD32=1,30,0),ABS(20-$HF32)*100)),100000+ABS(5-$HE32)*1000+200)),IF($HG32=0,999999,IF(5=$HH32,IF(116=$HN32,IF($JE32=2,30,0),IF(116=$HO32,IF($JE32=1,30,0),ABS(20-$HI32)*100)),100000+ABS(5-$HH32)*1000+200)))-IF((116=$HJ32)+(116=$HK32)+(116=$HL32)+(116=$HM32)+(116=$HN32)+(116=$HO32)&gt;=2,50,0))+DO$5*50)</f>
        <v/>
      </c>
      <c r="DP152">
        <f>IF(OR($JF32=0,calcA!$A$6=0),0,IF(OR(117=$HA32,117=$HD32,117=$HG32),200000,MIN(IF($HA32=0,999999,IF(5=$HB32,IF(117=$HJ32,IF($JC32=2,30,0),IF(117=$HK32,IF($JC32=1,30,0),ABS(21-$HC32)*100)),100000+ABS(5-$HB32)*1000+210)),IF($HD32=0,999999,IF(5=$HE32,IF(117=$HL32,IF($JD32=2,30,0),IF(117=$HM32,IF($JD32=1,30,0),ABS(21-$HF32)*100)),100000+ABS(5-$HE32)*1000+210)),IF($HG32=0,999999,IF(5=$HH32,IF(117=$HN32,IF($JE32=2,30,0),IF(117=$HO32,IF($JE32=1,30,0),ABS(21-$HI32)*100)),100000+ABS(5-$HH32)*1000+210)))-IF((117=$HJ32)+(117=$HK32)+(117=$HL32)+(117=$HM32)+(117=$HN32)+(117=$HO32)&gt;=2,50,0))+DP$5*50)</f>
        <v/>
      </c>
      <c r="DQ152">
        <f>IF(OR($JF32=0,calcA!$A$6=0),0,IF(OR(118=$HA32,118=$HD32,118=$HG32),200000,MIN(IF($HA32=0,999999,IF(5=$HB32,IF(118=$HJ32,IF($JC32=2,30,0),IF(118=$HK32,IF($JC32=1,30,0),ABS(22-$HC32)*100)),100000+ABS(5-$HB32)*1000+220)),IF($HD32=0,999999,IF(5=$HE32,IF(118=$HL32,IF($JD32=2,30,0),IF(118=$HM32,IF($JD32=1,30,0),ABS(22-$HF32)*100)),100000+ABS(5-$HE32)*1000+220)),IF($HG32=0,999999,IF(5=$HH32,IF(118=$HN32,IF($JE32=2,30,0),IF(118=$HO32,IF($JE32=1,30,0),ABS(22-$HI32)*100)),100000+ABS(5-$HH32)*1000+220)))-IF((118=$HJ32)+(118=$HK32)+(118=$HL32)+(118=$HM32)+(118=$HN32)+(118=$HO32)&gt;=2,50,0))+DQ$5*50)</f>
        <v/>
      </c>
      <c r="DR152">
        <f>IF(OR($JF32=0,calcA!$A$6=0),0,IF(OR(119=$HA32,119=$HD32,119=$HG32),200000,MIN(IF($HA32=0,999999,IF(5=$HB32,IF(119=$HJ32,IF($JC32=2,30,0),IF(119=$HK32,IF($JC32=1,30,0),ABS(23-$HC32)*100)),100000+ABS(5-$HB32)*1000+230)),IF($HD32=0,999999,IF(5=$HE32,IF(119=$HL32,IF($JD32=2,30,0),IF(119=$HM32,IF($JD32=1,30,0),ABS(23-$HF32)*100)),100000+ABS(5-$HE32)*1000+230)),IF($HG32=0,999999,IF(5=$HH32,IF(119=$HN32,IF($JE32=2,30,0),IF(119=$HO32,IF($JE32=1,30,0),ABS(23-$HI32)*100)),100000+ABS(5-$HH32)*1000+230)))-IF((119=$HJ32)+(119=$HK32)+(119=$HL32)+(119=$HM32)+(119=$HN32)+(119=$HO32)&gt;=2,50,0))+DR$5*50)</f>
        <v/>
      </c>
      <c r="DS152">
        <f>IF(OR($JF32=0,calcA!$A$6=0),0,IF(OR(120=$HA32,120=$HD32,120=$HG32),200000,MIN(IF($HA32=0,999999,IF(5=$HB32,IF(120=$HJ32,IF($JC32=2,30,0),IF(120=$HK32,IF($JC32=1,30,0),ABS(24-$HC32)*100)),100000+ABS(5-$HB32)*1000+240)),IF($HD32=0,999999,IF(5=$HE32,IF(120=$HL32,IF($JD32=2,30,0),IF(120=$HM32,IF($JD32=1,30,0),ABS(24-$HF32)*100)),100000+ABS(5-$HE32)*1000+240)),IF($HG32=0,999999,IF(5=$HH32,IF(120=$HN32,IF($JE32=2,30,0),IF(120=$HO32,IF($JE32=1,30,0),ABS(24-$HI32)*100)),100000+ABS(5-$HH32)*1000+240)))-IF((120=$HJ32)+(120=$HK32)+(120=$HL32)+(120=$HM32)+(120=$HN32)+(120=$HO32)&gt;=2,50,0))+DS$5*50)</f>
        <v/>
      </c>
      <c r="DT152">
        <f>IF(OR($JF32=0,calcA!$A$6=0),0,IF(OR(121=$HA32,121=$HD32,121=$HG32),200000,MIN(IF($HA32=0,999999,IF(6=$HB32,IF(121=$HJ32,IF($JC32=2,30,0),IF(121=$HK32,IF($JC32=1,30,0),ABS(1-$HC32)*100)),100000+ABS(6-$HB32)*1000+10)),IF($HD32=0,999999,IF(6=$HE32,IF(121=$HL32,IF($JD32=2,30,0),IF(121=$HM32,IF($JD32=1,30,0),ABS(1-$HF32)*100)),100000+ABS(6-$HE32)*1000+10)),IF($HG32=0,999999,IF(6=$HH32,IF(121=$HN32,IF($JE32=2,30,0),IF(121=$HO32,IF($JE32=1,30,0),ABS(1-$HI32)*100)),100000+ABS(6-$HH32)*1000+10)))-IF((121=$HJ32)+(121=$HK32)+(121=$HL32)+(121=$HM32)+(121=$HN32)+(121=$HO32)&gt;=2,50,0))+DT$5*50)</f>
        <v/>
      </c>
      <c r="DU152">
        <f>IF(OR($JF32=0,calcA!$A$6=0),0,IF(OR(122=$HA32,122=$HD32,122=$HG32),200000,MIN(IF($HA32=0,999999,IF(6=$HB32,IF(122=$HJ32,IF($JC32=2,30,0),IF(122=$HK32,IF($JC32=1,30,0),ABS(2-$HC32)*100)),100000+ABS(6-$HB32)*1000+20)),IF($HD32=0,999999,IF(6=$HE32,IF(122=$HL32,IF($JD32=2,30,0),IF(122=$HM32,IF($JD32=1,30,0),ABS(2-$HF32)*100)),100000+ABS(6-$HE32)*1000+20)),IF($HG32=0,999999,IF(6=$HH32,IF(122=$HN32,IF($JE32=2,30,0),IF(122=$HO32,IF($JE32=1,30,0),ABS(2-$HI32)*100)),100000+ABS(6-$HH32)*1000+20)))-IF((122=$HJ32)+(122=$HK32)+(122=$HL32)+(122=$HM32)+(122=$HN32)+(122=$HO32)&gt;=2,50,0))+DU$5*50)</f>
        <v/>
      </c>
      <c r="DV152">
        <f>IF(OR($JF32=0,calcA!$A$6=0),0,IF(OR(123=$HA32,123=$HD32,123=$HG32),200000,MIN(IF($HA32=0,999999,IF(6=$HB32,IF(123=$HJ32,IF($JC32=2,30,0),IF(123=$HK32,IF($JC32=1,30,0),ABS(3-$HC32)*100)),100000+ABS(6-$HB32)*1000+30)),IF($HD32=0,999999,IF(6=$HE32,IF(123=$HL32,IF($JD32=2,30,0),IF(123=$HM32,IF($JD32=1,30,0),ABS(3-$HF32)*100)),100000+ABS(6-$HE32)*1000+30)),IF($HG32=0,999999,IF(6=$HH32,IF(123=$HN32,IF($JE32=2,30,0),IF(123=$HO32,IF($JE32=1,30,0),ABS(3-$HI32)*100)),100000+ABS(6-$HH32)*1000+30)))-IF((123=$HJ32)+(123=$HK32)+(123=$HL32)+(123=$HM32)+(123=$HN32)+(123=$HO32)&gt;=2,50,0))+DV$5*50)</f>
        <v/>
      </c>
      <c r="DW152">
        <f>IF(OR($JF32=0,calcA!$A$6=0),0,IF(OR(124=$HA32,124=$HD32,124=$HG32),200000,MIN(IF($HA32=0,999999,IF(6=$HB32,IF(124=$HJ32,IF($JC32=2,30,0),IF(124=$HK32,IF($JC32=1,30,0),ABS(4-$HC32)*100)),100000+ABS(6-$HB32)*1000+40)),IF($HD32=0,999999,IF(6=$HE32,IF(124=$HL32,IF($JD32=2,30,0),IF(124=$HM32,IF($JD32=1,30,0),ABS(4-$HF32)*100)),100000+ABS(6-$HE32)*1000+40)),IF($HG32=0,999999,IF(6=$HH32,IF(124=$HN32,IF($JE32=2,30,0),IF(124=$HO32,IF($JE32=1,30,0),ABS(4-$HI32)*100)),100000+ABS(6-$HH32)*1000+40)))-IF((124=$HJ32)+(124=$HK32)+(124=$HL32)+(124=$HM32)+(124=$HN32)+(124=$HO32)&gt;=2,50,0))+DW$5*50)</f>
        <v/>
      </c>
      <c r="DX152">
        <f>IF(OR($JF32=0,calcA!$A$6=0),0,IF(OR(125=$HA32,125=$HD32,125=$HG32),200000,MIN(IF($HA32=0,999999,IF(6=$HB32,IF(125=$HJ32,IF($JC32=2,30,0),IF(125=$HK32,IF($JC32=1,30,0),ABS(5-$HC32)*100)),100000+ABS(6-$HB32)*1000+50)),IF($HD32=0,999999,IF(6=$HE32,IF(125=$HL32,IF($JD32=2,30,0),IF(125=$HM32,IF($JD32=1,30,0),ABS(5-$HF32)*100)),100000+ABS(6-$HE32)*1000+50)),IF($HG32=0,999999,IF(6=$HH32,IF(125=$HN32,IF($JE32=2,30,0),IF(125=$HO32,IF($JE32=1,30,0),ABS(5-$HI32)*100)),100000+ABS(6-$HH32)*1000+50)))-IF((125=$HJ32)+(125=$HK32)+(125=$HL32)+(125=$HM32)+(125=$HN32)+(125=$HO32)&gt;=2,50,0))+DX$5*50)</f>
        <v/>
      </c>
      <c r="DY152">
        <f>IF(OR($JF32=0,calcA!$A$6=0),0,IF(OR(126=$HA32,126=$HD32,126=$HG32),200000,MIN(IF($HA32=0,999999,IF(6=$HB32,IF(126=$HJ32,IF($JC32=2,30,0),IF(126=$HK32,IF($JC32=1,30,0),ABS(6-$HC32)*100)),100000+ABS(6-$HB32)*1000+60)),IF($HD32=0,999999,IF(6=$HE32,IF(126=$HL32,IF($JD32=2,30,0),IF(126=$HM32,IF($JD32=1,30,0),ABS(6-$HF32)*100)),100000+ABS(6-$HE32)*1000+60)),IF($HG32=0,999999,IF(6=$HH32,IF(126=$HN32,IF($JE32=2,30,0),IF(126=$HO32,IF($JE32=1,30,0),ABS(6-$HI32)*100)),100000+ABS(6-$HH32)*1000+60)))-IF((126=$HJ32)+(126=$HK32)+(126=$HL32)+(126=$HM32)+(126=$HN32)+(126=$HO32)&gt;=2,50,0))+DY$5*50)</f>
        <v/>
      </c>
      <c r="DZ152">
        <f>IF(OR($JF32=0,calcA!$A$6=0),0,IF(OR(127=$HA32,127=$HD32,127=$HG32),200000,MIN(IF($HA32=0,999999,IF(6=$HB32,IF(127=$HJ32,IF($JC32=2,30,0),IF(127=$HK32,IF($JC32=1,30,0),ABS(7-$HC32)*100)),100000+ABS(6-$HB32)*1000+70)),IF($HD32=0,999999,IF(6=$HE32,IF(127=$HL32,IF($JD32=2,30,0),IF(127=$HM32,IF($JD32=1,30,0),ABS(7-$HF32)*100)),100000+ABS(6-$HE32)*1000+70)),IF($HG32=0,999999,IF(6=$HH32,IF(127=$HN32,IF($JE32=2,30,0),IF(127=$HO32,IF($JE32=1,30,0),ABS(7-$HI32)*100)),100000+ABS(6-$HH32)*1000+70)))-IF((127=$HJ32)+(127=$HK32)+(127=$HL32)+(127=$HM32)+(127=$HN32)+(127=$HO32)&gt;=2,50,0))+DZ$5*50)</f>
        <v/>
      </c>
      <c r="EA152">
        <f>IF(OR($JF32=0,calcA!$A$6=0),0,IF(OR(128=$HA32,128=$HD32,128=$HG32),200000,MIN(IF($HA32=0,999999,IF(6=$HB32,IF(128=$HJ32,IF($JC32=2,30,0),IF(128=$HK32,IF($JC32=1,30,0),ABS(8-$HC32)*100)),100000+ABS(6-$HB32)*1000+80)),IF($HD32=0,999999,IF(6=$HE32,IF(128=$HL32,IF($JD32=2,30,0),IF(128=$HM32,IF($JD32=1,30,0),ABS(8-$HF32)*100)),100000+ABS(6-$HE32)*1000+80)),IF($HG32=0,999999,IF(6=$HH32,IF(128=$HN32,IF($JE32=2,30,0),IF(128=$HO32,IF($JE32=1,30,0),ABS(8-$HI32)*100)),100000+ABS(6-$HH32)*1000+80)))-IF((128=$HJ32)+(128=$HK32)+(128=$HL32)+(128=$HM32)+(128=$HN32)+(128=$HO32)&gt;=2,50,0))+EA$5*50)</f>
        <v/>
      </c>
      <c r="EB152">
        <f>IF(OR($JF32=0,calcA!$A$6=0),0,IF(OR(129=$HA32,129=$HD32,129=$HG32),200000,MIN(IF($HA32=0,999999,IF(6=$HB32,IF(129=$HJ32,IF($JC32=2,30,0),IF(129=$HK32,IF($JC32=1,30,0),ABS(9-$HC32)*100)),100000+ABS(6-$HB32)*1000+90)),IF($HD32=0,999999,IF(6=$HE32,IF(129=$HL32,IF($JD32=2,30,0),IF(129=$HM32,IF($JD32=1,30,0),ABS(9-$HF32)*100)),100000+ABS(6-$HE32)*1000+90)),IF($HG32=0,999999,IF(6=$HH32,IF(129=$HN32,IF($JE32=2,30,0),IF(129=$HO32,IF($JE32=1,30,0),ABS(9-$HI32)*100)),100000+ABS(6-$HH32)*1000+90)))-IF((129=$HJ32)+(129=$HK32)+(129=$HL32)+(129=$HM32)+(129=$HN32)+(129=$HO32)&gt;=2,50,0))+EB$5*50)</f>
        <v/>
      </c>
      <c r="EC152">
        <f>IF(OR($JF32=0,calcA!$A$6=0),0,IF(OR(130=$HA32,130=$HD32,130=$HG32),200000,MIN(IF($HA32=0,999999,IF(6=$HB32,IF(130=$HJ32,IF($JC32=2,30,0),IF(130=$HK32,IF($JC32=1,30,0),ABS(10-$HC32)*100)),100000+ABS(6-$HB32)*1000+100)),IF($HD32=0,999999,IF(6=$HE32,IF(130=$HL32,IF($JD32=2,30,0),IF(130=$HM32,IF($JD32=1,30,0),ABS(10-$HF32)*100)),100000+ABS(6-$HE32)*1000+100)),IF($HG32=0,999999,IF(6=$HH32,IF(130=$HN32,IF($JE32=2,30,0),IF(130=$HO32,IF($JE32=1,30,0),ABS(10-$HI32)*100)),100000+ABS(6-$HH32)*1000+100)))-IF((130=$HJ32)+(130=$HK32)+(130=$HL32)+(130=$HM32)+(130=$HN32)+(130=$HO32)&gt;=2,50,0))+EC$5*50)</f>
        <v/>
      </c>
      <c r="ED152">
        <f>IF(OR($JF32=0,calcA!$A$6=0),0,IF(OR(131=$HA32,131=$HD32,131=$HG32),200000,MIN(IF($HA32=0,999999,IF(6=$HB32,IF(131=$HJ32,IF($JC32=2,30,0),IF(131=$HK32,IF($JC32=1,30,0),ABS(11-$HC32)*100)),100000+ABS(6-$HB32)*1000+110)),IF($HD32=0,999999,IF(6=$HE32,IF(131=$HL32,IF($JD32=2,30,0),IF(131=$HM32,IF($JD32=1,30,0),ABS(11-$HF32)*100)),100000+ABS(6-$HE32)*1000+110)),IF($HG32=0,999999,IF(6=$HH32,IF(131=$HN32,IF($JE32=2,30,0),IF(131=$HO32,IF($JE32=1,30,0),ABS(11-$HI32)*100)),100000+ABS(6-$HH32)*1000+110)))-IF((131=$HJ32)+(131=$HK32)+(131=$HL32)+(131=$HM32)+(131=$HN32)+(131=$HO32)&gt;=2,50,0))+ED$5*50)</f>
        <v/>
      </c>
      <c r="EE152">
        <f>IF(OR($JF32=0,calcA!$A$6=0),0,IF(OR(132=$HA32,132=$HD32,132=$HG32),200000,MIN(IF($HA32=0,999999,IF(6=$HB32,IF(132=$HJ32,IF($JC32=2,30,0),IF(132=$HK32,IF($JC32=1,30,0),ABS(12-$HC32)*100)),100000+ABS(6-$HB32)*1000+120)),IF($HD32=0,999999,IF(6=$HE32,IF(132=$HL32,IF($JD32=2,30,0),IF(132=$HM32,IF($JD32=1,30,0),ABS(12-$HF32)*100)),100000+ABS(6-$HE32)*1000+120)),IF($HG32=0,999999,IF(6=$HH32,IF(132=$HN32,IF($JE32=2,30,0),IF(132=$HO32,IF($JE32=1,30,0),ABS(12-$HI32)*100)),100000+ABS(6-$HH32)*1000+120)))-IF((132=$HJ32)+(132=$HK32)+(132=$HL32)+(132=$HM32)+(132=$HN32)+(132=$HO32)&gt;=2,50,0))+EE$5*50)</f>
        <v/>
      </c>
      <c r="EF152">
        <f>IF(OR($JF32=0,calcA!$A$6=0),0,IF(OR(133=$HA32,133=$HD32,133=$HG32),200000,MIN(IF($HA32=0,999999,IF(6=$HB32,IF(133=$HJ32,IF($JC32=2,30,0),IF(133=$HK32,IF($JC32=1,30,0),ABS(13-$HC32)*100)),100000+ABS(6-$HB32)*1000+130)),IF($HD32=0,999999,IF(6=$HE32,IF(133=$HL32,IF($JD32=2,30,0),IF(133=$HM32,IF($JD32=1,30,0),ABS(13-$HF32)*100)),100000+ABS(6-$HE32)*1000+130)),IF($HG32=0,999999,IF(6=$HH32,IF(133=$HN32,IF($JE32=2,30,0),IF(133=$HO32,IF($JE32=1,30,0),ABS(13-$HI32)*100)),100000+ABS(6-$HH32)*1000+130)))-IF((133=$HJ32)+(133=$HK32)+(133=$HL32)+(133=$HM32)+(133=$HN32)+(133=$HO32)&gt;=2,50,0))+EF$5*50)</f>
        <v/>
      </c>
      <c r="EG152">
        <f>IF(OR($JF32=0,calcA!$A$6=0),0,IF(OR(134=$HA32,134=$HD32,134=$HG32),200000,MIN(IF($HA32=0,999999,IF(6=$HB32,IF(134=$HJ32,IF($JC32=2,30,0),IF(134=$HK32,IF($JC32=1,30,0),ABS(14-$HC32)*100)),100000+ABS(6-$HB32)*1000+140)),IF($HD32=0,999999,IF(6=$HE32,IF(134=$HL32,IF($JD32=2,30,0),IF(134=$HM32,IF($JD32=1,30,0),ABS(14-$HF32)*100)),100000+ABS(6-$HE32)*1000+140)),IF($HG32=0,999999,IF(6=$HH32,IF(134=$HN32,IF($JE32=2,30,0),IF(134=$HO32,IF($JE32=1,30,0),ABS(14-$HI32)*100)),100000+ABS(6-$HH32)*1000+140)))-IF((134=$HJ32)+(134=$HK32)+(134=$HL32)+(134=$HM32)+(134=$HN32)+(134=$HO32)&gt;=2,50,0))+EG$5*50)</f>
        <v/>
      </c>
      <c r="EH152">
        <f>IF(OR($JF32=0,calcA!$A$6=0),0,IF(OR(135=$HA32,135=$HD32,135=$HG32),200000,MIN(IF($HA32=0,999999,IF(6=$HB32,IF(135=$HJ32,IF($JC32=2,30,0),IF(135=$HK32,IF($JC32=1,30,0),ABS(15-$HC32)*100)),100000+ABS(6-$HB32)*1000+150)),IF($HD32=0,999999,IF(6=$HE32,IF(135=$HL32,IF($JD32=2,30,0),IF(135=$HM32,IF($JD32=1,30,0),ABS(15-$HF32)*100)),100000+ABS(6-$HE32)*1000+150)),IF($HG32=0,999999,IF(6=$HH32,IF(135=$HN32,IF($JE32=2,30,0),IF(135=$HO32,IF($JE32=1,30,0),ABS(15-$HI32)*100)),100000+ABS(6-$HH32)*1000+150)))-IF((135=$HJ32)+(135=$HK32)+(135=$HL32)+(135=$HM32)+(135=$HN32)+(135=$HO32)&gt;=2,50,0))+EH$5*50)</f>
        <v/>
      </c>
      <c r="EI152">
        <f>IF(OR($JF32=0,calcA!$A$6=0),0,IF(OR(136=$HA32,136=$HD32,136=$HG32),200000,MIN(IF($HA32=0,999999,IF(6=$HB32,IF(136=$HJ32,IF($JC32=2,30,0),IF(136=$HK32,IF($JC32=1,30,0),ABS(16-$HC32)*100)),100000+ABS(6-$HB32)*1000+160)),IF($HD32=0,999999,IF(6=$HE32,IF(136=$HL32,IF($JD32=2,30,0),IF(136=$HM32,IF($JD32=1,30,0),ABS(16-$HF32)*100)),100000+ABS(6-$HE32)*1000+160)),IF($HG32=0,999999,IF(6=$HH32,IF(136=$HN32,IF($JE32=2,30,0),IF(136=$HO32,IF($JE32=1,30,0),ABS(16-$HI32)*100)),100000+ABS(6-$HH32)*1000+160)))-IF((136=$HJ32)+(136=$HK32)+(136=$HL32)+(136=$HM32)+(136=$HN32)+(136=$HO32)&gt;=2,50,0))+EI$5*50)</f>
        <v/>
      </c>
      <c r="EJ152">
        <f>IF(OR($JF32=0,calcA!$A$6=0),0,IF(OR(137=$HA32,137=$HD32,137=$HG32),200000,MIN(IF($HA32=0,999999,IF(6=$HB32,IF(137=$HJ32,IF($JC32=2,30,0),IF(137=$HK32,IF($JC32=1,30,0),ABS(17-$HC32)*100)),100000+ABS(6-$HB32)*1000+170)),IF($HD32=0,999999,IF(6=$HE32,IF(137=$HL32,IF($JD32=2,30,0),IF(137=$HM32,IF($JD32=1,30,0),ABS(17-$HF32)*100)),100000+ABS(6-$HE32)*1000+170)),IF($HG32=0,999999,IF(6=$HH32,IF(137=$HN32,IF($JE32=2,30,0),IF(137=$HO32,IF($JE32=1,30,0),ABS(17-$HI32)*100)),100000+ABS(6-$HH32)*1000+170)))-IF((137=$HJ32)+(137=$HK32)+(137=$HL32)+(137=$HM32)+(137=$HN32)+(137=$HO32)&gt;=2,50,0))+EJ$5*50)</f>
        <v/>
      </c>
      <c r="EK152">
        <f>IF(OR($JF32=0,calcA!$A$6=0),0,IF(OR(138=$HA32,138=$HD32,138=$HG32),200000,MIN(IF($HA32=0,999999,IF(6=$HB32,IF(138=$HJ32,IF($JC32=2,30,0),IF(138=$HK32,IF($JC32=1,30,0),ABS(18-$HC32)*100)),100000+ABS(6-$HB32)*1000+180)),IF($HD32=0,999999,IF(6=$HE32,IF(138=$HL32,IF($JD32=2,30,0),IF(138=$HM32,IF($JD32=1,30,0),ABS(18-$HF32)*100)),100000+ABS(6-$HE32)*1000+180)),IF($HG32=0,999999,IF(6=$HH32,IF(138=$HN32,IF($JE32=2,30,0),IF(138=$HO32,IF($JE32=1,30,0),ABS(18-$HI32)*100)),100000+ABS(6-$HH32)*1000+180)))-IF((138=$HJ32)+(138=$HK32)+(138=$HL32)+(138=$HM32)+(138=$HN32)+(138=$HO32)&gt;=2,50,0))+EK$5*50)</f>
        <v/>
      </c>
      <c r="EL152">
        <f>IF(OR($JF32=0,calcA!$A$6=0),0,IF(OR(139=$HA32,139=$HD32,139=$HG32),200000,MIN(IF($HA32=0,999999,IF(6=$HB32,IF(139=$HJ32,IF($JC32=2,30,0),IF(139=$HK32,IF($JC32=1,30,0),ABS(19-$HC32)*100)),100000+ABS(6-$HB32)*1000+190)),IF($HD32=0,999999,IF(6=$HE32,IF(139=$HL32,IF($JD32=2,30,0),IF(139=$HM32,IF($JD32=1,30,0),ABS(19-$HF32)*100)),100000+ABS(6-$HE32)*1000+190)),IF($HG32=0,999999,IF(6=$HH32,IF(139=$HN32,IF($JE32=2,30,0),IF(139=$HO32,IF($JE32=1,30,0),ABS(19-$HI32)*100)),100000+ABS(6-$HH32)*1000+190)))-IF((139=$HJ32)+(139=$HK32)+(139=$HL32)+(139=$HM32)+(139=$HN32)+(139=$HO32)&gt;=2,50,0))+EL$5*50)</f>
        <v/>
      </c>
      <c r="EM152">
        <f>IF(OR($JF32=0,calcA!$A$6=0),0,IF(OR(140=$HA32,140=$HD32,140=$HG32),200000,MIN(IF($HA32=0,999999,IF(6=$HB32,IF(140=$HJ32,IF($JC32=2,30,0),IF(140=$HK32,IF($JC32=1,30,0),ABS(20-$HC32)*100)),100000+ABS(6-$HB32)*1000+200)),IF($HD32=0,999999,IF(6=$HE32,IF(140=$HL32,IF($JD32=2,30,0),IF(140=$HM32,IF($JD32=1,30,0),ABS(20-$HF32)*100)),100000+ABS(6-$HE32)*1000+200)),IF($HG32=0,999999,IF(6=$HH32,IF(140=$HN32,IF($JE32=2,30,0),IF(140=$HO32,IF($JE32=1,30,0),ABS(20-$HI32)*100)),100000+ABS(6-$HH32)*1000+200)))-IF((140=$HJ32)+(140=$HK32)+(140=$HL32)+(140=$HM32)+(140=$HN32)+(140=$HO32)&gt;=2,50,0))+EM$5*50)</f>
        <v/>
      </c>
      <c r="EN152">
        <f>IF(OR($JF32=0,calcA!$A$6=0),0,IF(OR(141=$HA32,141=$HD32,141=$HG32),200000,MIN(IF($HA32=0,999999,IF(6=$HB32,IF(141=$HJ32,IF($JC32=2,30,0),IF(141=$HK32,IF($JC32=1,30,0),ABS(21-$HC32)*100)),100000+ABS(6-$HB32)*1000+210)),IF($HD32=0,999999,IF(6=$HE32,IF(141=$HL32,IF($JD32=2,30,0),IF(141=$HM32,IF($JD32=1,30,0),ABS(21-$HF32)*100)),100000+ABS(6-$HE32)*1000+210)),IF($HG32=0,999999,IF(6=$HH32,IF(141=$HN32,IF($JE32=2,30,0),IF(141=$HO32,IF($JE32=1,30,0),ABS(21-$HI32)*100)),100000+ABS(6-$HH32)*1000+210)))-IF((141=$HJ32)+(141=$HK32)+(141=$HL32)+(141=$HM32)+(141=$HN32)+(141=$HO32)&gt;=2,50,0))+EN$5*50)</f>
        <v/>
      </c>
      <c r="EO152">
        <f>IF(OR($JF32=0,calcA!$A$6=0),0,IF(OR(142=$HA32,142=$HD32,142=$HG32),200000,MIN(IF($HA32=0,999999,IF(6=$HB32,IF(142=$HJ32,IF($JC32=2,30,0),IF(142=$HK32,IF($JC32=1,30,0),ABS(22-$HC32)*100)),100000+ABS(6-$HB32)*1000+220)),IF($HD32=0,999999,IF(6=$HE32,IF(142=$HL32,IF($JD32=2,30,0),IF(142=$HM32,IF($JD32=1,30,0),ABS(22-$HF32)*100)),100000+ABS(6-$HE32)*1000+220)),IF($HG32=0,999999,IF(6=$HH32,IF(142=$HN32,IF($JE32=2,30,0),IF(142=$HO32,IF($JE32=1,30,0),ABS(22-$HI32)*100)),100000+ABS(6-$HH32)*1000+220)))-IF((142=$HJ32)+(142=$HK32)+(142=$HL32)+(142=$HM32)+(142=$HN32)+(142=$HO32)&gt;=2,50,0))+EO$5*50)</f>
        <v/>
      </c>
      <c r="EP152">
        <f>IF(OR($JF32=0,calcA!$A$6=0),0,IF(OR(143=$HA32,143=$HD32,143=$HG32),200000,MIN(IF($HA32=0,999999,IF(6=$HB32,IF(143=$HJ32,IF($JC32=2,30,0),IF(143=$HK32,IF($JC32=1,30,0),ABS(23-$HC32)*100)),100000+ABS(6-$HB32)*1000+230)),IF($HD32=0,999999,IF(6=$HE32,IF(143=$HL32,IF($JD32=2,30,0),IF(143=$HM32,IF($JD32=1,30,0),ABS(23-$HF32)*100)),100000+ABS(6-$HE32)*1000+230)),IF($HG32=0,999999,IF(6=$HH32,IF(143=$HN32,IF($JE32=2,30,0),IF(143=$HO32,IF($JE32=1,30,0),ABS(23-$HI32)*100)),100000+ABS(6-$HH32)*1000+230)))-IF((143=$HJ32)+(143=$HK32)+(143=$HL32)+(143=$HM32)+(143=$HN32)+(143=$HO32)&gt;=2,50,0))+EP$5*50)</f>
        <v/>
      </c>
      <c r="EQ152">
        <f>IF(OR($JF32=0,calcA!$A$6=0),0,IF(OR(144=$HA32,144=$HD32,144=$HG32),200000,MIN(IF($HA32=0,999999,IF(6=$HB32,IF(144=$HJ32,IF($JC32=2,30,0),IF(144=$HK32,IF($JC32=1,30,0),ABS(24-$HC32)*100)),100000+ABS(6-$HB32)*1000+240)),IF($HD32=0,999999,IF(6=$HE32,IF(144=$HL32,IF($JD32=2,30,0),IF(144=$HM32,IF($JD32=1,30,0),ABS(24-$HF32)*100)),100000+ABS(6-$HE32)*1000+240)),IF($HG32=0,999999,IF(6=$HH32,IF(144=$HN32,IF($JE32=2,30,0),IF(144=$HO32,IF($JE32=1,30,0),ABS(24-$HI32)*100)),100000+ABS(6-$HH32)*1000+240)))-IF((144=$HJ32)+(144=$HK32)+(144=$HL32)+(144=$HM32)+(144=$HN32)+(144=$HO32)&gt;=2,50,0))+EQ$5*50)</f>
        <v/>
      </c>
    </row>
    <row r="153">
      <c r="D153">
        <f>IF(OR($JF33=0,calcA!$A$6=0),0,IF(OR(1=$HA33,1=$HD33,1=$HG33),200000,MIN(IF($HA33=0,999999,IF(1=$HB33,IF(1=$HJ33,IF($JC33=2,30,0),IF(1=$HK33,IF($JC33=1,30,0),ABS(1-$HC33)*100)),100000+ABS(1-$HB33)*1000+10)),IF($HD33=0,999999,IF(1=$HE33,IF(1=$HL33,IF($JD33=2,30,0),IF(1=$HM33,IF($JD33=1,30,0),ABS(1-$HF33)*100)),100000+ABS(1-$HE33)*1000+10)),IF($HG33=0,999999,IF(1=$HH33,IF(1=$HN33,IF($JE33=2,30,0),IF(1=$HO33,IF($JE33=1,30,0),ABS(1-$HI33)*100)),100000+ABS(1-$HH33)*1000+10)))-IF((1=$HJ33)+(1=$HK33)+(1=$HL33)+(1=$HM33)+(1=$HN33)+(1=$HO33)&gt;=2,50,0))+D$5*50)</f>
        <v/>
      </c>
      <c r="E153">
        <f>IF(OR($JF33=0,calcA!$A$6=0),0,IF(OR(2=$HA33,2=$HD33,2=$HG33),200000,MIN(IF($HA33=0,999999,IF(1=$HB33,IF(2=$HJ33,IF($JC33=2,30,0),IF(2=$HK33,IF($JC33=1,30,0),ABS(2-$HC33)*100)),100000+ABS(1-$HB33)*1000+20)),IF($HD33=0,999999,IF(1=$HE33,IF(2=$HL33,IF($JD33=2,30,0),IF(2=$HM33,IF($JD33=1,30,0),ABS(2-$HF33)*100)),100000+ABS(1-$HE33)*1000+20)),IF($HG33=0,999999,IF(1=$HH33,IF(2=$HN33,IF($JE33=2,30,0),IF(2=$HO33,IF($JE33=1,30,0),ABS(2-$HI33)*100)),100000+ABS(1-$HH33)*1000+20)))-IF((2=$HJ33)+(2=$HK33)+(2=$HL33)+(2=$HM33)+(2=$HN33)+(2=$HO33)&gt;=2,50,0))+E$5*50)</f>
        <v/>
      </c>
      <c r="F153">
        <f>IF(OR($JF33=0,calcA!$A$6=0),0,IF(OR(3=$HA33,3=$HD33,3=$HG33),200000,MIN(IF($HA33=0,999999,IF(1=$HB33,IF(3=$HJ33,IF($JC33=2,30,0),IF(3=$HK33,IF($JC33=1,30,0),ABS(3-$HC33)*100)),100000+ABS(1-$HB33)*1000+30)),IF($HD33=0,999999,IF(1=$HE33,IF(3=$HL33,IF($JD33=2,30,0),IF(3=$HM33,IF($JD33=1,30,0),ABS(3-$HF33)*100)),100000+ABS(1-$HE33)*1000+30)),IF($HG33=0,999999,IF(1=$HH33,IF(3=$HN33,IF($JE33=2,30,0),IF(3=$HO33,IF($JE33=1,30,0),ABS(3-$HI33)*100)),100000+ABS(1-$HH33)*1000+30)))-IF((3=$HJ33)+(3=$HK33)+(3=$HL33)+(3=$HM33)+(3=$HN33)+(3=$HO33)&gt;=2,50,0))+F$5*50)</f>
        <v/>
      </c>
      <c r="G153">
        <f>IF(OR($JF33=0,calcA!$A$6=0),0,IF(OR(4=$HA33,4=$HD33,4=$HG33),200000,MIN(IF($HA33=0,999999,IF(1=$HB33,IF(4=$HJ33,IF($JC33=2,30,0),IF(4=$HK33,IF($JC33=1,30,0),ABS(4-$HC33)*100)),100000+ABS(1-$HB33)*1000+40)),IF($HD33=0,999999,IF(1=$HE33,IF(4=$HL33,IF($JD33=2,30,0),IF(4=$HM33,IF($JD33=1,30,0),ABS(4-$HF33)*100)),100000+ABS(1-$HE33)*1000+40)),IF($HG33=0,999999,IF(1=$HH33,IF(4=$HN33,IF($JE33=2,30,0),IF(4=$HO33,IF($JE33=1,30,0),ABS(4-$HI33)*100)),100000+ABS(1-$HH33)*1000+40)))-IF((4=$HJ33)+(4=$HK33)+(4=$HL33)+(4=$HM33)+(4=$HN33)+(4=$HO33)&gt;=2,50,0))+G$5*50)</f>
        <v/>
      </c>
      <c r="H153">
        <f>IF(OR($JF33=0,calcA!$A$6=0),0,IF(OR(5=$HA33,5=$HD33,5=$HG33),200000,MIN(IF($HA33=0,999999,IF(1=$HB33,IF(5=$HJ33,IF($JC33=2,30,0),IF(5=$HK33,IF($JC33=1,30,0),ABS(5-$HC33)*100)),100000+ABS(1-$HB33)*1000+50)),IF($HD33=0,999999,IF(1=$HE33,IF(5=$HL33,IF($JD33=2,30,0),IF(5=$HM33,IF($JD33=1,30,0),ABS(5-$HF33)*100)),100000+ABS(1-$HE33)*1000+50)),IF($HG33=0,999999,IF(1=$HH33,IF(5=$HN33,IF($JE33=2,30,0),IF(5=$HO33,IF($JE33=1,30,0),ABS(5-$HI33)*100)),100000+ABS(1-$HH33)*1000+50)))-IF((5=$HJ33)+(5=$HK33)+(5=$HL33)+(5=$HM33)+(5=$HN33)+(5=$HO33)&gt;=2,50,0))+H$5*50)</f>
        <v/>
      </c>
      <c r="I153">
        <f>IF(OR($JF33=0,calcA!$A$6=0),0,IF(OR(6=$HA33,6=$HD33,6=$HG33),200000,MIN(IF($HA33=0,999999,IF(1=$HB33,IF(6=$HJ33,IF($JC33=2,30,0),IF(6=$HK33,IF($JC33=1,30,0),ABS(6-$HC33)*100)),100000+ABS(1-$HB33)*1000+60)),IF($HD33=0,999999,IF(1=$HE33,IF(6=$HL33,IF($JD33=2,30,0),IF(6=$HM33,IF($JD33=1,30,0),ABS(6-$HF33)*100)),100000+ABS(1-$HE33)*1000+60)),IF($HG33=0,999999,IF(1=$HH33,IF(6=$HN33,IF($JE33=2,30,0),IF(6=$HO33,IF($JE33=1,30,0),ABS(6-$HI33)*100)),100000+ABS(1-$HH33)*1000+60)))-IF((6=$HJ33)+(6=$HK33)+(6=$HL33)+(6=$HM33)+(6=$HN33)+(6=$HO33)&gt;=2,50,0))+I$5*50)</f>
        <v/>
      </c>
      <c r="J153">
        <f>IF(OR($JF33=0,calcA!$A$6=0),0,IF(OR(7=$HA33,7=$HD33,7=$HG33),200000,MIN(IF($HA33=0,999999,IF(1=$HB33,IF(7=$HJ33,IF($JC33=2,30,0),IF(7=$HK33,IF($JC33=1,30,0),ABS(7-$HC33)*100)),100000+ABS(1-$HB33)*1000+70)),IF($HD33=0,999999,IF(1=$HE33,IF(7=$HL33,IF($JD33=2,30,0),IF(7=$HM33,IF($JD33=1,30,0),ABS(7-$HF33)*100)),100000+ABS(1-$HE33)*1000+70)),IF($HG33=0,999999,IF(1=$HH33,IF(7=$HN33,IF($JE33=2,30,0),IF(7=$HO33,IF($JE33=1,30,0),ABS(7-$HI33)*100)),100000+ABS(1-$HH33)*1000+70)))-IF((7=$HJ33)+(7=$HK33)+(7=$HL33)+(7=$HM33)+(7=$HN33)+(7=$HO33)&gt;=2,50,0))+J$5*50)</f>
        <v/>
      </c>
      <c r="K153">
        <f>IF(OR($JF33=0,calcA!$A$6=0),0,IF(OR(8=$HA33,8=$HD33,8=$HG33),200000,MIN(IF($HA33=0,999999,IF(1=$HB33,IF(8=$HJ33,IF($JC33=2,30,0),IF(8=$HK33,IF($JC33=1,30,0),ABS(8-$HC33)*100)),100000+ABS(1-$HB33)*1000+80)),IF($HD33=0,999999,IF(1=$HE33,IF(8=$HL33,IF($JD33=2,30,0),IF(8=$HM33,IF($JD33=1,30,0),ABS(8-$HF33)*100)),100000+ABS(1-$HE33)*1000+80)),IF($HG33=0,999999,IF(1=$HH33,IF(8=$HN33,IF($JE33=2,30,0),IF(8=$HO33,IF($JE33=1,30,0),ABS(8-$HI33)*100)),100000+ABS(1-$HH33)*1000+80)))-IF((8=$HJ33)+(8=$HK33)+(8=$HL33)+(8=$HM33)+(8=$HN33)+(8=$HO33)&gt;=2,50,0))+K$5*50)</f>
        <v/>
      </c>
      <c r="L153">
        <f>IF(OR($JF33=0,calcA!$A$6=0),0,IF(OR(9=$HA33,9=$HD33,9=$HG33),200000,MIN(IF($HA33=0,999999,IF(1=$HB33,IF(9=$HJ33,IF($JC33=2,30,0),IF(9=$HK33,IF($JC33=1,30,0),ABS(9-$HC33)*100)),100000+ABS(1-$HB33)*1000+90)),IF($HD33=0,999999,IF(1=$HE33,IF(9=$HL33,IF($JD33=2,30,0),IF(9=$HM33,IF($JD33=1,30,0),ABS(9-$HF33)*100)),100000+ABS(1-$HE33)*1000+90)),IF($HG33=0,999999,IF(1=$HH33,IF(9=$HN33,IF($JE33=2,30,0),IF(9=$HO33,IF($JE33=1,30,0),ABS(9-$HI33)*100)),100000+ABS(1-$HH33)*1000+90)))-IF((9=$HJ33)+(9=$HK33)+(9=$HL33)+(9=$HM33)+(9=$HN33)+(9=$HO33)&gt;=2,50,0))+L$5*50)</f>
        <v/>
      </c>
      <c r="M153">
        <f>IF(OR($JF33=0,calcA!$A$6=0),0,IF(OR(10=$HA33,10=$HD33,10=$HG33),200000,MIN(IF($HA33=0,999999,IF(1=$HB33,IF(10=$HJ33,IF($JC33=2,30,0),IF(10=$HK33,IF($JC33=1,30,0),ABS(10-$HC33)*100)),100000+ABS(1-$HB33)*1000+100)),IF($HD33=0,999999,IF(1=$HE33,IF(10=$HL33,IF($JD33=2,30,0),IF(10=$HM33,IF($JD33=1,30,0),ABS(10-$HF33)*100)),100000+ABS(1-$HE33)*1000+100)),IF($HG33=0,999999,IF(1=$HH33,IF(10=$HN33,IF($JE33=2,30,0),IF(10=$HO33,IF($JE33=1,30,0),ABS(10-$HI33)*100)),100000+ABS(1-$HH33)*1000+100)))-IF((10=$HJ33)+(10=$HK33)+(10=$HL33)+(10=$HM33)+(10=$HN33)+(10=$HO33)&gt;=2,50,0))+M$5*50)</f>
        <v/>
      </c>
      <c r="N153">
        <f>IF(OR($JF33=0,calcA!$A$6=0),0,IF(OR(11=$HA33,11=$HD33,11=$HG33),200000,MIN(IF($HA33=0,999999,IF(1=$HB33,IF(11=$HJ33,IF($JC33=2,30,0),IF(11=$HK33,IF($JC33=1,30,0),ABS(11-$HC33)*100)),100000+ABS(1-$HB33)*1000+110)),IF($HD33=0,999999,IF(1=$HE33,IF(11=$HL33,IF($JD33=2,30,0),IF(11=$HM33,IF($JD33=1,30,0),ABS(11-$HF33)*100)),100000+ABS(1-$HE33)*1000+110)),IF($HG33=0,999999,IF(1=$HH33,IF(11=$HN33,IF($JE33=2,30,0),IF(11=$HO33,IF($JE33=1,30,0),ABS(11-$HI33)*100)),100000+ABS(1-$HH33)*1000+110)))-IF((11=$HJ33)+(11=$HK33)+(11=$HL33)+(11=$HM33)+(11=$HN33)+(11=$HO33)&gt;=2,50,0))+N$5*50)</f>
        <v/>
      </c>
      <c r="O153">
        <f>IF(OR($JF33=0,calcA!$A$6=0),0,IF(OR(12=$HA33,12=$HD33,12=$HG33),200000,MIN(IF($HA33=0,999999,IF(1=$HB33,IF(12=$HJ33,IF($JC33=2,30,0),IF(12=$HK33,IF($JC33=1,30,0),ABS(12-$HC33)*100)),100000+ABS(1-$HB33)*1000+120)),IF($HD33=0,999999,IF(1=$HE33,IF(12=$HL33,IF($JD33=2,30,0),IF(12=$HM33,IF($JD33=1,30,0),ABS(12-$HF33)*100)),100000+ABS(1-$HE33)*1000+120)),IF($HG33=0,999999,IF(1=$HH33,IF(12=$HN33,IF($JE33=2,30,0),IF(12=$HO33,IF($JE33=1,30,0),ABS(12-$HI33)*100)),100000+ABS(1-$HH33)*1000+120)))-IF((12=$HJ33)+(12=$HK33)+(12=$HL33)+(12=$HM33)+(12=$HN33)+(12=$HO33)&gt;=2,50,0))+O$5*50)</f>
        <v/>
      </c>
      <c r="P153">
        <f>IF(OR($JF33=0,calcA!$A$6=0),0,IF(OR(13=$HA33,13=$HD33,13=$HG33),200000,MIN(IF($HA33=0,999999,IF(1=$HB33,IF(13=$HJ33,IF($JC33=2,30,0),IF(13=$HK33,IF($JC33=1,30,0),ABS(13-$HC33)*100)),100000+ABS(1-$HB33)*1000+130)),IF($HD33=0,999999,IF(1=$HE33,IF(13=$HL33,IF($JD33=2,30,0),IF(13=$HM33,IF($JD33=1,30,0),ABS(13-$HF33)*100)),100000+ABS(1-$HE33)*1000+130)),IF($HG33=0,999999,IF(1=$HH33,IF(13=$HN33,IF($JE33=2,30,0),IF(13=$HO33,IF($JE33=1,30,0),ABS(13-$HI33)*100)),100000+ABS(1-$HH33)*1000+130)))-IF((13=$HJ33)+(13=$HK33)+(13=$HL33)+(13=$HM33)+(13=$HN33)+(13=$HO33)&gt;=2,50,0))+P$5*50)</f>
        <v/>
      </c>
      <c r="Q153">
        <f>IF(OR($JF33=0,calcA!$A$6=0),0,IF(OR(14=$HA33,14=$HD33,14=$HG33),200000,MIN(IF($HA33=0,999999,IF(1=$HB33,IF(14=$HJ33,IF($JC33=2,30,0),IF(14=$HK33,IF($JC33=1,30,0),ABS(14-$HC33)*100)),100000+ABS(1-$HB33)*1000+140)),IF($HD33=0,999999,IF(1=$HE33,IF(14=$HL33,IF($JD33=2,30,0),IF(14=$HM33,IF($JD33=1,30,0),ABS(14-$HF33)*100)),100000+ABS(1-$HE33)*1000+140)),IF($HG33=0,999999,IF(1=$HH33,IF(14=$HN33,IF($JE33=2,30,0),IF(14=$HO33,IF($JE33=1,30,0),ABS(14-$HI33)*100)),100000+ABS(1-$HH33)*1000+140)))-IF((14=$HJ33)+(14=$HK33)+(14=$HL33)+(14=$HM33)+(14=$HN33)+(14=$HO33)&gt;=2,50,0))+Q$5*50)</f>
        <v/>
      </c>
      <c r="R153">
        <f>IF(OR($JF33=0,calcA!$A$6=0),0,IF(OR(15=$HA33,15=$HD33,15=$HG33),200000,MIN(IF($HA33=0,999999,IF(1=$HB33,IF(15=$HJ33,IF($JC33=2,30,0),IF(15=$HK33,IF($JC33=1,30,0),ABS(15-$HC33)*100)),100000+ABS(1-$HB33)*1000+150)),IF($HD33=0,999999,IF(1=$HE33,IF(15=$HL33,IF($JD33=2,30,0),IF(15=$HM33,IF($JD33=1,30,0),ABS(15-$HF33)*100)),100000+ABS(1-$HE33)*1000+150)),IF($HG33=0,999999,IF(1=$HH33,IF(15=$HN33,IF($JE33=2,30,0),IF(15=$HO33,IF($JE33=1,30,0),ABS(15-$HI33)*100)),100000+ABS(1-$HH33)*1000+150)))-IF((15=$HJ33)+(15=$HK33)+(15=$HL33)+(15=$HM33)+(15=$HN33)+(15=$HO33)&gt;=2,50,0))+R$5*50)</f>
        <v/>
      </c>
      <c r="S153">
        <f>IF(OR($JF33=0,calcA!$A$6=0),0,IF(OR(16=$HA33,16=$HD33,16=$HG33),200000,MIN(IF($HA33=0,999999,IF(1=$HB33,IF(16=$HJ33,IF($JC33=2,30,0),IF(16=$HK33,IF($JC33=1,30,0),ABS(16-$HC33)*100)),100000+ABS(1-$HB33)*1000+160)),IF($HD33=0,999999,IF(1=$HE33,IF(16=$HL33,IF($JD33=2,30,0),IF(16=$HM33,IF($JD33=1,30,0),ABS(16-$HF33)*100)),100000+ABS(1-$HE33)*1000+160)),IF($HG33=0,999999,IF(1=$HH33,IF(16=$HN33,IF($JE33=2,30,0),IF(16=$HO33,IF($JE33=1,30,0),ABS(16-$HI33)*100)),100000+ABS(1-$HH33)*1000+160)))-IF((16=$HJ33)+(16=$HK33)+(16=$HL33)+(16=$HM33)+(16=$HN33)+(16=$HO33)&gt;=2,50,0))+S$5*50)</f>
        <v/>
      </c>
      <c r="T153">
        <f>IF(OR($JF33=0,calcA!$A$6=0),0,IF(OR(17=$HA33,17=$HD33,17=$HG33),200000,MIN(IF($HA33=0,999999,IF(1=$HB33,IF(17=$HJ33,IF($JC33=2,30,0),IF(17=$HK33,IF($JC33=1,30,0),ABS(17-$HC33)*100)),100000+ABS(1-$HB33)*1000+170)),IF($HD33=0,999999,IF(1=$HE33,IF(17=$HL33,IF($JD33=2,30,0),IF(17=$HM33,IF($JD33=1,30,0),ABS(17-$HF33)*100)),100000+ABS(1-$HE33)*1000+170)),IF($HG33=0,999999,IF(1=$HH33,IF(17=$HN33,IF($JE33=2,30,0),IF(17=$HO33,IF($JE33=1,30,0),ABS(17-$HI33)*100)),100000+ABS(1-$HH33)*1000+170)))-IF((17=$HJ33)+(17=$HK33)+(17=$HL33)+(17=$HM33)+(17=$HN33)+(17=$HO33)&gt;=2,50,0))+T$5*50)</f>
        <v/>
      </c>
      <c r="U153">
        <f>IF(OR($JF33=0,calcA!$A$6=0),0,IF(OR(18=$HA33,18=$HD33,18=$HG33),200000,MIN(IF($HA33=0,999999,IF(1=$HB33,IF(18=$HJ33,IF($JC33=2,30,0),IF(18=$HK33,IF($JC33=1,30,0),ABS(18-$HC33)*100)),100000+ABS(1-$HB33)*1000+180)),IF($HD33=0,999999,IF(1=$HE33,IF(18=$HL33,IF($JD33=2,30,0),IF(18=$HM33,IF($JD33=1,30,0),ABS(18-$HF33)*100)),100000+ABS(1-$HE33)*1000+180)),IF($HG33=0,999999,IF(1=$HH33,IF(18=$HN33,IF($JE33=2,30,0),IF(18=$HO33,IF($JE33=1,30,0),ABS(18-$HI33)*100)),100000+ABS(1-$HH33)*1000+180)))-IF((18=$HJ33)+(18=$HK33)+(18=$HL33)+(18=$HM33)+(18=$HN33)+(18=$HO33)&gt;=2,50,0))+U$5*50)</f>
        <v/>
      </c>
      <c r="V153">
        <f>IF(OR($JF33=0,calcA!$A$6=0),0,IF(OR(19=$HA33,19=$HD33,19=$HG33),200000,MIN(IF($HA33=0,999999,IF(1=$HB33,IF(19=$HJ33,IF($JC33=2,30,0),IF(19=$HK33,IF($JC33=1,30,0),ABS(19-$HC33)*100)),100000+ABS(1-$HB33)*1000+190)),IF($HD33=0,999999,IF(1=$HE33,IF(19=$HL33,IF($JD33=2,30,0),IF(19=$HM33,IF($JD33=1,30,0),ABS(19-$HF33)*100)),100000+ABS(1-$HE33)*1000+190)),IF($HG33=0,999999,IF(1=$HH33,IF(19=$HN33,IF($JE33=2,30,0),IF(19=$HO33,IF($JE33=1,30,0),ABS(19-$HI33)*100)),100000+ABS(1-$HH33)*1000+190)))-IF((19=$HJ33)+(19=$HK33)+(19=$HL33)+(19=$HM33)+(19=$HN33)+(19=$HO33)&gt;=2,50,0))+V$5*50)</f>
        <v/>
      </c>
      <c r="W153">
        <f>IF(OR($JF33=0,calcA!$A$6=0),0,IF(OR(20=$HA33,20=$HD33,20=$HG33),200000,MIN(IF($HA33=0,999999,IF(1=$HB33,IF(20=$HJ33,IF($JC33=2,30,0),IF(20=$HK33,IF($JC33=1,30,0),ABS(20-$HC33)*100)),100000+ABS(1-$HB33)*1000+200)),IF($HD33=0,999999,IF(1=$HE33,IF(20=$HL33,IF($JD33=2,30,0),IF(20=$HM33,IF($JD33=1,30,0),ABS(20-$HF33)*100)),100000+ABS(1-$HE33)*1000+200)),IF($HG33=0,999999,IF(1=$HH33,IF(20=$HN33,IF($JE33=2,30,0),IF(20=$HO33,IF($JE33=1,30,0),ABS(20-$HI33)*100)),100000+ABS(1-$HH33)*1000+200)))-IF((20=$HJ33)+(20=$HK33)+(20=$HL33)+(20=$HM33)+(20=$HN33)+(20=$HO33)&gt;=2,50,0))+W$5*50)</f>
        <v/>
      </c>
      <c r="X153">
        <f>IF(OR($JF33=0,calcA!$A$6=0),0,IF(OR(21=$HA33,21=$HD33,21=$HG33),200000,MIN(IF($HA33=0,999999,IF(1=$HB33,IF(21=$HJ33,IF($JC33=2,30,0),IF(21=$HK33,IF($JC33=1,30,0),ABS(21-$HC33)*100)),100000+ABS(1-$HB33)*1000+210)),IF($HD33=0,999999,IF(1=$HE33,IF(21=$HL33,IF($JD33=2,30,0),IF(21=$HM33,IF($JD33=1,30,0),ABS(21-$HF33)*100)),100000+ABS(1-$HE33)*1000+210)),IF($HG33=0,999999,IF(1=$HH33,IF(21=$HN33,IF($JE33=2,30,0),IF(21=$HO33,IF($JE33=1,30,0),ABS(21-$HI33)*100)),100000+ABS(1-$HH33)*1000+210)))-IF((21=$HJ33)+(21=$HK33)+(21=$HL33)+(21=$HM33)+(21=$HN33)+(21=$HO33)&gt;=2,50,0))+X$5*50)</f>
        <v/>
      </c>
      <c r="Y153">
        <f>IF(OR($JF33=0,calcA!$A$6=0),0,IF(OR(22=$HA33,22=$HD33,22=$HG33),200000,MIN(IF($HA33=0,999999,IF(1=$HB33,IF(22=$HJ33,IF($JC33=2,30,0),IF(22=$HK33,IF($JC33=1,30,0),ABS(22-$HC33)*100)),100000+ABS(1-$HB33)*1000+220)),IF($HD33=0,999999,IF(1=$HE33,IF(22=$HL33,IF($JD33=2,30,0),IF(22=$HM33,IF($JD33=1,30,0),ABS(22-$HF33)*100)),100000+ABS(1-$HE33)*1000+220)),IF($HG33=0,999999,IF(1=$HH33,IF(22=$HN33,IF($JE33=2,30,0),IF(22=$HO33,IF($JE33=1,30,0),ABS(22-$HI33)*100)),100000+ABS(1-$HH33)*1000+220)))-IF((22=$HJ33)+(22=$HK33)+(22=$HL33)+(22=$HM33)+(22=$HN33)+(22=$HO33)&gt;=2,50,0))+Y$5*50)</f>
        <v/>
      </c>
      <c r="Z153">
        <f>IF(OR($JF33=0,calcA!$A$6=0),0,IF(OR(23=$HA33,23=$HD33,23=$HG33),200000,MIN(IF($HA33=0,999999,IF(1=$HB33,IF(23=$HJ33,IF($JC33=2,30,0),IF(23=$HK33,IF($JC33=1,30,0),ABS(23-$HC33)*100)),100000+ABS(1-$HB33)*1000+230)),IF($HD33=0,999999,IF(1=$HE33,IF(23=$HL33,IF($JD33=2,30,0),IF(23=$HM33,IF($JD33=1,30,0),ABS(23-$HF33)*100)),100000+ABS(1-$HE33)*1000+230)),IF($HG33=0,999999,IF(1=$HH33,IF(23=$HN33,IF($JE33=2,30,0),IF(23=$HO33,IF($JE33=1,30,0),ABS(23-$HI33)*100)),100000+ABS(1-$HH33)*1000+230)))-IF((23=$HJ33)+(23=$HK33)+(23=$HL33)+(23=$HM33)+(23=$HN33)+(23=$HO33)&gt;=2,50,0))+Z$5*50)</f>
        <v/>
      </c>
      <c r="AA153">
        <f>IF(OR($JF33=0,calcA!$A$6=0),0,IF(OR(24=$HA33,24=$HD33,24=$HG33),200000,MIN(IF($HA33=0,999999,IF(1=$HB33,IF(24=$HJ33,IF($JC33=2,30,0),IF(24=$HK33,IF($JC33=1,30,0),ABS(24-$HC33)*100)),100000+ABS(1-$HB33)*1000+240)),IF($HD33=0,999999,IF(1=$HE33,IF(24=$HL33,IF($JD33=2,30,0),IF(24=$HM33,IF($JD33=1,30,0),ABS(24-$HF33)*100)),100000+ABS(1-$HE33)*1000+240)),IF($HG33=0,999999,IF(1=$HH33,IF(24=$HN33,IF($JE33=2,30,0),IF(24=$HO33,IF($JE33=1,30,0),ABS(24-$HI33)*100)),100000+ABS(1-$HH33)*1000+240)))-IF((24=$HJ33)+(24=$HK33)+(24=$HL33)+(24=$HM33)+(24=$HN33)+(24=$HO33)&gt;=2,50,0))+AA$5*50)</f>
        <v/>
      </c>
      <c r="AB153">
        <f>IF(OR($JF33=0,calcA!$A$6=0),0,IF(OR(25=$HA33,25=$HD33,25=$HG33),200000,MIN(IF($HA33=0,999999,IF(2=$HB33,IF(25=$HJ33,IF($JC33=2,30,0),IF(25=$HK33,IF($JC33=1,30,0),ABS(1-$HC33)*100)),100000+ABS(2-$HB33)*1000+10)),IF($HD33=0,999999,IF(2=$HE33,IF(25=$HL33,IF($JD33=2,30,0),IF(25=$HM33,IF($JD33=1,30,0),ABS(1-$HF33)*100)),100000+ABS(2-$HE33)*1000+10)),IF($HG33=0,999999,IF(2=$HH33,IF(25=$HN33,IF($JE33=2,30,0),IF(25=$HO33,IF($JE33=1,30,0),ABS(1-$HI33)*100)),100000+ABS(2-$HH33)*1000+10)))-IF((25=$HJ33)+(25=$HK33)+(25=$HL33)+(25=$HM33)+(25=$HN33)+(25=$HO33)&gt;=2,50,0))+AB$5*50)</f>
        <v/>
      </c>
      <c r="AC153">
        <f>IF(OR($JF33=0,calcA!$A$6=0),0,IF(OR(26=$HA33,26=$HD33,26=$HG33),200000,MIN(IF($HA33=0,999999,IF(2=$HB33,IF(26=$HJ33,IF($JC33=2,30,0),IF(26=$HK33,IF($JC33=1,30,0),ABS(2-$HC33)*100)),100000+ABS(2-$HB33)*1000+20)),IF($HD33=0,999999,IF(2=$HE33,IF(26=$HL33,IF($JD33=2,30,0),IF(26=$HM33,IF($JD33=1,30,0),ABS(2-$HF33)*100)),100000+ABS(2-$HE33)*1000+20)),IF($HG33=0,999999,IF(2=$HH33,IF(26=$HN33,IF($JE33=2,30,0),IF(26=$HO33,IF($JE33=1,30,0),ABS(2-$HI33)*100)),100000+ABS(2-$HH33)*1000+20)))-IF((26=$HJ33)+(26=$HK33)+(26=$HL33)+(26=$HM33)+(26=$HN33)+(26=$HO33)&gt;=2,50,0))+AC$5*50)</f>
        <v/>
      </c>
      <c r="AD153">
        <f>IF(OR($JF33=0,calcA!$A$6=0),0,IF(OR(27=$HA33,27=$HD33,27=$HG33),200000,MIN(IF($HA33=0,999999,IF(2=$HB33,IF(27=$HJ33,IF($JC33=2,30,0),IF(27=$HK33,IF($JC33=1,30,0),ABS(3-$HC33)*100)),100000+ABS(2-$HB33)*1000+30)),IF($HD33=0,999999,IF(2=$HE33,IF(27=$HL33,IF($JD33=2,30,0),IF(27=$HM33,IF($JD33=1,30,0),ABS(3-$HF33)*100)),100000+ABS(2-$HE33)*1000+30)),IF($HG33=0,999999,IF(2=$HH33,IF(27=$HN33,IF($JE33=2,30,0),IF(27=$HO33,IF($JE33=1,30,0),ABS(3-$HI33)*100)),100000+ABS(2-$HH33)*1000+30)))-IF((27=$HJ33)+(27=$HK33)+(27=$HL33)+(27=$HM33)+(27=$HN33)+(27=$HO33)&gt;=2,50,0))+AD$5*50)</f>
        <v/>
      </c>
      <c r="AE153">
        <f>IF(OR($JF33=0,calcA!$A$6=0),0,IF(OR(28=$HA33,28=$HD33,28=$HG33),200000,MIN(IF($HA33=0,999999,IF(2=$HB33,IF(28=$HJ33,IF($JC33=2,30,0),IF(28=$HK33,IF($JC33=1,30,0),ABS(4-$HC33)*100)),100000+ABS(2-$HB33)*1000+40)),IF($HD33=0,999999,IF(2=$HE33,IF(28=$HL33,IF($JD33=2,30,0),IF(28=$HM33,IF($JD33=1,30,0),ABS(4-$HF33)*100)),100000+ABS(2-$HE33)*1000+40)),IF($HG33=0,999999,IF(2=$HH33,IF(28=$HN33,IF($JE33=2,30,0),IF(28=$HO33,IF($JE33=1,30,0),ABS(4-$HI33)*100)),100000+ABS(2-$HH33)*1000+40)))-IF((28=$HJ33)+(28=$HK33)+(28=$HL33)+(28=$HM33)+(28=$HN33)+(28=$HO33)&gt;=2,50,0))+AE$5*50)</f>
        <v/>
      </c>
      <c r="AF153">
        <f>IF(OR($JF33=0,calcA!$A$6=0),0,IF(OR(29=$HA33,29=$HD33,29=$HG33),200000,MIN(IF($HA33=0,999999,IF(2=$HB33,IF(29=$HJ33,IF($JC33=2,30,0),IF(29=$HK33,IF($JC33=1,30,0),ABS(5-$HC33)*100)),100000+ABS(2-$HB33)*1000+50)),IF($HD33=0,999999,IF(2=$HE33,IF(29=$HL33,IF($JD33=2,30,0),IF(29=$HM33,IF($JD33=1,30,0),ABS(5-$HF33)*100)),100000+ABS(2-$HE33)*1000+50)),IF($HG33=0,999999,IF(2=$HH33,IF(29=$HN33,IF($JE33=2,30,0),IF(29=$HO33,IF($JE33=1,30,0),ABS(5-$HI33)*100)),100000+ABS(2-$HH33)*1000+50)))-IF((29=$HJ33)+(29=$HK33)+(29=$HL33)+(29=$HM33)+(29=$HN33)+(29=$HO33)&gt;=2,50,0))+AF$5*50)</f>
        <v/>
      </c>
      <c r="AG153">
        <f>IF(OR($JF33=0,calcA!$A$6=0),0,IF(OR(30=$HA33,30=$HD33,30=$HG33),200000,MIN(IF($HA33=0,999999,IF(2=$HB33,IF(30=$HJ33,IF($JC33=2,30,0),IF(30=$HK33,IF($JC33=1,30,0),ABS(6-$HC33)*100)),100000+ABS(2-$HB33)*1000+60)),IF($HD33=0,999999,IF(2=$HE33,IF(30=$HL33,IF($JD33=2,30,0),IF(30=$HM33,IF($JD33=1,30,0),ABS(6-$HF33)*100)),100000+ABS(2-$HE33)*1000+60)),IF($HG33=0,999999,IF(2=$HH33,IF(30=$HN33,IF($JE33=2,30,0),IF(30=$HO33,IF($JE33=1,30,0),ABS(6-$HI33)*100)),100000+ABS(2-$HH33)*1000+60)))-IF((30=$HJ33)+(30=$HK33)+(30=$HL33)+(30=$HM33)+(30=$HN33)+(30=$HO33)&gt;=2,50,0))+AG$5*50)</f>
        <v/>
      </c>
      <c r="AH153">
        <f>IF(OR($JF33=0,calcA!$A$6=0),0,IF(OR(31=$HA33,31=$HD33,31=$HG33),200000,MIN(IF($HA33=0,999999,IF(2=$HB33,IF(31=$HJ33,IF($JC33=2,30,0),IF(31=$HK33,IF($JC33=1,30,0),ABS(7-$HC33)*100)),100000+ABS(2-$HB33)*1000+70)),IF($HD33=0,999999,IF(2=$HE33,IF(31=$HL33,IF($JD33=2,30,0),IF(31=$HM33,IF($JD33=1,30,0),ABS(7-$HF33)*100)),100000+ABS(2-$HE33)*1000+70)),IF($HG33=0,999999,IF(2=$HH33,IF(31=$HN33,IF($JE33=2,30,0),IF(31=$HO33,IF($JE33=1,30,0),ABS(7-$HI33)*100)),100000+ABS(2-$HH33)*1000+70)))-IF((31=$HJ33)+(31=$HK33)+(31=$HL33)+(31=$HM33)+(31=$HN33)+(31=$HO33)&gt;=2,50,0))+AH$5*50)</f>
        <v/>
      </c>
      <c r="AI153">
        <f>IF(OR($JF33=0,calcA!$A$6=0),0,IF(OR(32=$HA33,32=$HD33,32=$HG33),200000,MIN(IF($HA33=0,999999,IF(2=$HB33,IF(32=$HJ33,IF($JC33=2,30,0),IF(32=$HK33,IF($JC33=1,30,0),ABS(8-$HC33)*100)),100000+ABS(2-$HB33)*1000+80)),IF($HD33=0,999999,IF(2=$HE33,IF(32=$HL33,IF($JD33=2,30,0),IF(32=$HM33,IF($JD33=1,30,0),ABS(8-$HF33)*100)),100000+ABS(2-$HE33)*1000+80)),IF($HG33=0,999999,IF(2=$HH33,IF(32=$HN33,IF($JE33=2,30,0),IF(32=$HO33,IF($JE33=1,30,0),ABS(8-$HI33)*100)),100000+ABS(2-$HH33)*1000+80)))-IF((32=$HJ33)+(32=$HK33)+(32=$HL33)+(32=$HM33)+(32=$HN33)+(32=$HO33)&gt;=2,50,0))+AI$5*50)</f>
        <v/>
      </c>
      <c r="AJ153">
        <f>IF(OR($JF33=0,calcA!$A$6=0),0,IF(OR(33=$HA33,33=$HD33,33=$HG33),200000,MIN(IF($HA33=0,999999,IF(2=$HB33,IF(33=$HJ33,IF($JC33=2,30,0),IF(33=$HK33,IF($JC33=1,30,0),ABS(9-$HC33)*100)),100000+ABS(2-$HB33)*1000+90)),IF($HD33=0,999999,IF(2=$HE33,IF(33=$HL33,IF($JD33=2,30,0),IF(33=$HM33,IF($JD33=1,30,0),ABS(9-$HF33)*100)),100000+ABS(2-$HE33)*1000+90)),IF($HG33=0,999999,IF(2=$HH33,IF(33=$HN33,IF($JE33=2,30,0),IF(33=$HO33,IF($JE33=1,30,0),ABS(9-$HI33)*100)),100000+ABS(2-$HH33)*1000+90)))-IF((33=$HJ33)+(33=$HK33)+(33=$HL33)+(33=$HM33)+(33=$HN33)+(33=$HO33)&gt;=2,50,0))+AJ$5*50)</f>
        <v/>
      </c>
      <c r="AK153">
        <f>IF(OR($JF33=0,calcA!$A$6=0),0,IF(OR(34=$HA33,34=$HD33,34=$HG33),200000,MIN(IF($HA33=0,999999,IF(2=$HB33,IF(34=$HJ33,IF($JC33=2,30,0),IF(34=$HK33,IF($JC33=1,30,0),ABS(10-$HC33)*100)),100000+ABS(2-$HB33)*1000+100)),IF($HD33=0,999999,IF(2=$HE33,IF(34=$HL33,IF($JD33=2,30,0),IF(34=$HM33,IF($JD33=1,30,0),ABS(10-$HF33)*100)),100000+ABS(2-$HE33)*1000+100)),IF($HG33=0,999999,IF(2=$HH33,IF(34=$HN33,IF($JE33=2,30,0),IF(34=$HO33,IF($JE33=1,30,0),ABS(10-$HI33)*100)),100000+ABS(2-$HH33)*1000+100)))-IF((34=$HJ33)+(34=$HK33)+(34=$HL33)+(34=$HM33)+(34=$HN33)+(34=$HO33)&gt;=2,50,0))+AK$5*50)</f>
        <v/>
      </c>
      <c r="AL153">
        <f>IF(OR($JF33=0,calcA!$A$6=0),0,IF(OR(35=$HA33,35=$HD33,35=$HG33),200000,MIN(IF($HA33=0,999999,IF(2=$HB33,IF(35=$HJ33,IF($JC33=2,30,0),IF(35=$HK33,IF($JC33=1,30,0),ABS(11-$HC33)*100)),100000+ABS(2-$HB33)*1000+110)),IF($HD33=0,999999,IF(2=$HE33,IF(35=$HL33,IF($JD33=2,30,0),IF(35=$HM33,IF($JD33=1,30,0),ABS(11-$HF33)*100)),100000+ABS(2-$HE33)*1000+110)),IF($HG33=0,999999,IF(2=$HH33,IF(35=$HN33,IF($JE33=2,30,0),IF(35=$HO33,IF($JE33=1,30,0),ABS(11-$HI33)*100)),100000+ABS(2-$HH33)*1000+110)))-IF((35=$HJ33)+(35=$HK33)+(35=$HL33)+(35=$HM33)+(35=$HN33)+(35=$HO33)&gt;=2,50,0))+AL$5*50)</f>
        <v/>
      </c>
      <c r="AM153">
        <f>IF(OR($JF33=0,calcA!$A$6=0),0,IF(OR(36=$HA33,36=$HD33,36=$HG33),200000,MIN(IF($HA33=0,999999,IF(2=$HB33,IF(36=$HJ33,IF($JC33=2,30,0),IF(36=$HK33,IF($JC33=1,30,0),ABS(12-$HC33)*100)),100000+ABS(2-$HB33)*1000+120)),IF($HD33=0,999999,IF(2=$HE33,IF(36=$HL33,IF($JD33=2,30,0),IF(36=$HM33,IF($JD33=1,30,0),ABS(12-$HF33)*100)),100000+ABS(2-$HE33)*1000+120)),IF($HG33=0,999999,IF(2=$HH33,IF(36=$HN33,IF($JE33=2,30,0),IF(36=$HO33,IF($JE33=1,30,0),ABS(12-$HI33)*100)),100000+ABS(2-$HH33)*1000+120)))-IF((36=$HJ33)+(36=$HK33)+(36=$HL33)+(36=$HM33)+(36=$HN33)+(36=$HO33)&gt;=2,50,0))+AM$5*50)</f>
        <v/>
      </c>
      <c r="AN153">
        <f>IF(OR($JF33=0,calcA!$A$6=0),0,IF(OR(37=$HA33,37=$HD33,37=$HG33),200000,MIN(IF($HA33=0,999999,IF(2=$HB33,IF(37=$HJ33,IF($JC33=2,30,0),IF(37=$HK33,IF($JC33=1,30,0),ABS(13-$HC33)*100)),100000+ABS(2-$HB33)*1000+130)),IF($HD33=0,999999,IF(2=$HE33,IF(37=$HL33,IF($JD33=2,30,0),IF(37=$HM33,IF($JD33=1,30,0),ABS(13-$HF33)*100)),100000+ABS(2-$HE33)*1000+130)),IF($HG33=0,999999,IF(2=$HH33,IF(37=$HN33,IF($JE33=2,30,0),IF(37=$HO33,IF($JE33=1,30,0),ABS(13-$HI33)*100)),100000+ABS(2-$HH33)*1000+130)))-IF((37=$HJ33)+(37=$HK33)+(37=$HL33)+(37=$HM33)+(37=$HN33)+(37=$HO33)&gt;=2,50,0))+AN$5*50)</f>
        <v/>
      </c>
      <c r="AO153">
        <f>IF(OR($JF33=0,calcA!$A$6=0),0,IF(OR(38=$HA33,38=$HD33,38=$HG33),200000,MIN(IF($HA33=0,999999,IF(2=$HB33,IF(38=$HJ33,IF($JC33=2,30,0),IF(38=$HK33,IF($JC33=1,30,0),ABS(14-$HC33)*100)),100000+ABS(2-$HB33)*1000+140)),IF($HD33=0,999999,IF(2=$HE33,IF(38=$HL33,IF($JD33=2,30,0),IF(38=$HM33,IF($JD33=1,30,0),ABS(14-$HF33)*100)),100000+ABS(2-$HE33)*1000+140)),IF($HG33=0,999999,IF(2=$HH33,IF(38=$HN33,IF($JE33=2,30,0),IF(38=$HO33,IF($JE33=1,30,0),ABS(14-$HI33)*100)),100000+ABS(2-$HH33)*1000+140)))-IF((38=$HJ33)+(38=$HK33)+(38=$HL33)+(38=$HM33)+(38=$HN33)+(38=$HO33)&gt;=2,50,0))+AO$5*50)</f>
        <v/>
      </c>
      <c r="AP153">
        <f>IF(OR($JF33=0,calcA!$A$6=0),0,IF(OR(39=$HA33,39=$HD33,39=$HG33),200000,MIN(IF($HA33=0,999999,IF(2=$HB33,IF(39=$HJ33,IF($JC33=2,30,0),IF(39=$HK33,IF($JC33=1,30,0),ABS(15-$HC33)*100)),100000+ABS(2-$HB33)*1000+150)),IF($HD33=0,999999,IF(2=$HE33,IF(39=$HL33,IF($JD33=2,30,0),IF(39=$HM33,IF($JD33=1,30,0),ABS(15-$HF33)*100)),100000+ABS(2-$HE33)*1000+150)),IF($HG33=0,999999,IF(2=$HH33,IF(39=$HN33,IF($JE33=2,30,0),IF(39=$HO33,IF($JE33=1,30,0),ABS(15-$HI33)*100)),100000+ABS(2-$HH33)*1000+150)))-IF((39=$HJ33)+(39=$HK33)+(39=$HL33)+(39=$HM33)+(39=$HN33)+(39=$HO33)&gt;=2,50,0))+AP$5*50)</f>
        <v/>
      </c>
      <c r="AQ153">
        <f>IF(OR($JF33=0,calcA!$A$6=0),0,IF(OR(40=$HA33,40=$HD33,40=$HG33),200000,MIN(IF($HA33=0,999999,IF(2=$HB33,IF(40=$HJ33,IF($JC33=2,30,0),IF(40=$HK33,IF($JC33=1,30,0),ABS(16-$HC33)*100)),100000+ABS(2-$HB33)*1000+160)),IF($HD33=0,999999,IF(2=$HE33,IF(40=$HL33,IF($JD33=2,30,0),IF(40=$HM33,IF($JD33=1,30,0),ABS(16-$HF33)*100)),100000+ABS(2-$HE33)*1000+160)),IF($HG33=0,999999,IF(2=$HH33,IF(40=$HN33,IF($JE33=2,30,0),IF(40=$HO33,IF($JE33=1,30,0),ABS(16-$HI33)*100)),100000+ABS(2-$HH33)*1000+160)))-IF((40=$HJ33)+(40=$HK33)+(40=$HL33)+(40=$HM33)+(40=$HN33)+(40=$HO33)&gt;=2,50,0))+AQ$5*50)</f>
        <v/>
      </c>
      <c r="AR153">
        <f>IF(OR($JF33=0,calcA!$A$6=0),0,IF(OR(41=$HA33,41=$HD33,41=$HG33),200000,MIN(IF($HA33=0,999999,IF(2=$HB33,IF(41=$HJ33,IF($JC33=2,30,0),IF(41=$HK33,IF($JC33=1,30,0),ABS(17-$HC33)*100)),100000+ABS(2-$HB33)*1000+170)),IF($HD33=0,999999,IF(2=$HE33,IF(41=$HL33,IF($JD33=2,30,0),IF(41=$HM33,IF($JD33=1,30,0),ABS(17-$HF33)*100)),100000+ABS(2-$HE33)*1000+170)),IF($HG33=0,999999,IF(2=$HH33,IF(41=$HN33,IF($JE33=2,30,0),IF(41=$HO33,IF($JE33=1,30,0),ABS(17-$HI33)*100)),100000+ABS(2-$HH33)*1000+170)))-IF((41=$HJ33)+(41=$HK33)+(41=$HL33)+(41=$HM33)+(41=$HN33)+(41=$HO33)&gt;=2,50,0))+AR$5*50)</f>
        <v/>
      </c>
      <c r="AS153">
        <f>IF(OR($JF33=0,calcA!$A$6=0),0,IF(OR(42=$HA33,42=$HD33,42=$HG33),200000,MIN(IF($HA33=0,999999,IF(2=$HB33,IF(42=$HJ33,IF($JC33=2,30,0),IF(42=$HK33,IF($JC33=1,30,0),ABS(18-$HC33)*100)),100000+ABS(2-$HB33)*1000+180)),IF($HD33=0,999999,IF(2=$HE33,IF(42=$HL33,IF($JD33=2,30,0),IF(42=$HM33,IF($JD33=1,30,0),ABS(18-$HF33)*100)),100000+ABS(2-$HE33)*1000+180)),IF($HG33=0,999999,IF(2=$HH33,IF(42=$HN33,IF($JE33=2,30,0),IF(42=$HO33,IF($JE33=1,30,0),ABS(18-$HI33)*100)),100000+ABS(2-$HH33)*1000+180)))-IF((42=$HJ33)+(42=$HK33)+(42=$HL33)+(42=$HM33)+(42=$HN33)+(42=$HO33)&gt;=2,50,0))+AS$5*50)</f>
        <v/>
      </c>
      <c r="AT153">
        <f>IF(OR($JF33=0,calcA!$A$6=0),0,IF(OR(43=$HA33,43=$HD33,43=$HG33),200000,MIN(IF($HA33=0,999999,IF(2=$HB33,IF(43=$HJ33,IF($JC33=2,30,0),IF(43=$HK33,IF($JC33=1,30,0),ABS(19-$HC33)*100)),100000+ABS(2-$HB33)*1000+190)),IF($HD33=0,999999,IF(2=$HE33,IF(43=$HL33,IF($JD33=2,30,0),IF(43=$HM33,IF($JD33=1,30,0),ABS(19-$HF33)*100)),100000+ABS(2-$HE33)*1000+190)),IF($HG33=0,999999,IF(2=$HH33,IF(43=$HN33,IF($JE33=2,30,0),IF(43=$HO33,IF($JE33=1,30,0),ABS(19-$HI33)*100)),100000+ABS(2-$HH33)*1000+190)))-IF((43=$HJ33)+(43=$HK33)+(43=$HL33)+(43=$HM33)+(43=$HN33)+(43=$HO33)&gt;=2,50,0))+AT$5*50)</f>
        <v/>
      </c>
      <c r="AU153">
        <f>IF(OR($JF33=0,calcA!$A$6=0),0,IF(OR(44=$HA33,44=$HD33,44=$HG33),200000,MIN(IF($HA33=0,999999,IF(2=$HB33,IF(44=$HJ33,IF($JC33=2,30,0),IF(44=$HK33,IF($JC33=1,30,0),ABS(20-$HC33)*100)),100000+ABS(2-$HB33)*1000+200)),IF($HD33=0,999999,IF(2=$HE33,IF(44=$HL33,IF($JD33=2,30,0),IF(44=$HM33,IF($JD33=1,30,0),ABS(20-$HF33)*100)),100000+ABS(2-$HE33)*1000+200)),IF($HG33=0,999999,IF(2=$HH33,IF(44=$HN33,IF($JE33=2,30,0),IF(44=$HO33,IF($JE33=1,30,0),ABS(20-$HI33)*100)),100000+ABS(2-$HH33)*1000+200)))-IF((44=$HJ33)+(44=$HK33)+(44=$HL33)+(44=$HM33)+(44=$HN33)+(44=$HO33)&gt;=2,50,0))+AU$5*50)</f>
        <v/>
      </c>
      <c r="AV153">
        <f>IF(OR($JF33=0,calcA!$A$6=0),0,IF(OR(45=$HA33,45=$HD33,45=$HG33),200000,MIN(IF($HA33=0,999999,IF(2=$HB33,IF(45=$HJ33,IF($JC33=2,30,0),IF(45=$HK33,IF($JC33=1,30,0),ABS(21-$HC33)*100)),100000+ABS(2-$HB33)*1000+210)),IF($HD33=0,999999,IF(2=$HE33,IF(45=$HL33,IF($JD33=2,30,0),IF(45=$HM33,IF($JD33=1,30,0),ABS(21-$HF33)*100)),100000+ABS(2-$HE33)*1000+210)),IF($HG33=0,999999,IF(2=$HH33,IF(45=$HN33,IF($JE33=2,30,0),IF(45=$HO33,IF($JE33=1,30,0),ABS(21-$HI33)*100)),100000+ABS(2-$HH33)*1000+210)))-IF((45=$HJ33)+(45=$HK33)+(45=$HL33)+(45=$HM33)+(45=$HN33)+(45=$HO33)&gt;=2,50,0))+AV$5*50)</f>
        <v/>
      </c>
      <c r="AW153">
        <f>IF(OR($JF33=0,calcA!$A$6=0),0,IF(OR(46=$HA33,46=$HD33,46=$HG33),200000,MIN(IF($HA33=0,999999,IF(2=$HB33,IF(46=$HJ33,IF($JC33=2,30,0),IF(46=$HK33,IF($JC33=1,30,0),ABS(22-$HC33)*100)),100000+ABS(2-$HB33)*1000+220)),IF($HD33=0,999999,IF(2=$HE33,IF(46=$HL33,IF($JD33=2,30,0),IF(46=$HM33,IF($JD33=1,30,0),ABS(22-$HF33)*100)),100000+ABS(2-$HE33)*1000+220)),IF($HG33=0,999999,IF(2=$HH33,IF(46=$HN33,IF($JE33=2,30,0),IF(46=$HO33,IF($JE33=1,30,0),ABS(22-$HI33)*100)),100000+ABS(2-$HH33)*1000+220)))-IF((46=$HJ33)+(46=$HK33)+(46=$HL33)+(46=$HM33)+(46=$HN33)+(46=$HO33)&gt;=2,50,0))+AW$5*50)</f>
        <v/>
      </c>
      <c r="AX153">
        <f>IF(OR($JF33=0,calcA!$A$6=0),0,IF(OR(47=$HA33,47=$HD33,47=$HG33),200000,MIN(IF($HA33=0,999999,IF(2=$HB33,IF(47=$HJ33,IF($JC33=2,30,0),IF(47=$HK33,IF($JC33=1,30,0),ABS(23-$HC33)*100)),100000+ABS(2-$HB33)*1000+230)),IF($HD33=0,999999,IF(2=$HE33,IF(47=$HL33,IF($JD33=2,30,0),IF(47=$HM33,IF($JD33=1,30,0),ABS(23-$HF33)*100)),100000+ABS(2-$HE33)*1000+230)),IF($HG33=0,999999,IF(2=$HH33,IF(47=$HN33,IF($JE33=2,30,0),IF(47=$HO33,IF($JE33=1,30,0),ABS(23-$HI33)*100)),100000+ABS(2-$HH33)*1000+230)))-IF((47=$HJ33)+(47=$HK33)+(47=$HL33)+(47=$HM33)+(47=$HN33)+(47=$HO33)&gt;=2,50,0))+AX$5*50)</f>
        <v/>
      </c>
      <c r="AY153">
        <f>IF(OR($JF33=0,calcA!$A$6=0),0,IF(OR(48=$HA33,48=$HD33,48=$HG33),200000,MIN(IF($HA33=0,999999,IF(2=$HB33,IF(48=$HJ33,IF($JC33=2,30,0),IF(48=$HK33,IF($JC33=1,30,0),ABS(24-$HC33)*100)),100000+ABS(2-$HB33)*1000+240)),IF($HD33=0,999999,IF(2=$HE33,IF(48=$HL33,IF($JD33=2,30,0),IF(48=$HM33,IF($JD33=1,30,0),ABS(24-$HF33)*100)),100000+ABS(2-$HE33)*1000+240)),IF($HG33=0,999999,IF(2=$HH33,IF(48=$HN33,IF($JE33=2,30,0),IF(48=$HO33,IF($JE33=1,30,0),ABS(24-$HI33)*100)),100000+ABS(2-$HH33)*1000+240)))-IF((48=$HJ33)+(48=$HK33)+(48=$HL33)+(48=$HM33)+(48=$HN33)+(48=$HO33)&gt;=2,50,0))+AY$5*50)</f>
        <v/>
      </c>
      <c r="AZ153">
        <f>IF(OR($JF33=0,calcA!$A$6=0),0,IF(OR(49=$HA33,49=$HD33,49=$HG33),200000,MIN(IF($HA33=0,999999,IF(3=$HB33,IF(49=$HJ33,IF($JC33=2,30,0),IF(49=$HK33,IF($JC33=1,30,0),ABS(1-$HC33)*100)),100000+ABS(3-$HB33)*1000+10)),IF($HD33=0,999999,IF(3=$HE33,IF(49=$HL33,IF($JD33=2,30,0),IF(49=$HM33,IF($JD33=1,30,0),ABS(1-$HF33)*100)),100000+ABS(3-$HE33)*1000+10)),IF($HG33=0,999999,IF(3=$HH33,IF(49=$HN33,IF($JE33=2,30,0),IF(49=$HO33,IF($JE33=1,30,0),ABS(1-$HI33)*100)),100000+ABS(3-$HH33)*1000+10)))-IF((49=$HJ33)+(49=$HK33)+(49=$HL33)+(49=$HM33)+(49=$HN33)+(49=$HO33)&gt;=2,50,0))+AZ$5*50)</f>
        <v/>
      </c>
      <c r="BA153">
        <f>IF(OR($JF33=0,calcA!$A$6=0),0,IF(OR(50=$HA33,50=$HD33,50=$HG33),200000,MIN(IF($HA33=0,999999,IF(3=$HB33,IF(50=$HJ33,IF($JC33=2,30,0),IF(50=$HK33,IF($JC33=1,30,0),ABS(2-$HC33)*100)),100000+ABS(3-$HB33)*1000+20)),IF($HD33=0,999999,IF(3=$HE33,IF(50=$HL33,IF($JD33=2,30,0),IF(50=$HM33,IF($JD33=1,30,0),ABS(2-$HF33)*100)),100000+ABS(3-$HE33)*1000+20)),IF($HG33=0,999999,IF(3=$HH33,IF(50=$HN33,IF($JE33=2,30,0),IF(50=$HO33,IF($JE33=1,30,0),ABS(2-$HI33)*100)),100000+ABS(3-$HH33)*1000+20)))-IF((50=$HJ33)+(50=$HK33)+(50=$HL33)+(50=$HM33)+(50=$HN33)+(50=$HO33)&gt;=2,50,0))+BA$5*50)</f>
        <v/>
      </c>
      <c r="BB153">
        <f>IF(OR($JF33=0,calcA!$A$6=0),0,IF(OR(51=$HA33,51=$HD33,51=$HG33),200000,MIN(IF($HA33=0,999999,IF(3=$HB33,IF(51=$HJ33,IF($JC33=2,30,0),IF(51=$HK33,IF($JC33=1,30,0),ABS(3-$HC33)*100)),100000+ABS(3-$HB33)*1000+30)),IF($HD33=0,999999,IF(3=$HE33,IF(51=$HL33,IF($JD33=2,30,0),IF(51=$HM33,IF($JD33=1,30,0),ABS(3-$HF33)*100)),100000+ABS(3-$HE33)*1000+30)),IF($HG33=0,999999,IF(3=$HH33,IF(51=$HN33,IF($JE33=2,30,0),IF(51=$HO33,IF($JE33=1,30,0),ABS(3-$HI33)*100)),100000+ABS(3-$HH33)*1000+30)))-IF((51=$HJ33)+(51=$HK33)+(51=$HL33)+(51=$HM33)+(51=$HN33)+(51=$HO33)&gt;=2,50,0))+BB$5*50)</f>
        <v/>
      </c>
      <c r="BC153">
        <f>IF(OR($JF33=0,calcA!$A$6=0),0,IF(OR(52=$HA33,52=$HD33,52=$HG33),200000,MIN(IF($HA33=0,999999,IF(3=$HB33,IF(52=$HJ33,IF($JC33=2,30,0),IF(52=$HK33,IF($JC33=1,30,0),ABS(4-$HC33)*100)),100000+ABS(3-$HB33)*1000+40)),IF($HD33=0,999999,IF(3=$HE33,IF(52=$HL33,IF($JD33=2,30,0),IF(52=$HM33,IF($JD33=1,30,0),ABS(4-$HF33)*100)),100000+ABS(3-$HE33)*1000+40)),IF($HG33=0,999999,IF(3=$HH33,IF(52=$HN33,IF($JE33=2,30,0),IF(52=$HO33,IF($JE33=1,30,0),ABS(4-$HI33)*100)),100000+ABS(3-$HH33)*1000+40)))-IF((52=$HJ33)+(52=$HK33)+(52=$HL33)+(52=$HM33)+(52=$HN33)+(52=$HO33)&gt;=2,50,0))+BC$5*50)</f>
        <v/>
      </c>
      <c r="BD153">
        <f>IF(OR($JF33=0,calcA!$A$6=0),0,IF(OR(53=$HA33,53=$HD33,53=$HG33),200000,MIN(IF($HA33=0,999999,IF(3=$HB33,IF(53=$HJ33,IF($JC33=2,30,0),IF(53=$HK33,IF($JC33=1,30,0),ABS(5-$HC33)*100)),100000+ABS(3-$HB33)*1000+50)),IF($HD33=0,999999,IF(3=$HE33,IF(53=$HL33,IF($JD33=2,30,0),IF(53=$HM33,IF($JD33=1,30,0),ABS(5-$HF33)*100)),100000+ABS(3-$HE33)*1000+50)),IF($HG33=0,999999,IF(3=$HH33,IF(53=$HN33,IF($JE33=2,30,0),IF(53=$HO33,IF($JE33=1,30,0),ABS(5-$HI33)*100)),100000+ABS(3-$HH33)*1000+50)))-IF((53=$HJ33)+(53=$HK33)+(53=$HL33)+(53=$HM33)+(53=$HN33)+(53=$HO33)&gt;=2,50,0))+BD$5*50)</f>
        <v/>
      </c>
      <c r="BE153">
        <f>IF(OR($JF33=0,calcA!$A$6=0),0,IF(OR(54=$HA33,54=$HD33,54=$HG33),200000,MIN(IF($HA33=0,999999,IF(3=$HB33,IF(54=$HJ33,IF($JC33=2,30,0),IF(54=$HK33,IF($JC33=1,30,0),ABS(6-$HC33)*100)),100000+ABS(3-$HB33)*1000+60)),IF($HD33=0,999999,IF(3=$HE33,IF(54=$HL33,IF($JD33=2,30,0),IF(54=$HM33,IF($JD33=1,30,0),ABS(6-$HF33)*100)),100000+ABS(3-$HE33)*1000+60)),IF($HG33=0,999999,IF(3=$HH33,IF(54=$HN33,IF($JE33=2,30,0),IF(54=$HO33,IF($JE33=1,30,0),ABS(6-$HI33)*100)),100000+ABS(3-$HH33)*1000+60)))-IF((54=$HJ33)+(54=$HK33)+(54=$HL33)+(54=$HM33)+(54=$HN33)+(54=$HO33)&gt;=2,50,0))+BE$5*50)</f>
        <v/>
      </c>
      <c r="BF153">
        <f>IF(OR($JF33=0,calcA!$A$6=0),0,IF(OR(55=$HA33,55=$HD33,55=$HG33),200000,MIN(IF($HA33=0,999999,IF(3=$HB33,IF(55=$HJ33,IF($JC33=2,30,0),IF(55=$HK33,IF($JC33=1,30,0),ABS(7-$HC33)*100)),100000+ABS(3-$HB33)*1000+70)),IF($HD33=0,999999,IF(3=$HE33,IF(55=$HL33,IF($JD33=2,30,0),IF(55=$HM33,IF($JD33=1,30,0),ABS(7-$HF33)*100)),100000+ABS(3-$HE33)*1000+70)),IF($HG33=0,999999,IF(3=$HH33,IF(55=$HN33,IF($JE33=2,30,0),IF(55=$HO33,IF($JE33=1,30,0),ABS(7-$HI33)*100)),100000+ABS(3-$HH33)*1000+70)))-IF((55=$HJ33)+(55=$HK33)+(55=$HL33)+(55=$HM33)+(55=$HN33)+(55=$HO33)&gt;=2,50,0))+BF$5*50)</f>
        <v/>
      </c>
      <c r="BG153">
        <f>IF(OR($JF33=0,calcA!$A$6=0),0,IF(OR(56=$HA33,56=$HD33,56=$HG33),200000,MIN(IF($HA33=0,999999,IF(3=$HB33,IF(56=$HJ33,IF($JC33=2,30,0),IF(56=$HK33,IF($JC33=1,30,0),ABS(8-$HC33)*100)),100000+ABS(3-$HB33)*1000+80)),IF($HD33=0,999999,IF(3=$HE33,IF(56=$HL33,IF($JD33=2,30,0),IF(56=$HM33,IF($JD33=1,30,0),ABS(8-$HF33)*100)),100000+ABS(3-$HE33)*1000+80)),IF($HG33=0,999999,IF(3=$HH33,IF(56=$HN33,IF($JE33=2,30,0),IF(56=$HO33,IF($JE33=1,30,0),ABS(8-$HI33)*100)),100000+ABS(3-$HH33)*1000+80)))-IF((56=$HJ33)+(56=$HK33)+(56=$HL33)+(56=$HM33)+(56=$HN33)+(56=$HO33)&gt;=2,50,0))+BG$5*50)</f>
        <v/>
      </c>
      <c r="BH153">
        <f>IF(OR($JF33=0,calcA!$A$6=0),0,IF(OR(57=$HA33,57=$HD33,57=$HG33),200000,MIN(IF($HA33=0,999999,IF(3=$HB33,IF(57=$HJ33,IF($JC33=2,30,0),IF(57=$HK33,IF($JC33=1,30,0),ABS(9-$HC33)*100)),100000+ABS(3-$HB33)*1000+90)),IF($HD33=0,999999,IF(3=$HE33,IF(57=$HL33,IF($JD33=2,30,0),IF(57=$HM33,IF($JD33=1,30,0),ABS(9-$HF33)*100)),100000+ABS(3-$HE33)*1000+90)),IF($HG33=0,999999,IF(3=$HH33,IF(57=$HN33,IF($JE33=2,30,0),IF(57=$HO33,IF($JE33=1,30,0),ABS(9-$HI33)*100)),100000+ABS(3-$HH33)*1000+90)))-IF((57=$HJ33)+(57=$HK33)+(57=$HL33)+(57=$HM33)+(57=$HN33)+(57=$HO33)&gt;=2,50,0))+BH$5*50)</f>
        <v/>
      </c>
      <c r="BI153">
        <f>IF(OR($JF33=0,calcA!$A$6=0),0,IF(OR(58=$HA33,58=$HD33,58=$HG33),200000,MIN(IF($HA33=0,999999,IF(3=$HB33,IF(58=$HJ33,IF($JC33=2,30,0),IF(58=$HK33,IF($JC33=1,30,0),ABS(10-$HC33)*100)),100000+ABS(3-$HB33)*1000+100)),IF($HD33=0,999999,IF(3=$HE33,IF(58=$HL33,IF($JD33=2,30,0),IF(58=$HM33,IF($JD33=1,30,0),ABS(10-$HF33)*100)),100000+ABS(3-$HE33)*1000+100)),IF($HG33=0,999999,IF(3=$HH33,IF(58=$HN33,IF($JE33=2,30,0),IF(58=$HO33,IF($JE33=1,30,0),ABS(10-$HI33)*100)),100000+ABS(3-$HH33)*1000+100)))-IF((58=$HJ33)+(58=$HK33)+(58=$HL33)+(58=$HM33)+(58=$HN33)+(58=$HO33)&gt;=2,50,0))+BI$5*50)</f>
        <v/>
      </c>
      <c r="BJ153">
        <f>IF(OR($JF33=0,calcA!$A$6=0),0,IF(OR(59=$HA33,59=$HD33,59=$HG33),200000,MIN(IF($HA33=0,999999,IF(3=$HB33,IF(59=$HJ33,IF($JC33=2,30,0),IF(59=$HK33,IF($JC33=1,30,0),ABS(11-$HC33)*100)),100000+ABS(3-$HB33)*1000+110)),IF($HD33=0,999999,IF(3=$HE33,IF(59=$HL33,IF($JD33=2,30,0),IF(59=$HM33,IF($JD33=1,30,0),ABS(11-$HF33)*100)),100000+ABS(3-$HE33)*1000+110)),IF($HG33=0,999999,IF(3=$HH33,IF(59=$HN33,IF($JE33=2,30,0),IF(59=$HO33,IF($JE33=1,30,0),ABS(11-$HI33)*100)),100000+ABS(3-$HH33)*1000+110)))-IF((59=$HJ33)+(59=$HK33)+(59=$HL33)+(59=$HM33)+(59=$HN33)+(59=$HO33)&gt;=2,50,0))+BJ$5*50)</f>
        <v/>
      </c>
      <c r="BK153">
        <f>IF(OR($JF33=0,calcA!$A$6=0),0,IF(OR(60=$HA33,60=$HD33,60=$HG33),200000,MIN(IF($HA33=0,999999,IF(3=$HB33,IF(60=$HJ33,IF($JC33=2,30,0),IF(60=$HK33,IF($JC33=1,30,0),ABS(12-$HC33)*100)),100000+ABS(3-$HB33)*1000+120)),IF($HD33=0,999999,IF(3=$HE33,IF(60=$HL33,IF($JD33=2,30,0),IF(60=$HM33,IF($JD33=1,30,0),ABS(12-$HF33)*100)),100000+ABS(3-$HE33)*1000+120)),IF($HG33=0,999999,IF(3=$HH33,IF(60=$HN33,IF($JE33=2,30,0),IF(60=$HO33,IF($JE33=1,30,0),ABS(12-$HI33)*100)),100000+ABS(3-$HH33)*1000+120)))-IF((60=$HJ33)+(60=$HK33)+(60=$HL33)+(60=$HM33)+(60=$HN33)+(60=$HO33)&gt;=2,50,0))+BK$5*50)</f>
        <v/>
      </c>
      <c r="BL153">
        <f>IF(OR($JF33=0,calcA!$A$6=0),0,IF(OR(61=$HA33,61=$HD33,61=$HG33),200000,MIN(IF($HA33=0,999999,IF(3=$HB33,IF(61=$HJ33,IF($JC33=2,30,0),IF(61=$HK33,IF($JC33=1,30,0),ABS(13-$HC33)*100)),100000+ABS(3-$HB33)*1000+130)),IF($HD33=0,999999,IF(3=$HE33,IF(61=$HL33,IF($JD33=2,30,0),IF(61=$HM33,IF($JD33=1,30,0),ABS(13-$HF33)*100)),100000+ABS(3-$HE33)*1000+130)),IF($HG33=0,999999,IF(3=$HH33,IF(61=$HN33,IF($JE33=2,30,0),IF(61=$HO33,IF($JE33=1,30,0),ABS(13-$HI33)*100)),100000+ABS(3-$HH33)*1000+130)))-IF((61=$HJ33)+(61=$HK33)+(61=$HL33)+(61=$HM33)+(61=$HN33)+(61=$HO33)&gt;=2,50,0))+BL$5*50)</f>
        <v/>
      </c>
      <c r="BM153">
        <f>IF(OR($JF33=0,calcA!$A$6=0),0,IF(OR(62=$HA33,62=$HD33,62=$HG33),200000,MIN(IF($HA33=0,999999,IF(3=$HB33,IF(62=$HJ33,IF($JC33=2,30,0),IF(62=$HK33,IF($JC33=1,30,0),ABS(14-$HC33)*100)),100000+ABS(3-$HB33)*1000+140)),IF($HD33=0,999999,IF(3=$HE33,IF(62=$HL33,IF($JD33=2,30,0),IF(62=$HM33,IF($JD33=1,30,0),ABS(14-$HF33)*100)),100000+ABS(3-$HE33)*1000+140)),IF($HG33=0,999999,IF(3=$HH33,IF(62=$HN33,IF($JE33=2,30,0),IF(62=$HO33,IF($JE33=1,30,0),ABS(14-$HI33)*100)),100000+ABS(3-$HH33)*1000+140)))-IF((62=$HJ33)+(62=$HK33)+(62=$HL33)+(62=$HM33)+(62=$HN33)+(62=$HO33)&gt;=2,50,0))+BM$5*50)</f>
        <v/>
      </c>
      <c r="BN153">
        <f>IF(OR($JF33=0,calcA!$A$6=0),0,IF(OR(63=$HA33,63=$HD33,63=$HG33),200000,MIN(IF($HA33=0,999999,IF(3=$HB33,IF(63=$HJ33,IF($JC33=2,30,0),IF(63=$HK33,IF($JC33=1,30,0),ABS(15-$HC33)*100)),100000+ABS(3-$HB33)*1000+150)),IF($HD33=0,999999,IF(3=$HE33,IF(63=$HL33,IF($JD33=2,30,0),IF(63=$HM33,IF($JD33=1,30,0),ABS(15-$HF33)*100)),100000+ABS(3-$HE33)*1000+150)),IF($HG33=0,999999,IF(3=$HH33,IF(63=$HN33,IF($JE33=2,30,0),IF(63=$HO33,IF($JE33=1,30,0),ABS(15-$HI33)*100)),100000+ABS(3-$HH33)*1000+150)))-IF((63=$HJ33)+(63=$HK33)+(63=$HL33)+(63=$HM33)+(63=$HN33)+(63=$HO33)&gt;=2,50,0))+BN$5*50)</f>
        <v/>
      </c>
      <c r="BO153">
        <f>IF(OR($JF33=0,calcA!$A$6=0),0,IF(OR(64=$HA33,64=$HD33,64=$HG33),200000,MIN(IF($HA33=0,999999,IF(3=$HB33,IF(64=$HJ33,IF($JC33=2,30,0),IF(64=$HK33,IF($JC33=1,30,0),ABS(16-$HC33)*100)),100000+ABS(3-$HB33)*1000+160)),IF($HD33=0,999999,IF(3=$HE33,IF(64=$HL33,IF($JD33=2,30,0),IF(64=$HM33,IF($JD33=1,30,0),ABS(16-$HF33)*100)),100000+ABS(3-$HE33)*1000+160)),IF($HG33=0,999999,IF(3=$HH33,IF(64=$HN33,IF($JE33=2,30,0),IF(64=$HO33,IF($JE33=1,30,0),ABS(16-$HI33)*100)),100000+ABS(3-$HH33)*1000+160)))-IF((64=$HJ33)+(64=$HK33)+(64=$HL33)+(64=$HM33)+(64=$HN33)+(64=$HO33)&gt;=2,50,0))+BO$5*50)</f>
        <v/>
      </c>
      <c r="BP153">
        <f>IF(OR($JF33=0,calcA!$A$6=0),0,IF(OR(65=$HA33,65=$HD33,65=$HG33),200000,MIN(IF($HA33=0,999999,IF(3=$HB33,IF(65=$HJ33,IF($JC33=2,30,0),IF(65=$HK33,IF($JC33=1,30,0),ABS(17-$HC33)*100)),100000+ABS(3-$HB33)*1000+170)),IF($HD33=0,999999,IF(3=$HE33,IF(65=$HL33,IF($JD33=2,30,0),IF(65=$HM33,IF($JD33=1,30,0),ABS(17-$HF33)*100)),100000+ABS(3-$HE33)*1000+170)),IF($HG33=0,999999,IF(3=$HH33,IF(65=$HN33,IF($JE33=2,30,0),IF(65=$HO33,IF($JE33=1,30,0),ABS(17-$HI33)*100)),100000+ABS(3-$HH33)*1000+170)))-IF((65=$HJ33)+(65=$HK33)+(65=$HL33)+(65=$HM33)+(65=$HN33)+(65=$HO33)&gt;=2,50,0))+BP$5*50)</f>
        <v/>
      </c>
      <c r="BQ153">
        <f>IF(OR($JF33=0,calcA!$A$6=0),0,IF(OR(66=$HA33,66=$HD33,66=$HG33),200000,MIN(IF($HA33=0,999999,IF(3=$HB33,IF(66=$HJ33,IF($JC33=2,30,0),IF(66=$HK33,IF($JC33=1,30,0),ABS(18-$HC33)*100)),100000+ABS(3-$HB33)*1000+180)),IF($HD33=0,999999,IF(3=$HE33,IF(66=$HL33,IF($JD33=2,30,0),IF(66=$HM33,IF($JD33=1,30,0),ABS(18-$HF33)*100)),100000+ABS(3-$HE33)*1000+180)),IF($HG33=0,999999,IF(3=$HH33,IF(66=$HN33,IF($JE33=2,30,0),IF(66=$HO33,IF($JE33=1,30,0),ABS(18-$HI33)*100)),100000+ABS(3-$HH33)*1000+180)))-IF((66=$HJ33)+(66=$HK33)+(66=$HL33)+(66=$HM33)+(66=$HN33)+(66=$HO33)&gt;=2,50,0))+BQ$5*50)</f>
        <v/>
      </c>
      <c r="BR153">
        <f>IF(OR($JF33=0,calcA!$A$6=0),0,IF(OR(67=$HA33,67=$HD33,67=$HG33),200000,MIN(IF($HA33=0,999999,IF(3=$HB33,IF(67=$HJ33,IF($JC33=2,30,0),IF(67=$HK33,IF($JC33=1,30,0),ABS(19-$HC33)*100)),100000+ABS(3-$HB33)*1000+190)),IF($HD33=0,999999,IF(3=$HE33,IF(67=$HL33,IF($JD33=2,30,0),IF(67=$HM33,IF($JD33=1,30,0),ABS(19-$HF33)*100)),100000+ABS(3-$HE33)*1000+190)),IF($HG33=0,999999,IF(3=$HH33,IF(67=$HN33,IF($JE33=2,30,0),IF(67=$HO33,IF($JE33=1,30,0),ABS(19-$HI33)*100)),100000+ABS(3-$HH33)*1000+190)))-IF((67=$HJ33)+(67=$HK33)+(67=$HL33)+(67=$HM33)+(67=$HN33)+(67=$HO33)&gt;=2,50,0))+BR$5*50)</f>
        <v/>
      </c>
      <c r="BS153">
        <f>IF(OR($JF33=0,calcA!$A$6=0),0,IF(OR(68=$HA33,68=$HD33,68=$HG33),200000,MIN(IF($HA33=0,999999,IF(3=$HB33,IF(68=$HJ33,IF($JC33=2,30,0),IF(68=$HK33,IF($JC33=1,30,0),ABS(20-$HC33)*100)),100000+ABS(3-$HB33)*1000+200)),IF($HD33=0,999999,IF(3=$HE33,IF(68=$HL33,IF($JD33=2,30,0),IF(68=$HM33,IF($JD33=1,30,0),ABS(20-$HF33)*100)),100000+ABS(3-$HE33)*1000+200)),IF($HG33=0,999999,IF(3=$HH33,IF(68=$HN33,IF($JE33=2,30,0),IF(68=$HO33,IF($JE33=1,30,0),ABS(20-$HI33)*100)),100000+ABS(3-$HH33)*1000+200)))-IF((68=$HJ33)+(68=$HK33)+(68=$HL33)+(68=$HM33)+(68=$HN33)+(68=$HO33)&gt;=2,50,0))+BS$5*50)</f>
        <v/>
      </c>
      <c r="BT153">
        <f>IF(OR($JF33=0,calcA!$A$6=0),0,IF(OR(69=$HA33,69=$HD33,69=$HG33),200000,MIN(IF($HA33=0,999999,IF(3=$HB33,IF(69=$HJ33,IF($JC33=2,30,0),IF(69=$HK33,IF($JC33=1,30,0),ABS(21-$HC33)*100)),100000+ABS(3-$HB33)*1000+210)),IF($HD33=0,999999,IF(3=$HE33,IF(69=$HL33,IF($JD33=2,30,0),IF(69=$HM33,IF($JD33=1,30,0),ABS(21-$HF33)*100)),100000+ABS(3-$HE33)*1000+210)),IF($HG33=0,999999,IF(3=$HH33,IF(69=$HN33,IF($JE33=2,30,0),IF(69=$HO33,IF($JE33=1,30,0),ABS(21-$HI33)*100)),100000+ABS(3-$HH33)*1000+210)))-IF((69=$HJ33)+(69=$HK33)+(69=$HL33)+(69=$HM33)+(69=$HN33)+(69=$HO33)&gt;=2,50,0))+BT$5*50)</f>
        <v/>
      </c>
      <c r="BU153">
        <f>IF(OR($JF33=0,calcA!$A$6=0),0,IF(OR(70=$HA33,70=$HD33,70=$HG33),200000,MIN(IF($HA33=0,999999,IF(3=$HB33,IF(70=$HJ33,IF($JC33=2,30,0),IF(70=$HK33,IF($JC33=1,30,0),ABS(22-$HC33)*100)),100000+ABS(3-$HB33)*1000+220)),IF($HD33=0,999999,IF(3=$HE33,IF(70=$HL33,IF($JD33=2,30,0),IF(70=$HM33,IF($JD33=1,30,0),ABS(22-$HF33)*100)),100000+ABS(3-$HE33)*1000+220)),IF($HG33=0,999999,IF(3=$HH33,IF(70=$HN33,IF($JE33=2,30,0),IF(70=$HO33,IF($JE33=1,30,0),ABS(22-$HI33)*100)),100000+ABS(3-$HH33)*1000+220)))-IF((70=$HJ33)+(70=$HK33)+(70=$HL33)+(70=$HM33)+(70=$HN33)+(70=$HO33)&gt;=2,50,0))+BU$5*50)</f>
        <v/>
      </c>
      <c r="BV153">
        <f>IF(OR($JF33=0,calcA!$A$6=0),0,IF(OR(71=$HA33,71=$HD33,71=$HG33),200000,MIN(IF($HA33=0,999999,IF(3=$HB33,IF(71=$HJ33,IF($JC33=2,30,0),IF(71=$HK33,IF($JC33=1,30,0),ABS(23-$HC33)*100)),100000+ABS(3-$HB33)*1000+230)),IF($HD33=0,999999,IF(3=$HE33,IF(71=$HL33,IF($JD33=2,30,0),IF(71=$HM33,IF($JD33=1,30,0),ABS(23-$HF33)*100)),100000+ABS(3-$HE33)*1000+230)),IF($HG33=0,999999,IF(3=$HH33,IF(71=$HN33,IF($JE33=2,30,0),IF(71=$HO33,IF($JE33=1,30,0),ABS(23-$HI33)*100)),100000+ABS(3-$HH33)*1000+230)))-IF((71=$HJ33)+(71=$HK33)+(71=$HL33)+(71=$HM33)+(71=$HN33)+(71=$HO33)&gt;=2,50,0))+BV$5*50)</f>
        <v/>
      </c>
      <c r="BW153">
        <f>IF(OR($JF33=0,calcA!$A$6=0),0,IF(OR(72=$HA33,72=$HD33,72=$HG33),200000,MIN(IF($HA33=0,999999,IF(3=$HB33,IF(72=$HJ33,IF($JC33=2,30,0),IF(72=$HK33,IF($JC33=1,30,0),ABS(24-$HC33)*100)),100000+ABS(3-$HB33)*1000+240)),IF($HD33=0,999999,IF(3=$HE33,IF(72=$HL33,IF($JD33=2,30,0),IF(72=$HM33,IF($JD33=1,30,0),ABS(24-$HF33)*100)),100000+ABS(3-$HE33)*1000+240)),IF($HG33=0,999999,IF(3=$HH33,IF(72=$HN33,IF($JE33=2,30,0),IF(72=$HO33,IF($JE33=1,30,0),ABS(24-$HI33)*100)),100000+ABS(3-$HH33)*1000+240)))-IF((72=$HJ33)+(72=$HK33)+(72=$HL33)+(72=$HM33)+(72=$HN33)+(72=$HO33)&gt;=2,50,0))+BW$5*50)</f>
        <v/>
      </c>
      <c r="BX153">
        <f>IF(OR($JF33=0,calcA!$A$6=0),0,IF(OR(73=$HA33,73=$HD33,73=$HG33),200000,MIN(IF($HA33=0,999999,IF(4=$HB33,IF(73=$HJ33,IF($JC33=2,30,0),IF(73=$HK33,IF($JC33=1,30,0),ABS(1-$HC33)*100)),100000+ABS(4-$HB33)*1000+10)),IF($HD33=0,999999,IF(4=$HE33,IF(73=$HL33,IF($JD33=2,30,0),IF(73=$HM33,IF($JD33=1,30,0),ABS(1-$HF33)*100)),100000+ABS(4-$HE33)*1000+10)),IF($HG33=0,999999,IF(4=$HH33,IF(73=$HN33,IF($JE33=2,30,0),IF(73=$HO33,IF($JE33=1,30,0),ABS(1-$HI33)*100)),100000+ABS(4-$HH33)*1000+10)))-IF((73=$HJ33)+(73=$HK33)+(73=$HL33)+(73=$HM33)+(73=$HN33)+(73=$HO33)&gt;=2,50,0))+BX$5*50)</f>
        <v/>
      </c>
      <c r="BY153">
        <f>IF(OR($JF33=0,calcA!$A$6=0),0,IF(OR(74=$HA33,74=$HD33,74=$HG33),200000,MIN(IF($HA33=0,999999,IF(4=$HB33,IF(74=$HJ33,IF($JC33=2,30,0),IF(74=$HK33,IF($JC33=1,30,0),ABS(2-$HC33)*100)),100000+ABS(4-$HB33)*1000+20)),IF($HD33=0,999999,IF(4=$HE33,IF(74=$HL33,IF($JD33=2,30,0),IF(74=$HM33,IF($JD33=1,30,0),ABS(2-$HF33)*100)),100000+ABS(4-$HE33)*1000+20)),IF($HG33=0,999999,IF(4=$HH33,IF(74=$HN33,IF($JE33=2,30,0),IF(74=$HO33,IF($JE33=1,30,0),ABS(2-$HI33)*100)),100000+ABS(4-$HH33)*1000+20)))-IF((74=$HJ33)+(74=$HK33)+(74=$HL33)+(74=$HM33)+(74=$HN33)+(74=$HO33)&gt;=2,50,0))+BY$5*50)</f>
        <v/>
      </c>
      <c r="BZ153">
        <f>IF(OR($JF33=0,calcA!$A$6=0),0,IF(OR(75=$HA33,75=$HD33,75=$HG33),200000,MIN(IF($HA33=0,999999,IF(4=$HB33,IF(75=$HJ33,IF($JC33=2,30,0),IF(75=$HK33,IF($JC33=1,30,0),ABS(3-$HC33)*100)),100000+ABS(4-$HB33)*1000+30)),IF($HD33=0,999999,IF(4=$HE33,IF(75=$HL33,IF($JD33=2,30,0),IF(75=$HM33,IF($JD33=1,30,0),ABS(3-$HF33)*100)),100000+ABS(4-$HE33)*1000+30)),IF($HG33=0,999999,IF(4=$HH33,IF(75=$HN33,IF($JE33=2,30,0),IF(75=$HO33,IF($JE33=1,30,0),ABS(3-$HI33)*100)),100000+ABS(4-$HH33)*1000+30)))-IF((75=$HJ33)+(75=$HK33)+(75=$HL33)+(75=$HM33)+(75=$HN33)+(75=$HO33)&gt;=2,50,0))+BZ$5*50)</f>
        <v/>
      </c>
      <c r="CA153">
        <f>IF(OR($JF33=0,calcA!$A$6=0),0,IF(OR(76=$HA33,76=$HD33,76=$HG33),200000,MIN(IF($HA33=0,999999,IF(4=$HB33,IF(76=$HJ33,IF($JC33=2,30,0),IF(76=$HK33,IF($JC33=1,30,0),ABS(4-$HC33)*100)),100000+ABS(4-$HB33)*1000+40)),IF($HD33=0,999999,IF(4=$HE33,IF(76=$HL33,IF($JD33=2,30,0),IF(76=$HM33,IF($JD33=1,30,0),ABS(4-$HF33)*100)),100000+ABS(4-$HE33)*1000+40)),IF($HG33=0,999999,IF(4=$HH33,IF(76=$HN33,IF($JE33=2,30,0),IF(76=$HO33,IF($JE33=1,30,0),ABS(4-$HI33)*100)),100000+ABS(4-$HH33)*1000+40)))-IF((76=$HJ33)+(76=$HK33)+(76=$HL33)+(76=$HM33)+(76=$HN33)+(76=$HO33)&gt;=2,50,0))+CA$5*50)</f>
        <v/>
      </c>
      <c r="CB153">
        <f>IF(OR($JF33=0,calcA!$A$6=0),0,IF(OR(77=$HA33,77=$HD33,77=$HG33),200000,MIN(IF($HA33=0,999999,IF(4=$HB33,IF(77=$HJ33,IF($JC33=2,30,0),IF(77=$HK33,IF($JC33=1,30,0),ABS(5-$HC33)*100)),100000+ABS(4-$HB33)*1000+50)),IF($HD33=0,999999,IF(4=$HE33,IF(77=$HL33,IF($JD33=2,30,0),IF(77=$HM33,IF($JD33=1,30,0),ABS(5-$HF33)*100)),100000+ABS(4-$HE33)*1000+50)),IF($HG33=0,999999,IF(4=$HH33,IF(77=$HN33,IF($JE33=2,30,0),IF(77=$HO33,IF($JE33=1,30,0),ABS(5-$HI33)*100)),100000+ABS(4-$HH33)*1000+50)))-IF((77=$HJ33)+(77=$HK33)+(77=$HL33)+(77=$HM33)+(77=$HN33)+(77=$HO33)&gt;=2,50,0))+CB$5*50)</f>
        <v/>
      </c>
      <c r="CC153">
        <f>IF(OR($JF33=0,calcA!$A$6=0),0,IF(OR(78=$HA33,78=$HD33,78=$HG33),200000,MIN(IF($HA33=0,999999,IF(4=$HB33,IF(78=$HJ33,IF($JC33=2,30,0),IF(78=$HK33,IF($JC33=1,30,0),ABS(6-$HC33)*100)),100000+ABS(4-$HB33)*1000+60)),IF($HD33=0,999999,IF(4=$HE33,IF(78=$HL33,IF($JD33=2,30,0),IF(78=$HM33,IF($JD33=1,30,0),ABS(6-$HF33)*100)),100000+ABS(4-$HE33)*1000+60)),IF($HG33=0,999999,IF(4=$HH33,IF(78=$HN33,IF($JE33=2,30,0),IF(78=$HO33,IF($JE33=1,30,0),ABS(6-$HI33)*100)),100000+ABS(4-$HH33)*1000+60)))-IF((78=$HJ33)+(78=$HK33)+(78=$HL33)+(78=$HM33)+(78=$HN33)+(78=$HO33)&gt;=2,50,0))+CC$5*50)</f>
        <v/>
      </c>
      <c r="CD153">
        <f>IF(OR($JF33=0,calcA!$A$6=0),0,IF(OR(79=$HA33,79=$HD33,79=$HG33),200000,MIN(IF($HA33=0,999999,IF(4=$HB33,IF(79=$HJ33,IF($JC33=2,30,0),IF(79=$HK33,IF($JC33=1,30,0),ABS(7-$HC33)*100)),100000+ABS(4-$HB33)*1000+70)),IF($HD33=0,999999,IF(4=$HE33,IF(79=$HL33,IF($JD33=2,30,0),IF(79=$HM33,IF($JD33=1,30,0),ABS(7-$HF33)*100)),100000+ABS(4-$HE33)*1000+70)),IF($HG33=0,999999,IF(4=$HH33,IF(79=$HN33,IF($JE33=2,30,0),IF(79=$HO33,IF($JE33=1,30,0),ABS(7-$HI33)*100)),100000+ABS(4-$HH33)*1000+70)))-IF((79=$HJ33)+(79=$HK33)+(79=$HL33)+(79=$HM33)+(79=$HN33)+(79=$HO33)&gt;=2,50,0))+CD$5*50)</f>
        <v/>
      </c>
      <c r="CE153">
        <f>IF(OR($JF33=0,calcA!$A$6=0),0,IF(OR(80=$HA33,80=$HD33,80=$HG33),200000,MIN(IF($HA33=0,999999,IF(4=$HB33,IF(80=$HJ33,IF($JC33=2,30,0),IF(80=$HK33,IF($JC33=1,30,0),ABS(8-$HC33)*100)),100000+ABS(4-$HB33)*1000+80)),IF($HD33=0,999999,IF(4=$HE33,IF(80=$HL33,IF($JD33=2,30,0),IF(80=$HM33,IF($JD33=1,30,0),ABS(8-$HF33)*100)),100000+ABS(4-$HE33)*1000+80)),IF($HG33=0,999999,IF(4=$HH33,IF(80=$HN33,IF($JE33=2,30,0),IF(80=$HO33,IF($JE33=1,30,0),ABS(8-$HI33)*100)),100000+ABS(4-$HH33)*1000+80)))-IF((80=$HJ33)+(80=$HK33)+(80=$HL33)+(80=$HM33)+(80=$HN33)+(80=$HO33)&gt;=2,50,0))+CE$5*50)</f>
        <v/>
      </c>
      <c r="CF153">
        <f>IF(OR($JF33=0,calcA!$A$6=0),0,IF(OR(81=$HA33,81=$HD33,81=$HG33),200000,MIN(IF($HA33=0,999999,IF(4=$HB33,IF(81=$HJ33,IF($JC33=2,30,0),IF(81=$HK33,IF($JC33=1,30,0),ABS(9-$HC33)*100)),100000+ABS(4-$HB33)*1000+90)),IF($HD33=0,999999,IF(4=$HE33,IF(81=$HL33,IF($JD33=2,30,0),IF(81=$HM33,IF($JD33=1,30,0),ABS(9-$HF33)*100)),100000+ABS(4-$HE33)*1000+90)),IF($HG33=0,999999,IF(4=$HH33,IF(81=$HN33,IF($JE33=2,30,0),IF(81=$HO33,IF($JE33=1,30,0),ABS(9-$HI33)*100)),100000+ABS(4-$HH33)*1000+90)))-IF((81=$HJ33)+(81=$HK33)+(81=$HL33)+(81=$HM33)+(81=$HN33)+(81=$HO33)&gt;=2,50,0))+CF$5*50)</f>
        <v/>
      </c>
      <c r="CG153">
        <f>IF(OR($JF33=0,calcA!$A$6=0),0,IF(OR(82=$HA33,82=$HD33,82=$HG33),200000,MIN(IF($HA33=0,999999,IF(4=$HB33,IF(82=$HJ33,IF($JC33=2,30,0),IF(82=$HK33,IF($JC33=1,30,0),ABS(10-$HC33)*100)),100000+ABS(4-$HB33)*1000+100)),IF($HD33=0,999999,IF(4=$HE33,IF(82=$HL33,IF($JD33=2,30,0),IF(82=$HM33,IF($JD33=1,30,0),ABS(10-$HF33)*100)),100000+ABS(4-$HE33)*1000+100)),IF($HG33=0,999999,IF(4=$HH33,IF(82=$HN33,IF($JE33=2,30,0),IF(82=$HO33,IF($JE33=1,30,0),ABS(10-$HI33)*100)),100000+ABS(4-$HH33)*1000+100)))-IF((82=$HJ33)+(82=$HK33)+(82=$HL33)+(82=$HM33)+(82=$HN33)+(82=$HO33)&gt;=2,50,0))+CG$5*50)</f>
        <v/>
      </c>
      <c r="CH153">
        <f>IF(OR($JF33=0,calcA!$A$6=0),0,IF(OR(83=$HA33,83=$HD33,83=$HG33),200000,MIN(IF($HA33=0,999999,IF(4=$HB33,IF(83=$HJ33,IF($JC33=2,30,0),IF(83=$HK33,IF($JC33=1,30,0),ABS(11-$HC33)*100)),100000+ABS(4-$HB33)*1000+110)),IF($HD33=0,999999,IF(4=$HE33,IF(83=$HL33,IF($JD33=2,30,0),IF(83=$HM33,IF($JD33=1,30,0),ABS(11-$HF33)*100)),100000+ABS(4-$HE33)*1000+110)),IF($HG33=0,999999,IF(4=$HH33,IF(83=$HN33,IF($JE33=2,30,0),IF(83=$HO33,IF($JE33=1,30,0),ABS(11-$HI33)*100)),100000+ABS(4-$HH33)*1000+110)))-IF((83=$HJ33)+(83=$HK33)+(83=$HL33)+(83=$HM33)+(83=$HN33)+(83=$HO33)&gt;=2,50,0))+CH$5*50)</f>
        <v/>
      </c>
      <c r="CI153">
        <f>IF(OR($JF33=0,calcA!$A$6=0),0,IF(OR(84=$HA33,84=$HD33,84=$HG33),200000,MIN(IF($HA33=0,999999,IF(4=$HB33,IF(84=$HJ33,IF($JC33=2,30,0),IF(84=$HK33,IF($JC33=1,30,0),ABS(12-$HC33)*100)),100000+ABS(4-$HB33)*1000+120)),IF($HD33=0,999999,IF(4=$HE33,IF(84=$HL33,IF($JD33=2,30,0),IF(84=$HM33,IF($JD33=1,30,0),ABS(12-$HF33)*100)),100000+ABS(4-$HE33)*1000+120)),IF($HG33=0,999999,IF(4=$HH33,IF(84=$HN33,IF($JE33=2,30,0),IF(84=$HO33,IF($JE33=1,30,0),ABS(12-$HI33)*100)),100000+ABS(4-$HH33)*1000+120)))-IF((84=$HJ33)+(84=$HK33)+(84=$HL33)+(84=$HM33)+(84=$HN33)+(84=$HO33)&gt;=2,50,0))+CI$5*50)</f>
        <v/>
      </c>
      <c r="CJ153">
        <f>IF(OR($JF33=0,calcA!$A$6=0),0,IF(OR(85=$HA33,85=$HD33,85=$HG33),200000,MIN(IF($HA33=0,999999,IF(4=$HB33,IF(85=$HJ33,IF($JC33=2,30,0),IF(85=$HK33,IF($JC33=1,30,0),ABS(13-$HC33)*100)),100000+ABS(4-$HB33)*1000+130)),IF($HD33=0,999999,IF(4=$HE33,IF(85=$HL33,IF($JD33=2,30,0),IF(85=$HM33,IF($JD33=1,30,0),ABS(13-$HF33)*100)),100000+ABS(4-$HE33)*1000+130)),IF($HG33=0,999999,IF(4=$HH33,IF(85=$HN33,IF($JE33=2,30,0),IF(85=$HO33,IF($JE33=1,30,0),ABS(13-$HI33)*100)),100000+ABS(4-$HH33)*1000+130)))-IF((85=$HJ33)+(85=$HK33)+(85=$HL33)+(85=$HM33)+(85=$HN33)+(85=$HO33)&gt;=2,50,0))+CJ$5*50)</f>
        <v/>
      </c>
      <c r="CK153">
        <f>IF(OR($JF33=0,calcA!$A$6=0),0,IF(OR(86=$HA33,86=$HD33,86=$HG33),200000,MIN(IF($HA33=0,999999,IF(4=$HB33,IF(86=$HJ33,IF($JC33=2,30,0),IF(86=$HK33,IF($JC33=1,30,0),ABS(14-$HC33)*100)),100000+ABS(4-$HB33)*1000+140)),IF($HD33=0,999999,IF(4=$HE33,IF(86=$HL33,IF($JD33=2,30,0),IF(86=$HM33,IF($JD33=1,30,0),ABS(14-$HF33)*100)),100000+ABS(4-$HE33)*1000+140)),IF($HG33=0,999999,IF(4=$HH33,IF(86=$HN33,IF($JE33=2,30,0),IF(86=$HO33,IF($JE33=1,30,0),ABS(14-$HI33)*100)),100000+ABS(4-$HH33)*1000+140)))-IF((86=$HJ33)+(86=$HK33)+(86=$HL33)+(86=$HM33)+(86=$HN33)+(86=$HO33)&gt;=2,50,0))+CK$5*50)</f>
        <v/>
      </c>
      <c r="CL153">
        <f>IF(OR($JF33=0,calcA!$A$6=0),0,IF(OR(87=$HA33,87=$HD33,87=$HG33),200000,MIN(IF($HA33=0,999999,IF(4=$HB33,IF(87=$HJ33,IF($JC33=2,30,0),IF(87=$HK33,IF($JC33=1,30,0),ABS(15-$HC33)*100)),100000+ABS(4-$HB33)*1000+150)),IF($HD33=0,999999,IF(4=$HE33,IF(87=$HL33,IF($JD33=2,30,0),IF(87=$HM33,IF($JD33=1,30,0),ABS(15-$HF33)*100)),100000+ABS(4-$HE33)*1000+150)),IF($HG33=0,999999,IF(4=$HH33,IF(87=$HN33,IF($JE33=2,30,0),IF(87=$HO33,IF($JE33=1,30,0),ABS(15-$HI33)*100)),100000+ABS(4-$HH33)*1000+150)))-IF((87=$HJ33)+(87=$HK33)+(87=$HL33)+(87=$HM33)+(87=$HN33)+(87=$HO33)&gt;=2,50,0))+CL$5*50)</f>
        <v/>
      </c>
      <c r="CM153">
        <f>IF(OR($JF33=0,calcA!$A$6=0),0,IF(OR(88=$HA33,88=$HD33,88=$HG33),200000,MIN(IF($HA33=0,999999,IF(4=$HB33,IF(88=$HJ33,IF($JC33=2,30,0),IF(88=$HK33,IF($JC33=1,30,0),ABS(16-$HC33)*100)),100000+ABS(4-$HB33)*1000+160)),IF($HD33=0,999999,IF(4=$HE33,IF(88=$HL33,IF($JD33=2,30,0),IF(88=$HM33,IF($JD33=1,30,0),ABS(16-$HF33)*100)),100000+ABS(4-$HE33)*1000+160)),IF($HG33=0,999999,IF(4=$HH33,IF(88=$HN33,IF($JE33=2,30,0),IF(88=$HO33,IF($JE33=1,30,0),ABS(16-$HI33)*100)),100000+ABS(4-$HH33)*1000+160)))-IF((88=$HJ33)+(88=$HK33)+(88=$HL33)+(88=$HM33)+(88=$HN33)+(88=$HO33)&gt;=2,50,0))+CM$5*50)</f>
        <v/>
      </c>
      <c r="CN153">
        <f>IF(OR($JF33=0,calcA!$A$6=0),0,IF(OR(89=$HA33,89=$HD33,89=$HG33),200000,MIN(IF($HA33=0,999999,IF(4=$HB33,IF(89=$HJ33,IF($JC33=2,30,0),IF(89=$HK33,IF($JC33=1,30,0),ABS(17-$HC33)*100)),100000+ABS(4-$HB33)*1000+170)),IF($HD33=0,999999,IF(4=$HE33,IF(89=$HL33,IF($JD33=2,30,0),IF(89=$HM33,IF($JD33=1,30,0),ABS(17-$HF33)*100)),100000+ABS(4-$HE33)*1000+170)),IF($HG33=0,999999,IF(4=$HH33,IF(89=$HN33,IF($JE33=2,30,0),IF(89=$HO33,IF($JE33=1,30,0),ABS(17-$HI33)*100)),100000+ABS(4-$HH33)*1000+170)))-IF((89=$HJ33)+(89=$HK33)+(89=$HL33)+(89=$HM33)+(89=$HN33)+(89=$HO33)&gt;=2,50,0))+CN$5*50)</f>
        <v/>
      </c>
      <c r="CO153">
        <f>IF(OR($JF33=0,calcA!$A$6=0),0,IF(OR(90=$HA33,90=$HD33,90=$HG33),200000,MIN(IF($HA33=0,999999,IF(4=$HB33,IF(90=$HJ33,IF($JC33=2,30,0),IF(90=$HK33,IF($JC33=1,30,0),ABS(18-$HC33)*100)),100000+ABS(4-$HB33)*1000+180)),IF($HD33=0,999999,IF(4=$HE33,IF(90=$HL33,IF($JD33=2,30,0),IF(90=$HM33,IF($JD33=1,30,0),ABS(18-$HF33)*100)),100000+ABS(4-$HE33)*1000+180)),IF($HG33=0,999999,IF(4=$HH33,IF(90=$HN33,IF($JE33=2,30,0),IF(90=$HO33,IF($JE33=1,30,0),ABS(18-$HI33)*100)),100000+ABS(4-$HH33)*1000+180)))-IF((90=$HJ33)+(90=$HK33)+(90=$HL33)+(90=$HM33)+(90=$HN33)+(90=$HO33)&gt;=2,50,0))+CO$5*50)</f>
        <v/>
      </c>
      <c r="CP153">
        <f>IF(OR($JF33=0,calcA!$A$6=0),0,IF(OR(91=$HA33,91=$HD33,91=$HG33),200000,MIN(IF($HA33=0,999999,IF(4=$HB33,IF(91=$HJ33,IF($JC33=2,30,0),IF(91=$HK33,IF($JC33=1,30,0),ABS(19-$HC33)*100)),100000+ABS(4-$HB33)*1000+190)),IF($HD33=0,999999,IF(4=$HE33,IF(91=$HL33,IF($JD33=2,30,0),IF(91=$HM33,IF($JD33=1,30,0),ABS(19-$HF33)*100)),100000+ABS(4-$HE33)*1000+190)),IF($HG33=0,999999,IF(4=$HH33,IF(91=$HN33,IF($JE33=2,30,0),IF(91=$HO33,IF($JE33=1,30,0),ABS(19-$HI33)*100)),100000+ABS(4-$HH33)*1000+190)))-IF((91=$HJ33)+(91=$HK33)+(91=$HL33)+(91=$HM33)+(91=$HN33)+(91=$HO33)&gt;=2,50,0))+CP$5*50)</f>
        <v/>
      </c>
      <c r="CQ153">
        <f>IF(OR($JF33=0,calcA!$A$6=0),0,IF(OR(92=$HA33,92=$HD33,92=$HG33),200000,MIN(IF($HA33=0,999999,IF(4=$HB33,IF(92=$HJ33,IF($JC33=2,30,0),IF(92=$HK33,IF($JC33=1,30,0),ABS(20-$HC33)*100)),100000+ABS(4-$HB33)*1000+200)),IF($HD33=0,999999,IF(4=$HE33,IF(92=$HL33,IF($JD33=2,30,0),IF(92=$HM33,IF($JD33=1,30,0),ABS(20-$HF33)*100)),100000+ABS(4-$HE33)*1000+200)),IF($HG33=0,999999,IF(4=$HH33,IF(92=$HN33,IF($JE33=2,30,0),IF(92=$HO33,IF($JE33=1,30,0),ABS(20-$HI33)*100)),100000+ABS(4-$HH33)*1000+200)))-IF((92=$HJ33)+(92=$HK33)+(92=$HL33)+(92=$HM33)+(92=$HN33)+(92=$HO33)&gt;=2,50,0))+CQ$5*50)</f>
        <v/>
      </c>
      <c r="CR153">
        <f>IF(OR($JF33=0,calcA!$A$6=0),0,IF(OR(93=$HA33,93=$HD33,93=$HG33),200000,MIN(IF($HA33=0,999999,IF(4=$HB33,IF(93=$HJ33,IF($JC33=2,30,0),IF(93=$HK33,IF($JC33=1,30,0),ABS(21-$HC33)*100)),100000+ABS(4-$HB33)*1000+210)),IF($HD33=0,999999,IF(4=$HE33,IF(93=$HL33,IF($JD33=2,30,0),IF(93=$HM33,IF($JD33=1,30,0),ABS(21-$HF33)*100)),100000+ABS(4-$HE33)*1000+210)),IF($HG33=0,999999,IF(4=$HH33,IF(93=$HN33,IF($JE33=2,30,0),IF(93=$HO33,IF($JE33=1,30,0),ABS(21-$HI33)*100)),100000+ABS(4-$HH33)*1000+210)))-IF((93=$HJ33)+(93=$HK33)+(93=$HL33)+(93=$HM33)+(93=$HN33)+(93=$HO33)&gt;=2,50,0))+CR$5*50)</f>
        <v/>
      </c>
      <c r="CS153">
        <f>IF(OR($JF33=0,calcA!$A$6=0),0,IF(OR(94=$HA33,94=$HD33,94=$HG33),200000,MIN(IF($HA33=0,999999,IF(4=$HB33,IF(94=$HJ33,IF($JC33=2,30,0),IF(94=$HK33,IF($JC33=1,30,0),ABS(22-$HC33)*100)),100000+ABS(4-$HB33)*1000+220)),IF($HD33=0,999999,IF(4=$HE33,IF(94=$HL33,IF($JD33=2,30,0),IF(94=$HM33,IF($JD33=1,30,0),ABS(22-$HF33)*100)),100000+ABS(4-$HE33)*1000+220)),IF($HG33=0,999999,IF(4=$HH33,IF(94=$HN33,IF($JE33=2,30,0),IF(94=$HO33,IF($JE33=1,30,0),ABS(22-$HI33)*100)),100000+ABS(4-$HH33)*1000+220)))-IF((94=$HJ33)+(94=$HK33)+(94=$HL33)+(94=$HM33)+(94=$HN33)+(94=$HO33)&gt;=2,50,0))+CS$5*50)</f>
        <v/>
      </c>
      <c r="CT153">
        <f>IF(OR($JF33=0,calcA!$A$6=0),0,IF(OR(95=$HA33,95=$HD33,95=$HG33),200000,MIN(IF($HA33=0,999999,IF(4=$HB33,IF(95=$HJ33,IF($JC33=2,30,0),IF(95=$HK33,IF($JC33=1,30,0),ABS(23-$HC33)*100)),100000+ABS(4-$HB33)*1000+230)),IF($HD33=0,999999,IF(4=$HE33,IF(95=$HL33,IF($JD33=2,30,0),IF(95=$HM33,IF($JD33=1,30,0),ABS(23-$HF33)*100)),100000+ABS(4-$HE33)*1000+230)),IF($HG33=0,999999,IF(4=$HH33,IF(95=$HN33,IF($JE33=2,30,0),IF(95=$HO33,IF($JE33=1,30,0),ABS(23-$HI33)*100)),100000+ABS(4-$HH33)*1000+230)))-IF((95=$HJ33)+(95=$HK33)+(95=$HL33)+(95=$HM33)+(95=$HN33)+(95=$HO33)&gt;=2,50,0))+CT$5*50)</f>
        <v/>
      </c>
      <c r="CU153">
        <f>IF(OR($JF33=0,calcA!$A$6=0),0,IF(OR(96=$HA33,96=$HD33,96=$HG33),200000,MIN(IF($HA33=0,999999,IF(4=$HB33,IF(96=$HJ33,IF($JC33=2,30,0),IF(96=$HK33,IF($JC33=1,30,0),ABS(24-$HC33)*100)),100000+ABS(4-$HB33)*1000+240)),IF($HD33=0,999999,IF(4=$HE33,IF(96=$HL33,IF($JD33=2,30,0),IF(96=$HM33,IF($JD33=1,30,0),ABS(24-$HF33)*100)),100000+ABS(4-$HE33)*1000+240)),IF($HG33=0,999999,IF(4=$HH33,IF(96=$HN33,IF($JE33=2,30,0),IF(96=$HO33,IF($JE33=1,30,0),ABS(24-$HI33)*100)),100000+ABS(4-$HH33)*1000+240)))-IF((96=$HJ33)+(96=$HK33)+(96=$HL33)+(96=$HM33)+(96=$HN33)+(96=$HO33)&gt;=2,50,0))+CU$5*50)</f>
        <v/>
      </c>
      <c r="CV153">
        <f>IF(OR($JF33=0,calcA!$A$6=0),0,IF(OR(97=$HA33,97=$HD33,97=$HG33),200000,MIN(IF($HA33=0,999999,IF(5=$HB33,IF(97=$HJ33,IF($JC33=2,30,0),IF(97=$HK33,IF($JC33=1,30,0),ABS(1-$HC33)*100)),100000+ABS(5-$HB33)*1000+10)),IF($HD33=0,999999,IF(5=$HE33,IF(97=$HL33,IF($JD33=2,30,0),IF(97=$HM33,IF($JD33=1,30,0),ABS(1-$HF33)*100)),100000+ABS(5-$HE33)*1000+10)),IF($HG33=0,999999,IF(5=$HH33,IF(97=$HN33,IF($JE33=2,30,0),IF(97=$HO33,IF($JE33=1,30,0),ABS(1-$HI33)*100)),100000+ABS(5-$HH33)*1000+10)))-IF((97=$HJ33)+(97=$HK33)+(97=$HL33)+(97=$HM33)+(97=$HN33)+(97=$HO33)&gt;=2,50,0))+CV$5*50)</f>
        <v/>
      </c>
      <c r="CW153">
        <f>IF(OR($JF33=0,calcA!$A$6=0),0,IF(OR(98=$HA33,98=$HD33,98=$HG33),200000,MIN(IF($HA33=0,999999,IF(5=$HB33,IF(98=$HJ33,IF($JC33=2,30,0),IF(98=$HK33,IF($JC33=1,30,0),ABS(2-$HC33)*100)),100000+ABS(5-$HB33)*1000+20)),IF($HD33=0,999999,IF(5=$HE33,IF(98=$HL33,IF($JD33=2,30,0),IF(98=$HM33,IF($JD33=1,30,0),ABS(2-$HF33)*100)),100000+ABS(5-$HE33)*1000+20)),IF($HG33=0,999999,IF(5=$HH33,IF(98=$HN33,IF($JE33=2,30,0),IF(98=$HO33,IF($JE33=1,30,0),ABS(2-$HI33)*100)),100000+ABS(5-$HH33)*1000+20)))-IF((98=$HJ33)+(98=$HK33)+(98=$HL33)+(98=$HM33)+(98=$HN33)+(98=$HO33)&gt;=2,50,0))+CW$5*50)</f>
        <v/>
      </c>
      <c r="CX153">
        <f>IF(OR($JF33=0,calcA!$A$6=0),0,IF(OR(99=$HA33,99=$HD33,99=$HG33),200000,MIN(IF($HA33=0,999999,IF(5=$HB33,IF(99=$HJ33,IF($JC33=2,30,0),IF(99=$HK33,IF($JC33=1,30,0),ABS(3-$HC33)*100)),100000+ABS(5-$HB33)*1000+30)),IF($HD33=0,999999,IF(5=$HE33,IF(99=$HL33,IF($JD33=2,30,0),IF(99=$HM33,IF($JD33=1,30,0),ABS(3-$HF33)*100)),100000+ABS(5-$HE33)*1000+30)),IF($HG33=0,999999,IF(5=$HH33,IF(99=$HN33,IF($JE33=2,30,0),IF(99=$HO33,IF($JE33=1,30,0),ABS(3-$HI33)*100)),100000+ABS(5-$HH33)*1000+30)))-IF((99=$HJ33)+(99=$HK33)+(99=$HL33)+(99=$HM33)+(99=$HN33)+(99=$HO33)&gt;=2,50,0))+CX$5*50)</f>
        <v/>
      </c>
      <c r="CY153">
        <f>IF(OR($JF33=0,calcA!$A$6=0),0,IF(OR(100=$HA33,100=$HD33,100=$HG33),200000,MIN(IF($HA33=0,999999,IF(5=$HB33,IF(100=$HJ33,IF($JC33=2,30,0),IF(100=$HK33,IF($JC33=1,30,0),ABS(4-$HC33)*100)),100000+ABS(5-$HB33)*1000+40)),IF($HD33=0,999999,IF(5=$HE33,IF(100=$HL33,IF($JD33=2,30,0),IF(100=$HM33,IF($JD33=1,30,0),ABS(4-$HF33)*100)),100000+ABS(5-$HE33)*1000+40)),IF($HG33=0,999999,IF(5=$HH33,IF(100=$HN33,IF($JE33=2,30,0),IF(100=$HO33,IF($JE33=1,30,0),ABS(4-$HI33)*100)),100000+ABS(5-$HH33)*1000+40)))-IF((100=$HJ33)+(100=$HK33)+(100=$HL33)+(100=$HM33)+(100=$HN33)+(100=$HO33)&gt;=2,50,0))+CY$5*50)</f>
        <v/>
      </c>
      <c r="CZ153">
        <f>IF(OR($JF33=0,calcA!$A$6=0),0,IF(OR(101=$HA33,101=$HD33,101=$HG33),200000,MIN(IF($HA33=0,999999,IF(5=$HB33,IF(101=$HJ33,IF($JC33=2,30,0),IF(101=$HK33,IF($JC33=1,30,0),ABS(5-$HC33)*100)),100000+ABS(5-$HB33)*1000+50)),IF($HD33=0,999999,IF(5=$HE33,IF(101=$HL33,IF($JD33=2,30,0),IF(101=$HM33,IF($JD33=1,30,0),ABS(5-$HF33)*100)),100000+ABS(5-$HE33)*1000+50)),IF($HG33=0,999999,IF(5=$HH33,IF(101=$HN33,IF($JE33=2,30,0),IF(101=$HO33,IF($JE33=1,30,0),ABS(5-$HI33)*100)),100000+ABS(5-$HH33)*1000+50)))-IF((101=$HJ33)+(101=$HK33)+(101=$HL33)+(101=$HM33)+(101=$HN33)+(101=$HO33)&gt;=2,50,0))+CZ$5*50)</f>
        <v/>
      </c>
      <c r="DA153">
        <f>IF(OR($JF33=0,calcA!$A$6=0),0,IF(OR(102=$HA33,102=$HD33,102=$HG33),200000,MIN(IF($HA33=0,999999,IF(5=$HB33,IF(102=$HJ33,IF($JC33=2,30,0),IF(102=$HK33,IF($JC33=1,30,0),ABS(6-$HC33)*100)),100000+ABS(5-$HB33)*1000+60)),IF($HD33=0,999999,IF(5=$HE33,IF(102=$HL33,IF($JD33=2,30,0),IF(102=$HM33,IF($JD33=1,30,0),ABS(6-$HF33)*100)),100000+ABS(5-$HE33)*1000+60)),IF($HG33=0,999999,IF(5=$HH33,IF(102=$HN33,IF($JE33=2,30,0),IF(102=$HO33,IF($JE33=1,30,0),ABS(6-$HI33)*100)),100000+ABS(5-$HH33)*1000+60)))-IF((102=$HJ33)+(102=$HK33)+(102=$HL33)+(102=$HM33)+(102=$HN33)+(102=$HO33)&gt;=2,50,0))+DA$5*50)</f>
        <v/>
      </c>
      <c r="DB153">
        <f>IF(OR($JF33=0,calcA!$A$6=0),0,IF(OR(103=$HA33,103=$HD33,103=$HG33),200000,MIN(IF($HA33=0,999999,IF(5=$HB33,IF(103=$HJ33,IF($JC33=2,30,0),IF(103=$HK33,IF($JC33=1,30,0),ABS(7-$HC33)*100)),100000+ABS(5-$HB33)*1000+70)),IF($HD33=0,999999,IF(5=$HE33,IF(103=$HL33,IF($JD33=2,30,0),IF(103=$HM33,IF($JD33=1,30,0),ABS(7-$HF33)*100)),100000+ABS(5-$HE33)*1000+70)),IF($HG33=0,999999,IF(5=$HH33,IF(103=$HN33,IF($JE33=2,30,0),IF(103=$HO33,IF($JE33=1,30,0),ABS(7-$HI33)*100)),100000+ABS(5-$HH33)*1000+70)))-IF((103=$HJ33)+(103=$HK33)+(103=$HL33)+(103=$HM33)+(103=$HN33)+(103=$HO33)&gt;=2,50,0))+DB$5*50)</f>
        <v/>
      </c>
      <c r="DC153">
        <f>IF(OR($JF33=0,calcA!$A$6=0),0,IF(OR(104=$HA33,104=$HD33,104=$HG33),200000,MIN(IF($HA33=0,999999,IF(5=$HB33,IF(104=$HJ33,IF($JC33=2,30,0),IF(104=$HK33,IF($JC33=1,30,0),ABS(8-$HC33)*100)),100000+ABS(5-$HB33)*1000+80)),IF($HD33=0,999999,IF(5=$HE33,IF(104=$HL33,IF($JD33=2,30,0),IF(104=$HM33,IF($JD33=1,30,0),ABS(8-$HF33)*100)),100000+ABS(5-$HE33)*1000+80)),IF($HG33=0,999999,IF(5=$HH33,IF(104=$HN33,IF($JE33=2,30,0),IF(104=$HO33,IF($JE33=1,30,0),ABS(8-$HI33)*100)),100000+ABS(5-$HH33)*1000+80)))-IF((104=$HJ33)+(104=$HK33)+(104=$HL33)+(104=$HM33)+(104=$HN33)+(104=$HO33)&gt;=2,50,0))+DC$5*50)</f>
        <v/>
      </c>
      <c r="DD153">
        <f>IF(OR($JF33=0,calcA!$A$6=0),0,IF(OR(105=$HA33,105=$HD33,105=$HG33),200000,MIN(IF($HA33=0,999999,IF(5=$HB33,IF(105=$HJ33,IF($JC33=2,30,0),IF(105=$HK33,IF($JC33=1,30,0),ABS(9-$HC33)*100)),100000+ABS(5-$HB33)*1000+90)),IF($HD33=0,999999,IF(5=$HE33,IF(105=$HL33,IF($JD33=2,30,0),IF(105=$HM33,IF($JD33=1,30,0),ABS(9-$HF33)*100)),100000+ABS(5-$HE33)*1000+90)),IF($HG33=0,999999,IF(5=$HH33,IF(105=$HN33,IF($JE33=2,30,0),IF(105=$HO33,IF($JE33=1,30,0),ABS(9-$HI33)*100)),100000+ABS(5-$HH33)*1000+90)))-IF((105=$HJ33)+(105=$HK33)+(105=$HL33)+(105=$HM33)+(105=$HN33)+(105=$HO33)&gt;=2,50,0))+DD$5*50)</f>
        <v/>
      </c>
      <c r="DE153">
        <f>IF(OR($JF33=0,calcA!$A$6=0),0,IF(OR(106=$HA33,106=$HD33,106=$HG33),200000,MIN(IF($HA33=0,999999,IF(5=$HB33,IF(106=$HJ33,IF($JC33=2,30,0),IF(106=$HK33,IF($JC33=1,30,0),ABS(10-$HC33)*100)),100000+ABS(5-$HB33)*1000+100)),IF($HD33=0,999999,IF(5=$HE33,IF(106=$HL33,IF($JD33=2,30,0),IF(106=$HM33,IF($JD33=1,30,0),ABS(10-$HF33)*100)),100000+ABS(5-$HE33)*1000+100)),IF($HG33=0,999999,IF(5=$HH33,IF(106=$HN33,IF($JE33=2,30,0),IF(106=$HO33,IF($JE33=1,30,0),ABS(10-$HI33)*100)),100000+ABS(5-$HH33)*1000+100)))-IF((106=$HJ33)+(106=$HK33)+(106=$HL33)+(106=$HM33)+(106=$HN33)+(106=$HO33)&gt;=2,50,0))+DE$5*50)</f>
        <v/>
      </c>
      <c r="DF153">
        <f>IF(OR($JF33=0,calcA!$A$6=0),0,IF(OR(107=$HA33,107=$HD33,107=$HG33),200000,MIN(IF($HA33=0,999999,IF(5=$HB33,IF(107=$HJ33,IF($JC33=2,30,0),IF(107=$HK33,IF($JC33=1,30,0),ABS(11-$HC33)*100)),100000+ABS(5-$HB33)*1000+110)),IF($HD33=0,999999,IF(5=$HE33,IF(107=$HL33,IF($JD33=2,30,0),IF(107=$HM33,IF($JD33=1,30,0),ABS(11-$HF33)*100)),100000+ABS(5-$HE33)*1000+110)),IF($HG33=0,999999,IF(5=$HH33,IF(107=$HN33,IF($JE33=2,30,0),IF(107=$HO33,IF($JE33=1,30,0),ABS(11-$HI33)*100)),100000+ABS(5-$HH33)*1000+110)))-IF((107=$HJ33)+(107=$HK33)+(107=$HL33)+(107=$HM33)+(107=$HN33)+(107=$HO33)&gt;=2,50,0))+DF$5*50)</f>
        <v/>
      </c>
      <c r="DG153">
        <f>IF(OR($JF33=0,calcA!$A$6=0),0,IF(OR(108=$HA33,108=$HD33,108=$HG33),200000,MIN(IF($HA33=0,999999,IF(5=$HB33,IF(108=$HJ33,IF($JC33=2,30,0),IF(108=$HK33,IF($JC33=1,30,0),ABS(12-$HC33)*100)),100000+ABS(5-$HB33)*1000+120)),IF($HD33=0,999999,IF(5=$HE33,IF(108=$HL33,IF($JD33=2,30,0),IF(108=$HM33,IF($JD33=1,30,0),ABS(12-$HF33)*100)),100000+ABS(5-$HE33)*1000+120)),IF($HG33=0,999999,IF(5=$HH33,IF(108=$HN33,IF($JE33=2,30,0),IF(108=$HO33,IF($JE33=1,30,0),ABS(12-$HI33)*100)),100000+ABS(5-$HH33)*1000+120)))-IF((108=$HJ33)+(108=$HK33)+(108=$HL33)+(108=$HM33)+(108=$HN33)+(108=$HO33)&gt;=2,50,0))+DG$5*50)</f>
        <v/>
      </c>
      <c r="DH153">
        <f>IF(OR($JF33=0,calcA!$A$6=0),0,IF(OR(109=$HA33,109=$HD33,109=$HG33),200000,MIN(IF($HA33=0,999999,IF(5=$HB33,IF(109=$HJ33,IF($JC33=2,30,0),IF(109=$HK33,IF($JC33=1,30,0),ABS(13-$HC33)*100)),100000+ABS(5-$HB33)*1000+130)),IF($HD33=0,999999,IF(5=$HE33,IF(109=$HL33,IF($JD33=2,30,0),IF(109=$HM33,IF($JD33=1,30,0),ABS(13-$HF33)*100)),100000+ABS(5-$HE33)*1000+130)),IF($HG33=0,999999,IF(5=$HH33,IF(109=$HN33,IF($JE33=2,30,0),IF(109=$HO33,IF($JE33=1,30,0),ABS(13-$HI33)*100)),100000+ABS(5-$HH33)*1000+130)))-IF((109=$HJ33)+(109=$HK33)+(109=$HL33)+(109=$HM33)+(109=$HN33)+(109=$HO33)&gt;=2,50,0))+DH$5*50)</f>
        <v/>
      </c>
      <c r="DI153">
        <f>IF(OR($JF33=0,calcA!$A$6=0),0,IF(OR(110=$HA33,110=$HD33,110=$HG33),200000,MIN(IF($HA33=0,999999,IF(5=$HB33,IF(110=$HJ33,IF($JC33=2,30,0),IF(110=$HK33,IF($JC33=1,30,0),ABS(14-$HC33)*100)),100000+ABS(5-$HB33)*1000+140)),IF($HD33=0,999999,IF(5=$HE33,IF(110=$HL33,IF($JD33=2,30,0),IF(110=$HM33,IF($JD33=1,30,0),ABS(14-$HF33)*100)),100000+ABS(5-$HE33)*1000+140)),IF($HG33=0,999999,IF(5=$HH33,IF(110=$HN33,IF($JE33=2,30,0),IF(110=$HO33,IF($JE33=1,30,0),ABS(14-$HI33)*100)),100000+ABS(5-$HH33)*1000+140)))-IF((110=$HJ33)+(110=$HK33)+(110=$HL33)+(110=$HM33)+(110=$HN33)+(110=$HO33)&gt;=2,50,0))+DI$5*50)</f>
        <v/>
      </c>
      <c r="DJ153">
        <f>IF(OR($JF33=0,calcA!$A$6=0),0,IF(OR(111=$HA33,111=$HD33,111=$HG33),200000,MIN(IF($HA33=0,999999,IF(5=$HB33,IF(111=$HJ33,IF($JC33=2,30,0),IF(111=$HK33,IF($JC33=1,30,0),ABS(15-$HC33)*100)),100000+ABS(5-$HB33)*1000+150)),IF($HD33=0,999999,IF(5=$HE33,IF(111=$HL33,IF($JD33=2,30,0),IF(111=$HM33,IF($JD33=1,30,0),ABS(15-$HF33)*100)),100000+ABS(5-$HE33)*1000+150)),IF($HG33=0,999999,IF(5=$HH33,IF(111=$HN33,IF($JE33=2,30,0),IF(111=$HO33,IF($JE33=1,30,0),ABS(15-$HI33)*100)),100000+ABS(5-$HH33)*1000+150)))-IF((111=$HJ33)+(111=$HK33)+(111=$HL33)+(111=$HM33)+(111=$HN33)+(111=$HO33)&gt;=2,50,0))+DJ$5*50)</f>
        <v/>
      </c>
      <c r="DK153">
        <f>IF(OR($JF33=0,calcA!$A$6=0),0,IF(OR(112=$HA33,112=$HD33,112=$HG33),200000,MIN(IF($HA33=0,999999,IF(5=$HB33,IF(112=$HJ33,IF($JC33=2,30,0),IF(112=$HK33,IF($JC33=1,30,0),ABS(16-$HC33)*100)),100000+ABS(5-$HB33)*1000+160)),IF($HD33=0,999999,IF(5=$HE33,IF(112=$HL33,IF($JD33=2,30,0),IF(112=$HM33,IF($JD33=1,30,0),ABS(16-$HF33)*100)),100000+ABS(5-$HE33)*1000+160)),IF($HG33=0,999999,IF(5=$HH33,IF(112=$HN33,IF($JE33=2,30,0),IF(112=$HO33,IF($JE33=1,30,0),ABS(16-$HI33)*100)),100000+ABS(5-$HH33)*1000+160)))-IF((112=$HJ33)+(112=$HK33)+(112=$HL33)+(112=$HM33)+(112=$HN33)+(112=$HO33)&gt;=2,50,0))+DK$5*50)</f>
        <v/>
      </c>
      <c r="DL153">
        <f>IF(OR($JF33=0,calcA!$A$6=0),0,IF(OR(113=$HA33,113=$HD33,113=$HG33),200000,MIN(IF($HA33=0,999999,IF(5=$HB33,IF(113=$HJ33,IF($JC33=2,30,0),IF(113=$HK33,IF($JC33=1,30,0),ABS(17-$HC33)*100)),100000+ABS(5-$HB33)*1000+170)),IF($HD33=0,999999,IF(5=$HE33,IF(113=$HL33,IF($JD33=2,30,0),IF(113=$HM33,IF($JD33=1,30,0),ABS(17-$HF33)*100)),100000+ABS(5-$HE33)*1000+170)),IF($HG33=0,999999,IF(5=$HH33,IF(113=$HN33,IF($JE33=2,30,0),IF(113=$HO33,IF($JE33=1,30,0),ABS(17-$HI33)*100)),100000+ABS(5-$HH33)*1000+170)))-IF((113=$HJ33)+(113=$HK33)+(113=$HL33)+(113=$HM33)+(113=$HN33)+(113=$HO33)&gt;=2,50,0))+DL$5*50)</f>
        <v/>
      </c>
      <c r="DM153">
        <f>IF(OR($JF33=0,calcA!$A$6=0),0,IF(OR(114=$HA33,114=$HD33,114=$HG33),200000,MIN(IF($HA33=0,999999,IF(5=$HB33,IF(114=$HJ33,IF($JC33=2,30,0),IF(114=$HK33,IF($JC33=1,30,0),ABS(18-$HC33)*100)),100000+ABS(5-$HB33)*1000+180)),IF($HD33=0,999999,IF(5=$HE33,IF(114=$HL33,IF($JD33=2,30,0),IF(114=$HM33,IF($JD33=1,30,0),ABS(18-$HF33)*100)),100000+ABS(5-$HE33)*1000+180)),IF($HG33=0,999999,IF(5=$HH33,IF(114=$HN33,IF($JE33=2,30,0),IF(114=$HO33,IF($JE33=1,30,0),ABS(18-$HI33)*100)),100000+ABS(5-$HH33)*1000+180)))-IF((114=$HJ33)+(114=$HK33)+(114=$HL33)+(114=$HM33)+(114=$HN33)+(114=$HO33)&gt;=2,50,0))+DM$5*50)</f>
        <v/>
      </c>
      <c r="DN153">
        <f>IF(OR($JF33=0,calcA!$A$6=0),0,IF(OR(115=$HA33,115=$HD33,115=$HG33),200000,MIN(IF($HA33=0,999999,IF(5=$HB33,IF(115=$HJ33,IF($JC33=2,30,0),IF(115=$HK33,IF($JC33=1,30,0),ABS(19-$HC33)*100)),100000+ABS(5-$HB33)*1000+190)),IF($HD33=0,999999,IF(5=$HE33,IF(115=$HL33,IF($JD33=2,30,0),IF(115=$HM33,IF($JD33=1,30,0),ABS(19-$HF33)*100)),100000+ABS(5-$HE33)*1000+190)),IF($HG33=0,999999,IF(5=$HH33,IF(115=$HN33,IF($JE33=2,30,0),IF(115=$HO33,IF($JE33=1,30,0),ABS(19-$HI33)*100)),100000+ABS(5-$HH33)*1000+190)))-IF((115=$HJ33)+(115=$HK33)+(115=$HL33)+(115=$HM33)+(115=$HN33)+(115=$HO33)&gt;=2,50,0))+DN$5*50)</f>
        <v/>
      </c>
      <c r="DO153">
        <f>IF(OR($JF33=0,calcA!$A$6=0),0,IF(OR(116=$HA33,116=$HD33,116=$HG33),200000,MIN(IF($HA33=0,999999,IF(5=$HB33,IF(116=$HJ33,IF($JC33=2,30,0),IF(116=$HK33,IF($JC33=1,30,0),ABS(20-$HC33)*100)),100000+ABS(5-$HB33)*1000+200)),IF($HD33=0,999999,IF(5=$HE33,IF(116=$HL33,IF($JD33=2,30,0),IF(116=$HM33,IF($JD33=1,30,0),ABS(20-$HF33)*100)),100000+ABS(5-$HE33)*1000+200)),IF($HG33=0,999999,IF(5=$HH33,IF(116=$HN33,IF($JE33=2,30,0),IF(116=$HO33,IF($JE33=1,30,0),ABS(20-$HI33)*100)),100000+ABS(5-$HH33)*1000+200)))-IF((116=$HJ33)+(116=$HK33)+(116=$HL33)+(116=$HM33)+(116=$HN33)+(116=$HO33)&gt;=2,50,0))+DO$5*50)</f>
        <v/>
      </c>
      <c r="DP153">
        <f>IF(OR($JF33=0,calcA!$A$6=0),0,IF(OR(117=$HA33,117=$HD33,117=$HG33),200000,MIN(IF($HA33=0,999999,IF(5=$HB33,IF(117=$HJ33,IF($JC33=2,30,0),IF(117=$HK33,IF($JC33=1,30,0),ABS(21-$HC33)*100)),100000+ABS(5-$HB33)*1000+210)),IF($HD33=0,999999,IF(5=$HE33,IF(117=$HL33,IF($JD33=2,30,0),IF(117=$HM33,IF($JD33=1,30,0),ABS(21-$HF33)*100)),100000+ABS(5-$HE33)*1000+210)),IF($HG33=0,999999,IF(5=$HH33,IF(117=$HN33,IF($JE33=2,30,0),IF(117=$HO33,IF($JE33=1,30,0),ABS(21-$HI33)*100)),100000+ABS(5-$HH33)*1000+210)))-IF((117=$HJ33)+(117=$HK33)+(117=$HL33)+(117=$HM33)+(117=$HN33)+(117=$HO33)&gt;=2,50,0))+DP$5*50)</f>
        <v/>
      </c>
      <c r="DQ153">
        <f>IF(OR($JF33=0,calcA!$A$6=0),0,IF(OR(118=$HA33,118=$HD33,118=$HG33),200000,MIN(IF($HA33=0,999999,IF(5=$HB33,IF(118=$HJ33,IF($JC33=2,30,0),IF(118=$HK33,IF($JC33=1,30,0),ABS(22-$HC33)*100)),100000+ABS(5-$HB33)*1000+220)),IF($HD33=0,999999,IF(5=$HE33,IF(118=$HL33,IF($JD33=2,30,0),IF(118=$HM33,IF($JD33=1,30,0),ABS(22-$HF33)*100)),100000+ABS(5-$HE33)*1000+220)),IF($HG33=0,999999,IF(5=$HH33,IF(118=$HN33,IF($JE33=2,30,0),IF(118=$HO33,IF($JE33=1,30,0),ABS(22-$HI33)*100)),100000+ABS(5-$HH33)*1000+220)))-IF((118=$HJ33)+(118=$HK33)+(118=$HL33)+(118=$HM33)+(118=$HN33)+(118=$HO33)&gt;=2,50,0))+DQ$5*50)</f>
        <v/>
      </c>
      <c r="DR153">
        <f>IF(OR($JF33=0,calcA!$A$6=0),0,IF(OR(119=$HA33,119=$HD33,119=$HG33),200000,MIN(IF($HA33=0,999999,IF(5=$HB33,IF(119=$HJ33,IF($JC33=2,30,0),IF(119=$HK33,IF($JC33=1,30,0),ABS(23-$HC33)*100)),100000+ABS(5-$HB33)*1000+230)),IF($HD33=0,999999,IF(5=$HE33,IF(119=$HL33,IF($JD33=2,30,0),IF(119=$HM33,IF($JD33=1,30,0),ABS(23-$HF33)*100)),100000+ABS(5-$HE33)*1000+230)),IF($HG33=0,999999,IF(5=$HH33,IF(119=$HN33,IF($JE33=2,30,0),IF(119=$HO33,IF($JE33=1,30,0),ABS(23-$HI33)*100)),100000+ABS(5-$HH33)*1000+230)))-IF((119=$HJ33)+(119=$HK33)+(119=$HL33)+(119=$HM33)+(119=$HN33)+(119=$HO33)&gt;=2,50,0))+DR$5*50)</f>
        <v/>
      </c>
      <c r="DS153">
        <f>IF(OR($JF33=0,calcA!$A$6=0),0,IF(OR(120=$HA33,120=$HD33,120=$HG33),200000,MIN(IF($HA33=0,999999,IF(5=$HB33,IF(120=$HJ33,IF($JC33=2,30,0),IF(120=$HK33,IF($JC33=1,30,0),ABS(24-$HC33)*100)),100000+ABS(5-$HB33)*1000+240)),IF($HD33=0,999999,IF(5=$HE33,IF(120=$HL33,IF($JD33=2,30,0),IF(120=$HM33,IF($JD33=1,30,0),ABS(24-$HF33)*100)),100000+ABS(5-$HE33)*1000+240)),IF($HG33=0,999999,IF(5=$HH33,IF(120=$HN33,IF($JE33=2,30,0),IF(120=$HO33,IF($JE33=1,30,0),ABS(24-$HI33)*100)),100000+ABS(5-$HH33)*1000+240)))-IF((120=$HJ33)+(120=$HK33)+(120=$HL33)+(120=$HM33)+(120=$HN33)+(120=$HO33)&gt;=2,50,0))+DS$5*50)</f>
        <v/>
      </c>
      <c r="DT153">
        <f>IF(OR($JF33=0,calcA!$A$6=0),0,IF(OR(121=$HA33,121=$HD33,121=$HG33),200000,MIN(IF($HA33=0,999999,IF(6=$HB33,IF(121=$HJ33,IF($JC33=2,30,0),IF(121=$HK33,IF($JC33=1,30,0),ABS(1-$HC33)*100)),100000+ABS(6-$HB33)*1000+10)),IF($HD33=0,999999,IF(6=$HE33,IF(121=$HL33,IF($JD33=2,30,0),IF(121=$HM33,IF($JD33=1,30,0),ABS(1-$HF33)*100)),100000+ABS(6-$HE33)*1000+10)),IF($HG33=0,999999,IF(6=$HH33,IF(121=$HN33,IF($JE33=2,30,0),IF(121=$HO33,IF($JE33=1,30,0),ABS(1-$HI33)*100)),100000+ABS(6-$HH33)*1000+10)))-IF((121=$HJ33)+(121=$HK33)+(121=$HL33)+(121=$HM33)+(121=$HN33)+(121=$HO33)&gt;=2,50,0))+DT$5*50)</f>
        <v/>
      </c>
      <c r="DU153">
        <f>IF(OR($JF33=0,calcA!$A$6=0),0,IF(OR(122=$HA33,122=$HD33,122=$HG33),200000,MIN(IF($HA33=0,999999,IF(6=$HB33,IF(122=$HJ33,IF($JC33=2,30,0),IF(122=$HK33,IF($JC33=1,30,0),ABS(2-$HC33)*100)),100000+ABS(6-$HB33)*1000+20)),IF($HD33=0,999999,IF(6=$HE33,IF(122=$HL33,IF($JD33=2,30,0),IF(122=$HM33,IF($JD33=1,30,0),ABS(2-$HF33)*100)),100000+ABS(6-$HE33)*1000+20)),IF($HG33=0,999999,IF(6=$HH33,IF(122=$HN33,IF($JE33=2,30,0),IF(122=$HO33,IF($JE33=1,30,0),ABS(2-$HI33)*100)),100000+ABS(6-$HH33)*1000+20)))-IF((122=$HJ33)+(122=$HK33)+(122=$HL33)+(122=$HM33)+(122=$HN33)+(122=$HO33)&gt;=2,50,0))+DU$5*50)</f>
        <v/>
      </c>
      <c r="DV153">
        <f>IF(OR($JF33=0,calcA!$A$6=0),0,IF(OR(123=$HA33,123=$HD33,123=$HG33),200000,MIN(IF($HA33=0,999999,IF(6=$HB33,IF(123=$HJ33,IF($JC33=2,30,0),IF(123=$HK33,IF($JC33=1,30,0),ABS(3-$HC33)*100)),100000+ABS(6-$HB33)*1000+30)),IF($HD33=0,999999,IF(6=$HE33,IF(123=$HL33,IF($JD33=2,30,0),IF(123=$HM33,IF($JD33=1,30,0),ABS(3-$HF33)*100)),100000+ABS(6-$HE33)*1000+30)),IF($HG33=0,999999,IF(6=$HH33,IF(123=$HN33,IF($JE33=2,30,0),IF(123=$HO33,IF($JE33=1,30,0),ABS(3-$HI33)*100)),100000+ABS(6-$HH33)*1000+30)))-IF((123=$HJ33)+(123=$HK33)+(123=$HL33)+(123=$HM33)+(123=$HN33)+(123=$HO33)&gt;=2,50,0))+DV$5*50)</f>
        <v/>
      </c>
      <c r="DW153">
        <f>IF(OR($JF33=0,calcA!$A$6=0),0,IF(OR(124=$HA33,124=$HD33,124=$HG33),200000,MIN(IF($HA33=0,999999,IF(6=$HB33,IF(124=$HJ33,IF($JC33=2,30,0),IF(124=$HK33,IF($JC33=1,30,0),ABS(4-$HC33)*100)),100000+ABS(6-$HB33)*1000+40)),IF($HD33=0,999999,IF(6=$HE33,IF(124=$HL33,IF($JD33=2,30,0),IF(124=$HM33,IF($JD33=1,30,0),ABS(4-$HF33)*100)),100000+ABS(6-$HE33)*1000+40)),IF($HG33=0,999999,IF(6=$HH33,IF(124=$HN33,IF($JE33=2,30,0),IF(124=$HO33,IF($JE33=1,30,0),ABS(4-$HI33)*100)),100000+ABS(6-$HH33)*1000+40)))-IF((124=$HJ33)+(124=$HK33)+(124=$HL33)+(124=$HM33)+(124=$HN33)+(124=$HO33)&gt;=2,50,0))+DW$5*50)</f>
        <v/>
      </c>
      <c r="DX153">
        <f>IF(OR($JF33=0,calcA!$A$6=0),0,IF(OR(125=$HA33,125=$HD33,125=$HG33),200000,MIN(IF($HA33=0,999999,IF(6=$HB33,IF(125=$HJ33,IF($JC33=2,30,0),IF(125=$HK33,IF($JC33=1,30,0),ABS(5-$HC33)*100)),100000+ABS(6-$HB33)*1000+50)),IF($HD33=0,999999,IF(6=$HE33,IF(125=$HL33,IF($JD33=2,30,0),IF(125=$HM33,IF($JD33=1,30,0),ABS(5-$HF33)*100)),100000+ABS(6-$HE33)*1000+50)),IF($HG33=0,999999,IF(6=$HH33,IF(125=$HN33,IF($JE33=2,30,0),IF(125=$HO33,IF($JE33=1,30,0),ABS(5-$HI33)*100)),100000+ABS(6-$HH33)*1000+50)))-IF((125=$HJ33)+(125=$HK33)+(125=$HL33)+(125=$HM33)+(125=$HN33)+(125=$HO33)&gt;=2,50,0))+DX$5*50)</f>
        <v/>
      </c>
      <c r="DY153">
        <f>IF(OR($JF33=0,calcA!$A$6=0),0,IF(OR(126=$HA33,126=$HD33,126=$HG33),200000,MIN(IF($HA33=0,999999,IF(6=$HB33,IF(126=$HJ33,IF($JC33=2,30,0),IF(126=$HK33,IF($JC33=1,30,0),ABS(6-$HC33)*100)),100000+ABS(6-$HB33)*1000+60)),IF($HD33=0,999999,IF(6=$HE33,IF(126=$HL33,IF($JD33=2,30,0),IF(126=$HM33,IF($JD33=1,30,0),ABS(6-$HF33)*100)),100000+ABS(6-$HE33)*1000+60)),IF($HG33=0,999999,IF(6=$HH33,IF(126=$HN33,IF($JE33=2,30,0),IF(126=$HO33,IF($JE33=1,30,0),ABS(6-$HI33)*100)),100000+ABS(6-$HH33)*1000+60)))-IF((126=$HJ33)+(126=$HK33)+(126=$HL33)+(126=$HM33)+(126=$HN33)+(126=$HO33)&gt;=2,50,0))+DY$5*50)</f>
        <v/>
      </c>
      <c r="DZ153">
        <f>IF(OR($JF33=0,calcA!$A$6=0),0,IF(OR(127=$HA33,127=$HD33,127=$HG33),200000,MIN(IF($HA33=0,999999,IF(6=$HB33,IF(127=$HJ33,IF($JC33=2,30,0),IF(127=$HK33,IF($JC33=1,30,0),ABS(7-$HC33)*100)),100000+ABS(6-$HB33)*1000+70)),IF($HD33=0,999999,IF(6=$HE33,IF(127=$HL33,IF($JD33=2,30,0),IF(127=$HM33,IF($JD33=1,30,0),ABS(7-$HF33)*100)),100000+ABS(6-$HE33)*1000+70)),IF($HG33=0,999999,IF(6=$HH33,IF(127=$HN33,IF($JE33=2,30,0),IF(127=$HO33,IF($JE33=1,30,0),ABS(7-$HI33)*100)),100000+ABS(6-$HH33)*1000+70)))-IF((127=$HJ33)+(127=$HK33)+(127=$HL33)+(127=$HM33)+(127=$HN33)+(127=$HO33)&gt;=2,50,0))+DZ$5*50)</f>
        <v/>
      </c>
      <c r="EA153">
        <f>IF(OR($JF33=0,calcA!$A$6=0),0,IF(OR(128=$HA33,128=$HD33,128=$HG33),200000,MIN(IF($HA33=0,999999,IF(6=$HB33,IF(128=$HJ33,IF($JC33=2,30,0),IF(128=$HK33,IF($JC33=1,30,0),ABS(8-$HC33)*100)),100000+ABS(6-$HB33)*1000+80)),IF($HD33=0,999999,IF(6=$HE33,IF(128=$HL33,IF($JD33=2,30,0),IF(128=$HM33,IF($JD33=1,30,0),ABS(8-$HF33)*100)),100000+ABS(6-$HE33)*1000+80)),IF($HG33=0,999999,IF(6=$HH33,IF(128=$HN33,IF($JE33=2,30,0),IF(128=$HO33,IF($JE33=1,30,0),ABS(8-$HI33)*100)),100000+ABS(6-$HH33)*1000+80)))-IF((128=$HJ33)+(128=$HK33)+(128=$HL33)+(128=$HM33)+(128=$HN33)+(128=$HO33)&gt;=2,50,0))+EA$5*50)</f>
        <v/>
      </c>
      <c r="EB153">
        <f>IF(OR($JF33=0,calcA!$A$6=0),0,IF(OR(129=$HA33,129=$HD33,129=$HG33),200000,MIN(IF($HA33=0,999999,IF(6=$HB33,IF(129=$HJ33,IF($JC33=2,30,0),IF(129=$HK33,IF($JC33=1,30,0),ABS(9-$HC33)*100)),100000+ABS(6-$HB33)*1000+90)),IF($HD33=0,999999,IF(6=$HE33,IF(129=$HL33,IF($JD33=2,30,0),IF(129=$HM33,IF($JD33=1,30,0),ABS(9-$HF33)*100)),100000+ABS(6-$HE33)*1000+90)),IF($HG33=0,999999,IF(6=$HH33,IF(129=$HN33,IF($JE33=2,30,0),IF(129=$HO33,IF($JE33=1,30,0),ABS(9-$HI33)*100)),100000+ABS(6-$HH33)*1000+90)))-IF((129=$HJ33)+(129=$HK33)+(129=$HL33)+(129=$HM33)+(129=$HN33)+(129=$HO33)&gt;=2,50,0))+EB$5*50)</f>
        <v/>
      </c>
      <c r="EC153">
        <f>IF(OR($JF33=0,calcA!$A$6=0),0,IF(OR(130=$HA33,130=$HD33,130=$HG33),200000,MIN(IF($HA33=0,999999,IF(6=$HB33,IF(130=$HJ33,IF($JC33=2,30,0),IF(130=$HK33,IF($JC33=1,30,0),ABS(10-$HC33)*100)),100000+ABS(6-$HB33)*1000+100)),IF($HD33=0,999999,IF(6=$HE33,IF(130=$HL33,IF($JD33=2,30,0),IF(130=$HM33,IF($JD33=1,30,0),ABS(10-$HF33)*100)),100000+ABS(6-$HE33)*1000+100)),IF($HG33=0,999999,IF(6=$HH33,IF(130=$HN33,IF($JE33=2,30,0),IF(130=$HO33,IF($JE33=1,30,0),ABS(10-$HI33)*100)),100000+ABS(6-$HH33)*1000+100)))-IF((130=$HJ33)+(130=$HK33)+(130=$HL33)+(130=$HM33)+(130=$HN33)+(130=$HO33)&gt;=2,50,0))+EC$5*50)</f>
        <v/>
      </c>
      <c r="ED153">
        <f>IF(OR($JF33=0,calcA!$A$6=0),0,IF(OR(131=$HA33,131=$HD33,131=$HG33),200000,MIN(IF($HA33=0,999999,IF(6=$HB33,IF(131=$HJ33,IF($JC33=2,30,0),IF(131=$HK33,IF($JC33=1,30,0),ABS(11-$HC33)*100)),100000+ABS(6-$HB33)*1000+110)),IF($HD33=0,999999,IF(6=$HE33,IF(131=$HL33,IF($JD33=2,30,0),IF(131=$HM33,IF($JD33=1,30,0),ABS(11-$HF33)*100)),100000+ABS(6-$HE33)*1000+110)),IF($HG33=0,999999,IF(6=$HH33,IF(131=$HN33,IF($JE33=2,30,0),IF(131=$HO33,IF($JE33=1,30,0),ABS(11-$HI33)*100)),100000+ABS(6-$HH33)*1000+110)))-IF((131=$HJ33)+(131=$HK33)+(131=$HL33)+(131=$HM33)+(131=$HN33)+(131=$HO33)&gt;=2,50,0))+ED$5*50)</f>
        <v/>
      </c>
      <c r="EE153">
        <f>IF(OR($JF33=0,calcA!$A$6=0),0,IF(OR(132=$HA33,132=$HD33,132=$HG33),200000,MIN(IF($HA33=0,999999,IF(6=$HB33,IF(132=$HJ33,IF($JC33=2,30,0),IF(132=$HK33,IF($JC33=1,30,0),ABS(12-$HC33)*100)),100000+ABS(6-$HB33)*1000+120)),IF($HD33=0,999999,IF(6=$HE33,IF(132=$HL33,IF($JD33=2,30,0),IF(132=$HM33,IF($JD33=1,30,0),ABS(12-$HF33)*100)),100000+ABS(6-$HE33)*1000+120)),IF($HG33=0,999999,IF(6=$HH33,IF(132=$HN33,IF($JE33=2,30,0),IF(132=$HO33,IF($JE33=1,30,0),ABS(12-$HI33)*100)),100000+ABS(6-$HH33)*1000+120)))-IF((132=$HJ33)+(132=$HK33)+(132=$HL33)+(132=$HM33)+(132=$HN33)+(132=$HO33)&gt;=2,50,0))+EE$5*50)</f>
        <v/>
      </c>
      <c r="EF153">
        <f>IF(OR($JF33=0,calcA!$A$6=0),0,IF(OR(133=$HA33,133=$HD33,133=$HG33),200000,MIN(IF($HA33=0,999999,IF(6=$HB33,IF(133=$HJ33,IF($JC33=2,30,0),IF(133=$HK33,IF($JC33=1,30,0),ABS(13-$HC33)*100)),100000+ABS(6-$HB33)*1000+130)),IF($HD33=0,999999,IF(6=$HE33,IF(133=$HL33,IF($JD33=2,30,0),IF(133=$HM33,IF($JD33=1,30,0),ABS(13-$HF33)*100)),100000+ABS(6-$HE33)*1000+130)),IF($HG33=0,999999,IF(6=$HH33,IF(133=$HN33,IF($JE33=2,30,0),IF(133=$HO33,IF($JE33=1,30,0),ABS(13-$HI33)*100)),100000+ABS(6-$HH33)*1000+130)))-IF((133=$HJ33)+(133=$HK33)+(133=$HL33)+(133=$HM33)+(133=$HN33)+(133=$HO33)&gt;=2,50,0))+EF$5*50)</f>
        <v/>
      </c>
      <c r="EG153">
        <f>IF(OR($JF33=0,calcA!$A$6=0),0,IF(OR(134=$HA33,134=$HD33,134=$HG33),200000,MIN(IF($HA33=0,999999,IF(6=$HB33,IF(134=$HJ33,IF($JC33=2,30,0),IF(134=$HK33,IF($JC33=1,30,0),ABS(14-$HC33)*100)),100000+ABS(6-$HB33)*1000+140)),IF($HD33=0,999999,IF(6=$HE33,IF(134=$HL33,IF($JD33=2,30,0),IF(134=$HM33,IF($JD33=1,30,0),ABS(14-$HF33)*100)),100000+ABS(6-$HE33)*1000+140)),IF($HG33=0,999999,IF(6=$HH33,IF(134=$HN33,IF($JE33=2,30,0),IF(134=$HO33,IF($JE33=1,30,0),ABS(14-$HI33)*100)),100000+ABS(6-$HH33)*1000+140)))-IF((134=$HJ33)+(134=$HK33)+(134=$HL33)+(134=$HM33)+(134=$HN33)+(134=$HO33)&gt;=2,50,0))+EG$5*50)</f>
        <v/>
      </c>
      <c r="EH153">
        <f>IF(OR($JF33=0,calcA!$A$6=0),0,IF(OR(135=$HA33,135=$HD33,135=$HG33),200000,MIN(IF($HA33=0,999999,IF(6=$HB33,IF(135=$HJ33,IF($JC33=2,30,0),IF(135=$HK33,IF($JC33=1,30,0),ABS(15-$HC33)*100)),100000+ABS(6-$HB33)*1000+150)),IF($HD33=0,999999,IF(6=$HE33,IF(135=$HL33,IF($JD33=2,30,0),IF(135=$HM33,IF($JD33=1,30,0),ABS(15-$HF33)*100)),100000+ABS(6-$HE33)*1000+150)),IF($HG33=0,999999,IF(6=$HH33,IF(135=$HN33,IF($JE33=2,30,0),IF(135=$HO33,IF($JE33=1,30,0),ABS(15-$HI33)*100)),100000+ABS(6-$HH33)*1000+150)))-IF((135=$HJ33)+(135=$HK33)+(135=$HL33)+(135=$HM33)+(135=$HN33)+(135=$HO33)&gt;=2,50,0))+EH$5*50)</f>
        <v/>
      </c>
      <c r="EI153">
        <f>IF(OR($JF33=0,calcA!$A$6=0),0,IF(OR(136=$HA33,136=$HD33,136=$HG33),200000,MIN(IF($HA33=0,999999,IF(6=$HB33,IF(136=$HJ33,IF($JC33=2,30,0),IF(136=$HK33,IF($JC33=1,30,0),ABS(16-$HC33)*100)),100000+ABS(6-$HB33)*1000+160)),IF($HD33=0,999999,IF(6=$HE33,IF(136=$HL33,IF($JD33=2,30,0),IF(136=$HM33,IF($JD33=1,30,0),ABS(16-$HF33)*100)),100000+ABS(6-$HE33)*1000+160)),IF($HG33=0,999999,IF(6=$HH33,IF(136=$HN33,IF($JE33=2,30,0),IF(136=$HO33,IF($JE33=1,30,0),ABS(16-$HI33)*100)),100000+ABS(6-$HH33)*1000+160)))-IF((136=$HJ33)+(136=$HK33)+(136=$HL33)+(136=$HM33)+(136=$HN33)+(136=$HO33)&gt;=2,50,0))+EI$5*50)</f>
        <v/>
      </c>
      <c r="EJ153">
        <f>IF(OR($JF33=0,calcA!$A$6=0),0,IF(OR(137=$HA33,137=$HD33,137=$HG33),200000,MIN(IF($HA33=0,999999,IF(6=$HB33,IF(137=$HJ33,IF($JC33=2,30,0),IF(137=$HK33,IF($JC33=1,30,0),ABS(17-$HC33)*100)),100000+ABS(6-$HB33)*1000+170)),IF($HD33=0,999999,IF(6=$HE33,IF(137=$HL33,IF($JD33=2,30,0),IF(137=$HM33,IF($JD33=1,30,0),ABS(17-$HF33)*100)),100000+ABS(6-$HE33)*1000+170)),IF($HG33=0,999999,IF(6=$HH33,IF(137=$HN33,IF($JE33=2,30,0),IF(137=$HO33,IF($JE33=1,30,0),ABS(17-$HI33)*100)),100000+ABS(6-$HH33)*1000+170)))-IF((137=$HJ33)+(137=$HK33)+(137=$HL33)+(137=$HM33)+(137=$HN33)+(137=$HO33)&gt;=2,50,0))+EJ$5*50)</f>
        <v/>
      </c>
      <c r="EK153">
        <f>IF(OR($JF33=0,calcA!$A$6=0),0,IF(OR(138=$HA33,138=$HD33,138=$HG33),200000,MIN(IF($HA33=0,999999,IF(6=$HB33,IF(138=$HJ33,IF($JC33=2,30,0),IF(138=$HK33,IF($JC33=1,30,0),ABS(18-$HC33)*100)),100000+ABS(6-$HB33)*1000+180)),IF($HD33=0,999999,IF(6=$HE33,IF(138=$HL33,IF($JD33=2,30,0),IF(138=$HM33,IF($JD33=1,30,0),ABS(18-$HF33)*100)),100000+ABS(6-$HE33)*1000+180)),IF($HG33=0,999999,IF(6=$HH33,IF(138=$HN33,IF($JE33=2,30,0),IF(138=$HO33,IF($JE33=1,30,0),ABS(18-$HI33)*100)),100000+ABS(6-$HH33)*1000+180)))-IF((138=$HJ33)+(138=$HK33)+(138=$HL33)+(138=$HM33)+(138=$HN33)+(138=$HO33)&gt;=2,50,0))+EK$5*50)</f>
        <v/>
      </c>
      <c r="EL153">
        <f>IF(OR($JF33=0,calcA!$A$6=0),0,IF(OR(139=$HA33,139=$HD33,139=$HG33),200000,MIN(IF($HA33=0,999999,IF(6=$HB33,IF(139=$HJ33,IF($JC33=2,30,0),IF(139=$HK33,IF($JC33=1,30,0),ABS(19-$HC33)*100)),100000+ABS(6-$HB33)*1000+190)),IF($HD33=0,999999,IF(6=$HE33,IF(139=$HL33,IF($JD33=2,30,0),IF(139=$HM33,IF($JD33=1,30,0),ABS(19-$HF33)*100)),100000+ABS(6-$HE33)*1000+190)),IF($HG33=0,999999,IF(6=$HH33,IF(139=$HN33,IF($JE33=2,30,0),IF(139=$HO33,IF($JE33=1,30,0),ABS(19-$HI33)*100)),100000+ABS(6-$HH33)*1000+190)))-IF((139=$HJ33)+(139=$HK33)+(139=$HL33)+(139=$HM33)+(139=$HN33)+(139=$HO33)&gt;=2,50,0))+EL$5*50)</f>
        <v/>
      </c>
      <c r="EM153">
        <f>IF(OR($JF33=0,calcA!$A$6=0),0,IF(OR(140=$HA33,140=$HD33,140=$HG33),200000,MIN(IF($HA33=0,999999,IF(6=$HB33,IF(140=$HJ33,IF($JC33=2,30,0),IF(140=$HK33,IF($JC33=1,30,0),ABS(20-$HC33)*100)),100000+ABS(6-$HB33)*1000+200)),IF($HD33=0,999999,IF(6=$HE33,IF(140=$HL33,IF($JD33=2,30,0),IF(140=$HM33,IF($JD33=1,30,0),ABS(20-$HF33)*100)),100000+ABS(6-$HE33)*1000+200)),IF($HG33=0,999999,IF(6=$HH33,IF(140=$HN33,IF($JE33=2,30,0),IF(140=$HO33,IF($JE33=1,30,0),ABS(20-$HI33)*100)),100000+ABS(6-$HH33)*1000+200)))-IF((140=$HJ33)+(140=$HK33)+(140=$HL33)+(140=$HM33)+(140=$HN33)+(140=$HO33)&gt;=2,50,0))+EM$5*50)</f>
        <v/>
      </c>
      <c r="EN153">
        <f>IF(OR($JF33=0,calcA!$A$6=0),0,IF(OR(141=$HA33,141=$HD33,141=$HG33),200000,MIN(IF($HA33=0,999999,IF(6=$HB33,IF(141=$HJ33,IF($JC33=2,30,0),IF(141=$HK33,IF($JC33=1,30,0),ABS(21-$HC33)*100)),100000+ABS(6-$HB33)*1000+210)),IF($HD33=0,999999,IF(6=$HE33,IF(141=$HL33,IF($JD33=2,30,0),IF(141=$HM33,IF($JD33=1,30,0),ABS(21-$HF33)*100)),100000+ABS(6-$HE33)*1000+210)),IF($HG33=0,999999,IF(6=$HH33,IF(141=$HN33,IF($JE33=2,30,0),IF(141=$HO33,IF($JE33=1,30,0),ABS(21-$HI33)*100)),100000+ABS(6-$HH33)*1000+210)))-IF((141=$HJ33)+(141=$HK33)+(141=$HL33)+(141=$HM33)+(141=$HN33)+(141=$HO33)&gt;=2,50,0))+EN$5*50)</f>
        <v/>
      </c>
      <c r="EO153">
        <f>IF(OR($JF33=0,calcA!$A$6=0),0,IF(OR(142=$HA33,142=$HD33,142=$HG33),200000,MIN(IF($HA33=0,999999,IF(6=$HB33,IF(142=$HJ33,IF($JC33=2,30,0),IF(142=$HK33,IF($JC33=1,30,0),ABS(22-$HC33)*100)),100000+ABS(6-$HB33)*1000+220)),IF($HD33=0,999999,IF(6=$HE33,IF(142=$HL33,IF($JD33=2,30,0),IF(142=$HM33,IF($JD33=1,30,0),ABS(22-$HF33)*100)),100000+ABS(6-$HE33)*1000+220)),IF($HG33=0,999999,IF(6=$HH33,IF(142=$HN33,IF($JE33=2,30,0),IF(142=$HO33,IF($JE33=1,30,0),ABS(22-$HI33)*100)),100000+ABS(6-$HH33)*1000+220)))-IF((142=$HJ33)+(142=$HK33)+(142=$HL33)+(142=$HM33)+(142=$HN33)+(142=$HO33)&gt;=2,50,0))+EO$5*50)</f>
        <v/>
      </c>
      <c r="EP153">
        <f>IF(OR($JF33=0,calcA!$A$6=0),0,IF(OR(143=$HA33,143=$HD33,143=$HG33),200000,MIN(IF($HA33=0,999999,IF(6=$HB33,IF(143=$HJ33,IF($JC33=2,30,0),IF(143=$HK33,IF($JC33=1,30,0),ABS(23-$HC33)*100)),100000+ABS(6-$HB33)*1000+230)),IF($HD33=0,999999,IF(6=$HE33,IF(143=$HL33,IF($JD33=2,30,0),IF(143=$HM33,IF($JD33=1,30,0),ABS(23-$HF33)*100)),100000+ABS(6-$HE33)*1000+230)),IF($HG33=0,999999,IF(6=$HH33,IF(143=$HN33,IF($JE33=2,30,0),IF(143=$HO33,IF($JE33=1,30,0),ABS(23-$HI33)*100)),100000+ABS(6-$HH33)*1000+230)))-IF((143=$HJ33)+(143=$HK33)+(143=$HL33)+(143=$HM33)+(143=$HN33)+(143=$HO33)&gt;=2,50,0))+EP$5*50)</f>
        <v/>
      </c>
      <c r="EQ153">
        <f>IF(OR($JF33=0,calcA!$A$6=0),0,IF(OR(144=$HA33,144=$HD33,144=$HG33),200000,MIN(IF($HA33=0,999999,IF(6=$HB33,IF(144=$HJ33,IF($JC33=2,30,0),IF(144=$HK33,IF($JC33=1,30,0),ABS(24-$HC33)*100)),100000+ABS(6-$HB33)*1000+240)),IF($HD33=0,999999,IF(6=$HE33,IF(144=$HL33,IF($JD33=2,30,0),IF(144=$HM33,IF($JD33=1,30,0),ABS(24-$HF33)*100)),100000+ABS(6-$HE33)*1000+240)),IF($HG33=0,999999,IF(6=$HH33,IF(144=$HN33,IF($JE33=2,30,0),IF(144=$HO33,IF($JE33=1,30,0),ABS(24-$HI33)*100)),100000+ABS(6-$HH33)*1000+240)))-IF((144=$HJ33)+(144=$HK33)+(144=$HL33)+(144=$HM33)+(144=$HN33)+(144=$HO33)&gt;=2,50,0))+EQ$5*50)</f>
        <v/>
      </c>
    </row>
    <row r="154">
      <c r="D154">
        <f>IF(OR($JF34=0,calcA!$A$6=0),0,IF(OR(1=$HA34,1=$HD34,1=$HG34),200000,MIN(IF($HA34=0,999999,IF(1=$HB34,IF(1=$HJ34,IF($JC34=2,30,0),IF(1=$HK34,IF($JC34=1,30,0),ABS(1-$HC34)*100)),100000+ABS(1-$HB34)*1000+10)),IF($HD34=0,999999,IF(1=$HE34,IF(1=$HL34,IF($JD34=2,30,0),IF(1=$HM34,IF($JD34=1,30,0),ABS(1-$HF34)*100)),100000+ABS(1-$HE34)*1000+10)),IF($HG34=0,999999,IF(1=$HH34,IF(1=$HN34,IF($JE34=2,30,0),IF(1=$HO34,IF($JE34=1,30,0),ABS(1-$HI34)*100)),100000+ABS(1-$HH34)*1000+10)))-IF((1=$HJ34)+(1=$HK34)+(1=$HL34)+(1=$HM34)+(1=$HN34)+(1=$HO34)&gt;=2,50,0))+D$5*50)</f>
        <v/>
      </c>
      <c r="E154">
        <f>IF(OR($JF34=0,calcA!$A$6=0),0,IF(OR(2=$HA34,2=$HD34,2=$HG34),200000,MIN(IF($HA34=0,999999,IF(1=$HB34,IF(2=$HJ34,IF($JC34=2,30,0),IF(2=$HK34,IF($JC34=1,30,0),ABS(2-$HC34)*100)),100000+ABS(1-$HB34)*1000+20)),IF($HD34=0,999999,IF(1=$HE34,IF(2=$HL34,IF($JD34=2,30,0),IF(2=$HM34,IF($JD34=1,30,0),ABS(2-$HF34)*100)),100000+ABS(1-$HE34)*1000+20)),IF($HG34=0,999999,IF(1=$HH34,IF(2=$HN34,IF($JE34=2,30,0),IF(2=$HO34,IF($JE34=1,30,0),ABS(2-$HI34)*100)),100000+ABS(1-$HH34)*1000+20)))-IF((2=$HJ34)+(2=$HK34)+(2=$HL34)+(2=$HM34)+(2=$HN34)+(2=$HO34)&gt;=2,50,0))+E$5*50)</f>
        <v/>
      </c>
      <c r="F154">
        <f>IF(OR($JF34=0,calcA!$A$6=0),0,IF(OR(3=$HA34,3=$HD34,3=$HG34),200000,MIN(IF($HA34=0,999999,IF(1=$HB34,IF(3=$HJ34,IF($JC34=2,30,0),IF(3=$HK34,IF($JC34=1,30,0),ABS(3-$HC34)*100)),100000+ABS(1-$HB34)*1000+30)),IF($HD34=0,999999,IF(1=$HE34,IF(3=$HL34,IF($JD34=2,30,0),IF(3=$HM34,IF($JD34=1,30,0),ABS(3-$HF34)*100)),100000+ABS(1-$HE34)*1000+30)),IF($HG34=0,999999,IF(1=$HH34,IF(3=$HN34,IF($JE34=2,30,0),IF(3=$HO34,IF($JE34=1,30,0),ABS(3-$HI34)*100)),100000+ABS(1-$HH34)*1000+30)))-IF((3=$HJ34)+(3=$HK34)+(3=$HL34)+(3=$HM34)+(3=$HN34)+(3=$HO34)&gt;=2,50,0))+F$5*50)</f>
        <v/>
      </c>
      <c r="G154">
        <f>IF(OR($JF34=0,calcA!$A$6=0),0,IF(OR(4=$HA34,4=$HD34,4=$HG34),200000,MIN(IF($HA34=0,999999,IF(1=$HB34,IF(4=$HJ34,IF($JC34=2,30,0),IF(4=$HK34,IF($JC34=1,30,0),ABS(4-$HC34)*100)),100000+ABS(1-$HB34)*1000+40)),IF($HD34=0,999999,IF(1=$HE34,IF(4=$HL34,IF($JD34=2,30,0),IF(4=$HM34,IF($JD34=1,30,0),ABS(4-$HF34)*100)),100000+ABS(1-$HE34)*1000+40)),IF($HG34=0,999999,IF(1=$HH34,IF(4=$HN34,IF($JE34=2,30,0),IF(4=$HO34,IF($JE34=1,30,0),ABS(4-$HI34)*100)),100000+ABS(1-$HH34)*1000+40)))-IF((4=$HJ34)+(4=$HK34)+(4=$HL34)+(4=$HM34)+(4=$HN34)+(4=$HO34)&gt;=2,50,0))+G$5*50)</f>
        <v/>
      </c>
      <c r="H154">
        <f>IF(OR($JF34=0,calcA!$A$6=0),0,IF(OR(5=$HA34,5=$HD34,5=$HG34),200000,MIN(IF($HA34=0,999999,IF(1=$HB34,IF(5=$HJ34,IF($JC34=2,30,0),IF(5=$HK34,IF($JC34=1,30,0),ABS(5-$HC34)*100)),100000+ABS(1-$HB34)*1000+50)),IF($HD34=0,999999,IF(1=$HE34,IF(5=$HL34,IF($JD34=2,30,0),IF(5=$HM34,IF($JD34=1,30,0),ABS(5-$HF34)*100)),100000+ABS(1-$HE34)*1000+50)),IF($HG34=0,999999,IF(1=$HH34,IF(5=$HN34,IF($JE34=2,30,0),IF(5=$HO34,IF($JE34=1,30,0),ABS(5-$HI34)*100)),100000+ABS(1-$HH34)*1000+50)))-IF((5=$HJ34)+(5=$HK34)+(5=$HL34)+(5=$HM34)+(5=$HN34)+(5=$HO34)&gt;=2,50,0))+H$5*50)</f>
        <v/>
      </c>
      <c r="I154">
        <f>IF(OR($JF34=0,calcA!$A$6=0),0,IF(OR(6=$HA34,6=$HD34,6=$HG34),200000,MIN(IF($HA34=0,999999,IF(1=$HB34,IF(6=$HJ34,IF($JC34=2,30,0),IF(6=$HK34,IF($JC34=1,30,0),ABS(6-$HC34)*100)),100000+ABS(1-$HB34)*1000+60)),IF($HD34=0,999999,IF(1=$HE34,IF(6=$HL34,IF($JD34=2,30,0),IF(6=$HM34,IF($JD34=1,30,0),ABS(6-$HF34)*100)),100000+ABS(1-$HE34)*1000+60)),IF($HG34=0,999999,IF(1=$HH34,IF(6=$HN34,IF($JE34=2,30,0),IF(6=$HO34,IF($JE34=1,30,0),ABS(6-$HI34)*100)),100000+ABS(1-$HH34)*1000+60)))-IF((6=$HJ34)+(6=$HK34)+(6=$HL34)+(6=$HM34)+(6=$HN34)+(6=$HO34)&gt;=2,50,0))+I$5*50)</f>
        <v/>
      </c>
      <c r="J154">
        <f>IF(OR($JF34=0,calcA!$A$6=0),0,IF(OR(7=$HA34,7=$HD34,7=$HG34),200000,MIN(IF($HA34=0,999999,IF(1=$HB34,IF(7=$HJ34,IF($JC34=2,30,0),IF(7=$HK34,IF($JC34=1,30,0),ABS(7-$HC34)*100)),100000+ABS(1-$HB34)*1000+70)),IF($HD34=0,999999,IF(1=$HE34,IF(7=$HL34,IF($JD34=2,30,0),IF(7=$HM34,IF($JD34=1,30,0),ABS(7-$HF34)*100)),100000+ABS(1-$HE34)*1000+70)),IF($HG34=0,999999,IF(1=$HH34,IF(7=$HN34,IF($JE34=2,30,0),IF(7=$HO34,IF($JE34=1,30,0),ABS(7-$HI34)*100)),100000+ABS(1-$HH34)*1000+70)))-IF((7=$HJ34)+(7=$HK34)+(7=$HL34)+(7=$HM34)+(7=$HN34)+(7=$HO34)&gt;=2,50,0))+J$5*50)</f>
        <v/>
      </c>
      <c r="K154">
        <f>IF(OR($JF34=0,calcA!$A$6=0),0,IF(OR(8=$HA34,8=$HD34,8=$HG34),200000,MIN(IF($HA34=0,999999,IF(1=$HB34,IF(8=$HJ34,IF($JC34=2,30,0),IF(8=$HK34,IF($JC34=1,30,0),ABS(8-$HC34)*100)),100000+ABS(1-$HB34)*1000+80)),IF($HD34=0,999999,IF(1=$HE34,IF(8=$HL34,IF($JD34=2,30,0),IF(8=$HM34,IF($JD34=1,30,0),ABS(8-$HF34)*100)),100000+ABS(1-$HE34)*1000+80)),IF($HG34=0,999999,IF(1=$HH34,IF(8=$HN34,IF($JE34=2,30,0),IF(8=$HO34,IF($JE34=1,30,0),ABS(8-$HI34)*100)),100000+ABS(1-$HH34)*1000+80)))-IF((8=$HJ34)+(8=$HK34)+(8=$HL34)+(8=$HM34)+(8=$HN34)+(8=$HO34)&gt;=2,50,0))+K$5*50)</f>
        <v/>
      </c>
      <c r="L154">
        <f>IF(OR($JF34=0,calcA!$A$6=0),0,IF(OR(9=$HA34,9=$HD34,9=$HG34),200000,MIN(IF($HA34=0,999999,IF(1=$HB34,IF(9=$HJ34,IF($JC34=2,30,0),IF(9=$HK34,IF($JC34=1,30,0),ABS(9-$HC34)*100)),100000+ABS(1-$HB34)*1000+90)),IF($HD34=0,999999,IF(1=$HE34,IF(9=$HL34,IF($JD34=2,30,0),IF(9=$HM34,IF($JD34=1,30,0),ABS(9-$HF34)*100)),100000+ABS(1-$HE34)*1000+90)),IF($HG34=0,999999,IF(1=$HH34,IF(9=$HN34,IF($JE34=2,30,0),IF(9=$HO34,IF($JE34=1,30,0),ABS(9-$HI34)*100)),100000+ABS(1-$HH34)*1000+90)))-IF((9=$HJ34)+(9=$HK34)+(9=$HL34)+(9=$HM34)+(9=$HN34)+(9=$HO34)&gt;=2,50,0))+L$5*50)</f>
        <v/>
      </c>
      <c r="M154">
        <f>IF(OR($JF34=0,calcA!$A$6=0),0,IF(OR(10=$HA34,10=$HD34,10=$HG34),200000,MIN(IF($HA34=0,999999,IF(1=$HB34,IF(10=$HJ34,IF($JC34=2,30,0),IF(10=$HK34,IF($JC34=1,30,0),ABS(10-$HC34)*100)),100000+ABS(1-$HB34)*1000+100)),IF($HD34=0,999999,IF(1=$HE34,IF(10=$HL34,IF($JD34=2,30,0),IF(10=$HM34,IF($JD34=1,30,0),ABS(10-$HF34)*100)),100000+ABS(1-$HE34)*1000+100)),IF($HG34=0,999999,IF(1=$HH34,IF(10=$HN34,IF($JE34=2,30,0),IF(10=$HO34,IF($JE34=1,30,0),ABS(10-$HI34)*100)),100000+ABS(1-$HH34)*1000+100)))-IF((10=$HJ34)+(10=$HK34)+(10=$HL34)+(10=$HM34)+(10=$HN34)+(10=$HO34)&gt;=2,50,0))+M$5*50)</f>
        <v/>
      </c>
      <c r="N154">
        <f>IF(OR($JF34=0,calcA!$A$6=0),0,IF(OR(11=$HA34,11=$HD34,11=$HG34),200000,MIN(IF($HA34=0,999999,IF(1=$HB34,IF(11=$HJ34,IF($JC34=2,30,0),IF(11=$HK34,IF($JC34=1,30,0),ABS(11-$HC34)*100)),100000+ABS(1-$HB34)*1000+110)),IF($HD34=0,999999,IF(1=$HE34,IF(11=$HL34,IF($JD34=2,30,0),IF(11=$HM34,IF($JD34=1,30,0),ABS(11-$HF34)*100)),100000+ABS(1-$HE34)*1000+110)),IF($HG34=0,999999,IF(1=$HH34,IF(11=$HN34,IF($JE34=2,30,0),IF(11=$HO34,IF($JE34=1,30,0),ABS(11-$HI34)*100)),100000+ABS(1-$HH34)*1000+110)))-IF((11=$HJ34)+(11=$HK34)+(11=$HL34)+(11=$HM34)+(11=$HN34)+(11=$HO34)&gt;=2,50,0))+N$5*50)</f>
        <v/>
      </c>
      <c r="O154">
        <f>IF(OR($JF34=0,calcA!$A$6=0),0,IF(OR(12=$HA34,12=$HD34,12=$HG34),200000,MIN(IF($HA34=0,999999,IF(1=$HB34,IF(12=$HJ34,IF($JC34=2,30,0),IF(12=$HK34,IF($JC34=1,30,0),ABS(12-$HC34)*100)),100000+ABS(1-$HB34)*1000+120)),IF($HD34=0,999999,IF(1=$HE34,IF(12=$HL34,IF($JD34=2,30,0),IF(12=$HM34,IF($JD34=1,30,0),ABS(12-$HF34)*100)),100000+ABS(1-$HE34)*1000+120)),IF($HG34=0,999999,IF(1=$HH34,IF(12=$HN34,IF($JE34=2,30,0),IF(12=$HO34,IF($JE34=1,30,0),ABS(12-$HI34)*100)),100000+ABS(1-$HH34)*1000+120)))-IF((12=$HJ34)+(12=$HK34)+(12=$HL34)+(12=$HM34)+(12=$HN34)+(12=$HO34)&gt;=2,50,0))+O$5*50)</f>
        <v/>
      </c>
      <c r="P154">
        <f>IF(OR($JF34=0,calcA!$A$6=0),0,IF(OR(13=$HA34,13=$HD34,13=$HG34),200000,MIN(IF($HA34=0,999999,IF(1=$HB34,IF(13=$HJ34,IF($JC34=2,30,0),IF(13=$HK34,IF($JC34=1,30,0),ABS(13-$HC34)*100)),100000+ABS(1-$HB34)*1000+130)),IF($HD34=0,999999,IF(1=$HE34,IF(13=$HL34,IF($JD34=2,30,0),IF(13=$HM34,IF($JD34=1,30,0),ABS(13-$HF34)*100)),100000+ABS(1-$HE34)*1000+130)),IF($HG34=0,999999,IF(1=$HH34,IF(13=$HN34,IF($JE34=2,30,0),IF(13=$HO34,IF($JE34=1,30,0),ABS(13-$HI34)*100)),100000+ABS(1-$HH34)*1000+130)))-IF((13=$HJ34)+(13=$HK34)+(13=$HL34)+(13=$HM34)+(13=$HN34)+(13=$HO34)&gt;=2,50,0))+P$5*50)</f>
        <v/>
      </c>
      <c r="Q154">
        <f>IF(OR($JF34=0,calcA!$A$6=0),0,IF(OR(14=$HA34,14=$HD34,14=$HG34),200000,MIN(IF($HA34=0,999999,IF(1=$HB34,IF(14=$HJ34,IF($JC34=2,30,0),IF(14=$HK34,IF($JC34=1,30,0),ABS(14-$HC34)*100)),100000+ABS(1-$HB34)*1000+140)),IF($HD34=0,999999,IF(1=$HE34,IF(14=$HL34,IF($JD34=2,30,0),IF(14=$HM34,IF($JD34=1,30,0),ABS(14-$HF34)*100)),100000+ABS(1-$HE34)*1000+140)),IF($HG34=0,999999,IF(1=$HH34,IF(14=$HN34,IF($JE34=2,30,0),IF(14=$HO34,IF($JE34=1,30,0),ABS(14-$HI34)*100)),100000+ABS(1-$HH34)*1000+140)))-IF((14=$HJ34)+(14=$HK34)+(14=$HL34)+(14=$HM34)+(14=$HN34)+(14=$HO34)&gt;=2,50,0))+Q$5*50)</f>
        <v/>
      </c>
      <c r="R154">
        <f>IF(OR($JF34=0,calcA!$A$6=0),0,IF(OR(15=$HA34,15=$HD34,15=$HG34),200000,MIN(IF($HA34=0,999999,IF(1=$HB34,IF(15=$HJ34,IF($JC34=2,30,0),IF(15=$HK34,IF($JC34=1,30,0),ABS(15-$HC34)*100)),100000+ABS(1-$HB34)*1000+150)),IF($HD34=0,999999,IF(1=$HE34,IF(15=$HL34,IF($JD34=2,30,0),IF(15=$HM34,IF($JD34=1,30,0),ABS(15-$HF34)*100)),100000+ABS(1-$HE34)*1000+150)),IF($HG34=0,999999,IF(1=$HH34,IF(15=$HN34,IF($JE34=2,30,0),IF(15=$HO34,IF($JE34=1,30,0),ABS(15-$HI34)*100)),100000+ABS(1-$HH34)*1000+150)))-IF((15=$HJ34)+(15=$HK34)+(15=$HL34)+(15=$HM34)+(15=$HN34)+(15=$HO34)&gt;=2,50,0))+R$5*50)</f>
        <v/>
      </c>
      <c r="S154">
        <f>IF(OR($JF34=0,calcA!$A$6=0),0,IF(OR(16=$HA34,16=$HD34,16=$HG34),200000,MIN(IF($HA34=0,999999,IF(1=$HB34,IF(16=$HJ34,IF($JC34=2,30,0),IF(16=$HK34,IF($JC34=1,30,0),ABS(16-$HC34)*100)),100000+ABS(1-$HB34)*1000+160)),IF($HD34=0,999999,IF(1=$HE34,IF(16=$HL34,IF($JD34=2,30,0),IF(16=$HM34,IF($JD34=1,30,0),ABS(16-$HF34)*100)),100000+ABS(1-$HE34)*1000+160)),IF($HG34=0,999999,IF(1=$HH34,IF(16=$HN34,IF($JE34=2,30,0),IF(16=$HO34,IF($JE34=1,30,0),ABS(16-$HI34)*100)),100000+ABS(1-$HH34)*1000+160)))-IF((16=$HJ34)+(16=$HK34)+(16=$HL34)+(16=$HM34)+(16=$HN34)+(16=$HO34)&gt;=2,50,0))+S$5*50)</f>
        <v/>
      </c>
      <c r="T154">
        <f>IF(OR($JF34=0,calcA!$A$6=0),0,IF(OR(17=$HA34,17=$HD34,17=$HG34),200000,MIN(IF($HA34=0,999999,IF(1=$HB34,IF(17=$HJ34,IF($JC34=2,30,0),IF(17=$HK34,IF($JC34=1,30,0),ABS(17-$HC34)*100)),100000+ABS(1-$HB34)*1000+170)),IF($HD34=0,999999,IF(1=$HE34,IF(17=$HL34,IF($JD34=2,30,0),IF(17=$HM34,IF($JD34=1,30,0),ABS(17-$HF34)*100)),100000+ABS(1-$HE34)*1000+170)),IF($HG34=0,999999,IF(1=$HH34,IF(17=$HN34,IF($JE34=2,30,0),IF(17=$HO34,IF($JE34=1,30,0),ABS(17-$HI34)*100)),100000+ABS(1-$HH34)*1000+170)))-IF((17=$HJ34)+(17=$HK34)+(17=$HL34)+(17=$HM34)+(17=$HN34)+(17=$HO34)&gt;=2,50,0))+T$5*50)</f>
        <v/>
      </c>
      <c r="U154">
        <f>IF(OR($JF34=0,calcA!$A$6=0),0,IF(OR(18=$HA34,18=$HD34,18=$HG34),200000,MIN(IF($HA34=0,999999,IF(1=$HB34,IF(18=$HJ34,IF($JC34=2,30,0),IF(18=$HK34,IF($JC34=1,30,0),ABS(18-$HC34)*100)),100000+ABS(1-$HB34)*1000+180)),IF($HD34=0,999999,IF(1=$HE34,IF(18=$HL34,IF($JD34=2,30,0),IF(18=$HM34,IF($JD34=1,30,0),ABS(18-$HF34)*100)),100000+ABS(1-$HE34)*1000+180)),IF($HG34=0,999999,IF(1=$HH34,IF(18=$HN34,IF($JE34=2,30,0),IF(18=$HO34,IF($JE34=1,30,0),ABS(18-$HI34)*100)),100000+ABS(1-$HH34)*1000+180)))-IF((18=$HJ34)+(18=$HK34)+(18=$HL34)+(18=$HM34)+(18=$HN34)+(18=$HO34)&gt;=2,50,0))+U$5*50)</f>
        <v/>
      </c>
      <c r="V154">
        <f>IF(OR($JF34=0,calcA!$A$6=0),0,IF(OR(19=$HA34,19=$HD34,19=$HG34),200000,MIN(IF($HA34=0,999999,IF(1=$HB34,IF(19=$HJ34,IF($JC34=2,30,0),IF(19=$HK34,IF($JC34=1,30,0),ABS(19-$HC34)*100)),100000+ABS(1-$HB34)*1000+190)),IF($HD34=0,999999,IF(1=$HE34,IF(19=$HL34,IF($JD34=2,30,0),IF(19=$HM34,IF($JD34=1,30,0),ABS(19-$HF34)*100)),100000+ABS(1-$HE34)*1000+190)),IF($HG34=0,999999,IF(1=$HH34,IF(19=$HN34,IF($JE34=2,30,0),IF(19=$HO34,IF($JE34=1,30,0),ABS(19-$HI34)*100)),100000+ABS(1-$HH34)*1000+190)))-IF((19=$HJ34)+(19=$HK34)+(19=$HL34)+(19=$HM34)+(19=$HN34)+(19=$HO34)&gt;=2,50,0))+V$5*50)</f>
        <v/>
      </c>
      <c r="W154">
        <f>IF(OR($JF34=0,calcA!$A$6=0),0,IF(OR(20=$HA34,20=$HD34,20=$HG34),200000,MIN(IF($HA34=0,999999,IF(1=$HB34,IF(20=$HJ34,IF($JC34=2,30,0),IF(20=$HK34,IF($JC34=1,30,0),ABS(20-$HC34)*100)),100000+ABS(1-$HB34)*1000+200)),IF($HD34=0,999999,IF(1=$HE34,IF(20=$HL34,IF($JD34=2,30,0),IF(20=$HM34,IF($JD34=1,30,0),ABS(20-$HF34)*100)),100000+ABS(1-$HE34)*1000+200)),IF($HG34=0,999999,IF(1=$HH34,IF(20=$HN34,IF($JE34=2,30,0),IF(20=$HO34,IF($JE34=1,30,0),ABS(20-$HI34)*100)),100000+ABS(1-$HH34)*1000+200)))-IF((20=$HJ34)+(20=$HK34)+(20=$HL34)+(20=$HM34)+(20=$HN34)+(20=$HO34)&gt;=2,50,0))+W$5*50)</f>
        <v/>
      </c>
      <c r="X154">
        <f>IF(OR($JF34=0,calcA!$A$6=0),0,IF(OR(21=$HA34,21=$HD34,21=$HG34),200000,MIN(IF($HA34=0,999999,IF(1=$HB34,IF(21=$HJ34,IF($JC34=2,30,0),IF(21=$HK34,IF($JC34=1,30,0),ABS(21-$HC34)*100)),100000+ABS(1-$HB34)*1000+210)),IF($HD34=0,999999,IF(1=$HE34,IF(21=$HL34,IF($JD34=2,30,0),IF(21=$HM34,IF($JD34=1,30,0),ABS(21-$HF34)*100)),100000+ABS(1-$HE34)*1000+210)),IF($HG34=0,999999,IF(1=$HH34,IF(21=$HN34,IF($JE34=2,30,0),IF(21=$HO34,IF($JE34=1,30,0),ABS(21-$HI34)*100)),100000+ABS(1-$HH34)*1000+210)))-IF((21=$HJ34)+(21=$HK34)+(21=$HL34)+(21=$HM34)+(21=$HN34)+(21=$HO34)&gt;=2,50,0))+X$5*50)</f>
        <v/>
      </c>
      <c r="Y154">
        <f>IF(OR($JF34=0,calcA!$A$6=0),0,IF(OR(22=$HA34,22=$HD34,22=$HG34),200000,MIN(IF($HA34=0,999999,IF(1=$HB34,IF(22=$HJ34,IF($JC34=2,30,0),IF(22=$HK34,IF($JC34=1,30,0),ABS(22-$HC34)*100)),100000+ABS(1-$HB34)*1000+220)),IF($HD34=0,999999,IF(1=$HE34,IF(22=$HL34,IF($JD34=2,30,0),IF(22=$HM34,IF($JD34=1,30,0),ABS(22-$HF34)*100)),100000+ABS(1-$HE34)*1000+220)),IF($HG34=0,999999,IF(1=$HH34,IF(22=$HN34,IF($JE34=2,30,0),IF(22=$HO34,IF($JE34=1,30,0),ABS(22-$HI34)*100)),100000+ABS(1-$HH34)*1000+220)))-IF((22=$HJ34)+(22=$HK34)+(22=$HL34)+(22=$HM34)+(22=$HN34)+(22=$HO34)&gt;=2,50,0))+Y$5*50)</f>
        <v/>
      </c>
      <c r="Z154">
        <f>IF(OR($JF34=0,calcA!$A$6=0),0,IF(OR(23=$HA34,23=$HD34,23=$HG34),200000,MIN(IF($HA34=0,999999,IF(1=$HB34,IF(23=$HJ34,IF($JC34=2,30,0),IF(23=$HK34,IF($JC34=1,30,0),ABS(23-$HC34)*100)),100000+ABS(1-$HB34)*1000+230)),IF($HD34=0,999999,IF(1=$HE34,IF(23=$HL34,IF($JD34=2,30,0),IF(23=$HM34,IF($JD34=1,30,0),ABS(23-$HF34)*100)),100000+ABS(1-$HE34)*1000+230)),IF($HG34=0,999999,IF(1=$HH34,IF(23=$HN34,IF($JE34=2,30,0),IF(23=$HO34,IF($JE34=1,30,0),ABS(23-$HI34)*100)),100000+ABS(1-$HH34)*1000+230)))-IF((23=$HJ34)+(23=$HK34)+(23=$HL34)+(23=$HM34)+(23=$HN34)+(23=$HO34)&gt;=2,50,0))+Z$5*50)</f>
        <v/>
      </c>
      <c r="AA154">
        <f>IF(OR($JF34=0,calcA!$A$6=0),0,IF(OR(24=$HA34,24=$HD34,24=$HG34),200000,MIN(IF($HA34=0,999999,IF(1=$HB34,IF(24=$HJ34,IF($JC34=2,30,0),IF(24=$HK34,IF($JC34=1,30,0),ABS(24-$HC34)*100)),100000+ABS(1-$HB34)*1000+240)),IF($HD34=0,999999,IF(1=$HE34,IF(24=$HL34,IF($JD34=2,30,0),IF(24=$HM34,IF($JD34=1,30,0),ABS(24-$HF34)*100)),100000+ABS(1-$HE34)*1000+240)),IF($HG34=0,999999,IF(1=$HH34,IF(24=$HN34,IF($JE34=2,30,0),IF(24=$HO34,IF($JE34=1,30,0),ABS(24-$HI34)*100)),100000+ABS(1-$HH34)*1000+240)))-IF((24=$HJ34)+(24=$HK34)+(24=$HL34)+(24=$HM34)+(24=$HN34)+(24=$HO34)&gt;=2,50,0))+AA$5*50)</f>
        <v/>
      </c>
      <c r="AB154">
        <f>IF(OR($JF34=0,calcA!$A$6=0),0,IF(OR(25=$HA34,25=$HD34,25=$HG34),200000,MIN(IF($HA34=0,999999,IF(2=$HB34,IF(25=$HJ34,IF($JC34=2,30,0),IF(25=$HK34,IF($JC34=1,30,0),ABS(1-$HC34)*100)),100000+ABS(2-$HB34)*1000+10)),IF($HD34=0,999999,IF(2=$HE34,IF(25=$HL34,IF($JD34=2,30,0),IF(25=$HM34,IF($JD34=1,30,0),ABS(1-$HF34)*100)),100000+ABS(2-$HE34)*1000+10)),IF($HG34=0,999999,IF(2=$HH34,IF(25=$HN34,IF($JE34=2,30,0),IF(25=$HO34,IF($JE34=1,30,0),ABS(1-$HI34)*100)),100000+ABS(2-$HH34)*1000+10)))-IF((25=$HJ34)+(25=$HK34)+(25=$HL34)+(25=$HM34)+(25=$HN34)+(25=$HO34)&gt;=2,50,0))+AB$5*50)</f>
        <v/>
      </c>
      <c r="AC154">
        <f>IF(OR($JF34=0,calcA!$A$6=0),0,IF(OR(26=$HA34,26=$HD34,26=$HG34),200000,MIN(IF($HA34=0,999999,IF(2=$HB34,IF(26=$HJ34,IF($JC34=2,30,0),IF(26=$HK34,IF($JC34=1,30,0),ABS(2-$HC34)*100)),100000+ABS(2-$HB34)*1000+20)),IF($HD34=0,999999,IF(2=$HE34,IF(26=$HL34,IF($JD34=2,30,0),IF(26=$HM34,IF($JD34=1,30,0),ABS(2-$HF34)*100)),100000+ABS(2-$HE34)*1000+20)),IF($HG34=0,999999,IF(2=$HH34,IF(26=$HN34,IF($JE34=2,30,0),IF(26=$HO34,IF($JE34=1,30,0),ABS(2-$HI34)*100)),100000+ABS(2-$HH34)*1000+20)))-IF((26=$HJ34)+(26=$HK34)+(26=$HL34)+(26=$HM34)+(26=$HN34)+(26=$HO34)&gt;=2,50,0))+AC$5*50)</f>
        <v/>
      </c>
      <c r="AD154">
        <f>IF(OR($JF34=0,calcA!$A$6=0),0,IF(OR(27=$HA34,27=$HD34,27=$HG34),200000,MIN(IF($HA34=0,999999,IF(2=$HB34,IF(27=$HJ34,IF($JC34=2,30,0),IF(27=$HK34,IF($JC34=1,30,0),ABS(3-$HC34)*100)),100000+ABS(2-$HB34)*1000+30)),IF($HD34=0,999999,IF(2=$HE34,IF(27=$HL34,IF($JD34=2,30,0),IF(27=$HM34,IF($JD34=1,30,0),ABS(3-$HF34)*100)),100000+ABS(2-$HE34)*1000+30)),IF($HG34=0,999999,IF(2=$HH34,IF(27=$HN34,IF($JE34=2,30,0),IF(27=$HO34,IF($JE34=1,30,0),ABS(3-$HI34)*100)),100000+ABS(2-$HH34)*1000+30)))-IF((27=$HJ34)+(27=$HK34)+(27=$HL34)+(27=$HM34)+(27=$HN34)+(27=$HO34)&gt;=2,50,0))+AD$5*50)</f>
        <v/>
      </c>
      <c r="AE154">
        <f>IF(OR($JF34=0,calcA!$A$6=0),0,IF(OR(28=$HA34,28=$HD34,28=$HG34),200000,MIN(IF($HA34=0,999999,IF(2=$HB34,IF(28=$HJ34,IF($JC34=2,30,0),IF(28=$HK34,IF($JC34=1,30,0),ABS(4-$HC34)*100)),100000+ABS(2-$HB34)*1000+40)),IF($HD34=0,999999,IF(2=$HE34,IF(28=$HL34,IF($JD34=2,30,0),IF(28=$HM34,IF($JD34=1,30,0),ABS(4-$HF34)*100)),100000+ABS(2-$HE34)*1000+40)),IF($HG34=0,999999,IF(2=$HH34,IF(28=$HN34,IF($JE34=2,30,0),IF(28=$HO34,IF($JE34=1,30,0),ABS(4-$HI34)*100)),100000+ABS(2-$HH34)*1000+40)))-IF((28=$HJ34)+(28=$HK34)+(28=$HL34)+(28=$HM34)+(28=$HN34)+(28=$HO34)&gt;=2,50,0))+AE$5*50)</f>
        <v/>
      </c>
      <c r="AF154">
        <f>IF(OR($JF34=0,calcA!$A$6=0),0,IF(OR(29=$HA34,29=$HD34,29=$HG34),200000,MIN(IF($HA34=0,999999,IF(2=$HB34,IF(29=$HJ34,IF($JC34=2,30,0),IF(29=$HK34,IF($JC34=1,30,0),ABS(5-$HC34)*100)),100000+ABS(2-$HB34)*1000+50)),IF($HD34=0,999999,IF(2=$HE34,IF(29=$HL34,IF($JD34=2,30,0),IF(29=$HM34,IF($JD34=1,30,0),ABS(5-$HF34)*100)),100000+ABS(2-$HE34)*1000+50)),IF($HG34=0,999999,IF(2=$HH34,IF(29=$HN34,IF($JE34=2,30,0),IF(29=$HO34,IF($JE34=1,30,0),ABS(5-$HI34)*100)),100000+ABS(2-$HH34)*1000+50)))-IF((29=$HJ34)+(29=$HK34)+(29=$HL34)+(29=$HM34)+(29=$HN34)+(29=$HO34)&gt;=2,50,0))+AF$5*50)</f>
        <v/>
      </c>
      <c r="AG154">
        <f>IF(OR($JF34=0,calcA!$A$6=0),0,IF(OR(30=$HA34,30=$HD34,30=$HG34),200000,MIN(IF($HA34=0,999999,IF(2=$HB34,IF(30=$HJ34,IF($JC34=2,30,0),IF(30=$HK34,IF($JC34=1,30,0),ABS(6-$HC34)*100)),100000+ABS(2-$HB34)*1000+60)),IF($HD34=0,999999,IF(2=$HE34,IF(30=$HL34,IF($JD34=2,30,0),IF(30=$HM34,IF($JD34=1,30,0),ABS(6-$HF34)*100)),100000+ABS(2-$HE34)*1000+60)),IF($HG34=0,999999,IF(2=$HH34,IF(30=$HN34,IF($JE34=2,30,0),IF(30=$HO34,IF($JE34=1,30,0),ABS(6-$HI34)*100)),100000+ABS(2-$HH34)*1000+60)))-IF((30=$HJ34)+(30=$HK34)+(30=$HL34)+(30=$HM34)+(30=$HN34)+(30=$HO34)&gt;=2,50,0))+AG$5*50)</f>
        <v/>
      </c>
      <c r="AH154">
        <f>IF(OR($JF34=0,calcA!$A$6=0),0,IF(OR(31=$HA34,31=$HD34,31=$HG34),200000,MIN(IF($HA34=0,999999,IF(2=$HB34,IF(31=$HJ34,IF($JC34=2,30,0),IF(31=$HK34,IF($JC34=1,30,0),ABS(7-$HC34)*100)),100000+ABS(2-$HB34)*1000+70)),IF($HD34=0,999999,IF(2=$HE34,IF(31=$HL34,IF($JD34=2,30,0),IF(31=$HM34,IF($JD34=1,30,0),ABS(7-$HF34)*100)),100000+ABS(2-$HE34)*1000+70)),IF($HG34=0,999999,IF(2=$HH34,IF(31=$HN34,IF($JE34=2,30,0),IF(31=$HO34,IF($JE34=1,30,0),ABS(7-$HI34)*100)),100000+ABS(2-$HH34)*1000+70)))-IF((31=$HJ34)+(31=$HK34)+(31=$HL34)+(31=$HM34)+(31=$HN34)+(31=$HO34)&gt;=2,50,0))+AH$5*50)</f>
        <v/>
      </c>
      <c r="AI154">
        <f>IF(OR($JF34=0,calcA!$A$6=0),0,IF(OR(32=$HA34,32=$HD34,32=$HG34),200000,MIN(IF($HA34=0,999999,IF(2=$HB34,IF(32=$HJ34,IF($JC34=2,30,0),IF(32=$HK34,IF($JC34=1,30,0),ABS(8-$HC34)*100)),100000+ABS(2-$HB34)*1000+80)),IF($HD34=0,999999,IF(2=$HE34,IF(32=$HL34,IF($JD34=2,30,0),IF(32=$HM34,IF($JD34=1,30,0),ABS(8-$HF34)*100)),100000+ABS(2-$HE34)*1000+80)),IF($HG34=0,999999,IF(2=$HH34,IF(32=$HN34,IF($JE34=2,30,0),IF(32=$HO34,IF($JE34=1,30,0),ABS(8-$HI34)*100)),100000+ABS(2-$HH34)*1000+80)))-IF((32=$HJ34)+(32=$HK34)+(32=$HL34)+(32=$HM34)+(32=$HN34)+(32=$HO34)&gt;=2,50,0))+AI$5*50)</f>
        <v/>
      </c>
      <c r="AJ154">
        <f>IF(OR($JF34=0,calcA!$A$6=0),0,IF(OR(33=$HA34,33=$HD34,33=$HG34),200000,MIN(IF($HA34=0,999999,IF(2=$HB34,IF(33=$HJ34,IF($JC34=2,30,0),IF(33=$HK34,IF($JC34=1,30,0),ABS(9-$HC34)*100)),100000+ABS(2-$HB34)*1000+90)),IF($HD34=0,999999,IF(2=$HE34,IF(33=$HL34,IF($JD34=2,30,0),IF(33=$HM34,IF($JD34=1,30,0),ABS(9-$HF34)*100)),100000+ABS(2-$HE34)*1000+90)),IF($HG34=0,999999,IF(2=$HH34,IF(33=$HN34,IF($JE34=2,30,0),IF(33=$HO34,IF($JE34=1,30,0),ABS(9-$HI34)*100)),100000+ABS(2-$HH34)*1000+90)))-IF((33=$HJ34)+(33=$HK34)+(33=$HL34)+(33=$HM34)+(33=$HN34)+(33=$HO34)&gt;=2,50,0))+AJ$5*50)</f>
        <v/>
      </c>
      <c r="AK154">
        <f>IF(OR($JF34=0,calcA!$A$6=0),0,IF(OR(34=$HA34,34=$HD34,34=$HG34),200000,MIN(IF($HA34=0,999999,IF(2=$HB34,IF(34=$HJ34,IF($JC34=2,30,0),IF(34=$HK34,IF($JC34=1,30,0),ABS(10-$HC34)*100)),100000+ABS(2-$HB34)*1000+100)),IF($HD34=0,999999,IF(2=$HE34,IF(34=$HL34,IF($JD34=2,30,0),IF(34=$HM34,IF($JD34=1,30,0),ABS(10-$HF34)*100)),100000+ABS(2-$HE34)*1000+100)),IF($HG34=0,999999,IF(2=$HH34,IF(34=$HN34,IF($JE34=2,30,0),IF(34=$HO34,IF($JE34=1,30,0),ABS(10-$HI34)*100)),100000+ABS(2-$HH34)*1000+100)))-IF((34=$HJ34)+(34=$HK34)+(34=$HL34)+(34=$HM34)+(34=$HN34)+(34=$HO34)&gt;=2,50,0))+AK$5*50)</f>
        <v/>
      </c>
      <c r="AL154">
        <f>IF(OR($JF34=0,calcA!$A$6=0),0,IF(OR(35=$HA34,35=$HD34,35=$HG34),200000,MIN(IF($HA34=0,999999,IF(2=$HB34,IF(35=$HJ34,IF($JC34=2,30,0),IF(35=$HK34,IF($JC34=1,30,0),ABS(11-$HC34)*100)),100000+ABS(2-$HB34)*1000+110)),IF($HD34=0,999999,IF(2=$HE34,IF(35=$HL34,IF($JD34=2,30,0),IF(35=$HM34,IF($JD34=1,30,0),ABS(11-$HF34)*100)),100000+ABS(2-$HE34)*1000+110)),IF($HG34=0,999999,IF(2=$HH34,IF(35=$HN34,IF($JE34=2,30,0),IF(35=$HO34,IF($JE34=1,30,0),ABS(11-$HI34)*100)),100000+ABS(2-$HH34)*1000+110)))-IF((35=$HJ34)+(35=$HK34)+(35=$HL34)+(35=$HM34)+(35=$HN34)+(35=$HO34)&gt;=2,50,0))+AL$5*50)</f>
        <v/>
      </c>
      <c r="AM154">
        <f>IF(OR($JF34=0,calcA!$A$6=0),0,IF(OR(36=$HA34,36=$HD34,36=$HG34),200000,MIN(IF($HA34=0,999999,IF(2=$HB34,IF(36=$HJ34,IF($JC34=2,30,0),IF(36=$HK34,IF($JC34=1,30,0),ABS(12-$HC34)*100)),100000+ABS(2-$HB34)*1000+120)),IF($HD34=0,999999,IF(2=$HE34,IF(36=$HL34,IF($JD34=2,30,0),IF(36=$HM34,IF($JD34=1,30,0),ABS(12-$HF34)*100)),100000+ABS(2-$HE34)*1000+120)),IF($HG34=0,999999,IF(2=$HH34,IF(36=$HN34,IF($JE34=2,30,0),IF(36=$HO34,IF($JE34=1,30,0),ABS(12-$HI34)*100)),100000+ABS(2-$HH34)*1000+120)))-IF((36=$HJ34)+(36=$HK34)+(36=$HL34)+(36=$HM34)+(36=$HN34)+(36=$HO34)&gt;=2,50,0))+AM$5*50)</f>
        <v/>
      </c>
      <c r="AN154">
        <f>IF(OR($JF34=0,calcA!$A$6=0),0,IF(OR(37=$HA34,37=$HD34,37=$HG34),200000,MIN(IF($HA34=0,999999,IF(2=$HB34,IF(37=$HJ34,IF($JC34=2,30,0),IF(37=$HK34,IF($JC34=1,30,0),ABS(13-$HC34)*100)),100000+ABS(2-$HB34)*1000+130)),IF($HD34=0,999999,IF(2=$HE34,IF(37=$HL34,IF($JD34=2,30,0),IF(37=$HM34,IF($JD34=1,30,0),ABS(13-$HF34)*100)),100000+ABS(2-$HE34)*1000+130)),IF($HG34=0,999999,IF(2=$HH34,IF(37=$HN34,IF($JE34=2,30,0),IF(37=$HO34,IF($JE34=1,30,0),ABS(13-$HI34)*100)),100000+ABS(2-$HH34)*1000+130)))-IF((37=$HJ34)+(37=$HK34)+(37=$HL34)+(37=$HM34)+(37=$HN34)+(37=$HO34)&gt;=2,50,0))+AN$5*50)</f>
        <v/>
      </c>
      <c r="AO154">
        <f>IF(OR($JF34=0,calcA!$A$6=0),0,IF(OR(38=$HA34,38=$HD34,38=$HG34),200000,MIN(IF($HA34=0,999999,IF(2=$HB34,IF(38=$HJ34,IF($JC34=2,30,0),IF(38=$HK34,IF($JC34=1,30,0),ABS(14-$HC34)*100)),100000+ABS(2-$HB34)*1000+140)),IF($HD34=0,999999,IF(2=$HE34,IF(38=$HL34,IF($JD34=2,30,0),IF(38=$HM34,IF($JD34=1,30,0),ABS(14-$HF34)*100)),100000+ABS(2-$HE34)*1000+140)),IF($HG34=0,999999,IF(2=$HH34,IF(38=$HN34,IF($JE34=2,30,0),IF(38=$HO34,IF($JE34=1,30,0),ABS(14-$HI34)*100)),100000+ABS(2-$HH34)*1000+140)))-IF((38=$HJ34)+(38=$HK34)+(38=$HL34)+(38=$HM34)+(38=$HN34)+(38=$HO34)&gt;=2,50,0))+AO$5*50)</f>
        <v/>
      </c>
      <c r="AP154">
        <f>IF(OR($JF34=0,calcA!$A$6=0),0,IF(OR(39=$HA34,39=$HD34,39=$HG34),200000,MIN(IF($HA34=0,999999,IF(2=$HB34,IF(39=$HJ34,IF($JC34=2,30,0),IF(39=$HK34,IF($JC34=1,30,0),ABS(15-$HC34)*100)),100000+ABS(2-$HB34)*1000+150)),IF($HD34=0,999999,IF(2=$HE34,IF(39=$HL34,IF($JD34=2,30,0),IF(39=$HM34,IF($JD34=1,30,0),ABS(15-$HF34)*100)),100000+ABS(2-$HE34)*1000+150)),IF($HG34=0,999999,IF(2=$HH34,IF(39=$HN34,IF($JE34=2,30,0),IF(39=$HO34,IF($JE34=1,30,0),ABS(15-$HI34)*100)),100000+ABS(2-$HH34)*1000+150)))-IF((39=$HJ34)+(39=$HK34)+(39=$HL34)+(39=$HM34)+(39=$HN34)+(39=$HO34)&gt;=2,50,0))+AP$5*50)</f>
        <v/>
      </c>
      <c r="AQ154">
        <f>IF(OR($JF34=0,calcA!$A$6=0),0,IF(OR(40=$HA34,40=$HD34,40=$HG34),200000,MIN(IF($HA34=0,999999,IF(2=$HB34,IF(40=$HJ34,IF($JC34=2,30,0),IF(40=$HK34,IF($JC34=1,30,0),ABS(16-$HC34)*100)),100000+ABS(2-$HB34)*1000+160)),IF($HD34=0,999999,IF(2=$HE34,IF(40=$HL34,IF($JD34=2,30,0),IF(40=$HM34,IF($JD34=1,30,0),ABS(16-$HF34)*100)),100000+ABS(2-$HE34)*1000+160)),IF($HG34=0,999999,IF(2=$HH34,IF(40=$HN34,IF($JE34=2,30,0),IF(40=$HO34,IF($JE34=1,30,0),ABS(16-$HI34)*100)),100000+ABS(2-$HH34)*1000+160)))-IF((40=$HJ34)+(40=$HK34)+(40=$HL34)+(40=$HM34)+(40=$HN34)+(40=$HO34)&gt;=2,50,0))+AQ$5*50)</f>
        <v/>
      </c>
      <c r="AR154">
        <f>IF(OR($JF34=0,calcA!$A$6=0),0,IF(OR(41=$HA34,41=$HD34,41=$HG34),200000,MIN(IF($HA34=0,999999,IF(2=$HB34,IF(41=$HJ34,IF($JC34=2,30,0),IF(41=$HK34,IF($JC34=1,30,0),ABS(17-$HC34)*100)),100000+ABS(2-$HB34)*1000+170)),IF($HD34=0,999999,IF(2=$HE34,IF(41=$HL34,IF($JD34=2,30,0),IF(41=$HM34,IF($JD34=1,30,0),ABS(17-$HF34)*100)),100000+ABS(2-$HE34)*1000+170)),IF($HG34=0,999999,IF(2=$HH34,IF(41=$HN34,IF($JE34=2,30,0),IF(41=$HO34,IF($JE34=1,30,0),ABS(17-$HI34)*100)),100000+ABS(2-$HH34)*1000+170)))-IF((41=$HJ34)+(41=$HK34)+(41=$HL34)+(41=$HM34)+(41=$HN34)+(41=$HO34)&gt;=2,50,0))+AR$5*50)</f>
        <v/>
      </c>
      <c r="AS154">
        <f>IF(OR($JF34=0,calcA!$A$6=0),0,IF(OR(42=$HA34,42=$HD34,42=$HG34),200000,MIN(IF($HA34=0,999999,IF(2=$HB34,IF(42=$HJ34,IF($JC34=2,30,0),IF(42=$HK34,IF($JC34=1,30,0),ABS(18-$HC34)*100)),100000+ABS(2-$HB34)*1000+180)),IF($HD34=0,999999,IF(2=$HE34,IF(42=$HL34,IF($JD34=2,30,0),IF(42=$HM34,IF($JD34=1,30,0),ABS(18-$HF34)*100)),100000+ABS(2-$HE34)*1000+180)),IF($HG34=0,999999,IF(2=$HH34,IF(42=$HN34,IF($JE34=2,30,0),IF(42=$HO34,IF($JE34=1,30,0),ABS(18-$HI34)*100)),100000+ABS(2-$HH34)*1000+180)))-IF((42=$HJ34)+(42=$HK34)+(42=$HL34)+(42=$HM34)+(42=$HN34)+(42=$HO34)&gt;=2,50,0))+AS$5*50)</f>
        <v/>
      </c>
      <c r="AT154">
        <f>IF(OR($JF34=0,calcA!$A$6=0),0,IF(OR(43=$HA34,43=$HD34,43=$HG34),200000,MIN(IF($HA34=0,999999,IF(2=$HB34,IF(43=$HJ34,IF($JC34=2,30,0),IF(43=$HK34,IF($JC34=1,30,0),ABS(19-$HC34)*100)),100000+ABS(2-$HB34)*1000+190)),IF($HD34=0,999999,IF(2=$HE34,IF(43=$HL34,IF($JD34=2,30,0),IF(43=$HM34,IF($JD34=1,30,0),ABS(19-$HF34)*100)),100000+ABS(2-$HE34)*1000+190)),IF($HG34=0,999999,IF(2=$HH34,IF(43=$HN34,IF($JE34=2,30,0),IF(43=$HO34,IF($JE34=1,30,0),ABS(19-$HI34)*100)),100000+ABS(2-$HH34)*1000+190)))-IF((43=$HJ34)+(43=$HK34)+(43=$HL34)+(43=$HM34)+(43=$HN34)+(43=$HO34)&gt;=2,50,0))+AT$5*50)</f>
        <v/>
      </c>
      <c r="AU154">
        <f>IF(OR($JF34=0,calcA!$A$6=0),0,IF(OR(44=$HA34,44=$HD34,44=$HG34),200000,MIN(IF($HA34=0,999999,IF(2=$HB34,IF(44=$HJ34,IF($JC34=2,30,0),IF(44=$HK34,IF($JC34=1,30,0),ABS(20-$HC34)*100)),100000+ABS(2-$HB34)*1000+200)),IF($HD34=0,999999,IF(2=$HE34,IF(44=$HL34,IF($JD34=2,30,0),IF(44=$HM34,IF($JD34=1,30,0),ABS(20-$HF34)*100)),100000+ABS(2-$HE34)*1000+200)),IF($HG34=0,999999,IF(2=$HH34,IF(44=$HN34,IF($JE34=2,30,0),IF(44=$HO34,IF($JE34=1,30,0),ABS(20-$HI34)*100)),100000+ABS(2-$HH34)*1000+200)))-IF((44=$HJ34)+(44=$HK34)+(44=$HL34)+(44=$HM34)+(44=$HN34)+(44=$HO34)&gt;=2,50,0))+AU$5*50)</f>
        <v/>
      </c>
      <c r="AV154">
        <f>IF(OR($JF34=0,calcA!$A$6=0),0,IF(OR(45=$HA34,45=$HD34,45=$HG34),200000,MIN(IF($HA34=0,999999,IF(2=$HB34,IF(45=$HJ34,IF($JC34=2,30,0),IF(45=$HK34,IF($JC34=1,30,0),ABS(21-$HC34)*100)),100000+ABS(2-$HB34)*1000+210)),IF($HD34=0,999999,IF(2=$HE34,IF(45=$HL34,IF($JD34=2,30,0),IF(45=$HM34,IF($JD34=1,30,0),ABS(21-$HF34)*100)),100000+ABS(2-$HE34)*1000+210)),IF($HG34=0,999999,IF(2=$HH34,IF(45=$HN34,IF($JE34=2,30,0),IF(45=$HO34,IF($JE34=1,30,0),ABS(21-$HI34)*100)),100000+ABS(2-$HH34)*1000+210)))-IF((45=$HJ34)+(45=$HK34)+(45=$HL34)+(45=$HM34)+(45=$HN34)+(45=$HO34)&gt;=2,50,0))+AV$5*50)</f>
        <v/>
      </c>
      <c r="AW154">
        <f>IF(OR($JF34=0,calcA!$A$6=0),0,IF(OR(46=$HA34,46=$HD34,46=$HG34),200000,MIN(IF($HA34=0,999999,IF(2=$HB34,IF(46=$HJ34,IF($JC34=2,30,0),IF(46=$HK34,IF($JC34=1,30,0),ABS(22-$HC34)*100)),100000+ABS(2-$HB34)*1000+220)),IF($HD34=0,999999,IF(2=$HE34,IF(46=$HL34,IF($JD34=2,30,0),IF(46=$HM34,IF($JD34=1,30,0),ABS(22-$HF34)*100)),100000+ABS(2-$HE34)*1000+220)),IF($HG34=0,999999,IF(2=$HH34,IF(46=$HN34,IF($JE34=2,30,0),IF(46=$HO34,IF($JE34=1,30,0),ABS(22-$HI34)*100)),100000+ABS(2-$HH34)*1000+220)))-IF((46=$HJ34)+(46=$HK34)+(46=$HL34)+(46=$HM34)+(46=$HN34)+(46=$HO34)&gt;=2,50,0))+AW$5*50)</f>
        <v/>
      </c>
      <c r="AX154">
        <f>IF(OR($JF34=0,calcA!$A$6=0),0,IF(OR(47=$HA34,47=$HD34,47=$HG34),200000,MIN(IF($HA34=0,999999,IF(2=$HB34,IF(47=$HJ34,IF($JC34=2,30,0),IF(47=$HK34,IF($JC34=1,30,0),ABS(23-$HC34)*100)),100000+ABS(2-$HB34)*1000+230)),IF($HD34=0,999999,IF(2=$HE34,IF(47=$HL34,IF($JD34=2,30,0),IF(47=$HM34,IF($JD34=1,30,0),ABS(23-$HF34)*100)),100000+ABS(2-$HE34)*1000+230)),IF($HG34=0,999999,IF(2=$HH34,IF(47=$HN34,IF($JE34=2,30,0),IF(47=$HO34,IF($JE34=1,30,0),ABS(23-$HI34)*100)),100000+ABS(2-$HH34)*1000+230)))-IF((47=$HJ34)+(47=$HK34)+(47=$HL34)+(47=$HM34)+(47=$HN34)+(47=$HO34)&gt;=2,50,0))+AX$5*50)</f>
        <v/>
      </c>
      <c r="AY154">
        <f>IF(OR($JF34=0,calcA!$A$6=0),0,IF(OR(48=$HA34,48=$HD34,48=$HG34),200000,MIN(IF($HA34=0,999999,IF(2=$HB34,IF(48=$HJ34,IF($JC34=2,30,0),IF(48=$HK34,IF($JC34=1,30,0),ABS(24-$HC34)*100)),100000+ABS(2-$HB34)*1000+240)),IF($HD34=0,999999,IF(2=$HE34,IF(48=$HL34,IF($JD34=2,30,0),IF(48=$HM34,IF($JD34=1,30,0),ABS(24-$HF34)*100)),100000+ABS(2-$HE34)*1000+240)),IF($HG34=0,999999,IF(2=$HH34,IF(48=$HN34,IF($JE34=2,30,0),IF(48=$HO34,IF($JE34=1,30,0),ABS(24-$HI34)*100)),100000+ABS(2-$HH34)*1000+240)))-IF((48=$HJ34)+(48=$HK34)+(48=$HL34)+(48=$HM34)+(48=$HN34)+(48=$HO34)&gt;=2,50,0))+AY$5*50)</f>
        <v/>
      </c>
      <c r="AZ154">
        <f>IF(OR($JF34=0,calcA!$A$6=0),0,IF(OR(49=$HA34,49=$HD34,49=$HG34),200000,MIN(IF($HA34=0,999999,IF(3=$HB34,IF(49=$HJ34,IF($JC34=2,30,0),IF(49=$HK34,IF($JC34=1,30,0),ABS(1-$HC34)*100)),100000+ABS(3-$HB34)*1000+10)),IF($HD34=0,999999,IF(3=$HE34,IF(49=$HL34,IF($JD34=2,30,0),IF(49=$HM34,IF($JD34=1,30,0),ABS(1-$HF34)*100)),100000+ABS(3-$HE34)*1000+10)),IF($HG34=0,999999,IF(3=$HH34,IF(49=$HN34,IF($JE34=2,30,0),IF(49=$HO34,IF($JE34=1,30,0),ABS(1-$HI34)*100)),100000+ABS(3-$HH34)*1000+10)))-IF((49=$HJ34)+(49=$HK34)+(49=$HL34)+(49=$HM34)+(49=$HN34)+(49=$HO34)&gt;=2,50,0))+AZ$5*50)</f>
        <v/>
      </c>
      <c r="BA154">
        <f>IF(OR($JF34=0,calcA!$A$6=0),0,IF(OR(50=$HA34,50=$HD34,50=$HG34),200000,MIN(IF($HA34=0,999999,IF(3=$HB34,IF(50=$HJ34,IF($JC34=2,30,0),IF(50=$HK34,IF($JC34=1,30,0),ABS(2-$HC34)*100)),100000+ABS(3-$HB34)*1000+20)),IF($HD34=0,999999,IF(3=$HE34,IF(50=$HL34,IF($JD34=2,30,0),IF(50=$HM34,IF($JD34=1,30,0),ABS(2-$HF34)*100)),100000+ABS(3-$HE34)*1000+20)),IF($HG34=0,999999,IF(3=$HH34,IF(50=$HN34,IF($JE34=2,30,0),IF(50=$HO34,IF($JE34=1,30,0),ABS(2-$HI34)*100)),100000+ABS(3-$HH34)*1000+20)))-IF((50=$HJ34)+(50=$HK34)+(50=$HL34)+(50=$HM34)+(50=$HN34)+(50=$HO34)&gt;=2,50,0))+BA$5*50)</f>
        <v/>
      </c>
      <c r="BB154">
        <f>IF(OR($JF34=0,calcA!$A$6=0),0,IF(OR(51=$HA34,51=$HD34,51=$HG34),200000,MIN(IF($HA34=0,999999,IF(3=$HB34,IF(51=$HJ34,IF($JC34=2,30,0),IF(51=$HK34,IF($JC34=1,30,0),ABS(3-$HC34)*100)),100000+ABS(3-$HB34)*1000+30)),IF($HD34=0,999999,IF(3=$HE34,IF(51=$HL34,IF($JD34=2,30,0),IF(51=$HM34,IF($JD34=1,30,0),ABS(3-$HF34)*100)),100000+ABS(3-$HE34)*1000+30)),IF($HG34=0,999999,IF(3=$HH34,IF(51=$HN34,IF($JE34=2,30,0),IF(51=$HO34,IF($JE34=1,30,0),ABS(3-$HI34)*100)),100000+ABS(3-$HH34)*1000+30)))-IF((51=$HJ34)+(51=$HK34)+(51=$HL34)+(51=$HM34)+(51=$HN34)+(51=$HO34)&gt;=2,50,0))+BB$5*50)</f>
        <v/>
      </c>
      <c r="BC154">
        <f>IF(OR($JF34=0,calcA!$A$6=0),0,IF(OR(52=$HA34,52=$HD34,52=$HG34),200000,MIN(IF($HA34=0,999999,IF(3=$HB34,IF(52=$HJ34,IF($JC34=2,30,0),IF(52=$HK34,IF($JC34=1,30,0),ABS(4-$HC34)*100)),100000+ABS(3-$HB34)*1000+40)),IF($HD34=0,999999,IF(3=$HE34,IF(52=$HL34,IF($JD34=2,30,0),IF(52=$HM34,IF($JD34=1,30,0),ABS(4-$HF34)*100)),100000+ABS(3-$HE34)*1000+40)),IF($HG34=0,999999,IF(3=$HH34,IF(52=$HN34,IF($JE34=2,30,0),IF(52=$HO34,IF($JE34=1,30,0),ABS(4-$HI34)*100)),100000+ABS(3-$HH34)*1000+40)))-IF((52=$HJ34)+(52=$HK34)+(52=$HL34)+(52=$HM34)+(52=$HN34)+(52=$HO34)&gt;=2,50,0))+BC$5*50)</f>
        <v/>
      </c>
      <c r="BD154">
        <f>IF(OR($JF34=0,calcA!$A$6=0),0,IF(OR(53=$HA34,53=$HD34,53=$HG34),200000,MIN(IF($HA34=0,999999,IF(3=$HB34,IF(53=$HJ34,IF($JC34=2,30,0),IF(53=$HK34,IF($JC34=1,30,0),ABS(5-$HC34)*100)),100000+ABS(3-$HB34)*1000+50)),IF($HD34=0,999999,IF(3=$HE34,IF(53=$HL34,IF($JD34=2,30,0),IF(53=$HM34,IF($JD34=1,30,0),ABS(5-$HF34)*100)),100000+ABS(3-$HE34)*1000+50)),IF($HG34=0,999999,IF(3=$HH34,IF(53=$HN34,IF($JE34=2,30,0),IF(53=$HO34,IF($JE34=1,30,0),ABS(5-$HI34)*100)),100000+ABS(3-$HH34)*1000+50)))-IF((53=$HJ34)+(53=$HK34)+(53=$HL34)+(53=$HM34)+(53=$HN34)+(53=$HO34)&gt;=2,50,0))+BD$5*50)</f>
        <v/>
      </c>
      <c r="BE154">
        <f>IF(OR($JF34=0,calcA!$A$6=0),0,IF(OR(54=$HA34,54=$HD34,54=$HG34),200000,MIN(IF($HA34=0,999999,IF(3=$HB34,IF(54=$HJ34,IF($JC34=2,30,0),IF(54=$HK34,IF($JC34=1,30,0),ABS(6-$HC34)*100)),100000+ABS(3-$HB34)*1000+60)),IF($HD34=0,999999,IF(3=$HE34,IF(54=$HL34,IF($JD34=2,30,0),IF(54=$HM34,IF($JD34=1,30,0),ABS(6-$HF34)*100)),100000+ABS(3-$HE34)*1000+60)),IF($HG34=0,999999,IF(3=$HH34,IF(54=$HN34,IF($JE34=2,30,0),IF(54=$HO34,IF($JE34=1,30,0),ABS(6-$HI34)*100)),100000+ABS(3-$HH34)*1000+60)))-IF((54=$HJ34)+(54=$HK34)+(54=$HL34)+(54=$HM34)+(54=$HN34)+(54=$HO34)&gt;=2,50,0))+BE$5*50)</f>
        <v/>
      </c>
      <c r="BF154">
        <f>IF(OR($JF34=0,calcA!$A$6=0),0,IF(OR(55=$HA34,55=$HD34,55=$HG34),200000,MIN(IF($HA34=0,999999,IF(3=$HB34,IF(55=$HJ34,IF($JC34=2,30,0),IF(55=$HK34,IF($JC34=1,30,0),ABS(7-$HC34)*100)),100000+ABS(3-$HB34)*1000+70)),IF($HD34=0,999999,IF(3=$HE34,IF(55=$HL34,IF($JD34=2,30,0),IF(55=$HM34,IF($JD34=1,30,0),ABS(7-$HF34)*100)),100000+ABS(3-$HE34)*1000+70)),IF($HG34=0,999999,IF(3=$HH34,IF(55=$HN34,IF($JE34=2,30,0),IF(55=$HO34,IF($JE34=1,30,0),ABS(7-$HI34)*100)),100000+ABS(3-$HH34)*1000+70)))-IF((55=$HJ34)+(55=$HK34)+(55=$HL34)+(55=$HM34)+(55=$HN34)+(55=$HO34)&gt;=2,50,0))+BF$5*50)</f>
        <v/>
      </c>
      <c r="BG154">
        <f>IF(OR($JF34=0,calcA!$A$6=0),0,IF(OR(56=$HA34,56=$HD34,56=$HG34),200000,MIN(IF($HA34=0,999999,IF(3=$HB34,IF(56=$HJ34,IF($JC34=2,30,0),IF(56=$HK34,IF($JC34=1,30,0),ABS(8-$HC34)*100)),100000+ABS(3-$HB34)*1000+80)),IF($HD34=0,999999,IF(3=$HE34,IF(56=$HL34,IF($JD34=2,30,0),IF(56=$HM34,IF($JD34=1,30,0),ABS(8-$HF34)*100)),100000+ABS(3-$HE34)*1000+80)),IF($HG34=0,999999,IF(3=$HH34,IF(56=$HN34,IF($JE34=2,30,0),IF(56=$HO34,IF($JE34=1,30,0),ABS(8-$HI34)*100)),100000+ABS(3-$HH34)*1000+80)))-IF((56=$HJ34)+(56=$HK34)+(56=$HL34)+(56=$HM34)+(56=$HN34)+(56=$HO34)&gt;=2,50,0))+BG$5*50)</f>
        <v/>
      </c>
      <c r="BH154">
        <f>IF(OR($JF34=0,calcA!$A$6=0),0,IF(OR(57=$HA34,57=$HD34,57=$HG34),200000,MIN(IF($HA34=0,999999,IF(3=$HB34,IF(57=$HJ34,IF($JC34=2,30,0),IF(57=$HK34,IF($JC34=1,30,0),ABS(9-$HC34)*100)),100000+ABS(3-$HB34)*1000+90)),IF($HD34=0,999999,IF(3=$HE34,IF(57=$HL34,IF($JD34=2,30,0),IF(57=$HM34,IF($JD34=1,30,0),ABS(9-$HF34)*100)),100000+ABS(3-$HE34)*1000+90)),IF($HG34=0,999999,IF(3=$HH34,IF(57=$HN34,IF($JE34=2,30,0),IF(57=$HO34,IF($JE34=1,30,0),ABS(9-$HI34)*100)),100000+ABS(3-$HH34)*1000+90)))-IF((57=$HJ34)+(57=$HK34)+(57=$HL34)+(57=$HM34)+(57=$HN34)+(57=$HO34)&gt;=2,50,0))+BH$5*50)</f>
        <v/>
      </c>
      <c r="BI154">
        <f>IF(OR($JF34=0,calcA!$A$6=0),0,IF(OR(58=$HA34,58=$HD34,58=$HG34),200000,MIN(IF($HA34=0,999999,IF(3=$HB34,IF(58=$HJ34,IF($JC34=2,30,0),IF(58=$HK34,IF($JC34=1,30,0),ABS(10-$HC34)*100)),100000+ABS(3-$HB34)*1000+100)),IF($HD34=0,999999,IF(3=$HE34,IF(58=$HL34,IF($JD34=2,30,0),IF(58=$HM34,IF($JD34=1,30,0),ABS(10-$HF34)*100)),100000+ABS(3-$HE34)*1000+100)),IF($HG34=0,999999,IF(3=$HH34,IF(58=$HN34,IF($JE34=2,30,0),IF(58=$HO34,IF($JE34=1,30,0),ABS(10-$HI34)*100)),100000+ABS(3-$HH34)*1000+100)))-IF((58=$HJ34)+(58=$HK34)+(58=$HL34)+(58=$HM34)+(58=$HN34)+(58=$HO34)&gt;=2,50,0))+BI$5*50)</f>
        <v/>
      </c>
      <c r="BJ154">
        <f>IF(OR($JF34=0,calcA!$A$6=0),0,IF(OR(59=$HA34,59=$HD34,59=$HG34),200000,MIN(IF($HA34=0,999999,IF(3=$HB34,IF(59=$HJ34,IF($JC34=2,30,0),IF(59=$HK34,IF($JC34=1,30,0),ABS(11-$HC34)*100)),100000+ABS(3-$HB34)*1000+110)),IF($HD34=0,999999,IF(3=$HE34,IF(59=$HL34,IF($JD34=2,30,0),IF(59=$HM34,IF($JD34=1,30,0),ABS(11-$HF34)*100)),100000+ABS(3-$HE34)*1000+110)),IF($HG34=0,999999,IF(3=$HH34,IF(59=$HN34,IF($JE34=2,30,0),IF(59=$HO34,IF($JE34=1,30,0),ABS(11-$HI34)*100)),100000+ABS(3-$HH34)*1000+110)))-IF((59=$HJ34)+(59=$HK34)+(59=$HL34)+(59=$HM34)+(59=$HN34)+(59=$HO34)&gt;=2,50,0))+BJ$5*50)</f>
        <v/>
      </c>
      <c r="BK154">
        <f>IF(OR($JF34=0,calcA!$A$6=0),0,IF(OR(60=$HA34,60=$HD34,60=$HG34),200000,MIN(IF($HA34=0,999999,IF(3=$HB34,IF(60=$HJ34,IF($JC34=2,30,0),IF(60=$HK34,IF($JC34=1,30,0),ABS(12-$HC34)*100)),100000+ABS(3-$HB34)*1000+120)),IF($HD34=0,999999,IF(3=$HE34,IF(60=$HL34,IF($JD34=2,30,0),IF(60=$HM34,IF($JD34=1,30,0),ABS(12-$HF34)*100)),100000+ABS(3-$HE34)*1000+120)),IF($HG34=0,999999,IF(3=$HH34,IF(60=$HN34,IF($JE34=2,30,0),IF(60=$HO34,IF($JE34=1,30,0),ABS(12-$HI34)*100)),100000+ABS(3-$HH34)*1000+120)))-IF((60=$HJ34)+(60=$HK34)+(60=$HL34)+(60=$HM34)+(60=$HN34)+(60=$HO34)&gt;=2,50,0))+BK$5*50)</f>
        <v/>
      </c>
      <c r="BL154">
        <f>IF(OR($JF34=0,calcA!$A$6=0),0,IF(OR(61=$HA34,61=$HD34,61=$HG34),200000,MIN(IF($HA34=0,999999,IF(3=$HB34,IF(61=$HJ34,IF($JC34=2,30,0),IF(61=$HK34,IF($JC34=1,30,0),ABS(13-$HC34)*100)),100000+ABS(3-$HB34)*1000+130)),IF($HD34=0,999999,IF(3=$HE34,IF(61=$HL34,IF($JD34=2,30,0),IF(61=$HM34,IF($JD34=1,30,0),ABS(13-$HF34)*100)),100000+ABS(3-$HE34)*1000+130)),IF($HG34=0,999999,IF(3=$HH34,IF(61=$HN34,IF($JE34=2,30,0),IF(61=$HO34,IF($JE34=1,30,0),ABS(13-$HI34)*100)),100000+ABS(3-$HH34)*1000+130)))-IF((61=$HJ34)+(61=$HK34)+(61=$HL34)+(61=$HM34)+(61=$HN34)+(61=$HO34)&gt;=2,50,0))+BL$5*50)</f>
        <v/>
      </c>
      <c r="BM154">
        <f>IF(OR($JF34=0,calcA!$A$6=0),0,IF(OR(62=$HA34,62=$HD34,62=$HG34),200000,MIN(IF($HA34=0,999999,IF(3=$HB34,IF(62=$HJ34,IF($JC34=2,30,0),IF(62=$HK34,IF($JC34=1,30,0),ABS(14-$HC34)*100)),100000+ABS(3-$HB34)*1000+140)),IF($HD34=0,999999,IF(3=$HE34,IF(62=$HL34,IF($JD34=2,30,0),IF(62=$HM34,IF($JD34=1,30,0),ABS(14-$HF34)*100)),100000+ABS(3-$HE34)*1000+140)),IF($HG34=0,999999,IF(3=$HH34,IF(62=$HN34,IF($JE34=2,30,0),IF(62=$HO34,IF($JE34=1,30,0),ABS(14-$HI34)*100)),100000+ABS(3-$HH34)*1000+140)))-IF((62=$HJ34)+(62=$HK34)+(62=$HL34)+(62=$HM34)+(62=$HN34)+(62=$HO34)&gt;=2,50,0))+BM$5*50)</f>
        <v/>
      </c>
      <c r="BN154">
        <f>IF(OR($JF34=0,calcA!$A$6=0),0,IF(OR(63=$HA34,63=$HD34,63=$HG34),200000,MIN(IF($HA34=0,999999,IF(3=$HB34,IF(63=$HJ34,IF($JC34=2,30,0),IF(63=$HK34,IF($JC34=1,30,0),ABS(15-$HC34)*100)),100000+ABS(3-$HB34)*1000+150)),IF($HD34=0,999999,IF(3=$HE34,IF(63=$HL34,IF($JD34=2,30,0),IF(63=$HM34,IF($JD34=1,30,0),ABS(15-$HF34)*100)),100000+ABS(3-$HE34)*1000+150)),IF($HG34=0,999999,IF(3=$HH34,IF(63=$HN34,IF($JE34=2,30,0),IF(63=$HO34,IF($JE34=1,30,0),ABS(15-$HI34)*100)),100000+ABS(3-$HH34)*1000+150)))-IF((63=$HJ34)+(63=$HK34)+(63=$HL34)+(63=$HM34)+(63=$HN34)+(63=$HO34)&gt;=2,50,0))+BN$5*50)</f>
        <v/>
      </c>
      <c r="BO154">
        <f>IF(OR($JF34=0,calcA!$A$6=0),0,IF(OR(64=$HA34,64=$HD34,64=$HG34),200000,MIN(IF($HA34=0,999999,IF(3=$HB34,IF(64=$HJ34,IF($JC34=2,30,0),IF(64=$HK34,IF($JC34=1,30,0),ABS(16-$HC34)*100)),100000+ABS(3-$HB34)*1000+160)),IF($HD34=0,999999,IF(3=$HE34,IF(64=$HL34,IF($JD34=2,30,0),IF(64=$HM34,IF($JD34=1,30,0),ABS(16-$HF34)*100)),100000+ABS(3-$HE34)*1000+160)),IF($HG34=0,999999,IF(3=$HH34,IF(64=$HN34,IF($JE34=2,30,0),IF(64=$HO34,IF($JE34=1,30,0),ABS(16-$HI34)*100)),100000+ABS(3-$HH34)*1000+160)))-IF((64=$HJ34)+(64=$HK34)+(64=$HL34)+(64=$HM34)+(64=$HN34)+(64=$HO34)&gt;=2,50,0))+BO$5*50)</f>
        <v/>
      </c>
      <c r="BP154">
        <f>IF(OR($JF34=0,calcA!$A$6=0),0,IF(OR(65=$HA34,65=$HD34,65=$HG34),200000,MIN(IF($HA34=0,999999,IF(3=$HB34,IF(65=$HJ34,IF($JC34=2,30,0),IF(65=$HK34,IF($JC34=1,30,0),ABS(17-$HC34)*100)),100000+ABS(3-$HB34)*1000+170)),IF($HD34=0,999999,IF(3=$HE34,IF(65=$HL34,IF($JD34=2,30,0),IF(65=$HM34,IF($JD34=1,30,0),ABS(17-$HF34)*100)),100000+ABS(3-$HE34)*1000+170)),IF($HG34=0,999999,IF(3=$HH34,IF(65=$HN34,IF($JE34=2,30,0),IF(65=$HO34,IF($JE34=1,30,0),ABS(17-$HI34)*100)),100000+ABS(3-$HH34)*1000+170)))-IF((65=$HJ34)+(65=$HK34)+(65=$HL34)+(65=$HM34)+(65=$HN34)+(65=$HO34)&gt;=2,50,0))+BP$5*50)</f>
        <v/>
      </c>
      <c r="BQ154">
        <f>IF(OR($JF34=0,calcA!$A$6=0),0,IF(OR(66=$HA34,66=$HD34,66=$HG34),200000,MIN(IF($HA34=0,999999,IF(3=$HB34,IF(66=$HJ34,IF($JC34=2,30,0),IF(66=$HK34,IF($JC34=1,30,0),ABS(18-$HC34)*100)),100000+ABS(3-$HB34)*1000+180)),IF($HD34=0,999999,IF(3=$HE34,IF(66=$HL34,IF($JD34=2,30,0),IF(66=$HM34,IF($JD34=1,30,0),ABS(18-$HF34)*100)),100000+ABS(3-$HE34)*1000+180)),IF($HG34=0,999999,IF(3=$HH34,IF(66=$HN34,IF($JE34=2,30,0),IF(66=$HO34,IF($JE34=1,30,0),ABS(18-$HI34)*100)),100000+ABS(3-$HH34)*1000+180)))-IF((66=$HJ34)+(66=$HK34)+(66=$HL34)+(66=$HM34)+(66=$HN34)+(66=$HO34)&gt;=2,50,0))+BQ$5*50)</f>
        <v/>
      </c>
      <c r="BR154">
        <f>IF(OR($JF34=0,calcA!$A$6=0),0,IF(OR(67=$HA34,67=$HD34,67=$HG34),200000,MIN(IF($HA34=0,999999,IF(3=$HB34,IF(67=$HJ34,IF($JC34=2,30,0),IF(67=$HK34,IF($JC34=1,30,0),ABS(19-$HC34)*100)),100000+ABS(3-$HB34)*1000+190)),IF($HD34=0,999999,IF(3=$HE34,IF(67=$HL34,IF($JD34=2,30,0),IF(67=$HM34,IF($JD34=1,30,0),ABS(19-$HF34)*100)),100000+ABS(3-$HE34)*1000+190)),IF($HG34=0,999999,IF(3=$HH34,IF(67=$HN34,IF($JE34=2,30,0),IF(67=$HO34,IF($JE34=1,30,0),ABS(19-$HI34)*100)),100000+ABS(3-$HH34)*1000+190)))-IF((67=$HJ34)+(67=$HK34)+(67=$HL34)+(67=$HM34)+(67=$HN34)+(67=$HO34)&gt;=2,50,0))+BR$5*50)</f>
        <v/>
      </c>
      <c r="BS154">
        <f>IF(OR($JF34=0,calcA!$A$6=0),0,IF(OR(68=$HA34,68=$HD34,68=$HG34),200000,MIN(IF($HA34=0,999999,IF(3=$HB34,IF(68=$HJ34,IF($JC34=2,30,0),IF(68=$HK34,IF($JC34=1,30,0),ABS(20-$HC34)*100)),100000+ABS(3-$HB34)*1000+200)),IF($HD34=0,999999,IF(3=$HE34,IF(68=$HL34,IF($JD34=2,30,0),IF(68=$HM34,IF($JD34=1,30,0),ABS(20-$HF34)*100)),100000+ABS(3-$HE34)*1000+200)),IF($HG34=0,999999,IF(3=$HH34,IF(68=$HN34,IF($JE34=2,30,0),IF(68=$HO34,IF($JE34=1,30,0),ABS(20-$HI34)*100)),100000+ABS(3-$HH34)*1000+200)))-IF((68=$HJ34)+(68=$HK34)+(68=$HL34)+(68=$HM34)+(68=$HN34)+(68=$HO34)&gt;=2,50,0))+BS$5*50)</f>
        <v/>
      </c>
      <c r="BT154">
        <f>IF(OR($JF34=0,calcA!$A$6=0),0,IF(OR(69=$HA34,69=$HD34,69=$HG34),200000,MIN(IF($HA34=0,999999,IF(3=$HB34,IF(69=$HJ34,IF($JC34=2,30,0),IF(69=$HK34,IF($JC34=1,30,0),ABS(21-$HC34)*100)),100000+ABS(3-$HB34)*1000+210)),IF($HD34=0,999999,IF(3=$HE34,IF(69=$HL34,IF($JD34=2,30,0),IF(69=$HM34,IF($JD34=1,30,0),ABS(21-$HF34)*100)),100000+ABS(3-$HE34)*1000+210)),IF($HG34=0,999999,IF(3=$HH34,IF(69=$HN34,IF($JE34=2,30,0),IF(69=$HO34,IF($JE34=1,30,0),ABS(21-$HI34)*100)),100000+ABS(3-$HH34)*1000+210)))-IF((69=$HJ34)+(69=$HK34)+(69=$HL34)+(69=$HM34)+(69=$HN34)+(69=$HO34)&gt;=2,50,0))+BT$5*50)</f>
        <v/>
      </c>
      <c r="BU154">
        <f>IF(OR($JF34=0,calcA!$A$6=0),0,IF(OR(70=$HA34,70=$HD34,70=$HG34),200000,MIN(IF($HA34=0,999999,IF(3=$HB34,IF(70=$HJ34,IF($JC34=2,30,0),IF(70=$HK34,IF($JC34=1,30,0),ABS(22-$HC34)*100)),100000+ABS(3-$HB34)*1000+220)),IF($HD34=0,999999,IF(3=$HE34,IF(70=$HL34,IF($JD34=2,30,0),IF(70=$HM34,IF($JD34=1,30,0),ABS(22-$HF34)*100)),100000+ABS(3-$HE34)*1000+220)),IF($HG34=0,999999,IF(3=$HH34,IF(70=$HN34,IF($JE34=2,30,0),IF(70=$HO34,IF($JE34=1,30,0),ABS(22-$HI34)*100)),100000+ABS(3-$HH34)*1000+220)))-IF((70=$HJ34)+(70=$HK34)+(70=$HL34)+(70=$HM34)+(70=$HN34)+(70=$HO34)&gt;=2,50,0))+BU$5*50)</f>
        <v/>
      </c>
      <c r="BV154">
        <f>IF(OR($JF34=0,calcA!$A$6=0),0,IF(OR(71=$HA34,71=$HD34,71=$HG34),200000,MIN(IF($HA34=0,999999,IF(3=$HB34,IF(71=$HJ34,IF($JC34=2,30,0),IF(71=$HK34,IF($JC34=1,30,0),ABS(23-$HC34)*100)),100000+ABS(3-$HB34)*1000+230)),IF($HD34=0,999999,IF(3=$HE34,IF(71=$HL34,IF($JD34=2,30,0),IF(71=$HM34,IF($JD34=1,30,0),ABS(23-$HF34)*100)),100000+ABS(3-$HE34)*1000+230)),IF($HG34=0,999999,IF(3=$HH34,IF(71=$HN34,IF($JE34=2,30,0),IF(71=$HO34,IF($JE34=1,30,0),ABS(23-$HI34)*100)),100000+ABS(3-$HH34)*1000+230)))-IF((71=$HJ34)+(71=$HK34)+(71=$HL34)+(71=$HM34)+(71=$HN34)+(71=$HO34)&gt;=2,50,0))+BV$5*50)</f>
        <v/>
      </c>
      <c r="BW154">
        <f>IF(OR($JF34=0,calcA!$A$6=0),0,IF(OR(72=$HA34,72=$HD34,72=$HG34),200000,MIN(IF($HA34=0,999999,IF(3=$HB34,IF(72=$HJ34,IF($JC34=2,30,0),IF(72=$HK34,IF($JC34=1,30,0),ABS(24-$HC34)*100)),100000+ABS(3-$HB34)*1000+240)),IF($HD34=0,999999,IF(3=$HE34,IF(72=$HL34,IF($JD34=2,30,0),IF(72=$HM34,IF($JD34=1,30,0),ABS(24-$HF34)*100)),100000+ABS(3-$HE34)*1000+240)),IF($HG34=0,999999,IF(3=$HH34,IF(72=$HN34,IF($JE34=2,30,0),IF(72=$HO34,IF($JE34=1,30,0),ABS(24-$HI34)*100)),100000+ABS(3-$HH34)*1000+240)))-IF((72=$HJ34)+(72=$HK34)+(72=$HL34)+(72=$HM34)+(72=$HN34)+(72=$HO34)&gt;=2,50,0))+BW$5*50)</f>
        <v/>
      </c>
      <c r="BX154">
        <f>IF(OR($JF34=0,calcA!$A$6=0),0,IF(OR(73=$HA34,73=$HD34,73=$HG34),200000,MIN(IF($HA34=0,999999,IF(4=$HB34,IF(73=$HJ34,IF($JC34=2,30,0),IF(73=$HK34,IF($JC34=1,30,0),ABS(1-$HC34)*100)),100000+ABS(4-$HB34)*1000+10)),IF($HD34=0,999999,IF(4=$HE34,IF(73=$HL34,IF($JD34=2,30,0),IF(73=$HM34,IF($JD34=1,30,0),ABS(1-$HF34)*100)),100000+ABS(4-$HE34)*1000+10)),IF($HG34=0,999999,IF(4=$HH34,IF(73=$HN34,IF($JE34=2,30,0),IF(73=$HO34,IF($JE34=1,30,0),ABS(1-$HI34)*100)),100000+ABS(4-$HH34)*1000+10)))-IF((73=$HJ34)+(73=$HK34)+(73=$HL34)+(73=$HM34)+(73=$HN34)+(73=$HO34)&gt;=2,50,0))+BX$5*50)</f>
        <v/>
      </c>
      <c r="BY154">
        <f>IF(OR($JF34=0,calcA!$A$6=0),0,IF(OR(74=$HA34,74=$HD34,74=$HG34),200000,MIN(IF($HA34=0,999999,IF(4=$HB34,IF(74=$HJ34,IF($JC34=2,30,0),IF(74=$HK34,IF($JC34=1,30,0),ABS(2-$HC34)*100)),100000+ABS(4-$HB34)*1000+20)),IF($HD34=0,999999,IF(4=$HE34,IF(74=$HL34,IF($JD34=2,30,0),IF(74=$HM34,IF($JD34=1,30,0),ABS(2-$HF34)*100)),100000+ABS(4-$HE34)*1000+20)),IF($HG34=0,999999,IF(4=$HH34,IF(74=$HN34,IF($JE34=2,30,0),IF(74=$HO34,IF($JE34=1,30,0),ABS(2-$HI34)*100)),100000+ABS(4-$HH34)*1000+20)))-IF((74=$HJ34)+(74=$HK34)+(74=$HL34)+(74=$HM34)+(74=$HN34)+(74=$HO34)&gt;=2,50,0))+BY$5*50)</f>
        <v/>
      </c>
      <c r="BZ154">
        <f>IF(OR($JF34=0,calcA!$A$6=0),0,IF(OR(75=$HA34,75=$HD34,75=$HG34),200000,MIN(IF($HA34=0,999999,IF(4=$HB34,IF(75=$HJ34,IF($JC34=2,30,0),IF(75=$HK34,IF($JC34=1,30,0),ABS(3-$HC34)*100)),100000+ABS(4-$HB34)*1000+30)),IF($HD34=0,999999,IF(4=$HE34,IF(75=$HL34,IF($JD34=2,30,0),IF(75=$HM34,IF($JD34=1,30,0),ABS(3-$HF34)*100)),100000+ABS(4-$HE34)*1000+30)),IF($HG34=0,999999,IF(4=$HH34,IF(75=$HN34,IF($JE34=2,30,0),IF(75=$HO34,IF($JE34=1,30,0),ABS(3-$HI34)*100)),100000+ABS(4-$HH34)*1000+30)))-IF((75=$HJ34)+(75=$HK34)+(75=$HL34)+(75=$HM34)+(75=$HN34)+(75=$HO34)&gt;=2,50,0))+BZ$5*50)</f>
        <v/>
      </c>
      <c r="CA154">
        <f>IF(OR($JF34=0,calcA!$A$6=0),0,IF(OR(76=$HA34,76=$HD34,76=$HG34),200000,MIN(IF($HA34=0,999999,IF(4=$HB34,IF(76=$HJ34,IF($JC34=2,30,0),IF(76=$HK34,IF($JC34=1,30,0),ABS(4-$HC34)*100)),100000+ABS(4-$HB34)*1000+40)),IF($HD34=0,999999,IF(4=$HE34,IF(76=$HL34,IF($JD34=2,30,0),IF(76=$HM34,IF($JD34=1,30,0),ABS(4-$HF34)*100)),100000+ABS(4-$HE34)*1000+40)),IF($HG34=0,999999,IF(4=$HH34,IF(76=$HN34,IF($JE34=2,30,0),IF(76=$HO34,IF($JE34=1,30,0),ABS(4-$HI34)*100)),100000+ABS(4-$HH34)*1000+40)))-IF((76=$HJ34)+(76=$HK34)+(76=$HL34)+(76=$HM34)+(76=$HN34)+(76=$HO34)&gt;=2,50,0))+CA$5*50)</f>
        <v/>
      </c>
      <c r="CB154">
        <f>IF(OR($JF34=0,calcA!$A$6=0),0,IF(OR(77=$HA34,77=$HD34,77=$HG34),200000,MIN(IF($HA34=0,999999,IF(4=$HB34,IF(77=$HJ34,IF($JC34=2,30,0),IF(77=$HK34,IF($JC34=1,30,0),ABS(5-$HC34)*100)),100000+ABS(4-$HB34)*1000+50)),IF($HD34=0,999999,IF(4=$HE34,IF(77=$HL34,IF($JD34=2,30,0),IF(77=$HM34,IF($JD34=1,30,0),ABS(5-$HF34)*100)),100000+ABS(4-$HE34)*1000+50)),IF($HG34=0,999999,IF(4=$HH34,IF(77=$HN34,IF($JE34=2,30,0),IF(77=$HO34,IF($JE34=1,30,0),ABS(5-$HI34)*100)),100000+ABS(4-$HH34)*1000+50)))-IF((77=$HJ34)+(77=$HK34)+(77=$HL34)+(77=$HM34)+(77=$HN34)+(77=$HO34)&gt;=2,50,0))+CB$5*50)</f>
        <v/>
      </c>
      <c r="CC154">
        <f>IF(OR($JF34=0,calcA!$A$6=0),0,IF(OR(78=$HA34,78=$HD34,78=$HG34),200000,MIN(IF($HA34=0,999999,IF(4=$HB34,IF(78=$HJ34,IF($JC34=2,30,0),IF(78=$HK34,IF($JC34=1,30,0),ABS(6-$HC34)*100)),100000+ABS(4-$HB34)*1000+60)),IF($HD34=0,999999,IF(4=$HE34,IF(78=$HL34,IF($JD34=2,30,0),IF(78=$HM34,IF($JD34=1,30,0),ABS(6-$HF34)*100)),100000+ABS(4-$HE34)*1000+60)),IF($HG34=0,999999,IF(4=$HH34,IF(78=$HN34,IF($JE34=2,30,0),IF(78=$HO34,IF($JE34=1,30,0),ABS(6-$HI34)*100)),100000+ABS(4-$HH34)*1000+60)))-IF((78=$HJ34)+(78=$HK34)+(78=$HL34)+(78=$HM34)+(78=$HN34)+(78=$HO34)&gt;=2,50,0))+CC$5*50)</f>
        <v/>
      </c>
      <c r="CD154">
        <f>IF(OR($JF34=0,calcA!$A$6=0),0,IF(OR(79=$HA34,79=$HD34,79=$HG34),200000,MIN(IF($HA34=0,999999,IF(4=$HB34,IF(79=$HJ34,IF($JC34=2,30,0),IF(79=$HK34,IF($JC34=1,30,0),ABS(7-$HC34)*100)),100000+ABS(4-$HB34)*1000+70)),IF($HD34=0,999999,IF(4=$HE34,IF(79=$HL34,IF($JD34=2,30,0),IF(79=$HM34,IF($JD34=1,30,0),ABS(7-$HF34)*100)),100000+ABS(4-$HE34)*1000+70)),IF($HG34=0,999999,IF(4=$HH34,IF(79=$HN34,IF($JE34=2,30,0),IF(79=$HO34,IF($JE34=1,30,0),ABS(7-$HI34)*100)),100000+ABS(4-$HH34)*1000+70)))-IF((79=$HJ34)+(79=$HK34)+(79=$HL34)+(79=$HM34)+(79=$HN34)+(79=$HO34)&gt;=2,50,0))+CD$5*50)</f>
        <v/>
      </c>
      <c r="CE154">
        <f>IF(OR($JF34=0,calcA!$A$6=0),0,IF(OR(80=$HA34,80=$HD34,80=$HG34),200000,MIN(IF($HA34=0,999999,IF(4=$HB34,IF(80=$HJ34,IF($JC34=2,30,0),IF(80=$HK34,IF($JC34=1,30,0),ABS(8-$HC34)*100)),100000+ABS(4-$HB34)*1000+80)),IF($HD34=0,999999,IF(4=$HE34,IF(80=$HL34,IF($JD34=2,30,0),IF(80=$HM34,IF($JD34=1,30,0),ABS(8-$HF34)*100)),100000+ABS(4-$HE34)*1000+80)),IF($HG34=0,999999,IF(4=$HH34,IF(80=$HN34,IF($JE34=2,30,0),IF(80=$HO34,IF($JE34=1,30,0),ABS(8-$HI34)*100)),100000+ABS(4-$HH34)*1000+80)))-IF((80=$HJ34)+(80=$HK34)+(80=$HL34)+(80=$HM34)+(80=$HN34)+(80=$HO34)&gt;=2,50,0))+CE$5*50)</f>
        <v/>
      </c>
      <c r="CF154">
        <f>IF(OR($JF34=0,calcA!$A$6=0),0,IF(OR(81=$HA34,81=$HD34,81=$HG34),200000,MIN(IF($HA34=0,999999,IF(4=$HB34,IF(81=$HJ34,IF($JC34=2,30,0),IF(81=$HK34,IF($JC34=1,30,0),ABS(9-$HC34)*100)),100000+ABS(4-$HB34)*1000+90)),IF($HD34=0,999999,IF(4=$HE34,IF(81=$HL34,IF($JD34=2,30,0),IF(81=$HM34,IF($JD34=1,30,0),ABS(9-$HF34)*100)),100000+ABS(4-$HE34)*1000+90)),IF($HG34=0,999999,IF(4=$HH34,IF(81=$HN34,IF($JE34=2,30,0),IF(81=$HO34,IF($JE34=1,30,0),ABS(9-$HI34)*100)),100000+ABS(4-$HH34)*1000+90)))-IF((81=$HJ34)+(81=$HK34)+(81=$HL34)+(81=$HM34)+(81=$HN34)+(81=$HO34)&gt;=2,50,0))+CF$5*50)</f>
        <v/>
      </c>
      <c r="CG154">
        <f>IF(OR($JF34=0,calcA!$A$6=0),0,IF(OR(82=$HA34,82=$HD34,82=$HG34),200000,MIN(IF($HA34=0,999999,IF(4=$HB34,IF(82=$HJ34,IF($JC34=2,30,0),IF(82=$HK34,IF($JC34=1,30,0),ABS(10-$HC34)*100)),100000+ABS(4-$HB34)*1000+100)),IF($HD34=0,999999,IF(4=$HE34,IF(82=$HL34,IF($JD34=2,30,0),IF(82=$HM34,IF($JD34=1,30,0),ABS(10-$HF34)*100)),100000+ABS(4-$HE34)*1000+100)),IF($HG34=0,999999,IF(4=$HH34,IF(82=$HN34,IF($JE34=2,30,0),IF(82=$HO34,IF($JE34=1,30,0),ABS(10-$HI34)*100)),100000+ABS(4-$HH34)*1000+100)))-IF((82=$HJ34)+(82=$HK34)+(82=$HL34)+(82=$HM34)+(82=$HN34)+(82=$HO34)&gt;=2,50,0))+CG$5*50)</f>
        <v/>
      </c>
      <c r="CH154">
        <f>IF(OR($JF34=0,calcA!$A$6=0),0,IF(OR(83=$HA34,83=$HD34,83=$HG34),200000,MIN(IF($HA34=0,999999,IF(4=$HB34,IF(83=$HJ34,IF($JC34=2,30,0),IF(83=$HK34,IF($JC34=1,30,0),ABS(11-$HC34)*100)),100000+ABS(4-$HB34)*1000+110)),IF($HD34=0,999999,IF(4=$HE34,IF(83=$HL34,IF($JD34=2,30,0),IF(83=$HM34,IF($JD34=1,30,0),ABS(11-$HF34)*100)),100000+ABS(4-$HE34)*1000+110)),IF($HG34=0,999999,IF(4=$HH34,IF(83=$HN34,IF($JE34=2,30,0),IF(83=$HO34,IF($JE34=1,30,0),ABS(11-$HI34)*100)),100000+ABS(4-$HH34)*1000+110)))-IF((83=$HJ34)+(83=$HK34)+(83=$HL34)+(83=$HM34)+(83=$HN34)+(83=$HO34)&gt;=2,50,0))+CH$5*50)</f>
        <v/>
      </c>
      <c r="CI154">
        <f>IF(OR($JF34=0,calcA!$A$6=0),0,IF(OR(84=$HA34,84=$HD34,84=$HG34),200000,MIN(IF($HA34=0,999999,IF(4=$HB34,IF(84=$HJ34,IF($JC34=2,30,0),IF(84=$HK34,IF($JC34=1,30,0),ABS(12-$HC34)*100)),100000+ABS(4-$HB34)*1000+120)),IF($HD34=0,999999,IF(4=$HE34,IF(84=$HL34,IF($JD34=2,30,0),IF(84=$HM34,IF($JD34=1,30,0),ABS(12-$HF34)*100)),100000+ABS(4-$HE34)*1000+120)),IF($HG34=0,999999,IF(4=$HH34,IF(84=$HN34,IF($JE34=2,30,0),IF(84=$HO34,IF($JE34=1,30,0),ABS(12-$HI34)*100)),100000+ABS(4-$HH34)*1000+120)))-IF((84=$HJ34)+(84=$HK34)+(84=$HL34)+(84=$HM34)+(84=$HN34)+(84=$HO34)&gt;=2,50,0))+CI$5*50)</f>
        <v/>
      </c>
      <c r="CJ154">
        <f>IF(OR($JF34=0,calcA!$A$6=0),0,IF(OR(85=$HA34,85=$HD34,85=$HG34),200000,MIN(IF($HA34=0,999999,IF(4=$HB34,IF(85=$HJ34,IF($JC34=2,30,0),IF(85=$HK34,IF($JC34=1,30,0),ABS(13-$HC34)*100)),100000+ABS(4-$HB34)*1000+130)),IF($HD34=0,999999,IF(4=$HE34,IF(85=$HL34,IF($JD34=2,30,0),IF(85=$HM34,IF($JD34=1,30,0),ABS(13-$HF34)*100)),100000+ABS(4-$HE34)*1000+130)),IF($HG34=0,999999,IF(4=$HH34,IF(85=$HN34,IF($JE34=2,30,0),IF(85=$HO34,IF($JE34=1,30,0),ABS(13-$HI34)*100)),100000+ABS(4-$HH34)*1000+130)))-IF((85=$HJ34)+(85=$HK34)+(85=$HL34)+(85=$HM34)+(85=$HN34)+(85=$HO34)&gt;=2,50,0))+CJ$5*50)</f>
        <v/>
      </c>
      <c r="CK154">
        <f>IF(OR($JF34=0,calcA!$A$6=0),0,IF(OR(86=$HA34,86=$HD34,86=$HG34),200000,MIN(IF($HA34=0,999999,IF(4=$HB34,IF(86=$HJ34,IF($JC34=2,30,0),IF(86=$HK34,IF($JC34=1,30,0),ABS(14-$HC34)*100)),100000+ABS(4-$HB34)*1000+140)),IF($HD34=0,999999,IF(4=$HE34,IF(86=$HL34,IF($JD34=2,30,0),IF(86=$HM34,IF($JD34=1,30,0),ABS(14-$HF34)*100)),100000+ABS(4-$HE34)*1000+140)),IF($HG34=0,999999,IF(4=$HH34,IF(86=$HN34,IF($JE34=2,30,0),IF(86=$HO34,IF($JE34=1,30,0),ABS(14-$HI34)*100)),100000+ABS(4-$HH34)*1000+140)))-IF((86=$HJ34)+(86=$HK34)+(86=$HL34)+(86=$HM34)+(86=$HN34)+(86=$HO34)&gt;=2,50,0))+CK$5*50)</f>
        <v/>
      </c>
      <c r="CL154">
        <f>IF(OR($JF34=0,calcA!$A$6=0),0,IF(OR(87=$HA34,87=$HD34,87=$HG34),200000,MIN(IF($HA34=0,999999,IF(4=$HB34,IF(87=$HJ34,IF($JC34=2,30,0),IF(87=$HK34,IF($JC34=1,30,0),ABS(15-$HC34)*100)),100000+ABS(4-$HB34)*1000+150)),IF($HD34=0,999999,IF(4=$HE34,IF(87=$HL34,IF($JD34=2,30,0),IF(87=$HM34,IF($JD34=1,30,0),ABS(15-$HF34)*100)),100000+ABS(4-$HE34)*1000+150)),IF($HG34=0,999999,IF(4=$HH34,IF(87=$HN34,IF($JE34=2,30,0),IF(87=$HO34,IF($JE34=1,30,0),ABS(15-$HI34)*100)),100000+ABS(4-$HH34)*1000+150)))-IF((87=$HJ34)+(87=$HK34)+(87=$HL34)+(87=$HM34)+(87=$HN34)+(87=$HO34)&gt;=2,50,0))+CL$5*50)</f>
        <v/>
      </c>
      <c r="CM154">
        <f>IF(OR($JF34=0,calcA!$A$6=0),0,IF(OR(88=$HA34,88=$HD34,88=$HG34),200000,MIN(IF($HA34=0,999999,IF(4=$HB34,IF(88=$HJ34,IF($JC34=2,30,0),IF(88=$HK34,IF($JC34=1,30,0),ABS(16-$HC34)*100)),100000+ABS(4-$HB34)*1000+160)),IF($HD34=0,999999,IF(4=$HE34,IF(88=$HL34,IF($JD34=2,30,0),IF(88=$HM34,IF($JD34=1,30,0),ABS(16-$HF34)*100)),100000+ABS(4-$HE34)*1000+160)),IF($HG34=0,999999,IF(4=$HH34,IF(88=$HN34,IF($JE34=2,30,0),IF(88=$HO34,IF($JE34=1,30,0),ABS(16-$HI34)*100)),100000+ABS(4-$HH34)*1000+160)))-IF((88=$HJ34)+(88=$HK34)+(88=$HL34)+(88=$HM34)+(88=$HN34)+(88=$HO34)&gt;=2,50,0))+CM$5*50)</f>
        <v/>
      </c>
      <c r="CN154">
        <f>IF(OR($JF34=0,calcA!$A$6=0),0,IF(OR(89=$HA34,89=$HD34,89=$HG34),200000,MIN(IF($HA34=0,999999,IF(4=$HB34,IF(89=$HJ34,IF($JC34=2,30,0),IF(89=$HK34,IF($JC34=1,30,0),ABS(17-$HC34)*100)),100000+ABS(4-$HB34)*1000+170)),IF($HD34=0,999999,IF(4=$HE34,IF(89=$HL34,IF($JD34=2,30,0),IF(89=$HM34,IF($JD34=1,30,0),ABS(17-$HF34)*100)),100000+ABS(4-$HE34)*1000+170)),IF($HG34=0,999999,IF(4=$HH34,IF(89=$HN34,IF($JE34=2,30,0),IF(89=$HO34,IF($JE34=1,30,0),ABS(17-$HI34)*100)),100000+ABS(4-$HH34)*1000+170)))-IF((89=$HJ34)+(89=$HK34)+(89=$HL34)+(89=$HM34)+(89=$HN34)+(89=$HO34)&gt;=2,50,0))+CN$5*50)</f>
        <v/>
      </c>
      <c r="CO154">
        <f>IF(OR($JF34=0,calcA!$A$6=0),0,IF(OR(90=$HA34,90=$HD34,90=$HG34),200000,MIN(IF($HA34=0,999999,IF(4=$HB34,IF(90=$HJ34,IF($JC34=2,30,0),IF(90=$HK34,IF($JC34=1,30,0),ABS(18-$HC34)*100)),100000+ABS(4-$HB34)*1000+180)),IF($HD34=0,999999,IF(4=$HE34,IF(90=$HL34,IF($JD34=2,30,0),IF(90=$HM34,IF($JD34=1,30,0),ABS(18-$HF34)*100)),100000+ABS(4-$HE34)*1000+180)),IF($HG34=0,999999,IF(4=$HH34,IF(90=$HN34,IF($JE34=2,30,0),IF(90=$HO34,IF($JE34=1,30,0),ABS(18-$HI34)*100)),100000+ABS(4-$HH34)*1000+180)))-IF((90=$HJ34)+(90=$HK34)+(90=$HL34)+(90=$HM34)+(90=$HN34)+(90=$HO34)&gt;=2,50,0))+CO$5*50)</f>
        <v/>
      </c>
      <c r="CP154">
        <f>IF(OR($JF34=0,calcA!$A$6=0),0,IF(OR(91=$HA34,91=$HD34,91=$HG34),200000,MIN(IF($HA34=0,999999,IF(4=$HB34,IF(91=$HJ34,IF($JC34=2,30,0),IF(91=$HK34,IF($JC34=1,30,0),ABS(19-$HC34)*100)),100000+ABS(4-$HB34)*1000+190)),IF($HD34=0,999999,IF(4=$HE34,IF(91=$HL34,IF($JD34=2,30,0),IF(91=$HM34,IF($JD34=1,30,0),ABS(19-$HF34)*100)),100000+ABS(4-$HE34)*1000+190)),IF($HG34=0,999999,IF(4=$HH34,IF(91=$HN34,IF($JE34=2,30,0),IF(91=$HO34,IF($JE34=1,30,0),ABS(19-$HI34)*100)),100000+ABS(4-$HH34)*1000+190)))-IF((91=$HJ34)+(91=$HK34)+(91=$HL34)+(91=$HM34)+(91=$HN34)+(91=$HO34)&gt;=2,50,0))+CP$5*50)</f>
        <v/>
      </c>
      <c r="CQ154">
        <f>IF(OR($JF34=0,calcA!$A$6=0),0,IF(OR(92=$HA34,92=$HD34,92=$HG34),200000,MIN(IF($HA34=0,999999,IF(4=$HB34,IF(92=$HJ34,IF($JC34=2,30,0),IF(92=$HK34,IF($JC34=1,30,0),ABS(20-$HC34)*100)),100000+ABS(4-$HB34)*1000+200)),IF($HD34=0,999999,IF(4=$HE34,IF(92=$HL34,IF($JD34=2,30,0),IF(92=$HM34,IF($JD34=1,30,0),ABS(20-$HF34)*100)),100000+ABS(4-$HE34)*1000+200)),IF($HG34=0,999999,IF(4=$HH34,IF(92=$HN34,IF($JE34=2,30,0),IF(92=$HO34,IF($JE34=1,30,0),ABS(20-$HI34)*100)),100000+ABS(4-$HH34)*1000+200)))-IF((92=$HJ34)+(92=$HK34)+(92=$HL34)+(92=$HM34)+(92=$HN34)+(92=$HO34)&gt;=2,50,0))+CQ$5*50)</f>
        <v/>
      </c>
      <c r="CR154">
        <f>IF(OR($JF34=0,calcA!$A$6=0),0,IF(OR(93=$HA34,93=$HD34,93=$HG34),200000,MIN(IF($HA34=0,999999,IF(4=$HB34,IF(93=$HJ34,IF($JC34=2,30,0),IF(93=$HK34,IF($JC34=1,30,0),ABS(21-$HC34)*100)),100000+ABS(4-$HB34)*1000+210)),IF($HD34=0,999999,IF(4=$HE34,IF(93=$HL34,IF($JD34=2,30,0),IF(93=$HM34,IF($JD34=1,30,0),ABS(21-$HF34)*100)),100000+ABS(4-$HE34)*1000+210)),IF($HG34=0,999999,IF(4=$HH34,IF(93=$HN34,IF($JE34=2,30,0),IF(93=$HO34,IF($JE34=1,30,0),ABS(21-$HI34)*100)),100000+ABS(4-$HH34)*1000+210)))-IF((93=$HJ34)+(93=$HK34)+(93=$HL34)+(93=$HM34)+(93=$HN34)+(93=$HO34)&gt;=2,50,0))+CR$5*50)</f>
        <v/>
      </c>
      <c r="CS154">
        <f>IF(OR($JF34=0,calcA!$A$6=0),0,IF(OR(94=$HA34,94=$HD34,94=$HG34),200000,MIN(IF($HA34=0,999999,IF(4=$HB34,IF(94=$HJ34,IF($JC34=2,30,0),IF(94=$HK34,IF($JC34=1,30,0),ABS(22-$HC34)*100)),100000+ABS(4-$HB34)*1000+220)),IF($HD34=0,999999,IF(4=$HE34,IF(94=$HL34,IF($JD34=2,30,0),IF(94=$HM34,IF($JD34=1,30,0),ABS(22-$HF34)*100)),100000+ABS(4-$HE34)*1000+220)),IF($HG34=0,999999,IF(4=$HH34,IF(94=$HN34,IF($JE34=2,30,0),IF(94=$HO34,IF($JE34=1,30,0),ABS(22-$HI34)*100)),100000+ABS(4-$HH34)*1000+220)))-IF((94=$HJ34)+(94=$HK34)+(94=$HL34)+(94=$HM34)+(94=$HN34)+(94=$HO34)&gt;=2,50,0))+CS$5*50)</f>
        <v/>
      </c>
      <c r="CT154">
        <f>IF(OR($JF34=0,calcA!$A$6=0),0,IF(OR(95=$HA34,95=$HD34,95=$HG34),200000,MIN(IF($HA34=0,999999,IF(4=$HB34,IF(95=$HJ34,IF($JC34=2,30,0),IF(95=$HK34,IF($JC34=1,30,0),ABS(23-$HC34)*100)),100000+ABS(4-$HB34)*1000+230)),IF($HD34=0,999999,IF(4=$HE34,IF(95=$HL34,IF($JD34=2,30,0),IF(95=$HM34,IF($JD34=1,30,0),ABS(23-$HF34)*100)),100000+ABS(4-$HE34)*1000+230)),IF($HG34=0,999999,IF(4=$HH34,IF(95=$HN34,IF($JE34=2,30,0),IF(95=$HO34,IF($JE34=1,30,0),ABS(23-$HI34)*100)),100000+ABS(4-$HH34)*1000+230)))-IF((95=$HJ34)+(95=$HK34)+(95=$HL34)+(95=$HM34)+(95=$HN34)+(95=$HO34)&gt;=2,50,0))+CT$5*50)</f>
        <v/>
      </c>
      <c r="CU154">
        <f>IF(OR($JF34=0,calcA!$A$6=0),0,IF(OR(96=$HA34,96=$HD34,96=$HG34),200000,MIN(IF($HA34=0,999999,IF(4=$HB34,IF(96=$HJ34,IF($JC34=2,30,0),IF(96=$HK34,IF($JC34=1,30,0),ABS(24-$HC34)*100)),100000+ABS(4-$HB34)*1000+240)),IF($HD34=0,999999,IF(4=$HE34,IF(96=$HL34,IF($JD34=2,30,0),IF(96=$HM34,IF($JD34=1,30,0),ABS(24-$HF34)*100)),100000+ABS(4-$HE34)*1000+240)),IF($HG34=0,999999,IF(4=$HH34,IF(96=$HN34,IF($JE34=2,30,0),IF(96=$HO34,IF($JE34=1,30,0),ABS(24-$HI34)*100)),100000+ABS(4-$HH34)*1000+240)))-IF((96=$HJ34)+(96=$HK34)+(96=$HL34)+(96=$HM34)+(96=$HN34)+(96=$HO34)&gt;=2,50,0))+CU$5*50)</f>
        <v/>
      </c>
      <c r="CV154">
        <f>IF(OR($JF34=0,calcA!$A$6=0),0,IF(OR(97=$HA34,97=$HD34,97=$HG34),200000,MIN(IF($HA34=0,999999,IF(5=$HB34,IF(97=$HJ34,IF($JC34=2,30,0),IF(97=$HK34,IF($JC34=1,30,0),ABS(1-$HC34)*100)),100000+ABS(5-$HB34)*1000+10)),IF($HD34=0,999999,IF(5=$HE34,IF(97=$HL34,IF($JD34=2,30,0),IF(97=$HM34,IF($JD34=1,30,0),ABS(1-$HF34)*100)),100000+ABS(5-$HE34)*1000+10)),IF($HG34=0,999999,IF(5=$HH34,IF(97=$HN34,IF($JE34=2,30,0),IF(97=$HO34,IF($JE34=1,30,0),ABS(1-$HI34)*100)),100000+ABS(5-$HH34)*1000+10)))-IF((97=$HJ34)+(97=$HK34)+(97=$HL34)+(97=$HM34)+(97=$HN34)+(97=$HO34)&gt;=2,50,0))+CV$5*50)</f>
        <v/>
      </c>
      <c r="CW154">
        <f>IF(OR($JF34=0,calcA!$A$6=0),0,IF(OR(98=$HA34,98=$HD34,98=$HG34),200000,MIN(IF($HA34=0,999999,IF(5=$HB34,IF(98=$HJ34,IF($JC34=2,30,0),IF(98=$HK34,IF($JC34=1,30,0),ABS(2-$HC34)*100)),100000+ABS(5-$HB34)*1000+20)),IF($HD34=0,999999,IF(5=$HE34,IF(98=$HL34,IF($JD34=2,30,0),IF(98=$HM34,IF($JD34=1,30,0),ABS(2-$HF34)*100)),100000+ABS(5-$HE34)*1000+20)),IF($HG34=0,999999,IF(5=$HH34,IF(98=$HN34,IF($JE34=2,30,0),IF(98=$HO34,IF($JE34=1,30,0),ABS(2-$HI34)*100)),100000+ABS(5-$HH34)*1000+20)))-IF((98=$HJ34)+(98=$HK34)+(98=$HL34)+(98=$HM34)+(98=$HN34)+(98=$HO34)&gt;=2,50,0))+CW$5*50)</f>
        <v/>
      </c>
      <c r="CX154">
        <f>IF(OR($JF34=0,calcA!$A$6=0),0,IF(OR(99=$HA34,99=$HD34,99=$HG34),200000,MIN(IF($HA34=0,999999,IF(5=$HB34,IF(99=$HJ34,IF($JC34=2,30,0),IF(99=$HK34,IF($JC34=1,30,0),ABS(3-$HC34)*100)),100000+ABS(5-$HB34)*1000+30)),IF($HD34=0,999999,IF(5=$HE34,IF(99=$HL34,IF($JD34=2,30,0),IF(99=$HM34,IF($JD34=1,30,0),ABS(3-$HF34)*100)),100000+ABS(5-$HE34)*1000+30)),IF($HG34=0,999999,IF(5=$HH34,IF(99=$HN34,IF($JE34=2,30,0),IF(99=$HO34,IF($JE34=1,30,0),ABS(3-$HI34)*100)),100000+ABS(5-$HH34)*1000+30)))-IF((99=$HJ34)+(99=$HK34)+(99=$HL34)+(99=$HM34)+(99=$HN34)+(99=$HO34)&gt;=2,50,0))+CX$5*50)</f>
        <v/>
      </c>
      <c r="CY154">
        <f>IF(OR($JF34=0,calcA!$A$6=0),0,IF(OR(100=$HA34,100=$HD34,100=$HG34),200000,MIN(IF($HA34=0,999999,IF(5=$HB34,IF(100=$HJ34,IF($JC34=2,30,0),IF(100=$HK34,IF($JC34=1,30,0),ABS(4-$HC34)*100)),100000+ABS(5-$HB34)*1000+40)),IF($HD34=0,999999,IF(5=$HE34,IF(100=$HL34,IF($JD34=2,30,0),IF(100=$HM34,IF($JD34=1,30,0),ABS(4-$HF34)*100)),100000+ABS(5-$HE34)*1000+40)),IF($HG34=0,999999,IF(5=$HH34,IF(100=$HN34,IF($JE34=2,30,0),IF(100=$HO34,IF($JE34=1,30,0),ABS(4-$HI34)*100)),100000+ABS(5-$HH34)*1000+40)))-IF((100=$HJ34)+(100=$HK34)+(100=$HL34)+(100=$HM34)+(100=$HN34)+(100=$HO34)&gt;=2,50,0))+CY$5*50)</f>
        <v/>
      </c>
      <c r="CZ154">
        <f>IF(OR($JF34=0,calcA!$A$6=0),0,IF(OR(101=$HA34,101=$HD34,101=$HG34),200000,MIN(IF($HA34=0,999999,IF(5=$HB34,IF(101=$HJ34,IF($JC34=2,30,0),IF(101=$HK34,IF($JC34=1,30,0),ABS(5-$HC34)*100)),100000+ABS(5-$HB34)*1000+50)),IF($HD34=0,999999,IF(5=$HE34,IF(101=$HL34,IF($JD34=2,30,0),IF(101=$HM34,IF($JD34=1,30,0),ABS(5-$HF34)*100)),100000+ABS(5-$HE34)*1000+50)),IF($HG34=0,999999,IF(5=$HH34,IF(101=$HN34,IF($JE34=2,30,0),IF(101=$HO34,IF($JE34=1,30,0),ABS(5-$HI34)*100)),100000+ABS(5-$HH34)*1000+50)))-IF((101=$HJ34)+(101=$HK34)+(101=$HL34)+(101=$HM34)+(101=$HN34)+(101=$HO34)&gt;=2,50,0))+CZ$5*50)</f>
        <v/>
      </c>
      <c r="DA154">
        <f>IF(OR($JF34=0,calcA!$A$6=0),0,IF(OR(102=$HA34,102=$HD34,102=$HG34),200000,MIN(IF($HA34=0,999999,IF(5=$HB34,IF(102=$HJ34,IF($JC34=2,30,0),IF(102=$HK34,IF($JC34=1,30,0),ABS(6-$HC34)*100)),100000+ABS(5-$HB34)*1000+60)),IF($HD34=0,999999,IF(5=$HE34,IF(102=$HL34,IF($JD34=2,30,0),IF(102=$HM34,IF($JD34=1,30,0),ABS(6-$HF34)*100)),100000+ABS(5-$HE34)*1000+60)),IF($HG34=0,999999,IF(5=$HH34,IF(102=$HN34,IF($JE34=2,30,0),IF(102=$HO34,IF($JE34=1,30,0),ABS(6-$HI34)*100)),100000+ABS(5-$HH34)*1000+60)))-IF((102=$HJ34)+(102=$HK34)+(102=$HL34)+(102=$HM34)+(102=$HN34)+(102=$HO34)&gt;=2,50,0))+DA$5*50)</f>
        <v/>
      </c>
      <c r="DB154">
        <f>IF(OR($JF34=0,calcA!$A$6=0),0,IF(OR(103=$HA34,103=$HD34,103=$HG34),200000,MIN(IF($HA34=0,999999,IF(5=$HB34,IF(103=$HJ34,IF($JC34=2,30,0),IF(103=$HK34,IF($JC34=1,30,0),ABS(7-$HC34)*100)),100000+ABS(5-$HB34)*1000+70)),IF($HD34=0,999999,IF(5=$HE34,IF(103=$HL34,IF($JD34=2,30,0),IF(103=$HM34,IF($JD34=1,30,0),ABS(7-$HF34)*100)),100000+ABS(5-$HE34)*1000+70)),IF($HG34=0,999999,IF(5=$HH34,IF(103=$HN34,IF($JE34=2,30,0),IF(103=$HO34,IF($JE34=1,30,0),ABS(7-$HI34)*100)),100000+ABS(5-$HH34)*1000+70)))-IF((103=$HJ34)+(103=$HK34)+(103=$HL34)+(103=$HM34)+(103=$HN34)+(103=$HO34)&gt;=2,50,0))+DB$5*50)</f>
        <v/>
      </c>
      <c r="DC154">
        <f>IF(OR($JF34=0,calcA!$A$6=0),0,IF(OR(104=$HA34,104=$HD34,104=$HG34),200000,MIN(IF($HA34=0,999999,IF(5=$HB34,IF(104=$HJ34,IF($JC34=2,30,0),IF(104=$HK34,IF($JC34=1,30,0),ABS(8-$HC34)*100)),100000+ABS(5-$HB34)*1000+80)),IF($HD34=0,999999,IF(5=$HE34,IF(104=$HL34,IF($JD34=2,30,0),IF(104=$HM34,IF($JD34=1,30,0),ABS(8-$HF34)*100)),100000+ABS(5-$HE34)*1000+80)),IF($HG34=0,999999,IF(5=$HH34,IF(104=$HN34,IF($JE34=2,30,0),IF(104=$HO34,IF($JE34=1,30,0),ABS(8-$HI34)*100)),100000+ABS(5-$HH34)*1000+80)))-IF((104=$HJ34)+(104=$HK34)+(104=$HL34)+(104=$HM34)+(104=$HN34)+(104=$HO34)&gt;=2,50,0))+DC$5*50)</f>
        <v/>
      </c>
      <c r="DD154">
        <f>IF(OR($JF34=0,calcA!$A$6=0),0,IF(OR(105=$HA34,105=$HD34,105=$HG34),200000,MIN(IF($HA34=0,999999,IF(5=$HB34,IF(105=$HJ34,IF($JC34=2,30,0),IF(105=$HK34,IF($JC34=1,30,0),ABS(9-$HC34)*100)),100000+ABS(5-$HB34)*1000+90)),IF($HD34=0,999999,IF(5=$HE34,IF(105=$HL34,IF($JD34=2,30,0),IF(105=$HM34,IF($JD34=1,30,0),ABS(9-$HF34)*100)),100000+ABS(5-$HE34)*1000+90)),IF($HG34=0,999999,IF(5=$HH34,IF(105=$HN34,IF($JE34=2,30,0),IF(105=$HO34,IF($JE34=1,30,0),ABS(9-$HI34)*100)),100000+ABS(5-$HH34)*1000+90)))-IF((105=$HJ34)+(105=$HK34)+(105=$HL34)+(105=$HM34)+(105=$HN34)+(105=$HO34)&gt;=2,50,0))+DD$5*50)</f>
        <v/>
      </c>
      <c r="DE154">
        <f>IF(OR($JF34=0,calcA!$A$6=0),0,IF(OR(106=$HA34,106=$HD34,106=$HG34),200000,MIN(IF($HA34=0,999999,IF(5=$HB34,IF(106=$HJ34,IF($JC34=2,30,0),IF(106=$HK34,IF($JC34=1,30,0),ABS(10-$HC34)*100)),100000+ABS(5-$HB34)*1000+100)),IF($HD34=0,999999,IF(5=$HE34,IF(106=$HL34,IF($JD34=2,30,0),IF(106=$HM34,IF($JD34=1,30,0),ABS(10-$HF34)*100)),100000+ABS(5-$HE34)*1000+100)),IF($HG34=0,999999,IF(5=$HH34,IF(106=$HN34,IF($JE34=2,30,0),IF(106=$HO34,IF($JE34=1,30,0),ABS(10-$HI34)*100)),100000+ABS(5-$HH34)*1000+100)))-IF((106=$HJ34)+(106=$HK34)+(106=$HL34)+(106=$HM34)+(106=$HN34)+(106=$HO34)&gt;=2,50,0))+DE$5*50)</f>
        <v/>
      </c>
      <c r="DF154">
        <f>IF(OR($JF34=0,calcA!$A$6=0),0,IF(OR(107=$HA34,107=$HD34,107=$HG34),200000,MIN(IF($HA34=0,999999,IF(5=$HB34,IF(107=$HJ34,IF($JC34=2,30,0),IF(107=$HK34,IF($JC34=1,30,0),ABS(11-$HC34)*100)),100000+ABS(5-$HB34)*1000+110)),IF($HD34=0,999999,IF(5=$HE34,IF(107=$HL34,IF($JD34=2,30,0),IF(107=$HM34,IF($JD34=1,30,0),ABS(11-$HF34)*100)),100000+ABS(5-$HE34)*1000+110)),IF($HG34=0,999999,IF(5=$HH34,IF(107=$HN34,IF($JE34=2,30,0),IF(107=$HO34,IF($JE34=1,30,0),ABS(11-$HI34)*100)),100000+ABS(5-$HH34)*1000+110)))-IF((107=$HJ34)+(107=$HK34)+(107=$HL34)+(107=$HM34)+(107=$HN34)+(107=$HO34)&gt;=2,50,0))+DF$5*50)</f>
        <v/>
      </c>
      <c r="DG154">
        <f>IF(OR($JF34=0,calcA!$A$6=0),0,IF(OR(108=$HA34,108=$HD34,108=$HG34),200000,MIN(IF($HA34=0,999999,IF(5=$HB34,IF(108=$HJ34,IF($JC34=2,30,0),IF(108=$HK34,IF($JC34=1,30,0),ABS(12-$HC34)*100)),100000+ABS(5-$HB34)*1000+120)),IF($HD34=0,999999,IF(5=$HE34,IF(108=$HL34,IF($JD34=2,30,0),IF(108=$HM34,IF($JD34=1,30,0),ABS(12-$HF34)*100)),100000+ABS(5-$HE34)*1000+120)),IF($HG34=0,999999,IF(5=$HH34,IF(108=$HN34,IF($JE34=2,30,0),IF(108=$HO34,IF($JE34=1,30,0),ABS(12-$HI34)*100)),100000+ABS(5-$HH34)*1000+120)))-IF((108=$HJ34)+(108=$HK34)+(108=$HL34)+(108=$HM34)+(108=$HN34)+(108=$HO34)&gt;=2,50,0))+DG$5*50)</f>
        <v/>
      </c>
      <c r="DH154">
        <f>IF(OR($JF34=0,calcA!$A$6=0),0,IF(OR(109=$HA34,109=$HD34,109=$HG34),200000,MIN(IF($HA34=0,999999,IF(5=$HB34,IF(109=$HJ34,IF($JC34=2,30,0),IF(109=$HK34,IF($JC34=1,30,0),ABS(13-$HC34)*100)),100000+ABS(5-$HB34)*1000+130)),IF($HD34=0,999999,IF(5=$HE34,IF(109=$HL34,IF($JD34=2,30,0),IF(109=$HM34,IF($JD34=1,30,0),ABS(13-$HF34)*100)),100000+ABS(5-$HE34)*1000+130)),IF($HG34=0,999999,IF(5=$HH34,IF(109=$HN34,IF($JE34=2,30,0),IF(109=$HO34,IF($JE34=1,30,0),ABS(13-$HI34)*100)),100000+ABS(5-$HH34)*1000+130)))-IF((109=$HJ34)+(109=$HK34)+(109=$HL34)+(109=$HM34)+(109=$HN34)+(109=$HO34)&gt;=2,50,0))+DH$5*50)</f>
        <v/>
      </c>
      <c r="DI154">
        <f>IF(OR($JF34=0,calcA!$A$6=0),0,IF(OR(110=$HA34,110=$HD34,110=$HG34),200000,MIN(IF($HA34=0,999999,IF(5=$HB34,IF(110=$HJ34,IF($JC34=2,30,0),IF(110=$HK34,IF($JC34=1,30,0),ABS(14-$HC34)*100)),100000+ABS(5-$HB34)*1000+140)),IF($HD34=0,999999,IF(5=$HE34,IF(110=$HL34,IF($JD34=2,30,0),IF(110=$HM34,IF($JD34=1,30,0),ABS(14-$HF34)*100)),100000+ABS(5-$HE34)*1000+140)),IF($HG34=0,999999,IF(5=$HH34,IF(110=$HN34,IF($JE34=2,30,0),IF(110=$HO34,IF($JE34=1,30,0),ABS(14-$HI34)*100)),100000+ABS(5-$HH34)*1000+140)))-IF((110=$HJ34)+(110=$HK34)+(110=$HL34)+(110=$HM34)+(110=$HN34)+(110=$HO34)&gt;=2,50,0))+DI$5*50)</f>
        <v/>
      </c>
      <c r="DJ154">
        <f>IF(OR($JF34=0,calcA!$A$6=0),0,IF(OR(111=$HA34,111=$HD34,111=$HG34),200000,MIN(IF($HA34=0,999999,IF(5=$HB34,IF(111=$HJ34,IF($JC34=2,30,0),IF(111=$HK34,IF($JC34=1,30,0),ABS(15-$HC34)*100)),100000+ABS(5-$HB34)*1000+150)),IF($HD34=0,999999,IF(5=$HE34,IF(111=$HL34,IF($JD34=2,30,0),IF(111=$HM34,IF($JD34=1,30,0),ABS(15-$HF34)*100)),100000+ABS(5-$HE34)*1000+150)),IF($HG34=0,999999,IF(5=$HH34,IF(111=$HN34,IF($JE34=2,30,0),IF(111=$HO34,IF($JE34=1,30,0),ABS(15-$HI34)*100)),100000+ABS(5-$HH34)*1000+150)))-IF((111=$HJ34)+(111=$HK34)+(111=$HL34)+(111=$HM34)+(111=$HN34)+(111=$HO34)&gt;=2,50,0))+DJ$5*50)</f>
        <v/>
      </c>
      <c r="DK154">
        <f>IF(OR($JF34=0,calcA!$A$6=0),0,IF(OR(112=$HA34,112=$HD34,112=$HG34),200000,MIN(IF($HA34=0,999999,IF(5=$HB34,IF(112=$HJ34,IF($JC34=2,30,0),IF(112=$HK34,IF($JC34=1,30,0),ABS(16-$HC34)*100)),100000+ABS(5-$HB34)*1000+160)),IF($HD34=0,999999,IF(5=$HE34,IF(112=$HL34,IF($JD34=2,30,0),IF(112=$HM34,IF($JD34=1,30,0),ABS(16-$HF34)*100)),100000+ABS(5-$HE34)*1000+160)),IF($HG34=0,999999,IF(5=$HH34,IF(112=$HN34,IF($JE34=2,30,0),IF(112=$HO34,IF($JE34=1,30,0),ABS(16-$HI34)*100)),100000+ABS(5-$HH34)*1000+160)))-IF((112=$HJ34)+(112=$HK34)+(112=$HL34)+(112=$HM34)+(112=$HN34)+(112=$HO34)&gt;=2,50,0))+DK$5*50)</f>
        <v/>
      </c>
      <c r="DL154">
        <f>IF(OR($JF34=0,calcA!$A$6=0),0,IF(OR(113=$HA34,113=$HD34,113=$HG34),200000,MIN(IF($HA34=0,999999,IF(5=$HB34,IF(113=$HJ34,IF($JC34=2,30,0),IF(113=$HK34,IF($JC34=1,30,0),ABS(17-$HC34)*100)),100000+ABS(5-$HB34)*1000+170)),IF($HD34=0,999999,IF(5=$HE34,IF(113=$HL34,IF($JD34=2,30,0),IF(113=$HM34,IF($JD34=1,30,0),ABS(17-$HF34)*100)),100000+ABS(5-$HE34)*1000+170)),IF($HG34=0,999999,IF(5=$HH34,IF(113=$HN34,IF($JE34=2,30,0),IF(113=$HO34,IF($JE34=1,30,0),ABS(17-$HI34)*100)),100000+ABS(5-$HH34)*1000+170)))-IF((113=$HJ34)+(113=$HK34)+(113=$HL34)+(113=$HM34)+(113=$HN34)+(113=$HO34)&gt;=2,50,0))+DL$5*50)</f>
        <v/>
      </c>
      <c r="DM154">
        <f>IF(OR($JF34=0,calcA!$A$6=0),0,IF(OR(114=$HA34,114=$HD34,114=$HG34),200000,MIN(IF($HA34=0,999999,IF(5=$HB34,IF(114=$HJ34,IF($JC34=2,30,0),IF(114=$HK34,IF($JC34=1,30,0),ABS(18-$HC34)*100)),100000+ABS(5-$HB34)*1000+180)),IF($HD34=0,999999,IF(5=$HE34,IF(114=$HL34,IF($JD34=2,30,0),IF(114=$HM34,IF($JD34=1,30,0),ABS(18-$HF34)*100)),100000+ABS(5-$HE34)*1000+180)),IF($HG34=0,999999,IF(5=$HH34,IF(114=$HN34,IF($JE34=2,30,0),IF(114=$HO34,IF($JE34=1,30,0),ABS(18-$HI34)*100)),100000+ABS(5-$HH34)*1000+180)))-IF((114=$HJ34)+(114=$HK34)+(114=$HL34)+(114=$HM34)+(114=$HN34)+(114=$HO34)&gt;=2,50,0))+DM$5*50)</f>
        <v/>
      </c>
      <c r="DN154">
        <f>IF(OR($JF34=0,calcA!$A$6=0),0,IF(OR(115=$HA34,115=$HD34,115=$HG34),200000,MIN(IF($HA34=0,999999,IF(5=$HB34,IF(115=$HJ34,IF($JC34=2,30,0),IF(115=$HK34,IF($JC34=1,30,0),ABS(19-$HC34)*100)),100000+ABS(5-$HB34)*1000+190)),IF($HD34=0,999999,IF(5=$HE34,IF(115=$HL34,IF($JD34=2,30,0),IF(115=$HM34,IF($JD34=1,30,0),ABS(19-$HF34)*100)),100000+ABS(5-$HE34)*1000+190)),IF($HG34=0,999999,IF(5=$HH34,IF(115=$HN34,IF($JE34=2,30,0),IF(115=$HO34,IF($JE34=1,30,0),ABS(19-$HI34)*100)),100000+ABS(5-$HH34)*1000+190)))-IF((115=$HJ34)+(115=$HK34)+(115=$HL34)+(115=$HM34)+(115=$HN34)+(115=$HO34)&gt;=2,50,0))+DN$5*50)</f>
        <v/>
      </c>
      <c r="DO154">
        <f>IF(OR($JF34=0,calcA!$A$6=0),0,IF(OR(116=$HA34,116=$HD34,116=$HG34),200000,MIN(IF($HA34=0,999999,IF(5=$HB34,IF(116=$HJ34,IF($JC34=2,30,0),IF(116=$HK34,IF($JC34=1,30,0),ABS(20-$HC34)*100)),100000+ABS(5-$HB34)*1000+200)),IF($HD34=0,999999,IF(5=$HE34,IF(116=$HL34,IF($JD34=2,30,0),IF(116=$HM34,IF($JD34=1,30,0),ABS(20-$HF34)*100)),100000+ABS(5-$HE34)*1000+200)),IF($HG34=0,999999,IF(5=$HH34,IF(116=$HN34,IF($JE34=2,30,0),IF(116=$HO34,IF($JE34=1,30,0),ABS(20-$HI34)*100)),100000+ABS(5-$HH34)*1000+200)))-IF((116=$HJ34)+(116=$HK34)+(116=$HL34)+(116=$HM34)+(116=$HN34)+(116=$HO34)&gt;=2,50,0))+DO$5*50)</f>
        <v/>
      </c>
      <c r="DP154">
        <f>IF(OR($JF34=0,calcA!$A$6=0),0,IF(OR(117=$HA34,117=$HD34,117=$HG34),200000,MIN(IF($HA34=0,999999,IF(5=$HB34,IF(117=$HJ34,IF($JC34=2,30,0),IF(117=$HK34,IF($JC34=1,30,0),ABS(21-$HC34)*100)),100000+ABS(5-$HB34)*1000+210)),IF($HD34=0,999999,IF(5=$HE34,IF(117=$HL34,IF($JD34=2,30,0),IF(117=$HM34,IF($JD34=1,30,0),ABS(21-$HF34)*100)),100000+ABS(5-$HE34)*1000+210)),IF($HG34=0,999999,IF(5=$HH34,IF(117=$HN34,IF($JE34=2,30,0),IF(117=$HO34,IF($JE34=1,30,0),ABS(21-$HI34)*100)),100000+ABS(5-$HH34)*1000+210)))-IF((117=$HJ34)+(117=$HK34)+(117=$HL34)+(117=$HM34)+(117=$HN34)+(117=$HO34)&gt;=2,50,0))+DP$5*50)</f>
        <v/>
      </c>
      <c r="DQ154">
        <f>IF(OR($JF34=0,calcA!$A$6=0),0,IF(OR(118=$HA34,118=$HD34,118=$HG34),200000,MIN(IF($HA34=0,999999,IF(5=$HB34,IF(118=$HJ34,IF($JC34=2,30,0),IF(118=$HK34,IF($JC34=1,30,0),ABS(22-$HC34)*100)),100000+ABS(5-$HB34)*1000+220)),IF($HD34=0,999999,IF(5=$HE34,IF(118=$HL34,IF($JD34=2,30,0),IF(118=$HM34,IF($JD34=1,30,0),ABS(22-$HF34)*100)),100000+ABS(5-$HE34)*1000+220)),IF($HG34=0,999999,IF(5=$HH34,IF(118=$HN34,IF($JE34=2,30,0),IF(118=$HO34,IF($JE34=1,30,0),ABS(22-$HI34)*100)),100000+ABS(5-$HH34)*1000+220)))-IF((118=$HJ34)+(118=$HK34)+(118=$HL34)+(118=$HM34)+(118=$HN34)+(118=$HO34)&gt;=2,50,0))+DQ$5*50)</f>
        <v/>
      </c>
      <c r="DR154">
        <f>IF(OR($JF34=0,calcA!$A$6=0),0,IF(OR(119=$HA34,119=$HD34,119=$HG34),200000,MIN(IF($HA34=0,999999,IF(5=$HB34,IF(119=$HJ34,IF($JC34=2,30,0),IF(119=$HK34,IF($JC34=1,30,0),ABS(23-$HC34)*100)),100000+ABS(5-$HB34)*1000+230)),IF($HD34=0,999999,IF(5=$HE34,IF(119=$HL34,IF($JD34=2,30,0),IF(119=$HM34,IF($JD34=1,30,0),ABS(23-$HF34)*100)),100000+ABS(5-$HE34)*1000+230)),IF($HG34=0,999999,IF(5=$HH34,IF(119=$HN34,IF($JE34=2,30,0),IF(119=$HO34,IF($JE34=1,30,0),ABS(23-$HI34)*100)),100000+ABS(5-$HH34)*1000+230)))-IF((119=$HJ34)+(119=$HK34)+(119=$HL34)+(119=$HM34)+(119=$HN34)+(119=$HO34)&gt;=2,50,0))+DR$5*50)</f>
        <v/>
      </c>
      <c r="DS154">
        <f>IF(OR($JF34=0,calcA!$A$6=0),0,IF(OR(120=$HA34,120=$HD34,120=$HG34),200000,MIN(IF($HA34=0,999999,IF(5=$HB34,IF(120=$HJ34,IF($JC34=2,30,0),IF(120=$HK34,IF($JC34=1,30,0),ABS(24-$HC34)*100)),100000+ABS(5-$HB34)*1000+240)),IF($HD34=0,999999,IF(5=$HE34,IF(120=$HL34,IF($JD34=2,30,0),IF(120=$HM34,IF($JD34=1,30,0),ABS(24-$HF34)*100)),100000+ABS(5-$HE34)*1000+240)),IF($HG34=0,999999,IF(5=$HH34,IF(120=$HN34,IF($JE34=2,30,0),IF(120=$HO34,IF($JE34=1,30,0),ABS(24-$HI34)*100)),100000+ABS(5-$HH34)*1000+240)))-IF((120=$HJ34)+(120=$HK34)+(120=$HL34)+(120=$HM34)+(120=$HN34)+(120=$HO34)&gt;=2,50,0))+DS$5*50)</f>
        <v/>
      </c>
      <c r="DT154">
        <f>IF(OR($JF34=0,calcA!$A$6=0),0,IF(OR(121=$HA34,121=$HD34,121=$HG34),200000,MIN(IF($HA34=0,999999,IF(6=$HB34,IF(121=$HJ34,IF($JC34=2,30,0),IF(121=$HK34,IF($JC34=1,30,0),ABS(1-$HC34)*100)),100000+ABS(6-$HB34)*1000+10)),IF($HD34=0,999999,IF(6=$HE34,IF(121=$HL34,IF($JD34=2,30,0),IF(121=$HM34,IF($JD34=1,30,0),ABS(1-$HF34)*100)),100000+ABS(6-$HE34)*1000+10)),IF($HG34=0,999999,IF(6=$HH34,IF(121=$HN34,IF($JE34=2,30,0),IF(121=$HO34,IF($JE34=1,30,0),ABS(1-$HI34)*100)),100000+ABS(6-$HH34)*1000+10)))-IF((121=$HJ34)+(121=$HK34)+(121=$HL34)+(121=$HM34)+(121=$HN34)+(121=$HO34)&gt;=2,50,0))+DT$5*50)</f>
        <v/>
      </c>
      <c r="DU154">
        <f>IF(OR($JF34=0,calcA!$A$6=0),0,IF(OR(122=$HA34,122=$HD34,122=$HG34),200000,MIN(IF($HA34=0,999999,IF(6=$HB34,IF(122=$HJ34,IF($JC34=2,30,0),IF(122=$HK34,IF($JC34=1,30,0),ABS(2-$HC34)*100)),100000+ABS(6-$HB34)*1000+20)),IF($HD34=0,999999,IF(6=$HE34,IF(122=$HL34,IF($JD34=2,30,0),IF(122=$HM34,IF($JD34=1,30,0),ABS(2-$HF34)*100)),100000+ABS(6-$HE34)*1000+20)),IF($HG34=0,999999,IF(6=$HH34,IF(122=$HN34,IF($JE34=2,30,0),IF(122=$HO34,IF($JE34=1,30,0),ABS(2-$HI34)*100)),100000+ABS(6-$HH34)*1000+20)))-IF((122=$HJ34)+(122=$HK34)+(122=$HL34)+(122=$HM34)+(122=$HN34)+(122=$HO34)&gt;=2,50,0))+DU$5*50)</f>
        <v/>
      </c>
      <c r="DV154">
        <f>IF(OR($JF34=0,calcA!$A$6=0),0,IF(OR(123=$HA34,123=$HD34,123=$HG34),200000,MIN(IF($HA34=0,999999,IF(6=$HB34,IF(123=$HJ34,IF($JC34=2,30,0),IF(123=$HK34,IF($JC34=1,30,0),ABS(3-$HC34)*100)),100000+ABS(6-$HB34)*1000+30)),IF($HD34=0,999999,IF(6=$HE34,IF(123=$HL34,IF($JD34=2,30,0),IF(123=$HM34,IF($JD34=1,30,0),ABS(3-$HF34)*100)),100000+ABS(6-$HE34)*1000+30)),IF($HG34=0,999999,IF(6=$HH34,IF(123=$HN34,IF($JE34=2,30,0),IF(123=$HO34,IF($JE34=1,30,0),ABS(3-$HI34)*100)),100000+ABS(6-$HH34)*1000+30)))-IF((123=$HJ34)+(123=$HK34)+(123=$HL34)+(123=$HM34)+(123=$HN34)+(123=$HO34)&gt;=2,50,0))+DV$5*50)</f>
        <v/>
      </c>
      <c r="DW154">
        <f>IF(OR($JF34=0,calcA!$A$6=0),0,IF(OR(124=$HA34,124=$HD34,124=$HG34),200000,MIN(IF($HA34=0,999999,IF(6=$HB34,IF(124=$HJ34,IF($JC34=2,30,0),IF(124=$HK34,IF($JC34=1,30,0),ABS(4-$HC34)*100)),100000+ABS(6-$HB34)*1000+40)),IF($HD34=0,999999,IF(6=$HE34,IF(124=$HL34,IF($JD34=2,30,0),IF(124=$HM34,IF($JD34=1,30,0),ABS(4-$HF34)*100)),100000+ABS(6-$HE34)*1000+40)),IF($HG34=0,999999,IF(6=$HH34,IF(124=$HN34,IF($JE34=2,30,0),IF(124=$HO34,IF($JE34=1,30,0),ABS(4-$HI34)*100)),100000+ABS(6-$HH34)*1000+40)))-IF((124=$HJ34)+(124=$HK34)+(124=$HL34)+(124=$HM34)+(124=$HN34)+(124=$HO34)&gt;=2,50,0))+DW$5*50)</f>
        <v/>
      </c>
      <c r="DX154">
        <f>IF(OR($JF34=0,calcA!$A$6=0),0,IF(OR(125=$HA34,125=$HD34,125=$HG34),200000,MIN(IF($HA34=0,999999,IF(6=$HB34,IF(125=$HJ34,IF($JC34=2,30,0),IF(125=$HK34,IF($JC34=1,30,0),ABS(5-$HC34)*100)),100000+ABS(6-$HB34)*1000+50)),IF($HD34=0,999999,IF(6=$HE34,IF(125=$HL34,IF($JD34=2,30,0),IF(125=$HM34,IF($JD34=1,30,0),ABS(5-$HF34)*100)),100000+ABS(6-$HE34)*1000+50)),IF($HG34=0,999999,IF(6=$HH34,IF(125=$HN34,IF($JE34=2,30,0),IF(125=$HO34,IF($JE34=1,30,0),ABS(5-$HI34)*100)),100000+ABS(6-$HH34)*1000+50)))-IF((125=$HJ34)+(125=$HK34)+(125=$HL34)+(125=$HM34)+(125=$HN34)+(125=$HO34)&gt;=2,50,0))+DX$5*50)</f>
        <v/>
      </c>
      <c r="DY154">
        <f>IF(OR($JF34=0,calcA!$A$6=0),0,IF(OR(126=$HA34,126=$HD34,126=$HG34),200000,MIN(IF($HA34=0,999999,IF(6=$HB34,IF(126=$HJ34,IF($JC34=2,30,0),IF(126=$HK34,IF($JC34=1,30,0),ABS(6-$HC34)*100)),100000+ABS(6-$HB34)*1000+60)),IF($HD34=0,999999,IF(6=$HE34,IF(126=$HL34,IF($JD34=2,30,0),IF(126=$HM34,IF($JD34=1,30,0),ABS(6-$HF34)*100)),100000+ABS(6-$HE34)*1000+60)),IF($HG34=0,999999,IF(6=$HH34,IF(126=$HN34,IF($JE34=2,30,0),IF(126=$HO34,IF($JE34=1,30,0),ABS(6-$HI34)*100)),100000+ABS(6-$HH34)*1000+60)))-IF((126=$HJ34)+(126=$HK34)+(126=$HL34)+(126=$HM34)+(126=$HN34)+(126=$HO34)&gt;=2,50,0))+DY$5*50)</f>
        <v/>
      </c>
      <c r="DZ154">
        <f>IF(OR($JF34=0,calcA!$A$6=0),0,IF(OR(127=$HA34,127=$HD34,127=$HG34),200000,MIN(IF($HA34=0,999999,IF(6=$HB34,IF(127=$HJ34,IF($JC34=2,30,0),IF(127=$HK34,IF($JC34=1,30,0),ABS(7-$HC34)*100)),100000+ABS(6-$HB34)*1000+70)),IF($HD34=0,999999,IF(6=$HE34,IF(127=$HL34,IF($JD34=2,30,0),IF(127=$HM34,IF($JD34=1,30,0),ABS(7-$HF34)*100)),100000+ABS(6-$HE34)*1000+70)),IF($HG34=0,999999,IF(6=$HH34,IF(127=$HN34,IF($JE34=2,30,0),IF(127=$HO34,IF($JE34=1,30,0),ABS(7-$HI34)*100)),100000+ABS(6-$HH34)*1000+70)))-IF((127=$HJ34)+(127=$HK34)+(127=$HL34)+(127=$HM34)+(127=$HN34)+(127=$HO34)&gt;=2,50,0))+DZ$5*50)</f>
        <v/>
      </c>
      <c r="EA154">
        <f>IF(OR($JF34=0,calcA!$A$6=0),0,IF(OR(128=$HA34,128=$HD34,128=$HG34),200000,MIN(IF($HA34=0,999999,IF(6=$HB34,IF(128=$HJ34,IF($JC34=2,30,0),IF(128=$HK34,IF($JC34=1,30,0),ABS(8-$HC34)*100)),100000+ABS(6-$HB34)*1000+80)),IF($HD34=0,999999,IF(6=$HE34,IF(128=$HL34,IF($JD34=2,30,0),IF(128=$HM34,IF($JD34=1,30,0),ABS(8-$HF34)*100)),100000+ABS(6-$HE34)*1000+80)),IF($HG34=0,999999,IF(6=$HH34,IF(128=$HN34,IF($JE34=2,30,0),IF(128=$HO34,IF($JE34=1,30,0),ABS(8-$HI34)*100)),100000+ABS(6-$HH34)*1000+80)))-IF((128=$HJ34)+(128=$HK34)+(128=$HL34)+(128=$HM34)+(128=$HN34)+(128=$HO34)&gt;=2,50,0))+EA$5*50)</f>
        <v/>
      </c>
      <c r="EB154">
        <f>IF(OR($JF34=0,calcA!$A$6=0),0,IF(OR(129=$HA34,129=$HD34,129=$HG34),200000,MIN(IF($HA34=0,999999,IF(6=$HB34,IF(129=$HJ34,IF($JC34=2,30,0),IF(129=$HK34,IF($JC34=1,30,0),ABS(9-$HC34)*100)),100000+ABS(6-$HB34)*1000+90)),IF($HD34=0,999999,IF(6=$HE34,IF(129=$HL34,IF($JD34=2,30,0),IF(129=$HM34,IF($JD34=1,30,0),ABS(9-$HF34)*100)),100000+ABS(6-$HE34)*1000+90)),IF($HG34=0,999999,IF(6=$HH34,IF(129=$HN34,IF($JE34=2,30,0),IF(129=$HO34,IF($JE34=1,30,0),ABS(9-$HI34)*100)),100000+ABS(6-$HH34)*1000+90)))-IF((129=$HJ34)+(129=$HK34)+(129=$HL34)+(129=$HM34)+(129=$HN34)+(129=$HO34)&gt;=2,50,0))+EB$5*50)</f>
        <v/>
      </c>
      <c r="EC154">
        <f>IF(OR($JF34=0,calcA!$A$6=0),0,IF(OR(130=$HA34,130=$HD34,130=$HG34),200000,MIN(IF($HA34=0,999999,IF(6=$HB34,IF(130=$HJ34,IF($JC34=2,30,0),IF(130=$HK34,IF($JC34=1,30,0),ABS(10-$HC34)*100)),100000+ABS(6-$HB34)*1000+100)),IF($HD34=0,999999,IF(6=$HE34,IF(130=$HL34,IF($JD34=2,30,0),IF(130=$HM34,IF($JD34=1,30,0),ABS(10-$HF34)*100)),100000+ABS(6-$HE34)*1000+100)),IF($HG34=0,999999,IF(6=$HH34,IF(130=$HN34,IF($JE34=2,30,0),IF(130=$HO34,IF($JE34=1,30,0),ABS(10-$HI34)*100)),100000+ABS(6-$HH34)*1000+100)))-IF((130=$HJ34)+(130=$HK34)+(130=$HL34)+(130=$HM34)+(130=$HN34)+(130=$HO34)&gt;=2,50,0))+EC$5*50)</f>
        <v/>
      </c>
      <c r="ED154">
        <f>IF(OR($JF34=0,calcA!$A$6=0),0,IF(OR(131=$HA34,131=$HD34,131=$HG34),200000,MIN(IF($HA34=0,999999,IF(6=$HB34,IF(131=$HJ34,IF($JC34=2,30,0),IF(131=$HK34,IF($JC34=1,30,0),ABS(11-$HC34)*100)),100000+ABS(6-$HB34)*1000+110)),IF($HD34=0,999999,IF(6=$HE34,IF(131=$HL34,IF($JD34=2,30,0),IF(131=$HM34,IF($JD34=1,30,0),ABS(11-$HF34)*100)),100000+ABS(6-$HE34)*1000+110)),IF($HG34=0,999999,IF(6=$HH34,IF(131=$HN34,IF($JE34=2,30,0),IF(131=$HO34,IF($JE34=1,30,0),ABS(11-$HI34)*100)),100000+ABS(6-$HH34)*1000+110)))-IF((131=$HJ34)+(131=$HK34)+(131=$HL34)+(131=$HM34)+(131=$HN34)+(131=$HO34)&gt;=2,50,0))+ED$5*50)</f>
        <v/>
      </c>
      <c r="EE154">
        <f>IF(OR($JF34=0,calcA!$A$6=0),0,IF(OR(132=$HA34,132=$HD34,132=$HG34),200000,MIN(IF($HA34=0,999999,IF(6=$HB34,IF(132=$HJ34,IF($JC34=2,30,0),IF(132=$HK34,IF($JC34=1,30,0),ABS(12-$HC34)*100)),100000+ABS(6-$HB34)*1000+120)),IF($HD34=0,999999,IF(6=$HE34,IF(132=$HL34,IF($JD34=2,30,0),IF(132=$HM34,IF($JD34=1,30,0),ABS(12-$HF34)*100)),100000+ABS(6-$HE34)*1000+120)),IF($HG34=0,999999,IF(6=$HH34,IF(132=$HN34,IF($JE34=2,30,0),IF(132=$HO34,IF($JE34=1,30,0),ABS(12-$HI34)*100)),100000+ABS(6-$HH34)*1000+120)))-IF((132=$HJ34)+(132=$HK34)+(132=$HL34)+(132=$HM34)+(132=$HN34)+(132=$HO34)&gt;=2,50,0))+EE$5*50)</f>
        <v/>
      </c>
      <c r="EF154">
        <f>IF(OR($JF34=0,calcA!$A$6=0),0,IF(OR(133=$HA34,133=$HD34,133=$HG34),200000,MIN(IF($HA34=0,999999,IF(6=$HB34,IF(133=$HJ34,IF($JC34=2,30,0),IF(133=$HK34,IF($JC34=1,30,0),ABS(13-$HC34)*100)),100000+ABS(6-$HB34)*1000+130)),IF($HD34=0,999999,IF(6=$HE34,IF(133=$HL34,IF($JD34=2,30,0),IF(133=$HM34,IF($JD34=1,30,0),ABS(13-$HF34)*100)),100000+ABS(6-$HE34)*1000+130)),IF($HG34=0,999999,IF(6=$HH34,IF(133=$HN34,IF($JE34=2,30,0),IF(133=$HO34,IF($JE34=1,30,0),ABS(13-$HI34)*100)),100000+ABS(6-$HH34)*1000+130)))-IF((133=$HJ34)+(133=$HK34)+(133=$HL34)+(133=$HM34)+(133=$HN34)+(133=$HO34)&gt;=2,50,0))+EF$5*50)</f>
        <v/>
      </c>
      <c r="EG154">
        <f>IF(OR($JF34=0,calcA!$A$6=0),0,IF(OR(134=$HA34,134=$HD34,134=$HG34),200000,MIN(IF($HA34=0,999999,IF(6=$HB34,IF(134=$HJ34,IF($JC34=2,30,0),IF(134=$HK34,IF($JC34=1,30,0),ABS(14-$HC34)*100)),100000+ABS(6-$HB34)*1000+140)),IF($HD34=0,999999,IF(6=$HE34,IF(134=$HL34,IF($JD34=2,30,0),IF(134=$HM34,IF($JD34=1,30,0),ABS(14-$HF34)*100)),100000+ABS(6-$HE34)*1000+140)),IF($HG34=0,999999,IF(6=$HH34,IF(134=$HN34,IF($JE34=2,30,0),IF(134=$HO34,IF($JE34=1,30,0),ABS(14-$HI34)*100)),100000+ABS(6-$HH34)*1000+140)))-IF((134=$HJ34)+(134=$HK34)+(134=$HL34)+(134=$HM34)+(134=$HN34)+(134=$HO34)&gt;=2,50,0))+EG$5*50)</f>
        <v/>
      </c>
      <c r="EH154">
        <f>IF(OR($JF34=0,calcA!$A$6=0),0,IF(OR(135=$HA34,135=$HD34,135=$HG34),200000,MIN(IF($HA34=0,999999,IF(6=$HB34,IF(135=$HJ34,IF($JC34=2,30,0),IF(135=$HK34,IF($JC34=1,30,0),ABS(15-$HC34)*100)),100000+ABS(6-$HB34)*1000+150)),IF($HD34=0,999999,IF(6=$HE34,IF(135=$HL34,IF($JD34=2,30,0),IF(135=$HM34,IF($JD34=1,30,0),ABS(15-$HF34)*100)),100000+ABS(6-$HE34)*1000+150)),IF($HG34=0,999999,IF(6=$HH34,IF(135=$HN34,IF($JE34=2,30,0),IF(135=$HO34,IF($JE34=1,30,0),ABS(15-$HI34)*100)),100000+ABS(6-$HH34)*1000+150)))-IF((135=$HJ34)+(135=$HK34)+(135=$HL34)+(135=$HM34)+(135=$HN34)+(135=$HO34)&gt;=2,50,0))+EH$5*50)</f>
        <v/>
      </c>
      <c r="EI154">
        <f>IF(OR($JF34=0,calcA!$A$6=0),0,IF(OR(136=$HA34,136=$HD34,136=$HG34),200000,MIN(IF($HA34=0,999999,IF(6=$HB34,IF(136=$HJ34,IF($JC34=2,30,0),IF(136=$HK34,IF($JC34=1,30,0),ABS(16-$HC34)*100)),100000+ABS(6-$HB34)*1000+160)),IF($HD34=0,999999,IF(6=$HE34,IF(136=$HL34,IF($JD34=2,30,0),IF(136=$HM34,IF($JD34=1,30,0),ABS(16-$HF34)*100)),100000+ABS(6-$HE34)*1000+160)),IF($HG34=0,999999,IF(6=$HH34,IF(136=$HN34,IF($JE34=2,30,0),IF(136=$HO34,IF($JE34=1,30,0),ABS(16-$HI34)*100)),100000+ABS(6-$HH34)*1000+160)))-IF((136=$HJ34)+(136=$HK34)+(136=$HL34)+(136=$HM34)+(136=$HN34)+(136=$HO34)&gt;=2,50,0))+EI$5*50)</f>
        <v/>
      </c>
      <c r="EJ154">
        <f>IF(OR($JF34=0,calcA!$A$6=0),0,IF(OR(137=$HA34,137=$HD34,137=$HG34),200000,MIN(IF($HA34=0,999999,IF(6=$HB34,IF(137=$HJ34,IF($JC34=2,30,0),IF(137=$HK34,IF($JC34=1,30,0),ABS(17-$HC34)*100)),100000+ABS(6-$HB34)*1000+170)),IF($HD34=0,999999,IF(6=$HE34,IF(137=$HL34,IF($JD34=2,30,0),IF(137=$HM34,IF($JD34=1,30,0),ABS(17-$HF34)*100)),100000+ABS(6-$HE34)*1000+170)),IF($HG34=0,999999,IF(6=$HH34,IF(137=$HN34,IF($JE34=2,30,0),IF(137=$HO34,IF($JE34=1,30,0),ABS(17-$HI34)*100)),100000+ABS(6-$HH34)*1000+170)))-IF((137=$HJ34)+(137=$HK34)+(137=$HL34)+(137=$HM34)+(137=$HN34)+(137=$HO34)&gt;=2,50,0))+EJ$5*50)</f>
        <v/>
      </c>
      <c r="EK154">
        <f>IF(OR($JF34=0,calcA!$A$6=0),0,IF(OR(138=$HA34,138=$HD34,138=$HG34),200000,MIN(IF($HA34=0,999999,IF(6=$HB34,IF(138=$HJ34,IF($JC34=2,30,0),IF(138=$HK34,IF($JC34=1,30,0),ABS(18-$HC34)*100)),100000+ABS(6-$HB34)*1000+180)),IF($HD34=0,999999,IF(6=$HE34,IF(138=$HL34,IF($JD34=2,30,0),IF(138=$HM34,IF($JD34=1,30,0),ABS(18-$HF34)*100)),100000+ABS(6-$HE34)*1000+180)),IF($HG34=0,999999,IF(6=$HH34,IF(138=$HN34,IF($JE34=2,30,0),IF(138=$HO34,IF($JE34=1,30,0),ABS(18-$HI34)*100)),100000+ABS(6-$HH34)*1000+180)))-IF((138=$HJ34)+(138=$HK34)+(138=$HL34)+(138=$HM34)+(138=$HN34)+(138=$HO34)&gt;=2,50,0))+EK$5*50)</f>
        <v/>
      </c>
      <c r="EL154">
        <f>IF(OR($JF34=0,calcA!$A$6=0),0,IF(OR(139=$HA34,139=$HD34,139=$HG34),200000,MIN(IF($HA34=0,999999,IF(6=$HB34,IF(139=$HJ34,IF($JC34=2,30,0),IF(139=$HK34,IF($JC34=1,30,0),ABS(19-$HC34)*100)),100000+ABS(6-$HB34)*1000+190)),IF($HD34=0,999999,IF(6=$HE34,IF(139=$HL34,IF($JD34=2,30,0),IF(139=$HM34,IF($JD34=1,30,0),ABS(19-$HF34)*100)),100000+ABS(6-$HE34)*1000+190)),IF($HG34=0,999999,IF(6=$HH34,IF(139=$HN34,IF($JE34=2,30,0),IF(139=$HO34,IF($JE34=1,30,0),ABS(19-$HI34)*100)),100000+ABS(6-$HH34)*1000+190)))-IF((139=$HJ34)+(139=$HK34)+(139=$HL34)+(139=$HM34)+(139=$HN34)+(139=$HO34)&gt;=2,50,0))+EL$5*50)</f>
        <v/>
      </c>
      <c r="EM154">
        <f>IF(OR($JF34=0,calcA!$A$6=0),0,IF(OR(140=$HA34,140=$HD34,140=$HG34),200000,MIN(IF($HA34=0,999999,IF(6=$HB34,IF(140=$HJ34,IF($JC34=2,30,0),IF(140=$HK34,IF($JC34=1,30,0),ABS(20-$HC34)*100)),100000+ABS(6-$HB34)*1000+200)),IF($HD34=0,999999,IF(6=$HE34,IF(140=$HL34,IF($JD34=2,30,0),IF(140=$HM34,IF($JD34=1,30,0),ABS(20-$HF34)*100)),100000+ABS(6-$HE34)*1000+200)),IF($HG34=0,999999,IF(6=$HH34,IF(140=$HN34,IF($JE34=2,30,0),IF(140=$HO34,IF($JE34=1,30,0),ABS(20-$HI34)*100)),100000+ABS(6-$HH34)*1000+200)))-IF((140=$HJ34)+(140=$HK34)+(140=$HL34)+(140=$HM34)+(140=$HN34)+(140=$HO34)&gt;=2,50,0))+EM$5*50)</f>
        <v/>
      </c>
      <c r="EN154">
        <f>IF(OR($JF34=0,calcA!$A$6=0),0,IF(OR(141=$HA34,141=$HD34,141=$HG34),200000,MIN(IF($HA34=0,999999,IF(6=$HB34,IF(141=$HJ34,IF($JC34=2,30,0),IF(141=$HK34,IF($JC34=1,30,0),ABS(21-$HC34)*100)),100000+ABS(6-$HB34)*1000+210)),IF($HD34=0,999999,IF(6=$HE34,IF(141=$HL34,IF($JD34=2,30,0),IF(141=$HM34,IF($JD34=1,30,0),ABS(21-$HF34)*100)),100000+ABS(6-$HE34)*1000+210)),IF($HG34=0,999999,IF(6=$HH34,IF(141=$HN34,IF($JE34=2,30,0),IF(141=$HO34,IF($JE34=1,30,0),ABS(21-$HI34)*100)),100000+ABS(6-$HH34)*1000+210)))-IF((141=$HJ34)+(141=$HK34)+(141=$HL34)+(141=$HM34)+(141=$HN34)+(141=$HO34)&gt;=2,50,0))+EN$5*50)</f>
        <v/>
      </c>
      <c r="EO154">
        <f>IF(OR($JF34=0,calcA!$A$6=0),0,IF(OR(142=$HA34,142=$HD34,142=$HG34),200000,MIN(IF($HA34=0,999999,IF(6=$HB34,IF(142=$HJ34,IF($JC34=2,30,0),IF(142=$HK34,IF($JC34=1,30,0),ABS(22-$HC34)*100)),100000+ABS(6-$HB34)*1000+220)),IF($HD34=0,999999,IF(6=$HE34,IF(142=$HL34,IF($JD34=2,30,0),IF(142=$HM34,IF($JD34=1,30,0),ABS(22-$HF34)*100)),100000+ABS(6-$HE34)*1000+220)),IF($HG34=0,999999,IF(6=$HH34,IF(142=$HN34,IF($JE34=2,30,0),IF(142=$HO34,IF($JE34=1,30,0),ABS(22-$HI34)*100)),100000+ABS(6-$HH34)*1000+220)))-IF((142=$HJ34)+(142=$HK34)+(142=$HL34)+(142=$HM34)+(142=$HN34)+(142=$HO34)&gt;=2,50,0))+EO$5*50)</f>
        <v/>
      </c>
      <c r="EP154">
        <f>IF(OR($JF34=0,calcA!$A$6=0),0,IF(OR(143=$HA34,143=$HD34,143=$HG34),200000,MIN(IF($HA34=0,999999,IF(6=$HB34,IF(143=$HJ34,IF($JC34=2,30,0),IF(143=$HK34,IF($JC34=1,30,0),ABS(23-$HC34)*100)),100000+ABS(6-$HB34)*1000+230)),IF($HD34=0,999999,IF(6=$HE34,IF(143=$HL34,IF($JD34=2,30,0),IF(143=$HM34,IF($JD34=1,30,0),ABS(23-$HF34)*100)),100000+ABS(6-$HE34)*1000+230)),IF($HG34=0,999999,IF(6=$HH34,IF(143=$HN34,IF($JE34=2,30,0),IF(143=$HO34,IF($JE34=1,30,0),ABS(23-$HI34)*100)),100000+ABS(6-$HH34)*1000+230)))-IF((143=$HJ34)+(143=$HK34)+(143=$HL34)+(143=$HM34)+(143=$HN34)+(143=$HO34)&gt;=2,50,0))+EP$5*50)</f>
        <v/>
      </c>
      <c r="EQ154">
        <f>IF(OR($JF34=0,calcA!$A$6=0),0,IF(OR(144=$HA34,144=$HD34,144=$HG34),200000,MIN(IF($HA34=0,999999,IF(6=$HB34,IF(144=$HJ34,IF($JC34=2,30,0),IF(144=$HK34,IF($JC34=1,30,0),ABS(24-$HC34)*100)),100000+ABS(6-$HB34)*1000+240)),IF($HD34=0,999999,IF(6=$HE34,IF(144=$HL34,IF($JD34=2,30,0),IF(144=$HM34,IF($JD34=1,30,0),ABS(24-$HF34)*100)),100000+ABS(6-$HE34)*1000+240)),IF($HG34=0,999999,IF(6=$HH34,IF(144=$HN34,IF($JE34=2,30,0),IF(144=$HO34,IF($JE34=1,30,0),ABS(24-$HI34)*100)),100000+ABS(6-$HH34)*1000+240)))-IF((144=$HJ34)+(144=$HK34)+(144=$HL34)+(144=$HM34)+(144=$HN34)+(144=$HO34)&gt;=2,50,0))+EQ$5*50)</f>
        <v/>
      </c>
    </row>
    <row r="155">
      <c r="D155">
        <f>IF(OR($JF35=0,calcA!$A$6=0),0,IF(OR(1=$HA35,1=$HD35,1=$HG35),200000,MIN(IF($HA35=0,999999,IF(1=$HB35,IF(1=$HJ35,IF($JC35=2,30,0),IF(1=$HK35,IF($JC35=1,30,0),ABS(1-$HC35)*100)),100000+ABS(1-$HB35)*1000+10)),IF($HD35=0,999999,IF(1=$HE35,IF(1=$HL35,IF($JD35=2,30,0),IF(1=$HM35,IF($JD35=1,30,0),ABS(1-$HF35)*100)),100000+ABS(1-$HE35)*1000+10)),IF($HG35=0,999999,IF(1=$HH35,IF(1=$HN35,IF($JE35=2,30,0),IF(1=$HO35,IF($JE35=1,30,0),ABS(1-$HI35)*100)),100000+ABS(1-$HH35)*1000+10)))-IF((1=$HJ35)+(1=$HK35)+(1=$HL35)+(1=$HM35)+(1=$HN35)+(1=$HO35)&gt;=2,50,0))+D$5*50)</f>
        <v/>
      </c>
      <c r="E155">
        <f>IF(OR($JF35=0,calcA!$A$6=0),0,IF(OR(2=$HA35,2=$HD35,2=$HG35),200000,MIN(IF($HA35=0,999999,IF(1=$HB35,IF(2=$HJ35,IF($JC35=2,30,0),IF(2=$HK35,IF($JC35=1,30,0),ABS(2-$HC35)*100)),100000+ABS(1-$HB35)*1000+20)),IF($HD35=0,999999,IF(1=$HE35,IF(2=$HL35,IF($JD35=2,30,0),IF(2=$HM35,IF($JD35=1,30,0),ABS(2-$HF35)*100)),100000+ABS(1-$HE35)*1000+20)),IF($HG35=0,999999,IF(1=$HH35,IF(2=$HN35,IF($JE35=2,30,0),IF(2=$HO35,IF($JE35=1,30,0),ABS(2-$HI35)*100)),100000+ABS(1-$HH35)*1000+20)))-IF((2=$HJ35)+(2=$HK35)+(2=$HL35)+(2=$HM35)+(2=$HN35)+(2=$HO35)&gt;=2,50,0))+E$5*50)</f>
        <v/>
      </c>
      <c r="F155">
        <f>IF(OR($JF35=0,calcA!$A$6=0),0,IF(OR(3=$HA35,3=$HD35,3=$HG35),200000,MIN(IF($HA35=0,999999,IF(1=$HB35,IF(3=$HJ35,IF($JC35=2,30,0),IF(3=$HK35,IF($JC35=1,30,0),ABS(3-$HC35)*100)),100000+ABS(1-$HB35)*1000+30)),IF($HD35=0,999999,IF(1=$HE35,IF(3=$HL35,IF($JD35=2,30,0),IF(3=$HM35,IF($JD35=1,30,0),ABS(3-$HF35)*100)),100000+ABS(1-$HE35)*1000+30)),IF($HG35=0,999999,IF(1=$HH35,IF(3=$HN35,IF($JE35=2,30,0),IF(3=$HO35,IF($JE35=1,30,0),ABS(3-$HI35)*100)),100000+ABS(1-$HH35)*1000+30)))-IF((3=$HJ35)+(3=$HK35)+(3=$HL35)+(3=$HM35)+(3=$HN35)+(3=$HO35)&gt;=2,50,0))+F$5*50)</f>
        <v/>
      </c>
      <c r="G155">
        <f>IF(OR($JF35=0,calcA!$A$6=0),0,IF(OR(4=$HA35,4=$HD35,4=$HG35),200000,MIN(IF($HA35=0,999999,IF(1=$HB35,IF(4=$HJ35,IF($JC35=2,30,0),IF(4=$HK35,IF($JC35=1,30,0),ABS(4-$HC35)*100)),100000+ABS(1-$HB35)*1000+40)),IF($HD35=0,999999,IF(1=$HE35,IF(4=$HL35,IF($JD35=2,30,0),IF(4=$HM35,IF($JD35=1,30,0),ABS(4-$HF35)*100)),100000+ABS(1-$HE35)*1000+40)),IF($HG35=0,999999,IF(1=$HH35,IF(4=$HN35,IF($JE35=2,30,0),IF(4=$HO35,IF($JE35=1,30,0),ABS(4-$HI35)*100)),100000+ABS(1-$HH35)*1000+40)))-IF((4=$HJ35)+(4=$HK35)+(4=$HL35)+(4=$HM35)+(4=$HN35)+(4=$HO35)&gt;=2,50,0))+G$5*50)</f>
        <v/>
      </c>
      <c r="H155">
        <f>IF(OR($JF35=0,calcA!$A$6=0),0,IF(OR(5=$HA35,5=$HD35,5=$HG35),200000,MIN(IF($HA35=0,999999,IF(1=$HB35,IF(5=$HJ35,IF($JC35=2,30,0),IF(5=$HK35,IF($JC35=1,30,0),ABS(5-$HC35)*100)),100000+ABS(1-$HB35)*1000+50)),IF($HD35=0,999999,IF(1=$HE35,IF(5=$HL35,IF($JD35=2,30,0),IF(5=$HM35,IF($JD35=1,30,0),ABS(5-$HF35)*100)),100000+ABS(1-$HE35)*1000+50)),IF($HG35=0,999999,IF(1=$HH35,IF(5=$HN35,IF($JE35=2,30,0),IF(5=$HO35,IF($JE35=1,30,0),ABS(5-$HI35)*100)),100000+ABS(1-$HH35)*1000+50)))-IF((5=$HJ35)+(5=$HK35)+(5=$HL35)+(5=$HM35)+(5=$HN35)+(5=$HO35)&gt;=2,50,0))+H$5*50)</f>
        <v/>
      </c>
      <c r="I155">
        <f>IF(OR($JF35=0,calcA!$A$6=0),0,IF(OR(6=$HA35,6=$HD35,6=$HG35),200000,MIN(IF($HA35=0,999999,IF(1=$HB35,IF(6=$HJ35,IF($JC35=2,30,0),IF(6=$HK35,IF($JC35=1,30,0),ABS(6-$HC35)*100)),100000+ABS(1-$HB35)*1000+60)),IF($HD35=0,999999,IF(1=$HE35,IF(6=$HL35,IF($JD35=2,30,0),IF(6=$HM35,IF($JD35=1,30,0),ABS(6-$HF35)*100)),100000+ABS(1-$HE35)*1000+60)),IF($HG35=0,999999,IF(1=$HH35,IF(6=$HN35,IF($JE35=2,30,0),IF(6=$HO35,IF($JE35=1,30,0),ABS(6-$HI35)*100)),100000+ABS(1-$HH35)*1000+60)))-IF((6=$HJ35)+(6=$HK35)+(6=$HL35)+(6=$HM35)+(6=$HN35)+(6=$HO35)&gt;=2,50,0))+I$5*50)</f>
        <v/>
      </c>
      <c r="J155">
        <f>IF(OR($JF35=0,calcA!$A$6=0),0,IF(OR(7=$HA35,7=$HD35,7=$HG35),200000,MIN(IF($HA35=0,999999,IF(1=$HB35,IF(7=$HJ35,IF($JC35=2,30,0),IF(7=$HK35,IF($JC35=1,30,0),ABS(7-$HC35)*100)),100000+ABS(1-$HB35)*1000+70)),IF($HD35=0,999999,IF(1=$HE35,IF(7=$HL35,IF($JD35=2,30,0),IF(7=$HM35,IF($JD35=1,30,0),ABS(7-$HF35)*100)),100000+ABS(1-$HE35)*1000+70)),IF($HG35=0,999999,IF(1=$HH35,IF(7=$HN35,IF($JE35=2,30,0),IF(7=$HO35,IF($JE35=1,30,0),ABS(7-$HI35)*100)),100000+ABS(1-$HH35)*1000+70)))-IF((7=$HJ35)+(7=$HK35)+(7=$HL35)+(7=$HM35)+(7=$HN35)+(7=$HO35)&gt;=2,50,0))+J$5*50)</f>
        <v/>
      </c>
      <c r="K155">
        <f>IF(OR($JF35=0,calcA!$A$6=0),0,IF(OR(8=$HA35,8=$HD35,8=$HG35),200000,MIN(IF($HA35=0,999999,IF(1=$HB35,IF(8=$HJ35,IF($JC35=2,30,0),IF(8=$HK35,IF($JC35=1,30,0),ABS(8-$HC35)*100)),100000+ABS(1-$HB35)*1000+80)),IF($HD35=0,999999,IF(1=$HE35,IF(8=$HL35,IF($JD35=2,30,0),IF(8=$HM35,IF($JD35=1,30,0),ABS(8-$HF35)*100)),100000+ABS(1-$HE35)*1000+80)),IF($HG35=0,999999,IF(1=$HH35,IF(8=$HN35,IF($JE35=2,30,0),IF(8=$HO35,IF($JE35=1,30,0),ABS(8-$HI35)*100)),100000+ABS(1-$HH35)*1000+80)))-IF((8=$HJ35)+(8=$HK35)+(8=$HL35)+(8=$HM35)+(8=$HN35)+(8=$HO35)&gt;=2,50,0))+K$5*50)</f>
        <v/>
      </c>
      <c r="L155">
        <f>IF(OR($JF35=0,calcA!$A$6=0),0,IF(OR(9=$HA35,9=$HD35,9=$HG35),200000,MIN(IF($HA35=0,999999,IF(1=$HB35,IF(9=$HJ35,IF($JC35=2,30,0),IF(9=$HK35,IF($JC35=1,30,0),ABS(9-$HC35)*100)),100000+ABS(1-$HB35)*1000+90)),IF($HD35=0,999999,IF(1=$HE35,IF(9=$HL35,IF($JD35=2,30,0),IF(9=$HM35,IF($JD35=1,30,0),ABS(9-$HF35)*100)),100000+ABS(1-$HE35)*1000+90)),IF($HG35=0,999999,IF(1=$HH35,IF(9=$HN35,IF($JE35=2,30,0),IF(9=$HO35,IF($JE35=1,30,0),ABS(9-$HI35)*100)),100000+ABS(1-$HH35)*1000+90)))-IF((9=$HJ35)+(9=$HK35)+(9=$HL35)+(9=$HM35)+(9=$HN35)+(9=$HO35)&gt;=2,50,0))+L$5*50)</f>
        <v/>
      </c>
      <c r="M155">
        <f>IF(OR($JF35=0,calcA!$A$6=0),0,IF(OR(10=$HA35,10=$HD35,10=$HG35),200000,MIN(IF($HA35=0,999999,IF(1=$HB35,IF(10=$HJ35,IF($JC35=2,30,0),IF(10=$HK35,IF($JC35=1,30,0),ABS(10-$HC35)*100)),100000+ABS(1-$HB35)*1000+100)),IF($HD35=0,999999,IF(1=$HE35,IF(10=$HL35,IF($JD35=2,30,0),IF(10=$HM35,IF($JD35=1,30,0),ABS(10-$HF35)*100)),100000+ABS(1-$HE35)*1000+100)),IF($HG35=0,999999,IF(1=$HH35,IF(10=$HN35,IF($JE35=2,30,0),IF(10=$HO35,IF($JE35=1,30,0),ABS(10-$HI35)*100)),100000+ABS(1-$HH35)*1000+100)))-IF((10=$HJ35)+(10=$HK35)+(10=$HL35)+(10=$HM35)+(10=$HN35)+(10=$HO35)&gt;=2,50,0))+M$5*50)</f>
        <v/>
      </c>
      <c r="N155">
        <f>IF(OR($JF35=0,calcA!$A$6=0),0,IF(OR(11=$HA35,11=$HD35,11=$HG35),200000,MIN(IF($HA35=0,999999,IF(1=$HB35,IF(11=$HJ35,IF($JC35=2,30,0),IF(11=$HK35,IF($JC35=1,30,0),ABS(11-$HC35)*100)),100000+ABS(1-$HB35)*1000+110)),IF($HD35=0,999999,IF(1=$HE35,IF(11=$HL35,IF($JD35=2,30,0),IF(11=$HM35,IF($JD35=1,30,0),ABS(11-$HF35)*100)),100000+ABS(1-$HE35)*1000+110)),IF($HG35=0,999999,IF(1=$HH35,IF(11=$HN35,IF($JE35=2,30,0),IF(11=$HO35,IF($JE35=1,30,0),ABS(11-$HI35)*100)),100000+ABS(1-$HH35)*1000+110)))-IF((11=$HJ35)+(11=$HK35)+(11=$HL35)+(11=$HM35)+(11=$HN35)+(11=$HO35)&gt;=2,50,0))+N$5*50)</f>
        <v/>
      </c>
      <c r="O155">
        <f>IF(OR($JF35=0,calcA!$A$6=0),0,IF(OR(12=$HA35,12=$HD35,12=$HG35),200000,MIN(IF($HA35=0,999999,IF(1=$HB35,IF(12=$HJ35,IF($JC35=2,30,0),IF(12=$HK35,IF($JC35=1,30,0),ABS(12-$HC35)*100)),100000+ABS(1-$HB35)*1000+120)),IF($HD35=0,999999,IF(1=$HE35,IF(12=$HL35,IF($JD35=2,30,0),IF(12=$HM35,IF($JD35=1,30,0),ABS(12-$HF35)*100)),100000+ABS(1-$HE35)*1000+120)),IF($HG35=0,999999,IF(1=$HH35,IF(12=$HN35,IF($JE35=2,30,0),IF(12=$HO35,IF($JE35=1,30,0),ABS(12-$HI35)*100)),100000+ABS(1-$HH35)*1000+120)))-IF((12=$HJ35)+(12=$HK35)+(12=$HL35)+(12=$HM35)+(12=$HN35)+(12=$HO35)&gt;=2,50,0))+O$5*50)</f>
        <v/>
      </c>
      <c r="P155">
        <f>IF(OR($JF35=0,calcA!$A$6=0),0,IF(OR(13=$HA35,13=$HD35,13=$HG35),200000,MIN(IF($HA35=0,999999,IF(1=$HB35,IF(13=$HJ35,IF($JC35=2,30,0),IF(13=$HK35,IF($JC35=1,30,0),ABS(13-$HC35)*100)),100000+ABS(1-$HB35)*1000+130)),IF($HD35=0,999999,IF(1=$HE35,IF(13=$HL35,IF($JD35=2,30,0),IF(13=$HM35,IF($JD35=1,30,0),ABS(13-$HF35)*100)),100000+ABS(1-$HE35)*1000+130)),IF($HG35=0,999999,IF(1=$HH35,IF(13=$HN35,IF($JE35=2,30,0),IF(13=$HO35,IF($JE35=1,30,0),ABS(13-$HI35)*100)),100000+ABS(1-$HH35)*1000+130)))-IF((13=$HJ35)+(13=$HK35)+(13=$HL35)+(13=$HM35)+(13=$HN35)+(13=$HO35)&gt;=2,50,0))+P$5*50)</f>
        <v/>
      </c>
      <c r="Q155">
        <f>IF(OR($JF35=0,calcA!$A$6=0),0,IF(OR(14=$HA35,14=$HD35,14=$HG35),200000,MIN(IF($HA35=0,999999,IF(1=$HB35,IF(14=$HJ35,IF($JC35=2,30,0),IF(14=$HK35,IF($JC35=1,30,0),ABS(14-$HC35)*100)),100000+ABS(1-$HB35)*1000+140)),IF($HD35=0,999999,IF(1=$HE35,IF(14=$HL35,IF($JD35=2,30,0),IF(14=$HM35,IF($JD35=1,30,0),ABS(14-$HF35)*100)),100000+ABS(1-$HE35)*1000+140)),IF($HG35=0,999999,IF(1=$HH35,IF(14=$HN35,IF($JE35=2,30,0),IF(14=$HO35,IF($JE35=1,30,0),ABS(14-$HI35)*100)),100000+ABS(1-$HH35)*1000+140)))-IF((14=$HJ35)+(14=$HK35)+(14=$HL35)+(14=$HM35)+(14=$HN35)+(14=$HO35)&gt;=2,50,0))+Q$5*50)</f>
        <v/>
      </c>
      <c r="R155">
        <f>IF(OR($JF35=0,calcA!$A$6=0),0,IF(OR(15=$HA35,15=$HD35,15=$HG35),200000,MIN(IF($HA35=0,999999,IF(1=$HB35,IF(15=$HJ35,IF($JC35=2,30,0),IF(15=$HK35,IF($JC35=1,30,0),ABS(15-$HC35)*100)),100000+ABS(1-$HB35)*1000+150)),IF($HD35=0,999999,IF(1=$HE35,IF(15=$HL35,IF($JD35=2,30,0),IF(15=$HM35,IF($JD35=1,30,0),ABS(15-$HF35)*100)),100000+ABS(1-$HE35)*1000+150)),IF($HG35=0,999999,IF(1=$HH35,IF(15=$HN35,IF($JE35=2,30,0),IF(15=$HO35,IF($JE35=1,30,0),ABS(15-$HI35)*100)),100000+ABS(1-$HH35)*1000+150)))-IF((15=$HJ35)+(15=$HK35)+(15=$HL35)+(15=$HM35)+(15=$HN35)+(15=$HO35)&gt;=2,50,0))+R$5*50)</f>
        <v/>
      </c>
      <c r="S155">
        <f>IF(OR($JF35=0,calcA!$A$6=0),0,IF(OR(16=$HA35,16=$HD35,16=$HG35),200000,MIN(IF($HA35=0,999999,IF(1=$HB35,IF(16=$HJ35,IF($JC35=2,30,0),IF(16=$HK35,IF($JC35=1,30,0),ABS(16-$HC35)*100)),100000+ABS(1-$HB35)*1000+160)),IF($HD35=0,999999,IF(1=$HE35,IF(16=$HL35,IF($JD35=2,30,0),IF(16=$HM35,IF($JD35=1,30,0),ABS(16-$HF35)*100)),100000+ABS(1-$HE35)*1000+160)),IF($HG35=0,999999,IF(1=$HH35,IF(16=$HN35,IF($JE35=2,30,0),IF(16=$HO35,IF($JE35=1,30,0),ABS(16-$HI35)*100)),100000+ABS(1-$HH35)*1000+160)))-IF((16=$HJ35)+(16=$HK35)+(16=$HL35)+(16=$HM35)+(16=$HN35)+(16=$HO35)&gt;=2,50,0))+S$5*50)</f>
        <v/>
      </c>
      <c r="T155">
        <f>IF(OR($JF35=0,calcA!$A$6=0),0,IF(OR(17=$HA35,17=$HD35,17=$HG35),200000,MIN(IF($HA35=0,999999,IF(1=$HB35,IF(17=$HJ35,IF($JC35=2,30,0),IF(17=$HK35,IF($JC35=1,30,0),ABS(17-$HC35)*100)),100000+ABS(1-$HB35)*1000+170)),IF($HD35=0,999999,IF(1=$HE35,IF(17=$HL35,IF($JD35=2,30,0),IF(17=$HM35,IF($JD35=1,30,0),ABS(17-$HF35)*100)),100000+ABS(1-$HE35)*1000+170)),IF($HG35=0,999999,IF(1=$HH35,IF(17=$HN35,IF($JE35=2,30,0),IF(17=$HO35,IF($JE35=1,30,0),ABS(17-$HI35)*100)),100000+ABS(1-$HH35)*1000+170)))-IF((17=$HJ35)+(17=$HK35)+(17=$HL35)+(17=$HM35)+(17=$HN35)+(17=$HO35)&gt;=2,50,0))+T$5*50)</f>
        <v/>
      </c>
      <c r="U155">
        <f>IF(OR($JF35=0,calcA!$A$6=0),0,IF(OR(18=$HA35,18=$HD35,18=$HG35),200000,MIN(IF($HA35=0,999999,IF(1=$HB35,IF(18=$HJ35,IF($JC35=2,30,0),IF(18=$HK35,IF($JC35=1,30,0),ABS(18-$HC35)*100)),100000+ABS(1-$HB35)*1000+180)),IF($HD35=0,999999,IF(1=$HE35,IF(18=$HL35,IF($JD35=2,30,0),IF(18=$HM35,IF($JD35=1,30,0),ABS(18-$HF35)*100)),100000+ABS(1-$HE35)*1000+180)),IF($HG35=0,999999,IF(1=$HH35,IF(18=$HN35,IF($JE35=2,30,0),IF(18=$HO35,IF($JE35=1,30,0),ABS(18-$HI35)*100)),100000+ABS(1-$HH35)*1000+180)))-IF((18=$HJ35)+(18=$HK35)+(18=$HL35)+(18=$HM35)+(18=$HN35)+(18=$HO35)&gt;=2,50,0))+U$5*50)</f>
        <v/>
      </c>
      <c r="V155">
        <f>IF(OR($JF35=0,calcA!$A$6=0),0,IF(OR(19=$HA35,19=$HD35,19=$HG35),200000,MIN(IF($HA35=0,999999,IF(1=$HB35,IF(19=$HJ35,IF($JC35=2,30,0),IF(19=$HK35,IF($JC35=1,30,0),ABS(19-$HC35)*100)),100000+ABS(1-$HB35)*1000+190)),IF($HD35=0,999999,IF(1=$HE35,IF(19=$HL35,IF($JD35=2,30,0),IF(19=$HM35,IF($JD35=1,30,0),ABS(19-$HF35)*100)),100000+ABS(1-$HE35)*1000+190)),IF($HG35=0,999999,IF(1=$HH35,IF(19=$HN35,IF($JE35=2,30,0),IF(19=$HO35,IF($JE35=1,30,0),ABS(19-$HI35)*100)),100000+ABS(1-$HH35)*1000+190)))-IF((19=$HJ35)+(19=$HK35)+(19=$HL35)+(19=$HM35)+(19=$HN35)+(19=$HO35)&gt;=2,50,0))+V$5*50)</f>
        <v/>
      </c>
      <c r="W155">
        <f>IF(OR($JF35=0,calcA!$A$6=0),0,IF(OR(20=$HA35,20=$HD35,20=$HG35),200000,MIN(IF($HA35=0,999999,IF(1=$HB35,IF(20=$HJ35,IF($JC35=2,30,0),IF(20=$HK35,IF($JC35=1,30,0),ABS(20-$HC35)*100)),100000+ABS(1-$HB35)*1000+200)),IF($HD35=0,999999,IF(1=$HE35,IF(20=$HL35,IF($JD35=2,30,0),IF(20=$HM35,IF($JD35=1,30,0),ABS(20-$HF35)*100)),100000+ABS(1-$HE35)*1000+200)),IF($HG35=0,999999,IF(1=$HH35,IF(20=$HN35,IF($JE35=2,30,0),IF(20=$HO35,IF($JE35=1,30,0),ABS(20-$HI35)*100)),100000+ABS(1-$HH35)*1000+200)))-IF((20=$HJ35)+(20=$HK35)+(20=$HL35)+(20=$HM35)+(20=$HN35)+(20=$HO35)&gt;=2,50,0))+W$5*50)</f>
        <v/>
      </c>
      <c r="X155">
        <f>IF(OR($JF35=0,calcA!$A$6=0),0,IF(OR(21=$HA35,21=$HD35,21=$HG35),200000,MIN(IF($HA35=0,999999,IF(1=$HB35,IF(21=$HJ35,IF($JC35=2,30,0),IF(21=$HK35,IF($JC35=1,30,0),ABS(21-$HC35)*100)),100000+ABS(1-$HB35)*1000+210)),IF($HD35=0,999999,IF(1=$HE35,IF(21=$HL35,IF($JD35=2,30,0),IF(21=$HM35,IF($JD35=1,30,0),ABS(21-$HF35)*100)),100000+ABS(1-$HE35)*1000+210)),IF($HG35=0,999999,IF(1=$HH35,IF(21=$HN35,IF($JE35=2,30,0),IF(21=$HO35,IF($JE35=1,30,0),ABS(21-$HI35)*100)),100000+ABS(1-$HH35)*1000+210)))-IF((21=$HJ35)+(21=$HK35)+(21=$HL35)+(21=$HM35)+(21=$HN35)+(21=$HO35)&gt;=2,50,0))+X$5*50)</f>
        <v/>
      </c>
      <c r="Y155">
        <f>IF(OR($JF35=0,calcA!$A$6=0),0,IF(OR(22=$HA35,22=$HD35,22=$HG35),200000,MIN(IF($HA35=0,999999,IF(1=$HB35,IF(22=$HJ35,IF($JC35=2,30,0),IF(22=$HK35,IF($JC35=1,30,0),ABS(22-$HC35)*100)),100000+ABS(1-$HB35)*1000+220)),IF($HD35=0,999999,IF(1=$HE35,IF(22=$HL35,IF($JD35=2,30,0),IF(22=$HM35,IF($JD35=1,30,0),ABS(22-$HF35)*100)),100000+ABS(1-$HE35)*1000+220)),IF($HG35=0,999999,IF(1=$HH35,IF(22=$HN35,IF($JE35=2,30,0),IF(22=$HO35,IF($JE35=1,30,0),ABS(22-$HI35)*100)),100000+ABS(1-$HH35)*1000+220)))-IF((22=$HJ35)+(22=$HK35)+(22=$HL35)+(22=$HM35)+(22=$HN35)+(22=$HO35)&gt;=2,50,0))+Y$5*50)</f>
        <v/>
      </c>
      <c r="Z155">
        <f>IF(OR($JF35=0,calcA!$A$6=0),0,IF(OR(23=$HA35,23=$HD35,23=$HG35),200000,MIN(IF($HA35=0,999999,IF(1=$HB35,IF(23=$HJ35,IF($JC35=2,30,0),IF(23=$HK35,IF($JC35=1,30,0),ABS(23-$HC35)*100)),100000+ABS(1-$HB35)*1000+230)),IF($HD35=0,999999,IF(1=$HE35,IF(23=$HL35,IF($JD35=2,30,0),IF(23=$HM35,IF($JD35=1,30,0),ABS(23-$HF35)*100)),100000+ABS(1-$HE35)*1000+230)),IF($HG35=0,999999,IF(1=$HH35,IF(23=$HN35,IF($JE35=2,30,0),IF(23=$HO35,IF($JE35=1,30,0),ABS(23-$HI35)*100)),100000+ABS(1-$HH35)*1000+230)))-IF((23=$HJ35)+(23=$HK35)+(23=$HL35)+(23=$HM35)+(23=$HN35)+(23=$HO35)&gt;=2,50,0))+Z$5*50)</f>
        <v/>
      </c>
      <c r="AA155">
        <f>IF(OR($JF35=0,calcA!$A$6=0),0,IF(OR(24=$HA35,24=$HD35,24=$HG35),200000,MIN(IF($HA35=0,999999,IF(1=$HB35,IF(24=$HJ35,IF($JC35=2,30,0),IF(24=$HK35,IF($JC35=1,30,0),ABS(24-$HC35)*100)),100000+ABS(1-$HB35)*1000+240)),IF($HD35=0,999999,IF(1=$HE35,IF(24=$HL35,IF($JD35=2,30,0),IF(24=$HM35,IF($JD35=1,30,0),ABS(24-$HF35)*100)),100000+ABS(1-$HE35)*1000+240)),IF($HG35=0,999999,IF(1=$HH35,IF(24=$HN35,IF($JE35=2,30,0),IF(24=$HO35,IF($JE35=1,30,0),ABS(24-$HI35)*100)),100000+ABS(1-$HH35)*1000+240)))-IF((24=$HJ35)+(24=$HK35)+(24=$HL35)+(24=$HM35)+(24=$HN35)+(24=$HO35)&gt;=2,50,0))+AA$5*50)</f>
        <v/>
      </c>
      <c r="AB155">
        <f>IF(OR($JF35=0,calcA!$A$6=0),0,IF(OR(25=$HA35,25=$HD35,25=$HG35),200000,MIN(IF($HA35=0,999999,IF(2=$HB35,IF(25=$HJ35,IF($JC35=2,30,0),IF(25=$HK35,IF($JC35=1,30,0),ABS(1-$HC35)*100)),100000+ABS(2-$HB35)*1000+10)),IF($HD35=0,999999,IF(2=$HE35,IF(25=$HL35,IF($JD35=2,30,0),IF(25=$HM35,IF($JD35=1,30,0),ABS(1-$HF35)*100)),100000+ABS(2-$HE35)*1000+10)),IF($HG35=0,999999,IF(2=$HH35,IF(25=$HN35,IF($JE35=2,30,0),IF(25=$HO35,IF($JE35=1,30,0),ABS(1-$HI35)*100)),100000+ABS(2-$HH35)*1000+10)))-IF((25=$HJ35)+(25=$HK35)+(25=$HL35)+(25=$HM35)+(25=$HN35)+(25=$HO35)&gt;=2,50,0))+AB$5*50)</f>
        <v/>
      </c>
      <c r="AC155">
        <f>IF(OR($JF35=0,calcA!$A$6=0),0,IF(OR(26=$HA35,26=$HD35,26=$HG35),200000,MIN(IF($HA35=0,999999,IF(2=$HB35,IF(26=$HJ35,IF($JC35=2,30,0),IF(26=$HK35,IF($JC35=1,30,0),ABS(2-$HC35)*100)),100000+ABS(2-$HB35)*1000+20)),IF($HD35=0,999999,IF(2=$HE35,IF(26=$HL35,IF($JD35=2,30,0),IF(26=$HM35,IF($JD35=1,30,0),ABS(2-$HF35)*100)),100000+ABS(2-$HE35)*1000+20)),IF($HG35=0,999999,IF(2=$HH35,IF(26=$HN35,IF($JE35=2,30,0),IF(26=$HO35,IF($JE35=1,30,0),ABS(2-$HI35)*100)),100000+ABS(2-$HH35)*1000+20)))-IF((26=$HJ35)+(26=$HK35)+(26=$HL35)+(26=$HM35)+(26=$HN35)+(26=$HO35)&gt;=2,50,0))+AC$5*50)</f>
        <v/>
      </c>
      <c r="AD155">
        <f>IF(OR($JF35=0,calcA!$A$6=0),0,IF(OR(27=$HA35,27=$HD35,27=$HG35),200000,MIN(IF($HA35=0,999999,IF(2=$HB35,IF(27=$HJ35,IF($JC35=2,30,0),IF(27=$HK35,IF($JC35=1,30,0),ABS(3-$HC35)*100)),100000+ABS(2-$HB35)*1000+30)),IF($HD35=0,999999,IF(2=$HE35,IF(27=$HL35,IF($JD35=2,30,0),IF(27=$HM35,IF($JD35=1,30,0),ABS(3-$HF35)*100)),100000+ABS(2-$HE35)*1000+30)),IF($HG35=0,999999,IF(2=$HH35,IF(27=$HN35,IF($JE35=2,30,0),IF(27=$HO35,IF($JE35=1,30,0),ABS(3-$HI35)*100)),100000+ABS(2-$HH35)*1000+30)))-IF((27=$HJ35)+(27=$HK35)+(27=$HL35)+(27=$HM35)+(27=$HN35)+(27=$HO35)&gt;=2,50,0))+AD$5*50)</f>
        <v/>
      </c>
      <c r="AE155">
        <f>IF(OR($JF35=0,calcA!$A$6=0),0,IF(OR(28=$HA35,28=$HD35,28=$HG35),200000,MIN(IF($HA35=0,999999,IF(2=$HB35,IF(28=$HJ35,IF($JC35=2,30,0),IF(28=$HK35,IF($JC35=1,30,0),ABS(4-$HC35)*100)),100000+ABS(2-$HB35)*1000+40)),IF($HD35=0,999999,IF(2=$HE35,IF(28=$HL35,IF($JD35=2,30,0),IF(28=$HM35,IF($JD35=1,30,0),ABS(4-$HF35)*100)),100000+ABS(2-$HE35)*1000+40)),IF($HG35=0,999999,IF(2=$HH35,IF(28=$HN35,IF($JE35=2,30,0),IF(28=$HO35,IF($JE35=1,30,0),ABS(4-$HI35)*100)),100000+ABS(2-$HH35)*1000+40)))-IF((28=$HJ35)+(28=$HK35)+(28=$HL35)+(28=$HM35)+(28=$HN35)+(28=$HO35)&gt;=2,50,0))+AE$5*50)</f>
        <v/>
      </c>
      <c r="AF155">
        <f>IF(OR($JF35=0,calcA!$A$6=0),0,IF(OR(29=$HA35,29=$HD35,29=$HG35),200000,MIN(IF($HA35=0,999999,IF(2=$HB35,IF(29=$HJ35,IF($JC35=2,30,0),IF(29=$HK35,IF($JC35=1,30,0),ABS(5-$HC35)*100)),100000+ABS(2-$HB35)*1000+50)),IF($HD35=0,999999,IF(2=$HE35,IF(29=$HL35,IF($JD35=2,30,0),IF(29=$HM35,IF($JD35=1,30,0),ABS(5-$HF35)*100)),100000+ABS(2-$HE35)*1000+50)),IF($HG35=0,999999,IF(2=$HH35,IF(29=$HN35,IF($JE35=2,30,0),IF(29=$HO35,IF($JE35=1,30,0),ABS(5-$HI35)*100)),100000+ABS(2-$HH35)*1000+50)))-IF((29=$HJ35)+(29=$HK35)+(29=$HL35)+(29=$HM35)+(29=$HN35)+(29=$HO35)&gt;=2,50,0))+AF$5*50)</f>
        <v/>
      </c>
      <c r="AG155">
        <f>IF(OR($JF35=0,calcA!$A$6=0),0,IF(OR(30=$HA35,30=$HD35,30=$HG35),200000,MIN(IF($HA35=0,999999,IF(2=$HB35,IF(30=$HJ35,IF($JC35=2,30,0),IF(30=$HK35,IF($JC35=1,30,0),ABS(6-$HC35)*100)),100000+ABS(2-$HB35)*1000+60)),IF($HD35=0,999999,IF(2=$HE35,IF(30=$HL35,IF($JD35=2,30,0),IF(30=$HM35,IF($JD35=1,30,0),ABS(6-$HF35)*100)),100000+ABS(2-$HE35)*1000+60)),IF($HG35=0,999999,IF(2=$HH35,IF(30=$HN35,IF($JE35=2,30,0),IF(30=$HO35,IF($JE35=1,30,0),ABS(6-$HI35)*100)),100000+ABS(2-$HH35)*1000+60)))-IF((30=$HJ35)+(30=$HK35)+(30=$HL35)+(30=$HM35)+(30=$HN35)+(30=$HO35)&gt;=2,50,0))+AG$5*50)</f>
        <v/>
      </c>
      <c r="AH155">
        <f>IF(OR($JF35=0,calcA!$A$6=0),0,IF(OR(31=$HA35,31=$HD35,31=$HG35),200000,MIN(IF($HA35=0,999999,IF(2=$HB35,IF(31=$HJ35,IF($JC35=2,30,0),IF(31=$HK35,IF($JC35=1,30,0),ABS(7-$HC35)*100)),100000+ABS(2-$HB35)*1000+70)),IF($HD35=0,999999,IF(2=$HE35,IF(31=$HL35,IF($JD35=2,30,0),IF(31=$HM35,IF($JD35=1,30,0),ABS(7-$HF35)*100)),100000+ABS(2-$HE35)*1000+70)),IF($HG35=0,999999,IF(2=$HH35,IF(31=$HN35,IF($JE35=2,30,0),IF(31=$HO35,IF($JE35=1,30,0),ABS(7-$HI35)*100)),100000+ABS(2-$HH35)*1000+70)))-IF((31=$HJ35)+(31=$HK35)+(31=$HL35)+(31=$HM35)+(31=$HN35)+(31=$HO35)&gt;=2,50,0))+AH$5*50)</f>
        <v/>
      </c>
      <c r="AI155">
        <f>IF(OR($JF35=0,calcA!$A$6=0),0,IF(OR(32=$HA35,32=$HD35,32=$HG35),200000,MIN(IF($HA35=0,999999,IF(2=$HB35,IF(32=$HJ35,IF($JC35=2,30,0),IF(32=$HK35,IF($JC35=1,30,0),ABS(8-$HC35)*100)),100000+ABS(2-$HB35)*1000+80)),IF($HD35=0,999999,IF(2=$HE35,IF(32=$HL35,IF($JD35=2,30,0),IF(32=$HM35,IF($JD35=1,30,0),ABS(8-$HF35)*100)),100000+ABS(2-$HE35)*1000+80)),IF($HG35=0,999999,IF(2=$HH35,IF(32=$HN35,IF($JE35=2,30,0),IF(32=$HO35,IF($JE35=1,30,0),ABS(8-$HI35)*100)),100000+ABS(2-$HH35)*1000+80)))-IF((32=$HJ35)+(32=$HK35)+(32=$HL35)+(32=$HM35)+(32=$HN35)+(32=$HO35)&gt;=2,50,0))+AI$5*50)</f>
        <v/>
      </c>
      <c r="AJ155">
        <f>IF(OR($JF35=0,calcA!$A$6=0),0,IF(OR(33=$HA35,33=$HD35,33=$HG35),200000,MIN(IF($HA35=0,999999,IF(2=$HB35,IF(33=$HJ35,IF($JC35=2,30,0),IF(33=$HK35,IF($JC35=1,30,0),ABS(9-$HC35)*100)),100000+ABS(2-$HB35)*1000+90)),IF($HD35=0,999999,IF(2=$HE35,IF(33=$HL35,IF($JD35=2,30,0),IF(33=$HM35,IF($JD35=1,30,0),ABS(9-$HF35)*100)),100000+ABS(2-$HE35)*1000+90)),IF($HG35=0,999999,IF(2=$HH35,IF(33=$HN35,IF($JE35=2,30,0),IF(33=$HO35,IF($JE35=1,30,0),ABS(9-$HI35)*100)),100000+ABS(2-$HH35)*1000+90)))-IF((33=$HJ35)+(33=$HK35)+(33=$HL35)+(33=$HM35)+(33=$HN35)+(33=$HO35)&gt;=2,50,0))+AJ$5*50)</f>
        <v/>
      </c>
      <c r="AK155">
        <f>IF(OR($JF35=0,calcA!$A$6=0),0,IF(OR(34=$HA35,34=$HD35,34=$HG35),200000,MIN(IF($HA35=0,999999,IF(2=$HB35,IF(34=$HJ35,IF($JC35=2,30,0),IF(34=$HK35,IF($JC35=1,30,0),ABS(10-$HC35)*100)),100000+ABS(2-$HB35)*1000+100)),IF($HD35=0,999999,IF(2=$HE35,IF(34=$HL35,IF($JD35=2,30,0),IF(34=$HM35,IF($JD35=1,30,0),ABS(10-$HF35)*100)),100000+ABS(2-$HE35)*1000+100)),IF($HG35=0,999999,IF(2=$HH35,IF(34=$HN35,IF($JE35=2,30,0),IF(34=$HO35,IF($JE35=1,30,0),ABS(10-$HI35)*100)),100000+ABS(2-$HH35)*1000+100)))-IF((34=$HJ35)+(34=$HK35)+(34=$HL35)+(34=$HM35)+(34=$HN35)+(34=$HO35)&gt;=2,50,0))+AK$5*50)</f>
        <v/>
      </c>
      <c r="AL155">
        <f>IF(OR($JF35=0,calcA!$A$6=0),0,IF(OR(35=$HA35,35=$HD35,35=$HG35),200000,MIN(IF($HA35=0,999999,IF(2=$HB35,IF(35=$HJ35,IF($JC35=2,30,0),IF(35=$HK35,IF($JC35=1,30,0),ABS(11-$HC35)*100)),100000+ABS(2-$HB35)*1000+110)),IF($HD35=0,999999,IF(2=$HE35,IF(35=$HL35,IF($JD35=2,30,0),IF(35=$HM35,IF($JD35=1,30,0),ABS(11-$HF35)*100)),100000+ABS(2-$HE35)*1000+110)),IF($HG35=0,999999,IF(2=$HH35,IF(35=$HN35,IF($JE35=2,30,0),IF(35=$HO35,IF($JE35=1,30,0),ABS(11-$HI35)*100)),100000+ABS(2-$HH35)*1000+110)))-IF((35=$HJ35)+(35=$HK35)+(35=$HL35)+(35=$HM35)+(35=$HN35)+(35=$HO35)&gt;=2,50,0))+AL$5*50)</f>
        <v/>
      </c>
      <c r="AM155">
        <f>IF(OR($JF35=0,calcA!$A$6=0),0,IF(OR(36=$HA35,36=$HD35,36=$HG35),200000,MIN(IF($HA35=0,999999,IF(2=$HB35,IF(36=$HJ35,IF($JC35=2,30,0),IF(36=$HK35,IF($JC35=1,30,0),ABS(12-$HC35)*100)),100000+ABS(2-$HB35)*1000+120)),IF($HD35=0,999999,IF(2=$HE35,IF(36=$HL35,IF($JD35=2,30,0),IF(36=$HM35,IF($JD35=1,30,0),ABS(12-$HF35)*100)),100000+ABS(2-$HE35)*1000+120)),IF($HG35=0,999999,IF(2=$HH35,IF(36=$HN35,IF($JE35=2,30,0),IF(36=$HO35,IF($JE35=1,30,0),ABS(12-$HI35)*100)),100000+ABS(2-$HH35)*1000+120)))-IF((36=$HJ35)+(36=$HK35)+(36=$HL35)+(36=$HM35)+(36=$HN35)+(36=$HO35)&gt;=2,50,0))+AM$5*50)</f>
        <v/>
      </c>
      <c r="AN155">
        <f>IF(OR($JF35=0,calcA!$A$6=0),0,IF(OR(37=$HA35,37=$HD35,37=$HG35),200000,MIN(IF($HA35=0,999999,IF(2=$HB35,IF(37=$HJ35,IF($JC35=2,30,0),IF(37=$HK35,IF($JC35=1,30,0),ABS(13-$HC35)*100)),100000+ABS(2-$HB35)*1000+130)),IF($HD35=0,999999,IF(2=$HE35,IF(37=$HL35,IF($JD35=2,30,0),IF(37=$HM35,IF($JD35=1,30,0),ABS(13-$HF35)*100)),100000+ABS(2-$HE35)*1000+130)),IF($HG35=0,999999,IF(2=$HH35,IF(37=$HN35,IF($JE35=2,30,0),IF(37=$HO35,IF($JE35=1,30,0),ABS(13-$HI35)*100)),100000+ABS(2-$HH35)*1000+130)))-IF((37=$HJ35)+(37=$HK35)+(37=$HL35)+(37=$HM35)+(37=$HN35)+(37=$HO35)&gt;=2,50,0))+AN$5*50)</f>
        <v/>
      </c>
      <c r="AO155">
        <f>IF(OR($JF35=0,calcA!$A$6=0),0,IF(OR(38=$HA35,38=$HD35,38=$HG35),200000,MIN(IF($HA35=0,999999,IF(2=$HB35,IF(38=$HJ35,IF($JC35=2,30,0),IF(38=$HK35,IF($JC35=1,30,0),ABS(14-$HC35)*100)),100000+ABS(2-$HB35)*1000+140)),IF($HD35=0,999999,IF(2=$HE35,IF(38=$HL35,IF($JD35=2,30,0),IF(38=$HM35,IF($JD35=1,30,0),ABS(14-$HF35)*100)),100000+ABS(2-$HE35)*1000+140)),IF($HG35=0,999999,IF(2=$HH35,IF(38=$HN35,IF($JE35=2,30,0),IF(38=$HO35,IF($JE35=1,30,0),ABS(14-$HI35)*100)),100000+ABS(2-$HH35)*1000+140)))-IF((38=$HJ35)+(38=$HK35)+(38=$HL35)+(38=$HM35)+(38=$HN35)+(38=$HO35)&gt;=2,50,0))+AO$5*50)</f>
        <v/>
      </c>
      <c r="AP155">
        <f>IF(OR($JF35=0,calcA!$A$6=0),0,IF(OR(39=$HA35,39=$HD35,39=$HG35),200000,MIN(IF($HA35=0,999999,IF(2=$HB35,IF(39=$HJ35,IF($JC35=2,30,0),IF(39=$HK35,IF($JC35=1,30,0),ABS(15-$HC35)*100)),100000+ABS(2-$HB35)*1000+150)),IF($HD35=0,999999,IF(2=$HE35,IF(39=$HL35,IF($JD35=2,30,0),IF(39=$HM35,IF($JD35=1,30,0),ABS(15-$HF35)*100)),100000+ABS(2-$HE35)*1000+150)),IF($HG35=0,999999,IF(2=$HH35,IF(39=$HN35,IF($JE35=2,30,0),IF(39=$HO35,IF($JE35=1,30,0),ABS(15-$HI35)*100)),100000+ABS(2-$HH35)*1000+150)))-IF((39=$HJ35)+(39=$HK35)+(39=$HL35)+(39=$HM35)+(39=$HN35)+(39=$HO35)&gt;=2,50,0))+AP$5*50)</f>
        <v/>
      </c>
      <c r="AQ155">
        <f>IF(OR($JF35=0,calcA!$A$6=0),0,IF(OR(40=$HA35,40=$HD35,40=$HG35),200000,MIN(IF($HA35=0,999999,IF(2=$HB35,IF(40=$HJ35,IF($JC35=2,30,0),IF(40=$HK35,IF($JC35=1,30,0),ABS(16-$HC35)*100)),100000+ABS(2-$HB35)*1000+160)),IF($HD35=0,999999,IF(2=$HE35,IF(40=$HL35,IF($JD35=2,30,0),IF(40=$HM35,IF($JD35=1,30,0),ABS(16-$HF35)*100)),100000+ABS(2-$HE35)*1000+160)),IF($HG35=0,999999,IF(2=$HH35,IF(40=$HN35,IF($JE35=2,30,0),IF(40=$HO35,IF($JE35=1,30,0),ABS(16-$HI35)*100)),100000+ABS(2-$HH35)*1000+160)))-IF((40=$HJ35)+(40=$HK35)+(40=$HL35)+(40=$HM35)+(40=$HN35)+(40=$HO35)&gt;=2,50,0))+AQ$5*50)</f>
        <v/>
      </c>
      <c r="AR155">
        <f>IF(OR($JF35=0,calcA!$A$6=0),0,IF(OR(41=$HA35,41=$HD35,41=$HG35),200000,MIN(IF($HA35=0,999999,IF(2=$HB35,IF(41=$HJ35,IF($JC35=2,30,0),IF(41=$HK35,IF($JC35=1,30,0),ABS(17-$HC35)*100)),100000+ABS(2-$HB35)*1000+170)),IF($HD35=0,999999,IF(2=$HE35,IF(41=$HL35,IF($JD35=2,30,0),IF(41=$HM35,IF($JD35=1,30,0),ABS(17-$HF35)*100)),100000+ABS(2-$HE35)*1000+170)),IF($HG35=0,999999,IF(2=$HH35,IF(41=$HN35,IF($JE35=2,30,0),IF(41=$HO35,IF($JE35=1,30,0),ABS(17-$HI35)*100)),100000+ABS(2-$HH35)*1000+170)))-IF((41=$HJ35)+(41=$HK35)+(41=$HL35)+(41=$HM35)+(41=$HN35)+(41=$HO35)&gt;=2,50,0))+AR$5*50)</f>
        <v/>
      </c>
      <c r="AS155">
        <f>IF(OR($JF35=0,calcA!$A$6=0),0,IF(OR(42=$HA35,42=$HD35,42=$HG35),200000,MIN(IF($HA35=0,999999,IF(2=$HB35,IF(42=$HJ35,IF($JC35=2,30,0),IF(42=$HK35,IF($JC35=1,30,0),ABS(18-$HC35)*100)),100000+ABS(2-$HB35)*1000+180)),IF($HD35=0,999999,IF(2=$HE35,IF(42=$HL35,IF($JD35=2,30,0),IF(42=$HM35,IF($JD35=1,30,0),ABS(18-$HF35)*100)),100000+ABS(2-$HE35)*1000+180)),IF($HG35=0,999999,IF(2=$HH35,IF(42=$HN35,IF($JE35=2,30,0),IF(42=$HO35,IF($JE35=1,30,0),ABS(18-$HI35)*100)),100000+ABS(2-$HH35)*1000+180)))-IF((42=$HJ35)+(42=$HK35)+(42=$HL35)+(42=$HM35)+(42=$HN35)+(42=$HO35)&gt;=2,50,0))+AS$5*50)</f>
        <v/>
      </c>
      <c r="AT155">
        <f>IF(OR($JF35=0,calcA!$A$6=0),0,IF(OR(43=$HA35,43=$HD35,43=$HG35),200000,MIN(IF($HA35=0,999999,IF(2=$HB35,IF(43=$HJ35,IF($JC35=2,30,0),IF(43=$HK35,IF($JC35=1,30,0),ABS(19-$HC35)*100)),100000+ABS(2-$HB35)*1000+190)),IF($HD35=0,999999,IF(2=$HE35,IF(43=$HL35,IF($JD35=2,30,0),IF(43=$HM35,IF($JD35=1,30,0),ABS(19-$HF35)*100)),100000+ABS(2-$HE35)*1000+190)),IF($HG35=0,999999,IF(2=$HH35,IF(43=$HN35,IF($JE35=2,30,0),IF(43=$HO35,IF($JE35=1,30,0),ABS(19-$HI35)*100)),100000+ABS(2-$HH35)*1000+190)))-IF((43=$HJ35)+(43=$HK35)+(43=$HL35)+(43=$HM35)+(43=$HN35)+(43=$HO35)&gt;=2,50,0))+AT$5*50)</f>
        <v/>
      </c>
      <c r="AU155">
        <f>IF(OR($JF35=0,calcA!$A$6=0),0,IF(OR(44=$HA35,44=$HD35,44=$HG35),200000,MIN(IF($HA35=0,999999,IF(2=$HB35,IF(44=$HJ35,IF($JC35=2,30,0),IF(44=$HK35,IF($JC35=1,30,0),ABS(20-$HC35)*100)),100000+ABS(2-$HB35)*1000+200)),IF($HD35=0,999999,IF(2=$HE35,IF(44=$HL35,IF($JD35=2,30,0),IF(44=$HM35,IF($JD35=1,30,0),ABS(20-$HF35)*100)),100000+ABS(2-$HE35)*1000+200)),IF($HG35=0,999999,IF(2=$HH35,IF(44=$HN35,IF($JE35=2,30,0),IF(44=$HO35,IF($JE35=1,30,0),ABS(20-$HI35)*100)),100000+ABS(2-$HH35)*1000+200)))-IF((44=$HJ35)+(44=$HK35)+(44=$HL35)+(44=$HM35)+(44=$HN35)+(44=$HO35)&gt;=2,50,0))+AU$5*50)</f>
        <v/>
      </c>
      <c r="AV155">
        <f>IF(OR($JF35=0,calcA!$A$6=0),0,IF(OR(45=$HA35,45=$HD35,45=$HG35),200000,MIN(IF($HA35=0,999999,IF(2=$HB35,IF(45=$HJ35,IF($JC35=2,30,0),IF(45=$HK35,IF($JC35=1,30,0),ABS(21-$HC35)*100)),100000+ABS(2-$HB35)*1000+210)),IF($HD35=0,999999,IF(2=$HE35,IF(45=$HL35,IF($JD35=2,30,0),IF(45=$HM35,IF($JD35=1,30,0),ABS(21-$HF35)*100)),100000+ABS(2-$HE35)*1000+210)),IF($HG35=0,999999,IF(2=$HH35,IF(45=$HN35,IF($JE35=2,30,0),IF(45=$HO35,IF($JE35=1,30,0),ABS(21-$HI35)*100)),100000+ABS(2-$HH35)*1000+210)))-IF((45=$HJ35)+(45=$HK35)+(45=$HL35)+(45=$HM35)+(45=$HN35)+(45=$HO35)&gt;=2,50,0))+AV$5*50)</f>
        <v/>
      </c>
      <c r="AW155">
        <f>IF(OR($JF35=0,calcA!$A$6=0),0,IF(OR(46=$HA35,46=$HD35,46=$HG35),200000,MIN(IF($HA35=0,999999,IF(2=$HB35,IF(46=$HJ35,IF($JC35=2,30,0),IF(46=$HK35,IF($JC35=1,30,0),ABS(22-$HC35)*100)),100000+ABS(2-$HB35)*1000+220)),IF($HD35=0,999999,IF(2=$HE35,IF(46=$HL35,IF($JD35=2,30,0),IF(46=$HM35,IF($JD35=1,30,0),ABS(22-$HF35)*100)),100000+ABS(2-$HE35)*1000+220)),IF($HG35=0,999999,IF(2=$HH35,IF(46=$HN35,IF($JE35=2,30,0),IF(46=$HO35,IF($JE35=1,30,0),ABS(22-$HI35)*100)),100000+ABS(2-$HH35)*1000+220)))-IF((46=$HJ35)+(46=$HK35)+(46=$HL35)+(46=$HM35)+(46=$HN35)+(46=$HO35)&gt;=2,50,0))+AW$5*50)</f>
        <v/>
      </c>
      <c r="AX155">
        <f>IF(OR($JF35=0,calcA!$A$6=0),0,IF(OR(47=$HA35,47=$HD35,47=$HG35),200000,MIN(IF($HA35=0,999999,IF(2=$HB35,IF(47=$HJ35,IF($JC35=2,30,0),IF(47=$HK35,IF($JC35=1,30,0),ABS(23-$HC35)*100)),100000+ABS(2-$HB35)*1000+230)),IF($HD35=0,999999,IF(2=$HE35,IF(47=$HL35,IF($JD35=2,30,0),IF(47=$HM35,IF($JD35=1,30,0),ABS(23-$HF35)*100)),100000+ABS(2-$HE35)*1000+230)),IF($HG35=0,999999,IF(2=$HH35,IF(47=$HN35,IF($JE35=2,30,0),IF(47=$HO35,IF($JE35=1,30,0),ABS(23-$HI35)*100)),100000+ABS(2-$HH35)*1000+230)))-IF((47=$HJ35)+(47=$HK35)+(47=$HL35)+(47=$HM35)+(47=$HN35)+(47=$HO35)&gt;=2,50,0))+AX$5*50)</f>
        <v/>
      </c>
      <c r="AY155">
        <f>IF(OR($JF35=0,calcA!$A$6=0),0,IF(OR(48=$HA35,48=$HD35,48=$HG35),200000,MIN(IF($HA35=0,999999,IF(2=$HB35,IF(48=$HJ35,IF($JC35=2,30,0),IF(48=$HK35,IF($JC35=1,30,0),ABS(24-$HC35)*100)),100000+ABS(2-$HB35)*1000+240)),IF($HD35=0,999999,IF(2=$HE35,IF(48=$HL35,IF($JD35=2,30,0),IF(48=$HM35,IF($JD35=1,30,0),ABS(24-$HF35)*100)),100000+ABS(2-$HE35)*1000+240)),IF($HG35=0,999999,IF(2=$HH35,IF(48=$HN35,IF($JE35=2,30,0),IF(48=$HO35,IF($JE35=1,30,0),ABS(24-$HI35)*100)),100000+ABS(2-$HH35)*1000+240)))-IF((48=$HJ35)+(48=$HK35)+(48=$HL35)+(48=$HM35)+(48=$HN35)+(48=$HO35)&gt;=2,50,0))+AY$5*50)</f>
        <v/>
      </c>
      <c r="AZ155">
        <f>IF(OR($JF35=0,calcA!$A$6=0),0,IF(OR(49=$HA35,49=$HD35,49=$HG35),200000,MIN(IF($HA35=0,999999,IF(3=$HB35,IF(49=$HJ35,IF($JC35=2,30,0),IF(49=$HK35,IF($JC35=1,30,0),ABS(1-$HC35)*100)),100000+ABS(3-$HB35)*1000+10)),IF($HD35=0,999999,IF(3=$HE35,IF(49=$HL35,IF($JD35=2,30,0),IF(49=$HM35,IF($JD35=1,30,0),ABS(1-$HF35)*100)),100000+ABS(3-$HE35)*1000+10)),IF($HG35=0,999999,IF(3=$HH35,IF(49=$HN35,IF($JE35=2,30,0),IF(49=$HO35,IF($JE35=1,30,0),ABS(1-$HI35)*100)),100000+ABS(3-$HH35)*1000+10)))-IF((49=$HJ35)+(49=$HK35)+(49=$HL35)+(49=$HM35)+(49=$HN35)+(49=$HO35)&gt;=2,50,0))+AZ$5*50)</f>
        <v/>
      </c>
      <c r="BA155">
        <f>IF(OR($JF35=0,calcA!$A$6=0),0,IF(OR(50=$HA35,50=$HD35,50=$HG35),200000,MIN(IF($HA35=0,999999,IF(3=$HB35,IF(50=$HJ35,IF($JC35=2,30,0),IF(50=$HK35,IF($JC35=1,30,0),ABS(2-$HC35)*100)),100000+ABS(3-$HB35)*1000+20)),IF($HD35=0,999999,IF(3=$HE35,IF(50=$HL35,IF($JD35=2,30,0),IF(50=$HM35,IF($JD35=1,30,0),ABS(2-$HF35)*100)),100000+ABS(3-$HE35)*1000+20)),IF($HG35=0,999999,IF(3=$HH35,IF(50=$HN35,IF($JE35=2,30,0),IF(50=$HO35,IF($JE35=1,30,0),ABS(2-$HI35)*100)),100000+ABS(3-$HH35)*1000+20)))-IF((50=$HJ35)+(50=$HK35)+(50=$HL35)+(50=$HM35)+(50=$HN35)+(50=$HO35)&gt;=2,50,0))+BA$5*50)</f>
        <v/>
      </c>
      <c r="BB155">
        <f>IF(OR($JF35=0,calcA!$A$6=0),0,IF(OR(51=$HA35,51=$HD35,51=$HG35),200000,MIN(IF($HA35=0,999999,IF(3=$HB35,IF(51=$HJ35,IF($JC35=2,30,0),IF(51=$HK35,IF($JC35=1,30,0),ABS(3-$HC35)*100)),100000+ABS(3-$HB35)*1000+30)),IF($HD35=0,999999,IF(3=$HE35,IF(51=$HL35,IF($JD35=2,30,0),IF(51=$HM35,IF($JD35=1,30,0),ABS(3-$HF35)*100)),100000+ABS(3-$HE35)*1000+30)),IF($HG35=0,999999,IF(3=$HH35,IF(51=$HN35,IF($JE35=2,30,0),IF(51=$HO35,IF($JE35=1,30,0),ABS(3-$HI35)*100)),100000+ABS(3-$HH35)*1000+30)))-IF((51=$HJ35)+(51=$HK35)+(51=$HL35)+(51=$HM35)+(51=$HN35)+(51=$HO35)&gt;=2,50,0))+BB$5*50)</f>
        <v/>
      </c>
      <c r="BC155">
        <f>IF(OR($JF35=0,calcA!$A$6=0),0,IF(OR(52=$HA35,52=$HD35,52=$HG35),200000,MIN(IF($HA35=0,999999,IF(3=$HB35,IF(52=$HJ35,IF($JC35=2,30,0),IF(52=$HK35,IF($JC35=1,30,0),ABS(4-$HC35)*100)),100000+ABS(3-$HB35)*1000+40)),IF($HD35=0,999999,IF(3=$HE35,IF(52=$HL35,IF($JD35=2,30,0),IF(52=$HM35,IF($JD35=1,30,0),ABS(4-$HF35)*100)),100000+ABS(3-$HE35)*1000+40)),IF($HG35=0,999999,IF(3=$HH35,IF(52=$HN35,IF($JE35=2,30,0),IF(52=$HO35,IF($JE35=1,30,0),ABS(4-$HI35)*100)),100000+ABS(3-$HH35)*1000+40)))-IF((52=$HJ35)+(52=$HK35)+(52=$HL35)+(52=$HM35)+(52=$HN35)+(52=$HO35)&gt;=2,50,0))+BC$5*50)</f>
        <v/>
      </c>
      <c r="BD155">
        <f>IF(OR($JF35=0,calcA!$A$6=0),0,IF(OR(53=$HA35,53=$HD35,53=$HG35),200000,MIN(IF($HA35=0,999999,IF(3=$HB35,IF(53=$HJ35,IF($JC35=2,30,0),IF(53=$HK35,IF($JC35=1,30,0),ABS(5-$HC35)*100)),100000+ABS(3-$HB35)*1000+50)),IF($HD35=0,999999,IF(3=$HE35,IF(53=$HL35,IF($JD35=2,30,0),IF(53=$HM35,IF($JD35=1,30,0),ABS(5-$HF35)*100)),100000+ABS(3-$HE35)*1000+50)),IF($HG35=0,999999,IF(3=$HH35,IF(53=$HN35,IF($JE35=2,30,0),IF(53=$HO35,IF($JE35=1,30,0),ABS(5-$HI35)*100)),100000+ABS(3-$HH35)*1000+50)))-IF((53=$HJ35)+(53=$HK35)+(53=$HL35)+(53=$HM35)+(53=$HN35)+(53=$HO35)&gt;=2,50,0))+BD$5*50)</f>
        <v/>
      </c>
      <c r="BE155">
        <f>IF(OR($JF35=0,calcA!$A$6=0),0,IF(OR(54=$HA35,54=$HD35,54=$HG35),200000,MIN(IF($HA35=0,999999,IF(3=$HB35,IF(54=$HJ35,IF($JC35=2,30,0),IF(54=$HK35,IF($JC35=1,30,0),ABS(6-$HC35)*100)),100000+ABS(3-$HB35)*1000+60)),IF($HD35=0,999999,IF(3=$HE35,IF(54=$HL35,IF($JD35=2,30,0),IF(54=$HM35,IF($JD35=1,30,0),ABS(6-$HF35)*100)),100000+ABS(3-$HE35)*1000+60)),IF($HG35=0,999999,IF(3=$HH35,IF(54=$HN35,IF($JE35=2,30,0),IF(54=$HO35,IF($JE35=1,30,0),ABS(6-$HI35)*100)),100000+ABS(3-$HH35)*1000+60)))-IF((54=$HJ35)+(54=$HK35)+(54=$HL35)+(54=$HM35)+(54=$HN35)+(54=$HO35)&gt;=2,50,0))+BE$5*50)</f>
        <v/>
      </c>
      <c r="BF155">
        <f>IF(OR($JF35=0,calcA!$A$6=0),0,IF(OR(55=$HA35,55=$HD35,55=$HG35),200000,MIN(IF($HA35=0,999999,IF(3=$HB35,IF(55=$HJ35,IF($JC35=2,30,0),IF(55=$HK35,IF($JC35=1,30,0),ABS(7-$HC35)*100)),100000+ABS(3-$HB35)*1000+70)),IF($HD35=0,999999,IF(3=$HE35,IF(55=$HL35,IF($JD35=2,30,0),IF(55=$HM35,IF($JD35=1,30,0),ABS(7-$HF35)*100)),100000+ABS(3-$HE35)*1000+70)),IF($HG35=0,999999,IF(3=$HH35,IF(55=$HN35,IF($JE35=2,30,0),IF(55=$HO35,IF($JE35=1,30,0),ABS(7-$HI35)*100)),100000+ABS(3-$HH35)*1000+70)))-IF((55=$HJ35)+(55=$HK35)+(55=$HL35)+(55=$HM35)+(55=$HN35)+(55=$HO35)&gt;=2,50,0))+BF$5*50)</f>
        <v/>
      </c>
      <c r="BG155">
        <f>IF(OR($JF35=0,calcA!$A$6=0),0,IF(OR(56=$HA35,56=$HD35,56=$HG35),200000,MIN(IF($HA35=0,999999,IF(3=$HB35,IF(56=$HJ35,IF($JC35=2,30,0),IF(56=$HK35,IF($JC35=1,30,0),ABS(8-$HC35)*100)),100000+ABS(3-$HB35)*1000+80)),IF($HD35=0,999999,IF(3=$HE35,IF(56=$HL35,IF($JD35=2,30,0),IF(56=$HM35,IF($JD35=1,30,0),ABS(8-$HF35)*100)),100000+ABS(3-$HE35)*1000+80)),IF($HG35=0,999999,IF(3=$HH35,IF(56=$HN35,IF($JE35=2,30,0),IF(56=$HO35,IF($JE35=1,30,0),ABS(8-$HI35)*100)),100000+ABS(3-$HH35)*1000+80)))-IF((56=$HJ35)+(56=$HK35)+(56=$HL35)+(56=$HM35)+(56=$HN35)+(56=$HO35)&gt;=2,50,0))+BG$5*50)</f>
        <v/>
      </c>
      <c r="BH155">
        <f>IF(OR($JF35=0,calcA!$A$6=0),0,IF(OR(57=$HA35,57=$HD35,57=$HG35),200000,MIN(IF($HA35=0,999999,IF(3=$HB35,IF(57=$HJ35,IF($JC35=2,30,0),IF(57=$HK35,IF($JC35=1,30,0),ABS(9-$HC35)*100)),100000+ABS(3-$HB35)*1000+90)),IF($HD35=0,999999,IF(3=$HE35,IF(57=$HL35,IF($JD35=2,30,0),IF(57=$HM35,IF($JD35=1,30,0),ABS(9-$HF35)*100)),100000+ABS(3-$HE35)*1000+90)),IF($HG35=0,999999,IF(3=$HH35,IF(57=$HN35,IF($JE35=2,30,0),IF(57=$HO35,IF($JE35=1,30,0),ABS(9-$HI35)*100)),100000+ABS(3-$HH35)*1000+90)))-IF((57=$HJ35)+(57=$HK35)+(57=$HL35)+(57=$HM35)+(57=$HN35)+(57=$HO35)&gt;=2,50,0))+BH$5*50)</f>
        <v/>
      </c>
      <c r="BI155">
        <f>IF(OR($JF35=0,calcA!$A$6=0),0,IF(OR(58=$HA35,58=$HD35,58=$HG35),200000,MIN(IF($HA35=0,999999,IF(3=$HB35,IF(58=$HJ35,IF($JC35=2,30,0),IF(58=$HK35,IF($JC35=1,30,0),ABS(10-$HC35)*100)),100000+ABS(3-$HB35)*1000+100)),IF($HD35=0,999999,IF(3=$HE35,IF(58=$HL35,IF($JD35=2,30,0),IF(58=$HM35,IF($JD35=1,30,0),ABS(10-$HF35)*100)),100000+ABS(3-$HE35)*1000+100)),IF($HG35=0,999999,IF(3=$HH35,IF(58=$HN35,IF($JE35=2,30,0),IF(58=$HO35,IF($JE35=1,30,0),ABS(10-$HI35)*100)),100000+ABS(3-$HH35)*1000+100)))-IF((58=$HJ35)+(58=$HK35)+(58=$HL35)+(58=$HM35)+(58=$HN35)+(58=$HO35)&gt;=2,50,0))+BI$5*50)</f>
        <v/>
      </c>
      <c r="BJ155">
        <f>IF(OR($JF35=0,calcA!$A$6=0),0,IF(OR(59=$HA35,59=$HD35,59=$HG35),200000,MIN(IF($HA35=0,999999,IF(3=$HB35,IF(59=$HJ35,IF($JC35=2,30,0),IF(59=$HK35,IF($JC35=1,30,0),ABS(11-$HC35)*100)),100000+ABS(3-$HB35)*1000+110)),IF($HD35=0,999999,IF(3=$HE35,IF(59=$HL35,IF($JD35=2,30,0),IF(59=$HM35,IF($JD35=1,30,0),ABS(11-$HF35)*100)),100000+ABS(3-$HE35)*1000+110)),IF($HG35=0,999999,IF(3=$HH35,IF(59=$HN35,IF($JE35=2,30,0),IF(59=$HO35,IF($JE35=1,30,0),ABS(11-$HI35)*100)),100000+ABS(3-$HH35)*1000+110)))-IF((59=$HJ35)+(59=$HK35)+(59=$HL35)+(59=$HM35)+(59=$HN35)+(59=$HO35)&gt;=2,50,0))+BJ$5*50)</f>
        <v/>
      </c>
      <c r="BK155">
        <f>IF(OR($JF35=0,calcA!$A$6=0),0,IF(OR(60=$HA35,60=$HD35,60=$HG35),200000,MIN(IF($HA35=0,999999,IF(3=$HB35,IF(60=$HJ35,IF($JC35=2,30,0),IF(60=$HK35,IF($JC35=1,30,0),ABS(12-$HC35)*100)),100000+ABS(3-$HB35)*1000+120)),IF($HD35=0,999999,IF(3=$HE35,IF(60=$HL35,IF($JD35=2,30,0),IF(60=$HM35,IF($JD35=1,30,0),ABS(12-$HF35)*100)),100000+ABS(3-$HE35)*1000+120)),IF($HG35=0,999999,IF(3=$HH35,IF(60=$HN35,IF($JE35=2,30,0),IF(60=$HO35,IF($JE35=1,30,0),ABS(12-$HI35)*100)),100000+ABS(3-$HH35)*1000+120)))-IF((60=$HJ35)+(60=$HK35)+(60=$HL35)+(60=$HM35)+(60=$HN35)+(60=$HO35)&gt;=2,50,0))+BK$5*50)</f>
        <v/>
      </c>
      <c r="BL155">
        <f>IF(OR($JF35=0,calcA!$A$6=0),0,IF(OR(61=$HA35,61=$HD35,61=$HG35),200000,MIN(IF($HA35=0,999999,IF(3=$HB35,IF(61=$HJ35,IF($JC35=2,30,0),IF(61=$HK35,IF($JC35=1,30,0),ABS(13-$HC35)*100)),100000+ABS(3-$HB35)*1000+130)),IF($HD35=0,999999,IF(3=$HE35,IF(61=$HL35,IF($JD35=2,30,0),IF(61=$HM35,IF($JD35=1,30,0),ABS(13-$HF35)*100)),100000+ABS(3-$HE35)*1000+130)),IF($HG35=0,999999,IF(3=$HH35,IF(61=$HN35,IF($JE35=2,30,0),IF(61=$HO35,IF($JE35=1,30,0),ABS(13-$HI35)*100)),100000+ABS(3-$HH35)*1000+130)))-IF((61=$HJ35)+(61=$HK35)+(61=$HL35)+(61=$HM35)+(61=$HN35)+(61=$HO35)&gt;=2,50,0))+BL$5*50)</f>
        <v/>
      </c>
      <c r="BM155">
        <f>IF(OR($JF35=0,calcA!$A$6=0),0,IF(OR(62=$HA35,62=$HD35,62=$HG35),200000,MIN(IF($HA35=0,999999,IF(3=$HB35,IF(62=$HJ35,IF($JC35=2,30,0),IF(62=$HK35,IF($JC35=1,30,0),ABS(14-$HC35)*100)),100000+ABS(3-$HB35)*1000+140)),IF($HD35=0,999999,IF(3=$HE35,IF(62=$HL35,IF($JD35=2,30,0),IF(62=$HM35,IF($JD35=1,30,0),ABS(14-$HF35)*100)),100000+ABS(3-$HE35)*1000+140)),IF($HG35=0,999999,IF(3=$HH35,IF(62=$HN35,IF($JE35=2,30,0),IF(62=$HO35,IF($JE35=1,30,0),ABS(14-$HI35)*100)),100000+ABS(3-$HH35)*1000+140)))-IF((62=$HJ35)+(62=$HK35)+(62=$HL35)+(62=$HM35)+(62=$HN35)+(62=$HO35)&gt;=2,50,0))+BM$5*50)</f>
        <v/>
      </c>
      <c r="BN155">
        <f>IF(OR($JF35=0,calcA!$A$6=0),0,IF(OR(63=$HA35,63=$HD35,63=$HG35),200000,MIN(IF($HA35=0,999999,IF(3=$HB35,IF(63=$HJ35,IF($JC35=2,30,0),IF(63=$HK35,IF($JC35=1,30,0),ABS(15-$HC35)*100)),100000+ABS(3-$HB35)*1000+150)),IF($HD35=0,999999,IF(3=$HE35,IF(63=$HL35,IF($JD35=2,30,0),IF(63=$HM35,IF($JD35=1,30,0),ABS(15-$HF35)*100)),100000+ABS(3-$HE35)*1000+150)),IF($HG35=0,999999,IF(3=$HH35,IF(63=$HN35,IF($JE35=2,30,0),IF(63=$HO35,IF($JE35=1,30,0),ABS(15-$HI35)*100)),100000+ABS(3-$HH35)*1000+150)))-IF((63=$HJ35)+(63=$HK35)+(63=$HL35)+(63=$HM35)+(63=$HN35)+(63=$HO35)&gt;=2,50,0))+BN$5*50)</f>
        <v/>
      </c>
      <c r="BO155">
        <f>IF(OR($JF35=0,calcA!$A$6=0),0,IF(OR(64=$HA35,64=$HD35,64=$HG35),200000,MIN(IF($HA35=0,999999,IF(3=$HB35,IF(64=$HJ35,IF($JC35=2,30,0),IF(64=$HK35,IF($JC35=1,30,0),ABS(16-$HC35)*100)),100000+ABS(3-$HB35)*1000+160)),IF($HD35=0,999999,IF(3=$HE35,IF(64=$HL35,IF($JD35=2,30,0),IF(64=$HM35,IF($JD35=1,30,0),ABS(16-$HF35)*100)),100000+ABS(3-$HE35)*1000+160)),IF($HG35=0,999999,IF(3=$HH35,IF(64=$HN35,IF($JE35=2,30,0),IF(64=$HO35,IF($JE35=1,30,0),ABS(16-$HI35)*100)),100000+ABS(3-$HH35)*1000+160)))-IF((64=$HJ35)+(64=$HK35)+(64=$HL35)+(64=$HM35)+(64=$HN35)+(64=$HO35)&gt;=2,50,0))+BO$5*50)</f>
        <v/>
      </c>
      <c r="BP155">
        <f>IF(OR($JF35=0,calcA!$A$6=0),0,IF(OR(65=$HA35,65=$HD35,65=$HG35),200000,MIN(IF($HA35=0,999999,IF(3=$HB35,IF(65=$HJ35,IF($JC35=2,30,0),IF(65=$HK35,IF($JC35=1,30,0),ABS(17-$HC35)*100)),100000+ABS(3-$HB35)*1000+170)),IF($HD35=0,999999,IF(3=$HE35,IF(65=$HL35,IF($JD35=2,30,0),IF(65=$HM35,IF($JD35=1,30,0),ABS(17-$HF35)*100)),100000+ABS(3-$HE35)*1000+170)),IF($HG35=0,999999,IF(3=$HH35,IF(65=$HN35,IF($JE35=2,30,0),IF(65=$HO35,IF($JE35=1,30,0),ABS(17-$HI35)*100)),100000+ABS(3-$HH35)*1000+170)))-IF((65=$HJ35)+(65=$HK35)+(65=$HL35)+(65=$HM35)+(65=$HN35)+(65=$HO35)&gt;=2,50,0))+BP$5*50)</f>
        <v/>
      </c>
      <c r="BQ155">
        <f>IF(OR($JF35=0,calcA!$A$6=0),0,IF(OR(66=$HA35,66=$HD35,66=$HG35),200000,MIN(IF($HA35=0,999999,IF(3=$HB35,IF(66=$HJ35,IF($JC35=2,30,0),IF(66=$HK35,IF($JC35=1,30,0),ABS(18-$HC35)*100)),100000+ABS(3-$HB35)*1000+180)),IF($HD35=0,999999,IF(3=$HE35,IF(66=$HL35,IF($JD35=2,30,0),IF(66=$HM35,IF($JD35=1,30,0),ABS(18-$HF35)*100)),100000+ABS(3-$HE35)*1000+180)),IF($HG35=0,999999,IF(3=$HH35,IF(66=$HN35,IF($JE35=2,30,0),IF(66=$HO35,IF($JE35=1,30,0),ABS(18-$HI35)*100)),100000+ABS(3-$HH35)*1000+180)))-IF((66=$HJ35)+(66=$HK35)+(66=$HL35)+(66=$HM35)+(66=$HN35)+(66=$HO35)&gt;=2,50,0))+BQ$5*50)</f>
        <v/>
      </c>
      <c r="BR155">
        <f>IF(OR($JF35=0,calcA!$A$6=0),0,IF(OR(67=$HA35,67=$HD35,67=$HG35),200000,MIN(IF($HA35=0,999999,IF(3=$HB35,IF(67=$HJ35,IF($JC35=2,30,0),IF(67=$HK35,IF($JC35=1,30,0),ABS(19-$HC35)*100)),100000+ABS(3-$HB35)*1000+190)),IF($HD35=0,999999,IF(3=$HE35,IF(67=$HL35,IF($JD35=2,30,0),IF(67=$HM35,IF($JD35=1,30,0),ABS(19-$HF35)*100)),100000+ABS(3-$HE35)*1000+190)),IF($HG35=0,999999,IF(3=$HH35,IF(67=$HN35,IF($JE35=2,30,0),IF(67=$HO35,IF($JE35=1,30,0),ABS(19-$HI35)*100)),100000+ABS(3-$HH35)*1000+190)))-IF((67=$HJ35)+(67=$HK35)+(67=$HL35)+(67=$HM35)+(67=$HN35)+(67=$HO35)&gt;=2,50,0))+BR$5*50)</f>
        <v/>
      </c>
      <c r="BS155">
        <f>IF(OR($JF35=0,calcA!$A$6=0),0,IF(OR(68=$HA35,68=$HD35,68=$HG35),200000,MIN(IF($HA35=0,999999,IF(3=$HB35,IF(68=$HJ35,IF($JC35=2,30,0),IF(68=$HK35,IF($JC35=1,30,0),ABS(20-$HC35)*100)),100000+ABS(3-$HB35)*1000+200)),IF($HD35=0,999999,IF(3=$HE35,IF(68=$HL35,IF($JD35=2,30,0),IF(68=$HM35,IF($JD35=1,30,0),ABS(20-$HF35)*100)),100000+ABS(3-$HE35)*1000+200)),IF($HG35=0,999999,IF(3=$HH35,IF(68=$HN35,IF($JE35=2,30,0),IF(68=$HO35,IF($JE35=1,30,0),ABS(20-$HI35)*100)),100000+ABS(3-$HH35)*1000+200)))-IF((68=$HJ35)+(68=$HK35)+(68=$HL35)+(68=$HM35)+(68=$HN35)+(68=$HO35)&gt;=2,50,0))+BS$5*50)</f>
        <v/>
      </c>
      <c r="BT155">
        <f>IF(OR($JF35=0,calcA!$A$6=0),0,IF(OR(69=$HA35,69=$HD35,69=$HG35),200000,MIN(IF($HA35=0,999999,IF(3=$HB35,IF(69=$HJ35,IF($JC35=2,30,0),IF(69=$HK35,IF($JC35=1,30,0),ABS(21-$HC35)*100)),100000+ABS(3-$HB35)*1000+210)),IF($HD35=0,999999,IF(3=$HE35,IF(69=$HL35,IF($JD35=2,30,0),IF(69=$HM35,IF($JD35=1,30,0),ABS(21-$HF35)*100)),100000+ABS(3-$HE35)*1000+210)),IF($HG35=0,999999,IF(3=$HH35,IF(69=$HN35,IF($JE35=2,30,0),IF(69=$HO35,IF($JE35=1,30,0),ABS(21-$HI35)*100)),100000+ABS(3-$HH35)*1000+210)))-IF((69=$HJ35)+(69=$HK35)+(69=$HL35)+(69=$HM35)+(69=$HN35)+(69=$HO35)&gt;=2,50,0))+BT$5*50)</f>
        <v/>
      </c>
      <c r="BU155">
        <f>IF(OR($JF35=0,calcA!$A$6=0),0,IF(OR(70=$HA35,70=$HD35,70=$HG35),200000,MIN(IF($HA35=0,999999,IF(3=$HB35,IF(70=$HJ35,IF($JC35=2,30,0),IF(70=$HK35,IF($JC35=1,30,0),ABS(22-$HC35)*100)),100000+ABS(3-$HB35)*1000+220)),IF($HD35=0,999999,IF(3=$HE35,IF(70=$HL35,IF($JD35=2,30,0),IF(70=$HM35,IF($JD35=1,30,0),ABS(22-$HF35)*100)),100000+ABS(3-$HE35)*1000+220)),IF($HG35=0,999999,IF(3=$HH35,IF(70=$HN35,IF($JE35=2,30,0),IF(70=$HO35,IF($JE35=1,30,0),ABS(22-$HI35)*100)),100000+ABS(3-$HH35)*1000+220)))-IF((70=$HJ35)+(70=$HK35)+(70=$HL35)+(70=$HM35)+(70=$HN35)+(70=$HO35)&gt;=2,50,0))+BU$5*50)</f>
        <v/>
      </c>
      <c r="BV155">
        <f>IF(OR($JF35=0,calcA!$A$6=0),0,IF(OR(71=$HA35,71=$HD35,71=$HG35),200000,MIN(IF($HA35=0,999999,IF(3=$HB35,IF(71=$HJ35,IF($JC35=2,30,0),IF(71=$HK35,IF($JC35=1,30,0),ABS(23-$HC35)*100)),100000+ABS(3-$HB35)*1000+230)),IF($HD35=0,999999,IF(3=$HE35,IF(71=$HL35,IF($JD35=2,30,0),IF(71=$HM35,IF($JD35=1,30,0),ABS(23-$HF35)*100)),100000+ABS(3-$HE35)*1000+230)),IF($HG35=0,999999,IF(3=$HH35,IF(71=$HN35,IF($JE35=2,30,0),IF(71=$HO35,IF($JE35=1,30,0),ABS(23-$HI35)*100)),100000+ABS(3-$HH35)*1000+230)))-IF((71=$HJ35)+(71=$HK35)+(71=$HL35)+(71=$HM35)+(71=$HN35)+(71=$HO35)&gt;=2,50,0))+BV$5*50)</f>
        <v/>
      </c>
      <c r="BW155">
        <f>IF(OR($JF35=0,calcA!$A$6=0),0,IF(OR(72=$HA35,72=$HD35,72=$HG35),200000,MIN(IF($HA35=0,999999,IF(3=$HB35,IF(72=$HJ35,IF($JC35=2,30,0),IF(72=$HK35,IF($JC35=1,30,0),ABS(24-$HC35)*100)),100000+ABS(3-$HB35)*1000+240)),IF($HD35=0,999999,IF(3=$HE35,IF(72=$HL35,IF($JD35=2,30,0),IF(72=$HM35,IF($JD35=1,30,0),ABS(24-$HF35)*100)),100000+ABS(3-$HE35)*1000+240)),IF($HG35=0,999999,IF(3=$HH35,IF(72=$HN35,IF($JE35=2,30,0),IF(72=$HO35,IF($JE35=1,30,0),ABS(24-$HI35)*100)),100000+ABS(3-$HH35)*1000+240)))-IF((72=$HJ35)+(72=$HK35)+(72=$HL35)+(72=$HM35)+(72=$HN35)+(72=$HO35)&gt;=2,50,0))+BW$5*50)</f>
        <v/>
      </c>
      <c r="BX155">
        <f>IF(OR($JF35=0,calcA!$A$6=0),0,IF(OR(73=$HA35,73=$HD35,73=$HG35),200000,MIN(IF($HA35=0,999999,IF(4=$HB35,IF(73=$HJ35,IF($JC35=2,30,0),IF(73=$HK35,IF($JC35=1,30,0),ABS(1-$HC35)*100)),100000+ABS(4-$HB35)*1000+10)),IF($HD35=0,999999,IF(4=$HE35,IF(73=$HL35,IF($JD35=2,30,0),IF(73=$HM35,IF($JD35=1,30,0),ABS(1-$HF35)*100)),100000+ABS(4-$HE35)*1000+10)),IF($HG35=0,999999,IF(4=$HH35,IF(73=$HN35,IF($JE35=2,30,0),IF(73=$HO35,IF($JE35=1,30,0),ABS(1-$HI35)*100)),100000+ABS(4-$HH35)*1000+10)))-IF((73=$HJ35)+(73=$HK35)+(73=$HL35)+(73=$HM35)+(73=$HN35)+(73=$HO35)&gt;=2,50,0))+BX$5*50)</f>
        <v/>
      </c>
      <c r="BY155">
        <f>IF(OR($JF35=0,calcA!$A$6=0),0,IF(OR(74=$HA35,74=$HD35,74=$HG35),200000,MIN(IF($HA35=0,999999,IF(4=$HB35,IF(74=$HJ35,IF($JC35=2,30,0),IF(74=$HK35,IF($JC35=1,30,0),ABS(2-$HC35)*100)),100000+ABS(4-$HB35)*1000+20)),IF($HD35=0,999999,IF(4=$HE35,IF(74=$HL35,IF($JD35=2,30,0),IF(74=$HM35,IF($JD35=1,30,0),ABS(2-$HF35)*100)),100000+ABS(4-$HE35)*1000+20)),IF($HG35=0,999999,IF(4=$HH35,IF(74=$HN35,IF($JE35=2,30,0),IF(74=$HO35,IF($JE35=1,30,0),ABS(2-$HI35)*100)),100000+ABS(4-$HH35)*1000+20)))-IF((74=$HJ35)+(74=$HK35)+(74=$HL35)+(74=$HM35)+(74=$HN35)+(74=$HO35)&gt;=2,50,0))+BY$5*50)</f>
        <v/>
      </c>
      <c r="BZ155">
        <f>IF(OR($JF35=0,calcA!$A$6=0),0,IF(OR(75=$HA35,75=$HD35,75=$HG35),200000,MIN(IF($HA35=0,999999,IF(4=$HB35,IF(75=$HJ35,IF($JC35=2,30,0),IF(75=$HK35,IF($JC35=1,30,0),ABS(3-$HC35)*100)),100000+ABS(4-$HB35)*1000+30)),IF($HD35=0,999999,IF(4=$HE35,IF(75=$HL35,IF($JD35=2,30,0),IF(75=$HM35,IF($JD35=1,30,0),ABS(3-$HF35)*100)),100000+ABS(4-$HE35)*1000+30)),IF($HG35=0,999999,IF(4=$HH35,IF(75=$HN35,IF($JE35=2,30,0),IF(75=$HO35,IF($JE35=1,30,0),ABS(3-$HI35)*100)),100000+ABS(4-$HH35)*1000+30)))-IF((75=$HJ35)+(75=$HK35)+(75=$HL35)+(75=$HM35)+(75=$HN35)+(75=$HO35)&gt;=2,50,0))+BZ$5*50)</f>
        <v/>
      </c>
      <c r="CA155">
        <f>IF(OR($JF35=0,calcA!$A$6=0),0,IF(OR(76=$HA35,76=$HD35,76=$HG35),200000,MIN(IF($HA35=0,999999,IF(4=$HB35,IF(76=$HJ35,IF($JC35=2,30,0),IF(76=$HK35,IF($JC35=1,30,0),ABS(4-$HC35)*100)),100000+ABS(4-$HB35)*1000+40)),IF($HD35=0,999999,IF(4=$HE35,IF(76=$HL35,IF($JD35=2,30,0),IF(76=$HM35,IF($JD35=1,30,0),ABS(4-$HF35)*100)),100000+ABS(4-$HE35)*1000+40)),IF($HG35=0,999999,IF(4=$HH35,IF(76=$HN35,IF($JE35=2,30,0),IF(76=$HO35,IF($JE35=1,30,0),ABS(4-$HI35)*100)),100000+ABS(4-$HH35)*1000+40)))-IF((76=$HJ35)+(76=$HK35)+(76=$HL35)+(76=$HM35)+(76=$HN35)+(76=$HO35)&gt;=2,50,0))+CA$5*50)</f>
        <v/>
      </c>
      <c r="CB155">
        <f>IF(OR($JF35=0,calcA!$A$6=0),0,IF(OR(77=$HA35,77=$HD35,77=$HG35),200000,MIN(IF($HA35=0,999999,IF(4=$HB35,IF(77=$HJ35,IF($JC35=2,30,0),IF(77=$HK35,IF($JC35=1,30,0),ABS(5-$HC35)*100)),100000+ABS(4-$HB35)*1000+50)),IF($HD35=0,999999,IF(4=$HE35,IF(77=$HL35,IF($JD35=2,30,0),IF(77=$HM35,IF($JD35=1,30,0),ABS(5-$HF35)*100)),100000+ABS(4-$HE35)*1000+50)),IF($HG35=0,999999,IF(4=$HH35,IF(77=$HN35,IF($JE35=2,30,0),IF(77=$HO35,IF($JE35=1,30,0),ABS(5-$HI35)*100)),100000+ABS(4-$HH35)*1000+50)))-IF((77=$HJ35)+(77=$HK35)+(77=$HL35)+(77=$HM35)+(77=$HN35)+(77=$HO35)&gt;=2,50,0))+CB$5*50)</f>
        <v/>
      </c>
      <c r="CC155">
        <f>IF(OR($JF35=0,calcA!$A$6=0),0,IF(OR(78=$HA35,78=$HD35,78=$HG35),200000,MIN(IF($HA35=0,999999,IF(4=$HB35,IF(78=$HJ35,IF($JC35=2,30,0),IF(78=$HK35,IF($JC35=1,30,0),ABS(6-$HC35)*100)),100000+ABS(4-$HB35)*1000+60)),IF($HD35=0,999999,IF(4=$HE35,IF(78=$HL35,IF($JD35=2,30,0),IF(78=$HM35,IF($JD35=1,30,0),ABS(6-$HF35)*100)),100000+ABS(4-$HE35)*1000+60)),IF($HG35=0,999999,IF(4=$HH35,IF(78=$HN35,IF($JE35=2,30,0),IF(78=$HO35,IF($JE35=1,30,0),ABS(6-$HI35)*100)),100000+ABS(4-$HH35)*1000+60)))-IF((78=$HJ35)+(78=$HK35)+(78=$HL35)+(78=$HM35)+(78=$HN35)+(78=$HO35)&gt;=2,50,0))+CC$5*50)</f>
        <v/>
      </c>
      <c r="CD155">
        <f>IF(OR($JF35=0,calcA!$A$6=0),0,IF(OR(79=$HA35,79=$HD35,79=$HG35),200000,MIN(IF($HA35=0,999999,IF(4=$HB35,IF(79=$HJ35,IF($JC35=2,30,0),IF(79=$HK35,IF($JC35=1,30,0),ABS(7-$HC35)*100)),100000+ABS(4-$HB35)*1000+70)),IF($HD35=0,999999,IF(4=$HE35,IF(79=$HL35,IF($JD35=2,30,0),IF(79=$HM35,IF($JD35=1,30,0),ABS(7-$HF35)*100)),100000+ABS(4-$HE35)*1000+70)),IF($HG35=0,999999,IF(4=$HH35,IF(79=$HN35,IF($JE35=2,30,0),IF(79=$HO35,IF($JE35=1,30,0),ABS(7-$HI35)*100)),100000+ABS(4-$HH35)*1000+70)))-IF((79=$HJ35)+(79=$HK35)+(79=$HL35)+(79=$HM35)+(79=$HN35)+(79=$HO35)&gt;=2,50,0))+CD$5*50)</f>
        <v/>
      </c>
      <c r="CE155">
        <f>IF(OR($JF35=0,calcA!$A$6=0),0,IF(OR(80=$HA35,80=$HD35,80=$HG35),200000,MIN(IF($HA35=0,999999,IF(4=$HB35,IF(80=$HJ35,IF($JC35=2,30,0),IF(80=$HK35,IF($JC35=1,30,0),ABS(8-$HC35)*100)),100000+ABS(4-$HB35)*1000+80)),IF($HD35=0,999999,IF(4=$HE35,IF(80=$HL35,IF($JD35=2,30,0),IF(80=$HM35,IF($JD35=1,30,0),ABS(8-$HF35)*100)),100000+ABS(4-$HE35)*1000+80)),IF($HG35=0,999999,IF(4=$HH35,IF(80=$HN35,IF($JE35=2,30,0),IF(80=$HO35,IF($JE35=1,30,0),ABS(8-$HI35)*100)),100000+ABS(4-$HH35)*1000+80)))-IF((80=$HJ35)+(80=$HK35)+(80=$HL35)+(80=$HM35)+(80=$HN35)+(80=$HO35)&gt;=2,50,0))+CE$5*50)</f>
        <v/>
      </c>
      <c r="CF155">
        <f>IF(OR($JF35=0,calcA!$A$6=0),0,IF(OR(81=$HA35,81=$HD35,81=$HG35),200000,MIN(IF($HA35=0,999999,IF(4=$HB35,IF(81=$HJ35,IF($JC35=2,30,0),IF(81=$HK35,IF($JC35=1,30,0),ABS(9-$HC35)*100)),100000+ABS(4-$HB35)*1000+90)),IF($HD35=0,999999,IF(4=$HE35,IF(81=$HL35,IF($JD35=2,30,0),IF(81=$HM35,IF($JD35=1,30,0),ABS(9-$HF35)*100)),100000+ABS(4-$HE35)*1000+90)),IF($HG35=0,999999,IF(4=$HH35,IF(81=$HN35,IF($JE35=2,30,0),IF(81=$HO35,IF($JE35=1,30,0),ABS(9-$HI35)*100)),100000+ABS(4-$HH35)*1000+90)))-IF((81=$HJ35)+(81=$HK35)+(81=$HL35)+(81=$HM35)+(81=$HN35)+(81=$HO35)&gt;=2,50,0))+CF$5*50)</f>
        <v/>
      </c>
      <c r="CG155">
        <f>IF(OR($JF35=0,calcA!$A$6=0),0,IF(OR(82=$HA35,82=$HD35,82=$HG35),200000,MIN(IF($HA35=0,999999,IF(4=$HB35,IF(82=$HJ35,IF($JC35=2,30,0),IF(82=$HK35,IF($JC35=1,30,0),ABS(10-$HC35)*100)),100000+ABS(4-$HB35)*1000+100)),IF($HD35=0,999999,IF(4=$HE35,IF(82=$HL35,IF($JD35=2,30,0),IF(82=$HM35,IF($JD35=1,30,0),ABS(10-$HF35)*100)),100000+ABS(4-$HE35)*1000+100)),IF($HG35=0,999999,IF(4=$HH35,IF(82=$HN35,IF($JE35=2,30,0),IF(82=$HO35,IF($JE35=1,30,0),ABS(10-$HI35)*100)),100000+ABS(4-$HH35)*1000+100)))-IF((82=$HJ35)+(82=$HK35)+(82=$HL35)+(82=$HM35)+(82=$HN35)+(82=$HO35)&gt;=2,50,0))+CG$5*50)</f>
        <v/>
      </c>
      <c r="CH155">
        <f>IF(OR($JF35=0,calcA!$A$6=0),0,IF(OR(83=$HA35,83=$HD35,83=$HG35),200000,MIN(IF($HA35=0,999999,IF(4=$HB35,IF(83=$HJ35,IF($JC35=2,30,0),IF(83=$HK35,IF($JC35=1,30,0),ABS(11-$HC35)*100)),100000+ABS(4-$HB35)*1000+110)),IF($HD35=0,999999,IF(4=$HE35,IF(83=$HL35,IF($JD35=2,30,0),IF(83=$HM35,IF($JD35=1,30,0),ABS(11-$HF35)*100)),100000+ABS(4-$HE35)*1000+110)),IF($HG35=0,999999,IF(4=$HH35,IF(83=$HN35,IF($JE35=2,30,0),IF(83=$HO35,IF($JE35=1,30,0),ABS(11-$HI35)*100)),100000+ABS(4-$HH35)*1000+110)))-IF((83=$HJ35)+(83=$HK35)+(83=$HL35)+(83=$HM35)+(83=$HN35)+(83=$HO35)&gt;=2,50,0))+CH$5*50)</f>
        <v/>
      </c>
      <c r="CI155">
        <f>IF(OR($JF35=0,calcA!$A$6=0),0,IF(OR(84=$HA35,84=$HD35,84=$HG35),200000,MIN(IF($HA35=0,999999,IF(4=$HB35,IF(84=$HJ35,IF($JC35=2,30,0),IF(84=$HK35,IF($JC35=1,30,0),ABS(12-$HC35)*100)),100000+ABS(4-$HB35)*1000+120)),IF($HD35=0,999999,IF(4=$HE35,IF(84=$HL35,IF($JD35=2,30,0),IF(84=$HM35,IF($JD35=1,30,0),ABS(12-$HF35)*100)),100000+ABS(4-$HE35)*1000+120)),IF($HG35=0,999999,IF(4=$HH35,IF(84=$HN35,IF($JE35=2,30,0),IF(84=$HO35,IF($JE35=1,30,0),ABS(12-$HI35)*100)),100000+ABS(4-$HH35)*1000+120)))-IF((84=$HJ35)+(84=$HK35)+(84=$HL35)+(84=$HM35)+(84=$HN35)+(84=$HO35)&gt;=2,50,0))+CI$5*50)</f>
        <v/>
      </c>
      <c r="CJ155">
        <f>IF(OR($JF35=0,calcA!$A$6=0),0,IF(OR(85=$HA35,85=$HD35,85=$HG35),200000,MIN(IF($HA35=0,999999,IF(4=$HB35,IF(85=$HJ35,IF($JC35=2,30,0),IF(85=$HK35,IF($JC35=1,30,0),ABS(13-$HC35)*100)),100000+ABS(4-$HB35)*1000+130)),IF($HD35=0,999999,IF(4=$HE35,IF(85=$HL35,IF($JD35=2,30,0),IF(85=$HM35,IF($JD35=1,30,0),ABS(13-$HF35)*100)),100000+ABS(4-$HE35)*1000+130)),IF($HG35=0,999999,IF(4=$HH35,IF(85=$HN35,IF($JE35=2,30,0),IF(85=$HO35,IF($JE35=1,30,0),ABS(13-$HI35)*100)),100000+ABS(4-$HH35)*1000+130)))-IF((85=$HJ35)+(85=$HK35)+(85=$HL35)+(85=$HM35)+(85=$HN35)+(85=$HO35)&gt;=2,50,0))+CJ$5*50)</f>
        <v/>
      </c>
      <c r="CK155">
        <f>IF(OR($JF35=0,calcA!$A$6=0),0,IF(OR(86=$HA35,86=$HD35,86=$HG35),200000,MIN(IF($HA35=0,999999,IF(4=$HB35,IF(86=$HJ35,IF($JC35=2,30,0),IF(86=$HK35,IF($JC35=1,30,0),ABS(14-$HC35)*100)),100000+ABS(4-$HB35)*1000+140)),IF($HD35=0,999999,IF(4=$HE35,IF(86=$HL35,IF($JD35=2,30,0),IF(86=$HM35,IF($JD35=1,30,0),ABS(14-$HF35)*100)),100000+ABS(4-$HE35)*1000+140)),IF($HG35=0,999999,IF(4=$HH35,IF(86=$HN35,IF($JE35=2,30,0),IF(86=$HO35,IF($JE35=1,30,0),ABS(14-$HI35)*100)),100000+ABS(4-$HH35)*1000+140)))-IF((86=$HJ35)+(86=$HK35)+(86=$HL35)+(86=$HM35)+(86=$HN35)+(86=$HO35)&gt;=2,50,0))+CK$5*50)</f>
        <v/>
      </c>
      <c r="CL155">
        <f>IF(OR($JF35=0,calcA!$A$6=0),0,IF(OR(87=$HA35,87=$HD35,87=$HG35),200000,MIN(IF($HA35=0,999999,IF(4=$HB35,IF(87=$HJ35,IF($JC35=2,30,0),IF(87=$HK35,IF($JC35=1,30,0),ABS(15-$HC35)*100)),100000+ABS(4-$HB35)*1000+150)),IF($HD35=0,999999,IF(4=$HE35,IF(87=$HL35,IF($JD35=2,30,0),IF(87=$HM35,IF($JD35=1,30,0),ABS(15-$HF35)*100)),100000+ABS(4-$HE35)*1000+150)),IF($HG35=0,999999,IF(4=$HH35,IF(87=$HN35,IF($JE35=2,30,0),IF(87=$HO35,IF($JE35=1,30,0),ABS(15-$HI35)*100)),100000+ABS(4-$HH35)*1000+150)))-IF((87=$HJ35)+(87=$HK35)+(87=$HL35)+(87=$HM35)+(87=$HN35)+(87=$HO35)&gt;=2,50,0))+CL$5*50)</f>
        <v/>
      </c>
      <c r="CM155">
        <f>IF(OR($JF35=0,calcA!$A$6=0),0,IF(OR(88=$HA35,88=$HD35,88=$HG35),200000,MIN(IF($HA35=0,999999,IF(4=$HB35,IF(88=$HJ35,IF($JC35=2,30,0),IF(88=$HK35,IF($JC35=1,30,0),ABS(16-$HC35)*100)),100000+ABS(4-$HB35)*1000+160)),IF($HD35=0,999999,IF(4=$HE35,IF(88=$HL35,IF($JD35=2,30,0),IF(88=$HM35,IF($JD35=1,30,0),ABS(16-$HF35)*100)),100000+ABS(4-$HE35)*1000+160)),IF($HG35=0,999999,IF(4=$HH35,IF(88=$HN35,IF($JE35=2,30,0),IF(88=$HO35,IF($JE35=1,30,0),ABS(16-$HI35)*100)),100000+ABS(4-$HH35)*1000+160)))-IF((88=$HJ35)+(88=$HK35)+(88=$HL35)+(88=$HM35)+(88=$HN35)+(88=$HO35)&gt;=2,50,0))+CM$5*50)</f>
        <v/>
      </c>
      <c r="CN155">
        <f>IF(OR($JF35=0,calcA!$A$6=0),0,IF(OR(89=$HA35,89=$HD35,89=$HG35),200000,MIN(IF($HA35=0,999999,IF(4=$HB35,IF(89=$HJ35,IF($JC35=2,30,0),IF(89=$HK35,IF($JC35=1,30,0),ABS(17-$HC35)*100)),100000+ABS(4-$HB35)*1000+170)),IF($HD35=0,999999,IF(4=$HE35,IF(89=$HL35,IF($JD35=2,30,0),IF(89=$HM35,IF($JD35=1,30,0),ABS(17-$HF35)*100)),100000+ABS(4-$HE35)*1000+170)),IF($HG35=0,999999,IF(4=$HH35,IF(89=$HN35,IF($JE35=2,30,0),IF(89=$HO35,IF($JE35=1,30,0),ABS(17-$HI35)*100)),100000+ABS(4-$HH35)*1000+170)))-IF((89=$HJ35)+(89=$HK35)+(89=$HL35)+(89=$HM35)+(89=$HN35)+(89=$HO35)&gt;=2,50,0))+CN$5*50)</f>
        <v/>
      </c>
      <c r="CO155">
        <f>IF(OR($JF35=0,calcA!$A$6=0),0,IF(OR(90=$HA35,90=$HD35,90=$HG35),200000,MIN(IF($HA35=0,999999,IF(4=$HB35,IF(90=$HJ35,IF($JC35=2,30,0),IF(90=$HK35,IF($JC35=1,30,0),ABS(18-$HC35)*100)),100000+ABS(4-$HB35)*1000+180)),IF($HD35=0,999999,IF(4=$HE35,IF(90=$HL35,IF($JD35=2,30,0),IF(90=$HM35,IF($JD35=1,30,0),ABS(18-$HF35)*100)),100000+ABS(4-$HE35)*1000+180)),IF($HG35=0,999999,IF(4=$HH35,IF(90=$HN35,IF($JE35=2,30,0),IF(90=$HO35,IF($JE35=1,30,0),ABS(18-$HI35)*100)),100000+ABS(4-$HH35)*1000+180)))-IF((90=$HJ35)+(90=$HK35)+(90=$HL35)+(90=$HM35)+(90=$HN35)+(90=$HO35)&gt;=2,50,0))+CO$5*50)</f>
        <v/>
      </c>
      <c r="CP155">
        <f>IF(OR($JF35=0,calcA!$A$6=0),0,IF(OR(91=$HA35,91=$HD35,91=$HG35),200000,MIN(IF($HA35=0,999999,IF(4=$HB35,IF(91=$HJ35,IF($JC35=2,30,0),IF(91=$HK35,IF($JC35=1,30,0),ABS(19-$HC35)*100)),100000+ABS(4-$HB35)*1000+190)),IF($HD35=0,999999,IF(4=$HE35,IF(91=$HL35,IF($JD35=2,30,0),IF(91=$HM35,IF($JD35=1,30,0),ABS(19-$HF35)*100)),100000+ABS(4-$HE35)*1000+190)),IF($HG35=0,999999,IF(4=$HH35,IF(91=$HN35,IF($JE35=2,30,0),IF(91=$HO35,IF($JE35=1,30,0),ABS(19-$HI35)*100)),100000+ABS(4-$HH35)*1000+190)))-IF((91=$HJ35)+(91=$HK35)+(91=$HL35)+(91=$HM35)+(91=$HN35)+(91=$HO35)&gt;=2,50,0))+CP$5*50)</f>
        <v/>
      </c>
      <c r="CQ155">
        <f>IF(OR($JF35=0,calcA!$A$6=0),0,IF(OR(92=$HA35,92=$HD35,92=$HG35),200000,MIN(IF($HA35=0,999999,IF(4=$HB35,IF(92=$HJ35,IF($JC35=2,30,0),IF(92=$HK35,IF($JC35=1,30,0),ABS(20-$HC35)*100)),100000+ABS(4-$HB35)*1000+200)),IF($HD35=0,999999,IF(4=$HE35,IF(92=$HL35,IF($JD35=2,30,0),IF(92=$HM35,IF($JD35=1,30,0),ABS(20-$HF35)*100)),100000+ABS(4-$HE35)*1000+200)),IF($HG35=0,999999,IF(4=$HH35,IF(92=$HN35,IF($JE35=2,30,0),IF(92=$HO35,IF($JE35=1,30,0),ABS(20-$HI35)*100)),100000+ABS(4-$HH35)*1000+200)))-IF((92=$HJ35)+(92=$HK35)+(92=$HL35)+(92=$HM35)+(92=$HN35)+(92=$HO35)&gt;=2,50,0))+CQ$5*50)</f>
        <v/>
      </c>
      <c r="CR155">
        <f>IF(OR($JF35=0,calcA!$A$6=0),0,IF(OR(93=$HA35,93=$HD35,93=$HG35),200000,MIN(IF($HA35=0,999999,IF(4=$HB35,IF(93=$HJ35,IF($JC35=2,30,0),IF(93=$HK35,IF($JC35=1,30,0),ABS(21-$HC35)*100)),100000+ABS(4-$HB35)*1000+210)),IF($HD35=0,999999,IF(4=$HE35,IF(93=$HL35,IF($JD35=2,30,0),IF(93=$HM35,IF($JD35=1,30,0),ABS(21-$HF35)*100)),100000+ABS(4-$HE35)*1000+210)),IF($HG35=0,999999,IF(4=$HH35,IF(93=$HN35,IF($JE35=2,30,0),IF(93=$HO35,IF($JE35=1,30,0),ABS(21-$HI35)*100)),100000+ABS(4-$HH35)*1000+210)))-IF((93=$HJ35)+(93=$HK35)+(93=$HL35)+(93=$HM35)+(93=$HN35)+(93=$HO35)&gt;=2,50,0))+CR$5*50)</f>
        <v/>
      </c>
      <c r="CS155">
        <f>IF(OR($JF35=0,calcA!$A$6=0),0,IF(OR(94=$HA35,94=$HD35,94=$HG35),200000,MIN(IF($HA35=0,999999,IF(4=$HB35,IF(94=$HJ35,IF($JC35=2,30,0),IF(94=$HK35,IF($JC35=1,30,0),ABS(22-$HC35)*100)),100000+ABS(4-$HB35)*1000+220)),IF($HD35=0,999999,IF(4=$HE35,IF(94=$HL35,IF($JD35=2,30,0),IF(94=$HM35,IF($JD35=1,30,0),ABS(22-$HF35)*100)),100000+ABS(4-$HE35)*1000+220)),IF($HG35=0,999999,IF(4=$HH35,IF(94=$HN35,IF($JE35=2,30,0),IF(94=$HO35,IF($JE35=1,30,0),ABS(22-$HI35)*100)),100000+ABS(4-$HH35)*1000+220)))-IF((94=$HJ35)+(94=$HK35)+(94=$HL35)+(94=$HM35)+(94=$HN35)+(94=$HO35)&gt;=2,50,0))+CS$5*50)</f>
        <v/>
      </c>
      <c r="CT155">
        <f>IF(OR($JF35=0,calcA!$A$6=0),0,IF(OR(95=$HA35,95=$HD35,95=$HG35),200000,MIN(IF($HA35=0,999999,IF(4=$HB35,IF(95=$HJ35,IF($JC35=2,30,0),IF(95=$HK35,IF($JC35=1,30,0),ABS(23-$HC35)*100)),100000+ABS(4-$HB35)*1000+230)),IF($HD35=0,999999,IF(4=$HE35,IF(95=$HL35,IF($JD35=2,30,0),IF(95=$HM35,IF($JD35=1,30,0),ABS(23-$HF35)*100)),100000+ABS(4-$HE35)*1000+230)),IF($HG35=0,999999,IF(4=$HH35,IF(95=$HN35,IF($JE35=2,30,0),IF(95=$HO35,IF($JE35=1,30,0),ABS(23-$HI35)*100)),100000+ABS(4-$HH35)*1000+230)))-IF((95=$HJ35)+(95=$HK35)+(95=$HL35)+(95=$HM35)+(95=$HN35)+(95=$HO35)&gt;=2,50,0))+CT$5*50)</f>
        <v/>
      </c>
      <c r="CU155">
        <f>IF(OR($JF35=0,calcA!$A$6=0),0,IF(OR(96=$HA35,96=$HD35,96=$HG35),200000,MIN(IF($HA35=0,999999,IF(4=$HB35,IF(96=$HJ35,IF($JC35=2,30,0),IF(96=$HK35,IF($JC35=1,30,0),ABS(24-$HC35)*100)),100000+ABS(4-$HB35)*1000+240)),IF($HD35=0,999999,IF(4=$HE35,IF(96=$HL35,IF($JD35=2,30,0),IF(96=$HM35,IF($JD35=1,30,0),ABS(24-$HF35)*100)),100000+ABS(4-$HE35)*1000+240)),IF($HG35=0,999999,IF(4=$HH35,IF(96=$HN35,IF($JE35=2,30,0),IF(96=$HO35,IF($JE35=1,30,0),ABS(24-$HI35)*100)),100000+ABS(4-$HH35)*1000+240)))-IF((96=$HJ35)+(96=$HK35)+(96=$HL35)+(96=$HM35)+(96=$HN35)+(96=$HO35)&gt;=2,50,0))+CU$5*50)</f>
        <v/>
      </c>
      <c r="CV155">
        <f>IF(OR($JF35=0,calcA!$A$6=0),0,IF(OR(97=$HA35,97=$HD35,97=$HG35),200000,MIN(IF($HA35=0,999999,IF(5=$HB35,IF(97=$HJ35,IF($JC35=2,30,0),IF(97=$HK35,IF($JC35=1,30,0),ABS(1-$HC35)*100)),100000+ABS(5-$HB35)*1000+10)),IF($HD35=0,999999,IF(5=$HE35,IF(97=$HL35,IF($JD35=2,30,0),IF(97=$HM35,IF($JD35=1,30,0),ABS(1-$HF35)*100)),100000+ABS(5-$HE35)*1000+10)),IF($HG35=0,999999,IF(5=$HH35,IF(97=$HN35,IF($JE35=2,30,0),IF(97=$HO35,IF($JE35=1,30,0),ABS(1-$HI35)*100)),100000+ABS(5-$HH35)*1000+10)))-IF((97=$HJ35)+(97=$HK35)+(97=$HL35)+(97=$HM35)+(97=$HN35)+(97=$HO35)&gt;=2,50,0))+CV$5*50)</f>
        <v/>
      </c>
      <c r="CW155">
        <f>IF(OR($JF35=0,calcA!$A$6=0),0,IF(OR(98=$HA35,98=$HD35,98=$HG35),200000,MIN(IF($HA35=0,999999,IF(5=$HB35,IF(98=$HJ35,IF($JC35=2,30,0),IF(98=$HK35,IF($JC35=1,30,0),ABS(2-$HC35)*100)),100000+ABS(5-$HB35)*1000+20)),IF($HD35=0,999999,IF(5=$HE35,IF(98=$HL35,IF($JD35=2,30,0),IF(98=$HM35,IF($JD35=1,30,0),ABS(2-$HF35)*100)),100000+ABS(5-$HE35)*1000+20)),IF($HG35=0,999999,IF(5=$HH35,IF(98=$HN35,IF($JE35=2,30,0),IF(98=$HO35,IF($JE35=1,30,0),ABS(2-$HI35)*100)),100000+ABS(5-$HH35)*1000+20)))-IF((98=$HJ35)+(98=$HK35)+(98=$HL35)+(98=$HM35)+(98=$HN35)+(98=$HO35)&gt;=2,50,0))+CW$5*50)</f>
        <v/>
      </c>
      <c r="CX155">
        <f>IF(OR($JF35=0,calcA!$A$6=0),0,IF(OR(99=$HA35,99=$HD35,99=$HG35),200000,MIN(IF($HA35=0,999999,IF(5=$HB35,IF(99=$HJ35,IF($JC35=2,30,0),IF(99=$HK35,IF($JC35=1,30,0),ABS(3-$HC35)*100)),100000+ABS(5-$HB35)*1000+30)),IF($HD35=0,999999,IF(5=$HE35,IF(99=$HL35,IF($JD35=2,30,0),IF(99=$HM35,IF($JD35=1,30,0),ABS(3-$HF35)*100)),100000+ABS(5-$HE35)*1000+30)),IF($HG35=0,999999,IF(5=$HH35,IF(99=$HN35,IF($JE35=2,30,0),IF(99=$HO35,IF($JE35=1,30,0),ABS(3-$HI35)*100)),100000+ABS(5-$HH35)*1000+30)))-IF((99=$HJ35)+(99=$HK35)+(99=$HL35)+(99=$HM35)+(99=$HN35)+(99=$HO35)&gt;=2,50,0))+CX$5*50)</f>
        <v/>
      </c>
      <c r="CY155">
        <f>IF(OR($JF35=0,calcA!$A$6=0),0,IF(OR(100=$HA35,100=$HD35,100=$HG35),200000,MIN(IF($HA35=0,999999,IF(5=$HB35,IF(100=$HJ35,IF($JC35=2,30,0),IF(100=$HK35,IF($JC35=1,30,0),ABS(4-$HC35)*100)),100000+ABS(5-$HB35)*1000+40)),IF($HD35=0,999999,IF(5=$HE35,IF(100=$HL35,IF($JD35=2,30,0),IF(100=$HM35,IF($JD35=1,30,0),ABS(4-$HF35)*100)),100000+ABS(5-$HE35)*1000+40)),IF($HG35=0,999999,IF(5=$HH35,IF(100=$HN35,IF($JE35=2,30,0),IF(100=$HO35,IF($JE35=1,30,0),ABS(4-$HI35)*100)),100000+ABS(5-$HH35)*1000+40)))-IF((100=$HJ35)+(100=$HK35)+(100=$HL35)+(100=$HM35)+(100=$HN35)+(100=$HO35)&gt;=2,50,0))+CY$5*50)</f>
        <v/>
      </c>
      <c r="CZ155">
        <f>IF(OR($JF35=0,calcA!$A$6=0),0,IF(OR(101=$HA35,101=$HD35,101=$HG35),200000,MIN(IF($HA35=0,999999,IF(5=$HB35,IF(101=$HJ35,IF($JC35=2,30,0),IF(101=$HK35,IF($JC35=1,30,0),ABS(5-$HC35)*100)),100000+ABS(5-$HB35)*1000+50)),IF($HD35=0,999999,IF(5=$HE35,IF(101=$HL35,IF($JD35=2,30,0),IF(101=$HM35,IF($JD35=1,30,0),ABS(5-$HF35)*100)),100000+ABS(5-$HE35)*1000+50)),IF($HG35=0,999999,IF(5=$HH35,IF(101=$HN35,IF($JE35=2,30,0),IF(101=$HO35,IF($JE35=1,30,0),ABS(5-$HI35)*100)),100000+ABS(5-$HH35)*1000+50)))-IF((101=$HJ35)+(101=$HK35)+(101=$HL35)+(101=$HM35)+(101=$HN35)+(101=$HO35)&gt;=2,50,0))+CZ$5*50)</f>
        <v/>
      </c>
      <c r="DA155">
        <f>IF(OR($JF35=0,calcA!$A$6=0),0,IF(OR(102=$HA35,102=$HD35,102=$HG35),200000,MIN(IF($HA35=0,999999,IF(5=$HB35,IF(102=$HJ35,IF($JC35=2,30,0),IF(102=$HK35,IF($JC35=1,30,0),ABS(6-$HC35)*100)),100000+ABS(5-$HB35)*1000+60)),IF($HD35=0,999999,IF(5=$HE35,IF(102=$HL35,IF($JD35=2,30,0),IF(102=$HM35,IF($JD35=1,30,0),ABS(6-$HF35)*100)),100000+ABS(5-$HE35)*1000+60)),IF($HG35=0,999999,IF(5=$HH35,IF(102=$HN35,IF($JE35=2,30,0),IF(102=$HO35,IF($JE35=1,30,0),ABS(6-$HI35)*100)),100000+ABS(5-$HH35)*1000+60)))-IF((102=$HJ35)+(102=$HK35)+(102=$HL35)+(102=$HM35)+(102=$HN35)+(102=$HO35)&gt;=2,50,0))+DA$5*50)</f>
        <v/>
      </c>
      <c r="DB155">
        <f>IF(OR($JF35=0,calcA!$A$6=0),0,IF(OR(103=$HA35,103=$HD35,103=$HG35),200000,MIN(IF($HA35=0,999999,IF(5=$HB35,IF(103=$HJ35,IF($JC35=2,30,0),IF(103=$HK35,IF($JC35=1,30,0),ABS(7-$HC35)*100)),100000+ABS(5-$HB35)*1000+70)),IF($HD35=0,999999,IF(5=$HE35,IF(103=$HL35,IF($JD35=2,30,0),IF(103=$HM35,IF($JD35=1,30,0),ABS(7-$HF35)*100)),100000+ABS(5-$HE35)*1000+70)),IF($HG35=0,999999,IF(5=$HH35,IF(103=$HN35,IF($JE35=2,30,0),IF(103=$HO35,IF($JE35=1,30,0),ABS(7-$HI35)*100)),100000+ABS(5-$HH35)*1000+70)))-IF((103=$HJ35)+(103=$HK35)+(103=$HL35)+(103=$HM35)+(103=$HN35)+(103=$HO35)&gt;=2,50,0))+DB$5*50)</f>
        <v/>
      </c>
      <c r="DC155">
        <f>IF(OR($JF35=0,calcA!$A$6=0),0,IF(OR(104=$HA35,104=$HD35,104=$HG35),200000,MIN(IF($HA35=0,999999,IF(5=$HB35,IF(104=$HJ35,IF($JC35=2,30,0),IF(104=$HK35,IF($JC35=1,30,0),ABS(8-$HC35)*100)),100000+ABS(5-$HB35)*1000+80)),IF($HD35=0,999999,IF(5=$HE35,IF(104=$HL35,IF($JD35=2,30,0),IF(104=$HM35,IF($JD35=1,30,0),ABS(8-$HF35)*100)),100000+ABS(5-$HE35)*1000+80)),IF($HG35=0,999999,IF(5=$HH35,IF(104=$HN35,IF($JE35=2,30,0),IF(104=$HO35,IF($JE35=1,30,0),ABS(8-$HI35)*100)),100000+ABS(5-$HH35)*1000+80)))-IF((104=$HJ35)+(104=$HK35)+(104=$HL35)+(104=$HM35)+(104=$HN35)+(104=$HO35)&gt;=2,50,0))+DC$5*50)</f>
        <v/>
      </c>
      <c r="DD155">
        <f>IF(OR($JF35=0,calcA!$A$6=0),0,IF(OR(105=$HA35,105=$HD35,105=$HG35),200000,MIN(IF($HA35=0,999999,IF(5=$HB35,IF(105=$HJ35,IF($JC35=2,30,0),IF(105=$HK35,IF($JC35=1,30,0),ABS(9-$HC35)*100)),100000+ABS(5-$HB35)*1000+90)),IF($HD35=0,999999,IF(5=$HE35,IF(105=$HL35,IF($JD35=2,30,0),IF(105=$HM35,IF($JD35=1,30,0),ABS(9-$HF35)*100)),100000+ABS(5-$HE35)*1000+90)),IF($HG35=0,999999,IF(5=$HH35,IF(105=$HN35,IF($JE35=2,30,0),IF(105=$HO35,IF($JE35=1,30,0),ABS(9-$HI35)*100)),100000+ABS(5-$HH35)*1000+90)))-IF((105=$HJ35)+(105=$HK35)+(105=$HL35)+(105=$HM35)+(105=$HN35)+(105=$HO35)&gt;=2,50,0))+DD$5*50)</f>
        <v/>
      </c>
      <c r="DE155">
        <f>IF(OR($JF35=0,calcA!$A$6=0),0,IF(OR(106=$HA35,106=$HD35,106=$HG35),200000,MIN(IF($HA35=0,999999,IF(5=$HB35,IF(106=$HJ35,IF($JC35=2,30,0),IF(106=$HK35,IF($JC35=1,30,0),ABS(10-$HC35)*100)),100000+ABS(5-$HB35)*1000+100)),IF($HD35=0,999999,IF(5=$HE35,IF(106=$HL35,IF($JD35=2,30,0),IF(106=$HM35,IF($JD35=1,30,0),ABS(10-$HF35)*100)),100000+ABS(5-$HE35)*1000+100)),IF($HG35=0,999999,IF(5=$HH35,IF(106=$HN35,IF($JE35=2,30,0),IF(106=$HO35,IF($JE35=1,30,0),ABS(10-$HI35)*100)),100000+ABS(5-$HH35)*1000+100)))-IF((106=$HJ35)+(106=$HK35)+(106=$HL35)+(106=$HM35)+(106=$HN35)+(106=$HO35)&gt;=2,50,0))+DE$5*50)</f>
        <v/>
      </c>
      <c r="DF155">
        <f>IF(OR($JF35=0,calcA!$A$6=0),0,IF(OR(107=$HA35,107=$HD35,107=$HG35),200000,MIN(IF($HA35=0,999999,IF(5=$HB35,IF(107=$HJ35,IF($JC35=2,30,0),IF(107=$HK35,IF($JC35=1,30,0),ABS(11-$HC35)*100)),100000+ABS(5-$HB35)*1000+110)),IF($HD35=0,999999,IF(5=$HE35,IF(107=$HL35,IF($JD35=2,30,0),IF(107=$HM35,IF($JD35=1,30,0),ABS(11-$HF35)*100)),100000+ABS(5-$HE35)*1000+110)),IF($HG35=0,999999,IF(5=$HH35,IF(107=$HN35,IF($JE35=2,30,0),IF(107=$HO35,IF($JE35=1,30,0),ABS(11-$HI35)*100)),100000+ABS(5-$HH35)*1000+110)))-IF((107=$HJ35)+(107=$HK35)+(107=$HL35)+(107=$HM35)+(107=$HN35)+(107=$HO35)&gt;=2,50,0))+DF$5*50)</f>
        <v/>
      </c>
      <c r="DG155">
        <f>IF(OR($JF35=0,calcA!$A$6=0),0,IF(OR(108=$HA35,108=$HD35,108=$HG35),200000,MIN(IF($HA35=0,999999,IF(5=$HB35,IF(108=$HJ35,IF($JC35=2,30,0),IF(108=$HK35,IF($JC35=1,30,0),ABS(12-$HC35)*100)),100000+ABS(5-$HB35)*1000+120)),IF($HD35=0,999999,IF(5=$HE35,IF(108=$HL35,IF($JD35=2,30,0),IF(108=$HM35,IF($JD35=1,30,0),ABS(12-$HF35)*100)),100000+ABS(5-$HE35)*1000+120)),IF($HG35=0,999999,IF(5=$HH35,IF(108=$HN35,IF($JE35=2,30,0),IF(108=$HO35,IF($JE35=1,30,0),ABS(12-$HI35)*100)),100000+ABS(5-$HH35)*1000+120)))-IF((108=$HJ35)+(108=$HK35)+(108=$HL35)+(108=$HM35)+(108=$HN35)+(108=$HO35)&gt;=2,50,0))+DG$5*50)</f>
        <v/>
      </c>
      <c r="DH155">
        <f>IF(OR($JF35=0,calcA!$A$6=0),0,IF(OR(109=$HA35,109=$HD35,109=$HG35),200000,MIN(IF($HA35=0,999999,IF(5=$HB35,IF(109=$HJ35,IF($JC35=2,30,0),IF(109=$HK35,IF($JC35=1,30,0),ABS(13-$HC35)*100)),100000+ABS(5-$HB35)*1000+130)),IF($HD35=0,999999,IF(5=$HE35,IF(109=$HL35,IF($JD35=2,30,0),IF(109=$HM35,IF($JD35=1,30,0),ABS(13-$HF35)*100)),100000+ABS(5-$HE35)*1000+130)),IF($HG35=0,999999,IF(5=$HH35,IF(109=$HN35,IF($JE35=2,30,0),IF(109=$HO35,IF($JE35=1,30,0),ABS(13-$HI35)*100)),100000+ABS(5-$HH35)*1000+130)))-IF((109=$HJ35)+(109=$HK35)+(109=$HL35)+(109=$HM35)+(109=$HN35)+(109=$HO35)&gt;=2,50,0))+DH$5*50)</f>
        <v/>
      </c>
      <c r="DI155">
        <f>IF(OR($JF35=0,calcA!$A$6=0),0,IF(OR(110=$HA35,110=$HD35,110=$HG35),200000,MIN(IF($HA35=0,999999,IF(5=$HB35,IF(110=$HJ35,IF($JC35=2,30,0),IF(110=$HK35,IF($JC35=1,30,0),ABS(14-$HC35)*100)),100000+ABS(5-$HB35)*1000+140)),IF($HD35=0,999999,IF(5=$HE35,IF(110=$HL35,IF($JD35=2,30,0),IF(110=$HM35,IF($JD35=1,30,0),ABS(14-$HF35)*100)),100000+ABS(5-$HE35)*1000+140)),IF($HG35=0,999999,IF(5=$HH35,IF(110=$HN35,IF($JE35=2,30,0),IF(110=$HO35,IF($JE35=1,30,0),ABS(14-$HI35)*100)),100000+ABS(5-$HH35)*1000+140)))-IF((110=$HJ35)+(110=$HK35)+(110=$HL35)+(110=$HM35)+(110=$HN35)+(110=$HO35)&gt;=2,50,0))+DI$5*50)</f>
        <v/>
      </c>
      <c r="DJ155">
        <f>IF(OR($JF35=0,calcA!$A$6=0),0,IF(OR(111=$HA35,111=$HD35,111=$HG35),200000,MIN(IF($HA35=0,999999,IF(5=$HB35,IF(111=$HJ35,IF($JC35=2,30,0),IF(111=$HK35,IF($JC35=1,30,0),ABS(15-$HC35)*100)),100000+ABS(5-$HB35)*1000+150)),IF($HD35=0,999999,IF(5=$HE35,IF(111=$HL35,IF($JD35=2,30,0),IF(111=$HM35,IF($JD35=1,30,0),ABS(15-$HF35)*100)),100000+ABS(5-$HE35)*1000+150)),IF($HG35=0,999999,IF(5=$HH35,IF(111=$HN35,IF($JE35=2,30,0),IF(111=$HO35,IF($JE35=1,30,0),ABS(15-$HI35)*100)),100000+ABS(5-$HH35)*1000+150)))-IF((111=$HJ35)+(111=$HK35)+(111=$HL35)+(111=$HM35)+(111=$HN35)+(111=$HO35)&gt;=2,50,0))+DJ$5*50)</f>
        <v/>
      </c>
      <c r="DK155">
        <f>IF(OR($JF35=0,calcA!$A$6=0),0,IF(OR(112=$HA35,112=$HD35,112=$HG35),200000,MIN(IF($HA35=0,999999,IF(5=$HB35,IF(112=$HJ35,IF($JC35=2,30,0),IF(112=$HK35,IF($JC35=1,30,0),ABS(16-$HC35)*100)),100000+ABS(5-$HB35)*1000+160)),IF($HD35=0,999999,IF(5=$HE35,IF(112=$HL35,IF($JD35=2,30,0),IF(112=$HM35,IF($JD35=1,30,0),ABS(16-$HF35)*100)),100000+ABS(5-$HE35)*1000+160)),IF($HG35=0,999999,IF(5=$HH35,IF(112=$HN35,IF($JE35=2,30,0),IF(112=$HO35,IF($JE35=1,30,0),ABS(16-$HI35)*100)),100000+ABS(5-$HH35)*1000+160)))-IF((112=$HJ35)+(112=$HK35)+(112=$HL35)+(112=$HM35)+(112=$HN35)+(112=$HO35)&gt;=2,50,0))+DK$5*50)</f>
        <v/>
      </c>
      <c r="DL155">
        <f>IF(OR($JF35=0,calcA!$A$6=0),0,IF(OR(113=$HA35,113=$HD35,113=$HG35),200000,MIN(IF($HA35=0,999999,IF(5=$HB35,IF(113=$HJ35,IF($JC35=2,30,0),IF(113=$HK35,IF($JC35=1,30,0),ABS(17-$HC35)*100)),100000+ABS(5-$HB35)*1000+170)),IF($HD35=0,999999,IF(5=$HE35,IF(113=$HL35,IF($JD35=2,30,0),IF(113=$HM35,IF($JD35=1,30,0),ABS(17-$HF35)*100)),100000+ABS(5-$HE35)*1000+170)),IF($HG35=0,999999,IF(5=$HH35,IF(113=$HN35,IF($JE35=2,30,0),IF(113=$HO35,IF($JE35=1,30,0),ABS(17-$HI35)*100)),100000+ABS(5-$HH35)*1000+170)))-IF((113=$HJ35)+(113=$HK35)+(113=$HL35)+(113=$HM35)+(113=$HN35)+(113=$HO35)&gt;=2,50,0))+DL$5*50)</f>
        <v/>
      </c>
      <c r="DM155">
        <f>IF(OR($JF35=0,calcA!$A$6=0),0,IF(OR(114=$HA35,114=$HD35,114=$HG35),200000,MIN(IF($HA35=0,999999,IF(5=$HB35,IF(114=$HJ35,IF($JC35=2,30,0),IF(114=$HK35,IF($JC35=1,30,0),ABS(18-$HC35)*100)),100000+ABS(5-$HB35)*1000+180)),IF($HD35=0,999999,IF(5=$HE35,IF(114=$HL35,IF($JD35=2,30,0),IF(114=$HM35,IF($JD35=1,30,0),ABS(18-$HF35)*100)),100000+ABS(5-$HE35)*1000+180)),IF($HG35=0,999999,IF(5=$HH35,IF(114=$HN35,IF($JE35=2,30,0),IF(114=$HO35,IF($JE35=1,30,0),ABS(18-$HI35)*100)),100000+ABS(5-$HH35)*1000+180)))-IF((114=$HJ35)+(114=$HK35)+(114=$HL35)+(114=$HM35)+(114=$HN35)+(114=$HO35)&gt;=2,50,0))+DM$5*50)</f>
        <v/>
      </c>
      <c r="DN155">
        <f>IF(OR($JF35=0,calcA!$A$6=0),0,IF(OR(115=$HA35,115=$HD35,115=$HG35),200000,MIN(IF($HA35=0,999999,IF(5=$HB35,IF(115=$HJ35,IF($JC35=2,30,0),IF(115=$HK35,IF($JC35=1,30,0),ABS(19-$HC35)*100)),100000+ABS(5-$HB35)*1000+190)),IF($HD35=0,999999,IF(5=$HE35,IF(115=$HL35,IF($JD35=2,30,0),IF(115=$HM35,IF($JD35=1,30,0),ABS(19-$HF35)*100)),100000+ABS(5-$HE35)*1000+190)),IF($HG35=0,999999,IF(5=$HH35,IF(115=$HN35,IF($JE35=2,30,0),IF(115=$HO35,IF($JE35=1,30,0),ABS(19-$HI35)*100)),100000+ABS(5-$HH35)*1000+190)))-IF((115=$HJ35)+(115=$HK35)+(115=$HL35)+(115=$HM35)+(115=$HN35)+(115=$HO35)&gt;=2,50,0))+DN$5*50)</f>
        <v/>
      </c>
      <c r="DO155">
        <f>IF(OR($JF35=0,calcA!$A$6=0),0,IF(OR(116=$HA35,116=$HD35,116=$HG35),200000,MIN(IF($HA35=0,999999,IF(5=$HB35,IF(116=$HJ35,IF($JC35=2,30,0),IF(116=$HK35,IF($JC35=1,30,0),ABS(20-$HC35)*100)),100000+ABS(5-$HB35)*1000+200)),IF($HD35=0,999999,IF(5=$HE35,IF(116=$HL35,IF($JD35=2,30,0),IF(116=$HM35,IF($JD35=1,30,0),ABS(20-$HF35)*100)),100000+ABS(5-$HE35)*1000+200)),IF($HG35=0,999999,IF(5=$HH35,IF(116=$HN35,IF($JE35=2,30,0),IF(116=$HO35,IF($JE35=1,30,0),ABS(20-$HI35)*100)),100000+ABS(5-$HH35)*1000+200)))-IF((116=$HJ35)+(116=$HK35)+(116=$HL35)+(116=$HM35)+(116=$HN35)+(116=$HO35)&gt;=2,50,0))+DO$5*50)</f>
        <v/>
      </c>
      <c r="DP155">
        <f>IF(OR($JF35=0,calcA!$A$6=0),0,IF(OR(117=$HA35,117=$HD35,117=$HG35),200000,MIN(IF($HA35=0,999999,IF(5=$HB35,IF(117=$HJ35,IF($JC35=2,30,0),IF(117=$HK35,IF($JC35=1,30,0),ABS(21-$HC35)*100)),100000+ABS(5-$HB35)*1000+210)),IF($HD35=0,999999,IF(5=$HE35,IF(117=$HL35,IF($JD35=2,30,0),IF(117=$HM35,IF($JD35=1,30,0),ABS(21-$HF35)*100)),100000+ABS(5-$HE35)*1000+210)),IF($HG35=0,999999,IF(5=$HH35,IF(117=$HN35,IF($JE35=2,30,0),IF(117=$HO35,IF($JE35=1,30,0),ABS(21-$HI35)*100)),100000+ABS(5-$HH35)*1000+210)))-IF((117=$HJ35)+(117=$HK35)+(117=$HL35)+(117=$HM35)+(117=$HN35)+(117=$HO35)&gt;=2,50,0))+DP$5*50)</f>
        <v/>
      </c>
      <c r="DQ155">
        <f>IF(OR($JF35=0,calcA!$A$6=0),0,IF(OR(118=$HA35,118=$HD35,118=$HG35),200000,MIN(IF($HA35=0,999999,IF(5=$HB35,IF(118=$HJ35,IF($JC35=2,30,0),IF(118=$HK35,IF($JC35=1,30,0),ABS(22-$HC35)*100)),100000+ABS(5-$HB35)*1000+220)),IF($HD35=0,999999,IF(5=$HE35,IF(118=$HL35,IF($JD35=2,30,0),IF(118=$HM35,IF($JD35=1,30,0),ABS(22-$HF35)*100)),100000+ABS(5-$HE35)*1000+220)),IF($HG35=0,999999,IF(5=$HH35,IF(118=$HN35,IF($JE35=2,30,0),IF(118=$HO35,IF($JE35=1,30,0),ABS(22-$HI35)*100)),100000+ABS(5-$HH35)*1000+220)))-IF((118=$HJ35)+(118=$HK35)+(118=$HL35)+(118=$HM35)+(118=$HN35)+(118=$HO35)&gt;=2,50,0))+DQ$5*50)</f>
        <v/>
      </c>
      <c r="DR155">
        <f>IF(OR($JF35=0,calcA!$A$6=0),0,IF(OR(119=$HA35,119=$HD35,119=$HG35),200000,MIN(IF($HA35=0,999999,IF(5=$HB35,IF(119=$HJ35,IF($JC35=2,30,0),IF(119=$HK35,IF($JC35=1,30,0),ABS(23-$HC35)*100)),100000+ABS(5-$HB35)*1000+230)),IF($HD35=0,999999,IF(5=$HE35,IF(119=$HL35,IF($JD35=2,30,0),IF(119=$HM35,IF($JD35=1,30,0),ABS(23-$HF35)*100)),100000+ABS(5-$HE35)*1000+230)),IF($HG35=0,999999,IF(5=$HH35,IF(119=$HN35,IF($JE35=2,30,0),IF(119=$HO35,IF($JE35=1,30,0),ABS(23-$HI35)*100)),100000+ABS(5-$HH35)*1000+230)))-IF((119=$HJ35)+(119=$HK35)+(119=$HL35)+(119=$HM35)+(119=$HN35)+(119=$HO35)&gt;=2,50,0))+DR$5*50)</f>
        <v/>
      </c>
      <c r="DS155">
        <f>IF(OR($JF35=0,calcA!$A$6=0),0,IF(OR(120=$HA35,120=$HD35,120=$HG35),200000,MIN(IF($HA35=0,999999,IF(5=$HB35,IF(120=$HJ35,IF($JC35=2,30,0),IF(120=$HK35,IF($JC35=1,30,0),ABS(24-$HC35)*100)),100000+ABS(5-$HB35)*1000+240)),IF($HD35=0,999999,IF(5=$HE35,IF(120=$HL35,IF($JD35=2,30,0),IF(120=$HM35,IF($JD35=1,30,0),ABS(24-$HF35)*100)),100000+ABS(5-$HE35)*1000+240)),IF($HG35=0,999999,IF(5=$HH35,IF(120=$HN35,IF($JE35=2,30,0),IF(120=$HO35,IF($JE35=1,30,0),ABS(24-$HI35)*100)),100000+ABS(5-$HH35)*1000+240)))-IF((120=$HJ35)+(120=$HK35)+(120=$HL35)+(120=$HM35)+(120=$HN35)+(120=$HO35)&gt;=2,50,0))+DS$5*50)</f>
        <v/>
      </c>
      <c r="DT155">
        <f>IF(OR($JF35=0,calcA!$A$6=0),0,IF(OR(121=$HA35,121=$HD35,121=$HG35),200000,MIN(IF($HA35=0,999999,IF(6=$HB35,IF(121=$HJ35,IF($JC35=2,30,0),IF(121=$HK35,IF($JC35=1,30,0),ABS(1-$HC35)*100)),100000+ABS(6-$HB35)*1000+10)),IF($HD35=0,999999,IF(6=$HE35,IF(121=$HL35,IF($JD35=2,30,0),IF(121=$HM35,IF($JD35=1,30,0),ABS(1-$HF35)*100)),100000+ABS(6-$HE35)*1000+10)),IF($HG35=0,999999,IF(6=$HH35,IF(121=$HN35,IF($JE35=2,30,0),IF(121=$HO35,IF($JE35=1,30,0),ABS(1-$HI35)*100)),100000+ABS(6-$HH35)*1000+10)))-IF((121=$HJ35)+(121=$HK35)+(121=$HL35)+(121=$HM35)+(121=$HN35)+(121=$HO35)&gt;=2,50,0))+DT$5*50)</f>
        <v/>
      </c>
      <c r="DU155">
        <f>IF(OR($JF35=0,calcA!$A$6=0),0,IF(OR(122=$HA35,122=$HD35,122=$HG35),200000,MIN(IF($HA35=0,999999,IF(6=$HB35,IF(122=$HJ35,IF($JC35=2,30,0),IF(122=$HK35,IF($JC35=1,30,0),ABS(2-$HC35)*100)),100000+ABS(6-$HB35)*1000+20)),IF($HD35=0,999999,IF(6=$HE35,IF(122=$HL35,IF($JD35=2,30,0),IF(122=$HM35,IF($JD35=1,30,0),ABS(2-$HF35)*100)),100000+ABS(6-$HE35)*1000+20)),IF($HG35=0,999999,IF(6=$HH35,IF(122=$HN35,IF($JE35=2,30,0),IF(122=$HO35,IF($JE35=1,30,0),ABS(2-$HI35)*100)),100000+ABS(6-$HH35)*1000+20)))-IF((122=$HJ35)+(122=$HK35)+(122=$HL35)+(122=$HM35)+(122=$HN35)+(122=$HO35)&gt;=2,50,0))+DU$5*50)</f>
        <v/>
      </c>
      <c r="DV155">
        <f>IF(OR($JF35=0,calcA!$A$6=0),0,IF(OR(123=$HA35,123=$HD35,123=$HG35),200000,MIN(IF($HA35=0,999999,IF(6=$HB35,IF(123=$HJ35,IF($JC35=2,30,0),IF(123=$HK35,IF($JC35=1,30,0),ABS(3-$HC35)*100)),100000+ABS(6-$HB35)*1000+30)),IF($HD35=0,999999,IF(6=$HE35,IF(123=$HL35,IF($JD35=2,30,0),IF(123=$HM35,IF($JD35=1,30,0),ABS(3-$HF35)*100)),100000+ABS(6-$HE35)*1000+30)),IF($HG35=0,999999,IF(6=$HH35,IF(123=$HN35,IF($JE35=2,30,0),IF(123=$HO35,IF($JE35=1,30,0),ABS(3-$HI35)*100)),100000+ABS(6-$HH35)*1000+30)))-IF((123=$HJ35)+(123=$HK35)+(123=$HL35)+(123=$HM35)+(123=$HN35)+(123=$HO35)&gt;=2,50,0))+DV$5*50)</f>
        <v/>
      </c>
      <c r="DW155">
        <f>IF(OR($JF35=0,calcA!$A$6=0),0,IF(OR(124=$HA35,124=$HD35,124=$HG35),200000,MIN(IF($HA35=0,999999,IF(6=$HB35,IF(124=$HJ35,IF($JC35=2,30,0),IF(124=$HK35,IF($JC35=1,30,0),ABS(4-$HC35)*100)),100000+ABS(6-$HB35)*1000+40)),IF($HD35=0,999999,IF(6=$HE35,IF(124=$HL35,IF($JD35=2,30,0),IF(124=$HM35,IF($JD35=1,30,0),ABS(4-$HF35)*100)),100000+ABS(6-$HE35)*1000+40)),IF($HG35=0,999999,IF(6=$HH35,IF(124=$HN35,IF($JE35=2,30,0),IF(124=$HO35,IF($JE35=1,30,0),ABS(4-$HI35)*100)),100000+ABS(6-$HH35)*1000+40)))-IF((124=$HJ35)+(124=$HK35)+(124=$HL35)+(124=$HM35)+(124=$HN35)+(124=$HO35)&gt;=2,50,0))+DW$5*50)</f>
        <v/>
      </c>
      <c r="DX155">
        <f>IF(OR($JF35=0,calcA!$A$6=0),0,IF(OR(125=$HA35,125=$HD35,125=$HG35),200000,MIN(IF($HA35=0,999999,IF(6=$HB35,IF(125=$HJ35,IF($JC35=2,30,0),IF(125=$HK35,IF($JC35=1,30,0),ABS(5-$HC35)*100)),100000+ABS(6-$HB35)*1000+50)),IF($HD35=0,999999,IF(6=$HE35,IF(125=$HL35,IF($JD35=2,30,0),IF(125=$HM35,IF($JD35=1,30,0),ABS(5-$HF35)*100)),100000+ABS(6-$HE35)*1000+50)),IF($HG35=0,999999,IF(6=$HH35,IF(125=$HN35,IF($JE35=2,30,0),IF(125=$HO35,IF($JE35=1,30,0),ABS(5-$HI35)*100)),100000+ABS(6-$HH35)*1000+50)))-IF((125=$HJ35)+(125=$HK35)+(125=$HL35)+(125=$HM35)+(125=$HN35)+(125=$HO35)&gt;=2,50,0))+DX$5*50)</f>
        <v/>
      </c>
      <c r="DY155">
        <f>IF(OR($JF35=0,calcA!$A$6=0),0,IF(OR(126=$HA35,126=$HD35,126=$HG35),200000,MIN(IF($HA35=0,999999,IF(6=$HB35,IF(126=$HJ35,IF($JC35=2,30,0),IF(126=$HK35,IF($JC35=1,30,0),ABS(6-$HC35)*100)),100000+ABS(6-$HB35)*1000+60)),IF($HD35=0,999999,IF(6=$HE35,IF(126=$HL35,IF($JD35=2,30,0),IF(126=$HM35,IF($JD35=1,30,0),ABS(6-$HF35)*100)),100000+ABS(6-$HE35)*1000+60)),IF($HG35=0,999999,IF(6=$HH35,IF(126=$HN35,IF($JE35=2,30,0),IF(126=$HO35,IF($JE35=1,30,0),ABS(6-$HI35)*100)),100000+ABS(6-$HH35)*1000+60)))-IF((126=$HJ35)+(126=$HK35)+(126=$HL35)+(126=$HM35)+(126=$HN35)+(126=$HO35)&gt;=2,50,0))+DY$5*50)</f>
        <v/>
      </c>
      <c r="DZ155">
        <f>IF(OR($JF35=0,calcA!$A$6=0),0,IF(OR(127=$HA35,127=$HD35,127=$HG35),200000,MIN(IF($HA35=0,999999,IF(6=$HB35,IF(127=$HJ35,IF($JC35=2,30,0),IF(127=$HK35,IF($JC35=1,30,0),ABS(7-$HC35)*100)),100000+ABS(6-$HB35)*1000+70)),IF($HD35=0,999999,IF(6=$HE35,IF(127=$HL35,IF($JD35=2,30,0),IF(127=$HM35,IF($JD35=1,30,0),ABS(7-$HF35)*100)),100000+ABS(6-$HE35)*1000+70)),IF($HG35=0,999999,IF(6=$HH35,IF(127=$HN35,IF($JE35=2,30,0),IF(127=$HO35,IF($JE35=1,30,0),ABS(7-$HI35)*100)),100000+ABS(6-$HH35)*1000+70)))-IF((127=$HJ35)+(127=$HK35)+(127=$HL35)+(127=$HM35)+(127=$HN35)+(127=$HO35)&gt;=2,50,0))+DZ$5*50)</f>
        <v/>
      </c>
      <c r="EA155">
        <f>IF(OR($JF35=0,calcA!$A$6=0),0,IF(OR(128=$HA35,128=$HD35,128=$HG35),200000,MIN(IF($HA35=0,999999,IF(6=$HB35,IF(128=$HJ35,IF($JC35=2,30,0),IF(128=$HK35,IF($JC35=1,30,0),ABS(8-$HC35)*100)),100000+ABS(6-$HB35)*1000+80)),IF($HD35=0,999999,IF(6=$HE35,IF(128=$HL35,IF($JD35=2,30,0),IF(128=$HM35,IF($JD35=1,30,0),ABS(8-$HF35)*100)),100000+ABS(6-$HE35)*1000+80)),IF($HG35=0,999999,IF(6=$HH35,IF(128=$HN35,IF($JE35=2,30,0),IF(128=$HO35,IF($JE35=1,30,0),ABS(8-$HI35)*100)),100000+ABS(6-$HH35)*1000+80)))-IF((128=$HJ35)+(128=$HK35)+(128=$HL35)+(128=$HM35)+(128=$HN35)+(128=$HO35)&gt;=2,50,0))+EA$5*50)</f>
        <v/>
      </c>
      <c r="EB155">
        <f>IF(OR($JF35=0,calcA!$A$6=0),0,IF(OR(129=$HA35,129=$HD35,129=$HG35),200000,MIN(IF($HA35=0,999999,IF(6=$HB35,IF(129=$HJ35,IF($JC35=2,30,0),IF(129=$HK35,IF($JC35=1,30,0),ABS(9-$HC35)*100)),100000+ABS(6-$HB35)*1000+90)),IF($HD35=0,999999,IF(6=$HE35,IF(129=$HL35,IF($JD35=2,30,0),IF(129=$HM35,IF($JD35=1,30,0),ABS(9-$HF35)*100)),100000+ABS(6-$HE35)*1000+90)),IF($HG35=0,999999,IF(6=$HH35,IF(129=$HN35,IF($JE35=2,30,0),IF(129=$HO35,IF($JE35=1,30,0),ABS(9-$HI35)*100)),100000+ABS(6-$HH35)*1000+90)))-IF((129=$HJ35)+(129=$HK35)+(129=$HL35)+(129=$HM35)+(129=$HN35)+(129=$HO35)&gt;=2,50,0))+EB$5*50)</f>
        <v/>
      </c>
      <c r="EC155">
        <f>IF(OR($JF35=0,calcA!$A$6=0),0,IF(OR(130=$HA35,130=$HD35,130=$HG35),200000,MIN(IF($HA35=0,999999,IF(6=$HB35,IF(130=$HJ35,IF($JC35=2,30,0),IF(130=$HK35,IF($JC35=1,30,0),ABS(10-$HC35)*100)),100000+ABS(6-$HB35)*1000+100)),IF($HD35=0,999999,IF(6=$HE35,IF(130=$HL35,IF($JD35=2,30,0),IF(130=$HM35,IF($JD35=1,30,0),ABS(10-$HF35)*100)),100000+ABS(6-$HE35)*1000+100)),IF($HG35=0,999999,IF(6=$HH35,IF(130=$HN35,IF($JE35=2,30,0),IF(130=$HO35,IF($JE35=1,30,0),ABS(10-$HI35)*100)),100000+ABS(6-$HH35)*1000+100)))-IF((130=$HJ35)+(130=$HK35)+(130=$HL35)+(130=$HM35)+(130=$HN35)+(130=$HO35)&gt;=2,50,0))+EC$5*50)</f>
        <v/>
      </c>
      <c r="ED155">
        <f>IF(OR($JF35=0,calcA!$A$6=0),0,IF(OR(131=$HA35,131=$HD35,131=$HG35),200000,MIN(IF($HA35=0,999999,IF(6=$HB35,IF(131=$HJ35,IF($JC35=2,30,0),IF(131=$HK35,IF($JC35=1,30,0),ABS(11-$HC35)*100)),100000+ABS(6-$HB35)*1000+110)),IF($HD35=0,999999,IF(6=$HE35,IF(131=$HL35,IF($JD35=2,30,0),IF(131=$HM35,IF($JD35=1,30,0),ABS(11-$HF35)*100)),100000+ABS(6-$HE35)*1000+110)),IF($HG35=0,999999,IF(6=$HH35,IF(131=$HN35,IF($JE35=2,30,0),IF(131=$HO35,IF($JE35=1,30,0),ABS(11-$HI35)*100)),100000+ABS(6-$HH35)*1000+110)))-IF((131=$HJ35)+(131=$HK35)+(131=$HL35)+(131=$HM35)+(131=$HN35)+(131=$HO35)&gt;=2,50,0))+ED$5*50)</f>
        <v/>
      </c>
      <c r="EE155">
        <f>IF(OR($JF35=0,calcA!$A$6=0),0,IF(OR(132=$HA35,132=$HD35,132=$HG35),200000,MIN(IF($HA35=0,999999,IF(6=$HB35,IF(132=$HJ35,IF($JC35=2,30,0),IF(132=$HK35,IF($JC35=1,30,0),ABS(12-$HC35)*100)),100000+ABS(6-$HB35)*1000+120)),IF($HD35=0,999999,IF(6=$HE35,IF(132=$HL35,IF($JD35=2,30,0),IF(132=$HM35,IF($JD35=1,30,0),ABS(12-$HF35)*100)),100000+ABS(6-$HE35)*1000+120)),IF($HG35=0,999999,IF(6=$HH35,IF(132=$HN35,IF($JE35=2,30,0),IF(132=$HO35,IF($JE35=1,30,0),ABS(12-$HI35)*100)),100000+ABS(6-$HH35)*1000+120)))-IF((132=$HJ35)+(132=$HK35)+(132=$HL35)+(132=$HM35)+(132=$HN35)+(132=$HO35)&gt;=2,50,0))+EE$5*50)</f>
        <v/>
      </c>
      <c r="EF155">
        <f>IF(OR($JF35=0,calcA!$A$6=0),0,IF(OR(133=$HA35,133=$HD35,133=$HG35),200000,MIN(IF($HA35=0,999999,IF(6=$HB35,IF(133=$HJ35,IF($JC35=2,30,0),IF(133=$HK35,IF($JC35=1,30,0),ABS(13-$HC35)*100)),100000+ABS(6-$HB35)*1000+130)),IF($HD35=0,999999,IF(6=$HE35,IF(133=$HL35,IF($JD35=2,30,0),IF(133=$HM35,IF($JD35=1,30,0),ABS(13-$HF35)*100)),100000+ABS(6-$HE35)*1000+130)),IF($HG35=0,999999,IF(6=$HH35,IF(133=$HN35,IF($JE35=2,30,0),IF(133=$HO35,IF($JE35=1,30,0),ABS(13-$HI35)*100)),100000+ABS(6-$HH35)*1000+130)))-IF((133=$HJ35)+(133=$HK35)+(133=$HL35)+(133=$HM35)+(133=$HN35)+(133=$HO35)&gt;=2,50,0))+EF$5*50)</f>
        <v/>
      </c>
      <c r="EG155">
        <f>IF(OR($JF35=0,calcA!$A$6=0),0,IF(OR(134=$HA35,134=$HD35,134=$HG35),200000,MIN(IF($HA35=0,999999,IF(6=$HB35,IF(134=$HJ35,IF($JC35=2,30,0),IF(134=$HK35,IF($JC35=1,30,0),ABS(14-$HC35)*100)),100000+ABS(6-$HB35)*1000+140)),IF($HD35=0,999999,IF(6=$HE35,IF(134=$HL35,IF($JD35=2,30,0),IF(134=$HM35,IF($JD35=1,30,0),ABS(14-$HF35)*100)),100000+ABS(6-$HE35)*1000+140)),IF($HG35=0,999999,IF(6=$HH35,IF(134=$HN35,IF($JE35=2,30,0),IF(134=$HO35,IF($JE35=1,30,0),ABS(14-$HI35)*100)),100000+ABS(6-$HH35)*1000+140)))-IF((134=$HJ35)+(134=$HK35)+(134=$HL35)+(134=$HM35)+(134=$HN35)+(134=$HO35)&gt;=2,50,0))+EG$5*50)</f>
        <v/>
      </c>
      <c r="EH155">
        <f>IF(OR($JF35=0,calcA!$A$6=0),0,IF(OR(135=$HA35,135=$HD35,135=$HG35),200000,MIN(IF($HA35=0,999999,IF(6=$HB35,IF(135=$HJ35,IF($JC35=2,30,0),IF(135=$HK35,IF($JC35=1,30,0),ABS(15-$HC35)*100)),100000+ABS(6-$HB35)*1000+150)),IF($HD35=0,999999,IF(6=$HE35,IF(135=$HL35,IF($JD35=2,30,0),IF(135=$HM35,IF($JD35=1,30,0),ABS(15-$HF35)*100)),100000+ABS(6-$HE35)*1000+150)),IF($HG35=0,999999,IF(6=$HH35,IF(135=$HN35,IF($JE35=2,30,0),IF(135=$HO35,IF($JE35=1,30,0),ABS(15-$HI35)*100)),100000+ABS(6-$HH35)*1000+150)))-IF((135=$HJ35)+(135=$HK35)+(135=$HL35)+(135=$HM35)+(135=$HN35)+(135=$HO35)&gt;=2,50,0))+EH$5*50)</f>
        <v/>
      </c>
      <c r="EI155">
        <f>IF(OR($JF35=0,calcA!$A$6=0),0,IF(OR(136=$HA35,136=$HD35,136=$HG35),200000,MIN(IF($HA35=0,999999,IF(6=$HB35,IF(136=$HJ35,IF($JC35=2,30,0),IF(136=$HK35,IF($JC35=1,30,0),ABS(16-$HC35)*100)),100000+ABS(6-$HB35)*1000+160)),IF($HD35=0,999999,IF(6=$HE35,IF(136=$HL35,IF($JD35=2,30,0),IF(136=$HM35,IF($JD35=1,30,0),ABS(16-$HF35)*100)),100000+ABS(6-$HE35)*1000+160)),IF($HG35=0,999999,IF(6=$HH35,IF(136=$HN35,IF($JE35=2,30,0),IF(136=$HO35,IF($JE35=1,30,0),ABS(16-$HI35)*100)),100000+ABS(6-$HH35)*1000+160)))-IF((136=$HJ35)+(136=$HK35)+(136=$HL35)+(136=$HM35)+(136=$HN35)+(136=$HO35)&gt;=2,50,0))+EI$5*50)</f>
        <v/>
      </c>
      <c r="EJ155">
        <f>IF(OR($JF35=0,calcA!$A$6=0),0,IF(OR(137=$HA35,137=$HD35,137=$HG35),200000,MIN(IF($HA35=0,999999,IF(6=$HB35,IF(137=$HJ35,IF($JC35=2,30,0),IF(137=$HK35,IF($JC35=1,30,0),ABS(17-$HC35)*100)),100000+ABS(6-$HB35)*1000+170)),IF($HD35=0,999999,IF(6=$HE35,IF(137=$HL35,IF($JD35=2,30,0),IF(137=$HM35,IF($JD35=1,30,0),ABS(17-$HF35)*100)),100000+ABS(6-$HE35)*1000+170)),IF($HG35=0,999999,IF(6=$HH35,IF(137=$HN35,IF($JE35=2,30,0),IF(137=$HO35,IF($JE35=1,30,0),ABS(17-$HI35)*100)),100000+ABS(6-$HH35)*1000+170)))-IF((137=$HJ35)+(137=$HK35)+(137=$HL35)+(137=$HM35)+(137=$HN35)+(137=$HO35)&gt;=2,50,0))+EJ$5*50)</f>
        <v/>
      </c>
      <c r="EK155">
        <f>IF(OR($JF35=0,calcA!$A$6=0),0,IF(OR(138=$HA35,138=$HD35,138=$HG35),200000,MIN(IF($HA35=0,999999,IF(6=$HB35,IF(138=$HJ35,IF($JC35=2,30,0),IF(138=$HK35,IF($JC35=1,30,0),ABS(18-$HC35)*100)),100000+ABS(6-$HB35)*1000+180)),IF($HD35=0,999999,IF(6=$HE35,IF(138=$HL35,IF($JD35=2,30,0),IF(138=$HM35,IF($JD35=1,30,0),ABS(18-$HF35)*100)),100000+ABS(6-$HE35)*1000+180)),IF($HG35=0,999999,IF(6=$HH35,IF(138=$HN35,IF($JE35=2,30,0),IF(138=$HO35,IF($JE35=1,30,0),ABS(18-$HI35)*100)),100000+ABS(6-$HH35)*1000+180)))-IF((138=$HJ35)+(138=$HK35)+(138=$HL35)+(138=$HM35)+(138=$HN35)+(138=$HO35)&gt;=2,50,0))+EK$5*50)</f>
        <v/>
      </c>
      <c r="EL155">
        <f>IF(OR($JF35=0,calcA!$A$6=0),0,IF(OR(139=$HA35,139=$HD35,139=$HG35),200000,MIN(IF($HA35=0,999999,IF(6=$HB35,IF(139=$HJ35,IF($JC35=2,30,0),IF(139=$HK35,IF($JC35=1,30,0),ABS(19-$HC35)*100)),100000+ABS(6-$HB35)*1000+190)),IF($HD35=0,999999,IF(6=$HE35,IF(139=$HL35,IF($JD35=2,30,0),IF(139=$HM35,IF($JD35=1,30,0),ABS(19-$HF35)*100)),100000+ABS(6-$HE35)*1000+190)),IF($HG35=0,999999,IF(6=$HH35,IF(139=$HN35,IF($JE35=2,30,0),IF(139=$HO35,IF($JE35=1,30,0),ABS(19-$HI35)*100)),100000+ABS(6-$HH35)*1000+190)))-IF((139=$HJ35)+(139=$HK35)+(139=$HL35)+(139=$HM35)+(139=$HN35)+(139=$HO35)&gt;=2,50,0))+EL$5*50)</f>
        <v/>
      </c>
      <c r="EM155">
        <f>IF(OR($JF35=0,calcA!$A$6=0),0,IF(OR(140=$HA35,140=$HD35,140=$HG35),200000,MIN(IF($HA35=0,999999,IF(6=$HB35,IF(140=$HJ35,IF($JC35=2,30,0),IF(140=$HK35,IF($JC35=1,30,0),ABS(20-$HC35)*100)),100000+ABS(6-$HB35)*1000+200)),IF($HD35=0,999999,IF(6=$HE35,IF(140=$HL35,IF($JD35=2,30,0),IF(140=$HM35,IF($JD35=1,30,0),ABS(20-$HF35)*100)),100000+ABS(6-$HE35)*1000+200)),IF($HG35=0,999999,IF(6=$HH35,IF(140=$HN35,IF($JE35=2,30,0),IF(140=$HO35,IF($JE35=1,30,0),ABS(20-$HI35)*100)),100000+ABS(6-$HH35)*1000+200)))-IF((140=$HJ35)+(140=$HK35)+(140=$HL35)+(140=$HM35)+(140=$HN35)+(140=$HO35)&gt;=2,50,0))+EM$5*50)</f>
        <v/>
      </c>
      <c r="EN155">
        <f>IF(OR($JF35=0,calcA!$A$6=0),0,IF(OR(141=$HA35,141=$HD35,141=$HG35),200000,MIN(IF($HA35=0,999999,IF(6=$HB35,IF(141=$HJ35,IF($JC35=2,30,0),IF(141=$HK35,IF($JC35=1,30,0),ABS(21-$HC35)*100)),100000+ABS(6-$HB35)*1000+210)),IF($HD35=0,999999,IF(6=$HE35,IF(141=$HL35,IF($JD35=2,30,0),IF(141=$HM35,IF($JD35=1,30,0),ABS(21-$HF35)*100)),100000+ABS(6-$HE35)*1000+210)),IF($HG35=0,999999,IF(6=$HH35,IF(141=$HN35,IF($JE35=2,30,0),IF(141=$HO35,IF($JE35=1,30,0),ABS(21-$HI35)*100)),100000+ABS(6-$HH35)*1000+210)))-IF((141=$HJ35)+(141=$HK35)+(141=$HL35)+(141=$HM35)+(141=$HN35)+(141=$HO35)&gt;=2,50,0))+EN$5*50)</f>
        <v/>
      </c>
      <c r="EO155">
        <f>IF(OR($JF35=0,calcA!$A$6=0),0,IF(OR(142=$HA35,142=$HD35,142=$HG35),200000,MIN(IF($HA35=0,999999,IF(6=$HB35,IF(142=$HJ35,IF($JC35=2,30,0),IF(142=$HK35,IF($JC35=1,30,0),ABS(22-$HC35)*100)),100000+ABS(6-$HB35)*1000+220)),IF($HD35=0,999999,IF(6=$HE35,IF(142=$HL35,IF($JD35=2,30,0),IF(142=$HM35,IF($JD35=1,30,0),ABS(22-$HF35)*100)),100000+ABS(6-$HE35)*1000+220)),IF($HG35=0,999999,IF(6=$HH35,IF(142=$HN35,IF($JE35=2,30,0),IF(142=$HO35,IF($JE35=1,30,0),ABS(22-$HI35)*100)),100000+ABS(6-$HH35)*1000+220)))-IF((142=$HJ35)+(142=$HK35)+(142=$HL35)+(142=$HM35)+(142=$HN35)+(142=$HO35)&gt;=2,50,0))+EO$5*50)</f>
        <v/>
      </c>
      <c r="EP155">
        <f>IF(OR($JF35=0,calcA!$A$6=0),0,IF(OR(143=$HA35,143=$HD35,143=$HG35),200000,MIN(IF($HA35=0,999999,IF(6=$HB35,IF(143=$HJ35,IF($JC35=2,30,0),IF(143=$HK35,IF($JC35=1,30,0),ABS(23-$HC35)*100)),100000+ABS(6-$HB35)*1000+230)),IF($HD35=0,999999,IF(6=$HE35,IF(143=$HL35,IF($JD35=2,30,0),IF(143=$HM35,IF($JD35=1,30,0),ABS(23-$HF35)*100)),100000+ABS(6-$HE35)*1000+230)),IF($HG35=0,999999,IF(6=$HH35,IF(143=$HN35,IF($JE35=2,30,0),IF(143=$HO35,IF($JE35=1,30,0),ABS(23-$HI35)*100)),100000+ABS(6-$HH35)*1000+230)))-IF((143=$HJ35)+(143=$HK35)+(143=$HL35)+(143=$HM35)+(143=$HN35)+(143=$HO35)&gt;=2,50,0))+EP$5*50)</f>
        <v/>
      </c>
      <c r="EQ155">
        <f>IF(OR($JF35=0,calcA!$A$6=0),0,IF(OR(144=$HA35,144=$HD35,144=$HG35),200000,MIN(IF($HA35=0,999999,IF(6=$HB35,IF(144=$HJ35,IF($JC35=2,30,0),IF(144=$HK35,IF($JC35=1,30,0),ABS(24-$HC35)*100)),100000+ABS(6-$HB35)*1000+240)),IF($HD35=0,999999,IF(6=$HE35,IF(144=$HL35,IF($JD35=2,30,0),IF(144=$HM35,IF($JD35=1,30,0),ABS(24-$HF35)*100)),100000+ABS(6-$HE35)*1000+240)),IF($HG35=0,999999,IF(6=$HH35,IF(144=$HN35,IF($JE35=2,30,0),IF(144=$HO35,IF($JE35=1,30,0),ABS(24-$HI35)*100)),100000+ABS(6-$HH35)*1000+240)))-IF((144=$HJ35)+(144=$HK35)+(144=$HL35)+(144=$HM35)+(144=$HN35)+(144=$HO35)&gt;=2,50,0))+EQ$5*50)</f>
        <v/>
      </c>
    </row>
    <row r="156">
      <c r="D156">
        <f>IF(OR($JF36=0,calcA!$A$6=0),0,IF(OR(1=$HA36,1=$HD36,1=$HG36),200000,MIN(IF($HA36=0,999999,IF(1=$HB36,IF(1=$HJ36,IF($JC36=2,30,0),IF(1=$HK36,IF($JC36=1,30,0),ABS(1-$HC36)*100)),100000+ABS(1-$HB36)*1000+10)),IF($HD36=0,999999,IF(1=$HE36,IF(1=$HL36,IF($JD36=2,30,0),IF(1=$HM36,IF($JD36=1,30,0),ABS(1-$HF36)*100)),100000+ABS(1-$HE36)*1000+10)),IF($HG36=0,999999,IF(1=$HH36,IF(1=$HN36,IF($JE36=2,30,0),IF(1=$HO36,IF($JE36=1,30,0),ABS(1-$HI36)*100)),100000+ABS(1-$HH36)*1000+10)))-IF((1=$HJ36)+(1=$HK36)+(1=$HL36)+(1=$HM36)+(1=$HN36)+(1=$HO36)&gt;=2,50,0))+D$5*50)</f>
        <v/>
      </c>
      <c r="E156">
        <f>IF(OR($JF36=0,calcA!$A$6=0),0,IF(OR(2=$HA36,2=$HD36,2=$HG36),200000,MIN(IF($HA36=0,999999,IF(1=$HB36,IF(2=$HJ36,IF($JC36=2,30,0),IF(2=$HK36,IF($JC36=1,30,0),ABS(2-$HC36)*100)),100000+ABS(1-$HB36)*1000+20)),IF($HD36=0,999999,IF(1=$HE36,IF(2=$HL36,IF($JD36=2,30,0),IF(2=$HM36,IF($JD36=1,30,0),ABS(2-$HF36)*100)),100000+ABS(1-$HE36)*1000+20)),IF($HG36=0,999999,IF(1=$HH36,IF(2=$HN36,IF($JE36=2,30,0),IF(2=$HO36,IF($JE36=1,30,0),ABS(2-$HI36)*100)),100000+ABS(1-$HH36)*1000+20)))-IF((2=$HJ36)+(2=$HK36)+(2=$HL36)+(2=$HM36)+(2=$HN36)+(2=$HO36)&gt;=2,50,0))+E$5*50)</f>
        <v/>
      </c>
      <c r="F156">
        <f>IF(OR($JF36=0,calcA!$A$6=0),0,IF(OR(3=$HA36,3=$HD36,3=$HG36),200000,MIN(IF($HA36=0,999999,IF(1=$HB36,IF(3=$HJ36,IF($JC36=2,30,0),IF(3=$HK36,IF($JC36=1,30,0),ABS(3-$HC36)*100)),100000+ABS(1-$HB36)*1000+30)),IF($HD36=0,999999,IF(1=$HE36,IF(3=$HL36,IF($JD36=2,30,0),IF(3=$HM36,IF($JD36=1,30,0),ABS(3-$HF36)*100)),100000+ABS(1-$HE36)*1000+30)),IF($HG36=0,999999,IF(1=$HH36,IF(3=$HN36,IF($JE36=2,30,0),IF(3=$HO36,IF($JE36=1,30,0),ABS(3-$HI36)*100)),100000+ABS(1-$HH36)*1000+30)))-IF((3=$HJ36)+(3=$HK36)+(3=$HL36)+(3=$HM36)+(3=$HN36)+(3=$HO36)&gt;=2,50,0))+F$5*50)</f>
        <v/>
      </c>
      <c r="G156">
        <f>IF(OR($JF36=0,calcA!$A$6=0),0,IF(OR(4=$HA36,4=$HD36,4=$HG36),200000,MIN(IF($HA36=0,999999,IF(1=$HB36,IF(4=$HJ36,IF($JC36=2,30,0),IF(4=$HK36,IF($JC36=1,30,0),ABS(4-$HC36)*100)),100000+ABS(1-$HB36)*1000+40)),IF($HD36=0,999999,IF(1=$HE36,IF(4=$HL36,IF($JD36=2,30,0),IF(4=$HM36,IF($JD36=1,30,0),ABS(4-$HF36)*100)),100000+ABS(1-$HE36)*1000+40)),IF($HG36=0,999999,IF(1=$HH36,IF(4=$HN36,IF($JE36=2,30,0),IF(4=$HO36,IF($JE36=1,30,0),ABS(4-$HI36)*100)),100000+ABS(1-$HH36)*1000+40)))-IF((4=$HJ36)+(4=$HK36)+(4=$HL36)+(4=$HM36)+(4=$HN36)+(4=$HO36)&gt;=2,50,0))+G$5*50)</f>
        <v/>
      </c>
      <c r="H156">
        <f>IF(OR($JF36=0,calcA!$A$6=0),0,IF(OR(5=$HA36,5=$HD36,5=$HG36),200000,MIN(IF($HA36=0,999999,IF(1=$HB36,IF(5=$HJ36,IF($JC36=2,30,0),IF(5=$HK36,IF($JC36=1,30,0),ABS(5-$HC36)*100)),100000+ABS(1-$HB36)*1000+50)),IF($HD36=0,999999,IF(1=$HE36,IF(5=$HL36,IF($JD36=2,30,0),IF(5=$HM36,IF($JD36=1,30,0),ABS(5-$HF36)*100)),100000+ABS(1-$HE36)*1000+50)),IF($HG36=0,999999,IF(1=$HH36,IF(5=$HN36,IF($JE36=2,30,0),IF(5=$HO36,IF($JE36=1,30,0),ABS(5-$HI36)*100)),100000+ABS(1-$HH36)*1000+50)))-IF((5=$HJ36)+(5=$HK36)+(5=$HL36)+(5=$HM36)+(5=$HN36)+(5=$HO36)&gt;=2,50,0))+H$5*50)</f>
        <v/>
      </c>
      <c r="I156">
        <f>IF(OR($JF36=0,calcA!$A$6=0),0,IF(OR(6=$HA36,6=$HD36,6=$HG36),200000,MIN(IF($HA36=0,999999,IF(1=$HB36,IF(6=$HJ36,IF($JC36=2,30,0),IF(6=$HK36,IF($JC36=1,30,0),ABS(6-$HC36)*100)),100000+ABS(1-$HB36)*1000+60)),IF($HD36=0,999999,IF(1=$HE36,IF(6=$HL36,IF($JD36=2,30,0),IF(6=$HM36,IF($JD36=1,30,0),ABS(6-$HF36)*100)),100000+ABS(1-$HE36)*1000+60)),IF($HG36=0,999999,IF(1=$HH36,IF(6=$HN36,IF($JE36=2,30,0),IF(6=$HO36,IF($JE36=1,30,0),ABS(6-$HI36)*100)),100000+ABS(1-$HH36)*1000+60)))-IF((6=$HJ36)+(6=$HK36)+(6=$HL36)+(6=$HM36)+(6=$HN36)+(6=$HO36)&gt;=2,50,0))+I$5*50)</f>
        <v/>
      </c>
      <c r="J156">
        <f>IF(OR($JF36=0,calcA!$A$6=0),0,IF(OR(7=$HA36,7=$HD36,7=$HG36),200000,MIN(IF($HA36=0,999999,IF(1=$HB36,IF(7=$HJ36,IF($JC36=2,30,0),IF(7=$HK36,IF($JC36=1,30,0),ABS(7-$HC36)*100)),100000+ABS(1-$HB36)*1000+70)),IF($HD36=0,999999,IF(1=$HE36,IF(7=$HL36,IF($JD36=2,30,0),IF(7=$HM36,IF($JD36=1,30,0),ABS(7-$HF36)*100)),100000+ABS(1-$HE36)*1000+70)),IF($HG36=0,999999,IF(1=$HH36,IF(7=$HN36,IF($JE36=2,30,0),IF(7=$HO36,IF($JE36=1,30,0),ABS(7-$HI36)*100)),100000+ABS(1-$HH36)*1000+70)))-IF((7=$HJ36)+(7=$HK36)+(7=$HL36)+(7=$HM36)+(7=$HN36)+(7=$HO36)&gt;=2,50,0))+J$5*50)</f>
        <v/>
      </c>
      <c r="K156">
        <f>IF(OR($JF36=0,calcA!$A$6=0),0,IF(OR(8=$HA36,8=$HD36,8=$HG36),200000,MIN(IF($HA36=0,999999,IF(1=$HB36,IF(8=$HJ36,IF($JC36=2,30,0),IF(8=$HK36,IF($JC36=1,30,0),ABS(8-$HC36)*100)),100000+ABS(1-$HB36)*1000+80)),IF($HD36=0,999999,IF(1=$HE36,IF(8=$HL36,IF($JD36=2,30,0),IF(8=$HM36,IF($JD36=1,30,0),ABS(8-$HF36)*100)),100000+ABS(1-$HE36)*1000+80)),IF($HG36=0,999999,IF(1=$HH36,IF(8=$HN36,IF($JE36=2,30,0),IF(8=$HO36,IF($JE36=1,30,0),ABS(8-$HI36)*100)),100000+ABS(1-$HH36)*1000+80)))-IF((8=$HJ36)+(8=$HK36)+(8=$HL36)+(8=$HM36)+(8=$HN36)+(8=$HO36)&gt;=2,50,0))+K$5*50)</f>
        <v/>
      </c>
      <c r="L156">
        <f>IF(OR($JF36=0,calcA!$A$6=0),0,IF(OR(9=$HA36,9=$HD36,9=$HG36),200000,MIN(IF($HA36=0,999999,IF(1=$HB36,IF(9=$HJ36,IF($JC36=2,30,0),IF(9=$HK36,IF($JC36=1,30,0),ABS(9-$HC36)*100)),100000+ABS(1-$HB36)*1000+90)),IF($HD36=0,999999,IF(1=$HE36,IF(9=$HL36,IF($JD36=2,30,0),IF(9=$HM36,IF($JD36=1,30,0),ABS(9-$HF36)*100)),100000+ABS(1-$HE36)*1000+90)),IF($HG36=0,999999,IF(1=$HH36,IF(9=$HN36,IF($JE36=2,30,0),IF(9=$HO36,IF($JE36=1,30,0),ABS(9-$HI36)*100)),100000+ABS(1-$HH36)*1000+90)))-IF((9=$HJ36)+(9=$HK36)+(9=$HL36)+(9=$HM36)+(9=$HN36)+(9=$HO36)&gt;=2,50,0))+L$5*50)</f>
        <v/>
      </c>
      <c r="M156">
        <f>IF(OR($JF36=0,calcA!$A$6=0),0,IF(OR(10=$HA36,10=$HD36,10=$HG36),200000,MIN(IF($HA36=0,999999,IF(1=$HB36,IF(10=$HJ36,IF($JC36=2,30,0),IF(10=$HK36,IF($JC36=1,30,0),ABS(10-$HC36)*100)),100000+ABS(1-$HB36)*1000+100)),IF($HD36=0,999999,IF(1=$HE36,IF(10=$HL36,IF($JD36=2,30,0),IF(10=$HM36,IF($JD36=1,30,0),ABS(10-$HF36)*100)),100000+ABS(1-$HE36)*1000+100)),IF($HG36=0,999999,IF(1=$HH36,IF(10=$HN36,IF($JE36=2,30,0),IF(10=$HO36,IF($JE36=1,30,0),ABS(10-$HI36)*100)),100000+ABS(1-$HH36)*1000+100)))-IF((10=$HJ36)+(10=$HK36)+(10=$HL36)+(10=$HM36)+(10=$HN36)+(10=$HO36)&gt;=2,50,0))+M$5*50)</f>
        <v/>
      </c>
      <c r="N156">
        <f>IF(OR($JF36=0,calcA!$A$6=0),0,IF(OR(11=$HA36,11=$HD36,11=$HG36),200000,MIN(IF($HA36=0,999999,IF(1=$HB36,IF(11=$HJ36,IF($JC36=2,30,0),IF(11=$HK36,IF($JC36=1,30,0),ABS(11-$HC36)*100)),100000+ABS(1-$HB36)*1000+110)),IF($HD36=0,999999,IF(1=$HE36,IF(11=$HL36,IF($JD36=2,30,0),IF(11=$HM36,IF($JD36=1,30,0),ABS(11-$HF36)*100)),100000+ABS(1-$HE36)*1000+110)),IF($HG36=0,999999,IF(1=$HH36,IF(11=$HN36,IF($JE36=2,30,0),IF(11=$HO36,IF($JE36=1,30,0),ABS(11-$HI36)*100)),100000+ABS(1-$HH36)*1000+110)))-IF((11=$HJ36)+(11=$HK36)+(11=$HL36)+(11=$HM36)+(11=$HN36)+(11=$HO36)&gt;=2,50,0))+N$5*50)</f>
        <v/>
      </c>
      <c r="O156">
        <f>IF(OR($JF36=0,calcA!$A$6=0),0,IF(OR(12=$HA36,12=$HD36,12=$HG36),200000,MIN(IF($HA36=0,999999,IF(1=$HB36,IF(12=$HJ36,IF($JC36=2,30,0),IF(12=$HK36,IF($JC36=1,30,0),ABS(12-$HC36)*100)),100000+ABS(1-$HB36)*1000+120)),IF($HD36=0,999999,IF(1=$HE36,IF(12=$HL36,IF($JD36=2,30,0),IF(12=$HM36,IF($JD36=1,30,0),ABS(12-$HF36)*100)),100000+ABS(1-$HE36)*1000+120)),IF($HG36=0,999999,IF(1=$HH36,IF(12=$HN36,IF($JE36=2,30,0),IF(12=$HO36,IF($JE36=1,30,0),ABS(12-$HI36)*100)),100000+ABS(1-$HH36)*1000+120)))-IF((12=$HJ36)+(12=$HK36)+(12=$HL36)+(12=$HM36)+(12=$HN36)+(12=$HO36)&gt;=2,50,0))+O$5*50)</f>
        <v/>
      </c>
      <c r="P156">
        <f>IF(OR($JF36=0,calcA!$A$6=0),0,IF(OR(13=$HA36,13=$HD36,13=$HG36),200000,MIN(IF($HA36=0,999999,IF(1=$HB36,IF(13=$HJ36,IF($JC36=2,30,0),IF(13=$HK36,IF($JC36=1,30,0),ABS(13-$HC36)*100)),100000+ABS(1-$HB36)*1000+130)),IF($HD36=0,999999,IF(1=$HE36,IF(13=$HL36,IF($JD36=2,30,0),IF(13=$HM36,IF($JD36=1,30,0),ABS(13-$HF36)*100)),100000+ABS(1-$HE36)*1000+130)),IF($HG36=0,999999,IF(1=$HH36,IF(13=$HN36,IF($JE36=2,30,0),IF(13=$HO36,IF($JE36=1,30,0),ABS(13-$HI36)*100)),100000+ABS(1-$HH36)*1000+130)))-IF((13=$HJ36)+(13=$HK36)+(13=$HL36)+(13=$HM36)+(13=$HN36)+(13=$HO36)&gt;=2,50,0))+P$5*50)</f>
        <v/>
      </c>
      <c r="Q156">
        <f>IF(OR($JF36=0,calcA!$A$6=0),0,IF(OR(14=$HA36,14=$HD36,14=$HG36),200000,MIN(IF($HA36=0,999999,IF(1=$HB36,IF(14=$HJ36,IF($JC36=2,30,0),IF(14=$HK36,IF($JC36=1,30,0),ABS(14-$HC36)*100)),100000+ABS(1-$HB36)*1000+140)),IF($HD36=0,999999,IF(1=$HE36,IF(14=$HL36,IF($JD36=2,30,0),IF(14=$HM36,IF($JD36=1,30,0),ABS(14-$HF36)*100)),100000+ABS(1-$HE36)*1000+140)),IF($HG36=0,999999,IF(1=$HH36,IF(14=$HN36,IF($JE36=2,30,0),IF(14=$HO36,IF($JE36=1,30,0),ABS(14-$HI36)*100)),100000+ABS(1-$HH36)*1000+140)))-IF((14=$HJ36)+(14=$HK36)+(14=$HL36)+(14=$HM36)+(14=$HN36)+(14=$HO36)&gt;=2,50,0))+Q$5*50)</f>
        <v/>
      </c>
      <c r="R156">
        <f>IF(OR($JF36=0,calcA!$A$6=0),0,IF(OR(15=$HA36,15=$HD36,15=$HG36),200000,MIN(IF($HA36=0,999999,IF(1=$HB36,IF(15=$HJ36,IF($JC36=2,30,0),IF(15=$HK36,IF($JC36=1,30,0),ABS(15-$HC36)*100)),100000+ABS(1-$HB36)*1000+150)),IF($HD36=0,999999,IF(1=$HE36,IF(15=$HL36,IF($JD36=2,30,0),IF(15=$HM36,IF($JD36=1,30,0),ABS(15-$HF36)*100)),100000+ABS(1-$HE36)*1000+150)),IF($HG36=0,999999,IF(1=$HH36,IF(15=$HN36,IF($JE36=2,30,0),IF(15=$HO36,IF($JE36=1,30,0),ABS(15-$HI36)*100)),100000+ABS(1-$HH36)*1000+150)))-IF((15=$HJ36)+(15=$HK36)+(15=$HL36)+(15=$HM36)+(15=$HN36)+(15=$HO36)&gt;=2,50,0))+R$5*50)</f>
        <v/>
      </c>
      <c r="S156">
        <f>IF(OR($JF36=0,calcA!$A$6=0),0,IF(OR(16=$HA36,16=$HD36,16=$HG36),200000,MIN(IF($HA36=0,999999,IF(1=$HB36,IF(16=$HJ36,IF($JC36=2,30,0),IF(16=$HK36,IF($JC36=1,30,0),ABS(16-$HC36)*100)),100000+ABS(1-$HB36)*1000+160)),IF($HD36=0,999999,IF(1=$HE36,IF(16=$HL36,IF($JD36=2,30,0),IF(16=$HM36,IF($JD36=1,30,0),ABS(16-$HF36)*100)),100000+ABS(1-$HE36)*1000+160)),IF($HG36=0,999999,IF(1=$HH36,IF(16=$HN36,IF($JE36=2,30,0),IF(16=$HO36,IF($JE36=1,30,0),ABS(16-$HI36)*100)),100000+ABS(1-$HH36)*1000+160)))-IF((16=$HJ36)+(16=$HK36)+(16=$HL36)+(16=$HM36)+(16=$HN36)+(16=$HO36)&gt;=2,50,0))+S$5*50)</f>
        <v/>
      </c>
      <c r="T156">
        <f>IF(OR($JF36=0,calcA!$A$6=0),0,IF(OR(17=$HA36,17=$HD36,17=$HG36),200000,MIN(IF($HA36=0,999999,IF(1=$HB36,IF(17=$HJ36,IF($JC36=2,30,0),IF(17=$HK36,IF($JC36=1,30,0),ABS(17-$HC36)*100)),100000+ABS(1-$HB36)*1000+170)),IF($HD36=0,999999,IF(1=$HE36,IF(17=$HL36,IF($JD36=2,30,0),IF(17=$HM36,IF($JD36=1,30,0),ABS(17-$HF36)*100)),100000+ABS(1-$HE36)*1000+170)),IF($HG36=0,999999,IF(1=$HH36,IF(17=$HN36,IF($JE36=2,30,0),IF(17=$HO36,IF($JE36=1,30,0),ABS(17-$HI36)*100)),100000+ABS(1-$HH36)*1000+170)))-IF((17=$HJ36)+(17=$HK36)+(17=$HL36)+(17=$HM36)+(17=$HN36)+(17=$HO36)&gt;=2,50,0))+T$5*50)</f>
        <v/>
      </c>
      <c r="U156">
        <f>IF(OR($JF36=0,calcA!$A$6=0),0,IF(OR(18=$HA36,18=$HD36,18=$HG36),200000,MIN(IF($HA36=0,999999,IF(1=$HB36,IF(18=$HJ36,IF($JC36=2,30,0),IF(18=$HK36,IF($JC36=1,30,0),ABS(18-$HC36)*100)),100000+ABS(1-$HB36)*1000+180)),IF($HD36=0,999999,IF(1=$HE36,IF(18=$HL36,IF($JD36=2,30,0),IF(18=$HM36,IF($JD36=1,30,0),ABS(18-$HF36)*100)),100000+ABS(1-$HE36)*1000+180)),IF($HG36=0,999999,IF(1=$HH36,IF(18=$HN36,IF($JE36=2,30,0),IF(18=$HO36,IF($JE36=1,30,0),ABS(18-$HI36)*100)),100000+ABS(1-$HH36)*1000+180)))-IF((18=$HJ36)+(18=$HK36)+(18=$HL36)+(18=$HM36)+(18=$HN36)+(18=$HO36)&gt;=2,50,0))+U$5*50)</f>
        <v/>
      </c>
      <c r="V156">
        <f>IF(OR($JF36=0,calcA!$A$6=0),0,IF(OR(19=$HA36,19=$HD36,19=$HG36),200000,MIN(IF($HA36=0,999999,IF(1=$HB36,IF(19=$HJ36,IF($JC36=2,30,0),IF(19=$HK36,IF($JC36=1,30,0),ABS(19-$HC36)*100)),100000+ABS(1-$HB36)*1000+190)),IF($HD36=0,999999,IF(1=$HE36,IF(19=$HL36,IF($JD36=2,30,0),IF(19=$HM36,IF($JD36=1,30,0),ABS(19-$HF36)*100)),100000+ABS(1-$HE36)*1000+190)),IF($HG36=0,999999,IF(1=$HH36,IF(19=$HN36,IF($JE36=2,30,0),IF(19=$HO36,IF($JE36=1,30,0),ABS(19-$HI36)*100)),100000+ABS(1-$HH36)*1000+190)))-IF((19=$HJ36)+(19=$HK36)+(19=$HL36)+(19=$HM36)+(19=$HN36)+(19=$HO36)&gt;=2,50,0))+V$5*50)</f>
        <v/>
      </c>
      <c r="W156">
        <f>IF(OR($JF36=0,calcA!$A$6=0),0,IF(OR(20=$HA36,20=$HD36,20=$HG36),200000,MIN(IF($HA36=0,999999,IF(1=$HB36,IF(20=$HJ36,IF($JC36=2,30,0),IF(20=$HK36,IF($JC36=1,30,0),ABS(20-$HC36)*100)),100000+ABS(1-$HB36)*1000+200)),IF($HD36=0,999999,IF(1=$HE36,IF(20=$HL36,IF($JD36=2,30,0),IF(20=$HM36,IF($JD36=1,30,0),ABS(20-$HF36)*100)),100000+ABS(1-$HE36)*1000+200)),IF($HG36=0,999999,IF(1=$HH36,IF(20=$HN36,IF($JE36=2,30,0),IF(20=$HO36,IF($JE36=1,30,0),ABS(20-$HI36)*100)),100000+ABS(1-$HH36)*1000+200)))-IF((20=$HJ36)+(20=$HK36)+(20=$HL36)+(20=$HM36)+(20=$HN36)+(20=$HO36)&gt;=2,50,0))+W$5*50)</f>
        <v/>
      </c>
      <c r="X156">
        <f>IF(OR($JF36=0,calcA!$A$6=0),0,IF(OR(21=$HA36,21=$HD36,21=$HG36),200000,MIN(IF($HA36=0,999999,IF(1=$HB36,IF(21=$HJ36,IF($JC36=2,30,0),IF(21=$HK36,IF($JC36=1,30,0),ABS(21-$HC36)*100)),100000+ABS(1-$HB36)*1000+210)),IF($HD36=0,999999,IF(1=$HE36,IF(21=$HL36,IF($JD36=2,30,0),IF(21=$HM36,IF($JD36=1,30,0),ABS(21-$HF36)*100)),100000+ABS(1-$HE36)*1000+210)),IF($HG36=0,999999,IF(1=$HH36,IF(21=$HN36,IF($JE36=2,30,0),IF(21=$HO36,IF($JE36=1,30,0),ABS(21-$HI36)*100)),100000+ABS(1-$HH36)*1000+210)))-IF((21=$HJ36)+(21=$HK36)+(21=$HL36)+(21=$HM36)+(21=$HN36)+(21=$HO36)&gt;=2,50,0))+X$5*50)</f>
        <v/>
      </c>
      <c r="Y156">
        <f>IF(OR($JF36=0,calcA!$A$6=0),0,IF(OR(22=$HA36,22=$HD36,22=$HG36),200000,MIN(IF($HA36=0,999999,IF(1=$HB36,IF(22=$HJ36,IF($JC36=2,30,0),IF(22=$HK36,IF($JC36=1,30,0),ABS(22-$HC36)*100)),100000+ABS(1-$HB36)*1000+220)),IF($HD36=0,999999,IF(1=$HE36,IF(22=$HL36,IF($JD36=2,30,0),IF(22=$HM36,IF($JD36=1,30,0),ABS(22-$HF36)*100)),100000+ABS(1-$HE36)*1000+220)),IF($HG36=0,999999,IF(1=$HH36,IF(22=$HN36,IF($JE36=2,30,0),IF(22=$HO36,IF($JE36=1,30,0),ABS(22-$HI36)*100)),100000+ABS(1-$HH36)*1000+220)))-IF((22=$HJ36)+(22=$HK36)+(22=$HL36)+(22=$HM36)+(22=$HN36)+(22=$HO36)&gt;=2,50,0))+Y$5*50)</f>
        <v/>
      </c>
      <c r="Z156">
        <f>IF(OR($JF36=0,calcA!$A$6=0),0,IF(OR(23=$HA36,23=$HD36,23=$HG36),200000,MIN(IF($HA36=0,999999,IF(1=$HB36,IF(23=$HJ36,IF($JC36=2,30,0),IF(23=$HK36,IF($JC36=1,30,0),ABS(23-$HC36)*100)),100000+ABS(1-$HB36)*1000+230)),IF($HD36=0,999999,IF(1=$HE36,IF(23=$HL36,IF($JD36=2,30,0),IF(23=$HM36,IF($JD36=1,30,0),ABS(23-$HF36)*100)),100000+ABS(1-$HE36)*1000+230)),IF($HG36=0,999999,IF(1=$HH36,IF(23=$HN36,IF($JE36=2,30,0),IF(23=$HO36,IF($JE36=1,30,0),ABS(23-$HI36)*100)),100000+ABS(1-$HH36)*1000+230)))-IF((23=$HJ36)+(23=$HK36)+(23=$HL36)+(23=$HM36)+(23=$HN36)+(23=$HO36)&gt;=2,50,0))+Z$5*50)</f>
        <v/>
      </c>
      <c r="AA156">
        <f>IF(OR($JF36=0,calcA!$A$6=0),0,IF(OR(24=$HA36,24=$HD36,24=$HG36),200000,MIN(IF($HA36=0,999999,IF(1=$HB36,IF(24=$HJ36,IF($JC36=2,30,0),IF(24=$HK36,IF($JC36=1,30,0),ABS(24-$HC36)*100)),100000+ABS(1-$HB36)*1000+240)),IF($HD36=0,999999,IF(1=$HE36,IF(24=$HL36,IF($JD36=2,30,0),IF(24=$HM36,IF($JD36=1,30,0),ABS(24-$HF36)*100)),100000+ABS(1-$HE36)*1000+240)),IF($HG36=0,999999,IF(1=$HH36,IF(24=$HN36,IF($JE36=2,30,0),IF(24=$HO36,IF($JE36=1,30,0),ABS(24-$HI36)*100)),100000+ABS(1-$HH36)*1000+240)))-IF((24=$HJ36)+(24=$HK36)+(24=$HL36)+(24=$HM36)+(24=$HN36)+(24=$HO36)&gt;=2,50,0))+AA$5*50)</f>
        <v/>
      </c>
      <c r="AB156">
        <f>IF(OR($JF36=0,calcA!$A$6=0),0,IF(OR(25=$HA36,25=$HD36,25=$HG36),200000,MIN(IF($HA36=0,999999,IF(2=$HB36,IF(25=$HJ36,IF($JC36=2,30,0),IF(25=$HK36,IF($JC36=1,30,0),ABS(1-$HC36)*100)),100000+ABS(2-$HB36)*1000+10)),IF($HD36=0,999999,IF(2=$HE36,IF(25=$HL36,IF($JD36=2,30,0),IF(25=$HM36,IF($JD36=1,30,0),ABS(1-$HF36)*100)),100000+ABS(2-$HE36)*1000+10)),IF($HG36=0,999999,IF(2=$HH36,IF(25=$HN36,IF($JE36=2,30,0),IF(25=$HO36,IF($JE36=1,30,0),ABS(1-$HI36)*100)),100000+ABS(2-$HH36)*1000+10)))-IF((25=$HJ36)+(25=$HK36)+(25=$HL36)+(25=$HM36)+(25=$HN36)+(25=$HO36)&gt;=2,50,0))+AB$5*50)</f>
        <v/>
      </c>
      <c r="AC156">
        <f>IF(OR($JF36=0,calcA!$A$6=0),0,IF(OR(26=$HA36,26=$HD36,26=$HG36),200000,MIN(IF($HA36=0,999999,IF(2=$HB36,IF(26=$HJ36,IF($JC36=2,30,0),IF(26=$HK36,IF($JC36=1,30,0),ABS(2-$HC36)*100)),100000+ABS(2-$HB36)*1000+20)),IF($HD36=0,999999,IF(2=$HE36,IF(26=$HL36,IF($JD36=2,30,0),IF(26=$HM36,IF($JD36=1,30,0),ABS(2-$HF36)*100)),100000+ABS(2-$HE36)*1000+20)),IF($HG36=0,999999,IF(2=$HH36,IF(26=$HN36,IF($JE36=2,30,0),IF(26=$HO36,IF($JE36=1,30,0),ABS(2-$HI36)*100)),100000+ABS(2-$HH36)*1000+20)))-IF((26=$HJ36)+(26=$HK36)+(26=$HL36)+(26=$HM36)+(26=$HN36)+(26=$HO36)&gt;=2,50,0))+AC$5*50)</f>
        <v/>
      </c>
      <c r="AD156">
        <f>IF(OR($JF36=0,calcA!$A$6=0),0,IF(OR(27=$HA36,27=$HD36,27=$HG36),200000,MIN(IF($HA36=0,999999,IF(2=$HB36,IF(27=$HJ36,IF($JC36=2,30,0),IF(27=$HK36,IF($JC36=1,30,0),ABS(3-$HC36)*100)),100000+ABS(2-$HB36)*1000+30)),IF($HD36=0,999999,IF(2=$HE36,IF(27=$HL36,IF($JD36=2,30,0),IF(27=$HM36,IF($JD36=1,30,0),ABS(3-$HF36)*100)),100000+ABS(2-$HE36)*1000+30)),IF($HG36=0,999999,IF(2=$HH36,IF(27=$HN36,IF($JE36=2,30,0),IF(27=$HO36,IF($JE36=1,30,0),ABS(3-$HI36)*100)),100000+ABS(2-$HH36)*1000+30)))-IF((27=$HJ36)+(27=$HK36)+(27=$HL36)+(27=$HM36)+(27=$HN36)+(27=$HO36)&gt;=2,50,0))+AD$5*50)</f>
        <v/>
      </c>
      <c r="AE156">
        <f>IF(OR($JF36=0,calcA!$A$6=0),0,IF(OR(28=$HA36,28=$HD36,28=$HG36),200000,MIN(IF($HA36=0,999999,IF(2=$HB36,IF(28=$HJ36,IF($JC36=2,30,0),IF(28=$HK36,IF($JC36=1,30,0),ABS(4-$HC36)*100)),100000+ABS(2-$HB36)*1000+40)),IF($HD36=0,999999,IF(2=$HE36,IF(28=$HL36,IF($JD36=2,30,0),IF(28=$HM36,IF($JD36=1,30,0),ABS(4-$HF36)*100)),100000+ABS(2-$HE36)*1000+40)),IF($HG36=0,999999,IF(2=$HH36,IF(28=$HN36,IF($JE36=2,30,0),IF(28=$HO36,IF($JE36=1,30,0),ABS(4-$HI36)*100)),100000+ABS(2-$HH36)*1000+40)))-IF((28=$HJ36)+(28=$HK36)+(28=$HL36)+(28=$HM36)+(28=$HN36)+(28=$HO36)&gt;=2,50,0))+AE$5*50)</f>
        <v/>
      </c>
      <c r="AF156">
        <f>IF(OR($JF36=0,calcA!$A$6=0),0,IF(OR(29=$HA36,29=$HD36,29=$HG36),200000,MIN(IF($HA36=0,999999,IF(2=$HB36,IF(29=$HJ36,IF($JC36=2,30,0),IF(29=$HK36,IF($JC36=1,30,0),ABS(5-$HC36)*100)),100000+ABS(2-$HB36)*1000+50)),IF($HD36=0,999999,IF(2=$HE36,IF(29=$HL36,IF($JD36=2,30,0),IF(29=$HM36,IF($JD36=1,30,0),ABS(5-$HF36)*100)),100000+ABS(2-$HE36)*1000+50)),IF($HG36=0,999999,IF(2=$HH36,IF(29=$HN36,IF($JE36=2,30,0),IF(29=$HO36,IF($JE36=1,30,0),ABS(5-$HI36)*100)),100000+ABS(2-$HH36)*1000+50)))-IF((29=$HJ36)+(29=$HK36)+(29=$HL36)+(29=$HM36)+(29=$HN36)+(29=$HO36)&gt;=2,50,0))+AF$5*50)</f>
        <v/>
      </c>
      <c r="AG156">
        <f>IF(OR($JF36=0,calcA!$A$6=0),0,IF(OR(30=$HA36,30=$HD36,30=$HG36),200000,MIN(IF($HA36=0,999999,IF(2=$HB36,IF(30=$HJ36,IF($JC36=2,30,0),IF(30=$HK36,IF($JC36=1,30,0),ABS(6-$HC36)*100)),100000+ABS(2-$HB36)*1000+60)),IF($HD36=0,999999,IF(2=$HE36,IF(30=$HL36,IF($JD36=2,30,0),IF(30=$HM36,IF($JD36=1,30,0),ABS(6-$HF36)*100)),100000+ABS(2-$HE36)*1000+60)),IF($HG36=0,999999,IF(2=$HH36,IF(30=$HN36,IF($JE36=2,30,0),IF(30=$HO36,IF($JE36=1,30,0),ABS(6-$HI36)*100)),100000+ABS(2-$HH36)*1000+60)))-IF((30=$HJ36)+(30=$HK36)+(30=$HL36)+(30=$HM36)+(30=$HN36)+(30=$HO36)&gt;=2,50,0))+AG$5*50)</f>
        <v/>
      </c>
      <c r="AH156">
        <f>IF(OR($JF36=0,calcA!$A$6=0),0,IF(OR(31=$HA36,31=$HD36,31=$HG36),200000,MIN(IF($HA36=0,999999,IF(2=$HB36,IF(31=$HJ36,IF($JC36=2,30,0),IF(31=$HK36,IF($JC36=1,30,0),ABS(7-$HC36)*100)),100000+ABS(2-$HB36)*1000+70)),IF($HD36=0,999999,IF(2=$HE36,IF(31=$HL36,IF($JD36=2,30,0),IF(31=$HM36,IF($JD36=1,30,0),ABS(7-$HF36)*100)),100000+ABS(2-$HE36)*1000+70)),IF($HG36=0,999999,IF(2=$HH36,IF(31=$HN36,IF($JE36=2,30,0),IF(31=$HO36,IF($JE36=1,30,0),ABS(7-$HI36)*100)),100000+ABS(2-$HH36)*1000+70)))-IF((31=$HJ36)+(31=$HK36)+(31=$HL36)+(31=$HM36)+(31=$HN36)+(31=$HO36)&gt;=2,50,0))+AH$5*50)</f>
        <v/>
      </c>
      <c r="AI156">
        <f>IF(OR($JF36=0,calcA!$A$6=0),0,IF(OR(32=$HA36,32=$HD36,32=$HG36),200000,MIN(IF($HA36=0,999999,IF(2=$HB36,IF(32=$HJ36,IF($JC36=2,30,0),IF(32=$HK36,IF($JC36=1,30,0),ABS(8-$HC36)*100)),100000+ABS(2-$HB36)*1000+80)),IF($HD36=0,999999,IF(2=$HE36,IF(32=$HL36,IF($JD36=2,30,0),IF(32=$HM36,IF($JD36=1,30,0),ABS(8-$HF36)*100)),100000+ABS(2-$HE36)*1000+80)),IF($HG36=0,999999,IF(2=$HH36,IF(32=$HN36,IF($JE36=2,30,0),IF(32=$HO36,IF($JE36=1,30,0),ABS(8-$HI36)*100)),100000+ABS(2-$HH36)*1000+80)))-IF((32=$HJ36)+(32=$HK36)+(32=$HL36)+(32=$HM36)+(32=$HN36)+(32=$HO36)&gt;=2,50,0))+AI$5*50)</f>
        <v/>
      </c>
      <c r="AJ156">
        <f>IF(OR($JF36=0,calcA!$A$6=0),0,IF(OR(33=$HA36,33=$HD36,33=$HG36),200000,MIN(IF($HA36=0,999999,IF(2=$HB36,IF(33=$HJ36,IF($JC36=2,30,0),IF(33=$HK36,IF($JC36=1,30,0),ABS(9-$HC36)*100)),100000+ABS(2-$HB36)*1000+90)),IF($HD36=0,999999,IF(2=$HE36,IF(33=$HL36,IF($JD36=2,30,0),IF(33=$HM36,IF($JD36=1,30,0),ABS(9-$HF36)*100)),100000+ABS(2-$HE36)*1000+90)),IF($HG36=0,999999,IF(2=$HH36,IF(33=$HN36,IF($JE36=2,30,0),IF(33=$HO36,IF($JE36=1,30,0),ABS(9-$HI36)*100)),100000+ABS(2-$HH36)*1000+90)))-IF((33=$HJ36)+(33=$HK36)+(33=$HL36)+(33=$HM36)+(33=$HN36)+(33=$HO36)&gt;=2,50,0))+AJ$5*50)</f>
        <v/>
      </c>
      <c r="AK156">
        <f>IF(OR($JF36=0,calcA!$A$6=0),0,IF(OR(34=$HA36,34=$HD36,34=$HG36),200000,MIN(IF($HA36=0,999999,IF(2=$HB36,IF(34=$HJ36,IF($JC36=2,30,0),IF(34=$HK36,IF($JC36=1,30,0),ABS(10-$HC36)*100)),100000+ABS(2-$HB36)*1000+100)),IF($HD36=0,999999,IF(2=$HE36,IF(34=$HL36,IF($JD36=2,30,0),IF(34=$HM36,IF($JD36=1,30,0),ABS(10-$HF36)*100)),100000+ABS(2-$HE36)*1000+100)),IF($HG36=0,999999,IF(2=$HH36,IF(34=$HN36,IF($JE36=2,30,0),IF(34=$HO36,IF($JE36=1,30,0),ABS(10-$HI36)*100)),100000+ABS(2-$HH36)*1000+100)))-IF((34=$HJ36)+(34=$HK36)+(34=$HL36)+(34=$HM36)+(34=$HN36)+(34=$HO36)&gt;=2,50,0))+AK$5*50)</f>
        <v/>
      </c>
      <c r="AL156">
        <f>IF(OR($JF36=0,calcA!$A$6=0),0,IF(OR(35=$HA36,35=$HD36,35=$HG36),200000,MIN(IF($HA36=0,999999,IF(2=$HB36,IF(35=$HJ36,IF($JC36=2,30,0),IF(35=$HK36,IF($JC36=1,30,0),ABS(11-$HC36)*100)),100000+ABS(2-$HB36)*1000+110)),IF($HD36=0,999999,IF(2=$HE36,IF(35=$HL36,IF($JD36=2,30,0),IF(35=$HM36,IF($JD36=1,30,0),ABS(11-$HF36)*100)),100000+ABS(2-$HE36)*1000+110)),IF($HG36=0,999999,IF(2=$HH36,IF(35=$HN36,IF($JE36=2,30,0),IF(35=$HO36,IF($JE36=1,30,0),ABS(11-$HI36)*100)),100000+ABS(2-$HH36)*1000+110)))-IF((35=$HJ36)+(35=$HK36)+(35=$HL36)+(35=$HM36)+(35=$HN36)+(35=$HO36)&gt;=2,50,0))+AL$5*50)</f>
        <v/>
      </c>
      <c r="AM156">
        <f>IF(OR($JF36=0,calcA!$A$6=0),0,IF(OR(36=$HA36,36=$HD36,36=$HG36),200000,MIN(IF($HA36=0,999999,IF(2=$HB36,IF(36=$HJ36,IF($JC36=2,30,0),IF(36=$HK36,IF($JC36=1,30,0),ABS(12-$HC36)*100)),100000+ABS(2-$HB36)*1000+120)),IF($HD36=0,999999,IF(2=$HE36,IF(36=$HL36,IF($JD36=2,30,0),IF(36=$HM36,IF($JD36=1,30,0),ABS(12-$HF36)*100)),100000+ABS(2-$HE36)*1000+120)),IF($HG36=0,999999,IF(2=$HH36,IF(36=$HN36,IF($JE36=2,30,0),IF(36=$HO36,IF($JE36=1,30,0),ABS(12-$HI36)*100)),100000+ABS(2-$HH36)*1000+120)))-IF((36=$HJ36)+(36=$HK36)+(36=$HL36)+(36=$HM36)+(36=$HN36)+(36=$HO36)&gt;=2,50,0))+AM$5*50)</f>
        <v/>
      </c>
      <c r="AN156">
        <f>IF(OR($JF36=0,calcA!$A$6=0),0,IF(OR(37=$HA36,37=$HD36,37=$HG36),200000,MIN(IF($HA36=0,999999,IF(2=$HB36,IF(37=$HJ36,IF($JC36=2,30,0),IF(37=$HK36,IF($JC36=1,30,0),ABS(13-$HC36)*100)),100000+ABS(2-$HB36)*1000+130)),IF($HD36=0,999999,IF(2=$HE36,IF(37=$HL36,IF($JD36=2,30,0),IF(37=$HM36,IF($JD36=1,30,0),ABS(13-$HF36)*100)),100000+ABS(2-$HE36)*1000+130)),IF($HG36=0,999999,IF(2=$HH36,IF(37=$HN36,IF($JE36=2,30,0),IF(37=$HO36,IF($JE36=1,30,0),ABS(13-$HI36)*100)),100000+ABS(2-$HH36)*1000+130)))-IF((37=$HJ36)+(37=$HK36)+(37=$HL36)+(37=$HM36)+(37=$HN36)+(37=$HO36)&gt;=2,50,0))+AN$5*50)</f>
        <v/>
      </c>
      <c r="AO156">
        <f>IF(OR($JF36=0,calcA!$A$6=0),0,IF(OR(38=$HA36,38=$HD36,38=$HG36),200000,MIN(IF($HA36=0,999999,IF(2=$HB36,IF(38=$HJ36,IF($JC36=2,30,0),IF(38=$HK36,IF($JC36=1,30,0),ABS(14-$HC36)*100)),100000+ABS(2-$HB36)*1000+140)),IF($HD36=0,999999,IF(2=$HE36,IF(38=$HL36,IF($JD36=2,30,0),IF(38=$HM36,IF($JD36=1,30,0),ABS(14-$HF36)*100)),100000+ABS(2-$HE36)*1000+140)),IF($HG36=0,999999,IF(2=$HH36,IF(38=$HN36,IF($JE36=2,30,0),IF(38=$HO36,IF($JE36=1,30,0),ABS(14-$HI36)*100)),100000+ABS(2-$HH36)*1000+140)))-IF((38=$HJ36)+(38=$HK36)+(38=$HL36)+(38=$HM36)+(38=$HN36)+(38=$HO36)&gt;=2,50,0))+AO$5*50)</f>
        <v/>
      </c>
      <c r="AP156">
        <f>IF(OR($JF36=0,calcA!$A$6=0),0,IF(OR(39=$HA36,39=$HD36,39=$HG36),200000,MIN(IF($HA36=0,999999,IF(2=$HB36,IF(39=$HJ36,IF($JC36=2,30,0),IF(39=$HK36,IF($JC36=1,30,0),ABS(15-$HC36)*100)),100000+ABS(2-$HB36)*1000+150)),IF($HD36=0,999999,IF(2=$HE36,IF(39=$HL36,IF($JD36=2,30,0),IF(39=$HM36,IF($JD36=1,30,0),ABS(15-$HF36)*100)),100000+ABS(2-$HE36)*1000+150)),IF($HG36=0,999999,IF(2=$HH36,IF(39=$HN36,IF($JE36=2,30,0),IF(39=$HO36,IF($JE36=1,30,0),ABS(15-$HI36)*100)),100000+ABS(2-$HH36)*1000+150)))-IF((39=$HJ36)+(39=$HK36)+(39=$HL36)+(39=$HM36)+(39=$HN36)+(39=$HO36)&gt;=2,50,0))+AP$5*50)</f>
        <v/>
      </c>
      <c r="AQ156">
        <f>IF(OR($JF36=0,calcA!$A$6=0),0,IF(OR(40=$HA36,40=$HD36,40=$HG36),200000,MIN(IF($HA36=0,999999,IF(2=$HB36,IF(40=$HJ36,IF($JC36=2,30,0),IF(40=$HK36,IF($JC36=1,30,0),ABS(16-$HC36)*100)),100000+ABS(2-$HB36)*1000+160)),IF($HD36=0,999999,IF(2=$HE36,IF(40=$HL36,IF($JD36=2,30,0),IF(40=$HM36,IF($JD36=1,30,0),ABS(16-$HF36)*100)),100000+ABS(2-$HE36)*1000+160)),IF($HG36=0,999999,IF(2=$HH36,IF(40=$HN36,IF($JE36=2,30,0),IF(40=$HO36,IF($JE36=1,30,0),ABS(16-$HI36)*100)),100000+ABS(2-$HH36)*1000+160)))-IF((40=$HJ36)+(40=$HK36)+(40=$HL36)+(40=$HM36)+(40=$HN36)+(40=$HO36)&gt;=2,50,0))+AQ$5*50)</f>
        <v/>
      </c>
      <c r="AR156">
        <f>IF(OR($JF36=0,calcA!$A$6=0),0,IF(OR(41=$HA36,41=$HD36,41=$HG36),200000,MIN(IF($HA36=0,999999,IF(2=$HB36,IF(41=$HJ36,IF($JC36=2,30,0),IF(41=$HK36,IF($JC36=1,30,0),ABS(17-$HC36)*100)),100000+ABS(2-$HB36)*1000+170)),IF($HD36=0,999999,IF(2=$HE36,IF(41=$HL36,IF($JD36=2,30,0),IF(41=$HM36,IF($JD36=1,30,0),ABS(17-$HF36)*100)),100000+ABS(2-$HE36)*1000+170)),IF($HG36=0,999999,IF(2=$HH36,IF(41=$HN36,IF($JE36=2,30,0),IF(41=$HO36,IF($JE36=1,30,0),ABS(17-$HI36)*100)),100000+ABS(2-$HH36)*1000+170)))-IF((41=$HJ36)+(41=$HK36)+(41=$HL36)+(41=$HM36)+(41=$HN36)+(41=$HO36)&gt;=2,50,0))+AR$5*50)</f>
        <v/>
      </c>
      <c r="AS156">
        <f>IF(OR($JF36=0,calcA!$A$6=0),0,IF(OR(42=$HA36,42=$HD36,42=$HG36),200000,MIN(IF($HA36=0,999999,IF(2=$HB36,IF(42=$HJ36,IF($JC36=2,30,0),IF(42=$HK36,IF($JC36=1,30,0),ABS(18-$HC36)*100)),100000+ABS(2-$HB36)*1000+180)),IF($HD36=0,999999,IF(2=$HE36,IF(42=$HL36,IF($JD36=2,30,0),IF(42=$HM36,IF($JD36=1,30,0),ABS(18-$HF36)*100)),100000+ABS(2-$HE36)*1000+180)),IF($HG36=0,999999,IF(2=$HH36,IF(42=$HN36,IF($JE36=2,30,0),IF(42=$HO36,IF($JE36=1,30,0),ABS(18-$HI36)*100)),100000+ABS(2-$HH36)*1000+180)))-IF((42=$HJ36)+(42=$HK36)+(42=$HL36)+(42=$HM36)+(42=$HN36)+(42=$HO36)&gt;=2,50,0))+AS$5*50)</f>
        <v/>
      </c>
      <c r="AT156">
        <f>IF(OR($JF36=0,calcA!$A$6=0),0,IF(OR(43=$HA36,43=$HD36,43=$HG36),200000,MIN(IF($HA36=0,999999,IF(2=$HB36,IF(43=$HJ36,IF($JC36=2,30,0),IF(43=$HK36,IF($JC36=1,30,0),ABS(19-$HC36)*100)),100000+ABS(2-$HB36)*1000+190)),IF($HD36=0,999999,IF(2=$HE36,IF(43=$HL36,IF($JD36=2,30,0),IF(43=$HM36,IF($JD36=1,30,0),ABS(19-$HF36)*100)),100000+ABS(2-$HE36)*1000+190)),IF($HG36=0,999999,IF(2=$HH36,IF(43=$HN36,IF($JE36=2,30,0),IF(43=$HO36,IF($JE36=1,30,0),ABS(19-$HI36)*100)),100000+ABS(2-$HH36)*1000+190)))-IF((43=$HJ36)+(43=$HK36)+(43=$HL36)+(43=$HM36)+(43=$HN36)+(43=$HO36)&gt;=2,50,0))+AT$5*50)</f>
        <v/>
      </c>
      <c r="AU156">
        <f>IF(OR($JF36=0,calcA!$A$6=0),0,IF(OR(44=$HA36,44=$HD36,44=$HG36),200000,MIN(IF($HA36=0,999999,IF(2=$HB36,IF(44=$HJ36,IF($JC36=2,30,0),IF(44=$HK36,IF($JC36=1,30,0),ABS(20-$HC36)*100)),100000+ABS(2-$HB36)*1000+200)),IF($HD36=0,999999,IF(2=$HE36,IF(44=$HL36,IF($JD36=2,30,0),IF(44=$HM36,IF($JD36=1,30,0),ABS(20-$HF36)*100)),100000+ABS(2-$HE36)*1000+200)),IF($HG36=0,999999,IF(2=$HH36,IF(44=$HN36,IF($JE36=2,30,0),IF(44=$HO36,IF($JE36=1,30,0),ABS(20-$HI36)*100)),100000+ABS(2-$HH36)*1000+200)))-IF((44=$HJ36)+(44=$HK36)+(44=$HL36)+(44=$HM36)+(44=$HN36)+(44=$HO36)&gt;=2,50,0))+AU$5*50)</f>
        <v/>
      </c>
      <c r="AV156">
        <f>IF(OR($JF36=0,calcA!$A$6=0),0,IF(OR(45=$HA36,45=$HD36,45=$HG36),200000,MIN(IF($HA36=0,999999,IF(2=$HB36,IF(45=$HJ36,IF($JC36=2,30,0),IF(45=$HK36,IF($JC36=1,30,0),ABS(21-$HC36)*100)),100000+ABS(2-$HB36)*1000+210)),IF($HD36=0,999999,IF(2=$HE36,IF(45=$HL36,IF($JD36=2,30,0),IF(45=$HM36,IF($JD36=1,30,0),ABS(21-$HF36)*100)),100000+ABS(2-$HE36)*1000+210)),IF($HG36=0,999999,IF(2=$HH36,IF(45=$HN36,IF($JE36=2,30,0),IF(45=$HO36,IF($JE36=1,30,0),ABS(21-$HI36)*100)),100000+ABS(2-$HH36)*1000+210)))-IF((45=$HJ36)+(45=$HK36)+(45=$HL36)+(45=$HM36)+(45=$HN36)+(45=$HO36)&gt;=2,50,0))+AV$5*50)</f>
        <v/>
      </c>
      <c r="AW156">
        <f>IF(OR($JF36=0,calcA!$A$6=0),0,IF(OR(46=$HA36,46=$HD36,46=$HG36),200000,MIN(IF($HA36=0,999999,IF(2=$HB36,IF(46=$HJ36,IF($JC36=2,30,0),IF(46=$HK36,IF($JC36=1,30,0),ABS(22-$HC36)*100)),100000+ABS(2-$HB36)*1000+220)),IF($HD36=0,999999,IF(2=$HE36,IF(46=$HL36,IF($JD36=2,30,0),IF(46=$HM36,IF($JD36=1,30,0),ABS(22-$HF36)*100)),100000+ABS(2-$HE36)*1000+220)),IF($HG36=0,999999,IF(2=$HH36,IF(46=$HN36,IF($JE36=2,30,0),IF(46=$HO36,IF($JE36=1,30,0),ABS(22-$HI36)*100)),100000+ABS(2-$HH36)*1000+220)))-IF((46=$HJ36)+(46=$HK36)+(46=$HL36)+(46=$HM36)+(46=$HN36)+(46=$HO36)&gt;=2,50,0))+AW$5*50)</f>
        <v/>
      </c>
      <c r="AX156">
        <f>IF(OR($JF36=0,calcA!$A$6=0),0,IF(OR(47=$HA36,47=$HD36,47=$HG36),200000,MIN(IF($HA36=0,999999,IF(2=$HB36,IF(47=$HJ36,IF($JC36=2,30,0),IF(47=$HK36,IF($JC36=1,30,0),ABS(23-$HC36)*100)),100000+ABS(2-$HB36)*1000+230)),IF($HD36=0,999999,IF(2=$HE36,IF(47=$HL36,IF($JD36=2,30,0),IF(47=$HM36,IF($JD36=1,30,0),ABS(23-$HF36)*100)),100000+ABS(2-$HE36)*1000+230)),IF($HG36=0,999999,IF(2=$HH36,IF(47=$HN36,IF($JE36=2,30,0),IF(47=$HO36,IF($JE36=1,30,0),ABS(23-$HI36)*100)),100000+ABS(2-$HH36)*1000+230)))-IF((47=$HJ36)+(47=$HK36)+(47=$HL36)+(47=$HM36)+(47=$HN36)+(47=$HO36)&gt;=2,50,0))+AX$5*50)</f>
        <v/>
      </c>
      <c r="AY156">
        <f>IF(OR($JF36=0,calcA!$A$6=0),0,IF(OR(48=$HA36,48=$HD36,48=$HG36),200000,MIN(IF($HA36=0,999999,IF(2=$HB36,IF(48=$HJ36,IF($JC36=2,30,0),IF(48=$HK36,IF($JC36=1,30,0),ABS(24-$HC36)*100)),100000+ABS(2-$HB36)*1000+240)),IF($HD36=0,999999,IF(2=$HE36,IF(48=$HL36,IF($JD36=2,30,0),IF(48=$HM36,IF($JD36=1,30,0),ABS(24-$HF36)*100)),100000+ABS(2-$HE36)*1000+240)),IF($HG36=0,999999,IF(2=$HH36,IF(48=$HN36,IF($JE36=2,30,0),IF(48=$HO36,IF($JE36=1,30,0),ABS(24-$HI36)*100)),100000+ABS(2-$HH36)*1000+240)))-IF((48=$HJ36)+(48=$HK36)+(48=$HL36)+(48=$HM36)+(48=$HN36)+(48=$HO36)&gt;=2,50,0))+AY$5*50)</f>
        <v/>
      </c>
      <c r="AZ156">
        <f>IF(OR($JF36=0,calcA!$A$6=0),0,IF(OR(49=$HA36,49=$HD36,49=$HG36),200000,MIN(IF($HA36=0,999999,IF(3=$HB36,IF(49=$HJ36,IF($JC36=2,30,0),IF(49=$HK36,IF($JC36=1,30,0),ABS(1-$HC36)*100)),100000+ABS(3-$HB36)*1000+10)),IF($HD36=0,999999,IF(3=$HE36,IF(49=$HL36,IF($JD36=2,30,0),IF(49=$HM36,IF($JD36=1,30,0),ABS(1-$HF36)*100)),100000+ABS(3-$HE36)*1000+10)),IF($HG36=0,999999,IF(3=$HH36,IF(49=$HN36,IF($JE36=2,30,0),IF(49=$HO36,IF($JE36=1,30,0),ABS(1-$HI36)*100)),100000+ABS(3-$HH36)*1000+10)))-IF((49=$HJ36)+(49=$HK36)+(49=$HL36)+(49=$HM36)+(49=$HN36)+(49=$HO36)&gt;=2,50,0))+AZ$5*50)</f>
        <v/>
      </c>
      <c r="BA156">
        <f>IF(OR($JF36=0,calcA!$A$6=0),0,IF(OR(50=$HA36,50=$HD36,50=$HG36),200000,MIN(IF($HA36=0,999999,IF(3=$HB36,IF(50=$HJ36,IF($JC36=2,30,0),IF(50=$HK36,IF($JC36=1,30,0),ABS(2-$HC36)*100)),100000+ABS(3-$HB36)*1000+20)),IF($HD36=0,999999,IF(3=$HE36,IF(50=$HL36,IF($JD36=2,30,0),IF(50=$HM36,IF($JD36=1,30,0),ABS(2-$HF36)*100)),100000+ABS(3-$HE36)*1000+20)),IF($HG36=0,999999,IF(3=$HH36,IF(50=$HN36,IF($JE36=2,30,0),IF(50=$HO36,IF($JE36=1,30,0),ABS(2-$HI36)*100)),100000+ABS(3-$HH36)*1000+20)))-IF((50=$HJ36)+(50=$HK36)+(50=$HL36)+(50=$HM36)+(50=$HN36)+(50=$HO36)&gt;=2,50,0))+BA$5*50)</f>
        <v/>
      </c>
      <c r="BB156">
        <f>IF(OR($JF36=0,calcA!$A$6=0),0,IF(OR(51=$HA36,51=$HD36,51=$HG36),200000,MIN(IF($HA36=0,999999,IF(3=$HB36,IF(51=$HJ36,IF($JC36=2,30,0),IF(51=$HK36,IF($JC36=1,30,0),ABS(3-$HC36)*100)),100000+ABS(3-$HB36)*1000+30)),IF($HD36=0,999999,IF(3=$HE36,IF(51=$HL36,IF($JD36=2,30,0),IF(51=$HM36,IF($JD36=1,30,0),ABS(3-$HF36)*100)),100000+ABS(3-$HE36)*1000+30)),IF($HG36=0,999999,IF(3=$HH36,IF(51=$HN36,IF($JE36=2,30,0),IF(51=$HO36,IF($JE36=1,30,0),ABS(3-$HI36)*100)),100000+ABS(3-$HH36)*1000+30)))-IF((51=$HJ36)+(51=$HK36)+(51=$HL36)+(51=$HM36)+(51=$HN36)+(51=$HO36)&gt;=2,50,0))+BB$5*50)</f>
        <v/>
      </c>
      <c r="BC156">
        <f>IF(OR($JF36=0,calcA!$A$6=0),0,IF(OR(52=$HA36,52=$HD36,52=$HG36),200000,MIN(IF($HA36=0,999999,IF(3=$HB36,IF(52=$HJ36,IF($JC36=2,30,0),IF(52=$HK36,IF($JC36=1,30,0),ABS(4-$HC36)*100)),100000+ABS(3-$HB36)*1000+40)),IF($HD36=0,999999,IF(3=$HE36,IF(52=$HL36,IF($JD36=2,30,0),IF(52=$HM36,IF($JD36=1,30,0),ABS(4-$HF36)*100)),100000+ABS(3-$HE36)*1000+40)),IF($HG36=0,999999,IF(3=$HH36,IF(52=$HN36,IF($JE36=2,30,0),IF(52=$HO36,IF($JE36=1,30,0),ABS(4-$HI36)*100)),100000+ABS(3-$HH36)*1000+40)))-IF((52=$HJ36)+(52=$HK36)+(52=$HL36)+(52=$HM36)+(52=$HN36)+(52=$HO36)&gt;=2,50,0))+BC$5*50)</f>
        <v/>
      </c>
      <c r="BD156">
        <f>IF(OR($JF36=0,calcA!$A$6=0),0,IF(OR(53=$HA36,53=$HD36,53=$HG36),200000,MIN(IF($HA36=0,999999,IF(3=$HB36,IF(53=$HJ36,IF($JC36=2,30,0),IF(53=$HK36,IF($JC36=1,30,0),ABS(5-$HC36)*100)),100000+ABS(3-$HB36)*1000+50)),IF($HD36=0,999999,IF(3=$HE36,IF(53=$HL36,IF($JD36=2,30,0),IF(53=$HM36,IF($JD36=1,30,0),ABS(5-$HF36)*100)),100000+ABS(3-$HE36)*1000+50)),IF($HG36=0,999999,IF(3=$HH36,IF(53=$HN36,IF($JE36=2,30,0),IF(53=$HO36,IF($JE36=1,30,0),ABS(5-$HI36)*100)),100000+ABS(3-$HH36)*1000+50)))-IF((53=$HJ36)+(53=$HK36)+(53=$HL36)+(53=$HM36)+(53=$HN36)+(53=$HO36)&gt;=2,50,0))+BD$5*50)</f>
        <v/>
      </c>
      <c r="BE156">
        <f>IF(OR($JF36=0,calcA!$A$6=0),0,IF(OR(54=$HA36,54=$HD36,54=$HG36),200000,MIN(IF($HA36=0,999999,IF(3=$HB36,IF(54=$HJ36,IF($JC36=2,30,0),IF(54=$HK36,IF($JC36=1,30,0),ABS(6-$HC36)*100)),100000+ABS(3-$HB36)*1000+60)),IF($HD36=0,999999,IF(3=$HE36,IF(54=$HL36,IF($JD36=2,30,0),IF(54=$HM36,IF($JD36=1,30,0),ABS(6-$HF36)*100)),100000+ABS(3-$HE36)*1000+60)),IF($HG36=0,999999,IF(3=$HH36,IF(54=$HN36,IF($JE36=2,30,0),IF(54=$HO36,IF($JE36=1,30,0),ABS(6-$HI36)*100)),100000+ABS(3-$HH36)*1000+60)))-IF((54=$HJ36)+(54=$HK36)+(54=$HL36)+(54=$HM36)+(54=$HN36)+(54=$HO36)&gt;=2,50,0))+BE$5*50)</f>
        <v/>
      </c>
      <c r="BF156">
        <f>IF(OR($JF36=0,calcA!$A$6=0),0,IF(OR(55=$HA36,55=$HD36,55=$HG36),200000,MIN(IF($HA36=0,999999,IF(3=$HB36,IF(55=$HJ36,IF($JC36=2,30,0),IF(55=$HK36,IF($JC36=1,30,0),ABS(7-$HC36)*100)),100000+ABS(3-$HB36)*1000+70)),IF($HD36=0,999999,IF(3=$HE36,IF(55=$HL36,IF($JD36=2,30,0),IF(55=$HM36,IF($JD36=1,30,0),ABS(7-$HF36)*100)),100000+ABS(3-$HE36)*1000+70)),IF($HG36=0,999999,IF(3=$HH36,IF(55=$HN36,IF($JE36=2,30,0),IF(55=$HO36,IF($JE36=1,30,0),ABS(7-$HI36)*100)),100000+ABS(3-$HH36)*1000+70)))-IF((55=$HJ36)+(55=$HK36)+(55=$HL36)+(55=$HM36)+(55=$HN36)+(55=$HO36)&gt;=2,50,0))+BF$5*50)</f>
        <v/>
      </c>
      <c r="BG156">
        <f>IF(OR($JF36=0,calcA!$A$6=0),0,IF(OR(56=$HA36,56=$HD36,56=$HG36),200000,MIN(IF($HA36=0,999999,IF(3=$HB36,IF(56=$HJ36,IF($JC36=2,30,0),IF(56=$HK36,IF($JC36=1,30,0),ABS(8-$HC36)*100)),100000+ABS(3-$HB36)*1000+80)),IF($HD36=0,999999,IF(3=$HE36,IF(56=$HL36,IF($JD36=2,30,0),IF(56=$HM36,IF($JD36=1,30,0),ABS(8-$HF36)*100)),100000+ABS(3-$HE36)*1000+80)),IF($HG36=0,999999,IF(3=$HH36,IF(56=$HN36,IF($JE36=2,30,0),IF(56=$HO36,IF($JE36=1,30,0),ABS(8-$HI36)*100)),100000+ABS(3-$HH36)*1000+80)))-IF((56=$HJ36)+(56=$HK36)+(56=$HL36)+(56=$HM36)+(56=$HN36)+(56=$HO36)&gt;=2,50,0))+BG$5*50)</f>
        <v/>
      </c>
      <c r="BH156">
        <f>IF(OR($JF36=0,calcA!$A$6=0),0,IF(OR(57=$HA36,57=$HD36,57=$HG36),200000,MIN(IF($HA36=0,999999,IF(3=$HB36,IF(57=$HJ36,IF($JC36=2,30,0),IF(57=$HK36,IF($JC36=1,30,0),ABS(9-$HC36)*100)),100000+ABS(3-$HB36)*1000+90)),IF($HD36=0,999999,IF(3=$HE36,IF(57=$HL36,IF($JD36=2,30,0),IF(57=$HM36,IF($JD36=1,30,0),ABS(9-$HF36)*100)),100000+ABS(3-$HE36)*1000+90)),IF($HG36=0,999999,IF(3=$HH36,IF(57=$HN36,IF($JE36=2,30,0),IF(57=$HO36,IF($JE36=1,30,0),ABS(9-$HI36)*100)),100000+ABS(3-$HH36)*1000+90)))-IF((57=$HJ36)+(57=$HK36)+(57=$HL36)+(57=$HM36)+(57=$HN36)+(57=$HO36)&gt;=2,50,0))+BH$5*50)</f>
        <v/>
      </c>
      <c r="BI156">
        <f>IF(OR($JF36=0,calcA!$A$6=0),0,IF(OR(58=$HA36,58=$HD36,58=$HG36),200000,MIN(IF($HA36=0,999999,IF(3=$HB36,IF(58=$HJ36,IF($JC36=2,30,0),IF(58=$HK36,IF($JC36=1,30,0),ABS(10-$HC36)*100)),100000+ABS(3-$HB36)*1000+100)),IF($HD36=0,999999,IF(3=$HE36,IF(58=$HL36,IF($JD36=2,30,0),IF(58=$HM36,IF($JD36=1,30,0),ABS(10-$HF36)*100)),100000+ABS(3-$HE36)*1000+100)),IF($HG36=0,999999,IF(3=$HH36,IF(58=$HN36,IF($JE36=2,30,0),IF(58=$HO36,IF($JE36=1,30,0),ABS(10-$HI36)*100)),100000+ABS(3-$HH36)*1000+100)))-IF((58=$HJ36)+(58=$HK36)+(58=$HL36)+(58=$HM36)+(58=$HN36)+(58=$HO36)&gt;=2,50,0))+BI$5*50)</f>
        <v/>
      </c>
      <c r="BJ156">
        <f>IF(OR($JF36=0,calcA!$A$6=0),0,IF(OR(59=$HA36,59=$HD36,59=$HG36),200000,MIN(IF($HA36=0,999999,IF(3=$HB36,IF(59=$HJ36,IF($JC36=2,30,0),IF(59=$HK36,IF($JC36=1,30,0),ABS(11-$HC36)*100)),100000+ABS(3-$HB36)*1000+110)),IF($HD36=0,999999,IF(3=$HE36,IF(59=$HL36,IF($JD36=2,30,0),IF(59=$HM36,IF($JD36=1,30,0),ABS(11-$HF36)*100)),100000+ABS(3-$HE36)*1000+110)),IF($HG36=0,999999,IF(3=$HH36,IF(59=$HN36,IF($JE36=2,30,0),IF(59=$HO36,IF($JE36=1,30,0),ABS(11-$HI36)*100)),100000+ABS(3-$HH36)*1000+110)))-IF((59=$HJ36)+(59=$HK36)+(59=$HL36)+(59=$HM36)+(59=$HN36)+(59=$HO36)&gt;=2,50,0))+BJ$5*50)</f>
        <v/>
      </c>
      <c r="BK156">
        <f>IF(OR($JF36=0,calcA!$A$6=0),0,IF(OR(60=$HA36,60=$HD36,60=$HG36),200000,MIN(IF($HA36=0,999999,IF(3=$HB36,IF(60=$HJ36,IF($JC36=2,30,0),IF(60=$HK36,IF($JC36=1,30,0),ABS(12-$HC36)*100)),100000+ABS(3-$HB36)*1000+120)),IF($HD36=0,999999,IF(3=$HE36,IF(60=$HL36,IF($JD36=2,30,0),IF(60=$HM36,IF($JD36=1,30,0),ABS(12-$HF36)*100)),100000+ABS(3-$HE36)*1000+120)),IF($HG36=0,999999,IF(3=$HH36,IF(60=$HN36,IF($JE36=2,30,0),IF(60=$HO36,IF($JE36=1,30,0),ABS(12-$HI36)*100)),100000+ABS(3-$HH36)*1000+120)))-IF((60=$HJ36)+(60=$HK36)+(60=$HL36)+(60=$HM36)+(60=$HN36)+(60=$HO36)&gt;=2,50,0))+BK$5*50)</f>
        <v/>
      </c>
      <c r="BL156">
        <f>IF(OR($JF36=0,calcA!$A$6=0),0,IF(OR(61=$HA36,61=$HD36,61=$HG36),200000,MIN(IF($HA36=0,999999,IF(3=$HB36,IF(61=$HJ36,IF($JC36=2,30,0),IF(61=$HK36,IF($JC36=1,30,0),ABS(13-$HC36)*100)),100000+ABS(3-$HB36)*1000+130)),IF($HD36=0,999999,IF(3=$HE36,IF(61=$HL36,IF($JD36=2,30,0),IF(61=$HM36,IF($JD36=1,30,0),ABS(13-$HF36)*100)),100000+ABS(3-$HE36)*1000+130)),IF($HG36=0,999999,IF(3=$HH36,IF(61=$HN36,IF($JE36=2,30,0),IF(61=$HO36,IF($JE36=1,30,0),ABS(13-$HI36)*100)),100000+ABS(3-$HH36)*1000+130)))-IF((61=$HJ36)+(61=$HK36)+(61=$HL36)+(61=$HM36)+(61=$HN36)+(61=$HO36)&gt;=2,50,0))+BL$5*50)</f>
        <v/>
      </c>
      <c r="BM156">
        <f>IF(OR($JF36=0,calcA!$A$6=0),0,IF(OR(62=$HA36,62=$HD36,62=$HG36),200000,MIN(IF($HA36=0,999999,IF(3=$HB36,IF(62=$HJ36,IF($JC36=2,30,0),IF(62=$HK36,IF($JC36=1,30,0),ABS(14-$HC36)*100)),100000+ABS(3-$HB36)*1000+140)),IF($HD36=0,999999,IF(3=$HE36,IF(62=$HL36,IF($JD36=2,30,0),IF(62=$HM36,IF($JD36=1,30,0),ABS(14-$HF36)*100)),100000+ABS(3-$HE36)*1000+140)),IF($HG36=0,999999,IF(3=$HH36,IF(62=$HN36,IF($JE36=2,30,0),IF(62=$HO36,IF($JE36=1,30,0),ABS(14-$HI36)*100)),100000+ABS(3-$HH36)*1000+140)))-IF((62=$HJ36)+(62=$HK36)+(62=$HL36)+(62=$HM36)+(62=$HN36)+(62=$HO36)&gt;=2,50,0))+BM$5*50)</f>
        <v/>
      </c>
      <c r="BN156">
        <f>IF(OR($JF36=0,calcA!$A$6=0),0,IF(OR(63=$HA36,63=$HD36,63=$HG36),200000,MIN(IF($HA36=0,999999,IF(3=$HB36,IF(63=$HJ36,IF($JC36=2,30,0),IF(63=$HK36,IF($JC36=1,30,0),ABS(15-$HC36)*100)),100000+ABS(3-$HB36)*1000+150)),IF($HD36=0,999999,IF(3=$HE36,IF(63=$HL36,IF($JD36=2,30,0),IF(63=$HM36,IF($JD36=1,30,0),ABS(15-$HF36)*100)),100000+ABS(3-$HE36)*1000+150)),IF($HG36=0,999999,IF(3=$HH36,IF(63=$HN36,IF($JE36=2,30,0),IF(63=$HO36,IF($JE36=1,30,0),ABS(15-$HI36)*100)),100000+ABS(3-$HH36)*1000+150)))-IF((63=$HJ36)+(63=$HK36)+(63=$HL36)+(63=$HM36)+(63=$HN36)+(63=$HO36)&gt;=2,50,0))+BN$5*50)</f>
        <v/>
      </c>
      <c r="BO156">
        <f>IF(OR($JF36=0,calcA!$A$6=0),0,IF(OR(64=$HA36,64=$HD36,64=$HG36),200000,MIN(IF($HA36=0,999999,IF(3=$HB36,IF(64=$HJ36,IF($JC36=2,30,0),IF(64=$HK36,IF($JC36=1,30,0),ABS(16-$HC36)*100)),100000+ABS(3-$HB36)*1000+160)),IF($HD36=0,999999,IF(3=$HE36,IF(64=$HL36,IF($JD36=2,30,0),IF(64=$HM36,IF($JD36=1,30,0),ABS(16-$HF36)*100)),100000+ABS(3-$HE36)*1000+160)),IF($HG36=0,999999,IF(3=$HH36,IF(64=$HN36,IF($JE36=2,30,0),IF(64=$HO36,IF($JE36=1,30,0),ABS(16-$HI36)*100)),100000+ABS(3-$HH36)*1000+160)))-IF((64=$HJ36)+(64=$HK36)+(64=$HL36)+(64=$HM36)+(64=$HN36)+(64=$HO36)&gt;=2,50,0))+BO$5*50)</f>
        <v/>
      </c>
      <c r="BP156">
        <f>IF(OR($JF36=0,calcA!$A$6=0),0,IF(OR(65=$HA36,65=$HD36,65=$HG36),200000,MIN(IF($HA36=0,999999,IF(3=$HB36,IF(65=$HJ36,IF($JC36=2,30,0),IF(65=$HK36,IF($JC36=1,30,0),ABS(17-$HC36)*100)),100000+ABS(3-$HB36)*1000+170)),IF($HD36=0,999999,IF(3=$HE36,IF(65=$HL36,IF($JD36=2,30,0),IF(65=$HM36,IF($JD36=1,30,0),ABS(17-$HF36)*100)),100000+ABS(3-$HE36)*1000+170)),IF($HG36=0,999999,IF(3=$HH36,IF(65=$HN36,IF($JE36=2,30,0),IF(65=$HO36,IF($JE36=1,30,0),ABS(17-$HI36)*100)),100000+ABS(3-$HH36)*1000+170)))-IF((65=$HJ36)+(65=$HK36)+(65=$HL36)+(65=$HM36)+(65=$HN36)+(65=$HO36)&gt;=2,50,0))+BP$5*50)</f>
        <v/>
      </c>
      <c r="BQ156">
        <f>IF(OR($JF36=0,calcA!$A$6=0),0,IF(OR(66=$HA36,66=$HD36,66=$HG36),200000,MIN(IF($HA36=0,999999,IF(3=$HB36,IF(66=$HJ36,IF($JC36=2,30,0),IF(66=$HK36,IF($JC36=1,30,0),ABS(18-$HC36)*100)),100000+ABS(3-$HB36)*1000+180)),IF($HD36=0,999999,IF(3=$HE36,IF(66=$HL36,IF($JD36=2,30,0),IF(66=$HM36,IF($JD36=1,30,0),ABS(18-$HF36)*100)),100000+ABS(3-$HE36)*1000+180)),IF($HG36=0,999999,IF(3=$HH36,IF(66=$HN36,IF($JE36=2,30,0),IF(66=$HO36,IF($JE36=1,30,0),ABS(18-$HI36)*100)),100000+ABS(3-$HH36)*1000+180)))-IF((66=$HJ36)+(66=$HK36)+(66=$HL36)+(66=$HM36)+(66=$HN36)+(66=$HO36)&gt;=2,50,0))+BQ$5*50)</f>
        <v/>
      </c>
      <c r="BR156">
        <f>IF(OR($JF36=0,calcA!$A$6=0),0,IF(OR(67=$HA36,67=$HD36,67=$HG36),200000,MIN(IF($HA36=0,999999,IF(3=$HB36,IF(67=$HJ36,IF($JC36=2,30,0),IF(67=$HK36,IF($JC36=1,30,0),ABS(19-$HC36)*100)),100000+ABS(3-$HB36)*1000+190)),IF($HD36=0,999999,IF(3=$HE36,IF(67=$HL36,IF($JD36=2,30,0),IF(67=$HM36,IF($JD36=1,30,0),ABS(19-$HF36)*100)),100000+ABS(3-$HE36)*1000+190)),IF($HG36=0,999999,IF(3=$HH36,IF(67=$HN36,IF($JE36=2,30,0),IF(67=$HO36,IF($JE36=1,30,0),ABS(19-$HI36)*100)),100000+ABS(3-$HH36)*1000+190)))-IF((67=$HJ36)+(67=$HK36)+(67=$HL36)+(67=$HM36)+(67=$HN36)+(67=$HO36)&gt;=2,50,0))+BR$5*50)</f>
        <v/>
      </c>
      <c r="BS156">
        <f>IF(OR($JF36=0,calcA!$A$6=0),0,IF(OR(68=$HA36,68=$HD36,68=$HG36),200000,MIN(IF($HA36=0,999999,IF(3=$HB36,IF(68=$HJ36,IF($JC36=2,30,0),IF(68=$HK36,IF($JC36=1,30,0),ABS(20-$HC36)*100)),100000+ABS(3-$HB36)*1000+200)),IF($HD36=0,999999,IF(3=$HE36,IF(68=$HL36,IF($JD36=2,30,0),IF(68=$HM36,IF($JD36=1,30,0),ABS(20-$HF36)*100)),100000+ABS(3-$HE36)*1000+200)),IF($HG36=0,999999,IF(3=$HH36,IF(68=$HN36,IF($JE36=2,30,0),IF(68=$HO36,IF($JE36=1,30,0),ABS(20-$HI36)*100)),100000+ABS(3-$HH36)*1000+200)))-IF((68=$HJ36)+(68=$HK36)+(68=$HL36)+(68=$HM36)+(68=$HN36)+(68=$HO36)&gt;=2,50,0))+BS$5*50)</f>
        <v/>
      </c>
      <c r="BT156">
        <f>IF(OR($JF36=0,calcA!$A$6=0),0,IF(OR(69=$HA36,69=$HD36,69=$HG36),200000,MIN(IF($HA36=0,999999,IF(3=$HB36,IF(69=$HJ36,IF($JC36=2,30,0),IF(69=$HK36,IF($JC36=1,30,0),ABS(21-$HC36)*100)),100000+ABS(3-$HB36)*1000+210)),IF($HD36=0,999999,IF(3=$HE36,IF(69=$HL36,IF($JD36=2,30,0),IF(69=$HM36,IF($JD36=1,30,0),ABS(21-$HF36)*100)),100000+ABS(3-$HE36)*1000+210)),IF($HG36=0,999999,IF(3=$HH36,IF(69=$HN36,IF($JE36=2,30,0),IF(69=$HO36,IF($JE36=1,30,0),ABS(21-$HI36)*100)),100000+ABS(3-$HH36)*1000+210)))-IF((69=$HJ36)+(69=$HK36)+(69=$HL36)+(69=$HM36)+(69=$HN36)+(69=$HO36)&gt;=2,50,0))+BT$5*50)</f>
        <v/>
      </c>
      <c r="BU156">
        <f>IF(OR($JF36=0,calcA!$A$6=0),0,IF(OR(70=$HA36,70=$HD36,70=$HG36),200000,MIN(IF($HA36=0,999999,IF(3=$HB36,IF(70=$HJ36,IF($JC36=2,30,0),IF(70=$HK36,IF($JC36=1,30,0),ABS(22-$HC36)*100)),100000+ABS(3-$HB36)*1000+220)),IF($HD36=0,999999,IF(3=$HE36,IF(70=$HL36,IF($JD36=2,30,0),IF(70=$HM36,IF($JD36=1,30,0),ABS(22-$HF36)*100)),100000+ABS(3-$HE36)*1000+220)),IF($HG36=0,999999,IF(3=$HH36,IF(70=$HN36,IF($JE36=2,30,0),IF(70=$HO36,IF($JE36=1,30,0),ABS(22-$HI36)*100)),100000+ABS(3-$HH36)*1000+220)))-IF((70=$HJ36)+(70=$HK36)+(70=$HL36)+(70=$HM36)+(70=$HN36)+(70=$HO36)&gt;=2,50,0))+BU$5*50)</f>
        <v/>
      </c>
      <c r="BV156">
        <f>IF(OR($JF36=0,calcA!$A$6=0),0,IF(OR(71=$HA36,71=$HD36,71=$HG36),200000,MIN(IF($HA36=0,999999,IF(3=$HB36,IF(71=$HJ36,IF($JC36=2,30,0),IF(71=$HK36,IF($JC36=1,30,0),ABS(23-$HC36)*100)),100000+ABS(3-$HB36)*1000+230)),IF($HD36=0,999999,IF(3=$HE36,IF(71=$HL36,IF($JD36=2,30,0),IF(71=$HM36,IF($JD36=1,30,0),ABS(23-$HF36)*100)),100000+ABS(3-$HE36)*1000+230)),IF($HG36=0,999999,IF(3=$HH36,IF(71=$HN36,IF($JE36=2,30,0),IF(71=$HO36,IF($JE36=1,30,0),ABS(23-$HI36)*100)),100000+ABS(3-$HH36)*1000+230)))-IF((71=$HJ36)+(71=$HK36)+(71=$HL36)+(71=$HM36)+(71=$HN36)+(71=$HO36)&gt;=2,50,0))+BV$5*50)</f>
        <v/>
      </c>
      <c r="BW156">
        <f>IF(OR($JF36=0,calcA!$A$6=0),0,IF(OR(72=$HA36,72=$HD36,72=$HG36),200000,MIN(IF($HA36=0,999999,IF(3=$HB36,IF(72=$HJ36,IF($JC36=2,30,0),IF(72=$HK36,IF($JC36=1,30,0),ABS(24-$HC36)*100)),100000+ABS(3-$HB36)*1000+240)),IF($HD36=0,999999,IF(3=$HE36,IF(72=$HL36,IF($JD36=2,30,0),IF(72=$HM36,IF($JD36=1,30,0),ABS(24-$HF36)*100)),100000+ABS(3-$HE36)*1000+240)),IF($HG36=0,999999,IF(3=$HH36,IF(72=$HN36,IF($JE36=2,30,0),IF(72=$HO36,IF($JE36=1,30,0),ABS(24-$HI36)*100)),100000+ABS(3-$HH36)*1000+240)))-IF((72=$HJ36)+(72=$HK36)+(72=$HL36)+(72=$HM36)+(72=$HN36)+(72=$HO36)&gt;=2,50,0))+BW$5*50)</f>
        <v/>
      </c>
      <c r="BX156">
        <f>IF(OR($JF36=0,calcA!$A$6=0),0,IF(OR(73=$HA36,73=$HD36,73=$HG36),200000,MIN(IF($HA36=0,999999,IF(4=$HB36,IF(73=$HJ36,IF($JC36=2,30,0),IF(73=$HK36,IF($JC36=1,30,0),ABS(1-$HC36)*100)),100000+ABS(4-$HB36)*1000+10)),IF($HD36=0,999999,IF(4=$HE36,IF(73=$HL36,IF($JD36=2,30,0),IF(73=$HM36,IF($JD36=1,30,0),ABS(1-$HF36)*100)),100000+ABS(4-$HE36)*1000+10)),IF($HG36=0,999999,IF(4=$HH36,IF(73=$HN36,IF($JE36=2,30,0),IF(73=$HO36,IF($JE36=1,30,0),ABS(1-$HI36)*100)),100000+ABS(4-$HH36)*1000+10)))-IF((73=$HJ36)+(73=$HK36)+(73=$HL36)+(73=$HM36)+(73=$HN36)+(73=$HO36)&gt;=2,50,0))+BX$5*50)</f>
        <v/>
      </c>
      <c r="BY156">
        <f>IF(OR($JF36=0,calcA!$A$6=0),0,IF(OR(74=$HA36,74=$HD36,74=$HG36),200000,MIN(IF($HA36=0,999999,IF(4=$HB36,IF(74=$HJ36,IF($JC36=2,30,0),IF(74=$HK36,IF($JC36=1,30,0),ABS(2-$HC36)*100)),100000+ABS(4-$HB36)*1000+20)),IF($HD36=0,999999,IF(4=$HE36,IF(74=$HL36,IF($JD36=2,30,0),IF(74=$HM36,IF($JD36=1,30,0),ABS(2-$HF36)*100)),100000+ABS(4-$HE36)*1000+20)),IF($HG36=0,999999,IF(4=$HH36,IF(74=$HN36,IF($JE36=2,30,0),IF(74=$HO36,IF($JE36=1,30,0),ABS(2-$HI36)*100)),100000+ABS(4-$HH36)*1000+20)))-IF((74=$HJ36)+(74=$HK36)+(74=$HL36)+(74=$HM36)+(74=$HN36)+(74=$HO36)&gt;=2,50,0))+BY$5*50)</f>
        <v/>
      </c>
      <c r="BZ156">
        <f>IF(OR($JF36=0,calcA!$A$6=0),0,IF(OR(75=$HA36,75=$HD36,75=$HG36),200000,MIN(IF($HA36=0,999999,IF(4=$HB36,IF(75=$HJ36,IF($JC36=2,30,0),IF(75=$HK36,IF($JC36=1,30,0),ABS(3-$HC36)*100)),100000+ABS(4-$HB36)*1000+30)),IF($HD36=0,999999,IF(4=$HE36,IF(75=$HL36,IF($JD36=2,30,0),IF(75=$HM36,IF($JD36=1,30,0),ABS(3-$HF36)*100)),100000+ABS(4-$HE36)*1000+30)),IF($HG36=0,999999,IF(4=$HH36,IF(75=$HN36,IF($JE36=2,30,0),IF(75=$HO36,IF($JE36=1,30,0),ABS(3-$HI36)*100)),100000+ABS(4-$HH36)*1000+30)))-IF((75=$HJ36)+(75=$HK36)+(75=$HL36)+(75=$HM36)+(75=$HN36)+(75=$HO36)&gt;=2,50,0))+BZ$5*50)</f>
        <v/>
      </c>
      <c r="CA156">
        <f>IF(OR($JF36=0,calcA!$A$6=0),0,IF(OR(76=$HA36,76=$HD36,76=$HG36),200000,MIN(IF($HA36=0,999999,IF(4=$HB36,IF(76=$HJ36,IF($JC36=2,30,0),IF(76=$HK36,IF($JC36=1,30,0),ABS(4-$HC36)*100)),100000+ABS(4-$HB36)*1000+40)),IF($HD36=0,999999,IF(4=$HE36,IF(76=$HL36,IF($JD36=2,30,0),IF(76=$HM36,IF($JD36=1,30,0),ABS(4-$HF36)*100)),100000+ABS(4-$HE36)*1000+40)),IF($HG36=0,999999,IF(4=$HH36,IF(76=$HN36,IF($JE36=2,30,0),IF(76=$HO36,IF($JE36=1,30,0),ABS(4-$HI36)*100)),100000+ABS(4-$HH36)*1000+40)))-IF((76=$HJ36)+(76=$HK36)+(76=$HL36)+(76=$HM36)+(76=$HN36)+(76=$HO36)&gt;=2,50,0))+CA$5*50)</f>
        <v/>
      </c>
      <c r="CB156">
        <f>IF(OR($JF36=0,calcA!$A$6=0),0,IF(OR(77=$HA36,77=$HD36,77=$HG36),200000,MIN(IF($HA36=0,999999,IF(4=$HB36,IF(77=$HJ36,IF($JC36=2,30,0),IF(77=$HK36,IF($JC36=1,30,0),ABS(5-$HC36)*100)),100000+ABS(4-$HB36)*1000+50)),IF($HD36=0,999999,IF(4=$HE36,IF(77=$HL36,IF($JD36=2,30,0),IF(77=$HM36,IF($JD36=1,30,0),ABS(5-$HF36)*100)),100000+ABS(4-$HE36)*1000+50)),IF($HG36=0,999999,IF(4=$HH36,IF(77=$HN36,IF($JE36=2,30,0),IF(77=$HO36,IF($JE36=1,30,0),ABS(5-$HI36)*100)),100000+ABS(4-$HH36)*1000+50)))-IF((77=$HJ36)+(77=$HK36)+(77=$HL36)+(77=$HM36)+(77=$HN36)+(77=$HO36)&gt;=2,50,0))+CB$5*50)</f>
        <v/>
      </c>
      <c r="CC156">
        <f>IF(OR($JF36=0,calcA!$A$6=0),0,IF(OR(78=$HA36,78=$HD36,78=$HG36),200000,MIN(IF($HA36=0,999999,IF(4=$HB36,IF(78=$HJ36,IF($JC36=2,30,0),IF(78=$HK36,IF($JC36=1,30,0),ABS(6-$HC36)*100)),100000+ABS(4-$HB36)*1000+60)),IF($HD36=0,999999,IF(4=$HE36,IF(78=$HL36,IF($JD36=2,30,0),IF(78=$HM36,IF($JD36=1,30,0),ABS(6-$HF36)*100)),100000+ABS(4-$HE36)*1000+60)),IF($HG36=0,999999,IF(4=$HH36,IF(78=$HN36,IF($JE36=2,30,0),IF(78=$HO36,IF($JE36=1,30,0),ABS(6-$HI36)*100)),100000+ABS(4-$HH36)*1000+60)))-IF((78=$HJ36)+(78=$HK36)+(78=$HL36)+(78=$HM36)+(78=$HN36)+(78=$HO36)&gt;=2,50,0))+CC$5*50)</f>
        <v/>
      </c>
      <c r="CD156">
        <f>IF(OR($JF36=0,calcA!$A$6=0),0,IF(OR(79=$HA36,79=$HD36,79=$HG36),200000,MIN(IF($HA36=0,999999,IF(4=$HB36,IF(79=$HJ36,IF($JC36=2,30,0),IF(79=$HK36,IF($JC36=1,30,0),ABS(7-$HC36)*100)),100000+ABS(4-$HB36)*1000+70)),IF($HD36=0,999999,IF(4=$HE36,IF(79=$HL36,IF($JD36=2,30,0),IF(79=$HM36,IF($JD36=1,30,0),ABS(7-$HF36)*100)),100000+ABS(4-$HE36)*1000+70)),IF($HG36=0,999999,IF(4=$HH36,IF(79=$HN36,IF($JE36=2,30,0),IF(79=$HO36,IF($JE36=1,30,0),ABS(7-$HI36)*100)),100000+ABS(4-$HH36)*1000+70)))-IF((79=$HJ36)+(79=$HK36)+(79=$HL36)+(79=$HM36)+(79=$HN36)+(79=$HO36)&gt;=2,50,0))+CD$5*50)</f>
        <v/>
      </c>
      <c r="CE156">
        <f>IF(OR($JF36=0,calcA!$A$6=0),0,IF(OR(80=$HA36,80=$HD36,80=$HG36),200000,MIN(IF($HA36=0,999999,IF(4=$HB36,IF(80=$HJ36,IF($JC36=2,30,0),IF(80=$HK36,IF($JC36=1,30,0),ABS(8-$HC36)*100)),100000+ABS(4-$HB36)*1000+80)),IF($HD36=0,999999,IF(4=$HE36,IF(80=$HL36,IF($JD36=2,30,0),IF(80=$HM36,IF($JD36=1,30,0),ABS(8-$HF36)*100)),100000+ABS(4-$HE36)*1000+80)),IF($HG36=0,999999,IF(4=$HH36,IF(80=$HN36,IF($JE36=2,30,0),IF(80=$HO36,IF($JE36=1,30,0),ABS(8-$HI36)*100)),100000+ABS(4-$HH36)*1000+80)))-IF((80=$HJ36)+(80=$HK36)+(80=$HL36)+(80=$HM36)+(80=$HN36)+(80=$HO36)&gt;=2,50,0))+CE$5*50)</f>
        <v/>
      </c>
      <c r="CF156">
        <f>IF(OR($JF36=0,calcA!$A$6=0),0,IF(OR(81=$HA36,81=$HD36,81=$HG36),200000,MIN(IF($HA36=0,999999,IF(4=$HB36,IF(81=$HJ36,IF($JC36=2,30,0),IF(81=$HK36,IF($JC36=1,30,0),ABS(9-$HC36)*100)),100000+ABS(4-$HB36)*1000+90)),IF($HD36=0,999999,IF(4=$HE36,IF(81=$HL36,IF($JD36=2,30,0),IF(81=$HM36,IF($JD36=1,30,0),ABS(9-$HF36)*100)),100000+ABS(4-$HE36)*1000+90)),IF($HG36=0,999999,IF(4=$HH36,IF(81=$HN36,IF($JE36=2,30,0),IF(81=$HO36,IF($JE36=1,30,0),ABS(9-$HI36)*100)),100000+ABS(4-$HH36)*1000+90)))-IF((81=$HJ36)+(81=$HK36)+(81=$HL36)+(81=$HM36)+(81=$HN36)+(81=$HO36)&gt;=2,50,0))+CF$5*50)</f>
        <v/>
      </c>
      <c r="CG156">
        <f>IF(OR($JF36=0,calcA!$A$6=0),0,IF(OR(82=$HA36,82=$HD36,82=$HG36),200000,MIN(IF($HA36=0,999999,IF(4=$HB36,IF(82=$HJ36,IF($JC36=2,30,0),IF(82=$HK36,IF($JC36=1,30,0),ABS(10-$HC36)*100)),100000+ABS(4-$HB36)*1000+100)),IF($HD36=0,999999,IF(4=$HE36,IF(82=$HL36,IF($JD36=2,30,0),IF(82=$HM36,IF($JD36=1,30,0),ABS(10-$HF36)*100)),100000+ABS(4-$HE36)*1000+100)),IF($HG36=0,999999,IF(4=$HH36,IF(82=$HN36,IF($JE36=2,30,0),IF(82=$HO36,IF($JE36=1,30,0),ABS(10-$HI36)*100)),100000+ABS(4-$HH36)*1000+100)))-IF((82=$HJ36)+(82=$HK36)+(82=$HL36)+(82=$HM36)+(82=$HN36)+(82=$HO36)&gt;=2,50,0))+CG$5*50)</f>
        <v/>
      </c>
      <c r="CH156">
        <f>IF(OR($JF36=0,calcA!$A$6=0),0,IF(OR(83=$HA36,83=$HD36,83=$HG36),200000,MIN(IF($HA36=0,999999,IF(4=$HB36,IF(83=$HJ36,IF($JC36=2,30,0),IF(83=$HK36,IF($JC36=1,30,0),ABS(11-$HC36)*100)),100000+ABS(4-$HB36)*1000+110)),IF($HD36=0,999999,IF(4=$HE36,IF(83=$HL36,IF($JD36=2,30,0),IF(83=$HM36,IF($JD36=1,30,0),ABS(11-$HF36)*100)),100000+ABS(4-$HE36)*1000+110)),IF($HG36=0,999999,IF(4=$HH36,IF(83=$HN36,IF($JE36=2,30,0),IF(83=$HO36,IF($JE36=1,30,0),ABS(11-$HI36)*100)),100000+ABS(4-$HH36)*1000+110)))-IF((83=$HJ36)+(83=$HK36)+(83=$HL36)+(83=$HM36)+(83=$HN36)+(83=$HO36)&gt;=2,50,0))+CH$5*50)</f>
        <v/>
      </c>
      <c r="CI156">
        <f>IF(OR($JF36=0,calcA!$A$6=0),0,IF(OR(84=$HA36,84=$HD36,84=$HG36),200000,MIN(IF($HA36=0,999999,IF(4=$HB36,IF(84=$HJ36,IF($JC36=2,30,0),IF(84=$HK36,IF($JC36=1,30,0),ABS(12-$HC36)*100)),100000+ABS(4-$HB36)*1000+120)),IF($HD36=0,999999,IF(4=$HE36,IF(84=$HL36,IF($JD36=2,30,0),IF(84=$HM36,IF($JD36=1,30,0),ABS(12-$HF36)*100)),100000+ABS(4-$HE36)*1000+120)),IF($HG36=0,999999,IF(4=$HH36,IF(84=$HN36,IF($JE36=2,30,0),IF(84=$HO36,IF($JE36=1,30,0),ABS(12-$HI36)*100)),100000+ABS(4-$HH36)*1000+120)))-IF((84=$HJ36)+(84=$HK36)+(84=$HL36)+(84=$HM36)+(84=$HN36)+(84=$HO36)&gt;=2,50,0))+CI$5*50)</f>
        <v/>
      </c>
      <c r="CJ156">
        <f>IF(OR($JF36=0,calcA!$A$6=0),0,IF(OR(85=$HA36,85=$HD36,85=$HG36),200000,MIN(IF($HA36=0,999999,IF(4=$HB36,IF(85=$HJ36,IF($JC36=2,30,0),IF(85=$HK36,IF($JC36=1,30,0),ABS(13-$HC36)*100)),100000+ABS(4-$HB36)*1000+130)),IF($HD36=0,999999,IF(4=$HE36,IF(85=$HL36,IF($JD36=2,30,0),IF(85=$HM36,IF($JD36=1,30,0),ABS(13-$HF36)*100)),100000+ABS(4-$HE36)*1000+130)),IF($HG36=0,999999,IF(4=$HH36,IF(85=$HN36,IF($JE36=2,30,0),IF(85=$HO36,IF($JE36=1,30,0),ABS(13-$HI36)*100)),100000+ABS(4-$HH36)*1000+130)))-IF((85=$HJ36)+(85=$HK36)+(85=$HL36)+(85=$HM36)+(85=$HN36)+(85=$HO36)&gt;=2,50,0))+CJ$5*50)</f>
        <v/>
      </c>
      <c r="CK156">
        <f>IF(OR($JF36=0,calcA!$A$6=0),0,IF(OR(86=$HA36,86=$HD36,86=$HG36),200000,MIN(IF($HA36=0,999999,IF(4=$HB36,IF(86=$HJ36,IF($JC36=2,30,0),IF(86=$HK36,IF($JC36=1,30,0),ABS(14-$HC36)*100)),100000+ABS(4-$HB36)*1000+140)),IF($HD36=0,999999,IF(4=$HE36,IF(86=$HL36,IF($JD36=2,30,0),IF(86=$HM36,IF($JD36=1,30,0),ABS(14-$HF36)*100)),100000+ABS(4-$HE36)*1000+140)),IF($HG36=0,999999,IF(4=$HH36,IF(86=$HN36,IF($JE36=2,30,0),IF(86=$HO36,IF($JE36=1,30,0),ABS(14-$HI36)*100)),100000+ABS(4-$HH36)*1000+140)))-IF((86=$HJ36)+(86=$HK36)+(86=$HL36)+(86=$HM36)+(86=$HN36)+(86=$HO36)&gt;=2,50,0))+CK$5*50)</f>
        <v/>
      </c>
      <c r="CL156">
        <f>IF(OR($JF36=0,calcA!$A$6=0),0,IF(OR(87=$HA36,87=$HD36,87=$HG36),200000,MIN(IF($HA36=0,999999,IF(4=$HB36,IF(87=$HJ36,IF($JC36=2,30,0),IF(87=$HK36,IF($JC36=1,30,0),ABS(15-$HC36)*100)),100000+ABS(4-$HB36)*1000+150)),IF($HD36=0,999999,IF(4=$HE36,IF(87=$HL36,IF($JD36=2,30,0),IF(87=$HM36,IF($JD36=1,30,0),ABS(15-$HF36)*100)),100000+ABS(4-$HE36)*1000+150)),IF($HG36=0,999999,IF(4=$HH36,IF(87=$HN36,IF($JE36=2,30,0),IF(87=$HO36,IF($JE36=1,30,0),ABS(15-$HI36)*100)),100000+ABS(4-$HH36)*1000+150)))-IF((87=$HJ36)+(87=$HK36)+(87=$HL36)+(87=$HM36)+(87=$HN36)+(87=$HO36)&gt;=2,50,0))+CL$5*50)</f>
        <v/>
      </c>
      <c r="CM156">
        <f>IF(OR($JF36=0,calcA!$A$6=0),0,IF(OR(88=$HA36,88=$HD36,88=$HG36),200000,MIN(IF($HA36=0,999999,IF(4=$HB36,IF(88=$HJ36,IF($JC36=2,30,0),IF(88=$HK36,IF($JC36=1,30,0),ABS(16-$HC36)*100)),100000+ABS(4-$HB36)*1000+160)),IF($HD36=0,999999,IF(4=$HE36,IF(88=$HL36,IF($JD36=2,30,0),IF(88=$HM36,IF($JD36=1,30,0),ABS(16-$HF36)*100)),100000+ABS(4-$HE36)*1000+160)),IF($HG36=0,999999,IF(4=$HH36,IF(88=$HN36,IF($JE36=2,30,0),IF(88=$HO36,IF($JE36=1,30,0),ABS(16-$HI36)*100)),100000+ABS(4-$HH36)*1000+160)))-IF((88=$HJ36)+(88=$HK36)+(88=$HL36)+(88=$HM36)+(88=$HN36)+(88=$HO36)&gt;=2,50,0))+CM$5*50)</f>
        <v/>
      </c>
      <c r="CN156">
        <f>IF(OR($JF36=0,calcA!$A$6=0),0,IF(OR(89=$HA36,89=$HD36,89=$HG36),200000,MIN(IF($HA36=0,999999,IF(4=$HB36,IF(89=$HJ36,IF($JC36=2,30,0),IF(89=$HK36,IF($JC36=1,30,0),ABS(17-$HC36)*100)),100000+ABS(4-$HB36)*1000+170)),IF($HD36=0,999999,IF(4=$HE36,IF(89=$HL36,IF($JD36=2,30,0),IF(89=$HM36,IF($JD36=1,30,0),ABS(17-$HF36)*100)),100000+ABS(4-$HE36)*1000+170)),IF($HG36=0,999999,IF(4=$HH36,IF(89=$HN36,IF($JE36=2,30,0),IF(89=$HO36,IF($JE36=1,30,0),ABS(17-$HI36)*100)),100000+ABS(4-$HH36)*1000+170)))-IF((89=$HJ36)+(89=$HK36)+(89=$HL36)+(89=$HM36)+(89=$HN36)+(89=$HO36)&gt;=2,50,0))+CN$5*50)</f>
        <v/>
      </c>
      <c r="CO156">
        <f>IF(OR($JF36=0,calcA!$A$6=0),0,IF(OR(90=$HA36,90=$HD36,90=$HG36),200000,MIN(IF($HA36=0,999999,IF(4=$HB36,IF(90=$HJ36,IF($JC36=2,30,0),IF(90=$HK36,IF($JC36=1,30,0),ABS(18-$HC36)*100)),100000+ABS(4-$HB36)*1000+180)),IF($HD36=0,999999,IF(4=$HE36,IF(90=$HL36,IF($JD36=2,30,0),IF(90=$HM36,IF($JD36=1,30,0),ABS(18-$HF36)*100)),100000+ABS(4-$HE36)*1000+180)),IF($HG36=0,999999,IF(4=$HH36,IF(90=$HN36,IF($JE36=2,30,0),IF(90=$HO36,IF($JE36=1,30,0),ABS(18-$HI36)*100)),100000+ABS(4-$HH36)*1000+180)))-IF((90=$HJ36)+(90=$HK36)+(90=$HL36)+(90=$HM36)+(90=$HN36)+(90=$HO36)&gt;=2,50,0))+CO$5*50)</f>
        <v/>
      </c>
      <c r="CP156">
        <f>IF(OR($JF36=0,calcA!$A$6=0),0,IF(OR(91=$HA36,91=$HD36,91=$HG36),200000,MIN(IF($HA36=0,999999,IF(4=$HB36,IF(91=$HJ36,IF($JC36=2,30,0),IF(91=$HK36,IF($JC36=1,30,0),ABS(19-$HC36)*100)),100000+ABS(4-$HB36)*1000+190)),IF($HD36=0,999999,IF(4=$HE36,IF(91=$HL36,IF($JD36=2,30,0),IF(91=$HM36,IF($JD36=1,30,0),ABS(19-$HF36)*100)),100000+ABS(4-$HE36)*1000+190)),IF($HG36=0,999999,IF(4=$HH36,IF(91=$HN36,IF($JE36=2,30,0),IF(91=$HO36,IF($JE36=1,30,0),ABS(19-$HI36)*100)),100000+ABS(4-$HH36)*1000+190)))-IF((91=$HJ36)+(91=$HK36)+(91=$HL36)+(91=$HM36)+(91=$HN36)+(91=$HO36)&gt;=2,50,0))+CP$5*50)</f>
        <v/>
      </c>
      <c r="CQ156">
        <f>IF(OR($JF36=0,calcA!$A$6=0),0,IF(OR(92=$HA36,92=$HD36,92=$HG36),200000,MIN(IF($HA36=0,999999,IF(4=$HB36,IF(92=$HJ36,IF($JC36=2,30,0),IF(92=$HK36,IF($JC36=1,30,0),ABS(20-$HC36)*100)),100000+ABS(4-$HB36)*1000+200)),IF($HD36=0,999999,IF(4=$HE36,IF(92=$HL36,IF($JD36=2,30,0),IF(92=$HM36,IF($JD36=1,30,0),ABS(20-$HF36)*100)),100000+ABS(4-$HE36)*1000+200)),IF($HG36=0,999999,IF(4=$HH36,IF(92=$HN36,IF($JE36=2,30,0),IF(92=$HO36,IF($JE36=1,30,0),ABS(20-$HI36)*100)),100000+ABS(4-$HH36)*1000+200)))-IF((92=$HJ36)+(92=$HK36)+(92=$HL36)+(92=$HM36)+(92=$HN36)+(92=$HO36)&gt;=2,50,0))+CQ$5*50)</f>
        <v/>
      </c>
      <c r="CR156">
        <f>IF(OR($JF36=0,calcA!$A$6=0),0,IF(OR(93=$HA36,93=$HD36,93=$HG36),200000,MIN(IF($HA36=0,999999,IF(4=$HB36,IF(93=$HJ36,IF($JC36=2,30,0),IF(93=$HK36,IF($JC36=1,30,0),ABS(21-$HC36)*100)),100000+ABS(4-$HB36)*1000+210)),IF($HD36=0,999999,IF(4=$HE36,IF(93=$HL36,IF($JD36=2,30,0),IF(93=$HM36,IF($JD36=1,30,0),ABS(21-$HF36)*100)),100000+ABS(4-$HE36)*1000+210)),IF($HG36=0,999999,IF(4=$HH36,IF(93=$HN36,IF($JE36=2,30,0),IF(93=$HO36,IF($JE36=1,30,0),ABS(21-$HI36)*100)),100000+ABS(4-$HH36)*1000+210)))-IF((93=$HJ36)+(93=$HK36)+(93=$HL36)+(93=$HM36)+(93=$HN36)+(93=$HO36)&gt;=2,50,0))+CR$5*50)</f>
        <v/>
      </c>
      <c r="CS156">
        <f>IF(OR($JF36=0,calcA!$A$6=0),0,IF(OR(94=$HA36,94=$HD36,94=$HG36),200000,MIN(IF($HA36=0,999999,IF(4=$HB36,IF(94=$HJ36,IF($JC36=2,30,0),IF(94=$HK36,IF($JC36=1,30,0),ABS(22-$HC36)*100)),100000+ABS(4-$HB36)*1000+220)),IF($HD36=0,999999,IF(4=$HE36,IF(94=$HL36,IF($JD36=2,30,0),IF(94=$HM36,IF($JD36=1,30,0),ABS(22-$HF36)*100)),100000+ABS(4-$HE36)*1000+220)),IF($HG36=0,999999,IF(4=$HH36,IF(94=$HN36,IF($JE36=2,30,0),IF(94=$HO36,IF($JE36=1,30,0),ABS(22-$HI36)*100)),100000+ABS(4-$HH36)*1000+220)))-IF((94=$HJ36)+(94=$HK36)+(94=$HL36)+(94=$HM36)+(94=$HN36)+(94=$HO36)&gt;=2,50,0))+CS$5*50)</f>
        <v/>
      </c>
      <c r="CT156">
        <f>IF(OR($JF36=0,calcA!$A$6=0),0,IF(OR(95=$HA36,95=$HD36,95=$HG36),200000,MIN(IF($HA36=0,999999,IF(4=$HB36,IF(95=$HJ36,IF($JC36=2,30,0),IF(95=$HK36,IF($JC36=1,30,0),ABS(23-$HC36)*100)),100000+ABS(4-$HB36)*1000+230)),IF($HD36=0,999999,IF(4=$HE36,IF(95=$HL36,IF($JD36=2,30,0),IF(95=$HM36,IF($JD36=1,30,0),ABS(23-$HF36)*100)),100000+ABS(4-$HE36)*1000+230)),IF($HG36=0,999999,IF(4=$HH36,IF(95=$HN36,IF($JE36=2,30,0),IF(95=$HO36,IF($JE36=1,30,0),ABS(23-$HI36)*100)),100000+ABS(4-$HH36)*1000+230)))-IF((95=$HJ36)+(95=$HK36)+(95=$HL36)+(95=$HM36)+(95=$HN36)+(95=$HO36)&gt;=2,50,0))+CT$5*50)</f>
        <v/>
      </c>
      <c r="CU156">
        <f>IF(OR($JF36=0,calcA!$A$6=0),0,IF(OR(96=$HA36,96=$HD36,96=$HG36),200000,MIN(IF($HA36=0,999999,IF(4=$HB36,IF(96=$HJ36,IF($JC36=2,30,0),IF(96=$HK36,IF($JC36=1,30,0),ABS(24-$HC36)*100)),100000+ABS(4-$HB36)*1000+240)),IF($HD36=0,999999,IF(4=$HE36,IF(96=$HL36,IF($JD36=2,30,0),IF(96=$HM36,IF($JD36=1,30,0),ABS(24-$HF36)*100)),100000+ABS(4-$HE36)*1000+240)),IF($HG36=0,999999,IF(4=$HH36,IF(96=$HN36,IF($JE36=2,30,0),IF(96=$HO36,IF($JE36=1,30,0),ABS(24-$HI36)*100)),100000+ABS(4-$HH36)*1000+240)))-IF((96=$HJ36)+(96=$HK36)+(96=$HL36)+(96=$HM36)+(96=$HN36)+(96=$HO36)&gt;=2,50,0))+CU$5*50)</f>
        <v/>
      </c>
      <c r="CV156">
        <f>IF(OR($JF36=0,calcA!$A$6=0),0,IF(OR(97=$HA36,97=$HD36,97=$HG36),200000,MIN(IF($HA36=0,999999,IF(5=$HB36,IF(97=$HJ36,IF($JC36=2,30,0),IF(97=$HK36,IF($JC36=1,30,0),ABS(1-$HC36)*100)),100000+ABS(5-$HB36)*1000+10)),IF($HD36=0,999999,IF(5=$HE36,IF(97=$HL36,IF($JD36=2,30,0),IF(97=$HM36,IF($JD36=1,30,0),ABS(1-$HF36)*100)),100000+ABS(5-$HE36)*1000+10)),IF($HG36=0,999999,IF(5=$HH36,IF(97=$HN36,IF($JE36=2,30,0),IF(97=$HO36,IF($JE36=1,30,0),ABS(1-$HI36)*100)),100000+ABS(5-$HH36)*1000+10)))-IF((97=$HJ36)+(97=$HK36)+(97=$HL36)+(97=$HM36)+(97=$HN36)+(97=$HO36)&gt;=2,50,0))+CV$5*50)</f>
        <v/>
      </c>
      <c r="CW156">
        <f>IF(OR($JF36=0,calcA!$A$6=0),0,IF(OR(98=$HA36,98=$HD36,98=$HG36),200000,MIN(IF($HA36=0,999999,IF(5=$HB36,IF(98=$HJ36,IF($JC36=2,30,0),IF(98=$HK36,IF($JC36=1,30,0),ABS(2-$HC36)*100)),100000+ABS(5-$HB36)*1000+20)),IF($HD36=0,999999,IF(5=$HE36,IF(98=$HL36,IF($JD36=2,30,0),IF(98=$HM36,IF($JD36=1,30,0),ABS(2-$HF36)*100)),100000+ABS(5-$HE36)*1000+20)),IF($HG36=0,999999,IF(5=$HH36,IF(98=$HN36,IF($JE36=2,30,0),IF(98=$HO36,IF($JE36=1,30,0),ABS(2-$HI36)*100)),100000+ABS(5-$HH36)*1000+20)))-IF((98=$HJ36)+(98=$HK36)+(98=$HL36)+(98=$HM36)+(98=$HN36)+(98=$HO36)&gt;=2,50,0))+CW$5*50)</f>
        <v/>
      </c>
      <c r="CX156">
        <f>IF(OR($JF36=0,calcA!$A$6=0),0,IF(OR(99=$HA36,99=$HD36,99=$HG36),200000,MIN(IF($HA36=0,999999,IF(5=$HB36,IF(99=$HJ36,IF($JC36=2,30,0),IF(99=$HK36,IF($JC36=1,30,0),ABS(3-$HC36)*100)),100000+ABS(5-$HB36)*1000+30)),IF($HD36=0,999999,IF(5=$HE36,IF(99=$HL36,IF($JD36=2,30,0),IF(99=$HM36,IF($JD36=1,30,0),ABS(3-$HF36)*100)),100000+ABS(5-$HE36)*1000+30)),IF($HG36=0,999999,IF(5=$HH36,IF(99=$HN36,IF($JE36=2,30,0),IF(99=$HO36,IF($JE36=1,30,0),ABS(3-$HI36)*100)),100000+ABS(5-$HH36)*1000+30)))-IF((99=$HJ36)+(99=$HK36)+(99=$HL36)+(99=$HM36)+(99=$HN36)+(99=$HO36)&gt;=2,50,0))+CX$5*50)</f>
        <v/>
      </c>
      <c r="CY156">
        <f>IF(OR($JF36=0,calcA!$A$6=0),0,IF(OR(100=$HA36,100=$HD36,100=$HG36),200000,MIN(IF($HA36=0,999999,IF(5=$HB36,IF(100=$HJ36,IF($JC36=2,30,0),IF(100=$HK36,IF($JC36=1,30,0),ABS(4-$HC36)*100)),100000+ABS(5-$HB36)*1000+40)),IF($HD36=0,999999,IF(5=$HE36,IF(100=$HL36,IF($JD36=2,30,0),IF(100=$HM36,IF($JD36=1,30,0),ABS(4-$HF36)*100)),100000+ABS(5-$HE36)*1000+40)),IF($HG36=0,999999,IF(5=$HH36,IF(100=$HN36,IF($JE36=2,30,0),IF(100=$HO36,IF($JE36=1,30,0),ABS(4-$HI36)*100)),100000+ABS(5-$HH36)*1000+40)))-IF((100=$HJ36)+(100=$HK36)+(100=$HL36)+(100=$HM36)+(100=$HN36)+(100=$HO36)&gt;=2,50,0))+CY$5*50)</f>
        <v/>
      </c>
      <c r="CZ156">
        <f>IF(OR($JF36=0,calcA!$A$6=0),0,IF(OR(101=$HA36,101=$HD36,101=$HG36),200000,MIN(IF($HA36=0,999999,IF(5=$HB36,IF(101=$HJ36,IF($JC36=2,30,0),IF(101=$HK36,IF($JC36=1,30,0),ABS(5-$HC36)*100)),100000+ABS(5-$HB36)*1000+50)),IF($HD36=0,999999,IF(5=$HE36,IF(101=$HL36,IF($JD36=2,30,0),IF(101=$HM36,IF($JD36=1,30,0),ABS(5-$HF36)*100)),100000+ABS(5-$HE36)*1000+50)),IF($HG36=0,999999,IF(5=$HH36,IF(101=$HN36,IF($JE36=2,30,0),IF(101=$HO36,IF($JE36=1,30,0),ABS(5-$HI36)*100)),100000+ABS(5-$HH36)*1000+50)))-IF((101=$HJ36)+(101=$HK36)+(101=$HL36)+(101=$HM36)+(101=$HN36)+(101=$HO36)&gt;=2,50,0))+CZ$5*50)</f>
        <v/>
      </c>
      <c r="DA156">
        <f>IF(OR($JF36=0,calcA!$A$6=0),0,IF(OR(102=$HA36,102=$HD36,102=$HG36),200000,MIN(IF($HA36=0,999999,IF(5=$HB36,IF(102=$HJ36,IF($JC36=2,30,0),IF(102=$HK36,IF($JC36=1,30,0),ABS(6-$HC36)*100)),100000+ABS(5-$HB36)*1000+60)),IF($HD36=0,999999,IF(5=$HE36,IF(102=$HL36,IF($JD36=2,30,0),IF(102=$HM36,IF($JD36=1,30,0),ABS(6-$HF36)*100)),100000+ABS(5-$HE36)*1000+60)),IF($HG36=0,999999,IF(5=$HH36,IF(102=$HN36,IF($JE36=2,30,0),IF(102=$HO36,IF($JE36=1,30,0),ABS(6-$HI36)*100)),100000+ABS(5-$HH36)*1000+60)))-IF((102=$HJ36)+(102=$HK36)+(102=$HL36)+(102=$HM36)+(102=$HN36)+(102=$HO36)&gt;=2,50,0))+DA$5*50)</f>
        <v/>
      </c>
      <c r="DB156">
        <f>IF(OR($JF36=0,calcA!$A$6=0),0,IF(OR(103=$HA36,103=$HD36,103=$HG36),200000,MIN(IF($HA36=0,999999,IF(5=$HB36,IF(103=$HJ36,IF($JC36=2,30,0),IF(103=$HK36,IF($JC36=1,30,0),ABS(7-$HC36)*100)),100000+ABS(5-$HB36)*1000+70)),IF($HD36=0,999999,IF(5=$HE36,IF(103=$HL36,IF($JD36=2,30,0),IF(103=$HM36,IF($JD36=1,30,0),ABS(7-$HF36)*100)),100000+ABS(5-$HE36)*1000+70)),IF($HG36=0,999999,IF(5=$HH36,IF(103=$HN36,IF($JE36=2,30,0),IF(103=$HO36,IF($JE36=1,30,0),ABS(7-$HI36)*100)),100000+ABS(5-$HH36)*1000+70)))-IF((103=$HJ36)+(103=$HK36)+(103=$HL36)+(103=$HM36)+(103=$HN36)+(103=$HO36)&gt;=2,50,0))+DB$5*50)</f>
        <v/>
      </c>
      <c r="DC156">
        <f>IF(OR($JF36=0,calcA!$A$6=0),0,IF(OR(104=$HA36,104=$HD36,104=$HG36),200000,MIN(IF($HA36=0,999999,IF(5=$HB36,IF(104=$HJ36,IF($JC36=2,30,0),IF(104=$HK36,IF($JC36=1,30,0),ABS(8-$HC36)*100)),100000+ABS(5-$HB36)*1000+80)),IF($HD36=0,999999,IF(5=$HE36,IF(104=$HL36,IF($JD36=2,30,0),IF(104=$HM36,IF($JD36=1,30,0),ABS(8-$HF36)*100)),100000+ABS(5-$HE36)*1000+80)),IF($HG36=0,999999,IF(5=$HH36,IF(104=$HN36,IF($JE36=2,30,0),IF(104=$HO36,IF($JE36=1,30,0),ABS(8-$HI36)*100)),100000+ABS(5-$HH36)*1000+80)))-IF((104=$HJ36)+(104=$HK36)+(104=$HL36)+(104=$HM36)+(104=$HN36)+(104=$HO36)&gt;=2,50,0))+DC$5*50)</f>
        <v/>
      </c>
      <c r="DD156">
        <f>IF(OR($JF36=0,calcA!$A$6=0),0,IF(OR(105=$HA36,105=$HD36,105=$HG36),200000,MIN(IF($HA36=0,999999,IF(5=$HB36,IF(105=$HJ36,IF($JC36=2,30,0),IF(105=$HK36,IF($JC36=1,30,0),ABS(9-$HC36)*100)),100000+ABS(5-$HB36)*1000+90)),IF($HD36=0,999999,IF(5=$HE36,IF(105=$HL36,IF($JD36=2,30,0),IF(105=$HM36,IF($JD36=1,30,0),ABS(9-$HF36)*100)),100000+ABS(5-$HE36)*1000+90)),IF($HG36=0,999999,IF(5=$HH36,IF(105=$HN36,IF($JE36=2,30,0),IF(105=$HO36,IF($JE36=1,30,0),ABS(9-$HI36)*100)),100000+ABS(5-$HH36)*1000+90)))-IF((105=$HJ36)+(105=$HK36)+(105=$HL36)+(105=$HM36)+(105=$HN36)+(105=$HO36)&gt;=2,50,0))+DD$5*50)</f>
        <v/>
      </c>
      <c r="DE156">
        <f>IF(OR($JF36=0,calcA!$A$6=0),0,IF(OR(106=$HA36,106=$HD36,106=$HG36),200000,MIN(IF($HA36=0,999999,IF(5=$HB36,IF(106=$HJ36,IF($JC36=2,30,0),IF(106=$HK36,IF($JC36=1,30,0),ABS(10-$HC36)*100)),100000+ABS(5-$HB36)*1000+100)),IF($HD36=0,999999,IF(5=$HE36,IF(106=$HL36,IF($JD36=2,30,0),IF(106=$HM36,IF($JD36=1,30,0),ABS(10-$HF36)*100)),100000+ABS(5-$HE36)*1000+100)),IF($HG36=0,999999,IF(5=$HH36,IF(106=$HN36,IF($JE36=2,30,0),IF(106=$HO36,IF($JE36=1,30,0),ABS(10-$HI36)*100)),100000+ABS(5-$HH36)*1000+100)))-IF((106=$HJ36)+(106=$HK36)+(106=$HL36)+(106=$HM36)+(106=$HN36)+(106=$HO36)&gt;=2,50,0))+DE$5*50)</f>
        <v/>
      </c>
      <c r="DF156">
        <f>IF(OR($JF36=0,calcA!$A$6=0),0,IF(OR(107=$HA36,107=$HD36,107=$HG36),200000,MIN(IF($HA36=0,999999,IF(5=$HB36,IF(107=$HJ36,IF($JC36=2,30,0),IF(107=$HK36,IF($JC36=1,30,0),ABS(11-$HC36)*100)),100000+ABS(5-$HB36)*1000+110)),IF($HD36=0,999999,IF(5=$HE36,IF(107=$HL36,IF($JD36=2,30,0),IF(107=$HM36,IF($JD36=1,30,0),ABS(11-$HF36)*100)),100000+ABS(5-$HE36)*1000+110)),IF($HG36=0,999999,IF(5=$HH36,IF(107=$HN36,IF($JE36=2,30,0),IF(107=$HO36,IF($JE36=1,30,0),ABS(11-$HI36)*100)),100000+ABS(5-$HH36)*1000+110)))-IF((107=$HJ36)+(107=$HK36)+(107=$HL36)+(107=$HM36)+(107=$HN36)+(107=$HO36)&gt;=2,50,0))+DF$5*50)</f>
        <v/>
      </c>
      <c r="DG156">
        <f>IF(OR($JF36=0,calcA!$A$6=0),0,IF(OR(108=$HA36,108=$HD36,108=$HG36),200000,MIN(IF($HA36=0,999999,IF(5=$HB36,IF(108=$HJ36,IF($JC36=2,30,0),IF(108=$HK36,IF($JC36=1,30,0),ABS(12-$HC36)*100)),100000+ABS(5-$HB36)*1000+120)),IF($HD36=0,999999,IF(5=$HE36,IF(108=$HL36,IF($JD36=2,30,0),IF(108=$HM36,IF($JD36=1,30,0),ABS(12-$HF36)*100)),100000+ABS(5-$HE36)*1000+120)),IF($HG36=0,999999,IF(5=$HH36,IF(108=$HN36,IF($JE36=2,30,0),IF(108=$HO36,IF($JE36=1,30,0),ABS(12-$HI36)*100)),100000+ABS(5-$HH36)*1000+120)))-IF((108=$HJ36)+(108=$HK36)+(108=$HL36)+(108=$HM36)+(108=$HN36)+(108=$HO36)&gt;=2,50,0))+DG$5*50)</f>
        <v/>
      </c>
      <c r="DH156">
        <f>IF(OR($JF36=0,calcA!$A$6=0),0,IF(OR(109=$HA36,109=$HD36,109=$HG36),200000,MIN(IF($HA36=0,999999,IF(5=$HB36,IF(109=$HJ36,IF($JC36=2,30,0),IF(109=$HK36,IF($JC36=1,30,0),ABS(13-$HC36)*100)),100000+ABS(5-$HB36)*1000+130)),IF($HD36=0,999999,IF(5=$HE36,IF(109=$HL36,IF($JD36=2,30,0),IF(109=$HM36,IF($JD36=1,30,0),ABS(13-$HF36)*100)),100000+ABS(5-$HE36)*1000+130)),IF($HG36=0,999999,IF(5=$HH36,IF(109=$HN36,IF($JE36=2,30,0),IF(109=$HO36,IF($JE36=1,30,0),ABS(13-$HI36)*100)),100000+ABS(5-$HH36)*1000+130)))-IF((109=$HJ36)+(109=$HK36)+(109=$HL36)+(109=$HM36)+(109=$HN36)+(109=$HO36)&gt;=2,50,0))+DH$5*50)</f>
        <v/>
      </c>
      <c r="DI156">
        <f>IF(OR($JF36=0,calcA!$A$6=0),0,IF(OR(110=$HA36,110=$HD36,110=$HG36),200000,MIN(IF($HA36=0,999999,IF(5=$HB36,IF(110=$HJ36,IF($JC36=2,30,0),IF(110=$HK36,IF($JC36=1,30,0),ABS(14-$HC36)*100)),100000+ABS(5-$HB36)*1000+140)),IF($HD36=0,999999,IF(5=$HE36,IF(110=$HL36,IF($JD36=2,30,0),IF(110=$HM36,IF($JD36=1,30,0),ABS(14-$HF36)*100)),100000+ABS(5-$HE36)*1000+140)),IF($HG36=0,999999,IF(5=$HH36,IF(110=$HN36,IF($JE36=2,30,0),IF(110=$HO36,IF($JE36=1,30,0),ABS(14-$HI36)*100)),100000+ABS(5-$HH36)*1000+140)))-IF((110=$HJ36)+(110=$HK36)+(110=$HL36)+(110=$HM36)+(110=$HN36)+(110=$HO36)&gt;=2,50,0))+DI$5*50)</f>
        <v/>
      </c>
      <c r="DJ156">
        <f>IF(OR($JF36=0,calcA!$A$6=0),0,IF(OR(111=$HA36,111=$HD36,111=$HG36),200000,MIN(IF($HA36=0,999999,IF(5=$HB36,IF(111=$HJ36,IF($JC36=2,30,0),IF(111=$HK36,IF($JC36=1,30,0),ABS(15-$HC36)*100)),100000+ABS(5-$HB36)*1000+150)),IF($HD36=0,999999,IF(5=$HE36,IF(111=$HL36,IF($JD36=2,30,0),IF(111=$HM36,IF($JD36=1,30,0),ABS(15-$HF36)*100)),100000+ABS(5-$HE36)*1000+150)),IF($HG36=0,999999,IF(5=$HH36,IF(111=$HN36,IF($JE36=2,30,0),IF(111=$HO36,IF($JE36=1,30,0),ABS(15-$HI36)*100)),100000+ABS(5-$HH36)*1000+150)))-IF((111=$HJ36)+(111=$HK36)+(111=$HL36)+(111=$HM36)+(111=$HN36)+(111=$HO36)&gt;=2,50,0))+DJ$5*50)</f>
        <v/>
      </c>
      <c r="DK156">
        <f>IF(OR($JF36=0,calcA!$A$6=0),0,IF(OR(112=$HA36,112=$HD36,112=$HG36),200000,MIN(IF($HA36=0,999999,IF(5=$HB36,IF(112=$HJ36,IF($JC36=2,30,0),IF(112=$HK36,IF($JC36=1,30,0),ABS(16-$HC36)*100)),100000+ABS(5-$HB36)*1000+160)),IF($HD36=0,999999,IF(5=$HE36,IF(112=$HL36,IF($JD36=2,30,0),IF(112=$HM36,IF($JD36=1,30,0),ABS(16-$HF36)*100)),100000+ABS(5-$HE36)*1000+160)),IF($HG36=0,999999,IF(5=$HH36,IF(112=$HN36,IF($JE36=2,30,0),IF(112=$HO36,IF($JE36=1,30,0),ABS(16-$HI36)*100)),100000+ABS(5-$HH36)*1000+160)))-IF((112=$HJ36)+(112=$HK36)+(112=$HL36)+(112=$HM36)+(112=$HN36)+(112=$HO36)&gt;=2,50,0))+DK$5*50)</f>
        <v/>
      </c>
      <c r="DL156">
        <f>IF(OR($JF36=0,calcA!$A$6=0),0,IF(OR(113=$HA36,113=$HD36,113=$HG36),200000,MIN(IF($HA36=0,999999,IF(5=$HB36,IF(113=$HJ36,IF($JC36=2,30,0),IF(113=$HK36,IF($JC36=1,30,0),ABS(17-$HC36)*100)),100000+ABS(5-$HB36)*1000+170)),IF($HD36=0,999999,IF(5=$HE36,IF(113=$HL36,IF($JD36=2,30,0),IF(113=$HM36,IF($JD36=1,30,0),ABS(17-$HF36)*100)),100000+ABS(5-$HE36)*1000+170)),IF($HG36=0,999999,IF(5=$HH36,IF(113=$HN36,IF($JE36=2,30,0),IF(113=$HO36,IF($JE36=1,30,0),ABS(17-$HI36)*100)),100000+ABS(5-$HH36)*1000+170)))-IF((113=$HJ36)+(113=$HK36)+(113=$HL36)+(113=$HM36)+(113=$HN36)+(113=$HO36)&gt;=2,50,0))+DL$5*50)</f>
        <v/>
      </c>
      <c r="DM156">
        <f>IF(OR($JF36=0,calcA!$A$6=0),0,IF(OR(114=$HA36,114=$HD36,114=$HG36),200000,MIN(IF($HA36=0,999999,IF(5=$HB36,IF(114=$HJ36,IF($JC36=2,30,0),IF(114=$HK36,IF($JC36=1,30,0),ABS(18-$HC36)*100)),100000+ABS(5-$HB36)*1000+180)),IF($HD36=0,999999,IF(5=$HE36,IF(114=$HL36,IF($JD36=2,30,0),IF(114=$HM36,IF($JD36=1,30,0),ABS(18-$HF36)*100)),100000+ABS(5-$HE36)*1000+180)),IF($HG36=0,999999,IF(5=$HH36,IF(114=$HN36,IF($JE36=2,30,0),IF(114=$HO36,IF($JE36=1,30,0),ABS(18-$HI36)*100)),100000+ABS(5-$HH36)*1000+180)))-IF((114=$HJ36)+(114=$HK36)+(114=$HL36)+(114=$HM36)+(114=$HN36)+(114=$HO36)&gt;=2,50,0))+DM$5*50)</f>
        <v/>
      </c>
      <c r="DN156">
        <f>IF(OR($JF36=0,calcA!$A$6=0),0,IF(OR(115=$HA36,115=$HD36,115=$HG36),200000,MIN(IF($HA36=0,999999,IF(5=$HB36,IF(115=$HJ36,IF($JC36=2,30,0),IF(115=$HK36,IF($JC36=1,30,0),ABS(19-$HC36)*100)),100000+ABS(5-$HB36)*1000+190)),IF($HD36=0,999999,IF(5=$HE36,IF(115=$HL36,IF($JD36=2,30,0),IF(115=$HM36,IF($JD36=1,30,0),ABS(19-$HF36)*100)),100000+ABS(5-$HE36)*1000+190)),IF($HG36=0,999999,IF(5=$HH36,IF(115=$HN36,IF($JE36=2,30,0),IF(115=$HO36,IF($JE36=1,30,0),ABS(19-$HI36)*100)),100000+ABS(5-$HH36)*1000+190)))-IF((115=$HJ36)+(115=$HK36)+(115=$HL36)+(115=$HM36)+(115=$HN36)+(115=$HO36)&gt;=2,50,0))+DN$5*50)</f>
        <v/>
      </c>
      <c r="DO156">
        <f>IF(OR($JF36=0,calcA!$A$6=0),0,IF(OR(116=$HA36,116=$HD36,116=$HG36),200000,MIN(IF($HA36=0,999999,IF(5=$HB36,IF(116=$HJ36,IF($JC36=2,30,0),IF(116=$HK36,IF($JC36=1,30,0),ABS(20-$HC36)*100)),100000+ABS(5-$HB36)*1000+200)),IF($HD36=0,999999,IF(5=$HE36,IF(116=$HL36,IF($JD36=2,30,0),IF(116=$HM36,IF($JD36=1,30,0),ABS(20-$HF36)*100)),100000+ABS(5-$HE36)*1000+200)),IF($HG36=0,999999,IF(5=$HH36,IF(116=$HN36,IF($JE36=2,30,0),IF(116=$HO36,IF($JE36=1,30,0),ABS(20-$HI36)*100)),100000+ABS(5-$HH36)*1000+200)))-IF((116=$HJ36)+(116=$HK36)+(116=$HL36)+(116=$HM36)+(116=$HN36)+(116=$HO36)&gt;=2,50,0))+DO$5*50)</f>
        <v/>
      </c>
      <c r="DP156">
        <f>IF(OR($JF36=0,calcA!$A$6=0),0,IF(OR(117=$HA36,117=$HD36,117=$HG36),200000,MIN(IF($HA36=0,999999,IF(5=$HB36,IF(117=$HJ36,IF($JC36=2,30,0),IF(117=$HK36,IF($JC36=1,30,0),ABS(21-$HC36)*100)),100000+ABS(5-$HB36)*1000+210)),IF($HD36=0,999999,IF(5=$HE36,IF(117=$HL36,IF($JD36=2,30,0),IF(117=$HM36,IF($JD36=1,30,0),ABS(21-$HF36)*100)),100000+ABS(5-$HE36)*1000+210)),IF($HG36=0,999999,IF(5=$HH36,IF(117=$HN36,IF($JE36=2,30,0),IF(117=$HO36,IF($JE36=1,30,0),ABS(21-$HI36)*100)),100000+ABS(5-$HH36)*1000+210)))-IF((117=$HJ36)+(117=$HK36)+(117=$HL36)+(117=$HM36)+(117=$HN36)+(117=$HO36)&gt;=2,50,0))+DP$5*50)</f>
        <v/>
      </c>
      <c r="DQ156">
        <f>IF(OR($JF36=0,calcA!$A$6=0),0,IF(OR(118=$HA36,118=$HD36,118=$HG36),200000,MIN(IF($HA36=0,999999,IF(5=$HB36,IF(118=$HJ36,IF($JC36=2,30,0),IF(118=$HK36,IF($JC36=1,30,0),ABS(22-$HC36)*100)),100000+ABS(5-$HB36)*1000+220)),IF($HD36=0,999999,IF(5=$HE36,IF(118=$HL36,IF($JD36=2,30,0),IF(118=$HM36,IF($JD36=1,30,0),ABS(22-$HF36)*100)),100000+ABS(5-$HE36)*1000+220)),IF($HG36=0,999999,IF(5=$HH36,IF(118=$HN36,IF($JE36=2,30,0),IF(118=$HO36,IF($JE36=1,30,0),ABS(22-$HI36)*100)),100000+ABS(5-$HH36)*1000+220)))-IF((118=$HJ36)+(118=$HK36)+(118=$HL36)+(118=$HM36)+(118=$HN36)+(118=$HO36)&gt;=2,50,0))+DQ$5*50)</f>
        <v/>
      </c>
      <c r="DR156">
        <f>IF(OR($JF36=0,calcA!$A$6=0),0,IF(OR(119=$HA36,119=$HD36,119=$HG36),200000,MIN(IF($HA36=0,999999,IF(5=$HB36,IF(119=$HJ36,IF($JC36=2,30,0),IF(119=$HK36,IF($JC36=1,30,0),ABS(23-$HC36)*100)),100000+ABS(5-$HB36)*1000+230)),IF($HD36=0,999999,IF(5=$HE36,IF(119=$HL36,IF($JD36=2,30,0),IF(119=$HM36,IF($JD36=1,30,0),ABS(23-$HF36)*100)),100000+ABS(5-$HE36)*1000+230)),IF($HG36=0,999999,IF(5=$HH36,IF(119=$HN36,IF($JE36=2,30,0),IF(119=$HO36,IF($JE36=1,30,0),ABS(23-$HI36)*100)),100000+ABS(5-$HH36)*1000+230)))-IF((119=$HJ36)+(119=$HK36)+(119=$HL36)+(119=$HM36)+(119=$HN36)+(119=$HO36)&gt;=2,50,0))+DR$5*50)</f>
        <v/>
      </c>
      <c r="DS156">
        <f>IF(OR($JF36=0,calcA!$A$6=0),0,IF(OR(120=$HA36,120=$HD36,120=$HG36),200000,MIN(IF($HA36=0,999999,IF(5=$HB36,IF(120=$HJ36,IF($JC36=2,30,0),IF(120=$HK36,IF($JC36=1,30,0),ABS(24-$HC36)*100)),100000+ABS(5-$HB36)*1000+240)),IF($HD36=0,999999,IF(5=$HE36,IF(120=$HL36,IF($JD36=2,30,0),IF(120=$HM36,IF($JD36=1,30,0),ABS(24-$HF36)*100)),100000+ABS(5-$HE36)*1000+240)),IF($HG36=0,999999,IF(5=$HH36,IF(120=$HN36,IF($JE36=2,30,0),IF(120=$HO36,IF($JE36=1,30,0),ABS(24-$HI36)*100)),100000+ABS(5-$HH36)*1000+240)))-IF((120=$HJ36)+(120=$HK36)+(120=$HL36)+(120=$HM36)+(120=$HN36)+(120=$HO36)&gt;=2,50,0))+DS$5*50)</f>
        <v/>
      </c>
      <c r="DT156">
        <f>IF(OR($JF36=0,calcA!$A$6=0),0,IF(OR(121=$HA36,121=$HD36,121=$HG36),200000,MIN(IF($HA36=0,999999,IF(6=$HB36,IF(121=$HJ36,IF($JC36=2,30,0),IF(121=$HK36,IF($JC36=1,30,0),ABS(1-$HC36)*100)),100000+ABS(6-$HB36)*1000+10)),IF($HD36=0,999999,IF(6=$HE36,IF(121=$HL36,IF($JD36=2,30,0),IF(121=$HM36,IF($JD36=1,30,0),ABS(1-$HF36)*100)),100000+ABS(6-$HE36)*1000+10)),IF($HG36=0,999999,IF(6=$HH36,IF(121=$HN36,IF($JE36=2,30,0),IF(121=$HO36,IF($JE36=1,30,0),ABS(1-$HI36)*100)),100000+ABS(6-$HH36)*1000+10)))-IF((121=$HJ36)+(121=$HK36)+(121=$HL36)+(121=$HM36)+(121=$HN36)+(121=$HO36)&gt;=2,50,0))+DT$5*50)</f>
        <v/>
      </c>
      <c r="DU156">
        <f>IF(OR($JF36=0,calcA!$A$6=0),0,IF(OR(122=$HA36,122=$HD36,122=$HG36),200000,MIN(IF($HA36=0,999999,IF(6=$HB36,IF(122=$HJ36,IF($JC36=2,30,0),IF(122=$HK36,IF($JC36=1,30,0),ABS(2-$HC36)*100)),100000+ABS(6-$HB36)*1000+20)),IF($HD36=0,999999,IF(6=$HE36,IF(122=$HL36,IF($JD36=2,30,0),IF(122=$HM36,IF($JD36=1,30,0),ABS(2-$HF36)*100)),100000+ABS(6-$HE36)*1000+20)),IF($HG36=0,999999,IF(6=$HH36,IF(122=$HN36,IF($JE36=2,30,0),IF(122=$HO36,IF($JE36=1,30,0),ABS(2-$HI36)*100)),100000+ABS(6-$HH36)*1000+20)))-IF((122=$HJ36)+(122=$HK36)+(122=$HL36)+(122=$HM36)+(122=$HN36)+(122=$HO36)&gt;=2,50,0))+DU$5*50)</f>
        <v/>
      </c>
      <c r="DV156">
        <f>IF(OR($JF36=0,calcA!$A$6=0),0,IF(OR(123=$HA36,123=$HD36,123=$HG36),200000,MIN(IF($HA36=0,999999,IF(6=$HB36,IF(123=$HJ36,IF($JC36=2,30,0),IF(123=$HK36,IF($JC36=1,30,0),ABS(3-$HC36)*100)),100000+ABS(6-$HB36)*1000+30)),IF($HD36=0,999999,IF(6=$HE36,IF(123=$HL36,IF($JD36=2,30,0),IF(123=$HM36,IF($JD36=1,30,0),ABS(3-$HF36)*100)),100000+ABS(6-$HE36)*1000+30)),IF($HG36=0,999999,IF(6=$HH36,IF(123=$HN36,IF($JE36=2,30,0),IF(123=$HO36,IF($JE36=1,30,0),ABS(3-$HI36)*100)),100000+ABS(6-$HH36)*1000+30)))-IF((123=$HJ36)+(123=$HK36)+(123=$HL36)+(123=$HM36)+(123=$HN36)+(123=$HO36)&gt;=2,50,0))+DV$5*50)</f>
        <v/>
      </c>
      <c r="DW156">
        <f>IF(OR($JF36=0,calcA!$A$6=0),0,IF(OR(124=$HA36,124=$HD36,124=$HG36),200000,MIN(IF($HA36=0,999999,IF(6=$HB36,IF(124=$HJ36,IF($JC36=2,30,0),IF(124=$HK36,IF($JC36=1,30,0),ABS(4-$HC36)*100)),100000+ABS(6-$HB36)*1000+40)),IF($HD36=0,999999,IF(6=$HE36,IF(124=$HL36,IF($JD36=2,30,0),IF(124=$HM36,IF($JD36=1,30,0),ABS(4-$HF36)*100)),100000+ABS(6-$HE36)*1000+40)),IF($HG36=0,999999,IF(6=$HH36,IF(124=$HN36,IF($JE36=2,30,0),IF(124=$HO36,IF($JE36=1,30,0),ABS(4-$HI36)*100)),100000+ABS(6-$HH36)*1000+40)))-IF((124=$HJ36)+(124=$HK36)+(124=$HL36)+(124=$HM36)+(124=$HN36)+(124=$HO36)&gt;=2,50,0))+DW$5*50)</f>
        <v/>
      </c>
      <c r="DX156">
        <f>IF(OR($JF36=0,calcA!$A$6=0),0,IF(OR(125=$HA36,125=$HD36,125=$HG36),200000,MIN(IF($HA36=0,999999,IF(6=$HB36,IF(125=$HJ36,IF($JC36=2,30,0),IF(125=$HK36,IF($JC36=1,30,0),ABS(5-$HC36)*100)),100000+ABS(6-$HB36)*1000+50)),IF($HD36=0,999999,IF(6=$HE36,IF(125=$HL36,IF($JD36=2,30,0),IF(125=$HM36,IF($JD36=1,30,0),ABS(5-$HF36)*100)),100000+ABS(6-$HE36)*1000+50)),IF($HG36=0,999999,IF(6=$HH36,IF(125=$HN36,IF($JE36=2,30,0),IF(125=$HO36,IF($JE36=1,30,0),ABS(5-$HI36)*100)),100000+ABS(6-$HH36)*1000+50)))-IF((125=$HJ36)+(125=$HK36)+(125=$HL36)+(125=$HM36)+(125=$HN36)+(125=$HO36)&gt;=2,50,0))+DX$5*50)</f>
        <v/>
      </c>
      <c r="DY156">
        <f>IF(OR($JF36=0,calcA!$A$6=0),0,IF(OR(126=$HA36,126=$HD36,126=$HG36),200000,MIN(IF($HA36=0,999999,IF(6=$HB36,IF(126=$HJ36,IF($JC36=2,30,0),IF(126=$HK36,IF($JC36=1,30,0),ABS(6-$HC36)*100)),100000+ABS(6-$HB36)*1000+60)),IF($HD36=0,999999,IF(6=$HE36,IF(126=$HL36,IF($JD36=2,30,0),IF(126=$HM36,IF($JD36=1,30,0),ABS(6-$HF36)*100)),100000+ABS(6-$HE36)*1000+60)),IF($HG36=0,999999,IF(6=$HH36,IF(126=$HN36,IF($JE36=2,30,0),IF(126=$HO36,IF($JE36=1,30,0),ABS(6-$HI36)*100)),100000+ABS(6-$HH36)*1000+60)))-IF((126=$HJ36)+(126=$HK36)+(126=$HL36)+(126=$HM36)+(126=$HN36)+(126=$HO36)&gt;=2,50,0))+DY$5*50)</f>
        <v/>
      </c>
      <c r="DZ156">
        <f>IF(OR($JF36=0,calcA!$A$6=0),0,IF(OR(127=$HA36,127=$HD36,127=$HG36),200000,MIN(IF($HA36=0,999999,IF(6=$HB36,IF(127=$HJ36,IF($JC36=2,30,0),IF(127=$HK36,IF($JC36=1,30,0),ABS(7-$HC36)*100)),100000+ABS(6-$HB36)*1000+70)),IF($HD36=0,999999,IF(6=$HE36,IF(127=$HL36,IF($JD36=2,30,0),IF(127=$HM36,IF($JD36=1,30,0),ABS(7-$HF36)*100)),100000+ABS(6-$HE36)*1000+70)),IF($HG36=0,999999,IF(6=$HH36,IF(127=$HN36,IF($JE36=2,30,0),IF(127=$HO36,IF($JE36=1,30,0),ABS(7-$HI36)*100)),100000+ABS(6-$HH36)*1000+70)))-IF((127=$HJ36)+(127=$HK36)+(127=$HL36)+(127=$HM36)+(127=$HN36)+(127=$HO36)&gt;=2,50,0))+DZ$5*50)</f>
        <v/>
      </c>
      <c r="EA156">
        <f>IF(OR($JF36=0,calcA!$A$6=0),0,IF(OR(128=$HA36,128=$HD36,128=$HG36),200000,MIN(IF($HA36=0,999999,IF(6=$HB36,IF(128=$HJ36,IF($JC36=2,30,0),IF(128=$HK36,IF($JC36=1,30,0),ABS(8-$HC36)*100)),100000+ABS(6-$HB36)*1000+80)),IF($HD36=0,999999,IF(6=$HE36,IF(128=$HL36,IF($JD36=2,30,0),IF(128=$HM36,IF($JD36=1,30,0),ABS(8-$HF36)*100)),100000+ABS(6-$HE36)*1000+80)),IF($HG36=0,999999,IF(6=$HH36,IF(128=$HN36,IF($JE36=2,30,0),IF(128=$HO36,IF($JE36=1,30,0),ABS(8-$HI36)*100)),100000+ABS(6-$HH36)*1000+80)))-IF((128=$HJ36)+(128=$HK36)+(128=$HL36)+(128=$HM36)+(128=$HN36)+(128=$HO36)&gt;=2,50,0))+EA$5*50)</f>
        <v/>
      </c>
      <c r="EB156">
        <f>IF(OR($JF36=0,calcA!$A$6=0),0,IF(OR(129=$HA36,129=$HD36,129=$HG36),200000,MIN(IF($HA36=0,999999,IF(6=$HB36,IF(129=$HJ36,IF($JC36=2,30,0),IF(129=$HK36,IF($JC36=1,30,0),ABS(9-$HC36)*100)),100000+ABS(6-$HB36)*1000+90)),IF($HD36=0,999999,IF(6=$HE36,IF(129=$HL36,IF($JD36=2,30,0),IF(129=$HM36,IF($JD36=1,30,0),ABS(9-$HF36)*100)),100000+ABS(6-$HE36)*1000+90)),IF($HG36=0,999999,IF(6=$HH36,IF(129=$HN36,IF($JE36=2,30,0),IF(129=$HO36,IF($JE36=1,30,0),ABS(9-$HI36)*100)),100000+ABS(6-$HH36)*1000+90)))-IF((129=$HJ36)+(129=$HK36)+(129=$HL36)+(129=$HM36)+(129=$HN36)+(129=$HO36)&gt;=2,50,0))+EB$5*50)</f>
        <v/>
      </c>
      <c r="EC156">
        <f>IF(OR($JF36=0,calcA!$A$6=0),0,IF(OR(130=$HA36,130=$HD36,130=$HG36),200000,MIN(IF($HA36=0,999999,IF(6=$HB36,IF(130=$HJ36,IF($JC36=2,30,0),IF(130=$HK36,IF($JC36=1,30,0),ABS(10-$HC36)*100)),100000+ABS(6-$HB36)*1000+100)),IF($HD36=0,999999,IF(6=$HE36,IF(130=$HL36,IF($JD36=2,30,0),IF(130=$HM36,IF($JD36=1,30,0),ABS(10-$HF36)*100)),100000+ABS(6-$HE36)*1000+100)),IF($HG36=0,999999,IF(6=$HH36,IF(130=$HN36,IF($JE36=2,30,0),IF(130=$HO36,IF($JE36=1,30,0),ABS(10-$HI36)*100)),100000+ABS(6-$HH36)*1000+100)))-IF((130=$HJ36)+(130=$HK36)+(130=$HL36)+(130=$HM36)+(130=$HN36)+(130=$HO36)&gt;=2,50,0))+EC$5*50)</f>
        <v/>
      </c>
      <c r="ED156">
        <f>IF(OR($JF36=0,calcA!$A$6=0),0,IF(OR(131=$HA36,131=$HD36,131=$HG36),200000,MIN(IF($HA36=0,999999,IF(6=$HB36,IF(131=$HJ36,IF($JC36=2,30,0),IF(131=$HK36,IF($JC36=1,30,0),ABS(11-$HC36)*100)),100000+ABS(6-$HB36)*1000+110)),IF($HD36=0,999999,IF(6=$HE36,IF(131=$HL36,IF($JD36=2,30,0),IF(131=$HM36,IF($JD36=1,30,0),ABS(11-$HF36)*100)),100000+ABS(6-$HE36)*1000+110)),IF($HG36=0,999999,IF(6=$HH36,IF(131=$HN36,IF($JE36=2,30,0),IF(131=$HO36,IF($JE36=1,30,0),ABS(11-$HI36)*100)),100000+ABS(6-$HH36)*1000+110)))-IF((131=$HJ36)+(131=$HK36)+(131=$HL36)+(131=$HM36)+(131=$HN36)+(131=$HO36)&gt;=2,50,0))+ED$5*50)</f>
        <v/>
      </c>
      <c r="EE156">
        <f>IF(OR($JF36=0,calcA!$A$6=0),0,IF(OR(132=$HA36,132=$HD36,132=$HG36),200000,MIN(IF($HA36=0,999999,IF(6=$HB36,IF(132=$HJ36,IF($JC36=2,30,0),IF(132=$HK36,IF($JC36=1,30,0),ABS(12-$HC36)*100)),100000+ABS(6-$HB36)*1000+120)),IF($HD36=0,999999,IF(6=$HE36,IF(132=$HL36,IF($JD36=2,30,0),IF(132=$HM36,IF($JD36=1,30,0),ABS(12-$HF36)*100)),100000+ABS(6-$HE36)*1000+120)),IF($HG36=0,999999,IF(6=$HH36,IF(132=$HN36,IF($JE36=2,30,0),IF(132=$HO36,IF($JE36=1,30,0),ABS(12-$HI36)*100)),100000+ABS(6-$HH36)*1000+120)))-IF((132=$HJ36)+(132=$HK36)+(132=$HL36)+(132=$HM36)+(132=$HN36)+(132=$HO36)&gt;=2,50,0))+EE$5*50)</f>
        <v/>
      </c>
      <c r="EF156">
        <f>IF(OR($JF36=0,calcA!$A$6=0),0,IF(OR(133=$HA36,133=$HD36,133=$HG36),200000,MIN(IF($HA36=0,999999,IF(6=$HB36,IF(133=$HJ36,IF($JC36=2,30,0),IF(133=$HK36,IF($JC36=1,30,0),ABS(13-$HC36)*100)),100000+ABS(6-$HB36)*1000+130)),IF($HD36=0,999999,IF(6=$HE36,IF(133=$HL36,IF($JD36=2,30,0),IF(133=$HM36,IF($JD36=1,30,0),ABS(13-$HF36)*100)),100000+ABS(6-$HE36)*1000+130)),IF($HG36=0,999999,IF(6=$HH36,IF(133=$HN36,IF($JE36=2,30,0),IF(133=$HO36,IF($JE36=1,30,0),ABS(13-$HI36)*100)),100000+ABS(6-$HH36)*1000+130)))-IF((133=$HJ36)+(133=$HK36)+(133=$HL36)+(133=$HM36)+(133=$HN36)+(133=$HO36)&gt;=2,50,0))+EF$5*50)</f>
        <v/>
      </c>
      <c r="EG156">
        <f>IF(OR($JF36=0,calcA!$A$6=0),0,IF(OR(134=$HA36,134=$HD36,134=$HG36),200000,MIN(IF($HA36=0,999999,IF(6=$HB36,IF(134=$HJ36,IF($JC36=2,30,0),IF(134=$HK36,IF($JC36=1,30,0),ABS(14-$HC36)*100)),100000+ABS(6-$HB36)*1000+140)),IF($HD36=0,999999,IF(6=$HE36,IF(134=$HL36,IF($JD36=2,30,0),IF(134=$HM36,IF($JD36=1,30,0),ABS(14-$HF36)*100)),100000+ABS(6-$HE36)*1000+140)),IF($HG36=0,999999,IF(6=$HH36,IF(134=$HN36,IF($JE36=2,30,0),IF(134=$HO36,IF($JE36=1,30,0),ABS(14-$HI36)*100)),100000+ABS(6-$HH36)*1000+140)))-IF((134=$HJ36)+(134=$HK36)+(134=$HL36)+(134=$HM36)+(134=$HN36)+(134=$HO36)&gt;=2,50,0))+EG$5*50)</f>
        <v/>
      </c>
      <c r="EH156">
        <f>IF(OR($JF36=0,calcA!$A$6=0),0,IF(OR(135=$HA36,135=$HD36,135=$HG36),200000,MIN(IF($HA36=0,999999,IF(6=$HB36,IF(135=$HJ36,IF($JC36=2,30,0),IF(135=$HK36,IF($JC36=1,30,0),ABS(15-$HC36)*100)),100000+ABS(6-$HB36)*1000+150)),IF($HD36=0,999999,IF(6=$HE36,IF(135=$HL36,IF($JD36=2,30,0),IF(135=$HM36,IF($JD36=1,30,0),ABS(15-$HF36)*100)),100000+ABS(6-$HE36)*1000+150)),IF($HG36=0,999999,IF(6=$HH36,IF(135=$HN36,IF($JE36=2,30,0),IF(135=$HO36,IF($JE36=1,30,0),ABS(15-$HI36)*100)),100000+ABS(6-$HH36)*1000+150)))-IF((135=$HJ36)+(135=$HK36)+(135=$HL36)+(135=$HM36)+(135=$HN36)+(135=$HO36)&gt;=2,50,0))+EH$5*50)</f>
        <v/>
      </c>
      <c r="EI156">
        <f>IF(OR($JF36=0,calcA!$A$6=0),0,IF(OR(136=$HA36,136=$HD36,136=$HG36),200000,MIN(IF($HA36=0,999999,IF(6=$HB36,IF(136=$HJ36,IF($JC36=2,30,0),IF(136=$HK36,IF($JC36=1,30,0),ABS(16-$HC36)*100)),100000+ABS(6-$HB36)*1000+160)),IF($HD36=0,999999,IF(6=$HE36,IF(136=$HL36,IF($JD36=2,30,0),IF(136=$HM36,IF($JD36=1,30,0),ABS(16-$HF36)*100)),100000+ABS(6-$HE36)*1000+160)),IF($HG36=0,999999,IF(6=$HH36,IF(136=$HN36,IF($JE36=2,30,0),IF(136=$HO36,IF($JE36=1,30,0),ABS(16-$HI36)*100)),100000+ABS(6-$HH36)*1000+160)))-IF((136=$HJ36)+(136=$HK36)+(136=$HL36)+(136=$HM36)+(136=$HN36)+(136=$HO36)&gt;=2,50,0))+EI$5*50)</f>
        <v/>
      </c>
      <c r="EJ156">
        <f>IF(OR($JF36=0,calcA!$A$6=0),0,IF(OR(137=$HA36,137=$HD36,137=$HG36),200000,MIN(IF($HA36=0,999999,IF(6=$HB36,IF(137=$HJ36,IF($JC36=2,30,0),IF(137=$HK36,IF($JC36=1,30,0),ABS(17-$HC36)*100)),100000+ABS(6-$HB36)*1000+170)),IF($HD36=0,999999,IF(6=$HE36,IF(137=$HL36,IF($JD36=2,30,0),IF(137=$HM36,IF($JD36=1,30,0),ABS(17-$HF36)*100)),100000+ABS(6-$HE36)*1000+170)),IF($HG36=0,999999,IF(6=$HH36,IF(137=$HN36,IF($JE36=2,30,0),IF(137=$HO36,IF($JE36=1,30,0),ABS(17-$HI36)*100)),100000+ABS(6-$HH36)*1000+170)))-IF((137=$HJ36)+(137=$HK36)+(137=$HL36)+(137=$HM36)+(137=$HN36)+(137=$HO36)&gt;=2,50,0))+EJ$5*50)</f>
        <v/>
      </c>
      <c r="EK156">
        <f>IF(OR($JF36=0,calcA!$A$6=0),0,IF(OR(138=$HA36,138=$HD36,138=$HG36),200000,MIN(IF($HA36=0,999999,IF(6=$HB36,IF(138=$HJ36,IF($JC36=2,30,0),IF(138=$HK36,IF($JC36=1,30,0),ABS(18-$HC36)*100)),100000+ABS(6-$HB36)*1000+180)),IF($HD36=0,999999,IF(6=$HE36,IF(138=$HL36,IF($JD36=2,30,0),IF(138=$HM36,IF($JD36=1,30,0),ABS(18-$HF36)*100)),100000+ABS(6-$HE36)*1000+180)),IF($HG36=0,999999,IF(6=$HH36,IF(138=$HN36,IF($JE36=2,30,0),IF(138=$HO36,IF($JE36=1,30,0),ABS(18-$HI36)*100)),100000+ABS(6-$HH36)*1000+180)))-IF((138=$HJ36)+(138=$HK36)+(138=$HL36)+(138=$HM36)+(138=$HN36)+(138=$HO36)&gt;=2,50,0))+EK$5*50)</f>
        <v/>
      </c>
      <c r="EL156">
        <f>IF(OR($JF36=0,calcA!$A$6=0),0,IF(OR(139=$HA36,139=$HD36,139=$HG36),200000,MIN(IF($HA36=0,999999,IF(6=$HB36,IF(139=$HJ36,IF($JC36=2,30,0),IF(139=$HK36,IF($JC36=1,30,0),ABS(19-$HC36)*100)),100000+ABS(6-$HB36)*1000+190)),IF($HD36=0,999999,IF(6=$HE36,IF(139=$HL36,IF($JD36=2,30,0),IF(139=$HM36,IF($JD36=1,30,0),ABS(19-$HF36)*100)),100000+ABS(6-$HE36)*1000+190)),IF($HG36=0,999999,IF(6=$HH36,IF(139=$HN36,IF($JE36=2,30,0),IF(139=$HO36,IF($JE36=1,30,0),ABS(19-$HI36)*100)),100000+ABS(6-$HH36)*1000+190)))-IF((139=$HJ36)+(139=$HK36)+(139=$HL36)+(139=$HM36)+(139=$HN36)+(139=$HO36)&gt;=2,50,0))+EL$5*50)</f>
        <v/>
      </c>
      <c r="EM156">
        <f>IF(OR($JF36=0,calcA!$A$6=0),0,IF(OR(140=$HA36,140=$HD36,140=$HG36),200000,MIN(IF($HA36=0,999999,IF(6=$HB36,IF(140=$HJ36,IF($JC36=2,30,0),IF(140=$HK36,IF($JC36=1,30,0),ABS(20-$HC36)*100)),100000+ABS(6-$HB36)*1000+200)),IF($HD36=0,999999,IF(6=$HE36,IF(140=$HL36,IF($JD36=2,30,0),IF(140=$HM36,IF($JD36=1,30,0),ABS(20-$HF36)*100)),100000+ABS(6-$HE36)*1000+200)),IF($HG36=0,999999,IF(6=$HH36,IF(140=$HN36,IF($JE36=2,30,0),IF(140=$HO36,IF($JE36=1,30,0),ABS(20-$HI36)*100)),100000+ABS(6-$HH36)*1000+200)))-IF((140=$HJ36)+(140=$HK36)+(140=$HL36)+(140=$HM36)+(140=$HN36)+(140=$HO36)&gt;=2,50,0))+EM$5*50)</f>
        <v/>
      </c>
      <c r="EN156">
        <f>IF(OR($JF36=0,calcA!$A$6=0),0,IF(OR(141=$HA36,141=$HD36,141=$HG36),200000,MIN(IF($HA36=0,999999,IF(6=$HB36,IF(141=$HJ36,IF($JC36=2,30,0),IF(141=$HK36,IF($JC36=1,30,0),ABS(21-$HC36)*100)),100000+ABS(6-$HB36)*1000+210)),IF($HD36=0,999999,IF(6=$HE36,IF(141=$HL36,IF($JD36=2,30,0),IF(141=$HM36,IF($JD36=1,30,0),ABS(21-$HF36)*100)),100000+ABS(6-$HE36)*1000+210)),IF($HG36=0,999999,IF(6=$HH36,IF(141=$HN36,IF($JE36=2,30,0),IF(141=$HO36,IF($JE36=1,30,0),ABS(21-$HI36)*100)),100000+ABS(6-$HH36)*1000+210)))-IF((141=$HJ36)+(141=$HK36)+(141=$HL36)+(141=$HM36)+(141=$HN36)+(141=$HO36)&gt;=2,50,0))+EN$5*50)</f>
        <v/>
      </c>
      <c r="EO156">
        <f>IF(OR($JF36=0,calcA!$A$6=0),0,IF(OR(142=$HA36,142=$HD36,142=$HG36),200000,MIN(IF($HA36=0,999999,IF(6=$HB36,IF(142=$HJ36,IF($JC36=2,30,0),IF(142=$HK36,IF($JC36=1,30,0),ABS(22-$HC36)*100)),100000+ABS(6-$HB36)*1000+220)),IF($HD36=0,999999,IF(6=$HE36,IF(142=$HL36,IF($JD36=2,30,0),IF(142=$HM36,IF($JD36=1,30,0),ABS(22-$HF36)*100)),100000+ABS(6-$HE36)*1000+220)),IF($HG36=0,999999,IF(6=$HH36,IF(142=$HN36,IF($JE36=2,30,0),IF(142=$HO36,IF($JE36=1,30,0),ABS(22-$HI36)*100)),100000+ABS(6-$HH36)*1000+220)))-IF((142=$HJ36)+(142=$HK36)+(142=$HL36)+(142=$HM36)+(142=$HN36)+(142=$HO36)&gt;=2,50,0))+EO$5*50)</f>
        <v/>
      </c>
      <c r="EP156">
        <f>IF(OR($JF36=0,calcA!$A$6=0),0,IF(OR(143=$HA36,143=$HD36,143=$HG36),200000,MIN(IF($HA36=0,999999,IF(6=$HB36,IF(143=$HJ36,IF($JC36=2,30,0),IF(143=$HK36,IF($JC36=1,30,0),ABS(23-$HC36)*100)),100000+ABS(6-$HB36)*1000+230)),IF($HD36=0,999999,IF(6=$HE36,IF(143=$HL36,IF($JD36=2,30,0),IF(143=$HM36,IF($JD36=1,30,0),ABS(23-$HF36)*100)),100000+ABS(6-$HE36)*1000+230)),IF($HG36=0,999999,IF(6=$HH36,IF(143=$HN36,IF($JE36=2,30,0),IF(143=$HO36,IF($JE36=1,30,0),ABS(23-$HI36)*100)),100000+ABS(6-$HH36)*1000+230)))-IF((143=$HJ36)+(143=$HK36)+(143=$HL36)+(143=$HM36)+(143=$HN36)+(143=$HO36)&gt;=2,50,0))+EP$5*50)</f>
        <v/>
      </c>
      <c r="EQ156">
        <f>IF(OR($JF36=0,calcA!$A$6=0),0,IF(OR(144=$HA36,144=$HD36,144=$HG36),200000,MIN(IF($HA36=0,999999,IF(6=$HB36,IF(144=$HJ36,IF($JC36=2,30,0),IF(144=$HK36,IF($JC36=1,30,0),ABS(24-$HC36)*100)),100000+ABS(6-$HB36)*1000+240)),IF($HD36=0,999999,IF(6=$HE36,IF(144=$HL36,IF($JD36=2,30,0),IF(144=$HM36,IF($JD36=1,30,0),ABS(24-$HF36)*100)),100000+ABS(6-$HE36)*1000+240)),IF($HG36=0,999999,IF(6=$HH36,IF(144=$HN36,IF($JE36=2,30,0),IF(144=$HO36,IF($JE36=1,30,0),ABS(24-$HI36)*100)),100000+ABS(6-$HH36)*1000+240)))-IF((144=$HJ36)+(144=$HK36)+(144=$HL36)+(144=$HM36)+(144=$HN36)+(144=$HO36)&gt;=2,50,0))+EQ$5*50)</f>
        <v/>
      </c>
    </row>
    <row r="157">
      <c r="D157">
        <f>IF(OR($JF37=0,calcA!$A$6=0),0,IF(OR(1=$HA37,1=$HD37,1=$HG37),200000,MIN(IF($HA37=0,999999,IF(1=$HB37,IF(1=$HJ37,IF($JC37=2,30,0),IF(1=$HK37,IF($JC37=1,30,0),ABS(1-$HC37)*100)),100000+ABS(1-$HB37)*1000+10)),IF($HD37=0,999999,IF(1=$HE37,IF(1=$HL37,IF($JD37=2,30,0),IF(1=$HM37,IF($JD37=1,30,0),ABS(1-$HF37)*100)),100000+ABS(1-$HE37)*1000+10)),IF($HG37=0,999999,IF(1=$HH37,IF(1=$HN37,IF($JE37=2,30,0),IF(1=$HO37,IF($JE37=1,30,0),ABS(1-$HI37)*100)),100000+ABS(1-$HH37)*1000+10)))-IF((1=$HJ37)+(1=$HK37)+(1=$HL37)+(1=$HM37)+(1=$HN37)+(1=$HO37)&gt;=2,50,0))+D$5*50)</f>
        <v/>
      </c>
      <c r="E157">
        <f>IF(OR($JF37=0,calcA!$A$6=0),0,IF(OR(2=$HA37,2=$HD37,2=$HG37),200000,MIN(IF($HA37=0,999999,IF(1=$HB37,IF(2=$HJ37,IF($JC37=2,30,0),IF(2=$HK37,IF($JC37=1,30,0),ABS(2-$HC37)*100)),100000+ABS(1-$HB37)*1000+20)),IF($HD37=0,999999,IF(1=$HE37,IF(2=$HL37,IF($JD37=2,30,0),IF(2=$HM37,IF($JD37=1,30,0),ABS(2-$HF37)*100)),100000+ABS(1-$HE37)*1000+20)),IF($HG37=0,999999,IF(1=$HH37,IF(2=$HN37,IF($JE37=2,30,0),IF(2=$HO37,IF($JE37=1,30,0),ABS(2-$HI37)*100)),100000+ABS(1-$HH37)*1000+20)))-IF((2=$HJ37)+(2=$HK37)+(2=$HL37)+(2=$HM37)+(2=$HN37)+(2=$HO37)&gt;=2,50,0))+E$5*50)</f>
        <v/>
      </c>
      <c r="F157">
        <f>IF(OR($JF37=0,calcA!$A$6=0),0,IF(OR(3=$HA37,3=$HD37,3=$HG37),200000,MIN(IF($HA37=0,999999,IF(1=$HB37,IF(3=$HJ37,IF($JC37=2,30,0),IF(3=$HK37,IF($JC37=1,30,0),ABS(3-$HC37)*100)),100000+ABS(1-$HB37)*1000+30)),IF($HD37=0,999999,IF(1=$HE37,IF(3=$HL37,IF($JD37=2,30,0),IF(3=$HM37,IF($JD37=1,30,0),ABS(3-$HF37)*100)),100000+ABS(1-$HE37)*1000+30)),IF($HG37=0,999999,IF(1=$HH37,IF(3=$HN37,IF($JE37=2,30,0),IF(3=$HO37,IF($JE37=1,30,0),ABS(3-$HI37)*100)),100000+ABS(1-$HH37)*1000+30)))-IF((3=$HJ37)+(3=$HK37)+(3=$HL37)+(3=$HM37)+(3=$HN37)+(3=$HO37)&gt;=2,50,0))+F$5*50)</f>
        <v/>
      </c>
      <c r="G157">
        <f>IF(OR($JF37=0,calcA!$A$6=0),0,IF(OR(4=$HA37,4=$HD37,4=$HG37),200000,MIN(IF($HA37=0,999999,IF(1=$HB37,IF(4=$HJ37,IF($JC37=2,30,0),IF(4=$HK37,IF($JC37=1,30,0),ABS(4-$HC37)*100)),100000+ABS(1-$HB37)*1000+40)),IF($HD37=0,999999,IF(1=$HE37,IF(4=$HL37,IF($JD37=2,30,0),IF(4=$HM37,IF($JD37=1,30,0),ABS(4-$HF37)*100)),100000+ABS(1-$HE37)*1000+40)),IF($HG37=0,999999,IF(1=$HH37,IF(4=$HN37,IF($JE37=2,30,0),IF(4=$HO37,IF($JE37=1,30,0),ABS(4-$HI37)*100)),100000+ABS(1-$HH37)*1000+40)))-IF((4=$HJ37)+(4=$HK37)+(4=$HL37)+(4=$HM37)+(4=$HN37)+(4=$HO37)&gt;=2,50,0))+G$5*50)</f>
        <v/>
      </c>
      <c r="H157">
        <f>IF(OR($JF37=0,calcA!$A$6=0),0,IF(OR(5=$HA37,5=$HD37,5=$HG37),200000,MIN(IF($HA37=0,999999,IF(1=$HB37,IF(5=$HJ37,IF($JC37=2,30,0),IF(5=$HK37,IF($JC37=1,30,0),ABS(5-$HC37)*100)),100000+ABS(1-$HB37)*1000+50)),IF($HD37=0,999999,IF(1=$HE37,IF(5=$HL37,IF($JD37=2,30,0),IF(5=$HM37,IF($JD37=1,30,0),ABS(5-$HF37)*100)),100000+ABS(1-$HE37)*1000+50)),IF($HG37=0,999999,IF(1=$HH37,IF(5=$HN37,IF($JE37=2,30,0),IF(5=$HO37,IF($JE37=1,30,0),ABS(5-$HI37)*100)),100000+ABS(1-$HH37)*1000+50)))-IF((5=$HJ37)+(5=$HK37)+(5=$HL37)+(5=$HM37)+(5=$HN37)+(5=$HO37)&gt;=2,50,0))+H$5*50)</f>
        <v/>
      </c>
      <c r="I157">
        <f>IF(OR($JF37=0,calcA!$A$6=0),0,IF(OR(6=$HA37,6=$HD37,6=$HG37),200000,MIN(IF($HA37=0,999999,IF(1=$HB37,IF(6=$HJ37,IF($JC37=2,30,0),IF(6=$HK37,IF($JC37=1,30,0),ABS(6-$HC37)*100)),100000+ABS(1-$HB37)*1000+60)),IF($HD37=0,999999,IF(1=$HE37,IF(6=$HL37,IF($JD37=2,30,0),IF(6=$HM37,IF($JD37=1,30,0),ABS(6-$HF37)*100)),100000+ABS(1-$HE37)*1000+60)),IF($HG37=0,999999,IF(1=$HH37,IF(6=$HN37,IF($JE37=2,30,0),IF(6=$HO37,IF($JE37=1,30,0),ABS(6-$HI37)*100)),100000+ABS(1-$HH37)*1000+60)))-IF((6=$HJ37)+(6=$HK37)+(6=$HL37)+(6=$HM37)+(6=$HN37)+(6=$HO37)&gt;=2,50,0))+I$5*50)</f>
        <v/>
      </c>
      <c r="J157">
        <f>IF(OR($JF37=0,calcA!$A$6=0),0,IF(OR(7=$HA37,7=$HD37,7=$HG37),200000,MIN(IF($HA37=0,999999,IF(1=$HB37,IF(7=$HJ37,IF($JC37=2,30,0),IF(7=$HK37,IF($JC37=1,30,0),ABS(7-$HC37)*100)),100000+ABS(1-$HB37)*1000+70)),IF($HD37=0,999999,IF(1=$HE37,IF(7=$HL37,IF($JD37=2,30,0),IF(7=$HM37,IF($JD37=1,30,0),ABS(7-$HF37)*100)),100000+ABS(1-$HE37)*1000+70)),IF($HG37=0,999999,IF(1=$HH37,IF(7=$HN37,IF($JE37=2,30,0),IF(7=$HO37,IF($JE37=1,30,0),ABS(7-$HI37)*100)),100000+ABS(1-$HH37)*1000+70)))-IF((7=$HJ37)+(7=$HK37)+(7=$HL37)+(7=$HM37)+(7=$HN37)+(7=$HO37)&gt;=2,50,0))+J$5*50)</f>
        <v/>
      </c>
      <c r="K157">
        <f>IF(OR($JF37=0,calcA!$A$6=0),0,IF(OR(8=$HA37,8=$HD37,8=$HG37),200000,MIN(IF($HA37=0,999999,IF(1=$HB37,IF(8=$HJ37,IF($JC37=2,30,0),IF(8=$HK37,IF($JC37=1,30,0),ABS(8-$HC37)*100)),100000+ABS(1-$HB37)*1000+80)),IF($HD37=0,999999,IF(1=$HE37,IF(8=$HL37,IF($JD37=2,30,0),IF(8=$HM37,IF($JD37=1,30,0),ABS(8-$HF37)*100)),100000+ABS(1-$HE37)*1000+80)),IF($HG37=0,999999,IF(1=$HH37,IF(8=$HN37,IF($JE37=2,30,0),IF(8=$HO37,IF($JE37=1,30,0),ABS(8-$HI37)*100)),100000+ABS(1-$HH37)*1000+80)))-IF((8=$HJ37)+(8=$HK37)+(8=$HL37)+(8=$HM37)+(8=$HN37)+(8=$HO37)&gt;=2,50,0))+K$5*50)</f>
        <v/>
      </c>
      <c r="L157">
        <f>IF(OR($JF37=0,calcA!$A$6=0),0,IF(OR(9=$HA37,9=$HD37,9=$HG37),200000,MIN(IF($HA37=0,999999,IF(1=$HB37,IF(9=$HJ37,IF($JC37=2,30,0),IF(9=$HK37,IF($JC37=1,30,0),ABS(9-$HC37)*100)),100000+ABS(1-$HB37)*1000+90)),IF($HD37=0,999999,IF(1=$HE37,IF(9=$HL37,IF($JD37=2,30,0),IF(9=$HM37,IF($JD37=1,30,0),ABS(9-$HF37)*100)),100000+ABS(1-$HE37)*1000+90)),IF($HG37=0,999999,IF(1=$HH37,IF(9=$HN37,IF($JE37=2,30,0),IF(9=$HO37,IF($JE37=1,30,0),ABS(9-$HI37)*100)),100000+ABS(1-$HH37)*1000+90)))-IF((9=$HJ37)+(9=$HK37)+(9=$HL37)+(9=$HM37)+(9=$HN37)+(9=$HO37)&gt;=2,50,0))+L$5*50)</f>
        <v/>
      </c>
      <c r="M157">
        <f>IF(OR($JF37=0,calcA!$A$6=0),0,IF(OR(10=$HA37,10=$HD37,10=$HG37),200000,MIN(IF($HA37=0,999999,IF(1=$HB37,IF(10=$HJ37,IF($JC37=2,30,0),IF(10=$HK37,IF($JC37=1,30,0),ABS(10-$HC37)*100)),100000+ABS(1-$HB37)*1000+100)),IF($HD37=0,999999,IF(1=$HE37,IF(10=$HL37,IF($JD37=2,30,0),IF(10=$HM37,IF($JD37=1,30,0),ABS(10-$HF37)*100)),100000+ABS(1-$HE37)*1000+100)),IF($HG37=0,999999,IF(1=$HH37,IF(10=$HN37,IF($JE37=2,30,0),IF(10=$HO37,IF($JE37=1,30,0),ABS(10-$HI37)*100)),100000+ABS(1-$HH37)*1000+100)))-IF((10=$HJ37)+(10=$HK37)+(10=$HL37)+(10=$HM37)+(10=$HN37)+(10=$HO37)&gt;=2,50,0))+M$5*50)</f>
        <v/>
      </c>
      <c r="N157">
        <f>IF(OR($JF37=0,calcA!$A$6=0),0,IF(OR(11=$HA37,11=$HD37,11=$HG37),200000,MIN(IF($HA37=0,999999,IF(1=$HB37,IF(11=$HJ37,IF($JC37=2,30,0),IF(11=$HK37,IF($JC37=1,30,0),ABS(11-$HC37)*100)),100000+ABS(1-$HB37)*1000+110)),IF($HD37=0,999999,IF(1=$HE37,IF(11=$HL37,IF($JD37=2,30,0),IF(11=$HM37,IF($JD37=1,30,0),ABS(11-$HF37)*100)),100000+ABS(1-$HE37)*1000+110)),IF($HG37=0,999999,IF(1=$HH37,IF(11=$HN37,IF($JE37=2,30,0),IF(11=$HO37,IF($JE37=1,30,0),ABS(11-$HI37)*100)),100000+ABS(1-$HH37)*1000+110)))-IF((11=$HJ37)+(11=$HK37)+(11=$HL37)+(11=$HM37)+(11=$HN37)+(11=$HO37)&gt;=2,50,0))+N$5*50)</f>
        <v/>
      </c>
      <c r="O157">
        <f>IF(OR($JF37=0,calcA!$A$6=0),0,IF(OR(12=$HA37,12=$HD37,12=$HG37),200000,MIN(IF($HA37=0,999999,IF(1=$HB37,IF(12=$HJ37,IF($JC37=2,30,0),IF(12=$HK37,IF($JC37=1,30,0),ABS(12-$HC37)*100)),100000+ABS(1-$HB37)*1000+120)),IF($HD37=0,999999,IF(1=$HE37,IF(12=$HL37,IF($JD37=2,30,0),IF(12=$HM37,IF($JD37=1,30,0),ABS(12-$HF37)*100)),100000+ABS(1-$HE37)*1000+120)),IF($HG37=0,999999,IF(1=$HH37,IF(12=$HN37,IF($JE37=2,30,0),IF(12=$HO37,IF($JE37=1,30,0),ABS(12-$HI37)*100)),100000+ABS(1-$HH37)*1000+120)))-IF((12=$HJ37)+(12=$HK37)+(12=$HL37)+(12=$HM37)+(12=$HN37)+(12=$HO37)&gt;=2,50,0))+O$5*50)</f>
        <v/>
      </c>
      <c r="P157">
        <f>IF(OR($JF37=0,calcA!$A$6=0),0,IF(OR(13=$HA37,13=$HD37,13=$HG37),200000,MIN(IF($HA37=0,999999,IF(1=$HB37,IF(13=$HJ37,IF($JC37=2,30,0),IF(13=$HK37,IF($JC37=1,30,0),ABS(13-$HC37)*100)),100000+ABS(1-$HB37)*1000+130)),IF($HD37=0,999999,IF(1=$HE37,IF(13=$HL37,IF($JD37=2,30,0),IF(13=$HM37,IF($JD37=1,30,0),ABS(13-$HF37)*100)),100000+ABS(1-$HE37)*1000+130)),IF($HG37=0,999999,IF(1=$HH37,IF(13=$HN37,IF($JE37=2,30,0),IF(13=$HO37,IF($JE37=1,30,0),ABS(13-$HI37)*100)),100000+ABS(1-$HH37)*1000+130)))-IF((13=$HJ37)+(13=$HK37)+(13=$HL37)+(13=$HM37)+(13=$HN37)+(13=$HO37)&gt;=2,50,0))+P$5*50)</f>
        <v/>
      </c>
      <c r="Q157">
        <f>IF(OR($JF37=0,calcA!$A$6=0),0,IF(OR(14=$HA37,14=$HD37,14=$HG37),200000,MIN(IF($HA37=0,999999,IF(1=$HB37,IF(14=$HJ37,IF($JC37=2,30,0),IF(14=$HK37,IF($JC37=1,30,0),ABS(14-$HC37)*100)),100000+ABS(1-$HB37)*1000+140)),IF($HD37=0,999999,IF(1=$HE37,IF(14=$HL37,IF($JD37=2,30,0),IF(14=$HM37,IF($JD37=1,30,0),ABS(14-$HF37)*100)),100000+ABS(1-$HE37)*1000+140)),IF($HG37=0,999999,IF(1=$HH37,IF(14=$HN37,IF($JE37=2,30,0),IF(14=$HO37,IF($JE37=1,30,0),ABS(14-$HI37)*100)),100000+ABS(1-$HH37)*1000+140)))-IF((14=$HJ37)+(14=$HK37)+(14=$HL37)+(14=$HM37)+(14=$HN37)+(14=$HO37)&gt;=2,50,0))+Q$5*50)</f>
        <v/>
      </c>
      <c r="R157">
        <f>IF(OR($JF37=0,calcA!$A$6=0),0,IF(OR(15=$HA37,15=$HD37,15=$HG37),200000,MIN(IF($HA37=0,999999,IF(1=$HB37,IF(15=$HJ37,IF($JC37=2,30,0),IF(15=$HK37,IF($JC37=1,30,0),ABS(15-$HC37)*100)),100000+ABS(1-$HB37)*1000+150)),IF($HD37=0,999999,IF(1=$HE37,IF(15=$HL37,IF($JD37=2,30,0),IF(15=$HM37,IF($JD37=1,30,0),ABS(15-$HF37)*100)),100000+ABS(1-$HE37)*1000+150)),IF($HG37=0,999999,IF(1=$HH37,IF(15=$HN37,IF($JE37=2,30,0),IF(15=$HO37,IF($JE37=1,30,0),ABS(15-$HI37)*100)),100000+ABS(1-$HH37)*1000+150)))-IF((15=$HJ37)+(15=$HK37)+(15=$HL37)+(15=$HM37)+(15=$HN37)+(15=$HO37)&gt;=2,50,0))+R$5*50)</f>
        <v/>
      </c>
      <c r="S157">
        <f>IF(OR($JF37=0,calcA!$A$6=0),0,IF(OR(16=$HA37,16=$HD37,16=$HG37),200000,MIN(IF($HA37=0,999999,IF(1=$HB37,IF(16=$HJ37,IF($JC37=2,30,0),IF(16=$HK37,IF($JC37=1,30,0),ABS(16-$HC37)*100)),100000+ABS(1-$HB37)*1000+160)),IF($HD37=0,999999,IF(1=$HE37,IF(16=$HL37,IF($JD37=2,30,0),IF(16=$HM37,IF($JD37=1,30,0),ABS(16-$HF37)*100)),100000+ABS(1-$HE37)*1000+160)),IF($HG37=0,999999,IF(1=$HH37,IF(16=$HN37,IF($JE37=2,30,0),IF(16=$HO37,IF($JE37=1,30,0),ABS(16-$HI37)*100)),100000+ABS(1-$HH37)*1000+160)))-IF((16=$HJ37)+(16=$HK37)+(16=$HL37)+(16=$HM37)+(16=$HN37)+(16=$HO37)&gt;=2,50,0))+S$5*50)</f>
        <v/>
      </c>
      <c r="T157">
        <f>IF(OR($JF37=0,calcA!$A$6=0),0,IF(OR(17=$HA37,17=$HD37,17=$HG37),200000,MIN(IF($HA37=0,999999,IF(1=$HB37,IF(17=$HJ37,IF($JC37=2,30,0),IF(17=$HK37,IF($JC37=1,30,0),ABS(17-$HC37)*100)),100000+ABS(1-$HB37)*1000+170)),IF($HD37=0,999999,IF(1=$HE37,IF(17=$HL37,IF($JD37=2,30,0),IF(17=$HM37,IF($JD37=1,30,0),ABS(17-$HF37)*100)),100000+ABS(1-$HE37)*1000+170)),IF($HG37=0,999999,IF(1=$HH37,IF(17=$HN37,IF($JE37=2,30,0),IF(17=$HO37,IF($JE37=1,30,0),ABS(17-$HI37)*100)),100000+ABS(1-$HH37)*1000+170)))-IF((17=$HJ37)+(17=$HK37)+(17=$HL37)+(17=$HM37)+(17=$HN37)+(17=$HO37)&gt;=2,50,0))+T$5*50)</f>
        <v/>
      </c>
      <c r="U157">
        <f>IF(OR($JF37=0,calcA!$A$6=0),0,IF(OR(18=$HA37,18=$HD37,18=$HG37),200000,MIN(IF($HA37=0,999999,IF(1=$HB37,IF(18=$HJ37,IF($JC37=2,30,0),IF(18=$HK37,IF($JC37=1,30,0),ABS(18-$HC37)*100)),100000+ABS(1-$HB37)*1000+180)),IF($HD37=0,999999,IF(1=$HE37,IF(18=$HL37,IF($JD37=2,30,0),IF(18=$HM37,IF($JD37=1,30,0),ABS(18-$HF37)*100)),100000+ABS(1-$HE37)*1000+180)),IF($HG37=0,999999,IF(1=$HH37,IF(18=$HN37,IF($JE37=2,30,0),IF(18=$HO37,IF($JE37=1,30,0),ABS(18-$HI37)*100)),100000+ABS(1-$HH37)*1000+180)))-IF((18=$HJ37)+(18=$HK37)+(18=$HL37)+(18=$HM37)+(18=$HN37)+(18=$HO37)&gt;=2,50,0))+U$5*50)</f>
        <v/>
      </c>
      <c r="V157">
        <f>IF(OR($JF37=0,calcA!$A$6=0),0,IF(OR(19=$HA37,19=$HD37,19=$HG37),200000,MIN(IF($HA37=0,999999,IF(1=$HB37,IF(19=$HJ37,IF($JC37=2,30,0),IF(19=$HK37,IF($JC37=1,30,0),ABS(19-$HC37)*100)),100000+ABS(1-$HB37)*1000+190)),IF($HD37=0,999999,IF(1=$HE37,IF(19=$HL37,IF($JD37=2,30,0),IF(19=$HM37,IF($JD37=1,30,0),ABS(19-$HF37)*100)),100000+ABS(1-$HE37)*1000+190)),IF($HG37=0,999999,IF(1=$HH37,IF(19=$HN37,IF($JE37=2,30,0),IF(19=$HO37,IF($JE37=1,30,0),ABS(19-$HI37)*100)),100000+ABS(1-$HH37)*1000+190)))-IF((19=$HJ37)+(19=$HK37)+(19=$HL37)+(19=$HM37)+(19=$HN37)+(19=$HO37)&gt;=2,50,0))+V$5*50)</f>
        <v/>
      </c>
      <c r="W157">
        <f>IF(OR($JF37=0,calcA!$A$6=0),0,IF(OR(20=$HA37,20=$HD37,20=$HG37),200000,MIN(IF($HA37=0,999999,IF(1=$HB37,IF(20=$HJ37,IF($JC37=2,30,0),IF(20=$HK37,IF($JC37=1,30,0),ABS(20-$HC37)*100)),100000+ABS(1-$HB37)*1000+200)),IF($HD37=0,999999,IF(1=$HE37,IF(20=$HL37,IF($JD37=2,30,0),IF(20=$HM37,IF($JD37=1,30,0),ABS(20-$HF37)*100)),100000+ABS(1-$HE37)*1000+200)),IF($HG37=0,999999,IF(1=$HH37,IF(20=$HN37,IF($JE37=2,30,0),IF(20=$HO37,IF($JE37=1,30,0),ABS(20-$HI37)*100)),100000+ABS(1-$HH37)*1000+200)))-IF((20=$HJ37)+(20=$HK37)+(20=$HL37)+(20=$HM37)+(20=$HN37)+(20=$HO37)&gt;=2,50,0))+W$5*50)</f>
        <v/>
      </c>
      <c r="X157">
        <f>IF(OR($JF37=0,calcA!$A$6=0),0,IF(OR(21=$HA37,21=$HD37,21=$HG37),200000,MIN(IF($HA37=0,999999,IF(1=$HB37,IF(21=$HJ37,IF($JC37=2,30,0),IF(21=$HK37,IF($JC37=1,30,0),ABS(21-$HC37)*100)),100000+ABS(1-$HB37)*1000+210)),IF($HD37=0,999999,IF(1=$HE37,IF(21=$HL37,IF($JD37=2,30,0),IF(21=$HM37,IF($JD37=1,30,0),ABS(21-$HF37)*100)),100000+ABS(1-$HE37)*1000+210)),IF($HG37=0,999999,IF(1=$HH37,IF(21=$HN37,IF($JE37=2,30,0),IF(21=$HO37,IF($JE37=1,30,0),ABS(21-$HI37)*100)),100000+ABS(1-$HH37)*1000+210)))-IF((21=$HJ37)+(21=$HK37)+(21=$HL37)+(21=$HM37)+(21=$HN37)+(21=$HO37)&gt;=2,50,0))+X$5*50)</f>
        <v/>
      </c>
      <c r="Y157">
        <f>IF(OR($JF37=0,calcA!$A$6=0),0,IF(OR(22=$HA37,22=$HD37,22=$HG37),200000,MIN(IF($HA37=0,999999,IF(1=$HB37,IF(22=$HJ37,IF($JC37=2,30,0),IF(22=$HK37,IF($JC37=1,30,0),ABS(22-$HC37)*100)),100000+ABS(1-$HB37)*1000+220)),IF($HD37=0,999999,IF(1=$HE37,IF(22=$HL37,IF($JD37=2,30,0),IF(22=$HM37,IF($JD37=1,30,0),ABS(22-$HF37)*100)),100000+ABS(1-$HE37)*1000+220)),IF($HG37=0,999999,IF(1=$HH37,IF(22=$HN37,IF($JE37=2,30,0),IF(22=$HO37,IF($JE37=1,30,0),ABS(22-$HI37)*100)),100000+ABS(1-$HH37)*1000+220)))-IF((22=$HJ37)+(22=$HK37)+(22=$HL37)+(22=$HM37)+(22=$HN37)+(22=$HO37)&gt;=2,50,0))+Y$5*50)</f>
        <v/>
      </c>
      <c r="Z157">
        <f>IF(OR($JF37=0,calcA!$A$6=0),0,IF(OR(23=$HA37,23=$HD37,23=$HG37),200000,MIN(IF($HA37=0,999999,IF(1=$HB37,IF(23=$HJ37,IF($JC37=2,30,0),IF(23=$HK37,IF($JC37=1,30,0),ABS(23-$HC37)*100)),100000+ABS(1-$HB37)*1000+230)),IF($HD37=0,999999,IF(1=$HE37,IF(23=$HL37,IF($JD37=2,30,0),IF(23=$HM37,IF($JD37=1,30,0),ABS(23-$HF37)*100)),100000+ABS(1-$HE37)*1000+230)),IF($HG37=0,999999,IF(1=$HH37,IF(23=$HN37,IF($JE37=2,30,0),IF(23=$HO37,IF($JE37=1,30,0),ABS(23-$HI37)*100)),100000+ABS(1-$HH37)*1000+230)))-IF((23=$HJ37)+(23=$HK37)+(23=$HL37)+(23=$HM37)+(23=$HN37)+(23=$HO37)&gt;=2,50,0))+Z$5*50)</f>
        <v/>
      </c>
      <c r="AA157">
        <f>IF(OR($JF37=0,calcA!$A$6=0),0,IF(OR(24=$HA37,24=$HD37,24=$HG37),200000,MIN(IF($HA37=0,999999,IF(1=$HB37,IF(24=$HJ37,IF($JC37=2,30,0),IF(24=$HK37,IF($JC37=1,30,0),ABS(24-$HC37)*100)),100000+ABS(1-$HB37)*1000+240)),IF($HD37=0,999999,IF(1=$HE37,IF(24=$HL37,IF($JD37=2,30,0),IF(24=$HM37,IF($JD37=1,30,0),ABS(24-$HF37)*100)),100000+ABS(1-$HE37)*1000+240)),IF($HG37=0,999999,IF(1=$HH37,IF(24=$HN37,IF($JE37=2,30,0),IF(24=$HO37,IF($JE37=1,30,0),ABS(24-$HI37)*100)),100000+ABS(1-$HH37)*1000+240)))-IF((24=$HJ37)+(24=$HK37)+(24=$HL37)+(24=$HM37)+(24=$HN37)+(24=$HO37)&gt;=2,50,0))+AA$5*50)</f>
        <v/>
      </c>
      <c r="AB157">
        <f>IF(OR($JF37=0,calcA!$A$6=0),0,IF(OR(25=$HA37,25=$HD37,25=$HG37),200000,MIN(IF($HA37=0,999999,IF(2=$HB37,IF(25=$HJ37,IF($JC37=2,30,0),IF(25=$HK37,IF($JC37=1,30,0),ABS(1-$HC37)*100)),100000+ABS(2-$HB37)*1000+10)),IF($HD37=0,999999,IF(2=$HE37,IF(25=$HL37,IF($JD37=2,30,0),IF(25=$HM37,IF($JD37=1,30,0),ABS(1-$HF37)*100)),100000+ABS(2-$HE37)*1000+10)),IF($HG37=0,999999,IF(2=$HH37,IF(25=$HN37,IF($JE37=2,30,0),IF(25=$HO37,IF($JE37=1,30,0),ABS(1-$HI37)*100)),100000+ABS(2-$HH37)*1000+10)))-IF((25=$HJ37)+(25=$HK37)+(25=$HL37)+(25=$HM37)+(25=$HN37)+(25=$HO37)&gt;=2,50,0))+AB$5*50)</f>
        <v/>
      </c>
      <c r="AC157">
        <f>IF(OR($JF37=0,calcA!$A$6=0),0,IF(OR(26=$HA37,26=$HD37,26=$HG37),200000,MIN(IF($HA37=0,999999,IF(2=$HB37,IF(26=$HJ37,IF($JC37=2,30,0),IF(26=$HK37,IF($JC37=1,30,0),ABS(2-$HC37)*100)),100000+ABS(2-$HB37)*1000+20)),IF($HD37=0,999999,IF(2=$HE37,IF(26=$HL37,IF($JD37=2,30,0),IF(26=$HM37,IF($JD37=1,30,0),ABS(2-$HF37)*100)),100000+ABS(2-$HE37)*1000+20)),IF($HG37=0,999999,IF(2=$HH37,IF(26=$HN37,IF($JE37=2,30,0),IF(26=$HO37,IF($JE37=1,30,0),ABS(2-$HI37)*100)),100000+ABS(2-$HH37)*1000+20)))-IF((26=$HJ37)+(26=$HK37)+(26=$HL37)+(26=$HM37)+(26=$HN37)+(26=$HO37)&gt;=2,50,0))+AC$5*50)</f>
        <v/>
      </c>
      <c r="AD157">
        <f>IF(OR($JF37=0,calcA!$A$6=0),0,IF(OR(27=$HA37,27=$HD37,27=$HG37),200000,MIN(IF($HA37=0,999999,IF(2=$HB37,IF(27=$HJ37,IF($JC37=2,30,0),IF(27=$HK37,IF($JC37=1,30,0),ABS(3-$HC37)*100)),100000+ABS(2-$HB37)*1000+30)),IF($HD37=0,999999,IF(2=$HE37,IF(27=$HL37,IF($JD37=2,30,0),IF(27=$HM37,IF($JD37=1,30,0),ABS(3-$HF37)*100)),100000+ABS(2-$HE37)*1000+30)),IF($HG37=0,999999,IF(2=$HH37,IF(27=$HN37,IF($JE37=2,30,0),IF(27=$HO37,IF($JE37=1,30,0),ABS(3-$HI37)*100)),100000+ABS(2-$HH37)*1000+30)))-IF((27=$HJ37)+(27=$HK37)+(27=$HL37)+(27=$HM37)+(27=$HN37)+(27=$HO37)&gt;=2,50,0))+AD$5*50)</f>
        <v/>
      </c>
      <c r="AE157">
        <f>IF(OR($JF37=0,calcA!$A$6=0),0,IF(OR(28=$HA37,28=$HD37,28=$HG37),200000,MIN(IF($HA37=0,999999,IF(2=$HB37,IF(28=$HJ37,IF($JC37=2,30,0),IF(28=$HK37,IF($JC37=1,30,0),ABS(4-$HC37)*100)),100000+ABS(2-$HB37)*1000+40)),IF($HD37=0,999999,IF(2=$HE37,IF(28=$HL37,IF($JD37=2,30,0),IF(28=$HM37,IF($JD37=1,30,0),ABS(4-$HF37)*100)),100000+ABS(2-$HE37)*1000+40)),IF($HG37=0,999999,IF(2=$HH37,IF(28=$HN37,IF($JE37=2,30,0),IF(28=$HO37,IF($JE37=1,30,0),ABS(4-$HI37)*100)),100000+ABS(2-$HH37)*1000+40)))-IF((28=$HJ37)+(28=$HK37)+(28=$HL37)+(28=$HM37)+(28=$HN37)+(28=$HO37)&gt;=2,50,0))+AE$5*50)</f>
        <v/>
      </c>
      <c r="AF157">
        <f>IF(OR($JF37=0,calcA!$A$6=0),0,IF(OR(29=$HA37,29=$HD37,29=$HG37),200000,MIN(IF($HA37=0,999999,IF(2=$HB37,IF(29=$HJ37,IF($JC37=2,30,0),IF(29=$HK37,IF($JC37=1,30,0),ABS(5-$HC37)*100)),100000+ABS(2-$HB37)*1000+50)),IF($HD37=0,999999,IF(2=$HE37,IF(29=$HL37,IF($JD37=2,30,0),IF(29=$HM37,IF($JD37=1,30,0),ABS(5-$HF37)*100)),100000+ABS(2-$HE37)*1000+50)),IF($HG37=0,999999,IF(2=$HH37,IF(29=$HN37,IF($JE37=2,30,0),IF(29=$HO37,IF($JE37=1,30,0),ABS(5-$HI37)*100)),100000+ABS(2-$HH37)*1000+50)))-IF((29=$HJ37)+(29=$HK37)+(29=$HL37)+(29=$HM37)+(29=$HN37)+(29=$HO37)&gt;=2,50,0))+AF$5*50)</f>
        <v/>
      </c>
      <c r="AG157">
        <f>IF(OR($JF37=0,calcA!$A$6=0),0,IF(OR(30=$HA37,30=$HD37,30=$HG37),200000,MIN(IF($HA37=0,999999,IF(2=$HB37,IF(30=$HJ37,IF($JC37=2,30,0),IF(30=$HK37,IF($JC37=1,30,0),ABS(6-$HC37)*100)),100000+ABS(2-$HB37)*1000+60)),IF($HD37=0,999999,IF(2=$HE37,IF(30=$HL37,IF($JD37=2,30,0),IF(30=$HM37,IF($JD37=1,30,0),ABS(6-$HF37)*100)),100000+ABS(2-$HE37)*1000+60)),IF($HG37=0,999999,IF(2=$HH37,IF(30=$HN37,IF($JE37=2,30,0),IF(30=$HO37,IF($JE37=1,30,0),ABS(6-$HI37)*100)),100000+ABS(2-$HH37)*1000+60)))-IF((30=$HJ37)+(30=$HK37)+(30=$HL37)+(30=$HM37)+(30=$HN37)+(30=$HO37)&gt;=2,50,0))+AG$5*50)</f>
        <v/>
      </c>
      <c r="AH157">
        <f>IF(OR($JF37=0,calcA!$A$6=0),0,IF(OR(31=$HA37,31=$HD37,31=$HG37),200000,MIN(IF($HA37=0,999999,IF(2=$HB37,IF(31=$HJ37,IF($JC37=2,30,0),IF(31=$HK37,IF($JC37=1,30,0),ABS(7-$HC37)*100)),100000+ABS(2-$HB37)*1000+70)),IF($HD37=0,999999,IF(2=$HE37,IF(31=$HL37,IF($JD37=2,30,0),IF(31=$HM37,IF($JD37=1,30,0),ABS(7-$HF37)*100)),100000+ABS(2-$HE37)*1000+70)),IF($HG37=0,999999,IF(2=$HH37,IF(31=$HN37,IF($JE37=2,30,0),IF(31=$HO37,IF($JE37=1,30,0),ABS(7-$HI37)*100)),100000+ABS(2-$HH37)*1000+70)))-IF((31=$HJ37)+(31=$HK37)+(31=$HL37)+(31=$HM37)+(31=$HN37)+(31=$HO37)&gt;=2,50,0))+AH$5*50)</f>
        <v/>
      </c>
      <c r="AI157">
        <f>IF(OR($JF37=0,calcA!$A$6=0),0,IF(OR(32=$HA37,32=$HD37,32=$HG37),200000,MIN(IF($HA37=0,999999,IF(2=$HB37,IF(32=$HJ37,IF($JC37=2,30,0),IF(32=$HK37,IF($JC37=1,30,0),ABS(8-$HC37)*100)),100000+ABS(2-$HB37)*1000+80)),IF($HD37=0,999999,IF(2=$HE37,IF(32=$HL37,IF($JD37=2,30,0),IF(32=$HM37,IF($JD37=1,30,0),ABS(8-$HF37)*100)),100000+ABS(2-$HE37)*1000+80)),IF($HG37=0,999999,IF(2=$HH37,IF(32=$HN37,IF($JE37=2,30,0),IF(32=$HO37,IF($JE37=1,30,0),ABS(8-$HI37)*100)),100000+ABS(2-$HH37)*1000+80)))-IF((32=$HJ37)+(32=$HK37)+(32=$HL37)+(32=$HM37)+(32=$HN37)+(32=$HO37)&gt;=2,50,0))+AI$5*50)</f>
        <v/>
      </c>
      <c r="AJ157">
        <f>IF(OR($JF37=0,calcA!$A$6=0),0,IF(OR(33=$HA37,33=$HD37,33=$HG37),200000,MIN(IF($HA37=0,999999,IF(2=$HB37,IF(33=$HJ37,IF($JC37=2,30,0),IF(33=$HK37,IF($JC37=1,30,0),ABS(9-$HC37)*100)),100000+ABS(2-$HB37)*1000+90)),IF($HD37=0,999999,IF(2=$HE37,IF(33=$HL37,IF($JD37=2,30,0),IF(33=$HM37,IF($JD37=1,30,0),ABS(9-$HF37)*100)),100000+ABS(2-$HE37)*1000+90)),IF($HG37=0,999999,IF(2=$HH37,IF(33=$HN37,IF($JE37=2,30,0),IF(33=$HO37,IF($JE37=1,30,0),ABS(9-$HI37)*100)),100000+ABS(2-$HH37)*1000+90)))-IF((33=$HJ37)+(33=$HK37)+(33=$HL37)+(33=$HM37)+(33=$HN37)+(33=$HO37)&gt;=2,50,0))+AJ$5*50)</f>
        <v/>
      </c>
      <c r="AK157">
        <f>IF(OR($JF37=0,calcA!$A$6=0),0,IF(OR(34=$HA37,34=$HD37,34=$HG37),200000,MIN(IF($HA37=0,999999,IF(2=$HB37,IF(34=$HJ37,IF($JC37=2,30,0),IF(34=$HK37,IF($JC37=1,30,0),ABS(10-$HC37)*100)),100000+ABS(2-$HB37)*1000+100)),IF($HD37=0,999999,IF(2=$HE37,IF(34=$HL37,IF($JD37=2,30,0),IF(34=$HM37,IF($JD37=1,30,0),ABS(10-$HF37)*100)),100000+ABS(2-$HE37)*1000+100)),IF($HG37=0,999999,IF(2=$HH37,IF(34=$HN37,IF($JE37=2,30,0),IF(34=$HO37,IF($JE37=1,30,0),ABS(10-$HI37)*100)),100000+ABS(2-$HH37)*1000+100)))-IF((34=$HJ37)+(34=$HK37)+(34=$HL37)+(34=$HM37)+(34=$HN37)+(34=$HO37)&gt;=2,50,0))+AK$5*50)</f>
        <v/>
      </c>
      <c r="AL157">
        <f>IF(OR($JF37=0,calcA!$A$6=0),0,IF(OR(35=$HA37,35=$HD37,35=$HG37),200000,MIN(IF($HA37=0,999999,IF(2=$HB37,IF(35=$HJ37,IF($JC37=2,30,0),IF(35=$HK37,IF($JC37=1,30,0),ABS(11-$HC37)*100)),100000+ABS(2-$HB37)*1000+110)),IF($HD37=0,999999,IF(2=$HE37,IF(35=$HL37,IF($JD37=2,30,0),IF(35=$HM37,IF($JD37=1,30,0),ABS(11-$HF37)*100)),100000+ABS(2-$HE37)*1000+110)),IF($HG37=0,999999,IF(2=$HH37,IF(35=$HN37,IF($JE37=2,30,0),IF(35=$HO37,IF($JE37=1,30,0),ABS(11-$HI37)*100)),100000+ABS(2-$HH37)*1000+110)))-IF((35=$HJ37)+(35=$HK37)+(35=$HL37)+(35=$HM37)+(35=$HN37)+(35=$HO37)&gt;=2,50,0))+AL$5*50)</f>
        <v/>
      </c>
      <c r="AM157">
        <f>IF(OR($JF37=0,calcA!$A$6=0),0,IF(OR(36=$HA37,36=$HD37,36=$HG37),200000,MIN(IF($HA37=0,999999,IF(2=$HB37,IF(36=$HJ37,IF($JC37=2,30,0),IF(36=$HK37,IF($JC37=1,30,0),ABS(12-$HC37)*100)),100000+ABS(2-$HB37)*1000+120)),IF($HD37=0,999999,IF(2=$HE37,IF(36=$HL37,IF($JD37=2,30,0),IF(36=$HM37,IF($JD37=1,30,0),ABS(12-$HF37)*100)),100000+ABS(2-$HE37)*1000+120)),IF($HG37=0,999999,IF(2=$HH37,IF(36=$HN37,IF($JE37=2,30,0),IF(36=$HO37,IF($JE37=1,30,0),ABS(12-$HI37)*100)),100000+ABS(2-$HH37)*1000+120)))-IF((36=$HJ37)+(36=$HK37)+(36=$HL37)+(36=$HM37)+(36=$HN37)+(36=$HO37)&gt;=2,50,0))+AM$5*50)</f>
        <v/>
      </c>
      <c r="AN157">
        <f>IF(OR($JF37=0,calcA!$A$6=0),0,IF(OR(37=$HA37,37=$HD37,37=$HG37),200000,MIN(IF($HA37=0,999999,IF(2=$HB37,IF(37=$HJ37,IF($JC37=2,30,0),IF(37=$HK37,IF($JC37=1,30,0),ABS(13-$HC37)*100)),100000+ABS(2-$HB37)*1000+130)),IF($HD37=0,999999,IF(2=$HE37,IF(37=$HL37,IF($JD37=2,30,0),IF(37=$HM37,IF($JD37=1,30,0),ABS(13-$HF37)*100)),100000+ABS(2-$HE37)*1000+130)),IF($HG37=0,999999,IF(2=$HH37,IF(37=$HN37,IF($JE37=2,30,0),IF(37=$HO37,IF($JE37=1,30,0),ABS(13-$HI37)*100)),100000+ABS(2-$HH37)*1000+130)))-IF((37=$HJ37)+(37=$HK37)+(37=$HL37)+(37=$HM37)+(37=$HN37)+(37=$HO37)&gt;=2,50,0))+AN$5*50)</f>
        <v/>
      </c>
      <c r="AO157">
        <f>IF(OR($JF37=0,calcA!$A$6=0),0,IF(OR(38=$HA37,38=$HD37,38=$HG37),200000,MIN(IF($HA37=0,999999,IF(2=$HB37,IF(38=$HJ37,IF($JC37=2,30,0),IF(38=$HK37,IF($JC37=1,30,0),ABS(14-$HC37)*100)),100000+ABS(2-$HB37)*1000+140)),IF($HD37=0,999999,IF(2=$HE37,IF(38=$HL37,IF($JD37=2,30,0),IF(38=$HM37,IF($JD37=1,30,0),ABS(14-$HF37)*100)),100000+ABS(2-$HE37)*1000+140)),IF($HG37=0,999999,IF(2=$HH37,IF(38=$HN37,IF($JE37=2,30,0),IF(38=$HO37,IF($JE37=1,30,0),ABS(14-$HI37)*100)),100000+ABS(2-$HH37)*1000+140)))-IF((38=$HJ37)+(38=$HK37)+(38=$HL37)+(38=$HM37)+(38=$HN37)+(38=$HO37)&gt;=2,50,0))+AO$5*50)</f>
        <v/>
      </c>
      <c r="AP157">
        <f>IF(OR($JF37=0,calcA!$A$6=0),0,IF(OR(39=$HA37,39=$HD37,39=$HG37),200000,MIN(IF($HA37=0,999999,IF(2=$HB37,IF(39=$HJ37,IF($JC37=2,30,0),IF(39=$HK37,IF($JC37=1,30,0),ABS(15-$HC37)*100)),100000+ABS(2-$HB37)*1000+150)),IF($HD37=0,999999,IF(2=$HE37,IF(39=$HL37,IF($JD37=2,30,0),IF(39=$HM37,IF($JD37=1,30,0),ABS(15-$HF37)*100)),100000+ABS(2-$HE37)*1000+150)),IF($HG37=0,999999,IF(2=$HH37,IF(39=$HN37,IF($JE37=2,30,0),IF(39=$HO37,IF($JE37=1,30,0),ABS(15-$HI37)*100)),100000+ABS(2-$HH37)*1000+150)))-IF((39=$HJ37)+(39=$HK37)+(39=$HL37)+(39=$HM37)+(39=$HN37)+(39=$HO37)&gt;=2,50,0))+AP$5*50)</f>
        <v/>
      </c>
      <c r="AQ157">
        <f>IF(OR($JF37=0,calcA!$A$6=0),0,IF(OR(40=$HA37,40=$HD37,40=$HG37),200000,MIN(IF($HA37=0,999999,IF(2=$HB37,IF(40=$HJ37,IF($JC37=2,30,0),IF(40=$HK37,IF($JC37=1,30,0),ABS(16-$HC37)*100)),100000+ABS(2-$HB37)*1000+160)),IF($HD37=0,999999,IF(2=$HE37,IF(40=$HL37,IF($JD37=2,30,0),IF(40=$HM37,IF($JD37=1,30,0),ABS(16-$HF37)*100)),100000+ABS(2-$HE37)*1000+160)),IF($HG37=0,999999,IF(2=$HH37,IF(40=$HN37,IF($JE37=2,30,0),IF(40=$HO37,IF($JE37=1,30,0),ABS(16-$HI37)*100)),100000+ABS(2-$HH37)*1000+160)))-IF((40=$HJ37)+(40=$HK37)+(40=$HL37)+(40=$HM37)+(40=$HN37)+(40=$HO37)&gt;=2,50,0))+AQ$5*50)</f>
        <v/>
      </c>
      <c r="AR157">
        <f>IF(OR($JF37=0,calcA!$A$6=0),0,IF(OR(41=$HA37,41=$HD37,41=$HG37),200000,MIN(IF($HA37=0,999999,IF(2=$HB37,IF(41=$HJ37,IF($JC37=2,30,0),IF(41=$HK37,IF($JC37=1,30,0),ABS(17-$HC37)*100)),100000+ABS(2-$HB37)*1000+170)),IF($HD37=0,999999,IF(2=$HE37,IF(41=$HL37,IF($JD37=2,30,0),IF(41=$HM37,IF($JD37=1,30,0),ABS(17-$HF37)*100)),100000+ABS(2-$HE37)*1000+170)),IF($HG37=0,999999,IF(2=$HH37,IF(41=$HN37,IF($JE37=2,30,0),IF(41=$HO37,IF($JE37=1,30,0),ABS(17-$HI37)*100)),100000+ABS(2-$HH37)*1000+170)))-IF((41=$HJ37)+(41=$HK37)+(41=$HL37)+(41=$HM37)+(41=$HN37)+(41=$HO37)&gt;=2,50,0))+AR$5*50)</f>
        <v/>
      </c>
      <c r="AS157">
        <f>IF(OR($JF37=0,calcA!$A$6=0),0,IF(OR(42=$HA37,42=$HD37,42=$HG37),200000,MIN(IF($HA37=0,999999,IF(2=$HB37,IF(42=$HJ37,IF($JC37=2,30,0),IF(42=$HK37,IF($JC37=1,30,0),ABS(18-$HC37)*100)),100000+ABS(2-$HB37)*1000+180)),IF($HD37=0,999999,IF(2=$HE37,IF(42=$HL37,IF($JD37=2,30,0),IF(42=$HM37,IF($JD37=1,30,0),ABS(18-$HF37)*100)),100000+ABS(2-$HE37)*1000+180)),IF($HG37=0,999999,IF(2=$HH37,IF(42=$HN37,IF($JE37=2,30,0),IF(42=$HO37,IF($JE37=1,30,0),ABS(18-$HI37)*100)),100000+ABS(2-$HH37)*1000+180)))-IF((42=$HJ37)+(42=$HK37)+(42=$HL37)+(42=$HM37)+(42=$HN37)+(42=$HO37)&gt;=2,50,0))+AS$5*50)</f>
        <v/>
      </c>
      <c r="AT157">
        <f>IF(OR($JF37=0,calcA!$A$6=0),0,IF(OR(43=$HA37,43=$HD37,43=$HG37),200000,MIN(IF($HA37=0,999999,IF(2=$HB37,IF(43=$HJ37,IF($JC37=2,30,0),IF(43=$HK37,IF($JC37=1,30,0),ABS(19-$HC37)*100)),100000+ABS(2-$HB37)*1000+190)),IF($HD37=0,999999,IF(2=$HE37,IF(43=$HL37,IF($JD37=2,30,0),IF(43=$HM37,IF($JD37=1,30,0),ABS(19-$HF37)*100)),100000+ABS(2-$HE37)*1000+190)),IF($HG37=0,999999,IF(2=$HH37,IF(43=$HN37,IF($JE37=2,30,0),IF(43=$HO37,IF($JE37=1,30,0),ABS(19-$HI37)*100)),100000+ABS(2-$HH37)*1000+190)))-IF((43=$HJ37)+(43=$HK37)+(43=$HL37)+(43=$HM37)+(43=$HN37)+(43=$HO37)&gt;=2,50,0))+AT$5*50)</f>
        <v/>
      </c>
      <c r="AU157">
        <f>IF(OR($JF37=0,calcA!$A$6=0),0,IF(OR(44=$HA37,44=$HD37,44=$HG37),200000,MIN(IF($HA37=0,999999,IF(2=$HB37,IF(44=$HJ37,IF($JC37=2,30,0),IF(44=$HK37,IF($JC37=1,30,0),ABS(20-$HC37)*100)),100000+ABS(2-$HB37)*1000+200)),IF($HD37=0,999999,IF(2=$HE37,IF(44=$HL37,IF($JD37=2,30,0),IF(44=$HM37,IF($JD37=1,30,0),ABS(20-$HF37)*100)),100000+ABS(2-$HE37)*1000+200)),IF($HG37=0,999999,IF(2=$HH37,IF(44=$HN37,IF($JE37=2,30,0),IF(44=$HO37,IF($JE37=1,30,0),ABS(20-$HI37)*100)),100000+ABS(2-$HH37)*1000+200)))-IF((44=$HJ37)+(44=$HK37)+(44=$HL37)+(44=$HM37)+(44=$HN37)+(44=$HO37)&gt;=2,50,0))+AU$5*50)</f>
        <v/>
      </c>
      <c r="AV157">
        <f>IF(OR($JF37=0,calcA!$A$6=0),0,IF(OR(45=$HA37,45=$HD37,45=$HG37),200000,MIN(IF($HA37=0,999999,IF(2=$HB37,IF(45=$HJ37,IF($JC37=2,30,0),IF(45=$HK37,IF($JC37=1,30,0),ABS(21-$HC37)*100)),100000+ABS(2-$HB37)*1000+210)),IF($HD37=0,999999,IF(2=$HE37,IF(45=$HL37,IF($JD37=2,30,0),IF(45=$HM37,IF($JD37=1,30,0),ABS(21-$HF37)*100)),100000+ABS(2-$HE37)*1000+210)),IF($HG37=0,999999,IF(2=$HH37,IF(45=$HN37,IF($JE37=2,30,0),IF(45=$HO37,IF($JE37=1,30,0),ABS(21-$HI37)*100)),100000+ABS(2-$HH37)*1000+210)))-IF((45=$HJ37)+(45=$HK37)+(45=$HL37)+(45=$HM37)+(45=$HN37)+(45=$HO37)&gt;=2,50,0))+AV$5*50)</f>
        <v/>
      </c>
      <c r="AW157">
        <f>IF(OR($JF37=0,calcA!$A$6=0),0,IF(OR(46=$HA37,46=$HD37,46=$HG37),200000,MIN(IF($HA37=0,999999,IF(2=$HB37,IF(46=$HJ37,IF($JC37=2,30,0),IF(46=$HK37,IF($JC37=1,30,0),ABS(22-$HC37)*100)),100000+ABS(2-$HB37)*1000+220)),IF($HD37=0,999999,IF(2=$HE37,IF(46=$HL37,IF($JD37=2,30,0),IF(46=$HM37,IF($JD37=1,30,0),ABS(22-$HF37)*100)),100000+ABS(2-$HE37)*1000+220)),IF($HG37=0,999999,IF(2=$HH37,IF(46=$HN37,IF($JE37=2,30,0),IF(46=$HO37,IF($JE37=1,30,0),ABS(22-$HI37)*100)),100000+ABS(2-$HH37)*1000+220)))-IF((46=$HJ37)+(46=$HK37)+(46=$HL37)+(46=$HM37)+(46=$HN37)+(46=$HO37)&gt;=2,50,0))+AW$5*50)</f>
        <v/>
      </c>
      <c r="AX157">
        <f>IF(OR($JF37=0,calcA!$A$6=0),0,IF(OR(47=$HA37,47=$HD37,47=$HG37),200000,MIN(IF($HA37=0,999999,IF(2=$HB37,IF(47=$HJ37,IF($JC37=2,30,0),IF(47=$HK37,IF($JC37=1,30,0),ABS(23-$HC37)*100)),100000+ABS(2-$HB37)*1000+230)),IF($HD37=0,999999,IF(2=$HE37,IF(47=$HL37,IF($JD37=2,30,0),IF(47=$HM37,IF($JD37=1,30,0),ABS(23-$HF37)*100)),100000+ABS(2-$HE37)*1000+230)),IF($HG37=0,999999,IF(2=$HH37,IF(47=$HN37,IF($JE37=2,30,0),IF(47=$HO37,IF($JE37=1,30,0),ABS(23-$HI37)*100)),100000+ABS(2-$HH37)*1000+230)))-IF((47=$HJ37)+(47=$HK37)+(47=$HL37)+(47=$HM37)+(47=$HN37)+(47=$HO37)&gt;=2,50,0))+AX$5*50)</f>
        <v/>
      </c>
      <c r="AY157">
        <f>IF(OR($JF37=0,calcA!$A$6=0),0,IF(OR(48=$HA37,48=$HD37,48=$HG37),200000,MIN(IF($HA37=0,999999,IF(2=$HB37,IF(48=$HJ37,IF($JC37=2,30,0),IF(48=$HK37,IF($JC37=1,30,0),ABS(24-$HC37)*100)),100000+ABS(2-$HB37)*1000+240)),IF($HD37=0,999999,IF(2=$HE37,IF(48=$HL37,IF($JD37=2,30,0),IF(48=$HM37,IF($JD37=1,30,0),ABS(24-$HF37)*100)),100000+ABS(2-$HE37)*1000+240)),IF($HG37=0,999999,IF(2=$HH37,IF(48=$HN37,IF($JE37=2,30,0),IF(48=$HO37,IF($JE37=1,30,0),ABS(24-$HI37)*100)),100000+ABS(2-$HH37)*1000+240)))-IF((48=$HJ37)+(48=$HK37)+(48=$HL37)+(48=$HM37)+(48=$HN37)+(48=$HO37)&gt;=2,50,0))+AY$5*50)</f>
        <v/>
      </c>
      <c r="AZ157">
        <f>IF(OR($JF37=0,calcA!$A$6=0),0,IF(OR(49=$HA37,49=$HD37,49=$HG37),200000,MIN(IF($HA37=0,999999,IF(3=$HB37,IF(49=$HJ37,IF($JC37=2,30,0),IF(49=$HK37,IF($JC37=1,30,0),ABS(1-$HC37)*100)),100000+ABS(3-$HB37)*1000+10)),IF($HD37=0,999999,IF(3=$HE37,IF(49=$HL37,IF($JD37=2,30,0),IF(49=$HM37,IF($JD37=1,30,0),ABS(1-$HF37)*100)),100000+ABS(3-$HE37)*1000+10)),IF($HG37=0,999999,IF(3=$HH37,IF(49=$HN37,IF($JE37=2,30,0),IF(49=$HO37,IF($JE37=1,30,0),ABS(1-$HI37)*100)),100000+ABS(3-$HH37)*1000+10)))-IF((49=$HJ37)+(49=$HK37)+(49=$HL37)+(49=$HM37)+(49=$HN37)+(49=$HO37)&gt;=2,50,0))+AZ$5*50)</f>
        <v/>
      </c>
      <c r="BA157">
        <f>IF(OR($JF37=0,calcA!$A$6=0),0,IF(OR(50=$HA37,50=$HD37,50=$HG37),200000,MIN(IF($HA37=0,999999,IF(3=$HB37,IF(50=$HJ37,IF($JC37=2,30,0),IF(50=$HK37,IF($JC37=1,30,0),ABS(2-$HC37)*100)),100000+ABS(3-$HB37)*1000+20)),IF($HD37=0,999999,IF(3=$HE37,IF(50=$HL37,IF($JD37=2,30,0),IF(50=$HM37,IF($JD37=1,30,0),ABS(2-$HF37)*100)),100000+ABS(3-$HE37)*1000+20)),IF($HG37=0,999999,IF(3=$HH37,IF(50=$HN37,IF($JE37=2,30,0),IF(50=$HO37,IF($JE37=1,30,0),ABS(2-$HI37)*100)),100000+ABS(3-$HH37)*1000+20)))-IF((50=$HJ37)+(50=$HK37)+(50=$HL37)+(50=$HM37)+(50=$HN37)+(50=$HO37)&gt;=2,50,0))+BA$5*50)</f>
        <v/>
      </c>
      <c r="BB157">
        <f>IF(OR($JF37=0,calcA!$A$6=0),0,IF(OR(51=$HA37,51=$HD37,51=$HG37),200000,MIN(IF($HA37=0,999999,IF(3=$HB37,IF(51=$HJ37,IF($JC37=2,30,0),IF(51=$HK37,IF($JC37=1,30,0),ABS(3-$HC37)*100)),100000+ABS(3-$HB37)*1000+30)),IF($HD37=0,999999,IF(3=$HE37,IF(51=$HL37,IF($JD37=2,30,0),IF(51=$HM37,IF($JD37=1,30,0),ABS(3-$HF37)*100)),100000+ABS(3-$HE37)*1000+30)),IF($HG37=0,999999,IF(3=$HH37,IF(51=$HN37,IF($JE37=2,30,0),IF(51=$HO37,IF($JE37=1,30,0),ABS(3-$HI37)*100)),100000+ABS(3-$HH37)*1000+30)))-IF((51=$HJ37)+(51=$HK37)+(51=$HL37)+(51=$HM37)+(51=$HN37)+(51=$HO37)&gt;=2,50,0))+BB$5*50)</f>
        <v/>
      </c>
      <c r="BC157">
        <f>IF(OR($JF37=0,calcA!$A$6=0),0,IF(OR(52=$HA37,52=$HD37,52=$HG37),200000,MIN(IF($HA37=0,999999,IF(3=$HB37,IF(52=$HJ37,IF($JC37=2,30,0),IF(52=$HK37,IF($JC37=1,30,0),ABS(4-$HC37)*100)),100000+ABS(3-$HB37)*1000+40)),IF($HD37=0,999999,IF(3=$HE37,IF(52=$HL37,IF($JD37=2,30,0),IF(52=$HM37,IF($JD37=1,30,0),ABS(4-$HF37)*100)),100000+ABS(3-$HE37)*1000+40)),IF($HG37=0,999999,IF(3=$HH37,IF(52=$HN37,IF($JE37=2,30,0),IF(52=$HO37,IF($JE37=1,30,0),ABS(4-$HI37)*100)),100000+ABS(3-$HH37)*1000+40)))-IF((52=$HJ37)+(52=$HK37)+(52=$HL37)+(52=$HM37)+(52=$HN37)+(52=$HO37)&gt;=2,50,0))+BC$5*50)</f>
        <v/>
      </c>
      <c r="BD157">
        <f>IF(OR($JF37=0,calcA!$A$6=0),0,IF(OR(53=$HA37,53=$HD37,53=$HG37),200000,MIN(IF($HA37=0,999999,IF(3=$HB37,IF(53=$HJ37,IF($JC37=2,30,0),IF(53=$HK37,IF($JC37=1,30,0),ABS(5-$HC37)*100)),100000+ABS(3-$HB37)*1000+50)),IF($HD37=0,999999,IF(3=$HE37,IF(53=$HL37,IF($JD37=2,30,0),IF(53=$HM37,IF($JD37=1,30,0),ABS(5-$HF37)*100)),100000+ABS(3-$HE37)*1000+50)),IF($HG37=0,999999,IF(3=$HH37,IF(53=$HN37,IF($JE37=2,30,0),IF(53=$HO37,IF($JE37=1,30,0),ABS(5-$HI37)*100)),100000+ABS(3-$HH37)*1000+50)))-IF((53=$HJ37)+(53=$HK37)+(53=$HL37)+(53=$HM37)+(53=$HN37)+(53=$HO37)&gt;=2,50,0))+BD$5*50)</f>
        <v/>
      </c>
      <c r="BE157">
        <f>IF(OR($JF37=0,calcA!$A$6=0),0,IF(OR(54=$HA37,54=$HD37,54=$HG37),200000,MIN(IF($HA37=0,999999,IF(3=$HB37,IF(54=$HJ37,IF($JC37=2,30,0),IF(54=$HK37,IF($JC37=1,30,0),ABS(6-$HC37)*100)),100000+ABS(3-$HB37)*1000+60)),IF($HD37=0,999999,IF(3=$HE37,IF(54=$HL37,IF($JD37=2,30,0),IF(54=$HM37,IF($JD37=1,30,0),ABS(6-$HF37)*100)),100000+ABS(3-$HE37)*1000+60)),IF($HG37=0,999999,IF(3=$HH37,IF(54=$HN37,IF($JE37=2,30,0),IF(54=$HO37,IF($JE37=1,30,0),ABS(6-$HI37)*100)),100000+ABS(3-$HH37)*1000+60)))-IF((54=$HJ37)+(54=$HK37)+(54=$HL37)+(54=$HM37)+(54=$HN37)+(54=$HO37)&gt;=2,50,0))+BE$5*50)</f>
        <v/>
      </c>
      <c r="BF157">
        <f>IF(OR($JF37=0,calcA!$A$6=0),0,IF(OR(55=$HA37,55=$HD37,55=$HG37),200000,MIN(IF($HA37=0,999999,IF(3=$HB37,IF(55=$HJ37,IF($JC37=2,30,0),IF(55=$HK37,IF($JC37=1,30,0),ABS(7-$HC37)*100)),100000+ABS(3-$HB37)*1000+70)),IF($HD37=0,999999,IF(3=$HE37,IF(55=$HL37,IF($JD37=2,30,0),IF(55=$HM37,IF($JD37=1,30,0),ABS(7-$HF37)*100)),100000+ABS(3-$HE37)*1000+70)),IF($HG37=0,999999,IF(3=$HH37,IF(55=$HN37,IF($JE37=2,30,0),IF(55=$HO37,IF($JE37=1,30,0),ABS(7-$HI37)*100)),100000+ABS(3-$HH37)*1000+70)))-IF((55=$HJ37)+(55=$HK37)+(55=$HL37)+(55=$HM37)+(55=$HN37)+(55=$HO37)&gt;=2,50,0))+BF$5*50)</f>
        <v/>
      </c>
      <c r="BG157">
        <f>IF(OR($JF37=0,calcA!$A$6=0),0,IF(OR(56=$HA37,56=$HD37,56=$HG37),200000,MIN(IF($HA37=0,999999,IF(3=$HB37,IF(56=$HJ37,IF($JC37=2,30,0),IF(56=$HK37,IF($JC37=1,30,0),ABS(8-$HC37)*100)),100000+ABS(3-$HB37)*1000+80)),IF($HD37=0,999999,IF(3=$HE37,IF(56=$HL37,IF($JD37=2,30,0),IF(56=$HM37,IF($JD37=1,30,0),ABS(8-$HF37)*100)),100000+ABS(3-$HE37)*1000+80)),IF($HG37=0,999999,IF(3=$HH37,IF(56=$HN37,IF($JE37=2,30,0),IF(56=$HO37,IF($JE37=1,30,0),ABS(8-$HI37)*100)),100000+ABS(3-$HH37)*1000+80)))-IF((56=$HJ37)+(56=$HK37)+(56=$HL37)+(56=$HM37)+(56=$HN37)+(56=$HO37)&gt;=2,50,0))+BG$5*50)</f>
        <v/>
      </c>
      <c r="BH157">
        <f>IF(OR($JF37=0,calcA!$A$6=0),0,IF(OR(57=$HA37,57=$HD37,57=$HG37),200000,MIN(IF($HA37=0,999999,IF(3=$HB37,IF(57=$HJ37,IF($JC37=2,30,0),IF(57=$HK37,IF($JC37=1,30,0),ABS(9-$HC37)*100)),100000+ABS(3-$HB37)*1000+90)),IF($HD37=0,999999,IF(3=$HE37,IF(57=$HL37,IF($JD37=2,30,0),IF(57=$HM37,IF($JD37=1,30,0),ABS(9-$HF37)*100)),100000+ABS(3-$HE37)*1000+90)),IF($HG37=0,999999,IF(3=$HH37,IF(57=$HN37,IF($JE37=2,30,0),IF(57=$HO37,IF($JE37=1,30,0),ABS(9-$HI37)*100)),100000+ABS(3-$HH37)*1000+90)))-IF((57=$HJ37)+(57=$HK37)+(57=$HL37)+(57=$HM37)+(57=$HN37)+(57=$HO37)&gt;=2,50,0))+BH$5*50)</f>
        <v/>
      </c>
      <c r="BI157">
        <f>IF(OR($JF37=0,calcA!$A$6=0),0,IF(OR(58=$HA37,58=$HD37,58=$HG37),200000,MIN(IF($HA37=0,999999,IF(3=$HB37,IF(58=$HJ37,IF($JC37=2,30,0),IF(58=$HK37,IF($JC37=1,30,0),ABS(10-$HC37)*100)),100000+ABS(3-$HB37)*1000+100)),IF($HD37=0,999999,IF(3=$HE37,IF(58=$HL37,IF($JD37=2,30,0),IF(58=$HM37,IF($JD37=1,30,0),ABS(10-$HF37)*100)),100000+ABS(3-$HE37)*1000+100)),IF($HG37=0,999999,IF(3=$HH37,IF(58=$HN37,IF($JE37=2,30,0),IF(58=$HO37,IF($JE37=1,30,0),ABS(10-$HI37)*100)),100000+ABS(3-$HH37)*1000+100)))-IF((58=$HJ37)+(58=$HK37)+(58=$HL37)+(58=$HM37)+(58=$HN37)+(58=$HO37)&gt;=2,50,0))+BI$5*50)</f>
        <v/>
      </c>
      <c r="BJ157">
        <f>IF(OR($JF37=0,calcA!$A$6=0),0,IF(OR(59=$HA37,59=$HD37,59=$HG37),200000,MIN(IF($HA37=0,999999,IF(3=$HB37,IF(59=$HJ37,IF($JC37=2,30,0),IF(59=$HK37,IF($JC37=1,30,0),ABS(11-$HC37)*100)),100000+ABS(3-$HB37)*1000+110)),IF($HD37=0,999999,IF(3=$HE37,IF(59=$HL37,IF($JD37=2,30,0),IF(59=$HM37,IF($JD37=1,30,0),ABS(11-$HF37)*100)),100000+ABS(3-$HE37)*1000+110)),IF($HG37=0,999999,IF(3=$HH37,IF(59=$HN37,IF($JE37=2,30,0),IF(59=$HO37,IF($JE37=1,30,0),ABS(11-$HI37)*100)),100000+ABS(3-$HH37)*1000+110)))-IF((59=$HJ37)+(59=$HK37)+(59=$HL37)+(59=$HM37)+(59=$HN37)+(59=$HO37)&gt;=2,50,0))+BJ$5*50)</f>
        <v/>
      </c>
      <c r="BK157">
        <f>IF(OR($JF37=0,calcA!$A$6=0),0,IF(OR(60=$HA37,60=$HD37,60=$HG37),200000,MIN(IF($HA37=0,999999,IF(3=$HB37,IF(60=$HJ37,IF($JC37=2,30,0),IF(60=$HK37,IF($JC37=1,30,0),ABS(12-$HC37)*100)),100000+ABS(3-$HB37)*1000+120)),IF($HD37=0,999999,IF(3=$HE37,IF(60=$HL37,IF($JD37=2,30,0),IF(60=$HM37,IF($JD37=1,30,0),ABS(12-$HF37)*100)),100000+ABS(3-$HE37)*1000+120)),IF($HG37=0,999999,IF(3=$HH37,IF(60=$HN37,IF($JE37=2,30,0),IF(60=$HO37,IF($JE37=1,30,0),ABS(12-$HI37)*100)),100000+ABS(3-$HH37)*1000+120)))-IF((60=$HJ37)+(60=$HK37)+(60=$HL37)+(60=$HM37)+(60=$HN37)+(60=$HO37)&gt;=2,50,0))+BK$5*50)</f>
        <v/>
      </c>
      <c r="BL157">
        <f>IF(OR($JF37=0,calcA!$A$6=0),0,IF(OR(61=$HA37,61=$HD37,61=$HG37),200000,MIN(IF($HA37=0,999999,IF(3=$HB37,IF(61=$HJ37,IF($JC37=2,30,0),IF(61=$HK37,IF($JC37=1,30,0),ABS(13-$HC37)*100)),100000+ABS(3-$HB37)*1000+130)),IF($HD37=0,999999,IF(3=$HE37,IF(61=$HL37,IF($JD37=2,30,0),IF(61=$HM37,IF($JD37=1,30,0),ABS(13-$HF37)*100)),100000+ABS(3-$HE37)*1000+130)),IF($HG37=0,999999,IF(3=$HH37,IF(61=$HN37,IF($JE37=2,30,0),IF(61=$HO37,IF($JE37=1,30,0),ABS(13-$HI37)*100)),100000+ABS(3-$HH37)*1000+130)))-IF((61=$HJ37)+(61=$HK37)+(61=$HL37)+(61=$HM37)+(61=$HN37)+(61=$HO37)&gt;=2,50,0))+BL$5*50)</f>
        <v/>
      </c>
      <c r="BM157">
        <f>IF(OR($JF37=0,calcA!$A$6=0),0,IF(OR(62=$HA37,62=$HD37,62=$HG37),200000,MIN(IF($HA37=0,999999,IF(3=$HB37,IF(62=$HJ37,IF($JC37=2,30,0),IF(62=$HK37,IF($JC37=1,30,0),ABS(14-$HC37)*100)),100000+ABS(3-$HB37)*1000+140)),IF($HD37=0,999999,IF(3=$HE37,IF(62=$HL37,IF($JD37=2,30,0),IF(62=$HM37,IF($JD37=1,30,0),ABS(14-$HF37)*100)),100000+ABS(3-$HE37)*1000+140)),IF($HG37=0,999999,IF(3=$HH37,IF(62=$HN37,IF($JE37=2,30,0),IF(62=$HO37,IF($JE37=1,30,0),ABS(14-$HI37)*100)),100000+ABS(3-$HH37)*1000+140)))-IF((62=$HJ37)+(62=$HK37)+(62=$HL37)+(62=$HM37)+(62=$HN37)+(62=$HO37)&gt;=2,50,0))+BM$5*50)</f>
        <v/>
      </c>
      <c r="BN157">
        <f>IF(OR($JF37=0,calcA!$A$6=0),0,IF(OR(63=$HA37,63=$HD37,63=$HG37),200000,MIN(IF($HA37=0,999999,IF(3=$HB37,IF(63=$HJ37,IF($JC37=2,30,0),IF(63=$HK37,IF($JC37=1,30,0),ABS(15-$HC37)*100)),100000+ABS(3-$HB37)*1000+150)),IF($HD37=0,999999,IF(3=$HE37,IF(63=$HL37,IF($JD37=2,30,0),IF(63=$HM37,IF($JD37=1,30,0),ABS(15-$HF37)*100)),100000+ABS(3-$HE37)*1000+150)),IF($HG37=0,999999,IF(3=$HH37,IF(63=$HN37,IF($JE37=2,30,0),IF(63=$HO37,IF($JE37=1,30,0),ABS(15-$HI37)*100)),100000+ABS(3-$HH37)*1000+150)))-IF((63=$HJ37)+(63=$HK37)+(63=$HL37)+(63=$HM37)+(63=$HN37)+(63=$HO37)&gt;=2,50,0))+BN$5*50)</f>
        <v/>
      </c>
      <c r="BO157">
        <f>IF(OR($JF37=0,calcA!$A$6=0),0,IF(OR(64=$HA37,64=$HD37,64=$HG37),200000,MIN(IF($HA37=0,999999,IF(3=$HB37,IF(64=$HJ37,IF($JC37=2,30,0),IF(64=$HK37,IF($JC37=1,30,0),ABS(16-$HC37)*100)),100000+ABS(3-$HB37)*1000+160)),IF($HD37=0,999999,IF(3=$HE37,IF(64=$HL37,IF($JD37=2,30,0),IF(64=$HM37,IF($JD37=1,30,0),ABS(16-$HF37)*100)),100000+ABS(3-$HE37)*1000+160)),IF($HG37=0,999999,IF(3=$HH37,IF(64=$HN37,IF($JE37=2,30,0),IF(64=$HO37,IF($JE37=1,30,0),ABS(16-$HI37)*100)),100000+ABS(3-$HH37)*1000+160)))-IF((64=$HJ37)+(64=$HK37)+(64=$HL37)+(64=$HM37)+(64=$HN37)+(64=$HO37)&gt;=2,50,0))+BO$5*50)</f>
        <v/>
      </c>
      <c r="BP157">
        <f>IF(OR($JF37=0,calcA!$A$6=0),0,IF(OR(65=$HA37,65=$HD37,65=$HG37),200000,MIN(IF($HA37=0,999999,IF(3=$HB37,IF(65=$HJ37,IF($JC37=2,30,0),IF(65=$HK37,IF($JC37=1,30,0),ABS(17-$HC37)*100)),100000+ABS(3-$HB37)*1000+170)),IF($HD37=0,999999,IF(3=$HE37,IF(65=$HL37,IF($JD37=2,30,0),IF(65=$HM37,IF($JD37=1,30,0),ABS(17-$HF37)*100)),100000+ABS(3-$HE37)*1000+170)),IF($HG37=0,999999,IF(3=$HH37,IF(65=$HN37,IF($JE37=2,30,0),IF(65=$HO37,IF($JE37=1,30,0),ABS(17-$HI37)*100)),100000+ABS(3-$HH37)*1000+170)))-IF((65=$HJ37)+(65=$HK37)+(65=$HL37)+(65=$HM37)+(65=$HN37)+(65=$HO37)&gt;=2,50,0))+BP$5*50)</f>
        <v/>
      </c>
      <c r="BQ157">
        <f>IF(OR($JF37=0,calcA!$A$6=0),0,IF(OR(66=$HA37,66=$HD37,66=$HG37),200000,MIN(IF($HA37=0,999999,IF(3=$HB37,IF(66=$HJ37,IF($JC37=2,30,0),IF(66=$HK37,IF($JC37=1,30,0),ABS(18-$HC37)*100)),100000+ABS(3-$HB37)*1000+180)),IF($HD37=0,999999,IF(3=$HE37,IF(66=$HL37,IF($JD37=2,30,0),IF(66=$HM37,IF($JD37=1,30,0),ABS(18-$HF37)*100)),100000+ABS(3-$HE37)*1000+180)),IF($HG37=0,999999,IF(3=$HH37,IF(66=$HN37,IF($JE37=2,30,0),IF(66=$HO37,IF($JE37=1,30,0),ABS(18-$HI37)*100)),100000+ABS(3-$HH37)*1000+180)))-IF((66=$HJ37)+(66=$HK37)+(66=$HL37)+(66=$HM37)+(66=$HN37)+(66=$HO37)&gt;=2,50,0))+BQ$5*50)</f>
        <v/>
      </c>
      <c r="BR157">
        <f>IF(OR($JF37=0,calcA!$A$6=0),0,IF(OR(67=$HA37,67=$HD37,67=$HG37),200000,MIN(IF($HA37=0,999999,IF(3=$HB37,IF(67=$HJ37,IF($JC37=2,30,0),IF(67=$HK37,IF($JC37=1,30,0),ABS(19-$HC37)*100)),100000+ABS(3-$HB37)*1000+190)),IF($HD37=0,999999,IF(3=$HE37,IF(67=$HL37,IF($JD37=2,30,0),IF(67=$HM37,IF($JD37=1,30,0),ABS(19-$HF37)*100)),100000+ABS(3-$HE37)*1000+190)),IF($HG37=0,999999,IF(3=$HH37,IF(67=$HN37,IF($JE37=2,30,0),IF(67=$HO37,IF($JE37=1,30,0),ABS(19-$HI37)*100)),100000+ABS(3-$HH37)*1000+190)))-IF((67=$HJ37)+(67=$HK37)+(67=$HL37)+(67=$HM37)+(67=$HN37)+(67=$HO37)&gt;=2,50,0))+BR$5*50)</f>
        <v/>
      </c>
      <c r="BS157">
        <f>IF(OR($JF37=0,calcA!$A$6=0),0,IF(OR(68=$HA37,68=$HD37,68=$HG37),200000,MIN(IF($HA37=0,999999,IF(3=$HB37,IF(68=$HJ37,IF($JC37=2,30,0),IF(68=$HK37,IF($JC37=1,30,0),ABS(20-$HC37)*100)),100000+ABS(3-$HB37)*1000+200)),IF($HD37=0,999999,IF(3=$HE37,IF(68=$HL37,IF($JD37=2,30,0),IF(68=$HM37,IF($JD37=1,30,0),ABS(20-$HF37)*100)),100000+ABS(3-$HE37)*1000+200)),IF($HG37=0,999999,IF(3=$HH37,IF(68=$HN37,IF($JE37=2,30,0),IF(68=$HO37,IF($JE37=1,30,0),ABS(20-$HI37)*100)),100000+ABS(3-$HH37)*1000+200)))-IF((68=$HJ37)+(68=$HK37)+(68=$HL37)+(68=$HM37)+(68=$HN37)+(68=$HO37)&gt;=2,50,0))+BS$5*50)</f>
        <v/>
      </c>
      <c r="BT157">
        <f>IF(OR($JF37=0,calcA!$A$6=0),0,IF(OR(69=$HA37,69=$HD37,69=$HG37),200000,MIN(IF($HA37=0,999999,IF(3=$HB37,IF(69=$HJ37,IF($JC37=2,30,0),IF(69=$HK37,IF($JC37=1,30,0),ABS(21-$HC37)*100)),100000+ABS(3-$HB37)*1000+210)),IF($HD37=0,999999,IF(3=$HE37,IF(69=$HL37,IF($JD37=2,30,0),IF(69=$HM37,IF($JD37=1,30,0),ABS(21-$HF37)*100)),100000+ABS(3-$HE37)*1000+210)),IF($HG37=0,999999,IF(3=$HH37,IF(69=$HN37,IF($JE37=2,30,0),IF(69=$HO37,IF($JE37=1,30,0),ABS(21-$HI37)*100)),100000+ABS(3-$HH37)*1000+210)))-IF((69=$HJ37)+(69=$HK37)+(69=$HL37)+(69=$HM37)+(69=$HN37)+(69=$HO37)&gt;=2,50,0))+BT$5*50)</f>
        <v/>
      </c>
      <c r="BU157">
        <f>IF(OR($JF37=0,calcA!$A$6=0),0,IF(OR(70=$HA37,70=$HD37,70=$HG37),200000,MIN(IF($HA37=0,999999,IF(3=$HB37,IF(70=$HJ37,IF($JC37=2,30,0),IF(70=$HK37,IF($JC37=1,30,0),ABS(22-$HC37)*100)),100000+ABS(3-$HB37)*1000+220)),IF($HD37=0,999999,IF(3=$HE37,IF(70=$HL37,IF($JD37=2,30,0),IF(70=$HM37,IF($JD37=1,30,0),ABS(22-$HF37)*100)),100000+ABS(3-$HE37)*1000+220)),IF($HG37=0,999999,IF(3=$HH37,IF(70=$HN37,IF($JE37=2,30,0),IF(70=$HO37,IF($JE37=1,30,0),ABS(22-$HI37)*100)),100000+ABS(3-$HH37)*1000+220)))-IF((70=$HJ37)+(70=$HK37)+(70=$HL37)+(70=$HM37)+(70=$HN37)+(70=$HO37)&gt;=2,50,0))+BU$5*50)</f>
        <v/>
      </c>
      <c r="BV157">
        <f>IF(OR($JF37=0,calcA!$A$6=0),0,IF(OR(71=$HA37,71=$HD37,71=$HG37),200000,MIN(IF($HA37=0,999999,IF(3=$HB37,IF(71=$HJ37,IF($JC37=2,30,0),IF(71=$HK37,IF($JC37=1,30,0),ABS(23-$HC37)*100)),100000+ABS(3-$HB37)*1000+230)),IF($HD37=0,999999,IF(3=$HE37,IF(71=$HL37,IF($JD37=2,30,0),IF(71=$HM37,IF($JD37=1,30,0),ABS(23-$HF37)*100)),100000+ABS(3-$HE37)*1000+230)),IF($HG37=0,999999,IF(3=$HH37,IF(71=$HN37,IF($JE37=2,30,0),IF(71=$HO37,IF($JE37=1,30,0),ABS(23-$HI37)*100)),100000+ABS(3-$HH37)*1000+230)))-IF((71=$HJ37)+(71=$HK37)+(71=$HL37)+(71=$HM37)+(71=$HN37)+(71=$HO37)&gt;=2,50,0))+BV$5*50)</f>
        <v/>
      </c>
      <c r="BW157">
        <f>IF(OR($JF37=0,calcA!$A$6=0),0,IF(OR(72=$HA37,72=$HD37,72=$HG37),200000,MIN(IF($HA37=0,999999,IF(3=$HB37,IF(72=$HJ37,IF($JC37=2,30,0),IF(72=$HK37,IF($JC37=1,30,0),ABS(24-$HC37)*100)),100000+ABS(3-$HB37)*1000+240)),IF($HD37=0,999999,IF(3=$HE37,IF(72=$HL37,IF($JD37=2,30,0),IF(72=$HM37,IF($JD37=1,30,0),ABS(24-$HF37)*100)),100000+ABS(3-$HE37)*1000+240)),IF($HG37=0,999999,IF(3=$HH37,IF(72=$HN37,IF($JE37=2,30,0),IF(72=$HO37,IF($JE37=1,30,0),ABS(24-$HI37)*100)),100000+ABS(3-$HH37)*1000+240)))-IF((72=$HJ37)+(72=$HK37)+(72=$HL37)+(72=$HM37)+(72=$HN37)+(72=$HO37)&gt;=2,50,0))+BW$5*50)</f>
        <v/>
      </c>
      <c r="BX157">
        <f>IF(OR($JF37=0,calcA!$A$6=0),0,IF(OR(73=$HA37,73=$HD37,73=$HG37),200000,MIN(IF($HA37=0,999999,IF(4=$HB37,IF(73=$HJ37,IF($JC37=2,30,0),IF(73=$HK37,IF($JC37=1,30,0),ABS(1-$HC37)*100)),100000+ABS(4-$HB37)*1000+10)),IF($HD37=0,999999,IF(4=$HE37,IF(73=$HL37,IF($JD37=2,30,0),IF(73=$HM37,IF($JD37=1,30,0),ABS(1-$HF37)*100)),100000+ABS(4-$HE37)*1000+10)),IF($HG37=0,999999,IF(4=$HH37,IF(73=$HN37,IF($JE37=2,30,0),IF(73=$HO37,IF($JE37=1,30,0),ABS(1-$HI37)*100)),100000+ABS(4-$HH37)*1000+10)))-IF((73=$HJ37)+(73=$HK37)+(73=$HL37)+(73=$HM37)+(73=$HN37)+(73=$HO37)&gt;=2,50,0))+BX$5*50)</f>
        <v/>
      </c>
      <c r="BY157">
        <f>IF(OR($JF37=0,calcA!$A$6=0),0,IF(OR(74=$HA37,74=$HD37,74=$HG37),200000,MIN(IF($HA37=0,999999,IF(4=$HB37,IF(74=$HJ37,IF($JC37=2,30,0),IF(74=$HK37,IF($JC37=1,30,0),ABS(2-$HC37)*100)),100000+ABS(4-$HB37)*1000+20)),IF($HD37=0,999999,IF(4=$HE37,IF(74=$HL37,IF($JD37=2,30,0),IF(74=$HM37,IF($JD37=1,30,0),ABS(2-$HF37)*100)),100000+ABS(4-$HE37)*1000+20)),IF($HG37=0,999999,IF(4=$HH37,IF(74=$HN37,IF($JE37=2,30,0),IF(74=$HO37,IF($JE37=1,30,0),ABS(2-$HI37)*100)),100000+ABS(4-$HH37)*1000+20)))-IF((74=$HJ37)+(74=$HK37)+(74=$HL37)+(74=$HM37)+(74=$HN37)+(74=$HO37)&gt;=2,50,0))+BY$5*50)</f>
        <v/>
      </c>
      <c r="BZ157">
        <f>IF(OR($JF37=0,calcA!$A$6=0),0,IF(OR(75=$HA37,75=$HD37,75=$HG37),200000,MIN(IF($HA37=0,999999,IF(4=$HB37,IF(75=$HJ37,IF($JC37=2,30,0),IF(75=$HK37,IF($JC37=1,30,0),ABS(3-$HC37)*100)),100000+ABS(4-$HB37)*1000+30)),IF($HD37=0,999999,IF(4=$HE37,IF(75=$HL37,IF($JD37=2,30,0),IF(75=$HM37,IF($JD37=1,30,0),ABS(3-$HF37)*100)),100000+ABS(4-$HE37)*1000+30)),IF($HG37=0,999999,IF(4=$HH37,IF(75=$HN37,IF($JE37=2,30,0),IF(75=$HO37,IF($JE37=1,30,0),ABS(3-$HI37)*100)),100000+ABS(4-$HH37)*1000+30)))-IF((75=$HJ37)+(75=$HK37)+(75=$HL37)+(75=$HM37)+(75=$HN37)+(75=$HO37)&gt;=2,50,0))+BZ$5*50)</f>
        <v/>
      </c>
      <c r="CA157">
        <f>IF(OR($JF37=0,calcA!$A$6=0),0,IF(OR(76=$HA37,76=$HD37,76=$HG37),200000,MIN(IF($HA37=0,999999,IF(4=$HB37,IF(76=$HJ37,IF($JC37=2,30,0),IF(76=$HK37,IF($JC37=1,30,0),ABS(4-$HC37)*100)),100000+ABS(4-$HB37)*1000+40)),IF($HD37=0,999999,IF(4=$HE37,IF(76=$HL37,IF($JD37=2,30,0),IF(76=$HM37,IF($JD37=1,30,0),ABS(4-$HF37)*100)),100000+ABS(4-$HE37)*1000+40)),IF($HG37=0,999999,IF(4=$HH37,IF(76=$HN37,IF($JE37=2,30,0),IF(76=$HO37,IF($JE37=1,30,0),ABS(4-$HI37)*100)),100000+ABS(4-$HH37)*1000+40)))-IF((76=$HJ37)+(76=$HK37)+(76=$HL37)+(76=$HM37)+(76=$HN37)+(76=$HO37)&gt;=2,50,0))+CA$5*50)</f>
        <v/>
      </c>
      <c r="CB157">
        <f>IF(OR($JF37=0,calcA!$A$6=0),0,IF(OR(77=$HA37,77=$HD37,77=$HG37),200000,MIN(IF($HA37=0,999999,IF(4=$HB37,IF(77=$HJ37,IF($JC37=2,30,0),IF(77=$HK37,IF($JC37=1,30,0),ABS(5-$HC37)*100)),100000+ABS(4-$HB37)*1000+50)),IF($HD37=0,999999,IF(4=$HE37,IF(77=$HL37,IF($JD37=2,30,0),IF(77=$HM37,IF($JD37=1,30,0),ABS(5-$HF37)*100)),100000+ABS(4-$HE37)*1000+50)),IF($HG37=0,999999,IF(4=$HH37,IF(77=$HN37,IF($JE37=2,30,0),IF(77=$HO37,IF($JE37=1,30,0),ABS(5-$HI37)*100)),100000+ABS(4-$HH37)*1000+50)))-IF((77=$HJ37)+(77=$HK37)+(77=$HL37)+(77=$HM37)+(77=$HN37)+(77=$HO37)&gt;=2,50,0))+CB$5*50)</f>
        <v/>
      </c>
      <c r="CC157">
        <f>IF(OR($JF37=0,calcA!$A$6=0),0,IF(OR(78=$HA37,78=$HD37,78=$HG37),200000,MIN(IF($HA37=0,999999,IF(4=$HB37,IF(78=$HJ37,IF($JC37=2,30,0),IF(78=$HK37,IF($JC37=1,30,0),ABS(6-$HC37)*100)),100000+ABS(4-$HB37)*1000+60)),IF($HD37=0,999999,IF(4=$HE37,IF(78=$HL37,IF($JD37=2,30,0),IF(78=$HM37,IF($JD37=1,30,0),ABS(6-$HF37)*100)),100000+ABS(4-$HE37)*1000+60)),IF($HG37=0,999999,IF(4=$HH37,IF(78=$HN37,IF($JE37=2,30,0),IF(78=$HO37,IF($JE37=1,30,0),ABS(6-$HI37)*100)),100000+ABS(4-$HH37)*1000+60)))-IF((78=$HJ37)+(78=$HK37)+(78=$HL37)+(78=$HM37)+(78=$HN37)+(78=$HO37)&gt;=2,50,0))+CC$5*50)</f>
        <v/>
      </c>
      <c r="CD157">
        <f>IF(OR($JF37=0,calcA!$A$6=0),0,IF(OR(79=$HA37,79=$HD37,79=$HG37),200000,MIN(IF($HA37=0,999999,IF(4=$HB37,IF(79=$HJ37,IF($JC37=2,30,0),IF(79=$HK37,IF($JC37=1,30,0),ABS(7-$HC37)*100)),100000+ABS(4-$HB37)*1000+70)),IF($HD37=0,999999,IF(4=$HE37,IF(79=$HL37,IF($JD37=2,30,0),IF(79=$HM37,IF($JD37=1,30,0),ABS(7-$HF37)*100)),100000+ABS(4-$HE37)*1000+70)),IF($HG37=0,999999,IF(4=$HH37,IF(79=$HN37,IF($JE37=2,30,0),IF(79=$HO37,IF($JE37=1,30,0),ABS(7-$HI37)*100)),100000+ABS(4-$HH37)*1000+70)))-IF((79=$HJ37)+(79=$HK37)+(79=$HL37)+(79=$HM37)+(79=$HN37)+(79=$HO37)&gt;=2,50,0))+CD$5*50)</f>
        <v/>
      </c>
      <c r="CE157">
        <f>IF(OR($JF37=0,calcA!$A$6=0),0,IF(OR(80=$HA37,80=$HD37,80=$HG37),200000,MIN(IF($HA37=0,999999,IF(4=$HB37,IF(80=$HJ37,IF($JC37=2,30,0),IF(80=$HK37,IF($JC37=1,30,0),ABS(8-$HC37)*100)),100000+ABS(4-$HB37)*1000+80)),IF($HD37=0,999999,IF(4=$HE37,IF(80=$HL37,IF($JD37=2,30,0),IF(80=$HM37,IF($JD37=1,30,0),ABS(8-$HF37)*100)),100000+ABS(4-$HE37)*1000+80)),IF($HG37=0,999999,IF(4=$HH37,IF(80=$HN37,IF($JE37=2,30,0),IF(80=$HO37,IF($JE37=1,30,0),ABS(8-$HI37)*100)),100000+ABS(4-$HH37)*1000+80)))-IF((80=$HJ37)+(80=$HK37)+(80=$HL37)+(80=$HM37)+(80=$HN37)+(80=$HO37)&gt;=2,50,0))+CE$5*50)</f>
        <v/>
      </c>
      <c r="CF157">
        <f>IF(OR($JF37=0,calcA!$A$6=0),0,IF(OR(81=$HA37,81=$HD37,81=$HG37),200000,MIN(IF($HA37=0,999999,IF(4=$HB37,IF(81=$HJ37,IF($JC37=2,30,0),IF(81=$HK37,IF($JC37=1,30,0),ABS(9-$HC37)*100)),100000+ABS(4-$HB37)*1000+90)),IF($HD37=0,999999,IF(4=$HE37,IF(81=$HL37,IF($JD37=2,30,0),IF(81=$HM37,IF($JD37=1,30,0),ABS(9-$HF37)*100)),100000+ABS(4-$HE37)*1000+90)),IF($HG37=0,999999,IF(4=$HH37,IF(81=$HN37,IF($JE37=2,30,0),IF(81=$HO37,IF($JE37=1,30,0),ABS(9-$HI37)*100)),100000+ABS(4-$HH37)*1000+90)))-IF((81=$HJ37)+(81=$HK37)+(81=$HL37)+(81=$HM37)+(81=$HN37)+(81=$HO37)&gt;=2,50,0))+CF$5*50)</f>
        <v/>
      </c>
      <c r="CG157">
        <f>IF(OR($JF37=0,calcA!$A$6=0),0,IF(OR(82=$HA37,82=$HD37,82=$HG37),200000,MIN(IF($HA37=0,999999,IF(4=$HB37,IF(82=$HJ37,IF($JC37=2,30,0),IF(82=$HK37,IF($JC37=1,30,0),ABS(10-$HC37)*100)),100000+ABS(4-$HB37)*1000+100)),IF($HD37=0,999999,IF(4=$HE37,IF(82=$HL37,IF($JD37=2,30,0),IF(82=$HM37,IF($JD37=1,30,0),ABS(10-$HF37)*100)),100000+ABS(4-$HE37)*1000+100)),IF($HG37=0,999999,IF(4=$HH37,IF(82=$HN37,IF($JE37=2,30,0),IF(82=$HO37,IF($JE37=1,30,0),ABS(10-$HI37)*100)),100000+ABS(4-$HH37)*1000+100)))-IF((82=$HJ37)+(82=$HK37)+(82=$HL37)+(82=$HM37)+(82=$HN37)+(82=$HO37)&gt;=2,50,0))+CG$5*50)</f>
        <v/>
      </c>
      <c r="CH157">
        <f>IF(OR($JF37=0,calcA!$A$6=0),0,IF(OR(83=$HA37,83=$HD37,83=$HG37),200000,MIN(IF($HA37=0,999999,IF(4=$HB37,IF(83=$HJ37,IF($JC37=2,30,0),IF(83=$HK37,IF($JC37=1,30,0),ABS(11-$HC37)*100)),100000+ABS(4-$HB37)*1000+110)),IF($HD37=0,999999,IF(4=$HE37,IF(83=$HL37,IF($JD37=2,30,0),IF(83=$HM37,IF($JD37=1,30,0),ABS(11-$HF37)*100)),100000+ABS(4-$HE37)*1000+110)),IF($HG37=0,999999,IF(4=$HH37,IF(83=$HN37,IF($JE37=2,30,0),IF(83=$HO37,IF($JE37=1,30,0),ABS(11-$HI37)*100)),100000+ABS(4-$HH37)*1000+110)))-IF((83=$HJ37)+(83=$HK37)+(83=$HL37)+(83=$HM37)+(83=$HN37)+(83=$HO37)&gt;=2,50,0))+CH$5*50)</f>
        <v/>
      </c>
      <c r="CI157">
        <f>IF(OR($JF37=0,calcA!$A$6=0),0,IF(OR(84=$HA37,84=$HD37,84=$HG37),200000,MIN(IF($HA37=0,999999,IF(4=$HB37,IF(84=$HJ37,IF($JC37=2,30,0),IF(84=$HK37,IF($JC37=1,30,0),ABS(12-$HC37)*100)),100000+ABS(4-$HB37)*1000+120)),IF($HD37=0,999999,IF(4=$HE37,IF(84=$HL37,IF($JD37=2,30,0),IF(84=$HM37,IF($JD37=1,30,0),ABS(12-$HF37)*100)),100000+ABS(4-$HE37)*1000+120)),IF($HG37=0,999999,IF(4=$HH37,IF(84=$HN37,IF($JE37=2,30,0),IF(84=$HO37,IF($JE37=1,30,0),ABS(12-$HI37)*100)),100000+ABS(4-$HH37)*1000+120)))-IF((84=$HJ37)+(84=$HK37)+(84=$HL37)+(84=$HM37)+(84=$HN37)+(84=$HO37)&gt;=2,50,0))+CI$5*50)</f>
        <v/>
      </c>
      <c r="CJ157">
        <f>IF(OR($JF37=0,calcA!$A$6=0),0,IF(OR(85=$HA37,85=$HD37,85=$HG37),200000,MIN(IF($HA37=0,999999,IF(4=$HB37,IF(85=$HJ37,IF($JC37=2,30,0),IF(85=$HK37,IF($JC37=1,30,0),ABS(13-$HC37)*100)),100000+ABS(4-$HB37)*1000+130)),IF($HD37=0,999999,IF(4=$HE37,IF(85=$HL37,IF($JD37=2,30,0),IF(85=$HM37,IF($JD37=1,30,0),ABS(13-$HF37)*100)),100000+ABS(4-$HE37)*1000+130)),IF($HG37=0,999999,IF(4=$HH37,IF(85=$HN37,IF($JE37=2,30,0),IF(85=$HO37,IF($JE37=1,30,0),ABS(13-$HI37)*100)),100000+ABS(4-$HH37)*1000+130)))-IF((85=$HJ37)+(85=$HK37)+(85=$HL37)+(85=$HM37)+(85=$HN37)+(85=$HO37)&gt;=2,50,0))+CJ$5*50)</f>
        <v/>
      </c>
      <c r="CK157">
        <f>IF(OR($JF37=0,calcA!$A$6=0),0,IF(OR(86=$HA37,86=$HD37,86=$HG37),200000,MIN(IF($HA37=0,999999,IF(4=$HB37,IF(86=$HJ37,IF($JC37=2,30,0),IF(86=$HK37,IF($JC37=1,30,0),ABS(14-$HC37)*100)),100000+ABS(4-$HB37)*1000+140)),IF($HD37=0,999999,IF(4=$HE37,IF(86=$HL37,IF($JD37=2,30,0),IF(86=$HM37,IF($JD37=1,30,0),ABS(14-$HF37)*100)),100000+ABS(4-$HE37)*1000+140)),IF($HG37=0,999999,IF(4=$HH37,IF(86=$HN37,IF($JE37=2,30,0),IF(86=$HO37,IF($JE37=1,30,0),ABS(14-$HI37)*100)),100000+ABS(4-$HH37)*1000+140)))-IF((86=$HJ37)+(86=$HK37)+(86=$HL37)+(86=$HM37)+(86=$HN37)+(86=$HO37)&gt;=2,50,0))+CK$5*50)</f>
        <v/>
      </c>
      <c r="CL157">
        <f>IF(OR($JF37=0,calcA!$A$6=0),0,IF(OR(87=$HA37,87=$HD37,87=$HG37),200000,MIN(IF($HA37=0,999999,IF(4=$HB37,IF(87=$HJ37,IF($JC37=2,30,0),IF(87=$HK37,IF($JC37=1,30,0),ABS(15-$HC37)*100)),100000+ABS(4-$HB37)*1000+150)),IF($HD37=0,999999,IF(4=$HE37,IF(87=$HL37,IF($JD37=2,30,0),IF(87=$HM37,IF($JD37=1,30,0),ABS(15-$HF37)*100)),100000+ABS(4-$HE37)*1000+150)),IF($HG37=0,999999,IF(4=$HH37,IF(87=$HN37,IF($JE37=2,30,0),IF(87=$HO37,IF($JE37=1,30,0),ABS(15-$HI37)*100)),100000+ABS(4-$HH37)*1000+150)))-IF((87=$HJ37)+(87=$HK37)+(87=$HL37)+(87=$HM37)+(87=$HN37)+(87=$HO37)&gt;=2,50,0))+CL$5*50)</f>
        <v/>
      </c>
      <c r="CM157">
        <f>IF(OR($JF37=0,calcA!$A$6=0),0,IF(OR(88=$HA37,88=$HD37,88=$HG37),200000,MIN(IF($HA37=0,999999,IF(4=$HB37,IF(88=$HJ37,IF($JC37=2,30,0),IF(88=$HK37,IF($JC37=1,30,0),ABS(16-$HC37)*100)),100000+ABS(4-$HB37)*1000+160)),IF($HD37=0,999999,IF(4=$HE37,IF(88=$HL37,IF($JD37=2,30,0),IF(88=$HM37,IF($JD37=1,30,0),ABS(16-$HF37)*100)),100000+ABS(4-$HE37)*1000+160)),IF($HG37=0,999999,IF(4=$HH37,IF(88=$HN37,IF($JE37=2,30,0),IF(88=$HO37,IF($JE37=1,30,0),ABS(16-$HI37)*100)),100000+ABS(4-$HH37)*1000+160)))-IF((88=$HJ37)+(88=$HK37)+(88=$HL37)+(88=$HM37)+(88=$HN37)+(88=$HO37)&gt;=2,50,0))+CM$5*50)</f>
        <v/>
      </c>
      <c r="CN157">
        <f>IF(OR($JF37=0,calcA!$A$6=0),0,IF(OR(89=$HA37,89=$HD37,89=$HG37),200000,MIN(IF($HA37=0,999999,IF(4=$HB37,IF(89=$HJ37,IF($JC37=2,30,0),IF(89=$HK37,IF($JC37=1,30,0),ABS(17-$HC37)*100)),100000+ABS(4-$HB37)*1000+170)),IF($HD37=0,999999,IF(4=$HE37,IF(89=$HL37,IF($JD37=2,30,0),IF(89=$HM37,IF($JD37=1,30,0),ABS(17-$HF37)*100)),100000+ABS(4-$HE37)*1000+170)),IF($HG37=0,999999,IF(4=$HH37,IF(89=$HN37,IF($JE37=2,30,0),IF(89=$HO37,IF($JE37=1,30,0),ABS(17-$HI37)*100)),100000+ABS(4-$HH37)*1000+170)))-IF((89=$HJ37)+(89=$HK37)+(89=$HL37)+(89=$HM37)+(89=$HN37)+(89=$HO37)&gt;=2,50,0))+CN$5*50)</f>
        <v/>
      </c>
      <c r="CO157">
        <f>IF(OR($JF37=0,calcA!$A$6=0),0,IF(OR(90=$HA37,90=$HD37,90=$HG37),200000,MIN(IF($HA37=0,999999,IF(4=$HB37,IF(90=$HJ37,IF($JC37=2,30,0),IF(90=$HK37,IF($JC37=1,30,0),ABS(18-$HC37)*100)),100000+ABS(4-$HB37)*1000+180)),IF($HD37=0,999999,IF(4=$HE37,IF(90=$HL37,IF($JD37=2,30,0),IF(90=$HM37,IF($JD37=1,30,0),ABS(18-$HF37)*100)),100000+ABS(4-$HE37)*1000+180)),IF($HG37=0,999999,IF(4=$HH37,IF(90=$HN37,IF($JE37=2,30,0),IF(90=$HO37,IF($JE37=1,30,0),ABS(18-$HI37)*100)),100000+ABS(4-$HH37)*1000+180)))-IF((90=$HJ37)+(90=$HK37)+(90=$HL37)+(90=$HM37)+(90=$HN37)+(90=$HO37)&gt;=2,50,0))+CO$5*50)</f>
        <v/>
      </c>
      <c r="CP157">
        <f>IF(OR($JF37=0,calcA!$A$6=0),0,IF(OR(91=$HA37,91=$HD37,91=$HG37),200000,MIN(IF($HA37=0,999999,IF(4=$HB37,IF(91=$HJ37,IF($JC37=2,30,0),IF(91=$HK37,IF($JC37=1,30,0),ABS(19-$HC37)*100)),100000+ABS(4-$HB37)*1000+190)),IF($HD37=0,999999,IF(4=$HE37,IF(91=$HL37,IF($JD37=2,30,0),IF(91=$HM37,IF($JD37=1,30,0),ABS(19-$HF37)*100)),100000+ABS(4-$HE37)*1000+190)),IF($HG37=0,999999,IF(4=$HH37,IF(91=$HN37,IF($JE37=2,30,0),IF(91=$HO37,IF($JE37=1,30,0),ABS(19-$HI37)*100)),100000+ABS(4-$HH37)*1000+190)))-IF((91=$HJ37)+(91=$HK37)+(91=$HL37)+(91=$HM37)+(91=$HN37)+(91=$HO37)&gt;=2,50,0))+CP$5*50)</f>
        <v/>
      </c>
      <c r="CQ157">
        <f>IF(OR($JF37=0,calcA!$A$6=0),0,IF(OR(92=$HA37,92=$HD37,92=$HG37),200000,MIN(IF($HA37=0,999999,IF(4=$HB37,IF(92=$HJ37,IF($JC37=2,30,0),IF(92=$HK37,IF($JC37=1,30,0),ABS(20-$HC37)*100)),100000+ABS(4-$HB37)*1000+200)),IF($HD37=0,999999,IF(4=$HE37,IF(92=$HL37,IF($JD37=2,30,0),IF(92=$HM37,IF($JD37=1,30,0),ABS(20-$HF37)*100)),100000+ABS(4-$HE37)*1000+200)),IF($HG37=0,999999,IF(4=$HH37,IF(92=$HN37,IF($JE37=2,30,0),IF(92=$HO37,IF($JE37=1,30,0),ABS(20-$HI37)*100)),100000+ABS(4-$HH37)*1000+200)))-IF((92=$HJ37)+(92=$HK37)+(92=$HL37)+(92=$HM37)+(92=$HN37)+(92=$HO37)&gt;=2,50,0))+CQ$5*50)</f>
        <v/>
      </c>
      <c r="CR157">
        <f>IF(OR($JF37=0,calcA!$A$6=0),0,IF(OR(93=$HA37,93=$HD37,93=$HG37),200000,MIN(IF($HA37=0,999999,IF(4=$HB37,IF(93=$HJ37,IF($JC37=2,30,0),IF(93=$HK37,IF($JC37=1,30,0),ABS(21-$HC37)*100)),100000+ABS(4-$HB37)*1000+210)),IF($HD37=0,999999,IF(4=$HE37,IF(93=$HL37,IF($JD37=2,30,0),IF(93=$HM37,IF($JD37=1,30,0),ABS(21-$HF37)*100)),100000+ABS(4-$HE37)*1000+210)),IF($HG37=0,999999,IF(4=$HH37,IF(93=$HN37,IF($JE37=2,30,0),IF(93=$HO37,IF($JE37=1,30,0),ABS(21-$HI37)*100)),100000+ABS(4-$HH37)*1000+210)))-IF((93=$HJ37)+(93=$HK37)+(93=$HL37)+(93=$HM37)+(93=$HN37)+(93=$HO37)&gt;=2,50,0))+CR$5*50)</f>
        <v/>
      </c>
      <c r="CS157">
        <f>IF(OR($JF37=0,calcA!$A$6=0),0,IF(OR(94=$HA37,94=$HD37,94=$HG37),200000,MIN(IF($HA37=0,999999,IF(4=$HB37,IF(94=$HJ37,IF($JC37=2,30,0),IF(94=$HK37,IF($JC37=1,30,0),ABS(22-$HC37)*100)),100000+ABS(4-$HB37)*1000+220)),IF($HD37=0,999999,IF(4=$HE37,IF(94=$HL37,IF($JD37=2,30,0),IF(94=$HM37,IF($JD37=1,30,0),ABS(22-$HF37)*100)),100000+ABS(4-$HE37)*1000+220)),IF($HG37=0,999999,IF(4=$HH37,IF(94=$HN37,IF($JE37=2,30,0),IF(94=$HO37,IF($JE37=1,30,0),ABS(22-$HI37)*100)),100000+ABS(4-$HH37)*1000+220)))-IF((94=$HJ37)+(94=$HK37)+(94=$HL37)+(94=$HM37)+(94=$HN37)+(94=$HO37)&gt;=2,50,0))+CS$5*50)</f>
        <v/>
      </c>
      <c r="CT157">
        <f>IF(OR($JF37=0,calcA!$A$6=0),0,IF(OR(95=$HA37,95=$HD37,95=$HG37),200000,MIN(IF($HA37=0,999999,IF(4=$HB37,IF(95=$HJ37,IF($JC37=2,30,0),IF(95=$HK37,IF($JC37=1,30,0),ABS(23-$HC37)*100)),100000+ABS(4-$HB37)*1000+230)),IF($HD37=0,999999,IF(4=$HE37,IF(95=$HL37,IF($JD37=2,30,0),IF(95=$HM37,IF($JD37=1,30,0),ABS(23-$HF37)*100)),100000+ABS(4-$HE37)*1000+230)),IF($HG37=0,999999,IF(4=$HH37,IF(95=$HN37,IF($JE37=2,30,0),IF(95=$HO37,IF($JE37=1,30,0),ABS(23-$HI37)*100)),100000+ABS(4-$HH37)*1000+230)))-IF((95=$HJ37)+(95=$HK37)+(95=$HL37)+(95=$HM37)+(95=$HN37)+(95=$HO37)&gt;=2,50,0))+CT$5*50)</f>
        <v/>
      </c>
      <c r="CU157">
        <f>IF(OR($JF37=0,calcA!$A$6=0),0,IF(OR(96=$HA37,96=$HD37,96=$HG37),200000,MIN(IF($HA37=0,999999,IF(4=$HB37,IF(96=$HJ37,IF($JC37=2,30,0),IF(96=$HK37,IF($JC37=1,30,0),ABS(24-$HC37)*100)),100000+ABS(4-$HB37)*1000+240)),IF($HD37=0,999999,IF(4=$HE37,IF(96=$HL37,IF($JD37=2,30,0),IF(96=$HM37,IF($JD37=1,30,0),ABS(24-$HF37)*100)),100000+ABS(4-$HE37)*1000+240)),IF($HG37=0,999999,IF(4=$HH37,IF(96=$HN37,IF($JE37=2,30,0),IF(96=$HO37,IF($JE37=1,30,0),ABS(24-$HI37)*100)),100000+ABS(4-$HH37)*1000+240)))-IF((96=$HJ37)+(96=$HK37)+(96=$HL37)+(96=$HM37)+(96=$HN37)+(96=$HO37)&gt;=2,50,0))+CU$5*50)</f>
        <v/>
      </c>
      <c r="CV157">
        <f>IF(OR($JF37=0,calcA!$A$6=0),0,IF(OR(97=$HA37,97=$HD37,97=$HG37),200000,MIN(IF($HA37=0,999999,IF(5=$HB37,IF(97=$HJ37,IF($JC37=2,30,0),IF(97=$HK37,IF($JC37=1,30,0),ABS(1-$HC37)*100)),100000+ABS(5-$HB37)*1000+10)),IF($HD37=0,999999,IF(5=$HE37,IF(97=$HL37,IF($JD37=2,30,0),IF(97=$HM37,IF($JD37=1,30,0),ABS(1-$HF37)*100)),100000+ABS(5-$HE37)*1000+10)),IF($HG37=0,999999,IF(5=$HH37,IF(97=$HN37,IF($JE37=2,30,0),IF(97=$HO37,IF($JE37=1,30,0),ABS(1-$HI37)*100)),100000+ABS(5-$HH37)*1000+10)))-IF((97=$HJ37)+(97=$HK37)+(97=$HL37)+(97=$HM37)+(97=$HN37)+(97=$HO37)&gt;=2,50,0))+CV$5*50)</f>
        <v/>
      </c>
      <c r="CW157">
        <f>IF(OR($JF37=0,calcA!$A$6=0),0,IF(OR(98=$HA37,98=$HD37,98=$HG37),200000,MIN(IF($HA37=0,999999,IF(5=$HB37,IF(98=$HJ37,IF($JC37=2,30,0),IF(98=$HK37,IF($JC37=1,30,0),ABS(2-$HC37)*100)),100000+ABS(5-$HB37)*1000+20)),IF($HD37=0,999999,IF(5=$HE37,IF(98=$HL37,IF($JD37=2,30,0),IF(98=$HM37,IF($JD37=1,30,0),ABS(2-$HF37)*100)),100000+ABS(5-$HE37)*1000+20)),IF($HG37=0,999999,IF(5=$HH37,IF(98=$HN37,IF($JE37=2,30,0),IF(98=$HO37,IF($JE37=1,30,0),ABS(2-$HI37)*100)),100000+ABS(5-$HH37)*1000+20)))-IF((98=$HJ37)+(98=$HK37)+(98=$HL37)+(98=$HM37)+(98=$HN37)+(98=$HO37)&gt;=2,50,0))+CW$5*50)</f>
        <v/>
      </c>
      <c r="CX157">
        <f>IF(OR($JF37=0,calcA!$A$6=0),0,IF(OR(99=$HA37,99=$HD37,99=$HG37),200000,MIN(IF($HA37=0,999999,IF(5=$HB37,IF(99=$HJ37,IF($JC37=2,30,0),IF(99=$HK37,IF($JC37=1,30,0),ABS(3-$HC37)*100)),100000+ABS(5-$HB37)*1000+30)),IF($HD37=0,999999,IF(5=$HE37,IF(99=$HL37,IF($JD37=2,30,0),IF(99=$HM37,IF($JD37=1,30,0),ABS(3-$HF37)*100)),100000+ABS(5-$HE37)*1000+30)),IF($HG37=0,999999,IF(5=$HH37,IF(99=$HN37,IF($JE37=2,30,0),IF(99=$HO37,IF($JE37=1,30,0),ABS(3-$HI37)*100)),100000+ABS(5-$HH37)*1000+30)))-IF((99=$HJ37)+(99=$HK37)+(99=$HL37)+(99=$HM37)+(99=$HN37)+(99=$HO37)&gt;=2,50,0))+CX$5*50)</f>
        <v/>
      </c>
      <c r="CY157">
        <f>IF(OR($JF37=0,calcA!$A$6=0),0,IF(OR(100=$HA37,100=$HD37,100=$HG37),200000,MIN(IF($HA37=0,999999,IF(5=$HB37,IF(100=$HJ37,IF($JC37=2,30,0),IF(100=$HK37,IF($JC37=1,30,0),ABS(4-$HC37)*100)),100000+ABS(5-$HB37)*1000+40)),IF($HD37=0,999999,IF(5=$HE37,IF(100=$HL37,IF($JD37=2,30,0),IF(100=$HM37,IF($JD37=1,30,0),ABS(4-$HF37)*100)),100000+ABS(5-$HE37)*1000+40)),IF($HG37=0,999999,IF(5=$HH37,IF(100=$HN37,IF($JE37=2,30,0),IF(100=$HO37,IF($JE37=1,30,0),ABS(4-$HI37)*100)),100000+ABS(5-$HH37)*1000+40)))-IF((100=$HJ37)+(100=$HK37)+(100=$HL37)+(100=$HM37)+(100=$HN37)+(100=$HO37)&gt;=2,50,0))+CY$5*50)</f>
        <v/>
      </c>
      <c r="CZ157">
        <f>IF(OR($JF37=0,calcA!$A$6=0),0,IF(OR(101=$HA37,101=$HD37,101=$HG37),200000,MIN(IF($HA37=0,999999,IF(5=$HB37,IF(101=$HJ37,IF($JC37=2,30,0),IF(101=$HK37,IF($JC37=1,30,0),ABS(5-$HC37)*100)),100000+ABS(5-$HB37)*1000+50)),IF($HD37=0,999999,IF(5=$HE37,IF(101=$HL37,IF($JD37=2,30,0),IF(101=$HM37,IF($JD37=1,30,0),ABS(5-$HF37)*100)),100000+ABS(5-$HE37)*1000+50)),IF($HG37=0,999999,IF(5=$HH37,IF(101=$HN37,IF($JE37=2,30,0),IF(101=$HO37,IF($JE37=1,30,0),ABS(5-$HI37)*100)),100000+ABS(5-$HH37)*1000+50)))-IF((101=$HJ37)+(101=$HK37)+(101=$HL37)+(101=$HM37)+(101=$HN37)+(101=$HO37)&gt;=2,50,0))+CZ$5*50)</f>
        <v/>
      </c>
      <c r="DA157">
        <f>IF(OR($JF37=0,calcA!$A$6=0),0,IF(OR(102=$HA37,102=$HD37,102=$HG37),200000,MIN(IF($HA37=0,999999,IF(5=$HB37,IF(102=$HJ37,IF($JC37=2,30,0),IF(102=$HK37,IF($JC37=1,30,0),ABS(6-$HC37)*100)),100000+ABS(5-$HB37)*1000+60)),IF($HD37=0,999999,IF(5=$HE37,IF(102=$HL37,IF($JD37=2,30,0),IF(102=$HM37,IF($JD37=1,30,0),ABS(6-$HF37)*100)),100000+ABS(5-$HE37)*1000+60)),IF($HG37=0,999999,IF(5=$HH37,IF(102=$HN37,IF($JE37=2,30,0),IF(102=$HO37,IF($JE37=1,30,0),ABS(6-$HI37)*100)),100000+ABS(5-$HH37)*1000+60)))-IF((102=$HJ37)+(102=$HK37)+(102=$HL37)+(102=$HM37)+(102=$HN37)+(102=$HO37)&gt;=2,50,0))+DA$5*50)</f>
        <v/>
      </c>
      <c r="DB157">
        <f>IF(OR($JF37=0,calcA!$A$6=0),0,IF(OR(103=$HA37,103=$HD37,103=$HG37),200000,MIN(IF($HA37=0,999999,IF(5=$HB37,IF(103=$HJ37,IF($JC37=2,30,0),IF(103=$HK37,IF($JC37=1,30,0),ABS(7-$HC37)*100)),100000+ABS(5-$HB37)*1000+70)),IF($HD37=0,999999,IF(5=$HE37,IF(103=$HL37,IF($JD37=2,30,0),IF(103=$HM37,IF($JD37=1,30,0),ABS(7-$HF37)*100)),100000+ABS(5-$HE37)*1000+70)),IF($HG37=0,999999,IF(5=$HH37,IF(103=$HN37,IF($JE37=2,30,0),IF(103=$HO37,IF($JE37=1,30,0),ABS(7-$HI37)*100)),100000+ABS(5-$HH37)*1000+70)))-IF((103=$HJ37)+(103=$HK37)+(103=$HL37)+(103=$HM37)+(103=$HN37)+(103=$HO37)&gt;=2,50,0))+DB$5*50)</f>
        <v/>
      </c>
      <c r="DC157">
        <f>IF(OR($JF37=0,calcA!$A$6=0),0,IF(OR(104=$HA37,104=$HD37,104=$HG37),200000,MIN(IF($HA37=0,999999,IF(5=$HB37,IF(104=$HJ37,IF($JC37=2,30,0),IF(104=$HK37,IF($JC37=1,30,0),ABS(8-$HC37)*100)),100000+ABS(5-$HB37)*1000+80)),IF($HD37=0,999999,IF(5=$HE37,IF(104=$HL37,IF($JD37=2,30,0),IF(104=$HM37,IF($JD37=1,30,0),ABS(8-$HF37)*100)),100000+ABS(5-$HE37)*1000+80)),IF($HG37=0,999999,IF(5=$HH37,IF(104=$HN37,IF($JE37=2,30,0),IF(104=$HO37,IF($JE37=1,30,0),ABS(8-$HI37)*100)),100000+ABS(5-$HH37)*1000+80)))-IF((104=$HJ37)+(104=$HK37)+(104=$HL37)+(104=$HM37)+(104=$HN37)+(104=$HO37)&gt;=2,50,0))+DC$5*50)</f>
        <v/>
      </c>
      <c r="DD157">
        <f>IF(OR($JF37=0,calcA!$A$6=0),0,IF(OR(105=$HA37,105=$HD37,105=$HG37),200000,MIN(IF($HA37=0,999999,IF(5=$HB37,IF(105=$HJ37,IF($JC37=2,30,0),IF(105=$HK37,IF($JC37=1,30,0),ABS(9-$HC37)*100)),100000+ABS(5-$HB37)*1000+90)),IF($HD37=0,999999,IF(5=$HE37,IF(105=$HL37,IF($JD37=2,30,0),IF(105=$HM37,IF($JD37=1,30,0),ABS(9-$HF37)*100)),100000+ABS(5-$HE37)*1000+90)),IF($HG37=0,999999,IF(5=$HH37,IF(105=$HN37,IF($JE37=2,30,0),IF(105=$HO37,IF($JE37=1,30,0),ABS(9-$HI37)*100)),100000+ABS(5-$HH37)*1000+90)))-IF((105=$HJ37)+(105=$HK37)+(105=$HL37)+(105=$HM37)+(105=$HN37)+(105=$HO37)&gt;=2,50,0))+DD$5*50)</f>
        <v/>
      </c>
      <c r="DE157">
        <f>IF(OR($JF37=0,calcA!$A$6=0),0,IF(OR(106=$HA37,106=$HD37,106=$HG37),200000,MIN(IF($HA37=0,999999,IF(5=$HB37,IF(106=$HJ37,IF($JC37=2,30,0),IF(106=$HK37,IF($JC37=1,30,0),ABS(10-$HC37)*100)),100000+ABS(5-$HB37)*1000+100)),IF($HD37=0,999999,IF(5=$HE37,IF(106=$HL37,IF($JD37=2,30,0),IF(106=$HM37,IF($JD37=1,30,0),ABS(10-$HF37)*100)),100000+ABS(5-$HE37)*1000+100)),IF($HG37=0,999999,IF(5=$HH37,IF(106=$HN37,IF($JE37=2,30,0),IF(106=$HO37,IF($JE37=1,30,0),ABS(10-$HI37)*100)),100000+ABS(5-$HH37)*1000+100)))-IF((106=$HJ37)+(106=$HK37)+(106=$HL37)+(106=$HM37)+(106=$HN37)+(106=$HO37)&gt;=2,50,0))+DE$5*50)</f>
        <v/>
      </c>
      <c r="DF157">
        <f>IF(OR($JF37=0,calcA!$A$6=0),0,IF(OR(107=$HA37,107=$HD37,107=$HG37),200000,MIN(IF($HA37=0,999999,IF(5=$HB37,IF(107=$HJ37,IF($JC37=2,30,0),IF(107=$HK37,IF($JC37=1,30,0),ABS(11-$HC37)*100)),100000+ABS(5-$HB37)*1000+110)),IF($HD37=0,999999,IF(5=$HE37,IF(107=$HL37,IF($JD37=2,30,0),IF(107=$HM37,IF($JD37=1,30,0),ABS(11-$HF37)*100)),100000+ABS(5-$HE37)*1000+110)),IF($HG37=0,999999,IF(5=$HH37,IF(107=$HN37,IF($JE37=2,30,0),IF(107=$HO37,IF($JE37=1,30,0),ABS(11-$HI37)*100)),100000+ABS(5-$HH37)*1000+110)))-IF((107=$HJ37)+(107=$HK37)+(107=$HL37)+(107=$HM37)+(107=$HN37)+(107=$HO37)&gt;=2,50,0))+DF$5*50)</f>
        <v/>
      </c>
      <c r="DG157">
        <f>IF(OR($JF37=0,calcA!$A$6=0),0,IF(OR(108=$HA37,108=$HD37,108=$HG37),200000,MIN(IF($HA37=0,999999,IF(5=$HB37,IF(108=$HJ37,IF($JC37=2,30,0),IF(108=$HK37,IF($JC37=1,30,0),ABS(12-$HC37)*100)),100000+ABS(5-$HB37)*1000+120)),IF($HD37=0,999999,IF(5=$HE37,IF(108=$HL37,IF($JD37=2,30,0),IF(108=$HM37,IF($JD37=1,30,0),ABS(12-$HF37)*100)),100000+ABS(5-$HE37)*1000+120)),IF($HG37=0,999999,IF(5=$HH37,IF(108=$HN37,IF($JE37=2,30,0),IF(108=$HO37,IF($JE37=1,30,0),ABS(12-$HI37)*100)),100000+ABS(5-$HH37)*1000+120)))-IF((108=$HJ37)+(108=$HK37)+(108=$HL37)+(108=$HM37)+(108=$HN37)+(108=$HO37)&gt;=2,50,0))+DG$5*50)</f>
        <v/>
      </c>
      <c r="DH157">
        <f>IF(OR($JF37=0,calcA!$A$6=0),0,IF(OR(109=$HA37,109=$HD37,109=$HG37),200000,MIN(IF($HA37=0,999999,IF(5=$HB37,IF(109=$HJ37,IF($JC37=2,30,0),IF(109=$HK37,IF($JC37=1,30,0),ABS(13-$HC37)*100)),100000+ABS(5-$HB37)*1000+130)),IF($HD37=0,999999,IF(5=$HE37,IF(109=$HL37,IF($JD37=2,30,0),IF(109=$HM37,IF($JD37=1,30,0),ABS(13-$HF37)*100)),100000+ABS(5-$HE37)*1000+130)),IF($HG37=0,999999,IF(5=$HH37,IF(109=$HN37,IF($JE37=2,30,0),IF(109=$HO37,IF($JE37=1,30,0),ABS(13-$HI37)*100)),100000+ABS(5-$HH37)*1000+130)))-IF((109=$HJ37)+(109=$HK37)+(109=$HL37)+(109=$HM37)+(109=$HN37)+(109=$HO37)&gt;=2,50,0))+DH$5*50)</f>
        <v/>
      </c>
      <c r="DI157">
        <f>IF(OR($JF37=0,calcA!$A$6=0),0,IF(OR(110=$HA37,110=$HD37,110=$HG37),200000,MIN(IF($HA37=0,999999,IF(5=$HB37,IF(110=$HJ37,IF($JC37=2,30,0),IF(110=$HK37,IF($JC37=1,30,0),ABS(14-$HC37)*100)),100000+ABS(5-$HB37)*1000+140)),IF($HD37=0,999999,IF(5=$HE37,IF(110=$HL37,IF($JD37=2,30,0),IF(110=$HM37,IF($JD37=1,30,0),ABS(14-$HF37)*100)),100000+ABS(5-$HE37)*1000+140)),IF($HG37=0,999999,IF(5=$HH37,IF(110=$HN37,IF($JE37=2,30,0),IF(110=$HO37,IF($JE37=1,30,0),ABS(14-$HI37)*100)),100000+ABS(5-$HH37)*1000+140)))-IF((110=$HJ37)+(110=$HK37)+(110=$HL37)+(110=$HM37)+(110=$HN37)+(110=$HO37)&gt;=2,50,0))+DI$5*50)</f>
        <v/>
      </c>
      <c r="DJ157">
        <f>IF(OR($JF37=0,calcA!$A$6=0),0,IF(OR(111=$HA37,111=$HD37,111=$HG37),200000,MIN(IF($HA37=0,999999,IF(5=$HB37,IF(111=$HJ37,IF($JC37=2,30,0),IF(111=$HK37,IF($JC37=1,30,0),ABS(15-$HC37)*100)),100000+ABS(5-$HB37)*1000+150)),IF($HD37=0,999999,IF(5=$HE37,IF(111=$HL37,IF($JD37=2,30,0),IF(111=$HM37,IF($JD37=1,30,0),ABS(15-$HF37)*100)),100000+ABS(5-$HE37)*1000+150)),IF($HG37=0,999999,IF(5=$HH37,IF(111=$HN37,IF($JE37=2,30,0),IF(111=$HO37,IF($JE37=1,30,0),ABS(15-$HI37)*100)),100000+ABS(5-$HH37)*1000+150)))-IF((111=$HJ37)+(111=$HK37)+(111=$HL37)+(111=$HM37)+(111=$HN37)+(111=$HO37)&gt;=2,50,0))+DJ$5*50)</f>
        <v/>
      </c>
      <c r="DK157">
        <f>IF(OR($JF37=0,calcA!$A$6=0),0,IF(OR(112=$HA37,112=$HD37,112=$HG37),200000,MIN(IF($HA37=0,999999,IF(5=$HB37,IF(112=$HJ37,IF($JC37=2,30,0),IF(112=$HK37,IF($JC37=1,30,0),ABS(16-$HC37)*100)),100000+ABS(5-$HB37)*1000+160)),IF($HD37=0,999999,IF(5=$HE37,IF(112=$HL37,IF($JD37=2,30,0),IF(112=$HM37,IF($JD37=1,30,0),ABS(16-$HF37)*100)),100000+ABS(5-$HE37)*1000+160)),IF($HG37=0,999999,IF(5=$HH37,IF(112=$HN37,IF($JE37=2,30,0),IF(112=$HO37,IF($JE37=1,30,0),ABS(16-$HI37)*100)),100000+ABS(5-$HH37)*1000+160)))-IF((112=$HJ37)+(112=$HK37)+(112=$HL37)+(112=$HM37)+(112=$HN37)+(112=$HO37)&gt;=2,50,0))+DK$5*50)</f>
        <v/>
      </c>
      <c r="DL157">
        <f>IF(OR($JF37=0,calcA!$A$6=0),0,IF(OR(113=$HA37,113=$HD37,113=$HG37),200000,MIN(IF($HA37=0,999999,IF(5=$HB37,IF(113=$HJ37,IF($JC37=2,30,0),IF(113=$HK37,IF($JC37=1,30,0),ABS(17-$HC37)*100)),100000+ABS(5-$HB37)*1000+170)),IF($HD37=0,999999,IF(5=$HE37,IF(113=$HL37,IF($JD37=2,30,0),IF(113=$HM37,IF($JD37=1,30,0),ABS(17-$HF37)*100)),100000+ABS(5-$HE37)*1000+170)),IF($HG37=0,999999,IF(5=$HH37,IF(113=$HN37,IF($JE37=2,30,0),IF(113=$HO37,IF($JE37=1,30,0),ABS(17-$HI37)*100)),100000+ABS(5-$HH37)*1000+170)))-IF((113=$HJ37)+(113=$HK37)+(113=$HL37)+(113=$HM37)+(113=$HN37)+(113=$HO37)&gt;=2,50,0))+DL$5*50)</f>
        <v/>
      </c>
      <c r="DM157">
        <f>IF(OR($JF37=0,calcA!$A$6=0),0,IF(OR(114=$HA37,114=$HD37,114=$HG37),200000,MIN(IF($HA37=0,999999,IF(5=$HB37,IF(114=$HJ37,IF($JC37=2,30,0),IF(114=$HK37,IF($JC37=1,30,0),ABS(18-$HC37)*100)),100000+ABS(5-$HB37)*1000+180)),IF($HD37=0,999999,IF(5=$HE37,IF(114=$HL37,IF($JD37=2,30,0),IF(114=$HM37,IF($JD37=1,30,0),ABS(18-$HF37)*100)),100000+ABS(5-$HE37)*1000+180)),IF($HG37=0,999999,IF(5=$HH37,IF(114=$HN37,IF($JE37=2,30,0),IF(114=$HO37,IF($JE37=1,30,0),ABS(18-$HI37)*100)),100000+ABS(5-$HH37)*1000+180)))-IF((114=$HJ37)+(114=$HK37)+(114=$HL37)+(114=$HM37)+(114=$HN37)+(114=$HO37)&gt;=2,50,0))+DM$5*50)</f>
        <v/>
      </c>
      <c r="DN157">
        <f>IF(OR($JF37=0,calcA!$A$6=0),0,IF(OR(115=$HA37,115=$HD37,115=$HG37),200000,MIN(IF($HA37=0,999999,IF(5=$HB37,IF(115=$HJ37,IF($JC37=2,30,0),IF(115=$HK37,IF($JC37=1,30,0),ABS(19-$HC37)*100)),100000+ABS(5-$HB37)*1000+190)),IF($HD37=0,999999,IF(5=$HE37,IF(115=$HL37,IF($JD37=2,30,0),IF(115=$HM37,IF($JD37=1,30,0),ABS(19-$HF37)*100)),100000+ABS(5-$HE37)*1000+190)),IF($HG37=0,999999,IF(5=$HH37,IF(115=$HN37,IF($JE37=2,30,0),IF(115=$HO37,IF($JE37=1,30,0),ABS(19-$HI37)*100)),100000+ABS(5-$HH37)*1000+190)))-IF((115=$HJ37)+(115=$HK37)+(115=$HL37)+(115=$HM37)+(115=$HN37)+(115=$HO37)&gt;=2,50,0))+DN$5*50)</f>
        <v/>
      </c>
      <c r="DO157">
        <f>IF(OR($JF37=0,calcA!$A$6=0),0,IF(OR(116=$HA37,116=$HD37,116=$HG37),200000,MIN(IF($HA37=0,999999,IF(5=$HB37,IF(116=$HJ37,IF($JC37=2,30,0),IF(116=$HK37,IF($JC37=1,30,0),ABS(20-$HC37)*100)),100000+ABS(5-$HB37)*1000+200)),IF($HD37=0,999999,IF(5=$HE37,IF(116=$HL37,IF($JD37=2,30,0),IF(116=$HM37,IF($JD37=1,30,0),ABS(20-$HF37)*100)),100000+ABS(5-$HE37)*1000+200)),IF($HG37=0,999999,IF(5=$HH37,IF(116=$HN37,IF($JE37=2,30,0),IF(116=$HO37,IF($JE37=1,30,0),ABS(20-$HI37)*100)),100000+ABS(5-$HH37)*1000+200)))-IF((116=$HJ37)+(116=$HK37)+(116=$HL37)+(116=$HM37)+(116=$HN37)+(116=$HO37)&gt;=2,50,0))+DO$5*50)</f>
        <v/>
      </c>
      <c r="DP157">
        <f>IF(OR($JF37=0,calcA!$A$6=0),0,IF(OR(117=$HA37,117=$HD37,117=$HG37),200000,MIN(IF($HA37=0,999999,IF(5=$HB37,IF(117=$HJ37,IF($JC37=2,30,0),IF(117=$HK37,IF($JC37=1,30,0),ABS(21-$HC37)*100)),100000+ABS(5-$HB37)*1000+210)),IF($HD37=0,999999,IF(5=$HE37,IF(117=$HL37,IF($JD37=2,30,0),IF(117=$HM37,IF($JD37=1,30,0),ABS(21-$HF37)*100)),100000+ABS(5-$HE37)*1000+210)),IF($HG37=0,999999,IF(5=$HH37,IF(117=$HN37,IF($JE37=2,30,0),IF(117=$HO37,IF($JE37=1,30,0),ABS(21-$HI37)*100)),100000+ABS(5-$HH37)*1000+210)))-IF((117=$HJ37)+(117=$HK37)+(117=$HL37)+(117=$HM37)+(117=$HN37)+(117=$HO37)&gt;=2,50,0))+DP$5*50)</f>
        <v/>
      </c>
      <c r="DQ157">
        <f>IF(OR($JF37=0,calcA!$A$6=0),0,IF(OR(118=$HA37,118=$HD37,118=$HG37),200000,MIN(IF($HA37=0,999999,IF(5=$HB37,IF(118=$HJ37,IF($JC37=2,30,0),IF(118=$HK37,IF($JC37=1,30,0),ABS(22-$HC37)*100)),100000+ABS(5-$HB37)*1000+220)),IF($HD37=0,999999,IF(5=$HE37,IF(118=$HL37,IF($JD37=2,30,0),IF(118=$HM37,IF($JD37=1,30,0),ABS(22-$HF37)*100)),100000+ABS(5-$HE37)*1000+220)),IF($HG37=0,999999,IF(5=$HH37,IF(118=$HN37,IF($JE37=2,30,0),IF(118=$HO37,IF($JE37=1,30,0),ABS(22-$HI37)*100)),100000+ABS(5-$HH37)*1000+220)))-IF((118=$HJ37)+(118=$HK37)+(118=$HL37)+(118=$HM37)+(118=$HN37)+(118=$HO37)&gt;=2,50,0))+DQ$5*50)</f>
        <v/>
      </c>
      <c r="DR157">
        <f>IF(OR($JF37=0,calcA!$A$6=0),0,IF(OR(119=$HA37,119=$HD37,119=$HG37),200000,MIN(IF($HA37=0,999999,IF(5=$HB37,IF(119=$HJ37,IF($JC37=2,30,0),IF(119=$HK37,IF($JC37=1,30,0),ABS(23-$HC37)*100)),100000+ABS(5-$HB37)*1000+230)),IF($HD37=0,999999,IF(5=$HE37,IF(119=$HL37,IF($JD37=2,30,0),IF(119=$HM37,IF($JD37=1,30,0),ABS(23-$HF37)*100)),100000+ABS(5-$HE37)*1000+230)),IF($HG37=0,999999,IF(5=$HH37,IF(119=$HN37,IF($JE37=2,30,0),IF(119=$HO37,IF($JE37=1,30,0),ABS(23-$HI37)*100)),100000+ABS(5-$HH37)*1000+230)))-IF((119=$HJ37)+(119=$HK37)+(119=$HL37)+(119=$HM37)+(119=$HN37)+(119=$HO37)&gt;=2,50,0))+DR$5*50)</f>
        <v/>
      </c>
      <c r="DS157">
        <f>IF(OR($JF37=0,calcA!$A$6=0),0,IF(OR(120=$HA37,120=$HD37,120=$HG37),200000,MIN(IF($HA37=0,999999,IF(5=$HB37,IF(120=$HJ37,IF($JC37=2,30,0),IF(120=$HK37,IF($JC37=1,30,0),ABS(24-$HC37)*100)),100000+ABS(5-$HB37)*1000+240)),IF($HD37=0,999999,IF(5=$HE37,IF(120=$HL37,IF($JD37=2,30,0),IF(120=$HM37,IF($JD37=1,30,0),ABS(24-$HF37)*100)),100000+ABS(5-$HE37)*1000+240)),IF($HG37=0,999999,IF(5=$HH37,IF(120=$HN37,IF($JE37=2,30,0),IF(120=$HO37,IF($JE37=1,30,0),ABS(24-$HI37)*100)),100000+ABS(5-$HH37)*1000+240)))-IF((120=$HJ37)+(120=$HK37)+(120=$HL37)+(120=$HM37)+(120=$HN37)+(120=$HO37)&gt;=2,50,0))+DS$5*50)</f>
        <v/>
      </c>
      <c r="DT157">
        <f>IF(OR($JF37=0,calcA!$A$6=0),0,IF(OR(121=$HA37,121=$HD37,121=$HG37),200000,MIN(IF($HA37=0,999999,IF(6=$HB37,IF(121=$HJ37,IF($JC37=2,30,0),IF(121=$HK37,IF($JC37=1,30,0),ABS(1-$HC37)*100)),100000+ABS(6-$HB37)*1000+10)),IF($HD37=0,999999,IF(6=$HE37,IF(121=$HL37,IF($JD37=2,30,0),IF(121=$HM37,IF($JD37=1,30,0),ABS(1-$HF37)*100)),100000+ABS(6-$HE37)*1000+10)),IF($HG37=0,999999,IF(6=$HH37,IF(121=$HN37,IF($JE37=2,30,0),IF(121=$HO37,IF($JE37=1,30,0),ABS(1-$HI37)*100)),100000+ABS(6-$HH37)*1000+10)))-IF((121=$HJ37)+(121=$HK37)+(121=$HL37)+(121=$HM37)+(121=$HN37)+(121=$HO37)&gt;=2,50,0))+DT$5*50)</f>
        <v/>
      </c>
      <c r="DU157">
        <f>IF(OR($JF37=0,calcA!$A$6=0),0,IF(OR(122=$HA37,122=$HD37,122=$HG37),200000,MIN(IF($HA37=0,999999,IF(6=$HB37,IF(122=$HJ37,IF($JC37=2,30,0),IF(122=$HK37,IF($JC37=1,30,0),ABS(2-$HC37)*100)),100000+ABS(6-$HB37)*1000+20)),IF($HD37=0,999999,IF(6=$HE37,IF(122=$HL37,IF($JD37=2,30,0),IF(122=$HM37,IF($JD37=1,30,0),ABS(2-$HF37)*100)),100000+ABS(6-$HE37)*1000+20)),IF($HG37=0,999999,IF(6=$HH37,IF(122=$HN37,IF($JE37=2,30,0),IF(122=$HO37,IF($JE37=1,30,0),ABS(2-$HI37)*100)),100000+ABS(6-$HH37)*1000+20)))-IF((122=$HJ37)+(122=$HK37)+(122=$HL37)+(122=$HM37)+(122=$HN37)+(122=$HO37)&gt;=2,50,0))+DU$5*50)</f>
        <v/>
      </c>
      <c r="DV157">
        <f>IF(OR($JF37=0,calcA!$A$6=0),0,IF(OR(123=$HA37,123=$HD37,123=$HG37),200000,MIN(IF($HA37=0,999999,IF(6=$HB37,IF(123=$HJ37,IF($JC37=2,30,0),IF(123=$HK37,IF($JC37=1,30,0),ABS(3-$HC37)*100)),100000+ABS(6-$HB37)*1000+30)),IF($HD37=0,999999,IF(6=$HE37,IF(123=$HL37,IF($JD37=2,30,0),IF(123=$HM37,IF($JD37=1,30,0),ABS(3-$HF37)*100)),100000+ABS(6-$HE37)*1000+30)),IF($HG37=0,999999,IF(6=$HH37,IF(123=$HN37,IF($JE37=2,30,0),IF(123=$HO37,IF($JE37=1,30,0),ABS(3-$HI37)*100)),100000+ABS(6-$HH37)*1000+30)))-IF((123=$HJ37)+(123=$HK37)+(123=$HL37)+(123=$HM37)+(123=$HN37)+(123=$HO37)&gt;=2,50,0))+DV$5*50)</f>
        <v/>
      </c>
      <c r="DW157">
        <f>IF(OR($JF37=0,calcA!$A$6=0),0,IF(OR(124=$HA37,124=$HD37,124=$HG37),200000,MIN(IF($HA37=0,999999,IF(6=$HB37,IF(124=$HJ37,IF($JC37=2,30,0),IF(124=$HK37,IF($JC37=1,30,0),ABS(4-$HC37)*100)),100000+ABS(6-$HB37)*1000+40)),IF($HD37=0,999999,IF(6=$HE37,IF(124=$HL37,IF($JD37=2,30,0),IF(124=$HM37,IF($JD37=1,30,0),ABS(4-$HF37)*100)),100000+ABS(6-$HE37)*1000+40)),IF($HG37=0,999999,IF(6=$HH37,IF(124=$HN37,IF($JE37=2,30,0),IF(124=$HO37,IF($JE37=1,30,0),ABS(4-$HI37)*100)),100000+ABS(6-$HH37)*1000+40)))-IF((124=$HJ37)+(124=$HK37)+(124=$HL37)+(124=$HM37)+(124=$HN37)+(124=$HO37)&gt;=2,50,0))+DW$5*50)</f>
        <v/>
      </c>
      <c r="DX157">
        <f>IF(OR($JF37=0,calcA!$A$6=0),0,IF(OR(125=$HA37,125=$HD37,125=$HG37),200000,MIN(IF($HA37=0,999999,IF(6=$HB37,IF(125=$HJ37,IF($JC37=2,30,0),IF(125=$HK37,IF($JC37=1,30,0),ABS(5-$HC37)*100)),100000+ABS(6-$HB37)*1000+50)),IF($HD37=0,999999,IF(6=$HE37,IF(125=$HL37,IF($JD37=2,30,0),IF(125=$HM37,IF($JD37=1,30,0),ABS(5-$HF37)*100)),100000+ABS(6-$HE37)*1000+50)),IF($HG37=0,999999,IF(6=$HH37,IF(125=$HN37,IF($JE37=2,30,0),IF(125=$HO37,IF($JE37=1,30,0),ABS(5-$HI37)*100)),100000+ABS(6-$HH37)*1000+50)))-IF((125=$HJ37)+(125=$HK37)+(125=$HL37)+(125=$HM37)+(125=$HN37)+(125=$HO37)&gt;=2,50,0))+DX$5*50)</f>
        <v/>
      </c>
      <c r="DY157">
        <f>IF(OR($JF37=0,calcA!$A$6=0),0,IF(OR(126=$HA37,126=$HD37,126=$HG37),200000,MIN(IF($HA37=0,999999,IF(6=$HB37,IF(126=$HJ37,IF($JC37=2,30,0),IF(126=$HK37,IF($JC37=1,30,0),ABS(6-$HC37)*100)),100000+ABS(6-$HB37)*1000+60)),IF($HD37=0,999999,IF(6=$HE37,IF(126=$HL37,IF($JD37=2,30,0),IF(126=$HM37,IF($JD37=1,30,0),ABS(6-$HF37)*100)),100000+ABS(6-$HE37)*1000+60)),IF($HG37=0,999999,IF(6=$HH37,IF(126=$HN37,IF($JE37=2,30,0),IF(126=$HO37,IF($JE37=1,30,0),ABS(6-$HI37)*100)),100000+ABS(6-$HH37)*1000+60)))-IF((126=$HJ37)+(126=$HK37)+(126=$HL37)+(126=$HM37)+(126=$HN37)+(126=$HO37)&gt;=2,50,0))+DY$5*50)</f>
        <v/>
      </c>
      <c r="DZ157">
        <f>IF(OR($JF37=0,calcA!$A$6=0),0,IF(OR(127=$HA37,127=$HD37,127=$HG37),200000,MIN(IF($HA37=0,999999,IF(6=$HB37,IF(127=$HJ37,IF($JC37=2,30,0),IF(127=$HK37,IF($JC37=1,30,0),ABS(7-$HC37)*100)),100000+ABS(6-$HB37)*1000+70)),IF($HD37=0,999999,IF(6=$HE37,IF(127=$HL37,IF($JD37=2,30,0),IF(127=$HM37,IF($JD37=1,30,0),ABS(7-$HF37)*100)),100000+ABS(6-$HE37)*1000+70)),IF($HG37=0,999999,IF(6=$HH37,IF(127=$HN37,IF($JE37=2,30,0),IF(127=$HO37,IF($JE37=1,30,0),ABS(7-$HI37)*100)),100000+ABS(6-$HH37)*1000+70)))-IF((127=$HJ37)+(127=$HK37)+(127=$HL37)+(127=$HM37)+(127=$HN37)+(127=$HO37)&gt;=2,50,0))+DZ$5*50)</f>
        <v/>
      </c>
      <c r="EA157">
        <f>IF(OR($JF37=0,calcA!$A$6=0),0,IF(OR(128=$HA37,128=$HD37,128=$HG37),200000,MIN(IF($HA37=0,999999,IF(6=$HB37,IF(128=$HJ37,IF($JC37=2,30,0),IF(128=$HK37,IF($JC37=1,30,0),ABS(8-$HC37)*100)),100000+ABS(6-$HB37)*1000+80)),IF($HD37=0,999999,IF(6=$HE37,IF(128=$HL37,IF($JD37=2,30,0),IF(128=$HM37,IF($JD37=1,30,0),ABS(8-$HF37)*100)),100000+ABS(6-$HE37)*1000+80)),IF($HG37=0,999999,IF(6=$HH37,IF(128=$HN37,IF($JE37=2,30,0),IF(128=$HO37,IF($JE37=1,30,0),ABS(8-$HI37)*100)),100000+ABS(6-$HH37)*1000+80)))-IF((128=$HJ37)+(128=$HK37)+(128=$HL37)+(128=$HM37)+(128=$HN37)+(128=$HO37)&gt;=2,50,0))+EA$5*50)</f>
        <v/>
      </c>
      <c r="EB157">
        <f>IF(OR($JF37=0,calcA!$A$6=0),0,IF(OR(129=$HA37,129=$HD37,129=$HG37),200000,MIN(IF($HA37=0,999999,IF(6=$HB37,IF(129=$HJ37,IF($JC37=2,30,0),IF(129=$HK37,IF($JC37=1,30,0),ABS(9-$HC37)*100)),100000+ABS(6-$HB37)*1000+90)),IF($HD37=0,999999,IF(6=$HE37,IF(129=$HL37,IF($JD37=2,30,0),IF(129=$HM37,IF($JD37=1,30,0),ABS(9-$HF37)*100)),100000+ABS(6-$HE37)*1000+90)),IF($HG37=0,999999,IF(6=$HH37,IF(129=$HN37,IF($JE37=2,30,0),IF(129=$HO37,IF($JE37=1,30,0),ABS(9-$HI37)*100)),100000+ABS(6-$HH37)*1000+90)))-IF((129=$HJ37)+(129=$HK37)+(129=$HL37)+(129=$HM37)+(129=$HN37)+(129=$HO37)&gt;=2,50,0))+EB$5*50)</f>
        <v/>
      </c>
      <c r="EC157">
        <f>IF(OR($JF37=0,calcA!$A$6=0),0,IF(OR(130=$HA37,130=$HD37,130=$HG37),200000,MIN(IF($HA37=0,999999,IF(6=$HB37,IF(130=$HJ37,IF($JC37=2,30,0),IF(130=$HK37,IF($JC37=1,30,0),ABS(10-$HC37)*100)),100000+ABS(6-$HB37)*1000+100)),IF($HD37=0,999999,IF(6=$HE37,IF(130=$HL37,IF($JD37=2,30,0),IF(130=$HM37,IF($JD37=1,30,0),ABS(10-$HF37)*100)),100000+ABS(6-$HE37)*1000+100)),IF($HG37=0,999999,IF(6=$HH37,IF(130=$HN37,IF($JE37=2,30,0),IF(130=$HO37,IF($JE37=1,30,0),ABS(10-$HI37)*100)),100000+ABS(6-$HH37)*1000+100)))-IF((130=$HJ37)+(130=$HK37)+(130=$HL37)+(130=$HM37)+(130=$HN37)+(130=$HO37)&gt;=2,50,0))+EC$5*50)</f>
        <v/>
      </c>
      <c r="ED157">
        <f>IF(OR($JF37=0,calcA!$A$6=0),0,IF(OR(131=$HA37,131=$HD37,131=$HG37),200000,MIN(IF($HA37=0,999999,IF(6=$HB37,IF(131=$HJ37,IF($JC37=2,30,0),IF(131=$HK37,IF($JC37=1,30,0),ABS(11-$HC37)*100)),100000+ABS(6-$HB37)*1000+110)),IF($HD37=0,999999,IF(6=$HE37,IF(131=$HL37,IF($JD37=2,30,0),IF(131=$HM37,IF($JD37=1,30,0),ABS(11-$HF37)*100)),100000+ABS(6-$HE37)*1000+110)),IF($HG37=0,999999,IF(6=$HH37,IF(131=$HN37,IF($JE37=2,30,0),IF(131=$HO37,IF($JE37=1,30,0),ABS(11-$HI37)*100)),100000+ABS(6-$HH37)*1000+110)))-IF((131=$HJ37)+(131=$HK37)+(131=$HL37)+(131=$HM37)+(131=$HN37)+(131=$HO37)&gt;=2,50,0))+ED$5*50)</f>
        <v/>
      </c>
      <c r="EE157">
        <f>IF(OR($JF37=0,calcA!$A$6=0),0,IF(OR(132=$HA37,132=$HD37,132=$HG37),200000,MIN(IF($HA37=0,999999,IF(6=$HB37,IF(132=$HJ37,IF($JC37=2,30,0),IF(132=$HK37,IF($JC37=1,30,0),ABS(12-$HC37)*100)),100000+ABS(6-$HB37)*1000+120)),IF($HD37=0,999999,IF(6=$HE37,IF(132=$HL37,IF($JD37=2,30,0),IF(132=$HM37,IF($JD37=1,30,0),ABS(12-$HF37)*100)),100000+ABS(6-$HE37)*1000+120)),IF($HG37=0,999999,IF(6=$HH37,IF(132=$HN37,IF($JE37=2,30,0),IF(132=$HO37,IF($JE37=1,30,0),ABS(12-$HI37)*100)),100000+ABS(6-$HH37)*1000+120)))-IF((132=$HJ37)+(132=$HK37)+(132=$HL37)+(132=$HM37)+(132=$HN37)+(132=$HO37)&gt;=2,50,0))+EE$5*50)</f>
        <v/>
      </c>
      <c r="EF157">
        <f>IF(OR($JF37=0,calcA!$A$6=0),0,IF(OR(133=$HA37,133=$HD37,133=$HG37),200000,MIN(IF($HA37=0,999999,IF(6=$HB37,IF(133=$HJ37,IF($JC37=2,30,0),IF(133=$HK37,IF($JC37=1,30,0),ABS(13-$HC37)*100)),100000+ABS(6-$HB37)*1000+130)),IF($HD37=0,999999,IF(6=$HE37,IF(133=$HL37,IF($JD37=2,30,0),IF(133=$HM37,IF($JD37=1,30,0),ABS(13-$HF37)*100)),100000+ABS(6-$HE37)*1000+130)),IF($HG37=0,999999,IF(6=$HH37,IF(133=$HN37,IF($JE37=2,30,0),IF(133=$HO37,IF($JE37=1,30,0),ABS(13-$HI37)*100)),100000+ABS(6-$HH37)*1000+130)))-IF((133=$HJ37)+(133=$HK37)+(133=$HL37)+(133=$HM37)+(133=$HN37)+(133=$HO37)&gt;=2,50,0))+EF$5*50)</f>
        <v/>
      </c>
      <c r="EG157">
        <f>IF(OR($JF37=0,calcA!$A$6=0),0,IF(OR(134=$HA37,134=$HD37,134=$HG37),200000,MIN(IF($HA37=0,999999,IF(6=$HB37,IF(134=$HJ37,IF($JC37=2,30,0),IF(134=$HK37,IF($JC37=1,30,0),ABS(14-$HC37)*100)),100000+ABS(6-$HB37)*1000+140)),IF($HD37=0,999999,IF(6=$HE37,IF(134=$HL37,IF($JD37=2,30,0),IF(134=$HM37,IF($JD37=1,30,0),ABS(14-$HF37)*100)),100000+ABS(6-$HE37)*1000+140)),IF($HG37=0,999999,IF(6=$HH37,IF(134=$HN37,IF($JE37=2,30,0),IF(134=$HO37,IF($JE37=1,30,0),ABS(14-$HI37)*100)),100000+ABS(6-$HH37)*1000+140)))-IF((134=$HJ37)+(134=$HK37)+(134=$HL37)+(134=$HM37)+(134=$HN37)+(134=$HO37)&gt;=2,50,0))+EG$5*50)</f>
        <v/>
      </c>
      <c r="EH157">
        <f>IF(OR($JF37=0,calcA!$A$6=0),0,IF(OR(135=$HA37,135=$HD37,135=$HG37),200000,MIN(IF($HA37=0,999999,IF(6=$HB37,IF(135=$HJ37,IF($JC37=2,30,0),IF(135=$HK37,IF($JC37=1,30,0),ABS(15-$HC37)*100)),100000+ABS(6-$HB37)*1000+150)),IF($HD37=0,999999,IF(6=$HE37,IF(135=$HL37,IF($JD37=2,30,0),IF(135=$HM37,IF($JD37=1,30,0),ABS(15-$HF37)*100)),100000+ABS(6-$HE37)*1000+150)),IF($HG37=0,999999,IF(6=$HH37,IF(135=$HN37,IF($JE37=2,30,0),IF(135=$HO37,IF($JE37=1,30,0),ABS(15-$HI37)*100)),100000+ABS(6-$HH37)*1000+150)))-IF((135=$HJ37)+(135=$HK37)+(135=$HL37)+(135=$HM37)+(135=$HN37)+(135=$HO37)&gt;=2,50,0))+EH$5*50)</f>
        <v/>
      </c>
      <c r="EI157">
        <f>IF(OR($JF37=0,calcA!$A$6=0),0,IF(OR(136=$HA37,136=$HD37,136=$HG37),200000,MIN(IF($HA37=0,999999,IF(6=$HB37,IF(136=$HJ37,IF($JC37=2,30,0),IF(136=$HK37,IF($JC37=1,30,0),ABS(16-$HC37)*100)),100000+ABS(6-$HB37)*1000+160)),IF($HD37=0,999999,IF(6=$HE37,IF(136=$HL37,IF($JD37=2,30,0),IF(136=$HM37,IF($JD37=1,30,0),ABS(16-$HF37)*100)),100000+ABS(6-$HE37)*1000+160)),IF($HG37=0,999999,IF(6=$HH37,IF(136=$HN37,IF($JE37=2,30,0),IF(136=$HO37,IF($JE37=1,30,0),ABS(16-$HI37)*100)),100000+ABS(6-$HH37)*1000+160)))-IF((136=$HJ37)+(136=$HK37)+(136=$HL37)+(136=$HM37)+(136=$HN37)+(136=$HO37)&gt;=2,50,0))+EI$5*50)</f>
        <v/>
      </c>
      <c r="EJ157">
        <f>IF(OR($JF37=0,calcA!$A$6=0),0,IF(OR(137=$HA37,137=$HD37,137=$HG37),200000,MIN(IF($HA37=0,999999,IF(6=$HB37,IF(137=$HJ37,IF($JC37=2,30,0),IF(137=$HK37,IF($JC37=1,30,0),ABS(17-$HC37)*100)),100000+ABS(6-$HB37)*1000+170)),IF($HD37=0,999999,IF(6=$HE37,IF(137=$HL37,IF($JD37=2,30,0),IF(137=$HM37,IF($JD37=1,30,0),ABS(17-$HF37)*100)),100000+ABS(6-$HE37)*1000+170)),IF($HG37=0,999999,IF(6=$HH37,IF(137=$HN37,IF($JE37=2,30,0),IF(137=$HO37,IF($JE37=1,30,0),ABS(17-$HI37)*100)),100000+ABS(6-$HH37)*1000+170)))-IF((137=$HJ37)+(137=$HK37)+(137=$HL37)+(137=$HM37)+(137=$HN37)+(137=$HO37)&gt;=2,50,0))+EJ$5*50)</f>
        <v/>
      </c>
      <c r="EK157">
        <f>IF(OR($JF37=0,calcA!$A$6=0),0,IF(OR(138=$HA37,138=$HD37,138=$HG37),200000,MIN(IF($HA37=0,999999,IF(6=$HB37,IF(138=$HJ37,IF($JC37=2,30,0),IF(138=$HK37,IF($JC37=1,30,0),ABS(18-$HC37)*100)),100000+ABS(6-$HB37)*1000+180)),IF($HD37=0,999999,IF(6=$HE37,IF(138=$HL37,IF($JD37=2,30,0),IF(138=$HM37,IF($JD37=1,30,0),ABS(18-$HF37)*100)),100000+ABS(6-$HE37)*1000+180)),IF($HG37=0,999999,IF(6=$HH37,IF(138=$HN37,IF($JE37=2,30,0),IF(138=$HO37,IF($JE37=1,30,0),ABS(18-$HI37)*100)),100000+ABS(6-$HH37)*1000+180)))-IF((138=$HJ37)+(138=$HK37)+(138=$HL37)+(138=$HM37)+(138=$HN37)+(138=$HO37)&gt;=2,50,0))+EK$5*50)</f>
        <v/>
      </c>
      <c r="EL157">
        <f>IF(OR($JF37=0,calcA!$A$6=0),0,IF(OR(139=$HA37,139=$HD37,139=$HG37),200000,MIN(IF($HA37=0,999999,IF(6=$HB37,IF(139=$HJ37,IF($JC37=2,30,0),IF(139=$HK37,IF($JC37=1,30,0),ABS(19-$HC37)*100)),100000+ABS(6-$HB37)*1000+190)),IF($HD37=0,999999,IF(6=$HE37,IF(139=$HL37,IF($JD37=2,30,0),IF(139=$HM37,IF($JD37=1,30,0),ABS(19-$HF37)*100)),100000+ABS(6-$HE37)*1000+190)),IF($HG37=0,999999,IF(6=$HH37,IF(139=$HN37,IF($JE37=2,30,0),IF(139=$HO37,IF($JE37=1,30,0),ABS(19-$HI37)*100)),100000+ABS(6-$HH37)*1000+190)))-IF((139=$HJ37)+(139=$HK37)+(139=$HL37)+(139=$HM37)+(139=$HN37)+(139=$HO37)&gt;=2,50,0))+EL$5*50)</f>
        <v/>
      </c>
      <c r="EM157">
        <f>IF(OR($JF37=0,calcA!$A$6=0),0,IF(OR(140=$HA37,140=$HD37,140=$HG37),200000,MIN(IF($HA37=0,999999,IF(6=$HB37,IF(140=$HJ37,IF($JC37=2,30,0),IF(140=$HK37,IF($JC37=1,30,0),ABS(20-$HC37)*100)),100000+ABS(6-$HB37)*1000+200)),IF($HD37=0,999999,IF(6=$HE37,IF(140=$HL37,IF($JD37=2,30,0),IF(140=$HM37,IF($JD37=1,30,0),ABS(20-$HF37)*100)),100000+ABS(6-$HE37)*1000+200)),IF($HG37=0,999999,IF(6=$HH37,IF(140=$HN37,IF($JE37=2,30,0),IF(140=$HO37,IF($JE37=1,30,0),ABS(20-$HI37)*100)),100000+ABS(6-$HH37)*1000+200)))-IF((140=$HJ37)+(140=$HK37)+(140=$HL37)+(140=$HM37)+(140=$HN37)+(140=$HO37)&gt;=2,50,0))+EM$5*50)</f>
        <v/>
      </c>
      <c r="EN157">
        <f>IF(OR($JF37=0,calcA!$A$6=0),0,IF(OR(141=$HA37,141=$HD37,141=$HG37),200000,MIN(IF($HA37=0,999999,IF(6=$HB37,IF(141=$HJ37,IF($JC37=2,30,0),IF(141=$HK37,IF($JC37=1,30,0),ABS(21-$HC37)*100)),100000+ABS(6-$HB37)*1000+210)),IF($HD37=0,999999,IF(6=$HE37,IF(141=$HL37,IF($JD37=2,30,0),IF(141=$HM37,IF($JD37=1,30,0),ABS(21-$HF37)*100)),100000+ABS(6-$HE37)*1000+210)),IF($HG37=0,999999,IF(6=$HH37,IF(141=$HN37,IF($JE37=2,30,0),IF(141=$HO37,IF($JE37=1,30,0),ABS(21-$HI37)*100)),100000+ABS(6-$HH37)*1000+210)))-IF((141=$HJ37)+(141=$HK37)+(141=$HL37)+(141=$HM37)+(141=$HN37)+(141=$HO37)&gt;=2,50,0))+EN$5*50)</f>
        <v/>
      </c>
      <c r="EO157">
        <f>IF(OR($JF37=0,calcA!$A$6=0),0,IF(OR(142=$HA37,142=$HD37,142=$HG37),200000,MIN(IF($HA37=0,999999,IF(6=$HB37,IF(142=$HJ37,IF($JC37=2,30,0),IF(142=$HK37,IF($JC37=1,30,0),ABS(22-$HC37)*100)),100000+ABS(6-$HB37)*1000+220)),IF($HD37=0,999999,IF(6=$HE37,IF(142=$HL37,IF($JD37=2,30,0),IF(142=$HM37,IF($JD37=1,30,0),ABS(22-$HF37)*100)),100000+ABS(6-$HE37)*1000+220)),IF($HG37=0,999999,IF(6=$HH37,IF(142=$HN37,IF($JE37=2,30,0),IF(142=$HO37,IF($JE37=1,30,0),ABS(22-$HI37)*100)),100000+ABS(6-$HH37)*1000+220)))-IF((142=$HJ37)+(142=$HK37)+(142=$HL37)+(142=$HM37)+(142=$HN37)+(142=$HO37)&gt;=2,50,0))+EO$5*50)</f>
        <v/>
      </c>
      <c r="EP157">
        <f>IF(OR($JF37=0,calcA!$A$6=0),0,IF(OR(143=$HA37,143=$HD37,143=$HG37),200000,MIN(IF($HA37=0,999999,IF(6=$HB37,IF(143=$HJ37,IF($JC37=2,30,0),IF(143=$HK37,IF($JC37=1,30,0),ABS(23-$HC37)*100)),100000+ABS(6-$HB37)*1000+230)),IF($HD37=0,999999,IF(6=$HE37,IF(143=$HL37,IF($JD37=2,30,0),IF(143=$HM37,IF($JD37=1,30,0),ABS(23-$HF37)*100)),100000+ABS(6-$HE37)*1000+230)),IF($HG37=0,999999,IF(6=$HH37,IF(143=$HN37,IF($JE37=2,30,0),IF(143=$HO37,IF($JE37=1,30,0),ABS(23-$HI37)*100)),100000+ABS(6-$HH37)*1000+230)))-IF((143=$HJ37)+(143=$HK37)+(143=$HL37)+(143=$HM37)+(143=$HN37)+(143=$HO37)&gt;=2,50,0))+EP$5*50)</f>
        <v/>
      </c>
      <c r="EQ157">
        <f>IF(OR($JF37=0,calcA!$A$6=0),0,IF(OR(144=$HA37,144=$HD37,144=$HG37),200000,MIN(IF($HA37=0,999999,IF(6=$HB37,IF(144=$HJ37,IF($JC37=2,30,0),IF(144=$HK37,IF($JC37=1,30,0),ABS(24-$HC37)*100)),100000+ABS(6-$HB37)*1000+240)),IF($HD37=0,999999,IF(6=$HE37,IF(144=$HL37,IF($JD37=2,30,0),IF(144=$HM37,IF($JD37=1,30,0),ABS(24-$HF37)*100)),100000+ABS(6-$HE37)*1000+240)),IF($HG37=0,999999,IF(6=$HH37,IF(144=$HN37,IF($JE37=2,30,0),IF(144=$HO37,IF($JE37=1,30,0),ABS(24-$HI37)*100)),100000+ABS(6-$HH37)*1000+240)))-IF((144=$HJ37)+(144=$HK37)+(144=$HL37)+(144=$HM37)+(144=$HN37)+(144=$HO37)&gt;=2,50,0))+EQ$5*50)</f>
        <v/>
      </c>
    </row>
    <row r="158">
      <c r="D158">
        <f>IF(OR($JF38=0,calcA!$A$6=0),0,IF(OR(1=$HA38,1=$HD38,1=$HG38),200000,MIN(IF($HA38=0,999999,IF(1=$HB38,IF(1=$HJ38,IF($JC38=2,30,0),IF(1=$HK38,IF($JC38=1,30,0),ABS(1-$HC38)*100)),100000+ABS(1-$HB38)*1000+10)),IF($HD38=0,999999,IF(1=$HE38,IF(1=$HL38,IF($JD38=2,30,0),IF(1=$HM38,IF($JD38=1,30,0),ABS(1-$HF38)*100)),100000+ABS(1-$HE38)*1000+10)),IF($HG38=0,999999,IF(1=$HH38,IF(1=$HN38,IF($JE38=2,30,0),IF(1=$HO38,IF($JE38=1,30,0),ABS(1-$HI38)*100)),100000+ABS(1-$HH38)*1000+10)))-IF((1=$HJ38)+(1=$HK38)+(1=$HL38)+(1=$HM38)+(1=$HN38)+(1=$HO38)&gt;=2,50,0))+D$5*50)</f>
        <v/>
      </c>
      <c r="E158">
        <f>IF(OR($JF38=0,calcA!$A$6=0),0,IF(OR(2=$HA38,2=$HD38,2=$HG38),200000,MIN(IF($HA38=0,999999,IF(1=$HB38,IF(2=$HJ38,IF($JC38=2,30,0),IF(2=$HK38,IF($JC38=1,30,0),ABS(2-$HC38)*100)),100000+ABS(1-$HB38)*1000+20)),IF($HD38=0,999999,IF(1=$HE38,IF(2=$HL38,IF($JD38=2,30,0),IF(2=$HM38,IF($JD38=1,30,0),ABS(2-$HF38)*100)),100000+ABS(1-$HE38)*1000+20)),IF($HG38=0,999999,IF(1=$HH38,IF(2=$HN38,IF($JE38=2,30,0),IF(2=$HO38,IF($JE38=1,30,0),ABS(2-$HI38)*100)),100000+ABS(1-$HH38)*1000+20)))-IF((2=$HJ38)+(2=$HK38)+(2=$HL38)+(2=$HM38)+(2=$HN38)+(2=$HO38)&gt;=2,50,0))+E$5*50)</f>
        <v/>
      </c>
      <c r="F158">
        <f>IF(OR($JF38=0,calcA!$A$6=0),0,IF(OR(3=$HA38,3=$HD38,3=$HG38),200000,MIN(IF($HA38=0,999999,IF(1=$HB38,IF(3=$HJ38,IF($JC38=2,30,0),IF(3=$HK38,IF($JC38=1,30,0),ABS(3-$HC38)*100)),100000+ABS(1-$HB38)*1000+30)),IF($HD38=0,999999,IF(1=$HE38,IF(3=$HL38,IF($JD38=2,30,0),IF(3=$HM38,IF($JD38=1,30,0),ABS(3-$HF38)*100)),100000+ABS(1-$HE38)*1000+30)),IF($HG38=0,999999,IF(1=$HH38,IF(3=$HN38,IF($JE38=2,30,0),IF(3=$HO38,IF($JE38=1,30,0),ABS(3-$HI38)*100)),100000+ABS(1-$HH38)*1000+30)))-IF((3=$HJ38)+(3=$HK38)+(3=$HL38)+(3=$HM38)+(3=$HN38)+(3=$HO38)&gt;=2,50,0))+F$5*50)</f>
        <v/>
      </c>
      <c r="G158">
        <f>IF(OR($JF38=0,calcA!$A$6=0),0,IF(OR(4=$HA38,4=$HD38,4=$HG38),200000,MIN(IF($HA38=0,999999,IF(1=$HB38,IF(4=$HJ38,IF($JC38=2,30,0),IF(4=$HK38,IF($JC38=1,30,0),ABS(4-$HC38)*100)),100000+ABS(1-$HB38)*1000+40)),IF($HD38=0,999999,IF(1=$HE38,IF(4=$HL38,IF($JD38=2,30,0),IF(4=$HM38,IF($JD38=1,30,0),ABS(4-$HF38)*100)),100000+ABS(1-$HE38)*1000+40)),IF($HG38=0,999999,IF(1=$HH38,IF(4=$HN38,IF($JE38=2,30,0),IF(4=$HO38,IF($JE38=1,30,0),ABS(4-$HI38)*100)),100000+ABS(1-$HH38)*1000+40)))-IF((4=$HJ38)+(4=$HK38)+(4=$HL38)+(4=$HM38)+(4=$HN38)+(4=$HO38)&gt;=2,50,0))+G$5*50)</f>
        <v/>
      </c>
      <c r="H158">
        <f>IF(OR($JF38=0,calcA!$A$6=0),0,IF(OR(5=$HA38,5=$HD38,5=$HG38),200000,MIN(IF($HA38=0,999999,IF(1=$HB38,IF(5=$HJ38,IF($JC38=2,30,0),IF(5=$HK38,IF($JC38=1,30,0),ABS(5-$HC38)*100)),100000+ABS(1-$HB38)*1000+50)),IF($HD38=0,999999,IF(1=$HE38,IF(5=$HL38,IF($JD38=2,30,0),IF(5=$HM38,IF($JD38=1,30,0),ABS(5-$HF38)*100)),100000+ABS(1-$HE38)*1000+50)),IF($HG38=0,999999,IF(1=$HH38,IF(5=$HN38,IF($JE38=2,30,0),IF(5=$HO38,IF($JE38=1,30,0),ABS(5-$HI38)*100)),100000+ABS(1-$HH38)*1000+50)))-IF((5=$HJ38)+(5=$HK38)+(5=$HL38)+(5=$HM38)+(5=$HN38)+(5=$HO38)&gt;=2,50,0))+H$5*50)</f>
        <v/>
      </c>
      <c r="I158">
        <f>IF(OR($JF38=0,calcA!$A$6=0),0,IF(OR(6=$HA38,6=$HD38,6=$HG38),200000,MIN(IF($HA38=0,999999,IF(1=$HB38,IF(6=$HJ38,IF($JC38=2,30,0),IF(6=$HK38,IF($JC38=1,30,0),ABS(6-$HC38)*100)),100000+ABS(1-$HB38)*1000+60)),IF($HD38=0,999999,IF(1=$HE38,IF(6=$HL38,IF($JD38=2,30,0),IF(6=$HM38,IF($JD38=1,30,0),ABS(6-$HF38)*100)),100000+ABS(1-$HE38)*1000+60)),IF($HG38=0,999999,IF(1=$HH38,IF(6=$HN38,IF($JE38=2,30,0),IF(6=$HO38,IF($JE38=1,30,0),ABS(6-$HI38)*100)),100000+ABS(1-$HH38)*1000+60)))-IF((6=$HJ38)+(6=$HK38)+(6=$HL38)+(6=$HM38)+(6=$HN38)+(6=$HO38)&gt;=2,50,0))+I$5*50)</f>
        <v/>
      </c>
      <c r="J158">
        <f>IF(OR($JF38=0,calcA!$A$6=0),0,IF(OR(7=$HA38,7=$HD38,7=$HG38),200000,MIN(IF($HA38=0,999999,IF(1=$HB38,IF(7=$HJ38,IF($JC38=2,30,0),IF(7=$HK38,IF($JC38=1,30,0),ABS(7-$HC38)*100)),100000+ABS(1-$HB38)*1000+70)),IF($HD38=0,999999,IF(1=$HE38,IF(7=$HL38,IF($JD38=2,30,0),IF(7=$HM38,IF($JD38=1,30,0),ABS(7-$HF38)*100)),100000+ABS(1-$HE38)*1000+70)),IF($HG38=0,999999,IF(1=$HH38,IF(7=$HN38,IF($JE38=2,30,0),IF(7=$HO38,IF($JE38=1,30,0),ABS(7-$HI38)*100)),100000+ABS(1-$HH38)*1000+70)))-IF((7=$HJ38)+(7=$HK38)+(7=$HL38)+(7=$HM38)+(7=$HN38)+(7=$HO38)&gt;=2,50,0))+J$5*50)</f>
        <v/>
      </c>
      <c r="K158">
        <f>IF(OR($JF38=0,calcA!$A$6=0),0,IF(OR(8=$HA38,8=$HD38,8=$HG38),200000,MIN(IF($HA38=0,999999,IF(1=$HB38,IF(8=$HJ38,IF($JC38=2,30,0),IF(8=$HK38,IF($JC38=1,30,0),ABS(8-$HC38)*100)),100000+ABS(1-$HB38)*1000+80)),IF($HD38=0,999999,IF(1=$HE38,IF(8=$HL38,IF($JD38=2,30,0),IF(8=$HM38,IF($JD38=1,30,0),ABS(8-$HF38)*100)),100000+ABS(1-$HE38)*1000+80)),IF($HG38=0,999999,IF(1=$HH38,IF(8=$HN38,IF($JE38=2,30,0),IF(8=$HO38,IF($JE38=1,30,0),ABS(8-$HI38)*100)),100000+ABS(1-$HH38)*1000+80)))-IF((8=$HJ38)+(8=$HK38)+(8=$HL38)+(8=$HM38)+(8=$HN38)+(8=$HO38)&gt;=2,50,0))+K$5*50)</f>
        <v/>
      </c>
      <c r="L158">
        <f>IF(OR($JF38=0,calcA!$A$6=0),0,IF(OR(9=$HA38,9=$HD38,9=$HG38),200000,MIN(IF($HA38=0,999999,IF(1=$HB38,IF(9=$HJ38,IF($JC38=2,30,0),IF(9=$HK38,IF($JC38=1,30,0),ABS(9-$HC38)*100)),100000+ABS(1-$HB38)*1000+90)),IF($HD38=0,999999,IF(1=$HE38,IF(9=$HL38,IF($JD38=2,30,0),IF(9=$HM38,IF($JD38=1,30,0),ABS(9-$HF38)*100)),100000+ABS(1-$HE38)*1000+90)),IF($HG38=0,999999,IF(1=$HH38,IF(9=$HN38,IF($JE38=2,30,0),IF(9=$HO38,IF($JE38=1,30,0),ABS(9-$HI38)*100)),100000+ABS(1-$HH38)*1000+90)))-IF((9=$HJ38)+(9=$HK38)+(9=$HL38)+(9=$HM38)+(9=$HN38)+(9=$HO38)&gt;=2,50,0))+L$5*50)</f>
        <v/>
      </c>
      <c r="M158">
        <f>IF(OR($JF38=0,calcA!$A$6=0),0,IF(OR(10=$HA38,10=$HD38,10=$HG38),200000,MIN(IF($HA38=0,999999,IF(1=$HB38,IF(10=$HJ38,IF($JC38=2,30,0),IF(10=$HK38,IF($JC38=1,30,0),ABS(10-$HC38)*100)),100000+ABS(1-$HB38)*1000+100)),IF($HD38=0,999999,IF(1=$HE38,IF(10=$HL38,IF($JD38=2,30,0),IF(10=$HM38,IF($JD38=1,30,0),ABS(10-$HF38)*100)),100000+ABS(1-$HE38)*1000+100)),IF($HG38=0,999999,IF(1=$HH38,IF(10=$HN38,IF($JE38=2,30,0),IF(10=$HO38,IF($JE38=1,30,0),ABS(10-$HI38)*100)),100000+ABS(1-$HH38)*1000+100)))-IF((10=$HJ38)+(10=$HK38)+(10=$HL38)+(10=$HM38)+(10=$HN38)+(10=$HO38)&gt;=2,50,0))+M$5*50)</f>
        <v/>
      </c>
      <c r="N158">
        <f>IF(OR($JF38=0,calcA!$A$6=0),0,IF(OR(11=$HA38,11=$HD38,11=$HG38),200000,MIN(IF($HA38=0,999999,IF(1=$HB38,IF(11=$HJ38,IF($JC38=2,30,0),IF(11=$HK38,IF($JC38=1,30,0),ABS(11-$HC38)*100)),100000+ABS(1-$HB38)*1000+110)),IF($HD38=0,999999,IF(1=$HE38,IF(11=$HL38,IF($JD38=2,30,0),IF(11=$HM38,IF($JD38=1,30,0),ABS(11-$HF38)*100)),100000+ABS(1-$HE38)*1000+110)),IF($HG38=0,999999,IF(1=$HH38,IF(11=$HN38,IF($JE38=2,30,0),IF(11=$HO38,IF($JE38=1,30,0),ABS(11-$HI38)*100)),100000+ABS(1-$HH38)*1000+110)))-IF((11=$HJ38)+(11=$HK38)+(11=$HL38)+(11=$HM38)+(11=$HN38)+(11=$HO38)&gt;=2,50,0))+N$5*50)</f>
        <v/>
      </c>
      <c r="O158">
        <f>IF(OR($JF38=0,calcA!$A$6=0),0,IF(OR(12=$HA38,12=$HD38,12=$HG38),200000,MIN(IF($HA38=0,999999,IF(1=$HB38,IF(12=$HJ38,IF($JC38=2,30,0),IF(12=$HK38,IF($JC38=1,30,0),ABS(12-$HC38)*100)),100000+ABS(1-$HB38)*1000+120)),IF($HD38=0,999999,IF(1=$HE38,IF(12=$HL38,IF($JD38=2,30,0),IF(12=$HM38,IF($JD38=1,30,0),ABS(12-$HF38)*100)),100000+ABS(1-$HE38)*1000+120)),IF($HG38=0,999999,IF(1=$HH38,IF(12=$HN38,IF($JE38=2,30,0),IF(12=$HO38,IF($JE38=1,30,0),ABS(12-$HI38)*100)),100000+ABS(1-$HH38)*1000+120)))-IF((12=$HJ38)+(12=$HK38)+(12=$HL38)+(12=$HM38)+(12=$HN38)+(12=$HO38)&gt;=2,50,0))+O$5*50)</f>
        <v/>
      </c>
      <c r="P158">
        <f>IF(OR($JF38=0,calcA!$A$6=0),0,IF(OR(13=$HA38,13=$HD38,13=$HG38),200000,MIN(IF($HA38=0,999999,IF(1=$HB38,IF(13=$HJ38,IF($JC38=2,30,0),IF(13=$HK38,IF($JC38=1,30,0),ABS(13-$HC38)*100)),100000+ABS(1-$HB38)*1000+130)),IF($HD38=0,999999,IF(1=$HE38,IF(13=$HL38,IF($JD38=2,30,0),IF(13=$HM38,IF($JD38=1,30,0),ABS(13-$HF38)*100)),100000+ABS(1-$HE38)*1000+130)),IF($HG38=0,999999,IF(1=$HH38,IF(13=$HN38,IF($JE38=2,30,0),IF(13=$HO38,IF($JE38=1,30,0),ABS(13-$HI38)*100)),100000+ABS(1-$HH38)*1000+130)))-IF((13=$HJ38)+(13=$HK38)+(13=$HL38)+(13=$HM38)+(13=$HN38)+(13=$HO38)&gt;=2,50,0))+P$5*50)</f>
        <v/>
      </c>
      <c r="Q158">
        <f>IF(OR($JF38=0,calcA!$A$6=0),0,IF(OR(14=$HA38,14=$HD38,14=$HG38),200000,MIN(IF($HA38=0,999999,IF(1=$HB38,IF(14=$HJ38,IF($JC38=2,30,0),IF(14=$HK38,IF($JC38=1,30,0),ABS(14-$HC38)*100)),100000+ABS(1-$HB38)*1000+140)),IF($HD38=0,999999,IF(1=$HE38,IF(14=$HL38,IF($JD38=2,30,0),IF(14=$HM38,IF($JD38=1,30,0),ABS(14-$HF38)*100)),100000+ABS(1-$HE38)*1000+140)),IF($HG38=0,999999,IF(1=$HH38,IF(14=$HN38,IF($JE38=2,30,0),IF(14=$HO38,IF($JE38=1,30,0),ABS(14-$HI38)*100)),100000+ABS(1-$HH38)*1000+140)))-IF((14=$HJ38)+(14=$HK38)+(14=$HL38)+(14=$HM38)+(14=$HN38)+(14=$HO38)&gt;=2,50,0))+Q$5*50)</f>
        <v/>
      </c>
      <c r="R158">
        <f>IF(OR($JF38=0,calcA!$A$6=0),0,IF(OR(15=$HA38,15=$HD38,15=$HG38),200000,MIN(IF($HA38=0,999999,IF(1=$HB38,IF(15=$HJ38,IF($JC38=2,30,0),IF(15=$HK38,IF($JC38=1,30,0),ABS(15-$HC38)*100)),100000+ABS(1-$HB38)*1000+150)),IF($HD38=0,999999,IF(1=$HE38,IF(15=$HL38,IF($JD38=2,30,0),IF(15=$HM38,IF($JD38=1,30,0),ABS(15-$HF38)*100)),100000+ABS(1-$HE38)*1000+150)),IF($HG38=0,999999,IF(1=$HH38,IF(15=$HN38,IF($JE38=2,30,0),IF(15=$HO38,IF($JE38=1,30,0),ABS(15-$HI38)*100)),100000+ABS(1-$HH38)*1000+150)))-IF((15=$HJ38)+(15=$HK38)+(15=$HL38)+(15=$HM38)+(15=$HN38)+(15=$HO38)&gt;=2,50,0))+R$5*50)</f>
        <v/>
      </c>
      <c r="S158">
        <f>IF(OR($JF38=0,calcA!$A$6=0),0,IF(OR(16=$HA38,16=$HD38,16=$HG38),200000,MIN(IF($HA38=0,999999,IF(1=$HB38,IF(16=$HJ38,IF($JC38=2,30,0),IF(16=$HK38,IF($JC38=1,30,0),ABS(16-$HC38)*100)),100000+ABS(1-$HB38)*1000+160)),IF($HD38=0,999999,IF(1=$HE38,IF(16=$HL38,IF($JD38=2,30,0),IF(16=$HM38,IF($JD38=1,30,0),ABS(16-$HF38)*100)),100000+ABS(1-$HE38)*1000+160)),IF($HG38=0,999999,IF(1=$HH38,IF(16=$HN38,IF($JE38=2,30,0),IF(16=$HO38,IF($JE38=1,30,0),ABS(16-$HI38)*100)),100000+ABS(1-$HH38)*1000+160)))-IF((16=$HJ38)+(16=$HK38)+(16=$HL38)+(16=$HM38)+(16=$HN38)+(16=$HO38)&gt;=2,50,0))+S$5*50)</f>
        <v/>
      </c>
      <c r="T158">
        <f>IF(OR($JF38=0,calcA!$A$6=0),0,IF(OR(17=$HA38,17=$HD38,17=$HG38),200000,MIN(IF($HA38=0,999999,IF(1=$HB38,IF(17=$HJ38,IF($JC38=2,30,0),IF(17=$HK38,IF($JC38=1,30,0),ABS(17-$HC38)*100)),100000+ABS(1-$HB38)*1000+170)),IF($HD38=0,999999,IF(1=$HE38,IF(17=$HL38,IF($JD38=2,30,0),IF(17=$HM38,IF($JD38=1,30,0),ABS(17-$HF38)*100)),100000+ABS(1-$HE38)*1000+170)),IF($HG38=0,999999,IF(1=$HH38,IF(17=$HN38,IF($JE38=2,30,0),IF(17=$HO38,IF($JE38=1,30,0),ABS(17-$HI38)*100)),100000+ABS(1-$HH38)*1000+170)))-IF((17=$HJ38)+(17=$HK38)+(17=$HL38)+(17=$HM38)+(17=$HN38)+(17=$HO38)&gt;=2,50,0))+T$5*50)</f>
        <v/>
      </c>
      <c r="U158">
        <f>IF(OR($JF38=0,calcA!$A$6=0),0,IF(OR(18=$HA38,18=$HD38,18=$HG38),200000,MIN(IF($HA38=0,999999,IF(1=$HB38,IF(18=$HJ38,IF($JC38=2,30,0),IF(18=$HK38,IF($JC38=1,30,0),ABS(18-$HC38)*100)),100000+ABS(1-$HB38)*1000+180)),IF($HD38=0,999999,IF(1=$HE38,IF(18=$HL38,IF($JD38=2,30,0),IF(18=$HM38,IF($JD38=1,30,0),ABS(18-$HF38)*100)),100000+ABS(1-$HE38)*1000+180)),IF($HG38=0,999999,IF(1=$HH38,IF(18=$HN38,IF($JE38=2,30,0),IF(18=$HO38,IF($JE38=1,30,0),ABS(18-$HI38)*100)),100000+ABS(1-$HH38)*1000+180)))-IF((18=$HJ38)+(18=$HK38)+(18=$HL38)+(18=$HM38)+(18=$HN38)+(18=$HO38)&gt;=2,50,0))+U$5*50)</f>
        <v/>
      </c>
      <c r="V158">
        <f>IF(OR($JF38=0,calcA!$A$6=0),0,IF(OR(19=$HA38,19=$HD38,19=$HG38),200000,MIN(IF($HA38=0,999999,IF(1=$HB38,IF(19=$HJ38,IF($JC38=2,30,0),IF(19=$HK38,IF($JC38=1,30,0),ABS(19-$HC38)*100)),100000+ABS(1-$HB38)*1000+190)),IF($HD38=0,999999,IF(1=$HE38,IF(19=$HL38,IF($JD38=2,30,0),IF(19=$HM38,IF($JD38=1,30,0),ABS(19-$HF38)*100)),100000+ABS(1-$HE38)*1000+190)),IF($HG38=0,999999,IF(1=$HH38,IF(19=$HN38,IF($JE38=2,30,0),IF(19=$HO38,IF($JE38=1,30,0),ABS(19-$HI38)*100)),100000+ABS(1-$HH38)*1000+190)))-IF((19=$HJ38)+(19=$HK38)+(19=$HL38)+(19=$HM38)+(19=$HN38)+(19=$HO38)&gt;=2,50,0))+V$5*50)</f>
        <v/>
      </c>
      <c r="W158">
        <f>IF(OR($JF38=0,calcA!$A$6=0),0,IF(OR(20=$HA38,20=$HD38,20=$HG38),200000,MIN(IF($HA38=0,999999,IF(1=$HB38,IF(20=$HJ38,IF($JC38=2,30,0),IF(20=$HK38,IF($JC38=1,30,0),ABS(20-$HC38)*100)),100000+ABS(1-$HB38)*1000+200)),IF($HD38=0,999999,IF(1=$HE38,IF(20=$HL38,IF($JD38=2,30,0),IF(20=$HM38,IF($JD38=1,30,0),ABS(20-$HF38)*100)),100000+ABS(1-$HE38)*1000+200)),IF($HG38=0,999999,IF(1=$HH38,IF(20=$HN38,IF($JE38=2,30,0),IF(20=$HO38,IF($JE38=1,30,0),ABS(20-$HI38)*100)),100000+ABS(1-$HH38)*1000+200)))-IF((20=$HJ38)+(20=$HK38)+(20=$HL38)+(20=$HM38)+(20=$HN38)+(20=$HO38)&gt;=2,50,0))+W$5*50)</f>
        <v/>
      </c>
      <c r="X158">
        <f>IF(OR($JF38=0,calcA!$A$6=0),0,IF(OR(21=$HA38,21=$HD38,21=$HG38),200000,MIN(IF($HA38=0,999999,IF(1=$HB38,IF(21=$HJ38,IF($JC38=2,30,0),IF(21=$HK38,IF($JC38=1,30,0),ABS(21-$HC38)*100)),100000+ABS(1-$HB38)*1000+210)),IF($HD38=0,999999,IF(1=$HE38,IF(21=$HL38,IF($JD38=2,30,0),IF(21=$HM38,IF($JD38=1,30,0),ABS(21-$HF38)*100)),100000+ABS(1-$HE38)*1000+210)),IF($HG38=0,999999,IF(1=$HH38,IF(21=$HN38,IF($JE38=2,30,0),IF(21=$HO38,IF($JE38=1,30,0),ABS(21-$HI38)*100)),100000+ABS(1-$HH38)*1000+210)))-IF((21=$HJ38)+(21=$HK38)+(21=$HL38)+(21=$HM38)+(21=$HN38)+(21=$HO38)&gt;=2,50,0))+X$5*50)</f>
        <v/>
      </c>
      <c r="Y158">
        <f>IF(OR($JF38=0,calcA!$A$6=0),0,IF(OR(22=$HA38,22=$HD38,22=$HG38),200000,MIN(IF($HA38=0,999999,IF(1=$HB38,IF(22=$HJ38,IF($JC38=2,30,0),IF(22=$HK38,IF($JC38=1,30,0),ABS(22-$HC38)*100)),100000+ABS(1-$HB38)*1000+220)),IF($HD38=0,999999,IF(1=$HE38,IF(22=$HL38,IF($JD38=2,30,0),IF(22=$HM38,IF($JD38=1,30,0),ABS(22-$HF38)*100)),100000+ABS(1-$HE38)*1000+220)),IF($HG38=0,999999,IF(1=$HH38,IF(22=$HN38,IF($JE38=2,30,0),IF(22=$HO38,IF($JE38=1,30,0),ABS(22-$HI38)*100)),100000+ABS(1-$HH38)*1000+220)))-IF((22=$HJ38)+(22=$HK38)+(22=$HL38)+(22=$HM38)+(22=$HN38)+(22=$HO38)&gt;=2,50,0))+Y$5*50)</f>
        <v/>
      </c>
      <c r="Z158">
        <f>IF(OR($JF38=0,calcA!$A$6=0),0,IF(OR(23=$HA38,23=$HD38,23=$HG38),200000,MIN(IF($HA38=0,999999,IF(1=$HB38,IF(23=$HJ38,IF($JC38=2,30,0),IF(23=$HK38,IF($JC38=1,30,0),ABS(23-$HC38)*100)),100000+ABS(1-$HB38)*1000+230)),IF($HD38=0,999999,IF(1=$HE38,IF(23=$HL38,IF($JD38=2,30,0),IF(23=$HM38,IF($JD38=1,30,0),ABS(23-$HF38)*100)),100000+ABS(1-$HE38)*1000+230)),IF($HG38=0,999999,IF(1=$HH38,IF(23=$HN38,IF($JE38=2,30,0),IF(23=$HO38,IF($JE38=1,30,0),ABS(23-$HI38)*100)),100000+ABS(1-$HH38)*1000+230)))-IF((23=$HJ38)+(23=$HK38)+(23=$HL38)+(23=$HM38)+(23=$HN38)+(23=$HO38)&gt;=2,50,0))+Z$5*50)</f>
        <v/>
      </c>
      <c r="AA158">
        <f>IF(OR($JF38=0,calcA!$A$6=0),0,IF(OR(24=$HA38,24=$HD38,24=$HG38),200000,MIN(IF($HA38=0,999999,IF(1=$HB38,IF(24=$HJ38,IF($JC38=2,30,0),IF(24=$HK38,IF($JC38=1,30,0),ABS(24-$HC38)*100)),100000+ABS(1-$HB38)*1000+240)),IF($HD38=0,999999,IF(1=$HE38,IF(24=$HL38,IF($JD38=2,30,0),IF(24=$HM38,IF($JD38=1,30,0),ABS(24-$HF38)*100)),100000+ABS(1-$HE38)*1000+240)),IF($HG38=0,999999,IF(1=$HH38,IF(24=$HN38,IF($JE38=2,30,0),IF(24=$HO38,IF($JE38=1,30,0),ABS(24-$HI38)*100)),100000+ABS(1-$HH38)*1000+240)))-IF((24=$HJ38)+(24=$HK38)+(24=$HL38)+(24=$HM38)+(24=$HN38)+(24=$HO38)&gt;=2,50,0))+AA$5*50)</f>
        <v/>
      </c>
      <c r="AB158">
        <f>IF(OR($JF38=0,calcA!$A$6=0),0,IF(OR(25=$HA38,25=$HD38,25=$HG38),200000,MIN(IF($HA38=0,999999,IF(2=$HB38,IF(25=$HJ38,IF($JC38=2,30,0),IF(25=$HK38,IF($JC38=1,30,0),ABS(1-$HC38)*100)),100000+ABS(2-$HB38)*1000+10)),IF($HD38=0,999999,IF(2=$HE38,IF(25=$HL38,IF($JD38=2,30,0),IF(25=$HM38,IF($JD38=1,30,0),ABS(1-$HF38)*100)),100000+ABS(2-$HE38)*1000+10)),IF($HG38=0,999999,IF(2=$HH38,IF(25=$HN38,IF($JE38=2,30,0),IF(25=$HO38,IF($JE38=1,30,0),ABS(1-$HI38)*100)),100000+ABS(2-$HH38)*1000+10)))-IF((25=$HJ38)+(25=$HK38)+(25=$HL38)+(25=$HM38)+(25=$HN38)+(25=$HO38)&gt;=2,50,0))+AB$5*50)</f>
        <v/>
      </c>
      <c r="AC158">
        <f>IF(OR($JF38=0,calcA!$A$6=0),0,IF(OR(26=$HA38,26=$HD38,26=$HG38),200000,MIN(IF($HA38=0,999999,IF(2=$HB38,IF(26=$HJ38,IF($JC38=2,30,0),IF(26=$HK38,IF($JC38=1,30,0),ABS(2-$HC38)*100)),100000+ABS(2-$HB38)*1000+20)),IF($HD38=0,999999,IF(2=$HE38,IF(26=$HL38,IF($JD38=2,30,0),IF(26=$HM38,IF($JD38=1,30,0),ABS(2-$HF38)*100)),100000+ABS(2-$HE38)*1000+20)),IF($HG38=0,999999,IF(2=$HH38,IF(26=$HN38,IF($JE38=2,30,0),IF(26=$HO38,IF($JE38=1,30,0),ABS(2-$HI38)*100)),100000+ABS(2-$HH38)*1000+20)))-IF((26=$HJ38)+(26=$HK38)+(26=$HL38)+(26=$HM38)+(26=$HN38)+(26=$HO38)&gt;=2,50,0))+AC$5*50)</f>
        <v/>
      </c>
      <c r="AD158">
        <f>IF(OR($JF38=0,calcA!$A$6=0),0,IF(OR(27=$HA38,27=$HD38,27=$HG38),200000,MIN(IF($HA38=0,999999,IF(2=$HB38,IF(27=$HJ38,IF($JC38=2,30,0),IF(27=$HK38,IF($JC38=1,30,0),ABS(3-$HC38)*100)),100000+ABS(2-$HB38)*1000+30)),IF($HD38=0,999999,IF(2=$HE38,IF(27=$HL38,IF($JD38=2,30,0),IF(27=$HM38,IF($JD38=1,30,0),ABS(3-$HF38)*100)),100000+ABS(2-$HE38)*1000+30)),IF($HG38=0,999999,IF(2=$HH38,IF(27=$HN38,IF($JE38=2,30,0),IF(27=$HO38,IF($JE38=1,30,0),ABS(3-$HI38)*100)),100000+ABS(2-$HH38)*1000+30)))-IF((27=$HJ38)+(27=$HK38)+(27=$HL38)+(27=$HM38)+(27=$HN38)+(27=$HO38)&gt;=2,50,0))+AD$5*50)</f>
        <v/>
      </c>
      <c r="AE158">
        <f>IF(OR($JF38=0,calcA!$A$6=0),0,IF(OR(28=$HA38,28=$HD38,28=$HG38),200000,MIN(IF($HA38=0,999999,IF(2=$HB38,IF(28=$HJ38,IF($JC38=2,30,0),IF(28=$HK38,IF($JC38=1,30,0),ABS(4-$HC38)*100)),100000+ABS(2-$HB38)*1000+40)),IF($HD38=0,999999,IF(2=$HE38,IF(28=$HL38,IF($JD38=2,30,0),IF(28=$HM38,IF($JD38=1,30,0),ABS(4-$HF38)*100)),100000+ABS(2-$HE38)*1000+40)),IF($HG38=0,999999,IF(2=$HH38,IF(28=$HN38,IF($JE38=2,30,0),IF(28=$HO38,IF($JE38=1,30,0),ABS(4-$HI38)*100)),100000+ABS(2-$HH38)*1000+40)))-IF((28=$HJ38)+(28=$HK38)+(28=$HL38)+(28=$HM38)+(28=$HN38)+(28=$HO38)&gt;=2,50,0))+AE$5*50)</f>
        <v/>
      </c>
      <c r="AF158">
        <f>IF(OR($JF38=0,calcA!$A$6=0),0,IF(OR(29=$HA38,29=$HD38,29=$HG38),200000,MIN(IF($HA38=0,999999,IF(2=$HB38,IF(29=$HJ38,IF($JC38=2,30,0),IF(29=$HK38,IF($JC38=1,30,0),ABS(5-$HC38)*100)),100000+ABS(2-$HB38)*1000+50)),IF($HD38=0,999999,IF(2=$HE38,IF(29=$HL38,IF($JD38=2,30,0),IF(29=$HM38,IF($JD38=1,30,0),ABS(5-$HF38)*100)),100000+ABS(2-$HE38)*1000+50)),IF($HG38=0,999999,IF(2=$HH38,IF(29=$HN38,IF($JE38=2,30,0),IF(29=$HO38,IF($JE38=1,30,0),ABS(5-$HI38)*100)),100000+ABS(2-$HH38)*1000+50)))-IF((29=$HJ38)+(29=$HK38)+(29=$HL38)+(29=$HM38)+(29=$HN38)+(29=$HO38)&gt;=2,50,0))+AF$5*50)</f>
        <v/>
      </c>
      <c r="AG158">
        <f>IF(OR($JF38=0,calcA!$A$6=0),0,IF(OR(30=$HA38,30=$HD38,30=$HG38),200000,MIN(IF($HA38=0,999999,IF(2=$HB38,IF(30=$HJ38,IF($JC38=2,30,0),IF(30=$HK38,IF($JC38=1,30,0),ABS(6-$HC38)*100)),100000+ABS(2-$HB38)*1000+60)),IF($HD38=0,999999,IF(2=$HE38,IF(30=$HL38,IF($JD38=2,30,0),IF(30=$HM38,IF($JD38=1,30,0),ABS(6-$HF38)*100)),100000+ABS(2-$HE38)*1000+60)),IF($HG38=0,999999,IF(2=$HH38,IF(30=$HN38,IF($JE38=2,30,0),IF(30=$HO38,IF($JE38=1,30,0),ABS(6-$HI38)*100)),100000+ABS(2-$HH38)*1000+60)))-IF((30=$HJ38)+(30=$HK38)+(30=$HL38)+(30=$HM38)+(30=$HN38)+(30=$HO38)&gt;=2,50,0))+AG$5*50)</f>
        <v/>
      </c>
      <c r="AH158">
        <f>IF(OR($JF38=0,calcA!$A$6=0),0,IF(OR(31=$HA38,31=$HD38,31=$HG38),200000,MIN(IF($HA38=0,999999,IF(2=$HB38,IF(31=$HJ38,IF($JC38=2,30,0),IF(31=$HK38,IF($JC38=1,30,0),ABS(7-$HC38)*100)),100000+ABS(2-$HB38)*1000+70)),IF($HD38=0,999999,IF(2=$HE38,IF(31=$HL38,IF($JD38=2,30,0),IF(31=$HM38,IF($JD38=1,30,0),ABS(7-$HF38)*100)),100000+ABS(2-$HE38)*1000+70)),IF($HG38=0,999999,IF(2=$HH38,IF(31=$HN38,IF($JE38=2,30,0),IF(31=$HO38,IF($JE38=1,30,0),ABS(7-$HI38)*100)),100000+ABS(2-$HH38)*1000+70)))-IF((31=$HJ38)+(31=$HK38)+(31=$HL38)+(31=$HM38)+(31=$HN38)+(31=$HO38)&gt;=2,50,0))+AH$5*50)</f>
        <v/>
      </c>
      <c r="AI158">
        <f>IF(OR($JF38=0,calcA!$A$6=0),0,IF(OR(32=$HA38,32=$HD38,32=$HG38),200000,MIN(IF($HA38=0,999999,IF(2=$HB38,IF(32=$HJ38,IF($JC38=2,30,0),IF(32=$HK38,IF($JC38=1,30,0),ABS(8-$HC38)*100)),100000+ABS(2-$HB38)*1000+80)),IF($HD38=0,999999,IF(2=$HE38,IF(32=$HL38,IF($JD38=2,30,0),IF(32=$HM38,IF($JD38=1,30,0),ABS(8-$HF38)*100)),100000+ABS(2-$HE38)*1000+80)),IF($HG38=0,999999,IF(2=$HH38,IF(32=$HN38,IF($JE38=2,30,0),IF(32=$HO38,IF($JE38=1,30,0),ABS(8-$HI38)*100)),100000+ABS(2-$HH38)*1000+80)))-IF((32=$HJ38)+(32=$HK38)+(32=$HL38)+(32=$HM38)+(32=$HN38)+(32=$HO38)&gt;=2,50,0))+AI$5*50)</f>
        <v/>
      </c>
      <c r="AJ158">
        <f>IF(OR($JF38=0,calcA!$A$6=0),0,IF(OR(33=$HA38,33=$HD38,33=$HG38),200000,MIN(IF($HA38=0,999999,IF(2=$HB38,IF(33=$HJ38,IF($JC38=2,30,0),IF(33=$HK38,IF($JC38=1,30,0),ABS(9-$HC38)*100)),100000+ABS(2-$HB38)*1000+90)),IF($HD38=0,999999,IF(2=$HE38,IF(33=$HL38,IF($JD38=2,30,0),IF(33=$HM38,IF($JD38=1,30,0),ABS(9-$HF38)*100)),100000+ABS(2-$HE38)*1000+90)),IF($HG38=0,999999,IF(2=$HH38,IF(33=$HN38,IF($JE38=2,30,0),IF(33=$HO38,IF($JE38=1,30,0),ABS(9-$HI38)*100)),100000+ABS(2-$HH38)*1000+90)))-IF((33=$HJ38)+(33=$HK38)+(33=$HL38)+(33=$HM38)+(33=$HN38)+(33=$HO38)&gt;=2,50,0))+AJ$5*50)</f>
        <v/>
      </c>
      <c r="AK158">
        <f>IF(OR($JF38=0,calcA!$A$6=0),0,IF(OR(34=$HA38,34=$HD38,34=$HG38),200000,MIN(IF($HA38=0,999999,IF(2=$HB38,IF(34=$HJ38,IF($JC38=2,30,0),IF(34=$HK38,IF($JC38=1,30,0),ABS(10-$HC38)*100)),100000+ABS(2-$HB38)*1000+100)),IF($HD38=0,999999,IF(2=$HE38,IF(34=$HL38,IF($JD38=2,30,0),IF(34=$HM38,IF($JD38=1,30,0),ABS(10-$HF38)*100)),100000+ABS(2-$HE38)*1000+100)),IF($HG38=0,999999,IF(2=$HH38,IF(34=$HN38,IF($JE38=2,30,0),IF(34=$HO38,IF($JE38=1,30,0),ABS(10-$HI38)*100)),100000+ABS(2-$HH38)*1000+100)))-IF((34=$HJ38)+(34=$HK38)+(34=$HL38)+(34=$HM38)+(34=$HN38)+(34=$HO38)&gt;=2,50,0))+AK$5*50)</f>
        <v/>
      </c>
      <c r="AL158">
        <f>IF(OR($JF38=0,calcA!$A$6=0),0,IF(OR(35=$HA38,35=$HD38,35=$HG38),200000,MIN(IF($HA38=0,999999,IF(2=$HB38,IF(35=$HJ38,IF($JC38=2,30,0),IF(35=$HK38,IF($JC38=1,30,0),ABS(11-$HC38)*100)),100000+ABS(2-$HB38)*1000+110)),IF($HD38=0,999999,IF(2=$HE38,IF(35=$HL38,IF($JD38=2,30,0),IF(35=$HM38,IF($JD38=1,30,0),ABS(11-$HF38)*100)),100000+ABS(2-$HE38)*1000+110)),IF($HG38=0,999999,IF(2=$HH38,IF(35=$HN38,IF($JE38=2,30,0),IF(35=$HO38,IF($JE38=1,30,0),ABS(11-$HI38)*100)),100000+ABS(2-$HH38)*1000+110)))-IF((35=$HJ38)+(35=$HK38)+(35=$HL38)+(35=$HM38)+(35=$HN38)+(35=$HO38)&gt;=2,50,0))+AL$5*50)</f>
        <v/>
      </c>
      <c r="AM158">
        <f>IF(OR($JF38=0,calcA!$A$6=0),0,IF(OR(36=$HA38,36=$HD38,36=$HG38),200000,MIN(IF($HA38=0,999999,IF(2=$HB38,IF(36=$HJ38,IF($JC38=2,30,0),IF(36=$HK38,IF($JC38=1,30,0),ABS(12-$HC38)*100)),100000+ABS(2-$HB38)*1000+120)),IF($HD38=0,999999,IF(2=$HE38,IF(36=$HL38,IF($JD38=2,30,0),IF(36=$HM38,IF($JD38=1,30,0),ABS(12-$HF38)*100)),100000+ABS(2-$HE38)*1000+120)),IF($HG38=0,999999,IF(2=$HH38,IF(36=$HN38,IF($JE38=2,30,0),IF(36=$HO38,IF($JE38=1,30,0),ABS(12-$HI38)*100)),100000+ABS(2-$HH38)*1000+120)))-IF((36=$HJ38)+(36=$HK38)+(36=$HL38)+(36=$HM38)+(36=$HN38)+(36=$HO38)&gt;=2,50,0))+AM$5*50)</f>
        <v/>
      </c>
      <c r="AN158">
        <f>IF(OR($JF38=0,calcA!$A$6=0),0,IF(OR(37=$HA38,37=$HD38,37=$HG38),200000,MIN(IF($HA38=0,999999,IF(2=$HB38,IF(37=$HJ38,IF($JC38=2,30,0),IF(37=$HK38,IF($JC38=1,30,0),ABS(13-$HC38)*100)),100000+ABS(2-$HB38)*1000+130)),IF($HD38=0,999999,IF(2=$HE38,IF(37=$HL38,IF($JD38=2,30,0),IF(37=$HM38,IF($JD38=1,30,0),ABS(13-$HF38)*100)),100000+ABS(2-$HE38)*1000+130)),IF($HG38=0,999999,IF(2=$HH38,IF(37=$HN38,IF($JE38=2,30,0),IF(37=$HO38,IF($JE38=1,30,0),ABS(13-$HI38)*100)),100000+ABS(2-$HH38)*1000+130)))-IF((37=$HJ38)+(37=$HK38)+(37=$HL38)+(37=$HM38)+(37=$HN38)+(37=$HO38)&gt;=2,50,0))+AN$5*50)</f>
        <v/>
      </c>
      <c r="AO158">
        <f>IF(OR($JF38=0,calcA!$A$6=0),0,IF(OR(38=$HA38,38=$HD38,38=$HG38),200000,MIN(IF($HA38=0,999999,IF(2=$HB38,IF(38=$HJ38,IF($JC38=2,30,0),IF(38=$HK38,IF($JC38=1,30,0),ABS(14-$HC38)*100)),100000+ABS(2-$HB38)*1000+140)),IF($HD38=0,999999,IF(2=$HE38,IF(38=$HL38,IF($JD38=2,30,0),IF(38=$HM38,IF($JD38=1,30,0),ABS(14-$HF38)*100)),100000+ABS(2-$HE38)*1000+140)),IF($HG38=0,999999,IF(2=$HH38,IF(38=$HN38,IF($JE38=2,30,0),IF(38=$HO38,IF($JE38=1,30,0),ABS(14-$HI38)*100)),100000+ABS(2-$HH38)*1000+140)))-IF((38=$HJ38)+(38=$HK38)+(38=$HL38)+(38=$HM38)+(38=$HN38)+(38=$HO38)&gt;=2,50,0))+AO$5*50)</f>
        <v/>
      </c>
      <c r="AP158">
        <f>IF(OR($JF38=0,calcA!$A$6=0),0,IF(OR(39=$HA38,39=$HD38,39=$HG38),200000,MIN(IF($HA38=0,999999,IF(2=$HB38,IF(39=$HJ38,IF($JC38=2,30,0),IF(39=$HK38,IF($JC38=1,30,0),ABS(15-$HC38)*100)),100000+ABS(2-$HB38)*1000+150)),IF($HD38=0,999999,IF(2=$HE38,IF(39=$HL38,IF($JD38=2,30,0),IF(39=$HM38,IF($JD38=1,30,0),ABS(15-$HF38)*100)),100000+ABS(2-$HE38)*1000+150)),IF($HG38=0,999999,IF(2=$HH38,IF(39=$HN38,IF($JE38=2,30,0),IF(39=$HO38,IF($JE38=1,30,0),ABS(15-$HI38)*100)),100000+ABS(2-$HH38)*1000+150)))-IF((39=$HJ38)+(39=$HK38)+(39=$HL38)+(39=$HM38)+(39=$HN38)+(39=$HO38)&gt;=2,50,0))+AP$5*50)</f>
        <v/>
      </c>
      <c r="AQ158">
        <f>IF(OR($JF38=0,calcA!$A$6=0),0,IF(OR(40=$HA38,40=$HD38,40=$HG38),200000,MIN(IF($HA38=0,999999,IF(2=$HB38,IF(40=$HJ38,IF($JC38=2,30,0),IF(40=$HK38,IF($JC38=1,30,0),ABS(16-$HC38)*100)),100000+ABS(2-$HB38)*1000+160)),IF($HD38=0,999999,IF(2=$HE38,IF(40=$HL38,IF($JD38=2,30,0),IF(40=$HM38,IF($JD38=1,30,0),ABS(16-$HF38)*100)),100000+ABS(2-$HE38)*1000+160)),IF($HG38=0,999999,IF(2=$HH38,IF(40=$HN38,IF($JE38=2,30,0),IF(40=$HO38,IF($JE38=1,30,0),ABS(16-$HI38)*100)),100000+ABS(2-$HH38)*1000+160)))-IF((40=$HJ38)+(40=$HK38)+(40=$HL38)+(40=$HM38)+(40=$HN38)+(40=$HO38)&gt;=2,50,0))+AQ$5*50)</f>
        <v/>
      </c>
      <c r="AR158">
        <f>IF(OR($JF38=0,calcA!$A$6=0),0,IF(OR(41=$HA38,41=$HD38,41=$HG38),200000,MIN(IF($HA38=0,999999,IF(2=$HB38,IF(41=$HJ38,IF($JC38=2,30,0),IF(41=$HK38,IF($JC38=1,30,0),ABS(17-$HC38)*100)),100000+ABS(2-$HB38)*1000+170)),IF($HD38=0,999999,IF(2=$HE38,IF(41=$HL38,IF($JD38=2,30,0),IF(41=$HM38,IF($JD38=1,30,0),ABS(17-$HF38)*100)),100000+ABS(2-$HE38)*1000+170)),IF($HG38=0,999999,IF(2=$HH38,IF(41=$HN38,IF($JE38=2,30,0),IF(41=$HO38,IF($JE38=1,30,0),ABS(17-$HI38)*100)),100000+ABS(2-$HH38)*1000+170)))-IF((41=$HJ38)+(41=$HK38)+(41=$HL38)+(41=$HM38)+(41=$HN38)+(41=$HO38)&gt;=2,50,0))+AR$5*50)</f>
        <v/>
      </c>
      <c r="AS158">
        <f>IF(OR($JF38=0,calcA!$A$6=0),0,IF(OR(42=$HA38,42=$HD38,42=$HG38),200000,MIN(IF($HA38=0,999999,IF(2=$HB38,IF(42=$HJ38,IF($JC38=2,30,0),IF(42=$HK38,IF($JC38=1,30,0),ABS(18-$HC38)*100)),100000+ABS(2-$HB38)*1000+180)),IF($HD38=0,999999,IF(2=$HE38,IF(42=$HL38,IF($JD38=2,30,0),IF(42=$HM38,IF($JD38=1,30,0),ABS(18-$HF38)*100)),100000+ABS(2-$HE38)*1000+180)),IF($HG38=0,999999,IF(2=$HH38,IF(42=$HN38,IF($JE38=2,30,0),IF(42=$HO38,IF($JE38=1,30,0),ABS(18-$HI38)*100)),100000+ABS(2-$HH38)*1000+180)))-IF((42=$HJ38)+(42=$HK38)+(42=$HL38)+(42=$HM38)+(42=$HN38)+(42=$HO38)&gt;=2,50,0))+AS$5*50)</f>
        <v/>
      </c>
      <c r="AT158">
        <f>IF(OR($JF38=0,calcA!$A$6=0),0,IF(OR(43=$HA38,43=$HD38,43=$HG38),200000,MIN(IF($HA38=0,999999,IF(2=$HB38,IF(43=$HJ38,IF($JC38=2,30,0),IF(43=$HK38,IF($JC38=1,30,0),ABS(19-$HC38)*100)),100000+ABS(2-$HB38)*1000+190)),IF($HD38=0,999999,IF(2=$HE38,IF(43=$HL38,IF($JD38=2,30,0),IF(43=$HM38,IF($JD38=1,30,0),ABS(19-$HF38)*100)),100000+ABS(2-$HE38)*1000+190)),IF($HG38=0,999999,IF(2=$HH38,IF(43=$HN38,IF($JE38=2,30,0),IF(43=$HO38,IF($JE38=1,30,0),ABS(19-$HI38)*100)),100000+ABS(2-$HH38)*1000+190)))-IF((43=$HJ38)+(43=$HK38)+(43=$HL38)+(43=$HM38)+(43=$HN38)+(43=$HO38)&gt;=2,50,0))+AT$5*50)</f>
        <v/>
      </c>
      <c r="AU158">
        <f>IF(OR($JF38=0,calcA!$A$6=0),0,IF(OR(44=$HA38,44=$HD38,44=$HG38),200000,MIN(IF($HA38=0,999999,IF(2=$HB38,IF(44=$HJ38,IF($JC38=2,30,0),IF(44=$HK38,IF($JC38=1,30,0),ABS(20-$HC38)*100)),100000+ABS(2-$HB38)*1000+200)),IF($HD38=0,999999,IF(2=$HE38,IF(44=$HL38,IF($JD38=2,30,0),IF(44=$HM38,IF($JD38=1,30,0),ABS(20-$HF38)*100)),100000+ABS(2-$HE38)*1000+200)),IF($HG38=0,999999,IF(2=$HH38,IF(44=$HN38,IF($JE38=2,30,0),IF(44=$HO38,IF($JE38=1,30,0),ABS(20-$HI38)*100)),100000+ABS(2-$HH38)*1000+200)))-IF((44=$HJ38)+(44=$HK38)+(44=$HL38)+(44=$HM38)+(44=$HN38)+(44=$HO38)&gt;=2,50,0))+AU$5*50)</f>
        <v/>
      </c>
      <c r="AV158">
        <f>IF(OR($JF38=0,calcA!$A$6=0),0,IF(OR(45=$HA38,45=$HD38,45=$HG38),200000,MIN(IF($HA38=0,999999,IF(2=$HB38,IF(45=$HJ38,IF($JC38=2,30,0),IF(45=$HK38,IF($JC38=1,30,0),ABS(21-$HC38)*100)),100000+ABS(2-$HB38)*1000+210)),IF($HD38=0,999999,IF(2=$HE38,IF(45=$HL38,IF($JD38=2,30,0),IF(45=$HM38,IF($JD38=1,30,0),ABS(21-$HF38)*100)),100000+ABS(2-$HE38)*1000+210)),IF($HG38=0,999999,IF(2=$HH38,IF(45=$HN38,IF($JE38=2,30,0),IF(45=$HO38,IF($JE38=1,30,0),ABS(21-$HI38)*100)),100000+ABS(2-$HH38)*1000+210)))-IF((45=$HJ38)+(45=$HK38)+(45=$HL38)+(45=$HM38)+(45=$HN38)+(45=$HO38)&gt;=2,50,0))+AV$5*50)</f>
        <v/>
      </c>
      <c r="AW158">
        <f>IF(OR($JF38=0,calcA!$A$6=0),0,IF(OR(46=$HA38,46=$HD38,46=$HG38),200000,MIN(IF($HA38=0,999999,IF(2=$HB38,IF(46=$HJ38,IF($JC38=2,30,0),IF(46=$HK38,IF($JC38=1,30,0),ABS(22-$HC38)*100)),100000+ABS(2-$HB38)*1000+220)),IF($HD38=0,999999,IF(2=$HE38,IF(46=$HL38,IF($JD38=2,30,0),IF(46=$HM38,IF($JD38=1,30,0),ABS(22-$HF38)*100)),100000+ABS(2-$HE38)*1000+220)),IF($HG38=0,999999,IF(2=$HH38,IF(46=$HN38,IF($JE38=2,30,0),IF(46=$HO38,IF($JE38=1,30,0),ABS(22-$HI38)*100)),100000+ABS(2-$HH38)*1000+220)))-IF((46=$HJ38)+(46=$HK38)+(46=$HL38)+(46=$HM38)+(46=$HN38)+(46=$HO38)&gt;=2,50,0))+AW$5*50)</f>
        <v/>
      </c>
      <c r="AX158">
        <f>IF(OR($JF38=0,calcA!$A$6=0),0,IF(OR(47=$HA38,47=$HD38,47=$HG38),200000,MIN(IF($HA38=0,999999,IF(2=$HB38,IF(47=$HJ38,IF($JC38=2,30,0),IF(47=$HK38,IF($JC38=1,30,0),ABS(23-$HC38)*100)),100000+ABS(2-$HB38)*1000+230)),IF($HD38=0,999999,IF(2=$HE38,IF(47=$HL38,IF($JD38=2,30,0),IF(47=$HM38,IF($JD38=1,30,0),ABS(23-$HF38)*100)),100000+ABS(2-$HE38)*1000+230)),IF($HG38=0,999999,IF(2=$HH38,IF(47=$HN38,IF($JE38=2,30,0),IF(47=$HO38,IF($JE38=1,30,0),ABS(23-$HI38)*100)),100000+ABS(2-$HH38)*1000+230)))-IF((47=$HJ38)+(47=$HK38)+(47=$HL38)+(47=$HM38)+(47=$HN38)+(47=$HO38)&gt;=2,50,0))+AX$5*50)</f>
        <v/>
      </c>
      <c r="AY158">
        <f>IF(OR($JF38=0,calcA!$A$6=0),0,IF(OR(48=$HA38,48=$HD38,48=$HG38),200000,MIN(IF($HA38=0,999999,IF(2=$HB38,IF(48=$HJ38,IF($JC38=2,30,0),IF(48=$HK38,IF($JC38=1,30,0),ABS(24-$HC38)*100)),100000+ABS(2-$HB38)*1000+240)),IF($HD38=0,999999,IF(2=$HE38,IF(48=$HL38,IF($JD38=2,30,0),IF(48=$HM38,IF($JD38=1,30,0),ABS(24-$HF38)*100)),100000+ABS(2-$HE38)*1000+240)),IF($HG38=0,999999,IF(2=$HH38,IF(48=$HN38,IF($JE38=2,30,0),IF(48=$HO38,IF($JE38=1,30,0),ABS(24-$HI38)*100)),100000+ABS(2-$HH38)*1000+240)))-IF((48=$HJ38)+(48=$HK38)+(48=$HL38)+(48=$HM38)+(48=$HN38)+(48=$HO38)&gt;=2,50,0))+AY$5*50)</f>
        <v/>
      </c>
      <c r="AZ158">
        <f>IF(OR($JF38=0,calcA!$A$6=0),0,IF(OR(49=$HA38,49=$HD38,49=$HG38),200000,MIN(IF($HA38=0,999999,IF(3=$HB38,IF(49=$HJ38,IF($JC38=2,30,0),IF(49=$HK38,IF($JC38=1,30,0),ABS(1-$HC38)*100)),100000+ABS(3-$HB38)*1000+10)),IF($HD38=0,999999,IF(3=$HE38,IF(49=$HL38,IF($JD38=2,30,0),IF(49=$HM38,IF($JD38=1,30,0),ABS(1-$HF38)*100)),100000+ABS(3-$HE38)*1000+10)),IF($HG38=0,999999,IF(3=$HH38,IF(49=$HN38,IF($JE38=2,30,0),IF(49=$HO38,IF($JE38=1,30,0),ABS(1-$HI38)*100)),100000+ABS(3-$HH38)*1000+10)))-IF((49=$HJ38)+(49=$HK38)+(49=$HL38)+(49=$HM38)+(49=$HN38)+(49=$HO38)&gt;=2,50,0))+AZ$5*50)</f>
        <v/>
      </c>
      <c r="BA158">
        <f>IF(OR($JF38=0,calcA!$A$6=0),0,IF(OR(50=$HA38,50=$HD38,50=$HG38),200000,MIN(IF($HA38=0,999999,IF(3=$HB38,IF(50=$HJ38,IF($JC38=2,30,0),IF(50=$HK38,IF($JC38=1,30,0),ABS(2-$HC38)*100)),100000+ABS(3-$HB38)*1000+20)),IF($HD38=0,999999,IF(3=$HE38,IF(50=$HL38,IF($JD38=2,30,0),IF(50=$HM38,IF($JD38=1,30,0),ABS(2-$HF38)*100)),100000+ABS(3-$HE38)*1000+20)),IF($HG38=0,999999,IF(3=$HH38,IF(50=$HN38,IF($JE38=2,30,0),IF(50=$HO38,IF($JE38=1,30,0),ABS(2-$HI38)*100)),100000+ABS(3-$HH38)*1000+20)))-IF((50=$HJ38)+(50=$HK38)+(50=$HL38)+(50=$HM38)+(50=$HN38)+(50=$HO38)&gt;=2,50,0))+BA$5*50)</f>
        <v/>
      </c>
      <c r="BB158">
        <f>IF(OR($JF38=0,calcA!$A$6=0),0,IF(OR(51=$HA38,51=$HD38,51=$HG38),200000,MIN(IF($HA38=0,999999,IF(3=$HB38,IF(51=$HJ38,IF($JC38=2,30,0),IF(51=$HK38,IF($JC38=1,30,0),ABS(3-$HC38)*100)),100000+ABS(3-$HB38)*1000+30)),IF($HD38=0,999999,IF(3=$HE38,IF(51=$HL38,IF($JD38=2,30,0),IF(51=$HM38,IF($JD38=1,30,0),ABS(3-$HF38)*100)),100000+ABS(3-$HE38)*1000+30)),IF($HG38=0,999999,IF(3=$HH38,IF(51=$HN38,IF($JE38=2,30,0),IF(51=$HO38,IF($JE38=1,30,0),ABS(3-$HI38)*100)),100000+ABS(3-$HH38)*1000+30)))-IF((51=$HJ38)+(51=$HK38)+(51=$HL38)+(51=$HM38)+(51=$HN38)+(51=$HO38)&gt;=2,50,0))+BB$5*50)</f>
        <v/>
      </c>
      <c r="BC158">
        <f>IF(OR($JF38=0,calcA!$A$6=0),0,IF(OR(52=$HA38,52=$HD38,52=$HG38),200000,MIN(IF($HA38=0,999999,IF(3=$HB38,IF(52=$HJ38,IF($JC38=2,30,0),IF(52=$HK38,IF($JC38=1,30,0),ABS(4-$HC38)*100)),100000+ABS(3-$HB38)*1000+40)),IF($HD38=0,999999,IF(3=$HE38,IF(52=$HL38,IF($JD38=2,30,0),IF(52=$HM38,IF($JD38=1,30,0),ABS(4-$HF38)*100)),100000+ABS(3-$HE38)*1000+40)),IF($HG38=0,999999,IF(3=$HH38,IF(52=$HN38,IF($JE38=2,30,0),IF(52=$HO38,IF($JE38=1,30,0),ABS(4-$HI38)*100)),100000+ABS(3-$HH38)*1000+40)))-IF((52=$HJ38)+(52=$HK38)+(52=$HL38)+(52=$HM38)+(52=$HN38)+(52=$HO38)&gt;=2,50,0))+BC$5*50)</f>
        <v/>
      </c>
      <c r="BD158">
        <f>IF(OR($JF38=0,calcA!$A$6=0),0,IF(OR(53=$HA38,53=$HD38,53=$HG38),200000,MIN(IF($HA38=0,999999,IF(3=$HB38,IF(53=$HJ38,IF($JC38=2,30,0),IF(53=$HK38,IF($JC38=1,30,0),ABS(5-$HC38)*100)),100000+ABS(3-$HB38)*1000+50)),IF($HD38=0,999999,IF(3=$HE38,IF(53=$HL38,IF($JD38=2,30,0),IF(53=$HM38,IF($JD38=1,30,0),ABS(5-$HF38)*100)),100000+ABS(3-$HE38)*1000+50)),IF($HG38=0,999999,IF(3=$HH38,IF(53=$HN38,IF($JE38=2,30,0),IF(53=$HO38,IF($JE38=1,30,0),ABS(5-$HI38)*100)),100000+ABS(3-$HH38)*1000+50)))-IF((53=$HJ38)+(53=$HK38)+(53=$HL38)+(53=$HM38)+(53=$HN38)+(53=$HO38)&gt;=2,50,0))+BD$5*50)</f>
        <v/>
      </c>
      <c r="BE158">
        <f>IF(OR($JF38=0,calcA!$A$6=0),0,IF(OR(54=$HA38,54=$HD38,54=$HG38),200000,MIN(IF($HA38=0,999999,IF(3=$HB38,IF(54=$HJ38,IF($JC38=2,30,0),IF(54=$HK38,IF($JC38=1,30,0),ABS(6-$HC38)*100)),100000+ABS(3-$HB38)*1000+60)),IF($HD38=0,999999,IF(3=$HE38,IF(54=$HL38,IF($JD38=2,30,0),IF(54=$HM38,IF($JD38=1,30,0),ABS(6-$HF38)*100)),100000+ABS(3-$HE38)*1000+60)),IF($HG38=0,999999,IF(3=$HH38,IF(54=$HN38,IF($JE38=2,30,0),IF(54=$HO38,IF($JE38=1,30,0),ABS(6-$HI38)*100)),100000+ABS(3-$HH38)*1000+60)))-IF((54=$HJ38)+(54=$HK38)+(54=$HL38)+(54=$HM38)+(54=$HN38)+(54=$HO38)&gt;=2,50,0))+BE$5*50)</f>
        <v/>
      </c>
      <c r="BF158">
        <f>IF(OR($JF38=0,calcA!$A$6=0),0,IF(OR(55=$HA38,55=$HD38,55=$HG38),200000,MIN(IF($HA38=0,999999,IF(3=$HB38,IF(55=$HJ38,IF($JC38=2,30,0),IF(55=$HK38,IF($JC38=1,30,0),ABS(7-$HC38)*100)),100000+ABS(3-$HB38)*1000+70)),IF($HD38=0,999999,IF(3=$HE38,IF(55=$HL38,IF($JD38=2,30,0),IF(55=$HM38,IF($JD38=1,30,0),ABS(7-$HF38)*100)),100000+ABS(3-$HE38)*1000+70)),IF($HG38=0,999999,IF(3=$HH38,IF(55=$HN38,IF($JE38=2,30,0),IF(55=$HO38,IF($JE38=1,30,0),ABS(7-$HI38)*100)),100000+ABS(3-$HH38)*1000+70)))-IF((55=$HJ38)+(55=$HK38)+(55=$HL38)+(55=$HM38)+(55=$HN38)+(55=$HO38)&gt;=2,50,0))+BF$5*50)</f>
        <v/>
      </c>
      <c r="BG158">
        <f>IF(OR($JF38=0,calcA!$A$6=0),0,IF(OR(56=$HA38,56=$HD38,56=$HG38),200000,MIN(IF($HA38=0,999999,IF(3=$HB38,IF(56=$HJ38,IF($JC38=2,30,0),IF(56=$HK38,IF($JC38=1,30,0),ABS(8-$HC38)*100)),100000+ABS(3-$HB38)*1000+80)),IF($HD38=0,999999,IF(3=$HE38,IF(56=$HL38,IF($JD38=2,30,0),IF(56=$HM38,IF($JD38=1,30,0),ABS(8-$HF38)*100)),100000+ABS(3-$HE38)*1000+80)),IF($HG38=0,999999,IF(3=$HH38,IF(56=$HN38,IF($JE38=2,30,0),IF(56=$HO38,IF($JE38=1,30,0),ABS(8-$HI38)*100)),100000+ABS(3-$HH38)*1000+80)))-IF((56=$HJ38)+(56=$HK38)+(56=$HL38)+(56=$HM38)+(56=$HN38)+(56=$HO38)&gt;=2,50,0))+BG$5*50)</f>
        <v/>
      </c>
      <c r="BH158">
        <f>IF(OR($JF38=0,calcA!$A$6=0),0,IF(OR(57=$HA38,57=$HD38,57=$HG38),200000,MIN(IF($HA38=0,999999,IF(3=$HB38,IF(57=$HJ38,IF($JC38=2,30,0),IF(57=$HK38,IF($JC38=1,30,0),ABS(9-$HC38)*100)),100000+ABS(3-$HB38)*1000+90)),IF($HD38=0,999999,IF(3=$HE38,IF(57=$HL38,IF($JD38=2,30,0),IF(57=$HM38,IF($JD38=1,30,0),ABS(9-$HF38)*100)),100000+ABS(3-$HE38)*1000+90)),IF($HG38=0,999999,IF(3=$HH38,IF(57=$HN38,IF($JE38=2,30,0),IF(57=$HO38,IF($JE38=1,30,0),ABS(9-$HI38)*100)),100000+ABS(3-$HH38)*1000+90)))-IF((57=$HJ38)+(57=$HK38)+(57=$HL38)+(57=$HM38)+(57=$HN38)+(57=$HO38)&gt;=2,50,0))+BH$5*50)</f>
        <v/>
      </c>
      <c r="BI158">
        <f>IF(OR($JF38=0,calcA!$A$6=0),0,IF(OR(58=$HA38,58=$HD38,58=$HG38),200000,MIN(IF($HA38=0,999999,IF(3=$HB38,IF(58=$HJ38,IF($JC38=2,30,0),IF(58=$HK38,IF($JC38=1,30,0),ABS(10-$HC38)*100)),100000+ABS(3-$HB38)*1000+100)),IF($HD38=0,999999,IF(3=$HE38,IF(58=$HL38,IF($JD38=2,30,0),IF(58=$HM38,IF($JD38=1,30,0),ABS(10-$HF38)*100)),100000+ABS(3-$HE38)*1000+100)),IF($HG38=0,999999,IF(3=$HH38,IF(58=$HN38,IF($JE38=2,30,0),IF(58=$HO38,IF($JE38=1,30,0),ABS(10-$HI38)*100)),100000+ABS(3-$HH38)*1000+100)))-IF((58=$HJ38)+(58=$HK38)+(58=$HL38)+(58=$HM38)+(58=$HN38)+(58=$HO38)&gt;=2,50,0))+BI$5*50)</f>
        <v/>
      </c>
      <c r="BJ158">
        <f>IF(OR($JF38=0,calcA!$A$6=0),0,IF(OR(59=$HA38,59=$HD38,59=$HG38),200000,MIN(IF($HA38=0,999999,IF(3=$HB38,IF(59=$HJ38,IF($JC38=2,30,0),IF(59=$HK38,IF($JC38=1,30,0),ABS(11-$HC38)*100)),100000+ABS(3-$HB38)*1000+110)),IF($HD38=0,999999,IF(3=$HE38,IF(59=$HL38,IF($JD38=2,30,0),IF(59=$HM38,IF($JD38=1,30,0),ABS(11-$HF38)*100)),100000+ABS(3-$HE38)*1000+110)),IF($HG38=0,999999,IF(3=$HH38,IF(59=$HN38,IF($JE38=2,30,0),IF(59=$HO38,IF($JE38=1,30,0),ABS(11-$HI38)*100)),100000+ABS(3-$HH38)*1000+110)))-IF((59=$HJ38)+(59=$HK38)+(59=$HL38)+(59=$HM38)+(59=$HN38)+(59=$HO38)&gt;=2,50,0))+BJ$5*50)</f>
        <v/>
      </c>
      <c r="BK158">
        <f>IF(OR($JF38=0,calcA!$A$6=0),0,IF(OR(60=$HA38,60=$HD38,60=$HG38),200000,MIN(IF($HA38=0,999999,IF(3=$HB38,IF(60=$HJ38,IF($JC38=2,30,0),IF(60=$HK38,IF($JC38=1,30,0),ABS(12-$HC38)*100)),100000+ABS(3-$HB38)*1000+120)),IF($HD38=0,999999,IF(3=$HE38,IF(60=$HL38,IF($JD38=2,30,0),IF(60=$HM38,IF($JD38=1,30,0),ABS(12-$HF38)*100)),100000+ABS(3-$HE38)*1000+120)),IF($HG38=0,999999,IF(3=$HH38,IF(60=$HN38,IF($JE38=2,30,0),IF(60=$HO38,IF($JE38=1,30,0),ABS(12-$HI38)*100)),100000+ABS(3-$HH38)*1000+120)))-IF((60=$HJ38)+(60=$HK38)+(60=$HL38)+(60=$HM38)+(60=$HN38)+(60=$HO38)&gt;=2,50,0))+BK$5*50)</f>
        <v/>
      </c>
      <c r="BL158">
        <f>IF(OR($JF38=0,calcA!$A$6=0),0,IF(OR(61=$HA38,61=$HD38,61=$HG38),200000,MIN(IF($HA38=0,999999,IF(3=$HB38,IF(61=$HJ38,IF($JC38=2,30,0),IF(61=$HK38,IF($JC38=1,30,0),ABS(13-$HC38)*100)),100000+ABS(3-$HB38)*1000+130)),IF($HD38=0,999999,IF(3=$HE38,IF(61=$HL38,IF($JD38=2,30,0),IF(61=$HM38,IF($JD38=1,30,0),ABS(13-$HF38)*100)),100000+ABS(3-$HE38)*1000+130)),IF($HG38=0,999999,IF(3=$HH38,IF(61=$HN38,IF($JE38=2,30,0),IF(61=$HO38,IF($JE38=1,30,0),ABS(13-$HI38)*100)),100000+ABS(3-$HH38)*1000+130)))-IF((61=$HJ38)+(61=$HK38)+(61=$HL38)+(61=$HM38)+(61=$HN38)+(61=$HO38)&gt;=2,50,0))+BL$5*50)</f>
        <v/>
      </c>
      <c r="BM158">
        <f>IF(OR($JF38=0,calcA!$A$6=0),0,IF(OR(62=$HA38,62=$HD38,62=$HG38),200000,MIN(IF($HA38=0,999999,IF(3=$HB38,IF(62=$HJ38,IF($JC38=2,30,0),IF(62=$HK38,IF($JC38=1,30,0),ABS(14-$HC38)*100)),100000+ABS(3-$HB38)*1000+140)),IF($HD38=0,999999,IF(3=$HE38,IF(62=$HL38,IF($JD38=2,30,0),IF(62=$HM38,IF($JD38=1,30,0),ABS(14-$HF38)*100)),100000+ABS(3-$HE38)*1000+140)),IF($HG38=0,999999,IF(3=$HH38,IF(62=$HN38,IF($JE38=2,30,0),IF(62=$HO38,IF($JE38=1,30,0),ABS(14-$HI38)*100)),100000+ABS(3-$HH38)*1000+140)))-IF((62=$HJ38)+(62=$HK38)+(62=$HL38)+(62=$HM38)+(62=$HN38)+(62=$HO38)&gt;=2,50,0))+BM$5*50)</f>
        <v/>
      </c>
      <c r="BN158">
        <f>IF(OR($JF38=0,calcA!$A$6=0),0,IF(OR(63=$HA38,63=$HD38,63=$HG38),200000,MIN(IF($HA38=0,999999,IF(3=$HB38,IF(63=$HJ38,IF($JC38=2,30,0),IF(63=$HK38,IF($JC38=1,30,0),ABS(15-$HC38)*100)),100000+ABS(3-$HB38)*1000+150)),IF($HD38=0,999999,IF(3=$HE38,IF(63=$HL38,IF($JD38=2,30,0),IF(63=$HM38,IF($JD38=1,30,0),ABS(15-$HF38)*100)),100000+ABS(3-$HE38)*1000+150)),IF($HG38=0,999999,IF(3=$HH38,IF(63=$HN38,IF($JE38=2,30,0),IF(63=$HO38,IF($JE38=1,30,0),ABS(15-$HI38)*100)),100000+ABS(3-$HH38)*1000+150)))-IF((63=$HJ38)+(63=$HK38)+(63=$HL38)+(63=$HM38)+(63=$HN38)+(63=$HO38)&gt;=2,50,0))+BN$5*50)</f>
        <v/>
      </c>
      <c r="BO158">
        <f>IF(OR($JF38=0,calcA!$A$6=0),0,IF(OR(64=$HA38,64=$HD38,64=$HG38),200000,MIN(IF($HA38=0,999999,IF(3=$HB38,IF(64=$HJ38,IF($JC38=2,30,0),IF(64=$HK38,IF($JC38=1,30,0),ABS(16-$HC38)*100)),100000+ABS(3-$HB38)*1000+160)),IF($HD38=0,999999,IF(3=$HE38,IF(64=$HL38,IF($JD38=2,30,0),IF(64=$HM38,IF($JD38=1,30,0),ABS(16-$HF38)*100)),100000+ABS(3-$HE38)*1000+160)),IF($HG38=0,999999,IF(3=$HH38,IF(64=$HN38,IF($JE38=2,30,0),IF(64=$HO38,IF($JE38=1,30,0),ABS(16-$HI38)*100)),100000+ABS(3-$HH38)*1000+160)))-IF((64=$HJ38)+(64=$HK38)+(64=$HL38)+(64=$HM38)+(64=$HN38)+(64=$HO38)&gt;=2,50,0))+BO$5*50)</f>
        <v/>
      </c>
      <c r="BP158">
        <f>IF(OR($JF38=0,calcA!$A$6=0),0,IF(OR(65=$HA38,65=$HD38,65=$HG38),200000,MIN(IF($HA38=0,999999,IF(3=$HB38,IF(65=$HJ38,IF($JC38=2,30,0),IF(65=$HK38,IF($JC38=1,30,0),ABS(17-$HC38)*100)),100000+ABS(3-$HB38)*1000+170)),IF($HD38=0,999999,IF(3=$HE38,IF(65=$HL38,IF($JD38=2,30,0),IF(65=$HM38,IF($JD38=1,30,0),ABS(17-$HF38)*100)),100000+ABS(3-$HE38)*1000+170)),IF($HG38=0,999999,IF(3=$HH38,IF(65=$HN38,IF($JE38=2,30,0),IF(65=$HO38,IF($JE38=1,30,0),ABS(17-$HI38)*100)),100000+ABS(3-$HH38)*1000+170)))-IF((65=$HJ38)+(65=$HK38)+(65=$HL38)+(65=$HM38)+(65=$HN38)+(65=$HO38)&gt;=2,50,0))+BP$5*50)</f>
        <v/>
      </c>
      <c r="BQ158">
        <f>IF(OR($JF38=0,calcA!$A$6=0),0,IF(OR(66=$HA38,66=$HD38,66=$HG38),200000,MIN(IF($HA38=0,999999,IF(3=$HB38,IF(66=$HJ38,IF($JC38=2,30,0),IF(66=$HK38,IF($JC38=1,30,0),ABS(18-$HC38)*100)),100000+ABS(3-$HB38)*1000+180)),IF($HD38=0,999999,IF(3=$HE38,IF(66=$HL38,IF($JD38=2,30,0),IF(66=$HM38,IF($JD38=1,30,0),ABS(18-$HF38)*100)),100000+ABS(3-$HE38)*1000+180)),IF($HG38=0,999999,IF(3=$HH38,IF(66=$HN38,IF($JE38=2,30,0),IF(66=$HO38,IF($JE38=1,30,0),ABS(18-$HI38)*100)),100000+ABS(3-$HH38)*1000+180)))-IF((66=$HJ38)+(66=$HK38)+(66=$HL38)+(66=$HM38)+(66=$HN38)+(66=$HO38)&gt;=2,50,0))+BQ$5*50)</f>
        <v/>
      </c>
      <c r="BR158">
        <f>IF(OR($JF38=0,calcA!$A$6=0),0,IF(OR(67=$HA38,67=$HD38,67=$HG38),200000,MIN(IF($HA38=0,999999,IF(3=$HB38,IF(67=$HJ38,IF($JC38=2,30,0),IF(67=$HK38,IF($JC38=1,30,0),ABS(19-$HC38)*100)),100000+ABS(3-$HB38)*1000+190)),IF($HD38=0,999999,IF(3=$HE38,IF(67=$HL38,IF($JD38=2,30,0),IF(67=$HM38,IF($JD38=1,30,0),ABS(19-$HF38)*100)),100000+ABS(3-$HE38)*1000+190)),IF($HG38=0,999999,IF(3=$HH38,IF(67=$HN38,IF($JE38=2,30,0),IF(67=$HO38,IF($JE38=1,30,0),ABS(19-$HI38)*100)),100000+ABS(3-$HH38)*1000+190)))-IF((67=$HJ38)+(67=$HK38)+(67=$HL38)+(67=$HM38)+(67=$HN38)+(67=$HO38)&gt;=2,50,0))+BR$5*50)</f>
        <v/>
      </c>
      <c r="BS158">
        <f>IF(OR($JF38=0,calcA!$A$6=0),0,IF(OR(68=$HA38,68=$HD38,68=$HG38),200000,MIN(IF($HA38=0,999999,IF(3=$HB38,IF(68=$HJ38,IF($JC38=2,30,0),IF(68=$HK38,IF($JC38=1,30,0),ABS(20-$HC38)*100)),100000+ABS(3-$HB38)*1000+200)),IF($HD38=0,999999,IF(3=$HE38,IF(68=$HL38,IF($JD38=2,30,0),IF(68=$HM38,IF($JD38=1,30,0),ABS(20-$HF38)*100)),100000+ABS(3-$HE38)*1000+200)),IF($HG38=0,999999,IF(3=$HH38,IF(68=$HN38,IF($JE38=2,30,0),IF(68=$HO38,IF($JE38=1,30,0),ABS(20-$HI38)*100)),100000+ABS(3-$HH38)*1000+200)))-IF((68=$HJ38)+(68=$HK38)+(68=$HL38)+(68=$HM38)+(68=$HN38)+(68=$HO38)&gt;=2,50,0))+BS$5*50)</f>
        <v/>
      </c>
      <c r="BT158">
        <f>IF(OR($JF38=0,calcA!$A$6=0),0,IF(OR(69=$HA38,69=$HD38,69=$HG38),200000,MIN(IF($HA38=0,999999,IF(3=$HB38,IF(69=$HJ38,IF($JC38=2,30,0),IF(69=$HK38,IF($JC38=1,30,0),ABS(21-$HC38)*100)),100000+ABS(3-$HB38)*1000+210)),IF($HD38=0,999999,IF(3=$HE38,IF(69=$HL38,IF($JD38=2,30,0),IF(69=$HM38,IF($JD38=1,30,0),ABS(21-$HF38)*100)),100000+ABS(3-$HE38)*1000+210)),IF($HG38=0,999999,IF(3=$HH38,IF(69=$HN38,IF($JE38=2,30,0),IF(69=$HO38,IF($JE38=1,30,0),ABS(21-$HI38)*100)),100000+ABS(3-$HH38)*1000+210)))-IF((69=$HJ38)+(69=$HK38)+(69=$HL38)+(69=$HM38)+(69=$HN38)+(69=$HO38)&gt;=2,50,0))+BT$5*50)</f>
        <v/>
      </c>
      <c r="BU158">
        <f>IF(OR($JF38=0,calcA!$A$6=0),0,IF(OR(70=$HA38,70=$HD38,70=$HG38),200000,MIN(IF($HA38=0,999999,IF(3=$HB38,IF(70=$HJ38,IF($JC38=2,30,0),IF(70=$HK38,IF($JC38=1,30,0),ABS(22-$HC38)*100)),100000+ABS(3-$HB38)*1000+220)),IF($HD38=0,999999,IF(3=$HE38,IF(70=$HL38,IF($JD38=2,30,0),IF(70=$HM38,IF($JD38=1,30,0),ABS(22-$HF38)*100)),100000+ABS(3-$HE38)*1000+220)),IF($HG38=0,999999,IF(3=$HH38,IF(70=$HN38,IF($JE38=2,30,0),IF(70=$HO38,IF($JE38=1,30,0),ABS(22-$HI38)*100)),100000+ABS(3-$HH38)*1000+220)))-IF((70=$HJ38)+(70=$HK38)+(70=$HL38)+(70=$HM38)+(70=$HN38)+(70=$HO38)&gt;=2,50,0))+BU$5*50)</f>
        <v/>
      </c>
      <c r="BV158">
        <f>IF(OR($JF38=0,calcA!$A$6=0),0,IF(OR(71=$HA38,71=$HD38,71=$HG38),200000,MIN(IF($HA38=0,999999,IF(3=$HB38,IF(71=$HJ38,IF($JC38=2,30,0),IF(71=$HK38,IF($JC38=1,30,0),ABS(23-$HC38)*100)),100000+ABS(3-$HB38)*1000+230)),IF($HD38=0,999999,IF(3=$HE38,IF(71=$HL38,IF($JD38=2,30,0),IF(71=$HM38,IF($JD38=1,30,0),ABS(23-$HF38)*100)),100000+ABS(3-$HE38)*1000+230)),IF($HG38=0,999999,IF(3=$HH38,IF(71=$HN38,IF($JE38=2,30,0),IF(71=$HO38,IF($JE38=1,30,0),ABS(23-$HI38)*100)),100000+ABS(3-$HH38)*1000+230)))-IF((71=$HJ38)+(71=$HK38)+(71=$HL38)+(71=$HM38)+(71=$HN38)+(71=$HO38)&gt;=2,50,0))+BV$5*50)</f>
        <v/>
      </c>
      <c r="BW158">
        <f>IF(OR($JF38=0,calcA!$A$6=0),0,IF(OR(72=$HA38,72=$HD38,72=$HG38),200000,MIN(IF($HA38=0,999999,IF(3=$HB38,IF(72=$HJ38,IF($JC38=2,30,0),IF(72=$HK38,IF($JC38=1,30,0),ABS(24-$HC38)*100)),100000+ABS(3-$HB38)*1000+240)),IF($HD38=0,999999,IF(3=$HE38,IF(72=$HL38,IF($JD38=2,30,0),IF(72=$HM38,IF($JD38=1,30,0),ABS(24-$HF38)*100)),100000+ABS(3-$HE38)*1000+240)),IF($HG38=0,999999,IF(3=$HH38,IF(72=$HN38,IF($JE38=2,30,0),IF(72=$HO38,IF($JE38=1,30,0),ABS(24-$HI38)*100)),100000+ABS(3-$HH38)*1000+240)))-IF((72=$HJ38)+(72=$HK38)+(72=$HL38)+(72=$HM38)+(72=$HN38)+(72=$HO38)&gt;=2,50,0))+BW$5*50)</f>
        <v/>
      </c>
      <c r="BX158">
        <f>IF(OR($JF38=0,calcA!$A$6=0),0,IF(OR(73=$HA38,73=$HD38,73=$HG38),200000,MIN(IF($HA38=0,999999,IF(4=$HB38,IF(73=$HJ38,IF($JC38=2,30,0),IF(73=$HK38,IF($JC38=1,30,0),ABS(1-$HC38)*100)),100000+ABS(4-$HB38)*1000+10)),IF($HD38=0,999999,IF(4=$HE38,IF(73=$HL38,IF($JD38=2,30,0),IF(73=$HM38,IF($JD38=1,30,0),ABS(1-$HF38)*100)),100000+ABS(4-$HE38)*1000+10)),IF($HG38=0,999999,IF(4=$HH38,IF(73=$HN38,IF($JE38=2,30,0),IF(73=$HO38,IF($JE38=1,30,0),ABS(1-$HI38)*100)),100000+ABS(4-$HH38)*1000+10)))-IF((73=$HJ38)+(73=$HK38)+(73=$HL38)+(73=$HM38)+(73=$HN38)+(73=$HO38)&gt;=2,50,0))+BX$5*50)</f>
        <v/>
      </c>
      <c r="BY158">
        <f>IF(OR($JF38=0,calcA!$A$6=0),0,IF(OR(74=$HA38,74=$HD38,74=$HG38),200000,MIN(IF($HA38=0,999999,IF(4=$HB38,IF(74=$HJ38,IF($JC38=2,30,0),IF(74=$HK38,IF($JC38=1,30,0),ABS(2-$HC38)*100)),100000+ABS(4-$HB38)*1000+20)),IF($HD38=0,999999,IF(4=$HE38,IF(74=$HL38,IF($JD38=2,30,0),IF(74=$HM38,IF($JD38=1,30,0),ABS(2-$HF38)*100)),100000+ABS(4-$HE38)*1000+20)),IF($HG38=0,999999,IF(4=$HH38,IF(74=$HN38,IF($JE38=2,30,0),IF(74=$HO38,IF($JE38=1,30,0),ABS(2-$HI38)*100)),100000+ABS(4-$HH38)*1000+20)))-IF((74=$HJ38)+(74=$HK38)+(74=$HL38)+(74=$HM38)+(74=$HN38)+(74=$HO38)&gt;=2,50,0))+BY$5*50)</f>
        <v/>
      </c>
      <c r="BZ158">
        <f>IF(OR($JF38=0,calcA!$A$6=0),0,IF(OR(75=$HA38,75=$HD38,75=$HG38),200000,MIN(IF($HA38=0,999999,IF(4=$HB38,IF(75=$HJ38,IF($JC38=2,30,0),IF(75=$HK38,IF($JC38=1,30,0),ABS(3-$HC38)*100)),100000+ABS(4-$HB38)*1000+30)),IF($HD38=0,999999,IF(4=$HE38,IF(75=$HL38,IF($JD38=2,30,0),IF(75=$HM38,IF($JD38=1,30,0),ABS(3-$HF38)*100)),100000+ABS(4-$HE38)*1000+30)),IF($HG38=0,999999,IF(4=$HH38,IF(75=$HN38,IF($JE38=2,30,0),IF(75=$HO38,IF($JE38=1,30,0),ABS(3-$HI38)*100)),100000+ABS(4-$HH38)*1000+30)))-IF((75=$HJ38)+(75=$HK38)+(75=$HL38)+(75=$HM38)+(75=$HN38)+(75=$HO38)&gt;=2,50,0))+BZ$5*50)</f>
        <v/>
      </c>
      <c r="CA158">
        <f>IF(OR($JF38=0,calcA!$A$6=0),0,IF(OR(76=$HA38,76=$HD38,76=$HG38),200000,MIN(IF($HA38=0,999999,IF(4=$HB38,IF(76=$HJ38,IF($JC38=2,30,0),IF(76=$HK38,IF($JC38=1,30,0),ABS(4-$HC38)*100)),100000+ABS(4-$HB38)*1000+40)),IF($HD38=0,999999,IF(4=$HE38,IF(76=$HL38,IF($JD38=2,30,0),IF(76=$HM38,IF($JD38=1,30,0),ABS(4-$HF38)*100)),100000+ABS(4-$HE38)*1000+40)),IF($HG38=0,999999,IF(4=$HH38,IF(76=$HN38,IF($JE38=2,30,0),IF(76=$HO38,IF($JE38=1,30,0),ABS(4-$HI38)*100)),100000+ABS(4-$HH38)*1000+40)))-IF((76=$HJ38)+(76=$HK38)+(76=$HL38)+(76=$HM38)+(76=$HN38)+(76=$HO38)&gt;=2,50,0))+CA$5*50)</f>
        <v/>
      </c>
      <c r="CB158">
        <f>IF(OR($JF38=0,calcA!$A$6=0),0,IF(OR(77=$HA38,77=$HD38,77=$HG38),200000,MIN(IF($HA38=0,999999,IF(4=$HB38,IF(77=$HJ38,IF($JC38=2,30,0),IF(77=$HK38,IF($JC38=1,30,0),ABS(5-$HC38)*100)),100000+ABS(4-$HB38)*1000+50)),IF($HD38=0,999999,IF(4=$HE38,IF(77=$HL38,IF($JD38=2,30,0),IF(77=$HM38,IF($JD38=1,30,0),ABS(5-$HF38)*100)),100000+ABS(4-$HE38)*1000+50)),IF($HG38=0,999999,IF(4=$HH38,IF(77=$HN38,IF($JE38=2,30,0),IF(77=$HO38,IF($JE38=1,30,0),ABS(5-$HI38)*100)),100000+ABS(4-$HH38)*1000+50)))-IF((77=$HJ38)+(77=$HK38)+(77=$HL38)+(77=$HM38)+(77=$HN38)+(77=$HO38)&gt;=2,50,0))+CB$5*50)</f>
        <v/>
      </c>
      <c r="CC158">
        <f>IF(OR($JF38=0,calcA!$A$6=0),0,IF(OR(78=$HA38,78=$HD38,78=$HG38),200000,MIN(IF($HA38=0,999999,IF(4=$HB38,IF(78=$HJ38,IF($JC38=2,30,0),IF(78=$HK38,IF($JC38=1,30,0),ABS(6-$HC38)*100)),100000+ABS(4-$HB38)*1000+60)),IF($HD38=0,999999,IF(4=$HE38,IF(78=$HL38,IF($JD38=2,30,0),IF(78=$HM38,IF($JD38=1,30,0),ABS(6-$HF38)*100)),100000+ABS(4-$HE38)*1000+60)),IF($HG38=0,999999,IF(4=$HH38,IF(78=$HN38,IF($JE38=2,30,0),IF(78=$HO38,IF($JE38=1,30,0),ABS(6-$HI38)*100)),100000+ABS(4-$HH38)*1000+60)))-IF((78=$HJ38)+(78=$HK38)+(78=$HL38)+(78=$HM38)+(78=$HN38)+(78=$HO38)&gt;=2,50,0))+CC$5*50)</f>
        <v/>
      </c>
      <c r="CD158">
        <f>IF(OR($JF38=0,calcA!$A$6=0),0,IF(OR(79=$HA38,79=$HD38,79=$HG38),200000,MIN(IF($HA38=0,999999,IF(4=$HB38,IF(79=$HJ38,IF($JC38=2,30,0),IF(79=$HK38,IF($JC38=1,30,0),ABS(7-$HC38)*100)),100000+ABS(4-$HB38)*1000+70)),IF($HD38=0,999999,IF(4=$HE38,IF(79=$HL38,IF($JD38=2,30,0),IF(79=$HM38,IF($JD38=1,30,0),ABS(7-$HF38)*100)),100000+ABS(4-$HE38)*1000+70)),IF($HG38=0,999999,IF(4=$HH38,IF(79=$HN38,IF($JE38=2,30,0),IF(79=$HO38,IF($JE38=1,30,0),ABS(7-$HI38)*100)),100000+ABS(4-$HH38)*1000+70)))-IF((79=$HJ38)+(79=$HK38)+(79=$HL38)+(79=$HM38)+(79=$HN38)+(79=$HO38)&gt;=2,50,0))+CD$5*50)</f>
        <v/>
      </c>
      <c r="CE158">
        <f>IF(OR($JF38=0,calcA!$A$6=0),0,IF(OR(80=$HA38,80=$HD38,80=$HG38),200000,MIN(IF($HA38=0,999999,IF(4=$HB38,IF(80=$HJ38,IF($JC38=2,30,0),IF(80=$HK38,IF($JC38=1,30,0),ABS(8-$HC38)*100)),100000+ABS(4-$HB38)*1000+80)),IF($HD38=0,999999,IF(4=$HE38,IF(80=$HL38,IF($JD38=2,30,0),IF(80=$HM38,IF($JD38=1,30,0),ABS(8-$HF38)*100)),100000+ABS(4-$HE38)*1000+80)),IF($HG38=0,999999,IF(4=$HH38,IF(80=$HN38,IF($JE38=2,30,0),IF(80=$HO38,IF($JE38=1,30,0),ABS(8-$HI38)*100)),100000+ABS(4-$HH38)*1000+80)))-IF((80=$HJ38)+(80=$HK38)+(80=$HL38)+(80=$HM38)+(80=$HN38)+(80=$HO38)&gt;=2,50,0))+CE$5*50)</f>
        <v/>
      </c>
      <c r="CF158">
        <f>IF(OR($JF38=0,calcA!$A$6=0),0,IF(OR(81=$HA38,81=$HD38,81=$HG38),200000,MIN(IF($HA38=0,999999,IF(4=$HB38,IF(81=$HJ38,IF($JC38=2,30,0),IF(81=$HK38,IF($JC38=1,30,0),ABS(9-$HC38)*100)),100000+ABS(4-$HB38)*1000+90)),IF($HD38=0,999999,IF(4=$HE38,IF(81=$HL38,IF($JD38=2,30,0),IF(81=$HM38,IF($JD38=1,30,0),ABS(9-$HF38)*100)),100000+ABS(4-$HE38)*1000+90)),IF($HG38=0,999999,IF(4=$HH38,IF(81=$HN38,IF($JE38=2,30,0),IF(81=$HO38,IF($JE38=1,30,0),ABS(9-$HI38)*100)),100000+ABS(4-$HH38)*1000+90)))-IF((81=$HJ38)+(81=$HK38)+(81=$HL38)+(81=$HM38)+(81=$HN38)+(81=$HO38)&gt;=2,50,0))+CF$5*50)</f>
        <v/>
      </c>
      <c r="CG158">
        <f>IF(OR($JF38=0,calcA!$A$6=0),0,IF(OR(82=$HA38,82=$HD38,82=$HG38),200000,MIN(IF($HA38=0,999999,IF(4=$HB38,IF(82=$HJ38,IF($JC38=2,30,0),IF(82=$HK38,IF($JC38=1,30,0),ABS(10-$HC38)*100)),100000+ABS(4-$HB38)*1000+100)),IF($HD38=0,999999,IF(4=$HE38,IF(82=$HL38,IF($JD38=2,30,0),IF(82=$HM38,IF($JD38=1,30,0),ABS(10-$HF38)*100)),100000+ABS(4-$HE38)*1000+100)),IF($HG38=0,999999,IF(4=$HH38,IF(82=$HN38,IF($JE38=2,30,0),IF(82=$HO38,IF($JE38=1,30,0),ABS(10-$HI38)*100)),100000+ABS(4-$HH38)*1000+100)))-IF((82=$HJ38)+(82=$HK38)+(82=$HL38)+(82=$HM38)+(82=$HN38)+(82=$HO38)&gt;=2,50,0))+CG$5*50)</f>
        <v/>
      </c>
      <c r="CH158">
        <f>IF(OR($JF38=0,calcA!$A$6=0),0,IF(OR(83=$HA38,83=$HD38,83=$HG38),200000,MIN(IF($HA38=0,999999,IF(4=$HB38,IF(83=$HJ38,IF($JC38=2,30,0),IF(83=$HK38,IF($JC38=1,30,0),ABS(11-$HC38)*100)),100000+ABS(4-$HB38)*1000+110)),IF($HD38=0,999999,IF(4=$HE38,IF(83=$HL38,IF($JD38=2,30,0),IF(83=$HM38,IF($JD38=1,30,0),ABS(11-$HF38)*100)),100000+ABS(4-$HE38)*1000+110)),IF($HG38=0,999999,IF(4=$HH38,IF(83=$HN38,IF($JE38=2,30,0),IF(83=$HO38,IF($JE38=1,30,0),ABS(11-$HI38)*100)),100000+ABS(4-$HH38)*1000+110)))-IF((83=$HJ38)+(83=$HK38)+(83=$HL38)+(83=$HM38)+(83=$HN38)+(83=$HO38)&gt;=2,50,0))+CH$5*50)</f>
        <v/>
      </c>
      <c r="CI158">
        <f>IF(OR($JF38=0,calcA!$A$6=0),0,IF(OR(84=$HA38,84=$HD38,84=$HG38),200000,MIN(IF($HA38=0,999999,IF(4=$HB38,IF(84=$HJ38,IF($JC38=2,30,0),IF(84=$HK38,IF($JC38=1,30,0),ABS(12-$HC38)*100)),100000+ABS(4-$HB38)*1000+120)),IF($HD38=0,999999,IF(4=$HE38,IF(84=$HL38,IF($JD38=2,30,0),IF(84=$HM38,IF($JD38=1,30,0),ABS(12-$HF38)*100)),100000+ABS(4-$HE38)*1000+120)),IF($HG38=0,999999,IF(4=$HH38,IF(84=$HN38,IF($JE38=2,30,0),IF(84=$HO38,IF($JE38=1,30,0),ABS(12-$HI38)*100)),100000+ABS(4-$HH38)*1000+120)))-IF((84=$HJ38)+(84=$HK38)+(84=$HL38)+(84=$HM38)+(84=$HN38)+(84=$HO38)&gt;=2,50,0))+CI$5*50)</f>
        <v/>
      </c>
      <c r="CJ158">
        <f>IF(OR($JF38=0,calcA!$A$6=0),0,IF(OR(85=$HA38,85=$HD38,85=$HG38),200000,MIN(IF($HA38=0,999999,IF(4=$HB38,IF(85=$HJ38,IF($JC38=2,30,0),IF(85=$HK38,IF($JC38=1,30,0),ABS(13-$HC38)*100)),100000+ABS(4-$HB38)*1000+130)),IF($HD38=0,999999,IF(4=$HE38,IF(85=$HL38,IF($JD38=2,30,0),IF(85=$HM38,IF($JD38=1,30,0),ABS(13-$HF38)*100)),100000+ABS(4-$HE38)*1000+130)),IF($HG38=0,999999,IF(4=$HH38,IF(85=$HN38,IF($JE38=2,30,0),IF(85=$HO38,IF($JE38=1,30,0),ABS(13-$HI38)*100)),100000+ABS(4-$HH38)*1000+130)))-IF((85=$HJ38)+(85=$HK38)+(85=$HL38)+(85=$HM38)+(85=$HN38)+(85=$HO38)&gt;=2,50,0))+CJ$5*50)</f>
        <v/>
      </c>
      <c r="CK158">
        <f>IF(OR($JF38=0,calcA!$A$6=0),0,IF(OR(86=$HA38,86=$HD38,86=$HG38),200000,MIN(IF($HA38=0,999999,IF(4=$HB38,IF(86=$HJ38,IF($JC38=2,30,0),IF(86=$HK38,IF($JC38=1,30,0),ABS(14-$HC38)*100)),100000+ABS(4-$HB38)*1000+140)),IF($HD38=0,999999,IF(4=$HE38,IF(86=$HL38,IF($JD38=2,30,0),IF(86=$HM38,IF($JD38=1,30,0),ABS(14-$HF38)*100)),100000+ABS(4-$HE38)*1000+140)),IF($HG38=0,999999,IF(4=$HH38,IF(86=$HN38,IF($JE38=2,30,0),IF(86=$HO38,IF($JE38=1,30,0),ABS(14-$HI38)*100)),100000+ABS(4-$HH38)*1000+140)))-IF((86=$HJ38)+(86=$HK38)+(86=$HL38)+(86=$HM38)+(86=$HN38)+(86=$HO38)&gt;=2,50,0))+CK$5*50)</f>
        <v/>
      </c>
      <c r="CL158">
        <f>IF(OR($JF38=0,calcA!$A$6=0),0,IF(OR(87=$HA38,87=$HD38,87=$HG38),200000,MIN(IF($HA38=0,999999,IF(4=$HB38,IF(87=$HJ38,IF($JC38=2,30,0),IF(87=$HK38,IF($JC38=1,30,0),ABS(15-$HC38)*100)),100000+ABS(4-$HB38)*1000+150)),IF($HD38=0,999999,IF(4=$HE38,IF(87=$HL38,IF($JD38=2,30,0),IF(87=$HM38,IF($JD38=1,30,0),ABS(15-$HF38)*100)),100000+ABS(4-$HE38)*1000+150)),IF($HG38=0,999999,IF(4=$HH38,IF(87=$HN38,IF($JE38=2,30,0),IF(87=$HO38,IF($JE38=1,30,0),ABS(15-$HI38)*100)),100000+ABS(4-$HH38)*1000+150)))-IF((87=$HJ38)+(87=$HK38)+(87=$HL38)+(87=$HM38)+(87=$HN38)+(87=$HO38)&gt;=2,50,0))+CL$5*50)</f>
        <v/>
      </c>
      <c r="CM158">
        <f>IF(OR($JF38=0,calcA!$A$6=0),0,IF(OR(88=$HA38,88=$HD38,88=$HG38),200000,MIN(IF($HA38=0,999999,IF(4=$HB38,IF(88=$HJ38,IF($JC38=2,30,0),IF(88=$HK38,IF($JC38=1,30,0),ABS(16-$HC38)*100)),100000+ABS(4-$HB38)*1000+160)),IF($HD38=0,999999,IF(4=$HE38,IF(88=$HL38,IF($JD38=2,30,0),IF(88=$HM38,IF($JD38=1,30,0),ABS(16-$HF38)*100)),100000+ABS(4-$HE38)*1000+160)),IF($HG38=0,999999,IF(4=$HH38,IF(88=$HN38,IF($JE38=2,30,0),IF(88=$HO38,IF($JE38=1,30,0),ABS(16-$HI38)*100)),100000+ABS(4-$HH38)*1000+160)))-IF((88=$HJ38)+(88=$HK38)+(88=$HL38)+(88=$HM38)+(88=$HN38)+(88=$HO38)&gt;=2,50,0))+CM$5*50)</f>
        <v/>
      </c>
      <c r="CN158">
        <f>IF(OR($JF38=0,calcA!$A$6=0),0,IF(OR(89=$HA38,89=$HD38,89=$HG38),200000,MIN(IF($HA38=0,999999,IF(4=$HB38,IF(89=$HJ38,IF($JC38=2,30,0),IF(89=$HK38,IF($JC38=1,30,0),ABS(17-$HC38)*100)),100000+ABS(4-$HB38)*1000+170)),IF($HD38=0,999999,IF(4=$HE38,IF(89=$HL38,IF($JD38=2,30,0),IF(89=$HM38,IF($JD38=1,30,0),ABS(17-$HF38)*100)),100000+ABS(4-$HE38)*1000+170)),IF($HG38=0,999999,IF(4=$HH38,IF(89=$HN38,IF($JE38=2,30,0),IF(89=$HO38,IF($JE38=1,30,0),ABS(17-$HI38)*100)),100000+ABS(4-$HH38)*1000+170)))-IF((89=$HJ38)+(89=$HK38)+(89=$HL38)+(89=$HM38)+(89=$HN38)+(89=$HO38)&gt;=2,50,0))+CN$5*50)</f>
        <v/>
      </c>
      <c r="CO158">
        <f>IF(OR($JF38=0,calcA!$A$6=0),0,IF(OR(90=$HA38,90=$HD38,90=$HG38),200000,MIN(IF($HA38=0,999999,IF(4=$HB38,IF(90=$HJ38,IF($JC38=2,30,0),IF(90=$HK38,IF($JC38=1,30,0),ABS(18-$HC38)*100)),100000+ABS(4-$HB38)*1000+180)),IF($HD38=0,999999,IF(4=$HE38,IF(90=$HL38,IF($JD38=2,30,0),IF(90=$HM38,IF($JD38=1,30,0),ABS(18-$HF38)*100)),100000+ABS(4-$HE38)*1000+180)),IF($HG38=0,999999,IF(4=$HH38,IF(90=$HN38,IF($JE38=2,30,0),IF(90=$HO38,IF($JE38=1,30,0),ABS(18-$HI38)*100)),100000+ABS(4-$HH38)*1000+180)))-IF((90=$HJ38)+(90=$HK38)+(90=$HL38)+(90=$HM38)+(90=$HN38)+(90=$HO38)&gt;=2,50,0))+CO$5*50)</f>
        <v/>
      </c>
      <c r="CP158">
        <f>IF(OR($JF38=0,calcA!$A$6=0),0,IF(OR(91=$HA38,91=$HD38,91=$HG38),200000,MIN(IF($HA38=0,999999,IF(4=$HB38,IF(91=$HJ38,IF($JC38=2,30,0),IF(91=$HK38,IF($JC38=1,30,0),ABS(19-$HC38)*100)),100000+ABS(4-$HB38)*1000+190)),IF($HD38=0,999999,IF(4=$HE38,IF(91=$HL38,IF($JD38=2,30,0),IF(91=$HM38,IF($JD38=1,30,0),ABS(19-$HF38)*100)),100000+ABS(4-$HE38)*1000+190)),IF($HG38=0,999999,IF(4=$HH38,IF(91=$HN38,IF($JE38=2,30,0),IF(91=$HO38,IF($JE38=1,30,0),ABS(19-$HI38)*100)),100000+ABS(4-$HH38)*1000+190)))-IF((91=$HJ38)+(91=$HK38)+(91=$HL38)+(91=$HM38)+(91=$HN38)+(91=$HO38)&gt;=2,50,0))+CP$5*50)</f>
        <v/>
      </c>
      <c r="CQ158">
        <f>IF(OR($JF38=0,calcA!$A$6=0),0,IF(OR(92=$HA38,92=$HD38,92=$HG38),200000,MIN(IF($HA38=0,999999,IF(4=$HB38,IF(92=$HJ38,IF($JC38=2,30,0),IF(92=$HK38,IF($JC38=1,30,0),ABS(20-$HC38)*100)),100000+ABS(4-$HB38)*1000+200)),IF($HD38=0,999999,IF(4=$HE38,IF(92=$HL38,IF($JD38=2,30,0),IF(92=$HM38,IF($JD38=1,30,0),ABS(20-$HF38)*100)),100000+ABS(4-$HE38)*1000+200)),IF($HG38=0,999999,IF(4=$HH38,IF(92=$HN38,IF($JE38=2,30,0),IF(92=$HO38,IF($JE38=1,30,0),ABS(20-$HI38)*100)),100000+ABS(4-$HH38)*1000+200)))-IF((92=$HJ38)+(92=$HK38)+(92=$HL38)+(92=$HM38)+(92=$HN38)+(92=$HO38)&gt;=2,50,0))+CQ$5*50)</f>
        <v/>
      </c>
      <c r="CR158">
        <f>IF(OR($JF38=0,calcA!$A$6=0),0,IF(OR(93=$HA38,93=$HD38,93=$HG38),200000,MIN(IF($HA38=0,999999,IF(4=$HB38,IF(93=$HJ38,IF($JC38=2,30,0),IF(93=$HK38,IF($JC38=1,30,0),ABS(21-$HC38)*100)),100000+ABS(4-$HB38)*1000+210)),IF($HD38=0,999999,IF(4=$HE38,IF(93=$HL38,IF($JD38=2,30,0),IF(93=$HM38,IF($JD38=1,30,0),ABS(21-$HF38)*100)),100000+ABS(4-$HE38)*1000+210)),IF($HG38=0,999999,IF(4=$HH38,IF(93=$HN38,IF($JE38=2,30,0),IF(93=$HO38,IF($JE38=1,30,0),ABS(21-$HI38)*100)),100000+ABS(4-$HH38)*1000+210)))-IF((93=$HJ38)+(93=$HK38)+(93=$HL38)+(93=$HM38)+(93=$HN38)+(93=$HO38)&gt;=2,50,0))+CR$5*50)</f>
        <v/>
      </c>
      <c r="CS158">
        <f>IF(OR($JF38=0,calcA!$A$6=0),0,IF(OR(94=$HA38,94=$HD38,94=$HG38),200000,MIN(IF($HA38=0,999999,IF(4=$HB38,IF(94=$HJ38,IF($JC38=2,30,0),IF(94=$HK38,IF($JC38=1,30,0),ABS(22-$HC38)*100)),100000+ABS(4-$HB38)*1000+220)),IF($HD38=0,999999,IF(4=$HE38,IF(94=$HL38,IF($JD38=2,30,0),IF(94=$HM38,IF($JD38=1,30,0),ABS(22-$HF38)*100)),100000+ABS(4-$HE38)*1000+220)),IF($HG38=0,999999,IF(4=$HH38,IF(94=$HN38,IF($JE38=2,30,0),IF(94=$HO38,IF($JE38=1,30,0),ABS(22-$HI38)*100)),100000+ABS(4-$HH38)*1000+220)))-IF((94=$HJ38)+(94=$HK38)+(94=$HL38)+(94=$HM38)+(94=$HN38)+(94=$HO38)&gt;=2,50,0))+CS$5*50)</f>
        <v/>
      </c>
      <c r="CT158">
        <f>IF(OR($JF38=0,calcA!$A$6=0),0,IF(OR(95=$HA38,95=$HD38,95=$HG38),200000,MIN(IF($HA38=0,999999,IF(4=$HB38,IF(95=$HJ38,IF($JC38=2,30,0),IF(95=$HK38,IF($JC38=1,30,0),ABS(23-$HC38)*100)),100000+ABS(4-$HB38)*1000+230)),IF($HD38=0,999999,IF(4=$HE38,IF(95=$HL38,IF($JD38=2,30,0),IF(95=$HM38,IF($JD38=1,30,0),ABS(23-$HF38)*100)),100000+ABS(4-$HE38)*1000+230)),IF($HG38=0,999999,IF(4=$HH38,IF(95=$HN38,IF($JE38=2,30,0),IF(95=$HO38,IF($JE38=1,30,0),ABS(23-$HI38)*100)),100000+ABS(4-$HH38)*1000+230)))-IF((95=$HJ38)+(95=$HK38)+(95=$HL38)+(95=$HM38)+(95=$HN38)+(95=$HO38)&gt;=2,50,0))+CT$5*50)</f>
        <v/>
      </c>
      <c r="CU158">
        <f>IF(OR($JF38=0,calcA!$A$6=0),0,IF(OR(96=$HA38,96=$HD38,96=$HG38),200000,MIN(IF($HA38=0,999999,IF(4=$HB38,IF(96=$HJ38,IF($JC38=2,30,0),IF(96=$HK38,IF($JC38=1,30,0),ABS(24-$HC38)*100)),100000+ABS(4-$HB38)*1000+240)),IF($HD38=0,999999,IF(4=$HE38,IF(96=$HL38,IF($JD38=2,30,0),IF(96=$HM38,IF($JD38=1,30,0),ABS(24-$HF38)*100)),100000+ABS(4-$HE38)*1000+240)),IF($HG38=0,999999,IF(4=$HH38,IF(96=$HN38,IF($JE38=2,30,0),IF(96=$HO38,IF($JE38=1,30,0),ABS(24-$HI38)*100)),100000+ABS(4-$HH38)*1000+240)))-IF((96=$HJ38)+(96=$HK38)+(96=$HL38)+(96=$HM38)+(96=$HN38)+(96=$HO38)&gt;=2,50,0))+CU$5*50)</f>
        <v/>
      </c>
      <c r="CV158">
        <f>IF(OR($JF38=0,calcA!$A$6=0),0,IF(OR(97=$HA38,97=$HD38,97=$HG38),200000,MIN(IF($HA38=0,999999,IF(5=$HB38,IF(97=$HJ38,IF($JC38=2,30,0),IF(97=$HK38,IF($JC38=1,30,0),ABS(1-$HC38)*100)),100000+ABS(5-$HB38)*1000+10)),IF($HD38=0,999999,IF(5=$HE38,IF(97=$HL38,IF($JD38=2,30,0),IF(97=$HM38,IF($JD38=1,30,0),ABS(1-$HF38)*100)),100000+ABS(5-$HE38)*1000+10)),IF($HG38=0,999999,IF(5=$HH38,IF(97=$HN38,IF($JE38=2,30,0),IF(97=$HO38,IF($JE38=1,30,0),ABS(1-$HI38)*100)),100000+ABS(5-$HH38)*1000+10)))-IF((97=$HJ38)+(97=$HK38)+(97=$HL38)+(97=$HM38)+(97=$HN38)+(97=$HO38)&gt;=2,50,0))+CV$5*50)</f>
        <v/>
      </c>
      <c r="CW158">
        <f>IF(OR($JF38=0,calcA!$A$6=0),0,IF(OR(98=$HA38,98=$HD38,98=$HG38),200000,MIN(IF($HA38=0,999999,IF(5=$HB38,IF(98=$HJ38,IF($JC38=2,30,0),IF(98=$HK38,IF($JC38=1,30,0),ABS(2-$HC38)*100)),100000+ABS(5-$HB38)*1000+20)),IF($HD38=0,999999,IF(5=$HE38,IF(98=$HL38,IF($JD38=2,30,0),IF(98=$HM38,IF($JD38=1,30,0),ABS(2-$HF38)*100)),100000+ABS(5-$HE38)*1000+20)),IF($HG38=0,999999,IF(5=$HH38,IF(98=$HN38,IF($JE38=2,30,0),IF(98=$HO38,IF($JE38=1,30,0),ABS(2-$HI38)*100)),100000+ABS(5-$HH38)*1000+20)))-IF((98=$HJ38)+(98=$HK38)+(98=$HL38)+(98=$HM38)+(98=$HN38)+(98=$HO38)&gt;=2,50,0))+CW$5*50)</f>
        <v/>
      </c>
      <c r="CX158">
        <f>IF(OR($JF38=0,calcA!$A$6=0),0,IF(OR(99=$HA38,99=$HD38,99=$HG38),200000,MIN(IF($HA38=0,999999,IF(5=$HB38,IF(99=$HJ38,IF($JC38=2,30,0),IF(99=$HK38,IF($JC38=1,30,0),ABS(3-$HC38)*100)),100000+ABS(5-$HB38)*1000+30)),IF($HD38=0,999999,IF(5=$HE38,IF(99=$HL38,IF($JD38=2,30,0),IF(99=$HM38,IF($JD38=1,30,0),ABS(3-$HF38)*100)),100000+ABS(5-$HE38)*1000+30)),IF($HG38=0,999999,IF(5=$HH38,IF(99=$HN38,IF($JE38=2,30,0),IF(99=$HO38,IF($JE38=1,30,0),ABS(3-$HI38)*100)),100000+ABS(5-$HH38)*1000+30)))-IF((99=$HJ38)+(99=$HK38)+(99=$HL38)+(99=$HM38)+(99=$HN38)+(99=$HO38)&gt;=2,50,0))+CX$5*50)</f>
        <v/>
      </c>
      <c r="CY158">
        <f>IF(OR($JF38=0,calcA!$A$6=0),0,IF(OR(100=$HA38,100=$HD38,100=$HG38),200000,MIN(IF($HA38=0,999999,IF(5=$HB38,IF(100=$HJ38,IF($JC38=2,30,0),IF(100=$HK38,IF($JC38=1,30,0),ABS(4-$HC38)*100)),100000+ABS(5-$HB38)*1000+40)),IF($HD38=0,999999,IF(5=$HE38,IF(100=$HL38,IF($JD38=2,30,0),IF(100=$HM38,IF($JD38=1,30,0),ABS(4-$HF38)*100)),100000+ABS(5-$HE38)*1000+40)),IF($HG38=0,999999,IF(5=$HH38,IF(100=$HN38,IF($JE38=2,30,0),IF(100=$HO38,IF($JE38=1,30,0),ABS(4-$HI38)*100)),100000+ABS(5-$HH38)*1000+40)))-IF((100=$HJ38)+(100=$HK38)+(100=$HL38)+(100=$HM38)+(100=$HN38)+(100=$HO38)&gt;=2,50,0))+CY$5*50)</f>
        <v/>
      </c>
      <c r="CZ158">
        <f>IF(OR($JF38=0,calcA!$A$6=0),0,IF(OR(101=$HA38,101=$HD38,101=$HG38),200000,MIN(IF($HA38=0,999999,IF(5=$HB38,IF(101=$HJ38,IF($JC38=2,30,0),IF(101=$HK38,IF($JC38=1,30,0),ABS(5-$HC38)*100)),100000+ABS(5-$HB38)*1000+50)),IF($HD38=0,999999,IF(5=$HE38,IF(101=$HL38,IF($JD38=2,30,0),IF(101=$HM38,IF($JD38=1,30,0),ABS(5-$HF38)*100)),100000+ABS(5-$HE38)*1000+50)),IF($HG38=0,999999,IF(5=$HH38,IF(101=$HN38,IF($JE38=2,30,0),IF(101=$HO38,IF($JE38=1,30,0),ABS(5-$HI38)*100)),100000+ABS(5-$HH38)*1000+50)))-IF((101=$HJ38)+(101=$HK38)+(101=$HL38)+(101=$HM38)+(101=$HN38)+(101=$HO38)&gt;=2,50,0))+CZ$5*50)</f>
        <v/>
      </c>
      <c r="DA158">
        <f>IF(OR($JF38=0,calcA!$A$6=0),0,IF(OR(102=$HA38,102=$HD38,102=$HG38),200000,MIN(IF($HA38=0,999999,IF(5=$HB38,IF(102=$HJ38,IF($JC38=2,30,0),IF(102=$HK38,IF($JC38=1,30,0),ABS(6-$HC38)*100)),100000+ABS(5-$HB38)*1000+60)),IF($HD38=0,999999,IF(5=$HE38,IF(102=$HL38,IF($JD38=2,30,0),IF(102=$HM38,IF($JD38=1,30,0),ABS(6-$HF38)*100)),100000+ABS(5-$HE38)*1000+60)),IF($HG38=0,999999,IF(5=$HH38,IF(102=$HN38,IF($JE38=2,30,0),IF(102=$HO38,IF($JE38=1,30,0),ABS(6-$HI38)*100)),100000+ABS(5-$HH38)*1000+60)))-IF((102=$HJ38)+(102=$HK38)+(102=$HL38)+(102=$HM38)+(102=$HN38)+(102=$HO38)&gt;=2,50,0))+DA$5*50)</f>
        <v/>
      </c>
      <c r="DB158">
        <f>IF(OR($JF38=0,calcA!$A$6=0),0,IF(OR(103=$HA38,103=$HD38,103=$HG38),200000,MIN(IF($HA38=0,999999,IF(5=$HB38,IF(103=$HJ38,IF($JC38=2,30,0),IF(103=$HK38,IF($JC38=1,30,0),ABS(7-$HC38)*100)),100000+ABS(5-$HB38)*1000+70)),IF($HD38=0,999999,IF(5=$HE38,IF(103=$HL38,IF($JD38=2,30,0),IF(103=$HM38,IF($JD38=1,30,0),ABS(7-$HF38)*100)),100000+ABS(5-$HE38)*1000+70)),IF($HG38=0,999999,IF(5=$HH38,IF(103=$HN38,IF($JE38=2,30,0),IF(103=$HO38,IF($JE38=1,30,0),ABS(7-$HI38)*100)),100000+ABS(5-$HH38)*1000+70)))-IF((103=$HJ38)+(103=$HK38)+(103=$HL38)+(103=$HM38)+(103=$HN38)+(103=$HO38)&gt;=2,50,0))+DB$5*50)</f>
        <v/>
      </c>
      <c r="DC158">
        <f>IF(OR($JF38=0,calcA!$A$6=0),0,IF(OR(104=$HA38,104=$HD38,104=$HG38),200000,MIN(IF($HA38=0,999999,IF(5=$HB38,IF(104=$HJ38,IF($JC38=2,30,0),IF(104=$HK38,IF($JC38=1,30,0),ABS(8-$HC38)*100)),100000+ABS(5-$HB38)*1000+80)),IF($HD38=0,999999,IF(5=$HE38,IF(104=$HL38,IF($JD38=2,30,0),IF(104=$HM38,IF($JD38=1,30,0),ABS(8-$HF38)*100)),100000+ABS(5-$HE38)*1000+80)),IF($HG38=0,999999,IF(5=$HH38,IF(104=$HN38,IF($JE38=2,30,0),IF(104=$HO38,IF($JE38=1,30,0),ABS(8-$HI38)*100)),100000+ABS(5-$HH38)*1000+80)))-IF((104=$HJ38)+(104=$HK38)+(104=$HL38)+(104=$HM38)+(104=$HN38)+(104=$HO38)&gt;=2,50,0))+DC$5*50)</f>
        <v/>
      </c>
      <c r="DD158">
        <f>IF(OR($JF38=0,calcA!$A$6=0),0,IF(OR(105=$HA38,105=$HD38,105=$HG38),200000,MIN(IF($HA38=0,999999,IF(5=$HB38,IF(105=$HJ38,IF($JC38=2,30,0),IF(105=$HK38,IF($JC38=1,30,0),ABS(9-$HC38)*100)),100000+ABS(5-$HB38)*1000+90)),IF($HD38=0,999999,IF(5=$HE38,IF(105=$HL38,IF($JD38=2,30,0),IF(105=$HM38,IF($JD38=1,30,0),ABS(9-$HF38)*100)),100000+ABS(5-$HE38)*1000+90)),IF($HG38=0,999999,IF(5=$HH38,IF(105=$HN38,IF($JE38=2,30,0),IF(105=$HO38,IF($JE38=1,30,0),ABS(9-$HI38)*100)),100000+ABS(5-$HH38)*1000+90)))-IF((105=$HJ38)+(105=$HK38)+(105=$HL38)+(105=$HM38)+(105=$HN38)+(105=$HO38)&gt;=2,50,0))+DD$5*50)</f>
        <v/>
      </c>
      <c r="DE158">
        <f>IF(OR($JF38=0,calcA!$A$6=0),0,IF(OR(106=$HA38,106=$HD38,106=$HG38),200000,MIN(IF($HA38=0,999999,IF(5=$HB38,IF(106=$HJ38,IF($JC38=2,30,0),IF(106=$HK38,IF($JC38=1,30,0),ABS(10-$HC38)*100)),100000+ABS(5-$HB38)*1000+100)),IF($HD38=0,999999,IF(5=$HE38,IF(106=$HL38,IF($JD38=2,30,0),IF(106=$HM38,IF($JD38=1,30,0),ABS(10-$HF38)*100)),100000+ABS(5-$HE38)*1000+100)),IF($HG38=0,999999,IF(5=$HH38,IF(106=$HN38,IF($JE38=2,30,0),IF(106=$HO38,IF($JE38=1,30,0),ABS(10-$HI38)*100)),100000+ABS(5-$HH38)*1000+100)))-IF((106=$HJ38)+(106=$HK38)+(106=$HL38)+(106=$HM38)+(106=$HN38)+(106=$HO38)&gt;=2,50,0))+DE$5*50)</f>
        <v/>
      </c>
      <c r="DF158">
        <f>IF(OR($JF38=0,calcA!$A$6=0),0,IF(OR(107=$HA38,107=$HD38,107=$HG38),200000,MIN(IF($HA38=0,999999,IF(5=$HB38,IF(107=$HJ38,IF($JC38=2,30,0),IF(107=$HK38,IF($JC38=1,30,0),ABS(11-$HC38)*100)),100000+ABS(5-$HB38)*1000+110)),IF($HD38=0,999999,IF(5=$HE38,IF(107=$HL38,IF($JD38=2,30,0),IF(107=$HM38,IF($JD38=1,30,0),ABS(11-$HF38)*100)),100000+ABS(5-$HE38)*1000+110)),IF($HG38=0,999999,IF(5=$HH38,IF(107=$HN38,IF($JE38=2,30,0),IF(107=$HO38,IF($JE38=1,30,0),ABS(11-$HI38)*100)),100000+ABS(5-$HH38)*1000+110)))-IF((107=$HJ38)+(107=$HK38)+(107=$HL38)+(107=$HM38)+(107=$HN38)+(107=$HO38)&gt;=2,50,0))+DF$5*50)</f>
        <v/>
      </c>
      <c r="DG158">
        <f>IF(OR($JF38=0,calcA!$A$6=0),0,IF(OR(108=$HA38,108=$HD38,108=$HG38),200000,MIN(IF($HA38=0,999999,IF(5=$HB38,IF(108=$HJ38,IF($JC38=2,30,0),IF(108=$HK38,IF($JC38=1,30,0),ABS(12-$HC38)*100)),100000+ABS(5-$HB38)*1000+120)),IF($HD38=0,999999,IF(5=$HE38,IF(108=$HL38,IF($JD38=2,30,0),IF(108=$HM38,IF($JD38=1,30,0),ABS(12-$HF38)*100)),100000+ABS(5-$HE38)*1000+120)),IF($HG38=0,999999,IF(5=$HH38,IF(108=$HN38,IF($JE38=2,30,0),IF(108=$HO38,IF($JE38=1,30,0),ABS(12-$HI38)*100)),100000+ABS(5-$HH38)*1000+120)))-IF((108=$HJ38)+(108=$HK38)+(108=$HL38)+(108=$HM38)+(108=$HN38)+(108=$HO38)&gt;=2,50,0))+DG$5*50)</f>
        <v/>
      </c>
      <c r="DH158">
        <f>IF(OR($JF38=0,calcA!$A$6=0),0,IF(OR(109=$HA38,109=$HD38,109=$HG38),200000,MIN(IF($HA38=0,999999,IF(5=$HB38,IF(109=$HJ38,IF($JC38=2,30,0),IF(109=$HK38,IF($JC38=1,30,0),ABS(13-$HC38)*100)),100000+ABS(5-$HB38)*1000+130)),IF($HD38=0,999999,IF(5=$HE38,IF(109=$HL38,IF($JD38=2,30,0),IF(109=$HM38,IF($JD38=1,30,0),ABS(13-$HF38)*100)),100000+ABS(5-$HE38)*1000+130)),IF($HG38=0,999999,IF(5=$HH38,IF(109=$HN38,IF($JE38=2,30,0),IF(109=$HO38,IF($JE38=1,30,0),ABS(13-$HI38)*100)),100000+ABS(5-$HH38)*1000+130)))-IF((109=$HJ38)+(109=$HK38)+(109=$HL38)+(109=$HM38)+(109=$HN38)+(109=$HO38)&gt;=2,50,0))+DH$5*50)</f>
        <v/>
      </c>
      <c r="DI158">
        <f>IF(OR($JF38=0,calcA!$A$6=0),0,IF(OR(110=$HA38,110=$HD38,110=$HG38),200000,MIN(IF($HA38=0,999999,IF(5=$HB38,IF(110=$HJ38,IF($JC38=2,30,0),IF(110=$HK38,IF($JC38=1,30,0),ABS(14-$HC38)*100)),100000+ABS(5-$HB38)*1000+140)),IF($HD38=0,999999,IF(5=$HE38,IF(110=$HL38,IF($JD38=2,30,0),IF(110=$HM38,IF($JD38=1,30,0),ABS(14-$HF38)*100)),100000+ABS(5-$HE38)*1000+140)),IF($HG38=0,999999,IF(5=$HH38,IF(110=$HN38,IF($JE38=2,30,0),IF(110=$HO38,IF($JE38=1,30,0),ABS(14-$HI38)*100)),100000+ABS(5-$HH38)*1000+140)))-IF((110=$HJ38)+(110=$HK38)+(110=$HL38)+(110=$HM38)+(110=$HN38)+(110=$HO38)&gt;=2,50,0))+DI$5*50)</f>
        <v/>
      </c>
      <c r="DJ158">
        <f>IF(OR($JF38=0,calcA!$A$6=0),0,IF(OR(111=$HA38,111=$HD38,111=$HG38),200000,MIN(IF($HA38=0,999999,IF(5=$HB38,IF(111=$HJ38,IF($JC38=2,30,0),IF(111=$HK38,IF($JC38=1,30,0),ABS(15-$HC38)*100)),100000+ABS(5-$HB38)*1000+150)),IF($HD38=0,999999,IF(5=$HE38,IF(111=$HL38,IF($JD38=2,30,0),IF(111=$HM38,IF($JD38=1,30,0),ABS(15-$HF38)*100)),100000+ABS(5-$HE38)*1000+150)),IF($HG38=0,999999,IF(5=$HH38,IF(111=$HN38,IF($JE38=2,30,0),IF(111=$HO38,IF($JE38=1,30,0),ABS(15-$HI38)*100)),100000+ABS(5-$HH38)*1000+150)))-IF((111=$HJ38)+(111=$HK38)+(111=$HL38)+(111=$HM38)+(111=$HN38)+(111=$HO38)&gt;=2,50,0))+DJ$5*50)</f>
        <v/>
      </c>
      <c r="DK158">
        <f>IF(OR($JF38=0,calcA!$A$6=0),0,IF(OR(112=$HA38,112=$HD38,112=$HG38),200000,MIN(IF($HA38=0,999999,IF(5=$HB38,IF(112=$HJ38,IF($JC38=2,30,0),IF(112=$HK38,IF($JC38=1,30,0),ABS(16-$HC38)*100)),100000+ABS(5-$HB38)*1000+160)),IF($HD38=0,999999,IF(5=$HE38,IF(112=$HL38,IF($JD38=2,30,0),IF(112=$HM38,IF($JD38=1,30,0),ABS(16-$HF38)*100)),100000+ABS(5-$HE38)*1000+160)),IF($HG38=0,999999,IF(5=$HH38,IF(112=$HN38,IF($JE38=2,30,0),IF(112=$HO38,IF($JE38=1,30,0),ABS(16-$HI38)*100)),100000+ABS(5-$HH38)*1000+160)))-IF((112=$HJ38)+(112=$HK38)+(112=$HL38)+(112=$HM38)+(112=$HN38)+(112=$HO38)&gt;=2,50,0))+DK$5*50)</f>
        <v/>
      </c>
      <c r="DL158">
        <f>IF(OR($JF38=0,calcA!$A$6=0),0,IF(OR(113=$HA38,113=$HD38,113=$HG38),200000,MIN(IF($HA38=0,999999,IF(5=$HB38,IF(113=$HJ38,IF($JC38=2,30,0),IF(113=$HK38,IF($JC38=1,30,0),ABS(17-$HC38)*100)),100000+ABS(5-$HB38)*1000+170)),IF($HD38=0,999999,IF(5=$HE38,IF(113=$HL38,IF($JD38=2,30,0),IF(113=$HM38,IF($JD38=1,30,0),ABS(17-$HF38)*100)),100000+ABS(5-$HE38)*1000+170)),IF($HG38=0,999999,IF(5=$HH38,IF(113=$HN38,IF($JE38=2,30,0),IF(113=$HO38,IF($JE38=1,30,0),ABS(17-$HI38)*100)),100000+ABS(5-$HH38)*1000+170)))-IF((113=$HJ38)+(113=$HK38)+(113=$HL38)+(113=$HM38)+(113=$HN38)+(113=$HO38)&gt;=2,50,0))+DL$5*50)</f>
        <v/>
      </c>
      <c r="DM158">
        <f>IF(OR($JF38=0,calcA!$A$6=0),0,IF(OR(114=$HA38,114=$HD38,114=$HG38),200000,MIN(IF($HA38=0,999999,IF(5=$HB38,IF(114=$HJ38,IF($JC38=2,30,0),IF(114=$HK38,IF($JC38=1,30,0),ABS(18-$HC38)*100)),100000+ABS(5-$HB38)*1000+180)),IF($HD38=0,999999,IF(5=$HE38,IF(114=$HL38,IF($JD38=2,30,0),IF(114=$HM38,IF($JD38=1,30,0),ABS(18-$HF38)*100)),100000+ABS(5-$HE38)*1000+180)),IF($HG38=0,999999,IF(5=$HH38,IF(114=$HN38,IF($JE38=2,30,0),IF(114=$HO38,IF($JE38=1,30,0),ABS(18-$HI38)*100)),100000+ABS(5-$HH38)*1000+180)))-IF((114=$HJ38)+(114=$HK38)+(114=$HL38)+(114=$HM38)+(114=$HN38)+(114=$HO38)&gt;=2,50,0))+DM$5*50)</f>
        <v/>
      </c>
      <c r="DN158">
        <f>IF(OR($JF38=0,calcA!$A$6=0),0,IF(OR(115=$HA38,115=$HD38,115=$HG38),200000,MIN(IF($HA38=0,999999,IF(5=$HB38,IF(115=$HJ38,IF($JC38=2,30,0),IF(115=$HK38,IF($JC38=1,30,0),ABS(19-$HC38)*100)),100000+ABS(5-$HB38)*1000+190)),IF($HD38=0,999999,IF(5=$HE38,IF(115=$HL38,IF($JD38=2,30,0),IF(115=$HM38,IF($JD38=1,30,0),ABS(19-$HF38)*100)),100000+ABS(5-$HE38)*1000+190)),IF($HG38=0,999999,IF(5=$HH38,IF(115=$HN38,IF($JE38=2,30,0),IF(115=$HO38,IF($JE38=1,30,0),ABS(19-$HI38)*100)),100000+ABS(5-$HH38)*1000+190)))-IF((115=$HJ38)+(115=$HK38)+(115=$HL38)+(115=$HM38)+(115=$HN38)+(115=$HO38)&gt;=2,50,0))+DN$5*50)</f>
        <v/>
      </c>
      <c r="DO158">
        <f>IF(OR($JF38=0,calcA!$A$6=0),0,IF(OR(116=$HA38,116=$HD38,116=$HG38),200000,MIN(IF($HA38=0,999999,IF(5=$HB38,IF(116=$HJ38,IF($JC38=2,30,0),IF(116=$HK38,IF($JC38=1,30,0),ABS(20-$HC38)*100)),100000+ABS(5-$HB38)*1000+200)),IF($HD38=0,999999,IF(5=$HE38,IF(116=$HL38,IF($JD38=2,30,0),IF(116=$HM38,IF($JD38=1,30,0),ABS(20-$HF38)*100)),100000+ABS(5-$HE38)*1000+200)),IF($HG38=0,999999,IF(5=$HH38,IF(116=$HN38,IF($JE38=2,30,0),IF(116=$HO38,IF($JE38=1,30,0),ABS(20-$HI38)*100)),100000+ABS(5-$HH38)*1000+200)))-IF((116=$HJ38)+(116=$HK38)+(116=$HL38)+(116=$HM38)+(116=$HN38)+(116=$HO38)&gt;=2,50,0))+DO$5*50)</f>
        <v/>
      </c>
      <c r="DP158">
        <f>IF(OR($JF38=0,calcA!$A$6=0),0,IF(OR(117=$HA38,117=$HD38,117=$HG38),200000,MIN(IF($HA38=0,999999,IF(5=$HB38,IF(117=$HJ38,IF($JC38=2,30,0),IF(117=$HK38,IF($JC38=1,30,0),ABS(21-$HC38)*100)),100000+ABS(5-$HB38)*1000+210)),IF($HD38=0,999999,IF(5=$HE38,IF(117=$HL38,IF($JD38=2,30,0),IF(117=$HM38,IF($JD38=1,30,0),ABS(21-$HF38)*100)),100000+ABS(5-$HE38)*1000+210)),IF($HG38=0,999999,IF(5=$HH38,IF(117=$HN38,IF($JE38=2,30,0),IF(117=$HO38,IF($JE38=1,30,0),ABS(21-$HI38)*100)),100000+ABS(5-$HH38)*1000+210)))-IF((117=$HJ38)+(117=$HK38)+(117=$HL38)+(117=$HM38)+(117=$HN38)+(117=$HO38)&gt;=2,50,0))+DP$5*50)</f>
        <v/>
      </c>
      <c r="DQ158">
        <f>IF(OR($JF38=0,calcA!$A$6=0),0,IF(OR(118=$HA38,118=$HD38,118=$HG38),200000,MIN(IF($HA38=0,999999,IF(5=$HB38,IF(118=$HJ38,IF($JC38=2,30,0),IF(118=$HK38,IF($JC38=1,30,0),ABS(22-$HC38)*100)),100000+ABS(5-$HB38)*1000+220)),IF($HD38=0,999999,IF(5=$HE38,IF(118=$HL38,IF($JD38=2,30,0),IF(118=$HM38,IF($JD38=1,30,0),ABS(22-$HF38)*100)),100000+ABS(5-$HE38)*1000+220)),IF($HG38=0,999999,IF(5=$HH38,IF(118=$HN38,IF($JE38=2,30,0),IF(118=$HO38,IF($JE38=1,30,0),ABS(22-$HI38)*100)),100000+ABS(5-$HH38)*1000+220)))-IF((118=$HJ38)+(118=$HK38)+(118=$HL38)+(118=$HM38)+(118=$HN38)+(118=$HO38)&gt;=2,50,0))+DQ$5*50)</f>
        <v/>
      </c>
      <c r="DR158">
        <f>IF(OR($JF38=0,calcA!$A$6=0),0,IF(OR(119=$HA38,119=$HD38,119=$HG38),200000,MIN(IF($HA38=0,999999,IF(5=$HB38,IF(119=$HJ38,IF($JC38=2,30,0),IF(119=$HK38,IF($JC38=1,30,0),ABS(23-$HC38)*100)),100000+ABS(5-$HB38)*1000+230)),IF($HD38=0,999999,IF(5=$HE38,IF(119=$HL38,IF($JD38=2,30,0),IF(119=$HM38,IF($JD38=1,30,0),ABS(23-$HF38)*100)),100000+ABS(5-$HE38)*1000+230)),IF($HG38=0,999999,IF(5=$HH38,IF(119=$HN38,IF($JE38=2,30,0),IF(119=$HO38,IF($JE38=1,30,0),ABS(23-$HI38)*100)),100000+ABS(5-$HH38)*1000+230)))-IF((119=$HJ38)+(119=$HK38)+(119=$HL38)+(119=$HM38)+(119=$HN38)+(119=$HO38)&gt;=2,50,0))+DR$5*50)</f>
        <v/>
      </c>
      <c r="DS158">
        <f>IF(OR($JF38=0,calcA!$A$6=0),0,IF(OR(120=$HA38,120=$HD38,120=$HG38),200000,MIN(IF($HA38=0,999999,IF(5=$HB38,IF(120=$HJ38,IF($JC38=2,30,0),IF(120=$HK38,IF($JC38=1,30,0),ABS(24-$HC38)*100)),100000+ABS(5-$HB38)*1000+240)),IF($HD38=0,999999,IF(5=$HE38,IF(120=$HL38,IF($JD38=2,30,0),IF(120=$HM38,IF($JD38=1,30,0),ABS(24-$HF38)*100)),100000+ABS(5-$HE38)*1000+240)),IF($HG38=0,999999,IF(5=$HH38,IF(120=$HN38,IF($JE38=2,30,0),IF(120=$HO38,IF($JE38=1,30,0),ABS(24-$HI38)*100)),100000+ABS(5-$HH38)*1000+240)))-IF((120=$HJ38)+(120=$HK38)+(120=$HL38)+(120=$HM38)+(120=$HN38)+(120=$HO38)&gt;=2,50,0))+DS$5*50)</f>
        <v/>
      </c>
      <c r="DT158">
        <f>IF(OR($JF38=0,calcA!$A$6=0),0,IF(OR(121=$HA38,121=$HD38,121=$HG38),200000,MIN(IF($HA38=0,999999,IF(6=$HB38,IF(121=$HJ38,IF($JC38=2,30,0),IF(121=$HK38,IF($JC38=1,30,0),ABS(1-$HC38)*100)),100000+ABS(6-$HB38)*1000+10)),IF($HD38=0,999999,IF(6=$HE38,IF(121=$HL38,IF($JD38=2,30,0),IF(121=$HM38,IF($JD38=1,30,0),ABS(1-$HF38)*100)),100000+ABS(6-$HE38)*1000+10)),IF($HG38=0,999999,IF(6=$HH38,IF(121=$HN38,IF($JE38=2,30,0),IF(121=$HO38,IF($JE38=1,30,0),ABS(1-$HI38)*100)),100000+ABS(6-$HH38)*1000+10)))-IF((121=$HJ38)+(121=$HK38)+(121=$HL38)+(121=$HM38)+(121=$HN38)+(121=$HO38)&gt;=2,50,0))+DT$5*50)</f>
        <v/>
      </c>
      <c r="DU158">
        <f>IF(OR($JF38=0,calcA!$A$6=0),0,IF(OR(122=$HA38,122=$HD38,122=$HG38),200000,MIN(IF($HA38=0,999999,IF(6=$HB38,IF(122=$HJ38,IF($JC38=2,30,0),IF(122=$HK38,IF($JC38=1,30,0),ABS(2-$HC38)*100)),100000+ABS(6-$HB38)*1000+20)),IF($HD38=0,999999,IF(6=$HE38,IF(122=$HL38,IF($JD38=2,30,0),IF(122=$HM38,IF($JD38=1,30,0),ABS(2-$HF38)*100)),100000+ABS(6-$HE38)*1000+20)),IF($HG38=0,999999,IF(6=$HH38,IF(122=$HN38,IF($JE38=2,30,0),IF(122=$HO38,IF($JE38=1,30,0),ABS(2-$HI38)*100)),100000+ABS(6-$HH38)*1000+20)))-IF((122=$HJ38)+(122=$HK38)+(122=$HL38)+(122=$HM38)+(122=$HN38)+(122=$HO38)&gt;=2,50,0))+DU$5*50)</f>
        <v/>
      </c>
      <c r="DV158">
        <f>IF(OR($JF38=0,calcA!$A$6=0),0,IF(OR(123=$HA38,123=$HD38,123=$HG38),200000,MIN(IF($HA38=0,999999,IF(6=$HB38,IF(123=$HJ38,IF($JC38=2,30,0),IF(123=$HK38,IF($JC38=1,30,0),ABS(3-$HC38)*100)),100000+ABS(6-$HB38)*1000+30)),IF($HD38=0,999999,IF(6=$HE38,IF(123=$HL38,IF($JD38=2,30,0),IF(123=$HM38,IF($JD38=1,30,0),ABS(3-$HF38)*100)),100000+ABS(6-$HE38)*1000+30)),IF($HG38=0,999999,IF(6=$HH38,IF(123=$HN38,IF($JE38=2,30,0),IF(123=$HO38,IF($JE38=1,30,0),ABS(3-$HI38)*100)),100000+ABS(6-$HH38)*1000+30)))-IF((123=$HJ38)+(123=$HK38)+(123=$HL38)+(123=$HM38)+(123=$HN38)+(123=$HO38)&gt;=2,50,0))+DV$5*50)</f>
        <v/>
      </c>
      <c r="DW158">
        <f>IF(OR($JF38=0,calcA!$A$6=0),0,IF(OR(124=$HA38,124=$HD38,124=$HG38),200000,MIN(IF($HA38=0,999999,IF(6=$HB38,IF(124=$HJ38,IF($JC38=2,30,0),IF(124=$HK38,IF($JC38=1,30,0),ABS(4-$HC38)*100)),100000+ABS(6-$HB38)*1000+40)),IF($HD38=0,999999,IF(6=$HE38,IF(124=$HL38,IF($JD38=2,30,0),IF(124=$HM38,IF($JD38=1,30,0),ABS(4-$HF38)*100)),100000+ABS(6-$HE38)*1000+40)),IF($HG38=0,999999,IF(6=$HH38,IF(124=$HN38,IF($JE38=2,30,0),IF(124=$HO38,IF($JE38=1,30,0),ABS(4-$HI38)*100)),100000+ABS(6-$HH38)*1000+40)))-IF((124=$HJ38)+(124=$HK38)+(124=$HL38)+(124=$HM38)+(124=$HN38)+(124=$HO38)&gt;=2,50,0))+DW$5*50)</f>
        <v/>
      </c>
      <c r="DX158">
        <f>IF(OR($JF38=0,calcA!$A$6=0),0,IF(OR(125=$HA38,125=$HD38,125=$HG38),200000,MIN(IF($HA38=0,999999,IF(6=$HB38,IF(125=$HJ38,IF($JC38=2,30,0),IF(125=$HK38,IF($JC38=1,30,0),ABS(5-$HC38)*100)),100000+ABS(6-$HB38)*1000+50)),IF($HD38=0,999999,IF(6=$HE38,IF(125=$HL38,IF($JD38=2,30,0),IF(125=$HM38,IF($JD38=1,30,0),ABS(5-$HF38)*100)),100000+ABS(6-$HE38)*1000+50)),IF($HG38=0,999999,IF(6=$HH38,IF(125=$HN38,IF($JE38=2,30,0),IF(125=$HO38,IF($JE38=1,30,0),ABS(5-$HI38)*100)),100000+ABS(6-$HH38)*1000+50)))-IF((125=$HJ38)+(125=$HK38)+(125=$HL38)+(125=$HM38)+(125=$HN38)+(125=$HO38)&gt;=2,50,0))+DX$5*50)</f>
        <v/>
      </c>
      <c r="DY158">
        <f>IF(OR($JF38=0,calcA!$A$6=0),0,IF(OR(126=$HA38,126=$HD38,126=$HG38),200000,MIN(IF($HA38=0,999999,IF(6=$HB38,IF(126=$HJ38,IF($JC38=2,30,0),IF(126=$HK38,IF($JC38=1,30,0),ABS(6-$HC38)*100)),100000+ABS(6-$HB38)*1000+60)),IF($HD38=0,999999,IF(6=$HE38,IF(126=$HL38,IF($JD38=2,30,0),IF(126=$HM38,IF($JD38=1,30,0),ABS(6-$HF38)*100)),100000+ABS(6-$HE38)*1000+60)),IF($HG38=0,999999,IF(6=$HH38,IF(126=$HN38,IF($JE38=2,30,0),IF(126=$HO38,IF($JE38=1,30,0),ABS(6-$HI38)*100)),100000+ABS(6-$HH38)*1000+60)))-IF((126=$HJ38)+(126=$HK38)+(126=$HL38)+(126=$HM38)+(126=$HN38)+(126=$HO38)&gt;=2,50,0))+DY$5*50)</f>
        <v/>
      </c>
      <c r="DZ158">
        <f>IF(OR($JF38=0,calcA!$A$6=0),0,IF(OR(127=$HA38,127=$HD38,127=$HG38),200000,MIN(IF($HA38=0,999999,IF(6=$HB38,IF(127=$HJ38,IF($JC38=2,30,0),IF(127=$HK38,IF($JC38=1,30,0),ABS(7-$HC38)*100)),100000+ABS(6-$HB38)*1000+70)),IF($HD38=0,999999,IF(6=$HE38,IF(127=$HL38,IF($JD38=2,30,0),IF(127=$HM38,IF($JD38=1,30,0),ABS(7-$HF38)*100)),100000+ABS(6-$HE38)*1000+70)),IF($HG38=0,999999,IF(6=$HH38,IF(127=$HN38,IF($JE38=2,30,0),IF(127=$HO38,IF($JE38=1,30,0),ABS(7-$HI38)*100)),100000+ABS(6-$HH38)*1000+70)))-IF((127=$HJ38)+(127=$HK38)+(127=$HL38)+(127=$HM38)+(127=$HN38)+(127=$HO38)&gt;=2,50,0))+DZ$5*50)</f>
        <v/>
      </c>
      <c r="EA158">
        <f>IF(OR($JF38=0,calcA!$A$6=0),0,IF(OR(128=$HA38,128=$HD38,128=$HG38),200000,MIN(IF($HA38=0,999999,IF(6=$HB38,IF(128=$HJ38,IF($JC38=2,30,0),IF(128=$HK38,IF($JC38=1,30,0),ABS(8-$HC38)*100)),100000+ABS(6-$HB38)*1000+80)),IF($HD38=0,999999,IF(6=$HE38,IF(128=$HL38,IF($JD38=2,30,0),IF(128=$HM38,IF($JD38=1,30,0),ABS(8-$HF38)*100)),100000+ABS(6-$HE38)*1000+80)),IF($HG38=0,999999,IF(6=$HH38,IF(128=$HN38,IF($JE38=2,30,0),IF(128=$HO38,IF($JE38=1,30,0),ABS(8-$HI38)*100)),100000+ABS(6-$HH38)*1000+80)))-IF((128=$HJ38)+(128=$HK38)+(128=$HL38)+(128=$HM38)+(128=$HN38)+(128=$HO38)&gt;=2,50,0))+EA$5*50)</f>
        <v/>
      </c>
      <c r="EB158">
        <f>IF(OR($JF38=0,calcA!$A$6=0),0,IF(OR(129=$HA38,129=$HD38,129=$HG38),200000,MIN(IF($HA38=0,999999,IF(6=$HB38,IF(129=$HJ38,IF($JC38=2,30,0),IF(129=$HK38,IF($JC38=1,30,0),ABS(9-$HC38)*100)),100000+ABS(6-$HB38)*1000+90)),IF($HD38=0,999999,IF(6=$HE38,IF(129=$HL38,IF($JD38=2,30,0),IF(129=$HM38,IF($JD38=1,30,0),ABS(9-$HF38)*100)),100000+ABS(6-$HE38)*1000+90)),IF($HG38=0,999999,IF(6=$HH38,IF(129=$HN38,IF($JE38=2,30,0),IF(129=$HO38,IF($JE38=1,30,0),ABS(9-$HI38)*100)),100000+ABS(6-$HH38)*1000+90)))-IF((129=$HJ38)+(129=$HK38)+(129=$HL38)+(129=$HM38)+(129=$HN38)+(129=$HO38)&gt;=2,50,0))+EB$5*50)</f>
        <v/>
      </c>
      <c r="EC158">
        <f>IF(OR($JF38=0,calcA!$A$6=0),0,IF(OR(130=$HA38,130=$HD38,130=$HG38),200000,MIN(IF($HA38=0,999999,IF(6=$HB38,IF(130=$HJ38,IF($JC38=2,30,0),IF(130=$HK38,IF($JC38=1,30,0),ABS(10-$HC38)*100)),100000+ABS(6-$HB38)*1000+100)),IF($HD38=0,999999,IF(6=$HE38,IF(130=$HL38,IF($JD38=2,30,0),IF(130=$HM38,IF($JD38=1,30,0),ABS(10-$HF38)*100)),100000+ABS(6-$HE38)*1000+100)),IF($HG38=0,999999,IF(6=$HH38,IF(130=$HN38,IF($JE38=2,30,0),IF(130=$HO38,IF($JE38=1,30,0),ABS(10-$HI38)*100)),100000+ABS(6-$HH38)*1000+100)))-IF((130=$HJ38)+(130=$HK38)+(130=$HL38)+(130=$HM38)+(130=$HN38)+(130=$HO38)&gt;=2,50,0))+EC$5*50)</f>
        <v/>
      </c>
      <c r="ED158">
        <f>IF(OR($JF38=0,calcA!$A$6=0),0,IF(OR(131=$HA38,131=$HD38,131=$HG38),200000,MIN(IF($HA38=0,999999,IF(6=$HB38,IF(131=$HJ38,IF($JC38=2,30,0),IF(131=$HK38,IF($JC38=1,30,0),ABS(11-$HC38)*100)),100000+ABS(6-$HB38)*1000+110)),IF($HD38=0,999999,IF(6=$HE38,IF(131=$HL38,IF($JD38=2,30,0),IF(131=$HM38,IF($JD38=1,30,0),ABS(11-$HF38)*100)),100000+ABS(6-$HE38)*1000+110)),IF($HG38=0,999999,IF(6=$HH38,IF(131=$HN38,IF($JE38=2,30,0),IF(131=$HO38,IF($JE38=1,30,0),ABS(11-$HI38)*100)),100000+ABS(6-$HH38)*1000+110)))-IF((131=$HJ38)+(131=$HK38)+(131=$HL38)+(131=$HM38)+(131=$HN38)+(131=$HO38)&gt;=2,50,0))+ED$5*50)</f>
        <v/>
      </c>
      <c r="EE158">
        <f>IF(OR($JF38=0,calcA!$A$6=0),0,IF(OR(132=$HA38,132=$HD38,132=$HG38),200000,MIN(IF($HA38=0,999999,IF(6=$HB38,IF(132=$HJ38,IF($JC38=2,30,0),IF(132=$HK38,IF($JC38=1,30,0),ABS(12-$HC38)*100)),100000+ABS(6-$HB38)*1000+120)),IF($HD38=0,999999,IF(6=$HE38,IF(132=$HL38,IF($JD38=2,30,0),IF(132=$HM38,IF($JD38=1,30,0),ABS(12-$HF38)*100)),100000+ABS(6-$HE38)*1000+120)),IF($HG38=0,999999,IF(6=$HH38,IF(132=$HN38,IF($JE38=2,30,0),IF(132=$HO38,IF($JE38=1,30,0),ABS(12-$HI38)*100)),100000+ABS(6-$HH38)*1000+120)))-IF((132=$HJ38)+(132=$HK38)+(132=$HL38)+(132=$HM38)+(132=$HN38)+(132=$HO38)&gt;=2,50,0))+EE$5*50)</f>
        <v/>
      </c>
      <c r="EF158">
        <f>IF(OR($JF38=0,calcA!$A$6=0),0,IF(OR(133=$HA38,133=$HD38,133=$HG38),200000,MIN(IF($HA38=0,999999,IF(6=$HB38,IF(133=$HJ38,IF($JC38=2,30,0),IF(133=$HK38,IF($JC38=1,30,0),ABS(13-$HC38)*100)),100000+ABS(6-$HB38)*1000+130)),IF($HD38=0,999999,IF(6=$HE38,IF(133=$HL38,IF($JD38=2,30,0),IF(133=$HM38,IF($JD38=1,30,0),ABS(13-$HF38)*100)),100000+ABS(6-$HE38)*1000+130)),IF($HG38=0,999999,IF(6=$HH38,IF(133=$HN38,IF($JE38=2,30,0),IF(133=$HO38,IF($JE38=1,30,0),ABS(13-$HI38)*100)),100000+ABS(6-$HH38)*1000+130)))-IF((133=$HJ38)+(133=$HK38)+(133=$HL38)+(133=$HM38)+(133=$HN38)+(133=$HO38)&gt;=2,50,0))+EF$5*50)</f>
        <v/>
      </c>
      <c r="EG158">
        <f>IF(OR($JF38=0,calcA!$A$6=0),0,IF(OR(134=$HA38,134=$HD38,134=$HG38),200000,MIN(IF($HA38=0,999999,IF(6=$HB38,IF(134=$HJ38,IF($JC38=2,30,0),IF(134=$HK38,IF($JC38=1,30,0),ABS(14-$HC38)*100)),100000+ABS(6-$HB38)*1000+140)),IF($HD38=0,999999,IF(6=$HE38,IF(134=$HL38,IF($JD38=2,30,0),IF(134=$HM38,IF($JD38=1,30,0),ABS(14-$HF38)*100)),100000+ABS(6-$HE38)*1000+140)),IF($HG38=0,999999,IF(6=$HH38,IF(134=$HN38,IF($JE38=2,30,0),IF(134=$HO38,IF($JE38=1,30,0),ABS(14-$HI38)*100)),100000+ABS(6-$HH38)*1000+140)))-IF((134=$HJ38)+(134=$HK38)+(134=$HL38)+(134=$HM38)+(134=$HN38)+(134=$HO38)&gt;=2,50,0))+EG$5*50)</f>
        <v/>
      </c>
      <c r="EH158">
        <f>IF(OR($JF38=0,calcA!$A$6=0),0,IF(OR(135=$HA38,135=$HD38,135=$HG38),200000,MIN(IF($HA38=0,999999,IF(6=$HB38,IF(135=$HJ38,IF($JC38=2,30,0),IF(135=$HK38,IF($JC38=1,30,0),ABS(15-$HC38)*100)),100000+ABS(6-$HB38)*1000+150)),IF($HD38=0,999999,IF(6=$HE38,IF(135=$HL38,IF($JD38=2,30,0),IF(135=$HM38,IF($JD38=1,30,0),ABS(15-$HF38)*100)),100000+ABS(6-$HE38)*1000+150)),IF($HG38=0,999999,IF(6=$HH38,IF(135=$HN38,IF($JE38=2,30,0),IF(135=$HO38,IF($JE38=1,30,0),ABS(15-$HI38)*100)),100000+ABS(6-$HH38)*1000+150)))-IF((135=$HJ38)+(135=$HK38)+(135=$HL38)+(135=$HM38)+(135=$HN38)+(135=$HO38)&gt;=2,50,0))+EH$5*50)</f>
        <v/>
      </c>
      <c r="EI158">
        <f>IF(OR($JF38=0,calcA!$A$6=0),0,IF(OR(136=$HA38,136=$HD38,136=$HG38),200000,MIN(IF($HA38=0,999999,IF(6=$HB38,IF(136=$HJ38,IF($JC38=2,30,0),IF(136=$HK38,IF($JC38=1,30,0),ABS(16-$HC38)*100)),100000+ABS(6-$HB38)*1000+160)),IF($HD38=0,999999,IF(6=$HE38,IF(136=$HL38,IF($JD38=2,30,0),IF(136=$HM38,IF($JD38=1,30,0),ABS(16-$HF38)*100)),100000+ABS(6-$HE38)*1000+160)),IF($HG38=0,999999,IF(6=$HH38,IF(136=$HN38,IF($JE38=2,30,0),IF(136=$HO38,IF($JE38=1,30,0),ABS(16-$HI38)*100)),100000+ABS(6-$HH38)*1000+160)))-IF((136=$HJ38)+(136=$HK38)+(136=$HL38)+(136=$HM38)+(136=$HN38)+(136=$HO38)&gt;=2,50,0))+EI$5*50)</f>
        <v/>
      </c>
      <c r="EJ158">
        <f>IF(OR($JF38=0,calcA!$A$6=0),0,IF(OR(137=$HA38,137=$HD38,137=$HG38),200000,MIN(IF($HA38=0,999999,IF(6=$HB38,IF(137=$HJ38,IF($JC38=2,30,0),IF(137=$HK38,IF($JC38=1,30,0),ABS(17-$HC38)*100)),100000+ABS(6-$HB38)*1000+170)),IF($HD38=0,999999,IF(6=$HE38,IF(137=$HL38,IF($JD38=2,30,0),IF(137=$HM38,IF($JD38=1,30,0),ABS(17-$HF38)*100)),100000+ABS(6-$HE38)*1000+170)),IF($HG38=0,999999,IF(6=$HH38,IF(137=$HN38,IF($JE38=2,30,0),IF(137=$HO38,IF($JE38=1,30,0),ABS(17-$HI38)*100)),100000+ABS(6-$HH38)*1000+170)))-IF((137=$HJ38)+(137=$HK38)+(137=$HL38)+(137=$HM38)+(137=$HN38)+(137=$HO38)&gt;=2,50,0))+EJ$5*50)</f>
        <v/>
      </c>
      <c r="EK158">
        <f>IF(OR($JF38=0,calcA!$A$6=0),0,IF(OR(138=$HA38,138=$HD38,138=$HG38),200000,MIN(IF($HA38=0,999999,IF(6=$HB38,IF(138=$HJ38,IF($JC38=2,30,0),IF(138=$HK38,IF($JC38=1,30,0),ABS(18-$HC38)*100)),100000+ABS(6-$HB38)*1000+180)),IF($HD38=0,999999,IF(6=$HE38,IF(138=$HL38,IF($JD38=2,30,0),IF(138=$HM38,IF($JD38=1,30,0),ABS(18-$HF38)*100)),100000+ABS(6-$HE38)*1000+180)),IF($HG38=0,999999,IF(6=$HH38,IF(138=$HN38,IF($JE38=2,30,0),IF(138=$HO38,IF($JE38=1,30,0),ABS(18-$HI38)*100)),100000+ABS(6-$HH38)*1000+180)))-IF((138=$HJ38)+(138=$HK38)+(138=$HL38)+(138=$HM38)+(138=$HN38)+(138=$HO38)&gt;=2,50,0))+EK$5*50)</f>
        <v/>
      </c>
      <c r="EL158">
        <f>IF(OR($JF38=0,calcA!$A$6=0),0,IF(OR(139=$HA38,139=$HD38,139=$HG38),200000,MIN(IF($HA38=0,999999,IF(6=$HB38,IF(139=$HJ38,IF($JC38=2,30,0),IF(139=$HK38,IF($JC38=1,30,0),ABS(19-$HC38)*100)),100000+ABS(6-$HB38)*1000+190)),IF($HD38=0,999999,IF(6=$HE38,IF(139=$HL38,IF($JD38=2,30,0),IF(139=$HM38,IF($JD38=1,30,0),ABS(19-$HF38)*100)),100000+ABS(6-$HE38)*1000+190)),IF($HG38=0,999999,IF(6=$HH38,IF(139=$HN38,IF($JE38=2,30,0),IF(139=$HO38,IF($JE38=1,30,0),ABS(19-$HI38)*100)),100000+ABS(6-$HH38)*1000+190)))-IF((139=$HJ38)+(139=$HK38)+(139=$HL38)+(139=$HM38)+(139=$HN38)+(139=$HO38)&gt;=2,50,0))+EL$5*50)</f>
        <v/>
      </c>
      <c r="EM158">
        <f>IF(OR($JF38=0,calcA!$A$6=0),0,IF(OR(140=$HA38,140=$HD38,140=$HG38),200000,MIN(IF($HA38=0,999999,IF(6=$HB38,IF(140=$HJ38,IF($JC38=2,30,0),IF(140=$HK38,IF($JC38=1,30,0),ABS(20-$HC38)*100)),100000+ABS(6-$HB38)*1000+200)),IF($HD38=0,999999,IF(6=$HE38,IF(140=$HL38,IF($JD38=2,30,0),IF(140=$HM38,IF($JD38=1,30,0),ABS(20-$HF38)*100)),100000+ABS(6-$HE38)*1000+200)),IF($HG38=0,999999,IF(6=$HH38,IF(140=$HN38,IF($JE38=2,30,0),IF(140=$HO38,IF($JE38=1,30,0),ABS(20-$HI38)*100)),100000+ABS(6-$HH38)*1000+200)))-IF((140=$HJ38)+(140=$HK38)+(140=$HL38)+(140=$HM38)+(140=$HN38)+(140=$HO38)&gt;=2,50,0))+EM$5*50)</f>
        <v/>
      </c>
      <c r="EN158">
        <f>IF(OR($JF38=0,calcA!$A$6=0),0,IF(OR(141=$HA38,141=$HD38,141=$HG38),200000,MIN(IF($HA38=0,999999,IF(6=$HB38,IF(141=$HJ38,IF($JC38=2,30,0),IF(141=$HK38,IF($JC38=1,30,0),ABS(21-$HC38)*100)),100000+ABS(6-$HB38)*1000+210)),IF($HD38=0,999999,IF(6=$HE38,IF(141=$HL38,IF($JD38=2,30,0),IF(141=$HM38,IF($JD38=1,30,0),ABS(21-$HF38)*100)),100000+ABS(6-$HE38)*1000+210)),IF($HG38=0,999999,IF(6=$HH38,IF(141=$HN38,IF($JE38=2,30,0),IF(141=$HO38,IF($JE38=1,30,0),ABS(21-$HI38)*100)),100000+ABS(6-$HH38)*1000+210)))-IF((141=$HJ38)+(141=$HK38)+(141=$HL38)+(141=$HM38)+(141=$HN38)+(141=$HO38)&gt;=2,50,0))+EN$5*50)</f>
        <v/>
      </c>
      <c r="EO158">
        <f>IF(OR($JF38=0,calcA!$A$6=0),0,IF(OR(142=$HA38,142=$HD38,142=$HG38),200000,MIN(IF($HA38=0,999999,IF(6=$HB38,IF(142=$HJ38,IF($JC38=2,30,0),IF(142=$HK38,IF($JC38=1,30,0),ABS(22-$HC38)*100)),100000+ABS(6-$HB38)*1000+220)),IF($HD38=0,999999,IF(6=$HE38,IF(142=$HL38,IF($JD38=2,30,0),IF(142=$HM38,IF($JD38=1,30,0),ABS(22-$HF38)*100)),100000+ABS(6-$HE38)*1000+220)),IF($HG38=0,999999,IF(6=$HH38,IF(142=$HN38,IF($JE38=2,30,0),IF(142=$HO38,IF($JE38=1,30,0),ABS(22-$HI38)*100)),100000+ABS(6-$HH38)*1000+220)))-IF((142=$HJ38)+(142=$HK38)+(142=$HL38)+(142=$HM38)+(142=$HN38)+(142=$HO38)&gt;=2,50,0))+EO$5*50)</f>
        <v/>
      </c>
      <c r="EP158">
        <f>IF(OR($JF38=0,calcA!$A$6=0),0,IF(OR(143=$HA38,143=$HD38,143=$HG38),200000,MIN(IF($HA38=0,999999,IF(6=$HB38,IF(143=$HJ38,IF($JC38=2,30,0),IF(143=$HK38,IF($JC38=1,30,0),ABS(23-$HC38)*100)),100000+ABS(6-$HB38)*1000+230)),IF($HD38=0,999999,IF(6=$HE38,IF(143=$HL38,IF($JD38=2,30,0),IF(143=$HM38,IF($JD38=1,30,0),ABS(23-$HF38)*100)),100000+ABS(6-$HE38)*1000+230)),IF($HG38=0,999999,IF(6=$HH38,IF(143=$HN38,IF($JE38=2,30,0),IF(143=$HO38,IF($JE38=1,30,0),ABS(23-$HI38)*100)),100000+ABS(6-$HH38)*1000+230)))-IF((143=$HJ38)+(143=$HK38)+(143=$HL38)+(143=$HM38)+(143=$HN38)+(143=$HO38)&gt;=2,50,0))+EP$5*50)</f>
        <v/>
      </c>
      <c r="EQ158">
        <f>IF(OR($JF38=0,calcA!$A$6=0),0,IF(OR(144=$HA38,144=$HD38,144=$HG38),200000,MIN(IF($HA38=0,999999,IF(6=$HB38,IF(144=$HJ38,IF($JC38=2,30,0),IF(144=$HK38,IF($JC38=1,30,0),ABS(24-$HC38)*100)),100000+ABS(6-$HB38)*1000+240)),IF($HD38=0,999999,IF(6=$HE38,IF(144=$HL38,IF($JD38=2,30,0),IF(144=$HM38,IF($JD38=1,30,0),ABS(24-$HF38)*100)),100000+ABS(6-$HE38)*1000+240)),IF($HG38=0,999999,IF(6=$HH38,IF(144=$HN38,IF($JE38=2,30,0),IF(144=$HO38,IF($JE38=1,30,0),ABS(24-$HI38)*100)),100000+ABS(6-$HH38)*1000+240)))-IF((144=$HJ38)+(144=$HK38)+(144=$HL38)+(144=$HM38)+(144=$HN38)+(144=$HO38)&gt;=2,50,0))+EQ$5*50)</f>
        <v/>
      </c>
    </row>
    <row r="159">
      <c r="D159">
        <f>IF(OR($JF39=0,calcA!$A$6=0),0,IF(OR(1=$HA39,1=$HD39,1=$HG39),200000,MIN(IF($HA39=0,999999,IF(1=$HB39,IF(1=$HJ39,IF($JC39=2,30,0),IF(1=$HK39,IF($JC39=1,30,0),ABS(1-$HC39)*100)),100000+ABS(1-$HB39)*1000+10)),IF($HD39=0,999999,IF(1=$HE39,IF(1=$HL39,IF($JD39=2,30,0),IF(1=$HM39,IF($JD39=1,30,0),ABS(1-$HF39)*100)),100000+ABS(1-$HE39)*1000+10)),IF($HG39=0,999999,IF(1=$HH39,IF(1=$HN39,IF($JE39=2,30,0),IF(1=$HO39,IF($JE39=1,30,0),ABS(1-$HI39)*100)),100000+ABS(1-$HH39)*1000+10)))-IF((1=$HJ39)+(1=$HK39)+(1=$HL39)+(1=$HM39)+(1=$HN39)+(1=$HO39)&gt;=2,50,0))+D$5*50)</f>
        <v/>
      </c>
      <c r="E159">
        <f>IF(OR($JF39=0,calcA!$A$6=0),0,IF(OR(2=$HA39,2=$HD39,2=$HG39),200000,MIN(IF($HA39=0,999999,IF(1=$HB39,IF(2=$HJ39,IF($JC39=2,30,0),IF(2=$HK39,IF($JC39=1,30,0),ABS(2-$HC39)*100)),100000+ABS(1-$HB39)*1000+20)),IF($HD39=0,999999,IF(1=$HE39,IF(2=$HL39,IF($JD39=2,30,0),IF(2=$HM39,IF($JD39=1,30,0),ABS(2-$HF39)*100)),100000+ABS(1-$HE39)*1000+20)),IF($HG39=0,999999,IF(1=$HH39,IF(2=$HN39,IF($JE39=2,30,0),IF(2=$HO39,IF($JE39=1,30,0),ABS(2-$HI39)*100)),100000+ABS(1-$HH39)*1000+20)))-IF((2=$HJ39)+(2=$HK39)+(2=$HL39)+(2=$HM39)+(2=$HN39)+(2=$HO39)&gt;=2,50,0))+E$5*50)</f>
        <v/>
      </c>
      <c r="F159">
        <f>IF(OR($JF39=0,calcA!$A$6=0),0,IF(OR(3=$HA39,3=$HD39,3=$HG39),200000,MIN(IF($HA39=0,999999,IF(1=$HB39,IF(3=$HJ39,IF($JC39=2,30,0),IF(3=$HK39,IF($JC39=1,30,0),ABS(3-$HC39)*100)),100000+ABS(1-$HB39)*1000+30)),IF($HD39=0,999999,IF(1=$HE39,IF(3=$HL39,IF($JD39=2,30,0),IF(3=$HM39,IF($JD39=1,30,0),ABS(3-$HF39)*100)),100000+ABS(1-$HE39)*1000+30)),IF($HG39=0,999999,IF(1=$HH39,IF(3=$HN39,IF($JE39=2,30,0),IF(3=$HO39,IF($JE39=1,30,0),ABS(3-$HI39)*100)),100000+ABS(1-$HH39)*1000+30)))-IF((3=$HJ39)+(3=$HK39)+(3=$HL39)+(3=$HM39)+(3=$HN39)+(3=$HO39)&gt;=2,50,0))+F$5*50)</f>
        <v/>
      </c>
      <c r="G159">
        <f>IF(OR($JF39=0,calcA!$A$6=0),0,IF(OR(4=$HA39,4=$HD39,4=$HG39),200000,MIN(IF($HA39=0,999999,IF(1=$HB39,IF(4=$HJ39,IF($JC39=2,30,0),IF(4=$HK39,IF($JC39=1,30,0),ABS(4-$HC39)*100)),100000+ABS(1-$HB39)*1000+40)),IF($HD39=0,999999,IF(1=$HE39,IF(4=$HL39,IF($JD39=2,30,0),IF(4=$HM39,IF($JD39=1,30,0),ABS(4-$HF39)*100)),100000+ABS(1-$HE39)*1000+40)),IF($HG39=0,999999,IF(1=$HH39,IF(4=$HN39,IF($JE39=2,30,0),IF(4=$HO39,IF($JE39=1,30,0),ABS(4-$HI39)*100)),100000+ABS(1-$HH39)*1000+40)))-IF((4=$HJ39)+(4=$HK39)+(4=$HL39)+(4=$HM39)+(4=$HN39)+(4=$HO39)&gt;=2,50,0))+G$5*50)</f>
        <v/>
      </c>
      <c r="H159">
        <f>IF(OR($JF39=0,calcA!$A$6=0),0,IF(OR(5=$HA39,5=$HD39,5=$HG39),200000,MIN(IF($HA39=0,999999,IF(1=$HB39,IF(5=$HJ39,IF($JC39=2,30,0),IF(5=$HK39,IF($JC39=1,30,0),ABS(5-$HC39)*100)),100000+ABS(1-$HB39)*1000+50)),IF($HD39=0,999999,IF(1=$HE39,IF(5=$HL39,IF($JD39=2,30,0),IF(5=$HM39,IF($JD39=1,30,0),ABS(5-$HF39)*100)),100000+ABS(1-$HE39)*1000+50)),IF($HG39=0,999999,IF(1=$HH39,IF(5=$HN39,IF($JE39=2,30,0),IF(5=$HO39,IF($JE39=1,30,0),ABS(5-$HI39)*100)),100000+ABS(1-$HH39)*1000+50)))-IF((5=$HJ39)+(5=$HK39)+(5=$HL39)+(5=$HM39)+(5=$HN39)+(5=$HO39)&gt;=2,50,0))+H$5*50)</f>
        <v/>
      </c>
      <c r="I159">
        <f>IF(OR($JF39=0,calcA!$A$6=0),0,IF(OR(6=$HA39,6=$HD39,6=$HG39),200000,MIN(IF($HA39=0,999999,IF(1=$HB39,IF(6=$HJ39,IF($JC39=2,30,0),IF(6=$HK39,IF($JC39=1,30,0),ABS(6-$HC39)*100)),100000+ABS(1-$HB39)*1000+60)),IF($HD39=0,999999,IF(1=$HE39,IF(6=$HL39,IF($JD39=2,30,0),IF(6=$HM39,IF($JD39=1,30,0),ABS(6-$HF39)*100)),100000+ABS(1-$HE39)*1000+60)),IF($HG39=0,999999,IF(1=$HH39,IF(6=$HN39,IF($JE39=2,30,0),IF(6=$HO39,IF($JE39=1,30,0),ABS(6-$HI39)*100)),100000+ABS(1-$HH39)*1000+60)))-IF((6=$HJ39)+(6=$HK39)+(6=$HL39)+(6=$HM39)+(6=$HN39)+(6=$HO39)&gt;=2,50,0))+I$5*50)</f>
        <v/>
      </c>
      <c r="J159">
        <f>IF(OR($JF39=0,calcA!$A$6=0),0,IF(OR(7=$HA39,7=$HD39,7=$HG39),200000,MIN(IF($HA39=0,999999,IF(1=$HB39,IF(7=$HJ39,IF($JC39=2,30,0),IF(7=$HK39,IF($JC39=1,30,0),ABS(7-$HC39)*100)),100000+ABS(1-$HB39)*1000+70)),IF($HD39=0,999999,IF(1=$HE39,IF(7=$HL39,IF($JD39=2,30,0),IF(7=$HM39,IF($JD39=1,30,0),ABS(7-$HF39)*100)),100000+ABS(1-$HE39)*1000+70)),IF($HG39=0,999999,IF(1=$HH39,IF(7=$HN39,IF($JE39=2,30,0),IF(7=$HO39,IF($JE39=1,30,0),ABS(7-$HI39)*100)),100000+ABS(1-$HH39)*1000+70)))-IF((7=$HJ39)+(7=$HK39)+(7=$HL39)+(7=$HM39)+(7=$HN39)+(7=$HO39)&gt;=2,50,0))+J$5*50)</f>
        <v/>
      </c>
      <c r="K159">
        <f>IF(OR($JF39=0,calcA!$A$6=0),0,IF(OR(8=$HA39,8=$HD39,8=$HG39),200000,MIN(IF($HA39=0,999999,IF(1=$HB39,IF(8=$HJ39,IF($JC39=2,30,0),IF(8=$HK39,IF($JC39=1,30,0),ABS(8-$HC39)*100)),100000+ABS(1-$HB39)*1000+80)),IF($HD39=0,999999,IF(1=$HE39,IF(8=$HL39,IF($JD39=2,30,0),IF(8=$HM39,IF($JD39=1,30,0),ABS(8-$HF39)*100)),100000+ABS(1-$HE39)*1000+80)),IF($HG39=0,999999,IF(1=$HH39,IF(8=$HN39,IF($JE39=2,30,0),IF(8=$HO39,IF($JE39=1,30,0),ABS(8-$HI39)*100)),100000+ABS(1-$HH39)*1000+80)))-IF((8=$HJ39)+(8=$HK39)+(8=$HL39)+(8=$HM39)+(8=$HN39)+(8=$HO39)&gt;=2,50,0))+K$5*50)</f>
        <v/>
      </c>
      <c r="L159">
        <f>IF(OR($JF39=0,calcA!$A$6=0),0,IF(OR(9=$HA39,9=$HD39,9=$HG39),200000,MIN(IF($HA39=0,999999,IF(1=$HB39,IF(9=$HJ39,IF($JC39=2,30,0),IF(9=$HK39,IF($JC39=1,30,0),ABS(9-$HC39)*100)),100000+ABS(1-$HB39)*1000+90)),IF($HD39=0,999999,IF(1=$HE39,IF(9=$HL39,IF($JD39=2,30,0),IF(9=$HM39,IF($JD39=1,30,0),ABS(9-$HF39)*100)),100000+ABS(1-$HE39)*1000+90)),IF($HG39=0,999999,IF(1=$HH39,IF(9=$HN39,IF($JE39=2,30,0),IF(9=$HO39,IF($JE39=1,30,0),ABS(9-$HI39)*100)),100000+ABS(1-$HH39)*1000+90)))-IF((9=$HJ39)+(9=$HK39)+(9=$HL39)+(9=$HM39)+(9=$HN39)+(9=$HO39)&gt;=2,50,0))+L$5*50)</f>
        <v/>
      </c>
      <c r="M159">
        <f>IF(OR($JF39=0,calcA!$A$6=0),0,IF(OR(10=$HA39,10=$HD39,10=$HG39),200000,MIN(IF($HA39=0,999999,IF(1=$HB39,IF(10=$HJ39,IF($JC39=2,30,0),IF(10=$HK39,IF($JC39=1,30,0),ABS(10-$HC39)*100)),100000+ABS(1-$HB39)*1000+100)),IF($HD39=0,999999,IF(1=$HE39,IF(10=$HL39,IF($JD39=2,30,0),IF(10=$HM39,IF($JD39=1,30,0),ABS(10-$HF39)*100)),100000+ABS(1-$HE39)*1000+100)),IF($HG39=0,999999,IF(1=$HH39,IF(10=$HN39,IF($JE39=2,30,0),IF(10=$HO39,IF($JE39=1,30,0),ABS(10-$HI39)*100)),100000+ABS(1-$HH39)*1000+100)))-IF((10=$HJ39)+(10=$HK39)+(10=$HL39)+(10=$HM39)+(10=$HN39)+(10=$HO39)&gt;=2,50,0))+M$5*50)</f>
        <v/>
      </c>
      <c r="N159">
        <f>IF(OR($JF39=0,calcA!$A$6=0),0,IF(OR(11=$HA39,11=$HD39,11=$HG39),200000,MIN(IF($HA39=0,999999,IF(1=$HB39,IF(11=$HJ39,IF($JC39=2,30,0),IF(11=$HK39,IF($JC39=1,30,0),ABS(11-$HC39)*100)),100000+ABS(1-$HB39)*1000+110)),IF($HD39=0,999999,IF(1=$HE39,IF(11=$HL39,IF($JD39=2,30,0),IF(11=$HM39,IF($JD39=1,30,0),ABS(11-$HF39)*100)),100000+ABS(1-$HE39)*1000+110)),IF($HG39=0,999999,IF(1=$HH39,IF(11=$HN39,IF($JE39=2,30,0),IF(11=$HO39,IF($JE39=1,30,0),ABS(11-$HI39)*100)),100000+ABS(1-$HH39)*1000+110)))-IF((11=$HJ39)+(11=$HK39)+(11=$HL39)+(11=$HM39)+(11=$HN39)+(11=$HO39)&gt;=2,50,0))+N$5*50)</f>
        <v/>
      </c>
      <c r="O159">
        <f>IF(OR($JF39=0,calcA!$A$6=0),0,IF(OR(12=$HA39,12=$HD39,12=$HG39),200000,MIN(IF($HA39=0,999999,IF(1=$HB39,IF(12=$HJ39,IF($JC39=2,30,0),IF(12=$HK39,IF($JC39=1,30,0),ABS(12-$HC39)*100)),100000+ABS(1-$HB39)*1000+120)),IF($HD39=0,999999,IF(1=$HE39,IF(12=$HL39,IF($JD39=2,30,0),IF(12=$HM39,IF($JD39=1,30,0),ABS(12-$HF39)*100)),100000+ABS(1-$HE39)*1000+120)),IF($HG39=0,999999,IF(1=$HH39,IF(12=$HN39,IF($JE39=2,30,0),IF(12=$HO39,IF($JE39=1,30,0),ABS(12-$HI39)*100)),100000+ABS(1-$HH39)*1000+120)))-IF((12=$HJ39)+(12=$HK39)+(12=$HL39)+(12=$HM39)+(12=$HN39)+(12=$HO39)&gt;=2,50,0))+O$5*50)</f>
        <v/>
      </c>
      <c r="P159">
        <f>IF(OR($JF39=0,calcA!$A$6=0),0,IF(OR(13=$HA39,13=$HD39,13=$HG39),200000,MIN(IF($HA39=0,999999,IF(1=$HB39,IF(13=$HJ39,IF($JC39=2,30,0),IF(13=$HK39,IF($JC39=1,30,0),ABS(13-$HC39)*100)),100000+ABS(1-$HB39)*1000+130)),IF($HD39=0,999999,IF(1=$HE39,IF(13=$HL39,IF($JD39=2,30,0),IF(13=$HM39,IF($JD39=1,30,0),ABS(13-$HF39)*100)),100000+ABS(1-$HE39)*1000+130)),IF($HG39=0,999999,IF(1=$HH39,IF(13=$HN39,IF($JE39=2,30,0),IF(13=$HO39,IF($JE39=1,30,0),ABS(13-$HI39)*100)),100000+ABS(1-$HH39)*1000+130)))-IF((13=$HJ39)+(13=$HK39)+(13=$HL39)+(13=$HM39)+(13=$HN39)+(13=$HO39)&gt;=2,50,0))+P$5*50)</f>
        <v/>
      </c>
      <c r="Q159">
        <f>IF(OR($JF39=0,calcA!$A$6=0),0,IF(OR(14=$HA39,14=$HD39,14=$HG39),200000,MIN(IF($HA39=0,999999,IF(1=$HB39,IF(14=$HJ39,IF($JC39=2,30,0),IF(14=$HK39,IF($JC39=1,30,0),ABS(14-$HC39)*100)),100000+ABS(1-$HB39)*1000+140)),IF($HD39=0,999999,IF(1=$HE39,IF(14=$HL39,IF($JD39=2,30,0),IF(14=$HM39,IF($JD39=1,30,0),ABS(14-$HF39)*100)),100000+ABS(1-$HE39)*1000+140)),IF($HG39=0,999999,IF(1=$HH39,IF(14=$HN39,IF($JE39=2,30,0),IF(14=$HO39,IF($JE39=1,30,0),ABS(14-$HI39)*100)),100000+ABS(1-$HH39)*1000+140)))-IF((14=$HJ39)+(14=$HK39)+(14=$HL39)+(14=$HM39)+(14=$HN39)+(14=$HO39)&gt;=2,50,0))+Q$5*50)</f>
        <v/>
      </c>
      <c r="R159">
        <f>IF(OR($JF39=0,calcA!$A$6=0),0,IF(OR(15=$HA39,15=$HD39,15=$HG39),200000,MIN(IF($HA39=0,999999,IF(1=$HB39,IF(15=$HJ39,IF($JC39=2,30,0),IF(15=$HK39,IF($JC39=1,30,0),ABS(15-$HC39)*100)),100000+ABS(1-$HB39)*1000+150)),IF($HD39=0,999999,IF(1=$HE39,IF(15=$HL39,IF($JD39=2,30,0),IF(15=$HM39,IF($JD39=1,30,0),ABS(15-$HF39)*100)),100000+ABS(1-$HE39)*1000+150)),IF($HG39=0,999999,IF(1=$HH39,IF(15=$HN39,IF($JE39=2,30,0),IF(15=$HO39,IF($JE39=1,30,0),ABS(15-$HI39)*100)),100000+ABS(1-$HH39)*1000+150)))-IF((15=$HJ39)+(15=$HK39)+(15=$HL39)+(15=$HM39)+(15=$HN39)+(15=$HO39)&gt;=2,50,0))+R$5*50)</f>
        <v/>
      </c>
      <c r="S159">
        <f>IF(OR($JF39=0,calcA!$A$6=0),0,IF(OR(16=$HA39,16=$HD39,16=$HG39),200000,MIN(IF($HA39=0,999999,IF(1=$HB39,IF(16=$HJ39,IF($JC39=2,30,0),IF(16=$HK39,IF($JC39=1,30,0),ABS(16-$HC39)*100)),100000+ABS(1-$HB39)*1000+160)),IF($HD39=0,999999,IF(1=$HE39,IF(16=$HL39,IF($JD39=2,30,0),IF(16=$HM39,IF($JD39=1,30,0),ABS(16-$HF39)*100)),100000+ABS(1-$HE39)*1000+160)),IF($HG39=0,999999,IF(1=$HH39,IF(16=$HN39,IF($JE39=2,30,0),IF(16=$HO39,IF($JE39=1,30,0),ABS(16-$HI39)*100)),100000+ABS(1-$HH39)*1000+160)))-IF((16=$HJ39)+(16=$HK39)+(16=$HL39)+(16=$HM39)+(16=$HN39)+(16=$HO39)&gt;=2,50,0))+S$5*50)</f>
        <v/>
      </c>
      <c r="T159">
        <f>IF(OR($JF39=0,calcA!$A$6=0),0,IF(OR(17=$HA39,17=$HD39,17=$HG39),200000,MIN(IF($HA39=0,999999,IF(1=$HB39,IF(17=$HJ39,IF($JC39=2,30,0),IF(17=$HK39,IF($JC39=1,30,0),ABS(17-$HC39)*100)),100000+ABS(1-$HB39)*1000+170)),IF($HD39=0,999999,IF(1=$HE39,IF(17=$HL39,IF($JD39=2,30,0),IF(17=$HM39,IF($JD39=1,30,0),ABS(17-$HF39)*100)),100000+ABS(1-$HE39)*1000+170)),IF($HG39=0,999999,IF(1=$HH39,IF(17=$HN39,IF($JE39=2,30,0),IF(17=$HO39,IF($JE39=1,30,0),ABS(17-$HI39)*100)),100000+ABS(1-$HH39)*1000+170)))-IF((17=$HJ39)+(17=$HK39)+(17=$HL39)+(17=$HM39)+(17=$HN39)+(17=$HO39)&gt;=2,50,0))+T$5*50)</f>
        <v/>
      </c>
      <c r="U159">
        <f>IF(OR($JF39=0,calcA!$A$6=0),0,IF(OR(18=$HA39,18=$HD39,18=$HG39),200000,MIN(IF($HA39=0,999999,IF(1=$HB39,IF(18=$HJ39,IF($JC39=2,30,0),IF(18=$HK39,IF($JC39=1,30,0),ABS(18-$HC39)*100)),100000+ABS(1-$HB39)*1000+180)),IF($HD39=0,999999,IF(1=$HE39,IF(18=$HL39,IF($JD39=2,30,0),IF(18=$HM39,IF($JD39=1,30,0),ABS(18-$HF39)*100)),100000+ABS(1-$HE39)*1000+180)),IF($HG39=0,999999,IF(1=$HH39,IF(18=$HN39,IF($JE39=2,30,0),IF(18=$HO39,IF($JE39=1,30,0),ABS(18-$HI39)*100)),100000+ABS(1-$HH39)*1000+180)))-IF((18=$HJ39)+(18=$HK39)+(18=$HL39)+(18=$HM39)+(18=$HN39)+(18=$HO39)&gt;=2,50,0))+U$5*50)</f>
        <v/>
      </c>
      <c r="V159">
        <f>IF(OR($JF39=0,calcA!$A$6=0),0,IF(OR(19=$HA39,19=$HD39,19=$HG39),200000,MIN(IF($HA39=0,999999,IF(1=$HB39,IF(19=$HJ39,IF($JC39=2,30,0),IF(19=$HK39,IF($JC39=1,30,0),ABS(19-$HC39)*100)),100000+ABS(1-$HB39)*1000+190)),IF($HD39=0,999999,IF(1=$HE39,IF(19=$HL39,IF($JD39=2,30,0),IF(19=$HM39,IF($JD39=1,30,0),ABS(19-$HF39)*100)),100000+ABS(1-$HE39)*1000+190)),IF($HG39=0,999999,IF(1=$HH39,IF(19=$HN39,IF($JE39=2,30,0),IF(19=$HO39,IF($JE39=1,30,0),ABS(19-$HI39)*100)),100000+ABS(1-$HH39)*1000+190)))-IF((19=$HJ39)+(19=$HK39)+(19=$HL39)+(19=$HM39)+(19=$HN39)+(19=$HO39)&gt;=2,50,0))+V$5*50)</f>
        <v/>
      </c>
      <c r="W159">
        <f>IF(OR($JF39=0,calcA!$A$6=0),0,IF(OR(20=$HA39,20=$HD39,20=$HG39),200000,MIN(IF($HA39=0,999999,IF(1=$HB39,IF(20=$HJ39,IF($JC39=2,30,0),IF(20=$HK39,IF($JC39=1,30,0),ABS(20-$HC39)*100)),100000+ABS(1-$HB39)*1000+200)),IF($HD39=0,999999,IF(1=$HE39,IF(20=$HL39,IF($JD39=2,30,0),IF(20=$HM39,IF($JD39=1,30,0),ABS(20-$HF39)*100)),100000+ABS(1-$HE39)*1000+200)),IF($HG39=0,999999,IF(1=$HH39,IF(20=$HN39,IF($JE39=2,30,0),IF(20=$HO39,IF($JE39=1,30,0),ABS(20-$HI39)*100)),100000+ABS(1-$HH39)*1000+200)))-IF((20=$HJ39)+(20=$HK39)+(20=$HL39)+(20=$HM39)+(20=$HN39)+(20=$HO39)&gt;=2,50,0))+W$5*50)</f>
        <v/>
      </c>
      <c r="X159">
        <f>IF(OR($JF39=0,calcA!$A$6=0),0,IF(OR(21=$HA39,21=$HD39,21=$HG39),200000,MIN(IF($HA39=0,999999,IF(1=$HB39,IF(21=$HJ39,IF($JC39=2,30,0),IF(21=$HK39,IF($JC39=1,30,0),ABS(21-$HC39)*100)),100000+ABS(1-$HB39)*1000+210)),IF($HD39=0,999999,IF(1=$HE39,IF(21=$HL39,IF($JD39=2,30,0),IF(21=$HM39,IF($JD39=1,30,0),ABS(21-$HF39)*100)),100000+ABS(1-$HE39)*1000+210)),IF($HG39=0,999999,IF(1=$HH39,IF(21=$HN39,IF($JE39=2,30,0),IF(21=$HO39,IF($JE39=1,30,0),ABS(21-$HI39)*100)),100000+ABS(1-$HH39)*1000+210)))-IF((21=$HJ39)+(21=$HK39)+(21=$HL39)+(21=$HM39)+(21=$HN39)+(21=$HO39)&gt;=2,50,0))+X$5*50)</f>
        <v/>
      </c>
      <c r="Y159">
        <f>IF(OR($JF39=0,calcA!$A$6=0),0,IF(OR(22=$HA39,22=$HD39,22=$HG39),200000,MIN(IF($HA39=0,999999,IF(1=$HB39,IF(22=$HJ39,IF($JC39=2,30,0),IF(22=$HK39,IF($JC39=1,30,0),ABS(22-$HC39)*100)),100000+ABS(1-$HB39)*1000+220)),IF($HD39=0,999999,IF(1=$HE39,IF(22=$HL39,IF($JD39=2,30,0),IF(22=$HM39,IF($JD39=1,30,0),ABS(22-$HF39)*100)),100000+ABS(1-$HE39)*1000+220)),IF($HG39=0,999999,IF(1=$HH39,IF(22=$HN39,IF($JE39=2,30,0),IF(22=$HO39,IF($JE39=1,30,0),ABS(22-$HI39)*100)),100000+ABS(1-$HH39)*1000+220)))-IF((22=$HJ39)+(22=$HK39)+(22=$HL39)+(22=$HM39)+(22=$HN39)+(22=$HO39)&gt;=2,50,0))+Y$5*50)</f>
        <v/>
      </c>
      <c r="Z159">
        <f>IF(OR($JF39=0,calcA!$A$6=0),0,IF(OR(23=$HA39,23=$HD39,23=$HG39),200000,MIN(IF($HA39=0,999999,IF(1=$HB39,IF(23=$HJ39,IF($JC39=2,30,0),IF(23=$HK39,IF($JC39=1,30,0),ABS(23-$HC39)*100)),100000+ABS(1-$HB39)*1000+230)),IF($HD39=0,999999,IF(1=$HE39,IF(23=$HL39,IF($JD39=2,30,0),IF(23=$HM39,IF($JD39=1,30,0),ABS(23-$HF39)*100)),100000+ABS(1-$HE39)*1000+230)),IF($HG39=0,999999,IF(1=$HH39,IF(23=$HN39,IF($JE39=2,30,0),IF(23=$HO39,IF($JE39=1,30,0),ABS(23-$HI39)*100)),100000+ABS(1-$HH39)*1000+230)))-IF((23=$HJ39)+(23=$HK39)+(23=$HL39)+(23=$HM39)+(23=$HN39)+(23=$HO39)&gt;=2,50,0))+Z$5*50)</f>
        <v/>
      </c>
      <c r="AA159">
        <f>IF(OR($JF39=0,calcA!$A$6=0),0,IF(OR(24=$HA39,24=$HD39,24=$HG39),200000,MIN(IF($HA39=0,999999,IF(1=$HB39,IF(24=$HJ39,IF($JC39=2,30,0),IF(24=$HK39,IF($JC39=1,30,0),ABS(24-$HC39)*100)),100000+ABS(1-$HB39)*1000+240)),IF($HD39=0,999999,IF(1=$HE39,IF(24=$HL39,IF($JD39=2,30,0),IF(24=$HM39,IF($JD39=1,30,0),ABS(24-$HF39)*100)),100000+ABS(1-$HE39)*1000+240)),IF($HG39=0,999999,IF(1=$HH39,IF(24=$HN39,IF($JE39=2,30,0),IF(24=$HO39,IF($JE39=1,30,0),ABS(24-$HI39)*100)),100000+ABS(1-$HH39)*1000+240)))-IF((24=$HJ39)+(24=$HK39)+(24=$HL39)+(24=$HM39)+(24=$HN39)+(24=$HO39)&gt;=2,50,0))+AA$5*50)</f>
        <v/>
      </c>
      <c r="AB159">
        <f>IF(OR($JF39=0,calcA!$A$6=0),0,IF(OR(25=$HA39,25=$HD39,25=$HG39),200000,MIN(IF($HA39=0,999999,IF(2=$HB39,IF(25=$HJ39,IF($JC39=2,30,0),IF(25=$HK39,IF($JC39=1,30,0),ABS(1-$HC39)*100)),100000+ABS(2-$HB39)*1000+10)),IF($HD39=0,999999,IF(2=$HE39,IF(25=$HL39,IF($JD39=2,30,0),IF(25=$HM39,IF($JD39=1,30,0),ABS(1-$HF39)*100)),100000+ABS(2-$HE39)*1000+10)),IF($HG39=0,999999,IF(2=$HH39,IF(25=$HN39,IF($JE39=2,30,0),IF(25=$HO39,IF($JE39=1,30,0),ABS(1-$HI39)*100)),100000+ABS(2-$HH39)*1000+10)))-IF((25=$HJ39)+(25=$HK39)+(25=$HL39)+(25=$HM39)+(25=$HN39)+(25=$HO39)&gt;=2,50,0))+AB$5*50)</f>
        <v/>
      </c>
      <c r="AC159">
        <f>IF(OR($JF39=0,calcA!$A$6=0),0,IF(OR(26=$HA39,26=$HD39,26=$HG39),200000,MIN(IF($HA39=0,999999,IF(2=$HB39,IF(26=$HJ39,IF($JC39=2,30,0),IF(26=$HK39,IF($JC39=1,30,0),ABS(2-$HC39)*100)),100000+ABS(2-$HB39)*1000+20)),IF($HD39=0,999999,IF(2=$HE39,IF(26=$HL39,IF($JD39=2,30,0),IF(26=$HM39,IF($JD39=1,30,0),ABS(2-$HF39)*100)),100000+ABS(2-$HE39)*1000+20)),IF($HG39=0,999999,IF(2=$HH39,IF(26=$HN39,IF($JE39=2,30,0),IF(26=$HO39,IF($JE39=1,30,0),ABS(2-$HI39)*100)),100000+ABS(2-$HH39)*1000+20)))-IF((26=$HJ39)+(26=$HK39)+(26=$HL39)+(26=$HM39)+(26=$HN39)+(26=$HO39)&gt;=2,50,0))+AC$5*50)</f>
        <v/>
      </c>
      <c r="AD159">
        <f>IF(OR($JF39=0,calcA!$A$6=0),0,IF(OR(27=$HA39,27=$HD39,27=$HG39),200000,MIN(IF($HA39=0,999999,IF(2=$HB39,IF(27=$HJ39,IF($JC39=2,30,0),IF(27=$HK39,IF($JC39=1,30,0),ABS(3-$HC39)*100)),100000+ABS(2-$HB39)*1000+30)),IF($HD39=0,999999,IF(2=$HE39,IF(27=$HL39,IF($JD39=2,30,0),IF(27=$HM39,IF($JD39=1,30,0),ABS(3-$HF39)*100)),100000+ABS(2-$HE39)*1000+30)),IF($HG39=0,999999,IF(2=$HH39,IF(27=$HN39,IF($JE39=2,30,0),IF(27=$HO39,IF($JE39=1,30,0),ABS(3-$HI39)*100)),100000+ABS(2-$HH39)*1000+30)))-IF((27=$HJ39)+(27=$HK39)+(27=$HL39)+(27=$HM39)+(27=$HN39)+(27=$HO39)&gt;=2,50,0))+AD$5*50)</f>
        <v/>
      </c>
      <c r="AE159">
        <f>IF(OR($JF39=0,calcA!$A$6=0),0,IF(OR(28=$HA39,28=$HD39,28=$HG39),200000,MIN(IF($HA39=0,999999,IF(2=$HB39,IF(28=$HJ39,IF($JC39=2,30,0),IF(28=$HK39,IF($JC39=1,30,0),ABS(4-$HC39)*100)),100000+ABS(2-$HB39)*1000+40)),IF($HD39=0,999999,IF(2=$HE39,IF(28=$HL39,IF($JD39=2,30,0),IF(28=$HM39,IF($JD39=1,30,0),ABS(4-$HF39)*100)),100000+ABS(2-$HE39)*1000+40)),IF($HG39=0,999999,IF(2=$HH39,IF(28=$HN39,IF($JE39=2,30,0),IF(28=$HO39,IF($JE39=1,30,0),ABS(4-$HI39)*100)),100000+ABS(2-$HH39)*1000+40)))-IF((28=$HJ39)+(28=$HK39)+(28=$HL39)+(28=$HM39)+(28=$HN39)+(28=$HO39)&gt;=2,50,0))+AE$5*50)</f>
        <v/>
      </c>
      <c r="AF159">
        <f>IF(OR($JF39=0,calcA!$A$6=0),0,IF(OR(29=$HA39,29=$HD39,29=$HG39),200000,MIN(IF($HA39=0,999999,IF(2=$HB39,IF(29=$HJ39,IF($JC39=2,30,0),IF(29=$HK39,IF($JC39=1,30,0),ABS(5-$HC39)*100)),100000+ABS(2-$HB39)*1000+50)),IF($HD39=0,999999,IF(2=$HE39,IF(29=$HL39,IF($JD39=2,30,0),IF(29=$HM39,IF($JD39=1,30,0),ABS(5-$HF39)*100)),100000+ABS(2-$HE39)*1000+50)),IF($HG39=0,999999,IF(2=$HH39,IF(29=$HN39,IF($JE39=2,30,0),IF(29=$HO39,IF($JE39=1,30,0),ABS(5-$HI39)*100)),100000+ABS(2-$HH39)*1000+50)))-IF((29=$HJ39)+(29=$HK39)+(29=$HL39)+(29=$HM39)+(29=$HN39)+(29=$HO39)&gt;=2,50,0))+AF$5*50)</f>
        <v/>
      </c>
      <c r="AG159">
        <f>IF(OR($JF39=0,calcA!$A$6=0),0,IF(OR(30=$HA39,30=$HD39,30=$HG39),200000,MIN(IF($HA39=0,999999,IF(2=$HB39,IF(30=$HJ39,IF($JC39=2,30,0),IF(30=$HK39,IF($JC39=1,30,0),ABS(6-$HC39)*100)),100000+ABS(2-$HB39)*1000+60)),IF($HD39=0,999999,IF(2=$HE39,IF(30=$HL39,IF($JD39=2,30,0),IF(30=$HM39,IF($JD39=1,30,0),ABS(6-$HF39)*100)),100000+ABS(2-$HE39)*1000+60)),IF($HG39=0,999999,IF(2=$HH39,IF(30=$HN39,IF($JE39=2,30,0),IF(30=$HO39,IF($JE39=1,30,0),ABS(6-$HI39)*100)),100000+ABS(2-$HH39)*1000+60)))-IF((30=$HJ39)+(30=$HK39)+(30=$HL39)+(30=$HM39)+(30=$HN39)+(30=$HO39)&gt;=2,50,0))+AG$5*50)</f>
        <v/>
      </c>
      <c r="AH159">
        <f>IF(OR($JF39=0,calcA!$A$6=0),0,IF(OR(31=$HA39,31=$HD39,31=$HG39),200000,MIN(IF($HA39=0,999999,IF(2=$HB39,IF(31=$HJ39,IF($JC39=2,30,0),IF(31=$HK39,IF($JC39=1,30,0),ABS(7-$HC39)*100)),100000+ABS(2-$HB39)*1000+70)),IF($HD39=0,999999,IF(2=$HE39,IF(31=$HL39,IF($JD39=2,30,0),IF(31=$HM39,IF($JD39=1,30,0),ABS(7-$HF39)*100)),100000+ABS(2-$HE39)*1000+70)),IF($HG39=0,999999,IF(2=$HH39,IF(31=$HN39,IF($JE39=2,30,0),IF(31=$HO39,IF($JE39=1,30,0),ABS(7-$HI39)*100)),100000+ABS(2-$HH39)*1000+70)))-IF((31=$HJ39)+(31=$HK39)+(31=$HL39)+(31=$HM39)+(31=$HN39)+(31=$HO39)&gt;=2,50,0))+AH$5*50)</f>
        <v/>
      </c>
      <c r="AI159">
        <f>IF(OR($JF39=0,calcA!$A$6=0),0,IF(OR(32=$HA39,32=$HD39,32=$HG39),200000,MIN(IF($HA39=0,999999,IF(2=$HB39,IF(32=$HJ39,IF($JC39=2,30,0),IF(32=$HK39,IF($JC39=1,30,0),ABS(8-$HC39)*100)),100000+ABS(2-$HB39)*1000+80)),IF($HD39=0,999999,IF(2=$HE39,IF(32=$HL39,IF($JD39=2,30,0),IF(32=$HM39,IF($JD39=1,30,0),ABS(8-$HF39)*100)),100000+ABS(2-$HE39)*1000+80)),IF($HG39=0,999999,IF(2=$HH39,IF(32=$HN39,IF($JE39=2,30,0),IF(32=$HO39,IF($JE39=1,30,0),ABS(8-$HI39)*100)),100000+ABS(2-$HH39)*1000+80)))-IF((32=$HJ39)+(32=$HK39)+(32=$HL39)+(32=$HM39)+(32=$HN39)+(32=$HO39)&gt;=2,50,0))+AI$5*50)</f>
        <v/>
      </c>
      <c r="AJ159">
        <f>IF(OR($JF39=0,calcA!$A$6=0),0,IF(OR(33=$HA39,33=$HD39,33=$HG39),200000,MIN(IF($HA39=0,999999,IF(2=$HB39,IF(33=$HJ39,IF($JC39=2,30,0),IF(33=$HK39,IF($JC39=1,30,0),ABS(9-$HC39)*100)),100000+ABS(2-$HB39)*1000+90)),IF($HD39=0,999999,IF(2=$HE39,IF(33=$HL39,IF($JD39=2,30,0),IF(33=$HM39,IF($JD39=1,30,0),ABS(9-$HF39)*100)),100000+ABS(2-$HE39)*1000+90)),IF($HG39=0,999999,IF(2=$HH39,IF(33=$HN39,IF($JE39=2,30,0),IF(33=$HO39,IF($JE39=1,30,0),ABS(9-$HI39)*100)),100000+ABS(2-$HH39)*1000+90)))-IF((33=$HJ39)+(33=$HK39)+(33=$HL39)+(33=$HM39)+(33=$HN39)+(33=$HO39)&gt;=2,50,0))+AJ$5*50)</f>
        <v/>
      </c>
      <c r="AK159">
        <f>IF(OR($JF39=0,calcA!$A$6=0),0,IF(OR(34=$HA39,34=$HD39,34=$HG39),200000,MIN(IF($HA39=0,999999,IF(2=$HB39,IF(34=$HJ39,IF($JC39=2,30,0),IF(34=$HK39,IF($JC39=1,30,0),ABS(10-$HC39)*100)),100000+ABS(2-$HB39)*1000+100)),IF($HD39=0,999999,IF(2=$HE39,IF(34=$HL39,IF($JD39=2,30,0),IF(34=$HM39,IF($JD39=1,30,0),ABS(10-$HF39)*100)),100000+ABS(2-$HE39)*1000+100)),IF($HG39=0,999999,IF(2=$HH39,IF(34=$HN39,IF($JE39=2,30,0),IF(34=$HO39,IF($JE39=1,30,0),ABS(10-$HI39)*100)),100000+ABS(2-$HH39)*1000+100)))-IF((34=$HJ39)+(34=$HK39)+(34=$HL39)+(34=$HM39)+(34=$HN39)+(34=$HO39)&gt;=2,50,0))+AK$5*50)</f>
        <v/>
      </c>
      <c r="AL159">
        <f>IF(OR($JF39=0,calcA!$A$6=0),0,IF(OR(35=$HA39,35=$HD39,35=$HG39),200000,MIN(IF($HA39=0,999999,IF(2=$HB39,IF(35=$HJ39,IF($JC39=2,30,0),IF(35=$HK39,IF($JC39=1,30,0),ABS(11-$HC39)*100)),100000+ABS(2-$HB39)*1000+110)),IF($HD39=0,999999,IF(2=$HE39,IF(35=$HL39,IF($JD39=2,30,0),IF(35=$HM39,IF($JD39=1,30,0),ABS(11-$HF39)*100)),100000+ABS(2-$HE39)*1000+110)),IF($HG39=0,999999,IF(2=$HH39,IF(35=$HN39,IF($JE39=2,30,0),IF(35=$HO39,IF($JE39=1,30,0),ABS(11-$HI39)*100)),100000+ABS(2-$HH39)*1000+110)))-IF((35=$HJ39)+(35=$HK39)+(35=$HL39)+(35=$HM39)+(35=$HN39)+(35=$HO39)&gt;=2,50,0))+AL$5*50)</f>
        <v/>
      </c>
      <c r="AM159">
        <f>IF(OR($JF39=0,calcA!$A$6=0),0,IF(OR(36=$HA39,36=$HD39,36=$HG39),200000,MIN(IF($HA39=0,999999,IF(2=$HB39,IF(36=$HJ39,IF($JC39=2,30,0),IF(36=$HK39,IF($JC39=1,30,0),ABS(12-$HC39)*100)),100000+ABS(2-$HB39)*1000+120)),IF($HD39=0,999999,IF(2=$HE39,IF(36=$HL39,IF($JD39=2,30,0),IF(36=$HM39,IF($JD39=1,30,0),ABS(12-$HF39)*100)),100000+ABS(2-$HE39)*1000+120)),IF($HG39=0,999999,IF(2=$HH39,IF(36=$HN39,IF($JE39=2,30,0),IF(36=$HO39,IF($JE39=1,30,0),ABS(12-$HI39)*100)),100000+ABS(2-$HH39)*1000+120)))-IF((36=$HJ39)+(36=$HK39)+(36=$HL39)+(36=$HM39)+(36=$HN39)+(36=$HO39)&gt;=2,50,0))+AM$5*50)</f>
        <v/>
      </c>
      <c r="AN159">
        <f>IF(OR($JF39=0,calcA!$A$6=0),0,IF(OR(37=$HA39,37=$HD39,37=$HG39),200000,MIN(IF($HA39=0,999999,IF(2=$HB39,IF(37=$HJ39,IF($JC39=2,30,0),IF(37=$HK39,IF($JC39=1,30,0),ABS(13-$HC39)*100)),100000+ABS(2-$HB39)*1000+130)),IF($HD39=0,999999,IF(2=$HE39,IF(37=$HL39,IF($JD39=2,30,0),IF(37=$HM39,IF($JD39=1,30,0),ABS(13-$HF39)*100)),100000+ABS(2-$HE39)*1000+130)),IF($HG39=0,999999,IF(2=$HH39,IF(37=$HN39,IF($JE39=2,30,0),IF(37=$HO39,IF($JE39=1,30,0),ABS(13-$HI39)*100)),100000+ABS(2-$HH39)*1000+130)))-IF((37=$HJ39)+(37=$HK39)+(37=$HL39)+(37=$HM39)+(37=$HN39)+(37=$HO39)&gt;=2,50,0))+AN$5*50)</f>
        <v/>
      </c>
      <c r="AO159">
        <f>IF(OR($JF39=0,calcA!$A$6=0),0,IF(OR(38=$HA39,38=$HD39,38=$HG39),200000,MIN(IF($HA39=0,999999,IF(2=$HB39,IF(38=$HJ39,IF($JC39=2,30,0),IF(38=$HK39,IF($JC39=1,30,0),ABS(14-$HC39)*100)),100000+ABS(2-$HB39)*1000+140)),IF($HD39=0,999999,IF(2=$HE39,IF(38=$HL39,IF($JD39=2,30,0),IF(38=$HM39,IF($JD39=1,30,0),ABS(14-$HF39)*100)),100000+ABS(2-$HE39)*1000+140)),IF($HG39=0,999999,IF(2=$HH39,IF(38=$HN39,IF($JE39=2,30,0),IF(38=$HO39,IF($JE39=1,30,0),ABS(14-$HI39)*100)),100000+ABS(2-$HH39)*1000+140)))-IF((38=$HJ39)+(38=$HK39)+(38=$HL39)+(38=$HM39)+(38=$HN39)+(38=$HO39)&gt;=2,50,0))+AO$5*50)</f>
        <v/>
      </c>
      <c r="AP159">
        <f>IF(OR($JF39=0,calcA!$A$6=0),0,IF(OR(39=$HA39,39=$HD39,39=$HG39),200000,MIN(IF($HA39=0,999999,IF(2=$HB39,IF(39=$HJ39,IF($JC39=2,30,0),IF(39=$HK39,IF($JC39=1,30,0),ABS(15-$HC39)*100)),100000+ABS(2-$HB39)*1000+150)),IF($HD39=0,999999,IF(2=$HE39,IF(39=$HL39,IF($JD39=2,30,0),IF(39=$HM39,IF($JD39=1,30,0),ABS(15-$HF39)*100)),100000+ABS(2-$HE39)*1000+150)),IF($HG39=0,999999,IF(2=$HH39,IF(39=$HN39,IF($JE39=2,30,0),IF(39=$HO39,IF($JE39=1,30,0),ABS(15-$HI39)*100)),100000+ABS(2-$HH39)*1000+150)))-IF((39=$HJ39)+(39=$HK39)+(39=$HL39)+(39=$HM39)+(39=$HN39)+(39=$HO39)&gt;=2,50,0))+AP$5*50)</f>
        <v/>
      </c>
      <c r="AQ159">
        <f>IF(OR($JF39=0,calcA!$A$6=0),0,IF(OR(40=$HA39,40=$HD39,40=$HG39),200000,MIN(IF($HA39=0,999999,IF(2=$HB39,IF(40=$HJ39,IF($JC39=2,30,0),IF(40=$HK39,IF($JC39=1,30,0),ABS(16-$HC39)*100)),100000+ABS(2-$HB39)*1000+160)),IF($HD39=0,999999,IF(2=$HE39,IF(40=$HL39,IF($JD39=2,30,0),IF(40=$HM39,IF($JD39=1,30,0),ABS(16-$HF39)*100)),100000+ABS(2-$HE39)*1000+160)),IF($HG39=0,999999,IF(2=$HH39,IF(40=$HN39,IF($JE39=2,30,0),IF(40=$HO39,IF($JE39=1,30,0),ABS(16-$HI39)*100)),100000+ABS(2-$HH39)*1000+160)))-IF((40=$HJ39)+(40=$HK39)+(40=$HL39)+(40=$HM39)+(40=$HN39)+(40=$HO39)&gt;=2,50,0))+AQ$5*50)</f>
        <v/>
      </c>
      <c r="AR159">
        <f>IF(OR($JF39=0,calcA!$A$6=0),0,IF(OR(41=$HA39,41=$HD39,41=$HG39),200000,MIN(IF($HA39=0,999999,IF(2=$HB39,IF(41=$HJ39,IF($JC39=2,30,0),IF(41=$HK39,IF($JC39=1,30,0),ABS(17-$HC39)*100)),100000+ABS(2-$HB39)*1000+170)),IF($HD39=0,999999,IF(2=$HE39,IF(41=$HL39,IF($JD39=2,30,0),IF(41=$HM39,IF($JD39=1,30,0),ABS(17-$HF39)*100)),100000+ABS(2-$HE39)*1000+170)),IF($HG39=0,999999,IF(2=$HH39,IF(41=$HN39,IF($JE39=2,30,0),IF(41=$HO39,IF($JE39=1,30,0),ABS(17-$HI39)*100)),100000+ABS(2-$HH39)*1000+170)))-IF((41=$HJ39)+(41=$HK39)+(41=$HL39)+(41=$HM39)+(41=$HN39)+(41=$HO39)&gt;=2,50,0))+AR$5*50)</f>
        <v/>
      </c>
      <c r="AS159">
        <f>IF(OR($JF39=0,calcA!$A$6=0),0,IF(OR(42=$HA39,42=$HD39,42=$HG39),200000,MIN(IF($HA39=0,999999,IF(2=$HB39,IF(42=$HJ39,IF($JC39=2,30,0),IF(42=$HK39,IF($JC39=1,30,0),ABS(18-$HC39)*100)),100000+ABS(2-$HB39)*1000+180)),IF($HD39=0,999999,IF(2=$HE39,IF(42=$HL39,IF($JD39=2,30,0),IF(42=$HM39,IF($JD39=1,30,0),ABS(18-$HF39)*100)),100000+ABS(2-$HE39)*1000+180)),IF($HG39=0,999999,IF(2=$HH39,IF(42=$HN39,IF($JE39=2,30,0),IF(42=$HO39,IF($JE39=1,30,0),ABS(18-$HI39)*100)),100000+ABS(2-$HH39)*1000+180)))-IF((42=$HJ39)+(42=$HK39)+(42=$HL39)+(42=$HM39)+(42=$HN39)+(42=$HO39)&gt;=2,50,0))+AS$5*50)</f>
        <v/>
      </c>
      <c r="AT159">
        <f>IF(OR($JF39=0,calcA!$A$6=0),0,IF(OR(43=$HA39,43=$HD39,43=$HG39),200000,MIN(IF($HA39=0,999999,IF(2=$HB39,IF(43=$HJ39,IF($JC39=2,30,0),IF(43=$HK39,IF($JC39=1,30,0),ABS(19-$HC39)*100)),100000+ABS(2-$HB39)*1000+190)),IF($HD39=0,999999,IF(2=$HE39,IF(43=$HL39,IF($JD39=2,30,0),IF(43=$HM39,IF($JD39=1,30,0),ABS(19-$HF39)*100)),100000+ABS(2-$HE39)*1000+190)),IF($HG39=0,999999,IF(2=$HH39,IF(43=$HN39,IF($JE39=2,30,0),IF(43=$HO39,IF($JE39=1,30,0),ABS(19-$HI39)*100)),100000+ABS(2-$HH39)*1000+190)))-IF((43=$HJ39)+(43=$HK39)+(43=$HL39)+(43=$HM39)+(43=$HN39)+(43=$HO39)&gt;=2,50,0))+AT$5*50)</f>
        <v/>
      </c>
      <c r="AU159">
        <f>IF(OR($JF39=0,calcA!$A$6=0),0,IF(OR(44=$HA39,44=$HD39,44=$HG39),200000,MIN(IF($HA39=0,999999,IF(2=$HB39,IF(44=$HJ39,IF($JC39=2,30,0),IF(44=$HK39,IF($JC39=1,30,0),ABS(20-$HC39)*100)),100000+ABS(2-$HB39)*1000+200)),IF($HD39=0,999999,IF(2=$HE39,IF(44=$HL39,IF($JD39=2,30,0),IF(44=$HM39,IF($JD39=1,30,0),ABS(20-$HF39)*100)),100000+ABS(2-$HE39)*1000+200)),IF($HG39=0,999999,IF(2=$HH39,IF(44=$HN39,IF($JE39=2,30,0),IF(44=$HO39,IF($JE39=1,30,0),ABS(20-$HI39)*100)),100000+ABS(2-$HH39)*1000+200)))-IF((44=$HJ39)+(44=$HK39)+(44=$HL39)+(44=$HM39)+(44=$HN39)+(44=$HO39)&gt;=2,50,0))+AU$5*50)</f>
        <v/>
      </c>
      <c r="AV159">
        <f>IF(OR($JF39=0,calcA!$A$6=0),0,IF(OR(45=$HA39,45=$HD39,45=$HG39),200000,MIN(IF($HA39=0,999999,IF(2=$HB39,IF(45=$HJ39,IF($JC39=2,30,0),IF(45=$HK39,IF($JC39=1,30,0),ABS(21-$HC39)*100)),100000+ABS(2-$HB39)*1000+210)),IF($HD39=0,999999,IF(2=$HE39,IF(45=$HL39,IF($JD39=2,30,0),IF(45=$HM39,IF($JD39=1,30,0),ABS(21-$HF39)*100)),100000+ABS(2-$HE39)*1000+210)),IF($HG39=0,999999,IF(2=$HH39,IF(45=$HN39,IF($JE39=2,30,0),IF(45=$HO39,IF($JE39=1,30,0),ABS(21-$HI39)*100)),100000+ABS(2-$HH39)*1000+210)))-IF((45=$HJ39)+(45=$HK39)+(45=$HL39)+(45=$HM39)+(45=$HN39)+(45=$HO39)&gt;=2,50,0))+AV$5*50)</f>
        <v/>
      </c>
      <c r="AW159">
        <f>IF(OR($JF39=0,calcA!$A$6=0),0,IF(OR(46=$HA39,46=$HD39,46=$HG39),200000,MIN(IF($HA39=0,999999,IF(2=$HB39,IF(46=$HJ39,IF($JC39=2,30,0),IF(46=$HK39,IF($JC39=1,30,0),ABS(22-$HC39)*100)),100000+ABS(2-$HB39)*1000+220)),IF($HD39=0,999999,IF(2=$HE39,IF(46=$HL39,IF($JD39=2,30,0),IF(46=$HM39,IF($JD39=1,30,0),ABS(22-$HF39)*100)),100000+ABS(2-$HE39)*1000+220)),IF($HG39=0,999999,IF(2=$HH39,IF(46=$HN39,IF($JE39=2,30,0),IF(46=$HO39,IF($JE39=1,30,0),ABS(22-$HI39)*100)),100000+ABS(2-$HH39)*1000+220)))-IF((46=$HJ39)+(46=$HK39)+(46=$HL39)+(46=$HM39)+(46=$HN39)+(46=$HO39)&gt;=2,50,0))+AW$5*50)</f>
        <v/>
      </c>
      <c r="AX159">
        <f>IF(OR($JF39=0,calcA!$A$6=0),0,IF(OR(47=$HA39,47=$HD39,47=$HG39),200000,MIN(IF($HA39=0,999999,IF(2=$HB39,IF(47=$HJ39,IF($JC39=2,30,0),IF(47=$HK39,IF($JC39=1,30,0),ABS(23-$HC39)*100)),100000+ABS(2-$HB39)*1000+230)),IF($HD39=0,999999,IF(2=$HE39,IF(47=$HL39,IF($JD39=2,30,0),IF(47=$HM39,IF($JD39=1,30,0),ABS(23-$HF39)*100)),100000+ABS(2-$HE39)*1000+230)),IF($HG39=0,999999,IF(2=$HH39,IF(47=$HN39,IF($JE39=2,30,0),IF(47=$HO39,IF($JE39=1,30,0),ABS(23-$HI39)*100)),100000+ABS(2-$HH39)*1000+230)))-IF((47=$HJ39)+(47=$HK39)+(47=$HL39)+(47=$HM39)+(47=$HN39)+(47=$HO39)&gt;=2,50,0))+AX$5*50)</f>
        <v/>
      </c>
      <c r="AY159">
        <f>IF(OR($JF39=0,calcA!$A$6=0),0,IF(OR(48=$HA39,48=$HD39,48=$HG39),200000,MIN(IF($HA39=0,999999,IF(2=$HB39,IF(48=$HJ39,IF($JC39=2,30,0),IF(48=$HK39,IF($JC39=1,30,0),ABS(24-$HC39)*100)),100000+ABS(2-$HB39)*1000+240)),IF($HD39=0,999999,IF(2=$HE39,IF(48=$HL39,IF($JD39=2,30,0),IF(48=$HM39,IF($JD39=1,30,0),ABS(24-$HF39)*100)),100000+ABS(2-$HE39)*1000+240)),IF($HG39=0,999999,IF(2=$HH39,IF(48=$HN39,IF($JE39=2,30,0),IF(48=$HO39,IF($JE39=1,30,0),ABS(24-$HI39)*100)),100000+ABS(2-$HH39)*1000+240)))-IF((48=$HJ39)+(48=$HK39)+(48=$HL39)+(48=$HM39)+(48=$HN39)+(48=$HO39)&gt;=2,50,0))+AY$5*50)</f>
        <v/>
      </c>
      <c r="AZ159">
        <f>IF(OR($JF39=0,calcA!$A$6=0),0,IF(OR(49=$HA39,49=$HD39,49=$HG39),200000,MIN(IF($HA39=0,999999,IF(3=$HB39,IF(49=$HJ39,IF($JC39=2,30,0),IF(49=$HK39,IF($JC39=1,30,0),ABS(1-$HC39)*100)),100000+ABS(3-$HB39)*1000+10)),IF($HD39=0,999999,IF(3=$HE39,IF(49=$HL39,IF($JD39=2,30,0),IF(49=$HM39,IF($JD39=1,30,0),ABS(1-$HF39)*100)),100000+ABS(3-$HE39)*1000+10)),IF($HG39=0,999999,IF(3=$HH39,IF(49=$HN39,IF($JE39=2,30,0),IF(49=$HO39,IF($JE39=1,30,0),ABS(1-$HI39)*100)),100000+ABS(3-$HH39)*1000+10)))-IF((49=$HJ39)+(49=$HK39)+(49=$HL39)+(49=$HM39)+(49=$HN39)+(49=$HO39)&gt;=2,50,0))+AZ$5*50)</f>
        <v/>
      </c>
      <c r="BA159">
        <f>IF(OR($JF39=0,calcA!$A$6=0),0,IF(OR(50=$HA39,50=$HD39,50=$HG39),200000,MIN(IF($HA39=0,999999,IF(3=$HB39,IF(50=$HJ39,IF($JC39=2,30,0),IF(50=$HK39,IF($JC39=1,30,0),ABS(2-$HC39)*100)),100000+ABS(3-$HB39)*1000+20)),IF($HD39=0,999999,IF(3=$HE39,IF(50=$HL39,IF($JD39=2,30,0),IF(50=$HM39,IF($JD39=1,30,0),ABS(2-$HF39)*100)),100000+ABS(3-$HE39)*1000+20)),IF($HG39=0,999999,IF(3=$HH39,IF(50=$HN39,IF($JE39=2,30,0),IF(50=$HO39,IF($JE39=1,30,0),ABS(2-$HI39)*100)),100000+ABS(3-$HH39)*1000+20)))-IF((50=$HJ39)+(50=$HK39)+(50=$HL39)+(50=$HM39)+(50=$HN39)+(50=$HO39)&gt;=2,50,0))+BA$5*50)</f>
        <v/>
      </c>
      <c r="BB159">
        <f>IF(OR($JF39=0,calcA!$A$6=0),0,IF(OR(51=$HA39,51=$HD39,51=$HG39),200000,MIN(IF($HA39=0,999999,IF(3=$HB39,IF(51=$HJ39,IF($JC39=2,30,0),IF(51=$HK39,IF($JC39=1,30,0),ABS(3-$HC39)*100)),100000+ABS(3-$HB39)*1000+30)),IF($HD39=0,999999,IF(3=$HE39,IF(51=$HL39,IF($JD39=2,30,0),IF(51=$HM39,IF($JD39=1,30,0),ABS(3-$HF39)*100)),100000+ABS(3-$HE39)*1000+30)),IF($HG39=0,999999,IF(3=$HH39,IF(51=$HN39,IF($JE39=2,30,0),IF(51=$HO39,IF($JE39=1,30,0),ABS(3-$HI39)*100)),100000+ABS(3-$HH39)*1000+30)))-IF((51=$HJ39)+(51=$HK39)+(51=$HL39)+(51=$HM39)+(51=$HN39)+(51=$HO39)&gt;=2,50,0))+BB$5*50)</f>
        <v/>
      </c>
      <c r="BC159">
        <f>IF(OR($JF39=0,calcA!$A$6=0),0,IF(OR(52=$HA39,52=$HD39,52=$HG39),200000,MIN(IF($HA39=0,999999,IF(3=$HB39,IF(52=$HJ39,IF($JC39=2,30,0),IF(52=$HK39,IF($JC39=1,30,0),ABS(4-$HC39)*100)),100000+ABS(3-$HB39)*1000+40)),IF($HD39=0,999999,IF(3=$HE39,IF(52=$HL39,IF($JD39=2,30,0),IF(52=$HM39,IF($JD39=1,30,0),ABS(4-$HF39)*100)),100000+ABS(3-$HE39)*1000+40)),IF($HG39=0,999999,IF(3=$HH39,IF(52=$HN39,IF($JE39=2,30,0),IF(52=$HO39,IF($JE39=1,30,0),ABS(4-$HI39)*100)),100000+ABS(3-$HH39)*1000+40)))-IF((52=$HJ39)+(52=$HK39)+(52=$HL39)+(52=$HM39)+(52=$HN39)+(52=$HO39)&gt;=2,50,0))+BC$5*50)</f>
        <v/>
      </c>
      <c r="BD159">
        <f>IF(OR($JF39=0,calcA!$A$6=0),0,IF(OR(53=$HA39,53=$HD39,53=$HG39),200000,MIN(IF($HA39=0,999999,IF(3=$HB39,IF(53=$HJ39,IF($JC39=2,30,0),IF(53=$HK39,IF($JC39=1,30,0),ABS(5-$HC39)*100)),100000+ABS(3-$HB39)*1000+50)),IF($HD39=0,999999,IF(3=$HE39,IF(53=$HL39,IF($JD39=2,30,0),IF(53=$HM39,IF($JD39=1,30,0),ABS(5-$HF39)*100)),100000+ABS(3-$HE39)*1000+50)),IF($HG39=0,999999,IF(3=$HH39,IF(53=$HN39,IF($JE39=2,30,0),IF(53=$HO39,IF($JE39=1,30,0),ABS(5-$HI39)*100)),100000+ABS(3-$HH39)*1000+50)))-IF((53=$HJ39)+(53=$HK39)+(53=$HL39)+(53=$HM39)+(53=$HN39)+(53=$HO39)&gt;=2,50,0))+BD$5*50)</f>
        <v/>
      </c>
      <c r="BE159">
        <f>IF(OR($JF39=0,calcA!$A$6=0),0,IF(OR(54=$HA39,54=$HD39,54=$HG39),200000,MIN(IF($HA39=0,999999,IF(3=$HB39,IF(54=$HJ39,IF($JC39=2,30,0),IF(54=$HK39,IF($JC39=1,30,0),ABS(6-$HC39)*100)),100000+ABS(3-$HB39)*1000+60)),IF($HD39=0,999999,IF(3=$HE39,IF(54=$HL39,IF($JD39=2,30,0),IF(54=$HM39,IF($JD39=1,30,0),ABS(6-$HF39)*100)),100000+ABS(3-$HE39)*1000+60)),IF($HG39=0,999999,IF(3=$HH39,IF(54=$HN39,IF($JE39=2,30,0),IF(54=$HO39,IF($JE39=1,30,0),ABS(6-$HI39)*100)),100000+ABS(3-$HH39)*1000+60)))-IF((54=$HJ39)+(54=$HK39)+(54=$HL39)+(54=$HM39)+(54=$HN39)+(54=$HO39)&gt;=2,50,0))+BE$5*50)</f>
        <v/>
      </c>
      <c r="BF159">
        <f>IF(OR($JF39=0,calcA!$A$6=0),0,IF(OR(55=$HA39,55=$HD39,55=$HG39),200000,MIN(IF($HA39=0,999999,IF(3=$HB39,IF(55=$HJ39,IF($JC39=2,30,0),IF(55=$HK39,IF($JC39=1,30,0),ABS(7-$HC39)*100)),100000+ABS(3-$HB39)*1000+70)),IF($HD39=0,999999,IF(3=$HE39,IF(55=$HL39,IF($JD39=2,30,0),IF(55=$HM39,IF($JD39=1,30,0),ABS(7-$HF39)*100)),100000+ABS(3-$HE39)*1000+70)),IF($HG39=0,999999,IF(3=$HH39,IF(55=$HN39,IF($JE39=2,30,0),IF(55=$HO39,IF($JE39=1,30,0),ABS(7-$HI39)*100)),100000+ABS(3-$HH39)*1000+70)))-IF((55=$HJ39)+(55=$HK39)+(55=$HL39)+(55=$HM39)+(55=$HN39)+(55=$HO39)&gt;=2,50,0))+BF$5*50)</f>
        <v/>
      </c>
      <c r="BG159">
        <f>IF(OR($JF39=0,calcA!$A$6=0),0,IF(OR(56=$HA39,56=$HD39,56=$HG39),200000,MIN(IF($HA39=0,999999,IF(3=$HB39,IF(56=$HJ39,IF($JC39=2,30,0),IF(56=$HK39,IF($JC39=1,30,0),ABS(8-$HC39)*100)),100000+ABS(3-$HB39)*1000+80)),IF($HD39=0,999999,IF(3=$HE39,IF(56=$HL39,IF($JD39=2,30,0),IF(56=$HM39,IF($JD39=1,30,0),ABS(8-$HF39)*100)),100000+ABS(3-$HE39)*1000+80)),IF($HG39=0,999999,IF(3=$HH39,IF(56=$HN39,IF($JE39=2,30,0),IF(56=$HO39,IF($JE39=1,30,0),ABS(8-$HI39)*100)),100000+ABS(3-$HH39)*1000+80)))-IF((56=$HJ39)+(56=$HK39)+(56=$HL39)+(56=$HM39)+(56=$HN39)+(56=$HO39)&gt;=2,50,0))+BG$5*50)</f>
        <v/>
      </c>
      <c r="BH159">
        <f>IF(OR($JF39=0,calcA!$A$6=0),0,IF(OR(57=$HA39,57=$HD39,57=$HG39),200000,MIN(IF($HA39=0,999999,IF(3=$HB39,IF(57=$HJ39,IF($JC39=2,30,0),IF(57=$HK39,IF($JC39=1,30,0),ABS(9-$HC39)*100)),100000+ABS(3-$HB39)*1000+90)),IF($HD39=0,999999,IF(3=$HE39,IF(57=$HL39,IF($JD39=2,30,0),IF(57=$HM39,IF($JD39=1,30,0),ABS(9-$HF39)*100)),100000+ABS(3-$HE39)*1000+90)),IF($HG39=0,999999,IF(3=$HH39,IF(57=$HN39,IF($JE39=2,30,0),IF(57=$HO39,IF($JE39=1,30,0),ABS(9-$HI39)*100)),100000+ABS(3-$HH39)*1000+90)))-IF((57=$HJ39)+(57=$HK39)+(57=$HL39)+(57=$HM39)+(57=$HN39)+(57=$HO39)&gt;=2,50,0))+BH$5*50)</f>
        <v/>
      </c>
      <c r="BI159">
        <f>IF(OR($JF39=0,calcA!$A$6=0),0,IF(OR(58=$HA39,58=$HD39,58=$HG39),200000,MIN(IF($HA39=0,999999,IF(3=$HB39,IF(58=$HJ39,IF($JC39=2,30,0),IF(58=$HK39,IF($JC39=1,30,0),ABS(10-$HC39)*100)),100000+ABS(3-$HB39)*1000+100)),IF($HD39=0,999999,IF(3=$HE39,IF(58=$HL39,IF($JD39=2,30,0),IF(58=$HM39,IF($JD39=1,30,0),ABS(10-$HF39)*100)),100000+ABS(3-$HE39)*1000+100)),IF($HG39=0,999999,IF(3=$HH39,IF(58=$HN39,IF($JE39=2,30,0),IF(58=$HO39,IF($JE39=1,30,0),ABS(10-$HI39)*100)),100000+ABS(3-$HH39)*1000+100)))-IF((58=$HJ39)+(58=$HK39)+(58=$HL39)+(58=$HM39)+(58=$HN39)+(58=$HO39)&gt;=2,50,0))+BI$5*50)</f>
        <v/>
      </c>
      <c r="BJ159">
        <f>IF(OR($JF39=0,calcA!$A$6=0),0,IF(OR(59=$HA39,59=$HD39,59=$HG39),200000,MIN(IF($HA39=0,999999,IF(3=$HB39,IF(59=$HJ39,IF($JC39=2,30,0),IF(59=$HK39,IF($JC39=1,30,0),ABS(11-$HC39)*100)),100000+ABS(3-$HB39)*1000+110)),IF($HD39=0,999999,IF(3=$HE39,IF(59=$HL39,IF($JD39=2,30,0),IF(59=$HM39,IF($JD39=1,30,0),ABS(11-$HF39)*100)),100000+ABS(3-$HE39)*1000+110)),IF($HG39=0,999999,IF(3=$HH39,IF(59=$HN39,IF($JE39=2,30,0),IF(59=$HO39,IF($JE39=1,30,0),ABS(11-$HI39)*100)),100000+ABS(3-$HH39)*1000+110)))-IF((59=$HJ39)+(59=$HK39)+(59=$HL39)+(59=$HM39)+(59=$HN39)+(59=$HO39)&gt;=2,50,0))+BJ$5*50)</f>
        <v/>
      </c>
      <c r="BK159">
        <f>IF(OR($JF39=0,calcA!$A$6=0),0,IF(OR(60=$HA39,60=$HD39,60=$HG39),200000,MIN(IF($HA39=0,999999,IF(3=$HB39,IF(60=$HJ39,IF($JC39=2,30,0),IF(60=$HK39,IF($JC39=1,30,0),ABS(12-$HC39)*100)),100000+ABS(3-$HB39)*1000+120)),IF($HD39=0,999999,IF(3=$HE39,IF(60=$HL39,IF($JD39=2,30,0),IF(60=$HM39,IF($JD39=1,30,0),ABS(12-$HF39)*100)),100000+ABS(3-$HE39)*1000+120)),IF($HG39=0,999999,IF(3=$HH39,IF(60=$HN39,IF($JE39=2,30,0),IF(60=$HO39,IF($JE39=1,30,0),ABS(12-$HI39)*100)),100000+ABS(3-$HH39)*1000+120)))-IF((60=$HJ39)+(60=$HK39)+(60=$HL39)+(60=$HM39)+(60=$HN39)+(60=$HO39)&gt;=2,50,0))+BK$5*50)</f>
        <v/>
      </c>
      <c r="BL159">
        <f>IF(OR($JF39=0,calcA!$A$6=0),0,IF(OR(61=$HA39,61=$HD39,61=$HG39),200000,MIN(IF($HA39=0,999999,IF(3=$HB39,IF(61=$HJ39,IF($JC39=2,30,0),IF(61=$HK39,IF($JC39=1,30,0),ABS(13-$HC39)*100)),100000+ABS(3-$HB39)*1000+130)),IF($HD39=0,999999,IF(3=$HE39,IF(61=$HL39,IF($JD39=2,30,0),IF(61=$HM39,IF($JD39=1,30,0),ABS(13-$HF39)*100)),100000+ABS(3-$HE39)*1000+130)),IF($HG39=0,999999,IF(3=$HH39,IF(61=$HN39,IF($JE39=2,30,0),IF(61=$HO39,IF($JE39=1,30,0),ABS(13-$HI39)*100)),100000+ABS(3-$HH39)*1000+130)))-IF((61=$HJ39)+(61=$HK39)+(61=$HL39)+(61=$HM39)+(61=$HN39)+(61=$HO39)&gt;=2,50,0))+BL$5*50)</f>
        <v/>
      </c>
      <c r="BM159">
        <f>IF(OR($JF39=0,calcA!$A$6=0),0,IF(OR(62=$HA39,62=$HD39,62=$HG39),200000,MIN(IF($HA39=0,999999,IF(3=$HB39,IF(62=$HJ39,IF($JC39=2,30,0),IF(62=$HK39,IF($JC39=1,30,0),ABS(14-$HC39)*100)),100000+ABS(3-$HB39)*1000+140)),IF($HD39=0,999999,IF(3=$HE39,IF(62=$HL39,IF($JD39=2,30,0),IF(62=$HM39,IF($JD39=1,30,0),ABS(14-$HF39)*100)),100000+ABS(3-$HE39)*1000+140)),IF($HG39=0,999999,IF(3=$HH39,IF(62=$HN39,IF($JE39=2,30,0),IF(62=$HO39,IF($JE39=1,30,0),ABS(14-$HI39)*100)),100000+ABS(3-$HH39)*1000+140)))-IF((62=$HJ39)+(62=$HK39)+(62=$HL39)+(62=$HM39)+(62=$HN39)+(62=$HO39)&gt;=2,50,0))+BM$5*50)</f>
        <v/>
      </c>
      <c r="BN159">
        <f>IF(OR($JF39=0,calcA!$A$6=0),0,IF(OR(63=$HA39,63=$HD39,63=$HG39),200000,MIN(IF($HA39=0,999999,IF(3=$HB39,IF(63=$HJ39,IF($JC39=2,30,0),IF(63=$HK39,IF($JC39=1,30,0),ABS(15-$HC39)*100)),100000+ABS(3-$HB39)*1000+150)),IF($HD39=0,999999,IF(3=$HE39,IF(63=$HL39,IF($JD39=2,30,0),IF(63=$HM39,IF($JD39=1,30,0),ABS(15-$HF39)*100)),100000+ABS(3-$HE39)*1000+150)),IF($HG39=0,999999,IF(3=$HH39,IF(63=$HN39,IF($JE39=2,30,0),IF(63=$HO39,IF($JE39=1,30,0),ABS(15-$HI39)*100)),100000+ABS(3-$HH39)*1000+150)))-IF((63=$HJ39)+(63=$HK39)+(63=$HL39)+(63=$HM39)+(63=$HN39)+(63=$HO39)&gt;=2,50,0))+BN$5*50)</f>
        <v/>
      </c>
      <c r="BO159">
        <f>IF(OR($JF39=0,calcA!$A$6=0),0,IF(OR(64=$HA39,64=$HD39,64=$HG39),200000,MIN(IF($HA39=0,999999,IF(3=$HB39,IF(64=$HJ39,IF($JC39=2,30,0),IF(64=$HK39,IF($JC39=1,30,0),ABS(16-$HC39)*100)),100000+ABS(3-$HB39)*1000+160)),IF($HD39=0,999999,IF(3=$HE39,IF(64=$HL39,IF($JD39=2,30,0),IF(64=$HM39,IF($JD39=1,30,0),ABS(16-$HF39)*100)),100000+ABS(3-$HE39)*1000+160)),IF($HG39=0,999999,IF(3=$HH39,IF(64=$HN39,IF($JE39=2,30,0),IF(64=$HO39,IF($JE39=1,30,0),ABS(16-$HI39)*100)),100000+ABS(3-$HH39)*1000+160)))-IF((64=$HJ39)+(64=$HK39)+(64=$HL39)+(64=$HM39)+(64=$HN39)+(64=$HO39)&gt;=2,50,0))+BO$5*50)</f>
        <v/>
      </c>
      <c r="BP159">
        <f>IF(OR($JF39=0,calcA!$A$6=0),0,IF(OR(65=$HA39,65=$HD39,65=$HG39),200000,MIN(IF($HA39=0,999999,IF(3=$HB39,IF(65=$HJ39,IF($JC39=2,30,0),IF(65=$HK39,IF($JC39=1,30,0),ABS(17-$HC39)*100)),100000+ABS(3-$HB39)*1000+170)),IF($HD39=0,999999,IF(3=$HE39,IF(65=$HL39,IF($JD39=2,30,0),IF(65=$HM39,IF($JD39=1,30,0),ABS(17-$HF39)*100)),100000+ABS(3-$HE39)*1000+170)),IF($HG39=0,999999,IF(3=$HH39,IF(65=$HN39,IF($JE39=2,30,0),IF(65=$HO39,IF($JE39=1,30,0),ABS(17-$HI39)*100)),100000+ABS(3-$HH39)*1000+170)))-IF((65=$HJ39)+(65=$HK39)+(65=$HL39)+(65=$HM39)+(65=$HN39)+(65=$HO39)&gt;=2,50,0))+BP$5*50)</f>
        <v/>
      </c>
      <c r="BQ159">
        <f>IF(OR($JF39=0,calcA!$A$6=0),0,IF(OR(66=$HA39,66=$HD39,66=$HG39),200000,MIN(IF($HA39=0,999999,IF(3=$HB39,IF(66=$HJ39,IF($JC39=2,30,0),IF(66=$HK39,IF($JC39=1,30,0),ABS(18-$HC39)*100)),100000+ABS(3-$HB39)*1000+180)),IF($HD39=0,999999,IF(3=$HE39,IF(66=$HL39,IF($JD39=2,30,0),IF(66=$HM39,IF($JD39=1,30,0),ABS(18-$HF39)*100)),100000+ABS(3-$HE39)*1000+180)),IF($HG39=0,999999,IF(3=$HH39,IF(66=$HN39,IF($JE39=2,30,0),IF(66=$HO39,IF($JE39=1,30,0),ABS(18-$HI39)*100)),100000+ABS(3-$HH39)*1000+180)))-IF((66=$HJ39)+(66=$HK39)+(66=$HL39)+(66=$HM39)+(66=$HN39)+(66=$HO39)&gt;=2,50,0))+BQ$5*50)</f>
        <v/>
      </c>
      <c r="BR159">
        <f>IF(OR($JF39=0,calcA!$A$6=0),0,IF(OR(67=$HA39,67=$HD39,67=$HG39),200000,MIN(IF($HA39=0,999999,IF(3=$HB39,IF(67=$HJ39,IF($JC39=2,30,0),IF(67=$HK39,IF($JC39=1,30,0),ABS(19-$HC39)*100)),100000+ABS(3-$HB39)*1000+190)),IF($HD39=0,999999,IF(3=$HE39,IF(67=$HL39,IF($JD39=2,30,0),IF(67=$HM39,IF($JD39=1,30,0),ABS(19-$HF39)*100)),100000+ABS(3-$HE39)*1000+190)),IF($HG39=0,999999,IF(3=$HH39,IF(67=$HN39,IF($JE39=2,30,0),IF(67=$HO39,IF($JE39=1,30,0),ABS(19-$HI39)*100)),100000+ABS(3-$HH39)*1000+190)))-IF((67=$HJ39)+(67=$HK39)+(67=$HL39)+(67=$HM39)+(67=$HN39)+(67=$HO39)&gt;=2,50,0))+BR$5*50)</f>
        <v/>
      </c>
      <c r="BS159">
        <f>IF(OR($JF39=0,calcA!$A$6=0),0,IF(OR(68=$HA39,68=$HD39,68=$HG39),200000,MIN(IF($HA39=0,999999,IF(3=$HB39,IF(68=$HJ39,IF($JC39=2,30,0),IF(68=$HK39,IF($JC39=1,30,0),ABS(20-$HC39)*100)),100000+ABS(3-$HB39)*1000+200)),IF($HD39=0,999999,IF(3=$HE39,IF(68=$HL39,IF($JD39=2,30,0),IF(68=$HM39,IF($JD39=1,30,0),ABS(20-$HF39)*100)),100000+ABS(3-$HE39)*1000+200)),IF($HG39=0,999999,IF(3=$HH39,IF(68=$HN39,IF($JE39=2,30,0),IF(68=$HO39,IF($JE39=1,30,0),ABS(20-$HI39)*100)),100000+ABS(3-$HH39)*1000+200)))-IF((68=$HJ39)+(68=$HK39)+(68=$HL39)+(68=$HM39)+(68=$HN39)+(68=$HO39)&gt;=2,50,0))+BS$5*50)</f>
        <v/>
      </c>
      <c r="BT159">
        <f>IF(OR($JF39=0,calcA!$A$6=0),0,IF(OR(69=$HA39,69=$HD39,69=$HG39),200000,MIN(IF($HA39=0,999999,IF(3=$HB39,IF(69=$HJ39,IF($JC39=2,30,0),IF(69=$HK39,IF($JC39=1,30,0),ABS(21-$HC39)*100)),100000+ABS(3-$HB39)*1000+210)),IF($HD39=0,999999,IF(3=$HE39,IF(69=$HL39,IF($JD39=2,30,0),IF(69=$HM39,IF($JD39=1,30,0),ABS(21-$HF39)*100)),100000+ABS(3-$HE39)*1000+210)),IF($HG39=0,999999,IF(3=$HH39,IF(69=$HN39,IF($JE39=2,30,0),IF(69=$HO39,IF($JE39=1,30,0),ABS(21-$HI39)*100)),100000+ABS(3-$HH39)*1000+210)))-IF((69=$HJ39)+(69=$HK39)+(69=$HL39)+(69=$HM39)+(69=$HN39)+(69=$HO39)&gt;=2,50,0))+BT$5*50)</f>
        <v/>
      </c>
      <c r="BU159">
        <f>IF(OR($JF39=0,calcA!$A$6=0),0,IF(OR(70=$HA39,70=$HD39,70=$HG39),200000,MIN(IF($HA39=0,999999,IF(3=$HB39,IF(70=$HJ39,IF($JC39=2,30,0),IF(70=$HK39,IF($JC39=1,30,0),ABS(22-$HC39)*100)),100000+ABS(3-$HB39)*1000+220)),IF($HD39=0,999999,IF(3=$HE39,IF(70=$HL39,IF($JD39=2,30,0),IF(70=$HM39,IF($JD39=1,30,0),ABS(22-$HF39)*100)),100000+ABS(3-$HE39)*1000+220)),IF($HG39=0,999999,IF(3=$HH39,IF(70=$HN39,IF($JE39=2,30,0),IF(70=$HO39,IF($JE39=1,30,0),ABS(22-$HI39)*100)),100000+ABS(3-$HH39)*1000+220)))-IF((70=$HJ39)+(70=$HK39)+(70=$HL39)+(70=$HM39)+(70=$HN39)+(70=$HO39)&gt;=2,50,0))+BU$5*50)</f>
        <v/>
      </c>
      <c r="BV159">
        <f>IF(OR($JF39=0,calcA!$A$6=0),0,IF(OR(71=$HA39,71=$HD39,71=$HG39),200000,MIN(IF($HA39=0,999999,IF(3=$HB39,IF(71=$HJ39,IF($JC39=2,30,0),IF(71=$HK39,IF($JC39=1,30,0),ABS(23-$HC39)*100)),100000+ABS(3-$HB39)*1000+230)),IF($HD39=0,999999,IF(3=$HE39,IF(71=$HL39,IF($JD39=2,30,0),IF(71=$HM39,IF($JD39=1,30,0),ABS(23-$HF39)*100)),100000+ABS(3-$HE39)*1000+230)),IF($HG39=0,999999,IF(3=$HH39,IF(71=$HN39,IF($JE39=2,30,0),IF(71=$HO39,IF($JE39=1,30,0),ABS(23-$HI39)*100)),100000+ABS(3-$HH39)*1000+230)))-IF((71=$HJ39)+(71=$HK39)+(71=$HL39)+(71=$HM39)+(71=$HN39)+(71=$HO39)&gt;=2,50,0))+BV$5*50)</f>
        <v/>
      </c>
      <c r="BW159">
        <f>IF(OR($JF39=0,calcA!$A$6=0),0,IF(OR(72=$HA39,72=$HD39,72=$HG39),200000,MIN(IF($HA39=0,999999,IF(3=$HB39,IF(72=$HJ39,IF($JC39=2,30,0),IF(72=$HK39,IF($JC39=1,30,0),ABS(24-$HC39)*100)),100000+ABS(3-$HB39)*1000+240)),IF($HD39=0,999999,IF(3=$HE39,IF(72=$HL39,IF($JD39=2,30,0),IF(72=$HM39,IF($JD39=1,30,0),ABS(24-$HF39)*100)),100000+ABS(3-$HE39)*1000+240)),IF($HG39=0,999999,IF(3=$HH39,IF(72=$HN39,IF($JE39=2,30,0),IF(72=$HO39,IF($JE39=1,30,0),ABS(24-$HI39)*100)),100000+ABS(3-$HH39)*1000+240)))-IF((72=$HJ39)+(72=$HK39)+(72=$HL39)+(72=$HM39)+(72=$HN39)+(72=$HO39)&gt;=2,50,0))+BW$5*50)</f>
        <v/>
      </c>
      <c r="BX159">
        <f>IF(OR($JF39=0,calcA!$A$6=0),0,IF(OR(73=$HA39,73=$HD39,73=$HG39),200000,MIN(IF($HA39=0,999999,IF(4=$HB39,IF(73=$HJ39,IF($JC39=2,30,0),IF(73=$HK39,IF($JC39=1,30,0),ABS(1-$HC39)*100)),100000+ABS(4-$HB39)*1000+10)),IF($HD39=0,999999,IF(4=$HE39,IF(73=$HL39,IF($JD39=2,30,0),IF(73=$HM39,IF($JD39=1,30,0),ABS(1-$HF39)*100)),100000+ABS(4-$HE39)*1000+10)),IF($HG39=0,999999,IF(4=$HH39,IF(73=$HN39,IF($JE39=2,30,0),IF(73=$HO39,IF($JE39=1,30,0),ABS(1-$HI39)*100)),100000+ABS(4-$HH39)*1000+10)))-IF((73=$HJ39)+(73=$HK39)+(73=$HL39)+(73=$HM39)+(73=$HN39)+(73=$HO39)&gt;=2,50,0))+BX$5*50)</f>
        <v/>
      </c>
      <c r="BY159">
        <f>IF(OR($JF39=0,calcA!$A$6=0),0,IF(OR(74=$HA39,74=$HD39,74=$HG39),200000,MIN(IF($HA39=0,999999,IF(4=$HB39,IF(74=$HJ39,IF($JC39=2,30,0),IF(74=$HK39,IF($JC39=1,30,0),ABS(2-$HC39)*100)),100000+ABS(4-$HB39)*1000+20)),IF($HD39=0,999999,IF(4=$HE39,IF(74=$HL39,IF($JD39=2,30,0),IF(74=$HM39,IF($JD39=1,30,0),ABS(2-$HF39)*100)),100000+ABS(4-$HE39)*1000+20)),IF($HG39=0,999999,IF(4=$HH39,IF(74=$HN39,IF($JE39=2,30,0),IF(74=$HO39,IF($JE39=1,30,0),ABS(2-$HI39)*100)),100000+ABS(4-$HH39)*1000+20)))-IF((74=$HJ39)+(74=$HK39)+(74=$HL39)+(74=$HM39)+(74=$HN39)+(74=$HO39)&gt;=2,50,0))+BY$5*50)</f>
        <v/>
      </c>
      <c r="BZ159">
        <f>IF(OR($JF39=0,calcA!$A$6=0),0,IF(OR(75=$HA39,75=$HD39,75=$HG39),200000,MIN(IF($HA39=0,999999,IF(4=$HB39,IF(75=$HJ39,IF($JC39=2,30,0),IF(75=$HK39,IF($JC39=1,30,0),ABS(3-$HC39)*100)),100000+ABS(4-$HB39)*1000+30)),IF($HD39=0,999999,IF(4=$HE39,IF(75=$HL39,IF($JD39=2,30,0),IF(75=$HM39,IF($JD39=1,30,0),ABS(3-$HF39)*100)),100000+ABS(4-$HE39)*1000+30)),IF($HG39=0,999999,IF(4=$HH39,IF(75=$HN39,IF($JE39=2,30,0),IF(75=$HO39,IF($JE39=1,30,0),ABS(3-$HI39)*100)),100000+ABS(4-$HH39)*1000+30)))-IF((75=$HJ39)+(75=$HK39)+(75=$HL39)+(75=$HM39)+(75=$HN39)+(75=$HO39)&gt;=2,50,0))+BZ$5*50)</f>
        <v/>
      </c>
      <c r="CA159">
        <f>IF(OR($JF39=0,calcA!$A$6=0),0,IF(OR(76=$HA39,76=$HD39,76=$HG39),200000,MIN(IF($HA39=0,999999,IF(4=$HB39,IF(76=$HJ39,IF($JC39=2,30,0),IF(76=$HK39,IF($JC39=1,30,0),ABS(4-$HC39)*100)),100000+ABS(4-$HB39)*1000+40)),IF($HD39=0,999999,IF(4=$HE39,IF(76=$HL39,IF($JD39=2,30,0),IF(76=$HM39,IF($JD39=1,30,0),ABS(4-$HF39)*100)),100000+ABS(4-$HE39)*1000+40)),IF($HG39=0,999999,IF(4=$HH39,IF(76=$HN39,IF($JE39=2,30,0),IF(76=$HO39,IF($JE39=1,30,0),ABS(4-$HI39)*100)),100000+ABS(4-$HH39)*1000+40)))-IF((76=$HJ39)+(76=$HK39)+(76=$HL39)+(76=$HM39)+(76=$HN39)+(76=$HO39)&gt;=2,50,0))+CA$5*50)</f>
        <v/>
      </c>
      <c r="CB159">
        <f>IF(OR($JF39=0,calcA!$A$6=0),0,IF(OR(77=$HA39,77=$HD39,77=$HG39),200000,MIN(IF($HA39=0,999999,IF(4=$HB39,IF(77=$HJ39,IF($JC39=2,30,0),IF(77=$HK39,IF($JC39=1,30,0),ABS(5-$HC39)*100)),100000+ABS(4-$HB39)*1000+50)),IF($HD39=0,999999,IF(4=$HE39,IF(77=$HL39,IF($JD39=2,30,0),IF(77=$HM39,IF($JD39=1,30,0),ABS(5-$HF39)*100)),100000+ABS(4-$HE39)*1000+50)),IF($HG39=0,999999,IF(4=$HH39,IF(77=$HN39,IF($JE39=2,30,0),IF(77=$HO39,IF($JE39=1,30,0),ABS(5-$HI39)*100)),100000+ABS(4-$HH39)*1000+50)))-IF((77=$HJ39)+(77=$HK39)+(77=$HL39)+(77=$HM39)+(77=$HN39)+(77=$HO39)&gt;=2,50,0))+CB$5*50)</f>
        <v/>
      </c>
      <c r="CC159">
        <f>IF(OR($JF39=0,calcA!$A$6=0),0,IF(OR(78=$HA39,78=$HD39,78=$HG39),200000,MIN(IF($HA39=0,999999,IF(4=$HB39,IF(78=$HJ39,IF($JC39=2,30,0),IF(78=$HK39,IF($JC39=1,30,0),ABS(6-$HC39)*100)),100000+ABS(4-$HB39)*1000+60)),IF($HD39=0,999999,IF(4=$HE39,IF(78=$HL39,IF($JD39=2,30,0),IF(78=$HM39,IF($JD39=1,30,0),ABS(6-$HF39)*100)),100000+ABS(4-$HE39)*1000+60)),IF($HG39=0,999999,IF(4=$HH39,IF(78=$HN39,IF($JE39=2,30,0),IF(78=$HO39,IF($JE39=1,30,0),ABS(6-$HI39)*100)),100000+ABS(4-$HH39)*1000+60)))-IF((78=$HJ39)+(78=$HK39)+(78=$HL39)+(78=$HM39)+(78=$HN39)+(78=$HO39)&gt;=2,50,0))+CC$5*50)</f>
        <v/>
      </c>
      <c r="CD159">
        <f>IF(OR($JF39=0,calcA!$A$6=0),0,IF(OR(79=$HA39,79=$HD39,79=$HG39),200000,MIN(IF($HA39=0,999999,IF(4=$HB39,IF(79=$HJ39,IF($JC39=2,30,0),IF(79=$HK39,IF($JC39=1,30,0),ABS(7-$HC39)*100)),100000+ABS(4-$HB39)*1000+70)),IF($HD39=0,999999,IF(4=$HE39,IF(79=$HL39,IF($JD39=2,30,0),IF(79=$HM39,IF($JD39=1,30,0),ABS(7-$HF39)*100)),100000+ABS(4-$HE39)*1000+70)),IF($HG39=0,999999,IF(4=$HH39,IF(79=$HN39,IF($JE39=2,30,0),IF(79=$HO39,IF($JE39=1,30,0),ABS(7-$HI39)*100)),100000+ABS(4-$HH39)*1000+70)))-IF((79=$HJ39)+(79=$HK39)+(79=$HL39)+(79=$HM39)+(79=$HN39)+(79=$HO39)&gt;=2,50,0))+CD$5*50)</f>
        <v/>
      </c>
      <c r="CE159">
        <f>IF(OR($JF39=0,calcA!$A$6=0),0,IF(OR(80=$HA39,80=$HD39,80=$HG39),200000,MIN(IF($HA39=0,999999,IF(4=$HB39,IF(80=$HJ39,IF($JC39=2,30,0),IF(80=$HK39,IF($JC39=1,30,0),ABS(8-$HC39)*100)),100000+ABS(4-$HB39)*1000+80)),IF($HD39=0,999999,IF(4=$HE39,IF(80=$HL39,IF($JD39=2,30,0),IF(80=$HM39,IF($JD39=1,30,0),ABS(8-$HF39)*100)),100000+ABS(4-$HE39)*1000+80)),IF($HG39=0,999999,IF(4=$HH39,IF(80=$HN39,IF($JE39=2,30,0),IF(80=$HO39,IF($JE39=1,30,0),ABS(8-$HI39)*100)),100000+ABS(4-$HH39)*1000+80)))-IF((80=$HJ39)+(80=$HK39)+(80=$HL39)+(80=$HM39)+(80=$HN39)+(80=$HO39)&gt;=2,50,0))+CE$5*50)</f>
        <v/>
      </c>
      <c r="CF159">
        <f>IF(OR($JF39=0,calcA!$A$6=0),0,IF(OR(81=$HA39,81=$HD39,81=$HG39),200000,MIN(IF($HA39=0,999999,IF(4=$HB39,IF(81=$HJ39,IF($JC39=2,30,0),IF(81=$HK39,IF($JC39=1,30,0),ABS(9-$HC39)*100)),100000+ABS(4-$HB39)*1000+90)),IF($HD39=0,999999,IF(4=$HE39,IF(81=$HL39,IF($JD39=2,30,0),IF(81=$HM39,IF($JD39=1,30,0),ABS(9-$HF39)*100)),100000+ABS(4-$HE39)*1000+90)),IF($HG39=0,999999,IF(4=$HH39,IF(81=$HN39,IF($JE39=2,30,0),IF(81=$HO39,IF($JE39=1,30,0),ABS(9-$HI39)*100)),100000+ABS(4-$HH39)*1000+90)))-IF((81=$HJ39)+(81=$HK39)+(81=$HL39)+(81=$HM39)+(81=$HN39)+(81=$HO39)&gt;=2,50,0))+CF$5*50)</f>
        <v/>
      </c>
      <c r="CG159">
        <f>IF(OR($JF39=0,calcA!$A$6=0),0,IF(OR(82=$HA39,82=$HD39,82=$HG39),200000,MIN(IF($HA39=0,999999,IF(4=$HB39,IF(82=$HJ39,IF($JC39=2,30,0),IF(82=$HK39,IF($JC39=1,30,0),ABS(10-$HC39)*100)),100000+ABS(4-$HB39)*1000+100)),IF($HD39=0,999999,IF(4=$HE39,IF(82=$HL39,IF($JD39=2,30,0),IF(82=$HM39,IF($JD39=1,30,0),ABS(10-$HF39)*100)),100000+ABS(4-$HE39)*1000+100)),IF($HG39=0,999999,IF(4=$HH39,IF(82=$HN39,IF($JE39=2,30,0),IF(82=$HO39,IF($JE39=1,30,0),ABS(10-$HI39)*100)),100000+ABS(4-$HH39)*1000+100)))-IF((82=$HJ39)+(82=$HK39)+(82=$HL39)+(82=$HM39)+(82=$HN39)+(82=$HO39)&gt;=2,50,0))+CG$5*50)</f>
        <v/>
      </c>
      <c r="CH159">
        <f>IF(OR($JF39=0,calcA!$A$6=0),0,IF(OR(83=$HA39,83=$HD39,83=$HG39),200000,MIN(IF($HA39=0,999999,IF(4=$HB39,IF(83=$HJ39,IF($JC39=2,30,0),IF(83=$HK39,IF($JC39=1,30,0),ABS(11-$HC39)*100)),100000+ABS(4-$HB39)*1000+110)),IF($HD39=0,999999,IF(4=$HE39,IF(83=$HL39,IF($JD39=2,30,0),IF(83=$HM39,IF($JD39=1,30,0),ABS(11-$HF39)*100)),100000+ABS(4-$HE39)*1000+110)),IF($HG39=0,999999,IF(4=$HH39,IF(83=$HN39,IF($JE39=2,30,0),IF(83=$HO39,IF($JE39=1,30,0),ABS(11-$HI39)*100)),100000+ABS(4-$HH39)*1000+110)))-IF((83=$HJ39)+(83=$HK39)+(83=$HL39)+(83=$HM39)+(83=$HN39)+(83=$HO39)&gt;=2,50,0))+CH$5*50)</f>
        <v/>
      </c>
      <c r="CI159">
        <f>IF(OR($JF39=0,calcA!$A$6=0),0,IF(OR(84=$HA39,84=$HD39,84=$HG39),200000,MIN(IF($HA39=0,999999,IF(4=$HB39,IF(84=$HJ39,IF($JC39=2,30,0),IF(84=$HK39,IF($JC39=1,30,0),ABS(12-$HC39)*100)),100000+ABS(4-$HB39)*1000+120)),IF($HD39=0,999999,IF(4=$HE39,IF(84=$HL39,IF($JD39=2,30,0),IF(84=$HM39,IF($JD39=1,30,0),ABS(12-$HF39)*100)),100000+ABS(4-$HE39)*1000+120)),IF($HG39=0,999999,IF(4=$HH39,IF(84=$HN39,IF($JE39=2,30,0),IF(84=$HO39,IF($JE39=1,30,0),ABS(12-$HI39)*100)),100000+ABS(4-$HH39)*1000+120)))-IF((84=$HJ39)+(84=$HK39)+(84=$HL39)+(84=$HM39)+(84=$HN39)+(84=$HO39)&gt;=2,50,0))+CI$5*50)</f>
        <v/>
      </c>
      <c r="CJ159">
        <f>IF(OR($JF39=0,calcA!$A$6=0),0,IF(OR(85=$HA39,85=$HD39,85=$HG39),200000,MIN(IF($HA39=0,999999,IF(4=$HB39,IF(85=$HJ39,IF($JC39=2,30,0),IF(85=$HK39,IF($JC39=1,30,0),ABS(13-$HC39)*100)),100000+ABS(4-$HB39)*1000+130)),IF($HD39=0,999999,IF(4=$HE39,IF(85=$HL39,IF($JD39=2,30,0),IF(85=$HM39,IF($JD39=1,30,0),ABS(13-$HF39)*100)),100000+ABS(4-$HE39)*1000+130)),IF($HG39=0,999999,IF(4=$HH39,IF(85=$HN39,IF($JE39=2,30,0),IF(85=$HO39,IF($JE39=1,30,0),ABS(13-$HI39)*100)),100000+ABS(4-$HH39)*1000+130)))-IF((85=$HJ39)+(85=$HK39)+(85=$HL39)+(85=$HM39)+(85=$HN39)+(85=$HO39)&gt;=2,50,0))+CJ$5*50)</f>
        <v/>
      </c>
      <c r="CK159">
        <f>IF(OR($JF39=0,calcA!$A$6=0),0,IF(OR(86=$HA39,86=$HD39,86=$HG39),200000,MIN(IF($HA39=0,999999,IF(4=$HB39,IF(86=$HJ39,IF($JC39=2,30,0),IF(86=$HK39,IF($JC39=1,30,0),ABS(14-$HC39)*100)),100000+ABS(4-$HB39)*1000+140)),IF($HD39=0,999999,IF(4=$HE39,IF(86=$HL39,IF($JD39=2,30,0),IF(86=$HM39,IF($JD39=1,30,0),ABS(14-$HF39)*100)),100000+ABS(4-$HE39)*1000+140)),IF($HG39=0,999999,IF(4=$HH39,IF(86=$HN39,IF($JE39=2,30,0),IF(86=$HO39,IF($JE39=1,30,0),ABS(14-$HI39)*100)),100000+ABS(4-$HH39)*1000+140)))-IF((86=$HJ39)+(86=$HK39)+(86=$HL39)+(86=$HM39)+(86=$HN39)+(86=$HO39)&gt;=2,50,0))+CK$5*50)</f>
        <v/>
      </c>
      <c r="CL159">
        <f>IF(OR($JF39=0,calcA!$A$6=0),0,IF(OR(87=$HA39,87=$HD39,87=$HG39),200000,MIN(IF($HA39=0,999999,IF(4=$HB39,IF(87=$HJ39,IF($JC39=2,30,0),IF(87=$HK39,IF($JC39=1,30,0),ABS(15-$HC39)*100)),100000+ABS(4-$HB39)*1000+150)),IF($HD39=0,999999,IF(4=$HE39,IF(87=$HL39,IF($JD39=2,30,0),IF(87=$HM39,IF($JD39=1,30,0),ABS(15-$HF39)*100)),100000+ABS(4-$HE39)*1000+150)),IF($HG39=0,999999,IF(4=$HH39,IF(87=$HN39,IF($JE39=2,30,0),IF(87=$HO39,IF($JE39=1,30,0),ABS(15-$HI39)*100)),100000+ABS(4-$HH39)*1000+150)))-IF((87=$HJ39)+(87=$HK39)+(87=$HL39)+(87=$HM39)+(87=$HN39)+(87=$HO39)&gt;=2,50,0))+CL$5*50)</f>
        <v/>
      </c>
      <c r="CM159">
        <f>IF(OR($JF39=0,calcA!$A$6=0),0,IF(OR(88=$HA39,88=$HD39,88=$HG39),200000,MIN(IF($HA39=0,999999,IF(4=$HB39,IF(88=$HJ39,IF($JC39=2,30,0),IF(88=$HK39,IF($JC39=1,30,0),ABS(16-$HC39)*100)),100000+ABS(4-$HB39)*1000+160)),IF($HD39=0,999999,IF(4=$HE39,IF(88=$HL39,IF($JD39=2,30,0),IF(88=$HM39,IF($JD39=1,30,0),ABS(16-$HF39)*100)),100000+ABS(4-$HE39)*1000+160)),IF($HG39=0,999999,IF(4=$HH39,IF(88=$HN39,IF($JE39=2,30,0),IF(88=$HO39,IF($JE39=1,30,0),ABS(16-$HI39)*100)),100000+ABS(4-$HH39)*1000+160)))-IF((88=$HJ39)+(88=$HK39)+(88=$HL39)+(88=$HM39)+(88=$HN39)+(88=$HO39)&gt;=2,50,0))+CM$5*50)</f>
        <v/>
      </c>
      <c r="CN159">
        <f>IF(OR($JF39=0,calcA!$A$6=0),0,IF(OR(89=$HA39,89=$HD39,89=$HG39),200000,MIN(IF($HA39=0,999999,IF(4=$HB39,IF(89=$HJ39,IF($JC39=2,30,0),IF(89=$HK39,IF($JC39=1,30,0),ABS(17-$HC39)*100)),100000+ABS(4-$HB39)*1000+170)),IF($HD39=0,999999,IF(4=$HE39,IF(89=$HL39,IF($JD39=2,30,0),IF(89=$HM39,IF($JD39=1,30,0),ABS(17-$HF39)*100)),100000+ABS(4-$HE39)*1000+170)),IF($HG39=0,999999,IF(4=$HH39,IF(89=$HN39,IF($JE39=2,30,0),IF(89=$HO39,IF($JE39=1,30,0),ABS(17-$HI39)*100)),100000+ABS(4-$HH39)*1000+170)))-IF((89=$HJ39)+(89=$HK39)+(89=$HL39)+(89=$HM39)+(89=$HN39)+(89=$HO39)&gt;=2,50,0))+CN$5*50)</f>
        <v/>
      </c>
      <c r="CO159">
        <f>IF(OR($JF39=0,calcA!$A$6=0),0,IF(OR(90=$HA39,90=$HD39,90=$HG39),200000,MIN(IF($HA39=0,999999,IF(4=$HB39,IF(90=$HJ39,IF($JC39=2,30,0),IF(90=$HK39,IF($JC39=1,30,0),ABS(18-$HC39)*100)),100000+ABS(4-$HB39)*1000+180)),IF($HD39=0,999999,IF(4=$HE39,IF(90=$HL39,IF($JD39=2,30,0),IF(90=$HM39,IF($JD39=1,30,0),ABS(18-$HF39)*100)),100000+ABS(4-$HE39)*1000+180)),IF($HG39=0,999999,IF(4=$HH39,IF(90=$HN39,IF($JE39=2,30,0),IF(90=$HO39,IF($JE39=1,30,0),ABS(18-$HI39)*100)),100000+ABS(4-$HH39)*1000+180)))-IF((90=$HJ39)+(90=$HK39)+(90=$HL39)+(90=$HM39)+(90=$HN39)+(90=$HO39)&gt;=2,50,0))+CO$5*50)</f>
        <v/>
      </c>
      <c r="CP159">
        <f>IF(OR($JF39=0,calcA!$A$6=0),0,IF(OR(91=$HA39,91=$HD39,91=$HG39),200000,MIN(IF($HA39=0,999999,IF(4=$HB39,IF(91=$HJ39,IF($JC39=2,30,0),IF(91=$HK39,IF($JC39=1,30,0),ABS(19-$HC39)*100)),100000+ABS(4-$HB39)*1000+190)),IF($HD39=0,999999,IF(4=$HE39,IF(91=$HL39,IF($JD39=2,30,0),IF(91=$HM39,IF($JD39=1,30,0),ABS(19-$HF39)*100)),100000+ABS(4-$HE39)*1000+190)),IF($HG39=0,999999,IF(4=$HH39,IF(91=$HN39,IF($JE39=2,30,0),IF(91=$HO39,IF($JE39=1,30,0),ABS(19-$HI39)*100)),100000+ABS(4-$HH39)*1000+190)))-IF((91=$HJ39)+(91=$HK39)+(91=$HL39)+(91=$HM39)+(91=$HN39)+(91=$HO39)&gt;=2,50,0))+CP$5*50)</f>
        <v/>
      </c>
      <c r="CQ159">
        <f>IF(OR($JF39=0,calcA!$A$6=0),0,IF(OR(92=$HA39,92=$HD39,92=$HG39),200000,MIN(IF($HA39=0,999999,IF(4=$HB39,IF(92=$HJ39,IF($JC39=2,30,0),IF(92=$HK39,IF($JC39=1,30,0),ABS(20-$HC39)*100)),100000+ABS(4-$HB39)*1000+200)),IF($HD39=0,999999,IF(4=$HE39,IF(92=$HL39,IF($JD39=2,30,0),IF(92=$HM39,IF($JD39=1,30,0),ABS(20-$HF39)*100)),100000+ABS(4-$HE39)*1000+200)),IF($HG39=0,999999,IF(4=$HH39,IF(92=$HN39,IF($JE39=2,30,0),IF(92=$HO39,IF($JE39=1,30,0),ABS(20-$HI39)*100)),100000+ABS(4-$HH39)*1000+200)))-IF((92=$HJ39)+(92=$HK39)+(92=$HL39)+(92=$HM39)+(92=$HN39)+(92=$HO39)&gt;=2,50,0))+CQ$5*50)</f>
        <v/>
      </c>
      <c r="CR159">
        <f>IF(OR($JF39=0,calcA!$A$6=0),0,IF(OR(93=$HA39,93=$HD39,93=$HG39),200000,MIN(IF($HA39=0,999999,IF(4=$HB39,IF(93=$HJ39,IF($JC39=2,30,0),IF(93=$HK39,IF($JC39=1,30,0),ABS(21-$HC39)*100)),100000+ABS(4-$HB39)*1000+210)),IF($HD39=0,999999,IF(4=$HE39,IF(93=$HL39,IF($JD39=2,30,0),IF(93=$HM39,IF($JD39=1,30,0),ABS(21-$HF39)*100)),100000+ABS(4-$HE39)*1000+210)),IF($HG39=0,999999,IF(4=$HH39,IF(93=$HN39,IF($JE39=2,30,0),IF(93=$HO39,IF($JE39=1,30,0),ABS(21-$HI39)*100)),100000+ABS(4-$HH39)*1000+210)))-IF((93=$HJ39)+(93=$HK39)+(93=$HL39)+(93=$HM39)+(93=$HN39)+(93=$HO39)&gt;=2,50,0))+CR$5*50)</f>
        <v/>
      </c>
      <c r="CS159">
        <f>IF(OR($JF39=0,calcA!$A$6=0),0,IF(OR(94=$HA39,94=$HD39,94=$HG39),200000,MIN(IF($HA39=0,999999,IF(4=$HB39,IF(94=$HJ39,IF($JC39=2,30,0),IF(94=$HK39,IF($JC39=1,30,0),ABS(22-$HC39)*100)),100000+ABS(4-$HB39)*1000+220)),IF($HD39=0,999999,IF(4=$HE39,IF(94=$HL39,IF($JD39=2,30,0),IF(94=$HM39,IF($JD39=1,30,0),ABS(22-$HF39)*100)),100000+ABS(4-$HE39)*1000+220)),IF($HG39=0,999999,IF(4=$HH39,IF(94=$HN39,IF($JE39=2,30,0),IF(94=$HO39,IF($JE39=1,30,0),ABS(22-$HI39)*100)),100000+ABS(4-$HH39)*1000+220)))-IF((94=$HJ39)+(94=$HK39)+(94=$HL39)+(94=$HM39)+(94=$HN39)+(94=$HO39)&gt;=2,50,0))+CS$5*50)</f>
        <v/>
      </c>
      <c r="CT159">
        <f>IF(OR($JF39=0,calcA!$A$6=0),0,IF(OR(95=$HA39,95=$HD39,95=$HG39),200000,MIN(IF($HA39=0,999999,IF(4=$HB39,IF(95=$HJ39,IF($JC39=2,30,0),IF(95=$HK39,IF($JC39=1,30,0),ABS(23-$HC39)*100)),100000+ABS(4-$HB39)*1000+230)),IF($HD39=0,999999,IF(4=$HE39,IF(95=$HL39,IF($JD39=2,30,0),IF(95=$HM39,IF($JD39=1,30,0),ABS(23-$HF39)*100)),100000+ABS(4-$HE39)*1000+230)),IF($HG39=0,999999,IF(4=$HH39,IF(95=$HN39,IF($JE39=2,30,0),IF(95=$HO39,IF($JE39=1,30,0),ABS(23-$HI39)*100)),100000+ABS(4-$HH39)*1000+230)))-IF((95=$HJ39)+(95=$HK39)+(95=$HL39)+(95=$HM39)+(95=$HN39)+(95=$HO39)&gt;=2,50,0))+CT$5*50)</f>
        <v/>
      </c>
      <c r="CU159">
        <f>IF(OR($JF39=0,calcA!$A$6=0),0,IF(OR(96=$HA39,96=$HD39,96=$HG39),200000,MIN(IF($HA39=0,999999,IF(4=$HB39,IF(96=$HJ39,IF($JC39=2,30,0),IF(96=$HK39,IF($JC39=1,30,0),ABS(24-$HC39)*100)),100000+ABS(4-$HB39)*1000+240)),IF($HD39=0,999999,IF(4=$HE39,IF(96=$HL39,IF($JD39=2,30,0),IF(96=$HM39,IF($JD39=1,30,0),ABS(24-$HF39)*100)),100000+ABS(4-$HE39)*1000+240)),IF($HG39=0,999999,IF(4=$HH39,IF(96=$HN39,IF($JE39=2,30,0),IF(96=$HO39,IF($JE39=1,30,0),ABS(24-$HI39)*100)),100000+ABS(4-$HH39)*1000+240)))-IF((96=$HJ39)+(96=$HK39)+(96=$HL39)+(96=$HM39)+(96=$HN39)+(96=$HO39)&gt;=2,50,0))+CU$5*50)</f>
        <v/>
      </c>
      <c r="CV159">
        <f>IF(OR($JF39=0,calcA!$A$6=0),0,IF(OR(97=$HA39,97=$HD39,97=$HG39),200000,MIN(IF($HA39=0,999999,IF(5=$HB39,IF(97=$HJ39,IF($JC39=2,30,0),IF(97=$HK39,IF($JC39=1,30,0),ABS(1-$HC39)*100)),100000+ABS(5-$HB39)*1000+10)),IF($HD39=0,999999,IF(5=$HE39,IF(97=$HL39,IF($JD39=2,30,0),IF(97=$HM39,IF($JD39=1,30,0),ABS(1-$HF39)*100)),100000+ABS(5-$HE39)*1000+10)),IF($HG39=0,999999,IF(5=$HH39,IF(97=$HN39,IF($JE39=2,30,0),IF(97=$HO39,IF($JE39=1,30,0),ABS(1-$HI39)*100)),100000+ABS(5-$HH39)*1000+10)))-IF((97=$HJ39)+(97=$HK39)+(97=$HL39)+(97=$HM39)+(97=$HN39)+(97=$HO39)&gt;=2,50,0))+CV$5*50)</f>
        <v/>
      </c>
      <c r="CW159">
        <f>IF(OR($JF39=0,calcA!$A$6=0),0,IF(OR(98=$HA39,98=$HD39,98=$HG39),200000,MIN(IF($HA39=0,999999,IF(5=$HB39,IF(98=$HJ39,IF($JC39=2,30,0),IF(98=$HK39,IF($JC39=1,30,0),ABS(2-$HC39)*100)),100000+ABS(5-$HB39)*1000+20)),IF($HD39=0,999999,IF(5=$HE39,IF(98=$HL39,IF($JD39=2,30,0),IF(98=$HM39,IF($JD39=1,30,0),ABS(2-$HF39)*100)),100000+ABS(5-$HE39)*1000+20)),IF($HG39=0,999999,IF(5=$HH39,IF(98=$HN39,IF($JE39=2,30,0),IF(98=$HO39,IF($JE39=1,30,0),ABS(2-$HI39)*100)),100000+ABS(5-$HH39)*1000+20)))-IF((98=$HJ39)+(98=$HK39)+(98=$HL39)+(98=$HM39)+(98=$HN39)+(98=$HO39)&gt;=2,50,0))+CW$5*50)</f>
        <v/>
      </c>
      <c r="CX159">
        <f>IF(OR($JF39=0,calcA!$A$6=0),0,IF(OR(99=$HA39,99=$HD39,99=$HG39),200000,MIN(IF($HA39=0,999999,IF(5=$HB39,IF(99=$HJ39,IF($JC39=2,30,0),IF(99=$HK39,IF($JC39=1,30,0),ABS(3-$HC39)*100)),100000+ABS(5-$HB39)*1000+30)),IF($HD39=0,999999,IF(5=$HE39,IF(99=$HL39,IF($JD39=2,30,0),IF(99=$HM39,IF($JD39=1,30,0),ABS(3-$HF39)*100)),100000+ABS(5-$HE39)*1000+30)),IF($HG39=0,999999,IF(5=$HH39,IF(99=$HN39,IF($JE39=2,30,0),IF(99=$HO39,IF($JE39=1,30,0),ABS(3-$HI39)*100)),100000+ABS(5-$HH39)*1000+30)))-IF((99=$HJ39)+(99=$HK39)+(99=$HL39)+(99=$HM39)+(99=$HN39)+(99=$HO39)&gt;=2,50,0))+CX$5*50)</f>
        <v/>
      </c>
      <c r="CY159">
        <f>IF(OR($JF39=0,calcA!$A$6=0),0,IF(OR(100=$HA39,100=$HD39,100=$HG39),200000,MIN(IF($HA39=0,999999,IF(5=$HB39,IF(100=$HJ39,IF($JC39=2,30,0),IF(100=$HK39,IF($JC39=1,30,0),ABS(4-$HC39)*100)),100000+ABS(5-$HB39)*1000+40)),IF($HD39=0,999999,IF(5=$HE39,IF(100=$HL39,IF($JD39=2,30,0),IF(100=$HM39,IF($JD39=1,30,0),ABS(4-$HF39)*100)),100000+ABS(5-$HE39)*1000+40)),IF($HG39=0,999999,IF(5=$HH39,IF(100=$HN39,IF($JE39=2,30,0),IF(100=$HO39,IF($JE39=1,30,0),ABS(4-$HI39)*100)),100000+ABS(5-$HH39)*1000+40)))-IF((100=$HJ39)+(100=$HK39)+(100=$HL39)+(100=$HM39)+(100=$HN39)+(100=$HO39)&gt;=2,50,0))+CY$5*50)</f>
        <v/>
      </c>
      <c r="CZ159">
        <f>IF(OR($JF39=0,calcA!$A$6=0),0,IF(OR(101=$HA39,101=$HD39,101=$HG39),200000,MIN(IF($HA39=0,999999,IF(5=$HB39,IF(101=$HJ39,IF($JC39=2,30,0),IF(101=$HK39,IF($JC39=1,30,0),ABS(5-$HC39)*100)),100000+ABS(5-$HB39)*1000+50)),IF($HD39=0,999999,IF(5=$HE39,IF(101=$HL39,IF($JD39=2,30,0),IF(101=$HM39,IF($JD39=1,30,0),ABS(5-$HF39)*100)),100000+ABS(5-$HE39)*1000+50)),IF($HG39=0,999999,IF(5=$HH39,IF(101=$HN39,IF($JE39=2,30,0),IF(101=$HO39,IF($JE39=1,30,0),ABS(5-$HI39)*100)),100000+ABS(5-$HH39)*1000+50)))-IF((101=$HJ39)+(101=$HK39)+(101=$HL39)+(101=$HM39)+(101=$HN39)+(101=$HO39)&gt;=2,50,0))+CZ$5*50)</f>
        <v/>
      </c>
      <c r="DA159">
        <f>IF(OR($JF39=0,calcA!$A$6=0),0,IF(OR(102=$HA39,102=$HD39,102=$HG39),200000,MIN(IF($HA39=0,999999,IF(5=$HB39,IF(102=$HJ39,IF($JC39=2,30,0),IF(102=$HK39,IF($JC39=1,30,0),ABS(6-$HC39)*100)),100000+ABS(5-$HB39)*1000+60)),IF($HD39=0,999999,IF(5=$HE39,IF(102=$HL39,IF($JD39=2,30,0),IF(102=$HM39,IF($JD39=1,30,0),ABS(6-$HF39)*100)),100000+ABS(5-$HE39)*1000+60)),IF($HG39=0,999999,IF(5=$HH39,IF(102=$HN39,IF($JE39=2,30,0),IF(102=$HO39,IF($JE39=1,30,0),ABS(6-$HI39)*100)),100000+ABS(5-$HH39)*1000+60)))-IF((102=$HJ39)+(102=$HK39)+(102=$HL39)+(102=$HM39)+(102=$HN39)+(102=$HO39)&gt;=2,50,0))+DA$5*50)</f>
        <v/>
      </c>
      <c r="DB159">
        <f>IF(OR($JF39=0,calcA!$A$6=0),0,IF(OR(103=$HA39,103=$HD39,103=$HG39),200000,MIN(IF($HA39=0,999999,IF(5=$HB39,IF(103=$HJ39,IF($JC39=2,30,0),IF(103=$HK39,IF($JC39=1,30,0),ABS(7-$HC39)*100)),100000+ABS(5-$HB39)*1000+70)),IF($HD39=0,999999,IF(5=$HE39,IF(103=$HL39,IF($JD39=2,30,0),IF(103=$HM39,IF($JD39=1,30,0),ABS(7-$HF39)*100)),100000+ABS(5-$HE39)*1000+70)),IF($HG39=0,999999,IF(5=$HH39,IF(103=$HN39,IF($JE39=2,30,0),IF(103=$HO39,IF($JE39=1,30,0),ABS(7-$HI39)*100)),100000+ABS(5-$HH39)*1000+70)))-IF((103=$HJ39)+(103=$HK39)+(103=$HL39)+(103=$HM39)+(103=$HN39)+(103=$HO39)&gt;=2,50,0))+DB$5*50)</f>
        <v/>
      </c>
      <c r="DC159">
        <f>IF(OR($JF39=0,calcA!$A$6=0),0,IF(OR(104=$HA39,104=$HD39,104=$HG39),200000,MIN(IF($HA39=0,999999,IF(5=$HB39,IF(104=$HJ39,IF($JC39=2,30,0),IF(104=$HK39,IF($JC39=1,30,0),ABS(8-$HC39)*100)),100000+ABS(5-$HB39)*1000+80)),IF($HD39=0,999999,IF(5=$HE39,IF(104=$HL39,IF($JD39=2,30,0),IF(104=$HM39,IF($JD39=1,30,0),ABS(8-$HF39)*100)),100000+ABS(5-$HE39)*1000+80)),IF($HG39=0,999999,IF(5=$HH39,IF(104=$HN39,IF($JE39=2,30,0),IF(104=$HO39,IF($JE39=1,30,0),ABS(8-$HI39)*100)),100000+ABS(5-$HH39)*1000+80)))-IF((104=$HJ39)+(104=$HK39)+(104=$HL39)+(104=$HM39)+(104=$HN39)+(104=$HO39)&gt;=2,50,0))+DC$5*50)</f>
        <v/>
      </c>
      <c r="DD159">
        <f>IF(OR($JF39=0,calcA!$A$6=0),0,IF(OR(105=$HA39,105=$HD39,105=$HG39),200000,MIN(IF($HA39=0,999999,IF(5=$HB39,IF(105=$HJ39,IF($JC39=2,30,0),IF(105=$HK39,IF($JC39=1,30,0),ABS(9-$HC39)*100)),100000+ABS(5-$HB39)*1000+90)),IF($HD39=0,999999,IF(5=$HE39,IF(105=$HL39,IF($JD39=2,30,0),IF(105=$HM39,IF($JD39=1,30,0),ABS(9-$HF39)*100)),100000+ABS(5-$HE39)*1000+90)),IF($HG39=0,999999,IF(5=$HH39,IF(105=$HN39,IF($JE39=2,30,0),IF(105=$HO39,IF($JE39=1,30,0),ABS(9-$HI39)*100)),100000+ABS(5-$HH39)*1000+90)))-IF((105=$HJ39)+(105=$HK39)+(105=$HL39)+(105=$HM39)+(105=$HN39)+(105=$HO39)&gt;=2,50,0))+DD$5*50)</f>
        <v/>
      </c>
      <c r="DE159">
        <f>IF(OR($JF39=0,calcA!$A$6=0),0,IF(OR(106=$HA39,106=$HD39,106=$HG39),200000,MIN(IF($HA39=0,999999,IF(5=$HB39,IF(106=$HJ39,IF($JC39=2,30,0),IF(106=$HK39,IF($JC39=1,30,0),ABS(10-$HC39)*100)),100000+ABS(5-$HB39)*1000+100)),IF($HD39=0,999999,IF(5=$HE39,IF(106=$HL39,IF($JD39=2,30,0),IF(106=$HM39,IF($JD39=1,30,0),ABS(10-$HF39)*100)),100000+ABS(5-$HE39)*1000+100)),IF($HG39=0,999999,IF(5=$HH39,IF(106=$HN39,IF($JE39=2,30,0),IF(106=$HO39,IF($JE39=1,30,0),ABS(10-$HI39)*100)),100000+ABS(5-$HH39)*1000+100)))-IF((106=$HJ39)+(106=$HK39)+(106=$HL39)+(106=$HM39)+(106=$HN39)+(106=$HO39)&gt;=2,50,0))+DE$5*50)</f>
        <v/>
      </c>
      <c r="DF159">
        <f>IF(OR($JF39=0,calcA!$A$6=0),0,IF(OR(107=$HA39,107=$HD39,107=$HG39),200000,MIN(IF($HA39=0,999999,IF(5=$HB39,IF(107=$HJ39,IF($JC39=2,30,0),IF(107=$HK39,IF($JC39=1,30,0),ABS(11-$HC39)*100)),100000+ABS(5-$HB39)*1000+110)),IF($HD39=0,999999,IF(5=$HE39,IF(107=$HL39,IF($JD39=2,30,0),IF(107=$HM39,IF($JD39=1,30,0),ABS(11-$HF39)*100)),100000+ABS(5-$HE39)*1000+110)),IF($HG39=0,999999,IF(5=$HH39,IF(107=$HN39,IF($JE39=2,30,0),IF(107=$HO39,IF($JE39=1,30,0),ABS(11-$HI39)*100)),100000+ABS(5-$HH39)*1000+110)))-IF((107=$HJ39)+(107=$HK39)+(107=$HL39)+(107=$HM39)+(107=$HN39)+(107=$HO39)&gt;=2,50,0))+DF$5*50)</f>
        <v/>
      </c>
      <c r="DG159">
        <f>IF(OR($JF39=0,calcA!$A$6=0),0,IF(OR(108=$HA39,108=$HD39,108=$HG39),200000,MIN(IF($HA39=0,999999,IF(5=$HB39,IF(108=$HJ39,IF($JC39=2,30,0),IF(108=$HK39,IF($JC39=1,30,0),ABS(12-$HC39)*100)),100000+ABS(5-$HB39)*1000+120)),IF($HD39=0,999999,IF(5=$HE39,IF(108=$HL39,IF($JD39=2,30,0),IF(108=$HM39,IF($JD39=1,30,0),ABS(12-$HF39)*100)),100000+ABS(5-$HE39)*1000+120)),IF($HG39=0,999999,IF(5=$HH39,IF(108=$HN39,IF($JE39=2,30,0),IF(108=$HO39,IF($JE39=1,30,0),ABS(12-$HI39)*100)),100000+ABS(5-$HH39)*1000+120)))-IF((108=$HJ39)+(108=$HK39)+(108=$HL39)+(108=$HM39)+(108=$HN39)+(108=$HO39)&gt;=2,50,0))+DG$5*50)</f>
        <v/>
      </c>
      <c r="DH159">
        <f>IF(OR($JF39=0,calcA!$A$6=0),0,IF(OR(109=$HA39,109=$HD39,109=$HG39),200000,MIN(IF($HA39=0,999999,IF(5=$HB39,IF(109=$HJ39,IF($JC39=2,30,0),IF(109=$HK39,IF($JC39=1,30,0),ABS(13-$HC39)*100)),100000+ABS(5-$HB39)*1000+130)),IF($HD39=0,999999,IF(5=$HE39,IF(109=$HL39,IF($JD39=2,30,0),IF(109=$HM39,IF($JD39=1,30,0),ABS(13-$HF39)*100)),100000+ABS(5-$HE39)*1000+130)),IF($HG39=0,999999,IF(5=$HH39,IF(109=$HN39,IF($JE39=2,30,0),IF(109=$HO39,IF($JE39=1,30,0),ABS(13-$HI39)*100)),100000+ABS(5-$HH39)*1000+130)))-IF((109=$HJ39)+(109=$HK39)+(109=$HL39)+(109=$HM39)+(109=$HN39)+(109=$HO39)&gt;=2,50,0))+DH$5*50)</f>
        <v/>
      </c>
      <c r="DI159">
        <f>IF(OR($JF39=0,calcA!$A$6=0),0,IF(OR(110=$HA39,110=$HD39,110=$HG39),200000,MIN(IF($HA39=0,999999,IF(5=$HB39,IF(110=$HJ39,IF($JC39=2,30,0),IF(110=$HK39,IF($JC39=1,30,0),ABS(14-$HC39)*100)),100000+ABS(5-$HB39)*1000+140)),IF($HD39=0,999999,IF(5=$HE39,IF(110=$HL39,IF($JD39=2,30,0),IF(110=$HM39,IF($JD39=1,30,0),ABS(14-$HF39)*100)),100000+ABS(5-$HE39)*1000+140)),IF($HG39=0,999999,IF(5=$HH39,IF(110=$HN39,IF($JE39=2,30,0),IF(110=$HO39,IF($JE39=1,30,0),ABS(14-$HI39)*100)),100000+ABS(5-$HH39)*1000+140)))-IF((110=$HJ39)+(110=$HK39)+(110=$HL39)+(110=$HM39)+(110=$HN39)+(110=$HO39)&gt;=2,50,0))+DI$5*50)</f>
        <v/>
      </c>
      <c r="DJ159">
        <f>IF(OR($JF39=0,calcA!$A$6=0),0,IF(OR(111=$HA39,111=$HD39,111=$HG39),200000,MIN(IF($HA39=0,999999,IF(5=$HB39,IF(111=$HJ39,IF($JC39=2,30,0),IF(111=$HK39,IF($JC39=1,30,0),ABS(15-$HC39)*100)),100000+ABS(5-$HB39)*1000+150)),IF($HD39=0,999999,IF(5=$HE39,IF(111=$HL39,IF($JD39=2,30,0),IF(111=$HM39,IF($JD39=1,30,0),ABS(15-$HF39)*100)),100000+ABS(5-$HE39)*1000+150)),IF($HG39=0,999999,IF(5=$HH39,IF(111=$HN39,IF($JE39=2,30,0),IF(111=$HO39,IF($JE39=1,30,0),ABS(15-$HI39)*100)),100000+ABS(5-$HH39)*1000+150)))-IF((111=$HJ39)+(111=$HK39)+(111=$HL39)+(111=$HM39)+(111=$HN39)+(111=$HO39)&gt;=2,50,0))+DJ$5*50)</f>
        <v/>
      </c>
      <c r="DK159">
        <f>IF(OR($JF39=0,calcA!$A$6=0),0,IF(OR(112=$HA39,112=$HD39,112=$HG39),200000,MIN(IF($HA39=0,999999,IF(5=$HB39,IF(112=$HJ39,IF($JC39=2,30,0),IF(112=$HK39,IF($JC39=1,30,0),ABS(16-$HC39)*100)),100000+ABS(5-$HB39)*1000+160)),IF($HD39=0,999999,IF(5=$HE39,IF(112=$HL39,IF($JD39=2,30,0),IF(112=$HM39,IF($JD39=1,30,0),ABS(16-$HF39)*100)),100000+ABS(5-$HE39)*1000+160)),IF($HG39=0,999999,IF(5=$HH39,IF(112=$HN39,IF($JE39=2,30,0),IF(112=$HO39,IF($JE39=1,30,0),ABS(16-$HI39)*100)),100000+ABS(5-$HH39)*1000+160)))-IF((112=$HJ39)+(112=$HK39)+(112=$HL39)+(112=$HM39)+(112=$HN39)+(112=$HO39)&gt;=2,50,0))+DK$5*50)</f>
        <v/>
      </c>
      <c r="DL159">
        <f>IF(OR($JF39=0,calcA!$A$6=0),0,IF(OR(113=$HA39,113=$HD39,113=$HG39),200000,MIN(IF($HA39=0,999999,IF(5=$HB39,IF(113=$HJ39,IF($JC39=2,30,0),IF(113=$HK39,IF($JC39=1,30,0),ABS(17-$HC39)*100)),100000+ABS(5-$HB39)*1000+170)),IF($HD39=0,999999,IF(5=$HE39,IF(113=$HL39,IF($JD39=2,30,0),IF(113=$HM39,IF($JD39=1,30,0),ABS(17-$HF39)*100)),100000+ABS(5-$HE39)*1000+170)),IF($HG39=0,999999,IF(5=$HH39,IF(113=$HN39,IF($JE39=2,30,0),IF(113=$HO39,IF($JE39=1,30,0),ABS(17-$HI39)*100)),100000+ABS(5-$HH39)*1000+170)))-IF((113=$HJ39)+(113=$HK39)+(113=$HL39)+(113=$HM39)+(113=$HN39)+(113=$HO39)&gt;=2,50,0))+DL$5*50)</f>
        <v/>
      </c>
      <c r="DM159">
        <f>IF(OR($JF39=0,calcA!$A$6=0),0,IF(OR(114=$HA39,114=$HD39,114=$HG39),200000,MIN(IF($HA39=0,999999,IF(5=$HB39,IF(114=$HJ39,IF($JC39=2,30,0),IF(114=$HK39,IF($JC39=1,30,0),ABS(18-$HC39)*100)),100000+ABS(5-$HB39)*1000+180)),IF($HD39=0,999999,IF(5=$HE39,IF(114=$HL39,IF($JD39=2,30,0),IF(114=$HM39,IF($JD39=1,30,0),ABS(18-$HF39)*100)),100000+ABS(5-$HE39)*1000+180)),IF($HG39=0,999999,IF(5=$HH39,IF(114=$HN39,IF($JE39=2,30,0),IF(114=$HO39,IF($JE39=1,30,0),ABS(18-$HI39)*100)),100000+ABS(5-$HH39)*1000+180)))-IF((114=$HJ39)+(114=$HK39)+(114=$HL39)+(114=$HM39)+(114=$HN39)+(114=$HO39)&gt;=2,50,0))+DM$5*50)</f>
        <v/>
      </c>
      <c r="DN159">
        <f>IF(OR($JF39=0,calcA!$A$6=0),0,IF(OR(115=$HA39,115=$HD39,115=$HG39),200000,MIN(IF($HA39=0,999999,IF(5=$HB39,IF(115=$HJ39,IF($JC39=2,30,0),IF(115=$HK39,IF($JC39=1,30,0),ABS(19-$HC39)*100)),100000+ABS(5-$HB39)*1000+190)),IF($HD39=0,999999,IF(5=$HE39,IF(115=$HL39,IF($JD39=2,30,0),IF(115=$HM39,IF($JD39=1,30,0),ABS(19-$HF39)*100)),100000+ABS(5-$HE39)*1000+190)),IF($HG39=0,999999,IF(5=$HH39,IF(115=$HN39,IF($JE39=2,30,0),IF(115=$HO39,IF($JE39=1,30,0),ABS(19-$HI39)*100)),100000+ABS(5-$HH39)*1000+190)))-IF((115=$HJ39)+(115=$HK39)+(115=$HL39)+(115=$HM39)+(115=$HN39)+(115=$HO39)&gt;=2,50,0))+DN$5*50)</f>
        <v/>
      </c>
      <c r="DO159">
        <f>IF(OR($JF39=0,calcA!$A$6=0),0,IF(OR(116=$HA39,116=$HD39,116=$HG39),200000,MIN(IF($HA39=0,999999,IF(5=$HB39,IF(116=$HJ39,IF($JC39=2,30,0),IF(116=$HK39,IF($JC39=1,30,0),ABS(20-$HC39)*100)),100000+ABS(5-$HB39)*1000+200)),IF($HD39=0,999999,IF(5=$HE39,IF(116=$HL39,IF($JD39=2,30,0),IF(116=$HM39,IF($JD39=1,30,0),ABS(20-$HF39)*100)),100000+ABS(5-$HE39)*1000+200)),IF($HG39=0,999999,IF(5=$HH39,IF(116=$HN39,IF($JE39=2,30,0),IF(116=$HO39,IF($JE39=1,30,0),ABS(20-$HI39)*100)),100000+ABS(5-$HH39)*1000+200)))-IF((116=$HJ39)+(116=$HK39)+(116=$HL39)+(116=$HM39)+(116=$HN39)+(116=$HO39)&gt;=2,50,0))+DO$5*50)</f>
        <v/>
      </c>
      <c r="DP159">
        <f>IF(OR($JF39=0,calcA!$A$6=0),0,IF(OR(117=$HA39,117=$HD39,117=$HG39),200000,MIN(IF($HA39=0,999999,IF(5=$HB39,IF(117=$HJ39,IF($JC39=2,30,0),IF(117=$HK39,IF($JC39=1,30,0),ABS(21-$HC39)*100)),100000+ABS(5-$HB39)*1000+210)),IF($HD39=0,999999,IF(5=$HE39,IF(117=$HL39,IF($JD39=2,30,0),IF(117=$HM39,IF($JD39=1,30,0),ABS(21-$HF39)*100)),100000+ABS(5-$HE39)*1000+210)),IF($HG39=0,999999,IF(5=$HH39,IF(117=$HN39,IF($JE39=2,30,0),IF(117=$HO39,IF($JE39=1,30,0),ABS(21-$HI39)*100)),100000+ABS(5-$HH39)*1000+210)))-IF((117=$HJ39)+(117=$HK39)+(117=$HL39)+(117=$HM39)+(117=$HN39)+(117=$HO39)&gt;=2,50,0))+DP$5*50)</f>
        <v/>
      </c>
      <c r="DQ159">
        <f>IF(OR($JF39=0,calcA!$A$6=0),0,IF(OR(118=$HA39,118=$HD39,118=$HG39),200000,MIN(IF($HA39=0,999999,IF(5=$HB39,IF(118=$HJ39,IF($JC39=2,30,0),IF(118=$HK39,IF($JC39=1,30,0),ABS(22-$HC39)*100)),100000+ABS(5-$HB39)*1000+220)),IF($HD39=0,999999,IF(5=$HE39,IF(118=$HL39,IF($JD39=2,30,0),IF(118=$HM39,IF($JD39=1,30,0),ABS(22-$HF39)*100)),100000+ABS(5-$HE39)*1000+220)),IF($HG39=0,999999,IF(5=$HH39,IF(118=$HN39,IF($JE39=2,30,0),IF(118=$HO39,IF($JE39=1,30,0),ABS(22-$HI39)*100)),100000+ABS(5-$HH39)*1000+220)))-IF((118=$HJ39)+(118=$HK39)+(118=$HL39)+(118=$HM39)+(118=$HN39)+(118=$HO39)&gt;=2,50,0))+DQ$5*50)</f>
        <v/>
      </c>
      <c r="DR159">
        <f>IF(OR($JF39=0,calcA!$A$6=0),0,IF(OR(119=$HA39,119=$HD39,119=$HG39),200000,MIN(IF($HA39=0,999999,IF(5=$HB39,IF(119=$HJ39,IF($JC39=2,30,0),IF(119=$HK39,IF($JC39=1,30,0),ABS(23-$HC39)*100)),100000+ABS(5-$HB39)*1000+230)),IF($HD39=0,999999,IF(5=$HE39,IF(119=$HL39,IF($JD39=2,30,0),IF(119=$HM39,IF($JD39=1,30,0),ABS(23-$HF39)*100)),100000+ABS(5-$HE39)*1000+230)),IF($HG39=0,999999,IF(5=$HH39,IF(119=$HN39,IF($JE39=2,30,0),IF(119=$HO39,IF($JE39=1,30,0),ABS(23-$HI39)*100)),100000+ABS(5-$HH39)*1000+230)))-IF((119=$HJ39)+(119=$HK39)+(119=$HL39)+(119=$HM39)+(119=$HN39)+(119=$HO39)&gt;=2,50,0))+DR$5*50)</f>
        <v/>
      </c>
      <c r="DS159">
        <f>IF(OR($JF39=0,calcA!$A$6=0),0,IF(OR(120=$HA39,120=$HD39,120=$HG39),200000,MIN(IF($HA39=0,999999,IF(5=$HB39,IF(120=$HJ39,IF($JC39=2,30,0),IF(120=$HK39,IF($JC39=1,30,0),ABS(24-$HC39)*100)),100000+ABS(5-$HB39)*1000+240)),IF($HD39=0,999999,IF(5=$HE39,IF(120=$HL39,IF($JD39=2,30,0),IF(120=$HM39,IF($JD39=1,30,0),ABS(24-$HF39)*100)),100000+ABS(5-$HE39)*1000+240)),IF($HG39=0,999999,IF(5=$HH39,IF(120=$HN39,IF($JE39=2,30,0),IF(120=$HO39,IF($JE39=1,30,0),ABS(24-$HI39)*100)),100000+ABS(5-$HH39)*1000+240)))-IF((120=$HJ39)+(120=$HK39)+(120=$HL39)+(120=$HM39)+(120=$HN39)+(120=$HO39)&gt;=2,50,0))+DS$5*50)</f>
        <v/>
      </c>
      <c r="DT159">
        <f>IF(OR($JF39=0,calcA!$A$6=0),0,IF(OR(121=$HA39,121=$HD39,121=$HG39),200000,MIN(IF($HA39=0,999999,IF(6=$HB39,IF(121=$HJ39,IF($JC39=2,30,0),IF(121=$HK39,IF($JC39=1,30,0),ABS(1-$HC39)*100)),100000+ABS(6-$HB39)*1000+10)),IF($HD39=0,999999,IF(6=$HE39,IF(121=$HL39,IF($JD39=2,30,0),IF(121=$HM39,IF($JD39=1,30,0),ABS(1-$HF39)*100)),100000+ABS(6-$HE39)*1000+10)),IF($HG39=0,999999,IF(6=$HH39,IF(121=$HN39,IF($JE39=2,30,0),IF(121=$HO39,IF($JE39=1,30,0),ABS(1-$HI39)*100)),100000+ABS(6-$HH39)*1000+10)))-IF((121=$HJ39)+(121=$HK39)+(121=$HL39)+(121=$HM39)+(121=$HN39)+(121=$HO39)&gt;=2,50,0))+DT$5*50)</f>
        <v/>
      </c>
      <c r="DU159">
        <f>IF(OR($JF39=0,calcA!$A$6=0),0,IF(OR(122=$HA39,122=$HD39,122=$HG39),200000,MIN(IF($HA39=0,999999,IF(6=$HB39,IF(122=$HJ39,IF($JC39=2,30,0),IF(122=$HK39,IF($JC39=1,30,0),ABS(2-$HC39)*100)),100000+ABS(6-$HB39)*1000+20)),IF($HD39=0,999999,IF(6=$HE39,IF(122=$HL39,IF($JD39=2,30,0),IF(122=$HM39,IF($JD39=1,30,0),ABS(2-$HF39)*100)),100000+ABS(6-$HE39)*1000+20)),IF($HG39=0,999999,IF(6=$HH39,IF(122=$HN39,IF($JE39=2,30,0),IF(122=$HO39,IF($JE39=1,30,0),ABS(2-$HI39)*100)),100000+ABS(6-$HH39)*1000+20)))-IF((122=$HJ39)+(122=$HK39)+(122=$HL39)+(122=$HM39)+(122=$HN39)+(122=$HO39)&gt;=2,50,0))+DU$5*50)</f>
        <v/>
      </c>
      <c r="DV159">
        <f>IF(OR($JF39=0,calcA!$A$6=0),0,IF(OR(123=$HA39,123=$HD39,123=$HG39),200000,MIN(IF($HA39=0,999999,IF(6=$HB39,IF(123=$HJ39,IF($JC39=2,30,0),IF(123=$HK39,IF($JC39=1,30,0),ABS(3-$HC39)*100)),100000+ABS(6-$HB39)*1000+30)),IF($HD39=0,999999,IF(6=$HE39,IF(123=$HL39,IF($JD39=2,30,0),IF(123=$HM39,IF($JD39=1,30,0),ABS(3-$HF39)*100)),100000+ABS(6-$HE39)*1000+30)),IF($HG39=0,999999,IF(6=$HH39,IF(123=$HN39,IF($JE39=2,30,0),IF(123=$HO39,IF($JE39=1,30,0),ABS(3-$HI39)*100)),100000+ABS(6-$HH39)*1000+30)))-IF((123=$HJ39)+(123=$HK39)+(123=$HL39)+(123=$HM39)+(123=$HN39)+(123=$HO39)&gt;=2,50,0))+DV$5*50)</f>
        <v/>
      </c>
      <c r="DW159">
        <f>IF(OR($JF39=0,calcA!$A$6=0),0,IF(OR(124=$HA39,124=$HD39,124=$HG39),200000,MIN(IF($HA39=0,999999,IF(6=$HB39,IF(124=$HJ39,IF($JC39=2,30,0),IF(124=$HK39,IF($JC39=1,30,0),ABS(4-$HC39)*100)),100000+ABS(6-$HB39)*1000+40)),IF($HD39=0,999999,IF(6=$HE39,IF(124=$HL39,IF($JD39=2,30,0),IF(124=$HM39,IF($JD39=1,30,0),ABS(4-$HF39)*100)),100000+ABS(6-$HE39)*1000+40)),IF($HG39=0,999999,IF(6=$HH39,IF(124=$HN39,IF($JE39=2,30,0),IF(124=$HO39,IF($JE39=1,30,0),ABS(4-$HI39)*100)),100000+ABS(6-$HH39)*1000+40)))-IF((124=$HJ39)+(124=$HK39)+(124=$HL39)+(124=$HM39)+(124=$HN39)+(124=$HO39)&gt;=2,50,0))+DW$5*50)</f>
        <v/>
      </c>
      <c r="DX159">
        <f>IF(OR($JF39=0,calcA!$A$6=0),0,IF(OR(125=$HA39,125=$HD39,125=$HG39),200000,MIN(IF($HA39=0,999999,IF(6=$HB39,IF(125=$HJ39,IF($JC39=2,30,0),IF(125=$HK39,IF($JC39=1,30,0),ABS(5-$HC39)*100)),100000+ABS(6-$HB39)*1000+50)),IF($HD39=0,999999,IF(6=$HE39,IF(125=$HL39,IF($JD39=2,30,0),IF(125=$HM39,IF($JD39=1,30,0),ABS(5-$HF39)*100)),100000+ABS(6-$HE39)*1000+50)),IF($HG39=0,999999,IF(6=$HH39,IF(125=$HN39,IF($JE39=2,30,0),IF(125=$HO39,IF($JE39=1,30,0),ABS(5-$HI39)*100)),100000+ABS(6-$HH39)*1000+50)))-IF((125=$HJ39)+(125=$HK39)+(125=$HL39)+(125=$HM39)+(125=$HN39)+(125=$HO39)&gt;=2,50,0))+DX$5*50)</f>
        <v/>
      </c>
      <c r="DY159">
        <f>IF(OR($JF39=0,calcA!$A$6=0),0,IF(OR(126=$HA39,126=$HD39,126=$HG39),200000,MIN(IF($HA39=0,999999,IF(6=$HB39,IF(126=$HJ39,IF($JC39=2,30,0),IF(126=$HK39,IF($JC39=1,30,0),ABS(6-$HC39)*100)),100000+ABS(6-$HB39)*1000+60)),IF($HD39=0,999999,IF(6=$HE39,IF(126=$HL39,IF($JD39=2,30,0),IF(126=$HM39,IF($JD39=1,30,0),ABS(6-$HF39)*100)),100000+ABS(6-$HE39)*1000+60)),IF($HG39=0,999999,IF(6=$HH39,IF(126=$HN39,IF($JE39=2,30,0),IF(126=$HO39,IF($JE39=1,30,0),ABS(6-$HI39)*100)),100000+ABS(6-$HH39)*1000+60)))-IF((126=$HJ39)+(126=$HK39)+(126=$HL39)+(126=$HM39)+(126=$HN39)+(126=$HO39)&gt;=2,50,0))+DY$5*50)</f>
        <v/>
      </c>
      <c r="DZ159">
        <f>IF(OR($JF39=0,calcA!$A$6=0),0,IF(OR(127=$HA39,127=$HD39,127=$HG39),200000,MIN(IF($HA39=0,999999,IF(6=$HB39,IF(127=$HJ39,IF($JC39=2,30,0),IF(127=$HK39,IF($JC39=1,30,0),ABS(7-$HC39)*100)),100000+ABS(6-$HB39)*1000+70)),IF($HD39=0,999999,IF(6=$HE39,IF(127=$HL39,IF($JD39=2,30,0),IF(127=$HM39,IF($JD39=1,30,0),ABS(7-$HF39)*100)),100000+ABS(6-$HE39)*1000+70)),IF($HG39=0,999999,IF(6=$HH39,IF(127=$HN39,IF($JE39=2,30,0),IF(127=$HO39,IF($JE39=1,30,0),ABS(7-$HI39)*100)),100000+ABS(6-$HH39)*1000+70)))-IF((127=$HJ39)+(127=$HK39)+(127=$HL39)+(127=$HM39)+(127=$HN39)+(127=$HO39)&gt;=2,50,0))+DZ$5*50)</f>
        <v/>
      </c>
      <c r="EA159">
        <f>IF(OR($JF39=0,calcA!$A$6=0),0,IF(OR(128=$HA39,128=$HD39,128=$HG39),200000,MIN(IF($HA39=0,999999,IF(6=$HB39,IF(128=$HJ39,IF($JC39=2,30,0),IF(128=$HK39,IF($JC39=1,30,0),ABS(8-$HC39)*100)),100000+ABS(6-$HB39)*1000+80)),IF($HD39=0,999999,IF(6=$HE39,IF(128=$HL39,IF($JD39=2,30,0),IF(128=$HM39,IF($JD39=1,30,0),ABS(8-$HF39)*100)),100000+ABS(6-$HE39)*1000+80)),IF($HG39=0,999999,IF(6=$HH39,IF(128=$HN39,IF($JE39=2,30,0),IF(128=$HO39,IF($JE39=1,30,0),ABS(8-$HI39)*100)),100000+ABS(6-$HH39)*1000+80)))-IF((128=$HJ39)+(128=$HK39)+(128=$HL39)+(128=$HM39)+(128=$HN39)+(128=$HO39)&gt;=2,50,0))+EA$5*50)</f>
        <v/>
      </c>
      <c r="EB159">
        <f>IF(OR($JF39=0,calcA!$A$6=0),0,IF(OR(129=$HA39,129=$HD39,129=$HG39),200000,MIN(IF($HA39=0,999999,IF(6=$HB39,IF(129=$HJ39,IF($JC39=2,30,0),IF(129=$HK39,IF($JC39=1,30,0),ABS(9-$HC39)*100)),100000+ABS(6-$HB39)*1000+90)),IF($HD39=0,999999,IF(6=$HE39,IF(129=$HL39,IF($JD39=2,30,0),IF(129=$HM39,IF($JD39=1,30,0),ABS(9-$HF39)*100)),100000+ABS(6-$HE39)*1000+90)),IF($HG39=0,999999,IF(6=$HH39,IF(129=$HN39,IF($JE39=2,30,0),IF(129=$HO39,IF($JE39=1,30,0),ABS(9-$HI39)*100)),100000+ABS(6-$HH39)*1000+90)))-IF((129=$HJ39)+(129=$HK39)+(129=$HL39)+(129=$HM39)+(129=$HN39)+(129=$HO39)&gt;=2,50,0))+EB$5*50)</f>
        <v/>
      </c>
      <c r="EC159">
        <f>IF(OR($JF39=0,calcA!$A$6=0),0,IF(OR(130=$HA39,130=$HD39,130=$HG39),200000,MIN(IF($HA39=0,999999,IF(6=$HB39,IF(130=$HJ39,IF($JC39=2,30,0),IF(130=$HK39,IF($JC39=1,30,0),ABS(10-$HC39)*100)),100000+ABS(6-$HB39)*1000+100)),IF($HD39=0,999999,IF(6=$HE39,IF(130=$HL39,IF($JD39=2,30,0),IF(130=$HM39,IF($JD39=1,30,0),ABS(10-$HF39)*100)),100000+ABS(6-$HE39)*1000+100)),IF($HG39=0,999999,IF(6=$HH39,IF(130=$HN39,IF($JE39=2,30,0),IF(130=$HO39,IF($JE39=1,30,0),ABS(10-$HI39)*100)),100000+ABS(6-$HH39)*1000+100)))-IF((130=$HJ39)+(130=$HK39)+(130=$HL39)+(130=$HM39)+(130=$HN39)+(130=$HO39)&gt;=2,50,0))+EC$5*50)</f>
        <v/>
      </c>
      <c r="ED159">
        <f>IF(OR($JF39=0,calcA!$A$6=0),0,IF(OR(131=$HA39,131=$HD39,131=$HG39),200000,MIN(IF($HA39=0,999999,IF(6=$HB39,IF(131=$HJ39,IF($JC39=2,30,0),IF(131=$HK39,IF($JC39=1,30,0),ABS(11-$HC39)*100)),100000+ABS(6-$HB39)*1000+110)),IF($HD39=0,999999,IF(6=$HE39,IF(131=$HL39,IF($JD39=2,30,0),IF(131=$HM39,IF($JD39=1,30,0),ABS(11-$HF39)*100)),100000+ABS(6-$HE39)*1000+110)),IF($HG39=0,999999,IF(6=$HH39,IF(131=$HN39,IF($JE39=2,30,0),IF(131=$HO39,IF($JE39=1,30,0),ABS(11-$HI39)*100)),100000+ABS(6-$HH39)*1000+110)))-IF((131=$HJ39)+(131=$HK39)+(131=$HL39)+(131=$HM39)+(131=$HN39)+(131=$HO39)&gt;=2,50,0))+ED$5*50)</f>
        <v/>
      </c>
      <c r="EE159">
        <f>IF(OR($JF39=0,calcA!$A$6=0),0,IF(OR(132=$HA39,132=$HD39,132=$HG39),200000,MIN(IF($HA39=0,999999,IF(6=$HB39,IF(132=$HJ39,IF($JC39=2,30,0),IF(132=$HK39,IF($JC39=1,30,0),ABS(12-$HC39)*100)),100000+ABS(6-$HB39)*1000+120)),IF($HD39=0,999999,IF(6=$HE39,IF(132=$HL39,IF($JD39=2,30,0),IF(132=$HM39,IF($JD39=1,30,0),ABS(12-$HF39)*100)),100000+ABS(6-$HE39)*1000+120)),IF($HG39=0,999999,IF(6=$HH39,IF(132=$HN39,IF($JE39=2,30,0),IF(132=$HO39,IF($JE39=1,30,0),ABS(12-$HI39)*100)),100000+ABS(6-$HH39)*1000+120)))-IF((132=$HJ39)+(132=$HK39)+(132=$HL39)+(132=$HM39)+(132=$HN39)+(132=$HO39)&gt;=2,50,0))+EE$5*50)</f>
        <v/>
      </c>
      <c r="EF159">
        <f>IF(OR($JF39=0,calcA!$A$6=0),0,IF(OR(133=$HA39,133=$HD39,133=$HG39),200000,MIN(IF($HA39=0,999999,IF(6=$HB39,IF(133=$HJ39,IF($JC39=2,30,0),IF(133=$HK39,IF($JC39=1,30,0),ABS(13-$HC39)*100)),100000+ABS(6-$HB39)*1000+130)),IF($HD39=0,999999,IF(6=$HE39,IF(133=$HL39,IF($JD39=2,30,0),IF(133=$HM39,IF($JD39=1,30,0),ABS(13-$HF39)*100)),100000+ABS(6-$HE39)*1000+130)),IF($HG39=0,999999,IF(6=$HH39,IF(133=$HN39,IF($JE39=2,30,0),IF(133=$HO39,IF($JE39=1,30,0),ABS(13-$HI39)*100)),100000+ABS(6-$HH39)*1000+130)))-IF((133=$HJ39)+(133=$HK39)+(133=$HL39)+(133=$HM39)+(133=$HN39)+(133=$HO39)&gt;=2,50,0))+EF$5*50)</f>
        <v/>
      </c>
      <c r="EG159">
        <f>IF(OR($JF39=0,calcA!$A$6=0),0,IF(OR(134=$HA39,134=$HD39,134=$HG39),200000,MIN(IF($HA39=0,999999,IF(6=$HB39,IF(134=$HJ39,IF($JC39=2,30,0),IF(134=$HK39,IF($JC39=1,30,0),ABS(14-$HC39)*100)),100000+ABS(6-$HB39)*1000+140)),IF($HD39=0,999999,IF(6=$HE39,IF(134=$HL39,IF($JD39=2,30,0),IF(134=$HM39,IF($JD39=1,30,0),ABS(14-$HF39)*100)),100000+ABS(6-$HE39)*1000+140)),IF($HG39=0,999999,IF(6=$HH39,IF(134=$HN39,IF($JE39=2,30,0),IF(134=$HO39,IF($JE39=1,30,0),ABS(14-$HI39)*100)),100000+ABS(6-$HH39)*1000+140)))-IF((134=$HJ39)+(134=$HK39)+(134=$HL39)+(134=$HM39)+(134=$HN39)+(134=$HO39)&gt;=2,50,0))+EG$5*50)</f>
        <v/>
      </c>
      <c r="EH159">
        <f>IF(OR($JF39=0,calcA!$A$6=0),0,IF(OR(135=$HA39,135=$HD39,135=$HG39),200000,MIN(IF($HA39=0,999999,IF(6=$HB39,IF(135=$HJ39,IF($JC39=2,30,0),IF(135=$HK39,IF($JC39=1,30,0),ABS(15-$HC39)*100)),100000+ABS(6-$HB39)*1000+150)),IF($HD39=0,999999,IF(6=$HE39,IF(135=$HL39,IF($JD39=2,30,0),IF(135=$HM39,IF($JD39=1,30,0),ABS(15-$HF39)*100)),100000+ABS(6-$HE39)*1000+150)),IF($HG39=0,999999,IF(6=$HH39,IF(135=$HN39,IF($JE39=2,30,0),IF(135=$HO39,IF($JE39=1,30,0),ABS(15-$HI39)*100)),100000+ABS(6-$HH39)*1000+150)))-IF((135=$HJ39)+(135=$HK39)+(135=$HL39)+(135=$HM39)+(135=$HN39)+(135=$HO39)&gt;=2,50,0))+EH$5*50)</f>
        <v/>
      </c>
      <c r="EI159">
        <f>IF(OR($JF39=0,calcA!$A$6=0),0,IF(OR(136=$HA39,136=$HD39,136=$HG39),200000,MIN(IF($HA39=0,999999,IF(6=$HB39,IF(136=$HJ39,IF($JC39=2,30,0),IF(136=$HK39,IF($JC39=1,30,0),ABS(16-$HC39)*100)),100000+ABS(6-$HB39)*1000+160)),IF($HD39=0,999999,IF(6=$HE39,IF(136=$HL39,IF($JD39=2,30,0),IF(136=$HM39,IF($JD39=1,30,0),ABS(16-$HF39)*100)),100000+ABS(6-$HE39)*1000+160)),IF($HG39=0,999999,IF(6=$HH39,IF(136=$HN39,IF($JE39=2,30,0),IF(136=$HO39,IF($JE39=1,30,0),ABS(16-$HI39)*100)),100000+ABS(6-$HH39)*1000+160)))-IF((136=$HJ39)+(136=$HK39)+(136=$HL39)+(136=$HM39)+(136=$HN39)+(136=$HO39)&gt;=2,50,0))+EI$5*50)</f>
        <v/>
      </c>
      <c r="EJ159">
        <f>IF(OR($JF39=0,calcA!$A$6=0),0,IF(OR(137=$HA39,137=$HD39,137=$HG39),200000,MIN(IF($HA39=0,999999,IF(6=$HB39,IF(137=$HJ39,IF($JC39=2,30,0),IF(137=$HK39,IF($JC39=1,30,0),ABS(17-$HC39)*100)),100000+ABS(6-$HB39)*1000+170)),IF($HD39=0,999999,IF(6=$HE39,IF(137=$HL39,IF($JD39=2,30,0),IF(137=$HM39,IF($JD39=1,30,0),ABS(17-$HF39)*100)),100000+ABS(6-$HE39)*1000+170)),IF($HG39=0,999999,IF(6=$HH39,IF(137=$HN39,IF($JE39=2,30,0),IF(137=$HO39,IF($JE39=1,30,0),ABS(17-$HI39)*100)),100000+ABS(6-$HH39)*1000+170)))-IF((137=$HJ39)+(137=$HK39)+(137=$HL39)+(137=$HM39)+(137=$HN39)+(137=$HO39)&gt;=2,50,0))+EJ$5*50)</f>
        <v/>
      </c>
      <c r="EK159">
        <f>IF(OR($JF39=0,calcA!$A$6=0),0,IF(OR(138=$HA39,138=$HD39,138=$HG39),200000,MIN(IF($HA39=0,999999,IF(6=$HB39,IF(138=$HJ39,IF($JC39=2,30,0),IF(138=$HK39,IF($JC39=1,30,0),ABS(18-$HC39)*100)),100000+ABS(6-$HB39)*1000+180)),IF($HD39=0,999999,IF(6=$HE39,IF(138=$HL39,IF($JD39=2,30,0),IF(138=$HM39,IF($JD39=1,30,0),ABS(18-$HF39)*100)),100000+ABS(6-$HE39)*1000+180)),IF($HG39=0,999999,IF(6=$HH39,IF(138=$HN39,IF($JE39=2,30,0),IF(138=$HO39,IF($JE39=1,30,0),ABS(18-$HI39)*100)),100000+ABS(6-$HH39)*1000+180)))-IF((138=$HJ39)+(138=$HK39)+(138=$HL39)+(138=$HM39)+(138=$HN39)+(138=$HO39)&gt;=2,50,0))+EK$5*50)</f>
        <v/>
      </c>
      <c r="EL159">
        <f>IF(OR($JF39=0,calcA!$A$6=0),0,IF(OR(139=$HA39,139=$HD39,139=$HG39),200000,MIN(IF($HA39=0,999999,IF(6=$HB39,IF(139=$HJ39,IF($JC39=2,30,0),IF(139=$HK39,IF($JC39=1,30,0),ABS(19-$HC39)*100)),100000+ABS(6-$HB39)*1000+190)),IF($HD39=0,999999,IF(6=$HE39,IF(139=$HL39,IF($JD39=2,30,0),IF(139=$HM39,IF($JD39=1,30,0),ABS(19-$HF39)*100)),100000+ABS(6-$HE39)*1000+190)),IF($HG39=0,999999,IF(6=$HH39,IF(139=$HN39,IF($JE39=2,30,0),IF(139=$HO39,IF($JE39=1,30,0),ABS(19-$HI39)*100)),100000+ABS(6-$HH39)*1000+190)))-IF((139=$HJ39)+(139=$HK39)+(139=$HL39)+(139=$HM39)+(139=$HN39)+(139=$HO39)&gt;=2,50,0))+EL$5*50)</f>
        <v/>
      </c>
      <c r="EM159">
        <f>IF(OR($JF39=0,calcA!$A$6=0),0,IF(OR(140=$HA39,140=$HD39,140=$HG39),200000,MIN(IF($HA39=0,999999,IF(6=$HB39,IF(140=$HJ39,IF($JC39=2,30,0),IF(140=$HK39,IF($JC39=1,30,0),ABS(20-$HC39)*100)),100000+ABS(6-$HB39)*1000+200)),IF($HD39=0,999999,IF(6=$HE39,IF(140=$HL39,IF($JD39=2,30,0),IF(140=$HM39,IF($JD39=1,30,0),ABS(20-$HF39)*100)),100000+ABS(6-$HE39)*1000+200)),IF($HG39=0,999999,IF(6=$HH39,IF(140=$HN39,IF($JE39=2,30,0),IF(140=$HO39,IF($JE39=1,30,0),ABS(20-$HI39)*100)),100000+ABS(6-$HH39)*1000+200)))-IF((140=$HJ39)+(140=$HK39)+(140=$HL39)+(140=$HM39)+(140=$HN39)+(140=$HO39)&gt;=2,50,0))+EM$5*50)</f>
        <v/>
      </c>
      <c r="EN159">
        <f>IF(OR($JF39=0,calcA!$A$6=0),0,IF(OR(141=$HA39,141=$HD39,141=$HG39),200000,MIN(IF($HA39=0,999999,IF(6=$HB39,IF(141=$HJ39,IF($JC39=2,30,0),IF(141=$HK39,IF($JC39=1,30,0),ABS(21-$HC39)*100)),100000+ABS(6-$HB39)*1000+210)),IF($HD39=0,999999,IF(6=$HE39,IF(141=$HL39,IF($JD39=2,30,0),IF(141=$HM39,IF($JD39=1,30,0),ABS(21-$HF39)*100)),100000+ABS(6-$HE39)*1000+210)),IF($HG39=0,999999,IF(6=$HH39,IF(141=$HN39,IF($JE39=2,30,0),IF(141=$HO39,IF($JE39=1,30,0),ABS(21-$HI39)*100)),100000+ABS(6-$HH39)*1000+210)))-IF((141=$HJ39)+(141=$HK39)+(141=$HL39)+(141=$HM39)+(141=$HN39)+(141=$HO39)&gt;=2,50,0))+EN$5*50)</f>
        <v/>
      </c>
      <c r="EO159">
        <f>IF(OR($JF39=0,calcA!$A$6=0),0,IF(OR(142=$HA39,142=$HD39,142=$HG39),200000,MIN(IF($HA39=0,999999,IF(6=$HB39,IF(142=$HJ39,IF($JC39=2,30,0),IF(142=$HK39,IF($JC39=1,30,0),ABS(22-$HC39)*100)),100000+ABS(6-$HB39)*1000+220)),IF($HD39=0,999999,IF(6=$HE39,IF(142=$HL39,IF($JD39=2,30,0),IF(142=$HM39,IF($JD39=1,30,0),ABS(22-$HF39)*100)),100000+ABS(6-$HE39)*1000+220)),IF($HG39=0,999999,IF(6=$HH39,IF(142=$HN39,IF($JE39=2,30,0),IF(142=$HO39,IF($JE39=1,30,0),ABS(22-$HI39)*100)),100000+ABS(6-$HH39)*1000+220)))-IF((142=$HJ39)+(142=$HK39)+(142=$HL39)+(142=$HM39)+(142=$HN39)+(142=$HO39)&gt;=2,50,0))+EO$5*50)</f>
        <v/>
      </c>
      <c r="EP159">
        <f>IF(OR($JF39=0,calcA!$A$6=0),0,IF(OR(143=$HA39,143=$HD39,143=$HG39),200000,MIN(IF($HA39=0,999999,IF(6=$HB39,IF(143=$HJ39,IF($JC39=2,30,0),IF(143=$HK39,IF($JC39=1,30,0),ABS(23-$HC39)*100)),100000+ABS(6-$HB39)*1000+230)),IF($HD39=0,999999,IF(6=$HE39,IF(143=$HL39,IF($JD39=2,30,0),IF(143=$HM39,IF($JD39=1,30,0),ABS(23-$HF39)*100)),100000+ABS(6-$HE39)*1000+230)),IF($HG39=0,999999,IF(6=$HH39,IF(143=$HN39,IF($JE39=2,30,0),IF(143=$HO39,IF($JE39=1,30,0),ABS(23-$HI39)*100)),100000+ABS(6-$HH39)*1000+230)))-IF((143=$HJ39)+(143=$HK39)+(143=$HL39)+(143=$HM39)+(143=$HN39)+(143=$HO39)&gt;=2,50,0))+EP$5*50)</f>
        <v/>
      </c>
      <c r="EQ159">
        <f>IF(OR($JF39=0,calcA!$A$6=0),0,IF(OR(144=$HA39,144=$HD39,144=$HG39),200000,MIN(IF($HA39=0,999999,IF(6=$HB39,IF(144=$HJ39,IF($JC39=2,30,0),IF(144=$HK39,IF($JC39=1,30,0),ABS(24-$HC39)*100)),100000+ABS(6-$HB39)*1000+240)),IF($HD39=0,999999,IF(6=$HE39,IF(144=$HL39,IF($JD39=2,30,0),IF(144=$HM39,IF($JD39=1,30,0),ABS(24-$HF39)*100)),100000+ABS(6-$HE39)*1000+240)),IF($HG39=0,999999,IF(6=$HH39,IF(144=$HN39,IF($JE39=2,30,0),IF(144=$HO39,IF($JE39=1,30,0),ABS(24-$HI39)*100)),100000+ABS(6-$HH39)*1000+240)))-IF((144=$HJ39)+(144=$HK39)+(144=$HL39)+(144=$HM39)+(144=$HN39)+(144=$HO39)&gt;=2,50,0))+EQ$5*50)</f>
        <v/>
      </c>
    </row>
    <row r="160">
      <c r="D160">
        <f>IF(OR($JF40=0,calcA!$A$6=0),0,IF(OR(1=$HA40,1=$HD40,1=$HG40),200000,MIN(IF($HA40=0,999999,IF(1=$HB40,IF(1=$HJ40,IF($JC40=2,30,0),IF(1=$HK40,IF($JC40=1,30,0),ABS(1-$HC40)*100)),100000+ABS(1-$HB40)*1000+10)),IF($HD40=0,999999,IF(1=$HE40,IF(1=$HL40,IF($JD40=2,30,0),IF(1=$HM40,IF($JD40=1,30,0),ABS(1-$HF40)*100)),100000+ABS(1-$HE40)*1000+10)),IF($HG40=0,999999,IF(1=$HH40,IF(1=$HN40,IF($JE40=2,30,0),IF(1=$HO40,IF($JE40=1,30,0),ABS(1-$HI40)*100)),100000+ABS(1-$HH40)*1000+10)))-IF((1=$HJ40)+(1=$HK40)+(1=$HL40)+(1=$HM40)+(1=$HN40)+(1=$HO40)&gt;=2,50,0))+D$5*50)</f>
        <v/>
      </c>
      <c r="E160">
        <f>IF(OR($JF40=0,calcA!$A$6=0),0,IF(OR(2=$HA40,2=$HD40,2=$HG40),200000,MIN(IF($HA40=0,999999,IF(1=$HB40,IF(2=$HJ40,IF($JC40=2,30,0),IF(2=$HK40,IF($JC40=1,30,0),ABS(2-$HC40)*100)),100000+ABS(1-$HB40)*1000+20)),IF($HD40=0,999999,IF(1=$HE40,IF(2=$HL40,IF($JD40=2,30,0),IF(2=$HM40,IF($JD40=1,30,0),ABS(2-$HF40)*100)),100000+ABS(1-$HE40)*1000+20)),IF($HG40=0,999999,IF(1=$HH40,IF(2=$HN40,IF($JE40=2,30,0),IF(2=$HO40,IF($JE40=1,30,0),ABS(2-$HI40)*100)),100000+ABS(1-$HH40)*1000+20)))-IF((2=$HJ40)+(2=$HK40)+(2=$HL40)+(2=$HM40)+(2=$HN40)+(2=$HO40)&gt;=2,50,0))+E$5*50)</f>
        <v/>
      </c>
      <c r="F160">
        <f>IF(OR($JF40=0,calcA!$A$6=0),0,IF(OR(3=$HA40,3=$HD40,3=$HG40),200000,MIN(IF($HA40=0,999999,IF(1=$HB40,IF(3=$HJ40,IF($JC40=2,30,0),IF(3=$HK40,IF($JC40=1,30,0),ABS(3-$HC40)*100)),100000+ABS(1-$HB40)*1000+30)),IF($HD40=0,999999,IF(1=$HE40,IF(3=$HL40,IF($JD40=2,30,0),IF(3=$HM40,IF($JD40=1,30,0),ABS(3-$HF40)*100)),100000+ABS(1-$HE40)*1000+30)),IF($HG40=0,999999,IF(1=$HH40,IF(3=$HN40,IF($JE40=2,30,0),IF(3=$HO40,IF($JE40=1,30,0),ABS(3-$HI40)*100)),100000+ABS(1-$HH40)*1000+30)))-IF((3=$HJ40)+(3=$HK40)+(3=$HL40)+(3=$HM40)+(3=$HN40)+(3=$HO40)&gt;=2,50,0))+F$5*50)</f>
        <v/>
      </c>
      <c r="G160">
        <f>IF(OR($JF40=0,calcA!$A$6=0),0,IF(OR(4=$HA40,4=$HD40,4=$HG40),200000,MIN(IF($HA40=0,999999,IF(1=$HB40,IF(4=$HJ40,IF($JC40=2,30,0),IF(4=$HK40,IF($JC40=1,30,0),ABS(4-$HC40)*100)),100000+ABS(1-$HB40)*1000+40)),IF($HD40=0,999999,IF(1=$HE40,IF(4=$HL40,IF($JD40=2,30,0),IF(4=$HM40,IF($JD40=1,30,0),ABS(4-$HF40)*100)),100000+ABS(1-$HE40)*1000+40)),IF($HG40=0,999999,IF(1=$HH40,IF(4=$HN40,IF($JE40=2,30,0),IF(4=$HO40,IF($JE40=1,30,0),ABS(4-$HI40)*100)),100000+ABS(1-$HH40)*1000+40)))-IF((4=$HJ40)+(4=$HK40)+(4=$HL40)+(4=$HM40)+(4=$HN40)+(4=$HO40)&gt;=2,50,0))+G$5*50)</f>
        <v/>
      </c>
      <c r="H160">
        <f>IF(OR($JF40=0,calcA!$A$6=0),0,IF(OR(5=$HA40,5=$HD40,5=$HG40),200000,MIN(IF($HA40=0,999999,IF(1=$HB40,IF(5=$HJ40,IF($JC40=2,30,0),IF(5=$HK40,IF($JC40=1,30,0),ABS(5-$HC40)*100)),100000+ABS(1-$HB40)*1000+50)),IF($HD40=0,999999,IF(1=$HE40,IF(5=$HL40,IF($JD40=2,30,0),IF(5=$HM40,IF($JD40=1,30,0),ABS(5-$HF40)*100)),100000+ABS(1-$HE40)*1000+50)),IF($HG40=0,999999,IF(1=$HH40,IF(5=$HN40,IF($JE40=2,30,0),IF(5=$HO40,IF($JE40=1,30,0),ABS(5-$HI40)*100)),100000+ABS(1-$HH40)*1000+50)))-IF((5=$HJ40)+(5=$HK40)+(5=$HL40)+(5=$HM40)+(5=$HN40)+(5=$HO40)&gt;=2,50,0))+H$5*50)</f>
        <v/>
      </c>
      <c r="I160">
        <f>IF(OR($JF40=0,calcA!$A$6=0),0,IF(OR(6=$HA40,6=$HD40,6=$HG40),200000,MIN(IF($HA40=0,999999,IF(1=$HB40,IF(6=$HJ40,IF($JC40=2,30,0),IF(6=$HK40,IF($JC40=1,30,0),ABS(6-$HC40)*100)),100000+ABS(1-$HB40)*1000+60)),IF($HD40=0,999999,IF(1=$HE40,IF(6=$HL40,IF($JD40=2,30,0),IF(6=$HM40,IF($JD40=1,30,0),ABS(6-$HF40)*100)),100000+ABS(1-$HE40)*1000+60)),IF($HG40=0,999999,IF(1=$HH40,IF(6=$HN40,IF($JE40=2,30,0),IF(6=$HO40,IF($JE40=1,30,0),ABS(6-$HI40)*100)),100000+ABS(1-$HH40)*1000+60)))-IF((6=$HJ40)+(6=$HK40)+(6=$HL40)+(6=$HM40)+(6=$HN40)+(6=$HO40)&gt;=2,50,0))+I$5*50)</f>
        <v/>
      </c>
      <c r="J160">
        <f>IF(OR($JF40=0,calcA!$A$6=0),0,IF(OR(7=$HA40,7=$HD40,7=$HG40),200000,MIN(IF($HA40=0,999999,IF(1=$HB40,IF(7=$HJ40,IF($JC40=2,30,0),IF(7=$HK40,IF($JC40=1,30,0),ABS(7-$HC40)*100)),100000+ABS(1-$HB40)*1000+70)),IF($HD40=0,999999,IF(1=$HE40,IF(7=$HL40,IF($JD40=2,30,0),IF(7=$HM40,IF($JD40=1,30,0),ABS(7-$HF40)*100)),100000+ABS(1-$HE40)*1000+70)),IF($HG40=0,999999,IF(1=$HH40,IF(7=$HN40,IF($JE40=2,30,0),IF(7=$HO40,IF($JE40=1,30,0),ABS(7-$HI40)*100)),100000+ABS(1-$HH40)*1000+70)))-IF((7=$HJ40)+(7=$HK40)+(7=$HL40)+(7=$HM40)+(7=$HN40)+(7=$HO40)&gt;=2,50,0))+J$5*50)</f>
        <v/>
      </c>
      <c r="K160">
        <f>IF(OR($JF40=0,calcA!$A$6=0),0,IF(OR(8=$HA40,8=$HD40,8=$HG40),200000,MIN(IF($HA40=0,999999,IF(1=$HB40,IF(8=$HJ40,IF($JC40=2,30,0),IF(8=$HK40,IF($JC40=1,30,0),ABS(8-$HC40)*100)),100000+ABS(1-$HB40)*1000+80)),IF($HD40=0,999999,IF(1=$HE40,IF(8=$HL40,IF($JD40=2,30,0),IF(8=$HM40,IF($JD40=1,30,0),ABS(8-$HF40)*100)),100000+ABS(1-$HE40)*1000+80)),IF($HG40=0,999999,IF(1=$HH40,IF(8=$HN40,IF($JE40=2,30,0),IF(8=$HO40,IF($JE40=1,30,0),ABS(8-$HI40)*100)),100000+ABS(1-$HH40)*1000+80)))-IF((8=$HJ40)+(8=$HK40)+(8=$HL40)+(8=$HM40)+(8=$HN40)+(8=$HO40)&gt;=2,50,0))+K$5*50)</f>
        <v/>
      </c>
      <c r="L160">
        <f>IF(OR($JF40=0,calcA!$A$6=0),0,IF(OR(9=$HA40,9=$HD40,9=$HG40),200000,MIN(IF($HA40=0,999999,IF(1=$HB40,IF(9=$HJ40,IF($JC40=2,30,0),IF(9=$HK40,IF($JC40=1,30,0),ABS(9-$HC40)*100)),100000+ABS(1-$HB40)*1000+90)),IF($HD40=0,999999,IF(1=$HE40,IF(9=$HL40,IF($JD40=2,30,0),IF(9=$HM40,IF($JD40=1,30,0),ABS(9-$HF40)*100)),100000+ABS(1-$HE40)*1000+90)),IF($HG40=0,999999,IF(1=$HH40,IF(9=$HN40,IF($JE40=2,30,0),IF(9=$HO40,IF($JE40=1,30,0),ABS(9-$HI40)*100)),100000+ABS(1-$HH40)*1000+90)))-IF((9=$HJ40)+(9=$HK40)+(9=$HL40)+(9=$HM40)+(9=$HN40)+(9=$HO40)&gt;=2,50,0))+L$5*50)</f>
        <v/>
      </c>
      <c r="M160">
        <f>IF(OR($JF40=0,calcA!$A$6=0),0,IF(OR(10=$HA40,10=$HD40,10=$HG40),200000,MIN(IF($HA40=0,999999,IF(1=$HB40,IF(10=$HJ40,IF($JC40=2,30,0),IF(10=$HK40,IF($JC40=1,30,0),ABS(10-$HC40)*100)),100000+ABS(1-$HB40)*1000+100)),IF($HD40=0,999999,IF(1=$HE40,IF(10=$HL40,IF($JD40=2,30,0),IF(10=$HM40,IF($JD40=1,30,0),ABS(10-$HF40)*100)),100000+ABS(1-$HE40)*1000+100)),IF($HG40=0,999999,IF(1=$HH40,IF(10=$HN40,IF($JE40=2,30,0),IF(10=$HO40,IF($JE40=1,30,0),ABS(10-$HI40)*100)),100000+ABS(1-$HH40)*1000+100)))-IF((10=$HJ40)+(10=$HK40)+(10=$HL40)+(10=$HM40)+(10=$HN40)+(10=$HO40)&gt;=2,50,0))+M$5*50)</f>
        <v/>
      </c>
      <c r="N160">
        <f>IF(OR($JF40=0,calcA!$A$6=0),0,IF(OR(11=$HA40,11=$HD40,11=$HG40),200000,MIN(IF($HA40=0,999999,IF(1=$HB40,IF(11=$HJ40,IF($JC40=2,30,0),IF(11=$HK40,IF($JC40=1,30,0),ABS(11-$HC40)*100)),100000+ABS(1-$HB40)*1000+110)),IF($HD40=0,999999,IF(1=$HE40,IF(11=$HL40,IF($JD40=2,30,0),IF(11=$HM40,IF($JD40=1,30,0),ABS(11-$HF40)*100)),100000+ABS(1-$HE40)*1000+110)),IF($HG40=0,999999,IF(1=$HH40,IF(11=$HN40,IF($JE40=2,30,0),IF(11=$HO40,IF($JE40=1,30,0),ABS(11-$HI40)*100)),100000+ABS(1-$HH40)*1000+110)))-IF((11=$HJ40)+(11=$HK40)+(11=$HL40)+(11=$HM40)+(11=$HN40)+(11=$HO40)&gt;=2,50,0))+N$5*50)</f>
        <v/>
      </c>
      <c r="O160">
        <f>IF(OR($JF40=0,calcA!$A$6=0),0,IF(OR(12=$HA40,12=$HD40,12=$HG40),200000,MIN(IF($HA40=0,999999,IF(1=$HB40,IF(12=$HJ40,IF($JC40=2,30,0),IF(12=$HK40,IF($JC40=1,30,0),ABS(12-$HC40)*100)),100000+ABS(1-$HB40)*1000+120)),IF($HD40=0,999999,IF(1=$HE40,IF(12=$HL40,IF($JD40=2,30,0),IF(12=$HM40,IF($JD40=1,30,0),ABS(12-$HF40)*100)),100000+ABS(1-$HE40)*1000+120)),IF($HG40=0,999999,IF(1=$HH40,IF(12=$HN40,IF($JE40=2,30,0),IF(12=$HO40,IF($JE40=1,30,0),ABS(12-$HI40)*100)),100000+ABS(1-$HH40)*1000+120)))-IF((12=$HJ40)+(12=$HK40)+(12=$HL40)+(12=$HM40)+(12=$HN40)+(12=$HO40)&gt;=2,50,0))+O$5*50)</f>
        <v/>
      </c>
      <c r="P160">
        <f>IF(OR($JF40=0,calcA!$A$6=0),0,IF(OR(13=$HA40,13=$HD40,13=$HG40),200000,MIN(IF($HA40=0,999999,IF(1=$HB40,IF(13=$HJ40,IF($JC40=2,30,0),IF(13=$HK40,IF($JC40=1,30,0),ABS(13-$HC40)*100)),100000+ABS(1-$HB40)*1000+130)),IF($HD40=0,999999,IF(1=$HE40,IF(13=$HL40,IF($JD40=2,30,0),IF(13=$HM40,IF($JD40=1,30,0),ABS(13-$HF40)*100)),100000+ABS(1-$HE40)*1000+130)),IF($HG40=0,999999,IF(1=$HH40,IF(13=$HN40,IF($JE40=2,30,0),IF(13=$HO40,IF($JE40=1,30,0),ABS(13-$HI40)*100)),100000+ABS(1-$HH40)*1000+130)))-IF((13=$HJ40)+(13=$HK40)+(13=$HL40)+(13=$HM40)+(13=$HN40)+(13=$HO40)&gt;=2,50,0))+P$5*50)</f>
        <v/>
      </c>
      <c r="Q160">
        <f>IF(OR($JF40=0,calcA!$A$6=0),0,IF(OR(14=$HA40,14=$HD40,14=$HG40),200000,MIN(IF($HA40=0,999999,IF(1=$HB40,IF(14=$HJ40,IF($JC40=2,30,0),IF(14=$HK40,IF($JC40=1,30,0),ABS(14-$HC40)*100)),100000+ABS(1-$HB40)*1000+140)),IF($HD40=0,999999,IF(1=$HE40,IF(14=$HL40,IF($JD40=2,30,0),IF(14=$HM40,IF($JD40=1,30,0),ABS(14-$HF40)*100)),100000+ABS(1-$HE40)*1000+140)),IF($HG40=0,999999,IF(1=$HH40,IF(14=$HN40,IF($JE40=2,30,0),IF(14=$HO40,IF($JE40=1,30,0),ABS(14-$HI40)*100)),100000+ABS(1-$HH40)*1000+140)))-IF((14=$HJ40)+(14=$HK40)+(14=$HL40)+(14=$HM40)+(14=$HN40)+(14=$HO40)&gt;=2,50,0))+Q$5*50)</f>
        <v/>
      </c>
      <c r="R160">
        <f>IF(OR($JF40=0,calcA!$A$6=0),0,IF(OR(15=$HA40,15=$HD40,15=$HG40),200000,MIN(IF($HA40=0,999999,IF(1=$HB40,IF(15=$HJ40,IF($JC40=2,30,0),IF(15=$HK40,IF($JC40=1,30,0),ABS(15-$HC40)*100)),100000+ABS(1-$HB40)*1000+150)),IF($HD40=0,999999,IF(1=$HE40,IF(15=$HL40,IF($JD40=2,30,0),IF(15=$HM40,IF($JD40=1,30,0),ABS(15-$HF40)*100)),100000+ABS(1-$HE40)*1000+150)),IF($HG40=0,999999,IF(1=$HH40,IF(15=$HN40,IF($JE40=2,30,0),IF(15=$HO40,IF($JE40=1,30,0),ABS(15-$HI40)*100)),100000+ABS(1-$HH40)*1000+150)))-IF((15=$HJ40)+(15=$HK40)+(15=$HL40)+(15=$HM40)+(15=$HN40)+(15=$HO40)&gt;=2,50,0))+R$5*50)</f>
        <v/>
      </c>
      <c r="S160">
        <f>IF(OR($JF40=0,calcA!$A$6=0),0,IF(OR(16=$HA40,16=$HD40,16=$HG40),200000,MIN(IF($HA40=0,999999,IF(1=$HB40,IF(16=$HJ40,IF($JC40=2,30,0),IF(16=$HK40,IF($JC40=1,30,0),ABS(16-$HC40)*100)),100000+ABS(1-$HB40)*1000+160)),IF($HD40=0,999999,IF(1=$HE40,IF(16=$HL40,IF($JD40=2,30,0),IF(16=$HM40,IF($JD40=1,30,0),ABS(16-$HF40)*100)),100000+ABS(1-$HE40)*1000+160)),IF($HG40=0,999999,IF(1=$HH40,IF(16=$HN40,IF($JE40=2,30,0),IF(16=$HO40,IF($JE40=1,30,0),ABS(16-$HI40)*100)),100000+ABS(1-$HH40)*1000+160)))-IF((16=$HJ40)+(16=$HK40)+(16=$HL40)+(16=$HM40)+(16=$HN40)+(16=$HO40)&gt;=2,50,0))+S$5*50)</f>
        <v/>
      </c>
      <c r="T160">
        <f>IF(OR($JF40=0,calcA!$A$6=0),0,IF(OR(17=$HA40,17=$HD40,17=$HG40),200000,MIN(IF($HA40=0,999999,IF(1=$HB40,IF(17=$HJ40,IF($JC40=2,30,0),IF(17=$HK40,IF($JC40=1,30,0),ABS(17-$HC40)*100)),100000+ABS(1-$HB40)*1000+170)),IF($HD40=0,999999,IF(1=$HE40,IF(17=$HL40,IF($JD40=2,30,0),IF(17=$HM40,IF($JD40=1,30,0),ABS(17-$HF40)*100)),100000+ABS(1-$HE40)*1000+170)),IF($HG40=0,999999,IF(1=$HH40,IF(17=$HN40,IF($JE40=2,30,0),IF(17=$HO40,IF($JE40=1,30,0),ABS(17-$HI40)*100)),100000+ABS(1-$HH40)*1000+170)))-IF((17=$HJ40)+(17=$HK40)+(17=$HL40)+(17=$HM40)+(17=$HN40)+(17=$HO40)&gt;=2,50,0))+T$5*50)</f>
        <v/>
      </c>
      <c r="U160">
        <f>IF(OR($JF40=0,calcA!$A$6=0),0,IF(OR(18=$HA40,18=$HD40,18=$HG40),200000,MIN(IF($HA40=0,999999,IF(1=$HB40,IF(18=$HJ40,IF($JC40=2,30,0),IF(18=$HK40,IF($JC40=1,30,0),ABS(18-$HC40)*100)),100000+ABS(1-$HB40)*1000+180)),IF($HD40=0,999999,IF(1=$HE40,IF(18=$HL40,IF($JD40=2,30,0),IF(18=$HM40,IF($JD40=1,30,0),ABS(18-$HF40)*100)),100000+ABS(1-$HE40)*1000+180)),IF($HG40=0,999999,IF(1=$HH40,IF(18=$HN40,IF($JE40=2,30,0),IF(18=$HO40,IF($JE40=1,30,0),ABS(18-$HI40)*100)),100000+ABS(1-$HH40)*1000+180)))-IF((18=$HJ40)+(18=$HK40)+(18=$HL40)+(18=$HM40)+(18=$HN40)+(18=$HO40)&gt;=2,50,0))+U$5*50)</f>
        <v/>
      </c>
      <c r="V160">
        <f>IF(OR($JF40=0,calcA!$A$6=0),0,IF(OR(19=$HA40,19=$HD40,19=$HG40),200000,MIN(IF($HA40=0,999999,IF(1=$HB40,IF(19=$HJ40,IF($JC40=2,30,0),IF(19=$HK40,IF($JC40=1,30,0),ABS(19-$HC40)*100)),100000+ABS(1-$HB40)*1000+190)),IF($HD40=0,999999,IF(1=$HE40,IF(19=$HL40,IF($JD40=2,30,0),IF(19=$HM40,IF($JD40=1,30,0),ABS(19-$HF40)*100)),100000+ABS(1-$HE40)*1000+190)),IF($HG40=0,999999,IF(1=$HH40,IF(19=$HN40,IF($JE40=2,30,0),IF(19=$HO40,IF($JE40=1,30,0),ABS(19-$HI40)*100)),100000+ABS(1-$HH40)*1000+190)))-IF((19=$HJ40)+(19=$HK40)+(19=$HL40)+(19=$HM40)+(19=$HN40)+(19=$HO40)&gt;=2,50,0))+V$5*50)</f>
        <v/>
      </c>
      <c r="W160">
        <f>IF(OR($JF40=0,calcA!$A$6=0),0,IF(OR(20=$HA40,20=$HD40,20=$HG40),200000,MIN(IF($HA40=0,999999,IF(1=$HB40,IF(20=$HJ40,IF($JC40=2,30,0),IF(20=$HK40,IF($JC40=1,30,0),ABS(20-$HC40)*100)),100000+ABS(1-$HB40)*1000+200)),IF($HD40=0,999999,IF(1=$HE40,IF(20=$HL40,IF($JD40=2,30,0),IF(20=$HM40,IF($JD40=1,30,0),ABS(20-$HF40)*100)),100000+ABS(1-$HE40)*1000+200)),IF($HG40=0,999999,IF(1=$HH40,IF(20=$HN40,IF($JE40=2,30,0),IF(20=$HO40,IF($JE40=1,30,0),ABS(20-$HI40)*100)),100000+ABS(1-$HH40)*1000+200)))-IF((20=$HJ40)+(20=$HK40)+(20=$HL40)+(20=$HM40)+(20=$HN40)+(20=$HO40)&gt;=2,50,0))+W$5*50)</f>
        <v/>
      </c>
      <c r="X160">
        <f>IF(OR($JF40=0,calcA!$A$6=0),0,IF(OR(21=$HA40,21=$HD40,21=$HG40),200000,MIN(IF($HA40=0,999999,IF(1=$HB40,IF(21=$HJ40,IF($JC40=2,30,0),IF(21=$HK40,IF($JC40=1,30,0),ABS(21-$HC40)*100)),100000+ABS(1-$HB40)*1000+210)),IF($HD40=0,999999,IF(1=$HE40,IF(21=$HL40,IF($JD40=2,30,0),IF(21=$HM40,IF($JD40=1,30,0),ABS(21-$HF40)*100)),100000+ABS(1-$HE40)*1000+210)),IF($HG40=0,999999,IF(1=$HH40,IF(21=$HN40,IF($JE40=2,30,0),IF(21=$HO40,IF($JE40=1,30,0),ABS(21-$HI40)*100)),100000+ABS(1-$HH40)*1000+210)))-IF((21=$HJ40)+(21=$HK40)+(21=$HL40)+(21=$HM40)+(21=$HN40)+(21=$HO40)&gt;=2,50,0))+X$5*50)</f>
        <v/>
      </c>
      <c r="Y160">
        <f>IF(OR($JF40=0,calcA!$A$6=0),0,IF(OR(22=$HA40,22=$HD40,22=$HG40),200000,MIN(IF($HA40=0,999999,IF(1=$HB40,IF(22=$HJ40,IF($JC40=2,30,0),IF(22=$HK40,IF($JC40=1,30,0),ABS(22-$HC40)*100)),100000+ABS(1-$HB40)*1000+220)),IF($HD40=0,999999,IF(1=$HE40,IF(22=$HL40,IF($JD40=2,30,0),IF(22=$HM40,IF($JD40=1,30,0),ABS(22-$HF40)*100)),100000+ABS(1-$HE40)*1000+220)),IF($HG40=0,999999,IF(1=$HH40,IF(22=$HN40,IF($JE40=2,30,0),IF(22=$HO40,IF($JE40=1,30,0),ABS(22-$HI40)*100)),100000+ABS(1-$HH40)*1000+220)))-IF((22=$HJ40)+(22=$HK40)+(22=$HL40)+(22=$HM40)+(22=$HN40)+(22=$HO40)&gt;=2,50,0))+Y$5*50)</f>
        <v/>
      </c>
      <c r="Z160">
        <f>IF(OR($JF40=0,calcA!$A$6=0),0,IF(OR(23=$HA40,23=$HD40,23=$HG40),200000,MIN(IF($HA40=0,999999,IF(1=$HB40,IF(23=$HJ40,IF($JC40=2,30,0),IF(23=$HK40,IF($JC40=1,30,0),ABS(23-$HC40)*100)),100000+ABS(1-$HB40)*1000+230)),IF($HD40=0,999999,IF(1=$HE40,IF(23=$HL40,IF($JD40=2,30,0),IF(23=$HM40,IF($JD40=1,30,0),ABS(23-$HF40)*100)),100000+ABS(1-$HE40)*1000+230)),IF($HG40=0,999999,IF(1=$HH40,IF(23=$HN40,IF($JE40=2,30,0),IF(23=$HO40,IF($JE40=1,30,0),ABS(23-$HI40)*100)),100000+ABS(1-$HH40)*1000+230)))-IF((23=$HJ40)+(23=$HK40)+(23=$HL40)+(23=$HM40)+(23=$HN40)+(23=$HO40)&gt;=2,50,0))+Z$5*50)</f>
        <v/>
      </c>
      <c r="AA160">
        <f>IF(OR($JF40=0,calcA!$A$6=0),0,IF(OR(24=$HA40,24=$HD40,24=$HG40),200000,MIN(IF($HA40=0,999999,IF(1=$HB40,IF(24=$HJ40,IF($JC40=2,30,0),IF(24=$HK40,IF($JC40=1,30,0),ABS(24-$HC40)*100)),100000+ABS(1-$HB40)*1000+240)),IF($HD40=0,999999,IF(1=$HE40,IF(24=$HL40,IF($JD40=2,30,0),IF(24=$HM40,IF($JD40=1,30,0),ABS(24-$HF40)*100)),100000+ABS(1-$HE40)*1000+240)),IF($HG40=0,999999,IF(1=$HH40,IF(24=$HN40,IF($JE40=2,30,0),IF(24=$HO40,IF($JE40=1,30,0),ABS(24-$HI40)*100)),100000+ABS(1-$HH40)*1000+240)))-IF((24=$HJ40)+(24=$HK40)+(24=$HL40)+(24=$HM40)+(24=$HN40)+(24=$HO40)&gt;=2,50,0))+AA$5*50)</f>
        <v/>
      </c>
      <c r="AB160">
        <f>IF(OR($JF40=0,calcA!$A$6=0),0,IF(OR(25=$HA40,25=$HD40,25=$HG40),200000,MIN(IF($HA40=0,999999,IF(2=$HB40,IF(25=$HJ40,IF($JC40=2,30,0),IF(25=$HK40,IF($JC40=1,30,0),ABS(1-$HC40)*100)),100000+ABS(2-$HB40)*1000+10)),IF($HD40=0,999999,IF(2=$HE40,IF(25=$HL40,IF($JD40=2,30,0),IF(25=$HM40,IF($JD40=1,30,0),ABS(1-$HF40)*100)),100000+ABS(2-$HE40)*1000+10)),IF($HG40=0,999999,IF(2=$HH40,IF(25=$HN40,IF($JE40=2,30,0),IF(25=$HO40,IF($JE40=1,30,0),ABS(1-$HI40)*100)),100000+ABS(2-$HH40)*1000+10)))-IF((25=$HJ40)+(25=$HK40)+(25=$HL40)+(25=$HM40)+(25=$HN40)+(25=$HO40)&gt;=2,50,0))+AB$5*50)</f>
        <v/>
      </c>
      <c r="AC160">
        <f>IF(OR($JF40=0,calcA!$A$6=0),0,IF(OR(26=$HA40,26=$HD40,26=$HG40),200000,MIN(IF($HA40=0,999999,IF(2=$HB40,IF(26=$HJ40,IF($JC40=2,30,0),IF(26=$HK40,IF($JC40=1,30,0),ABS(2-$HC40)*100)),100000+ABS(2-$HB40)*1000+20)),IF($HD40=0,999999,IF(2=$HE40,IF(26=$HL40,IF($JD40=2,30,0),IF(26=$HM40,IF($JD40=1,30,0),ABS(2-$HF40)*100)),100000+ABS(2-$HE40)*1000+20)),IF($HG40=0,999999,IF(2=$HH40,IF(26=$HN40,IF($JE40=2,30,0),IF(26=$HO40,IF($JE40=1,30,0),ABS(2-$HI40)*100)),100000+ABS(2-$HH40)*1000+20)))-IF((26=$HJ40)+(26=$HK40)+(26=$HL40)+(26=$HM40)+(26=$HN40)+(26=$HO40)&gt;=2,50,0))+AC$5*50)</f>
        <v/>
      </c>
      <c r="AD160">
        <f>IF(OR($JF40=0,calcA!$A$6=0),0,IF(OR(27=$HA40,27=$HD40,27=$HG40),200000,MIN(IF($HA40=0,999999,IF(2=$HB40,IF(27=$HJ40,IF($JC40=2,30,0),IF(27=$HK40,IF($JC40=1,30,0),ABS(3-$HC40)*100)),100000+ABS(2-$HB40)*1000+30)),IF($HD40=0,999999,IF(2=$HE40,IF(27=$HL40,IF($JD40=2,30,0),IF(27=$HM40,IF($JD40=1,30,0),ABS(3-$HF40)*100)),100000+ABS(2-$HE40)*1000+30)),IF($HG40=0,999999,IF(2=$HH40,IF(27=$HN40,IF($JE40=2,30,0),IF(27=$HO40,IF($JE40=1,30,0),ABS(3-$HI40)*100)),100000+ABS(2-$HH40)*1000+30)))-IF((27=$HJ40)+(27=$HK40)+(27=$HL40)+(27=$HM40)+(27=$HN40)+(27=$HO40)&gt;=2,50,0))+AD$5*50)</f>
        <v/>
      </c>
      <c r="AE160">
        <f>IF(OR($JF40=0,calcA!$A$6=0),0,IF(OR(28=$HA40,28=$HD40,28=$HG40),200000,MIN(IF($HA40=0,999999,IF(2=$HB40,IF(28=$HJ40,IF($JC40=2,30,0),IF(28=$HK40,IF($JC40=1,30,0),ABS(4-$HC40)*100)),100000+ABS(2-$HB40)*1000+40)),IF($HD40=0,999999,IF(2=$HE40,IF(28=$HL40,IF($JD40=2,30,0),IF(28=$HM40,IF($JD40=1,30,0),ABS(4-$HF40)*100)),100000+ABS(2-$HE40)*1000+40)),IF($HG40=0,999999,IF(2=$HH40,IF(28=$HN40,IF($JE40=2,30,0),IF(28=$HO40,IF($JE40=1,30,0),ABS(4-$HI40)*100)),100000+ABS(2-$HH40)*1000+40)))-IF((28=$HJ40)+(28=$HK40)+(28=$HL40)+(28=$HM40)+(28=$HN40)+(28=$HO40)&gt;=2,50,0))+AE$5*50)</f>
        <v/>
      </c>
      <c r="AF160">
        <f>IF(OR($JF40=0,calcA!$A$6=0),0,IF(OR(29=$HA40,29=$HD40,29=$HG40),200000,MIN(IF($HA40=0,999999,IF(2=$HB40,IF(29=$HJ40,IF($JC40=2,30,0),IF(29=$HK40,IF($JC40=1,30,0),ABS(5-$HC40)*100)),100000+ABS(2-$HB40)*1000+50)),IF($HD40=0,999999,IF(2=$HE40,IF(29=$HL40,IF($JD40=2,30,0),IF(29=$HM40,IF($JD40=1,30,0),ABS(5-$HF40)*100)),100000+ABS(2-$HE40)*1000+50)),IF($HG40=0,999999,IF(2=$HH40,IF(29=$HN40,IF($JE40=2,30,0),IF(29=$HO40,IF($JE40=1,30,0),ABS(5-$HI40)*100)),100000+ABS(2-$HH40)*1000+50)))-IF((29=$HJ40)+(29=$HK40)+(29=$HL40)+(29=$HM40)+(29=$HN40)+(29=$HO40)&gt;=2,50,0))+AF$5*50)</f>
        <v/>
      </c>
      <c r="AG160">
        <f>IF(OR($JF40=0,calcA!$A$6=0),0,IF(OR(30=$HA40,30=$HD40,30=$HG40),200000,MIN(IF($HA40=0,999999,IF(2=$HB40,IF(30=$HJ40,IF($JC40=2,30,0),IF(30=$HK40,IF($JC40=1,30,0),ABS(6-$HC40)*100)),100000+ABS(2-$HB40)*1000+60)),IF($HD40=0,999999,IF(2=$HE40,IF(30=$HL40,IF($JD40=2,30,0),IF(30=$HM40,IF($JD40=1,30,0),ABS(6-$HF40)*100)),100000+ABS(2-$HE40)*1000+60)),IF($HG40=0,999999,IF(2=$HH40,IF(30=$HN40,IF($JE40=2,30,0),IF(30=$HO40,IF($JE40=1,30,0),ABS(6-$HI40)*100)),100000+ABS(2-$HH40)*1000+60)))-IF((30=$HJ40)+(30=$HK40)+(30=$HL40)+(30=$HM40)+(30=$HN40)+(30=$HO40)&gt;=2,50,0))+AG$5*50)</f>
        <v/>
      </c>
      <c r="AH160">
        <f>IF(OR($JF40=0,calcA!$A$6=0),0,IF(OR(31=$HA40,31=$HD40,31=$HG40),200000,MIN(IF($HA40=0,999999,IF(2=$HB40,IF(31=$HJ40,IF($JC40=2,30,0),IF(31=$HK40,IF($JC40=1,30,0),ABS(7-$HC40)*100)),100000+ABS(2-$HB40)*1000+70)),IF($HD40=0,999999,IF(2=$HE40,IF(31=$HL40,IF($JD40=2,30,0),IF(31=$HM40,IF($JD40=1,30,0),ABS(7-$HF40)*100)),100000+ABS(2-$HE40)*1000+70)),IF($HG40=0,999999,IF(2=$HH40,IF(31=$HN40,IF($JE40=2,30,0),IF(31=$HO40,IF($JE40=1,30,0),ABS(7-$HI40)*100)),100000+ABS(2-$HH40)*1000+70)))-IF((31=$HJ40)+(31=$HK40)+(31=$HL40)+(31=$HM40)+(31=$HN40)+(31=$HO40)&gt;=2,50,0))+AH$5*50)</f>
        <v/>
      </c>
      <c r="AI160">
        <f>IF(OR($JF40=0,calcA!$A$6=0),0,IF(OR(32=$HA40,32=$HD40,32=$HG40),200000,MIN(IF($HA40=0,999999,IF(2=$HB40,IF(32=$HJ40,IF($JC40=2,30,0),IF(32=$HK40,IF($JC40=1,30,0),ABS(8-$HC40)*100)),100000+ABS(2-$HB40)*1000+80)),IF($HD40=0,999999,IF(2=$HE40,IF(32=$HL40,IF($JD40=2,30,0),IF(32=$HM40,IF($JD40=1,30,0),ABS(8-$HF40)*100)),100000+ABS(2-$HE40)*1000+80)),IF($HG40=0,999999,IF(2=$HH40,IF(32=$HN40,IF($JE40=2,30,0),IF(32=$HO40,IF($JE40=1,30,0),ABS(8-$HI40)*100)),100000+ABS(2-$HH40)*1000+80)))-IF((32=$HJ40)+(32=$HK40)+(32=$HL40)+(32=$HM40)+(32=$HN40)+(32=$HO40)&gt;=2,50,0))+AI$5*50)</f>
        <v/>
      </c>
      <c r="AJ160">
        <f>IF(OR($JF40=0,calcA!$A$6=0),0,IF(OR(33=$HA40,33=$HD40,33=$HG40),200000,MIN(IF($HA40=0,999999,IF(2=$HB40,IF(33=$HJ40,IF($JC40=2,30,0),IF(33=$HK40,IF($JC40=1,30,0),ABS(9-$HC40)*100)),100000+ABS(2-$HB40)*1000+90)),IF($HD40=0,999999,IF(2=$HE40,IF(33=$HL40,IF($JD40=2,30,0),IF(33=$HM40,IF($JD40=1,30,0),ABS(9-$HF40)*100)),100000+ABS(2-$HE40)*1000+90)),IF($HG40=0,999999,IF(2=$HH40,IF(33=$HN40,IF($JE40=2,30,0),IF(33=$HO40,IF($JE40=1,30,0),ABS(9-$HI40)*100)),100000+ABS(2-$HH40)*1000+90)))-IF((33=$HJ40)+(33=$HK40)+(33=$HL40)+(33=$HM40)+(33=$HN40)+(33=$HO40)&gt;=2,50,0))+AJ$5*50)</f>
        <v/>
      </c>
      <c r="AK160">
        <f>IF(OR($JF40=0,calcA!$A$6=0),0,IF(OR(34=$HA40,34=$HD40,34=$HG40),200000,MIN(IF($HA40=0,999999,IF(2=$HB40,IF(34=$HJ40,IF($JC40=2,30,0),IF(34=$HK40,IF($JC40=1,30,0),ABS(10-$HC40)*100)),100000+ABS(2-$HB40)*1000+100)),IF($HD40=0,999999,IF(2=$HE40,IF(34=$HL40,IF($JD40=2,30,0),IF(34=$HM40,IF($JD40=1,30,0),ABS(10-$HF40)*100)),100000+ABS(2-$HE40)*1000+100)),IF($HG40=0,999999,IF(2=$HH40,IF(34=$HN40,IF($JE40=2,30,0),IF(34=$HO40,IF($JE40=1,30,0),ABS(10-$HI40)*100)),100000+ABS(2-$HH40)*1000+100)))-IF((34=$HJ40)+(34=$HK40)+(34=$HL40)+(34=$HM40)+(34=$HN40)+(34=$HO40)&gt;=2,50,0))+AK$5*50)</f>
        <v/>
      </c>
      <c r="AL160">
        <f>IF(OR($JF40=0,calcA!$A$6=0),0,IF(OR(35=$HA40,35=$HD40,35=$HG40),200000,MIN(IF($HA40=0,999999,IF(2=$HB40,IF(35=$HJ40,IF($JC40=2,30,0),IF(35=$HK40,IF($JC40=1,30,0),ABS(11-$HC40)*100)),100000+ABS(2-$HB40)*1000+110)),IF($HD40=0,999999,IF(2=$HE40,IF(35=$HL40,IF($JD40=2,30,0),IF(35=$HM40,IF($JD40=1,30,0),ABS(11-$HF40)*100)),100000+ABS(2-$HE40)*1000+110)),IF($HG40=0,999999,IF(2=$HH40,IF(35=$HN40,IF($JE40=2,30,0),IF(35=$HO40,IF($JE40=1,30,0),ABS(11-$HI40)*100)),100000+ABS(2-$HH40)*1000+110)))-IF((35=$HJ40)+(35=$HK40)+(35=$HL40)+(35=$HM40)+(35=$HN40)+(35=$HO40)&gt;=2,50,0))+AL$5*50)</f>
        <v/>
      </c>
      <c r="AM160">
        <f>IF(OR($JF40=0,calcA!$A$6=0),0,IF(OR(36=$HA40,36=$HD40,36=$HG40),200000,MIN(IF($HA40=0,999999,IF(2=$HB40,IF(36=$HJ40,IF($JC40=2,30,0),IF(36=$HK40,IF($JC40=1,30,0),ABS(12-$HC40)*100)),100000+ABS(2-$HB40)*1000+120)),IF($HD40=0,999999,IF(2=$HE40,IF(36=$HL40,IF($JD40=2,30,0),IF(36=$HM40,IF($JD40=1,30,0),ABS(12-$HF40)*100)),100000+ABS(2-$HE40)*1000+120)),IF($HG40=0,999999,IF(2=$HH40,IF(36=$HN40,IF($JE40=2,30,0),IF(36=$HO40,IF($JE40=1,30,0),ABS(12-$HI40)*100)),100000+ABS(2-$HH40)*1000+120)))-IF((36=$HJ40)+(36=$HK40)+(36=$HL40)+(36=$HM40)+(36=$HN40)+(36=$HO40)&gt;=2,50,0))+AM$5*50)</f>
        <v/>
      </c>
      <c r="AN160">
        <f>IF(OR($JF40=0,calcA!$A$6=0),0,IF(OR(37=$HA40,37=$HD40,37=$HG40),200000,MIN(IF($HA40=0,999999,IF(2=$HB40,IF(37=$HJ40,IF($JC40=2,30,0),IF(37=$HK40,IF($JC40=1,30,0),ABS(13-$HC40)*100)),100000+ABS(2-$HB40)*1000+130)),IF($HD40=0,999999,IF(2=$HE40,IF(37=$HL40,IF($JD40=2,30,0),IF(37=$HM40,IF($JD40=1,30,0),ABS(13-$HF40)*100)),100000+ABS(2-$HE40)*1000+130)),IF($HG40=0,999999,IF(2=$HH40,IF(37=$HN40,IF($JE40=2,30,0),IF(37=$HO40,IF($JE40=1,30,0),ABS(13-$HI40)*100)),100000+ABS(2-$HH40)*1000+130)))-IF((37=$HJ40)+(37=$HK40)+(37=$HL40)+(37=$HM40)+(37=$HN40)+(37=$HO40)&gt;=2,50,0))+AN$5*50)</f>
        <v/>
      </c>
      <c r="AO160">
        <f>IF(OR($JF40=0,calcA!$A$6=0),0,IF(OR(38=$HA40,38=$HD40,38=$HG40),200000,MIN(IF($HA40=0,999999,IF(2=$HB40,IF(38=$HJ40,IF($JC40=2,30,0),IF(38=$HK40,IF($JC40=1,30,0),ABS(14-$HC40)*100)),100000+ABS(2-$HB40)*1000+140)),IF($HD40=0,999999,IF(2=$HE40,IF(38=$HL40,IF($JD40=2,30,0),IF(38=$HM40,IF($JD40=1,30,0),ABS(14-$HF40)*100)),100000+ABS(2-$HE40)*1000+140)),IF($HG40=0,999999,IF(2=$HH40,IF(38=$HN40,IF($JE40=2,30,0),IF(38=$HO40,IF($JE40=1,30,0),ABS(14-$HI40)*100)),100000+ABS(2-$HH40)*1000+140)))-IF((38=$HJ40)+(38=$HK40)+(38=$HL40)+(38=$HM40)+(38=$HN40)+(38=$HO40)&gt;=2,50,0))+AO$5*50)</f>
        <v/>
      </c>
      <c r="AP160">
        <f>IF(OR($JF40=0,calcA!$A$6=0),0,IF(OR(39=$HA40,39=$HD40,39=$HG40),200000,MIN(IF($HA40=0,999999,IF(2=$HB40,IF(39=$HJ40,IF($JC40=2,30,0),IF(39=$HK40,IF($JC40=1,30,0),ABS(15-$HC40)*100)),100000+ABS(2-$HB40)*1000+150)),IF($HD40=0,999999,IF(2=$HE40,IF(39=$HL40,IF($JD40=2,30,0),IF(39=$HM40,IF($JD40=1,30,0),ABS(15-$HF40)*100)),100000+ABS(2-$HE40)*1000+150)),IF($HG40=0,999999,IF(2=$HH40,IF(39=$HN40,IF($JE40=2,30,0),IF(39=$HO40,IF($JE40=1,30,0),ABS(15-$HI40)*100)),100000+ABS(2-$HH40)*1000+150)))-IF((39=$HJ40)+(39=$HK40)+(39=$HL40)+(39=$HM40)+(39=$HN40)+(39=$HO40)&gt;=2,50,0))+AP$5*50)</f>
        <v/>
      </c>
      <c r="AQ160">
        <f>IF(OR($JF40=0,calcA!$A$6=0),0,IF(OR(40=$HA40,40=$HD40,40=$HG40),200000,MIN(IF($HA40=0,999999,IF(2=$HB40,IF(40=$HJ40,IF($JC40=2,30,0),IF(40=$HK40,IF($JC40=1,30,0),ABS(16-$HC40)*100)),100000+ABS(2-$HB40)*1000+160)),IF($HD40=0,999999,IF(2=$HE40,IF(40=$HL40,IF($JD40=2,30,0),IF(40=$HM40,IF($JD40=1,30,0),ABS(16-$HF40)*100)),100000+ABS(2-$HE40)*1000+160)),IF($HG40=0,999999,IF(2=$HH40,IF(40=$HN40,IF($JE40=2,30,0),IF(40=$HO40,IF($JE40=1,30,0),ABS(16-$HI40)*100)),100000+ABS(2-$HH40)*1000+160)))-IF((40=$HJ40)+(40=$HK40)+(40=$HL40)+(40=$HM40)+(40=$HN40)+(40=$HO40)&gt;=2,50,0))+AQ$5*50)</f>
        <v/>
      </c>
      <c r="AR160">
        <f>IF(OR($JF40=0,calcA!$A$6=0),0,IF(OR(41=$HA40,41=$HD40,41=$HG40),200000,MIN(IF($HA40=0,999999,IF(2=$HB40,IF(41=$HJ40,IF($JC40=2,30,0),IF(41=$HK40,IF($JC40=1,30,0),ABS(17-$HC40)*100)),100000+ABS(2-$HB40)*1000+170)),IF($HD40=0,999999,IF(2=$HE40,IF(41=$HL40,IF($JD40=2,30,0),IF(41=$HM40,IF($JD40=1,30,0),ABS(17-$HF40)*100)),100000+ABS(2-$HE40)*1000+170)),IF($HG40=0,999999,IF(2=$HH40,IF(41=$HN40,IF($JE40=2,30,0),IF(41=$HO40,IF($JE40=1,30,0),ABS(17-$HI40)*100)),100000+ABS(2-$HH40)*1000+170)))-IF((41=$HJ40)+(41=$HK40)+(41=$HL40)+(41=$HM40)+(41=$HN40)+(41=$HO40)&gt;=2,50,0))+AR$5*50)</f>
        <v/>
      </c>
      <c r="AS160">
        <f>IF(OR($JF40=0,calcA!$A$6=0),0,IF(OR(42=$HA40,42=$HD40,42=$HG40),200000,MIN(IF($HA40=0,999999,IF(2=$HB40,IF(42=$HJ40,IF($JC40=2,30,0),IF(42=$HK40,IF($JC40=1,30,0),ABS(18-$HC40)*100)),100000+ABS(2-$HB40)*1000+180)),IF($HD40=0,999999,IF(2=$HE40,IF(42=$HL40,IF($JD40=2,30,0),IF(42=$HM40,IF($JD40=1,30,0),ABS(18-$HF40)*100)),100000+ABS(2-$HE40)*1000+180)),IF($HG40=0,999999,IF(2=$HH40,IF(42=$HN40,IF($JE40=2,30,0),IF(42=$HO40,IF($JE40=1,30,0),ABS(18-$HI40)*100)),100000+ABS(2-$HH40)*1000+180)))-IF((42=$HJ40)+(42=$HK40)+(42=$HL40)+(42=$HM40)+(42=$HN40)+(42=$HO40)&gt;=2,50,0))+AS$5*50)</f>
        <v/>
      </c>
      <c r="AT160">
        <f>IF(OR($JF40=0,calcA!$A$6=0),0,IF(OR(43=$HA40,43=$HD40,43=$HG40),200000,MIN(IF($HA40=0,999999,IF(2=$HB40,IF(43=$HJ40,IF($JC40=2,30,0),IF(43=$HK40,IF($JC40=1,30,0),ABS(19-$HC40)*100)),100000+ABS(2-$HB40)*1000+190)),IF($HD40=0,999999,IF(2=$HE40,IF(43=$HL40,IF($JD40=2,30,0),IF(43=$HM40,IF($JD40=1,30,0),ABS(19-$HF40)*100)),100000+ABS(2-$HE40)*1000+190)),IF($HG40=0,999999,IF(2=$HH40,IF(43=$HN40,IF($JE40=2,30,0),IF(43=$HO40,IF($JE40=1,30,0),ABS(19-$HI40)*100)),100000+ABS(2-$HH40)*1000+190)))-IF((43=$HJ40)+(43=$HK40)+(43=$HL40)+(43=$HM40)+(43=$HN40)+(43=$HO40)&gt;=2,50,0))+AT$5*50)</f>
        <v/>
      </c>
      <c r="AU160">
        <f>IF(OR($JF40=0,calcA!$A$6=0),0,IF(OR(44=$HA40,44=$HD40,44=$HG40),200000,MIN(IF($HA40=0,999999,IF(2=$HB40,IF(44=$HJ40,IF($JC40=2,30,0),IF(44=$HK40,IF($JC40=1,30,0),ABS(20-$HC40)*100)),100000+ABS(2-$HB40)*1000+200)),IF($HD40=0,999999,IF(2=$HE40,IF(44=$HL40,IF($JD40=2,30,0),IF(44=$HM40,IF($JD40=1,30,0),ABS(20-$HF40)*100)),100000+ABS(2-$HE40)*1000+200)),IF($HG40=0,999999,IF(2=$HH40,IF(44=$HN40,IF($JE40=2,30,0),IF(44=$HO40,IF($JE40=1,30,0),ABS(20-$HI40)*100)),100000+ABS(2-$HH40)*1000+200)))-IF((44=$HJ40)+(44=$HK40)+(44=$HL40)+(44=$HM40)+(44=$HN40)+(44=$HO40)&gt;=2,50,0))+AU$5*50)</f>
        <v/>
      </c>
      <c r="AV160">
        <f>IF(OR($JF40=0,calcA!$A$6=0),0,IF(OR(45=$HA40,45=$HD40,45=$HG40),200000,MIN(IF($HA40=0,999999,IF(2=$HB40,IF(45=$HJ40,IF($JC40=2,30,0),IF(45=$HK40,IF($JC40=1,30,0),ABS(21-$HC40)*100)),100000+ABS(2-$HB40)*1000+210)),IF($HD40=0,999999,IF(2=$HE40,IF(45=$HL40,IF($JD40=2,30,0),IF(45=$HM40,IF($JD40=1,30,0),ABS(21-$HF40)*100)),100000+ABS(2-$HE40)*1000+210)),IF($HG40=0,999999,IF(2=$HH40,IF(45=$HN40,IF($JE40=2,30,0),IF(45=$HO40,IF($JE40=1,30,0),ABS(21-$HI40)*100)),100000+ABS(2-$HH40)*1000+210)))-IF((45=$HJ40)+(45=$HK40)+(45=$HL40)+(45=$HM40)+(45=$HN40)+(45=$HO40)&gt;=2,50,0))+AV$5*50)</f>
        <v/>
      </c>
      <c r="AW160">
        <f>IF(OR($JF40=0,calcA!$A$6=0),0,IF(OR(46=$HA40,46=$HD40,46=$HG40),200000,MIN(IF($HA40=0,999999,IF(2=$HB40,IF(46=$HJ40,IF($JC40=2,30,0),IF(46=$HK40,IF($JC40=1,30,0),ABS(22-$HC40)*100)),100000+ABS(2-$HB40)*1000+220)),IF($HD40=0,999999,IF(2=$HE40,IF(46=$HL40,IF($JD40=2,30,0),IF(46=$HM40,IF($JD40=1,30,0),ABS(22-$HF40)*100)),100000+ABS(2-$HE40)*1000+220)),IF($HG40=0,999999,IF(2=$HH40,IF(46=$HN40,IF($JE40=2,30,0),IF(46=$HO40,IF($JE40=1,30,0),ABS(22-$HI40)*100)),100000+ABS(2-$HH40)*1000+220)))-IF((46=$HJ40)+(46=$HK40)+(46=$HL40)+(46=$HM40)+(46=$HN40)+(46=$HO40)&gt;=2,50,0))+AW$5*50)</f>
        <v/>
      </c>
      <c r="AX160">
        <f>IF(OR($JF40=0,calcA!$A$6=0),0,IF(OR(47=$HA40,47=$HD40,47=$HG40),200000,MIN(IF($HA40=0,999999,IF(2=$HB40,IF(47=$HJ40,IF($JC40=2,30,0),IF(47=$HK40,IF($JC40=1,30,0),ABS(23-$HC40)*100)),100000+ABS(2-$HB40)*1000+230)),IF($HD40=0,999999,IF(2=$HE40,IF(47=$HL40,IF($JD40=2,30,0),IF(47=$HM40,IF($JD40=1,30,0),ABS(23-$HF40)*100)),100000+ABS(2-$HE40)*1000+230)),IF($HG40=0,999999,IF(2=$HH40,IF(47=$HN40,IF($JE40=2,30,0),IF(47=$HO40,IF($JE40=1,30,0),ABS(23-$HI40)*100)),100000+ABS(2-$HH40)*1000+230)))-IF((47=$HJ40)+(47=$HK40)+(47=$HL40)+(47=$HM40)+(47=$HN40)+(47=$HO40)&gt;=2,50,0))+AX$5*50)</f>
        <v/>
      </c>
      <c r="AY160">
        <f>IF(OR($JF40=0,calcA!$A$6=0),0,IF(OR(48=$HA40,48=$HD40,48=$HG40),200000,MIN(IF($HA40=0,999999,IF(2=$HB40,IF(48=$HJ40,IF($JC40=2,30,0),IF(48=$HK40,IF($JC40=1,30,0),ABS(24-$HC40)*100)),100000+ABS(2-$HB40)*1000+240)),IF($HD40=0,999999,IF(2=$HE40,IF(48=$HL40,IF($JD40=2,30,0),IF(48=$HM40,IF($JD40=1,30,0),ABS(24-$HF40)*100)),100000+ABS(2-$HE40)*1000+240)),IF($HG40=0,999999,IF(2=$HH40,IF(48=$HN40,IF($JE40=2,30,0),IF(48=$HO40,IF($JE40=1,30,0),ABS(24-$HI40)*100)),100000+ABS(2-$HH40)*1000+240)))-IF((48=$HJ40)+(48=$HK40)+(48=$HL40)+(48=$HM40)+(48=$HN40)+(48=$HO40)&gt;=2,50,0))+AY$5*50)</f>
        <v/>
      </c>
      <c r="AZ160">
        <f>IF(OR($JF40=0,calcA!$A$6=0),0,IF(OR(49=$HA40,49=$HD40,49=$HG40),200000,MIN(IF($HA40=0,999999,IF(3=$HB40,IF(49=$HJ40,IF($JC40=2,30,0),IF(49=$HK40,IF($JC40=1,30,0),ABS(1-$HC40)*100)),100000+ABS(3-$HB40)*1000+10)),IF($HD40=0,999999,IF(3=$HE40,IF(49=$HL40,IF($JD40=2,30,0),IF(49=$HM40,IF($JD40=1,30,0),ABS(1-$HF40)*100)),100000+ABS(3-$HE40)*1000+10)),IF($HG40=0,999999,IF(3=$HH40,IF(49=$HN40,IF($JE40=2,30,0),IF(49=$HO40,IF($JE40=1,30,0),ABS(1-$HI40)*100)),100000+ABS(3-$HH40)*1000+10)))-IF((49=$HJ40)+(49=$HK40)+(49=$HL40)+(49=$HM40)+(49=$HN40)+(49=$HO40)&gt;=2,50,0))+AZ$5*50)</f>
        <v/>
      </c>
      <c r="BA160">
        <f>IF(OR($JF40=0,calcA!$A$6=0),0,IF(OR(50=$HA40,50=$HD40,50=$HG40),200000,MIN(IF($HA40=0,999999,IF(3=$HB40,IF(50=$HJ40,IF($JC40=2,30,0),IF(50=$HK40,IF($JC40=1,30,0),ABS(2-$HC40)*100)),100000+ABS(3-$HB40)*1000+20)),IF($HD40=0,999999,IF(3=$HE40,IF(50=$HL40,IF($JD40=2,30,0),IF(50=$HM40,IF($JD40=1,30,0),ABS(2-$HF40)*100)),100000+ABS(3-$HE40)*1000+20)),IF($HG40=0,999999,IF(3=$HH40,IF(50=$HN40,IF($JE40=2,30,0),IF(50=$HO40,IF($JE40=1,30,0),ABS(2-$HI40)*100)),100000+ABS(3-$HH40)*1000+20)))-IF((50=$HJ40)+(50=$HK40)+(50=$HL40)+(50=$HM40)+(50=$HN40)+(50=$HO40)&gt;=2,50,0))+BA$5*50)</f>
        <v/>
      </c>
      <c r="BB160">
        <f>IF(OR($JF40=0,calcA!$A$6=0),0,IF(OR(51=$HA40,51=$HD40,51=$HG40),200000,MIN(IF($HA40=0,999999,IF(3=$HB40,IF(51=$HJ40,IF($JC40=2,30,0),IF(51=$HK40,IF($JC40=1,30,0),ABS(3-$HC40)*100)),100000+ABS(3-$HB40)*1000+30)),IF($HD40=0,999999,IF(3=$HE40,IF(51=$HL40,IF($JD40=2,30,0),IF(51=$HM40,IF($JD40=1,30,0),ABS(3-$HF40)*100)),100000+ABS(3-$HE40)*1000+30)),IF($HG40=0,999999,IF(3=$HH40,IF(51=$HN40,IF($JE40=2,30,0),IF(51=$HO40,IF($JE40=1,30,0),ABS(3-$HI40)*100)),100000+ABS(3-$HH40)*1000+30)))-IF((51=$HJ40)+(51=$HK40)+(51=$HL40)+(51=$HM40)+(51=$HN40)+(51=$HO40)&gt;=2,50,0))+BB$5*50)</f>
        <v/>
      </c>
      <c r="BC160">
        <f>IF(OR($JF40=0,calcA!$A$6=0),0,IF(OR(52=$HA40,52=$HD40,52=$HG40),200000,MIN(IF($HA40=0,999999,IF(3=$HB40,IF(52=$HJ40,IF($JC40=2,30,0),IF(52=$HK40,IF($JC40=1,30,0),ABS(4-$HC40)*100)),100000+ABS(3-$HB40)*1000+40)),IF($HD40=0,999999,IF(3=$HE40,IF(52=$HL40,IF($JD40=2,30,0),IF(52=$HM40,IF($JD40=1,30,0),ABS(4-$HF40)*100)),100000+ABS(3-$HE40)*1000+40)),IF($HG40=0,999999,IF(3=$HH40,IF(52=$HN40,IF($JE40=2,30,0),IF(52=$HO40,IF($JE40=1,30,0),ABS(4-$HI40)*100)),100000+ABS(3-$HH40)*1000+40)))-IF((52=$HJ40)+(52=$HK40)+(52=$HL40)+(52=$HM40)+(52=$HN40)+(52=$HO40)&gt;=2,50,0))+BC$5*50)</f>
        <v/>
      </c>
      <c r="BD160">
        <f>IF(OR($JF40=0,calcA!$A$6=0),0,IF(OR(53=$HA40,53=$HD40,53=$HG40),200000,MIN(IF($HA40=0,999999,IF(3=$HB40,IF(53=$HJ40,IF($JC40=2,30,0),IF(53=$HK40,IF($JC40=1,30,0),ABS(5-$HC40)*100)),100000+ABS(3-$HB40)*1000+50)),IF($HD40=0,999999,IF(3=$HE40,IF(53=$HL40,IF($JD40=2,30,0),IF(53=$HM40,IF($JD40=1,30,0),ABS(5-$HF40)*100)),100000+ABS(3-$HE40)*1000+50)),IF($HG40=0,999999,IF(3=$HH40,IF(53=$HN40,IF($JE40=2,30,0),IF(53=$HO40,IF($JE40=1,30,0),ABS(5-$HI40)*100)),100000+ABS(3-$HH40)*1000+50)))-IF((53=$HJ40)+(53=$HK40)+(53=$HL40)+(53=$HM40)+(53=$HN40)+(53=$HO40)&gt;=2,50,0))+BD$5*50)</f>
        <v/>
      </c>
      <c r="BE160">
        <f>IF(OR($JF40=0,calcA!$A$6=0),0,IF(OR(54=$HA40,54=$HD40,54=$HG40),200000,MIN(IF($HA40=0,999999,IF(3=$HB40,IF(54=$HJ40,IF($JC40=2,30,0),IF(54=$HK40,IF($JC40=1,30,0),ABS(6-$HC40)*100)),100000+ABS(3-$HB40)*1000+60)),IF($HD40=0,999999,IF(3=$HE40,IF(54=$HL40,IF($JD40=2,30,0),IF(54=$HM40,IF($JD40=1,30,0),ABS(6-$HF40)*100)),100000+ABS(3-$HE40)*1000+60)),IF($HG40=0,999999,IF(3=$HH40,IF(54=$HN40,IF($JE40=2,30,0),IF(54=$HO40,IF($JE40=1,30,0),ABS(6-$HI40)*100)),100000+ABS(3-$HH40)*1000+60)))-IF((54=$HJ40)+(54=$HK40)+(54=$HL40)+(54=$HM40)+(54=$HN40)+(54=$HO40)&gt;=2,50,0))+BE$5*50)</f>
        <v/>
      </c>
      <c r="BF160">
        <f>IF(OR($JF40=0,calcA!$A$6=0),0,IF(OR(55=$HA40,55=$HD40,55=$HG40),200000,MIN(IF($HA40=0,999999,IF(3=$HB40,IF(55=$HJ40,IF($JC40=2,30,0),IF(55=$HK40,IF($JC40=1,30,0),ABS(7-$HC40)*100)),100000+ABS(3-$HB40)*1000+70)),IF($HD40=0,999999,IF(3=$HE40,IF(55=$HL40,IF($JD40=2,30,0),IF(55=$HM40,IF($JD40=1,30,0),ABS(7-$HF40)*100)),100000+ABS(3-$HE40)*1000+70)),IF($HG40=0,999999,IF(3=$HH40,IF(55=$HN40,IF($JE40=2,30,0),IF(55=$HO40,IF($JE40=1,30,0),ABS(7-$HI40)*100)),100000+ABS(3-$HH40)*1000+70)))-IF((55=$HJ40)+(55=$HK40)+(55=$HL40)+(55=$HM40)+(55=$HN40)+(55=$HO40)&gt;=2,50,0))+BF$5*50)</f>
        <v/>
      </c>
      <c r="BG160">
        <f>IF(OR($JF40=0,calcA!$A$6=0),0,IF(OR(56=$HA40,56=$HD40,56=$HG40),200000,MIN(IF($HA40=0,999999,IF(3=$HB40,IF(56=$HJ40,IF($JC40=2,30,0),IF(56=$HK40,IF($JC40=1,30,0),ABS(8-$HC40)*100)),100000+ABS(3-$HB40)*1000+80)),IF($HD40=0,999999,IF(3=$HE40,IF(56=$HL40,IF($JD40=2,30,0),IF(56=$HM40,IF($JD40=1,30,0),ABS(8-$HF40)*100)),100000+ABS(3-$HE40)*1000+80)),IF($HG40=0,999999,IF(3=$HH40,IF(56=$HN40,IF($JE40=2,30,0),IF(56=$HO40,IF($JE40=1,30,0),ABS(8-$HI40)*100)),100000+ABS(3-$HH40)*1000+80)))-IF((56=$HJ40)+(56=$HK40)+(56=$HL40)+(56=$HM40)+(56=$HN40)+(56=$HO40)&gt;=2,50,0))+BG$5*50)</f>
        <v/>
      </c>
      <c r="BH160">
        <f>IF(OR($JF40=0,calcA!$A$6=0),0,IF(OR(57=$HA40,57=$HD40,57=$HG40),200000,MIN(IF($HA40=0,999999,IF(3=$HB40,IF(57=$HJ40,IF($JC40=2,30,0),IF(57=$HK40,IF($JC40=1,30,0),ABS(9-$HC40)*100)),100000+ABS(3-$HB40)*1000+90)),IF($HD40=0,999999,IF(3=$HE40,IF(57=$HL40,IF($JD40=2,30,0),IF(57=$HM40,IF($JD40=1,30,0),ABS(9-$HF40)*100)),100000+ABS(3-$HE40)*1000+90)),IF($HG40=0,999999,IF(3=$HH40,IF(57=$HN40,IF($JE40=2,30,0),IF(57=$HO40,IF($JE40=1,30,0),ABS(9-$HI40)*100)),100000+ABS(3-$HH40)*1000+90)))-IF((57=$HJ40)+(57=$HK40)+(57=$HL40)+(57=$HM40)+(57=$HN40)+(57=$HO40)&gt;=2,50,0))+BH$5*50)</f>
        <v/>
      </c>
      <c r="BI160">
        <f>IF(OR($JF40=0,calcA!$A$6=0),0,IF(OR(58=$HA40,58=$HD40,58=$HG40),200000,MIN(IF($HA40=0,999999,IF(3=$HB40,IF(58=$HJ40,IF($JC40=2,30,0),IF(58=$HK40,IF($JC40=1,30,0),ABS(10-$HC40)*100)),100000+ABS(3-$HB40)*1000+100)),IF($HD40=0,999999,IF(3=$HE40,IF(58=$HL40,IF($JD40=2,30,0),IF(58=$HM40,IF($JD40=1,30,0),ABS(10-$HF40)*100)),100000+ABS(3-$HE40)*1000+100)),IF($HG40=0,999999,IF(3=$HH40,IF(58=$HN40,IF($JE40=2,30,0),IF(58=$HO40,IF($JE40=1,30,0),ABS(10-$HI40)*100)),100000+ABS(3-$HH40)*1000+100)))-IF((58=$HJ40)+(58=$HK40)+(58=$HL40)+(58=$HM40)+(58=$HN40)+(58=$HO40)&gt;=2,50,0))+BI$5*50)</f>
        <v/>
      </c>
      <c r="BJ160">
        <f>IF(OR($JF40=0,calcA!$A$6=0),0,IF(OR(59=$HA40,59=$HD40,59=$HG40),200000,MIN(IF($HA40=0,999999,IF(3=$HB40,IF(59=$HJ40,IF($JC40=2,30,0),IF(59=$HK40,IF($JC40=1,30,0),ABS(11-$HC40)*100)),100000+ABS(3-$HB40)*1000+110)),IF($HD40=0,999999,IF(3=$HE40,IF(59=$HL40,IF($JD40=2,30,0),IF(59=$HM40,IF($JD40=1,30,0),ABS(11-$HF40)*100)),100000+ABS(3-$HE40)*1000+110)),IF($HG40=0,999999,IF(3=$HH40,IF(59=$HN40,IF($JE40=2,30,0),IF(59=$HO40,IF($JE40=1,30,0),ABS(11-$HI40)*100)),100000+ABS(3-$HH40)*1000+110)))-IF((59=$HJ40)+(59=$HK40)+(59=$HL40)+(59=$HM40)+(59=$HN40)+(59=$HO40)&gt;=2,50,0))+BJ$5*50)</f>
        <v/>
      </c>
      <c r="BK160">
        <f>IF(OR($JF40=0,calcA!$A$6=0),0,IF(OR(60=$HA40,60=$HD40,60=$HG40),200000,MIN(IF($HA40=0,999999,IF(3=$HB40,IF(60=$HJ40,IF($JC40=2,30,0),IF(60=$HK40,IF($JC40=1,30,0),ABS(12-$HC40)*100)),100000+ABS(3-$HB40)*1000+120)),IF($HD40=0,999999,IF(3=$HE40,IF(60=$HL40,IF($JD40=2,30,0),IF(60=$HM40,IF($JD40=1,30,0),ABS(12-$HF40)*100)),100000+ABS(3-$HE40)*1000+120)),IF($HG40=0,999999,IF(3=$HH40,IF(60=$HN40,IF($JE40=2,30,0),IF(60=$HO40,IF($JE40=1,30,0),ABS(12-$HI40)*100)),100000+ABS(3-$HH40)*1000+120)))-IF((60=$HJ40)+(60=$HK40)+(60=$HL40)+(60=$HM40)+(60=$HN40)+(60=$HO40)&gt;=2,50,0))+BK$5*50)</f>
        <v/>
      </c>
      <c r="BL160">
        <f>IF(OR($JF40=0,calcA!$A$6=0),0,IF(OR(61=$HA40,61=$HD40,61=$HG40),200000,MIN(IF($HA40=0,999999,IF(3=$HB40,IF(61=$HJ40,IF($JC40=2,30,0),IF(61=$HK40,IF($JC40=1,30,0),ABS(13-$HC40)*100)),100000+ABS(3-$HB40)*1000+130)),IF($HD40=0,999999,IF(3=$HE40,IF(61=$HL40,IF($JD40=2,30,0),IF(61=$HM40,IF($JD40=1,30,0),ABS(13-$HF40)*100)),100000+ABS(3-$HE40)*1000+130)),IF($HG40=0,999999,IF(3=$HH40,IF(61=$HN40,IF($JE40=2,30,0),IF(61=$HO40,IF($JE40=1,30,0),ABS(13-$HI40)*100)),100000+ABS(3-$HH40)*1000+130)))-IF((61=$HJ40)+(61=$HK40)+(61=$HL40)+(61=$HM40)+(61=$HN40)+(61=$HO40)&gt;=2,50,0))+BL$5*50)</f>
        <v/>
      </c>
      <c r="BM160">
        <f>IF(OR($JF40=0,calcA!$A$6=0),0,IF(OR(62=$HA40,62=$HD40,62=$HG40),200000,MIN(IF($HA40=0,999999,IF(3=$HB40,IF(62=$HJ40,IF($JC40=2,30,0),IF(62=$HK40,IF($JC40=1,30,0),ABS(14-$HC40)*100)),100000+ABS(3-$HB40)*1000+140)),IF($HD40=0,999999,IF(3=$HE40,IF(62=$HL40,IF($JD40=2,30,0),IF(62=$HM40,IF($JD40=1,30,0),ABS(14-$HF40)*100)),100000+ABS(3-$HE40)*1000+140)),IF($HG40=0,999999,IF(3=$HH40,IF(62=$HN40,IF($JE40=2,30,0),IF(62=$HO40,IF($JE40=1,30,0),ABS(14-$HI40)*100)),100000+ABS(3-$HH40)*1000+140)))-IF((62=$HJ40)+(62=$HK40)+(62=$HL40)+(62=$HM40)+(62=$HN40)+(62=$HO40)&gt;=2,50,0))+BM$5*50)</f>
        <v/>
      </c>
      <c r="BN160">
        <f>IF(OR($JF40=0,calcA!$A$6=0),0,IF(OR(63=$HA40,63=$HD40,63=$HG40),200000,MIN(IF($HA40=0,999999,IF(3=$HB40,IF(63=$HJ40,IF($JC40=2,30,0),IF(63=$HK40,IF($JC40=1,30,0),ABS(15-$HC40)*100)),100000+ABS(3-$HB40)*1000+150)),IF($HD40=0,999999,IF(3=$HE40,IF(63=$HL40,IF($JD40=2,30,0),IF(63=$HM40,IF($JD40=1,30,0),ABS(15-$HF40)*100)),100000+ABS(3-$HE40)*1000+150)),IF($HG40=0,999999,IF(3=$HH40,IF(63=$HN40,IF($JE40=2,30,0),IF(63=$HO40,IF($JE40=1,30,0),ABS(15-$HI40)*100)),100000+ABS(3-$HH40)*1000+150)))-IF((63=$HJ40)+(63=$HK40)+(63=$HL40)+(63=$HM40)+(63=$HN40)+(63=$HO40)&gt;=2,50,0))+BN$5*50)</f>
        <v/>
      </c>
      <c r="BO160">
        <f>IF(OR($JF40=0,calcA!$A$6=0),0,IF(OR(64=$HA40,64=$HD40,64=$HG40),200000,MIN(IF($HA40=0,999999,IF(3=$HB40,IF(64=$HJ40,IF($JC40=2,30,0),IF(64=$HK40,IF($JC40=1,30,0),ABS(16-$HC40)*100)),100000+ABS(3-$HB40)*1000+160)),IF($HD40=0,999999,IF(3=$HE40,IF(64=$HL40,IF($JD40=2,30,0),IF(64=$HM40,IF($JD40=1,30,0),ABS(16-$HF40)*100)),100000+ABS(3-$HE40)*1000+160)),IF($HG40=0,999999,IF(3=$HH40,IF(64=$HN40,IF($JE40=2,30,0),IF(64=$HO40,IF($JE40=1,30,0),ABS(16-$HI40)*100)),100000+ABS(3-$HH40)*1000+160)))-IF((64=$HJ40)+(64=$HK40)+(64=$HL40)+(64=$HM40)+(64=$HN40)+(64=$HO40)&gt;=2,50,0))+BO$5*50)</f>
        <v/>
      </c>
      <c r="BP160">
        <f>IF(OR($JF40=0,calcA!$A$6=0),0,IF(OR(65=$HA40,65=$HD40,65=$HG40),200000,MIN(IF($HA40=0,999999,IF(3=$HB40,IF(65=$HJ40,IF($JC40=2,30,0),IF(65=$HK40,IF($JC40=1,30,0),ABS(17-$HC40)*100)),100000+ABS(3-$HB40)*1000+170)),IF($HD40=0,999999,IF(3=$HE40,IF(65=$HL40,IF($JD40=2,30,0),IF(65=$HM40,IF($JD40=1,30,0),ABS(17-$HF40)*100)),100000+ABS(3-$HE40)*1000+170)),IF($HG40=0,999999,IF(3=$HH40,IF(65=$HN40,IF($JE40=2,30,0),IF(65=$HO40,IF($JE40=1,30,0),ABS(17-$HI40)*100)),100000+ABS(3-$HH40)*1000+170)))-IF((65=$HJ40)+(65=$HK40)+(65=$HL40)+(65=$HM40)+(65=$HN40)+(65=$HO40)&gt;=2,50,0))+BP$5*50)</f>
        <v/>
      </c>
      <c r="BQ160">
        <f>IF(OR($JF40=0,calcA!$A$6=0),0,IF(OR(66=$HA40,66=$HD40,66=$HG40),200000,MIN(IF($HA40=0,999999,IF(3=$HB40,IF(66=$HJ40,IF($JC40=2,30,0),IF(66=$HK40,IF($JC40=1,30,0),ABS(18-$HC40)*100)),100000+ABS(3-$HB40)*1000+180)),IF($HD40=0,999999,IF(3=$HE40,IF(66=$HL40,IF($JD40=2,30,0),IF(66=$HM40,IF($JD40=1,30,0),ABS(18-$HF40)*100)),100000+ABS(3-$HE40)*1000+180)),IF($HG40=0,999999,IF(3=$HH40,IF(66=$HN40,IF($JE40=2,30,0),IF(66=$HO40,IF($JE40=1,30,0),ABS(18-$HI40)*100)),100000+ABS(3-$HH40)*1000+180)))-IF((66=$HJ40)+(66=$HK40)+(66=$HL40)+(66=$HM40)+(66=$HN40)+(66=$HO40)&gt;=2,50,0))+BQ$5*50)</f>
        <v/>
      </c>
      <c r="BR160">
        <f>IF(OR($JF40=0,calcA!$A$6=0),0,IF(OR(67=$HA40,67=$HD40,67=$HG40),200000,MIN(IF($HA40=0,999999,IF(3=$HB40,IF(67=$HJ40,IF($JC40=2,30,0),IF(67=$HK40,IF($JC40=1,30,0),ABS(19-$HC40)*100)),100000+ABS(3-$HB40)*1000+190)),IF($HD40=0,999999,IF(3=$HE40,IF(67=$HL40,IF($JD40=2,30,0),IF(67=$HM40,IF($JD40=1,30,0),ABS(19-$HF40)*100)),100000+ABS(3-$HE40)*1000+190)),IF($HG40=0,999999,IF(3=$HH40,IF(67=$HN40,IF($JE40=2,30,0),IF(67=$HO40,IF($JE40=1,30,0),ABS(19-$HI40)*100)),100000+ABS(3-$HH40)*1000+190)))-IF((67=$HJ40)+(67=$HK40)+(67=$HL40)+(67=$HM40)+(67=$HN40)+(67=$HO40)&gt;=2,50,0))+BR$5*50)</f>
        <v/>
      </c>
      <c r="BS160">
        <f>IF(OR($JF40=0,calcA!$A$6=0),0,IF(OR(68=$HA40,68=$HD40,68=$HG40),200000,MIN(IF($HA40=0,999999,IF(3=$HB40,IF(68=$HJ40,IF($JC40=2,30,0),IF(68=$HK40,IF($JC40=1,30,0),ABS(20-$HC40)*100)),100000+ABS(3-$HB40)*1000+200)),IF($HD40=0,999999,IF(3=$HE40,IF(68=$HL40,IF($JD40=2,30,0),IF(68=$HM40,IF($JD40=1,30,0),ABS(20-$HF40)*100)),100000+ABS(3-$HE40)*1000+200)),IF($HG40=0,999999,IF(3=$HH40,IF(68=$HN40,IF($JE40=2,30,0),IF(68=$HO40,IF($JE40=1,30,0),ABS(20-$HI40)*100)),100000+ABS(3-$HH40)*1000+200)))-IF((68=$HJ40)+(68=$HK40)+(68=$HL40)+(68=$HM40)+(68=$HN40)+(68=$HO40)&gt;=2,50,0))+BS$5*50)</f>
        <v/>
      </c>
      <c r="BT160">
        <f>IF(OR($JF40=0,calcA!$A$6=0),0,IF(OR(69=$HA40,69=$HD40,69=$HG40),200000,MIN(IF($HA40=0,999999,IF(3=$HB40,IF(69=$HJ40,IF($JC40=2,30,0),IF(69=$HK40,IF($JC40=1,30,0),ABS(21-$HC40)*100)),100000+ABS(3-$HB40)*1000+210)),IF($HD40=0,999999,IF(3=$HE40,IF(69=$HL40,IF($JD40=2,30,0),IF(69=$HM40,IF($JD40=1,30,0),ABS(21-$HF40)*100)),100000+ABS(3-$HE40)*1000+210)),IF($HG40=0,999999,IF(3=$HH40,IF(69=$HN40,IF($JE40=2,30,0),IF(69=$HO40,IF($JE40=1,30,0),ABS(21-$HI40)*100)),100000+ABS(3-$HH40)*1000+210)))-IF((69=$HJ40)+(69=$HK40)+(69=$HL40)+(69=$HM40)+(69=$HN40)+(69=$HO40)&gt;=2,50,0))+BT$5*50)</f>
        <v/>
      </c>
      <c r="BU160">
        <f>IF(OR($JF40=0,calcA!$A$6=0),0,IF(OR(70=$HA40,70=$HD40,70=$HG40),200000,MIN(IF($HA40=0,999999,IF(3=$HB40,IF(70=$HJ40,IF($JC40=2,30,0),IF(70=$HK40,IF($JC40=1,30,0),ABS(22-$HC40)*100)),100000+ABS(3-$HB40)*1000+220)),IF($HD40=0,999999,IF(3=$HE40,IF(70=$HL40,IF($JD40=2,30,0),IF(70=$HM40,IF($JD40=1,30,0),ABS(22-$HF40)*100)),100000+ABS(3-$HE40)*1000+220)),IF($HG40=0,999999,IF(3=$HH40,IF(70=$HN40,IF($JE40=2,30,0),IF(70=$HO40,IF($JE40=1,30,0),ABS(22-$HI40)*100)),100000+ABS(3-$HH40)*1000+220)))-IF((70=$HJ40)+(70=$HK40)+(70=$HL40)+(70=$HM40)+(70=$HN40)+(70=$HO40)&gt;=2,50,0))+BU$5*50)</f>
        <v/>
      </c>
      <c r="BV160">
        <f>IF(OR($JF40=0,calcA!$A$6=0),0,IF(OR(71=$HA40,71=$HD40,71=$HG40),200000,MIN(IF($HA40=0,999999,IF(3=$HB40,IF(71=$HJ40,IF($JC40=2,30,0),IF(71=$HK40,IF($JC40=1,30,0),ABS(23-$HC40)*100)),100000+ABS(3-$HB40)*1000+230)),IF($HD40=0,999999,IF(3=$HE40,IF(71=$HL40,IF($JD40=2,30,0),IF(71=$HM40,IF($JD40=1,30,0),ABS(23-$HF40)*100)),100000+ABS(3-$HE40)*1000+230)),IF($HG40=0,999999,IF(3=$HH40,IF(71=$HN40,IF($JE40=2,30,0),IF(71=$HO40,IF($JE40=1,30,0),ABS(23-$HI40)*100)),100000+ABS(3-$HH40)*1000+230)))-IF((71=$HJ40)+(71=$HK40)+(71=$HL40)+(71=$HM40)+(71=$HN40)+(71=$HO40)&gt;=2,50,0))+BV$5*50)</f>
        <v/>
      </c>
      <c r="BW160">
        <f>IF(OR($JF40=0,calcA!$A$6=0),0,IF(OR(72=$HA40,72=$HD40,72=$HG40),200000,MIN(IF($HA40=0,999999,IF(3=$HB40,IF(72=$HJ40,IF($JC40=2,30,0),IF(72=$HK40,IF($JC40=1,30,0),ABS(24-$HC40)*100)),100000+ABS(3-$HB40)*1000+240)),IF($HD40=0,999999,IF(3=$HE40,IF(72=$HL40,IF($JD40=2,30,0),IF(72=$HM40,IF($JD40=1,30,0),ABS(24-$HF40)*100)),100000+ABS(3-$HE40)*1000+240)),IF($HG40=0,999999,IF(3=$HH40,IF(72=$HN40,IF($JE40=2,30,0),IF(72=$HO40,IF($JE40=1,30,0),ABS(24-$HI40)*100)),100000+ABS(3-$HH40)*1000+240)))-IF((72=$HJ40)+(72=$HK40)+(72=$HL40)+(72=$HM40)+(72=$HN40)+(72=$HO40)&gt;=2,50,0))+BW$5*50)</f>
        <v/>
      </c>
      <c r="BX160">
        <f>IF(OR($JF40=0,calcA!$A$6=0),0,IF(OR(73=$HA40,73=$HD40,73=$HG40),200000,MIN(IF($HA40=0,999999,IF(4=$HB40,IF(73=$HJ40,IF($JC40=2,30,0),IF(73=$HK40,IF($JC40=1,30,0),ABS(1-$HC40)*100)),100000+ABS(4-$HB40)*1000+10)),IF($HD40=0,999999,IF(4=$HE40,IF(73=$HL40,IF($JD40=2,30,0),IF(73=$HM40,IF($JD40=1,30,0),ABS(1-$HF40)*100)),100000+ABS(4-$HE40)*1000+10)),IF($HG40=0,999999,IF(4=$HH40,IF(73=$HN40,IF($JE40=2,30,0),IF(73=$HO40,IF($JE40=1,30,0),ABS(1-$HI40)*100)),100000+ABS(4-$HH40)*1000+10)))-IF((73=$HJ40)+(73=$HK40)+(73=$HL40)+(73=$HM40)+(73=$HN40)+(73=$HO40)&gt;=2,50,0))+BX$5*50)</f>
        <v/>
      </c>
      <c r="BY160">
        <f>IF(OR($JF40=0,calcA!$A$6=0),0,IF(OR(74=$HA40,74=$HD40,74=$HG40),200000,MIN(IF($HA40=0,999999,IF(4=$HB40,IF(74=$HJ40,IF($JC40=2,30,0),IF(74=$HK40,IF($JC40=1,30,0),ABS(2-$HC40)*100)),100000+ABS(4-$HB40)*1000+20)),IF($HD40=0,999999,IF(4=$HE40,IF(74=$HL40,IF($JD40=2,30,0),IF(74=$HM40,IF($JD40=1,30,0),ABS(2-$HF40)*100)),100000+ABS(4-$HE40)*1000+20)),IF($HG40=0,999999,IF(4=$HH40,IF(74=$HN40,IF($JE40=2,30,0),IF(74=$HO40,IF($JE40=1,30,0),ABS(2-$HI40)*100)),100000+ABS(4-$HH40)*1000+20)))-IF((74=$HJ40)+(74=$HK40)+(74=$HL40)+(74=$HM40)+(74=$HN40)+(74=$HO40)&gt;=2,50,0))+BY$5*50)</f>
        <v/>
      </c>
      <c r="BZ160">
        <f>IF(OR($JF40=0,calcA!$A$6=0),0,IF(OR(75=$HA40,75=$HD40,75=$HG40),200000,MIN(IF($HA40=0,999999,IF(4=$HB40,IF(75=$HJ40,IF($JC40=2,30,0),IF(75=$HK40,IF($JC40=1,30,0),ABS(3-$HC40)*100)),100000+ABS(4-$HB40)*1000+30)),IF($HD40=0,999999,IF(4=$HE40,IF(75=$HL40,IF($JD40=2,30,0),IF(75=$HM40,IF($JD40=1,30,0),ABS(3-$HF40)*100)),100000+ABS(4-$HE40)*1000+30)),IF($HG40=0,999999,IF(4=$HH40,IF(75=$HN40,IF($JE40=2,30,0),IF(75=$HO40,IF($JE40=1,30,0),ABS(3-$HI40)*100)),100000+ABS(4-$HH40)*1000+30)))-IF((75=$HJ40)+(75=$HK40)+(75=$HL40)+(75=$HM40)+(75=$HN40)+(75=$HO40)&gt;=2,50,0))+BZ$5*50)</f>
        <v/>
      </c>
      <c r="CA160">
        <f>IF(OR($JF40=0,calcA!$A$6=0),0,IF(OR(76=$HA40,76=$HD40,76=$HG40),200000,MIN(IF($HA40=0,999999,IF(4=$HB40,IF(76=$HJ40,IF($JC40=2,30,0),IF(76=$HK40,IF($JC40=1,30,0),ABS(4-$HC40)*100)),100000+ABS(4-$HB40)*1000+40)),IF($HD40=0,999999,IF(4=$HE40,IF(76=$HL40,IF($JD40=2,30,0),IF(76=$HM40,IF($JD40=1,30,0),ABS(4-$HF40)*100)),100000+ABS(4-$HE40)*1000+40)),IF($HG40=0,999999,IF(4=$HH40,IF(76=$HN40,IF($JE40=2,30,0),IF(76=$HO40,IF($JE40=1,30,0),ABS(4-$HI40)*100)),100000+ABS(4-$HH40)*1000+40)))-IF((76=$HJ40)+(76=$HK40)+(76=$HL40)+(76=$HM40)+(76=$HN40)+(76=$HO40)&gt;=2,50,0))+CA$5*50)</f>
        <v/>
      </c>
      <c r="CB160">
        <f>IF(OR($JF40=0,calcA!$A$6=0),0,IF(OR(77=$HA40,77=$HD40,77=$HG40),200000,MIN(IF($HA40=0,999999,IF(4=$HB40,IF(77=$HJ40,IF($JC40=2,30,0),IF(77=$HK40,IF($JC40=1,30,0),ABS(5-$HC40)*100)),100000+ABS(4-$HB40)*1000+50)),IF($HD40=0,999999,IF(4=$HE40,IF(77=$HL40,IF($JD40=2,30,0),IF(77=$HM40,IF($JD40=1,30,0),ABS(5-$HF40)*100)),100000+ABS(4-$HE40)*1000+50)),IF($HG40=0,999999,IF(4=$HH40,IF(77=$HN40,IF($JE40=2,30,0),IF(77=$HO40,IF($JE40=1,30,0),ABS(5-$HI40)*100)),100000+ABS(4-$HH40)*1000+50)))-IF((77=$HJ40)+(77=$HK40)+(77=$HL40)+(77=$HM40)+(77=$HN40)+(77=$HO40)&gt;=2,50,0))+CB$5*50)</f>
        <v/>
      </c>
      <c r="CC160">
        <f>IF(OR($JF40=0,calcA!$A$6=0),0,IF(OR(78=$HA40,78=$HD40,78=$HG40),200000,MIN(IF($HA40=0,999999,IF(4=$HB40,IF(78=$HJ40,IF($JC40=2,30,0),IF(78=$HK40,IF($JC40=1,30,0),ABS(6-$HC40)*100)),100000+ABS(4-$HB40)*1000+60)),IF($HD40=0,999999,IF(4=$HE40,IF(78=$HL40,IF($JD40=2,30,0),IF(78=$HM40,IF($JD40=1,30,0),ABS(6-$HF40)*100)),100000+ABS(4-$HE40)*1000+60)),IF($HG40=0,999999,IF(4=$HH40,IF(78=$HN40,IF($JE40=2,30,0),IF(78=$HO40,IF($JE40=1,30,0),ABS(6-$HI40)*100)),100000+ABS(4-$HH40)*1000+60)))-IF((78=$HJ40)+(78=$HK40)+(78=$HL40)+(78=$HM40)+(78=$HN40)+(78=$HO40)&gt;=2,50,0))+CC$5*50)</f>
        <v/>
      </c>
      <c r="CD160">
        <f>IF(OR($JF40=0,calcA!$A$6=0),0,IF(OR(79=$HA40,79=$HD40,79=$HG40),200000,MIN(IF($HA40=0,999999,IF(4=$HB40,IF(79=$HJ40,IF($JC40=2,30,0),IF(79=$HK40,IF($JC40=1,30,0),ABS(7-$HC40)*100)),100000+ABS(4-$HB40)*1000+70)),IF($HD40=0,999999,IF(4=$HE40,IF(79=$HL40,IF($JD40=2,30,0),IF(79=$HM40,IF($JD40=1,30,0),ABS(7-$HF40)*100)),100000+ABS(4-$HE40)*1000+70)),IF($HG40=0,999999,IF(4=$HH40,IF(79=$HN40,IF($JE40=2,30,0),IF(79=$HO40,IF($JE40=1,30,0),ABS(7-$HI40)*100)),100000+ABS(4-$HH40)*1000+70)))-IF((79=$HJ40)+(79=$HK40)+(79=$HL40)+(79=$HM40)+(79=$HN40)+(79=$HO40)&gt;=2,50,0))+CD$5*50)</f>
        <v/>
      </c>
      <c r="CE160">
        <f>IF(OR($JF40=0,calcA!$A$6=0),0,IF(OR(80=$HA40,80=$HD40,80=$HG40),200000,MIN(IF($HA40=0,999999,IF(4=$HB40,IF(80=$HJ40,IF($JC40=2,30,0),IF(80=$HK40,IF($JC40=1,30,0),ABS(8-$HC40)*100)),100000+ABS(4-$HB40)*1000+80)),IF($HD40=0,999999,IF(4=$HE40,IF(80=$HL40,IF($JD40=2,30,0),IF(80=$HM40,IF($JD40=1,30,0),ABS(8-$HF40)*100)),100000+ABS(4-$HE40)*1000+80)),IF($HG40=0,999999,IF(4=$HH40,IF(80=$HN40,IF($JE40=2,30,0),IF(80=$HO40,IF($JE40=1,30,0),ABS(8-$HI40)*100)),100000+ABS(4-$HH40)*1000+80)))-IF((80=$HJ40)+(80=$HK40)+(80=$HL40)+(80=$HM40)+(80=$HN40)+(80=$HO40)&gt;=2,50,0))+CE$5*50)</f>
        <v/>
      </c>
      <c r="CF160">
        <f>IF(OR($JF40=0,calcA!$A$6=0),0,IF(OR(81=$HA40,81=$HD40,81=$HG40),200000,MIN(IF($HA40=0,999999,IF(4=$HB40,IF(81=$HJ40,IF($JC40=2,30,0),IF(81=$HK40,IF($JC40=1,30,0),ABS(9-$HC40)*100)),100000+ABS(4-$HB40)*1000+90)),IF($HD40=0,999999,IF(4=$HE40,IF(81=$HL40,IF($JD40=2,30,0),IF(81=$HM40,IF($JD40=1,30,0),ABS(9-$HF40)*100)),100000+ABS(4-$HE40)*1000+90)),IF($HG40=0,999999,IF(4=$HH40,IF(81=$HN40,IF($JE40=2,30,0),IF(81=$HO40,IF($JE40=1,30,0),ABS(9-$HI40)*100)),100000+ABS(4-$HH40)*1000+90)))-IF((81=$HJ40)+(81=$HK40)+(81=$HL40)+(81=$HM40)+(81=$HN40)+(81=$HO40)&gt;=2,50,0))+CF$5*50)</f>
        <v/>
      </c>
      <c r="CG160">
        <f>IF(OR($JF40=0,calcA!$A$6=0),0,IF(OR(82=$HA40,82=$HD40,82=$HG40),200000,MIN(IF($HA40=0,999999,IF(4=$HB40,IF(82=$HJ40,IF($JC40=2,30,0),IF(82=$HK40,IF($JC40=1,30,0),ABS(10-$HC40)*100)),100000+ABS(4-$HB40)*1000+100)),IF($HD40=0,999999,IF(4=$HE40,IF(82=$HL40,IF($JD40=2,30,0),IF(82=$HM40,IF($JD40=1,30,0),ABS(10-$HF40)*100)),100000+ABS(4-$HE40)*1000+100)),IF($HG40=0,999999,IF(4=$HH40,IF(82=$HN40,IF($JE40=2,30,0),IF(82=$HO40,IF($JE40=1,30,0),ABS(10-$HI40)*100)),100000+ABS(4-$HH40)*1000+100)))-IF((82=$HJ40)+(82=$HK40)+(82=$HL40)+(82=$HM40)+(82=$HN40)+(82=$HO40)&gt;=2,50,0))+CG$5*50)</f>
        <v/>
      </c>
      <c r="CH160">
        <f>IF(OR($JF40=0,calcA!$A$6=0),0,IF(OR(83=$HA40,83=$HD40,83=$HG40),200000,MIN(IF($HA40=0,999999,IF(4=$HB40,IF(83=$HJ40,IF($JC40=2,30,0),IF(83=$HK40,IF($JC40=1,30,0),ABS(11-$HC40)*100)),100000+ABS(4-$HB40)*1000+110)),IF($HD40=0,999999,IF(4=$HE40,IF(83=$HL40,IF($JD40=2,30,0),IF(83=$HM40,IF($JD40=1,30,0),ABS(11-$HF40)*100)),100000+ABS(4-$HE40)*1000+110)),IF($HG40=0,999999,IF(4=$HH40,IF(83=$HN40,IF($JE40=2,30,0),IF(83=$HO40,IF($JE40=1,30,0),ABS(11-$HI40)*100)),100000+ABS(4-$HH40)*1000+110)))-IF((83=$HJ40)+(83=$HK40)+(83=$HL40)+(83=$HM40)+(83=$HN40)+(83=$HO40)&gt;=2,50,0))+CH$5*50)</f>
        <v/>
      </c>
      <c r="CI160">
        <f>IF(OR($JF40=0,calcA!$A$6=0),0,IF(OR(84=$HA40,84=$HD40,84=$HG40),200000,MIN(IF($HA40=0,999999,IF(4=$HB40,IF(84=$HJ40,IF($JC40=2,30,0),IF(84=$HK40,IF($JC40=1,30,0),ABS(12-$HC40)*100)),100000+ABS(4-$HB40)*1000+120)),IF($HD40=0,999999,IF(4=$HE40,IF(84=$HL40,IF($JD40=2,30,0),IF(84=$HM40,IF($JD40=1,30,0),ABS(12-$HF40)*100)),100000+ABS(4-$HE40)*1000+120)),IF($HG40=0,999999,IF(4=$HH40,IF(84=$HN40,IF($JE40=2,30,0),IF(84=$HO40,IF($JE40=1,30,0),ABS(12-$HI40)*100)),100000+ABS(4-$HH40)*1000+120)))-IF((84=$HJ40)+(84=$HK40)+(84=$HL40)+(84=$HM40)+(84=$HN40)+(84=$HO40)&gt;=2,50,0))+CI$5*50)</f>
        <v/>
      </c>
      <c r="CJ160">
        <f>IF(OR($JF40=0,calcA!$A$6=0),0,IF(OR(85=$HA40,85=$HD40,85=$HG40),200000,MIN(IF($HA40=0,999999,IF(4=$HB40,IF(85=$HJ40,IF($JC40=2,30,0),IF(85=$HK40,IF($JC40=1,30,0),ABS(13-$HC40)*100)),100000+ABS(4-$HB40)*1000+130)),IF($HD40=0,999999,IF(4=$HE40,IF(85=$HL40,IF($JD40=2,30,0),IF(85=$HM40,IF($JD40=1,30,0),ABS(13-$HF40)*100)),100000+ABS(4-$HE40)*1000+130)),IF($HG40=0,999999,IF(4=$HH40,IF(85=$HN40,IF($JE40=2,30,0),IF(85=$HO40,IF($JE40=1,30,0),ABS(13-$HI40)*100)),100000+ABS(4-$HH40)*1000+130)))-IF((85=$HJ40)+(85=$HK40)+(85=$HL40)+(85=$HM40)+(85=$HN40)+(85=$HO40)&gt;=2,50,0))+CJ$5*50)</f>
        <v/>
      </c>
      <c r="CK160">
        <f>IF(OR($JF40=0,calcA!$A$6=0),0,IF(OR(86=$HA40,86=$HD40,86=$HG40),200000,MIN(IF($HA40=0,999999,IF(4=$HB40,IF(86=$HJ40,IF($JC40=2,30,0),IF(86=$HK40,IF($JC40=1,30,0),ABS(14-$HC40)*100)),100000+ABS(4-$HB40)*1000+140)),IF($HD40=0,999999,IF(4=$HE40,IF(86=$HL40,IF($JD40=2,30,0),IF(86=$HM40,IF($JD40=1,30,0),ABS(14-$HF40)*100)),100000+ABS(4-$HE40)*1000+140)),IF($HG40=0,999999,IF(4=$HH40,IF(86=$HN40,IF($JE40=2,30,0),IF(86=$HO40,IF($JE40=1,30,0),ABS(14-$HI40)*100)),100000+ABS(4-$HH40)*1000+140)))-IF((86=$HJ40)+(86=$HK40)+(86=$HL40)+(86=$HM40)+(86=$HN40)+(86=$HO40)&gt;=2,50,0))+CK$5*50)</f>
        <v/>
      </c>
      <c r="CL160">
        <f>IF(OR($JF40=0,calcA!$A$6=0),0,IF(OR(87=$HA40,87=$HD40,87=$HG40),200000,MIN(IF($HA40=0,999999,IF(4=$HB40,IF(87=$HJ40,IF($JC40=2,30,0),IF(87=$HK40,IF($JC40=1,30,0),ABS(15-$HC40)*100)),100000+ABS(4-$HB40)*1000+150)),IF($HD40=0,999999,IF(4=$HE40,IF(87=$HL40,IF($JD40=2,30,0),IF(87=$HM40,IF($JD40=1,30,0),ABS(15-$HF40)*100)),100000+ABS(4-$HE40)*1000+150)),IF($HG40=0,999999,IF(4=$HH40,IF(87=$HN40,IF($JE40=2,30,0),IF(87=$HO40,IF($JE40=1,30,0),ABS(15-$HI40)*100)),100000+ABS(4-$HH40)*1000+150)))-IF((87=$HJ40)+(87=$HK40)+(87=$HL40)+(87=$HM40)+(87=$HN40)+(87=$HO40)&gt;=2,50,0))+CL$5*50)</f>
        <v/>
      </c>
      <c r="CM160">
        <f>IF(OR($JF40=0,calcA!$A$6=0),0,IF(OR(88=$HA40,88=$HD40,88=$HG40),200000,MIN(IF($HA40=0,999999,IF(4=$HB40,IF(88=$HJ40,IF($JC40=2,30,0),IF(88=$HK40,IF($JC40=1,30,0),ABS(16-$HC40)*100)),100000+ABS(4-$HB40)*1000+160)),IF($HD40=0,999999,IF(4=$HE40,IF(88=$HL40,IF($JD40=2,30,0),IF(88=$HM40,IF($JD40=1,30,0),ABS(16-$HF40)*100)),100000+ABS(4-$HE40)*1000+160)),IF($HG40=0,999999,IF(4=$HH40,IF(88=$HN40,IF($JE40=2,30,0),IF(88=$HO40,IF($JE40=1,30,0),ABS(16-$HI40)*100)),100000+ABS(4-$HH40)*1000+160)))-IF((88=$HJ40)+(88=$HK40)+(88=$HL40)+(88=$HM40)+(88=$HN40)+(88=$HO40)&gt;=2,50,0))+CM$5*50)</f>
        <v/>
      </c>
      <c r="CN160">
        <f>IF(OR($JF40=0,calcA!$A$6=0),0,IF(OR(89=$HA40,89=$HD40,89=$HG40),200000,MIN(IF($HA40=0,999999,IF(4=$HB40,IF(89=$HJ40,IF($JC40=2,30,0),IF(89=$HK40,IF($JC40=1,30,0),ABS(17-$HC40)*100)),100000+ABS(4-$HB40)*1000+170)),IF($HD40=0,999999,IF(4=$HE40,IF(89=$HL40,IF($JD40=2,30,0),IF(89=$HM40,IF($JD40=1,30,0),ABS(17-$HF40)*100)),100000+ABS(4-$HE40)*1000+170)),IF($HG40=0,999999,IF(4=$HH40,IF(89=$HN40,IF($JE40=2,30,0),IF(89=$HO40,IF($JE40=1,30,0),ABS(17-$HI40)*100)),100000+ABS(4-$HH40)*1000+170)))-IF((89=$HJ40)+(89=$HK40)+(89=$HL40)+(89=$HM40)+(89=$HN40)+(89=$HO40)&gt;=2,50,0))+CN$5*50)</f>
        <v/>
      </c>
      <c r="CO160">
        <f>IF(OR($JF40=0,calcA!$A$6=0),0,IF(OR(90=$HA40,90=$HD40,90=$HG40),200000,MIN(IF($HA40=0,999999,IF(4=$HB40,IF(90=$HJ40,IF($JC40=2,30,0),IF(90=$HK40,IF($JC40=1,30,0),ABS(18-$HC40)*100)),100000+ABS(4-$HB40)*1000+180)),IF($HD40=0,999999,IF(4=$HE40,IF(90=$HL40,IF($JD40=2,30,0),IF(90=$HM40,IF($JD40=1,30,0),ABS(18-$HF40)*100)),100000+ABS(4-$HE40)*1000+180)),IF($HG40=0,999999,IF(4=$HH40,IF(90=$HN40,IF($JE40=2,30,0),IF(90=$HO40,IF($JE40=1,30,0),ABS(18-$HI40)*100)),100000+ABS(4-$HH40)*1000+180)))-IF((90=$HJ40)+(90=$HK40)+(90=$HL40)+(90=$HM40)+(90=$HN40)+(90=$HO40)&gt;=2,50,0))+CO$5*50)</f>
        <v/>
      </c>
      <c r="CP160">
        <f>IF(OR($JF40=0,calcA!$A$6=0),0,IF(OR(91=$HA40,91=$HD40,91=$HG40),200000,MIN(IF($HA40=0,999999,IF(4=$HB40,IF(91=$HJ40,IF($JC40=2,30,0),IF(91=$HK40,IF($JC40=1,30,0),ABS(19-$HC40)*100)),100000+ABS(4-$HB40)*1000+190)),IF($HD40=0,999999,IF(4=$HE40,IF(91=$HL40,IF($JD40=2,30,0),IF(91=$HM40,IF($JD40=1,30,0),ABS(19-$HF40)*100)),100000+ABS(4-$HE40)*1000+190)),IF($HG40=0,999999,IF(4=$HH40,IF(91=$HN40,IF($JE40=2,30,0),IF(91=$HO40,IF($JE40=1,30,0),ABS(19-$HI40)*100)),100000+ABS(4-$HH40)*1000+190)))-IF((91=$HJ40)+(91=$HK40)+(91=$HL40)+(91=$HM40)+(91=$HN40)+(91=$HO40)&gt;=2,50,0))+CP$5*50)</f>
        <v/>
      </c>
      <c r="CQ160">
        <f>IF(OR($JF40=0,calcA!$A$6=0),0,IF(OR(92=$HA40,92=$HD40,92=$HG40),200000,MIN(IF($HA40=0,999999,IF(4=$HB40,IF(92=$HJ40,IF($JC40=2,30,0),IF(92=$HK40,IF($JC40=1,30,0),ABS(20-$HC40)*100)),100000+ABS(4-$HB40)*1000+200)),IF($HD40=0,999999,IF(4=$HE40,IF(92=$HL40,IF($JD40=2,30,0),IF(92=$HM40,IF($JD40=1,30,0),ABS(20-$HF40)*100)),100000+ABS(4-$HE40)*1000+200)),IF($HG40=0,999999,IF(4=$HH40,IF(92=$HN40,IF($JE40=2,30,0),IF(92=$HO40,IF($JE40=1,30,0),ABS(20-$HI40)*100)),100000+ABS(4-$HH40)*1000+200)))-IF((92=$HJ40)+(92=$HK40)+(92=$HL40)+(92=$HM40)+(92=$HN40)+(92=$HO40)&gt;=2,50,0))+CQ$5*50)</f>
        <v/>
      </c>
      <c r="CR160">
        <f>IF(OR($JF40=0,calcA!$A$6=0),0,IF(OR(93=$HA40,93=$HD40,93=$HG40),200000,MIN(IF($HA40=0,999999,IF(4=$HB40,IF(93=$HJ40,IF($JC40=2,30,0),IF(93=$HK40,IF($JC40=1,30,0),ABS(21-$HC40)*100)),100000+ABS(4-$HB40)*1000+210)),IF($HD40=0,999999,IF(4=$HE40,IF(93=$HL40,IF($JD40=2,30,0),IF(93=$HM40,IF($JD40=1,30,0),ABS(21-$HF40)*100)),100000+ABS(4-$HE40)*1000+210)),IF($HG40=0,999999,IF(4=$HH40,IF(93=$HN40,IF($JE40=2,30,0),IF(93=$HO40,IF($JE40=1,30,0),ABS(21-$HI40)*100)),100000+ABS(4-$HH40)*1000+210)))-IF((93=$HJ40)+(93=$HK40)+(93=$HL40)+(93=$HM40)+(93=$HN40)+(93=$HO40)&gt;=2,50,0))+CR$5*50)</f>
        <v/>
      </c>
      <c r="CS160">
        <f>IF(OR($JF40=0,calcA!$A$6=0),0,IF(OR(94=$HA40,94=$HD40,94=$HG40),200000,MIN(IF($HA40=0,999999,IF(4=$HB40,IF(94=$HJ40,IF($JC40=2,30,0),IF(94=$HK40,IF($JC40=1,30,0),ABS(22-$HC40)*100)),100000+ABS(4-$HB40)*1000+220)),IF($HD40=0,999999,IF(4=$HE40,IF(94=$HL40,IF($JD40=2,30,0),IF(94=$HM40,IF($JD40=1,30,0),ABS(22-$HF40)*100)),100000+ABS(4-$HE40)*1000+220)),IF($HG40=0,999999,IF(4=$HH40,IF(94=$HN40,IF($JE40=2,30,0),IF(94=$HO40,IF($JE40=1,30,0),ABS(22-$HI40)*100)),100000+ABS(4-$HH40)*1000+220)))-IF((94=$HJ40)+(94=$HK40)+(94=$HL40)+(94=$HM40)+(94=$HN40)+(94=$HO40)&gt;=2,50,0))+CS$5*50)</f>
        <v/>
      </c>
      <c r="CT160">
        <f>IF(OR($JF40=0,calcA!$A$6=0),0,IF(OR(95=$HA40,95=$HD40,95=$HG40),200000,MIN(IF($HA40=0,999999,IF(4=$HB40,IF(95=$HJ40,IF($JC40=2,30,0),IF(95=$HK40,IF($JC40=1,30,0),ABS(23-$HC40)*100)),100000+ABS(4-$HB40)*1000+230)),IF($HD40=0,999999,IF(4=$HE40,IF(95=$HL40,IF($JD40=2,30,0),IF(95=$HM40,IF($JD40=1,30,0),ABS(23-$HF40)*100)),100000+ABS(4-$HE40)*1000+230)),IF($HG40=0,999999,IF(4=$HH40,IF(95=$HN40,IF($JE40=2,30,0),IF(95=$HO40,IF($JE40=1,30,0),ABS(23-$HI40)*100)),100000+ABS(4-$HH40)*1000+230)))-IF((95=$HJ40)+(95=$HK40)+(95=$HL40)+(95=$HM40)+(95=$HN40)+(95=$HO40)&gt;=2,50,0))+CT$5*50)</f>
        <v/>
      </c>
      <c r="CU160">
        <f>IF(OR($JF40=0,calcA!$A$6=0),0,IF(OR(96=$HA40,96=$HD40,96=$HG40),200000,MIN(IF($HA40=0,999999,IF(4=$HB40,IF(96=$HJ40,IF($JC40=2,30,0),IF(96=$HK40,IF($JC40=1,30,0),ABS(24-$HC40)*100)),100000+ABS(4-$HB40)*1000+240)),IF($HD40=0,999999,IF(4=$HE40,IF(96=$HL40,IF($JD40=2,30,0),IF(96=$HM40,IF($JD40=1,30,0),ABS(24-$HF40)*100)),100000+ABS(4-$HE40)*1000+240)),IF($HG40=0,999999,IF(4=$HH40,IF(96=$HN40,IF($JE40=2,30,0),IF(96=$HO40,IF($JE40=1,30,0),ABS(24-$HI40)*100)),100000+ABS(4-$HH40)*1000+240)))-IF((96=$HJ40)+(96=$HK40)+(96=$HL40)+(96=$HM40)+(96=$HN40)+(96=$HO40)&gt;=2,50,0))+CU$5*50)</f>
        <v/>
      </c>
      <c r="CV160">
        <f>IF(OR($JF40=0,calcA!$A$6=0),0,IF(OR(97=$HA40,97=$HD40,97=$HG40),200000,MIN(IF($HA40=0,999999,IF(5=$HB40,IF(97=$HJ40,IF($JC40=2,30,0),IF(97=$HK40,IF($JC40=1,30,0),ABS(1-$HC40)*100)),100000+ABS(5-$HB40)*1000+10)),IF($HD40=0,999999,IF(5=$HE40,IF(97=$HL40,IF($JD40=2,30,0),IF(97=$HM40,IF($JD40=1,30,0),ABS(1-$HF40)*100)),100000+ABS(5-$HE40)*1000+10)),IF($HG40=0,999999,IF(5=$HH40,IF(97=$HN40,IF($JE40=2,30,0),IF(97=$HO40,IF($JE40=1,30,0),ABS(1-$HI40)*100)),100000+ABS(5-$HH40)*1000+10)))-IF((97=$HJ40)+(97=$HK40)+(97=$HL40)+(97=$HM40)+(97=$HN40)+(97=$HO40)&gt;=2,50,0))+CV$5*50)</f>
        <v/>
      </c>
      <c r="CW160">
        <f>IF(OR($JF40=0,calcA!$A$6=0),0,IF(OR(98=$HA40,98=$HD40,98=$HG40),200000,MIN(IF($HA40=0,999999,IF(5=$HB40,IF(98=$HJ40,IF($JC40=2,30,0),IF(98=$HK40,IF($JC40=1,30,0),ABS(2-$HC40)*100)),100000+ABS(5-$HB40)*1000+20)),IF($HD40=0,999999,IF(5=$HE40,IF(98=$HL40,IF($JD40=2,30,0),IF(98=$HM40,IF($JD40=1,30,0),ABS(2-$HF40)*100)),100000+ABS(5-$HE40)*1000+20)),IF($HG40=0,999999,IF(5=$HH40,IF(98=$HN40,IF($JE40=2,30,0),IF(98=$HO40,IF($JE40=1,30,0),ABS(2-$HI40)*100)),100000+ABS(5-$HH40)*1000+20)))-IF((98=$HJ40)+(98=$HK40)+(98=$HL40)+(98=$HM40)+(98=$HN40)+(98=$HO40)&gt;=2,50,0))+CW$5*50)</f>
        <v/>
      </c>
      <c r="CX160">
        <f>IF(OR($JF40=0,calcA!$A$6=0),0,IF(OR(99=$HA40,99=$HD40,99=$HG40),200000,MIN(IF($HA40=0,999999,IF(5=$HB40,IF(99=$HJ40,IF($JC40=2,30,0),IF(99=$HK40,IF($JC40=1,30,0),ABS(3-$HC40)*100)),100000+ABS(5-$HB40)*1000+30)),IF($HD40=0,999999,IF(5=$HE40,IF(99=$HL40,IF($JD40=2,30,0),IF(99=$HM40,IF($JD40=1,30,0),ABS(3-$HF40)*100)),100000+ABS(5-$HE40)*1000+30)),IF($HG40=0,999999,IF(5=$HH40,IF(99=$HN40,IF($JE40=2,30,0),IF(99=$HO40,IF($JE40=1,30,0),ABS(3-$HI40)*100)),100000+ABS(5-$HH40)*1000+30)))-IF((99=$HJ40)+(99=$HK40)+(99=$HL40)+(99=$HM40)+(99=$HN40)+(99=$HO40)&gt;=2,50,0))+CX$5*50)</f>
        <v/>
      </c>
      <c r="CY160">
        <f>IF(OR($JF40=0,calcA!$A$6=0),0,IF(OR(100=$HA40,100=$HD40,100=$HG40),200000,MIN(IF($HA40=0,999999,IF(5=$HB40,IF(100=$HJ40,IF($JC40=2,30,0),IF(100=$HK40,IF($JC40=1,30,0),ABS(4-$HC40)*100)),100000+ABS(5-$HB40)*1000+40)),IF($HD40=0,999999,IF(5=$HE40,IF(100=$HL40,IF($JD40=2,30,0),IF(100=$HM40,IF($JD40=1,30,0),ABS(4-$HF40)*100)),100000+ABS(5-$HE40)*1000+40)),IF($HG40=0,999999,IF(5=$HH40,IF(100=$HN40,IF($JE40=2,30,0),IF(100=$HO40,IF($JE40=1,30,0),ABS(4-$HI40)*100)),100000+ABS(5-$HH40)*1000+40)))-IF((100=$HJ40)+(100=$HK40)+(100=$HL40)+(100=$HM40)+(100=$HN40)+(100=$HO40)&gt;=2,50,0))+CY$5*50)</f>
        <v/>
      </c>
      <c r="CZ160">
        <f>IF(OR($JF40=0,calcA!$A$6=0),0,IF(OR(101=$HA40,101=$HD40,101=$HG40),200000,MIN(IF($HA40=0,999999,IF(5=$HB40,IF(101=$HJ40,IF($JC40=2,30,0),IF(101=$HK40,IF($JC40=1,30,0),ABS(5-$HC40)*100)),100000+ABS(5-$HB40)*1000+50)),IF($HD40=0,999999,IF(5=$HE40,IF(101=$HL40,IF($JD40=2,30,0),IF(101=$HM40,IF($JD40=1,30,0),ABS(5-$HF40)*100)),100000+ABS(5-$HE40)*1000+50)),IF($HG40=0,999999,IF(5=$HH40,IF(101=$HN40,IF($JE40=2,30,0),IF(101=$HO40,IF($JE40=1,30,0),ABS(5-$HI40)*100)),100000+ABS(5-$HH40)*1000+50)))-IF((101=$HJ40)+(101=$HK40)+(101=$HL40)+(101=$HM40)+(101=$HN40)+(101=$HO40)&gt;=2,50,0))+CZ$5*50)</f>
        <v/>
      </c>
      <c r="DA160">
        <f>IF(OR($JF40=0,calcA!$A$6=0),0,IF(OR(102=$HA40,102=$HD40,102=$HG40),200000,MIN(IF($HA40=0,999999,IF(5=$HB40,IF(102=$HJ40,IF($JC40=2,30,0),IF(102=$HK40,IF($JC40=1,30,0),ABS(6-$HC40)*100)),100000+ABS(5-$HB40)*1000+60)),IF($HD40=0,999999,IF(5=$HE40,IF(102=$HL40,IF($JD40=2,30,0),IF(102=$HM40,IF($JD40=1,30,0),ABS(6-$HF40)*100)),100000+ABS(5-$HE40)*1000+60)),IF($HG40=0,999999,IF(5=$HH40,IF(102=$HN40,IF($JE40=2,30,0),IF(102=$HO40,IF($JE40=1,30,0),ABS(6-$HI40)*100)),100000+ABS(5-$HH40)*1000+60)))-IF((102=$HJ40)+(102=$HK40)+(102=$HL40)+(102=$HM40)+(102=$HN40)+(102=$HO40)&gt;=2,50,0))+DA$5*50)</f>
        <v/>
      </c>
      <c r="DB160">
        <f>IF(OR($JF40=0,calcA!$A$6=0),0,IF(OR(103=$HA40,103=$HD40,103=$HG40),200000,MIN(IF($HA40=0,999999,IF(5=$HB40,IF(103=$HJ40,IF($JC40=2,30,0),IF(103=$HK40,IF($JC40=1,30,0),ABS(7-$HC40)*100)),100000+ABS(5-$HB40)*1000+70)),IF($HD40=0,999999,IF(5=$HE40,IF(103=$HL40,IF($JD40=2,30,0),IF(103=$HM40,IF($JD40=1,30,0),ABS(7-$HF40)*100)),100000+ABS(5-$HE40)*1000+70)),IF($HG40=0,999999,IF(5=$HH40,IF(103=$HN40,IF($JE40=2,30,0),IF(103=$HO40,IF($JE40=1,30,0),ABS(7-$HI40)*100)),100000+ABS(5-$HH40)*1000+70)))-IF((103=$HJ40)+(103=$HK40)+(103=$HL40)+(103=$HM40)+(103=$HN40)+(103=$HO40)&gt;=2,50,0))+DB$5*50)</f>
        <v/>
      </c>
      <c r="DC160">
        <f>IF(OR($JF40=0,calcA!$A$6=0),0,IF(OR(104=$HA40,104=$HD40,104=$HG40),200000,MIN(IF($HA40=0,999999,IF(5=$HB40,IF(104=$HJ40,IF($JC40=2,30,0),IF(104=$HK40,IF($JC40=1,30,0),ABS(8-$HC40)*100)),100000+ABS(5-$HB40)*1000+80)),IF($HD40=0,999999,IF(5=$HE40,IF(104=$HL40,IF($JD40=2,30,0),IF(104=$HM40,IF($JD40=1,30,0),ABS(8-$HF40)*100)),100000+ABS(5-$HE40)*1000+80)),IF($HG40=0,999999,IF(5=$HH40,IF(104=$HN40,IF($JE40=2,30,0),IF(104=$HO40,IF($JE40=1,30,0),ABS(8-$HI40)*100)),100000+ABS(5-$HH40)*1000+80)))-IF((104=$HJ40)+(104=$HK40)+(104=$HL40)+(104=$HM40)+(104=$HN40)+(104=$HO40)&gt;=2,50,0))+DC$5*50)</f>
        <v/>
      </c>
      <c r="DD160">
        <f>IF(OR($JF40=0,calcA!$A$6=0),0,IF(OR(105=$HA40,105=$HD40,105=$HG40),200000,MIN(IF($HA40=0,999999,IF(5=$HB40,IF(105=$HJ40,IF($JC40=2,30,0),IF(105=$HK40,IF($JC40=1,30,0),ABS(9-$HC40)*100)),100000+ABS(5-$HB40)*1000+90)),IF($HD40=0,999999,IF(5=$HE40,IF(105=$HL40,IF($JD40=2,30,0),IF(105=$HM40,IF($JD40=1,30,0),ABS(9-$HF40)*100)),100000+ABS(5-$HE40)*1000+90)),IF($HG40=0,999999,IF(5=$HH40,IF(105=$HN40,IF($JE40=2,30,0),IF(105=$HO40,IF($JE40=1,30,0),ABS(9-$HI40)*100)),100000+ABS(5-$HH40)*1000+90)))-IF((105=$HJ40)+(105=$HK40)+(105=$HL40)+(105=$HM40)+(105=$HN40)+(105=$HO40)&gt;=2,50,0))+DD$5*50)</f>
        <v/>
      </c>
      <c r="DE160">
        <f>IF(OR($JF40=0,calcA!$A$6=0),0,IF(OR(106=$HA40,106=$HD40,106=$HG40),200000,MIN(IF($HA40=0,999999,IF(5=$HB40,IF(106=$HJ40,IF($JC40=2,30,0),IF(106=$HK40,IF($JC40=1,30,0),ABS(10-$HC40)*100)),100000+ABS(5-$HB40)*1000+100)),IF($HD40=0,999999,IF(5=$HE40,IF(106=$HL40,IF($JD40=2,30,0),IF(106=$HM40,IF($JD40=1,30,0),ABS(10-$HF40)*100)),100000+ABS(5-$HE40)*1000+100)),IF($HG40=0,999999,IF(5=$HH40,IF(106=$HN40,IF($JE40=2,30,0),IF(106=$HO40,IF($JE40=1,30,0),ABS(10-$HI40)*100)),100000+ABS(5-$HH40)*1000+100)))-IF((106=$HJ40)+(106=$HK40)+(106=$HL40)+(106=$HM40)+(106=$HN40)+(106=$HO40)&gt;=2,50,0))+DE$5*50)</f>
        <v/>
      </c>
      <c r="DF160">
        <f>IF(OR($JF40=0,calcA!$A$6=0),0,IF(OR(107=$HA40,107=$HD40,107=$HG40),200000,MIN(IF($HA40=0,999999,IF(5=$HB40,IF(107=$HJ40,IF($JC40=2,30,0),IF(107=$HK40,IF($JC40=1,30,0),ABS(11-$HC40)*100)),100000+ABS(5-$HB40)*1000+110)),IF($HD40=0,999999,IF(5=$HE40,IF(107=$HL40,IF($JD40=2,30,0),IF(107=$HM40,IF($JD40=1,30,0),ABS(11-$HF40)*100)),100000+ABS(5-$HE40)*1000+110)),IF($HG40=0,999999,IF(5=$HH40,IF(107=$HN40,IF($JE40=2,30,0),IF(107=$HO40,IF($JE40=1,30,0),ABS(11-$HI40)*100)),100000+ABS(5-$HH40)*1000+110)))-IF((107=$HJ40)+(107=$HK40)+(107=$HL40)+(107=$HM40)+(107=$HN40)+(107=$HO40)&gt;=2,50,0))+DF$5*50)</f>
        <v/>
      </c>
      <c r="DG160">
        <f>IF(OR($JF40=0,calcA!$A$6=0),0,IF(OR(108=$HA40,108=$HD40,108=$HG40),200000,MIN(IF($HA40=0,999999,IF(5=$HB40,IF(108=$HJ40,IF($JC40=2,30,0),IF(108=$HK40,IF($JC40=1,30,0),ABS(12-$HC40)*100)),100000+ABS(5-$HB40)*1000+120)),IF($HD40=0,999999,IF(5=$HE40,IF(108=$HL40,IF($JD40=2,30,0),IF(108=$HM40,IF($JD40=1,30,0),ABS(12-$HF40)*100)),100000+ABS(5-$HE40)*1000+120)),IF($HG40=0,999999,IF(5=$HH40,IF(108=$HN40,IF($JE40=2,30,0),IF(108=$HO40,IF($JE40=1,30,0),ABS(12-$HI40)*100)),100000+ABS(5-$HH40)*1000+120)))-IF((108=$HJ40)+(108=$HK40)+(108=$HL40)+(108=$HM40)+(108=$HN40)+(108=$HO40)&gt;=2,50,0))+DG$5*50)</f>
        <v/>
      </c>
      <c r="DH160">
        <f>IF(OR($JF40=0,calcA!$A$6=0),0,IF(OR(109=$HA40,109=$HD40,109=$HG40),200000,MIN(IF($HA40=0,999999,IF(5=$HB40,IF(109=$HJ40,IF($JC40=2,30,0),IF(109=$HK40,IF($JC40=1,30,0),ABS(13-$HC40)*100)),100000+ABS(5-$HB40)*1000+130)),IF($HD40=0,999999,IF(5=$HE40,IF(109=$HL40,IF($JD40=2,30,0),IF(109=$HM40,IF($JD40=1,30,0),ABS(13-$HF40)*100)),100000+ABS(5-$HE40)*1000+130)),IF($HG40=0,999999,IF(5=$HH40,IF(109=$HN40,IF($JE40=2,30,0),IF(109=$HO40,IF($JE40=1,30,0),ABS(13-$HI40)*100)),100000+ABS(5-$HH40)*1000+130)))-IF((109=$HJ40)+(109=$HK40)+(109=$HL40)+(109=$HM40)+(109=$HN40)+(109=$HO40)&gt;=2,50,0))+DH$5*50)</f>
        <v/>
      </c>
      <c r="DI160">
        <f>IF(OR($JF40=0,calcA!$A$6=0),0,IF(OR(110=$HA40,110=$HD40,110=$HG40),200000,MIN(IF($HA40=0,999999,IF(5=$HB40,IF(110=$HJ40,IF($JC40=2,30,0),IF(110=$HK40,IF($JC40=1,30,0),ABS(14-$HC40)*100)),100000+ABS(5-$HB40)*1000+140)),IF($HD40=0,999999,IF(5=$HE40,IF(110=$HL40,IF($JD40=2,30,0),IF(110=$HM40,IF($JD40=1,30,0),ABS(14-$HF40)*100)),100000+ABS(5-$HE40)*1000+140)),IF($HG40=0,999999,IF(5=$HH40,IF(110=$HN40,IF($JE40=2,30,0),IF(110=$HO40,IF($JE40=1,30,0),ABS(14-$HI40)*100)),100000+ABS(5-$HH40)*1000+140)))-IF((110=$HJ40)+(110=$HK40)+(110=$HL40)+(110=$HM40)+(110=$HN40)+(110=$HO40)&gt;=2,50,0))+DI$5*50)</f>
        <v/>
      </c>
      <c r="DJ160">
        <f>IF(OR($JF40=0,calcA!$A$6=0),0,IF(OR(111=$HA40,111=$HD40,111=$HG40),200000,MIN(IF($HA40=0,999999,IF(5=$HB40,IF(111=$HJ40,IF($JC40=2,30,0),IF(111=$HK40,IF($JC40=1,30,0),ABS(15-$HC40)*100)),100000+ABS(5-$HB40)*1000+150)),IF($HD40=0,999999,IF(5=$HE40,IF(111=$HL40,IF($JD40=2,30,0),IF(111=$HM40,IF($JD40=1,30,0),ABS(15-$HF40)*100)),100000+ABS(5-$HE40)*1000+150)),IF($HG40=0,999999,IF(5=$HH40,IF(111=$HN40,IF($JE40=2,30,0),IF(111=$HO40,IF($JE40=1,30,0),ABS(15-$HI40)*100)),100000+ABS(5-$HH40)*1000+150)))-IF((111=$HJ40)+(111=$HK40)+(111=$HL40)+(111=$HM40)+(111=$HN40)+(111=$HO40)&gt;=2,50,0))+DJ$5*50)</f>
        <v/>
      </c>
      <c r="DK160">
        <f>IF(OR($JF40=0,calcA!$A$6=0),0,IF(OR(112=$HA40,112=$HD40,112=$HG40),200000,MIN(IF($HA40=0,999999,IF(5=$HB40,IF(112=$HJ40,IF($JC40=2,30,0),IF(112=$HK40,IF($JC40=1,30,0),ABS(16-$HC40)*100)),100000+ABS(5-$HB40)*1000+160)),IF($HD40=0,999999,IF(5=$HE40,IF(112=$HL40,IF($JD40=2,30,0),IF(112=$HM40,IF($JD40=1,30,0),ABS(16-$HF40)*100)),100000+ABS(5-$HE40)*1000+160)),IF($HG40=0,999999,IF(5=$HH40,IF(112=$HN40,IF($JE40=2,30,0),IF(112=$HO40,IF($JE40=1,30,0),ABS(16-$HI40)*100)),100000+ABS(5-$HH40)*1000+160)))-IF((112=$HJ40)+(112=$HK40)+(112=$HL40)+(112=$HM40)+(112=$HN40)+(112=$HO40)&gt;=2,50,0))+DK$5*50)</f>
        <v/>
      </c>
      <c r="DL160">
        <f>IF(OR($JF40=0,calcA!$A$6=0),0,IF(OR(113=$HA40,113=$HD40,113=$HG40),200000,MIN(IF($HA40=0,999999,IF(5=$HB40,IF(113=$HJ40,IF($JC40=2,30,0),IF(113=$HK40,IF($JC40=1,30,0),ABS(17-$HC40)*100)),100000+ABS(5-$HB40)*1000+170)),IF($HD40=0,999999,IF(5=$HE40,IF(113=$HL40,IF($JD40=2,30,0),IF(113=$HM40,IF($JD40=1,30,0),ABS(17-$HF40)*100)),100000+ABS(5-$HE40)*1000+170)),IF($HG40=0,999999,IF(5=$HH40,IF(113=$HN40,IF($JE40=2,30,0),IF(113=$HO40,IF($JE40=1,30,0),ABS(17-$HI40)*100)),100000+ABS(5-$HH40)*1000+170)))-IF((113=$HJ40)+(113=$HK40)+(113=$HL40)+(113=$HM40)+(113=$HN40)+(113=$HO40)&gt;=2,50,0))+DL$5*50)</f>
        <v/>
      </c>
      <c r="DM160">
        <f>IF(OR($JF40=0,calcA!$A$6=0),0,IF(OR(114=$HA40,114=$HD40,114=$HG40),200000,MIN(IF($HA40=0,999999,IF(5=$HB40,IF(114=$HJ40,IF($JC40=2,30,0),IF(114=$HK40,IF($JC40=1,30,0),ABS(18-$HC40)*100)),100000+ABS(5-$HB40)*1000+180)),IF($HD40=0,999999,IF(5=$HE40,IF(114=$HL40,IF($JD40=2,30,0),IF(114=$HM40,IF($JD40=1,30,0),ABS(18-$HF40)*100)),100000+ABS(5-$HE40)*1000+180)),IF($HG40=0,999999,IF(5=$HH40,IF(114=$HN40,IF($JE40=2,30,0),IF(114=$HO40,IF($JE40=1,30,0),ABS(18-$HI40)*100)),100000+ABS(5-$HH40)*1000+180)))-IF((114=$HJ40)+(114=$HK40)+(114=$HL40)+(114=$HM40)+(114=$HN40)+(114=$HO40)&gt;=2,50,0))+DM$5*50)</f>
        <v/>
      </c>
      <c r="DN160">
        <f>IF(OR($JF40=0,calcA!$A$6=0),0,IF(OR(115=$HA40,115=$HD40,115=$HG40),200000,MIN(IF($HA40=0,999999,IF(5=$HB40,IF(115=$HJ40,IF($JC40=2,30,0),IF(115=$HK40,IF($JC40=1,30,0),ABS(19-$HC40)*100)),100000+ABS(5-$HB40)*1000+190)),IF($HD40=0,999999,IF(5=$HE40,IF(115=$HL40,IF($JD40=2,30,0),IF(115=$HM40,IF($JD40=1,30,0),ABS(19-$HF40)*100)),100000+ABS(5-$HE40)*1000+190)),IF($HG40=0,999999,IF(5=$HH40,IF(115=$HN40,IF($JE40=2,30,0),IF(115=$HO40,IF($JE40=1,30,0),ABS(19-$HI40)*100)),100000+ABS(5-$HH40)*1000+190)))-IF((115=$HJ40)+(115=$HK40)+(115=$HL40)+(115=$HM40)+(115=$HN40)+(115=$HO40)&gt;=2,50,0))+DN$5*50)</f>
        <v/>
      </c>
      <c r="DO160">
        <f>IF(OR($JF40=0,calcA!$A$6=0),0,IF(OR(116=$HA40,116=$HD40,116=$HG40),200000,MIN(IF($HA40=0,999999,IF(5=$HB40,IF(116=$HJ40,IF($JC40=2,30,0),IF(116=$HK40,IF($JC40=1,30,0),ABS(20-$HC40)*100)),100000+ABS(5-$HB40)*1000+200)),IF($HD40=0,999999,IF(5=$HE40,IF(116=$HL40,IF($JD40=2,30,0),IF(116=$HM40,IF($JD40=1,30,0),ABS(20-$HF40)*100)),100000+ABS(5-$HE40)*1000+200)),IF($HG40=0,999999,IF(5=$HH40,IF(116=$HN40,IF($JE40=2,30,0),IF(116=$HO40,IF($JE40=1,30,0),ABS(20-$HI40)*100)),100000+ABS(5-$HH40)*1000+200)))-IF((116=$HJ40)+(116=$HK40)+(116=$HL40)+(116=$HM40)+(116=$HN40)+(116=$HO40)&gt;=2,50,0))+DO$5*50)</f>
        <v/>
      </c>
      <c r="DP160">
        <f>IF(OR($JF40=0,calcA!$A$6=0),0,IF(OR(117=$HA40,117=$HD40,117=$HG40),200000,MIN(IF($HA40=0,999999,IF(5=$HB40,IF(117=$HJ40,IF($JC40=2,30,0),IF(117=$HK40,IF($JC40=1,30,0),ABS(21-$HC40)*100)),100000+ABS(5-$HB40)*1000+210)),IF($HD40=0,999999,IF(5=$HE40,IF(117=$HL40,IF($JD40=2,30,0),IF(117=$HM40,IF($JD40=1,30,0),ABS(21-$HF40)*100)),100000+ABS(5-$HE40)*1000+210)),IF($HG40=0,999999,IF(5=$HH40,IF(117=$HN40,IF($JE40=2,30,0),IF(117=$HO40,IF($JE40=1,30,0),ABS(21-$HI40)*100)),100000+ABS(5-$HH40)*1000+210)))-IF((117=$HJ40)+(117=$HK40)+(117=$HL40)+(117=$HM40)+(117=$HN40)+(117=$HO40)&gt;=2,50,0))+DP$5*50)</f>
        <v/>
      </c>
      <c r="DQ160">
        <f>IF(OR($JF40=0,calcA!$A$6=0),0,IF(OR(118=$HA40,118=$HD40,118=$HG40),200000,MIN(IF($HA40=0,999999,IF(5=$HB40,IF(118=$HJ40,IF($JC40=2,30,0),IF(118=$HK40,IF($JC40=1,30,0),ABS(22-$HC40)*100)),100000+ABS(5-$HB40)*1000+220)),IF($HD40=0,999999,IF(5=$HE40,IF(118=$HL40,IF($JD40=2,30,0),IF(118=$HM40,IF($JD40=1,30,0),ABS(22-$HF40)*100)),100000+ABS(5-$HE40)*1000+220)),IF($HG40=0,999999,IF(5=$HH40,IF(118=$HN40,IF($JE40=2,30,0),IF(118=$HO40,IF($JE40=1,30,0),ABS(22-$HI40)*100)),100000+ABS(5-$HH40)*1000+220)))-IF((118=$HJ40)+(118=$HK40)+(118=$HL40)+(118=$HM40)+(118=$HN40)+(118=$HO40)&gt;=2,50,0))+DQ$5*50)</f>
        <v/>
      </c>
      <c r="DR160">
        <f>IF(OR($JF40=0,calcA!$A$6=0),0,IF(OR(119=$HA40,119=$HD40,119=$HG40),200000,MIN(IF($HA40=0,999999,IF(5=$HB40,IF(119=$HJ40,IF($JC40=2,30,0),IF(119=$HK40,IF($JC40=1,30,0),ABS(23-$HC40)*100)),100000+ABS(5-$HB40)*1000+230)),IF($HD40=0,999999,IF(5=$HE40,IF(119=$HL40,IF($JD40=2,30,0),IF(119=$HM40,IF($JD40=1,30,0),ABS(23-$HF40)*100)),100000+ABS(5-$HE40)*1000+230)),IF($HG40=0,999999,IF(5=$HH40,IF(119=$HN40,IF($JE40=2,30,0),IF(119=$HO40,IF($JE40=1,30,0),ABS(23-$HI40)*100)),100000+ABS(5-$HH40)*1000+230)))-IF((119=$HJ40)+(119=$HK40)+(119=$HL40)+(119=$HM40)+(119=$HN40)+(119=$HO40)&gt;=2,50,0))+DR$5*50)</f>
        <v/>
      </c>
      <c r="DS160">
        <f>IF(OR($JF40=0,calcA!$A$6=0),0,IF(OR(120=$HA40,120=$HD40,120=$HG40),200000,MIN(IF($HA40=0,999999,IF(5=$HB40,IF(120=$HJ40,IF($JC40=2,30,0),IF(120=$HK40,IF($JC40=1,30,0),ABS(24-$HC40)*100)),100000+ABS(5-$HB40)*1000+240)),IF($HD40=0,999999,IF(5=$HE40,IF(120=$HL40,IF($JD40=2,30,0),IF(120=$HM40,IF($JD40=1,30,0),ABS(24-$HF40)*100)),100000+ABS(5-$HE40)*1000+240)),IF($HG40=0,999999,IF(5=$HH40,IF(120=$HN40,IF($JE40=2,30,0),IF(120=$HO40,IF($JE40=1,30,0),ABS(24-$HI40)*100)),100000+ABS(5-$HH40)*1000+240)))-IF((120=$HJ40)+(120=$HK40)+(120=$HL40)+(120=$HM40)+(120=$HN40)+(120=$HO40)&gt;=2,50,0))+DS$5*50)</f>
        <v/>
      </c>
      <c r="DT160">
        <f>IF(OR($JF40=0,calcA!$A$6=0),0,IF(OR(121=$HA40,121=$HD40,121=$HG40),200000,MIN(IF($HA40=0,999999,IF(6=$HB40,IF(121=$HJ40,IF($JC40=2,30,0),IF(121=$HK40,IF($JC40=1,30,0),ABS(1-$HC40)*100)),100000+ABS(6-$HB40)*1000+10)),IF($HD40=0,999999,IF(6=$HE40,IF(121=$HL40,IF($JD40=2,30,0),IF(121=$HM40,IF($JD40=1,30,0),ABS(1-$HF40)*100)),100000+ABS(6-$HE40)*1000+10)),IF($HG40=0,999999,IF(6=$HH40,IF(121=$HN40,IF($JE40=2,30,0),IF(121=$HO40,IF($JE40=1,30,0),ABS(1-$HI40)*100)),100000+ABS(6-$HH40)*1000+10)))-IF((121=$HJ40)+(121=$HK40)+(121=$HL40)+(121=$HM40)+(121=$HN40)+(121=$HO40)&gt;=2,50,0))+DT$5*50)</f>
        <v/>
      </c>
      <c r="DU160">
        <f>IF(OR($JF40=0,calcA!$A$6=0),0,IF(OR(122=$HA40,122=$HD40,122=$HG40),200000,MIN(IF($HA40=0,999999,IF(6=$HB40,IF(122=$HJ40,IF($JC40=2,30,0),IF(122=$HK40,IF($JC40=1,30,0),ABS(2-$HC40)*100)),100000+ABS(6-$HB40)*1000+20)),IF($HD40=0,999999,IF(6=$HE40,IF(122=$HL40,IF($JD40=2,30,0),IF(122=$HM40,IF($JD40=1,30,0),ABS(2-$HF40)*100)),100000+ABS(6-$HE40)*1000+20)),IF($HG40=0,999999,IF(6=$HH40,IF(122=$HN40,IF($JE40=2,30,0),IF(122=$HO40,IF($JE40=1,30,0),ABS(2-$HI40)*100)),100000+ABS(6-$HH40)*1000+20)))-IF((122=$HJ40)+(122=$HK40)+(122=$HL40)+(122=$HM40)+(122=$HN40)+(122=$HO40)&gt;=2,50,0))+DU$5*50)</f>
        <v/>
      </c>
      <c r="DV160">
        <f>IF(OR($JF40=0,calcA!$A$6=0),0,IF(OR(123=$HA40,123=$HD40,123=$HG40),200000,MIN(IF($HA40=0,999999,IF(6=$HB40,IF(123=$HJ40,IF($JC40=2,30,0),IF(123=$HK40,IF($JC40=1,30,0),ABS(3-$HC40)*100)),100000+ABS(6-$HB40)*1000+30)),IF($HD40=0,999999,IF(6=$HE40,IF(123=$HL40,IF($JD40=2,30,0),IF(123=$HM40,IF($JD40=1,30,0),ABS(3-$HF40)*100)),100000+ABS(6-$HE40)*1000+30)),IF($HG40=0,999999,IF(6=$HH40,IF(123=$HN40,IF($JE40=2,30,0),IF(123=$HO40,IF($JE40=1,30,0),ABS(3-$HI40)*100)),100000+ABS(6-$HH40)*1000+30)))-IF((123=$HJ40)+(123=$HK40)+(123=$HL40)+(123=$HM40)+(123=$HN40)+(123=$HO40)&gt;=2,50,0))+DV$5*50)</f>
        <v/>
      </c>
      <c r="DW160">
        <f>IF(OR($JF40=0,calcA!$A$6=0),0,IF(OR(124=$HA40,124=$HD40,124=$HG40),200000,MIN(IF($HA40=0,999999,IF(6=$HB40,IF(124=$HJ40,IF($JC40=2,30,0),IF(124=$HK40,IF($JC40=1,30,0),ABS(4-$HC40)*100)),100000+ABS(6-$HB40)*1000+40)),IF($HD40=0,999999,IF(6=$HE40,IF(124=$HL40,IF($JD40=2,30,0),IF(124=$HM40,IF($JD40=1,30,0),ABS(4-$HF40)*100)),100000+ABS(6-$HE40)*1000+40)),IF($HG40=0,999999,IF(6=$HH40,IF(124=$HN40,IF($JE40=2,30,0),IF(124=$HO40,IF($JE40=1,30,0),ABS(4-$HI40)*100)),100000+ABS(6-$HH40)*1000+40)))-IF((124=$HJ40)+(124=$HK40)+(124=$HL40)+(124=$HM40)+(124=$HN40)+(124=$HO40)&gt;=2,50,0))+DW$5*50)</f>
        <v/>
      </c>
      <c r="DX160">
        <f>IF(OR($JF40=0,calcA!$A$6=0),0,IF(OR(125=$HA40,125=$HD40,125=$HG40),200000,MIN(IF($HA40=0,999999,IF(6=$HB40,IF(125=$HJ40,IF($JC40=2,30,0),IF(125=$HK40,IF($JC40=1,30,0),ABS(5-$HC40)*100)),100000+ABS(6-$HB40)*1000+50)),IF($HD40=0,999999,IF(6=$HE40,IF(125=$HL40,IF($JD40=2,30,0),IF(125=$HM40,IF($JD40=1,30,0),ABS(5-$HF40)*100)),100000+ABS(6-$HE40)*1000+50)),IF($HG40=0,999999,IF(6=$HH40,IF(125=$HN40,IF($JE40=2,30,0),IF(125=$HO40,IF($JE40=1,30,0),ABS(5-$HI40)*100)),100000+ABS(6-$HH40)*1000+50)))-IF((125=$HJ40)+(125=$HK40)+(125=$HL40)+(125=$HM40)+(125=$HN40)+(125=$HO40)&gt;=2,50,0))+DX$5*50)</f>
        <v/>
      </c>
      <c r="DY160">
        <f>IF(OR($JF40=0,calcA!$A$6=0),0,IF(OR(126=$HA40,126=$HD40,126=$HG40),200000,MIN(IF($HA40=0,999999,IF(6=$HB40,IF(126=$HJ40,IF($JC40=2,30,0),IF(126=$HK40,IF($JC40=1,30,0),ABS(6-$HC40)*100)),100000+ABS(6-$HB40)*1000+60)),IF($HD40=0,999999,IF(6=$HE40,IF(126=$HL40,IF($JD40=2,30,0),IF(126=$HM40,IF($JD40=1,30,0),ABS(6-$HF40)*100)),100000+ABS(6-$HE40)*1000+60)),IF($HG40=0,999999,IF(6=$HH40,IF(126=$HN40,IF($JE40=2,30,0),IF(126=$HO40,IF($JE40=1,30,0),ABS(6-$HI40)*100)),100000+ABS(6-$HH40)*1000+60)))-IF((126=$HJ40)+(126=$HK40)+(126=$HL40)+(126=$HM40)+(126=$HN40)+(126=$HO40)&gt;=2,50,0))+DY$5*50)</f>
        <v/>
      </c>
      <c r="DZ160">
        <f>IF(OR($JF40=0,calcA!$A$6=0),0,IF(OR(127=$HA40,127=$HD40,127=$HG40),200000,MIN(IF($HA40=0,999999,IF(6=$HB40,IF(127=$HJ40,IF($JC40=2,30,0),IF(127=$HK40,IF($JC40=1,30,0),ABS(7-$HC40)*100)),100000+ABS(6-$HB40)*1000+70)),IF($HD40=0,999999,IF(6=$HE40,IF(127=$HL40,IF($JD40=2,30,0),IF(127=$HM40,IF($JD40=1,30,0),ABS(7-$HF40)*100)),100000+ABS(6-$HE40)*1000+70)),IF($HG40=0,999999,IF(6=$HH40,IF(127=$HN40,IF($JE40=2,30,0),IF(127=$HO40,IF($JE40=1,30,0),ABS(7-$HI40)*100)),100000+ABS(6-$HH40)*1000+70)))-IF((127=$HJ40)+(127=$HK40)+(127=$HL40)+(127=$HM40)+(127=$HN40)+(127=$HO40)&gt;=2,50,0))+DZ$5*50)</f>
        <v/>
      </c>
      <c r="EA160">
        <f>IF(OR($JF40=0,calcA!$A$6=0),0,IF(OR(128=$HA40,128=$HD40,128=$HG40),200000,MIN(IF($HA40=0,999999,IF(6=$HB40,IF(128=$HJ40,IF($JC40=2,30,0),IF(128=$HK40,IF($JC40=1,30,0),ABS(8-$HC40)*100)),100000+ABS(6-$HB40)*1000+80)),IF($HD40=0,999999,IF(6=$HE40,IF(128=$HL40,IF($JD40=2,30,0),IF(128=$HM40,IF($JD40=1,30,0),ABS(8-$HF40)*100)),100000+ABS(6-$HE40)*1000+80)),IF($HG40=0,999999,IF(6=$HH40,IF(128=$HN40,IF($JE40=2,30,0),IF(128=$HO40,IF($JE40=1,30,0),ABS(8-$HI40)*100)),100000+ABS(6-$HH40)*1000+80)))-IF((128=$HJ40)+(128=$HK40)+(128=$HL40)+(128=$HM40)+(128=$HN40)+(128=$HO40)&gt;=2,50,0))+EA$5*50)</f>
        <v/>
      </c>
      <c r="EB160">
        <f>IF(OR($JF40=0,calcA!$A$6=0),0,IF(OR(129=$HA40,129=$HD40,129=$HG40),200000,MIN(IF($HA40=0,999999,IF(6=$HB40,IF(129=$HJ40,IF($JC40=2,30,0),IF(129=$HK40,IF($JC40=1,30,0),ABS(9-$HC40)*100)),100000+ABS(6-$HB40)*1000+90)),IF($HD40=0,999999,IF(6=$HE40,IF(129=$HL40,IF($JD40=2,30,0),IF(129=$HM40,IF($JD40=1,30,0),ABS(9-$HF40)*100)),100000+ABS(6-$HE40)*1000+90)),IF($HG40=0,999999,IF(6=$HH40,IF(129=$HN40,IF($JE40=2,30,0),IF(129=$HO40,IF($JE40=1,30,0),ABS(9-$HI40)*100)),100000+ABS(6-$HH40)*1000+90)))-IF((129=$HJ40)+(129=$HK40)+(129=$HL40)+(129=$HM40)+(129=$HN40)+(129=$HO40)&gt;=2,50,0))+EB$5*50)</f>
        <v/>
      </c>
      <c r="EC160">
        <f>IF(OR($JF40=0,calcA!$A$6=0),0,IF(OR(130=$HA40,130=$HD40,130=$HG40),200000,MIN(IF($HA40=0,999999,IF(6=$HB40,IF(130=$HJ40,IF($JC40=2,30,0),IF(130=$HK40,IF($JC40=1,30,0),ABS(10-$HC40)*100)),100000+ABS(6-$HB40)*1000+100)),IF($HD40=0,999999,IF(6=$HE40,IF(130=$HL40,IF($JD40=2,30,0),IF(130=$HM40,IF($JD40=1,30,0),ABS(10-$HF40)*100)),100000+ABS(6-$HE40)*1000+100)),IF($HG40=0,999999,IF(6=$HH40,IF(130=$HN40,IF($JE40=2,30,0),IF(130=$HO40,IF($JE40=1,30,0),ABS(10-$HI40)*100)),100000+ABS(6-$HH40)*1000+100)))-IF((130=$HJ40)+(130=$HK40)+(130=$HL40)+(130=$HM40)+(130=$HN40)+(130=$HO40)&gt;=2,50,0))+EC$5*50)</f>
        <v/>
      </c>
      <c r="ED160">
        <f>IF(OR($JF40=0,calcA!$A$6=0),0,IF(OR(131=$HA40,131=$HD40,131=$HG40),200000,MIN(IF($HA40=0,999999,IF(6=$HB40,IF(131=$HJ40,IF($JC40=2,30,0),IF(131=$HK40,IF($JC40=1,30,0),ABS(11-$HC40)*100)),100000+ABS(6-$HB40)*1000+110)),IF($HD40=0,999999,IF(6=$HE40,IF(131=$HL40,IF($JD40=2,30,0),IF(131=$HM40,IF($JD40=1,30,0),ABS(11-$HF40)*100)),100000+ABS(6-$HE40)*1000+110)),IF($HG40=0,999999,IF(6=$HH40,IF(131=$HN40,IF($JE40=2,30,0),IF(131=$HO40,IF($JE40=1,30,0),ABS(11-$HI40)*100)),100000+ABS(6-$HH40)*1000+110)))-IF((131=$HJ40)+(131=$HK40)+(131=$HL40)+(131=$HM40)+(131=$HN40)+(131=$HO40)&gt;=2,50,0))+ED$5*50)</f>
        <v/>
      </c>
      <c r="EE160">
        <f>IF(OR($JF40=0,calcA!$A$6=0),0,IF(OR(132=$HA40,132=$HD40,132=$HG40),200000,MIN(IF($HA40=0,999999,IF(6=$HB40,IF(132=$HJ40,IF($JC40=2,30,0),IF(132=$HK40,IF($JC40=1,30,0),ABS(12-$HC40)*100)),100000+ABS(6-$HB40)*1000+120)),IF($HD40=0,999999,IF(6=$HE40,IF(132=$HL40,IF($JD40=2,30,0),IF(132=$HM40,IF($JD40=1,30,0),ABS(12-$HF40)*100)),100000+ABS(6-$HE40)*1000+120)),IF($HG40=0,999999,IF(6=$HH40,IF(132=$HN40,IF($JE40=2,30,0),IF(132=$HO40,IF($JE40=1,30,0),ABS(12-$HI40)*100)),100000+ABS(6-$HH40)*1000+120)))-IF((132=$HJ40)+(132=$HK40)+(132=$HL40)+(132=$HM40)+(132=$HN40)+(132=$HO40)&gt;=2,50,0))+EE$5*50)</f>
        <v/>
      </c>
      <c r="EF160">
        <f>IF(OR($JF40=0,calcA!$A$6=0),0,IF(OR(133=$HA40,133=$HD40,133=$HG40),200000,MIN(IF($HA40=0,999999,IF(6=$HB40,IF(133=$HJ40,IF($JC40=2,30,0),IF(133=$HK40,IF($JC40=1,30,0),ABS(13-$HC40)*100)),100000+ABS(6-$HB40)*1000+130)),IF($HD40=0,999999,IF(6=$HE40,IF(133=$HL40,IF($JD40=2,30,0),IF(133=$HM40,IF($JD40=1,30,0),ABS(13-$HF40)*100)),100000+ABS(6-$HE40)*1000+130)),IF($HG40=0,999999,IF(6=$HH40,IF(133=$HN40,IF($JE40=2,30,0),IF(133=$HO40,IF($JE40=1,30,0),ABS(13-$HI40)*100)),100000+ABS(6-$HH40)*1000+130)))-IF((133=$HJ40)+(133=$HK40)+(133=$HL40)+(133=$HM40)+(133=$HN40)+(133=$HO40)&gt;=2,50,0))+EF$5*50)</f>
        <v/>
      </c>
      <c r="EG160">
        <f>IF(OR($JF40=0,calcA!$A$6=0),0,IF(OR(134=$HA40,134=$HD40,134=$HG40),200000,MIN(IF($HA40=0,999999,IF(6=$HB40,IF(134=$HJ40,IF($JC40=2,30,0),IF(134=$HK40,IF($JC40=1,30,0),ABS(14-$HC40)*100)),100000+ABS(6-$HB40)*1000+140)),IF($HD40=0,999999,IF(6=$HE40,IF(134=$HL40,IF($JD40=2,30,0),IF(134=$HM40,IF($JD40=1,30,0),ABS(14-$HF40)*100)),100000+ABS(6-$HE40)*1000+140)),IF($HG40=0,999999,IF(6=$HH40,IF(134=$HN40,IF($JE40=2,30,0),IF(134=$HO40,IF($JE40=1,30,0),ABS(14-$HI40)*100)),100000+ABS(6-$HH40)*1000+140)))-IF((134=$HJ40)+(134=$HK40)+(134=$HL40)+(134=$HM40)+(134=$HN40)+(134=$HO40)&gt;=2,50,0))+EG$5*50)</f>
        <v/>
      </c>
      <c r="EH160">
        <f>IF(OR($JF40=0,calcA!$A$6=0),0,IF(OR(135=$HA40,135=$HD40,135=$HG40),200000,MIN(IF($HA40=0,999999,IF(6=$HB40,IF(135=$HJ40,IF($JC40=2,30,0),IF(135=$HK40,IF($JC40=1,30,0),ABS(15-$HC40)*100)),100000+ABS(6-$HB40)*1000+150)),IF($HD40=0,999999,IF(6=$HE40,IF(135=$HL40,IF($JD40=2,30,0),IF(135=$HM40,IF($JD40=1,30,0),ABS(15-$HF40)*100)),100000+ABS(6-$HE40)*1000+150)),IF($HG40=0,999999,IF(6=$HH40,IF(135=$HN40,IF($JE40=2,30,0),IF(135=$HO40,IF($JE40=1,30,0),ABS(15-$HI40)*100)),100000+ABS(6-$HH40)*1000+150)))-IF((135=$HJ40)+(135=$HK40)+(135=$HL40)+(135=$HM40)+(135=$HN40)+(135=$HO40)&gt;=2,50,0))+EH$5*50)</f>
        <v/>
      </c>
      <c r="EI160">
        <f>IF(OR($JF40=0,calcA!$A$6=0),0,IF(OR(136=$HA40,136=$HD40,136=$HG40),200000,MIN(IF($HA40=0,999999,IF(6=$HB40,IF(136=$HJ40,IF($JC40=2,30,0),IF(136=$HK40,IF($JC40=1,30,0),ABS(16-$HC40)*100)),100000+ABS(6-$HB40)*1000+160)),IF($HD40=0,999999,IF(6=$HE40,IF(136=$HL40,IF($JD40=2,30,0),IF(136=$HM40,IF($JD40=1,30,0),ABS(16-$HF40)*100)),100000+ABS(6-$HE40)*1000+160)),IF($HG40=0,999999,IF(6=$HH40,IF(136=$HN40,IF($JE40=2,30,0),IF(136=$HO40,IF($JE40=1,30,0),ABS(16-$HI40)*100)),100000+ABS(6-$HH40)*1000+160)))-IF((136=$HJ40)+(136=$HK40)+(136=$HL40)+(136=$HM40)+(136=$HN40)+(136=$HO40)&gt;=2,50,0))+EI$5*50)</f>
        <v/>
      </c>
      <c r="EJ160">
        <f>IF(OR($JF40=0,calcA!$A$6=0),0,IF(OR(137=$HA40,137=$HD40,137=$HG40),200000,MIN(IF($HA40=0,999999,IF(6=$HB40,IF(137=$HJ40,IF($JC40=2,30,0),IF(137=$HK40,IF($JC40=1,30,0),ABS(17-$HC40)*100)),100000+ABS(6-$HB40)*1000+170)),IF($HD40=0,999999,IF(6=$HE40,IF(137=$HL40,IF($JD40=2,30,0),IF(137=$HM40,IF($JD40=1,30,0),ABS(17-$HF40)*100)),100000+ABS(6-$HE40)*1000+170)),IF($HG40=0,999999,IF(6=$HH40,IF(137=$HN40,IF($JE40=2,30,0),IF(137=$HO40,IF($JE40=1,30,0),ABS(17-$HI40)*100)),100000+ABS(6-$HH40)*1000+170)))-IF((137=$HJ40)+(137=$HK40)+(137=$HL40)+(137=$HM40)+(137=$HN40)+(137=$HO40)&gt;=2,50,0))+EJ$5*50)</f>
        <v/>
      </c>
      <c r="EK160">
        <f>IF(OR($JF40=0,calcA!$A$6=0),0,IF(OR(138=$HA40,138=$HD40,138=$HG40),200000,MIN(IF($HA40=0,999999,IF(6=$HB40,IF(138=$HJ40,IF($JC40=2,30,0),IF(138=$HK40,IF($JC40=1,30,0),ABS(18-$HC40)*100)),100000+ABS(6-$HB40)*1000+180)),IF($HD40=0,999999,IF(6=$HE40,IF(138=$HL40,IF($JD40=2,30,0),IF(138=$HM40,IF($JD40=1,30,0),ABS(18-$HF40)*100)),100000+ABS(6-$HE40)*1000+180)),IF($HG40=0,999999,IF(6=$HH40,IF(138=$HN40,IF($JE40=2,30,0),IF(138=$HO40,IF($JE40=1,30,0),ABS(18-$HI40)*100)),100000+ABS(6-$HH40)*1000+180)))-IF((138=$HJ40)+(138=$HK40)+(138=$HL40)+(138=$HM40)+(138=$HN40)+(138=$HO40)&gt;=2,50,0))+EK$5*50)</f>
        <v/>
      </c>
      <c r="EL160">
        <f>IF(OR($JF40=0,calcA!$A$6=0),0,IF(OR(139=$HA40,139=$HD40,139=$HG40),200000,MIN(IF($HA40=0,999999,IF(6=$HB40,IF(139=$HJ40,IF($JC40=2,30,0),IF(139=$HK40,IF($JC40=1,30,0),ABS(19-$HC40)*100)),100000+ABS(6-$HB40)*1000+190)),IF($HD40=0,999999,IF(6=$HE40,IF(139=$HL40,IF($JD40=2,30,0),IF(139=$HM40,IF($JD40=1,30,0),ABS(19-$HF40)*100)),100000+ABS(6-$HE40)*1000+190)),IF($HG40=0,999999,IF(6=$HH40,IF(139=$HN40,IF($JE40=2,30,0),IF(139=$HO40,IF($JE40=1,30,0),ABS(19-$HI40)*100)),100000+ABS(6-$HH40)*1000+190)))-IF((139=$HJ40)+(139=$HK40)+(139=$HL40)+(139=$HM40)+(139=$HN40)+(139=$HO40)&gt;=2,50,0))+EL$5*50)</f>
        <v/>
      </c>
      <c r="EM160">
        <f>IF(OR($JF40=0,calcA!$A$6=0),0,IF(OR(140=$HA40,140=$HD40,140=$HG40),200000,MIN(IF($HA40=0,999999,IF(6=$HB40,IF(140=$HJ40,IF($JC40=2,30,0),IF(140=$HK40,IF($JC40=1,30,0),ABS(20-$HC40)*100)),100000+ABS(6-$HB40)*1000+200)),IF($HD40=0,999999,IF(6=$HE40,IF(140=$HL40,IF($JD40=2,30,0),IF(140=$HM40,IF($JD40=1,30,0),ABS(20-$HF40)*100)),100000+ABS(6-$HE40)*1000+200)),IF($HG40=0,999999,IF(6=$HH40,IF(140=$HN40,IF($JE40=2,30,0),IF(140=$HO40,IF($JE40=1,30,0),ABS(20-$HI40)*100)),100000+ABS(6-$HH40)*1000+200)))-IF((140=$HJ40)+(140=$HK40)+(140=$HL40)+(140=$HM40)+(140=$HN40)+(140=$HO40)&gt;=2,50,0))+EM$5*50)</f>
        <v/>
      </c>
      <c r="EN160">
        <f>IF(OR($JF40=0,calcA!$A$6=0),0,IF(OR(141=$HA40,141=$HD40,141=$HG40),200000,MIN(IF($HA40=0,999999,IF(6=$HB40,IF(141=$HJ40,IF($JC40=2,30,0),IF(141=$HK40,IF($JC40=1,30,0),ABS(21-$HC40)*100)),100000+ABS(6-$HB40)*1000+210)),IF($HD40=0,999999,IF(6=$HE40,IF(141=$HL40,IF($JD40=2,30,0),IF(141=$HM40,IF($JD40=1,30,0),ABS(21-$HF40)*100)),100000+ABS(6-$HE40)*1000+210)),IF($HG40=0,999999,IF(6=$HH40,IF(141=$HN40,IF($JE40=2,30,0),IF(141=$HO40,IF($JE40=1,30,0),ABS(21-$HI40)*100)),100000+ABS(6-$HH40)*1000+210)))-IF((141=$HJ40)+(141=$HK40)+(141=$HL40)+(141=$HM40)+(141=$HN40)+(141=$HO40)&gt;=2,50,0))+EN$5*50)</f>
        <v/>
      </c>
      <c r="EO160">
        <f>IF(OR($JF40=0,calcA!$A$6=0),0,IF(OR(142=$HA40,142=$HD40,142=$HG40),200000,MIN(IF($HA40=0,999999,IF(6=$HB40,IF(142=$HJ40,IF($JC40=2,30,0),IF(142=$HK40,IF($JC40=1,30,0),ABS(22-$HC40)*100)),100000+ABS(6-$HB40)*1000+220)),IF($HD40=0,999999,IF(6=$HE40,IF(142=$HL40,IF($JD40=2,30,0),IF(142=$HM40,IF($JD40=1,30,0),ABS(22-$HF40)*100)),100000+ABS(6-$HE40)*1000+220)),IF($HG40=0,999999,IF(6=$HH40,IF(142=$HN40,IF($JE40=2,30,0),IF(142=$HO40,IF($JE40=1,30,0),ABS(22-$HI40)*100)),100000+ABS(6-$HH40)*1000+220)))-IF((142=$HJ40)+(142=$HK40)+(142=$HL40)+(142=$HM40)+(142=$HN40)+(142=$HO40)&gt;=2,50,0))+EO$5*50)</f>
        <v/>
      </c>
      <c r="EP160">
        <f>IF(OR($JF40=0,calcA!$A$6=0),0,IF(OR(143=$HA40,143=$HD40,143=$HG40),200000,MIN(IF($HA40=0,999999,IF(6=$HB40,IF(143=$HJ40,IF($JC40=2,30,0),IF(143=$HK40,IF($JC40=1,30,0),ABS(23-$HC40)*100)),100000+ABS(6-$HB40)*1000+230)),IF($HD40=0,999999,IF(6=$HE40,IF(143=$HL40,IF($JD40=2,30,0),IF(143=$HM40,IF($JD40=1,30,0),ABS(23-$HF40)*100)),100000+ABS(6-$HE40)*1000+230)),IF($HG40=0,999999,IF(6=$HH40,IF(143=$HN40,IF($JE40=2,30,0),IF(143=$HO40,IF($JE40=1,30,0),ABS(23-$HI40)*100)),100000+ABS(6-$HH40)*1000+230)))-IF((143=$HJ40)+(143=$HK40)+(143=$HL40)+(143=$HM40)+(143=$HN40)+(143=$HO40)&gt;=2,50,0))+EP$5*50)</f>
        <v/>
      </c>
      <c r="EQ160">
        <f>IF(OR($JF40=0,calcA!$A$6=0),0,IF(OR(144=$HA40,144=$HD40,144=$HG40),200000,MIN(IF($HA40=0,999999,IF(6=$HB40,IF(144=$HJ40,IF($JC40=2,30,0),IF(144=$HK40,IF($JC40=1,30,0),ABS(24-$HC40)*100)),100000+ABS(6-$HB40)*1000+240)),IF($HD40=0,999999,IF(6=$HE40,IF(144=$HL40,IF($JD40=2,30,0),IF(144=$HM40,IF($JD40=1,30,0),ABS(24-$HF40)*100)),100000+ABS(6-$HE40)*1000+240)),IF($HG40=0,999999,IF(6=$HH40,IF(144=$HN40,IF($JE40=2,30,0),IF(144=$HO40,IF($JE40=1,30,0),ABS(24-$HI40)*100)),100000+ABS(6-$HH40)*1000+240)))-IF((144=$HJ40)+(144=$HK40)+(144=$HL40)+(144=$HM40)+(144=$HN40)+(144=$HO40)&gt;=2,50,0))+EQ$5*50)</f>
        <v/>
      </c>
    </row>
    <row r="161">
      <c r="D161">
        <f>IF(OR($JF41=0,calcA!$A$6=0),0,IF(OR(1=$HA41,1=$HD41,1=$HG41),200000,MIN(IF($HA41=0,999999,IF(1=$HB41,IF(1=$HJ41,IF($JC41=2,30,0),IF(1=$HK41,IF($JC41=1,30,0),ABS(1-$HC41)*100)),100000+ABS(1-$HB41)*1000+10)),IF($HD41=0,999999,IF(1=$HE41,IF(1=$HL41,IF($JD41=2,30,0),IF(1=$HM41,IF($JD41=1,30,0),ABS(1-$HF41)*100)),100000+ABS(1-$HE41)*1000+10)),IF($HG41=0,999999,IF(1=$HH41,IF(1=$HN41,IF($JE41=2,30,0),IF(1=$HO41,IF($JE41=1,30,0),ABS(1-$HI41)*100)),100000+ABS(1-$HH41)*1000+10)))-IF((1=$HJ41)+(1=$HK41)+(1=$HL41)+(1=$HM41)+(1=$HN41)+(1=$HO41)&gt;=2,50,0))+D$5*50)</f>
        <v/>
      </c>
      <c r="E161">
        <f>IF(OR($JF41=0,calcA!$A$6=0),0,IF(OR(2=$HA41,2=$HD41,2=$HG41),200000,MIN(IF($HA41=0,999999,IF(1=$HB41,IF(2=$HJ41,IF($JC41=2,30,0),IF(2=$HK41,IF($JC41=1,30,0),ABS(2-$HC41)*100)),100000+ABS(1-$HB41)*1000+20)),IF($HD41=0,999999,IF(1=$HE41,IF(2=$HL41,IF($JD41=2,30,0),IF(2=$HM41,IF($JD41=1,30,0),ABS(2-$HF41)*100)),100000+ABS(1-$HE41)*1000+20)),IF($HG41=0,999999,IF(1=$HH41,IF(2=$HN41,IF($JE41=2,30,0),IF(2=$HO41,IF($JE41=1,30,0),ABS(2-$HI41)*100)),100000+ABS(1-$HH41)*1000+20)))-IF((2=$HJ41)+(2=$HK41)+(2=$HL41)+(2=$HM41)+(2=$HN41)+(2=$HO41)&gt;=2,50,0))+E$5*50)</f>
        <v/>
      </c>
      <c r="F161">
        <f>IF(OR($JF41=0,calcA!$A$6=0),0,IF(OR(3=$HA41,3=$HD41,3=$HG41),200000,MIN(IF($HA41=0,999999,IF(1=$HB41,IF(3=$HJ41,IF($JC41=2,30,0),IF(3=$HK41,IF($JC41=1,30,0),ABS(3-$HC41)*100)),100000+ABS(1-$HB41)*1000+30)),IF($HD41=0,999999,IF(1=$HE41,IF(3=$HL41,IF($JD41=2,30,0),IF(3=$HM41,IF($JD41=1,30,0),ABS(3-$HF41)*100)),100000+ABS(1-$HE41)*1000+30)),IF($HG41=0,999999,IF(1=$HH41,IF(3=$HN41,IF($JE41=2,30,0),IF(3=$HO41,IF($JE41=1,30,0),ABS(3-$HI41)*100)),100000+ABS(1-$HH41)*1000+30)))-IF((3=$HJ41)+(3=$HK41)+(3=$HL41)+(3=$HM41)+(3=$HN41)+(3=$HO41)&gt;=2,50,0))+F$5*50)</f>
        <v/>
      </c>
      <c r="G161">
        <f>IF(OR($JF41=0,calcA!$A$6=0),0,IF(OR(4=$HA41,4=$HD41,4=$HG41),200000,MIN(IF($HA41=0,999999,IF(1=$HB41,IF(4=$HJ41,IF($JC41=2,30,0),IF(4=$HK41,IF($JC41=1,30,0),ABS(4-$HC41)*100)),100000+ABS(1-$HB41)*1000+40)),IF($HD41=0,999999,IF(1=$HE41,IF(4=$HL41,IF($JD41=2,30,0),IF(4=$HM41,IF($JD41=1,30,0),ABS(4-$HF41)*100)),100000+ABS(1-$HE41)*1000+40)),IF($HG41=0,999999,IF(1=$HH41,IF(4=$HN41,IF($JE41=2,30,0),IF(4=$HO41,IF($JE41=1,30,0),ABS(4-$HI41)*100)),100000+ABS(1-$HH41)*1000+40)))-IF((4=$HJ41)+(4=$HK41)+(4=$HL41)+(4=$HM41)+(4=$HN41)+(4=$HO41)&gt;=2,50,0))+G$5*50)</f>
        <v/>
      </c>
      <c r="H161">
        <f>IF(OR($JF41=0,calcA!$A$6=0),0,IF(OR(5=$HA41,5=$HD41,5=$HG41),200000,MIN(IF($HA41=0,999999,IF(1=$HB41,IF(5=$HJ41,IF($JC41=2,30,0),IF(5=$HK41,IF($JC41=1,30,0),ABS(5-$HC41)*100)),100000+ABS(1-$HB41)*1000+50)),IF($HD41=0,999999,IF(1=$HE41,IF(5=$HL41,IF($JD41=2,30,0),IF(5=$HM41,IF($JD41=1,30,0),ABS(5-$HF41)*100)),100000+ABS(1-$HE41)*1000+50)),IF($HG41=0,999999,IF(1=$HH41,IF(5=$HN41,IF($JE41=2,30,0),IF(5=$HO41,IF($JE41=1,30,0),ABS(5-$HI41)*100)),100000+ABS(1-$HH41)*1000+50)))-IF((5=$HJ41)+(5=$HK41)+(5=$HL41)+(5=$HM41)+(5=$HN41)+(5=$HO41)&gt;=2,50,0))+H$5*50)</f>
        <v/>
      </c>
      <c r="I161">
        <f>IF(OR($JF41=0,calcA!$A$6=0),0,IF(OR(6=$HA41,6=$HD41,6=$HG41),200000,MIN(IF($HA41=0,999999,IF(1=$HB41,IF(6=$HJ41,IF($JC41=2,30,0),IF(6=$HK41,IF($JC41=1,30,0),ABS(6-$HC41)*100)),100000+ABS(1-$HB41)*1000+60)),IF($HD41=0,999999,IF(1=$HE41,IF(6=$HL41,IF($JD41=2,30,0),IF(6=$HM41,IF($JD41=1,30,0),ABS(6-$HF41)*100)),100000+ABS(1-$HE41)*1000+60)),IF($HG41=0,999999,IF(1=$HH41,IF(6=$HN41,IF($JE41=2,30,0),IF(6=$HO41,IF($JE41=1,30,0),ABS(6-$HI41)*100)),100000+ABS(1-$HH41)*1000+60)))-IF((6=$HJ41)+(6=$HK41)+(6=$HL41)+(6=$HM41)+(6=$HN41)+(6=$HO41)&gt;=2,50,0))+I$5*50)</f>
        <v/>
      </c>
      <c r="J161">
        <f>IF(OR($JF41=0,calcA!$A$6=0),0,IF(OR(7=$HA41,7=$HD41,7=$HG41),200000,MIN(IF($HA41=0,999999,IF(1=$HB41,IF(7=$HJ41,IF($JC41=2,30,0),IF(7=$HK41,IF($JC41=1,30,0),ABS(7-$HC41)*100)),100000+ABS(1-$HB41)*1000+70)),IF($HD41=0,999999,IF(1=$HE41,IF(7=$HL41,IF($JD41=2,30,0),IF(7=$HM41,IF($JD41=1,30,0),ABS(7-$HF41)*100)),100000+ABS(1-$HE41)*1000+70)),IF($HG41=0,999999,IF(1=$HH41,IF(7=$HN41,IF($JE41=2,30,0),IF(7=$HO41,IF($JE41=1,30,0),ABS(7-$HI41)*100)),100000+ABS(1-$HH41)*1000+70)))-IF((7=$HJ41)+(7=$HK41)+(7=$HL41)+(7=$HM41)+(7=$HN41)+(7=$HO41)&gt;=2,50,0))+J$5*50)</f>
        <v/>
      </c>
      <c r="K161">
        <f>IF(OR($JF41=0,calcA!$A$6=0),0,IF(OR(8=$HA41,8=$HD41,8=$HG41),200000,MIN(IF($HA41=0,999999,IF(1=$HB41,IF(8=$HJ41,IF($JC41=2,30,0),IF(8=$HK41,IF($JC41=1,30,0),ABS(8-$HC41)*100)),100000+ABS(1-$HB41)*1000+80)),IF($HD41=0,999999,IF(1=$HE41,IF(8=$HL41,IF($JD41=2,30,0),IF(8=$HM41,IF($JD41=1,30,0),ABS(8-$HF41)*100)),100000+ABS(1-$HE41)*1000+80)),IF($HG41=0,999999,IF(1=$HH41,IF(8=$HN41,IF($JE41=2,30,0),IF(8=$HO41,IF($JE41=1,30,0),ABS(8-$HI41)*100)),100000+ABS(1-$HH41)*1000+80)))-IF((8=$HJ41)+(8=$HK41)+(8=$HL41)+(8=$HM41)+(8=$HN41)+(8=$HO41)&gt;=2,50,0))+K$5*50)</f>
        <v/>
      </c>
      <c r="L161">
        <f>IF(OR($JF41=0,calcA!$A$6=0),0,IF(OR(9=$HA41,9=$HD41,9=$HG41),200000,MIN(IF($HA41=0,999999,IF(1=$HB41,IF(9=$HJ41,IF($JC41=2,30,0),IF(9=$HK41,IF($JC41=1,30,0),ABS(9-$HC41)*100)),100000+ABS(1-$HB41)*1000+90)),IF($HD41=0,999999,IF(1=$HE41,IF(9=$HL41,IF($JD41=2,30,0),IF(9=$HM41,IF($JD41=1,30,0),ABS(9-$HF41)*100)),100000+ABS(1-$HE41)*1000+90)),IF($HG41=0,999999,IF(1=$HH41,IF(9=$HN41,IF($JE41=2,30,0),IF(9=$HO41,IF($JE41=1,30,0),ABS(9-$HI41)*100)),100000+ABS(1-$HH41)*1000+90)))-IF((9=$HJ41)+(9=$HK41)+(9=$HL41)+(9=$HM41)+(9=$HN41)+(9=$HO41)&gt;=2,50,0))+L$5*50)</f>
        <v/>
      </c>
      <c r="M161">
        <f>IF(OR($JF41=0,calcA!$A$6=0),0,IF(OR(10=$HA41,10=$HD41,10=$HG41),200000,MIN(IF($HA41=0,999999,IF(1=$HB41,IF(10=$HJ41,IF($JC41=2,30,0),IF(10=$HK41,IF($JC41=1,30,0),ABS(10-$HC41)*100)),100000+ABS(1-$HB41)*1000+100)),IF($HD41=0,999999,IF(1=$HE41,IF(10=$HL41,IF($JD41=2,30,0),IF(10=$HM41,IF($JD41=1,30,0),ABS(10-$HF41)*100)),100000+ABS(1-$HE41)*1000+100)),IF($HG41=0,999999,IF(1=$HH41,IF(10=$HN41,IF($JE41=2,30,0),IF(10=$HO41,IF($JE41=1,30,0),ABS(10-$HI41)*100)),100000+ABS(1-$HH41)*1000+100)))-IF((10=$HJ41)+(10=$HK41)+(10=$HL41)+(10=$HM41)+(10=$HN41)+(10=$HO41)&gt;=2,50,0))+M$5*50)</f>
        <v/>
      </c>
      <c r="N161">
        <f>IF(OR($JF41=0,calcA!$A$6=0),0,IF(OR(11=$HA41,11=$HD41,11=$HG41),200000,MIN(IF($HA41=0,999999,IF(1=$HB41,IF(11=$HJ41,IF($JC41=2,30,0),IF(11=$HK41,IF($JC41=1,30,0),ABS(11-$HC41)*100)),100000+ABS(1-$HB41)*1000+110)),IF($HD41=0,999999,IF(1=$HE41,IF(11=$HL41,IF($JD41=2,30,0),IF(11=$HM41,IF($JD41=1,30,0),ABS(11-$HF41)*100)),100000+ABS(1-$HE41)*1000+110)),IF($HG41=0,999999,IF(1=$HH41,IF(11=$HN41,IF($JE41=2,30,0),IF(11=$HO41,IF($JE41=1,30,0),ABS(11-$HI41)*100)),100000+ABS(1-$HH41)*1000+110)))-IF((11=$HJ41)+(11=$HK41)+(11=$HL41)+(11=$HM41)+(11=$HN41)+(11=$HO41)&gt;=2,50,0))+N$5*50)</f>
        <v/>
      </c>
      <c r="O161">
        <f>IF(OR($JF41=0,calcA!$A$6=0),0,IF(OR(12=$HA41,12=$HD41,12=$HG41),200000,MIN(IF($HA41=0,999999,IF(1=$HB41,IF(12=$HJ41,IF($JC41=2,30,0),IF(12=$HK41,IF($JC41=1,30,0),ABS(12-$HC41)*100)),100000+ABS(1-$HB41)*1000+120)),IF($HD41=0,999999,IF(1=$HE41,IF(12=$HL41,IF($JD41=2,30,0),IF(12=$HM41,IF($JD41=1,30,0),ABS(12-$HF41)*100)),100000+ABS(1-$HE41)*1000+120)),IF($HG41=0,999999,IF(1=$HH41,IF(12=$HN41,IF($JE41=2,30,0),IF(12=$HO41,IF($JE41=1,30,0),ABS(12-$HI41)*100)),100000+ABS(1-$HH41)*1000+120)))-IF((12=$HJ41)+(12=$HK41)+(12=$HL41)+(12=$HM41)+(12=$HN41)+(12=$HO41)&gt;=2,50,0))+O$5*50)</f>
        <v/>
      </c>
      <c r="P161">
        <f>IF(OR($JF41=0,calcA!$A$6=0),0,IF(OR(13=$HA41,13=$HD41,13=$HG41),200000,MIN(IF($HA41=0,999999,IF(1=$HB41,IF(13=$HJ41,IF($JC41=2,30,0),IF(13=$HK41,IF($JC41=1,30,0),ABS(13-$HC41)*100)),100000+ABS(1-$HB41)*1000+130)),IF($HD41=0,999999,IF(1=$HE41,IF(13=$HL41,IF($JD41=2,30,0),IF(13=$HM41,IF($JD41=1,30,0),ABS(13-$HF41)*100)),100000+ABS(1-$HE41)*1000+130)),IF($HG41=0,999999,IF(1=$HH41,IF(13=$HN41,IF($JE41=2,30,0),IF(13=$HO41,IF($JE41=1,30,0),ABS(13-$HI41)*100)),100000+ABS(1-$HH41)*1000+130)))-IF((13=$HJ41)+(13=$HK41)+(13=$HL41)+(13=$HM41)+(13=$HN41)+(13=$HO41)&gt;=2,50,0))+P$5*50)</f>
        <v/>
      </c>
      <c r="Q161">
        <f>IF(OR($JF41=0,calcA!$A$6=0),0,IF(OR(14=$HA41,14=$HD41,14=$HG41),200000,MIN(IF($HA41=0,999999,IF(1=$HB41,IF(14=$HJ41,IF($JC41=2,30,0),IF(14=$HK41,IF($JC41=1,30,0),ABS(14-$HC41)*100)),100000+ABS(1-$HB41)*1000+140)),IF($HD41=0,999999,IF(1=$HE41,IF(14=$HL41,IF($JD41=2,30,0),IF(14=$HM41,IF($JD41=1,30,0),ABS(14-$HF41)*100)),100000+ABS(1-$HE41)*1000+140)),IF($HG41=0,999999,IF(1=$HH41,IF(14=$HN41,IF($JE41=2,30,0),IF(14=$HO41,IF($JE41=1,30,0),ABS(14-$HI41)*100)),100000+ABS(1-$HH41)*1000+140)))-IF((14=$HJ41)+(14=$HK41)+(14=$HL41)+(14=$HM41)+(14=$HN41)+(14=$HO41)&gt;=2,50,0))+Q$5*50)</f>
        <v/>
      </c>
      <c r="R161">
        <f>IF(OR($JF41=0,calcA!$A$6=0),0,IF(OR(15=$HA41,15=$HD41,15=$HG41),200000,MIN(IF($HA41=0,999999,IF(1=$HB41,IF(15=$HJ41,IF($JC41=2,30,0),IF(15=$HK41,IF($JC41=1,30,0),ABS(15-$HC41)*100)),100000+ABS(1-$HB41)*1000+150)),IF($HD41=0,999999,IF(1=$HE41,IF(15=$HL41,IF($JD41=2,30,0),IF(15=$HM41,IF($JD41=1,30,0),ABS(15-$HF41)*100)),100000+ABS(1-$HE41)*1000+150)),IF($HG41=0,999999,IF(1=$HH41,IF(15=$HN41,IF($JE41=2,30,0),IF(15=$HO41,IF($JE41=1,30,0),ABS(15-$HI41)*100)),100000+ABS(1-$HH41)*1000+150)))-IF((15=$HJ41)+(15=$HK41)+(15=$HL41)+(15=$HM41)+(15=$HN41)+(15=$HO41)&gt;=2,50,0))+R$5*50)</f>
        <v/>
      </c>
      <c r="S161">
        <f>IF(OR($JF41=0,calcA!$A$6=0),0,IF(OR(16=$HA41,16=$HD41,16=$HG41),200000,MIN(IF($HA41=0,999999,IF(1=$HB41,IF(16=$HJ41,IF($JC41=2,30,0),IF(16=$HK41,IF($JC41=1,30,0),ABS(16-$HC41)*100)),100000+ABS(1-$HB41)*1000+160)),IF($HD41=0,999999,IF(1=$HE41,IF(16=$HL41,IF($JD41=2,30,0),IF(16=$HM41,IF($JD41=1,30,0),ABS(16-$HF41)*100)),100000+ABS(1-$HE41)*1000+160)),IF($HG41=0,999999,IF(1=$HH41,IF(16=$HN41,IF($JE41=2,30,0),IF(16=$HO41,IF($JE41=1,30,0),ABS(16-$HI41)*100)),100000+ABS(1-$HH41)*1000+160)))-IF((16=$HJ41)+(16=$HK41)+(16=$HL41)+(16=$HM41)+(16=$HN41)+(16=$HO41)&gt;=2,50,0))+S$5*50)</f>
        <v/>
      </c>
      <c r="T161">
        <f>IF(OR($JF41=0,calcA!$A$6=0),0,IF(OR(17=$HA41,17=$HD41,17=$HG41),200000,MIN(IF($HA41=0,999999,IF(1=$HB41,IF(17=$HJ41,IF($JC41=2,30,0),IF(17=$HK41,IF($JC41=1,30,0),ABS(17-$HC41)*100)),100000+ABS(1-$HB41)*1000+170)),IF($HD41=0,999999,IF(1=$HE41,IF(17=$HL41,IF($JD41=2,30,0),IF(17=$HM41,IF($JD41=1,30,0),ABS(17-$HF41)*100)),100000+ABS(1-$HE41)*1000+170)),IF($HG41=0,999999,IF(1=$HH41,IF(17=$HN41,IF($JE41=2,30,0),IF(17=$HO41,IF($JE41=1,30,0),ABS(17-$HI41)*100)),100000+ABS(1-$HH41)*1000+170)))-IF((17=$HJ41)+(17=$HK41)+(17=$HL41)+(17=$HM41)+(17=$HN41)+(17=$HO41)&gt;=2,50,0))+T$5*50)</f>
        <v/>
      </c>
      <c r="U161">
        <f>IF(OR($JF41=0,calcA!$A$6=0),0,IF(OR(18=$HA41,18=$HD41,18=$HG41),200000,MIN(IF($HA41=0,999999,IF(1=$HB41,IF(18=$HJ41,IF($JC41=2,30,0),IF(18=$HK41,IF($JC41=1,30,0),ABS(18-$HC41)*100)),100000+ABS(1-$HB41)*1000+180)),IF($HD41=0,999999,IF(1=$HE41,IF(18=$HL41,IF($JD41=2,30,0),IF(18=$HM41,IF($JD41=1,30,0),ABS(18-$HF41)*100)),100000+ABS(1-$HE41)*1000+180)),IF($HG41=0,999999,IF(1=$HH41,IF(18=$HN41,IF($JE41=2,30,0),IF(18=$HO41,IF($JE41=1,30,0),ABS(18-$HI41)*100)),100000+ABS(1-$HH41)*1000+180)))-IF((18=$HJ41)+(18=$HK41)+(18=$HL41)+(18=$HM41)+(18=$HN41)+(18=$HO41)&gt;=2,50,0))+U$5*50)</f>
        <v/>
      </c>
      <c r="V161">
        <f>IF(OR($JF41=0,calcA!$A$6=0),0,IF(OR(19=$HA41,19=$HD41,19=$HG41),200000,MIN(IF($HA41=0,999999,IF(1=$HB41,IF(19=$HJ41,IF($JC41=2,30,0),IF(19=$HK41,IF($JC41=1,30,0),ABS(19-$HC41)*100)),100000+ABS(1-$HB41)*1000+190)),IF($HD41=0,999999,IF(1=$HE41,IF(19=$HL41,IF($JD41=2,30,0),IF(19=$HM41,IF($JD41=1,30,0),ABS(19-$HF41)*100)),100000+ABS(1-$HE41)*1000+190)),IF($HG41=0,999999,IF(1=$HH41,IF(19=$HN41,IF($JE41=2,30,0),IF(19=$HO41,IF($JE41=1,30,0),ABS(19-$HI41)*100)),100000+ABS(1-$HH41)*1000+190)))-IF((19=$HJ41)+(19=$HK41)+(19=$HL41)+(19=$HM41)+(19=$HN41)+(19=$HO41)&gt;=2,50,0))+V$5*50)</f>
        <v/>
      </c>
      <c r="W161">
        <f>IF(OR($JF41=0,calcA!$A$6=0),0,IF(OR(20=$HA41,20=$HD41,20=$HG41),200000,MIN(IF($HA41=0,999999,IF(1=$HB41,IF(20=$HJ41,IF($JC41=2,30,0),IF(20=$HK41,IF($JC41=1,30,0),ABS(20-$HC41)*100)),100000+ABS(1-$HB41)*1000+200)),IF($HD41=0,999999,IF(1=$HE41,IF(20=$HL41,IF($JD41=2,30,0),IF(20=$HM41,IF($JD41=1,30,0),ABS(20-$HF41)*100)),100000+ABS(1-$HE41)*1000+200)),IF($HG41=0,999999,IF(1=$HH41,IF(20=$HN41,IF($JE41=2,30,0),IF(20=$HO41,IF($JE41=1,30,0),ABS(20-$HI41)*100)),100000+ABS(1-$HH41)*1000+200)))-IF((20=$HJ41)+(20=$HK41)+(20=$HL41)+(20=$HM41)+(20=$HN41)+(20=$HO41)&gt;=2,50,0))+W$5*50)</f>
        <v/>
      </c>
      <c r="X161">
        <f>IF(OR($JF41=0,calcA!$A$6=0),0,IF(OR(21=$HA41,21=$HD41,21=$HG41),200000,MIN(IF($HA41=0,999999,IF(1=$HB41,IF(21=$HJ41,IF($JC41=2,30,0),IF(21=$HK41,IF($JC41=1,30,0),ABS(21-$HC41)*100)),100000+ABS(1-$HB41)*1000+210)),IF($HD41=0,999999,IF(1=$HE41,IF(21=$HL41,IF($JD41=2,30,0),IF(21=$HM41,IF($JD41=1,30,0),ABS(21-$HF41)*100)),100000+ABS(1-$HE41)*1000+210)),IF($HG41=0,999999,IF(1=$HH41,IF(21=$HN41,IF($JE41=2,30,0),IF(21=$HO41,IF($JE41=1,30,0),ABS(21-$HI41)*100)),100000+ABS(1-$HH41)*1000+210)))-IF((21=$HJ41)+(21=$HK41)+(21=$HL41)+(21=$HM41)+(21=$HN41)+(21=$HO41)&gt;=2,50,0))+X$5*50)</f>
        <v/>
      </c>
      <c r="Y161">
        <f>IF(OR($JF41=0,calcA!$A$6=0),0,IF(OR(22=$HA41,22=$HD41,22=$HG41),200000,MIN(IF($HA41=0,999999,IF(1=$HB41,IF(22=$HJ41,IF($JC41=2,30,0),IF(22=$HK41,IF($JC41=1,30,0),ABS(22-$HC41)*100)),100000+ABS(1-$HB41)*1000+220)),IF($HD41=0,999999,IF(1=$HE41,IF(22=$HL41,IF($JD41=2,30,0),IF(22=$HM41,IF($JD41=1,30,0),ABS(22-$HF41)*100)),100000+ABS(1-$HE41)*1000+220)),IF($HG41=0,999999,IF(1=$HH41,IF(22=$HN41,IF($JE41=2,30,0),IF(22=$HO41,IF($JE41=1,30,0),ABS(22-$HI41)*100)),100000+ABS(1-$HH41)*1000+220)))-IF((22=$HJ41)+(22=$HK41)+(22=$HL41)+(22=$HM41)+(22=$HN41)+(22=$HO41)&gt;=2,50,0))+Y$5*50)</f>
        <v/>
      </c>
      <c r="Z161">
        <f>IF(OR($JF41=0,calcA!$A$6=0),0,IF(OR(23=$HA41,23=$HD41,23=$HG41),200000,MIN(IF($HA41=0,999999,IF(1=$HB41,IF(23=$HJ41,IF($JC41=2,30,0),IF(23=$HK41,IF($JC41=1,30,0),ABS(23-$HC41)*100)),100000+ABS(1-$HB41)*1000+230)),IF($HD41=0,999999,IF(1=$HE41,IF(23=$HL41,IF($JD41=2,30,0),IF(23=$HM41,IF($JD41=1,30,0),ABS(23-$HF41)*100)),100000+ABS(1-$HE41)*1000+230)),IF($HG41=0,999999,IF(1=$HH41,IF(23=$HN41,IF($JE41=2,30,0),IF(23=$HO41,IF($JE41=1,30,0),ABS(23-$HI41)*100)),100000+ABS(1-$HH41)*1000+230)))-IF((23=$HJ41)+(23=$HK41)+(23=$HL41)+(23=$HM41)+(23=$HN41)+(23=$HO41)&gt;=2,50,0))+Z$5*50)</f>
        <v/>
      </c>
      <c r="AA161">
        <f>IF(OR($JF41=0,calcA!$A$6=0),0,IF(OR(24=$HA41,24=$HD41,24=$HG41),200000,MIN(IF($HA41=0,999999,IF(1=$HB41,IF(24=$HJ41,IF($JC41=2,30,0),IF(24=$HK41,IF($JC41=1,30,0),ABS(24-$HC41)*100)),100000+ABS(1-$HB41)*1000+240)),IF($HD41=0,999999,IF(1=$HE41,IF(24=$HL41,IF($JD41=2,30,0),IF(24=$HM41,IF($JD41=1,30,0),ABS(24-$HF41)*100)),100000+ABS(1-$HE41)*1000+240)),IF($HG41=0,999999,IF(1=$HH41,IF(24=$HN41,IF($JE41=2,30,0),IF(24=$HO41,IF($JE41=1,30,0),ABS(24-$HI41)*100)),100000+ABS(1-$HH41)*1000+240)))-IF((24=$HJ41)+(24=$HK41)+(24=$HL41)+(24=$HM41)+(24=$HN41)+(24=$HO41)&gt;=2,50,0))+AA$5*50)</f>
        <v/>
      </c>
      <c r="AB161">
        <f>IF(OR($JF41=0,calcA!$A$6=0),0,IF(OR(25=$HA41,25=$HD41,25=$HG41),200000,MIN(IF($HA41=0,999999,IF(2=$HB41,IF(25=$HJ41,IF($JC41=2,30,0),IF(25=$HK41,IF($JC41=1,30,0),ABS(1-$HC41)*100)),100000+ABS(2-$HB41)*1000+10)),IF($HD41=0,999999,IF(2=$HE41,IF(25=$HL41,IF($JD41=2,30,0),IF(25=$HM41,IF($JD41=1,30,0),ABS(1-$HF41)*100)),100000+ABS(2-$HE41)*1000+10)),IF($HG41=0,999999,IF(2=$HH41,IF(25=$HN41,IF($JE41=2,30,0),IF(25=$HO41,IF($JE41=1,30,0),ABS(1-$HI41)*100)),100000+ABS(2-$HH41)*1000+10)))-IF((25=$HJ41)+(25=$HK41)+(25=$HL41)+(25=$HM41)+(25=$HN41)+(25=$HO41)&gt;=2,50,0))+AB$5*50)</f>
        <v/>
      </c>
      <c r="AC161">
        <f>IF(OR($JF41=0,calcA!$A$6=0),0,IF(OR(26=$HA41,26=$HD41,26=$HG41),200000,MIN(IF($HA41=0,999999,IF(2=$HB41,IF(26=$HJ41,IF($JC41=2,30,0),IF(26=$HK41,IF($JC41=1,30,0),ABS(2-$HC41)*100)),100000+ABS(2-$HB41)*1000+20)),IF($HD41=0,999999,IF(2=$HE41,IF(26=$HL41,IF($JD41=2,30,0),IF(26=$HM41,IF($JD41=1,30,0),ABS(2-$HF41)*100)),100000+ABS(2-$HE41)*1000+20)),IF($HG41=0,999999,IF(2=$HH41,IF(26=$HN41,IF($JE41=2,30,0),IF(26=$HO41,IF($JE41=1,30,0),ABS(2-$HI41)*100)),100000+ABS(2-$HH41)*1000+20)))-IF((26=$HJ41)+(26=$HK41)+(26=$HL41)+(26=$HM41)+(26=$HN41)+(26=$HO41)&gt;=2,50,0))+AC$5*50)</f>
        <v/>
      </c>
      <c r="AD161">
        <f>IF(OR($JF41=0,calcA!$A$6=0),0,IF(OR(27=$HA41,27=$HD41,27=$HG41),200000,MIN(IF($HA41=0,999999,IF(2=$HB41,IF(27=$HJ41,IF($JC41=2,30,0),IF(27=$HK41,IF($JC41=1,30,0),ABS(3-$HC41)*100)),100000+ABS(2-$HB41)*1000+30)),IF($HD41=0,999999,IF(2=$HE41,IF(27=$HL41,IF($JD41=2,30,0),IF(27=$HM41,IF($JD41=1,30,0),ABS(3-$HF41)*100)),100000+ABS(2-$HE41)*1000+30)),IF($HG41=0,999999,IF(2=$HH41,IF(27=$HN41,IF($JE41=2,30,0),IF(27=$HO41,IF($JE41=1,30,0),ABS(3-$HI41)*100)),100000+ABS(2-$HH41)*1000+30)))-IF((27=$HJ41)+(27=$HK41)+(27=$HL41)+(27=$HM41)+(27=$HN41)+(27=$HO41)&gt;=2,50,0))+AD$5*50)</f>
        <v/>
      </c>
      <c r="AE161">
        <f>IF(OR($JF41=0,calcA!$A$6=0),0,IF(OR(28=$HA41,28=$HD41,28=$HG41),200000,MIN(IF($HA41=0,999999,IF(2=$HB41,IF(28=$HJ41,IF($JC41=2,30,0),IF(28=$HK41,IF($JC41=1,30,0),ABS(4-$HC41)*100)),100000+ABS(2-$HB41)*1000+40)),IF($HD41=0,999999,IF(2=$HE41,IF(28=$HL41,IF($JD41=2,30,0),IF(28=$HM41,IF($JD41=1,30,0),ABS(4-$HF41)*100)),100000+ABS(2-$HE41)*1000+40)),IF($HG41=0,999999,IF(2=$HH41,IF(28=$HN41,IF($JE41=2,30,0),IF(28=$HO41,IF($JE41=1,30,0),ABS(4-$HI41)*100)),100000+ABS(2-$HH41)*1000+40)))-IF((28=$HJ41)+(28=$HK41)+(28=$HL41)+(28=$HM41)+(28=$HN41)+(28=$HO41)&gt;=2,50,0))+AE$5*50)</f>
        <v/>
      </c>
      <c r="AF161">
        <f>IF(OR($JF41=0,calcA!$A$6=0),0,IF(OR(29=$HA41,29=$HD41,29=$HG41),200000,MIN(IF($HA41=0,999999,IF(2=$HB41,IF(29=$HJ41,IF($JC41=2,30,0),IF(29=$HK41,IF($JC41=1,30,0),ABS(5-$HC41)*100)),100000+ABS(2-$HB41)*1000+50)),IF($HD41=0,999999,IF(2=$HE41,IF(29=$HL41,IF($JD41=2,30,0),IF(29=$HM41,IF($JD41=1,30,0),ABS(5-$HF41)*100)),100000+ABS(2-$HE41)*1000+50)),IF($HG41=0,999999,IF(2=$HH41,IF(29=$HN41,IF($JE41=2,30,0),IF(29=$HO41,IF($JE41=1,30,0),ABS(5-$HI41)*100)),100000+ABS(2-$HH41)*1000+50)))-IF((29=$HJ41)+(29=$HK41)+(29=$HL41)+(29=$HM41)+(29=$HN41)+(29=$HO41)&gt;=2,50,0))+AF$5*50)</f>
        <v/>
      </c>
      <c r="AG161">
        <f>IF(OR($JF41=0,calcA!$A$6=0),0,IF(OR(30=$HA41,30=$HD41,30=$HG41),200000,MIN(IF($HA41=0,999999,IF(2=$HB41,IF(30=$HJ41,IF($JC41=2,30,0),IF(30=$HK41,IF($JC41=1,30,0),ABS(6-$HC41)*100)),100000+ABS(2-$HB41)*1000+60)),IF($HD41=0,999999,IF(2=$HE41,IF(30=$HL41,IF($JD41=2,30,0),IF(30=$HM41,IF($JD41=1,30,0),ABS(6-$HF41)*100)),100000+ABS(2-$HE41)*1000+60)),IF($HG41=0,999999,IF(2=$HH41,IF(30=$HN41,IF($JE41=2,30,0),IF(30=$HO41,IF($JE41=1,30,0),ABS(6-$HI41)*100)),100000+ABS(2-$HH41)*1000+60)))-IF((30=$HJ41)+(30=$HK41)+(30=$HL41)+(30=$HM41)+(30=$HN41)+(30=$HO41)&gt;=2,50,0))+AG$5*50)</f>
        <v/>
      </c>
      <c r="AH161">
        <f>IF(OR($JF41=0,calcA!$A$6=0),0,IF(OR(31=$HA41,31=$HD41,31=$HG41),200000,MIN(IF($HA41=0,999999,IF(2=$HB41,IF(31=$HJ41,IF($JC41=2,30,0),IF(31=$HK41,IF($JC41=1,30,0),ABS(7-$HC41)*100)),100000+ABS(2-$HB41)*1000+70)),IF($HD41=0,999999,IF(2=$HE41,IF(31=$HL41,IF($JD41=2,30,0),IF(31=$HM41,IF($JD41=1,30,0),ABS(7-$HF41)*100)),100000+ABS(2-$HE41)*1000+70)),IF($HG41=0,999999,IF(2=$HH41,IF(31=$HN41,IF($JE41=2,30,0),IF(31=$HO41,IF($JE41=1,30,0),ABS(7-$HI41)*100)),100000+ABS(2-$HH41)*1000+70)))-IF((31=$HJ41)+(31=$HK41)+(31=$HL41)+(31=$HM41)+(31=$HN41)+(31=$HO41)&gt;=2,50,0))+AH$5*50)</f>
        <v/>
      </c>
      <c r="AI161">
        <f>IF(OR($JF41=0,calcA!$A$6=0),0,IF(OR(32=$HA41,32=$HD41,32=$HG41),200000,MIN(IF($HA41=0,999999,IF(2=$HB41,IF(32=$HJ41,IF($JC41=2,30,0),IF(32=$HK41,IF($JC41=1,30,0),ABS(8-$HC41)*100)),100000+ABS(2-$HB41)*1000+80)),IF($HD41=0,999999,IF(2=$HE41,IF(32=$HL41,IF($JD41=2,30,0),IF(32=$HM41,IF($JD41=1,30,0),ABS(8-$HF41)*100)),100000+ABS(2-$HE41)*1000+80)),IF($HG41=0,999999,IF(2=$HH41,IF(32=$HN41,IF($JE41=2,30,0),IF(32=$HO41,IF($JE41=1,30,0),ABS(8-$HI41)*100)),100000+ABS(2-$HH41)*1000+80)))-IF((32=$HJ41)+(32=$HK41)+(32=$HL41)+(32=$HM41)+(32=$HN41)+(32=$HO41)&gt;=2,50,0))+AI$5*50)</f>
        <v/>
      </c>
      <c r="AJ161">
        <f>IF(OR($JF41=0,calcA!$A$6=0),0,IF(OR(33=$HA41,33=$HD41,33=$HG41),200000,MIN(IF($HA41=0,999999,IF(2=$HB41,IF(33=$HJ41,IF($JC41=2,30,0),IF(33=$HK41,IF($JC41=1,30,0),ABS(9-$HC41)*100)),100000+ABS(2-$HB41)*1000+90)),IF($HD41=0,999999,IF(2=$HE41,IF(33=$HL41,IF($JD41=2,30,0),IF(33=$HM41,IF($JD41=1,30,0),ABS(9-$HF41)*100)),100000+ABS(2-$HE41)*1000+90)),IF($HG41=0,999999,IF(2=$HH41,IF(33=$HN41,IF($JE41=2,30,0),IF(33=$HO41,IF($JE41=1,30,0),ABS(9-$HI41)*100)),100000+ABS(2-$HH41)*1000+90)))-IF((33=$HJ41)+(33=$HK41)+(33=$HL41)+(33=$HM41)+(33=$HN41)+(33=$HO41)&gt;=2,50,0))+AJ$5*50)</f>
        <v/>
      </c>
      <c r="AK161">
        <f>IF(OR($JF41=0,calcA!$A$6=0),0,IF(OR(34=$HA41,34=$HD41,34=$HG41),200000,MIN(IF($HA41=0,999999,IF(2=$HB41,IF(34=$HJ41,IF($JC41=2,30,0),IF(34=$HK41,IF($JC41=1,30,0),ABS(10-$HC41)*100)),100000+ABS(2-$HB41)*1000+100)),IF($HD41=0,999999,IF(2=$HE41,IF(34=$HL41,IF($JD41=2,30,0),IF(34=$HM41,IF($JD41=1,30,0),ABS(10-$HF41)*100)),100000+ABS(2-$HE41)*1000+100)),IF($HG41=0,999999,IF(2=$HH41,IF(34=$HN41,IF($JE41=2,30,0),IF(34=$HO41,IF($JE41=1,30,0),ABS(10-$HI41)*100)),100000+ABS(2-$HH41)*1000+100)))-IF((34=$HJ41)+(34=$HK41)+(34=$HL41)+(34=$HM41)+(34=$HN41)+(34=$HO41)&gt;=2,50,0))+AK$5*50)</f>
        <v/>
      </c>
      <c r="AL161">
        <f>IF(OR($JF41=0,calcA!$A$6=0),0,IF(OR(35=$HA41,35=$HD41,35=$HG41),200000,MIN(IF($HA41=0,999999,IF(2=$HB41,IF(35=$HJ41,IF($JC41=2,30,0),IF(35=$HK41,IF($JC41=1,30,0),ABS(11-$HC41)*100)),100000+ABS(2-$HB41)*1000+110)),IF($HD41=0,999999,IF(2=$HE41,IF(35=$HL41,IF($JD41=2,30,0),IF(35=$HM41,IF($JD41=1,30,0),ABS(11-$HF41)*100)),100000+ABS(2-$HE41)*1000+110)),IF($HG41=0,999999,IF(2=$HH41,IF(35=$HN41,IF($JE41=2,30,0),IF(35=$HO41,IF($JE41=1,30,0),ABS(11-$HI41)*100)),100000+ABS(2-$HH41)*1000+110)))-IF((35=$HJ41)+(35=$HK41)+(35=$HL41)+(35=$HM41)+(35=$HN41)+(35=$HO41)&gt;=2,50,0))+AL$5*50)</f>
        <v/>
      </c>
      <c r="AM161">
        <f>IF(OR($JF41=0,calcA!$A$6=0),0,IF(OR(36=$HA41,36=$HD41,36=$HG41),200000,MIN(IF($HA41=0,999999,IF(2=$HB41,IF(36=$HJ41,IF($JC41=2,30,0),IF(36=$HK41,IF($JC41=1,30,0),ABS(12-$HC41)*100)),100000+ABS(2-$HB41)*1000+120)),IF($HD41=0,999999,IF(2=$HE41,IF(36=$HL41,IF($JD41=2,30,0),IF(36=$HM41,IF($JD41=1,30,0),ABS(12-$HF41)*100)),100000+ABS(2-$HE41)*1000+120)),IF($HG41=0,999999,IF(2=$HH41,IF(36=$HN41,IF($JE41=2,30,0),IF(36=$HO41,IF($JE41=1,30,0),ABS(12-$HI41)*100)),100000+ABS(2-$HH41)*1000+120)))-IF((36=$HJ41)+(36=$HK41)+(36=$HL41)+(36=$HM41)+(36=$HN41)+(36=$HO41)&gt;=2,50,0))+AM$5*50)</f>
        <v/>
      </c>
      <c r="AN161">
        <f>IF(OR($JF41=0,calcA!$A$6=0),0,IF(OR(37=$HA41,37=$HD41,37=$HG41),200000,MIN(IF($HA41=0,999999,IF(2=$HB41,IF(37=$HJ41,IF($JC41=2,30,0),IF(37=$HK41,IF($JC41=1,30,0),ABS(13-$HC41)*100)),100000+ABS(2-$HB41)*1000+130)),IF($HD41=0,999999,IF(2=$HE41,IF(37=$HL41,IF($JD41=2,30,0),IF(37=$HM41,IF($JD41=1,30,0),ABS(13-$HF41)*100)),100000+ABS(2-$HE41)*1000+130)),IF($HG41=0,999999,IF(2=$HH41,IF(37=$HN41,IF($JE41=2,30,0),IF(37=$HO41,IF($JE41=1,30,0),ABS(13-$HI41)*100)),100000+ABS(2-$HH41)*1000+130)))-IF((37=$HJ41)+(37=$HK41)+(37=$HL41)+(37=$HM41)+(37=$HN41)+(37=$HO41)&gt;=2,50,0))+AN$5*50)</f>
        <v/>
      </c>
      <c r="AO161">
        <f>IF(OR($JF41=0,calcA!$A$6=0),0,IF(OR(38=$HA41,38=$HD41,38=$HG41),200000,MIN(IF($HA41=0,999999,IF(2=$HB41,IF(38=$HJ41,IF($JC41=2,30,0),IF(38=$HK41,IF($JC41=1,30,0),ABS(14-$HC41)*100)),100000+ABS(2-$HB41)*1000+140)),IF($HD41=0,999999,IF(2=$HE41,IF(38=$HL41,IF($JD41=2,30,0),IF(38=$HM41,IF($JD41=1,30,0),ABS(14-$HF41)*100)),100000+ABS(2-$HE41)*1000+140)),IF($HG41=0,999999,IF(2=$HH41,IF(38=$HN41,IF($JE41=2,30,0),IF(38=$HO41,IF($JE41=1,30,0),ABS(14-$HI41)*100)),100000+ABS(2-$HH41)*1000+140)))-IF((38=$HJ41)+(38=$HK41)+(38=$HL41)+(38=$HM41)+(38=$HN41)+(38=$HO41)&gt;=2,50,0))+AO$5*50)</f>
        <v/>
      </c>
      <c r="AP161">
        <f>IF(OR($JF41=0,calcA!$A$6=0),0,IF(OR(39=$HA41,39=$HD41,39=$HG41),200000,MIN(IF($HA41=0,999999,IF(2=$HB41,IF(39=$HJ41,IF($JC41=2,30,0),IF(39=$HK41,IF($JC41=1,30,0),ABS(15-$HC41)*100)),100000+ABS(2-$HB41)*1000+150)),IF($HD41=0,999999,IF(2=$HE41,IF(39=$HL41,IF($JD41=2,30,0),IF(39=$HM41,IF($JD41=1,30,0),ABS(15-$HF41)*100)),100000+ABS(2-$HE41)*1000+150)),IF($HG41=0,999999,IF(2=$HH41,IF(39=$HN41,IF($JE41=2,30,0),IF(39=$HO41,IF($JE41=1,30,0),ABS(15-$HI41)*100)),100000+ABS(2-$HH41)*1000+150)))-IF((39=$HJ41)+(39=$HK41)+(39=$HL41)+(39=$HM41)+(39=$HN41)+(39=$HO41)&gt;=2,50,0))+AP$5*50)</f>
        <v/>
      </c>
      <c r="AQ161">
        <f>IF(OR($JF41=0,calcA!$A$6=0),0,IF(OR(40=$HA41,40=$HD41,40=$HG41),200000,MIN(IF($HA41=0,999999,IF(2=$HB41,IF(40=$HJ41,IF($JC41=2,30,0),IF(40=$HK41,IF($JC41=1,30,0),ABS(16-$HC41)*100)),100000+ABS(2-$HB41)*1000+160)),IF($HD41=0,999999,IF(2=$HE41,IF(40=$HL41,IF($JD41=2,30,0),IF(40=$HM41,IF($JD41=1,30,0),ABS(16-$HF41)*100)),100000+ABS(2-$HE41)*1000+160)),IF($HG41=0,999999,IF(2=$HH41,IF(40=$HN41,IF($JE41=2,30,0),IF(40=$HO41,IF($JE41=1,30,0),ABS(16-$HI41)*100)),100000+ABS(2-$HH41)*1000+160)))-IF((40=$HJ41)+(40=$HK41)+(40=$HL41)+(40=$HM41)+(40=$HN41)+(40=$HO41)&gt;=2,50,0))+AQ$5*50)</f>
        <v/>
      </c>
      <c r="AR161">
        <f>IF(OR($JF41=0,calcA!$A$6=0),0,IF(OR(41=$HA41,41=$HD41,41=$HG41),200000,MIN(IF($HA41=0,999999,IF(2=$HB41,IF(41=$HJ41,IF($JC41=2,30,0),IF(41=$HK41,IF($JC41=1,30,0),ABS(17-$HC41)*100)),100000+ABS(2-$HB41)*1000+170)),IF($HD41=0,999999,IF(2=$HE41,IF(41=$HL41,IF($JD41=2,30,0),IF(41=$HM41,IF($JD41=1,30,0),ABS(17-$HF41)*100)),100000+ABS(2-$HE41)*1000+170)),IF($HG41=0,999999,IF(2=$HH41,IF(41=$HN41,IF($JE41=2,30,0),IF(41=$HO41,IF($JE41=1,30,0),ABS(17-$HI41)*100)),100000+ABS(2-$HH41)*1000+170)))-IF((41=$HJ41)+(41=$HK41)+(41=$HL41)+(41=$HM41)+(41=$HN41)+(41=$HO41)&gt;=2,50,0))+AR$5*50)</f>
        <v/>
      </c>
      <c r="AS161">
        <f>IF(OR($JF41=0,calcA!$A$6=0),0,IF(OR(42=$HA41,42=$HD41,42=$HG41),200000,MIN(IF($HA41=0,999999,IF(2=$HB41,IF(42=$HJ41,IF($JC41=2,30,0),IF(42=$HK41,IF($JC41=1,30,0),ABS(18-$HC41)*100)),100000+ABS(2-$HB41)*1000+180)),IF($HD41=0,999999,IF(2=$HE41,IF(42=$HL41,IF($JD41=2,30,0),IF(42=$HM41,IF($JD41=1,30,0),ABS(18-$HF41)*100)),100000+ABS(2-$HE41)*1000+180)),IF($HG41=0,999999,IF(2=$HH41,IF(42=$HN41,IF($JE41=2,30,0),IF(42=$HO41,IF($JE41=1,30,0),ABS(18-$HI41)*100)),100000+ABS(2-$HH41)*1000+180)))-IF((42=$HJ41)+(42=$HK41)+(42=$HL41)+(42=$HM41)+(42=$HN41)+(42=$HO41)&gt;=2,50,0))+AS$5*50)</f>
        <v/>
      </c>
      <c r="AT161">
        <f>IF(OR($JF41=0,calcA!$A$6=0),0,IF(OR(43=$HA41,43=$HD41,43=$HG41),200000,MIN(IF($HA41=0,999999,IF(2=$HB41,IF(43=$HJ41,IF($JC41=2,30,0),IF(43=$HK41,IF($JC41=1,30,0),ABS(19-$HC41)*100)),100000+ABS(2-$HB41)*1000+190)),IF($HD41=0,999999,IF(2=$HE41,IF(43=$HL41,IF($JD41=2,30,0),IF(43=$HM41,IF($JD41=1,30,0),ABS(19-$HF41)*100)),100000+ABS(2-$HE41)*1000+190)),IF($HG41=0,999999,IF(2=$HH41,IF(43=$HN41,IF($JE41=2,30,0),IF(43=$HO41,IF($JE41=1,30,0),ABS(19-$HI41)*100)),100000+ABS(2-$HH41)*1000+190)))-IF((43=$HJ41)+(43=$HK41)+(43=$HL41)+(43=$HM41)+(43=$HN41)+(43=$HO41)&gt;=2,50,0))+AT$5*50)</f>
        <v/>
      </c>
      <c r="AU161">
        <f>IF(OR($JF41=0,calcA!$A$6=0),0,IF(OR(44=$HA41,44=$HD41,44=$HG41),200000,MIN(IF($HA41=0,999999,IF(2=$HB41,IF(44=$HJ41,IF($JC41=2,30,0),IF(44=$HK41,IF($JC41=1,30,0),ABS(20-$HC41)*100)),100000+ABS(2-$HB41)*1000+200)),IF($HD41=0,999999,IF(2=$HE41,IF(44=$HL41,IF($JD41=2,30,0),IF(44=$HM41,IF($JD41=1,30,0),ABS(20-$HF41)*100)),100000+ABS(2-$HE41)*1000+200)),IF($HG41=0,999999,IF(2=$HH41,IF(44=$HN41,IF($JE41=2,30,0),IF(44=$HO41,IF($JE41=1,30,0),ABS(20-$HI41)*100)),100000+ABS(2-$HH41)*1000+200)))-IF((44=$HJ41)+(44=$HK41)+(44=$HL41)+(44=$HM41)+(44=$HN41)+(44=$HO41)&gt;=2,50,0))+AU$5*50)</f>
        <v/>
      </c>
      <c r="AV161">
        <f>IF(OR($JF41=0,calcA!$A$6=0),0,IF(OR(45=$HA41,45=$HD41,45=$HG41),200000,MIN(IF($HA41=0,999999,IF(2=$HB41,IF(45=$HJ41,IF($JC41=2,30,0),IF(45=$HK41,IF($JC41=1,30,0),ABS(21-$HC41)*100)),100000+ABS(2-$HB41)*1000+210)),IF($HD41=0,999999,IF(2=$HE41,IF(45=$HL41,IF($JD41=2,30,0),IF(45=$HM41,IF($JD41=1,30,0),ABS(21-$HF41)*100)),100000+ABS(2-$HE41)*1000+210)),IF($HG41=0,999999,IF(2=$HH41,IF(45=$HN41,IF($JE41=2,30,0),IF(45=$HO41,IF($JE41=1,30,0),ABS(21-$HI41)*100)),100000+ABS(2-$HH41)*1000+210)))-IF((45=$HJ41)+(45=$HK41)+(45=$HL41)+(45=$HM41)+(45=$HN41)+(45=$HO41)&gt;=2,50,0))+AV$5*50)</f>
        <v/>
      </c>
      <c r="AW161">
        <f>IF(OR($JF41=0,calcA!$A$6=0),0,IF(OR(46=$HA41,46=$HD41,46=$HG41),200000,MIN(IF($HA41=0,999999,IF(2=$HB41,IF(46=$HJ41,IF($JC41=2,30,0),IF(46=$HK41,IF($JC41=1,30,0),ABS(22-$HC41)*100)),100000+ABS(2-$HB41)*1000+220)),IF($HD41=0,999999,IF(2=$HE41,IF(46=$HL41,IF($JD41=2,30,0),IF(46=$HM41,IF($JD41=1,30,0),ABS(22-$HF41)*100)),100000+ABS(2-$HE41)*1000+220)),IF($HG41=0,999999,IF(2=$HH41,IF(46=$HN41,IF($JE41=2,30,0),IF(46=$HO41,IF($JE41=1,30,0),ABS(22-$HI41)*100)),100000+ABS(2-$HH41)*1000+220)))-IF((46=$HJ41)+(46=$HK41)+(46=$HL41)+(46=$HM41)+(46=$HN41)+(46=$HO41)&gt;=2,50,0))+AW$5*50)</f>
        <v/>
      </c>
      <c r="AX161">
        <f>IF(OR($JF41=0,calcA!$A$6=0),0,IF(OR(47=$HA41,47=$HD41,47=$HG41),200000,MIN(IF($HA41=0,999999,IF(2=$HB41,IF(47=$HJ41,IF($JC41=2,30,0),IF(47=$HK41,IF($JC41=1,30,0),ABS(23-$HC41)*100)),100000+ABS(2-$HB41)*1000+230)),IF($HD41=0,999999,IF(2=$HE41,IF(47=$HL41,IF($JD41=2,30,0),IF(47=$HM41,IF($JD41=1,30,0),ABS(23-$HF41)*100)),100000+ABS(2-$HE41)*1000+230)),IF($HG41=0,999999,IF(2=$HH41,IF(47=$HN41,IF($JE41=2,30,0),IF(47=$HO41,IF($JE41=1,30,0),ABS(23-$HI41)*100)),100000+ABS(2-$HH41)*1000+230)))-IF((47=$HJ41)+(47=$HK41)+(47=$HL41)+(47=$HM41)+(47=$HN41)+(47=$HO41)&gt;=2,50,0))+AX$5*50)</f>
        <v/>
      </c>
      <c r="AY161">
        <f>IF(OR($JF41=0,calcA!$A$6=0),0,IF(OR(48=$HA41,48=$HD41,48=$HG41),200000,MIN(IF($HA41=0,999999,IF(2=$HB41,IF(48=$HJ41,IF($JC41=2,30,0),IF(48=$HK41,IF($JC41=1,30,0),ABS(24-$HC41)*100)),100000+ABS(2-$HB41)*1000+240)),IF($HD41=0,999999,IF(2=$HE41,IF(48=$HL41,IF($JD41=2,30,0),IF(48=$HM41,IF($JD41=1,30,0),ABS(24-$HF41)*100)),100000+ABS(2-$HE41)*1000+240)),IF($HG41=0,999999,IF(2=$HH41,IF(48=$HN41,IF($JE41=2,30,0),IF(48=$HO41,IF($JE41=1,30,0),ABS(24-$HI41)*100)),100000+ABS(2-$HH41)*1000+240)))-IF((48=$HJ41)+(48=$HK41)+(48=$HL41)+(48=$HM41)+(48=$HN41)+(48=$HO41)&gt;=2,50,0))+AY$5*50)</f>
        <v/>
      </c>
      <c r="AZ161">
        <f>IF(OR($JF41=0,calcA!$A$6=0),0,IF(OR(49=$HA41,49=$HD41,49=$HG41),200000,MIN(IF($HA41=0,999999,IF(3=$HB41,IF(49=$HJ41,IF($JC41=2,30,0),IF(49=$HK41,IF($JC41=1,30,0),ABS(1-$HC41)*100)),100000+ABS(3-$HB41)*1000+10)),IF($HD41=0,999999,IF(3=$HE41,IF(49=$HL41,IF($JD41=2,30,0),IF(49=$HM41,IF($JD41=1,30,0),ABS(1-$HF41)*100)),100000+ABS(3-$HE41)*1000+10)),IF($HG41=0,999999,IF(3=$HH41,IF(49=$HN41,IF($JE41=2,30,0),IF(49=$HO41,IF($JE41=1,30,0),ABS(1-$HI41)*100)),100000+ABS(3-$HH41)*1000+10)))-IF((49=$HJ41)+(49=$HK41)+(49=$HL41)+(49=$HM41)+(49=$HN41)+(49=$HO41)&gt;=2,50,0))+AZ$5*50)</f>
        <v/>
      </c>
      <c r="BA161">
        <f>IF(OR($JF41=0,calcA!$A$6=0),0,IF(OR(50=$HA41,50=$HD41,50=$HG41),200000,MIN(IF($HA41=0,999999,IF(3=$HB41,IF(50=$HJ41,IF($JC41=2,30,0),IF(50=$HK41,IF($JC41=1,30,0),ABS(2-$HC41)*100)),100000+ABS(3-$HB41)*1000+20)),IF($HD41=0,999999,IF(3=$HE41,IF(50=$HL41,IF($JD41=2,30,0),IF(50=$HM41,IF($JD41=1,30,0),ABS(2-$HF41)*100)),100000+ABS(3-$HE41)*1000+20)),IF($HG41=0,999999,IF(3=$HH41,IF(50=$HN41,IF($JE41=2,30,0),IF(50=$HO41,IF($JE41=1,30,0),ABS(2-$HI41)*100)),100000+ABS(3-$HH41)*1000+20)))-IF((50=$HJ41)+(50=$HK41)+(50=$HL41)+(50=$HM41)+(50=$HN41)+(50=$HO41)&gt;=2,50,0))+BA$5*50)</f>
        <v/>
      </c>
      <c r="BB161">
        <f>IF(OR($JF41=0,calcA!$A$6=0),0,IF(OR(51=$HA41,51=$HD41,51=$HG41),200000,MIN(IF($HA41=0,999999,IF(3=$HB41,IF(51=$HJ41,IF($JC41=2,30,0),IF(51=$HK41,IF($JC41=1,30,0),ABS(3-$HC41)*100)),100000+ABS(3-$HB41)*1000+30)),IF($HD41=0,999999,IF(3=$HE41,IF(51=$HL41,IF($JD41=2,30,0),IF(51=$HM41,IF($JD41=1,30,0),ABS(3-$HF41)*100)),100000+ABS(3-$HE41)*1000+30)),IF($HG41=0,999999,IF(3=$HH41,IF(51=$HN41,IF($JE41=2,30,0),IF(51=$HO41,IF($JE41=1,30,0),ABS(3-$HI41)*100)),100000+ABS(3-$HH41)*1000+30)))-IF((51=$HJ41)+(51=$HK41)+(51=$HL41)+(51=$HM41)+(51=$HN41)+(51=$HO41)&gt;=2,50,0))+BB$5*50)</f>
        <v/>
      </c>
      <c r="BC161">
        <f>IF(OR($JF41=0,calcA!$A$6=0),0,IF(OR(52=$HA41,52=$HD41,52=$HG41),200000,MIN(IF($HA41=0,999999,IF(3=$HB41,IF(52=$HJ41,IF($JC41=2,30,0),IF(52=$HK41,IF($JC41=1,30,0),ABS(4-$HC41)*100)),100000+ABS(3-$HB41)*1000+40)),IF($HD41=0,999999,IF(3=$HE41,IF(52=$HL41,IF($JD41=2,30,0),IF(52=$HM41,IF($JD41=1,30,0),ABS(4-$HF41)*100)),100000+ABS(3-$HE41)*1000+40)),IF($HG41=0,999999,IF(3=$HH41,IF(52=$HN41,IF($JE41=2,30,0),IF(52=$HO41,IF($JE41=1,30,0),ABS(4-$HI41)*100)),100000+ABS(3-$HH41)*1000+40)))-IF((52=$HJ41)+(52=$HK41)+(52=$HL41)+(52=$HM41)+(52=$HN41)+(52=$HO41)&gt;=2,50,0))+BC$5*50)</f>
        <v/>
      </c>
      <c r="BD161">
        <f>IF(OR($JF41=0,calcA!$A$6=0),0,IF(OR(53=$HA41,53=$HD41,53=$HG41),200000,MIN(IF($HA41=0,999999,IF(3=$HB41,IF(53=$HJ41,IF($JC41=2,30,0),IF(53=$HK41,IF($JC41=1,30,0),ABS(5-$HC41)*100)),100000+ABS(3-$HB41)*1000+50)),IF($HD41=0,999999,IF(3=$HE41,IF(53=$HL41,IF($JD41=2,30,0),IF(53=$HM41,IF($JD41=1,30,0),ABS(5-$HF41)*100)),100000+ABS(3-$HE41)*1000+50)),IF($HG41=0,999999,IF(3=$HH41,IF(53=$HN41,IF($JE41=2,30,0),IF(53=$HO41,IF($JE41=1,30,0),ABS(5-$HI41)*100)),100000+ABS(3-$HH41)*1000+50)))-IF((53=$HJ41)+(53=$HK41)+(53=$HL41)+(53=$HM41)+(53=$HN41)+(53=$HO41)&gt;=2,50,0))+BD$5*50)</f>
        <v/>
      </c>
      <c r="BE161">
        <f>IF(OR($JF41=0,calcA!$A$6=0),0,IF(OR(54=$HA41,54=$HD41,54=$HG41),200000,MIN(IF($HA41=0,999999,IF(3=$HB41,IF(54=$HJ41,IF($JC41=2,30,0),IF(54=$HK41,IF($JC41=1,30,0),ABS(6-$HC41)*100)),100000+ABS(3-$HB41)*1000+60)),IF($HD41=0,999999,IF(3=$HE41,IF(54=$HL41,IF($JD41=2,30,0),IF(54=$HM41,IF($JD41=1,30,0),ABS(6-$HF41)*100)),100000+ABS(3-$HE41)*1000+60)),IF($HG41=0,999999,IF(3=$HH41,IF(54=$HN41,IF($JE41=2,30,0),IF(54=$HO41,IF($JE41=1,30,0),ABS(6-$HI41)*100)),100000+ABS(3-$HH41)*1000+60)))-IF((54=$HJ41)+(54=$HK41)+(54=$HL41)+(54=$HM41)+(54=$HN41)+(54=$HO41)&gt;=2,50,0))+BE$5*50)</f>
        <v/>
      </c>
      <c r="BF161">
        <f>IF(OR($JF41=0,calcA!$A$6=0),0,IF(OR(55=$HA41,55=$HD41,55=$HG41),200000,MIN(IF($HA41=0,999999,IF(3=$HB41,IF(55=$HJ41,IF($JC41=2,30,0),IF(55=$HK41,IF($JC41=1,30,0),ABS(7-$HC41)*100)),100000+ABS(3-$HB41)*1000+70)),IF($HD41=0,999999,IF(3=$HE41,IF(55=$HL41,IF($JD41=2,30,0),IF(55=$HM41,IF($JD41=1,30,0),ABS(7-$HF41)*100)),100000+ABS(3-$HE41)*1000+70)),IF($HG41=0,999999,IF(3=$HH41,IF(55=$HN41,IF($JE41=2,30,0),IF(55=$HO41,IF($JE41=1,30,0),ABS(7-$HI41)*100)),100000+ABS(3-$HH41)*1000+70)))-IF((55=$HJ41)+(55=$HK41)+(55=$HL41)+(55=$HM41)+(55=$HN41)+(55=$HO41)&gt;=2,50,0))+BF$5*50)</f>
        <v/>
      </c>
      <c r="BG161">
        <f>IF(OR($JF41=0,calcA!$A$6=0),0,IF(OR(56=$HA41,56=$HD41,56=$HG41),200000,MIN(IF($HA41=0,999999,IF(3=$HB41,IF(56=$HJ41,IF($JC41=2,30,0),IF(56=$HK41,IF($JC41=1,30,0),ABS(8-$HC41)*100)),100000+ABS(3-$HB41)*1000+80)),IF($HD41=0,999999,IF(3=$HE41,IF(56=$HL41,IF($JD41=2,30,0),IF(56=$HM41,IF($JD41=1,30,0),ABS(8-$HF41)*100)),100000+ABS(3-$HE41)*1000+80)),IF($HG41=0,999999,IF(3=$HH41,IF(56=$HN41,IF($JE41=2,30,0),IF(56=$HO41,IF($JE41=1,30,0),ABS(8-$HI41)*100)),100000+ABS(3-$HH41)*1000+80)))-IF((56=$HJ41)+(56=$HK41)+(56=$HL41)+(56=$HM41)+(56=$HN41)+(56=$HO41)&gt;=2,50,0))+BG$5*50)</f>
        <v/>
      </c>
      <c r="BH161">
        <f>IF(OR($JF41=0,calcA!$A$6=0),0,IF(OR(57=$HA41,57=$HD41,57=$HG41),200000,MIN(IF($HA41=0,999999,IF(3=$HB41,IF(57=$HJ41,IF($JC41=2,30,0),IF(57=$HK41,IF($JC41=1,30,0),ABS(9-$HC41)*100)),100000+ABS(3-$HB41)*1000+90)),IF($HD41=0,999999,IF(3=$HE41,IF(57=$HL41,IF($JD41=2,30,0),IF(57=$HM41,IF($JD41=1,30,0),ABS(9-$HF41)*100)),100000+ABS(3-$HE41)*1000+90)),IF($HG41=0,999999,IF(3=$HH41,IF(57=$HN41,IF($JE41=2,30,0),IF(57=$HO41,IF($JE41=1,30,0),ABS(9-$HI41)*100)),100000+ABS(3-$HH41)*1000+90)))-IF((57=$HJ41)+(57=$HK41)+(57=$HL41)+(57=$HM41)+(57=$HN41)+(57=$HO41)&gt;=2,50,0))+BH$5*50)</f>
        <v/>
      </c>
      <c r="BI161">
        <f>IF(OR($JF41=0,calcA!$A$6=0),0,IF(OR(58=$HA41,58=$HD41,58=$HG41),200000,MIN(IF($HA41=0,999999,IF(3=$HB41,IF(58=$HJ41,IF($JC41=2,30,0),IF(58=$HK41,IF($JC41=1,30,0),ABS(10-$HC41)*100)),100000+ABS(3-$HB41)*1000+100)),IF($HD41=0,999999,IF(3=$HE41,IF(58=$HL41,IF($JD41=2,30,0),IF(58=$HM41,IF($JD41=1,30,0),ABS(10-$HF41)*100)),100000+ABS(3-$HE41)*1000+100)),IF($HG41=0,999999,IF(3=$HH41,IF(58=$HN41,IF($JE41=2,30,0),IF(58=$HO41,IF($JE41=1,30,0),ABS(10-$HI41)*100)),100000+ABS(3-$HH41)*1000+100)))-IF((58=$HJ41)+(58=$HK41)+(58=$HL41)+(58=$HM41)+(58=$HN41)+(58=$HO41)&gt;=2,50,0))+BI$5*50)</f>
        <v/>
      </c>
      <c r="BJ161">
        <f>IF(OR($JF41=0,calcA!$A$6=0),0,IF(OR(59=$HA41,59=$HD41,59=$HG41),200000,MIN(IF($HA41=0,999999,IF(3=$HB41,IF(59=$HJ41,IF($JC41=2,30,0),IF(59=$HK41,IF($JC41=1,30,0),ABS(11-$HC41)*100)),100000+ABS(3-$HB41)*1000+110)),IF($HD41=0,999999,IF(3=$HE41,IF(59=$HL41,IF($JD41=2,30,0),IF(59=$HM41,IF($JD41=1,30,0),ABS(11-$HF41)*100)),100000+ABS(3-$HE41)*1000+110)),IF($HG41=0,999999,IF(3=$HH41,IF(59=$HN41,IF($JE41=2,30,0),IF(59=$HO41,IF($JE41=1,30,0),ABS(11-$HI41)*100)),100000+ABS(3-$HH41)*1000+110)))-IF((59=$HJ41)+(59=$HK41)+(59=$HL41)+(59=$HM41)+(59=$HN41)+(59=$HO41)&gt;=2,50,0))+BJ$5*50)</f>
        <v/>
      </c>
      <c r="BK161">
        <f>IF(OR($JF41=0,calcA!$A$6=0),0,IF(OR(60=$HA41,60=$HD41,60=$HG41),200000,MIN(IF($HA41=0,999999,IF(3=$HB41,IF(60=$HJ41,IF($JC41=2,30,0),IF(60=$HK41,IF($JC41=1,30,0),ABS(12-$HC41)*100)),100000+ABS(3-$HB41)*1000+120)),IF($HD41=0,999999,IF(3=$HE41,IF(60=$HL41,IF($JD41=2,30,0),IF(60=$HM41,IF($JD41=1,30,0),ABS(12-$HF41)*100)),100000+ABS(3-$HE41)*1000+120)),IF($HG41=0,999999,IF(3=$HH41,IF(60=$HN41,IF($JE41=2,30,0),IF(60=$HO41,IF($JE41=1,30,0),ABS(12-$HI41)*100)),100000+ABS(3-$HH41)*1000+120)))-IF((60=$HJ41)+(60=$HK41)+(60=$HL41)+(60=$HM41)+(60=$HN41)+(60=$HO41)&gt;=2,50,0))+BK$5*50)</f>
        <v/>
      </c>
      <c r="BL161">
        <f>IF(OR($JF41=0,calcA!$A$6=0),0,IF(OR(61=$HA41,61=$HD41,61=$HG41),200000,MIN(IF($HA41=0,999999,IF(3=$HB41,IF(61=$HJ41,IF($JC41=2,30,0),IF(61=$HK41,IF($JC41=1,30,0),ABS(13-$HC41)*100)),100000+ABS(3-$HB41)*1000+130)),IF($HD41=0,999999,IF(3=$HE41,IF(61=$HL41,IF($JD41=2,30,0),IF(61=$HM41,IF($JD41=1,30,0),ABS(13-$HF41)*100)),100000+ABS(3-$HE41)*1000+130)),IF($HG41=0,999999,IF(3=$HH41,IF(61=$HN41,IF($JE41=2,30,0),IF(61=$HO41,IF($JE41=1,30,0),ABS(13-$HI41)*100)),100000+ABS(3-$HH41)*1000+130)))-IF((61=$HJ41)+(61=$HK41)+(61=$HL41)+(61=$HM41)+(61=$HN41)+(61=$HO41)&gt;=2,50,0))+BL$5*50)</f>
        <v/>
      </c>
      <c r="BM161">
        <f>IF(OR($JF41=0,calcA!$A$6=0),0,IF(OR(62=$HA41,62=$HD41,62=$HG41),200000,MIN(IF($HA41=0,999999,IF(3=$HB41,IF(62=$HJ41,IF($JC41=2,30,0),IF(62=$HK41,IF($JC41=1,30,0),ABS(14-$HC41)*100)),100000+ABS(3-$HB41)*1000+140)),IF($HD41=0,999999,IF(3=$HE41,IF(62=$HL41,IF($JD41=2,30,0),IF(62=$HM41,IF($JD41=1,30,0),ABS(14-$HF41)*100)),100000+ABS(3-$HE41)*1000+140)),IF($HG41=0,999999,IF(3=$HH41,IF(62=$HN41,IF($JE41=2,30,0),IF(62=$HO41,IF($JE41=1,30,0),ABS(14-$HI41)*100)),100000+ABS(3-$HH41)*1000+140)))-IF((62=$HJ41)+(62=$HK41)+(62=$HL41)+(62=$HM41)+(62=$HN41)+(62=$HO41)&gt;=2,50,0))+BM$5*50)</f>
        <v/>
      </c>
      <c r="BN161">
        <f>IF(OR($JF41=0,calcA!$A$6=0),0,IF(OR(63=$HA41,63=$HD41,63=$HG41),200000,MIN(IF($HA41=0,999999,IF(3=$HB41,IF(63=$HJ41,IF($JC41=2,30,0),IF(63=$HK41,IF($JC41=1,30,0),ABS(15-$HC41)*100)),100000+ABS(3-$HB41)*1000+150)),IF($HD41=0,999999,IF(3=$HE41,IF(63=$HL41,IF($JD41=2,30,0),IF(63=$HM41,IF($JD41=1,30,0),ABS(15-$HF41)*100)),100000+ABS(3-$HE41)*1000+150)),IF($HG41=0,999999,IF(3=$HH41,IF(63=$HN41,IF($JE41=2,30,0),IF(63=$HO41,IF($JE41=1,30,0),ABS(15-$HI41)*100)),100000+ABS(3-$HH41)*1000+150)))-IF((63=$HJ41)+(63=$HK41)+(63=$HL41)+(63=$HM41)+(63=$HN41)+(63=$HO41)&gt;=2,50,0))+BN$5*50)</f>
        <v/>
      </c>
      <c r="BO161">
        <f>IF(OR($JF41=0,calcA!$A$6=0),0,IF(OR(64=$HA41,64=$HD41,64=$HG41),200000,MIN(IF($HA41=0,999999,IF(3=$HB41,IF(64=$HJ41,IF($JC41=2,30,0),IF(64=$HK41,IF($JC41=1,30,0),ABS(16-$HC41)*100)),100000+ABS(3-$HB41)*1000+160)),IF($HD41=0,999999,IF(3=$HE41,IF(64=$HL41,IF($JD41=2,30,0),IF(64=$HM41,IF($JD41=1,30,0),ABS(16-$HF41)*100)),100000+ABS(3-$HE41)*1000+160)),IF($HG41=0,999999,IF(3=$HH41,IF(64=$HN41,IF($JE41=2,30,0),IF(64=$HO41,IF($JE41=1,30,0),ABS(16-$HI41)*100)),100000+ABS(3-$HH41)*1000+160)))-IF((64=$HJ41)+(64=$HK41)+(64=$HL41)+(64=$HM41)+(64=$HN41)+(64=$HO41)&gt;=2,50,0))+BO$5*50)</f>
        <v/>
      </c>
      <c r="BP161">
        <f>IF(OR($JF41=0,calcA!$A$6=0),0,IF(OR(65=$HA41,65=$HD41,65=$HG41),200000,MIN(IF($HA41=0,999999,IF(3=$HB41,IF(65=$HJ41,IF($JC41=2,30,0),IF(65=$HK41,IF($JC41=1,30,0),ABS(17-$HC41)*100)),100000+ABS(3-$HB41)*1000+170)),IF($HD41=0,999999,IF(3=$HE41,IF(65=$HL41,IF($JD41=2,30,0),IF(65=$HM41,IF($JD41=1,30,0),ABS(17-$HF41)*100)),100000+ABS(3-$HE41)*1000+170)),IF($HG41=0,999999,IF(3=$HH41,IF(65=$HN41,IF($JE41=2,30,0),IF(65=$HO41,IF($JE41=1,30,0),ABS(17-$HI41)*100)),100000+ABS(3-$HH41)*1000+170)))-IF((65=$HJ41)+(65=$HK41)+(65=$HL41)+(65=$HM41)+(65=$HN41)+(65=$HO41)&gt;=2,50,0))+BP$5*50)</f>
        <v/>
      </c>
      <c r="BQ161">
        <f>IF(OR($JF41=0,calcA!$A$6=0),0,IF(OR(66=$HA41,66=$HD41,66=$HG41),200000,MIN(IF($HA41=0,999999,IF(3=$HB41,IF(66=$HJ41,IF($JC41=2,30,0),IF(66=$HK41,IF($JC41=1,30,0),ABS(18-$HC41)*100)),100000+ABS(3-$HB41)*1000+180)),IF($HD41=0,999999,IF(3=$HE41,IF(66=$HL41,IF($JD41=2,30,0),IF(66=$HM41,IF($JD41=1,30,0),ABS(18-$HF41)*100)),100000+ABS(3-$HE41)*1000+180)),IF($HG41=0,999999,IF(3=$HH41,IF(66=$HN41,IF($JE41=2,30,0),IF(66=$HO41,IF($JE41=1,30,0),ABS(18-$HI41)*100)),100000+ABS(3-$HH41)*1000+180)))-IF((66=$HJ41)+(66=$HK41)+(66=$HL41)+(66=$HM41)+(66=$HN41)+(66=$HO41)&gt;=2,50,0))+BQ$5*50)</f>
        <v/>
      </c>
      <c r="BR161">
        <f>IF(OR($JF41=0,calcA!$A$6=0),0,IF(OR(67=$HA41,67=$HD41,67=$HG41),200000,MIN(IF($HA41=0,999999,IF(3=$HB41,IF(67=$HJ41,IF($JC41=2,30,0),IF(67=$HK41,IF($JC41=1,30,0),ABS(19-$HC41)*100)),100000+ABS(3-$HB41)*1000+190)),IF($HD41=0,999999,IF(3=$HE41,IF(67=$HL41,IF($JD41=2,30,0),IF(67=$HM41,IF($JD41=1,30,0),ABS(19-$HF41)*100)),100000+ABS(3-$HE41)*1000+190)),IF($HG41=0,999999,IF(3=$HH41,IF(67=$HN41,IF($JE41=2,30,0),IF(67=$HO41,IF($JE41=1,30,0),ABS(19-$HI41)*100)),100000+ABS(3-$HH41)*1000+190)))-IF((67=$HJ41)+(67=$HK41)+(67=$HL41)+(67=$HM41)+(67=$HN41)+(67=$HO41)&gt;=2,50,0))+BR$5*50)</f>
        <v/>
      </c>
      <c r="BS161">
        <f>IF(OR($JF41=0,calcA!$A$6=0),0,IF(OR(68=$HA41,68=$HD41,68=$HG41),200000,MIN(IF($HA41=0,999999,IF(3=$HB41,IF(68=$HJ41,IF($JC41=2,30,0),IF(68=$HK41,IF($JC41=1,30,0),ABS(20-$HC41)*100)),100000+ABS(3-$HB41)*1000+200)),IF($HD41=0,999999,IF(3=$HE41,IF(68=$HL41,IF($JD41=2,30,0),IF(68=$HM41,IF($JD41=1,30,0),ABS(20-$HF41)*100)),100000+ABS(3-$HE41)*1000+200)),IF($HG41=0,999999,IF(3=$HH41,IF(68=$HN41,IF($JE41=2,30,0),IF(68=$HO41,IF($JE41=1,30,0),ABS(20-$HI41)*100)),100000+ABS(3-$HH41)*1000+200)))-IF((68=$HJ41)+(68=$HK41)+(68=$HL41)+(68=$HM41)+(68=$HN41)+(68=$HO41)&gt;=2,50,0))+BS$5*50)</f>
        <v/>
      </c>
      <c r="BT161">
        <f>IF(OR($JF41=0,calcA!$A$6=0),0,IF(OR(69=$HA41,69=$HD41,69=$HG41),200000,MIN(IF($HA41=0,999999,IF(3=$HB41,IF(69=$HJ41,IF($JC41=2,30,0),IF(69=$HK41,IF($JC41=1,30,0),ABS(21-$HC41)*100)),100000+ABS(3-$HB41)*1000+210)),IF($HD41=0,999999,IF(3=$HE41,IF(69=$HL41,IF($JD41=2,30,0),IF(69=$HM41,IF($JD41=1,30,0),ABS(21-$HF41)*100)),100000+ABS(3-$HE41)*1000+210)),IF($HG41=0,999999,IF(3=$HH41,IF(69=$HN41,IF($JE41=2,30,0),IF(69=$HO41,IF($JE41=1,30,0),ABS(21-$HI41)*100)),100000+ABS(3-$HH41)*1000+210)))-IF((69=$HJ41)+(69=$HK41)+(69=$HL41)+(69=$HM41)+(69=$HN41)+(69=$HO41)&gt;=2,50,0))+BT$5*50)</f>
        <v/>
      </c>
      <c r="BU161">
        <f>IF(OR($JF41=0,calcA!$A$6=0),0,IF(OR(70=$HA41,70=$HD41,70=$HG41),200000,MIN(IF($HA41=0,999999,IF(3=$HB41,IF(70=$HJ41,IF($JC41=2,30,0),IF(70=$HK41,IF($JC41=1,30,0),ABS(22-$HC41)*100)),100000+ABS(3-$HB41)*1000+220)),IF($HD41=0,999999,IF(3=$HE41,IF(70=$HL41,IF($JD41=2,30,0),IF(70=$HM41,IF($JD41=1,30,0),ABS(22-$HF41)*100)),100000+ABS(3-$HE41)*1000+220)),IF($HG41=0,999999,IF(3=$HH41,IF(70=$HN41,IF($JE41=2,30,0),IF(70=$HO41,IF($JE41=1,30,0),ABS(22-$HI41)*100)),100000+ABS(3-$HH41)*1000+220)))-IF((70=$HJ41)+(70=$HK41)+(70=$HL41)+(70=$HM41)+(70=$HN41)+(70=$HO41)&gt;=2,50,0))+BU$5*50)</f>
        <v/>
      </c>
      <c r="BV161">
        <f>IF(OR($JF41=0,calcA!$A$6=0),0,IF(OR(71=$HA41,71=$HD41,71=$HG41),200000,MIN(IF($HA41=0,999999,IF(3=$HB41,IF(71=$HJ41,IF($JC41=2,30,0),IF(71=$HK41,IF($JC41=1,30,0),ABS(23-$HC41)*100)),100000+ABS(3-$HB41)*1000+230)),IF($HD41=0,999999,IF(3=$HE41,IF(71=$HL41,IF($JD41=2,30,0),IF(71=$HM41,IF($JD41=1,30,0),ABS(23-$HF41)*100)),100000+ABS(3-$HE41)*1000+230)),IF($HG41=0,999999,IF(3=$HH41,IF(71=$HN41,IF($JE41=2,30,0),IF(71=$HO41,IF($JE41=1,30,0),ABS(23-$HI41)*100)),100000+ABS(3-$HH41)*1000+230)))-IF((71=$HJ41)+(71=$HK41)+(71=$HL41)+(71=$HM41)+(71=$HN41)+(71=$HO41)&gt;=2,50,0))+BV$5*50)</f>
        <v/>
      </c>
      <c r="BW161">
        <f>IF(OR($JF41=0,calcA!$A$6=0),0,IF(OR(72=$HA41,72=$HD41,72=$HG41),200000,MIN(IF($HA41=0,999999,IF(3=$HB41,IF(72=$HJ41,IF($JC41=2,30,0),IF(72=$HK41,IF($JC41=1,30,0),ABS(24-$HC41)*100)),100000+ABS(3-$HB41)*1000+240)),IF($HD41=0,999999,IF(3=$HE41,IF(72=$HL41,IF($JD41=2,30,0),IF(72=$HM41,IF($JD41=1,30,0),ABS(24-$HF41)*100)),100000+ABS(3-$HE41)*1000+240)),IF($HG41=0,999999,IF(3=$HH41,IF(72=$HN41,IF($JE41=2,30,0),IF(72=$HO41,IF($JE41=1,30,0),ABS(24-$HI41)*100)),100000+ABS(3-$HH41)*1000+240)))-IF((72=$HJ41)+(72=$HK41)+(72=$HL41)+(72=$HM41)+(72=$HN41)+(72=$HO41)&gt;=2,50,0))+BW$5*50)</f>
        <v/>
      </c>
      <c r="BX161">
        <f>IF(OR($JF41=0,calcA!$A$6=0),0,IF(OR(73=$HA41,73=$HD41,73=$HG41),200000,MIN(IF($HA41=0,999999,IF(4=$HB41,IF(73=$HJ41,IF($JC41=2,30,0),IF(73=$HK41,IF($JC41=1,30,0),ABS(1-$HC41)*100)),100000+ABS(4-$HB41)*1000+10)),IF($HD41=0,999999,IF(4=$HE41,IF(73=$HL41,IF($JD41=2,30,0),IF(73=$HM41,IF($JD41=1,30,0),ABS(1-$HF41)*100)),100000+ABS(4-$HE41)*1000+10)),IF($HG41=0,999999,IF(4=$HH41,IF(73=$HN41,IF($JE41=2,30,0),IF(73=$HO41,IF($JE41=1,30,0),ABS(1-$HI41)*100)),100000+ABS(4-$HH41)*1000+10)))-IF((73=$HJ41)+(73=$HK41)+(73=$HL41)+(73=$HM41)+(73=$HN41)+(73=$HO41)&gt;=2,50,0))+BX$5*50)</f>
        <v/>
      </c>
      <c r="BY161">
        <f>IF(OR($JF41=0,calcA!$A$6=0),0,IF(OR(74=$HA41,74=$HD41,74=$HG41),200000,MIN(IF($HA41=0,999999,IF(4=$HB41,IF(74=$HJ41,IF($JC41=2,30,0),IF(74=$HK41,IF($JC41=1,30,0),ABS(2-$HC41)*100)),100000+ABS(4-$HB41)*1000+20)),IF($HD41=0,999999,IF(4=$HE41,IF(74=$HL41,IF($JD41=2,30,0),IF(74=$HM41,IF($JD41=1,30,0),ABS(2-$HF41)*100)),100000+ABS(4-$HE41)*1000+20)),IF($HG41=0,999999,IF(4=$HH41,IF(74=$HN41,IF($JE41=2,30,0),IF(74=$HO41,IF($JE41=1,30,0),ABS(2-$HI41)*100)),100000+ABS(4-$HH41)*1000+20)))-IF((74=$HJ41)+(74=$HK41)+(74=$HL41)+(74=$HM41)+(74=$HN41)+(74=$HO41)&gt;=2,50,0))+BY$5*50)</f>
        <v/>
      </c>
      <c r="BZ161">
        <f>IF(OR($JF41=0,calcA!$A$6=0),0,IF(OR(75=$HA41,75=$HD41,75=$HG41),200000,MIN(IF($HA41=0,999999,IF(4=$HB41,IF(75=$HJ41,IF($JC41=2,30,0),IF(75=$HK41,IF($JC41=1,30,0),ABS(3-$HC41)*100)),100000+ABS(4-$HB41)*1000+30)),IF($HD41=0,999999,IF(4=$HE41,IF(75=$HL41,IF($JD41=2,30,0),IF(75=$HM41,IF($JD41=1,30,0),ABS(3-$HF41)*100)),100000+ABS(4-$HE41)*1000+30)),IF($HG41=0,999999,IF(4=$HH41,IF(75=$HN41,IF($JE41=2,30,0),IF(75=$HO41,IF($JE41=1,30,0),ABS(3-$HI41)*100)),100000+ABS(4-$HH41)*1000+30)))-IF((75=$HJ41)+(75=$HK41)+(75=$HL41)+(75=$HM41)+(75=$HN41)+(75=$HO41)&gt;=2,50,0))+BZ$5*50)</f>
        <v/>
      </c>
      <c r="CA161">
        <f>IF(OR($JF41=0,calcA!$A$6=0),0,IF(OR(76=$HA41,76=$HD41,76=$HG41),200000,MIN(IF($HA41=0,999999,IF(4=$HB41,IF(76=$HJ41,IF($JC41=2,30,0),IF(76=$HK41,IF($JC41=1,30,0),ABS(4-$HC41)*100)),100000+ABS(4-$HB41)*1000+40)),IF($HD41=0,999999,IF(4=$HE41,IF(76=$HL41,IF($JD41=2,30,0),IF(76=$HM41,IF($JD41=1,30,0),ABS(4-$HF41)*100)),100000+ABS(4-$HE41)*1000+40)),IF($HG41=0,999999,IF(4=$HH41,IF(76=$HN41,IF($JE41=2,30,0),IF(76=$HO41,IF($JE41=1,30,0),ABS(4-$HI41)*100)),100000+ABS(4-$HH41)*1000+40)))-IF((76=$HJ41)+(76=$HK41)+(76=$HL41)+(76=$HM41)+(76=$HN41)+(76=$HO41)&gt;=2,50,0))+CA$5*50)</f>
        <v/>
      </c>
      <c r="CB161">
        <f>IF(OR($JF41=0,calcA!$A$6=0),0,IF(OR(77=$HA41,77=$HD41,77=$HG41),200000,MIN(IF($HA41=0,999999,IF(4=$HB41,IF(77=$HJ41,IF($JC41=2,30,0),IF(77=$HK41,IF($JC41=1,30,0),ABS(5-$HC41)*100)),100000+ABS(4-$HB41)*1000+50)),IF($HD41=0,999999,IF(4=$HE41,IF(77=$HL41,IF($JD41=2,30,0),IF(77=$HM41,IF($JD41=1,30,0),ABS(5-$HF41)*100)),100000+ABS(4-$HE41)*1000+50)),IF($HG41=0,999999,IF(4=$HH41,IF(77=$HN41,IF($JE41=2,30,0),IF(77=$HO41,IF($JE41=1,30,0),ABS(5-$HI41)*100)),100000+ABS(4-$HH41)*1000+50)))-IF((77=$HJ41)+(77=$HK41)+(77=$HL41)+(77=$HM41)+(77=$HN41)+(77=$HO41)&gt;=2,50,0))+CB$5*50)</f>
        <v/>
      </c>
      <c r="CC161">
        <f>IF(OR($JF41=0,calcA!$A$6=0),0,IF(OR(78=$HA41,78=$HD41,78=$HG41),200000,MIN(IF($HA41=0,999999,IF(4=$HB41,IF(78=$HJ41,IF($JC41=2,30,0),IF(78=$HK41,IF($JC41=1,30,0),ABS(6-$HC41)*100)),100000+ABS(4-$HB41)*1000+60)),IF($HD41=0,999999,IF(4=$HE41,IF(78=$HL41,IF($JD41=2,30,0),IF(78=$HM41,IF($JD41=1,30,0),ABS(6-$HF41)*100)),100000+ABS(4-$HE41)*1000+60)),IF($HG41=0,999999,IF(4=$HH41,IF(78=$HN41,IF($JE41=2,30,0),IF(78=$HO41,IF($JE41=1,30,0),ABS(6-$HI41)*100)),100000+ABS(4-$HH41)*1000+60)))-IF((78=$HJ41)+(78=$HK41)+(78=$HL41)+(78=$HM41)+(78=$HN41)+(78=$HO41)&gt;=2,50,0))+CC$5*50)</f>
        <v/>
      </c>
      <c r="CD161">
        <f>IF(OR($JF41=0,calcA!$A$6=0),0,IF(OR(79=$HA41,79=$HD41,79=$HG41),200000,MIN(IF($HA41=0,999999,IF(4=$HB41,IF(79=$HJ41,IF($JC41=2,30,0),IF(79=$HK41,IF($JC41=1,30,0),ABS(7-$HC41)*100)),100000+ABS(4-$HB41)*1000+70)),IF($HD41=0,999999,IF(4=$HE41,IF(79=$HL41,IF($JD41=2,30,0),IF(79=$HM41,IF($JD41=1,30,0),ABS(7-$HF41)*100)),100000+ABS(4-$HE41)*1000+70)),IF($HG41=0,999999,IF(4=$HH41,IF(79=$HN41,IF($JE41=2,30,0),IF(79=$HO41,IF($JE41=1,30,0),ABS(7-$HI41)*100)),100000+ABS(4-$HH41)*1000+70)))-IF((79=$HJ41)+(79=$HK41)+(79=$HL41)+(79=$HM41)+(79=$HN41)+(79=$HO41)&gt;=2,50,0))+CD$5*50)</f>
        <v/>
      </c>
      <c r="CE161">
        <f>IF(OR($JF41=0,calcA!$A$6=0),0,IF(OR(80=$HA41,80=$HD41,80=$HG41),200000,MIN(IF($HA41=0,999999,IF(4=$HB41,IF(80=$HJ41,IF($JC41=2,30,0),IF(80=$HK41,IF($JC41=1,30,0),ABS(8-$HC41)*100)),100000+ABS(4-$HB41)*1000+80)),IF($HD41=0,999999,IF(4=$HE41,IF(80=$HL41,IF($JD41=2,30,0),IF(80=$HM41,IF($JD41=1,30,0),ABS(8-$HF41)*100)),100000+ABS(4-$HE41)*1000+80)),IF($HG41=0,999999,IF(4=$HH41,IF(80=$HN41,IF($JE41=2,30,0),IF(80=$HO41,IF($JE41=1,30,0),ABS(8-$HI41)*100)),100000+ABS(4-$HH41)*1000+80)))-IF((80=$HJ41)+(80=$HK41)+(80=$HL41)+(80=$HM41)+(80=$HN41)+(80=$HO41)&gt;=2,50,0))+CE$5*50)</f>
        <v/>
      </c>
      <c r="CF161">
        <f>IF(OR($JF41=0,calcA!$A$6=0),0,IF(OR(81=$HA41,81=$HD41,81=$HG41),200000,MIN(IF($HA41=0,999999,IF(4=$HB41,IF(81=$HJ41,IF($JC41=2,30,0),IF(81=$HK41,IF($JC41=1,30,0),ABS(9-$HC41)*100)),100000+ABS(4-$HB41)*1000+90)),IF($HD41=0,999999,IF(4=$HE41,IF(81=$HL41,IF($JD41=2,30,0),IF(81=$HM41,IF($JD41=1,30,0),ABS(9-$HF41)*100)),100000+ABS(4-$HE41)*1000+90)),IF($HG41=0,999999,IF(4=$HH41,IF(81=$HN41,IF($JE41=2,30,0),IF(81=$HO41,IF($JE41=1,30,0),ABS(9-$HI41)*100)),100000+ABS(4-$HH41)*1000+90)))-IF((81=$HJ41)+(81=$HK41)+(81=$HL41)+(81=$HM41)+(81=$HN41)+(81=$HO41)&gt;=2,50,0))+CF$5*50)</f>
        <v/>
      </c>
      <c r="CG161">
        <f>IF(OR($JF41=0,calcA!$A$6=0),0,IF(OR(82=$HA41,82=$HD41,82=$HG41),200000,MIN(IF($HA41=0,999999,IF(4=$HB41,IF(82=$HJ41,IF($JC41=2,30,0),IF(82=$HK41,IF($JC41=1,30,0),ABS(10-$HC41)*100)),100000+ABS(4-$HB41)*1000+100)),IF($HD41=0,999999,IF(4=$HE41,IF(82=$HL41,IF($JD41=2,30,0),IF(82=$HM41,IF($JD41=1,30,0),ABS(10-$HF41)*100)),100000+ABS(4-$HE41)*1000+100)),IF($HG41=0,999999,IF(4=$HH41,IF(82=$HN41,IF($JE41=2,30,0),IF(82=$HO41,IF($JE41=1,30,0),ABS(10-$HI41)*100)),100000+ABS(4-$HH41)*1000+100)))-IF((82=$HJ41)+(82=$HK41)+(82=$HL41)+(82=$HM41)+(82=$HN41)+(82=$HO41)&gt;=2,50,0))+CG$5*50)</f>
        <v/>
      </c>
      <c r="CH161">
        <f>IF(OR($JF41=0,calcA!$A$6=0),0,IF(OR(83=$HA41,83=$HD41,83=$HG41),200000,MIN(IF($HA41=0,999999,IF(4=$HB41,IF(83=$HJ41,IF($JC41=2,30,0),IF(83=$HK41,IF($JC41=1,30,0),ABS(11-$HC41)*100)),100000+ABS(4-$HB41)*1000+110)),IF($HD41=0,999999,IF(4=$HE41,IF(83=$HL41,IF($JD41=2,30,0),IF(83=$HM41,IF($JD41=1,30,0),ABS(11-$HF41)*100)),100000+ABS(4-$HE41)*1000+110)),IF($HG41=0,999999,IF(4=$HH41,IF(83=$HN41,IF($JE41=2,30,0),IF(83=$HO41,IF($JE41=1,30,0),ABS(11-$HI41)*100)),100000+ABS(4-$HH41)*1000+110)))-IF((83=$HJ41)+(83=$HK41)+(83=$HL41)+(83=$HM41)+(83=$HN41)+(83=$HO41)&gt;=2,50,0))+CH$5*50)</f>
        <v/>
      </c>
      <c r="CI161">
        <f>IF(OR($JF41=0,calcA!$A$6=0),0,IF(OR(84=$HA41,84=$HD41,84=$HG41),200000,MIN(IF($HA41=0,999999,IF(4=$HB41,IF(84=$HJ41,IF($JC41=2,30,0),IF(84=$HK41,IF($JC41=1,30,0),ABS(12-$HC41)*100)),100000+ABS(4-$HB41)*1000+120)),IF($HD41=0,999999,IF(4=$HE41,IF(84=$HL41,IF($JD41=2,30,0),IF(84=$HM41,IF($JD41=1,30,0),ABS(12-$HF41)*100)),100000+ABS(4-$HE41)*1000+120)),IF($HG41=0,999999,IF(4=$HH41,IF(84=$HN41,IF($JE41=2,30,0),IF(84=$HO41,IF($JE41=1,30,0),ABS(12-$HI41)*100)),100000+ABS(4-$HH41)*1000+120)))-IF((84=$HJ41)+(84=$HK41)+(84=$HL41)+(84=$HM41)+(84=$HN41)+(84=$HO41)&gt;=2,50,0))+CI$5*50)</f>
        <v/>
      </c>
      <c r="CJ161">
        <f>IF(OR($JF41=0,calcA!$A$6=0),0,IF(OR(85=$HA41,85=$HD41,85=$HG41),200000,MIN(IF($HA41=0,999999,IF(4=$HB41,IF(85=$HJ41,IF($JC41=2,30,0),IF(85=$HK41,IF($JC41=1,30,0),ABS(13-$HC41)*100)),100000+ABS(4-$HB41)*1000+130)),IF($HD41=0,999999,IF(4=$HE41,IF(85=$HL41,IF($JD41=2,30,0),IF(85=$HM41,IF($JD41=1,30,0),ABS(13-$HF41)*100)),100000+ABS(4-$HE41)*1000+130)),IF($HG41=0,999999,IF(4=$HH41,IF(85=$HN41,IF($JE41=2,30,0),IF(85=$HO41,IF($JE41=1,30,0),ABS(13-$HI41)*100)),100000+ABS(4-$HH41)*1000+130)))-IF((85=$HJ41)+(85=$HK41)+(85=$HL41)+(85=$HM41)+(85=$HN41)+(85=$HO41)&gt;=2,50,0))+CJ$5*50)</f>
        <v/>
      </c>
      <c r="CK161">
        <f>IF(OR($JF41=0,calcA!$A$6=0),0,IF(OR(86=$HA41,86=$HD41,86=$HG41),200000,MIN(IF($HA41=0,999999,IF(4=$HB41,IF(86=$HJ41,IF($JC41=2,30,0),IF(86=$HK41,IF($JC41=1,30,0),ABS(14-$HC41)*100)),100000+ABS(4-$HB41)*1000+140)),IF($HD41=0,999999,IF(4=$HE41,IF(86=$HL41,IF($JD41=2,30,0),IF(86=$HM41,IF($JD41=1,30,0),ABS(14-$HF41)*100)),100000+ABS(4-$HE41)*1000+140)),IF($HG41=0,999999,IF(4=$HH41,IF(86=$HN41,IF($JE41=2,30,0),IF(86=$HO41,IF($JE41=1,30,0),ABS(14-$HI41)*100)),100000+ABS(4-$HH41)*1000+140)))-IF((86=$HJ41)+(86=$HK41)+(86=$HL41)+(86=$HM41)+(86=$HN41)+(86=$HO41)&gt;=2,50,0))+CK$5*50)</f>
        <v/>
      </c>
      <c r="CL161">
        <f>IF(OR($JF41=0,calcA!$A$6=0),0,IF(OR(87=$HA41,87=$HD41,87=$HG41),200000,MIN(IF($HA41=0,999999,IF(4=$HB41,IF(87=$HJ41,IF($JC41=2,30,0),IF(87=$HK41,IF($JC41=1,30,0),ABS(15-$HC41)*100)),100000+ABS(4-$HB41)*1000+150)),IF($HD41=0,999999,IF(4=$HE41,IF(87=$HL41,IF($JD41=2,30,0),IF(87=$HM41,IF($JD41=1,30,0),ABS(15-$HF41)*100)),100000+ABS(4-$HE41)*1000+150)),IF($HG41=0,999999,IF(4=$HH41,IF(87=$HN41,IF($JE41=2,30,0),IF(87=$HO41,IF($JE41=1,30,0),ABS(15-$HI41)*100)),100000+ABS(4-$HH41)*1000+150)))-IF((87=$HJ41)+(87=$HK41)+(87=$HL41)+(87=$HM41)+(87=$HN41)+(87=$HO41)&gt;=2,50,0))+CL$5*50)</f>
        <v/>
      </c>
      <c r="CM161">
        <f>IF(OR($JF41=0,calcA!$A$6=0),0,IF(OR(88=$HA41,88=$HD41,88=$HG41),200000,MIN(IF($HA41=0,999999,IF(4=$HB41,IF(88=$HJ41,IF($JC41=2,30,0),IF(88=$HK41,IF($JC41=1,30,0),ABS(16-$HC41)*100)),100000+ABS(4-$HB41)*1000+160)),IF($HD41=0,999999,IF(4=$HE41,IF(88=$HL41,IF($JD41=2,30,0),IF(88=$HM41,IF($JD41=1,30,0),ABS(16-$HF41)*100)),100000+ABS(4-$HE41)*1000+160)),IF($HG41=0,999999,IF(4=$HH41,IF(88=$HN41,IF($JE41=2,30,0),IF(88=$HO41,IF($JE41=1,30,0),ABS(16-$HI41)*100)),100000+ABS(4-$HH41)*1000+160)))-IF((88=$HJ41)+(88=$HK41)+(88=$HL41)+(88=$HM41)+(88=$HN41)+(88=$HO41)&gt;=2,50,0))+CM$5*50)</f>
        <v/>
      </c>
      <c r="CN161">
        <f>IF(OR($JF41=0,calcA!$A$6=0),0,IF(OR(89=$HA41,89=$HD41,89=$HG41),200000,MIN(IF($HA41=0,999999,IF(4=$HB41,IF(89=$HJ41,IF($JC41=2,30,0),IF(89=$HK41,IF($JC41=1,30,0),ABS(17-$HC41)*100)),100000+ABS(4-$HB41)*1000+170)),IF($HD41=0,999999,IF(4=$HE41,IF(89=$HL41,IF($JD41=2,30,0),IF(89=$HM41,IF($JD41=1,30,0),ABS(17-$HF41)*100)),100000+ABS(4-$HE41)*1000+170)),IF($HG41=0,999999,IF(4=$HH41,IF(89=$HN41,IF($JE41=2,30,0),IF(89=$HO41,IF($JE41=1,30,0),ABS(17-$HI41)*100)),100000+ABS(4-$HH41)*1000+170)))-IF((89=$HJ41)+(89=$HK41)+(89=$HL41)+(89=$HM41)+(89=$HN41)+(89=$HO41)&gt;=2,50,0))+CN$5*50)</f>
        <v/>
      </c>
      <c r="CO161">
        <f>IF(OR($JF41=0,calcA!$A$6=0),0,IF(OR(90=$HA41,90=$HD41,90=$HG41),200000,MIN(IF($HA41=0,999999,IF(4=$HB41,IF(90=$HJ41,IF($JC41=2,30,0),IF(90=$HK41,IF($JC41=1,30,0),ABS(18-$HC41)*100)),100000+ABS(4-$HB41)*1000+180)),IF($HD41=0,999999,IF(4=$HE41,IF(90=$HL41,IF($JD41=2,30,0),IF(90=$HM41,IF($JD41=1,30,0),ABS(18-$HF41)*100)),100000+ABS(4-$HE41)*1000+180)),IF($HG41=0,999999,IF(4=$HH41,IF(90=$HN41,IF($JE41=2,30,0),IF(90=$HO41,IF($JE41=1,30,0),ABS(18-$HI41)*100)),100000+ABS(4-$HH41)*1000+180)))-IF((90=$HJ41)+(90=$HK41)+(90=$HL41)+(90=$HM41)+(90=$HN41)+(90=$HO41)&gt;=2,50,0))+CO$5*50)</f>
        <v/>
      </c>
      <c r="CP161">
        <f>IF(OR($JF41=0,calcA!$A$6=0),0,IF(OR(91=$HA41,91=$HD41,91=$HG41),200000,MIN(IF($HA41=0,999999,IF(4=$HB41,IF(91=$HJ41,IF($JC41=2,30,0),IF(91=$HK41,IF($JC41=1,30,0),ABS(19-$HC41)*100)),100000+ABS(4-$HB41)*1000+190)),IF($HD41=0,999999,IF(4=$HE41,IF(91=$HL41,IF($JD41=2,30,0),IF(91=$HM41,IF($JD41=1,30,0),ABS(19-$HF41)*100)),100000+ABS(4-$HE41)*1000+190)),IF($HG41=0,999999,IF(4=$HH41,IF(91=$HN41,IF($JE41=2,30,0),IF(91=$HO41,IF($JE41=1,30,0),ABS(19-$HI41)*100)),100000+ABS(4-$HH41)*1000+190)))-IF((91=$HJ41)+(91=$HK41)+(91=$HL41)+(91=$HM41)+(91=$HN41)+(91=$HO41)&gt;=2,50,0))+CP$5*50)</f>
        <v/>
      </c>
      <c r="CQ161">
        <f>IF(OR($JF41=0,calcA!$A$6=0),0,IF(OR(92=$HA41,92=$HD41,92=$HG41),200000,MIN(IF($HA41=0,999999,IF(4=$HB41,IF(92=$HJ41,IF($JC41=2,30,0),IF(92=$HK41,IF($JC41=1,30,0),ABS(20-$HC41)*100)),100000+ABS(4-$HB41)*1000+200)),IF($HD41=0,999999,IF(4=$HE41,IF(92=$HL41,IF($JD41=2,30,0),IF(92=$HM41,IF($JD41=1,30,0),ABS(20-$HF41)*100)),100000+ABS(4-$HE41)*1000+200)),IF($HG41=0,999999,IF(4=$HH41,IF(92=$HN41,IF($JE41=2,30,0),IF(92=$HO41,IF($JE41=1,30,0),ABS(20-$HI41)*100)),100000+ABS(4-$HH41)*1000+200)))-IF((92=$HJ41)+(92=$HK41)+(92=$HL41)+(92=$HM41)+(92=$HN41)+(92=$HO41)&gt;=2,50,0))+CQ$5*50)</f>
        <v/>
      </c>
      <c r="CR161">
        <f>IF(OR($JF41=0,calcA!$A$6=0),0,IF(OR(93=$HA41,93=$HD41,93=$HG41),200000,MIN(IF($HA41=0,999999,IF(4=$HB41,IF(93=$HJ41,IF($JC41=2,30,0),IF(93=$HK41,IF($JC41=1,30,0),ABS(21-$HC41)*100)),100000+ABS(4-$HB41)*1000+210)),IF($HD41=0,999999,IF(4=$HE41,IF(93=$HL41,IF($JD41=2,30,0),IF(93=$HM41,IF($JD41=1,30,0),ABS(21-$HF41)*100)),100000+ABS(4-$HE41)*1000+210)),IF($HG41=0,999999,IF(4=$HH41,IF(93=$HN41,IF($JE41=2,30,0),IF(93=$HO41,IF($JE41=1,30,0),ABS(21-$HI41)*100)),100000+ABS(4-$HH41)*1000+210)))-IF((93=$HJ41)+(93=$HK41)+(93=$HL41)+(93=$HM41)+(93=$HN41)+(93=$HO41)&gt;=2,50,0))+CR$5*50)</f>
        <v/>
      </c>
      <c r="CS161">
        <f>IF(OR($JF41=0,calcA!$A$6=0),0,IF(OR(94=$HA41,94=$HD41,94=$HG41),200000,MIN(IF($HA41=0,999999,IF(4=$HB41,IF(94=$HJ41,IF($JC41=2,30,0),IF(94=$HK41,IF($JC41=1,30,0),ABS(22-$HC41)*100)),100000+ABS(4-$HB41)*1000+220)),IF($HD41=0,999999,IF(4=$HE41,IF(94=$HL41,IF($JD41=2,30,0),IF(94=$HM41,IF($JD41=1,30,0),ABS(22-$HF41)*100)),100000+ABS(4-$HE41)*1000+220)),IF($HG41=0,999999,IF(4=$HH41,IF(94=$HN41,IF($JE41=2,30,0),IF(94=$HO41,IF($JE41=1,30,0),ABS(22-$HI41)*100)),100000+ABS(4-$HH41)*1000+220)))-IF((94=$HJ41)+(94=$HK41)+(94=$HL41)+(94=$HM41)+(94=$HN41)+(94=$HO41)&gt;=2,50,0))+CS$5*50)</f>
        <v/>
      </c>
      <c r="CT161">
        <f>IF(OR($JF41=0,calcA!$A$6=0),0,IF(OR(95=$HA41,95=$HD41,95=$HG41),200000,MIN(IF($HA41=0,999999,IF(4=$HB41,IF(95=$HJ41,IF($JC41=2,30,0),IF(95=$HK41,IF($JC41=1,30,0),ABS(23-$HC41)*100)),100000+ABS(4-$HB41)*1000+230)),IF($HD41=0,999999,IF(4=$HE41,IF(95=$HL41,IF($JD41=2,30,0),IF(95=$HM41,IF($JD41=1,30,0),ABS(23-$HF41)*100)),100000+ABS(4-$HE41)*1000+230)),IF($HG41=0,999999,IF(4=$HH41,IF(95=$HN41,IF($JE41=2,30,0),IF(95=$HO41,IF($JE41=1,30,0),ABS(23-$HI41)*100)),100000+ABS(4-$HH41)*1000+230)))-IF((95=$HJ41)+(95=$HK41)+(95=$HL41)+(95=$HM41)+(95=$HN41)+(95=$HO41)&gt;=2,50,0))+CT$5*50)</f>
        <v/>
      </c>
      <c r="CU161">
        <f>IF(OR($JF41=0,calcA!$A$6=0),0,IF(OR(96=$HA41,96=$HD41,96=$HG41),200000,MIN(IF($HA41=0,999999,IF(4=$HB41,IF(96=$HJ41,IF($JC41=2,30,0),IF(96=$HK41,IF($JC41=1,30,0),ABS(24-$HC41)*100)),100000+ABS(4-$HB41)*1000+240)),IF($HD41=0,999999,IF(4=$HE41,IF(96=$HL41,IF($JD41=2,30,0),IF(96=$HM41,IF($JD41=1,30,0),ABS(24-$HF41)*100)),100000+ABS(4-$HE41)*1000+240)),IF($HG41=0,999999,IF(4=$HH41,IF(96=$HN41,IF($JE41=2,30,0),IF(96=$HO41,IF($JE41=1,30,0),ABS(24-$HI41)*100)),100000+ABS(4-$HH41)*1000+240)))-IF((96=$HJ41)+(96=$HK41)+(96=$HL41)+(96=$HM41)+(96=$HN41)+(96=$HO41)&gt;=2,50,0))+CU$5*50)</f>
        <v/>
      </c>
      <c r="CV161">
        <f>IF(OR($JF41=0,calcA!$A$6=0),0,IF(OR(97=$HA41,97=$HD41,97=$HG41),200000,MIN(IF($HA41=0,999999,IF(5=$HB41,IF(97=$HJ41,IF($JC41=2,30,0),IF(97=$HK41,IF($JC41=1,30,0),ABS(1-$HC41)*100)),100000+ABS(5-$HB41)*1000+10)),IF($HD41=0,999999,IF(5=$HE41,IF(97=$HL41,IF($JD41=2,30,0),IF(97=$HM41,IF($JD41=1,30,0),ABS(1-$HF41)*100)),100000+ABS(5-$HE41)*1000+10)),IF($HG41=0,999999,IF(5=$HH41,IF(97=$HN41,IF($JE41=2,30,0),IF(97=$HO41,IF($JE41=1,30,0),ABS(1-$HI41)*100)),100000+ABS(5-$HH41)*1000+10)))-IF((97=$HJ41)+(97=$HK41)+(97=$HL41)+(97=$HM41)+(97=$HN41)+(97=$HO41)&gt;=2,50,0))+CV$5*50)</f>
        <v/>
      </c>
      <c r="CW161">
        <f>IF(OR($JF41=0,calcA!$A$6=0),0,IF(OR(98=$HA41,98=$HD41,98=$HG41),200000,MIN(IF($HA41=0,999999,IF(5=$HB41,IF(98=$HJ41,IF($JC41=2,30,0),IF(98=$HK41,IF($JC41=1,30,0),ABS(2-$HC41)*100)),100000+ABS(5-$HB41)*1000+20)),IF($HD41=0,999999,IF(5=$HE41,IF(98=$HL41,IF($JD41=2,30,0),IF(98=$HM41,IF($JD41=1,30,0),ABS(2-$HF41)*100)),100000+ABS(5-$HE41)*1000+20)),IF($HG41=0,999999,IF(5=$HH41,IF(98=$HN41,IF($JE41=2,30,0),IF(98=$HO41,IF($JE41=1,30,0),ABS(2-$HI41)*100)),100000+ABS(5-$HH41)*1000+20)))-IF((98=$HJ41)+(98=$HK41)+(98=$HL41)+(98=$HM41)+(98=$HN41)+(98=$HO41)&gt;=2,50,0))+CW$5*50)</f>
        <v/>
      </c>
      <c r="CX161">
        <f>IF(OR($JF41=0,calcA!$A$6=0),0,IF(OR(99=$HA41,99=$HD41,99=$HG41),200000,MIN(IF($HA41=0,999999,IF(5=$HB41,IF(99=$HJ41,IF($JC41=2,30,0),IF(99=$HK41,IF($JC41=1,30,0),ABS(3-$HC41)*100)),100000+ABS(5-$HB41)*1000+30)),IF($HD41=0,999999,IF(5=$HE41,IF(99=$HL41,IF($JD41=2,30,0),IF(99=$HM41,IF($JD41=1,30,0),ABS(3-$HF41)*100)),100000+ABS(5-$HE41)*1000+30)),IF($HG41=0,999999,IF(5=$HH41,IF(99=$HN41,IF($JE41=2,30,0),IF(99=$HO41,IF($JE41=1,30,0),ABS(3-$HI41)*100)),100000+ABS(5-$HH41)*1000+30)))-IF((99=$HJ41)+(99=$HK41)+(99=$HL41)+(99=$HM41)+(99=$HN41)+(99=$HO41)&gt;=2,50,0))+CX$5*50)</f>
        <v/>
      </c>
      <c r="CY161">
        <f>IF(OR($JF41=0,calcA!$A$6=0),0,IF(OR(100=$HA41,100=$HD41,100=$HG41),200000,MIN(IF($HA41=0,999999,IF(5=$HB41,IF(100=$HJ41,IF($JC41=2,30,0),IF(100=$HK41,IF($JC41=1,30,0),ABS(4-$HC41)*100)),100000+ABS(5-$HB41)*1000+40)),IF($HD41=0,999999,IF(5=$HE41,IF(100=$HL41,IF($JD41=2,30,0),IF(100=$HM41,IF($JD41=1,30,0),ABS(4-$HF41)*100)),100000+ABS(5-$HE41)*1000+40)),IF($HG41=0,999999,IF(5=$HH41,IF(100=$HN41,IF($JE41=2,30,0),IF(100=$HO41,IF($JE41=1,30,0),ABS(4-$HI41)*100)),100000+ABS(5-$HH41)*1000+40)))-IF((100=$HJ41)+(100=$HK41)+(100=$HL41)+(100=$HM41)+(100=$HN41)+(100=$HO41)&gt;=2,50,0))+CY$5*50)</f>
        <v/>
      </c>
      <c r="CZ161">
        <f>IF(OR($JF41=0,calcA!$A$6=0),0,IF(OR(101=$HA41,101=$HD41,101=$HG41),200000,MIN(IF($HA41=0,999999,IF(5=$HB41,IF(101=$HJ41,IF($JC41=2,30,0),IF(101=$HK41,IF($JC41=1,30,0),ABS(5-$HC41)*100)),100000+ABS(5-$HB41)*1000+50)),IF($HD41=0,999999,IF(5=$HE41,IF(101=$HL41,IF($JD41=2,30,0),IF(101=$HM41,IF($JD41=1,30,0),ABS(5-$HF41)*100)),100000+ABS(5-$HE41)*1000+50)),IF($HG41=0,999999,IF(5=$HH41,IF(101=$HN41,IF($JE41=2,30,0),IF(101=$HO41,IF($JE41=1,30,0),ABS(5-$HI41)*100)),100000+ABS(5-$HH41)*1000+50)))-IF((101=$HJ41)+(101=$HK41)+(101=$HL41)+(101=$HM41)+(101=$HN41)+(101=$HO41)&gt;=2,50,0))+CZ$5*50)</f>
        <v/>
      </c>
      <c r="DA161">
        <f>IF(OR($JF41=0,calcA!$A$6=0),0,IF(OR(102=$HA41,102=$HD41,102=$HG41),200000,MIN(IF($HA41=0,999999,IF(5=$HB41,IF(102=$HJ41,IF($JC41=2,30,0),IF(102=$HK41,IF($JC41=1,30,0),ABS(6-$HC41)*100)),100000+ABS(5-$HB41)*1000+60)),IF($HD41=0,999999,IF(5=$HE41,IF(102=$HL41,IF($JD41=2,30,0),IF(102=$HM41,IF($JD41=1,30,0),ABS(6-$HF41)*100)),100000+ABS(5-$HE41)*1000+60)),IF($HG41=0,999999,IF(5=$HH41,IF(102=$HN41,IF($JE41=2,30,0),IF(102=$HO41,IF($JE41=1,30,0),ABS(6-$HI41)*100)),100000+ABS(5-$HH41)*1000+60)))-IF((102=$HJ41)+(102=$HK41)+(102=$HL41)+(102=$HM41)+(102=$HN41)+(102=$HO41)&gt;=2,50,0))+DA$5*50)</f>
        <v/>
      </c>
      <c r="DB161">
        <f>IF(OR($JF41=0,calcA!$A$6=0),0,IF(OR(103=$HA41,103=$HD41,103=$HG41),200000,MIN(IF($HA41=0,999999,IF(5=$HB41,IF(103=$HJ41,IF($JC41=2,30,0),IF(103=$HK41,IF($JC41=1,30,0),ABS(7-$HC41)*100)),100000+ABS(5-$HB41)*1000+70)),IF($HD41=0,999999,IF(5=$HE41,IF(103=$HL41,IF($JD41=2,30,0),IF(103=$HM41,IF($JD41=1,30,0),ABS(7-$HF41)*100)),100000+ABS(5-$HE41)*1000+70)),IF($HG41=0,999999,IF(5=$HH41,IF(103=$HN41,IF($JE41=2,30,0),IF(103=$HO41,IF($JE41=1,30,0),ABS(7-$HI41)*100)),100000+ABS(5-$HH41)*1000+70)))-IF((103=$HJ41)+(103=$HK41)+(103=$HL41)+(103=$HM41)+(103=$HN41)+(103=$HO41)&gt;=2,50,0))+DB$5*50)</f>
        <v/>
      </c>
      <c r="DC161">
        <f>IF(OR($JF41=0,calcA!$A$6=0),0,IF(OR(104=$HA41,104=$HD41,104=$HG41),200000,MIN(IF($HA41=0,999999,IF(5=$HB41,IF(104=$HJ41,IF($JC41=2,30,0),IF(104=$HK41,IF($JC41=1,30,0),ABS(8-$HC41)*100)),100000+ABS(5-$HB41)*1000+80)),IF($HD41=0,999999,IF(5=$HE41,IF(104=$HL41,IF($JD41=2,30,0),IF(104=$HM41,IF($JD41=1,30,0),ABS(8-$HF41)*100)),100000+ABS(5-$HE41)*1000+80)),IF($HG41=0,999999,IF(5=$HH41,IF(104=$HN41,IF($JE41=2,30,0),IF(104=$HO41,IF($JE41=1,30,0),ABS(8-$HI41)*100)),100000+ABS(5-$HH41)*1000+80)))-IF((104=$HJ41)+(104=$HK41)+(104=$HL41)+(104=$HM41)+(104=$HN41)+(104=$HO41)&gt;=2,50,0))+DC$5*50)</f>
        <v/>
      </c>
      <c r="DD161">
        <f>IF(OR($JF41=0,calcA!$A$6=0),0,IF(OR(105=$HA41,105=$HD41,105=$HG41),200000,MIN(IF($HA41=0,999999,IF(5=$HB41,IF(105=$HJ41,IF($JC41=2,30,0),IF(105=$HK41,IF($JC41=1,30,0),ABS(9-$HC41)*100)),100000+ABS(5-$HB41)*1000+90)),IF($HD41=0,999999,IF(5=$HE41,IF(105=$HL41,IF($JD41=2,30,0),IF(105=$HM41,IF($JD41=1,30,0),ABS(9-$HF41)*100)),100000+ABS(5-$HE41)*1000+90)),IF($HG41=0,999999,IF(5=$HH41,IF(105=$HN41,IF($JE41=2,30,0),IF(105=$HO41,IF($JE41=1,30,0),ABS(9-$HI41)*100)),100000+ABS(5-$HH41)*1000+90)))-IF((105=$HJ41)+(105=$HK41)+(105=$HL41)+(105=$HM41)+(105=$HN41)+(105=$HO41)&gt;=2,50,0))+DD$5*50)</f>
        <v/>
      </c>
      <c r="DE161">
        <f>IF(OR($JF41=0,calcA!$A$6=0),0,IF(OR(106=$HA41,106=$HD41,106=$HG41),200000,MIN(IF($HA41=0,999999,IF(5=$HB41,IF(106=$HJ41,IF($JC41=2,30,0),IF(106=$HK41,IF($JC41=1,30,0),ABS(10-$HC41)*100)),100000+ABS(5-$HB41)*1000+100)),IF($HD41=0,999999,IF(5=$HE41,IF(106=$HL41,IF($JD41=2,30,0),IF(106=$HM41,IF($JD41=1,30,0),ABS(10-$HF41)*100)),100000+ABS(5-$HE41)*1000+100)),IF($HG41=0,999999,IF(5=$HH41,IF(106=$HN41,IF($JE41=2,30,0),IF(106=$HO41,IF($JE41=1,30,0),ABS(10-$HI41)*100)),100000+ABS(5-$HH41)*1000+100)))-IF((106=$HJ41)+(106=$HK41)+(106=$HL41)+(106=$HM41)+(106=$HN41)+(106=$HO41)&gt;=2,50,0))+DE$5*50)</f>
        <v/>
      </c>
      <c r="DF161">
        <f>IF(OR($JF41=0,calcA!$A$6=0),0,IF(OR(107=$HA41,107=$HD41,107=$HG41),200000,MIN(IF($HA41=0,999999,IF(5=$HB41,IF(107=$HJ41,IF($JC41=2,30,0),IF(107=$HK41,IF($JC41=1,30,0),ABS(11-$HC41)*100)),100000+ABS(5-$HB41)*1000+110)),IF($HD41=0,999999,IF(5=$HE41,IF(107=$HL41,IF($JD41=2,30,0),IF(107=$HM41,IF($JD41=1,30,0),ABS(11-$HF41)*100)),100000+ABS(5-$HE41)*1000+110)),IF($HG41=0,999999,IF(5=$HH41,IF(107=$HN41,IF($JE41=2,30,0),IF(107=$HO41,IF($JE41=1,30,0),ABS(11-$HI41)*100)),100000+ABS(5-$HH41)*1000+110)))-IF((107=$HJ41)+(107=$HK41)+(107=$HL41)+(107=$HM41)+(107=$HN41)+(107=$HO41)&gt;=2,50,0))+DF$5*50)</f>
        <v/>
      </c>
      <c r="DG161">
        <f>IF(OR($JF41=0,calcA!$A$6=0),0,IF(OR(108=$HA41,108=$HD41,108=$HG41),200000,MIN(IF($HA41=0,999999,IF(5=$HB41,IF(108=$HJ41,IF($JC41=2,30,0),IF(108=$HK41,IF($JC41=1,30,0),ABS(12-$HC41)*100)),100000+ABS(5-$HB41)*1000+120)),IF($HD41=0,999999,IF(5=$HE41,IF(108=$HL41,IF($JD41=2,30,0),IF(108=$HM41,IF($JD41=1,30,0),ABS(12-$HF41)*100)),100000+ABS(5-$HE41)*1000+120)),IF($HG41=0,999999,IF(5=$HH41,IF(108=$HN41,IF($JE41=2,30,0),IF(108=$HO41,IF($JE41=1,30,0),ABS(12-$HI41)*100)),100000+ABS(5-$HH41)*1000+120)))-IF((108=$HJ41)+(108=$HK41)+(108=$HL41)+(108=$HM41)+(108=$HN41)+(108=$HO41)&gt;=2,50,0))+DG$5*50)</f>
        <v/>
      </c>
      <c r="DH161">
        <f>IF(OR($JF41=0,calcA!$A$6=0),0,IF(OR(109=$HA41,109=$HD41,109=$HG41),200000,MIN(IF($HA41=0,999999,IF(5=$HB41,IF(109=$HJ41,IF($JC41=2,30,0),IF(109=$HK41,IF($JC41=1,30,0),ABS(13-$HC41)*100)),100000+ABS(5-$HB41)*1000+130)),IF($HD41=0,999999,IF(5=$HE41,IF(109=$HL41,IF($JD41=2,30,0),IF(109=$HM41,IF($JD41=1,30,0),ABS(13-$HF41)*100)),100000+ABS(5-$HE41)*1000+130)),IF($HG41=0,999999,IF(5=$HH41,IF(109=$HN41,IF($JE41=2,30,0),IF(109=$HO41,IF($JE41=1,30,0),ABS(13-$HI41)*100)),100000+ABS(5-$HH41)*1000+130)))-IF((109=$HJ41)+(109=$HK41)+(109=$HL41)+(109=$HM41)+(109=$HN41)+(109=$HO41)&gt;=2,50,0))+DH$5*50)</f>
        <v/>
      </c>
      <c r="DI161">
        <f>IF(OR($JF41=0,calcA!$A$6=0),0,IF(OR(110=$HA41,110=$HD41,110=$HG41),200000,MIN(IF($HA41=0,999999,IF(5=$HB41,IF(110=$HJ41,IF($JC41=2,30,0),IF(110=$HK41,IF($JC41=1,30,0),ABS(14-$HC41)*100)),100000+ABS(5-$HB41)*1000+140)),IF($HD41=0,999999,IF(5=$HE41,IF(110=$HL41,IF($JD41=2,30,0),IF(110=$HM41,IF($JD41=1,30,0),ABS(14-$HF41)*100)),100000+ABS(5-$HE41)*1000+140)),IF($HG41=0,999999,IF(5=$HH41,IF(110=$HN41,IF($JE41=2,30,0),IF(110=$HO41,IF($JE41=1,30,0),ABS(14-$HI41)*100)),100000+ABS(5-$HH41)*1000+140)))-IF((110=$HJ41)+(110=$HK41)+(110=$HL41)+(110=$HM41)+(110=$HN41)+(110=$HO41)&gt;=2,50,0))+DI$5*50)</f>
        <v/>
      </c>
      <c r="DJ161">
        <f>IF(OR($JF41=0,calcA!$A$6=0),0,IF(OR(111=$HA41,111=$HD41,111=$HG41),200000,MIN(IF($HA41=0,999999,IF(5=$HB41,IF(111=$HJ41,IF($JC41=2,30,0),IF(111=$HK41,IF($JC41=1,30,0),ABS(15-$HC41)*100)),100000+ABS(5-$HB41)*1000+150)),IF($HD41=0,999999,IF(5=$HE41,IF(111=$HL41,IF($JD41=2,30,0),IF(111=$HM41,IF($JD41=1,30,0),ABS(15-$HF41)*100)),100000+ABS(5-$HE41)*1000+150)),IF($HG41=0,999999,IF(5=$HH41,IF(111=$HN41,IF($JE41=2,30,0),IF(111=$HO41,IF($JE41=1,30,0),ABS(15-$HI41)*100)),100000+ABS(5-$HH41)*1000+150)))-IF((111=$HJ41)+(111=$HK41)+(111=$HL41)+(111=$HM41)+(111=$HN41)+(111=$HO41)&gt;=2,50,0))+DJ$5*50)</f>
        <v/>
      </c>
      <c r="DK161">
        <f>IF(OR($JF41=0,calcA!$A$6=0),0,IF(OR(112=$HA41,112=$HD41,112=$HG41),200000,MIN(IF($HA41=0,999999,IF(5=$HB41,IF(112=$HJ41,IF($JC41=2,30,0),IF(112=$HK41,IF($JC41=1,30,0),ABS(16-$HC41)*100)),100000+ABS(5-$HB41)*1000+160)),IF($HD41=0,999999,IF(5=$HE41,IF(112=$HL41,IF($JD41=2,30,0),IF(112=$HM41,IF($JD41=1,30,0),ABS(16-$HF41)*100)),100000+ABS(5-$HE41)*1000+160)),IF($HG41=0,999999,IF(5=$HH41,IF(112=$HN41,IF($JE41=2,30,0),IF(112=$HO41,IF($JE41=1,30,0),ABS(16-$HI41)*100)),100000+ABS(5-$HH41)*1000+160)))-IF((112=$HJ41)+(112=$HK41)+(112=$HL41)+(112=$HM41)+(112=$HN41)+(112=$HO41)&gt;=2,50,0))+DK$5*50)</f>
        <v/>
      </c>
      <c r="DL161">
        <f>IF(OR($JF41=0,calcA!$A$6=0),0,IF(OR(113=$HA41,113=$HD41,113=$HG41),200000,MIN(IF($HA41=0,999999,IF(5=$HB41,IF(113=$HJ41,IF($JC41=2,30,0),IF(113=$HK41,IF($JC41=1,30,0),ABS(17-$HC41)*100)),100000+ABS(5-$HB41)*1000+170)),IF($HD41=0,999999,IF(5=$HE41,IF(113=$HL41,IF($JD41=2,30,0),IF(113=$HM41,IF($JD41=1,30,0),ABS(17-$HF41)*100)),100000+ABS(5-$HE41)*1000+170)),IF($HG41=0,999999,IF(5=$HH41,IF(113=$HN41,IF($JE41=2,30,0),IF(113=$HO41,IF($JE41=1,30,0),ABS(17-$HI41)*100)),100000+ABS(5-$HH41)*1000+170)))-IF((113=$HJ41)+(113=$HK41)+(113=$HL41)+(113=$HM41)+(113=$HN41)+(113=$HO41)&gt;=2,50,0))+DL$5*50)</f>
        <v/>
      </c>
      <c r="DM161">
        <f>IF(OR($JF41=0,calcA!$A$6=0),0,IF(OR(114=$HA41,114=$HD41,114=$HG41),200000,MIN(IF($HA41=0,999999,IF(5=$HB41,IF(114=$HJ41,IF($JC41=2,30,0),IF(114=$HK41,IF($JC41=1,30,0),ABS(18-$HC41)*100)),100000+ABS(5-$HB41)*1000+180)),IF($HD41=0,999999,IF(5=$HE41,IF(114=$HL41,IF($JD41=2,30,0),IF(114=$HM41,IF($JD41=1,30,0),ABS(18-$HF41)*100)),100000+ABS(5-$HE41)*1000+180)),IF($HG41=0,999999,IF(5=$HH41,IF(114=$HN41,IF($JE41=2,30,0),IF(114=$HO41,IF($JE41=1,30,0),ABS(18-$HI41)*100)),100000+ABS(5-$HH41)*1000+180)))-IF((114=$HJ41)+(114=$HK41)+(114=$HL41)+(114=$HM41)+(114=$HN41)+(114=$HO41)&gt;=2,50,0))+DM$5*50)</f>
        <v/>
      </c>
      <c r="DN161">
        <f>IF(OR($JF41=0,calcA!$A$6=0),0,IF(OR(115=$HA41,115=$HD41,115=$HG41),200000,MIN(IF($HA41=0,999999,IF(5=$HB41,IF(115=$HJ41,IF($JC41=2,30,0),IF(115=$HK41,IF($JC41=1,30,0),ABS(19-$HC41)*100)),100000+ABS(5-$HB41)*1000+190)),IF($HD41=0,999999,IF(5=$HE41,IF(115=$HL41,IF($JD41=2,30,0),IF(115=$HM41,IF($JD41=1,30,0),ABS(19-$HF41)*100)),100000+ABS(5-$HE41)*1000+190)),IF($HG41=0,999999,IF(5=$HH41,IF(115=$HN41,IF($JE41=2,30,0),IF(115=$HO41,IF($JE41=1,30,0),ABS(19-$HI41)*100)),100000+ABS(5-$HH41)*1000+190)))-IF((115=$HJ41)+(115=$HK41)+(115=$HL41)+(115=$HM41)+(115=$HN41)+(115=$HO41)&gt;=2,50,0))+DN$5*50)</f>
        <v/>
      </c>
      <c r="DO161">
        <f>IF(OR($JF41=0,calcA!$A$6=0),0,IF(OR(116=$HA41,116=$HD41,116=$HG41),200000,MIN(IF($HA41=0,999999,IF(5=$HB41,IF(116=$HJ41,IF($JC41=2,30,0),IF(116=$HK41,IF($JC41=1,30,0),ABS(20-$HC41)*100)),100000+ABS(5-$HB41)*1000+200)),IF($HD41=0,999999,IF(5=$HE41,IF(116=$HL41,IF($JD41=2,30,0),IF(116=$HM41,IF($JD41=1,30,0),ABS(20-$HF41)*100)),100000+ABS(5-$HE41)*1000+200)),IF($HG41=0,999999,IF(5=$HH41,IF(116=$HN41,IF($JE41=2,30,0),IF(116=$HO41,IF($JE41=1,30,0),ABS(20-$HI41)*100)),100000+ABS(5-$HH41)*1000+200)))-IF((116=$HJ41)+(116=$HK41)+(116=$HL41)+(116=$HM41)+(116=$HN41)+(116=$HO41)&gt;=2,50,0))+DO$5*50)</f>
        <v/>
      </c>
      <c r="DP161">
        <f>IF(OR($JF41=0,calcA!$A$6=0),0,IF(OR(117=$HA41,117=$HD41,117=$HG41),200000,MIN(IF($HA41=0,999999,IF(5=$HB41,IF(117=$HJ41,IF($JC41=2,30,0),IF(117=$HK41,IF($JC41=1,30,0),ABS(21-$HC41)*100)),100000+ABS(5-$HB41)*1000+210)),IF($HD41=0,999999,IF(5=$HE41,IF(117=$HL41,IF($JD41=2,30,0),IF(117=$HM41,IF($JD41=1,30,0),ABS(21-$HF41)*100)),100000+ABS(5-$HE41)*1000+210)),IF($HG41=0,999999,IF(5=$HH41,IF(117=$HN41,IF($JE41=2,30,0),IF(117=$HO41,IF($JE41=1,30,0),ABS(21-$HI41)*100)),100000+ABS(5-$HH41)*1000+210)))-IF((117=$HJ41)+(117=$HK41)+(117=$HL41)+(117=$HM41)+(117=$HN41)+(117=$HO41)&gt;=2,50,0))+DP$5*50)</f>
        <v/>
      </c>
      <c r="DQ161">
        <f>IF(OR($JF41=0,calcA!$A$6=0),0,IF(OR(118=$HA41,118=$HD41,118=$HG41),200000,MIN(IF($HA41=0,999999,IF(5=$HB41,IF(118=$HJ41,IF($JC41=2,30,0),IF(118=$HK41,IF($JC41=1,30,0),ABS(22-$HC41)*100)),100000+ABS(5-$HB41)*1000+220)),IF($HD41=0,999999,IF(5=$HE41,IF(118=$HL41,IF($JD41=2,30,0),IF(118=$HM41,IF($JD41=1,30,0),ABS(22-$HF41)*100)),100000+ABS(5-$HE41)*1000+220)),IF($HG41=0,999999,IF(5=$HH41,IF(118=$HN41,IF($JE41=2,30,0),IF(118=$HO41,IF($JE41=1,30,0),ABS(22-$HI41)*100)),100000+ABS(5-$HH41)*1000+220)))-IF((118=$HJ41)+(118=$HK41)+(118=$HL41)+(118=$HM41)+(118=$HN41)+(118=$HO41)&gt;=2,50,0))+DQ$5*50)</f>
        <v/>
      </c>
      <c r="DR161">
        <f>IF(OR($JF41=0,calcA!$A$6=0),0,IF(OR(119=$HA41,119=$HD41,119=$HG41),200000,MIN(IF($HA41=0,999999,IF(5=$HB41,IF(119=$HJ41,IF($JC41=2,30,0),IF(119=$HK41,IF($JC41=1,30,0),ABS(23-$HC41)*100)),100000+ABS(5-$HB41)*1000+230)),IF($HD41=0,999999,IF(5=$HE41,IF(119=$HL41,IF($JD41=2,30,0),IF(119=$HM41,IF($JD41=1,30,0),ABS(23-$HF41)*100)),100000+ABS(5-$HE41)*1000+230)),IF($HG41=0,999999,IF(5=$HH41,IF(119=$HN41,IF($JE41=2,30,0),IF(119=$HO41,IF($JE41=1,30,0),ABS(23-$HI41)*100)),100000+ABS(5-$HH41)*1000+230)))-IF((119=$HJ41)+(119=$HK41)+(119=$HL41)+(119=$HM41)+(119=$HN41)+(119=$HO41)&gt;=2,50,0))+DR$5*50)</f>
        <v/>
      </c>
      <c r="DS161">
        <f>IF(OR($JF41=0,calcA!$A$6=0),0,IF(OR(120=$HA41,120=$HD41,120=$HG41),200000,MIN(IF($HA41=0,999999,IF(5=$HB41,IF(120=$HJ41,IF($JC41=2,30,0),IF(120=$HK41,IF($JC41=1,30,0),ABS(24-$HC41)*100)),100000+ABS(5-$HB41)*1000+240)),IF($HD41=0,999999,IF(5=$HE41,IF(120=$HL41,IF($JD41=2,30,0),IF(120=$HM41,IF($JD41=1,30,0),ABS(24-$HF41)*100)),100000+ABS(5-$HE41)*1000+240)),IF($HG41=0,999999,IF(5=$HH41,IF(120=$HN41,IF($JE41=2,30,0),IF(120=$HO41,IF($JE41=1,30,0),ABS(24-$HI41)*100)),100000+ABS(5-$HH41)*1000+240)))-IF((120=$HJ41)+(120=$HK41)+(120=$HL41)+(120=$HM41)+(120=$HN41)+(120=$HO41)&gt;=2,50,0))+DS$5*50)</f>
        <v/>
      </c>
      <c r="DT161">
        <f>IF(OR($JF41=0,calcA!$A$6=0),0,IF(OR(121=$HA41,121=$HD41,121=$HG41),200000,MIN(IF($HA41=0,999999,IF(6=$HB41,IF(121=$HJ41,IF($JC41=2,30,0),IF(121=$HK41,IF($JC41=1,30,0),ABS(1-$HC41)*100)),100000+ABS(6-$HB41)*1000+10)),IF($HD41=0,999999,IF(6=$HE41,IF(121=$HL41,IF($JD41=2,30,0),IF(121=$HM41,IF($JD41=1,30,0),ABS(1-$HF41)*100)),100000+ABS(6-$HE41)*1000+10)),IF($HG41=0,999999,IF(6=$HH41,IF(121=$HN41,IF($JE41=2,30,0),IF(121=$HO41,IF($JE41=1,30,0),ABS(1-$HI41)*100)),100000+ABS(6-$HH41)*1000+10)))-IF((121=$HJ41)+(121=$HK41)+(121=$HL41)+(121=$HM41)+(121=$HN41)+(121=$HO41)&gt;=2,50,0))+DT$5*50)</f>
        <v/>
      </c>
      <c r="DU161">
        <f>IF(OR($JF41=0,calcA!$A$6=0),0,IF(OR(122=$HA41,122=$HD41,122=$HG41),200000,MIN(IF($HA41=0,999999,IF(6=$HB41,IF(122=$HJ41,IF($JC41=2,30,0),IF(122=$HK41,IF($JC41=1,30,0),ABS(2-$HC41)*100)),100000+ABS(6-$HB41)*1000+20)),IF($HD41=0,999999,IF(6=$HE41,IF(122=$HL41,IF($JD41=2,30,0),IF(122=$HM41,IF($JD41=1,30,0),ABS(2-$HF41)*100)),100000+ABS(6-$HE41)*1000+20)),IF($HG41=0,999999,IF(6=$HH41,IF(122=$HN41,IF($JE41=2,30,0),IF(122=$HO41,IF($JE41=1,30,0),ABS(2-$HI41)*100)),100000+ABS(6-$HH41)*1000+20)))-IF((122=$HJ41)+(122=$HK41)+(122=$HL41)+(122=$HM41)+(122=$HN41)+(122=$HO41)&gt;=2,50,0))+DU$5*50)</f>
        <v/>
      </c>
      <c r="DV161">
        <f>IF(OR($JF41=0,calcA!$A$6=0),0,IF(OR(123=$HA41,123=$HD41,123=$HG41),200000,MIN(IF($HA41=0,999999,IF(6=$HB41,IF(123=$HJ41,IF($JC41=2,30,0),IF(123=$HK41,IF($JC41=1,30,0),ABS(3-$HC41)*100)),100000+ABS(6-$HB41)*1000+30)),IF($HD41=0,999999,IF(6=$HE41,IF(123=$HL41,IF($JD41=2,30,0),IF(123=$HM41,IF($JD41=1,30,0),ABS(3-$HF41)*100)),100000+ABS(6-$HE41)*1000+30)),IF($HG41=0,999999,IF(6=$HH41,IF(123=$HN41,IF($JE41=2,30,0),IF(123=$HO41,IF($JE41=1,30,0),ABS(3-$HI41)*100)),100000+ABS(6-$HH41)*1000+30)))-IF((123=$HJ41)+(123=$HK41)+(123=$HL41)+(123=$HM41)+(123=$HN41)+(123=$HO41)&gt;=2,50,0))+DV$5*50)</f>
        <v/>
      </c>
      <c r="DW161">
        <f>IF(OR($JF41=0,calcA!$A$6=0),0,IF(OR(124=$HA41,124=$HD41,124=$HG41),200000,MIN(IF($HA41=0,999999,IF(6=$HB41,IF(124=$HJ41,IF($JC41=2,30,0),IF(124=$HK41,IF($JC41=1,30,0),ABS(4-$HC41)*100)),100000+ABS(6-$HB41)*1000+40)),IF($HD41=0,999999,IF(6=$HE41,IF(124=$HL41,IF($JD41=2,30,0),IF(124=$HM41,IF($JD41=1,30,0),ABS(4-$HF41)*100)),100000+ABS(6-$HE41)*1000+40)),IF($HG41=0,999999,IF(6=$HH41,IF(124=$HN41,IF($JE41=2,30,0),IF(124=$HO41,IF($JE41=1,30,0),ABS(4-$HI41)*100)),100000+ABS(6-$HH41)*1000+40)))-IF((124=$HJ41)+(124=$HK41)+(124=$HL41)+(124=$HM41)+(124=$HN41)+(124=$HO41)&gt;=2,50,0))+DW$5*50)</f>
        <v/>
      </c>
      <c r="DX161">
        <f>IF(OR($JF41=0,calcA!$A$6=0),0,IF(OR(125=$HA41,125=$HD41,125=$HG41),200000,MIN(IF($HA41=0,999999,IF(6=$HB41,IF(125=$HJ41,IF($JC41=2,30,0),IF(125=$HK41,IF($JC41=1,30,0),ABS(5-$HC41)*100)),100000+ABS(6-$HB41)*1000+50)),IF($HD41=0,999999,IF(6=$HE41,IF(125=$HL41,IF($JD41=2,30,0),IF(125=$HM41,IF($JD41=1,30,0),ABS(5-$HF41)*100)),100000+ABS(6-$HE41)*1000+50)),IF($HG41=0,999999,IF(6=$HH41,IF(125=$HN41,IF($JE41=2,30,0),IF(125=$HO41,IF($JE41=1,30,0),ABS(5-$HI41)*100)),100000+ABS(6-$HH41)*1000+50)))-IF((125=$HJ41)+(125=$HK41)+(125=$HL41)+(125=$HM41)+(125=$HN41)+(125=$HO41)&gt;=2,50,0))+DX$5*50)</f>
        <v/>
      </c>
      <c r="DY161">
        <f>IF(OR($JF41=0,calcA!$A$6=0),0,IF(OR(126=$HA41,126=$HD41,126=$HG41),200000,MIN(IF($HA41=0,999999,IF(6=$HB41,IF(126=$HJ41,IF($JC41=2,30,0),IF(126=$HK41,IF($JC41=1,30,0),ABS(6-$HC41)*100)),100000+ABS(6-$HB41)*1000+60)),IF($HD41=0,999999,IF(6=$HE41,IF(126=$HL41,IF($JD41=2,30,0),IF(126=$HM41,IF($JD41=1,30,0),ABS(6-$HF41)*100)),100000+ABS(6-$HE41)*1000+60)),IF($HG41=0,999999,IF(6=$HH41,IF(126=$HN41,IF($JE41=2,30,0),IF(126=$HO41,IF($JE41=1,30,0),ABS(6-$HI41)*100)),100000+ABS(6-$HH41)*1000+60)))-IF((126=$HJ41)+(126=$HK41)+(126=$HL41)+(126=$HM41)+(126=$HN41)+(126=$HO41)&gt;=2,50,0))+DY$5*50)</f>
        <v/>
      </c>
      <c r="DZ161">
        <f>IF(OR($JF41=0,calcA!$A$6=0),0,IF(OR(127=$HA41,127=$HD41,127=$HG41),200000,MIN(IF($HA41=0,999999,IF(6=$HB41,IF(127=$HJ41,IF($JC41=2,30,0),IF(127=$HK41,IF($JC41=1,30,0),ABS(7-$HC41)*100)),100000+ABS(6-$HB41)*1000+70)),IF($HD41=0,999999,IF(6=$HE41,IF(127=$HL41,IF($JD41=2,30,0),IF(127=$HM41,IF($JD41=1,30,0),ABS(7-$HF41)*100)),100000+ABS(6-$HE41)*1000+70)),IF($HG41=0,999999,IF(6=$HH41,IF(127=$HN41,IF($JE41=2,30,0),IF(127=$HO41,IF($JE41=1,30,0),ABS(7-$HI41)*100)),100000+ABS(6-$HH41)*1000+70)))-IF((127=$HJ41)+(127=$HK41)+(127=$HL41)+(127=$HM41)+(127=$HN41)+(127=$HO41)&gt;=2,50,0))+DZ$5*50)</f>
        <v/>
      </c>
      <c r="EA161">
        <f>IF(OR($JF41=0,calcA!$A$6=0),0,IF(OR(128=$HA41,128=$HD41,128=$HG41),200000,MIN(IF($HA41=0,999999,IF(6=$HB41,IF(128=$HJ41,IF($JC41=2,30,0),IF(128=$HK41,IF($JC41=1,30,0),ABS(8-$HC41)*100)),100000+ABS(6-$HB41)*1000+80)),IF($HD41=0,999999,IF(6=$HE41,IF(128=$HL41,IF($JD41=2,30,0),IF(128=$HM41,IF($JD41=1,30,0),ABS(8-$HF41)*100)),100000+ABS(6-$HE41)*1000+80)),IF($HG41=0,999999,IF(6=$HH41,IF(128=$HN41,IF($JE41=2,30,0),IF(128=$HO41,IF($JE41=1,30,0),ABS(8-$HI41)*100)),100000+ABS(6-$HH41)*1000+80)))-IF((128=$HJ41)+(128=$HK41)+(128=$HL41)+(128=$HM41)+(128=$HN41)+(128=$HO41)&gt;=2,50,0))+EA$5*50)</f>
        <v/>
      </c>
      <c r="EB161">
        <f>IF(OR($JF41=0,calcA!$A$6=0),0,IF(OR(129=$HA41,129=$HD41,129=$HG41),200000,MIN(IF($HA41=0,999999,IF(6=$HB41,IF(129=$HJ41,IF($JC41=2,30,0),IF(129=$HK41,IF($JC41=1,30,0),ABS(9-$HC41)*100)),100000+ABS(6-$HB41)*1000+90)),IF($HD41=0,999999,IF(6=$HE41,IF(129=$HL41,IF($JD41=2,30,0),IF(129=$HM41,IF($JD41=1,30,0),ABS(9-$HF41)*100)),100000+ABS(6-$HE41)*1000+90)),IF($HG41=0,999999,IF(6=$HH41,IF(129=$HN41,IF($JE41=2,30,0),IF(129=$HO41,IF($JE41=1,30,0),ABS(9-$HI41)*100)),100000+ABS(6-$HH41)*1000+90)))-IF((129=$HJ41)+(129=$HK41)+(129=$HL41)+(129=$HM41)+(129=$HN41)+(129=$HO41)&gt;=2,50,0))+EB$5*50)</f>
        <v/>
      </c>
      <c r="EC161">
        <f>IF(OR($JF41=0,calcA!$A$6=0),0,IF(OR(130=$HA41,130=$HD41,130=$HG41),200000,MIN(IF($HA41=0,999999,IF(6=$HB41,IF(130=$HJ41,IF($JC41=2,30,0),IF(130=$HK41,IF($JC41=1,30,0),ABS(10-$HC41)*100)),100000+ABS(6-$HB41)*1000+100)),IF($HD41=0,999999,IF(6=$HE41,IF(130=$HL41,IF($JD41=2,30,0),IF(130=$HM41,IF($JD41=1,30,0),ABS(10-$HF41)*100)),100000+ABS(6-$HE41)*1000+100)),IF($HG41=0,999999,IF(6=$HH41,IF(130=$HN41,IF($JE41=2,30,0),IF(130=$HO41,IF($JE41=1,30,0),ABS(10-$HI41)*100)),100000+ABS(6-$HH41)*1000+100)))-IF((130=$HJ41)+(130=$HK41)+(130=$HL41)+(130=$HM41)+(130=$HN41)+(130=$HO41)&gt;=2,50,0))+EC$5*50)</f>
        <v/>
      </c>
      <c r="ED161">
        <f>IF(OR($JF41=0,calcA!$A$6=0),0,IF(OR(131=$HA41,131=$HD41,131=$HG41),200000,MIN(IF($HA41=0,999999,IF(6=$HB41,IF(131=$HJ41,IF($JC41=2,30,0),IF(131=$HK41,IF($JC41=1,30,0),ABS(11-$HC41)*100)),100000+ABS(6-$HB41)*1000+110)),IF($HD41=0,999999,IF(6=$HE41,IF(131=$HL41,IF($JD41=2,30,0),IF(131=$HM41,IF($JD41=1,30,0),ABS(11-$HF41)*100)),100000+ABS(6-$HE41)*1000+110)),IF($HG41=0,999999,IF(6=$HH41,IF(131=$HN41,IF($JE41=2,30,0),IF(131=$HO41,IF($JE41=1,30,0),ABS(11-$HI41)*100)),100000+ABS(6-$HH41)*1000+110)))-IF((131=$HJ41)+(131=$HK41)+(131=$HL41)+(131=$HM41)+(131=$HN41)+(131=$HO41)&gt;=2,50,0))+ED$5*50)</f>
        <v/>
      </c>
      <c r="EE161">
        <f>IF(OR($JF41=0,calcA!$A$6=0),0,IF(OR(132=$HA41,132=$HD41,132=$HG41),200000,MIN(IF($HA41=0,999999,IF(6=$HB41,IF(132=$HJ41,IF($JC41=2,30,0),IF(132=$HK41,IF($JC41=1,30,0),ABS(12-$HC41)*100)),100000+ABS(6-$HB41)*1000+120)),IF($HD41=0,999999,IF(6=$HE41,IF(132=$HL41,IF($JD41=2,30,0),IF(132=$HM41,IF($JD41=1,30,0),ABS(12-$HF41)*100)),100000+ABS(6-$HE41)*1000+120)),IF($HG41=0,999999,IF(6=$HH41,IF(132=$HN41,IF($JE41=2,30,0),IF(132=$HO41,IF($JE41=1,30,0),ABS(12-$HI41)*100)),100000+ABS(6-$HH41)*1000+120)))-IF((132=$HJ41)+(132=$HK41)+(132=$HL41)+(132=$HM41)+(132=$HN41)+(132=$HO41)&gt;=2,50,0))+EE$5*50)</f>
        <v/>
      </c>
      <c r="EF161">
        <f>IF(OR($JF41=0,calcA!$A$6=0),0,IF(OR(133=$HA41,133=$HD41,133=$HG41),200000,MIN(IF($HA41=0,999999,IF(6=$HB41,IF(133=$HJ41,IF($JC41=2,30,0),IF(133=$HK41,IF($JC41=1,30,0),ABS(13-$HC41)*100)),100000+ABS(6-$HB41)*1000+130)),IF($HD41=0,999999,IF(6=$HE41,IF(133=$HL41,IF($JD41=2,30,0),IF(133=$HM41,IF($JD41=1,30,0),ABS(13-$HF41)*100)),100000+ABS(6-$HE41)*1000+130)),IF($HG41=0,999999,IF(6=$HH41,IF(133=$HN41,IF($JE41=2,30,0),IF(133=$HO41,IF($JE41=1,30,0),ABS(13-$HI41)*100)),100000+ABS(6-$HH41)*1000+130)))-IF((133=$HJ41)+(133=$HK41)+(133=$HL41)+(133=$HM41)+(133=$HN41)+(133=$HO41)&gt;=2,50,0))+EF$5*50)</f>
        <v/>
      </c>
      <c r="EG161">
        <f>IF(OR($JF41=0,calcA!$A$6=0),0,IF(OR(134=$HA41,134=$HD41,134=$HG41),200000,MIN(IF($HA41=0,999999,IF(6=$HB41,IF(134=$HJ41,IF($JC41=2,30,0),IF(134=$HK41,IF($JC41=1,30,0),ABS(14-$HC41)*100)),100000+ABS(6-$HB41)*1000+140)),IF($HD41=0,999999,IF(6=$HE41,IF(134=$HL41,IF($JD41=2,30,0),IF(134=$HM41,IF($JD41=1,30,0),ABS(14-$HF41)*100)),100000+ABS(6-$HE41)*1000+140)),IF($HG41=0,999999,IF(6=$HH41,IF(134=$HN41,IF($JE41=2,30,0),IF(134=$HO41,IF($JE41=1,30,0),ABS(14-$HI41)*100)),100000+ABS(6-$HH41)*1000+140)))-IF((134=$HJ41)+(134=$HK41)+(134=$HL41)+(134=$HM41)+(134=$HN41)+(134=$HO41)&gt;=2,50,0))+EG$5*50)</f>
        <v/>
      </c>
      <c r="EH161">
        <f>IF(OR($JF41=0,calcA!$A$6=0),0,IF(OR(135=$HA41,135=$HD41,135=$HG41),200000,MIN(IF($HA41=0,999999,IF(6=$HB41,IF(135=$HJ41,IF($JC41=2,30,0),IF(135=$HK41,IF($JC41=1,30,0),ABS(15-$HC41)*100)),100000+ABS(6-$HB41)*1000+150)),IF($HD41=0,999999,IF(6=$HE41,IF(135=$HL41,IF($JD41=2,30,0),IF(135=$HM41,IF($JD41=1,30,0),ABS(15-$HF41)*100)),100000+ABS(6-$HE41)*1000+150)),IF($HG41=0,999999,IF(6=$HH41,IF(135=$HN41,IF($JE41=2,30,0),IF(135=$HO41,IF($JE41=1,30,0),ABS(15-$HI41)*100)),100000+ABS(6-$HH41)*1000+150)))-IF((135=$HJ41)+(135=$HK41)+(135=$HL41)+(135=$HM41)+(135=$HN41)+(135=$HO41)&gt;=2,50,0))+EH$5*50)</f>
        <v/>
      </c>
      <c r="EI161">
        <f>IF(OR($JF41=0,calcA!$A$6=0),0,IF(OR(136=$HA41,136=$HD41,136=$HG41),200000,MIN(IF($HA41=0,999999,IF(6=$HB41,IF(136=$HJ41,IF($JC41=2,30,0),IF(136=$HK41,IF($JC41=1,30,0),ABS(16-$HC41)*100)),100000+ABS(6-$HB41)*1000+160)),IF($HD41=0,999999,IF(6=$HE41,IF(136=$HL41,IF($JD41=2,30,0),IF(136=$HM41,IF($JD41=1,30,0),ABS(16-$HF41)*100)),100000+ABS(6-$HE41)*1000+160)),IF($HG41=0,999999,IF(6=$HH41,IF(136=$HN41,IF($JE41=2,30,0),IF(136=$HO41,IF($JE41=1,30,0),ABS(16-$HI41)*100)),100000+ABS(6-$HH41)*1000+160)))-IF((136=$HJ41)+(136=$HK41)+(136=$HL41)+(136=$HM41)+(136=$HN41)+(136=$HO41)&gt;=2,50,0))+EI$5*50)</f>
        <v/>
      </c>
      <c r="EJ161">
        <f>IF(OR($JF41=0,calcA!$A$6=0),0,IF(OR(137=$HA41,137=$HD41,137=$HG41),200000,MIN(IF($HA41=0,999999,IF(6=$HB41,IF(137=$HJ41,IF($JC41=2,30,0),IF(137=$HK41,IF($JC41=1,30,0),ABS(17-$HC41)*100)),100000+ABS(6-$HB41)*1000+170)),IF($HD41=0,999999,IF(6=$HE41,IF(137=$HL41,IF($JD41=2,30,0),IF(137=$HM41,IF($JD41=1,30,0),ABS(17-$HF41)*100)),100000+ABS(6-$HE41)*1000+170)),IF($HG41=0,999999,IF(6=$HH41,IF(137=$HN41,IF($JE41=2,30,0),IF(137=$HO41,IF($JE41=1,30,0),ABS(17-$HI41)*100)),100000+ABS(6-$HH41)*1000+170)))-IF((137=$HJ41)+(137=$HK41)+(137=$HL41)+(137=$HM41)+(137=$HN41)+(137=$HO41)&gt;=2,50,0))+EJ$5*50)</f>
        <v/>
      </c>
      <c r="EK161">
        <f>IF(OR($JF41=0,calcA!$A$6=0),0,IF(OR(138=$HA41,138=$HD41,138=$HG41),200000,MIN(IF($HA41=0,999999,IF(6=$HB41,IF(138=$HJ41,IF($JC41=2,30,0),IF(138=$HK41,IF($JC41=1,30,0),ABS(18-$HC41)*100)),100000+ABS(6-$HB41)*1000+180)),IF($HD41=0,999999,IF(6=$HE41,IF(138=$HL41,IF($JD41=2,30,0),IF(138=$HM41,IF($JD41=1,30,0),ABS(18-$HF41)*100)),100000+ABS(6-$HE41)*1000+180)),IF($HG41=0,999999,IF(6=$HH41,IF(138=$HN41,IF($JE41=2,30,0),IF(138=$HO41,IF($JE41=1,30,0),ABS(18-$HI41)*100)),100000+ABS(6-$HH41)*1000+180)))-IF((138=$HJ41)+(138=$HK41)+(138=$HL41)+(138=$HM41)+(138=$HN41)+(138=$HO41)&gt;=2,50,0))+EK$5*50)</f>
        <v/>
      </c>
      <c r="EL161">
        <f>IF(OR($JF41=0,calcA!$A$6=0),0,IF(OR(139=$HA41,139=$HD41,139=$HG41),200000,MIN(IF($HA41=0,999999,IF(6=$HB41,IF(139=$HJ41,IF($JC41=2,30,0),IF(139=$HK41,IF($JC41=1,30,0),ABS(19-$HC41)*100)),100000+ABS(6-$HB41)*1000+190)),IF($HD41=0,999999,IF(6=$HE41,IF(139=$HL41,IF($JD41=2,30,0),IF(139=$HM41,IF($JD41=1,30,0),ABS(19-$HF41)*100)),100000+ABS(6-$HE41)*1000+190)),IF($HG41=0,999999,IF(6=$HH41,IF(139=$HN41,IF($JE41=2,30,0),IF(139=$HO41,IF($JE41=1,30,0),ABS(19-$HI41)*100)),100000+ABS(6-$HH41)*1000+190)))-IF((139=$HJ41)+(139=$HK41)+(139=$HL41)+(139=$HM41)+(139=$HN41)+(139=$HO41)&gt;=2,50,0))+EL$5*50)</f>
        <v/>
      </c>
      <c r="EM161">
        <f>IF(OR($JF41=0,calcA!$A$6=0),0,IF(OR(140=$HA41,140=$HD41,140=$HG41),200000,MIN(IF($HA41=0,999999,IF(6=$HB41,IF(140=$HJ41,IF($JC41=2,30,0),IF(140=$HK41,IF($JC41=1,30,0),ABS(20-$HC41)*100)),100000+ABS(6-$HB41)*1000+200)),IF($HD41=0,999999,IF(6=$HE41,IF(140=$HL41,IF($JD41=2,30,0),IF(140=$HM41,IF($JD41=1,30,0),ABS(20-$HF41)*100)),100000+ABS(6-$HE41)*1000+200)),IF($HG41=0,999999,IF(6=$HH41,IF(140=$HN41,IF($JE41=2,30,0),IF(140=$HO41,IF($JE41=1,30,0),ABS(20-$HI41)*100)),100000+ABS(6-$HH41)*1000+200)))-IF((140=$HJ41)+(140=$HK41)+(140=$HL41)+(140=$HM41)+(140=$HN41)+(140=$HO41)&gt;=2,50,0))+EM$5*50)</f>
        <v/>
      </c>
      <c r="EN161">
        <f>IF(OR($JF41=0,calcA!$A$6=0),0,IF(OR(141=$HA41,141=$HD41,141=$HG41),200000,MIN(IF($HA41=0,999999,IF(6=$HB41,IF(141=$HJ41,IF($JC41=2,30,0),IF(141=$HK41,IF($JC41=1,30,0),ABS(21-$HC41)*100)),100000+ABS(6-$HB41)*1000+210)),IF($HD41=0,999999,IF(6=$HE41,IF(141=$HL41,IF($JD41=2,30,0),IF(141=$HM41,IF($JD41=1,30,0),ABS(21-$HF41)*100)),100000+ABS(6-$HE41)*1000+210)),IF($HG41=0,999999,IF(6=$HH41,IF(141=$HN41,IF($JE41=2,30,0),IF(141=$HO41,IF($JE41=1,30,0),ABS(21-$HI41)*100)),100000+ABS(6-$HH41)*1000+210)))-IF((141=$HJ41)+(141=$HK41)+(141=$HL41)+(141=$HM41)+(141=$HN41)+(141=$HO41)&gt;=2,50,0))+EN$5*50)</f>
        <v/>
      </c>
      <c r="EO161">
        <f>IF(OR($JF41=0,calcA!$A$6=0),0,IF(OR(142=$HA41,142=$HD41,142=$HG41),200000,MIN(IF($HA41=0,999999,IF(6=$HB41,IF(142=$HJ41,IF($JC41=2,30,0),IF(142=$HK41,IF($JC41=1,30,0),ABS(22-$HC41)*100)),100000+ABS(6-$HB41)*1000+220)),IF($HD41=0,999999,IF(6=$HE41,IF(142=$HL41,IF($JD41=2,30,0),IF(142=$HM41,IF($JD41=1,30,0),ABS(22-$HF41)*100)),100000+ABS(6-$HE41)*1000+220)),IF($HG41=0,999999,IF(6=$HH41,IF(142=$HN41,IF($JE41=2,30,0),IF(142=$HO41,IF($JE41=1,30,0),ABS(22-$HI41)*100)),100000+ABS(6-$HH41)*1000+220)))-IF((142=$HJ41)+(142=$HK41)+(142=$HL41)+(142=$HM41)+(142=$HN41)+(142=$HO41)&gt;=2,50,0))+EO$5*50)</f>
        <v/>
      </c>
      <c r="EP161">
        <f>IF(OR($JF41=0,calcA!$A$6=0),0,IF(OR(143=$HA41,143=$HD41,143=$HG41),200000,MIN(IF($HA41=0,999999,IF(6=$HB41,IF(143=$HJ41,IF($JC41=2,30,0),IF(143=$HK41,IF($JC41=1,30,0),ABS(23-$HC41)*100)),100000+ABS(6-$HB41)*1000+230)),IF($HD41=0,999999,IF(6=$HE41,IF(143=$HL41,IF($JD41=2,30,0),IF(143=$HM41,IF($JD41=1,30,0),ABS(23-$HF41)*100)),100000+ABS(6-$HE41)*1000+230)),IF($HG41=0,999999,IF(6=$HH41,IF(143=$HN41,IF($JE41=2,30,0),IF(143=$HO41,IF($JE41=1,30,0),ABS(23-$HI41)*100)),100000+ABS(6-$HH41)*1000+230)))-IF((143=$HJ41)+(143=$HK41)+(143=$HL41)+(143=$HM41)+(143=$HN41)+(143=$HO41)&gt;=2,50,0))+EP$5*50)</f>
        <v/>
      </c>
      <c r="EQ161">
        <f>IF(OR($JF41=0,calcA!$A$6=0),0,IF(OR(144=$HA41,144=$HD41,144=$HG41),200000,MIN(IF($HA41=0,999999,IF(6=$HB41,IF(144=$HJ41,IF($JC41=2,30,0),IF(144=$HK41,IF($JC41=1,30,0),ABS(24-$HC41)*100)),100000+ABS(6-$HB41)*1000+240)),IF($HD41=0,999999,IF(6=$HE41,IF(144=$HL41,IF($JD41=2,30,0),IF(144=$HM41,IF($JD41=1,30,0),ABS(24-$HF41)*100)),100000+ABS(6-$HE41)*1000+240)),IF($HG41=0,999999,IF(6=$HH41,IF(144=$HN41,IF($JE41=2,30,0),IF(144=$HO41,IF($JE41=1,30,0),ABS(24-$HI41)*100)),100000+ABS(6-$HH41)*1000+240)))-IF((144=$HJ41)+(144=$HK41)+(144=$HL41)+(144=$HM41)+(144=$HN41)+(144=$HO41)&gt;=2,50,0))+EQ$5*50)</f>
        <v/>
      </c>
    </row>
    <row r="162">
      <c r="D162">
        <f>IF(OR($JF42=0,calcA!$A$6=0),0,IF(OR(1=$HA42,1=$HD42,1=$HG42),200000,MIN(IF($HA42=0,999999,IF(1=$HB42,IF(1=$HJ42,IF($JC42=2,30,0),IF(1=$HK42,IF($JC42=1,30,0),ABS(1-$HC42)*100)),100000+ABS(1-$HB42)*1000+10)),IF($HD42=0,999999,IF(1=$HE42,IF(1=$HL42,IF($JD42=2,30,0),IF(1=$HM42,IF($JD42=1,30,0),ABS(1-$HF42)*100)),100000+ABS(1-$HE42)*1000+10)),IF($HG42=0,999999,IF(1=$HH42,IF(1=$HN42,IF($JE42=2,30,0),IF(1=$HO42,IF($JE42=1,30,0),ABS(1-$HI42)*100)),100000+ABS(1-$HH42)*1000+10)))-IF((1=$HJ42)+(1=$HK42)+(1=$HL42)+(1=$HM42)+(1=$HN42)+(1=$HO42)&gt;=2,50,0))+D$5*50)</f>
        <v/>
      </c>
      <c r="E162">
        <f>IF(OR($JF42=0,calcA!$A$6=0),0,IF(OR(2=$HA42,2=$HD42,2=$HG42),200000,MIN(IF($HA42=0,999999,IF(1=$HB42,IF(2=$HJ42,IF($JC42=2,30,0),IF(2=$HK42,IF($JC42=1,30,0),ABS(2-$HC42)*100)),100000+ABS(1-$HB42)*1000+20)),IF($HD42=0,999999,IF(1=$HE42,IF(2=$HL42,IF($JD42=2,30,0),IF(2=$HM42,IF($JD42=1,30,0),ABS(2-$HF42)*100)),100000+ABS(1-$HE42)*1000+20)),IF($HG42=0,999999,IF(1=$HH42,IF(2=$HN42,IF($JE42=2,30,0),IF(2=$HO42,IF($JE42=1,30,0),ABS(2-$HI42)*100)),100000+ABS(1-$HH42)*1000+20)))-IF((2=$HJ42)+(2=$HK42)+(2=$HL42)+(2=$HM42)+(2=$HN42)+(2=$HO42)&gt;=2,50,0))+E$5*50)</f>
        <v/>
      </c>
      <c r="F162">
        <f>IF(OR($JF42=0,calcA!$A$6=0),0,IF(OR(3=$HA42,3=$HD42,3=$HG42),200000,MIN(IF($HA42=0,999999,IF(1=$HB42,IF(3=$HJ42,IF($JC42=2,30,0),IF(3=$HK42,IF($JC42=1,30,0),ABS(3-$HC42)*100)),100000+ABS(1-$HB42)*1000+30)),IF($HD42=0,999999,IF(1=$HE42,IF(3=$HL42,IF($JD42=2,30,0),IF(3=$HM42,IF($JD42=1,30,0),ABS(3-$HF42)*100)),100000+ABS(1-$HE42)*1000+30)),IF($HG42=0,999999,IF(1=$HH42,IF(3=$HN42,IF($JE42=2,30,0),IF(3=$HO42,IF($JE42=1,30,0),ABS(3-$HI42)*100)),100000+ABS(1-$HH42)*1000+30)))-IF((3=$HJ42)+(3=$HK42)+(3=$HL42)+(3=$HM42)+(3=$HN42)+(3=$HO42)&gt;=2,50,0))+F$5*50)</f>
        <v/>
      </c>
      <c r="G162">
        <f>IF(OR($JF42=0,calcA!$A$6=0),0,IF(OR(4=$HA42,4=$HD42,4=$HG42),200000,MIN(IF($HA42=0,999999,IF(1=$HB42,IF(4=$HJ42,IF($JC42=2,30,0),IF(4=$HK42,IF($JC42=1,30,0),ABS(4-$HC42)*100)),100000+ABS(1-$HB42)*1000+40)),IF($HD42=0,999999,IF(1=$HE42,IF(4=$HL42,IF($JD42=2,30,0),IF(4=$HM42,IF($JD42=1,30,0),ABS(4-$HF42)*100)),100000+ABS(1-$HE42)*1000+40)),IF($HG42=0,999999,IF(1=$HH42,IF(4=$HN42,IF($JE42=2,30,0),IF(4=$HO42,IF($JE42=1,30,0),ABS(4-$HI42)*100)),100000+ABS(1-$HH42)*1000+40)))-IF((4=$HJ42)+(4=$HK42)+(4=$HL42)+(4=$HM42)+(4=$HN42)+(4=$HO42)&gt;=2,50,0))+G$5*50)</f>
        <v/>
      </c>
      <c r="H162">
        <f>IF(OR($JF42=0,calcA!$A$6=0),0,IF(OR(5=$HA42,5=$HD42,5=$HG42),200000,MIN(IF($HA42=0,999999,IF(1=$HB42,IF(5=$HJ42,IF($JC42=2,30,0),IF(5=$HK42,IF($JC42=1,30,0),ABS(5-$HC42)*100)),100000+ABS(1-$HB42)*1000+50)),IF($HD42=0,999999,IF(1=$HE42,IF(5=$HL42,IF($JD42=2,30,0),IF(5=$HM42,IF($JD42=1,30,0),ABS(5-$HF42)*100)),100000+ABS(1-$HE42)*1000+50)),IF($HG42=0,999999,IF(1=$HH42,IF(5=$HN42,IF($JE42=2,30,0),IF(5=$HO42,IF($JE42=1,30,0),ABS(5-$HI42)*100)),100000+ABS(1-$HH42)*1000+50)))-IF((5=$HJ42)+(5=$HK42)+(5=$HL42)+(5=$HM42)+(5=$HN42)+(5=$HO42)&gt;=2,50,0))+H$5*50)</f>
        <v/>
      </c>
      <c r="I162">
        <f>IF(OR($JF42=0,calcA!$A$6=0),0,IF(OR(6=$HA42,6=$HD42,6=$HG42),200000,MIN(IF($HA42=0,999999,IF(1=$HB42,IF(6=$HJ42,IF($JC42=2,30,0),IF(6=$HK42,IF($JC42=1,30,0),ABS(6-$HC42)*100)),100000+ABS(1-$HB42)*1000+60)),IF($HD42=0,999999,IF(1=$HE42,IF(6=$HL42,IF($JD42=2,30,0),IF(6=$HM42,IF($JD42=1,30,0),ABS(6-$HF42)*100)),100000+ABS(1-$HE42)*1000+60)),IF($HG42=0,999999,IF(1=$HH42,IF(6=$HN42,IF($JE42=2,30,0),IF(6=$HO42,IF($JE42=1,30,0),ABS(6-$HI42)*100)),100000+ABS(1-$HH42)*1000+60)))-IF((6=$HJ42)+(6=$HK42)+(6=$HL42)+(6=$HM42)+(6=$HN42)+(6=$HO42)&gt;=2,50,0))+I$5*50)</f>
        <v/>
      </c>
      <c r="J162">
        <f>IF(OR($JF42=0,calcA!$A$6=0),0,IF(OR(7=$HA42,7=$HD42,7=$HG42),200000,MIN(IF($HA42=0,999999,IF(1=$HB42,IF(7=$HJ42,IF($JC42=2,30,0),IF(7=$HK42,IF($JC42=1,30,0),ABS(7-$HC42)*100)),100000+ABS(1-$HB42)*1000+70)),IF($HD42=0,999999,IF(1=$HE42,IF(7=$HL42,IF($JD42=2,30,0),IF(7=$HM42,IF($JD42=1,30,0),ABS(7-$HF42)*100)),100000+ABS(1-$HE42)*1000+70)),IF($HG42=0,999999,IF(1=$HH42,IF(7=$HN42,IF($JE42=2,30,0),IF(7=$HO42,IF($JE42=1,30,0),ABS(7-$HI42)*100)),100000+ABS(1-$HH42)*1000+70)))-IF((7=$HJ42)+(7=$HK42)+(7=$HL42)+(7=$HM42)+(7=$HN42)+(7=$HO42)&gt;=2,50,0))+J$5*50)</f>
        <v/>
      </c>
      <c r="K162">
        <f>IF(OR($JF42=0,calcA!$A$6=0),0,IF(OR(8=$HA42,8=$HD42,8=$HG42),200000,MIN(IF($HA42=0,999999,IF(1=$HB42,IF(8=$HJ42,IF($JC42=2,30,0),IF(8=$HK42,IF($JC42=1,30,0),ABS(8-$HC42)*100)),100000+ABS(1-$HB42)*1000+80)),IF($HD42=0,999999,IF(1=$HE42,IF(8=$HL42,IF($JD42=2,30,0),IF(8=$HM42,IF($JD42=1,30,0),ABS(8-$HF42)*100)),100000+ABS(1-$HE42)*1000+80)),IF($HG42=0,999999,IF(1=$HH42,IF(8=$HN42,IF($JE42=2,30,0),IF(8=$HO42,IF($JE42=1,30,0),ABS(8-$HI42)*100)),100000+ABS(1-$HH42)*1000+80)))-IF((8=$HJ42)+(8=$HK42)+(8=$HL42)+(8=$HM42)+(8=$HN42)+(8=$HO42)&gt;=2,50,0))+K$5*50)</f>
        <v/>
      </c>
      <c r="L162">
        <f>IF(OR($JF42=0,calcA!$A$6=0),0,IF(OR(9=$HA42,9=$HD42,9=$HG42),200000,MIN(IF($HA42=0,999999,IF(1=$HB42,IF(9=$HJ42,IF($JC42=2,30,0),IF(9=$HK42,IF($JC42=1,30,0),ABS(9-$HC42)*100)),100000+ABS(1-$HB42)*1000+90)),IF($HD42=0,999999,IF(1=$HE42,IF(9=$HL42,IF($JD42=2,30,0),IF(9=$HM42,IF($JD42=1,30,0),ABS(9-$HF42)*100)),100000+ABS(1-$HE42)*1000+90)),IF($HG42=0,999999,IF(1=$HH42,IF(9=$HN42,IF($JE42=2,30,0),IF(9=$HO42,IF($JE42=1,30,0),ABS(9-$HI42)*100)),100000+ABS(1-$HH42)*1000+90)))-IF((9=$HJ42)+(9=$HK42)+(9=$HL42)+(9=$HM42)+(9=$HN42)+(9=$HO42)&gt;=2,50,0))+L$5*50)</f>
        <v/>
      </c>
      <c r="M162">
        <f>IF(OR($JF42=0,calcA!$A$6=0),0,IF(OR(10=$HA42,10=$HD42,10=$HG42),200000,MIN(IF($HA42=0,999999,IF(1=$HB42,IF(10=$HJ42,IF($JC42=2,30,0),IF(10=$HK42,IF($JC42=1,30,0),ABS(10-$HC42)*100)),100000+ABS(1-$HB42)*1000+100)),IF($HD42=0,999999,IF(1=$HE42,IF(10=$HL42,IF($JD42=2,30,0),IF(10=$HM42,IF($JD42=1,30,0),ABS(10-$HF42)*100)),100000+ABS(1-$HE42)*1000+100)),IF($HG42=0,999999,IF(1=$HH42,IF(10=$HN42,IF($JE42=2,30,0),IF(10=$HO42,IF($JE42=1,30,0),ABS(10-$HI42)*100)),100000+ABS(1-$HH42)*1000+100)))-IF((10=$HJ42)+(10=$HK42)+(10=$HL42)+(10=$HM42)+(10=$HN42)+(10=$HO42)&gt;=2,50,0))+M$5*50)</f>
        <v/>
      </c>
      <c r="N162">
        <f>IF(OR($JF42=0,calcA!$A$6=0),0,IF(OR(11=$HA42,11=$HD42,11=$HG42),200000,MIN(IF($HA42=0,999999,IF(1=$HB42,IF(11=$HJ42,IF($JC42=2,30,0),IF(11=$HK42,IF($JC42=1,30,0),ABS(11-$HC42)*100)),100000+ABS(1-$HB42)*1000+110)),IF($HD42=0,999999,IF(1=$HE42,IF(11=$HL42,IF($JD42=2,30,0),IF(11=$HM42,IF($JD42=1,30,0),ABS(11-$HF42)*100)),100000+ABS(1-$HE42)*1000+110)),IF($HG42=0,999999,IF(1=$HH42,IF(11=$HN42,IF($JE42=2,30,0),IF(11=$HO42,IF($JE42=1,30,0),ABS(11-$HI42)*100)),100000+ABS(1-$HH42)*1000+110)))-IF((11=$HJ42)+(11=$HK42)+(11=$HL42)+(11=$HM42)+(11=$HN42)+(11=$HO42)&gt;=2,50,0))+N$5*50)</f>
        <v/>
      </c>
      <c r="O162">
        <f>IF(OR($JF42=0,calcA!$A$6=0),0,IF(OR(12=$HA42,12=$HD42,12=$HG42),200000,MIN(IF($HA42=0,999999,IF(1=$HB42,IF(12=$HJ42,IF($JC42=2,30,0),IF(12=$HK42,IF($JC42=1,30,0),ABS(12-$HC42)*100)),100000+ABS(1-$HB42)*1000+120)),IF($HD42=0,999999,IF(1=$HE42,IF(12=$HL42,IF($JD42=2,30,0),IF(12=$HM42,IF($JD42=1,30,0),ABS(12-$HF42)*100)),100000+ABS(1-$HE42)*1000+120)),IF($HG42=0,999999,IF(1=$HH42,IF(12=$HN42,IF($JE42=2,30,0),IF(12=$HO42,IF($JE42=1,30,0),ABS(12-$HI42)*100)),100000+ABS(1-$HH42)*1000+120)))-IF((12=$HJ42)+(12=$HK42)+(12=$HL42)+(12=$HM42)+(12=$HN42)+(12=$HO42)&gt;=2,50,0))+O$5*50)</f>
        <v/>
      </c>
      <c r="P162">
        <f>IF(OR($JF42=0,calcA!$A$6=0),0,IF(OR(13=$HA42,13=$HD42,13=$HG42),200000,MIN(IF($HA42=0,999999,IF(1=$HB42,IF(13=$HJ42,IF($JC42=2,30,0),IF(13=$HK42,IF($JC42=1,30,0),ABS(13-$HC42)*100)),100000+ABS(1-$HB42)*1000+130)),IF($HD42=0,999999,IF(1=$HE42,IF(13=$HL42,IF($JD42=2,30,0),IF(13=$HM42,IF($JD42=1,30,0),ABS(13-$HF42)*100)),100000+ABS(1-$HE42)*1000+130)),IF($HG42=0,999999,IF(1=$HH42,IF(13=$HN42,IF($JE42=2,30,0),IF(13=$HO42,IF($JE42=1,30,0),ABS(13-$HI42)*100)),100000+ABS(1-$HH42)*1000+130)))-IF((13=$HJ42)+(13=$HK42)+(13=$HL42)+(13=$HM42)+(13=$HN42)+(13=$HO42)&gt;=2,50,0))+P$5*50)</f>
        <v/>
      </c>
      <c r="Q162">
        <f>IF(OR($JF42=0,calcA!$A$6=0),0,IF(OR(14=$HA42,14=$HD42,14=$HG42),200000,MIN(IF($HA42=0,999999,IF(1=$HB42,IF(14=$HJ42,IF($JC42=2,30,0),IF(14=$HK42,IF($JC42=1,30,0),ABS(14-$HC42)*100)),100000+ABS(1-$HB42)*1000+140)),IF($HD42=0,999999,IF(1=$HE42,IF(14=$HL42,IF($JD42=2,30,0),IF(14=$HM42,IF($JD42=1,30,0),ABS(14-$HF42)*100)),100000+ABS(1-$HE42)*1000+140)),IF($HG42=0,999999,IF(1=$HH42,IF(14=$HN42,IF($JE42=2,30,0),IF(14=$HO42,IF($JE42=1,30,0),ABS(14-$HI42)*100)),100000+ABS(1-$HH42)*1000+140)))-IF((14=$HJ42)+(14=$HK42)+(14=$HL42)+(14=$HM42)+(14=$HN42)+(14=$HO42)&gt;=2,50,0))+Q$5*50)</f>
        <v/>
      </c>
      <c r="R162">
        <f>IF(OR($JF42=0,calcA!$A$6=0),0,IF(OR(15=$HA42,15=$HD42,15=$HG42),200000,MIN(IF($HA42=0,999999,IF(1=$HB42,IF(15=$HJ42,IF($JC42=2,30,0),IF(15=$HK42,IF($JC42=1,30,0),ABS(15-$HC42)*100)),100000+ABS(1-$HB42)*1000+150)),IF($HD42=0,999999,IF(1=$HE42,IF(15=$HL42,IF($JD42=2,30,0),IF(15=$HM42,IF($JD42=1,30,0),ABS(15-$HF42)*100)),100000+ABS(1-$HE42)*1000+150)),IF($HG42=0,999999,IF(1=$HH42,IF(15=$HN42,IF($JE42=2,30,0),IF(15=$HO42,IF($JE42=1,30,0),ABS(15-$HI42)*100)),100000+ABS(1-$HH42)*1000+150)))-IF((15=$HJ42)+(15=$HK42)+(15=$HL42)+(15=$HM42)+(15=$HN42)+(15=$HO42)&gt;=2,50,0))+R$5*50)</f>
        <v/>
      </c>
      <c r="S162">
        <f>IF(OR($JF42=0,calcA!$A$6=0),0,IF(OR(16=$HA42,16=$HD42,16=$HG42),200000,MIN(IF($HA42=0,999999,IF(1=$HB42,IF(16=$HJ42,IF($JC42=2,30,0),IF(16=$HK42,IF($JC42=1,30,0),ABS(16-$HC42)*100)),100000+ABS(1-$HB42)*1000+160)),IF($HD42=0,999999,IF(1=$HE42,IF(16=$HL42,IF($JD42=2,30,0),IF(16=$HM42,IF($JD42=1,30,0),ABS(16-$HF42)*100)),100000+ABS(1-$HE42)*1000+160)),IF($HG42=0,999999,IF(1=$HH42,IF(16=$HN42,IF($JE42=2,30,0),IF(16=$HO42,IF($JE42=1,30,0),ABS(16-$HI42)*100)),100000+ABS(1-$HH42)*1000+160)))-IF((16=$HJ42)+(16=$HK42)+(16=$HL42)+(16=$HM42)+(16=$HN42)+(16=$HO42)&gt;=2,50,0))+S$5*50)</f>
        <v/>
      </c>
      <c r="T162">
        <f>IF(OR($JF42=0,calcA!$A$6=0),0,IF(OR(17=$HA42,17=$HD42,17=$HG42),200000,MIN(IF($HA42=0,999999,IF(1=$HB42,IF(17=$HJ42,IF($JC42=2,30,0),IF(17=$HK42,IF($JC42=1,30,0),ABS(17-$HC42)*100)),100000+ABS(1-$HB42)*1000+170)),IF($HD42=0,999999,IF(1=$HE42,IF(17=$HL42,IF($JD42=2,30,0),IF(17=$HM42,IF($JD42=1,30,0),ABS(17-$HF42)*100)),100000+ABS(1-$HE42)*1000+170)),IF($HG42=0,999999,IF(1=$HH42,IF(17=$HN42,IF($JE42=2,30,0),IF(17=$HO42,IF($JE42=1,30,0),ABS(17-$HI42)*100)),100000+ABS(1-$HH42)*1000+170)))-IF((17=$HJ42)+(17=$HK42)+(17=$HL42)+(17=$HM42)+(17=$HN42)+(17=$HO42)&gt;=2,50,0))+T$5*50)</f>
        <v/>
      </c>
      <c r="U162">
        <f>IF(OR($JF42=0,calcA!$A$6=0),0,IF(OR(18=$HA42,18=$HD42,18=$HG42),200000,MIN(IF($HA42=0,999999,IF(1=$HB42,IF(18=$HJ42,IF($JC42=2,30,0),IF(18=$HK42,IF($JC42=1,30,0),ABS(18-$HC42)*100)),100000+ABS(1-$HB42)*1000+180)),IF($HD42=0,999999,IF(1=$HE42,IF(18=$HL42,IF($JD42=2,30,0),IF(18=$HM42,IF($JD42=1,30,0),ABS(18-$HF42)*100)),100000+ABS(1-$HE42)*1000+180)),IF($HG42=0,999999,IF(1=$HH42,IF(18=$HN42,IF($JE42=2,30,0),IF(18=$HO42,IF($JE42=1,30,0),ABS(18-$HI42)*100)),100000+ABS(1-$HH42)*1000+180)))-IF((18=$HJ42)+(18=$HK42)+(18=$HL42)+(18=$HM42)+(18=$HN42)+(18=$HO42)&gt;=2,50,0))+U$5*50)</f>
        <v/>
      </c>
      <c r="V162">
        <f>IF(OR($JF42=0,calcA!$A$6=0),0,IF(OR(19=$HA42,19=$HD42,19=$HG42),200000,MIN(IF($HA42=0,999999,IF(1=$HB42,IF(19=$HJ42,IF($JC42=2,30,0),IF(19=$HK42,IF($JC42=1,30,0),ABS(19-$HC42)*100)),100000+ABS(1-$HB42)*1000+190)),IF($HD42=0,999999,IF(1=$HE42,IF(19=$HL42,IF($JD42=2,30,0),IF(19=$HM42,IF($JD42=1,30,0),ABS(19-$HF42)*100)),100000+ABS(1-$HE42)*1000+190)),IF($HG42=0,999999,IF(1=$HH42,IF(19=$HN42,IF($JE42=2,30,0),IF(19=$HO42,IF($JE42=1,30,0),ABS(19-$HI42)*100)),100000+ABS(1-$HH42)*1000+190)))-IF((19=$HJ42)+(19=$HK42)+(19=$HL42)+(19=$HM42)+(19=$HN42)+(19=$HO42)&gt;=2,50,0))+V$5*50)</f>
        <v/>
      </c>
      <c r="W162">
        <f>IF(OR($JF42=0,calcA!$A$6=0),0,IF(OR(20=$HA42,20=$HD42,20=$HG42),200000,MIN(IF($HA42=0,999999,IF(1=$HB42,IF(20=$HJ42,IF($JC42=2,30,0),IF(20=$HK42,IF($JC42=1,30,0),ABS(20-$HC42)*100)),100000+ABS(1-$HB42)*1000+200)),IF($HD42=0,999999,IF(1=$HE42,IF(20=$HL42,IF($JD42=2,30,0),IF(20=$HM42,IF($JD42=1,30,0),ABS(20-$HF42)*100)),100000+ABS(1-$HE42)*1000+200)),IF($HG42=0,999999,IF(1=$HH42,IF(20=$HN42,IF($JE42=2,30,0),IF(20=$HO42,IF($JE42=1,30,0),ABS(20-$HI42)*100)),100000+ABS(1-$HH42)*1000+200)))-IF((20=$HJ42)+(20=$HK42)+(20=$HL42)+(20=$HM42)+(20=$HN42)+(20=$HO42)&gt;=2,50,0))+W$5*50)</f>
        <v/>
      </c>
      <c r="X162">
        <f>IF(OR($JF42=0,calcA!$A$6=0),0,IF(OR(21=$HA42,21=$HD42,21=$HG42),200000,MIN(IF($HA42=0,999999,IF(1=$HB42,IF(21=$HJ42,IF($JC42=2,30,0),IF(21=$HK42,IF($JC42=1,30,0),ABS(21-$HC42)*100)),100000+ABS(1-$HB42)*1000+210)),IF($HD42=0,999999,IF(1=$HE42,IF(21=$HL42,IF($JD42=2,30,0),IF(21=$HM42,IF($JD42=1,30,0),ABS(21-$HF42)*100)),100000+ABS(1-$HE42)*1000+210)),IF($HG42=0,999999,IF(1=$HH42,IF(21=$HN42,IF($JE42=2,30,0),IF(21=$HO42,IF($JE42=1,30,0),ABS(21-$HI42)*100)),100000+ABS(1-$HH42)*1000+210)))-IF((21=$HJ42)+(21=$HK42)+(21=$HL42)+(21=$HM42)+(21=$HN42)+(21=$HO42)&gt;=2,50,0))+X$5*50)</f>
        <v/>
      </c>
      <c r="Y162">
        <f>IF(OR($JF42=0,calcA!$A$6=0),0,IF(OR(22=$HA42,22=$HD42,22=$HG42),200000,MIN(IF($HA42=0,999999,IF(1=$HB42,IF(22=$HJ42,IF($JC42=2,30,0),IF(22=$HK42,IF($JC42=1,30,0),ABS(22-$HC42)*100)),100000+ABS(1-$HB42)*1000+220)),IF($HD42=0,999999,IF(1=$HE42,IF(22=$HL42,IF($JD42=2,30,0),IF(22=$HM42,IF($JD42=1,30,0),ABS(22-$HF42)*100)),100000+ABS(1-$HE42)*1000+220)),IF($HG42=0,999999,IF(1=$HH42,IF(22=$HN42,IF($JE42=2,30,0),IF(22=$HO42,IF($JE42=1,30,0),ABS(22-$HI42)*100)),100000+ABS(1-$HH42)*1000+220)))-IF((22=$HJ42)+(22=$HK42)+(22=$HL42)+(22=$HM42)+(22=$HN42)+(22=$HO42)&gt;=2,50,0))+Y$5*50)</f>
        <v/>
      </c>
      <c r="Z162">
        <f>IF(OR($JF42=0,calcA!$A$6=0),0,IF(OR(23=$HA42,23=$HD42,23=$HG42),200000,MIN(IF($HA42=0,999999,IF(1=$HB42,IF(23=$HJ42,IF($JC42=2,30,0),IF(23=$HK42,IF($JC42=1,30,0),ABS(23-$HC42)*100)),100000+ABS(1-$HB42)*1000+230)),IF($HD42=0,999999,IF(1=$HE42,IF(23=$HL42,IF($JD42=2,30,0),IF(23=$HM42,IF($JD42=1,30,0),ABS(23-$HF42)*100)),100000+ABS(1-$HE42)*1000+230)),IF($HG42=0,999999,IF(1=$HH42,IF(23=$HN42,IF($JE42=2,30,0),IF(23=$HO42,IF($JE42=1,30,0),ABS(23-$HI42)*100)),100000+ABS(1-$HH42)*1000+230)))-IF((23=$HJ42)+(23=$HK42)+(23=$HL42)+(23=$HM42)+(23=$HN42)+(23=$HO42)&gt;=2,50,0))+Z$5*50)</f>
        <v/>
      </c>
      <c r="AA162">
        <f>IF(OR($JF42=0,calcA!$A$6=0),0,IF(OR(24=$HA42,24=$HD42,24=$HG42),200000,MIN(IF($HA42=0,999999,IF(1=$HB42,IF(24=$HJ42,IF($JC42=2,30,0),IF(24=$HK42,IF($JC42=1,30,0),ABS(24-$HC42)*100)),100000+ABS(1-$HB42)*1000+240)),IF($HD42=0,999999,IF(1=$HE42,IF(24=$HL42,IF($JD42=2,30,0),IF(24=$HM42,IF($JD42=1,30,0),ABS(24-$HF42)*100)),100000+ABS(1-$HE42)*1000+240)),IF($HG42=0,999999,IF(1=$HH42,IF(24=$HN42,IF($JE42=2,30,0),IF(24=$HO42,IF($JE42=1,30,0),ABS(24-$HI42)*100)),100000+ABS(1-$HH42)*1000+240)))-IF((24=$HJ42)+(24=$HK42)+(24=$HL42)+(24=$HM42)+(24=$HN42)+(24=$HO42)&gt;=2,50,0))+AA$5*50)</f>
        <v/>
      </c>
      <c r="AB162">
        <f>IF(OR($JF42=0,calcA!$A$6=0),0,IF(OR(25=$HA42,25=$HD42,25=$HG42),200000,MIN(IF($HA42=0,999999,IF(2=$HB42,IF(25=$HJ42,IF($JC42=2,30,0),IF(25=$HK42,IF($JC42=1,30,0),ABS(1-$HC42)*100)),100000+ABS(2-$HB42)*1000+10)),IF($HD42=0,999999,IF(2=$HE42,IF(25=$HL42,IF($JD42=2,30,0),IF(25=$HM42,IF($JD42=1,30,0),ABS(1-$HF42)*100)),100000+ABS(2-$HE42)*1000+10)),IF($HG42=0,999999,IF(2=$HH42,IF(25=$HN42,IF($JE42=2,30,0),IF(25=$HO42,IF($JE42=1,30,0),ABS(1-$HI42)*100)),100000+ABS(2-$HH42)*1000+10)))-IF((25=$HJ42)+(25=$HK42)+(25=$HL42)+(25=$HM42)+(25=$HN42)+(25=$HO42)&gt;=2,50,0))+AB$5*50)</f>
        <v/>
      </c>
      <c r="AC162">
        <f>IF(OR($JF42=0,calcA!$A$6=0),0,IF(OR(26=$HA42,26=$HD42,26=$HG42),200000,MIN(IF($HA42=0,999999,IF(2=$HB42,IF(26=$HJ42,IF($JC42=2,30,0),IF(26=$HK42,IF($JC42=1,30,0),ABS(2-$HC42)*100)),100000+ABS(2-$HB42)*1000+20)),IF($HD42=0,999999,IF(2=$HE42,IF(26=$HL42,IF($JD42=2,30,0),IF(26=$HM42,IF($JD42=1,30,0),ABS(2-$HF42)*100)),100000+ABS(2-$HE42)*1000+20)),IF($HG42=0,999999,IF(2=$HH42,IF(26=$HN42,IF($JE42=2,30,0),IF(26=$HO42,IF($JE42=1,30,0),ABS(2-$HI42)*100)),100000+ABS(2-$HH42)*1000+20)))-IF((26=$HJ42)+(26=$HK42)+(26=$HL42)+(26=$HM42)+(26=$HN42)+(26=$HO42)&gt;=2,50,0))+AC$5*50)</f>
        <v/>
      </c>
      <c r="AD162">
        <f>IF(OR($JF42=0,calcA!$A$6=0),0,IF(OR(27=$HA42,27=$HD42,27=$HG42),200000,MIN(IF($HA42=0,999999,IF(2=$HB42,IF(27=$HJ42,IF($JC42=2,30,0),IF(27=$HK42,IF($JC42=1,30,0),ABS(3-$HC42)*100)),100000+ABS(2-$HB42)*1000+30)),IF($HD42=0,999999,IF(2=$HE42,IF(27=$HL42,IF($JD42=2,30,0),IF(27=$HM42,IF($JD42=1,30,0),ABS(3-$HF42)*100)),100000+ABS(2-$HE42)*1000+30)),IF($HG42=0,999999,IF(2=$HH42,IF(27=$HN42,IF($JE42=2,30,0),IF(27=$HO42,IF($JE42=1,30,0),ABS(3-$HI42)*100)),100000+ABS(2-$HH42)*1000+30)))-IF((27=$HJ42)+(27=$HK42)+(27=$HL42)+(27=$HM42)+(27=$HN42)+(27=$HO42)&gt;=2,50,0))+AD$5*50)</f>
        <v/>
      </c>
      <c r="AE162">
        <f>IF(OR($JF42=0,calcA!$A$6=0),0,IF(OR(28=$HA42,28=$HD42,28=$HG42),200000,MIN(IF($HA42=0,999999,IF(2=$HB42,IF(28=$HJ42,IF($JC42=2,30,0),IF(28=$HK42,IF($JC42=1,30,0),ABS(4-$HC42)*100)),100000+ABS(2-$HB42)*1000+40)),IF($HD42=0,999999,IF(2=$HE42,IF(28=$HL42,IF($JD42=2,30,0),IF(28=$HM42,IF($JD42=1,30,0),ABS(4-$HF42)*100)),100000+ABS(2-$HE42)*1000+40)),IF($HG42=0,999999,IF(2=$HH42,IF(28=$HN42,IF($JE42=2,30,0),IF(28=$HO42,IF($JE42=1,30,0),ABS(4-$HI42)*100)),100000+ABS(2-$HH42)*1000+40)))-IF((28=$HJ42)+(28=$HK42)+(28=$HL42)+(28=$HM42)+(28=$HN42)+(28=$HO42)&gt;=2,50,0))+AE$5*50)</f>
        <v/>
      </c>
      <c r="AF162">
        <f>IF(OR($JF42=0,calcA!$A$6=0),0,IF(OR(29=$HA42,29=$HD42,29=$HG42),200000,MIN(IF($HA42=0,999999,IF(2=$HB42,IF(29=$HJ42,IF($JC42=2,30,0),IF(29=$HK42,IF($JC42=1,30,0),ABS(5-$HC42)*100)),100000+ABS(2-$HB42)*1000+50)),IF($HD42=0,999999,IF(2=$HE42,IF(29=$HL42,IF($JD42=2,30,0),IF(29=$HM42,IF($JD42=1,30,0),ABS(5-$HF42)*100)),100000+ABS(2-$HE42)*1000+50)),IF($HG42=0,999999,IF(2=$HH42,IF(29=$HN42,IF($JE42=2,30,0),IF(29=$HO42,IF($JE42=1,30,0),ABS(5-$HI42)*100)),100000+ABS(2-$HH42)*1000+50)))-IF((29=$HJ42)+(29=$HK42)+(29=$HL42)+(29=$HM42)+(29=$HN42)+(29=$HO42)&gt;=2,50,0))+AF$5*50)</f>
        <v/>
      </c>
      <c r="AG162">
        <f>IF(OR($JF42=0,calcA!$A$6=0),0,IF(OR(30=$HA42,30=$HD42,30=$HG42),200000,MIN(IF($HA42=0,999999,IF(2=$HB42,IF(30=$HJ42,IF($JC42=2,30,0),IF(30=$HK42,IF($JC42=1,30,0),ABS(6-$HC42)*100)),100000+ABS(2-$HB42)*1000+60)),IF($HD42=0,999999,IF(2=$HE42,IF(30=$HL42,IF($JD42=2,30,0),IF(30=$HM42,IF($JD42=1,30,0),ABS(6-$HF42)*100)),100000+ABS(2-$HE42)*1000+60)),IF($HG42=0,999999,IF(2=$HH42,IF(30=$HN42,IF($JE42=2,30,0),IF(30=$HO42,IF($JE42=1,30,0),ABS(6-$HI42)*100)),100000+ABS(2-$HH42)*1000+60)))-IF((30=$HJ42)+(30=$HK42)+(30=$HL42)+(30=$HM42)+(30=$HN42)+(30=$HO42)&gt;=2,50,0))+AG$5*50)</f>
        <v/>
      </c>
      <c r="AH162">
        <f>IF(OR($JF42=0,calcA!$A$6=0),0,IF(OR(31=$HA42,31=$HD42,31=$HG42),200000,MIN(IF($HA42=0,999999,IF(2=$HB42,IF(31=$HJ42,IF($JC42=2,30,0),IF(31=$HK42,IF($JC42=1,30,0),ABS(7-$HC42)*100)),100000+ABS(2-$HB42)*1000+70)),IF($HD42=0,999999,IF(2=$HE42,IF(31=$HL42,IF($JD42=2,30,0),IF(31=$HM42,IF($JD42=1,30,0),ABS(7-$HF42)*100)),100000+ABS(2-$HE42)*1000+70)),IF($HG42=0,999999,IF(2=$HH42,IF(31=$HN42,IF($JE42=2,30,0),IF(31=$HO42,IF($JE42=1,30,0),ABS(7-$HI42)*100)),100000+ABS(2-$HH42)*1000+70)))-IF((31=$HJ42)+(31=$HK42)+(31=$HL42)+(31=$HM42)+(31=$HN42)+(31=$HO42)&gt;=2,50,0))+AH$5*50)</f>
        <v/>
      </c>
      <c r="AI162">
        <f>IF(OR($JF42=0,calcA!$A$6=0),0,IF(OR(32=$HA42,32=$HD42,32=$HG42),200000,MIN(IF($HA42=0,999999,IF(2=$HB42,IF(32=$HJ42,IF($JC42=2,30,0),IF(32=$HK42,IF($JC42=1,30,0),ABS(8-$HC42)*100)),100000+ABS(2-$HB42)*1000+80)),IF($HD42=0,999999,IF(2=$HE42,IF(32=$HL42,IF($JD42=2,30,0),IF(32=$HM42,IF($JD42=1,30,0),ABS(8-$HF42)*100)),100000+ABS(2-$HE42)*1000+80)),IF($HG42=0,999999,IF(2=$HH42,IF(32=$HN42,IF($JE42=2,30,0),IF(32=$HO42,IF($JE42=1,30,0),ABS(8-$HI42)*100)),100000+ABS(2-$HH42)*1000+80)))-IF((32=$HJ42)+(32=$HK42)+(32=$HL42)+(32=$HM42)+(32=$HN42)+(32=$HO42)&gt;=2,50,0))+AI$5*50)</f>
        <v/>
      </c>
      <c r="AJ162">
        <f>IF(OR($JF42=0,calcA!$A$6=0),0,IF(OR(33=$HA42,33=$HD42,33=$HG42),200000,MIN(IF($HA42=0,999999,IF(2=$HB42,IF(33=$HJ42,IF($JC42=2,30,0),IF(33=$HK42,IF($JC42=1,30,0),ABS(9-$HC42)*100)),100000+ABS(2-$HB42)*1000+90)),IF($HD42=0,999999,IF(2=$HE42,IF(33=$HL42,IF($JD42=2,30,0),IF(33=$HM42,IF($JD42=1,30,0),ABS(9-$HF42)*100)),100000+ABS(2-$HE42)*1000+90)),IF($HG42=0,999999,IF(2=$HH42,IF(33=$HN42,IF($JE42=2,30,0),IF(33=$HO42,IF($JE42=1,30,0),ABS(9-$HI42)*100)),100000+ABS(2-$HH42)*1000+90)))-IF((33=$HJ42)+(33=$HK42)+(33=$HL42)+(33=$HM42)+(33=$HN42)+(33=$HO42)&gt;=2,50,0))+AJ$5*50)</f>
        <v/>
      </c>
      <c r="AK162">
        <f>IF(OR($JF42=0,calcA!$A$6=0),0,IF(OR(34=$HA42,34=$HD42,34=$HG42),200000,MIN(IF($HA42=0,999999,IF(2=$HB42,IF(34=$HJ42,IF($JC42=2,30,0),IF(34=$HK42,IF($JC42=1,30,0),ABS(10-$HC42)*100)),100000+ABS(2-$HB42)*1000+100)),IF($HD42=0,999999,IF(2=$HE42,IF(34=$HL42,IF($JD42=2,30,0),IF(34=$HM42,IF($JD42=1,30,0),ABS(10-$HF42)*100)),100000+ABS(2-$HE42)*1000+100)),IF($HG42=0,999999,IF(2=$HH42,IF(34=$HN42,IF($JE42=2,30,0),IF(34=$HO42,IF($JE42=1,30,0),ABS(10-$HI42)*100)),100000+ABS(2-$HH42)*1000+100)))-IF((34=$HJ42)+(34=$HK42)+(34=$HL42)+(34=$HM42)+(34=$HN42)+(34=$HO42)&gt;=2,50,0))+AK$5*50)</f>
        <v/>
      </c>
      <c r="AL162">
        <f>IF(OR($JF42=0,calcA!$A$6=0),0,IF(OR(35=$HA42,35=$HD42,35=$HG42),200000,MIN(IF($HA42=0,999999,IF(2=$HB42,IF(35=$HJ42,IF($JC42=2,30,0),IF(35=$HK42,IF($JC42=1,30,0),ABS(11-$HC42)*100)),100000+ABS(2-$HB42)*1000+110)),IF($HD42=0,999999,IF(2=$HE42,IF(35=$HL42,IF($JD42=2,30,0),IF(35=$HM42,IF($JD42=1,30,0),ABS(11-$HF42)*100)),100000+ABS(2-$HE42)*1000+110)),IF($HG42=0,999999,IF(2=$HH42,IF(35=$HN42,IF($JE42=2,30,0),IF(35=$HO42,IF($JE42=1,30,0),ABS(11-$HI42)*100)),100000+ABS(2-$HH42)*1000+110)))-IF((35=$HJ42)+(35=$HK42)+(35=$HL42)+(35=$HM42)+(35=$HN42)+(35=$HO42)&gt;=2,50,0))+AL$5*50)</f>
        <v/>
      </c>
      <c r="AM162">
        <f>IF(OR($JF42=0,calcA!$A$6=0),0,IF(OR(36=$HA42,36=$HD42,36=$HG42),200000,MIN(IF($HA42=0,999999,IF(2=$HB42,IF(36=$HJ42,IF($JC42=2,30,0),IF(36=$HK42,IF($JC42=1,30,0),ABS(12-$HC42)*100)),100000+ABS(2-$HB42)*1000+120)),IF($HD42=0,999999,IF(2=$HE42,IF(36=$HL42,IF($JD42=2,30,0),IF(36=$HM42,IF($JD42=1,30,0),ABS(12-$HF42)*100)),100000+ABS(2-$HE42)*1000+120)),IF($HG42=0,999999,IF(2=$HH42,IF(36=$HN42,IF($JE42=2,30,0),IF(36=$HO42,IF($JE42=1,30,0),ABS(12-$HI42)*100)),100000+ABS(2-$HH42)*1000+120)))-IF((36=$HJ42)+(36=$HK42)+(36=$HL42)+(36=$HM42)+(36=$HN42)+(36=$HO42)&gt;=2,50,0))+AM$5*50)</f>
        <v/>
      </c>
      <c r="AN162">
        <f>IF(OR($JF42=0,calcA!$A$6=0),0,IF(OR(37=$HA42,37=$HD42,37=$HG42),200000,MIN(IF($HA42=0,999999,IF(2=$HB42,IF(37=$HJ42,IF($JC42=2,30,0),IF(37=$HK42,IF($JC42=1,30,0),ABS(13-$HC42)*100)),100000+ABS(2-$HB42)*1000+130)),IF($HD42=0,999999,IF(2=$HE42,IF(37=$HL42,IF($JD42=2,30,0),IF(37=$HM42,IF($JD42=1,30,0),ABS(13-$HF42)*100)),100000+ABS(2-$HE42)*1000+130)),IF($HG42=0,999999,IF(2=$HH42,IF(37=$HN42,IF($JE42=2,30,0),IF(37=$HO42,IF($JE42=1,30,0),ABS(13-$HI42)*100)),100000+ABS(2-$HH42)*1000+130)))-IF((37=$HJ42)+(37=$HK42)+(37=$HL42)+(37=$HM42)+(37=$HN42)+(37=$HO42)&gt;=2,50,0))+AN$5*50)</f>
        <v/>
      </c>
      <c r="AO162">
        <f>IF(OR($JF42=0,calcA!$A$6=0),0,IF(OR(38=$HA42,38=$HD42,38=$HG42),200000,MIN(IF($HA42=0,999999,IF(2=$HB42,IF(38=$HJ42,IF($JC42=2,30,0),IF(38=$HK42,IF($JC42=1,30,0),ABS(14-$HC42)*100)),100000+ABS(2-$HB42)*1000+140)),IF($HD42=0,999999,IF(2=$HE42,IF(38=$HL42,IF($JD42=2,30,0),IF(38=$HM42,IF($JD42=1,30,0),ABS(14-$HF42)*100)),100000+ABS(2-$HE42)*1000+140)),IF($HG42=0,999999,IF(2=$HH42,IF(38=$HN42,IF($JE42=2,30,0),IF(38=$HO42,IF($JE42=1,30,0),ABS(14-$HI42)*100)),100000+ABS(2-$HH42)*1000+140)))-IF((38=$HJ42)+(38=$HK42)+(38=$HL42)+(38=$HM42)+(38=$HN42)+(38=$HO42)&gt;=2,50,0))+AO$5*50)</f>
        <v/>
      </c>
      <c r="AP162">
        <f>IF(OR($JF42=0,calcA!$A$6=0),0,IF(OR(39=$HA42,39=$HD42,39=$HG42),200000,MIN(IF($HA42=0,999999,IF(2=$HB42,IF(39=$HJ42,IF($JC42=2,30,0),IF(39=$HK42,IF($JC42=1,30,0),ABS(15-$HC42)*100)),100000+ABS(2-$HB42)*1000+150)),IF($HD42=0,999999,IF(2=$HE42,IF(39=$HL42,IF($JD42=2,30,0),IF(39=$HM42,IF($JD42=1,30,0),ABS(15-$HF42)*100)),100000+ABS(2-$HE42)*1000+150)),IF($HG42=0,999999,IF(2=$HH42,IF(39=$HN42,IF($JE42=2,30,0),IF(39=$HO42,IF($JE42=1,30,0),ABS(15-$HI42)*100)),100000+ABS(2-$HH42)*1000+150)))-IF((39=$HJ42)+(39=$HK42)+(39=$HL42)+(39=$HM42)+(39=$HN42)+(39=$HO42)&gt;=2,50,0))+AP$5*50)</f>
        <v/>
      </c>
      <c r="AQ162">
        <f>IF(OR($JF42=0,calcA!$A$6=0),0,IF(OR(40=$HA42,40=$HD42,40=$HG42),200000,MIN(IF($HA42=0,999999,IF(2=$HB42,IF(40=$HJ42,IF($JC42=2,30,0),IF(40=$HK42,IF($JC42=1,30,0),ABS(16-$HC42)*100)),100000+ABS(2-$HB42)*1000+160)),IF($HD42=0,999999,IF(2=$HE42,IF(40=$HL42,IF($JD42=2,30,0),IF(40=$HM42,IF($JD42=1,30,0),ABS(16-$HF42)*100)),100000+ABS(2-$HE42)*1000+160)),IF($HG42=0,999999,IF(2=$HH42,IF(40=$HN42,IF($JE42=2,30,0),IF(40=$HO42,IF($JE42=1,30,0),ABS(16-$HI42)*100)),100000+ABS(2-$HH42)*1000+160)))-IF((40=$HJ42)+(40=$HK42)+(40=$HL42)+(40=$HM42)+(40=$HN42)+(40=$HO42)&gt;=2,50,0))+AQ$5*50)</f>
        <v/>
      </c>
      <c r="AR162">
        <f>IF(OR($JF42=0,calcA!$A$6=0),0,IF(OR(41=$HA42,41=$HD42,41=$HG42),200000,MIN(IF($HA42=0,999999,IF(2=$HB42,IF(41=$HJ42,IF($JC42=2,30,0),IF(41=$HK42,IF($JC42=1,30,0),ABS(17-$HC42)*100)),100000+ABS(2-$HB42)*1000+170)),IF($HD42=0,999999,IF(2=$HE42,IF(41=$HL42,IF($JD42=2,30,0),IF(41=$HM42,IF($JD42=1,30,0),ABS(17-$HF42)*100)),100000+ABS(2-$HE42)*1000+170)),IF($HG42=0,999999,IF(2=$HH42,IF(41=$HN42,IF($JE42=2,30,0),IF(41=$HO42,IF($JE42=1,30,0),ABS(17-$HI42)*100)),100000+ABS(2-$HH42)*1000+170)))-IF((41=$HJ42)+(41=$HK42)+(41=$HL42)+(41=$HM42)+(41=$HN42)+(41=$HO42)&gt;=2,50,0))+AR$5*50)</f>
        <v/>
      </c>
      <c r="AS162">
        <f>IF(OR($JF42=0,calcA!$A$6=0),0,IF(OR(42=$HA42,42=$HD42,42=$HG42),200000,MIN(IF($HA42=0,999999,IF(2=$HB42,IF(42=$HJ42,IF($JC42=2,30,0),IF(42=$HK42,IF($JC42=1,30,0),ABS(18-$HC42)*100)),100000+ABS(2-$HB42)*1000+180)),IF($HD42=0,999999,IF(2=$HE42,IF(42=$HL42,IF($JD42=2,30,0),IF(42=$HM42,IF($JD42=1,30,0),ABS(18-$HF42)*100)),100000+ABS(2-$HE42)*1000+180)),IF($HG42=0,999999,IF(2=$HH42,IF(42=$HN42,IF($JE42=2,30,0),IF(42=$HO42,IF($JE42=1,30,0),ABS(18-$HI42)*100)),100000+ABS(2-$HH42)*1000+180)))-IF((42=$HJ42)+(42=$HK42)+(42=$HL42)+(42=$HM42)+(42=$HN42)+(42=$HO42)&gt;=2,50,0))+AS$5*50)</f>
        <v/>
      </c>
      <c r="AT162">
        <f>IF(OR($JF42=0,calcA!$A$6=0),0,IF(OR(43=$HA42,43=$HD42,43=$HG42),200000,MIN(IF($HA42=0,999999,IF(2=$HB42,IF(43=$HJ42,IF($JC42=2,30,0),IF(43=$HK42,IF($JC42=1,30,0),ABS(19-$HC42)*100)),100000+ABS(2-$HB42)*1000+190)),IF($HD42=0,999999,IF(2=$HE42,IF(43=$HL42,IF($JD42=2,30,0),IF(43=$HM42,IF($JD42=1,30,0),ABS(19-$HF42)*100)),100000+ABS(2-$HE42)*1000+190)),IF($HG42=0,999999,IF(2=$HH42,IF(43=$HN42,IF($JE42=2,30,0),IF(43=$HO42,IF($JE42=1,30,0),ABS(19-$HI42)*100)),100000+ABS(2-$HH42)*1000+190)))-IF((43=$HJ42)+(43=$HK42)+(43=$HL42)+(43=$HM42)+(43=$HN42)+(43=$HO42)&gt;=2,50,0))+AT$5*50)</f>
        <v/>
      </c>
      <c r="AU162">
        <f>IF(OR($JF42=0,calcA!$A$6=0),0,IF(OR(44=$HA42,44=$HD42,44=$HG42),200000,MIN(IF($HA42=0,999999,IF(2=$HB42,IF(44=$HJ42,IF($JC42=2,30,0),IF(44=$HK42,IF($JC42=1,30,0),ABS(20-$HC42)*100)),100000+ABS(2-$HB42)*1000+200)),IF($HD42=0,999999,IF(2=$HE42,IF(44=$HL42,IF($JD42=2,30,0),IF(44=$HM42,IF($JD42=1,30,0),ABS(20-$HF42)*100)),100000+ABS(2-$HE42)*1000+200)),IF($HG42=0,999999,IF(2=$HH42,IF(44=$HN42,IF($JE42=2,30,0),IF(44=$HO42,IF($JE42=1,30,0),ABS(20-$HI42)*100)),100000+ABS(2-$HH42)*1000+200)))-IF((44=$HJ42)+(44=$HK42)+(44=$HL42)+(44=$HM42)+(44=$HN42)+(44=$HO42)&gt;=2,50,0))+AU$5*50)</f>
        <v/>
      </c>
      <c r="AV162">
        <f>IF(OR($JF42=0,calcA!$A$6=0),0,IF(OR(45=$HA42,45=$HD42,45=$HG42),200000,MIN(IF($HA42=0,999999,IF(2=$HB42,IF(45=$HJ42,IF($JC42=2,30,0),IF(45=$HK42,IF($JC42=1,30,0),ABS(21-$HC42)*100)),100000+ABS(2-$HB42)*1000+210)),IF($HD42=0,999999,IF(2=$HE42,IF(45=$HL42,IF($JD42=2,30,0),IF(45=$HM42,IF($JD42=1,30,0),ABS(21-$HF42)*100)),100000+ABS(2-$HE42)*1000+210)),IF($HG42=0,999999,IF(2=$HH42,IF(45=$HN42,IF($JE42=2,30,0),IF(45=$HO42,IF($JE42=1,30,0),ABS(21-$HI42)*100)),100000+ABS(2-$HH42)*1000+210)))-IF((45=$HJ42)+(45=$HK42)+(45=$HL42)+(45=$HM42)+(45=$HN42)+(45=$HO42)&gt;=2,50,0))+AV$5*50)</f>
        <v/>
      </c>
      <c r="AW162">
        <f>IF(OR($JF42=0,calcA!$A$6=0),0,IF(OR(46=$HA42,46=$HD42,46=$HG42),200000,MIN(IF($HA42=0,999999,IF(2=$HB42,IF(46=$HJ42,IF($JC42=2,30,0),IF(46=$HK42,IF($JC42=1,30,0),ABS(22-$HC42)*100)),100000+ABS(2-$HB42)*1000+220)),IF($HD42=0,999999,IF(2=$HE42,IF(46=$HL42,IF($JD42=2,30,0),IF(46=$HM42,IF($JD42=1,30,0),ABS(22-$HF42)*100)),100000+ABS(2-$HE42)*1000+220)),IF($HG42=0,999999,IF(2=$HH42,IF(46=$HN42,IF($JE42=2,30,0),IF(46=$HO42,IF($JE42=1,30,0),ABS(22-$HI42)*100)),100000+ABS(2-$HH42)*1000+220)))-IF((46=$HJ42)+(46=$HK42)+(46=$HL42)+(46=$HM42)+(46=$HN42)+(46=$HO42)&gt;=2,50,0))+AW$5*50)</f>
        <v/>
      </c>
      <c r="AX162">
        <f>IF(OR($JF42=0,calcA!$A$6=0),0,IF(OR(47=$HA42,47=$HD42,47=$HG42),200000,MIN(IF($HA42=0,999999,IF(2=$HB42,IF(47=$HJ42,IF($JC42=2,30,0),IF(47=$HK42,IF($JC42=1,30,0),ABS(23-$HC42)*100)),100000+ABS(2-$HB42)*1000+230)),IF($HD42=0,999999,IF(2=$HE42,IF(47=$HL42,IF($JD42=2,30,0),IF(47=$HM42,IF($JD42=1,30,0),ABS(23-$HF42)*100)),100000+ABS(2-$HE42)*1000+230)),IF($HG42=0,999999,IF(2=$HH42,IF(47=$HN42,IF($JE42=2,30,0),IF(47=$HO42,IF($JE42=1,30,0),ABS(23-$HI42)*100)),100000+ABS(2-$HH42)*1000+230)))-IF((47=$HJ42)+(47=$HK42)+(47=$HL42)+(47=$HM42)+(47=$HN42)+(47=$HO42)&gt;=2,50,0))+AX$5*50)</f>
        <v/>
      </c>
      <c r="AY162">
        <f>IF(OR($JF42=0,calcA!$A$6=0),0,IF(OR(48=$HA42,48=$HD42,48=$HG42),200000,MIN(IF($HA42=0,999999,IF(2=$HB42,IF(48=$HJ42,IF($JC42=2,30,0),IF(48=$HK42,IF($JC42=1,30,0),ABS(24-$HC42)*100)),100000+ABS(2-$HB42)*1000+240)),IF($HD42=0,999999,IF(2=$HE42,IF(48=$HL42,IF($JD42=2,30,0),IF(48=$HM42,IF($JD42=1,30,0),ABS(24-$HF42)*100)),100000+ABS(2-$HE42)*1000+240)),IF($HG42=0,999999,IF(2=$HH42,IF(48=$HN42,IF($JE42=2,30,0),IF(48=$HO42,IF($JE42=1,30,0),ABS(24-$HI42)*100)),100000+ABS(2-$HH42)*1000+240)))-IF((48=$HJ42)+(48=$HK42)+(48=$HL42)+(48=$HM42)+(48=$HN42)+(48=$HO42)&gt;=2,50,0))+AY$5*50)</f>
        <v/>
      </c>
      <c r="AZ162">
        <f>IF(OR($JF42=0,calcA!$A$6=0),0,IF(OR(49=$HA42,49=$HD42,49=$HG42),200000,MIN(IF($HA42=0,999999,IF(3=$HB42,IF(49=$HJ42,IF($JC42=2,30,0),IF(49=$HK42,IF($JC42=1,30,0),ABS(1-$HC42)*100)),100000+ABS(3-$HB42)*1000+10)),IF($HD42=0,999999,IF(3=$HE42,IF(49=$HL42,IF($JD42=2,30,0),IF(49=$HM42,IF($JD42=1,30,0),ABS(1-$HF42)*100)),100000+ABS(3-$HE42)*1000+10)),IF($HG42=0,999999,IF(3=$HH42,IF(49=$HN42,IF($JE42=2,30,0),IF(49=$HO42,IF($JE42=1,30,0),ABS(1-$HI42)*100)),100000+ABS(3-$HH42)*1000+10)))-IF((49=$HJ42)+(49=$HK42)+(49=$HL42)+(49=$HM42)+(49=$HN42)+(49=$HO42)&gt;=2,50,0))+AZ$5*50)</f>
        <v/>
      </c>
      <c r="BA162">
        <f>IF(OR($JF42=0,calcA!$A$6=0),0,IF(OR(50=$HA42,50=$HD42,50=$HG42),200000,MIN(IF($HA42=0,999999,IF(3=$HB42,IF(50=$HJ42,IF($JC42=2,30,0),IF(50=$HK42,IF($JC42=1,30,0),ABS(2-$HC42)*100)),100000+ABS(3-$HB42)*1000+20)),IF($HD42=0,999999,IF(3=$HE42,IF(50=$HL42,IF($JD42=2,30,0),IF(50=$HM42,IF($JD42=1,30,0),ABS(2-$HF42)*100)),100000+ABS(3-$HE42)*1000+20)),IF($HG42=0,999999,IF(3=$HH42,IF(50=$HN42,IF($JE42=2,30,0),IF(50=$HO42,IF($JE42=1,30,0),ABS(2-$HI42)*100)),100000+ABS(3-$HH42)*1000+20)))-IF((50=$HJ42)+(50=$HK42)+(50=$HL42)+(50=$HM42)+(50=$HN42)+(50=$HO42)&gt;=2,50,0))+BA$5*50)</f>
        <v/>
      </c>
      <c r="BB162">
        <f>IF(OR($JF42=0,calcA!$A$6=0),0,IF(OR(51=$HA42,51=$HD42,51=$HG42),200000,MIN(IF($HA42=0,999999,IF(3=$HB42,IF(51=$HJ42,IF($JC42=2,30,0),IF(51=$HK42,IF($JC42=1,30,0),ABS(3-$HC42)*100)),100000+ABS(3-$HB42)*1000+30)),IF($HD42=0,999999,IF(3=$HE42,IF(51=$HL42,IF($JD42=2,30,0),IF(51=$HM42,IF($JD42=1,30,0),ABS(3-$HF42)*100)),100000+ABS(3-$HE42)*1000+30)),IF($HG42=0,999999,IF(3=$HH42,IF(51=$HN42,IF($JE42=2,30,0),IF(51=$HO42,IF($JE42=1,30,0),ABS(3-$HI42)*100)),100000+ABS(3-$HH42)*1000+30)))-IF((51=$HJ42)+(51=$HK42)+(51=$HL42)+(51=$HM42)+(51=$HN42)+(51=$HO42)&gt;=2,50,0))+BB$5*50)</f>
        <v/>
      </c>
      <c r="BC162">
        <f>IF(OR($JF42=0,calcA!$A$6=0),0,IF(OR(52=$HA42,52=$HD42,52=$HG42),200000,MIN(IF($HA42=0,999999,IF(3=$HB42,IF(52=$HJ42,IF($JC42=2,30,0),IF(52=$HK42,IF($JC42=1,30,0),ABS(4-$HC42)*100)),100000+ABS(3-$HB42)*1000+40)),IF($HD42=0,999999,IF(3=$HE42,IF(52=$HL42,IF($JD42=2,30,0),IF(52=$HM42,IF($JD42=1,30,0),ABS(4-$HF42)*100)),100000+ABS(3-$HE42)*1000+40)),IF($HG42=0,999999,IF(3=$HH42,IF(52=$HN42,IF($JE42=2,30,0),IF(52=$HO42,IF($JE42=1,30,0),ABS(4-$HI42)*100)),100000+ABS(3-$HH42)*1000+40)))-IF((52=$HJ42)+(52=$HK42)+(52=$HL42)+(52=$HM42)+(52=$HN42)+(52=$HO42)&gt;=2,50,0))+BC$5*50)</f>
        <v/>
      </c>
      <c r="BD162">
        <f>IF(OR($JF42=0,calcA!$A$6=0),0,IF(OR(53=$HA42,53=$HD42,53=$HG42),200000,MIN(IF($HA42=0,999999,IF(3=$HB42,IF(53=$HJ42,IF($JC42=2,30,0),IF(53=$HK42,IF($JC42=1,30,0),ABS(5-$HC42)*100)),100000+ABS(3-$HB42)*1000+50)),IF($HD42=0,999999,IF(3=$HE42,IF(53=$HL42,IF($JD42=2,30,0),IF(53=$HM42,IF($JD42=1,30,0),ABS(5-$HF42)*100)),100000+ABS(3-$HE42)*1000+50)),IF($HG42=0,999999,IF(3=$HH42,IF(53=$HN42,IF($JE42=2,30,0),IF(53=$HO42,IF($JE42=1,30,0),ABS(5-$HI42)*100)),100000+ABS(3-$HH42)*1000+50)))-IF((53=$HJ42)+(53=$HK42)+(53=$HL42)+(53=$HM42)+(53=$HN42)+(53=$HO42)&gt;=2,50,0))+BD$5*50)</f>
        <v/>
      </c>
      <c r="BE162">
        <f>IF(OR($JF42=0,calcA!$A$6=0),0,IF(OR(54=$HA42,54=$HD42,54=$HG42),200000,MIN(IF($HA42=0,999999,IF(3=$HB42,IF(54=$HJ42,IF($JC42=2,30,0),IF(54=$HK42,IF($JC42=1,30,0),ABS(6-$HC42)*100)),100000+ABS(3-$HB42)*1000+60)),IF($HD42=0,999999,IF(3=$HE42,IF(54=$HL42,IF($JD42=2,30,0),IF(54=$HM42,IF($JD42=1,30,0),ABS(6-$HF42)*100)),100000+ABS(3-$HE42)*1000+60)),IF($HG42=0,999999,IF(3=$HH42,IF(54=$HN42,IF($JE42=2,30,0),IF(54=$HO42,IF($JE42=1,30,0),ABS(6-$HI42)*100)),100000+ABS(3-$HH42)*1000+60)))-IF((54=$HJ42)+(54=$HK42)+(54=$HL42)+(54=$HM42)+(54=$HN42)+(54=$HO42)&gt;=2,50,0))+BE$5*50)</f>
        <v/>
      </c>
      <c r="BF162">
        <f>IF(OR($JF42=0,calcA!$A$6=0),0,IF(OR(55=$HA42,55=$HD42,55=$HG42),200000,MIN(IF($HA42=0,999999,IF(3=$HB42,IF(55=$HJ42,IF($JC42=2,30,0),IF(55=$HK42,IF($JC42=1,30,0),ABS(7-$HC42)*100)),100000+ABS(3-$HB42)*1000+70)),IF($HD42=0,999999,IF(3=$HE42,IF(55=$HL42,IF($JD42=2,30,0),IF(55=$HM42,IF($JD42=1,30,0),ABS(7-$HF42)*100)),100000+ABS(3-$HE42)*1000+70)),IF($HG42=0,999999,IF(3=$HH42,IF(55=$HN42,IF($JE42=2,30,0),IF(55=$HO42,IF($JE42=1,30,0),ABS(7-$HI42)*100)),100000+ABS(3-$HH42)*1000+70)))-IF((55=$HJ42)+(55=$HK42)+(55=$HL42)+(55=$HM42)+(55=$HN42)+(55=$HO42)&gt;=2,50,0))+BF$5*50)</f>
        <v/>
      </c>
      <c r="BG162">
        <f>IF(OR($JF42=0,calcA!$A$6=0),0,IF(OR(56=$HA42,56=$HD42,56=$HG42),200000,MIN(IF($HA42=0,999999,IF(3=$HB42,IF(56=$HJ42,IF($JC42=2,30,0),IF(56=$HK42,IF($JC42=1,30,0),ABS(8-$HC42)*100)),100000+ABS(3-$HB42)*1000+80)),IF($HD42=0,999999,IF(3=$HE42,IF(56=$HL42,IF($JD42=2,30,0),IF(56=$HM42,IF($JD42=1,30,0),ABS(8-$HF42)*100)),100000+ABS(3-$HE42)*1000+80)),IF($HG42=0,999999,IF(3=$HH42,IF(56=$HN42,IF($JE42=2,30,0),IF(56=$HO42,IF($JE42=1,30,0),ABS(8-$HI42)*100)),100000+ABS(3-$HH42)*1000+80)))-IF((56=$HJ42)+(56=$HK42)+(56=$HL42)+(56=$HM42)+(56=$HN42)+(56=$HO42)&gt;=2,50,0))+BG$5*50)</f>
        <v/>
      </c>
      <c r="BH162">
        <f>IF(OR($JF42=0,calcA!$A$6=0),0,IF(OR(57=$HA42,57=$HD42,57=$HG42),200000,MIN(IF($HA42=0,999999,IF(3=$HB42,IF(57=$HJ42,IF($JC42=2,30,0),IF(57=$HK42,IF($JC42=1,30,0),ABS(9-$HC42)*100)),100000+ABS(3-$HB42)*1000+90)),IF($HD42=0,999999,IF(3=$HE42,IF(57=$HL42,IF($JD42=2,30,0),IF(57=$HM42,IF($JD42=1,30,0),ABS(9-$HF42)*100)),100000+ABS(3-$HE42)*1000+90)),IF($HG42=0,999999,IF(3=$HH42,IF(57=$HN42,IF($JE42=2,30,0),IF(57=$HO42,IF($JE42=1,30,0),ABS(9-$HI42)*100)),100000+ABS(3-$HH42)*1000+90)))-IF((57=$HJ42)+(57=$HK42)+(57=$HL42)+(57=$HM42)+(57=$HN42)+(57=$HO42)&gt;=2,50,0))+BH$5*50)</f>
        <v/>
      </c>
      <c r="BI162">
        <f>IF(OR($JF42=0,calcA!$A$6=0),0,IF(OR(58=$HA42,58=$HD42,58=$HG42),200000,MIN(IF($HA42=0,999999,IF(3=$HB42,IF(58=$HJ42,IF($JC42=2,30,0),IF(58=$HK42,IF($JC42=1,30,0),ABS(10-$HC42)*100)),100000+ABS(3-$HB42)*1000+100)),IF($HD42=0,999999,IF(3=$HE42,IF(58=$HL42,IF($JD42=2,30,0),IF(58=$HM42,IF($JD42=1,30,0),ABS(10-$HF42)*100)),100000+ABS(3-$HE42)*1000+100)),IF($HG42=0,999999,IF(3=$HH42,IF(58=$HN42,IF($JE42=2,30,0),IF(58=$HO42,IF($JE42=1,30,0),ABS(10-$HI42)*100)),100000+ABS(3-$HH42)*1000+100)))-IF((58=$HJ42)+(58=$HK42)+(58=$HL42)+(58=$HM42)+(58=$HN42)+(58=$HO42)&gt;=2,50,0))+BI$5*50)</f>
        <v/>
      </c>
      <c r="BJ162">
        <f>IF(OR($JF42=0,calcA!$A$6=0),0,IF(OR(59=$HA42,59=$HD42,59=$HG42),200000,MIN(IF($HA42=0,999999,IF(3=$HB42,IF(59=$HJ42,IF($JC42=2,30,0),IF(59=$HK42,IF($JC42=1,30,0),ABS(11-$HC42)*100)),100000+ABS(3-$HB42)*1000+110)),IF($HD42=0,999999,IF(3=$HE42,IF(59=$HL42,IF($JD42=2,30,0),IF(59=$HM42,IF($JD42=1,30,0),ABS(11-$HF42)*100)),100000+ABS(3-$HE42)*1000+110)),IF($HG42=0,999999,IF(3=$HH42,IF(59=$HN42,IF($JE42=2,30,0),IF(59=$HO42,IF($JE42=1,30,0),ABS(11-$HI42)*100)),100000+ABS(3-$HH42)*1000+110)))-IF((59=$HJ42)+(59=$HK42)+(59=$HL42)+(59=$HM42)+(59=$HN42)+(59=$HO42)&gt;=2,50,0))+BJ$5*50)</f>
        <v/>
      </c>
      <c r="BK162">
        <f>IF(OR($JF42=0,calcA!$A$6=0),0,IF(OR(60=$HA42,60=$HD42,60=$HG42),200000,MIN(IF($HA42=0,999999,IF(3=$HB42,IF(60=$HJ42,IF($JC42=2,30,0),IF(60=$HK42,IF($JC42=1,30,0),ABS(12-$HC42)*100)),100000+ABS(3-$HB42)*1000+120)),IF($HD42=0,999999,IF(3=$HE42,IF(60=$HL42,IF($JD42=2,30,0),IF(60=$HM42,IF($JD42=1,30,0),ABS(12-$HF42)*100)),100000+ABS(3-$HE42)*1000+120)),IF($HG42=0,999999,IF(3=$HH42,IF(60=$HN42,IF($JE42=2,30,0),IF(60=$HO42,IF($JE42=1,30,0),ABS(12-$HI42)*100)),100000+ABS(3-$HH42)*1000+120)))-IF((60=$HJ42)+(60=$HK42)+(60=$HL42)+(60=$HM42)+(60=$HN42)+(60=$HO42)&gt;=2,50,0))+BK$5*50)</f>
        <v/>
      </c>
      <c r="BL162">
        <f>IF(OR($JF42=0,calcA!$A$6=0),0,IF(OR(61=$HA42,61=$HD42,61=$HG42),200000,MIN(IF($HA42=0,999999,IF(3=$HB42,IF(61=$HJ42,IF($JC42=2,30,0),IF(61=$HK42,IF($JC42=1,30,0),ABS(13-$HC42)*100)),100000+ABS(3-$HB42)*1000+130)),IF($HD42=0,999999,IF(3=$HE42,IF(61=$HL42,IF($JD42=2,30,0),IF(61=$HM42,IF($JD42=1,30,0),ABS(13-$HF42)*100)),100000+ABS(3-$HE42)*1000+130)),IF($HG42=0,999999,IF(3=$HH42,IF(61=$HN42,IF($JE42=2,30,0),IF(61=$HO42,IF($JE42=1,30,0),ABS(13-$HI42)*100)),100000+ABS(3-$HH42)*1000+130)))-IF((61=$HJ42)+(61=$HK42)+(61=$HL42)+(61=$HM42)+(61=$HN42)+(61=$HO42)&gt;=2,50,0))+BL$5*50)</f>
        <v/>
      </c>
      <c r="BM162">
        <f>IF(OR($JF42=0,calcA!$A$6=0),0,IF(OR(62=$HA42,62=$HD42,62=$HG42),200000,MIN(IF($HA42=0,999999,IF(3=$HB42,IF(62=$HJ42,IF($JC42=2,30,0),IF(62=$HK42,IF($JC42=1,30,0),ABS(14-$HC42)*100)),100000+ABS(3-$HB42)*1000+140)),IF($HD42=0,999999,IF(3=$HE42,IF(62=$HL42,IF($JD42=2,30,0),IF(62=$HM42,IF($JD42=1,30,0),ABS(14-$HF42)*100)),100000+ABS(3-$HE42)*1000+140)),IF($HG42=0,999999,IF(3=$HH42,IF(62=$HN42,IF($JE42=2,30,0),IF(62=$HO42,IF($JE42=1,30,0),ABS(14-$HI42)*100)),100000+ABS(3-$HH42)*1000+140)))-IF((62=$HJ42)+(62=$HK42)+(62=$HL42)+(62=$HM42)+(62=$HN42)+(62=$HO42)&gt;=2,50,0))+BM$5*50)</f>
        <v/>
      </c>
      <c r="BN162">
        <f>IF(OR($JF42=0,calcA!$A$6=0),0,IF(OR(63=$HA42,63=$HD42,63=$HG42),200000,MIN(IF($HA42=0,999999,IF(3=$HB42,IF(63=$HJ42,IF($JC42=2,30,0),IF(63=$HK42,IF($JC42=1,30,0),ABS(15-$HC42)*100)),100000+ABS(3-$HB42)*1000+150)),IF($HD42=0,999999,IF(3=$HE42,IF(63=$HL42,IF($JD42=2,30,0),IF(63=$HM42,IF($JD42=1,30,0),ABS(15-$HF42)*100)),100000+ABS(3-$HE42)*1000+150)),IF($HG42=0,999999,IF(3=$HH42,IF(63=$HN42,IF($JE42=2,30,0),IF(63=$HO42,IF($JE42=1,30,0),ABS(15-$HI42)*100)),100000+ABS(3-$HH42)*1000+150)))-IF((63=$HJ42)+(63=$HK42)+(63=$HL42)+(63=$HM42)+(63=$HN42)+(63=$HO42)&gt;=2,50,0))+BN$5*50)</f>
        <v/>
      </c>
      <c r="BO162">
        <f>IF(OR($JF42=0,calcA!$A$6=0),0,IF(OR(64=$HA42,64=$HD42,64=$HG42),200000,MIN(IF($HA42=0,999999,IF(3=$HB42,IF(64=$HJ42,IF($JC42=2,30,0),IF(64=$HK42,IF($JC42=1,30,0),ABS(16-$HC42)*100)),100000+ABS(3-$HB42)*1000+160)),IF($HD42=0,999999,IF(3=$HE42,IF(64=$HL42,IF($JD42=2,30,0),IF(64=$HM42,IF($JD42=1,30,0),ABS(16-$HF42)*100)),100000+ABS(3-$HE42)*1000+160)),IF($HG42=0,999999,IF(3=$HH42,IF(64=$HN42,IF($JE42=2,30,0),IF(64=$HO42,IF($JE42=1,30,0),ABS(16-$HI42)*100)),100000+ABS(3-$HH42)*1000+160)))-IF((64=$HJ42)+(64=$HK42)+(64=$HL42)+(64=$HM42)+(64=$HN42)+(64=$HO42)&gt;=2,50,0))+BO$5*50)</f>
        <v/>
      </c>
      <c r="BP162">
        <f>IF(OR($JF42=0,calcA!$A$6=0),0,IF(OR(65=$HA42,65=$HD42,65=$HG42),200000,MIN(IF($HA42=0,999999,IF(3=$HB42,IF(65=$HJ42,IF($JC42=2,30,0),IF(65=$HK42,IF($JC42=1,30,0),ABS(17-$HC42)*100)),100000+ABS(3-$HB42)*1000+170)),IF($HD42=0,999999,IF(3=$HE42,IF(65=$HL42,IF($JD42=2,30,0),IF(65=$HM42,IF($JD42=1,30,0),ABS(17-$HF42)*100)),100000+ABS(3-$HE42)*1000+170)),IF($HG42=0,999999,IF(3=$HH42,IF(65=$HN42,IF($JE42=2,30,0),IF(65=$HO42,IF($JE42=1,30,0),ABS(17-$HI42)*100)),100000+ABS(3-$HH42)*1000+170)))-IF((65=$HJ42)+(65=$HK42)+(65=$HL42)+(65=$HM42)+(65=$HN42)+(65=$HO42)&gt;=2,50,0))+BP$5*50)</f>
        <v/>
      </c>
      <c r="BQ162">
        <f>IF(OR($JF42=0,calcA!$A$6=0),0,IF(OR(66=$HA42,66=$HD42,66=$HG42),200000,MIN(IF($HA42=0,999999,IF(3=$HB42,IF(66=$HJ42,IF($JC42=2,30,0),IF(66=$HK42,IF($JC42=1,30,0),ABS(18-$HC42)*100)),100000+ABS(3-$HB42)*1000+180)),IF($HD42=0,999999,IF(3=$HE42,IF(66=$HL42,IF($JD42=2,30,0),IF(66=$HM42,IF($JD42=1,30,0),ABS(18-$HF42)*100)),100000+ABS(3-$HE42)*1000+180)),IF($HG42=0,999999,IF(3=$HH42,IF(66=$HN42,IF($JE42=2,30,0),IF(66=$HO42,IF($JE42=1,30,0),ABS(18-$HI42)*100)),100000+ABS(3-$HH42)*1000+180)))-IF((66=$HJ42)+(66=$HK42)+(66=$HL42)+(66=$HM42)+(66=$HN42)+(66=$HO42)&gt;=2,50,0))+BQ$5*50)</f>
        <v/>
      </c>
      <c r="BR162">
        <f>IF(OR($JF42=0,calcA!$A$6=0),0,IF(OR(67=$HA42,67=$HD42,67=$HG42),200000,MIN(IF($HA42=0,999999,IF(3=$HB42,IF(67=$HJ42,IF($JC42=2,30,0),IF(67=$HK42,IF($JC42=1,30,0),ABS(19-$HC42)*100)),100000+ABS(3-$HB42)*1000+190)),IF($HD42=0,999999,IF(3=$HE42,IF(67=$HL42,IF($JD42=2,30,0),IF(67=$HM42,IF($JD42=1,30,0),ABS(19-$HF42)*100)),100000+ABS(3-$HE42)*1000+190)),IF($HG42=0,999999,IF(3=$HH42,IF(67=$HN42,IF($JE42=2,30,0),IF(67=$HO42,IF($JE42=1,30,0),ABS(19-$HI42)*100)),100000+ABS(3-$HH42)*1000+190)))-IF((67=$HJ42)+(67=$HK42)+(67=$HL42)+(67=$HM42)+(67=$HN42)+(67=$HO42)&gt;=2,50,0))+BR$5*50)</f>
        <v/>
      </c>
      <c r="BS162">
        <f>IF(OR($JF42=0,calcA!$A$6=0),0,IF(OR(68=$HA42,68=$HD42,68=$HG42),200000,MIN(IF($HA42=0,999999,IF(3=$HB42,IF(68=$HJ42,IF($JC42=2,30,0),IF(68=$HK42,IF($JC42=1,30,0),ABS(20-$HC42)*100)),100000+ABS(3-$HB42)*1000+200)),IF($HD42=0,999999,IF(3=$HE42,IF(68=$HL42,IF($JD42=2,30,0),IF(68=$HM42,IF($JD42=1,30,0),ABS(20-$HF42)*100)),100000+ABS(3-$HE42)*1000+200)),IF($HG42=0,999999,IF(3=$HH42,IF(68=$HN42,IF($JE42=2,30,0),IF(68=$HO42,IF($JE42=1,30,0),ABS(20-$HI42)*100)),100000+ABS(3-$HH42)*1000+200)))-IF((68=$HJ42)+(68=$HK42)+(68=$HL42)+(68=$HM42)+(68=$HN42)+(68=$HO42)&gt;=2,50,0))+BS$5*50)</f>
        <v/>
      </c>
      <c r="BT162">
        <f>IF(OR($JF42=0,calcA!$A$6=0),0,IF(OR(69=$HA42,69=$HD42,69=$HG42),200000,MIN(IF($HA42=0,999999,IF(3=$HB42,IF(69=$HJ42,IF($JC42=2,30,0),IF(69=$HK42,IF($JC42=1,30,0),ABS(21-$HC42)*100)),100000+ABS(3-$HB42)*1000+210)),IF($HD42=0,999999,IF(3=$HE42,IF(69=$HL42,IF($JD42=2,30,0),IF(69=$HM42,IF($JD42=1,30,0),ABS(21-$HF42)*100)),100000+ABS(3-$HE42)*1000+210)),IF($HG42=0,999999,IF(3=$HH42,IF(69=$HN42,IF($JE42=2,30,0),IF(69=$HO42,IF($JE42=1,30,0),ABS(21-$HI42)*100)),100000+ABS(3-$HH42)*1000+210)))-IF((69=$HJ42)+(69=$HK42)+(69=$HL42)+(69=$HM42)+(69=$HN42)+(69=$HO42)&gt;=2,50,0))+BT$5*50)</f>
        <v/>
      </c>
      <c r="BU162">
        <f>IF(OR($JF42=0,calcA!$A$6=0),0,IF(OR(70=$HA42,70=$HD42,70=$HG42),200000,MIN(IF($HA42=0,999999,IF(3=$HB42,IF(70=$HJ42,IF($JC42=2,30,0),IF(70=$HK42,IF($JC42=1,30,0),ABS(22-$HC42)*100)),100000+ABS(3-$HB42)*1000+220)),IF($HD42=0,999999,IF(3=$HE42,IF(70=$HL42,IF($JD42=2,30,0),IF(70=$HM42,IF($JD42=1,30,0),ABS(22-$HF42)*100)),100000+ABS(3-$HE42)*1000+220)),IF($HG42=0,999999,IF(3=$HH42,IF(70=$HN42,IF($JE42=2,30,0),IF(70=$HO42,IF($JE42=1,30,0),ABS(22-$HI42)*100)),100000+ABS(3-$HH42)*1000+220)))-IF((70=$HJ42)+(70=$HK42)+(70=$HL42)+(70=$HM42)+(70=$HN42)+(70=$HO42)&gt;=2,50,0))+BU$5*50)</f>
        <v/>
      </c>
      <c r="BV162">
        <f>IF(OR($JF42=0,calcA!$A$6=0),0,IF(OR(71=$HA42,71=$HD42,71=$HG42),200000,MIN(IF($HA42=0,999999,IF(3=$HB42,IF(71=$HJ42,IF($JC42=2,30,0),IF(71=$HK42,IF($JC42=1,30,0),ABS(23-$HC42)*100)),100000+ABS(3-$HB42)*1000+230)),IF($HD42=0,999999,IF(3=$HE42,IF(71=$HL42,IF($JD42=2,30,0),IF(71=$HM42,IF($JD42=1,30,0),ABS(23-$HF42)*100)),100000+ABS(3-$HE42)*1000+230)),IF($HG42=0,999999,IF(3=$HH42,IF(71=$HN42,IF($JE42=2,30,0),IF(71=$HO42,IF($JE42=1,30,0),ABS(23-$HI42)*100)),100000+ABS(3-$HH42)*1000+230)))-IF((71=$HJ42)+(71=$HK42)+(71=$HL42)+(71=$HM42)+(71=$HN42)+(71=$HO42)&gt;=2,50,0))+BV$5*50)</f>
        <v/>
      </c>
      <c r="BW162">
        <f>IF(OR($JF42=0,calcA!$A$6=0),0,IF(OR(72=$HA42,72=$HD42,72=$HG42),200000,MIN(IF($HA42=0,999999,IF(3=$HB42,IF(72=$HJ42,IF($JC42=2,30,0),IF(72=$HK42,IF($JC42=1,30,0),ABS(24-$HC42)*100)),100000+ABS(3-$HB42)*1000+240)),IF($HD42=0,999999,IF(3=$HE42,IF(72=$HL42,IF($JD42=2,30,0),IF(72=$HM42,IF($JD42=1,30,0),ABS(24-$HF42)*100)),100000+ABS(3-$HE42)*1000+240)),IF($HG42=0,999999,IF(3=$HH42,IF(72=$HN42,IF($JE42=2,30,0),IF(72=$HO42,IF($JE42=1,30,0),ABS(24-$HI42)*100)),100000+ABS(3-$HH42)*1000+240)))-IF((72=$HJ42)+(72=$HK42)+(72=$HL42)+(72=$HM42)+(72=$HN42)+(72=$HO42)&gt;=2,50,0))+BW$5*50)</f>
        <v/>
      </c>
      <c r="BX162">
        <f>IF(OR($JF42=0,calcA!$A$6=0),0,IF(OR(73=$HA42,73=$HD42,73=$HG42),200000,MIN(IF($HA42=0,999999,IF(4=$HB42,IF(73=$HJ42,IF($JC42=2,30,0),IF(73=$HK42,IF($JC42=1,30,0),ABS(1-$HC42)*100)),100000+ABS(4-$HB42)*1000+10)),IF($HD42=0,999999,IF(4=$HE42,IF(73=$HL42,IF($JD42=2,30,0),IF(73=$HM42,IF($JD42=1,30,0),ABS(1-$HF42)*100)),100000+ABS(4-$HE42)*1000+10)),IF($HG42=0,999999,IF(4=$HH42,IF(73=$HN42,IF($JE42=2,30,0),IF(73=$HO42,IF($JE42=1,30,0),ABS(1-$HI42)*100)),100000+ABS(4-$HH42)*1000+10)))-IF((73=$HJ42)+(73=$HK42)+(73=$HL42)+(73=$HM42)+(73=$HN42)+(73=$HO42)&gt;=2,50,0))+BX$5*50)</f>
        <v/>
      </c>
      <c r="BY162">
        <f>IF(OR($JF42=0,calcA!$A$6=0),0,IF(OR(74=$HA42,74=$HD42,74=$HG42),200000,MIN(IF($HA42=0,999999,IF(4=$HB42,IF(74=$HJ42,IF($JC42=2,30,0),IF(74=$HK42,IF($JC42=1,30,0),ABS(2-$HC42)*100)),100000+ABS(4-$HB42)*1000+20)),IF($HD42=0,999999,IF(4=$HE42,IF(74=$HL42,IF($JD42=2,30,0),IF(74=$HM42,IF($JD42=1,30,0),ABS(2-$HF42)*100)),100000+ABS(4-$HE42)*1000+20)),IF($HG42=0,999999,IF(4=$HH42,IF(74=$HN42,IF($JE42=2,30,0),IF(74=$HO42,IF($JE42=1,30,0),ABS(2-$HI42)*100)),100000+ABS(4-$HH42)*1000+20)))-IF((74=$HJ42)+(74=$HK42)+(74=$HL42)+(74=$HM42)+(74=$HN42)+(74=$HO42)&gt;=2,50,0))+BY$5*50)</f>
        <v/>
      </c>
      <c r="BZ162">
        <f>IF(OR($JF42=0,calcA!$A$6=0),0,IF(OR(75=$HA42,75=$HD42,75=$HG42),200000,MIN(IF($HA42=0,999999,IF(4=$HB42,IF(75=$HJ42,IF($JC42=2,30,0),IF(75=$HK42,IF($JC42=1,30,0),ABS(3-$HC42)*100)),100000+ABS(4-$HB42)*1000+30)),IF($HD42=0,999999,IF(4=$HE42,IF(75=$HL42,IF($JD42=2,30,0),IF(75=$HM42,IF($JD42=1,30,0),ABS(3-$HF42)*100)),100000+ABS(4-$HE42)*1000+30)),IF($HG42=0,999999,IF(4=$HH42,IF(75=$HN42,IF($JE42=2,30,0),IF(75=$HO42,IF($JE42=1,30,0),ABS(3-$HI42)*100)),100000+ABS(4-$HH42)*1000+30)))-IF((75=$HJ42)+(75=$HK42)+(75=$HL42)+(75=$HM42)+(75=$HN42)+(75=$HO42)&gt;=2,50,0))+BZ$5*50)</f>
        <v/>
      </c>
      <c r="CA162">
        <f>IF(OR($JF42=0,calcA!$A$6=0),0,IF(OR(76=$HA42,76=$HD42,76=$HG42),200000,MIN(IF($HA42=0,999999,IF(4=$HB42,IF(76=$HJ42,IF($JC42=2,30,0),IF(76=$HK42,IF($JC42=1,30,0),ABS(4-$HC42)*100)),100000+ABS(4-$HB42)*1000+40)),IF($HD42=0,999999,IF(4=$HE42,IF(76=$HL42,IF($JD42=2,30,0),IF(76=$HM42,IF($JD42=1,30,0),ABS(4-$HF42)*100)),100000+ABS(4-$HE42)*1000+40)),IF($HG42=0,999999,IF(4=$HH42,IF(76=$HN42,IF($JE42=2,30,0),IF(76=$HO42,IF($JE42=1,30,0),ABS(4-$HI42)*100)),100000+ABS(4-$HH42)*1000+40)))-IF((76=$HJ42)+(76=$HK42)+(76=$HL42)+(76=$HM42)+(76=$HN42)+(76=$HO42)&gt;=2,50,0))+CA$5*50)</f>
        <v/>
      </c>
      <c r="CB162">
        <f>IF(OR($JF42=0,calcA!$A$6=0),0,IF(OR(77=$HA42,77=$HD42,77=$HG42),200000,MIN(IF($HA42=0,999999,IF(4=$HB42,IF(77=$HJ42,IF($JC42=2,30,0),IF(77=$HK42,IF($JC42=1,30,0),ABS(5-$HC42)*100)),100000+ABS(4-$HB42)*1000+50)),IF($HD42=0,999999,IF(4=$HE42,IF(77=$HL42,IF($JD42=2,30,0),IF(77=$HM42,IF($JD42=1,30,0),ABS(5-$HF42)*100)),100000+ABS(4-$HE42)*1000+50)),IF($HG42=0,999999,IF(4=$HH42,IF(77=$HN42,IF($JE42=2,30,0),IF(77=$HO42,IF($JE42=1,30,0),ABS(5-$HI42)*100)),100000+ABS(4-$HH42)*1000+50)))-IF((77=$HJ42)+(77=$HK42)+(77=$HL42)+(77=$HM42)+(77=$HN42)+(77=$HO42)&gt;=2,50,0))+CB$5*50)</f>
        <v/>
      </c>
      <c r="CC162">
        <f>IF(OR($JF42=0,calcA!$A$6=0),0,IF(OR(78=$HA42,78=$HD42,78=$HG42),200000,MIN(IF($HA42=0,999999,IF(4=$HB42,IF(78=$HJ42,IF($JC42=2,30,0),IF(78=$HK42,IF($JC42=1,30,0),ABS(6-$HC42)*100)),100000+ABS(4-$HB42)*1000+60)),IF($HD42=0,999999,IF(4=$HE42,IF(78=$HL42,IF($JD42=2,30,0),IF(78=$HM42,IF($JD42=1,30,0),ABS(6-$HF42)*100)),100000+ABS(4-$HE42)*1000+60)),IF($HG42=0,999999,IF(4=$HH42,IF(78=$HN42,IF($JE42=2,30,0),IF(78=$HO42,IF($JE42=1,30,0),ABS(6-$HI42)*100)),100000+ABS(4-$HH42)*1000+60)))-IF((78=$HJ42)+(78=$HK42)+(78=$HL42)+(78=$HM42)+(78=$HN42)+(78=$HO42)&gt;=2,50,0))+CC$5*50)</f>
        <v/>
      </c>
      <c r="CD162">
        <f>IF(OR($JF42=0,calcA!$A$6=0),0,IF(OR(79=$HA42,79=$HD42,79=$HG42),200000,MIN(IF($HA42=0,999999,IF(4=$HB42,IF(79=$HJ42,IF($JC42=2,30,0),IF(79=$HK42,IF($JC42=1,30,0),ABS(7-$HC42)*100)),100000+ABS(4-$HB42)*1000+70)),IF($HD42=0,999999,IF(4=$HE42,IF(79=$HL42,IF($JD42=2,30,0),IF(79=$HM42,IF($JD42=1,30,0),ABS(7-$HF42)*100)),100000+ABS(4-$HE42)*1000+70)),IF($HG42=0,999999,IF(4=$HH42,IF(79=$HN42,IF($JE42=2,30,0),IF(79=$HO42,IF($JE42=1,30,0),ABS(7-$HI42)*100)),100000+ABS(4-$HH42)*1000+70)))-IF((79=$HJ42)+(79=$HK42)+(79=$HL42)+(79=$HM42)+(79=$HN42)+(79=$HO42)&gt;=2,50,0))+CD$5*50)</f>
        <v/>
      </c>
      <c r="CE162">
        <f>IF(OR($JF42=0,calcA!$A$6=0),0,IF(OR(80=$HA42,80=$HD42,80=$HG42),200000,MIN(IF($HA42=0,999999,IF(4=$HB42,IF(80=$HJ42,IF($JC42=2,30,0),IF(80=$HK42,IF($JC42=1,30,0),ABS(8-$HC42)*100)),100000+ABS(4-$HB42)*1000+80)),IF($HD42=0,999999,IF(4=$HE42,IF(80=$HL42,IF($JD42=2,30,0),IF(80=$HM42,IF($JD42=1,30,0),ABS(8-$HF42)*100)),100000+ABS(4-$HE42)*1000+80)),IF($HG42=0,999999,IF(4=$HH42,IF(80=$HN42,IF($JE42=2,30,0),IF(80=$HO42,IF($JE42=1,30,0),ABS(8-$HI42)*100)),100000+ABS(4-$HH42)*1000+80)))-IF((80=$HJ42)+(80=$HK42)+(80=$HL42)+(80=$HM42)+(80=$HN42)+(80=$HO42)&gt;=2,50,0))+CE$5*50)</f>
        <v/>
      </c>
      <c r="CF162">
        <f>IF(OR($JF42=0,calcA!$A$6=0),0,IF(OR(81=$HA42,81=$HD42,81=$HG42),200000,MIN(IF($HA42=0,999999,IF(4=$HB42,IF(81=$HJ42,IF($JC42=2,30,0),IF(81=$HK42,IF($JC42=1,30,0),ABS(9-$HC42)*100)),100000+ABS(4-$HB42)*1000+90)),IF($HD42=0,999999,IF(4=$HE42,IF(81=$HL42,IF($JD42=2,30,0),IF(81=$HM42,IF($JD42=1,30,0),ABS(9-$HF42)*100)),100000+ABS(4-$HE42)*1000+90)),IF($HG42=0,999999,IF(4=$HH42,IF(81=$HN42,IF($JE42=2,30,0),IF(81=$HO42,IF($JE42=1,30,0),ABS(9-$HI42)*100)),100000+ABS(4-$HH42)*1000+90)))-IF((81=$HJ42)+(81=$HK42)+(81=$HL42)+(81=$HM42)+(81=$HN42)+(81=$HO42)&gt;=2,50,0))+CF$5*50)</f>
        <v/>
      </c>
      <c r="CG162">
        <f>IF(OR($JF42=0,calcA!$A$6=0),0,IF(OR(82=$HA42,82=$HD42,82=$HG42),200000,MIN(IF($HA42=0,999999,IF(4=$HB42,IF(82=$HJ42,IF($JC42=2,30,0),IF(82=$HK42,IF($JC42=1,30,0),ABS(10-$HC42)*100)),100000+ABS(4-$HB42)*1000+100)),IF($HD42=0,999999,IF(4=$HE42,IF(82=$HL42,IF($JD42=2,30,0),IF(82=$HM42,IF($JD42=1,30,0),ABS(10-$HF42)*100)),100000+ABS(4-$HE42)*1000+100)),IF($HG42=0,999999,IF(4=$HH42,IF(82=$HN42,IF($JE42=2,30,0),IF(82=$HO42,IF($JE42=1,30,0),ABS(10-$HI42)*100)),100000+ABS(4-$HH42)*1000+100)))-IF((82=$HJ42)+(82=$HK42)+(82=$HL42)+(82=$HM42)+(82=$HN42)+(82=$HO42)&gt;=2,50,0))+CG$5*50)</f>
        <v/>
      </c>
      <c r="CH162">
        <f>IF(OR($JF42=0,calcA!$A$6=0),0,IF(OR(83=$HA42,83=$HD42,83=$HG42),200000,MIN(IF($HA42=0,999999,IF(4=$HB42,IF(83=$HJ42,IF($JC42=2,30,0),IF(83=$HK42,IF($JC42=1,30,0),ABS(11-$HC42)*100)),100000+ABS(4-$HB42)*1000+110)),IF($HD42=0,999999,IF(4=$HE42,IF(83=$HL42,IF($JD42=2,30,0),IF(83=$HM42,IF($JD42=1,30,0),ABS(11-$HF42)*100)),100000+ABS(4-$HE42)*1000+110)),IF($HG42=0,999999,IF(4=$HH42,IF(83=$HN42,IF($JE42=2,30,0),IF(83=$HO42,IF($JE42=1,30,0),ABS(11-$HI42)*100)),100000+ABS(4-$HH42)*1000+110)))-IF((83=$HJ42)+(83=$HK42)+(83=$HL42)+(83=$HM42)+(83=$HN42)+(83=$HO42)&gt;=2,50,0))+CH$5*50)</f>
        <v/>
      </c>
      <c r="CI162">
        <f>IF(OR($JF42=0,calcA!$A$6=0),0,IF(OR(84=$HA42,84=$HD42,84=$HG42),200000,MIN(IF($HA42=0,999999,IF(4=$HB42,IF(84=$HJ42,IF($JC42=2,30,0),IF(84=$HK42,IF($JC42=1,30,0),ABS(12-$HC42)*100)),100000+ABS(4-$HB42)*1000+120)),IF($HD42=0,999999,IF(4=$HE42,IF(84=$HL42,IF($JD42=2,30,0),IF(84=$HM42,IF($JD42=1,30,0),ABS(12-$HF42)*100)),100000+ABS(4-$HE42)*1000+120)),IF($HG42=0,999999,IF(4=$HH42,IF(84=$HN42,IF($JE42=2,30,0),IF(84=$HO42,IF($JE42=1,30,0),ABS(12-$HI42)*100)),100000+ABS(4-$HH42)*1000+120)))-IF((84=$HJ42)+(84=$HK42)+(84=$HL42)+(84=$HM42)+(84=$HN42)+(84=$HO42)&gt;=2,50,0))+CI$5*50)</f>
        <v/>
      </c>
      <c r="CJ162">
        <f>IF(OR($JF42=0,calcA!$A$6=0),0,IF(OR(85=$HA42,85=$HD42,85=$HG42),200000,MIN(IF($HA42=0,999999,IF(4=$HB42,IF(85=$HJ42,IF($JC42=2,30,0),IF(85=$HK42,IF($JC42=1,30,0),ABS(13-$HC42)*100)),100000+ABS(4-$HB42)*1000+130)),IF($HD42=0,999999,IF(4=$HE42,IF(85=$HL42,IF($JD42=2,30,0),IF(85=$HM42,IF($JD42=1,30,0),ABS(13-$HF42)*100)),100000+ABS(4-$HE42)*1000+130)),IF($HG42=0,999999,IF(4=$HH42,IF(85=$HN42,IF($JE42=2,30,0),IF(85=$HO42,IF($JE42=1,30,0),ABS(13-$HI42)*100)),100000+ABS(4-$HH42)*1000+130)))-IF((85=$HJ42)+(85=$HK42)+(85=$HL42)+(85=$HM42)+(85=$HN42)+(85=$HO42)&gt;=2,50,0))+CJ$5*50)</f>
        <v/>
      </c>
      <c r="CK162">
        <f>IF(OR($JF42=0,calcA!$A$6=0),0,IF(OR(86=$HA42,86=$HD42,86=$HG42),200000,MIN(IF($HA42=0,999999,IF(4=$HB42,IF(86=$HJ42,IF($JC42=2,30,0),IF(86=$HK42,IF($JC42=1,30,0),ABS(14-$HC42)*100)),100000+ABS(4-$HB42)*1000+140)),IF($HD42=0,999999,IF(4=$HE42,IF(86=$HL42,IF($JD42=2,30,0),IF(86=$HM42,IF($JD42=1,30,0),ABS(14-$HF42)*100)),100000+ABS(4-$HE42)*1000+140)),IF($HG42=0,999999,IF(4=$HH42,IF(86=$HN42,IF($JE42=2,30,0),IF(86=$HO42,IF($JE42=1,30,0),ABS(14-$HI42)*100)),100000+ABS(4-$HH42)*1000+140)))-IF((86=$HJ42)+(86=$HK42)+(86=$HL42)+(86=$HM42)+(86=$HN42)+(86=$HO42)&gt;=2,50,0))+CK$5*50)</f>
        <v/>
      </c>
      <c r="CL162">
        <f>IF(OR($JF42=0,calcA!$A$6=0),0,IF(OR(87=$HA42,87=$HD42,87=$HG42),200000,MIN(IF($HA42=0,999999,IF(4=$HB42,IF(87=$HJ42,IF($JC42=2,30,0),IF(87=$HK42,IF($JC42=1,30,0),ABS(15-$HC42)*100)),100000+ABS(4-$HB42)*1000+150)),IF($HD42=0,999999,IF(4=$HE42,IF(87=$HL42,IF($JD42=2,30,0),IF(87=$HM42,IF($JD42=1,30,0),ABS(15-$HF42)*100)),100000+ABS(4-$HE42)*1000+150)),IF($HG42=0,999999,IF(4=$HH42,IF(87=$HN42,IF($JE42=2,30,0),IF(87=$HO42,IF($JE42=1,30,0),ABS(15-$HI42)*100)),100000+ABS(4-$HH42)*1000+150)))-IF((87=$HJ42)+(87=$HK42)+(87=$HL42)+(87=$HM42)+(87=$HN42)+(87=$HO42)&gt;=2,50,0))+CL$5*50)</f>
        <v/>
      </c>
      <c r="CM162">
        <f>IF(OR($JF42=0,calcA!$A$6=0),0,IF(OR(88=$HA42,88=$HD42,88=$HG42),200000,MIN(IF($HA42=0,999999,IF(4=$HB42,IF(88=$HJ42,IF($JC42=2,30,0),IF(88=$HK42,IF($JC42=1,30,0),ABS(16-$HC42)*100)),100000+ABS(4-$HB42)*1000+160)),IF($HD42=0,999999,IF(4=$HE42,IF(88=$HL42,IF($JD42=2,30,0),IF(88=$HM42,IF($JD42=1,30,0),ABS(16-$HF42)*100)),100000+ABS(4-$HE42)*1000+160)),IF($HG42=0,999999,IF(4=$HH42,IF(88=$HN42,IF($JE42=2,30,0),IF(88=$HO42,IF($JE42=1,30,0),ABS(16-$HI42)*100)),100000+ABS(4-$HH42)*1000+160)))-IF((88=$HJ42)+(88=$HK42)+(88=$HL42)+(88=$HM42)+(88=$HN42)+(88=$HO42)&gt;=2,50,0))+CM$5*50)</f>
        <v/>
      </c>
      <c r="CN162">
        <f>IF(OR($JF42=0,calcA!$A$6=0),0,IF(OR(89=$HA42,89=$HD42,89=$HG42),200000,MIN(IF($HA42=0,999999,IF(4=$HB42,IF(89=$HJ42,IF($JC42=2,30,0),IF(89=$HK42,IF($JC42=1,30,0),ABS(17-$HC42)*100)),100000+ABS(4-$HB42)*1000+170)),IF($HD42=0,999999,IF(4=$HE42,IF(89=$HL42,IF($JD42=2,30,0),IF(89=$HM42,IF($JD42=1,30,0),ABS(17-$HF42)*100)),100000+ABS(4-$HE42)*1000+170)),IF($HG42=0,999999,IF(4=$HH42,IF(89=$HN42,IF($JE42=2,30,0),IF(89=$HO42,IF($JE42=1,30,0),ABS(17-$HI42)*100)),100000+ABS(4-$HH42)*1000+170)))-IF((89=$HJ42)+(89=$HK42)+(89=$HL42)+(89=$HM42)+(89=$HN42)+(89=$HO42)&gt;=2,50,0))+CN$5*50)</f>
        <v/>
      </c>
      <c r="CO162">
        <f>IF(OR($JF42=0,calcA!$A$6=0),0,IF(OR(90=$HA42,90=$HD42,90=$HG42),200000,MIN(IF($HA42=0,999999,IF(4=$HB42,IF(90=$HJ42,IF($JC42=2,30,0),IF(90=$HK42,IF($JC42=1,30,0),ABS(18-$HC42)*100)),100000+ABS(4-$HB42)*1000+180)),IF($HD42=0,999999,IF(4=$HE42,IF(90=$HL42,IF($JD42=2,30,0),IF(90=$HM42,IF($JD42=1,30,0),ABS(18-$HF42)*100)),100000+ABS(4-$HE42)*1000+180)),IF($HG42=0,999999,IF(4=$HH42,IF(90=$HN42,IF($JE42=2,30,0),IF(90=$HO42,IF($JE42=1,30,0),ABS(18-$HI42)*100)),100000+ABS(4-$HH42)*1000+180)))-IF((90=$HJ42)+(90=$HK42)+(90=$HL42)+(90=$HM42)+(90=$HN42)+(90=$HO42)&gt;=2,50,0))+CO$5*50)</f>
        <v/>
      </c>
      <c r="CP162">
        <f>IF(OR($JF42=0,calcA!$A$6=0),0,IF(OR(91=$HA42,91=$HD42,91=$HG42),200000,MIN(IF($HA42=0,999999,IF(4=$HB42,IF(91=$HJ42,IF($JC42=2,30,0),IF(91=$HK42,IF($JC42=1,30,0),ABS(19-$HC42)*100)),100000+ABS(4-$HB42)*1000+190)),IF($HD42=0,999999,IF(4=$HE42,IF(91=$HL42,IF($JD42=2,30,0),IF(91=$HM42,IF($JD42=1,30,0),ABS(19-$HF42)*100)),100000+ABS(4-$HE42)*1000+190)),IF($HG42=0,999999,IF(4=$HH42,IF(91=$HN42,IF($JE42=2,30,0),IF(91=$HO42,IF($JE42=1,30,0),ABS(19-$HI42)*100)),100000+ABS(4-$HH42)*1000+190)))-IF((91=$HJ42)+(91=$HK42)+(91=$HL42)+(91=$HM42)+(91=$HN42)+(91=$HO42)&gt;=2,50,0))+CP$5*50)</f>
        <v/>
      </c>
      <c r="CQ162">
        <f>IF(OR($JF42=0,calcA!$A$6=0),0,IF(OR(92=$HA42,92=$HD42,92=$HG42),200000,MIN(IF($HA42=0,999999,IF(4=$HB42,IF(92=$HJ42,IF($JC42=2,30,0),IF(92=$HK42,IF($JC42=1,30,0),ABS(20-$HC42)*100)),100000+ABS(4-$HB42)*1000+200)),IF($HD42=0,999999,IF(4=$HE42,IF(92=$HL42,IF($JD42=2,30,0),IF(92=$HM42,IF($JD42=1,30,0),ABS(20-$HF42)*100)),100000+ABS(4-$HE42)*1000+200)),IF($HG42=0,999999,IF(4=$HH42,IF(92=$HN42,IF($JE42=2,30,0),IF(92=$HO42,IF($JE42=1,30,0),ABS(20-$HI42)*100)),100000+ABS(4-$HH42)*1000+200)))-IF((92=$HJ42)+(92=$HK42)+(92=$HL42)+(92=$HM42)+(92=$HN42)+(92=$HO42)&gt;=2,50,0))+CQ$5*50)</f>
        <v/>
      </c>
      <c r="CR162">
        <f>IF(OR($JF42=0,calcA!$A$6=0),0,IF(OR(93=$HA42,93=$HD42,93=$HG42),200000,MIN(IF($HA42=0,999999,IF(4=$HB42,IF(93=$HJ42,IF($JC42=2,30,0),IF(93=$HK42,IF($JC42=1,30,0),ABS(21-$HC42)*100)),100000+ABS(4-$HB42)*1000+210)),IF($HD42=0,999999,IF(4=$HE42,IF(93=$HL42,IF($JD42=2,30,0),IF(93=$HM42,IF($JD42=1,30,0),ABS(21-$HF42)*100)),100000+ABS(4-$HE42)*1000+210)),IF($HG42=0,999999,IF(4=$HH42,IF(93=$HN42,IF($JE42=2,30,0),IF(93=$HO42,IF($JE42=1,30,0),ABS(21-$HI42)*100)),100000+ABS(4-$HH42)*1000+210)))-IF((93=$HJ42)+(93=$HK42)+(93=$HL42)+(93=$HM42)+(93=$HN42)+(93=$HO42)&gt;=2,50,0))+CR$5*50)</f>
        <v/>
      </c>
      <c r="CS162">
        <f>IF(OR($JF42=0,calcA!$A$6=0),0,IF(OR(94=$HA42,94=$HD42,94=$HG42),200000,MIN(IF($HA42=0,999999,IF(4=$HB42,IF(94=$HJ42,IF($JC42=2,30,0),IF(94=$HK42,IF($JC42=1,30,0),ABS(22-$HC42)*100)),100000+ABS(4-$HB42)*1000+220)),IF($HD42=0,999999,IF(4=$HE42,IF(94=$HL42,IF($JD42=2,30,0),IF(94=$HM42,IF($JD42=1,30,0),ABS(22-$HF42)*100)),100000+ABS(4-$HE42)*1000+220)),IF($HG42=0,999999,IF(4=$HH42,IF(94=$HN42,IF($JE42=2,30,0),IF(94=$HO42,IF($JE42=1,30,0),ABS(22-$HI42)*100)),100000+ABS(4-$HH42)*1000+220)))-IF((94=$HJ42)+(94=$HK42)+(94=$HL42)+(94=$HM42)+(94=$HN42)+(94=$HO42)&gt;=2,50,0))+CS$5*50)</f>
        <v/>
      </c>
      <c r="CT162">
        <f>IF(OR($JF42=0,calcA!$A$6=0),0,IF(OR(95=$HA42,95=$HD42,95=$HG42),200000,MIN(IF($HA42=0,999999,IF(4=$HB42,IF(95=$HJ42,IF($JC42=2,30,0),IF(95=$HK42,IF($JC42=1,30,0),ABS(23-$HC42)*100)),100000+ABS(4-$HB42)*1000+230)),IF($HD42=0,999999,IF(4=$HE42,IF(95=$HL42,IF($JD42=2,30,0),IF(95=$HM42,IF($JD42=1,30,0),ABS(23-$HF42)*100)),100000+ABS(4-$HE42)*1000+230)),IF($HG42=0,999999,IF(4=$HH42,IF(95=$HN42,IF($JE42=2,30,0),IF(95=$HO42,IF($JE42=1,30,0),ABS(23-$HI42)*100)),100000+ABS(4-$HH42)*1000+230)))-IF((95=$HJ42)+(95=$HK42)+(95=$HL42)+(95=$HM42)+(95=$HN42)+(95=$HO42)&gt;=2,50,0))+CT$5*50)</f>
        <v/>
      </c>
      <c r="CU162">
        <f>IF(OR($JF42=0,calcA!$A$6=0),0,IF(OR(96=$HA42,96=$HD42,96=$HG42),200000,MIN(IF($HA42=0,999999,IF(4=$HB42,IF(96=$HJ42,IF($JC42=2,30,0),IF(96=$HK42,IF($JC42=1,30,0),ABS(24-$HC42)*100)),100000+ABS(4-$HB42)*1000+240)),IF($HD42=0,999999,IF(4=$HE42,IF(96=$HL42,IF($JD42=2,30,0),IF(96=$HM42,IF($JD42=1,30,0),ABS(24-$HF42)*100)),100000+ABS(4-$HE42)*1000+240)),IF($HG42=0,999999,IF(4=$HH42,IF(96=$HN42,IF($JE42=2,30,0),IF(96=$HO42,IF($JE42=1,30,0),ABS(24-$HI42)*100)),100000+ABS(4-$HH42)*1000+240)))-IF((96=$HJ42)+(96=$HK42)+(96=$HL42)+(96=$HM42)+(96=$HN42)+(96=$HO42)&gt;=2,50,0))+CU$5*50)</f>
        <v/>
      </c>
      <c r="CV162">
        <f>IF(OR($JF42=0,calcA!$A$6=0),0,IF(OR(97=$HA42,97=$HD42,97=$HG42),200000,MIN(IF($HA42=0,999999,IF(5=$HB42,IF(97=$HJ42,IF($JC42=2,30,0),IF(97=$HK42,IF($JC42=1,30,0),ABS(1-$HC42)*100)),100000+ABS(5-$HB42)*1000+10)),IF($HD42=0,999999,IF(5=$HE42,IF(97=$HL42,IF($JD42=2,30,0),IF(97=$HM42,IF($JD42=1,30,0),ABS(1-$HF42)*100)),100000+ABS(5-$HE42)*1000+10)),IF($HG42=0,999999,IF(5=$HH42,IF(97=$HN42,IF($JE42=2,30,0),IF(97=$HO42,IF($JE42=1,30,0),ABS(1-$HI42)*100)),100000+ABS(5-$HH42)*1000+10)))-IF((97=$HJ42)+(97=$HK42)+(97=$HL42)+(97=$HM42)+(97=$HN42)+(97=$HO42)&gt;=2,50,0))+CV$5*50)</f>
        <v/>
      </c>
      <c r="CW162">
        <f>IF(OR($JF42=0,calcA!$A$6=0),0,IF(OR(98=$HA42,98=$HD42,98=$HG42),200000,MIN(IF($HA42=0,999999,IF(5=$HB42,IF(98=$HJ42,IF($JC42=2,30,0),IF(98=$HK42,IF($JC42=1,30,0),ABS(2-$HC42)*100)),100000+ABS(5-$HB42)*1000+20)),IF($HD42=0,999999,IF(5=$HE42,IF(98=$HL42,IF($JD42=2,30,0),IF(98=$HM42,IF($JD42=1,30,0),ABS(2-$HF42)*100)),100000+ABS(5-$HE42)*1000+20)),IF($HG42=0,999999,IF(5=$HH42,IF(98=$HN42,IF($JE42=2,30,0),IF(98=$HO42,IF($JE42=1,30,0),ABS(2-$HI42)*100)),100000+ABS(5-$HH42)*1000+20)))-IF((98=$HJ42)+(98=$HK42)+(98=$HL42)+(98=$HM42)+(98=$HN42)+(98=$HO42)&gt;=2,50,0))+CW$5*50)</f>
        <v/>
      </c>
      <c r="CX162">
        <f>IF(OR($JF42=0,calcA!$A$6=0),0,IF(OR(99=$HA42,99=$HD42,99=$HG42),200000,MIN(IF($HA42=0,999999,IF(5=$HB42,IF(99=$HJ42,IF($JC42=2,30,0),IF(99=$HK42,IF($JC42=1,30,0),ABS(3-$HC42)*100)),100000+ABS(5-$HB42)*1000+30)),IF($HD42=0,999999,IF(5=$HE42,IF(99=$HL42,IF($JD42=2,30,0),IF(99=$HM42,IF($JD42=1,30,0),ABS(3-$HF42)*100)),100000+ABS(5-$HE42)*1000+30)),IF($HG42=0,999999,IF(5=$HH42,IF(99=$HN42,IF($JE42=2,30,0),IF(99=$HO42,IF($JE42=1,30,0),ABS(3-$HI42)*100)),100000+ABS(5-$HH42)*1000+30)))-IF((99=$HJ42)+(99=$HK42)+(99=$HL42)+(99=$HM42)+(99=$HN42)+(99=$HO42)&gt;=2,50,0))+CX$5*50)</f>
        <v/>
      </c>
      <c r="CY162">
        <f>IF(OR($JF42=0,calcA!$A$6=0),0,IF(OR(100=$HA42,100=$HD42,100=$HG42),200000,MIN(IF($HA42=0,999999,IF(5=$HB42,IF(100=$HJ42,IF($JC42=2,30,0),IF(100=$HK42,IF($JC42=1,30,0),ABS(4-$HC42)*100)),100000+ABS(5-$HB42)*1000+40)),IF($HD42=0,999999,IF(5=$HE42,IF(100=$HL42,IF($JD42=2,30,0),IF(100=$HM42,IF($JD42=1,30,0),ABS(4-$HF42)*100)),100000+ABS(5-$HE42)*1000+40)),IF($HG42=0,999999,IF(5=$HH42,IF(100=$HN42,IF($JE42=2,30,0),IF(100=$HO42,IF($JE42=1,30,0),ABS(4-$HI42)*100)),100000+ABS(5-$HH42)*1000+40)))-IF((100=$HJ42)+(100=$HK42)+(100=$HL42)+(100=$HM42)+(100=$HN42)+(100=$HO42)&gt;=2,50,0))+CY$5*50)</f>
        <v/>
      </c>
      <c r="CZ162">
        <f>IF(OR($JF42=0,calcA!$A$6=0),0,IF(OR(101=$HA42,101=$HD42,101=$HG42),200000,MIN(IF($HA42=0,999999,IF(5=$HB42,IF(101=$HJ42,IF($JC42=2,30,0),IF(101=$HK42,IF($JC42=1,30,0),ABS(5-$HC42)*100)),100000+ABS(5-$HB42)*1000+50)),IF($HD42=0,999999,IF(5=$HE42,IF(101=$HL42,IF($JD42=2,30,0),IF(101=$HM42,IF($JD42=1,30,0),ABS(5-$HF42)*100)),100000+ABS(5-$HE42)*1000+50)),IF($HG42=0,999999,IF(5=$HH42,IF(101=$HN42,IF($JE42=2,30,0),IF(101=$HO42,IF($JE42=1,30,0),ABS(5-$HI42)*100)),100000+ABS(5-$HH42)*1000+50)))-IF((101=$HJ42)+(101=$HK42)+(101=$HL42)+(101=$HM42)+(101=$HN42)+(101=$HO42)&gt;=2,50,0))+CZ$5*50)</f>
        <v/>
      </c>
      <c r="DA162">
        <f>IF(OR($JF42=0,calcA!$A$6=0),0,IF(OR(102=$HA42,102=$HD42,102=$HG42),200000,MIN(IF($HA42=0,999999,IF(5=$HB42,IF(102=$HJ42,IF($JC42=2,30,0),IF(102=$HK42,IF($JC42=1,30,0),ABS(6-$HC42)*100)),100000+ABS(5-$HB42)*1000+60)),IF($HD42=0,999999,IF(5=$HE42,IF(102=$HL42,IF($JD42=2,30,0),IF(102=$HM42,IF($JD42=1,30,0),ABS(6-$HF42)*100)),100000+ABS(5-$HE42)*1000+60)),IF($HG42=0,999999,IF(5=$HH42,IF(102=$HN42,IF($JE42=2,30,0),IF(102=$HO42,IF($JE42=1,30,0),ABS(6-$HI42)*100)),100000+ABS(5-$HH42)*1000+60)))-IF((102=$HJ42)+(102=$HK42)+(102=$HL42)+(102=$HM42)+(102=$HN42)+(102=$HO42)&gt;=2,50,0))+DA$5*50)</f>
        <v/>
      </c>
      <c r="DB162">
        <f>IF(OR($JF42=0,calcA!$A$6=0),0,IF(OR(103=$HA42,103=$HD42,103=$HG42),200000,MIN(IF($HA42=0,999999,IF(5=$HB42,IF(103=$HJ42,IF($JC42=2,30,0),IF(103=$HK42,IF($JC42=1,30,0),ABS(7-$HC42)*100)),100000+ABS(5-$HB42)*1000+70)),IF($HD42=0,999999,IF(5=$HE42,IF(103=$HL42,IF($JD42=2,30,0),IF(103=$HM42,IF($JD42=1,30,0),ABS(7-$HF42)*100)),100000+ABS(5-$HE42)*1000+70)),IF($HG42=0,999999,IF(5=$HH42,IF(103=$HN42,IF($JE42=2,30,0),IF(103=$HO42,IF($JE42=1,30,0),ABS(7-$HI42)*100)),100000+ABS(5-$HH42)*1000+70)))-IF((103=$HJ42)+(103=$HK42)+(103=$HL42)+(103=$HM42)+(103=$HN42)+(103=$HO42)&gt;=2,50,0))+DB$5*50)</f>
        <v/>
      </c>
      <c r="DC162">
        <f>IF(OR($JF42=0,calcA!$A$6=0),0,IF(OR(104=$HA42,104=$HD42,104=$HG42),200000,MIN(IF($HA42=0,999999,IF(5=$HB42,IF(104=$HJ42,IF($JC42=2,30,0),IF(104=$HK42,IF($JC42=1,30,0),ABS(8-$HC42)*100)),100000+ABS(5-$HB42)*1000+80)),IF($HD42=0,999999,IF(5=$HE42,IF(104=$HL42,IF($JD42=2,30,0),IF(104=$HM42,IF($JD42=1,30,0),ABS(8-$HF42)*100)),100000+ABS(5-$HE42)*1000+80)),IF($HG42=0,999999,IF(5=$HH42,IF(104=$HN42,IF($JE42=2,30,0),IF(104=$HO42,IF($JE42=1,30,0),ABS(8-$HI42)*100)),100000+ABS(5-$HH42)*1000+80)))-IF((104=$HJ42)+(104=$HK42)+(104=$HL42)+(104=$HM42)+(104=$HN42)+(104=$HO42)&gt;=2,50,0))+DC$5*50)</f>
        <v/>
      </c>
      <c r="DD162">
        <f>IF(OR($JF42=0,calcA!$A$6=0),0,IF(OR(105=$HA42,105=$HD42,105=$HG42),200000,MIN(IF($HA42=0,999999,IF(5=$HB42,IF(105=$HJ42,IF($JC42=2,30,0),IF(105=$HK42,IF($JC42=1,30,0),ABS(9-$HC42)*100)),100000+ABS(5-$HB42)*1000+90)),IF($HD42=0,999999,IF(5=$HE42,IF(105=$HL42,IF($JD42=2,30,0),IF(105=$HM42,IF($JD42=1,30,0),ABS(9-$HF42)*100)),100000+ABS(5-$HE42)*1000+90)),IF($HG42=0,999999,IF(5=$HH42,IF(105=$HN42,IF($JE42=2,30,0),IF(105=$HO42,IF($JE42=1,30,0),ABS(9-$HI42)*100)),100000+ABS(5-$HH42)*1000+90)))-IF((105=$HJ42)+(105=$HK42)+(105=$HL42)+(105=$HM42)+(105=$HN42)+(105=$HO42)&gt;=2,50,0))+DD$5*50)</f>
        <v/>
      </c>
      <c r="DE162">
        <f>IF(OR($JF42=0,calcA!$A$6=0),0,IF(OR(106=$HA42,106=$HD42,106=$HG42),200000,MIN(IF($HA42=0,999999,IF(5=$HB42,IF(106=$HJ42,IF($JC42=2,30,0),IF(106=$HK42,IF($JC42=1,30,0),ABS(10-$HC42)*100)),100000+ABS(5-$HB42)*1000+100)),IF($HD42=0,999999,IF(5=$HE42,IF(106=$HL42,IF($JD42=2,30,0),IF(106=$HM42,IF($JD42=1,30,0),ABS(10-$HF42)*100)),100000+ABS(5-$HE42)*1000+100)),IF($HG42=0,999999,IF(5=$HH42,IF(106=$HN42,IF($JE42=2,30,0),IF(106=$HO42,IF($JE42=1,30,0),ABS(10-$HI42)*100)),100000+ABS(5-$HH42)*1000+100)))-IF((106=$HJ42)+(106=$HK42)+(106=$HL42)+(106=$HM42)+(106=$HN42)+(106=$HO42)&gt;=2,50,0))+DE$5*50)</f>
        <v/>
      </c>
      <c r="DF162">
        <f>IF(OR($JF42=0,calcA!$A$6=0),0,IF(OR(107=$HA42,107=$HD42,107=$HG42),200000,MIN(IF($HA42=0,999999,IF(5=$HB42,IF(107=$HJ42,IF($JC42=2,30,0),IF(107=$HK42,IF($JC42=1,30,0),ABS(11-$HC42)*100)),100000+ABS(5-$HB42)*1000+110)),IF($HD42=0,999999,IF(5=$HE42,IF(107=$HL42,IF($JD42=2,30,0),IF(107=$HM42,IF($JD42=1,30,0),ABS(11-$HF42)*100)),100000+ABS(5-$HE42)*1000+110)),IF($HG42=0,999999,IF(5=$HH42,IF(107=$HN42,IF($JE42=2,30,0),IF(107=$HO42,IF($JE42=1,30,0),ABS(11-$HI42)*100)),100000+ABS(5-$HH42)*1000+110)))-IF((107=$HJ42)+(107=$HK42)+(107=$HL42)+(107=$HM42)+(107=$HN42)+(107=$HO42)&gt;=2,50,0))+DF$5*50)</f>
        <v/>
      </c>
      <c r="DG162">
        <f>IF(OR($JF42=0,calcA!$A$6=0),0,IF(OR(108=$HA42,108=$HD42,108=$HG42),200000,MIN(IF($HA42=0,999999,IF(5=$HB42,IF(108=$HJ42,IF($JC42=2,30,0),IF(108=$HK42,IF($JC42=1,30,0),ABS(12-$HC42)*100)),100000+ABS(5-$HB42)*1000+120)),IF($HD42=0,999999,IF(5=$HE42,IF(108=$HL42,IF($JD42=2,30,0),IF(108=$HM42,IF($JD42=1,30,0),ABS(12-$HF42)*100)),100000+ABS(5-$HE42)*1000+120)),IF($HG42=0,999999,IF(5=$HH42,IF(108=$HN42,IF($JE42=2,30,0),IF(108=$HO42,IF($JE42=1,30,0),ABS(12-$HI42)*100)),100000+ABS(5-$HH42)*1000+120)))-IF((108=$HJ42)+(108=$HK42)+(108=$HL42)+(108=$HM42)+(108=$HN42)+(108=$HO42)&gt;=2,50,0))+DG$5*50)</f>
        <v/>
      </c>
      <c r="DH162">
        <f>IF(OR($JF42=0,calcA!$A$6=0),0,IF(OR(109=$HA42,109=$HD42,109=$HG42),200000,MIN(IF($HA42=0,999999,IF(5=$HB42,IF(109=$HJ42,IF($JC42=2,30,0),IF(109=$HK42,IF($JC42=1,30,0),ABS(13-$HC42)*100)),100000+ABS(5-$HB42)*1000+130)),IF($HD42=0,999999,IF(5=$HE42,IF(109=$HL42,IF($JD42=2,30,0),IF(109=$HM42,IF($JD42=1,30,0),ABS(13-$HF42)*100)),100000+ABS(5-$HE42)*1000+130)),IF($HG42=0,999999,IF(5=$HH42,IF(109=$HN42,IF($JE42=2,30,0),IF(109=$HO42,IF($JE42=1,30,0),ABS(13-$HI42)*100)),100000+ABS(5-$HH42)*1000+130)))-IF((109=$HJ42)+(109=$HK42)+(109=$HL42)+(109=$HM42)+(109=$HN42)+(109=$HO42)&gt;=2,50,0))+DH$5*50)</f>
        <v/>
      </c>
      <c r="DI162">
        <f>IF(OR($JF42=0,calcA!$A$6=0),0,IF(OR(110=$HA42,110=$HD42,110=$HG42),200000,MIN(IF($HA42=0,999999,IF(5=$HB42,IF(110=$HJ42,IF($JC42=2,30,0),IF(110=$HK42,IF($JC42=1,30,0),ABS(14-$HC42)*100)),100000+ABS(5-$HB42)*1000+140)),IF($HD42=0,999999,IF(5=$HE42,IF(110=$HL42,IF($JD42=2,30,0),IF(110=$HM42,IF($JD42=1,30,0),ABS(14-$HF42)*100)),100000+ABS(5-$HE42)*1000+140)),IF($HG42=0,999999,IF(5=$HH42,IF(110=$HN42,IF($JE42=2,30,0),IF(110=$HO42,IF($JE42=1,30,0),ABS(14-$HI42)*100)),100000+ABS(5-$HH42)*1000+140)))-IF((110=$HJ42)+(110=$HK42)+(110=$HL42)+(110=$HM42)+(110=$HN42)+(110=$HO42)&gt;=2,50,0))+DI$5*50)</f>
        <v/>
      </c>
      <c r="DJ162">
        <f>IF(OR($JF42=0,calcA!$A$6=0),0,IF(OR(111=$HA42,111=$HD42,111=$HG42),200000,MIN(IF($HA42=0,999999,IF(5=$HB42,IF(111=$HJ42,IF($JC42=2,30,0),IF(111=$HK42,IF($JC42=1,30,0),ABS(15-$HC42)*100)),100000+ABS(5-$HB42)*1000+150)),IF($HD42=0,999999,IF(5=$HE42,IF(111=$HL42,IF($JD42=2,30,0),IF(111=$HM42,IF($JD42=1,30,0),ABS(15-$HF42)*100)),100000+ABS(5-$HE42)*1000+150)),IF($HG42=0,999999,IF(5=$HH42,IF(111=$HN42,IF($JE42=2,30,0),IF(111=$HO42,IF($JE42=1,30,0),ABS(15-$HI42)*100)),100000+ABS(5-$HH42)*1000+150)))-IF((111=$HJ42)+(111=$HK42)+(111=$HL42)+(111=$HM42)+(111=$HN42)+(111=$HO42)&gt;=2,50,0))+DJ$5*50)</f>
        <v/>
      </c>
      <c r="DK162">
        <f>IF(OR($JF42=0,calcA!$A$6=0),0,IF(OR(112=$HA42,112=$HD42,112=$HG42),200000,MIN(IF($HA42=0,999999,IF(5=$HB42,IF(112=$HJ42,IF($JC42=2,30,0),IF(112=$HK42,IF($JC42=1,30,0),ABS(16-$HC42)*100)),100000+ABS(5-$HB42)*1000+160)),IF($HD42=0,999999,IF(5=$HE42,IF(112=$HL42,IF($JD42=2,30,0),IF(112=$HM42,IF($JD42=1,30,0),ABS(16-$HF42)*100)),100000+ABS(5-$HE42)*1000+160)),IF($HG42=0,999999,IF(5=$HH42,IF(112=$HN42,IF($JE42=2,30,0),IF(112=$HO42,IF($JE42=1,30,0),ABS(16-$HI42)*100)),100000+ABS(5-$HH42)*1000+160)))-IF((112=$HJ42)+(112=$HK42)+(112=$HL42)+(112=$HM42)+(112=$HN42)+(112=$HO42)&gt;=2,50,0))+DK$5*50)</f>
        <v/>
      </c>
      <c r="DL162">
        <f>IF(OR($JF42=0,calcA!$A$6=0),0,IF(OR(113=$HA42,113=$HD42,113=$HG42),200000,MIN(IF($HA42=0,999999,IF(5=$HB42,IF(113=$HJ42,IF($JC42=2,30,0),IF(113=$HK42,IF($JC42=1,30,0),ABS(17-$HC42)*100)),100000+ABS(5-$HB42)*1000+170)),IF($HD42=0,999999,IF(5=$HE42,IF(113=$HL42,IF($JD42=2,30,0),IF(113=$HM42,IF($JD42=1,30,0),ABS(17-$HF42)*100)),100000+ABS(5-$HE42)*1000+170)),IF($HG42=0,999999,IF(5=$HH42,IF(113=$HN42,IF($JE42=2,30,0),IF(113=$HO42,IF($JE42=1,30,0),ABS(17-$HI42)*100)),100000+ABS(5-$HH42)*1000+170)))-IF((113=$HJ42)+(113=$HK42)+(113=$HL42)+(113=$HM42)+(113=$HN42)+(113=$HO42)&gt;=2,50,0))+DL$5*50)</f>
        <v/>
      </c>
      <c r="DM162">
        <f>IF(OR($JF42=0,calcA!$A$6=0),0,IF(OR(114=$HA42,114=$HD42,114=$HG42),200000,MIN(IF($HA42=0,999999,IF(5=$HB42,IF(114=$HJ42,IF($JC42=2,30,0),IF(114=$HK42,IF($JC42=1,30,0),ABS(18-$HC42)*100)),100000+ABS(5-$HB42)*1000+180)),IF($HD42=0,999999,IF(5=$HE42,IF(114=$HL42,IF($JD42=2,30,0),IF(114=$HM42,IF($JD42=1,30,0),ABS(18-$HF42)*100)),100000+ABS(5-$HE42)*1000+180)),IF($HG42=0,999999,IF(5=$HH42,IF(114=$HN42,IF($JE42=2,30,0),IF(114=$HO42,IF($JE42=1,30,0),ABS(18-$HI42)*100)),100000+ABS(5-$HH42)*1000+180)))-IF((114=$HJ42)+(114=$HK42)+(114=$HL42)+(114=$HM42)+(114=$HN42)+(114=$HO42)&gt;=2,50,0))+DM$5*50)</f>
        <v/>
      </c>
      <c r="DN162">
        <f>IF(OR($JF42=0,calcA!$A$6=0),0,IF(OR(115=$HA42,115=$HD42,115=$HG42),200000,MIN(IF($HA42=0,999999,IF(5=$HB42,IF(115=$HJ42,IF($JC42=2,30,0),IF(115=$HK42,IF($JC42=1,30,0),ABS(19-$HC42)*100)),100000+ABS(5-$HB42)*1000+190)),IF($HD42=0,999999,IF(5=$HE42,IF(115=$HL42,IF($JD42=2,30,0),IF(115=$HM42,IF($JD42=1,30,0),ABS(19-$HF42)*100)),100000+ABS(5-$HE42)*1000+190)),IF($HG42=0,999999,IF(5=$HH42,IF(115=$HN42,IF($JE42=2,30,0),IF(115=$HO42,IF($JE42=1,30,0),ABS(19-$HI42)*100)),100000+ABS(5-$HH42)*1000+190)))-IF((115=$HJ42)+(115=$HK42)+(115=$HL42)+(115=$HM42)+(115=$HN42)+(115=$HO42)&gt;=2,50,0))+DN$5*50)</f>
        <v/>
      </c>
      <c r="DO162">
        <f>IF(OR($JF42=0,calcA!$A$6=0),0,IF(OR(116=$HA42,116=$HD42,116=$HG42),200000,MIN(IF($HA42=0,999999,IF(5=$HB42,IF(116=$HJ42,IF($JC42=2,30,0),IF(116=$HK42,IF($JC42=1,30,0),ABS(20-$HC42)*100)),100000+ABS(5-$HB42)*1000+200)),IF($HD42=0,999999,IF(5=$HE42,IF(116=$HL42,IF($JD42=2,30,0),IF(116=$HM42,IF($JD42=1,30,0),ABS(20-$HF42)*100)),100000+ABS(5-$HE42)*1000+200)),IF($HG42=0,999999,IF(5=$HH42,IF(116=$HN42,IF($JE42=2,30,0),IF(116=$HO42,IF($JE42=1,30,0),ABS(20-$HI42)*100)),100000+ABS(5-$HH42)*1000+200)))-IF((116=$HJ42)+(116=$HK42)+(116=$HL42)+(116=$HM42)+(116=$HN42)+(116=$HO42)&gt;=2,50,0))+DO$5*50)</f>
        <v/>
      </c>
      <c r="DP162">
        <f>IF(OR($JF42=0,calcA!$A$6=0),0,IF(OR(117=$HA42,117=$HD42,117=$HG42),200000,MIN(IF($HA42=0,999999,IF(5=$HB42,IF(117=$HJ42,IF($JC42=2,30,0),IF(117=$HK42,IF($JC42=1,30,0),ABS(21-$HC42)*100)),100000+ABS(5-$HB42)*1000+210)),IF($HD42=0,999999,IF(5=$HE42,IF(117=$HL42,IF($JD42=2,30,0),IF(117=$HM42,IF($JD42=1,30,0),ABS(21-$HF42)*100)),100000+ABS(5-$HE42)*1000+210)),IF($HG42=0,999999,IF(5=$HH42,IF(117=$HN42,IF($JE42=2,30,0),IF(117=$HO42,IF($JE42=1,30,0),ABS(21-$HI42)*100)),100000+ABS(5-$HH42)*1000+210)))-IF((117=$HJ42)+(117=$HK42)+(117=$HL42)+(117=$HM42)+(117=$HN42)+(117=$HO42)&gt;=2,50,0))+DP$5*50)</f>
        <v/>
      </c>
      <c r="DQ162">
        <f>IF(OR($JF42=0,calcA!$A$6=0),0,IF(OR(118=$HA42,118=$HD42,118=$HG42),200000,MIN(IF($HA42=0,999999,IF(5=$HB42,IF(118=$HJ42,IF($JC42=2,30,0),IF(118=$HK42,IF($JC42=1,30,0),ABS(22-$HC42)*100)),100000+ABS(5-$HB42)*1000+220)),IF($HD42=0,999999,IF(5=$HE42,IF(118=$HL42,IF($JD42=2,30,0),IF(118=$HM42,IF($JD42=1,30,0),ABS(22-$HF42)*100)),100000+ABS(5-$HE42)*1000+220)),IF($HG42=0,999999,IF(5=$HH42,IF(118=$HN42,IF($JE42=2,30,0),IF(118=$HO42,IF($JE42=1,30,0),ABS(22-$HI42)*100)),100000+ABS(5-$HH42)*1000+220)))-IF((118=$HJ42)+(118=$HK42)+(118=$HL42)+(118=$HM42)+(118=$HN42)+(118=$HO42)&gt;=2,50,0))+DQ$5*50)</f>
        <v/>
      </c>
      <c r="DR162">
        <f>IF(OR($JF42=0,calcA!$A$6=0),0,IF(OR(119=$HA42,119=$HD42,119=$HG42),200000,MIN(IF($HA42=0,999999,IF(5=$HB42,IF(119=$HJ42,IF($JC42=2,30,0),IF(119=$HK42,IF($JC42=1,30,0),ABS(23-$HC42)*100)),100000+ABS(5-$HB42)*1000+230)),IF($HD42=0,999999,IF(5=$HE42,IF(119=$HL42,IF($JD42=2,30,0),IF(119=$HM42,IF($JD42=1,30,0),ABS(23-$HF42)*100)),100000+ABS(5-$HE42)*1000+230)),IF($HG42=0,999999,IF(5=$HH42,IF(119=$HN42,IF($JE42=2,30,0),IF(119=$HO42,IF($JE42=1,30,0),ABS(23-$HI42)*100)),100000+ABS(5-$HH42)*1000+230)))-IF((119=$HJ42)+(119=$HK42)+(119=$HL42)+(119=$HM42)+(119=$HN42)+(119=$HO42)&gt;=2,50,0))+DR$5*50)</f>
        <v/>
      </c>
      <c r="DS162">
        <f>IF(OR($JF42=0,calcA!$A$6=0),0,IF(OR(120=$HA42,120=$HD42,120=$HG42),200000,MIN(IF($HA42=0,999999,IF(5=$HB42,IF(120=$HJ42,IF($JC42=2,30,0),IF(120=$HK42,IF($JC42=1,30,0),ABS(24-$HC42)*100)),100000+ABS(5-$HB42)*1000+240)),IF($HD42=0,999999,IF(5=$HE42,IF(120=$HL42,IF($JD42=2,30,0),IF(120=$HM42,IF($JD42=1,30,0),ABS(24-$HF42)*100)),100000+ABS(5-$HE42)*1000+240)),IF($HG42=0,999999,IF(5=$HH42,IF(120=$HN42,IF($JE42=2,30,0),IF(120=$HO42,IF($JE42=1,30,0),ABS(24-$HI42)*100)),100000+ABS(5-$HH42)*1000+240)))-IF((120=$HJ42)+(120=$HK42)+(120=$HL42)+(120=$HM42)+(120=$HN42)+(120=$HO42)&gt;=2,50,0))+DS$5*50)</f>
        <v/>
      </c>
      <c r="DT162">
        <f>IF(OR($JF42=0,calcA!$A$6=0),0,IF(OR(121=$HA42,121=$HD42,121=$HG42),200000,MIN(IF($HA42=0,999999,IF(6=$HB42,IF(121=$HJ42,IF($JC42=2,30,0),IF(121=$HK42,IF($JC42=1,30,0),ABS(1-$HC42)*100)),100000+ABS(6-$HB42)*1000+10)),IF($HD42=0,999999,IF(6=$HE42,IF(121=$HL42,IF($JD42=2,30,0),IF(121=$HM42,IF($JD42=1,30,0),ABS(1-$HF42)*100)),100000+ABS(6-$HE42)*1000+10)),IF($HG42=0,999999,IF(6=$HH42,IF(121=$HN42,IF($JE42=2,30,0),IF(121=$HO42,IF($JE42=1,30,0),ABS(1-$HI42)*100)),100000+ABS(6-$HH42)*1000+10)))-IF((121=$HJ42)+(121=$HK42)+(121=$HL42)+(121=$HM42)+(121=$HN42)+(121=$HO42)&gt;=2,50,0))+DT$5*50)</f>
        <v/>
      </c>
      <c r="DU162">
        <f>IF(OR($JF42=0,calcA!$A$6=0),0,IF(OR(122=$HA42,122=$HD42,122=$HG42),200000,MIN(IF($HA42=0,999999,IF(6=$HB42,IF(122=$HJ42,IF($JC42=2,30,0),IF(122=$HK42,IF($JC42=1,30,0),ABS(2-$HC42)*100)),100000+ABS(6-$HB42)*1000+20)),IF($HD42=0,999999,IF(6=$HE42,IF(122=$HL42,IF($JD42=2,30,0),IF(122=$HM42,IF($JD42=1,30,0),ABS(2-$HF42)*100)),100000+ABS(6-$HE42)*1000+20)),IF($HG42=0,999999,IF(6=$HH42,IF(122=$HN42,IF($JE42=2,30,0),IF(122=$HO42,IF($JE42=1,30,0),ABS(2-$HI42)*100)),100000+ABS(6-$HH42)*1000+20)))-IF((122=$HJ42)+(122=$HK42)+(122=$HL42)+(122=$HM42)+(122=$HN42)+(122=$HO42)&gt;=2,50,0))+DU$5*50)</f>
        <v/>
      </c>
      <c r="DV162">
        <f>IF(OR($JF42=0,calcA!$A$6=0),0,IF(OR(123=$HA42,123=$HD42,123=$HG42),200000,MIN(IF($HA42=0,999999,IF(6=$HB42,IF(123=$HJ42,IF($JC42=2,30,0),IF(123=$HK42,IF($JC42=1,30,0),ABS(3-$HC42)*100)),100000+ABS(6-$HB42)*1000+30)),IF($HD42=0,999999,IF(6=$HE42,IF(123=$HL42,IF($JD42=2,30,0),IF(123=$HM42,IF($JD42=1,30,0),ABS(3-$HF42)*100)),100000+ABS(6-$HE42)*1000+30)),IF($HG42=0,999999,IF(6=$HH42,IF(123=$HN42,IF($JE42=2,30,0),IF(123=$HO42,IF($JE42=1,30,0),ABS(3-$HI42)*100)),100000+ABS(6-$HH42)*1000+30)))-IF((123=$HJ42)+(123=$HK42)+(123=$HL42)+(123=$HM42)+(123=$HN42)+(123=$HO42)&gt;=2,50,0))+DV$5*50)</f>
        <v/>
      </c>
      <c r="DW162">
        <f>IF(OR($JF42=0,calcA!$A$6=0),0,IF(OR(124=$HA42,124=$HD42,124=$HG42),200000,MIN(IF($HA42=0,999999,IF(6=$HB42,IF(124=$HJ42,IF($JC42=2,30,0),IF(124=$HK42,IF($JC42=1,30,0),ABS(4-$HC42)*100)),100000+ABS(6-$HB42)*1000+40)),IF($HD42=0,999999,IF(6=$HE42,IF(124=$HL42,IF($JD42=2,30,0),IF(124=$HM42,IF($JD42=1,30,0),ABS(4-$HF42)*100)),100000+ABS(6-$HE42)*1000+40)),IF($HG42=0,999999,IF(6=$HH42,IF(124=$HN42,IF($JE42=2,30,0),IF(124=$HO42,IF($JE42=1,30,0),ABS(4-$HI42)*100)),100000+ABS(6-$HH42)*1000+40)))-IF((124=$HJ42)+(124=$HK42)+(124=$HL42)+(124=$HM42)+(124=$HN42)+(124=$HO42)&gt;=2,50,0))+DW$5*50)</f>
        <v/>
      </c>
      <c r="DX162">
        <f>IF(OR($JF42=0,calcA!$A$6=0),0,IF(OR(125=$HA42,125=$HD42,125=$HG42),200000,MIN(IF($HA42=0,999999,IF(6=$HB42,IF(125=$HJ42,IF($JC42=2,30,0),IF(125=$HK42,IF($JC42=1,30,0),ABS(5-$HC42)*100)),100000+ABS(6-$HB42)*1000+50)),IF($HD42=0,999999,IF(6=$HE42,IF(125=$HL42,IF($JD42=2,30,0),IF(125=$HM42,IF($JD42=1,30,0),ABS(5-$HF42)*100)),100000+ABS(6-$HE42)*1000+50)),IF($HG42=0,999999,IF(6=$HH42,IF(125=$HN42,IF($JE42=2,30,0),IF(125=$HO42,IF($JE42=1,30,0),ABS(5-$HI42)*100)),100000+ABS(6-$HH42)*1000+50)))-IF((125=$HJ42)+(125=$HK42)+(125=$HL42)+(125=$HM42)+(125=$HN42)+(125=$HO42)&gt;=2,50,0))+DX$5*50)</f>
        <v/>
      </c>
      <c r="DY162">
        <f>IF(OR($JF42=0,calcA!$A$6=0),0,IF(OR(126=$HA42,126=$HD42,126=$HG42),200000,MIN(IF($HA42=0,999999,IF(6=$HB42,IF(126=$HJ42,IF($JC42=2,30,0),IF(126=$HK42,IF($JC42=1,30,0),ABS(6-$HC42)*100)),100000+ABS(6-$HB42)*1000+60)),IF($HD42=0,999999,IF(6=$HE42,IF(126=$HL42,IF($JD42=2,30,0),IF(126=$HM42,IF($JD42=1,30,0),ABS(6-$HF42)*100)),100000+ABS(6-$HE42)*1000+60)),IF($HG42=0,999999,IF(6=$HH42,IF(126=$HN42,IF($JE42=2,30,0),IF(126=$HO42,IF($JE42=1,30,0),ABS(6-$HI42)*100)),100000+ABS(6-$HH42)*1000+60)))-IF((126=$HJ42)+(126=$HK42)+(126=$HL42)+(126=$HM42)+(126=$HN42)+(126=$HO42)&gt;=2,50,0))+DY$5*50)</f>
        <v/>
      </c>
      <c r="DZ162">
        <f>IF(OR($JF42=0,calcA!$A$6=0),0,IF(OR(127=$HA42,127=$HD42,127=$HG42),200000,MIN(IF($HA42=0,999999,IF(6=$HB42,IF(127=$HJ42,IF($JC42=2,30,0),IF(127=$HK42,IF($JC42=1,30,0),ABS(7-$HC42)*100)),100000+ABS(6-$HB42)*1000+70)),IF($HD42=0,999999,IF(6=$HE42,IF(127=$HL42,IF($JD42=2,30,0),IF(127=$HM42,IF($JD42=1,30,0),ABS(7-$HF42)*100)),100000+ABS(6-$HE42)*1000+70)),IF($HG42=0,999999,IF(6=$HH42,IF(127=$HN42,IF($JE42=2,30,0),IF(127=$HO42,IF($JE42=1,30,0),ABS(7-$HI42)*100)),100000+ABS(6-$HH42)*1000+70)))-IF((127=$HJ42)+(127=$HK42)+(127=$HL42)+(127=$HM42)+(127=$HN42)+(127=$HO42)&gt;=2,50,0))+DZ$5*50)</f>
        <v/>
      </c>
      <c r="EA162">
        <f>IF(OR($JF42=0,calcA!$A$6=0),0,IF(OR(128=$HA42,128=$HD42,128=$HG42),200000,MIN(IF($HA42=0,999999,IF(6=$HB42,IF(128=$HJ42,IF($JC42=2,30,0),IF(128=$HK42,IF($JC42=1,30,0),ABS(8-$HC42)*100)),100000+ABS(6-$HB42)*1000+80)),IF($HD42=0,999999,IF(6=$HE42,IF(128=$HL42,IF($JD42=2,30,0),IF(128=$HM42,IF($JD42=1,30,0),ABS(8-$HF42)*100)),100000+ABS(6-$HE42)*1000+80)),IF($HG42=0,999999,IF(6=$HH42,IF(128=$HN42,IF($JE42=2,30,0),IF(128=$HO42,IF($JE42=1,30,0),ABS(8-$HI42)*100)),100000+ABS(6-$HH42)*1000+80)))-IF((128=$HJ42)+(128=$HK42)+(128=$HL42)+(128=$HM42)+(128=$HN42)+(128=$HO42)&gt;=2,50,0))+EA$5*50)</f>
        <v/>
      </c>
      <c r="EB162">
        <f>IF(OR($JF42=0,calcA!$A$6=0),0,IF(OR(129=$HA42,129=$HD42,129=$HG42),200000,MIN(IF($HA42=0,999999,IF(6=$HB42,IF(129=$HJ42,IF($JC42=2,30,0),IF(129=$HK42,IF($JC42=1,30,0),ABS(9-$HC42)*100)),100000+ABS(6-$HB42)*1000+90)),IF($HD42=0,999999,IF(6=$HE42,IF(129=$HL42,IF($JD42=2,30,0),IF(129=$HM42,IF($JD42=1,30,0),ABS(9-$HF42)*100)),100000+ABS(6-$HE42)*1000+90)),IF($HG42=0,999999,IF(6=$HH42,IF(129=$HN42,IF($JE42=2,30,0),IF(129=$HO42,IF($JE42=1,30,0),ABS(9-$HI42)*100)),100000+ABS(6-$HH42)*1000+90)))-IF((129=$HJ42)+(129=$HK42)+(129=$HL42)+(129=$HM42)+(129=$HN42)+(129=$HO42)&gt;=2,50,0))+EB$5*50)</f>
        <v/>
      </c>
      <c r="EC162">
        <f>IF(OR($JF42=0,calcA!$A$6=0),0,IF(OR(130=$HA42,130=$HD42,130=$HG42),200000,MIN(IF($HA42=0,999999,IF(6=$HB42,IF(130=$HJ42,IF($JC42=2,30,0),IF(130=$HK42,IF($JC42=1,30,0),ABS(10-$HC42)*100)),100000+ABS(6-$HB42)*1000+100)),IF($HD42=0,999999,IF(6=$HE42,IF(130=$HL42,IF($JD42=2,30,0),IF(130=$HM42,IF($JD42=1,30,0),ABS(10-$HF42)*100)),100000+ABS(6-$HE42)*1000+100)),IF($HG42=0,999999,IF(6=$HH42,IF(130=$HN42,IF($JE42=2,30,0),IF(130=$HO42,IF($JE42=1,30,0),ABS(10-$HI42)*100)),100000+ABS(6-$HH42)*1000+100)))-IF((130=$HJ42)+(130=$HK42)+(130=$HL42)+(130=$HM42)+(130=$HN42)+(130=$HO42)&gt;=2,50,0))+EC$5*50)</f>
        <v/>
      </c>
      <c r="ED162">
        <f>IF(OR($JF42=0,calcA!$A$6=0),0,IF(OR(131=$HA42,131=$HD42,131=$HG42),200000,MIN(IF($HA42=0,999999,IF(6=$HB42,IF(131=$HJ42,IF($JC42=2,30,0),IF(131=$HK42,IF($JC42=1,30,0),ABS(11-$HC42)*100)),100000+ABS(6-$HB42)*1000+110)),IF($HD42=0,999999,IF(6=$HE42,IF(131=$HL42,IF($JD42=2,30,0),IF(131=$HM42,IF($JD42=1,30,0),ABS(11-$HF42)*100)),100000+ABS(6-$HE42)*1000+110)),IF($HG42=0,999999,IF(6=$HH42,IF(131=$HN42,IF($JE42=2,30,0),IF(131=$HO42,IF($JE42=1,30,0),ABS(11-$HI42)*100)),100000+ABS(6-$HH42)*1000+110)))-IF((131=$HJ42)+(131=$HK42)+(131=$HL42)+(131=$HM42)+(131=$HN42)+(131=$HO42)&gt;=2,50,0))+ED$5*50)</f>
        <v/>
      </c>
      <c r="EE162">
        <f>IF(OR($JF42=0,calcA!$A$6=0),0,IF(OR(132=$HA42,132=$HD42,132=$HG42),200000,MIN(IF($HA42=0,999999,IF(6=$HB42,IF(132=$HJ42,IF($JC42=2,30,0),IF(132=$HK42,IF($JC42=1,30,0),ABS(12-$HC42)*100)),100000+ABS(6-$HB42)*1000+120)),IF($HD42=0,999999,IF(6=$HE42,IF(132=$HL42,IF($JD42=2,30,0),IF(132=$HM42,IF($JD42=1,30,0),ABS(12-$HF42)*100)),100000+ABS(6-$HE42)*1000+120)),IF($HG42=0,999999,IF(6=$HH42,IF(132=$HN42,IF($JE42=2,30,0),IF(132=$HO42,IF($JE42=1,30,0),ABS(12-$HI42)*100)),100000+ABS(6-$HH42)*1000+120)))-IF((132=$HJ42)+(132=$HK42)+(132=$HL42)+(132=$HM42)+(132=$HN42)+(132=$HO42)&gt;=2,50,0))+EE$5*50)</f>
        <v/>
      </c>
      <c r="EF162">
        <f>IF(OR($JF42=0,calcA!$A$6=0),0,IF(OR(133=$HA42,133=$HD42,133=$HG42),200000,MIN(IF($HA42=0,999999,IF(6=$HB42,IF(133=$HJ42,IF($JC42=2,30,0),IF(133=$HK42,IF($JC42=1,30,0),ABS(13-$HC42)*100)),100000+ABS(6-$HB42)*1000+130)),IF($HD42=0,999999,IF(6=$HE42,IF(133=$HL42,IF($JD42=2,30,0),IF(133=$HM42,IF($JD42=1,30,0),ABS(13-$HF42)*100)),100000+ABS(6-$HE42)*1000+130)),IF($HG42=0,999999,IF(6=$HH42,IF(133=$HN42,IF($JE42=2,30,0),IF(133=$HO42,IF($JE42=1,30,0),ABS(13-$HI42)*100)),100000+ABS(6-$HH42)*1000+130)))-IF((133=$HJ42)+(133=$HK42)+(133=$HL42)+(133=$HM42)+(133=$HN42)+(133=$HO42)&gt;=2,50,0))+EF$5*50)</f>
        <v/>
      </c>
      <c r="EG162">
        <f>IF(OR($JF42=0,calcA!$A$6=0),0,IF(OR(134=$HA42,134=$HD42,134=$HG42),200000,MIN(IF($HA42=0,999999,IF(6=$HB42,IF(134=$HJ42,IF($JC42=2,30,0),IF(134=$HK42,IF($JC42=1,30,0),ABS(14-$HC42)*100)),100000+ABS(6-$HB42)*1000+140)),IF($HD42=0,999999,IF(6=$HE42,IF(134=$HL42,IF($JD42=2,30,0),IF(134=$HM42,IF($JD42=1,30,0),ABS(14-$HF42)*100)),100000+ABS(6-$HE42)*1000+140)),IF($HG42=0,999999,IF(6=$HH42,IF(134=$HN42,IF($JE42=2,30,0),IF(134=$HO42,IF($JE42=1,30,0),ABS(14-$HI42)*100)),100000+ABS(6-$HH42)*1000+140)))-IF((134=$HJ42)+(134=$HK42)+(134=$HL42)+(134=$HM42)+(134=$HN42)+(134=$HO42)&gt;=2,50,0))+EG$5*50)</f>
        <v/>
      </c>
      <c r="EH162">
        <f>IF(OR($JF42=0,calcA!$A$6=0),0,IF(OR(135=$HA42,135=$HD42,135=$HG42),200000,MIN(IF($HA42=0,999999,IF(6=$HB42,IF(135=$HJ42,IF($JC42=2,30,0),IF(135=$HK42,IF($JC42=1,30,0),ABS(15-$HC42)*100)),100000+ABS(6-$HB42)*1000+150)),IF($HD42=0,999999,IF(6=$HE42,IF(135=$HL42,IF($JD42=2,30,0),IF(135=$HM42,IF($JD42=1,30,0),ABS(15-$HF42)*100)),100000+ABS(6-$HE42)*1000+150)),IF($HG42=0,999999,IF(6=$HH42,IF(135=$HN42,IF($JE42=2,30,0),IF(135=$HO42,IF($JE42=1,30,0),ABS(15-$HI42)*100)),100000+ABS(6-$HH42)*1000+150)))-IF((135=$HJ42)+(135=$HK42)+(135=$HL42)+(135=$HM42)+(135=$HN42)+(135=$HO42)&gt;=2,50,0))+EH$5*50)</f>
        <v/>
      </c>
      <c r="EI162">
        <f>IF(OR($JF42=0,calcA!$A$6=0),0,IF(OR(136=$HA42,136=$HD42,136=$HG42),200000,MIN(IF($HA42=0,999999,IF(6=$HB42,IF(136=$HJ42,IF($JC42=2,30,0),IF(136=$HK42,IF($JC42=1,30,0),ABS(16-$HC42)*100)),100000+ABS(6-$HB42)*1000+160)),IF($HD42=0,999999,IF(6=$HE42,IF(136=$HL42,IF($JD42=2,30,0),IF(136=$HM42,IF($JD42=1,30,0),ABS(16-$HF42)*100)),100000+ABS(6-$HE42)*1000+160)),IF($HG42=0,999999,IF(6=$HH42,IF(136=$HN42,IF($JE42=2,30,0),IF(136=$HO42,IF($JE42=1,30,0),ABS(16-$HI42)*100)),100000+ABS(6-$HH42)*1000+160)))-IF((136=$HJ42)+(136=$HK42)+(136=$HL42)+(136=$HM42)+(136=$HN42)+(136=$HO42)&gt;=2,50,0))+EI$5*50)</f>
        <v/>
      </c>
      <c r="EJ162">
        <f>IF(OR($JF42=0,calcA!$A$6=0),0,IF(OR(137=$HA42,137=$HD42,137=$HG42),200000,MIN(IF($HA42=0,999999,IF(6=$HB42,IF(137=$HJ42,IF($JC42=2,30,0),IF(137=$HK42,IF($JC42=1,30,0),ABS(17-$HC42)*100)),100000+ABS(6-$HB42)*1000+170)),IF($HD42=0,999999,IF(6=$HE42,IF(137=$HL42,IF($JD42=2,30,0),IF(137=$HM42,IF($JD42=1,30,0),ABS(17-$HF42)*100)),100000+ABS(6-$HE42)*1000+170)),IF($HG42=0,999999,IF(6=$HH42,IF(137=$HN42,IF($JE42=2,30,0),IF(137=$HO42,IF($JE42=1,30,0),ABS(17-$HI42)*100)),100000+ABS(6-$HH42)*1000+170)))-IF((137=$HJ42)+(137=$HK42)+(137=$HL42)+(137=$HM42)+(137=$HN42)+(137=$HO42)&gt;=2,50,0))+EJ$5*50)</f>
        <v/>
      </c>
      <c r="EK162">
        <f>IF(OR($JF42=0,calcA!$A$6=0),0,IF(OR(138=$HA42,138=$HD42,138=$HG42),200000,MIN(IF($HA42=0,999999,IF(6=$HB42,IF(138=$HJ42,IF($JC42=2,30,0),IF(138=$HK42,IF($JC42=1,30,0),ABS(18-$HC42)*100)),100000+ABS(6-$HB42)*1000+180)),IF($HD42=0,999999,IF(6=$HE42,IF(138=$HL42,IF($JD42=2,30,0),IF(138=$HM42,IF($JD42=1,30,0),ABS(18-$HF42)*100)),100000+ABS(6-$HE42)*1000+180)),IF($HG42=0,999999,IF(6=$HH42,IF(138=$HN42,IF($JE42=2,30,0),IF(138=$HO42,IF($JE42=1,30,0),ABS(18-$HI42)*100)),100000+ABS(6-$HH42)*1000+180)))-IF((138=$HJ42)+(138=$HK42)+(138=$HL42)+(138=$HM42)+(138=$HN42)+(138=$HO42)&gt;=2,50,0))+EK$5*50)</f>
        <v/>
      </c>
      <c r="EL162">
        <f>IF(OR($JF42=0,calcA!$A$6=0),0,IF(OR(139=$HA42,139=$HD42,139=$HG42),200000,MIN(IF($HA42=0,999999,IF(6=$HB42,IF(139=$HJ42,IF($JC42=2,30,0),IF(139=$HK42,IF($JC42=1,30,0),ABS(19-$HC42)*100)),100000+ABS(6-$HB42)*1000+190)),IF($HD42=0,999999,IF(6=$HE42,IF(139=$HL42,IF($JD42=2,30,0),IF(139=$HM42,IF($JD42=1,30,0),ABS(19-$HF42)*100)),100000+ABS(6-$HE42)*1000+190)),IF($HG42=0,999999,IF(6=$HH42,IF(139=$HN42,IF($JE42=2,30,0),IF(139=$HO42,IF($JE42=1,30,0),ABS(19-$HI42)*100)),100000+ABS(6-$HH42)*1000+190)))-IF((139=$HJ42)+(139=$HK42)+(139=$HL42)+(139=$HM42)+(139=$HN42)+(139=$HO42)&gt;=2,50,0))+EL$5*50)</f>
        <v/>
      </c>
      <c r="EM162">
        <f>IF(OR($JF42=0,calcA!$A$6=0),0,IF(OR(140=$HA42,140=$HD42,140=$HG42),200000,MIN(IF($HA42=0,999999,IF(6=$HB42,IF(140=$HJ42,IF($JC42=2,30,0),IF(140=$HK42,IF($JC42=1,30,0),ABS(20-$HC42)*100)),100000+ABS(6-$HB42)*1000+200)),IF($HD42=0,999999,IF(6=$HE42,IF(140=$HL42,IF($JD42=2,30,0),IF(140=$HM42,IF($JD42=1,30,0),ABS(20-$HF42)*100)),100000+ABS(6-$HE42)*1000+200)),IF($HG42=0,999999,IF(6=$HH42,IF(140=$HN42,IF($JE42=2,30,0),IF(140=$HO42,IF($JE42=1,30,0),ABS(20-$HI42)*100)),100000+ABS(6-$HH42)*1000+200)))-IF((140=$HJ42)+(140=$HK42)+(140=$HL42)+(140=$HM42)+(140=$HN42)+(140=$HO42)&gt;=2,50,0))+EM$5*50)</f>
        <v/>
      </c>
      <c r="EN162">
        <f>IF(OR($JF42=0,calcA!$A$6=0),0,IF(OR(141=$HA42,141=$HD42,141=$HG42),200000,MIN(IF($HA42=0,999999,IF(6=$HB42,IF(141=$HJ42,IF($JC42=2,30,0),IF(141=$HK42,IF($JC42=1,30,0),ABS(21-$HC42)*100)),100000+ABS(6-$HB42)*1000+210)),IF($HD42=0,999999,IF(6=$HE42,IF(141=$HL42,IF($JD42=2,30,0),IF(141=$HM42,IF($JD42=1,30,0),ABS(21-$HF42)*100)),100000+ABS(6-$HE42)*1000+210)),IF($HG42=0,999999,IF(6=$HH42,IF(141=$HN42,IF($JE42=2,30,0),IF(141=$HO42,IF($JE42=1,30,0),ABS(21-$HI42)*100)),100000+ABS(6-$HH42)*1000+210)))-IF((141=$HJ42)+(141=$HK42)+(141=$HL42)+(141=$HM42)+(141=$HN42)+(141=$HO42)&gt;=2,50,0))+EN$5*50)</f>
        <v/>
      </c>
      <c r="EO162">
        <f>IF(OR($JF42=0,calcA!$A$6=0),0,IF(OR(142=$HA42,142=$HD42,142=$HG42),200000,MIN(IF($HA42=0,999999,IF(6=$HB42,IF(142=$HJ42,IF($JC42=2,30,0),IF(142=$HK42,IF($JC42=1,30,0),ABS(22-$HC42)*100)),100000+ABS(6-$HB42)*1000+220)),IF($HD42=0,999999,IF(6=$HE42,IF(142=$HL42,IF($JD42=2,30,0),IF(142=$HM42,IF($JD42=1,30,0),ABS(22-$HF42)*100)),100000+ABS(6-$HE42)*1000+220)),IF($HG42=0,999999,IF(6=$HH42,IF(142=$HN42,IF($JE42=2,30,0),IF(142=$HO42,IF($JE42=1,30,0),ABS(22-$HI42)*100)),100000+ABS(6-$HH42)*1000+220)))-IF((142=$HJ42)+(142=$HK42)+(142=$HL42)+(142=$HM42)+(142=$HN42)+(142=$HO42)&gt;=2,50,0))+EO$5*50)</f>
        <v/>
      </c>
      <c r="EP162">
        <f>IF(OR($JF42=0,calcA!$A$6=0),0,IF(OR(143=$HA42,143=$HD42,143=$HG42),200000,MIN(IF($HA42=0,999999,IF(6=$HB42,IF(143=$HJ42,IF($JC42=2,30,0),IF(143=$HK42,IF($JC42=1,30,0),ABS(23-$HC42)*100)),100000+ABS(6-$HB42)*1000+230)),IF($HD42=0,999999,IF(6=$HE42,IF(143=$HL42,IF($JD42=2,30,0),IF(143=$HM42,IF($JD42=1,30,0),ABS(23-$HF42)*100)),100000+ABS(6-$HE42)*1000+230)),IF($HG42=0,999999,IF(6=$HH42,IF(143=$HN42,IF($JE42=2,30,0),IF(143=$HO42,IF($JE42=1,30,0),ABS(23-$HI42)*100)),100000+ABS(6-$HH42)*1000+230)))-IF((143=$HJ42)+(143=$HK42)+(143=$HL42)+(143=$HM42)+(143=$HN42)+(143=$HO42)&gt;=2,50,0))+EP$5*50)</f>
        <v/>
      </c>
      <c r="EQ162">
        <f>IF(OR($JF42=0,calcA!$A$6=0),0,IF(OR(144=$HA42,144=$HD42,144=$HG42),200000,MIN(IF($HA42=0,999999,IF(6=$HB42,IF(144=$HJ42,IF($JC42=2,30,0),IF(144=$HK42,IF($JC42=1,30,0),ABS(24-$HC42)*100)),100000+ABS(6-$HB42)*1000+240)),IF($HD42=0,999999,IF(6=$HE42,IF(144=$HL42,IF($JD42=2,30,0),IF(144=$HM42,IF($JD42=1,30,0),ABS(24-$HF42)*100)),100000+ABS(6-$HE42)*1000+240)),IF($HG42=0,999999,IF(6=$HH42,IF(144=$HN42,IF($JE42=2,30,0),IF(144=$HO42,IF($JE42=1,30,0),ABS(24-$HI42)*100)),100000+ABS(6-$HH42)*1000+240)))-IF((144=$HJ42)+(144=$HK42)+(144=$HL42)+(144=$HM42)+(144=$HN42)+(144=$HO42)&gt;=2,50,0))+EQ$5*50)</f>
        <v/>
      </c>
    </row>
    <row r="163">
      <c r="D163">
        <f>IF(OR($JF43=0,calcA!$A$6=0),0,IF(OR(1=$HA43,1=$HD43,1=$HG43),200000,MIN(IF($HA43=0,999999,IF(1=$HB43,IF(1=$HJ43,IF($JC43=2,30,0),IF(1=$HK43,IF($JC43=1,30,0),ABS(1-$HC43)*100)),100000+ABS(1-$HB43)*1000+10)),IF($HD43=0,999999,IF(1=$HE43,IF(1=$HL43,IF($JD43=2,30,0),IF(1=$HM43,IF($JD43=1,30,0),ABS(1-$HF43)*100)),100000+ABS(1-$HE43)*1000+10)),IF($HG43=0,999999,IF(1=$HH43,IF(1=$HN43,IF($JE43=2,30,0),IF(1=$HO43,IF($JE43=1,30,0),ABS(1-$HI43)*100)),100000+ABS(1-$HH43)*1000+10)))-IF((1=$HJ43)+(1=$HK43)+(1=$HL43)+(1=$HM43)+(1=$HN43)+(1=$HO43)&gt;=2,50,0))+D$5*50)</f>
        <v/>
      </c>
      <c r="E163">
        <f>IF(OR($JF43=0,calcA!$A$6=0),0,IF(OR(2=$HA43,2=$HD43,2=$HG43),200000,MIN(IF($HA43=0,999999,IF(1=$HB43,IF(2=$HJ43,IF($JC43=2,30,0),IF(2=$HK43,IF($JC43=1,30,0),ABS(2-$HC43)*100)),100000+ABS(1-$HB43)*1000+20)),IF($HD43=0,999999,IF(1=$HE43,IF(2=$HL43,IF($JD43=2,30,0),IF(2=$HM43,IF($JD43=1,30,0),ABS(2-$HF43)*100)),100000+ABS(1-$HE43)*1000+20)),IF($HG43=0,999999,IF(1=$HH43,IF(2=$HN43,IF($JE43=2,30,0),IF(2=$HO43,IF($JE43=1,30,0),ABS(2-$HI43)*100)),100000+ABS(1-$HH43)*1000+20)))-IF((2=$HJ43)+(2=$HK43)+(2=$HL43)+(2=$HM43)+(2=$HN43)+(2=$HO43)&gt;=2,50,0))+E$5*50)</f>
        <v/>
      </c>
      <c r="F163">
        <f>IF(OR($JF43=0,calcA!$A$6=0),0,IF(OR(3=$HA43,3=$HD43,3=$HG43),200000,MIN(IF($HA43=0,999999,IF(1=$HB43,IF(3=$HJ43,IF($JC43=2,30,0),IF(3=$HK43,IF($JC43=1,30,0),ABS(3-$HC43)*100)),100000+ABS(1-$HB43)*1000+30)),IF($HD43=0,999999,IF(1=$HE43,IF(3=$HL43,IF($JD43=2,30,0),IF(3=$HM43,IF($JD43=1,30,0),ABS(3-$HF43)*100)),100000+ABS(1-$HE43)*1000+30)),IF($HG43=0,999999,IF(1=$HH43,IF(3=$HN43,IF($JE43=2,30,0),IF(3=$HO43,IF($JE43=1,30,0),ABS(3-$HI43)*100)),100000+ABS(1-$HH43)*1000+30)))-IF((3=$HJ43)+(3=$HK43)+(3=$HL43)+(3=$HM43)+(3=$HN43)+(3=$HO43)&gt;=2,50,0))+F$5*50)</f>
        <v/>
      </c>
      <c r="G163">
        <f>IF(OR($JF43=0,calcA!$A$6=0),0,IF(OR(4=$HA43,4=$HD43,4=$HG43),200000,MIN(IF($HA43=0,999999,IF(1=$HB43,IF(4=$HJ43,IF($JC43=2,30,0),IF(4=$HK43,IF($JC43=1,30,0),ABS(4-$HC43)*100)),100000+ABS(1-$HB43)*1000+40)),IF($HD43=0,999999,IF(1=$HE43,IF(4=$HL43,IF($JD43=2,30,0),IF(4=$HM43,IF($JD43=1,30,0),ABS(4-$HF43)*100)),100000+ABS(1-$HE43)*1000+40)),IF($HG43=0,999999,IF(1=$HH43,IF(4=$HN43,IF($JE43=2,30,0),IF(4=$HO43,IF($JE43=1,30,0),ABS(4-$HI43)*100)),100000+ABS(1-$HH43)*1000+40)))-IF((4=$HJ43)+(4=$HK43)+(4=$HL43)+(4=$HM43)+(4=$HN43)+(4=$HO43)&gt;=2,50,0))+G$5*50)</f>
        <v/>
      </c>
      <c r="H163">
        <f>IF(OR($JF43=0,calcA!$A$6=0),0,IF(OR(5=$HA43,5=$HD43,5=$HG43),200000,MIN(IF($HA43=0,999999,IF(1=$HB43,IF(5=$HJ43,IF($JC43=2,30,0),IF(5=$HK43,IF($JC43=1,30,0),ABS(5-$HC43)*100)),100000+ABS(1-$HB43)*1000+50)),IF($HD43=0,999999,IF(1=$HE43,IF(5=$HL43,IF($JD43=2,30,0),IF(5=$HM43,IF($JD43=1,30,0),ABS(5-$HF43)*100)),100000+ABS(1-$HE43)*1000+50)),IF($HG43=0,999999,IF(1=$HH43,IF(5=$HN43,IF($JE43=2,30,0),IF(5=$HO43,IF($JE43=1,30,0),ABS(5-$HI43)*100)),100000+ABS(1-$HH43)*1000+50)))-IF((5=$HJ43)+(5=$HK43)+(5=$HL43)+(5=$HM43)+(5=$HN43)+(5=$HO43)&gt;=2,50,0))+H$5*50)</f>
        <v/>
      </c>
      <c r="I163">
        <f>IF(OR($JF43=0,calcA!$A$6=0),0,IF(OR(6=$HA43,6=$HD43,6=$HG43),200000,MIN(IF($HA43=0,999999,IF(1=$HB43,IF(6=$HJ43,IF($JC43=2,30,0),IF(6=$HK43,IF($JC43=1,30,0),ABS(6-$HC43)*100)),100000+ABS(1-$HB43)*1000+60)),IF($HD43=0,999999,IF(1=$HE43,IF(6=$HL43,IF($JD43=2,30,0),IF(6=$HM43,IF($JD43=1,30,0),ABS(6-$HF43)*100)),100000+ABS(1-$HE43)*1000+60)),IF($HG43=0,999999,IF(1=$HH43,IF(6=$HN43,IF($JE43=2,30,0),IF(6=$HO43,IF($JE43=1,30,0),ABS(6-$HI43)*100)),100000+ABS(1-$HH43)*1000+60)))-IF((6=$HJ43)+(6=$HK43)+(6=$HL43)+(6=$HM43)+(6=$HN43)+(6=$HO43)&gt;=2,50,0))+I$5*50)</f>
        <v/>
      </c>
      <c r="J163">
        <f>IF(OR($JF43=0,calcA!$A$6=0),0,IF(OR(7=$HA43,7=$HD43,7=$HG43),200000,MIN(IF($HA43=0,999999,IF(1=$HB43,IF(7=$HJ43,IF($JC43=2,30,0),IF(7=$HK43,IF($JC43=1,30,0),ABS(7-$HC43)*100)),100000+ABS(1-$HB43)*1000+70)),IF($HD43=0,999999,IF(1=$HE43,IF(7=$HL43,IF($JD43=2,30,0),IF(7=$HM43,IF($JD43=1,30,0),ABS(7-$HF43)*100)),100000+ABS(1-$HE43)*1000+70)),IF($HG43=0,999999,IF(1=$HH43,IF(7=$HN43,IF($JE43=2,30,0),IF(7=$HO43,IF($JE43=1,30,0),ABS(7-$HI43)*100)),100000+ABS(1-$HH43)*1000+70)))-IF((7=$HJ43)+(7=$HK43)+(7=$HL43)+(7=$HM43)+(7=$HN43)+(7=$HO43)&gt;=2,50,0))+J$5*50)</f>
        <v/>
      </c>
      <c r="K163">
        <f>IF(OR($JF43=0,calcA!$A$6=0),0,IF(OR(8=$HA43,8=$HD43,8=$HG43),200000,MIN(IF($HA43=0,999999,IF(1=$HB43,IF(8=$HJ43,IF($JC43=2,30,0),IF(8=$HK43,IF($JC43=1,30,0),ABS(8-$HC43)*100)),100000+ABS(1-$HB43)*1000+80)),IF($HD43=0,999999,IF(1=$HE43,IF(8=$HL43,IF($JD43=2,30,0),IF(8=$HM43,IF($JD43=1,30,0),ABS(8-$HF43)*100)),100000+ABS(1-$HE43)*1000+80)),IF($HG43=0,999999,IF(1=$HH43,IF(8=$HN43,IF($JE43=2,30,0),IF(8=$HO43,IF($JE43=1,30,0),ABS(8-$HI43)*100)),100000+ABS(1-$HH43)*1000+80)))-IF((8=$HJ43)+(8=$HK43)+(8=$HL43)+(8=$HM43)+(8=$HN43)+(8=$HO43)&gt;=2,50,0))+K$5*50)</f>
        <v/>
      </c>
      <c r="L163">
        <f>IF(OR($JF43=0,calcA!$A$6=0),0,IF(OR(9=$HA43,9=$HD43,9=$HG43),200000,MIN(IF($HA43=0,999999,IF(1=$HB43,IF(9=$HJ43,IF($JC43=2,30,0),IF(9=$HK43,IF($JC43=1,30,0),ABS(9-$HC43)*100)),100000+ABS(1-$HB43)*1000+90)),IF($HD43=0,999999,IF(1=$HE43,IF(9=$HL43,IF($JD43=2,30,0),IF(9=$HM43,IF($JD43=1,30,0),ABS(9-$HF43)*100)),100000+ABS(1-$HE43)*1000+90)),IF($HG43=0,999999,IF(1=$HH43,IF(9=$HN43,IF($JE43=2,30,0),IF(9=$HO43,IF($JE43=1,30,0),ABS(9-$HI43)*100)),100000+ABS(1-$HH43)*1000+90)))-IF((9=$HJ43)+(9=$HK43)+(9=$HL43)+(9=$HM43)+(9=$HN43)+(9=$HO43)&gt;=2,50,0))+L$5*50)</f>
        <v/>
      </c>
      <c r="M163">
        <f>IF(OR($JF43=0,calcA!$A$6=0),0,IF(OR(10=$HA43,10=$HD43,10=$HG43),200000,MIN(IF($HA43=0,999999,IF(1=$HB43,IF(10=$HJ43,IF($JC43=2,30,0),IF(10=$HK43,IF($JC43=1,30,0),ABS(10-$HC43)*100)),100000+ABS(1-$HB43)*1000+100)),IF($HD43=0,999999,IF(1=$HE43,IF(10=$HL43,IF($JD43=2,30,0),IF(10=$HM43,IF($JD43=1,30,0),ABS(10-$HF43)*100)),100000+ABS(1-$HE43)*1000+100)),IF($HG43=0,999999,IF(1=$HH43,IF(10=$HN43,IF($JE43=2,30,0),IF(10=$HO43,IF($JE43=1,30,0),ABS(10-$HI43)*100)),100000+ABS(1-$HH43)*1000+100)))-IF((10=$HJ43)+(10=$HK43)+(10=$HL43)+(10=$HM43)+(10=$HN43)+(10=$HO43)&gt;=2,50,0))+M$5*50)</f>
        <v/>
      </c>
      <c r="N163">
        <f>IF(OR($JF43=0,calcA!$A$6=0),0,IF(OR(11=$HA43,11=$HD43,11=$HG43),200000,MIN(IF($HA43=0,999999,IF(1=$HB43,IF(11=$HJ43,IF($JC43=2,30,0),IF(11=$HK43,IF($JC43=1,30,0),ABS(11-$HC43)*100)),100000+ABS(1-$HB43)*1000+110)),IF($HD43=0,999999,IF(1=$HE43,IF(11=$HL43,IF($JD43=2,30,0),IF(11=$HM43,IF($JD43=1,30,0),ABS(11-$HF43)*100)),100000+ABS(1-$HE43)*1000+110)),IF($HG43=0,999999,IF(1=$HH43,IF(11=$HN43,IF($JE43=2,30,0),IF(11=$HO43,IF($JE43=1,30,0),ABS(11-$HI43)*100)),100000+ABS(1-$HH43)*1000+110)))-IF((11=$HJ43)+(11=$HK43)+(11=$HL43)+(11=$HM43)+(11=$HN43)+(11=$HO43)&gt;=2,50,0))+N$5*50)</f>
        <v/>
      </c>
      <c r="O163">
        <f>IF(OR($JF43=0,calcA!$A$6=0),0,IF(OR(12=$HA43,12=$HD43,12=$HG43),200000,MIN(IF($HA43=0,999999,IF(1=$HB43,IF(12=$HJ43,IF($JC43=2,30,0),IF(12=$HK43,IF($JC43=1,30,0),ABS(12-$HC43)*100)),100000+ABS(1-$HB43)*1000+120)),IF($HD43=0,999999,IF(1=$HE43,IF(12=$HL43,IF($JD43=2,30,0),IF(12=$HM43,IF($JD43=1,30,0),ABS(12-$HF43)*100)),100000+ABS(1-$HE43)*1000+120)),IF($HG43=0,999999,IF(1=$HH43,IF(12=$HN43,IF($JE43=2,30,0),IF(12=$HO43,IF($JE43=1,30,0),ABS(12-$HI43)*100)),100000+ABS(1-$HH43)*1000+120)))-IF((12=$HJ43)+(12=$HK43)+(12=$HL43)+(12=$HM43)+(12=$HN43)+(12=$HO43)&gt;=2,50,0))+O$5*50)</f>
        <v/>
      </c>
      <c r="P163">
        <f>IF(OR($JF43=0,calcA!$A$6=0),0,IF(OR(13=$HA43,13=$HD43,13=$HG43),200000,MIN(IF($HA43=0,999999,IF(1=$HB43,IF(13=$HJ43,IF($JC43=2,30,0),IF(13=$HK43,IF($JC43=1,30,0),ABS(13-$HC43)*100)),100000+ABS(1-$HB43)*1000+130)),IF($HD43=0,999999,IF(1=$HE43,IF(13=$HL43,IF($JD43=2,30,0),IF(13=$HM43,IF($JD43=1,30,0),ABS(13-$HF43)*100)),100000+ABS(1-$HE43)*1000+130)),IF($HG43=0,999999,IF(1=$HH43,IF(13=$HN43,IF($JE43=2,30,0),IF(13=$HO43,IF($JE43=1,30,0),ABS(13-$HI43)*100)),100000+ABS(1-$HH43)*1000+130)))-IF((13=$HJ43)+(13=$HK43)+(13=$HL43)+(13=$HM43)+(13=$HN43)+(13=$HO43)&gt;=2,50,0))+P$5*50)</f>
        <v/>
      </c>
      <c r="Q163">
        <f>IF(OR($JF43=0,calcA!$A$6=0),0,IF(OR(14=$HA43,14=$HD43,14=$HG43),200000,MIN(IF($HA43=0,999999,IF(1=$HB43,IF(14=$HJ43,IF($JC43=2,30,0),IF(14=$HK43,IF($JC43=1,30,0),ABS(14-$HC43)*100)),100000+ABS(1-$HB43)*1000+140)),IF($HD43=0,999999,IF(1=$HE43,IF(14=$HL43,IF($JD43=2,30,0),IF(14=$HM43,IF($JD43=1,30,0),ABS(14-$HF43)*100)),100000+ABS(1-$HE43)*1000+140)),IF($HG43=0,999999,IF(1=$HH43,IF(14=$HN43,IF($JE43=2,30,0),IF(14=$HO43,IF($JE43=1,30,0),ABS(14-$HI43)*100)),100000+ABS(1-$HH43)*1000+140)))-IF((14=$HJ43)+(14=$HK43)+(14=$HL43)+(14=$HM43)+(14=$HN43)+(14=$HO43)&gt;=2,50,0))+Q$5*50)</f>
        <v/>
      </c>
      <c r="R163">
        <f>IF(OR($JF43=0,calcA!$A$6=0),0,IF(OR(15=$HA43,15=$HD43,15=$HG43),200000,MIN(IF($HA43=0,999999,IF(1=$HB43,IF(15=$HJ43,IF($JC43=2,30,0),IF(15=$HK43,IF($JC43=1,30,0),ABS(15-$HC43)*100)),100000+ABS(1-$HB43)*1000+150)),IF($HD43=0,999999,IF(1=$HE43,IF(15=$HL43,IF($JD43=2,30,0),IF(15=$HM43,IF($JD43=1,30,0),ABS(15-$HF43)*100)),100000+ABS(1-$HE43)*1000+150)),IF($HG43=0,999999,IF(1=$HH43,IF(15=$HN43,IF($JE43=2,30,0),IF(15=$HO43,IF($JE43=1,30,0),ABS(15-$HI43)*100)),100000+ABS(1-$HH43)*1000+150)))-IF((15=$HJ43)+(15=$HK43)+(15=$HL43)+(15=$HM43)+(15=$HN43)+(15=$HO43)&gt;=2,50,0))+R$5*50)</f>
        <v/>
      </c>
      <c r="S163">
        <f>IF(OR($JF43=0,calcA!$A$6=0),0,IF(OR(16=$HA43,16=$HD43,16=$HG43),200000,MIN(IF($HA43=0,999999,IF(1=$HB43,IF(16=$HJ43,IF($JC43=2,30,0),IF(16=$HK43,IF($JC43=1,30,0),ABS(16-$HC43)*100)),100000+ABS(1-$HB43)*1000+160)),IF($HD43=0,999999,IF(1=$HE43,IF(16=$HL43,IF($JD43=2,30,0),IF(16=$HM43,IF($JD43=1,30,0),ABS(16-$HF43)*100)),100000+ABS(1-$HE43)*1000+160)),IF($HG43=0,999999,IF(1=$HH43,IF(16=$HN43,IF($JE43=2,30,0),IF(16=$HO43,IF($JE43=1,30,0),ABS(16-$HI43)*100)),100000+ABS(1-$HH43)*1000+160)))-IF((16=$HJ43)+(16=$HK43)+(16=$HL43)+(16=$HM43)+(16=$HN43)+(16=$HO43)&gt;=2,50,0))+S$5*50)</f>
        <v/>
      </c>
      <c r="T163">
        <f>IF(OR($JF43=0,calcA!$A$6=0),0,IF(OR(17=$HA43,17=$HD43,17=$HG43),200000,MIN(IF($HA43=0,999999,IF(1=$HB43,IF(17=$HJ43,IF($JC43=2,30,0),IF(17=$HK43,IF($JC43=1,30,0),ABS(17-$HC43)*100)),100000+ABS(1-$HB43)*1000+170)),IF($HD43=0,999999,IF(1=$HE43,IF(17=$HL43,IF($JD43=2,30,0),IF(17=$HM43,IF($JD43=1,30,0),ABS(17-$HF43)*100)),100000+ABS(1-$HE43)*1000+170)),IF($HG43=0,999999,IF(1=$HH43,IF(17=$HN43,IF($JE43=2,30,0),IF(17=$HO43,IF($JE43=1,30,0),ABS(17-$HI43)*100)),100000+ABS(1-$HH43)*1000+170)))-IF((17=$HJ43)+(17=$HK43)+(17=$HL43)+(17=$HM43)+(17=$HN43)+(17=$HO43)&gt;=2,50,0))+T$5*50)</f>
        <v/>
      </c>
      <c r="U163">
        <f>IF(OR($JF43=0,calcA!$A$6=0),0,IF(OR(18=$HA43,18=$HD43,18=$HG43),200000,MIN(IF($HA43=0,999999,IF(1=$HB43,IF(18=$HJ43,IF($JC43=2,30,0),IF(18=$HK43,IF($JC43=1,30,0),ABS(18-$HC43)*100)),100000+ABS(1-$HB43)*1000+180)),IF($HD43=0,999999,IF(1=$HE43,IF(18=$HL43,IF($JD43=2,30,0),IF(18=$HM43,IF($JD43=1,30,0),ABS(18-$HF43)*100)),100000+ABS(1-$HE43)*1000+180)),IF($HG43=0,999999,IF(1=$HH43,IF(18=$HN43,IF($JE43=2,30,0),IF(18=$HO43,IF($JE43=1,30,0),ABS(18-$HI43)*100)),100000+ABS(1-$HH43)*1000+180)))-IF((18=$HJ43)+(18=$HK43)+(18=$HL43)+(18=$HM43)+(18=$HN43)+(18=$HO43)&gt;=2,50,0))+U$5*50)</f>
        <v/>
      </c>
      <c r="V163">
        <f>IF(OR($JF43=0,calcA!$A$6=0),0,IF(OR(19=$HA43,19=$HD43,19=$HG43),200000,MIN(IF($HA43=0,999999,IF(1=$HB43,IF(19=$HJ43,IF($JC43=2,30,0),IF(19=$HK43,IF($JC43=1,30,0),ABS(19-$HC43)*100)),100000+ABS(1-$HB43)*1000+190)),IF($HD43=0,999999,IF(1=$HE43,IF(19=$HL43,IF($JD43=2,30,0),IF(19=$HM43,IF($JD43=1,30,0),ABS(19-$HF43)*100)),100000+ABS(1-$HE43)*1000+190)),IF($HG43=0,999999,IF(1=$HH43,IF(19=$HN43,IF($JE43=2,30,0),IF(19=$HO43,IF($JE43=1,30,0),ABS(19-$HI43)*100)),100000+ABS(1-$HH43)*1000+190)))-IF((19=$HJ43)+(19=$HK43)+(19=$HL43)+(19=$HM43)+(19=$HN43)+(19=$HO43)&gt;=2,50,0))+V$5*50)</f>
        <v/>
      </c>
      <c r="W163">
        <f>IF(OR($JF43=0,calcA!$A$6=0),0,IF(OR(20=$HA43,20=$HD43,20=$HG43),200000,MIN(IF($HA43=0,999999,IF(1=$HB43,IF(20=$HJ43,IF($JC43=2,30,0),IF(20=$HK43,IF($JC43=1,30,0),ABS(20-$HC43)*100)),100000+ABS(1-$HB43)*1000+200)),IF($HD43=0,999999,IF(1=$HE43,IF(20=$HL43,IF($JD43=2,30,0),IF(20=$HM43,IF($JD43=1,30,0),ABS(20-$HF43)*100)),100000+ABS(1-$HE43)*1000+200)),IF($HG43=0,999999,IF(1=$HH43,IF(20=$HN43,IF($JE43=2,30,0),IF(20=$HO43,IF($JE43=1,30,0),ABS(20-$HI43)*100)),100000+ABS(1-$HH43)*1000+200)))-IF((20=$HJ43)+(20=$HK43)+(20=$HL43)+(20=$HM43)+(20=$HN43)+(20=$HO43)&gt;=2,50,0))+W$5*50)</f>
        <v/>
      </c>
      <c r="X163">
        <f>IF(OR($JF43=0,calcA!$A$6=0),0,IF(OR(21=$HA43,21=$HD43,21=$HG43),200000,MIN(IF($HA43=0,999999,IF(1=$HB43,IF(21=$HJ43,IF($JC43=2,30,0),IF(21=$HK43,IF($JC43=1,30,0),ABS(21-$HC43)*100)),100000+ABS(1-$HB43)*1000+210)),IF($HD43=0,999999,IF(1=$HE43,IF(21=$HL43,IF($JD43=2,30,0),IF(21=$HM43,IF($JD43=1,30,0),ABS(21-$HF43)*100)),100000+ABS(1-$HE43)*1000+210)),IF($HG43=0,999999,IF(1=$HH43,IF(21=$HN43,IF($JE43=2,30,0),IF(21=$HO43,IF($JE43=1,30,0),ABS(21-$HI43)*100)),100000+ABS(1-$HH43)*1000+210)))-IF((21=$HJ43)+(21=$HK43)+(21=$HL43)+(21=$HM43)+(21=$HN43)+(21=$HO43)&gt;=2,50,0))+X$5*50)</f>
        <v/>
      </c>
      <c r="Y163">
        <f>IF(OR($JF43=0,calcA!$A$6=0),0,IF(OR(22=$HA43,22=$HD43,22=$HG43),200000,MIN(IF($HA43=0,999999,IF(1=$HB43,IF(22=$HJ43,IF($JC43=2,30,0),IF(22=$HK43,IF($JC43=1,30,0),ABS(22-$HC43)*100)),100000+ABS(1-$HB43)*1000+220)),IF($HD43=0,999999,IF(1=$HE43,IF(22=$HL43,IF($JD43=2,30,0),IF(22=$HM43,IF($JD43=1,30,0),ABS(22-$HF43)*100)),100000+ABS(1-$HE43)*1000+220)),IF($HG43=0,999999,IF(1=$HH43,IF(22=$HN43,IF($JE43=2,30,0),IF(22=$HO43,IF($JE43=1,30,0),ABS(22-$HI43)*100)),100000+ABS(1-$HH43)*1000+220)))-IF((22=$HJ43)+(22=$HK43)+(22=$HL43)+(22=$HM43)+(22=$HN43)+(22=$HO43)&gt;=2,50,0))+Y$5*50)</f>
        <v/>
      </c>
      <c r="Z163">
        <f>IF(OR($JF43=0,calcA!$A$6=0),0,IF(OR(23=$HA43,23=$HD43,23=$HG43),200000,MIN(IF($HA43=0,999999,IF(1=$HB43,IF(23=$HJ43,IF($JC43=2,30,0),IF(23=$HK43,IF($JC43=1,30,0),ABS(23-$HC43)*100)),100000+ABS(1-$HB43)*1000+230)),IF($HD43=0,999999,IF(1=$HE43,IF(23=$HL43,IF($JD43=2,30,0),IF(23=$HM43,IF($JD43=1,30,0),ABS(23-$HF43)*100)),100000+ABS(1-$HE43)*1000+230)),IF($HG43=0,999999,IF(1=$HH43,IF(23=$HN43,IF($JE43=2,30,0),IF(23=$HO43,IF($JE43=1,30,0),ABS(23-$HI43)*100)),100000+ABS(1-$HH43)*1000+230)))-IF((23=$HJ43)+(23=$HK43)+(23=$HL43)+(23=$HM43)+(23=$HN43)+(23=$HO43)&gt;=2,50,0))+Z$5*50)</f>
        <v/>
      </c>
      <c r="AA163">
        <f>IF(OR($JF43=0,calcA!$A$6=0),0,IF(OR(24=$HA43,24=$HD43,24=$HG43),200000,MIN(IF($HA43=0,999999,IF(1=$HB43,IF(24=$HJ43,IF($JC43=2,30,0),IF(24=$HK43,IF($JC43=1,30,0),ABS(24-$HC43)*100)),100000+ABS(1-$HB43)*1000+240)),IF($HD43=0,999999,IF(1=$HE43,IF(24=$HL43,IF($JD43=2,30,0),IF(24=$HM43,IF($JD43=1,30,0),ABS(24-$HF43)*100)),100000+ABS(1-$HE43)*1000+240)),IF($HG43=0,999999,IF(1=$HH43,IF(24=$HN43,IF($JE43=2,30,0),IF(24=$HO43,IF($JE43=1,30,0),ABS(24-$HI43)*100)),100000+ABS(1-$HH43)*1000+240)))-IF((24=$HJ43)+(24=$HK43)+(24=$HL43)+(24=$HM43)+(24=$HN43)+(24=$HO43)&gt;=2,50,0))+AA$5*50)</f>
        <v/>
      </c>
      <c r="AB163">
        <f>IF(OR($JF43=0,calcA!$A$6=0),0,IF(OR(25=$HA43,25=$HD43,25=$HG43),200000,MIN(IF($HA43=0,999999,IF(2=$HB43,IF(25=$HJ43,IF($JC43=2,30,0),IF(25=$HK43,IF($JC43=1,30,0),ABS(1-$HC43)*100)),100000+ABS(2-$HB43)*1000+10)),IF($HD43=0,999999,IF(2=$HE43,IF(25=$HL43,IF($JD43=2,30,0),IF(25=$HM43,IF($JD43=1,30,0),ABS(1-$HF43)*100)),100000+ABS(2-$HE43)*1000+10)),IF($HG43=0,999999,IF(2=$HH43,IF(25=$HN43,IF($JE43=2,30,0),IF(25=$HO43,IF($JE43=1,30,0),ABS(1-$HI43)*100)),100000+ABS(2-$HH43)*1000+10)))-IF((25=$HJ43)+(25=$HK43)+(25=$HL43)+(25=$HM43)+(25=$HN43)+(25=$HO43)&gt;=2,50,0))+AB$5*50)</f>
        <v/>
      </c>
      <c r="AC163">
        <f>IF(OR($JF43=0,calcA!$A$6=0),0,IF(OR(26=$HA43,26=$HD43,26=$HG43),200000,MIN(IF($HA43=0,999999,IF(2=$HB43,IF(26=$HJ43,IF($JC43=2,30,0),IF(26=$HK43,IF($JC43=1,30,0),ABS(2-$HC43)*100)),100000+ABS(2-$HB43)*1000+20)),IF($HD43=0,999999,IF(2=$HE43,IF(26=$HL43,IF($JD43=2,30,0),IF(26=$HM43,IF($JD43=1,30,0),ABS(2-$HF43)*100)),100000+ABS(2-$HE43)*1000+20)),IF($HG43=0,999999,IF(2=$HH43,IF(26=$HN43,IF($JE43=2,30,0),IF(26=$HO43,IF($JE43=1,30,0),ABS(2-$HI43)*100)),100000+ABS(2-$HH43)*1000+20)))-IF((26=$HJ43)+(26=$HK43)+(26=$HL43)+(26=$HM43)+(26=$HN43)+(26=$HO43)&gt;=2,50,0))+AC$5*50)</f>
        <v/>
      </c>
      <c r="AD163">
        <f>IF(OR($JF43=0,calcA!$A$6=0),0,IF(OR(27=$HA43,27=$HD43,27=$HG43),200000,MIN(IF($HA43=0,999999,IF(2=$HB43,IF(27=$HJ43,IF($JC43=2,30,0),IF(27=$HK43,IF($JC43=1,30,0),ABS(3-$HC43)*100)),100000+ABS(2-$HB43)*1000+30)),IF($HD43=0,999999,IF(2=$HE43,IF(27=$HL43,IF($JD43=2,30,0),IF(27=$HM43,IF($JD43=1,30,0),ABS(3-$HF43)*100)),100000+ABS(2-$HE43)*1000+30)),IF($HG43=0,999999,IF(2=$HH43,IF(27=$HN43,IF($JE43=2,30,0),IF(27=$HO43,IF($JE43=1,30,0),ABS(3-$HI43)*100)),100000+ABS(2-$HH43)*1000+30)))-IF((27=$HJ43)+(27=$HK43)+(27=$HL43)+(27=$HM43)+(27=$HN43)+(27=$HO43)&gt;=2,50,0))+AD$5*50)</f>
        <v/>
      </c>
      <c r="AE163">
        <f>IF(OR($JF43=0,calcA!$A$6=0),0,IF(OR(28=$HA43,28=$HD43,28=$HG43),200000,MIN(IF($HA43=0,999999,IF(2=$HB43,IF(28=$HJ43,IF($JC43=2,30,0),IF(28=$HK43,IF($JC43=1,30,0),ABS(4-$HC43)*100)),100000+ABS(2-$HB43)*1000+40)),IF($HD43=0,999999,IF(2=$HE43,IF(28=$HL43,IF($JD43=2,30,0),IF(28=$HM43,IF($JD43=1,30,0),ABS(4-$HF43)*100)),100000+ABS(2-$HE43)*1000+40)),IF($HG43=0,999999,IF(2=$HH43,IF(28=$HN43,IF($JE43=2,30,0),IF(28=$HO43,IF($JE43=1,30,0),ABS(4-$HI43)*100)),100000+ABS(2-$HH43)*1000+40)))-IF((28=$HJ43)+(28=$HK43)+(28=$HL43)+(28=$HM43)+(28=$HN43)+(28=$HO43)&gt;=2,50,0))+AE$5*50)</f>
        <v/>
      </c>
      <c r="AF163">
        <f>IF(OR($JF43=0,calcA!$A$6=0),0,IF(OR(29=$HA43,29=$HD43,29=$HG43),200000,MIN(IF($HA43=0,999999,IF(2=$HB43,IF(29=$HJ43,IF($JC43=2,30,0),IF(29=$HK43,IF($JC43=1,30,0),ABS(5-$HC43)*100)),100000+ABS(2-$HB43)*1000+50)),IF($HD43=0,999999,IF(2=$HE43,IF(29=$HL43,IF($JD43=2,30,0),IF(29=$HM43,IF($JD43=1,30,0),ABS(5-$HF43)*100)),100000+ABS(2-$HE43)*1000+50)),IF($HG43=0,999999,IF(2=$HH43,IF(29=$HN43,IF($JE43=2,30,0),IF(29=$HO43,IF($JE43=1,30,0),ABS(5-$HI43)*100)),100000+ABS(2-$HH43)*1000+50)))-IF((29=$HJ43)+(29=$HK43)+(29=$HL43)+(29=$HM43)+(29=$HN43)+(29=$HO43)&gt;=2,50,0))+AF$5*50)</f>
        <v/>
      </c>
      <c r="AG163">
        <f>IF(OR($JF43=0,calcA!$A$6=0),0,IF(OR(30=$HA43,30=$HD43,30=$HG43),200000,MIN(IF($HA43=0,999999,IF(2=$HB43,IF(30=$HJ43,IF($JC43=2,30,0),IF(30=$HK43,IF($JC43=1,30,0),ABS(6-$HC43)*100)),100000+ABS(2-$HB43)*1000+60)),IF($HD43=0,999999,IF(2=$HE43,IF(30=$HL43,IF($JD43=2,30,0),IF(30=$HM43,IF($JD43=1,30,0),ABS(6-$HF43)*100)),100000+ABS(2-$HE43)*1000+60)),IF($HG43=0,999999,IF(2=$HH43,IF(30=$HN43,IF($JE43=2,30,0),IF(30=$HO43,IF($JE43=1,30,0),ABS(6-$HI43)*100)),100000+ABS(2-$HH43)*1000+60)))-IF((30=$HJ43)+(30=$HK43)+(30=$HL43)+(30=$HM43)+(30=$HN43)+(30=$HO43)&gt;=2,50,0))+AG$5*50)</f>
        <v/>
      </c>
      <c r="AH163">
        <f>IF(OR($JF43=0,calcA!$A$6=0),0,IF(OR(31=$HA43,31=$HD43,31=$HG43),200000,MIN(IF($HA43=0,999999,IF(2=$HB43,IF(31=$HJ43,IF($JC43=2,30,0),IF(31=$HK43,IF($JC43=1,30,0),ABS(7-$HC43)*100)),100000+ABS(2-$HB43)*1000+70)),IF($HD43=0,999999,IF(2=$HE43,IF(31=$HL43,IF($JD43=2,30,0),IF(31=$HM43,IF($JD43=1,30,0),ABS(7-$HF43)*100)),100000+ABS(2-$HE43)*1000+70)),IF($HG43=0,999999,IF(2=$HH43,IF(31=$HN43,IF($JE43=2,30,0),IF(31=$HO43,IF($JE43=1,30,0),ABS(7-$HI43)*100)),100000+ABS(2-$HH43)*1000+70)))-IF((31=$HJ43)+(31=$HK43)+(31=$HL43)+(31=$HM43)+(31=$HN43)+(31=$HO43)&gt;=2,50,0))+AH$5*50)</f>
        <v/>
      </c>
      <c r="AI163">
        <f>IF(OR($JF43=0,calcA!$A$6=0),0,IF(OR(32=$HA43,32=$HD43,32=$HG43),200000,MIN(IF($HA43=0,999999,IF(2=$HB43,IF(32=$HJ43,IF($JC43=2,30,0),IF(32=$HK43,IF($JC43=1,30,0),ABS(8-$HC43)*100)),100000+ABS(2-$HB43)*1000+80)),IF($HD43=0,999999,IF(2=$HE43,IF(32=$HL43,IF($JD43=2,30,0),IF(32=$HM43,IF($JD43=1,30,0),ABS(8-$HF43)*100)),100000+ABS(2-$HE43)*1000+80)),IF($HG43=0,999999,IF(2=$HH43,IF(32=$HN43,IF($JE43=2,30,0),IF(32=$HO43,IF($JE43=1,30,0),ABS(8-$HI43)*100)),100000+ABS(2-$HH43)*1000+80)))-IF((32=$HJ43)+(32=$HK43)+(32=$HL43)+(32=$HM43)+(32=$HN43)+(32=$HO43)&gt;=2,50,0))+AI$5*50)</f>
        <v/>
      </c>
      <c r="AJ163">
        <f>IF(OR($JF43=0,calcA!$A$6=0),0,IF(OR(33=$HA43,33=$HD43,33=$HG43),200000,MIN(IF($HA43=0,999999,IF(2=$HB43,IF(33=$HJ43,IF($JC43=2,30,0),IF(33=$HK43,IF($JC43=1,30,0),ABS(9-$HC43)*100)),100000+ABS(2-$HB43)*1000+90)),IF($HD43=0,999999,IF(2=$HE43,IF(33=$HL43,IF($JD43=2,30,0),IF(33=$HM43,IF($JD43=1,30,0),ABS(9-$HF43)*100)),100000+ABS(2-$HE43)*1000+90)),IF($HG43=0,999999,IF(2=$HH43,IF(33=$HN43,IF($JE43=2,30,0),IF(33=$HO43,IF($JE43=1,30,0),ABS(9-$HI43)*100)),100000+ABS(2-$HH43)*1000+90)))-IF((33=$HJ43)+(33=$HK43)+(33=$HL43)+(33=$HM43)+(33=$HN43)+(33=$HO43)&gt;=2,50,0))+AJ$5*50)</f>
        <v/>
      </c>
      <c r="AK163">
        <f>IF(OR($JF43=0,calcA!$A$6=0),0,IF(OR(34=$HA43,34=$HD43,34=$HG43),200000,MIN(IF($HA43=0,999999,IF(2=$HB43,IF(34=$HJ43,IF($JC43=2,30,0),IF(34=$HK43,IF($JC43=1,30,0),ABS(10-$HC43)*100)),100000+ABS(2-$HB43)*1000+100)),IF($HD43=0,999999,IF(2=$HE43,IF(34=$HL43,IF($JD43=2,30,0),IF(34=$HM43,IF($JD43=1,30,0),ABS(10-$HF43)*100)),100000+ABS(2-$HE43)*1000+100)),IF($HG43=0,999999,IF(2=$HH43,IF(34=$HN43,IF($JE43=2,30,0),IF(34=$HO43,IF($JE43=1,30,0),ABS(10-$HI43)*100)),100000+ABS(2-$HH43)*1000+100)))-IF((34=$HJ43)+(34=$HK43)+(34=$HL43)+(34=$HM43)+(34=$HN43)+(34=$HO43)&gt;=2,50,0))+AK$5*50)</f>
        <v/>
      </c>
      <c r="AL163">
        <f>IF(OR($JF43=0,calcA!$A$6=0),0,IF(OR(35=$HA43,35=$HD43,35=$HG43),200000,MIN(IF($HA43=0,999999,IF(2=$HB43,IF(35=$HJ43,IF($JC43=2,30,0),IF(35=$HK43,IF($JC43=1,30,0),ABS(11-$HC43)*100)),100000+ABS(2-$HB43)*1000+110)),IF($HD43=0,999999,IF(2=$HE43,IF(35=$HL43,IF($JD43=2,30,0),IF(35=$HM43,IF($JD43=1,30,0),ABS(11-$HF43)*100)),100000+ABS(2-$HE43)*1000+110)),IF($HG43=0,999999,IF(2=$HH43,IF(35=$HN43,IF($JE43=2,30,0),IF(35=$HO43,IF($JE43=1,30,0),ABS(11-$HI43)*100)),100000+ABS(2-$HH43)*1000+110)))-IF((35=$HJ43)+(35=$HK43)+(35=$HL43)+(35=$HM43)+(35=$HN43)+(35=$HO43)&gt;=2,50,0))+AL$5*50)</f>
        <v/>
      </c>
      <c r="AM163">
        <f>IF(OR($JF43=0,calcA!$A$6=0),0,IF(OR(36=$HA43,36=$HD43,36=$HG43),200000,MIN(IF($HA43=0,999999,IF(2=$HB43,IF(36=$HJ43,IF($JC43=2,30,0),IF(36=$HK43,IF($JC43=1,30,0),ABS(12-$HC43)*100)),100000+ABS(2-$HB43)*1000+120)),IF($HD43=0,999999,IF(2=$HE43,IF(36=$HL43,IF($JD43=2,30,0),IF(36=$HM43,IF($JD43=1,30,0),ABS(12-$HF43)*100)),100000+ABS(2-$HE43)*1000+120)),IF($HG43=0,999999,IF(2=$HH43,IF(36=$HN43,IF($JE43=2,30,0),IF(36=$HO43,IF($JE43=1,30,0),ABS(12-$HI43)*100)),100000+ABS(2-$HH43)*1000+120)))-IF((36=$HJ43)+(36=$HK43)+(36=$HL43)+(36=$HM43)+(36=$HN43)+(36=$HO43)&gt;=2,50,0))+AM$5*50)</f>
        <v/>
      </c>
      <c r="AN163">
        <f>IF(OR($JF43=0,calcA!$A$6=0),0,IF(OR(37=$HA43,37=$HD43,37=$HG43),200000,MIN(IF($HA43=0,999999,IF(2=$HB43,IF(37=$HJ43,IF($JC43=2,30,0),IF(37=$HK43,IF($JC43=1,30,0),ABS(13-$HC43)*100)),100000+ABS(2-$HB43)*1000+130)),IF($HD43=0,999999,IF(2=$HE43,IF(37=$HL43,IF($JD43=2,30,0),IF(37=$HM43,IF($JD43=1,30,0),ABS(13-$HF43)*100)),100000+ABS(2-$HE43)*1000+130)),IF($HG43=0,999999,IF(2=$HH43,IF(37=$HN43,IF($JE43=2,30,0),IF(37=$HO43,IF($JE43=1,30,0),ABS(13-$HI43)*100)),100000+ABS(2-$HH43)*1000+130)))-IF((37=$HJ43)+(37=$HK43)+(37=$HL43)+(37=$HM43)+(37=$HN43)+(37=$HO43)&gt;=2,50,0))+AN$5*50)</f>
        <v/>
      </c>
      <c r="AO163">
        <f>IF(OR($JF43=0,calcA!$A$6=0),0,IF(OR(38=$HA43,38=$HD43,38=$HG43),200000,MIN(IF($HA43=0,999999,IF(2=$HB43,IF(38=$HJ43,IF($JC43=2,30,0),IF(38=$HK43,IF($JC43=1,30,0),ABS(14-$HC43)*100)),100000+ABS(2-$HB43)*1000+140)),IF($HD43=0,999999,IF(2=$HE43,IF(38=$HL43,IF($JD43=2,30,0),IF(38=$HM43,IF($JD43=1,30,0),ABS(14-$HF43)*100)),100000+ABS(2-$HE43)*1000+140)),IF($HG43=0,999999,IF(2=$HH43,IF(38=$HN43,IF($JE43=2,30,0),IF(38=$HO43,IF($JE43=1,30,0),ABS(14-$HI43)*100)),100000+ABS(2-$HH43)*1000+140)))-IF((38=$HJ43)+(38=$HK43)+(38=$HL43)+(38=$HM43)+(38=$HN43)+(38=$HO43)&gt;=2,50,0))+AO$5*50)</f>
        <v/>
      </c>
      <c r="AP163">
        <f>IF(OR($JF43=0,calcA!$A$6=0),0,IF(OR(39=$HA43,39=$HD43,39=$HG43),200000,MIN(IF($HA43=0,999999,IF(2=$HB43,IF(39=$HJ43,IF($JC43=2,30,0),IF(39=$HK43,IF($JC43=1,30,0),ABS(15-$HC43)*100)),100000+ABS(2-$HB43)*1000+150)),IF($HD43=0,999999,IF(2=$HE43,IF(39=$HL43,IF($JD43=2,30,0),IF(39=$HM43,IF($JD43=1,30,0),ABS(15-$HF43)*100)),100000+ABS(2-$HE43)*1000+150)),IF($HG43=0,999999,IF(2=$HH43,IF(39=$HN43,IF($JE43=2,30,0),IF(39=$HO43,IF($JE43=1,30,0),ABS(15-$HI43)*100)),100000+ABS(2-$HH43)*1000+150)))-IF((39=$HJ43)+(39=$HK43)+(39=$HL43)+(39=$HM43)+(39=$HN43)+(39=$HO43)&gt;=2,50,0))+AP$5*50)</f>
        <v/>
      </c>
      <c r="AQ163">
        <f>IF(OR($JF43=0,calcA!$A$6=0),0,IF(OR(40=$HA43,40=$HD43,40=$HG43),200000,MIN(IF($HA43=0,999999,IF(2=$HB43,IF(40=$HJ43,IF($JC43=2,30,0),IF(40=$HK43,IF($JC43=1,30,0),ABS(16-$HC43)*100)),100000+ABS(2-$HB43)*1000+160)),IF($HD43=0,999999,IF(2=$HE43,IF(40=$HL43,IF($JD43=2,30,0),IF(40=$HM43,IF($JD43=1,30,0),ABS(16-$HF43)*100)),100000+ABS(2-$HE43)*1000+160)),IF($HG43=0,999999,IF(2=$HH43,IF(40=$HN43,IF($JE43=2,30,0),IF(40=$HO43,IF($JE43=1,30,0),ABS(16-$HI43)*100)),100000+ABS(2-$HH43)*1000+160)))-IF((40=$HJ43)+(40=$HK43)+(40=$HL43)+(40=$HM43)+(40=$HN43)+(40=$HO43)&gt;=2,50,0))+AQ$5*50)</f>
        <v/>
      </c>
      <c r="AR163">
        <f>IF(OR($JF43=0,calcA!$A$6=0),0,IF(OR(41=$HA43,41=$HD43,41=$HG43),200000,MIN(IF($HA43=0,999999,IF(2=$HB43,IF(41=$HJ43,IF($JC43=2,30,0),IF(41=$HK43,IF($JC43=1,30,0),ABS(17-$HC43)*100)),100000+ABS(2-$HB43)*1000+170)),IF($HD43=0,999999,IF(2=$HE43,IF(41=$HL43,IF($JD43=2,30,0),IF(41=$HM43,IF($JD43=1,30,0),ABS(17-$HF43)*100)),100000+ABS(2-$HE43)*1000+170)),IF($HG43=0,999999,IF(2=$HH43,IF(41=$HN43,IF($JE43=2,30,0),IF(41=$HO43,IF($JE43=1,30,0),ABS(17-$HI43)*100)),100000+ABS(2-$HH43)*1000+170)))-IF((41=$HJ43)+(41=$HK43)+(41=$HL43)+(41=$HM43)+(41=$HN43)+(41=$HO43)&gt;=2,50,0))+AR$5*50)</f>
        <v/>
      </c>
      <c r="AS163">
        <f>IF(OR($JF43=0,calcA!$A$6=0),0,IF(OR(42=$HA43,42=$HD43,42=$HG43),200000,MIN(IF($HA43=0,999999,IF(2=$HB43,IF(42=$HJ43,IF($JC43=2,30,0),IF(42=$HK43,IF($JC43=1,30,0),ABS(18-$HC43)*100)),100000+ABS(2-$HB43)*1000+180)),IF($HD43=0,999999,IF(2=$HE43,IF(42=$HL43,IF($JD43=2,30,0),IF(42=$HM43,IF($JD43=1,30,0),ABS(18-$HF43)*100)),100000+ABS(2-$HE43)*1000+180)),IF($HG43=0,999999,IF(2=$HH43,IF(42=$HN43,IF($JE43=2,30,0),IF(42=$HO43,IF($JE43=1,30,0),ABS(18-$HI43)*100)),100000+ABS(2-$HH43)*1000+180)))-IF((42=$HJ43)+(42=$HK43)+(42=$HL43)+(42=$HM43)+(42=$HN43)+(42=$HO43)&gt;=2,50,0))+AS$5*50)</f>
        <v/>
      </c>
      <c r="AT163">
        <f>IF(OR($JF43=0,calcA!$A$6=0),0,IF(OR(43=$HA43,43=$HD43,43=$HG43),200000,MIN(IF($HA43=0,999999,IF(2=$HB43,IF(43=$HJ43,IF($JC43=2,30,0),IF(43=$HK43,IF($JC43=1,30,0),ABS(19-$HC43)*100)),100000+ABS(2-$HB43)*1000+190)),IF($HD43=0,999999,IF(2=$HE43,IF(43=$HL43,IF($JD43=2,30,0),IF(43=$HM43,IF($JD43=1,30,0),ABS(19-$HF43)*100)),100000+ABS(2-$HE43)*1000+190)),IF($HG43=0,999999,IF(2=$HH43,IF(43=$HN43,IF($JE43=2,30,0),IF(43=$HO43,IF($JE43=1,30,0),ABS(19-$HI43)*100)),100000+ABS(2-$HH43)*1000+190)))-IF((43=$HJ43)+(43=$HK43)+(43=$HL43)+(43=$HM43)+(43=$HN43)+(43=$HO43)&gt;=2,50,0))+AT$5*50)</f>
        <v/>
      </c>
      <c r="AU163">
        <f>IF(OR($JF43=0,calcA!$A$6=0),0,IF(OR(44=$HA43,44=$HD43,44=$HG43),200000,MIN(IF($HA43=0,999999,IF(2=$HB43,IF(44=$HJ43,IF($JC43=2,30,0),IF(44=$HK43,IF($JC43=1,30,0),ABS(20-$HC43)*100)),100000+ABS(2-$HB43)*1000+200)),IF($HD43=0,999999,IF(2=$HE43,IF(44=$HL43,IF($JD43=2,30,0),IF(44=$HM43,IF($JD43=1,30,0),ABS(20-$HF43)*100)),100000+ABS(2-$HE43)*1000+200)),IF($HG43=0,999999,IF(2=$HH43,IF(44=$HN43,IF($JE43=2,30,0),IF(44=$HO43,IF($JE43=1,30,0),ABS(20-$HI43)*100)),100000+ABS(2-$HH43)*1000+200)))-IF((44=$HJ43)+(44=$HK43)+(44=$HL43)+(44=$HM43)+(44=$HN43)+(44=$HO43)&gt;=2,50,0))+AU$5*50)</f>
        <v/>
      </c>
      <c r="AV163">
        <f>IF(OR($JF43=0,calcA!$A$6=0),0,IF(OR(45=$HA43,45=$HD43,45=$HG43),200000,MIN(IF($HA43=0,999999,IF(2=$HB43,IF(45=$HJ43,IF($JC43=2,30,0),IF(45=$HK43,IF($JC43=1,30,0),ABS(21-$HC43)*100)),100000+ABS(2-$HB43)*1000+210)),IF($HD43=0,999999,IF(2=$HE43,IF(45=$HL43,IF($JD43=2,30,0),IF(45=$HM43,IF($JD43=1,30,0),ABS(21-$HF43)*100)),100000+ABS(2-$HE43)*1000+210)),IF($HG43=0,999999,IF(2=$HH43,IF(45=$HN43,IF($JE43=2,30,0),IF(45=$HO43,IF($JE43=1,30,0),ABS(21-$HI43)*100)),100000+ABS(2-$HH43)*1000+210)))-IF((45=$HJ43)+(45=$HK43)+(45=$HL43)+(45=$HM43)+(45=$HN43)+(45=$HO43)&gt;=2,50,0))+AV$5*50)</f>
        <v/>
      </c>
      <c r="AW163">
        <f>IF(OR($JF43=0,calcA!$A$6=0),0,IF(OR(46=$HA43,46=$HD43,46=$HG43),200000,MIN(IF($HA43=0,999999,IF(2=$HB43,IF(46=$HJ43,IF($JC43=2,30,0),IF(46=$HK43,IF($JC43=1,30,0),ABS(22-$HC43)*100)),100000+ABS(2-$HB43)*1000+220)),IF($HD43=0,999999,IF(2=$HE43,IF(46=$HL43,IF($JD43=2,30,0),IF(46=$HM43,IF($JD43=1,30,0),ABS(22-$HF43)*100)),100000+ABS(2-$HE43)*1000+220)),IF($HG43=0,999999,IF(2=$HH43,IF(46=$HN43,IF($JE43=2,30,0),IF(46=$HO43,IF($JE43=1,30,0),ABS(22-$HI43)*100)),100000+ABS(2-$HH43)*1000+220)))-IF((46=$HJ43)+(46=$HK43)+(46=$HL43)+(46=$HM43)+(46=$HN43)+(46=$HO43)&gt;=2,50,0))+AW$5*50)</f>
        <v/>
      </c>
      <c r="AX163">
        <f>IF(OR($JF43=0,calcA!$A$6=0),0,IF(OR(47=$HA43,47=$HD43,47=$HG43),200000,MIN(IF($HA43=0,999999,IF(2=$HB43,IF(47=$HJ43,IF($JC43=2,30,0),IF(47=$HK43,IF($JC43=1,30,0),ABS(23-$HC43)*100)),100000+ABS(2-$HB43)*1000+230)),IF($HD43=0,999999,IF(2=$HE43,IF(47=$HL43,IF($JD43=2,30,0),IF(47=$HM43,IF($JD43=1,30,0),ABS(23-$HF43)*100)),100000+ABS(2-$HE43)*1000+230)),IF($HG43=0,999999,IF(2=$HH43,IF(47=$HN43,IF($JE43=2,30,0),IF(47=$HO43,IF($JE43=1,30,0),ABS(23-$HI43)*100)),100000+ABS(2-$HH43)*1000+230)))-IF((47=$HJ43)+(47=$HK43)+(47=$HL43)+(47=$HM43)+(47=$HN43)+(47=$HO43)&gt;=2,50,0))+AX$5*50)</f>
        <v/>
      </c>
      <c r="AY163">
        <f>IF(OR($JF43=0,calcA!$A$6=0),0,IF(OR(48=$HA43,48=$HD43,48=$HG43),200000,MIN(IF($HA43=0,999999,IF(2=$HB43,IF(48=$HJ43,IF($JC43=2,30,0),IF(48=$HK43,IF($JC43=1,30,0),ABS(24-$HC43)*100)),100000+ABS(2-$HB43)*1000+240)),IF($HD43=0,999999,IF(2=$HE43,IF(48=$HL43,IF($JD43=2,30,0),IF(48=$HM43,IF($JD43=1,30,0),ABS(24-$HF43)*100)),100000+ABS(2-$HE43)*1000+240)),IF($HG43=0,999999,IF(2=$HH43,IF(48=$HN43,IF($JE43=2,30,0),IF(48=$HO43,IF($JE43=1,30,0),ABS(24-$HI43)*100)),100000+ABS(2-$HH43)*1000+240)))-IF((48=$HJ43)+(48=$HK43)+(48=$HL43)+(48=$HM43)+(48=$HN43)+(48=$HO43)&gt;=2,50,0))+AY$5*50)</f>
        <v/>
      </c>
      <c r="AZ163">
        <f>IF(OR($JF43=0,calcA!$A$6=0),0,IF(OR(49=$HA43,49=$HD43,49=$HG43),200000,MIN(IF($HA43=0,999999,IF(3=$HB43,IF(49=$HJ43,IF($JC43=2,30,0),IF(49=$HK43,IF($JC43=1,30,0),ABS(1-$HC43)*100)),100000+ABS(3-$HB43)*1000+10)),IF($HD43=0,999999,IF(3=$HE43,IF(49=$HL43,IF($JD43=2,30,0),IF(49=$HM43,IF($JD43=1,30,0),ABS(1-$HF43)*100)),100000+ABS(3-$HE43)*1000+10)),IF($HG43=0,999999,IF(3=$HH43,IF(49=$HN43,IF($JE43=2,30,0),IF(49=$HO43,IF($JE43=1,30,0),ABS(1-$HI43)*100)),100000+ABS(3-$HH43)*1000+10)))-IF((49=$HJ43)+(49=$HK43)+(49=$HL43)+(49=$HM43)+(49=$HN43)+(49=$HO43)&gt;=2,50,0))+AZ$5*50)</f>
        <v/>
      </c>
      <c r="BA163">
        <f>IF(OR($JF43=0,calcA!$A$6=0),0,IF(OR(50=$HA43,50=$HD43,50=$HG43),200000,MIN(IF($HA43=0,999999,IF(3=$HB43,IF(50=$HJ43,IF($JC43=2,30,0),IF(50=$HK43,IF($JC43=1,30,0),ABS(2-$HC43)*100)),100000+ABS(3-$HB43)*1000+20)),IF($HD43=0,999999,IF(3=$HE43,IF(50=$HL43,IF($JD43=2,30,0),IF(50=$HM43,IF($JD43=1,30,0),ABS(2-$HF43)*100)),100000+ABS(3-$HE43)*1000+20)),IF($HG43=0,999999,IF(3=$HH43,IF(50=$HN43,IF($JE43=2,30,0),IF(50=$HO43,IF($JE43=1,30,0),ABS(2-$HI43)*100)),100000+ABS(3-$HH43)*1000+20)))-IF((50=$HJ43)+(50=$HK43)+(50=$HL43)+(50=$HM43)+(50=$HN43)+(50=$HO43)&gt;=2,50,0))+BA$5*50)</f>
        <v/>
      </c>
      <c r="BB163">
        <f>IF(OR($JF43=0,calcA!$A$6=0),0,IF(OR(51=$HA43,51=$HD43,51=$HG43),200000,MIN(IF($HA43=0,999999,IF(3=$HB43,IF(51=$HJ43,IF($JC43=2,30,0),IF(51=$HK43,IF($JC43=1,30,0),ABS(3-$HC43)*100)),100000+ABS(3-$HB43)*1000+30)),IF($HD43=0,999999,IF(3=$HE43,IF(51=$HL43,IF($JD43=2,30,0),IF(51=$HM43,IF($JD43=1,30,0),ABS(3-$HF43)*100)),100000+ABS(3-$HE43)*1000+30)),IF($HG43=0,999999,IF(3=$HH43,IF(51=$HN43,IF($JE43=2,30,0),IF(51=$HO43,IF($JE43=1,30,0),ABS(3-$HI43)*100)),100000+ABS(3-$HH43)*1000+30)))-IF((51=$HJ43)+(51=$HK43)+(51=$HL43)+(51=$HM43)+(51=$HN43)+(51=$HO43)&gt;=2,50,0))+BB$5*50)</f>
        <v/>
      </c>
      <c r="BC163">
        <f>IF(OR($JF43=0,calcA!$A$6=0),0,IF(OR(52=$HA43,52=$HD43,52=$HG43),200000,MIN(IF($HA43=0,999999,IF(3=$HB43,IF(52=$HJ43,IF($JC43=2,30,0),IF(52=$HK43,IF($JC43=1,30,0),ABS(4-$HC43)*100)),100000+ABS(3-$HB43)*1000+40)),IF($HD43=0,999999,IF(3=$HE43,IF(52=$HL43,IF($JD43=2,30,0),IF(52=$HM43,IF($JD43=1,30,0),ABS(4-$HF43)*100)),100000+ABS(3-$HE43)*1000+40)),IF($HG43=0,999999,IF(3=$HH43,IF(52=$HN43,IF($JE43=2,30,0),IF(52=$HO43,IF($JE43=1,30,0),ABS(4-$HI43)*100)),100000+ABS(3-$HH43)*1000+40)))-IF((52=$HJ43)+(52=$HK43)+(52=$HL43)+(52=$HM43)+(52=$HN43)+(52=$HO43)&gt;=2,50,0))+BC$5*50)</f>
        <v/>
      </c>
      <c r="BD163">
        <f>IF(OR($JF43=0,calcA!$A$6=0),0,IF(OR(53=$HA43,53=$HD43,53=$HG43),200000,MIN(IF($HA43=0,999999,IF(3=$HB43,IF(53=$HJ43,IF($JC43=2,30,0),IF(53=$HK43,IF($JC43=1,30,0),ABS(5-$HC43)*100)),100000+ABS(3-$HB43)*1000+50)),IF($HD43=0,999999,IF(3=$HE43,IF(53=$HL43,IF($JD43=2,30,0),IF(53=$HM43,IF($JD43=1,30,0),ABS(5-$HF43)*100)),100000+ABS(3-$HE43)*1000+50)),IF($HG43=0,999999,IF(3=$HH43,IF(53=$HN43,IF($JE43=2,30,0),IF(53=$HO43,IF($JE43=1,30,0),ABS(5-$HI43)*100)),100000+ABS(3-$HH43)*1000+50)))-IF((53=$HJ43)+(53=$HK43)+(53=$HL43)+(53=$HM43)+(53=$HN43)+(53=$HO43)&gt;=2,50,0))+BD$5*50)</f>
        <v/>
      </c>
      <c r="BE163">
        <f>IF(OR($JF43=0,calcA!$A$6=0),0,IF(OR(54=$HA43,54=$HD43,54=$HG43),200000,MIN(IF($HA43=0,999999,IF(3=$HB43,IF(54=$HJ43,IF($JC43=2,30,0),IF(54=$HK43,IF($JC43=1,30,0),ABS(6-$HC43)*100)),100000+ABS(3-$HB43)*1000+60)),IF($HD43=0,999999,IF(3=$HE43,IF(54=$HL43,IF($JD43=2,30,0),IF(54=$HM43,IF($JD43=1,30,0),ABS(6-$HF43)*100)),100000+ABS(3-$HE43)*1000+60)),IF($HG43=0,999999,IF(3=$HH43,IF(54=$HN43,IF($JE43=2,30,0),IF(54=$HO43,IF($JE43=1,30,0),ABS(6-$HI43)*100)),100000+ABS(3-$HH43)*1000+60)))-IF((54=$HJ43)+(54=$HK43)+(54=$HL43)+(54=$HM43)+(54=$HN43)+(54=$HO43)&gt;=2,50,0))+BE$5*50)</f>
        <v/>
      </c>
      <c r="BF163">
        <f>IF(OR($JF43=0,calcA!$A$6=0),0,IF(OR(55=$HA43,55=$HD43,55=$HG43),200000,MIN(IF($HA43=0,999999,IF(3=$HB43,IF(55=$HJ43,IF($JC43=2,30,0),IF(55=$HK43,IF($JC43=1,30,0),ABS(7-$HC43)*100)),100000+ABS(3-$HB43)*1000+70)),IF($HD43=0,999999,IF(3=$HE43,IF(55=$HL43,IF($JD43=2,30,0),IF(55=$HM43,IF($JD43=1,30,0),ABS(7-$HF43)*100)),100000+ABS(3-$HE43)*1000+70)),IF($HG43=0,999999,IF(3=$HH43,IF(55=$HN43,IF($JE43=2,30,0),IF(55=$HO43,IF($JE43=1,30,0),ABS(7-$HI43)*100)),100000+ABS(3-$HH43)*1000+70)))-IF((55=$HJ43)+(55=$HK43)+(55=$HL43)+(55=$HM43)+(55=$HN43)+(55=$HO43)&gt;=2,50,0))+BF$5*50)</f>
        <v/>
      </c>
      <c r="BG163">
        <f>IF(OR($JF43=0,calcA!$A$6=0),0,IF(OR(56=$HA43,56=$HD43,56=$HG43),200000,MIN(IF($HA43=0,999999,IF(3=$HB43,IF(56=$HJ43,IF($JC43=2,30,0),IF(56=$HK43,IF($JC43=1,30,0),ABS(8-$HC43)*100)),100000+ABS(3-$HB43)*1000+80)),IF($HD43=0,999999,IF(3=$HE43,IF(56=$HL43,IF($JD43=2,30,0),IF(56=$HM43,IF($JD43=1,30,0),ABS(8-$HF43)*100)),100000+ABS(3-$HE43)*1000+80)),IF($HG43=0,999999,IF(3=$HH43,IF(56=$HN43,IF($JE43=2,30,0),IF(56=$HO43,IF($JE43=1,30,0),ABS(8-$HI43)*100)),100000+ABS(3-$HH43)*1000+80)))-IF((56=$HJ43)+(56=$HK43)+(56=$HL43)+(56=$HM43)+(56=$HN43)+(56=$HO43)&gt;=2,50,0))+BG$5*50)</f>
        <v/>
      </c>
      <c r="BH163">
        <f>IF(OR($JF43=0,calcA!$A$6=0),0,IF(OR(57=$HA43,57=$HD43,57=$HG43),200000,MIN(IF($HA43=0,999999,IF(3=$HB43,IF(57=$HJ43,IF($JC43=2,30,0),IF(57=$HK43,IF($JC43=1,30,0),ABS(9-$HC43)*100)),100000+ABS(3-$HB43)*1000+90)),IF($HD43=0,999999,IF(3=$HE43,IF(57=$HL43,IF($JD43=2,30,0),IF(57=$HM43,IF($JD43=1,30,0),ABS(9-$HF43)*100)),100000+ABS(3-$HE43)*1000+90)),IF($HG43=0,999999,IF(3=$HH43,IF(57=$HN43,IF($JE43=2,30,0),IF(57=$HO43,IF($JE43=1,30,0),ABS(9-$HI43)*100)),100000+ABS(3-$HH43)*1000+90)))-IF((57=$HJ43)+(57=$HK43)+(57=$HL43)+(57=$HM43)+(57=$HN43)+(57=$HO43)&gt;=2,50,0))+BH$5*50)</f>
        <v/>
      </c>
      <c r="BI163">
        <f>IF(OR($JF43=0,calcA!$A$6=0),0,IF(OR(58=$HA43,58=$HD43,58=$HG43),200000,MIN(IF($HA43=0,999999,IF(3=$HB43,IF(58=$HJ43,IF($JC43=2,30,0),IF(58=$HK43,IF($JC43=1,30,0),ABS(10-$HC43)*100)),100000+ABS(3-$HB43)*1000+100)),IF($HD43=0,999999,IF(3=$HE43,IF(58=$HL43,IF($JD43=2,30,0),IF(58=$HM43,IF($JD43=1,30,0),ABS(10-$HF43)*100)),100000+ABS(3-$HE43)*1000+100)),IF($HG43=0,999999,IF(3=$HH43,IF(58=$HN43,IF($JE43=2,30,0),IF(58=$HO43,IF($JE43=1,30,0),ABS(10-$HI43)*100)),100000+ABS(3-$HH43)*1000+100)))-IF((58=$HJ43)+(58=$HK43)+(58=$HL43)+(58=$HM43)+(58=$HN43)+(58=$HO43)&gt;=2,50,0))+BI$5*50)</f>
        <v/>
      </c>
      <c r="BJ163">
        <f>IF(OR($JF43=0,calcA!$A$6=0),0,IF(OR(59=$HA43,59=$HD43,59=$HG43),200000,MIN(IF($HA43=0,999999,IF(3=$HB43,IF(59=$HJ43,IF($JC43=2,30,0),IF(59=$HK43,IF($JC43=1,30,0),ABS(11-$HC43)*100)),100000+ABS(3-$HB43)*1000+110)),IF($HD43=0,999999,IF(3=$HE43,IF(59=$HL43,IF($JD43=2,30,0),IF(59=$HM43,IF($JD43=1,30,0),ABS(11-$HF43)*100)),100000+ABS(3-$HE43)*1000+110)),IF($HG43=0,999999,IF(3=$HH43,IF(59=$HN43,IF($JE43=2,30,0),IF(59=$HO43,IF($JE43=1,30,0),ABS(11-$HI43)*100)),100000+ABS(3-$HH43)*1000+110)))-IF((59=$HJ43)+(59=$HK43)+(59=$HL43)+(59=$HM43)+(59=$HN43)+(59=$HO43)&gt;=2,50,0))+BJ$5*50)</f>
        <v/>
      </c>
      <c r="BK163">
        <f>IF(OR($JF43=0,calcA!$A$6=0),0,IF(OR(60=$HA43,60=$HD43,60=$HG43),200000,MIN(IF($HA43=0,999999,IF(3=$HB43,IF(60=$HJ43,IF($JC43=2,30,0),IF(60=$HK43,IF($JC43=1,30,0),ABS(12-$HC43)*100)),100000+ABS(3-$HB43)*1000+120)),IF($HD43=0,999999,IF(3=$HE43,IF(60=$HL43,IF($JD43=2,30,0),IF(60=$HM43,IF($JD43=1,30,0),ABS(12-$HF43)*100)),100000+ABS(3-$HE43)*1000+120)),IF($HG43=0,999999,IF(3=$HH43,IF(60=$HN43,IF($JE43=2,30,0),IF(60=$HO43,IF($JE43=1,30,0),ABS(12-$HI43)*100)),100000+ABS(3-$HH43)*1000+120)))-IF((60=$HJ43)+(60=$HK43)+(60=$HL43)+(60=$HM43)+(60=$HN43)+(60=$HO43)&gt;=2,50,0))+BK$5*50)</f>
        <v/>
      </c>
      <c r="BL163">
        <f>IF(OR($JF43=0,calcA!$A$6=0),0,IF(OR(61=$HA43,61=$HD43,61=$HG43),200000,MIN(IF($HA43=0,999999,IF(3=$HB43,IF(61=$HJ43,IF($JC43=2,30,0),IF(61=$HK43,IF($JC43=1,30,0),ABS(13-$HC43)*100)),100000+ABS(3-$HB43)*1000+130)),IF($HD43=0,999999,IF(3=$HE43,IF(61=$HL43,IF($JD43=2,30,0),IF(61=$HM43,IF($JD43=1,30,0),ABS(13-$HF43)*100)),100000+ABS(3-$HE43)*1000+130)),IF($HG43=0,999999,IF(3=$HH43,IF(61=$HN43,IF($JE43=2,30,0),IF(61=$HO43,IF($JE43=1,30,0),ABS(13-$HI43)*100)),100000+ABS(3-$HH43)*1000+130)))-IF((61=$HJ43)+(61=$HK43)+(61=$HL43)+(61=$HM43)+(61=$HN43)+(61=$HO43)&gt;=2,50,0))+BL$5*50)</f>
        <v/>
      </c>
      <c r="BM163">
        <f>IF(OR($JF43=0,calcA!$A$6=0),0,IF(OR(62=$HA43,62=$HD43,62=$HG43),200000,MIN(IF($HA43=0,999999,IF(3=$HB43,IF(62=$HJ43,IF($JC43=2,30,0),IF(62=$HK43,IF($JC43=1,30,0),ABS(14-$HC43)*100)),100000+ABS(3-$HB43)*1000+140)),IF($HD43=0,999999,IF(3=$HE43,IF(62=$HL43,IF($JD43=2,30,0),IF(62=$HM43,IF($JD43=1,30,0),ABS(14-$HF43)*100)),100000+ABS(3-$HE43)*1000+140)),IF($HG43=0,999999,IF(3=$HH43,IF(62=$HN43,IF($JE43=2,30,0),IF(62=$HO43,IF($JE43=1,30,0),ABS(14-$HI43)*100)),100000+ABS(3-$HH43)*1000+140)))-IF((62=$HJ43)+(62=$HK43)+(62=$HL43)+(62=$HM43)+(62=$HN43)+(62=$HO43)&gt;=2,50,0))+BM$5*50)</f>
        <v/>
      </c>
      <c r="BN163">
        <f>IF(OR($JF43=0,calcA!$A$6=0),0,IF(OR(63=$HA43,63=$HD43,63=$HG43),200000,MIN(IF($HA43=0,999999,IF(3=$HB43,IF(63=$HJ43,IF($JC43=2,30,0),IF(63=$HK43,IF($JC43=1,30,0),ABS(15-$HC43)*100)),100000+ABS(3-$HB43)*1000+150)),IF($HD43=0,999999,IF(3=$HE43,IF(63=$HL43,IF($JD43=2,30,0),IF(63=$HM43,IF($JD43=1,30,0),ABS(15-$HF43)*100)),100000+ABS(3-$HE43)*1000+150)),IF($HG43=0,999999,IF(3=$HH43,IF(63=$HN43,IF($JE43=2,30,0),IF(63=$HO43,IF($JE43=1,30,0),ABS(15-$HI43)*100)),100000+ABS(3-$HH43)*1000+150)))-IF((63=$HJ43)+(63=$HK43)+(63=$HL43)+(63=$HM43)+(63=$HN43)+(63=$HO43)&gt;=2,50,0))+BN$5*50)</f>
        <v/>
      </c>
      <c r="BO163">
        <f>IF(OR($JF43=0,calcA!$A$6=0),0,IF(OR(64=$HA43,64=$HD43,64=$HG43),200000,MIN(IF($HA43=0,999999,IF(3=$HB43,IF(64=$HJ43,IF($JC43=2,30,0),IF(64=$HK43,IF($JC43=1,30,0),ABS(16-$HC43)*100)),100000+ABS(3-$HB43)*1000+160)),IF($HD43=0,999999,IF(3=$HE43,IF(64=$HL43,IF($JD43=2,30,0),IF(64=$HM43,IF($JD43=1,30,0),ABS(16-$HF43)*100)),100000+ABS(3-$HE43)*1000+160)),IF($HG43=0,999999,IF(3=$HH43,IF(64=$HN43,IF($JE43=2,30,0),IF(64=$HO43,IF($JE43=1,30,0),ABS(16-$HI43)*100)),100000+ABS(3-$HH43)*1000+160)))-IF((64=$HJ43)+(64=$HK43)+(64=$HL43)+(64=$HM43)+(64=$HN43)+(64=$HO43)&gt;=2,50,0))+BO$5*50)</f>
        <v/>
      </c>
      <c r="BP163">
        <f>IF(OR($JF43=0,calcA!$A$6=0),0,IF(OR(65=$HA43,65=$HD43,65=$HG43),200000,MIN(IF($HA43=0,999999,IF(3=$HB43,IF(65=$HJ43,IF($JC43=2,30,0),IF(65=$HK43,IF($JC43=1,30,0),ABS(17-$HC43)*100)),100000+ABS(3-$HB43)*1000+170)),IF($HD43=0,999999,IF(3=$HE43,IF(65=$HL43,IF($JD43=2,30,0),IF(65=$HM43,IF($JD43=1,30,0),ABS(17-$HF43)*100)),100000+ABS(3-$HE43)*1000+170)),IF($HG43=0,999999,IF(3=$HH43,IF(65=$HN43,IF($JE43=2,30,0),IF(65=$HO43,IF($JE43=1,30,0),ABS(17-$HI43)*100)),100000+ABS(3-$HH43)*1000+170)))-IF((65=$HJ43)+(65=$HK43)+(65=$HL43)+(65=$HM43)+(65=$HN43)+(65=$HO43)&gt;=2,50,0))+BP$5*50)</f>
        <v/>
      </c>
      <c r="BQ163">
        <f>IF(OR($JF43=0,calcA!$A$6=0),0,IF(OR(66=$HA43,66=$HD43,66=$HG43),200000,MIN(IF($HA43=0,999999,IF(3=$HB43,IF(66=$HJ43,IF($JC43=2,30,0),IF(66=$HK43,IF($JC43=1,30,0),ABS(18-$HC43)*100)),100000+ABS(3-$HB43)*1000+180)),IF($HD43=0,999999,IF(3=$HE43,IF(66=$HL43,IF($JD43=2,30,0),IF(66=$HM43,IF($JD43=1,30,0),ABS(18-$HF43)*100)),100000+ABS(3-$HE43)*1000+180)),IF($HG43=0,999999,IF(3=$HH43,IF(66=$HN43,IF($JE43=2,30,0),IF(66=$HO43,IF($JE43=1,30,0),ABS(18-$HI43)*100)),100000+ABS(3-$HH43)*1000+180)))-IF((66=$HJ43)+(66=$HK43)+(66=$HL43)+(66=$HM43)+(66=$HN43)+(66=$HO43)&gt;=2,50,0))+BQ$5*50)</f>
        <v/>
      </c>
      <c r="BR163">
        <f>IF(OR($JF43=0,calcA!$A$6=0),0,IF(OR(67=$HA43,67=$HD43,67=$HG43),200000,MIN(IF($HA43=0,999999,IF(3=$HB43,IF(67=$HJ43,IF($JC43=2,30,0),IF(67=$HK43,IF($JC43=1,30,0),ABS(19-$HC43)*100)),100000+ABS(3-$HB43)*1000+190)),IF($HD43=0,999999,IF(3=$HE43,IF(67=$HL43,IF($JD43=2,30,0),IF(67=$HM43,IF($JD43=1,30,0),ABS(19-$HF43)*100)),100000+ABS(3-$HE43)*1000+190)),IF($HG43=0,999999,IF(3=$HH43,IF(67=$HN43,IF($JE43=2,30,0),IF(67=$HO43,IF($JE43=1,30,0),ABS(19-$HI43)*100)),100000+ABS(3-$HH43)*1000+190)))-IF((67=$HJ43)+(67=$HK43)+(67=$HL43)+(67=$HM43)+(67=$HN43)+(67=$HO43)&gt;=2,50,0))+BR$5*50)</f>
        <v/>
      </c>
      <c r="BS163">
        <f>IF(OR($JF43=0,calcA!$A$6=0),0,IF(OR(68=$HA43,68=$HD43,68=$HG43),200000,MIN(IF($HA43=0,999999,IF(3=$HB43,IF(68=$HJ43,IF($JC43=2,30,0),IF(68=$HK43,IF($JC43=1,30,0),ABS(20-$HC43)*100)),100000+ABS(3-$HB43)*1000+200)),IF($HD43=0,999999,IF(3=$HE43,IF(68=$HL43,IF($JD43=2,30,0),IF(68=$HM43,IF($JD43=1,30,0),ABS(20-$HF43)*100)),100000+ABS(3-$HE43)*1000+200)),IF($HG43=0,999999,IF(3=$HH43,IF(68=$HN43,IF($JE43=2,30,0),IF(68=$HO43,IF($JE43=1,30,0),ABS(20-$HI43)*100)),100000+ABS(3-$HH43)*1000+200)))-IF((68=$HJ43)+(68=$HK43)+(68=$HL43)+(68=$HM43)+(68=$HN43)+(68=$HO43)&gt;=2,50,0))+BS$5*50)</f>
        <v/>
      </c>
      <c r="BT163">
        <f>IF(OR($JF43=0,calcA!$A$6=0),0,IF(OR(69=$HA43,69=$HD43,69=$HG43),200000,MIN(IF($HA43=0,999999,IF(3=$HB43,IF(69=$HJ43,IF($JC43=2,30,0),IF(69=$HK43,IF($JC43=1,30,0),ABS(21-$HC43)*100)),100000+ABS(3-$HB43)*1000+210)),IF($HD43=0,999999,IF(3=$HE43,IF(69=$HL43,IF($JD43=2,30,0),IF(69=$HM43,IF($JD43=1,30,0),ABS(21-$HF43)*100)),100000+ABS(3-$HE43)*1000+210)),IF($HG43=0,999999,IF(3=$HH43,IF(69=$HN43,IF($JE43=2,30,0),IF(69=$HO43,IF($JE43=1,30,0),ABS(21-$HI43)*100)),100000+ABS(3-$HH43)*1000+210)))-IF((69=$HJ43)+(69=$HK43)+(69=$HL43)+(69=$HM43)+(69=$HN43)+(69=$HO43)&gt;=2,50,0))+BT$5*50)</f>
        <v/>
      </c>
      <c r="BU163">
        <f>IF(OR($JF43=0,calcA!$A$6=0),0,IF(OR(70=$HA43,70=$HD43,70=$HG43),200000,MIN(IF($HA43=0,999999,IF(3=$HB43,IF(70=$HJ43,IF($JC43=2,30,0),IF(70=$HK43,IF($JC43=1,30,0),ABS(22-$HC43)*100)),100000+ABS(3-$HB43)*1000+220)),IF($HD43=0,999999,IF(3=$HE43,IF(70=$HL43,IF($JD43=2,30,0),IF(70=$HM43,IF($JD43=1,30,0),ABS(22-$HF43)*100)),100000+ABS(3-$HE43)*1000+220)),IF($HG43=0,999999,IF(3=$HH43,IF(70=$HN43,IF($JE43=2,30,0),IF(70=$HO43,IF($JE43=1,30,0),ABS(22-$HI43)*100)),100000+ABS(3-$HH43)*1000+220)))-IF((70=$HJ43)+(70=$HK43)+(70=$HL43)+(70=$HM43)+(70=$HN43)+(70=$HO43)&gt;=2,50,0))+BU$5*50)</f>
        <v/>
      </c>
      <c r="BV163">
        <f>IF(OR($JF43=0,calcA!$A$6=0),0,IF(OR(71=$HA43,71=$HD43,71=$HG43),200000,MIN(IF($HA43=0,999999,IF(3=$HB43,IF(71=$HJ43,IF($JC43=2,30,0),IF(71=$HK43,IF($JC43=1,30,0),ABS(23-$HC43)*100)),100000+ABS(3-$HB43)*1000+230)),IF($HD43=0,999999,IF(3=$HE43,IF(71=$HL43,IF($JD43=2,30,0),IF(71=$HM43,IF($JD43=1,30,0),ABS(23-$HF43)*100)),100000+ABS(3-$HE43)*1000+230)),IF($HG43=0,999999,IF(3=$HH43,IF(71=$HN43,IF($JE43=2,30,0),IF(71=$HO43,IF($JE43=1,30,0),ABS(23-$HI43)*100)),100000+ABS(3-$HH43)*1000+230)))-IF((71=$HJ43)+(71=$HK43)+(71=$HL43)+(71=$HM43)+(71=$HN43)+(71=$HO43)&gt;=2,50,0))+BV$5*50)</f>
        <v/>
      </c>
      <c r="BW163">
        <f>IF(OR($JF43=0,calcA!$A$6=0),0,IF(OR(72=$HA43,72=$HD43,72=$HG43),200000,MIN(IF($HA43=0,999999,IF(3=$HB43,IF(72=$HJ43,IF($JC43=2,30,0),IF(72=$HK43,IF($JC43=1,30,0),ABS(24-$HC43)*100)),100000+ABS(3-$HB43)*1000+240)),IF($HD43=0,999999,IF(3=$HE43,IF(72=$HL43,IF($JD43=2,30,0),IF(72=$HM43,IF($JD43=1,30,0),ABS(24-$HF43)*100)),100000+ABS(3-$HE43)*1000+240)),IF($HG43=0,999999,IF(3=$HH43,IF(72=$HN43,IF($JE43=2,30,0),IF(72=$HO43,IF($JE43=1,30,0),ABS(24-$HI43)*100)),100000+ABS(3-$HH43)*1000+240)))-IF((72=$HJ43)+(72=$HK43)+(72=$HL43)+(72=$HM43)+(72=$HN43)+(72=$HO43)&gt;=2,50,0))+BW$5*50)</f>
        <v/>
      </c>
      <c r="BX163">
        <f>IF(OR($JF43=0,calcA!$A$6=0),0,IF(OR(73=$HA43,73=$HD43,73=$HG43),200000,MIN(IF($HA43=0,999999,IF(4=$HB43,IF(73=$HJ43,IF($JC43=2,30,0),IF(73=$HK43,IF($JC43=1,30,0),ABS(1-$HC43)*100)),100000+ABS(4-$HB43)*1000+10)),IF($HD43=0,999999,IF(4=$HE43,IF(73=$HL43,IF($JD43=2,30,0),IF(73=$HM43,IF($JD43=1,30,0),ABS(1-$HF43)*100)),100000+ABS(4-$HE43)*1000+10)),IF($HG43=0,999999,IF(4=$HH43,IF(73=$HN43,IF($JE43=2,30,0),IF(73=$HO43,IF($JE43=1,30,0),ABS(1-$HI43)*100)),100000+ABS(4-$HH43)*1000+10)))-IF((73=$HJ43)+(73=$HK43)+(73=$HL43)+(73=$HM43)+(73=$HN43)+(73=$HO43)&gt;=2,50,0))+BX$5*50)</f>
        <v/>
      </c>
      <c r="BY163">
        <f>IF(OR($JF43=0,calcA!$A$6=0),0,IF(OR(74=$HA43,74=$HD43,74=$HG43),200000,MIN(IF($HA43=0,999999,IF(4=$HB43,IF(74=$HJ43,IF($JC43=2,30,0),IF(74=$HK43,IF($JC43=1,30,0),ABS(2-$HC43)*100)),100000+ABS(4-$HB43)*1000+20)),IF($HD43=0,999999,IF(4=$HE43,IF(74=$HL43,IF($JD43=2,30,0),IF(74=$HM43,IF($JD43=1,30,0),ABS(2-$HF43)*100)),100000+ABS(4-$HE43)*1000+20)),IF($HG43=0,999999,IF(4=$HH43,IF(74=$HN43,IF($JE43=2,30,0),IF(74=$HO43,IF($JE43=1,30,0),ABS(2-$HI43)*100)),100000+ABS(4-$HH43)*1000+20)))-IF((74=$HJ43)+(74=$HK43)+(74=$HL43)+(74=$HM43)+(74=$HN43)+(74=$HO43)&gt;=2,50,0))+BY$5*50)</f>
        <v/>
      </c>
      <c r="BZ163">
        <f>IF(OR($JF43=0,calcA!$A$6=0),0,IF(OR(75=$HA43,75=$HD43,75=$HG43),200000,MIN(IF($HA43=0,999999,IF(4=$HB43,IF(75=$HJ43,IF($JC43=2,30,0),IF(75=$HK43,IF($JC43=1,30,0),ABS(3-$HC43)*100)),100000+ABS(4-$HB43)*1000+30)),IF($HD43=0,999999,IF(4=$HE43,IF(75=$HL43,IF($JD43=2,30,0),IF(75=$HM43,IF($JD43=1,30,0),ABS(3-$HF43)*100)),100000+ABS(4-$HE43)*1000+30)),IF($HG43=0,999999,IF(4=$HH43,IF(75=$HN43,IF($JE43=2,30,0),IF(75=$HO43,IF($JE43=1,30,0),ABS(3-$HI43)*100)),100000+ABS(4-$HH43)*1000+30)))-IF((75=$HJ43)+(75=$HK43)+(75=$HL43)+(75=$HM43)+(75=$HN43)+(75=$HO43)&gt;=2,50,0))+BZ$5*50)</f>
        <v/>
      </c>
      <c r="CA163">
        <f>IF(OR($JF43=0,calcA!$A$6=0),0,IF(OR(76=$HA43,76=$HD43,76=$HG43),200000,MIN(IF($HA43=0,999999,IF(4=$HB43,IF(76=$HJ43,IF($JC43=2,30,0),IF(76=$HK43,IF($JC43=1,30,0),ABS(4-$HC43)*100)),100000+ABS(4-$HB43)*1000+40)),IF($HD43=0,999999,IF(4=$HE43,IF(76=$HL43,IF($JD43=2,30,0),IF(76=$HM43,IF($JD43=1,30,0),ABS(4-$HF43)*100)),100000+ABS(4-$HE43)*1000+40)),IF($HG43=0,999999,IF(4=$HH43,IF(76=$HN43,IF($JE43=2,30,0),IF(76=$HO43,IF($JE43=1,30,0),ABS(4-$HI43)*100)),100000+ABS(4-$HH43)*1000+40)))-IF((76=$HJ43)+(76=$HK43)+(76=$HL43)+(76=$HM43)+(76=$HN43)+(76=$HO43)&gt;=2,50,0))+CA$5*50)</f>
        <v/>
      </c>
      <c r="CB163">
        <f>IF(OR($JF43=0,calcA!$A$6=0),0,IF(OR(77=$HA43,77=$HD43,77=$HG43),200000,MIN(IF($HA43=0,999999,IF(4=$HB43,IF(77=$HJ43,IF($JC43=2,30,0),IF(77=$HK43,IF($JC43=1,30,0),ABS(5-$HC43)*100)),100000+ABS(4-$HB43)*1000+50)),IF($HD43=0,999999,IF(4=$HE43,IF(77=$HL43,IF($JD43=2,30,0),IF(77=$HM43,IF($JD43=1,30,0),ABS(5-$HF43)*100)),100000+ABS(4-$HE43)*1000+50)),IF($HG43=0,999999,IF(4=$HH43,IF(77=$HN43,IF($JE43=2,30,0),IF(77=$HO43,IF($JE43=1,30,0),ABS(5-$HI43)*100)),100000+ABS(4-$HH43)*1000+50)))-IF((77=$HJ43)+(77=$HK43)+(77=$HL43)+(77=$HM43)+(77=$HN43)+(77=$HO43)&gt;=2,50,0))+CB$5*50)</f>
        <v/>
      </c>
      <c r="CC163">
        <f>IF(OR($JF43=0,calcA!$A$6=0),0,IF(OR(78=$HA43,78=$HD43,78=$HG43),200000,MIN(IF($HA43=0,999999,IF(4=$HB43,IF(78=$HJ43,IF($JC43=2,30,0),IF(78=$HK43,IF($JC43=1,30,0),ABS(6-$HC43)*100)),100000+ABS(4-$HB43)*1000+60)),IF($HD43=0,999999,IF(4=$HE43,IF(78=$HL43,IF($JD43=2,30,0),IF(78=$HM43,IF($JD43=1,30,0),ABS(6-$HF43)*100)),100000+ABS(4-$HE43)*1000+60)),IF($HG43=0,999999,IF(4=$HH43,IF(78=$HN43,IF($JE43=2,30,0),IF(78=$HO43,IF($JE43=1,30,0),ABS(6-$HI43)*100)),100000+ABS(4-$HH43)*1000+60)))-IF((78=$HJ43)+(78=$HK43)+(78=$HL43)+(78=$HM43)+(78=$HN43)+(78=$HO43)&gt;=2,50,0))+CC$5*50)</f>
        <v/>
      </c>
      <c r="CD163">
        <f>IF(OR($JF43=0,calcA!$A$6=0),0,IF(OR(79=$HA43,79=$HD43,79=$HG43),200000,MIN(IF($HA43=0,999999,IF(4=$HB43,IF(79=$HJ43,IF($JC43=2,30,0),IF(79=$HK43,IF($JC43=1,30,0),ABS(7-$HC43)*100)),100000+ABS(4-$HB43)*1000+70)),IF($HD43=0,999999,IF(4=$HE43,IF(79=$HL43,IF($JD43=2,30,0),IF(79=$HM43,IF($JD43=1,30,0),ABS(7-$HF43)*100)),100000+ABS(4-$HE43)*1000+70)),IF($HG43=0,999999,IF(4=$HH43,IF(79=$HN43,IF($JE43=2,30,0),IF(79=$HO43,IF($JE43=1,30,0),ABS(7-$HI43)*100)),100000+ABS(4-$HH43)*1000+70)))-IF((79=$HJ43)+(79=$HK43)+(79=$HL43)+(79=$HM43)+(79=$HN43)+(79=$HO43)&gt;=2,50,0))+CD$5*50)</f>
        <v/>
      </c>
      <c r="CE163">
        <f>IF(OR($JF43=0,calcA!$A$6=0),0,IF(OR(80=$HA43,80=$HD43,80=$HG43),200000,MIN(IF($HA43=0,999999,IF(4=$HB43,IF(80=$HJ43,IF($JC43=2,30,0),IF(80=$HK43,IF($JC43=1,30,0),ABS(8-$HC43)*100)),100000+ABS(4-$HB43)*1000+80)),IF($HD43=0,999999,IF(4=$HE43,IF(80=$HL43,IF($JD43=2,30,0),IF(80=$HM43,IF($JD43=1,30,0),ABS(8-$HF43)*100)),100000+ABS(4-$HE43)*1000+80)),IF($HG43=0,999999,IF(4=$HH43,IF(80=$HN43,IF($JE43=2,30,0),IF(80=$HO43,IF($JE43=1,30,0),ABS(8-$HI43)*100)),100000+ABS(4-$HH43)*1000+80)))-IF((80=$HJ43)+(80=$HK43)+(80=$HL43)+(80=$HM43)+(80=$HN43)+(80=$HO43)&gt;=2,50,0))+CE$5*50)</f>
        <v/>
      </c>
      <c r="CF163">
        <f>IF(OR($JF43=0,calcA!$A$6=0),0,IF(OR(81=$HA43,81=$HD43,81=$HG43),200000,MIN(IF($HA43=0,999999,IF(4=$HB43,IF(81=$HJ43,IF($JC43=2,30,0),IF(81=$HK43,IF($JC43=1,30,0),ABS(9-$HC43)*100)),100000+ABS(4-$HB43)*1000+90)),IF($HD43=0,999999,IF(4=$HE43,IF(81=$HL43,IF($JD43=2,30,0),IF(81=$HM43,IF($JD43=1,30,0),ABS(9-$HF43)*100)),100000+ABS(4-$HE43)*1000+90)),IF($HG43=0,999999,IF(4=$HH43,IF(81=$HN43,IF($JE43=2,30,0),IF(81=$HO43,IF($JE43=1,30,0),ABS(9-$HI43)*100)),100000+ABS(4-$HH43)*1000+90)))-IF((81=$HJ43)+(81=$HK43)+(81=$HL43)+(81=$HM43)+(81=$HN43)+(81=$HO43)&gt;=2,50,0))+CF$5*50)</f>
        <v/>
      </c>
      <c r="CG163">
        <f>IF(OR($JF43=0,calcA!$A$6=0),0,IF(OR(82=$HA43,82=$HD43,82=$HG43),200000,MIN(IF($HA43=0,999999,IF(4=$HB43,IF(82=$HJ43,IF($JC43=2,30,0),IF(82=$HK43,IF($JC43=1,30,0),ABS(10-$HC43)*100)),100000+ABS(4-$HB43)*1000+100)),IF($HD43=0,999999,IF(4=$HE43,IF(82=$HL43,IF($JD43=2,30,0),IF(82=$HM43,IF($JD43=1,30,0),ABS(10-$HF43)*100)),100000+ABS(4-$HE43)*1000+100)),IF($HG43=0,999999,IF(4=$HH43,IF(82=$HN43,IF($JE43=2,30,0),IF(82=$HO43,IF($JE43=1,30,0),ABS(10-$HI43)*100)),100000+ABS(4-$HH43)*1000+100)))-IF((82=$HJ43)+(82=$HK43)+(82=$HL43)+(82=$HM43)+(82=$HN43)+(82=$HO43)&gt;=2,50,0))+CG$5*50)</f>
        <v/>
      </c>
      <c r="CH163">
        <f>IF(OR($JF43=0,calcA!$A$6=0),0,IF(OR(83=$HA43,83=$HD43,83=$HG43),200000,MIN(IF($HA43=0,999999,IF(4=$HB43,IF(83=$HJ43,IF($JC43=2,30,0),IF(83=$HK43,IF($JC43=1,30,0),ABS(11-$HC43)*100)),100000+ABS(4-$HB43)*1000+110)),IF($HD43=0,999999,IF(4=$HE43,IF(83=$HL43,IF($JD43=2,30,0),IF(83=$HM43,IF($JD43=1,30,0),ABS(11-$HF43)*100)),100000+ABS(4-$HE43)*1000+110)),IF($HG43=0,999999,IF(4=$HH43,IF(83=$HN43,IF($JE43=2,30,0),IF(83=$HO43,IF($JE43=1,30,0),ABS(11-$HI43)*100)),100000+ABS(4-$HH43)*1000+110)))-IF((83=$HJ43)+(83=$HK43)+(83=$HL43)+(83=$HM43)+(83=$HN43)+(83=$HO43)&gt;=2,50,0))+CH$5*50)</f>
        <v/>
      </c>
      <c r="CI163">
        <f>IF(OR($JF43=0,calcA!$A$6=0),0,IF(OR(84=$HA43,84=$HD43,84=$HG43),200000,MIN(IF($HA43=0,999999,IF(4=$HB43,IF(84=$HJ43,IF($JC43=2,30,0),IF(84=$HK43,IF($JC43=1,30,0),ABS(12-$HC43)*100)),100000+ABS(4-$HB43)*1000+120)),IF($HD43=0,999999,IF(4=$HE43,IF(84=$HL43,IF($JD43=2,30,0),IF(84=$HM43,IF($JD43=1,30,0),ABS(12-$HF43)*100)),100000+ABS(4-$HE43)*1000+120)),IF($HG43=0,999999,IF(4=$HH43,IF(84=$HN43,IF($JE43=2,30,0),IF(84=$HO43,IF($JE43=1,30,0),ABS(12-$HI43)*100)),100000+ABS(4-$HH43)*1000+120)))-IF((84=$HJ43)+(84=$HK43)+(84=$HL43)+(84=$HM43)+(84=$HN43)+(84=$HO43)&gt;=2,50,0))+CI$5*50)</f>
        <v/>
      </c>
      <c r="CJ163">
        <f>IF(OR($JF43=0,calcA!$A$6=0),0,IF(OR(85=$HA43,85=$HD43,85=$HG43),200000,MIN(IF($HA43=0,999999,IF(4=$HB43,IF(85=$HJ43,IF($JC43=2,30,0),IF(85=$HK43,IF($JC43=1,30,0),ABS(13-$HC43)*100)),100000+ABS(4-$HB43)*1000+130)),IF($HD43=0,999999,IF(4=$HE43,IF(85=$HL43,IF($JD43=2,30,0),IF(85=$HM43,IF($JD43=1,30,0),ABS(13-$HF43)*100)),100000+ABS(4-$HE43)*1000+130)),IF($HG43=0,999999,IF(4=$HH43,IF(85=$HN43,IF($JE43=2,30,0),IF(85=$HO43,IF($JE43=1,30,0),ABS(13-$HI43)*100)),100000+ABS(4-$HH43)*1000+130)))-IF((85=$HJ43)+(85=$HK43)+(85=$HL43)+(85=$HM43)+(85=$HN43)+(85=$HO43)&gt;=2,50,0))+CJ$5*50)</f>
        <v/>
      </c>
      <c r="CK163">
        <f>IF(OR($JF43=0,calcA!$A$6=0),0,IF(OR(86=$HA43,86=$HD43,86=$HG43),200000,MIN(IF($HA43=0,999999,IF(4=$HB43,IF(86=$HJ43,IF($JC43=2,30,0),IF(86=$HK43,IF($JC43=1,30,0),ABS(14-$HC43)*100)),100000+ABS(4-$HB43)*1000+140)),IF($HD43=0,999999,IF(4=$HE43,IF(86=$HL43,IF($JD43=2,30,0),IF(86=$HM43,IF($JD43=1,30,0),ABS(14-$HF43)*100)),100000+ABS(4-$HE43)*1000+140)),IF($HG43=0,999999,IF(4=$HH43,IF(86=$HN43,IF($JE43=2,30,0),IF(86=$HO43,IF($JE43=1,30,0),ABS(14-$HI43)*100)),100000+ABS(4-$HH43)*1000+140)))-IF((86=$HJ43)+(86=$HK43)+(86=$HL43)+(86=$HM43)+(86=$HN43)+(86=$HO43)&gt;=2,50,0))+CK$5*50)</f>
        <v/>
      </c>
      <c r="CL163">
        <f>IF(OR($JF43=0,calcA!$A$6=0),0,IF(OR(87=$HA43,87=$HD43,87=$HG43),200000,MIN(IF($HA43=0,999999,IF(4=$HB43,IF(87=$HJ43,IF($JC43=2,30,0),IF(87=$HK43,IF($JC43=1,30,0),ABS(15-$HC43)*100)),100000+ABS(4-$HB43)*1000+150)),IF($HD43=0,999999,IF(4=$HE43,IF(87=$HL43,IF($JD43=2,30,0),IF(87=$HM43,IF($JD43=1,30,0),ABS(15-$HF43)*100)),100000+ABS(4-$HE43)*1000+150)),IF($HG43=0,999999,IF(4=$HH43,IF(87=$HN43,IF($JE43=2,30,0),IF(87=$HO43,IF($JE43=1,30,0),ABS(15-$HI43)*100)),100000+ABS(4-$HH43)*1000+150)))-IF((87=$HJ43)+(87=$HK43)+(87=$HL43)+(87=$HM43)+(87=$HN43)+(87=$HO43)&gt;=2,50,0))+CL$5*50)</f>
        <v/>
      </c>
      <c r="CM163">
        <f>IF(OR($JF43=0,calcA!$A$6=0),0,IF(OR(88=$HA43,88=$HD43,88=$HG43),200000,MIN(IF($HA43=0,999999,IF(4=$HB43,IF(88=$HJ43,IF($JC43=2,30,0),IF(88=$HK43,IF($JC43=1,30,0),ABS(16-$HC43)*100)),100000+ABS(4-$HB43)*1000+160)),IF($HD43=0,999999,IF(4=$HE43,IF(88=$HL43,IF($JD43=2,30,0),IF(88=$HM43,IF($JD43=1,30,0),ABS(16-$HF43)*100)),100000+ABS(4-$HE43)*1000+160)),IF($HG43=0,999999,IF(4=$HH43,IF(88=$HN43,IF($JE43=2,30,0),IF(88=$HO43,IF($JE43=1,30,0),ABS(16-$HI43)*100)),100000+ABS(4-$HH43)*1000+160)))-IF((88=$HJ43)+(88=$HK43)+(88=$HL43)+(88=$HM43)+(88=$HN43)+(88=$HO43)&gt;=2,50,0))+CM$5*50)</f>
        <v/>
      </c>
      <c r="CN163">
        <f>IF(OR($JF43=0,calcA!$A$6=0),0,IF(OR(89=$HA43,89=$HD43,89=$HG43),200000,MIN(IF($HA43=0,999999,IF(4=$HB43,IF(89=$HJ43,IF($JC43=2,30,0),IF(89=$HK43,IF($JC43=1,30,0),ABS(17-$HC43)*100)),100000+ABS(4-$HB43)*1000+170)),IF($HD43=0,999999,IF(4=$HE43,IF(89=$HL43,IF($JD43=2,30,0),IF(89=$HM43,IF($JD43=1,30,0),ABS(17-$HF43)*100)),100000+ABS(4-$HE43)*1000+170)),IF($HG43=0,999999,IF(4=$HH43,IF(89=$HN43,IF($JE43=2,30,0),IF(89=$HO43,IF($JE43=1,30,0),ABS(17-$HI43)*100)),100000+ABS(4-$HH43)*1000+170)))-IF((89=$HJ43)+(89=$HK43)+(89=$HL43)+(89=$HM43)+(89=$HN43)+(89=$HO43)&gt;=2,50,0))+CN$5*50)</f>
        <v/>
      </c>
      <c r="CO163">
        <f>IF(OR($JF43=0,calcA!$A$6=0),0,IF(OR(90=$HA43,90=$HD43,90=$HG43),200000,MIN(IF($HA43=0,999999,IF(4=$HB43,IF(90=$HJ43,IF($JC43=2,30,0),IF(90=$HK43,IF($JC43=1,30,0),ABS(18-$HC43)*100)),100000+ABS(4-$HB43)*1000+180)),IF($HD43=0,999999,IF(4=$HE43,IF(90=$HL43,IF($JD43=2,30,0),IF(90=$HM43,IF($JD43=1,30,0),ABS(18-$HF43)*100)),100000+ABS(4-$HE43)*1000+180)),IF($HG43=0,999999,IF(4=$HH43,IF(90=$HN43,IF($JE43=2,30,0),IF(90=$HO43,IF($JE43=1,30,0),ABS(18-$HI43)*100)),100000+ABS(4-$HH43)*1000+180)))-IF((90=$HJ43)+(90=$HK43)+(90=$HL43)+(90=$HM43)+(90=$HN43)+(90=$HO43)&gt;=2,50,0))+CO$5*50)</f>
        <v/>
      </c>
      <c r="CP163">
        <f>IF(OR($JF43=0,calcA!$A$6=0),0,IF(OR(91=$HA43,91=$HD43,91=$HG43),200000,MIN(IF($HA43=0,999999,IF(4=$HB43,IF(91=$HJ43,IF($JC43=2,30,0),IF(91=$HK43,IF($JC43=1,30,0),ABS(19-$HC43)*100)),100000+ABS(4-$HB43)*1000+190)),IF($HD43=0,999999,IF(4=$HE43,IF(91=$HL43,IF($JD43=2,30,0),IF(91=$HM43,IF($JD43=1,30,0),ABS(19-$HF43)*100)),100000+ABS(4-$HE43)*1000+190)),IF($HG43=0,999999,IF(4=$HH43,IF(91=$HN43,IF($JE43=2,30,0),IF(91=$HO43,IF($JE43=1,30,0),ABS(19-$HI43)*100)),100000+ABS(4-$HH43)*1000+190)))-IF((91=$HJ43)+(91=$HK43)+(91=$HL43)+(91=$HM43)+(91=$HN43)+(91=$HO43)&gt;=2,50,0))+CP$5*50)</f>
        <v/>
      </c>
      <c r="CQ163">
        <f>IF(OR($JF43=0,calcA!$A$6=0),0,IF(OR(92=$HA43,92=$HD43,92=$HG43),200000,MIN(IF($HA43=0,999999,IF(4=$HB43,IF(92=$HJ43,IF($JC43=2,30,0),IF(92=$HK43,IF($JC43=1,30,0),ABS(20-$HC43)*100)),100000+ABS(4-$HB43)*1000+200)),IF($HD43=0,999999,IF(4=$HE43,IF(92=$HL43,IF($JD43=2,30,0),IF(92=$HM43,IF($JD43=1,30,0),ABS(20-$HF43)*100)),100000+ABS(4-$HE43)*1000+200)),IF($HG43=0,999999,IF(4=$HH43,IF(92=$HN43,IF($JE43=2,30,0),IF(92=$HO43,IF($JE43=1,30,0),ABS(20-$HI43)*100)),100000+ABS(4-$HH43)*1000+200)))-IF((92=$HJ43)+(92=$HK43)+(92=$HL43)+(92=$HM43)+(92=$HN43)+(92=$HO43)&gt;=2,50,0))+CQ$5*50)</f>
        <v/>
      </c>
      <c r="CR163">
        <f>IF(OR($JF43=0,calcA!$A$6=0),0,IF(OR(93=$HA43,93=$HD43,93=$HG43),200000,MIN(IF($HA43=0,999999,IF(4=$HB43,IF(93=$HJ43,IF($JC43=2,30,0),IF(93=$HK43,IF($JC43=1,30,0),ABS(21-$HC43)*100)),100000+ABS(4-$HB43)*1000+210)),IF($HD43=0,999999,IF(4=$HE43,IF(93=$HL43,IF($JD43=2,30,0),IF(93=$HM43,IF($JD43=1,30,0),ABS(21-$HF43)*100)),100000+ABS(4-$HE43)*1000+210)),IF($HG43=0,999999,IF(4=$HH43,IF(93=$HN43,IF($JE43=2,30,0),IF(93=$HO43,IF($JE43=1,30,0),ABS(21-$HI43)*100)),100000+ABS(4-$HH43)*1000+210)))-IF((93=$HJ43)+(93=$HK43)+(93=$HL43)+(93=$HM43)+(93=$HN43)+(93=$HO43)&gt;=2,50,0))+CR$5*50)</f>
        <v/>
      </c>
      <c r="CS163">
        <f>IF(OR($JF43=0,calcA!$A$6=0),0,IF(OR(94=$HA43,94=$HD43,94=$HG43),200000,MIN(IF($HA43=0,999999,IF(4=$HB43,IF(94=$HJ43,IF($JC43=2,30,0),IF(94=$HK43,IF($JC43=1,30,0),ABS(22-$HC43)*100)),100000+ABS(4-$HB43)*1000+220)),IF($HD43=0,999999,IF(4=$HE43,IF(94=$HL43,IF($JD43=2,30,0),IF(94=$HM43,IF($JD43=1,30,0),ABS(22-$HF43)*100)),100000+ABS(4-$HE43)*1000+220)),IF($HG43=0,999999,IF(4=$HH43,IF(94=$HN43,IF($JE43=2,30,0),IF(94=$HO43,IF($JE43=1,30,0),ABS(22-$HI43)*100)),100000+ABS(4-$HH43)*1000+220)))-IF((94=$HJ43)+(94=$HK43)+(94=$HL43)+(94=$HM43)+(94=$HN43)+(94=$HO43)&gt;=2,50,0))+CS$5*50)</f>
        <v/>
      </c>
      <c r="CT163">
        <f>IF(OR($JF43=0,calcA!$A$6=0),0,IF(OR(95=$HA43,95=$HD43,95=$HG43),200000,MIN(IF($HA43=0,999999,IF(4=$HB43,IF(95=$HJ43,IF($JC43=2,30,0),IF(95=$HK43,IF($JC43=1,30,0),ABS(23-$HC43)*100)),100000+ABS(4-$HB43)*1000+230)),IF($HD43=0,999999,IF(4=$HE43,IF(95=$HL43,IF($JD43=2,30,0),IF(95=$HM43,IF($JD43=1,30,0),ABS(23-$HF43)*100)),100000+ABS(4-$HE43)*1000+230)),IF($HG43=0,999999,IF(4=$HH43,IF(95=$HN43,IF($JE43=2,30,0),IF(95=$HO43,IF($JE43=1,30,0),ABS(23-$HI43)*100)),100000+ABS(4-$HH43)*1000+230)))-IF((95=$HJ43)+(95=$HK43)+(95=$HL43)+(95=$HM43)+(95=$HN43)+(95=$HO43)&gt;=2,50,0))+CT$5*50)</f>
        <v/>
      </c>
      <c r="CU163">
        <f>IF(OR($JF43=0,calcA!$A$6=0),0,IF(OR(96=$HA43,96=$HD43,96=$HG43),200000,MIN(IF($HA43=0,999999,IF(4=$HB43,IF(96=$HJ43,IF($JC43=2,30,0),IF(96=$HK43,IF($JC43=1,30,0),ABS(24-$HC43)*100)),100000+ABS(4-$HB43)*1000+240)),IF($HD43=0,999999,IF(4=$HE43,IF(96=$HL43,IF($JD43=2,30,0),IF(96=$HM43,IF($JD43=1,30,0),ABS(24-$HF43)*100)),100000+ABS(4-$HE43)*1000+240)),IF($HG43=0,999999,IF(4=$HH43,IF(96=$HN43,IF($JE43=2,30,0),IF(96=$HO43,IF($JE43=1,30,0),ABS(24-$HI43)*100)),100000+ABS(4-$HH43)*1000+240)))-IF((96=$HJ43)+(96=$HK43)+(96=$HL43)+(96=$HM43)+(96=$HN43)+(96=$HO43)&gt;=2,50,0))+CU$5*50)</f>
        <v/>
      </c>
      <c r="CV163">
        <f>IF(OR($JF43=0,calcA!$A$6=0),0,IF(OR(97=$HA43,97=$HD43,97=$HG43),200000,MIN(IF($HA43=0,999999,IF(5=$HB43,IF(97=$HJ43,IF($JC43=2,30,0),IF(97=$HK43,IF($JC43=1,30,0),ABS(1-$HC43)*100)),100000+ABS(5-$HB43)*1000+10)),IF($HD43=0,999999,IF(5=$HE43,IF(97=$HL43,IF($JD43=2,30,0),IF(97=$HM43,IF($JD43=1,30,0),ABS(1-$HF43)*100)),100000+ABS(5-$HE43)*1000+10)),IF($HG43=0,999999,IF(5=$HH43,IF(97=$HN43,IF($JE43=2,30,0),IF(97=$HO43,IF($JE43=1,30,0),ABS(1-$HI43)*100)),100000+ABS(5-$HH43)*1000+10)))-IF((97=$HJ43)+(97=$HK43)+(97=$HL43)+(97=$HM43)+(97=$HN43)+(97=$HO43)&gt;=2,50,0))+CV$5*50)</f>
        <v/>
      </c>
      <c r="CW163">
        <f>IF(OR($JF43=0,calcA!$A$6=0),0,IF(OR(98=$HA43,98=$HD43,98=$HG43),200000,MIN(IF($HA43=0,999999,IF(5=$HB43,IF(98=$HJ43,IF($JC43=2,30,0),IF(98=$HK43,IF($JC43=1,30,0),ABS(2-$HC43)*100)),100000+ABS(5-$HB43)*1000+20)),IF($HD43=0,999999,IF(5=$HE43,IF(98=$HL43,IF($JD43=2,30,0),IF(98=$HM43,IF($JD43=1,30,0),ABS(2-$HF43)*100)),100000+ABS(5-$HE43)*1000+20)),IF($HG43=0,999999,IF(5=$HH43,IF(98=$HN43,IF($JE43=2,30,0),IF(98=$HO43,IF($JE43=1,30,0),ABS(2-$HI43)*100)),100000+ABS(5-$HH43)*1000+20)))-IF((98=$HJ43)+(98=$HK43)+(98=$HL43)+(98=$HM43)+(98=$HN43)+(98=$HO43)&gt;=2,50,0))+CW$5*50)</f>
        <v/>
      </c>
      <c r="CX163">
        <f>IF(OR($JF43=0,calcA!$A$6=0),0,IF(OR(99=$HA43,99=$HD43,99=$HG43),200000,MIN(IF($HA43=0,999999,IF(5=$HB43,IF(99=$HJ43,IF($JC43=2,30,0),IF(99=$HK43,IF($JC43=1,30,0),ABS(3-$HC43)*100)),100000+ABS(5-$HB43)*1000+30)),IF($HD43=0,999999,IF(5=$HE43,IF(99=$HL43,IF($JD43=2,30,0),IF(99=$HM43,IF($JD43=1,30,0),ABS(3-$HF43)*100)),100000+ABS(5-$HE43)*1000+30)),IF($HG43=0,999999,IF(5=$HH43,IF(99=$HN43,IF($JE43=2,30,0),IF(99=$HO43,IF($JE43=1,30,0),ABS(3-$HI43)*100)),100000+ABS(5-$HH43)*1000+30)))-IF((99=$HJ43)+(99=$HK43)+(99=$HL43)+(99=$HM43)+(99=$HN43)+(99=$HO43)&gt;=2,50,0))+CX$5*50)</f>
        <v/>
      </c>
      <c r="CY163">
        <f>IF(OR($JF43=0,calcA!$A$6=0),0,IF(OR(100=$HA43,100=$HD43,100=$HG43),200000,MIN(IF($HA43=0,999999,IF(5=$HB43,IF(100=$HJ43,IF($JC43=2,30,0),IF(100=$HK43,IF($JC43=1,30,0),ABS(4-$HC43)*100)),100000+ABS(5-$HB43)*1000+40)),IF($HD43=0,999999,IF(5=$HE43,IF(100=$HL43,IF($JD43=2,30,0),IF(100=$HM43,IF($JD43=1,30,0),ABS(4-$HF43)*100)),100000+ABS(5-$HE43)*1000+40)),IF($HG43=0,999999,IF(5=$HH43,IF(100=$HN43,IF($JE43=2,30,0),IF(100=$HO43,IF($JE43=1,30,0),ABS(4-$HI43)*100)),100000+ABS(5-$HH43)*1000+40)))-IF((100=$HJ43)+(100=$HK43)+(100=$HL43)+(100=$HM43)+(100=$HN43)+(100=$HO43)&gt;=2,50,0))+CY$5*50)</f>
        <v/>
      </c>
      <c r="CZ163">
        <f>IF(OR($JF43=0,calcA!$A$6=0),0,IF(OR(101=$HA43,101=$HD43,101=$HG43),200000,MIN(IF($HA43=0,999999,IF(5=$HB43,IF(101=$HJ43,IF($JC43=2,30,0),IF(101=$HK43,IF($JC43=1,30,0),ABS(5-$HC43)*100)),100000+ABS(5-$HB43)*1000+50)),IF($HD43=0,999999,IF(5=$HE43,IF(101=$HL43,IF($JD43=2,30,0),IF(101=$HM43,IF($JD43=1,30,0),ABS(5-$HF43)*100)),100000+ABS(5-$HE43)*1000+50)),IF($HG43=0,999999,IF(5=$HH43,IF(101=$HN43,IF($JE43=2,30,0),IF(101=$HO43,IF($JE43=1,30,0),ABS(5-$HI43)*100)),100000+ABS(5-$HH43)*1000+50)))-IF((101=$HJ43)+(101=$HK43)+(101=$HL43)+(101=$HM43)+(101=$HN43)+(101=$HO43)&gt;=2,50,0))+CZ$5*50)</f>
        <v/>
      </c>
      <c r="DA163">
        <f>IF(OR($JF43=0,calcA!$A$6=0),0,IF(OR(102=$HA43,102=$HD43,102=$HG43),200000,MIN(IF($HA43=0,999999,IF(5=$HB43,IF(102=$HJ43,IF($JC43=2,30,0),IF(102=$HK43,IF($JC43=1,30,0),ABS(6-$HC43)*100)),100000+ABS(5-$HB43)*1000+60)),IF($HD43=0,999999,IF(5=$HE43,IF(102=$HL43,IF($JD43=2,30,0),IF(102=$HM43,IF($JD43=1,30,0),ABS(6-$HF43)*100)),100000+ABS(5-$HE43)*1000+60)),IF($HG43=0,999999,IF(5=$HH43,IF(102=$HN43,IF($JE43=2,30,0),IF(102=$HO43,IF($JE43=1,30,0),ABS(6-$HI43)*100)),100000+ABS(5-$HH43)*1000+60)))-IF((102=$HJ43)+(102=$HK43)+(102=$HL43)+(102=$HM43)+(102=$HN43)+(102=$HO43)&gt;=2,50,0))+DA$5*50)</f>
        <v/>
      </c>
      <c r="DB163">
        <f>IF(OR($JF43=0,calcA!$A$6=0),0,IF(OR(103=$HA43,103=$HD43,103=$HG43),200000,MIN(IF($HA43=0,999999,IF(5=$HB43,IF(103=$HJ43,IF($JC43=2,30,0),IF(103=$HK43,IF($JC43=1,30,0),ABS(7-$HC43)*100)),100000+ABS(5-$HB43)*1000+70)),IF($HD43=0,999999,IF(5=$HE43,IF(103=$HL43,IF($JD43=2,30,0),IF(103=$HM43,IF($JD43=1,30,0),ABS(7-$HF43)*100)),100000+ABS(5-$HE43)*1000+70)),IF($HG43=0,999999,IF(5=$HH43,IF(103=$HN43,IF($JE43=2,30,0),IF(103=$HO43,IF($JE43=1,30,0),ABS(7-$HI43)*100)),100000+ABS(5-$HH43)*1000+70)))-IF((103=$HJ43)+(103=$HK43)+(103=$HL43)+(103=$HM43)+(103=$HN43)+(103=$HO43)&gt;=2,50,0))+DB$5*50)</f>
        <v/>
      </c>
      <c r="DC163">
        <f>IF(OR($JF43=0,calcA!$A$6=0),0,IF(OR(104=$HA43,104=$HD43,104=$HG43),200000,MIN(IF($HA43=0,999999,IF(5=$HB43,IF(104=$HJ43,IF($JC43=2,30,0),IF(104=$HK43,IF($JC43=1,30,0),ABS(8-$HC43)*100)),100000+ABS(5-$HB43)*1000+80)),IF($HD43=0,999999,IF(5=$HE43,IF(104=$HL43,IF($JD43=2,30,0),IF(104=$HM43,IF($JD43=1,30,0),ABS(8-$HF43)*100)),100000+ABS(5-$HE43)*1000+80)),IF($HG43=0,999999,IF(5=$HH43,IF(104=$HN43,IF($JE43=2,30,0),IF(104=$HO43,IF($JE43=1,30,0),ABS(8-$HI43)*100)),100000+ABS(5-$HH43)*1000+80)))-IF((104=$HJ43)+(104=$HK43)+(104=$HL43)+(104=$HM43)+(104=$HN43)+(104=$HO43)&gt;=2,50,0))+DC$5*50)</f>
        <v/>
      </c>
      <c r="DD163">
        <f>IF(OR($JF43=0,calcA!$A$6=0),0,IF(OR(105=$HA43,105=$HD43,105=$HG43),200000,MIN(IF($HA43=0,999999,IF(5=$HB43,IF(105=$HJ43,IF($JC43=2,30,0),IF(105=$HK43,IF($JC43=1,30,0),ABS(9-$HC43)*100)),100000+ABS(5-$HB43)*1000+90)),IF($HD43=0,999999,IF(5=$HE43,IF(105=$HL43,IF($JD43=2,30,0),IF(105=$HM43,IF($JD43=1,30,0),ABS(9-$HF43)*100)),100000+ABS(5-$HE43)*1000+90)),IF($HG43=0,999999,IF(5=$HH43,IF(105=$HN43,IF($JE43=2,30,0),IF(105=$HO43,IF($JE43=1,30,0),ABS(9-$HI43)*100)),100000+ABS(5-$HH43)*1000+90)))-IF((105=$HJ43)+(105=$HK43)+(105=$HL43)+(105=$HM43)+(105=$HN43)+(105=$HO43)&gt;=2,50,0))+DD$5*50)</f>
        <v/>
      </c>
      <c r="DE163">
        <f>IF(OR($JF43=0,calcA!$A$6=0),0,IF(OR(106=$HA43,106=$HD43,106=$HG43),200000,MIN(IF($HA43=0,999999,IF(5=$HB43,IF(106=$HJ43,IF($JC43=2,30,0),IF(106=$HK43,IF($JC43=1,30,0),ABS(10-$HC43)*100)),100000+ABS(5-$HB43)*1000+100)),IF($HD43=0,999999,IF(5=$HE43,IF(106=$HL43,IF($JD43=2,30,0),IF(106=$HM43,IF($JD43=1,30,0),ABS(10-$HF43)*100)),100000+ABS(5-$HE43)*1000+100)),IF($HG43=0,999999,IF(5=$HH43,IF(106=$HN43,IF($JE43=2,30,0),IF(106=$HO43,IF($JE43=1,30,0),ABS(10-$HI43)*100)),100000+ABS(5-$HH43)*1000+100)))-IF((106=$HJ43)+(106=$HK43)+(106=$HL43)+(106=$HM43)+(106=$HN43)+(106=$HO43)&gt;=2,50,0))+DE$5*50)</f>
        <v/>
      </c>
      <c r="DF163">
        <f>IF(OR($JF43=0,calcA!$A$6=0),0,IF(OR(107=$HA43,107=$HD43,107=$HG43),200000,MIN(IF($HA43=0,999999,IF(5=$HB43,IF(107=$HJ43,IF($JC43=2,30,0),IF(107=$HK43,IF($JC43=1,30,0),ABS(11-$HC43)*100)),100000+ABS(5-$HB43)*1000+110)),IF($HD43=0,999999,IF(5=$HE43,IF(107=$HL43,IF($JD43=2,30,0),IF(107=$HM43,IF($JD43=1,30,0),ABS(11-$HF43)*100)),100000+ABS(5-$HE43)*1000+110)),IF($HG43=0,999999,IF(5=$HH43,IF(107=$HN43,IF($JE43=2,30,0),IF(107=$HO43,IF($JE43=1,30,0),ABS(11-$HI43)*100)),100000+ABS(5-$HH43)*1000+110)))-IF((107=$HJ43)+(107=$HK43)+(107=$HL43)+(107=$HM43)+(107=$HN43)+(107=$HO43)&gt;=2,50,0))+DF$5*50)</f>
        <v/>
      </c>
      <c r="DG163">
        <f>IF(OR($JF43=0,calcA!$A$6=0),0,IF(OR(108=$HA43,108=$HD43,108=$HG43),200000,MIN(IF($HA43=0,999999,IF(5=$HB43,IF(108=$HJ43,IF($JC43=2,30,0),IF(108=$HK43,IF($JC43=1,30,0),ABS(12-$HC43)*100)),100000+ABS(5-$HB43)*1000+120)),IF($HD43=0,999999,IF(5=$HE43,IF(108=$HL43,IF($JD43=2,30,0),IF(108=$HM43,IF($JD43=1,30,0),ABS(12-$HF43)*100)),100000+ABS(5-$HE43)*1000+120)),IF($HG43=0,999999,IF(5=$HH43,IF(108=$HN43,IF($JE43=2,30,0),IF(108=$HO43,IF($JE43=1,30,0),ABS(12-$HI43)*100)),100000+ABS(5-$HH43)*1000+120)))-IF((108=$HJ43)+(108=$HK43)+(108=$HL43)+(108=$HM43)+(108=$HN43)+(108=$HO43)&gt;=2,50,0))+DG$5*50)</f>
        <v/>
      </c>
      <c r="DH163">
        <f>IF(OR($JF43=0,calcA!$A$6=0),0,IF(OR(109=$HA43,109=$HD43,109=$HG43),200000,MIN(IF($HA43=0,999999,IF(5=$HB43,IF(109=$HJ43,IF($JC43=2,30,0),IF(109=$HK43,IF($JC43=1,30,0),ABS(13-$HC43)*100)),100000+ABS(5-$HB43)*1000+130)),IF($HD43=0,999999,IF(5=$HE43,IF(109=$HL43,IF($JD43=2,30,0),IF(109=$HM43,IF($JD43=1,30,0),ABS(13-$HF43)*100)),100000+ABS(5-$HE43)*1000+130)),IF($HG43=0,999999,IF(5=$HH43,IF(109=$HN43,IF($JE43=2,30,0),IF(109=$HO43,IF($JE43=1,30,0),ABS(13-$HI43)*100)),100000+ABS(5-$HH43)*1000+130)))-IF((109=$HJ43)+(109=$HK43)+(109=$HL43)+(109=$HM43)+(109=$HN43)+(109=$HO43)&gt;=2,50,0))+DH$5*50)</f>
        <v/>
      </c>
      <c r="DI163">
        <f>IF(OR($JF43=0,calcA!$A$6=0),0,IF(OR(110=$HA43,110=$HD43,110=$HG43),200000,MIN(IF($HA43=0,999999,IF(5=$HB43,IF(110=$HJ43,IF($JC43=2,30,0),IF(110=$HK43,IF($JC43=1,30,0),ABS(14-$HC43)*100)),100000+ABS(5-$HB43)*1000+140)),IF($HD43=0,999999,IF(5=$HE43,IF(110=$HL43,IF($JD43=2,30,0),IF(110=$HM43,IF($JD43=1,30,0),ABS(14-$HF43)*100)),100000+ABS(5-$HE43)*1000+140)),IF($HG43=0,999999,IF(5=$HH43,IF(110=$HN43,IF($JE43=2,30,0),IF(110=$HO43,IF($JE43=1,30,0),ABS(14-$HI43)*100)),100000+ABS(5-$HH43)*1000+140)))-IF((110=$HJ43)+(110=$HK43)+(110=$HL43)+(110=$HM43)+(110=$HN43)+(110=$HO43)&gt;=2,50,0))+DI$5*50)</f>
        <v/>
      </c>
      <c r="DJ163">
        <f>IF(OR($JF43=0,calcA!$A$6=0),0,IF(OR(111=$HA43,111=$HD43,111=$HG43),200000,MIN(IF($HA43=0,999999,IF(5=$HB43,IF(111=$HJ43,IF($JC43=2,30,0),IF(111=$HK43,IF($JC43=1,30,0),ABS(15-$HC43)*100)),100000+ABS(5-$HB43)*1000+150)),IF($HD43=0,999999,IF(5=$HE43,IF(111=$HL43,IF($JD43=2,30,0),IF(111=$HM43,IF($JD43=1,30,0),ABS(15-$HF43)*100)),100000+ABS(5-$HE43)*1000+150)),IF($HG43=0,999999,IF(5=$HH43,IF(111=$HN43,IF($JE43=2,30,0),IF(111=$HO43,IF($JE43=1,30,0),ABS(15-$HI43)*100)),100000+ABS(5-$HH43)*1000+150)))-IF((111=$HJ43)+(111=$HK43)+(111=$HL43)+(111=$HM43)+(111=$HN43)+(111=$HO43)&gt;=2,50,0))+DJ$5*50)</f>
        <v/>
      </c>
      <c r="DK163">
        <f>IF(OR($JF43=0,calcA!$A$6=0),0,IF(OR(112=$HA43,112=$HD43,112=$HG43),200000,MIN(IF($HA43=0,999999,IF(5=$HB43,IF(112=$HJ43,IF($JC43=2,30,0),IF(112=$HK43,IF($JC43=1,30,0),ABS(16-$HC43)*100)),100000+ABS(5-$HB43)*1000+160)),IF($HD43=0,999999,IF(5=$HE43,IF(112=$HL43,IF($JD43=2,30,0),IF(112=$HM43,IF($JD43=1,30,0),ABS(16-$HF43)*100)),100000+ABS(5-$HE43)*1000+160)),IF($HG43=0,999999,IF(5=$HH43,IF(112=$HN43,IF($JE43=2,30,0),IF(112=$HO43,IF($JE43=1,30,0),ABS(16-$HI43)*100)),100000+ABS(5-$HH43)*1000+160)))-IF((112=$HJ43)+(112=$HK43)+(112=$HL43)+(112=$HM43)+(112=$HN43)+(112=$HO43)&gt;=2,50,0))+DK$5*50)</f>
        <v/>
      </c>
      <c r="DL163">
        <f>IF(OR($JF43=0,calcA!$A$6=0),0,IF(OR(113=$HA43,113=$HD43,113=$HG43),200000,MIN(IF($HA43=0,999999,IF(5=$HB43,IF(113=$HJ43,IF($JC43=2,30,0),IF(113=$HK43,IF($JC43=1,30,0),ABS(17-$HC43)*100)),100000+ABS(5-$HB43)*1000+170)),IF($HD43=0,999999,IF(5=$HE43,IF(113=$HL43,IF($JD43=2,30,0),IF(113=$HM43,IF($JD43=1,30,0),ABS(17-$HF43)*100)),100000+ABS(5-$HE43)*1000+170)),IF($HG43=0,999999,IF(5=$HH43,IF(113=$HN43,IF($JE43=2,30,0),IF(113=$HO43,IF($JE43=1,30,0),ABS(17-$HI43)*100)),100000+ABS(5-$HH43)*1000+170)))-IF((113=$HJ43)+(113=$HK43)+(113=$HL43)+(113=$HM43)+(113=$HN43)+(113=$HO43)&gt;=2,50,0))+DL$5*50)</f>
        <v/>
      </c>
      <c r="DM163">
        <f>IF(OR($JF43=0,calcA!$A$6=0),0,IF(OR(114=$HA43,114=$HD43,114=$HG43),200000,MIN(IF($HA43=0,999999,IF(5=$HB43,IF(114=$HJ43,IF($JC43=2,30,0),IF(114=$HK43,IF($JC43=1,30,0),ABS(18-$HC43)*100)),100000+ABS(5-$HB43)*1000+180)),IF($HD43=0,999999,IF(5=$HE43,IF(114=$HL43,IF($JD43=2,30,0),IF(114=$HM43,IF($JD43=1,30,0),ABS(18-$HF43)*100)),100000+ABS(5-$HE43)*1000+180)),IF($HG43=0,999999,IF(5=$HH43,IF(114=$HN43,IF($JE43=2,30,0),IF(114=$HO43,IF($JE43=1,30,0),ABS(18-$HI43)*100)),100000+ABS(5-$HH43)*1000+180)))-IF((114=$HJ43)+(114=$HK43)+(114=$HL43)+(114=$HM43)+(114=$HN43)+(114=$HO43)&gt;=2,50,0))+DM$5*50)</f>
        <v/>
      </c>
      <c r="DN163">
        <f>IF(OR($JF43=0,calcA!$A$6=0),0,IF(OR(115=$HA43,115=$HD43,115=$HG43),200000,MIN(IF($HA43=0,999999,IF(5=$HB43,IF(115=$HJ43,IF($JC43=2,30,0),IF(115=$HK43,IF($JC43=1,30,0),ABS(19-$HC43)*100)),100000+ABS(5-$HB43)*1000+190)),IF($HD43=0,999999,IF(5=$HE43,IF(115=$HL43,IF($JD43=2,30,0),IF(115=$HM43,IF($JD43=1,30,0),ABS(19-$HF43)*100)),100000+ABS(5-$HE43)*1000+190)),IF($HG43=0,999999,IF(5=$HH43,IF(115=$HN43,IF($JE43=2,30,0),IF(115=$HO43,IF($JE43=1,30,0),ABS(19-$HI43)*100)),100000+ABS(5-$HH43)*1000+190)))-IF((115=$HJ43)+(115=$HK43)+(115=$HL43)+(115=$HM43)+(115=$HN43)+(115=$HO43)&gt;=2,50,0))+DN$5*50)</f>
        <v/>
      </c>
      <c r="DO163">
        <f>IF(OR($JF43=0,calcA!$A$6=0),0,IF(OR(116=$HA43,116=$HD43,116=$HG43),200000,MIN(IF($HA43=0,999999,IF(5=$HB43,IF(116=$HJ43,IF($JC43=2,30,0),IF(116=$HK43,IF($JC43=1,30,0),ABS(20-$HC43)*100)),100000+ABS(5-$HB43)*1000+200)),IF($HD43=0,999999,IF(5=$HE43,IF(116=$HL43,IF($JD43=2,30,0),IF(116=$HM43,IF($JD43=1,30,0),ABS(20-$HF43)*100)),100000+ABS(5-$HE43)*1000+200)),IF($HG43=0,999999,IF(5=$HH43,IF(116=$HN43,IF($JE43=2,30,0),IF(116=$HO43,IF($JE43=1,30,0),ABS(20-$HI43)*100)),100000+ABS(5-$HH43)*1000+200)))-IF((116=$HJ43)+(116=$HK43)+(116=$HL43)+(116=$HM43)+(116=$HN43)+(116=$HO43)&gt;=2,50,0))+DO$5*50)</f>
        <v/>
      </c>
      <c r="DP163">
        <f>IF(OR($JF43=0,calcA!$A$6=0),0,IF(OR(117=$HA43,117=$HD43,117=$HG43),200000,MIN(IF($HA43=0,999999,IF(5=$HB43,IF(117=$HJ43,IF($JC43=2,30,0),IF(117=$HK43,IF($JC43=1,30,0),ABS(21-$HC43)*100)),100000+ABS(5-$HB43)*1000+210)),IF($HD43=0,999999,IF(5=$HE43,IF(117=$HL43,IF($JD43=2,30,0),IF(117=$HM43,IF($JD43=1,30,0),ABS(21-$HF43)*100)),100000+ABS(5-$HE43)*1000+210)),IF($HG43=0,999999,IF(5=$HH43,IF(117=$HN43,IF($JE43=2,30,0),IF(117=$HO43,IF($JE43=1,30,0),ABS(21-$HI43)*100)),100000+ABS(5-$HH43)*1000+210)))-IF((117=$HJ43)+(117=$HK43)+(117=$HL43)+(117=$HM43)+(117=$HN43)+(117=$HO43)&gt;=2,50,0))+DP$5*50)</f>
        <v/>
      </c>
      <c r="DQ163">
        <f>IF(OR($JF43=0,calcA!$A$6=0),0,IF(OR(118=$HA43,118=$HD43,118=$HG43),200000,MIN(IF($HA43=0,999999,IF(5=$HB43,IF(118=$HJ43,IF($JC43=2,30,0),IF(118=$HK43,IF($JC43=1,30,0),ABS(22-$HC43)*100)),100000+ABS(5-$HB43)*1000+220)),IF($HD43=0,999999,IF(5=$HE43,IF(118=$HL43,IF($JD43=2,30,0),IF(118=$HM43,IF($JD43=1,30,0),ABS(22-$HF43)*100)),100000+ABS(5-$HE43)*1000+220)),IF($HG43=0,999999,IF(5=$HH43,IF(118=$HN43,IF($JE43=2,30,0),IF(118=$HO43,IF($JE43=1,30,0),ABS(22-$HI43)*100)),100000+ABS(5-$HH43)*1000+220)))-IF((118=$HJ43)+(118=$HK43)+(118=$HL43)+(118=$HM43)+(118=$HN43)+(118=$HO43)&gt;=2,50,0))+DQ$5*50)</f>
        <v/>
      </c>
      <c r="DR163">
        <f>IF(OR($JF43=0,calcA!$A$6=0),0,IF(OR(119=$HA43,119=$HD43,119=$HG43),200000,MIN(IF($HA43=0,999999,IF(5=$HB43,IF(119=$HJ43,IF($JC43=2,30,0),IF(119=$HK43,IF($JC43=1,30,0),ABS(23-$HC43)*100)),100000+ABS(5-$HB43)*1000+230)),IF($HD43=0,999999,IF(5=$HE43,IF(119=$HL43,IF($JD43=2,30,0),IF(119=$HM43,IF($JD43=1,30,0),ABS(23-$HF43)*100)),100000+ABS(5-$HE43)*1000+230)),IF($HG43=0,999999,IF(5=$HH43,IF(119=$HN43,IF($JE43=2,30,0),IF(119=$HO43,IF($JE43=1,30,0),ABS(23-$HI43)*100)),100000+ABS(5-$HH43)*1000+230)))-IF((119=$HJ43)+(119=$HK43)+(119=$HL43)+(119=$HM43)+(119=$HN43)+(119=$HO43)&gt;=2,50,0))+DR$5*50)</f>
        <v/>
      </c>
      <c r="DS163">
        <f>IF(OR($JF43=0,calcA!$A$6=0),0,IF(OR(120=$HA43,120=$HD43,120=$HG43),200000,MIN(IF($HA43=0,999999,IF(5=$HB43,IF(120=$HJ43,IF($JC43=2,30,0),IF(120=$HK43,IF($JC43=1,30,0),ABS(24-$HC43)*100)),100000+ABS(5-$HB43)*1000+240)),IF($HD43=0,999999,IF(5=$HE43,IF(120=$HL43,IF($JD43=2,30,0),IF(120=$HM43,IF($JD43=1,30,0),ABS(24-$HF43)*100)),100000+ABS(5-$HE43)*1000+240)),IF($HG43=0,999999,IF(5=$HH43,IF(120=$HN43,IF($JE43=2,30,0),IF(120=$HO43,IF($JE43=1,30,0),ABS(24-$HI43)*100)),100000+ABS(5-$HH43)*1000+240)))-IF((120=$HJ43)+(120=$HK43)+(120=$HL43)+(120=$HM43)+(120=$HN43)+(120=$HO43)&gt;=2,50,0))+DS$5*50)</f>
        <v/>
      </c>
      <c r="DT163">
        <f>IF(OR($JF43=0,calcA!$A$6=0),0,IF(OR(121=$HA43,121=$HD43,121=$HG43),200000,MIN(IF($HA43=0,999999,IF(6=$HB43,IF(121=$HJ43,IF($JC43=2,30,0),IF(121=$HK43,IF($JC43=1,30,0),ABS(1-$HC43)*100)),100000+ABS(6-$HB43)*1000+10)),IF($HD43=0,999999,IF(6=$HE43,IF(121=$HL43,IF($JD43=2,30,0),IF(121=$HM43,IF($JD43=1,30,0),ABS(1-$HF43)*100)),100000+ABS(6-$HE43)*1000+10)),IF($HG43=0,999999,IF(6=$HH43,IF(121=$HN43,IF($JE43=2,30,0),IF(121=$HO43,IF($JE43=1,30,0),ABS(1-$HI43)*100)),100000+ABS(6-$HH43)*1000+10)))-IF((121=$HJ43)+(121=$HK43)+(121=$HL43)+(121=$HM43)+(121=$HN43)+(121=$HO43)&gt;=2,50,0))+DT$5*50)</f>
        <v/>
      </c>
      <c r="DU163">
        <f>IF(OR($JF43=0,calcA!$A$6=0),0,IF(OR(122=$HA43,122=$HD43,122=$HG43),200000,MIN(IF($HA43=0,999999,IF(6=$HB43,IF(122=$HJ43,IF($JC43=2,30,0),IF(122=$HK43,IF($JC43=1,30,0),ABS(2-$HC43)*100)),100000+ABS(6-$HB43)*1000+20)),IF($HD43=0,999999,IF(6=$HE43,IF(122=$HL43,IF($JD43=2,30,0),IF(122=$HM43,IF($JD43=1,30,0),ABS(2-$HF43)*100)),100000+ABS(6-$HE43)*1000+20)),IF($HG43=0,999999,IF(6=$HH43,IF(122=$HN43,IF($JE43=2,30,0),IF(122=$HO43,IF($JE43=1,30,0),ABS(2-$HI43)*100)),100000+ABS(6-$HH43)*1000+20)))-IF((122=$HJ43)+(122=$HK43)+(122=$HL43)+(122=$HM43)+(122=$HN43)+(122=$HO43)&gt;=2,50,0))+DU$5*50)</f>
        <v/>
      </c>
      <c r="DV163">
        <f>IF(OR($JF43=0,calcA!$A$6=0),0,IF(OR(123=$HA43,123=$HD43,123=$HG43),200000,MIN(IF($HA43=0,999999,IF(6=$HB43,IF(123=$HJ43,IF($JC43=2,30,0),IF(123=$HK43,IF($JC43=1,30,0),ABS(3-$HC43)*100)),100000+ABS(6-$HB43)*1000+30)),IF($HD43=0,999999,IF(6=$HE43,IF(123=$HL43,IF($JD43=2,30,0),IF(123=$HM43,IF($JD43=1,30,0),ABS(3-$HF43)*100)),100000+ABS(6-$HE43)*1000+30)),IF($HG43=0,999999,IF(6=$HH43,IF(123=$HN43,IF($JE43=2,30,0),IF(123=$HO43,IF($JE43=1,30,0),ABS(3-$HI43)*100)),100000+ABS(6-$HH43)*1000+30)))-IF((123=$HJ43)+(123=$HK43)+(123=$HL43)+(123=$HM43)+(123=$HN43)+(123=$HO43)&gt;=2,50,0))+DV$5*50)</f>
        <v/>
      </c>
      <c r="DW163">
        <f>IF(OR($JF43=0,calcA!$A$6=0),0,IF(OR(124=$HA43,124=$HD43,124=$HG43),200000,MIN(IF($HA43=0,999999,IF(6=$HB43,IF(124=$HJ43,IF($JC43=2,30,0),IF(124=$HK43,IF($JC43=1,30,0),ABS(4-$HC43)*100)),100000+ABS(6-$HB43)*1000+40)),IF($HD43=0,999999,IF(6=$HE43,IF(124=$HL43,IF($JD43=2,30,0),IF(124=$HM43,IF($JD43=1,30,0),ABS(4-$HF43)*100)),100000+ABS(6-$HE43)*1000+40)),IF($HG43=0,999999,IF(6=$HH43,IF(124=$HN43,IF($JE43=2,30,0),IF(124=$HO43,IF($JE43=1,30,0),ABS(4-$HI43)*100)),100000+ABS(6-$HH43)*1000+40)))-IF((124=$HJ43)+(124=$HK43)+(124=$HL43)+(124=$HM43)+(124=$HN43)+(124=$HO43)&gt;=2,50,0))+DW$5*50)</f>
        <v/>
      </c>
      <c r="DX163">
        <f>IF(OR($JF43=0,calcA!$A$6=0),0,IF(OR(125=$HA43,125=$HD43,125=$HG43),200000,MIN(IF($HA43=0,999999,IF(6=$HB43,IF(125=$HJ43,IF($JC43=2,30,0),IF(125=$HK43,IF($JC43=1,30,0),ABS(5-$HC43)*100)),100000+ABS(6-$HB43)*1000+50)),IF($HD43=0,999999,IF(6=$HE43,IF(125=$HL43,IF($JD43=2,30,0),IF(125=$HM43,IF($JD43=1,30,0),ABS(5-$HF43)*100)),100000+ABS(6-$HE43)*1000+50)),IF($HG43=0,999999,IF(6=$HH43,IF(125=$HN43,IF($JE43=2,30,0),IF(125=$HO43,IF($JE43=1,30,0),ABS(5-$HI43)*100)),100000+ABS(6-$HH43)*1000+50)))-IF((125=$HJ43)+(125=$HK43)+(125=$HL43)+(125=$HM43)+(125=$HN43)+(125=$HO43)&gt;=2,50,0))+DX$5*50)</f>
        <v/>
      </c>
      <c r="DY163">
        <f>IF(OR($JF43=0,calcA!$A$6=0),0,IF(OR(126=$HA43,126=$HD43,126=$HG43),200000,MIN(IF($HA43=0,999999,IF(6=$HB43,IF(126=$HJ43,IF($JC43=2,30,0),IF(126=$HK43,IF($JC43=1,30,0),ABS(6-$HC43)*100)),100000+ABS(6-$HB43)*1000+60)),IF($HD43=0,999999,IF(6=$HE43,IF(126=$HL43,IF($JD43=2,30,0),IF(126=$HM43,IF($JD43=1,30,0),ABS(6-$HF43)*100)),100000+ABS(6-$HE43)*1000+60)),IF($HG43=0,999999,IF(6=$HH43,IF(126=$HN43,IF($JE43=2,30,0),IF(126=$HO43,IF($JE43=1,30,0),ABS(6-$HI43)*100)),100000+ABS(6-$HH43)*1000+60)))-IF((126=$HJ43)+(126=$HK43)+(126=$HL43)+(126=$HM43)+(126=$HN43)+(126=$HO43)&gt;=2,50,0))+DY$5*50)</f>
        <v/>
      </c>
      <c r="DZ163">
        <f>IF(OR($JF43=0,calcA!$A$6=0),0,IF(OR(127=$HA43,127=$HD43,127=$HG43),200000,MIN(IF($HA43=0,999999,IF(6=$HB43,IF(127=$HJ43,IF($JC43=2,30,0),IF(127=$HK43,IF($JC43=1,30,0),ABS(7-$HC43)*100)),100000+ABS(6-$HB43)*1000+70)),IF($HD43=0,999999,IF(6=$HE43,IF(127=$HL43,IF($JD43=2,30,0),IF(127=$HM43,IF($JD43=1,30,0),ABS(7-$HF43)*100)),100000+ABS(6-$HE43)*1000+70)),IF($HG43=0,999999,IF(6=$HH43,IF(127=$HN43,IF($JE43=2,30,0),IF(127=$HO43,IF($JE43=1,30,0),ABS(7-$HI43)*100)),100000+ABS(6-$HH43)*1000+70)))-IF((127=$HJ43)+(127=$HK43)+(127=$HL43)+(127=$HM43)+(127=$HN43)+(127=$HO43)&gt;=2,50,0))+DZ$5*50)</f>
        <v/>
      </c>
      <c r="EA163">
        <f>IF(OR($JF43=0,calcA!$A$6=0),0,IF(OR(128=$HA43,128=$HD43,128=$HG43),200000,MIN(IF($HA43=0,999999,IF(6=$HB43,IF(128=$HJ43,IF($JC43=2,30,0),IF(128=$HK43,IF($JC43=1,30,0),ABS(8-$HC43)*100)),100000+ABS(6-$HB43)*1000+80)),IF($HD43=0,999999,IF(6=$HE43,IF(128=$HL43,IF($JD43=2,30,0),IF(128=$HM43,IF($JD43=1,30,0),ABS(8-$HF43)*100)),100000+ABS(6-$HE43)*1000+80)),IF($HG43=0,999999,IF(6=$HH43,IF(128=$HN43,IF($JE43=2,30,0),IF(128=$HO43,IF($JE43=1,30,0),ABS(8-$HI43)*100)),100000+ABS(6-$HH43)*1000+80)))-IF((128=$HJ43)+(128=$HK43)+(128=$HL43)+(128=$HM43)+(128=$HN43)+(128=$HO43)&gt;=2,50,0))+EA$5*50)</f>
        <v/>
      </c>
      <c r="EB163">
        <f>IF(OR($JF43=0,calcA!$A$6=0),0,IF(OR(129=$HA43,129=$HD43,129=$HG43),200000,MIN(IF($HA43=0,999999,IF(6=$HB43,IF(129=$HJ43,IF($JC43=2,30,0),IF(129=$HK43,IF($JC43=1,30,0),ABS(9-$HC43)*100)),100000+ABS(6-$HB43)*1000+90)),IF($HD43=0,999999,IF(6=$HE43,IF(129=$HL43,IF($JD43=2,30,0),IF(129=$HM43,IF($JD43=1,30,0),ABS(9-$HF43)*100)),100000+ABS(6-$HE43)*1000+90)),IF($HG43=0,999999,IF(6=$HH43,IF(129=$HN43,IF($JE43=2,30,0),IF(129=$HO43,IF($JE43=1,30,0),ABS(9-$HI43)*100)),100000+ABS(6-$HH43)*1000+90)))-IF((129=$HJ43)+(129=$HK43)+(129=$HL43)+(129=$HM43)+(129=$HN43)+(129=$HO43)&gt;=2,50,0))+EB$5*50)</f>
        <v/>
      </c>
      <c r="EC163">
        <f>IF(OR($JF43=0,calcA!$A$6=0),0,IF(OR(130=$HA43,130=$HD43,130=$HG43),200000,MIN(IF($HA43=0,999999,IF(6=$HB43,IF(130=$HJ43,IF($JC43=2,30,0),IF(130=$HK43,IF($JC43=1,30,0),ABS(10-$HC43)*100)),100000+ABS(6-$HB43)*1000+100)),IF($HD43=0,999999,IF(6=$HE43,IF(130=$HL43,IF($JD43=2,30,0),IF(130=$HM43,IF($JD43=1,30,0),ABS(10-$HF43)*100)),100000+ABS(6-$HE43)*1000+100)),IF($HG43=0,999999,IF(6=$HH43,IF(130=$HN43,IF($JE43=2,30,0),IF(130=$HO43,IF($JE43=1,30,0),ABS(10-$HI43)*100)),100000+ABS(6-$HH43)*1000+100)))-IF((130=$HJ43)+(130=$HK43)+(130=$HL43)+(130=$HM43)+(130=$HN43)+(130=$HO43)&gt;=2,50,0))+EC$5*50)</f>
        <v/>
      </c>
      <c r="ED163">
        <f>IF(OR($JF43=0,calcA!$A$6=0),0,IF(OR(131=$HA43,131=$HD43,131=$HG43),200000,MIN(IF($HA43=0,999999,IF(6=$HB43,IF(131=$HJ43,IF($JC43=2,30,0),IF(131=$HK43,IF($JC43=1,30,0),ABS(11-$HC43)*100)),100000+ABS(6-$HB43)*1000+110)),IF($HD43=0,999999,IF(6=$HE43,IF(131=$HL43,IF($JD43=2,30,0),IF(131=$HM43,IF($JD43=1,30,0),ABS(11-$HF43)*100)),100000+ABS(6-$HE43)*1000+110)),IF($HG43=0,999999,IF(6=$HH43,IF(131=$HN43,IF($JE43=2,30,0),IF(131=$HO43,IF($JE43=1,30,0),ABS(11-$HI43)*100)),100000+ABS(6-$HH43)*1000+110)))-IF((131=$HJ43)+(131=$HK43)+(131=$HL43)+(131=$HM43)+(131=$HN43)+(131=$HO43)&gt;=2,50,0))+ED$5*50)</f>
        <v/>
      </c>
      <c r="EE163">
        <f>IF(OR($JF43=0,calcA!$A$6=0),0,IF(OR(132=$HA43,132=$HD43,132=$HG43),200000,MIN(IF($HA43=0,999999,IF(6=$HB43,IF(132=$HJ43,IF($JC43=2,30,0),IF(132=$HK43,IF($JC43=1,30,0),ABS(12-$HC43)*100)),100000+ABS(6-$HB43)*1000+120)),IF($HD43=0,999999,IF(6=$HE43,IF(132=$HL43,IF($JD43=2,30,0),IF(132=$HM43,IF($JD43=1,30,0),ABS(12-$HF43)*100)),100000+ABS(6-$HE43)*1000+120)),IF($HG43=0,999999,IF(6=$HH43,IF(132=$HN43,IF($JE43=2,30,0),IF(132=$HO43,IF($JE43=1,30,0),ABS(12-$HI43)*100)),100000+ABS(6-$HH43)*1000+120)))-IF((132=$HJ43)+(132=$HK43)+(132=$HL43)+(132=$HM43)+(132=$HN43)+(132=$HO43)&gt;=2,50,0))+EE$5*50)</f>
        <v/>
      </c>
      <c r="EF163">
        <f>IF(OR($JF43=0,calcA!$A$6=0),0,IF(OR(133=$HA43,133=$HD43,133=$HG43),200000,MIN(IF($HA43=0,999999,IF(6=$HB43,IF(133=$HJ43,IF($JC43=2,30,0),IF(133=$HK43,IF($JC43=1,30,0),ABS(13-$HC43)*100)),100000+ABS(6-$HB43)*1000+130)),IF($HD43=0,999999,IF(6=$HE43,IF(133=$HL43,IF($JD43=2,30,0),IF(133=$HM43,IF($JD43=1,30,0),ABS(13-$HF43)*100)),100000+ABS(6-$HE43)*1000+130)),IF($HG43=0,999999,IF(6=$HH43,IF(133=$HN43,IF($JE43=2,30,0),IF(133=$HO43,IF($JE43=1,30,0),ABS(13-$HI43)*100)),100000+ABS(6-$HH43)*1000+130)))-IF((133=$HJ43)+(133=$HK43)+(133=$HL43)+(133=$HM43)+(133=$HN43)+(133=$HO43)&gt;=2,50,0))+EF$5*50)</f>
        <v/>
      </c>
      <c r="EG163">
        <f>IF(OR($JF43=0,calcA!$A$6=0),0,IF(OR(134=$HA43,134=$HD43,134=$HG43),200000,MIN(IF($HA43=0,999999,IF(6=$HB43,IF(134=$HJ43,IF($JC43=2,30,0),IF(134=$HK43,IF($JC43=1,30,0),ABS(14-$HC43)*100)),100000+ABS(6-$HB43)*1000+140)),IF($HD43=0,999999,IF(6=$HE43,IF(134=$HL43,IF($JD43=2,30,0),IF(134=$HM43,IF($JD43=1,30,0),ABS(14-$HF43)*100)),100000+ABS(6-$HE43)*1000+140)),IF($HG43=0,999999,IF(6=$HH43,IF(134=$HN43,IF($JE43=2,30,0),IF(134=$HO43,IF($JE43=1,30,0),ABS(14-$HI43)*100)),100000+ABS(6-$HH43)*1000+140)))-IF((134=$HJ43)+(134=$HK43)+(134=$HL43)+(134=$HM43)+(134=$HN43)+(134=$HO43)&gt;=2,50,0))+EG$5*50)</f>
        <v/>
      </c>
      <c r="EH163">
        <f>IF(OR($JF43=0,calcA!$A$6=0),0,IF(OR(135=$HA43,135=$HD43,135=$HG43),200000,MIN(IF($HA43=0,999999,IF(6=$HB43,IF(135=$HJ43,IF($JC43=2,30,0),IF(135=$HK43,IF($JC43=1,30,0),ABS(15-$HC43)*100)),100000+ABS(6-$HB43)*1000+150)),IF($HD43=0,999999,IF(6=$HE43,IF(135=$HL43,IF($JD43=2,30,0),IF(135=$HM43,IF($JD43=1,30,0),ABS(15-$HF43)*100)),100000+ABS(6-$HE43)*1000+150)),IF($HG43=0,999999,IF(6=$HH43,IF(135=$HN43,IF($JE43=2,30,0),IF(135=$HO43,IF($JE43=1,30,0),ABS(15-$HI43)*100)),100000+ABS(6-$HH43)*1000+150)))-IF((135=$HJ43)+(135=$HK43)+(135=$HL43)+(135=$HM43)+(135=$HN43)+(135=$HO43)&gt;=2,50,0))+EH$5*50)</f>
        <v/>
      </c>
      <c r="EI163">
        <f>IF(OR($JF43=0,calcA!$A$6=0),0,IF(OR(136=$HA43,136=$HD43,136=$HG43),200000,MIN(IF($HA43=0,999999,IF(6=$HB43,IF(136=$HJ43,IF($JC43=2,30,0),IF(136=$HK43,IF($JC43=1,30,0),ABS(16-$HC43)*100)),100000+ABS(6-$HB43)*1000+160)),IF($HD43=0,999999,IF(6=$HE43,IF(136=$HL43,IF($JD43=2,30,0),IF(136=$HM43,IF($JD43=1,30,0),ABS(16-$HF43)*100)),100000+ABS(6-$HE43)*1000+160)),IF($HG43=0,999999,IF(6=$HH43,IF(136=$HN43,IF($JE43=2,30,0),IF(136=$HO43,IF($JE43=1,30,0),ABS(16-$HI43)*100)),100000+ABS(6-$HH43)*1000+160)))-IF((136=$HJ43)+(136=$HK43)+(136=$HL43)+(136=$HM43)+(136=$HN43)+(136=$HO43)&gt;=2,50,0))+EI$5*50)</f>
        <v/>
      </c>
      <c r="EJ163">
        <f>IF(OR($JF43=0,calcA!$A$6=0),0,IF(OR(137=$HA43,137=$HD43,137=$HG43),200000,MIN(IF($HA43=0,999999,IF(6=$HB43,IF(137=$HJ43,IF($JC43=2,30,0),IF(137=$HK43,IF($JC43=1,30,0),ABS(17-$HC43)*100)),100000+ABS(6-$HB43)*1000+170)),IF($HD43=0,999999,IF(6=$HE43,IF(137=$HL43,IF($JD43=2,30,0),IF(137=$HM43,IF($JD43=1,30,0),ABS(17-$HF43)*100)),100000+ABS(6-$HE43)*1000+170)),IF($HG43=0,999999,IF(6=$HH43,IF(137=$HN43,IF($JE43=2,30,0),IF(137=$HO43,IF($JE43=1,30,0),ABS(17-$HI43)*100)),100000+ABS(6-$HH43)*1000+170)))-IF((137=$HJ43)+(137=$HK43)+(137=$HL43)+(137=$HM43)+(137=$HN43)+(137=$HO43)&gt;=2,50,0))+EJ$5*50)</f>
        <v/>
      </c>
      <c r="EK163">
        <f>IF(OR($JF43=0,calcA!$A$6=0),0,IF(OR(138=$HA43,138=$HD43,138=$HG43),200000,MIN(IF($HA43=0,999999,IF(6=$HB43,IF(138=$HJ43,IF($JC43=2,30,0),IF(138=$HK43,IF($JC43=1,30,0),ABS(18-$HC43)*100)),100000+ABS(6-$HB43)*1000+180)),IF($HD43=0,999999,IF(6=$HE43,IF(138=$HL43,IF($JD43=2,30,0),IF(138=$HM43,IF($JD43=1,30,0),ABS(18-$HF43)*100)),100000+ABS(6-$HE43)*1000+180)),IF($HG43=0,999999,IF(6=$HH43,IF(138=$HN43,IF($JE43=2,30,0),IF(138=$HO43,IF($JE43=1,30,0),ABS(18-$HI43)*100)),100000+ABS(6-$HH43)*1000+180)))-IF((138=$HJ43)+(138=$HK43)+(138=$HL43)+(138=$HM43)+(138=$HN43)+(138=$HO43)&gt;=2,50,0))+EK$5*50)</f>
        <v/>
      </c>
      <c r="EL163">
        <f>IF(OR($JF43=0,calcA!$A$6=0),0,IF(OR(139=$HA43,139=$HD43,139=$HG43),200000,MIN(IF($HA43=0,999999,IF(6=$HB43,IF(139=$HJ43,IF($JC43=2,30,0),IF(139=$HK43,IF($JC43=1,30,0),ABS(19-$HC43)*100)),100000+ABS(6-$HB43)*1000+190)),IF($HD43=0,999999,IF(6=$HE43,IF(139=$HL43,IF($JD43=2,30,0),IF(139=$HM43,IF($JD43=1,30,0),ABS(19-$HF43)*100)),100000+ABS(6-$HE43)*1000+190)),IF($HG43=0,999999,IF(6=$HH43,IF(139=$HN43,IF($JE43=2,30,0),IF(139=$HO43,IF($JE43=1,30,0),ABS(19-$HI43)*100)),100000+ABS(6-$HH43)*1000+190)))-IF((139=$HJ43)+(139=$HK43)+(139=$HL43)+(139=$HM43)+(139=$HN43)+(139=$HO43)&gt;=2,50,0))+EL$5*50)</f>
        <v/>
      </c>
      <c r="EM163">
        <f>IF(OR($JF43=0,calcA!$A$6=0),0,IF(OR(140=$HA43,140=$HD43,140=$HG43),200000,MIN(IF($HA43=0,999999,IF(6=$HB43,IF(140=$HJ43,IF($JC43=2,30,0),IF(140=$HK43,IF($JC43=1,30,0),ABS(20-$HC43)*100)),100000+ABS(6-$HB43)*1000+200)),IF($HD43=0,999999,IF(6=$HE43,IF(140=$HL43,IF($JD43=2,30,0),IF(140=$HM43,IF($JD43=1,30,0),ABS(20-$HF43)*100)),100000+ABS(6-$HE43)*1000+200)),IF($HG43=0,999999,IF(6=$HH43,IF(140=$HN43,IF($JE43=2,30,0),IF(140=$HO43,IF($JE43=1,30,0),ABS(20-$HI43)*100)),100000+ABS(6-$HH43)*1000+200)))-IF((140=$HJ43)+(140=$HK43)+(140=$HL43)+(140=$HM43)+(140=$HN43)+(140=$HO43)&gt;=2,50,0))+EM$5*50)</f>
        <v/>
      </c>
      <c r="EN163">
        <f>IF(OR($JF43=0,calcA!$A$6=0),0,IF(OR(141=$HA43,141=$HD43,141=$HG43),200000,MIN(IF($HA43=0,999999,IF(6=$HB43,IF(141=$HJ43,IF($JC43=2,30,0),IF(141=$HK43,IF($JC43=1,30,0),ABS(21-$HC43)*100)),100000+ABS(6-$HB43)*1000+210)),IF($HD43=0,999999,IF(6=$HE43,IF(141=$HL43,IF($JD43=2,30,0),IF(141=$HM43,IF($JD43=1,30,0),ABS(21-$HF43)*100)),100000+ABS(6-$HE43)*1000+210)),IF($HG43=0,999999,IF(6=$HH43,IF(141=$HN43,IF($JE43=2,30,0),IF(141=$HO43,IF($JE43=1,30,0),ABS(21-$HI43)*100)),100000+ABS(6-$HH43)*1000+210)))-IF((141=$HJ43)+(141=$HK43)+(141=$HL43)+(141=$HM43)+(141=$HN43)+(141=$HO43)&gt;=2,50,0))+EN$5*50)</f>
        <v/>
      </c>
      <c r="EO163">
        <f>IF(OR($JF43=0,calcA!$A$6=0),0,IF(OR(142=$HA43,142=$HD43,142=$HG43),200000,MIN(IF($HA43=0,999999,IF(6=$HB43,IF(142=$HJ43,IF($JC43=2,30,0),IF(142=$HK43,IF($JC43=1,30,0),ABS(22-$HC43)*100)),100000+ABS(6-$HB43)*1000+220)),IF($HD43=0,999999,IF(6=$HE43,IF(142=$HL43,IF($JD43=2,30,0),IF(142=$HM43,IF($JD43=1,30,0),ABS(22-$HF43)*100)),100000+ABS(6-$HE43)*1000+220)),IF($HG43=0,999999,IF(6=$HH43,IF(142=$HN43,IF($JE43=2,30,0),IF(142=$HO43,IF($JE43=1,30,0),ABS(22-$HI43)*100)),100000+ABS(6-$HH43)*1000+220)))-IF((142=$HJ43)+(142=$HK43)+(142=$HL43)+(142=$HM43)+(142=$HN43)+(142=$HO43)&gt;=2,50,0))+EO$5*50)</f>
        <v/>
      </c>
      <c r="EP163">
        <f>IF(OR($JF43=0,calcA!$A$6=0),0,IF(OR(143=$HA43,143=$HD43,143=$HG43),200000,MIN(IF($HA43=0,999999,IF(6=$HB43,IF(143=$HJ43,IF($JC43=2,30,0),IF(143=$HK43,IF($JC43=1,30,0),ABS(23-$HC43)*100)),100000+ABS(6-$HB43)*1000+230)),IF($HD43=0,999999,IF(6=$HE43,IF(143=$HL43,IF($JD43=2,30,0),IF(143=$HM43,IF($JD43=1,30,0),ABS(23-$HF43)*100)),100000+ABS(6-$HE43)*1000+230)),IF($HG43=0,999999,IF(6=$HH43,IF(143=$HN43,IF($JE43=2,30,0),IF(143=$HO43,IF($JE43=1,30,0),ABS(23-$HI43)*100)),100000+ABS(6-$HH43)*1000+230)))-IF((143=$HJ43)+(143=$HK43)+(143=$HL43)+(143=$HM43)+(143=$HN43)+(143=$HO43)&gt;=2,50,0))+EP$5*50)</f>
        <v/>
      </c>
      <c r="EQ163">
        <f>IF(OR($JF43=0,calcA!$A$6=0),0,IF(OR(144=$HA43,144=$HD43,144=$HG43),200000,MIN(IF($HA43=0,999999,IF(6=$HB43,IF(144=$HJ43,IF($JC43=2,30,0),IF(144=$HK43,IF($JC43=1,30,0),ABS(24-$HC43)*100)),100000+ABS(6-$HB43)*1000+240)),IF($HD43=0,999999,IF(6=$HE43,IF(144=$HL43,IF($JD43=2,30,0),IF(144=$HM43,IF($JD43=1,30,0),ABS(24-$HF43)*100)),100000+ABS(6-$HE43)*1000+240)),IF($HG43=0,999999,IF(6=$HH43,IF(144=$HN43,IF($JE43=2,30,0),IF(144=$HO43,IF($JE43=1,30,0),ABS(24-$HI43)*100)),100000+ABS(6-$HH43)*1000+240)))-IF((144=$HJ43)+(144=$HK43)+(144=$HL43)+(144=$HM43)+(144=$HN43)+(144=$HO43)&gt;=2,50,0))+EQ$5*50)</f>
        <v/>
      </c>
    </row>
    <row r="164">
      <c r="D164">
        <f>IF(OR($JF44=0,calcA!$A$6=0),0,IF(OR(1=$HA44,1=$HD44,1=$HG44),200000,MIN(IF($HA44=0,999999,IF(1=$HB44,IF(1=$HJ44,IF($JC44=2,30,0),IF(1=$HK44,IF($JC44=1,30,0),ABS(1-$HC44)*100)),100000+ABS(1-$HB44)*1000+10)),IF($HD44=0,999999,IF(1=$HE44,IF(1=$HL44,IF($JD44=2,30,0),IF(1=$HM44,IF($JD44=1,30,0),ABS(1-$HF44)*100)),100000+ABS(1-$HE44)*1000+10)),IF($HG44=0,999999,IF(1=$HH44,IF(1=$HN44,IF($JE44=2,30,0),IF(1=$HO44,IF($JE44=1,30,0),ABS(1-$HI44)*100)),100000+ABS(1-$HH44)*1000+10)))-IF((1=$HJ44)+(1=$HK44)+(1=$HL44)+(1=$HM44)+(1=$HN44)+(1=$HO44)&gt;=2,50,0))+D$5*50)</f>
        <v/>
      </c>
      <c r="E164">
        <f>IF(OR($JF44=0,calcA!$A$6=0),0,IF(OR(2=$HA44,2=$HD44,2=$HG44),200000,MIN(IF($HA44=0,999999,IF(1=$HB44,IF(2=$HJ44,IF($JC44=2,30,0),IF(2=$HK44,IF($JC44=1,30,0),ABS(2-$HC44)*100)),100000+ABS(1-$HB44)*1000+20)),IF($HD44=0,999999,IF(1=$HE44,IF(2=$HL44,IF($JD44=2,30,0),IF(2=$HM44,IF($JD44=1,30,0),ABS(2-$HF44)*100)),100000+ABS(1-$HE44)*1000+20)),IF($HG44=0,999999,IF(1=$HH44,IF(2=$HN44,IF($JE44=2,30,0),IF(2=$HO44,IF($JE44=1,30,0),ABS(2-$HI44)*100)),100000+ABS(1-$HH44)*1000+20)))-IF((2=$HJ44)+(2=$HK44)+(2=$HL44)+(2=$HM44)+(2=$HN44)+(2=$HO44)&gt;=2,50,0))+E$5*50)</f>
        <v/>
      </c>
      <c r="F164">
        <f>IF(OR($JF44=0,calcA!$A$6=0),0,IF(OR(3=$HA44,3=$HD44,3=$HG44),200000,MIN(IF($HA44=0,999999,IF(1=$HB44,IF(3=$HJ44,IF($JC44=2,30,0),IF(3=$HK44,IF($JC44=1,30,0),ABS(3-$HC44)*100)),100000+ABS(1-$HB44)*1000+30)),IF($HD44=0,999999,IF(1=$HE44,IF(3=$HL44,IF($JD44=2,30,0),IF(3=$HM44,IF($JD44=1,30,0),ABS(3-$HF44)*100)),100000+ABS(1-$HE44)*1000+30)),IF($HG44=0,999999,IF(1=$HH44,IF(3=$HN44,IF($JE44=2,30,0),IF(3=$HO44,IF($JE44=1,30,0),ABS(3-$HI44)*100)),100000+ABS(1-$HH44)*1000+30)))-IF((3=$HJ44)+(3=$HK44)+(3=$HL44)+(3=$HM44)+(3=$HN44)+(3=$HO44)&gt;=2,50,0))+F$5*50)</f>
        <v/>
      </c>
      <c r="G164">
        <f>IF(OR($JF44=0,calcA!$A$6=0),0,IF(OR(4=$HA44,4=$HD44,4=$HG44),200000,MIN(IF($HA44=0,999999,IF(1=$HB44,IF(4=$HJ44,IF($JC44=2,30,0),IF(4=$HK44,IF($JC44=1,30,0),ABS(4-$HC44)*100)),100000+ABS(1-$HB44)*1000+40)),IF($HD44=0,999999,IF(1=$HE44,IF(4=$HL44,IF($JD44=2,30,0),IF(4=$HM44,IF($JD44=1,30,0),ABS(4-$HF44)*100)),100000+ABS(1-$HE44)*1000+40)),IF($HG44=0,999999,IF(1=$HH44,IF(4=$HN44,IF($JE44=2,30,0),IF(4=$HO44,IF($JE44=1,30,0),ABS(4-$HI44)*100)),100000+ABS(1-$HH44)*1000+40)))-IF((4=$HJ44)+(4=$HK44)+(4=$HL44)+(4=$HM44)+(4=$HN44)+(4=$HO44)&gt;=2,50,0))+G$5*50)</f>
        <v/>
      </c>
      <c r="H164">
        <f>IF(OR($JF44=0,calcA!$A$6=0),0,IF(OR(5=$HA44,5=$HD44,5=$HG44),200000,MIN(IF($HA44=0,999999,IF(1=$HB44,IF(5=$HJ44,IF($JC44=2,30,0),IF(5=$HK44,IF($JC44=1,30,0),ABS(5-$HC44)*100)),100000+ABS(1-$HB44)*1000+50)),IF($HD44=0,999999,IF(1=$HE44,IF(5=$HL44,IF($JD44=2,30,0),IF(5=$HM44,IF($JD44=1,30,0),ABS(5-$HF44)*100)),100000+ABS(1-$HE44)*1000+50)),IF($HG44=0,999999,IF(1=$HH44,IF(5=$HN44,IF($JE44=2,30,0),IF(5=$HO44,IF($JE44=1,30,0),ABS(5-$HI44)*100)),100000+ABS(1-$HH44)*1000+50)))-IF((5=$HJ44)+(5=$HK44)+(5=$HL44)+(5=$HM44)+(5=$HN44)+(5=$HO44)&gt;=2,50,0))+H$5*50)</f>
        <v/>
      </c>
      <c r="I164">
        <f>IF(OR($JF44=0,calcA!$A$6=0),0,IF(OR(6=$HA44,6=$HD44,6=$HG44),200000,MIN(IF($HA44=0,999999,IF(1=$HB44,IF(6=$HJ44,IF($JC44=2,30,0),IF(6=$HK44,IF($JC44=1,30,0),ABS(6-$HC44)*100)),100000+ABS(1-$HB44)*1000+60)),IF($HD44=0,999999,IF(1=$HE44,IF(6=$HL44,IF($JD44=2,30,0),IF(6=$HM44,IF($JD44=1,30,0),ABS(6-$HF44)*100)),100000+ABS(1-$HE44)*1000+60)),IF($HG44=0,999999,IF(1=$HH44,IF(6=$HN44,IF($JE44=2,30,0),IF(6=$HO44,IF($JE44=1,30,0),ABS(6-$HI44)*100)),100000+ABS(1-$HH44)*1000+60)))-IF((6=$HJ44)+(6=$HK44)+(6=$HL44)+(6=$HM44)+(6=$HN44)+(6=$HO44)&gt;=2,50,0))+I$5*50)</f>
        <v/>
      </c>
      <c r="J164">
        <f>IF(OR($JF44=0,calcA!$A$6=0),0,IF(OR(7=$HA44,7=$HD44,7=$HG44),200000,MIN(IF($HA44=0,999999,IF(1=$HB44,IF(7=$HJ44,IF($JC44=2,30,0),IF(7=$HK44,IF($JC44=1,30,0),ABS(7-$HC44)*100)),100000+ABS(1-$HB44)*1000+70)),IF($HD44=0,999999,IF(1=$HE44,IF(7=$HL44,IF($JD44=2,30,0),IF(7=$HM44,IF($JD44=1,30,0),ABS(7-$HF44)*100)),100000+ABS(1-$HE44)*1000+70)),IF($HG44=0,999999,IF(1=$HH44,IF(7=$HN44,IF($JE44=2,30,0),IF(7=$HO44,IF($JE44=1,30,0),ABS(7-$HI44)*100)),100000+ABS(1-$HH44)*1000+70)))-IF((7=$HJ44)+(7=$HK44)+(7=$HL44)+(7=$HM44)+(7=$HN44)+(7=$HO44)&gt;=2,50,0))+J$5*50)</f>
        <v/>
      </c>
      <c r="K164">
        <f>IF(OR($JF44=0,calcA!$A$6=0),0,IF(OR(8=$HA44,8=$HD44,8=$HG44),200000,MIN(IF($HA44=0,999999,IF(1=$HB44,IF(8=$HJ44,IF($JC44=2,30,0),IF(8=$HK44,IF($JC44=1,30,0),ABS(8-$HC44)*100)),100000+ABS(1-$HB44)*1000+80)),IF($HD44=0,999999,IF(1=$HE44,IF(8=$HL44,IF($JD44=2,30,0),IF(8=$HM44,IF($JD44=1,30,0),ABS(8-$HF44)*100)),100000+ABS(1-$HE44)*1000+80)),IF($HG44=0,999999,IF(1=$HH44,IF(8=$HN44,IF($JE44=2,30,0),IF(8=$HO44,IF($JE44=1,30,0),ABS(8-$HI44)*100)),100000+ABS(1-$HH44)*1000+80)))-IF((8=$HJ44)+(8=$HK44)+(8=$HL44)+(8=$HM44)+(8=$HN44)+(8=$HO44)&gt;=2,50,0))+K$5*50)</f>
        <v/>
      </c>
      <c r="L164">
        <f>IF(OR($JF44=0,calcA!$A$6=0),0,IF(OR(9=$HA44,9=$HD44,9=$HG44),200000,MIN(IF($HA44=0,999999,IF(1=$HB44,IF(9=$HJ44,IF($JC44=2,30,0),IF(9=$HK44,IF($JC44=1,30,0),ABS(9-$HC44)*100)),100000+ABS(1-$HB44)*1000+90)),IF($HD44=0,999999,IF(1=$HE44,IF(9=$HL44,IF($JD44=2,30,0),IF(9=$HM44,IF($JD44=1,30,0),ABS(9-$HF44)*100)),100000+ABS(1-$HE44)*1000+90)),IF($HG44=0,999999,IF(1=$HH44,IF(9=$HN44,IF($JE44=2,30,0),IF(9=$HO44,IF($JE44=1,30,0),ABS(9-$HI44)*100)),100000+ABS(1-$HH44)*1000+90)))-IF((9=$HJ44)+(9=$HK44)+(9=$HL44)+(9=$HM44)+(9=$HN44)+(9=$HO44)&gt;=2,50,0))+L$5*50)</f>
        <v/>
      </c>
      <c r="M164">
        <f>IF(OR($JF44=0,calcA!$A$6=0),0,IF(OR(10=$HA44,10=$HD44,10=$HG44),200000,MIN(IF($HA44=0,999999,IF(1=$HB44,IF(10=$HJ44,IF($JC44=2,30,0),IF(10=$HK44,IF($JC44=1,30,0),ABS(10-$HC44)*100)),100000+ABS(1-$HB44)*1000+100)),IF($HD44=0,999999,IF(1=$HE44,IF(10=$HL44,IF($JD44=2,30,0),IF(10=$HM44,IF($JD44=1,30,0),ABS(10-$HF44)*100)),100000+ABS(1-$HE44)*1000+100)),IF($HG44=0,999999,IF(1=$HH44,IF(10=$HN44,IF($JE44=2,30,0),IF(10=$HO44,IF($JE44=1,30,0),ABS(10-$HI44)*100)),100000+ABS(1-$HH44)*1000+100)))-IF((10=$HJ44)+(10=$HK44)+(10=$HL44)+(10=$HM44)+(10=$HN44)+(10=$HO44)&gt;=2,50,0))+M$5*50)</f>
        <v/>
      </c>
      <c r="N164">
        <f>IF(OR($JF44=0,calcA!$A$6=0),0,IF(OR(11=$HA44,11=$HD44,11=$HG44),200000,MIN(IF($HA44=0,999999,IF(1=$HB44,IF(11=$HJ44,IF($JC44=2,30,0),IF(11=$HK44,IF($JC44=1,30,0),ABS(11-$HC44)*100)),100000+ABS(1-$HB44)*1000+110)),IF($HD44=0,999999,IF(1=$HE44,IF(11=$HL44,IF($JD44=2,30,0),IF(11=$HM44,IF($JD44=1,30,0),ABS(11-$HF44)*100)),100000+ABS(1-$HE44)*1000+110)),IF($HG44=0,999999,IF(1=$HH44,IF(11=$HN44,IF($JE44=2,30,0),IF(11=$HO44,IF($JE44=1,30,0),ABS(11-$HI44)*100)),100000+ABS(1-$HH44)*1000+110)))-IF((11=$HJ44)+(11=$HK44)+(11=$HL44)+(11=$HM44)+(11=$HN44)+(11=$HO44)&gt;=2,50,0))+N$5*50)</f>
        <v/>
      </c>
      <c r="O164">
        <f>IF(OR($JF44=0,calcA!$A$6=0),0,IF(OR(12=$HA44,12=$HD44,12=$HG44),200000,MIN(IF($HA44=0,999999,IF(1=$HB44,IF(12=$HJ44,IF($JC44=2,30,0),IF(12=$HK44,IF($JC44=1,30,0),ABS(12-$HC44)*100)),100000+ABS(1-$HB44)*1000+120)),IF($HD44=0,999999,IF(1=$HE44,IF(12=$HL44,IF($JD44=2,30,0),IF(12=$HM44,IF($JD44=1,30,0),ABS(12-$HF44)*100)),100000+ABS(1-$HE44)*1000+120)),IF($HG44=0,999999,IF(1=$HH44,IF(12=$HN44,IF($JE44=2,30,0),IF(12=$HO44,IF($JE44=1,30,0),ABS(12-$HI44)*100)),100000+ABS(1-$HH44)*1000+120)))-IF((12=$HJ44)+(12=$HK44)+(12=$HL44)+(12=$HM44)+(12=$HN44)+(12=$HO44)&gt;=2,50,0))+O$5*50)</f>
        <v/>
      </c>
      <c r="P164">
        <f>IF(OR($JF44=0,calcA!$A$6=0),0,IF(OR(13=$HA44,13=$HD44,13=$HG44),200000,MIN(IF($HA44=0,999999,IF(1=$HB44,IF(13=$HJ44,IF($JC44=2,30,0),IF(13=$HK44,IF($JC44=1,30,0),ABS(13-$HC44)*100)),100000+ABS(1-$HB44)*1000+130)),IF($HD44=0,999999,IF(1=$HE44,IF(13=$HL44,IF($JD44=2,30,0),IF(13=$HM44,IF($JD44=1,30,0),ABS(13-$HF44)*100)),100000+ABS(1-$HE44)*1000+130)),IF($HG44=0,999999,IF(1=$HH44,IF(13=$HN44,IF($JE44=2,30,0),IF(13=$HO44,IF($JE44=1,30,0),ABS(13-$HI44)*100)),100000+ABS(1-$HH44)*1000+130)))-IF((13=$HJ44)+(13=$HK44)+(13=$HL44)+(13=$HM44)+(13=$HN44)+(13=$HO44)&gt;=2,50,0))+P$5*50)</f>
        <v/>
      </c>
      <c r="Q164">
        <f>IF(OR($JF44=0,calcA!$A$6=0),0,IF(OR(14=$HA44,14=$HD44,14=$HG44),200000,MIN(IF($HA44=0,999999,IF(1=$HB44,IF(14=$HJ44,IF($JC44=2,30,0),IF(14=$HK44,IF($JC44=1,30,0),ABS(14-$HC44)*100)),100000+ABS(1-$HB44)*1000+140)),IF($HD44=0,999999,IF(1=$HE44,IF(14=$HL44,IF($JD44=2,30,0),IF(14=$HM44,IF($JD44=1,30,0),ABS(14-$HF44)*100)),100000+ABS(1-$HE44)*1000+140)),IF($HG44=0,999999,IF(1=$HH44,IF(14=$HN44,IF($JE44=2,30,0),IF(14=$HO44,IF($JE44=1,30,0),ABS(14-$HI44)*100)),100000+ABS(1-$HH44)*1000+140)))-IF((14=$HJ44)+(14=$HK44)+(14=$HL44)+(14=$HM44)+(14=$HN44)+(14=$HO44)&gt;=2,50,0))+Q$5*50)</f>
        <v/>
      </c>
      <c r="R164">
        <f>IF(OR($JF44=0,calcA!$A$6=0),0,IF(OR(15=$HA44,15=$HD44,15=$HG44),200000,MIN(IF($HA44=0,999999,IF(1=$HB44,IF(15=$HJ44,IF($JC44=2,30,0),IF(15=$HK44,IF($JC44=1,30,0),ABS(15-$HC44)*100)),100000+ABS(1-$HB44)*1000+150)),IF($HD44=0,999999,IF(1=$HE44,IF(15=$HL44,IF($JD44=2,30,0),IF(15=$HM44,IF($JD44=1,30,0),ABS(15-$HF44)*100)),100000+ABS(1-$HE44)*1000+150)),IF($HG44=0,999999,IF(1=$HH44,IF(15=$HN44,IF($JE44=2,30,0),IF(15=$HO44,IF($JE44=1,30,0),ABS(15-$HI44)*100)),100000+ABS(1-$HH44)*1000+150)))-IF((15=$HJ44)+(15=$HK44)+(15=$HL44)+(15=$HM44)+(15=$HN44)+(15=$HO44)&gt;=2,50,0))+R$5*50)</f>
        <v/>
      </c>
      <c r="S164">
        <f>IF(OR($JF44=0,calcA!$A$6=0),0,IF(OR(16=$HA44,16=$HD44,16=$HG44),200000,MIN(IF($HA44=0,999999,IF(1=$HB44,IF(16=$HJ44,IF($JC44=2,30,0),IF(16=$HK44,IF($JC44=1,30,0),ABS(16-$HC44)*100)),100000+ABS(1-$HB44)*1000+160)),IF($HD44=0,999999,IF(1=$HE44,IF(16=$HL44,IF($JD44=2,30,0),IF(16=$HM44,IF($JD44=1,30,0),ABS(16-$HF44)*100)),100000+ABS(1-$HE44)*1000+160)),IF($HG44=0,999999,IF(1=$HH44,IF(16=$HN44,IF($JE44=2,30,0),IF(16=$HO44,IF($JE44=1,30,0),ABS(16-$HI44)*100)),100000+ABS(1-$HH44)*1000+160)))-IF((16=$HJ44)+(16=$HK44)+(16=$HL44)+(16=$HM44)+(16=$HN44)+(16=$HO44)&gt;=2,50,0))+S$5*50)</f>
        <v/>
      </c>
      <c r="T164">
        <f>IF(OR($JF44=0,calcA!$A$6=0),0,IF(OR(17=$HA44,17=$HD44,17=$HG44),200000,MIN(IF($HA44=0,999999,IF(1=$HB44,IF(17=$HJ44,IF($JC44=2,30,0),IF(17=$HK44,IF($JC44=1,30,0),ABS(17-$HC44)*100)),100000+ABS(1-$HB44)*1000+170)),IF($HD44=0,999999,IF(1=$HE44,IF(17=$HL44,IF($JD44=2,30,0),IF(17=$HM44,IF($JD44=1,30,0),ABS(17-$HF44)*100)),100000+ABS(1-$HE44)*1000+170)),IF($HG44=0,999999,IF(1=$HH44,IF(17=$HN44,IF($JE44=2,30,0),IF(17=$HO44,IF($JE44=1,30,0),ABS(17-$HI44)*100)),100000+ABS(1-$HH44)*1000+170)))-IF((17=$HJ44)+(17=$HK44)+(17=$HL44)+(17=$HM44)+(17=$HN44)+(17=$HO44)&gt;=2,50,0))+T$5*50)</f>
        <v/>
      </c>
      <c r="U164">
        <f>IF(OR($JF44=0,calcA!$A$6=0),0,IF(OR(18=$HA44,18=$HD44,18=$HG44),200000,MIN(IF($HA44=0,999999,IF(1=$HB44,IF(18=$HJ44,IF($JC44=2,30,0),IF(18=$HK44,IF($JC44=1,30,0),ABS(18-$HC44)*100)),100000+ABS(1-$HB44)*1000+180)),IF($HD44=0,999999,IF(1=$HE44,IF(18=$HL44,IF($JD44=2,30,0),IF(18=$HM44,IF($JD44=1,30,0),ABS(18-$HF44)*100)),100000+ABS(1-$HE44)*1000+180)),IF($HG44=0,999999,IF(1=$HH44,IF(18=$HN44,IF($JE44=2,30,0),IF(18=$HO44,IF($JE44=1,30,0),ABS(18-$HI44)*100)),100000+ABS(1-$HH44)*1000+180)))-IF((18=$HJ44)+(18=$HK44)+(18=$HL44)+(18=$HM44)+(18=$HN44)+(18=$HO44)&gt;=2,50,0))+U$5*50)</f>
        <v/>
      </c>
      <c r="V164">
        <f>IF(OR($JF44=0,calcA!$A$6=0),0,IF(OR(19=$HA44,19=$HD44,19=$HG44),200000,MIN(IF($HA44=0,999999,IF(1=$HB44,IF(19=$HJ44,IF($JC44=2,30,0),IF(19=$HK44,IF($JC44=1,30,0),ABS(19-$HC44)*100)),100000+ABS(1-$HB44)*1000+190)),IF($HD44=0,999999,IF(1=$HE44,IF(19=$HL44,IF($JD44=2,30,0),IF(19=$HM44,IF($JD44=1,30,0),ABS(19-$HF44)*100)),100000+ABS(1-$HE44)*1000+190)),IF($HG44=0,999999,IF(1=$HH44,IF(19=$HN44,IF($JE44=2,30,0),IF(19=$HO44,IF($JE44=1,30,0),ABS(19-$HI44)*100)),100000+ABS(1-$HH44)*1000+190)))-IF((19=$HJ44)+(19=$HK44)+(19=$HL44)+(19=$HM44)+(19=$HN44)+(19=$HO44)&gt;=2,50,0))+V$5*50)</f>
        <v/>
      </c>
      <c r="W164">
        <f>IF(OR($JF44=0,calcA!$A$6=0),0,IF(OR(20=$HA44,20=$HD44,20=$HG44),200000,MIN(IF($HA44=0,999999,IF(1=$HB44,IF(20=$HJ44,IF($JC44=2,30,0),IF(20=$HK44,IF($JC44=1,30,0),ABS(20-$HC44)*100)),100000+ABS(1-$HB44)*1000+200)),IF($HD44=0,999999,IF(1=$HE44,IF(20=$HL44,IF($JD44=2,30,0),IF(20=$HM44,IF($JD44=1,30,0),ABS(20-$HF44)*100)),100000+ABS(1-$HE44)*1000+200)),IF($HG44=0,999999,IF(1=$HH44,IF(20=$HN44,IF($JE44=2,30,0),IF(20=$HO44,IF($JE44=1,30,0),ABS(20-$HI44)*100)),100000+ABS(1-$HH44)*1000+200)))-IF((20=$HJ44)+(20=$HK44)+(20=$HL44)+(20=$HM44)+(20=$HN44)+(20=$HO44)&gt;=2,50,0))+W$5*50)</f>
        <v/>
      </c>
      <c r="X164">
        <f>IF(OR($JF44=0,calcA!$A$6=0),0,IF(OR(21=$HA44,21=$HD44,21=$HG44),200000,MIN(IF($HA44=0,999999,IF(1=$HB44,IF(21=$HJ44,IF($JC44=2,30,0),IF(21=$HK44,IF($JC44=1,30,0),ABS(21-$HC44)*100)),100000+ABS(1-$HB44)*1000+210)),IF($HD44=0,999999,IF(1=$HE44,IF(21=$HL44,IF($JD44=2,30,0),IF(21=$HM44,IF($JD44=1,30,0),ABS(21-$HF44)*100)),100000+ABS(1-$HE44)*1000+210)),IF($HG44=0,999999,IF(1=$HH44,IF(21=$HN44,IF($JE44=2,30,0),IF(21=$HO44,IF($JE44=1,30,0),ABS(21-$HI44)*100)),100000+ABS(1-$HH44)*1000+210)))-IF((21=$HJ44)+(21=$HK44)+(21=$HL44)+(21=$HM44)+(21=$HN44)+(21=$HO44)&gt;=2,50,0))+X$5*50)</f>
        <v/>
      </c>
      <c r="Y164">
        <f>IF(OR($JF44=0,calcA!$A$6=0),0,IF(OR(22=$HA44,22=$HD44,22=$HG44),200000,MIN(IF($HA44=0,999999,IF(1=$HB44,IF(22=$HJ44,IF($JC44=2,30,0),IF(22=$HK44,IF($JC44=1,30,0),ABS(22-$HC44)*100)),100000+ABS(1-$HB44)*1000+220)),IF($HD44=0,999999,IF(1=$HE44,IF(22=$HL44,IF($JD44=2,30,0),IF(22=$HM44,IF($JD44=1,30,0),ABS(22-$HF44)*100)),100000+ABS(1-$HE44)*1000+220)),IF($HG44=0,999999,IF(1=$HH44,IF(22=$HN44,IF($JE44=2,30,0),IF(22=$HO44,IF($JE44=1,30,0),ABS(22-$HI44)*100)),100000+ABS(1-$HH44)*1000+220)))-IF((22=$HJ44)+(22=$HK44)+(22=$HL44)+(22=$HM44)+(22=$HN44)+(22=$HO44)&gt;=2,50,0))+Y$5*50)</f>
        <v/>
      </c>
      <c r="Z164">
        <f>IF(OR($JF44=0,calcA!$A$6=0),0,IF(OR(23=$HA44,23=$HD44,23=$HG44),200000,MIN(IF($HA44=0,999999,IF(1=$HB44,IF(23=$HJ44,IF($JC44=2,30,0),IF(23=$HK44,IF($JC44=1,30,0),ABS(23-$HC44)*100)),100000+ABS(1-$HB44)*1000+230)),IF($HD44=0,999999,IF(1=$HE44,IF(23=$HL44,IF($JD44=2,30,0),IF(23=$HM44,IF($JD44=1,30,0),ABS(23-$HF44)*100)),100000+ABS(1-$HE44)*1000+230)),IF($HG44=0,999999,IF(1=$HH44,IF(23=$HN44,IF($JE44=2,30,0),IF(23=$HO44,IF($JE44=1,30,0),ABS(23-$HI44)*100)),100000+ABS(1-$HH44)*1000+230)))-IF((23=$HJ44)+(23=$HK44)+(23=$HL44)+(23=$HM44)+(23=$HN44)+(23=$HO44)&gt;=2,50,0))+Z$5*50)</f>
        <v/>
      </c>
      <c r="AA164">
        <f>IF(OR($JF44=0,calcA!$A$6=0),0,IF(OR(24=$HA44,24=$HD44,24=$HG44),200000,MIN(IF($HA44=0,999999,IF(1=$HB44,IF(24=$HJ44,IF($JC44=2,30,0),IF(24=$HK44,IF($JC44=1,30,0),ABS(24-$HC44)*100)),100000+ABS(1-$HB44)*1000+240)),IF($HD44=0,999999,IF(1=$HE44,IF(24=$HL44,IF($JD44=2,30,0),IF(24=$HM44,IF($JD44=1,30,0),ABS(24-$HF44)*100)),100000+ABS(1-$HE44)*1000+240)),IF($HG44=0,999999,IF(1=$HH44,IF(24=$HN44,IF($JE44=2,30,0),IF(24=$HO44,IF($JE44=1,30,0),ABS(24-$HI44)*100)),100000+ABS(1-$HH44)*1000+240)))-IF((24=$HJ44)+(24=$HK44)+(24=$HL44)+(24=$HM44)+(24=$HN44)+(24=$HO44)&gt;=2,50,0))+AA$5*50)</f>
        <v/>
      </c>
      <c r="AB164">
        <f>IF(OR($JF44=0,calcA!$A$6=0),0,IF(OR(25=$HA44,25=$HD44,25=$HG44),200000,MIN(IF($HA44=0,999999,IF(2=$HB44,IF(25=$HJ44,IF($JC44=2,30,0),IF(25=$HK44,IF($JC44=1,30,0),ABS(1-$HC44)*100)),100000+ABS(2-$HB44)*1000+10)),IF($HD44=0,999999,IF(2=$HE44,IF(25=$HL44,IF($JD44=2,30,0),IF(25=$HM44,IF($JD44=1,30,0),ABS(1-$HF44)*100)),100000+ABS(2-$HE44)*1000+10)),IF($HG44=0,999999,IF(2=$HH44,IF(25=$HN44,IF($JE44=2,30,0),IF(25=$HO44,IF($JE44=1,30,0),ABS(1-$HI44)*100)),100000+ABS(2-$HH44)*1000+10)))-IF((25=$HJ44)+(25=$HK44)+(25=$HL44)+(25=$HM44)+(25=$HN44)+(25=$HO44)&gt;=2,50,0))+AB$5*50)</f>
        <v/>
      </c>
      <c r="AC164">
        <f>IF(OR($JF44=0,calcA!$A$6=0),0,IF(OR(26=$HA44,26=$HD44,26=$HG44),200000,MIN(IF($HA44=0,999999,IF(2=$HB44,IF(26=$HJ44,IF($JC44=2,30,0),IF(26=$HK44,IF($JC44=1,30,0),ABS(2-$HC44)*100)),100000+ABS(2-$HB44)*1000+20)),IF($HD44=0,999999,IF(2=$HE44,IF(26=$HL44,IF($JD44=2,30,0),IF(26=$HM44,IF($JD44=1,30,0),ABS(2-$HF44)*100)),100000+ABS(2-$HE44)*1000+20)),IF($HG44=0,999999,IF(2=$HH44,IF(26=$HN44,IF($JE44=2,30,0),IF(26=$HO44,IF($JE44=1,30,0),ABS(2-$HI44)*100)),100000+ABS(2-$HH44)*1000+20)))-IF((26=$HJ44)+(26=$HK44)+(26=$HL44)+(26=$HM44)+(26=$HN44)+(26=$HO44)&gt;=2,50,0))+AC$5*50)</f>
        <v/>
      </c>
      <c r="AD164">
        <f>IF(OR($JF44=0,calcA!$A$6=0),0,IF(OR(27=$HA44,27=$HD44,27=$HG44),200000,MIN(IF($HA44=0,999999,IF(2=$HB44,IF(27=$HJ44,IF($JC44=2,30,0),IF(27=$HK44,IF($JC44=1,30,0),ABS(3-$HC44)*100)),100000+ABS(2-$HB44)*1000+30)),IF($HD44=0,999999,IF(2=$HE44,IF(27=$HL44,IF($JD44=2,30,0),IF(27=$HM44,IF($JD44=1,30,0),ABS(3-$HF44)*100)),100000+ABS(2-$HE44)*1000+30)),IF($HG44=0,999999,IF(2=$HH44,IF(27=$HN44,IF($JE44=2,30,0),IF(27=$HO44,IF($JE44=1,30,0),ABS(3-$HI44)*100)),100000+ABS(2-$HH44)*1000+30)))-IF((27=$HJ44)+(27=$HK44)+(27=$HL44)+(27=$HM44)+(27=$HN44)+(27=$HO44)&gt;=2,50,0))+AD$5*50)</f>
        <v/>
      </c>
      <c r="AE164">
        <f>IF(OR($JF44=0,calcA!$A$6=0),0,IF(OR(28=$HA44,28=$HD44,28=$HG44),200000,MIN(IF($HA44=0,999999,IF(2=$HB44,IF(28=$HJ44,IF($JC44=2,30,0),IF(28=$HK44,IF($JC44=1,30,0),ABS(4-$HC44)*100)),100000+ABS(2-$HB44)*1000+40)),IF($HD44=0,999999,IF(2=$HE44,IF(28=$HL44,IF($JD44=2,30,0),IF(28=$HM44,IF($JD44=1,30,0),ABS(4-$HF44)*100)),100000+ABS(2-$HE44)*1000+40)),IF($HG44=0,999999,IF(2=$HH44,IF(28=$HN44,IF($JE44=2,30,0),IF(28=$HO44,IF($JE44=1,30,0),ABS(4-$HI44)*100)),100000+ABS(2-$HH44)*1000+40)))-IF((28=$HJ44)+(28=$HK44)+(28=$HL44)+(28=$HM44)+(28=$HN44)+(28=$HO44)&gt;=2,50,0))+AE$5*50)</f>
        <v/>
      </c>
      <c r="AF164">
        <f>IF(OR($JF44=0,calcA!$A$6=0),0,IF(OR(29=$HA44,29=$HD44,29=$HG44),200000,MIN(IF($HA44=0,999999,IF(2=$HB44,IF(29=$HJ44,IF($JC44=2,30,0),IF(29=$HK44,IF($JC44=1,30,0),ABS(5-$HC44)*100)),100000+ABS(2-$HB44)*1000+50)),IF($HD44=0,999999,IF(2=$HE44,IF(29=$HL44,IF($JD44=2,30,0),IF(29=$HM44,IF($JD44=1,30,0),ABS(5-$HF44)*100)),100000+ABS(2-$HE44)*1000+50)),IF($HG44=0,999999,IF(2=$HH44,IF(29=$HN44,IF($JE44=2,30,0),IF(29=$HO44,IF($JE44=1,30,0),ABS(5-$HI44)*100)),100000+ABS(2-$HH44)*1000+50)))-IF((29=$HJ44)+(29=$HK44)+(29=$HL44)+(29=$HM44)+(29=$HN44)+(29=$HO44)&gt;=2,50,0))+AF$5*50)</f>
        <v/>
      </c>
      <c r="AG164">
        <f>IF(OR($JF44=0,calcA!$A$6=0),0,IF(OR(30=$HA44,30=$HD44,30=$HG44),200000,MIN(IF($HA44=0,999999,IF(2=$HB44,IF(30=$HJ44,IF($JC44=2,30,0),IF(30=$HK44,IF($JC44=1,30,0),ABS(6-$HC44)*100)),100000+ABS(2-$HB44)*1000+60)),IF($HD44=0,999999,IF(2=$HE44,IF(30=$HL44,IF($JD44=2,30,0),IF(30=$HM44,IF($JD44=1,30,0),ABS(6-$HF44)*100)),100000+ABS(2-$HE44)*1000+60)),IF($HG44=0,999999,IF(2=$HH44,IF(30=$HN44,IF($JE44=2,30,0),IF(30=$HO44,IF($JE44=1,30,0),ABS(6-$HI44)*100)),100000+ABS(2-$HH44)*1000+60)))-IF((30=$HJ44)+(30=$HK44)+(30=$HL44)+(30=$HM44)+(30=$HN44)+(30=$HO44)&gt;=2,50,0))+AG$5*50)</f>
        <v/>
      </c>
      <c r="AH164">
        <f>IF(OR($JF44=0,calcA!$A$6=0),0,IF(OR(31=$HA44,31=$HD44,31=$HG44),200000,MIN(IF($HA44=0,999999,IF(2=$HB44,IF(31=$HJ44,IF($JC44=2,30,0),IF(31=$HK44,IF($JC44=1,30,0),ABS(7-$HC44)*100)),100000+ABS(2-$HB44)*1000+70)),IF($HD44=0,999999,IF(2=$HE44,IF(31=$HL44,IF($JD44=2,30,0),IF(31=$HM44,IF($JD44=1,30,0),ABS(7-$HF44)*100)),100000+ABS(2-$HE44)*1000+70)),IF($HG44=0,999999,IF(2=$HH44,IF(31=$HN44,IF($JE44=2,30,0),IF(31=$HO44,IF($JE44=1,30,0),ABS(7-$HI44)*100)),100000+ABS(2-$HH44)*1000+70)))-IF((31=$HJ44)+(31=$HK44)+(31=$HL44)+(31=$HM44)+(31=$HN44)+(31=$HO44)&gt;=2,50,0))+AH$5*50)</f>
        <v/>
      </c>
      <c r="AI164">
        <f>IF(OR($JF44=0,calcA!$A$6=0),0,IF(OR(32=$HA44,32=$HD44,32=$HG44),200000,MIN(IF($HA44=0,999999,IF(2=$HB44,IF(32=$HJ44,IF($JC44=2,30,0),IF(32=$HK44,IF($JC44=1,30,0),ABS(8-$HC44)*100)),100000+ABS(2-$HB44)*1000+80)),IF($HD44=0,999999,IF(2=$HE44,IF(32=$HL44,IF($JD44=2,30,0),IF(32=$HM44,IF($JD44=1,30,0),ABS(8-$HF44)*100)),100000+ABS(2-$HE44)*1000+80)),IF($HG44=0,999999,IF(2=$HH44,IF(32=$HN44,IF($JE44=2,30,0),IF(32=$HO44,IF($JE44=1,30,0),ABS(8-$HI44)*100)),100000+ABS(2-$HH44)*1000+80)))-IF((32=$HJ44)+(32=$HK44)+(32=$HL44)+(32=$HM44)+(32=$HN44)+(32=$HO44)&gt;=2,50,0))+AI$5*50)</f>
        <v/>
      </c>
      <c r="AJ164">
        <f>IF(OR($JF44=0,calcA!$A$6=0),0,IF(OR(33=$HA44,33=$HD44,33=$HG44),200000,MIN(IF($HA44=0,999999,IF(2=$HB44,IF(33=$HJ44,IF($JC44=2,30,0),IF(33=$HK44,IF($JC44=1,30,0),ABS(9-$HC44)*100)),100000+ABS(2-$HB44)*1000+90)),IF($HD44=0,999999,IF(2=$HE44,IF(33=$HL44,IF($JD44=2,30,0),IF(33=$HM44,IF($JD44=1,30,0),ABS(9-$HF44)*100)),100000+ABS(2-$HE44)*1000+90)),IF($HG44=0,999999,IF(2=$HH44,IF(33=$HN44,IF($JE44=2,30,0),IF(33=$HO44,IF($JE44=1,30,0),ABS(9-$HI44)*100)),100000+ABS(2-$HH44)*1000+90)))-IF((33=$HJ44)+(33=$HK44)+(33=$HL44)+(33=$HM44)+(33=$HN44)+(33=$HO44)&gt;=2,50,0))+AJ$5*50)</f>
        <v/>
      </c>
      <c r="AK164">
        <f>IF(OR($JF44=0,calcA!$A$6=0),0,IF(OR(34=$HA44,34=$HD44,34=$HG44),200000,MIN(IF($HA44=0,999999,IF(2=$HB44,IF(34=$HJ44,IF($JC44=2,30,0),IF(34=$HK44,IF($JC44=1,30,0),ABS(10-$HC44)*100)),100000+ABS(2-$HB44)*1000+100)),IF($HD44=0,999999,IF(2=$HE44,IF(34=$HL44,IF($JD44=2,30,0),IF(34=$HM44,IF($JD44=1,30,0),ABS(10-$HF44)*100)),100000+ABS(2-$HE44)*1000+100)),IF($HG44=0,999999,IF(2=$HH44,IF(34=$HN44,IF($JE44=2,30,0),IF(34=$HO44,IF($JE44=1,30,0),ABS(10-$HI44)*100)),100000+ABS(2-$HH44)*1000+100)))-IF((34=$HJ44)+(34=$HK44)+(34=$HL44)+(34=$HM44)+(34=$HN44)+(34=$HO44)&gt;=2,50,0))+AK$5*50)</f>
        <v/>
      </c>
      <c r="AL164">
        <f>IF(OR($JF44=0,calcA!$A$6=0),0,IF(OR(35=$HA44,35=$HD44,35=$HG44),200000,MIN(IF($HA44=0,999999,IF(2=$HB44,IF(35=$HJ44,IF($JC44=2,30,0),IF(35=$HK44,IF($JC44=1,30,0),ABS(11-$HC44)*100)),100000+ABS(2-$HB44)*1000+110)),IF($HD44=0,999999,IF(2=$HE44,IF(35=$HL44,IF($JD44=2,30,0),IF(35=$HM44,IF($JD44=1,30,0),ABS(11-$HF44)*100)),100000+ABS(2-$HE44)*1000+110)),IF($HG44=0,999999,IF(2=$HH44,IF(35=$HN44,IF($JE44=2,30,0),IF(35=$HO44,IF($JE44=1,30,0),ABS(11-$HI44)*100)),100000+ABS(2-$HH44)*1000+110)))-IF((35=$HJ44)+(35=$HK44)+(35=$HL44)+(35=$HM44)+(35=$HN44)+(35=$HO44)&gt;=2,50,0))+AL$5*50)</f>
        <v/>
      </c>
      <c r="AM164">
        <f>IF(OR($JF44=0,calcA!$A$6=0),0,IF(OR(36=$HA44,36=$HD44,36=$HG44),200000,MIN(IF($HA44=0,999999,IF(2=$HB44,IF(36=$HJ44,IF($JC44=2,30,0),IF(36=$HK44,IF($JC44=1,30,0),ABS(12-$HC44)*100)),100000+ABS(2-$HB44)*1000+120)),IF($HD44=0,999999,IF(2=$HE44,IF(36=$HL44,IF($JD44=2,30,0),IF(36=$HM44,IF($JD44=1,30,0),ABS(12-$HF44)*100)),100000+ABS(2-$HE44)*1000+120)),IF($HG44=0,999999,IF(2=$HH44,IF(36=$HN44,IF($JE44=2,30,0),IF(36=$HO44,IF($JE44=1,30,0),ABS(12-$HI44)*100)),100000+ABS(2-$HH44)*1000+120)))-IF((36=$HJ44)+(36=$HK44)+(36=$HL44)+(36=$HM44)+(36=$HN44)+(36=$HO44)&gt;=2,50,0))+AM$5*50)</f>
        <v/>
      </c>
      <c r="AN164">
        <f>IF(OR($JF44=0,calcA!$A$6=0),0,IF(OR(37=$HA44,37=$HD44,37=$HG44),200000,MIN(IF($HA44=0,999999,IF(2=$HB44,IF(37=$HJ44,IF($JC44=2,30,0),IF(37=$HK44,IF($JC44=1,30,0),ABS(13-$HC44)*100)),100000+ABS(2-$HB44)*1000+130)),IF($HD44=0,999999,IF(2=$HE44,IF(37=$HL44,IF($JD44=2,30,0),IF(37=$HM44,IF($JD44=1,30,0),ABS(13-$HF44)*100)),100000+ABS(2-$HE44)*1000+130)),IF($HG44=0,999999,IF(2=$HH44,IF(37=$HN44,IF($JE44=2,30,0),IF(37=$HO44,IF($JE44=1,30,0),ABS(13-$HI44)*100)),100000+ABS(2-$HH44)*1000+130)))-IF((37=$HJ44)+(37=$HK44)+(37=$HL44)+(37=$HM44)+(37=$HN44)+(37=$HO44)&gt;=2,50,0))+AN$5*50)</f>
        <v/>
      </c>
      <c r="AO164">
        <f>IF(OR($JF44=0,calcA!$A$6=0),0,IF(OR(38=$HA44,38=$HD44,38=$HG44),200000,MIN(IF($HA44=0,999999,IF(2=$HB44,IF(38=$HJ44,IF($JC44=2,30,0),IF(38=$HK44,IF($JC44=1,30,0),ABS(14-$HC44)*100)),100000+ABS(2-$HB44)*1000+140)),IF($HD44=0,999999,IF(2=$HE44,IF(38=$HL44,IF($JD44=2,30,0),IF(38=$HM44,IF($JD44=1,30,0),ABS(14-$HF44)*100)),100000+ABS(2-$HE44)*1000+140)),IF($HG44=0,999999,IF(2=$HH44,IF(38=$HN44,IF($JE44=2,30,0),IF(38=$HO44,IF($JE44=1,30,0),ABS(14-$HI44)*100)),100000+ABS(2-$HH44)*1000+140)))-IF((38=$HJ44)+(38=$HK44)+(38=$HL44)+(38=$HM44)+(38=$HN44)+(38=$HO44)&gt;=2,50,0))+AO$5*50)</f>
        <v/>
      </c>
      <c r="AP164">
        <f>IF(OR($JF44=0,calcA!$A$6=0),0,IF(OR(39=$HA44,39=$HD44,39=$HG44),200000,MIN(IF($HA44=0,999999,IF(2=$HB44,IF(39=$HJ44,IF($JC44=2,30,0),IF(39=$HK44,IF($JC44=1,30,0),ABS(15-$HC44)*100)),100000+ABS(2-$HB44)*1000+150)),IF($HD44=0,999999,IF(2=$HE44,IF(39=$HL44,IF($JD44=2,30,0),IF(39=$HM44,IF($JD44=1,30,0),ABS(15-$HF44)*100)),100000+ABS(2-$HE44)*1000+150)),IF($HG44=0,999999,IF(2=$HH44,IF(39=$HN44,IF($JE44=2,30,0),IF(39=$HO44,IF($JE44=1,30,0),ABS(15-$HI44)*100)),100000+ABS(2-$HH44)*1000+150)))-IF((39=$HJ44)+(39=$HK44)+(39=$HL44)+(39=$HM44)+(39=$HN44)+(39=$HO44)&gt;=2,50,0))+AP$5*50)</f>
        <v/>
      </c>
      <c r="AQ164">
        <f>IF(OR($JF44=0,calcA!$A$6=0),0,IF(OR(40=$HA44,40=$HD44,40=$HG44),200000,MIN(IF($HA44=0,999999,IF(2=$HB44,IF(40=$HJ44,IF($JC44=2,30,0),IF(40=$HK44,IF($JC44=1,30,0),ABS(16-$HC44)*100)),100000+ABS(2-$HB44)*1000+160)),IF($HD44=0,999999,IF(2=$HE44,IF(40=$HL44,IF($JD44=2,30,0),IF(40=$HM44,IF($JD44=1,30,0),ABS(16-$HF44)*100)),100000+ABS(2-$HE44)*1000+160)),IF($HG44=0,999999,IF(2=$HH44,IF(40=$HN44,IF($JE44=2,30,0),IF(40=$HO44,IF($JE44=1,30,0),ABS(16-$HI44)*100)),100000+ABS(2-$HH44)*1000+160)))-IF((40=$HJ44)+(40=$HK44)+(40=$HL44)+(40=$HM44)+(40=$HN44)+(40=$HO44)&gt;=2,50,0))+AQ$5*50)</f>
        <v/>
      </c>
      <c r="AR164">
        <f>IF(OR($JF44=0,calcA!$A$6=0),0,IF(OR(41=$HA44,41=$HD44,41=$HG44),200000,MIN(IF($HA44=0,999999,IF(2=$HB44,IF(41=$HJ44,IF($JC44=2,30,0),IF(41=$HK44,IF($JC44=1,30,0),ABS(17-$HC44)*100)),100000+ABS(2-$HB44)*1000+170)),IF($HD44=0,999999,IF(2=$HE44,IF(41=$HL44,IF($JD44=2,30,0),IF(41=$HM44,IF($JD44=1,30,0),ABS(17-$HF44)*100)),100000+ABS(2-$HE44)*1000+170)),IF($HG44=0,999999,IF(2=$HH44,IF(41=$HN44,IF($JE44=2,30,0),IF(41=$HO44,IF($JE44=1,30,0),ABS(17-$HI44)*100)),100000+ABS(2-$HH44)*1000+170)))-IF((41=$HJ44)+(41=$HK44)+(41=$HL44)+(41=$HM44)+(41=$HN44)+(41=$HO44)&gt;=2,50,0))+AR$5*50)</f>
        <v/>
      </c>
      <c r="AS164">
        <f>IF(OR($JF44=0,calcA!$A$6=0),0,IF(OR(42=$HA44,42=$HD44,42=$HG44),200000,MIN(IF($HA44=0,999999,IF(2=$HB44,IF(42=$HJ44,IF($JC44=2,30,0),IF(42=$HK44,IF($JC44=1,30,0),ABS(18-$HC44)*100)),100000+ABS(2-$HB44)*1000+180)),IF($HD44=0,999999,IF(2=$HE44,IF(42=$HL44,IF($JD44=2,30,0),IF(42=$HM44,IF($JD44=1,30,0),ABS(18-$HF44)*100)),100000+ABS(2-$HE44)*1000+180)),IF($HG44=0,999999,IF(2=$HH44,IF(42=$HN44,IF($JE44=2,30,0),IF(42=$HO44,IF($JE44=1,30,0),ABS(18-$HI44)*100)),100000+ABS(2-$HH44)*1000+180)))-IF((42=$HJ44)+(42=$HK44)+(42=$HL44)+(42=$HM44)+(42=$HN44)+(42=$HO44)&gt;=2,50,0))+AS$5*50)</f>
        <v/>
      </c>
      <c r="AT164">
        <f>IF(OR($JF44=0,calcA!$A$6=0),0,IF(OR(43=$HA44,43=$HD44,43=$HG44),200000,MIN(IF($HA44=0,999999,IF(2=$HB44,IF(43=$HJ44,IF($JC44=2,30,0),IF(43=$HK44,IF($JC44=1,30,0),ABS(19-$HC44)*100)),100000+ABS(2-$HB44)*1000+190)),IF($HD44=0,999999,IF(2=$HE44,IF(43=$HL44,IF($JD44=2,30,0),IF(43=$HM44,IF($JD44=1,30,0),ABS(19-$HF44)*100)),100000+ABS(2-$HE44)*1000+190)),IF($HG44=0,999999,IF(2=$HH44,IF(43=$HN44,IF($JE44=2,30,0),IF(43=$HO44,IF($JE44=1,30,0),ABS(19-$HI44)*100)),100000+ABS(2-$HH44)*1000+190)))-IF((43=$HJ44)+(43=$HK44)+(43=$HL44)+(43=$HM44)+(43=$HN44)+(43=$HO44)&gt;=2,50,0))+AT$5*50)</f>
        <v/>
      </c>
      <c r="AU164">
        <f>IF(OR($JF44=0,calcA!$A$6=0),0,IF(OR(44=$HA44,44=$HD44,44=$HG44),200000,MIN(IF($HA44=0,999999,IF(2=$HB44,IF(44=$HJ44,IF($JC44=2,30,0),IF(44=$HK44,IF($JC44=1,30,0),ABS(20-$HC44)*100)),100000+ABS(2-$HB44)*1000+200)),IF($HD44=0,999999,IF(2=$HE44,IF(44=$HL44,IF($JD44=2,30,0),IF(44=$HM44,IF($JD44=1,30,0),ABS(20-$HF44)*100)),100000+ABS(2-$HE44)*1000+200)),IF($HG44=0,999999,IF(2=$HH44,IF(44=$HN44,IF($JE44=2,30,0),IF(44=$HO44,IF($JE44=1,30,0),ABS(20-$HI44)*100)),100000+ABS(2-$HH44)*1000+200)))-IF((44=$HJ44)+(44=$HK44)+(44=$HL44)+(44=$HM44)+(44=$HN44)+(44=$HO44)&gt;=2,50,0))+AU$5*50)</f>
        <v/>
      </c>
      <c r="AV164">
        <f>IF(OR($JF44=0,calcA!$A$6=0),0,IF(OR(45=$HA44,45=$HD44,45=$HG44),200000,MIN(IF($HA44=0,999999,IF(2=$HB44,IF(45=$HJ44,IF($JC44=2,30,0),IF(45=$HK44,IF($JC44=1,30,0),ABS(21-$HC44)*100)),100000+ABS(2-$HB44)*1000+210)),IF($HD44=0,999999,IF(2=$HE44,IF(45=$HL44,IF($JD44=2,30,0),IF(45=$HM44,IF($JD44=1,30,0),ABS(21-$HF44)*100)),100000+ABS(2-$HE44)*1000+210)),IF($HG44=0,999999,IF(2=$HH44,IF(45=$HN44,IF($JE44=2,30,0),IF(45=$HO44,IF($JE44=1,30,0),ABS(21-$HI44)*100)),100000+ABS(2-$HH44)*1000+210)))-IF((45=$HJ44)+(45=$HK44)+(45=$HL44)+(45=$HM44)+(45=$HN44)+(45=$HO44)&gt;=2,50,0))+AV$5*50)</f>
        <v/>
      </c>
      <c r="AW164">
        <f>IF(OR($JF44=0,calcA!$A$6=0),0,IF(OR(46=$HA44,46=$HD44,46=$HG44),200000,MIN(IF($HA44=0,999999,IF(2=$HB44,IF(46=$HJ44,IF($JC44=2,30,0),IF(46=$HK44,IF($JC44=1,30,0),ABS(22-$HC44)*100)),100000+ABS(2-$HB44)*1000+220)),IF($HD44=0,999999,IF(2=$HE44,IF(46=$HL44,IF($JD44=2,30,0),IF(46=$HM44,IF($JD44=1,30,0),ABS(22-$HF44)*100)),100000+ABS(2-$HE44)*1000+220)),IF($HG44=0,999999,IF(2=$HH44,IF(46=$HN44,IF($JE44=2,30,0),IF(46=$HO44,IF($JE44=1,30,0),ABS(22-$HI44)*100)),100000+ABS(2-$HH44)*1000+220)))-IF((46=$HJ44)+(46=$HK44)+(46=$HL44)+(46=$HM44)+(46=$HN44)+(46=$HO44)&gt;=2,50,0))+AW$5*50)</f>
        <v/>
      </c>
      <c r="AX164">
        <f>IF(OR($JF44=0,calcA!$A$6=0),0,IF(OR(47=$HA44,47=$HD44,47=$HG44),200000,MIN(IF($HA44=0,999999,IF(2=$HB44,IF(47=$HJ44,IF($JC44=2,30,0),IF(47=$HK44,IF($JC44=1,30,0),ABS(23-$HC44)*100)),100000+ABS(2-$HB44)*1000+230)),IF($HD44=0,999999,IF(2=$HE44,IF(47=$HL44,IF($JD44=2,30,0),IF(47=$HM44,IF($JD44=1,30,0),ABS(23-$HF44)*100)),100000+ABS(2-$HE44)*1000+230)),IF($HG44=0,999999,IF(2=$HH44,IF(47=$HN44,IF($JE44=2,30,0),IF(47=$HO44,IF($JE44=1,30,0),ABS(23-$HI44)*100)),100000+ABS(2-$HH44)*1000+230)))-IF((47=$HJ44)+(47=$HK44)+(47=$HL44)+(47=$HM44)+(47=$HN44)+(47=$HO44)&gt;=2,50,0))+AX$5*50)</f>
        <v/>
      </c>
      <c r="AY164">
        <f>IF(OR($JF44=0,calcA!$A$6=0),0,IF(OR(48=$HA44,48=$HD44,48=$HG44),200000,MIN(IF($HA44=0,999999,IF(2=$HB44,IF(48=$HJ44,IF($JC44=2,30,0),IF(48=$HK44,IF($JC44=1,30,0),ABS(24-$HC44)*100)),100000+ABS(2-$HB44)*1000+240)),IF($HD44=0,999999,IF(2=$HE44,IF(48=$HL44,IF($JD44=2,30,0),IF(48=$HM44,IF($JD44=1,30,0),ABS(24-$HF44)*100)),100000+ABS(2-$HE44)*1000+240)),IF($HG44=0,999999,IF(2=$HH44,IF(48=$HN44,IF($JE44=2,30,0),IF(48=$HO44,IF($JE44=1,30,0),ABS(24-$HI44)*100)),100000+ABS(2-$HH44)*1000+240)))-IF((48=$HJ44)+(48=$HK44)+(48=$HL44)+(48=$HM44)+(48=$HN44)+(48=$HO44)&gt;=2,50,0))+AY$5*50)</f>
        <v/>
      </c>
      <c r="AZ164">
        <f>IF(OR($JF44=0,calcA!$A$6=0),0,IF(OR(49=$HA44,49=$HD44,49=$HG44),200000,MIN(IF($HA44=0,999999,IF(3=$HB44,IF(49=$HJ44,IF($JC44=2,30,0),IF(49=$HK44,IF($JC44=1,30,0),ABS(1-$HC44)*100)),100000+ABS(3-$HB44)*1000+10)),IF($HD44=0,999999,IF(3=$HE44,IF(49=$HL44,IF($JD44=2,30,0),IF(49=$HM44,IF($JD44=1,30,0),ABS(1-$HF44)*100)),100000+ABS(3-$HE44)*1000+10)),IF($HG44=0,999999,IF(3=$HH44,IF(49=$HN44,IF($JE44=2,30,0),IF(49=$HO44,IF($JE44=1,30,0),ABS(1-$HI44)*100)),100000+ABS(3-$HH44)*1000+10)))-IF((49=$HJ44)+(49=$HK44)+(49=$HL44)+(49=$HM44)+(49=$HN44)+(49=$HO44)&gt;=2,50,0))+AZ$5*50)</f>
        <v/>
      </c>
      <c r="BA164">
        <f>IF(OR($JF44=0,calcA!$A$6=0),0,IF(OR(50=$HA44,50=$HD44,50=$HG44),200000,MIN(IF($HA44=0,999999,IF(3=$HB44,IF(50=$HJ44,IF($JC44=2,30,0),IF(50=$HK44,IF($JC44=1,30,0),ABS(2-$HC44)*100)),100000+ABS(3-$HB44)*1000+20)),IF($HD44=0,999999,IF(3=$HE44,IF(50=$HL44,IF($JD44=2,30,0),IF(50=$HM44,IF($JD44=1,30,0),ABS(2-$HF44)*100)),100000+ABS(3-$HE44)*1000+20)),IF($HG44=0,999999,IF(3=$HH44,IF(50=$HN44,IF($JE44=2,30,0),IF(50=$HO44,IF($JE44=1,30,0),ABS(2-$HI44)*100)),100000+ABS(3-$HH44)*1000+20)))-IF((50=$HJ44)+(50=$HK44)+(50=$HL44)+(50=$HM44)+(50=$HN44)+(50=$HO44)&gt;=2,50,0))+BA$5*50)</f>
        <v/>
      </c>
      <c r="BB164">
        <f>IF(OR($JF44=0,calcA!$A$6=0),0,IF(OR(51=$HA44,51=$HD44,51=$HG44),200000,MIN(IF($HA44=0,999999,IF(3=$HB44,IF(51=$HJ44,IF($JC44=2,30,0),IF(51=$HK44,IF($JC44=1,30,0),ABS(3-$HC44)*100)),100000+ABS(3-$HB44)*1000+30)),IF($HD44=0,999999,IF(3=$HE44,IF(51=$HL44,IF($JD44=2,30,0),IF(51=$HM44,IF($JD44=1,30,0),ABS(3-$HF44)*100)),100000+ABS(3-$HE44)*1000+30)),IF($HG44=0,999999,IF(3=$HH44,IF(51=$HN44,IF($JE44=2,30,0),IF(51=$HO44,IF($JE44=1,30,0),ABS(3-$HI44)*100)),100000+ABS(3-$HH44)*1000+30)))-IF((51=$HJ44)+(51=$HK44)+(51=$HL44)+(51=$HM44)+(51=$HN44)+(51=$HO44)&gt;=2,50,0))+BB$5*50)</f>
        <v/>
      </c>
      <c r="BC164">
        <f>IF(OR($JF44=0,calcA!$A$6=0),0,IF(OR(52=$HA44,52=$HD44,52=$HG44),200000,MIN(IF($HA44=0,999999,IF(3=$HB44,IF(52=$HJ44,IF($JC44=2,30,0),IF(52=$HK44,IF($JC44=1,30,0),ABS(4-$HC44)*100)),100000+ABS(3-$HB44)*1000+40)),IF($HD44=0,999999,IF(3=$HE44,IF(52=$HL44,IF($JD44=2,30,0),IF(52=$HM44,IF($JD44=1,30,0),ABS(4-$HF44)*100)),100000+ABS(3-$HE44)*1000+40)),IF($HG44=0,999999,IF(3=$HH44,IF(52=$HN44,IF($JE44=2,30,0),IF(52=$HO44,IF($JE44=1,30,0),ABS(4-$HI44)*100)),100000+ABS(3-$HH44)*1000+40)))-IF((52=$HJ44)+(52=$HK44)+(52=$HL44)+(52=$HM44)+(52=$HN44)+(52=$HO44)&gt;=2,50,0))+BC$5*50)</f>
        <v/>
      </c>
      <c r="BD164">
        <f>IF(OR($JF44=0,calcA!$A$6=0),0,IF(OR(53=$HA44,53=$HD44,53=$HG44),200000,MIN(IF($HA44=0,999999,IF(3=$HB44,IF(53=$HJ44,IF($JC44=2,30,0),IF(53=$HK44,IF($JC44=1,30,0),ABS(5-$HC44)*100)),100000+ABS(3-$HB44)*1000+50)),IF($HD44=0,999999,IF(3=$HE44,IF(53=$HL44,IF($JD44=2,30,0),IF(53=$HM44,IF($JD44=1,30,0),ABS(5-$HF44)*100)),100000+ABS(3-$HE44)*1000+50)),IF($HG44=0,999999,IF(3=$HH44,IF(53=$HN44,IF($JE44=2,30,0),IF(53=$HO44,IF($JE44=1,30,0),ABS(5-$HI44)*100)),100000+ABS(3-$HH44)*1000+50)))-IF((53=$HJ44)+(53=$HK44)+(53=$HL44)+(53=$HM44)+(53=$HN44)+(53=$HO44)&gt;=2,50,0))+BD$5*50)</f>
        <v/>
      </c>
      <c r="BE164">
        <f>IF(OR($JF44=0,calcA!$A$6=0),0,IF(OR(54=$HA44,54=$HD44,54=$HG44),200000,MIN(IF($HA44=0,999999,IF(3=$HB44,IF(54=$HJ44,IF($JC44=2,30,0),IF(54=$HK44,IF($JC44=1,30,0),ABS(6-$HC44)*100)),100000+ABS(3-$HB44)*1000+60)),IF($HD44=0,999999,IF(3=$HE44,IF(54=$HL44,IF($JD44=2,30,0),IF(54=$HM44,IF($JD44=1,30,0),ABS(6-$HF44)*100)),100000+ABS(3-$HE44)*1000+60)),IF($HG44=0,999999,IF(3=$HH44,IF(54=$HN44,IF($JE44=2,30,0),IF(54=$HO44,IF($JE44=1,30,0),ABS(6-$HI44)*100)),100000+ABS(3-$HH44)*1000+60)))-IF((54=$HJ44)+(54=$HK44)+(54=$HL44)+(54=$HM44)+(54=$HN44)+(54=$HO44)&gt;=2,50,0))+BE$5*50)</f>
        <v/>
      </c>
      <c r="BF164">
        <f>IF(OR($JF44=0,calcA!$A$6=0),0,IF(OR(55=$HA44,55=$HD44,55=$HG44),200000,MIN(IF($HA44=0,999999,IF(3=$HB44,IF(55=$HJ44,IF($JC44=2,30,0),IF(55=$HK44,IF($JC44=1,30,0),ABS(7-$HC44)*100)),100000+ABS(3-$HB44)*1000+70)),IF($HD44=0,999999,IF(3=$HE44,IF(55=$HL44,IF($JD44=2,30,0),IF(55=$HM44,IF($JD44=1,30,0),ABS(7-$HF44)*100)),100000+ABS(3-$HE44)*1000+70)),IF($HG44=0,999999,IF(3=$HH44,IF(55=$HN44,IF($JE44=2,30,0),IF(55=$HO44,IF($JE44=1,30,0),ABS(7-$HI44)*100)),100000+ABS(3-$HH44)*1000+70)))-IF((55=$HJ44)+(55=$HK44)+(55=$HL44)+(55=$HM44)+(55=$HN44)+(55=$HO44)&gt;=2,50,0))+BF$5*50)</f>
        <v/>
      </c>
      <c r="BG164">
        <f>IF(OR($JF44=0,calcA!$A$6=0),0,IF(OR(56=$HA44,56=$HD44,56=$HG44),200000,MIN(IF($HA44=0,999999,IF(3=$HB44,IF(56=$HJ44,IF($JC44=2,30,0),IF(56=$HK44,IF($JC44=1,30,0),ABS(8-$HC44)*100)),100000+ABS(3-$HB44)*1000+80)),IF($HD44=0,999999,IF(3=$HE44,IF(56=$HL44,IF($JD44=2,30,0),IF(56=$HM44,IF($JD44=1,30,0),ABS(8-$HF44)*100)),100000+ABS(3-$HE44)*1000+80)),IF($HG44=0,999999,IF(3=$HH44,IF(56=$HN44,IF($JE44=2,30,0),IF(56=$HO44,IF($JE44=1,30,0),ABS(8-$HI44)*100)),100000+ABS(3-$HH44)*1000+80)))-IF((56=$HJ44)+(56=$HK44)+(56=$HL44)+(56=$HM44)+(56=$HN44)+(56=$HO44)&gt;=2,50,0))+BG$5*50)</f>
        <v/>
      </c>
      <c r="BH164">
        <f>IF(OR($JF44=0,calcA!$A$6=0),0,IF(OR(57=$HA44,57=$HD44,57=$HG44),200000,MIN(IF($HA44=0,999999,IF(3=$HB44,IF(57=$HJ44,IF($JC44=2,30,0),IF(57=$HK44,IF($JC44=1,30,0),ABS(9-$HC44)*100)),100000+ABS(3-$HB44)*1000+90)),IF($HD44=0,999999,IF(3=$HE44,IF(57=$HL44,IF($JD44=2,30,0),IF(57=$HM44,IF($JD44=1,30,0),ABS(9-$HF44)*100)),100000+ABS(3-$HE44)*1000+90)),IF($HG44=0,999999,IF(3=$HH44,IF(57=$HN44,IF($JE44=2,30,0),IF(57=$HO44,IF($JE44=1,30,0),ABS(9-$HI44)*100)),100000+ABS(3-$HH44)*1000+90)))-IF((57=$HJ44)+(57=$HK44)+(57=$HL44)+(57=$HM44)+(57=$HN44)+(57=$HO44)&gt;=2,50,0))+BH$5*50)</f>
        <v/>
      </c>
      <c r="BI164">
        <f>IF(OR($JF44=0,calcA!$A$6=0),0,IF(OR(58=$HA44,58=$HD44,58=$HG44),200000,MIN(IF($HA44=0,999999,IF(3=$HB44,IF(58=$HJ44,IF($JC44=2,30,0),IF(58=$HK44,IF($JC44=1,30,0),ABS(10-$HC44)*100)),100000+ABS(3-$HB44)*1000+100)),IF($HD44=0,999999,IF(3=$HE44,IF(58=$HL44,IF($JD44=2,30,0),IF(58=$HM44,IF($JD44=1,30,0),ABS(10-$HF44)*100)),100000+ABS(3-$HE44)*1000+100)),IF($HG44=0,999999,IF(3=$HH44,IF(58=$HN44,IF($JE44=2,30,0),IF(58=$HO44,IF($JE44=1,30,0),ABS(10-$HI44)*100)),100000+ABS(3-$HH44)*1000+100)))-IF((58=$HJ44)+(58=$HK44)+(58=$HL44)+(58=$HM44)+(58=$HN44)+(58=$HO44)&gt;=2,50,0))+BI$5*50)</f>
        <v/>
      </c>
      <c r="BJ164">
        <f>IF(OR($JF44=0,calcA!$A$6=0),0,IF(OR(59=$HA44,59=$HD44,59=$HG44),200000,MIN(IF($HA44=0,999999,IF(3=$HB44,IF(59=$HJ44,IF($JC44=2,30,0),IF(59=$HK44,IF($JC44=1,30,0),ABS(11-$HC44)*100)),100000+ABS(3-$HB44)*1000+110)),IF($HD44=0,999999,IF(3=$HE44,IF(59=$HL44,IF($JD44=2,30,0),IF(59=$HM44,IF($JD44=1,30,0),ABS(11-$HF44)*100)),100000+ABS(3-$HE44)*1000+110)),IF($HG44=0,999999,IF(3=$HH44,IF(59=$HN44,IF($JE44=2,30,0),IF(59=$HO44,IF($JE44=1,30,0),ABS(11-$HI44)*100)),100000+ABS(3-$HH44)*1000+110)))-IF((59=$HJ44)+(59=$HK44)+(59=$HL44)+(59=$HM44)+(59=$HN44)+(59=$HO44)&gt;=2,50,0))+BJ$5*50)</f>
        <v/>
      </c>
      <c r="BK164">
        <f>IF(OR($JF44=0,calcA!$A$6=0),0,IF(OR(60=$HA44,60=$HD44,60=$HG44),200000,MIN(IF($HA44=0,999999,IF(3=$HB44,IF(60=$HJ44,IF($JC44=2,30,0),IF(60=$HK44,IF($JC44=1,30,0),ABS(12-$HC44)*100)),100000+ABS(3-$HB44)*1000+120)),IF($HD44=0,999999,IF(3=$HE44,IF(60=$HL44,IF($JD44=2,30,0),IF(60=$HM44,IF($JD44=1,30,0),ABS(12-$HF44)*100)),100000+ABS(3-$HE44)*1000+120)),IF($HG44=0,999999,IF(3=$HH44,IF(60=$HN44,IF($JE44=2,30,0),IF(60=$HO44,IF($JE44=1,30,0),ABS(12-$HI44)*100)),100000+ABS(3-$HH44)*1000+120)))-IF((60=$HJ44)+(60=$HK44)+(60=$HL44)+(60=$HM44)+(60=$HN44)+(60=$HO44)&gt;=2,50,0))+BK$5*50)</f>
        <v/>
      </c>
      <c r="BL164">
        <f>IF(OR($JF44=0,calcA!$A$6=0),0,IF(OR(61=$HA44,61=$HD44,61=$HG44),200000,MIN(IF($HA44=0,999999,IF(3=$HB44,IF(61=$HJ44,IF($JC44=2,30,0),IF(61=$HK44,IF($JC44=1,30,0),ABS(13-$HC44)*100)),100000+ABS(3-$HB44)*1000+130)),IF($HD44=0,999999,IF(3=$HE44,IF(61=$HL44,IF($JD44=2,30,0),IF(61=$HM44,IF($JD44=1,30,0),ABS(13-$HF44)*100)),100000+ABS(3-$HE44)*1000+130)),IF($HG44=0,999999,IF(3=$HH44,IF(61=$HN44,IF($JE44=2,30,0),IF(61=$HO44,IF($JE44=1,30,0),ABS(13-$HI44)*100)),100000+ABS(3-$HH44)*1000+130)))-IF((61=$HJ44)+(61=$HK44)+(61=$HL44)+(61=$HM44)+(61=$HN44)+(61=$HO44)&gt;=2,50,0))+BL$5*50)</f>
        <v/>
      </c>
      <c r="BM164">
        <f>IF(OR($JF44=0,calcA!$A$6=0),0,IF(OR(62=$HA44,62=$HD44,62=$HG44),200000,MIN(IF($HA44=0,999999,IF(3=$HB44,IF(62=$HJ44,IF($JC44=2,30,0),IF(62=$HK44,IF($JC44=1,30,0),ABS(14-$HC44)*100)),100000+ABS(3-$HB44)*1000+140)),IF($HD44=0,999999,IF(3=$HE44,IF(62=$HL44,IF($JD44=2,30,0),IF(62=$HM44,IF($JD44=1,30,0),ABS(14-$HF44)*100)),100000+ABS(3-$HE44)*1000+140)),IF($HG44=0,999999,IF(3=$HH44,IF(62=$HN44,IF($JE44=2,30,0),IF(62=$HO44,IF($JE44=1,30,0),ABS(14-$HI44)*100)),100000+ABS(3-$HH44)*1000+140)))-IF((62=$HJ44)+(62=$HK44)+(62=$HL44)+(62=$HM44)+(62=$HN44)+(62=$HO44)&gt;=2,50,0))+BM$5*50)</f>
        <v/>
      </c>
      <c r="BN164">
        <f>IF(OR($JF44=0,calcA!$A$6=0),0,IF(OR(63=$HA44,63=$HD44,63=$HG44),200000,MIN(IF($HA44=0,999999,IF(3=$HB44,IF(63=$HJ44,IF($JC44=2,30,0),IF(63=$HK44,IF($JC44=1,30,0),ABS(15-$HC44)*100)),100000+ABS(3-$HB44)*1000+150)),IF($HD44=0,999999,IF(3=$HE44,IF(63=$HL44,IF($JD44=2,30,0),IF(63=$HM44,IF($JD44=1,30,0),ABS(15-$HF44)*100)),100000+ABS(3-$HE44)*1000+150)),IF($HG44=0,999999,IF(3=$HH44,IF(63=$HN44,IF($JE44=2,30,0),IF(63=$HO44,IF($JE44=1,30,0),ABS(15-$HI44)*100)),100000+ABS(3-$HH44)*1000+150)))-IF((63=$HJ44)+(63=$HK44)+(63=$HL44)+(63=$HM44)+(63=$HN44)+(63=$HO44)&gt;=2,50,0))+BN$5*50)</f>
        <v/>
      </c>
      <c r="BO164">
        <f>IF(OR($JF44=0,calcA!$A$6=0),0,IF(OR(64=$HA44,64=$HD44,64=$HG44),200000,MIN(IF($HA44=0,999999,IF(3=$HB44,IF(64=$HJ44,IF($JC44=2,30,0),IF(64=$HK44,IF($JC44=1,30,0),ABS(16-$HC44)*100)),100000+ABS(3-$HB44)*1000+160)),IF($HD44=0,999999,IF(3=$HE44,IF(64=$HL44,IF($JD44=2,30,0),IF(64=$HM44,IF($JD44=1,30,0),ABS(16-$HF44)*100)),100000+ABS(3-$HE44)*1000+160)),IF($HG44=0,999999,IF(3=$HH44,IF(64=$HN44,IF($JE44=2,30,0),IF(64=$HO44,IF($JE44=1,30,0),ABS(16-$HI44)*100)),100000+ABS(3-$HH44)*1000+160)))-IF((64=$HJ44)+(64=$HK44)+(64=$HL44)+(64=$HM44)+(64=$HN44)+(64=$HO44)&gt;=2,50,0))+BO$5*50)</f>
        <v/>
      </c>
      <c r="BP164">
        <f>IF(OR($JF44=0,calcA!$A$6=0),0,IF(OR(65=$HA44,65=$HD44,65=$HG44),200000,MIN(IF($HA44=0,999999,IF(3=$HB44,IF(65=$HJ44,IF($JC44=2,30,0),IF(65=$HK44,IF($JC44=1,30,0),ABS(17-$HC44)*100)),100000+ABS(3-$HB44)*1000+170)),IF($HD44=0,999999,IF(3=$HE44,IF(65=$HL44,IF($JD44=2,30,0),IF(65=$HM44,IF($JD44=1,30,0),ABS(17-$HF44)*100)),100000+ABS(3-$HE44)*1000+170)),IF($HG44=0,999999,IF(3=$HH44,IF(65=$HN44,IF($JE44=2,30,0),IF(65=$HO44,IF($JE44=1,30,0),ABS(17-$HI44)*100)),100000+ABS(3-$HH44)*1000+170)))-IF((65=$HJ44)+(65=$HK44)+(65=$HL44)+(65=$HM44)+(65=$HN44)+(65=$HO44)&gt;=2,50,0))+BP$5*50)</f>
        <v/>
      </c>
      <c r="BQ164">
        <f>IF(OR($JF44=0,calcA!$A$6=0),0,IF(OR(66=$HA44,66=$HD44,66=$HG44),200000,MIN(IF($HA44=0,999999,IF(3=$HB44,IF(66=$HJ44,IF($JC44=2,30,0),IF(66=$HK44,IF($JC44=1,30,0),ABS(18-$HC44)*100)),100000+ABS(3-$HB44)*1000+180)),IF($HD44=0,999999,IF(3=$HE44,IF(66=$HL44,IF($JD44=2,30,0),IF(66=$HM44,IF($JD44=1,30,0),ABS(18-$HF44)*100)),100000+ABS(3-$HE44)*1000+180)),IF($HG44=0,999999,IF(3=$HH44,IF(66=$HN44,IF($JE44=2,30,0),IF(66=$HO44,IF($JE44=1,30,0),ABS(18-$HI44)*100)),100000+ABS(3-$HH44)*1000+180)))-IF((66=$HJ44)+(66=$HK44)+(66=$HL44)+(66=$HM44)+(66=$HN44)+(66=$HO44)&gt;=2,50,0))+BQ$5*50)</f>
        <v/>
      </c>
      <c r="BR164">
        <f>IF(OR($JF44=0,calcA!$A$6=0),0,IF(OR(67=$HA44,67=$HD44,67=$HG44),200000,MIN(IF($HA44=0,999999,IF(3=$HB44,IF(67=$HJ44,IF($JC44=2,30,0),IF(67=$HK44,IF($JC44=1,30,0),ABS(19-$HC44)*100)),100000+ABS(3-$HB44)*1000+190)),IF($HD44=0,999999,IF(3=$HE44,IF(67=$HL44,IF($JD44=2,30,0),IF(67=$HM44,IF($JD44=1,30,0),ABS(19-$HF44)*100)),100000+ABS(3-$HE44)*1000+190)),IF($HG44=0,999999,IF(3=$HH44,IF(67=$HN44,IF($JE44=2,30,0),IF(67=$HO44,IF($JE44=1,30,0),ABS(19-$HI44)*100)),100000+ABS(3-$HH44)*1000+190)))-IF((67=$HJ44)+(67=$HK44)+(67=$HL44)+(67=$HM44)+(67=$HN44)+(67=$HO44)&gt;=2,50,0))+BR$5*50)</f>
        <v/>
      </c>
      <c r="BS164">
        <f>IF(OR($JF44=0,calcA!$A$6=0),0,IF(OR(68=$HA44,68=$HD44,68=$HG44),200000,MIN(IF($HA44=0,999999,IF(3=$HB44,IF(68=$HJ44,IF($JC44=2,30,0),IF(68=$HK44,IF($JC44=1,30,0),ABS(20-$HC44)*100)),100000+ABS(3-$HB44)*1000+200)),IF($HD44=0,999999,IF(3=$HE44,IF(68=$HL44,IF($JD44=2,30,0),IF(68=$HM44,IF($JD44=1,30,0),ABS(20-$HF44)*100)),100000+ABS(3-$HE44)*1000+200)),IF($HG44=0,999999,IF(3=$HH44,IF(68=$HN44,IF($JE44=2,30,0),IF(68=$HO44,IF($JE44=1,30,0),ABS(20-$HI44)*100)),100000+ABS(3-$HH44)*1000+200)))-IF((68=$HJ44)+(68=$HK44)+(68=$HL44)+(68=$HM44)+(68=$HN44)+(68=$HO44)&gt;=2,50,0))+BS$5*50)</f>
        <v/>
      </c>
      <c r="BT164">
        <f>IF(OR($JF44=0,calcA!$A$6=0),0,IF(OR(69=$HA44,69=$HD44,69=$HG44),200000,MIN(IF($HA44=0,999999,IF(3=$HB44,IF(69=$HJ44,IF($JC44=2,30,0),IF(69=$HK44,IF($JC44=1,30,0),ABS(21-$HC44)*100)),100000+ABS(3-$HB44)*1000+210)),IF($HD44=0,999999,IF(3=$HE44,IF(69=$HL44,IF($JD44=2,30,0),IF(69=$HM44,IF($JD44=1,30,0),ABS(21-$HF44)*100)),100000+ABS(3-$HE44)*1000+210)),IF($HG44=0,999999,IF(3=$HH44,IF(69=$HN44,IF($JE44=2,30,0),IF(69=$HO44,IF($JE44=1,30,0),ABS(21-$HI44)*100)),100000+ABS(3-$HH44)*1000+210)))-IF((69=$HJ44)+(69=$HK44)+(69=$HL44)+(69=$HM44)+(69=$HN44)+(69=$HO44)&gt;=2,50,0))+BT$5*50)</f>
        <v/>
      </c>
      <c r="BU164">
        <f>IF(OR($JF44=0,calcA!$A$6=0),0,IF(OR(70=$HA44,70=$HD44,70=$HG44),200000,MIN(IF($HA44=0,999999,IF(3=$HB44,IF(70=$HJ44,IF($JC44=2,30,0),IF(70=$HK44,IF($JC44=1,30,0),ABS(22-$HC44)*100)),100000+ABS(3-$HB44)*1000+220)),IF($HD44=0,999999,IF(3=$HE44,IF(70=$HL44,IF($JD44=2,30,0),IF(70=$HM44,IF($JD44=1,30,0),ABS(22-$HF44)*100)),100000+ABS(3-$HE44)*1000+220)),IF($HG44=0,999999,IF(3=$HH44,IF(70=$HN44,IF($JE44=2,30,0),IF(70=$HO44,IF($JE44=1,30,0),ABS(22-$HI44)*100)),100000+ABS(3-$HH44)*1000+220)))-IF((70=$HJ44)+(70=$HK44)+(70=$HL44)+(70=$HM44)+(70=$HN44)+(70=$HO44)&gt;=2,50,0))+BU$5*50)</f>
        <v/>
      </c>
      <c r="BV164">
        <f>IF(OR($JF44=0,calcA!$A$6=0),0,IF(OR(71=$HA44,71=$HD44,71=$HG44),200000,MIN(IF($HA44=0,999999,IF(3=$HB44,IF(71=$HJ44,IF($JC44=2,30,0),IF(71=$HK44,IF($JC44=1,30,0),ABS(23-$HC44)*100)),100000+ABS(3-$HB44)*1000+230)),IF($HD44=0,999999,IF(3=$HE44,IF(71=$HL44,IF($JD44=2,30,0),IF(71=$HM44,IF($JD44=1,30,0),ABS(23-$HF44)*100)),100000+ABS(3-$HE44)*1000+230)),IF($HG44=0,999999,IF(3=$HH44,IF(71=$HN44,IF($JE44=2,30,0),IF(71=$HO44,IF($JE44=1,30,0),ABS(23-$HI44)*100)),100000+ABS(3-$HH44)*1000+230)))-IF((71=$HJ44)+(71=$HK44)+(71=$HL44)+(71=$HM44)+(71=$HN44)+(71=$HO44)&gt;=2,50,0))+BV$5*50)</f>
        <v/>
      </c>
      <c r="BW164">
        <f>IF(OR($JF44=0,calcA!$A$6=0),0,IF(OR(72=$HA44,72=$HD44,72=$HG44),200000,MIN(IF($HA44=0,999999,IF(3=$HB44,IF(72=$HJ44,IF($JC44=2,30,0),IF(72=$HK44,IF($JC44=1,30,0),ABS(24-$HC44)*100)),100000+ABS(3-$HB44)*1000+240)),IF($HD44=0,999999,IF(3=$HE44,IF(72=$HL44,IF($JD44=2,30,0),IF(72=$HM44,IF($JD44=1,30,0),ABS(24-$HF44)*100)),100000+ABS(3-$HE44)*1000+240)),IF($HG44=0,999999,IF(3=$HH44,IF(72=$HN44,IF($JE44=2,30,0),IF(72=$HO44,IF($JE44=1,30,0),ABS(24-$HI44)*100)),100000+ABS(3-$HH44)*1000+240)))-IF((72=$HJ44)+(72=$HK44)+(72=$HL44)+(72=$HM44)+(72=$HN44)+(72=$HO44)&gt;=2,50,0))+BW$5*50)</f>
        <v/>
      </c>
      <c r="BX164">
        <f>IF(OR($JF44=0,calcA!$A$6=0),0,IF(OR(73=$HA44,73=$HD44,73=$HG44),200000,MIN(IF($HA44=0,999999,IF(4=$HB44,IF(73=$HJ44,IF($JC44=2,30,0),IF(73=$HK44,IF($JC44=1,30,0),ABS(1-$HC44)*100)),100000+ABS(4-$HB44)*1000+10)),IF($HD44=0,999999,IF(4=$HE44,IF(73=$HL44,IF($JD44=2,30,0),IF(73=$HM44,IF($JD44=1,30,0),ABS(1-$HF44)*100)),100000+ABS(4-$HE44)*1000+10)),IF($HG44=0,999999,IF(4=$HH44,IF(73=$HN44,IF($JE44=2,30,0),IF(73=$HO44,IF($JE44=1,30,0),ABS(1-$HI44)*100)),100000+ABS(4-$HH44)*1000+10)))-IF((73=$HJ44)+(73=$HK44)+(73=$HL44)+(73=$HM44)+(73=$HN44)+(73=$HO44)&gt;=2,50,0))+BX$5*50)</f>
        <v/>
      </c>
      <c r="BY164">
        <f>IF(OR($JF44=0,calcA!$A$6=0),0,IF(OR(74=$HA44,74=$HD44,74=$HG44),200000,MIN(IF($HA44=0,999999,IF(4=$HB44,IF(74=$HJ44,IF($JC44=2,30,0),IF(74=$HK44,IF($JC44=1,30,0),ABS(2-$HC44)*100)),100000+ABS(4-$HB44)*1000+20)),IF($HD44=0,999999,IF(4=$HE44,IF(74=$HL44,IF($JD44=2,30,0),IF(74=$HM44,IF($JD44=1,30,0),ABS(2-$HF44)*100)),100000+ABS(4-$HE44)*1000+20)),IF($HG44=0,999999,IF(4=$HH44,IF(74=$HN44,IF($JE44=2,30,0),IF(74=$HO44,IF($JE44=1,30,0),ABS(2-$HI44)*100)),100000+ABS(4-$HH44)*1000+20)))-IF((74=$HJ44)+(74=$HK44)+(74=$HL44)+(74=$HM44)+(74=$HN44)+(74=$HO44)&gt;=2,50,0))+BY$5*50)</f>
        <v/>
      </c>
      <c r="BZ164">
        <f>IF(OR($JF44=0,calcA!$A$6=0),0,IF(OR(75=$HA44,75=$HD44,75=$HG44),200000,MIN(IF($HA44=0,999999,IF(4=$HB44,IF(75=$HJ44,IF($JC44=2,30,0),IF(75=$HK44,IF($JC44=1,30,0),ABS(3-$HC44)*100)),100000+ABS(4-$HB44)*1000+30)),IF($HD44=0,999999,IF(4=$HE44,IF(75=$HL44,IF($JD44=2,30,0),IF(75=$HM44,IF($JD44=1,30,0),ABS(3-$HF44)*100)),100000+ABS(4-$HE44)*1000+30)),IF($HG44=0,999999,IF(4=$HH44,IF(75=$HN44,IF($JE44=2,30,0),IF(75=$HO44,IF($JE44=1,30,0),ABS(3-$HI44)*100)),100000+ABS(4-$HH44)*1000+30)))-IF((75=$HJ44)+(75=$HK44)+(75=$HL44)+(75=$HM44)+(75=$HN44)+(75=$HO44)&gt;=2,50,0))+BZ$5*50)</f>
        <v/>
      </c>
      <c r="CA164">
        <f>IF(OR($JF44=0,calcA!$A$6=0),0,IF(OR(76=$HA44,76=$HD44,76=$HG44),200000,MIN(IF($HA44=0,999999,IF(4=$HB44,IF(76=$HJ44,IF($JC44=2,30,0),IF(76=$HK44,IF($JC44=1,30,0),ABS(4-$HC44)*100)),100000+ABS(4-$HB44)*1000+40)),IF($HD44=0,999999,IF(4=$HE44,IF(76=$HL44,IF($JD44=2,30,0),IF(76=$HM44,IF($JD44=1,30,0),ABS(4-$HF44)*100)),100000+ABS(4-$HE44)*1000+40)),IF($HG44=0,999999,IF(4=$HH44,IF(76=$HN44,IF($JE44=2,30,0),IF(76=$HO44,IF($JE44=1,30,0),ABS(4-$HI44)*100)),100000+ABS(4-$HH44)*1000+40)))-IF((76=$HJ44)+(76=$HK44)+(76=$HL44)+(76=$HM44)+(76=$HN44)+(76=$HO44)&gt;=2,50,0))+CA$5*50)</f>
        <v/>
      </c>
      <c r="CB164">
        <f>IF(OR($JF44=0,calcA!$A$6=0),0,IF(OR(77=$HA44,77=$HD44,77=$HG44),200000,MIN(IF($HA44=0,999999,IF(4=$HB44,IF(77=$HJ44,IF($JC44=2,30,0),IF(77=$HK44,IF($JC44=1,30,0),ABS(5-$HC44)*100)),100000+ABS(4-$HB44)*1000+50)),IF($HD44=0,999999,IF(4=$HE44,IF(77=$HL44,IF($JD44=2,30,0),IF(77=$HM44,IF($JD44=1,30,0),ABS(5-$HF44)*100)),100000+ABS(4-$HE44)*1000+50)),IF($HG44=0,999999,IF(4=$HH44,IF(77=$HN44,IF($JE44=2,30,0),IF(77=$HO44,IF($JE44=1,30,0),ABS(5-$HI44)*100)),100000+ABS(4-$HH44)*1000+50)))-IF((77=$HJ44)+(77=$HK44)+(77=$HL44)+(77=$HM44)+(77=$HN44)+(77=$HO44)&gt;=2,50,0))+CB$5*50)</f>
        <v/>
      </c>
      <c r="CC164">
        <f>IF(OR($JF44=0,calcA!$A$6=0),0,IF(OR(78=$HA44,78=$HD44,78=$HG44),200000,MIN(IF($HA44=0,999999,IF(4=$HB44,IF(78=$HJ44,IF($JC44=2,30,0),IF(78=$HK44,IF($JC44=1,30,0),ABS(6-$HC44)*100)),100000+ABS(4-$HB44)*1000+60)),IF($HD44=0,999999,IF(4=$HE44,IF(78=$HL44,IF($JD44=2,30,0),IF(78=$HM44,IF($JD44=1,30,0),ABS(6-$HF44)*100)),100000+ABS(4-$HE44)*1000+60)),IF($HG44=0,999999,IF(4=$HH44,IF(78=$HN44,IF($JE44=2,30,0),IF(78=$HO44,IF($JE44=1,30,0),ABS(6-$HI44)*100)),100000+ABS(4-$HH44)*1000+60)))-IF((78=$HJ44)+(78=$HK44)+(78=$HL44)+(78=$HM44)+(78=$HN44)+(78=$HO44)&gt;=2,50,0))+CC$5*50)</f>
        <v/>
      </c>
      <c r="CD164">
        <f>IF(OR($JF44=0,calcA!$A$6=0),0,IF(OR(79=$HA44,79=$HD44,79=$HG44),200000,MIN(IF($HA44=0,999999,IF(4=$HB44,IF(79=$HJ44,IF($JC44=2,30,0),IF(79=$HK44,IF($JC44=1,30,0),ABS(7-$HC44)*100)),100000+ABS(4-$HB44)*1000+70)),IF($HD44=0,999999,IF(4=$HE44,IF(79=$HL44,IF($JD44=2,30,0),IF(79=$HM44,IF($JD44=1,30,0),ABS(7-$HF44)*100)),100000+ABS(4-$HE44)*1000+70)),IF($HG44=0,999999,IF(4=$HH44,IF(79=$HN44,IF($JE44=2,30,0),IF(79=$HO44,IF($JE44=1,30,0),ABS(7-$HI44)*100)),100000+ABS(4-$HH44)*1000+70)))-IF((79=$HJ44)+(79=$HK44)+(79=$HL44)+(79=$HM44)+(79=$HN44)+(79=$HO44)&gt;=2,50,0))+CD$5*50)</f>
        <v/>
      </c>
      <c r="CE164">
        <f>IF(OR($JF44=0,calcA!$A$6=0),0,IF(OR(80=$HA44,80=$HD44,80=$HG44),200000,MIN(IF($HA44=0,999999,IF(4=$HB44,IF(80=$HJ44,IF($JC44=2,30,0),IF(80=$HK44,IF($JC44=1,30,0),ABS(8-$HC44)*100)),100000+ABS(4-$HB44)*1000+80)),IF($HD44=0,999999,IF(4=$HE44,IF(80=$HL44,IF($JD44=2,30,0),IF(80=$HM44,IF($JD44=1,30,0),ABS(8-$HF44)*100)),100000+ABS(4-$HE44)*1000+80)),IF($HG44=0,999999,IF(4=$HH44,IF(80=$HN44,IF($JE44=2,30,0),IF(80=$HO44,IF($JE44=1,30,0),ABS(8-$HI44)*100)),100000+ABS(4-$HH44)*1000+80)))-IF((80=$HJ44)+(80=$HK44)+(80=$HL44)+(80=$HM44)+(80=$HN44)+(80=$HO44)&gt;=2,50,0))+CE$5*50)</f>
        <v/>
      </c>
      <c r="CF164">
        <f>IF(OR($JF44=0,calcA!$A$6=0),0,IF(OR(81=$HA44,81=$HD44,81=$HG44),200000,MIN(IF($HA44=0,999999,IF(4=$HB44,IF(81=$HJ44,IF($JC44=2,30,0),IF(81=$HK44,IF($JC44=1,30,0),ABS(9-$HC44)*100)),100000+ABS(4-$HB44)*1000+90)),IF($HD44=0,999999,IF(4=$HE44,IF(81=$HL44,IF($JD44=2,30,0),IF(81=$HM44,IF($JD44=1,30,0),ABS(9-$HF44)*100)),100000+ABS(4-$HE44)*1000+90)),IF($HG44=0,999999,IF(4=$HH44,IF(81=$HN44,IF($JE44=2,30,0),IF(81=$HO44,IF($JE44=1,30,0),ABS(9-$HI44)*100)),100000+ABS(4-$HH44)*1000+90)))-IF((81=$HJ44)+(81=$HK44)+(81=$HL44)+(81=$HM44)+(81=$HN44)+(81=$HO44)&gt;=2,50,0))+CF$5*50)</f>
        <v/>
      </c>
      <c r="CG164">
        <f>IF(OR($JF44=0,calcA!$A$6=0),0,IF(OR(82=$HA44,82=$HD44,82=$HG44),200000,MIN(IF($HA44=0,999999,IF(4=$HB44,IF(82=$HJ44,IF($JC44=2,30,0),IF(82=$HK44,IF($JC44=1,30,0),ABS(10-$HC44)*100)),100000+ABS(4-$HB44)*1000+100)),IF($HD44=0,999999,IF(4=$HE44,IF(82=$HL44,IF($JD44=2,30,0),IF(82=$HM44,IF($JD44=1,30,0),ABS(10-$HF44)*100)),100000+ABS(4-$HE44)*1000+100)),IF($HG44=0,999999,IF(4=$HH44,IF(82=$HN44,IF($JE44=2,30,0),IF(82=$HO44,IF($JE44=1,30,0),ABS(10-$HI44)*100)),100000+ABS(4-$HH44)*1000+100)))-IF((82=$HJ44)+(82=$HK44)+(82=$HL44)+(82=$HM44)+(82=$HN44)+(82=$HO44)&gt;=2,50,0))+CG$5*50)</f>
        <v/>
      </c>
      <c r="CH164">
        <f>IF(OR($JF44=0,calcA!$A$6=0),0,IF(OR(83=$HA44,83=$HD44,83=$HG44),200000,MIN(IF($HA44=0,999999,IF(4=$HB44,IF(83=$HJ44,IF($JC44=2,30,0),IF(83=$HK44,IF($JC44=1,30,0),ABS(11-$HC44)*100)),100000+ABS(4-$HB44)*1000+110)),IF($HD44=0,999999,IF(4=$HE44,IF(83=$HL44,IF($JD44=2,30,0),IF(83=$HM44,IF($JD44=1,30,0),ABS(11-$HF44)*100)),100000+ABS(4-$HE44)*1000+110)),IF($HG44=0,999999,IF(4=$HH44,IF(83=$HN44,IF($JE44=2,30,0),IF(83=$HO44,IF($JE44=1,30,0),ABS(11-$HI44)*100)),100000+ABS(4-$HH44)*1000+110)))-IF((83=$HJ44)+(83=$HK44)+(83=$HL44)+(83=$HM44)+(83=$HN44)+(83=$HO44)&gt;=2,50,0))+CH$5*50)</f>
        <v/>
      </c>
      <c r="CI164">
        <f>IF(OR($JF44=0,calcA!$A$6=0),0,IF(OR(84=$HA44,84=$HD44,84=$HG44),200000,MIN(IF($HA44=0,999999,IF(4=$HB44,IF(84=$HJ44,IF($JC44=2,30,0),IF(84=$HK44,IF($JC44=1,30,0),ABS(12-$HC44)*100)),100000+ABS(4-$HB44)*1000+120)),IF($HD44=0,999999,IF(4=$HE44,IF(84=$HL44,IF($JD44=2,30,0),IF(84=$HM44,IF($JD44=1,30,0),ABS(12-$HF44)*100)),100000+ABS(4-$HE44)*1000+120)),IF($HG44=0,999999,IF(4=$HH44,IF(84=$HN44,IF($JE44=2,30,0),IF(84=$HO44,IF($JE44=1,30,0),ABS(12-$HI44)*100)),100000+ABS(4-$HH44)*1000+120)))-IF((84=$HJ44)+(84=$HK44)+(84=$HL44)+(84=$HM44)+(84=$HN44)+(84=$HO44)&gt;=2,50,0))+CI$5*50)</f>
        <v/>
      </c>
      <c r="CJ164">
        <f>IF(OR($JF44=0,calcA!$A$6=0),0,IF(OR(85=$HA44,85=$HD44,85=$HG44),200000,MIN(IF($HA44=0,999999,IF(4=$HB44,IF(85=$HJ44,IF($JC44=2,30,0),IF(85=$HK44,IF($JC44=1,30,0),ABS(13-$HC44)*100)),100000+ABS(4-$HB44)*1000+130)),IF($HD44=0,999999,IF(4=$HE44,IF(85=$HL44,IF($JD44=2,30,0),IF(85=$HM44,IF($JD44=1,30,0),ABS(13-$HF44)*100)),100000+ABS(4-$HE44)*1000+130)),IF($HG44=0,999999,IF(4=$HH44,IF(85=$HN44,IF($JE44=2,30,0),IF(85=$HO44,IF($JE44=1,30,0),ABS(13-$HI44)*100)),100000+ABS(4-$HH44)*1000+130)))-IF((85=$HJ44)+(85=$HK44)+(85=$HL44)+(85=$HM44)+(85=$HN44)+(85=$HO44)&gt;=2,50,0))+CJ$5*50)</f>
        <v/>
      </c>
      <c r="CK164">
        <f>IF(OR($JF44=0,calcA!$A$6=0),0,IF(OR(86=$HA44,86=$HD44,86=$HG44),200000,MIN(IF($HA44=0,999999,IF(4=$HB44,IF(86=$HJ44,IF($JC44=2,30,0),IF(86=$HK44,IF($JC44=1,30,0),ABS(14-$HC44)*100)),100000+ABS(4-$HB44)*1000+140)),IF($HD44=0,999999,IF(4=$HE44,IF(86=$HL44,IF($JD44=2,30,0),IF(86=$HM44,IF($JD44=1,30,0),ABS(14-$HF44)*100)),100000+ABS(4-$HE44)*1000+140)),IF($HG44=0,999999,IF(4=$HH44,IF(86=$HN44,IF($JE44=2,30,0),IF(86=$HO44,IF($JE44=1,30,0),ABS(14-$HI44)*100)),100000+ABS(4-$HH44)*1000+140)))-IF((86=$HJ44)+(86=$HK44)+(86=$HL44)+(86=$HM44)+(86=$HN44)+(86=$HO44)&gt;=2,50,0))+CK$5*50)</f>
        <v/>
      </c>
      <c r="CL164">
        <f>IF(OR($JF44=0,calcA!$A$6=0),0,IF(OR(87=$HA44,87=$HD44,87=$HG44),200000,MIN(IF($HA44=0,999999,IF(4=$HB44,IF(87=$HJ44,IF($JC44=2,30,0),IF(87=$HK44,IF($JC44=1,30,0),ABS(15-$HC44)*100)),100000+ABS(4-$HB44)*1000+150)),IF($HD44=0,999999,IF(4=$HE44,IF(87=$HL44,IF($JD44=2,30,0),IF(87=$HM44,IF($JD44=1,30,0),ABS(15-$HF44)*100)),100000+ABS(4-$HE44)*1000+150)),IF($HG44=0,999999,IF(4=$HH44,IF(87=$HN44,IF($JE44=2,30,0),IF(87=$HO44,IF($JE44=1,30,0),ABS(15-$HI44)*100)),100000+ABS(4-$HH44)*1000+150)))-IF((87=$HJ44)+(87=$HK44)+(87=$HL44)+(87=$HM44)+(87=$HN44)+(87=$HO44)&gt;=2,50,0))+CL$5*50)</f>
        <v/>
      </c>
      <c r="CM164">
        <f>IF(OR($JF44=0,calcA!$A$6=0),0,IF(OR(88=$HA44,88=$HD44,88=$HG44),200000,MIN(IF($HA44=0,999999,IF(4=$HB44,IF(88=$HJ44,IF($JC44=2,30,0),IF(88=$HK44,IF($JC44=1,30,0),ABS(16-$HC44)*100)),100000+ABS(4-$HB44)*1000+160)),IF($HD44=0,999999,IF(4=$HE44,IF(88=$HL44,IF($JD44=2,30,0),IF(88=$HM44,IF($JD44=1,30,0),ABS(16-$HF44)*100)),100000+ABS(4-$HE44)*1000+160)),IF($HG44=0,999999,IF(4=$HH44,IF(88=$HN44,IF($JE44=2,30,0),IF(88=$HO44,IF($JE44=1,30,0),ABS(16-$HI44)*100)),100000+ABS(4-$HH44)*1000+160)))-IF((88=$HJ44)+(88=$HK44)+(88=$HL44)+(88=$HM44)+(88=$HN44)+(88=$HO44)&gt;=2,50,0))+CM$5*50)</f>
        <v/>
      </c>
      <c r="CN164">
        <f>IF(OR($JF44=0,calcA!$A$6=0),0,IF(OR(89=$HA44,89=$HD44,89=$HG44),200000,MIN(IF($HA44=0,999999,IF(4=$HB44,IF(89=$HJ44,IF($JC44=2,30,0),IF(89=$HK44,IF($JC44=1,30,0),ABS(17-$HC44)*100)),100000+ABS(4-$HB44)*1000+170)),IF($HD44=0,999999,IF(4=$HE44,IF(89=$HL44,IF($JD44=2,30,0),IF(89=$HM44,IF($JD44=1,30,0),ABS(17-$HF44)*100)),100000+ABS(4-$HE44)*1000+170)),IF($HG44=0,999999,IF(4=$HH44,IF(89=$HN44,IF($JE44=2,30,0),IF(89=$HO44,IF($JE44=1,30,0),ABS(17-$HI44)*100)),100000+ABS(4-$HH44)*1000+170)))-IF((89=$HJ44)+(89=$HK44)+(89=$HL44)+(89=$HM44)+(89=$HN44)+(89=$HO44)&gt;=2,50,0))+CN$5*50)</f>
        <v/>
      </c>
      <c r="CO164">
        <f>IF(OR($JF44=0,calcA!$A$6=0),0,IF(OR(90=$HA44,90=$HD44,90=$HG44),200000,MIN(IF($HA44=0,999999,IF(4=$HB44,IF(90=$HJ44,IF($JC44=2,30,0),IF(90=$HK44,IF($JC44=1,30,0),ABS(18-$HC44)*100)),100000+ABS(4-$HB44)*1000+180)),IF($HD44=0,999999,IF(4=$HE44,IF(90=$HL44,IF($JD44=2,30,0),IF(90=$HM44,IF($JD44=1,30,0),ABS(18-$HF44)*100)),100000+ABS(4-$HE44)*1000+180)),IF($HG44=0,999999,IF(4=$HH44,IF(90=$HN44,IF($JE44=2,30,0),IF(90=$HO44,IF($JE44=1,30,0),ABS(18-$HI44)*100)),100000+ABS(4-$HH44)*1000+180)))-IF((90=$HJ44)+(90=$HK44)+(90=$HL44)+(90=$HM44)+(90=$HN44)+(90=$HO44)&gt;=2,50,0))+CO$5*50)</f>
        <v/>
      </c>
      <c r="CP164">
        <f>IF(OR($JF44=0,calcA!$A$6=0),0,IF(OR(91=$HA44,91=$HD44,91=$HG44),200000,MIN(IF($HA44=0,999999,IF(4=$HB44,IF(91=$HJ44,IF($JC44=2,30,0),IF(91=$HK44,IF($JC44=1,30,0),ABS(19-$HC44)*100)),100000+ABS(4-$HB44)*1000+190)),IF($HD44=0,999999,IF(4=$HE44,IF(91=$HL44,IF($JD44=2,30,0),IF(91=$HM44,IF($JD44=1,30,0),ABS(19-$HF44)*100)),100000+ABS(4-$HE44)*1000+190)),IF($HG44=0,999999,IF(4=$HH44,IF(91=$HN44,IF($JE44=2,30,0),IF(91=$HO44,IF($JE44=1,30,0),ABS(19-$HI44)*100)),100000+ABS(4-$HH44)*1000+190)))-IF((91=$HJ44)+(91=$HK44)+(91=$HL44)+(91=$HM44)+(91=$HN44)+(91=$HO44)&gt;=2,50,0))+CP$5*50)</f>
        <v/>
      </c>
      <c r="CQ164">
        <f>IF(OR($JF44=0,calcA!$A$6=0),0,IF(OR(92=$HA44,92=$HD44,92=$HG44),200000,MIN(IF($HA44=0,999999,IF(4=$HB44,IF(92=$HJ44,IF($JC44=2,30,0),IF(92=$HK44,IF($JC44=1,30,0),ABS(20-$HC44)*100)),100000+ABS(4-$HB44)*1000+200)),IF($HD44=0,999999,IF(4=$HE44,IF(92=$HL44,IF($JD44=2,30,0),IF(92=$HM44,IF($JD44=1,30,0),ABS(20-$HF44)*100)),100000+ABS(4-$HE44)*1000+200)),IF($HG44=0,999999,IF(4=$HH44,IF(92=$HN44,IF($JE44=2,30,0),IF(92=$HO44,IF($JE44=1,30,0),ABS(20-$HI44)*100)),100000+ABS(4-$HH44)*1000+200)))-IF((92=$HJ44)+(92=$HK44)+(92=$HL44)+(92=$HM44)+(92=$HN44)+(92=$HO44)&gt;=2,50,0))+CQ$5*50)</f>
        <v/>
      </c>
      <c r="CR164">
        <f>IF(OR($JF44=0,calcA!$A$6=0),0,IF(OR(93=$HA44,93=$HD44,93=$HG44),200000,MIN(IF($HA44=0,999999,IF(4=$HB44,IF(93=$HJ44,IF($JC44=2,30,0),IF(93=$HK44,IF($JC44=1,30,0),ABS(21-$HC44)*100)),100000+ABS(4-$HB44)*1000+210)),IF($HD44=0,999999,IF(4=$HE44,IF(93=$HL44,IF($JD44=2,30,0),IF(93=$HM44,IF($JD44=1,30,0),ABS(21-$HF44)*100)),100000+ABS(4-$HE44)*1000+210)),IF($HG44=0,999999,IF(4=$HH44,IF(93=$HN44,IF($JE44=2,30,0),IF(93=$HO44,IF($JE44=1,30,0),ABS(21-$HI44)*100)),100000+ABS(4-$HH44)*1000+210)))-IF((93=$HJ44)+(93=$HK44)+(93=$HL44)+(93=$HM44)+(93=$HN44)+(93=$HO44)&gt;=2,50,0))+CR$5*50)</f>
        <v/>
      </c>
      <c r="CS164">
        <f>IF(OR($JF44=0,calcA!$A$6=0),0,IF(OR(94=$HA44,94=$HD44,94=$HG44),200000,MIN(IF($HA44=0,999999,IF(4=$HB44,IF(94=$HJ44,IF($JC44=2,30,0),IF(94=$HK44,IF($JC44=1,30,0),ABS(22-$HC44)*100)),100000+ABS(4-$HB44)*1000+220)),IF($HD44=0,999999,IF(4=$HE44,IF(94=$HL44,IF($JD44=2,30,0),IF(94=$HM44,IF($JD44=1,30,0),ABS(22-$HF44)*100)),100000+ABS(4-$HE44)*1000+220)),IF($HG44=0,999999,IF(4=$HH44,IF(94=$HN44,IF($JE44=2,30,0),IF(94=$HO44,IF($JE44=1,30,0),ABS(22-$HI44)*100)),100000+ABS(4-$HH44)*1000+220)))-IF((94=$HJ44)+(94=$HK44)+(94=$HL44)+(94=$HM44)+(94=$HN44)+(94=$HO44)&gt;=2,50,0))+CS$5*50)</f>
        <v/>
      </c>
      <c r="CT164">
        <f>IF(OR($JF44=0,calcA!$A$6=0),0,IF(OR(95=$HA44,95=$HD44,95=$HG44),200000,MIN(IF($HA44=0,999999,IF(4=$HB44,IF(95=$HJ44,IF($JC44=2,30,0),IF(95=$HK44,IF($JC44=1,30,0),ABS(23-$HC44)*100)),100000+ABS(4-$HB44)*1000+230)),IF($HD44=0,999999,IF(4=$HE44,IF(95=$HL44,IF($JD44=2,30,0),IF(95=$HM44,IF($JD44=1,30,0),ABS(23-$HF44)*100)),100000+ABS(4-$HE44)*1000+230)),IF($HG44=0,999999,IF(4=$HH44,IF(95=$HN44,IF($JE44=2,30,0),IF(95=$HO44,IF($JE44=1,30,0),ABS(23-$HI44)*100)),100000+ABS(4-$HH44)*1000+230)))-IF((95=$HJ44)+(95=$HK44)+(95=$HL44)+(95=$HM44)+(95=$HN44)+(95=$HO44)&gt;=2,50,0))+CT$5*50)</f>
        <v/>
      </c>
      <c r="CU164">
        <f>IF(OR($JF44=0,calcA!$A$6=0),0,IF(OR(96=$HA44,96=$HD44,96=$HG44),200000,MIN(IF($HA44=0,999999,IF(4=$HB44,IF(96=$HJ44,IF($JC44=2,30,0),IF(96=$HK44,IF($JC44=1,30,0),ABS(24-$HC44)*100)),100000+ABS(4-$HB44)*1000+240)),IF($HD44=0,999999,IF(4=$HE44,IF(96=$HL44,IF($JD44=2,30,0),IF(96=$HM44,IF($JD44=1,30,0),ABS(24-$HF44)*100)),100000+ABS(4-$HE44)*1000+240)),IF($HG44=0,999999,IF(4=$HH44,IF(96=$HN44,IF($JE44=2,30,0),IF(96=$HO44,IF($JE44=1,30,0),ABS(24-$HI44)*100)),100000+ABS(4-$HH44)*1000+240)))-IF((96=$HJ44)+(96=$HK44)+(96=$HL44)+(96=$HM44)+(96=$HN44)+(96=$HO44)&gt;=2,50,0))+CU$5*50)</f>
        <v/>
      </c>
      <c r="CV164">
        <f>IF(OR($JF44=0,calcA!$A$6=0),0,IF(OR(97=$HA44,97=$HD44,97=$HG44),200000,MIN(IF($HA44=0,999999,IF(5=$HB44,IF(97=$HJ44,IF($JC44=2,30,0),IF(97=$HK44,IF($JC44=1,30,0),ABS(1-$HC44)*100)),100000+ABS(5-$HB44)*1000+10)),IF($HD44=0,999999,IF(5=$HE44,IF(97=$HL44,IF($JD44=2,30,0),IF(97=$HM44,IF($JD44=1,30,0),ABS(1-$HF44)*100)),100000+ABS(5-$HE44)*1000+10)),IF($HG44=0,999999,IF(5=$HH44,IF(97=$HN44,IF($JE44=2,30,0),IF(97=$HO44,IF($JE44=1,30,0),ABS(1-$HI44)*100)),100000+ABS(5-$HH44)*1000+10)))-IF((97=$HJ44)+(97=$HK44)+(97=$HL44)+(97=$HM44)+(97=$HN44)+(97=$HO44)&gt;=2,50,0))+CV$5*50)</f>
        <v/>
      </c>
      <c r="CW164">
        <f>IF(OR($JF44=0,calcA!$A$6=0),0,IF(OR(98=$HA44,98=$HD44,98=$HG44),200000,MIN(IF($HA44=0,999999,IF(5=$HB44,IF(98=$HJ44,IF($JC44=2,30,0),IF(98=$HK44,IF($JC44=1,30,0),ABS(2-$HC44)*100)),100000+ABS(5-$HB44)*1000+20)),IF($HD44=0,999999,IF(5=$HE44,IF(98=$HL44,IF($JD44=2,30,0),IF(98=$HM44,IF($JD44=1,30,0),ABS(2-$HF44)*100)),100000+ABS(5-$HE44)*1000+20)),IF($HG44=0,999999,IF(5=$HH44,IF(98=$HN44,IF($JE44=2,30,0),IF(98=$HO44,IF($JE44=1,30,0),ABS(2-$HI44)*100)),100000+ABS(5-$HH44)*1000+20)))-IF((98=$HJ44)+(98=$HK44)+(98=$HL44)+(98=$HM44)+(98=$HN44)+(98=$HO44)&gt;=2,50,0))+CW$5*50)</f>
        <v/>
      </c>
      <c r="CX164">
        <f>IF(OR($JF44=0,calcA!$A$6=0),0,IF(OR(99=$HA44,99=$HD44,99=$HG44),200000,MIN(IF($HA44=0,999999,IF(5=$HB44,IF(99=$HJ44,IF($JC44=2,30,0),IF(99=$HK44,IF($JC44=1,30,0),ABS(3-$HC44)*100)),100000+ABS(5-$HB44)*1000+30)),IF($HD44=0,999999,IF(5=$HE44,IF(99=$HL44,IF($JD44=2,30,0),IF(99=$HM44,IF($JD44=1,30,0),ABS(3-$HF44)*100)),100000+ABS(5-$HE44)*1000+30)),IF($HG44=0,999999,IF(5=$HH44,IF(99=$HN44,IF($JE44=2,30,0),IF(99=$HO44,IF($JE44=1,30,0),ABS(3-$HI44)*100)),100000+ABS(5-$HH44)*1000+30)))-IF((99=$HJ44)+(99=$HK44)+(99=$HL44)+(99=$HM44)+(99=$HN44)+(99=$HO44)&gt;=2,50,0))+CX$5*50)</f>
        <v/>
      </c>
      <c r="CY164">
        <f>IF(OR($JF44=0,calcA!$A$6=0),0,IF(OR(100=$HA44,100=$HD44,100=$HG44),200000,MIN(IF($HA44=0,999999,IF(5=$HB44,IF(100=$HJ44,IF($JC44=2,30,0),IF(100=$HK44,IF($JC44=1,30,0),ABS(4-$HC44)*100)),100000+ABS(5-$HB44)*1000+40)),IF($HD44=0,999999,IF(5=$HE44,IF(100=$HL44,IF($JD44=2,30,0),IF(100=$HM44,IF($JD44=1,30,0),ABS(4-$HF44)*100)),100000+ABS(5-$HE44)*1000+40)),IF($HG44=0,999999,IF(5=$HH44,IF(100=$HN44,IF($JE44=2,30,0),IF(100=$HO44,IF($JE44=1,30,0),ABS(4-$HI44)*100)),100000+ABS(5-$HH44)*1000+40)))-IF((100=$HJ44)+(100=$HK44)+(100=$HL44)+(100=$HM44)+(100=$HN44)+(100=$HO44)&gt;=2,50,0))+CY$5*50)</f>
        <v/>
      </c>
      <c r="CZ164">
        <f>IF(OR($JF44=0,calcA!$A$6=0),0,IF(OR(101=$HA44,101=$HD44,101=$HG44),200000,MIN(IF($HA44=0,999999,IF(5=$HB44,IF(101=$HJ44,IF($JC44=2,30,0),IF(101=$HK44,IF($JC44=1,30,0),ABS(5-$HC44)*100)),100000+ABS(5-$HB44)*1000+50)),IF($HD44=0,999999,IF(5=$HE44,IF(101=$HL44,IF($JD44=2,30,0),IF(101=$HM44,IF($JD44=1,30,0),ABS(5-$HF44)*100)),100000+ABS(5-$HE44)*1000+50)),IF($HG44=0,999999,IF(5=$HH44,IF(101=$HN44,IF($JE44=2,30,0),IF(101=$HO44,IF($JE44=1,30,0),ABS(5-$HI44)*100)),100000+ABS(5-$HH44)*1000+50)))-IF((101=$HJ44)+(101=$HK44)+(101=$HL44)+(101=$HM44)+(101=$HN44)+(101=$HO44)&gt;=2,50,0))+CZ$5*50)</f>
        <v/>
      </c>
      <c r="DA164">
        <f>IF(OR($JF44=0,calcA!$A$6=0),0,IF(OR(102=$HA44,102=$HD44,102=$HG44),200000,MIN(IF($HA44=0,999999,IF(5=$HB44,IF(102=$HJ44,IF($JC44=2,30,0),IF(102=$HK44,IF($JC44=1,30,0),ABS(6-$HC44)*100)),100000+ABS(5-$HB44)*1000+60)),IF($HD44=0,999999,IF(5=$HE44,IF(102=$HL44,IF($JD44=2,30,0),IF(102=$HM44,IF($JD44=1,30,0),ABS(6-$HF44)*100)),100000+ABS(5-$HE44)*1000+60)),IF($HG44=0,999999,IF(5=$HH44,IF(102=$HN44,IF($JE44=2,30,0),IF(102=$HO44,IF($JE44=1,30,0),ABS(6-$HI44)*100)),100000+ABS(5-$HH44)*1000+60)))-IF((102=$HJ44)+(102=$HK44)+(102=$HL44)+(102=$HM44)+(102=$HN44)+(102=$HO44)&gt;=2,50,0))+DA$5*50)</f>
        <v/>
      </c>
      <c r="DB164">
        <f>IF(OR($JF44=0,calcA!$A$6=0),0,IF(OR(103=$HA44,103=$HD44,103=$HG44),200000,MIN(IF($HA44=0,999999,IF(5=$HB44,IF(103=$HJ44,IF($JC44=2,30,0),IF(103=$HK44,IF($JC44=1,30,0),ABS(7-$HC44)*100)),100000+ABS(5-$HB44)*1000+70)),IF($HD44=0,999999,IF(5=$HE44,IF(103=$HL44,IF($JD44=2,30,0),IF(103=$HM44,IF($JD44=1,30,0),ABS(7-$HF44)*100)),100000+ABS(5-$HE44)*1000+70)),IF($HG44=0,999999,IF(5=$HH44,IF(103=$HN44,IF($JE44=2,30,0),IF(103=$HO44,IF($JE44=1,30,0),ABS(7-$HI44)*100)),100000+ABS(5-$HH44)*1000+70)))-IF((103=$HJ44)+(103=$HK44)+(103=$HL44)+(103=$HM44)+(103=$HN44)+(103=$HO44)&gt;=2,50,0))+DB$5*50)</f>
        <v/>
      </c>
      <c r="DC164">
        <f>IF(OR($JF44=0,calcA!$A$6=0),0,IF(OR(104=$HA44,104=$HD44,104=$HG44),200000,MIN(IF($HA44=0,999999,IF(5=$HB44,IF(104=$HJ44,IF($JC44=2,30,0),IF(104=$HK44,IF($JC44=1,30,0),ABS(8-$HC44)*100)),100000+ABS(5-$HB44)*1000+80)),IF($HD44=0,999999,IF(5=$HE44,IF(104=$HL44,IF($JD44=2,30,0),IF(104=$HM44,IF($JD44=1,30,0),ABS(8-$HF44)*100)),100000+ABS(5-$HE44)*1000+80)),IF($HG44=0,999999,IF(5=$HH44,IF(104=$HN44,IF($JE44=2,30,0),IF(104=$HO44,IF($JE44=1,30,0),ABS(8-$HI44)*100)),100000+ABS(5-$HH44)*1000+80)))-IF((104=$HJ44)+(104=$HK44)+(104=$HL44)+(104=$HM44)+(104=$HN44)+(104=$HO44)&gt;=2,50,0))+DC$5*50)</f>
        <v/>
      </c>
      <c r="DD164">
        <f>IF(OR($JF44=0,calcA!$A$6=0),0,IF(OR(105=$HA44,105=$HD44,105=$HG44),200000,MIN(IF($HA44=0,999999,IF(5=$HB44,IF(105=$HJ44,IF($JC44=2,30,0),IF(105=$HK44,IF($JC44=1,30,0),ABS(9-$HC44)*100)),100000+ABS(5-$HB44)*1000+90)),IF($HD44=0,999999,IF(5=$HE44,IF(105=$HL44,IF($JD44=2,30,0),IF(105=$HM44,IF($JD44=1,30,0),ABS(9-$HF44)*100)),100000+ABS(5-$HE44)*1000+90)),IF($HG44=0,999999,IF(5=$HH44,IF(105=$HN44,IF($JE44=2,30,0),IF(105=$HO44,IF($JE44=1,30,0),ABS(9-$HI44)*100)),100000+ABS(5-$HH44)*1000+90)))-IF((105=$HJ44)+(105=$HK44)+(105=$HL44)+(105=$HM44)+(105=$HN44)+(105=$HO44)&gt;=2,50,0))+DD$5*50)</f>
        <v/>
      </c>
      <c r="DE164">
        <f>IF(OR($JF44=0,calcA!$A$6=0),0,IF(OR(106=$HA44,106=$HD44,106=$HG44),200000,MIN(IF($HA44=0,999999,IF(5=$HB44,IF(106=$HJ44,IF($JC44=2,30,0),IF(106=$HK44,IF($JC44=1,30,0),ABS(10-$HC44)*100)),100000+ABS(5-$HB44)*1000+100)),IF($HD44=0,999999,IF(5=$HE44,IF(106=$HL44,IF($JD44=2,30,0),IF(106=$HM44,IF($JD44=1,30,0),ABS(10-$HF44)*100)),100000+ABS(5-$HE44)*1000+100)),IF($HG44=0,999999,IF(5=$HH44,IF(106=$HN44,IF($JE44=2,30,0),IF(106=$HO44,IF($JE44=1,30,0),ABS(10-$HI44)*100)),100000+ABS(5-$HH44)*1000+100)))-IF((106=$HJ44)+(106=$HK44)+(106=$HL44)+(106=$HM44)+(106=$HN44)+(106=$HO44)&gt;=2,50,0))+DE$5*50)</f>
        <v/>
      </c>
      <c r="DF164">
        <f>IF(OR($JF44=0,calcA!$A$6=0),0,IF(OR(107=$HA44,107=$HD44,107=$HG44),200000,MIN(IF($HA44=0,999999,IF(5=$HB44,IF(107=$HJ44,IF($JC44=2,30,0),IF(107=$HK44,IF($JC44=1,30,0),ABS(11-$HC44)*100)),100000+ABS(5-$HB44)*1000+110)),IF($HD44=0,999999,IF(5=$HE44,IF(107=$HL44,IF($JD44=2,30,0),IF(107=$HM44,IF($JD44=1,30,0),ABS(11-$HF44)*100)),100000+ABS(5-$HE44)*1000+110)),IF($HG44=0,999999,IF(5=$HH44,IF(107=$HN44,IF($JE44=2,30,0),IF(107=$HO44,IF($JE44=1,30,0),ABS(11-$HI44)*100)),100000+ABS(5-$HH44)*1000+110)))-IF((107=$HJ44)+(107=$HK44)+(107=$HL44)+(107=$HM44)+(107=$HN44)+(107=$HO44)&gt;=2,50,0))+DF$5*50)</f>
        <v/>
      </c>
      <c r="DG164">
        <f>IF(OR($JF44=0,calcA!$A$6=0),0,IF(OR(108=$HA44,108=$HD44,108=$HG44),200000,MIN(IF($HA44=0,999999,IF(5=$HB44,IF(108=$HJ44,IF($JC44=2,30,0),IF(108=$HK44,IF($JC44=1,30,0),ABS(12-$HC44)*100)),100000+ABS(5-$HB44)*1000+120)),IF($HD44=0,999999,IF(5=$HE44,IF(108=$HL44,IF($JD44=2,30,0),IF(108=$HM44,IF($JD44=1,30,0),ABS(12-$HF44)*100)),100000+ABS(5-$HE44)*1000+120)),IF($HG44=0,999999,IF(5=$HH44,IF(108=$HN44,IF($JE44=2,30,0),IF(108=$HO44,IF($JE44=1,30,0),ABS(12-$HI44)*100)),100000+ABS(5-$HH44)*1000+120)))-IF((108=$HJ44)+(108=$HK44)+(108=$HL44)+(108=$HM44)+(108=$HN44)+(108=$HO44)&gt;=2,50,0))+DG$5*50)</f>
        <v/>
      </c>
      <c r="DH164">
        <f>IF(OR($JF44=0,calcA!$A$6=0),0,IF(OR(109=$HA44,109=$HD44,109=$HG44),200000,MIN(IF($HA44=0,999999,IF(5=$HB44,IF(109=$HJ44,IF($JC44=2,30,0),IF(109=$HK44,IF($JC44=1,30,0),ABS(13-$HC44)*100)),100000+ABS(5-$HB44)*1000+130)),IF($HD44=0,999999,IF(5=$HE44,IF(109=$HL44,IF($JD44=2,30,0),IF(109=$HM44,IF($JD44=1,30,0),ABS(13-$HF44)*100)),100000+ABS(5-$HE44)*1000+130)),IF($HG44=0,999999,IF(5=$HH44,IF(109=$HN44,IF($JE44=2,30,0),IF(109=$HO44,IF($JE44=1,30,0),ABS(13-$HI44)*100)),100000+ABS(5-$HH44)*1000+130)))-IF((109=$HJ44)+(109=$HK44)+(109=$HL44)+(109=$HM44)+(109=$HN44)+(109=$HO44)&gt;=2,50,0))+DH$5*50)</f>
        <v/>
      </c>
      <c r="DI164">
        <f>IF(OR($JF44=0,calcA!$A$6=0),0,IF(OR(110=$HA44,110=$HD44,110=$HG44),200000,MIN(IF($HA44=0,999999,IF(5=$HB44,IF(110=$HJ44,IF($JC44=2,30,0),IF(110=$HK44,IF($JC44=1,30,0),ABS(14-$HC44)*100)),100000+ABS(5-$HB44)*1000+140)),IF($HD44=0,999999,IF(5=$HE44,IF(110=$HL44,IF($JD44=2,30,0),IF(110=$HM44,IF($JD44=1,30,0),ABS(14-$HF44)*100)),100000+ABS(5-$HE44)*1000+140)),IF($HG44=0,999999,IF(5=$HH44,IF(110=$HN44,IF($JE44=2,30,0),IF(110=$HO44,IF($JE44=1,30,0),ABS(14-$HI44)*100)),100000+ABS(5-$HH44)*1000+140)))-IF((110=$HJ44)+(110=$HK44)+(110=$HL44)+(110=$HM44)+(110=$HN44)+(110=$HO44)&gt;=2,50,0))+DI$5*50)</f>
        <v/>
      </c>
      <c r="DJ164">
        <f>IF(OR($JF44=0,calcA!$A$6=0),0,IF(OR(111=$HA44,111=$HD44,111=$HG44),200000,MIN(IF($HA44=0,999999,IF(5=$HB44,IF(111=$HJ44,IF($JC44=2,30,0),IF(111=$HK44,IF($JC44=1,30,0),ABS(15-$HC44)*100)),100000+ABS(5-$HB44)*1000+150)),IF($HD44=0,999999,IF(5=$HE44,IF(111=$HL44,IF($JD44=2,30,0),IF(111=$HM44,IF($JD44=1,30,0),ABS(15-$HF44)*100)),100000+ABS(5-$HE44)*1000+150)),IF($HG44=0,999999,IF(5=$HH44,IF(111=$HN44,IF($JE44=2,30,0),IF(111=$HO44,IF($JE44=1,30,0),ABS(15-$HI44)*100)),100000+ABS(5-$HH44)*1000+150)))-IF((111=$HJ44)+(111=$HK44)+(111=$HL44)+(111=$HM44)+(111=$HN44)+(111=$HO44)&gt;=2,50,0))+DJ$5*50)</f>
        <v/>
      </c>
      <c r="DK164">
        <f>IF(OR($JF44=0,calcA!$A$6=0),0,IF(OR(112=$HA44,112=$HD44,112=$HG44),200000,MIN(IF($HA44=0,999999,IF(5=$HB44,IF(112=$HJ44,IF($JC44=2,30,0),IF(112=$HK44,IF($JC44=1,30,0),ABS(16-$HC44)*100)),100000+ABS(5-$HB44)*1000+160)),IF($HD44=0,999999,IF(5=$HE44,IF(112=$HL44,IF($JD44=2,30,0),IF(112=$HM44,IF($JD44=1,30,0),ABS(16-$HF44)*100)),100000+ABS(5-$HE44)*1000+160)),IF($HG44=0,999999,IF(5=$HH44,IF(112=$HN44,IF($JE44=2,30,0),IF(112=$HO44,IF($JE44=1,30,0),ABS(16-$HI44)*100)),100000+ABS(5-$HH44)*1000+160)))-IF((112=$HJ44)+(112=$HK44)+(112=$HL44)+(112=$HM44)+(112=$HN44)+(112=$HO44)&gt;=2,50,0))+DK$5*50)</f>
        <v/>
      </c>
      <c r="DL164">
        <f>IF(OR($JF44=0,calcA!$A$6=0),0,IF(OR(113=$HA44,113=$HD44,113=$HG44),200000,MIN(IF($HA44=0,999999,IF(5=$HB44,IF(113=$HJ44,IF($JC44=2,30,0),IF(113=$HK44,IF($JC44=1,30,0),ABS(17-$HC44)*100)),100000+ABS(5-$HB44)*1000+170)),IF($HD44=0,999999,IF(5=$HE44,IF(113=$HL44,IF($JD44=2,30,0),IF(113=$HM44,IF($JD44=1,30,0),ABS(17-$HF44)*100)),100000+ABS(5-$HE44)*1000+170)),IF($HG44=0,999999,IF(5=$HH44,IF(113=$HN44,IF($JE44=2,30,0),IF(113=$HO44,IF($JE44=1,30,0),ABS(17-$HI44)*100)),100000+ABS(5-$HH44)*1000+170)))-IF((113=$HJ44)+(113=$HK44)+(113=$HL44)+(113=$HM44)+(113=$HN44)+(113=$HO44)&gt;=2,50,0))+DL$5*50)</f>
        <v/>
      </c>
      <c r="DM164">
        <f>IF(OR($JF44=0,calcA!$A$6=0),0,IF(OR(114=$HA44,114=$HD44,114=$HG44),200000,MIN(IF($HA44=0,999999,IF(5=$HB44,IF(114=$HJ44,IF($JC44=2,30,0),IF(114=$HK44,IF($JC44=1,30,0),ABS(18-$HC44)*100)),100000+ABS(5-$HB44)*1000+180)),IF($HD44=0,999999,IF(5=$HE44,IF(114=$HL44,IF($JD44=2,30,0),IF(114=$HM44,IF($JD44=1,30,0),ABS(18-$HF44)*100)),100000+ABS(5-$HE44)*1000+180)),IF($HG44=0,999999,IF(5=$HH44,IF(114=$HN44,IF($JE44=2,30,0),IF(114=$HO44,IF($JE44=1,30,0),ABS(18-$HI44)*100)),100000+ABS(5-$HH44)*1000+180)))-IF((114=$HJ44)+(114=$HK44)+(114=$HL44)+(114=$HM44)+(114=$HN44)+(114=$HO44)&gt;=2,50,0))+DM$5*50)</f>
        <v/>
      </c>
      <c r="DN164">
        <f>IF(OR($JF44=0,calcA!$A$6=0),0,IF(OR(115=$HA44,115=$HD44,115=$HG44),200000,MIN(IF($HA44=0,999999,IF(5=$HB44,IF(115=$HJ44,IF($JC44=2,30,0),IF(115=$HK44,IF($JC44=1,30,0),ABS(19-$HC44)*100)),100000+ABS(5-$HB44)*1000+190)),IF($HD44=0,999999,IF(5=$HE44,IF(115=$HL44,IF($JD44=2,30,0),IF(115=$HM44,IF($JD44=1,30,0),ABS(19-$HF44)*100)),100000+ABS(5-$HE44)*1000+190)),IF($HG44=0,999999,IF(5=$HH44,IF(115=$HN44,IF($JE44=2,30,0),IF(115=$HO44,IF($JE44=1,30,0),ABS(19-$HI44)*100)),100000+ABS(5-$HH44)*1000+190)))-IF((115=$HJ44)+(115=$HK44)+(115=$HL44)+(115=$HM44)+(115=$HN44)+(115=$HO44)&gt;=2,50,0))+DN$5*50)</f>
        <v/>
      </c>
      <c r="DO164">
        <f>IF(OR($JF44=0,calcA!$A$6=0),0,IF(OR(116=$HA44,116=$HD44,116=$HG44),200000,MIN(IF($HA44=0,999999,IF(5=$HB44,IF(116=$HJ44,IF($JC44=2,30,0),IF(116=$HK44,IF($JC44=1,30,0),ABS(20-$HC44)*100)),100000+ABS(5-$HB44)*1000+200)),IF($HD44=0,999999,IF(5=$HE44,IF(116=$HL44,IF($JD44=2,30,0),IF(116=$HM44,IF($JD44=1,30,0),ABS(20-$HF44)*100)),100000+ABS(5-$HE44)*1000+200)),IF($HG44=0,999999,IF(5=$HH44,IF(116=$HN44,IF($JE44=2,30,0),IF(116=$HO44,IF($JE44=1,30,0),ABS(20-$HI44)*100)),100000+ABS(5-$HH44)*1000+200)))-IF((116=$HJ44)+(116=$HK44)+(116=$HL44)+(116=$HM44)+(116=$HN44)+(116=$HO44)&gt;=2,50,0))+DO$5*50)</f>
        <v/>
      </c>
      <c r="DP164">
        <f>IF(OR($JF44=0,calcA!$A$6=0),0,IF(OR(117=$HA44,117=$HD44,117=$HG44),200000,MIN(IF($HA44=0,999999,IF(5=$HB44,IF(117=$HJ44,IF($JC44=2,30,0),IF(117=$HK44,IF($JC44=1,30,0),ABS(21-$HC44)*100)),100000+ABS(5-$HB44)*1000+210)),IF($HD44=0,999999,IF(5=$HE44,IF(117=$HL44,IF($JD44=2,30,0),IF(117=$HM44,IF($JD44=1,30,0),ABS(21-$HF44)*100)),100000+ABS(5-$HE44)*1000+210)),IF($HG44=0,999999,IF(5=$HH44,IF(117=$HN44,IF($JE44=2,30,0),IF(117=$HO44,IF($JE44=1,30,0),ABS(21-$HI44)*100)),100000+ABS(5-$HH44)*1000+210)))-IF((117=$HJ44)+(117=$HK44)+(117=$HL44)+(117=$HM44)+(117=$HN44)+(117=$HO44)&gt;=2,50,0))+DP$5*50)</f>
        <v/>
      </c>
      <c r="DQ164">
        <f>IF(OR($JF44=0,calcA!$A$6=0),0,IF(OR(118=$HA44,118=$HD44,118=$HG44),200000,MIN(IF($HA44=0,999999,IF(5=$HB44,IF(118=$HJ44,IF($JC44=2,30,0),IF(118=$HK44,IF($JC44=1,30,0),ABS(22-$HC44)*100)),100000+ABS(5-$HB44)*1000+220)),IF($HD44=0,999999,IF(5=$HE44,IF(118=$HL44,IF($JD44=2,30,0),IF(118=$HM44,IF($JD44=1,30,0),ABS(22-$HF44)*100)),100000+ABS(5-$HE44)*1000+220)),IF($HG44=0,999999,IF(5=$HH44,IF(118=$HN44,IF($JE44=2,30,0),IF(118=$HO44,IF($JE44=1,30,0),ABS(22-$HI44)*100)),100000+ABS(5-$HH44)*1000+220)))-IF((118=$HJ44)+(118=$HK44)+(118=$HL44)+(118=$HM44)+(118=$HN44)+(118=$HO44)&gt;=2,50,0))+DQ$5*50)</f>
        <v/>
      </c>
      <c r="DR164">
        <f>IF(OR($JF44=0,calcA!$A$6=0),0,IF(OR(119=$HA44,119=$HD44,119=$HG44),200000,MIN(IF($HA44=0,999999,IF(5=$HB44,IF(119=$HJ44,IF($JC44=2,30,0),IF(119=$HK44,IF($JC44=1,30,0),ABS(23-$HC44)*100)),100000+ABS(5-$HB44)*1000+230)),IF($HD44=0,999999,IF(5=$HE44,IF(119=$HL44,IF($JD44=2,30,0),IF(119=$HM44,IF($JD44=1,30,0),ABS(23-$HF44)*100)),100000+ABS(5-$HE44)*1000+230)),IF($HG44=0,999999,IF(5=$HH44,IF(119=$HN44,IF($JE44=2,30,0),IF(119=$HO44,IF($JE44=1,30,0),ABS(23-$HI44)*100)),100000+ABS(5-$HH44)*1000+230)))-IF((119=$HJ44)+(119=$HK44)+(119=$HL44)+(119=$HM44)+(119=$HN44)+(119=$HO44)&gt;=2,50,0))+DR$5*50)</f>
        <v/>
      </c>
      <c r="DS164">
        <f>IF(OR($JF44=0,calcA!$A$6=0),0,IF(OR(120=$HA44,120=$HD44,120=$HG44),200000,MIN(IF($HA44=0,999999,IF(5=$HB44,IF(120=$HJ44,IF($JC44=2,30,0),IF(120=$HK44,IF($JC44=1,30,0),ABS(24-$HC44)*100)),100000+ABS(5-$HB44)*1000+240)),IF($HD44=0,999999,IF(5=$HE44,IF(120=$HL44,IF($JD44=2,30,0),IF(120=$HM44,IF($JD44=1,30,0),ABS(24-$HF44)*100)),100000+ABS(5-$HE44)*1000+240)),IF($HG44=0,999999,IF(5=$HH44,IF(120=$HN44,IF($JE44=2,30,0),IF(120=$HO44,IF($JE44=1,30,0),ABS(24-$HI44)*100)),100000+ABS(5-$HH44)*1000+240)))-IF((120=$HJ44)+(120=$HK44)+(120=$HL44)+(120=$HM44)+(120=$HN44)+(120=$HO44)&gt;=2,50,0))+DS$5*50)</f>
        <v/>
      </c>
      <c r="DT164">
        <f>IF(OR($JF44=0,calcA!$A$6=0),0,IF(OR(121=$HA44,121=$HD44,121=$HG44),200000,MIN(IF($HA44=0,999999,IF(6=$HB44,IF(121=$HJ44,IF($JC44=2,30,0),IF(121=$HK44,IF($JC44=1,30,0),ABS(1-$HC44)*100)),100000+ABS(6-$HB44)*1000+10)),IF($HD44=0,999999,IF(6=$HE44,IF(121=$HL44,IF($JD44=2,30,0),IF(121=$HM44,IF($JD44=1,30,0),ABS(1-$HF44)*100)),100000+ABS(6-$HE44)*1000+10)),IF($HG44=0,999999,IF(6=$HH44,IF(121=$HN44,IF($JE44=2,30,0),IF(121=$HO44,IF($JE44=1,30,0),ABS(1-$HI44)*100)),100000+ABS(6-$HH44)*1000+10)))-IF((121=$HJ44)+(121=$HK44)+(121=$HL44)+(121=$HM44)+(121=$HN44)+(121=$HO44)&gt;=2,50,0))+DT$5*50)</f>
        <v/>
      </c>
      <c r="DU164">
        <f>IF(OR($JF44=0,calcA!$A$6=0),0,IF(OR(122=$HA44,122=$HD44,122=$HG44),200000,MIN(IF($HA44=0,999999,IF(6=$HB44,IF(122=$HJ44,IF($JC44=2,30,0),IF(122=$HK44,IF($JC44=1,30,0),ABS(2-$HC44)*100)),100000+ABS(6-$HB44)*1000+20)),IF($HD44=0,999999,IF(6=$HE44,IF(122=$HL44,IF($JD44=2,30,0),IF(122=$HM44,IF($JD44=1,30,0),ABS(2-$HF44)*100)),100000+ABS(6-$HE44)*1000+20)),IF($HG44=0,999999,IF(6=$HH44,IF(122=$HN44,IF($JE44=2,30,0),IF(122=$HO44,IF($JE44=1,30,0),ABS(2-$HI44)*100)),100000+ABS(6-$HH44)*1000+20)))-IF((122=$HJ44)+(122=$HK44)+(122=$HL44)+(122=$HM44)+(122=$HN44)+(122=$HO44)&gt;=2,50,0))+DU$5*50)</f>
        <v/>
      </c>
      <c r="DV164">
        <f>IF(OR($JF44=0,calcA!$A$6=0),0,IF(OR(123=$HA44,123=$HD44,123=$HG44),200000,MIN(IF($HA44=0,999999,IF(6=$HB44,IF(123=$HJ44,IF($JC44=2,30,0),IF(123=$HK44,IF($JC44=1,30,0),ABS(3-$HC44)*100)),100000+ABS(6-$HB44)*1000+30)),IF($HD44=0,999999,IF(6=$HE44,IF(123=$HL44,IF($JD44=2,30,0),IF(123=$HM44,IF($JD44=1,30,0),ABS(3-$HF44)*100)),100000+ABS(6-$HE44)*1000+30)),IF($HG44=0,999999,IF(6=$HH44,IF(123=$HN44,IF($JE44=2,30,0),IF(123=$HO44,IF($JE44=1,30,0),ABS(3-$HI44)*100)),100000+ABS(6-$HH44)*1000+30)))-IF((123=$HJ44)+(123=$HK44)+(123=$HL44)+(123=$HM44)+(123=$HN44)+(123=$HO44)&gt;=2,50,0))+DV$5*50)</f>
        <v/>
      </c>
      <c r="DW164">
        <f>IF(OR($JF44=0,calcA!$A$6=0),0,IF(OR(124=$HA44,124=$HD44,124=$HG44),200000,MIN(IF($HA44=0,999999,IF(6=$HB44,IF(124=$HJ44,IF($JC44=2,30,0),IF(124=$HK44,IF($JC44=1,30,0),ABS(4-$HC44)*100)),100000+ABS(6-$HB44)*1000+40)),IF($HD44=0,999999,IF(6=$HE44,IF(124=$HL44,IF($JD44=2,30,0),IF(124=$HM44,IF($JD44=1,30,0),ABS(4-$HF44)*100)),100000+ABS(6-$HE44)*1000+40)),IF($HG44=0,999999,IF(6=$HH44,IF(124=$HN44,IF($JE44=2,30,0),IF(124=$HO44,IF($JE44=1,30,0),ABS(4-$HI44)*100)),100000+ABS(6-$HH44)*1000+40)))-IF((124=$HJ44)+(124=$HK44)+(124=$HL44)+(124=$HM44)+(124=$HN44)+(124=$HO44)&gt;=2,50,0))+DW$5*50)</f>
        <v/>
      </c>
      <c r="DX164">
        <f>IF(OR($JF44=0,calcA!$A$6=0),0,IF(OR(125=$HA44,125=$HD44,125=$HG44),200000,MIN(IF($HA44=0,999999,IF(6=$HB44,IF(125=$HJ44,IF($JC44=2,30,0),IF(125=$HK44,IF($JC44=1,30,0),ABS(5-$HC44)*100)),100000+ABS(6-$HB44)*1000+50)),IF($HD44=0,999999,IF(6=$HE44,IF(125=$HL44,IF($JD44=2,30,0),IF(125=$HM44,IF($JD44=1,30,0),ABS(5-$HF44)*100)),100000+ABS(6-$HE44)*1000+50)),IF($HG44=0,999999,IF(6=$HH44,IF(125=$HN44,IF($JE44=2,30,0),IF(125=$HO44,IF($JE44=1,30,0),ABS(5-$HI44)*100)),100000+ABS(6-$HH44)*1000+50)))-IF((125=$HJ44)+(125=$HK44)+(125=$HL44)+(125=$HM44)+(125=$HN44)+(125=$HO44)&gt;=2,50,0))+DX$5*50)</f>
        <v/>
      </c>
      <c r="DY164">
        <f>IF(OR($JF44=0,calcA!$A$6=0),0,IF(OR(126=$HA44,126=$HD44,126=$HG44),200000,MIN(IF($HA44=0,999999,IF(6=$HB44,IF(126=$HJ44,IF($JC44=2,30,0),IF(126=$HK44,IF($JC44=1,30,0),ABS(6-$HC44)*100)),100000+ABS(6-$HB44)*1000+60)),IF($HD44=0,999999,IF(6=$HE44,IF(126=$HL44,IF($JD44=2,30,0),IF(126=$HM44,IF($JD44=1,30,0),ABS(6-$HF44)*100)),100000+ABS(6-$HE44)*1000+60)),IF($HG44=0,999999,IF(6=$HH44,IF(126=$HN44,IF($JE44=2,30,0),IF(126=$HO44,IF($JE44=1,30,0),ABS(6-$HI44)*100)),100000+ABS(6-$HH44)*1000+60)))-IF((126=$HJ44)+(126=$HK44)+(126=$HL44)+(126=$HM44)+(126=$HN44)+(126=$HO44)&gt;=2,50,0))+DY$5*50)</f>
        <v/>
      </c>
      <c r="DZ164">
        <f>IF(OR($JF44=0,calcA!$A$6=0),0,IF(OR(127=$HA44,127=$HD44,127=$HG44),200000,MIN(IF($HA44=0,999999,IF(6=$HB44,IF(127=$HJ44,IF($JC44=2,30,0),IF(127=$HK44,IF($JC44=1,30,0),ABS(7-$HC44)*100)),100000+ABS(6-$HB44)*1000+70)),IF($HD44=0,999999,IF(6=$HE44,IF(127=$HL44,IF($JD44=2,30,0),IF(127=$HM44,IF($JD44=1,30,0),ABS(7-$HF44)*100)),100000+ABS(6-$HE44)*1000+70)),IF($HG44=0,999999,IF(6=$HH44,IF(127=$HN44,IF($JE44=2,30,0),IF(127=$HO44,IF($JE44=1,30,0),ABS(7-$HI44)*100)),100000+ABS(6-$HH44)*1000+70)))-IF((127=$HJ44)+(127=$HK44)+(127=$HL44)+(127=$HM44)+(127=$HN44)+(127=$HO44)&gt;=2,50,0))+DZ$5*50)</f>
        <v/>
      </c>
      <c r="EA164">
        <f>IF(OR($JF44=0,calcA!$A$6=0),0,IF(OR(128=$HA44,128=$HD44,128=$HG44),200000,MIN(IF($HA44=0,999999,IF(6=$HB44,IF(128=$HJ44,IF($JC44=2,30,0),IF(128=$HK44,IF($JC44=1,30,0),ABS(8-$HC44)*100)),100000+ABS(6-$HB44)*1000+80)),IF($HD44=0,999999,IF(6=$HE44,IF(128=$HL44,IF($JD44=2,30,0),IF(128=$HM44,IF($JD44=1,30,0),ABS(8-$HF44)*100)),100000+ABS(6-$HE44)*1000+80)),IF($HG44=0,999999,IF(6=$HH44,IF(128=$HN44,IF($JE44=2,30,0),IF(128=$HO44,IF($JE44=1,30,0),ABS(8-$HI44)*100)),100000+ABS(6-$HH44)*1000+80)))-IF((128=$HJ44)+(128=$HK44)+(128=$HL44)+(128=$HM44)+(128=$HN44)+(128=$HO44)&gt;=2,50,0))+EA$5*50)</f>
        <v/>
      </c>
      <c r="EB164">
        <f>IF(OR($JF44=0,calcA!$A$6=0),0,IF(OR(129=$HA44,129=$HD44,129=$HG44),200000,MIN(IF($HA44=0,999999,IF(6=$HB44,IF(129=$HJ44,IF($JC44=2,30,0),IF(129=$HK44,IF($JC44=1,30,0),ABS(9-$HC44)*100)),100000+ABS(6-$HB44)*1000+90)),IF($HD44=0,999999,IF(6=$HE44,IF(129=$HL44,IF($JD44=2,30,0),IF(129=$HM44,IF($JD44=1,30,0),ABS(9-$HF44)*100)),100000+ABS(6-$HE44)*1000+90)),IF($HG44=0,999999,IF(6=$HH44,IF(129=$HN44,IF($JE44=2,30,0),IF(129=$HO44,IF($JE44=1,30,0),ABS(9-$HI44)*100)),100000+ABS(6-$HH44)*1000+90)))-IF((129=$HJ44)+(129=$HK44)+(129=$HL44)+(129=$HM44)+(129=$HN44)+(129=$HO44)&gt;=2,50,0))+EB$5*50)</f>
        <v/>
      </c>
      <c r="EC164">
        <f>IF(OR($JF44=0,calcA!$A$6=0),0,IF(OR(130=$HA44,130=$HD44,130=$HG44),200000,MIN(IF($HA44=0,999999,IF(6=$HB44,IF(130=$HJ44,IF($JC44=2,30,0),IF(130=$HK44,IF($JC44=1,30,0),ABS(10-$HC44)*100)),100000+ABS(6-$HB44)*1000+100)),IF($HD44=0,999999,IF(6=$HE44,IF(130=$HL44,IF($JD44=2,30,0),IF(130=$HM44,IF($JD44=1,30,0),ABS(10-$HF44)*100)),100000+ABS(6-$HE44)*1000+100)),IF($HG44=0,999999,IF(6=$HH44,IF(130=$HN44,IF($JE44=2,30,0),IF(130=$HO44,IF($JE44=1,30,0),ABS(10-$HI44)*100)),100000+ABS(6-$HH44)*1000+100)))-IF((130=$HJ44)+(130=$HK44)+(130=$HL44)+(130=$HM44)+(130=$HN44)+(130=$HO44)&gt;=2,50,0))+EC$5*50)</f>
        <v/>
      </c>
      <c r="ED164">
        <f>IF(OR($JF44=0,calcA!$A$6=0),0,IF(OR(131=$HA44,131=$HD44,131=$HG44),200000,MIN(IF($HA44=0,999999,IF(6=$HB44,IF(131=$HJ44,IF($JC44=2,30,0),IF(131=$HK44,IF($JC44=1,30,0),ABS(11-$HC44)*100)),100000+ABS(6-$HB44)*1000+110)),IF($HD44=0,999999,IF(6=$HE44,IF(131=$HL44,IF($JD44=2,30,0),IF(131=$HM44,IF($JD44=1,30,0),ABS(11-$HF44)*100)),100000+ABS(6-$HE44)*1000+110)),IF($HG44=0,999999,IF(6=$HH44,IF(131=$HN44,IF($JE44=2,30,0),IF(131=$HO44,IF($JE44=1,30,0),ABS(11-$HI44)*100)),100000+ABS(6-$HH44)*1000+110)))-IF((131=$HJ44)+(131=$HK44)+(131=$HL44)+(131=$HM44)+(131=$HN44)+(131=$HO44)&gt;=2,50,0))+ED$5*50)</f>
        <v/>
      </c>
      <c r="EE164">
        <f>IF(OR($JF44=0,calcA!$A$6=0),0,IF(OR(132=$HA44,132=$HD44,132=$HG44),200000,MIN(IF($HA44=0,999999,IF(6=$HB44,IF(132=$HJ44,IF($JC44=2,30,0),IF(132=$HK44,IF($JC44=1,30,0),ABS(12-$HC44)*100)),100000+ABS(6-$HB44)*1000+120)),IF($HD44=0,999999,IF(6=$HE44,IF(132=$HL44,IF($JD44=2,30,0),IF(132=$HM44,IF($JD44=1,30,0),ABS(12-$HF44)*100)),100000+ABS(6-$HE44)*1000+120)),IF($HG44=0,999999,IF(6=$HH44,IF(132=$HN44,IF($JE44=2,30,0),IF(132=$HO44,IF($JE44=1,30,0),ABS(12-$HI44)*100)),100000+ABS(6-$HH44)*1000+120)))-IF((132=$HJ44)+(132=$HK44)+(132=$HL44)+(132=$HM44)+(132=$HN44)+(132=$HO44)&gt;=2,50,0))+EE$5*50)</f>
        <v/>
      </c>
      <c r="EF164">
        <f>IF(OR($JF44=0,calcA!$A$6=0),0,IF(OR(133=$HA44,133=$HD44,133=$HG44),200000,MIN(IF($HA44=0,999999,IF(6=$HB44,IF(133=$HJ44,IF($JC44=2,30,0),IF(133=$HK44,IF($JC44=1,30,0),ABS(13-$HC44)*100)),100000+ABS(6-$HB44)*1000+130)),IF($HD44=0,999999,IF(6=$HE44,IF(133=$HL44,IF($JD44=2,30,0),IF(133=$HM44,IF($JD44=1,30,0),ABS(13-$HF44)*100)),100000+ABS(6-$HE44)*1000+130)),IF($HG44=0,999999,IF(6=$HH44,IF(133=$HN44,IF($JE44=2,30,0),IF(133=$HO44,IF($JE44=1,30,0),ABS(13-$HI44)*100)),100000+ABS(6-$HH44)*1000+130)))-IF((133=$HJ44)+(133=$HK44)+(133=$HL44)+(133=$HM44)+(133=$HN44)+(133=$HO44)&gt;=2,50,0))+EF$5*50)</f>
        <v/>
      </c>
      <c r="EG164">
        <f>IF(OR($JF44=0,calcA!$A$6=0),0,IF(OR(134=$HA44,134=$HD44,134=$HG44),200000,MIN(IF($HA44=0,999999,IF(6=$HB44,IF(134=$HJ44,IF($JC44=2,30,0),IF(134=$HK44,IF($JC44=1,30,0),ABS(14-$HC44)*100)),100000+ABS(6-$HB44)*1000+140)),IF($HD44=0,999999,IF(6=$HE44,IF(134=$HL44,IF($JD44=2,30,0),IF(134=$HM44,IF($JD44=1,30,0),ABS(14-$HF44)*100)),100000+ABS(6-$HE44)*1000+140)),IF($HG44=0,999999,IF(6=$HH44,IF(134=$HN44,IF($JE44=2,30,0),IF(134=$HO44,IF($JE44=1,30,0),ABS(14-$HI44)*100)),100000+ABS(6-$HH44)*1000+140)))-IF((134=$HJ44)+(134=$HK44)+(134=$HL44)+(134=$HM44)+(134=$HN44)+(134=$HO44)&gt;=2,50,0))+EG$5*50)</f>
        <v/>
      </c>
      <c r="EH164">
        <f>IF(OR($JF44=0,calcA!$A$6=0),0,IF(OR(135=$HA44,135=$HD44,135=$HG44),200000,MIN(IF($HA44=0,999999,IF(6=$HB44,IF(135=$HJ44,IF($JC44=2,30,0),IF(135=$HK44,IF($JC44=1,30,0),ABS(15-$HC44)*100)),100000+ABS(6-$HB44)*1000+150)),IF($HD44=0,999999,IF(6=$HE44,IF(135=$HL44,IF($JD44=2,30,0),IF(135=$HM44,IF($JD44=1,30,0),ABS(15-$HF44)*100)),100000+ABS(6-$HE44)*1000+150)),IF($HG44=0,999999,IF(6=$HH44,IF(135=$HN44,IF($JE44=2,30,0),IF(135=$HO44,IF($JE44=1,30,0),ABS(15-$HI44)*100)),100000+ABS(6-$HH44)*1000+150)))-IF((135=$HJ44)+(135=$HK44)+(135=$HL44)+(135=$HM44)+(135=$HN44)+(135=$HO44)&gt;=2,50,0))+EH$5*50)</f>
        <v/>
      </c>
      <c r="EI164">
        <f>IF(OR($JF44=0,calcA!$A$6=0),0,IF(OR(136=$HA44,136=$HD44,136=$HG44),200000,MIN(IF($HA44=0,999999,IF(6=$HB44,IF(136=$HJ44,IF($JC44=2,30,0),IF(136=$HK44,IF($JC44=1,30,0),ABS(16-$HC44)*100)),100000+ABS(6-$HB44)*1000+160)),IF($HD44=0,999999,IF(6=$HE44,IF(136=$HL44,IF($JD44=2,30,0),IF(136=$HM44,IF($JD44=1,30,0),ABS(16-$HF44)*100)),100000+ABS(6-$HE44)*1000+160)),IF($HG44=0,999999,IF(6=$HH44,IF(136=$HN44,IF($JE44=2,30,0),IF(136=$HO44,IF($JE44=1,30,0),ABS(16-$HI44)*100)),100000+ABS(6-$HH44)*1000+160)))-IF((136=$HJ44)+(136=$HK44)+(136=$HL44)+(136=$HM44)+(136=$HN44)+(136=$HO44)&gt;=2,50,0))+EI$5*50)</f>
        <v/>
      </c>
      <c r="EJ164">
        <f>IF(OR($JF44=0,calcA!$A$6=0),0,IF(OR(137=$HA44,137=$HD44,137=$HG44),200000,MIN(IF($HA44=0,999999,IF(6=$HB44,IF(137=$HJ44,IF($JC44=2,30,0),IF(137=$HK44,IF($JC44=1,30,0),ABS(17-$HC44)*100)),100000+ABS(6-$HB44)*1000+170)),IF($HD44=0,999999,IF(6=$HE44,IF(137=$HL44,IF($JD44=2,30,0),IF(137=$HM44,IF($JD44=1,30,0),ABS(17-$HF44)*100)),100000+ABS(6-$HE44)*1000+170)),IF($HG44=0,999999,IF(6=$HH44,IF(137=$HN44,IF($JE44=2,30,0),IF(137=$HO44,IF($JE44=1,30,0),ABS(17-$HI44)*100)),100000+ABS(6-$HH44)*1000+170)))-IF((137=$HJ44)+(137=$HK44)+(137=$HL44)+(137=$HM44)+(137=$HN44)+(137=$HO44)&gt;=2,50,0))+EJ$5*50)</f>
        <v/>
      </c>
      <c r="EK164">
        <f>IF(OR($JF44=0,calcA!$A$6=0),0,IF(OR(138=$HA44,138=$HD44,138=$HG44),200000,MIN(IF($HA44=0,999999,IF(6=$HB44,IF(138=$HJ44,IF($JC44=2,30,0),IF(138=$HK44,IF($JC44=1,30,0),ABS(18-$HC44)*100)),100000+ABS(6-$HB44)*1000+180)),IF($HD44=0,999999,IF(6=$HE44,IF(138=$HL44,IF($JD44=2,30,0),IF(138=$HM44,IF($JD44=1,30,0),ABS(18-$HF44)*100)),100000+ABS(6-$HE44)*1000+180)),IF($HG44=0,999999,IF(6=$HH44,IF(138=$HN44,IF($JE44=2,30,0),IF(138=$HO44,IF($JE44=1,30,0),ABS(18-$HI44)*100)),100000+ABS(6-$HH44)*1000+180)))-IF((138=$HJ44)+(138=$HK44)+(138=$HL44)+(138=$HM44)+(138=$HN44)+(138=$HO44)&gt;=2,50,0))+EK$5*50)</f>
        <v/>
      </c>
      <c r="EL164">
        <f>IF(OR($JF44=0,calcA!$A$6=0),0,IF(OR(139=$HA44,139=$HD44,139=$HG44),200000,MIN(IF($HA44=0,999999,IF(6=$HB44,IF(139=$HJ44,IF($JC44=2,30,0),IF(139=$HK44,IF($JC44=1,30,0),ABS(19-$HC44)*100)),100000+ABS(6-$HB44)*1000+190)),IF($HD44=0,999999,IF(6=$HE44,IF(139=$HL44,IF($JD44=2,30,0),IF(139=$HM44,IF($JD44=1,30,0),ABS(19-$HF44)*100)),100000+ABS(6-$HE44)*1000+190)),IF($HG44=0,999999,IF(6=$HH44,IF(139=$HN44,IF($JE44=2,30,0),IF(139=$HO44,IF($JE44=1,30,0),ABS(19-$HI44)*100)),100000+ABS(6-$HH44)*1000+190)))-IF((139=$HJ44)+(139=$HK44)+(139=$HL44)+(139=$HM44)+(139=$HN44)+(139=$HO44)&gt;=2,50,0))+EL$5*50)</f>
        <v/>
      </c>
      <c r="EM164">
        <f>IF(OR($JF44=0,calcA!$A$6=0),0,IF(OR(140=$HA44,140=$HD44,140=$HG44),200000,MIN(IF($HA44=0,999999,IF(6=$HB44,IF(140=$HJ44,IF($JC44=2,30,0),IF(140=$HK44,IF($JC44=1,30,0),ABS(20-$HC44)*100)),100000+ABS(6-$HB44)*1000+200)),IF($HD44=0,999999,IF(6=$HE44,IF(140=$HL44,IF($JD44=2,30,0),IF(140=$HM44,IF($JD44=1,30,0),ABS(20-$HF44)*100)),100000+ABS(6-$HE44)*1000+200)),IF($HG44=0,999999,IF(6=$HH44,IF(140=$HN44,IF($JE44=2,30,0),IF(140=$HO44,IF($JE44=1,30,0),ABS(20-$HI44)*100)),100000+ABS(6-$HH44)*1000+200)))-IF((140=$HJ44)+(140=$HK44)+(140=$HL44)+(140=$HM44)+(140=$HN44)+(140=$HO44)&gt;=2,50,0))+EM$5*50)</f>
        <v/>
      </c>
      <c r="EN164">
        <f>IF(OR($JF44=0,calcA!$A$6=0),0,IF(OR(141=$HA44,141=$HD44,141=$HG44),200000,MIN(IF($HA44=0,999999,IF(6=$HB44,IF(141=$HJ44,IF($JC44=2,30,0),IF(141=$HK44,IF($JC44=1,30,0),ABS(21-$HC44)*100)),100000+ABS(6-$HB44)*1000+210)),IF($HD44=0,999999,IF(6=$HE44,IF(141=$HL44,IF($JD44=2,30,0),IF(141=$HM44,IF($JD44=1,30,0),ABS(21-$HF44)*100)),100000+ABS(6-$HE44)*1000+210)),IF($HG44=0,999999,IF(6=$HH44,IF(141=$HN44,IF($JE44=2,30,0),IF(141=$HO44,IF($JE44=1,30,0),ABS(21-$HI44)*100)),100000+ABS(6-$HH44)*1000+210)))-IF((141=$HJ44)+(141=$HK44)+(141=$HL44)+(141=$HM44)+(141=$HN44)+(141=$HO44)&gt;=2,50,0))+EN$5*50)</f>
        <v/>
      </c>
      <c r="EO164">
        <f>IF(OR($JF44=0,calcA!$A$6=0),0,IF(OR(142=$HA44,142=$HD44,142=$HG44),200000,MIN(IF($HA44=0,999999,IF(6=$HB44,IF(142=$HJ44,IF($JC44=2,30,0),IF(142=$HK44,IF($JC44=1,30,0),ABS(22-$HC44)*100)),100000+ABS(6-$HB44)*1000+220)),IF($HD44=0,999999,IF(6=$HE44,IF(142=$HL44,IF($JD44=2,30,0),IF(142=$HM44,IF($JD44=1,30,0),ABS(22-$HF44)*100)),100000+ABS(6-$HE44)*1000+220)),IF($HG44=0,999999,IF(6=$HH44,IF(142=$HN44,IF($JE44=2,30,0),IF(142=$HO44,IF($JE44=1,30,0),ABS(22-$HI44)*100)),100000+ABS(6-$HH44)*1000+220)))-IF((142=$HJ44)+(142=$HK44)+(142=$HL44)+(142=$HM44)+(142=$HN44)+(142=$HO44)&gt;=2,50,0))+EO$5*50)</f>
        <v/>
      </c>
      <c r="EP164">
        <f>IF(OR($JF44=0,calcA!$A$6=0),0,IF(OR(143=$HA44,143=$HD44,143=$HG44),200000,MIN(IF($HA44=0,999999,IF(6=$HB44,IF(143=$HJ44,IF($JC44=2,30,0),IF(143=$HK44,IF($JC44=1,30,0),ABS(23-$HC44)*100)),100000+ABS(6-$HB44)*1000+230)),IF($HD44=0,999999,IF(6=$HE44,IF(143=$HL44,IF($JD44=2,30,0),IF(143=$HM44,IF($JD44=1,30,0),ABS(23-$HF44)*100)),100000+ABS(6-$HE44)*1000+230)),IF($HG44=0,999999,IF(6=$HH44,IF(143=$HN44,IF($JE44=2,30,0),IF(143=$HO44,IF($JE44=1,30,0),ABS(23-$HI44)*100)),100000+ABS(6-$HH44)*1000+230)))-IF((143=$HJ44)+(143=$HK44)+(143=$HL44)+(143=$HM44)+(143=$HN44)+(143=$HO44)&gt;=2,50,0))+EP$5*50)</f>
        <v/>
      </c>
      <c r="EQ164">
        <f>IF(OR($JF44=0,calcA!$A$6=0),0,IF(OR(144=$HA44,144=$HD44,144=$HG44),200000,MIN(IF($HA44=0,999999,IF(6=$HB44,IF(144=$HJ44,IF($JC44=2,30,0),IF(144=$HK44,IF($JC44=1,30,0),ABS(24-$HC44)*100)),100000+ABS(6-$HB44)*1000+240)),IF($HD44=0,999999,IF(6=$HE44,IF(144=$HL44,IF($JD44=2,30,0),IF(144=$HM44,IF($JD44=1,30,0),ABS(24-$HF44)*100)),100000+ABS(6-$HE44)*1000+240)),IF($HG44=0,999999,IF(6=$HH44,IF(144=$HN44,IF($JE44=2,30,0),IF(144=$HO44,IF($JE44=1,30,0),ABS(24-$HI44)*100)),100000+ABS(6-$HH44)*1000+240)))-IF((144=$HJ44)+(144=$HK44)+(144=$HL44)+(144=$HM44)+(144=$HN44)+(144=$HO44)&gt;=2,50,0))+EQ$5*50)</f>
        <v/>
      </c>
    </row>
    <row r="165">
      <c r="D165">
        <f>IF(OR($JF45=0,calcA!$A$6=0),0,IF(OR(1=$HA45,1=$HD45,1=$HG45),200000,MIN(IF($HA45=0,999999,IF(1=$HB45,IF(1=$HJ45,IF($JC45=2,30,0),IF(1=$HK45,IF($JC45=1,30,0),ABS(1-$HC45)*100)),100000+ABS(1-$HB45)*1000+10)),IF($HD45=0,999999,IF(1=$HE45,IF(1=$HL45,IF($JD45=2,30,0),IF(1=$HM45,IF($JD45=1,30,0),ABS(1-$HF45)*100)),100000+ABS(1-$HE45)*1000+10)),IF($HG45=0,999999,IF(1=$HH45,IF(1=$HN45,IF($JE45=2,30,0),IF(1=$HO45,IF($JE45=1,30,0),ABS(1-$HI45)*100)),100000+ABS(1-$HH45)*1000+10)))-IF((1=$HJ45)+(1=$HK45)+(1=$HL45)+(1=$HM45)+(1=$HN45)+(1=$HO45)&gt;=2,50,0))+D$5*50)</f>
        <v/>
      </c>
      <c r="E165">
        <f>IF(OR($JF45=0,calcA!$A$6=0),0,IF(OR(2=$HA45,2=$HD45,2=$HG45),200000,MIN(IF($HA45=0,999999,IF(1=$HB45,IF(2=$HJ45,IF($JC45=2,30,0),IF(2=$HK45,IF($JC45=1,30,0),ABS(2-$HC45)*100)),100000+ABS(1-$HB45)*1000+20)),IF($HD45=0,999999,IF(1=$HE45,IF(2=$HL45,IF($JD45=2,30,0),IF(2=$HM45,IF($JD45=1,30,0),ABS(2-$HF45)*100)),100000+ABS(1-$HE45)*1000+20)),IF($HG45=0,999999,IF(1=$HH45,IF(2=$HN45,IF($JE45=2,30,0),IF(2=$HO45,IF($JE45=1,30,0),ABS(2-$HI45)*100)),100000+ABS(1-$HH45)*1000+20)))-IF((2=$HJ45)+(2=$HK45)+(2=$HL45)+(2=$HM45)+(2=$HN45)+(2=$HO45)&gt;=2,50,0))+E$5*50)</f>
        <v/>
      </c>
      <c r="F165">
        <f>IF(OR($JF45=0,calcA!$A$6=0),0,IF(OR(3=$HA45,3=$HD45,3=$HG45),200000,MIN(IF($HA45=0,999999,IF(1=$HB45,IF(3=$HJ45,IF($JC45=2,30,0),IF(3=$HK45,IF($JC45=1,30,0),ABS(3-$HC45)*100)),100000+ABS(1-$HB45)*1000+30)),IF($HD45=0,999999,IF(1=$HE45,IF(3=$HL45,IF($JD45=2,30,0),IF(3=$HM45,IF($JD45=1,30,0),ABS(3-$HF45)*100)),100000+ABS(1-$HE45)*1000+30)),IF($HG45=0,999999,IF(1=$HH45,IF(3=$HN45,IF($JE45=2,30,0),IF(3=$HO45,IF($JE45=1,30,0),ABS(3-$HI45)*100)),100000+ABS(1-$HH45)*1000+30)))-IF((3=$HJ45)+(3=$HK45)+(3=$HL45)+(3=$HM45)+(3=$HN45)+(3=$HO45)&gt;=2,50,0))+F$5*50)</f>
        <v/>
      </c>
      <c r="G165">
        <f>IF(OR($JF45=0,calcA!$A$6=0),0,IF(OR(4=$HA45,4=$HD45,4=$HG45),200000,MIN(IF($HA45=0,999999,IF(1=$HB45,IF(4=$HJ45,IF($JC45=2,30,0),IF(4=$HK45,IF($JC45=1,30,0),ABS(4-$HC45)*100)),100000+ABS(1-$HB45)*1000+40)),IF($HD45=0,999999,IF(1=$HE45,IF(4=$HL45,IF($JD45=2,30,0),IF(4=$HM45,IF($JD45=1,30,0),ABS(4-$HF45)*100)),100000+ABS(1-$HE45)*1000+40)),IF($HG45=0,999999,IF(1=$HH45,IF(4=$HN45,IF($JE45=2,30,0),IF(4=$HO45,IF($JE45=1,30,0),ABS(4-$HI45)*100)),100000+ABS(1-$HH45)*1000+40)))-IF((4=$HJ45)+(4=$HK45)+(4=$HL45)+(4=$HM45)+(4=$HN45)+(4=$HO45)&gt;=2,50,0))+G$5*50)</f>
        <v/>
      </c>
      <c r="H165">
        <f>IF(OR($JF45=0,calcA!$A$6=0),0,IF(OR(5=$HA45,5=$HD45,5=$HG45),200000,MIN(IF($HA45=0,999999,IF(1=$HB45,IF(5=$HJ45,IF($JC45=2,30,0),IF(5=$HK45,IF($JC45=1,30,0),ABS(5-$HC45)*100)),100000+ABS(1-$HB45)*1000+50)),IF($HD45=0,999999,IF(1=$HE45,IF(5=$HL45,IF($JD45=2,30,0),IF(5=$HM45,IF($JD45=1,30,0),ABS(5-$HF45)*100)),100000+ABS(1-$HE45)*1000+50)),IF($HG45=0,999999,IF(1=$HH45,IF(5=$HN45,IF($JE45=2,30,0),IF(5=$HO45,IF($JE45=1,30,0),ABS(5-$HI45)*100)),100000+ABS(1-$HH45)*1000+50)))-IF((5=$HJ45)+(5=$HK45)+(5=$HL45)+(5=$HM45)+(5=$HN45)+(5=$HO45)&gt;=2,50,0))+H$5*50)</f>
        <v/>
      </c>
      <c r="I165">
        <f>IF(OR($JF45=0,calcA!$A$6=0),0,IF(OR(6=$HA45,6=$HD45,6=$HG45),200000,MIN(IF($HA45=0,999999,IF(1=$HB45,IF(6=$HJ45,IF($JC45=2,30,0),IF(6=$HK45,IF($JC45=1,30,0),ABS(6-$HC45)*100)),100000+ABS(1-$HB45)*1000+60)),IF($HD45=0,999999,IF(1=$HE45,IF(6=$HL45,IF($JD45=2,30,0),IF(6=$HM45,IF($JD45=1,30,0),ABS(6-$HF45)*100)),100000+ABS(1-$HE45)*1000+60)),IF($HG45=0,999999,IF(1=$HH45,IF(6=$HN45,IF($JE45=2,30,0),IF(6=$HO45,IF($JE45=1,30,0),ABS(6-$HI45)*100)),100000+ABS(1-$HH45)*1000+60)))-IF((6=$HJ45)+(6=$HK45)+(6=$HL45)+(6=$HM45)+(6=$HN45)+(6=$HO45)&gt;=2,50,0))+I$5*50)</f>
        <v/>
      </c>
      <c r="J165">
        <f>IF(OR($JF45=0,calcA!$A$6=0),0,IF(OR(7=$HA45,7=$HD45,7=$HG45),200000,MIN(IF($HA45=0,999999,IF(1=$HB45,IF(7=$HJ45,IF($JC45=2,30,0),IF(7=$HK45,IF($JC45=1,30,0),ABS(7-$HC45)*100)),100000+ABS(1-$HB45)*1000+70)),IF($HD45=0,999999,IF(1=$HE45,IF(7=$HL45,IF($JD45=2,30,0),IF(7=$HM45,IF($JD45=1,30,0),ABS(7-$HF45)*100)),100000+ABS(1-$HE45)*1000+70)),IF($HG45=0,999999,IF(1=$HH45,IF(7=$HN45,IF($JE45=2,30,0),IF(7=$HO45,IF($JE45=1,30,0),ABS(7-$HI45)*100)),100000+ABS(1-$HH45)*1000+70)))-IF((7=$HJ45)+(7=$HK45)+(7=$HL45)+(7=$HM45)+(7=$HN45)+(7=$HO45)&gt;=2,50,0))+J$5*50)</f>
        <v/>
      </c>
      <c r="K165">
        <f>IF(OR($JF45=0,calcA!$A$6=0),0,IF(OR(8=$HA45,8=$HD45,8=$HG45),200000,MIN(IF($HA45=0,999999,IF(1=$HB45,IF(8=$HJ45,IF($JC45=2,30,0),IF(8=$HK45,IF($JC45=1,30,0),ABS(8-$HC45)*100)),100000+ABS(1-$HB45)*1000+80)),IF($HD45=0,999999,IF(1=$HE45,IF(8=$HL45,IF($JD45=2,30,0),IF(8=$HM45,IF($JD45=1,30,0),ABS(8-$HF45)*100)),100000+ABS(1-$HE45)*1000+80)),IF($HG45=0,999999,IF(1=$HH45,IF(8=$HN45,IF($JE45=2,30,0),IF(8=$HO45,IF($JE45=1,30,0),ABS(8-$HI45)*100)),100000+ABS(1-$HH45)*1000+80)))-IF((8=$HJ45)+(8=$HK45)+(8=$HL45)+(8=$HM45)+(8=$HN45)+(8=$HO45)&gt;=2,50,0))+K$5*50)</f>
        <v/>
      </c>
      <c r="L165">
        <f>IF(OR($JF45=0,calcA!$A$6=0),0,IF(OR(9=$HA45,9=$HD45,9=$HG45),200000,MIN(IF($HA45=0,999999,IF(1=$HB45,IF(9=$HJ45,IF($JC45=2,30,0),IF(9=$HK45,IF($JC45=1,30,0),ABS(9-$HC45)*100)),100000+ABS(1-$HB45)*1000+90)),IF($HD45=0,999999,IF(1=$HE45,IF(9=$HL45,IF($JD45=2,30,0),IF(9=$HM45,IF($JD45=1,30,0),ABS(9-$HF45)*100)),100000+ABS(1-$HE45)*1000+90)),IF($HG45=0,999999,IF(1=$HH45,IF(9=$HN45,IF($JE45=2,30,0),IF(9=$HO45,IF($JE45=1,30,0),ABS(9-$HI45)*100)),100000+ABS(1-$HH45)*1000+90)))-IF((9=$HJ45)+(9=$HK45)+(9=$HL45)+(9=$HM45)+(9=$HN45)+(9=$HO45)&gt;=2,50,0))+L$5*50)</f>
        <v/>
      </c>
      <c r="M165">
        <f>IF(OR($JF45=0,calcA!$A$6=0),0,IF(OR(10=$HA45,10=$HD45,10=$HG45),200000,MIN(IF($HA45=0,999999,IF(1=$HB45,IF(10=$HJ45,IF($JC45=2,30,0),IF(10=$HK45,IF($JC45=1,30,0),ABS(10-$HC45)*100)),100000+ABS(1-$HB45)*1000+100)),IF($HD45=0,999999,IF(1=$HE45,IF(10=$HL45,IF($JD45=2,30,0),IF(10=$HM45,IF($JD45=1,30,0),ABS(10-$HF45)*100)),100000+ABS(1-$HE45)*1000+100)),IF($HG45=0,999999,IF(1=$HH45,IF(10=$HN45,IF($JE45=2,30,0),IF(10=$HO45,IF($JE45=1,30,0),ABS(10-$HI45)*100)),100000+ABS(1-$HH45)*1000+100)))-IF((10=$HJ45)+(10=$HK45)+(10=$HL45)+(10=$HM45)+(10=$HN45)+(10=$HO45)&gt;=2,50,0))+M$5*50)</f>
        <v/>
      </c>
      <c r="N165">
        <f>IF(OR($JF45=0,calcA!$A$6=0),0,IF(OR(11=$HA45,11=$HD45,11=$HG45),200000,MIN(IF($HA45=0,999999,IF(1=$HB45,IF(11=$HJ45,IF($JC45=2,30,0),IF(11=$HK45,IF($JC45=1,30,0),ABS(11-$HC45)*100)),100000+ABS(1-$HB45)*1000+110)),IF($HD45=0,999999,IF(1=$HE45,IF(11=$HL45,IF($JD45=2,30,0),IF(11=$HM45,IF($JD45=1,30,0),ABS(11-$HF45)*100)),100000+ABS(1-$HE45)*1000+110)),IF($HG45=0,999999,IF(1=$HH45,IF(11=$HN45,IF($JE45=2,30,0),IF(11=$HO45,IF($JE45=1,30,0),ABS(11-$HI45)*100)),100000+ABS(1-$HH45)*1000+110)))-IF((11=$HJ45)+(11=$HK45)+(11=$HL45)+(11=$HM45)+(11=$HN45)+(11=$HO45)&gt;=2,50,0))+N$5*50)</f>
        <v/>
      </c>
      <c r="O165">
        <f>IF(OR($JF45=0,calcA!$A$6=0),0,IF(OR(12=$HA45,12=$HD45,12=$HG45),200000,MIN(IF($HA45=0,999999,IF(1=$HB45,IF(12=$HJ45,IF($JC45=2,30,0),IF(12=$HK45,IF($JC45=1,30,0),ABS(12-$HC45)*100)),100000+ABS(1-$HB45)*1000+120)),IF($HD45=0,999999,IF(1=$HE45,IF(12=$HL45,IF($JD45=2,30,0),IF(12=$HM45,IF($JD45=1,30,0),ABS(12-$HF45)*100)),100000+ABS(1-$HE45)*1000+120)),IF($HG45=0,999999,IF(1=$HH45,IF(12=$HN45,IF($JE45=2,30,0),IF(12=$HO45,IF($JE45=1,30,0),ABS(12-$HI45)*100)),100000+ABS(1-$HH45)*1000+120)))-IF((12=$HJ45)+(12=$HK45)+(12=$HL45)+(12=$HM45)+(12=$HN45)+(12=$HO45)&gt;=2,50,0))+O$5*50)</f>
        <v/>
      </c>
      <c r="P165">
        <f>IF(OR($JF45=0,calcA!$A$6=0),0,IF(OR(13=$HA45,13=$HD45,13=$HG45),200000,MIN(IF($HA45=0,999999,IF(1=$HB45,IF(13=$HJ45,IF($JC45=2,30,0),IF(13=$HK45,IF($JC45=1,30,0),ABS(13-$HC45)*100)),100000+ABS(1-$HB45)*1000+130)),IF($HD45=0,999999,IF(1=$HE45,IF(13=$HL45,IF($JD45=2,30,0),IF(13=$HM45,IF($JD45=1,30,0),ABS(13-$HF45)*100)),100000+ABS(1-$HE45)*1000+130)),IF($HG45=0,999999,IF(1=$HH45,IF(13=$HN45,IF($JE45=2,30,0),IF(13=$HO45,IF($JE45=1,30,0),ABS(13-$HI45)*100)),100000+ABS(1-$HH45)*1000+130)))-IF((13=$HJ45)+(13=$HK45)+(13=$HL45)+(13=$HM45)+(13=$HN45)+(13=$HO45)&gt;=2,50,0))+P$5*50)</f>
        <v/>
      </c>
      <c r="Q165">
        <f>IF(OR($JF45=0,calcA!$A$6=0),0,IF(OR(14=$HA45,14=$HD45,14=$HG45),200000,MIN(IF($HA45=0,999999,IF(1=$HB45,IF(14=$HJ45,IF($JC45=2,30,0),IF(14=$HK45,IF($JC45=1,30,0),ABS(14-$HC45)*100)),100000+ABS(1-$HB45)*1000+140)),IF($HD45=0,999999,IF(1=$HE45,IF(14=$HL45,IF($JD45=2,30,0),IF(14=$HM45,IF($JD45=1,30,0),ABS(14-$HF45)*100)),100000+ABS(1-$HE45)*1000+140)),IF($HG45=0,999999,IF(1=$HH45,IF(14=$HN45,IF($JE45=2,30,0),IF(14=$HO45,IF($JE45=1,30,0),ABS(14-$HI45)*100)),100000+ABS(1-$HH45)*1000+140)))-IF((14=$HJ45)+(14=$HK45)+(14=$HL45)+(14=$HM45)+(14=$HN45)+(14=$HO45)&gt;=2,50,0))+Q$5*50)</f>
        <v/>
      </c>
      <c r="R165">
        <f>IF(OR($JF45=0,calcA!$A$6=0),0,IF(OR(15=$HA45,15=$HD45,15=$HG45),200000,MIN(IF($HA45=0,999999,IF(1=$HB45,IF(15=$HJ45,IF($JC45=2,30,0),IF(15=$HK45,IF($JC45=1,30,0),ABS(15-$HC45)*100)),100000+ABS(1-$HB45)*1000+150)),IF($HD45=0,999999,IF(1=$HE45,IF(15=$HL45,IF($JD45=2,30,0),IF(15=$HM45,IF($JD45=1,30,0),ABS(15-$HF45)*100)),100000+ABS(1-$HE45)*1000+150)),IF($HG45=0,999999,IF(1=$HH45,IF(15=$HN45,IF($JE45=2,30,0),IF(15=$HO45,IF($JE45=1,30,0),ABS(15-$HI45)*100)),100000+ABS(1-$HH45)*1000+150)))-IF((15=$HJ45)+(15=$HK45)+(15=$HL45)+(15=$HM45)+(15=$HN45)+(15=$HO45)&gt;=2,50,0))+R$5*50)</f>
        <v/>
      </c>
      <c r="S165">
        <f>IF(OR($JF45=0,calcA!$A$6=0),0,IF(OR(16=$HA45,16=$HD45,16=$HG45),200000,MIN(IF($HA45=0,999999,IF(1=$HB45,IF(16=$HJ45,IF($JC45=2,30,0),IF(16=$HK45,IF($JC45=1,30,0),ABS(16-$HC45)*100)),100000+ABS(1-$HB45)*1000+160)),IF($HD45=0,999999,IF(1=$HE45,IF(16=$HL45,IF($JD45=2,30,0),IF(16=$HM45,IF($JD45=1,30,0),ABS(16-$HF45)*100)),100000+ABS(1-$HE45)*1000+160)),IF($HG45=0,999999,IF(1=$HH45,IF(16=$HN45,IF($JE45=2,30,0),IF(16=$HO45,IF($JE45=1,30,0),ABS(16-$HI45)*100)),100000+ABS(1-$HH45)*1000+160)))-IF((16=$HJ45)+(16=$HK45)+(16=$HL45)+(16=$HM45)+(16=$HN45)+(16=$HO45)&gt;=2,50,0))+S$5*50)</f>
        <v/>
      </c>
      <c r="T165">
        <f>IF(OR($JF45=0,calcA!$A$6=0),0,IF(OR(17=$HA45,17=$HD45,17=$HG45),200000,MIN(IF($HA45=0,999999,IF(1=$HB45,IF(17=$HJ45,IF($JC45=2,30,0),IF(17=$HK45,IF($JC45=1,30,0),ABS(17-$HC45)*100)),100000+ABS(1-$HB45)*1000+170)),IF($HD45=0,999999,IF(1=$HE45,IF(17=$HL45,IF($JD45=2,30,0),IF(17=$HM45,IF($JD45=1,30,0),ABS(17-$HF45)*100)),100000+ABS(1-$HE45)*1000+170)),IF($HG45=0,999999,IF(1=$HH45,IF(17=$HN45,IF($JE45=2,30,0),IF(17=$HO45,IF($JE45=1,30,0),ABS(17-$HI45)*100)),100000+ABS(1-$HH45)*1000+170)))-IF((17=$HJ45)+(17=$HK45)+(17=$HL45)+(17=$HM45)+(17=$HN45)+(17=$HO45)&gt;=2,50,0))+T$5*50)</f>
        <v/>
      </c>
      <c r="U165">
        <f>IF(OR($JF45=0,calcA!$A$6=0),0,IF(OR(18=$HA45,18=$HD45,18=$HG45),200000,MIN(IF($HA45=0,999999,IF(1=$HB45,IF(18=$HJ45,IF($JC45=2,30,0),IF(18=$HK45,IF($JC45=1,30,0),ABS(18-$HC45)*100)),100000+ABS(1-$HB45)*1000+180)),IF($HD45=0,999999,IF(1=$HE45,IF(18=$HL45,IF($JD45=2,30,0),IF(18=$HM45,IF($JD45=1,30,0),ABS(18-$HF45)*100)),100000+ABS(1-$HE45)*1000+180)),IF($HG45=0,999999,IF(1=$HH45,IF(18=$HN45,IF($JE45=2,30,0),IF(18=$HO45,IF($JE45=1,30,0),ABS(18-$HI45)*100)),100000+ABS(1-$HH45)*1000+180)))-IF((18=$HJ45)+(18=$HK45)+(18=$HL45)+(18=$HM45)+(18=$HN45)+(18=$HO45)&gt;=2,50,0))+U$5*50)</f>
        <v/>
      </c>
      <c r="V165">
        <f>IF(OR($JF45=0,calcA!$A$6=0),0,IF(OR(19=$HA45,19=$HD45,19=$HG45),200000,MIN(IF($HA45=0,999999,IF(1=$HB45,IF(19=$HJ45,IF($JC45=2,30,0),IF(19=$HK45,IF($JC45=1,30,0),ABS(19-$HC45)*100)),100000+ABS(1-$HB45)*1000+190)),IF($HD45=0,999999,IF(1=$HE45,IF(19=$HL45,IF($JD45=2,30,0),IF(19=$HM45,IF($JD45=1,30,0),ABS(19-$HF45)*100)),100000+ABS(1-$HE45)*1000+190)),IF($HG45=0,999999,IF(1=$HH45,IF(19=$HN45,IF($JE45=2,30,0),IF(19=$HO45,IF($JE45=1,30,0),ABS(19-$HI45)*100)),100000+ABS(1-$HH45)*1000+190)))-IF((19=$HJ45)+(19=$HK45)+(19=$HL45)+(19=$HM45)+(19=$HN45)+(19=$HO45)&gt;=2,50,0))+V$5*50)</f>
        <v/>
      </c>
      <c r="W165">
        <f>IF(OR($JF45=0,calcA!$A$6=0),0,IF(OR(20=$HA45,20=$HD45,20=$HG45),200000,MIN(IF($HA45=0,999999,IF(1=$HB45,IF(20=$HJ45,IF($JC45=2,30,0),IF(20=$HK45,IF($JC45=1,30,0),ABS(20-$HC45)*100)),100000+ABS(1-$HB45)*1000+200)),IF($HD45=0,999999,IF(1=$HE45,IF(20=$HL45,IF($JD45=2,30,0),IF(20=$HM45,IF($JD45=1,30,0),ABS(20-$HF45)*100)),100000+ABS(1-$HE45)*1000+200)),IF($HG45=0,999999,IF(1=$HH45,IF(20=$HN45,IF($JE45=2,30,0),IF(20=$HO45,IF($JE45=1,30,0),ABS(20-$HI45)*100)),100000+ABS(1-$HH45)*1000+200)))-IF((20=$HJ45)+(20=$HK45)+(20=$HL45)+(20=$HM45)+(20=$HN45)+(20=$HO45)&gt;=2,50,0))+W$5*50)</f>
        <v/>
      </c>
      <c r="X165">
        <f>IF(OR($JF45=0,calcA!$A$6=0),0,IF(OR(21=$HA45,21=$HD45,21=$HG45),200000,MIN(IF($HA45=0,999999,IF(1=$HB45,IF(21=$HJ45,IF($JC45=2,30,0),IF(21=$HK45,IF($JC45=1,30,0),ABS(21-$HC45)*100)),100000+ABS(1-$HB45)*1000+210)),IF($HD45=0,999999,IF(1=$HE45,IF(21=$HL45,IF($JD45=2,30,0),IF(21=$HM45,IF($JD45=1,30,0),ABS(21-$HF45)*100)),100000+ABS(1-$HE45)*1000+210)),IF($HG45=0,999999,IF(1=$HH45,IF(21=$HN45,IF($JE45=2,30,0),IF(21=$HO45,IF($JE45=1,30,0),ABS(21-$HI45)*100)),100000+ABS(1-$HH45)*1000+210)))-IF((21=$HJ45)+(21=$HK45)+(21=$HL45)+(21=$HM45)+(21=$HN45)+(21=$HO45)&gt;=2,50,0))+X$5*50)</f>
        <v/>
      </c>
      <c r="Y165">
        <f>IF(OR($JF45=0,calcA!$A$6=0),0,IF(OR(22=$HA45,22=$HD45,22=$HG45),200000,MIN(IF($HA45=0,999999,IF(1=$HB45,IF(22=$HJ45,IF($JC45=2,30,0),IF(22=$HK45,IF($JC45=1,30,0),ABS(22-$HC45)*100)),100000+ABS(1-$HB45)*1000+220)),IF($HD45=0,999999,IF(1=$HE45,IF(22=$HL45,IF($JD45=2,30,0),IF(22=$HM45,IF($JD45=1,30,0),ABS(22-$HF45)*100)),100000+ABS(1-$HE45)*1000+220)),IF($HG45=0,999999,IF(1=$HH45,IF(22=$HN45,IF($JE45=2,30,0),IF(22=$HO45,IF($JE45=1,30,0),ABS(22-$HI45)*100)),100000+ABS(1-$HH45)*1000+220)))-IF((22=$HJ45)+(22=$HK45)+(22=$HL45)+(22=$HM45)+(22=$HN45)+(22=$HO45)&gt;=2,50,0))+Y$5*50)</f>
        <v/>
      </c>
      <c r="Z165">
        <f>IF(OR($JF45=0,calcA!$A$6=0),0,IF(OR(23=$HA45,23=$HD45,23=$HG45),200000,MIN(IF($HA45=0,999999,IF(1=$HB45,IF(23=$HJ45,IF($JC45=2,30,0),IF(23=$HK45,IF($JC45=1,30,0),ABS(23-$HC45)*100)),100000+ABS(1-$HB45)*1000+230)),IF($HD45=0,999999,IF(1=$HE45,IF(23=$HL45,IF($JD45=2,30,0),IF(23=$HM45,IF($JD45=1,30,0),ABS(23-$HF45)*100)),100000+ABS(1-$HE45)*1000+230)),IF($HG45=0,999999,IF(1=$HH45,IF(23=$HN45,IF($JE45=2,30,0),IF(23=$HO45,IF($JE45=1,30,0),ABS(23-$HI45)*100)),100000+ABS(1-$HH45)*1000+230)))-IF((23=$HJ45)+(23=$HK45)+(23=$HL45)+(23=$HM45)+(23=$HN45)+(23=$HO45)&gt;=2,50,0))+Z$5*50)</f>
        <v/>
      </c>
      <c r="AA165">
        <f>IF(OR($JF45=0,calcA!$A$6=0),0,IF(OR(24=$HA45,24=$HD45,24=$HG45),200000,MIN(IF($HA45=0,999999,IF(1=$HB45,IF(24=$HJ45,IF($JC45=2,30,0),IF(24=$HK45,IF($JC45=1,30,0),ABS(24-$HC45)*100)),100000+ABS(1-$HB45)*1000+240)),IF($HD45=0,999999,IF(1=$HE45,IF(24=$HL45,IF($JD45=2,30,0),IF(24=$HM45,IF($JD45=1,30,0),ABS(24-$HF45)*100)),100000+ABS(1-$HE45)*1000+240)),IF($HG45=0,999999,IF(1=$HH45,IF(24=$HN45,IF($JE45=2,30,0),IF(24=$HO45,IF($JE45=1,30,0),ABS(24-$HI45)*100)),100000+ABS(1-$HH45)*1000+240)))-IF((24=$HJ45)+(24=$HK45)+(24=$HL45)+(24=$HM45)+(24=$HN45)+(24=$HO45)&gt;=2,50,0))+AA$5*50)</f>
        <v/>
      </c>
      <c r="AB165">
        <f>IF(OR($JF45=0,calcA!$A$6=0),0,IF(OR(25=$HA45,25=$HD45,25=$HG45),200000,MIN(IF($HA45=0,999999,IF(2=$HB45,IF(25=$HJ45,IF($JC45=2,30,0),IF(25=$HK45,IF($JC45=1,30,0),ABS(1-$HC45)*100)),100000+ABS(2-$HB45)*1000+10)),IF($HD45=0,999999,IF(2=$HE45,IF(25=$HL45,IF($JD45=2,30,0),IF(25=$HM45,IF($JD45=1,30,0),ABS(1-$HF45)*100)),100000+ABS(2-$HE45)*1000+10)),IF($HG45=0,999999,IF(2=$HH45,IF(25=$HN45,IF($JE45=2,30,0),IF(25=$HO45,IF($JE45=1,30,0),ABS(1-$HI45)*100)),100000+ABS(2-$HH45)*1000+10)))-IF((25=$HJ45)+(25=$HK45)+(25=$HL45)+(25=$HM45)+(25=$HN45)+(25=$HO45)&gt;=2,50,0))+AB$5*50)</f>
        <v/>
      </c>
      <c r="AC165">
        <f>IF(OR($JF45=0,calcA!$A$6=0),0,IF(OR(26=$HA45,26=$HD45,26=$HG45),200000,MIN(IF($HA45=0,999999,IF(2=$HB45,IF(26=$HJ45,IF($JC45=2,30,0),IF(26=$HK45,IF($JC45=1,30,0),ABS(2-$HC45)*100)),100000+ABS(2-$HB45)*1000+20)),IF($HD45=0,999999,IF(2=$HE45,IF(26=$HL45,IF($JD45=2,30,0),IF(26=$HM45,IF($JD45=1,30,0),ABS(2-$HF45)*100)),100000+ABS(2-$HE45)*1000+20)),IF($HG45=0,999999,IF(2=$HH45,IF(26=$HN45,IF($JE45=2,30,0),IF(26=$HO45,IF($JE45=1,30,0),ABS(2-$HI45)*100)),100000+ABS(2-$HH45)*1000+20)))-IF((26=$HJ45)+(26=$HK45)+(26=$HL45)+(26=$HM45)+(26=$HN45)+(26=$HO45)&gt;=2,50,0))+AC$5*50)</f>
        <v/>
      </c>
      <c r="AD165">
        <f>IF(OR($JF45=0,calcA!$A$6=0),0,IF(OR(27=$HA45,27=$HD45,27=$HG45),200000,MIN(IF($HA45=0,999999,IF(2=$HB45,IF(27=$HJ45,IF($JC45=2,30,0),IF(27=$HK45,IF($JC45=1,30,0),ABS(3-$HC45)*100)),100000+ABS(2-$HB45)*1000+30)),IF($HD45=0,999999,IF(2=$HE45,IF(27=$HL45,IF($JD45=2,30,0),IF(27=$HM45,IF($JD45=1,30,0),ABS(3-$HF45)*100)),100000+ABS(2-$HE45)*1000+30)),IF($HG45=0,999999,IF(2=$HH45,IF(27=$HN45,IF($JE45=2,30,0),IF(27=$HO45,IF($JE45=1,30,0),ABS(3-$HI45)*100)),100000+ABS(2-$HH45)*1000+30)))-IF((27=$HJ45)+(27=$HK45)+(27=$HL45)+(27=$HM45)+(27=$HN45)+(27=$HO45)&gt;=2,50,0))+AD$5*50)</f>
        <v/>
      </c>
      <c r="AE165">
        <f>IF(OR($JF45=0,calcA!$A$6=0),0,IF(OR(28=$HA45,28=$HD45,28=$HG45),200000,MIN(IF($HA45=0,999999,IF(2=$HB45,IF(28=$HJ45,IF($JC45=2,30,0),IF(28=$HK45,IF($JC45=1,30,0),ABS(4-$HC45)*100)),100000+ABS(2-$HB45)*1000+40)),IF($HD45=0,999999,IF(2=$HE45,IF(28=$HL45,IF($JD45=2,30,0),IF(28=$HM45,IF($JD45=1,30,0),ABS(4-$HF45)*100)),100000+ABS(2-$HE45)*1000+40)),IF($HG45=0,999999,IF(2=$HH45,IF(28=$HN45,IF($JE45=2,30,0),IF(28=$HO45,IF($JE45=1,30,0),ABS(4-$HI45)*100)),100000+ABS(2-$HH45)*1000+40)))-IF((28=$HJ45)+(28=$HK45)+(28=$HL45)+(28=$HM45)+(28=$HN45)+(28=$HO45)&gt;=2,50,0))+AE$5*50)</f>
        <v/>
      </c>
      <c r="AF165">
        <f>IF(OR($JF45=0,calcA!$A$6=0),0,IF(OR(29=$HA45,29=$HD45,29=$HG45),200000,MIN(IF($HA45=0,999999,IF(2=$HB45,IF(29=$HJ45,IF($JC45=2,30,0),IF(29=$HK45,IF($JC45=1,30,0),ABS(5-$HC45)*100)),100000+ABS(2-$HB45)*1000+50)),IF($HD45=0,999999,IF(2=$HE45,IF(29=$HL45,IF($JD45=2,30,0),IF(29=$HM45,IF($JD45=1,30,0),ABS(5-$HF45)*100)),100000+ABS(2-$HE45)*1000+50)),IF($HG45=0,999999,IF(2=$HH45,IF(29=$HN45,IF($JE45=2,30,0),IF(29=$HO45,IF($JE45=1,30,0),ABS(5-$HI45)*100)),100000+ABS(2-$HH45)*1000+50)))-IF((29=$HJ45)+(29=$HK45)+(29=$HL45)+(29=$HM45)+(29=$HN45)+(29=$HO45)&gt;=2,50,0))+AF$5*50)</f>
        <v/>
      </c>
      <c r="AG165">
        <f>IF(OR($JF45=0,calcA!$A$6=0),0,IF(OR(30=$HA45,30=$HD45,30=$HG45),200000,MIN(IF($HA45=0,999999,IF(2=$HB45,IF(30=$HJ45,IF($JC45=2,30,0),IF(30=$HK45,IF($JC45=1,30,0),ABS(6-$HC45)*100)),100000+ABS(2-$HB45)*1000+60)),IF($HD45=0,999999,IF(2=$HE45,IF(30=$HL45,IF($JD45=2,30,0),IF(30=$HM45,IF($JD45=1,30,0),ABS(6-$HF45)*100)),100000+ABS(2-$HE45)*1000+60)),IF($HG45=0,999999,IF(2=$HH45,IF(30=$HN45,IF($JE45=2,30,0),IF(30=$HO45,IF($JE45=1,30,0),ABS(6-$HI45)*100)),100000+ABS(2-$HH45)*1000+60)))-IF((30=$HJ45)+(30=$HK45)+(30=$HL45)+(30=$HM45)+(30=$HN45)+(30=$HO45)&gt;=2,50,0))+AG$5*50)</f>
        <v/>
      </c>
      <c r="AH165">
        <f>IF(OR($JF45=0,calcA!$A$6=0),0,IF(OR(31=$HA45,31=$HD45,31=$HG45),200000,MIN(IF($HA45=0,999999,IF(2=$HB45,IF(31=$HJ45,IF($JC45=2,30,0),IF(31=$HK45,IF($JC45=1,30,0),ABS(7-$HC45)*100)),100000+ABS(2-$HB45)*1000+70)),IF($HD45=0,999999,IF(2=$HE45,IF(31=$HL45,IF($JD45=2,30,0),IF(31=$HM45,IF($JD45=1,30,0),ABS(7-$HF45)*100)),100000+ABS(2-$HE45)*1000+70)),IF($HG45=0,999999,IF(2=$HH45,IF(31=$HN45,IF($JE45=2,30,0),IF(31=$HO45,IF($JE45=1,30,0),ABS(7-$HI45)*100)),100000+ABS(2-$HH45)*1000+70)))-IF((31=$HJ45)+(31=$HK45)+(31=$HL45)+(31=$HM45)+(31=$HN45)+(31=$HO45)&gt;=2,50,0))+AH$5*50)</f>
        <v/>
      </c>
      <c r="AI165">
        <f>IF(OR($JF45=0,calcA!$A$6=0),0,IF(OR(32=$HA45,32=$HD45,32=$HG45),200000,MIN(IF($HA45=0,999999,IF(2=$HB45,IF(32=$HJ45,IF($JC45=2,30,0),IF(32=$HK45,IF($JC45=1,30,0),ABS(8-$HC45)*100)),100000+ABS(2-$HB45)*1000+80)),IF($HD45=0,999999,IF(2=$HE45,IF(32=$HL45,IF($JD45=2,30,0),IF(32=$HM45,IF($JD45=1,30,0),ABS(8-$HF45)*100)),100000+ABS(2-$HE45)*1000+80)),IF($HG45=0,999999,IF(2=$HH45,IF(32=$HN45,IF($JE45=2,30,0),IF(32=$HO45,IF($JE45=1,30,0),ABS(8-$HI45)*100)),100000+ABS(2-$HH45)*1000+80)))-IF((32=$HJ45)+(32=$HK45)+(32=$HL45)+(32=$HM45)+(32=$HN45)+(32=$HO45)&gt;=2,50,0))+AI$5*50)</f>
        <v/>
      </c>
      <c r="AJ165">
        <f>IF(OR($JF45=0,calcA!$A$6=0),0,IF(OR(33=$HA45,33=$HD45,33=$HG45),200000,MIN(IF($HA45=0,999999,IF(2=$HB45,IF(33=$HJ45,IF($JC45=2,30,0),IF(33=$HK45,IF($JC45=1,30,0),ABS(9-$HC45)*100)),100000+ABS(2-$HB45)*1000+90)),IF($HD45=0,999999,IF(2=$HE45,IF(33=$HL45,IF($JD45=2,30,0),IF(33=$HM45,IF($JD45=1,30,0),ABS(9-$HF45)*100)),100000+ABS(2-$HE45)*1000+90)),IF($HG45=0,999999,IF(2=$HH45,IF(33=$HN45,IF($JE45=2,30,0),IF(33=$HO45,IF($JE45=1,30,0),ABS(9-$HI45)*100)),100000+ABS(2-$HH45)*1000+90)))-IF((33=$HJ45)+(33=$HK45)+(33=$HL45)+(33=$HM45)+(33=$HN45)+(33=$HO45)&gt;=2,50,0))+AJ$5*50)</f>
        <v/>
      </c>
      <c r="AK165">
        <f>IF(OR($JF45=0,calcA!$A$6=0),0,IF(OR(34=$HA45,34=$HD45,34=$HG45),200000,MIN(IF($HA45=0,999999,IF(2=$HB45,IF(34=$HJ45,IF($JC45=2,30,0),IF(34=$HK45,IF($JC45=1,30,0),ABS(10-$HC45)*100)),100000+ABS(2-$HB45)*1000+100)),IF($HD45=0,999999,IF(2=$HE45,IF(34=$HL45,IF($JD45=2,30,0),IF(34=$HM45,IF($JD45=1,30,0),ABS(10-$HF45)*100)),100000+ABS(2-$HE45)*1000+100)),IF($HG45=0,999999,IF(2=$HH45,IF(34=$HN45,IF($JE45=2,30,0),IF(34=$HO45,IF($JE45=1,30,0),ABS(10-$HI45)*100)),100000+ABS(2-$HH45)*1000+100)))-IF((34=$HJ45)+(34=$HK45)+(34=$HL45)+(34=$HM45)+(34=$HN45)+(34=$HO45)&gt;=2,50,0))+AK$5*50)</f>
        <v/>
      </c>
      <c r="AL165">
        <f>IF(OR($JF45=0,calcA!$A$6=0),0,IF(OR(35=$HA45,35=$HD45,35=$HG45),200000,MIN(IF($HA45=0,999999,IF(2=$HB45,IF(35=$HJ45,IF($JC45=2,30,0),IF(35=$HK45,IF($JC45=1,30,0),ABS(11-$HC45)*100)),100000+ABS(2-$HB45)*1000+110)),IF($HD45=0,999999,IF(2=$HE45,IF(35=$HL45,IF($JD45=2,30,0),IF(35=$HM45,IF($JD45=1,30,0),ABS(11-$HF45)*100)),100000+ABS(2-$HE45)*1000+110)),IF($HG45=0,999999,IF(2=$HH45,IF(35=$HN45,IF($JE45=2,30,0),IF(35=$HO45,IF($JE45=1,30,0),ABS(11-$HI45)*100)),100000+ABS(2-$HH45)*1000+110)))-IF((35=$HJ45)+(35=$HK45)+(35=$HL45)+(35=$HM45)+(35=$HN45)+(35=$HO45)&gt;=2,50,0))+AL$5*50)</f>
        <v/>
      </c>
      <c r="AM165">
        <f>IF(OR($JF45=0,calcA!$A$6=0),0,IF(OR(36=$HA45,36=$HD45,36=$HG45),200000,MIN(IF($HA45=0,999999,IF(2=$HB45,IF(36=$HJ45,IF($JC45=2,30,0),IF(36=$HK45,IF($JC45=1,30,0),ABS(12-$HC45)*100)),100000+ABS(2-$HB45)*1000+120)),IF($HD45=0,999999,IF(2=$HE45,IF(36=$HL45,IF($JD45=2,30,0),IF(36=$HM45,IF($JD45=1,30,0),ABS(12-$HF45)*100)),100000+ABS(2-$HE45)*1000+120)),IF($HG45=0,999999,IF(2=$HH45,IF(36=$HN45,IF($JE45=2,30,0),IF(36=$HO45,IF($JE45=1,30,0),ABS(12-$HI45)*100)),100000+ABS(2-$HH45)*1000+120)))-IF((36=$HJ45)+(36=$HK45)+(36=$HL45)+(36=$HM45)+(36=$HN45)+(36=$HO45)&gt;=2,50,0))+AM$5*50)</f>
        <v/>
      </c>
      <c r="AN165">
        <f>IF(OR($JF45=0,calcA!$A$6=0),0,IF(OR(37=$HA45,37=$HD45,37=$HG45),200000,MIN(IF($HA45=0,999999,IF(2=$HB45,IF(37=$HJ45,IF($JC45=2,30,0),IF(37=$HK45,IF($JC45=1,30,0),ABS(13-$HC45)*100)),100000+ABS(2-$HB45)*1000+130)),IF($HD45=0,999999,IF(2=$HE45,IF(37=$HL45,IF($JD45=2,30,0),IF(37=$HM45,IF($JD45=1,30,0),ABS(13-$HF45)*100)),100000+ABS(2-$HE45)*1000+130)),IF($HG45=0,999999,IF(2=$HH45,IF(37=$HN45,IF($JE45=2,30,0),IF(37=$HO45,IF($JE45=1,30,0),ABS(13-$HI45)*100)),100000+ABS(2-$HH45)*1000+130)))-IF((37=$HJ45)+(37=$HK45)+(37=$HL45)+(37=$HM45)+(37=$HN45)+(37=$HO45)&gt;=2,50,0))+AN$5*50)</f>
        <v/>
      </c>
      <c r="AO165">
        <f>IF(OR($JF45=0,calcA!$A$6=0),0,IF(OR(38=$HA45,38=$HD45,38=$HG45),200000,MIN(IF($HA45=0,999999,IF(2=$HB45,IF(38=$HJ45,IF($JC45=2,30,0),IF(38=$HK45,IF($JC45=1,30,0),ABS(14-$HC45)*100)),100000+ABS(2-$HB45)*1000+140)),IF($HD45=0,999999,IF(2=$HE45,IF(38=$HL45,IF($JD45=2,30,0),IF(38=$HM45,IF($JD45=1,30,0),ABS(14-$HF45)*100)),100000+ABS(2-$HE45)*1000+140)),IF($HG45=0,999999,IF(2=$HH45,IF(38=$HN45,IF($JE45=2,30,0),IF(38=$HO45,IF($JE45=1,30,0),ABS(14-$HI45)*100)),100000+ABS(2-$HH45)*1000+140)))-IF((38=$HJ45)+(38=$HK45)+(38=$HL45)+(38=$HM45)+(38=$HN45)+(38=$HO45)&gt;=2,50,0))+AO$5*50)</f>
        <v/>
      </c>
      <c r="AP165">
        <f>IF(OR($JF45=0,calcA!$A$6=0),0,IF(OR(39=$HA45,39=$HD45,39=$HG45),200000,MIN(IF($HA45=0,999999,IF(2=$HB45,IF(39=$HJ45,IF($JC45=2,30,0),IF(39=$HK45,IF($JC45=1,30,0),ABS(15-$HC45)*100)),100000+ABS(2-$HB45)*1000+150)),IF($HD45=0,999999,IF(2=$HE45,IF(39=$HL45,IF($JD45=2,30,0),IF(39=$HM45,IF($JD45=1,30,0),ABS(15-$HF45)*100)),100000+ABS(2-$HE45)*1000+150)),IF($HG45=0,999999,IF(2=$HH45,IF(39=$HN45,IF($JE45=2,30,0),IF(39=$HO45,IF($JE45=1,30,0),ABS(15-$HI45)*100)),100000+ABS(2-$HH45)*1000+150)))-IF((39=$HJ45)+(39=$HK45)+(39=$HL45)+(39=$HM45)+(39=$HN45)+(39=$HO45)&gt;=2,50,0))+AP$5*50)</f>
        <v/>
      </c>
      <c r="AQ165">
        <f>IF(OR($JF45=0,calcA!$A$6=0),0,IF(OR(40=$HA45,40=$HD45,40=$HG45),200000,MIN(IF($HA45=0,999999,IF(2=$HB45,IF(40=$HJ45,IF($JC45=2,30,0),IF(40=$HK45,IF($JC45=1,30,0),ABS(16-$HC45)*100)),100000+ABS(2-$HB45)*1000+160)),IF($HD45=0,999999,IF(2=$HE45,IF(40=$HL45,IF($JD45=2,30,0),IF(40=$HM45,IF($JD45=1,30,0),ABS(16-$HF45)*100)),100000+ABS(2-$HE45)*1000+160)),IF($HG45=0,999999,IF(2=$HH45,IF(40=$HN45,IF($JE45=2,30,0),IF(40=$HO45,IF($JE45=1,30,0),ABS(16-$HI45)*100)),100000+ABS(2-$HH45)*1000+160)))-IF((40=$HJ45)+(40=$HK45)+(40=$HL45)+(40=$HM45)+(40=$HN45)+(40=$HO45)&gt;=2,50,0))+AQ$5*50)</f>
        <v/>
      </c>
      <c r="AR165">
        <f>IF(OR($JF45=0,calcA!$A$6=0),0,IF(OR(41=$HA45,41=$HD45,41=$HG45),200000,MIN(IF($HA45=0,999999,IF(2=$HB45,IF(41=$HJ45,IF($JC45=2,30,0),IF(41=$HK45,IF($JC45=1,30,0),ABS(17-$HC45)*100)),100000+ABS(2-$HB45)*1000+170)),IF($HD45=0,999999,IF(2=$HE45,IF(41=$HL45,IF($JD45=2,30,0),IF(41=$HM45,IF($JD45=1,30,0),ABS(17-$HF45)*100)),100000+ABS(2-$HE45)*1000+170)),IF($HG45=0,999999,IF(2=$HH45,IF(41=$HN45,IF($JE45=2,30,0),IF(41=$HO45,IF($JE45=1,30,0),ABS(17-$HI45)*100)),100000+ABS(2-$HH45)*1000+170)))-IF((41=$HJ45)+(41=$HK45)+(41=$HL45)+(41=$HM45)+(41=$HN45)+(41=$HO45)&gt;=2,50,0))+AR$5*50)</f>
        <v/>
      </c>
      <c r="AS165">
        <f>IF(OR($JF45=0,calcA!$A$6=0),0,IF(OR(42=$HA45,42=$HD45,42=$HG45),200000,MIN(IF($HA45=0,999999,IF(2=$HB45,IF(42=$HJ45,IF($JC45=2,30,0),IF(42=$HK45,IF($JC45=1,30,0),ABS(18-$HC45)*100)),100000+ABS(2-$HB45)*1000+180)),IF($HD45=0,999999,IF(2=$HE45,IF(42=$HL45,IF($JD45=2,30,0),IF(42=$HM45,IF($JD45=1,30,0),ABS(18-$HF45)*100)),100000+ABS(2-$HE45)*1000+180)),IF($HG45=0,999999,IF(2=$HH45,IF(42=$HN45,IF($JE45=2,30,0),IF(42=$HO45,IF($JE45=1,30,0),ABS(18-$HI45)*100)),100000+ABS(2-$HH45)*1000+180)))-IF((42=$HJ45)+(42=$HK45)+(42=$HL45)+(42=$HM45)+(42=$HN45)+(42=$HO45)&gt;=2,50,0))+AS$5*50)</f>
        <v/>
      </c>
      <c r="AT165">
        <f>IF(OR($JF45=0,calcA!$A$6=0),0,IF(OR(43=$HA45,43=$HD45,43=$HG45),200000,MIN(IF($HA45=0,999999,IF(2=$HB45,IF(43=$HJ45,IF($JC45=2,30,0),IF(43=$HK45,IF($JC45=1,30,0),ABS(19-$HC45)*100)),100000+ABS(2-$HB45)*1000+190)),IF($HD45=0,999999,IF(2=$HE45,IF(43=$HL45,IF($JD45=2,30,0),IF(43=$HM45,IF($JD45=1,30,0),ABS(19-$HF45)*100)),100000+ABS(2-$HE45)*1000+190)),IF($HG45=0,999999,IF(2=$HH45,IF(43=$HN45,IF($JE45=2,30,0),IF(43=$HO45,IF($JE45=1,30,0),ABS(19-$HI45)*100)),100000+ABS(2-$HH45)*1000+190)))-IF((43=$HJ45)+(43=$HK45)+(43=$HL45)+(43=$HM45)+(43=$HN45)+(43=$HO45)&gt;=2,50,0))+AT$5*50)</f>
        <v/>
      </c>
      <c r="AU165">
        <f>IF(OR($JF45=0,calcA!$A$6=0),0,IF(OR(44=$HA45,44=$HD45,44=$HG45),200000,MIN(IF($HA45=0,999999,IF(2=$HB45,IF(44=$HJ45,IF($JC45=2,30,0),IF(44=$HK45,IF($JC45=1,30,0),ABS(20-$HC45)*100)),100000+ABS(2-$HB45)*1000+200)),IF($HD45=0,999999,IF(2=$HE45,IF(44=$HL45,IF($JD45=2,30,0),IF(44=$HM45,IF($JD45=1,30,0),ABS(20-$HF45)*100)),100000+ABS(2-$HE45)*1000+200)),IF($HG45=0,999999,IF(2=$HH45,IF(44=$HN45,IF($JE45=2,30,0),IF(44=$HO45,IF($JE45=1,30,0),ABS(20-$HI45)*100)),100000+ABS(2-$HH45)*1000+200)))-IF((44=$HJ45)+(44=$HK45)+(44=$HL45)+(44=$HM45)+(44=$HN45)+(44=$HO45)&gt;=2,50,0))+AU$5*50)</f>
        <v/>
      </c>
      <c r="AV165">
        <f>IF(OR($JF45=0,calcA!$A$6=0),0,IF(OR(45=$HA45,45=$HD45,45=$HG45),200000,MIN(IF($HA45=0,999999,IF(2=$HB45,IF(45=$HJ45,IF($JC45=2,30,0),IF(45=$HK45,IF($JC45=1,30,0),ABS(21-$HC45)*100)),100000+ABS(2-$HB45)*1000+210)),IF($HD45=0,999999,IF(2=$HE45,IF(45=$HL45,IF($JD45=2,30,0),IF(45=$HM45,IF($JD45=1,30,0),ABS(21-$HF45)*100)),100000+ABS(2-$HE45)*1000+210)),IF($HG45=0,999999,IF(2=$HH45,IF(45=$HN45,IF($JE45=2,30,0),IF(45=$HO45,IF($JE45=1,30,0),ABS(21-$HI45)*100)),100000+ABS(2-$HH45)*1000+210)))-IF((45=$HJ45)+(45=$HK45)+(45=$HL45)+(45=$HM45)+(45=$HN45)+(45=$HO45)&gt;=2,50,0))+AV$5*50)</f>
        <v/>
      </c>
      <c r="AW165">
        <f>IF(OR($JF45=0,calcA!$A$6=0),0,IF(OR(46=$HA45,46=$HD45,46=$HG45),200000,MIN(IF($HA45=0,999999,IF(2=$HB45,IF(46=$HJ45,IF($JC45=2,30,0),IF(46=$HK45,IF($JC45=1,30,0),ABS(22-$HC45)*100)),100000+ABS(2-$HB45)*1000+220)),IF($HD45=0,999999,IF(2=$HE45,IF(46=$HL45,IF($JD45=2,30,0),IF(46=$HM45,IF($JD45=1,30,0),ABS(22-$HF45)*100)),100000+ABS(2-$HE45)*1000+220)),IF($HG45=0,999999,IF(2=$HH45,IF(46=$HN45,IF($JE45=2,30,0),IF(46=$HO45,IF($JE45=1,30,0),ABS(22-$HI45)*100)),100000+ABS(2-$HH45)*1000+220)))-IF((46=$HJ45)+(46=$HK45)+(46=$HL45)+(46=$HM45)+(46=$HN45)+(46=$HO45)&gt;=2,50,0))+AW$5*50)</f>
        <v/>
      </c>
      <c r="AX165">
        <f>IF(OR($JF45=0,calcA!$A$6=0),0,IF(OR(47=$HA45,47=$HD45,47=$HG45),200000,MIN(IF($HA45=0,999999,IF(2=$HB45,IF(47=$HJ45,IF($JC45=2,30,0),IF(47=$HK45,IF($JC45=1,30,0),ABS(23-$HC45)*100)),100000+ABS(2-$HB45)*1000+230)),IF($HD45=0,999999,IF(2=$HE45,IF(47=$HL45,IF($JD45=2,30,0),IF(47=$HM45,IF($JD45=1,30,0),ABS(23-$HF45)*100)),100000+ABS(2-$HE45)*1000+230)),IF($HG45=0,999999,IF(2=$HH45,IF(47=$HN45,IF($JE45=2,30,0),IF(47=$HO45,IF($JE45=1,30,0),ABS(23-$HI45)*100)),100000+ABS(2-$HH45)*1000+230)))-IF((47=$HJ45)+(47=$HK45)+(47=$HL45)+(47=$HM45)+(47=$HN45)+(47=$HO45)&gt;=2,50,0))+AX$5*50)</f>
        <v/>
      </c>
      <c r="AY165">
        <f>IF(OR($JF45=0,calcA!$A$6=0),0,IF(OR(48=$HA45,48=$HD45,48=$HG45),200000,MIN(IF($HA45=0,999999,IF(2=$HB45,IF(48=$HJ45,IF($JC45=2,30,0),IF(48=$HK45,IF($JC45=1,30,0),ABS(24-$HC45)*100)),100000+ABS(2-$HB45)*1000+240)),IF($HD45=0,999999,IF(2=$HE45,IF(48=$HL45,IF($JD45=2,30,0),IF(48=$HM45,IF($JD45=1,30,0),ABS(24-$HF45)*100)),100000+ABS(2-$HE45)*1000+240)),IF($HG45=0,999999,IF(2=$HH45,IF(48=$HN45,IF($JE45=2,30,0),IF(48=$HO45,IF($JE45=1,30,0),ABS(24-$HI45)*100)),100000+ABS(2-$HH45)*1000+240)))-IF((48=$HJ45)+(48=$HK45)+(48=$HL45)+(48=$HM45)+(48=$HN45)+(48=$HO45)&gt;=2,50,0))+AY$5*50)</f>
        <v/>
      </c>
      <c r="AZ165">
        <f>IF(OR($JF45=0,calcA!$A$6=0),0,IF(OR(49=$HA45,49=$HD45,49=$HG45),200000,MIN(IF($HA45=0,999999,IF(3=$HB45,IF(49=$HJ45,IF($JC45=2,30,0),IF(49=$HK45,IF($JC45=1,30,0),ABS(1-$HC45)*100)),100000+ABS(3-$HB45)*1000+10)),IF($HD45=0,999999,IF(3=$HE45,IF(49=$HL45,IF($JD45=2,30,0),IF(49=$HM45,IF($JD45=1,30,0),ABS(1-$HF45)*100)),100000+ABS(3-$HE45)*1000+10)),IF($HG45=0,999999,IF(3=$HH45,IF(49=$HN45,IF($JE45=2,30,0),IF(49=$HO45,IF($JE45=1,30,0),ABS(1-$HI45)*100)),100000+ABS(3-$HH45)*1000+10)))-IF((49=$HJ45)+(49=$HK45)+(49=$HL45)+(49=$HM45)+(49=$HN45)+(49=$HO45)&gt;=2,50,0))+AZ$5*50)</f>
        <v/>
      </c>
      <c r="BA165">
        <f>IF(OR($JF45=0,calcA!$A$6=0),0,IF(OR(50=$HA45,50=$HD45,50=$HG45),200000,MIN(IF($HA45=0,999999,IF(3=$HB45,IF(50=$HJ45,IF($JC45=2,30,0),IF(50=$HK45,IF($JC45=1,30,0),ABS(2-$HC45)*100)),100000+ABS(3-$HB45)*1000+20)),IF($HD45=0,999999,IF(3=$HE45,IF(50=$HL45,IF($JD45=2,30,0),IF(50=$HM45,IF($JD45=1,30,0),ABS(2-$HF45)*100)),100000+ABS(3-$HE45)*1000+20)),IF($HG45=0,999999,IF(3=$HH45,IF(50=$HN45,IF($JE45=2,30,0),IF(50=$HO45,IF($JE45=1,30,0),ABS(2-$HI45)*100)),100000+ABS(3-$HH45)*1000+20)))-IF((50=$HJ45)+(50=$HK45)+(50=$HL45)+(50=$HM45)+(50=$HN45)+(50=$HO45)&gt;=2,50,0))+BA$5*50)</f>
        <v/>
      </c>
      <c r="BB165">
        <f>IF(OR($JF45=0,calcA!$A$6=0),0,IF(OR(51=$HA45,51=$HD45,51=$HG45),200000,MIN(IF($HA45=0,999999,IF(3=$HB45,IF(51=$HJ45,IF($JC45=2,30,0),IF(51=$HK45,IF($JC45=1,30,0),ABS(3-$HC45)*100)),100000+ABS(3-$HB45)*1000+30)),IF($HD45=0,999999,IF(3=$HE45,IF(51=$HL45,IF($JD45=2,30,0),IF(51=$HM45,IF($JD45=1,30,0),ABS(3-$HF45)*100)),100000+ABS(3-$HE45)*1000+30)),IF($HG45=0,999999,IF(3=$HH45,IF(51=$HN45,IF($JE45=2,30,0),IF(51=$HO45,IF($JE45=1,30,0),ABS(3-$HI45)*100)),100000+ABS(3-$HH45)*1000+30)))-IF((51=$HJ45)+(51=$HK45)+(51=$HL45)+(51=$HM45)+(51=$HN45)+(51=$HO45)&gt;=2,50,0))+BB$5*50)</f>
        <v/>
      </c>
      <c r="BC165">
        <f>IF(OR($JF45=0,calcA!$A$6=0),0,IF(OR(52=$HA45,52=$HD45,52=$HG45),200000,MIN(IF($HA45=0,999999,IF(3=$HB45,IF(52=$HJ45,IF($JC45=2,30,0),IF(52=$HK45,IF($JC45=1,30,0),ABS(4-$HC45)*100)),100000+ABS(3-$HB45)*1000+40)),IF($HD45=0,999999,IF(3=$HE45,IF(52=$HL45,IF($JD45=2,30,0),IF(52=$HM45,IF($JD45=1,30,0),ABS(4-$HF45)*100)),100000+ABS(3-$HE45)*1000+40)),IF($HG45=0,999999,IF(3=$HH45,IF(52=$HN45,IF($JE45=2,30,0),IF(52=$HO45,IF($JE45=1,30,0),ABS(4-$HI45)*100)),100000+ABS(3-$HH45)*1000+40)))-IF((52=$HJ45)+(52=$HK45)+(52=$HL45)+(52=$HM45)+(52=$HN45)+(52=$HO45)&gt;=2,50,0))+BC$5*50)</f>
        <v/>
      </c>
      <c r="BD165">
        <f>IF(OR($JF45=0,calcA!$A$6=0),0,IF(OR(53=$HA45,53=$HD45,53=$HG45),200000,MIN(IF($HA45=0,999999,IF(3=$HB45,IF(53=$HJ45,IF($JC45=2,30,0),IF(53=$HK45,IF($JC45=1,30,0),ABS(5-$HC45)*100)),100000+ABS(3-$HB45)*1000+50)),IF($HD45=0,999999,IF(3=$HE45,IF(53=$HL45,IF($JD45=2,30,0),IF(53=$HM45,IF($JD45=1,30,0),ABS(5-$HF45)*100)),100000+ABS(3-$HE45)*1000+50)),IF($HG45=0,999999,IF(3=$HH45,IF(53=$HN45,IF($JE45=2,30,0),IF(53=$HO45,IF($JE45=1,30,0),ABS(5-$HI45)*100)),100000+ABS(3-$HH45)*1000+50)))-IF((53=$HJ45)+(53=$HK45)+(53=$HL45)+(53=$HM45)+(53=$HN45)+(53=$HO45)&gt;=2,50,0))+BD$5*50)</f>
        <v/>
      </c>
      <c r="BE165">
        <f>IF(OR($JF45=0,calcA!$A$6=0),0,IF(OR(54=$HA45,54=$HD45,54=$HG45),200000,MIN(IF($HA45=0,999999,IF(3=$HB45,IF(54=$HJ45,IF($JC45=2,30,0),IF(54=$HK45,IF($JC45=1,30,0),ABS(6-$HC45)*100)),100000+ABS(3-$HB45)*1000+60)),IF($HD45=0,999999,IF(3=$HE45,IF(54=$HL45,IF($JD45=2,30,0),IF(54=$HM45,IF($JD45=1,30,0),ABS(6-$HF45)*100)),100000+ABS(3-$HE45)*1000+60)),IF($HG45=0,999999,IF(3=$HH45,IF(54=$HN45,IF($JE45=2,30,0),IF(54=$HO45,IF($JE45=1,30,0),ABS(6-$HI45)*100)),100000+ABS(3-$HH45)*1000+60)))-IF((54=$HJ45)+(54=$HK45)+(54=$HL45)+(54=$HM45)+(54=$HN45)+(54=$HO45)&gt;=2,50,0))+BE$5*50)</f>
        <v/>
      </c>
      <c r="BF165">
        <f>IF(OR($JF45=0,calcA!$A$6=0),0,IF(OR(55=$HA45,55=$HD45,55=$HG45),200000,MIN(IF($HA45=0,999999,IF(3=$HB45,IF(55=$HJ45,IF($JC45=2,30,0),IF(55=$HK45,IF($JC45=1,30,0),ABS(7-$HC45)*100)),100000+ABS(3-$HB45)*1000+70)),IF($HD45=0,999999,IF(3=$HE45,IF(55=$HL45,IF($JD45=2,30,0),IF(55=$HM45,IF($JD45=1,30,0),ABS(7-$HF45)*100)),100000+ABS(3-$HE45)*1000+70)),IF($HG45=0,999999,IF(3=$HH45,IF(55=$HN45,IF($JE45=2,30,0),IF(55=$HO45,IF($JE45=1,30,0),ABS(7-$HI45)*100)),100000+ABS(3-$HH45)*1000+70)))-IF((55=$HJ45)+(55=$HK45)+(55=$HL45)+(55=$HM45)+(55=$HN45)+(55=$HO45)&gt;=2,50,0))+BF$5*50)</f>
        <v/>
      </c>
      <c r="BG165">
        <f>IF(OR($JF45=0,calcA!$A$6=0),0,IF(OR(56=$HA45,56=$HD45,56=$HG45),200000,MIN(IF($HA45=0,999999,IF(3=$HB45,IF(56=$HJ45,IF($JC45=2,30,0),IF(56=$HK45,IF($JC45=1,30,0),ABS(8-$HC45)*100)),100000+ABS(3-$HB45)*1000+80)),IF($HD45=0,999999,IF(3=$HE45,IF(56=$HL45,IF($JD45=2,30,0),IF(56=$HM45,IF($JD45=1,30,0),ABS(8-$HF45)*100)),100000+ABS(3-$HE45)*1000+80)),IF($HG45=0,999999,IF(3=$HH45,IF(56=$HN45,IF($JE45=2,30,0),IF(56=$HO45,IF($JE45=1,30,0),ABS(8-$HI45)*100)),100000+ABS(3-$HH45)*1000+80)))-IF((56=$HJ45)+(56=$HK45)+(56=$HL45)+(56=$HM45)+(56=$HN45)+(56=$HO45)&gt;=2,50,0))+BG$5*50)</f>
        <v/>
      </c>
      <c r="BH165">
        <f>IF(OR($JF45=0,calcA!$A$6=0),0,IF(OR(57=$HA45,57=$HD45,57=$HG45),200000,MIN(IF($HA45=0,999999,IF(3=$HB45,IF(57=$HJ45,IF($JC45=2,30,0),IF(57=$HK45,IF($JC45=1,30,0),ABS(9-$HC45)*100)),100000+ABS(3-$HB45)*1000+90)),IF($HD45=0,999999,IF(3=$HE45,IF(57=$HL45,IF($JD45=2,30,0),IF(57=$HM45,IF($JD45=1,30,0),ABS(9-$HF45)*100)),100000+ABS(3-$HE45)*1000+90)),IF($HG45=0,999999,IF(3=$HH45,IF(57=$HN45,IF($JE45=2,30,0),IF(57=$HO45,IF($JE45=1,30,0),ABS(9-$HI45)*100)),100000+ABS(3-$HH45)*1000+90)))-IF((57=$HJ45)+(57=$HK45)+(57=$HL45)+(57=$HM45)+(57=$HN45)+(57=$HO45)&gt;=2,50,0))+BH$5*50)</f>
        <v/>
      </c>
      <c r="BI165">
        <f>IF(OR($JF45=0,calcA!$A$6=0),0,IF(OR(58=$HA45,58=$HD45,58=$HG45),200000,MIN(IF($HA45=0,999999,IF(3=$HB45,IF(58=$HJ45,IF($JC45=2,30,0),IF(58=$HK45,IF($JC45=1,30,0),ABS(10-$HC45)*100)),100000+ABS(3-$HB45)*1000+100)),IF($HD45=0,999999,IF(3=$HE45,IF(58=$HL45,IF($JD45=2,30,0),IF(58=$HM45,IF($JD45=1,30,0),ABS(10-$HF45)*100)),100000+ABS(3-$HE45)*1000+100)),IF($HG45=0,999999,IF(3=$HH45,IF(58=$HN45,IF($JE45=2,30,0),IF(58=$HO45,IF($JE45=1,30,0),ABS(10-$HI45)*100)),100000+ABS(3-$HH45)*1000+100)))-IF((58=$HJ45)+(58=$HK45)+(58=$HL45)+(58=$HM45)+(58=$HN45)+(58=$HO45)&gt;=2,50,0))+BI$5*50)</f>
        <v/>
      </c>
      <c r="BJ165">
        <f>IF(OR($JF45=0,calcA!$A$6=0),0,IF(OR(59=$HA45,59=$HD45,59=$HG45),200000,MIN(IF($HA45=0,999999,IF(3=$HB45,IF(59=$HJ45,IF($JC45=2,30,0),IF(59=$HK45,IF($JC45=1,30,0),ABS(11-$HC45)*100)),100000+ABS(3-$HB45)*1000+110)),IF($HD45=0,999999,IF(3=$HE45,IF(59=$HL45,IF($JD45=2,30,0),IF(59=$HM45,IF($JD45=1,30,0),ABS(11-$HF45)*100)),100000+ABS(3-$HE45)*1000+110)),IF($HG45=0,999999,IF(3=$HH45,IF(59=$HN45,IF($JE45=2,30,0),IF(59=$HO45,IF($JE45=1,30,0),ABS(11-$HI45)*100)),100000+ABS(3-$HH45)*1000+110)))-IF((59=$HJ45)+(59=$HK45)+(59=$HL45)+(59=$HM45)+(59=$HN45)+(59=$HO45)&gt;=2,50,0))+BJ$5*50)</f>
        <v/>
      </c>
      <c r="BK165">
        <f>IF(OR($JF45=0,calcA!$A$6=0),0,IF(OR(60=$HA45,60=$HD45,60=$HG45),200000,MIN(IF($HA45=0,999999,IF(3=$HB45,IF(60=$HJ45,IF($JC45=2,30,0),IF(60=$HK45,IF($JC45=1,30,0),ABS(12-$HC45)*100)),100000+ABS(3-$HB45)*1000+120)),IF($HD45=0,999999,IF(3=$HE45,IF(60=$HL45,IF($JD45=2,30,0),IF(60=$HM45,IF($JD45=1,30,0),ABS(12-$HF45)*100)),100000+ABS(3-$HE45)*1000+120)),IF($HG45=0,999999,IF(3=$HH45,IF(60=$HN45,IF($JE45=2,30,0),IF(60=$HO45,IF($JE45=1,30,0),ABS(12-$HI45)*100)),100000+ABS(3-$HH45)*1000+120)))-IF((60=$HJ45)+(60=$HK45)+(60=$HL45)+(60=$HM45)+(60=$HN45)+(60=$HO45)&gt;=2,50,0))+BK$5*50)</f>
        <v/>
      </c>
      <c r="BL165">
        <f>IF(OR($JF45=0,calcA!$A$6=0),0,IF(OR(61=$HA45,61=$HD45,61=$HG45),200000,MIN(IF($HA45=0,999999,IF(3=$HB45,IF(61=$HJ45,IF($JC45=2,30,0),IF(61=$HK45,IF($JC45=1,30,0),ABS(13-$HC45)*100)),100000+ABS(3-$HB45)*1000+130)),IF($HD45=0,999999,IF(3=$HE45,IF(61=$HL45,IF($JD45=2,30,0),IF(61=$HM45,IF($JD45=1,30,0),ABS(13-$HF45)*100)),100000+ABS(3-$HE45)*1000+130)),IF($HG45=0,999999,IF(3=$HH45,IF(61=$HN45,IF($JE45=2,30,0),IF(61=$HO45,IF($JE45=1,30,0),ABS(13-$HI45)*100)),100000+ABS(3-$HH45)*1000+130)))-IF((61=$HJ45)+(61=$HK45)+(61=$HL45)+(61=$HM45)+(61=$HN45)+(61=$HO45)&gt;=2,50,0))+BL$5*50)</f>
        <v/>
      </c>
      <c r="BM165">
        <f>IF(OR($JF45=0,calcA!$A$6=0),0,IF(OR(62=$HA45,62=$HD45,62=$HG45),200000,MIN(IF($HA45=0,999999,IF(3=$HB45,IF(62=$HJ45,IF($JC45=2,30,0),IF(62=$HK45,IF($JC45=1,30,0),ABS(14-$HC45)*100)),100000+ABS(3-$HB45)*1000+140)),IF($HD45=0,999999,IF(3=$HE45,IF(62=$HL45,IF($JD45=2,30,0),IF(62=$HM45,IF($JD45=1,30,0),ABS(14-$HF45)*100)),100000+ABS(3-$HE45)*1000+140)),IF($HG45=0,999999,IF(3=$HH45,IF(62=$HN45,IF($JE45=2,30,0),IF(62=$HO45,IF($JE45=1,30,0),ABS(14-$HI45)*100)),100000+ABS(3-$HH45)*1000+140)))-IF((62=$HJ45)+(62=$HK45)+(62=$HL45)+(62=$HM45)+(62=$HN45)+(62=$HO45)&gt;=2,50,0))+BM$5*50)</f>
        <v/>
      </c>
      <c r="BN165">
        <f>IF(OR($JF45=0,calcA!$A$6=0),0,IF(OR(63=$HA45,63=$HD45,63=$HG45),200000,MIN(IF($HA45=0,999999,IF(3=$HB45,IF(63=$HJ45,IF($JC45=2,30,0),IF(63=$HK45,IF($JC45=1,30,0),ABS(15-$HC45)*100)),100000+ABS(3-$HB45)*1000+150)),IF($HD45=0,999999,IF(3=$HE45,IF(63=$HL45,IF($JD45=2,30,0),IF(63=$HM45,IF($JD45=1,30,0),ABS(15-$HF45)*100)),100000+ABS(3-$HE45)*1000+150)),IF($HG45=0,999999,IF(3=$HH45,IF(63=$HN45,IF($JE45=2,30,0),IF(63=$HO45,IF($JE45=1,30,0),ABS(15-$HI45)*100)),100000+ABS(3-$HH45)*1000+150)))-IF((63=$HJ45)+(63=$HK45)+(63=$HL45)+(63=$HM45)+(63=$HN45)+(63=$HO45)&gt;=2,50,0))+BN$5*50)</f>
        <v/>
      </c>
      <c r="BO165">
        <f>IF(OR($JF45=0,calcA!$A$6=0),0,IF(OR(64=$HA45,64=$HD45,64=$HG45),200000,MIN(IF($HA45=0,999999,IF(3=$HB45,IF(64=$HJ45,IF($JC45=2,30,0),IF(64=$HK45,IF($JC45=1,30,0),ABS(16-$HC45)*100)),100000+ABS(3-$HB45)*1000+160)),IF($HD45=0,999999,IF(3=$HE45,IF(64=$HL45,IF($JD45=2,30,0),IF(64=$HM45,IF($JD45=1,30,0),ABS(16-$HF45)*100)),100000+ABS(3-$HE45)*1000+160)),IF($HG45=0,999999,IF(3=$HH45,IF(64=$HN45,IF($JE45=2,30,0),IF(64=$HO45,IF($JE45=1,30,0),ABS(16-$HI45)*100)),100000+ABS(3-$HH45)*1000+160)))-IF((64=$HJ45)+(64=$HK45)+(64=$HL45)+(64=$HM45)+(64=$HN45)+(64=$HO45)&gt;=2,50,0))+BO$5*50)</f>
        <v/>
      </c>
      <c r="BP165">
        <f>IF(OR($JF45=0,calcA!$A$6=0),0,IF(OR(65=$HA45,65=$HD45,65=$HG45),200000,MIN(IF($HA45=0,999999,IF(3=$HB45,IF(65=$HJ45,IF($JC45=2,30,0),IF(65=$HK45,IF($JC45=1,30,0),ABS(17-$HC45)*100)),100000+ABS(3-$HB45)*1000+170)),IF($HD45=0,999999,IF(3=$HE45,IF(65=$HL45,IF($JD45=2,30,0),IF(65=$HM45,IF($JD45=1,30,0),ABS(17-$HF45)*100)),100000+ABS(3-$HE45)*1000+170)),IF($HG45=0,999999,IF(3=$HH45,IF(65=$HN45,IF($JE45=2,30,0),IF(65=$HO45,IF($JE45=1,30,0),ABS(17-$HI45)*100)),100000+ABS(3-$HH45)*1000+170)))-IF((65=$HJ45)+(65=$HK45)+(65=$HL45)+(65=$HM45)+(65=$HN45)+(65=$HO45)&gt;=2,50,0))+BP$5*50)</f>
        <v/>
      </c>
      <c r="BQ165">
        <f>IF(OR($JF45=0,calcA!$A$6=0),0,IF(OR(66=$HA45,66=$HD45,66=$HG45),200000,MIN(IF($HA45=0,999999,IF(3=$HB45,IF(66=$HJ45,IF($JC45=2,30,0),IF(66=$HK45,IF($JC45=1,30,0),ABS(18-$HC45)*100)),100000+ABS(3-$HB45)*1000+180)),IF($HD45=0,999999,IF(3=$HE45,IF(66=$HL45,IF($JD45=2,30,0),IF(66=$HM45,IF($JD45=1,30,0),ABS(18-$HF45)*100)),100000+ABS(3-$HE45)*1000+180)),IF($HG45=0,999999,IF(3=$HH45,IF(66=$HN45,IF($JE45=2,30,0),IF(66=$HO45,IF($JE45=1,30,0),ABS(18-$HI45)*100)),100000+ABS(3-$HH45)*1000+180)))-IF((66=$HJ45)+(66=$HK45)+(66=$HL45)+(66=$HM45)+(66=$HN45)+(66=$HO45)&gt;=2,50,0))+BQ$5*50)</f>
        <v/>
      </c>
      <c r="BR165">
        <f>IF(OR($JF45=0,calcA!$A$6=0),0,IF(OR(67=$HA45,67=$HD45,67=$HG45),200000,MIN(IF($HA45=0,999999,IF(3=$HB45,IF(67=$HJ45,IF($JC45=2,30,0),IF(67=$HK45,IF($JC45=1,30,0),ABS(19-$HC45)*100)),100000+ABS(3-$HB45)*1000+190)),IF($HD45=0,999999,IF(3=$HE45,IF(67=$HL45,IF($JD45=2,30,0),IF(67=$HM45,IF($JD45=1,30,0),ABS(19-$HF45)*100)),100000+ABS(3-$HE45)*1000+190)),IF($HG45=0,999999,IF(3=$HH45,IF(67=$HN45,IF($JE45=2,30,0),IF(67=$HO45,IF($JE45=1,30,0),ABS(19-$HI45)*100)),100000+ABS(3-$HH45)*1000+190)))-IF((67=$HJ45)+(67=$HK45)+(67=$HL45)+(67=$HM45)+(67=$HN45)+(67=$HO45)&gt;=2,50,0))+BR$5*50)</f>
        <v/>
      </c>
      <c r="BS165">
        <f>IF(OR($JF45=0,calcA!$A$6=0),0,IF(OR(68=$HA45,68=$HD45,68=$HG45),200000,MIN(IF($HA45=0,999999,IF(3=$HB45,IF(68=$HJ45,IF($JC45=2,30,0),IF(68=$HK45,IF($JC45=1,30,0),ABS(20-$HC45)*100)),100000+ABS(3-$HB45)*1000+200)),IF($HD45=0,999999,IF(3=$HE45,IF(68=$HL45,IF($JD45=2,30,0),IF(68=$HM45,IF($JD45=1,30,0),ABS(20-$HF45)*100)),100000+ABS(3-$HE45)*1000+200)),IF($HG45=0,999999,IF(3=$HH45,IF(68=$HN45,IF($JE45=2,30,0),IF(68=$HO45,IF($JE45=1,30,0),ABS(20-$HI45)*100)),100000+ABS(3-$HH45)*1000+200)))-IF((68=$HJ45)+(68=$HK45)+(68=$HL45)+(68=$HM45)+(68=$HN45)+(68=$HO45)&gt;=2,50,0))+BS$5*50)</f>
        <v/>
      </c>
      <c r="BT165">
        <f>IF(OR($JF45=0,calcA!$A$6=0),0,IF(OR(69=$HA45,69=$HD45,69=$HG45),200000,MIN(IF($HA45=0,999999,IF(3=$HB45,IF(69=$HJ45,IF($JC45=2,30,0),IF(69=$HK45,IF($JC45=1,30,0),ABS(21-$HC45)*100)),100000+ABS(3-$HB45)*1000+210)),IF($HD45=0,999999,IF(3=$HE45,IF(69=$HL45,IF($JD45=2,30,0),IF(69=$HM45,IF($JD45=1,30,0),ABS(21-$HF45)*100)),100000+ABS(3-$HE45)*1000+210)),IF($HG45=0,999999,IF(3=$HH45,IF(69=$HN45,IF($JE45=2,30,0),IF(69=$HO45,IF($JE45=1,30,0),ABS(21-$HI45)*100)),100000+ABS(3-$HH45)*1000+210)))-IF((69=$HJ45)+(69=$HK45)+(69=$HL45)+(69=$HM45)+(69=$HN45)+(69=$HO45)&gt;=2,50,0))+BT$5*50)</f>
        <v/>
      </c>
      <c r="BU165">
        <f>IF(OR($JF45=0,calcA!$A$6=0),0,IF(OR(70=$HA45,70=$HD45,70=$HG45),200000,MIN(IF($HA45=0,999999,IF(3=$HB45,IF(70=$HJ45,IF($JC45=2,30,0),IF(70=$HK45,IF($JC45=1,30,0),ABS(22-$HC45)*100)),100000+ABS(3-$HB45)*1000+220)),IF($HD45=0,999999,IF(3=$HE45,IF(70=$HL45,IF($JD45=2,30,0),IF(70=$HM45,IF($JD45=1,30,0),ABS(22-$HF45)*100)),100000+ABS(3-$HE45)*1000+220)),IF($HG45=0,999999,IF(3=$HH45,IF(70=$HN45,IF($JE45=2,30,0),IF(70=$HO45,IF($JE45=1,30,0),ABS(22-$HI45)*100)),100000+ABS(3-$HH45)*1000+220)))-IF((70=$HJ45)+(70=$HK45)+(70=$HL45)+(70=$HM45)+(70=$HN45)+(70=$HO45)&gt;=2,50,0))+BU$5*50)</f>
        <v/>
      </c>
      <c r="BV165">
        <f>IF(OR($JF45=0,calcA!$A$6=0),0,IF(OR(71=$HA45,71=$HD45,71=$HG45),200000,MIN(IF($HA45=0,999999,IF(3=$HB45,IF(71=$HJ45,IF($JC45=2,30,0),IF(71=$HK45,IF($JC45=1,30,0),ABS(23-$HC45)*100)),100000+ABS(3-$HB45)*1000+230)),IF($HD45=0,999999,IF(3=$HE45,IF(71=$HL45,IF($JD45=2,30,0),IF(71=$HM45,IF($JD45=1,30,0),ABS(23-$HF45)*100)),100000+ABS(3-$HE45)*1000+230)),IF($HG45=0,999999,IF(3=$HH45,IF(71=$HN45,IF($JE45=2,30,0),IF(71=$HO45,IF($JE45=1,30,0),ABS(23-$HI45)*100)),100000+ABS(3-$HH45)*1000+230)))-IF((71=$HJ45)+(71=$HK45)+(71=$HL45)+(71=$HM45)+(71=$HN45)+(71=$HO45)&gt;=2,50,0))+BV$5*50)</f>
        <v/>
      </c>
      <c r="BW165">
        <f>IF(OR($JF45=0,calcA!$A$6=0),0,IF(OR(72=$HA45,72=$HD45,72=$HG45),200000,MIN(IF($HA45=0,999999,IF(3=$HB45,IF(72=$HJ45,IF($JC45=2,30,0),IF(72=$HK45,IF($JC45=1,30,0),ABS(24-$HC45)*100)),100000+ABS(3-$HB45)*1000+240)),IF($HD45=0,999999,IF(3=$HE45,IF(72=$HL45,IF($JD45=2,30,0),IF(72=$HM45,IF($JD45=1,30,0),ABS(24-$HF45)*100)),100000+ABS(3-$HE45)*1000+240)),IF($HG45=0,999999,IF(3=$HH45,IF(72=$HN45,IF($JE45=2,30,0),IF(72=$HO45,IF($JE45=1,30,0),ABS(24-$HI45)*100)),100000+ABS(3-$HH45)*1000+240)))-IF((72=$HJ45)+(72=$HK45)+(72=$HL45)+(72=$HM45)+(72=$HN45)+(72=$HO45)&gt;=2,50,0))+BW$5*50)</f>
        <v/>
      </c>
      <c r="BX165">
        <f>IF(OR($JF45=0,calcA!$A$6=0),0,IF(OR(73=$HA45,73=$HD45,73=$HG45),200000,MIN(IF($HA45=0,999999,IF(4=$HB45,IF(73=$HJ45,IF($JC45=2,30,0),IF(73=$HK45,IF($JC45=1,30,0),ABS(1-$HC45)*100)),100000+ABS(4-$HB45)*1000+10)),IF($HD45=0,999999,IF(4=$HE45,IF(73=$HL45,IF($JD45=2,30,0),IF(73=$HM45,IF($JD45=1,30,0),ABS(1-$HF45)*100)),100000+ABS(4-$HE45)*1000+10)),IF($HG45=0,999999,IF(4=$HH45,IF(73=$HN45,IF($JE45=2,30,0),IF(73=$HO45,IF($JE45=1,30,0),ABS(1-$HI45)*100)),100000+ABS(4-$HH45)*1000+10)))-IF((73=$HJ45)+(73=$HK45)+(73=$HL45)+(73=$HM45)+(73=$HN45)+(73=$HO45)&gt;=2,50,0))+BX$5*50)</f>
        <v/>
      </c>
      <c r="BY165">
        <f>IF(OR($JF45=0,calcA!$A$6=0),0,IF(OR(74=$HA45,74=$HD45,74=$HG45),200000,MIN(IF($HA45=0,999999,IF(4=$HB45,IF(74=$HJ45,IF($JC45=2,30,0),IF(74=$HK45,IF($JC45=1,30,0),ABS(2-$HC45)*100)),100000+ABS(4-$HB45)*1000+20)),IF($HD45=0,999999,IF(4=$HE45,IF(74=$HL45,IF($JD45=2,30,0),IF(74=$HM45,IF($JD45=1,30,0),ABS(2-$HF45)*100)),100000+ABS(4-$HE45)*1000+20)),IF($HG45=0,999999,IF(4=$HH45,IF(74=$HN45,IF($JE45=2,30,0),IF(74=$HO45,IF($JE45=1,30,0),ABS(2-$HI45)*100)),100000+ABS(4-$HH45)*1000+20)))-IF((74=$HJ45)+(74=$HK45)+(74=$HL45)+(74=$HM45)+(74=$HN45)+(74=$HO45)&gt;=2,50,0))+BY$5*50)</f>
        <v/>
      </c>
      <c r="BZ165">
        <f>IF(OR($JF45=0,calcA!$A$6=0),0,IF(OR(75=$HA45,75=$HD45,75=$HG45),200000,MIN(IF($HA45=0,999999,IF(4=$HB45,IF(75=$HJ45,IF($JC45=2,30,0),IF(75=$HK45,IF($JC45=1,30,0),ABS(3-$HC45)*100)),100000+ABS(4-$HB45)*1000+30)),IF($HD45=0,999999,IF(4=$HE45,IF(75=$HL45,IF($JD45=2,30,0),IF(75=$HM45,IF($JD45=1,30,0),ABS(3-$HF45)*100)),100000+ABS(4-$HE45)*1000+30)),IF($HG45=0,999999,IF(4=$HH45,IF(75=$HN45,IF($JE45=2,30,0),IF(75=$HO45,IF($JE45=1,30,0),ABS(3-$HI45)*100)),100000+ABS(4-$HH45)*1000+30)))-IF((75=$HJ45)+(75=$HK45)+(75=$HL45)+(75=$HM45)+(75=$HN45)+(75=$HO45)&gt;=2,50,0))+BZ$5*50)</f>
        <v/>
      </c>
      <c r="CA165">
        <f>IF(OR($JF45=0,calcA!$A$6=0),0,IF(OR(76=$HA45,76=$HD45,76=$HG45),200000,MIN(IF($HA45=0,999999,IF(4=$HB45,IF(76=$HJ45,IF($JC45=2,30,0),IF(76=$HK45,IF($JC45=1,30,0),ABS(4-$HC45)*100)),100000+ABS(4-$HB45)*1000+40)),IF($HD45=0,999999,IF(4=$HE45,IF(76=$HL45,IF($JD45=2,30,0),IF(76=$HM45,IF($JD45=1,30,0),ABS(4-$HF45)*100)),100000+ABS(4-$HE45)*1000+40)),IF($HG45=0,999999,IF(4=$HH45,IF(76=$HN45,IF($JE45=2,30,0),IF(76=$HO45,IF($JE45=1,30,0),ABS(4-$HI45)*100)),100000+ABS(4-$HH45)*1000+40)))-IF((76=$HJ45)+(76=$HK45)+(76=$HL45)+(76=$HM45)+(76=$HN45)+(76=$HO45)&gt;=2,50,0))+CA$5*50)</f>
        <v/>
      </c>
      <c r="CB165">
        <f>IF(OR($JF45=0,calcA!$A$6=0),0,IF(OR(77=$HA45,77=$HD45,77=$HG45),200000,MIN(IF($HA45=0,999999,IF(4=$HB45,IF(77=$HJ45,IF($JC45=2,30,0),IF(77=$HK45,IF($JC45=1,30,0),ABS(5-$HC45)*100)),100000+ABS(4-$HB45)*1000+50)),IF($HD45=0,999999,IF(4=$HE45,IF(77=$HL45,IF($JD45=2,30,0),IF(77=$HM45,IF($JD45=1,30,0),ABS(5-$HF45)*100)),100000+ABS(4-$HE45)*1000+50)),IF($HG45=0,999999,IF(4=$HH45,IF(77=$HN45,IF($JE45=2,30,0),IF(77=$HO45,IF($JE45=1,30,0),ABS(5-$HI45)*100)),100000+ABS(4-$HH45)*1000+50)))-IF((77=$HJ45)+(77=$HK45)+(77=$HL45)+(77=$HM45)+(77=$HN45)+(77=$HO45)&gt;=2,50,0))+CB$5*50)</f>
        <v/>
      </c>
      <c r="CC165">
        <f>IF(OR($JF45=0,calcA!$A$6=0),0,IF(OR(78=$HA45,78=$HD45,78=$HG45),200000,MIN(IF($HA45=0,999999,IF(4=$HB45,IF(78=$HJ45,IF($JC45=2,30,0),IF(78=$HK45,IF($JC45=1,30,0),ABS(6-$HC45)*100)),100000+ABS(4-$HB45)*1000+60)),IF($HD45=0,999999,IF(4=$HE45,IF(78=$HL45,IF($JD45=2,30,0),IF(78=$HM45,IF($JD45=1,30,0),ABS(6-$HF45)*100)),100000+ABS(4-$HE45)*1000+60)),IF($HG45=0,999999,IF(4=$HH45,IF(78=$HN45,IF($JE45=2,30,0),IF(78=$HO45,IF($JE45=1,30,0),ABS(6-$HI45)*100)),100000+ABS(4-$HH45)*1000+60)))-IF((78=$HJ45)+(78=$HK45)+(78=$HL45)+(78=$HM45)+(78=$HN45)+(78=$HO45)&gt;=2,50,0))+CC$5*50)</f>
        <v/>
      </c>
      <c r="CD165">
        <f>IF(OR($JF45=0,calcA!$A$6=0),0,IF(OR(79=$HA45,79=$HD45,79=$HG45),200000,MIN(IF($HA45=0,999999,IF(4=$HB45,IF(79=$HJ45,IF($JC45=2,30,0),IF(79=$HK45,IF($JC45=1,30,0),ABS(7-$HC45)*100)),100000+ABS(4-$HB45)*1000+70)),IF($HD45=0,999999,IF(4=$HE45,IF(79=$HL45,IF($JD45=2,30,0),IF(79=$HM45,IF($JD45=1,30,0),ABS(7-$HF45)*100)),100000+ABS(4-$HE45)*1000+70)),IF($HG45=0,999999,IF(4=$HH45,IF(79=$HN45,IF($JE45=2,30,0),IF(79=$HO45,IF($JE45=1,30,0),ABS(7-$HI45)*100)),100000+ABS(4-$HH45)*1000+70)))-IF((79=$HJ45)+(79=$HK45)+(79=$HL45)+(79=$HM45)+(79=$HN45)+(79=$HO45)&gt;=2,50,0))+CD$5*50)</f>
        <v/>
      </c>
      <c r="CE165">
        <f>IF(OR($JF45=0,calcA!$A$6=0),0,IF(OR(80=$HA45,80=$HD45,80=$HG45),200000,MIN(IF($HA45=0,999999,IF(4=$HB45,IF(80=$HJ45,IF($JC45=2,30,0),IF(80=$HK45,IF($JC45=1,30,0),ABS(8-$HC45)*100)),100000+ABS(4-$HB45)*1000+80)),IF($HD45=0,999999,IF(4=$HE45,IF(80=$HL45,IF($JD45=2,30,0),IF(80=$HM45,IF($JD45=1,30,0),ABS(8-$HF45)*100)),100000+ABS(4-$HE45)*1000+80)),IF($HG45=0,999999,IF(4=$HH45,IF(80=$HN45,IF($JE45=2,30,0),IF(80=$HO45,IF($JE45=1,30,0),ABS(8-$HI45)*100)),100000+ABS(4-$HH45)*1000+80)))-IF((80=$HJ45)+(80=$HK45)+(80=$HL45)+(80=$HM45)+(80=$HN45)+(80=$HO45)&gt;=2,50,0))+CE$5*50)</f>
        <v/>
      </c>
      <c r="CF165">
        <f>IF(OR($JF45=0,calcA!$A$6=0),0,IF(OR(81=$HA45,81=$HD45,81=$HG45),200000,MIN(IF($HA45=0,999999,IF(4=$HB45,IF(81=$HJ45,IF($JC45=2,30,0),IF(81=$HK45,IF($JC45=1,30,0),ABS(9-$HC45)*100)),100000+ABS(4-$HB45)*1000+90)),IF($HD45=0,999999,IF(4=$HE45,IF(81=$HL45,IF($JD45=2,30,0),IF(81=$HM45,IF($JD45=1,30,0),ABS(9-$HF45)*100)),100000+ABS(4-$HE45)*1000+90)),IF($HG45=0,999999,IF(4=$HH45,IF(81=$HN45,IF($JE45=2,30,0),IF(81=$HO45,IF($JE45=1,30,0),ABS(9-$HI45)*100)),100000+ABS(4-$HH45)*1000+90)))-IF((81=$HJ45)+(81=$HK45)+(81=$HL45)+(81=$HM45)+(81=$HN45)+(81=$HO45)&gt;=2,50,0))+CF$5*50)</f>
        <v/>
      </c>
      <c r="CG165">
        <f>IF(OR($JF45=0,calcA!$A$6=0),0,IF(OR(82=$HA45,82=$HD45,82=$HG45),200000,MIN(IF($HA45=0,999999,IF(4=$HB45,IF(82=$HJ45,IF($JC45=2,30,0),IF(82=$HK45,IF($JC45=1,30,0),ABS(10-$HC45)*100)),100000+ABS(4-$HB45)*1000+100)),IF($HD45=0,999999,IF(4=$HE45,IF(82=$HL45,IF($JD45=2,30,0),IF(82=$HM45,IF($JD45=1,30,0),ABS(10-$HF45)*100)),100000+ABS(4-$HE45)*1000+100)),IF($HG45=0,999999,IF(4=$HH45,IF(82=$HN45,IF($JE45=2,30,0),IF(82=$HO45,IF($JE45=1,30,0),ABS(10-$HI45)*100)),100000+ABS(4-$HH45)*1000+100)))-IF((82=$HJ45)+(82=$HK45)+(82=$HL45)+(82=$HM45)+(82=$HN45)+(82=$HO45)&gt;=2,50,0))+CG$5*50)</f>
        <v/>
      </c>
      <c r="CH165">
        <f>IF(OR($JF45=0,calcA!$A$6=0),0,IF(OR(83=$HA45,83=$HD45,83=$HG45),200000,MIN(IF($HA45=0,999999,IF(4=$HB45,IF(83=$HJ45,IF($JC45=2,30,0),IF(83=$HK45,IF($JC45=1,30,0),ABS(11-$HC45)*100)),100000+ABS(4-$HB45)*1000+110)),IF($HD45=0,999999,IF(4=$HE45,IF(83=$HL45,IF($JD45=2,30,0),IF(83=$HM45,IF($JD45=1,30,0),ABS(11-$HF45)*100)),100000+ABS(4-$HE45)*1000+110)),IF($HG45=0,999999,IF(4=$HH45,IF(83=$HN45,IF($JE45=2,30,0),IF(83=$HO45,IF($JE45=1,30,0),ABS(11-$HI45)*100)),100000+ABS(4-$HH45)*1000+110)))-IF((83=$HJ45)+(83=$HK45)+(83=$HL45)+(83=$HM45)+(83=$HN45)+(83=$HO45)&gt;=2,50,0))+CH$5*50)</f>
        <v/>
      </c>
      <c r="CI165">
        <f>IF(OR($JF45=0,calcA!$A$6=0),0,IF(OR(84=$HA45,84=$HD45,84=$HG45),200000,MIN(IF($HA45=0,999999,IF(4=$HB45,IF(84=$HJ45,IF($JC45=2,30,0),IF(84=$HK45,IF($JC45=1,30,0),ABS(12-$HC45)*100)),100000+ABS(4-$HB45)*1000+120)),IF($HD45=0,999999,IF(4=$HE45,IF(84=$HL45,IF($JD45=2,30,0),IF(84=$HM45,IF($JD45=1,30,0),ABS(12-$HF45)*100)),100000+ABS(4-$HE45)*1000+120)),IF($HG45=0,999999,IF(4=$HH45,IF(84=$HN45,IF($JE45=2,30,0),IF(84=$HO45,IF($JE45=1,30,0),ABS(12-$HI45)*100)),100000+ABS(4-$HH45)*1000+120)))-IF((84=$HJ45)+(84=$HK45)+(84=$HL45)+(84=$HM45)+(84=$HN45)+(84=$HO45)&gt;=2,50,0))+CI$5*50)</f>
        <v/>
      </c>
      <c r="CJ165">
        <f>IF(OR($JF45=0,calcA!$A$6=0),0,IF(OR(85=$HA45,85=$HD45,85=$HG45),200000,MIN(IF($HA45=0,999999,IF(4=$HB45,IF(85=$HJ45,IF($JC45=2,30,0),IF(85=$HK45,IF($JC45=1,30,0),ABS(13-$HC45)*100)),100000+ABS(4-$HB45)*1000+130)),IF($HD45=0,999999,IF(4=$HE45,IF(85=$HL45,IF($JD45=2,30,0),IF(85=$HM45,IF($JD45=1,30,0),ABS(13-$HF45)*100)),100000+ABS(4-$HE45)*1000+130)),IF($HG45=0,999999,IF(4=$HH45,IF(85=$HN45,IF($JE45=2,30,0),IF(85=$HO45,IF($JE45=1,30,0),ABS(13-$HI45)*100)),100000+ABS(4-$HH45)*1000+130)))-IF((85=$HJ45)+(85=$HK45)+(85=$HL45)+(85=$HM45)+(85=$HN45)+(85=$HO45)&gt;=2,50,0))+CJ$5*50)</f>
        <v/>
      </c>
      <c r="CK165">
        <f>IF(OR($JF45=0,calcA!$A$6=0),0,IF(OR(86=$HA45,86=$HD45,86=$HG45),200000,MIN(IF($HA45=0,999999,IF(4=$HB45,IF(86=$HJ45,IF($JC45=2,30,0),IF(86=$HK45,IF($JC45=1,30,0),ABS(14-$HC45)*100)),100000+ABS(4-$HB45)*1000+140)),IF($HD45=0,999999,IF(4=$HE45,IF(86=$HL45,IF($JD45=2,30,0),IF(86=$HM45,IF($JD45=1,30,0),ABS(14-$HF45)*100)),100000+ABS(4-$HE45)*1000+140)),IF($HG45=0,999999,IF(4=$HH45,IF(86=$HN45,IF($JE45=2,30,0),IF(86=$HO45,IF($JE45=1,30,0),ABS(14-$HI45)*100)),100000+ABS(4-$HH45)*1000+140)))-IF((86=$HJ45)+(86=$HK45)+(86=$HL45)+(86=$HM45)+(86=$HN45)+(86=$HO45)&gt;=2,50,0))+CK$5*50)</f>
        <v/>
      </c>
      <c r="CL165">
        <f>IF(OR($JF45=0,calcA!$A$6=0),0,IF(OR(87=$HA45,87=$HD45,87=$HG45),200000,MIN(IF($HA45=0,999999,IF(4=$HB45,IF(87=$HJ45,IF($JC45=2,30,0),IF(87=$HK45,IF($JC45=1,30,0),ABS(15-$HC45)*100)),100000+ABS(4-$HB45)*1000+150)),IF($HD45=0,999999,IF(4=$HE45,IF(87=$HL45,IF($JD45=2,30,0),IF(87=$HM45,IF($JD45=1,30,0),ABS(15-$HF45)*100)),100000+ABS(4-$HE45)*1000+150)),IF($HG45=0,999999,IF(4=$HH45,IF(87=$HN45,IF($JE45=2,30,0),IF(87=$HO45,IF($JE45=1,30,0),ABS(15-$HI45)*100)),100000+ABS(4-$HH45)*1000+150)))-IF((87=$HJ45)+(87=$HK45)+(87=$HL45)+(87=$HM45)+(87=$HN45)+(87=$HO45)&gt;=2,50,0))+CL$5*50)</f>
        <v/>
      </c>
      <c r="CM165">
        <f>IF(OR($JF45=0,calcA!$A$6=0),0,IF(OR(88=$HA45,88=$HD45,88=$HG45),200000,MIN(IF($HA45=0,999999,IF(4=$HB45,IF(88=$HJ45,IF($JC45=2,30,0),IF(88=$HK45,IF($JC45=1,30,0),ABS(16-$HC45)*100)),100000+ABS(4-$HB45)*1000+160)),IF($HD45=0,999999,IF(4=$HE45,IF(88=$HL45,IF($JD45=2,30,0),IF(88=$HM45,IF($JD45=1,30,0),ABS(16-$HF45)*100)),100000+ABS(4-$HE45)*1000+160)),IF($HG45=0,999999,IF(4=$HH45,IF(88=$HN45,IF($JE45=2,30,0),IF(88=$HO45,IF($JE45=1,30,0),ABS(16-$HI45)*100)),100000+ABS(4-$HH45)*1000+160)))-IF((88=$HJ45)+(88=$HK45)+(88=$HL45)+(88=$HM45)+(88=$HN45)+(88=$HO45)&gt;=2,50,0))+CM$5*50)</f>
        <v/>
      </c>
      <c r="CN165">
        <f>IF(OR($JF45=0,calcA!$A$6=0),0,IF(OR(89=$HA45,89=$HD45,89=$HG45),200000,MIN(IF($HA45=0,999999,IF(4=$HB45,IF(89=$HJ45,IF($JC45=2,30,0),IF(89=$HK45,IF($JC45=1,30,0),ABS(17-$HC45)*100)),100000+ABS(4-$HB45)*1000+170)),IF($HD45=0,999999,IF(4=$HE45,IF(89=$HL45,IF($JD45=2,30,0),IF(89=$HM45,IF($JD45=1,30,0),ABS(17-$HF45)*100)),100000+ABS(4-$HE45)*1000+170)),IF($HG45=0,999999,IF(4=$HH45,IF(89=$HN45,IF($JE45=2,30,0),IF(89=$HO45,IF($JE45=1,30,0),ABS(17-$HI45)*100)),100000+ABS(4-$HH45)*1000+170)))-IF((89=$HJ45)+(89=$HK45)+(89=$HL45)+(89=$HM45)+(89=$HN45)+(89=$HO45)&gt;=2,50,0))+CN$5*50)</f>
        <v/>
      </c>
      <c r="CO165">
        <f>IF(OR($JF45=0,calcA!$A$6=0),0,IF(OR(90=$HA45,90=$HD45,90=$HG45),200000,MIN(IF($HA45=0,999999,IF(4=$HB45,IF(90=$HJ45,IF($JC45=2,30,0),IF(90=$HK45,IF($JC45=1,30,0),ABS(18-$HC45)*100)),100000+ABS(4-$HB45)*1000+180)),IF($HD45=0,999999,IF(4=$HE45,IF(90=$HL45,IF($JD45=2,30,0),IF(90=$HM45,IF($JD45=1,30,0),ABS(18-$HF45)*100)),100000+ABS(4-$HE45)*1000+180)),IF($HG45=0,999999,IF(4=$HH45,IF(90=$HN45,IF($JE45=2,30,0),IF(90=$HO45,IF($JE45=1,30,0),ABS(18-$HI45)*100)),100000+ABS(4-$HH45)*1000+180)))-IF((90=$HJ45)+(90=$HK45)+(90=$HL45)+(90=$HM45)+(90=$HN45)+(90=$HO45)&gt;=2,50,0))+CO$5*50)</f>
        <v/>
      </c>
      <c r="CP165">
        <f>IF(OR($JF45=0,calcA!$A$6=0),0,IF(OR(91=$HA45,91=$HD45,91=$HG45),200000,MIN(IF($HA45=0,999999,IF(4=$HB45,IF(91=$HJ45,IF($JC45=2,30,0),IF(91=$HK45,IF($JC45=1,30,0),ABS(19-$HC45)*100)),100000+ABS(4-$HB45)*1000+190)),IF($HD45=0,999999,IF(4=$HE45,IF(91=$HL45,IF($JD45=2,30,0),IF(91=$HM45,IF($JD45=1,30,0),ABS(19-$HF45)*100)),100000+ABS(4-$HE45)*1000+190)),IF($HG45=0,999999,IF(4=$HH45,IF(91=$HN45,IF($JE45=2,30,0),IF(91=$HO45,IF($JE45=1,30,0),ABS(19-$HI45)*100)),100000+ABS(4-$HH45)*1000+190)))-IF((91=$HJ45)+(91=$HK45)+(91=$HL45)+(91=$HM45)+(91=$HN45)+(91=$HO45)&gt;=2,50,0))+CP$5*50)</f>
        <v/>
      </c>
      <c r="CQ165">
        <f>IF(OR($JF45=0,calcA!$A$6=0),0,IF(OR(92=$HA45,92=$HD45,92=$HG45),200000,MIN(IF($HA45=0,999999,IF(4=$HB45,IF(92=$HJ45,IF($JC45=2,30,0),IF(92=$HK45,IF($JC45=1,30,0),ABS(20-$HC45)*100)),100000+ABS(4-$HB45)*1000+200)),IF($HD45=0,999999,IF(4=$HE45,IF(92=$HL45,IF($JD45=2,30,0),IF(92=$HM45,IF($JD45=1,30,0),ABS(20-$HF45)*100)),100000+ABS(4-$HE45)*1000+200)),IF($HG45=0,999999,IF(4=$HH45,IF(92=$HN45,IF($JE45=2,30,0),IF(92=$HO45,IF($JE45=1,30,0),ABS(20-$HI45)*100)),100000+ABS(4-$HH45)*1000+200)))-IF((92=$HJ45)+(92=$HK45)+(92=$HL45)+(92=$HM45)+(92=$HN45)+(92=$HO45)&gt;=2,50,0))+CQ$5*50)</f>
        <v/>
      </c>
      <c r="CR165">
        <f>IF(OR($JF45=0,calcA!$A$6=0),0,IF(OR(93=$HA45,93=$HD45,93=$HG45),200000,MIN(IF($HA45=0,999999,IF(4=$HB45,IF(93=$HJ45,IF($JC45=2,30,0),IF(93=$HK45,IF($JC45=1,30,0),ABS(21-$HC45)*100)),100000+ABS(4-$HB45)*1000+210)),IF($HD45=0,999999,IF(4=$HE45,IF(93=$HL45,IF($JD45=2,30,0),IF(93=$HM45,IF($JD45=1,30,0),ABS(21-$HF45)*100)),100000+ABS(4-$HE45)*1000+210)),IF($HG45=0,999999,IF(4=$HH45,IF(93=$HN45,IF($JE45=2,30,0),IF(93=$HO45,IF($JE45=1,30,0),ABS(21-$HI45)*100)),100000+ABS(4-$HH45)*1000+210)))-IF((93=$HJ45)+(93=$HK45)+(93=$HL45)+(93=$HM45)+(93=$HN45)+(93=$HO45)&gt;=2,50,0))+CR$5*50)</f>
        <v/>
      </c>
      <c r="CS165">
        <f>IF(OR($JF45=0,calcA!$A$6=0),0,IF(OR(94=$HA45,94=$HD45,94=$HG45),200000,MIN(IF($HA45=0,999999,IF(4=$HB45,IF(94=$HJ45,IF($JC45=2,30,0),IF(94=$HK45,IF($JC45=1,30,0),ABS(22-$HC45)*100)),100000+ABS(4-$HB45)*1000+220)),IF($HD45=0,999999,IF(4=$HE45,IF(94=$HL45,IF($JD45=2,30,0),IF(94=$HM45,IF($JD45=1,30,0),ABS(22-$HF45)*100)),100000+ABS(4-$HE45)*1000+220)),IF($HG45=0,999999,IF(4=$HH45,IF(94=$HN45,IF($JE45=2,30,0),IF(94=$HO45,IF($JE45=1,30,0),ABS(22-$HI45)*100)),100000+ABS(4-$HH45)*1000+220)))-IF((94=$HJ45)+(94=$HK45)+(94=$HL45)+(94=$HM45)+(94=$HN45)+(94=$HO45)&gt;=2,50,0))+CS$5*50)</f>
        <v/>
      </c>
      <c r="CT165">
        <f>IF(OR($JF45=0,calcA!$A$6=0),0,IF(OR(95=$HA45,95=$HD45,95=$HG45),200000,MIN(IF($HA45=0,999999,IF(4=$HB45,IF(95=$HJ45,IF($JC45=2,30,0),IF(95=$HK45,IF($JC45=1,30,0),ABS(23-$HC45)*100)),100000+ABS(4-$HB45)*1000+230)),IF($HD45=0,999999,IF(4=$HE45,IF(95=$HL45,IF($JD45=2,30,0),IF(95=$HM45,IF($JD45=1,30,0),ABS(23-$HF45)*100)),100000+ABS(4-$HE45)*1000+230)),IF($HG45=0,999999,IF(4=$HH45,IF(95=$HN45,IF($JE45=2,30,0),IF(95=$HO45,IF($JE45=1,30,0),ABS(23-$HI45)*100)),100000+ABS(4-$HH45)*1000+230)))-IF((95=$HJ45)+(95=$HK45)+(95=$HL45)+(95=$HM45)+(95=$HN45)+(95=$HO45)&gt;=2,50,0))+CT$5*50)</f>
        <v/>
      </c>
      <c r="CU165">
        <f>IF(OR($JF45=0,calcA!$A$6=0),0,IF(OR(96=$HA45,96=$HD45,96=$HG45),200000,MIN(IF($HA45=0,999999,IF(4=$HB45,IF(96=$HJ45,IF($JC45=2,30,0),IF(96=$HK45,IF($JC45=1,30,0),ABS(24-$HC45)*100)),100000+ABS(4-$HB45)*1000+240)),IF($HD45=0,999999,IF(4=$HE45,IF(96=$HL45,IF($JD45=2,30,0),IF(96=$HM45,IF($JD45=1,30,0),ABS(24-$HF45)*100)),100000+ABS(4-$HE45)*1000+240)),IF($HG45=0,999999,IF(4=$HH45,IF(96=$HN45,IF($JE45=2,30,0),IF(96=$HO45,IF($JE45=1,30,0),ABS(24-$HI45)*100)),100000+ABS(4-$HH45)*1000+240)))-IF((96=$HJ45)+(96=$HK45)+(96=$HL45)+(96=$HM45)+(96=$HN45)+(96=$HO45)&gt;=2,50,0))+CU$5*50)</f>
        <v/>
      </c>
      <c r="CV165">
        <f>IF(OR($JF45=0,calcA!$A$6=0),0,IF(OR(97=$HA45,97=$HD45,97=$HG45),200000,MIN(IF($HA45=0,999999,IF(5=$HB45,IF(97=$HJ45,IF($JC45=2,30,0),IF(97=$HK45,IF($JC45=1,30,0),ABS(1-$HC45)*100)),100000+ABS(5-$HB45)*1000+10)),IF($HD45=0,999999,IF(5=$HE45,IF(97=$HL45,IF($JD45=2,30,0),IF(97=$HM45,IF($JD45=1,30,0),ABS(1-$HF45)*100)),100000+ABS(5-$HE45)*1000+10)),IF($HG45=0,999999,IF(5=$HH45,IF(97=$HN45,IF($JE45=2,30,0),IF(97=$HO45,IF($JE45=1,30,0),ABS(1-$HI45)*100)),100000+ABS(5-$HH45)*1000+10)))-IF((97=$HJ45)+(97=$HK45)+(97=$HL45)+(97=$HM45)+(97=$HN45)+(97=$HO45)&gt;=2,50,0))+CV$5*50)</f>
        <v/>
      </c>
      <c r="CW165">
        <f>IF(OR($JF45=0,calcA!$A$6=0),0,IF(OR(98=$HA45,98=$HD45,98=$HG45),200000,MIN(IF($HA45=0,999999,IF(5=$HB45,IF(98=$HJ45,IF($JC45=2,30,0),IF(98=$HK45,IF($JC45=1,30,0),ABS(2-$HC45)*100)),100000+ABS(5-$HB45)*1000+20)),IF($HD45=0,999999,IF(5=$HE45,IF(98=$HL45,IF($JD45=2,30,0),IF(98=$HM45,IF($JD45=1,30,0),ABS(2-$HF45)*100)),100000+ABS(5-$HE45)*1000+20)),IF($HG45=0,999999,IF(5=$HH45,IF(98=$HN45,IF($JE45=2,30,0),IF(98=$HO45,IF($JE45=1,30,0),ABS(2-$HI45)*100)),100000+ABS(5-$HH45)*1000+20)))-IF((98=$HJ45)+(98=$HK45)+(98=$HL45)+(98=$HM45)+(98=$HN45)+(98=$HO45)&gt;=2,50,0))+CW$5*50)</f>
        <v/>
      </c>
      <c r="CX165">
        <f>IF(OR($JF45=0,calcA!$A$6=0),0,IF(OR(99=$HA45,99=$HD45,99=$HG45),200000,MIN(IF($HA45=0,999999,IF(5=$HB45,IF(99=$HJ45,IF($JC45=2,30,0),IF(99=$HK45,IF($JC45=1,30,0),ABS(3-$HC45)*100)),100000+ABS(5-$HB45)*1000+30)),IF($HD45=0,999999,IF(5=$HE45,IF(99=$HL45,IF($JD45=2,30,0),IF(99=$HM45,IF($JD45=1,30,0),ABS(3-$HF45)*100)),100000+ABS(5-$HE45)*1000+30)),IF($HG45=0,999999,IF(5=$HH45,IF(99=$HN45,IF($JE45=2,30,0),IF(99=$HO45,IF($JE45=1,30,0),ABS(3-$HI45)*100)),100000+ABS(5-$HH45)*1000+30)))-IF((99=$HJ45)+(99=$HK45)+(99=$HL45)+(99=$HM45)+(99=$HN45)+(99=$HO45)&gt;=2,50,0))+CX$5*50)</f>
        <v/>
      </c>
      <c r="CY165">
        <f>IF(OR($JF45=0,calcA!$A$6=0),0,IF(OR(100=$HA45,100=$HD45,100=$HG45),200000,MIN(IF($HA45=0,999999,IF(5=$HB45,IF(100=$HJ45,IF($JC45=2,30,0),IF(100=$HK45,IF($JC45=1,30,0),ABS(4-$HC45)*100)),100000+ABS(5-$HB45)*1000+40)),IF($HD45=0,999999,IF(5=$HE45,IF(100=$HL45,IF($JD45=2,30,0),IF(100=$HM45,IF($JD45=1,30,0),ABS(4-$HF45)*100)),100000+ABS(5-$HE45)*1000+40)),IF($HG45=0,999999,IF(5=$HH45,IF(100=$HN45,IF($JE45=2,30,0),IF(100=$HO45,IF($JE45=1,30,0),ABS(4-$HI45)*100)),100000+ABS(5-$HH45)*1000+40)))-IF((100=$HJ45)+(100=$HK45)+(100=$HL45)+(100=$HM45)+(100=$HN45)+(100=$HO45)&gt;=2,50,0))+CY$5*50)</f>
        <v/>
      </c>
      <c r="CZ165">
        <f>IF(OR($JF45=0,calcA!$A$6=0),0,IF(OR(101=$HA45,101=$HD45,101=$HG45),200000,MIN(IF($HA45=0,999999,IF(5=$HB45,IF(101=$HJ45,IF($JC45=2,30,0),IF(101=$HK45,IF($JC45=1,30,0),ABS(5-$HC45)*100)),100000+ABS(5-$HB45)*1000+50)),IF($HD45=0,999999,IF(5=$HE45,IF(101=$HL45,IF($JD45=2,30,0),IF(101=$HM45,IF($JD45=1,30,0),ABS(5-$HF45)*100)),100000+ABS(5-$HE45)*1000+50)),IF($HG45=0,999999,IF(5=$HH45,IF(101=$HN45,IF($JE45=2,30,0),IF(101=$HO45,IF($JE45=1,30,0),ABS(5-$HI45)*100)),100000+ABS(5-$HH45)*1000+50)))-IF((101=$HJ45)+(101=$HK45)+(101=$HL45)+(101=$HM45)+(101=$HN45)+(101=$HO45)&gt;=2,50,0))+CZ$5*50)</f>
        <v/>
      </c>
      <c r="DA165">
        <f>IF(OR($JF45=0,calcA!$A$6=0),0,IF(OR(102=$HA45,102=$HD45,102=$HG45),200000,MIN(IF($HA45=0,999999,IF(5=$HB45,IF(102=$HJ45,IF($JC45=2,30,0),IF(102=$HK45,IF($JC45=1,30,0),ABS(6-$HC45)*100)),100000+ABS(5-$HB45)*1000+60)),IF($HD45=0,999999,IF(5=$HE45,IF(102=$HL45,IF($JD45=2,30,0),IF(102=$HM45,IF($JD45=1,30,0),ABS(6-$HF45)*100)),100000+ABS(5-$HE45)*1000+60)),IF($HG45=0,999999,IF(5=$HH45,IF(102=$HN45,IF($JE45=2,30,0),IF(102=$HO45,IF($JE45=1,30,0),ABS(6-$HI45)*100)),100000+ABS(5-$HH45)*1000+60)))-IF((102=$HJ45)+(102=$HK45)+(102=$HL45)+(102=$HM45)+(102=$HN45)+(102=$HO45)&gt;=2,50,0))+DA$5*50)</f>
        <v/>
      </c>
      <c r="DB165">
        <f>IF(OR($JF45=0,calcA!$A$6=0),0,IF(OR(103=$HA45,103=$HD45,103=$HG45),200000,MIN(IF($HA45=0,999999,IF(5=$HB45,IF(103=$HJ45,IF($JC45=2,30,0),IF(103=$HK45,IF($JC45=1,30,0),ABS(7-$HC45)*100)),100000+ABS(5-$HB45)*1000+70)),IF($HD45=0,999999,IF(5=$HE45,IF(103=$HL45,IF($JD45=2,30,0),IF(103=$HM45,IF($JD45=1,30,0),ABS(7-$HF45)*100)),100000+ABS(5-$HE45)*1000+70)),IF($HG45=0,999999,IF(5=$HH45,IF(103=$HN45,IF($JE45=2,30,0),IF(103=$HO45,IF($JE45=1,30,0),ABS(7-$HI45)*100)),100000+ABS(5-$HH45)*1000+70)))-IF((103=$HJ45)+(103=$HK45)+(103=$HL45)+(103=$HM45)+(103=$HN45)+(103=$HO45)&gt;=2,50,0))+DB$5*50)</f>
        <v/>
      </c>
      <c r="DC165">
        <f>IF(OR($JF45=0,calcA!$A$6=0),0,IF(OR(104=$HA45,104=$HD45,104=$HG45),200000,MIN(IF($HA45=0,999999,IF(5=$HB45,IF(104=$HJ45,IF($JC45=2,30,0),IF(104=$HK45,IF($JC45=1,30,0),ABS(8-$HC45)*100)),100000+ABS(5-$HB45)*1000+80)),IF($HD45=0,999999,IF(5=$HE45,IF(104=$HL45,IF($JD45=2,30,0),IF(104=$HM45,IF($JD45=1,30,0),ABS(8-$HF45)*100)),100000+ABS(5-$HE45)*1000+80)),IF($HG45=0,999999,IF(5=$HH45,IF(104=$HN45,IF($JE45=2,30,0),IF(104=$HO45,IF($JE45=1,30,0),ABS(8-$HI45)*100)),100000+ABS(5-$HH45)*1000+80)))-IF((104=$HJ45)+(104=$HK45)+(104=$HL45)+(104=$HM45)+(104=$HN45)+(104=$HO45)&gt;=2,50,0))+DC$5*50)</f>
        <v/>
      </c>
      <c r="DD165">
        <f>IF(OR($JF45=0,calcA!$A$6=0),0,IF(OR(105=$HA45,105=$HD45,105=$HG45),200000,MIN(IF($HA45=0,999999,IF(5=$HB45,IF(105=$HJ45,IF($JC45=2,30,0),IF(105=$HK45,IF($JC45=1,30,0),ABS(9-$HC45)*100)),100000+ABS(5-$HB45)*1000+90)),IF($HD45=0,999999,IF(5=$HE45,IF(105=$HL45,IF($JD45=2,30,0),IF(105=$HM45,IF($JD45=1,30,0),ABS(9-$HF45)*100)),100000+ABS(5-$HE45)*1000+90)),IF($HG45=0,999999,IF(5=$HH45,IF(105=$HN45,IF($JE45=2,30,0),IF(105=$HO45,IF($JE45=1,30,0),ABS(9-$HI45)*100)),100000+ABS(5-$HH45)*1000+90)))-IF((105=$HJ45)+(105=$HK45)+(105=$HL45)+(105=$HM45)+(105=$HN45)+(105=$HO45)&gt;=2,50,0))+DD$5*50)</f>
        <v/>
      </c>
      <c r="DE165">
        <f>IF(OR($JF45=0,calcA!$A$6=0),0,IF(OR(106=$HA45,106=$HD45,106=$HG45),200000,MIN(IF($HA45=0,999999,IF(5=$HB45,IF(106=$HJ45,IF($JC45=2,30,0),IF(106=$HK45,IF($JC45=1,30,0),ABS(10-$HC45)*100)),100000+ABS(5-$HB45)*1000+100)),IF($HD45=0,999999,IF(5=$HE45,IF(106=$HL45,IF($JD45=2,30,0),IF(106=$HM45,IF($JD45=1,30,0),ABS(10-$HF45)*100)),100000+ABS(5-$HE45)*1000+100)),IF($HG45=0,999999,IF(5=$HH45,IF(106=$HN45,IF($JE45=2,30,0),IF(106=$HO45,IF($JE45=1,30,0),ABS(10-$HI45)*100)),100000+ABS(5-$HH45)*1000+100)))-IF((106=$HJ45)+(106=$HK45)+(106=$HL45)+(106=$HM45)+(106=$HN45)+(106=$HO45)&gt;=2,50,0))+DE$5*50)</f>
        <v/>
      </c>
      <c r="DF165">
        <f>IF(OR($JF45=0,calcA!$A$6=0),0,IF(OR(107=$HA45,107=$HD45,107=$HG45),200000,MIN(IF($HA45=0,999999,IF(5=$HB45,IF(107=$HJ45,IF($JC45=2,30,0),IF(107=$HK45,IF($JC45=1,30,0),ABS(11-$HC45)*100)),100000+ABS(5-$HB45)*1000+110)),IF($HD45=0,999999,IF(5=$HE45,IF(107=$HL45,IF($JD45=2,30,0),IF(107=$HM45,IF($JD45=1,30,0),ABS(11-$HF45)*100)),100000+ABS(5-$HE45)*1000+110)),IF($HG45=0,999999,IF(5=$HH45,IF(107=$HN45,IF($JE45=2,30,0),IF(107=$HO45,IF($JE45=1,30,0),ABS(11-$HI45)*100)),100000+ABS(5-$HH45)*1000+110)))-IF((107=$HJ45)+(107=$HK45)+(107=$HL45)+(107=$HM45)+(107=$HN45)+(107=$HO45)&gt;=2,50,0))+DF$5*50)</f>
        <v/>
      </c>
      <c r="DG165">
        <f>IF(OR($JF45=0,calcA!$A$6=0),0,IF(OR(108=$HA45,108=$HD45,108=$HG45),200000,MIN(IF($HA45=0,999999,IF(5=$HB45,IF(108=$HJ45,IF($JC45=2,30,0),IF(108=$HK45,IF($JC45=1,30,0),ABS(12-$HC45)*100)),100000+ABS(5-$HB45)*1000+120)),IF($HD45=0,999999,IF(5=$HE45,IF(108=$HL45,IF($JD45=2,30,0),IF(108=$HM45,IF($JD45=1,30,0),ABS(12-$HF45)*100)),100000+ABS(5-$HE45)*1000+120)),IF($HG45=0,999999,IF(5=$HH45,IF(108=$HN45,IF($JE45=2,30,0),IF(108=$HO45,IF($JE45=1,30,0),ABS(12-$HI45)*100)),100000+ABS(5-$HH45)*1000+120)))-IF((108=$HJ45)+(108=$HK45)+(108=$HL45)+(108=$HM45)+(108=$HN45)+(108=$HO45)&gt;=2,50,0))+DG$5*50)</f>
        <v/>
      </c>
      <c r="DH165">
        <f>IF(OR($JF45=0,calcA!$A$6=0),0,IF(OR(109=$HA45,109=$HD45,109=$HG45),200000,MIN(IF($HA45=0,999999,IF(5=$HB45,IF(109=$HJ45,IF($JC45=2,30,0),IF(109=$HK45,IF($JC45=1,30,0),ABS(13-$HC45)*100)),100000+ABS(5-$HB45)*1000+130)),IF($HD45=0,999999,IF(5=$HE45,IF(109=$HL45,IF($JD45=2,30,0),IF(109=$HM45,IF($JD45=1,30,0),ABS(13-$HF45)*100)),100000+ABS(5-$HE45)*1000+130)),IF($HG45=0,999999,IF(5=$HH45,IF(109=$HN45,IF($JE45=2,30,0),IF(109=$HO45,IF($JE45=1,30,0),ABS(13-$HI45)*100)),100000+ABS(5-$HH45)*1000+130)))-IF((109=$HJ45)+(109=$HK45)+(109=$HL45)+(109=$HM45)+(109=$HN45)+(109=$HO45)&gt;=2,50,0))+DH$5*50)</f>
        <v/>
      </c>
      <c r="DI165">
        <f>IF(OR($JF45=0,calcA!$A$6=0),0,IF(OR(110=$HA45,110=$HD45,110=$HG45),200000,MIN(IF($HA45=0,999999,IF(5=$HB45,IF(110=$HJ45,IF($JC45=2,30,0),IF(110=$HK45,IF($JC45=1,30,0),ABS(14-$HC45)*100)),100000+ABS(5-$HB45)*1000+140)),IF($HD45=0,999999,IF(5=$HE45,IF(110=$HL45,IF($JD45=2,30,0),IF(110=$HM45,IF($JD45=1,30,0),ABS(14-$HF45)*100)),100000+ABS(5-$HE45)*1000+140)),IF($HG45=0,999999,IF(5=$HH45,IF(110=$HN45,IF($JE45=2,30,0),IF(110=$HO45,IF($JE45=1,30,0),ABS(14-$HI45)*100)),100000+ABS(5-$HH45)*1000+140)))-IF((110=$HJ45)+(110=$HK45)+(110=$HL45)+(110=$HM45)+(110=$HN45)+(110=$HO45)&gt;=2,50,0))+DI$5*50)</f>
        <v/>
      </c>
      <c r="DJ165">
        <f>IF(OR($JF45=0,calcA!$A$6=0),0,IF(OR(111=$HA45,111=$HD45,111=$HG45),200000,MIN(IF($HA45=0,999999,IF(5=$HB45,IF(111=$HJ45,IF($JC45=2,30,0),IF(111=$HK45,IF($JC45=1,30,0),ABS(15-$HC45)*100)),100000+ABS(5-$HB45)*1000+150)),IF($HD45=0,999999,IF(5=$HE45,IF(111=$HL45,IF($JD45=2,30,0),IF(111=$HM45,IF($JD45=1,30,0),ABS(15-$HF45)*100)),100000+ABS(5-$HE45)*1000+150)),IF($HG45=0,999999,IF(5=$HH45,IF(111=$HN45,IF($JE45=2,30,0),IF(111=$HO45,IF($JE45=1,30,0),ABS(15-$HI45)*100)),100000+ABS(5-$HH45)*1000+150)))-IF((111=$HJ45)+(111=$HK45)+(111=$HL45)+(111=$HM45)+(111=$HN45)+(111=$HO45)&gt;=2,50,0))+DJ$5*50)</f>
        <v/>
      </c>
      <c r="DK165">
        <f>IF(OR($JF45=0,calcA!$A$6=0),0,IF(OR(112=$HA45,112=$HD45,112=$HG45),200000,MIN(IF($HA45=0,999999,IF(5=$HB45,IF(112=$HJ45,IF($JC45=2,30,0),IF(112=$HK45,IF($JC45=1,30,0),ABS(16-$HC45)*100)),100000+ABS(5-$HB45)*1000+160)),IF($HD45=0,999999,IF(5=$HE45,IF(112=$HL45,IF($JD45=2,30,0),IF(112=$HM45,IF($JD45=1,30,0),ABS(16-$HF45)*100)),100000+ABS(5-$HE45)*1000+160)),IF($HG45=0,999999,IF(5=$HH45,IF(112=$HN45,IF($JE45=2,30,0),IF(112=$HO45,IF($JE45=1,30,0),ABS(16-$HI45)*100)),100000+ABS(5-$HH45)*1000+160)))-IF((112=$HJ45)+(112=$HK45)+(112=$HL45)+(112=$HM45)+(112=$HN45)+(112=$HO45)&gt;=2,50,0))+DK$5*50)</f>
        <v/>
      </c>
      <c r="DL165">
        <f>IF(OR($JF45=0,calcA!$A$6=0),0,IF(OR(113=$HA45,113=$HD45,113=$HG45),200000,MIN(IF($HA45=0,999999,IF(5=$HB45,IF(113=$HJ45,IF($JC45=2,30,0),IF(113=$HK45,IF($JC45=1,30,0),ABS(17-$HC45)*100)),100000+ABS(5-$HB45)*1000+170)),IF($HD45=0,999999,IF(5=$HE45,IF(113=$HL45,IF($JD45=2,30,0),IF(113=$HM45,IF($JD45=1,30,0),ABS(17-$HF45)*100)),100000+ABS(5-$HE45)*1000+170)),IF($HG45=0,999999,IF(5=$HH45,IF(113=$HN45,IF($JE45=2,30,0),IF(113=$HO45,IF($JE45=1,30,0),ABS(17-$HI45)*100)),100000+ABS(5-$HH45)*1000+170)))-IF((113=$HJ45)+(113=$HK45)+(113=$HL45)+(113=$HM45)+(113=$HN45)+(113=$HO45)&gt;=2,50,0))+DL$5*50)</f>
        <v/>
      </c>
      <c r="DM165">
        <f>IF(OR($JF45=0,calcA!$A$6=0),0,IF(OR(114=$HA45,114=$HD45,114=$HG45),200000,MIN(IF($HA45=0,999999,IF(5=$HB45,IF(114=$HJ45,IF($JC45=2,30,0),IF(114=$HK45,IF($JC45=1,30,0),ABS(18-$HC45)*100)),100000+ABS(5-$HB45)*1000+180)),IF($HD45=0,999999,IF(5=$HE45,IF(114=$HL45,IF($JD45=2,30,0),IF(114=$HM45,IF($JD45=1,30,0),ABS(18-$HF45)*100)),100000+ABS(5-$HE45)*1000+180)),IF($HG45=0,999999,IF(5=$HH45,IF(114=$HN45,IF($JE45=2,30,0),IF(114=$HO45,IF($JE45=1,30,0),ABS(18-$HI45)*100)),100000+ABS(5-$HH45)*1000+180)))-IF((114=$HJ45)+(114=$HK45)+(114=$HL45)+(114=$HM45)+(114=$HN45)+(114=$HO45)&gt;=2,50,0))+DM$5*50)</f>
        <v/>
      </c>
      <c r="DN165">
        <f>IF(OR($JF45=0,calcA!$A$6=0),0,IF(OR(115=$HA45,115=$HD45,115=$HG45),200000,MIN(IF($HA45=0,999999,IF(5=$HB45,IF(115=$HJ45,IF($JC45=2,30,0),IF(115=$HK45,IF($JC45=1,30,0),ABS(19-$HC45)*100)),100000+ABS(5-$HB45)*1000+190)),IF($HD45=0,999999,IF(5=$HE45,IF(115=$HL45,IF($JD45=2,30,0),IF(115=$HM45,IF($JD45=1,30,0),ABS(19-$HF45)*100)),100000+ABS(5-$HE45)*1000+190)),IF($HG45=0,999999,IF(5=$HH45,IF(115=$HN45,IF($JE45=2,30,0),IF(115=$HO45,IF($JE45=1,30,0),ABS(19-$HI45)*100)),100000+ABS(5-$HH45)*1000+190)))-IF((115=$HJ45)+(115=$HK45)+(115=$HL45)+(115=$HM45)+(115=$HN45)+(115=$HO45)&gt;=2,50,0))+DN$5*50)</f>
        <v/>
      </c>
      <c r="DO165">
        <f>IF(OR($JF45=0,calcA!$A$6=0),0,IF(OR(116=$HA45,116=$HD45,116=$HG45),200000,MIN(IF($HA45=0,999999,IF(5=$HB45,IF(116=$HJ45,IF($JC45=2,30,0),IF(116=$HK45,IF($JC45=1,30,0),ABS(20-$HC45)*100)),100000+ABS(5-$HB45)*1000+200)),IF($HD45=0,999999,IF(5=$HE45,IF(116=$HL45,IF($JD45=2,30,0),IF(116=$HM45,IF($JD45=1,30,0),ABS(20-$HF45)*100)),100000+ABS(5-$HE45)*1000+200)),IF($HG45=0,999999,IF(5=$HH45,IF(116=$HN45,IF($JE45=2,30,0),IF(116=$HO45,IF($JE45=1,30,0),ABS(20-$HI45)*100)),100000+ABS(5-$HH45)*1000+200)))-IF((116=$HJ45)+(116=$HK45)+(116=$HL45)+(116=$HM45)+(116=$HN45)+(116=$HO45)&gt;=2,50,0))+DO$5*50)</f>
        <v/>
      </c>
      <c r="DP165">
        <f>IF(OR($JF45=0,calcA!$A$6=0),0,IF(OR(117=$HA45,117=$HD45,117=$HG45),200000,MIN(IF($HA45=0,999999,IF(5=$HB45,IF(117=$HJ45,IF($JC45=2,30,0),IF(117=$HK45,IF($JC45=1,30,0),ABS(21-$HC45)*100)),100000+ABS(5-$HB45)*1000+210)),IF($HD45=0,999999,IF(5=$HE45,IF(117=$HL45,IF($JD45=2,30,0),IF(117=$HM45,IF($JD45=1,30,0),ABS(21-$HF45)*100)),100000+ABS(5-$HE45)*1000+210)),IF($HG45=0,999999,IF(5=$HH45,IF(117=$HN45,IF($JE45=2,30,0),IF(117=$HO45,IF($JE45=1,30,0),ABS(21-$HI45)*100)),100000+ABS(5-$HH45)*1000+210)))-IF((117=$HJ45)+(117=$HK45)+(117=$HL45)+(117=$HM45)+(117=$HN45)+(117=$HO45)&gt;=2,50,0))+DP$5*50)</f>
        <v/>
      </c>
      <c r="DQ165">
        <f>IF(OR($JF45=0,calcA!$A$6=0),0,IF(OR(118=$HA45,118=$HD45,118=$HG45),200000,MIN(IF($HA45=0,999999,IF(5=$HB45,IF(118=$HJ45,IF($JC45=2,30,0),IF(118=$HK45,IF($JC45=1,30,0),ABS(22-$HC45)*100)),100000+ABS(5-$HB45)*1000+220)),IF($HD45=0,999999,IF(5=$HE45,IF(118=$HL45,IF($JD45=2,30,0),IF(118=$HM45,IF($JD45=1,30,0),ABS(22-$HF45)*100)),100000+ABS(5-$HE45)*1000+220)),IF($HG45=0,999999,IF(5=$HH45,IF(118=$HN45,IF($JE45=2,30,0),IF(118=$HO45,IF($JE45=1,30,0),ABS(22-$HI45)*100)),100000+ABS(5-$HH45)*1000+220)))-IF((118=$HJ45)+(118=$HK45)+(118=$HL45)+(118=$HM45)+(118=$HN45)+(118=$HO45)&gt;=2,50,0))+DQ$5*50)</f>
        <v/>
      </c>
      <c r="DR165">
        <f>IF(OR($JF45=0,calcA!$A$6=0),0,IF(OR(119=$HA45,119=$HD45,119=$HG45),200000,MIN(IF($HA45=0,999999,IF(5=$HB45,IF(119=$HJ45,IF($JC45=2,30,0),IF(119=$HK45,IF($JC45=1,30,0),ABS(23-$HC45)*100)),100000+ABS(5-$HB45)*1000+230)),IF($HD45=0,999999,IF(5=$HE45,IF(119=$HL45,IF($JD45=2,30,0),IF(119=$HM45,IF($JD45=1,30,0),ABS(23-$HF45)*100)),100000+ABS(5-$HE45)*1000+230)),IF($HG45=0,999999,IF(5=$HH45,IF(119=$HN45,IF($JE45=2,30,0),IF(119=$HO45,IF($JE45=1,30,0),ABS(23-$HI45)*100)),100000+ABS(5-$HH45)*1000+230)))-IF((119=$HJ45)+(119=$HK45)+(119=$HL45)+(119=$HM45)+(119=$HN45)+(119=$HO45)&gt;=2,50,0))+DR$5*50)</f>
        <v/>
      </c>
      <c r="DS165">
        <f>IF(OR($JF45=0,calcA!$A$6=0),0,IF(OR(120=$HA45,120=$HD45,120=$HG45),200000,MIN(IF($HA45=0,999999,IF(5=$HB45,IF(120=$HJ45,IF($JC45=2,30,0),IF(120=$HK45,IF($JC45=1,30,0),ABS(24-$HC45)*100)),100000+ABS(5-$HB45)*1000+240)),IF($HD45=0,999999,IF(5=$HE45,IF(120=$HL45,IF($JD45=2,30,0),IF(120=$HM45,IF($JD45=1,30,0),ABS(24-$HF45)*100)),100000+ABS(5-$HE45)*1000+240)),IF($HG45=0,999999,IF(5=$HH45,IF(120=$HN45,IF($JE45=2,30,0),IF(120=$HO45,IF($JE45=1,30,0),ABS(24-$HI45)*100)),100000+ABS(5-$HH45)*1000+240)))-IF((120=$HJ45)+(120=$HK45)+(120=$HL45)+(120=$HM45)+(120=$HN45)+(120=$HO45)&gt;=2,50,0))+DS$5*50)</f>
        <v/>
      </c>
      <c r="DT165">
        <f>IF(OR($JF45=0,calcA!$A$6=0),0,IF(OR(121=$HA45,121=$HD45,121=$HG45),200000,MIN(IF($HA45=0,999999,IF(6=$HB45,IF(121=$HJ45,IF($JC45=2,30,0),IF(121=$HK45,IF($JC45=1,30,0),ABS(1-$HC45)*100)),100000+ABS(6-$HB45)*1000+10)),IF($HD45=0,999999,IF(6=$HE45,IF(121=$HL45,IF($JD45=2,30,0),IF(121=$HM45,IF($JD45=1,30,0),ABS(1-$HF45)*100)),100000+ABS(6-$HE45)*1000+10)),IF($HG45=0,999999,IF(6=$HH45,IF(121=$HN45,IF($JE45=2,30,0),IF(121=$HO45,IF($JE45=1,30,0),ABS(1-$HI45)*100)),100000+ABS(6-$HH45)*1000+10)))-IF((121=$HJ45)+(121=$HK45)+(121=$HL45)+(121=$HM45)+(121=$HN45)+(121=$HO45)&gt;=2,50,0))+DT$5*50)</f>
        <v/>
      </c>
      <c r="DU165">
        <f>IF(OR($JF45=0,calcA!$A$6=0),0,IF(OR(122=$HA45,122=$HD45,122=$HG45),200000,MIN(IF($HA45=0,999999,IF(6=$HB45,IF(122=$HJ45,IF($JC45=2,30,0),IF(122=$HK45,IF($JC45=1,30,0),ABS(2-$HC45)*100)),100000+ABS(6-$HB45)*1000+20)),IF($HD45=0,999999,IF(6=$HE45,IF(122=$HL45,IF($JD45=2,30,0),IF(122=$HM45,IF($JD45=1,30,0),ABS(2-$HF45)*100)),100000+ABS(6-$HE45)*1000+20)),IF($HG45=0,999999,IF(6=$HH45,IF(122=$HN45,IF($JE45=2,30,0),IF(122=$HO45,IF($JE45=1,30,0),ABS(2-$HI45)*100)),100000+ABS(6-$HH45)*1000+20)))-IF((122=$HJ45)+(122=$HK45)+(122=$HL45)+(122=$HM45)+(122=$HN45)+(122=$HO45)&gt;=2,50,0))+DU$5*50)</f>
        <v/>
      </c>
      <c r="DV165">
        <f>IF(OR($JF45=0,calcA!$A$6=0),0,IF(OR(123=$HA45,123=$HD45,123=$HG45),200000,MIN(IF($HA45=0,999999,IF(6=$HB45,IF(123=$HJ45,IF($JC45=2,30,0),IF(123=$HK45,IF($JC45=1,30,0),ABS(3-$HC45)*100)),100000+ABS(6-$HB45)*1000+30)),IF($HD45=0,999999,IF(6=$HE45,IF(123=$HL45,IF($JD45=2,30,0),IF(123=$HM45,IF($JD45=1,30,0),ABS(3-$HF45)*100)),100000+ABS(6-$HE45)*1000+30)),IF($HG45=0,999999,IF(6=$HH45,IF(123=$HN45,IF($JE45=2,30,0),IF(123=$HO45,IF($JE45=1,30,0),ABS(3-$HI45)*100)),100000+ABS(6-$HH45)*1000+30)))-IF((123=$HJ45)+(123=$HK45)+(123=$HL45)+(123=$HM45)+(123=$HN45)+(123=$HO45)&gt;=2,50,0))+DV$5*50)</f>
        <v/>
      </c>
      <c r="DW165">
        <f>IF(OR($JF45=0,calcA!$A$6=0),0,IF(OR(124=$HA45,124=$HD45,124=$HG45),200000,MIN(IF($HA45=0,999999,IF(6=$HB45,IF(124=$HJ45,IF($JC45=2,30,0),IF(124=$HK45,IF($JC45=1,30,0),ABS(4-$HC45)*100)),100000+ABS(6-$HB45)*1000+40)),IF($HD45=0,999999,IF(6=$HE45,IF(124=$HL45,IF($JD45=2,30,0),IF(124=$HM45,IF($JD45=1,30,0),ABS(4-$HF45)*100)),100000+ABS(6-$HE45)*1000+40)),IF($HG45=0,999999,IF(6=$HH45,IF(124=$HN45,IF($JE45=2,30,0),IF(124=$HO45,IF($JE45=1,30,0),ABS(4-$HI45)*100)),100000+ABS(6-$HH45)*1000+40)))-IF((124=$HJ45)+(124=$HK45)+(124=$HL45)+(124=$HM45)+(124=$HN45)+(124=$HO45)&gt;=2,50,0))+DW$5*50)</f>
        <v/>
      </c>
      <c r="DX165">
        <f>IF(OR($JF45=0,calcA!$A$6=0),0,IF(OR(125=$HA45,125=$HD45,125=$HG45),200000,MIN(IF($HA45=0,999999,IF(6=$HB45,IF(125=$HJ45,IF($JC45=2,30,0),IF(125=$HK45,IF($JC45=1,30,0),ABS(5-$HC45)*100)),100000+ABS(6-$HB45)*1000+50)),IF($HD45=0,999999,IF(6=$HE45,IF(125=$HL45,IF($JD45=2,30,0),IF(125=$HM45,IF($JD45=1,30,0),ABS(5-$HF45)*100)),100000+ABS(6-$HE45)*1000+50)),IF($HG45=0,999999,IF(6=$HH45,IF(125=$HN45,IF($JE45=2,30,0),IF(125=$HO45,IF($JE45=1,30,0),ABS(5-$HI45)*100)),100000+ABS(6-$HH45)*1000+50)))-IF((125=$HJ45)+(125=$HK45)+(125=$HL45)+(125=$HM45)+(125=$HN45)+(125=$HO45)&gt;=2,50,0))+DX$5*50)</f>
        <v/>
      </c>
      <c r="DY165">
        <f>IF(OR($JF45=0,calcA!$A$6=0),0,IF(OR(126=$HA45,126=$HD45,126=$HG45),200000,MIN(IF($HA45=0,999999,IF(6=$HB45,IF(126=$HJ45,IF($JC45=2,30,0),IF(126=$HK45,IF($JC45=1,30,0),ABS(6-$HC45)*100)),100000+ABS(6-$HB45)*1000+60)),IF($HD45=0,999999,IF(6=$HE45,IF(126=$HL45,IF($JD45=2,30,0),IF(126=$HM45,IF($JD45=1,30,0),ABS(6-$HF45)*100)),100000+ABS(6-$HE45)*1000+60)),IF($HG45=0,999999,IF(6=$HH45,IF(126=$HN45,IF($JE45=2,30,0),IF(126=$HO45,IF($JE45=1,30,0),ABS(6-$HI45)*100)),100000+ABS(6-$HH45)*1000+60)))-IF((126=$HJ45)+(126=$HK45)+(126=$HL45)+(126=$HM45)+(126=$HN45)+(126=$HO45)&gt;=2,50,0))+DY$5*50)</f>
        <v/>
      </c>
      <c r="DZ165">
        <f>IF(OR($JF45=0,calcA!$A$6=0),0,IF(OR(127=$HA45,127=$HD45,127=$HG45),200000,MIN(IF($HA45=0,999999,IF(6=$HB45,IF(127=$HJ45,IF($JC45=2,30,0),IF(127=$HK45,IF($JC45=1,30,0),ABS(7-$HC45)*100)),100000+ABS(6-$HB45)*1000+70)),IF($HD45=0,999999,IF(6=$HE45,IF(127=$HL45,IF($JD45=2,30,0),IF(127=$HM45,IF($JD45=1,30,0),ABS(7-$HF45)*100)),100000+ABS(6-$HE45)*1000+70)),IF($HG45=0,999999,IF(6=$HH45,IF(127=$HN45,IF($JE45=2,30,0),IF(127=$HO45,IF($JE45=1,30,0),ABS(7-$HI45)*100)),100000+ABS(6-$HH45)*1000+70)))-IF((127=$HJ45)+(127=$HK45)+(127=$HL45)+(127=$HM45)+(127=$HN45)+(127=$HO45)&gt;=2,50,0))+DZ$5*50)</f>
        <v/>
      </c>
      <c r="EA165">
        <f>IF(OR($JF45=0,calcA!$A$6=0),0,IF(OR(128=$HA45,128=$HD45,128=$HG45),200000,MIN(IF($HA45=0,999999,IF(6=$HB45,IF(128=$HJ45,IF($JC45=2,30,0),IF(128=$HK45,IF($JC45=1,30,0),ABS(8-$HC45)*100)),100000+ABS(6-$HB45)*1000+80)),IF($HD45=0,999999,IF(6=$HE45,IF(128=$HL45,IF($JD45=2,30,0),IF(128=$HM45,IF($JD45=1,30,0),ABS(8-$HF45)*100)),100000+ABS(6-$HE45)*1000+80)),IF($HG45=0,999999,IF(6=$HH45,IF(128=$HN45,IF($JE45=2,30,0),IF(128=$HO45,IF($JE45=1,30,0),ABS(8-$HI45)*100)),100000+ABS(6-$HH45)*1000+80)))-IF((128=$HJ45)+(128=$HK45)+(128=$HL45)+(128=$HM45)+(128=$HN45)+(128=$HO45)&gt;=2,50,0))+EA$5*50)</f>
        <v/>
      </c>
      <c r="EB165">
        <f>IF(OR($JF45=0,calcA!$A$6=0),0,IF(OR(129=$HA45,129=$HD45,129=$HG45),200000,MIN(IF($HA45=0,999999,IF(6=$HB45,IF(129=$HJ45,IF($JC45=2,30,0),IF(129=$HK45,IF($JC45=1,30,0),ABS(9-$HC45)*100)),100000+ABS(6-$HB45)*1000+90)),IF($HD45=0,999999,IF(6=$HE45,IF(129=$HL45,IF($JD45=2,30,0),IF(129=$HM45,IF($JD45=1,30,0),ABS(9-$HF45)*100)),100000+ABS(6-$HE45)*1000+90)),IF($HG45=0,999999,IF(6=$HH45,IF(129=$HN45,IF($JE45=2,30,0),IF(129=$HO45,IF($JE45=1,30,0),ABS(9-$HI45)*100)),100000+ABS(6-$HH45)*1000+90)))-IF((129=$HJ45)+(129=$HK45)+(129=$HL45)+(129=$HM45)+(129=$HN45)+(129=$HO45)&gt;=2,50,0))+EB$5*50)</f>
        <v/>
      </c>
      <c r="EC165">
        <f>IF(OR($JF45=0,calcA!$A$6=0),0,IF(OR(130=$HA45,130=$HD45,130=$HG45),200000,MIN(IF($HA45=0,999999,IF(6=$HB45,IF(130=$HJ45,IF($JC45=2,30,0),IF(130=$HK45,IF($JC45=1,30,0),ABS(10-$HC45)*100)),100000+ABS(6-$HB45)*1000+100)),IF($HD45=0,999999,IF(6=$HE45,IF(130=$HL45,IF($JD45=2,30,0),IF(130=$HM45,IF($JD45=1,30,0),ABS(10-$HF45)*100)),100000+ABS(6-$HE45)*1000+100)),IF($HG45=0,999999,IF(6=$HH45,IF(130=$HN45,IF($JE45=2,30,0),IF(130=$HO45,IF($JE45=1,30,0),ABS(10-$HI45)*100)),100000+ABS(6-$HH45)*1000+100)))-IF((130=$HJ45)+(130=$HK45)+(130=$HL45)+(130=$HM45)+(130=$HN45)+(130=$HO45)&gt;=2,50,0))+EC$5*50)</f>
        <v/>
      </c>
      <c r="ED165">
        <f>IF(OR($JF45=0,calcA!$A$6=0),0,IF(OR(131=$HA45,131=$HD45,131=$HG45),200000,MIN(IF($HA45=0,999999,IF(6=$HB45,IF(131=$HJ45,IF($JC45=2,30,0),IF(131=$HK45,IF($JC45=1,30,0),ABS(11-$HC45)*100)),100000+ABS(6-$HB45)*1000+110)),IF($HD45=0,999999,IF(6=$HE45,IF(131=$HL45,IF($JD45=2,30,0),IF(131=$HM45,IF($JD45=1,30,0),ABS(11-$HF45)*100)),100000+ABS(6-$HE45)*1000+110)),IF($HG45=0,999999,IF(6=$HH45,IF(131=$HN45,IF($JE45=2,30,0),IF(131=$HO45,IF($JE45=1,30,0),ABS(11-$HI45)*100)),100000+ABS(6-$HH45)*1000+110)))-IF((131=$HJ45)+(131=$HK45)+(131=$HL45)+(131=$HM45)+(131=$HN45)+(131=$HO45)&gt;=2,50,0))+ED$5*50)</f>
        <v/>
      </c>
      <c r="EE165">
        <f>IF(OR($JF45=0,calcA!$A$6=0),0,IF(OR(132=$HA45,132=$HD45,132=$HG45),200000,MIN(IF($HA45=0,999999,IF(6=$HB45,IF(132=$HJ45,IF($JC45=2,30,0),IF(132=$HK45,IF($JC45=1,30,0),ABS(12-$HC45)*100)),100000+ABS(6-$HB45)*1000+120)),IF($HD45=0,999999,IF(6=$HE45,IF(132=$HL45,IF($JD45=2,30,0),IF(132=$HM45,IF($JD45=1,30,0),ABS(12-$HF45)*100)),100000+ABS(6-$HE45)*1000+120)),IF($HG45=0,999999,IF(6=$HH45,IF(132=$HN45,IF($JE45=2,30,0),IF(132=$HO45,IF($JE45=1,30,0),ABS(12-$HI45)*100)),100000+ABS(6-$HH45)*1000+120)))-IF((132=$HJ45)+(132=$HK45)+(132=$HL45)+(132=$HM45)+(132=$HN45)+(132=$HO45)&gt;=2,50,0))+EE$5*50)</f>
        <v/>
      </c>
      <c r="EF165">
        <f>IF(OR($JF45=0,calcA!$A$6=0),0,IF(OR(133=$HA45,133=$HD45,133=$HG45),200000,MIN(IF($HA45=0,999999,IF(6=$HB45,IF(133=$HJ45,IF($JC45=2,30,0),IF(133=$HK45,IF($JC45=1,30,0),ABS(13-$HC45)*100)),100000+ABS(6-$HB45)*1000+130)),IF($HD45=0,999999,IF(6=$HE45,IF(133=$HL45,IF($JD45=2,30,0),IF(133=$HM45,IF($JD45=1,30,0),ABS(13-$HF45)*100)),100000+ABS(6-$HE45)*1000+130)),IF($HG45=0,999999,IF(6=$HH45,IF(133=$HN45,IF($JE45=2,30,0),IF(133=$HO45,IF($JE45=1,30,0),ABS(13-$HI45)*100)),100000+ABS(6-$HH45)*1000+130)))-IF((133=$HJ45)+(133=$HK45)+(133=$HL45)+(133=$HM45)+(133=$HN45)+(133=$HO45)&gt;=2,50,0))+EF$5*50)</f>
        <v/>
      </c>
      <c r="EG165">
        <f>IF(OR($JF45=0,calcA!$A$6=0),0,IF(OR(134=$HA45,134=$HD45,134=$HG45),200000,MIN(IF($HA45=0,999999,IF(6=$HB45,IF(134=$HJ45,IF($JC45=2,30,0),IF(134=$HK45,IF($JC45=1,30,0),ABS(14-$HC45)*100)),100000+ABS(6-$HB45)*1000+140)),IF($HD45=0,999999,IF(6=$HE45,IF(134=$HL45,IF($JD45=2,30,0),IF(134=$HM45,IF($JD45=1,30,0),ABS(14-$HF45)*100)),100000+ABS(6-$HE45)*1000+140)),IF($HG45=0,999999,IF(6=$HH45,IF(134=$HN45,IF($JE45=2,30,0),IF(134=$HO45,IF($JE45=1,30,0),ABS(14-$HI45)*100)),100000+ABS(6-$HH45)*1000+140)))-IF((134=$HJ45)+(134=$HK45)+(134=$HL45)+(134=$HM45)+(134=$HN45)+(134=$HO45)&gt;=2,50,0))+EG$5*50)</f>
        <v/>
      </c>
      <c r="EH165">
        <f>IF(OR($JF45=0,calcA!$A$6=0),0,IF(OR(135=$HA45,135=$HD45,135=$HG45),200000,MIN(IF($HA45=0,999999,IF(6=$HB45,IF(135=$HJ45,IF($JC45=2,30,0),IF(135=$HK45,IF($JC45=1,30,0),ABS(15-$HC45)*100)),100000+ABS(6-$HB45)*1000+150)),IF($HD45=0,999999,IF(6=$HE45,IF(135=$HL45,IF($JD45=2,30,0),IF(135=$HM45,IF($JD45=1,30,0),ABS(15-$HF45)*100)),100000+ABS(6-$HE45)*1000+150)),IF($HG45=0,999999,IF(6=$HH45,IF(135=$HN45,IF($JE45=2,30,0),IF(135=$HO45,IF($JE45=1,30,0),ABS(15-$HI45)*100)),100000+ABS(6-$HH45)*1000+150)))-IF((135=$HJ45)+(135=$HK45)+(135=$HL45)+(135=$HM45)+(135=$HN45)+(135=$HO45)&gt;=2,50,0))+EH$5*50)</f>
        <v/>
      </c>
      <c r="EI165">
        <f>IF(OR($JF45=0,calcA!$A$6=0),0,IF(OR(136=$HA45,136=$HD45,136=$HG45),200000,MIN(IF($HA45=0,999999,IF(6=$HB45,IF(136=$HJ45,IF($JC45=2,30,0),IF(136=$HK45,IF($JC45=1,30,0),ABS(16-$HC45)*100)),100000+ABS(6-$HB45)*1000+160)),IF($HD45=0,999999,IF(6=$HE45,IF(136=$HL45,IF($JD45=2,30,0),IF(136=$HM45,IF($JD45=1,30,0),ABS(16-$HF45)*100)),100000+ABS(6-$HE45)*1000+160)),IF($HG45=0,999999,IF(6=$HH45,IF(136=$HN45,IF($JE45=2,30,0),IF(136=$HO45,IF($JE45=1,30,0),ABS(16-$HI45)*100)),100000+ABS(6-$HH45)*1000+160)))-IF((136=$HJ45)+(136=$HK45)+(136=$HL45)+(136=$HM45)+(136=$HN45)+(136=$HO45)&gt;=2,50,0))+EI$5*50)</f>
        <v/>
      </c>
      <c r="EJ165">
        <f>IF(OR($JF45=0,calcA!$A$6=0),0,IF(OR(137=$HA45,137=$HD45,137=$HG45),200000,MIN(IF($HA45=0,999999,IF(6=$HB45,IF(137=$HJ45,IF($JC45=2,30,0),IF(137=$HK45,IF($JC45=1,30,0),ABS(17-$HC45)*100)),100000+ABS(6-$HB45)*1000+170)),IF($HD45=0,999999,IF(6=$HE45,IF(137=$HL45,IF($JD45=2,30,0),IF(137=$HM45,IF($JD45=1,30,0),ABS(17-$HF45)*100)),100000+ABS(6-$HE45)*1000+170)),IF($HG45=0,999999,IF(6=$HH45,IF(137=$HN45,IF($JE45=2,30,0),IF(137=$HO45,IF($JE45=1,30,0),ABS(17-$HI45)*100)),100000+ABS(6-$HH45)*1000+170)))-IF((137=$HJ45)+(137=$HK45)+(137=$HL45)+(137=$HM45)+(137=$HN45)+(137=$HO45)&gt;=2,50,0))+EJ$5*50)</f>
        <v/>
      </c>
      <c r="EK165">
        <f>IF(OR($JF45=0,calcA!$A$6=0),0,IF(OR(138=$HA45,138=$HD45,138=$HG45),200000,MIN(IF($HA45=0,999999,IF(6=$HB45,IF(138=$HJ45,IF($JC45=2,30,0),IF(138=$HK45,IF($JC45=1,30,0),ABS(18-$HC45)*100)),100000+ABS(6-$HB45)*1000+180)),IF($HD45=0,999999,IF(6=$HE45,IF(138=$HL45,IF($JD45=2,30,0),IF(138=$HM45,IF($JD45=1,30,0),ABS(18-$HF45)*100)),100000+ABS(6-$HE45)*1000+180)),IF($HG45=0,999999,IF(6=$HH45,IF(138=$HN45,IF($JE45=2,30,0),IF(138=$HO45,IF($JE45=1,30,0),ABS(18-$HI45)*100)),100000+ABS(6-$HH45)*1000+180)))-IF((138=$HJ45)+(138=$HK45)+(138=$HL45)+(138=$HM45)+(138=$HN45)+(138=$HO45)&gt;=2,50,0))+EK$5*50)</f>
        <v/>
      </c>
      <c r="EL165">
        <f>IF(OR($JF45=0,calcA!$A$6=0),0,IF(OR(139=$HA45,139=$HD45,139=$HG45),200000,MIN(IF($HA45=0,999999,IF(6=$HB45,IF(139=$HJ45,IF($JC45=2,30,0),IF(139=$HK45,IF($JC45=1,30,0),ABS(19-$HC45)*100)),100000+ABS(6-$HB45)*1000+190)),IF($HD45=0,999999,IF(6=$HE45,IF(139=$HL45,IF($JD45=2,30,0),IF(139=$HM45,IF($JD45=1,30,0),ABS(19-$HF45)*100)),100000+ABS(6-$HE45)*1000+190)),IF($HG45=0,999999,IF(6=$HH45,IF(139=$HN45,IF($JE45=2,30,0),IF(139=$HO45,IF($JE45=1,30,0),ABS(19-$HI45)*100)),100000+ABS(6-$HH45)*1000+190)))-IF((139=$HJ45)+(139=$HK45)+(139=$HL45)+(139=$HM45)+(139=$HN45)+(139=$HO45)&gt;=2,50,0))+EL$5*50)</f>
        <v/>
      </c>
      <c r="EM165">
        <f>IF(OR($JF45=0,calcA!$A$6=0),0,IF(OR(140=$HA45,140=$HD45,140=$HG45),200000,MIN(IF($HA45=0,999999,IF(6=$HB45,IF(140=$HJ45,IF($JC45=2,30,0),IF(140=$HK45,IF($JC45=1,30,0),ABS(20-$HC45)*100)),100000+ABS(6-$HB45)*1000+200)),IF($HD45=0,999999,IF(6=$HE45,IF(140=$HL45,IF($JD45=2,30,0),IF(140=$HM45,IF($JD45=1,30,0),ABS(20-$HF45)*100)),100000+ABS(6-$HE45)*1000+200)),IF($HG45=0,999999,IF(6=$HH45,IF(140=$HN45,IF($JE45=2,30,0),IF(140=$HO45,IF($JE45=1,30,0),ABS(20-$HI45)*100)),100000+ABS(6-$HH45)*1000+200)))-IF((140=$HJ45)+(140=$HK45)+(140=$HL45)+(140=$HM45)+(140=$HN45)+(140=$HO45)&gt;=2,50,0))+EM$5*50)</f>
        <v/>
      </c>
      <c r="EN165">
        <f>IF(OR($JF45=0,calcA!$A$6=0),0,IF(OR(141=$HA45,141=$HD45,141=$HG45),200000,MIN(IF($HA45=0,999999,IF(6=$HB45,IF(141=$HJ45,IF($JC45=2,30,0),IF(141=$HK45,IF($JC45=1,30,0),ABS(21-$HC45)*100)),100000+ABS(6-$HB45)*1000+210)),IF($HD45=0,999999,IF(6=$HE45,IF(141=$HL45,IF($JD45=2,30,0),IF(141=$HM45,IF($JD45=1,30,0),ABS(21-$HF45)*100)),100000+ABS(6-$HE45)*1000+210)),IF($HG45=0,999999,IF(6=$HH45,IF(141=$HN45,IF($JE45=2,30,0),IF(141=$HO45,IF($JE45=1,30,0),ABS(21-$HI45)*100)),100000+ABS(6-$HH45)*1000+210)))-IF((141=$HJ45)+(141=$HK45)+(141=$HL45)+(141=$HM45)+(141=$HN45)+(141=$HO45)&gt;=2,50,0))+EN$5*50)</f>
        <v/>
      </c>
      <c r="EO165">
        <f>IF(OR($JF45=0,calcA!$A$6=0),0,IF(OR(142=$HA45,142=$HD45,142=$HG45),200000,MIN(IF($HA45=0,999999,IF(6=$HB45,IF(142=$HJ45,IF($JC45=2,30,0),IF(142=$HK45,IF($JC45=1,30,0),ABS(22-$HC45)*100)),100000+ABS(6-$HB45)*1000+220)),IF($HD45=0,999999,IF(6=$HE45,IF(142=$HL45,IF($JD45=2,30,0),IF(142=$HM45,IF($JD45=1,30,0),ABS(22-$HF45)*100)),100000+ABS(6-$HE45)*1000+220)),IF($HG45=0,999999,IF(6=$HH45,IF(142=$HN45,IF($JE45=2,30,0),IF(142=$HO45,IF($JE45=1,30,0),ABS(22-$HI45)*100)),100000+ABS(6-$HH45)*1000+220)))-IF((142=$HJ45)+(142=$HK45)+(142=$HL45)+(142=$HM45)+(142=$HN45)+(142=$HO45)&gt;=2,50,0))+EO$5*50)</f>
        <v/>
      </c>
      <c r="EP165">
        <f>IF(OR($JF45=0,calcA!$A$6=0),0,IF(OR(143=$HA45,143=$HD45,143=$HG45),200000,MIN(IF($HA45=0,999999,IF(6=$HB45,IF(143=$HJ45,IF($JC45=2,30,0),IF(143=$HK45,IF($JC45=1,30,0),ABS(23-$HC45)*100)),100000+ABS(6-$HB45)*1000+230)),IF($HD45=0,999999,IF(6=$HE45,IF(143=$HL45,IF($JD45=2,30,0),IF(143=$HM45,IF($JD45=1,30,0),ABS(23-$HF45)*100)),100000+ABS(6-$HE45)*1000+230)),IF($HG45=0,999999,IF(6=$HH45,IF(143=$HN45,IF($JE45=2,30,0),IF(143=$HO45,IF($JE45=1,30,0),ABS(23-$HI45)*100)),100000+ABS(6-$HH45)*1000+230)))-IF((143=$HJ45)+(143=$HK45)+(143=$HL45)+(143=$HM45)+(143=$HN45)+(143=$HO45)&gt;=2,50,0))+EP$5*50)</f>
        <v/>
      </c>
      <c r="EQ165">
        <f>IF(OR($JF45=0,calcA!$A$6=0),0,IF(OR(144=$HA45,144=$HD45,144=$HG45),200000,MIN(IF($HA45=0,999999,IF(6=$HB45,IF(144=$HJ45,IF($JC45=2,30,0),IF(144=$HK45,IF($JC45=1,30,0),ABS(24-$HC45)*100)),100000+ABS(6-$HB45)*1000+240)),IF($HD45=0,999999,IF(6=$HE45,IF(144=$HL45,IF($JD45=2,30,0),IF(144=$HM45,IF($JD45=1,30,0),ABS(24-$HF45)*100)),100000+ABS(6-$HE45)*1000+240)),IF($HG45=0,999999,IF(6=$HH45,IF(144=$HN45,IF($JE45=2,30,0),IF(144=$HO45,IF($JE45=1,30,0),ABS(24-$HI45)*100)),100000+ABS(6-$HH45)*1000+240)))-IF((144=$HJ45)+(144=$HK45)+(144=$HL45)+(144=$HM45)+(144=$HN45)+(144=$HO45)&gt;=2,50,0))+EQ$5*50)</f>
        <v/>
      </c>
    </row>
    <row r="166">
      <c r="D166">
        <f>IF(OR($JF46=0,calcA!$A$6=0),0,IF(OR(1=$HA46,1=$HD46,1=$HG46),200000,MIN(IF($HA46=0,999999,IF(1=$HB46,IF(1=$HJ46,IF($JC46=2,30,0),IF(1=$HK46,IF($JC46=1,30,0),ABS(1-$HC46)*100)),100000+ABS(1-$HB46)*1000+10)),IF($HD46=0,999999,IF(1=$HE46,IF(1=$HL46,IF($JD46=2,30,0),IF(1=$HM46,IF($JD46=1,30,0),ABS(1-$HF46)*100)),100000+ABS(1-$HE46)*1000+10)),IF($HG46=0,999999,IF(1=$HH46,IF(1=$HN46,IF($JE46=2,30,0),IF(1=$HO46,IF($JE46=1,30,0),ABS(1-$HI46)*100)),100000+ABS(1-$HH46)*1000+10)))-IF((1=$HJ46)+(1=$HK46)+(1=$HL46)+(1=$HM46)+(1=$HN46)+(1=$HO46)&gt;=2,50,0))+D$5*50)</f>
        <v/>
      </c>
      <c r="E166">
        <f>IF(OR($JF46=0,calcA!$A$6=0),0,IF(OR(2=$HA46,2=$HD46,2=$HG46),200000,MIN(IF($HA46=0,999999,IF(1=$HB46,IF(2=$HJ46,IF($JC46=2,30,0),IF(2=$HK46,IF($JC46=1,30,0),ABS(2-$HC46)*100)),100000+ABS(1-$HB46)*1000+20)),IF($HD46=0,999999,IF(1=$HE46,IF(2=$HL46,IF($JD46=2,30,0),IF(2=$HM46,IF($JD46=1,30,0),ABS(2-$HF46)*100)),100000+ABS(1-$HE46)*1000+20)),IF($HG46=0,999999,IF(1=$HH46,IF(2=$HN46,IF($JE46=2,30,0),IF(2=$HO46,IF($JE46=1,30,0),ABS(2-$HI46)*100)),100000+ABS(1-$HH46)*1000+20)))-IF((2=$HJ46)+(2=$HK46)+(2=$HL46)+(2=$HM46)+(2=$HN46)+(2=$HO46)&gt;=2,50,0))+E$5*50)</f>
        <v/>
      </c>
      <c r="F166">
        <f>IF(OR($JF46=0,calcA!$A$6=0),0,IF(OR(3=$HA46,3=$HD46,3=$HG46),200000,MIN(IF($HA46=0,999999,IF(1=$HB46,IF(3=$HJ46,IF($JC46=2,30,0),IF(3=$HK46,IF($JC46=1,30,0),ABS(3-$HC46)*100)),100000+ABS(1-$HB46)*1000+30)),IF($HD46=0,999999,IF(1=$HE46,IF(3=$HL46,IF($JD46=2,30,0),IF(3=$HM46,IF($JD46=1,30,0),ABS(3-$HF46)*100)),100000+ABS(1-$HE46)*1000+30)),IF($HG46=0,999999,IF(1=$HH46,IF(3=$HN46,IF($JE46=2,30,0),IF(3=$HO46,IF($JE46=1,30,0),ABS(3-$HI46)*100)),100000+ABS(1-$HH46)*1000+30)))-IF((3=$HJ46)+(3=$HK46)+(3=$HL46)+(3=$HM46)+(3=$HN46)+(3=$HO46)&gt;=2,50,0))+F$5*50)</f>
        <v/>
      </c>
      <c r="G166">
        <f>IF(OR($JF46=0,calcA!$A$6=0),0,IF(OR(4=$HA46,4=$HD46,4=$HG46),200000,MIN(IF($HA46=0,999999,IF(1=$HB46,IF(4=$HJ46,IF($JC46=2,30,0),IF(4=$HK46,IF($JC46=1,30,0),ABS(4-$HC46)*100)),100000+ABS(1-$HB46)*1000+40)),IF($HD46=0,999999,IF(1=$HE46,IF(4=$HL46,IF($JD46=2,30,0),IF(4=$HM46,IF($JD46=1,30,0),ABS(4-$HF46)*100)),100000+ABS(1-$HE46)*1000+40)),IF($HG46=0,999999,IF(1=$HH46,IF(4=$HN46,IF($JE46=2,30,0),IF(4=$HO46,IF($JE46=1,30,0),ABS(4-$HI46)*100)),100000+ABS(1-$HH46)*1000+40)))-IF((4=$HJ46)+(4=$HK46)+(4=$HL46)+(4=$HM46)+(4=$HN46)+(4=$HO46)&gt;=2,50,0))+G$5*50)</f>
        <v/>
      </c>
      <c r="H166">
        <f>IF(OR($JF46=0,calcA!$A$6=0),0,IF(OR(5=$HA46,5=$HD46,5=$HG46),200000,MIN(IF($HA46=0,999999,IF(1=$HB46,IF(5=$HJ46,IF($JC46=2,30,0),IF(5=$HK46,IF($JC46=1,30,0),ABS(5-$HC46)*100)),100000+ABS(1-$HB46)*1000+50)),IF($HD46=0,999999,IF(1=$HE46,IF(5=$HL46,IF($JD46=2,30,0),IF(5=$HM46,IF($JD46=1,30,0),ABS(5-$HF46)*100)),100000+ABS(1-$HE46)*1000+50)),IF($HG46=0,999999,IF(1=$HH46,IF(5=$HN46,IF($JE46=2,30,0),IF(5=$HO46,IF($JE46=1,30,0),ABS(5-$HI46)*100)),100000+ABS(1-$HH46)*1000+50)))-IF((5=$HJ46)+(5=$HK46)+(5=$HL46)+(5=$HM46)+(5=$HN46)+(5=$HO46)&gt;=2,50,0))+H$5*50)</f>
        <v/>
      </c>
      <c r="I166">
        <f>IF(OR($JF46=0,calcA!$A$6=0),0,IF(OR(6=$HA46,6=$HD46,6=$HG46),200000,MIN(IF($HA46=0,999999,IF(1=$HB46,IF(6=$HJ46,IF($JC46=2,30,0),IF(6=$HK46,IF($JC46=1,30,0),ABS(6-$HC46)*100)),100000+ABS(1-$HB46)*1000+60)),IF($HD46=0,999999,IF(1=$HE46,IF(6=$HL46,IF($JD46=2,30,0),IF(6=$HM46,IF($JD46=1,30,0),ABS(6-$HF46)*100)),100000+ABS(1-$HE46)*1000+60)),IF($HG46=0,999999,IF(1=$HH46,IF(6=$HN46,IF($JE46=2,30,0),IF(6=$HO46,IF($JE46=1,30,0),ABS(6-$HI46)*100)),100000+ABS(1-$HH46)*1000+60)))-IF((6=$HJ46)+(6=$HK46)+(6=$HL46)+(6=$HM46)+(6=$HN46)+(6=$HO46)&gt;=2,50,0))+I$5*50)</f>
        <v/>
      </c>
      <c r="J166">
        <f>IF(OR($JF46=0,calcA!$A$6=0),0,IF(OR(7=$HA46,7=$HD46,7=$HG46),200000,MIN(IF($HA46=0,999999,IF(1=$HB46,IF(7=$HJ46,IF($JC46=2,30,0),IF(7=$HK46,IF($JC46=1,30,0),ABS(7-$HC46)*100)),100000+ABS(1-$HB46)*1000+70)),IF($HD46=0,999999,IF(1=$HE46,IF(7=$HL46,IF($JD46=2,30,0),IF(7=$HM46,IF($JD46=1,30,0),ABS(7-$HF46)*100)),100000+ABS(1-$HE46)*1000+70)),IF($HG46=0,999999,IF(1=$HH46,IF(7=$HN46,IF($JE46=2,30,0),IF(7=$HO46,IF($JE46=1,30,0),ABS(7-$HI46)*100)),100000+ABS(1-$HH46)*1000+70)))-IF((7=$HJ46)+(7=$HK46)+(7=$HL46)+(7=$HM46)+(7=$HN46)+(7=$HO46)&gt;=2,50,0))+J$5*50)</f>
        <v/>
      </c>
      <c r="K166">
        <f>IF(OR($JF46=0,calcA!$A$6=0),0,IF(OR(8=$HA46,8=$HD46,8=$HG46),200000,MIN(IF($HA46=0,999999,IF(1=$HB46,IF(8=$HJ46,IF($JC46=2,30,0),IF(8=$HK46,IF($JC46=1,30,0),ABS(8-$HC46)*100)),100000+ABS(1-$HB46)*1000+80)),IF($HD46=0,999999,IF(1=$HE46,IF(8=$HL46,IF($JD46=2,30,0),IF(8=$HM46,IF($JD46=1,30,0),ABS(8-$HF46)*100)),100000+ABS(1-$HE46)*1000+80)),IF($HG46=0,999999,IF(1=$HH46,IF(8=$HN46,IF($JE46=2,30,0),IF(8=$HO46,IF($JE46=1,30,0),ABS(8-$HI46)*100)),100000+ABS(1-$HH46)*1000+80)))-IF((8=$HJ46)+(8=$HK46)+(8=$HL46)+(8=$HM46)+(8=$HN46)+(8=$HO46)&gt;=2,50,0))+K$5*50)</f>
        <v/>
      </c>
      <c r="L166">
        <f>IF(OR($JF46=0,calcA!$A$6=0),0,IF(OR(9=$HA46,9=$HD46,9=$HG46),200000,MIN(IF($HA46=0,999999,IF(1=$HB46,IF(9=$HJ46,IF($JC46=2,30,0),IF(9=$HK46,IF($JC46=1,30,0),ABS(9-$HC46)*100)),100000+ABS(1-$HB46)*1000+90)),IF($HD46=0,999999,IF(1=$HE46,IF(9=$HL46,IF($JD46=2,30,0),IF(9=$HM46,IF($JD46=1,30,0),ABS(9-$HF46)*100)),100000+ABS(1-$HE46)*1000+90)),IF($HG46=0,999999,IF(1=$HH46,IF(9=$HN46,IF($JE46=2,30,0),IF(9=$HO46,IF($JE46=1,30,0),ABS(9-$HI46)*100)),100000+ABS(1-$HH46)*1000+90)))-IF((9=$HJ46)+(9=$HK46)+(9=$HL46)+(9=$HM46)+(9=$HN46)+(9=$HO46)&gt;=2,50,0))+L$5*50)</f>
        <v/>
      </c>
      <c r="M166">
        <f>IF(OR($JF46=0,calcA!$A$6=0),0,IF(OR(10=$HA46,10=$HD46,10=$HG46),200000,MIN(IF($HA46=0,999999,IF(1=$HB46,IF(10=$HJ46,IF($JC46=2,30,0),IF(10=$HK46,IF($JC46=1,30,0),ABS(10-$HC46)*100)),100000+ABS(1-$HB46)*1000+100)),IF($HD46=0,999999,IF(1=$HE46,IF(10=$HL46,IF($JD46=2,30,0),IF(10=$HM46,IF($JD46=1,30,0),ABS(10-$HF46)*100)),100000+ABS(1-$HE46)*1000+100)),IF($HG46=0,999999,IF(1=$HH46,IF(10=$HN46,IF($JE46=2,30,0),IF(10=$HO46,IF($JE46=1,30,0),ABS(10-$HI46)*100)),100000+ABS(1-$HH46)*1000+100)))-IF((10=$HJ46)+(10=$HK46)+(10=$HL46)+(10=$HM46)+(10=$HN46)+(10=$HO46)&gt;=2,50,0))+M$5*50)</f>
        <v/>
      </c>
      <c r="N166">
        <f>IF(OR($JF46=0,calcA!$A$6=0),0,IF(OR(11=$HA46,11=$HD46,11=$HG46),200000,MIN(IF($HA46=0,999999,IF(1=$HB46,IF(11=$HJ46,IF($JC46=2,30,0),IF(11=$HK46,IF($JC46=1,30,0),ABS(11-$HC46)*100)),100000+ABS(1-$HB46)*1000+110)),IF($HD46=0,999999,IF(1=$HE46,IF(11=$HL46,IF($JD46=2,30,0),IF(11=$HM46,IF($JD46=1,30,0),ABS(11-$HF46)*100)),100000+ABS(1-$HE46)*1000+110)),IF($HG46=0,999999,IF(1=$HH46,IF(11=$HN46,IF($JE46=2,30,0),IF(11=$HO46,IF($JE46=1,30,0),ABS(11-$HI46)*100)),100000+ABS(1-$HH46)*1000+110)))-IF((11=$HJ46)+(11=$HK46)+(11=$HL46)+(11=$HM46)+(11=$HN46)+(11=$HO46)&gt;=2,50,0))+N$5*50)</f>
        <v/>
      </c>
      <c r="O166">
        <f>IF(OR($JF46=0,calcA!$A$6=0),0,IF(OR(12=$HA46,12=$HD46,12=$HG46),200000,MIN(IF($HA46=0,999999,IF(1=$HB46,IF(12=$HJ46,IF($JC46=2,30,0),IF(12=$HK46,IF($JC46=1,30,0),ABS(12-$HC46)*100)),100000+ABS(1-$HB46)*1000+120)),IF($HD46=0,999999,IF(1=$HE46,IF(12=$HL46,IF($JD46=2,30,0),IF(12=$HM46,IF($JD46=1,30,0),ABS(12-$HF46)*100)),100000+ABS(1-$HE46)*1000+120)),IF($HG46=0,999999,IF(1=$HH46,IF(12=$HN46,IF($JE46=2,30,0),IF(12=$HO46,IF($JE46=1,30,0),ABS(12-$HI46)*100)),100000+ABS(1-$HH46)*1000+120)))-IF((12=$HJ46)+(12=$HK46)+(12=$HL46)+(12=$HM46)+(12=$HN46)+(12=$HO46)&gt;=2,50,0))+O$5*50)</f>
        <v/>
      </c>
      <c r="P166">
        <f>IF(OR($JF46=0,calcA!$A$6=0),0,IF(OR(13=$HA46,13=$HD46,13=$HG46),200000,MIN(IF($HA46=0,999999,IF(1=$HB46,IF(13=$HJ46,IF($JC46=2,30,0),IF(13=$HK46,IF($JC46=1,30,0),ABS(13-$HC46)*100)),100000+ABS(1-$HB46)*1000+130)),IF($HD46=0,999999,IF(1=$HE46,IF(13=$HL46,IF($JD46=2,30,0),IF(13=$HM46,IF($JD46=1,30,0),ABS(13-$HF46)*100)),100000+ABS(1-$HE46)*1000+130)),IF($HG46=0,999999,IF(1=$HH46,IF(13=$HN46,IF($JE46=2,30,0),IF(13=$HO46,IF($JE46=1,30,0),ABS(13-$HI46)*100)),100000+ABS(1-$HH46)*1000+130)))-IF((13=$HJ46)+(13=$HK46)+(13=$HL46)+(13=$HM46)+(13=$HN46)+(13=$HO46)&gt;=2,50,0))+P$5*50)</f>
        <v/>
      </c>
      <c r="Q166">
        <f>IF(OR($JF46=0,calcA!$A$6=0),0,IF(OR(14=$HA46,14=$HD46,14=$HG46),200000,MIN(IF($HA46=0,999999,IF(1=$HB46,IF(14=$HJ46,IF($JC46=2,30,0),IF(14=$HK46,IF($JC46=1,30,0),ABS(14-$HC46)*100)),100000+ABS(1-$HB46)*1000+140)),IF($HD46=0,999999,IF(1=$HE46,IF(14=$HL46,IF($JD46=2,30,0),IF(14=$HM46,IF($JD46=1,30,0),ABS(14-$HF46)*100)),100000+ABS(1-$HE46)*1000+140)),IF($HG46=0,999999,IF(1=$HH46,IF(14=$HN46,IF($JE46=2,30,0),IF(14=$HO46,IF($JE46=1,30,0),ABS(14-$HI46)*100)),100000+ABS(1-$HH46)*1000+140)))-IF((14=$HJ46)+(14=$HK46)+(14=$HL46)+(14=$HM46)+(14=$HN46)+(14=$HO46)&gt;=2,50,0))+Q$5*50)</f>
        <v/>
      </c>
      <c r="R166">
        <f>IF(OR($JF46=0,calcA!$A$6=0),0,IF(OR(15=$HA46,15=$HD46,15=$HG46),200000,MIN(IF($HA46=0,999999,IF(1=$HB46,IF(15=$HJ46,IF($JC46=2,30,0),IF(15=$HK46,IF($JC46=1,30,0),ABS(15-$HC46)*100)),100000+ABS(1-$HB46)*1000+150)),IF($HD46=0,999999,IF(1=$HE46,IF(15=$HL46,IF($JD46=2,30,0),IF(15=$HM46,IF($JD46=1,30,0),ABS(15-$HF46)*100)),100000+ABS(1-$HE46)*1000+150)),IF($HG46=0,999999,IF(1=$HH46,IF(15=$HN46,IF($JE46=2,30,0),IF(15=$HO46,IF($JE46=1,30,0),ABS(15-$HI46)*100)),100000+ABS(1-$HH46)*1000+150)))-IF((15=$HJ46)+(15=$HK46)+(15=$HL46)+(15=$HM46)+(15=$HN46)+(15=$HO46)&gt;=2,50,0))+R$5*50)</f>
        <v/>
      </c>
      <c r="S166">
        <f>IF(OR($JF46=0,calcA!$A$6=0),0,IF(OR(16=$HA46,16=$HD46,16=$HG46),200000,MIN(IF($HA46=0,999999,IF(1=$HB46,IF(16=$HJ46,IF($JC46=2,30,0),IF(16=$HK46,IF($JC46=1,30,0),ABS(16-$HC46)*100)),100000+ABS(1-$HB46)*1000+160)),IF($HD46=0,999999,IF(1=$HE46,IF(16=$HL46,IF($JD46=2,30,0),IF(16=$HM46,IF($JD46=1,30,0),ABS(16-$HF46)*100)),100000+ABS(1-$HE46)*1000+160)),IF($HG46=0,999999,IF(1=$HH46,IF(16=$HN46,IF($JE46=2,30,0),IF(16=$HO46,IF($JE46=1,30,0),ABS(16-$HI46)*100)),100000+ABS(1-$HH46)*1000+160)))-IF((16=$HJ46)+(16=$HK46)+(16=$HL46)+(16=$HM46)+(16=$HN46)+(16=$HO46)&gt;=2,50,0))+S$5*50)</f>
        <v/>
      </c>
      <c r="T166">
        <f>IF(OR($JF46=0,calcA!$A$6=0),0,IF(OR(17=$HA46,17=$HD46,17=$HG46),200000,MIN(IF($HA46=0,999999,IF(1=$HB46,IF(17=$HJ46,IF($JC46=2,30,0),IF(17=$HK46,IF($JC46=1,30,0),ABS(17-$HC46)*100)),100000+ABS(1-$HB46)*1000+170)),IF($HD46=0,999999,IF(1=$HE46,IF(17=$HL46,IF($JD46=2,30,0),IF(17=$HM46,IF($JD46=1,30,0),ABS(17-$HF46)*100)),100000+ABS(1-$HE46)*1000+170)),IF($HG46=0,999999,IF(1=$HH46,IF(17=$HN46,IF($JE46=2,30,0),IF(17=$HO46,IF($JE46=1,30,0),ABS(17-$HI46)*100)),100000+ABS(1-$HH46)*1000+170)))-IF((17=$HJ46)+(17=$HK46)+(17=$HL46)+(17=$HM46)+(17=$HN46)+(17=$HO46)&gt;=2,50,0))+T$5*50)</f>
        <v/>
      </c>
      <c r="U166">
        <f>IF(OR($JF46=0,calcA!$A$6=0),0,IF(OR(18=$HA46,18=$HD46,18=$HG46),200000,MIN(IF($HA46=0,999999,IF(1=$HB46,IF(18=$HJ46,IF($JC46=2,30,0),IF(18=$HK46,IF($JC46=1,30,0),ABS(18-$HC46)*100)),100000+ABS(1-$HB46)*1000+180)),IF($HD46=0,999999,IF(1=$HE46,IF(18=$HL46,IF($JD46=2,30,0),IF(18=$HM46,IF($JD46=1,30,0),ABS(18-$HF46)*100)),100000+ABS(1-$HE46)*1000+180)),IF($HG46=0,999999,IF(1=$HH46,IF(18=$HN46,IF($JE46=2,30,0),IF(18=$HO46,IF($JE46=1,30,0),ABS(18-$HI46)*100)),100000+ABS(1-$HH46)*1000+180)))-IF((18=$HJ46)+(18=$HK46)+(18=$HL46)+(18=$HM46)+(18=$HN46)+(18=$HO46)&gt;=2,50,0))+U$5*50)</f>
        <v/>
      </c>
      <c r="V166">
        <f>IF(OR($JF46=0,calcA!$A$6=0),0,IF(OR(19=$HA46,19=$HD46,19=$HG46),200000,MIN(IF($HA46=0,999999,IF(1=$HB46,IF(19=$HJ46,IF($JC46=2,30,0),IF(19=$HK46,IF($JC46=1,30,0),ABS(19-$HC46)*100)),100000+ABS(1-$HB46)*1000+190)),IF($HD46=0,999999,IF(1=$HE46,IF(19=$HL46,IF($JD46=2,30,0),IF(19=$HM46,IF($JD46=1,30,0),ABS(19-$HF46)*100)),100000+ABS(1-$HE46)*1000+190)),IF($HG46=0,999999,IF(1=$HH46,IF(19=$HN46,IF($JE46=2,30,0),IF(19=$HO46,IF($JE46=1,30,0),ABS(19-$HI46)*100)),100000+ABS(1-$HH46)*1000+190)))-IF((19=$HJ46)+(19=$HK46)+(19=$HL46)+(19=$HM46)+(19=$HN46)+(19=$HO46)&gt;=2,50,0))+V$5*50)</f>
        <v/>
      </c>
      <c r="W166">
        <f>IF(OR($JF46=0,calcA!$A$6=0),0,IF(OR(20=$HA46,20=$HD46,20=$HG46),200000,MIN(IF($HA46=0,999999,IF(1=$HB46,IF(20=$HJ46,IF($JC46=2,30,0),IF(20=$HK46,IF($JC46=1,30,0),ABS(20-$HC46)*100)),100000+ABS(1-$HB46)*1000+200)),IF($HD46=0,999999,IF(1=$HE46,IF(20=$HL46,IF($JD46=2,30,0),IF(20=$HM46,IF($JD46=1,30,0),ABS(20-$HF46)*100)),100000+ABS(1-$HE46)*1000+200)),IF($HG46=0,999999,IF(1=$HH46,IF(20=$HN46,IF($JE46=2,30,0),IF(20=$HO46,IF($JE46=1,30,0),ABS(20-$HI46)*100)),100000+ABS(1-$HH46)*1000+200)))-IF((20=$HJ46)+(20=$HK46)+(20=$HL46)+(20=$HM46)+(20=$HN46)+(20=$HO46)&gt;=2,50,0))+W$5*50)</f>
        <v/>
      </c>
      <c r="X166">
        <f>IF(OR($JF46=0,calcA!$A$6=0),0,IF(OR(21=$HA46,21=$HD46,21=$HG46),200000,MIN(IF($HA46=0,999999,IF(1=$HB46,IF(21=$HJ46,IF($JC46=2,30,0),IF(21=$HK46,IF($JC46=1,30,0),ABS(21-$HC46)*100)),100000+ABS(1-$HB46)*1000+210)),IF($HD46=0,999999,IF(1=$HE46,IF(21=$HL46,IF($JD46=2,30,0),IF(21=$HM46,IF($JD46=1,30,0),ABS(21-$HF46)*100)),100000+ABS(1-$HE46)*1000+210)),IF($HG46=0,999999,IF(1=$HH46,IF(21=$HN46,IF($JE46=2,30,0),IF(21=$HO46,IF($JE46=1,30,0),ABS(21-$HI46)*100)),100000+ABS(1-$HH46)*1000+210)))-IF((21=$HJ46)+(21=$HK46)+(21=$HL46)+(21=$HM46)+(21=$HN46)+(21=$HO46)&gt;=2,50,0))+X$5*50)</f>
        <v/>
      </c>
      <c r="Y166">
        <f>IF(OR($JF46=0,calcA!$A$6=0),0,IF(OR(22=$HA46,22=$HD46,22=$HG46),200000,MIN(IF($HA46=0,999999,IF(1=$HB46,IF(22=$HJ46,IF($JC46=2,30,0),IF(22=$HK46,IF($JC46=1,30,0),ABS(22-$HC46)*100)),100000+ABS(1-$HB46)*1000+220)),IF($HD46=0,999999,IF(1=$HE46,IF(22=$HL46,IF($JD46=2,30,0),IF(22=$HM46,IF($JD46=1,30,0),ABS(22-$HF46)*100)),100000+ABS(1-$HE46)*1000+220)),IF($HG46=0,999999,IF(1=$HH46,IF(22=$HN46,IF($JE46=2,30,0),IF(22=$HO46,IF($JE46=1,30,0),ABS(22-$HI46)*100)),100000+ABS(1-$HH46)*1000+220)))-IF((22=$HJ46)+(22=$HK46)+(22=$HL46)+(22=$HM46)+(22=$HN46)+(22=$HO46)&gt;=2,50,0))+Y$5*50)</f>
        <v/>
      </c>
      <c r="Z166">
        <f>IF(OR($JF46=0,calcA!$A$6=0),0,IF(OR(23=$HA46,23=$HD46,23=$HG46),200000,MIN(IF($HA46=0,999999,IF(1=$HB46,IF(23=$HJ46,IF($JC46=2,30,0),IF(23=$HK46,IF($JC46=1,30,0),ABS(23-$HC46)*100)),100000+ABS(1-$HB46)*1000+230)),IF($HD46=0,999999,IF(1=$HE46,IF(23=$HL46,IF($JD46=2,30,0),IF(23=$HM46,IF($JD46=1,30,0),ABS(23-$HF46)*100)),100000+ABS(1-$HE46)*1000+230)),IF($HG46=0,999999,IF(1=$HH46,IF(23=$HN46,IF($JE46=2,30,0),IF(23=$HO46,IF($JE46=1,30,0),ABS(23-$HI46)*100)),100000+ABS(1-$HH46)*1000+230)))-IF((23=$HJ46)+(23=$HK46)+(23=$HL46)+(23=$HM46)+(23=$HN46)+(23=$HO46)&gt;=2,50,0))+Z$5*50)</f>
        <v/>
      </c>
      <c r="AA166">
        <f>IF(OR($JF46=0,calcA!$A$6=0),0,IF(OR(24=$HA46,24=$HD46,24=$HG46),200000,MIN(IF($HA46=0,999999,IF(1=$HB46,IF(24=$HJ46,IF($JC46=2,30,0),IF(24=$HK46,IF($JC46=1,30,0),ABS(24-$HC46)*100)),100000+ABS(1-$HB46)*1000+240)),IF($HD46=0,999999,IF(1=$HE46,IF(24=$HL46,IF($JD46=2,30,0),IF(24=$HM46,IF($JD46=1,30,0),ABS(24-$HF46)*100)),100000+ABS(1-$HE46)*1000+240)),IF($HG46=0,999999,IF(1=$HH46,IF(24=$HN46,IF($JE46=2,30,0),IF(24=$HO46,IF($JE46=1,30,0),ABS(24-$HI46)*100)),100000+ABS(1-$HH46)*1000+240)))-IF((24=$HJ46)+(24=$HK46)+(24=$HL46)+(24=$HM46)+(24=$HN46)+(24=$HO46)&gt;=2,50,0))+AA$5*50)</f>
        <v/>
      </c>
      <c r="AB166">
        <f>IF(OR($JF46=0,calcA!$A$6=0),0,IF(OR(25=$HA46,25=$HD46,25=$HG46),200000,MIN(IF($HA46=0,999999,IF(2=$HB46,IF(25=$HJ46,IF($JC46=2,30,0),IF(25=$HK46,IF($JC46=1,30,0),ABS(1-$HC46)*100)),100000+ABS(2-$HB46)*1000+10)),IF($HD46=0,999999,IF(2=$HE46,IF(25=$HL46,IF($JD46=2,30,0),IF(25=$HM46,IF($JD46=1,30,0),ABS(1-$HF46)*100)),100000+ABS(2-$HE46)*1000+10)),IF($HG46=0,999999,IF(2=$HH46,IF(25=$HN46,IF($JE46=2,30,0),IF(25=$HO46,IF($JE46=1,30,0),ABS(1-$HI46)*100)),100000+ABS(2-$HH46)*1000+10)))-IF((25=$HJ46)+(25=$HK46)+(25=$HL46)+(25=$HM46)+(25=$HN46)+(25=$HO46)&gt;=2,50,0))+AB$5*50)</f>
        <v/>
      </c>
      <c r="AC166">
        <f>IF(OR($JF46=0,calcA!$A$6=0),0,IF(OR(26=$HA46,26=$HD46,26=$HG46),200000,MIN(IF($HA46=0,999999,IF(2=$HB46,IF(26=$HJ46,IF($JC46=2,30,0),IF(26=$HK46,IF($JC46=1,30,0),ABS(2-$HC46)*100)),100000+ABS(2-$HB46)*1000+20)),IF($HD46=0,999999,IF(2=$HE46,IF(26=$HL46,IF($JD46=2,30,0),IF(26=$HM46,IF($JD46=1,30,0),ABS(2-$HF46)*100)),100000+ABS(2-$HE46)*1000+20)),IF($HG46=0,999999,IF(2=$HH46,IF(26=$HN46,IF($JE46=2,30,0),IF(26=$HO46,IF($JE46=1,30,0),ABS(2-$HI46)*100)),100000+ABS(2-$HH46)*1000+20)))-IF((26=$HJ46)+(26=$HK46)+(26=$HL46)+(26=$HM46)+(26=$HN46)+(26=$HO46)&gt;=2,50,0))+AC$5*50)</f>
        <v/>
      </c>
      <c r="AD166">
        <f>IF(OR($JF46=0,calcA!$A$6=0),0,IF(OR(27=$HA46,27=$HD46,27=$HG46),200000,MIN(IF($HA46=0,999999,IF(2=$HB46,IF(27=$HJ46,IF($JC46=2,30,0),IF(27=$HK46,IF($JC46=1,30,0),ABS(3-$HC46)*100)),100000+ABS(2-$HB46)*1000+30)),IF($HD46=0,999999,IF(2=$HE46,IF(27=$HL46,IF($JD46=2,30,0),IF(27=$HM46,IF($JD46=1,30,0),ABS(3-$HF46)*100)),100000+ABS(2-$HE46)*1000+30)),IF($HG46=0,999999,IF(2=$HH46,IF(27=$HN46,IF($JE46=2,30,0),IF(27=$HO46,IF($JE46=1,30,0),ABS(3-$HI46)*100)),100000+ABS(2-$HH46)*1000+30)))-IF((27=$HJ46)+(27=$HK46)+(27=$HL46)+(27=$HM46)+(27=$HN46)+(27=$HO46)&gt;=2,50,0))+AD$5*50)</f>
        <v/>
      </c>
      <c r="AE166">
        <f>IF(OR($JF46=0,calcA!$A$6=0),0,IF(OR(28=$HA46,28=$HD46,28=$HG46),200000,MIN(IF($HA46=0,999999,IF(2=$HB46,IF(28=$HJ46,IF($JC46=2,30,0),IF(28=$HK46,IF($JC46=1,30,0),ABS(4-$HC46)*100)),100000+ABS(2-$HB46)*1000+40)),IF($HD46=0,999999,IF(2=$HE46,IF(28=$HL46,IF($JD46=2,30,0),IF(28=$HM46,IF($JD46=1,30,0),ABS(4-$HF46)*100)),100000+ABS(2-$HE46)*1000+40)),IF($HG46=0,999999,IF(2=$HH46,IF(28=$HN46,IF($JE46=2,30,0),IF(28=$HO46,IF($JE46=1,30,0),ABS(4-$HI46)*100)),100000+ABS(2-$HH46)*1000+40)))-IF((28=$HJ46)+(28=$HK46)+(28=$HL46)+(28=$HM46)+(28=$HN46)+(28=$HO46)&gt;=2,50,0))+AE$5*50)</f>
        <v/>
      </c>
      <c r="AF166">
        <f>IF(OR($JF46=0,calcA!$A$6=0),0,IF(OR(29=$HA46,29=$HD46,29=$HG46),200000,MIN(IF($HA46=0,999999,IF(2=$HB46,IF(29=$HJ46,IF($JC46=2,30,0),IF(29=$HK46,IF($JC46=1,30,0),ABS(5-$HC46)*100)),100000+ABS(2-$HB46)*1000+50)),IF($HD46=0,999999,IF(2=$HE46,IF(29=$HL46,IF($JD46=2,30,0),IF(29=$HM46,IF($JD46=1,30,0),ABS(5-$HF46)*100)),100000+ABS(2-$HE46)*1000+50)),IF($HG46=0,999999,IF(2=$HH46,IF(29=$HN46,IF($JE46=2,30,0),IF(29=$HO46,IF($JE46=1,30,0),ABS(5-$HI46)*100)),100000+ABS(2-$HH46)*1000+50)))-IF((29=$HJ46)+(29=$HK46)+(29=$HL46)+(29=$HM46)+(29=$HN46)+(29=$HO46)&gt;=2,50,0))+AF$5*50)</f>
        <v/>
      </c>
      <c r="AG166">
        <f>IF(OR($JF46=0,calcA!$A$6=0),0,IF(OR(30=$HA46,30=$HD46,30=$HG46),200000,MIN(IF($HA46=0,999999,IF(2=$HB46,IF(30=$HJ46,IF($JC46=2,30,0),IF(30=$HK46,IF($JC46=1,30,0),ABS(6-$HC46)*100)),100000+ABS(2-$HB46)*1000+60)),IF($HD46=0,999999,IF(2=$HE46,IF(30=$HL46,IF($JD46=2,30,0),IF(30=$HM46,IF($JD46=1,30,0),ABS(6-$HF46)*100)),100000+ABS(2-$HE46)*1000+60)),IF($HG46=0,999999,IF(2=$HH46,IF(30=$HN46,IF($JE46=2,30,0),IF(30=$HO46,IF($JE46=1,30,0),ABS(6-$HI46)*100)),100000+ABS(2-$HH46)*1000+60)))-IF((30=$HJ46)+(30=$HK46)+(30=$HL46)+(30=$HM46)+(30=$HN46)+(30=$HO46)&gt;=2,50,0))+AG$5*50)</f>
        <v/>
      </c>
      <c r="AH166">
        <f>IF(OR($JF46=0,calcA!$A$6=0),0,IF(OR(31=$HA46,31=$HD46,31=$HG46),200000,MIN(IF($HA46=0,999999,IF(2=$HB46,IF(31=$HJ46,IF($JC46=2,30,0),IF(31=$HK46,IF($JC46=1,30,0),ABS(7-$HC46)*100)),100000+ABS(2-$HB46)*1000+70)),IF($HD46=0,999999,IF(2=$HE46,IF(31=$HL46,IF($JD46=2,30,0),IF(31=$HM46,IF($JD46=1,30,0),ABS(7-$HF46)*100)),100000+ABS(2-$HE46)*1000+70)),IF($HG46=0,999999,IF(2=$HH46,IF(31=$HN46,IF($JE46=2,30,0),IF(31=$HO46,IF($JE46=1,30,0),ABS(7-$HI46)*100)),100000+ABS(2-$HH46)*1000+70)))-IF((31=$HJ46)+(31=$HK46)+(31=$HL46)+(31=$HM46)+(31=$HN46)+(31=$HO46)&gt;=2,50,0))+AH$5*50)</f>
        <v/>
      </c>
      <c r="AI166">
        <f>IF(OR($JF46=0,calcA!$A$6=0),0,IF(OR(32=$HA46,32=$HD46,32=$HG46),200000,MIN(IF($HA46=0,999999,IF(2=$HB46,IF(32=$HJ46,IF($JC46=2,30,0),IF(32=$HK46,IF($JC46=1,30,0),ABS(8-$HC46)*100)),100000+ABS(2-$HB46)*1000+80)),IF($HD46=0,999999,IF(2=$HE46,IF(32=$HL46,IF($JD46=2,30,0),IF(32=$HM46,IF($JD46=1,30,0),ABS(8-$HF46)*100)),100000+ABS(2-$HE46)*1000+80)),IF($HG46=0,999999,IF(2=$HH46,IF(32=$HN46,IF($JE46=2,30,0),IF(32=$HO46,IF($JE46=1,30,0),ABS(8-$HI46)*100)),100000+ABS(2-$HH46)*1000+80)))-IF((32=$HJ46)+(32=$HK46)+(32=$HL46)+(32=$HM46)+(32=$HN46)+(32=$HO46)&gt;=2,50,0))+AI$5*50)</f>
        <v/>
      </c>
      <c r="AJ166">
        <f>IF(OR($JF46=0,calcA!$A$6=0),0,IF(OR(33=$HA46,33=$HD46,33=$HG46),200000,MIN(IF($HA46=0,999999,IF(2=$HB46,IF(33=$HJ46,IF($JC46=2,30,0),IF(33=$HK46,IF($JC46=1,30,0),ABS(9-$HC46)*100)),100000+ABS(2-$HB46)*1000+90)),IF($HD46=0,999999,IF(2=$HE46,IF(33=$HL46,IF($JD46=2,30,0),IF(33=$HM46,IF($JD46=1,30,0),ABS(9-$HF46)*100)),100000+ABS(2-$HE46)*1000+90)),IF($HG46=0,999999,IF(2=$HH46,IF(33=$HN46,IF($JE46=2,30,0),IF(33=$HO46,IF($JE46=1,30,0),ABS(9-$HI46)*100)),100000+ABS(2-$HH46)*1000+90)))-IF((33=$HJ46)+(33=$HK46)+(33=$HL46)+(33=$HM46)+(33=$HN46)+(33=$HO46)&gt;=2,50,0))+AJ$5*50)</f>
        <v/>
      </c>
      <c r="AK166">
        <f>IF(OR($JF46=0,calcA!$A$6=0),0,IF(OR(34=$HA46,34=$HD46,34=$HG46),200000,MIN(IF($HA46=0,999999,IF(2=$HB46,IF(34=$HJ46,IF($JC46=2,30,0),IF(34=$HK46,IF($JC46=1,30,0),ABS(10-$HC46)*100)),100000+ABS(2-$HB46)*1000+100)),IF($HD46=0,999999,IF(2=$HE46,IF(34=$HL46,IF($JD46=2,30,0),IF(34=$HM46,IF($JD46=1,30,0),ABS(10-$HF46)*100)),100000+ABS(2-$HE46)*1000+100)),IF($HG46=0,999999,IF(2=$HH46,IF(34=$HN46,IF($JE46=2,30,0),IF(34=$HO46,IF($JE46=1,30,0),ABS(10-$HI46)*100)),100000+ABS(2-$HH46)*1000+100)))-IF((34=$HJ46)+(34=$HK46)+(34=$HL46)+(34=$HM46)+(34=$HN46)+(34=$HO46)&gt;=2,50,0))+AK$5*50)</f>
        <v/>
      </c>
      <c r="AL166">
        <f>IF(OR($JF46=0,calcA!$A$6=0),0,IF(OR(35=$HA46,35=$HD46,35=$HG46),200000,MIN(IF($HA46=0,999999,IF(2=$HB46,IF(35=$HJ46,IF($JC46=2,30,0),IF(35=$HK46,IF($JC46=1,30,0),ABS(11-$HC46)*100)),100000+ABS(2-$HB46)*1000+110)),IF($HD46=0,999999,IF(2=$HE46,IF(35=$HL46,IF($JD46=2,30,0),IF(35=$HM46,IF($JD46=1,30,0),ABS(11-$HF46)*100)),100000+ABS(2-$HE46)*1000+110)),IF($HG46=0,999999,IF(2=$HH46,IF(35=$HN46,IF($JE46=2,30,0),IF(35=$HO46,IF($JE46=1,30,0),ABS(11-$HI46)*100)),100000+ABS(2-$HH46)*1000+110)))-IF((35=$HJ46)+(35=$HK46)+(35=$HL46)+(35=$HM46)+(35=$HN46)+(35=$HO46)&gt;=2,50,0))+AL$5*50)</f>
        <v/>
      </c>
      <c r="AM166">
        <f>IF(OR($JF46=0,calcA!$A$6=0),0,IF(OR(36=$HA46,36=$HD46,36=$HG46),200000,MIN(IF($HA46=0,999999,IF(2=$HB46,IF(36=$HJ46,IF($JC46=2,30,0),IF(36=$HK46,IF($JC46=1,30,0),ABS(12-$HC46)*100)),100000+ABS(2-$HB46)*1000+120)),IF($HD46=0,999999,IF(2=$HE46,IF(36=$HL46,IF($JD46=2,30,0),IF(36=$HM46,IF($JD46=1,30,0),ABS(12-$HF46)*100)),100000+ABS(2-$HE46)*1000+120)),IF($HG46=0,999999,IF(2=$HH46,IF(36=$HN46,IF($JE46=2,30,0),IF(36=$HO46,IF($JE46=1,30,0),ABS(12-$HI46)*100)),100000+ABS(2-$HH46)*1000+120)))-IF((36=$HJ46)+(36=$HK46)+(36=$HL46)+(36=$HM46)+(36=$HN46)+(36=$HO46)&gt;=2,50,0))+AM$5*50)</f>
        <v/>
      </c>
      <c r="AN166">
        <f>IF(OR($JF46=0,calcA!$A$6=0),0,IF(OR(37=$HA46,37=$HD46,37=$HG46),200000,MIN(IF($HA46=0,999999,IF(2=$HB46,IF(37=$HJ46,IF($JC46=2,30,0),IF(37=$HK46,IF($JC46=1,30,0),ABS(13-$HC46)*100)),100000+ABS(2-$HB46)*1000+130)),IF($HD46=0,999999,IF(2=$HE46,IF(37=$HL46,IF($JD46=2,30,0),IF(37=$HM46,IF($JD46=1,30,0),ABS(13-$HF46)*100)),100000+ABS(2-$HE46)*1000+130)),IF($HG46=0,999999,IF(2=$HH46,IF(37=$HN46,IF($JE46=2,30,0),IF(37=$HO46,IF($JE46=1,30,0),ABS(13-$HI46)*100)),100000+ABS(2-$HH46)*1000+130)))-IF((37=$HJ46)+(37=$HK46)+(37=$HL46)+(37=$HM46)+(37=$HN46)+(37=$HO46)&gt;=2,50,0))+AN$5*50)</f>
        <v/>
      </c>
      <c r="AO166">
        <f>IF(OR($JF46=0,calcA!$A$6=0),0,IF(OR(38=$HA46,38=$HD46,38=$HG46),200000,MIN(IF($HA46=0,999999,IF(2=$HB46,IF(38=$HJ46,IF($JC46=2,30,0),IF(38=$HK46,IF($JC46=1,30,0),ABS(14-$HC46)*100)),100000+ABS(2-$HB46)*1000+140)),IF($HD46=0,999999,IF(2=$HE46,IF(38=$HL46,IF($JD46=2,30,0),IF(38=$HM46,IF($JD46=1,30,0),ABS(14-$HF46)*100)),100000+ABS(2-$HE46)*1000+140)),IF($HG46=0,999999,IF(2=$HH46,IF(38=$HN46,IF($JE46=2,30,0),IF(38=$HO46,IF($JE46=1,30,0),ABS(14-$HI46)*100)),100000+ABS(2-$HH46)*1000+140)))-IF((38=$HJ46)+(38=$HK46)+(38=$HL46)+(38=$HM46)+(38=$HN46)+(38=$HO46)&gt;=2,50,0))+AO$5*50)</f>
        <v/>
      </c>
      <c r="AP166">
        <f>IF(OR($JF46=0,calcA!$A$6=0),0,IF(OR(39=$HA46,39=$HD46,39=$HG46),200000,MIN(IF($HA46=0,999999,IF(2=$HB46,IF(39=$HJ46,IF($JC46=2,30,0),IF(39=$HK46,IF($JC46=1,30,0),ABS(15-$HC46)*100)),100000+ABS(2-$HB46)*1000+150)),IF($HD46=0,999999,IF(2=$HE46,IF(39=$HL46,IF($JD46=2,30,0),IF(39=$HM46,IF($JD46=1,30,0),ABS(15-$HF46)*100)),100000+ABS(2-$HE46)*1000+150)),IF($HG46=0,999999,IF(2=$HH46,IF(39=$HN46,IF($JE46=2,30,0),IF(39=$HO46,IF($JE46=1,30,0),ABS(15-$HI46)*100)),100000+ABS(2-$HH46)*1000+150)))-IF((39=$HJ46)+(39=$HK46)+(39=$HL46)+(39=$HM46)+(39=$HN46)+(39=$HO46)&gt;=2,50,0))+AP$5*50)</f>
        <v/>
      </c>
      <c r="AQ166">
        <f>IF(OR($JF46=0,calcA!$A$6=0),0,IF(OR(40=$HA46,40=$HD46,40=$HG46),200000,MIN(IF($HA46=0,999999,IF(2=$HB46,IF(40=$HJ46,IF($JC46=2,30,0),IF(40=$HK46,IF($JC46=1,30,0),ABS(16-$HC46)*100)),100000+ABS(2-$HB46)*1000+160)),IF($HD46=0,999999,IF(2=$HE46,IF(40=$HL46,IF($JD46=2,30,0),IF(40=$HM46,IF($JD46=1,30,0),ABS(16-$HF46)*100)),100000+ABS(2-$HE46)*1000+160)),IF($HG46=0,999999,IF(2=$HH46,IF(40=$HN46,IF($JE46=2,30,0),IF(40=$HO46,IF($JE46=1,30,0),ABS(16-$HI46)*100)),100000+ABS(2-$HH46)*1000+160)))-IF((40=$HJ46)+(40=$HK46)+(40=$HL46)+(40=$HM46)+(40=$HN46)+(40=$HO46)&gt;=2,50,0))+AQ$5*50)</f>
        <v/>
      </c>
      <c r="AR166">
        <f>IF(OR($JF46=0,calcA!$A$6=0),0,IF(OR(41=$HA46,41=$HD46,41=$HG46),200000,MIN(IF($HA46=0,999999,IF(2=$HB46,IF(41=$HJ46,IF($JC46=2,30,0),IF(41=$HK46,IF($JC46=1,30,0),ABS(17-$HC46)*100)),100000+ABS(2-$HB46)*1000+170)),IF($HD46=0,999999,IF(2=$HE46,IF(41=$HL46,IF($JD46=2,30,0),IF(41=$HM46,IF($JD46=1,30,0),ABS(17-$HF46)*100)),100000+ABS(2-$HE46)*1000+170)),IF($HG46=0,999999,IF(2=$HH46,IF(41=$HN46,IF($JE46=2,30,0),IF(41=$HO46,IF($JE46=1,30,0),ABS(17-$HI46)*100)),100000+ABS(2-$HH46)*1000+170)))-IF((41=$HJ46)+(41=$HK46)+(41=$HL46)+(41=$HM46)+(41=$HN46)+(41=$HO46)&gt;=2,50,0))+AR$5*50)</f>
        <v/>
      </c>
      <c r="AS166">
        <f>IF(OR($JF46=0,calcA!$A$6=0),0,IF(OR(42=$HA46,42=$HD46,42=$HG46),200000,MIN(IF($HA46=0,999999,IF(2=$HB46,IF(42=$HJ46,IF($JC46=2,30,0),IF(42=$HK46,IF($JC46=1,30,0),ABS(18-$HC46)*100)),100000+ABS(2-$HB46)*1000+180)),IF($HD46=0,999999,IF(2=$HE46,IF(42=$HL46,IF($JD46=2,30,0),IF(42=$HM46,IF($JD46=1,30,0),ABS(18-$HF46)*100)),100000+ABS(2-$HE46)*1000+180)),IF($HG46=0,999999,IF(2=$HH46,IF(42=$HN46,IF($JE46=2,30,0),IF(42=$HO46,IF($JE46=1,30,0),ABS(18-$HI46)*100)),100000+ABS(2-$HH46)*1000+180)))-IF((42=$HJ46)+(42=$HK46)+(42=$HL46)+(42=$HM46)+(42=$HN46)+(42=$HO46)&gt;=2,50,0))+AS$5*50)</f>
        <v/>
      </c>
      <c r="AT166">
        <f>IF(OR($JF46=0,calcA!$A$6=0),0,IF(OR(43=$HA46,43=$HD46,43=$HG46),200000,MIN(IF($HA46=0,999999,IF(2=$HB46,IF(43=$HJ46,IF($JC46=2,30,0),IF(43=$HK46,IF($JC46=1,30,0),ABS(19-$HC46)*100)),100000+ABS(2-$HB46)*1000+190)),IF($HD46=0,999999,IF(2=$HE46,IF(43=$HL46,IF($JD46=2,30,0),IF(43=$HM46,IF($JD46=1,30,0),ABS(19-$HF46)*100)),100000+ABS(2-$HE46)*1000+190)),IF($HG46=0,999999,IF(2=$HH46,IF(43=$HN46,IF($JE46=2,30,0),IF(43=$HO46,IF($JE46=1,30,0),ABS(19-$HI46)*100)),100000+ABS(2-$HH46)*1000+190)))-IF((43=$HJ46)+(43=$HK46)+(43=$HL46)+(43=$HM46)+(43=$HN46)+(43=$HO46)&gt;=2,50,0))+AT$5*50)</f>
        <v/>
      </c>
      <c r="AU166">
        <f>IF(OR($JF46=0,calcA!$A$6=0),0,IF(OR(44=$HA46,44=$HD46,44=$HG46),200000,MIN(IF($HA46=0,999999,IF(2=$HB46,IF(44=$HJ46,IF($JC46=2,30,0),IF(44=$HK46,IF($JC46=1,30,0),ABS(20-$HC46)*100)),100000+ABS(2-$HB46)*1000+200)),IF($HD46=0,999999,IF(2=$HE46,IF(44=$HL46,IF($JD46=2,30,0),IF(44=$HM46,IF($JD46=1,30,0),ABS(20-$HF46)*100)),100000+ABS(2-$HE46)*1000+200)),IF($HG46=0,999999,IF(2=$HH46,IF(44=$HN46,IF($JE46=2,30,0),IF(44=$HO46,IF($JE46=1,30,0),ABS(20-$HI46)*100)),100000+ABS(2-$HH46)*1000+200)))-IF((44=$HJ46)+(44=$HK46)+(44=$HL46)+(44=$HM46)+(44=$HN46)+(44=$HO46)&gt;=2,50,0))+AU$5*50)</f>
        <v/>
      </c>
      <c r="AV166">
        <f>IF(OR($JF46=0,calcA!$A$6=0),0,IF(OR(45=$HA46,45=$HD46,45=$HG46),200000,MIN(IF($HA46=0,999999,IF(2=$HB46,IF(45=$HJ46,IF($JC46=2,30,0),IF(45=$HK46,IF($JC46=1,30,0),ABS(21-$HC46)*100)),100000+ABS(2-$HB46)*1000+210)),IF($HD46=0,999999,IF(2=$HE46,IF(45=$HL46,IF($JD46=2,30,0),IF(45=$HM46,IF($JD46=1,30,0),ABS(21-$HF46)*100)),100000+ABS(2-$HE46)*1000+210)),IF($HG46=0,999999,IF(2=$HH46,IF(45=$HN46,IF($JE46=2,30,0),IF(45=$HO46,IF($JE46=1,30,0),ABS(21-$HI46)*100)),100000+ABS(2-$HH46)*1000+210)))-IF((45=$HJ46)+(45=$HK46)+(45=$HL46)+(45=$HM46)+(45=$HN46)+(45=$HO46)&gt;=2,50,0))+AV$5*50)</f>
        <v/>
      </c>
      <c r="AW166">
        <f>IF(OR($JF46=0,calcA!$A$6=0),0,IF(OR(46=$HA46,46=$HD46,46=$HG46),200000,MIN(IF($HA46=0,999999,IF(2=$HB46,IF(46=$HJ46,IF($JC46=2,30,0),IF(46=$HK46,IF($JC46=1,30,0),ABS(22-$HC46)*100)),100000+ABS(2-$HB46)*1000+220)),IF($HD46=0,999999,IF(2=$HE46,IF(46=$HL46,IF($JD46=2,30,0),IF(46=$HM46,IF($JD46=1,30,0),ABS(22-$HF46)*100)),100000+ABS(2-$HE46)*1000+220)),IF($HG46=0,999999,IF(2=$HH46,IF(46=$HN46,IF($JE46=2,30,0),IF(46=$HO46,IF($JE46=1,30,0),ABS(22-$HI46)*100)),100000+ABS(2-$HH46)*1000+220)))-IF((46=$HJ46)+(46=$HK46)+(46=$HL46)+(46=$HM46)+(46=$HN46)+(46=$HO46)&gt;=2,50,0))+AW$5*50)</f>
        <v/>
      </c>
      <c r="AX166">
        <f>IF(OR($JF46=0,calcA!$A$6=0),0,IF(OR(47=$HA46,47=$HD46,47=$HG46),200000,MIN(IF($HA46=0,999999,IF(2=$HB46,IF(47=$HJ46,IF($JC46=2,30,0),IF(47=$HK46,IF($JC46=1,30,0),ABS(23-$HC46)*100)),100000+ABS(2-$HB46)*1000+230)),IF($HD46=0,999999,IF(2=$HE46,IF(47=$HL46,IF($JD46=2,30,0),IF(47=$HM46,IF($JD46=1,30,0),ABS(23-$HF46)*100)),100000+ABS(2-$HE46)*1000+230)),IF($HG46=0,999999,IF(2=$HH46,IF(47=$HN46,IF($JE46=2,30,0),IF(47=$HO46,IF($JE46=1,30,0),ABS(23-$HI46)*100)),100000+ABS(2-$HH46)*1000+230)))-IF((47=$HJ46)+(47=$HK46)+(47=$HL46)+(47=$HM46)+(47=$HN46)+(47=$HO46)&gt;=2,50,0))+AX$5*50)</f>
        <v/>
      </c>
      <c r="AY166">
        <f>IF(OR($JF46=0,calcA!$A$6=0),0,IF(OR(48=$HA46,48=$HD46,48=$HG46),200000,MIN(IF($HA46=0,999999,IF(2=$HB46,IF(48=$HJ46,IF($JC46=2,30,0),IF(48=$HK46,IF($JC46=1,30,0),ABS(24-$HC46)*100)),100000+ABS(2-$HB46)*1000+240)),IF($HD46=0,999999,IF(2=$HE46,IF(48=$HL46,IF($JD46=2,30,0),IF(48=$HM46,IF($JD46=1,30,0),ABS(24-$HF46)*100)),100000+ABS(2-$HE46)*1000+240)),IF($HG46=0,999999,IF(2=$HH46,IF(48=$HN46,IF($JE46=2,30,0),IF(48=$HO46,IF($JE46=1,30,0),ABS(24-$HI46)*100)),100000+ABS(2-$HH46)*1000+240)))-IF((48=$HJ46)+(48=$HK46)+(48=$HL46)+(48=$HM46)+(48=$HN46)+(48=$HO46)&gt;=2,50,0))+AY$5*50)</f>
        <v/>
      </c>
      <c r="AZ166">
        <f>IF(OR($JF46=0,calcA!$A$6=0),0,IF(OR(49=$HA46,49=$HD46,49=$HG46),200000,MIN(IF($HA46=0,999999,IF(3=$HB46,IF(49=$HJ46,IF($JC46=2,30,0),IF(49=$HK46,IF($JC46=1,30,0),ABS(1-$HC46)*100)),100000+ABS(3-$HB46)*1000+10)),IF($HD46=0,999999,IF(3=$HE46,IF(49=$HL46,IF($JD46=2,30,0),IF(49=$HM46,IF($JD46=1,30,0),ABS(1-$HF46)*100)),100000+ABS(3-$HE46)*1000+10)),IF($HG46=0,999999,IF(3=$HH46,IF(49=$HN46,IF($JE46=2,30,0),IF(49=$HO46,IF($JE46=1,30,0),ABS(1-$HI46)*100)),100000+ABS(3-$HH46)*1000+10)))-IF((49=$HJ46)+(49=$HK46)+(49=$HL46)+(49=$HM46)+(49=$HN46)+(49=$HO46)&gt;=2,50,0))+AZ$5*50)</f>
        <v/>
      </c>
      <c r="BA166">
        <f>IF(OR($JF46=0,calcA!$A$6=0),0,IF(OR(50=$HA46,50=$HD46,50=$HG46),200000,MIN(IF($HA46=0,999999,IF(3=$HB46,IF(50=$HJ46,IF($JC46=2,30,0),IF(50=$HK46,IF($JC46=1,30,0),ABS(2-$HC46)*100)),100000+ABS(3-$HB46)*1000+20)),IF($HD46=0,999999,IF(3=$HE46,IF(50=$HL46,IF($JD46=2,30,0),IF(50=$HM46,IF($JD46=1,30,0),ABS(2-$HF46)*100)),100000+ABS(3-$HE46)*1000+20)),IF($HG46=0,999999,IF(3=$HH46,IF(50=$HN46,IF($JE46=2,30,0),IF(50=$HO46,IF($JE46=1,30,0),ABS(2-$HI46)*100)),100000+ABS(3-$HH46)*1000+20)))-IF((50=$HJ46)+(50=$HK46)+(50=$HL46)+(50=$HM46)+(50=$HN46)+(50=$HO46)&gt;=2,50,0))+BA$5*50)</f>
        <v/>
      </c>
      <c r="BB166">
        <f>IF(OR($JF46=0,calcA!$A$6=0),0,IF(OR(51=$HA46,51=$HD46,51=$HG46),200000,MIN(IF($HA46=0,999999,IF(3=$HB46,IF(51=$HJ46,IF($JC46=2,30,0),IF(51=$HK46,IF($JC46=1,30,0),ABS(3-$HC46)*100)),100000+ABS(3-$HB46)*1000+30)),IF($HD46=0,999999,IF(3=$HE46,IF(51=$HL46,IF($JD46=2,30,0),IF(51=$HM46,IF($JD46=1,30,0),ABS(3-$HF46)*100)),100000+ABS(3-$HE46)*1000+30)),IF($HG46=0,999999,IF(3=$HH46,IF(51=$HN46,IF($JE46=2,30,0),IF(51=$HO46,IF($JE46=1,30,0),ABS(3-$HI46)*100)),100000+ABS(3-$HH46)*1000+30)))-IF((51=$HJ46)+(51=$HK46)+(51=$HL46)+(51=$HM46)+(51=$HN46)+(51=$HO46)&gt;=2,50,0))+BB$5*50)</f>
        <v/>
      </c>
      <c r="BC166">
        <f>IF(OR($JF46=0,calcA!$A$6=0),0,IF(OR(52=$HA46,52=$HD46,52=$HG46),200000,MIN(IF($HA46=0,999999,IF(3=$HB46,IF(52=$HJ46,IF($JC46=2,30,0),IF(52=$HK46,IF($JC46=1,30,0),ABS(4-$HC46)*100)),100000+ABS(3-$HB46)*1000+40)),IF($HD46=0,999999,IF(3=$HE46,IF(52=$HL46,IF($JD46=2,30,0),IF(52=$HM46,IF($JD46=1,30,0),ABS(4-$HF46)*100)),100000+ABS(3-$HE46)*1000+40)),IF($HG46=0,999999,IF(3=$HH46,IF(52=$HN46,IF($JE46=2,30,0),IF(52=$HO46,IF($JE46=1,30,0),ABS(4-$HI46)*100)),100000+ABS(3-$HH46)*1000+40)))-IF((52=$HJ46)+(52=$HK46)+(52=$HL46)+(52=$HM46)+(52=$HN46)+(52=$HO46)&gt;=2,50,0))+BC$5*50)</f>
        <v/>
      </c>
      <c r="BD166">
        <f>IF(OR($JF46=0,calcA!$A$6=0),0,IF(OR(53=$HA46,53=$HD46,53=$HG46),200000,MIN(IF($HA46=0,999999,IF(3=$HB46,IF(53=$HJ46,IF($JC46=2,30,0),IF(53=$HK46,IF($JC46=1,30,0),ABS(5-$HC46)*100)),100000+ABS(3-$HB46)*1000+50)),IF($HD46=0,999999,IF(3=$HE46,IF(53=$HL46,IF($JD46=2,30,0),IF(53=$HM46,IF($JD46=1,30,0),ABS(5-$HF46)*100)),100000+ABS(3-$HE46)*1000+50)),IF($HG46=0,999999,IF(3=$HH46,IF(53=$HN46,IF($JE46=2,30,0),IF(53=$HO46,IF($JE46=1,30,0),ABS(5-$HI46)*100)),100000+ABS(3-$HH46)*1000+50)))-IF((53=$HJ46)+(53=$HK46)+(53=$HL46)+(53=$HM46)+(53=$HN46)+(53=$HO46)&gt;=2,50,0))+BD$5*50)</f>
        <v/>
      </c>
      <c r="BE166">
        <f>IF(OR($JF46=0,calcA!$A$6=0),0,IF(OR(54=$HA46,54=$HD46,54=$HG46),200000,MIN(IF($HA46=0,999999,IF(3=$HB46,IF(54=$HJ46,IF($JC46=2,30,0),IF(54=$HK46,IF($JC46=1,30,0),ABS(6-$HC46)*100)),100000+ABS(3-$HB46)*1000+60)),IF($HD46=0,999999,IF(3=$HE46,IF(54=$HL46,IF($JD46=2,30,0),IF(54=$HM46,IF($JD46=1,30,0),ABS(6-$HF46)*100)),100000+ABS(3-$HE46)*1000+60)),IF($HG46=0,999999,IF(3=$HH46,IF(54=$HN46,IF($JE46=2,30,0),IF(54=$HO46,IF($JE46=1,30,0),ABS(6-$HI46)*100)),100000+ABS(3-$HH46)*1000+60)))-IF((54=$HJ46)+(54=$HK46)+(54=$HL46)+(54=$HM46)+(54=$HN46)+(54=$HO46)&gt;=2,50,0))+BE$5*50)</f>
        <v/>
      </c>
      <c r="BF166">
        <f>IF(OR($JF46=0,calcA!$A$6=0),0,IF(OR(55=$HA46,55=$HD46,55=$HG46),200000,MIN(IF($HA46=0,999999,IF(3=$HB46,IF(55=$HJ46,IF($JC46=2,30,0),IF(55=$HK46,IF($JC46=1,30,0),ABS(7-$HC46)*100)),100000+ABS(3-$HB46)*1000+70)),IF($HD46=0,999999,IF(3=$HE46,IF(55=$HL46,IF($JD46=2,30,0),IF(55=$HM46,IF($JD46=1,30,0),ABS(7-$HF46)*100)),100000+ABS(3-$HE46)*1000+70)),IF($HG46=0,999999,IF(3=$HH46,IF(55=$HN46,IF($JE46=2,30,0),IF(55=$HO46,IF($JE46=1,30,0),ABS(7-$HI46)*100)),100000+ABS(3-$HH46)*1000+70)))-IF((55=$HJ46)+(55=$HK46)+(55=$HL46)+(55=$HM46)+(55=$HN46)+(55=$HO46)&gt;=2,50,0))+BF$5*50)</f>
        <v/>
      </c>
      <c r="BG166">
        <f>IF(OR($JF46=0,calcA!$A$6=0),0,IF(OR(56=$HA46,56=$HD46,56=$HG46),200000,MIN(IF($HA46=0,999999,IF(3=$HB46,IF(56=$HJ46,IF($JC46=2,30,0),IF(56=$HK46,IF($JC46=1,30,0),ABS(8-$HC46)*100)),100000+ABS(3-$HB46)*1000+80)),IF($HD46=0,999999,IF(3=$HE46,IF(56=$HL46,IF($JD46=2,30,0),IF(56=$HM46,IF($JD46=1,30,0),ABS(8-$HF46)*100)),100000+ABS(3-$HE46)*1000+80)),IF($HG46=0,999999,IF(3=$HH46,IF(56=$HN46,IF($JE46=2,30,0),IF(56=$HO46,IF($JE46=1,30,0),ABS(8-$HI46)*100)),100000+ABS(3-$HH46)*1000+80)))-IF((56=$HJ46)+(56=$HK46)+(56=$HL46)+(56=$HM46)+(56=$HN46)+(56=$HO46)&gt;=2,50,0))+BG$5*50)</f>
        <v/>
      </c>
      <c r="BH166">
        <f>IF(OR($JF46=0,calcA!$A$6=0),0,IF(OR(57=$HA46,57=$HD46,57=$HG46),200000,MIN(IF($HA46=0,999999,IF(3=$HB46,IF(57=$HJ46,IF($JC46=2,30,0),IF(57=$HK46,IF($JC46=1,30,0),ABS(9-$HC46)*100)),100000+ABS(3-$HB46)*1000+90)),IF($HD46=0,999999,IF(3=$HE46,IF(57=$HL46,IF($JD46=2,30,0),IF(57=$HM46,IF($JD46=1,30,0),ABS(9-$HF46)*100)),100000+ABS(3-$HE46)*1000+90)),IF($HG46=0,999999,IF(3=$HH46,IF(57=$HN46,IF($JE46=2,30,0),IF(57=$HO46,IF($JE46=1,30,0),ABS(9-$HI46)*100)),100000+ABS(3-$HH46)*1000+90)))-IF((57=$HJ46)+(57=$HK46)+(57=$HL46)+(57=$HM46)+(57=$HN46)+(57=$HO46)&gt;=2,50,0))+BH$5*50)</f>
        <v/>
      </c>
      <c r="BI166">
        <f>IF(OR($JF46=0,calcA!$A$6=0),0,IF(OR(58=$HA46,58=$HD46,58=$HG46),200000,MIN(IF($HA46=0,999999,IF(3=$HB46,IF(58=$HJ46,IF($JC46=2,30,0),IF(58=$HK46,IF($JC46=1,30,0),ABS(10-$HC46)*100)),100000+ABS(3-$HB46)*1000+100)),IF($HD46=0,999999,IF(3=$HE46,IF(58=$HL46,IF($JD46=2,30,0),IF(58=$HM46,IF($JD46=1,30,0),ABS(10-$HF46)*100)),100000+ABS(3-$HE46)*1000+100)),IF($HG46=0,999999,IF(3=$HH46,IF(58=$HN46,IF($JE46=2,30,0),IF(58=$HO46,IF($JE46=1,30,0),ABS(10-$HI46)*100)),100000+ABS(3-$HH46)*1000+100)))-IF((58=$HJ46)+(58=$HK46)+(58=$HL46)+(58=$HM46)+(58=$HN46)+(58=$HO46)&gt;=2,50,0))+BI$5*50)</f>
        <v/>
      </c>
      <c r="BJ166">
        <f>IF(OR($JF46=0,calcA!$A$6=0),0,IF(OR(59=$HA46,59=$HD46,59=$HG46),200000,MIN(IF($HA46=0,999999,IF(3=$HB46,IF(59=$HJ46,IF($JC46=2,30,0),IF(59=$HK46,IF($JC46=1,30,0),ABS(11-$HC46)*100)),100000+ABS(3-$HB46)*1000+110)),IF($HD46=0,999999,IF(3=$HE46,IF(59=$HL46,IF($JD46=2,30,0),IF(59=$HM46,IF($JD46=1,30,0),ABS(11-$HF46)*100)),100000+ABS(3-$HE46)*1000+110)),IF($HG46=0,999999,IF(3=$HH46,IF(59=$HN46,IF($JE46=2,30,0),IF(59=$HO46,IF($JE46=1,30,0),ABS(11-$HI46)*100)),100000+ABS(3-$HH46)*1000+110)))-IF((59=$HJ46)+(59=$HK46)+(59=$HL46)+(59=$HM46)+(59=$HN46)+(59=$HO46)&gt;=2,50,0))+BJ$5*50)</f>
        <v/>
      </c>
      <c r="BK166">
        <f>IF(OR($JF46=0,calcA!$A$6=0),0,IF(OR(60=$HA46,60=$HD46,60=$HG46),200000,MIN(IF($HA46=0,999999,IF(3=$HB46,IF(60=$HJ46,IF($JC46=2,30,0),IF(60=$HK46,IF($JC46=1,30,0),ABS(12-$HC46)*100)),100000+ABS(3-$HB46)*1000+120)),IF($HD46=0,999999,IF(3=$HE46,IF(60=$HL46,IF($JD46=2,30,0),IF(60=$HM46,IF($JD46=1,30,0),ABS(12-$HF46)*100)),100000+ABS(3-$HE46)*1000+120)),IF($HG46=0,999999,IF(3=$HH46,IF(60=$HN46,IF($JE46=2,30,0),IF(60=$HO46,IF($JE46=1,30,0),ABS(12-$HI46)*100)),100000+ABS(3-$HH46)*1000+120)))-IF((60=$HJ46)+(60=$HK46)+(60=$HL46)+(60=$HM46)+(60=$HN46)+(60=$HO46)&gt;=2,50,0))+BK$5*50)</f>
        <v/>
      </c>
      <c r="BL166">
        <f>IF(OR($JF46=0,calcA!$A$6=0),0,IF(OR(61=$HA46,61=$HD46,61=$HG46),200000,MIN(IF($HA46=0,999999,IF(3=$HB46,IF(61=$HJ46,IF($JC46=2,30,0),IF(61=$HK46,IF($JC46=1,30,0),ABS(13-$HC46)*100)),100000+ABS(3-$HB46)*1000+130)),IF($HD46=0,999999,IF(3=$HE46,IF(61=$HL46,IF($JD46=2,30,0),IF(61=$HM46,IF($JD46=1,30,0),ABS(13-$HF46)*100)),100000+ABS(3-$HE46)*1000+130)),IF($HG46=0,999999,IF(3=$HH46,IF(61=$HN46,IF($JE46=2,30,0),IF(61=$HO46,IF($JE46=1,30,0),ABS(13-$HI46)*100)),100000+ABS(3-$HH46)*1000+130)))-IF((61=$HJ46)+(61=$HK46)+(61=$HL46)+(61=$HM46)+(61=$HN46)+(61=$HO46)&gt;=2,50,0))+BL$5*50)</f>
        <v/>
      </c>
      <c r="BM166">
        <f>IF(OR($JF46=0,calcA!$A$6=0),0,IF(OR(62=$HA46,62=$HD46,62=$HG46),200000,MIN(IF($HA46=0,999999,IF(3=$HB46,IF(62=$HJ46,IF($JC46=2,30,0),IF(62=$HK46,IF($JC46=1,30,0),ABS(14-$HC46)*100)),100000+ABS(3-$HB46)*1000+140)),IF($HD46=0,999999,IF(3=$HE46,IF(62=$HL46,IF($JD46=2,30,0),IF(62=$HM46,IF($JD46=1,30,0),ABS(14-$HF46)*100)),100000+ABS(3-$HE46)*1000+140)),IF($HG46=0,999999,IF(3=$HH46,IF(62=$HN46,IF($JE46=2,30,0),IF(62=$HO46,IF($JE46=1,30,0),ABS(14-$HI46)*100)),100000+ABS(3-$HH46)*1000+140)))-IF((62=$HJ46)+(62=$HK46)+(62=$HL46)+(62=$HM46)+(62=$HN46)+(62=$HO46)&gt;=2,50,0))+BM$5*50)</f>
        <v/>
      </c>
      <c r="BN166">
        <f>IF(OR($JF46=0,calcA!$A$6=0),0,IF(OR(63=$HA46,63=$HD46,63=$HG46),200000,MIN(IF($HA46=0,999999,IF(3=$HB46,IF(63=$HJ46,IF($JC46=2,30,0),IF(63=$HK46,IF($JC46=1,30,0),ABS(15-$HC46)*100)),100000+ABS(3-$HB46)*1000+150)),IF($HD46=0,999999,IF(3=$HE46,IF(63=$HL46,IF($JD46=2,30,0),IF(63=$HM46,IF($JD46=1,30,0),ABS(15-$HF46)*100)),100000+ABS(3-$HE46)*1000+150)),IF($HG46=0,999999,IF(3=$HH46,IF(63=$HN46,IF($JE46=2,30,0),IF(63=$HO46,IF($JE46=1,30,0),ABS(15-$HI46)*100)),100000+ABS(3-$HH46)*1000+150)))-IF((63=$HJ46)+(63=$HK46)+(63=$HL46)+(63=$HM46)+(63=$HN46)+(63=$HO46)&gt;=2,50,0))+BN$5*50)</f>
        <v/>
      </c>
      <c r="BO166">
        <f>IF(OR($JF46=0,calcA!$A$6=0),0,IF(OR(64=$HA46,64=$HD46,64=$HG46),200000,MIN(IF($HA46=0,999999,IF(3=$HB46,IF(64=$HJ46,IF($JC46=2,30,0),IF(64=$HK46,IF($JC46=1,30,0),ABS(16-$HC46)*100)),100000+ABS(3-$HB46)*1000+160)),IF($HD46=0,999999,IF(3=$HE46,IF(64=$HL46,IF($JD46=2,30,0),IF(64=$HM46,IF($JD46=1,30,0),ABS(16-$HF46)*100)),100000+ABS(3-$HE46)*1000+160)),IF($HG46=0,999999,IF(3=$HH46,IF(64=$HN46,IF($JE46=2,30,0),IF(64=$HO46,IF($JE46=1,30,0),ABS(16-$HI46)*100)),100000+ABS(3-$HH46)*1000+160)))-IF((64=$HJ46)+(64=$HK46)+(64=$HL46)+(64=$HM46)+(64=$HN46)+(64=$HO46)&gt;=2,50,0))+BO$5*50)</f>
        <v/>
      </c>
      <c r="BP166">
        <f>IF(OR($JF46=0,calcA!$A$6=0),0,IF(OR(65=$HA46,65=$HD46,65=$HG46),200000,MIN(IF($HA46=0,999999,IF(3=$HB46,IF(65=$HJ46,IF($JC46=2,30,0),IF(65=$HK46,IF($JC46=1,30,0),ABS(17-$HC46)*100)),100000+ABS(3-$HB46)*1000+170)),IF($HD46=0,999999,IF(3=$HE46,IF(65=$HL46,IF($JD46=2,30,0),IF(65=$HM46,IF($JD46=1,30,0),ABS(17-$HF46)*100)),100000+ABS(3-$HE46)*1000+170)),IF($HG46=0,999999,IF(3=$HH46,IF(65=$HN46,IF($JE46=2,30,0),IF(65=$HO46,IF($JE46=1,30,0),ABS(17-$HI46)*100)),100000+ABS(3-$HH46)*1000+170)))-IF((65=$HJ46)+(65=$HK46)+(65=$HL46)+(65=$HM46)+(65=$HN46)+(65=$HO46)&gt;=2,50,0))+BP$5*50)</f>
        <v/>
      </c>
      <c r="BQ166">
        <f>IF(OR($JF46=0,calcA!$A$6=0),0,IF(OR(66=$HA46,66=$HD46,66=$HG46),200000,MIN(IF($HA46=0,999999,IF(3=$HB46,IF(66=$HJ46,IF($JC46=2,30,0),IF(66=$HK46,IF($JC46=1,30,0),ABS(18-$HC46)*100)),100000+ABS(3-$HB46)*1000+180)),IF($HD46=0,999999,IF(3=$HE46,IF(66=$HL46,IF($JD46=2,30,0),IF(66=$HM46,IF($JD46=1,30,0),ABS(18-$HF46)*100)),100000+ABS(3-$HE46)*1000+180)),IF($HG46=0,999999,IF(3=$HH46,IF(66=$HN46,IF($JE46=2,30,0),IF(66=$HO46,IF($JE46=1,30,0),ABS(18-$HI46)*100)),100000+ABS(3-$HH46)*1000+180)))-IF((66=$HJ46)+(66=$HK46)+(66=$HL46)+(66=$HM46)+(66=$HN46)+(66=$HO46)&gt;=2,50,0))+BQ$5*50)</f>
        <v/>
      </c>
      <c r="BR166">
        <f>IF(OR($JF46=0,calcA!$A$6=0),0,IF(OR(67=$HA46,67=$HD46,67=$HG46),200000,MIN(IF($HA46=0,999999,IF(3=$HB46,IF(67=$HJ46,IF($JC46=2,30,0),IF(67=$HK46,IF($JC46=1,30,0),ABS(19-$HC46)*100)),100000+ABS(3-$HB46)*1000+190)),IF($HD46=0,999999,IF(3=$HE46,IF(67=$HL46,IF($JD46=2,30,0),IF(67=$HM46,IF($JD46=1,30,0),ABS(19-$HF46)*100)),100000+ABS(3-$HE46)*1000+190)),IF($HG46=0,999999,IF(3=$HH46,IF(67=$HN46,IF($JE46=2,30,0),IF(67=$HO46,IF($JE46=1,30,0),ABS(19-$HI46)*100)),100000+ABS(3-$HH46)*1000+190)))-IF((67=$HJ46)+(67=$HK46)+(67=$HL46)+(67=$HM46)+(67=$HN46)+(67=$HO46)&gt;=2,50,0))+BR$5*50)</f>
        <v/>
      </c>
      <c r="BS166">
        <f>IF(OR($JF46=0,calcA!$A$6=0),0,IF(OR(68=$HA46,68=$HD46,68=$HG46),200000,MIN(IF($HA46=0,999999,IF(3=$HB46,IF(68=$HJ46,IF($JC46=2,30,0),IF(68=$HK46,IF($JC46=1,30,0),ABS(20-$HC46)*100)),100000+ABS(3-$HB46)*1000+200)),IF($HD46=0,999999,IF(3=$HE46,IF(68=$HL46,IF($JD46=2,30,0),IF(68=$HM46,IF($JD46=1,30,0),ABS(20-$HF46)*100)),100000+ABS(3-$HE46)*1000+200)),IF($HG46=0,999999,IF(3=$HH46,IF(68=$HN46,IF($JE46=2,30,0),IF(68=$HO46,IF($JE46=1,30,0),ABS(20-$HI46)*100)),100000+ABS(3-$HH46)*1000+200)))-IF((68=$HJ46)+(68=$HK46)+(68=$HL46)+(68=$HM46)+(68=$HN46)+(68=$HO46)&gt;=2,50,0))+BS$5*50)</f>
        <v/>
      </c>
      <c r="BT166">
        <f>IF(OR($JF46=0,calcA!$A$6=0),0,IF(OR(69=$HA46,69=$HD46,69=$HG46),200000,MIN(IF($HA46=0,999999,IF(3=$HB46,IF(69=$HJ46,IF($JC46=2,30,0),IF(69=$HK46,IF($JC46=1,30,0),ABS(21-$HC46)*100)),100000+ABS(3-$HB46)*1000+210)),IF($HD46=0,999999,IF(3=$HE46,IF(69=$HL46,IF($JD46=2,30,0),IF(69=$HM46,IF($JD46=1,30,0),ABS(21-$HF46)*100)),100000+ABS(3-$HE46)*1000+210)),IF($HG46=0,999999,IF(3=$HH46,IF(69=$HN46,IF($JE46=2,30,0),IF(69=$HO46,IF($JE46=1,30,0),ABS(21-$HI46)*100)),100000+ABS(3-$HH46)*1000+210)))-IF((69=$HJ46)+(69=$HK46)+(69=$HL46)+(69=$HM46)+(69=$HN46)+(69=$HO46)&gt;=2,50,0))+BT$5*50)</f>
        <v/>
      </c>
      <c r="BU166">
        <f>IF(OR($JF46=0,calcA!$A$6=0),0,IF(OR(70=$HA46,70=$HD46,70=$HG46),200000,MIN(IF($HA46=0,999999,IF(3=$HB46,IF(70=$HJ46,IF($JC46=2,30,0),IF(70=$HK46,IF($JC46=1,30,0),ABS(22-$HC46)*100)),100000+ABS(3-$HB46)*1000+220)),IF($HD46=0,999999,IF(3=$HE46,IF(70=$HL46,IF($JD46=2,30,0),IF(70=$HM46,IF($JD46=1,30,0),ABS(22-$HF46)*100)),100000+ABS(3-$HE46)*1000+220)),IF($HG46=0,999999,IF(3=$HH46,IF(70=$HN46,IF($JE46=2,30,0),IF(70=$HO46,IF($JE46=1,30,0),ABS(22-$HI46)*100)),100000+ABS(3-$HH46)*1000+220)))-IF((70=$HJ46)+(70=$HK46)+(70=$HL46)+(70=$HM46)+(70=$HN46)+(70=$HO46)&gt;=2,50,0))+BU$5*50)</f>
        <v/>
      </c>
      <c r="BV166">
        <f>IF(OR($JF46=0,calcA!$A$6=0),0,IF(OR(71=$HA46,71=$HD46,71=$HG46),200000,MIN(IF($HA46=0,999999,IF(3=$HB46,IF(71=$HJ46,IF($JC46=2,30,0),IF(71=$HK46,IF($JC46=1,30,0),ABS(23-$HC46)*100)),100000+ABS(3-$HB46)*1000+230)),IF($HD46=0,999999,IF(3=$HE46,IF(71=$HL46,IF($JD46=2,30,0),IF(71=$HM46,IF($JD46=1,30,0),ABS(23-$HF46)*100)),100000+ABS(3-$HE46)*1000+230)),IF($HG46=0,999999,IF(3=$HH46,IF(71=$HN46,IF($JE46=2,30,0),IF(71=$HO46,IF($JE46=1,30,0),ABS(23-$HI46)*100)),100000+ABS(3-$HH46)*1000+230)))-IF((71=$HJ46)+(71=$HK46)+(71=$HL46)+(71=$HM46)+(71=$HN46)+(71=$HO46)&gt;=2,50,0))+BV$5*50)</f>
        <v/>
      </c>
      <c r="BW166">
        <f>IF(OR($JF46=0,calcA!$A$6=0),0,IF(OR(72=$HA46,72=$HD46,72=$HG46),200000,MIN(IF($HA46=0,999999,IF(3=$HB46,IF(72=$HJ46,IF($JC46=2,30,0),IF(72=$HK46,IF($JC46=1,30,0),ABS(24-$HC46)*100)),100000+ABS(3-$HB46)*1000+240)),IF($HD46=0,999999,IF(3=$HE46,IF(72=$HL46,IF($JD46=2,30,0),IF(72=$HM46,IF($JD46=1,30,0),ABS(24-$HF46)*100)),100000+ABS(3-$HE46)*1000+240)),IF($HG46=0,999999,IF(3=$HH46,IF(72=$HN46,IF($JE46=2,30,0),IF(72=$HO46,IF($JE46=1,30,0),ABS(24-$HI46)*100)),100000+ABS(3-$HH46)*1000+240)))-IF((72=$HJ46)+(72=$HK46)+(72=$HL46)+(72=$HM46)+(72=$HN46)+(72=$HO46)&gt;=2,50,0))+BW$5*50)</f>
        <v/>
      </c>
      <c r="BX166">
        <f>IF(OR($JF46=0,calcA!$A$6=0),0,IF(OR(73=$HA46,73=$HD46,73=$HG46),200000,MIN(IF($HA46=0,999999,IF(4=$HB46,IF(73=$HJ46,IF($JC46=2,30,0),IF(73=$HK46,IF($JC46=1,30,0),ABS(1-$HC46)*100)),100000+ABS(4-$HB46)*1000+10)),IF($HD46=0,999999,IF(4=$HE46,IF(73=$HL46,IF($JD46=2,30,0),IF(73=$HM46,IF($JD46=1,30,0),ABS(1-$HF46)*100)),100000+ABS(4-$HE46)*1000+10)),IF($HG46=0,999999,IF(4=$HH46,IF(73=$HN46,IF($JE46=2,30,0),IF(73=$HO46,IF($JE46=1,30,0),ABS(1-$HI46)*100)),100000+ABS(4-$HH46)*1000+10)))-IF((73=$HJ46)+(73=$HK46)+(73=$HL46)+(73=$HM46)+(73=$HN46)+(73=$HO46)&gt;=2,50,0))+BX$5*50)</f>
        <v/>
      </c>
      <c r="BY166">
        <f>IF(OR($JF46=0,calcA!$A$6=0),0,IF(OR(74=$HA46,74=$HD46,74=$HG46),200000,MIN(IF($HA46=0,999999,IF(4=$HB46,IF(74=$HJ46,IF($JC46=2,30,0),IF(74=$HK46,IF($JC46=1,30,0),ABS(2-$HC46)*100)),100000+ABS(4-$HB46)*1000+20)),IF($HD46=0,999999,IF(4=$HE46,IF(74=$HL46,IF($JD46=2,30,0),IF(74=$HM46,IF($JD46=1,30,0),ABS(2-$HF46)*100)),100000+ABS(4-$HE46)*1000+20)),IF($HG46=0,999999,IF(4=$HH46,IF(74=$HN46,IF($JE46=2,30,0),IF(74=$HO46,IF($JE46=1,30,0),ABS(2-$HI46)*100)),100000+ABS(4-$HH46)*1000+20)))-IF((74=$HJ46)+(74=$HK46)+(74=$HL46)+(74=$HM46)+(74=$HN46)+(74=$HO46)&gt;=2,50,0))+BY$5*50)</f>
        <v/>
      </c>
      <c r="BZ166">
        <f>IF(OR($JF46=0,calcA!$A$6=0),0,IF(OR(75=$HA46,75=$HD46,75=$HG46),200000,MIN(IF($HA46=0,999999,IF(4=$HB46,IF(75=$HJ46,IF($JC46=2,30,0),IF(75=$HK46,IF($JC46=1,30,0),ABS(3-$HC46)*100)),100000+ABS(4-$HB46)*1000+30)),IF($HD46=0,999999,IF(4=$HE46,IF(75=$HL46,IF($JD46=2,30,0),IF(75=$HM46,IF($JD46=1,30,0),ABS(3-$HF46)*100)),100000+ABS(4-$HE46)*1000+30)),IF($HG46=0,999999,IF(4=$HH46,IF(75=$HN46,IF($JE46=2,30,0),IF(75=$HO46,IF($JE46=1,30,0),ABS(3-$HI46)*100)),100000+ABS(4-$HH46)*1000+30)))-IF((75=$HJ46)+(75=$HK46)+(75=$HL46)+(75=$HM46)+(75=$HN46)+(75=$HO46)&gt;=2,50,0))+BZ$5*50)</f>
        <v/>
      </c>
      <c r="CA166">
        <f>IF(OR($JF46=0,calcA!$A$6=0),0,IF(OR(76=$HA46,76=$HD46,76=$HG46),200000,MIN(IF($HA46=0,999999,IF(4=$HB46,IF(76=$HJ46,IF($JC46=2,30,0),IF(76=$HK46,IF($JC46=1,30,0),ABS(4-$HC46)*100)),100000+ABS(4-$HB46)*1000+40)),IF($HD46=0,999999,IF(4=$HE46,IF(76=$HL46,IF($JD46=2,30,0),IF(76=$HM46,IF($JD46=1,30,0),ABS(4-$HF46)*100)),100000+ABS(4-$HE46)*1000+40)),IF($HG46=0,999999,IF(4=$HH46,IF(76=$HN46,IF($JE46=2,30,0),IF(76=$HO46,IF($JE46=1,30,0),ABS(4-$HI46)*100)),100000+ABS(4-$HH46)*1000+40)))-IF((76=$HJ46)+(76=$HK46)+(76=$HL46)+(76=$HM46)+(76=$HN46)+(76=$HO46)&gt;=2,50,0))+CA$5*50)</f>
        <v/>
      </c>
      <c r="CB166">
        <f>IF(OR($JF46=0,calcA!$A$6=0),0,IF(OR(77=$HA46,77=$HD46,77=$HG46),200000,MIN(IF($HA46=0,999999,IF(4=$HB46,IF(77=$HJ46,IF($JC46=2,30,0),IF(77=$HK46,IF($JC46=1,30,0),ABS(5-$HC46)*100)),100000+ABS(4-$HB46)*1000+50)),IF($HD46=0,999999,IF(4=$HE46,IF(77=$HL46,IF($JD46=2,30,0),IF(77=$HM46,IF($JD46=1,30,0),ABS(5-$HF46)*100)),100000+ABS(4-$HE46)*1000+50)),IF($HG46=0,999999,IF(4=$HH46,IF(77=$HN46,IF($JE46=2,30,0),IF(77=$HO46,IF($JE46=1,30,0),ABS(5-$HI46)*100)),100000+ABS(4-$HH46)*1000+50)))-IF((77=$HJ46)+(77=$HK46)+(77=$HL46)+(77=$HM46)+(77=$HN46)+(77=$HO46)&gt;=2,50,0))+CB$5*50)</f>
        <v/>
      </c>
      <c r="CC166">
        <f>IF(OR($JF46=0,calcA!$A$6=0),0,IF(OR(78=$HA46,78=$HD46,78=$HG46),200000,MIN(IF($HA46=0,999999,IF(4=$HB46,IF(78=$HJ46,IF($JC46=2,30,0),IF(78=$HK46,IF($JC46=1,30,0),ABS(6-$HC46)*100)),100000+ABS(4-$HB46)*1000+60)),IF($HD46=0,999999,IF(4=$HE46,IF(78=$HL46,IF($JD46=2,30,0),IF(78=$HM46,IF($JD46=1,30,0),ABS(6-$HF46)*100)),100000+ABS(4-$HE46)*1000+60)),IF($HG46=0,999999,IF(4=$HH46,IF(78=$HN46,IF($JE46=2,30,0),IF(78=$HO46,IF($JE46=1,30,0),ABS(6-$HI46)*100)),100000+ABS(4-$HH46)*1000+60)))-IF((78=$HJ46)+(78=$HK46)+(78=$HL46)+(78=$HM46)+(78=$HN46)+(78=$HO46)&gt;=2,50,0))+CC$5*50)</f>
        <v/>
      </c>
      <c r="CD166">
        <f>IF(OR($JF46=0,calcA!$A$6=0),0,IF(OR(79=$HA46,79=$HD46,79=$HG46),200000,MIN(IF($HA46=0,999999,IF(4=$HB46,IF(79=$HJ46,IF($JC46=2,30,0),IF(79=$HK46,IF($JC46=1,30,0),ABS(7-$HC46)*100)),100000+ABS(4-$HB46)*1000+70)),IF($HD46=0,999999,IF(4=$HE46,IF(79=$HL46,IF($JD46=2,30,0),IF(79=$HM46,IF($JD46=1,30,0),ABS(7-$HF46)*100)),100000+ABS(4-$HE46)*1000+70)),IF($HG46=0,999999,IF(4=$HH46,IF(79=$HN46,IF($JE46=2,30,0),IF(79=$HO46,IF($JE46=1,30,0),ABS(7-$HI46)*100)),100000+ABS(4-$HH46)*1000+70)))-IF((79=$HJ46)+(79=$HK46)+(79=$HL46)+(79=$HM46)+(79=$HN46)+(79=$HO46)&gt;=2,50,0))+CD$5*50)</f>
        <v/>
      </c>
      <c r="CE166">
        <f>IF(OR($JF46=0,calcA!$A$6=0),0,IF(OR(80=$HA46,80=$HD46,80=$HG46),200000,MIN(IF($HA46=0,999999,IF(4=$HB46,IF(80=$HJ46,IF($JC46=2,30,0),IF(80=$HK46,IF($JC46=1,30,0),ABS(8-$HC46)*100)),100000+ABS(4-$HB46)*1000+80)),IF($HD46=0,999999,IF(4=$HE46,IF(80=$HL46,IF($JD46=2,30,0),IF(80=$HM46,IF($JD46=1,30,0),ABS(8-$HF46)*100)),100000+ABS(4-$HE46)*1000+80)),IF($HG46=0,999999,IF(4=$HH46,IF(80=$HN46,IF($JE46=2,30,0),IF(80=$HO46,IF($JE46=1,30,0),ABS(8-$HI46)*100)),100000+ABS(4-$HH46)*1000+80)))-IF((80=$HJ46)+(80=$HK46)+(80=$HL46)+(80=$HM46)+(80=$HN46)+(80=$HO46)&gt;=2,50,0))+CE$5*50)</f>
        <v/>
      </c>
      <c r="CF166">
        <f>IF(OR($JF46=0,calcA!$A$6=0),0,IF(OR(81=$HA46,81=$HD46,81=$HG46),200000,MIN(IF($HA46=0,999999,IF(4=$HB46,IF(81=$HJ46,IF($JC46=2,30,0),IF(81=$HK46,IF($JC46=1,30,0),ABS(9-$HC46)*100)),100000+ABS(4-$HB46)*1000+90)),IF($HD46=0,999999,IF(4=$HE46,IF(81=$HL46,IF($JD46=2,30,0),IF(81=$HM46,IF($JD46=1,30,0),ABS(9-$HF46)*100)),100000+ABS(4-$HE46)*1000+90)),IF($HG46=0,999999,IF(4=$HH46,IF(81=$HN46,IF($JE46=2,30,0),IF(81=$HO46,IF($JE46=1,30,0),ABS(9-$HI46)*100)),100000+ABS(4-$HH46)*1000+90)))-IF((81=$HJ46)+(81=$HK46)+(81=$HL46)+(81=$HM46)+(81=$HN46)+(81=$HO46)&gt;=2,50,0))+CF$5*50)</f>
        <v/>
      </c>
      <c r="CG166">
        <f>IF(OR($JF46=0,calcA!$A$6=0),0,IF(OR(82=$HA46,82=$HD46,82=$HG46),200000,MIN(IF($HA46=0,999999,IF(4=$HB46,IF(82=$HJ46,IF($JC46=2,30,0),IF(82=$HK46,IF($JC46=1,30,0),ABS(10-$HC46)*100)),100000+ABS(4-$HB46)*1000+100)),IF($HD46=0,999999,IF(4=$HE46,IF(82=$HL46,IF($JD46=2,30,0),IF(82=$HM46,IF($JD46=1,30,0),ABS(10-$HF46)*100)),100000+ABS(4-$HE46)*1000+100)),IF($HG46=0,999999,IF(4=$HH46,IF(82=$HN46,IF($JE46=2,30,0),IF(82=$HO46,IF($JE46=1,30,0),ABS(10-$HI46)*100)),100000+ABS(4-$HH46)*1000+100)))-IF((82=$HJ46)+(82=$HK46)+(82=$HL46)+(82=$HM46)+(82=$HN46)+(82=$HO46)&gt;=2,50,0))+CG$5*50)</f>
        <v/>
      </c>
      <c r="CH166">
        <f>IF(OR($JF46=0,calcA!$A$6=0),0,IF(OR(83=$HA46,83=$HD46,83=$HG46),200000,MIN(IF($HA46=0,999999,IF(4=$HB46,IF(83=$HJ46,IF($JC46=2,30,0),IF(83=$HK46,IF($JC46=1,30,0),ABS(11-$HC46)*100)),100000+ABS(4-$HB46)*1000+110)),IF($HD46=0,999999,IF(4=$HE46,IF(83=$HL46,IF($JD46=2,30,0),IF(83=$HM46,IF($JD46=1,30,0),ABS(11-$HF46)*100)),100000+ABS(4-$HE46)*1000+110)),IF($HG46=0,999999,IF(4=$HH46,IF(83=$HN46,IF($JE46=2,30,0),IF(83=$HO46,IF($JE46=1,30,0),ABS(11-$HI46)*100)),100000+ABS(4-$HH46)*1000+110)))-IF((83=$HJ46)+(83=$HK46)+(83=$HL46)+(83=$HM46)+(83=$HN46)+(83=$HO46)&gt;=2,50,0))+CH$5*50)</f>
        <v/>
      </c>
      <c r="CI166">
        <f>IF(OR($JF46=0,calcA!$A$6=0),0,IF(OR(84=$HA46,84=$HD46,84=$HG46),200000,MIN(IF($HA46=0,999999,IF(4=$HB46,IF(84=$HJ46,IF($JC46=2,30,0),IF(84=$HK46,IF($JC46=1,30,0),ABS(12-$HC46)*100)),100000+ABS(4-$HB46)*1000+120)),IF($HD46=0,999999,IF(4=$HE46,IF(84=$HL46,IF($JD46=2,30,0),IF(84=$HM46,IF($JD46=1,30,0),ABS(12-$HF46)*100)),100000+ABS(4-$HE46)*1000+120)),IF($HG46=0,999999,IF(4=$HH46,IF(84=$HN46,IF($JE46=2,30,0),IF(84=$HO46,IF($JE46=1,30,0),ABS(12-$HI46)*100)),100000+ABS(4-$HH46)*1000+120)))-IF((84=$HJ46)+(84=$HK46)+(84=$HL46)+(84=$HM46)+(84=$HN46)+(84=$HO46)&gt;=2,50,0))+CI$5*50)</f>
        <v/>
      </c>
      <c r="CJ166">
        <f>IF(OR($JF46=0,calcA!$A$6=0),0,IF(OR(85=$HA46,85=$HD46,85=$HG46),200000,MIN(IF($HA46=0,999999,IF(4=$HB46,IF(85=$HJ46,IF($JC46=2,30,0),IF(85=$HK46,IF($JC46=1,30,0),ABS(13-$HC46)*100)),100000+ABS(4-$HB46)*1000+130)),IF($HD46=0,999999,IF(4=$HE46,IF(85=$HL46,IF($JD46=2,30,0),IF(85=$HM46,IF($JD46=1,30,0),ABS(13-$HF46)*100)),100000+ABS(4-$HE46)*1000+130)),IF($HG46=0,999999,IF(4=$HH46,IF(85=$HN46,IF($JE46=2,30,0),IF(85=$HO46,IF($JE46=1,30,0),ABS(13-$HI46)*100)),100000+ABS(4-$HH46)*1000+130)))-IF((85=$HJ46)+(85=$HK46)+(85=$HL46)+(85=$HM46)+(85=$HN46)+(85=$HO46)&gt;=2,50,0))+CJ$5*50)</f>
        <v/>
      </c>
      <c r="CK166">
        <f>IF(OR($JF46=0,calcA!$A$6=0),0,IF(OR(86=$HA46,86=$HD46,86=$HG46),200000,MIN(IF($HA46=0,999999,IF(4=$HB46,IF(86=$HJ46,IF($JC46=2,30,0),IF(86=$HK46,IF($JC46=1,30,0),ABS(14-$HC46)*100)),100000+ABS(4-$HB46)*1000+140)),IF($HD46=0,999999,IF(4=$HE46,IF(86=$HL46,IF($JD46=2,30,0),IF(86=$HM46,IF($JD46=1,30,0),ABS(14-$HF46)*100)),100000+ABS(4-$HE46)*1000+140)),IF($HG46=0,999999,IF(4=$HH46,IF(86=$HN46,IF($JE46=2,30,0),IF(86=$HO46,IF($JE46=1,30,0),ABS(14-$HI46)*100)),100000+ABS(4-$HH46)*1000+140)))-IF((86=$HJ46)+(86=$HK46)+(86=$HL46)+(86=$HM46)+(86=$HN46)+(86=$HO46)&gt;=2,50,0))+CK$5*50)</f>
        <v/>
      </c>
      <c r="CL166">
        <f>IF(OR($JF46=0,calcA!$A$6=0),0,IF(OR(87=$HA46,87=$HD46,87=$HG46),200000,MIN(IF($HA46=0,999999,IF(4=$HB46,IF(87=$HJ46,IF($JC46=2,30,0),IF(87=$HK46,IF($JC46=1,30,0),ABS(15-$HC46)*100)),100000+ABS(4-$HB46)*1000+150)),IF($HD46=0,999999,IF(4=$HE46,IF(87=$HL46,IF($JD46=2,30,0),IF(87=$HM46,IF($JD46=1,30,0),ABS(15-$HF46)*100)),100000+ABS(4-$HE46)*1000+150)),IF($HG46=0,999999,IF(4=$HH46,IF(87=$HN46,IF($JE46=2,30,0),IF(87=$HO46,IF($JE46=1,30,0),ABS(15-$HI46)*100)),100000+ABS(4-$HH46)*1000+150)))-IF((87=$HJ46)+(87=$HK46)+(87=$HL46)+(87=$HM46)+(87=$HN46)+(87=$HO46)&gt;=2,50,0))+CL$5*50)</f>
        <v/>
      </c>
      <c r="CM166">
        <f>IF(OR($JF46=0,calcA!$A$6=0),0,IF(OR(88=$HA46,88=$HD46,88=$HG46),200000,MIN(IF($HA46=0,999999,IF(4=$HB46,IF(88=$HJ46,IF($JC46=2,30,0),IF(88=$HK46,IF($JC46=1,30,0),ABS(16-$HC46)*100)),100000+ABS(4-$HB46)*1000+160)),IF($HD46=0,999999,IF(4=$HE46,IF(88=$HL46,IF($JD46=2,30,0),IF(88=$HM46,IF($JD46=1,30,0),ABS(16-$HF46)*100)),100000+ABS(4-$HE46)*1000+160)),IF($HG46=0,999999,IF(4=$HH46,IF(88=$HN46,IF($JE46=2,30,0),IF(88=$HO46,IF($JE46=1,30,0),ABS(16-$HI46)*100)),100000+ABS(4-$HH46)*1000+160)))-IF((88=$HJ46)+(88=$HK46)+(88=$HL46)+(88=$HM46)+(88=$HN46)+(88=$HO46)&gt;=2,50,0))+CM$5*50)</f>
        <v/>
      </c>
      <c r="CN166">
        <f>IF(OR($JF46=0,calcA!$A$6=0),0,IF(OR(89=$HA46,89=$HD46,89=$HG46),200000,MIN(IF($HA46=0,999999,IF(4=$HB46,IF(89=$HJ46,IF($JC46=2,30,0),IF(89=$HK46,IF($JC46=1,30,0),ABS(17-$HC46)*100)),100000+ABS(4-$HB46)*1000+170)),IF($HD46=0,999999,IF(4=$HE46,IF(89=$HL46,IF($JD46=2,30,0),IF(89=$HM46,IF($JD46=1,30,0),ABS(17-$HF46)*100)),100000+ABS(4-$HE46)*1000+170)),IF($HG46=0,999999,IF(4=$HH46,IF(89=$HN46,IF($JE46=2,30,0),IF(89=$HO46,IF($JE46=1,30,0),ABS(17-$HI46)*100)),100000+ABS(4-$HH46)*1000+170)))-IF((89=$HJ46)+(89=$HK46)+(89=$HL46)+(89=$HM46)+(89=$HN46)+(89=$HO46)&gt;=2,50,0))+CN$5*50)</f>
        <v/>
      </c>
      <c r="CO166">
        <f>IF(OR($JF46=0,calcA!$A$6=0),0,IF(OR(90=$HA46,90=$HD46,90=$HG46),200000,MIN(IF($HA46=0,999999,IF(4=$HB46,IF(90=$HJ46,IF($JC46=2,30,0),IF(90=$HK46,IF($JC46=1,30,0),ABS(18-$HC46)*100)),100000+ABS(4-$HB46)*1000+180)),IF($HD46=0,999999,IF(4=$HE46,IF(90=$HL46,IF($JD46=2,30,0),IF(90=$HM46,IF($JD46=1,30,0),ABS(18-$HF46)*100)),100000+ABS(4-$HE46)*1000+180)),IF($HG46=0,999999,IF(4=$HH46,IF(90=$HN46,IF($JE46=2,30,0),IF(90=$HO46,IF($JE46=1,30,0),ABS(18-$HI46)*100)),100000+ABS(4-$HH46)*1000+180)))-IF((90=$HJ46)+(90=$HK46)+(90=$HL46)+(90=$HM46)+(90=$HN46)+(90=$HO46)&gt;=2,50,0))+CO$5*50)</f>
        <v/>
      </c>
      <c r="CP166">
        <f>IF(OR($JF46=0,calcA!$A$6=0),0,IF(OR(91=$HA46,91=$HD46,91=$HG46),200000,MIN(IF($HA46=0,999999,IF(4=$HB46,IF(91=$HJ46,IF($JC46=2,30,0),IF(91=$HK46,IF($JC46=1,30,0),ABS(19-$HC46)*100)),100000+ABS(4-$HB46)*1000+190)),IF($HD46=0,999999,IF(4=$HE46,IF(91=$HL46,IF($JD46=2,30,0),IF(91=$HM46,IF($JD46=1,30,0),ABS(19-$HF46)*100)),100000+ABS(4-$HE46)*1000+190)),IF($HG46=0,999999,IF(4=$HH46,IF(91=$HN46,IF($JE46=2,30,0),IF(91=$HO46,IF($JE46=1,30,0),ABS(19-$HI46)*100)),100000+ABS(4-$HH46)*1000+190)))-IF((91=$HJ46)+(91=$HK46)+(91=$HL46)+(91=$HM46)+(91=$HN46)+(91=$HO46)&gt;=2,50,0))+CP$5*50)</f>
        <v/>
      </c>
      <c r="CQ166">
        <f>IF(OR($JF46=0,calcA!$A$6=0),0,IF(OR(92=$HA46,92=$HD46,92=$HG46),200000,MIN(IF($HA46=0,999999,IF(4=$HB46,IF(92=$HJ46,IF($JC46=2,30,0),IF(92=$HK46,IF($JC46=1,30,0),ABS(20-$HC46)*100)),100000+ABS(4-$HB46)*1000+200)),IF($HD46=0,999999,IF(4=$HE46,IF(92=$HL46,IF($JD46=2,30,0),IF(92=$HM46,IF($JD46=1,30,0),ABS(20-$HF46)*100)),100000+ABS(4-$HE46)*1000+200)),IF($HG46=0,999999,IF(4=$HH46,IF(92=$HN46,IF($JE46=2,30,0),IF(92=$HO46,IF($JE46=1,30,0),ABS(20-$HI46)*100)),100000+ABS(4-$HH46)*1000+200)))-IF((92=$HJ46)+(92=$HK46)+(92=$HL46)+(92=$HM46)+(92=$HN46)+(92=$HO46)&gt;=2,50,0))+CQ$5*50)</f>
        <v/>
      </c>
      <c r="CR166">
        <f>IF(OR($JF46=0,calcA!$A$6=0),0,IF(OR(93=$HA46,93=$HD46,93=$HG46),200000,MIN(IF($HA46=0,999999,IF(4=$HB46,IF(93=$HJ46,IF($JC46=2,30,0),IF(93=$HK46,IF($JC46=1,30,0),ABS(21-$HC46)*100)),100000+ABS(4-$HB46)*1000+210)),IF($HD46=0,999999,IF(4=$HE46,IF(93=$HL46,IF($JD46=2,30,0),IF(93=$HM46,IF($JD46=1,30,0),ABS(21-$HF46)*100)),100000+ABS(4-$HE46)*1000+210)),IF($HG46=0,999999,IF(4=$HH46,IF(93=$HN46,IF($JE46=2,30,0),IF(93=$HO46,IF($JE46=1,30,0),ABS(21-$HI46)*100)),100000+ABS(4-$HH46)*1000+210)))-IF((93=$HJ46)+(93=$HK46)+(93=$HL46)+(93=$HM46)+(93=$HN46)+(93=$HO46)&gt;=2,50,0))+CR$5*50)</f>
        <v/>
      </c>
      <c r="CS166">
        <f>IF(OR($JF46=0,calcA!$A$6=0),0,IF(OR(94=$HA46,94=$HD46,94=$HG46),200000,MIN(IF($HA46=0,999999,IF(4=$HB46,IF(94=$HJ46,IF($JC46=2,30,0),IF(94=$HK46,IF($JC46=1,30,0),ABS(22-$HC46)*100)),100000+ABS(4-$HB46)*1000+220)),IF($HD46=0,999999,IF(4=$HE46,IF(94=$HL46,IF($JD46=2,30,0),IF(94=$HM46,IF($JD46=1,30,0),ABS(22-$HF46)*100)),100000+ABS(4-$HE46)*1000+220)),IF($HG46=0,999999,IF(4=$HH46,IF(94=$HN46,IF($JE46=2,30,0),IF(94=$HO46,IF($JE46=1,30,0),ABS(22-$HI46)*100)),100000+ABS(4-$HH46)*1000+220)))-IF((94=$HJ46)+(94=$HK46)+(94=$HL46)+(94=$HM46)+(94=$HN46)+(94=$HO46)&gt;=2,50,0))+CS$5*50)</f>
        <v/>
      </c>
      <c r="CT166">
        <f>IF(OR($JF46=0,calcA!$A$6=0),0,IF(OR(95=$HA46,95=$HD46,95=$HG46),200000,MIN(IF($HA46=0,999999,IF(4=$HB46,IF(95=$HJ46,IF($JC46=2,30,0),IF(95=$HK46,IF($JC46=1,30,0),ABS(23-$HC46)*100)),100000+ABS(4-$HB46)*1000+230)),IF($HD46=0,999999,IF(4=$HE46,IF(95=$HL46,IF($JD46=2,30,0),IF(95=$HM46,IF($JD46=1,30,0),ABS(23-$HF46)*100)),100000+ABS(4-$HE46)*1000+230)),IF($HG46=0,999999,IF(4=$HH46,IF(95=$HN46,IF($JE46=2,30,0),IF(95=$HO46,IF($JE46=1,30,0),ABS(23-$HI46)*100)),100000+ABS(4-$HH46)*1000+230)))-IF((95=$HJ46)+(95=$HK46)+(95=$HL46)+(95=$HM46)+(95=$HN46)+(95=$HO46)&gt;=2,50,0))+CT$5*50)</f>
        <v/>
      </c>
      <c r="CU166">
        <f>IF(OR($JF46=0,calcA!$A$6=0),0,IF(OR(96=$HA46,96=$HD46,96=$HG46),200000,MIN(IF($HA46=0,999999,IF(4=$HB46,IF(96=$HJ46,IF($JC46=2,30,0),IF(96=$HK46,IF($JC46=1,30,0),ABS(24-$HC46)*100)),100000+ABS(4-$HB46)*1000+240)),IF($HD46=0,999999,IF(4=$HE46,IF(96=$HL46,IF($JD46=2,30,0),IF(96=$HM46,IF($JD46=1,30,0),ABS(24-$HF46)*100)),100000+ABS(4-$HE46)*1000+240)),IF($HG46=0,999999,IF(4=$HH46,IF(96=$HN46,IF($JE46=2,30,0),IF(96=$HO46,IF($JE46=1,30,0),ABS(24-$HI46)*100)),100000+ABS(4-$HH46)*1000+240)))-IF((96=$HJ46)+(96=$HK46)+(96=$HL46)+(96=$HM46)+(96=$HN46)+(96=$HO46)&gt;=2,50,0))+CU$5*50)</f>
        <v/>
      </c>
      <c r="CV166">
        <f>IF(OR($JF46=0,calcA!$A$6=0),0,IF(OR(97=$HA46,97=$HD46,97=$HG46),200000,MIN(IF($HA46=0,999999,IF(5=$HB46,IF(97=$HJ46,IF($JC46=2,30,0),IF(97=$HK46,IF($JC46=1,30,0),ABS(1-$HC46)*100)),100000+ABS(5-$HB46)*1000+10)),IF($HD46=0,999999,IF(5=$HE46,IF(97=$HL46,IF($JD46=2,30,0),IF(97=$HM46,IF($JD46=1,30,0),ABS(1-$HF46)*100)),100000+ABS(5-$HE46)*1000+10)),IF($HG46=0,999999,IF(5=$HH46,IF(97=$HN46,IF($JE46=2,30,0),IF(97=$HO46,IF($JE46=1,30,0),ABS(1-$HI46)*100)),100000+ABS(5-$HH46)*1000+10)))-IF((97=$HJ46)+(97=$HK46)+(97=$HL46)+(97=$HM46)+(97=$HN46)+(97=$HO46)&gt;=2,50,0))+CV$5*50)</f>
        <v/>
      </c>
      <c r="CW166">
        <f>IF(OR($JF46=0,calcA!$A$6=0),0,IF(OR(98=$HA46,98=$HD46,98=$HG46),200000,MIN(IF($HA46=0,999999,IF(5=$HB46,IF(98=$HJ46,IF($JC46=2,30,0),IF(98=$HK46,IF($JC46=1,30,0),ABS(2-$HC46)*100)),100000+ABS(5-$HB46)*1000+20)),IF($HD46=0,999999,IF(5=$HE46,IF(98=$HL46,IF($JD46=2,30,0),IF(98=$HM46,IF($JD46=1,30,0),ABS(2-$HF46)*100)),100000+ABS(5-$HE46)*1000+20)),IF($HG46=0,999999,IF(5=$HH46,IF(98=$HN46,IF($JE46=2,30,0),IF(98=$HO46,IF($JE46=1,30,0),ABS(2-$HI46)*100)),100000+ABS(5-$HH46)*1000+20)))-IF((98=$HJ46)+(98=$HK46)+(98=$HL46)+(98=$HM46)+(98=$HN46)+(98=$HO46)&gt;=2,50,0))+CW$5*50)</f>
        <v/>
      </c>
      <c r="CX166">
        <f>IF(OR($JF46=0,calcA!$A$6=0),0,IF(OR(99=$HA46,99=$HD46,99=$HG46),200000,MIN(IF($HA46=0,999999,IF(5=$HB46,IF(99=$HJ46,IF($JC46=2,30,0),IF(99=$HK46,IF($JC46=1,30,0),ABS(3-$HC46)*100)),100000+ABS(5-$HB46)*1000+30)),IF($HD46=0,999999,IF(5=$HE46,IF(99=$HL46,IF($JD46=2,30,0),IF(99=$HM46,IF($JD46=1,30,0),ABS(3-$HF46)*100)),100000+ABS(5-$HE46)*1000+30)),IF($HG46=0,999999,IF(5=$HH46,IF(99=$HN46,IF($JE46=2,30,0),IF(99=$HO46,IF($JE46=1,30,0),ABS(3-$HI46)*100)),100000+ABS(5-$HH46)*1000+30)))-IF((99=$HJ46)+(99=$HK46)+(99=$HL46)+(99=$HM46)+(99=$HN46)+(99=$HO46)&gt;=2,50,0))+CX$5*50)</f>
        <v/>
      </c>
      <c r="CY166">
        <f>IF(OR($JF46=0,calcA!$A$6=0),0,IF(OR(100=$HA46,100=$HD46,100=$HG46),200000,MIN(IF($HA46=0,999999,IF(5=$HB46,IF(100=$HJ46,IF($JC46=2,30,0),IF(100=$HK46,IF($JC46=1,30,0),ABS(4-$HC46)*100)),100000+ABS(5-$HB46)*1000+40)),IF($HD46=0,999999,IF(5=$HE46,IF(100=$HL46,IF($JD46=2,30,0),IF(100=$HM46,IF($JD46=1,30,0),ABS(4-$HF46)*100)),100000+ABS(5-$HE46)*1000+40)),IF($HG46=0,999999,IF(5=$HH46,IF(100=$HN46,IF($JE46=2,30,0),IF(100=$HO46,IF($JE46=1,30,0),ABS(4-$HI46)*100)),100000+ABS(5-$HH46)*1000+40)))-IF((100=$HJ46)+(100=$HK46)+(100=$HL46)+(100=$HM46)+(100=$HN46)+(100=$HO46)&gt;=2,50,0))+CY$5*50)</f>
        <v/>
      </c>
      <c r="CZ166">
        <f>IF(OR($JF46=0,calcA!$A$6=0),0,IF(OR(101=$HA46,101=$HD46,101=$HG46),200000,MIN(IF($HA46=0,999999,IF(5=$HB46,IF(101=$HJ46,IF($JC46=2,30,0),IF(101=$HK46,IF($JC46=1,30,0),ABS(5-$HC46)*100)),100000+ABS(5-$HB46)*1000+50)),IF($HD46=0,999999,IF(5=$HE46,IF(101=$HL46,IF($JD46=2,30,0),IF(101=$HM46,IF($JD46=1,30,0),ABS(5-$HF46)*100)),100000+ABS(5-$HE46)*1000+50)),IF($HG46=0,999999,IF(5=$HH46,IF(101=$HN46,IF($JE46=2,30,0),IF(101=$HO46,IF($JE46=1,30,0),ABS(5-$HI46)*100)),100000+ABS(5-$HH46)*1000+50)))-IF((101=$HJ46)+(101=$HK46)+(101=$HL46)+(101=$HM46)+(101=$HN46)+(101=$HO46)&gt;=2,50,0))+CZ$5*50)</f>
        <v/>
      </c>
      <c r="DA166">
        <f>IF(OR($JF46=0,calcA!$A$6=0),0,IF(OR(102=$HA46,102=$HD46,102=$HG46),200000,MIN(IF($HA46=0,999999,IF(5=$HB46,IF(102=$HJ46,IF($JC46=2,30,0),IF(102=$HK46,IF($JC46=1,30,0),ABS(6-$HC46)*100)),100000+ABS(5-$HB46)*1000+60)),IF($HD46=0,999999,IF(5=$HE46,IF(102=$HL46,IF($JD46=2,30,0),IF(102=$HM46,IF($JD46=1,30,0),ABS(6-$HF46)*100)),100000+ABS(5-$HE46)*1000+60)),IF($HG46=0,999999,IF(5=$HH46,IF(102=$HN46,IF($JE46=2,30,0),IF(102=$HO46,IF($JE46=1,30,0),ABS(6-$HI46)*100)),100000+ABS(5-$HH46)*1000+60)))-IF((102=$HJ46)+(102=$HK46)+(102=$HL46)+(102=$HM46)+(102=$HN46)+(102=$HO46)&gt;=2,50,0))+DA$5*50)</f>
        <v/>
      </c>
      <c r="DB166">
        <f>IF(OR($JF46=0,calcA!$A$6=0),0,IF(OR(103=$HA46,103=$HD46,103=$HG46),200000,MIN(IF($HA46=0,999999,IF(5=$HB46,IF(103=$HJ46,IF($JC46=2,30,0),IF(103=$HK46,IF($JC46=1,30,0),ABS(7-$HC46)*100)),100000+ABS(5-$HB46)*1000+70)),IF($HD46=0,999999,IF(5=$HE46,IF(103=$HL46,IF($JD46=2,30,0),IF(103=$HM46,IF($JD46=1,30,0),ABS(7-$HF46)*100)),100000+ABS(5-$HE46)*1000+70)),IF($HG46=0,999999,IF(5=$HH46,IF(103=$HN46,IF($JE46=2,30,0),IF(103=$HO46,IF($JE46=1,30,0),ABS(7-$HI46)*100)),100000+ABS(5-$HH46)*1000+70)))-IF((103=$HJ46)+(103=$HK46)+(103=$HL46)+(103=$HM46)+(103=$HN46)+(103=$HO46)&gt;=2,50,0))+DB$5*50)</f>
        <v/>
      </c>
      <c r="DC166">
        <f>IF(OR($JF46=0,calcA!$A$6=0),0,IF(OR(104=$HA46,104=$HD46,104=$HG46),200000,MIN(IF($HA46=0,999999,IF(5=$HB46,IF(104=$HJ46,IF($JC46=2,30,0),IF(104=$HK46,IF($JC46=1,30,0),ABS(8-$HC46)*100)),100000+ABS(5-$HB46)*1000+80)),IF($HD46=0,999999,IF(5=$HE46,IF(104=$HL46,IF($JD46=2,30,0),IF(104=$HM46,IF($JD46=1,30,0),ABS(8-$HF46)*100)),100000+ABS(5-$HE46)*1000+80)),IF($HG46=0,999999,IF(5=$HH46,IF(104=$HN46,IF($JE46=2,30,0),IF(104=$HO46,IF($JE46=1,30,0),ABS(8-$HI46)*100)),100000+ABS(5-$HH46)*1000+80)))-IF((104=$HJ46)+(104=$HK46)+(104=$HL46)+(104=$HM46)+(104=$HN46)+(104=$HO46)&gt;=2,50,0))+DC$5*50)</f>
        <v/>
      </c>
      <c r="DD166">
        <f>IF(OR($JF46=0,calcA!$A$6=0),0,IF(OR(105=$HA46,105=$HD46,105=$HG46),200000,MIN(IF($HA46=0,999999,IF(5=$HB46,IF(105=$HJ46,IF($JC46=2,30,0),IF(105=$HK46,IF($JC46=1,30,0),ABS(9-$HC46)*100)),100000+ABS(5-$HB46)*1000+90)),IF($HD46=0,999999,IF(5=$HE46,IF(105=$HL46,IF($JD46=2,30,0),IF(105=$HM46,IF($JD46=1,30,0),ABS(9-$HF46)*100)),100000+ABS(5-$HE46)*1000+90)),IF($HG46=0,999999,IF(5=$HH46,IF(105=$HN46,IF($JE46=2,30,0),IF(105=$HO46,IF($JE46=1,30,0),ABS(9-$HI46)*100)),100000+ABS(5-$HH46)*1000+90)))-IF((105=$HJ46)+(105=$HK46)+(105=$HL46)+(105=$HM46)+(105=$HN46)+(105=$HO46)&gt;=2,50,0))+DD$5*50)</f>
        <v/>
      </c>
      <c r="DE166">
        <f>IF(OR($JF46=0,calcA!$A$6=0),0,IF(OR(106=$HA46,106=$HD46,106=$HG46),200000,MIN(IF($HA46=0,999999,IF(5=$HB46,IF(106=$HJ46,IF($JC46=2,30,0),IF(106=$HK46,IF($JC46=1,30,0),ABS(10-$HC46)*100)),100000+ABS(5-$HB46)*1000+100)),IF($HD46=0,999999,IF(5=$HE46,IF(106=$HL46,IF($JD46=2,30,0),IF(106=$HM46,IF($JD46=1,30,0),ABS(10-$HF46)*100)),100000+ABS(5-$HE46)*1000+100)),IF($HG46=0,999999,IF(5=$HH46,IF(106=$HN46,IF($JE46=2,30,0),IF(106=$HO46,IF($JE46=1,30,0),ABS(10-$HI46)*100)),100000+ABS(5-$HH46)*1000+100)))-IF((106=$HJ46)+(106=$HK46)+(106=$HL46)+(106=$HM46)+(106=$HN46)+(106=$HO46)&gt;=2,50,0))+DE$5*50)</f>
        <v/>
      </c>
      <c r="DF166">
        <f>IF(OR($JF46=0,calcA!$A$6=0),0,IF(OR(107=$HA46,107=$HD46,107=$HG46),200000,MIN(IF($HA46=0,999999,IF(5=$HB46,IF(107=$HJ46,IF($JC46=2,30,0),IF(107=$HK46,IF($JC46=1,30,0),ABS(11-$HC46)*100)),100000+ABS(5-$HB46)*1000+110)),IF($HD46=0,999999,IF(5=$HE46,IF(107=$HL46,IF($JD46=2,30,0),IF(107=$HM46,IF($JD46=1,30,0),ABS(11-$HF46)*100)),100000+ABS(5-$HE46)*1000+110)),IF($HG46=0,999999,IF(5=$HH46,IF(107=$HN46,IF($JE46=2,30,0),IF(107=$HO46,IF($JE46=1,30,0),ABS(11-$HI46)*100)),100000+ABS(5-$HH46)*1000+110)))-IF((107=$HJ46)+(107=$HK46)+(107=$HL46)+(107=$HM46)+(107=$HN46)+(107=$HO46)&gt;=2,50,0))+DF$5*50)</f>
        <v/>
      </c>
      <c r="DG166">
        <f>IF(OR($JF46=0,calcA!$A$6=0),0,IF(OR(108=$HA46,108=$HD46,108=$HG46),200000,MIN(IF($HA46=0,999999,IF(5=$HB46,IF(108=$HJ46,IF($JC46=2,30,0),IF(108=$HK46,IF($JC46=1,30,0),ABS(12-$HC46)*100)),100000+ABS(5-$HB46)*1000+120)),IF($HD46=0,999999,IF(5=$HE46,IF(108=$HL46,IF($JD46=2,30,0),IF(108=$HM46,IF($JD46=1,30,0),ABS(12-$HF46)*100)),100000+ABS(5-$HE46)*1000+120)),IF($HG46=0,999999,IF(5=$HH46,IF(108=$HN46,IF($JE46=2,30,0),IF(108=$HO46,IF($JE46=1,30,0),ABS(12-$HI46)*100)),100000+ABS(5-$HH46)*1000+120)))-IF((108=$HJ46)+(108=$HK46)+(108=$HL46)+(108=$HM46)+(108=$HN46)+(108=$HO46)&gt;=2,50,0))+DG$5*50)</f>
        <v/>
      </c>
      <c r="DH166">
        <f>IF(OR($JF46=0,calcA!$A$6=0),0,IF(OR(109=$HA46,109=$HD46,109=$HG46),200000,MIN(IF($HA46=0,999999,IF(5=$HB46,IF(109=$HJ46,IF($JC46=2,30,0),IF(109=$HK46,IF($JC46=1,30,0),ABS(13-$HC46)*100)),100000+ABS(5-$HB46)*1000+130)),IF($HD46=0,999999,IF(5=$HE46,IF(109=$HL46,IF($JD46=2,30,0),IF(109=$HM46,IF($JD46=1,30,0),ABS(13-$HF46)*100)),100000+ABS(5-$HE46)*1000+130)),IF($HG46=0,999999,IF(5=$HH46,IF(109=$HN46,IF($JE46=2,30,0),IF(109=$HO46,IF($JE46=1,30,0),ABS(13-$HI46)*100)),100000+ABS(5-$HH46)*1000+130)))-IF((109=$HJ46)+(109=$HK46)+(109=$HL46)+(109=$HM46)+(109=$HN46)+(109=$HO46)&gt;=2,50,0))+DH$5*50)</f>
        <v/>
      </c>
      <c r="DI166">
        <f>IF(OR($JF46=0,calcA!$A$6=0),0,IF(OR(110=$HA46,110=$HD46,110=$HG46),200000,MIN(IF($HA46=0,999999,IF(5=$HB46,IF(110=$HJ46,IF($JC46=2,30,0),IF(110=$HK46,IF($JC46=1,30,0),ABS(14-$HC46)*100)),100000+ABS(5-$HB46)*1000+140)),IF($HD46=0,999999,IF(5=$HE46,IF(110=$HL46,IF($JD46=2,30,0),IF(110=$HM46,IF($JD46=1,30,0),ABS(14-$HF46)*100)),100000+ABS(5-$HE46)*1000+140)),IF($HG46=0,999999,IF(5=$HH46,IF(110=$HN46,IF($JE46=2,30,0),IF(110=$HO46,IF($JE46=1,30,0),ABS(14-$HI46)*100)),100000+ABS(5-$HH46)*1000+140)))-IF((110=$HJ46)+(110=$HK46)+(110=$HL46)+(110=$HM46)+(110=$HN46)+(110=$HO46)&gt;=2,50,0))+DI$5*50)</f>
        <v/>
      </c>
      <c r="DJ166">
        <f>IF(OR($JF46=0,calcA!$A$6=0),0,IF(OR(111=$HA46,111=$HD46,111=$HG46),200000,MIN(IF($HA46=0,999999,IF(5=$HB46,IF(111=$HJ46,IF($JC46=2,30,0),IF(111=$HK46,IF($JC46=1,30,0),ABS(15-$HC46)*100)),100000+ABS(5-$HB46)*1000+150)),IF($HD46=0,999999,IF(5=$HE46,IF(111=$HL46,IF($JD46=2,30,0),IF(111=$HM46,IF($JD46=1,30,0),ABS(15-$HF46)*100)),100000+ABS(5-$HE46)*1000+150)),IF($HG46=0,999999,IF(5=$HH46,IF(111=$HN46,IF($JE46=2,30,0),IF(111=$HO46,IF($JE46=1,30,0),ABS(15-$HI46)*100)),100000+ABS(5-$HH46)*1000+150)))-IF((111=$HJ46)+(111=$HK46)+(111=$HL46)+(111=$HM46)+(111=$HN46)+(111=$HO46)&gt;=2,50,0))+DJ$5*50)</f>
        <v/>
      </c>
      <c r="DK166">
        <f>IF(OR($JF46=0,calcA!$A$6=0),0,IF(OR(112=$HA46,112=$HD46,112=$HG46),200000,MIN(IF($HA46=0,999999,IF(5=$HB46,IF(112=$HJ46,IF($JC46=2,30,0),IF(112=$HK46,IF($JC46=1,30,0),ABS(16-$HC46)*100)),100000+ABS(5-$HB46)*1000+160)),IF($HD46=0,999999,IF(5=$HE46,IF(112=$HL46,IF($JD46=2,30,0),IF(112=$HM46,IF($JD46=1,30,0),ABS(16-$HF46)*100)),100000+ABS(5-$HE46)*1000+160)),IF($HG46=0,999999,IF(5=$HH46,IF(112=$HN46,IF($JE46=2,30,0),IF(112=$HO46,IF($JE46=1,30,0),ABS(16-$HI46)*100)),100000+ABS(5-$HH46)*1000+160)))-IF((112=$HJ46)+(112=$HK46)+(112=$HL46)+(112=$HM46)+(112=$HN46)+(112=$HO46)&gt;=2,50,0))+DK$5*50)</f>
        <v/>
      </c>
      <c r="DL166">
        <f>IF(OR($JF46=0,calcA!$A$6=0),0,IF(OR(113=$HA46,113=$HD46,113=$HG46),200000,MIN(IF($HA46=0,999999,IF(5=$HB46,IF(113=$HJ46,IF($JC46=2,30,0),IF(113=$HK46,IF($JC46=1,30,0),ABS(17-$HC46)*100)),100000+ABS(5-$HB46)*1000+170)),IF($HD46=0,999999,IF(5=$HE46,IF(113=$HL46,IF($JD46=2,30,0),IF(113=$HM46,IF($JD46=1,30,0),ABS(17-$HF46)*100)),100000+ABS(5-$HE46)*1000+170)),IF($HG46=0,999999,IF(5=$HH46,IF(113=$HN46,IF($JE46=2,30,0),IF(113=$HO46,IF($JE46=1,30,0),ABS(17-$HI46)*100)),100000+ABS(5-$HH46)*1000+170)))-IF((113=$HJ46)+(113=$HK46)+(113=$HL46)+(113=$HM46)+(113=$HN46)+(113=$HO46)&gt;=2,50,0))+DL$5*50)</f>
        <v/>
      </c>
      <c r="DM166">
        <f>IF(OR($JF46=0,calcA!$A$6=0),0,IF(OR(114=$HA46,114=$HD46,114=$HG46),200000,MIN(IF($HA46=0,999999,IF(5=$HB46,IF(114=$HJ46,IF($JC46=2,30,0),IF(114=$HK46,IF($JC46=1,30,0),ABS(18-$HC46)*100)),100000+ABS(5-$HB46)*1000+180)),IF($HD46=0,999999,IF(5=$HE46,IF(114=$HL46,IF($JD46=2,30,0),IF(114=$HM46,IF($JD46=1,30,0),ABS(18-$HF46)*100)),100000+ABS(5-$HE46)*1000+180)),IF($HG46=0,999999,IF(5=$HH46,IF(114=$HN46,IF($JE46=2,30,0),IF(114=$HO46,IF($JE46=1,30,0),ABS(18-$HI46)*100)),100000+ABS(5-$HH46)*1000+180)))-IF((114=$HJ46)+(114=$HK46)+(114=$HL46)+(114=$HM46)+(114=$HN46)+(114=$HO46)&gt;=2,50,0))+DM$5*50)</f>
        <v/>
      </c>
      <c r="DN166">
        <f>IF(OR($JF46=0,calcA!$A$6=0),0,IF(OR(115=$HA46,115=$HD46,115=$HG46),200000,MIN(IF($HA46=0,999999,IF(5=$HB46,IF(115=$HJ46,IF($JC46=2,30,0),IF(115=$HK46,IF($JC46=1,30,0),ABS(19-$HC46)*100)),100000+ABS(5-$HB46)*1000+190)),IF($HD46=0,999999,IF(5=$HE46,IF(115=$HL46,IF($JD46=2,30,0),IF(115=$HM46,IF($JD46=1,30,0),ABS(19-$HF46)*100)),100000+ABS(5-$HE46)*1000+190)),IF($HG46=0,999999,IF(5=$HH46,IF(115=$HN46,IF($JE46=2,30,0),IF(115=$HO46,IF($JE46=1,30,0),ABS(19-$HI46)*100)),100000+ABS(5-$HH46)*1000+190)))-IF((115=$HJ46)+(115=$HK46)+(115=$HL46)+(115=$HM46)+(115=$HN46)+(115=$HO46)&gt;=2,50,0))+DN$5*50)</f>
        <v/>
      </c>
      <c r="DO166">
        <f>IF(OR($JF46=0,calcA!$A$6=0),0,IF(OR(116=$HA46,116=$HD46,116=$HG46),200000,MIN(IF($HA46=0,999999,IF(5=$HB46,IF(116=$HJ46,IF($JC46=2,30,0),IF(116=$HK46,IF($JC46=1,30,0),ABS(20-$HC46)*100)),100000+ABS(5-$HB46)*1000+200)),IF($HD46=0,999999,IF(5=$HE46,IF(116=$HL46,IF($JD46=2,30,0),IF(116=$HM46,IF($JD46=1,30,0),ABS(20-$HF46)*100)),100000+ABS(5-$HE46)*1000+200)),IF($HG46=0,999999,IF(5=$HH46,IF(116=$HN46,IF($JE46=2,30,0),IF(116=$HO46,IF($JE46=1,30,0),ABS(20-$HI46)*100)),100000+ABS(5-$HH46)*1000+200)))-IF((116=$HJ46)+(116=$HK46)+(116=$HL46)+(116=$HM46)+(116=$HN46)+(116=$HO46)&gt;=2,50,0))+DO$5*50)</f>
        <v/>
      </c>
      <c r="DP166">
        <f>IF(OR($JF46=0,calcA!$A$6=0),0,IF(OR(117=$HA46,117=$HD46,117=$HG46),200000,MIN(IF($HA46=0,999999,IF(5=$HB46,IF(117=$HJ46,IF($JC46=2,30,0),IF(117=$HK46,IF($JC46=1,30,0),ABS(21-$HC46)*100)),100000+ABS(5-$HB46)*1000+210)),IF($HD46=0,999999,IF(5=$HE46,IF(117=$HL46,IF($JD46=2,30,0),IF(117=$HM46,IF($JD46=1,30,0),ABS(21-$HF46)*100)),100000+ABS(5-$HE46)*1000+210)),IF($HG46=0,999999,IF(5=$HH46,IF(117=$HN46,IF($JE46=2,30,0),IF(117=$HO46,IF($JE46=1,30,0),ABS(21-$HI46)*100)),100000+ABS(5-$HH46)*1000+210)))-IF((117=$HJ46)+(117=$HK46)+(117=$HL46)+(117=$HM46)+(117=$HN46)+(117=$HO46)&gt;=2,50,0))+DP$5*50)</f>
        <v/>
      </c>
      <c r="DQ166">
        <f>IF(OR($JF46=0,calcA!$A$6=0),0,IF(OR(118=$HA46,118=$HD46,118=$HG46),200000,MIN(IF($HA46=0,999999,IF(5=$HB46,IF(118=$HJ46,IF($JC46=2,30,0),IF(118=$HK46,IF($JC46=1,30,0),ABS(22-$HC46)*100)),100000+ABS(5-$HB46)*1000+220)),IF($HD46=0,999999,IF(5=$HE46,IF(118=$HL46,IF($JD46=2,30,0),IF(118=$HM46,IF($JD46=1,30,0),ABS(22-$HF46)*100)),100000+ABS(5-$HE46)*1000+220)),IF($HG46=0,999999,IF(5=$HH46,IF(118=$HN46,IF($JE46=2,30,0),IF(118=$HO46,IF($JE46=1,30,0),ABS(22-$HI46)*100)),100000+ABS(5-$HH46)*1000+220)))-IF((118=$HJ46)+(118=$HK46)+(118=$HL46)+(118=$HM46)+(118=$HN46)+(118=$HO46)&gt;=2,50,0))+DQ$5*50)</f>
        <v/>
      </c>
      <c r="DR166">
        <f>IF(OR($JF46=0,calcA!$A$6=0),0,IF(OR(119=$HA46,119=$HD46,119=$HG46),200000,MIN(IF($HA46=0,999999,IF(5=$HB46,IF(119=$HJ46,IF($JC46=2,30,0),IF(119=$HK46,IF($JC46=1,30,0),ABS(23-$HC46)*100)),100000+ABS(5-$HB46)*1000+230)),IF($HD46=0,999999,IF(5=$HE46,IF(119=$HL46,IF($JD46=2,30,0),IF(119=$HM46,IF($JD46=1,30,0),ABS(23-$HF46)*100)),100000+ABS(5-$HE46)*1000+230)),IF($HG46=0,999999,IF(5=$HH46,IF(119=$HN46,IF($JE46=2,30,0),IF(119=$HO46,IF($JE46=1,30,0),ABS(23-$HI46)*100)),100000+ABS(5-$HH46)*1000+230)))-IF((119=$HJ46)+(119=$HK46)+(119=$HL46)+(119=$HM46)+(119=$HN46)+(119=$HO46)&gt;=2,50,0))+DR$5*50)</f>
        <v/>
      </c>
      <c r="DS166">
        <f>IF(OR($JF46=0,calcA!$A$6=0),0,IF(OR(120=$HA46,120=$HD46,120=$HG46),200000,MIN(IF($HA46=0,999999,IF(5=$HB46,IF(120=$HJ46,IF($JC46=2,30,0),IF(120=$HK46,IF($JC46=1,30,0),ABS(24-$HC46)*100)),100000+ABS(5-$HB46)*1000+240)),IF($HD46=0,999999,IF(5=$HE46,IF(120=$HL46,IF($JD46=2,30,0),IF(120=$HM46,IF($JD46=1,30,0),ABS(24-$HF46)*100)),100000+ABS(5-$HE46)*1000+240)),IF($HG46=0,999999,IF(5=$HH46,IF(120=$HN46,IF($JE46=2,30,0),IF(120=$HO46,IF($JE46=1,30,0),ABS(24-$HI46)*100)),100000+ABS(5-$HH46)*1000+240)))-IF((120=$HJ46)+(120=$HK46)+(120=$HL46)+(120=$HM46)+(120=$HN46)+(120=$HO46)&gt;=2,50,0))+DS$5*50)</f>
        <v/>
      </c>
      <c r="DT166">
        <f>IF(OR($JF46=0,calcA!$A$6=0),0,IF(OR(121=$HA46,121=$HD46,121=$HG46),200000,MIN(IF($HA46=0,999999,IF(6=$HB46,IF(121=$HJ46,IF($JC46=2,30,0),IF(121=$HK46,IF($JC46=1,30,0),ABS(1-$HC46)*100)),100000+ABS(6-$HB46)*1000+10)),IF($HD46=0,999999,IF(6=$HE46,IF(121=$HL46,IF($JD46=2,30,0),IF(121=$HM46,IF($JD46=1,30,0),ABS(1-$HF46)*100)),100000+ABS(6-$HE46)*1000+10)),IF($HG46=0,999999,IF(6=$HH46,IF(121=$HN46,IF($JE46=2,30,0),IF(121=$HO46,IF($JE46=1,30,0),ABS(1-$HI46)*100)),100000+ABS(6-$HH46)*1000+10)))-IF((121=$HJ46)+(121=$HK46)+(121=$HL46)+(121=$HM46)+(121=$HN46)+(121=$HO46)&gt;=2,50,0))+DT$5*50)</f>
        <v/>
      </c>
      <c r="DU166">
        <f>IF(OR($JF46=0,calcA!$A$6=0),0,IF(OR(122=$HA46,122=$HD46,122=$HG46),200000,MIN(IF($HA46=0,999999,IF(6=$HB46,IF(122=$HJ46,IF($JC46=2,30,0),IF(122=$HK46,IF($JC46=1,30,0),ABS(2-$HC46)*100)),100000+ABS(6-$HB46)*1000+20)),IF($HD46=0,999999,IF(6=$HE46,IF(122=$HL46,IF($JD46=2,30,0),IF(122=$HM46,IF($JD46=1,30,0),ABS(2-$HF46)*100)),100000+ABS(6-$HE46)*1000+20)),IF($HG46=0,999999,IF(6=$HH46,IF(122=$HN46,IF($JE46=2,30,0),IF(122=$HO46,IF($JE46=1,30,0),ABS(2-$HI46)*100)),100000+ABS(6-$HH46)*1000+20)))-IF((122=$HJ46)+(122=$HK46)+(122=$HL46)+(122=$HM46)+(122=$HN46)+(122=$HO46)&gt;=2,50,0))+DU$5*50)</f>
        <v/>
      </c>
      <c r="DV166">
        <f>IF(OR($JF46=0,calcA!$A$6=0),0,IF(OR(123=$HA46,123=$HD46,123=$HG46),200000,MIN(IF($HA46=0,999999,IF(6=$HB46,IF(123=$HJ46,IF($JC46=2,30,0),IF(123=$HK46,IF($JC46=1,30,0),ABS(3-$HC46)*100)),100000+ABS(6-$HB46)*1000+30)),IF($HD46=0,999999,IF(6=$HE46,IF(123=$HL46,IF($JD46=2,30,0),IF(123=$HM46,IF($JD46=1,30,0),ABS(3-$HF46)*100)),100000+ABS(6-$HE46)*1000+30)),IF($HG46=0,999999,IF(6=$HH46,IF(123=$HN46,IF($JE46=2,30,0),IF(123=$HO46,IF($JE46=1,30,0),ABS(3-$HI46)*100)),100000+ABS(6-$HH46)*1000+30)))-IF((123=$HJ46)+(123=$HK46)+(123=$HL46)+(123=$HM46)+(123=$HN46)+(123=$HO46)&gt;=2,50,0))+DV$5*50)</f>
        <v/>
      </c>
      <c r="DW166">
        <f>IF(OR($JF46=0,calcA!$A$6=0),0,IF(OR(124=$HA46,124=$HD46,124=$HG46),200000,MIN(IF($HA46=0,999999,IF(6=$HB46,IF(124=$HJ46,IF($JC46=2,30,0),IF(124=$HK46,IF($JC46=1,30,0),ABS(4-$HC46)*100)),100000+ABS(6-$HB46)*1000+40)),IF($HD46=0,999999,IF(6=$HE46,IF(124=$HL46,IF($JD46=2,30,0),IF(124=$HM46,IF($JD46=1,30,0),ABS(4-$HF46)*100)),100000+ABS(6-$HE46)*1000+40)),IF($HG46=0,999999,IF(6=$HH46,IF(124=$HN46,IF($JE46=2,30,0),IF(124=$HO46,IF($JE46=1,30,0),ABS(4-$HI46)*100)),100000+ABS(6-$HH46)*1000+40)))-IF((124=$HJ46)+(124=$HK46)+(124=$HL46)+(124=$HM46)+(124=$HN46)+(124=$HO46)&gt;=2,50,0))+DW$5*50)</f>
        <v/>
      </c>
      <c r="DX166">
        <f>IF(OR($JF46=0,calcA!$A$6=0),0,IF(OR(125=$HA46,125=$HD46,125=$HG46),200000,MIN(IF($HA46=0,999999,IF(6=$HB46,IF(125=$HJ46,IF($JC46=2,30,0),IF(125=$HK46,IF($JC46=1,30,0),ABS(5-$HC46)*100)),100000+ABS(6-$HB46)*1000+50)),IF($HD46=0,999999,IF(6=$HE46,IF(125=$HL46,IF($JD46=2,30,0),IF(125=$HM46,IF($JD46=1,30,0),ABS(5-$HF46)*100)),100000+ABS(6-$HE46)*1000+50)),IF($HG46=0,999999,IF(6=$HH46,IF(125=$HN46,IF($JE46=2,30,0),IF(125=$HO46,IF($JE46=1,30,0),ABS(5-$HI46)*100)),100000+ABS(6-$HH46)*1000+50)))-IF((125=$HJ46)+(125=$HK46)+(125=$HL46)+(125=$HM46)+(125=$HN46)+(125=$HO46)&gt;=2,50,0))+DX$5*50)</f>
        <v/>
      </c>
      <c r="DY166">
        <f>IF(OR($JF46=0,calcA!$A$6=0),0,IF(OR(126=$HA46,126=$HD46,126=$HG46),200000,MIN(IF($HA46=0,999999,IF(6=$HB46,IF(126=$HJ46,IF($JC46=2,30,0),IF(126=$HK46,IF($JC46=1,30,0),ABS(6-$HC46)*100)),100000+ABS(6-$HB46)*1000+60)),IF($HD46=0,999999,IF(6=$HE46,IF(126=$HL46,IF($JD46=2,30,0),IF(126=$HM46,IF($JD46=1,30,0),ABS(6-$HF46)*100)),100000+ABS(6-$HE46)*1000+60)),IF($HG46=0,999999,IF(6=$HH46,IF(126=$HN46,IF($JE46=2,30,0),IF(126=$HO46,IF($JE46=1,30,0),ABS(6-$HI46)*100)),100000+ABS(6-$HH46)*1000+60)))-IF((126=$HJ46)+(126=$HK46)+(126=$HL46)+(126=$HM46)+(126=$HN46)+(126=$HO46)&gt;=2,50,0))+DY$5*50)</f>
        <v/>
      </c>
      <c r="DZ166">
        <f>IF(OR($JF46=0,calcA!$A$6=0),0,IF(OR(127=$HA46,127=$HD46,127=$HG46),200000,MIN(IF($HA46=0,999999,IF(6=$HB46,IF(127=$HJ46,IF($JC46=2,30,0),IF(127=$HK46,IF($JC46=1,30,0),ABS(7-$HC46)*100)),100000+ABS(6-$HB46)*1000+70)),IF($HD46=0,999999,IF(6=$HE46,IF(127=$HL46,IF($JD46=2,30,0),IF(127=$HM46,IF($JD46=1,30,0),ABS(7-$HF46)*100)),100000+ABS(6-$HE46)*1000+70)),IF($HG46=0,999999,IF(6=$HH46,IF(127=$HN46,IF($JE46=2,30,0),IF(127=$HO46,IF($JE46=1,30,0),ABS(7-$HI46)*100)),100000+ABS(6-$HH46)*1000+70)))-IF((127=$HJ46)+(127=$HK46)+(127=$HL46)+(127=$HM46)+(127=$HN46)+(127=$HO46)&gt;=2,50,0))+DZ$5*50)</f>
        <v/>
      </c>
      <c r="EA166">
        <f>IF(OR($JF46=0,calcA!$A$6=0),0,IF(OR(128=$HA46,128=$HD46,128=$HG46),200000,MIN(IF($HA46=0,999999,IF(6=$HB46,IF(128=$HJ46,IF($JC46=2,30,0),IF(128=$HK46,IF($JC46=1,30,0),ABS(8-$HC46)*100)),100000+ABS(6-$HB46)*1000+80)),IF($HD46=0,999999,IF(6=$HE46,IF(128=$HL46,IF($JD46=2,30,0),IF(128=$HM46,IF($JD46=1,30,0),ABS(8-$HF46)*100)),100000+ABS(6-$HE46)*1000+80)),IF($HG46=0,999999,IF(6=$HH46,IF(128=$HN46,IF($JE46=2,30,0),IF(128=$HO46,IF($JE46=1,30,0),ABS(8-$HI46)*100)),100000+ABS(6-$HH46)*1000+80)))-IF((128=$HJ46)+(128=$HK46)+(128=$HL46)+(128=$HM46)+(128=$HN46)+(128=$HO46)&gt;=2,50,0))+EA$5*50)</f>
        <v/>
      </c>
      <c r="EB166">
        <f>IF(OR($JF46=0,calcA!$A$6=0),0,IF(OR(129=$HA46,129=$HD46,129=$HG46),200000,MIN(IF($HA46=0,999999,IF(6=$HB46,IF(129=$HJ46,IF($JC46=2,30,0),IF(129=$HK46,IF($JC46=1,30,0),ABS(9-$HC46)*100)),100000+ABS(6-$HB46)*1000+90)),IF($HD46=0,999999,IF(6=$HE46,IF(129=$HL46,IF($JD46=2,30,0),IF(129=$HM46,IF($JD46=1,30,0),ABS(9-$HF46)*100)),100000+ABS(6-$HE46)*1000+90)),IF($HG46=0,999999,IF(6=$HH46,IF(129=$HN46,IF($JE46=2,30,0),IF(129=$HO46,IF($JE46=1,30,0),ABS(9-$HI46)*100)),100000+ABS(6-$HH46)*1000+90)))-IF((129=$HJ46)+(129=$HK46)+(129=$HL46)+(129=$HM46)+(129=$HN46)+(129=$HO46)&gt;=2,50,0))+EB$5*50)</f>
        <v/>
      </c>
      <c r="EC166">
        <f>IF(OR($JF46=0,calcA!$A$6=0),0,IF(OR(130=$HA46,130=$HD46,130=$HG46),200000,MIN(IF($HA46=0,999999,IF(6=$HB46,IF(130=$HJ46,IF($JC46=2,30,0),IF(130=$HK46,IF($JC46=1,30,0),ABS(10-$HC46)*100)),100000+ABS(6-$HB46)*1000+100)),IF($HD46=0,999999,IF(6=$HE46,IF(130=$HL46,IF($JD46=2,30,0),IF(130=$HM46,IF($JD46=1,30,0),ABS(10-$HF46)*100)),100000+ABS(6-$HE46)*1000+100)),IF($HG46=0,999999,IF(6=$HH46,IF(130=$HN46,IF($JE46=2,30,0),IF(130=$HO46,IF($JE46=1,30,0),ABS(10-$HI46)*100)),100000+ABS(6-$HH46)*1000+100)))-IF((130=$HJ46)+(130=$HK46)+(130=$HL46)+(130=$HM46)+(130=$HN46)+(130=$HO46)&gt;=2,50,0))+EC$5*50)</f>
        <v/>
      </c>
      <c r="ED166">
        <f>IF(OR($JF46=0,calcA!$A$6=0),0,IF(OR(131=$HA46,131=$HD46,131=$HG46),200000,MIN(IF($HA46=0,999999,IF(6=$HB46,IF(131=$HJ46,IF($JC46=2,30,0),IF(131=$HK46,IF($JC46=1,30,0),ABS(11-$HC46)*100)),100000+ABS(6-$HB46)*1000+110)),IF($HD46=0,999999,IF(6=$HE46,IF(131=$HL46,IF($JD46=2,30,0),IF(131=$HM46,IF($JD46=1,30,0),ABS(11-$HF46)*100)),100000+ABS(6-$HE46)*1000+110)),IF($HG46=0,999999,IF(6=$HH46,IF(131=$HN46,IF($JE46=2,30,0),IF(131=$HO46,IF($JE46=1,30,0),ABS(11-$HI46)*100)),100000+ABS(6-$HH46)*1000+110)))-IF((131=$HJ46)+(131=$HK46)+(131=$HL46)+(131=$HM46)+(131=$HN46)+(131=$HO46)&gt;=2,50,0))+ED$5*50)</f>
        <v/>
      </c>
      <c r="EE166">
        <f>IF(OR($JF46=0,calcA!$A$6=0),0,IF(OR(132=$HA46,132=$HD46,132=$HG46),200000,MIN(IF($HA46=0,999999,IF(6=$HB46,IF(132=$HJ46,IF($JC46=2,30,0),IF(132=$HK46,IF($JC46=1,30,0),ABS(12-$HC46)*100)),100000+ABS(6-$HB46)*1000+120)),IF($HD46=0,999999,IF(6=$HE46,IF(132=$HL46,IF($JD46=2,30,0),IF(132=$HM46,IF($JD46=1,30,0),ABS(12-$HF46)*100)),100000+ABS(6-$HE46)*1000+120)),IF($HG46=0,999999,IF(6=$HH46,IF(132=$HN46,IF($JE46=2,30,0),IF(132=$HO46,IF($JE46=1,30,0),ABS(12-$HI46)*100)),100000+ABS(6-$HH46)*1000+120)))-IF((132=$HJ46)+(132=$HK46)+(132=$HL46)+(132=$HM46)+(132=$HN46)+(132=$HO46)&gt;=2,50,0))+EE$5*50)</f>
        <v/>
      </c>
      <c r="EF166">
        <f>IF(OR($JF46=0,calcA!$A$6=0),0,IF(OR(133=$HA46,133=$HD46,133=$HG46),200000,MIN(IF($HA46=0,999999,IF(6=$HB46,IF(133=$HJ46,IF($JC46=2,30,0),IF(133=$HK46,IF($JC46=1,30,0),ABS(13-$HC46)*100)),100000+ABS(6-$HB46)*1000+130)),IF($HD46=0,999999,IF(6=$HE46,IF(133=$HL46,IF($JD46=2,30,0),IF(133=$HM46,IF($JD46=1,30,0),ABS(13-$HF46)*100)),100000+ABS(6-$HE46)*1000+130)),IF($HG46=0,999999,IF(6=$HH46,IF(133=$HN46,IF($JE46=2,30,0),IF(133=$HO46,IF($JE46=1,30,0),ABS(13-$HI46)*100)),100000+ABS(6-$HH46)*1000+130)))-IF((133=$HJ46)+(133=$HK46)+(133=$HL46)+(133=$HM46)+(133=$HN46)+(133=$HO46)&gt;=2,50,0))+EF$5*50)</f>
        <v/>
      </c>
      <c r="EG166">
        <f>IF(OR($JF46=0,calcA!$A$6=0),0,IF(OR(134=$HA46,134=$HD46,134=$HG46),200000,MIN(IF($HA46=0,999999,IF(6=$HB46,IF(134=$HJ46,IF($JC46=2,30,0),IF(134=$HK46,IF($JC46=1,30,0),ABS(14-$HC46)*100)),100000+ABS(6-$HB46)*1000+140)),IF($HD46=0,999999,IF(6=$HE46,IF(134=$HL46,IF($JD46=2,30,0),IF(134=$HM46,IF($JD46=1,30,0),ABS(14-$HF46)*100)),100000+ABS(6-$HE46)*1000+140)),IF($HG46=0,999999,IF(6=$HH46,IF(134=$HN46,IF($JE46=2,30,0),IF(134=$HO46,IF($JE46=1,30,0),ABS(14-$HI46)*100)),100000+ABS(6-$HH46)*1000+140)))-IF((134=$HJ46)+(134=$HK46)+(134=$HL46)+(134=$HM46)+(134=$HN46)+(134=$HO46)&gt;=2,50,0))+EG$5*50)</f>
        <v/>
      </c>
      <c r="EH166">
        <f>IF(OR($JF46=0,calcA!$A$6=0),0,IF(OR(135=$HA46,135=$HD46,135=$HG46),200000,MIN(IF($HA46=0,999999,IF(6=$HB46,IF(135=$HJ46,IF($JC46=2,30,0),IF(135=$HK46,IF($JC46=1,30,0),ABS(15-$HC46)*100)),100000+ABS(6-$HB46)*1000+150)),IF($HD46=0,999999,IF(6=$HE46,IF(135=$HL46,IF($JD46=2,30,0),IF(135=$HM46,IF($JD46=1,30,0),ABS(15-$HF46)*100)),100000+ABS(6-$HE46)*1000+150)),IF($HG46=0,999999,IF(6=$HH46,IF(135=$HN46,IF($JE46=2,30,0),IF(135=$HO46,IF($JE46=1,30,0),ABS(15-$HI46)*100)),100000+ABS(6-$HH46)*1000+150)))-IF((135=$HJ46)+(135=$HK46)+(135=$HL46)+(135=$HM46)+(135=$HN46)+(135=$HO46)&gt;=2,50,0))+EH$5*50)</f>
        <v/>
      </c>
      <c r="EI166">
        <f>IF(OR($JF46=0,calcA!$A$6=0),0,IF(OR(136=$HA46,136=$HD46,136=$HG46),200000,MIN(IF($HA46=0,999999,IF(6=$HB46,IF(136=$HJ46,IF($JC46=2,30,0),IF(136=$HK46,IF($JC46=1,30,0),ABS(16-$HC46)*100)),100000+ABS(6-$HB46)*1000+160)),IF($HD46=0,999999,IF(6=$HE46,IF(136=$HL46,IF($JD46=2,30,0),IF(136=$HM46,IF($JD46=1,30,0),ABS(16-$HF46)*100)),100000+ABS(6-$HE46)*1000+160)),IF($HG46=0,999999,IF(6=$HH46,IF(136=$HN46,IF($JE46=2,30,0),IF(136=$HO46,IF($JE46=1,30,0),ABS(16-$HI46)*100)),100000+ABS(6-$HH46)*1000+160)))-IF((136=$HJ46)+(136=$HK46)+(136=$HL46)+(136=$HM46)+(136=$HN46)+(136=$HO46)&gt;=2,50,0))+EI$5*50)</f>
        <v/>
      </c>
      <c r="EJ166">
        <f>IF(OR($JF46=0,calcA!$A$6=0),0,IF(OR(137=$HA46,137=$HD46,137=$HG46),200000,MIN(IF($HA46=0,999999,IF(6=$HB46,IF(137=$HJ46,IF($JC46=2,30,0),IF(137=$HK46,IF($JC46=1,30,0),ABS(17-$HC46)*100)),100000+ABS(6-$HB46)*1000+170)),IF($HD46=0,999999,IF(6=$HE46,IF(137=$HL46,IF($JD46=2,30,0),IF(137=$HM46,IF($JD46=1,30,0),ABS(17-$HF46)*100)),100000+ABS(6-$HE46)*1000+170)),IF($HG46=0,999999,IF(6=$HH46,IF(137=$HN46,IF($JE46=2,30,0),IF(137=$HO46,IF($JE46=1,30,0),ABS(17-$HI46)*100)),100000+ABS(6-$HH46)*1000+170)))-IF((137=$HJ46)+(137=$HK46)+(137=$HL46)+(137=$HM46)+(137=$HN46)+(137=$HO46)&gt;=2,50,0))+EJ$5*50)</f>
        <v/>
      </c>
      <c r="EK166">
        <f>IF(OR($JF46=0,calcA!$A$6=0),0,IF(OR(138=$HA46,138=$HD46,138=$HG46),200000,MIN(IF($HA46=0,999999,IF(6=$HB46,IF(138=$HJ46,IF($JC46=2,30,0),IF(138=$HK46,IF($JC46=1,30,0),ABS(18-$HC46)*100)),100000+ABS(6-$HB46)*1000+180)),IF($HD46=0,999999,IF(6=$HE46,IF(138=$HL46,IF($JD46=2,30,0),IF(138=$HM46,IF($JD46=1,30,0),ABS(18-$HF46)*100)),100000+ABS(6-$HE46)*1000+180)),IF($HG46=0,999999,IF(6=$HH46,IF(138=$HN46,IF($JE46=2,30,0),IF(138=$HO46,IF($JE46=1,30,0),ABS(18-$HI46)*100)),100000+ABS(6-$HH46)*1000+180)))-IF((138=$HJ46)+(138=$HK46)+(138=$HL46)+(138=$HM46)+(138=$HN46)+(138=$HO46)&gt;=2,50,0))+EK$5*50)</f>
        <v/>
      </c>
      <c r="EL166">
        <f>IF(OR($JF46=0,calcA!$A$6=0),0,IF(OR(139=$HA46,139=$HD46,139=$HG46),200000,MIN(IF($HA46=0,999999,IF(6=$HB46,IF(139=$HJ46,IF($JC46=2,30,0),IF(139=$HK46,IF($JC46=1,30,0),ABS(19-$HC46)*100)),100000+ABS(6-$HB46)*1000+190)),IF($HD46=0,999999,IF(6=$HE46,IF(139=$HL46,IF($JD46=2,30,0),IF(139=$HM46,IF($JD46=1,30,0),ABS(19-$HF46)*100)),100000+ABS(6-$HE46)*1000+190)),IF($HG46=0,999999,IF(6=$HH46,IF(139=$HN46,IF($JE46=2,30,0),IF(139=$HO46,IF($JE46=1,30,0),ABS(19-$HI46)*100)),100000+ABS(6-$HH46)*1000+190)))-IF((139=$HJ46)+(139=$HK46)+(139=$HL46)+(139=$HM46)+(139=$HN46)+(139=$HO46)&gt;=2,50,0))+EL$5*50)</f>
        <v/>
      </c>
      <c r="EM166">
        <f>IF(OR($JF46=0,calcA!$A$6=0),0,IF(OR(140=$HA46,140=$HD46,140=$HG46),200000,MIN(IF($HA46=0,999999,IF(6=$HB46,IF(140=$HJ46,IF($JC46=2,30,0),IF(140=$HK46,IF($JC46=1,30,0),ABS(20-$HC46)*100)),100000+ABS(6-$HB46)*1000+200)),IF($HD46=0,999999,IF(6=$HE46,IF(140=$HL46,IF($JD46=2,30,0),IF(140=$HM46,IF($JD46=1,30,0),ABS(20-$HF46)*100)),100000+ABS(6-$HE46)*1000+200)),IF($HG46=0,999999,IF(6=$HH46,IF(140=$HN46,IF($JE46=2,30,0),IF(140=$HO46,IF($JE46=1,30,0),ABS(20-$HI46)*100)),100000+ABS(6-$HH46)*1000+200)))-IF((140=$HJ46)+(140=$HK46)+(140=$HL46)+(140=$HM46)+(140=$HN46)+(140=$HO46)&gt;=2,50,0))+EM$5*50)</f>
        <v/>
      </c>
      <c r="EN166">
        <f>IF(OR($JF46=0,calcA!$A$6=0),0,IF(OR(141=$HA46,141=$HD46,141=$HG46),200000,MIN(IF($HA46=0,999999,IF(6=$HB46,IF(141=$HJ46,IF($JC46=2,30,0),IF(141=$HK46,IF($JC46=1,30,0),ABS(21-$HC46)*100)),100000+ABS(6-$HB46)*1000+210)),IF($HD46=0,999999,IF(6=$HE46,IF(141=$HL46,IF($JD46=2,30,0),IF(141=$HM46,IF($JD46=1,30,0),ABS(21-$HF46)*100)),100000+ABS(6-$HE46)*1000+210)),IF($HG46=0,999999,IF(6=$HH46,IF(141=$HN46,IF($JE46=2,30,0),IF(141=$HO46,IF($JE46=1,30,0),ABS(21-$HI46)*100)),100000+ABS(6-$HH46)*1000+210)))-IF((141=$HJ46)+(141=$HK46)+(141=$HL46)+(141=$HM46)+(141=$HN46)+(141=$HO46)&gt;=2,50,0))+EN$5*50)</f>
        <v/>
      </c>
      <c r="EO166">
        <f>IF(OR($JF46=0,calcA!$A$6=0),0,IF(OR(142=$HA46,142=$HD46,142=$HG46),200000,MIN(IF($HA46=0,999999,IF(6=$HB46,IF(142=$HJ46,IF($JC46=2,30,0),IF(142=$HK46,IF($JC46=1,30,0),ABS(22-$HC46)*100)),100000+ABS(6-$HB46)*1000+220)),IF($HD46=0,999999,IF(6=$HE46,IF(142=$HL46,IF($JD46=2,30,0),IF(142=$HM46,IF($JD46=1,30,0),ABS(22-$HF46)*100)),100000+ABS(6-$HE46)*1000+220)),IF($HG46=0,999999,IF(6=$HH46,IF(142=$HN46,IF($JE46=2,30,0),IF(142=$HO46,IF($JE46=1,30,0),ABS(22-$HI46)*100)),100000+ABS(6-$HH46)*1000+220)))-IF((142=$HJ46)+(142=$HK46)+(142=$HL46)+(142=$HM46)+(142=$HN46)+(142=$HO46)&gt;=2,50,0))+EO$5*50)</f>
        <v/>
      </c>
      <c r="EP166">
        <f>IF(OR($JF46=0,calcA!$A$6=0),0,IF(OR(143=$HA46,143=$HD46,143=$HG46),200000,MIN(IF($HA46=0,999999,IF(6=$HB46,IF(143=$HJ46,IF($JC46=2,30,0),IF(143=$HK46,IF($JC46=1,30,0),ABS(23-$HC46)*100)),100000+ABS(6-$HB46)*1000+230)),IF($HD46=0,999999,IF(6=$HE46,IF(143=$HL46,IF($JD46=2,30,0),IF(143=$HM46,IF($JD46=1,30,0),ABS(23-$HF46)*100)),100000+ABS(6-$HE46)*1000+230)),IF($HG46=0,999999,IF(6=$HH46,IF(143=$HN46,IF($JE46=2,30,0),IF(143=$HO46,IF($JE46=1,30,0),ABS(23-$HI46)*100)),100000+ABS(6-$HH46)*1000+230)))-IF((143=$HJ46)+(143=$HK46)+(143=$HL46)+(143=$HM46)+(143=$HN46)+(143=$HO46)&gt;=2,50,0))+EP$5*50)</f>
        <v/>
      </c>
      <c r="EQ166">
        <f>IF(OR($JF46=0,calcA!$A$6=0),0,IF(OR(144=$HA46,144=$HD46,144=$HG46),200000,MIN(IF($HA46=0,999999,IF(6=$HB46,IF(144=$HJ46,IF($JC46=2,30,0),IF(144=$HK46,IF($JC46=1,30,0),ABS(24-$HC46)*100)),100000+ABS(6-$HB46)*1000+240)),IF($HD46=0,999999,IF(6=$HE46,IF(144=$HL46,IF($JD46=2,30,0),IF(144=$HM46,IF($JD46=1,30,0),ABS(24-$HF46)*100)),100000+ABS(6-$HE46)*1000+240)),IF($HG46=0,999999,IF(6=$HH46,IF(144=$HN46,IF($JE46=2,30,0),IF(144=$HO46,IF($JE46=1,30,0),ABS(24-$HI46)*100)),100000+ABS(6-$HH46)*1000+240)))-IF((144=$HJ46)+(144=$HK46)+(144=$HL46)+(144=$HM46)+(144=$HN46)+(144=$HO46)&gt;=2,50,0))+EQ$5*50)</f>
        <v/>
      </c>
    </row>
    <row r="167">
      <c r="D167">
        <f>IF(OR($JF47=0,calcA!$A$6=0),0,IF(OR(1=$HA47,1=$HD47,1=$HG47),200000,MIN(IF($HA47=0,999999,IF(1=$HB47,IF(1=$HJ47,IF($JC47=2,30,0),IF(1=$HK47,IF($JC47=1,30,0),ABS(1-$HC47)*100)),100000+ABS(1-$HB47)*1000+10)),IF($HD47=0,999999,IF(1=$HE47,IF(1=$HL47,IF($JD47=2,30,0),IF(1=$HM47,IF($JD47=1,30,0),ABS(1-$HF47)*100)),100000+ABS(1-$HE47)*1000+10)),IF($HG47=0,999999,IF(1=$HH47,IF(1=$HN47,IF($JE47=2,30,0),IF(1=$HO47,IF($JE47=1,30,0),ABS(1-$HI47)*100)),100000+ABS(1-$HH47)*1000+10)))-IF((1=$HJ47)+(1=$HK47)+(1=$HL47)+(1=$HM47)+(1=$HN47)+(1=$HO47)&gt;=2,50,0))+D$5*50)</f>
        <v/>
      </c>
      <c r="E167">
        <f>IF(OR($JF47=0,calcA!$A$6=0),0,IF(OR(2=$HA47,2=$HD47,2=$HG47),200000,MIN(IF($HA47=0,999999,IF(1=$HB47,IF(2=$HJ47,IF($JC47=2,30,0),IF(2=$HK47,IF($JC47=1,30,0),ABS(2-$HC47)*100)),100000+ABS(1-$HB47)*1000+20)),IF($HD47=0,999999,IF(1=$HE47,IF(2=$HL47,IF($JD47=2,30,0),IF(2=$HM47,IF($JD47=1,30,0),ABS(2-$HF47)*100)),100000+ABS(1-$HE47)*1000+20)),IF($HG47=0,999999,IF(1=$HH47,IF(2=$HN47,IF($JE47=2,30,0),IF(2=$HO47,IF($JE47=1,30,0),ABS(2-$HI47)*100)),100000+ABS(1-$HH47)*1000+20)))-IF((2=$HJ47)+(2=$HK47)+(2=$HL47)+(2=$HM47)+(2=$HN47)+(2=$HO47)&gt;=2,50,0))+E$5*50)</f>
        <v/>
      </c>
      <c r="F167">
        <f>IF(OR($JF47=0,calcA!$A$6=0),0,IF(OR(3=$HA47,3=$HD47,3=$HG47),200000,MIN(IF($HA47=0,999999,IF(1=$HB47,IF(3=$HJ47,IF($JC47=2,30,0),IF(3=$HK47,IF($JC47=1,30,0),ABS(3-$HC47)*100)),100000+ABS(1-$HB47)*1000+30)),IF($HD47=0,999999,IF(1=$HE47,IF(3=$HL47,IF($JD47=2,30,0),IF(3=$HM47,IF($JD47=1,30,0),ABS(3-$HF47)*100)),100000+ABS(1-$HE47)*1000+30)),IF($HG47=0,999999,IF(1=$HH47,IF(3=$HN47,IF($JE47=2,30,0),IF(3=$HO47,IF($JE47=1,30,0),ABS(3-$HI47)*100)),100000+ABS(1-$HH47)*1000+30)))-IF((3=$HJ47)+(3=$HK47)+(3=$HL47)+(3=$HM47)+(3=$HN47)+(3=$HO47)&gt;=2,50,0))+F$5*50)</f>
        <v/>
      </c>
      <c r="G167">
        <f>IF(OR($JF47=0,calcA!$A$6=0),0,IF(OR(4=$HA47,4=$HD47,4=$HG47),200000,MIN(IF($HA47=0,999999,IF(1=$HB47,IF(4=$HJ47,IF($JC47=2,30,0),IF(4=$HK47,IF($JC47=1,30,0),ABS(4-$HC47)*100)),100000+ABS(1-$HB47)*1000+40)),IF($HD47=0,999999,IF(1=$HE47,IF(4=$HL47,IF($JD47=2,30,0),IF(4=$HM47,IF($JD47=1,30,0),ABS(4-$HF47)*100)),100000+ABS(1-$HE47)*1000+40)),IF($HG47=0,999999,IF(1=$HH47,IF(4=$HN47,IF($JE47=2,30,0),IF(4=$HO47,IF($JE47=1,30,0),ABS(4-$HI47)*100)),100000+ABS(1-$HH47)*1000+40)))-IF((4=$HJ47)+(4=$HK47)+(4=$HL47)+(4=$HM47)+(4=$HN47)+(4=$HO47)&gt;=2,50,0))+G$5*50)</f>
        <v/>
      </c>
      <c r="H167">
        <f>IF(OR($JF47=0,calcA!$A$6=0),0,IF(OR(5=$HA47,5=$HD47,5=$HG47),200000,MIN(IF($HA47=0,999999,IF(1=$HB47,IF(5=$HJ47,IF($JC47=2,30,0),IF(5=$HK47,IF($JC47=1,30,0),ABS(5-$HC47)*100)),100000+ABS(1-$HB47)*1000+50)),IF($HD47=0,999999,IF(1=$HE47,IF(5=$HL47,IF($JD47=2,30,0),IF(5=$HM47,IF($JD47=1,30,0),ABS(5-$HF47)*100)),100000+ABS(1-$HE47)*1000+50)),IF($HG47=0,999999,IF(1=$HH47,IF(5=$HN47,IF($JE47=2,30,0),IF(5=$HO47,IF($JE47=1,30,0),ABS(5-$HI47)*100)),100000+ABS(1-$HH47)*1000+50)))-IF((5=$HJ47)+(5=$HK47)+(5=$HL47)+(5=$HM47)+(5=$HN47)+(5=$HO47)&gt;=2,50,0))+H$5*50)</f>
        <v/>
      </c>
      <c r="I167">
        <f>IF(OR($JF47=0,calcA!$A$6=0),0,IF(OR(6=$HA47,6=$HD47,6=$HG47),200000,MIN(IF($HA47=0,999999,IF(1=$HB47,IF(6=$HJ47,IF($JC47=2,30,0),IF(6=$HK47,IF($JC47=1,30,0),ABS(6-$HC47)*100)),100000+ABS(1-$HB47)*1000+60)),IF($HD47=0,999999,IF(1=$HE47,IF(6=$HL47,IF($JD47=2,30,0),IF(6=$HM47,IF($JD47=1,30,0),ABS(6-$HF47)*100)),100000+ABS(1-$HE47)*1000+60)),IF($HG47=0,999999,IF(1=$HH47,IF(6=$HN47,IF($JE47=2,30,0),IF(6=$HO47,IF($JE47=1,30,0),ABS(6-$HI47)*100)),100000+ABS(1-$HH47)*1000+60)))-IF((6=$HJ47)+(6=$HK47)+(6=$HL47)+(6=$HM47)+(6=$HN47)+(6=$HO47)&gt;=2,50,0))+I$5*50)</f>
        <v/>
      </c>
      <c r="J167">
        <f>IF(OR($JF47=0,calcA!$A$6=0),0,IF(OR(7=$HA47,7=$HD47,7=$HG47),200000,MIN(IF($HA47=0,999999,IF(1=$HB47,IF(7=$HJ47,IF($JC47=2,30,0),IF(7=$HK47,IF($JC47=1,30,0),ABS(7-$HC47)*100)),100000+ABS(1-$HB47)*1000+70)),IF($HD47=0,999999,IF(1=$HE47,IF(7=$HL47,IF($JD47=2,30,0),IF(7=$HM47,IF($JD47=1,30,0),ABS(7-$HF47)*100)),100000+ABS(1-$HE47)*1000+70)),IF($HG47=0,999999,IF(1=$HH47,IF(7=$HN47,IF($JE47=2,30,0),IF(7=$HO47,IF($JE47=1,30,0),ABS(7-$HI47)*100)),100000+ABS(1-$HH47)*1000+70)))-IF((7=$HJ47)+(7=$HK47)+(7=$HL47)+(7=$HM47)+(7=$HN47)+(7=$HO47)&gt;=2,50,0))+J$5*50)</f>
        <v/>
      </c>
      <c r="K167">
        <f>IF(OR($JF47=0,calcA!$A$6=0),0,IF(OR(8=$HA47,8=$HD47,8=$HG47),200000,MIN(IF($HA47=0,999999,IF(1=$HB47,IF(8=$HJ47,IF($JC47=2,30,0),IF(8=$HK47,IF($JC47=1,30,0),ABS(8-$HC47)*100)),100000+ABS(1-$HB47)*1000+80)),IF($HD47=0,999999,IF(1=$HE47,IF(8=$HL47,IF($JD47=2,30,0),IF(8=$HM47,IF($JD47=1,30,0),ABS(8-$HF47)*100)),100000+ABS(1-$HE47)*1000+80)),IF($HG47=0,999999,IF(1=$HH47,IF(8=$HN47,IF($JE47=2,30,0),IF(8=$HO47,IF($JE47=1,30,0),ABS(8-$HI47)*100)),100000+ABS(1-$HH47)*1000+80)))-IF((8=$HJ47)+(8=$HK47)+(8=$HL47)+(8=$HM47)+(8=$HN47)+(8=$HO47)&gt;=2,50,0))+K$5*50)</f>
        <v/>
      </c>
      <c r="L167">
        <f>IF(OR($JF47=0,calcA!$A$6=0),0,IF(OR(9=$HA47,9=$HD47,9=$HG47),200000,MIN(IF($HA47=0,999999,IF(1=$HB47,IF(9=$HJ47,IF($JC47=2,30,0),IF(9=$HK47,IF($JC47=1,30,0),ABS(9-$HC47)*100)),100000+ABS(1-$HB47)*1000+90)),IF($HD47=0,999999,IF(1=$HE47,IF(9=$HL47,IF($JD47=2,30,0),IF(9=$HM47,IF($JD47=1,30,0),ABS(9-$HF47)*100)),100000+ABS(1-$HE47)*1000+90)),IF($HG47=0,999999,IF(1=$HH47,IF(9=$HN47,IF($JE47=2,30,0),IF(9=$HO47,IF($JE47=1,30,0),ABS(9-$HI47)*100)),100000+ABS(1-$HH47)*1000+90)))-IF((9=$HJ47)+(9=$HK47)+(9=$HL47)+(9=$HM47)+(9=$HN47)+(9=$HO47)&gt;=2,50,0))+L$5*50)</f>
        <v/>
      </c>
      <c r="M167">
        <f>IF(OR($JF47=0,calcA!$A$6=0),0,IF(OR(10=$HA47,10=$HD47,10=$HG47),200000,MIN(IF($HA47=0,999999,IF(1=$HB47,IF(10=$HJ47,IF($JC47=2,30,0),IF(10=$HK47,IF($JC47=1,30,0),ABS(10-$HC47)*100)),100000+ABS(1-$HB47)*1000+100)),IF($HD47=0,999999,IF(1=$HE47,IF(10=$HL47,IF($JD47=2,30,0),IF(10=$HM47,IF($JD47=1,30,0),ABS(10-$HF47)*100)),100000+ABS(1-$HE47)*1000+100)),IF($HG47=0,999999,IF(1=$HH47,IF(10=$HN47,IF($JE47=2,30,0),IF(10=$HO47,IF($JE47=1,30,0),ABS(10-$HI47)*100)),100000+ABS(1-$HH47)*1000+100)))-IF((10=$HJ47)+(10=$HK47)+(10=$HL47)+(10=$HM47)+(10=$HN47)+(10=$HO47)&gt;=2,50,0))+M$5*50)</f>
        <v/>
      </c>
      <c r="N167">
        <f>IF(OR($JF47=0,calcA!$A$6=0),0,IF(OR(11=$HA47,11=$HD47,11=$HG47),200000,MIN(IF($HA47=0,999999,IF(1=$HB47,IF(11=$HJ47,IF($JC47=2,30,0),IF(11=$HK47,IF($JC47=1,30,0),ABS(11-$HC47)*100)),100000+ABS(1-$HB47)*1000+110)),IF($HD47=0,999999,IF(1=$HE47,IF(11=$HL47,IF($JD47=2,30,0),IF(11=$HM47,IF($JD47=1,30,0),ABS(11-$HF47)*100)),100000+ABS(1-$HE47)*1000+110)),IF($HG47=0,999999,IF(1=$HH47,IF(11=$HN47,IF($JE47=2,30,0),IF(11=$HO47,IF($JE47=1,30,0),ABS(11-$HI47)*100)),100000+ABS(1-$HH47)*1000+110)))-IF((11=$HJ47)+(11=$HK47)+(11=$HL47)+(11=$HM47)+(11=$HN47)+(11=$HO47)&gt;=2,50,0))+N$5*50)</f>
        <v/>
      </c>
      <c r="O167">
        <f>IF(OR($JF47=0,calcA!$A$6=0),0,IF(OR(12=$HA47,12=$HD47,12=$HG47),200000,MIN(IF($HA47=0,999999,IF(1=$HB47,IF(12=$HJ47,IF($JC47=2,30,0),IF(12=$HK47,IF($JC47=1,30,0),ABS(12-$HC47)*100)),100000+ABS(1-$HB47)*1000+120)),IF($HD47=0,999999,IF(1=$HE47,IF(12=$HL47,IF($JD47=2,30,0),IF(12=$HM47,IF($JD47=1,30,0),ABS(12-$HF47)*100)),100000+ABS(1-$HE47)*1000+120)),IF($HG47=0,999999,IF(1=$HH47,IF(12=$HN47,IF($JE47=2,30,0),IF(12=$HO47,IF($JE47=1,30,0),ABS(12-$HI47)*100)),100000+ABS(1-$HH47)*1000+120)))-IF((12=$HJ47)+(12=$HK47)+(12=$HL47)+(12=$HM47)+(12=$HN47)+(12=$HO47)&gt;=2,50,0))+O$5*50)</f>
        <v/>
      </c>
      <c r="P167">
        <f>IF(OR($JF47=0,calcA!$A$6=0),0,IF(OR(13=$HA47,13=$HD47,13=$HG47),200000,MIN(IF($HA47=0,999999,IF(1=$HB47,IF(13=$HJ47,IF($JC47=2,30,0),IF(13=$HK47,IF($JC47=1,30,0),ABS(13-$HC47)*100)),100000+ABS(1-$HB47)*1000+130)),IF($HD47=0,999999,IF(1=$HE47,IF(13=$HL47,IF($JD47=2,30,0),IF(13=$HM47,IF($JD47=1,30,0),ABS(13-$HF47)*100)),100000+ABS(1-$HE47)*1000+130)),IF($HG47=0,999999,IF(1=$HH47,IF(13=$HN47,IF($JE47=2,30,0),IF(13=$HO47,IF($JE47=1,30,0),ABS(13-$HI47)*100)),100000+ABS(1-$HH47)*1000+130)))-IF((13=$HJ47)+(13=$HK47)+(13=$HL47)+(13=$HM47)+(13=$HN47)+(13=$HO47)&gt;=2,50,0))+P$5*50)</f>
        <v/>
      </c>
      <c r="Q167">
        <f>IF(OR($JF47=0,calcA!$A$6=0),0,IF(OR(14=$HA47,14=$HD47,14=$HG47),200000,MIN(IF($HA47=0,999999,IF(1=$HB47,IF(14=$HJ47,IF($JC47=2,30,0),IF(14=$HK47,IF($JC47=1,30,0),ABS(14-$HC47)*100)),100000+ABS(1-$HB47)*1000+140)),IF($HD47=0,999999,IF(1=$HE47,IF(14=$HL47,IF($JD47=2,30,0),IF(14=$HM47,IF($JD47=1,30,0),ABS(14-$HF47)*100)),100000+ABS(1-$HE47)*1000+140)),IF($HG47=0,999999,IF(1=$HH47,IF(14=$HN47,IF($JE47=2,30,0),IF(14=$HO47,IF($JE47=1,30,0),ABS(14-$HI47)*100)),100000+ABS(1-$HH47)*1000+140)))-IF((14=$HJ47)+(14=$HK47)+(14=$HL47)+(14=$HM47)+(14=$HN47)+(14=$HO47)&gt;=2,50,0))+Q$5*50)</f>
        <v/>
      </c>
      <c r="R167">
        <f>IF(OR($JF47=0,calcA!$A$6=0),0,IF(OR(15=$HA47,15=$HD47,15=$HG47),200000,MIN(IF($HA47=0,999999,IF(1=$HB47,IF(15=$HJ47,IF($JC47=2,30,0),IF(15=$HK47,IF($JC47=1,30,0),ABS(15-$HC47)*100)),100000+ABS(1-$HB47)*1000+150)),IF($HD47=0,999999,IF(1=$HE47,IF(15=$HL47,IF($JD47=2,30,0),IF(15=$HM47,IF($JD47=1,30,0),ABS(15-$HF47)*100)),100000+ABS(1-$HE47)*1000+150)),IF($HG47=0,999999,IF(1=$HH47,IF(15=$HN47,IF($JE47=2,30,0),IF(15=$HO47,IF($JE47=1,30,0),ABS(15-$HI47)*100)),100000+ABS(1-$HH47)*1000+150)))-IF((15=$HJ47)+(15=$HK47)+(15=$HL47)+(15=$HM47)+(15=$HN47)+(15=$HO47)&gt;=2,50,0))+R$5*50)</f>
        <v/>
      </c>
      <c r="S167">
        <f>IF(OR($JF47=0,calcA!$A$6=0),0,IF(OR(16=$HA47,16=$HD47,16=$HG47),200000,MIN(IF($HA47=0,999999,IF(1=$HB47,IF(16=$HJ47,IF($JC47=2,30,0),IF(16=$HK47,IF($JC47=1,30,0),ABS(16-$HC47)*100)),100000+ABS(1-$HB47)*1000+160)),IF($HD47=0,999999,IF(1=$HE47,IF(16=$HL47,IF($JD47=2,30,0),IF(16=$HM47,IF($JD47=1,30,0),ABS(16-$HF47)*100)),100000+ABS(1-$HE47)*1000+160)),IF($HG47=0,999999,IF(1=$HH47,IF(16=$HN47,IF($JE47=2,30,0),IF(16=$HO47,IF($JE47=1,30,0),ABS(16-$HI47)*100)),100000+ABS(1-$HH47)*1000+160)))-IF((16=$HJ47)+(16=$HK47)+(16=$HL47)+(16=$HM47)+(16=$HN47)+(16=$HO47)&gt;=2,50,0))+S$5*50)</f>
        <v/>
      </c>
      <c r="T167">
        <f>IF(OR($JF47=0,calcA!$A$6=0),0,IF(OR(17=$HA47,17=$HD47,17=$HG47),200000,MIN(IF($HA47=0,999999,IF(1=$HB47,IF(17=$HJ47,IF($JC47=2,30,0),IF(17=$HK47,IF($JC47=1,30,0),ABS(17-$HC47)*100)),100000+ABS(1-$HB47)*1000+170)),IF($HD47=0,999999,IF(1=$HE47,IF(17=$HL47,IF($JD47=2,30,0),IF(17=$HM47,IF($JD47=1,30,0),ABS(17-$HF47)*100)),100000+ABS(1-$HE47)*1000+170)),IF($HG47=0,999999,IF(1=$HH47,IF(17=$HN47,IF($JE47=2,30,0),IF(17=$HO47,IF($JE47=1,30,0),ABS(17-$HI47)*100)),100000+ABS(1-$HH47)*1000+170)))-IF((17=$HJ47)+(17=$HK47)+(17=$HL47)+(17=$HM47)+(17=$HN47)+(17=$HO47)&gt;=2,50,0))+T$5*50)</f>
        <v/>
      </c>
      <c r="U167">
        <f>IF(OR($JF47=0,calcA!$A$6=0),0,IF(OR(18=$HA47,18=$HD47,18=$HG47),200000,MIN(IF($HA47=0,999999,IF(1=$HB47,IF(18=$HJ47,IF($JC47=2,30,0),IF(18=$HK47,IF($JC47=1,30,0),ABS(18-$HC47)*100)),100000+ABS(1-$HB47)*1000+180)),IF($HD47=0,999999,IF(1=$HE47,IF(18=$HL47,IF($JD47=2,30,0),IF(18=$HM47,IF($JD47=1,30,0),ABS(18-$HF47)*100)),100000+ABS(1-$HE47)*1000+180)),IF($HG47=0,999999,IF(1=$HH47,IF(18=$HN47,IF($JE47=2,30,0),IF(18=$HO47,IF($JE47=1,30,0),ABS(18-$HI47)*100)),100000+ABS(1-$HH47)*1000+180)))-IF((18=$HJ47)+(18=$HK47)+(18=$HL47)+(18=$HM47)+(18=$HN47)+(18=$HO47)&gt;=2,50,0))+U$5*50)</f>
        <v/>
      </c>
      <c r="V167">
        <f>IF(OR($JF47=0,calcA!$A$6=0),0,IF(OR(19=$HA47,19=$HD47,19=$HG47),200000,MIN(IF($HA47=0,999999,IF(1=$HB47,IF(19=$HJ47,IF($JC47=2,30,0),IF(19=$HK47,IF($JC47=1,30,0),ABS(19-$HC47)*100)),100000+ABS(1-$HB47)*1000+190)),IF($HD47=0,999999,IF(1=$HE47,IF(19=$HL47,IF($JD47=2,30,0),IF(19=$HM47,IF($JD47=1,30,0),ABS(19-$HF47)*100)),100000+ABS(1-$HE47)*1000+190)),IF($HG47=0,999999,IF(1=$HH47,IF(19=$HN47,IF($JE47=2,30,0),IF(19=$HO47,IF($JE47=1,30,0),ABS(19-$HI47)*100)),100000+ABS(1-$HH47)*1000+190)))-IF((19=$HJ47)+(19=$HK47)+(19=$HL47)+(19=$HM47)+(19=$HN47)+(19=$HO47)&gt;=2,50,0))+V$5*50)</f>
        <v/>
      </c>
      <c r="W167">
        <f>IF(OR($JF47=0,calcA!$A$6=0),0,IF(OR(20=$HA47,20=$HD47,20=$HG47),200000,MIN(IF($HA47=0,999999,IF(1=$HB47,IF(20=$HJ47,IF($JC47=2,30,0),IF(20=$HK47,IF($JC47=1,30,0),ABS(20-$HC47)*100)),100000+ABS(1-$HB47)*1000+200)),IF($HD47=0,999999,IF(1=$HE47,IF(20=$HL47,IF($JD47=2,30,0),IF(20=$HM47,IF($JD47=1,30,0),ABS(20-$HF47)*100)),100000+ABS(1-$HE47)*1000+200)),IF($HG47=0,999999,IF(1=$HH47,IF(20=$HN47,IF($JE47=2,30,0),IF(20=$HO47,IF($JE47=1,30,0),ABS(20-$HI47)*100)),100000+ABS(1-$HH47)*1000+200)))-IF((20=$HJ47)+(20=$HK47)+(20=$HL47)+(20=$HM47)+(20=$HN47)+(20=$HO47)&gt;=2,50,0))+W$5*50)</f>
        <v/>
      </c>
      <c r="X167">
        <f>IF(OR($JF47=0,calcA!$A$6=0),0,IF(OR(21=$HA47,21=$HD47,21=$HG47),200000,MIN(IF($HA47=0,999999,IF(1=$HB47,IF(21=$HJ47,IF($JC47=2,30,0),IF(21=$HK47,IF($JC47=1,30,0),ABS(21-$HC47)*100)),100000+ABS(1-$HB47)*1000+210)),IF($HD47=0,999999,IF(1=$HE47,IF(21=$HL47,IF($JD47=2,30,0),IF(21=$HM47,IF($JD47=1,30,0),ABS(21-$HF47)*100)),100000+ABS(1-$HE47)*1000+210)),IF($HG47=0,999999,IF(1=$HH47,IF(21=$HN47,IF($JE47=2,30,0),IF(21=$HO47,IF($JE47=1,30,0),ABS(21-$HI47)*100)),100000+ABS(1-$HH47)*1000+210)))-IF((21=$HJ47)+(21=$HK47)+(21=$HL47)+(21=$HM47)+(21=$HN47)+(21=$HO47)&gt;=2,50,0))+X$5*50)</f>
        <v/>
      </c>
      <c r="Y167">
        <f>IF(OR($JF47=0,calcA!$A$6=0),0,IF(OR(22=$HA47,22=$HD47,22=$HG47),200000,MIN(IF($HA47=0,999999,IF(1=$HB47,IF(22=$HJ47,IF($JC47=2,30,0),IF(22=$HK47,IF($JC47=1,30,0),ABS(22-$HC47)*100)),100000+ABS(1-$HB47)*1000+220)),IF($HD47=0,999999,IF(1=$HE47,IF(22=$HL47,IF($JD47=2,30,0),IF(22=$HM47,IF($JD47=1,30,0),ABS(22-$HF47)*100)),100000+ABS(1-$HE47)*1000+220)),IF($HG47=0,999999,IF(1=$HH47,IF(22=$HN47,IF($JE47=2,30,0),IF(22=$HO47,IF($JE47=1,30,0),ABS(22-$HI47)*100)),100000+ABS(1-$HH47)*1000+220)))-IF((22=$HJ47)+(22=$HK47)+(22=$HL47)+(22=$HM47)+(22=$HN47)+(22=$HO47)&gt;=2,50,0))+Y$5*50)</f>
        <v/>
      </c>
      <c r="Z167">
        <f>IF(OR($JF47=0,calcA!$A$6=0),0,IF(OR(23=$HA47,23=$HD47,23=$HG47),200000,MIN(IF($HA47=0,999999,IF(1=$HB47,IF(23=$HJ47,IF($JC47=2,30,0),IF(23=$HK47,IF($JC47=1,30,0),ABS(23-$HC47)*100)),100000+ABS(1-$HB47)*1000+230)),IF($HD47=0,999999,IF(1=$HE47,IF(23=$HL47,IF($JD47=2,30,0),IF(23=$HM47,IF($JD47=1,30,0),ABS(23-$HF47)*100)),100000+ABS(1-$HE47)*1000+230)),IF($HG47=0,999999,IF(1=$HH47,IF(23=$HN47,IF($JE47=2,30,0),IF(23=$HO47,IF($JE47=1,30,0),ABS(23-$HI47)*100)),100000+ABS(1-$HH47)*1000+230)))-IF((23=$HJ47)+(23=$HK47)+(23=$HL47)+(23=$HM47)+(23=$HN47)+(23=$HO47)&gt;=2,50,0))+Z$5*50)</f>
        <v/>
      </c>
      <c r="AA167">
        <f>IF(OR($JF47=0,calcA!$A$6=0),0,IF(OR(24=$HA47,24=$HD47,24=$HG47),200000,MIN(IF($HA47=0,999999,IF(1=$HB47,IF(24=$HJ47,IF($JC47=2,30,0),IF(24=$HK47,IF($JC47=1,30,0),ABS(24-$HC47)*100)),100000+ABS(1-$HB47)*1000+240)),IF($HD47=0,999999,IF(1=$HE47,IF(24=$HL47,IF($JD47=2,30,0),IF(24=$HM47,IF($JD47=1,30,0),ABS(24-$HF47)*100)),100000+ABS(1-$HE47)*1000+240)),IF($HG47=0,999999,IF(1=$HH47,IF(24=$HN47,IF($JE47=2,30,0),IF(24=$HO47,IF($JE47=1,30,0),ABS(24-$HI47)*100)),100000+ABS(1-$HH47)*1000+240)))-IF((24=$HJ47)+(24=$HK47)+(24=$HL47)+(24=$HM47)+(24=$HN47)+(24=$HO47)&gt;=2,50,0))+AA$5*50)</f>
        <v/>
      </c>
      <c r="AB167">
        <f>IF(OR($JF47=0,calcA!$A$6=0),0,IF(OR(25=$HA47,25=$HD47,25=$HG47),200000,MIN(IF($HA47=0,999999,IF(2=$HB47,IF(25=$HJ47,IF($JC47=2,30,0),IF(25=$HK47,IF($JC47=1,30,0),ABS(1-$HC47)*100)),100000+ABS(2-$HB47)*1000+10)),IF($HD47=0,999999,IF(2=$HE47,IF(25=$HL47,IF($JD47=2,30,0),IF(25=$HM47,IF($JD47=1,30,0),ABS(1-$HF47)*100)),100000+ABS(2-$HE47)*1000+10)),IF($HG47=0,999999,IF(2=$HH47,IF(25=$HN47,IF($JE47=2,30,0),IF(25=$HO47,IF($JE47=1,30,0),ABS(1-$HI47)*100)),100000+ABS(2-$HH47)*1000+10)))-IF((25=$HJ47)+(25=$HK47)+(25=$HL47)+(25=$HM47)+(25=$HN47)+(25=$HO47)&gt;=2,50,0))+AB$5*50)</f>
        <v/>
      </c>
      <c r="AC167">
        <f>IF(OR($JF47=0,calcA!$A$6=0),0,IF(OR(26=$HA47,26=$HD47,26=$HG47),200000,MIN(IF($HA47=0,999999,IF(2=$HB47,IF(26=$HJ47,IF($JC47=2,30,0),IF(26=$HK47,IF($JC47=1,30,0),ABS(2-$HC47)*100)),100000+ABS(2-$HB47)*1000+20)),IF($HD47=0,999999,IF(2=$HE47,IF(26=$HL47,IF($JD47=2,30,0),IF(26=$HM47,IF($JD47=1,30,0),ABS(2-$HF47)*100)),100000+ABS(2-$HE47)*1000+20)),IF($HG47=0,999999,IF(2=$HH47,IF(26=$HN47,IF($JE47=2,30,0),IF(26=$HO47,IF($JE47=1,30,0),ABS(2-$HI47)*100)),100000+ABS(2-$HH47)*1000+20)))-IF((26=$HJ47)+(26=$HK47)+(26=$HL47)+(26=$HM47)+(26=$HN47)+(26=$HO47)&gt;=2,50,0))+AC$5*50)</f>
        <v/>
      </c>
      <c r="AD167">
        <f>IF(OR($JF47=0,calcA!$A$6=0),0,IF(OR(27=$HA47,27=$HD47,27=$HG47),200000,MIN(IF($HA47=0,999999,IF(2=$HB47,IF(27=$HJ47,IF($JC47=2,30,0),IF(27=$HK47,IF($JC47=1,30,0),ABS(3-$HC47)*100)),100000+ABS(2-$HB47)*1000+30)),IF($HD47=0,999999,IF(2=$HE47,IF(27=$HL47,IF($JD47=2,30,0),IF(27=$HM47,IF($JD47=1,30,0),ABS(3-$HF47)*100)),100000+ABS(2-$HE47)*1000+30)),IF($HG47=0,999999,IF(2=$HH47,IF(27=$HN47,IF($JE47=2,30,0),IF(27=$HO47,IF($JE47=1,30,0),ABS(3-$HI47)*100)),100000+ABS(2-$HH47)*1000+30)))-IF((27=$HJ47)+(27=$HK47)+(27=$HL47)+(27=$HM47)+(27=$HN47)+(27=$HO47)&gt;=2,50,0))+AD$5*50)</f>
        <v/>
      </c>
      <c r="AE167">
        <f>IF(OR($JF47=0,calcA!$A$6=0),0,IF(OR(28=$HA47,28=$HD47,28=$HG47),200000,MIN(IF($HA47=0,999999,IF(2=$HB47,IF(28=$HJ47,IF($JC47=2,30,0),IF(28=$HK47,IF($JC47=1,30,0),ABS(4-$HC47)*100)),100000+ABS(2-$HB47)*1000+40)),IF($HD47=0,999999,IF(2=$HE47,IF(28=$HL47,IF($JD47=2,30,0),IF(28=$HM47,IF($JD47=1,30,0),ABS(4-$HF47)*100)),100000+ABS(2-$HE47)*1000+40)),IF($HG47=0,999999,IF(2=$HH47,IF(28=$HN47,IF($JE47=2,30,0),IF(28=$HO47,IF($JE47=1,30,0),ABS(4-$HI47)*100)),100000+ABS(2-$HH47)*1000+40)))-IF((28=$HJ47)+(28=$HK47)+(28=$HL47)+(28=$HM47)+(28=$HN47)+(28=$HO47)&gt;=2,50,0))+AE$5*50)</f>
        <v/>
      </c>
      <c r="AF167">
        <f>IF(OR($JF47=0,calcA!$A$6=0),0,IF(OR(29=$HA47,29=$HD47,29=$HG47),200000,MIN(IF($HA47=0,999999,IF(2=$HB47,IF(29=$HJ47,IF($JC47=2,30,0),IF(29=$HK47,IF($JC47=1,30,0),ABS(5-$HC47)*100)),100000+ABS(2-$HB47)*1000+50)),IF($HD47=0,999999,IF(2=$HE47,IF(29=$HL47,IF($JD47=2,30,0),IF(29=$HM47,IF($JD47=1,30,0),ABS(5-$HF47)*100)),100000+ABS(2-$HE47)*1000+50)),IF($HG47=0,999999,IF(2=$HH47,IF(29=$HN47,IF($JE47=2,30,0),IF(29=$HO47,IF($JE47=1,30,0),ABS(5-$HI47)*100)),100000+ABS(2-$HH47)*1000+50)))-IF((29=$HJ47)+(29=$HK47)+(29=$HL47)+(29=$HM47)+(29=$HN47)+(29=$HO47)&gt;=2,50,0))+AF$5*50)</f>
        <v/>
      </c>
      <c r="AG167">
        <f>IF(OR($JF47=0,calcA!$A$6=0),0,IF(OR(30=$HA47,30=$HD47,30=$HG47),200000,MIN(IF($HA47=0,999999,IF(2=$HB47,IF(30=$HJ47,IF($JC47=2,30,0),IF(30=$HK47,IF($JC47=1,30,0),ABS(6-$HC47)*100)),100000+ABS(2-$HB47)*1000+60)),IF($HD47=0,999999,IF(2=$HE47,IF(30=$HL47,IF($JD47=2,30,0),IF(30=$HM47,IF($JD47=1,30,0),ABS(6-$HF47)*100)),100000+ABS(2-$HE47)*1000+60)),IF($HG47=0,999999,IF(2=$HH47,IF(30=$HN47,IF($JE47=2,30,0),IF(30=$HO47,IF($JE47=1,30,0),ABS(6-$HI47)*100)),100000+ABS(2-$HH47)*1000+60)))-IF((30=$HJ47)+(30=$HK47)+(30=$HL47)+(30=$HM47)+(30=$HN47)+(30=$HO47)&gt;=2,50,0))+AG$5*50)</f>
        <v/>
      </c>
      <c r="AH167">
        <f>IF(OR($JF47=0,calcA!$A$6=0),0,IF(OR(31=$HA47,31=$HD47,31=$HG47),200000,MIN(IF($HA47=0,999999,IF(2=$HB47,IF(31=$HJ47,IF($JC47=2,30,0),IF(31=$HK47,IF($JC47=1,30,0),ABS(7-$HC47)*100)),100000+ABS(2-$HB47)*1000+70)),IF($HD47=0,999999,IF(2=$HE47,IF(31=$HL47,IF($JD47=2,30,0),IF(31=$HM47,IF($JD47=1,30,0),ABS(7-$HF47)*100)),100000+ABS(2-$HE47)*1000+70)),IF($HG47=0,999999,IF(2=$HH47,IF(31=$HN47,IF($JE47=2,30,0),IF(31=$HO47,IF($JE47=1,30,0),ABS(7-$HI47)*100)),100000+ABS(2-$HH47)*1000+70)))-IF((31=$HJ47)+(31=$HK47)+(31=$HL47)+(31=$HM47)+(31=$HN47)+(31=$HO47)&gt;=2,50,0))+AH$5*50)</f>
        <v/>
      </c>
      <c r="AI167">
        <f>IF(OR($JF47=0,calcA!$A$6=0),0,IF(OR(32=$HA47,32=$HD47,32=$HG47),200000,MIN(IF($HA47=0,999999,IF(2=$HB47,IF(32=$HJ47,IF($JC47=2,30,0),IF(32=$HK47,IF($JC47=1,30,0),ABS(8-$HC47)*100)),100000+ABS(2-$HB47)*1000+80)),IF($HD47=0,999999,IF(2=$HE47,IF(32=$HL47,IF($JD47=2,30,0),IF(32=$HM47,IF($JD47=1,30,0),ABS(8-$HF47)*100)),100000+ABS(2-$HE47)*1000+80)),IF($HG47=0,999999,IF(2=$HH47,IF(32=$HN47,IF($JE47=2,30,0),IF(32=$HO47,IF($JE47=1,30,0),ABS(8-$HI47)*100)),100000+ABS(2-$HH47)*1000+80)))-IF((32=$HJ47)+(32=$HK47)+(32=$HL47)+(32=$HM47)+(32=$HN47)+(32=$HO47)&gt;=2,50,0))+AI$5*50)</f>
        <v/>
      </c>
      <c r="AJ167">
        <f>IF(OR($JF47=0,calcA!$A$6=0),0,IF(OR(33=$HA47,33=$HD47,33=$HG47),200000,MIN(IF($HA47=0,999999,IF(2=$HB47,IF(33=$HJ47,IF($JC47=2,30,0),IF(33=$HK47,IF($JC47=1,30,0),ABS(9-$HC47)*100)),100000+ABS(2-$HB47)*1000+90)),IF($HD47=0,999999,IF(2=$HE47,IF(33=$HL47,IF($JD47=2,30,0),IF(33=$HM47,IF($JD47=1,30,0),ABS(9-$HF47)*100)),100000+ABS(2-$HE47)*1000+90)),IF($HG47=0,999999,IF(2=$HH47,IF(33=$HN47,IF($JE47=2,30,0),IF(33=$HO47,IF($JE47=1,30,0),ABS(9-$HI47)*100)),100000+ABS(2-$HH47)*1000+90)))-IF((33=$HJ47)+(33=$HK47)+(33=$HL47)+(33=$HM47)+(33=$HN47)+(33=$HO47)&gt;=2,50,0))+AJ$5*50)</f>
        <v/>
      </c>
      <c r="AK167">
        <f>IF(OR($JF47=0,calcA!$A$6=0),0,IF(OR(34=$HA47,34=$HD47,34=$HG47),200000,MIN(IF($HA47=0,999999,IF(2=$HB47,IF(34=$HJ47,IF($JC47=2,30,0),IF(34=$HK47,IF($JC47=1,30,0),ABS(10-$HC47)*100)),100000+ABS(2-$HB47)*1000+100)),IF($HD47=0,999999,IF(2=$HE47,IF(34=$HL47,IF($JD47=2,30,0),IF(34=$HM47,IF($JD47=1,30,0),ABS(10-$HF47)*100)),100000+ABS(2-$HE47)*1000+100)),IF($HG47=0,999999,IF(2=$HH47,IF(34=$HN47,IF($JE47=2,30,0),IF(34=$HO47,IF($JE47=1,30,0),ABS(10-$HI47)*100)),100000+ABS(2-$HH47)*1000+100)))-IF((34=$HJ47)+(34=$HK47)+(34=$HL47)+(34=$HM47)+(34=$HN47)+(34=$HO47)&gt;=2,50,0))+AK$5*50)</f>
        <v/>
      </c>
      <c r="AL167">
        <f>IF(OR($JF47=0,calcA!$A$6=0),0,IF(OR(35=$HA47,35=$HD47,35=$HG47),200000,MIN(IF($HA47=0,999999,IF(2=$HB47,IF(35=$HJ47,IF($JC47=2,30,0),IF(35=$HK47,IF($JC47=1,30,0),ABS(11-$HC47)*100)),100000+ABS(2-$HB47)*1000+110)),IF($HD47=0,999999,IF(2=$HE47,IF(35=$HL47,IF($JD47=2,30,0),IF(35=$HM47,IF($JD47=1,30,0),ABS(11-$HF47)*100)),100000+ABS(2-$HE47)*1000+110)),IF($HG47=0,999999,IF(2=$HH47,IF(35=$HN47,IF($JE47=2,30,0),IF(35=$HO47,IF($JE47=1,30,0),ABS(11-$HI47)*100)),100000+ABS(2-$HH47)*1000+110)))-IF((35=$HJ47)+(35=$HK47)+(35=$HL47)+(35=$HM47)+(35=$HN47)+(35=$HO47)&gt;=2,50,0))+AL$5*50)</f>
        <v/>
      </c>
      <c r="AM167">
        <f>IF(OR($JF47=0,calcA!$A$6=0),0,IF(OR(36=$HA47,36=$HD47,36=$HG47),200000,MIN(IF($HA47=0,999999,IF(2=$HB47,IF(36=$HJ47,IF($JC47=2,30,0),IF(36=$HK47,IF($JC47=1,30,0),ABS(12-$HC47)*100)),100000+ABS(2-$HB47)*1000+120)),IF($HD47=0,999999,IF(2=$HE47,IF(36=$HL47,IF($JD47=2,30,0),IF(36=$HM47,IF($JD47=1,30,0),ABS(12-$HF47)*100)),100000+ABS(2-$HE47)*1000+120)),IF($HG47=0,999999,IF(2=$HH47,IF(36=$HN47,IF($JE47=2,30,0),IF(36=$HO47,IF($JE47=1,30,0),ABS(12-$HI47)*100)),100000+ABS(2-$HH47)*1000+120)))-IF((36=$HJ47)+(36=$HK47)+(36=$HL47)+(36=$HM47)+(36=$HN47)+(36=$HO47)&gt;=2,50,0))+AM$5*50)</f>
        <v/>
      </c>
      <c r="AN167">
        <f>IF(OR($JF47=0,calcA!$A$6=0),0,IF(OR(37=$HA47,37=$HD47,37=$HG47),200000,MIN(IF($HA47=0,999999,IF(2=$HB47,IF(37=$HJ47,IF($JC47=2,30,0),IF(37=$HK47,IF($JC47=1,30,0),ABS(13-$HC47)*100)),100000+ABS(2-$HB47)*1000+130)),IF($HD47=0,999999,IF(2=$HE47,IF(37=$HL47,IF($JD47=2,30,0),IF(37=$HM47,IF($JD47=1,30,0),ABS(13-$HF47)*100)),100000+ABS(2-$HE47)*1000+130)),IF($HG47=0,999999,IF(2=$HH47,IF(37=$HN47,IF($JE47=2,30,0),IF(37=$HO47,IF($JE47=1,30,0),ABS(13-$HI47)*100)),100000+ABS(2-$HH47)*1000+130)))-IF((37=$HJ47)+(37=$HK47)+(37=$HL47)+(37=$HM47)+(37=$HN47)+(37=$HO47)&gt;=2,50,0))+AN$5*50)</f>
        <v/>
      </c>
      <c r="AO167">
        <f>IF(OR($JF47=0,calcA!$A$6=0),0,IF(OR(38=$HA47,38=$HD47,38=$HG47),200000,MIN(IF($HA47=0,999999,IF(2=$HB47,IF(38=$HJ47,IF($JC47=2,30,0),IF(38=$HK47,IF($JC47=1,30,0),ABS(14-$HC47)*100)),100000+ABS(2-$HB47)*1000+140)),IF($HD47=0,999999,IF(2=$HE47,IF(38=$HL47,IF($JD47=2,30,0),IF(38=$HM47,IF($JD47=1,30,0),ABS(14-$HF47)*100)),100000+ABS(2-$HE47)*1000+140)),IF($HG47=0,999999,IF(2=$HH47,IF(38=$HN47,IF($JE47=2,30,0),IF(38=$HO47,IF($JE47=1,30,0),ABS(14-$HI47)*100)),100000+ABS(2-$HH47)*1000+140)))-IF((38=$HJ47)+(38=$HK47)+(38=$HL47)+(38=$HM47)+(38=$HN47)+(38=$HO47)&gt;=2,50,0))+AO$5*50)</f>
        <v/>
      </c>
      <c r="AP167">
        <f>IF(OR($JF47=0,calcA!$A$6=0),0,IF(OR(39=$HA47,39=$HD47,39=$HG47),200000,MIN(IF($HA47=0,999999,IF(2=$HB47,IF(39=$HJ47,IF($JC47=2,30,0),IF(39=$HK47,IF($JC47=1,30,0),ABS(15-$HC47)*100)),100000+ABS(2-$HB47)*1000+150)),IF($HD47=0,999999,IF(2=$HE47,IF(39=$HL47,IF($JD47=2,30,0),IF(39=$HM47,IF($JD47=1,30,0),ABS(15-$HF47)*100)),100000+ABS(2-$HE47)*1000+150)),IF($HG47=0,999999,IF(2=$HH47,IF(39=$HN47,IF($JE47=2,30,0),IF(39=$HO47,IF($JE47=1,30,0),ABS(15-$HI47)*100)),100000+ABS(2-$HH47)*1000+150)))-IF((39=$HJ47)+(39=$HK47)+(39=$HL47)+(39=$HM47)+(39=$HN47)+(39=$HO47)&gt;=2,50,0))+AP$5*50)</f>
        <v/>
      </c>
      <c r="AQ167">
        <f>IF(OR($JF47=0,calcA!$A$6=0),0,IF(OR(40=$HA47,40=$HD47,40=$HG47),200000,MIN(IF($HA47=0,999999,IF(2=$HB47,IF(40=$HJ47,IF($JC47=2,30,0),IF(40=$HK47,IF($JC47=1,30,0),ABS(16-$HC47)*100)),100000+ABS(2-$HB47)*1000+160)),IF($HD47=0,999999,IF(2=$HE47,IF(40=$HL47,IF($JD47=2,30,0),IF(40=$HM47,IF($JD47=1,30,0),ABS(16-$HF47)*100)),100000+ABS(2-$HE47)*1000+160)),IF($HG47=0,999999,IF(2=$HH47,IF(40=$HN47,IF($JE47=2,30,0),IF(40=$HO47,IF($JE47=1,30,0),ABS(16-$HI47)*100)),100000+ABS(2-$HH47)*1000+160)))-IF((40=$HJ47)+(40=$HK47)+(40=$HL47)+(40=$HM47)+(40=$HN47)+(40=$HO47)&gt;=2,50,0))+AQ$5*50)</f>
        <v/>
      </c>
      <c r="AR167">
        <f>IF(OR($JF47=0,calcA!$A$6=0),0,IF(OR(41=$HA47,41=$HD47,41=$HG47),200000,MIN(IF($HA47=0,999999,IF(2=$HB47,IF(41=$HJ47,IF($JC47=2,30,0),IF(41=$HK47,IF($JC47=1,30,0),ABS(17-$HC47)*100)),100000+ABS(2-$HB47)*1000+170)),IF($HD47=0,999999,IF(2=$HE47,IF(41=$HL47,IF($JD47=2,30,0),IF(41=$HM47,IF($JD47=1,30,0),ABS(17-$HF47)*100)),100000+ABS(2-$HE47)*1000+170)),IF($HG47=0,999999,IF(2=$HH47,IF(41=$HN47,IF($JE47=2,30,0),IF(41=$HO47,IF($JE47=1,30,0),ABS(17-$HI47)*100)),100000+ABS(2-$HH47)*1000+170)))-IF((41=$HJ47)+(41=$HK47)+(41=$HL47)+(41=$HM47)+(41=$HN47)+(41=$HO47)&gt;=2,50,0))+AR$5*50)</f>
        <v/>
      </c>
      <c r="AS167">
        <f>IF(OR($JF47=0,calcA!$A$6=0),0,IF(OR(42=$HA47,42=$HD47,42=$HG47),200000,MIN(IF($HA47=0,999999,IF(2=$HB47,IF(42=$HJ47,IF($JC47=2,30,0),IF(42=$HK47,IF($JC47=1,30,0),ABS(18-$HC47)*100)),100000+ABS(2-$HB47)*1000+180)),IF($HD47=0,999999,IF(2=$HE47,IF(42=$HL47,IF($JD47=2,30,0),IF(42=$HM47,IF($JD47=1,30,0),ABS(18-$HF47)*100)),100000+ABS(2-$HE47)*1000+180)),IF($HG47=0,999999,IF(2=$HH47,IF(42=$HN47,IF($JE47=2,30,0),IF(42=$HO47,IF($JE47=1,30,0),ABS(18-$HI47)*100)),100000+ABS(2-$HH47)*1000+180)))-IF((42=$HJ47)+(42=$HK47)+(42=$HL47)+(42=$HM47)+(42=$HN47)+(42=$HO47)&gt;=2,50,0))+AS$5*50)</f>
        <v/>
      </c>
      <c r="AT167">
        <f>IF(OR($JF47=0,calcA!$A$6=0),0,IF(OR(43=$HA47,43=$HD47,43=$HG47),200000,MIN(IF($HA47=0,999999,IF(2=$HB47,IF(43=$HJ47,IF($JC47=2,30,0),IF(43=$HK47,IF($JC47=1,30,0),ABS(19-$HC47)*100)),100000+ABS(2-$HB47)*1000+190)),IF($HD47=0,999999,IF(2=$HE47,IF(43=$HL47,IF($JD47=2,30,0),IF(43=$HM47,IF($JD47=1,30,0),ABS(19-$HF47)*100)),100000+ABS(2-$HE47)*1000+190)),IF($HG47=0,999999,IF(2=$HH47,IF(43=$HN47,IF($JE47=2,30,0),IF(43=$HO47,IF($JE47=1,30,0),ABS(19-$HI47)*100)),100000+ABS(2-$HH47)*1000+190)))-IF((43=$HJ47)+(43=$HK47)+(43=$HL47)+(43=$HM47)+(43=$HN47)+(43=$HO47)&gt;=2,50,0))+AT$5*50)</f>
        <v/>
      </c>
      <c r="AU167">
        <f>IF(OR($JF47=0,calcA!$A$6=0),0,IF(OR(44=$HA47,44=$HD47,44=$HG47),200000,MIN(IF($HA47=0,999999,IF(2=$HB47,IF(44=$HJ47,IF($JC47=2,30,0),IF(44=$HK47,IF($JC47=1,30,0),ABS(20-$HC47)*100)),100000+ABS(2-$HB47)*1000+200)),IF($HD47=0,999999,IF(2=$HE47,IF(44=$HL47,IF($JD47=2,30,0),IF(44=$HM47,IF($JD47=1,30,0),ABS(20-$HF47)*100)),100000+ABS(2-$HE47)*1000+200)),IF($HG47=0,999999,IF(2=$HH47,IF(44=$HN47,IF($JE47=2,30,0),IF(44=$HO47,IF($JE47=1,30,0),ABS(20-$HI47)*100)),100000+ABS(2-$HH47)*1000+200)))-IF((44=$HJ47)+(44=$HK47)+(44=$HL47)+(44=$HM47)+(44=$HN47)+(44=$HO47)&gt;=2,50,0))+AU$5*50)</f>
        <v/>
      </c>
      <c r="AV167">
        <f>IF(OR($JF47=0,calcA!$A$6=0),0,IF(OR(45=$HA47,45=$HD47,45=$HG47),200000,MIN(IF($HA47=0,999999,IF(2=$HB47,IF(45=$HJ47,IF($JC47=2,30,0),IF(45=$HK47,IF($JC47=1,30,0),ABS(21-$HC47)*100)),100000+ABS(2-$HB47)*1000+210)),IF($HD47=0,999999,IF(2=$HE47,IF(45=$HL47,IF($JD47=2,30,0),IF(45=$HM47,IF($JD47=1,30,0),ABS(21-$HF47)*100)),100000+ABS(2-$HE47)*1000+210)),IF($HG47=0,999999,IF(2=$HH47,IF(45=$HN47,IF($JE47=2,30,0),IF(45=$HO47,IF($JE47=1,30,0),ABS(21-$HI47)*100)),100000+ABS(2-$HH47)*1000+210)))-IF((45=$HJ47)+(45=$HK47)+(45=$HL47)+(45=$HM47)+(45=$HN47)+(45=$HO47)&gt;=2,50,0))+AV$5*50)</f>
        <v/>
      </c>
      <c r="AW167">
        <f>IF(OR($JF47=0,calcA!$A$6=0),0,IF(OR(46=$HA47,46=$HD47,46=$HG47),200000,MIN(IF($HA47=0,999999,IF(2=$HB47,IF(46=$HJ47,IF($JC47=2,30,0),IF(46=$HK47,IF($JC47=1,30,0),ABS(22-$HC47)*100)),100000+ABS(2-$HB47)*1000+220)),IF($HD47=0,999999,IF(2=$HE47,IF(46=$HL47,IF($JD47=2,30,0),IF(46=$HM47,IF($JD47=1,30,0),ABS(22-$HF47)*100)),100000+ABS(2-$HE47)*1000+220)),IF($HG47=0,999999,IF(2=$HH47,IF(46=$HN47,IF($JE47=2,30,0),IF(46=$HO47,IF($JE47=1,30,0),ABS(22-$HI47)*100)),100000+ABS(2-$HH47)*1000+220)))-IF((46=$HJ47)+(46=$HK47)+(46=$HL47)+(46=$HM47)+(46=$HN47)+(46=$HO47)&gt;=2,50,0))+AW$5*50)</f>
        <v/>
      </c>
      <c r="AX167">
        <f>IF(OR($JF47=0,calcA!$A$6=0),0,IF(OR(47=$HA47,47=$HD47,47=$HG47),200000,MIN(IF($HA47=0,999999,IF(2=$HB47,IF(47=$HJ47,IF($JC47=2,30,0),IF(47=$HK47,IF($JC47=1,30,0),ABS(23-$HC47)*100)),100000+ABS(2-$HB47)*1000+230)),IF($HD47=0,999999,IF(2=$HE47,IF(47=$HL47,IF($JD47=2,30,0),IF(47=$HM47,IF($JD47=1,30,0),ABS(23-$HF47)*100)),100000+ABS(2-$HE47)*1000+230)),IF($HG47=0,999999,IF(2=$HH47,IF(47=$HN47,IF($JE47=2,30,0),IF(47=$HO47,IF($JE47=1,30,0),ABS(23-$HI47)*100)),100000+ABS(2-$HH47)*1000+230)))-IF((47=$HJ47)+(47=$HK47)+(47=$HL47)+(47=$HM47)+(47=$HN47)+(47=$HO47)&gt;=2,50,0))+AX$5*50)</f>
        <v/>
      </c>
      <c r="AY167">
        <f>IF(OR($JF47=0,calcA!$A$6=0),0,IF(OR(48=$HA47,48=$HD47,48=$HG47),200000,MIN(IF($HA47=0,999999,IF(2=$HB47,IF(48=$HJ47,IF($JC47=2,30,0),IF(48=$HK47,IF($JC47=1,30,0),ABS(24-$HC47)*100)),100000+ABS(2-$HB47)*1000+240)),IF($HD47=0,999999,IF(2=$HE47,IF(48=$HL47,IF($JD47=2,30,0),IF(48=$HM47,IF($JD47=1,30,0),ABS(24-$HF47)*100)),100000+ABS(2-$HE47)*1000+240)),IF($HG47=0,999999,IF(2=$HH47,IF(48=$HN47,IF($JE47=2,30,0),IF(48=$HO47,IF($JE47=1,30,0),ABS(24-$HI47)*100)),100000+ABS(2-$HH47)*1000+240)))-IF((48=$HJ47)+(48=$HK47)+(48=$HL47)+(48=$HM47)+(48=$HN47)+(48=$HO47)&gt;=2,50,0))+AY$5*50)</f>
        <v/>
      </c>
      <c r="AZ167">
        <f>IF(OR($JF47=0,calcA!$A$6=0),0,IF(OR(49=$HA47,49=$HD47,49=$HG47),200000,MIN(IF($HA47=0,999999,IF(3=$HB47,IF(49=$HJ47,IF($JC47=2,30,0),IF(49=$HK47,IF($JC47=1,30,0),ABS(1-$HC47)*100)),100000+ABS(3-$HB47)*1000+10)),IF($HD47=0,999999,IF(3=$HE47,IF(49=$HL47,IF($JD47=2,30,0),IF(49=$HM47,IF($JD47=1,30,0),ABS(1-$HF47)*100)),100000+ABS(3-$HE47)*1000+10)),IF($HG47=0,999999,IF(3=$HH47,IF(49=$HN47,IF($JE47=2,30,0),IF(49=$HO47,IF($JE47=1,30,0),ABS(1-$HI47)*100)),100000+ABS(3-$HH47)*1000+10)))-IF((49=$HJ47)+(49=$HK47)+(49=$HL47)+(49=$HM47)+(49=$HN47)+(49=$HO47)&gt;=2,50,0))+AZ$5*50)</f>
        <v/>
      </c>
      <c r="BA167">
        <f>IF(OR($JF47=0,calcA!$A$6=0),0,IF(OR(50=$HA47,50=$HD47,50=$HG47),200000,MIN(IF($HA47=0,999999,IF(3=$HB47,IF(50=$HJ47,IF($JC47=2,30,0),IF(50=$HK47,IF($JC47=1,30,0),ABS(2-$HC47)*100)),100000+ABS(3-$HB47)*1000+20)),IF($HD47=0,999999,IF(3=$HE47,IF(50=$HL47,IF($JD47=2,30,0),IF(50=$HM47,IF($JD47=1,30,0),ABS(2-$HF47)*100)),100000+ABS(3-$HE47)*1000+20)),IF($HG47=0,999999,IF(3=$HH47,IF(50=$HN47,IF($JE47=2,30,0),IF(50=$HO47,IF($JE47=1,30,0),ABS(2-$HI47)*100)),100000+ABS(3-$HH47)*1000+20)))-IF((50=$HJ47)+(50=$HK47)+(50=$HL47)+(50=$HM47)+(50=$HN47)+(50=$HO47)&gt;=2,50,0))+BA$5*50)</f>
        <v/>
      </c>
      <c r="BB167">
        <f>IF(OR($JF47=0,calcA!$A$6=0),0,IF(OR(51=$HA47,51=$HD47,51=$HG47),200000,MIN(IF($HA47=0,999999,IF(3=$HB47,IF(51=$HJ47,IF($JC47=2,30,0),IF(51=$HK47,IF($JC47=1,30,0),ABS(3-$HC47)*100)),100000+ABS(3-$HB47)*1000+30)),IF($HD47=0,999999,IF(3=$HE47,IF(51=$HL47,IF($JD47=2,30,0),IF(51=$HM47,IF($JD47=1,30,0),ABS(3-$HF47)*100)),100000+ABS(3-$HE47)*1000+30)),IF($HG47=0,999999,IF(3=$HH47,IF(51=$HN47,IF($JE47=2,30,0),IF(51=$HO47,IF($JE47=1,30,0),ABS(3-$HI47)*100)),100000+ABS(3-$HH47)*1000+30)))-IF((51=$HJ47)+(51=$HK47)+(51=$HL47)+(51=$HM47)+(51=$HN47)+(51=$HO47)&gt;=2,50,0))+BB$5*50)</f>
        <v/>
      </c>
      <c r="BC167">
        <f>IF(OR($JF47=0,calcA!$A$6=0),0,IF(OR(52=$HA47,52=$HD47,52=$HG47),200000,MIN(IF($HA47=0,999999,IF(3=$HB47,IF(52=$HJ47,IF($JC47=2,30,0),IF(52=$HK47,IF($JC47=1,30,0),ABS(4-$HC47)*100)),100000+ABS(3-$HB47)*1000+40)),IF($HD47=0,999999,IF(3=$HE47,IF(52=$HL47,IF($JD47=2,30,0),IF(52=$HM47,IF($JD47=1,30,0),ABS(4-$HF47)*100)),100000+ABS(3-$HE47)*1000+40)),IF($HG47=0,999999,IF(3=$HH47,IF(52=$HN47,IF($JE47=2,30,0),IF(52=$HO47,IF($JE47=1,30,0),ABS(4-$HI47)*100)),100000+ABS(3-$HH47)*1000+40)))-IF((52=$HJ47)+(52=$HK47)+(52=$HL47)+(52=$HM47)+(52=$HN47)+(52=$HO47)&gt;=2,50,0))+BC$5*50)</f>
        <v/>
      </c>
      <c r="BD167">
        <f>IF(OR($JF47=0,calcA!$A$6=0),0,IF(OR(53=$HA47,53=$HD47,53=$HG47),200000,MIN(IF($HA47=0,999999,IF(3=$HB47,IF(53=$HJ47,IF($JC47=2,30,0),IF(53=$HK47,IF($JC47=1,30,0),ABS(5-$HC47)*100)),100000+ABS(3-$HB47)*1000+50)),IF($HD47=0,999999,IF(3=$HE47,IF(53=$HL47,IF($JD47=2,30,0),IF(53=$HM47,IF($JD47=1,30,0),ABS(5-$HF47)*100)),100000+ABS(3-$HE47)*1000+50)),IF($HG47=0,999999,IF(3=$HH47,IF(53=$HN47,IF($JE47=2,30,0),IF(53=$HO47,IF($JE47=1,30,0),ABS(5-$HI47)*100)),100000+ABS(3-$HH47)*1000+50)))-IF((53=$HJ47)+(53=$HK47)+(53=$HL47)+(53=$HM47)+(53=$HN47)+(53=$HO47)&gt;=2,50,0))+BD$5*50)</f>
        <v/>
      </c>
      <c r="BE167">
        <f>IF(OR($JF47=0,calcA!$A$6=0),0,IF(OR(54=$HA47,54=$HD47,54=$HG47),200000,MIN(IF($HA47=0,999999,IF(3=$HB47,IF(54=$HJ47,IF($JC47=2,30,0),IF(54=$HK47,IF($JC47=1,30,0),ABS(6-$HC47)*100)),100000+ABS(3-$HB47)*1000+60)),IF($HD47=0,999999,IF(3=$HE47,IF(54=$HL47,IF($JD47=2,30,0),IF(54=$HM47,IF($JD47=1,30,0),ABS(6-$HF47)*100)),100000+ABS(3-$HE47)*1000+60)),IF($HG47=0,999999,IF(3=$HH47,IF(54=$HN47,IF($JE47=2,30,0),IF(54=$HO47,IF($JE47=1,30,0),ABS(6-$HI47)*100)),100000+ABS(3-$HH47)*1000+60)))-IF((54=$HJ47)+(54=$HK47)+(54=$HL47)+(54=$HM47)+(54=$HN47)+(54=$HO47)&gt;=2,50,0))+BE$5*50)</f>
        <v/>
      </c>
      <c r="BF167">
        <f>IF(OR($JF47=0,calcA!$A$6=0),0,IF(OR(55=$HA47,55=$HD47,55=$HG47),200000,MIN(IF($HA47=0,999999,IF(3=$HB47,IF(55=$HJ47,IF($JC47=2,30,0),IF(55=$HK47,IF($JC47=1,30,0),ABS(7-$HC47)*100)),100000+ABS(3-$HB47)*1000+70)),IF($HD47=0,999999,IF(3=$HE47,IF(55=$HL47,IF($JD47=2,30,0),IF(55=$HM47,IF($JD47=1,30,0),ABS(7-$HF47)*100)),100000+ABS(3-$HE47)*1000+70)),IF($HG47=0,999999,IF(3=$HH47,IF(55=$HN47,IF($JE47=2,30,0),IF(55=$HO47,IF($JE47=1,30,0),ABS(7-$HI47)*100)),100000+ABS(3-$HH47)*1000+70)))-IF((55=$HJ47)+(55=$HK47)+(55=$HL47)+(55=$HM47)+(55=$HN47)+(55=$HO47)&gt;=2,50,0))+BF$5*50)</f>
        <v/>
      </c>
      <c r="BG167">
        <f>IF(OR($JF47=0,calcA!$A$6=0),0,IF(OR(56=$HA47,56=$HD47,56=$HG47),200000,MIN(IF($HA47=0,999999,IF(3=$HB47,IF(56=$HJ47,IF($JC47=2,30,0),IF(56=$HK47,IF($JC47=1,30,0),ABS(8-$HC47)*100)),100000+ABS(3-$HB47)*1000+80)),IF($HD47=0,999999,IF(3=$HE47,IF(56=$HL47,IF($JD47=2,30,0),IF(56=$HM47,IF($JD47=1,30,0),ABS(8-$HF47)*100)),100000+ABS(3-$HE47)*1000+80)),IF($HG47=0,999999,IF(3=$HH47,IF(56=$HN47,IF($JE47=2,30,0),IF(56=$HO47,IF($JE47=1,30,0),ABS(8-$HI47)*100)),100000+ABS(3-$HH47)*1000+80)))-IF((56=$HJ47)+(56=$HK47)+(56=$HL47)+(56=$HM47)+(56=$HN47)+(56=$HO47)&gt;=2,50,0))+BG$5*50)</f>
        <v/>
      </c>
      <c r="BH167">
        <f>IF(OR($JF47=0,calcA!$A$6=0),0,IF(OR(57=$HA47,57=$HD47,57=$HG47),200000,MIN(IF($HA47=0,999999,IF(3=$HB47,IF(57=$HJ47,IF($JC47=2,30,0),IF(57=$HK47,IF($JC47=1,30,0),ABS(9-$HC47)*100)),100000+ABS(3-$HB47)*1000+90)),IF($HD47=0,999999,IF(3=$HE47,IF(57=$HL47,IF($JD47=2,30,0),IF(57=$HM47,IF($JD47=1,30,0),ABS(9-$HF47)*100)),100000+ABS(3-$HE47)*1000+90)),IF($HG47=0,999999,IF(3=$HH47,IF(57=$HN47,IF($JE47=2,30,0),IF(57=$HO47,IF($JE47=1,30,0),ABS(9-$HI47)*100)),100000+ABS(3-$HH47)*1000+90)))-IF((57=$HJ47)+(57=$HK47)+(57=$HL47)+(57=$HM47)+(57=$HN47)+(57=$HO47)&gt;=2,50,0))+BH$5*50)</f>
        <v/>
      </c>
      <c r="BI167">
        <f>IF(OR($JF47=0,calcA!$A$6=0),0,IF(OR(58=$HA47,58=$HD47,58=$HG47),200000,MIN(IF($HA47=0,999999,IF(3=$HB47,IF(58=$HJ47,IF($JC47=2,30,0),IF(58=$HK47,IF($JC47=1,30,0),ABS(10-$HC47)*100)),100000+ABS(3-$HB47)*1000+100)),IF($HD47=0,999999,IF(3=$HE47,IF(58=$HL47,IF($JD47=2,30,0),IF(58=$HM47,IF($JD47=1,30,0),ABS(10-$HF47)*100)),100000+ABS(3-$HE47)*1000+100)),IF($HG47=0,999999,IF(3=$HH47,IF(58=$HN47,IF($JE47=2,30,0),IF(58=$HO47,IF($JE47=1,30,0),ABS(10-$HI47)*100)),100000+ABS(3-$HH47)*1000+100)))-IF((58=$HJ47)+(58=$HK47)+(58=$HL47)+(58=$HM47)+(58=$HN47)+(58=$HO47)&gt;=2,50,0))+BI$5*50)</f>
        <v/>
      </c>
      <c r="BJ167">
        <f>IF(OR($JF47=0,calcA!$A$6=0),0,IF(OR(59=$HA47,59=$HD47,59=$HG47),200000,MIN(IF($HA47=0,999999,IF(3=$HB47,IF(59=$HJ47,IF($JC47=2,30,0),IF(59=$HK47,IF($JC47=1,30,0),ABS(11-$HC47)*100)),100000+ABS(3-$HB47)*1000+110)),IF($HD47=0,999999,IF(3=$HE47,IF(59=$HL47,IF($JD47=2,30,0),IF(59=$HM47,IF($JD47=1,30,0),ABS(11-$HF47)*100)),100000+ABS(3-$HE47)*1000+110)),IF($HG47=0,999999,IF(3=$HH47,IF(59=$HN47,IF($JE47=2,30,0),IF(59=$HO47,IF($JE47=1,30,0),ABS(11-$HI47)*100)),100000+ABS(3-$HH47)*1000+110)))-IF((59=$HJ47)+(59=$HK47)+(59=$HL47)+(59=$HM47)+(59=$HN47)+(59=$HO47)&gt;=2,50,0))+BJ$5*50)</f>
        <v/>
      </c>
      <c r="BK167">
        <f>IF(OR($JF47=0,calcA!$A$6=0),0,IF(OR(60=$HA47,60=$HD47,60=$HG47),200000,MIN(IF($HA47=0,999999,IF(3=$HB47,IF(60=$HJ47,IF($JC47=2,30,0),IF(60=$HK47,IF($JC47=1,30,0),ABS(12-$HC47)*100)),100000+ABS(3-$HB47)*1000+120)),IF($HD47=0,999999,IF(3=$HE47,IF(60=$HL47,IF($JD47=2,30,0),IF(60=$HM47,IF($JD47=1,30,0),ABS(12-$HF47)*100)),100000+ABS(3-$HE47)*1000+120)),IF($HG47=0,999999,IF(3=$HH47,IF(60=$HN47,IF($JE47=2,30,0),IF(60=$HO47,IF($JE47=1,30,0),ABS(12-$HI47)*100)),100000+ABS(3-$HH47)*1000+120)))-IF((60=$HJ47)+(60=$HK47)+(60=$HL47)+(60=$HM47)+(60=$HN47)+(60=$HO47)&gt;=2,50,0))+BK$5*50)</f>
        <v/>
      </c>
      <c r="BL167">
        <f>IF(OR($JF47=0,calcA!$A$6=0),0,IF(OR(61=$HA47,61=$HD47,61=$HG47),200000,MIN(IF($HA47=0,999999,IF(3=$HB47,IF(61=$HJ47,IF($JC47=2,30,0),IF(61=$HK47,IF($JC47=1,30,0),ABS(13-$HC47)*100)),100000+ABS(3-$HB47)*1000+130)),IF($HD47=0,999999,IF(3=$HE47,IF(61=$HL47,IF($JD47=2,30,0),IF(61=$HM47,IF($JD47=1,30,0),ABS(13-$HF47)*100)),100000+ABS(3-$HE47)*1000+130)),IF($HG47=0,999999,IF(3=$HH47,IF(61=$HN47,IF($JE47=2,30,0),IF(61=$HO47,IF($JE47=1,30,0),ABS(13-$HI47)*100)),100000+ABS(3-$HH47)*1000+130)))-IF((61=$HJ47)+(61=$HK47)+(61=$HL47)+(61=$HM47)+(61=$HN47)+(61=$HO47)&gt;=2,50,0))+BL$5*50)</f>
        <v/>
      </c>
      <c r="BM167">
        <f>IF(OR($JF47=0,calcA!$A$6=0),0,IF(OR(62=$HA47,62=$HD47,62=$HG47),200000,MIN(IF($HA47=0,999999,IF(3=$HB47,IF(62=$HJ47,IF($JC47=2,30,0),IF(62=$HK47,IF($JC47=1,30,0),ABS(14-$HC47)*100)),100000+ABS(3-$HB47)*1000+140)),IF($HD47=0,999999,IF(3=$HE47,IF(62=$HL47,IF($JD47=2,30,0),IF(62=$HM47,IF($JD47=1,30,0),ABS(14-$HF47)*100)),100000+ABS(3-$HE47)*1000+140)),IF($HG47=0,999999,IF(3=$HH47,IF(62=$HN47,IF($JE47=2,30,0),IF(62=$HO47,IF($JE47=1,30,0),ABS(14-$HI47)*100)),100000+ABS(3-$HH47)*1000+140)))-IF((62=$HJ47)+(62=$HK47)+(62=$HL47)+(62=$HM47)+(62=$HN47)+(62=$HO47)&gt;=2,50,0))+BM$5*50)</f>
        <v/>
      </c>
      <c r="BN167">
        <f>IF(OR($JF47=0,calcA!$A$6=0),0,IF(OR(63=$HA47,63=$HD47,63=$HG47),200000,MIN(IF($HA47=0,999999,IF(3=$HB47,IF(63=$HJ47,IF($JC47=2,30,0),IF(63=$HK47,IF($JC47=1,30,0),ABS(15-$HC47)*100)),100000+ABS(3-$HB47)*1000+150)),IF($HD47=0,999999,IF(3=$HE47,IF(63=$HL47,IF($JD47=2,30,0),IF(63=$HM47,IF($JD47=1,30,0),ABS(15-$HF47)*100)),100000+ABS(3-$HE47)*1000+150)),IF($HG47=0,999999,IF(3=$HH47,IF(63=$HN47,IF($JE47=2,30,0),IF(63=$HO47,IF($JE47=1,30,0),ABS(15-$HI47)*100)),100000+ABS(3-$HH47)*1000+150)))-IF((63=$HJ47)+(63=$HK47)+(63=$HL47)+(63=$HM47)+(63=$HN47)+(63=$HO47)&gt;=2,50,0))+BN$5*50)</f>
        <v/>
      </c>
      <c r="BO167">
        <f>IF(OR($JF47=0,calcA!$A$6=0),0,IF(OR(64=$HA47,64=$HD47,64=$HG47),200000,MIN(IF($HA47=0,999999,IF(3=$HB47,IF(64=$HJ47,IF($JC47=2,30,0),IF(64=$HK47,IF($JC47=1,30,0),ABS(16-$HC47)*100)),100000+ABS(3-$HB47)*1000+160)),IF($HD47=0,999999,IF(3=$HE47,IF(64=$HL47,IF($JD47=2,30,0),IF(64=$HM47,IF($JD47=1,30,0),ABS(16-$HF47)*100)),100000+ABS(3-$HE47)*1000+160)),IF($HG47=0,999999,IF(3=$HH47,IF(64=$HN47,IF($JE47=2,30,0),IF(64=$HO47,IF($JE47=1,30,0),ABS(16-$HI47)*100)),100000+ABS(3-$HH47)*1000+160)))-IF((64=$HJ47)+(64=$HK47)+(64=$HL47)+(64=$HM47)+(64=$HN47)+(64=$HO47)&gt;=2,50,0))+BO$5*50)</f>
        <v/>
      </c>
      <c r="BP167">
        <f>IF(OR($JF47=0,calcA!$A$6=0),0,IF(OR(65=$HA47,65=$HD47,65=$HG47),200000,MIN(IF($HA47=0,999999,IF(3=$HB47,IF(65=$HJ47,IF($JC47=2,30,0),IF(65=$HK47,IF($JC47=1,30,0),ABS(17-$HC47)*100)),100000+ABS(3-$HB47)*1000+170)),IF($HD47=0,999999,IF(3=$HE47,IF(65=$HL47,IF($JD47=2,30,0),IF(65=$HM47,IF($JD47=1,30,0),ABS(17-$HF47)*100)),100000+ABS(3-$HE47)*1000+170)),IF($HG47=0,999999,IF(3=$HH47,IF(65=$HN47,IF($JE47=2,30,0),IF(65=$HO47,IF($JE47=1,30,0),ABS(17-$HI47)*100)),100000+ABS(3-$HH47)*1000+170)))-IF((65=$HJ47)+(65=$HK47)+(65=$HL47)+(65=$HM47)+(65=$HN47)+(65=$HO47)&gt;=2,50,0))+BP$5*50)</f>
        <v/>
      </c>
      <c r="BQ167">
        <f>IF(OR($JF47=0,calcA!$A$6=0),0,IF(OR(66=$HA47,66=$HD47,66=$HG47),200000,MIN(IF($HA47=0,999999,IF(3=$HB47,IF(66=$HJ47,IF($JC47=2,30,0),IF(66=$HK47,IF($JC47=1,30,0),ABS(18-$HC47)*100)),100000+ABS(3-$HB47)*1000+180)),IF($HD47=0,999999,IF(3=$HE47,IF(66=$HL47,IF($JD47=2,30,0),IF(66=$HM47,IF($JD47=1,30,0),ABS(18-$HF47)*100)),100000+ABS(3-$HE47)*1000+180)),IF($HG47=0,999999,IF(3=$HH47,IF(66=$HN47,IF($JE47=2,30,0),IF(66=$HO47,IF($JE47=1,30,0),ABS(18-$HI47)*100)),100000+ABS(3-$HH47)*1000+180)))-IF((66=$HJ47)+(66=$HK47)+(66=$HL47)+(66=$HM47)+(66=$HN47)+(66=$HO47)&gt;=2,50,0))+BQ$5*50)</f>
        <v/>
      </c>
      <c r="BR167">
        <f>IF(OR($JF47=0,calcA!$A$6=0),0,IF(OR(67=$HA47,67=$HD47,67=$HG47),200000,MIN(IF($HA47=0,999999,IF(3=$HB47,IF(67=$HJ47,IF($JC47=2,30,0),IF(67=$HK47,IF($JC47=1,30,0),ABS(19-$HC47)*100)),100000+ABS(3-$HB47)*1000+190)),IF($HD47=0,999999,IF(3=$HE47,IF(67=$HL47,IF($JD47=2,30,0),IF(67=$HM47,IF($JD47=1,30,0),ABS(19-$HF47)*100)),100000+ABS(3-$HE47)*1000+190)),IF($HG47=0,999999,IF(3=$HH47,IF(67=$HN47,IF($JE47=2,30,0),IF(67=$HO47,IF($JE47=1,30,0),ABS(19-$HI47)*100)),100000+ABS(3-$HH47)*1000+190)))-IF((67=$HJ47)+(67=$HK47)+(67=$HL47)+(67=$HM47)+(67=$HN47)+(67=$HO47)&gt;=2,50,0))+BR$5*50)</f>
        <v/>
      </c>
      <c r="BS167">
        <f>IF(OR($JF47=0,calcA!$A$6=0),0,IF(OR(68=$HA47,68=$HD47,68=$HG47),200000,MIN(IF($HA47=0,999999,IF(3=$HB47,IF(68=$HJ47,IF($JC47=2,30,0),IF(68=$HK47,IF($JC47=1,30,0),ABS(20-$HC47)*100)),100000+ABS(3-$HB47)*1000+200)),IF($HD47=0,999999,IF(3=$HE47,IF(68=$HL47,IF($JD47=2,30,0),IF(68=$HM47,IF($JD47=1,30,0),ABS(20-$HF47)*100)),100000+ABS(3-$HE47)*1000+200)),IF($HG47=0,999999,IF(3=$HH47,IF(68=$HN47,IF($JE47=2,30,0),IF(68=$HO47,IF($JE47=1,30,0),ABS(20-$HI47)*100)),100000+ABS(3-$HH47)*1000+200)))-IF((68=$HJ47)+(68=$HK47)+(68=$HL47)+(68=$HM47)+(68=$HN47)+(68=$HO47)&gt;=2,50,0))+BS$5*50)</f>
        <v/>
      </c>
      <c r="BT167">
        <f>IF(OR($JF47=0,calcA!$A$6=0),0,IF(OR(69=$HA47,69=$HD47,69=$HG47),200000,MIN(IF($HA47=0,999999,IF(3=$HB47,IF(69=$HJ47,IF($JC47=2,30,0),IF(69=$HK47,IF($JC47=1,30,0),ABS(21-$HC47)*100)),100000+ABS(3-$HB47)*1000+210)),IF($HD47=0,999999,IF(3=$HE47,IF(69=$HL47,IF($JD47=2,30,0),IF(69=$HM47,IF($JD47=1,30,0),ABS(21-$HF47)*100)),100000+ABS(3-$HE47)*1000+210)),IF($HG47=0,999999,IF(3=$HH47,IF(69=$HN47,IF($JE47=2,30,0),IF(69=$HO47,IF($JE47=1,30,0),ABS(21-$HI47)*100)),100000+ABS(3-$HH47)*1000+210)))-IF((69=$HJ47)+(69=$HK47)+(69=$HL47)+(69=$HM47)+(69=$HN47)+(69=$HO47)&gt;=2,50,0))+BT$5*50)</f>
        <v/>
      </c>
      <c r="BU167">
        <f>IF(OR($JF47=0,calcA!$A$6=0),0,IF(OR(70=$HA47,70=$HD47,70=$HG47),200000,MIN(IF($HA47=0,999999,IF(3=$HB47,IF(70=$HJ47,IF($JC47=2,30,0),IF(70=$HK47,IF($JC47=1,30,0),ABS(22-$HC47)*100)),100000+ABS(3-$HB47)*1000+220)),IF($HD47=0,999999,IF(3=$HE47,IF(70=$HL47,IF($JD47=2,30,0),IF(70=$HM47,IF($JD47=1,30,0),ABS(22-$HF47)*100)),100000+ABS(3-$HE47)*1000+220)),IF($HG47=0,999999,IF(3=$HH47,IF(70=$HN47,IF($JE47=2,30,0),IF(70=$HO47,IF($JE47=1,30,0),ABS(22-$HI47)*100)),100000+ABS(3-$HH47)*1000+220)))-IF((70=$HJ47)+(70=$HK47)+(70=$HL47)+(70=$HM47)+(70=$HN47)+(70=$HO47)&gt;=2,50,0))+BU$5*50)</f>
        <v/>
      </c>
      <c r="BV167">
        <f>IF(OR($JF47=0,calcA!$A$6=0),0,IF(OR(71=$HA47,71=$HD47,71=$HG47),200000,MIN(IF($HA47=0,999999,IF(3=$HB47,IF(71=$HJ47,IF($JC47=2,30,0),IF(71=$HK47,IF($JC47=1,30,0),ABS(23-$HC47)*100)),100000+ABS(3-$HB47)*1000+230)),IF($HD47=0,999999,IF(3=$HE47,IF(71=$HL47,IF($JD47=2,30,0),IF(71=$HM47,IF($JD47=1,30,0),ABS(23-$HF47)*100)),100000+ABS(3-$HE47)*1000+230)),IF($HG47=0,999999,IF(3=$HH47,IF(71=$HN47,IF($JE47=2,30,0),IF(71=$HO47,IF($JE47=1,30,0),ABS(23-$HI47)*100)),100000+ABS(3-$HH47)*1000+230)))-IF((71=$HJ47)+(71=$HK47)+(71=$HL47)+(71=$HM47)+(71=$HN47)+(71=$HO47)&gt;=2,50,0))+BV$5*50)</f>
        <v/>
      </c>
      <c r="BW167">
        <f>IF(OR($JF47=0,calcA!$A$6=0),0,IF(OR(72=$HA47,72=$HD47,72=$HG47),200000,MIN(IF($HA47=0,999999,IF(3=$HB47,IF(72=$HJ47,IF($JC47=2,30,0),IF(72=$HK47,IF($JC47=1,30,0),ABS(24-$HC47)*100)),100000+ABS(3-$HB47)*1000+240)),IF($HD47=0,999999,IF(3=$HE47,IF(72=$HL47,IF($JD47=2,30,0),IF(72=$HM47,IF($JD47=1,30,0),ABS(24-$HF47)*100)),100000+ABS(3-$HE47)*1000+240)),IF($HG47=0,999999,IF(3=$HH47,IF(72=$HN47,IF($JE47=2,30,0),IF(72=$HO47,IF($JE47=1,30,0),ABS(24-$HI47)*100)),100000+ABS(3-$HH47)*1000+240)))-IF((72=$HJ47)+(72=$HK47)+(72=$HL47)+(72=$HM47)+(72=$HN47)+(72=$HO47)&gt;=2,50,0))+BW$5*50)</f>
        <v/>
      </c>
      <c r="BX167">
        <f>IF(OR($JF47=0,calcA!$A$6=0),0,IF(OR(73=$HA47,73=$HD47,73=$HG47),200000,MIN(IF($HA47=0,999999,IF(4=$HB47,IF(73=$HJ47,IF($JC47=2,30,0),IF(73=$HK47,IF($JC47=1,30,0),ABS(1-$HC47)*100)),100000+ABS(4-$HB47)*1000+10)),IF($HD47=0,999999,IF(4=$HE47,IF(73=$HL47,IF($JD47=2,30,0),IF(73=$HM47,IF($JD47=1,30,0),ABS(1-$HF47)*100)),100000+ABS(4-$HE47)*1000+10)),IF($HG47=0,999999,IF(4=$HH47,IF(73=$HN47,IF($JE47=2,30,0),IF(73=$HO47,IF($JE47=1,30,0),ABS(1-$HI47)*100)),100000+ABS(4-$HH47)*1000+10)))-IF((73=$HJ47)+(73=$HK47)+(73=$HL47)+(73=$HM47)+(73=$HN47)+(73=$HO47)&gt;=2,50,0))+BX$5*50)</f>
        <v/>
      </c>
      <c r="BY167">
        <f>IF(OR($JF47=0,calcA!$A$6=0),0,IF(OR(74=$HA47,74=$HD47,74=$HG47),200000,MIN(IF($HA47=0,999999,IF(4=$HB47,IF(74=$HJ47,IF($JC47=2,30,0),IF(74=$HK47,IF($JC47=1,30,0),ABS(2-$HC47)*100)),100000+ABS(4-$HB47)*1000+20)),IF($HD47=0,999999,IF(4=$HE47,IF(74=$HL47,IF($JD47=2,30,0),IF(74=$HM47,IF($JD47=1,30,0),ABS(2-$HF47)*100)),100000+ABS(4-$HE47)*1000+20)),IF($HG47=0,999999,IF(4=$HH47,IF(74=$HN47,IF($JE47=2,30,0),IF(74=$HO47,IF($JE47=1,30,0),ABS(2-$HI47)*100)),100000+ABS(4-$HH47)*1000+20)))-IF((74=$HJ47)+(74=$HK47)+(74=$HL47)+(74=$HM47)+(74=$HN47)+(74=$HO47)&gt;=2,50,0))+BY$5*50)</f>
        <v/>
      </c>
      <c r="BZ167">
        <f>IF(OR($JF47=0,calcA!$A$6=0),0,IF(OR(75=$HA47,75=$HD47,75=$HG47),200000,MIN(IF($HA47=0,999999,IF(4=$HB47,IF(75=$HJ47,IF($JC47=2,30,0),IF(75=$HK47,IF($JC47=1,30,0),ABS(3-$HC47)*100)),100000+ABS(4-$HB47)*1000+30)),IF($HD47=0,999999,IF(4=$HE47,IF(75=$HL47,IF($JD47=2,30,0),IF(75=$HM47,IF($JD47=1,30,0),ABS(3-$HF47)*100)),100000+ABS(4-$HE47)*1000+30)),IF($HG47=0,999999,IF(4=$HH47,IF(75=$HN47,IF($JE47=2,30,0),IF(75=$HO47,IF($JE47=1,30,0),ABS(3-$HI47)*100)),100000+ABS(4-$HH47)*1000+30)))-IF((75=$HJ47)+(75=$HK47)+(75=$HL47)+(75=$HM47)+(75=$HN47)+(75=$HO47)&gt;=2,50,0))+BZ$5*50)</f>
        <v/>
      </c>
      <c r="CA167">
        <f>IF(OR($JF47=0,calcA!$A$6=0),0,IF(OR(76=$HA47,76=$HD47,76=$HG47),200000,MIN(IF($HA47=0,999999,IF(4=$HB47,IF(76=$HJ47,IF($JC47=2,30,0),IF(76=$HK47,IF($JC47=1,30,0),ABS(4-$HC47)*100)),100000+ABS(4-$HB47)*1000+40)),IF($HD47=0,999999,IF(4=$HE47,IF(76=$HL47,IF($JD47=2,30,0),IF(76=$HM47,IF($JD47=1,30,0),ABS(4-$HF47)*100)),100000+ABS(4-$HE47)*1000+40)),IF($HG47=0,999999,IF(4=$HH47,IF(76=$HN47,IF($JE47=2,30,0),IF(76=$HO47,IF($JE47=1,30,0),ABS(4-$HI47)*100)),100000+ABS(4-$HH47)*1000+40)))-IF((76=$HJ47)+(76=$HK47)+(76=$HL47)+(76=$HM47)+(76=$HN47)+(76=$HO47)&gt;=2,50,0))+CA$5*50)</f>
        <v/>
      </c>
      <c r="CB167">
        <f>IF(OR($JF47=0,calcA!$A$6=0),0,IF(OR(77=$HA47,77=$HD47,77=$HG47),200000,MIN(IF($HA47=0,999999,IF(4=$HB47,IF(77=$HJ47,IF($JC47=2,30,0),IF(77=$HK47,IF($JC47=1,30,0),ABS(5-$HC47)*100)),100000+ABS(4-$HB47)*1000+50)),IF($HD47=0,999999,IF(4=$HE47,IF(77=$HL47,IF($JD47=2,30,0),IF(77=$HM47,IF($JD47=1,30,0),ABS(5-$HF47)*100)),100000+ABS(4-$HE47)*1000+50)),IF($HG47=0,999999,IF(4=$HH47,IF(77=$HN47,IF($JE47=2,30,0),IF(77=$HO47,IF($JE47=1,30,0),ABS(5-$HI47)*100)),100000+ABS(4-$HH47)*1000+50)))-IF((77=$HJ47)+(77=$HK47)+(77=$HL47)+(77=$HM47)+(77=$HN47)+(77=$HO47)&gt;=2,50,0))+CB$5*50)</f>
        <v/>
      </c>
      <c r="CC167">
        <f>IF(OR($JF47=0,calcA!$A$6=0),0,IF(OR(78=$HA47,78=$HD47,78=$HG47),200000,MIN(IF($HA47=0,999999,IF(4=$HB47,IF(78=$HJ47,IF($JC47=2,30,0),IF(78=$HK47,IF($JC47=1,30,0),ABS(6-$HC47)*100)),100000+ABS(4-$HB47)*1000+60)),IF($HD47=0,999999,IF(4=$HE47,IF(78=$HL47,IF($JD47=2,30,0),IF(78=$HM47,IF($JD47=1,30,0),ABS(6-$HF47)*100)),100000+ABS(4-$HE47)*1000+60)),IF($HG47=0,999999,IF(4=$HH47,IF(78=$HN47,IF($JE47=2,30,0),IF(78=$HO47,IF($JE47=1,30,0),ABS(6-$HI47)*100)),100000+ABS(4-$HH47)*1000+60)))-IF((78=$HJ47)+(78=$HK47)+(78=$HL47)+(78=$HM47)+(78=$HN47)+(78=$HO47)&gt;=2,50,0))+CC$5*50)</f>
        <v/>
      </c>
      <c r="CD167">
        <f>IF(OR($JF47=0,calcA!$A$6=0),0,IF(OR(79=$HA47,79=$HD47,79=$HG47),200000,MIN(IF($HA47=0,999999,IF(4=$HB47,IF(79=$HJ47,IF($JC47=2,30,0),IF(79=$HK47,IF($JC47=1,30,0),ABS(7-$HC47)*100)),100000+ABS(4-$HB47)*1000+70)),IF($HD47=0,999999,IF(4=$HE47,IF(79=$HL47,IF($JD47=2,30,0),IF(79=$HM47,IF($JD47=1,30,0),ABS(7-$HF47)*100)),100000+ABS(4-$HE47)*1000+70)),IF($HG47=0,999999,IF(4=$HH47,IF(79=$HN47,IF($JE47=2,30,0),IF(79=$HO47,IF($JE47=1,30,0),ABS(7-$HI47)*100)),100000+ABS(4-$HH47)*1000+70)))-IF((79=$HJ47)+(79=$HK47)+(79=$HL47)+(79=$HM47)+(79=$HN47)+(79=$HO47)&gt;=2,50,0))+CD$5*50)</f>
        <v/>
      </c>
      <c r="CE167">
        <f>IF(OR($JF47=0,calcA!$A$6=0),0,IF(OR(80=$HA47,80=$HD47,80=$HG47),200000,MIN(IF($HA47=0,999999,IF(4=$HB47,IF(80=$HJ47,IF($JC47=2,30,0),IF(80=$HK47,IF($JC47=1,30,0),ABS(8-$HC47)*100)),100000+ABS(4-$HB47)*1000+80)),IF($HD47=0,999999,IF(4=$HE47,IF(80=$HL47,IF($JD47=2,30,0),IF(80=$HM47,IF($JD47=1,30,0),ABS(8-$HF47)*100)),100000+ABS(4-$HE47)*1000+80)),IF($HG47=0,999999,IF(4=$HH47,IF(80=$HN47,IF($JE47=2,30,0),IF(80=$HO47,IF($JE47=1,30,0),ABS(8-$HI47)*100)),100000+ABS(4-$HH47)*1000+80)))-IF((80=$HJ47)+(80=$HK47)+(80=$HL47)+(80=$HM47)+(80=$HN47)+(80=$HO47)&gt;=2,50,0))+CE$5*50)</f>
        <v/>
      </c>
      <c r="CF167">
        <f>IF(OR($JF47=0,calcA!$A$6=0),0,IF(OR(81=$HA47,81=$HD47,81=$HG47),200000,MIN(IF($HA47=0,999999,IF(4=$HB47,IF(81=$HJ47,IF($JC47=2,30,0),IF(81=$HK47,IF($JC47=1,30,0),ABS(9-$HC47)*100)),100000+ABS(4-$HB47)*1000+90)),IF($HD47=0,999999,IF(4=$HE47,IF(81=$HL47,IF($JD47=2,30,0),IF(81=$HM47,IF($JD47=1,30,0),ABS(9-$HF47)*100)),100000+ABS(4-$HE47)*1000+90)),IF($HG47=0,999999,IF(4=$HH47,IF(81=$HN47,IF($JE47=2,30,0),IF(81=$HO47,IF($JE47=1,30,0),ABS(9-$HI47)*100)),100000+ABS(4-$HH47)*1000+90)))-IF((81=$HJ47)+(81=$HK47)+(81=$HL47)+(81=$HM47)+(81=$HN47)+(81=$HO47)&gt;=2,50,0))+CF$5*50)</f>
        <v/>
      </c>
      <c r="CG167">
        <f>IF(OR($JF47=0,calcA!$A$6=0),0,IF(OR(82=$HA47,82=$HD47,82=$HG47),200000,MIN(IF($HA47=0,999999,IF(4=$HB47,IF(82=$HJ47,IF($JC47=2,30,0),IF(82=$HK47,IF($JC47=1,30,0),ABS(10-$HC47)*100)),100000+ABS(4-$HB47)*1000+100)),IF($HD47=0,999999,IF(4=$HE47,IF(82=$HL47,IF($JD47=2,30,0),IF(82=$HM47,IF($JD47=1,30,0),ABS(10-$HF47)*100)),100000+ABS(4-$HE47)*1000+100)),IF($HG47=0,999999,IF(4=$HH47,IF(82=$HN47,IF($JE47=2,30,0),IF(82=$HO47,IF($JE47=1,30,0),ABS(10-$HI47)*100)),100000+ABS(4-$HH47)*1000+100)))-IF((82=$HJ47)+(82=$HK47)+(82=$HL47)+(82=$HM47)+(82=$HN47)+(82=$HO47)&gt;=2,50,0))+CG$5*50)</f>
        <v/>
      </c>
      <c r="CH167">
        <f>IF(OR($JF47=0,calcA!$A$6=0),0,IF(OR(83=$HA47,83=$HD47,83=$HG47),200000,MIN(IF($HA47=0,999999,IF(4=$HB47,IF(83=$HJ47,IF($JC47=2,30,0),IF(83=$HK47,IF($JC47=1,30,0),ABS(11-$HC47)*100)),100000+ABS(4-$HB47)*1000+110)),IF($HD47=0,999999,IF(4=$HE47,IF(83=$HL47,IF($JD47=2,30,0),IF(83=$HM47,IF($JD47=1,30,0),ABS(11-$HF47)*100)),100000+ABS(4-$HE47)*1000+110)),IF($HG47=0,999999,IF(4=$HH47,IF(83=$HN47,IF($JE47=2,30,0),IF(83=$HO47,IF($JE47=1,30,0),ABS(11-$HI47)*100)),100000+ABS(4-$HH47)*1000+110)))-IF((83=$HJ47)+(83=$HK47)+(83=$HL47)+(83=$HM47)+(83=$HN47)+(83=$HO47)&gt;=2,50,0))+CH$5*50)</f>
        <v/>
      </c>
      <c r="CI167">
        <f>IF(OR($JF47=0,calcA!$A$6=0),0,IF(OR(84=$HA47,84=$HD47,84=$HG47),200000,MIN(IF($HA47=0,999999,IF(4=$HB47,IF(84=$HJ47,IF($JC47=2,30,0),IF(84=$HK47,IF($JC47=1,30,0),ABS(12-$HC47)*100)),100000+ABS(4-$HB47)*1000+120)),IF($HD47=0,999999,IF(4=$HE47,IF(84=$HL47,IF($JD47=2,30,0),IF(84=$HM47,IF($JD47=1,30,0),ABS(12-$HF47)*100)),100000+ABS(4-$HE47)*1000+120)),IF($HG47=0,999999,IF(4=$HH47,IF(84=$HN47,IF($JE47=2,30,0),IF(84=$HO47,IF($JE47=1,30,0),ABS(12-$HI47)*100)),100000+ABS(4-$HH47)*1000+120)))-IF((84=$HJ47)+(84=$HK47)+(84=$HL47)+(84=$HM47)+(84=$HN47)+(84=$HO47)&gt;=2,50,0))+CI$5*50)</f>
        <v/>
      </c>
      <c r="CJ167">
        <f>IF(OR($JF47=0,calcA!$A$6=0),0,IF(OR(85=$HA47,85=$HD47,85=$HG47),200000,MIN(IF($HA47=0,999999,IF(4=$HB47,IF(85=$HJ47,IF($JC47=2,30,0),IF(85=$HK47,IF($JC47=1,30,0),ABS(13-$HC47)*100)),100000+ABS(4-$HB47)*1000+130)),IF($HD47=0,999999,IF(4=$HE47,IF(85=$HL47,IF($JD47=2,30,0),IF(85=$HM47,IF($JD47=1,30,0),ABS(13-$HF47)*100)),100000+ABS(4-$HE47)*1000+130)),IF($HG47=0,999999,IF(4=$HH47,IF(85=$HN47,IF($JE47=2,30,0),IF(85=$HO47,IF($JE47=1,30,0),ABS(13-$HI47)*100)),100000+ABS(4-$HH47)*1000+130)))-IF((85=$HJ47)+(85=$HK47)+(85=$HL47)+(85=$HM47)+(85=$HN47)+(85=$HO47)&gt;=2,50,0))+CJ$5*50)</f>
        <v/>
      </c>
      <c r="CK167">
        <f>IF(OR($JF47=0,calcA!$A$6=0),0,IF(OR(86=$HA47,86=$HD47,86=$HG47),200000,MIN(IF($HA47=0,999999,IF(4=$HB47,IF(86=$HJ47,IF($JC47=2,30,0),IF(86=$HK47,IF($JC47=1,30,0),ABS(14-$HC47)*100)),100000+ABS(4-$HB47)*1000+140)),IF($HD47=0,999999,IF(4=$HE47,IF(86=$HL47,IF($JD47=2,30,0),IF(86=$HM47,IF($JD47=1,30,0),ABS(14-$HF47)*100)),100000+ABS(4-$HE47)*1000+140)),IF($HG47=0,999999,IF(4=$HH47,IF(86=$HN47,IF($JE47=2,30,0),IF(86=$HO47,IF($JE47=1,30,0),ABS(14-$HI47)*100)),100000+ABS(4-$HH47)*1000+140)))-IF((86=$HJ47)+(86=$HK47)+(86=$HL47)+(86=$HM47)+(86=$HN47)+(86=$HO47)&gt;=2,50,0))+CK$5*50)</f>
        <v/>
      </c>
      <c r="CL167">
        <f>IF(OR($JF47=0,calcA!$A$6=0),0,IF(OR(87=$HA47,87=$HD47,87=$HG47),200000,MIN(IF($HA47=0,999999,IF(4=$HB47,IF(87=$HJ47,IF($JC47=2,30,0),IF(87=$HK47,IF($JC47=1,30,0),ABS(15-$HC47)*100)),100000+ABS(4-$HB47)*1000+150)),IF($HD47=0,999999,IF(4=$HE47,IF(87=$HL47,IF($JD47=2,30,0),IF(87=$HM47,IF($JD47=1,30,0),ABS(15-$HF47)*100)),100000+ABS(4-$HE47)*1000+150)),IF($HG47=0,999999,IF(4=$HH47,IF(87=$HN47,IF($JE47=2,30,0),IF(87=$HO47,IF($JE47=1,30,0),ABS(15-$HI47)*100)),100000+ABS(4-$HH47)*1000+150)))-IF((87=$HJ47)+(87=$HK47)+(87=$HL47)+(87=$HM47)+(87=$HN47)+(87=$HO47)&gt;=2,50,0))+CL$5*50)</f>
        <v/>
      </c>
      <c r="CM167">
        <f>IF(OR($JF47=0,calcA!$A$6=0),0,IF(OR(88=$HA47,88=$HD47,88=$HG47),200000,MIN(IF($HA47=0,999999,IF(4=$HB47,IF(88=$HJ47,IF($JC47=2,30,0),IF(88=$HK47,IF($JC47=1,30,0),ABS(16-$HC47)*100)),100000+ABS(4-$HB47)*1000+160)),IF($HD47=0,999999,IF(4=$HE47,IF(88=$HL47,IF($JD47=2,30,0),IF(88=$HM47,IF($JD47=1,30,0),ABS(16-$HF47)*100)),100000+ABS(4-$HE47)*1000+160)),IF($HG47=0,999999,IF(4=$HH47,IF(88=$HN47,IF($JE47=2,30,0),IF(88=$HO47,IF($JE47=1,30,0),ABS(16-$HI47)*100)),100000+ABS(4-$HH47)*1000+160)))-IF((88=$HJ47)+(88=$HK47)+(88=$HL47)+(88=$HM47)+(88=$HN47)+(88=$HO47)&gt;=2,50,0))+CM$5*50)</f>
        <v/>
      </c>
      <c r="CN167">
        <f>IF(OR($JF47=0,calcA!$A$6=0),0,IF(OR(89=$HA47,89=$HD47,89=$HG47),200000,MIN(IF($HA47=0,999999,IF(4=$HB47,IF(89=$HJ47,IF($JC47=2,30,0),IF(89=$HK47,IF($JC47=1,30,0),ABS(17-$HC47)*100)),100000+ABS(4-$HB47)*1000+170)),IF($HD47=0,999999,IF(4=$HE47,IF(89=$HL47,IF($JD47=2,30,0),IF(89=$HM47,IF($JD47=1,30,0),ABS(17-$HF47)*100)),100000+ABS(4-$HE47)*1000+170)),IF($HG47=0,999999,IF(4=$HH47,IF(89=$HN47,IF($JE47=2,30,0),IF(89=$HO47,IF($JE47=1,30,0),ABS(17-$HI47)*100)),100000+ABS(4-$HH47)*1000+170)))-IF((89=$HJ47)+(89=$HK47)+(89=$HL47)+(89=$HM47)+(89=$HN47)+(89=$HO47)&gt;=2,50,0))+CN$5*50)</f>
        <v/>
      </c>
      <c r="CO167">
        <f>IF(OR($JF47=0,calcA!$A$6=0),0,IF(OR(90=$HA47,90=$HD47,90=$HG47),200000,MIN(IF($HA47=0,999999,IF(4=$HB47,IF(90=$HJ47,IF($JC47=2,30,0),IF(90=$HK47,IF($JC47=1,30,0),ABS(18-$HC47)*100)),100000+ABS(4-$HB47)*1000+180)),IF($HD47=0,999999,IF(4=$HE47,IF(90=$HL47,IF($JD47=2,30,0),IF(90=$HM47,IF($JD47=1,30,0),ABS(18-$HF47)*100)),100000+ABS(4-$HE47)*1000+180)),IF($HG47=0,999999,IF(4=$HH47,IF(90=$HN47,IF($JE47=2,30,0),IF(90=$HO47,IF($JE47=1,30,0),ABS(18-$HI47)*100)),100000+ABS(4-$HH47)*1000+180)))-IF((90=$HJ47)+(90=$HK47)+(90=$HL47)+(90=$HM47)+(90=$HN47)+(90=$HO47)&gt;=2,50,0))+CO$5*50)</f>
        <v/>
      </c>
      <c r="CP167">
        <f>IF(OR($JF47=0,calcA!$A$6=0),0,IF(OR(91=$HA47,91=$HD47,91=$HG47),200000,MIN(IF($HA47=0,999999,IF(4=$HB47,IF(91=$HJ47,IF($JC47=2,30,0),IF(91=$HK47,IF($JC47=1,30,0),ABS(19-$HC47)*100)),100000+ABS(4-$HB47)*1000+190)),IF($HD47=0,999999,IF(4=$HE47,IF(91=$HL47,IF($JD47=2,30,0),IF(91=$HM47,IF($JD47=1,30,0),ABS(19-$HF47)*100)),100000+ABS(4-$HE47)*1000+190)),IF($HG47=0,999999,IF(4=$HH47,IF(91=$HN47,IF($JE47=2,30,0),IF(91=$HO47,IF($JE47=1,30,0),ABS(19-$HI47)*100)),100000+ABS(4-$HH47)*1000+190)))-IF((91=$HJ47)+(91=$HK47)+(91=$HL47)+(91=$HM47)+(91=$HN47)+(91=$HO47)&gt;=2,50,0))+CP$5*50)</f>
        <v/>
      </c>
      <c r="CQ167">
        <f>IF(OR($JF47=0,calcA!$A$6=0),0,IF(OR(92=$HA47,92=$HD47,92=$HG47),200000,MIN(IF($HA47=0,999999,IF(4=$HB47,IF(92=$HJ47,IF($JC47=2,30,0),IF(92=$HK47,IF($JC47=1,30,0),ABS(20-$HC47)*100)),100000+ABS(4-$HB47)*1000+200)),IF($HD47=0,999999,IF(4=$HE47,IF(92=$HL47,IF($JD47=2,30,0),IF(92=$HM47,IF($JD47=1,30,0),ABS(20-$HF47)*100)),100000+ABS(4-$HE47)*1000+200)),IF($HG47=0,999999,IF(4=$HH47,IF(92=$HN47,IF($JE47=2,30,0),IF(92=$HO47,IF($JE47=1,30,0),ABS(20-$HI47)*100)),100000+ABS(4-$HH47)*1000+200)))-IF((92=$HJ47)+(92=$HK47)+(92=$HL47)+(92=$HM47)+(92=$HN47)+(92=$HO47)&gt;=2,50,0))+CQ$5*50)</f>
        <v/>
      </c>
      <c r="CR167">
        <f>IF(OR($JF47=0,calcA!$A$6=0),0,IF(OR(93=$HA47,93=$HD47,93=$HG47),200000,MIN(IF($HA47=0,999999,IF(4=$HB47,IF(93=$HJ47,IF($JC47=2,30,0),IF(93=$HK47,IF($JC47=1,30,0),ABS(21-$HC47)*100)),100000+ABS(4-$HB47)*1000+210)),IF($HD47=0,999999,IF(4=$HE47,IF(93=$HL47,IF($JD47=2,30,0),IF(93=$HM47,IF($JD47=1,30,0),ABS(21-$HF47)*100)),100000+ABS(4-$HE47)*1000+210)),IF($HG47=0,999999,IF(4=$HH47,IF(93=$HN47,IF($JE47=2,30,0),IF(93=$HO47,IF($JE47=1,30,0),ABS(21-$HI47)*100)),100000+ABS(4-$HH47)*1000+210)))-IF((93=$HJ47)+(93=$HK47)+(93=$HL47)+(93=$HM47)+(93=$HN47)+(93=$HO47)&gt;=2,50,0))+CR$5*50)</f>
        <v/>
      </c>
      <c r="CS167">
        <f>IF(OR($JF47=0,calcA!$A$6=0),0,IF(OR(94=$HA47,94=$HD47,94=$HG47),200000,MIN(IF($HA47=0,999999,IF(4=$HB47,IF(94=$HJ47,IF($JC47=2,30,0),IF(94=$HK47,IF($JC47=1,30,0),ABS(22-$HC47)*100)),100000+ABS(4-$HB47)*1000+220)),IF($HD47=0,999999,IF(4=$HE47,IF(94=$HL47,IF($JD47=2,30,0),IF(94=$HM47,IF($JD47=1,30,0),ABS(22-$HF47)*100)),100000+ABS(4-$HE47)*1000+220)),IF($HG47=0,999999,IF(4=$HH47,IF(94=$HN47,IF($JE47=2,30,0),IF(94=$HO47,IF($JE47=1,30,0),ABS(22-$HI47)*100)),100000+ABS(4-$HH47)*1000+220)))-IF((94=$HJ47)+(94=$HK47)+(94=$HL47)+(94=$HM47)+(94=$HN47)+(94=$HO47)&gt;=2,50,0))+CS$5*50)</f>
        <v/>
      </c>
      <c r="CT167">
        <f>IF(OR($JF47=0,calcA!$A$6=0),0,IF(OR(95=$HA47,95=$HD47,95=$HG47),200000,MIN(IF($HA47=0,999999,IF(4=$HB47,IF(95=$HJ47,IF($JC47=2,30,0),IF(95=$HK47,IF($JC47=1,30,0),ABS(23-$HC47)*100)),100000+ABS(4-$HB47)*1000+230)),IF($HD47=0,999999,IF(4=$HE47,IF(95=$HL47,IF($JD47=2,30,0),IF(95=$HM47,IF($JD47=1,30,0),ABS(23-$HF47)*100)),100000+ABS(4-$HE47)*1000+230)),IF($HG47=0,999999,IF(4=$HH47,IF(95=$HN47,IF($JE47=2,30,0),IF(95=$HO47,IF($JE47=1,30,0),ABS(23-$HI47)*100)),100000+ABS(4-$HH47)*1000+230)))-IF((95=$HJ47)+(95=$HK47)+(95=$HL47)+(95=$HM47)+(95=$HN47)+(95=$HO47)&gt;=2,50,0))+CT$5*50)</f>
        <v/>
      </c>
      <c r="CU167">
        <f>IF(OR($JF47=0,calcA!$A$6=0),0,IF(OR(96=$HA47,96=$HD47,96=$HG47),200000,MIN(IF($HA47=0,999999,IF(4=$HB47,IF(96=$HJ47,IF($JC47=2,30,0),IF(96=$HK47,IF($JC47=1,30,0),ABS(24-$HC47)*100)),100000+ABS(4-$HB47)*1000+240)),IF($HD47=0,999999,IF(4=$HE47,IF(96=$HL47,IF($JD47=2,30,0),IF(96=$HM47,IF($JD47=1,30,0),ABS(24-$HF47)*100)),100000+ABS(4-$HE47)*1000+240)),IF($HG47=0,999999,IF(4=$HH47,IF(96=$HN47,IF($JE47=2,30,0),IF(96=$HO47,IF($JE47=1,30,0),ABS(24-$HI47)*100)),100000+ABS(4-$HH47)*1000+240)))-IF((96=$HJ47)+(96=$HK47)+(96=$HL47)+(96=$HM47)+(96=$HN47)+(96=$HO47)&gt;=2,50,0))+CU$5*50)</f>
        <v/>
      </c>
      <c r="CV167">
        <f>IF(OR($JF47=0,calcA!$A$6=0),0,IF(OR(97=$HA47,97=$HD47,97=$HG47),200000,MIN(IF($HA47=0,999999,IF(5=$HB47,IF(97=$HJ47,IF($JC47=2,30,0),IF(97=$HK47,IF($JC47=1,30,0),ABS(1-$HC47)*100)),100000+ABS(5-$HB47)*1000+10)),IF($HD47=0,999999,IF(5=$HE47,IF(97=$HL47,IF($JD47=2,30,0),IF(97=$HM47,IF($JD47=1,30,0),ABS(1-$HF47)*100)),100000+ABS(5-$HE47)*1000+10)),IF($HG47=0,999999,IF(5=$HH47,IF(97=$HN47,IF($JE47=2,30,0),IF(97=$HO47,IF($JE47=1,30,0),ABS(1-$HI47)*100)),100000+ABS(5-$HH47)*1000+10)))-IF((97=$HJ47)+(97=$HK47)+(97=$HL47)+(97=$HM47)+(97=$HN47)+(97=$HO47)&gt;=2,50,0))+CV$5*50)</f>
        <v/>
      </c>
      <c r="CW167">
        <f>IF(OR($JF47=0,calcA!$A$6=0),0,IF(OR(98=$HA47,98=$HD47,98=$HG47),200000,MIN(IF($HA47=0,999999,IF(5=$HB47,IF(98=$HJ47,IF($JC47=2,30,0),IF(98=$HK47,IF($JC47=1,30,0),ABS(2-$HC47)*100)),100000+ABS(5-$HB47)*1000+20)),IF($HD47=0,999999,IF(5=$HE47,IF(98=$HL47,IF($JD47=2,30,0),IF(98=$HM47,IF($JD47=1,30,0),ABS(2-$HF47)*100)),100000+ABS(5-$HE47)*1000+20)),IF($HG47=0,999999,IF(5=$HH47,IF(98=$HN47,IF($JE47=2,30,0),IF(98=$HO47,IF($JE47=1,30,0),ABS(2-$HI47)*100)),100000+ABS(5-$HH47)*1000+20)))-IF((98=$HJ47)+(98=$HK47)+(98=$HL47)+(98=$HM47)+(98=$HN47)+(98=$HO47)&gt;=2,50,0))+CW$5*50)</f>
        <v/>
      </c>
      <c r="CX167">
        <f>IF(OR($JF47=0,calcA!$A$6=0),0,IF(OR(99=$HA47,99=$HD47,99=$HG47),200000,MIN(IF($HA47=0,999999,IF(5=$HB47,IF(99=$HJ47,IF($JC47=2,30,0),IF(99=$HK47,IF($JC47=1,30,0),ABS(3-$HC47)*100)),100000+ABS(5-$HB47)*1000+30)),IF($HD47=0,999999,IF(5=$HE47,IF(99=$HL47,IF($JD47=2,30,0),IF(99=$HM47,IF($JD47=1,30,0),ABS(3-$HF47)*100)),100000+ABS(5-$HE47)*1000+30)),IF($HG47=0,999999,IF(5=$HH47,IF(99=$HN47,IF($JE47=2,30,0),IF(99=$HO47,IF($JE47=1,30,0),ABS(3-$HI47)*100)),100000+ABS(5-$HH47)*1000+30)))-IF((99=$HJ47)+(99=$HK47)+(99=$HL47)+(99=$HM47)+(99=$HN47)+(99=$HO47)&gt;=2,50,0))+CX$5*50)</f>
        <v/>
      </c>
      <c r="CY167">
        <f>IF(OR($JF47=0,calcA!$A$6=0),0,IF(OR(100=$HA47,100=$HD47,100=$HG47),200000,MIN(IF($HA47=0,999999,IF(5=$HB47,IF(100=$HJ47,IF($JC47=2,30,0),IF(100=$HK47,IF($JC47=1,30,0),ABS(4-$HC47)*100)),100000+ABS(5-$HB47)*1000+40)),IF($HD47=0,999999,IF(5=$HE47,IF(100=$HL47,IF($JD47=2,30,0),IF(100=$HM47,IF($JD47=1,30,0),ABS(4-$HF47)*100)),100000+ABS(5-$HE47)*1000+40)),IF($HG47=0,999999,IF(5=$HH47,IF(100=$HN47,IF($JE47=2,30,0),IF(100=$HO47,IF($JE47=1,30,0),ABS(4-$HI47)*100)),100000+ABS(5-$HH47)*1000+40)))-IF((100=$HJ47)+(100=$HK47)+(100=$HL47)+(100=$HM47)+(100=$HN47)+(100=$HO47)&gt;=2,50,0))+CY$5*50)</f>
        <v/>
      </c>
      <c r="CZ167">
        <f>IF(OR($JF47=0,calcA!$A$6=0),0,IF(OR(101=$HA47,101=$HD47,101=$HG47),200000,MIN(IF($HA47=0,999999,IF(5=$HB47,IF(101=$HJ47,IF($JC47=2,30,0),IF(101=$HK47,IF($JC47=1,30,0),ABS(5-$HC47)*100)),100000+ABS(5-$HB47)*1000+50)),IF($HD47=0,999999,IF(5=$HE47,IF(101=$HL47,IF($JD47=2,30,0),IF(101=$HM47,IF($JD47=1,30,0),ABS(5-$HF47)*100)),100000+ABS(5-$HE47)*1000+50)),IF($HG47=0,999999,IF(5=$HH47,IF(101=$HN47,IF($JE47=2,30,0),IF(101=$HO47,IF($JE47=1,30,0),ABS(5-$HI47)*100)),100000+ABS(5-$HH47)*1000+50)))-IF((101=$HJ47)+(101=$HK47)+(101=$HL47)+(101=$HM47)+(101=$HN47)+(101=$HO47)&gt;=2,50,0))+CZ$5*50)</f>
        <v/>
      </c>
      <c r="DA167">
        <f>IF(OR($JF47=0,calcA!$A$6=0),0,IF(OR(102=$HA47,102=$HD47,102=$HG47),200000,MIN(IF($HA47=0,999999,IF(5=$HB47,IF(102=$HJ47,IF($JC47=2,30,0),IF(102=$HK47,IF($JC47=1,30,0),ABS(6-$HC47)*100)),100000+ABS(5-$HB47)*1000+60)),IF($HD47=0,999999,IF(5=$HE47,IF(102=$HL47,IF($JD47=2,30,0),IF(102=$HM47,IF($JD47=1,30,0),ABS(6-$HF47)*100)),100000+ABS(5-$HE47)*1000+60)),IF($HG47=0,999999,IF(5=$HH47,IF(102=$HN47,IF($JE47=2,30,0),IF(102=$HO47,IF($JE47=1,30,0),ABS(6-$HI47)*100)),100000+ABS(5-$HH47)*1000+60)))-IF((102=$HJ47)+(102=$HK47)+(102=$HL47)+(102=$HM47)+(102=$HN47)+(102=$HO47)&gt;=2,50,0))+DA$5*50)</f>
        <v/>
      </c>
      <c r="DB167">
        <f>IF(OR($JF47=0,calcA!$A$6=0),0,IF(OR(103=$HA47,103=$HD47,103=$HG47),200000,MIN(IF($HA47=0,999999,IF(5=$HB47,IF(103=$HJ47,IF($JC47=2,30,0),IF(103=$HK47,IF($JC47=1,30,0),ABS(7-$HC47)*100)),100000+ABS(5-$HB47)*1000+70)),IF($HD47=0,999999,IF(5=$HE47,IF(103=$HL47,IF($JD47=2,30,0),IF(103=$HM47,IF($JD47=1,30,0),ABS(7-$HF47)*100)),100000+ABS(5-$HE47)*1000+70)),IF($HG47=0,999999,IF(5=$HH47,IF(103=$HN47,IF($JE47=2,30,0),IF(103=$HO47,IF($JE47=1,30,0),ABS(7-$HI47)*100)),100000+ABS(5-$HH47)*1000+70)))-IF((103=$HJ47)+(103=$HK47)+(103=$HL47)+(103=$HM47)+(103=$HN47)+(103=$HO47)&gt;=2,50,0))+DB$5*50)</f>
        <v/>
      </c>
      <c r="DC167">
        <f>IF(OR($JF47=0,calcA!$A$6=0),0,IF(OR(104=$HA47,104=$HD47,104=$HG47),200000,MIN(IF($HA47=0,999999,IF(5=$HB47,IF(104=$HJ47,IF($JC47=2,30,0),IF(104=$HK47,IF($JC47=1,30,0),ABS(8-$HC47)*100)),100000+ABS(5-$HB47)*1000+80)),IF($HD47=0,999999,IF(5=$HE47,IF(104=$HL47,IF($JD47=2,30,0),IF(104=$HM47,IF($JD47=1,30,0),ABS(8-$HF47)*100)),100000+ABS(5-$HE47)*1000+80)),IF($HG47=0,999999,IF(5=$HH47,IF(104=$HN47,IF($JE47=2,30,0),IF(104=$HO47,IF($JE47=1,30,0),ABS(8-$HI47)*100)),100000+ABS(5-$HH47)*1000+80)))-IF((104=$HJ47)+(104=$HK47)+(104=$HL47)+(104=$HM47)+(104=$HN47)+(104=$HO47)&gt;=2,50,0))+DC$5*50)</f>
        <v/>
      </c>
      <c r="DD167">
        <f>IF(OR($JF47=0,calcA!$A$6=0),0,IF(OR(105=$HA47,105=$HD47,105=$HG47),200000,MIN(IF($HA47=0,999999,IF(5=$HB47,IF(105=$HJ47,IF($JC47=2,30,0),IF(105=$HK47,IF($JC47=1,30,0),ABS(9-$HC47)*100)),100000+ABS(5-$HB47)*1000+90)),IF($HD47=0,999999,IF(5=$HE47,IF(105=$HL47,IF($JD47=2,30,0),IF(105=$HM47,IF($JD47=1,30,0),ABS(9-$HF47)*100)),100000+ABS(5-$HE47)*1000+90)),IF($HG47=0,999999,IF(5=$HH47,IF(105=$HN47,IF($JE47=2,30,0),IF(105=$HO47,IF($JE47=1,30,0),ABS(9-$HI47)*100)),100000+ABS(5-$HH47)*1000+90)))-IF((105=$HJ47)+(105=$HK47)+(105=$HL47)+(105=$HM47)+(105=$HN47)+(105=$HO47)&gt;=2,50,0))+DD$5*50)</f>
        <v/>
      </c>
      <c r="DE167">
        <f>IF(OR($JF47=0,calcA!$A$6=0),0,IF(OR(106=$HA47,106=$HD47,106=$HG47),200000,MIN(IF($HA47=0,999999,IF(5=$HB47,IF(106=$HJ47,IF($JC47=2,30,0),IF(106=$HK47,IF($JC47=1,30,0),ABS(10-$HC47)*100)),100000+ABS(5-$HB47)*1000+100)),IF($HD47=0,999999,IF(5=$HE47,IF(106=$HL47,IF($JD47=2,30,0),IF(106=$HM47,IF($JD47=1,30,0),ABS(10-$HF47)*100)),100000+ABS(5-$HE47)*1000+100)),IF($HG47=0,999999,IF(5=$HH47,IF(106=$HN47,IF($JE47=2,30,0),IF(106=$HO47,IF($JE47=1,30,0),ABS(10-$HI47)*100)),100000+ABS(5-$HH47)*1000+100)))-IF((106=$HJ47)+(106=$HK47)+(106=$HL47)+(106=$HM47)+(106=$HN47)+(106=$HO47)&gt;=2,50,0))+DE$5*50)</f>
        <v/>
      </c>
      <c r="DF167">
        <f>IF(OR($JF47=0,calcA!$A$6=0),0,IF(OR(107=$HA47,107=$HD47,107=$HG47),200000,MIN(IF($HA47=0,999999,IF(5=$HB47,IF(107=$HJ47,IF($JC47=2,30,0),IF(107=$HK47,IF($JC47=1,30,0),ABS(11-$HC47)*100)),100000+ABS(5-$HB47)*1000+110)),IF($HD47=0,999999,IF(5=$HE47,IF(107=$HL47,IF($JD47=2,30,0),IF(107=$HM47,IF($JD47=1,30,0),ABS(11-$HF47)*100)),100000+ABS(5-$HE47)*1000+110)),IF($HG47=0,999999,IF(5=$HH47,IF(107=$HN47,IF($JE47=2,30,0),IF(107=$HO47,IF($JE47=1,30,0),ABS(11-$HI47)*100)),100000+ABS(5-$HH47)*1000+110)))-IF((107=$HJ47)+(107=$HK47)+(107=$HL47)+(107=$HM47)+(107=$HN47)+(107=$HO47)&gt;=2,50,0))+DF$5*50)</f>
        <v/>
      </c>
      <c r="DG167">
        <f>IF(OR($JF47=0,calcA!$A$6=0),0,IF(OR(108=$HA47,108=$HD47,108=$HG47),200000,MIN(IF($HA47=0,999999,IF(5=$HB47,IF(108=$HJ47,IF($JC47=2,30,0),IF(108=$HK47,IF($JC47=1,30,0),ABS(12-$HC47)*100)),100000+ABS(5-$HB47)*1000+120)),IF($HD47=0,999999,IF(5=$HE47,IF(108=$HL47,IF($JD47=2,30,0),IF(108=$HM47,IF($JD47=1,30,0),ABS(12-$HF47)*100)),100000+ABS(5-$HE47)*1000+120)),IF($HG47=0,999999,IF(5=$HH47,IF(108=$HN47,IF($JE47=2,30,0),IF(108=$HO47,IF($JE47=1,30,0),ABS(12-$HI47)*100)),100000+ABS(5-$HH47)*1000+120)))-IF((108=$HJ47)+(108=$HK47)+(108=$HL47)+(108=$HM47)+(108=$HN47)+(108=$HO47)&gt;=2,50,0))+DG$5*50)</f>
        <v/>
      </c>
      <c r="DH167">
        <f>IF(OR($JF47=0,calcA!$A$6=0),0,IF(OR(109=$HA47,109=$HD47,109=$HG47),200000,MIN(IF($HA47=0,999999,IF(5=$HB47,IF(109=$HJ47,IF($JC47=2,30,0),IF(109=$HK47,IF($JC47=1,30,0),ABS(13-$HC47)*100)),100000+ABS(5-$HB47)*1000+130)),IF($HD47=0,999999,IF(5=$HE47,IF(109=$HL47,IF($JD47=2,30,0),IF(109=$HM47,IF($JD47=1,30,0),ABS(13-$HF47)*100)),100000+ABS(5-$HE47)*1000+130)),IF($HG47=0,999999,IF(5=$HH47,IF(109=$HN47,IF($JE47=2,30,0),IF(109=$HO47,IF($JE47=1,30,0),ABS(13-$HI47)*100)),100000+ABS(5-$HH47)*1000+130)))-IF((109=$HJ47)+(109=$HK47)+(109=$HL47)+(109=$HM47)+(109=$HN47)+(109=$HO47)&gt;=2,50,0))+DH$5*50)</f>
        <v/>
      </c>
      <c r="DI167">
        <f>IF(OR($JF47=0,calcA!$A$6=0),0,IF(OR(110=$HA47,110=$HD47,110=$HG47),200000,MIN(IF($HA47=0,999999,IF(5=$HB47,IF(110=$HJ47,IF($JC47=2,30,0),IF(110=$HK47,IF($JC47=1,30,0),ABS(14-$HC47)*100)),100000+ABS(5-$HB47)*1000+140)),IF($HD47=0,999999,IF(5=$HE47,IF(110=$HL47,IF($JD47=2,30,0),IF(110=$HM47,IF($JD47=1,30,0),ABS(14-$HF47)*100)),100000+ABS(5-$HE47)*1000+140)),IF($HG47=0,999999,IF(5=$HH47,IF(110=$HN47,IF($JE47=2,30,0),IF(110=$HO47,IF($JE47=1,30,0),ABS(14-$HI47)*100)),100000+ABS(5-$HH47)*1000+140)))-IF((110=$HJ47)+(110=$HK47)+(110=$HL47)+(110=$HM47)+(110=$HN47)+(110=$HO47)&gt;=2,50,0))+DI$5*50)</f>
        <v/>
      </c>
      <c r="DJ167">
        <f>IF(OR($JF47=0,calcA!$A$6=0),0,IF(OR(111=$HA47,111=$HD47,111=$HG47),200000,MIN(IF($HA47=0,999999,IF(5=$HB47,IF(111=$HJ47,IF($JC47=2,30,0),IF(111=$HK47,IF($JC47=1,30,0),ABS(15-$HC47)*100)),100000+ABS(5-$HB47)*1000+150)),IF($HD47=0,999999,IF(5=$HE47,IF(111=$HL47,IF($JD47=2,30,0),IF(111=$HM47,IF($JD47=1,30,0),ABS(15-$HF47)*100)),100000+ABS(5-$HE47)*1000+150)),IF($HG47=0,999999,IF(5=$HH47,IF(111=$HN47,IF($JE47=2,30,0),IF(111=$HO47,IF($JE47=1,30,0),ABS(15-$HI47)*100)),100000+ABS(5-$HH47)*1000+150)))-IF((111=$HJ47)+(111=$HK47)+(111=$HL47)+(111=$HM47)+(111=$HN47)+(111=$HO47)&gt;=2,50,0))+DJ$5*50)</f>
        <v/>
      </c>
      <c r="DK167">
        <f>IF(OR($JF47=0,calcA!$A$6=0),0,IF(OR(112=$HA47,112=$HD47,112=$HG47),200000,MIN(IF($HA47=0,999999,IF(5=$HB47,IF(112=$HJ47,IF($JC47=2,30,0),IF(112=$HK47,IF($JC47=1,30,0),ABS(16-$HC47)*100)),100000+ABS(5-$HB47)*1000+160)),IF($HD47=0,999999,IF(5=$HE47,IF(112=$HL47,IF($JD47=2,30,0),IF(112=$HM47,IF($JD47=1,30,0),ABS(16-$HF47)*100)),100000+ABS(5-$HE47)*1000+160)),IF($HG47=0,999999,IF(5=$HH47,IF(112=$HN47,IF($JE47=2,30,0),IF(112=$HO47,IF($JE47=1,30,0),ABS(16-$HI47)*100)),100000+ABS(5-$HH47)*1000+160)))-IF((112=$HJ47)+(112=$HK47)+(112=$HL47)+(112=$HM47)+(112=$HN47)+(112=$HO47)&gt;=2,50,0))+DK$5*50)</f>
        <v/>
      </c>
      <c r="DL167">
        <f>IF(OR($JF47=0,calcA!$A$6=0),0,IF(OR(113=$HA47,113=$HD47,113=$HG47),200000,MIN(IF($HA47=0,999999,IF(5=$HB47,IF(113=$HJ47,IF($JC47=2,30,0),IF(113=$HK47,IF($JC47=1,30,0),ABS(17-$HC47)*100)),100000+ABS(5-$HB47)*1000+170)),IF($HD47=0,999999,IF(5=$HE47,IF(113=$HL47,IF($JD47=2,30,0),IF(113=$HM47,IF($JD47=1,30,0),ABS(17-$HF47)*100)),100000+ABS(5-$HE47)*1000+170)),IF($HG47=0,999999,IF(5=$HH47,IF(113=$HN47,IF($JE47=2,30,0),IF(113=$HO47,IF($JE47=1,30,0),ABS(17-$HI47)*100)),100000+ABS(5-$HH47)*1000+170)))-IF((113=$HJ47)+(113=$HK47)+(113=$HL47)+(113=$HM47)+(113=$HN47)+(113=$HO47)&gt;=2,50,0))+DL$5*50)</f>
        <v/>
      </c>
      <c r="DM167">
        <f>IF(OR($JF47=0,calcA!$A$6=0),0,IF(OR(114=$HA47,114=$HD47,114=$HG47),200000,MIN(IF($HA47=0,999999,IF(5=$HB47,IF(114=$HJ47,IF($JC47=2,30,0),IF(114=$HK47,IF($JC47=1,30,0),ABS(18-$HC47)*100)),100000+ABS(5-$HB47)*1000+180)),IF($HD47=0,999999,IF(5=$HE47,IF(114=$HL47,IF($JD47=2,30,0),IF(114=$HM47,IF($JD47=1,30,0),ABS(18-$HF47)*100)),100000+ABS(5-$HE47)*1000+180)),IF($HG47=0,999999,IF(5=$HH47,IF(114=$HN47,IF($JE47=2,30,0),IF(114=$HO47,IF($JE47=1,30,0),ABS(18-$HI47)*100)),100000+ABS(5-$HH47)*1000+180)))-IF((114=$HJ47)+(114=$HK47)+(114=$HL47)+(114=$HM47)+(114=$HN47)+(114=$HO47)&gt;=2,50,0))+DM$5*50)</f>
        <v/>
      </c>
      <c r="DN167">
        <f>IF(OR($JF47=0,calcA!$A$6=0),0,IF(OR(115=$HA47,115=$HD47,115=$HG47),200000,MIN(IF($HA47=0,999999,IF(5=$HB47,IF(115=$HJ47,IF($JC47=2,30,0),IF(115=$HK47,IF($JC47=1,30,0),ABS(19-$HC47)*100)),100000+ABS(5-$HB47)*1000+190)),IF($HD47=0,999999,IF(5=$HE47,IF(115=$HL47,IF($JD47=2,30,0),IF(115=$HM47,IF($JD47=1,30,0),ABS(19-$HF47)*100)),100000+ABS(5-$HE47)*1000+190)),IF($HG47=0,999999,IF(5=$HH47,IF(115=$HN47,IF($JE47=2,30,0),IF(115=$HO47,IF($JE47=1,30,0),ABS(19-$HI47)*100)),100000+ABS(5-$HH47)*1000+190)))-IF((115=$HJ47)+(115=$HK47)+(115=$HL47)+(115=$HM47)+(115=$HN47)+(115=$HO47)&gt;=2,50,0))+DN$5*50)</f>
        <v/>
      </c>
      <c r="DO167">
        <f>IF(OR($JF47=0,calcA!$A$6=0),0,IF(OR(116=$HA47,116=$HD47,116=$HG47),200000,MIN(IF($HA47=0,999999,IF(5=$HB47,IF(116=$HJ47,IF($JC47=2,30,0),IF(116=$HK47,IF($JC47=1,30,0),ABS(20-$HC47)*100)),100000+ABS(5-$HB47)*1000+200)),IF($HD47=0,999999,IF(5=$HE47,IF(116=$HL47,IF($JD47=2,30,0),IF(116=$HM47,IF($JD47=1,30,0),ABS(20-$HF47)*100)),100000+ABS(5-$HE47)*1000+200)),IF($HG47=0,999999,IF(5=$HH47,IF(116=$HN47,IF($JE47=2,30,0),IF(116=$HO47,IF($JE47=1,30,0),ABS(20-$HI47)*100)),100000+ABS(5-$HH47)*1000+200)))-IF((116=$HJ47)+(116=$HK47)+(116=$HL47)+(116=$HM47)+(116=$HN47)+(116=$HO47)&gt;=2,50,0))+DO$5*50)</f>
        <v/>
      </c>
      <c r="DP167">
        <f>IF(OR($JF47=0,calcA!$A$6=0),0,IF(OR(117=$HA47,117=$HD47,117=$HG47),200000,MIN(IF($HA47=0,999999,IF(5=$HB47,IF(117=$HJ47,IF($JC47=2,30,0),IF(117=$HK47,IF($JC47=1,30,0),ABS(21-$HC47)*100)),100000+ABS(5-$HB47)*1000+210)),IF($HD47=0,999999,IF(5=$HE47,IF(117=$HL47,IF($JD47=2,30,0),IF(117=$HM47,IF($JD47=1,30,0),ABS(21-$HF47)*100)),100000+ABS(5-$HE47)*1000+210)),IF($HG47=0,999999,IF(5=$HH47,IF(117=$HN47,IF($JE47=2,30,0),IF(117=$HO47,IF($JE47=1,30,0),ABS(21-$HI47)*100)),100000+ABS(5-$HH47)*1000+210)))-IF((117=$HJ47)+(117=$HK47)+(117=$HL47)+(117=$HM47)+(117=$HN47)+(117=$HO47)&gt;=2,50,0))+DP$5*50)</f>
        <v/>
      </c>
      <c r="DQ167">
        <f>IF(OR($JF47=0,calcA!$A$6=0),0,IF(OR(118=$HA47,118=$HD47,118=$HG47),200000,MIN(IF($HA47=0,999999,IF(5=$HB47,IF(118=$HJ47,IF($JC47=2,30,0),IF(118=$HK47,IF($JC47=1,30,0),ABS(22-$HC47)*100)),100000+ABS(5-$HB47)*1000+220)),IF($HD47=0,999999,IF(5=$HE47,IF(118=$HL47,IF($JD47=2,30,0),IF(118=$HM47,IF($JD47=1,30,0),ABS(22-$HF47)*100)),100000+ABS(5-$HE47)*1000+220)),IF($HG47=0,999999,IF(5=$HH47,IF(118=$HN47,IF($JE47=2,30,0),IF(118=$HO47,IF($JE47=1,30,0),ABS(22-$HI47)*100)),100000+ABS(5-$HH47)*1000+220)))-IF((118=$HJ47)+(118=$HK47)+(118=$HL47)+(118=$HM47)+(118=$HN47)+(118=$HO47)&gt;=2,50,0))+DQ$5*50)</f>
        <v/>
      </c>
      <c r="DR167">
        <f>IF(OR($JF47=0,calcA!$A$6=0),0,IF(OR(119=$HA47,119=$HD47,119=$HG47),200000,MIN(IF($HA47=0,999999,IF(5=$HB47,IF(119=$HJ47,IF($JC47=2,30,0),IF(119=$HK47,IF($JC47=1,30,0),ABS(23-$HC47)*100)),100000+ABS(5-$HB47)*1000+230)),IF($HD47=0,999999,IF(5=$HE47,IF(119=$HL47,IF($JD47=2,30,0),IF(119=$HM47,IF($JD47=1,30,0),ABS(23-$HF47)*100)),100000+ABS(5-$HE47)*1000+230)),IF($HG47=0,999999,IF(5=$HH47,IF(119=$HN47,IF($JE47=2,30,0),IF(119=$HO47,IF($JE47=1,30,0),ABS(23-$HI47)*100)),100000+ABS(5-$HH47)*1000+230)))-IF((119=$HJ47)+(119=$HK47)+(119=$HL47)+(119=$HM47)+(119=$HN47)+(119=$HO47)&gt;=2,50,0))+DR$5*50)</f>
        <v/>
      </c>
      <c r="DS167">
        <f>IF(OR($JF47=0,calcA!$A$6=0),0,IF(OR(120=$HA47,120=$HD47,120=$HG47),200000,MIN(IF($HA47=0,999999,IF(5=$HB47,IF(120=$HJ47,IF($JC47=2,30,0),IF(120=$HK47,IF($JC47=1,30,0),ABS(24-$HC47)*100)),100000+ABS(5-$HB47)*1000+240)),IF($HD47=0,999999,IF(5=$HE47,IF(120=$HL47,IF($JD47=2,30,0),IF(120=$HM47,IF($JD47=1,30,0),ABS(24-$HF47)*100)),100000+ABS(5-$HE47)*1000+240)),IF($HG47=0,999999,IF(5=$HH47,IF(120=$HN47,IF($JE47=2,30,0),IF(120=$HO47,IF($JE47=1,30,0),ABS(24-$HI47)*100)),100000+ABS(5-$HH47)*1000+240)))-IF((120=$HJ47)+(120=$HK47)+(120=$HL47)+(120=$HM47)+(120=$HN47)+(120=$HO47)&gt;=2,50,0))+DS$5*50)</f>
        <v/>
      </c>
      <c r="DT167">
        <f>IF(OR($JF47=0,calcA!$A$6=0),0,IF(OR(121=$HA47,121=$HD47,121=$HG47),200000,MIN(IF($HA47=0,999999,IF(6=$HB47,IF(121=$HJ47,IF($JC47=2,30,0),IF(121=$HK47,IF($JC47=1,30,0),ABS(1-$HC47)*100)),100000+ABS(6-$HB47)*1000+10)),IF($HD47=0,999999,IF(6=$HE47,IF(121=$HL47,IF($JD47=2,30,0),IF(121=$HM47,IF($JD47=1,30,0),ABS(1-$HF47)*100)),100000+ABS(6-$HE47)*1000+10)),IF($HG47=0,999999,IF(6=$HH47,IF(121=$HN47,IF($JE47=2,30,0),IF(121=$HO47,IF($JE47=1,30,0),ABS(1-$HI47)*100)),100000+ABS(6-$HH47)*1000+10)))-IF((121=$HJ47)+(121=$HK47)+(121=$HL47)+(121=$HM47)+(121=$HN47)+(121=$HO47)&gt;=2,50,0))+DT$5*50)</f>
        <v/>
      </c>
      <c r="DU167">
        <f>IF(OR($JF47=0,calcA!$A$6=0),0,IF(OR(122=$HA47,122=$HD47,122=$HG47),200000,MIN(IF($HA47=0,999999,IF(6=$HB47,IF(122=$HJ47,IF($JC47=2,30,0),IF(122=$HK47,IF($JC47=1,30,0),ABS(2-$HC47)*100)),100000+ABS(6-$HB47)*1000+20)),IF($HD47=0,999999,IF(6=$HE47,IF(122=$HL47,IF($JD47=2,30,0),IF(122=$HM47,IF($JD47=1,30,0),ABS(2-$HF47)*100)),100000+ABS(6-$HE47)*1000+20)),IF($HG47=0,999999,IF(6=$HH47,IF(122=$HN47,IF($JE47=2,30,0),IF(122=$HO47,IF($JE47=1,30,0),ABS(2-$HI47)*100)),100000+ABS(6-$HH47)*1000+20)))-IF((122=$HJ47)+(122=$HK47)+(122=$HL47)+(122=$HM47)+(122=$HN47)+(122=$HO47)&gt;=2,50,0))+DU$5*50)</f>
        <v/>
      </c>
      <c r="DV167">
        <f>IF(OR($JF47=0,calcA!$A$6=0),0,IF(OR(123=$HA47,123=$HD47,123=$HG47),200000,MIN(IF($HA47=0,999999,IF(6=$HB47,IF(123=$HJ47,IF($JC47=2,30,0),IF(123=$HK47,IF($JC47=1,30,0),ABS(3-$HC47)*100)),100000+ABS(6-$HB47)*1000+30)),IF($HD47=0,999999,IF(6=$HE47,IF(123=$HL47,IF($JD47=2,30,0),IF(123=$HM47,IF($JD47=1,30,0),ABS(3-$HF47)*100)),100000+ABS(6-$HE47)*1000+30)),IF($HG47=0,999999,IF(6=$HH47,IF(123=$HN47,IF($JE47=2,30,0),IF(123=$HO47,IF($JE47=1,30,0),ABS(3-$HI47)*100)),100000+ABS(6-$HH47)*1000+30)))-IF((123=$HJ47)+(123=$HK47)+(123=$HL47)+(123=$HM47)+(123=$HN47)+(123=$HO47)&gt;=2,50,0))+DV$5*50)</f>
        <v/>
      </c>
      <c r="DW167">
        <f>IF(OR($JF47=0,calcA!$A$6=0),0,IF(OR(124=$HA47,124=$HD47,124=$HG47),200000,MIN(IF($HA47=0,999999,IF(6=$HB47,IF(124=$HJ47,IF($JC47=2,30,0),IF(124=$HK47,IF($JC47=1,30,0),ABS(4-$HC47)*100)),100000+ABS(6-$HB47)*1000+40)),IF($HD47=0,999999,IF(6=$HE47,IF(124=$HL47,IF($JD47=2,30,0),IF(124=$HM47,IF($JD47=1,30,0),ABS(4-$HF47)*100)),100000+ABS(6-$HE47)*1000+40)),IF($HG47=0,999999,IF(6=$HH47,IF(124=$HN47,IF($JE47=2,30,0),IF(124=$HO47,IF($JE47=1,30,0),ABS(4-$HI47)*100)),100000+ABS(6-$HH47)*1000+40)))-IF((124=$HJ47)+(124=$HK47)+(124=$HL47)+(124=$HM47)+(124=$HN47)+(124=$HO47)&gt;=2,50,0))+DW$5*50)</f>
        <v/>
      </c>
      <c r="DX167">
        <f>IF(OR($JF47=0,calcA!$A$6=0),0,IF(OR(125=$HA47,125=$HD47,125=$HG47),200000,MIN(IF($HA47=0,999999,IF(6=$HB47,IF(125=$HJ47,IF($JC47=2,30,0),IF(125=$HK47,IF($JC47=1,30,0),ABS(5-$HC47)*100)),100000+ABS(6-$HB47)*1000+50)),IF($HD47=0,999999,IF(6=$HE47,IF(125=$HL47,IF($JD47=2,30,0),IF(125=$HM47,IF($JD47=1,30,0),ABS(5-$HF47)*100)),100000+ABS(6-$HE47)*1000+50)),IF($HG47=0,999999,IF(6=$HH47,IF(125=$HN47,IF($JE47=2,30,0),IF(125=$HO47,IF($JE47=1,30,0),ABS(5-$HI47)*100)),100000+ABS(6-$HH47)*1000+50)))-IF((125=$HJ47)+(125=$HK47)+(125=$HL47)+(125=$HM47)+(125=$HN47)+(125=$HO47)&gt;=2,50,0))+DX$5*50)</f>
        <v/>
      </c>
      <c r="DY167">
        <f>IF(OR($JF47=0,calcA!$A$6=0),0,IF(OR(126=$HA47,126=$HD47,126=$HG47),200000,MIN(IF($HA47=0,999999,IF(6=$HB47,IF(126=$HJ47,IF($JC47=2,30,0),IF(126=$HK47,IF($JC47=1,30,0),ABS(6-$HC47)*100)),100000+ABS(6-$HB47)*1000+60)),IF($HD47=0,999999,IF(6=$HE47,IF(126=$HL47,IF($JD47=2,30,0),IF(126=$HM47,IF($JD47=1,30,0),ABS(6-$HF47)*100)),100000+ABS(6-$HE47)*1000+60)),IF($HG47=0,999999,IF(6=$HH47,IF(126=$HN47,IF($JE47=2,30,0),IF(126=$HO47,IF($JE47=1,30,0),ABS(6-$HI47)*100)),100000+ABS(6-$HH47)*1000+60)))-IF((126=$HJ47)+(126=$HK47)+(126=$HL47)+(126=$HM47)+(126=$HN47)+(126=$HO47)&gt;=2,50,0))+DY$5*50)</f>
        <v/>
      </c>
      <c r="DZ167">
        <f>IF(OR($JF47=0,calcA!$A$6=0),0,IF(OR(127=$HA47,127=$HD47,127=$HG47),200000,MIN(IF($HA47=0,999999,IF(6=$HB47,IF(127=$HJ47,IF($JC47=2,30,0),IF(127=$HK47,IF($JC47=1,30,0),ABS(7-$HC47)*100)),100000+ABS(6-$HB47)*1000+70)),IF($HD47=0,999999,IF(6=$HE47,IF(127=$HL47,IF($JD47=2,30,0),IF(127=$HM47,IF($JD47=1,30,0),ABS(7-$HF47)*100)),100000+ABS(6-$HE47)*1000+70)),IF($HG47=0,999999,IF(6=$HH47,IF(127=$HN47,IF($JE47=2,30,0),IF(127=$HO47,IF($JE47=1,30,0),ABS(7-$HI47)*100)),100000+ABS(6-$HH47)*1000+70)))-IF((127=$HJ47)+(127=$HK47)+(127=$HL47)+(127=$HM47)+(127=$HN47)+(127=$HO47)&gt;=2,50,0))+DZ$5*50)</f>
        <v/>
      </c>
      <c r="EA167">
        <f>IF(OR($JF47=0,calcA!$A$6=0),0,IF(OR(128=$HA47,128=$HD47,128=$HG47),200000,MIN(IF($HA47=0,999999,IF(6=$HB47,IF(128=$HJ47,IF($JC47=2,30,0),IF(128=$HK47,IF($JC47=1,30,0),ABS(8-$HC47)*100)),100000+ABS(6-$HB47)*1000+80)),IF($HD47=0,999999,IF(6=$HE47,IF(128=$HL47,IF($JD47=2,30,0),IF(128=$HM47,IF($JD47=1,30,0),ABS(8-$HF47)*100)),100000+ABS(6-$HE47)*1000+80)),IF($HG47=0,999999,IF(6=$HH47,IF(128=$HN47,IF($JE47=2,30,0),IF(128=$HO47,IF($JE47=1,30,0),ABS(8-$HI47)*100)),100000+ABS(6-$HH47)*1000+80)))-IF((128=$HJ47)+(128=$HK47)+(128=$HL47)+(128=$HM47)+(128=$HN47)+(128=$HO47)&gt;=2,50,0))+EA$5*50)</f>
        <v/>
      </c>
      <c r="EB167">
        <f>IF(OR($JF47=0,calcA!$A$6=0),0,IF(OR(129=$HA47,129=$HD47,129=$HG47),200000,MIN(IF($HA47=0,999999,IF(6=$HB47,IF(129=$HJ47,IF($JC47=2,30,0),IF(129=$HK47,IF($JC47=1,30,0),ABS(9-$HC47)*100)),100000+ABS(6-$HB47)*1000+90)),IF($HD47=0,999999,IF(6=$HE47,IF(129=$HL47,IF($JD47=2,30,0),IF(129=$HM47,IF($JD47=1,30,0),ABS(9-$HF47)*100)),100000+ABS(6-$HE47)*1000+90)),IF($HG47=0,999999,IF(6=$HH47,IF(129=$HN47,IF($JE47=2,30,0),IF(129=$HO47,IF($JE47=1,30,0),ABS(9-$HI47)*100)),100000+ABS(6-$HH47)*1000+90)))-IF((129=$HJ47)+(129=$HK47)+(129=$HL47)+(129=$HM47)+(129=$HN47)+(129=$HO47)&gt;=2,50,0))+EB$5*50)</f>
        <v/>
      </c>
      <c r="EC167">
        <f>IF(OR($JF47=0,calcA!$A$6=0),0,IF(OR(130=$HA47,130=$HD47,130=$HG47),200000,MIN(IF($HA47=0,999999,IF(6=$HB47,IF(130=$HJ47,IF($JC47=2,30,0),IF(130=$HK47,IF($JC47=1,30,0),ABS(10-$HC47)*100)),100000+ABS(6-$HB47)*1000+100)),IF($HD47=0,999999,IF(6=$HE47,IF(130=$HL47,IF($JD47=2,30,0),IF(130=$HM47,IF($JD47=1,30,0),ABS(10-$HF47)*100)),100000+ABS(6-$HE47)*1000+100)),IF($HG47=0,999999,IF(6=$HH47,IF(130=$HN47,IF($JE47=2,30,0),IF(130=$HO47,IF($JE47=1,30,0),ABS(10-$HI47)*100)),100000+ABS(6-$HH47)*1000+100)))-IF((130=$HJ47)+(130=$HK47)+(130=$HL47)+(130=$HM47)+(130=$HN47)+(130=$HO47)&gt;=2,50,0))+EC$5*50)</f>
        <v/>
      </c>
      <c r="ED167">
        <f>IF(OR($JF47=0,calcA!$A$6=0),0,IF(OR(131=$HA47,131=$HD47,131=$HG47),200000,MIN(IF($HA47=0,999999,IF(6=$HB47,IF(131=$HJ47,IF($JC47=2,30,0),IF(131=$HK47,IF($JC47=1,30,0),ABS(11-$HC47)*100)),100000+ABS(6-$HB47)*1000+110)),IF($HD47=0,999999,IF(6=$HE47,IF(131=$HL47,IF($JD47=2,30,0),IF(131=$HM47,IF($JD47=1,30,0),ABS(11-$HF47)*100)),100000+ABS(6-$HE47)*1000+110)),IF($HG47=0,999999,IF(6=$HH47,IF(131=$HN47,IF($JE47=2,30,0),IF(131=$HO47,IF($JE47=1,30,0),ABS(11-$HI47)*100)),100000+ABS(6-$HH47)*1000+110)))-IF((131=$HJ47)+(131=$HK47)+(131=$HL47)+(131=$HM47)+(131=$HN47)+(131=$HO47)&gt;=2,50,0))+ED$5*50)</f>
        <v/>
      </c>
      <c r="EE167">
        <f>IF(OR($JF47=0,calcA!$A$6=0),0,IF(OR(132=$HA47,132=$HD47,132=$HG47),200000,MIN(IF($HA47=0,999999,IF(6=$HB47,IF(132=$HJ47,IF($JC47=2,30,0),IF(132=$HK47,IF($JC47=1,30,0),ABS(12-$HC47)*100)),100000+ABS(6-$HB47)*1000+120)),IF($HD47=0,999999,IF(6=$HE47,IF(132=$HL47,IF($JD47=2,30,0),IF(132=$HM47,IF($JD47=1,30,0),ABS(12-$HF47)*100)),100000+ABS(6-$HE47)*1000+120)),IF($HG47=0,999999,IF(6=$HH47,IF(132=$HN47,IF($JE47=2,30,0),IF(132=$HO47,IF($JE47=1,30,0),ABS(12-$HI47)*100)),100000+ABS(6-$HH47)*1000+120)))-IF((132=$HJ47)+(132=$HK47)+(132=$HL47)+(132=$HM47)+(132=$HN47)+(132=$HO47)&gt;=2,50,0))+EE$5*50)</f>
        <v/>
      </c>
      <c r="EF167">
        <f>IF(OR($JF47=0,calcA!$A$6=0),0,IF(OR(133=$HA47,133=$HD47,133=$HG47),200000,MIN(IF($HA47=0,999999,IF(6=$HB47,IF(133=$HJ47,IF($JC47=2,30,0),IF(133=$HK47,IF($JC47=1,30,0),ABS(13-$HC47)*100)),100000+ABS(6-$HB47)*1000+130)),IF($HD47=0,999999,IF(6=$HE47,IF(133=$HL47,IF($JD47=2,30,0),IF(133=$HM47,IF($JD47=1,30,0),ABS(13-$HF47)*100)),100000+ABS(6-$HE47)*1000+130)),IF($HG47=0,999999,IF(6=$HH47,IF(133=$HN47,IF($JE47=2,30,0),IF(133=$HO47,IF($JE47=1,30,0),ABS(13-$HI47)*100)),100000+ABS(6-$HH47)*1000+130)))-IF((133=$HJ47)+(133=$HK47)+(133=$HL47)+(133=$HM47)+(133=$HN47)+(133=$HO47)&gt;=2,50,0))+EF$5*50)</f>
        <v/>
      </c>
      <c r="EG167">
        <f>IF(OR($JF47=0,calcA!$A$6=0),0,IF(OR(134=$HA47,134=$HD47,134=$HG47),200000,MIN(IF($HA47=0,999999,IF(6=$HB47,IF(134=$HJ47,IF($JC47=2,30,0),IF(134=$HK47,IF($JC47=1,30,0),ABS(14-$HC47)*100)),100000+ABS(6-$HB47)*1000+140)),IF($HD47=0,999999,IF(6=$HE47,IF(134=$HL47,IF($JD47=2,30,0),IF(134=$HM47,IF($JD47=1,30,0),ABS(14-$HF47)*100)),100000+ABS(6-$HE47)*1000+140)),IF($HG47=0,999999,IF(6=$HH47,IF(134=$HN47,IF($JE47=2,30,0),IF(134=$HO47,IF($JE47=1,30,0),ABS(14-$HI47)*100)),100000+ABS(6-$HH47)*1000+140)))-IF((134=$HJ47)+(134=$HK47)+(134=$HL47)+(134=$HM47)+(134=$HN47)+(134=$HO47)&gt;=2,50,0))+EG$5*50)</f>
        <v/>
      </c>
      <c r="EH167">
        <f>IF(OR($JF47=0,calcA!$A$6=0),0,IF(OR(135=$HA47,135=$HD47,135=$HG47),200000,MIN(IF($HA47=0,999999,IF(6=$HB47,IF(135=$HJ47,IF($JC47=2,30,0),IF(135=$HK47,IF($JC47=1,30,0),ABS(15-$HC47)*100)),100000+ABS(6-$HB47)*1000+150)),IF($HD47=0,999999,IF(6=$HE47,IF(135=$HL47,IF($JD47=2,30,0),IF(135=$HM47,IF($JD47=1,30,0),ABS(15-$HF47)*100)),100000+ABS(6-$HE47)*1000+150)),IF($HG47=0,999999,IF(6=$HH47,IF(135=$HN47,IF($JE47=2,30,0),IF(135=$HO47,IF($JE47=1,30,0),ABS(15-$HI47)*100)),100000+ABS(6-$HH47)*1000+150)))-IF((135=$HJ47)+(135=$HK47)+(135=$HL47)+(135=$HM47)+(135=$HN47)+(135=$HO47)&gt;=2,50,0))+EH$5*50)</f>
        <v/>
      </c>
      <c r="EI167">
        <f>IF(OR($JF47=0,calcA!$A$6=0),0,IF(OR(136=$HA47,136=$HD47,136=$HG47),200000,MIN(IF($HA47=0,999999,IF(6=$HB47,IF(136=$HJ47,IF($JC47=2,30,0),IF(136=$HK47,IF($JC47=1,30,0),ABS(16-$HC47)*100)),100000+ABS(6-$HB47)*1000+160)),IF($HD47=0,999999,IF(6=$HE47,IF(136=$HL47,IF($JD47=2,30,0),IF(136=$HM47,IF($JD47=1,30,0),ABS(16-$HF47)*100)),100000+ABS(6-$HE47)*1000+160)),IF($HG47=0,999999,IF(6=$HH47,IF(136=$HN47,IF($JE47=2,30,0),IF(136=$HO47,IF($JE47=1,30,0),ABS(16-$HI47)*100)),100000+ABS(6-$HH47)*1000+160)))-IF((136=$HJ47)+(136=$HK47)+(136=$HL47)+(136=$HM47)+(136=$HN47)+(136=$HO47)&gt;=2,50,0))+EI$5*50)</f>
        <v/>
      </c>
      <c r="EJ167">
        <f>IF(OR($JF47=0,calcA!$A$6=0),0,IF(OR(137=$HA47,137=$HD47,137=$HG47),200000,MIN(IF($HA47=0,999999,IF(6=$HB47,IF(137=$HJ47,IF($JC47=2,30,0),IF(137=$HK47,IF($JC47=1,30,0),ABS(17-$HC47)*100)),100000+ABS(6-$HB47)*1000+170)),IF($HD47=0,999999,IF(6=$HE47,IF(137=$HL47,IF($JD47=2,30,0),IF(137=$HM47,IF($JD47=1,30,0),ABS(17-$HF47)*100)),100000+ABS(6-$HE47)*1000+170)),IF($HG47=0,999999,IF(6=$HH47,IF(137=$HN47,IF($JE47=2,30,0),IF(137=$HO47,IF($JE47=1,30,0),ABS(17-$HI47)*100)),100000+ABS(6-$HH47)*1000+170)))-IF((137=$HJ47)+(137=$HK47)+(137=$HL47)+(137=$HM47)+(137=$HN47)+(137=$HO47)&gt;=2,50,0))+EJ$5*50)</f>
        <v/>
      </c>
      <c r="EK167">
        <f>IF(OR($JF47=0,calcA!$A$6=0),0,IF(OR(138=$HA47,138=$HD47,138=$HG47),200000,MIN(IF($HA47=0,999999,IF(6=$HB47,IF(138=$HJ47,IF($JC47=2,30,0),IF(138=$HK47,IF($JC47=1,30,0),ABS(18-$HC47)*100)),100000+ABS(6-$HB47)*1000+180)),IF($HD47=0,999999,IF(6=$HE47,IF(138=$HL47,IF($JD47=2,30,0),IF(138=$HM47,IF($JD47=1,30,0),ABS(18-$HF47)*100)),100000+ABS(6-$HE47)*1000+180)),IF($HG47=0,999999,IF(6=$HH47,IF(138=$HN47,IF($JE47=2,30,0),IF(138=$HO47,IF($JE47=1,30,0),ABS(18-$HI47)*100)),100000+ABS(6-$HH47)*1000+180)))-IF((138=$HJ47)+(138=$HK47)+(138=$HL47)+(138=$HM47)+(138=$HN47)+(138=$HO47)&gt;=2,50,0))+EK$5*50)</f>
        <v/>
      </c>
      <c r="EL167">
        <f>IF(OR($JF47=0,calcA!$A$6=0),0,IF(OR(139=$HA47,139=$HD47,139=$HG47),200000,MIN(IF($HA47=0,999999,IF(6=$HB47,IF(139=$HJ47,IF($JC47=2,30,0),IF(139=$HK47,IF($JC47=1,30,0),ABS(19-$HC47)*100)),100000+ABS(6-$HB47)*1000+190)),IF($HD47=0,999999,IF(6=$HE47,IF(139=$HL47,IF($JD47=2,30,0),IF(139=$HM47,IF($JD47=1,30,0),ABS(19-$HF47)*100)),100000+ABS(6-$HE47)*1000+190)),IF($HG47=0,999999,IF(6=$HH47,IF(139=$HN47,IF($JE47=2,30,0),IF(139=$HO47,IF($JE47=1,30,0),ABS(19-$HI47)*100)),100000+ABS(6-$HH47)*1000+190)))-IF((139=$HJ47)+(139=$HK47)+(139=$HL47)+(139=$HM47)+(139=$HN47)+(139=$HO47)&gt;=2,50,0))+EL$5*50)</f>
        <v/>
      </c>
      <c r="EM167">
        <f>IF(OR($JF47=0,calcA!$A$6=0),0,IF(OR(140=$HA47,140=$HD47,140=$HG47),200000,MIN(IF($HA47=0,999999,IF(6=$HB47,IF(140=$HJ47,IF($JC47=2,30,0),IF(140=$HK47,IF($JC47=1,30,0),ABS(20-$HC47)*100)),100000+ABS(6-$HB47)*1000+200)),IF($HD47=0,999999,IF(6=$HE47,IF(140=$HL47,IF($JD47=2,30,0),IF(140=$HM47,IF($JD47=1,30,0),ABS(20-$HF47)*100)),100000+ABS(6-$HE47)*1000+200)),IF($HG47=0,999999,IF(6=$HH47,IF(140=$HN47,IF($JE47=2,30,0),IF(140=$HO47,IF($JE47=1,30,0),ABS(20-$HI47)*100)),100000+ABS(6-$HH47)*1000+200)))-IF((140=$HJ47)+(140=$HK47)+(140=$HL47)+(140=$HM47)+(140=$HN47)+(140=$HO47)&gt;=2,50,0))+EM$5*50)</f>
        <v/>
      </c>
      <c r="EN167">
        <f>IF(OR($JF47=0,calcA!$A$6=0),0,IF(OR(141=$HA47,141=$HD47,141=$HG47),200000,MIN(IF($HA47=0,999999,IF(6=$HB47,IF(141=$HJ47,IF($JC47=2,30,0),IF(141=$HK47,IF($JC47=1,30,0),ABS(21-$HC47)*100)),100000+ABS(6-$HB47)*1000+210)),IF($HD47=0,999999,IF(6=$HE47,IF(141=$HL47,IF($JD47=2,30,0),IF(141=$HM47,IF($JD47=1,30,0),ABS(21-$HF47)*100)),100000+ABS(6-$HE47)*1000+210)),IF($HG47=0,999999,IF(6=$HH47,IF(141=$HN47,IF($JE47=2,30,0),IF(141=$HO47,IF($JE47=1,30,0),ABS(21-$HI47)*100)),100000+ABS(6-$HH47)*1000+210)))-IF((141=$HJ47)+(141=$HK47)+(141=$HL47)+(141=$HM47)+(141=$HN47)+(141=$HO47)&gt;=2,50,0))+EN$5*50)</f>
        <v/>
      </c>
      <c r="EO167">
        <f>IF(OR($JF47=0,calcA!$A$6=0),0,IF(OR(142=$HA47,142=$HD47,142=$HG47),200000,MIN(IF($HA47=0,999999,IF(6=$HB47,IF(142=$HJ47,IF($JC47=2,30,0),IF(142=$HK47,IF($JC47=1,30,0),ABS(22-$HC47)*100)),100000+ABS(6-$HB47)*1000+220)),IF($HD47=0,999999,IF(6=$HE47,IF(142=$HL47,IF($JD47=2,30,0),IF(142=$HM47,IF($JD47=1,30,0),ABS(22-$HF47)*100)),100000+ABS(6-$HE47)*1000+220)),IF($HG47=0,999999,IF(6=$HH47,IF(142=$HN47,IF($JE47=2,30,0),IF(142=$HO47,IF($JE47=1,30,0),ABS(22-$HI47)*100)),100000+ABS(6-$HH47)*1000+220)))-IF((142=$HJ47)+(142=$HK47)+(142=$HL47)+(142=$HM47)+(142=$HN47)+(142=$HO47)&gt;=2,50,0))+EO$5*50)</f>
        <v/>
      </c>
      <c r="EP167">
        <f>IF(OR($JF47=0,calcA!$A$6=0),0,IF(OR(143=$HA47,143=$HD47,143=$HG47),200000,MIN(IF($HA47=0,999999,IF(6=$HB47,IF(143=$HJ47,IF($JC47=2,30,0),IF(143=$HK47,IF($JC47=1,30,0),ABS(23-$HC47)*100)),100000+ABS(6-$HB47)*1000+230)),IF($HD47=0,999999,IF(6=$HE47,IF(143=$HL47,IF($JD47=2,30,0),IF(143=$HM47,IF($JD47=1,30,0),ABS(23-$HF47)*100)),100000+ABS(6-$HE47)*1000+230)),IF($HG47=0,999999,IF(6=$HH47,IF(143=$HN47,IF($JE47=2,30,0),IF(143=$HO47,IF($JE47=1,30,0),ABS(23-$HI47)*100)),100000+ABS(6-$HH47)*1000+230)))-IF((143=$HJ47)+(143=$HK47)+(143=$HL47)+(143=$HM47)+(143=$HN47)+(143=$HO47)&gt;=2,50,0))+EP$5*50)</f>
        <v/>
      </c>
      <c r="EQ167">
        <f>IF(OR($JF47=0,calcA!$A$6=0),0,IF(OR(144=$HA47,144=$HD47,144=$HG47),200000,MIN(IF($HA47=0,999999,IF(6=$HB47,IF(144=$HJ47,IF($JC47=2,30,0),IF(144=$HK47,IF($JC47=1,30,0),ABS(24-$HC47)*100)),100000+ABS(6-$HB47)*1000+240)),IF($HD47=0,999999,IF(6=$HE47,IF(144=$HL47,IF($JD47=2,30,0),IF(144=$HM47,IF($JD47=1,30,0),ABS(24-$HF47)*100)),100000+ABS(6-$HE47)*1000+240)),IF($HG47=0,999999,IF(6=$HH47,IF(144=$HN47,IF($JE47=2,30,0),IF(144=$HO47,IF($JE47=1,30,0),ABS(24-$HI47)*100)),100000+ABS(6-$HH47)*1000+240)))-IF((144=$HJ47)+(144=$HK47)+(144=$HL47)+(144=$HM47)+(144=$HN47)+(144=$HO47)&gt;=2,50,0))+EQ$5*50)</f>
        <v/>
      </c>
    </row>
    <row r="168">
      <c r="D168">
        <f>IF(OR($JF48=0,calcA!$A$6=0),0,IF(OR(1=$HA48,1=$HD48,1=$HG48),200000,MIN(IF($HA48=0,999999,IF(1=$HB48,IF(1=$HJ48,IF($JC48=2,30,0),IF(1=$HK48,IF($JC48=1,30,0),ABS(1-$HC48)*100)),100000+ABS(1-$HB48)*1000+10)),IF($HD48=0,999999,IF(1=$HE48,IF(1=$HL48,IF($JD48=2,30,0),IF(1=$HM48,IF($JD48=1,30,0),ABS(1-$HF48)*100)),100000+ABS(1-$HE48)*1000+10)),IF($HG48=0,999999,IF(1=$HH48,IF(1=$HN48,IF($JE48=2,30,0),IF(1=$HO48,IF($JE48=1,30,0),ABS(1-$HI48)*100)),100000+ABS(1-$HH48)*1000+10)))-IF((1=$HJ48)+(1=$HK48)+(1=$HL48)+(1=$HM48)+(1=$HN48)+(1=$HO48)&gt;=2,50,0))+D$5*50)</f>
        <v/>
      </c>
      <c r="E168">
        <f>IF(OR($JF48=0,calcA!$A$6=0),0,IF(OR(2=$HA48,2=$HD48,2=$HG48),200000,MIN(IF($HA48=0,999999,IF(1=$HB48,IF(2=$HJ48,IF($JC48=2,30,0),IF(2=$HK48,IF($JC48=1,30,0),ABS(2-$HC48)*100)),100000+ABS(1-$HB48)*1000+20)),IF($HD48=0,999999,IF(1=$HE48,IF(2=$HL48,IF($JD48=2,30,0),IF(2=$HM48,IF($JD48=1,30,0),ABS(2-$HF48)*100)),100000+ABS(1-$HE48)*1000+20)),IF($HG48=0,999999,IF(1=$HH48,IF(2=$HN48,IF($JE48=2,30,0),IF(2=$HO48,IF($JE48=1,30,0),ABS(2-$HI48)*100)),100000+ABS(1-$HH48)*1000+20)))-IF((2=$HJ48)+(2=$HK48)+(2=$HL48)+(2=$HM48)+(2=$HN48)+(2=$HO48)&gt;=2,50,0))+E$5*50)</f>
        <v/>
      </c>
      <c r="F168">
        <f>IF(OR($JF48=0,calcA!$A$6=0),0,IF(OR(3=$HA48,3=$HD48,3=$HG48),200000,MIN(IF($HA48=0,999999,IF(1=$HB48,IF(3=$HJ48,IF($JC48=2,30,0),IF(3=$HK48,IF($JC48=1,30,0),ABS(3-$HC48)*100)),100000+ABS(1-$HB48)*1000+30)),IF($HD48=0,999999,IF(1=$HE48,IF(3=$HL48,IF($JD48=2,30,0),IF(3=$HM48,IF($JD48=1,30,0),ABS(3-$HF48)*100)),100000+ABS(1-$HE48)*1000+30)),IF($HG48=0,999999,IF(1=$HH48,IF(3=$HN48,IF($JE48=2,30,0),IF(3=$HO48,IF($JE48=1,30,0),ABS(3-$HI48)*100)),100000+ABS(1-$HH48)*1000+30)))-IF((3=$HJ48)+(3=$HK48)+(3=$HL48)+(3=$HM48)+(3=$HN48)+(3=$HO48)&gt;=2,50,0))+F$5*50)</f>
        <v/>
      </c>
      <c r="G168">
        <f>IF(OR($JF48=0,calcA!$A$6=0),0,IF(OR(4=$HA48,4=$HD48,4=$HG48),200000,MIN(IF($HA48=0,999999,IF(1=$HB48,IF(4=$HJ48,IF($JC48=2,30,0),IF(4=$HK48,IF($JC48=1,30,0),ABS(4-$HC48)*100)),100000+ABS(1-$HB48)*1000+40)),IF($HD48=0,999999,IF(1=$HE48,IF(4=$HL48,IF($JD48=2,30,0),IF(4=$HM48,IF($JD48=1,30,0),ABS(4-$HF48)*100)),100000+ABS(1-$HE48)*1000+40)),IF($HG48=0,999999,IF(1=$HH48,IF(4=$HN48,IF($JE48=2,30,0),IF(4=$HO48,IF($JE48=1,30,0),ABS(4-$HI48)*100)),100000+ABS(1-$HH48)*1000+40)))-IF((4=$HJ48)+(4=$HK48)+(4=$HL48)+(4=$HM48)+(4=$HN48)+(4=$HO48)&gt;=2,50,0))+G$5*50)</f>
        <v/>
      </c>
      <c r="H168">
        <f>IF(OR($JF48=0,calcA!$A$6=0),0,IF(OR(5=$HA48,5=$HD48,5=$HG48),200000,MIN(IF($HA48=0,999999,IF(1=$HB48,IF(5=$HJ48,IF($JC48=2,30,0),IF(5=$HK48,IF($JC48=1,30,0),ABS(5-$HC48)*100)),100000+ABS(1-$HB48)*1000+50)),IF($HD48=0,999999,IF(1=$HE48,IF(5=$HL48,IF($JD48=2,30,0),IF(5=$HM48,IF($JD48=1,30,0),ABS(5-$HF48)*100)),100000+ABS(1-$HE48)*1000+50)),IF($HG48=0,999999,IF(1=$HH48,IF(5=$HN48,IF($JE48=2,30,0),IF(5=$HO48,IF($JE48=1,30,0),ABS(5-$HI48)*100)),100000+ABS(1-$HH48)*1000+50)))-IF((5=$HJ48)+(5=$HK48)+(5=$HL48)+(5=$HM48)+(5=$HN48)+(5=$HO48)&gt;=2,50,0))+H$5*50)</f>
        <v/>
      </c>
      <c r="I168">
        <f>IF(OR($JF48=0,calcA!$A$6=0),0,IF(OR(6=$HA48,6=$HD48,6=$HG48),200000,MIN(IF($HA48=0,999999,IF(1=$HB48,IF(6=$HJ48,IF($JC48=2,30,0),IF(6=$HK48,IF($JC48=1,30,0),ABS(6-$HC48)*100)),100000+ABS(1-$HB48)*1000+60)),IF($HD48=0,999999,IF(1=$HE48,IF(6=$HL48,IF($JD48=2,30,0),IF(6=$HM48,IF($JD48=1,30,0),ABS(6-$HF48)*100)),100000+ABS(1-$HE48)*1000+60)),IF($HG48=0,999999,IF(1=$HH48,IF(6=$HN48,IF($JE48=2,30,0),IF(6=$HO48,IF($JE48=1,30,0),ABS(6-$HI48)*100)),100000+ABS(1-$HH48)*1000+60)))-IF((6=$HJ48)+(6=$HK48)+(6=$HL48)+(6=$HM48)+(6=$HN48)+(6=$HO48)&gt;=2,50,0))+I$5*50)</f>
        <v/>
      </c>
      <c r="J168">
        <f>IF(OR($JF48=0,calcA!$A$6=0),0,IF(OR(7=$HA48,7=$HD48,7=$HG48),200000,MIN(IF($HA48=0,999999,IF(1=$HB48,IF(7=$HJ48,IF($JC48=2,30,0),IF(7=$HK48,IF($JC48=1,30,0),ABS(7-$HC48)*100)),100000+ABS(1-$HB48)*1000+70)),IF($HD48=0,999999,IF(1=$HE48,IF(7=$HL48,IF($JD48=2,30,0),IF(7=$HM48,IF($JD48=1,30,0),ABS(7-$HF48)*100)),100000+ABS(1-$HE48)*1000+70)),IF($HG48=0,999999,IF(1=$HH48,IF(7=$HN48,IF($JE48=2,30,0),IF(7=$HO48,IF($JE48=1,30,0),ABS(7-$HI48)*100)),100000+ABS(1-$HH48)*1000+70)))-IF((7=$HJ48)+(7=$HK48)+(7=$HL48)+(7=$HM48)+(7=$HN48)+(7=$HO48)&gt;=2,50,0))+J$5*50)</f>
        <v/>
      </c>
      <c r="K168">
        <f>IF(OR($JF48=0,calcA!$A$6=0),0,IF(OR(8=$HA48,8=$HD48,8=$HG48),200000,MIN(IF($HA48=0,999999,IF(1=$HB48,IF(8=$HJ48,IF($JC48=2,30,0),IF(8=$HK48,IF($JC48=1,30,0),ABS(8-$HC48)*100)),100000+ABS(1-$HB48)*1000+80)),IF($HD48=0,999999,IF(1=$HE48,IF(8=$HL48,IF($JD48=2,30,0),IF(8=$HM48,IF($JD48=1,30,0),ABS(8-$HF48)*100)),100000+ABS(1-$HE48)*1000+80)),IF($HG48=0,999999,IF(1=$HH48,IF(8=$HN48,IF($JE48=2,30,0),IF(8=$HO48,IF($JE48=1,30,0),ABS(8-$HI48)*100)),100000+ABS(1-$HH48)*1000+80)))-IF((8=$HJ48)+(8=$HK48)+(8=$HL48)+(8=$HM48)+(8=$HN48)+(8=$HO48)&gt;=2,50,0))+K$5*50)</f>
        <v/>
      </c>
      <c r="L168">
        <f>IF(OR($JF48=0,calcA!$A$6=0),0,IF(OR(9=$HA48,9=$HD48,9=$HG48),200000,MIN(IF($HA48=0,999999,IF(1=$HB48,IF(9=$HJ48,IF($JC48=2,30,0),IF(9=$HK48,IF($JC48=1,30,0),ABS(9-$HC48)*100)),100000+ABS(1-$HB48)*1000+90)),IF($HD48=0,999999,IF(1=$HE48,IF(9=$HL48,IF($JD48=2,30,0),IF(9=$HM48,IF($JD48=1,30,0),ABS(9-$HF48)*100)),100000+ABS(1-$HE48)*1000+90)),IF($HG48=0,999999,IF(1=$HH48,IF(9=$HN48,IF($JE48=2,30,0),IF(9=$HO48,IF($JE48=1,30,0),ABS(9-$HI48)*100)),100000+ABS(1-$HH48)*1000+90)))-IF((9=$HJ48)+(9=$HK48)+(9=$HL48)+(9=$HM48)+(9=$HN48)+(9=$HO48)&gt;=2,50,0))+L$5*50)</f>
        <v/>
      </c>
      <c r="M168">
        <f>IF(OR($JF48=0,calcA!$A$6=0),0,IF(OR(10=$HA48,10=$HD48,10=$HG48),200000,MIN(IF($HA48=0,999999,IF(1=$HB48,IF(10=$HJ48,IF($JC48=2,30,0),IF(10=$HK48,IF($JC48=1,30,0),ABS(10-$HC48)*100)),100000+ABS(1-$HB48)*1000+100)),IF($HD48=0,999999,IF(1=$HE48,IF(10=$HL48,IF($JD48=2,30,0),IF(10=$HM48,IF($JD48=1,30,0),ABS(10-$HF48)*100)),100000+ABS(1-$HE48)*1000+100)),IF($HG48=0,999999,IF(1=$HH48,IF(10=$HN48,IF($JE48=2,30,0),IF(10=$HO48,IF($JE48=1,30,0),ABS(10-$HI48)*100)),100000+ABS(1-$HH48)*1000+100)))-IF((10=$HJ48)+(10=$HK48)+(10=$HL48)+(10=$HM48)+(10=$HN48)+(10=$HO48)&gt;=2,50,0))+M$5*50)</f>
        <v/>
      </c>
      <c r="N168">
        <f>IF(OR($JF48=0,calcA!$A$6=0),0,IF(OR(11=$HA48,11=$HD48,11=$HG48),200000,MIN(IF($HA48=0,999999,IF(1=$HB48,IF(11=$HJ48,IF($JC48=2,30,0),IF(11=$HK48,IF($JC48=1,30,0),ABS(11-$HC48)*100)),100000+ABS(1-$HB48)*1000+110)),IF($HD48=0,999999,IF(1=$HE48,IF(11=$HL48,IF($JD48=2,30,0),IF(11=$HM48,IF($JD48=1,30,0),ABS(11-$HF48)*100)),100000+ABS(1-$HE48)*1000+110)),IF($HG48=0,999999,IF(1=$HH48,IF(11=$HN48,IF($JE48=2,30,0),IF(11=$HO48,IF($JE48=1,30,0),ABS(11-$HI48)*100)),100000+ABS(1-$HH48)*1000+110)))-IF((11=$HJ48)+(11=$HK48)+(11=$HL48)+(11=$HM48)+(11=$HN48)+(11=$HO48)&gt;=2,50,0))+N$5*50)</f>
        <v/>
      </c>
      <c r="O168">
        <f>IF(OR($JF48=0,calcA!$A$6=0),0,IF(OR(12=$HA48,12=$HD48,12=$HG48),200000,MIN(IF($HA48=0,999999,IF(1=$HB48,IF(12=$HJ48,IF($JC48=2,30,0),IF(12=$HK48,IF($JC48=1,30,0),ABS(12-$HC48)*100)),100000+ABS(1-$HB48)*1000+120)),IF($HD48=0,999999,IF(1=$HE48,IF(12=$HL48,IF($JD48=2,30,0),IF(12=$HM48,IF($JD48=1,30,0),ABS(12-$HF48)*100)),100000+ABS(1-$HE48)*1000+120)),IF($HG48=0,999999,IF(1=$HH48,IF(12=$HN48,IF($JE48=2,30,0),IF(12=$HO48,IF($JE48=1,30,0),ABS(12-$HI48)*100)),100000+ABS(1-$HH48)*1000+120)))-IF((12=$HJ48)+(12=$HK48)+(12=$HL48)+(12=$HM48)+(12=$HN48)+(12=$HO48)&gt;=2,50,0))+O$5*50)</f>
        <v/>
      </c>
      <c r="P168">
        <f>IF(OR($JF48=0,calcA!$A$6=0),0,IF(OR(13=$HA48,13=$HD48,13=$HG48),200000,MIN(IF($HA48=0,999999,IF(1=$HB48,IF(13=$HJ48,IF($JC48=2,30,0),IF(13=$HK48,IF($JC48=1,30,0),ABS(13-$HC48)*100)),100000+ABS(1-$HB48)*1000+130)),IF($HD48=0,999999,IF(1=$HE48,IF(13=$HL48,IF($JD48=2,30,0),IF(13=$HM48,IF($JD48=1,30,0),ABS(13-$HF48)*100)),100000+ABS(1-$HE48)*1000+130)),IF($HG48=0,999999,IF(1=$HH48,IF(13=$HN48,IF($JE48=2,30,0),IF(13=$HO48,IF($JE48=1,30,0),ABS(13-$HI48)*100)),100000+ABS(1-$HH48)*1000+130)))-IF((13=$HJ48)+(13=$HK48)+(13=$HL48)+(13=$HM48)+(13=$HN48)+(13=$HO48)&gt;=2,50,0))+P$5*50)</f>
        <v/>
      </c>
      <c r="Q168">
        <f>IF(OR($JF48=0,calcA!$A$6=0),0,IF(OR(14=$HA48,14=$HD48,14=$HG48),200000,MIN(IF($HA48=0,999999,IF(1=$HB48,IF(14=$HJ48,IF($JC48=2,30,0),IF(14=$HK48,IF($JC48=1,30,0),ABS(14-$HC48)*100)),100000+ABS(1-$HB48)*1000+140)),IF($HD48=0,999999,IF(1=$HE48,IF(14=$HL48,IF($JD48=2,30,0),IF(14=$HM48,IF($JD48=1,30,0),ABS(14-$HF48)*100)),100000+ABS(1-$HE48)*1000+140)),IF($HG48=0,999999,IF(1=$HH48,IF(14=$HN48,IF($JE48=2,30,0),IF(14=$HO48,IF($JE48=1,30,0),ABS(14-$HI48)*100)),100000+ABS(1-$HH48)*1000+140)))-IF((14=$HJ48)+(14=$HK48)+(14=$HL48)+(14=$HM48)+(14=$HN48)+(14=$HO48)&gt;=2,50,0))+Q$5*50)</f>
        <v/>
      </c>
      <c r="R168">
        <f>IF(OR($JF48=0,calcA!$A$6=0),0,IF(OR(15=$HA48,15=$HD48,15=$HG48),200000,MIN(IF($HA48=0,999999,IF(1=$HB48,IF(15=$HJ48,IF($JC48=2,30,0),IF(15=$HK48,IF($JC48=1,30,0),ABS(15-$HC48)*100)),100000+ABS(1-$HB48)*1000+150)),IF($HD48=0,999999,IF(1=$HE48,IF(15=$HL48,IF($JD48=2,30,0),IF(15=$HM48,IF($JD48=1,30,0),ABS(15-$HF48)*100)),100000+ABS(1-$HE48)*1000+150)),IF($HG48=0,999999,IF(1=$HH48,IF(15=$HN48,IF($JE48=2,30,0),IF(15=$HO48,IF($JE48=1,30,0),ABS(15-$HI48)*100)),100000+ABS(1-$HH48)*1000+150)))-IF((15=$HJ48)+(15=$HK48)+(15=$HL48)+(15=$HM48)+(15=$HN48)+(15=$HO48)&gt;=2,50,0))+R$5*50)</f>
        <v/>
      </c>
      <c r="S168">
        <f>IF(OR($JF48=0,calcA!$A$6=0),0,IF(OR(16=$HA48,16=$HD48,16=$HG48),200000,MIN(IF($HA48=0,999999,IF(1=$HB48,IF(16=$HJ48,IF($JC48=2,30,0),IF(16=$HK48,IF($JC48=1,30,0),ABS(16-$HC48)*100)),100000+ABS(1-$HB48)*1000+160)),IF($HD48=0,999999,IF(1=$HE48,IF(16=$HL48,IF($JD48=2,30,0),IF(16=$HM48,IF($JD48=1,30,0),ABS(16-$HF48)*100)),100000+ABS(1-$HE48)*1000+160)),IF($HG48=0,999999,IF(1=$HH48,IF(16=$HN48,IF($JE48=2,30,0),IF(16=$HO48,IF($JE48=1,30,0),ABS(16-$HI48)*100)),100000+ABS(1-$HH48)*1000+160)))-IF((16=$HJ48)+(16=$HK48)+(16=$HL48)+(16=$HM48)+(16=$HN48)+(16=$HO48)&gt;=2,50,0))+S$5*50)</f>
        <v/>
      </c>
      <c r="T168">
        <f>IF(OR($JF48=0,calcA!$A$6=0),0,IF(OR(17=$HA48,17=$HD48,17=$HG48),200000,MIN(IF($HA48=0,999999,IF(1=$HB48,IF(17=$HJ48,IF($JC48=2,30,0),IF(17=$HK48,IF($JC48=1,30,0),ABS(17-$HC48)*100)),100000+ABS(1-$HB48)*1000+170)),IF($HD48=0,999999,IF(1=$HE48,IF(17=$HL48,IF($JD48=2,30,0),IF(17=$HM48,IF($JD48=1,30,0),ABS(17-$HF48)*100)),100000+ABS(1-$HE48)*1000+170)),IF($HG48=0,999999,IF(1=$HH48,IF(17=$HN48,IF($JE48=2,30,0),IF(17=$HO48,IF($JE48=1,30,0),ABS(17-$HI48)*100)),100000+ABS(1-$HH48)*1000+170)))-IF((17=$HJ48)+(17=$HK48)+(17=$HL48)+(17=$HM48)+(17=$HN48)+(17=$HO48)&gt;=2,50,0))+T$5*50)</f>
        <v/>
      </c>
      <c r="U168">
        <f>IF(OR($JF48=0,calcA!$A$6=0),0,IF(OR(18=$HA48,18=$HD48,18=$HG48),200000,MIN(IF($HA48=0,999999,IF(1=$HB48,IF(18=$HJ48,IF($JC48=2,30,0),IF(18=$HK48,IF($JC48=1,30,0),ABS(18-$HC48)*100)),100000+ABS(1-$HB48)*1000+180)),IF($HD48=0,999999,IF(1=$HE48,IF(18=$HL48,IF($JD48=2,30,0),IF(18=$HM48,IF($JD48=1,30,0),ABS(18-$HF48)*100)),100000+ABS(1-$HE48)*1000+180)),IF($HG48=0,999999,IF(1=$HH48,IF(18=$HN48,IF($JE48=2,30,0),IF(18=$HO48,IF($JE48=1,30,0),ABS(18-$HI48)*100)),100000+ABS(1-$HH48)*1000+180)))-IF((18=$HJ48)+(18=$HK48)+(18=$HL48)+(18=$HM48)+(18=$HN48)+(18=$HO48)&gt;=2,50,0))+U$5*50)</f>
        <v/>
      </c>
      <c r="V168">
        <f>IF(OR($JF48=0,calcA!$A$6=0),0,IF(OR(19=$HA48,19=$HD48,19=$HG48),200000,MIN(IF($HA48=0,999999,IF(1=$HB48,IF(19=$HJ48,IF($JC48=2,30,0),IF(19=$HK48,IF($JC48=1,30,0),ABS(19-$HC48)*100)),100000+ABS(1-$HB48)*1000+190)),IF($HD48=0,999999,IF(1=$HE48,IF(19=$HL48,IF($JD48=2,30,0),IF(19=$HM48,IF($JD48=1,30,0),ABS(19-$HF48)*100)),100000+ABS(1-$HE48)*1000+190)),IF($HG48=0,999999,IF(1=$HH48,IF(19=$HN48,IF($JE48=2,30,0),IF(19=$HO48,IF($JE48=1,30,0),ABS(19-$HI48)*100)),100000+ABS(1-$HH48)*1000+190)))-IF((19=$HJ48)+(19=$HK48)+(19=$HL48)+(19=$HM48)+(19=$HN48)+(19=$HO48)&gt;=2,50,0))+V$5*50)</f>
        <v/>
      </c>
      <c r="W168">
        <f>IF(OR($JF48=0,calcA!$A$6=0),0,IF(OR(20=$HA48,20=$HD48,20=$HG48),200000,MIN(IF($HA48=0,999999,IF(1=$HB48,IF(20=$HJ48,IF($JC48=2,30,0),IF(20=$HK48,IF($JC48=1,30,0),ABS(20-$HC48)*100)),100000+ABS(1-$HB48)*1000+200)),IF($HD48=0,999999,IF(1=$HE48,IF(20=$HL48,IF($JD48=2,30,0),IF(20=$HM48,IF($JD48=1,30,0),ABS(20-$HF48)*100)),100000+ABS(1-$HE48)*1000+200)),IF($HG48=0,999999,IF(1=$HH48,IF(20=$HN48,IF($JE48=2,30,0),IF(20=$HO48,IF($JE48=1,30,0),ABS(20-$HI48)*100)),100000+ABS(1-$HH48)*1000+200)))-IF((20=$HJ48)+(20=$HK48)+(20=$HL48)+(20=$HM48)+(20=$HN48)+(20=$HO48)&gt;=2,50,0))+W$5*50)</f>
        <v/>
      </c>
      <c r="X168">
        <f>IF(OR($JF48=0,calcA!$A$6=0),0,IF(OR(21=$HA48,21=$HD48,21=$HG48),200000,MIN(IF($HA48=0,999999,IF(1=$HB48,IF(21=$HJ48,IF($JC48=2,30,0),IF(21=$HK48,IF($JC48=1,30,0),ABS(21-$HC48)*100)),100000+ABS(1-$HB48)*1000+210)),IF($HD48=0,999999,IF(1=$HE48,IF(21=$HL48,IF($JD48=2,30,0),IF(21=$HM48,IF($JD48=1,30,0),ABS(21-$HF48)*100)),100000+ABS(1-$HE48)*1000+210)),IF($HG48=0,999999,IF(1=$HH48,IF(21=$HN48,IF($JE48=2,30,0),IF(21=$HO48,IF($JE48=1,30,0),ABS(21-$HI48)*100)),100000+ABS(1-$HH48)*1000+210)))-IF((21=$HJ48)+(21=$HK48)+(21=$HL48)+(21=$HM48)+(21=$HN48)+(21=$HO48)&gt;=2,50,0))+X$5*50)</f>
        <v/>
      </c>
      <c r="Y168">
        <f>IF(OR($JF48=0,calcA!$A$6=0),0,IF(OR(22=$HA48,22=$HD48,22=$HG48),200000,MIN(IF($HA48=0,999999,IF(1=$HB48,IF(22=$HJ48,IF($JC48=2,30,0),IF(22=$HK48,IF($JC48=1,30,0),ABS(22-$HC48)*100)),100000+ABS(1-$HB48)*1000+220)),IF($HD48=0,999999,IF(1=$HE48,IF(22=$HL48,IF($JD48=2,30,0),IF(22=$HM48,IF($JD48=1,30,0),ABS(22-$HF48)*100)),100000+ABS(1-$HE48)*1000+220)),IF($HG48=0,999999,IF(1=$HH48,IF(22=$HN48,IF($JE48=2,30,0),IF(22=$HO48,IF($JE48=1,30,0),ABS(22-$HI48)*100)),100000+ABS(1-$HH48)*1000+220)))-IF((22=$HJ48)+(22=$HK48)+(22=$HL48)+(22=$HM48)+(22=$HN48)+(22=$HO48)&gt;=2,50,0))+Y$5*50)</f>
        <v/>
      </c>
      <c r="Z168">
        <f>IF(OR($JF48=0,calcA!$A$6=0),0,IF(OR(23=$HA48,23=$HD48,23=$HG48),200000,MIN(IF($HA48=0,999999,IF(1=$HB48,IF(23=$HJ48,IF($JC48=2,30,0),IF(23=$HK48,IF($JC48=1,30,0),ABS(23-$HC48)*100)),100000+ABS(1-$HB48)*1000+230)),IF($HD48=0,999999,IF(1=$HE48,IF(23=$HL48,IF($JD48=2,30,0),IF(23=$HM48,IF($JD48=1,30,0),ABS(23-$HF48)*100)),100000+ABS(1-$HE48)*1000+230)),IF($HG48=0,999999,IF(1=$HH48,IF(23=$HN48,IF($JE48=2,30,0),IF(23=$HO48,IF($JE48=1,30,0),ABS(23-$HI48)*100)),100000+ABS(1-$HH48)*1000+230)))-IF((23=$HJ48)+(23=$HK48)+(23=$HL48)+(23=$HM48)+(23=$HN48)+(23=$HO48)&gt;=2,50,0))+Z$5*50)</f>
        <v/>
      </c>
      <c r="AA168">
        <f>IF(OR($JF48=0,calcA!$A$6=0),0,IF(OR(24=$HA48,24=$HD48,24=$HG48),200000,MIN(IF($HA48=0,999999,IF(1=$HB48,IF(24=$HJ48,IF($JC48=2,30,0),IF(24=$HK48,IF($JC48=1,30,0),ABS(24-$HC48)*100)),100000+ABS(1-$HB48)*1000+240)),IF($HD48=0,999999,IF(1=$HE48,IF(24=$HL48,IF($JD48=2,30,0),IF(24=$HM48,IF($JD48=1,30,0),ABS(24-$HF48)*100)),100000+ABS(1-$HE48)*1000+240)),IF($HG48=0,999999,IF(1=$HH48,IF(24=$HN48,IF($JE48=2,30,0),IF(24=$HO48,IF($JE48=1,30,0),ABS(24-$HI48)*100)),100000+ABS(1-$HH48)*1000+240)))-IF((24=$HJ48)+(24=$HK48)+(24=$HL48)+(24=$HM48)+(24=$HN48)+(24=$HO48)&gt;=2,50,0))+AA$5*50)</f>
        <v/>
      </c>
      <c r="AB168">
        <f>IF(OR($JF48=0,calcA!$A$6=0),0,IF(OR(25=$HA48,25=$HD48,25=$HG48),200000,MIN(IF($HA48=0,999999,IF(2=$HB48,IF(25=$HJ48,IF($JC48=2,30,0),IF(25=$HK48,IF($JC48=1,30,0),ABS(1-$HC48)*100)),100000+ABS(2-$HB48)*1000+10)),IF($HD48=0,999999,IF(2=$HE48,IF(25=$HL48,IF($JD48=2,30,0),IF(25=$HM48,IF($JD48=1,30,0),ABS(1-$HF48)*100)),100000+ABS(2-$HE48)*1000+10)),IF($HG48=0,999999,IF(2=$HH48,IF(25=$HN48,IF($JE48=2,30,0),IF(25=$HO48,IF($JE48=1,30,0),ABS(1-$HI48)*100)),100000+ABS(2-$HH48)*1000+10)))-IF((25=$HJ48)+(25=$HK48)+(25=$HL48)+(25=$HM48)+(25=$HN48)+(25=$HO48)&gt;=2,50,0))+AB$5*50)</f>
        <v/>
      </c>
      <c r="AC168">
        <f>IF(OR($JF48=0,calcA!$A$6=0),0,IF(OR(26=$HA48,26=$HD48,26=$HG48),200000,MIN(IF($HA48=0,999999,IF(2=$HB48,IF(26=$HJ48,IF($JC48=2,30,0),IF(26=$HK48,IF($JC48=1,30,0),ABS(2-$HC48)*100)),100000+ABS(2-$HB48)*1000+20)),IF($HD48=0,999999,IF(2=$HE48,IF(26=$HL48,IF($JD48=2,30,0),IF(26=$HM48,IF($JD48=1,30,0),ABS(2-$HF48)*100)),100000+ABS(2-$HE48)*1000+20)),IF($HG48=0,999999,IF(2=$HH48,IF(26=$HN48,IF($JE48=2,30,0),IF(26=$HO48,IF($JE48=1,30,0),ABS(2-$HI48)*100)),100000+ABS(2-$HH48)*1000+20)))-IF((26=$HJ48)+(26=$HK48)+(26=$HL48)+(26=$HM48)+(26=$HN48)+(26=$HO48)&gt;=2,50,0))+AC$5*50)</f>
        <v/>
      </c>
      <c r="AD168">
        <f>IF(OR($JF48=0,calcA!$A$6=0),0,IF(OR(27=$HA48,27=$HD48,27=$HG48),200000,MIN(IF($HA48=0,999999,IF(2=$HB48,IF(27=$HJ48,IF($JC48=2,30,0),IF(27=$HK48,IF($JC48=1,30,0),ABS(3-$HC48)*100)),100000+ABS(2-$HB48)*1000+30)),IF($HD48=0,999999,IF(2=$HE48,IF(27=$HL48,IF($JD48=2,30,0),IF(27=$HM48,IF($JD48=1,30,0),ABS(3-$HF48)*100)),100000+ABS(2-$HE48)*1000+30)),IF($HG48=0,999999,IF(2=$HH48,IF(27=$HN48,IF($JE48=2,30,0),IF(27=$HO48,IF($JE48=1,30,0),ABS(3-$HI48)*100)),100000+ABS(2-$HH48)*1000+30)))-IF((27=$HJ48)+(27=$HK48)+(27=$HL48)+(27=$HM48)+(27=$HN48)+(27=$HO48)&gt;=2,50,0))+AD$5*50)</f>
        <v/>
      </c>
      <c r="AE168">
        <f>IF(OR($JF48=0,calcA!$A$6=0),0,IF(OR(28=$HA48,28=$HD48,28=$HG48),200000,MIN(IF($HA48=0,999999,IF(2=$HB48,IF(28=$HJ48,IF($JC48=2,30,0),IF(28=$HK48,IF($JC48=1,30,0),ABS(4-$HC48)*100)),100000+ABS(2-$HB48)*1000+40)),IF($HD48=0,999999,IF(2=$HE48,IF(28=$HL48,IF($JD48=2,30,0),IF(28=$HM48,IF($JD48=1,30,0),ABS(4-$HF48)*100)),100000+ABS(2-$HE48)*1000+40)),IF($HG48=0,999999,IF(2=$HH48,IF(28=$HN48,IF($JE48=2,30,0),IF(28=$HO48,IF($JE48=1,30,0),ABS(4-$HI48)*100)),100000+ABS(2-$HH48)*1000+40)))-IF((28=$HJ48)+(28=$HK48)+(28=$HL48)+(28=$HM48)+(28=$HN48)+(28=$HO48)&gt;=2,50,0))+AE$5*50)</f>
        <v/>
      </c>
      <c r="AF168">
        <f>IF(OR($JF48=0,calcA!$A$6=0),0,IF(OR(29=$HA48,29=$HD48,29=$HG48),200000,MIN(IF($HA48=0,999999,IF(2=$HB48,IF(29=$HJ48,IF($JC48=2,30,0),IF(29=$HK48,IF($JC48=1,30,0),ABS(5-$HC48)*100)),100000+ABS(2-$HB48)*1000+50)),IF($HD48=0,999999,IF(2=$HE48,IF(29=$HL48,IF($JD48=2,30,0),IF(29=$HM48,IF($JD48=1,30,0),ABS(5-$HF48)*100)),100000+ABS(2-$HE48)*1000+50)),IF($HG48=0,999999,IF(2=$HH48,IF(29=$HN48,IF($JE48=2,30,0),IF(29=$HO48,IF($JE48=1,30,0),ABS(5-$HI48)*100)),100000+ABS(2-$HH48)*1000+50)))-IF((29=$HJ48)+(29=$HK48)+(29=$HL48)+(29=$HM48)+(29=$HN48)+(29=$HO48)&gt;=2,50,0))+AF$5*50)</f>
        <v/>
      </c>
      <c r="AG168">
        <f>IF(OR($JF48=0,calcA!$A$6=0),0,IF(OR(30=$HA48,30=$HD48,30=$HG48),200000,MIN(IF($HA48=0,999999,IF(2=$HB48,IF(30=$HJ48,IF($JC48=2,30,0),IF(30=$HK48,IF($JC48=1,30,0),ABS(6-$HC48)*100)),100000+ABS(2-$HB48)*1000+60)),IF($HD48=0,999999,IF(2=$HE48,IF(30=$HL48,IF($JD48=2,30,0),IF(30=$HM48,IF($JD48=1,30,0),ABS(6-$HF48)*100)),100000+ABS(2-$HE48)*1000+60)),IF($HG48=0,999999,IF(2=$HH48,IF(30=$HN48,IF($JE48=2,30,0),IF(30=$HO48,IF($JE48=1,30,0),ABS(6-$HI48)*100)),100000+ABS(2-$HH48)*1000+60)))-IF((30=$HJ48)+(30=$HK48)+(30=$HL48)+(30=$HM48)+(30=$HN48)+(30=$HO48)&gt;=2,50,0))+AG$5*50)</f>
        <v/>
      </c>
      <c r="AH168">
        <f>IF(OR($JF48=0,calcA!$A$6=0),0,IF(OR(31=$HA48,31=$HD48,31=$HG48),200000,MIN(IF($HA48=0,999999,IF(2=$HB48,IF(31=$HJ48,IF($JC48=2,30,0),IF(31=$HK48,IF($JC48=1,30,0),ABS(7-$HC48)*100)),100000+ABS(2-$HB48)*1000+70)),IF($HD48=0,999999,IF(2=$HE48,IF(31=$HL48,IF($JD48=2,30,0),IF(31=$HM48,IF($JD48=1,30,0),ABS(7-$HF48)*100)),100000+ABS(2-$HE48)*1000+70)),IF($HG48=0,999999,IF(2=$HH48,IF(31=$HN48,IF($JE48=2,30,0),IF(31=$HO48,IF($JE48=1,30,0),ABS(7-$HI48)*100)),100000+ABS(2-$HH48)*1000+70)))-IF((31=$HJ48)+(31=$HK48)+(31=$HL48)+(31=$HM48)+(31=$HN48)+(31=$HO48)&gt;=2,50,0))+AH$5*50)</f>
        <v/>
      </c>
      <c r="AI168">
        <f>IF(OR($JF48=0,calcA!$A$6=0),0,IF(OR(32=$HA48,32=$HD48,32=$HG48),200000,MIN(IF($HA48=0,999999,IF(2=$HB48,IF(32=$HJ48,IF($JC48=2,30,0),IF(32=$HK48,IF($JC48=1,30,0),ABS(8-$HC48)*100)),100000+ABS(2-$HB48)*1000+80)),IF($HD48=0,999999,IF(2=$HE48,IF(32=$HL48,IF($JD48=2,30,0),IF(32=$HM48,IF($JD48=1,30,0),ABS(8-$HF48)*100)),100000+ABS(2-$HE48)*1000+80)),IF($HG48=0,999999,IF(2=$HH48,IF(32=$HN48,IF($JE48=2,30,0),IF(32=$HO48,IF($JE48=1,30,0),ABS(8-$HI48)*100)),100000+ABS(2-$HH48)*1000+80)))-IF((32=$HJ48)+(32=$HK48)+(32=$HL48)+(32=$HM48)+(32=$HN48)+(32=$HO48)&gt;=2,50,0))+AI$5*50)</f>
        <v/>
      </c>
      <c r="AJ168">
        <f>IF(OR($JF48=0,calcA!$A$6=0),0,IF(OR(33=$HA48,33=$HD48,33=$HG48),200000,MIN(IF($HA48=0,999999,IF(2=$HB48,IF(33=$HJ48,IF($JC48=2,30,0),IF(33=$HK48,IF($JC48=1,30,0),ABS(9-$HC48)*100)),100000+ABS(2-$HB48)*1000+90)),IF($HD48=0,999999,IF(2=$HE48,IF(33=$HL48,IF($JD48=2,30,0),IF(33=$HM48,IF($JD48=1,30,0),ABS(9-$HF48)*100)),100000+ABS(2-$HE48)*1000+90)),IF($HG48=0,999999,IF(2=$HH48,IF(33=$HN48,IF($JE48=2,30,0),IF(33=$HO48,IF($JE48=1,30,0),ABS(9-$HI48)*100)),100000+ABS(2-$HH48)*1000+90)))-IF((33=$HJ48)+(33=$HK48)+(33=$HL48)+(33=$HM48)+(33=$HN48)+(33=$HO48)&gt;=2,50,0))+AJ$5*50)</f>
        <v/>
      </c>
      <c r="AK168">
        <f>IF(OR($JF48=0,calcA!$A$6=0),0,IF(OR(34=$HA48,34=$HD48,34=$HG48),200000,MIN(IF($HA48=0,999999,IF(2=$HB48,IF(34=$HJ48,IF($JC48=2,30,0),IF(34=$HK48,IF($JC48=1,30,0),ABS(10-$HC48)*100)),100000+ABS(2-$HB48)*1000+100)),IF($HD48=0,999999,IF(2=$HE48,IF(34=$HL48,IF($JD48=2,30,0),IF(34=$HM48,IF($JD48=1,30,0),ABS(10-$HF48)*100)),100000+ABS(2-$HE48)*1000+100)),IF($HG48=0,999999,IF(2=$HH48,IF(34=$HN48,IF($JE48=2,30,0),IF(34=$HO48,IF($JE48=1,30,0),ABS(10-$HI48)*100)),100000+ABS(2-$HH48)*1000+100)))-IF((34=$HJ48)+(34=$HK48)+(34=$HL48)+(34=$HM48)+(34=$HN48)+(34=$HO48)&gt;=2,50,0))+AK$5*50)</f>
        <v/>
      </c>
      <c r="AL168">
        <f>IF(OR($JF48=0,calcA!$A$6=0),0,IF(OR(35=$HA48,35=$HD48,35=$HG48),200000,MIN(IF($HA48=0,999999,IF(2=$HB48,IF(35=$HJ48,IF($JC48=2,30,0),IF(35=$HK48,IF($JC48=1,30,0),ABS(11-$HC48)*100)),100000+ABS(2-$HB48)*1000+110)),IF($HD48=0,999999,IF(2=$HE48,IF(35=$HL48,IF($JD48=2,30,0),IF(35=$HM48,IF($JD48=1,30,0),ABS(11-$HF48)*100)),100000+ABS(2-$HE48)*1000+110)),IF($HG48=0,999999,IF(2=$HH48,IF(35=$HN48,IF($JE48=2,30,0),IF(35=$HO48,IF($JE48=1,30,0),ABS(11-$HI48)*100)),100000+ABS(2-$HH48)*1000+110)))-IF((35=$HJ48)+(35=$HK48)+(35=$HL48)+(35=$HM48)+(35=$HN48)+(35=$HO48)&gt;=2,50,0))+AL$5*50)</f>
        <v/>
      </c>
      <c r="AM168">
        <f>IF(OR($JF48=0,calcA!$A$6=0),0,IF(OR(36=$HA48,36=$HD48,36=$HG48),200000,MIN(IF($HA48=0,999999,IF(2=$HB48,IF(36=$HJ48,IF($JC48=2,30,0),IF(36=$HK48,IF($JC48=1,30,0),ABS(12-$HC48)*100)),100000+ABS(2-$HB48)*1000+120)),IF($HD48=0,999999,IF(2=$HE48,IF(36=$HL48,IF($JD48=2,30,0),IF(36=$HM48,IF($JD48=1,30,0),ABS(12-$HF48)*100)),100000+ABS(2-$HE48)*1000+120)),IF($HG48=0,999999,IF(2=$HH48,IF(36=$HN48,IF($JE48=2,30,0),IF(36=$HO48,IF($JE48=1,30,0),ABS(12-$HI48)*100)),100000+ABS(2-$HH48)*1000+120)))-IF((36=$HJ48)+(36=$HK48)+(36=$HL48)+(36=$HM48)+(36=$HN48)+(36=$HO48)&gt;=2,50,0))+AM$5*50)</f>
        <v/>
      </c>
      <c r="AN168">
        <f>IF(OR($JF48=0,calcA!$A$6=0),0,IF(OR(37=$HA48,37=$HD48,37=$HG48),200000,MIN(IF($HA48=0,999999,IF(2=$HB48,IF(37=$HJ48,IF($JC48=2,30,0),IF(37=$HK48,IF($JC48=1,30,0),ABS(13-$HC48)*100)),100000+ABS(2-$HB48)*1000+130)),IF($HD48=0,999999,IF(2=$HE48,IF(37=$HL48,IF($JD48=2,30,0),IF(37=$HM48,IF($JD48=1,30,0),ABS(13-$HF48)*100)),100000+ABS(2-$HE48)*1000+130)),IF($HG48=0,999999,IF(2=$HH48,IF(37=$HN48,IF($JE48=2,30,0),IF(37=$HO48,IF($JE48=1,30,0),ABS(13-$HI48)*100)),100000+ABS(2-$HH48)*1000+130)))-IF((37=$HJ48)+(37=$HK48)+(37=$HL48)+(37=$HM48)+(37=$HN48)+(37=$HO48)&gt;=2,50,0))+AN$5*50)</f>
        <v/>
      </c>
      <c r="AO168">
        <f>IF(OR($JF48=0,calcA!$A$6=0),0,IF(OR(38=$HA48,38=$HD48,38=$HG48),200000,MIN(IF($HA48=0,999999,IF(2=$HB48,IF(38=$HJ48,IF($JC48=2,30,0),IF(38=$HK48,IF($JC48=1,30,0),ABS(14-$HC48)*100)),100000+ABS(2-$HB48)*1000+140)),IF($HD48=0,999999,IF(2=$HE48,IF(38=$HL48,IF($JD48=2,30,0),IF(38=$HM48,IF($JD48=1,30,0),ABS(14-$HF48)*100)),100000+ABS(2-$HE48)*1000+140)),IF($HG48=0,999999,IF(2=$HH48,IF(38=$HN48,IF($JE48=2,30,0),IF(38=$HO48,IF($JE48=1,30,0),ABS(14-$HI48)*100)),100000+ABS(2-$HH48)*1000+140)))-IF((38=$HJ48)+(38=$HK48)+(38=$HL48)+(38=$HM48)+(38=$HN48)+(38=$HO48)&gt;=2,50,0))+AO$5*50)</f>
        <v/>
      </c>
      <c r="AP168">
        <f>IF(OR($JF48=0,calcA!$A$6=0),0,IF(OR(39=$HA48,39=$HD48,39=$HG48),200000,MIN(IF($HA48=0,999999,IF(2=$HB48,IF(39=$HJ48,IF($JC48=2,30,0),IF(39=$HK48,IF($JC48=1,30,0),ABS(15-$HC48)*100)),100000+ABS(2-$HB48)*1000+150)),IF($HD48=0,999999,IF(2=$HE48,IF(39=$HL48,IF($JD48=2,30,0),IF(39=$HM48,IF($JD48=1,30,0),ABS(15-$HF48)*100)),100000+ABS(2-$HE48)*1000+150)),IF($HG48=0,999999,IF(2=$HH48,IF(39=$HN48,IF($JE48=2,30,0),IF(39=$HO48,IF($JE48=1,30,0),ABS(15-$HI48)*100)),100000+ABS(2-$HH48)*1000+150)))-IF((39=$HJ48)+(39=$HK48)+(39=$HL48)+(39=$HM48)+(39=$HN48)+(39=$HO48)&gt;=2,50,0))+AP$5*50)</f>
        <v/>
      </c>
      <c r="AQ168">
        <f>IF(OR($JF48=0,calcA!$A$6=0),0,IF(OR(40=$HA48,40=$HD48,40=$HG48),200000,MIN(IF($HA48=0,999999,IF(2=$HB48,IF(40=$HJ48,IF($JC48=2,30,0),IF(40=$HK48,IF($JC48=1,30,0),ABS(16-$HC48)*100)),100000+ABS(2-$HB48)*1000+160)),IF($HD48=0,999999,IF(2=$HE48,IF(40=$HL48,IF($JD48=2,30,0),IF(40=$HM48,IF($JD48=1,30,0),ABS(16-$HF48)*100)),100000+ABS(2-$HE48)*1000+160)),IF($HG48=0,999999,IF(2=$HH48,IF(40=$HN48,IF($JE48=2,30,0),IF(40=$HO48,IF($JE48=1,30,0),ABS(16-$HI48)*100)),100000+ABS(2-$HH48)*1000+160)))-IF((40=$HJ48)+(40=$HK48)+(40=$HL48)+(40=$HM48)+(40=$HN48)+(40=$HO48)&gt;=2,50,0))+AQ$5*50)</f>
        <v/>
      </c>
      <c r="AR168">
        <f>IF(OR($JF48=0,calcA!$A$6=0),0,IF(OR(41=$HA48,41=$HD48,41=$HG48),200000,MIN(IF($HA48=0,999999,IF(2=$HB48,IF(41=$HJ48,IF($JC48=2,30,0),IF(41=$HK48,IF($JC48=1,30,0),ABS(17-$HC48)*100)),100000+ABS(2-$HB48)*1000+170)),IF($HD48=0,999999,IF(2=$HE48,IF(41=$HL48,IF($JD48=2,30,0),IF(41=$HM48,IF($JD48=1,30,0),ABS(17-$HF48)*100)),100000+ABS(2-$HE48)*1000+170)),IF($HG48=0,999999,IF(2=$HH48,IF(41=$HN48,IF($JE48=2,30,0),IF(41=$HO48,IF($JE48=1,30,0),ABS(17-$HI48)*100)),100000+ABS(2-$HH48)*1000+170)))-IF((41=$HJ48)+(41=$HK48)+(41=$HL48)+(41=$HM48)+(41=$HN48)+(41=$HO48)&gt;=2,50,0))+AR$5*50)</f>
        <v/>
      </c>
      <c r="AS168">
        <f>IF(OR($JF48=0,calcA!$A$6=0),0,IF(OR(42=$HA48,42=$HD48,42=$HG48),200000,MIN(IF($HA48=0,999999,IF(2=$HB48,IF(42=$HJ48,IF($JC48=2,30,0),IF(42=$HK48,IF($JC48=1,30,0),ABS(18-$HC48)*100)),100000+ABS(2-$HB48)*1000+180)),IF($HD48=0,999999,IF(2=$HE48,IF(42=$HL48,IF($JD48=2,30,0),IF(42=$HM48,IF($JD48=1,30,0),ABS(18-$HF48)*100)),100000+ABS(2-$HE48)*1000+180)),IF($HG48=0,999999,IF(2=$HH48,IF(42=$HN48,IF($JE48=2,30,0),IF(42=$HO48,IF($JE48=1,30,0),ABS(18-$HI48)*100)),100000+ABS(2-$HH48)*1000+180)))-IF((42=$HJ48)+(42=$HK48)+(42=$HL48)+(42=$HM48)+(42=$HN48)+(42=$HO48)&gt;=2,50,0))+AS$5*50)</f>
        <v/>
      </c>
      <c r="AT168">
        <f>IF(OR($JF48=0,calcA!$A$6=0),0,IF(OR(43=$HA48,43=$HD48,43=$HG48),200000,MIN(IF($HA48=0,999999,IF(2=$HB48,IF(43=$HJ48,IF($JC48=2,30,0),IF(43=$HK48,IF($JC48=1,30,0),ABS(19-$HC48)*100)),100000+ABS(2-$HB48)*1000+190)),IF($HD48=0,999999,IF(2=$HE48,IF(43=$HL48,IF($JD48=2,30,0),IF(43=$HM48,IF($JD48=1,30,0),ABS(19-$HF48)*100)),100000+ABS(2-$HE48)*1000+190)),IF($HG48=0,999999,IF(2=$HH48,IF(43=$HN48,IF($JE48=2,30,0),IF(43=$HO48,IF($JE48=1,30,0),ABS(19-$HI48)*100)),100000+ABS(2-$HH48)*1000+190)))-IF((43=$HJ48)+(43=$HK48)+(43=$HL48)+(43=$HM48)+(43=$HN48)+(43=$HO48)&gt;=2,50,0))+AT$5*50)</f>
        <v/>
      </c>
      <c r="AU168">
        <f>IF(OR($JF48=0,calcA!$A$6=0),0,IF(OR(44=$HA48,44=$HD48,44=$HG48),200000,MIN(IF($HA48=0,999999,IF(2=$HB48,IF(44=$HJ48,IF($JC48=2,30,0),IF(44=$HK48,IF($JC48=1,30,0),ABS(20-$HC48)*100)),100000+ABS(2-$HB48)*1000+200)),IF($HD48=0,999999,IF(2=$HE48,IF(44=$HL48,IF($JD48=2,30,0),IF(44=$HM48,IF($JD48=1,30,0),ABS(20-$HF48)*100)),100000+ABS(2-$HE48)*1000+200)),IF($HG48=0,999999,IF(2=$HH48,IF(44=$HN48,IF($JE48=2,30,0),IF(44=$HO48,IF($JE48=1,30,0),ABS(20-$HI48)*100)),100000+ABS(2-$HH48)*1000+200)))-IF((44=$HJ48)+(44=$HK48)+(44=$HL48)+(44=$HM48)+(44=$HN48)+(44=$HO48)&gt;=2,50,0))+AU$5*50)</f>
        <v/>
      </c>
      <c r="AV168">
        <f>IF(OR($JF48=0,calcA!$A$6=0),0,IF(OR(45=$HA48,45=$HD48,45=$HG48),200000,MIN(IF($HA48=0,999999,IF(2=$HB48,IF(45=$HJ48,IF($JC48=2,30,0),IF(45=$HK48,IF($JC48=1,30,0),ABS(21-$HC48)*100)),100000+ABS(2-$HB48)*1000+210)),IF($HD48=0,999999,IF(2=$HE48,IF(45=$HL48,IF($JD48=2,30,0),IF(45=$HM48,IF($JD48=1,30,0),ABS(21-$HF48)*100)),100000+ABS(2-$HE48)*1000+210)),IF($HG48=0,999999,IF(2=$HH48,IF(45=$HN48,IF($JE48=2,30,0),IF(45=$HO48,IF($JE48=1,30,0),ABS(21-$HI48)*100)),100000+ABS(2-$HH48)*1000+210)))-IF((45=$HJ48)+(45=$HK48)+(45=$HL48)+(45=$HM48)+(45=$HN48)+(45=$HO48)&gt;=2,50,0))+AV$5*50)</f>
        <v/>
      </c>
      <c r="AW168">
        <f>IF(OR($JF48=0,calcA!$A$6=0),0,IF(OR(46=$HA48,46=$HD48,46=$HG48),200000,MIN(IF($HA48=0,999999,IF(2=$HB48,IF(46=$HJ48,IF($JC48=2,30,0),IF(46=$HK48,IF($JC48=1,30,0),ABS(22-$HC48)*100)),100000+ABS(2-$HB48)*1000+220)),IF($HD48=0,999999,IF(2=$HE48,IF(46=$HL48,IF($JD48=2,30,0),IF(46=$HM48,IF($JD48=1,30,0),ABS(22-$HF48)*100)),100000+ABS(2-$HE48)*1000+220)),IF($HG48=0,999999,IF(2=$HH48,IF(46=$HN48,IF($JE48=2,30,0),IF(46=$HO48,IF($JE48=1,30,0),ABS(22-$HI48)*100)),100000+ABS(2-$HH48)*1000+220)))-IF((46=$HJ48)+(46=$HK48)+(46=$HL48)+(46=$HM48)+(46=$HN48)+(46=$HO48)&gt;=2,50,0))+AW$5*50)</f>
        <v/>
      </c>
      <c r="AX168">
        <f>IF(OR($JF48=0,calcA!$A$6=0),0,IF(OR(47=$HA48,47=$HD48,47=$HG48),200000,MIN(IF($HA48=0,999999,IF(2=$HB48,IF(47=$HJ48,IF($JC48=2,30,0),IF(47=$HK48,IF($JC48=1,30,0),ABS(23-$HC48)*100)),100000+ABS(2-$HB48)*1000+230)),IF($HD48=0,999999,IF(2=$HE48,IF(47=$HL48,IF($JD48=2,30,0),IF(47=$HM48,IF($JD48=1,30,0),ABS(23-$HF48)*100)),100000+ABS(2-$HE48)*1000+230)),IF($HG48=0,999999,IF(2=$HH48,IF(47=$HN48,IF($JE48=2,30,0),IF(47=$HO48,IF($JE48=1,30,0),ABS(23-$HI48)*100)),100000+ABS(2-$HH48)*1000+230)))-IF((47=$HJ48)+(47=$HK48)+(47=$HL48)+(47=$HM48)+(47=$HN48)+(47=$HO48)&gt;=2,50,0))+AX$5*50)</f>
        <v/>
      </c>
      <c r="AY168">
        <f>IF(OR($JF48=0,calcA!$A$6=0),0,IF(OR(48=$HA48,48=$HD48,48=$HG48),200000,MIN(IF($HA48=0,999999,IF(2=$HB48,IF(48=$HJ48,IF($JC48=2,30,0),IF(48=$HK48,IF($JC48=1,30,0),ABS(24-$HC48)*100)),100000+ABS(2-$HB48)*1000+240)),IF($HD48=0,999999,IF(2=$HE48,IF(48=$HL48,IF($JD48=2,30,0),IF(48=$HM48,IF($JD48=1,30,0),ABS(24-$HF48)*100)),100000+ABS(2-$HE48)*1000+240)),IF($HG48=0,999999,IF(2=$HH48,IF(48=$HN48,IF($JE48=2,30,0),IF(48=$HO48,IF($JE48=1,30,0),ABS(24-$HI48)*100)),100000+ABS(2-$HH48)*1000+240)))-IF((48=$HJ48)+(48=$HK48)+(48=$HL48)+(48=$HM48)+(48=$HN48)+(48=$HO48)&gt;=2,50,0))+AY$5*50)</f>
        <v/>
      </c>
      <c r="AZ168">
        <f>IF(OR($JF48=0,calcA!$A$6=0),0,IF(OR(49=$HA48,49=$HD48,49=$HG48),200000,MIN(IF($HA48=0,999999,IF(3=$HB48,IF(49=$HJ48,IF($JC48=2,30,0),IF(49=$HK48,IF($JC48=1,30,0),ABS(1-$HC48)*100)),100000+ABS(3-$HB48)*1000+10)),IF($HD48=0,999999,IF(3=$HE48,IF(49=$HL48,IF($JD48=2,30,0),IF(49=$HM48,IF($JD48=1,30,0),ABS(1-$HF48)*100)),100000+ABS(3-$HE48)*1000+10)),IF($HG48=0,999999,IF(3=$HH48,IF(49=$HN48,IF($JE48=2,30,0),IF(49=$HO48,IF($JE48=1,30,0),ABS(1-$HI48)*100)),100000+ABS(3-$HH48)*1000+10)))-IF((49=$HJ48)+(49=$HK48)+(49=$HL48)+(49=$HM48)+(49=$HN48)+(49=$HO48)&gt;=2,50,0))+AZ$5*50)</f>
        <v/>
      </c>
      <c r="BA168">
        <f>IF(OR($JF48=0,calcA!$A$6=0),0,IF(OR(50=$HA48,50=$HD48,50=$HG48),200000,MIN(IF($HA48=0,999999,IF(3=$HB48,IF(50=$HJ48,IF($JC48=2,30,0),IF(50=$HK48,IF($JC48=1,30,0),ABS(2-$HC48)*100)),100000+ABS(3-$HB48)*1000+20)),IF($HD48=0,999999,IF(3=$HE48,IF(50=$HL48,IF($JD48=2,30,0),IF(50=$HM48,IF($JD48=1,30,0),ABS(2-$HF48)*100)),100000+ABS(3-$HE48)*1000+20)),IF($HG48=0,999999,IF(3=$HH48,IF(50=$HN48,IF($JE48=2,30,0),IF(50=$HO48,IF($JE48=1,30,0),ABS(2-$HI48)*100)),100000+ABS(3-$HH48)*1000+20)))-IF((50=$HJ48)+(50=$HK48)+(50=$HL48)+(50=$HM48)+(50=$HN48)+(50=$HO48)&gt;=2,50,0))+BA$5*50)</f>
        <v/>
      </c>
      <c r="BB168">
        <f>IF(OR($JF48=0,calcA!$A$6=0),0,IF(OR(51=$HA48,51=$HD48,51=$HG48),200000,MIN(IF($HA48=0,999999,IF(3=$HB48,IF(51=$HJ48,IF($JC48=2,30,0),IF(51=$HK48,IF($JC48=1,30,0),ABS(3-$HC48)*100)),100000+ABS(3-$HB48)*1000+30)),IF($HD48=0,999999,IF(3=$HE48,IF(51=$HL48,IF($JD48=2,30,0),IF(51=$HM48,IF($JD48=1,30,0),ABS(3-$HF48)*100)),100000+ABS(3-$HE48)*1000+30)),IF($HG48=0,999999,IF(3=$HH48,IF(51=$HN48,IF($JE48=2,30,0),IF(51=$HO48,IF($JE48=1,30,0),ABS(3-$HI48)*100)),100000+ABS(3-$HH48)*1000+30)))-IF((51=$HJ48)+(51=$HK48)+(51=$HL48)+(51=$HM48)+(51=$HN48)+(51=$HO48)&gt;=2,50,0))+BB$5*50)</f>
        <v/>
      </c>
      <c r="BC168">
        <f>IF(OR($JF48=0,calcA!$A$6=0),0,IF(OR(52=$HA48,52=$HD48,52=$HG48),200000,MIN(IF($HA48=0,999999,IF(3=$HB48,IF(52=$HJ48,IF($JC48=2,30,0),IF(52=$HK48,IF($JC48=1,30,0),ABS(4-$HC48)*100)),100000+ABS(3-$HB48)*1000+40)),IF($HD48=0,999999,IF(3=$HE48,IF(52=$HL48,IF($JD48=2,30,0),IF(52=$HM48,IF($JD48=1,30,0),ABS(4-$HF48)*100)),100000+ABS(3-$HE48)*1000+40)),IF($HG48=0,999999,IF(3=$HH48,IF(52=$HN48,IF($JE48=2,30,0),IF(52=$HO48,IF($JE48=1,30,0),ABS(4-$HI48)*100)),100000+ABS(3-$HH48)*1000+40)))-IF((52=$HJ48)+(52=$HK48)+(52=$HL48)+(52=$HM48)+(52=$HN48)+(52=$HO48)&gt;=2,50,0))+BC$5*50)</f>
        <v/>
      </c>
      <c r="BD168">
        <f>IF(OR($JF48=0,calcA!$A$6=0),0,IF(OR(53=$HA48,53=$HD48,53=$HG48),200000,MIN(IF($HA48=0,999999,IF(3=$HB48,IF(53=$HJ48,IF($JC48=2,30,0),IF(53=$HK48,IF($JC48=1,30,0),ABS(5-$HC48)*100)),100000+ABS(3-$HB48)*1000+50)),IF($HD48=0,999999,IF(3=$HE48,IF(53=$HL48,IF($JD48=2,30,0),IF(53=$HM48,IF($JD48=1,30,0),ABS(5-$HF48)*100)),100000+ABS(3-$HE48)*1000+50)),IF($HG48=0,999999,IF(3=$HH48,IF(53=$HN48,IF($JE48=2,30,0),IF(53=$HO48,IF($JE48=1,30,0),ABS(5-$HI48)*100)),100000+ABS(3-$HH48)*1000+50)))-IF((53=$HJ48)+(53=$HK48)+(53=$HL48)+(53=$HM48)+(53=$HN48)+(53=$HO48)&gt;=2,50,0))+BD$5*50)</f>
        <v/>
      </c>
      <c r="BE168">
        <f>IF(OR($JF48=0,calcA!$A$6=0),0,IF(OR(54=$HA48,54=$HD48,54=$HG48),200000,MIN(IF($HA48=0,999999,IF(3=$HB48,IF(54=$HJ48,IF($JC48=2,30,0),IF(54=$HK48,IF($JC48=1,30,0),ABS(6-$HC48)*100)),100000+ABS(3-$HB48)*1000+60)),IF($HD48=0,999999,IF(3=$HE48,IF(54=$HL48,IF($JD48=2,30,0),IF(54=$HM48,IF($JD48=1,30,0),ABS(6-$HF48)*100)),100000+ABS(3-$HE48)*1000+60)),IF($HG48=0,999999,IF(3=$HH48,IF(54=$HN48,IF($JE48=2,30,0),IF(54=$HO48,IF($JE48=1,30,0),ABS(6-$HI48)*100)),100000+ABS(3-$HH48)*1000+60)))-IF((54=$HJ48)+(54=$HK48)+(54=$HL48)+(54=$HM48)+(54=$HN48)+(54=$HO48)&gt;=2,50,0))+BE$5*50)</f>
        <v/>
      </c>
      <c r="BF168">
        <f>IF(OR($JF48=0,calcA!$A$6=0),0,IF(OR(55=$HA48,55=$HD48,55=$HG48),200000,MIN(IF($HA48=0,999999,IF(3=$HB48,IF(55=$HJ48,IF($JC48=2,30,0),IF(55=$HK48,IF($JC48=1,30,0),ABS(7-$HC48)*100)),100000+ABS(3-$HB48)*1000+70)),IF($HD48=0,999999,IF(3=$HE48,IF(55=$HL48,IF($JD48=2,30,0),IF(55=$HM48,IF($JD48=1,30,0),ABS(7-$HF48)*100)),100000+ABS(3-$HE48)*1000+70)),IF($HG48=0,999999,IF(3=$HH48,IF(55=$HN48,IF($JE48=2,30,0),IF(55=$HO48,IF($JE48=1,30,0),ABS(7-$HI48)*100)),100000+ABS(3-$HH48)*1000+70)))-IF((55=$HJ48)+(55=$HK48)+(55=$HL48)+(55=$HM48)+(55=$HN48)+(55=$HO48)&gt;=2,50,0))+BF$5*50)</f>
        <v/>
      </c>
      <c r="BG168">
        <f>IF(OR($JF48=0,calcA!$A$6=0),0,IF(OR(56=$HA48,56=$HD48,56=$HG48),200000,MIN(IF($HA48=0,999999,IF(3=$HB48,IF(56=$HJ48,IF($JC48=2,30,0),IF(56=$HK48,IF($JC48=1,30,0),ABS(8-$HC48)*100)),100000+ABS(3-$HB48)*1000+80)),IF($HD48=0,999999,IF(3=$HE48,IF(56=$HL48,IF($JD48=2,30,0),IF(56=$HM48,IF($JD48=1,30,0),ABS(8-$HF48)*100)),100000+ABS(3-$HE48)*1000+80)),IF($HG48=0,999999,IF(3=$HH48,IF(56=$HN48,IF($JE48=2,30,0),IF(56=$HO48,IF($JE48=1,30,0),ABS(8-$HI48)*100)),100000+ABS(3-$HH48)*1000+80)))-IF((56=$HJ48)+(56=$HK48)+(56=$HL48)+(56=$HM48)+(56=$HN48)+(56=$HO48)&gt;=2,50,0))+BG$5*50)</f>
        <v/>
      </c>
      <c r="BH168">
        <f>IF(OR($JF48=0,calcA!$A$6=0),0,IF(OR(57=$HA48,57=$HD48,57=$HG48),200000,MIN(IF($HA48=0,999999,IF(3=$HB48,IF(57=$HJ48,IF($JC48=2,30,0),IF(57=$HK48,IF($JC48=1,30,0),ABS(9-$HC48)*100)),100000+ABS(3-$HB48)*1000+90)),IF($HD48=0,999999,IF(3=$HE48,IF(57=$HL48,IF($JD48=2,30,0),IF(57=$HM48,IF($JD48=1,30,0),ABS(9-$HF48)*100)),100000+ABS(3-$HE48)*1000+90)),IF($HG48=0,999999,IF(3=$HH48,IF(57=$HN48,IF($JE48=2,30,0),IF(57=$HO48,IF($JE48=1,30,0),ABS(9-$HI48)*100)),100000+ABS(3-$HH48)*1000+90)))-IF((57=$HJ48)+(57=$HK48)+(57=$HL48)+(57=$HM48)+(57=$HN48)+(57=$HO48)&gt;=2,50,0))+BH$5*50)</f>
        <v/>
      </c>
      <c r="BI168">
        <f>IF(OR($JF48=0,calcA!$A$6=0),0,IF(OR(58=$HA48,58=$HD48,58=$HG48),200000,MIN(IF($HA48=0,999999,IF(3=$HB48,IF(58=$HJ48,IF($JC48=2,30,0),IF(58=$HK48,IF($JC48=1,30,0),ABS(10-$HC48)*100)),100000+ABS(3-$HB48)*1000+100)),IF($HD48=0,999999,IF(3=$HE48,IF(58=$HL48,IF($JD48=2,30,0),IF(58=$HM48,IF($JD48=1,30,0),ABS(10-$HF48)*100)),100000+ABS(3-$HE48)*1000+100)),IF($HG48=0,999999,IF(3=$HH48,IF(58=$HN48,IF($JE48=2,30,0),IF(58=$HO48,IF($JE48=1,30,0),ABS(10-$HI48)*100)),100000+ABS(3-$HH48)*1000+100)))-IF((58=$HJ48)+(58=$HK48)+(58=$HL48)+(58=$HM48)+(58=$HN48)+(58=$HO48)&gt;=2,50,0))+BI$5*50)</f>
        <v/>
      </c>
      <c r="BJ168">
        <f>IF(OR($JF48=0,calcA!$A$6=0),0,IF(OR(59=$HA48,59=$HD48,59=$HG48),200000,MIN(IF($HA48=0,999999,IF(3=$HB48,IF(59=$HJ48,IF($JC48=2,30,0),IF(59=$HK48,IF($JC48=1,30,0),ABS(11-$HC48)*100)),100000+ABS(3-$HB48)*1000+110)),IF($HD48=0,999999,IF(3=$HE48,IF(59=$HL48,IF($JD48=2,30,0),IF(59=$HM48,IF($JD48=1,30,0),ABS(11-$HF48)*100)),100000+ABS(3-$HE48)*1000+110)),IF($HG48=0,999999,IF(3=$HH48,IF(59=$HN48,IF($JE48=2,30,0),IF(59=$HO48,IF($JE48=1,30,0),ABS(11-$HI48)*100)),100000+ABS(3-$HH48)*1000+110)))-IF((59=$HJ48)+(59=$HK48)+(59=$HL48)+(59=$HM48)+(59=$HN48)+(59=$HO48)&gt;=2,50,0))+BJ$5*50)</f>
        <v/>
      </c>
      <c r="BK168">
        <f>IF(OR($JF48=0,calcA!$A$6=0),0,IF(OR(60=$HA48,60=$HD48,60=$HG48),200000,MIN(IF($HA48=0,999999,IF(3=$HB48,IF(60=$HJ48,IF($JC48=2,30,0),IF(60=$HK48,IF($JC48=1,30,0),ABS(12-$HC48)*100)),100000+ABS(3-$HB48)*1000+120)),IF($HD48=0,999999,IF(3=$HE48,IF(60=$HL48,IF($JD48=2,30,0),IF(60=$HM48,IF($JD48=1,30,0),ABS(12-$HF48)*100)),100000+ABS(3-$HE48)*1000+120)),IF($HG48=0,999999,IF(3=$HH48,IF(60=$HN48,IF($JE48=2,30,0),IF(60=$HO48,IF($JE48=1,30,0),ABS(12-$HI48)*100)),100000+ABS(3-$HH48)*1000+120)))-IF((60=$HJ48)+(60=$HK48)+(60=$HL48)+(60=$HM48)+(60=$HN48)+(60=$HO48)&gt;=2,50,0))+BK$5*50)</f>
        <v/>
      </c>
      <c r="BL168">
        <f>IF(OR($JF48=0,calcA!$A$6=0),0,IF(OR(61=$HA48,61=$HD48,61=$HG48),200000,MIN(IF($HA48=0,999999,IF(3=$HB48,IF(61=$HJ48,IF($JC48=2,30,0),IF(61=$HK48,IF($JC48=1,30,0),ABS(13-$HC48)*100)),100000+ABS(3-$HB48)*1000+130)),IF($HD48=0,999999,IF(3=$HE48,IF(61=$HL48,IF($JD48=2,30,0),IF(61=$HM48,IF($JD48=1,30,0),ABS(13-$HF48)*100)),100000+ABS(3-$HE48)*1000+130)),IF($HG48=0,999999,IF(3=$HH48,IF(61=$HN48,IF($JE48=2,30,0),IF(61=$HO48,IF($JE48=1,30,0),ABS(13-$HI48)*100)),100000+ABS(3-$HH48)*1000+130)))-IF((61=$HJ48)+(61=$HK48)+(61=$HL48)+(61=$HM48)+(61=$HN48)+(61=$HO48)&gt;=2,50,0))+BL$5*50)</f>
        <v/>
      </c>
      <c r="BM168">
        <f>IF(OR($JF48=0,calcA!$A$6=0),0,IF(OR(62=$HA48,62=$HD48,62=$HG48),200000,MIN(IF($HA48=0,999999,IF(3=$HB48,IF(62=$HJ48,IF($JC48=2,30,0),IF(62=$HK48,IF($JC48=1,30,0),ABS(14-$HC48)*100)),100000+ABS(3-$HB48)*1000+140)),IF($HD48=0,999999,IF(3=$HE48,IF(62=$HL48,IF($JD48=2,30,0),IF(62=$HM48,IF($JD48=1,30,0),ABS(14-$HF48)*100)),100000+ABS(3-$HE48)*1000+140)),IF($HG48=0,999999,IF(3=$HH48,IF(62=$HN48,IF($JE48=2,30,0),IF(62=$HO48,IF($JE48=1,30,0),ABS(14-$HI48)*100)),100000+ABS(3-$HH48)*1000+140)))-IF((62=$HJ48)+(62=$HK48)+(62=$HL48)+(62=$HM48)+(62=$HN48)+(62=$HO48)&gt;=2,50,0))+BM$5*50)</f>
        <v/>
      </c>
      <c r="BN168">
        <f>IF(OR($JF48=0,calcA!$A$6=0),0,IF(OR(63=$HA48,63=$HD48,63=$HG48),200000,MIN(IF($HA48=0,999999,IF(3=$HB48,IF(63=$HJ48,IF($JC48=2,30,0),IF(63=$HK48,IF($JC48=1,30,0),ABS(15-$HC48)*100)),100000+ABS(3-$HB48)*1000+150)),IF($HD48=0,999999,IF(3=$HE48,IF(63=$HL48,IF($JD48=2,30,0),IF(63=$HM48,IF($JD48=1,30,0),ABS(15-$HF48)*100)),100000+ABS(3-$HE48)*1000+150)),IF($HG48=0,999999,IF(3=$HH48,IF(63=$HN48,IF($JE48=2,30,0),IF(63=$HO48,IF($JE48=1,30,0),ABS(15-$HI48)*100)),100000+ABS(3-$HH48)*1000+150)))-IF((63=$HJ48)+(63=$HK48)+(63=$HL48)+(63=$HM48)+(63=$HN48)+(63=$HO48)&gt;=2,50,0))+BN$5*50)</f>
        <v/>
      </c>
      <c r="BO168">
        <f>IF(OR($JF48=0,calcA!$A$6=0),0,IF(OR(64=$HA48,64=$HD48,64=$HG48),200000,MIN(IF($HA48=0,999999,IF(3=$HB48,IF(64=$HJ48,IF($JC48=2,30,0),IF(64=$HK48,IF($JC48=1,30,0),ABS(16-$HC48)*100)),100000+ABS(3-$HB48)*1000+160)),IF($HD48=0,999999,IF(3=$HE48,IF(64=$HL48,IF($JD48=2,30,0),IF(64=$HM48,IF($JD48=1,30,0),ABS(16-$HF48)*100)),100000+ABS(3-$HE48)*1000+160)),IF($HG48=0,999999,IF(3=$HH48,IF(64=$HN48,IF($JE48=2,30,0),IF(64=$HO48,IF($JE48=1,30,0),ABS(16-$HI48)*100)),100000+ABS(3-$HH48)*1000+160)))-IF((64=$HJ48)+(64=$HK48)+(64=$HL48)+(64=$HM48)+(64=$HN48)+(64=$HO48)&gt;=2,50,0))+BO$5*50)</f>
        <v/>
      </c>
      <c r="BP168">
        <f>IF(OR($JF48=0,calcA!$A$6=0),0,IF(OR(65=$HA48,65=$HD48,65=$HG48),200000,MIN(IF($HA48=0,999999,IF(3=$HB48,IF(65=$HJ48,IF($JC48=2,30,0),IF(65=$HK48,IF($JC48=1,30,0),ABS(17-$HC48)*100)),100000+ABS(3-$HB48)*1000+170)),IF($HD48=0,999999,IF(3=$HE48,IF(65=$HL48,IF($JD48=2,30,0),IF(65=$HM48,IF($JD48=1,30,0),ABS(17-$HF48)*100)),100000+ABS(3-$HE48)*1000+170)),IF($HG48=0,999999,IF(3=$HH48,IF(65=$HN48,IF($JE48=2,30,0),IF(65=$HO48,IF($JE48=1,30,0),ABS(17-$HI48)*100)),100000+ABS(3-$HH48)*1000+170)))-IF((65=$HJ48)+(65=$HK48)+(65=$HL48)+(65=$HM48)+(65=$HN48)+(65=$HO48)&gt;=2,50,0))+BP$5*50)</f>
        <v/>
      </c>
      <c r="BQ168">
        <f>IF(OR($JF48=0,calcA!$A$6=0),0,IF(OR(66=$HA48,66=$HD48,66=$HG48),200000,MIN(IF($HA48=0,999999,IF(3=$HB48,IF(66=$HJ48,IF($JC48=2,30,0),IF(66=$HK48,IF($JC48=1,30,0),ABS(18-$HC48)*100)),100000+ABS(3-$HB48)*1000+180)),IF($HD48=0,999999,IF(3=$HE48,IF(66=$HL48,IF($JD48=2,30,0),IF(66=$HM48,IF($JD48=1,30,0),ABS(18-$HF48)*100)),100000+ABS(3-$HE48)*1000+180)),IF($HG48=0,999999,IF(3=$HH48,IF(66=$HN48,IF($JE48=2,30,0),IF(66=$HO48,IF($JE48=1,30,0),ABS(18-$HI48)*100)),100000+ABS(3-$HH48)*1000+180)))-IF((66=$HJ48)+(66=$HK48)+(66=$HL48)+(66=$HM48)+(66=$HN48)+(66=$HO48)&gt;=2,50,0))+BQ$5*50)</f>
        <v/>
      </c>
      <c r="BR168">
        <f>IF(OR($JF48=0,calcA!$A$6=0),0,IF(OR(67=$HA48,67=$HD48,67=$HG48),200000,MIN(IF($HA48=0,999999,IF(3=$HB48,IF(67=$HJ48,IF($JC48=2,30,0),IF(67=$HK48,IF($JC48=1,30,0),ABS(19-$HC48)*100)),100000+ABS(3-$HB48)*1000+190)),IF($HD48=0,999999,IF(3=$HE48,IF(67=$HL48,IF($JD48=2,30,0),IF(67=$HM48,IF($JD48=1,30,0),ABS(19-$HF48)*100)),100000+ABS(3-$HE48)*1000+190)),IF($HG48=0,999999,IF(3=$HH48,IF(67=$HN48,IF($JE48=2,30,0),IF(67=$HO48,IF($JE48=1,30,0),ABS(19-$HI48)*100)),100000+ABS(3-$HH48)*1000+190)))-IF((67=$HJ48)+(67=$HK48)+(67=$HL48)+(67=$HM48)+(67=$HN48)+(67=$HO48)&gt;=2,50,0))+BR$5*50)</f>
        <v/>
      </c>
      <c r="BS168">
        <f>IF(OR($JF48=0,calcA!$A$6=0),0,IF(OR(68=$HA48,68=$HD48,68=$HG48),200000,MIN(IF($HA48=0,999999,IF(3=$HB48,IF(68=$HJ48,IF($JC48=2,30,0),IF(68=$HK48,IF($JC48=1,30,0),ABS(20-$HC48)*100)),100000+ABS(3-$HB48)*1000+200)),IF($HD48=0,999999,IF(3=$HE48,IF(68=$HL48,IF($JD48=2,30,0),IF(68=$HM48,IF($JD48=1,30,0),ABS(20-$HF48)*100)),100000+ABS(3-$HE48)*1000+200)),IF($HG48=0,999999,IF(3=$HH48,IF(68=$HN48,IF($JE48=2,30,0),IF(68=$HO48,IF($JE48=1,30,0),ABS(20-$HI48)*100)),100000+ABS(3-$HH48)*1000+200)))-IF((68=$HJ48)+(68=$HK48)+(68=$HL48)+(68=$HM48)+(68=$HN48)+(68=$HO48)&gt;=2,50,0))+BS$5*50)</f>
        <v/>
      </c>
      <c r="BT168">
        <f>IF(OR($JF48=0,calcA!$A$6=0),0,IF(OR(69=$HA48,69=$HD48,69=$HG48),200000,MIN(IF($HA48=0,999999,IF(3=$HB48,IF(69=$HJ48,IF($JC48=2,30,0),IF(69=$HK48,IF($JC48=1,30,0),ABS(21-$HC48)*100)),100000+ABS(3-$HB48)*1000+210)),IF($HD48=0,999999,IF(3=$HE48,IF(69=$HL48,IF($JD48=2,30,0),IF(69=$HM48,IF($JD48=1,30,0),ABS(21-$HF48)*100)),100000+ABS(3-$HE48)*1000+210)),IF($HG48=0,999999,IF(3=$HH48,IF(69=$HN48,IF($JE48=2,30,0),IF(69=$HO48,IF($JE48=1,30,0),ABS(21-$HI48)*100)),100000+ABS(3-$HH48)*1000+210)))-IF((69=$HJ48)+(69=$HK48)+(69=$HL48)+(69=$HM48)+(69=$HN48)+(69=$HO48)&gt;=2,50,0))+BT$5*50)</f>
        <v/>
      </c>
      <c r="BU168">
        <f>IF(OR($JF48=0,calcA!$A$6=0),0,IF(OR(70=$HA48,70=$HD48,70=$HG48),200000,MIN(IF($HA48=0,999999,IF(3=$HB48,IF(70=$HJ48,IF($JC48=2,30,0),IF(70=$HK48,IF($JC48=1,30,0),ABS(22-$HC48)*100)),100000+ABS(3-$HB48)*1000+220)),IF($HD48=0,999999,IF(3=$HE48,IF(70=$HL48,IF($JD48=2,30,0),IF(70=$HM48,IF($JD48=1,30,0),ABS(22-$HF48)*100)),100000+ABS(3-$HE48)*1000+220)),IF($HG48=0,999999,IF(3=$HH48,IF(70=$HN48,IF($JE48=2,30,0),IF(70=$HO48,IF($JE48=1,30,0),ABS(22-$HI48)*100)),100000+ABS(3-$HH48)*1000+220)))-IF((70=$HJ48)+(70=$HK48)+(70=$HL48)+(70=$HM48)+(70=$HN48)+(70=$HO48)&gt;=2,50,0))+BU$5*50)</f>
        <v/>
      </c>
      <c r="BV168">
        <f>IF(OR($JF48=0,calcA!$A$6=0),0,IF(OR(71=$HA48,71=$HD48,71=$HG48),200000,MIN(IF($HA48=0,999999,IF(3=$HB48,IF(71=$HJ48,IF($JC48=2,30,0),IF(71=$HK48,IF($JC48=1,30,0),ABS(23-$HC48)*100)),100000+ABS(3-$HB48)*1000+230)),IF($HD48=0,999999,IF(3=$HE48,IF(71=$HL48,IF($JD48=2,30,0),IF(71=$HM48,IF($JD48=1,30,0),ABS(23-$HF48)*100)),100000+ABS(3-$HE48)*1000+230)),IF($HG48=0,999999,IF(3=$HH48,IF(71=$HN48,IF($JE48=2,30,0),IF(71=$HO48,IF($JE48=1,30,0),ABS(23-$HI48)*100)),100000+ABS(3-$HH48)*1000+230)))-IF((71=$HJ48)+(71=$HK48)+(71=$HL48)+(71=$HM48)+(71=$HN48)+(71=$HO48)&gt;=2,50,0))+BV$5*50)</f>
        <v/>
      </c>
      <c r="BW168">
        <f>IF(OR($JF48=0,calcA!$A$6=0),0,IF(OR(72=$HA48,72=$HD48,72=$HG48),200000,MIN(IF($HA48=0,999999,IF(3=$HB48,IF(72=$HJ48,IF($JC48=2,30,0),IF(72=$HK48,IF($JC48=1,30,0),ABS(24-$HC48)*100)),100000+ABS(3-$HB48)*1000+240)),IF($HD48=0,999999,IF(3=$HE48,IF(72=$HL48,IF($JD48=2,30,0),IF(72=$HM48,IF($JD48=1,30,0),ABS(24-$HF48)*100)),100000+ABS(3-$HE48)*1000+240)),IF($HG48=0,999999,IF(3=$HH48,IF(72=$HN48,IF($JE48=2,30,0),IF(72=$HO48,IF($JE48=1,30,0),ABS(24-$HI48)*100)),100000+ABS(3-$HH48)*1000+240)))-IF((72=$HJ48)+(72=$HK48)+(72=$HL48)+(72=$HM48)+(72=$HN48)+(72=$HO48)&gt;=2,50,0))+BW$5*50)</f>
        <v/>
      </c>
      <c r="BX168">
        <f>IF(OR($JF48=0,calcA!$A$6=0),0,IF(OR(73=$HA48,73=$HD48,73=$HG48),200000,MIN(IF($HA48=0,999999,IF(4=$HB48,IF(73=$HJ48,IF($JC48=2,30,0),IF(73=$HK48,IF($JC48=1,30,0),ABS(1-$HC48)*100)),100000+ABS(4-$HB48)*1000+10)),IF($HD48=0,999999,IF(4=$HE48,IF(73=$HL48,IF($JD48=2,30,0),IF(73=$HM48,IF($JD48=1,30,0),ABS(1-$HF48)*100)),100000+ABS(4-$HE48)*1000+10)),IF($HG48=0,999999,IF(4=$HH48,IF(73=$HN48,IF($JE48=2,30,0),IF(73=$HO48,IF($JE48=1,30,0),ABS(1-$HI48)*100)),100000+ABS(4-$HH48)*1000+10)))-IF((73=$HJ48)+(73=$HK48)+(73=$HL48)+(73=$HM48)+(73=$HN48)+(73=$HO48)&gt;=2,50,0))+BX$5*50)</f>
        <v/>
      </c>
      <c r="BY168">
        <f>IF(OR($JF48=0,calcA!$A$6=0),0,IF(OR(74=$HA48,74=$HD48,74=$HG48),200000,MIN(IF($HA48=0,999999,IF(4=$HB48,IF(74=$HJ48,IF($JC48=2,30,0),IF(74=$HK48,IF($JC48=1,30,0),ABS(2-$HC48)*100)),100000+ABS(4-$HB48)*1000+20)),IF($HD48=0,999999,IF(4=$HE48,IF(74=$HL48,IF($JD48=2,30,0),IF(74=$HM48,IF($JD48=1,30,0),ABS(2-$HF48)*100)),100000+ABS(4-$HE48)*1000+20)),IF($HG48=0,999999,IF(4=$HH48,IF(74=$HN48,IF($JE48=2,30,0),IF(74=$HO48,IF($JE48=1,30,0),ABS(2-$HI48)*100)),100000+ABS(4-$HH48)*1000+20)))-IF((74=$HJ48)+(74=$HK48)+(74=$HL48)+(74=$HM48)+(74=$HN48)+(74=$HO48)&gt;=2,50,0))+BY$5*50)</f>
        <v/>
      </c>
      <c r="BZ168">
        <f>IF(OR($JF48=0,calcA!$A$6=0),0,IF(OR(75=$HA48,75=$HD48,75=$HG48),200000,MIN(IF($HA48=0,999999,IF(4=$HB48,IF(75=$HJ48,IF($JC48=2,30,0),IF(75=$HK48,IF($JC48=1,30,0),ABS(3-$HC48)*100)),100000+ABS(4-$HB48)*1000+30)),IF($HD48=0,999999,IF(4=$HE48,IF(75=$HL48,IF($JD48=2,30,0),IF(75=$HM48,IF($JD48=1,30,0),ABS(3-$HF48)*100)),100000+ABS(4-$HE48)*1000+30)),IF($HG48=0,999999,IF(4=$HH48,IF(75=$HN48,IF($JE48=2,30,0),IF(75=$HO48,IF($JE48=1,30,0),ABS(3-$HI48)*100)),100000+ABS(4-$HH48)*1000+30)))-IF((75=$HJ48)+(75=$HK48)+(75=$HL48)+(75=$HM48)+(75=$HN48)+(75=$HO48)&gt;=2,50,0))+BZ$5*50)</f>
        <v/>
      </c>
      <c r="CA168">
        <f>IF(OR($JF48=0,calcA!$A$6=0),0,IF(OR(76=$HA48,76=$HD48,76=$HG48),200000,MIN(IF($HA48=0,999999,IF(4=$HB48,IF(76=$HJ48,IF($JC48=2,30,0),IF(76=$HK48,IF($JC48=1,30,0),ABS(4-$HC48)*100)),100000+ABS(4-$HB48)*1000+40)),IF($HD48=0,999999,IF(4=$HE48,IF(76=$HL48,IF($JD48=2,30,0),IF(76=$HM48,IF($JD48=1,30,0),ABS(4-$HF48)*100)),100000+ABS(4-$HE48)*1000+40)),IF($HG48=0,999999,IF(4=$HH48,IF(76=$HN48,IF($JE48=2,30,0),IF(76=$HO48,IF($JE48=1,30,0),ABS(4-$HI48)*100)),100000+ABS(4-$HH48)*1000+40)))-IF((76=$HJ48)+(76=$HK48)+(76=$HL48)+(76=$HM48)+(76=$HN48)+(76=$HO48)&gt;=2,50,0))+CA$5*50)</f>
        <v/>
      </c>
      <c r="CB168">
        <f>IF(OR($JF48=0,calcA!$A$6=0),0,IF(OR(77=$HA48,77=$HD48,77=$HG48),200000,MIN(IF($HA48=0,999999,IF(4=$HB48,IF(77=$HJ48,IF($JC48=2,30,0),IF(77=$HK48,IF($JC48=1,30,0),ABS(5-$HC48)*100)),100000+ABS(4-$HB48)*1000+50)),IF($HD48=0,999999,IF(4=$HE48,IF(77=$HL48,IF($JD48=2,30,0),IF(77=$HM48,IF($JD48=1,30,0),ABS(5-$HF48)*100)),100000+ABS(4-$HE48)*1000+50)),IF($HG48=0,999999,IF(4=$HH48,IF(77=$HN48,IF($JE48=2,30,0),IF(77=$HO48,IF($JE48=1,30,0),ABS(5-$HI48)*100)),100000+ABS(4-$HH48)*1000+50)))-IF((77=$HJ48)+(77=$HK48)+(77=$HL48)+(77=$HM48)+(77=$HN48)+(77=$HO48)&gt;=2,50,0))+CB$5*50)</f>
        <v/>
      </c>
      <c r="CC168">
        <f>IF(OR($JF48=0,calcA!$A$6=0),0,IF(OR(78=$HA48,78=$HD48,78=$HG48),200000,MIN(IF($HA48=0,999999,IF(4=$HB48,IF(78=$HJ48,IF($JC48=2,30,0),IF(78=$HK48,IF($JC48=1,30,0),ABS(6-$HC48)*100)),100000+ABS(4-$HB48)*1000+60)),IF($HD48=0,999999,IF(4=$HE48,IF(78=$HL48,IF($JD48=2,30,0),IF(78=$HM48,IF($JD48=1,30,0),ABS(6-$HF48)*100)),100000+ABS(4-$HE48)*1000+60)),IF($HG48=0,999999,IF(4=$HH48,IF(78=$HN48,IF($JE48=2,30,0),IF(78=$HO48,IF($JE48=1,30,0),ABS(6-$HI48)*100)),100000+ABS(4-$HH48)*1000+60)))-IF((78=$HJ48)+(78=$HK48)+(78=$HL48)+(78=$HM48)+(78=$HN48)+(78=$HO48)&gt;=2,50,0))+CC$5*50)</f>
        <v/>
      </c>
      <c r="CD168">
        <f>IF(OR($JF48=0,calcA!$A$6=0),0,IF(OR(79=$HA48,79=$HD48,79=$HG48),200000,MIN(IF($HA48=0,999999,IF(4=$HB48,IF(79=$HJ48,IF($JC48=2,30,0),IF(79=$HK48,IF($JC48=1,30,0),ABS(7-$HC48)*100)),100000+ABS(4-$HB48)*1000+70)),IF($HD48=0,999999,IF(4=$HE48,IF(79=$HL48,IF($JD48=2,30,0),IF(79=$HM48,IF($JD48=1,30,0),ABS(7-$HF48)*100)),100000+ABS(4-$HE48)*1000+70)),IF($HG48=0,999999,IF(4=$HH48,IF(79=$HN48,IF($JE48=2,30,0),IF(79=$HO48,IF($JE48=1,30,0),ABS(7-$HI48)*100)),100000+ABS(4-$HH48)*1000+70)))-IF((79=$HJ48)+(79=$HK48)+(79=$HL48)+(79=$HM48)+(79=$HN48)+(79=$HO48)&gt;=2,50,0))+CD$5*50)</f>
        <v/>
      </c>
      <c r="CE168">
        <f>IF(OR($JF48=0,calcA!$A$6=0),0,IF(OR(80=$HA48,80=$HD48,80=$HG48),200000,MIN(IF($HA48=0,999999,IF(4=$HB48,IF(80=$HJ48,IF($JC48=2,30,0),IF(80=$HK48,IF($JC48=1,30,0),ABS(8-$HC48)*100)),100000+ABS(4-$HB48)*1000+80)),IF($HD48=0,999999,IF(4=$HE48,IF(80=$HL48,IF($JD48=2,30,0),IF(80=$HM48,IF($JD48=1,30,0),ABS(8-$HF48)*100)),100000+ABS(4-$HE48)*1000+80)),IF($HG48=0,999999,IF(4=$HH48,IF(80=$HN48,IF($JE48=2,30,0),IF(80=$HO48,IF($JE48=1,30,0),ABS(8-$HI48)*100)),100000+ABS(4-$HH48)*1000+80)))-IF((80=$HJ48)+(80=$HK48)+(80=$HL48)+(80=$HM48)+(80=$HN48)+(80=$HO48)&gt;=2,50,0))+CE$5*50)</f>
        <v/>
      </c>
      <c r="CF168">
        <f>IF(OR($JF48=0,calcA!$A$6=0),0,IF(OR(81=$HA48,81=$HD48,81=$HG48),200000,MIN(IF($HA48=0,999999,IF(4=$HB48,IF(81=$HJ48,IF($JC48=2,30,0),IF(81=$HK48,IF($JC48=1,30,0),ABS(9-$HC48)*100)),100000+ABS(4-$HB48)*1000+90)),IF($HD48=0,999999,IF(4=$HE48,IF(81=$HL48,IF($JD48=2,30,0),IF(81=$HM48,IF($JD48=1,30,0),ABS(9-$HF48)*100)),100000+ABS(4-$HE48)*1000+90)),IF($HG48=0,999999,IF(4=$HH48,IF(81=$HN48,IF($JE48=2,30,0),IF(81=$HO48,IF($JE48=1,30,0),ABS(9-$HI48)*100)),100000+ABS(4-$HH48)*1000+90)))-IF((81=$HJ48)+(81=$HK48)+(81=$HL48)+(81=$HM48)+(81=$HN48)+(81=$HO48)&gt;=2,50,0))+CF$5*50)</f>
        <v/>
      </c>
      <c r="CG168">
        <f>IF(OR($JF48=0,calcA!$A$6=0),0,IF(OR(82=$HA48,82=$HD48,82=$HG48),200000,MIN(IF($HA48=0,999999,IF(4=$HB48,IF(82=$HJ48,IF($JC48=2,30,0),IF(82=$HK48,IF($JC48=1,30,0),ABS(10-$HC48)*100)),100000+ABS(4-$HB48)*1000+100)),IF($HD48=0,999999,IF(4=$HE48,IF(82=$HL48,IF($JD48=2,30,0),IF(82=$HM48,IF($JD48=1,30,0),ABS(10-$HF48)*100)),100000+ABS(4-$HE48)*1000+100)),IF($HG48=0,999999,IF(4=$HH48,IF(82=$HN48,IF($JE48=2,30,0),IF(82=$HO48,IF($JE48=1,30,0),ABS(10-$HI48)*100)),100000+ABS(4-$HH48)*1000+100)))-IF((82=$HJ48)+(82=$HK48)+(82=$HL48)+(82=$HM48)+(82=$HN48)+(82=$HO48)&gt;=2,50,0))+CG$5*50)</f>
        <v/>
      </c>
      <c r="CH168">
        <f>IF(OR($JF48=0,calcA!$A$6=0),0,IF(OR(83=$HA48,83=$HD48,83=$HG48),200000,MIN(IF($HA48=0,999999,IF(4=$HB48,IF(83=$HJ48,IF($JC48=2,30,0),IF(83=$HK48,IF($JC48=1,30,0),ABS(11-$HC48)*100)),100000+ABS(4-$HB48)*1000+110)),IF($HD48=0,999999,IF(4=$HE48,IF(83=$HL48,IF($JD48=2,30,0),IF(83=$HM48,IF($JD48=1,30,0),ABS(11-$HF48)*100)),100000+ABS(4-$HE48)*1000+110)),IF($HG48=0,999999,IF(4=$HH48,IF(83=$HN48,IF($JE48=2,30,0),IF(83=$HO48,IF($JE48=1,30,0),ABS(11-$HI48)*100)),100000+ABS(4-$HH48)*1000+110)))-IF((83=$HJ48)+(83=$HK48)+(83=$HL48)+(83=$HM48)+(83=$HN48)+(83=$HO48)&gt;=2,50,0))+CH$5*50)</f>
        <v/>
      </c>
      <c r="CI168">
        <f>IF(OR($JF48=0,calcA!$A$6=0),0,IF(OR(84=$HA48,84=$HD48,84=$HG48),200000,MIN(IF($HA48=0,999999,IF(4=$HB48,IF(84=$HJ48,IF($JC48=2,30,0),IF(84=$HK48,IF($JC48=1,30,0),ABS(12-$HC48)*100)),100000+ABS(4-$HB48)*1000+120)),IF($HD48=0,999999,IF(4=$HE48,IF(84=$HL48,IF($JD48=2,30,0),IF(84=$HM48,IF($JD48=1,30,0),ABS(12-$HF48)*100)),100000+ABS(4-$HE48)*1000+120)),IF($HG48=0,999999,IF(4=$HH48,IF(84=$HN48,IF($JE48=2,30,0),IF(84=$HO48,IF($JE48=1,30,0),ABS(12-$HI48)*100)),100000+ABS(4-$HH48)*1000+120)))-IF((84=$HJ48)+(84=$HK48)+(84=$HL48)+(84=$HM48)+(84=$HN48)+(84=$HO48)&gt;=2,50,0))+CI$5*50)</f>
        <v/>
      </c>
      <c r="CJ168">
        <f>IF(OR($JF48=0,calcA!$A$6=0),0,IF(OR(85=$HA48,85=$HD48,85=$HG48),200000,MIN(IF($HA48=0,999999,IF(4=$HB48,IF(85=$HJ48,IF($JC48=2,30,0),IF(85=$HK48,IF($JC48=1,30,0),ABS(13-$HC48)*100)),100000+ABS(4-$HB48)*1000+130)),IF($HD48=0,999999,IF(4=$HE48,IF(85=$HL48,IF($JD48=2,30,0),IF(85=$HM48,IF($JD48=1,30,0),ABS(13-$HF48)*100)),100000+ABS(4-$HE48)*1000+130)),IF($HG48=0,999999,IF(4=$HH48,IF(85=$HN48,IF($JE48=2,30,0),IF(85=$HO48,IF($JE48=1,30,0),ABS(13-$HI48)*100)),100000+ABS(4-$HH48)*1000+130)))-IF((85=$HJ48)+(85=$HK48)+(85=$HL48)+(85=$HM48)+(85=$HN48)+(85=$HO48)&gt;=2,50,0))+CJ$5*50)</f>
        <v/>
      </c>
      <c r="CK168">
        <f>IF(OR($JF48=0,calcA!$A$6=0),0,IF(OR(86=$HA48,86=$HD48,86=$HG48),200000,MIN(IF($HA48=0,999999,IF(4=$HB48,IF(86=$HJ48,IF($JC48=2,30,0),IF(86=$HK48,IF($JC48=1,30,0),ABS(14-$HC48)*100)),100000+ABS(4-$HB48)*1000+140)),IF($HD48=0,999999,IF(4=$HE48,IF(86=$HL48,IF($JD48=2,30,0),IF(86=$HM48,IF($JD48=1,30,0),ABS(14-$HF48)*100)),100000+ABS(4-$HE48)*1000+140)),IF($HG48=0,999999,IF(4=$HH48,IF(86=$HN48,IF($JE48=2,30,0),IF(86=$HO48,IF($JE48=1,30,0),ABS(14-$HI48)*100)),100000+ABS(4-$HH48)*1000+140)))-IF((86=$HJ48)+(86=$HK48)+(86=$HL48)+(86=$HM48)+(86=$HN48)+(86=$HO48)&gt;=2,50,0))+CK$5*50)</f>
        <v/>
      </c>
      <c r="CL168">
        <f>IF(OR($JF48=0,calcA!$A$6=0),0,IF(OR(87=$HA48,87=$HD48,87=$HG48),200000,MIN(IF($HA48=0,999999,IF(4=$HB48,IF(87=$HJ48,IF($JC48=2,30,0),IF(87=$HK48,IF($JC48=1,30,0),ABS(15-$HC48)*100)),100000+ABS(4-$HB48)*1000+150)),IF($HD48=0,999999,IF(4=$HE48,IF(87=$HL48,IF($JD48=2,30,0),IF(87=$HM48,IF($JD48=1,30,0),ABS(15-$HF48)*100)),100000+ABS(4-$HE48)*1000+150)),IF($HG48=0,999999,IF(4=$HH48,IF(87=$HN48,IF($JE48=2,30,0),IF(87=$HO48,IF($JE48=1,30,0),ABS(15-$HI48)*100)),100000+ABS(4-$HH48)*1000+150)))-IF((87=$HJ48)+(87=$HK48)+(87=$HL48)+(87=$HM48)+(87=$HN48)+(87=$HO48)&gt;=2,50,0))+CL$5*50)</f>
        <v/>
      </c>
      <c r="CM168">
        <f>IF(OR($JF48=0,calcA!$A$6=0),0,IF(OR(88=$HA48,88=$HD48,88=$HG48),200000,MIN(IF($HA48=0,999999,IF(4=$HB48,IF(88=$HJ48,IF($JC48=2,30,0),IF(88=$HK48,IF($JC48=1,30,0),ABS(16-$HC48)*100)),100000+ABS(4-$HB48)*1000+160)),IF($HD48=0,999999,IF(4=$HE48,IF(88=$HL48,IF($JD48=2,30,0),IF(88=$HM48,IF($JD48=1,30,0),ABS(16-$HF48)*100)),100000+ABS(4-$HE48)*1000+160)),IF($HG48=0,999999,IF(4=$HH48,IF(88=$HN48,IF($JE48=2,30,0),IF(88=$HO48,IF($JE48=1,30,0),ABS(16-$HI48)*100)),100000+ABS(4-$HH48)*1000+160)))-IF((88=$HJ48)+(88=$HK48)+(88=$HL48)+(88=$HM48)+(88=$HN48)+(88=$HO48)&gt;=2,50,0))+CM$5*50)</f>
        <v/>
      </c>
      <c r="CN168">
        <f>IF(OR($JF48=0,calcA!$A$6=0),0,IF(OR(89=$HA48,89=$HD48,89=$HG48),200000,MIN(IF($HA48=0,999999,IF(4=$HB48,IF(89=$HJ48,IF($JC48=2,30,0),IF(89=$HK48,IF($JC48=1,30,0),ABS(17-$HC48)*100)),100000+ABS(4-$HB48)*1000+170)),IF($HD48=0,999999,IF(4=$HE48,IF(89=$HL48,IF($JD48=2,30,0),IF(89=$HM48,IF($JD48=1,30,0),ABS(17-$HF48)*100)),100000+ABS(4-$HE48)*1000+170)),IF($HG48=0,999999,IF(4=$HH48,IF(89=$HN48,IF($JE48=2,30,0),IF(89=$HO48,IF($JE48=1,30,0),ABS(17-$HI48)*100)),100000+ABS(4-$HH48)*1000+170)))-IF((89=$HJ48)+(89=$HK48)+(89=$HL48)+(89=$HM48)+(89=$HN48)+(89=$HO48)&gt;=2,50,0))+CN$5*50)</f>
        <v/>
      </c>
      <c r="CO168">
        <f>IF(OR($JF48=0,calcA!$A$6=0),0,IF(OR(90=$HA48,90=$HD48,90=$HG48),200000,MIN(IF($HA48=0,999999,IF(4=$HB48,IF(90=$HJ48,IF($JC48=2,30,0),IF(90=$HK48,IF($JC48=1,30,0),ABS(18-$HC48)*100)),100000+ABS(4-$HB48)*1000+180)),IF($HD48=0,999999,IF(4=$HE48,IF(90=$HL48,IF($JD48=2,30,0),IF(90=$HM48,IF($JD48=1,30,0),ABS(18-$HF48)*100)),100000+ABS(4-$HE48)*1000+180)),IF($HG48=0,999999,IF(4=$HH48,IF(90=$HN48,IF($JE48=2,30,0),IF(90=$HO48,IF($JE48=1,30,0),ABS(18-$HI48)*100)),100000+ABS(4-$HH48)*1000+180)))-IF((90=$HJ48)+(90=$HK48)+(90=$HL48)+(90=$HM48)+(90=$HN48)+(90=$HO48)&gt;=2,50,0))+CO$5*50)</f>
        <v/>
      </c>
      <c r="CP168">
        <f>IF(OR($JF48=0,calcA!$A$6=0),0,IF(OR(91=$HA48,91=$HD48,91=$HG48),200000,MIN(IF($HA48=0,999999,IF(4=$HB48,IF(91=$HJ48,IF($JC48=2,30,0),IF(91=$HK48,IF($JC48=1,30,0),ABS(19-$HC48)*100)),100000+ABS(4-$HB48)*1000+190)),IF($HD48=0,999999,IF(4=$HE48,IF(91=$HL48,IF($JD48=2,30,0),IF(91=$HM48,IF($JD48=1,30,0),ABS(19-$HF48)*100)),100000+ABS(4-$HE48)*1000+190)),IF($HG48=0,999999,IF(4=$HH48,IF(91=$HN48,IF($JE48=2,30,0),IF(91=$HO48,IF($JE48=1,30,0),ABS(19-$HI48)*100)),100000+ABS(4-$HH48)*1000+190)))-IF((91=$HJ48)+(91=$HK48)+(91=$HL48)+(91=$HM48)+(91=$HN48)+(91=$HO48)&gt;=2,50,0))+CP$5*50)</f>
        <v/>
      </c>
      <c r="CQ168">
        <f>IF(OR($JF48=0,calcA!$A$6=0),0,IF(OR(92=$HA48,92=$HD48,92=$HG48),200000,MIN(IF($HA48=0,999999,IF(4=$HB48,IF(92=$HJ48,IF($JC48=2,30,0),IF(92=$HK48,IF($JC48=1,30,0),ABS(20-$HC48)*100)),100000+ABS(4-$HB48)*1000+200)),IF($HD48=0,999999,IF(4=$HE48,IF(92=$HL48,IF($JD48=2,30,0),IF(92=$HM48,IF($JD48=1,30,0),ABS(20-$HF48)*100)),100000+ABS(4-$HE48)*1000+200)),IF($HG48=0,999999,IF(4=$HH48,IF(92=$HN48,IF($JE48=2,30,0),IF(92=$HO48,IF($JE48=1,30,0),ABS(20-$HI48)*100)),100000+ABS(4-$HH48)*1000+200)))-IF((92=$HJ48)+(92=$HK48)+(92=$HL48)+(92=$HM48)+(92=$HN48)+(92=$HO48)&gt;=2,50,0))+CQ$5*50)</f>
        <v/>
      </c>
      <c r="CR168">
        <f>IF(OR($JF48=0,calcA!$A$6=0),0,IF(OR(93=$HA48,93=$HD48,93=$HG48),200000,MIN(IF($HA48=0,999999,IF(4=$HB48,IF(93=$HJ48,IF($JC48=2,30,0),IF(93=$HK48,IF($JC48=1,30,0),ABS(21-$HC48)*100)),100000+ABS(4-$HB48)*1000+210)),IF($HD48=0,999999,IF(4=$HE48,IF(93=$HL48,IF($JD48=2,30,0),IF(93=$HM48,IF($JD48=1,30,0),ABS(21-$HF48)*100)),100000+ABS(4-$HE48)*1000+210)),IF($HG48=0,999999,IF(4=$HH48,IF(93=$HN48,IF($JE48=2,30,0),IF(93=$HO48,IF($JE48=1,30,0),ABS(21-$HI48)*100)),100000+ABS(4-$HH48)*1000+210)))-IF((93=$HJ48)+(93=$HK48)+(93=$HL48)+(93=$HM48)+(93=$HN48)+(93=$HO48)&gt;=2,50,0))+CR$5*50)</f>
        <v/>
      </c>
      <c r="CS168">
        <f>IF(OR($JF48=0,calcA!$A$6=0),0,IF(OR(94=$HA48,94=$HD48,94=$HG48),200000,MIN(IF($HA48=0,999999,IF(4=$HB48,IF(94=$HJ48,IF($JC48=2,30,0),IF(94=$HK48,IF($JC48=1,30,0),ABS(22-$HC48)*100)),100000+ABS(4-$HB48)*1000+220)),IF($HD48=0,999999,IF(4=$HE48,IF(94=$HL48,IF($JD48=2,30,0),IF(94=$HM48,IF($JD48=1,30,0),ABS(22-$HF48)*100)),100000+ABS(4-$HE48)*1000+220)),IF($HG48=0,999999,IF(4=$HH48,IF(94=$HN48,IF($JE48=2,30,0),IF(94=$HO48,IF($JE48=1,30,0),ABS(22-$HI48)*100)),100000+ABS(4-$HH48)*1000+220)))-IF((94=$HJ48)+(94=$HK48)+(94=$HL48)+(94=$HM48)+(94=$HN48)+(94=$HO48)&gt;=2,50,0))+CS$5*50)</f>
        <v/>
      </c>
      <c r="CT168">
        <f>IF(OR($JF48=0,calcA!$A$6=0),0,IF(OR(95=$HA48,95=$HD48,95=$HG48),200000,MIN(IF($HA48=0,999999,IF(4=$HB48,IF(95=$HJ48,IF($JC48=2,30,0),IF(95=$HK48,IF($JC48=1,30,0),ABS(23-$HC48)*100)),100000+ABS(4-$HB48)*1000+230)),IF($HD48=0,999999,IF(4=$HE48,IF(95=$HL48,IF($JD48=2,30,0),IF(95=$HM48,IF($JD48=1,30,0),ABS(23-$HF48)*100)),100000+ABS(4-$HE48)*1000+230)),IF($HG48=0,999999,IF(4=$HH48,IF(95=$HN48,IF($JE48=2,30,0),IF(95=$HO48,IF($JE48=1,30,0),ABS(23-$HI48)*100)),100000+ABS(4-$HH48)*1000+230)))-IF((95=$HJ48)+(95=$HK48)+(95=$HL48)+(95=$HM48)+(95=$HN48)+(95=$HO48)&gt;=2,50,0))+CT$5*50)</f>
        <v/>
      </c>
      <c r="CU168">
        <f>IF(OR($JF48=0,calcA!$A$6=0),0,IF(OR(96=$HA48,96=$HD48,96=$HG48),200000,MIN(IF($HA48=0,999999,IF(4=$HB48,IF(96=$HJ48,IF($JC48=2,30,0),IF(96=$HK48,IF($JC48=1,30,0),ABS(24-$HC48)*100)),100000+ABS(4-$HB48)*1000+240)),IF($HD48=0,999999,IF(4=$HE48,IF(96=$HL48,IF($JD48=2,30,0),IF(96=$HM48,IF($JD48=1,30,0),ABS(24-$HF48)*100)),100000+ABS(4-$HE48)*1000+240)),IF($HG48=0,999999,IF(4=$HH48,IF(96=$HN48,IF($JE48=2,30,0),IF(96=$HO48,IF($JE48=1,30,0),ABS(24-$HI48)*100)),100000+ABS(4-$HH48)*1000+240)))-IF((96=$HJ48)+(96=$HK48)+(96=$HL48)+(96=$HM48)+(96=$HN48)+(96=$HO48)&gt;=2,50,0))+CU$5*50)</f>
        <v/>
      </c>
      <c r="CV168">
        <f>IF(OR($JF48=0,calcA!$A$6=0),0,IF(OR(97=$HA48,97=$HD48,97=$HG48),200000,MIN(IF($HA48=0,999999,IF(5=$HB48,IF(97=$HJ48,IF($JC48=2,30,0),IF(97=$HK48,IF($JC48=1,30,0),ABS(1-$HC48)*100)),100000+ABS(5-$HB48)*1000+10)),IF($HD48=0,999999,IF(5=$HE48,IF(97=$HL48,IF($JD48=2,30,0),IF(97=$HM48,IF($JD48=1,30,0),ABS(1-$HF48)*100)),100000+ABS(5-$HE48)*1000+10)),IF($HG48=0,999999,IF(5=$HH48,IF(97=$HN48,IF($JE48=2,30,0),IF(97=$HO48,IF($JE48=1,30,0),ABS(1-$HI48)*100)),100000+ABS(5-$HH48)*1000+10)))-IF((97=$HJ48)+(97=$HK48)+(97=$HL48)+(97=$HM48)+(97=$HN48)+(97=$HO48)&gt;=2,50,0))+CV$5*50)</f>
        <v/>
      </c>
      <c r="CW168">
        <f>IF(OR($JF48=0,calcA!$A$6=0),0,IF(OR(98=$HA48,98=$HD48,98=$HG48),200000,MIN(IF($HA48=0,999999,IF(5=$HB48,IF(98=$HJ48,IF($JC48=2,30,0),IF(98=$HK48,IF($JC48=1,30,0),ABS(2-$HC48)*100)),100000+ABS(5-$HB48)*1000+20)),IF($HD48=0,999999,IF(5=$HE48,IF(98=$HL48,IF($JD48=2,30,0),IF(98=$HM48,IF($JD48=1,30,0),ABS(2-$HF48)*100)),100000+ABS(5-$HE48)*1000+20)),IF($HG48=0,999999,IF(5=$HH48,IF(98=$HN48,IF($JE48=2,30,0),IF(98=$HO48,IF($JE48=1,30,0),ABS(2-$HI48)*100)),100000+ABS(5-$HH48)*1000+20)))-IF((98=$HJ48)+(98=$HK48)+(98=$HL48)+(98=$HM48)+(98=$HN48)+(98=$HO48)&gt;=2,50,0))+CW$5*50)</f>
        <v/>
      </c>
      <c r="CX168">
        <f>IF(OR($JF48=0,calcA!$A$6=0),0,IF(OR(99=$HA48,99=$HD48,99=$HG48),200000,MIN(IF($HA48=0,999999,IF(5=$HB48,IF(99=$HJ48,IF($JC48=2,30,0),IF(99=$HK48,IF($JC48=1,30,0),ABS(3-$HC48)*100)),100000+ABS(5-$HB48)*1000+30)),IF($HD48=0,999999,IF(5=$HE48,IF(99=$HL48,IF($JD48=2,30,0),IF(99=$HM48,IF($JD48=1,30,0),ABS(3-$HF48)*100)),100000+ABS(5-$HE48)*1000+30)),IF($HG48=0,999999,IF(5=$HH48,IF(99=$HN48,IF($JE48=2,30,0),IF(99=$HO48,IF($JE48=1,30,0),ABS(3-$HI48)*100)),100000+ABS(5-$HH48)*1000+30)))-IF((99=$HJ48)+(99=$HK48)+(99=$HL48)+(99=$HM48)+(99=$HN48)+(99=$HO48)&gt;=2,50,0))+CX$5*50)</f>
        <v/>
      </c>
      <c r="CY168">
        <f>IF(OR($JF48=0,calcA!$A$6=0),0,IF(OR(100=$HA48,100=$HD48,100=$HG48),200000,MIN(IF($HA48=0,999999,IF(5=$HB48,IF(100=$HJ48,IF($JC48=2,30,0),IF(100=$HK48,IF($JC48=1,30,0),ABS(4-$HC48)*100)),100000+ABS(5-$HB48)*1000+40)),IF($HD48=0,999999,IF(5=$HE48,IF(100=$HL48,IF($JD48=2,30,0),IF(100=$HM48,IF($JD48=1,30,0),ABS(4-$HF48)*100)),100000+ABS(5-$HE48)*1000+40)),IF($HG48=0,999999,IF(5=$HH48,IF(100=$HN48,IF($JE48=2,30,0),IF(100=$HO48,IF($JE48=1,30,0),ABS(4-$HI48)*100)),100000+ABS(5-$HH48)*1000+40)))-IF((100=$HJ48)+(100=$HK48)+(100=$HL48)+(100=$HM48)+(100=$HN48)+(100=$HO48)&gt;=2,50,0))+CY$5*50)</f>
        <v/>
      </c>
      <c r="CZ168">
        <f>IF(OR($JF48=0,calcA!$A$6=0),0,IF(OR(101=$HA48,101=$HD48,101=$HG48),200000,MIN(IF($HA48=0,999999,IF(5=$HB48,IF(101=$HJ48,IF($JC48=2,30,0),IF(101=$HK48,IF($JC48=1,30,0),ABS(5-$HC48)*100)),100000+ABS(5-$HB48)*1000+50)),IF($HD48=0,999999,IF(5=$HE48,IF(101=$HL48,IF($JD48=2,30,0),IF(101=$HM48,IF($JD48=1,30,0),ABS(5-$HF48)*100)),100000+ABS(5-$HE48)*1000+50)),IF($HG48=0,999999,IF(5=$HH48,IF(101=$HN48,IF($JE48=2,30,0),IF(101=$HO48,IF($JE48=1,30,0),ABS(5-$HI48)*100)),100000+ABS(5-$HH48)*1000+50)))-IF((101=$HJ48)+(101=$HK48)+(101=$HL48)+(101=$HM48)+(101=$HN48)+(101=$HO48)&gt;=2,50,0))+CZ$5*50)</f>
        <v/>
      </c>
      <c r="DA168">
        <f>IF(OR($JF48=0,calcA!$A$6=0),0,IF(OR(102=$HA48,102=$HD48,102=$HG48),200000,MIN(IF($HA48=0,999999,IF(5=$HB48,IF(102=$HJ48,IF($JC48=2,30,0),IF(102=$HK48,IF($JC48=1,30,0),ABS(6-$HC48)*100)),100000+ABS(5-$HB48)*1000+60)),IF($HD48=0,999999,IF(5=$HE48,IF(102=$HL48,IF($JD48=2,30,0),IF(102=$HM48,IF($JD48=1,30,0),ABS(6-$HF48)*100)),100000+ABS(5-$HE48)*1000+60)),IF($HG48=0,999999,IF(5=$HH48,IF(102=$HN48,IF($JE48=2,30,0),IF(102=$HO48,IF($JE48=1,30,0),ABS(6-$HI48)*100)),100000+ABS(5-$HH48)*1000+60)))-IF((102=$HJ48)+(102=$HK48)+(102=$HL48)+(102=$HM48)+(102=$HN48)+(102=$HO48)&gt;=2,50,0))+DA$5*50)</f>
        <v/>
      </c>
      <c r="DB168">
        <f>IF(OR($JF48=0,calcA!$A$6=0),0,IF(OR(103=$HA48,103=$HD48,103=$HG48),200000,MIN(IF($HA48=0,999999,IF(5=$HB48,IF(103=$HJ48,IF($JC48=2,30,0),IF(103=$HK48,IF($JC48=1,30,0),ABS(7-$HC48)*100)),100000+ABS(5-$HB48)*1000+70)),IF($HD48=0,999999,IF(5=$HE48,IF(103=$HL48,IF($JD48=2,30,0),IF(103=$HM48,IF($JD48=1,30,0),ABS(7-$HF48)*100)),100000+ABS(5-$HE48)*1000+70)),IF($HG48=0,999999,IF(5=$HH48,IF(103=$HN48,IF($JE48=2,30,0),IF(103=$HO48,IF($JE48=1,30,0),ABS(7-$HI48)*100)),100000+ABS(5-$HH48)*1000+70)))-IF((103=$HJ48)+(103=$HK48)+(103=$HL48)+(103=$HM48)+(103=$HN48)+(103=$HO48)&gt;=2,50,0))+DB$5*50)</f>
        <v/>
      </c>
      <c r="DC168">
        <f>IF(OR($JF48=0,calcA!$A$6=0),0,IF(OR(104=$HA48,104=$HD48,104=$HG48),200000,MIN(IF($HA48=0,999999,IF(5=$HB48,IF(104=$HJ48,IF($JC48=2,30,0),IF(104=$HK48,IF($JC48=1,30,0),ABS(8-$HC48)*100)),100000+ABS(5-$HB48)*1000+80)),IF($HD48=0,999999,IF(5=$HE48,IF(104=$HL48,IF($JD48=2,30,0),IF(104=$HM48,IF($JD48=1,30,0),ABS(8-$HF48)*100)),100000+ABS(5-$HE48)*1000+80)),IF($HG48=0,999999,IF(5=$HH48,IF(104=$HN48,IF($JE48=2,30,0),IF(104=$HO48,IF($JE48=1,30,0),ABS(8-$HI48)*100)),100000+ABS(5-$HH48)*1000+80)))-IF((104=$HJ48)+(104=$HK48)+(104=$HL48)+(104=$HM48)+(104=$HN48)+(104=$HO48)&gt;=2,50,0))+DC$5*50)</f>
        <v/>
      </c>
      <c r="DD168">
        <f>IF(OR($JF48=0,calcA!$A$6=0),0,IF(OR(105=$HA48,105=$HD48,105=$HG48),200000,MIN(IF($HA48=0,999999,IF(5=$HB48,IF(105=$HJ48,IF($JC48=2,30,0),IF(105=$HK48,IF($JC48=1,30,0),ABS(9-$HC48)*100)),100000+ABS(5-$HB48)*1000+90)),IF($HD48=0,999999,IF(5=$HE48,IF(105=$HL48,IF($JD48=2,30,0),IF(105=$HM48,IF($JD48=1,30,0),ABS(9-$HF48)*100)),100000+ABS(5-$HE48)*1000+90)),IF($HG48=0,999999,IF(5=$HH48,IF(105=$HN48,IF($JE48=2,30,0),IF(105=$HO48,IF($JE48=1,30,0),ABS(9-$HI48)*100)),100000+ABS(5-$HH48)*1000+90)))-IF((105=$HJ48)+(105=$HK48)+(105=$HL48)+(105=$HM48)+(105=$HN48)+(105=$HO48)&gt;=2,50,0))+DD$5*50)</f>
        <v/>
      </c>
      <c r="DE168">
        <f>IF(OR($JF48=0,calcA!$A$6=0),0,IF(OR(106=$HA48,106=$HD48,106=$HG48),200000,MIN(IF($HA48=0,999999,IF(5=$HB48,IF(106=$HJ48,IF($JC48=2,30,0),IF(106=$HK48,IF($JC48=1,30,0),ABS(10-$HC48)*100)),100000+ABS(5-$HB48)*1000+100)),IF($HD48=0,999999,IF(5=$HE48,IF(106=$HL48,IF($JD48=2,30,0),IF(106=$HM48,IF($JD48=1,30,0),ABS(10-$HF48)*100)),100000+ABS(5-$HE48)*1000+100)),IF($HG48=0,999999,IF(5=$HH48,IF(106=$HN48,IF($JE48=2,30,0),IF(106=$HO48,IF($JE48=1,30,0),ABS(10-$HI48)*100)),100000+ABS(5-$HH48)*1000+100)))-IF((106=$HJ48)+(106=$HK48)+(106=$HL48)+(106=$HM48)+(106=$HN48)+(106=$HO48)&gt;=2,50,0))+DE$5*50)</f>
        <v/>
      </c>
      <c r="DF168">
        <f>IF(OR($JF48=0,calcA!$A$6=0),0,IF(OR(107=$HA48,107=$HD48,107=$HG48),200000,MIN(IF($HA48=0,999999,IF(5=$HB48,IF(107=$HJ48,IF($JC48=2,30,0),IF(107=$HK48,IF($JC48=1,30,0),ABS(11-$HC48)*100)),100000+ABS(5-$HB48)*1000+110)),IF($HD48=0,999999,IF(5=$HE48,IF(107=$HL48,IF($JD48=2,30,0),IF(107=$HM48,IF($JD48=1,30,0),ABS(11-$HF48)*100)),100000+ABS(5-$HE48)*1000+110)),IF($HG48=0,999999,IF(5=$HH48,IF(107=$HN48,IF($JE48=2,30,0),IF(107=$HO48,IF($JE48=1,30,0),ABS(11-$HI48)*100)),100000+ABS(5-$HH48)*1000+110)))-IF((107=$HJ48)+(107=$HK48)+(107=$HL48)+(107=$HM48)+(107=$HN48)+(107=$HO48)&gt;=2,50,0))+DF$5*50)</f>
        <v/>
      </c>
      <c r="DG168">
        <f>IF(OR($JF48=0,calcA!$A$6=0),0,IF(OR(108=$HA48,108=$HD48,108=$HG48),200000,MIN(IF($HA48=0,999999,IF(5=$HB48,IF(108=$HJ48,IF($JC48=2,30,0),IF(108=$HK48,IF($JC48=1,30,0),ABS(12-$HC48)*100)),100000+ABS(5-$HB48)*1000+120)),IF($HD48=0,999999,IF(5=$HE48,IF(108=$HL48,IF($JD48=2,30,0),IF(108=$HM48,IF($JD48=1,30,0),ABS(12-$HF48)*100)),100000+ABS(5-$HE48)*1000+120)),IF($HG48=0,999999,IF(5=$HH48,IF(108=$HN48,IF($JE48=2,30,0),IF(108=$HO48,IF($JE48=1,30,0),ABS(12-$HI48)*100)),100000+ABS(5-$HH48)*1000+120)))-IF((108=$HJ48)+(108=$HK48)+(108=$HL48)+(108=$HM48)+(108=$HN48)+(108=$HO48)&gt;=2,50,0))+DG$5*50)</f>
        <v/>
      </c>
      <c r="DH168">
        <f>IF(OR($JF48=0,calcA!$A$6=0),0,IF(OR(109=$HA48,109=$HD48,109=$HG48),200000,MIN(IF($HA48=0,999999,IF(5=$HB48,IF(109=$HJ48,IF($JC48=2,30,0),IF(109=$HK48,IF($JC48=1,30,0),ABS(13-$HC48)*100)),100000+ABS(5-$HB48)*1000+130)),IF($HD48=0,999999,IF(5=$HE48,IF(109=$HL48,IF($JD48=2,30,0),IF(109=$HM48,IF($JD48=1,30,0),ABS(13-$HF48)*100)),100000+ABS(5-$HE48)*1000+130)),IF($HG48=0,999999,IF(5=$HH48,IF(109=$HN48,IF($JE48=2,30,0),IF(109=$HO48,IF($JE48=1,30,0),ABS(13-$HI48)*100)),100000+ABS(5-$HH48)*1000+130)))-IF((109=$HJ48)+(109=$HK48)+(109=$HL48)+(109=$HM48)+(109=$HN48)+(109=$HO48)&gt;=2,50,0))+DH$5*50)</f>
        <v/>
      </c>
      <c r="DI168">
        <f>IF(OR($JF48=0,calcA!$A$6=0),0,IF(OR(110=$HA48,110=$HD48,110=$HG48),200000,MIN(IF($HA48=0,999999,IF(5=$HB48,IF(110=$HJ48,IF($JC48=2,30,0),IF(110=$HK48,IF($JC48=1,30,0),ABS(14-$HC48)*100)),100000+ABS(5-$HB48)*1000+140)),IF($HD48=0,999999,IF(5=$HE48,IF(110=$HL48,IF($JD48=2,30,0),IF(110=$HM48,IF($JD48=1,30,0),ABS(14-$HF48)*100)),100000+ABS(5-$HE48)*1000+140)),IF($HG48=0,999999,IF(5=$HH48,IF(110=$HN48,IF($JE48=2,30,0),IF(110=$HO48,IF($JE48=1,30,0),ABS(14-$HI48)*100)),100000+ABS(5-$HH48)*1000+140)))-IF((110=$HJ48)+(110=$HK48)+(110=$HL48)+(110=$HM48)+(110=$HN48)+(110=$HO48)&gt;=2,50,0))+DI$5*50)</f>
        <v/>
      </c>
      <c r="DJ168">
        <f>IF(OR($JF48=0,calcA!$A$6=0),0,IF(OR(111=$HA48,111=$HD48,111=$HG48),200000,MIN(IF($HA48=0,999999,IF(5=$HB48,IF(111=$HJ48,IF($JC48=2,30,0),IF(111=$HK48,IF($JC48=1,30,0),ABS(15-$HC48)*100)),100000+ABS(5-$HB48)*1000+150)),IF($HD48=0,999999,IF(5=$HE48,IF(111=$HL48,IF($JD48=2,30,0),IF(111=$HM48,IF($JD48=1,30,0),ABS(15-$HF48)*100)),100000+ABS(5-$HE48)*1000+150)),IF($HG48=0,999999,IF(5=$HH48,IF(111=$HN48,IF($JE48=2,30,0),IF(111=$HO48,IF($JE48=1,30,0),ABS(15-$HI48)*100)),100000+ABS(5-$HH48)*1000+150)))-IF((111=$HJ48)+(111=$HK48)+(111=$HL48)+(111=$HM48)+(111=$HN48)+(111=$HO48)&gt;=2,50,0))+DJ$5*50)</f>
        <v/>
      </c>
      <c r="DK168">
        <f>IF(OR($JF48=0,calcA!$A$6=0),0,IF(OR(112=$HA48,112=$HD48,112=$HG48),200000,MIN(IF($HA48=0,999999,IF(5=$HB48,IF(112=$HJ48,IF($JC48=2,30,0),IF(112=$HK48,IF($JC48=1,30,0),ABS(16-$HC48)*100)),100000+ABS(5-$HB48)*1000+160)),IF($HD48=0,999999,IF(5=$HE48,IF(112=$HL48,IF($JD48=2,30,0),IF(112=$HM48,IF($JD48=1,30,0),ABS(16-$HF48)*100)),100000+ABS(5-$HE48)*1000+160)),IF($HG48=0,999999,IF(5=$HH48,IF(112=$HN48,IF($JE48=2,30,0),IF(112=$HO48,IF($JE48=1,30,0),ABS(16-$HI48)*100)),100000+ABS(5-$HH48)*1000+160)))-IF((112=$HJ48)+(112=$HK48)+(112=$HL48)+(112=$HM48)+(112=$HN48)+(112=$HO48)&gt;=2,50,0))+DK$5*50)</f>
        <v/>
      </c>
      <c r="DL168">
        <f>IF(OR($JF48=0,calcA!$A$6=0),0,IF(OR(113=$HA48,113=$HD48,113=$HG48),200000,MIN(IF($HA48=0,999999,IF(5=$HB48,IF(113=$HJ48,IF($JC48=2,30,0),IF(113=$HK48,IF($JC48=1,30,0),ABS(17-$HC48)*100)),100000+ABS(5-$HB48)*1000+170)),IF($HD48=0,999999,IF(5=$HE48,IF(113=$HL48,IF($JD48=2,30,0),IF(113=$HM48,IF($JD48=1,30,0),ABS(17-$HF48)*100)),100000+ABS(5-$HE48)*1000+170)),IF($HG48=0,999999,IF(5=$HH48,IF(113=$HN48,IF($JE48=2,30,0),IF(113=$HO48,IF($JE48=1,30,0),ABS(17-$HI48)*100)),100000+ABS(5-$HH48)*1000+170)))-IF((113=$HJ48)+(113=$HK48)+(113=$HL48)+(113=$HM48)+(113=$HN48)+(113=$HO48)&gt;=2,50,0))+DL$5*50)</f>
        <v/>
      </c>
      <c r="DM168">
        <f>IF(OR($JF48=0,calcA!$A$6=0),0,IF(OR(114=$HA48,114=$HD48,114=$HG48),200000,MIN(IF($HA48=0,999999,IF(5=$HB48,IF(114=$HJ48,IF($JC48=2,30,0),IF(114=$HK48,IF($JC48=1,30,0),ABS(18-$HC48)*100)),100000+ABS(5-$HB48)*1000+180)),IF($HD48=0,999999,IF(5=$HE48,IF(114=$HL48,IF($JD48=2,30,0),IF(114=$HM48,IF($JD48=1,30,0),ABS(18-$HF48)*100)),100000+ABS(5-$HE48)*1000+180)),IF($HG48=0,999999,IF(5=$HH48,IF(114=$HN48,IF($JE48=2,30,0),IF(114=$HO48,IF($JE48=1,30,0),ABS(18-$HI48)*100)),100000+ABS(5-$HH48)*1000+180)))-IF((114=$HJ48)+(114=$HK48)+(114=$HL48)+(114=$HM48)+(114=$HN48)+(114=$HO48)&gt;=2,50,0))+DM$5*50)</f>
        <v/>
      </c>
      <c r="DN168">
        <f>IF(OR($JF48=0,calcA!$A$6=0),0,IF(OR(115=$HA48,115=$HD48,115=$HG48),200000,MIN(IF($HA48=0,999999,IF(5=$HB48,IF(115=$HJ48,IF($JC48=2,30,0),IF(115=$HK48,IF($JC48=1,30,0),ABS(19-$HC48)*100)),100000+ABS(5-$HB48)*1000+190)),IF($HD48=0,999999,IF(5=$HE48,IF(115=$HL48,IF($JD48=2,30,0),IF(115=$HM48,IF($JD48=1,30,0),ABS(19-$HF48)*100)),100000+ABS(5-$HE48)*1000+190)),IF($HG48=0,999999,IF(5=$HH48,IF(115=$HN48,IF($JE48=2,30,0),IF(115=$HO48,IF($JE48=1,30,0),ABS(19-$HI48)*100)),100000+ABS(5-$HH48)*1000+190)))-IF((115=$HJ48)+(115=$HK48)+(115=$HL48)+(115=$HM48)+(115=$HN48)+(115=$HO48)&gt;=2,50,0))+DN$5*50)</f>
        <v/>
      </c>
      <c r="DO168">
        <f>IF(OR($JF48=0,calcA!$A$6=0),0,IF(OR(116=$HA48,116=$HD48,116=$HG48),200000,MIN(IF($HA48=0,999999,IF(5=$HB48,IF(116=$HJ48,IF($JC48=2,30,0),IF(116=$HK48,IF($JC48=1,30,0),ABS(20-$HC48)*100)),100000+ABS(5-$HB48)*1000+200)),IF($HD48=0,999999,IF(5=$HE48,IF(116=$HL48,IF($JD48=2,30,0),IF(116=$HM48,IF($JD48=1,30,0),ABS(20-$HF48)*100)),100000+ABS(5-$HE48)*1000+200)),IF($HG48=0,999999,IF(5=$HH48,IF(116=$HN48,IF($JE48=2,30,0),IF(116=$HO48,IF($JE48=1,30,0),ABS(20-$HI48)*100)),100000+ABS(5-$HH48)*1000+200)))-IF((116=$HJ48)+(116=$HK48)+(116=$HL48)+(116=$HM48)+(116=$HN48)+(116=$HO48)&gt;=2,50,0))+DO$5*50)</f>
        <v/>
      </c>
      <c r="DP168">
        <f>IF(OR($JF48=0,calcA!$A$6=0),0,IF(OR(117=$HA48,117=$HD48,117=$HG48),200000,MIN(IF($HA48=0,999999,IF(5=$HB48,IF(117=$HJ48,IF($JC48=2,30,0),IF(117=$HK48,IF($JC48=1,30,0),ABS(21-$HC48)*100)),100000+ABS(5-$HB48)*1000+210)),IF($HD48=0,999999,IF(5=$HE48,IF(117=$HL48,IF($JD48=2,30,0),IF(117=$HM48,IF($JD48=1,30,0),ABS(21-$HF48)*100)),100000+ABS(5-$HE48)*1000+210)),IF($HG48=0,999999,IF(5=$HH48,IF(117=$HN48,IF($JE48=2,30,0),IF(117=$HO48,IF($JE48=1,30,0),ABS(21-$HI48)*100)),100000+ABS(5-$HH48)*1000+210)))-IF((117=$HJ48)+(117=$HK48)+(117=$HL48)+(117=$HM48)+(117=$HN48)+(117=$HO48)&gt;=2,50,0))+DP$5*50)</f>
        <v/>
      </c>
      <c r="DQ168">
        <f>IF(OR($JF48=0,calcA!$A$6=0),0,IF(OR(118=$HA48,118=$HD48,118=$HG48),200000,MIN(IF($HA48=0,999999,IF(5=$HB48,IF(118=$HJ48,IF($JC48=2,30,0),IF(118=$HK48,IF($JC48=1,30,0),ABS(22-$HC48)*100)),100000+ABS(5-$HB48)*1000+220)),IF($HD48=0,999999,IF(5=$HE48,IF(118=$HL48,IF($JD48=2,30,0),IF(118=$HM48,IF($JD48=1,30,0),ABS(22-$HF48)*100)),100000+ABS(5-$HE48)*1000+220)),IF($HG48=0,999999,IF(5=$HH48,IF(118=$HN48,IF($JE48=2,30,0),IF(118=$HO48,IF($JE48=1,30,0),ABS(22-$HI48)*100)),100000+ABS(5-$HH48)*1000+220)))-IF((118=$HJ48)+(118=$HK48)+(118=$HL48)+(118=$HM48)+(118=$HN48)+(118=$HO48)&gt;=2,50,0))+DQ$5*50)</f>
        <v/>
      </c>
      <c r="DR168">
        <f>IF(OR($JF48=0,calcA!$A$6=0),0,IF(OR(119=$HA48,119=$HD48,119=$HG48),200000,MIN(IF($HA48=0,999999,IF(5=$HB48,IF(119=$HJ48,IF($JC48=2,30,0),IF(119=$HK48,IF($JC48=1,30,0),ABS(23-$HC48)*100)),100000+ABS(5-$HB48)*1000+230)),IF($HD48=0,999999,IF(5=$HE48,IF(119=$HL48,IF($JD48=2,30,0),IF(119=$HM48,IF($JD48=1,30,0),ABS(23-$HF48)*100)),100000+ABS(5-$HE48)*1000+230)),IF($HG48=0,999999,IF(5=$HH48,IF(119=$HN48,IF($JE48=2,30,0),IF(119=$HO48,IF($JE48=1,30,0),ABS(23-$HI48)*100)),100000+ABS(5-$HH48)*1000+230)))-IF((119=$HJ48)+(119=$HK48)+(119=$HL48)+(119=$HM48)+(119=$HN48)+(119=$HO48)&gt;=2,50,0))+DR$5*50)</f>
        <v/>
      </c>
      <c r="DS168">
        <f>IF(OR($JF48=0,calcA!$A$6=0),0,IF(OR(120=$HA48,120=$HD48,120=$HG48),200000,MIN(IF($HA48=0,999999,IF(5=$HB48,IF(120=$HJ48,IF($JC48=2,30,0),IF(120=$HK48,IF($JC48=1,30,0),ABS(24-$HC48)*100)),100000+ABS(5-$HB48)*1000+240)),IF($HD48=0,999999,IF(5=$HE48,IF(120=$HL48,IF($JD48=2,30,0),IF(120=$HM48,IF($JD48=1,30,0),ABS(24-$HF48)*100)),100000+ABS(5-$HE48)*1000+240)),IF($HG48=0,999999,IF(5=$HH48,IF(120=$HN48,IF($JE48=2,30,0),IF(120=$HO48,IF($JE48=1,30,0),ABS(24-$HI48)*100)),100000+ABS(5-$HH48)*1000+240)))-IF((120=$HJ48)+(120=$HK48)+(120=$HL48)+(120=$HM48)+(120=$HN48)+(120=$HO48)&gt;=2,50,0))+DS$5*50)</f>
        <v/>
      </c>
      <c r="DT168">
        <f>IF(OR($JF48=0,calcA!$A$6=0),0,IF(OR(121=$HA48,121=$HD48,121=$HG48),200000,MIN(IF($HA48=0,999999,IF(6=$HB48,IF(121=$HJ48,IF($JC48=2,30,0),IF(121=$HK48,IF($JC48=1,30,0),ABS(1-$HC48)*100)),100000+ABS(6-$HB48)*1000+10)),IF($HD48=0,999999,IF(6=$HE48,IF(121=$HL48,IF($JD48=2,30,0),IF(121=$HM48,IF($JD48=1,30,0),ABS(1-$HF48)*100)),100000+ABS(6-$HE48)*1000+10)),IF($HG48=0,999999,IF(6=$HH48,IF(121=$HN48,IF($JE48=2,30,0),IF(121=$HO48,IF($JE48=1,30,0),ABS(1-$HI48)*100)),100000+ABS(6-$HH48)*1000+10)))-IF((121=$HJ48)+(121=$HK48)+(121=$HL48)+(121=$HM48)+(121=$HN48)+(121=$HO48)&gt;=2,50,0))+DT$5*50)</f>
        <v/>
      </c>
      <c r="DU168">
        <f>IF(OR($JF48=0,calcA!$A$6=0),0,IF(OR(122=$HA48,122=$HD48,122=$HG48),200000,MIN(IF($HA48=0,999999,IF(6=$HB48,IF(122=$HJ48,IF($JC48=2,30,0),IF(122=$HK48,IF($JC48=1,30,0),ABS(2-$HC48)*100)),100000+ABS(6-$HB48)*1000+20)),IF($HD48=0,999999,IF(6=$HE48,IF(122=$HL48,IF($JD48=2,30,0),IF(122=$HM48,IF($JD48=1,30,0),ABS(2-$HF48)*100)),100000+ABS(6-$HE48)*1000+20)),IF($HG48=0,999999,IF(6=$HH48,IF(122=$HN48,IF($JE48=2,30,0),IF(122=$HO48,IF($JE48=1,30,0),ABS(2-$HI48)*100)),100000+ABS(6-$HH48)*1000+20)))-IF((122=$HJ48)+(122=$HK48)+(122=$HL48)+(122=$HM48)+(122=$HN48)+(122=$HO48)&gt;=2,50,0))+DU$5*50)</f>
        <v/>
      </c>
      <c r="DV168">
        <f>IF(OR($JF48=0,calcA!$A$6=0),0,IF(OR(123=$HA48,123=$HD48,123=$HG48),200000,MIN(IF($HA48=0,999999,IF(6=$HB48,IF(123=$HJ48,IF($JC48=2,30,0),IF(123=$HK48,IF($JC48=1,30,0),ABS(3-$HC48)*100)),100000+ABS(6-$HB48)*1000+30)),IF($HD48=0,999999,IF(6=$HE48,IF(123=$HL48,IF($JD48=2,30,0),IF(123=$HM48,IF($JD48=1,30,0),ABS(3-$HF48)*100)),100000+ABS(6-$HE48)*1000+30)),IF($HG48=0,999999,IF(6=$HH48,IF(123=$HN48,IF($JE48=2,30,0),IF(123=$HO48,IF($JE48=1,30,0),ABS(3-$HI48)*100)),100000+ABS(6-$HH48)*1000+30)))-IF((123=$HJ48)+(123=$HK48)+(123=$HL48)+(123=$HM48)+(123=$HN48)+(123=$HO48)&gt;=2,50,0))+DV$5*50)</f>
        <v/>
      </c>
      <c r="DW168">
        <f>IF(OR($JF48=0,calcA!$A$6=0),0,IF(OR(124=$HA48,124=$HD48,124=$HG48),200000,MIN(IF($HA48=0,999999,IF(6=$HB48,IF(124=$HJ48,IF($JC48=2,30,0),IF(124=$HK48,IF($JC48=1,30,0),ABS(4-$HC48)*100)),100000+ABS(6-$HB48)*1000+40)),IF($HD48=0,999999,IF(6=$HE48,IF(124=$HL48,IF($JD48=2,30,0),IF(124=$HM48,IF($JD48=1,30,0),ABS(4-$HF48)*100)),100000+ABS(6-$HE48)*1000+40)),IF($HG48=0,999999,IF(6=$HH48,IF(124=$HN48,IF($JE48=2,30,0),IF(124=$HO48,IF($JE48=1,30,0),ABS(4-$HI48)*100)),100000+ABS(6-$HH48)*1000+40)))-IF((124=$HJ48)+(124=$HK48)+(124=$HL48)+(124=$HM48)+(124=$HN48)+(124=$HO48)&gt;=2,50,0))+DW$5*50)</f>
        <v/>
      </c>
      <c r="DX168">
        <f>IF(OR($JF48=0,calcA!$A$6=0),0,IF(OR(125=$HA48,125=$HD48,125=$HG48),200000,MIN(IF($HA48=0,999999,IF(6=$HB48,IF(125=$HJ48,IF($JC48=2,30,0),IF(125=$HK48,IF($JC48=1,30,0),ABS(5-$HC48)*100)),100000+ABS(6-$HB48)*1000+50)),IF($HD48=0,999999,IF(6=$HE48,IF(125=$HL48,IF($JD48=2,30,0),IF(125=$HM48,IF($JD48=1,30,0),ABS(5-$HF48)*100)),100000+ABS(6-$HE48)*1000+50)),IF($HG48=0,999999,IF(6=$HH48,IF(125=$HN48,IF($JE48=2,30,0),IF(125=$HO48,IF($JE48=1,30,0),ABS(5-$HI48)*100)),100000+ABS(6-$HH48)*1000+50)))-IF((125=$HJ48)+(125=$HK48)+(125=$HL48)+(125=$HM48)+(125=$HN48)+(125=$HO48)&gt;=2,50,0))+DX$5*50)</f>
        <v/>
      </c>
      <c r="DY168">
        <f>IF(OR($JF48=0,calcA!$A$6=0),0,IF(OR(126=$HA48,126=$HD48,126=$HG48),200000,MIN(IF($HA48=0,999999,IF(6=$HB48,IF(126=$HJ48,IF($JC48=2,30,0),IF(126=$HK48,IF($JC48=1,30,0),ABS(6-$HC48)*100)),100000+ABS(6-$HB48)*1000+60)),IF($HD48=0,999999,IF(6=$HE48,IF(126=$HL48,IF($JD48=2,30,0),IF(126=$HM48,IF($JD48=1,30,0),ABS(6-$HF48)*100)),100000+ABS(6-$HE48)*1000+60)),IF($HG48=0,999999,IF(6=$HH48,IF(126=$HN48,IF($JE48=2,30,0),IF(126=$HO48,IF($JE48=1,30,0),ABS(6-$HI48)*100)),100000+ABS(6-$HH48)*1000+60)))-IF((126=$HJ48)+(126=$HK48)+(126=$HL48)+(126=$HM48)+(126=$HN48)+(126=$HO48)&gt;=2,50,0))+DY$5*50)</f>
        <v/>
      </c>
      <c r="DZ168">
        <f>IF(OR($JF48=0,calcA!$A$6=0),0,IF(OR(127=$HA48,127=$HD48,127=$HG48),200000,MIN(IF($HA48=0,999999,IF(6=$HB48,IF(127=$HJ48,IF($JC48=2,30,0),IF(127=$HK48,IF($JC48=1,30,0),ABS(7-$HC48)*100)),100000+ABS(6-$HB48)*1000+70)),IF($HD48=0,999999,IF(6=$HE48,IF(127=$HL48,IF($JD48=2,30,0),IF(127=$HM48,IF($JD48=1,30,0),ABS(7-$HF48)*100)),100000+ABS(6-$HE48)*1000+70)),IF($HG48=0,999999,IF(6=$HH48,IF(127=$HN48,IF($JE48=2,30,0),IF(127=$HO48,IF($JE48=1,30,0),ABS(7-$HI48)*100)),100000+ABS(6-$HH48)*1000+70)))-IF((127=$HJ48)+(127=$HK48)+(127=$HL48)+(127=$HM48)+(127=$HN48)+(127=$HO48)&gt;=2,50,0))+DZ$5*50)</f>
        <v/>
      </c>
      <c r="EA168">
        <f>IF(OR($JF48=0,calcA!$A$6=0),0,IF(OR(128=$HA48,128=$HD48,128=$HG48),200000,MIN(IF($HA48=0,999999,IF(6=$HB48,IF(128=$HJ48,IF($JC48=2,30,0),IF(128=$HK48,IF($JC48=1,30,0),ABS(8-$HC48)*100)),100000+ABS(6-$HB48)*1000+80)),IF($HD48=0,999999,IF(6=$HE48,IF(128=$HL48,IF($JD48=2,30,0),IF(128=$HM48,IF($JD48=1,30,0),ABS(8-$HF48)*100)),100000+ABS(6-$HE48)*1000+80)),IF($HG48=0,999999,IF(6=$HH48,IF(128=$HN48,IF($JE48=2,30,0),IF(128=$HO48,IF($JE48=1,30,0),ABS(8-$HI48)*100)),100000+ABS(6-$HH48)*1000+80)))-IF((128=$HJ48)+(128=$HK48)+(128=$HL48)+(128=$HM48)+(128=$HN48)+(128=$HO48)&gt;=2,50,0))+EA$5*50)</f>
        <v/>
      </c>
      <c r="EB168">
        <f>IF(OR($JF48=0,calcA!$A$6=0),0,IF(OR(129=$HA48,129=$HD48,129=$HG48),200000,MIN(IF($HA48=0,999999,IF(6=$HB48,IF(129=$HJ48,IF($JC48=2,30,0),IF(129=$HK48,IF($JC48=1,30,0),ABS(9-$HC48)*100)),100000+ABS(6-$HB48)*1000+90)),IF($HD48=0,999999,IF(6=$HE48,IF(129=$HL48,IF($JD48=2,30,0),IF(129=$HM48,IF($JD48=1,30,0),ABS(9-$HF48)*100)),100000+ABS(6-$HE48)*1000+90)),IF($HG48=0,999999,IF(6=$HH48,IF(129=$HN48,IF($JE48=2,30,0),IF(129=$HO48,IF($JE48=1,30,0),ABS(9-$HI48)*100)),100000+ABS(6-$HH48)*1000+90)))-IF((129=$HJ48)+(129=$HK48)+(129=$HL48)+(129=$HM48)+(129=$HN48)+(129=$HO48)&gt;=2,50,0))+EB$5*50)</f>
        <v/>
      </c>
      <c r="EC168">
        <f>IF(OR($JF48=0,calcA!$A$6=0),0,IF(OR(130=$HA48,130=$HD48,130=$HG48),200000,MIN(IF($HA48=0,999999,IF(6=$HB48,IF(130=$HJ48,IF($JC48=2,30,0),IF(130=$HK48,IF($JC48=1,30,0),ABS(10-$HC48)*100)),100000+ABS(6-$HB48)*1000+100)),IF($HD48=0,999999,IF(6=$HE48,IF(130=$HL48,IF($JD48=2,30,0),IF(130=$HM48,IF($JD48=1,30,0),ABS(10-$HF48)*100)),100000+ABS(6-$HE48)*1000+100)),IF($HG48=0,999999,IF(6=$HH48,IF(130=$HN48,IF($JE48=2,30,0),IF(130=$HO48,IF($JE48=1,30,0),ABS(10-$HI48)*100)),100000+ABS(6-$HH48)*1000+100)))-IF((130=$HJ48)+(130=$HK48)+(130=$HL48)+(130=$HM48)+(130=$HN48)+(130=$HO48)&gt;=2,50,0))+EC$5*50)</f>
        <v/>
      </c>
      <c r="ED168">
        <f>IF(OR($JF48=0,calcA!$A$6=0),0,IF(OR(131=$HA48,131=$HD48,131=$HG48),200000,MIN(IF($HA48=0,999999,IF(6=$HB48,IF(131=$HJ48,IF($JC48=2,30,0),IF(131=$HK48,IF($JC48=1,30,0),ABS(11-$HC48)*100)),100000+ABS(6-$HB48)*1000+110)),IF($HD48=0,999999,IF(6=$HE48,IF(131=$HL48,IF($JD48=2,30,0),IF(131=$HM48,IF($JD48=1,30,0),ABS(11-$HF48)*100)),100000+ABS(6-$HE48)*1000+110)),IF($HG48=0,999999,IF(6=$HH48,IF(131=$HN48,IF($JE48=2,30,0),IF(131=$HO48,IF($JE48=1,30,0),ABS(11-$HI48)*100)),100000+ABS(6-$HH48)*1000+110)))-IF((131=$HJ48)+(131=$HK48)+(131=$HL48)+(131=$HM48)+(131=$HN48)+(131=$HO48)&gt;=2,50,0))+ED$5*50)</f>
        <v/>
      </c>
      <c r="EE168">
        <f>IF(OR($JF48=0,calcA!$A$6=0),0,IF(OR(132=$HA48,132=$HD48,132=$HG48),200000,MIN(IF($HA48=0,999999,IF(6=$HB48,IF(132=$HJ48,IF($JC48=2,30,0),IF(132=$HK48,IF($JC48=1,30,0),ABS(12-$HC48)*100)),100000+ABS(6-$HB48)*1000+120)),IF($HD48=0,999999,IF(6=$HE48,IF(132=$HL48,IF($JD48=2,30,0),IF(132=$HM48,IF($JD48=1,30,0),ABS(12-$HF48)*100)),100000+ABS(6-$HE48)*1000+120)),IF($HG48=0,999999,IF(6=$HH48,IF(132=$HN48,IF($JE48=2,30,0),IF(132=$HO48,IF($JE48=1,30,0),ABS(12-$HI48)*100)),100000+ABS(6-$HH48)*1000+120)))-IF((132=$HJ48)+(132=$HK48)+(132=$HL48)+(132=$HM48)+(132=$HN48)+(132=$HO48)&gt;=2,50,0))+EE$5*50)</f>
        <v/>
      </c>
      <c r="EF168">
        <f>IF(OR($JF48=0,calcA!$A$6=0),0,IF(OR(133=$HA48,133=$HD48,133=$HG48),200000,MIN(IF($HA48=0,999999,IF(6=$HB48,IF(133=$HJ48,IF($JC48=2,30,0),IF(133=$HK48,IF($JC48=1,30,0),ABS(13-$HC48)*100)),100000+ABS(6-$HB48)*1000+130)),IF($HD48=0,999999,IF(6=$HE48,IF(133=$HL48,IF($JD48=2,30,0),IF(133=$HM48,IF($JD48=1,30,0),ABS(13-$HF48)*100)),100000+ABS(6-$HE48)*1000+130)),IF($HG48=0,999999,IF(6=$HH48,IF(133=$HN48,IF($JE48=2,30,0),IF(133=$HO48,IF($JE48=1,30,0),ABS(13-$HI48)*100)),100000+ABS(6-$HH48)*1000+130)))-IF((133=$HJ48)+(133=$HK48)+(133=$HL48)+(133=$HM48)+(133=$HN48)+(133=$HO48)&gt;=2,50,0))+EF$5*50)</f>
        <v/>
      </c>
      <c r="EG168">
        <f>IF(OR($JF48=0,calcA!$A$6=0),0,IF(OR(134=$HA48,134=$HD48,134=$HG48),200000,MIN(IF($HA48=0,999999,IF(6=$HB48,IF(134=$HJ48,IF($JC48=2,30,0),IF(134=$HK48,IF($JC48=1,30,0),ABS(14-$HC48)*100)),100000+ABS(6-$HB48)*1000+140)),IF($HD48=0,999999,IF(6=$HE48,IF(134=$HL48,IF($JD48=2,30,0),IF(134=$HM48,IF($JD48=1,30,0),ABS(14-$HF48)*100)),100000+ABS(6-$HE48)*1000+140)),IF($HG48=0,999999,IF(6=$HH48,IF(134=$HN48,IF($JE48=2,30,0),IF(134=$HO48,IF($JE48=1,30,0),ABS(14-$HI48)*100)),100000+ABS(6-$HH48)*1000+140)))-IF((134=$HJ48)+(134=$HK48)+(134=$HL48)+(134=$HM48)+(134=$HN48)+(134=$HO48)&gt;=2,50,0))+EG$5*50)</f>
        <v/>
      </c>
      <c r="EH168">
        <f>IF(OR($JF48=0,calcA!$A$6=0),0,IF(OR(135=$HA48,135=$HD48,135=$HG48),200000,MIN(IF($HA48=0,999999,IF(6=$HB48,IF(135=$HJ48,IF($JC48=2,30,0),IF(135=$HK48,IF($JC48=1,30,0),ABS(15-$HC48)*100)),100000+ABS(6-$HB48)*1000+150)),IF($HD48=0,999999,IF(6=$HE48,IF(135=$HL48,IF($JD48=2,30,0),IF(135=$HM48,IF($JD48=1,30,0),ABS(15-$HF48)*100)),100000+ABS(6-$HE48)*1000+150)),IF($HG48=0,999999,IF(6=$HH48,IF(135=$HN48,IF($JE48=2,30,0),IF(135=$HO48,IF($JE48=1,30,0),ABS(15-$HI48)*100)),100000+ABS(6-$HH48)*1000+150)))-IF((135=$HJ48)+(135=$HK48)+(135=$HL48)+(135=$HM48)+(135=$HN48)+(135=$HO48)&gt;=2,50,0))+EH$5*50)</f>
        <v/>
      </c>
      <c r="EI168">
        <f>IF(OR($JF48=0,calcA!$A$6=0),0,IF(OR(136=$HA48,136=$HD48,136=$HG48),200000,MIN(IF($HA48=0,999999,IF(6=$HB48,IF(136=$HJ48,IF($JC48=2,30,0),IF(136=$HK48,IF($JC48=1,30,0),ABS(16-$HC48)*100)),100000+ABS(6-$HB48)*1000+160)),IF($HD48=0,999999,IF(6=$HE48,IF(136=$HL48,IF($JD48=2,30,0),IF(136=$HM48,IF($JD48=1,30,0),ABS(16-$HF48)*100)),100000+ABS(6-$HE48)*1000+160)),IF($HG48=0,999999,IF(6=$HH48,IF(136=$HN48,IF($JE48=2,30,0),IF(136=$HO48,IF($JE48=1,30,0),ABS(16-$HI48)*100)),100000+ABS(6-$HH48)*1000+160)))-IF((136=$HJ48)+(136=$HK48)+(136=$HL48)+(136=$HM48)+(136=$HN48)+(136=$HO48)&gt;=2,50,0))+EI$5*50)</f>
        <v/>
      </c>
      <c r="EJ168">
        <f>IF(OR($JF48=0,calcA!$A$6=0),0,IF(OR(137=$HA48,137=$HD48,137=$HG48),200000,MIN(IF($HA48=0,999999,IF(6=$HB48,IF(137=$HJ48,IF($JC48=2,30,0),IF(137=$HK48,IF($JC48=1,30,0),ABS(17-$HC48)*100)),100000+ABS(6-$HB48)*1000+170)),IF($HD48=0,999999,IF(6=$HE48,IF(137=$HL48,IF($JD48=2,30,0),IF(137=$HM48,IF($JD48=1,30,0),ABS(17-$HF48)*100)),100000+ABS(6-$HE48)*1000+170)),IF($HG48=0,999999,IF(6=$HH48,IF(137=$HN48,IF($JE48=2,30,0),IF(137=$HO48,IF($JE48=1,30,0),ABS(17-$HI48)*100)),100000+ABS(6-$HH48)*1000+170)))-IF((137=$HJ48)+(137=$HK48)+(137=$HL48)+(137=$HM48)+(137=$HN48)+(137=$HO48)&gt;=2,50,0))+EJ$5*50)</f>
        <v/>
      </c>
      <c r="EK168">
        <f>IF(OR($JF48=0,calcA!$A$6=0),0,IF(OR(138=$HA48,138=$HD48,138=$HG48),200000,MIN(IF($HA48=0,999999,IF(6=$HB48,IF(138=$HJ48,IF($JC48=2,30,0),IF(138=$HK48,IF($JC48=1,30,0),ABS(18-$HC48)*100)),100000+ABS(6-$HB48)*1000+180)),IF($HD48=0,999999,IF(6=$HE48,IF(138=$HL48,IF($JD48=2,30,0),IF(138=$HM48,IF($JD48=1,30,0),ABS(18-$HF48)*100)),100000+ABS(6-$HE48)*1000+180)),IF($HG48=0,999999,IF(6=$HH48,IF(138=$HN48,IF($JE48=2,30,0),IF(138=$HO48,IF($JE48=1,30,0),ABS(18-$HI48)*100)),100000+ABS(6-$HH48)*1000+180)))-IF((138=$HJ48)+(138=$HK48)+(138=$HL48)+(138=$HM48)+(138=$HN48)+(138=$HO48)&gt;=2,50,0))+EK$5*50)</f>
        <v/>
      </c>
      <c r="EL168">
        <f>IF(OR($JF48=0,calcA!$A$6=0),0,IF(OR(139=$HA48,139=$HD48,139=$HG48),200000,MIN(IF($HA48=0,999999,IF(6=$HB48,IF(139=$HJ48,IF($JC48=2,30,0),IF(139=$HK48,IF($JC48=1,30,0),ABS(19-$HC48)*100)),100000+ABS(6-$HB48)*1000+190)),IF($HD48=0,999999,IF(6=$HE48,IF(139=$HL48,IF($JD48=2,30,0),IF(139=$HM48,IF($JD48=1,30,0),ABS(19-$HF48)*100)),100000+ABS(6-$HE48)*1000+190)),IF($HG48=0,999999,IF(6=$HH48,IF(139=$HN48,IF($JE48=2,30,0),IF(139=$HO48,IF($JE48=1,30,0),ABS(19-$HI48)*100)),100000+ABS(6-$HH48)*1000+190)))-IF((139=$HJ48)+(139=$HK48)+(139=$HL48)+(139=$HM48)+(139=$HN48)+(139=$HO48)&gt;=2,50,0))+EL$5*50)</f>
        <v/>
      </c>
      <c r="EM168">
        <f>IF(OR($JF48=0,calcA!$A$6=0),0,IF(OR(140=$HA48,140=$HD48,140=$HG48),200000,MIN(IF($HA48=0,999999,IF(6=$HB48,IF(140=$HJ48,IF($JC48=2,30,0),IF(140=$HK48,IF($JC48=1,30,0),ABS(20-$HC48)*100)),100000+ABS(6-$HB48)*1000+200)),IF($HD48=0,999999,IF(6=$HE48,IF(140=$HL48,IF($JD48=2,30,0),IF(140=$HM48,IF($JD48=1,30,0),ABS(20-$HF48)*100)),100000+ABS(6-$HE48)*1000+200)),IF($HG48=0,999999,IF(6=$HH48,IF(140=$HN48,IF($JE48=2,30,0),IF(140=$HO48,IF($JE48=1,30,0),ABS(20-$HI48)*100)),100000+ABS(6-$HH48)*1000+200)))-IF((140=$HJ48)+(140=$HK48)+(140=$HL48)+(140=$HM48)+(140=$HN48)+(140=$HO48)&gt;=2,50,0))+EM$5*50)</f>
        <v/>
      </c>
      <c r="EN168">
        <f>IF(OR($JF48=0,calcA!$A$6=0),0,IF(OR(141=$HA48,141=$HD48,141=$HG48),200000,MIN(IF($HA48=0,999999,IF(6=$HB48,IF(141=$HJ48,IF($JC48=2,30,0),IF(141=$HK48,IF($JC48=1,30,0),ABS(21-$HC48)*100)),100000+ABS(6-$HB48)*1000+210)),IF($HD48=0,999999,IF(6=$HE48,IF(141=$HL48,IF($JD48=2,30,0),IF(141=$HM48,IF($JD48=1,30,0),ABS(21-$HF48)*100)),100000+ABS(6-$HE48)*1000+210)),IF($HG48=0,999999,IF(6=$HH48,IF(141=$HN48,IF($JE48=2,30,0),IF(141=$HO48,IF($JE48=1,30,0),ABS(21-$HI48)*100)),100000+ABS(6-$HH48)*1000+210)))-IF((141=$HJ48)+(141=$HK48)+(141=$HL48)+(141=$HM48)+(141=$HN48)+(141=$HO48)&gt;=2,50,0))+EN$5*50)</f>
        <v/>
      </c>
      <c r="EO168">
        <f>IF(OR($JF48=0,calcA!$A$6=0),0,IF(OR(142=$HA48,142=$HD48,142=$HG48),200000,MIN(IF($HA48=0,999999,IF(6=$HB48,IF(142=$HJ48,IF($JC48=2,30,0),IF(142=$HK48,IF($JC48=1,30,0),ABS(22-$HC48)*100)),100000+ABS(6-$HB48)*1000+220)),IF($HD48=0,999999,IF(6=$HE48,IF(142=$HL48,IF($JD48=2,30,0),IF(142=$HM48,IF($JD48=1,30,0),ABS(22-$HF48)*100)),100000+ABS(6-$HE48)*1000+220)),IF($HG48=0,999999,IF(6=$HH48,IF(142=$HN48,IF($JE48=2,30,0),IF(142=$HO48,IF($JE48=1,30,0),ABS(22-$HI48)*100)),100000+ABS(6-$HH48)*1000+220)))-IF((142=$HJ48)+(142=$HK48)+(142=$HL48)+(142=$HM48)+(142=$HN48)+(142=$HO48)&gt;=2,50,0))+EO$5*50)</f>
        <v/>
      </c>
      <c r="EP168">
        <f>IF(OR($JF48=0,calcA!$A$6=0),0,IF(OR(143=$HA48,143=$HD48,143=$HG48),200000,MIN(IF($HA48=0,999999,IF(6=$HB48,IF(143=$HJ48,IF($JC48=2,30,0),IF(143=$HK48,IF($JC48=1,30,0),ABS(23-$HC48)*100)),100000+ABS(6-$HB48)*1000+230)),IF($HD48=0,999999,IF(6=$HE48,IF(143=$HL48,IF($JD48=2,30,0),IF(143=$HM48,IF($JD48=1,30,0),ABS(23-$HF48)*100)),100000+ABS(6-$HE48)*1000+230)),IF($HG48=0,999999,IF(6=$HH48,IF(143=$HN48,IF($JE48=2,30,0),IF(143=$HO48,IF($JE48=1,30,0),ABS(23-$HI48)*100)),100000+ABS(6-$HH48)*1000+230)))-IF((143=$HJ48)+(143=$HK48)+(143=$HL48)+(143=$HM48)+(143=$HN48)+(143=$HO48)&gt;=2,50,0))+EP$5*50)</f>
        <v/>
      </c>
      <c r="EQ168">
        <f>IF(OR($JF48=0,calcA!$A$6=0),0,IF(OR(144=$HA48,144=$HD48,144=$HG48),200000,MIN(IF($HA48=0,999999,IF(6=$HB48,IF(144=$HJ48,IF($JC48=2,30,0),IF(144=$HK48,IF($JC48=1,30,0),ABS(24-$HC48)*100)),100000+ABS(6-$HB48)*1000+240)),IF($HD48=0,999999,IF(6=$HE48,IF(144=$HL48,IF($JD48=2,30,0),IF(144=$HM48,IF($JD48=1,30,0),ABS(24-$HF48)*100)),100000+ABS(6-$HE48)*1000+240)),IF($HG48=0,999999,IF(6=$HH48,IF(144=$HN48,IF($JE48=2,30,0),IF(144=$HO48,IF($JE48=1,30,0),ABS(24-$HI48)*100)),100000+ABS(6-$HH48)*1000+240)))-IF((144=$HJ48)+(144=$HK48)+(144=$HL48)+(144=$HM48)+(144=$HN48)+(144=$HO48)&gt;=2,50,0))+EQ$5*50)</f>
        <v/>
      </c>
    </row>
    <row r="169">
      <c r="D169">
        <f>IF(OR($JF49=0,calcA!$A$6=0),0,IF(OR(1=$HA49,1=$HD49,1=$HG49),200000,MIN(IF($HA49=0,999999,IF(1=$HB49,IF(1=$HJ49,IF($JC49=2,30,0),IF(1=$HK49,IF($JC49=1,30,0),ABS(1-$HC49)*100)),100000+ABS(1-$HB49)*1000+10)),IF($HD49=0,999999,IF(1=$HE49,IF(1=$HL49,IF($JD49=2,30,0),IF(1=$HM49,IF($JD49=1,30,0),ABS(1-$HF49)*100)),100000+ABS(1-$HE49)*1000+10)),IF($HG49=0,999999,IF(1=$HH49,IF(1=$HN49,IF($JE49=2,30,0),IF(1=$HO49,IF($JE49=1,30,0),ABS(1-$HI49)*100)),100000+ABS(1-$HH49)*1000+10)))-IF((1=$HJ49)+(1=$HK49)+(1=$HL49)+(1=$HM49)+(1=$HN49)+(1=$HO49)&gt;=2,50,0))+D$5*50)</f>
        <v/>
      </c>
      <c r="E169">
        <f>IF(OR($JF49=0,calcA!$A$6=0),0,IF(OR(2=$HA49,2=$HD49,2=$HG49),200000,MIN(IF($HA49=0,999999,IF(1=$HB49,IF(2=$HJ49,IF($JC49=2,30,0),IF(2=$HK49,IF($JC49=1,30,0),ABS(2-$HC49)*100)),100000+ABS(1-$HB49)*1000+20)),IF($HD49=0,999999,IF(1=$HE49,IF(2=$HL49,IF($JD49=2,30,0),IF(2=$HM49,IF($JD49=1,30,0),ABS(2-$HF49)*100)),100000+ABS(1-$HE49)*1000+20)),IF($HG49=0,999999,IF(1=$HH49,IF(2=$HN49,IF($JE49=2,30,0),IF(2=$HO49,IF($JE49=1,30,0),ABS(2-$HI49)*100)),100000+ABS(1-$HH49)*1000+20)))-IF((2=$HJ49)+(2=$HK49)+(2=$HL49)+(2=$HM49)+(2=$HN49)+(2=$HO49)&gt;=2,50,0))+E$5*50)</f>
        <v/>
      </c>
      <c r="F169">
        <f>IF(OR($JF49=0,calcA!$A$6=0),0,IF(OR(3=$HA49,3=$HD49,3=$HG49),200000,MIN(IF($HA49=0,999999,IF(1=$HB49,IF(3=$HJ49,IF($JC49=2,30,0),IF(3=$HK49,IF($JC49=1,30,0),ABS(3-$HC49)*100)),100000+ABS(1-$HB49)*1000+30)),IF($HD49=0,999999,IF(1=$HE49,IF(3=$HL49,IF($JD49=2,30,0),IF(3=$HM49,IF($JD49=1,30,0),ABS(3-$HF49)*100)),100000+ABS(1-$HE49)*1000+30)),IF($HG49=0,999999,IF(1=$HH49,IF(3=$HN49,IF($JE49=2,30,0),IF(3=$HO49,IF($JE49=1,30,0),ABS(3-$HI49)*100)),100000+ABS(1-$HH49)*1000+30)))-IF((3=$HJ49)+(3=$HK49)+(3=$HL49)+(3=$HM49)+(3=$HN49)+(3=$HO49)&gt;=2,50,0))+F$5*50)</f>
        <v/>
      </c>
      <c r="G169">
        <f>IF(OR($JF49=0,calcA!$A$6=0),0,IF(OR(4=$HA49,4=$HD49,4=$HG49),200000,MIN(IF($HA49=0,999999,IF(1=$HB49,IF(4=$HJ49,IF($JC49=2,30,0),IF(4=$HK49,IF($JC49=1,30,0),ABS(4-$HC49)*100)),100000+ABS(1-$HB49)*1000+40)),IF($HD49=0,999999,IF(1=$HE49,IF(4=$HL49,IF($JD49=2,30,0),IF(4=$HM49,IF($JD49=1,30,0),ABS(4-$HF49)*100)),100000+ABS(1-$HE49)*1000+40)),IF($HG49=0,999999,IF(1=$HH49,IF(4=$HN49,IF($JE49=2,30,0),IF(4=$HO49,IF($JE49=1,30,0),ABS(4-$HI49)*100)),100000+ABS(1-$HH49)*1000+40)))-IF((4=$HJ49)+(4=$HK49)+(4=$HL49)+(4=$HM49)+(4=$HN49)+(4=$HO49)&gt;=2,50,0))+G$5*50)</f>
        <v/>
      </c>
      <c r="H169">
        <f>IF(OR($JF49=0,calcA!$A$6=0),0,IF(OR(5=$HA49,5=$HD49,5=$HG49),200000,MIN(IF($HA49=0,999999,IF(1=$HB49,IF(5=$HJ49,IF($JC49=2,30,0),IF(5=$HK49,IF($JC49=1,30,0),ABS(5-$HC49)*100)),100000+ABS(1-$HB49)*1000+50)),IF($HD49=0,999999,IF(1=$HE49,IF(5=$HL49,IF($JD49=2,30,0),IF(5=$HM49,IF($JD49=1,30,0),ABS(5-$HF49)*100)),100000+ABS(1-$HE49)*1000+50)),IF($HG49=0,999999,IF(1=$HH49,IF(5=$HN49,IF($JE49=2,30,0),IF(5=$HO49,IF($JE49=1,30,0),ABS(5-$HI49)*100)),100000+ABS(1-$HH49)*1000+50)))-IF((5=$HJ49)+(5=$HK49)+(5=$HL49)+(5=$HM49)+(5=$HN49)+(5=$HO49)&gt;=2,50,0))+H$5*50)</f>
        <v/>
      </c>
      <c r="I169">
        <f>IF(OR($JF49=0,calcA!$A$6=0),0,IF(OR(6=$HA49,6=$HD49,6=$HG49),200000,MIN(IF($HA49=0,999999,IF(1=$HB49,IF(6=$HJ49,IF($JC49=2,30,0),IF(6=$HK49,IF($JC49=1,30,0),ABS(6-$HC49)*100)),100000+ABS(1-$HB49)*1000+60)),IF($HD49=0,999999,IF(1=$HE49,IF(6=$HL49,IF($JD49=2,30,0),IF(6=$HM49,IF($JD49=1,30,0),ABS(6-$HF49)*100)),100000+ABS(1-$HE49)*1000+60)),IF($HG49=0,999999,IF(1=$HH49,IF(6=$HN49,IF($JE49=2,30,0),IF(6=$HO49,IF($JE49=1,30,0),ABS(6-$HI49)*100)),100000+ABS(1-$HH49)*1000+60)))-IF((6=$HJ49)+(6=$HK49)+(6=$HL49)+(6=$HM49)+(6=$HN49)+(6=$HO49)&gt;=2,50,0))+I$5*50)</f>
        <v/>
      </c>
      <c r="J169">
        <f>IF(OR($JF49=0,calcA!$A$6=0),0,IF(OR(7=$HA49,7=$HD49,7=$HG49),200000,MIN(IF($HA49=0,999999,IF(1=$HB49,IF(7=$HJ49,IF($JC49=2,30,0),IF(7=$HK49,IF($JC49=1,30,0),ABS(7-$HC49)*100)),100000+ABS(1-$HB49)*1000+70)),IF($HD49=0,999999,IF(1=$HE49,IF(7=$HL49,IF($JD49=2,30,0),IF(7=$HM49,IF($JD49=1,30,0),ABS(7-$HF49)*100)),100000+ABS(1-$HE49)*1000+70)),IF($HG49=0,999999,IF(1=$HH49,IF(7=$HN49,IF($JE49=2,30,0),IF(7=$HO49,IF($JE49=1,30,0),ABS(7-$HI49)*100)),100000+ABS(1-$HH49)*1000+70)))-IF((7=$HJ49)+(7=$HK49)+(7=$HL49)+(7=$HM49)+(7=$HN49)+(7=$HO49)&gt;=2,50,0))+J$5*50)</f>
        <v/>
      </c>
      <c r="K169">
        <f>IF(OR($JF49=0,calcA!$A$6=0),0,IF(OR(8=$HA49,8=$HD49,8=$HG49),200000,MIN(IF($HA49=0,999999,IF(1=$HB49,IF(8=$HJ49,IF($JC49=2,30,0),IF(8=$HK49,IF($JC49=1,30,0),ABS(8-$HC49)*100)),100000+ABS(1-$HB49)*1000+80)),IF($HD49=0,999999,IF(1=$HE49,IF(8=$HL49,IF($JD49=2,30,0),IF(8=$HM49,IF($JD49=1,30,0),ABS(8-$HF49)*100)),100000+ABS(1-$HE49)*1000+80)),IF($HG49=0,999999,IF(1=$HH49,IF(8=$HN49,IF($JE49=2,30,0),IF(8=$HO49,IF($JE49=1,30,0),ABS(8-$HI49)*100)),100000+ABS(1-$HH49)*1000+80)))-IF((8=$HJ49)+(8=$HK49)+(8=$HL49)+(8=$HM49)+(8=$HN49)+(8=$HO49)&gt;=2,50,0))+K$5*50)</f>
        <v/>
      </c>
      <c r="L169">
        <f>IF(OR($JF49=0,calcA!$A$6=0),0,IF(OR(9=$HA49,9=$HD49,9=$HG49),200000,MIN(IF($HA49=0,999999,IF(1=$HB49,IF(9=$HJ49,IF($JC49=2,30,0),IF(9=$HK49,IF($JC49=1,30,0),ABS(9-$HC49)*100)),100000+ABS(1-$HB49)*1000+90)),IF($HD49=0,999999,IF(1=$HE49,IF(9=$HL49,IF($JD49=2,30,0),IF(9=$HM49,IF($JD49=1,30,0),ABS(9-$HF49)*100)),100000+ABS(1-$HE49)*1000+90)),IF($HG49=0,999999,IF(1=$HH49,IF(9=$HN49,IF($JE49=2,30,0),IF(9=$HO49,IF($JE49=1,30,0),ABS(9-$HI49)*100)),100000+ABS(1-$HH49)*1000+90)))-IF((9=$HJ49)+(9=$HK49)+(9=$HL49)+(9=$HM49)+(9=$HN49)+(9=$HO49)&gt;=2,50,0))+L$5*50)</f>
        <v/>
      </c>
      <c r="M169">
        <f>IF(OR($JF49=0,calcA!$A$6=0),0,IF(OR(10=$HA49,10=$HD49,10=$HG49),200000,MIN(IF($HA49=0,999999,IF(1=$HB49,IF(10=$HJ49,IF($JC49=2,30,0),IF(10=$HK49,IF($JC49=1,30,0),ABS(10-$HC49)*100)),100000+ABS(1-$HB49)*1000+100)),IF($HD49=0,999999,IF(1=$HE49,IF(10=$HL49,IF($JD49=2,30,0),IF(10=$HM49,IF($JD49=1,30,0),ABS(10-$HF49)*100)),100000+ABS(1-$HE49)*1000+100)),IF($HG49=0,999999,IF(1=$HH49,IF(10=$HN49,IF($JE49=2,30,0),IF(10=$HO49,IF($JE49=1,30,0),ABS(10-$HI49)*100)),100000+ABS(1-$HH49)*1000+100)))-IF((10=$HJ49)+(10=$HK49)+(10=$HL49)+(10=$HM49)+(10=$HN49)+(10=$HO49)&gt;=2,50,0))+M$5*50)</f>
        <v/>
      </c>
      <c r="N169">
        <f>IF(OR($JF49=0,calcA!$A$6=0),0,IF(OR(11=$HA49,11=$HD49,11=$HG49),200000,MIN(IF($HA49=0,999999,IF(1=$HB49,IF(11=$HJ49,IF($JC49=2,30,0),IF(11=$HK49,IF($JC49=1,30,0),ABS(11-$HC49)*100)),100000+ABS(1-$HB49)*1000+110)),IF($HD49=0,999999,IF(1=$HE49,IF(11=$HL49,IF($JD49=2,30,0),IF(11=$HM49,IF($JD49=1,30,0),ABS(11-$HF49)*100)),100000+ABS(1-$HE49)*1000+110)),IF($HG49=0,999999,IF(1=$HH49,IF(11=$HN49,IF($JE49=2,30,0),IF(11=$HO49,IF($JE49=1,30,0),ABS(11-$HI49)*100)),100000+ABS(1-$HH49)*1000+110)))-IF((11=$HJ49)+(11=$HK49)+(11=$HL49)+(11=$HM49)+(11=$HN49)+(11=$HO49)&gt;=2,50,0))+N$5*50)</f>
        <v/>
      </c>
      <c r="O169">
        <f>IF(OR($JF49=0,calcA!$A$6=0),0,IF(OR(12=$HA49,12=$HD49,12=$HG49),200000,MIN(IF($HA49=0,999999,IF(1=$HB49,IF(12=$HJ49,IF($JC49=2,30,0),IF(12=$HK49,IF($JC49=1,30,0),ABS(12-$HC49)*100)),100000+ABS(1-$HB49)*1000+120)),IF($HD49=0,999999,IF(1=$HE49,IF(12=$HL49,IF($JD49=2,30,0),IF(12=$HM49,IF($JD49=1,30,0),ABS(12-$HF49)*100)),100000+ABS(1-$HE49)*1000+120)),IF($HG49=0,999999,IF(1=$HH49,IF(12=$HN49,IF($JE49=2,30,0),IF(12=$HO49,IF($JE49=1,30,0),ABS(12-$HI49)*100)),100000+ABS(1-$HH49)*1000+120)))-IF((12=$HJ49)+(12=$HK49)+(12=$HL49)+(12=$HM49)+(12=$HN49)+(12=$HO49)&gt;=2,50,0))+O$5*50)</f>
        <v/>
      </c>
      <c r="P169">
        <f>IF(OR($JF49=0,calcA!$A$6=0),0,IF(OR(13=$HA49,13=$HD49,13=$HG49),200000,MIN(IF($HA49=0,999999,IF(1=$HB49,IF(13=$HJ49,IF($JC49=2,30,0),IF(13=$HK49,IF($JC49=1,30,0),ABS(13-$HC49)*100)),100000+ABS(1-$HB49)*1000+130)),IF($HD49=0,999999,IF(1=$HE49,IF(13=$HL49,IF($JD49=2,30,0),IF(13=$HM49,IF($JD49=1,30,0),ABS(13-$HF49)*100)),100000+ABS(1-$HE49)*1000+130)),IF($HG49=0,999999,IF(1=$HH49,IF(13=$HN49,IF($JE49=2,30,0),IF(13=$HO49,IF($JE49=1,30,0),ABS(13-$HI49)*100)),100000+ABS(1-$HH49)*1000+130)))-IF((13=$HJ49)+(13=$HK49)+(13=$HL49)+(13=$HM49)+(13=$HN49)+(13=$HO49)&gt;=2,50,0))+P$5*50)</f>
        <v/>
      </c>
      <c r="Q169">
        <f>IF(OR($JF49=0,calcA!$A$6=0),0,IF(OR(14=$HA49,14=$HD49,14=$HG49),200000,MIN(IF($HA49=0,999999,IF(1=$HB49,IF(14=$HJ49,IF($JC49=2,30,0),IF(14=$HK49,IF($JC49=1,30,0),ABS(14-$HC49)*100)),100000+ABS(1-$HB49)*1000+140)),IF($HD49=0,999999,IF(1=$HE49,IF(14=$HL49,IF($JD49=2,30,0),IF(14=$HM49,IF($JD49=1,30,0),ABS(14-$HF49)*100)),100000+ABS(1-$HE49)*1000+140)),IF($HG49=0,999999,IF(1=$HH49,IF(14=$HN49,IF($JE49=2,30,0),IF(14=$HO49,IF($JE49=1,30,0),ABS(14-$HI49)*100)),100000+ABS(1-$HH49)*1000+140)))-IF((14=$HJ49)+(14=$HK49)+(14=$HL49)+(14=$HM49)+(14=$HN49)+(14=$HO49)&gt;=2,50,0))+Q$5*50)</f>
        <v/>
      </c>
      <c r="R169">
        <f>IF(OR($JF49=0,calcA!$A$6=0),0,IF(OR(15=$HA49,15=$HD49,15=$HG49),200000,MIN(IF($HA49=0,999999,IF(1=$HB49,IF(15=$HJ49,IF($JC49=2,30,0),IF(15=$HK49,IF($JC49=1,30,0),ABS(15-$HC49)*100)),100000+ABS(1-$HB49)*1000+150)),IF($HD49=0,999999,IF(1=$HE49,IF(15=$HL49,IF($JD49=2,30,0),IF(15=$HM49,IF($JD49=1,30,0),ABS(15-$HF49)*100)),100000+ABS(1-$HE49)*1000+150)),IF($HG49=0,999999,IF(1=$HH49,IF(15=$HN49,IF($JE49=2,30,0),IF(15=$HO49,IF($JE49=1,30,0),ABS(15-$HI49)*100)),100000+ABS(1-$HH49)*1000+150)))-IF((15=$HJ49)+(15=$HK49)+(15=$HL49)+(15=$HM49)+(15=$HN49)+(15=$HO49)&gt;=2,50,0))+R$5*50)</f>
        <v/>
      </c>
      <c r="S169">
        <f>IF(OR($JF49=0,calcA!$A$6=0),0,IF(OR(16=$HA49,16=$HD49,16=$HG49),200000,MIN(IF($HA49=0,999999,IF(1=$HB49,IF(16=$HJ49,IF($JC49=2,30,0),IF(16=$HK49,IF($JC49=1,30,0),ABS(16-$HC49)*100)),100000+ABS(1-$HB49)*1000+160)),IF($HD49=0,999999,IF(1=$HE49,IF(16=$HL49,IF($JD49=2,30,0),IF(16=$HM49,IF($JD49=1,30,0),ABS(16-$HF49)*100)),100000+ABS(1-$HE49)*1000+160)),IF($HG49=0,999999,IF(1=$HH49,IF(16=$HN49,IF($JE49=2,30,0),IF(16=$HO49,IF($JE49=1,30,0),ABS(16-$HI49)*100)),100000+ABS(1-$HH49)*1000+160)))-IF((16=$HJ49)+(16=$HK49)+(16=$HL49)+(16=$HM49)+(16=$HN49)+(16=$HO49)&gt;=2,50,0))+S$5*50)</f>
        <v/>
      </c>
      <c r="T169">
        <f>IF(OR($JF49=0,calcA!$A$6=0),0,IF(OR(17=$HA49,17=$HD49,17=$HG49),200000,MIN(IF($HA49=0,999999,IF(1=$HB49,IF(17=$HJ49,IF($JC49=2,30,0),IF(17=$HK49,IF($JC49=1,30,0),ABS(17-$HC49)*100)),100000+ABS(1-$HB49)*1000+170)),IF($HD49=0,999999,IF(1=$HE49,IF(17=$HL49,IF($JD49=2,30,0),IF(17=$HM49,IF($JD49=1,30,0),ABS(17-$HF49)*100)),100000+ABS(1-$HE49)*1000+170)),IF($HG49=0,999999,IF(1=$HH49,IF(17=$HN49,IF($JE49=2,30,0),IF(17=$HO49,IF($JE49=1,30,0),ABS(17-$HI49)*100)),100000+ABS(1-$HH49)*1000+170)))-IF((17=$HJ49)+(17=$HK49)+(17=$HL49)+(17=$HM49)+(17=$HN49)+(17=$HO49)&gt;=2,50,0))+T$5*50)</f>
        <v/>
      </c>
      <c r="U169">
        <f>IF(OR($JF49=0,calcA!$A$6=0),0,IF(OR(18=$HA49,18=$HD49,18=$HG49),200000,MIN(IF($HA49=0,999999,IF(1=$HB49,IF(18=$HJ49,IF($JC49=2,30,0),IF(18=$HK49,IF($JC49=1,30,0),ABS(18-$HC49)*100)),100000+ABS(1-$HB49)*1000+180)),IF($HD49=0,999999,IF(1=$HE49,IF(18=$HL49,IF($JD49=2,30,0),IF(18=$HM49,IF($JD49=1,30,0),ABS(18-$HF49)*100)),100000+ABS(1-$HE49)*1000+180)),IF($HG49=0,999999,IF(1=$HH49,IF(18=$HN49,IF($JE49=2,30,0),IF(18=$HO49,IF($JE49=1,30,0),ABS(18-$HI49)*100)),100000+ABS(1-$HH49)*1000+180)))-IF((18=$HJ49)+(18=$HK49)+(18=$HL49)+(18=$HM49)+(18=$HN49)+(18=$HO49)&gt;=2,50,0))+U$5*50)</f>
        <v/>
      </c>
      <c r="V169">
        <f>IF(OR($JF49=0,calcA!$A$6=0),0,IF(OR(19=$HA49,19=$HD49,19=$HG49),200000,MIN(IF($HA49=0,999999,IF(1=$HB49,IF(19=$HJ49,IF($JC49=2,30,0),IF(19=$HK49,IF($JC49=1,30,0),ABS(19-$HC49)*100)),100000+ABS(1-$HB49)*1000+190)),IF($HD49=0,999999,IF(1=$HE49,IF(19=$HL49,IF($JD49=2,30,0),IF(19=$HM49,IF($JD49=1,30,0),ABS(19-$HF49)*100)),100000+ABS(1-$HE49)*1000+190)),IF($HG49=0,999999,IF(1=$HH49,IF(19=$HN49,IF($JE49=2,30,0),IF(19=$HO49,IF($JE49=1,30,0),ABS(19-$HI49)*100)),100000+ABS(1-$HH49)*1000+190)))-IF((19=$HJ49)+(19=$HK49)+(19=$HL49)+(19=$HM49)+(19=$HN49)+(19=$HO49)&gt;=2,50,0))+V$5*50)</f>
        <v/>
      </c>
      <c r="W169">
        <f>IF(OR($JF49=0,calcA!$A$6=0),0,IF(OR(20=$HA49,20=$HD49,20=$HG49),200000,MIN(IF($HA49=0,999999,IF(1=$HB49,IF(20=$HJ49,IF($JC49=2,30,0),IF(20=$HK49,IF($JC49=1,30,0),ABS(20-$HC49)*100)),100000+ABS(1-$HB49)*1000+200)),IF($HD49=0,999999,IF(1=$HE49,IF(20=$HL49,IF($JD49=2,30,0),IF(20=$HM49,IF($JD49=1,30,0),ABS(20-$HF49)*100)),100000+ABS(1-$HE49)*1000+200)),IF($HG49=0,999999,IF(1=$HH49,IF(20=$HN49,IF($JE49=2,30,0),IF(20=$HO49,IF($JE49=1,30,0),ABS(20-$HI49)*100)),100000+ABS(1-$HH49)*1000+200)))-IF((20=$HJ49)+(20=$HK49)+(20=$HL49)+(20=$HM49)+(20=$HN49)+(20=$HO49)&gt;=2,50,0))+W$5*50)</f>
        <v/>
      </c>
      <c r="X169">
        <f>IF(OR($JF49=0,calcA!$A$6=0),0,IF(OR(21=$HA49,21=$HD49,21=$HG49),200000,MIN(IF($HA49=0,999999,IF(1=$HB49,IF(21=$HJ49,IF($JC49=2,30,0),IF(21=$HK49,IF($JC49=1,30,0),ABS(21-$HC49)*100)),100000+ABS(1-$HB49)*1000+210)),IF($HD49=0,999999,IF(1=$HE49,IF(21=$HL49,IF($JD49=2,30,0),IF(21=$HM49,IF($JD49=1,30,0),ABS(21-$HF49)*100)),100000+ABS(1-$HE49)*1000+210)),IF($HG49=0,999999,IF(1=$HH49,IF(21=$HN49,IF($JE49=2,30,0),IF(21=$HO49,IF($JE49=1,30,0),ABS(21-$HI49)*100)),100000+ABS(1-$HH49)*1000+210)))-IF((21=$HJ49)+(21=$HK49)+(21=$HL49)+(21=$HM49)+(21=$HN49)+(21=$HO49)&gt;=2,50,0))+X$5*50)</f>
        <v/>
      </c>
      <c r="Y169">
        <f>IF(OR($JF49=0,calcA!$A$6=0),0,IF(OR(22=$HA49,22=$HD49,22=$HG49),200000,MIN(IF($HA49=0,999999,IF(1=$HB49,IF(22=$HJ49,IF($JC49=2,30,0),IF(22=$HK49,IF($JC49=1,30,0),ABS(22-$HC49)*100)),100000+ABS(1-$HB49)*1000+220)),IF($HD49=0,999999,IF(1=$HE49,IF(22=$HL49,IF($JD49=2,30,0),IF(22=$HM49,IF($JD49=1,30,0),ABS(22-$HF49)*100)),100000+ABS(1-$HE49)*1000+220)),IF($HG49=0,999999,IF(1=$HH49,IF(22=$HN49,IF($JE49=2,30,0),IF(22=$HO49,IF($JE49=1,30,0),ABS(22-$HI49)*100)),100000+ABS(1-$HH49)*1000+220)))-IF((22=$HJ49)+(22=$HK49)+(22=$HL49)+(22=$HM49)+(22=$HN49)+(22=$HO49)&gt;=2,50,0))+Y$5*50)</f>
        <v/>
      </c>
      <c r="Z169">
        <f>IF(OR($JF49=0,calcA!$A$6=0),0,IF(OR(23=$HA49,23=$HD49,23=$HG49),200000,MIN(IF($HA49=0,999999,IF(1=$HB49,IF(23=$HJ49,IF($JC49=2,30,0),IF(23=$HK49,IF($JC49=1,30,0),ABS(23-$HC49)*100)),100000+ABS(1-$HB49)*1000+230)),IF($HD49=0,999999,IF(1=$HE49,IF(23=$HL49,IF($JD49=2,30,0),IF(23=$HM49,IF($JD49=1,30,0),ABS(23-$HF49)*100)),100000+ABS(1-$HE49)*1000+230)),IF($HG49=0,999999,IF(1=$HH49,IF(23=$HN49,IF($JE49=2,30,0),IF(23=$HO49,IF($JE49=1,30,0),ABS(23-$HI49)*100)),100000+ABS(1-$HH49)*1000+230)))-IF((23=$HJ49)+(23=$HK49)+(23=$HL49)+(23=$HM49)+(23=$HN49)+(23=$HO49)&gt;=2,50,0))+Z$5*50)</f>
        <v/>
      </c>
      <c r="AA169">
        <f>IF(OR($JF49=0,calcA!$A$6=0),0,IF(OR(24=$HA49,24=$HD49,24=$HG49),200000,MIN(IF($HA49=0,999999,IF(1=$HB49,IF(24=$HJ49,IF($JC49=2,30,0),IF(24=$HK49,IF($JC49=1,30,0),ABS(24-$HC49)*100)),100000+ABS(1-$HB49)*1000+240)),IF($HD49=0,999999,IF(1=$HE49,IF(24=$HL49,IF($JD49=2,30,0),IF(24=$HM49,IF($JD49=1,30,0),ABS(24-$HF49)*100)),100000+ABS(1-$HE49)*1000+240)),IF($HG49=0,999999,IF(1=$HH49,IF(24=$HN49,IF($JE49=2,30,0),IF(24=$HO49,IF($JE49=1,30,0),ABS(24-$HI49)*100)),100000+ABS(1-$HH49)*1000+240)))-IF((24=$HJ49)+(24=$HK49)+(24=$HL49)+(24=$HM49)+(24=$HN49)+(24=$HO49)&gt;=2,50,0))+AA$5*50)</f>
        <v/>
      </c>
      <c r="AB169">
        <f>IF(OR($JF49=0,calcA!$A$6=0),0,IF(OR(25=$HA49,25=$HD49,25=$HG49),200000,MIN(IF($HA49=0,999999,IF(2=$HB49,IF(25=$HJ49,IF($JC49=2,30,0),IF(25=$HK49,IF($JC49=1,30,0),ABS(1-$HC49)*100)),100000+ABS(2-$HB49)*1000+10)),IF($HD49=0,999999,IF(2=$HE49,IF(25=$HL49,IF($JD49=2,30,0),IF(25=$HM49,IF($JD49=1,30,0),ABS(1-$HF49)*100)),100000+ABS(2-$HE49)*1000+10)),IF($HG49=0,999999,IF(2=$HH49,IF(25=$HN49,IF($JE49=2,30,0),IF(25=$HO49,IF($JE49=1,30,0),ABS(1-$HI49)*100)),100000+ABS(2-$HH49)*1000+10)))-IF((25=$HJ49)+(25=$HK49)+(25=$HL49)+(25=$HM49)+(25=$HN49)+(25=$HO49)&gt;=2,50,0))+AB$5*50)</f>
        <v/>
      </c>
      <c r="AC169">
        <f>IF(OR($JF49=0,calcA!$A$6=0),0,IF(OR(26=$HA49,26=$HD49,26=$HG49),200000,MIN(IF($HA49=0,999999,IF(2=$HB49,IF(26=$HJ49,IF($JC49=2,30,0),IF(26=$HK49,IF($JC49=1,30,0),ABS(2-$HC49)*100)),100000+ABS(2-$HB49)*1000+20)),IF($HD49=0,999999,IF(2=$HE49,IF(26=$HL49,IF($JD49=2,30,0),IF(26=$HM49,IF($JD49=1,30,0),ABS(2-$HF49)*100)),100000+ABS(2-$HE49)*1000+20)),IF($HG49=0,999999,IF(2=$HH49,IF(26=$HN49,IF($JE49=2,30,0),IF(26=$HO49,IF($JE49=1,30,0),ABS(2-$HI49)*100)),100000+ABS(2-$HH49)*1000+20)))-IF((26=$HJ49)+(26=$HK49)+(26=$HL49)+(26=$HM49)+(26=$HN49)+(26=$HO49)&gt;=2,50,0))+AC$5*50)</f>
        <v/>
      </c>
      <c r="AD169">
        <f>IF(OR($JF49=0,calcA!$A$6=0),0,IF(OR(27=$HA49,27=$HD49,27=$HG49),200000,MIN(IF($HA49=0,999999,IF(2=$HB49,IF(27=$HJ49,IF($JC49=2,30,0),IF(27=$HK49,IF($JC49=1,30,0),ABS(3-$HC49)*100)),100000+ABS(2-$HB49)*1000+30)),IF($HD49=0,999999,IF(2=$HE49,IF(27=$HL49,IF($JD49=2,30,0),IF(27=$HM49,IF($JD49=1,30,0),ABS(3-$HF49)*100)),100000+ABS(2-$HE49)*1000+30)),IF($HG49=0,999999,IF(2=$HH49,IF(27=$HN49,IF($JE49=2,30,0),IF(27=$HO49,IF($JE49=1,30,0),ABS(3-$HI49)*100)),100000+ABS(2-$HH49)*1000+30)))-IF((27=$HJ49)+(27=$HK49)+(27=$HL49)+(27=$HM49)+(27=$HN49)+(27=$HO49)&gt;=2,50,0))+AD$5*50)</f>
        <v/>
      </c>
      <c r="AE169">
        <f>IF(OR($JF49=0,calcA!$A$6=0),0,IF(OR(28=$HA49,28=$HD49,28=$HG49),200000,MIN(IF($HA49=0,999999,IF(2=$HB49,IF(28=$HJ49,IF($JC49=2,30,0),IF(28=$HK49,IF($JC49=1,30,0),ABS(4-$HC49)*100)),100000+ABS(2-$HB49)*1000+40)),IF($HD49=0,999999,IF(2=$HE49,IF(28=$HL49,IF($JD49=2,30,0),IF(28=$HM49,IF($JD49=1,30,0),ABS(4-$HF49)*100)),100000+ABS(2-$HE49)*1000+40)),IF($HG49=0,999999,IF(2=$HH49,IF(28=$HN49,IF($JE49=2,30,0),IF(28=$HO49,IF($JE49=1,30,0),ABS(4-$HI49)*100)),100000+ABS(2-$HH49)*1000+40)))-IF((28=$HJ49)+(28=$HK49)+(28=$HL49)+(28=$HM49)+(28=$HN49)+(28=$HO49)&gt;=2,50,0))+AE$5*50)</f>
        <v/>
      </c>
      <c r="AF169">
        <f>IF(OR($JF49=0,calcA!$A$6=0),0,IF(OR(29=$HA49,29=$HD49,29=$HG49),200000,MIN(IF($HA49=0,999999,IF(2=$HB49,IF(29=$HJ49,IF($JC49=2,30,0),IF(29=$HK49,IF($JC49=1,30,0),ABS(5-$HC49)*100)),100000+ABS(2-$HB49)*1000+50)),IF($HD49=0,999999,IF(2=$HE49,IF(29=$HL49,IF($JD49=2,30,0),IF(29=$HM49,IF($JD49=1,30,0),ABS(5-$HF49)*100)),100000+ABS(2-$HE49)*1000+50)),IF($HG49=0,999999,IF(2=$HH49,IF(29=$HN49,IF($JE49=2,30,0),IF(29=$HO49,IF($JE49=1,30,0),ABS(5-$HI49)*100)),100000+ABS(2-$HH49)*1000+50)))-IF((29=$HJ49)+(29=$HK49)+(29=$HL49)+(29=$HM49)+(29=$HN49)+(29=$HO49)&gt;=2,50,0))+AF$5*50)</f>
        <v/>
      </c>
      <c r="AG169">
        <f>IF(OR($JF49=0,calcA!$A$6=0),0,IF(OR(30=$HA49,30=$HD49,30=$HG49),200000,MIN(IF($HA49=0,999999,IF(2=$HB49,IF(30=$HJ49,IF($JC49=2,30,0),IF(30=$HK49,IF($JC49=1,30,0),ABS(6-$HC49)*100)),100000+ABS(2-$HB49)*1000+60)),IF($HD49=0,999999,IF(2=$HE49,IF(30=$HL49,IF($JD49=2,30,0),IF(30=$HM49,IF($JD49=1,30,0),ABS(6-$HF49)*100)),100000+ABS(2-$HE49)*1000+60)),IF($HG49=0,999999,IF(2=$HH49,IF(30=$HN49,IF($JE49=2,30,0),IF(30=$HO49,IF($JE49=1,30,0),ABS(6-$HI49)*100)),100000+ABS(2-$HH49)*1000+60)))-IF((30=$HJ49)+(30=$HK49)+(30=$HL49)+(30=$HM49)+(30=$HN49)+(30=$HO49)&gt;=2,50,0))+AG$5*50)</f>
        <v/>
      </c>
      <c r="AH169">
        <f>IF(OR($JF49=0,calcA!$A$6=0),0,IF(OR(31=$HA49,31=$HD49,31=$HG49),200000,MIN(IF($HA49=0,999999,IF(2=$HB49,IF(31=$HJ49,IF($JC49=2,30,0),IF(31=$HK49,IF($JC49=1,30,0),ABS(7-$HC49)*100)),100000+ABS(2-$HB49)*1000+70)),IF($HD49=0,999999,IF(2=$HE49,IF(31=$HL49,IF($JD49=2,30,0),IF(31=$HM49,IF($JD49=1,30,0),ABS(7-$HF49)*100)),100000+ABS(2-$HE49)*1000+70)),IF($HG49=0,999999,IF(2=$HH49,IF(31=$HN49,IF($JE49=2,30,0),IF(31=$HO49,IF($JE49=1,30,0),ABS(7-$HI49)*100)),100000+ABS(2-$HH49)*1000+70)))-IF((31=$HJ49)+(31=$HK49)+(31=$HL49)+(31=$HM49)+(31=$HN49)+(31=$HO49)&gt;=2,50,0))+AH$5*50)</f>
        <v/>
      </c>
      <c r="AI169">
        <f>IF(OR($JF49=0,calcA!$A$6=0),0,IF(OR(32=$HA49,32=$HD49,32=$HG49),200000,MIN(IF($HA49=0,999999,IF(2=$HB49,IF(32=$HJ49,IF($JC49=2,30,0),IF(32=$HK49,IF($JC49=1,30,0),ABS(8-$HC49)*100)),100000+ABS(2-$HB49)*1000+80)),IF($HD49=0,999999,IF(2=$HE49,IF(32=$HL49,IF($JD49=2,30,0),IF(32=$HM49,IF($JD49=1,30,0),ABS(8-$HF49)*100)),100000+ABS(2-$HE49)*1000+80)),IF($HG49=0,999999,IF(2=$HH49,IF(32=$HN49,IF($JE49=2,30,0),IF(32=$HO49,IF($JE49=1,30,0),ABS(8-$HI49)*100)),100000+ABS(2-$HH49)*1000+80)))-IF((32=$HJ49)+(32=$HK49)+(32=$HL49)+(32=$HM49)+(32=$HN49)+(32=$HO49)&gt;=2,50,0))+AI$5*50)</f>
        <v/>
      </c>
      <c r="AJ169">
        <f>IF(OR($JF49=0,calcA!$A$6=0),0,IF(OR(33=$HA49,33=$HD49,33=$HG49),200000,MIN(IF($HA49=0,999999,IF(2=$HB49,IF(33=$HJ49,IF($JC49=2,30,0),IF(33=$HK49,IF($JC49=1,30,0),ABS(9-$HC49)*100)),100000+ABS(2-$HB49)*1000+90)),IF($HD49=0,999999,IF(2=$HE49,IF(33=$HL49,IF($JD49=2,30,0),IF(33=$HM49,IF($JD49=1,30,0),ABS(9-$HF49)*100)),100000+ABS(2-$HE49)*1000+90)),IF($HG49=0,999999,IF(2=$HH49,IF(33=$HN49,IF($JE49=2,30,0),IF(33=$HO49,IF($JE49=1,30,0),ABS(9-$HI49)*100)),100000+ABS(2-$HH49)*1000+90)))-IF((33=$HJ49)+(33=$HK49)+(33=$HL49)+(33=$HM49)+(33=$HN49)+(33=$HO49)&gt;=2,50,0))+AJ$5*50)</f>
        <v/>
      </c>
      <c r="AK169">
        <f>IF(OR($JF49=0,calcA!$A$6=0),0,IF(OR(34=$HA49,34=$HD49,34=$HG49),200000,MIN(IF($HA49=0,999999,IF(2=$HB49,IF(34=$HJ49,IF($JC49=2,30,0),IF(34=$HK49,IF($JC49=1,30,0),ABS(10-$HC49)*100)),100000+ABS(2-$HB49)*1000+100)),IF($HD49=0,999999,IF(2=$HE49,IF(34=$HL49,IF($JD49=2,30,0),IF(34=$HM49,IF($JD49=1,30,0),ABS(10-$HF49)*100)),100000+ABS(2-$HE49)*1000+100)),IF($HG49=0,999999,IF(2=$HH49,IF(34=$HN49,IF($JE49=2,30,0),IF(34=$HO49,IF($JE49=1,30,0),ABS(10-$HI49)*100)),100000+ABS(2-$HH49)*1000+100)))-IF((34=$HJ49)+(34=$HK49)+(34=$HL49)+(34=$HM49)+(34=$HN49)+(34=$HO49)&gt;=2,50,0))+AK$5*50)</f>
        <v/>
      </c>
      <c r="AL169">
        <f>IF(OR($JF49=0,calcA!$A$6=0),0,IF(OR(35=$HA49,35=$HD49,35=$HG49),200000,MIN(IF($HA49=0,999999,IF(2=$HB49,IF(35=$HJ49,IF($JC49=2,30,0),IF(35=$HK49,IF($JC49=1,30,0),ABS(11-$HC49)*100)),100000+ABS(2-$HB49)*1000+110)),IF($HD49=0,999999,IF(2=$HE49,IF(35=$HL49,IF($JD49=2,30,0),IF(35=$HM49,IF($JD49=1,30,0),ABS(11-$HF49)*100)),100000+ABS(2-$HE49)*1000+110)),IF($HG49=0,999999,IF(2=$HH49,IF(35=$HN49,IF($JE49=2,30,0),IF(35=$HO49,IF($JE49=1,30,0),ABS(11-$HI49)*100)),100000+ABS(2-$HH49)*1000+110)))-IF((35=$HJ49)+(35=$HK49)+(35=$HL49)+(35=$HM49)+(35=$HN49)+(35=$HO49)&gt;=2,50,0))+AL$5*50)</f>
        <v/>
      </c>
      <c r="AM169">
        <f>IF(OR($JF49=0,calcA!$A$6=0),0,IF(OR(36=$HA49,36=$HD49,36=$HG49),200000,MIN(IF($HA49=0,999999,IF(2=$HB49,IF(36=$HJ49,IF($JC49=2,30,0),IF(36=$HK49,IF($JC49=1,30,0),ABS(12-$HC49)*100)),100000+ABS(2-$HB49)*1000+120)),IF($HD49=0,999999,IF(2=$HE49,IF(36=$HL49,IF($JD49=2,30,0),IF(36=$HM49,IF($JD49=1,30,0),ABS(12-$HF49)*100)),100000+ABS(2-$HE49)*1000+120)),IF($HG49=0,999999,IF(2=$HH49,IF(36=$HN49,IF($JE49=2,30,0),IF(36=$HO49,IF($JE49=1,30,0),ABS(12-$HI49)*100)),100000+ABS(2-$HH49)*1000+120)))-IF((36=$HJ49)+(36=$HK49)+(36=$HL49)+(36=$HM49)+(36=$HN49)+(36=$HO49)&gt;=2,50,0))+AM$5*50)</f>
        <v/>
      </c>
      <c r="AN169">
        <f>IF(OR($JF49=0,calcA!$A$6=0),0,IF(OR(37=$HA49,37=$HD49,37=$HG49),200000,MIN(IF($HA49=0,999999,IF(2=$HB49,IF(37=$HJ49,IF($JC49=2,30,0),IF(37=$HK49,IF($JC49=1,30,0),ABS(13-$HC49)*100)),100000+ABS(2-$HB49)*1000+130)),IF($HD49=0,999999,IF(2=$HE49,IF(37=$HL49,IF($JD49=2,30,0),IF(37=$HM49,IF($JD49=1,30,0),ABS(13-$HF49)*100)),100000+ABS(2-$HE49)*1000+130)),IF($HG49=0,999999,IF(2=$HH49,IF(37=$HN49,IF($JE49=2,30,0),IF(37=$HO49,IF($JE49=1,30,0),ABS(13-$HI49)*100)),100000+ABS(2-$HH49)*1000+130)))-IF((37=$HJ49)+(37=$HK49)+(37=$HL49)+(37=$HM49)+(37=$HN49)+(37=$HO49)&gt;=2,50,0))+AN$5*50)</f>
        <v/>
      </c>
      <c r="AO169">
        <f>IF(OR($JF49=0,calcA!$A$6=0),0,IF(OR(38=$HA49,38=$HD49,38=$HG49),200000,MIN(IF($HA49=0,999999,IF(2=$HB49,IF(38=$HJ49,IF($JC49=2,30,0),IF(38=$HK49,IF($JC49=1,30,0),ABS(14-$HC49)*100)),100000+ABS(2-$HB49)*1000+140)),IF($HD49=0,999999,IF(2=$HE49,IF(38=$HL49,IF($JD49=2,30,0),IF(38=$HM49,IF($JD49=1,30,0),ABS(14-$HF49)*100)),100000+ABS(2-$HE49)*1000+140)),IF($HG49=0,999999,IF(2=$HH49,IF(38=$HN49,IF($JE49=2,30,0),IF(38=$HO49,IF($JE49=1,30,0),ABS(14-$HI49)*100)),100000+ABS(2-$HH49)*1000+140)))-IF((38=$HJ49)+(38=$HK49)+(38=$HL49)+(38=$HM49)+(38=$HN49)+(38=$HO49)&gt;=2,50,0))+AO$5*50)</f>
        <v/>
      </c>
      <c r="AP169">
        <f>IF(OR($JF49=0,calcA!$A$6=0),0,IF(OR(39=$HA49,39=$HD49,39=$HG49),200000,MIN(IF($HA49=0,999999,IF(2=$HB49,IF(39=$HJ49,IF($JC49=2,30,0),IF(39=$HK49,IF($JC49=1,30,0),ABS(15-$HC49)*100)),100000+ABS(2-$HB49)*1000+150)),IF($HD49=0,999999,IF(2=$HE49,IF(39=$HL49,IF($JD49=2,30,0),IF(39=$HM49,IF($JD49=1,30,0),ABS(15-$HF49)*100)),100000+ABS(2-$HE49)*1000+150)),IF($HG49=0,999999,IF(2=$HH49,IF(39=$HN49,IF($JE49=2,30,0),IF(39=$HO49,IF($JE49=1,30,0),ABS(15-$HI49)*100)),100000+ABS(2-$HH49)*1000+150)))-IF((39=$HJ49)+(39=$HK49)+(39=$HL49)+(39=$HM49)+(39=$HN49)+(39=$HO49)&gt;=2,50,0))+AP$5*50)</f>
        <v/>
      </c>
      <c r="AQ169">
        <f>IF(OR($JF49=0,calcA!$A$6=0),0,IF(OR(40=$HA49,40=$HD49,40=$HG49),200000,MIN(IF($HA49=0,999999,IF(2=$HB49,IF(40=$HJ49,IF($JC49=2,30,0),IF(40=$HK49,IF($JC49=1,30,0),ABS(16-$HC49)*100)),100000+ABS(2-$HB49)*1000+160)),IF($HD49=0,999999,IF(2=$HE49,IF(40=$HL49,IF($JD49=2,30,0),IF(40=$HM49,IF($JD49=1,30,0),ABS(16-$HF49)*100)),100000+ABS(2-$HE49)*1000+160)),IF($HG49=0,999999,IF(2=$HH49,IF(40=$HN49,IF($JE49=2,30,0),IF(40=$HO49,IF($JE49=1,30,0),ABS(16-$HI49)*100)),100000+ABS(2-$HH49)*1000+160)))-IF((40=$HJ49)+(40=$HK49)+(40=$HL49)+(40=$HM49)+(40=$HN49)+(40=$HO49)&gt;=2,50,0))+AQ$5*50)</f>
        <v/>
      </c>
      <c r="AR169">
        <f>IF(OR($JF49=0,calcA!$A$6=0),0,IF(OR(41=$HA49,41=$HD49,41=$HG49),200000,MIN(IF($HA49=0,999999,IF(2=$HB49,IF(41=$HJ49,IF($JC49=2,30,0),IF(41=$HK49,IF($JC49=1,30,0),ABS(17-$HC49)*100)),100000+ABS(2-$HB49)*1000+170)),IF($HD49=0,999999,IF(2=$HE49,IF(41=$HL49,IF($JD49=2,30,0),IF(41=$HM49,IF($JD49=1,30,0),ABS(17-$HF49)*100)),100000+ABS(2-$HE49)*1000+170)),IF($HG49=0,999999,IF(2=$HH49,IF(41=$HN49,IF($JE49=2,30,0),IF(41=$HO49,IF($JE49=1,30,0),ABS(17-$HI49)*100)),100000+ABS(2-$HH49)*1000+170)))-IF((41=$HJ49)+(41=$HK49)+(41=$HL49)+(41=$HM49)+(41=$HN49)+(41=$HO49)&gt;=2,50,0))+AR$5*50)</f>
        <v/>
      </c>
      <c r="AS169">
        <f>IF(OR($JF49=0,calcA!$A$6=0),0,IF(OR(42=$HA49,42=$HD49,42=$HG49),200000,MIN(IF($HA49=0,999999,IF(2=$HB49,IF(42=$HJ49,IF($JC49=2,30,0),IF(42=$HK49,IF($JC49=1,30,0),ABS(18-$HC49)*100)),100000+ABS(2-$HB49)*1000+180)),IF($HD49=0,999999,IF(2=$HE49,IF(42=$HL49,IF($JD49=2,30,0),IF(42=$HM49,IF($JD49=1,30,0),ABS(18-$HF49)*100)),100000+ABS(2-$HE49)*1000+180)),IF($HG49=0,999999,IF(2=$HH49,IF(42=$HN49,IF($JE49=2,30,0),IF(42=$HO49,IF($JE49=1,30,0),ABS(18-$HI49)*100)),100000+ABS(2-$HH49)*1000+180)))-IF((42=$HJ49)+(42=$HK49)+(42=$HL49)+(42=$HM49)+(42=$HN49)+(42=$HO49)&gt;=2,50,0))+AS$5*50)</f>
        <v/>
      </c>
      <c r="AT169">
        <f>IF(OR($JF49=0,calcA!$A$6=0),0,IF(OR(43=$HA49,43=$HD49,43=$HG49),200000,MIN(IF($HA49=0,999999,IF(2=$HB49,IF(43=$HJ49,IF($JC49=2,30,0),IF(43=$HK49,IF($JC49=1,30,0),ABS(19-$HC49)*100)),100000+ABS(2-$HB49)*1000+190)),IF($HD49=0,999999,IF(2=$HE49,IF(43=$HL49,IF($JD49=2,30,0),IF(43=$HM49,IF($JD49=1,30,0),ABS(19-$HF49)*100)),100000+ABS(2-$HE49)*1000+190)),IF($HG49=0,999999,IF(2=$HH49,IF(43=$HN49,IF($JE49=2,30,0),IF(43=$HO49,IF($JE49=1,30,0),ABS(19-$HI49)*100)),100000+ABS(2-$HH49)*1000+190)))-IF((43=$HJ49)+(43=$HK49)+(43=$HL49)+(43=$HM49)+(43=$HN49)+(43=$HO49)&gt;=2,50,0))+AT$5*50)</f>
        <v/>
      </c>
      <c r="AU169">
        <f>IF(OR($JF49=0,calcA!$A$6=0),0,IF(OR(44=$HA49,44=$HD49,44=$HG49),200000,MIN(IF($HA49=0,999999,IF(2=$HB49,IF(44=$HJ49,IF($JC49=2,30,0),IF(44=$HK49,IF($JC49=1,30,0),ABS(20-$HC49)*100)),100000+ABS(2-$HB49)*1000+200)),IF($HD49=0,999999,IF(2=$HE49,IF(44=$HL49,IF($JD49=2,30,0),IF(44=$HM49,IF($JD49=1,30,0),ABS(20-$HF49)*100)),100000+ABS(2-$HE49)*1000+200)),IF($HG49=0,999999,IF(2=$HH49,IF(44=$HN49,IF($JE49=2,30,0),IF(44=$HO49,IF($JE49=1,30,0),ABS(20-$HI49)*100)),100000+ABS(2-$HH49)*1000+200)))-IF((44=$HJ49)+(44=$HK49)+(44=$HL49)+(44=$HM49)+(44=$HN49)+(44=$HO49)&gt;=2,50,0))+AU$5*50)</f>
        <v/>
      </c>
      <c r="AV169">
        <f>IF(OR($JF49=0,calcA!$A$6=0),0,IF(OR(45=$HA49,45=$HD49,45=$HG49),200000,MIN(IF($HA49=0,999999,IF(2=$HB49,IF(45=$HJ49,IF($JC49=2,30,0),IF(45=$HK49,IF($JC49=1,30,0),ABS(21-$HC49)*100)),100000+ABS(2-$HB49)*1000+210)),IF($HD49=0,999999,IF(2=$HE49,IF(45=$HL49,IF($JD49=2,30,0),IF(45=$HM49,IF($JD49=1,30,0),ABS(21-$HF49)*100)),100000+ABS(2-$HE49)*1000+210)),IF($HG49=0,999999,IF(2=$HH49,IF(45=$HN49,IF($JE49=2,30,0),IF(45=$HO49,IF($JE49=1,30,0),ABS(21-$HI49)*100)),100000+ABS(2-$HH49)*1000+210)))-IF((45=$HJ49)+(45=$HK49)+(45=$HL49)+(45=$HM49)+(45=$HN49)+(45=$HO49)&gt;=2,50,0))+AV$5*50)</f>
        <v/>
      </c>
      <c r="AW169">
        <f>IF(OR($JF49=0,calcA!$A$6=0),0,IF(OR(46=$HA49,46=$HD49,46=$HG49),200000,MIN(IF($HA49=0,999999,IF(2=$HB49,IF(46=$HJ49,IF($JC49=2,30,0),IF(46=$HK49,IF($JC49=1,30,0),ABS(22-$HC49)*100)),100000+ABS(2-$HB49)*1000+220)),IF($HD49=0,999999,IF(2=$HE49,IF(46=$HL49,IF($JD49=2,30,0),IF(46=$HM49,IF($JD49=1,30,0),ABS(22-$HF49)*100)),100000+ABS(2-$HE49)*1000+220)),IF($HG49=0,999999,IF(2=$HH49,IF(46=$HN49,IF($JE49=2,30,0),IF(46=$HO49,IF($JE49=1,30,0),ABS(22-$HI49)*100)),100000+ABS(2-$HH49)*1000+220)))-IF((46=$HJ49)+(46=$HK49)+(46=$HL49)+(46=$HM49)+(46=$HN49)+(46=$HO49)&gt;=2,50,0))+AW$5*50)</f>
        <v/>
      </c>
      <c r="AX169">
        <f>IF(OR($JF49=0,calcA!$A$6=0),0,IF(OR(47=$HA49,47=$HD49,47=$HG49),200000,MIN(IF($HA49=0,999999,IF(2=$HB49,IF(47=$HJ49,IF($JC49=2,30,0),IF(47=$HK49,IF($JC49=1,30,0),ABS(23-$HC49)*100)),100000+ABS(2-$HB49)*1000+230)),IF($HD49=0,999999,IF(2=$HE49,IF(47=$HL49,IF($JD49=2,30,0),IF(47=$HM49,IF($JD49=1,30,0),ABS(23-$HF49)*100)),100000+ABS(2-$HE49)*1000+230)),IF($HG49=0,999999,IF(2=$HH49,IF(47=$HN49,IF($JE49=2,30,0),IF(47=$HO49,IF($JE49=1,30,0),ABS(23-$HI49)*100)),100000+ABS(2-$HH49)*1000+230)))-IF((47=$HJ49)+(47=$HK49)+(47=$HL49)+(47=$HM49)+(47=$HN49)+(47=$HO49)&gt;=2,50,0))+AX$5*50)</f>
        <v/>
      </c>
      <c r="AY169">
        <f>IF(OR($JF49=0,calcA!$A$6=0),0,IF(OR(48=$HA49,48=$HD49,48=$HG49),200000,MIN(IF($HA49=0,999999,IF(2=$HB49,IF(48=$HJ49,IF($JC49=2,30,0),IF(48=$HK49,IF($JC49=1,30,0),ABS(24-$HC49)*100)),100000+ABS(2-$HB49)*1000+240)),IF($HD49=0,999999,IF(2=$HE49,IF(48=$HL49,IF($JD49=2,30,0),IF(48=$HM49,IF($JD49=1,30,0),ABS(24-$HF49)*100)),100000+ABS(2-$HE49)*1000+240)),IF($HG49=0,999999,IF(2=$HH49,IF(48=$HN49,IF($JE49=2,30,0),IF(48=$HO49,IF($JE49=1,30,0),ABS(24-$HI49)*100)),100000+ABS(2-$HH49)*1000+240)))-IF((48=$HJ49)+(48=$HK49)+(48=$HL49)+(48=$HM49)+(48=$HN49)+(48=$HO49)&gt;=2,50,0))+AY$5*50)</f>
        <v/>
      </c>
      <c r="AZ169">
        <f>IF(OR($JF49=0,calcA!$A$6=0),0,IF(OR(49=$HA49,49=$HD49,49=$HG49),200000,MIN(IF($HA49=0,999999,IF(3=$HB49,IF(49=$HJ49,IF($JC49=2,30,0),IF(49=$HK49,IF($JC49=1,30,0),ABS(1-$HC49)*100)),100000+ABS(3-$HB49)*1000+10)),IF($HD49=0,999999,IF(3=$HE49,IF(49=$HL49,IF($JD49=2,30,0),IF(49=$HM49,IF($JD49=1,30,0),ABS(1-$HF49)*100)),100000+ABS(3-$HE49)*1000+10)),IF($HG49=0,999999,IF(3=$HH49,IF(49=$HN49,IF($JE49=2,30,0),IF(49=$HO49,IF($JE49=1,30,0),ABS(1-$HI49)*100)),100000+ABS(3-$HH49)*1000+10)))-IF((49=$HJ49)+(49=$HK49)+(49=$HL49)+(49=$HM49)+(49=$HN49)+(49=$HO49)&gt;=2,50,0))+AZ$5*50)</f>
        <v/>
      </c>
      <c r="BA169">
        <f>IF(OR($JF49=0,calcA!$A$6=0),0,IF(OR(50=$HA49,50=$HD49,50=$HG49),200000,MIN(IF($HA49=0,999999,IF(3=$HB49,IF(50=$HJ49,IF($JC49=2,30,0),IF(50=$HK49,IF($JC49=1,30,0),ABS(2-$HC49)*100)),100000+ABS(3-$HB49)*1000+20)),IF($HD49=0,999999,IF(3=$HE49,IF(50=$HL49,IF($JD49=2,30,0),IF(50=$HM49,IF($JD49=1,30,0),ABS(2-$HF49)*100)),100000+ABS(3-$HE49)*1000+20)),IF($HG49=0,999999,IF(3=$HH49,IF(50=$HN49,IF($JE49=2,30,0),IF(50=$HO49,IF($JE49=1,30,0),ABS(2-$HI49)*100)),100000+ABS(3-$HH49)*1000+20)))-IF((50=$HJ49)+(50=$HK49)+(50=$HL49)+(50=$HM49)+(50=$HN49)+(50=$HO49)&gt;=2,50,0))+BA$5*50)</f>
        <v/>
      </c>
      <c r="BB169">
        <f>IF(OR($JF49=0,calcA!$A$6=0),0,IF(OR(51=$HA49,51=$HD49,51=$HG49),200000,MIN(IF($HA49=0,999999,IF(3=$HB49,IF(51=$HJ49,IF($JC49=2,30,0),IF(51=$HK49,IF($JC49=1,30,0),ABS(3-$HC49)*100)),100000+ABS(3-$HB49)*1000+30)),IF($HD49=0,999999,IF(3=$HE49,IF(51=$HL49,IF($JD49=2,30,0),IF(51=$HM49,IF($JD49=1,30,0),ABS(3-$HF49)*100)),100000+ABS(3-$HE49)*1000+30)),IF($HG49=0,999999,IF(3=$HH49,IF(51=$HN49,IF($JE49=2,30,0),IF(51=$HO49,IF($JE49=1,30,0),ABS(3-$HI49)*100)),100000+ABS(3-$HH49)*1000+30)))-IF((51=$HJ49)+(51=$HK49)+(51=$HL49)+(51=$HM49)+(51=$HN49)+(51=$HO49)&gt;=2,50,0))+BB$5*50)</f>
        <v/>
      </c>
      <c r="BC169">
        <f>IF(OR($JF49=0,calcA!$A$6=0),0,IF(OR(52=$HA49,52=$HD49,52=$HG49),200000,MIN(IF($HA49=0,999999,IF(3=$HB49,IF(52=$HJ49,IF($JC49=2,30,0),IF(52=$HK49,IF($JC49=1,30,0),ABS(4-$HC49)*100)),100000+ABS(3-$HB49)*1000+40)),IF($HD49=0,999999,IF(3=$HE49,IF(52=$HL49,IF($JD49=2,30,0),IF(52=$HM49,IF($JD49=1,30,0),ABS(4-$HF49)*100)),100000+ABS(3-$HE49)*1000+40)),IF($HG49=0,999999,IF(3=$HH49,IF(52=$HN49,IF($JE49=2,30,0),IF(52=$HO49,IF($JE49=1,30,0),ABS(4-$HI49)*100)),100000+ABS(3-$HH49)*1000+40)))-IF((52=$HJ49)+(52=$HK49)+(52=$HL49)+(52=$HM49)+(52=$HN49)+(52=$HO49)&gt;=2,50,0))+BC$5*50)</f>
        <v/>
      </c>
      <c r="BD169">
        <f>IF(OR($JF49=0,calcA!$A$6=0),0,IF(OR(53=$HA49,53=$HD49,53=$HG49),200000,MIN(IF($HA49=0,999999,IF(3=$HB49,IF(53=$HJ49,IF($JC49=2,30,0),IF(53=$HK49,IF($JC49=1,30,0),ABS(5-$HC49)*100)),100000+ABS(3-$HB49)*1000+50)),IF($HD49=0,999999,IF(3=$HE49,IF(53=$HL49,IF($JD49=2,30,0),IF(53=$HM49,IF($JD49=1,30,0),ABS(5-$HF49)*100)),100000+ABS(3-$HE49)*1000+50)),IF($HG49=0,999999,IF(3=$HH49,IF(53=$HN49,IF($JE49=2,30,0),IF(53=$HO49,IF($JE49=1,30,0),ABS(5-$HI49)*100)),100000+ABS(3-$HH49)*1000+50)))-IF((53=$HJ49)+(53=$HK49)+(53=$HL49)+(53=$HM49)+(53=$HN49)+(53=$HO49)&gt;=2,50,0))+BD$5*50)</f>
        <v/>
      </c>
      <c r="BE169">
        <f>IF(OR($JF49=0,calcA!$A$6=0),0,IF(OR(54=$HA49,54=$HD49,54=$HG49),200000,MIN(IF($HA49=0,999999,IF(3=$HB49,IF(54=$HJ49,IF($JC49=2,30,0),IF(54=$HK49,IF($JC49=1,30,0),ABS(6-$HC49)*100)),100000+ABS(3-$HB49)*1000+60)),IF($HD49=0,999999,IF(3=$HE49,IF(54=$HL49,IF($JD49=2,30,0),IF(54=$HM49,IF($JD49=1,30,0),ABS(6-$HF49)*100)),100000+ABS(3-$HE49)*1000+60)),IF($HG49=0,999999,IF(3=$HH49,IF(54=$HN49,IF($JE49=2,30,0),IF(54=$HO49,IF($JE49=1,30,0),ABS(6-$HI49)*100)),100000+ABS(3-$HH49)*1000+60)))-IF((54=$HJ49)+(54=$HK49)+(54=$HL49)+(54=$HM49)+(54=$HN49)+(54=$HO49)&gt;=2,50,0))+BE$5*50)</f>
        <v/>
      </c>
      <c r="BF169">
        <f>IF(OR($JF49=0,calcA!$A$6=0),0,IF(OR(55=$HA49,55=$HD49,55=$HG49),200000,MIN(IF($HA49=0,999999,IF(3=$HB49,IF(55=$HJ49,IF($JC49=2,30,0),IF(55=$HK49,IF($JC49=1,30,0),ABS(7-$HC49)*100)),100000+ABS(3-$HB49)*1000+70)),IF($HD49=0,999999,IF(3=$HE49,IF(55=$HL49,IF($JD49=2,30,0),IF(55=$HM49,IF($JD49=1,30,0),ABS(7-$HF49)*100)),100000+ABS(3-$HE49)*1000+70)),IF($HG49=0,999999,IF(3=$HH49,IF(55=$HN49,IF($JE49=2,30,0),IF(55=$HO49,IF($JE49=1,30,0),ABS(7-$HI49)*100)),100000+ABS(3-$HH49)*1000+70)))-IF((55=$HJ49)+(55=$HK49)+(55=$HL49)+(55=$HM49)+(55=$HN49)+(55=$HO49)&gt;=2,50,0))+BF$5*50)</f>
        <v/>
      </c>
      <c r="BG169">
        <f>IF(OR($JF49=0,calcA!$A$6=0),0,IF(OR(56=$HA49,56=$HD49,56=$HG49),200000,MIN(IF($HA49=0,999999,IF(3=$HB49,IF(56=$HJ49,IF($JC49=2,30,0),IF(56=$HK49,IF($JC49=1,30,0),ABS(8-$HC49)*100)),100000+ABS(3-$HB49)*1000+80)),IF($HD49=0,999999,IF(3=$HE49,IF(56=$HL49,IF($JD49=2,30,0),IF(56=$HM49,IF($JD49=1,30,0),ABS(8-$HF49)*100)),100000+ABS(3-$HE49)*1000+80)),IF($HG49=0,999999,IF(3=$HH49,IF(56=$HN49,IF($JE49=2,30,0),IF(56=$HO49,IF($JE49=1,30,0),ABS(8-$HI49)*100)),100000+ABS(3-$HH49)*1000+80)))-IF((56=$HJ49)+(56=$HK49)+(56=$HL49)+(56=$HM49)+(56=$HN49)+(56=$HO49)&gt;=2,50,0))+BG$5*50)</f>
        <v/>
      </c>
      <c r="BH169">
        <f>IF(OR($JF49=0,calcA!$A$6=0),0,IF(OR(57=$HA49,57=$HD49,57=$HG49),200000,MIN(IF($HA49=0,999999,IF(3=$HB49,IF(57=$HJ49,IF($JC49=2,30,0),IF(57=$HK49,IF($JC49=1,30,0),ABS(9-$HC49)*100)),100000+ABS(3-$HB49)*1000+90)),IF($HD49=0,999999,IF(3=$HE49,IF(57=$HL49,IF($JD49=2,30,0),IF(57=$HM49,IF($JD49=1,30,0),ABS(9-$HF49)*100)),100000+ABS(3-$HE49)*1000+90)),IF($HG49=0,999999,IF(3=$HH49,IF(57=$HN49,IF($JE49=2,30,0),IF(57=$HO49,IF($JE49=1,30,0),ABS(9-$HI49)*100)),100000+ABS(3-$HH49)*1000+90)))-IF((57=$HJ49)+(57=$HK49)+(57=$HL49)+(57=$HM49)+(57=$HN49)+(57=$HO49)&gt;=2,50,0))+BH$5*50)</f>
        <v/>
      </c>
      <c r="BI169">
        <f>IF(OR($JF49=0,calcA!$A$6=0),0,IF(OR(58=$HA49,58=$HD49,58=$HG49),200000,MIN(IF($HA49=0,999999,IF(3=$HB49,IF(58=$HJ49,IF($JC49=2,30,0),IF(58=$HK49,IF($JC49=1,30,0),ABS(10-$HC49)*100)),100000+ABS(3-$HB49)*1000+100)),IF($HD49=0,999999,IF(3=$HE49,IF(58=$HL49,IF($JD49=2,30,0),IF(58=$HM49,IF($JD49=1,30,0),ABS(10-$HF49)*100)),100000+ABS(3-$HE49)*1000+100)),IF($HG49=0,999999,IF(3=$HH49,IF(58=$HN49,IF($JE49=2,30,0),IF(58=$HO49,IF($JE49=1,30,0),ABS(10-$HI49)*100)),100000+ABS(3-$HH49)*1000+100)))-IF((58=$HJ49)+(58=$HK49)+(58=$HL49)+(58=$HM49)+(58=$HN49)+(58=$HO49)&gt;=2,50,0))+BI$5*50)</f>
        <v/>
      </c>
      <c r="BJ169">
        <f>IF(OR($JF49=0,calcA!$A$6=0),0,IF(OR(59=$HA49,59=$HD49,59=$HG49),200000,MIN(IF($HA49=0,999999,IF(3=$HB49,IF(59=$HJ49,IF($JC49=2,30,0),IF(59=$HK49,IF($JC49=1,30,0),ABS(11-$HC49)*100)),100000+ABS(3-$HB49)*1000+110)),IF($HD49=0,999999,IF(3=$HE49,IF(59=$HL49,IF($JD49=2,30,0),IF(59=$HM49,IF($JD49=1,30,0),ABS(11-$HF49)*100)),100000+ABS(3-$HE49)*1000+110)),IF($HG49=0,999999,IF(3=$HH49,IF(59=$HN49,IF($JE49=2,30,0),IF(59=$HO49,IF($JE49=1,30,0),ABS(11-$HI49)*100)),100000+ABS(3-$HH49)*1000+110)))-IF((59=$HJ49)+(59=$HK49)+(59=$HL49)+(59=$HM49)+(59=$HN49)+(59=$HO49)&gt;=2,50,0))+BJ$5*50)</f>
        <v/>
      </c>
      <c r="BK169">
        <f>IF(OR($JF49=0,calcA!$A$6=0),0,IF(OR(60=$HA49,60=$HD49,60=$HG49),200000,MIN(IF($HA49=0,999999,IF(3=$HB49,IF(60=$HJ49,IF($JC49=2,30,0),IF(60=$HK49,IF($JC49=1,30,0),ABS(12-$HC49)*100)),100000+ABS(3-$HB49)*1000+120)),IF($HD49=0,999999,IF(3=$HE49,IF(60=$HL49,IF($JD49=2,30,0),IF(60=$HM49,IF($JD49=1,30,0),ABS(12-$HF49)*100)),100000+ABS(3-$HE49)*1000+120)),IF($HG49=0,999999,IF(3=$HH49,IF(60=$HN49,IF($JE49=2,30,0),IF(60=$HO49,IF($JE49=1,30,0),ABS(12-$HI49)*100)),100000+ABS(3-$HH49)*1000+120)))-IF((60=$HJ49)+(60=$HK49)+(60=$HL49)+(60=$HM49)+(60=$HN49)+(60=$HO49)&gt;=2,50,0))+BK$5*50)</f>
        <v/>
      </c>
      <c r="BL169">
        <f>IF(OR($JF49=0,calcA!$A$6=0),0,IF(OR(61=$HA49,61=$HD49,61=$HG49),200000,MIN(IF($HA49=0,999999,IF(3=$HB49,IF(61=$HJ49,IF($JC49=2,30,0),IF(61=$HK49,IF($JC49=1,30,0),ABS(13-$HC49)*100)),100000+ABS(3-$HB49)*1000+130)),IF($HD49=0,999999,IF(3=$HE49,IF(61=$HL49,IF($JD49=2,30,0),IF(61=$HM49,IF($JD49=1,30,0),ABS(13-$HF49)*100)),100000+ABS(3-$HE49)*1000+130)),IF($HG49=0,999999,IF(3=$HH49,IF(61=$HN49,IF($JE49=2,30,0),IF(61=$HO49,IF($JE49=1,30,0),ABS(13-$HI49)*100)),100000+ABS(3-$HH49)*1000+130)))-IF((61=$HJ49)+(61=$HK49)+(61=$HL49)+(61=$HM49)+(61=$HN49)+(61=$HO49)&gt;=2,50,0))+BL$5*50)</f>
        <v/>
      </c>
      <c r="BM169">
        <f>IF(OR($JF49=0,calcA!$A$6=0),0,IF(OR(62=$HA49,62=$HD49,62=$HG49),200000,MIN(IF($HA49=0,999999,IF(3=$HB49,IF(62=$HJ49,IF($JC49=2,30,0),IF(62=$HK49,IF($JC49=1,30,0),ABS(14-$HC49)*100)),100000+ABS(3-$HB49)*1000+140)),IF($HD49=0,999999,IF(3=$HE49,IF(62=$HL49,IF($JD49=2,30,0),IF(62=$HM49,IF($JD49=1,30,0),ABS(14-$HF49)*100)),100000+ABS(3-$HE49)*1000+140)),IF($HG49=0,999999,IF(3=$HH49,IF(62=$HN49,IF($JE49=2,30,0),IF(62=$HO49,IF($JE49=1,30,0),ABS(14-$HI49)*100)),100000+ABS(3-$HH49)*1000+140)))-IF((62=$HJ49)+(62=$HK49)+(62=$HL49)+(62=$HM49)+(62=$HN49)+(62=$HO49)&gt;=2,50,0))+BM$5*50)</f>
        <v/>
      </c>
      <c r="BN169">
        <f>IF(OR($JF49=0,calcA!$A$6=0),0,IF(OR(63=$HA49,63=$HD49,63=$HG49),200000,MIN(IF($HA49=0,999999,IF(3=$HB49,IF(63=$HJ49,IF($JC49=2,30,0),IF(63=$HK49,IF($JC49=1,30,0),ABS(15-$HC49)*100)),100000+ABS(3-$HB49)*1000+150)),IF($HD49=0,999999,IF(3=$HE49,IF(63=$HL49,IF($JD49=2,30,0),IF(63=$HM49,IF($JD49=1,30,0),ABS(15-$HF49)*100)),100000+ABS(3-$HE49)*1000+150)),IF($HG49=0,999999,IF(3=$HH49,IF(63=$HN49,IF($JE49=2,30,0),IF(63=$HO49,IF($JE49=1,30,0),ABS(15-$HI49)*100)),100000+ABS(3-$HH49)*1000+150)))-IF((63=$HJ49)+(63=$HK49)+(63=$HL49)+(63=$HM49)+(63=$HN49)+(63=$HO49)&gt;=2,50,0))+BN$5*50)</f>
        <v/>
      </c>
      <c r="BO169">
        <f>IF(OR($JF49=0,calcA!$A$6=0),0,IF(OR(64=$HA49,64=$HD49,64=$HG49),200000,MIN(IF($HA49=0,999999,IF(3=$HB49,IF(64=$HJ49,IF($JC49=2,30,0),IF(64=$HK49,IF($JC49=1,30,0),ABS(16-$HC49)*100)),100000+ABS(3-$HB49)*1000+160)),IF($HD49=0,999999,IF(3=$HE49,IF(64=$HL49,IF($JD49=2,30,0),IF(64=$HM49,IF($JD49=1,30,0),ABS(16-$HF49)*100)),100000+ABS(3-$HE49)*1000+160)),IF($HG49=0,999999,IF(3=$HH49,IF(64=$HN49,IF($JE49=2,30,0),IF(64=$HO49,IF($JE49=1,30,0),ABS(16-$HI49)*100)),100000+ABS(3-$HH49)*1000+160)))-IF((64=$HJ49)+(64=$HK49)+(64=$HL49)+(64=$HM49)+(64=$HN49)+(64=$HO49)&gt;=2,50,0))+BO$5*50)</f>
        <v/>
      </c>
      <c r="BP169">
        <f>IF(OR($JF49=0,calcA!$A$6=0),0,IF(OR(65=$HA49,65=$HD49,65=$HG49),200000,MIN(IF($HA49=0,999999,IF(3=$HB49,IF(65=$HJ49,IF($JC49=2,30,0),IF(65=$HK49,IF($JC49=1,30,0),ABS(17-$HC49)*100)),100000+ABS(3-$HB49)*1000+170)),IF($HD49=0,999999,IF(3=$HE49,IF(65=$HL49,IF($JD49=2,30,0),IF(65=$HM49,IF($JD49=1,30,0),ABS(17-$HF49)*100)),100000+ABS(3-$HE49)*1000+170)),IF($HG49=0,999999,IF(3=$HH49,IF(65=$HN49,IF($JE49=2,30,0),IF(65=$HO49,IF($JE49=1,30,0),ABS(17-$HI49)*100)),100000+ABS(3-$HH49)*1000+170)))-IF((65=$HJ49)+(65=$HK49)+(65=$HL49)+(65=$HM49)+(65=$HN49)+(65=$HO49)&gt;=2,50,0))+BP$5*50)</f>
        <v/>
      </c>
      <c r="BQ169">
        <f>IF(OR($JF49=0,calcA!$A$6=0),0,IF(OR(66=$HA49,66=$HD49,66=$HG49),200000,MIN(IF($HA49=0,999999,IF(3=$HB49,IF(66=$HJ49,IF($JC49=2,30,0),IF(66=$HK49,IF($JC49=1,30,0),ABS(18-$HC49)*100)),100000+ABS(3-$HB49)*1000+180)),IF($HD49=0,999999,IF(3=$HE49,IF(66=$HL49,IF($JD49=2,30,0),IF(66=$HM49,IF($JD49=1,30,0),ABS(18-$HF49)*100)),100000+ABS(3-$HE49)*1000+180)),IF($HG49=0,999999,IF(3=$HH49,IF(66=$HN49,IF($JE49=2,30,0),IF(66=$HO49,IF($JE49=1,30,0),ABS(18-$HI49)*100)),100000+ABS(3-$HH49)*1000+180)))-IF((66=$HJ49)+(66=$HK49)+(66=$HL49)+(66=$HM49)+(66=$HN49)+(66=$HO49)&gt;=2,50,0))+BQ$5*50)</f>
        <v/>
      </c>
      <c r="BR169">
        <f>IF(OR($JF49=0,calcA!$A$6=0),0,IF(OR(67=$HA49,67=$HD49,67=$HG49),200000,MIN(IF($HA49=0,999999,IF(3=$HB49,IF(67=$HJ49,IF($JC49=2,30,0),IF(67=$HK49,IF($JC49=1,30,0),ABS(19-$HC49)*100)),100000+ABS(3-$HB49)*1000+190)),IF($HD49=0,999999,IF(3=$HE49,IF(67=$HL49,IF($JD49=2,30,0),IF(67=$HM49,IF($JD49=1,30,0),ABS(19-$HF49)*100)),100000+ABS(3-$HE49)*1000+190)),IF($HG49=0,999999,IF(3=$HH49,IF(67=$HN49,IF($JE49=2,30,0),IF(67=$HO49,IF($JE49=1,30,0),ABS(19-$HI49)*100)),100000+ABS(3-$HH49)*1000+190)))-IF((67=$HJ49)+(67=$HK49)+(67=$HL49)+(67=$HM49)+(67=$HN49)+(67=$HO49)&gt;=2,50,0))+BR$5*50)</f>
        <v/>
      </c>
      <c r="BS169">
        <f>IF(OR($JF49=0,calcA!$A$6=0),0,IF(OR(68=$HA49,68=$HD49,68=$HG49),200000,MIN(IF($HA49=0,999999,IF(3=$HB49,IF(68=$HJ49,IF($JC49=2,30,0),IF(68=$HK49,IF($JC49=1,30,0),ABS(20-$HC49)*100)),100000+ABS(3-$HB49)*1000+200)),IF($HD49=0,999999,IF(3=$HE49,IF(68=$HL49,IF($JD49=2,30,0),IF(68=$HM49,IF($JD49=1,30,0),ABS(20-$HF49)*100)),100000+ABS(3-$HE49)*1000+200)),IF($HG49=0,999999,IF(3=$HH49,IF(68=$HN49,IF($JE49=2,30,0),IF(68=$HO49,IF($JE49=1,30,0),ABS(20-$HI49)*100)),100000+ABS(3-$HH49)*1000+200)))-IF((68=$HJ49)+(68=$HK49)+(68=$HL49)+(68=$HM49)+(68=$HN49)+(68=$HO49)&gt;=2,50,0))+BS$5*50)</f>
        <v/>
      </c>
      <c r="BT169">
        <f>IF(OR($JF49=0,calcA!$A$6=0),0,IF(OR(69=$HA49,69=$HD49,69=$HG49),200000,MIN(IF($HA49=0,999999,IF(3=$HB49,IF(69=$HJ49,IF($JC49=2,30,0),IF(69=$HK49,IF($JC49=1,30,0),ABS(21-$HC49)*100)),100000+ABS(3-$HB49)*1000+210)),IF($HD49=0,999999,IF(3=$HE49,IF(69=$HL49,IF($JD49=2,30,0),IF(69=$HM49,IF($JD49=1,30,0),ABS(21-$HF49)*100)),100000+ABS(3-$HE49)*1000+210)),IF($HG49=0,999999,IF(3=$HH49,IF(69=$HN49,IF($JE49=2,30,0),IF(69=$HO49,IF($JE49=1,30,0),ABS(21-$HI49)*100)),100000+ABS(3-$HH49)*1000+210)))-IF((69=$HJ49)+(69=$HK49)+(69=$HL49)+(69=$HM49)+(69=$HN49)+(69=$HO49)&gt;=2,50,0))+BT$5*50)</f>
        <v/>
      </c>
      <c r="BU169">
        <f>IF(OR($JF49=0,calcA!$A$6=0),0,IF(OR(70=$HA49,70=$HD49,70=$HG49),200000,MIN(IF($HA49=0,999999,IF(3=$HB49,IF(70=$HJ49,IF($JC49=2,30,0),IF(70=$HK49,IF($JC49=1,30,0),ABS(22-$HC49)*100)),100000+ABS(3-$HB49)*1000+220)),IF($HD49=0,999999,IF(3=$HE49,IF(70=$HL49,IF($JD49=2,30,0),IF(70=$HM49,IF($JD49=1,30,0),ABS(22-$HF49)*100)),100000+ABS(3-$HE49)*1000+220)),IF($HG49=0,999999,IF(3=$HH49,IF(70=$HN49,IF($JE49=2,30,0),IF(70=$HO49,IF($JE49=1,30,0),ABS(22-$HI49)*100)),100000+ABS(3-$HH49)*1000+220)))-IF((70=$HJ49)+(70=$HK49)+(70=$HL49)+(70=$HM49)+(70=$HN49)+(70=$HO49)&gt;=2,50,0))+BU$5*50)</f>
        <v/>
      </c>
      <c r="BV169">
        <f>IF(OR($JF49=0,calcA!$A$6=0),0,IF(OR(71=$HA49,71=$HD49,71=$HG49),200000,MIN(IF($HA49=0,999999,IF(3=$HB49,IF(71=$HJ49,IF($JC49=2,30,0),IF(71=$HK49,IF($JC49=1,30,0),ABS(23-$HC49)*100)),100000+ABS(3-$HB49)*1000+230)),IF($HD49=0,999999,IF(3=$HE49,IF(71=$HL49,IF($JD49=2,30,0),IF(71=$HM49,IF($JD49=1,30,0),ABS(23-$HF49)*100)),100000+ABS(3-$HE49)*1000+230)),IF($HG49=0,999999,IF(3=$HH49,IF(71=$HN49,IF($JE49=2,30,0),IF(71=$HO49,IF($JE49=1,30,0),ABS(23-$HI49)*100)),100000+ABS(3-$HH49)*1000+230)))-IF((71=$HJ49)+(71=$HK49)+(71=$HL49)+(71=$HM49)+(71=$HN49)+(71=$HO49)&gt;=2,50,0))+BV$5*50)</f>
        <v/>
      </c>
      <c r="BW169">
        <f>IF(OR($JF49=0,calcA!$A$6=0),0,IF(OR(72=$HA49,72=$HD49,72=$HG49),200000,MIN(IF($HA49=0,999999,IF(3=$HB49,IF(72=$HJ49,IF($JC49=2,30,0),IF(72=$HK49,IF($JC49=1,30,0),ABS(24-$HC49)*100)),100000+ABS(3-$HB49)*1000+240)),IF($HD49=0,999999,IF(3=$HE49,IF(72=$HL49,IF($JD49=2,30,0),IF(72=$HM49,IF($JD49=1,30,0),ABS(24-$HF49)*100)),100000+ABS(3-$HE49)*1000+240)),IF($HG49=0,999999,IF(3=$HH49,IF(72=$HN49,IF($JE49=2,30,0),IF(72=$HO49,IF($JE49=1,30,0),ABS(24-$HI49)*100)),100000+ABS(3-$HH49)*1000+240)))-IF((72=$HJ49)+(72=$HK49)+(72=$HL49)+(72=$HM49)+(72=$HN49)+(72=$HO49)&gt;=2,50,0))+BW$5*50)</f>
        <v/>
      </c>
      <c r="BX169">
        <f>IF(OR($JF49=0,calcA!$A$6=0),0,IF(OR(73=$HA49,73=$HD49,73=$HG49),200000,MIN(IF($HA49=0,999999,IF(4=$HB49,IF(73=$HJ49,IF($JC49=2,30,0),IF(73=$HK49,IF($JC49=1,30,0),ABS(1-$HC49)*100)),100000+ABS(4-$HB49)*1000+10)),IF($HD49=0,999999,IF(4=$HE49,IF(73=$HL49,IF($JD49=2,30,0),IF(73=$HM49,IF($JD49=1,30,0),ABS(1-$HF49)*100)),100000+ABS(4-$HE49)*1000+10)),IF($HG49=0,999999,IF(4=$HH49,IF(73=$HN49,IF($JE49=2,30,0),IF(73=$HO49,IF($JE49=1,30,0),ABS(1-$HI49)*100)),100000+ABS(4-$HH49)*1000+10)))-IF((73=$HJ49)+(73=$HK49)+(73=$HL49)+(73=$HM49)+(73=$HN49)+(73=$HO49)&gt;=2,50,0))+BX$5*50)</f>
        <v/>
      </c>
      <c r="BY169">
        <f>IF(OR($JF49=0,calcA!$A$6=0),0,IF(OR(74=$HA49,74=$HD49,74=$HG49),200000,MIN(IF($HA49=0,999999,IF(4=$HB49,IF(74=$HJ49,IF($JC49=2,30,0),IF(74=$HK49,IF($JC49=1,30,0),ABS(2-$HC49)*100)),100000+ABS(4-$HB49)*1000+20)),IF($HD49=0,999999,IF(4=$HE49,IF(74=$HL49,IF($JD49=2,30,0),IF(74=$HM49,IF($JD49=1,30,0),ABS(2-$HF49)*100)),100000+ABS(4-$HE49)*1000+20)),IF($HG49=0,999999,IF(4=$HH49,IF(74=$HN49,IF($JE49=2,30,0),IF(74=$HO49,IF($JE49=1,30,0),ABS(2-$HI49)*100)),100000+ABS(4-$HH49)*1000+20)))-IF((74=$HJ49)+(74=$HK49)+(74=$HL49)+(74=$HM49)+(74=$HN49)+(74=$HO49)&gt;=2,50,0))+BY$5*50)</f>
        <v/>
      </c>
      <c r="BZ169">
        <f>IF(OR($JF49=0,calcA!$A$6=0),0,IF(OR(75=$HA49,75=$HD49,75=$HG49),200000,MIN(IF($HA49=0,999999,IF(4=$HB49,IF(75=$HJ49,IF($JC49=2,30,0),IF(75=$HK49,IF($JC49=1,30,0),ABS(3-$HC49)*100)),100000+ABS(4-$HB49)*1000+30)),IF($HD49=0,999999,IF(4=$HE49,IF(75=$HL49,IF($JD49=2,30,0),IF(75=$HM49,IF($JD49=1,30,0),ABS(3-$HF49)*100)),100000+ABS(4-$HE49)*1000+30)),IF($HG49=0,999999,IF(4=$HH49,IF(75=$HN49,IF($JE49=2,30,0),IF(75=$HO49,IF($JE49=1,30,0),ABS(3-$HI49)*100)),100000+ABS(4-$HH49)*1000+30)))-IF((75=$HJ49)+(75=$HK49)+(75=$HL49)+(75=$HM49)+(75=$HN49)+(75=$HO49)&gt;=2,50,0))+BZ$5*50)</f>
        <v/>
      </c>
      <c r="CA169">
        <f>IF(OR($JF49=0,calcA!$A$6=0),0,IF(OR(76=$HA49,76=$HD49,76=$HG49),200000,MIN(IF($HA49=0,999999,IF(4=$HB49,IF(76=$HJ49,IF($JC49=2,30,0),IF(76=$HK49,IF($JC49=1,30,0),ABS(4-$HC49)*100)),100000+ABS(4-$HB49)*1000+40)),IF($HD49=0,999999,IF(4=$HE49,IF(76=$HL49,IF($JD49=2,30,0),IF(76=$HM49,IF($JD49=1,30,0),ABS(4-$HF49)*100)),100000+ABS(4-$HE49)*1000+40)),IF($HG49=0,999999,IF(4=$HH49,IF(76=$HN49,IF($JE49=2,30,0),IF(76=$HO49,IF($JE49=1,30,0),ABS(4-$HI49)*100)),100000+ABS(4-$HH49)*1000+40)))-IF((76=$HJ49)+(76=$HK49)+(76=$HL49)+(76=$HM49)+(76=$HN49)+(76=$HO49)&gt;=2,50,0))+CA$5*50)</f>
        <v/>
      </c>
      <c r="CB169">
        <f>IF(OR($JF49=0,calcA!$A$6=0),0,IF(OR(77=$HA49,77=$HD49,77=$HG49),200000,MIN(IF($HA49=0,999999,IF(4=$HB49,IF(77=$HJ49,IF($JC49=2,30,0),IF(77=$HK49,IF($JC49=1,30,0),ABS(5-$HC49)*100)),100000+ABS(4-$HB49)*1000+50)),IF($HD49=0,999999,IF(4=$HE49,IF(77=$HL49,IF($JD49=2,30,0),IF(77=$HM49,IF($JD49=1,30,0),ABS(5-$HF49)*100)),100000+ABS(4-$HE49)*1000+50)),IF($HG49=0,999999,IF(4=$HH49,IF(77=$HN49,IF($JE49=2,30,0),IF(77=$HO49,IF($JE49=1,30,0),ABS(5-$HI49)*100)),100000+ABS(4-$HH49)*1000+50)))-IF((77=$HJ49)+(77=$HK49)+(77=$HL49)+(77=$HM49)+(77=$HN49)+(77=$HO49)&gt;=2,50,0))+CB$5*50)</f>
        <v/>
      </c>
      <c r="CC169">
        <f>IF(OR($JF49=0,calcA!$A$6=0),0,IF(OR(78=$HA49,78=$HD49,78=$HG49),200000,MIN(IF($HA49=0,999999,IF(4=$HB49,IF(78=$HJ49,IF($JC49=2,30,0),IF(78=$HK49,IF($JC49=1,30,0),ABS(6-$HC49)*100)),100000+ABS(4-$HB49)*1000+60)),IF($HD49=0,999999,IF(4=$HE49,IF(78=$HL49,IF($JD49=2,30,0),IF(78=$HM49,IF($JD49=1,30,0),ABS(6-$HF49)*100)),100000+ABS(4-$HE49)*1000+60)),IF($HG49=0,999999,IF(4=$HH49,IF(78=$HN49,IF($JE49=2,30,0),IF(78=$HO49,IF($JE49=1,30,0),ABS(6-$HI49)*100)),100000+ABS(4-$HH49)*1000+60)))-IF((78=$HJ49)+(78=$HK49)+(78=$HL49)+(78=$HM49)+(78=$HN49)+(78=$HO49)&gt;=2,50,0))+CC$5*50)</f>
        <v/>
      </c>
      <c r="CD169">
        <f>IF(OR($JF49=0,calcA!$A$6=0),0,IF(OR(79=$HA49,79=$HD49,79=$HG49),200000,MIN(IF($HA49=0,999999,IF(4=$HB49,IF(79=$HJ49,IF($JC49=2,30,0),IF(79=$HK49,IF($JC49=1,30,0),ABS(7-$HC49)*100)),100000+ABS(4-$HB49)*1000+70)),IF($HD49=0,999999,IF(4=$HE49,IF(79=$HL49,IF($JD49=2,30,0),IF(79=$HM49,IF($JD49=1,30,0),ABS(7-$HF49)*100)),100000+ABS(4-$HE49)*1000+70)),IF($HG49=0,999999,IF(4=$HH49,IF(79=$HN49,IF($JE49=2,30,0),IF(79=$HO49,IF($JE49=1,30,0),ABS(7-$HI49)*100)),100000+ABS(4-$HH49)*1000+70)))-IF((79=$HJ49)+(79=$HK49)+(79=$HL49)+(79=$HM49)+(79=$HN49)+(79=$HO49)&gt;=2,50,0))+CD$5*50)</f>
        <v/>
      </c>
      <c r="CE169">
        <f>IF(OR($JF49=0,calcA!$A$6=0),0,IF(OR(80=$HA49,80=$HD49,80=$HG49),200000,MIN(IF($HA49=0,999999,IF(4=$HB49,IF(80=$HJ49,IF($JC49=2,30,0),IF(80=$HK49,IF($JC49=1,30,0),ABS(8-$HC49)*100)),100000+ABS(4-$HB49)*1000+80)),IF($HD49=0,999999,IF(4=$HE49,IF(80=$HL49,IF($JD49=2,30,0),IF(80=$HM49,IF($JD49=1,30,0),ABS(8-$HF49)*100)),100000+ABS(4-$HE49)*1000+80)),IF($HG49=0,999999,IF(4=$HH49,IF(80=$HN49,IF($JE49=2,30,0),IF(80=$HO49,IF($JE49=1,30,0),ABS(8-$HI49)*100)),100000+ABS(4-$HH49)*1000+80)))-IF((80=$HJ49)+(80=$HK49)+(80=$HL49)+(80=$HM49)+(80=$HN49)+(80=$HO49)&gt;=2,50,0))+CE$5*50)</f>
        <v/>
      </c>
      <c r="CF169">
        <f>IF(OR($JF49=0,calcA!$A$6=0),0,IF(OR(81=$HA49,81=$HD49,81=$HG49),200000,MIN(IF($HA49=0,999999,IF(4=$HB49,IF(81=$HJ49,IF($JC49=2,30,0),IF(81=$HK49,IF($JC49=1,30,0),ABS(9-$HC49)*100)),100000+ABS(4-$HB49)*1000+90)),IF($HD49=0,999999,IF(4=$HE49,IF(81=$HL49,IF($JD49=2,30,0),IF(81=$HM49,IF($JD49=1,30,0),ABS(9-$HF49)*100)),100000+ABS(4-$HE49)*1000+90)),IF($HG49=0,999999,IF(4=$HH49,IF(81=$HN49,IF($JE49=2,30,0),IF(81=$HO49,IF($JE49=1,30,0),ABS(9-$HI49)*100)),100000+ABS(4-$HH49)*1000+90)))-IF((81=$HJ49)+(81=$HK49)+(81=$HL49)+(81=$HM49)+(81=$HN49)+(81=$HO49)&gt;=2,50,0))+CF$5*50)</f>
        <v/>
      </c>
      <c r="CG169">
        <f>IF(OR($JF49=0,calcA!$A$6=0),0,IF(OR(82=$HA49,82=$HD49,82=$HG49),200000,MIN(IF($HA49=0,999999,IF(4=$HB49,IF(82=$HJ49,IF($JC49=2,30,0),IF(82=$HK49,IF($JC49=1,30,0),ABS(10-$HC49)*100)),100000+ABS(4-$HB49)*1000+100)),IF($HD49=0,999999,IF(4=$HE49,IF(82=$HL49,IF($JD49=2,30,0),IF(82=$HM49,IF($JD49=1,30,0),ABS(10-$HF49)*100)),100000+ABS(4-$HE49)*1000+100)),IF($HG49=0,999999,IF(4=$HH49,IF(82=$HN49,IF($JE49=2,30,0),IF(82=$HO49,IF($JE49=1,30,0),ABS(10-$HI49)*100)),100000+ABS(4-$HH49)*1000+100)))-IF((82=$HJ49)+(82=$HK49)+(82=$HL49)+(82=$HM49)+(82=$HN49)+(82=$HO49)&gt;=2,50,0))+CG$5*50)</f>
        <v/>
      </c>
      <c r="CH169">
        <f>IF(OR($JF49=0,calcA!$A$6=0),0,IF(OR(83=$HA49,83=$HD49,83=$HG49),200000,MIN(IF($HA49=0,999999,IF(4=$HB49,IF(83=$HJ49,IF($JC49=2,30,0),IF(83=$HK49,IF($JC49=1,30,0),ABS(11-$HC49)*100)),100000+ABS(4-$HB49)*1000+110)),IF($HD49=0,999999,IF(4=$HE49,IF(83=$HL49,IF($JD49=2,30,0),IF(83=$HM49,IF($JD49=1,30,0),ABS(11-$HF49)*100)),100000+ABS(4-$HE49)*1000+110)),IF($HG49=0,999999,IF(4=$HH49,IF(83=$HN49,IF($JE49=2,30,0),IF(83=$HO49,IF($JE49=1,30,0),ABS(11-$HI49)*100)),100000+ABS(4-$HH49)*1000+110)))-IF((83=$HJ49)+(83=$HK49)+(83=$HL49)+(83=$HM49)+(83=$HN49)+(83=$HO49)&gt;=2,50,0))+CH$5*50)</f>
        <v/>
      </c>
      <c r="CI169">
        <f>IF(OR($JF49=0,calcA!$A$6=0),0,IF(OR(84=$HA49,84=$HD49,84=$HG49),200000,MIN(IF($HA49=0,999999,IF(4=$HB49,IF(84=$HJ49,IF($JC49=2,30,0),IF(84=$HK49,IF($JC49=1,30,0),ABS(12-$HC49)*100)),100000+ABS(4-$HB49)*1000+120)),IF($HD49=0,999999,IF(4=$HE49,IF(84=$HL49,IF($JD49=2,30,0),IF(84=$HM49,IF($JD49=1,30,0),ABS(12-$HF49)*100)),100000+ABS(4-$HE49)*1000+120)),IF($HG49=0,999999,IF(4=$HH49,IF(84=$HN49,IF($JE49=2,30,0),IF(84=$HO49,IF($JE49=1,30,0),ABS(12-$HI49)*100)),100000+ABS(4-$HH49)*1000+120)))-IF((84=$HJ49)+(84=$HK49)+(84=$HL49)+(84=$HM49)+(84=$HN49)+(84=$HO49)&gt;=2,50,0))+CI$5*50)</f>
        <v/>
      </c>
      <c r="CJ169">
        <f>IF(OR($JF49=0,calcA!$A$6=0),0,IF(OR(85=$HA49,85=$HD49,85=$HG49),200000,MIN(IF($HA49=0,999999,IF(4=$HB49,IF(85=$HJ49,IF($JC49=2,30,0),IF(85=$HK49,IF($JC49=1,30,0),ABS(13-$HC49)*100)),100000+ABS(4-$HB49)*1000+130)),IF($HD49=0,999999,IF(4=$HE49,IF(85=$HL49,IF($JD49=2,30,0),IF(85=$HM49,IF($JD49=1,30,0),ABS(13-$HF49)*100)),100000+ABS(4-$HE49)*1000+130)),IF($HG49=0,999999,IF(4=$HH49,IF(85=$HN49,IF($JE49=2,30,0),IF(85=$HO49,IF($JE49=1,30,0),ABS(13-$HI49)*100)),100000+ABS(4-$HH49)*1000+130)))-IF((85=$HJ49)+(85=$HK49)+(85=$HL49)+(85=$HM49)+(85=$HN49)+(85=$HO49)&gt;=2,50,0))+CJ$5*50)</f>
        <v/>
      </c>
      <c r="CK169">
        <f>IF(OR($JF49=0,calcA!$A$6=0),0,IF(OR(86=$HA49,86=$HD49,86=$HG49),200000,MIN(IF($HA49=0,999999,IF(4=$HB49,IF(86=$HJ49,IF($JC49=2,30,0),IF(86=$HK49,IF($JC49=1,30,0),ABS(14-$HC49)*100)),100000+ABS(4-$HB49)*1000+140)),IF($HD49=0,999999,IF(4=$HE49,IF(86=$HL49,IF($JD49=2,30,0),IF(86=$HM49,IF($JD49=1,30,0),ABS(14-$HF49)*100)),100000+ABS(4-$HE49)*1000+140)),IF($HG49=0,999999,IF(4=$HH49,IF(86=$HN49,IF($JE49=2,30,0),IF(86=$HO49,IF($JE49=1,30,0),ABS(14-$HI49)*100)),100000+ABS(4-$HH49)*1000+140)))-IF((86=$HJ49)+(86=$HK49)+(86=$HL49)+(86=$HM49)+(86=$HN49)+(86=$HO49)&gt;=2,50,0))+CK$5*50)</f>
        <v/>
      </c>
      <c r="CL169">
        <f>IF(OR($JF49=0,calcA!$A$6=0),0,IF(OR(87=$HA49,87=$HD49,87=$HG49),200000,MIN(IF($HA49=0,999999,IF(4=$HB49,IF(87=$HJ49,IF($JC49=2,30,0),IF(87=$HK49,IF($JC49=1,30,0),ABS(15-$HC49)*100)),100000+ABS(4-$HB49)*1000+150)),IF($HD49=0,999999,IF(4=$HE49,IF(87=$HL49,IF($JD49=2,30,0),IF(87=$HM49,IF($JD49=1,30,0),ABS(15-$HF49)*100)),100000+ABS(4-$HE49)*1000+150)),IF($HG49=0,999999,IF(4=$HH49,IF(87=$HN49,IF($JE49=2,30,0),IF(87=$HO49,IF($JE49=1,30,0),ABS(15-$HI49)*100)),100000+ABS(4-$HH49)*1000+150)))-IF((87=$HJ49)+(87=$HK49)+(87=$HL49)+(87=$HM49)+(87=$HN49)+(87=$HO49)&gt;=2,50,0))+CL$5*50)</f>
        <v/>
      </c>
      <c r="CM169">
        <f>IF(OR($JF49=0,calcA!$A$6=0),0,IF(OR(88=$HA49,88=$HD49,88=$HG49),200000,MIN(IF($HA49=0,999999,IF(4=$HB49,IF(88=$HJ49,IF($JC49=2,30,0),IF(88=$HK49,IF($JC49=1,30,0),ABS(16-$HC49)*100)),100000+ABS(4-$HB49)*1000+160)),IF($HD49=0,999999,IF(4=$HE49,IF(88=$HL49,IF($JD49=2,30,0),IF(88=$HM49,IF($JD49=1,30,0),ABS(16-$HF49)*100)),100000+ABS(4-$HE49)*1000+160)),IF($HG49=0,999999,IF(4=$HH49,IF(88=$HN49,IF($JE49=2,30,0),IF(88=$HO49,IF($JE49=1,30,0),ABS(16-$HI49)*100)),100000+ABS(4-$HH49)*1000+160)))-IF((88=$HJ49)+(88=$HK49)+(88=$HL49)+(88=$HM49)+(88=$HN49)+(88=$HO49)&gt;=2,50,0))+CM$5*50)</f>
        <v/>
      </c>
      <c r="CN169">
        <f>IF(OR($JF49=0,calcA!$A$6=0),0,IF(OR(89=$HA49,89=$HD49,89=$HG49),200000,MIN(IF($HA49=0,999999,IF(4=$HB49,IF(89=$HJ49,IF($JC49=2,30,0),IF(89=$HK49,IF($JC49=1,30,0),ABS(17-$HC49)*100)),100000+ABS(4-$HB49)*1000+170)),IF($HD49=0,999999,IF(4=$HE49,IF(89=$HL49,IF($JD49=2,30,0),IF(89=$HM49,IF($JD49=1,30,0),ABS(17-$HF49)*100)),100000+ABS(4-$HE49)*1000+170)),IF($HG49=0,999999,IF(4=$HH49,IF(89=$HN49,IF($JE49=2,30,0),IF(89=$HO49,IF($JE49=1,30,0),ABS(17-$HI49)*100)),100000+ABS(4-$HH49)*1000+170)))-IF((89=$HJ49)+(89=$HK49)+(89=$HL49)+(89=$HM49)+(89=$HN49)+(89=$HO49)&gt;=2,50,0))+CN$5*50)</f>
        <v/>
      </c>
      <c r="CO169">
        <f>IF(OR($JF49=0,calcA!$A$6=0),0,IF(OR(90=$HA49,90=$HD49,90=$HG49),200000,MIN(IF($HA49=0,999999,IF(4=$HB49,IF(90=$HJ49,IF($JC49=2,30,0),IF(90=$HK49,IF($JC49=1,30,0),ABS(18-$HC49)*100)),100000+ABS(4-$HB49)*1000+180)),IF($HD49=0,999999,IF(4=$HE49,IF(90=$HL49,IF($JD49=2,30,0),IF(90=$HM49,IF($JD49=1,30,0),ABS(18-$HF49)*100)),100000+ABS(4-$HE49)*1000+180)),IF($HG49=0,999999,IF(4=$HH49,IF(90=$HN49,IF($JE49=2,30,0),IF(90=$HO49,IF($JE49=1,30,0),ABS(18-$HI49)*100)),100000+ABS(4-$HH49)*1000+180)))-IF((90=$HJ49)+(90=$HK49)+(90=$HL49)+(90=$HM49)+(90=$HN49)+(90=$HO49)&gt;=2,50,0))+CO$5*50)</f>
        <v/>
      </c>
      <c r="CP169">
        <f>IF(OR($JF49=0,calcA!$A$6=0),0,IF(OR(91=$HA49,91=$HD49,91=$HG49),200000,MIN(IF($HA49=0,999999,IF(4=$HB49,IF(91=$HJ49,IF($JC49=2,30,0),IF(91=$HK49,IF($JC49=1,30,0),ABS(19-$HC49)*100)),100000+ABS(4-$HB49)*1000+190)),IF($HD49=0,999999,IF(4=$HE49,IF(91=$HL49,IF($JD49=2,30,0),IF(91=$HM49,IF($JD49=1,30,0),ABS(19-$HF49)*100)),100000+ABS(4-$HE49)*1000+190)),IF($HG49=0,999999,IF(4=$HH49,IF(91=$HN49,IF($JE49=2,30,0),IF(91=$HO49,IF($JE49=1,30,0),ABS(19-$HI49)*100)),100000+ABS(4-$HH49)*1000+190)))-IF((91=$HJ49)+(91=$HK49)+(91=$HL49)+(91=$HM49)+(91=$HN49)+(91=$HO49)&gt;=2,50,0))+CP$5*50)</f>
        <v/>
      </c>
      <c r="CQ169">
        <f>IF(OR($JF49=0,calcA!$A$6=0),0,IF(OR(92=$HA49,92=$HD49,92=$HG49),200000,MIN(IF($HA49=0,999999,IF(4=$HB49,IF(92=$HJ49,IF($JC49=2,30,0),IF(92=$HK49,IF($JC49=1,30,0),ABS(20-$HC49)*100)),100000+ABS(4-$HB49)*1000+200)),IF($HD49=0,999999,IF(4=$HE49,IF(92=$HL49,IF($JD49=2,30,0),IF(92=$HM49,IF($JD49=1,30,0),ABS(20-$HF49)*100)),100000+ABS(4-$HE49)*1000+200)),IF($HG49=0,999999,IF(4=$HH49,IF(92=$HN49,IF($JE49=2,30,0),IF(92=$HO49,IF($JE49=1,30,0),ABS(20-$HI49)*100)),100000+ABS(4-$HH49)*1000+200)))-IF((92=$HJ49)+(92=$HK49)+(92=$HL49)+(92=$HM49)+(92=$HN49)+(92=$HO49)&gt;=2,50,0))+CQ$5*50)</f>
        <v/>
      </c>
      <c r="CR169">
        <f>IF(OR($JF49=0,calcA!$A$6=0),0,IF(OR(93=$HA49,93=$HD49,93=$HG49),200000,MIN(IF($HA49=0,999999,IF(4=$HB49,IF(93=$HJ49,IF($JC49=2,30,0),IF(93=$HK49,IF($JC49=1,30,0),ABS(21-$HC49)*100)),100000+ABS(4-$HB49)*1000+210)),IF($HD49=0,999999,IF(4=$HE49,IF(93=$HL49,IF($JD49=2,30,0),IF(93=$HM49,IF($JD49=1,30,0),ABS(21-$HF49)*100)),100000+ABS(4-$HE49)*1000+210)),IF($HG49=0,999999,IF(4=$HH49,IF(93=$HN49,IF($JE49=2,30,0),IF(93=$HO49,IF($JE49=1,30,0),ABS(21-$HI49)*100)),100000+ABS(4-$HH49)*1000+210)))-IF((93=$HJ49)+(93=$HK49)+(93=$HL49)+(93=$HM49)+(93=$HN49)+(93=$HO49)&gt;=2,50,0))+CR$5*50)</f>
        <v/>
      </c>
      <c r="CS169">
        <f>IF(OR($JF49=0,calcA!$A$6=0),0,IF(OR(94=$HA49,94=$HD49,94=$HG49),200000,MIN(IF($HA49=0,999999,IF(4=$HB49,IF(94=$HJ49,IF($JC49=2,30,0),IF(94=$HK49,IF($JC49=1,30,0),ABS(22-$HC49)*100)),100000+ABS(4-$HB49)*1000+220)),IF($HD49=0,999999,IF(4=$HE49,IF(94=$HL49,IF($JD49=2,30,0),IF(94=$HM49,IF($JD49=1,30,0),ABS(22-$HF49)*100)),100000+ABS(4-$HE49)*1000+220)),IF($HG49=0,999999,IF(4=$HH49,IF(94=$HN49,IF($JE49=2,30,0),IF(94=$HO49,IF($JE49=1,30,0),ABS(22-$HI49)*100)),100000+ABS(4-$HH49)*1000+220)))-IF((94=$HJ49)+(94=$HK49)+(94=$HL49)+(94=$HM49)+(94=$HN49)+(94=$HO49)&gt;=2,50,0))+CS$5*50)</f>
        <v/>
      </c>
      <c r="CT169">
        <f>IF(OR($JF49=0,calcA!$A$6=0),0,IF(OR(95=$HA49,95=$HD49,95=$HG49),200000,MIN(IF($HA49=0,999999,IF(4=$HB49,IF(95=$HJ49,IF($JC49=2,30,0),IF(95=$HK49,IF($JC49=1,30,0),ABS(23-$HC49)*100)),100000+ABS(4-$HB49)*1000+230)),IF($HD49=0,999999,IF(4=$HE49,IF(95=$HL49,IF($JD49=2,30,0),IF(95=$HM49,IF($JD49=1,30,0),ABS(23-$HF49)*100)),100000+ABS(4-$HE49)*1000+230)),IF($HG49=0,999999,IF(4=$HH49,IF(95=$HN49,IF($JE49=2,30,0),IF(95=$HO49,IF($JE49=1,30,0),ABS(23-$HI49)*100)),100000+ABS(4-$HH49)*1000+230)))-IF((95=$HJ49)+(95=$HK49)+(95=$HL49)+(95=$HM49)+(95=$HN49)+(95=$HO49)&gt;=2,50,0))+CT$5*50)</f>
        <v/>
      </c>
      <c r="CU169">
        <f>IF(OR($JF49=0,calcA!$A$6=0),0,IF(OR(96=$HA49,96=$HD49,96=$HG49),200000,MIN(IF($HA49=0,999999,IF(4=$HB49,IF(96=$HJ49,IF($JC49=2,30,0),IF(96=$HK49,IF($JC49=1,30,0),ABS(24-$HC49)*100)),100000+ABS(4-$HB49)*1000+240)),IF($HD49=0,999999,IF(4=$HE49,IF(96=$HL49,IF($JD49=2,30,0),IF(96=$HM49,IF($JD49=1,30,0),ABS(24-$HF49)*100)),100000+ABS(4-$HE49)*1000+240)),IF($HG49=0,999999,IF(4=$HH49,IF(96=$HN49,IF($JE49=2,30,0),IF(96=$HO49,IF($JE49=1,30,0),ABS(24-$HI49)*100)),100000+ABS(4-$HH49)*1000+240)))-IF((96=$HJ49)+(96=$HK49)+(96=$HL49)+(96=$HM49)+(96=$HN49)+(96=$HO49)&gt;=2,50,0))+CU$5*50)</f>
        <v/>
      </c>
      <c r="CV169">
        <f>IF(OR($JF49=0,calcA!$A$6=0),0,IF(OR(97=$HA49,97=$HD49,97=$HG49),200000,MIN(IF($HA49=0,999999,IF(5=$HB49,IF(97=$HJ49,IF($JC49=2,30,0),IF(97=$HK49,IF($JC49=1,30,0),ABS(1-$HC49)*100)),100000+ABS(5-$HB49)*1000+10)),IF($HD49=0,999999,IF(5=$HE49,IF(97=$HL49,IF($JD49=2,30,0),IF(97=$HM49,IF($JD49=1,30,0),ABS(1-$HF49)*100)),100000+ABS(5-$HE49)*1000+10)),IF($HG49=0,999999,IF(5=$HH49,IF(97=$HN49,IF($JE49=2,30,0),IF(97=$HO49,IF($JE49=1,30,0),ABS(1-$HI49)*100)),100000+ABS(5-$HH49)*1000+10)))-IF((97=$HJ49)+(97=$HK49)+(97=$HL49)+(97=$HM49)+(97=$HN49)+(97=$HO49)&gt;=2,50,0))+CV$5*50)</f>
        <v/>
      </c>
      <c r="CW169">
        <f>IF(OR($JF49=0,calcA!$A$6=0),0,IF(OR(98=$HA49,98=$HD49,98=$HG49),200000,MIN(IF($HA49=0,999999,IF(5=$HB49,IF(98=$HJ49,IF($JC49=2,30,0),IF(98=$HK49,IF($JC49=1,30,0),ABS(2-$HC49)*100)),100000+ABS(5-$HB49)*1000+20)),IF($HD49=0,999999,IF(5=$HE49,IF(98=$HL49,IF($JD49=2,30,0),IF(98=$HM49,IF($JD49=1,30,0),ABS(2-$HF49)*100)),100000+ABS(5-$HE49)*1000+20)),IF($HG49=0,999999,IF(5=$HH49,IF(98=$HN49,IF($JE49=2,30,0),IF(98=$HO49,IF($JE49=1,30,0),ABS(2-$HI49)*100)),100000+ABS(5-$HH49)*1000+20)))-IF((98=$HJ49)+(98=$HK49)+(98=$HL49)+(98=$HM49)+(98=$HN49)+(98=$HO49)&gt;=2,50,0))+CW$5*50)</f>
        <v/>
      </c>
      <c r="CX169">
        <f>IF(OR($JF49=0,calcA!$A$6=0),0,IF(OR(99=$HA49,99=$HD49,99=$HG49),200000,MIN(IF($HA49=0,999999,IF(5=$HB49,IF(99=$HJ49,IF($JC49=2,30,0),IF(99=$HK49,IF($JC49=1,30,0),ABS(3-$HC49)*100)),100000+ABS(5-$HB49)*1000+30)),IF($HD49=0,999999,IF(5=$HE49,IF(99=$HL49,IF($JD49=2,30,0),IF(99=$HM49,IF($JD49=1,30,0),ABS(3-$HF49)*100)),100000+ABS(5-$HE49)*1000+30)),IF($HG49=0,999999,IF(5=$HH49,IF(99=$HN49,IF($JE49=2,30,0),IF(99=$HO49,IF($JE49=1,30,0),ABS(3-$HI49)*100)),100000+ABS(5-$HH49)*1000+30)))-IF((99=$HJ49)+(99=$HK49)+(99=$HL49)+(99=$HM49)+(99=$HN49)+(99=$HO49)&gt;=2,50,0))+CX$5*50)</f>
        <v/>
      </c>
      <c r="CY169">
        <f>IF(OR($JF49=0,calcA!$A$6=0),0,IF(OR(100=$HA49,100=$HD49,100=$HG49),200000,MIN(IF($HA49=0,999999,IF(5=$HB49,IF(100=$HJ49,IF($JC49=2,30,0),IF(100=$HK49,IF($JC49=1,30,0),ABS(4-$HC49)*100)),100000+ABS(5-$HB49)*1000+40)),IF($HD49=0,999999,IF(5=$HE49,IF(100=$HL49,IF($JD49=2,30,0),IF(100=$HM49,IF($JD49=1,30,0),ABS(4-$HF49)*100)),100000+ABS(5-$HE49)*1000+40)),IF($HG49=0,999999,IF(5=$HH49,IF(100=$HN49,IF($JE49=2,30,0),IF(100=$HO49,IF($JE49=1,30,0),ABS(4-$HI49)*100)),100000+ABS(5-$HH49)*1000+40)))-IF((100=$HJ49)+(100=$HK49)+(100=$HL49)+(100=$HM49)+(100=$HN49)+(100=$HO49)&gt;=2,50,0))+CY$5*50)</f>
        <v/>
      </c>
      <c r="CZ169">
        <f>IF(OR($JF49=0,calcA!$A$6=0),0,IF(OR(101=$HA49,101=$HD49,101=$HG49),200000,MIN(IF($HA49=0,999999,IF(5=$HB49,IF(101=$HJ49,IF($JC49=2,30,0),IF(101=$HK49,IF($JC49=1,30,0),ABS(5-$HC49)*100)),100000+ABS(5-$HB49)*1000+50)),IF($HD49=0,999999,IF(5=$HE49,IF(101=$HL49,IF($JD49=2,30,0),IF(101=$HM49,IF($JD49=1,30,0),ABS(5-$HF49)*100)),100000+ABS(5-$HE49)*1000+50)),IF($HG49=0,999999,IF(5=$HH49,IF(101=$HN49,IF($JE49=2,30,0),IF(101=$HO49,IF($JE49=1,30,0),ABS(5-$HI49)*100)),100000+ABS(5-$HH49)*1000+50)))-IF((101=$HJ49)+(101=$HK49)+(101=$HL49)+(101=$HM49)+(101=$HN49)+(101=$HO49)&gt;=2,50,0))+CZ$5*50)</f>
        <v/>
      </c>
      <c r="DA169">
        <f>IF(OR($JF49=0,calcA!$A$6=0),0,IF(OR(102=$HA49,102=$HD49,102=$HG49),200000,MIN(IF($HA49=0,999999,IF(5=$HB49,IF(102=$HJ49,IF($JC49=2,30,0),IF(102=$HK49,IF($JC49=1,30,0),ABS(6-$HC49)*100)),100000+ABS(5-$HB49)*1000+60)),IF($HD49=0,999999,IF(5=$HE49,IF(102=$HL49,IF($JD49=2,30,0),IF(102=$HM49,IF($JD49=1,30,0),ABS(6-$HF49)*100)),100000+ABS(5-$HE49)*1000+60)),IF($HG49=0,999999,IF(5=$HH49,IF(102=$HN49,IF($JE49=2,30,0),IF(102=$HO49,IF($JE49=1,30,0),ABS(6-$HI49)*100)),100000+ABS(5-$HH49)*1000+60)))-IF((102=$HJ49)+(102=$HK49)+(102=$HL49)+(102=$HM49)+(102=$HN49)+(102=$HO49)&gt;=2,50,0))+DA$5*50)</f>
        <v/>
      </c>
      <c r="DB169">
        <f>IF(OR($JF49=0,calcA!$A$6=0),0,IF(OR(103=$HA49,103=$HD49,103=$HG49),200000,MIN(IF($HA49=0,999999,IF(5=$HB49,IF(103=$HJ49,IF($JC49=2,30,0),IF(103=$HK49,IF($JC49=1,30,0),ABS(7-$HC49)*100)),100000+ABS(5-$HB49)*1000+70)),IF($HD49=0,999999,IF(5=$HE49,IF(103=$HL49,IF($JD49=2,30,0),IF(103=$HM49,IF($JD49=1,30,0),ABS(7-$HF49)*100)),100000+ABS(5-$HE49)*1000+70)),IF($HG49=0,999999,IF(5=$HH49,IF(103=$HN49,IF($JE49=2,30,0),IF(103=$HO49,IF($JE49=1,30,0),ABS(7-$HI49)*100)),100000+ABS(5-$HH49)*1000+70)))-IF((103=$HJ49)+(103=$HK49)+(103=$HL49)+(103=$HM49)+(103=$HN49)+(103=$HO49)&gt;=2,50,0))+DB$5*50)</f>
        <v/>
      </c>
      <c r="DC169">
        <f>IF(OR($JF49=0,calcA!$A$6=0),0,IF(OR(104=$HA49,104=$HD49,104=$HG49),200000,MIN(IF($HA49=0,999999,IF(5=$HB49,IF(104=$HJ49,IF($JC49=2,30,0),IF(104=$HK49,IF($JC49=1,30,0),ABS(8-$HC49)*100)),100000+ABS(5-$HB49)*1000+80)),IF($HD49=0,999999,IF(5=$HE49,IF(104=$HL49,IF($JD49=2,30,0),IF(104=$HM49,IF($JD49=1,30,0),ABS(8-$HF49)*100)),100000+ABS(5-$HE49)*1000+80)),IF($HG49=0,999999,IF(5=$HH49,IF(104=$HN49,IF($JE49=2,30,0),IF(104=$HO49,IF($JE49=1,30,0),ABS(8-$HI49)*100)),100000+ABS(5-$HH49)*1000+80)))-IF((104=$HJ49)+(104=$HK49)+(104=$HL49)+(104=$HM49)+(104=$HN49)+(104=$HO49)&gt;=2,50,0))+DC$5*50)</f>
        <v/>
      </c>
      <c r="DD169">
        <f>IF(OR($JF49=0,calcA!$A$6=0),0,IF(OR(105=$HA49,105=$HD49,105=$HG49),200000,MIN(IF($HA49=0,999999,IF(5=$HB49,IF(105=$HJ49,IF($JC49=2,30,0),IF(105=$HK49,IF($JC49=1,30,0),ABS(9-$HC49)*100)),100000+ABS(5-$HB49)*1000+90)),IF($HD49=0,999999,IF(5=$HE49,IF(105=$HL49,IF($JD49=2,30,0),IF(105=$HM49,IF($JD49=1,30,0),ABS(9-$HF49)*100)),100000+ABS(5-$HE49)*1000+90)),IF($HG49=0,999999,IF(5=$HH49,IF(105=$HN49,IF($JE49=2,30,0),IF(105=$HO49,IF($JE49=1,30,0),ABS(9-$HI49)*100)),100000+ABS(5-$HH49)*1000+90)))-IF((105=$HJ49)+(105=$HK49)+(105=$HL49)+(105=$HM49)+(105=$HN49)+(105=$HO49)&gt;=2,50,0))+DD$5*50)</f>
        <v/>
      </c>
      <c r="DE169">
        <f>IF(OR($JF49=0,calcA!$A$6=0),0,IF(OR(106=$HA49,106=$HD49,106=$HG49),200000,MIN(IF($HA49=0,999999,IF(5=$HB49,IF(106=$HJ49,IF($JC49=2,30,0),IF(106=$HK49,IF($JC49=1,30,0),ABS(10-$HC49)*100)),100000+ABS(5-$HB49)*1000+100)),IF($HD49=0,999999,IF(5=$HE49,IF(106=$HL49,IF($JD49=2,30,0),IF(106=$HM49,IF($JD49=1,30,0),ABS(10-$HF49)*100)),100000+ABS(5-$HE49)*1000+100)),IF($HG49=0,999999,IF(5=$HH49,IF(106=$HN49,IF($JE49=2,30,0),IF(106=$HO49,IF($JE49=1,30,0),ABS(10-$HI49)*100)),100000+ABS(5-$HH49)*1000+100)))-IF((106=$HJ49)+(106=$HK49)+(106=$HL49)+(106=$HM49)+(106=$HN49)+(106=$HO49)&gt;=2,50,0))+DE$5*50)</f>
        <v/>
      </c>
      <c r="DF169">
        <f>IF(OR($JF49=0,calcA!$A$6=0),0,IF(OR(107=$HA49,107=$HD49,107=$HG49),200000,MIN(IF($HA49=0,999999,IF(5=$HB49,IF(107=$HJ49,IF($JC49=2,30,0),IF(107=$HK49,IF($JC49=1,30,0),ABS(11-$HC49)*100)),100000+ABS(5-$HB49)*1000+110)),IF($HD49=0,999999,IF(5=$HE49,IF(107=$HL49,IF($JD49=2,30,0),IF(107=$HM49,IF($JD49=1,30,0),ABS(11-$HF49)*100)),100000+ABS(5-$HE49)*1000+110)),IF($HG49=0,999999,IF(5=$HH49,IF(107=$HN49,IF($JE49=2,30,0),IF(107=$HO49,IF($JE49=1,30,0),ABS(11-$HI49)*100)),100000+ABS(5-$HH49)*1000+110)))-IF((107=$HJ49)+(107=$HK49)+(107=$HL49)+(107=$HM49)+(107=$HN49)+(107=$HO49)&gt;=2,50,0))+DF$5*50)</f>
        <v/>
      </c>
      <c r="DG169">
        <f>IF(OR($JF49=0,calcA!$A$6=0),0,IF(OR(108=$HA49,108=$HD49,108=$HG49),200000,MIN(IF($HA49=0,999999,IF(5=$HB49,IF(108=$HJ49,IF($JC49=2,30,0),IF(108=$HK49,IF($JC49=1,30,0),ABS(12-$HC49)*100)),100000+ABS(5-$HB49)*1000+120)),IF($HD49=0,999999,IF(5=$HE49,IF(108=$HL49,IF($JD49=2,30,0),IF(108=$HM49,IF($JD49=1,30,0),ABS(12-$HF49)*100)),100000+ABS(5-$HE49)*1000+120)),IF($HG49=0,999999,IF(5=$HH49,IF(108=$HN49,IF($JE49=2,30,0),IF(108=$HO49,IF($JE49=1,30,0),ABS(12-$HI49)*100)),100000+ABS(5-$HH49)*1000+120)))-IF((108=$HJ49)+(108=$HK49)+(108=$HL49)+(108=$HM49)+(108=$HN49)+(108=$HO49)&gt;=2,50,0))+DG$5*50)</f>
        <v/>
      </c>
      <c r="DH169">
        <f>IF(OR($JF49=0,calcA!$A$6=0),0,IF(OR(109=$HA49,109=$HD49,109=$HG49),200000,MIN(IF($HA49=0,999999,IF(5=$HB49,IF(109=$HJ49,IF($JC49=2,30,0),IF(109=$HK49,IF($JC49=1,30,0),ABS(13-$HC49)*100)),100000+ABS(5-$HB49)*1000+130)),IF($HD49=0,999999,IF(5=$HE49,IF(109=$HL49,IF($JD49=2,30,0),IF(109=$HM49,IF($JD49=1,30,0),ABS(13-$HF49)*100)),100000+ABS(5-$HE49)*1000+130)),IF($HG49=0,999999,IF(5=$HH49,IF(109=$HN49,IF($JE49=2,30,0),IF(109=$HO49,IF($JE49=1,30,0),ABS(13-$HI49)*100)),100000+ABS(5-$HH49)*1000+130)))-IF((109=$HJ49)+(109=$HK49)+(109=$HL49)+(109=$HM49)+(109=$HN49)+(109=$HO49)&gt;=2,50,0))+DH$5*50)</f>
        <v/>
      </c>
      <c r="DI169">
        <f>IF(OR($JF49=0,calcA!$A$6=0),0,IF(OR(110=$HA49,110=$HD49,110=$HG49),200000,MIN(IF($HA49=0,999999,IF(5=$HB49,IF(110=$HJ49,IF($JC49=2,30,0),IF(110=$HK49,IF($JC49=1,30,0),ABS(14-$HC49)*100)),100000+ABS(5-$HB49)*1000+140)),IF($HD49=0,999999,IF(5=$HE49,IF(110=$HL49,IF($JD49=2,30,0),IF(110=$HM49,IF($JD49=1,30,0),ABS(14-$HF49)*100)),100000+ABS(5-$HE49)*1000+140)),IF($HG49=0,999999,IF(5=$HH49,IF(110=$HN49,IF($JE49=2,30,0),IF(110=$HO49,IF($JE49=1,30,0),ABS(14-$HI49)*100)),100000+ABS(5-$HH49)*1000+140)))-IF((110=$HJ49)+(110=$HK49)+(110=$HL49)+(110=$HM49)+(110=$HN49)+(110=$HO49)&gt;=2,50,0))+DI$5*50)</f>
        <v/>
      </c>
      <c r="DJ169">
        <f>IF(OR($JF49=0,calcA!$A$6=0),0,IF(OR(111=$HA49,111=$HD49,111=$HG49),200000,MIN(IF($HA49=0,999999,IF(5=$HB49,IF(111=$HJ49,IF($JC49=2,30,0),IF(111=$HK49,IF($JC49=1,30,0),ABS(15-$HC49)*100)),100000+ABS(5-$HB49)*1000+150)),IF($HD49=0,999999,IF(5=$HE49,IF(111=$HL49,IF($JD49=2,30,0),IF(111=$HM49,IF($JD49=1,30,0),ABS(15-$HF49)*100)),100000+ABS(5-$HE49)*1000+150)),IF($HG49=0,999999,IF(5=$HH49,IF(111=$HN49,IF($JE49=2,30,0),IF(111=$HO49,IF($JE49=1,30,0),ABS(15-$HI49)*100)),100000+ABS(5-$HH49)*1000+150)))-IF((111=$HJ49)+(111=$HK49)+(111=$HL49)+(111=$HM49)+(111=$HN49)+(111=$HO49)&gt;=2,50,0))+DJ$5*50)</f>
        <v/>
      </c>
      <c r="DK169">
        <f>IF(OR($JF49=0,calcA!$A$6=0),0,IF(OR(112=$HA49,112=$HD49,112=$HG49),200000,MIN(IF($HA49=0,999999,IF(5=$HB49,IF(112=$HJ49,IF($JC49=2,30,0),IF(112=$HK49,IF($JC49=1,30,0),ABS(16-$HC49)*100)),100000+ABS(5-$HB49)*1000+160)),IF($HD49=0,999999,IF(5=$HE49,IF(112=$HL49,IF($JD49=2,30,0),IF(112=$HM49,IF($JD49=1,30,0),ABS(16-$HF49)*100)),100000+ABS(5-$HE49)*1000+160)),IF($HG49=0,999999,IF(5=$HH49,IF(112=$HN49,IF($JE49=2,30,0),IF(112=$HO49,IF($JE49=1,30,0),ABS(16-$HI49)*100)),100000+ABS(5-$HH49)*1000+160)))-IF((112=$HJ49)+(112=$HK49)+(112=$HL49)+(112=$HM49)+(112=$HN49)+(112=$HO49)&gt;=2,50,0))+DK$5*50)</f>
        <v/>
      </c>
      <c r="DL169">
        <f>IF(OR($JF49=0,calcA!$A$6=0),0,IF(OR(113=$HA49,113=$HD49,113=$HG49),200000,MIN(IF($HA49=0,999999,IF(5=$HB49,IF(113=$HJ49,IF($JC49=2,30,0),IF(113=$HK49,IF($JC49=1,30,0),ABS(17-$HC49)*100)),100000+ABS(5-$HB49)*1000+170)),IF($HD49=0,999999,IF(5=$HE49,IF(113=$HL49,IF($JD49=2,30,0),IF(113=$HM49,IF($JD49=1,30,0),ABS(17-$HF49)*100)),100000+ABS(5-$HE49)*1000+170)),IF($HG49=0,999999,IF(5=$HH49,IF(113=$HN49,IF($JE49=2,30,0),IF(113=$HO49,IF($JE49=1,30,0),ABS(17-$HI49)*100)),100000+ABS(5-$HH49)*1000+170)))-IF((113=$HJ49)+(113=$HK49)+(113=$HL49)+(113=$HM49)+(113=$HN49)+(113=$HO49)&gt;=2,50,0))+DL$5*50)</f>
        <v/>
      </c>
      <c r="DM169">
        <f>IF(OR($JF49=0,calcA!$A$6=0),0,IF(OR(114=$HA49,114=$HD49,114=$HG49),200000,MIN(IF($HA49=0,999999,IF(5=$HB49,IF(114=$HJ49,IF($JC49=2,30,0),IF(114=$HK49,IF($JC49=1,30,0),ABS(18-$HC49)*100)),100000+ABS(5-$HB49)*1000+180)),IF($HD49=0,999999,IF(5=$HE49,IF(114=$HL49,IF($JD49=2,30,0),IF(114=$HM49,IF($JD49=1,30,0),ABS(18-$HF49)*100)),100000+ABS(5-$HE49)*1000+180)),IF($HG49=0,999999,IF(5=$HH49,IF(114=$HN49,IF($JE49=2,30,0),IF(114=$HO49,IF($JE49=1,30,0),ABS(18-$HI49)*100)),100000+ABS(5-$HH49)*1000+180)))-IF((114=$HJ49)+(114=$HK49)+(114=$HL49)+(114=$HM49)+(114=$HN49)+(114=$HO49)&gt;=2,50,0))+DM$5*50)</f>
        <v/>
      </c>
      <c r="DN169">
        <f>IF(OR($JF49=0,calcA!$A$6=0),0,IF(OR(115=$HA49,115=$HD49,115=$HG49),200000,MIN(IF($HA49=0,999999,IF(5=$HB49,IF(115=$HJ49,IF($JC49=2,30,0),IF(115=$HK49,IF($JC49=1,30,0),ABS(19-$HC49)*100)),100000+ABS(5-$HB49)*1000+190)),IF($HD49=0,999999,IF(5=$HE49,IF(115=$HL49,IF($JD49=2,30,0),IF(115=$HM49,IF($JD49=1,30,0),ABS(19-$HF49)*100)),100000+ABS(5-$HE49)*1000+190)),IF($HG49=0,999999,IF(5=$HH49,IF(115=$HN49,IF($JE49=2,30,0),IF(115=$HO49,IF($JE49=1,30,0),ABS(19-$HI49)*100)),100000+ABS(5-$HH49)*1000+190)))-IF((115=$HJ49)+(115=$HK49)+(115=$HL49)+(115=$HM49)+(115=$HN49)+(115=$HO49)&gt;=2,50,0))+DN$5*50)</f>
        <v/>
      </c>
      <c r="DO169">
        <f>IF(OR($JF49=0,calcA!$A$6=0),0,IF(OR(116=$HA49,116=$HD49,116=$HG49),200000,MIN(IF($HA49=0,999999,IF(5=$HB49,IF(116=$HJ49,IF($JC49=2,30,0),IF(116=$HK49,IF($JC49=1,30,0),ABS(20-$HC49)*100)),100000+ABS(5-$HB49)*1000+200)),IF($HD49=0,999999,IF(5=$HE49,IF(116=$HL49,IF($JD49=2,30,0),IF(116=$HM49,IF($JD49=1,30,0),ABS(20-$HF49)*100)),100000+ABS(5-$HE49)*1000+200)),IF($HG49=0,999999,IF(5=$HH49,IF(116=$HN49,IF($JE49=2,30,0),IF(116=$HO49,IF($JE49=1,30,0),ABS(20-$HI49)*100)),100000+ABS(5-$HH49)*1000+200)))-IF((116=$HJ49)+(116=$HK49)+(116=$HL49)+(116=$HM49)+(116=$HN49)+(116=$HO49)&gt;=2,50,0))+DO$5*50)</f>
        <v/>
      </c>
      <c r="DP169">
        <f>IF(OR($JF49=0,calcA!$A$6=0),0,IF(OR(117=$HA49,117=$HD49,117=$HG49),200000,MIN(IF($HA49=0,999999,IF(5=$HB49,IF(117=$HJ49,IF($JC49=2,30,0),IF(117=$HK49,IF($JC49=1,30,0),ABS(21-$HC49)*100)),100000+ABS(5-$HB49)*1000+210)),IF($HD49=0,999999,IF(5=$HE49,IF(117=$HL49,IF($JD49=2,30,0),IF(117=$HM49,IF($JD49=1,30,0),ABS(21-$HF49)*100)),100000+ABS(5-$HE49)*1000+210)),IF($HG49=0,999999,IF(5=$HH49,IF(117=$HN49,IF($JE49=2,30,0),IF(117=$HO49,IF($JE49=1,30,0),ABS(21-$HI49)*100)),100000+ABS(5-$HH49)*1000+210)))-IF((117=$HJ49)+(117=$HK49)+(117=$HL49)+(117=$HM49)+(117=$HN49)+(117=$HO49)&gt;=2,50,0))+DP$5*50)</f>
        <v/>
      </c>
      <c r="DQ169">
        <f>IF(OR($JF49=0,calcA!$A$6=0),0,IF(OR(118=$HA49,118=$HD49,118=$HG49),200000,MIN(IF($HA49=0,999999,IF(5=$HB49,IF(118=$HJ49,IF($JC49=2,30,0),IF(118=$HK49,IF($JC49=1,30,0),ABS(22-$HC49)*100)),100000+ABS(5-$HB49)*1000+220)),IF($HD49=0,999999,IF(5=$HE49,IF(118=$HL49,IF($JD49=2,30,0),IF(118=$HM49,IF($JD49=1,30,0),ABS(22-$HF49)*100)),100000+ABS(5-$HE49)*1000+220)),IF($HG49=0,999999,IF(5=$HH49,IF(118=$HN49,IF($JE49=2,30,0),IF(118=$HO49,IF($JE49=1,30,0),ABS(22-$HI49)*100)),100000+ABS(5-$HH49)*1000+220)))-IF((118=$HJ49)+(118=$HK49)+(118=$HL49)+(118=$HM49)+(118=$HN49)+(118=$HO49)&gt;=2,50,0))+DQ$5*50)</f>
        <v/>
      </c>
      <c r="DR169">
        <f>IF(OR($JF49=0,calcA!$A$6=0),0,IF(OR(119=$HA49,119=$HD49,119=$HG49),200000,MIN(IF($HA49=0,999999,IF(5=$HB49,IF(119=$HJ49,IF($JC49=2,30,0),IF(119=$HK49,IF($JC49=1,30,0),ABS(23-$HC49)*100)),100000+ABS(5-$HB49)*1000+230)),IF($HD49=0,999999,IF(5=$HE49,IF(119=$HL49,IF($JD49=2,30,0),IF(119=$HM49,IF($JD49=1,30,0),ABS(23-$HF49)*100)),100000+ABS(5-$HE49)*1000+230)),IF($HG49=0,999999,IF(5=$HH49,IF(119=$HN49,IF($JE49=2,30,0),IF(119=$HO49,IF($JE49=1,30,0),ABS(23-$HI49)*100)),100000+ABS(5-$HH49)*1000+230)))-IF((119=$HJ49)+(119=$HK49)+(119=$HL49)+(119=$HM49)+(119=$HN49)+(119=$HO49)&gt;=2,50,0))+DR$5*50)</f>
        <v/>
      </c>
      <c r="DS169">
        <f>IF(OR($JF49=0,calcA!$A$6=0),0,IF(OR(120=$HA49,120=$HD49,120=$HG49),200000,MIN(IF($HA49=0,999999,IF(5=$HB49,IF(120=$HJ49,IF($JC49=2,30,0),IF(120=$HK49,IF($JC49=1,30,0),ABS(24-$HC49)*100)),100000+ABS(5-$HB49)*1000+240)),IF($HD49=0,999999,IF(5=$HE49,IF(120=$HL49,IF($JD49=2,30,0),IF(120=$HM49,IF($JD49=1,30,0),ABS(24-$HF49)*100)),100000+ABS(5-$HE49)*1000+240)),IF($HG49=0,999999,IF(5=$HH49,IF(120=$HN49,IF($JE49=2,30,0),IF(120=$HO49,IF($JE49=1,30,0),ABS(24-$HI49)*100)),100000+ABS(5-$HH49)*1000+240)))-IF((120=$HJ49)+(120=$HK49)+(120=$HL49)+(120=$HM49)+(120=$HN49)+(120=$HO49)&gt;=2,50,0))+DS$5*50)</f>
        <v/>
      </c>
      <c r="DT169">
        <f>IF(OR($JF49=0,calcA!$A$6=0),0,IF(OR(121=$HA49,121=$HD49,121=$HG49),200000,MIN(IF($HA49=0,999999,IF(6=$HB49,IF(121=$HJ49,IF($JC49=2,30,0),IF(121=$HK49,IF($JC49=1,30,0),ABS(1-$HC49)*100)),100000+ABS(6-$HB49)*1000+10)),IF($HD49=0,999999,IF(6=$HE49,IF(121=$HL49,IF($JD49=2,30,0),IF(121=$HM49,IF($JD49=1,30,0),ABS(1-$HF49)*100)),100000+ABS(6-$HE49)*1000+10)),IF($HG49=0,999999,IF(6=$HH49,IF(121=$HN49,IF($JE49=2,30,0),IF(121=$HO49,IF($JE49=1,30,0),ABS(1-$HI49)*100)),100000+ABS(6-$HH49)*1000+10)))-IF((121=$HJ49)+(121=$HK49)+(121=$HL49)+(121=$HM49)+(121=$HN49)+(121=$HO49)&gt;=2,50,0))+DT$5*50)</f>
        <v/>
      </c>
      <c r="DU169">
        <f>IF(OR($JF49=0,calcA!$A$6=0),0,IF(OR(122=$HA49,122=$HD49,122=$HG49),200000,MIN(IF($HA49=0,999999,IF(6=$HB49,IF(122=$HJ49,IF($JC49=2,30,0),IF(122=$HK49,IF($JC49=1,30,0),ABS(2-$HC49)*100)),100000+ABS(6-$HB49)*1000+20)),IF($HD49=0,999999,IF(6=$HE49,IF(122=$HL49,IF($JD49=2,30,0),IF(122=$HM49,IF($JD49=1,30,0),ABS(2-$HF49)*100)),100000+ABS(6-$HE49)*1000+20)),IF($HG49=0,999999,IF(6=$HH49,IF(122=$HN49,IF($JE49=2,30,0),IF(122=$HO49,IF($JE49=1,30,0),ABS(2-$HI49)*100)),100000+ABS(6-$HH49)*1000+20)))-IF((122=$HJ49)+(122=$HK49)+(122=$HL49)+(122=$HM49)+(122=$HN49)+(122=$HO49)&gt;=2,50,0))+DU$5*50)</f>
        <v/>
      </c>
      <c r="DV169">
        <f>IF(OR($JF49=0,calcA!$A$6=0),0,IF(OR(123=$HA49,123=$HD49,123=$HG49),200000,MIN(IF($HA49=0,999999,IF(6=$HB49,IF(123=$HJ49,IF($JC49=2,30,0),IF(123=$HK49,IF($JC49=1,30,0),ABS(3-$HC49)*100)),100000+ABS(6-$HB49)*1000+30)),IF($HD49=0,999999,IF(6=$HE49,IF(123=$HL49,IF($JD49=2,30,0),IF(123=$HM49,IF($JD49=1,30,0),ABS(3-$HF49)*100)),100000+ABS(6-$HE49)*1000+30)),IF($HG49=0,999999,IF(6=$HH49,IF(123=$HN49,IF($JE49=2,30,0),IF(123=$HO49,IF($JE49=1,30,0),ABS(3-$HI49)*100)),100000+ABS(6-$HH49)*1000+30)))-IF((123=$HJ49)+(123=$HK49)+(123=$HL49)+(123=$HM49)+(123=$HN49)+(123=$HO49)&gt;=2,50,0))+DV$5*50)</f>
        <v/>
      </c>
      <c r="DW169">
        <f>IF(OR($JF49=0,calcA!$A$6=0),0,IF(OR(124=$HA49,124=$HD49,124=$HG49),200000,MIN(IF($HA49=0,999999,IF(6=$HB49,IF(124=$HJ49,IF($JC49=2,30,0),IF(124=$HK49,IF($JC49=1,30,0),ABS(4-$HC49)*100)),100000+ABS(6-$HB49)*1000+40)),IF($HD49=0,999999,IF(6=$HE49,IF(124=$HL49,IF($JD49=2,30,0),IF(124=$HM49,IF($JD49=1,30,0),ABS(4-$HF49)*100)),100000+ABS(6-$HE49)*1000+40)),IF($HG49=0,999999,IF(6=$HH49,IF(124=$HN49,IF($JE49=2,30,0),IF(124=$HO49,IF($JE49=1,30,0),ABS(4-$HI49)*100)),100000+ABS(6-$HH49)*1000+40)))-IF((124=$HJ49)+(124=$HK49)+(124=$HL49)+(124=$HM49)+(124=$HN49)+(124=$HO49)&gt;=2,50,0))+DW$5*50)</f>
        <v/>
      </c>
      <c r="DX169">
        <f>IF(OR($JF49=0,calcA!$A$6=0),0,IF(OR(125=$HA49,125=$HD49,125=$HG49),200000,MIN(IF($HA49=0,999999,IF(6=$HB49,IF(125=$HJ49,IF($JC49=2,30,0),IF(125=$HK49,IF($JC49=1,30,0),ABS(5-$HC49)*100)),100000+ABS(6-$HB49)*1000+50)),IF($HD49=0,999999,IF(6=$HE49,IF(125=$HL49,IF($JD49=2,30,0),IF(125=$HM49,IF($JD49=1,30,0),ABS(5-$HF49)*100)),100000+ABS(6-$HE49)*1000+50)),IF($HG49=0,999999,IF(6=$HH49,IF(125=$HN49,IF($JE49=2,30,0),IF(125=$HO49,IF($JE49=1,30,0),ABS(5-$HI49)*100)),100000+ABS(6-$HH49)*1000+50)))-IF((125=$HJ49)+(125=$HK49)+(125=$HL49)+(125=$HM49)+(125=$HN49)+(125=$HO49)&gt;=2,50,0))+DX$5*50)</f>
        <v/>
      </c>
      <c r="DY169">
        <f>IF(OR($JF49=0,calcA!$A$6=0),0,IF(OR(126=$HA49,126=$HD49,126=$HG49),200000,MIN(IF($HA49=0,999999,IF(6=$HB49,IF(126=$HJ49,IF($JC49=2,30,0),IF(126=$HK49,IF($JC49=1,30,0),ABS(6-$HC49)*100)),100000+ABS(6-$HB49)*1000+60)),IF($HD49=0,999999,IF(6=$HE49,IF(126=$HL49,IF($JD49=2,30,0),IF(126=$HM49,IF($JD49=1,30,0),ABS(6-$HF49)*100)),100000+ABS(6-$HE49)*1000+60)),IF($HG49=0,999999,IF(6=$HH49,IF(126=$HN49,IF($JE49=2,30,0),IF(126=$HO49,IF($JE49=1,30,0),ABS(6-$HI49)*100)),100000+ABS(6-$HH49)*1000+60)))-IF((126=$HJ49)+(126=$HK49)+(126=$HL49)+(126=$HM49)+(126=$HN49)+(126=$HO49)&gt;=2,50,0))+DY$5*50)</f>
        <v/>
      </c>
      <c r="DZ169">
        <f>IF(OR($JF49=0,calcA!$A$6=0),0,IF(OR(127=$HA49,127=$HD49,127=$HG49),200000,MIN(IF($HA49=0,999999,IF(6=$HB49,IF(127=$HJ49,IF($JC49=2,30,0),IF(127=$HK49,IF($JC49=1,30,0),ABS(7-$HC49)*100)),100000+ABS(6-$HB49)*1000+70)),IF($HD49=0,999999,IF(6=$HE49,IF(127=$HL49,IF($JD49=2,30,0),IF(127=$HM49,IF($JD49=1,30,0),ABS(7-$HF49)*100)),100000+ABS(6-$HE49)*1000+70)),IF($HG49=0,999999,IF(6=$HH49,IF(127=$HN49,IF($JE49=2,30,0),IF(127=$HO49,IF($JE49=1,30,0),ABS(7-$HI49)*100)),100000+ABS(6-$HH49)*1000+70)))-IF((127=$HJ49)+(127=$HK49)+(127=$HL49)+(127=$HM49)+(127=$HN49)+(127=$HO49)&gt;=2,50,0))+DZ$5*50)</f>
        <v/>
      </c>
      <c r="EA169">
        <f>IF(OR($JF49=0,calcA!$A$6=0),0,IF(OR(128=$HA49,128=$HD49,128=$HG49),200000,MIN(IF($HA49=0,999999,IF(6=$HB49,IF(128=$HJ49,IF($JC49=2,30,0),IF(128=$HK49,IF($JC49=1,30,0),ABS(8-$HC49)*100)),100000+ABS(6-$HB49)*1000+80)),IF($HD49=0,999999,IF(6=$HE49,IF(128=$HL49,IF($JD49=2,30,0),IF(128=$HM49,IF($JD49=1,30,0),ABS(8-$HF49)*100)),100000+ABS(6-$HE49)*1000+80)),IF($HG49=0,999999,IF(6=$HH49,IF(128=$HN49,IF($JE49=2,30,0),IF(128=$HO49,IF($JE49=1,30,0),ABS(8-$HI49)*100)),100000+ABS(6-$HH49)*1000+80)))-IF((128=$HJ49)+(128=$HK49)+(128=$HL49)+(128=$HM49)+(128=$HN49)+(128=$HO49)&gt;=2,50,0))+EA$5*50)</f>
        <v/>
      </c>
      <c r="EB169">
        <f>IF(OR($JF49=0,calcA!$A$6=0),0,IF(OR(129=$HA49,129=$HD49,129=$HG49),200000,MIN(IF($HA49=0,999999,IF(6=$HB49,IF(129=$HJ49,IF($JC49=2,30,0),IF(129=$HK49,IF($JC49=1,30,0),ABS(9-$HC49)*100)),100000+ABS(6-$HB49)*1000+90)),IF($HD49=0,999999,IF(6=$HE49,IF(129=$HL49,IF($JD49=2,30,0),IF(129=$HM49,IF($JD49=1,30,0),ABS(9-$HF49)*100)),100000+ABS(6-$HE49)*1000+90)),IF($HG49=0,999999,IF(6=$HH49,IF(129=$HN49,IF($JE49=2,30,0),IF(129=$HO49,IF($JE49=1,30,0),ABS(9-$HI49)*100)),100000+ABS(6-$HH49)*1000+90)))-IF((129=$HJ49)+(129=$HK49)+(129=$HL49)+(129=$HM49)+(129=$HN49)+(129=$HO49)&gt;=2,50,0))+EB$5*50)</f>
        <v/>
      </c>
      <c r="EC169">
        <f>IF(OR($JF49=0,calcA!$A$6=0),0,IF(OR(130=$HA49,130=$HD49,130=$HG49),200000,MIN(IF($HA49=0,999999,IF(6=$HB49,IF(130=$HJ49,IF($JC49=2,30,0),IF(130=$HK49,IF($JC49=1,30,0),ABS(10-$HC49)*100)),100000+ABS(6-$HB49)*1000+100)),IF($HD49=0,999999,IF(6=$HE49,IF(130=$HL49,IF($JD49=2,30,0),IF(130=$HM49,IF($JD49=1,30,0),ABS(10-$HF49)*100)),100000+ABS(6-$HE49)*1000+100)),IF($HG49=0,999999,IF(6=$HH49,IF(130=$HN49,IF($JE49=2,30,0),IF(130=$HO49,IF($JE49=1,30,0),ABS(10-$HI49)*100)),100000+ABS(6-$HH49)*1000+100)))-IF((130=$HJ49)+(130=$HK49)+(130=$HL49)+(130=$HM49)+(130=$HN49)+(130=$HO49)&gt;=2,50,0))+EC$5*50)</f>
        <v/>
      </c>
      <c r="ED169">
        <f>IF(OR($JF49=0,calcA!$A$6=0),0,IF(OR(131=$HA49,131=$HD49,131=$HG49),200000,MIN(IF($HA49=0,999999,IF(6=$HB49,IF(131=$HJ49,IF($JC49=2,30,0),IF(131=$HK49,IF($JC49=1,30,0),ABS(11-$HC49)*100)),100000+ABS(6-$HB49)*1000+110)),IF($HD49=0,999999,IF(6=$HE49,IF(131=$HL49,IF($JD49=2,30,0),IF(131=$HM49,IF($JD49=1,30,0),ABS(11-$HF49)*100)),100000+ABS(6-$HE49)*1000+110)),IF($HG49=0,999999,IF(6=$HH49,IF(131=$HN49,IF($JE49=2,30,0),IF(131=$HO49,IF($JE49=1,30,0),ABS(11-$HI49)*100)),100000+ABS(6-$HH49)*1000+110)))-IF((131=$HJ49)+(131=$HK49)+(131=$HL49)+(131=$HM49)+(131=$HN49)+(131=$HO49)&gt;=2,50,0))+ED$5*50)</f>
        <v/>
      </c>
      <c r="EE169">
        <f>IF(OR($JF49=0,calcA!$A$6=0),0,IF(OR(132=$HA49,132=$HD49,132=$HG49),200000,MIN(IF($HA49=0,999999,IF(6=$HB49,IF(132=$HJ49,IF($JC49=2,30,0),IF(132=$HK49,IF($JC49=1,30,0),ABS(12-$HC49)*100)),100000+ABS(6-$HB49)*1000+120)),IF($HD49=0,999999,IF(6=$HE49,IF(132=$HL49,IF($JD49=2,30,0),IF(132=$HM49,IF($JD49=1,30,0),ABS(12-$HF49)*100)),100000+ABS(6-$HE49)*1000+120)),IF($HG49=0,999999,IF(6=$HH49,IF(132=$HN49,IF($JE49=2,30,0),IF(132=$HO49,IF($JE49=1,30,0),ABS(12-$HI49)*100)),100000+ABS(6-$HH49)*1000+120)))-IF((132=$HJ49)+(132=$HK49)+(132=$HL49)+(132=$HM49)+(132=$HN49)+(132=$HO49)&gt;=2,50,0))+EE$5*50)</f>
        <v/>
      </c>
      <c r="EF169">
        <f>IF(OR($JF49=0,calcA!$A$6=0),0,IF(OR(133=$HA49,133=$HD49,133=$HG49),200000,MIN(IF($HA49=0,999999,IF(6=$HB49,IF(133=$HJ49,IF($JC49=2,30,0),IF(133=$HK49,IF($JC49=1,30,0),ABS(13-$HC49)*100)),100000+ABS(6-$HB49)*1000+130)),IF($HD49=0,999999,IF(6=$HE49,IF(133=$HL49,IF($JD49=2,30,0),IF(133=$HM49,IF($JD49=1,30,0),ABS(13-$HF49)*100)),100000+ABS(6-$HE49)*1000+130)),IF($HG49=0,999999,IF(6=$HH49,IF(133=$HN49,IF($JE49=2,30,0),IF(133=$HO49,IF($JE49=1,30,0),ABS(13-$HI49)*100)),100000+ABS(6-$HH49)*1000+130)))-IF((133=$HJ49)+(133=$HK49)+(133=$HL49)+(133=$HM49)+(133=$HN49)+(133=$HO49)&gt;=2,50,0))+EF$5*50)</f>
        <v/>
      </c>
      <c r="EG169">
        <f>IF(OR($JF49=0,calcA!$A$6=0),0,IF(OR(134=$HA49,134=$HD49,134=$HG49),200000,MIN(IF($HA49=0,999999,IF(6=$HB49,IF(134=$HJ49,IF($JC49=2,30,0),IF(134=$HK49,IF($JC49=1,30,0),ABS(14-$HC49)*100)),100000+ABS(6-$HB49)*1000+140)),IF($HD49=0,999999,IF(6=$HE49,IF(134=$HL49,IF($JD49=2,30,0),IF(134=$HM49,IF($JD49=1,30,0),ABS(14-$HF49)*100)),100000+ABS(6-$HE49)*1000+140)),IF($HG49=0,999999,IF(6=$HH49,IF(134=$HN49,IF($JE49=2,30,0),IF(134=$HO49,IF($JE49=1,30,0),ABS(14-$HI49)*100)),100000+ABS(6-$HH49)*1000+140)))-IF((134=$HJ49)+(134=$HK49)+(134=$HL49)+(134=$HM49)+(134=$HN49)+(134=$HO49)&gt;=2,50,0))+EG$5*50)</f>
        <v/>
      </c>
      <c r="EH169">
        <f>IF(OR($JF49=0,calcA!$A$6=0),0,IF(OR(135=$HA49,135=$HD49,135=$HG49),200000,MIN(IF($HA49=0,999999,IF(6=$HB49,IF(135=$HJ49,IF($JC49=2,30,0),IF(135=$HK49,IF($JC49=1,30,0),ABS(15-$HC49)*100)),100000+ABS(6-$HB49)*1000+150)),IF($HD49=0,999999,IF(6=$HE49,IF(135=$HL49,IF($JD49=2,30,0),IF(135=$HM49,IF($JD49=1,30,0),ABS(15-$HF49)*100)),100000+ABS(6-$HE49)*1000+150)),IF($HG49=0,999999,IF(6=$HH49,IF(135=$HN49,IF($JE49=2,30,0),IF(135=$HO49,IF($JE49=1,30,0),ABS(15-$HI49)*100)),100000+ABS(6-$HH49)*1000+150)))-IF((135=$HJ49)+(135=$HK49)+(135=$HL49)+(135=$HM49)+(135=$HN49)+(135=$HO49)&gt;=2,50,0))+EH$5*50)</f>
        <v/>
      </c>
      <c r="EI169">
        <f>IF(OR($JF49=0,calcA!$A$6=0),0,IF(OR(136=$HA49,136=$HD49,136=$HG49),200000,MIN(IF($HA49=0,999999,IF(6=$HB49,IF(136=$HJ49,IF($JC49=2,30,0),IF(136=$HK49,IF($JC49=1,30,0),ABS(16-$HC49)*100)),100000+ABS(6-$HB49)*1000+160)),IF($HD49=0,999999,IF(6=$HE49,IF(136=$HL49,IF($JD49=2,30,0),IF(136=$HM49,IF($JD49=1,30,0),ABS(16-$HF49)*100)),100000+ABS(6-$HE49)*1000+160)),IF($HG49=0,999999,IF(6=$HH49,IF(136=$HN49,IF($JE49=2,30,0),IF(136=$HO49,IF($JE49=1,30,0),ABS(16-$HI49)*100)),100000+ABS(6-$HH49)*1000+160)))-IF((136=$HJ49)+(136=$HK49)+(136=$HL49)+(136=$HM49)+(136=$HN49)+(136=$HO49)&gt;=2,50,0))+EI$5*50)</f>
        <v/>
      </c>
      <c r="EJ169">
        <f>IF(OR($JF49=0,calcA!$A$6=0),0,IF(OR(137=$HA49,137=$HD49,137=$HG49),200000,MIN(IF($HA49=0,999999,IF(6=$HB49,IF(137=$HJ49,IF($JC49=2,30,0),IF(137=$HK49,IF($JC49=1,30,0),ABS(17-$HC49)*100)),100000+ABS(6-$HB49)*1000+170)),IF($HD49=0,999999,IF(6=$HE49,IF(137=$HL49,IF($JD49=2,30,0),IF(137=$HM49,IF($JD49=1,30,0),ABS(17-$HF49)*100)),100000+ABS(6-$HE49)*1000+170)),IF($HG49=0,999999,IF(6=$HH49,IF(137=$HN49,IF($JE49=2,30,0),IF(137=$HO49,IF($JE49=1,30,0),ABS(17-$HI49)*100)),100000+ABS(6-$HH49)*1000+170)))-IF((137=$HJ49)+(137=$HK49)+(137=$HL49)+(137=$HM49)+(137=$HN49)+(137=$HO49)&gt;=2,50,0))+EJ$5*50)</f>
        <v/>
      </c>
      <c r="EK169">
        <f>IF(OR($JF49=0,calcA!$A$6=0),0,IF(OR(138=$HA49,138=$HD49,138=$HG49),200000,MIN(IF($HA49=0,999999,IF(6=$HB49,IF(138=$HJ49,IF($JC49=2,30,0),IF(138=$HK49,IF($JC49=1,30,0),ABS(18-$HC49)*100)),100000+ABS(6-$HB49)*1000+180)),IF($HD49=0,999999,IF(6=$HE49,IF(138=$HL49,IF($JD49=2,30,0),IF(138=$HM49,IF($JD49=1,30,0),ABS(18-$HF49)*100)),100000+ABS(6-$HE49)*1000+180)),IF($HG49=0,999999,IF(6=$HH49,IF(138=$HN49,IF($JE49=2,30,0),IF(138=$HO49,IF($JE49=1,30,0),ABS(18-$HI49)*100)),100000+ABS(6-$HH49)*1000+180)))-IF((138=$HJ49)+(138=$HK49)+(138=$HL49)+(138=$HM49)+(138=$HN49)+(138=$HO49)&gt;=2,50,0))+EK$5*50)</f>
        <v/>
      </c>
      <c r="EL169">
        <f>IF(OR($JF49=0,calcA!$A$6=0),0,IF(OR(139=$HA49,139=$HD49,139=$HG49),200000,MIN(IF($HA49=0,999999,IF(6=$HB49,IF(139=$HJ49,IF($JC49=2,30,0),IF(139=$HK49,IF($JC49=1,30,0),ABS(19-$HC49)*100)),100000+ABS(6-$HB49)*1000+190)),IF($HD49=0,999999,IF(6=$HE49,IF(139=$HL49,IF($JD49=2,30,0),IF(139=$HM49,IF($JD49=1,30,0),ABS(19-$HF49)*100)),100000+ABS(6-$HE49)*1000+190)),IF($HG49=0,999999,IF(6=$HH49,IF(139=$HN49,IF($JE49=2,30,0),IF(139=$HO49,IF($JE49=1,30,0),ABS(19-$HI49)*100)),100000+ABS(6-$HH49)*1000+190)))-IF((139=$HJ49)+(139=$HK49)+(139=$HL49)+(139=$HM49)+(139=$HN49)+(139=$HO49)&gt;=2,50,0))+EL$5*50)</f>
        <v/>
      </c>
      <c r="EM169">
        <f>IF(OR($JF49=0,calcA!$A$6=0),0,IF(OR(140=$HA49,140=$HD49,140=$HG49),200000,MIN(IF($HA49=0,999999,IF(6=$HB49,IF(140=$HJ49,IF($JC49=2,30,0),IF(140=$HK49,IF($JC49=1,30,0),ABS(20-$HC49)*100)),100000+ABS(6-$HB49)*1000+200)),IF($HD49=0,999999,IF(6=$HE49,IF(140=$HL49,IF($JD49=2,30,0),IF(140=$HM49,IF($JD49=1,30,0),ABS(20-$HF49)*100)),100000+ABS(6-$HE49)*1000+200)),IF($HG49=0,999999,IF(6=$HH49,IF(140=$HN49,IF($JE49=2,30,0),IF(140=$HO49,IF($JE49=1,30,0),ABS(20-$HI49)*100)),100000+ABS(6-$HH49)*1000+200)))-IF((140=$HJ49)+(140=$HK49)+(140=$HL49)+(140=$HM49)+(140=$HN49)+(140=$HO49)&gt;=2,50,0))+EM$5*50)</f>
        <v/>
      </c>
      <c r="EN169">
        <f>IF(OR($JF49=0,calcA!$A$6=0),0,IF(OR(141=$HA49,141=$HD49,141=$HG49),200000,MIN(IF($HA49=0,999999,IF(6=$HB49,IF(141=$HJ49,IF($JC49=2,30,0),IF(141=$HK49,IF($JC49=1,30,0),ABS(21-$HC49)*100)),100000+ABS(6-$HB49)*1000+210)),IF($HD49=0,999999,IF(6=$HE49,IF(141=$HL49,IF($JD49=2,30,0),IF(141=$HM49,IF($JD49=1,30,0),ABS(21-$HF49)*100)),100000+ABS(6-$HE49)*1000+210)),IF($HG49=0,999999,IF(6=$HH49,IF(141=$HN49,IF($JE49=2,30,0),IF(141=$HO49,IF($JE49=1,30,0),ABS(21-$HI49)*100)),100000+ABS(6-$HH49)*1000+210)))-IF((141=$HJ49)+(141=$HK49)+(141=$HL49)+(141=$HM49)+(141=$HN49)+(141=$HO49)&gt;=2,50,0))+EN$5*50)</f>
        <v/>
      </c>
      <c r="EO169">
        <f>IF(OR($JF49=0,calcA!$A$6=0),0,IF(OR(142=$HA49,142=$HD49,142=$HG49),200000,MIN(IF($HA49=0,999999,IF(6=$HB49,IF(142=$HJ49,IF($JC49=2,30,0),IF(142=$HK49,IF($JC49=1,30,0),ABS(22-$HC49)*100)),100000+ABS(6-$HB49)*1000+220)),IF($HD49=0,999999,IF(6=$HE49,IF(142=$HL49,IF($JD49=2,30,0),IF(142=$HM49,IF($JD49=1,30,0),ABS(22-$HF49)*100)),100000+ABS(6-$HE49)*1000+220)),IF($HG49=0,999999,IF(6=$HH49,IF(142=$HN49,IF($JE49=2,30,0),IF(142=$HO49,IF($JE49=1,30,0),ABS(22-$HI49)*100)),100000+ABS(6-$HH49)*1000+220)))-IF((142=$HJ49)+(142=$HK49)+(142=$HL49)+(142=$HM49)+(142=$HN49)+(142=$HO49)&gt;=2,50,0))+EO$5*50)</f>
        <v/>
      </c>
      <c r="EP169">
        <f>IF(OR($JF49=0,calcA!$A$6=0),0,IF(OR(143=$HA49,143=$HD49,143=$HG49),200000,MIN(IF($HA49=0,999999,IF(6=$HB49,IF(143=$HJ49,IF($JC49=2,30,0),IF(143=$HK49,IF($JC49=1,30,0),ABS(23-$HC49)*100)),100000+ABS(6-$HB49)*1000+230)),IF($HD49=0,999999,IF(6=$HE49,IF(143=$HL49,IF($JD49=2,30,0),IF(143=$HM49,IF($JD49=1,30,0),ABS(23-$HF49)*100)),100000+ABS(6-$HE49)*1000+230)),IF($HG49=0,999999,IF(6=$HH49,IF(143=$HN49,IF($JE49=2,30,0),IF(143=$HO49,IF($JE49=1,30,0),ABS(23-$HI49)*100)),100000+ABS(6-$HH49)*1000+230)))-IF((143=$HJ49)+(143=$HK49)+(143=$HL49)+(143=$HM49)+(143=$HN49)+(143=$HO49)&gt;=2,50,0))+EP$5*50)</f>
        <v/>
      </c>
      <c r="EQ169">
        <f>IF(OR($JF49=0,calcA!$A$6=0),0,IF(OR(144=$HA49,144=$HD49,144=$HG49),200000,MIN(IF($HA49=0,999999,IF(6=$HB49,IF(144=$HJ49,IF($JC49=2,30,0),IF(144=$HK49,IF($JC49=1,30,0),ABS(24-$HC49)*100)),100000+ABS(6-$HB49)*1000+240)),IF($HD49=0,999999,IF(6=$HE49,IF(144=$HL49,IF($JD49=2,30,0),IF(144=$HM49,IF($JD49=1,30,0),ABS(24-$HF49)*100)),100000+ABS(6-$HE49)*1000+240)),IF($HG49=0,999999,IF(6=$HH49,IF(144=$HN49,IF($JE49=2,30,0),IF(144=$HO49,IF($JE49=1,30,0),ABS(24-$HI49)*100)),100000+ABS(6-$HH49)*1000+240)))-IF((144=$HJ49)+(144=$HK49)+(144=$HL49)+(144=$HM49)+(144=$HN49)+(144=$HO49)&gt;=2,50,0))+EQ$5*50)</f>
        <v/>
      </c>
    </row>
    <row r="179">
      <c r="A179" t="inlineStr">
        <is>
          <t>兄弟がいる子：すぐ前・すぐ後の×</t>
        </is>
      </c>
    </row>
    <row r="180">
      <c r="D180">
        <f>IF(OR($IW10=0,calcA!$A$6=0),0,IF(D$117=1,E10,0))</f>
        <v/>
      </c>
      <c r="E180">
        <f>IF(OR($IW10=0,calcA!$A$6=0),0,IF(D$117=1,D10,0)+IF(E$117=1,F10,0))</f>
        <v/>
      </c>
      <c r="F180">
        <f>IF(OR($IW10=0,calcA!$A$6=0),0,IF(E$117=1,E10,0)+IF(F$117=1,G10,0))</f>
        <v/>
      </c>
      <c r="G180">
        <f>IF(OR($IW10=0,calcA!$A$6=0),0,IF(F$117=1,F10,0)+IF(G$117=1,H10,0))</f>
        <v/>
      </c>
      <c r="H180">
        <f>IF(OR($IW10=0,calcA!$A$6=0),0,IF(G$117=1,G10,0)+IF(H$117=1,I10,0))</f>
        <v/>
      </c>
      <c r="I180">
        <f>IF(OR($IW10=0,calcA!$A$6=0),0,IF(H$117=1,H10,0)+IF(I$117=1,J10,0))</f>
        <v/>
      </c>
      <c r="J180">
        <f>IF(OR($IW10=0,calcA!$A$6=0),0,IF(I$117=1,I10,0)+IF(J$117=1,K10,0))</f>
        <v/>
      </c>
      <c r="K180">
        <f>IF(OR($IW10=0,calcA!$A$6=0),0,IF(J$117=1,J10,0)+IF(K$117=1,L10,0))</f>
        <v/>
      </c>
      <c r="L180">
        <f>IF(OR($IW10=0,calcA!$A$6=0),0,IF(K$117=1,K10,0)+IF(L$117=1,M10,0))</f>
        <v/>
      </c>
      <c r="M180">
        <f>IF(OR($IW10=0,calcA!$A$6=0),0,IF(L$117=1,L10,0)+IF(M$117=1,N10,0))</f>
        <v/>
      </c>
      <c r="N180">
        <f>IF(OR($IW10=0,calcA!$A$6=0),0,IF(M$117=1,M10,0)+IF(N$117=1,O10,0))</f>
        <v/>
      </c>
      <c r="O180">
        <f>IF(OR($IW10=0,calcA!$A$6=0),0,IF(N$117=1,N10,0)+IF(O$117=1,P10,0))</f>
        <v/>
      </c>
      <c r="P180">
        <f>IF(OR($IW10=0,calcA!$A$6=0),0,IF(O$117=1,O10,0)+IF(P$117=1,Q10,0))</f>
        <v/>
      </c>
      <c r="Q180">
        <f>IF(OR($IW10=0,calcA!$A$6=0),0,IF(P$117=1,P10,0)+IF(Q$117=1,R10,0))</f>
        <v/>
      </c>
      <c r="R180">
        <f>IF(OR($IW10=0,calcA!$A$6=0),0,IF(Q$117=1,Q10,0)+IF(R$117=1,S10,0))</f>
        <v/>
      </c>
      <c r="S180">
        <f>IF(OR($IW10=0,calcA!$A$6=0),0,IF(R$117=1,R10,0)+IF(S$117=1,T10,0))</f>
        <v/>
      </c>
      <c r="T180">
        <f>IF(OR($IW10=0,calcA!$A$6=0),0,IF(S$117=1,S10,0)+IF(T$117=1,U10,0))</f>
        <v/>
      </c>
      <c r="U180">
        <f>IF(OR($IW10=0,calcA!$A$6=0),0,IF(T$117=1,T10,0)+IF(U$117=1,V10,0))</f>
        <v/>
      </c>
      <c r="V180">
        <f>IF(OR($IW10=0,calcA!$A$6=0),0,IF(U$117=1,U10,0)+IF(V$117=1,W10,0))</f>
        <v/>
      </c>
      <c r="W180">
        <f>IF(OR($IW10=0,calcA!$A$6=0),0,IF(V$117=1,V10,0)+IF(W$117=1,X10,0))</f>
        <v/>
      </c>
      <c r="X180">
        <f>IF(OR($IW10=0,calcA!$A$6=0),0,IF(W$117=1,W10,0)+IF(X$117=1,Y10,0))</f>
        <v/>
      </c>
      <c r="Y180">
        <f>IF(OR($IW10=0,calcA!$A$6=0),0,IF(X$117=1,X10,0)+IF(Y$117=1,Z10,0))</f>
        <v/>
      </c>
      <c r="Z180">
        <f>IF(OR($IW10=0,calcA!$A$6=0),0,IF(Y$117=1,Y10,0)+IF(Z$117=1,AA10,0))</f>
        <v/>
      </c>
      <c r="AA180">
        <f>IF(OR($IW10=0,calcA!$A$6=0),0,IF(Z$117=1,Z10,0))</f>
        <v/>
      </c>
      <c r="AB180">
        <f>IF(OR($IW10=0,calcA!$A$6=0),0,IF(AB$117=1,AC10,0))</f>
        <v/>
      </c>
      <c r="AC180">
        <f>IF(OR($IW10=0,calcA!$A$6=0),0,IF(AB$117=1,AB10,0)+IF(AC$117=1,AD10,0))</f>
        <v/>
      </c>
      <c r="AD180">
        <f>IF(OR($IW10=0,calcA!$A$6=0),0,IF(AC$117=1,AC10,0)+IF(AD$117=1,AE10,0))</f>
        <v/>
      </c>
      <c r="AE180">
        <f>IF(OR($IW10=0,calcA!$A$6=0),0,IF(AD$117=1,AD10,0)+IF(AE$117=1,AF10,0))</f>
        <v/>
      </c>
      <c r="AF180">
        <f>IF(OR($IW10=0,calcA!$A$6=0),0,IF(AE$117=1,AE10,0)+IF(AF$117=1,AG10,0))</f>
        <v/>
      </c>
      <c r="AG180">
        <f>IF(OR($IW10=0,calcA!$A$6=0),0,IF(AF$117=1,AF10,0)+IF(AG$117=1,AH10,0))</f>
        <v/>
      </c>
      <c r="AH180">
        <f>IF(OR($IW10=0,calcA!$A$6=0),0,IF(AG$117=1,AG10,0)+IF(AH$117=1,AI10,0))</f>
        <v/>
      </c>
      <c r="AI180">
        <f>IF(OR($IW10=0,calcA!$A$6=0),0,IF(AH$117=1,AH10,0)+IF(AI$117=1,AJ10,0))</f>
        <v/>
      </c>
      <c r="AJ180">
        <f>IF(OR($IW10=0,calcA!$A$6=0),0,IF(AI$117=1,AI10,0)+IF(AJ$117=1,AK10,0))</f>
        <v/>
      </c>
      <c r="AK180">
        <f>IF(OR($IW10=0,calcA!$A$6=0),0,IF(AJ$117=1,AJ10,0)+IF(AK$117=1,AL10,0))</f>
        <v/>
      </c>
      <c r="AL180">
        <f>IF(OR($IW10=0,calcA!$A$6=0),0,IF(AK$117=1,AK10,0)+IF(AL$117=1,AM10,0))</f>
        <v/>
      </c>
      <c r="AM180">
        <f>IF(OR($IW10=0,calcA!$A$6=0),0,IF(AL$117=1,AL10,0)+IF(AM$117=1,AN10,0))</f>
        <v/>
      </c>
      <c r="AN180">
        <f>IF(OR($IW10=0,calcA!$A$6=0),0,IF(AM$117=1,AM10,0)+IF(AN$117=1,AO10,0))</f>
        <v/>
      </c>
      <c r="AO180">
        <f>IF(OR($IW10=0,calcA!$A$6=0),0,IF(AN$117=1,AN10,0)+IF(AO$117=1,AP10,0))</f>
        <v/>
      </c>
      <c r="AP180">
        <f>IF(OR($IW10=0,calcA!$A$6=0),0,IF(AO$117=1,AO10,0)+IF(AP$117=1,AQ10,0))</f>
        <v/>
      </c>
      <c r="AQ180">
        <f>IF(OR($IW10=0,calcA!$A$6=0),0,IF(AP$117=1,AP10,0)+IF(AQ$117=1,AR10,0))</f>
        <v/>
      </c>
      <c r="AR180">
        <f>IF(OR($IW10=0,calcA!$A$6=0),0,IF(AQ$117=1,AQ10,0)+IF(AR$117=1,AS10,0))</f>
        <v/>
      </c>
      <c r="AS180">
        <f>IF(OR($IW10=0,calcA!$A$6=0),0,IF(AR$117=1,AR10,0)+IF(AS$117=1,AT10,0))</f>
        <v/>
      </c>
      <c r="AT180">
        <f>IF(OR($IW10=0,calcA!$A$6=0),0,IF(AS$117=1,AS10,0)+IF(AT$117=1,AU10,0))</f>
        <v/>
      </c>
      <c r="AU180">
        <f>IF(OR($IW10=0,calcA!$A$6=0),0,IF(AT$117=1,AT10,0)+IF(AU$117=1,AV10,0))</f>
        <v/>
      </c>
      <c r="AV180">
        <f>IF(OR($IW10=0,calcA!$A$6=0),0,IF(AU$117=1,AU10,0)+IF(AV$117=1,AW10,0))</f>
        <v/>
      </c>
      <c r="AW180">
        <f>IF(OR($IW10=0,calcA!$A$6=0),0,IF(AV$117=1,AV10,0)+IF(AW$117=1,AX10,0))</f>
        <v/>
      </c>
      <c r="AX180">
        <f>IF(OR($IW10=0,calcA!$A$6=0),0,IF(AW$117=1,AW10,0)+IF(AX$117=1,AY10,0))</f>
        <v/>
      </c>
      <c r="AY180">
        <f>IF(OR($IW10=0,calcA!$A$6=0),0,IF(AX$117=1,AX10,0))</f>
        <v/>
      </c>
      <c r="AZ180">
        <f>IF(OR($IW10=0,calcA!$A$6=0),0,IF(AZ$117=1,BA10,0))</f>
        <v/>
      </c>
      <c r="BA180">
        <f>IF(OR($IW10=0,calcA!$A$6=0),0,IF(AZ$117=1,AZ10,0)+IF(BA$117=1,BB10,0))</f>
        <v/>
      </c>
      <c r="BB180">
        <f>IF(OR($IW10=0,calcA!$A$6=0),0,IF(BA$117=1,BA10,0)+IF(BB$117=1,BC10,0))</f>
        <v/>
      </c>
      <c r="BC180">
        <f>IF(OR($IW10=0,calcA!$A$6=0),0,IF(BB$117=1,BB10,0)+IF(BC$117=1,BD10,0))</f>
        <v/>
      </c>
      <c r="BD180">
        <f>IF(OR($IW10=0,calcA!$A$6=0),0,IF(BC$117=1,BC10,0)+IF(BD$117=1,BE10,0))</f>
        <v/>
      </c>
      <c r="BE180">
        <f>IF(OR($IW10=0,calcA!$A$6=0),0,IF(BD$117=1,BD10,0)+IF(BE$117=1,BF10,0))</f>
        <v/>
      </c>
      <c r="BF180">
        <f>IF(OR($IW10=0,calcA!$A$6=0),0,IF(BE$117=1,BE10,0)+IF(BF$117=1,BG10,0))</f>
        <v/>
      </c>
      <c r="BG180">
        <f>IF(OR($IW10=0,calcA!$A$6=0),0,IF(BF$117=1,BF10,0)+IF(BG$117=1,BH10,0))</f>
        <v/>
      </c>
      <c r="BH180">
        <f>IF(OR($IW10=0,calcA!$A$6=0),0,IF(BG$117=1,BG10,0)+IF(BH$117=1,BI10,0))</f>
        <v/>
      </c>
      <c r="BI180">
        <f>IF(OR($IW10=0,calcA!$A$6=0),0,IF(BH$117=1,BH10,0)+IF(BI$117=1,BJ10,0))</f>
        <v/>
      </c>
      <c r="BJ180">
        <f>IF(OR($IW10=0,calcA!$A$6=0),0,IF(BI$117=1,BI10,0)+IF(BJ$117=1,BK10,0))</f>
        <v/>
      </c>
      <c r="BK180">
        <f>IF(OR($IW10=0,calcA!$A$6=0),0,IF(BJ$117=1,BJ10,0)+IF(BK$117=1,BL10,0))</f>
        <v/>
      </c>
      <c r="BL180">
        <f>IF(OR($IW10=0,calcA!$A$6=0),0,IF(BK$117=1,BK10,0)+IF(BL$117=1,BM10,0))</f>
        <v/>
      </c>
      <c r="BM180">
        <f>IF(OR($IW10=0,calcA!$A$6=0),0,IF(BL$117=1,BL10,0)+IF(BM$117=1,BN10,0))</f>
        <v/>
      </c>
      <c r="BN180">
        <f>IF(OR($IW10=0,calcA!$A$6=0),0,IF(BM$117=1,BM10,0)+IF(BN$117=1,BO10,0))</f>
        <v/>
      </c>
      <c r="BO180">
        <f>IF(OR($IW10=0,calcA!$A$6=0),0,IF(BN$117=1,BN10,0)+IF(BO$117=1,BP10,0))</f>
        <v/>
      </c>
      <c r="BP180">
        <f>IF(OR($IW10=0,calcA!$A$6=0),0,IF(BO$117=1,BO10,0)+IF(BP$117=1,BQ10,0))</f>
        <v/>
      </c>
      <c r="BQ180">
        <f>IF(OR($IW10=0,calcA!$A$6=0),0,IF(BP$117=1,BP10,0)+IF(BQ$117=1,BR10,0))</f>
        <v/>
      </c>
      <c r="BR180">
        <f>IF(OR($IW10=0,calcA!$A$6=0),0,IF(BQ$117=1,BQ10,0)+IF(BR$117=1,BS10,0))</f>
        <v/>
      </c>
      <c r="BS180">
        <f>IF(OR($IW10=0,calcA!$A$6=0),0,IF(BR$117=1,BR10,0)+IF(BS$117=1,BT10,0))</f>
        <v/>
      </c>
      <c r="BT180">
        <f>IF(OR($IW10=0,calcA!$A$6=0),0,IF(BS$117=1,BS10,0)+IF(BT$117=1,BU10,0))</f>
        <v/>
      </c>
      <c r="BU180">
        <f>IF(OR($IW10=0,calcA!$A$6=0),0,IF(BT$117=1,BT10,0)+IF(BU$117=1,BV10,0))</f>
        <v/>
      </c>
      <c r="BV180">
        <f>IF(OR($IW10=0,calcA!$A$6=0),0,IF(BU$117=1,BU10,0)+IF(BV$117=1,BW10,0))</f>
        <v/>
      </c>
      <c r="BW180">
        <f>IF(OR($IW10=0,calcA!$A$6=0),0,IF(BV$117=1,BV10,0))</f>
        <v/>
      </c>
      <c r="BX180">
        <f>IF(OR($IW10=0,calcA!$A$6=0),0,IF(BX$117=1,BY10,0))</f>
        <v/>
      </c>
      <c r="BY180">
        <f>IF(OR($IW10=0,calcA!$A$6=0),0,IF(BX$117=1,BX10,0)+IF(BY$117=1,BZ10,0))</f>
        <v/>
      </c>
      <c r="BZ180">
        <f>IF(OR($IW10=0,calcA!$A$6=0),0,IF(BY$117=1,BY10,0)+IF(BZ$117=1,CA10,0))</f>
        <v/>
      </c>
      <c r="CA180">
        <f>IF(OR($IW10=0,calcA!$A$6=0),0,IF(BZ$117=1,BZ10,0)+IF(CA$117=1,CB10,0))</f>
        <v/>
      </c>
      <c r="CB180">
        <f>IF(OR($IW10=0,calcA!$A$6=0),0,IF(CA$117=1,CA10,0)+IF(CB$117=1,CC10,0))</f>
        <v/>
      </c>
      <c r="CC180">
        <f>IF(OR($IW10=0,calcA!$A$6=0),0,IF(CB$117=1,CB10,0)+IF(CC$117=1,CD10,0))</f>
        <v/>
      </c>
      <c r="CD180">
        <f>IF(OR($IW10=0,calcA!$A$6=0),0,IF(CC$117=1,CC10,0)+IF(CD$117=1,CE10,0))</f>
        <v/>
      </c>
      <c r="CE180">
        <f>IF(OR($IW10=0,calcA!$A$6=0),0,IF(CD$117=1,CD10,0)+IF(CE$117=1,CF10,0))</f>
        <v/>
      </c>
      <c r="CF180">
        <f>IF(OR($IW10=0,calcA!$A$6=0),0,IF(CE$117=1,CE10,0)+IF(CF$117=1,CG10,0))</f>
        <v/>
      </c>
      <c r="CG180">
        <f>IF(OR($IW10=0,calcA!$A$6=0),0,IF(CF$117=1,CF10,0)+IF(CG$117=1,CH10,0))</f>
        <v/>
      </c>
      <c r="CH180">
        <f>IF(OR($IW10=0,calcA!$A$6=0),0,IF(CG$117=1,CG10,0)+IF(CH$117=1,CI10,0))</f>
        <v/>
      </c>
      <c r="CI180">
        <f>IF(OR($IW10=0,calcA!$A$6=0),0,IF(CH$117=1,CH10,0)+IF(CI$117=1,CJ10,0))</f>
        <v/>
      </c>
      <c r="CJ180">
        <f>IF(OR($IW10=0,calcA!$A$6=0),0,IF(CI$117=1,CI10,0)+IF(CJ$117=1,CK10,0))</f>
        <v/>
      </c>
      <c r="CK180">
        <f>IF(OR($IW10=0,calcA!$A$6=0),0,IF(CJ$117=1,CJ10,0)+IF(CK$117=1,CL10,0))</f>
        <v/>
      </c>
      <c r="CL180">
        <f>IF(OR($IW10=0,calcA!$A$6=0),0,IF(CK$117=1,CK10,0)+IF(CL$117=1,CM10,0))</f>
        <v/>
      </c>
      <c r="CM180">
        <f>IF(OR($IW10=0,calcA!$A$6=0),0,IF(CL$117=1,CL10,0)+IF(CM$117=1,CN10,0))</f>
        <v/>
      </c>
      <c r="CN180">
        <f>IF(OR($IW10=0,calcA!$A$6=0),0,IF(CM$117=1,CM10,0)+IF(CN$117=1,CO10,0))</f>
        <v/>
      </c>
      <c r="CO180">
        <f>IF(OR($IW10=0,calcA!$A$6=0),0,IF(CN$117=1,CN10,0)+IF(CO$117=1,CP10,0))</f>
        <v/>
      </c>
      <c r="CP180">
        <f>IF(OR($IW10=0,calcA!$A$6=0),0,IF(CO$117=1,CO10,0)+IF(CP$117=1,CQ10,0))</f>
        <v/>
      </c>
      <c r="CQ180">
        <f>IF(OR($IW10=0,calcA!$A$6=0),0,IF(CP$117=1,CP10,0)+IF(CQ$117=1,CR10,0))</f>
        <v/>
      </c>
      <c r="CR180">
        <f>IF(OR($IW10=0,calcA!$A$6=0),0,IF(CQ$117=1,CQ10,0)+IF(CR$117=1,CS10,0))</f>
        <v/>
      </c>
      <c r="CS180">
        <f>IF(OR($IW10=0,calcA!$A$6=0),0,IF(CR$117=1,CR10,0)+IF(CS$117=1,CT10,0))</f>
        <v/>
      </c>
      <c r="CT180">
        <f>IF(OR($IW10=0,calcA!$A$6=0),0,IF(CS$117=1,CS10,0)+IF(CT$117=1,CU10,0))</f>
        <v/>
      </c>
      <c r="CU180">
        <f>IF(OR($IW10=0,calcA!$A$6=0),0,IF(CT$117=1,CT10,0))</f>
        <v/>
      </c>
      <c r="CV180">
        <f>IF(OR($IW10=0,calcA!$A$6=0),0,IF(CV$117=1,CW10,0))</f>
        <v/>
      </c>
      <c r="CW180">
        <f>IF(OR($IW10=0,calcA!$A$6=0),0,IF(CV$117=1,CV10,0)+IF(CW$117=1,CX10,0))</f>
        <v/>
      </c>
      <c r="CX180">
        <f>IF(OR($IW10=0,calcA!$A$6=0),0,IF(CW$117=1,CW10,0)+IF(CX$117=1,CY10,0))</f>
        <v/>
      </c>
      <c r="CY180">
        <f>IF(OR($IW10=0,calcA!$A$6=0),0,IF(CX$117=1,CX10,0)+IF(CY$117=1,CZ10,0))</f>
        <v/>
      </c>
      <c r="CZ180">
        <f>IF(OR($IW10=0,calcA!$A$6=0),0,IF(CY$117=1,CY10,0)+IF(CZ$117=1,DA10,0))</f>
        <v/>
      </c>
      <c r="DA180">
        <f>IF(OR($IW10=0,calcA!$A$6=0),0,IF(CZ$117=1,CZ10,0)+IF(DA$117=1,DB10,0))</f>
        <v/>
      </c>
      <c r="DB180">
        <f>IF(OR($IW10=0,calcA!$A$6=0),0,IF(DA$117=1,DA10,0)+IF(DB$117=1,DC10,0))</f>
        <v/>
      </c>
      <c r="DC180">
        <f>IF(OR($IW10=0,calcA!$A$6=0),0,IF(DB$117=1,DB10,0)+IF(DC$117=1,DD10,0))</f>
        <v/>
      </c>
      <c r="DD180">
        <f>IF(OR($IW10=0,calcA!$A$6=0),0,IF(DC$117=1,DC10,0)+IF(DD$117=1,DE10,0))</f>
        <v/>
      </c>
      <c r="DE180">
        <f>IF(OR($IW10=0,calcA!$A$6=0),0,IF(DD$117=1,DD10,0)+IF(DE$117=1,DF10,0))</f>
        <v/>
      </c>
      <c r="DF180">
        <f>IF(OR($IW10=0,calcA!$A$6=0),0,IF(DE$117=1,DE10,0)+IF(DF$117=1,DG10,0))</f>
        <v/>
      </c>
      <c r="DG180">
        <f>IF(OR($IW10=0,calcA!$A$6=0),0,IF(DF$117=1,DF10,0)+IF(DG$117=1,DH10,0))</f>
        <v/>
      </c>
      <c r="DH180">
        <f>IF(OR($IW10=0,calcA!$A$6=0),0,IF(DG$117=1,DG10,0)+IF(DH$117=1,DI10,0))</f>
        <v/>
      </c>
      <c r="DI180">
        <f>IF(OR($IW10=0,calcA!$A$6=0),0,IF(DH$117=1,DH10,0)+IF(DI$117=1,DJ10,0))</f>
        <v/>
      </c>
      <c r="DJ180">
        <f>IF(OR($IW10=0,calcA!$A$6=0),0,IF(DI$117=1,DI10,0)+IF(DJ$117=1,DK10,0))</f>
        <v/>
      </c>
      <c r="DK180">
        <f>IF(OR($IW10=0,calcA!$A$6=0),0,IF(DJ$117=1,DJ10,0)+IF(DK$117=1,DL10,0))</f>
        <v/>
      </c>
      <c r="DL180">
        <f>IF(OR($IW10=0,calcA!$A$6=0),0,IF(DK$117=1,DK10,0)+IF(DL$117=1,DM10,0))</f>
        <v/>
      </c>
      <c r="DM180">
        <f>IF(OR($IW10=0,calcA!$A$6=0),0,IF(DL$117=1,DL10,0)+IF(DM$117=1,DN10,0))</f>
        <v/>
      </c>
      <c r="DN180">
        <f>IF(OR($IW10=0,calcA!$A$6=0),0,IF(DM$117=1,DM10,0)+IF(DN$117=1,DO10,0))</f>
        <v/>
      </c>
      <c r="DO180">
        <f>IF(OR($IW10=0,calcA!$A$6=0),0,IF(DN$117=1,DN10,0)+IF(DO$117=1,DP10,0))</f>
        <v/>
      </c>
      <c r="DP180">
        <f>IF(OR($IW10=0,calcA!$A$6=0),0,IF(DO$117=1,DO10,0)+IF(DP$117=1,DQ10,0))</f>
        <v/>
      </c>
      <c r="DQ180">
        <f>IF(OR($IW10=0,calcA!$A$6=0),0,IF(DP$117=1,DP10,0)+IF(DQ$117=1,DR10,0))</f>
        <v/>
      </c>
      <c r="DR180">
        <f>IF(OR($IW10=0,calcA!$A$6=0),0,IF(DQ$117=1,DQ10,0)+IF(DR$117=1,DS10,0))</f>
        <v/>
      </c>
      <c r="DS180">
        <f>IF(OR($IW10=0,calcA!$A$6=0),0,IF(DR$117=1,DR10,0))</f>
        <v/>
      </c>
      <c r="DT180">
        <f>IF(OR($IW10=0,calcA!$A$6=0),0,IF(DT$117=1,DU10,0))</f>
        <v/>
      </c>
      <c r="DU180">
        <f>IF(OR($IW10=0,calcA!$A$6=0),0,IF(DT$117=1,DT10,0)+IF(DU$117=1,DV10,0))</f>
        <v/>
      </c>
      <c r="DV180">
        <f>IF(OR($IW10=0,calcA!$A$6=0),0,IF(DU$117=1,DU10,0)+IF(DV$117=1,DW10,0))</f>
        <v/>
      </c>
      <c r="DW180">
        <f>IF(OR($IW10=0,calcA!$A$6=0),0,IF(DV$117=1,DV10,0)+IF(DW$117=1,DX10,0))</f>
        <v/>
      </c>
      <c r="DX180">
        <f>IF(OR($IW10=0,calcA!$A$6=0),0,IF(DW$117=1,DW10,0)+IF(DX$117=1,DY10,0))</f>
        <v/>
      </c>
      <c r="DY180">
        <f>IF(OR($IW10=0,calcA!$A$6=0),0,IF(DX$117=1,DX10,0)+IF(DY$117=1,DZ10,0))</f>
        <v/>
      </c>
      <c r="DZ180">
        <f>IF(OR($IW10=0,calcA!$A$6=0),0,IF(DY$117=1,DY10,0)+IF(DZ$117=1,EA10,0))</f>
        <v/>
      </c>
      <c r="EA180">
        <f>IF(OR($IW10=0,calcA!$A$6=0),0,IF(DZ$117=1,DZ10,0)+IF(EA$117=1,EB10,0))</f>
        <v/>
      </c>
      <c r="EB180">
        <f>IF(OR($IW10=0,calcA!$A$6=0),0,IF(EA$117=1,EA10,0)+IF(EB$117=1,EC10,0))</f>
        <v/>
      </c>
      <c r="EC180">
        <f>IF(OR($IW10=0,calcA!$A$6=0),0,IF(EB$117=1,EB10,0)+IF(EC$117=1,ED10,0))</f>
        <v/>
      </c>
      <c r="ED180">
        <f>IF(OR($IW10=0,calcA!$A$6=0),0,IF(EC$117=1,EC10,0)+IF(ED$117=1,EE10,0))</f>
        <v/>
      </c>
      <c r="EE180">
        <f>IF(OR($IW10=0,calcA!$A$6=0),0,IF(ED$117=1,ED10,0)+IF(EE$117=1,EF10,0))</f>
        <v/>
      </c>
      <c r="EF180">
        <f>IF(OR($IW10=0,calcA!$A$6=0),0,IF(EE$117=1,EE10,0)+IF(EF$117=1,EG10,0))</f>
        <v/>
      </c>
      <c r="EG180">
        <f>IF(OR($IW10=0,calcA!$A$6=0),0,IF(EF$117=1,EF10,0)+IF(EG$117=1,EH10,0))</f>
        <v/>
      </c>
      <c r="EH180">
        <f>IF(OR($IW10=0,calcA!$A$6=0),0,IF(EG$117=1,EG10,0)+IF(EH$117=1,EI10,0))</f>
        <v/>
      </c>
      <c r="EI180">
        <f>IF(OR($IW10=0,calcA!$A$6=0),0,IF(EH$117=1,EH10,0)+IF(EI$117=1,EJ10,0))</f>
        <v/>
      </c>
      <c r="EJ180">
        <f>IF(OR($IW10=0,calcA!$A$6=0),0,IF(EI$117=1,EI10,0)+IF(EJ$117=1,EK10,0))</f>
        <v/>
      </c>
      <c r="EK180">
        <f>IF(OR($IW10=0,calcA!$A$6=0),0,IF(EJ$117=1,EJ10,0)+IF(EK$117=1,EL10,0))</f>
        <v/>
      </c>
      <c r="EL180">
        <f>IF(OR($IW10=0,calcA!$A$6=0),0,IF(EK$117=1,EK10,0)+IF(EL$117=1,EM10,0))</f>
        <v/>
      </c>
      <c r="EM180">
        <f>IF(OR($IW10=0,calcA!$A$6=0),0,IF(EL$117=1,EL10,0)+IF(EM$117=1,EN10,0))</f>
        <v/>
      </c>
      <c r="EN180">
        <f>IF(OR($IW10=0,calcA!$A$6=0),0,IF(EM$117=1,EM10,0)+IF(EN$117=1,EO10,0))</f>
        <v/>
      </c>
      <c r="EO180">
        <f>IF(OR($IW10=0,calcA!$A$6=0),0,IF(EN$117=1,EN10,0)+IF(EO$117=1,EP10,0))</f>
        <v/>
      </c>
      <c r="EP180">
        <f>IF(OR($IW10=0,calcA!$A$6=0),0,IF(EO$117=1,EO10,0)+IF(EP$117=1,EQ10,0))</f>
        <v/>
      </c>
      <c r="EQ180">
        <f>IF(OR($IW10=0,calcA!$A$6=0),0,IF(EP$117=1,EP10,0))</f>
        <v/>
      </c>
    </row>
    <row r="181">
      <c r="D181">
        <f>IF(OR($IW11=0,calcA!$A$6=0),0,IF(D$117=1,E11,0))</f>
        <v/>
      </c>
      <c r="E181">
        <f>IF(OR($IW11=0,calcA!$A$6=0),0,IF(D$117=1,D11,0)+IF(E$117=1,F11,0))</f>
        <v/>
      </c>
      <c r="F181">
        <f>IF(OR($IW11=0,calcA!$A$6=0),0,IF(E$117=1,E11,0)+IF(F$117=1,G11,0))</f>
        <v/>
      </c>
      <c r="G181">
        <f>IF(OR($IW11=0,calcA!$A$6=0),0,IF(F$117=1,F11,0)+IF(G$117=1,H11,0))</f>
        <v/>
      </c>
      <c r="H181">
        <f>IF(OR($IW11=0,calcA!$A$6=0),0,IF(G$117=1,G11,0)+IF(H$117=1,I11,0))</f>
        <v/>
      </c>
      <c r="I181">
        <f>IF(OR($IW11=0,calcA!$A$6=0),0,IF(H$117=1,H11,0)+IF(I$117=1,J11,0))</f>
        <v/>
      </c>
      <c r="J181">
        <f>IF(OR($IW11=0,calcA!$A$6=0),0,IF(I$117=1,I11,0)+IF(J$117=1,K11,0))</f>
        <v/>
      </c>
      <c r="K181">
        <f>IF(OR($IW11=0,calcA!$A$6=0),0,IF(J$117=1,J11,0)+IF(K$117=1,L11,0))</f>
        <v/>
      </c>
      <c r="L181">
        <f>IF(OR($IW11=0,calcA!$A$6=0),0,IF(K$117=1,K11,0)+IF(L$117=1,M11,0))</f>
        <v/>
      </c>
      <c r="M181">
        <f>IF(OR($IW11=0,calcA!$A$6=0),0,IF(L$117=1,L11,0)+IF(M$117=1,N11,0))</f>
        <v/>
      </c>
      <c r="N181">
        <f>IF(OR($IW11=0,calcA!$A$6=0),0,IF(M$117=1,M11,0)+IF(N$117=1,O11,0))</f>
        <v/>
      </c>
      <c r="O181">
        <f>IF(OR($IW11=0,calcA!$A$6=0),0,IF(N$117=1,N11,0)+IF(O$117=1,P11,0))</f>
        <v/>
      </c>
      <c r="P181">
        <f>IF(OR($IW11=0,calcA!$A$6=0),0,IF(O$117=1,O11,0)+IF(P$117=1,Q11,0))</f>
        <v/>
      </c>
      <c r="Q181">
        <f>IF(OR($IW11=0,calcA!$A$6=0),0,IF(P$117=1,P11,0)+IF(Q$117=1,R11,0))</f>
        <v/>
      </c>
      <c r="R181">
        <f>IF(OR($IW11=0,calcA!$A$6=0),0,IF(Q$117=1,Q11,0)+IF(R$117=1,S11,0))</f>
        <v/>
      </c>
      <c r="S181">
        <f>IF(OR($IW11=0,calcA!$A$6=0),0,IF(R$117=1,R11,0)+IF(S$117=1,T11,0))</f>
        <v/>
      </c>
      <c r="T181">
        <f>IF(OR($IW11=0,calcA!$A$6=0),0,IF(S$117=1,S11,0)+IF(T$117=1,U11,0))</f>
        <v/>
      </c>
      <c r="U181">
        <f>IF(OR($IW11=0,calcA!$A$6=0),0,IF(T$117=1,T11,0)+IF(U$117=1,V11,0))</f>
        <v/>
      </c>
      <c r="V181">
        <f>IF(OR($IW11=0,calcA!$A$6=0),0,IF(U$117=1,U11,0)+IF(V$117=1,W11,0))</f>
        <v/>
      </c>
      <c r="W181">
        <f>IF(OR($IW11=0,calcA!$A$6=0),0,IF(V$117=1,V11,0)+IF(W$117=1,X11,0))</f>
        <v/>
      </c>
      <c r="X181">
        <f>IF(OR($IW11=0,calcA!$A$6=0),0,IF(W$117=1,W11,0)+IF(X$117=1,Y11,0))</f>
        <v/>
      </c>
      <c r="Y181">
        <f>IF(OR($IW11=0,calcA!$A$6=0),0,IF(X$117=1,X11,0)+IF(Y$117=1,Z11,0))</f>
        <v/>
      </c>
      <c r="Z181">
        <f>IF(OR($IW11=0,calcA!$A$6=0),0,IF(Y$117=1,Y11,0)+IF(Z$117=1,AA11,0))</f>
        <v/>
      </c>
      <c r="AA181">
        <f>IF(OR($IW11=0,calcA!$A$6=0),0,IF(Z$117=1,Z11,0))</f>
        <v/>
      </c>
      <c r="AB181">
        <f>IF(OR($IW11=0,calcA!$A$6=0),0,IF(AB$117=1,AC11,0))</f>
        <v/>
      </c>
      <c r="AC181">
        <f>IF(OR($IW11=0,calcA!$A$6=0),0,IF(AB$117=1,AB11,0)+IF(AC$117=1,AD11,0))</f>
        <v/>
      </c>
      <c r="AD181">
        <f>IF(OR($IW11=0,calcA!$A$6=0),0,IF(AC$117=1,AC11,0)+IF(AD$117=1,AE11,0))</f>
        <v/>
      </c>
      <c r="AE181">
        <f>IF(OR($IW11=0,calcA!$A$6=0),0,IF(AD$117=1,AD11,0)+IF(AE$117=1,AF11,0))</f>
        <v/>
      </c>
      <c r="AF181">
        <f>IF(OR($IW11=0,calcA!$A$6=0),0,IF(AE$117=1,AE11,0)+IF(AF$117=1,AG11,0))</f>
        <v/>
      </c>
      <c r="AG181">
        <f>IF(OR($IW11=0,calcA!$A$6=0),0,IF(AF$117=1,AF11,0)+IF(AG$117=1,AH11,0))</f>
        <v/>
      </c>
      <c r="AH181">
        <f>IF(OR($IW11=0,calcA!$A$6=0),0,IF(AG$117=1,AG11,0)+IF(AH$117=1,AI11,0))</f>
        <v/>
      </c>
      <c r="AI181">
        <f>IF(OR($IW11=0,calcA!$A$6=0),0,IF(AH$117=1,AH11,0)+IF(AI$117=1,AJ11,0))</f>
        <v/>
      </c>
      <c r="AJ181">
        <f>IF(OR($IW11=0,calcA!$A$6=0),0,IF(AI$117=1,AI11,0)+IF(AJ$117=1,AK11,0))</f>
        <v/>
      </c>
      <c r="AK181">
        <f>IF(OR($IW11=0,calcA!$A$6=0),0,IF(AJ$117=1,AJ11,0)+IF(AK$117=1,AL11,0))</f>
        <v/>
      </c>
      <c r="AL181">
        <f>IF(OR($IW11=0,calcA!$A$6=0),0,IF(AK$117=1,AK11,0)+IF(AL$117=1,AM11,0))</f>
        <v/>
      </c>
      <c r="AM181">
        <f>IF(OR($IW11=0,calcA!$A$6=0),0,IF(AL$117=1,AL11,0)+IF(AM$117=1,AN11,0))</f>
        <v/>
      </c>
      <c r="AN181">
        <f>IF(OR($IW11=0,calcA!$A$6=0),0,IF(AM$117=1,AM11,0)+IF(AN$117=1,AO11,0))</f>
        <v/>
      </c>
      <c r="AO181">
        <f>IF(OR($IW11=0,calcA!$A$6=0),0,IF(AN$117=1,AN11,0)+IF(AO$117=1,AP11,0))</f>
        <v/>
      </c>
      <c r="AP181">
        <f>IF(OR($IW11=0,calcA!$A$6=0),0,IF(AO$117=1,AO11,0)+IF(AP$117=1,AQ11,0))</f>
        <v/>
      </c>
      <c r="AQ181">
        <f>IF(OR($IW11=0,calcA!$A$6=0),0,IF(AP$117=1,AP11,0)+IF(AQ$117=1,AR11,0))</f>
        <v/>
      </c>
      <c r="AR181">
        <f>IF(OR($IW11=0,calcA!$A$6=0),0,IF(AQ$117=1,AQ11,0)+IF(AR$117=1,AS11,0))</f>
        <v/>
      </c>
      <c r="AS181">
        <f>IF(OR($IW11=0,calcA!$A$6=0),0,IF(AR$117=1,AR11,0)+IF(AS$117=1,AT11,0))</f>
        <v/>
      </c>
      <c r="AT181">
        <f>IF(OR($IW11=0,calcA!$A$6=0),0,IF(AS$117=1,AS11,0)+IF(AT$117=1,AU11,0))</f>
        <v/>
      </c>
      <c r="AU181">
        <f>IF(OR($IW11=0,calcA!$A$6=0),0,IF(AT$117=1,AT11,0)+IF(AU$117=1,AV11,0))</f>
        <v/>
      </c>
      <c r="AV181">
        <f>IF(OR($IW11=0,calcA!$A$6=0),0,IF(AU$117=1,AU11,0)+IF(AV$117=1,AW11,0))</f>
        <v/>
      </c>
      <c r="AW181">
        <f>IF(OR($IW11=0,calcA!$A$6=0),0,IF(AV$117=1,AV11,0)+IF(AW$117=1,AX11,0))</f>
        <v/>
      </c>
      <c r="AX181">
        <f>IF(OR($IW11=0,calcA!$A$6=0),0,IF(AW$117=1,AW11,0)+IF(AX$117=1,AY11,0))</f>
        <v/>
      </c>
      <c r="AY181">
        <f>IF(OR($IW11=0,calcA!$A$6=0),0,IF(AX$117=1,AX11,0))</f>
        <v/>
      </c>
      <c r="AZ181">
        <f>IF(OR($IW11=0,calcA!$A$6=0),0,IF(AZ$117=1,BA11,0))</f>
        <v/>
      </c>
      <c r="BA181">
        <f>IF(OR($IW11=0,calcA!$A$6=0),0,IF(AZ$117=1,AZ11,0)+IF(BA$117=1,BB11,0))</f>
        <v/>
      </c>
      <c r="BB181">
        <f>IF(OR($IW11=0,calcA!$A$6=0),0,IF(BA$117=1,BA11,0)+IF(BB$117=1,BC11,0))</f>
        <v/>
      </c>
      <c r="BC181">
        <f>IF(OR($IW11=0,calcA!$A$6=0),0,IF(BB$117=1,BB11,0)+IF(BC$117=1,BD11,0))</f>
        <v/>
      </c>
      <c r="BD181">
        <f>IF(OR($IW11=0,calcA!$A$6=0),0,IF(BC$117=1,BC11,0)+IF(BD$117=1,BE11,0))</f>
        <v/>
      </c>
      <c r="BE181">
        <f>IF(OR($IW11=0,calcA!$A$6=0),0,IF(BD$117=1,BD11,0)+IF(BE$117=1,BF11,0))</f>
        <v/>
      </c>
      <c r="BF181">
        <f>IF(OR($IW11=0,calcA!$A$6=0),0,IF(BE$117=1,BE11,0)+IF(BF$117=1,BG11,0))</f>
        <v/>
      </c>
      <c r="BG181">
        <f>IF(OR($IW11=0,calcA!$A$6=0),0,IF(BF$117=1,BF11,0)+IF(BG$117=1,BH11,0))</f>
        <v/>
      </c>
      <c r="BH181">
        <f>IF(OR($IW11=0,calcA!$A$6=0),0,IF(BG$117=1,BG11,0)+IF(BH$117=1,BI11,0))</f>
        <v/>
      </c>
      <c r="BI181">
        <f>IF(OR($IW11=0,calcA!$A$6=0),0,IF(BH$117=1,BH11,0)+IF(BI$117=1,BJ11,0))</f>
        <v/>
      </c>
      <c r="BJ181">
        <f>IF(OR($IW11=0,calcA!$A$6=0),0,IF(BI$117=1,BI11,0)+IF(BJ$117=1,BK11,0))</f>
        <v/>
      </c>
      <c r="BK181">
        <f>IF(OR($IW11=0,calcA!$A$6=0),0,IF(BJ$117=1,BJ11,0)+IF(BK$117=1,BL11,0))</f>
        <v/>
      </c>
      <c r="BL181">
        <f>IF(OR($IW11=0,calcA!$A$6=0),0,IF(BK$117=1,BK11,0)+IF(BL$117=1,BM11,0))</f>
        <v/>
      </c>
      <c r="BM181">
        <f>IF(OR($IW11=0,calcA!$A$6=0),0,IF(BL$117=1,BL11,0)+IF(BM$117=1,BN11,0))</f>
        <v/>
      </c>
      <c r="BN181">
        <f>IF(OR($IW11=0,calcA!$A$6=0),0,IF(BM$117=1,BM11,0)+IF(BN$117=1,BO11,0))</f>
        <v/>
      </c>
      <c r="BO181">
        <f>IF(OR($IW11=0,calcA!$A$6=0),0,IF(BN$117=1,BN11,0)+IF(BO$117=1,BP11,0))</f>
        <v/>
      </c>
      <c r="BP181">
        <f>IF(OR($IW11=0,calcA!$A$6=0),0,IF(BO$117=1,BO11,0)+IF(BP$117=1,BQ11,0))</f>
        <v/>
      </c>
      <c r="BQ181">
        <f>IF(OR($IW11=0,calcA!$A$6=0),0,IF(BP$117=1,BP11,0)+IF(BQ$117=1,BR11,0))</f>
        <v/>
      </c>
      <c r="BR181">
        <f>IF(OR($IW11=0,calcA!$A$6=0),0,IF(BQ$117=1,BQ11,0)+IF(BR$117=1,BS11,0))</f>
        <v/>
      </c>
      <c r="BS181">
        <f>IF(OR($IW11=0,calcA!$A$6=0),0,IF(BR$117=1,BR11,0)+IF(BS$117=1,BT11,0))</f>
        <v/>
      </c>
      <c r="BT181">
        <f>IF(OR($IW11=0,calcA!$A$6=0),0,IF(BS$117=1,BS11,0)+IF(BT$117=1,BU11,0))</f>
        <v/>
      </c>
      <c r="BU181">
        <f>IF(OR($IW11=0,calcA!$A$6=0),0,IF(BT$117=1,BT11,0)+IF(BU$117=1,BV11,0))</f>
        <v/>
      </c>
      <c r="BV181">
        <f>IF(OR($IW11=0,calcA!$A$6=0),0,IF(BU$117=1,BU11,0)+IF(BV$117=1,BW11,0))</f>
        <v/>
      </c>
      <c r="BW181">
        <f>IF(OR($IW11=0,calcA!$A$6=0),0,IF(BV$117=1,BV11,0))</f>
        <v/>
      </c>
      <c r="BX181">
        <f>IF(OR($IW11=0,calcA!$A$6=0),0,IF(BX$117=1,BY11,0))</f>
        <v/>
      </c>
      <c r="BY181">
        <f>IF(OR($IW11=0,calcA!$A$6=0),0,IF(BX$117=1,BX11,0)+IF(BY$117=1,BZ11,0))</f>
        <v/>
      </c>
      <c r="BZ181">
        <f>IF(OR($IW11=0,calcA!$A$6=0),0,IF(BY$117=1,BY11,0)+IF(BZ$117=1,CA11,0))</f>
        <v/>
      </c>
      <c r="CA181">
        <f>IF(OR($IW11=0,calcA!$A$6=0),0,IF(BZ$117=1,BZ11,0)+IF(CA$117=1,CB11,0))</f>
        <v/>
      </c>
      <c r="CB181">
        <f>IF(OR($IW11=0,calcA!$A$6=0),0,IF(CA$117=1,CA11,0)+IF(CB$117=1,CC11,0))</f>
        <v/>
      </c>
      <c r="CC181">
        <f>IF(OR($IW11=0,calcA!$A$6=0),0,IF(CB$117=1,CB11,0)+IF(CC$117=1,CD11,0))</f>
        <v/>
      </c>
      <c r="CD181">
        <f>IF(OR($IW11=0,calcA!$A$6=0),0,IF(CC$117=1,CC11,0)+IF(CD$117=1,CE11,0))</f>
        <v/>
      </c>
      <c r="CE181">
        <f>IF(OR($IW11=0,calcA!$A$6=0),0,IF(CD$117=1,CD11,0)+IF(CE$117=1,CF11,0))</f>
        <v/>
      </c>
      <c r="CF181">
        <f>IF(OR($IW11=0,calcA!$A$6=0),0,IF(CE$117=1,CE11,0)+IF(CF$117=1,CG11,0))</f>
        <v/>
      </c>
      <c r="CG181">
        <f>IF(OR($IW11=0,calcA!$A$6=0),0,IF(CF$117=1,CF11,0)+IF(CG$117=1,CH11,0))</f>
        <v/>
      </c>
      <c r="CH181">
        <f>IF(OR($IW11=0,calcA!$A$6=0),0,IF(CG$117=1,CG11,0)+IF(CH$117=1,CI11,0))</f>
        <v/>
      </c>
      <c r="CI181">
        <f>IF(OR($IW11=0,calcA!$A$6=0),0,IF(CH$117=1,CH11,0)+IF(CI$117=1,CJ11,0))</f>
        <v/>
      </c>
      <c r="CJ181">
        <f>IF(OR($IW11=0,calcA!$A$6=0),0,IF(CI$117=1,CI11,0)+IF(CJ$117=1,CK11,0))</f>
        <v/>
      </c>
      <c r="CK181">
        <f>IF(OR($IW11=0,calcA!$A$6=0),0,IF(CJ$117=1,CJ11,0)+IF(CK$117=1,CL11,0))</f>
        <v/>
      </c>
      <c r="CL181">
        <f>IF(OR($IW11=0,calcA!$A$6=0),0,IF(CK$117=1,CK11,0)+IF(CL$117=1,CM11,0))</f>
        <v/>
      </c>
      <c r="CM181">
        <f>IF(OR($IW11=0,calcA!$A$6=0),0,IF(CL$117=1,CL11,0)+IF(CM$117=1,CN11,0))</f>
        <v/>
      </c>
      <c r="CN181">
        <f>IF(OR($IW11=0,calcA!$A$6=0),0,IF(CM$117=1,CM11,0)+IF(CN$117=1,CO11,0))</f>
        <v/>
      </c>
      <c r="CO181">
        <f>IF(OR($IW11=0,calcA!$A$6=0),0,IF(CN$117=1,CN11,0)+IF(CO$117=1,CP11,0))</f>
        <v/>
      </c>
      <c r="CP181">
        <f>IF(OR($IW11=0,calcA!$A$6=0),0,IF(CO$117=1,CO11,0)+IF(CP$117=1,CQ11,0))</f>
        <v/>
      </c>
      <c r="CQ181">
        <f>IF(OR($IW11=0,calcA!$A$6=0),0,IF(CP$117=1,CP11,0)+IF(CQ$117=1,CR11,0))</f>
        <v/>
      </c>
      <c r="CR181">
        <f>IF(OR($IW11=0,calcA!$A$6=0),0,IF(CQ$117=1,CQ11,0)+IF(CR$117=1,CS11,0))</f>
        <v/>
      </c>
      <c r="CS181">
        <f>IF(OR($IW11=0,calcA!$A$6=0),0,IF(CR$117=1,CR11,0)+IF(CS$117=1,CT11,0))</f>
        <v/>
      </c>
      <c r="CT181">
        <f>IF(OR($IW11=0,calcA!$A$6=0),0,IF(CS$117=1,CS11,0)+IF(CT$117=1,CU11,0))</f>
        <v/>
      </c>
      <c r="CU181">
        <f>IF(OR($IW11=0,calcA!$A$6=0),0,IF(CT$117=1,CT11,0))</f>
        <v/>
      </c>
      <c r="CV181">
        <f>IF(OR($IW11=0,calcA!$A$6=0),0,IF(CV$117=1,CW11,0))</f>
        <v/>
      </c>
      <c r="CW181">
        <f>IF(OR($IW11=0,calcA!$A$6=0),0,IF(CV$117=1,CV11,0)+IF(CW$117=1,CX11,0))</f>
        <v/>
      </c>
      <c r="CX181">
        <f>IF(OR($IW11=0,calcA!$A$6=0),0,IF(CW$117=1,CW11,0)+IF(CX$117=1,CY11,0))</f>
        <v/>
      </c>
      <c r="CY181">
        <f>IF(OR($IW11=0,calcA!$A$6=0),0,IF(CX$117=1,CX11,0)+IF(CY$117=1,CZ11,0))</f>
        <v/>
      </c>
      <c r="CZ181">
        <f>IF(OR($IW11=0,calcA!$A$6=0),0,IF(CY$117=1,CY11,0)+IF(CZ$117=1,DA11,0))</f>
        <v/>
      </c>
      <c r="DA181">
        <f>IF(OR($IW11=0,calcA!$A$6=0),0,IF(CZ$117=1,CZ11,0)+IF(DA$117=1,DB11,0))</f>
        <v/>
      </c>
      <c r="DB181">
        <f>IF(OR($IW11=0,calcA!$A$6=0),0,IF(DA$117=1,DA11,0)+IF(DB$117=1,DC11,0))</f>
        <v/>
      </c>
      <c r="DC181">
        <f>IF(OR($IW11=0,calcA!$A$6=0),0,IF(DB$117=1,DB11,0)+IF(DC$117=1,DD11,0))</f>
        <v/>
      </c>
      <c r="DD181">
        <f>IF(OR($IW11=0,calcA!$A$6=0),0,IF(DC$117=1,DC11,0)+IF(DD$117=1,DE11,0))</f>
        <v/>
      </c>
      <c r="DE181">
        <f>IF(OR($IW11=0,calcA!$A$6=0),0,IF(DD$117=1,DD11,0)+IF(DE$117=1,DF11,0))</f>
        <v/>
      </c>
      <c r="DF181">
        <f>IF(OR($IW11=0,calcA!$A$6=0),0,IF(DE$117=1,DE11,0)+IF(DF$117=1,DG11,0))</f>
        <v/>
      </c>
      <c r="DG181">
        <f>IF(OR($IW11=0,calcA!$A$6=0),0,IF(DF$117=1,DF11,0)+IF(DG$117=1,DH11,0))</f>
        <v/>
      </c>
      <c r="DH181">
        <f>IF(OR($IW11=0,calcA!$A$6=0),0,IF(DG$117=1,DG11,0)+IF(DH$117=1,DI11,0))</f>
        <v/>
      </c>
      <c r="DI181">
        <f>IF(OR($IW11=0,calcA!$A$6=0),0,IF(DH$117=1,DH11,0)+IF(DI$117=1,DJ11,0))</f>
        <v/>
      </c>
      <c r="DJ181">
        <f>IF(OR($IW11=0,calcA!$A$6=0),0,IF(DI$117=1,DI11,0)+IF(DJ$117=1,DK11,0))</f>
        <v/>
      </c>
      <c r="DK181">
        <f>IF(OR($IW11=0,calcA!$A$6=0),0,IF(DJ$117=1,DJ11,0)+IF(DK$117=1,DL11,0))</f>
        <v/>
      </c>
      <c r="DL181">
        <f>IF(OR($IW11=0,calcA!$A$6=0),0,IF(DK$117=1,DK11,0)+IF(DL$117=1,DM11,0))</f>
        <v/>
      </c>
      <c r="DM181">
        <f>IF(OR($IW11=0,calcA!$A$6=0),0,IF(DL$117=1,DL11,0)+IF(DM$117=1,DN11,0))</f>
        <v/>
      </c>
      <c r="DN181">
        <f>IF(OR($IW11=0,calcA!$A$6=0),0,IF(DM$117=1,DM11,0)+IF(DN$117=1,DO11,0))</f>
        <v/>
      </c>
      <c r="DO181">
        <f>IF(OR($IW11=0,calcA!$A$6=0),0,IF(DN$117=1,DN11,0)+IF(DO$117=1,DP11,0))</f>
        <v/>
      </c>
      <c r="DP181">
        <f>IF(OR($IW11=0,calcA!$A$6=0),0,IF(DO$117=1,DO11,0)+IF(DP$117=1,DQ11,0))</f>
        <v/>
      </c>
      <c r="DQ181">
        <f>IF(OR($IW11=0,calcA!$A$6=0),0,IF(DP$117=1,DP11,0)+IF(DQ$117=1,DR11,0))</f>
        <v/>
      </c>
      <c r="DR181">
        <f>IF(OR($IW11=0,calcA!$A$6=0),0,IF(DQ$117=1,DQ11,0)+IF(DR$117=1,DS11,0))</f>
        <v/>
      </c>
      <c r="DS181">
        <f>IF(OR($IW11=0,calcA!$A$6=0),0,IF(DR$117=1,DR11,0))</f>
        <v/>
      </c>
      <c r="DT181">
        <f>IF(OR($IW11=0,calcA!$A$6=0),0,IF(DT$117=1,DU11,0))</f>
        <v/>
      </c>
      <c r="DU181">
        <f>IF(OR($IW11=0,calcA!$A$6=0),0,IF(DT$117=1,DT11,0)+IF(DU$117=1,DV11,0))</f>
        <v/>
      </c>
      <c r="DV181">
        <f>IF(OR($IW11=0,calcA!$A$6=0),0,IF(DU$117=1,DU11,0)+IF(DV$117=1,DW11,0))</f>
        <v/>
      </c>
      <c r="DW181">
        <f>IF(OR($IW11=0,calcA!$A$6=0),0,IF(DV$117=1,DV11,0)+IF(DW$117=1,DX11,0))</f>
        <v/>
      </c>
      <c r="DX181">
        <f>IF(OR($IW11=0,calcA!$A$6=0),0,IF(DW$117=1,DW11,0)+IF(DX$117=1,DY11,0))</f>
        <v/>
      </c>
      <c r="DY181">
        <f>IF(OR($IW11=0,calcA!$A$6=0),0,IF(DX$117=1,DX11,0)+IF(DY$117=1,DZ11,0))</f>
        <v/>
      </c>
      <c r="DZ181">
        <f>IF(OR($IW11=0,calcA!$A$6=0),0,IF(DY$117=1,DY11,0)+IF(DZ$117=1,EA11,0))</f>
        <v/>
      </c>
      <c r="EA181">
        <f>IF(OR($IW11=0,calcA!$A$6=0),0,IF(DZ$117=1,DZ11,0)+IF(EA$117=1,EB11,0))</f>
        <v/>
      </c>
      <c r="EB181">
        <f>IF(OR($IW11=0,calcA!$A$6=0),0,IF(EA$117=1,EA11,0)+IF(EB$117=1,EC11,0))</f>
        <v/>
      </c>
      <c r="EC181">
        <f>IF(OR($IW11=0,calcA!$A$6=0),0,IF(EB$117=1,EB11,0)+IF(EC$117=1,ED11,0))</f>
        <v/>
      </c>
      <c r="ED181">
        <f>IF(OR($IW11=0,calcA!$A$6=0),0,IF(EC$117=1,EC11,0)+IF(ED$117=1,EE11,0))</f>
        <v/>
      </c>
      <c r="EE181">
        <f>IF(OR($IW11=0,calcA!$A$6=0),0,IF(ED$117=1,ED11,0)+IF(EE$117=1,EF11,0))</f>
        <v/>
      </c>
      <c r="EF181">
        <f>IF(OR($IW11=0,calcA!$A$6=0),0,IF(EE$117=1,EE11,0)+IF(EF$117=1,EG11,0))</f>
        <v/>
      </c>
      <c r="EG181">
        <f>IF(OR($IW11=0,calcA!$A$6=0),0,IF(EF$117=1,EF11,0)+IF(EG$117=1,EH11,0))</f>
        <v/>
      </c>
      <c r="EH181">
        <f>IF(OR($IW11=0,calcA!$A$6=0),0,IF(EG$117=1,EG11,0)+IF(EH$117=1,EI11,0))</f>
        <v/>
      </c>
      <c r="EI181">
        <f>IF(OR($IW11=0,calcA!$A$6=0),0,IF(EH$117=1,EH11,0)+IF(EI$117=1,EJ11,0))</f>
        <v/>
      </c>
      <c r="EJ181">
        <f>IF(OR($IW11=0,calcA!$A$6=0),0,IF(EI$117=1,EI11,0)+IF(EJ$117=1,EK11,0))</f>
        <v/>
      </c>
      <c r="EK181">
        <f>IF(OR($IW11=0,calcA!$A$6=0),0,IF(EJ$117=1,EJ11,0)+IF(EK$117=1,EL11,0))</f>
        <v/>
      </c>
      <c r="EL181">
        <f>IF(OR($IW11=0,calcA!$A$6=0),0,IF(EK$117=1,EK11,0)+IF(EL$117=1,EM11,0))</f>
        <v/>
      </c>
      <c r="EM181">
        <f>IF(OR($IW11=0,calcA!$A$6=0),0,IF(EL$117=1,EL11,0)+IF(EM$117=1,EN11,0))</f>
        <v/>
      </c>
      <c r="EN181">
        <f>IF(OR($IW11=0,calcA!$A$6=0),0,IF(EM$117=1,EM11,0)+IF(EN$117=1,EO11,0))</f>
        <v/>
      </c>
      <c r="EO181">
        <f>IF(OR($IW11=0,calcA!$A$6=0),0,IF(EN$117=1,EN11,0)+IF(EO$117=1,EP11,0))</f>
        <v/>
      </c>
      <c r="EP181">
        <f>IF(OR($IW11=0,calcA!$A$6=0),0,IF(EO$117=1,EO11,0)+IF(EP$117=1,EQ11,0))</f>
        <v/>
      </c>
      <c r="EQ181">
        <f>IF(OR($IW11=0,calcA!$A$6=0),0,IF(EP$117=1,EP11,0))</f>
        <v/>
      </c>
    </row>
    <row r="182">
      <c r="D182">
        <f>IF(OR($IW12=0,calcA!$A$6=0),0,IF(D$117=1,E12,0))</f>
        <v/>
      </c>
      <c r="E182">
        <f>IF(OR($IW12=0,calcA!$A$6=0),0,IF(D$117=1,D12,0)+IF(E$117=1,F12,0))</f>
        <v/>
      </c>
      <c r="F182">
        <f>IF(OR($IW12=0,calcA!$A$6=0),0,IF(E$117=1,E12,0)+IF(F$117=1,G12,0))</f>
        <v/>
      </c>
      <c r="G182">
        <f>IF(OR($IW12=0,calcA!$A$6=0),0,IF(F$117=1,F12,0)+IF(G$117=1,H12,0))</f>
        <v/>
      </c>
      <c r="H182">
        <f>IF(OR($IW12=0,calcA!$A$6=0),0,IF(G$117=1,G12,0)+IF(H$117=1,I12,0))</f>
        <v/>
      </c>
      <c r="I182">
        <f>IF(OR($IW12=0,calcA!$A$6=0),0,IF(H$117=1,H12,0)+IF(I$117=1,J12,0))</f>
        <v/>
      </c>
      <c r="J182">
        <f>IF(OR($IW12=0,calcA!$A$6=0),0,IF(I$117=1,I12,0)+IF(J$117=1,K12,0))</f>
        <v/>
      </c>
      <c r="K182">
        <f>IF(OR($IW12=0,calcA!$A$6=0),0,IF(J$117=1,J12,0)+IF(K$117=1,L12,0))</f>
        <v/>
      </c>
      <c r="L182">
        <f>IF(OR($IW12=0,calcA!$A$6=0),0,IF(K$117=1,K12,0)+IF(L$117=1,M12,0))</f>
        <v/>
      </c>
      <c r="M182">
        <f>IF(OR($IW12=0,calcA!$A$6=0),0,IF(L$117=1,L12,0)+IF(M$117=1,N12,0))</f>
        <v/>
      </c>
      <c r="N182">
        <f>IF(OR($IW12=0,calcA!$A$6=0),0,IF(M$117=1,M12,0)+IF(N$117=1,O12,0))</f>
        <v/>
      </c>
      <c r="O182">
        <f>IF(OR($IW12=0,calcA!$A$6=0),0,IF(N$117=1,N12,0)+IF(O$117=1,P12,0))</f>
        <v/>
      </c>
      <c r="P182">
        <f>IF(OR($IW12=0,calcA!$A$6=0),0,IF(O$117=1,O12,0)+IF(P$117=1,Q12,0))</f>
        <v/>
      </c>
      <c r="Q182">
        <f>IF(OR($IW12=0,calcA!$A$6=0),0,IF(P$117=1,P12,0)+IF(Q$117=1,R12,0))</f>
        <v/>
      </c>
      <c r="R182">
        <f>IF(OR($IW12=0,calcA!$A$6=0),0,IF(Q$117=1,Q12,0)+IF(R$117=1,S12,0))</f>
        <v/>
      </c>
      <c r="S182">
        <f>IF(OR($IW12=0,calcA!$A$6=0),0,IF(R$117=1,R12,0)+IF(S$117=1,T12,0))</f>
        <v/>
      </c>
      <c r="T182">
        <f>IF(OR($IW12=0,calcA!$A$6=0),0,IF(S$117=1,S12,0)+IF(T$117=1,U12,0))</f>
        <v/>
      </c>
      <c r="U182">
        <f>IF(OR($IW12=0,calcA!$A$6=0),0,IF(T$117=1,T12,0)+IF(U$117=1,V12,0))</f>
        <v/>
      </c>
      <c r="V182">
        <f>IF(OR($IW12=0,calcA!$A$6=0),0,IF(U$117=1,U12,0)+IF(V$117=1,W12,0))</f>
        <v/>
      </c>
      <c r="W182">
        <f>IF(OR($IW12=0,calcA!$A$6=0),0,IF(V$117=1,V12,0)+IF(W$117=1,X12,0))</f>
        <v/>
      </c>
      <c r="X182">
        <f>IF(OR($IW12=0,calcA!$A$6=0),0,IF(W$117=1,W12,0)+IF(X$117=1,Y12,0))</f>
        <v/>
      </c>
      <c r="Y182">
        <f>IF(OR($IW12=0,calcA!$A$6=0),0,IF(X$117=1,X12,0)+IF(Y$117=1,Z12,0))</f>
        <v/>
      </c>
      <c r="Z182">
        <f>IF(OR($IW12=0,calcA!$A$6=0),0,IF(Y$117=1,Y12,0)+IF(Z$117=1,AA12,0))</f>
        <v/>
      </c>
      <c r="AA182">
        <f>IF(OR($IW12=0,calcA!$A$6=0),0,IF(Z$117=1,Z12,0))</f>
        <v/>
      </c>
      <c r="AB182">
        <f>IF(OR($IW12=0,calcA!$A$6=0),0,IF(AB$117=1,AC12,0))</f>
        <v/>
      </c>
      <c r="AC182">
        <f>IF(OR($IW12=0,calcA!$A$6=0),0,IF(AB$117=1,AB12,0)+IF(AC$117=1,AD12,0))</f>
        <v/>
      </c>
      <c r="AD182">
        <f>IF(OR($IW12=0,calcA!$A$6=0),0,IF(AC$117=1,AC12,0)+IF(AD$117=1,AE12,0))</f>
        <v/>
      </c>
      <c r="AE182">
        <f>IF(OR($IW12=0,calcA!$A$6=0),0,IF(AD$117=1,AD12,0)+IF(AE$117=1,AF12,0))</f>
        <v/>
      </c>
      <c r="AF182">
        <f>IF(OR($IW12=0,calcA!$A$6=0),0,IF(AE$117=1,AE12,0)+IF(AF$117=1,AG12,0))</f>
        <v/>
      </c>
      <c r="AG182">
        <f>IF(OR($IW12=0,calcA!$A$6=0),0,IF(AF$117=1,AF12,0)+IF(AG$117=1,AH12,0))</f>
        <v/>
      </c>
      <c r="AH182">
        <f>IF(OR($IW12=0,calcA!$A$6=0),0,IF(AG$117=1,AG12,0)+IF(AH$117=1,AI12,0))</f>
        <v/>
      </c>
      <c r="AI182">
        <f>IF(OR($IW12=0,calcA!$A$6=0),0,IF(AH$117=1,AH12,0)+IF(AI$117=1,AJ12,0))</f>
        <v/>
      </c>
      <c r="AJ182">
        <f>IF(OR($IW12=0,calcA!$A$6=0),0,IF(AI$117=1,AI12,0)+IF(AJ$117=1,AK12,0))</f>
        <v/>
      </c>
      <c r="AK182">
        <f>IF(OR($IW12=0,calcA!$A$6=0),0,IF(AJ$117=1,AJ12,0)+IF(AK$117=1,AL12,0))</f>
        <v/>
      </c>
      <c r="AL182">
        <f>IF(OR($IW12=0,calcA!$A$6=0),0,IF(AK$117=1,AK12,0)+IF(AL$117=1,AM12,0))</f>
        <v/>
      </c>
      <c r="AM182">
        <f>IF(OR($IW12=0,calcA!$A$6=0),0,IF(AL$117=1,AL12,0)+IF(AM$117=1,AN12,0))</f>
        <v/>
      </c>
      <c r="AN182">
        <f>IF(OR($IW12=0,calcA!$A$6=0),0,IF(AM$117=1,AM12,0)+IF(AN$117=1,AO12,0))</f>
        <v/>
      </c>
      <c r="AO182">
        <f>IF(OR($IW12=0,calcA!$A$6=0),0,IF(AN$117=1,AN12,0)+IF(AO$117=1,AP12,0))</f>
        <v/>
      </c>
      <c r="AP182">
        <f>IF(OR($IW12=0,calcA!$A$6=0),0,IF(AO$117=1,AO12,0)+IF(AP$117=1,AQ12,0))</f>
        <v/>
      </c>
      <c r="AQ182">
        <f>IF(OR($IW12=0,calcA!$A$6=0),0,IF(AP$117=1,AP12,0)+IF(AQ$117=1,AR12,0))</f>
        <v/>
      </c>
      <c r="AR182">
        <f>IF(OR($IW12=0,calcA!$A$6=0),0,IF(AQ$117=1,AQ12,0)+IF(AR$117=1,AS12,0))</f>
        <v/>
      </c>
      <c r="AS182">
        <f>IF(OR($IW12=0,calcA!$A$6=0),0,IF(AR$117=1,AR12,0)+IF(AS$117=1,AT12,0))</f>
        <v/>
      </c>
      <c r="AT182">
        <f>IF(OR($IW12=0,calcA!$A$6=0),0,IF(AS$117=1,AS12,0)+IF(AT$117=1,AU12,0))</f>
        <v/>
      </c>
      <c r="AU182">
        <f>IF(OR($IW12=0,calcA!$A$6=0),0,IF(AT$117=1,AT12,0)+IF(AU$117=1,AV12,0))</f>
        <v/>
      </c>
      <c r="AV182">
        <f>IF(OR($IW12=0,calcA!$A$6=0),0,IF(AU$117=1,AU12,0)+IF(AV$117=1,AW12,0))</f>
        <v/>
      </c>
      <c r="AW182">
        <f>IF(OR($IW12=0,calcA!$A$6=0),0,IF(AV$117=1,AV12,0)+IF(AW$117=1,AX12,0))</f>
        <v/>
      </c>
      <c r="AX182">
        <f>IF(OR($IW12=0,calcA!$A$6=0),0,IF(AW$117=1,AW12,0)+IF(AX$117=1,AY12,0))</f>
        <v/>
      </c>
      <c r="AY182">
        <f>IF(OR($IW12=0,calcA!$A$6=0),0,IF(AX$117=1,AX12,0))</f>
        <v/>
      </c>
      <c r="AZ182">
        <f>IF(OR($IW12=0,calcA!$A$6=0),0,IF(AZ$117=1,BA12,0))</f>
        <v/>
      </c>
      <c r="BA182">
        <f>IF(OR($IW12=0,calcA!$A$6=0),0,IF(AZ$117=1,AZ12,0)+IF(BA$117=1,BB12,0))</f>
        <v/>
      </c>
      <c r="BB182">
        <f>IF(OR($IW12=0,calcA!$A$6=0),0,IF(BA$117=1,BA12,0)+IF(BB$117=1,BC12,0))</f>
        <v/>
      </c>
      <c r="BC182">
        <f>IF(OR($IW12=0,calcA!$A$6=0),0,IF(BB$117=1,BB12,0)+IF(BC$117=1,BD12,0))</f>
        <v/>
      </c>
      <c r="BD182">
        <f>IF(OR($IW12=0,calcA!$A$6=0),0,IF(BC$117=1,BC12,0)+IF(BD$117=1,BE12,0))</f>
        <v/>
      </c>
      <c r="BE182">
        <f>IF(OR($IW12=0,calcA!$A$6=0),0,IF(BD$117=1,BD12,0)+IF(BE$117=1,BF12,0))</f>
        <v/>
      </c>
      <c r="BF182">
        <f>IF(OR($IW12=0,calcA!$A$6=0),0,IF(BE$117=1,BE12,0)+IF(BF$117=1,BG12,0))</f>
        <v/>
      </c>
      <c r="BG182">
        <f>IF(OR($IW12=0,calcA!$A$6=0),0,IF(BF$117=1,BF12,0)+IF(BG$117=1,BH12,0))</f>
        <v/>
      </c>
      <c r="BH182">
        <f>IF(OR($IW12=0,calcA!$A$6=0),0,IF(BG$117=1,BG12,0)+IF(BH$117=1,BI12,0))</f>
        <v/>
      </c>
      <c r="BI182">
        <f>IF(OR($IW12=0,calcA!$A$6=0),0,IF(BH$117=1,BH12,0)+IF(BI$117=1,BJ12,0))</f>
        <v/>
      </c>
      <c r="BJ182">
        <f>IF(OR($IW12=0,calcA!$A$6=0),0,IF(BI$117=1,BI12,0)+IF(BJ$117=1,BK12,0))</f>
        <v/>
      </c>
      <c r="BK182">
        <f>IF(OR($IW12=0,calcA!$A$6=0),0,IF(BJ$117=1,BJ12,0)+IF(BK$117=1,BL12,0))</f>
        <v/>
      </c>
      <c r="BL182">
        <f>IF(OR($IW12=0,calcA!$A$6=0),0,IF(BK$117=1,BK12,0)+IF(BL$117=1,BM12,0))</f>
        <v/>
      </c>
      <c r="BM182">
        <f>IF(OR($IW12=0,calcA!$A$6=0),0,IF(BL$117=1,BL12,0)+IF(BM$117=1,BN12,0))</f>
        <v/>
      </c>
      <c r="BN182">
        <f>IF(OR($IW12=0,calcA!$A$6=0),0,IF(BM$117=1,BM12,0)+IF(BN$117=1,BO12,0))</f>
        <v/>
      </c>
      <c r="BO182">
        <f>IF(OR($IW12=0,calcA!$A$6=0),0,IF(BN$117=1,BN12,0)+IF(BO$117=1,BP12,0))</f>
        <v/>
      </c>
      <c r="BP182">
        <f>IF(OR($IW12=0,calcA!$A$6=0),0,IF(BO$117=1,BO12,0)+IF(BP$117=1,BQ12,0))</f>
        <v/>
      </c>
      <c r="BQ182">
        <f>IF(OR($IW12=0,calcA!$A$6=0),0,IF(BP$117=1,BP12,0)+IF(BQ$117=1,BR12,0))</f>
        <v/>
      </c>
      <c r="BR182">
        <f>IF(OR($IW12=0,calcA!$A$6=0),0,IF(BQ$117=1,BQ12,0)+IF(BR$117=1,BS12,0))</f>
        <v/>
      </c>
      <c r="BS182">
        <f>IF(OR($IW12=0,calcA!$A$6=0),0,IF(BR$117=1,BR12,0)+IF(BS$117=1,BT12,0))</f>
        <v/>
      </c>
      <c r="BT182">
        <f>IF(OR($IW12=0,calcA!$A$6=0),0,IF(BS$117=1,BS12,0)+IF(BT$117=1,BU12,0))</f>
        <v/>
      </c>
      <c r="BU182">
        <f>IF(OR($IW12=0,calcA!$A$6=0),0,IF(BT$117=1,BT12,0)+IF(BU$117=1,BV12,0))</f>
        <v/>
      </c>
      <c r="BV182">
        <f>IF(OR($IW12=0,calcA!$A$6=0),0,IF(BU$117=1,BU12,0)+IF(BV$117=1,BW12,0))</f>
        <v/>
      </c>
      <c r="BW182">
        <f>IF(OR($IW12=0,calcA!$A$6=0),0,IF(BV$117=1,BV12,0))</f>
        <v/>
      </c>
      <c r="BX182">
        <f>IF(OR($IW12=0,calcA!$A$6=0),0,IF(BX$117=1,BY12,0))</f>
        <v/>
      </c>
      <c r="BY182">
        <f>IF(OR($IW12=0,calcA!$A$6=0),0,IF(BX$117=1,BX12,0)+IF(BY$117=1,BZ12,0))</f>
        <v/>
      </c>
      <c r="BZ182">
        <f>IF(OR($IW12=0,calcA!$A$6=0),0,IF(BY$117=1,BY12,0)+IF(BZ$117=1,CA12,0))</f>
        <v/>
      </c>
      <c r="CA182">
        <f>IF(OR($IW12=0,calcA!$A$6=0),0,IF(BZ$117=1,BZ12,0)+IF(CA$117=1,CB12,0))</f>
        <v/>
      </c>
      <c r="CB182">
        <f>IF(OR($IW12=0,calcA!$A$6=0),0,IF(CA$117=1,CA12,0)+IF(CB$117=1,CC12,0))</f>
        <v/>
      </c>
      <c r="CC182">
        <f>IF(OR($IW12=0,calcA!$A$6=0),0,IF(CB$117=1,CB12,0)+IF(CC$117=1,CD12,0))</f>
        <v/>
      </c>
      <c r="CD182">
        <f>IF(OR($IW12=0,calcA!$A$6=0),0,IF(CC$117=1,CC12,0)+IF(CD$117=1,CE12,0))</f>
        <v/>
      </c>
      <c r="CE182">
        <f>IF(OR($IW12=0,calcA!$A$6=0),0,IF(CD$117=1,CD12,0)+IF(CE$117=1,CF12,0))</f>
        <v/>
      </c>
      <c r="CF182">
        <f>IF(OR($IW12=0,calcA!$A$6=0),0,IF(CE$117=1,CE12,0)+IF(CF$117=1,CG12,0))</f>
        <v/>
      </c>
      <c r="CG182">
        <f>IF(OR($IW12=0,calcA!$A$6=0),0,IF(CF$117=1,CF12,0)+IF(CG$117=1,CH12,0))</f>
        <v/>
      </c>
      <c r="CH182">
        <f>IF(OR($IW12=0,calcA!$A$6=0),0,IF(CG$117=1,CG12,0)+IF(CH$117=1,CI12,0))</f>
        <v/>
      </c>
      <c r="CI182">
        <f>IF(OR($IW12=0,calcA!$A$6=0),0,IF(CH$117=1,CH12,0)+IF(CI$117=1,CJ12,0))</f>
        <v/>
      </c>
      <c r="CJ182">
        <f>IF(OR($IW12=0,calcA!$A$6=0),0,IF(CI$117=1,CI12,0)+IF(CJ$117=1,CK12,0))</f>
        <v/>
      </c>
      <c r="CK182">
        <f>IF(OR($IW12=0,calcA!$A$6=0),0,IF(CJ$117=1,CJ12,0)+IF(CK$117=1,CL12,0))</f>
        <v/>
      </c>
      <c r="CL182">
        <f>IF(OR($IW12=0,calcA!$A$6=0),0,IF(CK$117=1,CK12,0)+IF(CL$117=1,CM12,0))</f>
        <v/>
      </c>
      <c r="CM182">
        <f>IF(OR($IW12=0,calcA!$A$6=0),0,IF(CL$117=1,CL12,0)+IF(CM$117=1,CN12,0))</f>
        <v/>
      </c>
      <c r="CN182">
        <f>IF(OR($IW12=0,calcA!$A$6=0),0,IF(CM$117=1,CM12,0)+IF(CN$117=1,CO12,0))</f>
        <v/>
      </c>
      <c r="CO182">
        <f>IF(OR($IW12=0,calcA!$A$6=0),0,IF(CN$117=1,CN12,0)+IF(CO$117=1,CP12,0))</f>
        <v/>
      </c>
      <c r="CP182">
        <f>IF(OR($IW12=0,calcA!$A$6=0),0,IF(CO$117=1,CO12,0)+IF(CP$117=1,CQ12,0))</f>
        <v/>
      </c>
      <c r="CQ182">
        <f>IF(OR($IW12=0,calcA!$A$6=0),0,IF(CP$117=1,CP12,0)+IF(CQ$117=1,CR12,0))</f>
        <v/>
      </c>
      <c r="CR182">
        <f>IF(OR($IW12=0,calcA!$A$6=0),0,IF(CQ$117=1,CQ12,0)+IF(CR$117=1,CS12,0))</f>
        <v/>
      </c>
      <c r="CS182">
        <f>IF(OR($IW12=0,calcA!$A$6=0),0,IF(CR$117=1,CR12,0)+IF(CS$117=1,CT12,0))</f>
        <v/>
      </c>
      <c r="CT182">
        <f>IF(OR($IW12=0,calcA!$A$6=0),0,IF(CS$117=1,CS12,0)+IF(CT$117=1,CU12,0))</f>
        <v/>
      </c>
      <c r="CU182">
        <f>IF(OR($IW12=0,calcA!$A$6=0),0,IF(CT$117=1,CT12,0))</f>
        <v/>
      </c>
      <c r="CV182">
        <f>IF(OR($IW12=0,calcA!$A$6=0),0,IF(CV$117=1,CW12,0))</f>
        <v/>
      </c>
      <c r="CW182">
        <f>IF(OR($IW12=0,calcA!$A$6=0),0,IF(CV$117=1,CV12,0)+IF(CW$117=1,CX12,0))</f>
        <v/>
      </c>
      <c r="CX182">
        <f>IF(OR($IW12=0,calcA!$A$6=0),0,IF(CW$117=1,CW12,0)+IF(CX$117=1,CY12,0))</f>
        <v/>
      </c>
      <c r="CY182">
        <f>IF(OR($IW12=0,calcA!$A$6=0),0,IF(CX$117=1,CX12,0)+IF(CY$117=1,CZ12,0))</f>
        <v/>
      </c>
      <c r="CZ182">
        <f>IF(OR($IW12=0,calcA!$A$6=0),0,IF(CY$117=1,CY12,0)+IF(CZ$117=1,DA12,0))</f>
        <v/>
      </c>
      <c r="DA182">
        <f>IF(OR($IW12=0,calcA!$A$6=0),0,IF(CZ$117=1,CZ12,0)+IF(DA$117=1,DB12,0))</f>
        <v/>
      </c>
      <c r="DB182">
        <f>IF(OR($IW12=0,calcA!$A$6=0),0,IF(DA$117=1,DA12,0)+IF(DB$117=1,DC12,0))</f>
        <v/>
      </c>
      <c r="DC182">
        <f>IF(OR($IW12=0,calcA!$A$6=0),0,IF(DB$117=1,DB12,0)+IF(DC$117=1,DD12,0))</f>
        <v/>
      </c>
      <c r="DD182">
        <f>IF(OR($IW12=0,calcA!$A$6=0),0,IF(DC$117=1,DC12,0)+IF(DD$117=1,DE12,0))</f>
        <v/>
      </c>
      <c r="DE182">
        <f>IF(OR($IW12=0,calcA!$A$6=0),0,IF(DD$117=1,DD12,0)+IF(DE$117=1,DF12,0))</f>
        <v/>
      </c>
      <c r="DF182">
        <f>IF(OR($IW12=0,calcA!$A$6=0),0,IF(DE$117=1,DE12,0)+IF(DF$117=1,DG12,0))</f>
        <v/>
      </c>
      <c r="DG182">
        <f>IF(OR($IW12=0,calcA!$A$6=0),0,IF(DF$117=1,DF12,0)+IF(DG$117=1,DH12,0))</f>
        <v/>
      </c>
      <c r="DH182">
        <f>IF(OR($IW12=0,calcA!$A$6=0),0,IF(DG$117=1,DG12,0)+IF(DH$117=1,DI12,0))</f>
        <v/>
      </c>
      <c r="DI182">
        <f>IF(OR($IW12=0,calcA!$A$6=0),0,IF(DH$117=1,DH12,0)+IF(DI$117=1,DJ12,0))</f>
        <v/>
      </c>
      <c r="DJ182">
        <f>IF(OR($IW12=0,calcA!$A$6=0),0,IF(DI$117=1,DI12,0)+IF(DJ$117=1,DK12,0))</f>
        <v/>
      </c>
      <c r="DK182">
        <f>IF(OR($IW12=0,calcA!$A$6=0),0,IF(DJ$117=1,DJ12,0)+IF(DK$117=1,DL12,0))</f>
        <v/>
      </c>
      <c r="DL182">
        <f>IF(OR($IW12=0,calcA!$A$6=0),0,IF(DK$117=1,DK12,0)+IF(DL$117=1,DM12,0))</f>
        <v/>
      </c>
      <c r="DM182">
        <f>IF(OR($IW12=0,calcA!$A$6=0),0,IF(DL$117=1,DL12,0)+IF(DM$117=1,DN12,0))</f>
        <v/>
      </c>
      <c r="DN182">
        <f>IF(OR($IW12=0,calcA!$A$6=0),0,IF(DM$117=1,DM12,0)+IF(DN$117=1,DO12,0))</f>
        <v/>
      </c>
      <c r="DO182">
        <f>IF(OR($IW12=0,calcA!$A$6=0),0,IF(DN$117=1,DN12,0)+IF(DO$117=1,DP12,0))</f>
        <v/>
      </c>
      <c r="DP182">
        <f>IF(OR($IW12=0,calcA!$A$6=0),0,IF(DO$117=1,DO12,0)+IF(DP$117=1,DQ12,0))</f>
        <v/>
      </c>
      <c r="DQ182">
        <f>IF(OR($IW12=0,calcA!$A$6=0),0,IF(DP$117=1,DP12,0)+IF(DQ$117=1,DR12,0))</f>
        <v/>
      </c>
      <c r="DR182">
        <f>IF(OR($IW12=0,calcA!$A$6=0),0,IF(DQ$117=1,DQ12,0)+IF(DR$117=1,DS12,0))</f>
        <v/>
      </c>
      <c r="DS182">
        <f>IF(OR($IW12=0,calcA!$A$6=0),0,IF(DR$117=1,DR12,0))</f>
        <v/>
      </c>
      <c r="DT182">
        <f>IF(OR($IW12=0,calcA!$A$6=0),0,IF(DT$117=1,DU12,0))</f>
        <v/>
      </c>
      <c r="DU182">
        <f>IF(OR($IW12=0,calcA!$A$6=0),0,IF(DT$117=1,DT12,0)+IF(DU$117=1,DV12,0))</f>
        <v/>
      </c>
      <c r="DV182">
        <f>IF(OR($IW12=0,calcA!$A$6=0),0,IF(DU$117=1,DU12,0)+IF(DV$117=1,DW12,0))</f>
        <v/>
      </c>
      <c r="DW182">
        <f>IF(OR($IW12=0,calcA!$A$6=0),0,IF(DV$117=1,DV12,0)+IF(DW$117=1,DX12,0))</f>
        <v/>
      </c>
      <c r="DX182">
        <f>IF(OR($IW12=0,calcA!$A$6=0),0,IF(DW$117=1,DW12,0)+IF(DX$117=1,DY12,0))</f>
        <v/>
      </c>
      <c r="DY182">
        <f>IF(OR($IW12=0,calcA!$A$6=0),0,IF(DX$117=1,DX12,0)+IF(DY$117=1,DZ12,0))</f>
        <v/>
      </c>
      <c r="DZ182">
        <f>IF(OR($IW12=0,calcA!$A$6=0),0,IF(DY$117=1,DY12,0)+IF(DZ$117=1,EA12,0))</f>
        <v/>
      </c>
      <c r="EA182">
        <f>IF(OR($IW12=0,calcA!$A$6=0),0,IF(DZ$117=1,DZ12,0)+IF(EA$117=1,EB12,0))</f>
        <v/>
      </c>
      <c r="EB182">
        <f>IF(OR($IW12=0,calcA!$A$6=0),0,IF(EA$117=1,EA12,0)+IF(EB$117=1,EC12,0))</f>
        <v/>
      </c>
      <c r="EC182">
        <f>IF(OR($IW12=0,calcA!$A$6=0),0,IF(EB$117=1,EB12,0)+IF(EC$117=1,ED12,0))</f>
        <v/>
      </c>
      <c r="ED182">
        <f>IF(OR($IW12=0,calcA!$A$6=0),0,IF(EC$117=1,EC12,0)+IF(ED$117=1,EE12,0))</f>
        <v/>
      </c>
      <c r="EE182">
        <f>IF(OR($IW12=0,calcA!$A$6=0),0,IF(ED$117=1,ED12,0)+IF(EE$117=1,EF12,0))</f>
        <v/>
      </c>
      <c r="EF182">
        <f>IF(OR($IW12=0,calcA!$A$6=0),0,IF(EE$117=1,EE12,0)+IF(EF$117=1,EG12,0))</f>
        <v/>
      </c>
      <c r="EG182">
        <f>IF(OR($IW12=0,calcA!$A$6=0),0,IF(EF$117=1,EF12,0)+IF(EG$117=1,EH12,0))</f>
        <v/>
      </c>
      <c r="EH182">
        <f>IF(OR($IW12=0,calcA!$A$6=0),0,IF(EG$117=1,EG12,0)+IF(EH$117=1,EI12,0))</f>
        <v/>
      </c>
      <c r="EI182">
        <f>IF(OR($IW12=0,calcA!$A$6=0),0,IF(EH$117=1,EH12,0)+IF(EI$117=1,EJ12,0))</f>
        <v/>
      </c>
      <c r="EJ182">
        <f>IF(OR($IW12=0,calcA!$A$6=0),0,IF(EI$117=1,EI12,0)+IF(EJ$117=1,EK12,0))</f>
        <v/>
      </c>
      <c r="EK182">
        <f>IF(OR($IW12=0,calcA!$A$6=0),0,IF(EJ$117=1,EJ12,0)+IF(EK$117=1,EL12,0))</f>
        <v/>
      </c>
      <c r="EL182">
        <f>IF(OR($IW12=0,calcA!$A$6=0),0,IF(EK$117=1,EK12,0)+IF(EL$117=1,EM12,0))</f>
        <v/>
      </c>
      <c r="EM182">
        <f>IF(OR($IW12=0,calcA!$A$6=0),0,IF(EL$117=1,EL12,0)+IF(EM$117=1,EN12,0))</f>
        <v/>
      </c>
      <c r="EN182">
        <f>IF(OR($IW12=0,calcA!$A$6=0),0,IF(EM$117=1,EM12,0)+IF(EN$117=1,EO12,0))</f>
        <v/>
      </c>
      <c r="EO182">
        <f>IF(OR($IW12=0,calcA!$A$6=0),0,IF(EN$117=1,EN12,0)+IF(EO$117=1,EP12,0))</f>
        <v/>
      </c>
      <c r="EP182">
        <f>IF(OR($IW12=0,calcA!$A$6=0),0,IF(EO$117=1,EO12,0)+IF(EP$117=1,EQ12,0))</f>
        <v/>
      </c>
      <c r="EQ182">
        <f>IF(OR($IW12=0,calcA!$A$6=0),0,IF(EP$117=1,EP12,0))</f>
        <v/>
      </c>
    </row>
    <row r="183">
      <c r="D183">
        <f>IF(OR($IW13=0,calcA!$A$6=0),0,IF(D$117=1,E13,0))</f>
        <v/>
      </c>
      <c r="E183">
        <f>IF(OR($IW13=0,calcA!$A$6=0),0,IF(D$117=1,D13,0)+IF(E$117=1,F13,0))</f>
        <v/>
      </c>
      <c r="F183">
        <f>IF(OR($IW13=0,calcA!$A$6=0),0,IF(E$117=1,E13,0)+IF(F$117=1,G13,0))</f>
        <v/>
      </c>
      <c r="G183">
        <f>IF(OR($IW13=0,calcA!$A$6=0),0,IF(F$117=1,F13,0)+IF(G$117=1,H13,0))</f>
        <v/>
      </c>
      <c r="H183">
        <f>IF(OR($IW13=0,calcA!$A$6=0),0,IF(G$117=1,G13,0)+IF(H$117=1,I13,0))</f>
        <v/>
      </c>
      <c r="I183">
        <f>IF(OR($IW13=0,calcA!$A$6=0),0,IF(H$117=1,H13,0)+IF(I$117=1,J13,0))</f>
        <v/>
      </c>
      <c r="J183">
        <f>IF(OR($IW13=0,calcA!$A$6=0),0,IF(I$117=1,I13,0)+IF(J$117=1,K13,0))</f>
        <v/>
      </c>
      <c r="K183">
        <f>IF(OR($IW13=0,calcA!$A$6=0),0,IF(J$117=1,J13,0)+IF(K$117=1,L13,0))</f>
        <v/>
      </c>
      <c r="L183">
        <f>IF(OR($IW13=0,calcA!$A$6=0),0,IF(K$117=1,K13,0)+IF(L$117=1,M13,0))</f>
        <v/>
      </c>
      <c r="M183">
        <f>IF(OR($IW13=0,calcA!$A$6=0),0,IF(L$117=1,L13,0)+IF(M$117=1,N13,0))</f>
        <v/>
      </c>
      <c r="N183">
        <f>IF(OR($IW13=0,calcA!$A$6=0),0,IF(M$117=1,M13,0)+IF(N$117=1,O13,0))</f>
        <v/>
      </c>
      <c r="O183">
        <f>IF(OR($IW13=0,calcA!$A$6=0),0,IF(N$117=1,N13,0)+IF(O$117=1,P13,0))</f>
        <v/>
      </c>
      <c r="P183">
        <f>IF(OR($IW13=0,calcA!$A$6=0),0,IF(O$117=1,O13,0)+IF(P$117=1,Q13,0))</f>
        <v/>
      </c>
      <c r="Q183">
        <f>IF(OR($IW13=0,calcA!$A$6=0),0,IF(P$117=1,P13,0)+IF(Q$117=1,R13,0))</f>
        <v/>
      </c>
      <c r="R183">
        <f>IF(OR($IW13=0,calcA!$A$6=0),0,IF(Q$117=1,Q13,0)+IF(R$117=1,S13,0))</f>
        <v/>
      </c>
      <c r="S183">
        <f>IF(OR($IW13=0,calcA!$A$6=0),0,IF(R$117=1,R13,0)+IF(S$117=1,T13,0))</f>
        <v/>
      </c>
      <c r="T183">
        <f>IF(OR($IW13=0,calcA!$A$6=0),0,IF(S$117=1,S13,0)+IF(T$117=1,U13,0))</f>
        <v/>
      </c>
      <c r="U183">
        <f>IF(OR($IW13=0,calcA!$A$6=0),0,IF(T$117=1,T13,0)+IF(U$117=1,V13,0))</f>
        <v/>
      </c>
      <c r="V183">
        <f>IF(OR($IW13=0,calcA!$A$6=0),0,IF(U$117=1,U13,0)+IF(V$117=1,W13,0))</f>
        <v/>
      </c>
      <c r="W183">
        <f>IF(OR($IW13=0,calcA!$A$6=0),0,IF(V$117=1,V13,0)+IF(W$117=1,X13,0))</f>
        <v/>
      </c>
      <c r="X183">
        <f>IF(OR($IW13=0,calcA!$A$6=0),0,IF(W$117=1,W13,0)+IF(X$117=1,Y13,0))</f>
        <v/>
      </c>
      <c r="Y183">
        <f>IF(OR($IW13=0,calcA!$A$6=0),0,IF(X$117=1,X13,0)+IF(Y$117=1,Z13,0))</f>
        <v/>
      </c>
      <c r="Z183">
        <f>IF(OR($IW13=0,calcA!$A$6=0),0,IF(Y$117=1,Y13,0)+IF(Z$117=1,AA13,0))</f>
        <v/>
      </c>
      <c r="AA183">
        <f>IF(OR($IW13=0,calcA!$A$6=0),0,IF(Z$117=1,Z13,0))</f>
        <v/>
      </c>
      <c r="AB183">
        <f>IF(OR($IW13=0,calcA!$A$6=0),0,IF(AB$117=1,AC13,0))</f>
        <v/>
      </c>
      <c r="AC183">
        <f>IF(OR($IW13=0,calcA!$A$6=0),0,IF(AB$117=1,AB13,0)+IF(AC$117=1,AD13,0))</f>
        <v/>
      </c>
      <c r="AD183">
        <f>IF(OR($IW13=0,calcA!$A$6=0),0,IF(AC$117=1,AC13,0)+IF(AD$117=1,AE13,0))</f>
        <v/>
      </c>
      <c r="AE183">
        <f>IF(OR($IW13=0,calcA!$A$6=0),0,IF(AD$117=1,AD13,0)+IF(AE$117=1,AF13,0))</f>
        <v/>
      </c>
      <c r="AF183">
        <f>IF(OR($IW13=0,calcA!$A$6=0),0,IF(AE$117=1,AE13,0)+IF(AF$117=1,AG13,0))</f>
        <v/>
      </c>
      <c r="AG183">
        <f>IF(OR($IW13=0,calcA!$A$6=0),0,IF(AF$117=1,AF13,0)+IF(AG$117=1,AH13,0))</f>
        <v/>
      </c>
      <c r="AH183">
        <f>IF(OR($IW13=0,calcA!$A$6=0),0,IF(AG$117=1,AG13,0)+IF(AH$117=1,AI13,0))</f>
        <v/>
      </c>
      <c r="AI183">
        <f>IF(OR($IW13=0,calcA!$A$6=0),0,IF(AH$117=1,AH13,0)+IF(AI$117=1,AJ13,0))</f>
        <v/>
      </c>
      <c r="AJ183">
        <f>IF(OR($IW13=0,calcA!$A$6=0),0,IF(AI$117=1,AI13,0)+IF(AJ$117=1,AK13,0))</f>
        <v/>
      </c>
      <c r="AK183">
        <f>IF(OR($IW13=0,calcA!$A$6=0),0,IF(AJ$117=1,AJ13,0)+IF(AK$117=1,AL13,0))</f>
        <v/>
      </c>
      <c r="AL183">
        <f>IF(OR($IW13=0,calcA!$A$6=0),0,IF(AK$117=1,AK13,0)+IF(AL$117=1,AM13,0))</f>
        <v/>
      </c>
      <c r="AM183">
        <f>IF(OR($IW13=0,calcA!$A$6=0),0,IF(AL$117=1,AL13,0)+IF(AM$117=1,AN13,0))</f>
        <v/>
      </c>
      <c r="AN183">
        <f>IF(OR($IW13=0,calcA!$A$6=0),0,IF(AM$117=1,AM13,0)+IF(AN$117=1,AO13,0))</f>
        <v/>
      </c>
      <c r="AO183">
        <f>IF(OR($IW13=0,calcA!$A$6=0),0,IF(AN$117=1,AN13,0)+IF(AO$117=1,AP13,0))</f>
        <v/>
      </c>
      <c r="AP183">
        <f>IF(OR($IW13=0,calcA!$A$6=0),0,IF(AO$117=1,AO13,0)+IF(AP$117=1,AQ13,0))</f>
        <v/>
      </c>
      <c r="AQ183">
        <f>IF(OR($IW13=0,calcA!$A$6=0),0,IF(AP$117=1,AP13,0)+IF(AQ$117=1,AR13,0))</f>
        <v/>
      </c>
      <c r="AR183">
        <f>IF(OR($IW13=0,calcA!$A$6=0),0,IF(AQ$117=1,AQ13,0)+IF(AR$117=1,AS13,0))</f>
        <v/>
      </c>
      <c r="AS183">
        <f>IF(OR($IW13=0,calcA!$A$6=0),0,IF(AR$117=1,AR13,0)+IF(AS$117=1,AT13,0))</f>
        <v/>
      </c>
      <c r="AT183">
        <f>IF(OR($IW13=0,calcA!$A$6=0),0,IF(AS$117=1,AS13,0)+IF(AT$117=1,AU13,0))</f>
        <v/>
      </c>
      <c r="AU183">
        <f>IF(OR($IW13=0,calcA!$A$6=0),0,IF(AT$117=1,AT13,0)+IF(AU$117=1,AV13,0))</f>
        <v/>
      </c>
      <c r="AV183">
        <f>IF(OR($IW13=0,calcA!$A$6=0),0,IF(AU$117=1,AU13,0)+IF(AV$117=1,AW13,0))</f>
        <v/>
      </c>
      <c r="AW183">
        <f>IF(OR($IW13=0,calcA!$A$6=0),0,IF(AV$117=1,AV13,0)+IF(AW$117=1,AX13,0))</f>
        <v/>
      </c>
      <c r="AX183">
        <f>IF(OR($IW13=0,calcA!$A$6=0),0,IF(AW$117=1,AW13,0)+IF(AX$117=1,AY13,0))</f>
        <v/>
      </c>
      <c r="AY183">
        <f>IF(OR($IW13=0,calcA!$A$6=0),0,IF(AX$117=1,AX13,0))</f>
        <v/>
      </c>
      <c r="AZ183">
        <f>IF(OR($IW13=0,calcA!$A$6=0),0,IF(AZ$117=1,BA13,0))</f>
        <v/>
      </c>
      <c r="BA183">
        <f>IF(OR($IW13=0,calcA!$A$6=0),0,IF(AZ$117=1,AZ13,0)+IF(BA$117=1,BB13,0))</f>
        <v/>
      </c>
      <c r="BB183">
        <f>IF(OR($IW13=0,calcA!$A$6=0),0,IF(BA$117=1,BA13,0)+IF(BB$117=1,BC13,0))</f>
        <v/>
      </c>
      <c r="BC183">
        <f>IF(OR($IW13=0,calcA!$A$6=0),0,IF(BB$117=1,BB13,0)+IF(BC$117=1,BD13,0))</f>
        <v/>
      </c>
      <c r="BD183">
        <f>IF(OR($IW13=0,calcA!$A$6=0),0,IF(BC$117=1,BC13,0)+IF(BD$117=1,BE13,0))</f>
        <v/>
      </c>
      <c r="BE183">
        <f>IF(OR($IW13=0,calcA!$A$6=0),0,IF(BD$117=1,BD13,0)+IF(BE$117=1,BF13,0))</f>
        <v/>
      </c>
      <c r="BF183">
        <f>IF(OR($IW13=0,calcA!$A$6=0),0,IF(BE$117=1,BE13,0)+IF(BF$117=1,BG13,0))</f>
        <v/>
      </c>
      <c r="BG183">
        <f>IF(OR($IW13=0,calcA!$A$6=0),0,IF(BF$117=1,BF13,0)+IF(BG$117=1,BH13,0))</f>
        <v/>
      </c>
      <c r="BH183">
        <f>IF(OR($IW13=0,calcA!$A$6=0),0,IF(BG$117=1,BG13,0)+IF(BH$117=1,BI13,0))</f>
        <v/>
      </c>
      <c r="BI183">
        <f>IF(OR($IW13=0,calcA!$A$6=0),0,IF(BH$117=1,BH13,0)+IF(BI$117=1,BJ13,0))</f>
        <v/>
      </c>
      <c r="BJ183">
        <f>IF(OR($IW13=0,calcA!$A$6=0),0,IF(BI$117=1,BI13,0)+IF(BJ$117=1,BK13,0))</f>
        <v/>
      </c>
      <c r="BK183">
        <f>IF(OR($IW13=0,calcA!$A$6=0),0,IF(BJ$117=1,BJ13,0)+IF(BK$117=1,BL13,0))</f>
        <v/>
      </c>
      <c r="BL183">
        <f>IF(OR($IW13=0,calcA!$A$6=0),0,IF(BK$117=1,BK13,0)+IF(BL$117=1,BM13,0))</f>
        <v/>
      </c>
      <c r="BM183">
        <f>IF(OR($IW13=0,calcA!$A$6=0),0,IF(BL$117=1,BL13,0)+IF(BM$117=1,BN13,0))</f>
        <v/>
      </c>
      <c r="BN183">
        <f>IF(OR($IW13=0,calcA!$A$6=0),0,IF(BM$117=1,BM13,0)+IF(BN$117=1,BO13,0))</f>
        <v/>
      </c>
      <c r="BO183">
        <f>IF(OR($IW13=0,calcA!$A$6=0),0,IF(BN$117=1,BN13,0)+IF(BO$117=1,BP13,0))</f>
        <v/>
      </c>
      <c r="BP183">
        <f>IF(OR($IW13=0,calcA!$A$6=0),0,IF(BO$117=1,BO13,0)+IF(BP$117=1,BQ13,0))</f>
        <v/>
      </c>
      <c r="BQ183">
        <f>IF(OR($IW13=0,calcA!$A$6=0),0,IF(BP$117=1,BP13,0)+IF(BQ$117=1,BR13,0))</f>
        <v/>
      </c>
      <c r="BR183">
        <f>IF(OR($IW13=0,calcA!$A$6=0),0,IF(BQ$117=1,BQ13,0)+IF(BR$117=1,BS13,0))</f>
        <v/>
      </c>
      <c r="BS183">
        <f>IF(OR($IW13=0,calcA!$A$6=0),0,IF(BR$117=1,BR13,0)+IF(BS$117=1,BT13,0))</f>
        <v/>
      </c>
      <c r="BT183">
        <f>IF(OR($IW13=0,calcA!$A$6=0),0,IF(BS$117=1,BS13,0)+IF(BT$117=1,BU13,0))</f>
        <v/>
      </c>
      <c r="BU183">
        <f>IF(OR($IW13=0,calcA!$A$6=0),0,IF(BT$117=1,BT13,0)+IF(BU$117=1,BV13,0))</f>
        <v/>
      </c>
      <c r="BV183">
        <f>IF(OR($IW13=0,calcA!$A$6=0),0,IF(BU$117=1,BU13,0)+IF(BV$117=1,BW13,0))</f>
        <v/>
      </c>
      <c r="BW183">
        <f>IF(OR($IW13=0,calcA!$A$6=0),0,IF(BV$117=1,BV13,0))</f>
        <v/>
      </c>
      <c r="BX183">
        <f>IF(OR($IW13=0,calcA!$A$6=0),0,IF(BX$117=1,BY13,0))</f>
        <v/>
      </c>
      <c r="BY183">
        <f>IF(OR($IW13=0,calcA!$A$6=0),0,IF(BX$117=1,BX13,0)+IF(BY$117=1,BZ13,0))</f>
        <v/>
      </c>
      <c r="BZ183">
        <f>IF(OR($IW13=0,calcA!$A$6=0),0,IF(BY$117=1,BY13,0)+IF(BZ$117=1,CA13,0))</f>
        <v/>
      </c>
      <c r="CA183">
        <f>IF(OR($IW13=0,calcA!$A$6=0),0,IF(BZ$117=1,BZ13,0)+IF(CA$117=1,CB13,0))</f>
        <v/>
      </c>
      <c r="CB183">
        <f>IF(OR($IW13=0,calcA!$A$6=0),0,IF(CA$117=1,CA13,0)+IF(CB$117=1,CC13,0))</f>
        <v/>
      </c>
      <c r="CC183">
        <f>IF(OR($IW13=0,calcA!$A$6=0),0,IF(CB$117=1,CB13,0)+IF(CC$117=1,CD13,0))</f>
        <v/>
      </c>
      <c r="CD183">
        <f>IF(OR($IW13=0,calcA!$A$6=0),0,IF(CC$117=1,CC13,0)+IF(CD$117=1,CE13,0))</f>
        <v/>
      </c>
      <c r="CE183">
        <f>IF(OR($IW13=0,calcA!$A$6=0),0,IF(CD$117=1,CD13,0)+IF(CE$117=1,CF13,0))</f>
        <v/>
      </c>
      <c r="CF183">
        <f>IF(OR($IW13=0,calcA!$A$6=0),0,IF(CE$117=1,CE13,0)+IF(CF$117=1,CG13,0))</f>
        <v/>
      </c>
      <c r="CG183">
        <f>IF(OR($IW13=0,calcA!$A$6=0),0,IF(CF$117=1,CF13,0)+IF(CG$117=1,CH13,0))</f>
        <v/>
      </c>
      <c r="CH183">
        <f>IF(OR($IW13=0,calcA!$A$6=0),0,IF(CG$117=1,CG13,0)+IF(CH$117=1,CI13,0))</f>
        <v/>
      </c>
      <c r="CI183">
        <f>IF(OR($IW13=0,calcA!$A$6=0),0,IF(CH$117=1,CH13,0)+IF(CI$117=1,CJ13,0))</f>
        <v/>
      </c>
      <c r="CJ183">
        <f>IF(OR($IW13=0,calcA!$A$6=0),0,IF(CI$117=1,CI13,0)+IF(CJ$117=1,CK13,0))</f>
        <v/>
      </c>
      <c r="CK183">
        <f>IF(OR($IW13=0,calcA!$A$6=0),0,IF(CJ$117=1,CJ13,0)+IF(CK$117=1,CL13,0))</f>
        <v/>
      </c>
      <c r="CL183">
        <f>IF(OR($IW13=0,calcA!$A$6=0),0,IF(CK$117=1,CK13,0)+IF(CL$117=1,CM13,0))</f>
        <v/>
      </c>
      <c r="CM183">
        <f>IF(OR($IW13=0,calcA!$A$6=0),0,IF(CL$117=1,CL13,0)+IF(CM$117=1,CN13,0))</f>
        <v/>
      </c>
      <c r="CN183">
        <f>IF(OR($IW13=0,calcA!$A$6=0),0,IF(CM$117=1,CM13,0)+IF(CN$117=1,CO13,0))</f>
        <v/>
      </c>
      <c r="CO183">
        <f>IF(OR($IW13=0,calcA!$A$6=0),0,IF(CN$117=1,CN13,0)+IF(CO$117=1,CP13,0))</f>
        <v/>
      </c>
      <c r="CP183">
        <f>IF(OR($IW13=0,calcA!$A$6=0),0,IF(CO$117=1,CO13,0)+IF(CP$117=1,CQ13,0))</f>
        <v/>
      </c>
      <c r="CQ183">
        <f>IF(OR($IW13=0,calcA!$A$6=0),0,IF(CP$117=1,CP13,0)+IF(CQ$117=1,CR13,0))</f>
        <v/>
      </c>
      <c r="CR183">
        <f>IF(OR($IW13=0,calcA!$A$6=0),0,IF(CQ$117=1,CQ13,0)+IF(CR$117=1,CS13,0))</f>
        <v/>
      </c>
      <c r="CS183">
        <f>IF(OR($IW13=0,calcA!$A$6=0),0,IF(CR$117=1,CR13,0)+IF(CS$117=1,CT13,0))</f>
        <v/>
      </c>
      <c r="CT183">
        <f>IF(OR($IW13=0,calcA!$A$6=0),0,IF(CS$117=1,CS13,0)+IF(CT$117=1,CU13,0))</f>
        <v/>
      </c>
      <c r="CU183">
        <f>IF(OR($IW13=0,calcA!$A$6=0),0,IF(CT$117=1,CT13,0))</f>
        <v/>
      </c>
      <c r="CV183">
        <f>IF(OR($IW13=0,calcA!$A$6=0),0,IF(CV$117=1,CW13,0))</f>
        <v/>
      </c>
      <c r="CW183">
        <f>IF(OR($IW13=0,calcA!$A$6=0),0,IF(CV$117=1,CV13,0)+IF(CW$117=1,CX13,0))</f>
        <v/>
      </c>
      <c r="CX183">
        <f>IF(OR($IW13=0,calcA!$A$6=0),0,IF(CW$117=1,CW13,0)+IF(CX$117=1,CY13,0))</f>
        <v/>
      </c>
      <c r="CY183">
        <f>IF(OR($IW13=0,calcA!$A$6=0),0,IF(CX$117=1,CX13,0)+IF(CY$117=1,CZ13,0))</f>
        <v/>
      </c>
      <c r="CZ183">
        <f>IF(OR($IW13=0,calcA!$A$6=0),0,IF(CY$117=1,CY13,0)+IF(CZ$117=1,DA13,0))</f>
        <v/>
      </c>
      <c r="DA183">
        <f>IF(OR($IW13=0,calcA!$A$6=0),0,IF(CZ$117=1,CZ13,0)+IF(DA$117=1,DB13,0))</f>
        <v/>
      </c>
      <c r="DB183">
        <f>IF(OR($IW13=0,calcA!$A$6=0),0,IF(DA$117=1,DA13,0)+IF(DB$117=1,DC13,0))</f>
        <v/>
      </c>
      <c r="DC183">
        <f>IF(OR($IW13=0,calcA!$A$6=0),0,IF(DB$117=1,DB13,0)+IF(DC$117=1,DD13,0))</f>
        <v/>
      </c>
      <c r="DD183">
        <f>IF(OR($IW13=0,calcA!$A$6=0),0,IF(DC$117=1,DC13,0)+IF(DD$117=1,DE13,0))</f>
        <v/>
      </c>
      <c r="DE183">
        <f>IF(OR($IW13=0,calcA!$A$6=0),0,IF(DD$117=1,DD13,0)+IF(DE$117=1,DF13,0))</f>
        <v/>
      </c>
      <c r="DF183">
        <f>IF(OR($IW13=0,calcA!$A$6=0),0,IF(DE$117=1,DE13,0)+IF(DF$117=1,DG13,0))</f>
        <v/>
      </c>
      <c r="DG183">
        <f>IF(OR($IW13=0,calcA!$A$6=0),0,IF(DF$117=1,DF13,0)+IF(DG$117=1,DH13,0))</f>
        <v/>
      </c>
      <c r="DH183">
        <f>IF(OR($IW13=0,calcA!$A$6=0),0,IF(DG$117=1,DG13,0)+IF(DH$117=1,DI13,0))</f>
        <v/>
      </c>
      <c r="DI183">
        <f>IF(OR($IW13=0,calcA!$A$6=0),0,IF(DH$117=1,DH13,0)+IF(DI$117=1,DJ13,0))</f>
        <v/>
      </c>
      <c r="DJ183">
        <f>IF(OR($IW13=0,calcA!$A$6=0),0,IF(DI$117=1,DI13,0)+IF(DJ$117=1,DK13,0))</f>
        <v/>
      </c>
      <c r="DK183">
        <f>IF(OR($IW13=0,calcA!$A$6=0),0,IF(DJ$117=1,DJ13,0)+IF(DK$117=1,DL13,0))</f>
        <v/>
      </c>
      <c r="DL183">
        <f>IF(OR($IW13=0,calcA!$A$6=0),0,IF(DK$117=1,DK13,0)+IF(DL$117=1,DM13,0))</f>
        <v/>
      </c>
      <c r="DM183">
        <f>IF(OR($IW13=0,calcA!$A$6=0),0,IF(DL$117=1,DL13,0)+IF(DM$117=1,DN13,0))</f>
        <v/>
      </c>
      <c r="DN183">
        <f>IF(OR($IW13=0,calcA!$A$6=0),0,IF(DM$117=1,DM13,0)+IF(DN$117=1,DO13,0))</f>
        <v/>
      </c>
      <c r="DO183">
        <f>IF(OR($IW13=0,calcA!$A$6=0),0,IF(DN$117=1,DN13,0)+IF(DO$117=1,DP13,0))</f>
        <v/>
      </c>
      <c r="DP183">
        <f>IF(OR($IW13=0,calcA!$A$6=0),0,IF(DO$117=1,DO13,0)+IF(DP$117=1,DQ13,0))</f>
        <v/>
      </c>
      <c r="DQ183">
        <f>IF(OR($IW13=0,calcA!$A$6=0),0,IF(DP$117=1,DP13,0)+IF(DQ$117=1,DR13,0))</f>
        <v/>
      </c>
      <c r="DR183">
        <f>IF(OR($IW13=0,calcA!$A$6=0),0,IF(DQ$117=1,DQ13,0)+IF(DR$117=1,DS13,0))</f>
        <v/>
      </c>
      <c r="DS183">
        <f>IF(OR($IW13=0,calcA!$A$6=0),0,IF(DR$117=1,DR13,0))</f>
        <v/>
      </c>
      <c r="DT183">
        <f>IF(OR($IW13=0,calcA!$A$6=0),0,IF(DT$117=1,DU13,0))</f>
        <v/>
      </c>
      <c r="DU183">
        <f>IF(OR($IW13=0,calcA!$A$6=0),0,IF(DT$117=1,DT13,0)+IF(DU$117=1,DV13,0))</f>
        <v/>
      </c>
      <c r="DV183">
        <f>IF(OR($IW13=0,calcA!$A$6=0),0,IF(DU$117=1,DU13,0)+IF(DV$117=1,DW13,0))</f>
        <v/>
      </c>
      <c r="DW183">
        <f>IF(OR($IW13=0,calcA!$A$6=0),0,IF(DV$117=1,DV13,0)+IF(DW$117=1,DX13,0))</f>
        <v/>
      </c>
      <c r="DX183">
        <f>IF(OR($IW13=0,calcA!$A$6=0),0,IF(DW$117=1,DW13,0)+IF(DX$117=1,DY13,0))</f>
        <v/>
      </c>
      <c r="DY183">
        <f>IF(OR($IW13=0,calcA!$A$6=0),0,IF(DX$117=1,DX13,0)+IF(DY$117=1,DZ13,0))</f>
        <v/>
      </c>
      <c r="DZ183">
        <f>IF(OR($IW13=0,calcA!$A$6=0),0,IF(DY$117=1,DY13,0)+IF(DZ$117=1,EA13,0))</f>
        <v/>
      </c>
      <c r="EA183">
        <f>IF(OR($IW13=0,calcA!$A$6=0),0,IF(DZ$117=1,DZ13,0)+IF(EA$117=1,EB13,0))</f>
        <v/>
      </c>
      <c r="EB183">
        <f>IF(OR($IW13=0,calcA!$A$6=0),0,IF(EA$117=1,EA13,0)+IF(EB$117=1,EC13,0))</f>
        <v/>
      </c>
      <c r="EC183">
        <f>IF(OR($IW13=0,calcA!$A$6=0),0,IF(EB$117=1,EB13,0)+IF(EC$117=1,ED13,0))</f>
        <v/>
      </c>
      <c r="ED183">
        <f>IF(OR($IW13=0,calcA!$A$6=0),0,IF(EC$117=1,EC13,0)+IF(ED$117=1,EE13,0))</f>
        <v/>
      </c>
      <c r="EE183">
        <f>IF(OR($IW13=0,calcA!$A$6=0),0,IF(ED$117=1,ED13,0)+IF(EE$117=1,EF13,0))</f>
        <v/>
      </c>
      <c r="EF183">
        <f>IF(OR($IW13=0,calcA!$A$6=0),0,IF(EE$117=1,EE13,0)+IF(EF$117=1,EG13,0))</f>
        <v/>
      </c>
      <c r="EG183">
        <f>IF(OR($IW13=0,calcA!$A$6=0),0,IF(EF$117=1,EF13,0)+IF(EG$117=1,EH13,0))</f>
        <v/>
      </c>
      <c r="EH183">
        <f>IF(OR($IW13=0,calcA!$A$6=0),0,IF(EG$117=1,EG13,0)+IF(EH$117=1,EI13,0))</f>
        <v/>
      </c>
      <c r="EI183">
        <f>IF(OR($IW13=0,calcA!$A$6=0),0,IF(EH$117=1,EH13,0)+IF(EI$117=1,EJ13,0))</f>
        <v/>
      </c>
      <c r="EJ183">
        <f>IF(OR($IW13=0,calcA!$A$6=0),0,IF(EI$117=1,EI13,0)+IF(EJ$117=1,EK13,0))</f>
        <v/>
      </c>
      <c r="EK183">
        <f>IF(OR($IW13=0,calcA!$A$6=0),0,IF(EJ$117=1,EJ13,0)+IF(EK$117=1,EL13,0))</f>
        <v/>
      </c>
      <c r="EL183">
        <f>IF(OR($IW13=0,calcA!$A$6=0),0,IF(EK$117=1,EK13,0)+IF(EL$117=1,EM13,0))</f>
        <v/>
      </c>
      <c r="EM183">
        <f>IF(OR($IW13=0,calcA!$A$6=0),0,IF(EL$117=1,EL13,0)+IF(EM$117=1,EN13,0))</f>
        <v/>
      </c>
      <c r="EN183">
        <f>IF(OR($IW13=0,calcA!$A$6=0),0,IF(EM$117=1,EM13,0)+IF(EN$117=1,EO13,0))</f>
        <v/>
      </c>
      <c r="EO183">
        <f>IF(OR($IW13=0,calcA!$A$6=0),0,IF(EN$117=1,EN13,0)+IF(EO$117=1,EP13,0))</f>
        <v/>
      </c>
      <c r="EP183">
        <f>IF(OR($IW13=0,calcA!$A$6=0),0,IF(EO$117=1,EO13,0)+IF(EP$117=1,EQ13,0))</f>
        <v/>
      </c>
      <c r="EQ183">
        <f>IF(OR($IW13=0,calcA!$A$6=0),0,IF(EP$117=1,EP13,0))</f>
        <v/>
      </c>
    </row>
    <row r="184">
      <c r="D184">
        <f>IF(OR($IW14=0,calcA!$A$6=0),0,IF(D$117=1,E14,0))</f>
        <v/>
      </c>
      <c r="E184">
        <f>IF(OR($IW14=0,calcA!$A$6=0),0,IF(D$117=1,D14,0)+IF(E$117=1,F14,0))</f>
        <v/>
      </c>
      <c r="F184">
        <f>IF(OR($IW14=0,calcA!$A$6=0),0,IF(E$117=1,E14,0)+IF(F$117=1,G14,0))</f>
        <v/>
      </c>
      <c r="G184">
        <f>IF(OR($IW14=0,calcA!$A$6=0),0,IF(F$117=1,F14,0)+IF(G$117=1,H14,0))</f>
        <v/>
      </c>
      <c r="H184">
        <f>IF(OR($IW14=0,calcA!$A$6=0),0,IF(G$117=1,G14,0)+IF(H$117=1,I14,0))</f>
        <v/>
      </c>
      <c r="I184">
        <f>IF(OR($IW14=0,calcA!$A$6=0),0,IF(H$117=1,H14,0)+IF(I$117=1,J14,0))</f>
        <v/>
      </c>
      <c r="J184">
        <f>IF(OR($IW14=0,calcA!$A$6=0),0,IF(I$117=1,I14,0)+IF(J$117=1,K14,0))</f>
        <v/>
      </c>
      <c r="K184">
        <f>IF(OR($IW14=0,calcA!$A$6=0),0,IF(J$117=1,J14,0)+IF(K$117=1,L14,0))</f>
        <v/>
      </c>
      <c r="L184">
        <f>IF(OR($IW14=0,calcA!$A$6=0),0,IF(K$117=1,K14,0)+IF(L$117=1,M14,0))</f>
        <v/>
      </c>
      <c r="M184">
        <f>IF(OR($IW14=0,calcA!$A$6=0),0,IF(L$117=1,L14,0)+IF(M$117=1,N14,0))</f>
        <v/>
      </c>
      <c r="N184">
        <f>IF(OR($IW14=0,calcA!$A$6=0),0,IF(M$117=1,M14,0)+IF(N$117=1,O14,0))</f>
        <v/>
      </c>
      <c r="O184">
        <f>IF(OR($IW14=0,calcA!$A$6=0),0,IF(N$117=1,N14,0)+IF(O$117=1,P14,0))</f>
        <v/>
      </c>
      <c r="P184">
        <f>IF(OR($IW14=0,calcA!$A$6=0),0,IF(O$117=1,O14,0)+IF(P$117=1,Q14,0))</f>
        <v/>
      </c>
      <c r="Q184">
        <f>IF(OR($IW14=0,calcA!$A$6=0),0,IF(P$117=1,P14,0)+IF(Q$117=1,R14,0))</f>
        <v/>
      </c>
      <c r="R184">
        <f>IF(OR($IW14=0,calcA!$A$6=0),0,IF(Q$117=1,Q14,0)+IF(R$117=1,S14,0))</f>
        <v/>
      </c>
      <c r="S184">
        <f>IF(OR($IW14=0,calcA!$A$6=0),0,IF(R$117=1,R14,0)+IF(S$117=1,T14,0))</f>
        <v/>
      </c>
      <c r="T184">
        <f>IF(OR($IW14=0,calcA!$A$6=0),0,IF(S$117=1,S14,0)+IF(T$117=1,U14,0))</f>
        <v/>
      </c>
      <c r="U184">
        <f>IF(OR($IW14=0,calcA!$A$6=0),0,IF(T$117=1,T14,0)+IF(U$117=1,V14,0))</f>
        <v/>
      </c>
      <c r="V184">
        <f>IF(OR($IW14=0,calcA!$A$6=0),0,IF(U$117=1,U14,0)+IF(V$117=1,W14,0))</f>
        <v/>
      </c>
      <c r="W184">
        <f>IF(OR($IW14=0,calcA!$A$6=0),0,IF(V$117=1,V14,0)+IF(W$117=1,X14,0))</f>
        <v/>
      </c>
      <c r="X184">
        <f>IF(OR($IW14=0,calcA!$A$6=0),0,IF(W$117=1,W14,0)+IF(X$117=1,Y14,0))</f>
        <v/>
      </c>
      <c r="Y184">
        <f>IF(OR($IW14=0,calcA!$A$6=0),0,IF(X$117=1,X14,0)+IF(Y$117=1,Z14,0))</f>
        <v/>
      </c>
      <c r="Z184">
        <f>IF(OR($IW14=0,calcA!$A$6=0),0,IF(Y$117=1,Y14,0)+IF(Z$117=1,AA14,0))</f>
        <v/>
      </c>
      <c r="AA184">
        <f>IF(OR($IW14=0,calcA!$A$6=0),0,IF(Z$117=1,Z14,0))</f>
        <v/>
      </c>
      <c r="AB184">
        <f>IF(OR($IW14=0,calcA!$A$6=0),0,IF(AB$117=1,AC14,0))</f>
        <v/>
      </c>
      <c r="AC184">
        <f>IF(OR($IW14=0,calcA!$A$6=0),0,IF(AB$117=1,AB14,0)+IF(AC$117=1,AD14,0))</f>
        <v/>
      </c>
      <c r="AD184">
        <f>IF(OR($IW14=0,calcA!$A$6=0),0,IF(AC$117=1,AC14,0)+IF(AD$117=1,AE14,0))</f>
        <v/>
      </c>
      <c r="AE184">
        <f>IF(OR($IW14=0,calcA!$A$6=0),0,IF(AD$117=1,AD14,0)+IF(AE$117=1,AF14,0))</f>
        <v/>
      </c>
      <c r="AF184">
        <f>IF(OR($IW14=0,calcA!$A$6=0),0,IF(AE$117=1,AE14,0)+IF(AF$117=1,AG14,0))</f>
        <v/>
      </c>
      <c r="AG184">
        <f>IF(OR($IW14=0,calcA!$A$6=0),0,IF(AF$117=1,AF14,0)+IF(AG$117=1,AH14,0))</f>
        <v/>
      </c>
      <c r="AH184">
        <f>IF(OR($IW14=0,calcA!$A$6=0),0,IF(AG$117=1,AG14,0)+IF(AH$117=1,AI14,0))</f>
        <v/>
      </c>
      <c r="AI184">
        <f>IF(OR($IW14=0,calcA!$A$6=0),0,IF(AH$117=1,AH14,0)+IF(AI$117=1,AJ14,0))</f>
        <v/>
      </c>
      <c r="AJ184">
        <f>IF(OR($IW14=0,calcA!$A$6=0),0,IF(AI$117=1,AI14,0)+IF(AJ$117=1,AK14,0))</f>
        <v/>
      </c>
      <c r="AK184">
        <f>IF(OR($IW14=0,calcA!$A$6=0),0,IF(AJ$117=1,AJ14,0)+IF(AK$117=1,AL14,0))</f>
        <v/>
      </c>
      <c r="AL184">
        <f>IF(OR($IW14=0,calcA!$A$6=0),0,IF(AK$117=1,AK14,0)+IF(AL$117=1,AM14,0))</f>
        <v/>
      </c>
      <c r="AM184">
        <f>IF(OR($IW14=0,calcA!$A$6=0),0,IF(AL$117=1,AL14,0)+IF(AM$117=1,AN14,0))</f>
        <v/>
      </c>
      <c r="AN184">
        <f>IF(OR($IW14=0,calcA!$A$6=0),0,IF(AM$117=1,AM14,0)+IF(AN$117=1,AO14,0))</f>
        <v/>
      </c>
      <c r="AO184">
        <f>IF(OR($IW14=0,calcA!$A$6=0),0,IF(AN$117=1,AN14,0)+IF(AO$117=1,AP14,0))</f>
        <v/>
      </c>
      <c r="AP184">
        <f>IF(OR($IW14=0,calcA!$A$6=0),0,IF(AO$117=1,AO14,0)+IF(AP$117=1,AQ14,0))</f>
        <v/>
      </c>
      <c r="AQ184">
        <f>IF(OR($IW14=0,calcA!$A$6=0),0,IF(AP$117=1,AP14,0)+IF(AQ$117=1,AR14,0))</f>
        <v/>
      </c>
      <c r="AR184">
        <f>IF(OR($IW14=0,calcA!$A$6=0),0,IF(AQ$117=1,AQ14,0)+IF(AR$117=1,AS14,0))</f>
        <v/>
      </c>
      <c r="AS184">
        <f>IF(OR($IW14=0,calcA!$A$6=0),0,IF(AR$117=1,AR14,0)+IF(AS$117=1,AT14,0))</f>
        <v/>
      </c>
      <c r="AT184">
        <f>IF(OR($IW14=0,calcA!$A$6=0),0,IF(AS$117=1,AS14,0)+IF(AT$117=1,AU14,0))</f>
        <v/>
      </c>
      <c r="AU184">
        <f>IF(OR($IW14=0,calcA!$A$6=0),0,IF(AT$117=1,AT14,0)+IF(AU$117=1,AV14,0))</f>
        <v/>
      </c>
      <c r="AV184">
        <f>IF(OR($IW14=0,calcA!$A$6=0),0,IF(AU$117=1,AU14,0)+IF(AV$117=1,AW14,0))</f>
        <v/>
      </c>
      <c r="AW184">
        <f>IF(OR($IW14=0,calcA!$A$6=0),0,IF(AV$117=1,AV14,0)+IF(AW$117=1,AX14,0))</f>
        <v/>
      </c>
      <c r="AX184">
        <f>IF(OR($IW14=0,calcA!$A$6=0),0,IF(AW$117=1,AW14,0)+IF(AX$117=1,AY14,0))</f>
        <v/>
      </c>
      <c r="AY184">
        <f>IF(OR($IW14=0,calcA!$A$6=0),0,IF(AX$117=1,AX14,0))</f>
        <v/>
      </c>
      <c r="AZ184">
        <f>IF(OR($IW14=0,calcA!$A$6=0),0,IF(AZ$117=1,BA14,0))</f>
        <v/>
      </c>
      <c r="BA184">
        <f>IF(OR($IW14=0,calcA!$A$6=0),0,IF(AZ$117=1,AZ14,0)+IF(BA$117=1,BB14,0))</f>
        <v/>
      </c>
      <c r="BB184">
        <f>IF(OR($IW14=0,calcA!$A$6=0),0,IF(BA$117=1,BA14,0)+IF(BB$117=1,BC14,0))</f>
        <v/>
      </c>
      <c r="BC184">
        <f>IF(OR($IW14=0,calcA!$A$6=0),0,IF(BB$117=1,BB14,0)+IF(BC$117=1,BD14,0))</f>
        <v/>
      </c>
      <c r="BD184">
        <f>IF(OR($IW14=0,calcA!$A$6=0),0,IF(BC$117=1,BC14,0)+IF(BD$117=1,BE14,0))</f>
        <v/>
      </c>
      <c r="BE184">
        <f>IF(OR($IW14=0,calcA!$A$6=0),0,IF(BD$117=1,BD14,0)+IF(BE$117=1,BF14,0))</f>
        <v/>
      </c>
      <c r="BF184">
        <f>IF(OR($IW14=0,calcA!$A$6=0),0,IF(BE$117=1,BE14,0)+IF(BF$117=1,BG14,0))</f>
        <v/>
      </c>
      <c r="BG184">
        <f>IF(OR($IW14=0,calcA!$A$6=0),0,IF(BF$117=1,BF14,0)+IF(BG$117=1,BH14,0))</f>
        <v/>
      </c>
      <c r="BH184">
        <f>IF(OR($IW14=0,calcA!$A$6=0),0,IF(BG$117=1,BG14,0)+IF(BH$117=1,BI14,0))</f>
        <v/>
      </c>
      <c r="BI184">
        <f>IF(OR($IW14=0,calcA!$A$6=0),0,IF(BH$117=1,BH14,0)+IF(BI$117=1,BJ14,0))</f>
        <v/>
      </c>
      <c r="BJ184">
        <f>IF(OR($IW14=0,calcA!$A$6=0),0,IF(BI$117=1,BI14,0)+IF(BJ$117=1,BK14,0))</f>
        <v/>
      </c>
      <c r="BK184">
        <f>IF(OR($IW14=0,calcA!$A$6=0),0,IF(BJ$117=1,BJ14,0)+IF(BK$117=1,BL14,0))</f>
        <v/>
      </c>
      <c r="BL184">
        <f>IF(OR($IW14=0,calcA!$A$6=0),0,IF(BK$117=1,BK14,0)+IF(BL$117=1,BM14,0))</f>
        <v/>
      </c>
      <c r="BM184">
        <f>IF(OR($IW14=0,calcA!$A$6=0),0,IF(BL$117=1,BL14,0)+IF(BM$117=1,BN14,0))</f>
        <v/>
      </c>
      <c r="BN184">
        <f>IF(OR($IW14=0,calcA!$A$6=0),0,IF(BM$117=1,BM14,0)+IF(BN$117=1,BO14,0))</f>
        <v/>
      </c>
      <c r="BO184">
        <f>IF(OR($IW14=0,calcA!$A$6=0),0,IF(BN$117=1,BN14,0)+IF(BO$117=1,BP14,0))</f>
        <v/>
      </c>
      <c r="BP184">
        <f>IF(OR($IW14=0,calcA!$A$6=0),0,IF(BO$117=1,BO14,0)+IF(BP$117=1,BQ14,0))</f>
        <v/>
      </c>
      <c r="BQ184">
        <f>IF(OR($IW14=0,calcA!$A$6=0),0,IF(BP$117=1,BP14,0)+IF(BQ$117=1,BR14,0))</f>
        <v/>
      </c>
      <c r="BR184">
        <f>IF(OR($IW14=0,calcA!$A$6=0),0,IF(BQ$117=1,BQ14,0)+IF(BR$117=1,BS14,0))</f>
        <v/>
      </c>
      <c r="BS184">
        <f>IF(OR($IW14=0,calcA!$A$6=0),0,IF(BR$117=1,BR14,0)+IF(BS$117=1,BT14,0))</f>
        <v/>
      </c>
      <c r="BT184">
        <f>IF(OR($IW14=0,calcA!$A$6=0),0,IF(BS$117=1,BS14,0)+IF(BT$117=1,BU14,0))</f>
        <v/>
      </c>
      <c r="BU184">
        <f>IF(OR($IW14=0,calcA!$A$6=0),0,IF(BT$117=1,BT14,0)+IF(BU$117=1,BV14,0))</f>
        <v/>
      </c>
      <c r="BV184">
        <f>IF(OR($IW14=0,calcA!$A$6=0),0,IF(BU$117=1,BU14,0)+IF(BV$117=1,BW14,0))</f>
        <v/>
      </c>
      <c r="BW184">
        <f>IF(OR($IW14=0,calcA!$A$6=0),0,IF(BV$117=1,BV14,0))</f>
        <v/>
      </c>
      <c r="BX184">
        <f>IF(OR($IW14=0,calcA!$A$6=0),0,IF(BX$117=1,BY14,0))</f>
        <v/>
      </c>
      <c r="BY184">
        <f>IF(OR($IW14=0,calcA!$A$6=0),0,IF(BX$117=1,BX14,0)+IF(BY$117=1,BZ14,0))</f>
        <v/>
      </c>
      <c r="BZ184">
        <f>IF(OR($IW14=0,calcA!$A$6=0),0,IF(BY$117=1,BY14,0)+IF(BZ$117=1,CA14,0))</f>
        <v/>
      </c>
      <c r="CA184">
        <f>IF(OR($IW14=0,calcA!$A$6=0),0,IF(BZ$117=1,BZ14,0)+IF(CA$117=1,CB14,0))</f>
        <v/>
      </c>
      <c r="CB184">
        <f>IF(OR($IW14=0,calcA!$A$6=0),0,IF(CA$117=1,CA14,0)+IF(CB$117=1,CC14,0))</f>
        <v/>
      </c>
      <c r="CC184">
        <f>IF(OR($IW14=0,calcA!$A$6=0),0,IF(CB$117=1,CB14,0)+IF(CC$117=1,CD14,0))</f>
        <v/>
      </c>
      <c r="CD184">
        <f>IF(OR($IW14=0,calcA!$A$6=0),0,IF(CC$117=1,CC14,0)+IF(CD$117=1,CE14,0))</f>
        <v/>
      </c>
      <c r="CE184">
        <f>IF(OR($IW14=0,calcA!$A$6=0),0,IF(CD$117=1,CD14,0)+IF(CE$117=1,CF14,0))</f>
        <v/>
      </c>
      <c r="CF184">
        <f>IF(OR($IW14=0,calcA!$A$6=0),0,IF(CE$117=1,CE14,0)+IF(CF$117=1,CG14,0))</f>
        <v/>
      </c>
      <c r="CG184">
        <f>IF(OR($IW14=0,calcA!$A$6=0),0,IF(CF$117=1,CF14,0)+IF(CG$117=1,CH14,0))</f>
        <v/>
      </c>
      <c r="CH184">
        <f>IF(OR($IW14=0,calcA!$A$6=0),0,IF(CG$117=1,CG14,0)+IF(CH$117=1,CI14,0))</f>
        <v/>
      </c>
      <c r="CI184">
        <f>IF(OR($IW14=0,calcA!$A$6=0),0,IF(CH$117=1,CH14,0)+IF(CI$117=1,CJ14,0))</f>
        <v/>
      </c>
      <c r="CJ184">
        <f>IF(OR($IW14=0,calcA!$A$6=0),0,IF(CI$117=1,CI14,0)+IF(CJ$117=1,CK14,0))</f>
        <v/>
      </c>
      <c r="CK184">
        <f>IF(OR($IW14=0,calcA!$A$6=0),0,IF(CJ$117=1,CJ14,0)+IF(CK$117=1,CL14,0))</f>
        <v/>
      </c>
      <c r="CL184">
        <f>IF(OR($IW14=0,calcA!$A$6=0),0,IF(CK$117=1,CK14,0)+IF(CL$117=1,CM14,0))</f>
        <v/>
      </c>
      <c r="CM184">
        <f>IF(OR($IW14=0,calcA!$A$6=0),0,IF(CL$117=1,CL14,0)+IF(CM$117=1,CN14,0))</f>
        <v/>
      </c>
      <c r="CN184">
        <f>IF(OR($IW14=0,calcA!$A$6=0),0,IF(CM$117=1,CM14,0)+IF(CN$117=1,CO14,0))</f>
        <v/>
      </c>
      <c r="CO184">
        <f>IF(OR($IW14=0,calcA!$A$6=0),0,IF(CN$117=1,CN14,0)+IF(CO$117=1,CP14,0))</f>
        <v/>
      </c>
      <c r="CP184">
        <f>IF(OR($IW14=0,calcA!$A$6=0),0,IF(CO$117=1,CO14,0)+IF(CP$117=1,CQ14,0))</f>
        <v/>
      </c>
      <c r="CQ184">
        <f>IF(OR($IW14=0,calcA!$A$6=0),0,IF(CP$117=1,CP14,0)+IF(CQ$117=1,CR14,0))</f>
        <v/>
      </c>
      <c r="CR184">
        <f>IF(OR($IW14=0,calcA!$A$6=0),0,IF(CQ$117=1,CQ14,0)+IF(CR$117=1,CS14,0))</f>
        <v/>
      </c>
      <c r="CS184">
        <f>IF(OR($IW14=0,calcA!$A$6=0),0,IF(CR$117=1,CR14,0)+IF(CS$117=1,CT14,0))</f>
        <v/>
      </c>
      <c r="CT184">
        <f>IF(OR($IW14=0,calcA!$A$6=0),0,IF(CS$117=1,CS14,0)+IF(CT$117=1,CU14,0))</f>
        <v/>
      </c>
      <c r="CU184">
        <f>IF(OR($IW14=0,calcA!$A$6=0),0,IF(CT$117=1,CT14,0))</f>
        <v/>
      </c>
      <c r="CV184">
        <f>IF(OR($IW14=0,calcA!$A$6=0),0,IF(CV$117=1,CW14,0))</f>
        <v/>
      </c>
      <c r="CW184">
        <f>IF(OR($IW14=0,calcA!$A$6=0),0,IF(CV$117=1,CV14,0)+IF(CW$117=1,CX14,0))</f>
        <v/>
      </c>
      <c r="CX184">
        <f>IF(OR($IW14=0,calcA!$A$6=0),0,IF(CW$117=1,CW14,0)+IF(CX$117=1,CY14,0))</f>
        <v/>
      </c>
      <c r="CY184">
        <f>IF(OR($IW14=0,calcA!$A$6=0),0,IF(CX$117=1,CX14,0)+IF(CY$117=1,CZ14,0))</f>
        <v/>
      </c>
      <c r="CZ184">
        <f>IF(OR($IW14=0,calcA!$A$6=0),0,IF(CY$117=1,CY14,0)+IF(CZ$117=1,DA14,0))</f>
        <v/>
      </c>
      <c r="DA184">
        <f>IF(OR($IW14=0,calcA!$A$6=0),0,IF(CZ$117=1,CZ14,0)+IF(DA$117=1,DB14,0))</f>
        <v/>
      </c>
      <c r="DB184">
        <f>IF(OR($IW14=0,calcA!$A$6=0),0,IF(DA$117=1,DA14,0)+IF(DB$117=1,DC14,0))</f>
        <v/>
      </c>
      <c r="DC184">
        <f>IF(OR($IW14=0,calcA!$A$6=0),0,IF(DB$117=1,DB14,0)+IF(DC$117=1,DD14,0))</f>
        <v/>
      </c>
      <c r="DD184">
        <f>IF(OR($IW14=0,calcA!$A$6=0),0,IF(DC$117=1,DC14,0)+IF(DD$117=1,DE14,0))</f>
        <v/>
      </c>
      <c r="DE184">
        <f>IF(OR($IW14=0,calcA!$A$6=0),0,IF(DD$117=1,DD14,0)+IF(DE$117=1,DF14,0))</f>
        <v/>
      </c>
      <c r="DF184">
        <f>IF(OR($IW14=0,calcA!$A$6=0),0,IF(DE$117=1,DE14,0)+IF(DF$117=1,DG14,0))</f>
        <v/>
      </c>
      <c r="DG184">
        <f>IF(OR($IW14=0,calcA!$A$6=0),0,IF(DF$117=1,DF14,0)+IF(DG$117=1,DH14,0))</f>
        <v/>
      </c>
      <c r="DH184">
        <f>IF(OR($IW14=0,calcA!$A$6=0),0,IF(DG$117=1,DG14,0)+IF(DH$117=1,DI14,0))</f>
        <v/>
      </c>
      <c r="DI184">
        <f>IF(OR($IW14=0,calcA!$A$6=0),0,IF(DH$117=1,DH14,0)+IF(DI$117=1,DJ14,0))</f>
        <v/>
      </c>
      <c r="DJ184">
        <f>IF(OR($IW14=0,calcA!$A$6=0),0,IF(DI$117=1,DI14,0)+IF(DJ$117=1,DK14,0))</f>
        <v/>
      </c>
      <c r="DK184">
        <f>IF(OR($IW14=0,calcA!$A$6=0),0,IF(DJ$117=1,DJ14,0)+IF(DK$117=1,DL14,0))</f>
        <v/>
      </c>
      <c r="DL184">
        <f>IF(OR($IW14=0,calcA!$A$6=0),0,IF(DK$117=1,DK14,0)+IF(DL$117=1,DM14,0))</f>
        <v/>
      </c>
      <c r="DM184">
        <f>IF(OR($IW14=0,calcA!$A$6=0),0,IF(DL$117=1,DL14,0)+IF(DM$117=1,DN14,0))</f>
        <v/>
      </c>
      <c r="DN184">
        <f>IF(OR($IW14=0,calcA!$A$6=0),0,IF(DM$117=1,DM14,0)+IF(DN$117=1,DO14,0))</f>
        <v/>
      </c>
      <c r="DO184">
        <f>IF(OR($IW14=0,calcA!$A$6=0),0,IF(DN$117=1,DN14,0)+IF(DO$117=1,DP14,0))</f>
        <v/>
      </c>
      <c r="DP184">
        <f>IF(OR($IW14=0,calcA!$A$6=0),0,IF(DO$117=1,DO14,0)+IF(DP$117=1,DQ14,0))</f>
        <v/>
      </c>
      <c r="DQ184">
        <f>IF(OR($IW14=0,calcA!$A$6=0),0,IF(DP$117=1,DP14,0)+IF(DQ$117=1,DR14,0))</f>
        <v/>
      </c>
      <c r="DR184">
        <f>IF(OR($IW14=0,calcA!$A$6=0),0,IF(DQ$117=1,DQ14,0)+IF(DR$117=1,DS14,0))</f>
        <v/>
      </c>
      <c r="DS184">
        <f>IF(OR($IW14=0,calcA!$A$6=0),0,IF(DR$117=1,DR14,0))</f>
        <v/>
      </c>
      <c r="DT184">
        <f>IF(OR($IW14=0,calcA!$A$6=0),0,IF(DT$117=1,DU14,0))</f>
        <v/>
      </c>
      <c r="DU184">
        <f>IF(OR($IW14=0,calcA!$A$6=0),0,IF(DT$117=1,DT14,0)+IF(DU$117=1,DV14,0))</f>
        <v/>
      </c>
      <c r="DV184">
        <f>IF(OR($IW14=0,calcA!$A$6=0),0,IF(DU$117=1,DU14,0)+IF(DV$117=1,DW14,0))</f>
        <v/>
      </c>
      <c r="DW184">
        <f>IF(OR($IW14=0,calcA!$A$6=0),0,IF(DV$117=1,DV14,0)+IF(DW$117=1,DX14,0))</f>
        <v/>
      </c>
      <c r="DX184">
        <f>IF(OR($IW14=0,calcA!$A$6=0),0,IF(DW$117=1,DW14,0)+IF(DX$117=1,DY14,0))</f>
        <v/>
      </c>
      <c r="DY184">
        <f>IF(OR($IW14=0,calcA!$A$6=0),0,IF(DX$117=1,DX14,0)+IF(DY$117=1,DZ14,0))</f>
        <v/>
      </c>
      <c r="DZ184">
        <f>IF(OR($IW14=0,calcA!$A$6=0),0,IF(DY$117=1,DY14,0)+IF(DZ$117=1,EA14,0))</f>
        <v/>
      </c>
      <c r="EA184">
        <f>IF(OR($IW14=0,calcA!$A$6=0),0,IF(DZ$117=1,DZ14,0)+IF(EA$117=1,EB14,0))</f>
        <v/>
      </c>
      <c r="EB184">
        <f>IF(OR($IW14=0,calcA!$A$6=0),0,IF(EA$117=1,EA14,0)+IF(EB$117=1,EC14,0))</f>
        <v/>
      </c>
      <c r="EC184">
        <f>IF(OR($IW14=0,calcA!$A$6=0),0,IF(EB$117=1,EB14,0)+IF(EC$117=1,ED14,0))</f>
        <v/>
      </c>
      <c r="ED184">
        <f>IF(OR($IW14=0,calcA!$A$6=0),0,IF(EC$117=1,EC14,0)+IF(ED$117=1,EE14,0))</f>
        <v/>
      </c>
      <c r="EE184">
        <f>IF(OR($IW14=0,calcA!$A$6=0),0,IF(ED$117=1,ED14,0)+IF(EE$117=1,EF14,0))</f>
        <v/>
      </c>
      <c r="EF184">
        <f>IF(OR($IW14=0,calcA!$A$6=0),0,IF(EE$117=1,EE14,0)+IF(EF$117=1,EG14,0))</f>
        <v/>
      </c>
      <c r="EG184">
        <f>IF(OR($IW14=0,calcA!$A$6=0),0,IF(EF$117=1,EF14,0)+IF(EG$117=1,EH14,0))</f>
        <v/>
      </c>
      <c r="EH184">
        <f>IF(OR($IW14=0,calcA!$A$6=0),0,IF(EG$117=1,EG14,0)+IF(EH$117=1,EI14,0))</f>
        <v/>
      </c>
      <c r="EI184">
        <f>IF(OR($IW14=0,calcA!$A$6=0),0,IF(EH$117=1,EH14,0)+IF(EI$117=1,EJ14,0))</f>
        <v/>
      </c>
      <c r="EJ184">
        <f>IF(OR($IW14=0,calcA!$A$6=0),0,IF(EI$117=1,EI14,0)+IF(EJ$117=1,EK14,0))</f>
        <v/>
      </c>
      <c r="EK184">
        <f>IF(OR($IW14=0,calcA!$A$6=0),0,IF(EJ$117=1,EJ14,0)+IF(EK$117=1,EL14,0))</f>
        <v/>
      </c>
      <c r="EL184">
        <f>IF(OR($IW14=0,calcA!$A$6=0),0,IF(EK$117=1,EK14,0)+IF(EL$117=1,EM14,0))</f>
        <v/>
      </c>
      <c r="EM184">
        <f>IF(OR($IW14=0,calcA!$A$6=0),0,IF(EL$117=1,EL14,0)+IF(EM$117=1,EN14,0))</f>
        <v/>
      </c>
      <c r="EN184">
        <f>IF(OR($IW14=0,calcA!$A$6=0),0,IF(EM$117=1,EM14,0)+IF(EN$117=1,EO14,0))</f>
        <v/>
      </c>
      <c r="EO184">
        <f>IF(OR($IW14=0,calcA!$A$6=0),0,IF(EN$117=1,EN14,0)+IF(EO$117=1,EP14,0))</f>
        <v/>
      </c>
      <c r="EP184">
        <f>IF(OR($IW14=0,calcA!$A$6=0),0,IF(EO$117=1,EO14,0)+IF(EP$117=1,EQ14,0))</f>
        <v/>
      </c>
      <c r="EQ184">
        <f>IF(OR($IW14=0,calcA!$A$6=0),0,IF(EP$117=1,EP14,0))</f>
        <v/>
      </c>
    </row>
    <row r="185">
      <c r="D185">
        <f>IF(OR($IW15=0,calcA!$A$6=0),0,IF(D$117=1,E15,0))</f>
        <v/>
      </c>
      <c r="E185">
        <f>IF(OR($IW15=0,calcA!$A$6=0),0,IF(D$117=1,D15,0)+IF(E$117=1,F15,0))</f>
        <v/>
      </c>
      <c r="F185">
        <f>IF(OR($IW15=0,calcA!$A$6=0),0,IF(E$117=1,E15,0)+IF(F$117=1,G15,0))</f>
        <v/>
      </c>
      <c r="G185">
        <f>IF(OR($IW15=0,calcA!$A$6=0),0,IF(F$117=1,F15,0)+IF(G$117=1,H15,0))</f>
        <v/>
      </c>
      <c r="H185">
        <f>IF(OR($IW15=0,calcA!$A$6=0),0,IF(G$117=1,G15,0)+IF(H$117=1,I15,0))</f>
        <v/>
      </c>
      <c r="I185">
        <f>IF(OR($IW15=0,calcA!$A$6=0),0,IF(H$117=1,H15,0)+IF(I$117=1,J15,0))</f>
        <v/>
      </c>
      <c r="J185">
        <f>IF(OR($IW15=0,calcA!$A$6=0),0,IF(I$117=1,I15,0)+IF(J$117=1,K15,0))</f>
        <v/>
      </c>
      <c r="K185">
        <f>IF(OR($IW15=0,calcA!$A$6=0),0,IF(J$117=1,J15,0)+IF(K$117=1,L15,0))</f>
        <v/>
      </c>
      <c r="L185">
        <f>IF(OR($IW15=0,calcA!$A$6=0),0,IF(K$117=1,K15,0)+IF(L$117=1,M15,0))</f>
        <v/>
      </c>
      <c r="M185">
        <f>IF(OR($IW15=0,calcA!$A$6=0),0,IF(L$117=1,L15,0)+IF(M$117=1,N15,0))</f>
        <v/>
      </c>
      <c r="N185">
        <f>IF(OR($IW15=0,calcA!$A$6=0),0,IF(M$117=1,M15,0)+IF(N$117=1,O15,0))</f>
        <v/>
      </c>
      <c r="O185">
        <f>IF(OR($IW15=0,calcA!$A$6=0),0,IF(N$117=1,N15,0)+IF(O$117=1,P15,0))</f>
        <v/>
      </c>
      <c r="P185">
        <f>IF(OR($IW15=0,calcA!$A$6=0),0,IF(O$117=1,O15,0)+IF(P$117=1,Q15,0))</f>
        <v/>
      </c>
      <c r="Q185">
        <f>IF(OR($IW15=0,calcA!$A$6=0),0,IF(P$117=1,P15,0)+IF(Q$117=1,R15,0))</f>
        <v/>
      </c>
      <c r="R185">
        <f>IF(OR($IW15=0,calcA!$A$6=0),0,IF(Q$117=1,Q15,0)+IF(R$117=1,S15,0))</f>
        <v/>
      </c>
      <c r="S185">
        <f>IF(OR($IW15=0,calcA!$A$6=0),0,IF(R$117=1,R15,0)+IF(S$117=1,T15,0))</f>
        <v/>
      </c>
      <c r="T185">
        <f>IF(OR($IW15=0,calcA!$A$6=0),0,IF(S$117=1,S15,0)+IF(T$117=1,U15,0))</f>
        <v/>
      </c>
      <c r="U185">
        <f>IF(OR($IW15=0,calcA!$A$6=0),0,IF(T$117=1,T15,0)+IF(U$117=1,V15,0))</f>
        <v/>
      </c>
      <c r="V185">
        <f>IF(OR($IW15=0,calcA!$A$6=0),0,IF(U$117=1,U15,0)+IF(V$117=1,W15,0))</f>
        <v/>
      </c>
      <c r="W185">
        <f>IF(OR($IW15=0,calcA!$A$6=0),0,IF(V$117=1,V15,0)+IF(W$117=1,X15,0))</f>
        <v/>
      </c>
      <c r="X185">
        <f>IF(OR($IW15=0,calcA!$A$6=0),0,IF(W$117=1,W15,0)+IF(X$117=1,Y15,0))</f>
        <v/>
      </c>
      <c r="Y185">
        <f>IF(OR($IW15=0,calcA!$A$6=0),0,IF(X$117=1,X15,0)+IF(Y$117=1,Z15,0))</f>
        <v/>
      </c>
      <c r="Z185">
        <f>IF(OR($IW15=0,calcA!$A$6=0),0,IF(Y$117=1,Y15,0)+IF(Z$117=1,AA15,0))</f>
        <v/>
      </c>
      <c r="AA185">
        <f>IF(OR($IW15=0,calcA!$A$6=0),0,IF(Z$117=1,Z15,0))</f>
        <v/>
      </c>
      <c r="AB185">
        <f>IF(OR($IW15=0,calcA!$A$6=0),0,IF(AB$117=1,AC15,0))</f>
        <v/>
      </c>
      <c r="AC185">
        <f>IF(OR($IW15=0,calcA!$A$6=0),0,IF(AB$117=1,AB15,0)+IF(AC$117=1,AD15,0))</f>
        <v/>
      </c>
      <c r="AD185">
        <f>IF(OR($IW15=0,calcA!$A$6=0),0,IF(AC$117=1,AC15,0)+IF(AD$117=1,AE15,0))</f>
        <v/>
      </c>
      <c r="AE185">
        <f>IF(OR($IW15=0,calcA!$A$6=0),0,IF(AD$117=1,AD15,0)+IF(AE$117=1,AF15,0))</f>
        <v/>
      </c>
      <c r="AF185">
        <f>IF(OR($IW15=0,calcA!$A$6=0),0,IF(AE$117=1,AE15,0)+IF(AF$117=1,AG15,0))</f>
        <v/>
      </c>
      <c r="AG185">
        <f>IF(OR($IW15=0,calcA!$A$6=0),0,IF(AF$117=1,AF15,0)+IF(AG$117=1,AH15,0))</f>
        <v/>
      </c>
      <c r="AH185">
        <f>IF(OR($IW15=0,calcA!$A$6=0),0,IF(AG$117=1,AG15,0)+IF(AH$117=1,AI15,0))</f>
        <v/>
      </c>
      <c r="AI185">
        <f>IF(OR($IW15=0,calcA!$A$6=0),0,IF(AH$117=1,AH15,0)+IF(AI$117=1,AJ15,0))</f>
        <v/>
      </c>
      <c r="AJ185">
        <f>IF(OR($IW15=0,calcA!$A$6=0),0,IF(AI$117=1,AI15,0)+IF(AJ$117=1,AK15,0))</f>
        <v/>
      </c>
      <c r="AK185">
        <f>IF(OR($IW15=0,calcA!$A$6=0),0,IF(AJ$117=1,AJ15,0)+IF(AK$117=1,AL15,0))</f>
        <v/>
      </c>
      <c r="AL185">
        <f>IF(OR($IW15=0,calcA!$A$6=0),0,IF(AK$117=1,AK15,0)+IF(AL$117=1,AM15,0))</f>
        <v/>
      </c>
      <c r="AM185">
        <f>IF(OR($IW15=0,calcA!$A$6=0),0,IF(AL$117=1,AL15,0)+IF(AM$117=1,AN15,0))</f>
        <v/>
      </c>
      <c r="AN185">
        <f>IF(OR($IW15=0,calcA!$A$6=0),0,IF(AM$117=1,AM15,0)+IF(AN$117=1,AO15,0))</f>
        <v/>
      </c>
      <c r="AO185">
        <f>IF(OR($IW15=0,calcA!$A$6=0),0,IF(AN$117=1,AN15,0)+IF(AO$117=1,AP15,0))</f>
        <v/>
      </c>
      <c r="AP185">
        <f>IF(OR($IW15=0,calcA!$A$6=0),0,IF(AO$117=1,AO15,0)+IF(AP$117=1,AQ15,0))</f>
        <v/>
      </c>
      <c r="AQ185">
        <f>IF(OR($IW15=0,calcA!$A$6=0),0,IF(AP$117=1,AP15,0)+IF(AQ$117=1,AR15,0))</f>
        <v/>
      </c>
      <c r="AR185">
        <f>IF(OR($IW15=0,calcA!$A$6=0),0,IF(AQ$117=1,AQ15,0)+IF(AR$117=1,AS15,0))</f>
        <v/>
      </c>
      <c r="AS185">
        <f>IF(OR($IW15=0,calcA!$A$6=0),0,IF(AR$117=1,AR15,0)+IF(AS$117=1,AT15,0))</f>
        <v/>
      </c>
      <c r="AT185">
        <f>IF(OR($IW15=0,calcA!$A$6=0),0,IF(AS$117=1,AS15,0)+IF(AT$117=1,AU15,0))</f>
        <v/>
      </c>
      <c r="AU185">
        <f>IF(OR($IW15=0,calcA!$A$6=0),0,IF(AT$117=1,AT15,0)+IF(AU$117=1,AV15,0))</f>
        <v/>
      </c>
      <c r="AV185">
        <f>IF(OR($IW15=0,calcA!$A$6=0),0,IF(AU$117=1,AU15,0)+IF(AV$117=1,AW15,0))</f>
        <v/>
      </c>
      <c r="AW185">
        <f>IF(OR($IW15=0,calcA!$A$6=0),0,IF(AV$117=1,AV15,0)+IF(AW$117=1,AX15,0))</f>
        <v/>
      </c>
      <c r="AX185">
        <f>IF(OR($IW15=0,calcA!$A$6=0),0,IF(AW$117=1,AW15,0)+IF(AX$117=1,AY15,0))</f>
        <v/>
      </c>
      <c r="AY185">
        <f>IF(OR($IW15=0,calcA!$A$6=0),0,IF(AX$117=1,AX15,0))</f>
        <v/>
      </c>
      <c r="AZ185">
        <f>IF(OR($IW15=0,calcA!$A$6=0),0,IF(AZ$117=1,BA15,0))</f>
        <v/>
      </c>
      <c r="BA185">
        <f>IF(OR($IW15=0,calcA!$A$6=0),0,IF(AZ$117=1,AZ15,0)+IF(BA$117=1,BB15,0))</f>
        <v/>
      </c>
      <c r="BB185">
        <f>IF(OR($IW15=0,calcA!$A$6=0),0,IF(BA$117=1,BA15,0)+IF(BB$117=1,BC15,0))</f>
        <v/>
      </c>
      <c r="BC185">
        <f>IF(OR($IW15=0,calcA!$A$6=0),0,IF(BB$117=1,BB15,0)+IF(BC$117=1,BD15,0))</f>
        <v/>
      </c>
      <c r="BD185">
        <f>IF(OR($IW15=0,calcA!$A$6=0),0,IF(BC$117=1,BC15,0)+IF(BD$117=1,BE15,0))</f>
        <v/>
      </c>
      <c r="BE185">
        <f>IF(OR($IW15=0,calcA!$A$6=0),0,IF(BD$117=1,BD15,0)+IF(BE$117=1,BF15,0))</f>
        <v/>
      </c>
      <c r="BF185">
        <f>IF(OR($IW15=0,calcA!$A$6=0),0,IF(BE$117=1,BE15,0)+IF(BF$117=1,BG15,0))</f>
        <v/>
      </c>
      <c r="BG185">
        <f>IF(OR($IW15=0,calcA!$A$6=0),0,IF(BF$117=1,BF15,0)+IF(BG$117=1,BH15,0))</f>
        <v/>
      </c>
      <c r="BH185">
        <f>IF(OR($IW15=0,calcA!$A$6=0),0,IF(BG$117=1,BG15,0)+IF(BH$117=1,BI15,0))</f>
        <v/>
      </c>
      <c r="BI185">
        <f>IF(OR($IW15=0,calcA!$A$6=0),0,IF(BH$117=1,BH15,0)+IF(BI$117=1,BJ15,0))</f>
        <v/>
      </c>
      <c r="BJ185">
        <f>IF(OR($IW15=0,calcA!$A$6=0),0,IF(BI$117=1,BI15,0)+IF(BJ$117=1,BK15,0))</f>
        <v/>
      </c>
      <c r="BK185">
        <f>IF(OR($IW15=0,calcA!$A$6=0),0,IF(BJ$117=1,BJ15,0)+IF(BK$117=1,BL15,0))</f>
        <v/>
      </c>
      <c r="BL185">
        <f>IF(OR($IW15=0,calcA!$A$6=0),0,IF(BK$117=1,BK15,0)+IF(BL$117=1,BM15,0))</f>
        <v/>
      </c>
      <c r="BM185">
        <f>IF(OR($IW15=0,calcA!$A$6=0),0,IF(BL$117=1,BL15,0)+IF(BM$117=1,BN15,0))</f>
        <v/>
      </c>
      <c r="BN185">
        <f>IF(OR($IW15=0,calcA!$A$6=0),0,IF(BM$117=1,BM15,0)+IF(BN$117=1,BO15,0))</f>
        <v/>
      </c>
      <c r="BO185">
        <f>IF(OR($IW15=0,calcA!$A$6=0),0,IF(BN$117=1,BN15,0)+IF(BO$117=1,BP15,0))</f>
        <v/>
      </c>
      <c r="BP185">
        <f>IF(OR($IW15=0,calcA!$A$6=0),0,IF(BO$117=1,BO15,0)+IF(BP$117=1,BQ15,0))</f>
        <v/>
      </c>
      <c r="BQ185">
        <f>IF(OR($IW15=0,calcA!$A$6=0),0,IF(BP$117=1,BP15,0)+IF(BQ$117=1,BR15,0))</f>
        <v/>
      </c>
      <c r="BR185">
        <f>IF(OR($IW15=0,calcA!$A$6=0),0,IF(BQ$117=1,BQ15,0)+IF(BR$117=1,BS15,0))</f>
        <v/>
      </c>
      <c r="BS185">
        <f>IF(OR($IW15=0,calcA!$A$6=0),0,IF(BR$117=1,BR15,0)+IF(BS$117=1,BT15,0))</f>
        <v/>
      </c>
      <c r="BT185">
        <f>IF(OR($IW15=0,calcA!$A$6=0),0,IF(BS$117=1,BS15,0)+IF(BT$117=1,BU15,0))</f>
        <v/>
      </c>
      <c r="BU185">
        <f>IF(OR($IW15=0,calcA!$A$6=0),0,IF(BT$117=1,BT15,0)+IF(BU$117=1,BV15,0))</f>
        <v/>
      </c>
      <c r="BV185">
        <f>IF(OR($IW15=0,calcA!$A$6=0),0,IF(BU$117=1,BU15,0)+IF(BV$117=1,BW15,0))</f>
        <v/>
      </c>
      <c r="BW185">
        <f>IF(OR($IW15=0,calcA!$A$6=0),0,IF(BV$117=1,BV15,0))</f>
        <v/>
      </c>
      <c r="BX185">
        <f>IF(OR($IW15=0,calcA!$A$6=0),0,IF(BX$117=1,BY15,0))</f>
        <v/>
      </c>
      <c r="BY185">
        <f>IF(OR($IW15=0,calcA!$A$6=0),0,IF(BX$117=1,BX15,0)+IF(BY$117=1,BZ15,0))</f>
        <v/>
      </c>
      <c r="BZ185">
        <f>IF(OR($IW15=0,calcA!$A$6=0),0,IF(BY$117=1,BY15,0)+IF(BZ$117=1,CA15,0))</f>
        <v/>
      </c>
      <c r="CA185">
        <f>IF(OR($IW15=0,calcA!$A$6=0),0,IF(BZ$117=1,BZ15,0)+IF(CA$117=1,CB15,0))</f>
        <v/>
      </c>
      <c r="CB185">
        <f>IF(OR($IW15=0,calcA!$A$6=0),0,IF(CA$117=1,CA15,0)+IF(CB$117=1,CC15,0))</f>
        <v/>
      </c>
      <c r="CC185">
        <f>IF(OR($IW15=0,calcA!$A$6=0),0,IF(CB$117=1,CB15,0)+IF(CC$117=1,CD15,0))</f>
        <v/>
      </c>
      <c r="CD185">
        <f>IF(OR($IW15=0,calcA!$A$6=0),0,IF(CC$117=1,CC15,0)+IF(CD$117=1,CE15,0))</f>
        <v/>
      </c>
      <c r="CE185">
        <f>IF(OR($IW15=0,calcA!$A$6=0),0,IF(CD$117=1,CD15,0)+IF(CE$117=1,CF15,0))</f>
        <v/>
      </c>
      <c r="CF185">
        <f>IF(OR($IW15=0,calcA!$A$6=0),0,IF(CE$117=1,CE15,0)+IF(CF$117=1,CG15,0))</f>
        <v/>
      </c>
      <c r="CG185">
        <f>IF(OR($IW15=0,calcA!$A$6=0),0,IF(CF$117=1,CF15,0)+IF(CG$117=1,CH15,0))</f>
        <v/>
      </c>
      <c r="CH185">
        <f>IF(OR($IW15=0,calcA!$A$6=0),0,IF(CG$117=1,CG15,0)+IF(CH$117=1,CI15,0))</f>
        <v/>
      </c>
      <c r="CI185">
        <f>IF(OR($IW15=0,calcA!$A$6=0),0,IF(CH$117=1,CH15,0)+IF(CI$117=1,CJ15,0))</f>
        <v/>
      </c>
      <c r="CJ185">
        <f>IF(OR($IW15=0,calcA!$A$6=0),0,IF(CI$117=1,CI15,0)+IF(CJ$117=1,CK15,0))</f>
        <v/>
      </c>
      <c r="CK185">
        <f>IF(OR($IW15=0,calcA!$A$6=0),0,IF(CJ$117=1,CJ15,0)+IF(CK$117=1,CL15,0))</f>
        <v/>
      </c>
      <c r="CL185">
        <f>IF(OR($IW15=0,calcA!$A$6=0),0,IF(CK$117=1,CK15,0)+IF(CL$117=1,CM15,0))</f>
        <v/>
      </c>
      <c r="CM185">
        <f>IF(OR($IW15=0,calcA!$A$6=0),0,IF(CL$117=1,CL15,0)+IF(CM$117=1,CN15,0))</f>
        <v/>
      </c>
      <c r="CN185">
        <f>IF(OR($IW15=0,calcA!$A$6=0),0,IF(CM$117=1,CM15,0)+IF(CN$117=1,CO15,0))</f>
        <v/>
      </c>
      <c r="CO185">
        <f>IF(OR($IW15=0,calcA!$A$6=0),0,IF(CN$117=1,CN15,0)+IF(CO$117=1,CP15,0))</f>
        <v/>
      </c>
      <c r="CP185">
        <f>IF(OR($IW15=0,calcA!$A$6=0),0,IF(CO$117=1,CO15,0)+IF(CP$117=1,CQ15,0))</f>
        <v/>
      </c>
      <c r="CQ185">
        <f>IF(OR($IW15=0,calcA!$A$6=0),0,IF(CP$117=1,CP15,0)+IF(CQ$117=1,CR15,0))</f>
        <v/>
      </c>
      <c r="CR185">
        <f>IF(OR($IW15=0,calcA!$A$6=0),0,IF(CQ$117=1,CQ15,0)+IF(CR$117=1,CS15,0))</f>
        <v/>
      </c>
      <c r="CS185">
        <f>IF(OR($IW15=0,calcA!$A$6=0),0,IF(CR$117=1,CR15,0)+IF(CS$117=1,CT15,0))</f>
        <v/>
      </c>
      <c r="CT185">
        <f>IF(OR($IW15=0,calcA!$A$6=0),0,IF(CS$117=1,CS15,0)+IF(CT$117=1,CU15,0))</f>
        <v/>
      </c>
      <c r="CU185">
        <f>IF(OR($IW15=0,calcA!$A$6=0),0,IF(CT$117=1,CT15,0))</f>
        <v/>
      </c>
      <c r="CV185">
        <f>IF(OR($IW15=0,calcA!$A$6=0),0,IF(CV$117=1,CW15,0))</f>
        <v/>
      </c>
      <c r="CW185">
        <f>IF(OR($IW15=0,calcA!$A$6=0),0,IF(CV$117=1,CV15,0)+IF(CW$117=1,CX15,0))</f>
        <v/>
      </c>
      <c r="CX185">
        <f>IF(OR($IW15=0,calcA!$A$6=0),0,IF(CW$117=1,CW15,0)+IF(CX$117=1,CY15,0))</f>
        <v/>
      </c>
      <c r="CY185">
        <f>IF(OR($IW15=0,calcA!$A$6=0),0,IF(CX$117=1,CX15,0)+IF(CY$117=1,CZ15,0))</f>
        <v/>
      </c>
      <c r="CZ185">
        <f>IF(OR($IW15=0,calcA!$A$6=0),0,IF(CY$117=1,CY15,0)+IF(CZ$117=1,DA15,0))</f>
        <v/>
      </c>
      <c r="DA185">
        <f>IF(OR($IW15=0,calcA!$A$6=0),0,IF(CZ$117=1,CZ15,0)+IF(DA$117=1,DB15,0))</f>
        <v/>
      </c>
      <c r="DB185">
        <f>IF(OR($IW15=0,calcA!$A$6=0),0,IF(DA$117=1,DA15,0)+IF(DB$117=1,DC15,0))</f>
        <v/>
      </c>
      <c r="DC185">
        <f>IF(OR($IW15=0,calcA!$A$6=0),0,IF(DB$117=1,DB15,0)+IF(DC$117=1,DD15,0))</f>
        <v/>
      </c>
      <c r="DD185">
        <f>IF(OR($IW15=0,calcA!$A$6=0),0,IF(DC$117=1,DC15,0)+IF(DD$117=1,DE15,0))</f>
        <v/>
      </c>
      <c r="DE185">
        <f>IF(OR($IW15=0,calcA!$A$6=0),0,IF(DD$117=1,DD15,0)+IF(DE$117=1,DF15,0))</f>
        <v/>
      </c>
      <c r="DF185">
        <f>IF(OR($IW15=0,calcA!$A$6=0),0,IF(DE$117=1,DE15,0)+IF(DF$117=1,DG15,0))</f>
        <v/>
      </c>
      <c r="DG185">
        <f>IF(OR($IW15=0,calcA!$A$6=0),0,IF(DF$117=1,DF15,0)+IF(DG$117=1,DH15,0))</f>
        <v/>
      </c>
      <c r="DH185">
        <f>IF(OR($IW15=0,calcA!$A$6=0),0,IF(DG$117=1,DG15,0)+IF(DH$117=1,DI15,0))</f>
        <v/>
      </c>
      <c r="DI185">
        <f>IF(OR($IW15=0,calcA!$A$6=0),0,IF(DH$117=1,DH15,0)+IF(DI$117=1,DJ15,0))</f>
        <v/>
      </c>
      <c r="DJ185">
        <f>IF(OR($IW15=0,calcA!$A$6=0),0,IF(DI$117=1,DI15,0)+IF(DJ$117=1,DK15,0))</f>
        <v/>
      </c>
      <c r="DK185">
        <f>IF(OR($IW15=0,calcA!$A$6=0),0,IF(DJ$117=1,DJ15,0)+IF(DK$117=1,DL15,0))</f>
        <v/>
      </c>
      <c r="DL185">
        <f>IF(OR($IW15=0,calcA!$A$6=0),0,IF(DK$117=1,DK15,0)+IF(DL$117=1,DM15,0))</f>
        <v/>
      </c>
      <c r="DM185">
        <f>IF(OR($IW15=0,calcA!$A$6=0),0,IF(DL$117=1,DL15,0)+IF(DM$117=1,DN15,0))</f>
        <v/>
      </c>
      <c r="DN185">
        <f>IF(OR($IW15=0,calcA!$A$6=0),0,IF(DM$117=1,DM15,0)+IF(DN$117=1,DO15,0))</f>
        <v/>
      </c>
      <c r="DO185">
        <f>IF(OR($IW15=0,calcA!$A$6=0),0,IF(DN$117=1,DN15,0)+IF(DO$117=1,DP15,0))</f>
        <v/>
      </c>
      <c r="DP185">
        <f>IF(OR($IW15=0,calcA!$A$6=0),0,IF(DO$117=1,DO15,0)+IF(DP$117=1,DQ15,0))</f>
        <v/>
      </c>
      <c r="DQ185">
        <f>IF(OR($IW15=0,calcA!$A$6=0),0,IF(DP$117=1,DP15,0)+IF(DQ$117=1,DR15,0))</f>
        <v/>
      </c>
      <c r="DR185">
        <f>IF(OR($IW15=0,calcA!$A$6=0),0,IF(DQ$117=1,DQ15,0)+IF(DR$117=1,DS15,0))</f>
        <v/>
      </c>
      <c r="DS185">
        <f>IF(OR($IW15=0,calcA!$A$6=0),0,IF(DR$117=1,DR15,0))</f>
        <v/>
      </c>
      <c r="DT185">
        <f>IF(OR($IW15=0,calcA!$A$6=0),0,IF(DT$117=1,DU15,0))</f>
        <v/>
      </c>
      <c r="DU185">
        <f>IF(OR($IW15=0,calcA!$A$6=0),0,IF(DT$117=1,DT15,0)+IF(DU$117=1,DV15,0))</f>
        <v/>
      </c>
      <c r="DV185">
        <f>IF(OR($IW15=0,calcA!$A$6=0),0,IF(DU$117=1,DU15,0)+IF(DV$117=1,DW15,0))</f>
        <v/>
      </c>
      <c r="DW185">
        <f>IF(OR($IW15=0,calcA!$A$6=0),0,IF(DV$117=1,DV15,0)+IF(DW$117=1,DX15,0))</f>
        <v/>
      </c>
      <c r="DX185">
        <f>IF(OR($IW15=0,calcA!$A$6=0),0,IF(DW$117=1,DW15,0)+IF(DX$117=1,DY15,0))</f>
        <v/>
      </c>
      <c r="DY185">
        <f>IF(OR($IW15=0,calcA!$A$6=0),0,IF(DX$117=1,DX15,0)+IF(DY$117=1,DZ15,0))</f>
        <v/>
      </c>
      <c r="DZ185">
        <f>IF(OR($IW15=0,calcA!$A$6=0),0,IF(DY$117=1,DY15,0)+IF(DZ$117=1,EA15,0))</f>
        <v/>
      </c>
      <c r="EA185">
        <f>IF(OR($IW15=0,calcA!$A$6=0),0,IF(DZ$117=1,DZ15,0)+IF(EA$117=1,EB15,0))</f>
        <v/>
      </c>
      <c r="EB185">
        <f>IF(OR($IW15=0,calcA!$A$6=0),0,IF(EA$117=1,EA15,0)+IF(EB$117=1,EC15,0))</f>
        <v/>
      </c>
      <c r="EC185">
        <f>IF(OR($IW15=0,calcA!$A$6=0),0,IF(EB$117=1,EB15,0)+IF(EC$117=1,ED15,0))</f>
        <v/>
      </c>
      <c r="ED185">
        <f>IF(OR($IW15=0,calcA!$A$6=0),0,IF(EC$117=1,EC15,0)+IF(ED$117=1,EE15,0))</f>
        <v/>
      </c>
      <c r="EE185">
        <f>IF(OR($IW15=0,calcA!$A$6=0),0,IF(ED$117=1,ED15,0)+IF(EE$117=1,EF15,0))</f>
        <v/>
      </c>
      <c r="EF185">
        <f>IF(OR($IW15=0,calcA!$A$6=0),0,IF(EE$117=1,EE15,0)+IF(EF$117=1,EG15,0))</f>
        <v/>
      </c>
      <c r="EG185">
        <f>IF(OR($IW15=0,calcA!$A$6=0),0,IF(EF$117=1,EF15,0)+IF(EG$117=1,EH15,0))</f>
        <v/>
      </c>
      <c r="EH185">
        <f>IF(OR($IW15=0,calcA!$A$6=0),0,IF(EG$117=1,EG15,0)+IF(EH$117=1,EI15,0))</f>
        <v/>
      </c>
      <c r="EI185">
        <f>IF(OR($IW15=0,calcA!$A$6=0),0,IF(EH$117=1,EH15,0)+IF(EI$117=1,EJ15,0))</f>
        <v/>
      </c>
      <c r="EJ185">
        <f>IF(OR($IW15=0,calcA!$A$6=0),0,IF(EI$117=1,EI15,0)+IF(EJ$117=1,EK15,0))</f>
        <v/>
      </c>
      <c r="EK185">
        <f>IF(OR($IW15=0,calcA!$A$6=0),0,IF(EJ$117=1,EJ15,0)+IF(EK$117=1,EL15,0))</f>
        <v/>
      </c>
      <c r="EL185">
        <f>IF(OR($IW15=0,calcA!$A$6=0),0,IF(EK$117=1,EK15,0)+IF(EL$117=1,EM15,0))</f>
        <v/>
      </c>
      <c r="EM185">
        <f>IF(OR($IW15=0,calcA!$A$6=0),0,IF(EL$117=1,EL15,0)+IF(EM$117=1,EN15,0))</f>
        <v/>
      </c>
      <c r="EN185">
        <f>IF(OR($IW15=0,calcA!$A$6=0),0,IF(EM$117=1,EM15,0)+IF(EN$117=1,EO15,0))</f>
        <v/>
      </c>
      <c r="EO185">
        <f>IF(OR($IW15=0,calcA!$A$6=0),0,IF(EN$117=1,EN15,0)+IF(EO$117=1,EP15,0))</f>
        <v/>
      </c>
      <c r="EP185">
        <f>IF(OR($IW15=0,calcA!$A$6=0),0,IF(EO$117=1,EO15,0)+IF(EP$117=1,EQ15,0))</f>
        <v/>
      </c>
      <c r="EQ185">
        <f>IF(OR($IW15=0,calcA!$A$6=0),0,IF(EP$117=1,EP15,0))</f>
        <v/>
      </c>
    </row>
    <row r="186">
      <c r="D186">
        <f>IF(OR($IW16=0,calcA!$A$6=0),0,IF(D$117=1,E16,0))</f>
        <v/>
      </c>
      <c r="E186">
        <f>IF(OR($IW16=0,calcA!$A$6=0),0,IF(D$117=1,D16,0)+IF(E$117=1,F16,0))</f>
        <v/>
      </c>
      <c r="F186">
        <f>IF(OR($IW16=0,calcA!$A$6=0),0,IF(E$117=1,E16,0)+IF(F$117=1,G16,0))</f>
        <v/>
      </c>
      <c r="G186">
        <f>IF(OR($IW16=0,calcA!$A$6=0),0,IF(F$117=1,F16,0)+IF(G$117=1,H16,0))</f>
        <v/>
      </c>
      <c r="H186">
        <f>IF(OR($IW16=0,calcA!$A$6=0),0,IF(G$117=1,G16,0)+IF(H$117=1,I16,0))</f>
        <v/>
      </c>
      <c r="I186">
        <f>IF(OR($IW16=0,calcA!$A$6=0),0,IF(H$117=1,H16,0)+IF(I$117=1,J16,0))</f>
        <v/>
      </c>
      <c r="J186">
        <f>IF(OR($IW16=0,calcA!$A$6=0),0,IF(I$117=1,I16,0)+IF(J$117=1,K16,0))</f>
        <v/>
      </c>
      <c r="K186">
        <f>IF(OR($IW16=0,calcA!$A$6=0),0,IF(J$117=1,J16,0)+IF(K$117=1,L16,0))</f>
        <v/>
      </c>
      <c r="L186">
        <f>IF(OR($IW16=0,calcA!$A$6=0),0,IF(K$117=1,K16,0)+IF(L$117=1,M16,0))</f>
        <v/>
      </c>
      <c r="M186">
        <f>IF(OR($IW16=0,calcA!$A$6=0),0,IF(L$117=1,L16,0)+IF(M$117=1,N16,0))</f>
        <v/>
      </c>
      <c r="N186">
        <f>IF(OR($IW16=0,calcA!$A$6=0),0,IF(M$117=1,M16,0)+IF(N$117=1,O16,0))</f>
        <v/>
      </c>
      <c r="O186">
        <f>IF(OR($IW16=0,calcA!$A$6=0),0,IF(N$117=1,N16,0)+IF(O$117=1,P16,0))</f>
        <v/>
      </c>
      <c r="P186">
        <f>IF(OR($IW16=0,calcA!$A$6=0),0,IF(O$117=1,O16,0)+IF(P$117=1,Q16,0))</f>
        <v/>
      </c>
      <c r="Q186">
        <f>IF(OR($IW16=0,calcA!$A$6=0),0,IF(P$117=1,P16,0)+IF(Q$117=1,R16,0))</f>
        <v/>
      </c>
      <c r="R186">
        <f>IF(OR($IW16=0,calcA!$A$6=0),0,IF(Q$117=1,Q16,0)+IF(R$117=1,S16,0))</f>
        <v/>
      </c>
      <c r="S186">
        <f>IF(OR($IW16=0,calcA!$A$6=0),0,IF(R$117=1,R16,0)+IF(S$117=1,T16,0))</f>
        <v/>
      </c>
      <c r="T186">
        <f>IF(OR($IW16=0,calcA!$A$6=0),0,IF(S$117=1,S16,0)+IF(T$117=1,U16,0))</f>
        <v/>
      </c>
      <c r="U186">
        <f>IF(OR($IW16=0,calcA!$A$6=0),0,IF(T$117=1,T16,0)+IF(U$117=1,V16,0))</f>
        <v/>
      </c>
      <c r="V186">
        <f>IF(OR($IW16=0,calcA!$A$6=0),0,IF(U$117=1,U16,0)+IF(V$117=1,W16,0))</f>
        <v/>
      </c>
      <c r="W186">
        <f>IF(OR($IW16=0,calcA!$A$6=0),0,IF(V$117=1,V16,0)+IF(W$117=1,X16,0))</f>
        <v/>
      </c>
      <c r="X186">
        <f>IF(OR($IW16=0,calcA!$A$6=0),0,IF(W$117=1,W16,0)+IF(X$117=1,Y16,0))</f>
        <v/>
      </c>
      <c r="Y186">
        <f>IF(OR($IW16=0,calcA!$A$6=0),0,IF(X$117=1,X16,0)+IF(Y$117=1,Z16,0))</f>
        <v/>
      </c>
      <c r="Z186">
        <f>IF(OR($IW16=0,calcA!$A$6=0),0,IF(Y$117=1,Y16,0)+IF(Z$117=1,AA16,0))</f>
        <v/>
      </c>
      <c r="AA186">
        <f>IF(OR($IW16=0,calcA!$A$6=0),0,IF(Z$117=1,Z16,0))</f>
        <v/>
      </c>
      <c r="AB186">
        <f>IF(OR($IW16=0,calcA!$A$6=0),0,IF(AB$117=1,AC16,0))</f>
        <v/>
      </c>
      <c r="AC186">
        <f>IF(OR($IW16=0,calcA!$A$6=0),0,IF(AB$117=1,AB16,0)+IF(AC$117=1,AD16,0))</f>
        <v/>
      </c>
      <c r="AD186">
        <f>IF(OR($IW16=0,calcA!$A$6=0),0,IF(AC$117=1,AC16,0)+IF(AD$117=1,AE16,0))</f>
        <v/>
      </c>
      <c r="AE186">
        <f>IF(OR($IW16=0,calcA!$A$6=0),0,IF(AD$117=1,AD16,0)+IF(AE$117=1,AF16,0))</f>
        <v/>
      </c>
      <c r="AF186">
        <f>IF(OR($IW16=0,calcA!$A$6=0),0,IF(AE$117=1,AE16,0)+IF(AF$117=1,AG16,0))</f>
        <v/>
      </c>
      <c r="AG186">
        <f>IF(OR($IW16=0,calcA!$A$6=0),0,IF(AF$117=1,AF16,0)+IF(AG$117=1,AH16,0))</f>
        <v/>
      </c>
      <c r="AH186">
        <f>IF(OR($IW16=0,calcA!$A$6=0),0,IF(AG$117=1,AG16,0)+IF(AH$117=1,AI16,0))</f>
        <v/>
      </c>
      <c r="AI186">
        <f>IF(OR($IW16=0,calcA!$A$6=0),0,IF(AH$117=1,AH16,0)+IF(AI$117=1,AJ16,0))</f>
        <v/>
      </c>
      <c r="AJ186">
        <f>IF(OR($IW16=0,calcA!$A$6=0),0,IF(AI$117=1,AI16,0)+IF(AJ$117=1,AK16,0))</f>
        <v/>
      </c>
      <c r="AK186">
        <f>IF(OR($IW16=0,calcA!$A$6=0),0,IF(AJ$117=1,AJ16,0)+IF(AK$117=1,AL16,0))</f>
        <v/>
      </c>
      <c r="AL186">
        <f>IF(OR($IW16=0,calcA!$A$6=0),0,IF(AK$117=1,AK16,0)+IF(AL$117=1,AM16,0))</f>
        <v/>
      </c>
      <c r="AM186">
        <f>IF(OR($IW16=0,calcA!$A$6=0),0,IF(AL$117=1,AL16,0)+IF(AM$117=1,AN16,0))</f>
        <v/>
      </c>
      <c r="AN186">
        <f>IF(OR($IW16=0,calcA!$A$6=0),0,IF(AM$117=1,AM16,0)+IF(AN$117=1,AO16,0))</f>
        <v/>
      </c>
      <c r="AO186">
        <f>IF(OR($IW16=0,calcA!$A$6=0),0,IF(AN$117=1,AN16,0)+IF(AO$117=1,AP16,0))</f>
        <v/>
      </c>
      <c r="AP186">
        <f>IF(OR($IW16=0,calcA!$A$6=0),0,IF(AO$117=1,AO16,0)+IF(AP$117=1,AQ16,0))</f>
        <v/>
      </c>
      <c r="AQ186">
        <f>IF(OR($IW16=0,calcA!$A$6=0),0,IF(AP$117=1,AP16,0)+IF(AQ$117=1,AR16,0))</f>
        <v/>
      </c>
      <c r="AR186">
        <f>IF(OR($IW16=0,calcA!$A$6=0),0,IF(AQ$117=1,AQ16,0)+IF(AR$117=1,AS16,0))</f>
        <v/>
      </c>
      <c r="AS186">
        <f>IF(OR($IW16=0,calcA!$A$6=0),0,IF(AR$117=1,AR16,0)+IF(AS$117=1,AT16,0))</f>
        <v/>
      </c>
      <c r="AT186">
        <f>IF(OR($IW16=0,calcA!$A$6=0),0,IF(AS$117=1,AS16,0)+IF(AT$117=1,AU16,0))</f>
        <v/>
      </c>
      <c r="AU186">
        <f>IF(OR($IW16=0,calcA!$A$6=0),0,IF(AT$117=1,AT16,0)+IF(AU$117=1,AV16,0))</f>
        <v/>
      </c>
      <c r="AV186">
        <f>IF(OR($IW16=0,calcA!$A$6=0),0,IF(AU$117=1,AU16,0)+IF(AV$117=1,AW16,0))</f>
        <v/>
      </c>
      <c r="AW186">
        <f>IF(OR($IW16=0,calcA!$A$6=0),0,IF(AV$117=1,AV16,0)+IF(AW$117=1,AX16,0))</f>
        <v/>
      </c>
      <c r="AX186">
        <f>IF(OR($IW16=0,calcA!$A$6=0),0,IF(AW$117=1,AW16,0)+IF(AX$117=1,AY16,0))</f>
        <v/>
      </c>
      <c r="AY186">
        <f>IF(OR($IW16=0,calcA!$A$6=0),0,IF(AX$117=1,AX16,0))</f>
        <v/>
      </c>
      <c r="AZ186">
        <f>IF(OR($IW16=0,calcA!$A$6=0),0,IF(AZ$117=1,BA16,0))</f>
        <v/>
      </c>
      <c r="BA186">
        <f>IF(OR($IW16=0,calcA!$A$6=0),0,IF(AZ$117=1,AZ16,0)+IF(BA$117=1,BB16,0))</f>
        <v/>
      </c>
      <c r="BB186">
        <f>IF(OR($IW16=0,calcA!$A$6=0),0,IF(BA$117=1,BA16,0)+IF(BB$117=1,BC16,0))</f>
        <v/>
      </c>
      <c r="BC186">
        <f>IF(OR($IW16=0,calcA!$A$6=0),0,IF(BB$117=1,BB16,0)+IF(BC$117=1,BD16,0))</f>
        <v/>
      </c>
      <c r="BD186">
        <f>IF(OR($IW16=0,calcA!$A$6=0),0,IF(BC$117=1,BC16,0)+IF(BD$117=1,BE16,0))</f>
        <v/>
      </c>
      <c r="BE186">
        <f>IF(OR($IW16=0,calcA!$A$6=0),0,IF(BD$117=1,BD16,0)+IF(BE$117=1,BF16,0))</f>
        <v/>
      </c>
      <c r="BF186">
        <f>IF(OR($IW16=0,calcA!$A$6=0),0,IF(BE$117=1,BE16,0)+IF(BF$117=1,BG16,0))</f>
        <v/>
      </c>
      <c r="BG186">
        <f>IF(OR($IW16=0,calcA!$A$6=0),0,IF(BF$117=1,BF16,0)+IF(BG$117=1,BH16,0))</f>
        <v/>
      </c>
      <c r="BH186">
        <f>IF(OR($IW16=0,calcA!$A$6=0),0,IF(BG$117=1,BG16,0)+IF(BH$117=1,BI16,0))</f>
        <v/>
      </c>
      <c r="BI186">
        <f>IF(OR($IW16=0,calcA!$A$6=0),0,IF(BH$117=1,BH16,0)+IF(BI$117=1,BJ16,0))</f>
        <v/>
      </c>
      <c r="BJ186">
        <f>IF(OR($IW16=0,calcA!$A$6=0),0,IF(BI$117=1,BI16,0)+IF(BJ$117=1,BK16,0))</f>
        <v/>
      </c>
      <c r="BK186">
        <f>IF(OR($IW16=0,calcA!$A$6=0),0,IF(BJ$117=1,BJ16,0)+IF(BK$117=1,BL16,0))</f>
        <v/>
      </c>
      <c r="BL186">
        <f>IF(OR($IW16=0,calcA!$A$6=0),0,IF(BK$117=1,BK16,0)+IF(BL$117=1,BM16,0))</f>
        <v/>
      </c>
      <c r="BM186">
        <f>IF(OR($IW16=0,calcA!$A$6=0),0,IF(BL$117=1,BL16,0)+IF(BM$117=1,BN16,0))</f>
        <v/>
      </c>
      <c r="BN186">
        <f>IF(OR($IW16=0,calcA!$A$6=0),0,IF(BM$117=1,BM16,0)+IF(BN$117=1,BO16,0))</f>
        <v/>
      </c>
      <c r="BO186">
        <f>IF(OR($IW16=0,calcA!$A$6=0),0,IF(BN$117=1,BN16,0)+IF(BO$117=1,BP16,0))</f>
        <v/>
      </c>
      <c r="BP186">
        <f>IF(OR($IW16=0,calcA!$A$6=0),0,IF(BO$117=1,BO16,0)+IF(BP$117=1,BQ16,0))</f>
        <v/>
      </c>
      <c r="BQ186">
        <f>IF(OR($IW16=0,calcA!$A$6=0),0,IF(BP$117=1,BP16,0)+IF(BQ$117=1,BR16,0))</f>
        <v/>
      </c>
      <c r="BR186">
        <f>IF(OR($IW16=0,calcA!$A$6=0),0,IF(BQ$117=1,BQ16,0)+IF(BR$117=1,BS16,0))</f>
        <v/>
      </c>
      <c r="BS186">
        <f>IF(OR($IW16=0,calcA!$A$6=0),0,IF(BR$117=1,BR16,0)+IF(BS$117=1,BT16,0))</f>
        <v/>
      </c>
      <c r="BT186">
        <f>IF(OR($IW16=0,calcA!$A$6=0),0,IF(BS$117=1,BS16,0)+IF(BT$117=1,BU16,0))</f>
        <v/>
      </c>
      <c r="BU186">
        <f>IF(OR($IW16=0,calcA!$A$6=0),0,IF(BT$117=1,BT16,0)+IF(BU$117=1,BV16,0))</f>
        <v/>
      </c>
      <c r="BV186">
        <f>IF(OR($IW16=0,calcA!$A$6=0),0,IF(BU$117=1,BU16,0)+IF(BV$117=1,BW16,0))</f>
        <v/>
      </c>
      <c r="BW186">
        <f>IF(OR($IW16=0,calcA!$A$6=0),0,IF(BV$117=1,BV16,0))</f>
        <v/>
      </c>
      <c r="BX186">
        <f>IF(OR($IW16=0,calcA!$A$6=0),0,IF(BX$117=1,BY16,0))</f>
        <v/>
      </c>
      <c r="BY186">
        <f>IF(OR($IW16=0,calcA!$A$6=0),0,IF(BX$117=1,BX16,0)+IF(BY$117=1,BZ16,0))</f>
        <v/>
      </c>
      <c r="BZ186">
        <f>IF(OR($IW16=0,calcA!$A$6=0),0,IF(BY$117=1,BY16,0)+IF(BZ$117=1,CA16,0))</f>
        <v/>
      </c>
      <c r="CA186">
        <f>IF(OR($IW16=0,calcA!$A$6=0),0,IF(BZ$117=1,BZ16,0)+IF(CA$117=1,CB16,0))</f>
        <v/>
      </c>
      <c r="CB186">
        <f>IF(OR($IW16=0,calcA!$A$6=0),0,IF(CA$117=1,CA16,0)+IF(CB$117=1,CC16,0))</f>
        <v/>
      </c>
      <c r="CC186">
        <f>IF(OR($IW16=0,calcA!$A$6=0),0,IF(CB$117=1,CB16,0)+IF(CC$117=1,CD16,0))</f>
        <v/>
      </c>
      <c r="CD186">
        <f>IF(OR($IW16=0,calcA!$A$6=0),0,IF(CC$117=1,CC16,0)+IF(CD$117=1,CE16,0))</f>
        <v/>
      </c>
      <c r="CE186">
        <f>IF(OR($IW16=0,calcA!$A$6=0),0,IF(CD$117=1,CD16,0)+IF(CE$117=1,CF16,0))</f>
        <v/>
      </c>
      <c r="CF186">
        <f>IF(OR($IW16=0,calcA!$A$6=0),0,IF(CE$117=1,CE16,0)+IF(CF$117=1,CG16,0))</f>
        <v/>
      </c>
      <c r="CG186">
        <f>IF(OR($IW16=0,calcA!$A$6=0),0,IF(CF$117=1,CF16,0)+IF(CG$117=1,CH16,0))</f>
        <v/>
      </c>
      <c r="CH186">
        <f>IF(OR($IW16=0,calcA!$A$6=0),0,IF(CG$117=1,CG16,0)+IF(CH$117=1,CI16,0))</f>
        <v/>
      </c>
      <c r="CI186">
        <f>IF(OR($IW16=0,calcA!$A$6=0),0,IF(CH$117=1,CH16,0)+IF(CI$117=1,CJ16,0))</f>
        <v/>
      </c>
      <c r="CJ186">
        <f>IF(OR($IW16=0,calcA!$A$6=0),0,IF(CI$117=1,CI16,0)+IF(CJ$117=1,CK16,0))</f>
        <v/>
      </c>
      <c r="CK186">
        <f>IF(OR($IW16=0,calcA!$A$6=0),0,IF(CJ$117=1,CJ16,0)+IF(CK$117=1,CL16,0))</f>
        <v/>
      </c>
      <c r="CL186">
        <f>IF(OR($IW16=0,calcA!$A$6=0),0,IF(CK$117=1,CK16,0)+IF(CL$117=1,CM16,0))</f>
        <v/>
      </c>
      <c r="CM186">
        <f>IF(OR($IW16=0,calcA!$A$6=0),0,IF(CL$117=1,CL16,0)+IF(CM$117=1,CN16,0))</f>
        <v/>
      </c>
      <c r="CN186">
        <f>IF(OR($IW16=0,calcA!$A$6=0),0,IF(CM$117=1,CM16,0)+IF(CN$117=1,CO16,0))</f>
        <v/>
      </c>
      <c r="CO186">
        <f>IF(OR($IW16=0,calcA!$A$6=0),0,IF(CN$117=1,CN16,0)+IF(CO$117=1,CP16,0))</f>
        <v/>
      </c>
      <c r="CP186">
        <f>IF(OR($IW16=0,calcA!$A$6=0),0,IF(CO$117=1,CO16,0)+IF(CP$117=1,CQ16,0))</f>
        <v/>
      </c>
      <c r="CQ186">
        <f>IF(OR($IW16=0,calcA!$A$6=0),0,IF(CP$117=1,CP16,0)+IF(CQ$117=1,CR16,0))</f>
        <v/>
      </c>
      <c r="CR186">
        <f>IF(OR($IW16=0,calcA!$A$6=0),0,IF(CQ$117=1,CQ16,0)+IF(CR$117=1,CS16,0))</f>
        <v/>
      </c>
      <c r="CS186">
        <f>IF(OR($IW16=0,calcA!$A$6=0),0,IF(CR$117=1,CR16,0)+IF(CS$117=1,CT16,0))</f>
        <v/>
      </c>
      <c r="CT186">
        <f>IF(OR($IW16=0,calcA!$A$6=0),0,IF(CS$117=1,CS16,0)+IF(CT$117=1,CU16,0))</f>
        <v/>
      </c>
      <c r="CU186">
        <f>IF(OR($IW16=0,calcA!$A$6=0),0,IF(CT$117=1,CT16,0))</f>
        <v/>
      </c>
      <c r="CV186">
        <f>IF(OR($IW16=0,calcA!$A$6=0),0,IF(CV$117=1,CW16,0))</f>
        <v/>
      </c>
      <c r="CW186">
        <f>IF(OR($IW16=0,calcA!$A$6=0),0,IF(CV$117=1,CV16,0)+IF(CW$117=1,CX16,0))</f>
        <v/>
      </c>
      <c r="CX186">
        <f>IF(OR($IW16=0,calcA!$A$6=0),0,IF(CW$117=1,CW16,0)+IF(CX$117=1,CY16,0))</f>
        <v/>
      </c>
      <c r="CY186">
        <f>IF(OR($IW16=0,calcA!$A$6=0),0,IF(CX$117=1,CX16,0)+IF(CY$117=1,CZ16,0))</f>
        <v/>
      </c>
      <c r="CZ186">
        <f>IF(OR($IW16=0,calcA!$A$6=0),0,IF(CY$117=1,CY16,0)+IF(CZ$117=1,DA16,0))</f>
        <v/>
      </c>
      <c r="DA186">
        <f>IF(OR($IW16=0,calcA!$A$6=0),0,IF(CZ$117=1,CZ16,0)+IF(DA$117=1,DB16,0))</f>
        <v/>
      </c>
      <c r="DB186">
        <f>IF(OR($IW16=0,calcA!$A$6=0),0,IF(DA$117=1,DA16,0)+IF(DB$117=1,DC16,0))</f>
        <v/>
      </c>
      <c r="DC186">
        <f>IF(OR($IW16=0,calcA!$A$6=0),0,IF(DB$117=1,DB16,0)+IF(DC$117=1,DD16,0))</f>
        <v/>
      </c>
      <c r="DD186">
        <f>IF(OR($IW16=0,calcA!$A$6=0),0,IF(DC$117=1,DC16,0)+IF(DD$117=1,DE16,0))</f>
        <v/>
      </c>
      <c r="DE186">
        <f>IF(OR($IW16=0,calcA!$A$6=0),0,IF(DD$117=1,DD16,0)+IF(DE$117=1,DF16,0))</f>
        <v/>
      </c>
      <c r="DF186">
        <f>IF(OR($IW16=0,calcA!$A$6=0),0,IF(DE$117=1,DE16,0)+IF(DF$117=1,DG16,0))</f>
        <v/>
      </c>
      <c r="DG186">
        <f>IF(OR($IW16=0,calcA!$A$6=0),0,IF(DF$117=1,DF16,0)+IF(DG$117=1,DH16,0))</f>
        <v/>
      </c>
      <c r="DH186">
        <f>IF(OR($IW16=0,calcA!$A$6=0),0,IF(DG$117=1,DG16,0)+IF(DH$117=1,DI16,0))</f>
        <v/>
      </c>
      <c r="DI186">
        <f>IF(OR($IW16=0,calcA!$A$6=0),0,IF(DH$117=1,DH16,0)+IF(DI$117=1,DJ16,0))</f>
        <v/>
      </c>
      <c r="DJ186">
        <f>IF(OR($IW16=0,calcA!$A$6=0),0,IF(DI$117=1,DI16,0)+IF(DJ$117=1,DK16,0))</f>
        <v/>
      </c>
      <c r="DK186">
        <f>IF(OR($IW16=0,calcA!$A$6=0),0,IF(DJ$117=1,DJ16,0)+IF(DK$117=1,DL16,0))</f>
        <v/>
      </c>
      <c r="DL186">
        <f>IF(OR($IW16=0,calcA!$A$6=0),0,IF(DK$117=1,DK16,0)+IF(DL$117=1,DM16,0))</f>
        <v/>
      </c>
      <c r="DM186">
        <f>IF(OR($IW16=0,calcA!$A$6=0),0,IF(DL$117=1,DL16,0)+IF(DM$117=1,DN16,0))</f>
        <v/>
      </c>
      <c r="DN186">
        <f>IF(OR($IW16=0,calcA!$A$6=0),0,IF(DM$117=1,DM16,0)+IF(DN$117=1,DO16,0))</f>
        <v/>
      </c>
      <c r="DO186">
        <f>IF(OR($IW16=0,calcA!$A$6=0),0,IF(DN$117=1,DN16,0)+IF(DO$117=1,DP16,0))</f>
        <v/>
      </c>
      <c r="DP186">
        <f>IF(OR($IW16=0,calcA!$A$6=0),0,IF(DO$117=1,DO16,0)+IF(DP$117=1,DQ16,0))</f>
        <v/>
      </c>
      <c r="DQ186">
        <f>IF(OR($IW16=0,calcA!$A$6=0),0,IF(DP$117=1,DP16,0)+IF(DQ$117=1,DR16,0))</f>
        <v/>
      </c>
      <c r="DR186">
        <f>IF(OR($IW16=0,calcA!$A$6=0),0,IF(DQ$117=1,DQ16,0)+IF(DR$117=1,DS16,0))</f>
        <v/>
      </c>
      <c r="DS186">
        <f>IF(OR($IW16=0,calcA!$A$6=0),0,IF(DR$117=1,DR16,0))</f>
        <v/>
      </c>
      <c r="DT186">
        <f>IF(OR($IW16=0,calcA!$A$6=0),0,IF(DT$117=1,DU16,0))</f>
        <v/>
      </c>
      <c r="DU186">
        <f>IF(OR($IW16=0,calcA!$A$6=0),0,IF(DT$117=1,DT16,0)+IF(DU$117=1,DV16,0))</f>
        <v/>
      </c>
      <c r="DV186">
        <f>IF(OR($IW16=0,calcA!$A$6=0),0,IF(DU$117=1,DU16,0)+IF(DV$117=1,DW16,0))</f>
        <v/>
      </c>
      <c r="DW186">
        <f>IF(OR($IW16=0,calcA!$A$6=0),0,IF(DV$117=1,DV16,0)+IF(DW$117=1,DX16,0))</f>
        <v/>
      </c>
      <c r="DX186">
        <f>IF(OR($IW16=0,calcA!$A$6=0),0,IF(DW$117=1,DW16,0)+IF(DX$117=1,DY16,0))</f>
        <v/>
      </c>
      <c r="DY186">
        <f>IF(OR($IW16=0,calcA!$A$6=0),0,IF(DX$117=1,DX16,0)+IF(DY$117=1,DZ16,0))</f>
        <v/>
      </c>
      <c r="DZ186">
        <f>IF(OR($IW16=0,calcA!$A$6=0),0,IF(DY$117=1,DY16,0)+IF(DZ$117=1,EA16,0))</f>
        <v/>
      </c>
      <c r="EA186">
        <f>IF(OR($IW16=0,calcA!$A$6=0),0,IF(DZ$117=1,DZ16,0)+IF(EA$117=1,EB16,0))</f>
        <v/>
      </c>
      <c r="EB186">
        <f>IF(OR($IW16=0,calcA!$A$6=0),0,IF(EA$117=1,EA16,0)+IF(EB$117=1,EC16,0))</f>
        <v/>
      </c>
      <c r="EC186">
        <f>IF(OR($IW16=0,calcA!$A$6=0),0,IF(EB$117=1,EB16,0)+IF(EC$117=1,ED16,0))</f>
        <v/>
      </c>
      <c r="ED186">
        <f>IF(OR($IW16=0,calcA!$A$6=0),0,IF(EC$117=1,EC16,0)+IF(ED$117=1,EE16,0))</f>
        <v/>
      </c>
      <c r="EE186">
        <f>IF(OR($IW16=0,calcA!$A$6=0),0,IF(ED$117=1,ED16,0)+IF(EE$117=1,EF16,0))</f>
        <v/>
      </c>
      <c r="EF186">
        <f>IF(OR($IW16=0,calcA!$A$6=0),0,IF(EE$117=1,EE16,0)+IF(EF$117=1,EG16,0))</f>
        <v/>
      </c>
      <c r="EG186">
        <f>IF(OR($IW16=0,calcA!$A$6=0),0,IF(EF$117=1,EF16,0)+IF(EG$117=1,EH16,0))</f>
        <v/>
      </c>
      <c r="EH186">
        <f>IF(OR($IW16=0,calcA!$A$6=0),0,IF(EG$117=1,EG16,0)+IF(EH$117=1,EI16,0))</f>
        <v/>
      </c>
      <c r="EI186">
        <f>IF(OR($IW16=0,calcA!$A$6=0),0,IF(EH$117=1,EH16,0)+IF(EI$117=1,EJ16,0))</f>
        <v/>
      </c>
      <c r="EJ186">
        <f>IF(OR($IW16=0,calcA!$A$6=0),0,IF(EI$117=1,EI16,0)+IF(EJ$117=1,EK16,0))</f>
        <v/>
      </c>
      <c r="EK186">
        <f>IF(OR($IW16=0,calcA!$A$6=0),0,IF(EJ$117=1,EJ16,0)+IF(EK$117=1,EL16,0))</f>
        <v/>
      </c>
      <c r="EL186">
        <f>IF(OR($IW16=0,calcA!$A$6=0),0,IF(EK$117=1,EK16,0)+IF(EL$117=1,EM16,0))</f>
        <v/>
      </c>
      <c r="EM186">
        <f>IF(OR($IW16=0,calcA!$A$6=0),0,IF(EL$117=1,EL16,0)+IF(EM$117=1,EN16,0))</f>
        <v/>
      </c>
      <c r="EN186">
        <f>IF(OR($IW16=0,calcA!$A$6=0),0,IF(EM$117=1,EM16,0)+IF(EN$117=1,EO16,0))</f>
        <v/>
      </c>
      <c r="EO186">
        <f>IF(OR($IW16=0,calcA!$A$6=0),0,IF(EN$117=1,EN16,0)+IF(EO$117=1,EP16,0))</f>
        <v/>
      </c>
      <c r="EP186">
        <f>IF(OR($IW16=0,calcA!$A$6=0),0,IF(EO$117=1,EO16,0)+IF(EP$117=1,EQ16,0))</f>
        <v/>
      </c>
      <c r="EQ186">
        <f>IF(OR($IW16=0,calcA!$A$6=0),0,IF(EP$117=1,EP16,0))</f>
        <v/>
      </c>
    </row>
    <row r="187">
      <c r="D187">
        <f>IF(OR($IW17=0,calcA!$A$6=0),0,IF(D$117=1,E17,0))</f>
        <v/>
      </c>
      <c r="E187">
        <f>IF(OR($IW17=0,calcA!$A$6=0),0,IF(D$117=1,D17,0)+IF(E$117=1,F17,0))</f>
        <v/>
      </c>
      <c r="F187">
        <f>IF(OR($IW17=0,calcA!$A$6=0),0,IF(E$117=1,E17,0)+IF(F$117=1,G17,0))</f>
        <v/>
      </c>
      <c r="G187">
        <f>IF(OR($IW17=0,calcA!$A$6=0),0,IF(F$117=1,F17,0)+IF(G$117=1,H17,0))</f>
        <v/>
      </c>
      <c r="H187">
        <f>IF(OR($IW17=0,calcA!$A$6=0),0,IF(G$117=1,G17,0)+IF(H$117=1,I17,0))</f>
        <v/>
      </c>
      <c r="I187">
        <f>IF(OR($IW17=0,calcA!$A$6=0),0,IF(H$117=1,H17,0)+IF(I$117=1,J17,0))</f>
        <v/>
      </c>
      <c r="J187">
        <f>IF(OR($IW17=0,calcA!$A$6=0),0,IF(I$117=1,I17,0)+IF(J$117=1,K17,0))</f>
        <v/>
      </c>
      <c r="K187">
        <f>IF(OR($IW17=0,calcA!$A$6=0),0,IF(J$117=1,J17,0)+IF(K$117=1,L17,0))</f>
        <v/>
      </c>
      <c r="L187">
        <f>IF(OR($IW17=0,calcA!$A$6=0),0,IF(K$117=1,K17,0)+IF(L$117=1,M17,0))</f>
        <v/>
      </c>
      <c r="M187">
        <f>IF(OR($IW17=0,calcA!$A$6=0),0,IF(L$117=1,L17,0)+IF(M$117=1,N17,0))</f>
        <v/>
      </c>
      <c r="N187">
        <f>IF(OR($IW17=0,calcA!$A$6=0),0,IF(M$117=1,M17,0)+IF(N$117=1,O17,0))</f>
        <v/>
      </c>
      <c r="O187">
        <f>IF(OR($IW17=0,calcA!$A$6=0),0,IF(N$117=1,N17,0)+IF(O$117=1,P17,0))</f>
        <v/>
      </c>
      <c r="P187">
        <f>IF(OR($IW17=0,calcA!$A$6=0),0,IF(O$117=1,O17,0)+IF(P$117=1,Q17,0))</f>
        <v/>
      </c>
      <c r="Q187">
        <f>IF(OR($IW17=0,calcA!$A$6=0),0,IF(P$117=1,P17,0)+IF(Q$117=1,R17,0))</f>
        <v/>
      </c>
      <c r="R187">
        <f>IF(OR($IW17=0,calcA!$A$6=0),0,IF(Q$117=1,Q17,0)+IF(R$117=1,S17,0))</f>
        <v/>
      </c>
      <c r="S187">
        <f>IF(OR($IW17=0,calcA!$A$6=0),0,IF(R$117=1,R17,0)+IF(S$117=1,T17,0))</f>
        <v/>
      </c>
      <c r="T187">
        <f>IF(OR($IW17=0,calcA!$A$6=0),0,IF(S$117=1,S17,0)+IF(T$117=1,U17,0))</f>
        <v/>
      </c>
      <c r="U187">
        <f>IF(OR($IW17=0,calcA!$A$6=0),0,IF(T$117=1,T17,0)+IF(U$117=1,V17,0))</f>
        <v/>
      </c>
      <c r="V187">
        <f>IF(OR($IW17=0,calcA!$A$6=0),0,IF(U$117=1,U17,0)+IF(V$117=1,W17,0))</f>
        <v/>
      </c>
      <c r="W187">
        <f>IF(OR($IW17=0,calcA!$A$6=0),0,IF(V$117=1,V17,0)+IF(W$117=1,X17,0))</f>
        <v/>
      </c>
      <c r="X187">
        <f>IF(OR($IW17=0,calcA!$A$6=0),0,IF(W$117=1,W17,0)+IF(X$117=1,Y17,0))</f>
        <v/>
      </c>
      <c r="Y187">
        <f>IF(OR($IW17=0,calcA!$A$6=0),0,IF(X$117=1,X17,0)+IF(Y$117=1,Z17,0))</f>
        <v/>
      </c>
      <c r="Z187">
        <f>IF(OR($IW17=0,calcA!$A$6=0),0,IF(Y$117=1,Y17,0)+IF(Z$117=1,AA17,0))</f>
        <v/>
      </c>
      <c r="AA187">
        <f>IF(OR($IW17=0,calcA!$A$6=0),0,IF(Z$117=1,Z17,0))</f>
        <v/>
      </c>
      <c r="AB187">
        <f>IF(OR($IW17=0,calcA!$A$6=0),0,IF(AB$117=1,AC17,0))</f>
        <v/>
      </c>
      <c r="AC187">
        <f>IF(OR($IW17=0,calcA!$A$6=0),0,IF(AB$117=1,AB17,0)+IF(AC$117=1,AD17,0))</f>
        <v/>
      </c>
      <c r="AD187">
        <f>IF(OR($IW17=0,calcA!$A$6=0),0,IF(AC$117=1,AC17,0)+IF(AD$117=1,AE17,0))</f>
        <v/>
      </c>
      <c r="AE187">
        <f>IF(OR($IW17=0,calcA!$A$6=0),0,IF(AD$117=1,AD17,0)+IF(AE$117=1,AF17,0))</f>
        <v/>
      </c>
      <c r="AF187">
        <f>IF(OR($IW17=0,calcA!$A$6=0),0,IF(AE$117=1,AE17,0)+IF(AF$117=1,AG17,0))</f>
        <v/>
      </c>
      <c r="AG187">
        <f>IF(OR($IW17=0,calcA!$A$6=0),0,IF(AF$117=1,AF17,0)+IF(AG$117=1,AH17,0))</f>
        <v/>
      </c>
      <c r="AH187">
        <f>IF(OR($IW17=0,calcA!$A$6=0),0,IF(AG$117=1,AG17,0)+IF(AH$117=1,AI17,0))</f>
        <v/>
      </c>
      <c r="AI187">
        <f>IF(OR($IW17=0,calcA!$A$6=0),0,IF(AH$117=1,AH17,0)+IF(AI$117=1,AJ17,0))</f>
        <v/>
      </c>
      <c r="AJ187">
        <f>IF(OR($IW17=0,calcA!$A$6=0),0,IF(AI$117=1,AI17,0)+IF(AJ$117=1,AK17,0))</f>
        <v/>
      </c>
      <c r="AK187">
        <f>IF(OR($IW17=0,calcA!$A$6=0),0,IF(AJ$117=1,AJ17,0)+IF(AK$117=1,AL17,0))</f>
        <v/>
      </c>
      <c r="AL187">
        <f>IF(OR($IW17=0,calcA!$A$6=0),0,IF(AK$117=1,AK17,0)+IF(AL$117=1,AM17,0))</f>
        <v/>
      </c>
      <c r="AM187">
        <f>IF(OR($IW17=0,calcA!$A$6=0),0,IF(AL$117=1,AL17,0)+IF(AM$117=1,AN17,0))</f>
        <v/>
      </c>
      <c r="AN187">
        <f>IF(OR($IW17=0,calcA!$A$6=0),0,IF(AM$117=1,AM17,0)+IF(AN$117=1,AO17,0))</f>
        <v/>
      </c>
      <c r="AO187">
        <f>IF(OR($IW17=0,calcA!$A$6=0),0,IF(AN$117=1,AN17,0)+IF(AO$117=1,AP17,0))</f>
        <v/>
      </c>
      <c r="AP187">
        <f>IF(OR($IW17=0,calcA!$A$6=0),0,IF(AO$117=1,AO17,0)+IF(AP$117=1,AQ17,0))</f>
        <v/>
      </c>
      <c r="AQ187">
        <f>IF(OR($IW17=0,calcA!$A$6=0),0,IF(AP$117=1,AP17,0)+IF(AQ$117=1,AR17,0))</f>
        <v/>
      </c>
      <c r="AR187">
        <f>IF(OR($IW17=0,calcA!$A$6=0),0,IF(AQ$117=1,AQ17,0)+IF(AR$117=1,AS17,0))</f>
        <v/>
      </c>
      <c r="AS187">
        <f>IF(OR($IW17=0,calcA!$A$6=0),0,IF(AR$117=1,AR17,0)+IF(AS$117=1,AT17,0))</f>
        <v/>
      </c>
      <c r="AT187">
        <f>IF(OR($IW17=0,calcA!$A$6=0),0,IF(AS$117=1,AS17,0)+IF(AT$117=1,AU17,0))</f>
        <v/>
      </c>
      <c r="AU187">
        <f>IF(OR($IW17=0,calcA!$A$6=0),0,IF(AT$117=1,AT17,0)+IF(AU$117=1,AV17,0))</f>
        <v/>
      </c>
      <c r="AV187">
        <f>IF(OR($IW17=0,calcA!$A$6=0),0,IF(AU$117=1,AU17,0)+IF(AV$117=1,AW17,0))</f>
        <v/>
      </c>
      <c r="AW187">
        <f>IF(OR($IW17=0,calcA!$A$6=0),0,IF(AV$117=1,AV17,0)+IF(AW$117=1,AX17,0))</f>
        <v/>
      </c>
      <c r="AX187">
        <f>IF(OR($IW17=0,calcA!$A$6=0),0,IF(AW$117=1,AW17,0)+IF(AX$117=1,AY17,0))</f>
        <v/>
      </c>
      <c r="AY187">
        <f>IF(OR($IW17=0,calcA!$A$6=0),0,IF(AX$117=1,AX17,0))</f>
        <v/>
      </c>
      <c r="AZ187">
        <f>IF(OR($IW17=0,calcA!$A$6=0),0,IF(AZ$117=1,BA17,0))</f>
        <v/>
      </c>
      <c r="BA187">
        <f>IF(OR($IW17=0,calcA!$A$6=0),0,IF(AZ$117=1,AZ17,0)+IF(BA$117=1,BB17,0))</f>
        <v/>
      </c>
      <c r="BB187">
        <f>IF(OR($IW17=0,calcA!$A$6=0),0,IF(BA$117=1,BA17,0)+IF(BB$117=1,BC17,0))</f>
        <v/>
      </c>
      <c r="BC187">
        <f>IF(OR($IW17=0,calcA!$A$6=0),0,IF(BB$117=1,BB17,0)+IF(BC$117=1,BD17,0))</f>
        <v/>
      </c>
      <c r="BD187">
        <f>IF(OR($IW17=0,calcA!$A$6=0),0,IF(BC$117=1,BC17,0)+IF(BD$117=1,BE17,0))</f>
        <v/>
      </c>
      <c r="BE187">
        <f>IF(OR($IW17=0,calcA!$A$6=0),0,IF(BD$117=1,BD17,0)+IF(BE$117=1,BF17,0))</f>
        <v/>
      </c>
      <c r="BF187">
        <f>IF(OR($IW17=0,calcA!$A$6=0),0,IF(BE$117=1,BE17,0)+IF(BF$117=1,BG17,0))</f>
        <v/>
      </c>
      <c r="BG187">
        <f>IF(OR($IW17=0,calcA!$A$6=0),0,IF(BF$117=1,BF17,0)+IF(BG$117=1,BH17,0))</f>
        <v/>
      </c>
      <c r="BH187">
        <f>IF(OR($IW17=0,calcA!$A$6=0),0,IF(BG$117=1,BG17,0)+IF(BH$117=1,BI17,0))</f>
        <v/>
      </c>
      <c r="BI187">
        <f>IF(OR($IW17=0,calcA!$A$6=0),0,IF(BH$117=1,BH17,0)+IF(BI$117=1,BJ17,0))</f>
        <v/>
      </c>
      <c r="BJ187">
        <f>IF(OR($IW17=0,calcA!$A$6=0),0,IF(BI$117=1,BI17,0)+IF(BJ$117=1,BK17,0))</f>
        <v/>
      </c>
      <c r="BK187">
        <f>IF(OR($IW17=0,calcA!$A$6=0),0,IF(BJ$117=1,BJ17,0)+IF(BK$117=1,BL17,0))</f>
        <v/>
      </c>
      <c r="BL187">
        <f>IF(OR($IW17=0,calcA!$A$6=0),0,IF(BK$117=1,BK17,0)+IF(BL$117=1,BM17,0))</f>
        <v/>
      </c>
      <c r="BM187">
        <f>IF(OR($IW17=0,calcA!$A$6=0),0,IF(BL$117=1,BL17,0)+IF(BM$117=1,BN17,0))</f>
        <v/>
      </c>
      <c r="BN187">
        <f>IF(OR($IW17=0,calcA!$A$6=0),0,IF(BM$117=1,BM17,0)+IF(BN$117=1,BO17,0))</f>
        <v/>
      </c>
      <c r="BO187">
        <f>IF(OR($IW17=0,calcA!$A$6=0),0,IF(BN$117=1,BN17,0)+IF(BO$117=1,BP17,0))</f>
        <v/>
      </c>
      <c r="BP187">
        <f>IF(OR($IW17=0,calcA!$A$6=0),0,IF(BO$117=1,BO17,0)+IF(BP$117=1,BQ17,0))</f>
        <v/>
      </c>
      <c r="BQ187">
        <f>IF(OR($IW17=0,calcA!$A$6=0),0,IF(BP$117=1,BP17,0)+IF(BQ$117=1,BR17,0))</f>
        <v/>
      </c>
      <c r="BR187">
        <f>IF(OR($IW17=0,calcA!$A$6=0),0,IF(BQ$117=1,BQ17,0)+IF(BR$117=1,BS17,0))</f>
        <v/>
      </c>
      <c r="BS187">
        <f>IF(OR($IW17=0,calcA!$A$6=0),0,IF(BR$117=1,BR17,0)+IF(BS$117=1,BT17,0))</f>
        <v/>
      </c>
      <c r="BT187">
        <f>IF(OR($IW17=0,calcA!$A$6=0),0,IF(BS$117=1,BS17,0)+IF(BT$117=1,BU17,0))</f>
        <v/>
      </c>
      <c r="BU187">
        <f>IF(OR($IW17=0,calcA!$A$6=0),0,IF(BT$117=1,BT17,0)+IF(BU$117=1,BV17,0))</f>
        <v/>
      </c>
      <c r="BV187">
        <f>IF(OR($IW17=0,calcA!$A$6=0),0,IF(BU$117=1,BU17,0)+IF(BV$117=1,BW17,0))</f>
        <v/>
      </c>
      <c r="BW187">
        <f>IF(OR($IW17=0,calcA!$A$6=0),0,IF(BV$117=1,BV17,0))</f>
        <v/>
      </c>
      <c r="BX187">
        <f>IF(OR($IW17=0,calcA!$A$6=0),0,IF(BX$117=1,BY17,0))</f>
        <v/>
      </c>
      <c r="BY187">
        <f>IF(OR($IW17=0,calcA!$A$6=0),0,IF(BX$117=1,BX17,0)+IF(BY$117=1,BZ17,0))</f>
        <v/>
      </c>
      <c r="BZ187">
        <f>IF(OR($IW17=0,calcA!$A$6=0),0,IF(BY$117=1,BY17,0)+IF(BZ$117=1,CA17,0))</f>
        <v/>
      </c>
      <c r="CA187">
        <f>IF(OR($IW17=0,calcA!$A$6=0),0,IF(BZ$117=1,BZ17,0)+IF(CA$117=1,CB17,0))</f>
        <v/>
      </c>
      <c r="CB187">
        <f>IF(OR($IW17=0,calcA!$A$6=0),0,IF(CA$117=1,CA17,0)+IF(CB$117=1,CC17,0))</f>
        <v/>
      </c>
      <c r="CC187">
        <f>IF(OR($IW17=0,calcA!$A$6=0),0,IF(CB$117=1,CB17,0)+IF(CC$117=1,CD17,0))</f>
        <v/>
      </c>
      <c r="CD187">
        <f>IF(OR($IW17=0,calcA!$A$6=0),0,IF(CC$117=1,CC17,0)+IF(CD$117=1,CE17,0))</f>
        <v/>
      </c>
      <c r="CE187">
        <f>IF(OR($IW17=0,calcA!$A$6=0),0,IF(CD$117=1,CD17,0)+IF(CE$117=1,CF17,0))</f>
        <v/>
      </c>
      <c r="CF187">
        <f>IF(OR($IW17=0,calcA!$A$6=0),0,IF(CE$117=1,CE17,0)+IF(CF$117=1,CG17,0))</f>
        <v/>
      </c>
      <c r="CG187">
        <f>IF(OR($IW17=0,calcA!$A$6=0),0,IF(CF$117=1,CF17,0)+IF(CG$117=1,CH17,0))</f>
        <v/>
      </c>
      <c r="CH187">
        <f>IF(OR($IW17=0,calcA!$A$6=0),0,IF(CG$117=1,CG17,0)+IF(CH$117=1,CI17,0))</f>
        <v/>
      </c>
      <c r="CI187">
        <f>IF(OR($IW17=0,calcA!$A$6=0),0,IF(CH$117=1,CH17,0)+IF(CI$117=1,CJ17,0))</f>
        <v/>
      </c>
      <c r="CJ187">
        <f>IF(OR($IW17=0,calcA!$A$6=0),0,IF(CI$117=1,CI17,0)+IF(CJ$117=1,CK17,0))</f>
        <v/>
      </c>
      <c r="CK187">
        <f>IF(OR($IW17=0,calcA!$A$6=0),0,IF(CJ$117=1,CJ17,0)+IF(CK$117=1,CL17,0))</f>
        <v/>
      </c>
      <c r="CL187">
        <f>IF(OR($IW17=0,calcA!$A$6=0),0,IF(CK$117=1,CK17,0)+IF(CL$117=1,CM17,0))</f>
        <v/>
      </c>
      <c r="CM187">
        <f>IF(OR($IW17=0,calcA!$A$6=0),0,IF(CL$117=1,CL17,0)+IF(CM$117=1,CN17,0))</f>
        <v/>
      </c>
      <c r="CN187">
        <f>IF(OR($IW17=0,calcA!$A$6=0),0,IF(CM$117=1,CM17,0)+IF(CN$117=1,CO17,0))</f>
        <v/>
      </c>
      <c r="CO187">
        <f>IF(OR($IW17=0,calcA!$A$6=0),0,IF(CN$117=1,CN17,0)+IF(CO$117=1,CP17,0))</f>
        <v/>
      </c>
      <c r="CP187">
        <f>IF(OR($IW17=0,calcA!$A$6=0),0,IF(CO$117=1,CO17,0)+IF(CP$117=1,CQ17,0))</f>
        <v/>
      </c>
      <c r="CQ187">
        <f>IF(OR($IW17=0,calcA!$A$6=0),0,IF(CP$117=1,CP17,0)+IF(CQ$117=1,CR17,0))</f>
        <v/>
      </c>
      <c r="CR187">
        <f>IF(OR($IW17=0,calcA!$A$6=0),0,IF(CQ$117=1,CQ17,0)+IF(CR$117=1,CS17,0))</f>
        <v/>
      </c>
      <c r="CS187">
        <f>IF(OR($IW17=0,calcA!$A$6=0),0,IF(CR$117=1,CR17,0)+IF(CS$117=1,CT17,0))</f>
        <v/>
      </c>
      <c r="CT187">
        <f>IF(OR($IW17=0,calcA!$A$6=0),0,IF(CS$117=1,CS17,0)+IF(CT$117=1,CU17,0))</f>
        <v/>
      </c>
      <c r="CU187">
        <f>IF(OR($IW17=0,calcA!$A$6=0),0,IF(CT$117=1,CT17,0))</f>
        <v/>
      </c>
      <c r="CV187">
        <f>IF(OR($IW17=0,calcA!$A$6=0),0,IF(CV$117=1,CW17,0))</f>
        <v/>
      </c>
      <c r="CW187">
        <f>IF(OR($IW17=0,calcA!$A$6=0),0,IF(CV$117=1,CV17,0)+IF(CW$117=1,CX17,0))</f>
        <v/>
      </c>
      <c r="CX187">
        <f>IF(OR($IW17=0,calcA!$A$6=0),0,IF(CW$117=1,CW17,0)+IF(CX$117=1,CY17,0))</f>
        <v/>
      </c>
      <c r="CY187">
        <f>IF(OR($IW17=0,calcA!$A$6=0),0,IF(CX$117=1,CX17,0)+IF(CY$117=1,CZ17,0))</f>
        <v/>
      </c>
      <c r="CZ187">
        <f>IF(OR($IW17=0,calcA!$A$6=0),0,IF(CY$117=1,CY17,0)+IF(CZ$117=1,DA17,0))</f>
        <v/>
      </c>
      <c r="DA187">
        <f>IF(OR($IW17=0,calcA!$A$6=0),0,IF(CZ$117=1,CZ17,0)+IF(DA$117=1,DB17,0))</f>
        <v/>
      </c>
      <c r="DB187">
        <f>IF(OR($IW17=0,calcA!$A$6=0),0,IF(DA$117=1,DA17,0)+IF(DB$117=1,DC17,0))</f>
        <v/>
      </c>
      <c r="DC187">
        <f>IF(OR($IW17=0,calcA!$A$6=0),0,IF(DB$117=1,DB17,0)+IF(DC$117=1,DD17,0))</f>
        <v/>
      </c>
      <c r="DD187">
        <f>IF(OR($IW17=0,calcA!$A$6=0),0,IF(DC$117=1,DC17,0)+IF(DD$117=1,DE17,0))</f>
        <v/>
      </c>
      <c r="DE187">
        <f>IF(OR($IW17=0,calcA!$A$6=0),0,IF(DD$117=1,DD17,0)+IF(DE$117=1,DF17,0))</f>
        <v/>
      </c>
      <c r="DF187">
        <f>IF(OR($IW17=0,calcA!$A$6=0),0,IF(DE$117=1,DE17,0)+IF(DF$117=1,DG17,0))</f>
        <v/>
      </c>
      <c r="DG187">
        <f>IF(OR($IW17=0,calcA!$A$6=0),0,IF(DF$117=1,DF17,0)+IF(DG$117=1,DH17,0))</f>
        <v/>
      </c>
      <c r="DH187">
        <f>IF(OR($IW17=0,calcA!$A$6=0),0,IF(DG$117=1,DG17,0)+IF(DH$117=1,DI17,0))</f>
        <v/>
      </c>
      <c r="DI187">
        <f>IF(OR($IW17=0,calcA!$A$6=0),0,IF(DH$117=1,DH17,0)+IF(DI$117=1,DJ17,0))</f>
        <v/>
      </c>
      <c r="DJ187">
        <f>IF(OR($IW17=0,calcA!$A$6=0),0,IF(DI$117=1,DI17,0)+IF(DJ$117=1,DK17,0))</f>
        <v/>
      </c>
      <c r="DK187">
        <f>IF(OR($IW17=0,calcA!$A$6=0),0,IF(DJ$117=1,DJ17,0)+IF(DK$117=1,DL17,0))</f>
        <v/>
      </c>
      <c r="DL187">
        <f>IF(OR($IW17=0,calcA!$A$6=0),0,IF(DK$117=1,DK17,0)+IF(DL$117=1,DM17,0))</f>
        <v/>
      </c>
      <c r="DM187">
        <f>IF(OR($IW17=0,calcA!$A$6=0),0,IF(DL$117=1,DL17,0)+IF(DM$117=1,DN17,0))</f>
        <v/>
      </c>
      <c r="DN187">
        <f>IF(OR($IW17=0,calcA!$A$6=0),0,IF(DM$117=1,DM17,0)+IF(DN$117=1,DO17,0))</f>
        <v/>
      </c>
      <c r="DO187">
        <f>IF(OR($IW17=0,calcA!$A$6=0),0,IF(DN$117=1,DN17,0)+IF(DO$117=1,DP17,0))</f>
        <v/>
      </c>
      <c r="DP187">
        <f>IF(OR($IW17=0,calcA!$A$6=0),0,IF(DO$117=1,DO17,0)+IF(DP$117=1,DQ17,0))</f>
        <v/>
      </c>
      <c r="DQ187">
        <f>IF(OR($IW17=0,calcA!$A$6=0),0,IF(DP$117=1,DP17,0)+IF(DQ$117=1,DR17,0))</f>
        <v/>
      </c>
      <c r="DR187">
        <f>IF(OR($IW17=0,calcA!$A$6=0),0,IF(DQ$117=1,DQ17,0)+IF(DR$117=1,DS17,0))</f>
        <v/>
      </c>
      <c r="DS187">
        <f>IF(OR($IW17=0,calcA!$A$6=0),0,IF(DR$117=1,DR17,0))</f>
        <v/>
      </c>
      <c r="DT187">
        <f>IF(OR($IW17=0,calcA!$A$6=0),0,IF(DT$117=1,DU17,0))</f>
        <v/>
      </c>
      <c r="DU187">
        <f>IF(OR($IW17=0,calcA!$A$6=0),0,IF(DT$117=1,DT17,0)+IF(DU$117=1,DV17,0))</f>
        <v/>
      </c>
      <c r="DV187">
        <f>IF(OR($IW17=0,calcA!$A$6=0),0,IF(DU$117=1,DU17,0)+IF(DV$117=1,DW17,0))</f>
        <v/>
      </c>
      <c r="DW187">
        <f>IF(OR($IW17=0,calcA!$A$6=0),0,IF(DV$117=1,DV17,0)+IF(DW$117=1,DX17,0))</f>
        <v/>
      </c>
      <c r="DX187">
        <f>IF(OR($IW17=0,calcA!$A$6=0),0,IF(DW$117=1,DW17,0)+IF(DX$117=1,DY17,0))</f>
        <v/>
      </c>
      <c r="DY187">
        <f>IF(OR($IW17=0,calcA!$A$6=0),0,IF(DX$117=1,DX17,0)+IF(DY$117=1,DZ17,0))</f>
        <v/>
      </c>
      <c r="DZ187">
        <f>IF(OR($IW17=0,calcA!$A$6=0),0,IF(DY$117=1,DY17,0)+IF(DZ$117=1,EA17,0))</f>
        <v/>
      </c>
      <c r="EA187">
        <f>IF(OR($IW17=0,calcA!$A$6=0),0,IF(DZ$117=1,DZ17,0)+IF(EA$117=1,EB17,0))</f>
        <v/>
      </c>
      <c r="EB187">
        <f>IF(OR($IW17=0,calcA!$A$6=0),0,IF(EA$117=1,EA17,0)+IF(EB$117=1,EC17,0))</f>
        <v/>
      </c>
      <c r="EC187">
        <f>IF(OR($IW17=0,calcA!$A$6=0),0,IF(EB$117=1,EB17,0)+IF(EC$117=1,ED17,0))</f>
        <v/>
      </c>
      <c r="ED187">
        <f>IF(OR($IW17=0,calcA!$A$6=0),0,IF(EC$117=1,EC17,0)+IF(ED$117=1,EE17,0))</f>
        <v/>
      </c>
      <c r="EE187">
        <f>IF(OR($IW17=0,calcA!$A$6=0),0,IF(ED$117=1,ED17,0)+IF(EE$117=1,EF17,0))</f>
        <v/>
      </c>
      <c r="EF187">
        <f>IF(OR($IW17=0,calcA!$A$6=0),0,IF(EE$117=1,EE17,0)+IF(EF$117=1,EG17,0))</f>
        <v/>
      </c>
      <c r="EG187">
        <f>IF(OR($IW17=0,calcA!$A$6=0),0,IF(EF$117=1,EF17,0)+IF(EG$117=1,EH17,0))</f>
        <v/>
      </c>
      <c r="EH187">
        <f>IF(OR($IW17=0,calcA!$A$6=0),0,IF(EG$117=1,EG17,0)+IF(EH$117=1,EI17,0))</f>
        <v/>
      </c>
      <c r="EI187">
        <f>IF(OR($IW17=0,calcA!$A$6=0),0,IF(EH$117=1,EH17,0)+IF(EI$117=1,EJ17,0))</f>
        <v/>
      </c>
      <c r="EJ187">
        <f>IF(OR($IW17=0,calcA!$A$6=0),0,IF(EI$117=1,EI17,0)+IF(EJ$117=1,EK17,0))</f>
        <v/>
      </c>
      <c r="EK187">
        <f>IF(OR($IW17=0,calcA!$A$6=0),0,IF(EJ$117=1,EJ17,0)+IF(EK$117=1,EL17,0))</f>
        <v/>
      </c>
      <c r="EL187">
        <f>IF(OR($IW17=0,calcA!$A$6=0),0,IF(EK$117=1,EK17,0)+IF(EL$117=1,EM17,0))</f>
        <v/>
      </c>
      <c r="EM187">
        <f>IF(OR($IW17=0,calcA!$A$6=0),0,IF(EL$117=1,EL17,0)+IF(EM$117=1,EN17,0))</f>
        <v/>
      </c>
      <c r="EN187">
        <f>IF(OR($IW17=0,calcA!$A$6=0),0,IF(EM$117=1,EM17,0)+IF(EN$117=1,EO17,0))</f>
        <v/>
      </c>
      <c r="EO187">
        <f>IF(OR($IW17=0,calcA!$A$6=0),0,IF(EN$117=1,EN17,0)+IF(EO$117=1,EP17,0))</f>
        <v/>
      </c>
      <c r="EP187">
        <f>IF(OR($IW17=0,calcA!$A$6=0),0,IF(EO$117=1,EO17,0)+IF(EP$117=1,EQ17,0))</f>
        <v/>
      </c>
      <c r="EQ187">
        <f>IF(OR($IW17=0,calcA!$A$6=0),0,IF(EP$117=1,EP17,0))</f>
        <v/>
      </c>
    </row>
    <row r="188">
      <c r="D188">
        <f>IF(OR($IW18=0,calcA!$A$6=0),0,IF(D$117=1,E18,0))</f>
        <v/>
      </c>
      <c r="E188">
        <f>IF(OR($IW18=0,calcA!$A$6=0),0,IF(D$117=1,D18,0)+IF(E$117=1,F18,0))</f>
        <v/>
      </c>
      <c r="F188">
        <f>IF(OR($IW18=0,calcA!$A$6=0),0,IF(E$117=1,E18,0)+IF(F$117=1,G18,0))</f>
        <v/>
      </c>
      <c r="G188">
        <f>IF(OR($IW18=0,calcA!$A$6=0),0,IF(F$117=1,F18,0)+IF(G$117=1,H18,0))</f>
        <v/>
      </c>
      <c r="H188">
        <f>IF(OR($IW18=0,calcA!$A$6=0),0,IF(G$117=1,G18,0)+IF(H$117=1,I18,0))</f>
        <v/>
      </c>
      <c r="I188">
        <f>IF(OR($IW18=0,calcA!$A$6=0),0,IF(H$117=1,H18,0)+IF(I$117=1,J18,0))</f>
        <v/>
      </c>
      <c r="J188">
        <f>IF(OR($IW18=0,calcA!$A$6=0),0,IF(I$117=1,I18,0)+IF(J$117=1,K18,0))</f>
        <v/>
      </c>
      <c r="K188">
        <f>IF(OR($IW18=0,calcA!$A$6=0),0,IF(J$117=1,J18,0)+IF(K$117=1,L18,0))</f>
        <v/>
      </c>
      <c r="L188">
        <f>IF(OR($IW18=0,calcA!$A$6=0),0,IF(K$117=1,K18,0)+IF(L$117=1,M18,0))</f>
        <v/>
      </c>
      <c r="M188">
        <f>IF(OR($IW18=0,calcA!$A$6=0),0,IF(L$117=1,L18,0)+IF(M$117=1,N18,0))</f>
        <v/>
      </c>
      <c r="N188">
        <f>IF(OR($IW18=0,calcA!$A$6=0),0,IF(M$117=1,M18,0)+IF(N$117=1,O18,0))</f>
        <v/>
      </c>
      <c r="O188">
        <f>IF(OR($IW18=0,calcA!$A$6=0),0,IF(N$117=1,N18,0)+IF(O$117=1,P18,0))</f>
        <v/>
      </c>
      <c r="P188">
        <f>IF(OR($IW18=0,calcA!$A$6=0),0,IF(O$117=1,O18,0)+IF(P$117=1,Q18,0))</f>
        <v/>
      </c>
      <c r="Q188">
        <f>IF(OR($IW18=0,calcA!$A$6=0),0,IF(P$117=1,P18,0)+IF(Q$117=1,R18,0))</f>
        <v/>
      </c>
      <c r="R188">
        <f>IF(OR($IW18=0,calcA!$A$6=0),0,IF(Q$117=1,Q18,0)+IF(R$117=1,S18,0))</f>
        <v/>
      </c>
      <c r="S188">
        <f>IF(OR($IW18=0,calcA!$A$6=0),0,IF(R$117=1,R18,0)+IF(S$117=1,T18,0))</f>
        <v/>
      </c>
      <c r="T188">
        <f>IF(OR($IW18=0,calcA!$A$6=0),0,IF(S$117=1,S18,0)+IF(T$117=1,U18,0))</f>
        <v/>
      </c>
      <c r="U188">
        <f>IF(OR($IW18=0,calcA!$A$6=0),0,IF(T$117=1,T18,0)+IF(U$117=1,V18,0))</f>
        <v/>
      </c>
      <c r="V188">
        <f>IF(OR($IW18=0,calcA!$A$6=0),0,IF(U$117=1,U18,0)+IF(V$117=1,W18,0))</f>
        <v/>
      </c>
      <c r="W188">
        <f>IF(OR($IW18=0,calcA!$A$6=0),0,IF(V$117=1,V18,0)+IF(W$117=1,X18,0))</f>
        <v/>
      </c>
      <c r="X188">
        <f>IF(OR($IW18=0,calcA!$A$6=0),0,IF(W$117=1,W18,0)+IF(X$117=1,Y18,0))</f>
        <v/>
      </c>
      <c r="Y188">
        <f>IF(OR($IW18=0,calcA!$A$6=0),0,IF(X$117=1,X18,0)+IF(Y$117=1,Z18,0))</f>
        <v/>
      </c>
      <c r="Z188">
        <f>IF(OR($IW18=0,calcA!$A$6=0),0,IF(Y$117=1,Y18,0)+IF(Z$117=1,AA18,0))</f>
        <v/>
      </c>
      <c r="AA188">
        <f>IF(OR($IW18=0,calcA!$A$6=0),0,IF(Z$117=1,Z18,0))</f>
        <v/>
      </c>
      <c r="AB188">
        <f>IF(OR($IW18=0,calcA!$A$6=0),0,IF(AB$117=1,AC18,0))</f>
        <v/>
      </c>
      <c r="AC188">
        <f>IF(OR($IW18=0,calcA!$A$6=0),0,IF(AB$117=1,AB18,0)+IF(AC$117=1,AD18,0))</f>
        <v/>
      </c>
      <c r="AD188">
        <f>IF(OR($IW18=0,calcA!$A$6=0),0,IF(AC$117=1,AC18,0)+IF(AD$117=1,AE18,0))</f>
        <v/>
      </c>
      <c r="AE188">
        <f>IF(OR($IW18=0,calcA!$A$6=0),0,IF(AD$117=1,AD18,0)+IF(AE$117=1,AF18,0))</f>
        <v/>
      </c>
      <c r="AF188">
        <f>IF(OR($IW18=0,calcA!$A$6=0),0,IF(AE$117=1,AE18,0)+IF(AF$117=1,AG18,0))</f>
        <v/>
      </c>
      <c r="AG188">
        <f>IF(OR($IW18=0,calcA!$A$6=0),0,IF(AF$117=1,AF18,0)+IF(AG$117=1,AH18,0))</f>
        <v/>
      </c>
      <c r="AH188">
        <f>IF(OR($IW18=0,calcA!$A$6=0),0,IF(AG$117=1,AG18,0)+IF(AH$117=1,AI18,0))</f>
        <v/>
      </c>
      <c r="AI188">
        <f>IF(OR($IW18=0,calcA!$A$6=0),0,IF(AH$117=1,AH18,0)+IF(AI$117=1,AJ18,0))</f>
        <v/>
      </c>
      <c r="AJ188">
        <f>IF(OR($IW18=0,calcA!$A$6=0),0,IF(AI$117=1,AI18,0)+IF(AJ$117=1,AK18,0))</f>
        <v/>
      </c>
      <c r="AK188">
        <f>IF(OR($IW18=0,calcA!$A$6=0),0,IF(AJ$117=1,AJ18,0)+IF(AK$117=1,AL18,0))</f>
        <v/>
      </c>
      <c r="AL188">
        <f>IF(OR($IW18=0,calcA!$A$6=0),0,IF(AK$117=1,AK18,0)+IF(AL$117=1,AM18,0))</f>
        <v/>
      </c>
      <c r="AM188">
        <f>IF(OR($IW18=0,calcA!$A$6=0),0,IF(AL$117=1,AL18,0)+IF(AM$117=1,AN18,0))</f>
        <v/>
      </c>
      <c r="AN188">
        <f>IF(OR($IW18=0,calcA!$A$6=0),0,IF(AM$117=1,AM18,0)+IF(AN$117=1,AO18,0))</f>
        <v/>
      </c>
      <c r="AO188">
        <f>IF(OR($IW18=0,calcA!$A$6=0),0,IF(AN$117=1,AN18,0)+IF(AO$117=1,AP18,0))</f>
        <v/>
      </c>
      <c r="AP188">
        <f>IF(OR($IW18=0,calcA!$A$6=0),0,IF(AO$117=1,AO18,0)+IF(AP$117=1,AQ18,0))</f>
        <v/>
      </c>
      <c r="AQ188">
        <f>IF(OR($IW18=0,calcA!$A$6=0),0,IF(AP$117=1,AP18,0)+IF(AQ$117=1,AR18,0))</f>
        <v/>
      </c>
      <c r="AR188">
        <f>IF(OR($IW18=0,calcA!$A$6=0),0,IF(AQ$117=1,AQ18,0)+IF(AR$117=1,AS18,0))</f>
        <v/>
      </c>
      <c r="AS188">
        <f>IF(OR($IW18=0,calcA!$A$6=0),0,IF(AR$117=1,AR18,0)+IF(AS$117=1,AT18,0))</f>
        <v/>
      </c>
      <c r="AT188">
        <f>IF(OR($IW18=0,calcA!$A$6=0),0,IF(AS$117=1,AS18,0)+IF(AT$117=1,AU18,0))</f>
        <v/>
      </c>
      <c r="AU188">
        <f>IF(OR($IW18=0,calcA!$A$6=0),0,IF(AT$117=1,AT18,0)+IF(AU$117=1,AV18,0))</f>
        <v/>
      </c>
      <c r="AV188">
        <f>IF(OR($IW18=0,calcA!$A$6=0),0,IF(AU$117=1,AU18,0)+IF(AV$117=1,AW18,0))</f>
        <v/>
      </c>
      <c r="AW188">
        <f>IF(OR($IW18=0,calcA!$A$6=0),0,IF(AV$117=1,AV18,0)+IF(AW$117=1,AX18,0))</f>
        <v/>
      </c>
      <c r="AX188">
        <f>IF(OR($IW18=0,calcA!$A$6=0),0,IF(AW$117=1,AW18,0)+IF(AX$117=1,AY18,0))</f>
        <v/>
      </c>
      <c r="AY188">
        <f>IF(OR($IW18=0,calcA!$A$6=0),0,IF(AX$117=1,AX18,0))</f>
        <v/>
      </c>
      <c r="AZ188">
        <f>IF(OR($IW18=0,calcA!$A$6=0),0,IF(AZ$117=1,BA18,0))</f>
        <v/>
      </c>
      <c r="BA188">
        <f>IF(OR($IW18=0,calcA!$A$6=0),0,IF(AZ$117=1,AZ18,0)+IF(BA$117=1,BB18,0))</f>
        <v/>
      </c>
      <c r="BB188">
        <f>IF(OR($IW18=0,calcA!$A$6=0),0,IF(BA$117=1,BA18,0)+IF(BB$117=1,BC18,0))</f>
        <v/>
      </c>
      <c r="BC188">
        <f>IF(OR($IW18=0,calcA!$A$6=0),0,IF(BB$117=1,BB18,0)+IF(BC$117=1,BD18,0))</f>
        <v/>
      </c>
      <c r="BD188">
        <f>IF(OR($IW18=0,calcA!$A$6=0),0,IF(BC$117=1,BC18,0)+IF(BD$117=1,BE18,0))</f>
        <v/>
      </c>
      <c r="BE188">
        <f>IF(OR($IW18=0,calcA!$A$6=0),0,IF(BD$117=1,BD18,0)+IF(BE$117=1,BF18,0))</f>
        <v/>
      </c>
      <c r="BF188">
        <f>IF(OR($IW18=0,calcA!$A$6=0),0,IF(BE$117=1,BE18,0)+IF(BF$117=1,BG18,0))</f>
        <v/>
      </c>
      <c r="BG188">
        <f>IF(OR($IW18=0,calcA!$A$6=0),0,IF(BF$117=1,BF18,0)+IF(BG$117=1,BH18,0))</f>
        <v/>
      </c>
      <c r="BH188">
        <f>IF(OR($IW18=0,calcA!$A$6=0),0,IF(BG$117=1,BG18,0)+IF(BH$117=1,BI18,0))</f>
        <v/>
      </c>
      <c r="BI188">
        <f>IF(OR($IW18=0,calcA!$A$6=0),0,IF(BH$117=1,BH18,0)+IF(BI$117=1,BJ18,0))</f>
        <v/>
      </c>
      <c r="BJ188">
        <f>IF(OR($IW18=0,calcA!$A$6=0),0,IF(BI$117=1,BI18,0)+IF(BJ$117=1,BK18,0))</f>
        <v/>
      </c>
      <c r="BK188">
        <f>IF(OR($IW18=0,calcA!$A$6=0),0,IF(BJ$117=1,BJ18,0)+IF(BK$117=1,BL18,0))</f>
        <v/>
      </c>
      <c r="BL188">
        <f>IF(OR($IW18=0,calcA!$A$6=0),0,IF(BK$117=1,BK18,0)+IF(BL$117=1,BM18,0))</f>
        <v/>
      </c>
      <c r="BM188">
        <f>IF(OR($IW18=0,calcA!$A$6=0),0,IF(BL$117=1,BL18,0)+IF(BM$117=1,BN18,0))</f>
        <v/>
      </c>
      <c r="BN188">
        <f>IF(OR($IW18=0,calcA!$A$6=0),0,IF(BM$117=1,BM18,0)+IF(BN$117=1,BO18,0))</f>
        <v/>
      </c>
      <c r="BO188">
        <f>IF(OR($IW18=0,calcA!$A$6=0),0,IF(BN$117=1,BN18,0)+IF(BO$117=1,BP18,0))</f>
        <v/>
      </c>
      <c r="BP188">
        <f>IF(OR($IW18=0,calcA!$A$6=0),0,IF(BO$117=1,BO18,0)+IF(BP$117=1,BQ18,0))</f>
        <v/>
      </c>
      <c r="BQ188">
        <f>IF(OR($IW18=0,calcA!$A$6=0),0,IF(BP$117=1,BP18,0)+IF(BQ$117=1,BR18,0))</f>
        <v/>
      </c>
      <c r="BR188">
        <f>IF(OR($IW18=0,calcA!$A$6=0),0,IF(BQ$117=1,BQ18,0)+IF(BR$117=1,BS18,0))</f>
        <v/>
      </c>
      <c r="BS188">
        <f>IF(OR($IW18=0,calcA!$A$6=0),0,IF(BR$117=1,BR18,0)+IF(BS$117=1,BT18,0))</f>
        <v/>
      </c>
      <c r="BT188">
        <f>IF(OR($IW18=0,calcA!$A$6=0),0,IF(BS$117=1,BS18,0)+IF(BT$117=1,BU18,0))</f>
        <v/>
      </c>
      <c r="BU188">
        <f>IF(OR($IW18=0,calcA!$A$6=0),0,IF(BT$117=1,BT18,0)+IF(BU$117=1,BV18,0))</f>
        <v/>
      </c>
      <c r="BV188">
        <f>IF(OR($IW18=0,calcA!$A$6=0),0,IF(BU$117=1,BU18,0)+IF(BV$117=1,BW18,0))</f>
        <v/>
      </c>
      <c r="BW188">
        <f>IF(OR($IW18=0,calcA!$A$6=0),0,IF(BV$117=1,BV18,0))</f>
        <v/>
      </c>
      <c r="BX188">
        <f>IF(OR($IW18=0,calcA!$A$6=0),0,IF(BX$117=1,BY18,0))</f>
        <v/>
      </c>
      <c r="BY188">
        <f>IF(OR($IW18=0,calcA!$A$6=0),0,IF(BX$117=1,BX18,0)+IF(BY$117=1,BZ18,0))</f>
        <v/>
      </c>
      <c r="BZ188">
        <f>IF(OR($IW18=0,calcA!$A$6=0),0,IF(BY$117=1,BY18,0)+IF(BZ$117=1,CA18,0))</f>
        <v/>
      </c>
      <c r="CA188">
        <f>IF(OR($IW18=0,calcA!$A$6=0),0,IF(BZ$117=1,BZ18,0)+IF(CA$117=1,CB18,0))</f>
        <v/>
      </c>
      <c r="CB188">
        <f>IF(OR($IW18=0,calcA!$A$6=0),0,IF(CA$117=1,CA18,0)+IF(CB$117=1,CC18,0))</f>
        <v/>
      </c>
      <c r="CC188">
        <f>IF(OR($IW18=0,calcA!$A$6=0),0,IF(CB$117=1,CB18,0)+IF(CC$117=1,CD18,0))</f>
        <v/>
      </c>
      <c r="CD188">
        <f>IF(OR($IW18=0,calcA!$A$6=0),0,IF(CC$117=1,CC18,0)+IF(CD$117=1,CE18,0))</f>
        <v/>
      </c>
      <c r="CE188">
        <f>IF(OR($IW18=0,calcA!$A$6=0),0,IF(CD$117=1,CD18,0)+IF(CE$117=1,CF18,0))</f>
        <v/>
      </c>
      <c r="CF188">
        <f>IF(OR($IW18=0,calcA!$A$6=0),0,IF(CE$117=1,CE18,0)+IF(CF$117=1,CG18,0))</f>
        <v/>
      </c>
      <c r="CG188">
        <f>IF(OR($IW18=0,calcA!$A$6=0),0,IF(CF$117=1,CF18,0)+IF(CG$117=1,CH18,0))</f>
        <v/>
      </c>
      <c r="CH188">
        <f>IF(OR($IW18=0,calcA!$A$6=0),0,IF(CG$117=1,CG18,0)+IF(CH$117=1,CI18,0))</f>
        <v/>
      </c>
      <c r="CI188">
        <f>IF(OR($IW18=0,calcA!$A$6=0),0,IF(CH$117=1,CH18,0)+IF(CI$117=1,CJ18,0))</f>
        <v/>
      </c>
      <c r="CJ188">
        <f>IF(OR($IW18=0,calcA!$A$6=0),0,IF(CI$117=1,CI18,0)+IF(CJ$117=1,CK18,0))</f>
        <v/>
      </c>
      <c r="CK188">
        <f>IF(OR($IW18=0,calcA!$A$6=0),0,IF(CJ$117=1,CJ18,0)+IF(CK$117=1,CL18,0))</f>
        <v/>
      </c>
      <c r="CL188">
        <f>IF(OR($IW18=0,calcA!$A$6=0),0,IF(CK$117=1,CK18,0)+IF(CL$117=1,CM18,0))</f>
        <v/>
      </c>
      <c r="CM188">
        <f>IF(OR($IW18=0,calcA!$A$6=0),0,IF(CL$117=1,CL18,0)+IF(CM$117=1,CN18,0))</f>
        <v/>
      </c>
      <c r="CN188">
        <f>IF(OR($IW18=0,calcA!$A$6=0),0,IF(CM$117=1,CM18,0)+IF(CN$117=1,CO18,0))</f>
        <v/>
      </c>
      <c r="CO188">
        <f>IF(OR($IW18=0,calcA!$A$6=0),0,IF(CN$117=1,CN18,0)+IF(CO$117=1,CP18,0))</f>
        <v/>
      </c>
      <c r="CP188">
        <f>IF(OR($IW18=0,calcA!$A$6=0),0,IF(CO$117=1,CO18,0)+IF(CP$117=1,CQ18,0))</f>
        <v/>
      </c>
      <c r="CQ188">
        <f>IF(OR($IW18=0,calcA!$A$6=0),0,IF(CP$117=1,CP18,0)+IF(CQ$117=1,CR18,0))</f>
        <v/>
      </c>
      <c r="CR188">
        <f>IF(OR($IW18=0,calcA!$A$6=0),0,IF(CQ$117=1,CQ18,0)+IF(CR$117=1,CS18,0))</f>
        <v/>
      </c>
      <c r="CS188">
        <f>IF(OR($IW18=0,calcA!$A$6=0),0,IF(CR$117=1,CR18,0)+IF(CS$117=1,CT18,0))</f>
        <v/>
      </c>
      <c r="CT188">
        <f>IF(OR($IW18=0,calcA!$A$6=0),0,IF(CS$117=1,CS18,0)+IF(CT$117=1,CU18,0))</f>
        <v/>
      </c>
      <c r="CU188">
        <f>IF(OR($IW18=0,calcA!$A$6=0),0,IF(CT$117=1,CT18,0))</f>
        <v/>
      </c>
      <c r="CV188">
        <f>IF(OR($IW18=0,calcA!$A$6=0),0,IF(CV$117=1,CW18,0))</f>
        <v/>
      </c>
      <c r="CW188">
        <f>IF(OR($IW18=0,calcA!$A$6=0),0,IF(CV$117=1,CV18,0)+IF(CW$117=1,CX18,0))</f>
        <v/>
      </c>
      <c r="CX188">
        <f>IF(OR($IW18=0,calcA!$A$6=0),0,IF(CW$117=1,CW18,0)+IF(CX$117=1,CY18,0))</f>
        <v/>
      </c>
      <c r="CY188">
        <f>IF(OR($IW18=0,calcA!$A$6=0),0,IF(CX$117=1,CX18,0)+IF(CY$117=1,CZ18,0))</f>
        <v/>
      </c>
      <c r="CZ188">
        <f>IF(OR($IW18=0,calcA!$A$6=0),0,IF(CY$117=1,CY18,0)+IF(CZ$117=1,DA18,0))</f>
        <v/>
      </c>
      <c r="DA188">
        <f>IF(OR($IW18=0,calcA!$A$6=0),0,IF(CZ$117=1,CZ18,0)+IF(DA$117=1,DB18,0))</f>
        <v/>
      </c>
      <c r="DB188">
        <f>IF(OR($IW18=0,calcA!$A$6=0),0,IF(DA$117=1,DA18,0)+IF(DB$117=1,DC18,0))</f>
        <v/>
      </c>
      <c r="DC188">
        <f>IF(OR($IW18=0,calcA!$A$6=0),0,IF(DB$117=1,DB18,0)+IF(DC$117=1,DD18,0))</f>
        <v/>
      </c>
      <c r="DD188">
        <f>IF(OR($IW18=0,calcA!$A$6=0),0,IF(DC$117=1,DC18,0)+IF(DD$117=1,DE18,0))</f>
        <v/>
      </c>
      <c r="DE188">
        <f>IF(OR($IW18=0,calcA!$A$6=0),0,IF(DD$117=1,DD18,0)+IF(DE$117=1,DF18,0))</f>
        <v/>
      </c>
      <c r="DF188">
        <f>IF(OR($IW18=0,calcA!$A$6=0),0,IF(DE$117=1,DE18,0)+IF(DF$117=1,DG18,0))</f>
        <v/>
      </c>
      <c r="DG188">
        <f>IF(OR($IW18=0,calcA!$A$6=0),0,IF(DF$117=1,DF18,0)+IF(DG$117=1,DH18,0))</f>
        <v/>
      </c>
      <c r="DH188">
        <f>IF(OR($IW18=0,calcA!$A$6=0),0,IF(DG$117=1,DG18,0)+IF(DH$117=1,DI18,0))</f>
        <v/>
      </c>
      <c r="DI188">
        <f>IF(OR($IW18=0,calcA!$A$6=0),0,IF(DH$117=1,DH18,0)+IF(DI$117=1,DJ18,0))</f>
        <v/>
      </c>
      <c r="DJ188">
        <f>IF(OR($IW18=0,calcA!$A$6=0),0,IF(DI$117=1,DI18,0)+IF(DJ$117=1,DK18,0))</f>
        <v/>
      </c>
      <c r="DK188">
        <f>IF(OR($IW18=0,calcA!$A$6=0),0,IF(DJ$117=1,DJ18,0)+IF(DK$117=1,DL18,0))</f>
        <v/>
      </c>
      <c r="DL188">
        <f>IF(OR($IW18=0,calcA!$A$6=0),0,IF(DK$117=1,DK18,0)+IF(DL$117=1,DM18,0))</f>
        <v/>
      </c>
      <c r="DM188">
        <f>IF(OR($IW18=0,calcA!$A$6=0),0,IF(DL$117=1,DL18,0)+IF(DM$117=1,DN18,0))</f>
        <v/>
      </c>
      <c r="DN188">
        <f>IF(OR($IW18=0,calcA!$A$6=0),0,IF(DM$117=1,DM18,0)+IF(DN$117=1,DO18,0))</f>
        <v/>
      </c>
      <c r="DO188">
        <f>IF(OR($IW18=0,calcA!$A$6=0),0,IF(DN$117=1,DN18,0)+IF(DO$117=1,DP18,0))</f>
        <v/>
      </c>
      <c r="DP188">
        <f>IF(OR($IW18=0,calcA!$A$6=0),0,IF(DO$117=1,DO18,0)+IF(DP$117=1,DQ18,0))</f>
        <v/>
      </c>
      <c r="DQ188">
        <f>IF(OR($IW18=0,calcA!$A$6=0),0,IF(DP$117=1,DP18,0)+IF(DQ$117=1,DR18,0))</f>
        <v/>
      </c>
      <c r="DR188">
        <f>IF(OR($IW18=0,calcA!$A$6=0),0,IF(DQ$117=1,DQ18,0)+IF(DR$117=1,DS18,0))</f>
        <v/>
      </c>
      <c r="DS188">
        <f>IF(OR($IW18=0,calcA!$A$6=0),0,IF(DR$117=1,DR18,0))</f>
        <v/>
      </c>
      <c r="DT188">
        <f>IF(OR($IW18=0,calcA!$A$6=0),0,IF(DT$117=1,DU18,0))</f>
        <v/>
      </c>
      <c r="DU188">
        <f>IF(OR($IW18=0,calcA!$A$6=0),0,IF(DT$117=1,DT18,0)+IF(DU$117=1,DV18,0))</f>
        <v/>
      </c>
      <c r="DV188">
        <f>IF(OR($IW18=0,calcA!$A$6=0),0,IF(DU$117=1,DU18,0)+IF(DV$117=1,DW18,0))</f>
        <v/>
      </c>
      <c r="DW188">
        <f>IF(OR($IW18=0,calcA!$A$6=0),0,IF(DV$117=1,DV18,0)+IF(DW$117=1,DX18,0))</f>
        <v/>
      </c>
      <c r="DX188">
        <f>IF(OR($IW18=0,calcA!$A$6=0),0,IF(DW$117=1,DW18,0)+IF(DX$117=1,DY18,0))</f>
        <v/>
      </c>
      <c r="DY188">
        <f>IF(OR($IW18=0,calcA!$A$6=0),0,IF(DX$117=1,DX18,0)+IF(DY$117=1,DZ18,0))</f>
        <v/>
      </c>
      <c r="DZ188">
        <f>IF(OR($IW18=0,calcA!$A$6=0),0,IF(DY$117=1,DY18,0)+IF(DZ$117=1,EA18,0))</f>
        <v/>
      </c>
      <c r="EA188">
        <f>IF(OR($IW18=0,calcA!$A$6=0),0,IF(DZ$117=1,DZ18,0)+IF(EA$117=1,EB18,0))</f>
        <v/>
      </c>
      <c r="EB188">
        <f>IF(OR($IW18=0,calcA!$A$6=0),0,IF(EA$117=1,EA18,0)+IF(EB$117=1,EC18,0))</f>
        <v/>
      </c>
      <c r="EC188">
        <f>IF(OR($IW18=0,calcA!$A$6=0),0,IF(EB$117=1,EB18,0)+IF(EC$117=1,ED18,0))</f>
        <v/>
      </c>
      <c r="ED188">
        <f>IF(OR($IW18=0,calcA!$A$6=0),0,IF(EC$117=1,EC18,0)+IF(ED$117=1,EE18,0))</f>
        <v/>
      </c>
      <c r="EE188">
        <f>IF(OR($IW18=0,calcA!$A$6=0),0,IF(ED$117=1,ED18,0)+IF(EE$117=1,EF18,0))</f>
        <v/>
      </c>
      <c r="EF188">
        <f>IF(OR($IW18=0,calcA!$A$6=0),0,IF(EE$117=1,EE18,0)+IF(EF$117=1,EG18,0))</f>
        <v/>
      </c>
      <c r="EG188">
        <f>IF(OR($IW18=0,calcA!$A$6=0),0,IF(EF$117=1,EF18,0)+IF(EG$117=1,EH18,0))</f>
        <v/>
      </c>
      <c r="EH188">
        <f>IF(OR($IW18=0,calcA!$A$6=0),0,IF(EG$117=1,EG18,0)+IF(EH$117=1,EI18,0))</f>
        <v/>
      </c>
      <c r="EI188">
        <f>IF(OR($IW18=0,calcA!$A$6=0),0,IF(EH$117=1,EH18,0)+IF(EI$117=1,EJ18,0))</f>
        <v/>
      </c>
      <c r="EJ188">
        <f>IF(OR($IW18=0,calcA!$A$6=0),0,IF(EI$117=1,EI18,0)+IF(EJ$117=1,EK18,0))</f>
        <v/>
      </c>
      <c r="EK188">
        <f>IF(OR($IW18=0,calcA!$A$6=0),0,IF(EJ$117=1,EJ18,0)+IF(EK$117=1,EL18,0))</f>
        <v/>
      </c>
      <c r="EL188">
        <f>IF(OR($IW18=0,calcA!$A$6=0),0,IF(EK$117=1,EK18,0)+IF(EL$117=1,EM18,0))</f>
        <v/>
      </c>
      <c r="EM188">
        <f>IF(OR($IW18=0,calcA!$A$6=0),0,IF(EL$117=1,EL18,0)+IF(EM$117=1,EN18,0))</f>
        <v/>
      </c>
      <c r="EN188">
        <f>IF(OR($IW18=0,calcA!$A$6=0),0,IF(EM$117=1,EM18,0)+IF(EN$117=1,EO18,0))</f>
        <v/>
      </c>
      <c r="EO188">
        <f>IF(OR($IW18=0,calcA!$A$6=0),0,IF(EN$117=1,EN18,0)+IF(EO$117=1,EP18,0))</f>
        <v/>
      </c>
      <c r="EP188">
        <f>IF(OR($IW18=0,calcA!$A$6=0),0,IF(EO$117=1,EO18,0)+IF(EP$117=1,EQ18,0))</f>
        <v/>
      </c>
      <c r="EQ188">
        <f>IF(OR($IW18=0,calcA!$A$6=0),0,IF(EP$117=1,EP18,0))</f>
        <v/>
      </c>
    </row>
    <row r="189">
      <c r="D189">
        <f>IF(OR($IW19=0,calcA!$A$6=0),0,IF(D$117=1,E19,0))</f>
        <v/>
      </c>
      <c r="E189">
        <f>IF(OR($IW19=0,calcA!$A$6=0),0,IF(D$117=1,D19,0)+IF(E$117=1,F19,0))</f>
        <v/>
      </c>
      <c r="F189">
        <f>IF(OR($IW19=0,calcA!$A$6=0),0,IF(E$117=1,E19,0)+IF(F$117=1,G19,0))</f>
        <v/>
      </c>
      <c r="G189">
        <f>IF(OR($IW19=0,calcA!$A$6=0),0,IF(F$117=1,F19,0)+IF(G$117=1,H19,0))</f>
        <v/>
      </c>
      <c r="H189">
        <f>IF(OR($IW19=0,calcA!$A$6=0),0,IF(G$117=1,G19,0)+IF(H$117=1,I19,0))</f>
        <v/>
      </c>
      <c r="I189">
        <f>IF(OR($IW19=0,calcA!$A$6=0),0,IF(H$117=1,H19,0)+IF(I$117=1,J19,0))</f>
        <v/>
      </c>
      <c r="J189">
        <f>IF(OR($IW19=0,calcA!$A$6=0),0,IF(I$117=1,I19,0)+IF(J$117=1,K19,0))</f>
        <v/>
      </c>
      <c r="K189">
        <f>IF(OR($IW19=0,calcA!$A$6=0),0,IF(J$117=1,J19,0)+IF(K$117=1,L19,0))</f>
        <v/>
      </c>
      <c r="L189">
        <f>IF(OR($IW19=0,calcA!$A$6=0),0,IF(K$117=1,K19,0)+IF(L$117=1,M19,0))</f>
        <v/>
      </c>
      <c r="M189">
        <f>IF(OR($IW19=0,calcA!$A$6=0),0,IF(L$117=1,L19,0)+IF(M$117=1,N19,0))</f>
        <v/>
      </c>
      <c r="N189">
        <f>IF(OR($IW19=0,calcA!$A$6=0),0,IF(M$117=1,M19,0)+IF(N$117=1,O19,0))</f>
        <v/>
      </c>
      <c r="O189">
        <f>IF(OR($IW19=0,calcA!$A$6=0),0,IF(N$117=1,N19,0)+IF(O$117=1,P19,0))</f>
        <v/>
      </c>
      <c r="P189">
        <f>IF(OR($IW19=0,calcA!$A$6=0),0,IF(O$117=1,O19,0)+IF(P$117=1,Q19,0))</f>
        <v/>
      </c>
      <c r="Q189">
        <f>IF(OR($IW19=0,calcA!$A$6=0),0,IF(P$117=1,P19,0)+IF(Q$117=1,R19,0))</f>
        <v/>
      </c>
      <c r="R189">
        <f>IF(OR($IW19=0,calcA!$A$6=0),0,IF(Q$117=1,Q19,0)+IF(R$117=1,S19,0))</f>
        <v/>
      </c>
      <c r="S189">
        <f>IF(OR($IW19=0,calcA!$A$6=0),0,IF(R$117=1,R19,0)+IF(S$117=1,T19,0))</f>
        <v/>
      </c>
      <c r="T189">
        <f>IF(OR($IW19=0,calcA!$A$6=0),0,IF(S$117=1,S19,0)+IF(T$117=1,U19,0))</f>
        <v/>
      </c>
      <c r="U189">
        <f>IF(OR($IW19=0,calcA!$A$6=0),0,IF(T$117=1,T19,0)+IF(U$117=1,V19,0))</f>
        <v/>
      </c>
      <c r="V189">
        <f>IF(OR($IW19=0,calcA!$A$6=0),0,IF(U$117=1,U19,0)+IF(V$117=1,W19,0))</f>
        <v/>
      </c>
      <c r="W189">
        <f>IF(OR($IW19=0,calcA!$A$6=0),0,IF(V$117=1,V19,0)+IF(W$117=1,X19,0))</f>
        <v/>
      </c>
      <c r="X189">
        <f>IF(OR($IW19=0,calcA!$A$6=0),0,IF(W$117=1,W19,0)+IF(X$117=1,Y19,0))</f>
        <v/>
      </c>
      <c r="Y189">
        <f>IF(OR($IW19=0,calcA!$A$6=0),0,IF(X$117=1,X19,0)+IF(Y$117=1,Z19,0))</f>
        <v/>
      </c>
      <c r="Z189">
        <f>IF(OR($IW19=0,calcA!$A$6=0),0,IF(Y$117=1,Y19,0)+IF(Z$117=1,AA19,0))</f>
        <v/>
      </c>
      <c r="AA189">
        <f>IF(OR($IW19=0,calcA!$A$6=0),0,IF(Z$117=1,Z19,0))</f>
        <v/>
      </c>
      <c r="AB189">
        <f>IF(OR($IW19=0,calcA!$A$6=0),0,IF(AB$117=1,AC19,0))</f>
        <v/>
      </c>
      <c r="AC189">
        <f>IF(OR($IW19=0,calcA!$A$6=0),0,IF(AB$117=1,AB19,0)+IF(AC$117=1,AD19,0))</f>
        <v/>
      </c>
      <c r="AD189">
        <f>IF(OR($IW19=0,calcA!$A$6=0),0,IF(AC$117=1,AC19,0)+IF(AD$117=1,AE19,0))</f>
        <v/>
      </c>
      <c r="AE189">
        <f>IF(OR($IW19=0,calcA!$A$6=0),0,IF(AD$117=1,AD19,0)+IF(AE$117=1,AF19,0))</f>
        <v/>
      </c>
      <c r="AF189">
        <f>IF(OR($IW19=0,calcA!$A$6=0),0,IF(AE$117=1,AE19,0)+IF(AF$117=1,AG19,0))</f>
        <v/>
      </c>
      <c r="AG189">
        <f>IF(OR($IW19=0,calcA!$A$6=0),0,IF(AF$117=1,AF19,0)+IF(AG$117=1,AH19,0))</f>
        <v/>
      </c>
      <c r="AH189">
        <f>IF(OR($IW19=0,calcA!$A$6=0),0,IF(AG$117=1,AG19,0)+IF(AH$117=1,AI19,0))</f>
        <v/>
      </c>
      <c r="AI189">
        <f>IF(OR($IW19=0,calcA!$A$6=0),0,IF(AH$117=1,AH19,0)+IF(AI$117=1,AJ19,0))</f>
        <v/>
      </c>
      <c r="AJ189">
        <f>IF(OR($IW19=0,calcA!$A$6=0),0,IF(AI$117=1,AI19,0)+IF(AJ$117=1,AK19,0))</f>
        <v/>
      </c>
      <c r="AK189">
        <f>IF(OR($IW19=0,calcA!$A$6=0),0,IF(AJ$117=1,AJ19,0)+IF(AK$117=1,AL19,0))</f>
        <v/>
      </c>
      <c r="AL189">
        <f>IF(OR($IW19=0,calcA!$A$6=0),0,IF(AK$117=1,AK19,0)+IF(AL$117=1,AM19,0))</f>
        <v/>
      </c>
      <c r="AM189">
        <f>IF(OR($IW19=0,calcA!$A$6=0),0,IF(AL$117=1,AL19,0)+IF(AM$117=1,AN19,0))</f>
        <v/>
      </c>
      <c r="AN189">
        <f>IF(OR($IW19=0,calcA!$A$6=0),0,IF(AM$117=1,AM19,0)+IF(AN$117=1,AO19,0))</f>
        <v/>
      </c>
      <c r="AO189">
        <f>IF(OR($IW19=0,calcA!$A$6=0),0,IF(AN$117=1,AN19,0)+IF(AO$117=1,AP19,0))</f>
        <v/>
      </c>
      <c r="AP189">
        <f>IF(OR($IW19=0,calcA!$A$6=0),0,IF(AO$117=1,AO19,0)+IF(AP$117=1,AQ19,0))</f>
        <v/>
      </c>
      <c r="AQ189">
        <f>IF(OR($IW19=0,calcA!$A$6=0),0,IF(AP$117=1,AP19,0)+IF(AQ$117=1,AR19,0))</f>
        <v/>
      </c>
      <c r="AR189">
        <f>IF(OR($IW19=0,calcA!$A$6=0),0,IF(AQ$117=1,AQ19,0)+IF(AR$117=1,AS19,0))</f>
        <v/>
      </c>
      <c r="AS189">
        <f>IF(OR($IW19=0,calcA!$A$6=0),0,IF(AR$117=1,AR19,0)+IF(AS$117=1,AT19,0))</f>
        <v/>
      </c>
      <c r="AT189">
        <f>IF(OR($IW19=0,calcA!$A$6=0),0,IF(AS$117=1,AS19,0)+IF(AT$117=1,AU19,0))</f>
        <v/>
      </c>
      <c r="AU189">
        <f>IF(OR($IW19=0,calcA!$A$6=0),0,IF(AT$117=1,AT19,0)+IF(AU$117=1,AV19,0))</f>
        <v/>
      </c>
      <c r="AV189">
        <f>IF(OR($IW19=0,calcA!$A$6=0),0,IF(AU$117=1,AU19,0)+IF(AV$117=1,AW19,0))</f>
        <v/>
      </c>
      <c r="AW189">
        <f>IF(OR($IW19=0,calcA!$A$6=0),0,IF(AV$117=1,AV19,0)+IF(AW$117=1,AX19,0))</f>
        <v/>
      </c>
      <c r="AX189">
        <f>IF(OR($IW19=0,calcA!$A$6=0),0,IF(AW$117=1,AW19,0)+IF(AX$117=1,AY19,0))</f>
        <v/>
      </c>
      <c r="AY189">
        <f>IF(OR($IW19=0,calcA!$A$6=0),0,IF(AX$117=1,AX19,0))</f>
        <v/>
      </c>
      <c r="AZ189">
        <f>IF(OR($IW19=0,calcA!$A$6=0),0,IF(AZ$117=1,BA19,0))</f>
        <v/>
      </c>
      <c r="BA189">
        <f>IF(OR($IW19=0,calcA!$A$6=0),0,IF(AZ$117=1,AZ19,0)+IF(BA$117=1,BB19,0))</f>
        <v/>
      </c>
      <c r="BB189">
        <f>IF(OR($IW19=0,calcA!$A$6=0),0,IF(BA$117=1,BA19,0)+IF(BB$117=1,BC19,0))</f>
        <v/>
      </c>
      <c r="BC189">
        <f>IF(OR($IW19=0,calcA!$A$6=0),0,IF(BB$117=1,BB19,0)+IF(BC$117=1,BD19,0))</f>
        <v/>
      </c>
      <c r="BD189">
        <f>IF(OR($IW19=0,calcA!$A$6=0),0,IF(BC$117=1,BC19,0)+IF(BD$117=1,BE19,0))</f>
        <v/>
      </c>
      <c r="BE189">
        <f>IF(OR($IW19=0,calcA!$A$6=0),0,IF(BD$117=1,BD19,0)+IF(BE$117=1,BF19,0))</f>
        <v/>
      </c>
      <c r="BF189">
        <f>IF(OR($IW19=0,calcA!$A$6=0),0,IF(BE$117=1,BE19,0)+IF(BF$117=1,BG19,0))</f>
        <v/>
      </c>
      <c r="BG189">
        <f>IF(OR($IW19=0,calcA!$A$6=0),0,IF(BF$117=1,BF19,0)+IF(BG$117=1,BH19,0))</f>
        <v/>
      </c>
      <c r="BH189">
        <f>IF(OR($IW19=0,calcA!$A$6=0),0,IF(BG$117=1,BG19,0)+IF(BH$117=1,BI19,0))</f>
        <v/>
      </c>
      <c r="BI189">
        <f>IF(OR($IW19=0,calcA!$A$6=0),0,IF(BH$117=1,BH19,0)+IF(BI$117=1,BJ19,0))</f>
        <v/>
      </c>
      <c r="BJ189">
        <f>IF(OR($IW19=0,calcA!$A$6=0),0,IF(BI$117=1,BI19,0)+IF(BJ$117=1,BK19,0))</f>
        <v/>
      </c>
      <c r="BK189">
        <f>IF(OR($IW19=0,calcA!$A$6=0),0,IF(BJ$117=1,BJ19,0)+IF(BK$117=1,BL19,0))</f>
        <v/>
      </c>
      <c r="BL189">
        <f>IF(OR($IW19=0,calcA!$A$6=0),0,IF(BK$117=1,BK19,0)+IF(BL$117=1,BM19,0))</f>
        <v/>
      </c>
      <c r="BM189">
        <f>IF(OR($IW19=0,calcA!$A$6=0),0,IF(BL$117=1,BL19,0)+IF(BM$117=1,BN19,0))</f>
        <v/>
      </c>
      <c r="BN189">
        <f>IF(OR($IW19=0,calcA!$A$6=0),0,IF(BM$117=1,BM19,0)+IF(BN$117=1,BO19,0))</f>
        <v/>
      </c>
      <c r="BO189">
        <f>IF(OR($IW19=0,calcA!$A$6=0),0,IF(BN$117=1,BN19,0)+IF(BO$117=1,BP19,0))</f>
        <v/>
      </c>
      <c r="BP189">
        <f>IF(OR($IW19=0,calcA!$A$6=0),0,IF(BO$117=1,BO19,0)+IF(BP$117=1,BQ19,0))</f>
        <v/>
      </c>
      <c r="BQ189">
        <f>IF(OR($IW19=0,calcA!$A$6=0),0,IF(BP$117=1,BP19,0)+IF(BQ$117=1,BR19,0))</f>
        <v/>
      </c>
      <c r="BR189">
        <f>IF(OR($IW19=0,calcA!$A$6=0),0,IF(BQ$117=1,BQ19,0)+IF(BR$117=1,BS19,0))</f>
        <v/>
      </c>
      <c r="BS189">
        <f>IF(OR($IW19=0,calcA!$A$6=0),0,IF(BR$117=1,BR19,0)+IF(BS$117=1,BT19,0))</f>
        <v/>
      </c>
      <c r="BT189">
        <f>IF(OR($IW19=0,calcA!$A$6=0),0,IF(BS$117=1,BS19,0)+IF(BT$117=1,BU19,0))</f>
        <v/>
      </c>
      <c r="BU189">
        <f>IF(OR($IW19=0,calcA!$A$6=0),0,IF(BT$117=1,BT19,0)+IF(BU$117=1,BV19,0))</f>
        <v/>
      </c>
      <c r="BV189">
        <f>IF(OR($IW19=0,calcA!$A$6=0),0,IF(BU$117=1,BU19,0)+IF(BV$117=1,BW19,0))</f>
        <v/>
      </c>
      <c r="BW189">
        <f>IF(OR($IW19=0,calcA!$A$6=0),0,IF(BV$117=1,BV19,0))</f>
        <v/>
      </c>
      <c r="BX189">
        <f>IF(OR($IW19=0,calcA!$A$6=0),0,IF(BX$117=1,BY19,0))</f>
        <v/>
      </c>
      <c r="BY189">
        <f>IF(OR($IW19=0,calcA!$A$6=0),0,IF(BX$117=1,BX19,0)+IF(BY$117=1,BZ19,0))</f>
        <v/>
      </c>
      <c r="BZ189">
        <f>IF(OR($IW19=0,calcA!$A$6=0),0,IF(BY$117=1,BY19,0)+IF(BZ$117=1,CA19,0))</f>
        <v/>
      </c>
      <c r="CA189">
        <f>IF(OR($IW19=0,calcA!$A$6=0),0,IF(BZ$117=1,BZ19,0)+IF(CA$117=1,CB19,0))</f>
        <v/>
      </c>
      <c r="CB189">
        <f>IF(OR($IW19=0,calcA!$A$6=0),0,IF(CA$117=1,CA19,0)+IF(CB$117=1,CC19,0))</f>
        <v/>
      </c>
      <c r="CC189">
        <f>IF(OR($IW19=0,calcA!$A$6=0),0,IF(CB$117=1,CB19,0)+IF(CC$117=1,CD19,0))</f>
        <v/>
      </c>
      <c r="CD189">
        <f>IF(OR($IW19=0,calcA!$A$6=0),0,IF(CC$117=1,CC19,0)+IF(CD$117=1,CE19,0))</f>
        <v/>
      </c>
      <c r="CE189">
        <f>IF(OR($IW19=0,calcA!$A$6=0),0,IF(CD$117=1,CD19,0)+IF(CE$117=1,CF19,0))</f>
        <v/>
      </c>
      <c r="CF189">
        <f>IF(OR($IW19=0,calcA!$A$6=0),0,IF(CE$117=1,CE19,0)+IF(CF$117=1,CG19,0))</f>
        <v/>
      </c>
      <c r="CG189">
        <f>IF(OR($IW19=0,calcA!$A$6=0),0,IF(CF$117=1,CF19,0)+IF(CG$117=1,CH19,0))</f>
        <v/>
      </c>
      <c r="CH189">
        <f>IF(OR($IW19=0,calcA!$A$6=0),0,IF(CG$117=1,CG19,0)+IF(CH$117=1,CI19,0))</f>
        <v/>
      </c>
      <c r="CI189">
        <f>IF(OR($IW19=0,calcA!$A$6=0),0,IF(CH$117=1,CH19,0)+IF(CI$117=1,CJ19,0))</f>
        <v/>
      </c>
      <c r="CJ189">
        <f>IF(OR($IW19=0,calcA!$A$6=0),0,IF(CI$117=1,CI19,0)+IF(CJ$117=1,CK19,0))</f>
        <v/>
      </c>
      <c r="CK189">
        <f>IF(OR($IW19=0,calcA!$A$6=0),0,IF(CJ$117=1,CJ19,0)+IF(CK$117=1,CL19,0))</f>
        <v/>
      </c>
      <c r="CL189">
        <f>IF(OR($IW19=0,calcA!$A$6=0),0,IF(CK$117=1,CK19,0)+IF(CL$117=1,CM19,0))</f>
        <v/>
      </c>
      <c r="CM189">
        <f>IF(OR($IW19=0,calcA!$A$6=0),0,IF(CL$117=1,CL19,0)+IF(CM$117=1,CN19,0))</f>
        <v/>
      </c>
      <c r="CN189">
        <f>IF(OR($IW19=0,calcA!$A$6=0),0,IF(CM$117=1,CM19,0)+IF(CN$117=1,CO19,0))</f>
        <v/>
      </c>
      <c r="CO189">
        <f>IF(OR($IW19=0,calcA!$A$6=0),0,IF(CN$117=1,CN19,0)+IF(CO$117=1,CP19,0))</f>
        <v/>
      </c>
      <c r="CP189">
        <f>IF(OR($IW19=0,calcA!$A$6=0),0,IF(CO$117=1,CO19,0)+IF(CP$117=1,CQ19,0))</f>
        <v/>
      </c>
      <c r="CQ189">
        <f>IF(OR($IW19=0,calcA!$A$6=0),0,IF(CP$117=1,CP19,0)+IF(CQ$117=1,CR19,0))</f>
        <v/>
      </c>
      <c r="CR189">
        <f>IF(OR($IW19=0,calcA!$A$6=0),0,IF(CQ$117=1,CQ19,0)+IF(CR$117=1,CS19,0))</f>
        <v/>
      </c>
      <c r="CS189">
        <f>IF(OR($IW19=0,calcA!$A$6=0),0,IF(CR$117=1,CR19,0)+IF(CS$117=1,CT19,0))</f>
        <v/>
      </c>
      <c r="CT189">
        <f>IF(OR($IW19=0,calcA!$A$6=0),0,IF(CS$117=1,CS19,0)+IF(CT$117=1,CU19,0))</f>
        <v/>
      </c>
      <c r="CU189">
        <f>IF(OR($IW19=0,calcA!$A$6=0),0,IF(CT$117=1,CT19,0))</f>
        <v/>
      </c>
      <c r="CV189">
        <f>IF(OR($IW19=0,calcA!$A$6=0),0,IF(CV$117=1,CW19,0))</f>
        <v/>
      </c>
      <c r="CW189">
        <f>IF(OR($IW19=0,calcA!$A$6=0),0,IF(CV$117=1,CV19,0)+IF(CW$117=1,CX19,0))</f>
        <v/>
      </c>
      <c r="CX189">
        <f>IF(OR($IW19=0,calcA!$A$6=0),0,IF(CW$117=1,CW19,0)+IF(CX$117=1,CY19,0))</f>
        <v/>
      </c>
      <c r="CY189">
        <f>IF(OR($IW19=0,calcA!$A$6=0),0,IF(CX$117=1,CX19,0)+IF(CY$117=1,CZ19,0))</f>
        <v/>
      </c>
      <c r="CZ189">
        <f>IF(OR($IW19=0,calcA!$A$6=0),0,IF(CY$117=1,CY19,0)+IF(CZ$117=1,DA19,0))</f>
        <v/>
      </c>
      <c r="DA189">
        <f>IF(OR($IW19=0,calcA!$A$6=0),0,IF(CZ$117=1,CZ19,0)+IF(DA$117=1,DB19,0))</f>
        <v/>
      </c>
      <c r="DB189">
        <f>IF(OR($IW19=0,calcA!$A$6=0),0,IF(DA$117=1,DA19,0)+IF(DB$117=1,DC19,0))</f>
        <v/>
      </c>
      <c r="DC189">
        <f>IF(OR($IW19=0,calcA!$A$6=0),0,IF(DB$117=1,DB19,0)+IF(DC$117=1,DD19,0))</f>
        <v/>
      </c>
      <c r="DD189">
        <f>IF(OR($IW19=0,calcA!$A$6=0),0,IF(DC$117=1,DC19,0)+IF(DD$117=1,DE19,0))</f>
        <v/>
      </c>
      <c r="DE189">
        <f>IF(OR($IW19=0,calcA!$A$6=0),0,IF(DD$117=1,DD19,0)+IF(DE$117=1,DF19,0))</f>
        <v/>
      </c>
      <c r="DF189">
        <f>IF(OR($IW19=0,calcA!$A$6=0),0,IF(DE$117=1,DE19,0)+IF(DF$117=1,DG19,0))</f>
        <v/>
      </c>
      <c r="DG189">
        <f>IF(OR($IW19=0,calcA!$A$6=0),0,IF(DF$117=1,DF19,0)+IF(DG$117=1,DH19,0))</f>
        <v/>
      </c>
      <c r="DH189">
        <f>IF(OR($IW19=0,calcA!$A$6=0),0,IF(DG$117=1,DG19,0)+IF(DH$117=1,DI19,0))</f>
        <v/>
      </c>
      <c r="DI189">
        <f>IF(OR($IW19=0,calcA!$A$6=0),0,IF(DH$117=1,DH19,0)+IF(DI$117=1,DJ19,0))</f>
        <v/>
      </c>
      <c r="DJ189">
        <f>IF(OR($IW19=0,calcA!$A$6=0),0,IF(DI$117=1,DI19,0)+IF(DJ$117=1,DK19,0))</f>
        <v/>
      </c>
      <c r="DK189">
        <f>IF(OR($IW19=0,calcA!$A$6=0),0,IF(DJ$117=1,DJ19,0)+IF(DK$117=1,DL19,0))</f>
        <v/>
      </c>
      <c r="DL189">
        <f>IF(OR($IW19=0,calcA!$A$6=0),0,IF(DK$117=1,DK19,0)+IF(DL$117=1,DM19,0))</f>
        <v/>
      </c>
      <c r="DM189">
        <f>IF(OR($IW19=0,calcA!$A$6=0),0,IF(DL$117=1,DL19,0)+IF(DM$117=1,DN19,0))</f>
        <v/>
      </c>
      <c r="DN189">
        <f>IF(OR($IW19=0,calcA!$A$6=0),0,IF(DM$117=1,DM19,0)+IF(DN$117=1,DO19,0))</f>
        <v/>
      </c>
      <c r="DO189">
        <f>IF(OR($IW19=0,calcA!$A$6=0),0,IF(DN$117=1,DN19,0)+IF(DO$117=1,DP19,0))</f>
        <v/>
      </c>
      <c r="DP189">
        <f>IF(OR($IW19=0,calcA!$A$6=0),0,IF(DO$117=1,DO19,0)+IF(DP$117=1,DQ19,0))</f>
        <v/>
      </c>
      <c r="DQ189">
        <f>IF(OR($IW19=0,calcA!$A$6=0),0,IF(DP$117=1,DP19,0)+IF(DQ$117=1,DR19,0))</f>
        <v/>
      </c>
      <c r="DR189">
        <f>IF(OR($IW19=0,calcA!$A$6=0),0,IF(DQ$117=1,DQ19,0)+IF(DR$117=1,DS19,0))</f>
        <v/>
      </c>
      <c r="DS189">
        <f>IF(OR($IW19=0,calcA!$A$6=0),0,IF(DR$117=1,DR19,0))</f>
        <v/>
      </c>
      <c r="DT189">
        <f>IF(OR($IW19=0,calcA!$A$6=0),0,IF(DT$117=1,DU19,0))</f>
        <v/>
      </c>
      <c r="DU189">
        <f>IF(OR($IW19=0,calcA!$A$6=0),0,IF(DT$117=1,DT19,0)+IF(DU$117=1,DV19,0))</f>
        <v/>
      </c>
      <c r="DV189">
        <f>IF(OR($IW19=0,calcA!$A$6=0),0,IF(DU$117=1,DU19,0)+IF(DV$117=1,DW19,0))</f>
        <v/>
      </c>
      <c r="DW189">
        <f>IF(OR($IW19=0,calcA!$A$6=0),0,IF(DV$117=1,DV19,0)+IF(DW$117=1,DX19,0))</f>
        <v/>
      </c>
      <c r="DX189">
        <f>IF(OR($IW19=0,calcA!$A$6=0),0,IF(DW$117=1,DW19,0)+IF(DX$117=1,DY19,0))</f>
        <v/>
      </c>
      <c r="DY189">
        <f>IF(OR($IW19=0,calcA!$A$6=0),0,IF(DX$117=1,DX19,0)+IF(DY$117=1,DZ19,0))</f>
        <v/>
      </c>
      <c r="DZ189">
        <f>IF(OR($IW19=0,calcA!$A$6=0),0,IF(DY$117=1,DY19,0)+IF(DZ$117=1,EA19,0))</f>
        <v/>
      </c>
      <c r="EA189">
        <f>IF(OR($IW19=0,calcA!$A$6=0),0,IF(DZ$117=1,DZ19,0)+IF(EA$117=1,EB19,0))</f>
        <v/>
      </c>
      <c r="EB189">
        <f>IF(OR($IW19=0,calcA!$A$6=0),0,IF(EA$117=1,EA19,0)+IF(EB$117=1,EC19,0))</f>
        <v/>
      </c>
      <c r="EC189">
        <f>IF(OR($IW19=0,calcA!$A$6=0),0,IF(EB$117=1,EB19,0)+IF(EC$117=1,ED19,0))</f>
        <v/>
      </c>
      <c r="ED189">
        <f>IF(OR($IW19=0,calcA!$A$6=0),0,IF(EC$117=1,EC19,0)+IF(ED$117=1,EE19,0))</f>
        <v/>
      </c>
      <c r="EE189">
        <f>IF(OR($IW19=0,calcA!$A$6=0),0,IF(ED$117=1,ED19,0)+IF(EE$117=1,EF19,0))</f>
        <v/>
      </c>
      <c r="EF189">
        <f>IF(OR($IW19=0,calcA!$A$6=0),0,IF(EE$117=1,EE19,0)+IF(EF$117=1,EG19,0))</f>
        <v/>
      </c>
      <c r="EG189">
        <f>IF(OR($IW19=0,calcA!$A$6=0),0,IF(EF$117=1,EF19,0)+IF(EG$117=1,EH19,0))</f>
        <v/>
      </c>
      <c r="EH189">
        <f>IF(OR($IW19=0,calcA!$A$6=0),0,IF(EG$117=1,EG19,0)+IF(EH$117=1,EI19,0))</f>
        <v/>
      </c>
      <c r="EI189">
        <f>IF(OR($IW19=0,calcA!$A$6=0),0,IF(EH$117=1,EH19,0)+IF(EI$117=1,EJ19,0))</f>
        <v/>
      </c>
      <c r="EJ189">
        <f>IF(OR($IW19=0,calcA!$A$6=0),0,IF(EI$117=1,EI19,0)+IF(EJ$117=1,EK19,0))</f>
        <v/>
      </c>
      <c r="EK189">
        <f>IF(OR($IW19=0,calcA!$A$6=0),0,IF(EJ$117=1,EJ19,0)+IF(EK$117=1,EL19,0))</f>
        <v/>
      </c>
      <c r="EL189">
        <f>IF(OR($IW19=0,calcA!$A$6=0),0,IF(EK$117=1,EK19,0)+IF(EL$117=1,EM19,0))</f>
        <v/>
      </c>
      <c r="EM189">
        <f>IF(OR($IW19=0,calcA!$A$6=0),0,IF(EL$117=1,EL19,0)+IF(EM$117=1,EN19,0))</f>
        <v/>
      </c>
      <c r="EN189">
        <f>IF(OR($IW19=0,calcA!$A$6=0),0,IF(EM$117=1,EM19,0)+IF(EN$117=1,EO19,0))</f>
        <v/>
      </c>
      <c r="EO189">
        <f>IF(OR($IW19=0,calcA!$A$6=0),0,IF(EN$117=1,EN19,0)+IF(EO$117=1,EP19,0))</f>
        <v/>
      </c>
      <c r="EP189">
        <f>IF(OR($IW19=0,calcA!$A$6=0),0,IF(EO$117=1,EO19,0)+IF(EP$117=1,EQ19,0))</f>
        <v/>
      </c>
      <c r="EQ189">
        <f>IF(OR($IW19=0,calcA!$A$6=0),0,IF(EP$117=1,EP19,0))</f>
        <v/>
      </c>
    </row>
    <row r="190">
      <c r="D190">
        <f>IF(OR($IW20=0,calcA!$A$6=0),0,IF(D$117=1,E20,0))</f>
        <v/>
      </c>
      <c r="E190">
        <f>IF(OR($IW20=0,calcA!$A$6=0),0,IF(D$117=1,D20,0)+IF(E$117=1,F20,0))</f>
        <v/>
      </c>
      <c r="F190">
        <f>IF(OR($IW20=0,calcA!$A$6=0),0,IF(E$117=1,E20,0)+IF(F$117=1,G20,0))</f>
        <v/>
      </c>
      <c r="G190">
        <f>IF(OR($IW20=0,calcA!$A$6=0),0,IF(F$117=1,F20,0)+IF(G$117=1,H20,0))</f>
        <v/>
      </c>
      <c r="H190">
        <f>IF(OR($IW20=0,calcA!$A$6=0),0,IF(G$117=1,G20,0)+IF(H$117=1,I20,0))</f>
        <v/>
      </c>
      <c r="I190">
        <f>IF(OR($IW20=0,calcA!$A$6=0),0,IF(H$117=1,H20,0)+IF(I$117=1,J20,0))</f>
        <v/>
      </c>
      <c r="J190">
        <f>IF(OR($IW20=0,calcA!$A$6=0),0,IF(I$117=1,I20,0)+IF(J$117=1,K20,0))</f>
        <v/>
      </c>
      <c r="K190">
        <f>IF(OR($IW20=0,calcA!$A$6=0),0,IF(J$117=1,J20,0)+IF(K$117=1,L20,0))</f>
        <v/>
      </c>
      <c r="L190">
        <f>IF(OR($IW20=0,calcA!$A$6=0),0,IF(K$117=1,K20,0)+IF(L$117=1,M20,0))</f>
        <v/>
      </c>
      <c r="M190">
        <f>IF(OR($IW20=0,calcA!$A$6=0),0,IF(L$117=1,L20,0)+IF(M$117=1,N20,0))</f>
        <v/>
      </c>
      <c r="N190">
        <f>IF(OR($IW20=0,calcA!$A$6=0),0,IF(M$117=1,M20,0)+IF(N$117=1,O20,0))</f>
        <v/>
      </c>
      <c r="O190">
        <f>IF(OR($IW20=0,calcA!$A$6=0),0,IF(N$117=1,N20,0)+IF(O$117=1,P20,0))</f>
        <v/>
      </c>
      <c r="P190">
        <f>IF(OR($IW20=0,calcA!$A$6=0),0,IF(O$117=1,O20,0)+IF(P$117=1,Q20,0))</f>
        <v/>
      </c>
      <c r="Q190">
        <f>IF(OR($IW20=0,calcA!$A$6=0),0,IF(P$117=1,P20,0)+IF(Q$117=1,R20,0))</f>
        <v/>
      </c>
      <c r="R190">
        <f>IF(OR($IW20=0,calcA!$A$6=0),0,IF(Q$117=1,Q20,0)+IF(R$117=1,S20,0))</f>
        <v/>
      </c>
      <c r="S190">
        <f>IF(OR($IW20=0,calcA!$A$6=0),0,IF(R$117=1,R20,0)+IF(S$117=1,T20,0))</f>
        <v/>
      </c>
      <c r="T190">
        <f>IF(OR($IW20=0,calcA!$A$6=0),0,IF(S$117=1,S20,0)+IF(T$117=1,U20,0))</f>
        <v/>
      </c>
      <c r="U190">
        <f>IF(OR($IW20=0,calcA!$A$6=0),0,IF(T$117=1,T20,0)+IF(U$117=1,V20,0))</f>
        <v/>
      </c>
      <c r="V190">
        <f>IF(OR($IW20=0,calcA!$A$6=0),0,IF(U$117=1,U20,0)+IF(V$117=1,W20,0))</f>
        <v/>
      </c>
      <c r="W190">
        <f>IF(OR($IW20=0,calcA!$A$6=0),0,IF(V$117=1,V20,0)+IF(W$117=1,X20,0))</f>
        <v/>
      </c>
      <c r="X190">
        <f>IF(OR($IW20=0,calcA!$A$6=0),0,IF(W$117=1,W20,0)+IF(X$117=1,Y20,0))</f>
        <v/>
      </c>
      <c r="Y190">
        <f>IF(OR($IW20=0,calcA!$A$6=0),0,IF(X$117=1,X20,0)+IF(Y$117=1,Z20,0))</f>
        <v/>
      </c>
      <c r="Z190">
        <f>IF(OR($IW20=0,calcA!$A$6=0),0,IF(Y$117=1,Y20,0)+IF(Z$117=1,AA20,0))</f>
        <v/>
      </c>
      <c r="AA190">
        <f>IF(OR($IW20=0,calcA!$A$6=0),0,IF(Z$117=1,Z20,0))</f>
        <v/>
      </c>
      <c r="AB190">
        <f>IF(OR($IW20=0,calcA!$A$6=0),0,IF(AB$117=1,AC20,0))</f>
        <v/>
      </c>
      <c r="AC190">
        <f>IF(OR($IW20=0,calcA!$A$6=0),0,IF(AB$117=1,AB20,0)+IF(AC$117=1,AD20,0))</f>
        <v/>
      </c>
      <c r="AD190">
        <f>IF(OR($IW20=0,calcA!$A$6=0),0,IF(AC$117=1,AC20,0)+IF(AD$117=1,AE20,0))</f>
        <v/>
      </c>
      <c r="AE190">
        <f>IF(OR($IW20=0,calcA!$A$6=0),0,IF(AD$117=1,AD20,0)+IF(AE$117=1,AF20,0))</f>
        <v/>
      </c>
      <c r="AF190">
        <f>IF(OR($IW20=0,calcA!$A$6=0),0,IF(AE$117=1,AE20,0)+IF(AF$117=1,AG20,0))</f>
        <v/>
      </c>
      <c r="AG190">
        <f>IF(OR($IW20=0,calcA!$A$6=0),0,IF(AF$117=1,AF20,0)+IF(AG$117=1,AH20,0))</f>
        <v/>
      </c>
      <c r="AH190">
        <f>IF(OR($IW20=0,calcA!$A$6=0),0,IF(AG$117=1,AG20,0)+IF(AH$117=1,AI20,0))</f>
        <v/>
      </c>
      <c r="AI190">
        <f>IF(OR($IW20=0,calcA!$A$6=0),0,IF(AH$117=1,AH20,0)+IF(AI$117=1,AJ20,0))</f>
        <v/>
      </c>
      <c r="AJ190">
        <f>IF(OR($IW20=0,calcA!$A$6=0),0,IF(AI$117=1,AI20,0)+IF(AJ$117=1,AK20,0))</f>
        <v/>
      </c>
      <c r="AK190">
        <f>IF(OR($IW20=0,calcA!$A$6=0),0,IF(AJ$117=1,AJ20,0)+IF(AK$117=1,AL20,0))</f>
        <v/>
      </c>
      <c r="AL190">
        <f>IF(OR($IW20=0,calcA!$A$6=0),0,IF(AK$117=1,AK20,0)+IF(AL$117=1,AM20,0))</f>
        <v/>
      </c>
      <c r="AM190">
        <f>IF(OR($IW20=0,calcA!$A$6=0),0,IF(AL$117=1,AL20,0)+IF(AM$117=1,AN20,0))</f>
        <v/>
      </c>
      <c r="AN190">
        <f>IF(OR($IW20=0,calcA!$A$6=0),0,IF(AM$117=1,AM20,0)+IF(AN$117=1,AO20,0))</f>
        <v/>
      </c>
      <c r="AO190">
        <f>IF(OR($IW20=0,calcA!$A$6=0),0,IF(AN$117=1,AN20,0)+IF(AO$117=1,AP20,0))</f>
        <v/>
      </c>
      <c r="AP190">
        <f>IF(OR($IW20=0,calcA!$A$6=0),0,IF(AO$117=1,AO20,0)+IF(AP$117=1,AQ20,0))</f>
        <v/>
      </c>
      <c r="AQ190">
        <f>IF(OR($IW20=0,calcA!$A$6=0),0,IF(AP$117=1,AP20,0)+IF(AQ$117=1,AR20,0))</f>
        <v/>
      </c>
      <c r="AR190">
        <f>IF(OR($IW20=0,calcA!$A$6=0),0,IF(AQ$117=1,AQ20,0)+IF(AR$117=1,AS20,0))</f>
        <v/>
      </c>
      <c r="AS190">
        <f>IF(OR($IW20=0,calcA!$A$6=0),0,IF(AR$117=1,AR20,0)+IF(AS$117=1,AT20,0))</f>
        <v/>
      </c>
      <c r="AT190">
        <f>IF(OR($IW20=0,calcA!$A$6=0),0,IF(AS$117=1,AS20,0)+IF(AT$117=1,AU20,0))</f>
        <v/>
      </c>
      <c r="AU190">
        <f>IF(OR($IW20=0,calcA!$A$6=0),0,IF(AT$117=1,AT20,0)+IF(AU$117=1,AV20,0))</f>
        <v/>
      </c>
      <c r="AV190">
        <f>IF(OR($IW20=0,calcA!$A$6=0),0,IF(AU$117=1,AU20,0)+IF(AV$117=1,AW20,0))</f>
        <v/>
      </c>
      <c r="AW190">
        <f>IF(OR($IW20=0,calcA!$A$6=0),0,IF(AV$117=1,AV20,0)+IF(AW$117=1,AX20,0))</f>
        <v/>
      </c>
      <c r="AX190">
        <f>IF(OR($IW20=0,calcA!$A$6=0),0,IF(AW$117=1,AW20,0)+IF(AX$117=1,AY20,0))</f>
        <v/>
      </c>
      <c r="AY190">
        <f>IF(OR($IW20=0,calcA!$A$6=0),0,IF(AX$117=1,AX20,0))</f>
        <v/>
      </c>
      <c r="AZ190">
        <f>IF(OR($IW20=0,calcA!$A$6=0),0,IF(AZ$117=1,BA20,0))</f>
        <v/>
      </c>
      <c r="BA190">
        <f>IF(OR($IW20=0,calcA!$A$6=0),0,IF(AZ$117=1,AZ20,0)+IF(BA$117=1,BB20,0))</f>
        <v/>
      </c>
      <c r="BB190">
        <f>IF(OR($IW20=0,calcA!$A$6=0),0,IF(BA$117=1,BA20,0)+IF(BB$117=1,BC20,0))</f>
        <v/>
      </c>
      <c r="BC190">
        <f>IF(OR($IW20=0,calcA!$A$6=0),0,IF(BB$117=1,BB20,0)+IF(BC$117=1,BD20,0))</f>
        <v/>
      </c>
      <c r="BD190">
        <f>IF(OR($IW20=0,calcA!$A$6=0),0,IF(BC$117=1,BC20,0)+IF(BD$117=1,BE20,0))</f>
        <v/>
      </c>
      <c r="BE190">
        <f>IF(OR($IW20=0,calcA!$A$6=0),0,IF(BD$117=1,BD20,0)+IF(BE$117=1,BF20,0))</f>
        <v/>
      </c>
      <c r="BF190">
        <f>IF(OR($IW20=0,calcA!$A$6=0),0,IF(BE$117=1,BE20,0)+IF(BF$117=1,BG20,0))</f>
        <v/>
      </c>
      <c r="BG190">
        <f>IF(OR($IW20=0,calcA!$A$6=0),0,IF(BF$117=1,BF20,0)+IF(BG$117=1,BH20,0))</f>
        <v/>
      </c>
      <c r="BH190">
        <f>IF(OR($IW20=0,calcA!$A$6=0),0,IF(BG$117=1,BG20,0)+IF(BH$117=1,BI20,0))</f>
        <v/>
      </c>
      <c r="BI190">
        <f>IF(OR($IW20=0,calcA!$A$6=0),0,IF(BH$117=1,BH20,0)+IF(BI$117=1,BJ20,0))</f>
        <v/>
      </c>
      <c r="BJ190">
        <f>IF(OR($IW20=0,calcA!$A$6=0),0,IF(BI$117=1,BI20,0)+IF(BJ$117=1,BK20,0))</f>
        <v/>
      </c>
      <c r="BK190">
        <f>IF(OR($IW20=0,calcA!$A$6=0),0,IF(BJ$117=1,BJ20,0)+IF(BK$117=1,BL20,0))</f>
        <v/>
      </c>
      <c r="BL190">
        <f>IF(OR($IW20=0,calcA!$A$6=0),0,IF(BK$117=1,BK20,0)+IF(BL$117=1,BM20,0))</f>
        <v/>
      </c>
      <c r="BM190">
        <f>IF(OR($IW20=0,calcA!$A$6=0),0,IF(BL$117=1,BL20,0)+IF(BM$117=1,BN20,0))</f>
        <v/>
      </c>
      <c r="BN190">
        <f>IF(OR($IW20=0,calcA!$A$6=0),0,IF(BM$117=1,BM20,0)+IF(BN$117=1,BO20,0))</f>
        <v/>
      </c>
      <c r="BO190">
        <f>IF(OR($IW20=0,calcA!$A$6=0),0,IF(BN$117=1,BN20,0)+IF(BO$117=1,BP20,0))</f>
        <v/>
      </c>
      <c r="BP190">
        <f>IF(OR($IW20=0,calcA!$A$6=0),0,IF(BO$117=1,BO20,0)+IF(BP$117=1,BQ20,0))</f>
        <v/>
      </c>
      <c r="BQ190">
        <f>IF(OR($IW20=0,calcA!$A$6=0),0,IF(BP$117=1,BP20,0)+IF(BQ$117=1,BR20,0))</f>
        <v/>
      </c>
      <c r="BR190">
        <f>IF(OR($IW20=0,calcA!$A$6=0),0,IF(BQ$117=1,BQ20,0)+IF(BR$117=1,BS20,0))</f>
        <v/>
      </c>
      <c r="BS190">
        <f>IF(OR($IW20=0,calcA!$A$6=0),0,IF(BR$117=1,BR20,0)+IF(BS$117=1,BT20,0))</f>
        <v/>
      </c>
      <c r="BT190">
        <f>IF(OR($IW20=0,calcA!$A$6=0),0,IF(BS$117=1,BS20,0)+IF(BT$117=1,BU20,0))</f>
        <v/>
      </c>
      <c r="BU190">
        <f>IF(OR($IW20=0,calcA!$A$6=0),0,IF(BT$117=1,BT20,0)+IF(BU$117=1,BV20,0))</f>
        <v/>
      </c>
      <c r="BV190">
        <f>IF(OR($IW20=0,calcA!$A$6=0),0,IF(BU$117=1,BU20,0)+IF(BV$117=1,BW20,0))</f>
        <v/>
      </c>
      <c r="BW190">
        <f>IF(OR($IW20=0,calcA!$A$6=0),0,IF(BV$117=1,BV20,0))</f>
        <v/>
      </c>
      <c r="BX190">
        <f>IF(OR($IW20=0,calcA!$A$6=0),0,IF(BX$117=1,BY20,0))</f>
        <v/>
      </c>
      <c r="BY190">
        <f>IF(OR($IW20=0,calcA!$A$6=0),0,IF(BX$117=1,BX20,0)+IF(BY$117=1,BZ20,0))</f>
        <v/>
      </c>
      <c r="BZ190">
        <f>IF(OR($IW20=0,calcA!$A$6=0),0,IF(BY$117=1,BY20,0)+IF(BZ$117=1,CA20,0))</f>
        <v/>
      </c>
      <c r="CA190">
        <f>IF(OR($IW20=0,calcA!$A$6=0),0,IF(BZ$117=1,BZ20,0)+IF(CA$117=1,CB20,0))</f>
        <v/>
      </c>
      <c r="CB190">
        <f>IF(OR($IW20=0,calcA!$A$6=0),0,IF(CA$117=1,CA20,0)+IF(CB$117=1,CC20,0))</f>
        <v/>
      </c>
      <c r="CC190">
        <f>IF(OR($IW20=0,calcA!$A$6=0),0,IF(CB$117=1,CB20,0)+IF(CC$117=1,CD20,0))</f>
        <v/>
      </c>
      <c r="CD190">
        <f>IF(OR($IW20=0,calcA!$A$6=0),0,IF(CC$117=1,CC20,0)+IF(CD$117=1,CE20,0))</f>
        <v/>
      </c>
      <c r="CE190">
        <f>IF(OR($IW20=0,calcA!$A$6=0),0,IF(CD$117=1,CD20,0)+IF(CE$117=1,CF20,0))</f>
        <v/>
      </c>
      <c r="CF190">
        <f>IF(OR($IW20=0,calcA!$A$6=0),0,IF(CE$117=1,CE20,0)+IF(CF$117=1,CG20,0))</f>
        <v/>
      </c>
      <c r="CG190">
        <f>IF(OR($IW20=0,calcA!$A$6=0),0,IF(CF$117=1,CF20,0)+IF(CG$117=1,CH20,0))</f>
        <v/>
      </c>
      <c r="CH190">
        <f>IF(OR($IW20=0,calcA!$A$6=0),0,IF(CG$117=1,CG20,0)+IF(CH$117=1,CI20,0))</f>
        <v/>
      </c>
      <c r="CI190">
        <f>IF(OR($IW20=0,calcA!$A$6=0),0,IF(CH$117=1,CH20,0)+IF(CI$117=1,CJ20,0))</f>
        <v/>
      </c>
      <c r="CJ190">
        <f>IF(OR($IW20=0,calcA!$A$6=0),0,IF(CI$117=1,CI20,0)+IF(CJ$117=1,CK20,0))</f>
        <v/>
      </c>
      <c r="CK190">
        <f>IF(OR($IW20=0,calcA!$A$6=0),0,IF(CJ$117=1,CJ20,0)+IF(CK$117=1,CL20,0))</f>
        <v/>
      </c>
      <c r="CL190">
        <f>IF(OR($IW20=0,calcA!$A$6=0),0,IF(CK$117=1,CK20,0)+IF(CL$117=1,CM20,0))</f>
        <v/>
      </c>
      <c r="CM190">
        <f>IF(OR($IW20=0,calcA!$A$6=0),0,IF(CL$117=1,CL20,0)+IF(CM$117=1,CN20,0))</f>
        <v/>
      </c>
      <c r="CN190">
        <f>IF(OR($IW20=0,calcA!$A$6=0),0,IF(CM$117=1,CM20,0)+IF(CN$117=1,CO20,0))</f>
        <v/>
      </c>
      <c r="CO190">
        <f>IF(OR($IW20=0,calcA!$A$6=0),0,IF(CN$117=1,CN20,0)+IF(CO$117=1,CP20,0))</f>
        <v/>
      </c>
      <c r="CP190">
        <f>IF(OR($IW20=0,calcA!$A$6=0),0,IF(CO$117=1,CO20,0)+IF(CP$117=1,CQ20,0))</f>
        <v/>
      </c>
      <c r="CQ190">
        <f>IF(OR($IW20=0,calcA!$A$6=0),0,IF(CP$117=1,CP20,0)+IF(CQ$117=1,CR20,0))</f>
        <v/>
      </c>
      <c r="CR190">
        <f>IF(OR($IW20=0,calcA!$A$6=0),0,IF(CQ$117=1,CQ20,0)+IF(CR$117=1,CS20,0))</f>
        <v/>
      </c>
      <c r="CS190">
        <f>IF(OR($IW20=0,calcA!$A$6=0),0,IF(CR$117=1,CR20,0)+IF(CS$117=1,CT20,0))</f>
        <v/>
      </c>
      <c r="CT190">
        <f>IF(OR($IW20=0,calcA!$A$6=0),0,IF(CS$117=1,CS20,0)+IF(CT$117=1,CU20,0))</f>
        <v/>
      </c>
      <c r="CU190">
        <f>IF(OR($IW20=0,calcA!$A$6=0),0,IF(CT$117=1,CT20,0))</f>
        <v/>
      </c>
      <c r="CV190">
        <f>IF(OR($IW20=0,calcA!$A$6=0),0,IF(CV$117=1,CW20,0))</f>
        <v/>
      </c>
      <c r="CW190">
        <f>IF(OR($IW20=0,calcA!$A$6=0),0,IF(CV$117=1,CV20,0)+IF(CW$117=1,CX20,0))</f>
        <v/>
      </c>
      <c r="CX190">
        <f>IF(OR($IW20=0,calcA!$A$6=0),0,IF(CW$117=1,CW20,0)+IF(CX$117=1,CY20,0))</f>
        <v/>
      </c>
      <c r="CY190">
        <f>IF(OR($IW20=0,calcA!$A$6=0),0,IF(CX$117=1,CX20,0)+IF(CY$117=1,CZ20,0))</f>
        <v/>
      </c>
      <c r="CZ190">
        <f>IF(OR($IW20=0,calcA!$A$6=0),0,IF(CY$117=1,CY20,0)+IF(CZ$117=1,DA20,0))</f>
        <v/>
      </c>
      <c r="DA190">
        <f>IF(OR($IW20=0,calcA!$A$6=0),0,IF(CZ$117=1,CZ20,0)+IF(DA$117=1,DB20,0))</f>
        <v/>
      </c>
      <c r="DB190">
        <f>IF(OR($IW20=0,calcA!$A$6=0),0,IF(DA$117=1,DA20,0)+IF(DB$117=1,DC20,0))</f>
        <v/>
      </c>
      <c r="DC190">
        <f>IF(OR($IW20=0,calcA!$A$6=0),0,IF(DB$117=1,DB20,0)+IF(DC$117=1,DD20,0))</f>
        <v/>
      </c>
      <c r="DD190">
        <f>IF(OR($IW20=0,calcA!$A$6=0),0,IF(DC$117=1,DC20,0)+IF(DD$117=1,DE20,0))</f>
        <v/>
      </c>
      <c r="DE190">
        <f>IF(OR($IW20=0,calcA!$A$6=0),0,IF(DD$117=1,DD20,0)+IF(DE$117=1,DF20,0))</f>
        <v/>
      </c>
      <c r="DF190">
        <f>IF(OR($IW20=0,calcA!$A$6=0),0,IF(DE$117=1,DE20,0)+IF(DF$117=1,DG20,0))</f>
        <v/>
      </c>
      <c r="DG190">
        <f>IF(OR($IW20=0,calcA!$A$6=0),0,IF(DF$117=1,DF20,0)+IF(DG$117=1,DH20,0))</f>
        <v/>
      </c>
      <c r="DH190">
        <f>IF(OR($IW20=0,calcA!$A$6=0),0,IF(DG$117=1,DG20,0)+IF(DH$117=1,DI20,0))</f>
        <v/>
      </c>
      <c r="DI190">
        <f>IF(OR($IW20=0,calcA!$A$6=0),0,IF(DH$117=1,DH20,0)+IF(DI$117=1,DJ20,0))</f>
        <v/>
      </c>
      <c r="DJ190">
        <f>IF(OR($IW20=0,calcA!$A$6=0),0,IF(DI$117=1,DI20,0)+IF(DJ$117=1,DK20,0))</f>
        <v/>
      </c>
      <c r="DK190">
        <f>IF(OR($IW20=0,calcA!$A$6=0),0,IF(DJ$117=1,DJ20,0)+IF(DK$117=1,DL20,0))</f>
        <v/>
      </c>
      <c r="DL190">
        <f>IF(OR($IW20=0,calcA!$A$6=0),0,IF(DK$117=1,DK20,0)+IF(DL$117=1,DM20,0))</f>
        <v/>
      </c>
      <c r="DM190">
        <f>IF(OR($IW20=0,calcA!$A$6=0),0,IF(DL$117=1,DL20,0)+IF(DM$117=1,DN20,0))</f>
        <v/>
      </c>
      <c r="DN190">
        <f>IF(OR($IW20=0,calcA!$A$6=0),0,IF(DM$117=1,DM20,0)+IF(DN$117=1,DO20,0))</f>
        <v/>
      </c>
      <c r="DO190">
        <f>IF(OR($IW20=0,calcA!$A$6=0),0,IF(DN$117=1,DN20,0)+IF(DO$117=1,DP20,0))</f>
        <v/>
      </c>
      <c r="DP190">
        <f>IF(OR($IW20=0,calcA!$A$6=0),0,IF(DO$117=1,DO20,0)+IF(DP$117=1,DQ20,0))</f>
        <v/>
      </c>
      <c r="DQ190">
        <f>IF(OR($IW20=0,calcA!$A$6=0),0,IF(DP$117=1,DP20,0)+IF(DQ$117=1,DR20,0))</f>
        <v/>
      </c>
      <c r="DR190">
        <f>IF(OR($IW20=0,calcA!$A$6=0),0,IF(DQ$117=1,DQ20,0)+IF(DR$117=1,DS20,0))</f>
        <v/>
      </c>
      <c r="DS190">
        <f>IF(OR($IW20=0,calcA!$A$6=0),0,IF(DR$117=1,DR20,0))</f>
        <v/>
      </c>
      <c r="DT190">
        <f>IF(OR($IW20=0,calcA!$A$6=0),0,IF(DT$117=1,DU20,0))</f>
        <v/>
      </c>
      <c r="DU190">
        <f>IF(OR($IW20=0,calcA!$A$6=0),0,IF(DT$117=1,DT20,0)+IF(DU$117=1,DV20,0))</f>
        <v/>
      </c>
      <c r="DV190">
        <f>IF(OR($IW20=0,calcA!$A$6=0),0,IF(DU$117=1,DU20,0)+IF(DV$117=1,DW20,0))</f>
        <v/>
      </c>
      <c r="DW190">
        <f>IF(OR($IW20=0,calcA!$A$6=0),0,IF(DV$117=1,DV20,0)+IF(DW$117=1,DX20,0))</f>
        <v/>
      </c>
      <c r="DX190">
        <f>IF(OR($IW20=0,calcA!$A$6=0),0,IF(DW$117=1,DW20,0)+IF(DX$117=1,DY20,0))</f>
        <v/>
      </c>
      <c r="DY190">
        <f>IF(OR($IW20=0,calcA!$A$6=0),0,IF(DX$117=1,DX20,0)+IF(DY$117=1,DZ20,0))</f>
        <v/>
      </c>
      <c r="DZ190">
        <f>IF(OR($IW20=0,calcA!$A$6=0),0,IF(DY$117=1,DY20,0)+IF(DZ$117=1,EA20,0))</f>
        <v/>
      </c>
      <c r="EA190">
        <f>IF(OR($IW20=0,calcA!$A$6=0),0,IF(DZ$117=1,DZ20,0)+IF(EA$117=1,EB20,0))</f>
        <v/>
      </c>
      <c r="EB190">
        <f>IF(OR($IW20=0,calcA!$A$6=0),0,IF(EA$117=1,EA20,0)+IF(EB$117=1,EC20,0))</f>
        <v/>
      </c>
      <c r="EC190">
        <f>IF(OR($IW20=0,calcA!$A$6=0),0,IF(EB$117=1,EB20,0)+IF(EC$117=1,ED20,0))</f>
        <v/>
      </c>
      <c r="ED190">
        <f>IF(OR($IW20=0,calcA!$A$6=0),0,IF(EC$117=1,EC20,0)+IF(ED$117=1,EE20,0))</f>
        <v/>
      </c>
      <c r="EE190">
        <f>IF(OR($IW20=0,calcA!$A$6=0),0,IF(ED$117=1,ED20,0)+IF(EE$117=1,EF20,0))</f>
        <v/>
      </c>
      <c r="EF190">
        <f>IF(OR($IW20=0,calcA!$A$6=0),0,IF(EE$117=1,EE20,0)+IF(EF$117=1,EG20,0))</f>
        <v/>
      </c>
      <c r="EG190">
        <f>IF(OR($IW20=0,calcA!$A$6=0),0,IF(EF$117=1,EF20,0)+IF(EG$117=1,EH20,0))</f>
        <v/>
      </c>
      <c r="EH190">
        <f>IF(OR($IW20=0,calcA!$A$6=0),0,IF(EG$117=1,EG20,0)+IF(EH$117=1,EI20,0))</f>
        <v/>
      </c>
      <c r="EI190">
        <f>IF(OR($IW20=0,calcA!$A$6=0),0,IF(EH$117=1,EH20,0)+IF(EI$117=1,EJ20,0))</f>
        <v/>
      </c>
      <c r="EJ190">
        <f>IF(OR($IW20=0,calcA!$A$6=0),0,IF(EI$117=1,EI20,0)+IF(EJ$117=1,EK20,0))</f>
        <v/>
      </c>
      <c r="EK190">
        <f>IF(OR($IW20=0,calcA!$A$6=0),0,IF(EJ$117=1,EJ20,0)+IF(EK$117=1,EL20,0))</f>
        <v/>
      </c>
      <c r="EL190">
        <f>IF(OR($IW20=0,calcA!$A$6=0),0,IF(EK$117=1,EK20,0)+IF(EL$117=1,EM20,0))</f>
        <v/>
      </c>
      <c r="EM190">
        <f>IF(OR($IW20=0,calcA!$A$6=0),0,IF(EL$117=1,EL20,0)+IF(EM$117=1,EN20,0))</f>
        <v/>
      </c>
      <c r="EN190">
        <f>IF(OR($IW20=0,calcA!$A$6=0),0,IF(EM$117=1,EM20,0)+IF(EN$117=1,EO20,0))</f>
        <v/>
      </c>
      <c r="EO190">
        <f>IF(OR($IW20=0,calcA!$A$6=0),0,IF(EN$117=1,EN20,0)+IF(EO$117=1,EP20,0))</f>
        <v/>
      </c>
      <c r="EP190">
        <f>IF(OR($IW20=0,calcA!$A$6=0),0,IF(EO$117=1,EO20,0)+IF(EP$117=1,EQ20,0))</f>
        <v/>
      </c>
      <c r="EQ190">
        <f>IF(OR($IW20=0,calcA!$A$6=0),0,IF(EP$117=1,EP20,0))</f>
        <v/>
      </c>
    </row>
    <row r="191">
      <c r="D191">
        <f>IF(OR($IW21=0,calcA!$A$6=0),0,IF(D$117=1,E21,0))</f>
        <v/>
      </c>
      <c r="E191">
        <f>IF(OR($IW21=0,calcA!$A$6=0),0,IF(D$117=1,D21,0)+IF(E$117=1,F21,0))</f>
        <v/>
      </c>
      <c r="F191">
        <f>IF(OR($IW21=0,calcA!$A$6=0),0,IF(E$117=1,E21,0)+IF(F$117=1,G21,0))</f>
        <v/>
      </c>
      <c r="G191">
        <f>IF(OR($IW21=0,calcA!$A$6=0),0,IF(F$117=1,F21,0)+IF(G$117=1,H21,0))</f>
        <v/>
      </c>
      <c r="H191">
        <f>IF(OR($IW21=0,calcA!$A$6=0),0,IF(G$117=1,G21,0)+IF(H$117=1,I21,0))</f>
        <v/>
      </c>
      <c r="I191">
        <f>IF(OR($IW21=0,calcA!$A$6=0),0,IF(H$117=1,H21,0)+IF(I$117=1,J21,0))</f>
        <v/>
      </c>
      <c r="J191">
        <f>IF(OR($IW21=0,calcA!$A$6=0),0,IF(I$117=1,I21,0)+IF(J$117=1,K21,0))</f>
        <v/>
      </c>
      <c r="K191">
        <f>IF(OR($IW21=0,calcA!$A$6=0),0,IF(J$117=1,J21,0)+IF(K$117=1,L21,0))</f>
        <v/>
      </c>
      <c r="L191">
        <f>IF(OR($IW21=0,calcA!$A$6=0),0,IF(K$117=1,K21,0)+IF(L$117=1,M21,0))</f>
        <v/>
      </c>
      <c r="M191">
        <f>IF(OR($IW21=0,calcA!$A$6=0),0,IF(L$117=1,L21,0)+IF(M$117=1,N21,0))</f>
        <v/>
      </c>
      <c r="N191">
        <f>IF(OR($IW21=0,calcA!$A$6=0),0,IF(M$117=1,M21,0)+IF(N$117=1,O21,0))</f>
        <v/>
      </c>
      <c r="O191">
        <f>IF(OR($IW21=0,calcA!$A$6=0),0,IF(N$117=1,N21,0)+IF(O$117=1,P21,0))</f>
        <v/>
      </c>
      <c r="P191">
        <f>IF(OR($IW21=0,calcA!$A$6=0),0,IF(O$117=1,O21,0)+IF(P$117=1,Q21,0))</f>
        <v/>
      </c>
      <c r="Q191">
        <f>IF(OR($IW21=0,calcA!$A$6=0),0,IF(P$117=1,P21,0)+IF(Q$117=1,R21,0))</f>
        <v/>
      </c>
      <c r="R191">
        <f>IF(OR($IW21=0,calcA!$A$6=0),0,IF(Q$117=1,Q21,0)+IF(R$117=1,S21,0))</f>
        <v/>
      </c>
      <c r="S191">
        <f>IF(OR($IW21=0,calcA!$A$6=0),0,IF(R$117=1,R21,0)+IF(S$117=1,T21,0))</f>
        <v/>
      </c>
      <c r="T191">
        <f>IF(OR($IW21=0,calcA!$A$6=0),0,IF(S$117=1,S21,0)+IF(T$117=1,U21,0))</f>
        <v/>
      </c>
      <c r="U191">
        <f>IF(OR($IW21=0,calcA!$A$6=0),0,IF(T$117=1,T21,0)+IF(U$117=1,V21,0))</f>
        <v/>
      </c>
      <c r="V191">
        <f>IF(OR($IW21=0,calcA!$A$6=0),0,IF(U$117=1,U21,0)+IF(V$117=1,W21,0))</f>
        <v/>
      </c>
      <c r="W191">
        <f>IF(OR($IW21=0,calcA!$A$6=0),0,IF(V$117=1,V21,0)+IF(W$117=1,X21,0))</f>
        <v/>
      </c>
      <c r="X191">
        <f>IF(OR($IW21=0,calcA!$A$6=0),0,IF(W$117=1,W21,0)+IF(X$117=1,Y21,0))</f>
        <v/>
      </c>
      <c r="Y191">
        <f>IF(OR($IW21=0,calcA!$A$6=0),0,IF(X$117=1,X21,0)+IF(Y$117=1,Z21,0))</f>
        <v/>
      </c>
      <c r="Z191">
        <f>IF(OR($IW21=0,calcA!$A$6=0),0,IF(Y$117=1,Y21,0)+IF(Z$117=1,AA21,0))</f>
        <v/>
      </c>
      <c r="AA191">
        <f>IF(OR($IW21=0,calcA!$A$6=0),0,IF(Z$117=1,Z21,0))</f>
        <v/>
      </c>
      <c r="AB191">
        <f>IF(OR($IW21=0,calcA!$A$6=0),0,IF(AB$117=1,AC21,0))</f>
        <v/>
      </c>
      <c r="AC191">
        <f>IF(OR($IW21=0,calcA!$A$6=0),0,IF(AB$117=1,AB21,0)+IF(AC$117=1,AD21,0))</f>
        <v/>
      </c>
      <c r="AD191">
        <f>IF(OR($IW21=0,calcA!$A$6=0),0,IF(AC$117=1,AC21,0)+IF(AD$117=1,AE21,0))</f>
        <v/>
      </c>
      <c r="AE191">
        <f>IF(OR($IW21=0,calcA!$A$6=0),0,IF(AD$117=1,AD21,0)+IF(AE$117=1,AF21,0))</f>
        <v/>
      </c>
      <c r="AF191">
        <f>IF(OR($IW21=0,calcA!$A$6=0),0,IF(AE$117=1,AE21,0)+IF(AF$117=1,AG21,0))</f>
        <v/>
      </c>
      <c r="AG191">
        <f>IF(OR($IW21=0,calcA!$A$6=0),0,IF(AF$117=1,AF21,0)+IF(AG$117=1,AH21,0))</f>
        <v/>
      </c>
      <c r="AH191">
        <f>IF(OR($IW21=0,calcA!$A$6=0),0,IF(AG$117=1,AG21,0)+IF(AH$117=1,AI21,0))</f>
        <v/>
      </c>
      <c r="AI191">
        <f>IF(OR($IW21=0,calcA!$A$6=0),0,IF(AH$117=1,AH21,0)+IF(AI$117=1,AJ21,0))</f>
        <v/>
      </c>
      <c r="AJ191">
        <f>IF(OR($IW21=0,calcA!$A$6=0),0,IF(AI$117=1,AI21,0)+IF(AJ$117=1,AK21,0))</f>
        <v/>
      </c>
      <c r="AK191">
        <f>IF(OR($IW21=0,calcA!$A$6=0),0,IF(AJ$117=1,AJ21,0)+IF(AK$117=1,AL21,0))</f>
        <v/>
      </c>
      <c r="AL191">
        <f>IF(OR($IW21=0,calcA!$A$6=0),0,IF(AK$117=1,AK21,0)+IF(AL$117=1,AM21,0))</f>
        <v/>
      </c>
      <c r="AM191">
        <f>IF(OR($IW21=0,calcA!$A$6=0),0,IF(AL$117=1,AL21,0)+IF(AM$117=1,AN21,0))</f>
        <v/>
      </c>
      <c r="AN191">
        <f>IF(OR($IW21=0,calcA!$A$6=0),0,IF(AM$117=1,AM21,0)+IF(AN$117=1,AO21,0))</f>
        <v/>
      </c>
      <c r="AO191">
        <f>IF(OR($IW21=0,calcA!$A$6=0),0,IF(AN$117=1,AN21,0)+IF(AO$117=1,AP21,0))</f>
        <v/>
      </c>
      <c r="AP191">
        <f>IF(OR($IW21=0,calcA!$A$6=0),0,IF(AO$117=1,AO21,0)+IF(AP$117=1,AQ21,0))</f>
        <v/>
      </c>
      <c r="AQ191">
        <f>IF(OR($IW21=0,calcA!$A$6=0),0,IF(AP$117=1,AP21,0)+IF(AQ$117=1,AR21,0))</f>
        <v/>
      </c>
      <c r="AR191">
        <f>IF(OR($IW21=0,calcA!$A$6=0),0,IF(AQ$117=1,AQ21,0)+IF(AR$117=1,AS21,0))</f>
        <v/>
      </c>
      <c r="AS191">
        <f>IF(OR($IW21=0,calcA!$A$6=0),0,IF(AR$117=1,AR21,0)+IF(AS$117=1,AT21,0))</f>
        <v/>
      </c>
      <c r="AT191">
        <f>IF(OR($IW21=0,calcA!$A$6=0),0,IF(AS$117=1,AS21,0)+IF(AT$117=1,AU21,0))</f>
        <v/>
      </c>
      <c r="AU191">
        <f>IF(OR($IW21=0,calcA!$A$6=0),0,IF(AT$117=1,AT21,0)+IF(AU$117=1,AV21,0))</f>
        <v/>
      </c>
      <c r="AV191">
        <f>IF(OR($IW21=0,calcA!$A$6=0),0,IF(AU$117=1,AU21,0)+IF(AV$117=1,AW21,0))</f>
        <v/>
      </c>
      <c r="AW191">
        <f>IF(OR($IW21=0,calcA!$A$6=0),0,IF(AV$117=1,AV21,0)+IF(AW$117=1,AX21,0))</f>
        <v/>
      </c>
      <c r="AX191">
        <f>IF(OR($IW21=0,calcA!$A$6=0),0,IF(AW$117=1,AW21,0)+IF(AX$117=1,AY21,0))</f>
        <v/>
      </c>
      <c r="AY191">
        <f>IF(OR($IW21=0,calcA!$A$6=0),0,IF(AX$117=1,AX21,0))</f>
        <v/>
      </c>
      <c r="AZ191">
        <f>IF(OR($IW21=0,calcA!$A$6=0),0,IF(AZ$117=1,BA21,0))</f>
        <v/>
      </c>
      <c r="BA191">
        <f>IF(OR($IW21=0,calcA!$A$6=0),0,IF(AZ$117=1,AZ21,0)+IF(BA$117=1,BB21,0))</f>
        <v/>
      </c>
      <c r="BB191">
        <f>IF(OR($IW21=0,calcA!$A$6=0),0,IF(BA$117=1,BA21,0)+IF(BB$117=1,BC21,0))</f>
        <v/>
      </c>
      <c r="BC191">
        <f>IF(OR($IW21=0,calcA!$A$6=0),0,IF(BB$117=1,BB21,0)+IF(BC$117=1,BD21,0))</f>
        <v/>
      </c>
      <c r="BD191">
        <f>IF(OR($IW21=0,calcA!$A$6=0),0,IF(BC$117=1,BC21,0)+IF(BD$117=1,BE21,0))</f>
        <v/>
      </c>
      <c r="BE191">
        <f>IF(OR($IW21=0,calcA!$A$6=0),0,IF(BD$117=1,BD21,0)+IF(BE$117=1,BF21,0))</f>
        <v/>
      </c>
      <c r="BF191">
        <f>IF(OR($IW21=0,calcA!$A$6=0),0,IF(BE$117=1,BE21,0)+IF(BF$117=1,BG21,0))</f>
        <v/>
      </c>
      <c r="BG191">
        <f>IF(OR($IW21=0,calcA!$A$6=0),0,IF(BF$117=1,BF21,0)+IF(BG$117=1,BH21,0))</f>
        <v/>
      </c>
      <c r="BH191">
        <f>IF(OR($IW21=0,calcA!$A$6=0),0,IF(BG$117=1,BG21,0)+IF(BH$117=1,BI21,0))</f>
        <v/>
      </c>
      <c r="BI191">
        <f>IF(OR($IW21=0,calcA!$A$6=0),0,IF(BH$117=1,BH21,0)+IF(BI$117=1,BJ21,0))</f>
        <v/>
      </c>
      <c r="BJ191">
        <f>IF(OR($IW21=0,calcA!$A$6=0),0,IF(BI$117=1,BI21,0)+IF(BJ$117=1,BK21,0))</f>
        <v/>
      </c>
      <c r="BK191">
        <f>IF(OR($IW21=0,calcA!$A$6=0),0,IF(BJ$117=1,BJ21,0)+IF(BK$117=1,BL21,0))</f>
        <v/>
      </c>
      <c r="BL191">
        <f>IF(OR($IW21=0,calcA!$A$6=0),0,IF(BK$117=1,BK21,0)+IF(BL$117=1,BM21,0))</f>
        <v/>
      </c>
      <c r="BM191">
        <f>IF(OR($IW21=0,calcA!$A$6=0),0,IF(BL$117=1,BL21,0)+IF(BM$117=1,BN21,0))</f>
        <v/>
      </c>
      <c r="BN191">
        <f>IF(OR($IW21=0,calcA!$A$6=0),0,IF(BM$117=1,BM21,0)+IF(BN$117=1,BO21,0))</f>
        <v/>
      </c>
      <c r="BO191">
        <f>IF(OR($IW21=0,calcA!$A$6=0),0,IF(BN$117=1,BN21,0)+IF(BO$117=1,BP21,0))</f>
        <v/>
      </c>
      <c r="BP191">
        <f>IF(OR($IW21=0,calcA!$A$6=0),0,IF(BO$117=1,BO21,0)+IF(BP$117=1,BQ21,0))</f>
        <v/>
      </c>
      <c r="BQ191">
        <f>IF(OR($IW21=0,calcA!$A$6=0),0,IF(BP$117=1,BP21,0)+IF(BQ$117=1,BR21,0))</f>
        <v/>
      </c>
      <c r="BR191">
        <f>IF(OR($IW21=0,calcA!$A$6=0),0,IF(BQ$117=1,BQ21,0)+IF(BR$117=1,BS21,0))</f>
        <v/>
      </c>
      <c r="BS191">
        <f>IF(OR($IW21=0,calcA!$A$6=0),0,IF(BR$117=1,BR21,0)+IF(BS$117=1,BT21,0))</f>
        <v/>
      </c>
      <c r="BT191">
        <f>IF(OR($IW21=0,calcA!$A$6=0),0,IF(BS$117=1,BS21,0)+IF(BT$117=1,BU21,0))</f>
        <v/>
      </c>
      <c r="BU191">
        <f>IF(OR($IW21=0,calcA!$A$6=0),0,IF(BT$117=1,BT21,0)+IF(BU$117=1,BV21,0))</f>
        <v/>
      </c>
      <c r="BV191">
        <f>IF(OR($IW21=0,calcA!$A$6=0),0,IF(BU$117=1,BU21,0)+IF(BV$117=1,BW21,0))</f>
        <v/>
      </c>
      <c r="BW191">
        <f>IF(OR($IW21=0,calcA!$A$6=0),0,IF(BV$117=1,BV21,0))</f>
        <v/>
      </c>
      <c r="BX191">
        <f>IF(OR($IW21=0,calcA!$A$6=0),0,IF(BX$117=1,BY21,0))</f>
        <v/>
      </c>
      <c r="BY191">
        <f>IF(OR($IW21=0,calcA!$A$6=0),0,IF(BX$117=1,BX21,0)+IF(BY$117=1,BZ21,0))</f>
        <v/>
      </c>
      <c r="BZ191">
        <f>IF(OR($IW21=0,calcA!$A$6=0),0,IF(BY$117=1,BY21,0)+IF(BZ$117=1,CA21,0))</f>
        <v/>
      </c>
      <c r="CA191">
        <f>IF(OR($IW21=0,calcA!$A$6=0),0,IF(BZ$117=1,BZ21,0)+IF(CA$117=1,CB21,0))</f>
        <v/>
      </c>
      <c r="CB191">
        <f>IF(OR($IW21=0,calcA!$A$6=0),0,IF(CA$117=1,CA21,0)+IF(CB$117=1,CC21,0))</f>
        <v/>
      </c>
      <c r="CC191">
        <f>IF(OR($IW21=0,calcA!$A$6=0),0,IF(CB$117=1,CB21,0)+IF(CC$117=1,CD21,0))</f>
        <v/>
      </c>
      <c r="CD191">
        <f>IF(OR($IW21=0,calcA!$A$6=0),0,IF(CC$117=1,CC21,0)+IF(CD$117=1,CE21,0))</f>
        <v/>
      </c>
      <c r="CE191">
        <f>IF(OR($IW21=0,calcA!$A$6=0),0,IF(CD$117=1,CD21,0)+IF(CE$117=1,CF21,0))</f>
        <v/>
      </c>
      <c r="CF191">
        <f>IF(OR($IW21=0,calcA!$A$6=0),0,IF(CE$117=1,CE21,0)+IF(CF$117=1,CG21,0))</f>
        <v/>
      </c>
      <c r="CG191">
        <f>IF(OR($IW21=0,calcA!$A$6=0),0,IF(CF$117=1,CF21,0)+IF(CG$117=1,CH21,0))</f>
        <v/>
      </c>
      <c r="CH191">
        <f>IF(OR($IW21=0,calcA!$A$6=0),0,IF(CG$117=1,CG21,0)+IF(CH$117=1,CI21,0))</f>
        <v/>
      </c>
      <c r="CI191">
        <f>IF(OR($IW21=0,calcA!$A$6=0),0,IF(CH$117=1,CH21,0)+IF(CI$117=1,CJ21,0))</f>
        <v/>
      </c>
      <c r="CJ191">
        <f>IF(OR($IW21=0,calcA!$A$6=0),0,IF(CI$117=1,CI21,0)+IF(CJ$117=1,CK21,0))</f>
        <v/>
      </c>
      <c r="CK191">
        <f>IF(OR($IW21=0,calcA!$A$6=0),0,IF(CJ$117=1,CJ21,0)+IF(CK$117=1,CL21,0))</f>
        <v/>
      </c>
      <c r="CL191">
        <f>IF(OR($IW21=0,calcA!$A$6=0),0,IF(CK$117=1,CK21,0)+IF(CL$117=1,CM21,0))</f>
        <v/>
      </c>
      <c r="CM191">
        <f>IF(OR($IW21=0,calcA!$A$6=0),0,IF(CL$117=1,CL21,0)+IF(CM$117=1,CN21,0))</f>
        <v/>
      </c>
      <c r="CN191">
        <f>IF(OR($IW21=0,calcA!$A$6=0),0,IF(CM$117=1,CM21,0)+IF(CN$117=1,CO21,0))</f>
        <v/>
      </c>
      <c r="CO191">
        <f>IF(OR($IW21=0,calcA!$A$6=0),0,IF(CN$117=1,CN21,0)+IF(CO$117=1,CP21,0))</f>
        <v/>
      </c>
      <c r="CP191">
        <f>IF(OR($IW21=0,calcA!$A$6=0),0,IF(CO$117=1,CO21,0)+IF(CP$117=1,CQ21,0))</f>
        <v/>
      </c>
      <c r="CQ191">
        <f>IF(OR($IW21=0,calcA!$A$6=0),0,IF(CP$117=1,CP21,0)+IF(CQ$117=1,CR21,0))</f>
        <v/>
      </c>
      <c r="CR191">
        <f>IF(OR($IW21=0,calcA!$A$6=0),0,IF(CQ$117=1,CQ21,0)+IF(CR$117=1,CS21,0))</f>
        <v/>
      </c>
      <c r="CS191">
        <f>IF(OR($IW21=0,calcA!$A$6=0),0,IF(CR$117=1,CR21,0)+IF(CS$117=1,CT21,0))</f>
        <v/>
      </c>
      <c r="CT191">
        <f>IF(OR($IW21=0,calcA!$A$6=0),0,IF(CS$117=1,CS21,0)+IF(CT$117=1,CU21,0))</f>
        <v/>
      </c>
      <c r="CU191">
        <f>IF(OR($IW21=0,calcA!$A$6=0),0,IF(CT$117=1,CT21,0))</f>
        <v/>
      </c>
      <c r="CV191">
        <f>IF(OR($IW21=0,calcA!$A$6=0),0,IF(CV$117=1,CW21,0))</f>
        <v/>
      </c>
      <c r="CW191">
        <f>IF(OR($IW21=0,calcA!$A$6=0),0,IF(CV$117=1,CV21,0)+IF(CW$117=1,CX21,0))</f>
        <v/>
      </c>
      <c r="CX191">
        <f>IF(OR($IW21=0,calcA!$A$6=0),0,IF(CW$117=1,CW21,0)+IF(CX$117=1,CY21,0))</f>
        <v/>
      </c>
      <c r="CY191">
        <f>IF(OR($IW21=0,calcA!$A$6=0),0,IF(CX$117=1,CX21,0)+IF(CY$117=1,CZ21,0))</f>
        <v/>
      </c>
      <c r="CZ191">
        <f>IF(OR($IW21=0,calcA!$A$6=0),0,IF(CY$117=1,CY21,0)+IF(CZ$117=1,DA21,0))</f>
        <v/>
      </c>
      <c r="DA191">
        <f>IF(OR($IW21=0,calcA!$A$6=0),0,IF(CZ$117=1,CZ21,0)+IF(DA$117=1,DB21,0))</f>
        <v/>
      </c>
      <c r="DB191">
        <f>IF(OR($IW21=0,calcA!$A$6=0),0,IF(DA$117=1,DA21,0)+IF(DB$117=1,DC21,0))</f>
        <v/>
      </c>
      <c r="DC191">
        <f>IF(OR($IW21=0,calcA!$A$6=0),0,IF(DB$117=1,DB21,0)+IF(DC$117=1,DD21,0))</f>
        <v/>
      </c>
      <c r="DD191">
        <f>IF(OR($IW21=0,calcA!$A$6=0),0,IF(DC$117=1,DC21,0)+IF(DD$117=1,DE21,0))</f>
        <v/>
      </c>
      <c r="DE191">
        <f>IF(OR($IW21=0,calcA!$A$6=0),0,IF(DD$117=1,DD21,0)+IF(DE$117=1,DF21,0))</f>
        <v/>
      </c>
      <c r="DF191">
        <f>IF(OR($IW21=0,calcA!$A$6=0),0,IF(DE$117=1,DE21,0)+IF(DF$117=1,DG21,0))</f>
        <v/>
      </c>
      <c r="DG191">
        <f>IF(OR($IW21=0,calcA!$A$6=0),0,IF(DF$117=1,DF21,0)+IF(DG$117=1,DH21,0))</f>
        <v/>
      </c>
      <c r="DH191">
        <f>IF(OR($IW21=0,calcA!$A$6=0),0,IF(DG$117=1,DG21,0)+IF(DH$117=1,DI21,0))</f>
        <v/>
      </c>
      <c r="DI191">
        <f>IF(OR($IW21=0,calcA!$A$6=0),0,IF(DH$117=1,DH21,0)+IF(DI$117=1,DJ21,0))</f>
        <v/>
      </c>
      <c r="DJ191">
        <f>IF(OR($IW21=0,calcA!$A$6=0),0,IF(DI$117=1,DI21,0)+IF(DJ$117=1,DK21,0))</f>
        <v/>
      </c>
      <c r="DK191">
        <f>IF(OR($IW21=0,calcA!$A$6=0),0,IF(DJ$117=1,DJ21,0)+IF(DK$117=1,DL21,0))</f>
        <v/>
      </c>
      <c r="DL191">
        <f>IF(OR($IW21=0,calcA!$A$6=0),0,IF(DK$117=1,DK21,0)+IF(DL$117=1,DM21,0))</f>
        <v/>
      </c>
      <c r="DM191">
        <f>IF(OR($IW21=0,calcA!$A$6=0),0,IF(DL$117=1,DL21,0)+IF(DM$117=1,DN21,0))</f>
        <v/>
      </c>
      <c r="DN191">
        <f>IF(OR($IW21=0,calcA!$A$6=0),0,IF(DM$117=1,DM21,0)+IF(DN$117=1,DO21,0))</f>
        <v/>
      </c>
      <c r="DO191">
        <f>IF(OR($IW21=0,calcA!$A$6=0),0,IF(DN$117=1,DN21,0)+IF(DO$117=1,DP21,0))</f>
        <v/>
      </c>
      <c r="DP191">
        <f>IF(OR($IW21=0,calcA!$A$6=0),0,IF(DO$117=1,DO21,0)+IF(DP$117=1,DQ21,0))</f>
        <v/>
      </c>
      <c r="DQ191">
        <f>IF(OR($IW21=0,calcA!$A$6=0),0,IF(DP$117=1,DP21,0)+IF(DQ$117=1,DR21,0))</f>
        <v/>
      </c>
      <c r="DR191">
        <f>IF(OR($IW21=0,calcA!$A$6=0),0,IF(DQ$117=1,DQ21,0)+IF(DR$117=1,DS21,0))</f>
        <v/>
      </c>
      <c r="DS191">
        <f>IF(OR($IW21=0,calcA!$A$6=0),0,IF(DR$117=1,DR21,0))</f>
        <v/>
      </c>
      <c r="DT191">
        <f>IF(OR($IW21=0,calcA!$A$6=0),0,IF(DT$117=1,DU21,0))</f>
        <v/>
      </c>
      <c r="DU191">
        <f>IF(OR($IW21=0,calcA!$A$6=0),0,IF(DT$117=1,DT21,0)+IF(DU$117=1,DV21,0))</f>
        <v/>
      </c>
      <c r="DV191">
        <f>IF(OR($IW21=0,calcA!$A$6=0),0,IF(DU$117=1,DU21,0)+IF(DV$117=1,DW21,0))</f>
        <v/>
      </c>
      <c r="DW191">
        <f>IF(OR($IW21=0,calcA!$A$6=0),0,IF(DV$117=1,DV21,0)+IF(DW$117=1,DX21,0))</f>
        <v/>
      </c>
      <c r="DX191">
        <f>IF(OR($IW21=0,calcA!$A$6=0),0,IF(DW$117=1,DW21,0)+IF(DX$117=1,DY21,0))</f>
        <v/>
      </c>
      <c r="DY191">
        <f>IF(OR($IW21=0,calcA!$A$6=0),0,IF(DX$117=1,DX21,0)+IF(DY$117=1,DZ21,0))</f>
        <v/>
      </c>
      <c r="DZ191">
        <f>IF(OR($IW21=0,calcA!$A$6=0),0,IF(DY$117=1,DY21,0)+IF(DZ$117=1,EA21,0))</f>
        <v/>
      </c>
      <c r="EA191">
        <f>IF(OR($IW21=0,calcA!$A$6=0),0,IF(DZ$117=1,DZ21,0)+IF(EA$117=1,EB21,0))</f>
        <v/>
      </c>
      <c r="EB191">
        <f>IF(OR($IW21=0,calcA!$A$6=0),0,IF(EA$117=1,EA21,0)+IF(EB$117=1,EC21,0))</f>
        <v/>
      </c>
      <c r="EC191">
        <f>IF(OR($IW21=0,calcA!$A$6=0),0,IF(EB$117=1,EB21,0)+IF(EC$117=1,ED21,0))</f>
        <v/>
      </c>
      <c r="ED191">
        <f>IF(OR($IW21=0,calcA!$A$6=0),0,IF(EC$117=1,EC21,0)+IF(ED$117=1,EE21,0))</f>
        <v/>
      </c>
      <c r="EE191">
        <f>IF(OR($IW21=0,calcA!$A$6=0),0,IF(ED$117=1,ED21,0)+IF(EE$117=1,EF21,0))</f>
        <v/>
      </c>
      <c r="EF191">
        <f>IF(OR($IW21=0,calcA!$A$6=0),0,IF(EE$117=1,EE21,0)+IF(EF$117=1,EG21,0))</f>
        <v/>
      </c>
      <c r="EG191">
        <f>IF(OR($IW21=0,calcA!$A$6=0),0,IF(EF$117=1,EF21,0)+IF(EG$117=1,EH21,0))</f>
        <v/>
      </c>
      <c r="EH191">
        <f>IF(OR($IW21=0,calcA!$A$6=0),0,IF(EG$117=1,EG21,0)+IF(EH$117=1,EI21,0))</f>
        <v/>
      </c>
      <c r="EI191">
        <f>IF(OR($IW21=0,calcA!$A$6=0),0,IF(EH$117=1,EH21,0)+IF(EI$117=1,EJ21,0))</f>
        <v/>
      </c>
      <c r="EJ191">
        <f>IF(OR($IW21=0,calcA!$A$6=0),0,IF(EI$117=1,EI21,0)+IF(EJ$117=1,EK21,0))</f>
        <v/>
      </c>
      <c r="EK191">
        <f>IF(OR($IW21=0,calcA!$A$6=0),0,IF(EJ$117=1,EJ21,0)+IF(EK$117=1,EL21,0))</f>
        <v/>
      </c>
      <c r="EL191">
        <f>IF(OR($IW21=0,calcA!$A$6=0),0,IF(EK$117=1,EK21,0)+IF(EL$117=1,EM21,0))</f>
        <v/>
      </c>
      <c r="EM191">
        <f>IF(OR($IW21=0,calcA!$A$6=0),0,IF(EL$117=1,EL21,0)+IF(EM$117=1,EN21,0))</f>
        <v/>
      </c>
      <c r="EN191">
        <f>IF(OR($IW21=0,calcA!$A$6=0),0,IF(EM$117=1,EM21,0)+IF(EN$117=1,EO21,0))</f>
        <v/>
      </c>
      <c r="EO191">
        <f>IF(OR($IW21=0,calcA!$A$6=0),0,IF(EN$117=1,EN21,0)+IF(EO$117=1,EP21,0))</f>
        <v/>
      </c>
      <c r="EP191">
        <f>IF(OR($IW21=0,calcA!$A$6=0),0,IF(EO$117=1,EO21,0)+IF(EP$117=1,EQ21,0))</f>
        <v/>
      </c>
      <c r="EQ191">
        <f>IF(OR($IW21=0,calcA!$A$6=0),0,IF(EP$117=1,EP21,0))</f>
        <v/>
      </c>
    </row>
    <row r="192">
      <c r="D192">
        <f>IF(OR($IW22=0,calcA!$A$6=0),0,IF(D$117=1,E22,0))</f>
        <v/>
      </c>
      <c r="E192">
        <f>IF(OR($IW22=0,calcA!$A$6=0),0,IF(D$117=1,D22,0)+IF(E$117=1,F22,0))</f>
        <v/>
      </c>
      <c r="F192">
        <f>IF(OR($IW22=0,calcA!$A$6=0),0,IF(E$117=1,E22,0)+IF(F$117=1,G22,0))</f>
        <v/>
      </c>
      <c r="G192">
        <f>IF(OR($IW22=0,calcA!$A$6=0),0,IF(F$117=1,F22,0)+IF(G$117=1,H22,0))</f>
        <v/>
      </c>
      <c r="H192">
        <f>IF(OR($IW22=0,calcA!$A$6=0),0,IF(G$117=1,G22,0)+IF(H$117=1,I22,0))</f>
        <v/>
      </c>
      <c r="I192">
        <f>IF(OR($IW22=0,calcA!$A$6=0),0,IF(H$117=1,H22,0)+IF(I$117=1,J22,0))</f>
        <v/>
      </c>
      <c r="J192">
        <f>IF(OR($IW22=0,calcA!$A$6=0),0,IF(I$117=1,I22,0)+IF(J$117=1,K22,0))</f>
        <v/>
      </c>
      <c r="K192">
        <f>IF(OR($IW22=0,calcA!$A$6=0),0,IF(J$117=1,J22,0)+IF(K$117=1,L22,0))</f>
        <v/>
      </c>
      <c r="L192">
        <f>IF(OR($IW22=0,calcA!$A$6=0),0,IF(K$117=1,K22,0)+IF(L$117=1,M22,0))</f>
        <v/>
      </c>
      <c r="M192">
        <f>IF(OR($IW22=0,calcA!$A$6=0),0,IF(L$117=1,L22,0)+IF(M$117=1,N22,0))</f>
        <v/>
      </c>
      <c r="N192">
        <f>IF(OR($IW22=0,calcA!$A$6=0),0,IF(M$117=1,M22,0)+IF(N$117=1,O22,0))</f>
        <v/>
      </c>
      <c r="O192">
        <f>IF(OR($IW22=0,calcA!$A$6=0),0,IF(N$117=1,N22,0)+IF(O$117=1,P22,0))</f>
        <v/>
      </c>
      <c r="P192">
        <f>IF(OR($IW22=0,calcA!$A$6=0),0,IF(O$117=1,O22,0)+IF(P$117=1,Q22,0))</f>
        <v/>
      </c>
      <c r="Q192">
        <f>IF(OR($IW22=0,calcA!$A$6=0),0,IF(P$117=1,P22,0)+IF(Q$117=1,R22,0))</f>
        <v/>
      </c>
      <c r="R192">
        <f>IF(OR($IW22=0,calcA!$A$6=0),0,IF(Q$117=1,Q22,0)+IF(R$117=1,S22,0))</f>
        <v/>
      </c>
      <c r="S192">
        <f>IF(OR($IW22=0,calcA!$A$6=0),0,IF(R$117=1,R22,0)+IF(S$117=1,T22,0))</f>
        <v/>
      </c>
      <c r="T192">
        <f>IF(OR($IW22=0,calcA!$A$6=0),0,IF(S$117=1,S22,0)+IF(T$117=1,U22,0))</f>
        <v/>
      </c>
      <c r="U192">
        <f>IF(OR($IW22=0,calcA!$A$6=0),0,IF(T$117=1,T22,0)+IF(U$117=1,V22,0))</f>
        <v/>
      </c>
      <c r="V192">
        <f>IF(OR($IW22=0,calcA!$A$6=0),0,IF(U$117=1,U22,0)+IF(V$117=1,W22,0))</f>
        <v/>
      </c>
      <c r="W192">
        <f>IF(OR($IW22=0,calcA!$A$6=0),0,IF(V$117=1,V22,0)+IF(W$117=1,X22,0))</f>
        <v/>
      </c>
      <c r="X192">
        <f>IF(OR($IW22=0,calcA!$A$6=0),0,IF(W$117=1,W22,0)+IF(X$117=1,Y22,0))</f>
        <v/>
      </c>
      <c r="Y192">
        <f>IF(OR($IW22=0,calcA!$A$6=0),0,IF(X$117=1,X22,0)+IF(Y$117=1,Z22,0))</f>
        <v/>
      </c>
      <c r="Z192">
        <f>IF(OR($IW22=0,calcA!$A$6=0),0,IF(Y$117=1,Y22,0)+IF(Z$117=1,AA22,0))</f>
        <v/>
      </c>
      <c r="AA192">
        <f>IF(OR($IW22=0,calcA!$A$6=0),0,IF(Z$117=1,Z22,0))</f>
        <v/>
      </c>
      <c r="AB192">
        <f>IF(OR($IW22=0,calcA!$A$6=0),0,IF(AB$117=1,AC22,0))</f>
        <v/>
      </c>
      <c r="AC192">
        <f>IF(OR($IW22=0,calcA!$A$6=0),0,IF(AB$117=1,AB22,0)+IF(AC$117=1,AD22,0))</f>
        <v/>
      </c>
      <c r="AD192">
        <f>IF(OR($IW22=0,calcA!$A$6=0),0,IF(AC$117=1,AC22,0)+IF(AD$117=1,AE22,0))</f>
        <v/>
      </c>
      <c r="AE192">
        <f>IF(OR($IW22=0,calcA!$A$6=0),0,IF(AD$117=1,AD22,0)+IF(AE$117=1,AF22,0))</f>
        <v/>
      </c>
      <c r="AF192">
        <f>IF(OR($IW22=0,calcA!$A$6=0),0,IF(AE$117=1,AE22,0)+IF(AF$117=1,AG22,0))</f>
        <v/>
      </c>
      <c r="AG192">
        <f>IF(OR($IW22=0,calcA!$A$6=0),0,IF(AF$117=1,AF22,0)+IF(AG$117=1,AH22,0))</f>
        <v/>
      </c>
      <c r="AH192">
        <f>IF(OR($IW22=0,calcA!$A$6=0),0,IF(AG$117=1,AG22,0)+IF(AH$117=1,AI22,0))</f>
        <v/>
      </c>
      <c r="AI192">
        <f>IF(OR($IW22=0,calcA!$A$6=0),0,IF(AH$117=1,AH22,0)+IF(AI$117=1,AJ22,0))</f>
        <v/>
      </c>
      <c r="AJ192">
        <f>IF(OR($IW22=0,calcA!$A$6=0),0,IF(AI$117=1,AI22,0)+IF(AJ$117=1,AK22,0))</f>
        <v/>
      </c>
      <c r="AK192">
        <f>IF(OR($IW22=0,calcA!$A$6=0),0,IF(AJ$117=1,AJ22,0)+IF(AK$117=1,AL22,0))</f>
        <v/>
      </c>
      <c r="AL192">
        <f>IF(OR($IW22=0,calcA!$A$6=0),0,IF(AK$117=1,AK22,0)+IF(AL$117=1,AM22,0))</f>
        <v/>
      </c>
      <c r="AM192">
        <f>IF(OR($IW22=0,calcA!$A$6=0),0,IF(AL$117=1,AL22,0)+IF(AM$117=1,AN22,0))</f>
        <v/>
      </c>
      <c r="AN192">
        <f>IF(OR($IW22=0,calcA!$A$6=0),0,IF(AM$117=1,AM22,0)+IF(AN$117=1,AO22,0))</f>
        <v/>
      </c>
      <c r="AO192">
        <f>IF(OR($IW22=0,calcA!$A$6=0),0,IF(AN$117=1,AN22,0)+IF(AO$117=1,AP22,0))</f>
        <v/>
      </c>
      <c r="AP192">
        <f>IF(OR($IW22=0,calcA!$A$6=0),0,IF(AO$117=1,AO22,0)+IF(AP$117=1,AQ22,0))</f>
        <v/>
      </c>
      <c r="AQ192">
        <f>IF(OR($IW22=0,calcA!$A$6=0),0,IF(AP$117=1,AP22,0)+IF(AQ$117=1,AR22,0))</f>
        <v/>
      </c>
      <c r="AR192">
        <f>IF(OR($IW22=0,calcA!$A$6=0),0,IF(AQ$117=1,AQ22,0)+IF(AR$117=1,AS22,0))</f>
        <v/>
      </c>
      <c r="AS192">
        <f>IF(OR($IW22=0,calcA!$A$6=0),0,IF(AR$117=1,AR22,0)+IF(AS$117=1,AT22,0))</f>
        <v/>
      </c>
      <c r="AT192">
        <f>IF(OR($IW22=0,calcA!$A$6=0),0,IF(AS$117=1,AS22,0)+IF(AT$117=1,AU22,0))</f>
        <v/>
      </c>
      <c r="AU192">
        <f>IF(OR($IW22=0,calcA!$A$6=0),0,IF(AT$117=1,AT22,0)+IF(AU$117=1,AV22,0))</f>
        <v/>
      </c>
      <c r="AV192">
        <f>IF(OR($IW22=0,calcA!$A$6=0),0,IF(AU$117=1,AU22,0)+IF(AV$117=1,AW22,0))</f>
        <v/>
      </c>
      <c r="AW192">
        <f>IF(OR($IW22=0,calcA!$A$6=0),0,IF(AV$117=1,AV22,0)+IF(AW$117=1,AX22,0))</f>
        <v/>
      </c>
      <c r="AX192">
        <f>IF(OR($IW22=0,calcA!$A$6=0),0,IF(AW$117=1,AW22,0)+IF(AX$117=1,AY22,0))</f>
        <v/>
      </c>
      <c r="AY192">
        <f>IF(OR($IW22=0,calcA!$A$6=0),0,IF(AX$117=1,AX22,0))</f>
        <v/>
      </c>
      <c r="AZ192">
        <f>IF(OR($IW22=0,calcA!$A$6=0),0,IF(AZ$117=1,BA22,0))</f>
        <v/>
      </c>
      <c r="BA192">
        <f>IF(OR($IW22=0,calcA!$A$6=0),0,IF(AZ$117=1,AZ22,0)+IF(BA$117=1,BB22,0))</f>
        <v/>
      </c>
      <c r="BB192">
        <f>IF(OR($IW22=0,calcA!$A$6=0),0,IF(BA$117=1,BA22,0)+IF(BB$117=1,BC22,0))</f>
        <v/>
      </c>
      <c r="BC192">
        <f>IF(OR($IW22=0,calcA!$A$6=0),0,IF(BB$117=1,BB22,0)+IF(BC$117=1,BD22,0))</f>
        <v/>
      </c>
      <c r="BD192">
        <f>IF(OR($IW22=0,calcA!$A$6=0),0,IF(BC$117=1,BC22,0)+IF(BD$117=1,BE22,0))</f>
        <v/>
      </c>
      <c r="BE192">
        <f>IF(OR($IW22=0,calcA!$A$6=0),0,IF(BD$117=1,BD22,0)+IF(BE$117=1,BF22,0))</f>
        <v/>
      </c>
      <c r="BF192">
        <f>IF(OR($IW22=0,calcA!$A$6=0),0,IF(BE$117=1,BE22,0)+IF(BF$117=1,BG22,0))</f>
        <v/>
      </c>
      <c r="BG192">
        <f>IF(OR($IW22=0,calcA!$A$6=0),0,IF(BF$117=1,BF22,0)+IF(BG$117=1,BH22,0))</f>
        <v/>
      </c>
      <c r="BH192">
        <f>IF(OR($IW22=0,calcA!$A$6=0),0,IF(BG$117=1,BG22,0)+IF(BH$117=1,BI22,0))</f>
        <v/>
      </c>
      <c r="BI192">
        <f>IF(OR($IW22=0,calcA!$A$6=0),0,IF(BH$117=1,BH22,0)+IF(BI$117=1,BJ22,0))</f>
        <v/>
      </c>
      <c r="BJ192">
        <f>IF(OR($IW22=0,calcA!$A$6=0),0,IF(BI$117=1,BI22,0)+IF(BJ$117=1,BK22,0))</f>
        <v/>
      </c>
      <c r="BK192">
        <f>IF(OR($IW22=0,calcA!$A$6=0),0,IF(BJ$117=1,BJ22,0)+IF(BK$117=1,BL22,0))</f>
        <v/>
      </c>
      <c r="BL192">
        <f>IF(OR($IW22=0,calcA!$A$6=0),0,IF(BK$117=1,BK22,0)+IF(BL$117=1,BM22,0))</f>
        <v/>
      </c>
      <c r="BM192">
        <f>IF(OR($IW22=0,calcA!$A$6=0),0,IF(BL$117=1,BL22,0)+IF(BM$117=1,BN22,0))</f>
        <v/>
      </c>
      <c r="BN192">
        <f>IF(OR($IW22=0,calcA!$A$6=0),0,IF(BM$117=1,BM22,0)+IF(BN$117=1,BO22,0))</f>
        <v/>
      </c>
      <c r="BO192">
        <f>IF(OR($IW22=0,calcA!$A$6=0),0,IF(BN$117=1,BN22,0)+IF(BO$117=1,BP22,0))</f>
        <v/>
      </c>
      <c r="BP192">
        <f>IF(OR($IW22=0,calcA!$A$6=0),0,IF(BO$117=1,BO22,0)+IF(BP$117=1,BQ22,0))</f>
        <v/>
      </c>
      <c r="BQ192">
        <f>IF(OR($IW22=0,calcA!$A$6=0),0,IF(BP$117=1,BP22,0)+IF(BQ$117=1,BR22,0))</f>
        <v/>
      </c>
      <c r="BR192">
        <f>IF(OR($IW22=0,calcA!$A$6=0),0,IF(BQ$117=1,BQ22,0)+IF(BR$117=1,BS22,0))</f>
        <v/>
      </c>
      <c r="BS192">
        <f>IF(OR($IW22=0,calcA!$A$6=0),0,IF(BR$117=1,BR22,0)+IF(BS$117=1,BT22,0))</f>
        <v/>
      </c>
      <c r="BT192">
        <f>IF(OR($IW22=0,calcA!$A$6=0),0,IF(BS$117=1,BS22,0)+IF(BT$117=1,BU22,0))</f>
        <v/>
      </c>
      <c r="BU192">
        <f>IF(OR($IW22=0,calcA!$A$6=0),0,IF(BT$117=1,BT22,0)+IF(BU$117=1,BV22,0))</f>
        <v/>
      </c>
      <c r="BV192">
        <f>IF(OR($IW22=0,calcA!$A$6=0),0,IF(BU$117=1,BU22,0)+IF(BV$117=1,BW22,0))</f>
        <v/>
      </c>
      <c r="BW192">
        <f>IF(OR($IW22=0,calcA!$A$6=0),0,IF(BV$117=1,BV22,0))</f>
        <v/>
      </c>
      <c r="BX192">
        <f>IF(OR($IW22=0,calcA!$A$6=0),0,IF(BX$117=1,BY22,0))</f>
        <v/>
      </c>
      <c r="BY192">
        <f>IF(OR($IW22=0,calcA!$A$6=0),0,IF(BX$117=1,BX22,0)+IF(BY$117=1,BZ22,0))</f>
        <v/>
      </c>
      <c r="BZ192">
        <f>IF(OR($IW22=0,calcA!$A$6=0),0,IF(BY$117=1,BY22,0)+IF(BZ$117=1,CA22,0))</f>
        <v/>
      </c>
      <c r="CA192">
        <f>IF(OR($IW22=0,calcA!$A$6=0),0,IF(BZ$117=1,BZ22,0)+IF(CA$117=1,CB22,0))</f>
        <v/>
      </c>
      <c r="CB192">
        <f>IF(OR($IW22=0,calcA!$A$6=0),0,IF(CA$117=1,CA22,0)+IF(CB$117=1,CC22,0))</f>
        <v/>
      </c>
      <c r="CC192">
        <f>IF(OR($IW22=0,calcA!$A$6=0),0,IF(CB$117=1,CB22,0)+IF(CC$117=1,CD22,0))</f>
        <v/>
      </c>
      <c r="CD192">
        <f>IF(OR($IW22=0,calcA!$A$6=0),0,IF(CC$117=1,CC22,0)+IF(CD$117=1,CE22,0))</f>
        <v/>
      </c>
      <c r="CE192">
        <f>IF(OR($IW22=0,calcA!$A$6=0),0,IF(CD$117=1,CD22,0)+IF(CE$117=1,CF22,0))</f>
        <v/>
      </c>
      <c r="CF192">
        <f>IF(OR($IW22=0,calcA!$A$6=0),0,IF(CE$117=1,CE22,0)+IF(CF$117=1,CG22,0))</f>
        <v/>
      </c>
      <c r="CG192">
        <f>IF(OR($IW22=0,calcA!$A$6=0),0,IF(CF$117=1,CF22,0)+IF(CG$117=1,CH22,0))</f>
        <v/>
      </c>
      <c r="CH192">
        <f>IF(OR($IW22=0,calcA!$A$6=0),0,IF(CG$117=1,CG22,0)+IF(CH$117=1,CI22,0))</f>
        <v/>
      </c>
      <c r="CI192">
        <f>IF(OR($IW22=0,calcA!$A$6=0),0,IF(CH$117=1,CH22,0)+IF(CI$117=1,CJ22,0))</f>
        <v/>
      </c>
      <c r="CJ192">
        <f>IF(OR($IW22=0,calcA!$A$6=0),0,IF(CI$117=1,CI22,0)+IF(CJ$117=1,CK22,0))</f>
        <v/>
      </c>
      <c r="CK192">
        <f>IF(OR($IW22=0,calcA!$A$6=0),0,IF(CJ$117=1,CJ22,0)+IF(CK$117=1,CL22,0))</f>
        <v/>
      </c>
      <c r="CL192">
        <f>IF(OR($IW22=0,calcA!$A$6=0),0,IF(CK$117=1,CK22,0)+IF(CL$117=1,CM22,0))</f>
        <v/>
      </c>
      <c r="CM192">
        <f>IF(OR($IW22=0,calcA!$A$6=0),0,IF(CL$117=1,CL22,0)+IF(CM$117=1,CN22,0))</f>
        <v/>
      </c>
      <c r="CN192">
        <f>IF(OR($IW22=0,calcA!$A$6=0),0,IF(CM$117=1,CM22,0)+IF(CN$117=1,CO22,0))</f>
        <v/>
      </c>
      <c r="CO192">
        <f>IF(OR($IW22=0,calcA!$A$6=0),0,IF(CN$117=1,CN22,0)+IF(CO$117=1,CP22,0))</f>
        <v/>
      </c>
      <c r="CP192">
        <f>IF(OR($IW22=0,calcA!$A$6=0),0,IF(CO$117=1,CO22,0)+IF(CP$117=1,CQ22,0))</f>
        <v/>
      </c>
      <c r="CQ192">
        <f>IF(OR($IW22=0,calcA!$A$6=0),0,IF(CP$117=1,CP22,0)+IF(CQ$117=1,CR22,0))</f>
        <v/>
      </c>
      <c r="CR192">
        <f>IF(OR($IW22=0,calcA!$A$6=0),0,IF(CQ$117=1,CQ22,0)+IF(CR$117=1,CS22,0))</f>
        <v/>
      </c>
      <c r="CS192">
        <f>IF(OR($IW22=0,calcA!$A$6=0),0,IF(CR$117=1,CR22,0)+IF(CS$117=1,CT22,0))</f>
        <v/>
      </c>
      <c r="CT192">
        <f>IF(OR($IW22=0,calcA!$A$6=0),0,IF(CS$117=1,CS22,0)+IF(CT$117=1,CU22,0))</f>
        <v/>
      </c>
      <c r="CU192">
        <f>IF(OR($IW22=0,calcA!$A$6=0),0,IF(CT$117=1,CT22,0))</f>
        <v/>
      </c>
      <c r="CV192">
        <f>IF(OR($IW22=0,calcA!$A$6=0),0,IF(CV$117=1,CW22,0))</f>
        <v/>
      </c>
      <c r="CW192">
        <f>IF(OR($IW22=0,calcA!$A$6=0),0,IF(CV$117=1,CV22,0)+IF(CW$117=1,CX22,0))</f>
        <v/>
      </c>
      <c r="CX192">
        <f>IF(OR($IW22=0,calcA!$A$6=0),0,IF(CW$117=1,CW22,0)+IF(CX$117=1,CY22,0))</f>
        <v/>
      </c>
      <c r="CY192">
        <f>IF(OR($IW22=0,calcA!$A$6=0),0,IF(CX$117=1,CX22,0)+IF(CY$117=1,CZ22,0))</f>
        <v/>
      </c>
      <c r="CZ192">
        <f>IF(OR($IW22=0,calcA!$A$6=0),0,IF(CY$117=1,CY22,0)+IF(CZ$117=1,DA22,0))</f>
        <v/>
      </c>
      <c r="DA192">
        <f>IF(OR($IW22=0,calcA!$A$6=0),0,IF(CZ$117=1,CZ22,0)+IF(DA$117=1,DB22,0))</f>
        <v/>
      </c>
      <c r="DB192">
        <f>IF(OR($IW22=0,calcA!$A$6=0),0,IF(DA$117=1,DA22,0)+IF(DB$117=1,DC22,0))</f>
        <v/>
      </c>
      <c r="DC192">
        <f>IF(OR($IW22=0,calcA!$A$6=0),0,IF(DB$117=1,DB22,0)+IF(DC$117=1,DD22,0))</f>
        <v/>
      </c>
      <c r="DD192">
        <f>IF(OR($IW22=0,calcA!$A$6=0),0,IF(DC$117=1,DC22,0)+IF(DD$117=1,DE22,0))</f>
        <v/>
      </c>
      <c r="DE192">
        <f>IF(OR($IW22=0,calcA!$A$6=0),0,IF(DD$117=1,DD22,0)+IF(DE$117=1,DF22,0))</f>
        <v/>
      </c>
      <c r="DF192">
        <f>IF(OR($IW22=0,calcA!$A$6=0),0,IF(DE$117=1,DE22,0)+IF(DF$117=1,DG22,0))</f>
        <v/>
      </c>
      <c r="DG192">
        <f>IF(OR($IW22=0,calcA!$A$6=0),0,IF(DF$117=1,DF22,0)+IF(DG$117=1,DH22,0))</f>
        <v/>
      </c>
      <c r="DH192">
        <f>IF(OR($IW22=0,calcA!$A$6=0),0,IF(DG$117=1,DG22,0)+IF(DH$117=1,DI22,0))</f>
        <v/>
      </c>
      <c r="DI192">
        <f>IF(OR($IW22=0,calcA!$A$6=0),0,IF(DH$117=1,DH22,0)+IF(DI$117=1,DJ22,0))</f>
        <v/>
      </c>
      <c r="DJ192">
        <f>IF(OR($IW22=0,calcA!$A$6=0),0,IF(DI$117=1,DI22,0)+IF(DJ$117=1,DK22,0))</f>
        <v/>
      </c>
      <c r="DK192">
        <f>IF(OR($IW22=0,calcA!$A$6=0),0,IF(DJ$117=1,DJ22,0)+IF(DK$117=1,DL22,0))</f>
        <v/>
      </c>
      <c r="DL192">
        <f>IF(OR($IW22=0,calcA!$A$6=0),0,IF(DK$117=1,DK22,0)+IF(DL$117=1,DM22,0))</f>
        <v/>
      </c>
      <c r="DM192">
        <f>IF(OR($IW22=0,calcA!$A$6=0),0,IF(DL$117=1,DL22,0)+IF(DM$117=1,DN22,0))</f>
        <v/>
      </c>
      <c r="DN192">
        <f>IF(OR($IW22=0,calcA!$A$6=0),0,IF(DM$117=1,DM22,0)+IF(DN$117=1,DO22,0))</f>
        <v/>
      </c>
      <c r="DO192">
        <f>IF(OR($IW22=0,calcA!$A$6=0),0,IF(DN$117=1,DN22,0)+IF(DO$117=1,DP22,0))</f>
        <v/>
      </c>
      <c r="DP192">
        <f>IF(OR($IW22=0,calcA!$A$6=0),0,IF(DO$117=1,DO22,0)+IF(DP$117=1,DQ22,0))</f>
        <v/>
      </c>
      <c r="DQ192">
        <f>IF(OR($IW22=0,calcA!$A$6=0),0,IF(DP$117=1,DP22,0)+IF(DQ$117=1,DR22,0))</f>
        <v/>
      </c>
      <c r="DR192">
        <f>IF(OR($IW22=0,calcA!$A$6=0),0,IF(DQ$117=1,DQ22,0)+IF(DR$117=1,DS22,0))</f>
        <v/>
      </c>
      <c r="DS192">
        <f>IF(OR($IW22=0,calcA!$A$6=0),0,IF(DR$117=1,DR22,0))</f>
        <v/>
      </c>
      <c r="DT192">
        <f>IF(OR($IW22=0,calcA!$A$6=0),0,IF(DT$117=1,DU22,0))</f>
        <v/>
      </c>
      <c r="DU192">
        <f>IF(OR($IW22=0,calcA!$A$6=0),0,IF(DT$117=1,DT22,0)+IF(DU$117=1,DV22,0))</f>
        <v/>
      </c>
      <c r="DV192">
        <f>IF(OR($IW22=0,calcA!$A$6=0),0,IF(DU$117=1,DU22,0)+IF(DV$117=1,DW22,0))</f>
        <v/>
      </c>
      <c r="DW192">
        <f>IF(OR($IW22=0,calcA!$A$6=0),0,IF(DV$117=1,DV22,0)+IF(DW$117=1,DX22,0))</f>
        <v/>
      </c>
      <c r="DX192">
        <f>IF(OR($IW22=0,calcA!$A$6=0),0,IF(DW$117=1,DW22,0)+IF(DX$117=1,DY22,0))</f>
        <v/>
      </c>
      <c r="DY192">
        <f>IF(OR($IW22=0,calcA!$A$6=0),0,IF(DX$117=1,DX22,0)+IF(DY$117=1,DZ22,0))</f>
        <v/>
      </c>
      <c r="DZ192">
        <f>IF(OR($IW22=0,calcA!$A$6=0),0,IF(DY$117=1,DY22,0)+IF(DZ$117=1,EA22,0))</f>
        <v/>
      </c>
      <c r="EA192">
        <f>IF(OR($IW22=0,calcA!$A$6=0),0,IF(DZ$117=1,DZ22,0)+IF(EA$117=1,EB22,0))</f>
        <v/>
      </c>
      <c r="EB192">
        <f>IF(OR($IW22=0,calcA!$A$6=0),0,IF(EA$117=1,EA22,0)+IF(EB$117=1,EC22,0))</f>
        <v/>
      </c>
      <c r="EC192">
        <f>IF(OR($IW22=0,calcA!$A$6=0),0,IF(EB$117=1,EB22,0)+IF(EC$117=1,ED22,0))</f>
        <v/>
      </c>
      <c r="ED192">
        <f>IF(OR($IW22=0,calcA!$A$6=0),0,IF(EC$117=1,EC22,0)+IF(ED$117=1,EE22,0))</f>
        <v/>
      </c>
      <c r="EE192">
        <f>IF(OR($IW22=0,calcA!$A$6=0),0,IF(ED$117=1,ED22,0)+IF(EE$117=1,EF22,0))</f>
        <v/>
      </c>
      <c r="EF192">
        <f>IF(OR($IW22=0,calcA!$A$6=0),0,IF(EE$117=1,EE22,0)+IF(EF$117=1,EG22,0))</f>
        <v/>
      </c>
      <c r="EG192">
        <f>IF(OR($IW22=0,calcA!$A$6=0),0,IF(EF$117=1,EF22,0)+IF(EG$117=1,EH22,0))</f>
        <v/>
      </c>
      <c r="EH192">
        <f>IF(OR($IW22=0,calcA!$A$6=0),0,IF(EG$117=1,EG22,0)+IF(EH$117=1,EI22,0))</f>
        <v/>
      </c>
      <c r="EI192">
        <f>IF(OR($IW22=0,calcA!$A$6=0),0,IF(EH$117=1,EH22,0)+IF(EI$117=1,EJ22,0))</f>
        <v/>
      </c>
      <c r="EJ192">
        <f>IF(OR($IW22=0,calcA!$A$6=0),0,IF(EI$117=1,EI22,0)+IF(EJ$117=1,EK22,0))</f>
        <v/>
      </c>
      <c r="EK192">
        <f>IF(OR($IW22=0,calcA!$A$6=0),0,IF(EJ$117=1,EJ22,0)+IF(EK$117=1,EL22,0))</f>
        <v/>
      </c>
      <c r="EL192">
        <f>IF(OR($IW22=0,calcA!$A$6=0),0,IF(EK$117=1,EK22,0)+IF(EL$117=1,EM22,0))</f>
        <v/>
      </c>
      <c r="EM192">
        <f>IF(OR($IW22=0,calcA!$A$6=0),0,IF(EL$117=1,EL22,0)+IF(EM$117=1,EN22,0))</f>
        <v/>
      </c>
      <c r="EN192">
        <f>IF(OR($IW22=0,calcA!$A$6=0),0,IF(EM$117=1,EM22,0)+IF(EN$117=1,EO22,0))</f>
        <v/>
      </c>
      <c r="EO192">
        <f>IF(OR($IW22=0,calcA!$A$6=0),0,IF(EN$117=1,EN22,0)+IF(EO$117=1,EP22,0))</f>
        <v/>
      </c>
      <c r="EP192">
        <f>IF(OR($IW22=0,calcA!$A$6=0),0,IF(EO$117=1,EO22,0)+IF(EP$117=1,EQ22,0))</f>
        <v/>
      </c>
      <c r="EQ192">
        <f>IF(OR($IW22=0,calcA!$A$6=0),0,IF(EP$117=1,EP22,0))</f>
        <v/>
      </c>
    </row>
    <row r="193">
      <c r="D193">
        <f>IF(OR($IW23=0,calcA!$A$6=0),0,IF(D$117=1,E23,0))</f>
        <v/>
      </c>
      <c r="E193">
        <f>IF(OR($IW23=0,calcA!$A$6=0),0,IF(D$117=1,D23,0)+IF(E$117=1,F23,0))</f>
        <v/>
      </c>
      <c r="F193">
        <f>IF(OR($IW23=0,calcA!$A$6=0),0,IF(E$117=1,E23,0)+IF(F$117=1,G23,0))</f>
        <v/>
      </c>
      <c r="G193">
        <f>IF(OR($IW23=0,calcA!$A$6=0),0,IF(F$117=1,F23,0)+IF(G$117=1,H23,0))</f>
        <v/>
      </c>
      <c r="H193">
        <f>IF(OR($IW23=0,calcA!$A$6=0),0,IF(G$117=1,G23,0)+IF(H$117=1,I23,0))</f>
        <v/>
      </c>
      <c r="I193">
        <f>IF(OR($IW23=0,calcA!$A$6=0),0,IF(H$117=1,H23,0)+IF(I$117=1,J23,0))</f>
        <v/>
      </c>
      <c r="J193">
        <f>IF(OR($IW23=0,calcA!$A$6=0),0,IF(I$117=1,I23,0)+IF(J$117=1,K23,0))</f>
        <v/>
      </c>
      <c r="K193">
        <f>IF(OR($IW23=0,calcA!$A$6=0),0,IF(J$117=1,J23,0)+IF(K$117=1,L23,0))</f>
        <v/>
      </c>
      <c r="L193">
        <f>IF(OR($IW23=0,calcA!$A$6=0),0,IF(K$117=1,K23,0)+IF(L$117=1,M23,0))</f>
        <v/>
      </c>
      <c r="M193">
        <f>IF(OR($IW23=0,calcA!$A$6=0),0,IF(L$117=1,L23,0)+IF(M$117=1,N23,0))</f>
        <v/>
      </c>
      <c r="N193">
        <f>IF(OR($IW23=0,calcA!$A$6=0),0,IF(M$117=1,M23,0)+IF(N$117=1,O23,0))</f>
        <v/>
      </c>
      <c r="O193">
        <f>IF(OR($IW23=0,calcA!$A$6=0),0,IF(N$117=1,N23,0)+IF(O$117=1,P23,0))</f>
        <v/>
      </c>
      <c r="P193">
        <f>IF(OR($IW23=0,calcA!$A$6=0),0,IF(O$117=1,O23,0)+IF(P$117=1,Q23,0))</f>
        <v/>
      </c>
      <c r="Q193">
        <f>IF(OR($IW23=0,calcA!$A$6=0),0,IF(P$117=1,P23,0)+IF(Q$117=1,R23,0))</f>
        <v/>
      </c>
      <c r="R193">
        <f>IF(OR($IW23=0,calcA!$A$6=0),0,IF(Q$117=1,Q23,0)+IF(R$117=1,S23,0))</f>
        <v/>
      </c>
      <c r="S193">
        <f>IF(OR($IW23=0,calcA!$A$6=0),0,IF(R$117=1,R23,0)+IF(S$117=1,T23,0))</f>
        <v/>
      </c>
      <c r="T193">
        <f>IF(OR($IW23=0,calcA!$A$6=0),0,IF(S$117=1,S23,0)+IF(T$117=1,U23,0))</f>
        <v/>
      </c>
      <c r="U193">
        <f>IF(OR($IW23=0,calcA!$A$6=0),0,IF(T$117=1,T23,0)+IF(U$117=1,V23,0))</f>
        <v/>
      </c>
      <c r="V193">
        <f>IF(OR($IW23=0,calcA!$A$6=0),0,IF(U$117=1,U23,0)+IF(V$117=1,W23,0))</f>
        <v/>
      </c>
      <c r="W193">
        <f>IF(OR($IW23=0,calcA!$A$6=0),0,IF(V$117=1,V23,0)+IF(W$117=1,X23,0))</f>
        <v/>
      </c>
      <c r="X193">
        <f>IF(OR($IW23=0,calcA!$A$6=0),0,IF(W$117=1,W23,0)+IF(X$117=1,Y23,0))</f>
        <v/>
      </c>
      <c r="Y193">
        <f>IF(OR($IW23=0,calcA!$A$6=0),0,IF(X$117=1,X23,0)+IF(Y$117=1,Z23,0))</f>
        <v/>
      </c>
      <c r="Z193">
        <f>IF(OR($IW23=0,calcA!$A$6=0),0,IF(Y$117=1,Y23,0)+IF(Z$117=1,AA23,0))</f>
        <v/>
      </c>
      <c r="AA193">
        <f>IF(OR($IW23=0,calcA!$A$6=0),0,IF(Z$117=1,Z23,0))</f>
        <v/>
      </c>
      <c r="AB193">
        <f>IF(OR($IW23=0,calcA!$A$6=0),0,IF(AB$117=1,AC23,0))</f>
        <v/>
      </c>
      <c r="AC193">
        <f>IF(OR($IW23=0,calcA!$A$6=0),0,IF(AB$117=1,AB23,0)+IF(AC$117=1,AD23,0))</f>
        <v/>
      </c>
      <c r="AD193">
        <f>IF(OR($IW23=0,calcA!$A$6=0),0,IF(AC$117=1,AC23,0)+IF(AD$117=1,AE23,0))</f>
        <v/>
      </c>
      <c r="AE193">
        <f>IF(OR($IW23=0,calcA!$A$6=0),0,IF(AD$117=1,AD23,0)+IF(AE$117=1,AF23,0))</f>
        <v/>
      </c>
      <c r="AF193">
        <f>IF(OR($IW23=0,calcA!$A$6=0),0,IF(AE$117=1,AE23,0)+IF(AF$117=1,AG23,0))</f>
        <v/>
      </c>
      <c r="AG193">
        <f>IF(OR($IW23=0,calcA!$A$6=0),0,IF(AF$117=1,AF23,0)+IF(AG$117=1,AH23,0))</f>
        <v/>
      </c>
      <c r="AH193">
        <f>IF(OR($IW23=0,calcA!$A$6=0),0,IF(AG$117=1,AG23,0)+IF(AH$117=1,AI23,0))</f>
        <v/>
      </c>
      <c r="AI193">
        <f>IF(OR($IW23=0,calcA!$A$6=0),0,IF(AH$117=1,AH23,0)+IF(AI$117=1,AJ23,0))</f>
        <v/>
      </c>
      <c r="AJ193">
        <f>IF(OR($IW23=0,calcA!$A$6=0),0,IF(AI$117=1,AI23,0)+IF(AJ$117=1,AK23,0))</f>
        <v/>
      </c>
      <c r="AK193">
        <f>IF(OR($IW23=0,calcA!$A$6=0),0,IF(AJ$117=1,AJ23,0)+IF(AK$117=1,AL23,0))</f>
        <v/>
      </c>
      <c r="AL193">
        <f>IF(OR($IW23=0,calcA!$A$6=0),0,IF(AK$117=1,AK23,0)+IF(AL$117=1,AM23,0))</f>
        <v/>
      </c>
      <c r="AM193">
        <f>IF(OR($IW23=0,calcA!$A$6=0),0,IF(AL$117=1,AL23,0)+IF(AM$117=1,AN23,0))</f>
        <v/>
      </c>
      <c r="AN193">
        <f>IF(OR($IW23=0,calcA!$A$6=0),0,IF(AM$117=1,AM23,0)+IF(AN$117=1,AO23,0))</f>
        <v/>
      </c>
      <c r="AO193">
        <f>IF(OR($IW23=0,calcA!$A$6=0),0,IF(AN$117=1,AN23,0)+IF(AO$117=1,AP23,0))</f>
        <v/>
      </c>
      <c r="AP193">
        <f>IF(OR($IW23=0,calcA!$A$6=0),0,IF(AO$117=1,AO23,0)+IF(AP$117=1,AQ23,0))</f>
        <v/>
      </c>
      <c r="AQ193">
        <f>IF(OR($IW23=0,calcA!$A$6=0),0,IF(AP$117=1,AP23,0)+IF(AQ$117=1,AR23,0))</f>
        <v/>
      </c>
      <c r="AR193">
        <f>IF(OR($IW23=0,calcA!$A$6=0),0,IF(AQ$117=1,AQ23,0)+IF(AR$117=1,AS23,0))</f>
        <v/>
      </c>
      <c r="AS193">
        <f>IF(OR($IW23=0,calcA!$A$6=0),0,IF(AR$117=1,AR23,0)+IF(AS$117=1,AT23,0))</f>
        <v/>
      </c>
      <c r="AT193">
        <f>IF(OR($IW23=0,calcA!$A$6=0),0,IF(AS$117=1,AS23,0)+IF(AT$117=1,AU23,0))</f>
        <v/>
      </c>
      <c r="AU193">
        <f>IF(OR($IW23=0,calcA!$A$6=0),0,IF(AT$117=1,AT23,0)+IF(AU$117=1,AV23,0))</f>
        <v/>
      </c>
      <c r="AV193">
        <f>IF(OR($IW23=0,calcA!$A$6=0),0,IF(AU$117=1,AU23,0)+IF(AV$117=1,AW23,0))</f>
        <v/>
      </c>
      <c r="AW193">
        <f>IF(OR($IW23=0,calcA!$A$6=0),0,IF(AV$117=1,AV23,0)+IF(AW$117=1,AX23,0))</f>
        <v/>
      </c>
      <c r="AX193">
        <f>IF(OR($IW23=0,calcA!$A$6=0),0,IF(AW$117=1,AW23,0)+IF(AX$117=1,AY23,0))</f>
        <v/>
      </c>
      <c r="AY193">
        <f>IF(OR($IW23=0,calcA!$A$6=0),0,IF(AX$117=1,AX23,0))</f>
        <v/>
      </c>
      <c r="AZ193">
        <f>IF(OR($IW23=0,calcA!$A$6=0),0,IF(AZ$117=1,BA23,0))</f>
        <v/>
      </c>
      <c r="BA193">
        <f>IF(OR($IW23=0,calcA!$A$6=0),0,IF(AZ$117=1,AZ23,0)+IF(BA$117=1,BB23,0))</f>
        <v/>
      </c>
      <c r="BB193">
        <f>IF(OR($IW23=0,calcA!$A$6=0),0,IF(BA$117=1,BA23,0)+IF(BB$117=1,BC23,0))</f>
        <v/>
      </c>
      <c r="BC193">
        <f>IF(OR($IW23=0,calcA!$A$6=0),0,IF(BB$117=1,BB23,0)+IF(BC$117=1,BD23,0))</f>
        <v/>
      </c>
      <c r="BD193">
        <f>IF(OR($IW23=0,calcA!$A$6=0),0,IF(BC$117=1,BC23,0)+IF(BD$117=1,BE23,0))</f>
        <v/>
      </c>
      <c r="BE193">
        <f>IF(OR($IW23=0,calcA!$A$6=0),0,IF(BD$117=1,BD23,0)+IF(BE$117=1,BF23,0))</f>
        <v/>
      </c>
      <c r="BF193">
        <f>IF(OR($IW23=0,calcA!$A$6=0),0,IF(BE$117=1,BE23,0)+IF(BF$117=1,BG23,0))</f>
        <v/>
      </c>
      <c r="BG193">
        <f>IF(OR($IW23=0,calcA!$A$6=0),0,IF(BF$117=1,BF23,0)+IF(BG$117=1,BH23,0))</f>
        <v/>
      </c>
      <c r="BH193">
        <f>IF(OR($IW23=0,calcA!$A$6=0),0,IF(BG$117=1,BG23,0)+IF(BH$117=1,BI23,0))</f>
        <v/>
      </c>
      <c r="BI193">
        <f>IF(OR($IW23=0,calcA!$A$6=0),0,IF(BH$117=1,BH23,0)+IF(BI$117=1,BJ23,0))</f>
        <v/>
      </c>
      <c r="BJ193">
        <f>IF(OR($IW23=0,calcA!$A$6=0),0,IF(BI$117=1,BI23,0)+IF(BJ$117=1,BK23,0))</f>
        <v/>
      </c>
      <c r="BK193">
        <f>IF(OR($IW23=0,calcA!$A$6=0),0,IF(BJ$117=1,BJ23,0)+IF(BK$117=1,BL23,0))</f>
        <v/>
      </c>
      <c r="BL193">
        <f>IF(OR($IW23=0,calcA!$A$6=0),0,IF(BK$117=1,BK23,0)+IF(BL$117=1,BM23,0))</f>
        <v/>
      </c>
      <c r="BM193">
        <f>IF(OR($IW23=0,calcA!$A$6=0),0,IF(BL$117=1,BL23,0)+IF(BM$117=1,BN23,0))</f>
        <v/>
      </c>
      <c r="BN193">
        <f>IF(OR($IW23=0,calcA!$A$6=0),0,IF(BM$117=1,BM23,0)+IF(BN$117=1,BO23,0))</f>
        <v/>
      </c>
      <c r="BO193">
        <f>IF(OR($IW23=0,calcA!$A$6=0),0,IF(BN$117=1,BN23,0)+IF(BO$117=1,BP23,0))</f>
        <v/>
      </c>
      <c r="BP193">
        <f>IF(OR($IW23=0,calcA!$A$6=0),0,IF(BO$117=1,BO23,0)+IF(BP$117=1,BQ23,0))</f>
        <v/>
      </c>
      <c r="BQ193">
        <f>IF(OR($IW23=0,calcA!$A$6=0),0,IF(BP$117=1,BP23,0)+IF(BQ$117=1,BR23,0))</f>
        <v/>
      </c>
      <c r="BR193">
        <f>IF(OR($IW23=0,calcA!$A$6=0),0,IF(BQ$117=1,BQ23,0)+IF(BR$117=1,BS23,0))</f>
        <v/>
      </c>
      <c r="BS193">
        <f>IF(OR($IW23=0,calcA!$A$6=0),0,IF(BR$117=1,BR23,0)+IF(BS$117=1,BT23,0))</f>
        <v/>
      </c>
      <c r="BT193">
        <f>IF(OR($IW23=0,calcA!$A$6=0),0,IF(BS$117=1,BS23,0)+IF(BT$117=1,BU23,0))</f>
        <v/>
      </c>
      <c r="BU193">
        <f>IF(OR($IW23=0,calcA!$A$6=0),0,IF(BT$117=1,BT23,0)+IF(BU$117=1,BV23,0))</f>
        <v/>
      </c>
      <c r="BV193">
        <f>IF(OR($IW23=0,calcA!$A$6=0),0,IF(BU$117=1,BU23,0)+IF(BV$117=1,BW23,0))</f>
        <v/>
      </c>
      <c r="BW193">
        <f>IF(OR($IW23=0,calcA!$A$6=0),0,IF(BV$117=1,BV23,0))</f>
        <v/>
      </c>
      <c r="BX193">
        <f>IF(OR($IW23=0,calcA!$A$6=0),0,IF(BX$117=1,BY23,0))</f>
        <v/>
      </c>
      <c r="BY193">
        <f>IF(OR($IW23=0,calcA!$A$6=0),0,IF(BX$117=1,BX23,0)+IF(BY$117=1,BZ23,0))</f>
        <v/>
      </c>
      <c r="BZ193">
        <f>IF(OR($IW23=0,calcA!$A$6=0),0,IF(BY$117=1,BY23,0)+IF(BZ$117=1,CA23,0))</f>
        <v/>
      </c>
      <c r="CA193">
        <f>IF(OR($IW23=0,calcA!$A$6=0),0,IF(BZ$117=1,BZ23,0)+IF(CA$117=1,CB23,0))</f>
        <v/>
      </c>
      <c r="CB193">
        <f>IF(OR($IW23=0,calcA!$A$6=0),0,IF(CA$117=1,CA23,0)+IF(CB$117=1,CC23,0))</f>
        <v/>
      </c>
      <c r="CC193">
        <f>IF(OR($IW23=0,calcA!$A$6=0),0,IF(CB$117=1,CB23,0)+IF(CC$117=1,CD23,0))</f>
        <v/>
      </c>
      <c r="CD193">
        <f>IF(OR($IW23=0,calcA!$A$6=0),0,IF(CC$117=1,CC23,0)+IF(CD$117=1,CE23,0))</f>
        <v/>
      </c>
      <c r="CE193">
        <f>IF(OR($IW23=0,calcA!$A$6=0),0,IF(CD$117=1,CD23,0)+IF(CE$117=1,CF23,0))</f>
        <v/>
      </c>
      <c r="CF193">
        <f>IF(OR($IW23=0,calcA!$A$6=0),0,IF(CE$117=1,CE23,0)+IF(CF$117=1,CG23,0))</f>
        <v/>
      </c>
      <c r="CG193">
        <f>IF(OR($IW23=0,calcA!$A$6=0),0,IF(CF$117=1,CF23,0)+IF(CG$117=1,CH23,0))</f>
        <v/>
      </c>
      <c r="CH193">
        <f>IF(OR($IW23=0,calcA!$A$6=0),0,IF(CG$117=1,CG23,0)+IF(CH$117=1,CI23,0))</f>
        <v/>
      </c>
      <c r="CI193">
        <f>IF(OR($IW23=0,calcA!$A$6=0),0,IF(CH$117=1,CH23,0)+IF(CI$117=1,CJ23,0))</f>
        <v/>
      </c>
      <c r="CJ193">
        <f>IF(OR($IW23=0,calcA!$A$6=0),0,IF(CI$117=1,CI23,0)+IF(CJ$117=1,CK23,0))</f>
        <v/>
      </c>
      <c r="CK193">
        <f>IF(OR($IW23=0,calcA!$A$6=0),0,IF(CJ$117=1,CJ23,0)+IF(CK$117=1,CL23,0))</f>
        <v/>
      </c>
      <c r="CL193">
        <f>IF(OR($IW23=0,calcA!$A$6=0),0,IF(CK$117=1,CK23,0)+IF(CL$117=1,CM23,0))</f>
        <v/>
      </c>
      <c r="CM193">
        <f>IF(OR($IW23=0,calcA!$A$6=0),0,IF(CL$117=1,CL23,0)+IF(CM$117=1,CN23,0))</f>
        <v/>
      </c>
      <c r="CN193">
        <f>IF(OR($IW23=0,calcA!$A$6=0),0,IF(CM$117=1,CM23,0)+IF(CN$117=1,CO23,0))</f>
        <v/>
      </c>
      <c r="CO193">
        <f>IF(OR($IW23=0,calcA!$A$6=0),0,IF(CN$117=1,CN23,0)+IF(CO$117=1,CP23,0))</f>
        <v/>
      </c>
      <c r="CP193">
        <f>IF(OR($IW23=0,calcA!$A$6=0),0,IF(CO$117=1,CO23,0)+IF(CP$117=1,CQ23,0))</f>
        <v/>
      </c>
      <c r="CQ193">
        <f>IF(OR($IW23=0,calcA!$A$6=0),0,IF(CP$117=1,CP23,0)+IF(CQ$117=1,CR23,0))</f>
        <v/>
      </c>
      <c r="CR193">
        <f>IF(OR($IW23=0,calcA!$A$6=0),0,IF(CQ$117=1,CQ23,0)+IF(CR$117=1,CS23,0))</f>
        <v/>
      </c>
      <c r="CS193">
        <f>IF(OR($IW23=0,calcA!$A$6=0),0,IF(CR$117=1,CR23,0)+IF(CS$117=1,CT23,0))</f>
        <v/>
      </c>
      <c r="CT193">
        <f>IF(OR($IW23=0,calcA!$A$6=0),0,IF(CS$117=1,CS23,0)+IF(CT$117=1,CU23,0))</f>
        <v/>
      </c>
      <c r="CU193">
        <f>IF(OR($IW23=0,calcA!$A$6=0),0,IF(CT$117=1,CT23,0))</f>
        <v/>
      </c>
      <c r="CV193">
        <f>IF(OR($IW23=0,calcA!$A$6=0),0,IF(CV$117=1,CW23,0))</f>
        <v/>
      </c>
      <c r="CW193">
        <f>IF(OR($IW23=0,calcA!$A$6=0),0,IF(CV$117=1,CV23,0)+IF(CW$117=1,CX23,0))</f>
        <v/>
      </c>
      <c r="CX193">
        <f>IF(OR($IW23=0,calcA!$A$6=0),0,IF(CW$117=1,CW23,0)+IF(CX$117=1,CY23,0))</f>
        <v/>
      </c>
      <c r="CY193">
        <f>IF(OR($IW23=0,calcA!$A$6=0),0,IF(CX$117=1,CX23,0)+IF(CY$117=1,CZ23,0))</f>
        <v/>
      </c>
      <c r="CZ193">
        <f>IF(OR($IW23=0,calcA!$A$6=0),0,IF(CY$117=1,CY23,0)+IF(CZ$117=1,DA23,0))</f>
        <v/>
      </c>
      <c r="DA193">
        <f>IF(OR($IW23=0,calcA!$A$6=0),0,IF(CZ$117=1,CZ23,0)+IF(DA$117=1,DB23,0))</f>
        <v/>
      </c>
      <c r="DB193">
        <f>IF(OR($IW23=0,calcA!$A$6=0),0,IF(DA$117=1,DA23,0)+IF(DB$117=1,DC23,0))</f>
        <v/>
      </c>
      <c r="DC193">
        <f>IF(OR($IW23=0,calcA!$A$6=0),0,IF(DB$117=1,DB23,0)+IF(DC$117=1,DD23,0))</f>
        <v/>
      </c>
      <c r="DD193">
        <f>IF(OR($IW23=0,calcA!$A$6=0),0,IF(DC$117=1,DC23,0)+IF(DD$117=1,DE23,0))</f>
        <v/>
      </c>
      <c r="DE193">
        <f>IF(OR($IW23=0,calcA!$A$6=0),0,IF(DD$117=1,DD23,0)+IF(DE$117=1,DF23,0))</f>
        <v/>
      </c>
      <c r="DF193">
        <f>IF(OR($IW23=0,calcA!$A$6=0),0,IF(DE$117=1,DE23,0)+IF(DF$117=1,DG23,0))</f>
        <v/>
      </c>
      <c r="DG193">
        <f>IF(OR($IW23=0,calcA!$A$6=0),0,IF(DF$117=1,DF23,0)+IF(DG$117=1,DH23,0))</f>
        <v/>
      </c>
      <c r="DH193">
        <f>IF(OR($IW23=0,calcA!$A$6=0),0,IF(DG$117=1,DG23,0)+IF(DH$117=1,DI23,0))</f>
        <v/>
      </c>
      <c r="DI193">
        <f>IF(OR($IW23=0,calcA!$A$6=0),0,IF(DH$117=1,DH23,0)+IF(DI$117=1,DJ23,0))</f>
        <v/>
      </c>
      <c r="DJ193">
        <f>IF(OR($IW23=0,calcA!$A$6=0),0,IF(DI$117=1,DI23,0)+IF(DJ$117=1,DK23,0))</f>
        <v/>
      </c>
      <c r="DK193">
        <f>IF(OR($IW23=0,calcA!$A$6=0),0,IF(DJ$117=1,DJ23,0)+IF(DK$117=1,DL23,0))</f>
        <v/>
      </c>
      <c r="DL193">
        <f>IF(OR($IW23=0,calcA!$A$6=0),0,IF(DK$117=1,DK23,0)+IF(DL$117=1,DM23,0))</f>
        <v/>
      </c>
      <c r="DM193">
        <f>IF(OR($IW23=0,calcA!$A$6=0),0,IF(DL$117=1,DL23,0)+IF(DM$117=1,DN23,0))</f>
        <v/>
      </c>
      <c r="DN193">
        <f>IF(OR($IW23=0,calcA!$A$6=0),0,IF(DM$117=1,DM23,0)+IF(DN$117=1,DO23,0))</f>
        <v/>
      </c>
      <c r="DO193">
        <f>IF(OR($IW23=0,calcA!$A$6=0),0,IF(DN$117=1,DN23,0)+IF(DO$117=1,DP23,0))</f>
        <v/>
      </c>
      <c r="DP193">
        <f>IF(OR($IW23=0,calcA!$A$6=0),0,IF(DO$117=1,DO23,0)+IF(DP$117=1,DQ23,0))</f>
        <v/>
      </c>
      <c r="DQ193">
        <f>IF(OR($IW23=0,calcA!$A$6=0),0,IF(DP$117=1,DP23,0)+IF(DQ$117=1,DR23,0))</f>
        <v/>
      </c>
      <c r="DR193">
        <f>IF(OR($IW23=0,calcA!$A$6=0),0,IF(DQ$117=1,DQ23,0)+IF(DR$117=1,DS23,0))</f>
        <v/>
      </c>
      <c r="DS193">
        <f>IF(OR($IW23=0,calcA!$A$6=0),0,IF(DR$117=1,DR23,0))</f>
        <v/>
      </c>
      <c r="DT193">
        <f>IF(OR($IW23=0,calcA!$A$6=0),0,IF(DT$117=1,DU23,0))</f>
        <v/>
      </c>
      <c r="DU193">
        <f>IF(OR($IW23=0,calcA!$A$6=0),0,IF(DT$117=1,DT23,0)+IF(DU$117=1,DV23,0))</f>
        <v/>
      </c>
      <c r="DV193">
        <f>IF(OR($IW23=0,calcA!$A$6=0),0,IF(DU$117=1,DU23,0)+IF(DV$117=1,DW23,0))</f>
        <v/>
      </c>
      <c r="DW193">
        <f>IF(OR($IW23=0,calcA!$A$6=0),0,IF(DV$117=1,DV23,0)+IF(DW$117=1,DX23,0))</f>
        <v/>
      </c>
      <c r="DX193">
        <f>IF(OR($IW23=0,calcA!$A$6=0),0,IF(DW$117=1,DW23,0)+IF(DX$117=1,DY23,0))</f>
        <v/>
      </c>
      <c r="DY193">
        <f>IF(OR($IW23=0,calcA!$A$6=0),0,IF(DX$117=1,DX23,0)+IF(DY$117=1,DZ23,0))</f>
        <v/>
      </c>
      <c r="DZ193">
        <f>IF(OR($IW23=0,calcA!$A$6=0),0,IF(DY$117=1,DY23,0)+IF(DZ$117=1,EA23,0))</f>
        <v/>
      </c>
      <c r="EA193">
        <f>IF(OR($IW23=0,calcA!$A$6=0),0,IF(DZ$117=1,DZ23,0)+IF(EA$117=1,EB23,0))</f>
        <v/>
      </c>
      <c r="EB193">
        <f>IF(OR($IW23=0,calcA!$A$6=0),0,IF(EA$117=1,EA23,0)+IF(EB$117=1,EC23,0))</f>
        <v/>
      </c>
      <c r="EC193">
        <f>IF(OR($IW23=0,calcA!$A$6=0),0,IF(EB$117=1,EB23,0)+IF(EC$117=1,ED23,0))</f>
        <v/>
      </c>
      <c r="ED193">
        <f>IF(OR($IW23=0,calcA!$A$6=0),0,IF(EC$117=1,EC23,0)+IF(ED$117=1,EE23,0))</f>
        <v/>
      </c>
      <c r="EE193">
        <f>IF(OR($IW23=0,calcA!$A$6=0),0,IF(ED$117=1,ED23,0)+IF(EE$117=1,EF23,0))</f>
        <v/>
      </c>
      <c r="EF193">
        <f>IF(OR($IW23=0,calcA!$A$6=0),0,IF(EE$117=1,EE23,0)+IF(EF$117=1,EG23,0))</f>
        <v/>
      </c>
      <c r="EG193">
        <f>IF(OR($IW23=0,calcA!$A$6=0),0,IF(EF$117=1,EF23,0)+IF(EG$117=1,EH23,0))</f>
        <v/>
      </c>
      <c r="EH193">
        <f>IF(OR($IW23=0,calcA!$A$6=0),0,IF(EG$117=1,EG23,0)+IF(EH$117=1,EI23,0))</f>
        <v/>
      </c>
      <c r="EI193">
        <f>IF(OR($IW23=0,calcA!$A$6=0),0,IF(EH$117=1,EH23,0)+IF(EI$117=1,EJ23,0))</f>
        <v/>
      </c>
      <c r="EJ193">
        <f>IF(OR($IW23=0,calcA!$A$6=0),0,IF(EI$117=1,EI23,0)+IF(EJ$117=1,EK23,0))</f>
        <v/>
      </c>
      <c r="EK193">
        <f>IF(OR($IW23=0,calcA!$A$6=0),0,IF(EJ$117=1,EJ23,0)+IF(EK$117=1,EL23,0))</f>
        <v/>
      </c>
      <c r="EL193">
        <f>IF(OR($IW23=0,calcA!$A$6=0),0,IF(EK$117=1,EK23,0)+IF(EL$117=1,EM23,0))</f>
        <v/>
      </c>
      <c r="EM193">
        <f>IF(OR($IW23=0,calcA!$A$6=0),0,IF(EL$117=1,EL23,0)+IF(EM$117=1,EN23,0))</f>
        <v/>
      </c>
      <c r="EN193">
        <f>IF(OR($IW23=0,calcA!$A$6=0),0,IF(EM$117=1,EM23,0)+IF(EN$117=1,EO23,0))</f>
        <v/>
      </c>
      <c r="EO193">
        <f>IF(OR($IW23=0,calcA!$A$6=0),0,IF(EN$117=1,EN23,0)+IF(EO$117=1,EP23,0))</f>
        <v/>
      </c>
      <c r="EP193">
        <f>IF(OR($IW23=0,calcA!$A$6=0),0,IF(EO$117=1,EO23,0)+IF(EP$117=1,EQ23,0))</f>
        <v/>
      </c>
      <c r="EQ193">
        <f>IF(OR($IW23=0,calcA!$A$6=0),0,IF(EP$117=1,EP23,0))</f>
        <v/>
      </c>
    </row>
    <row r="194">
      <c r="D194">
        <f>IF(OR($IW24=0,calcA!$A$6=0),0,IF(D$117=1,E24,0))</f>
        <v/>
      </c>
      <c r="E194">
        <f>IF(OR($IW24=0,calcA!$A$6=0),0,IF(D$117=1,D24,0)+IF(E$117=1,F24,0))</f>
        <v/>
      </c>
      <c r="F194">
        <f>IF(OR($IW24=0,calcA!$A$6=0),0,IF(E$117=1,E24,0)+IF(F$117=1,G24,0))</f>
        <v/>
      </c>
      <c r="G194">
        <f>IF(OR($IW24=0,calcA!$A$6=0),0,IF(F$117=1,F24,0)+IF(G$117=1,H24,0))</f>
        <v/>
      </c>
      <c r="H194">
        <f>IF(OR($IW24=0,calcA!$A$6=0),0,IF(G$117=1,G24,0)+IF(H$117=1,I24,0))</f>
        <v/>
      </c>
      <c r="I194">
        <f>IF(OR($IW24=0,calcA!$A$6=0),0,IF(H$117=1,H24,0)+IF(I$117=1,J24,0))</f>
        <v/>
      </c>
      <c r="J194">
        <f>IF(OR($IW24=0,calcA!$A$6=0),0,IF(I$117=1,I24,0)+IF(J$117=1,K24,0))</f>
        <v/>
      </c>
      <c r="K194">
        <f>IF(OR($IW24=0,calcA!$A$6=0),0,IF(J$117=1,J24,0)+IF(K$117=1,L24,0))</f>
        <v/>
      </c>
      <c r="L194">
        <f>IF(OR($IW24=0,calcA!$A$6=0),0,IF(K$117=1,K24,0)+IF(L$117=1,M24,0))</f>
        <v/>
      </c>
      <c r="M194">
        <f>IF(OR($IW24=0,calcA!$A$6=0),0,IF(L$117=1,L24,0)+IF(M$117=1,N24,0))</f>
        <v/>
      </c>
      <c r="N194">
        <f>IF(OR($IW24=0,calcA!$A$6=0),0,IF(M$117=1,M24,0)+IF(N$117=1,O24,0))</f>
        <v/>
      </c>
      <c r="O194">
        <f>IF(OR($IW24=0,calcA!$A$6=0),0,IF(N$117=1,N24,0)+IF(O$117=1,P24,0))</f>
        <v/>
      </c>
      <c r="P194">
        <f>IF(OR($IW24=0,calcA!$A$6=0),0,IF(O$117=1,O24,0)+IF(P$117=1,Q24,0))</f>
        <v/>
      </c>
      <c r="Q194">
        <f>IF(OR($IW24=0,calcA!$A$6=0),0,IF(P$117=1,P24,0)+IF(Q$117=1,R24,0))</f>
        <v/>
      </c>
      <c r="R194">
        <f>IF(OR($IW24=0,calcA!$A$6=0),0,IF(Q$117=1,Q24,0)+IF(R$117=1,S24,0))</f>
        <v/>
      </c>
      <c r="S194">
        <f>IF(OR($IW24=0,calcA!$A$6=0),0,IF(R$117=1,R24,0)+IF(S$117=1,T24,0))</f>
        <v/>
      </c>
      <c r="T194">
        <f>IF(OR($IW24=0,calcA!$A$6=0),0,IF(S$117=1,S24,0)+IF(T$117=1,U24,0))</f>
        <v/>
      </c>
      <c r="U194">
        <f>IF(OR($IW24=0,calcA!$A$6=0),0,IF(T$117=1,T24,0)+IF(U$117=1,V24,0))</f>
        <v/>
      </c>
      <c r="V194">
        <f>IF(OR($IW24=0,calcA!$A$6=0),0,IF(U$117=1,U24,0)+IF(V$117=1,W24,0))</f>
        <v/>
      </c>
      <c r="W194">
        <f>IF(OR($IW24=0,calcA!$A$6=0),0,IF(V$117=1,V24,0)+IF(W$117=1,X24,0))</f>
        <v/>
      </c>
      <c r="X194">
        <f>IF(OR($IW24=0,calcA!$A$6=0),0,IF(W$117=1,W24,0)+IF(X$117=1,Y24,0))</f>
        <v/>
      </c>
      <c r="Y194">
        <f>IF(OR($IW24=0,calcA!$A$6=0),0,IF(X$117=1,X24,0)+IF(Y$117=1,Z24,0))</f>
        <v/>
      </c>
      <c r="Z194">
        <f>IF(OR($IW24=0,calcA!$A$6=0),0,IF(Y$117=1,Y24,0)+IF(Z$117=1,AA24,0))</f>
        <v/>
      </c>
      <c r="AA194">
        <f>IF(OR($IW24=0,calcA!$A$6=0),0,IF(Z$117=1,Z24,0))</f>
        <v/>
      </c>
      <c r="AB194">
        <f>IF(OR($IW24=0,calcA!$A$6=0),0,IF(AB$117=1,AC24,0))</f>
        <v/>
      </c>
      <c r="AC194">
        <f>IF(OR($IW24=0,calcA!$A$6=0),0,IF(AB$117=1,AB24,0)+IF(AC$117=1,AD24,0))</f>
        <v/>
      </c>
      <c r="AD194">
        <f>IF(OR($IW24=0,calcA!$A$6=0),0,IF(AC$117=1,AC24,0)+IF(AD$117=1,AE24,0))</f>
        <v/>
      </c>
      <c r="AE194">
        <f>IF(OR($IW24=0,calcA!$A$6=0),0,IF(AD$117=1,AD24,0)+IF(AE$117=1,AF24,0))</f>
        <v/>
      </c>
      <c r="AF194">
        <f>IF(OR($IW24=0,calcA!$A$6=0),0,IF(AE$117=1,AE24,0)+IF(AF$117=1,AG24,0))</f>
        <v/>
      </c>
      <c r="AG194">
        <f>IF(OR($IW24=0,calcA!$A$6=0),0,IF(AF$117=1,AF24,0)+IF(AG$117=1,AH24,0))</f>
        <v/>
      </c>
      <c r="AH194">
        <f>IF(OR($IW24=0,calcA!$A$6=0),0,IF(AG$117=1,AG24,0)+IF(AH$117=1,AI24,0))</f>
        <v/>
      </c>
      <c r="AI194">
        <f>IF(OR($IW24=0,calcA!$A$6=0),0,IF(AH$117=1,AH24,0)+IF(AI$117=1,AJ24,0))</f>
        <v/>
      </c>
      <c r="AJ194">
        <f>IF(OR($IW24=0,calcA!$A$6=0),0,IF(AI$117=1,AI24,0)+IF(AJ$117=1,AK24,0))</f>
        <v/>
      </c>
      <c r="AK194">
        <f>IF(OR($IW24=0,calcA!$A$6=0),0,IF(AJ$117=1,AJ24,0)+IF(AK$117=1,AL24,0))</f>
        <v/>
      </c>
      <c r="AL194">
        <f>IF(OR($IW24=0,calcA!$A$6=0),0,IF(AK$117=1,AK24,0)+IF(AL$117=1,AM24,0))</f>
        <v/>
      </c>
      <c r="AM194">
        <f>IF(OR($IW24=0,calcA!$A$6=0),0,IF(AL$117=1,AL24,0)+IF(AM$117=1,AN24,0))</f>
        <v/>
      </c>
      <c r="AN194">
        <f>IF(OR($IW24=0,calcA!$A$6=0),0,IF(AM$117=1,AM24,0)+IF(AN$117=1,AO24,0))</f>
        <v/>
      </c>
      <c r="AO194">
        <f>IF(OR($IW24=0,calcA!$A$6=0),0,IF(AN$117=1,AN24,0)+IF(AO$117=1,AP24,0))</f>
        <v/>
      </c>
      <c r="AP194">
        <f>IF(OR($IW24=0,calcA!$A$6=0),0,IF(AO$117=1,AO24,0)+IF(AP$117=1,AQ24,0))</f>
        <v/>
      </c>
      <c r="AQ194">
        <f>IF(OR($IW24=0,calcA!$A$6=0),0,IF(AP$117=1,AP24,0)+IF(AQ$117=1,AR24,0))</f>
        <v/>
      </c>
      <c r="AR194">
        <f>IF(OR($IW24=0,calcA!$A$6=0),0,IF(AQ$117=1,AQ24,0)+IF(AR$117=1,AS24,0))</f>
        <v/>
      </c>
      <c r="AS194">
        <f>IF(OR($IW24=0,calcA!$A$6=0),0,IF(AR$117=1,AR24,0)+IF(AS$117=1,AT24,0))</f>
        <v/>
      </c>
      <c r="AT194">
        <f>IF(OR($IW24=0,calcA!$A$6=0),0,IF(AS$117=1,AS24,0)+IF(AT$117=1,AU24,0))</f>
        <v/>
      </c>
      <c r="AU194">
        <f>IF(OR($IW24=0,calcA!$A$6=0),0,IF(AT$117=1,AT24,0)+IF(AU$117=1,AV24,0))</f>
        <v/>
      </c>
      <c r="AV194">
        <f>IF(OR($IW24=0,calcA!$A$6=0),0,IF(AU$117=1,AU24,0)+IF(AV$117=1,AW24,0))</f>
        <v/>
      </c>
      <c r="AW194">
        <f>IF(OR($IW24=0,calcA!$A$6=0),0,IF(AV$117=1,AV24,0)+IF(AW$117=1,AX24,0))</f>
        <v/>
      </c>
      <c r="AX194">
        <f>IF(OR($IW24=0,calcA!$A$6=0),0,IF(AW$117=1,AW24,0)+IF(AX$117=1,AY24,0))</f>
        <v/>
      </c>
      <c r="AY194">
        <f>IF(OR($IW24=0,calcA!$A$6=0),0,IF(AX$117=1,AX24,0))</f>
        <v/>
      </c>
      <c r="AZ194">
        <f>IF(OR($IW24=0,calcA!$A$6=0),0,IF(AZ$117=1,BA24,0))</f>
        <v/>
      </c>
      <c r="BA194">
        <f>IF(OR($IW24=0,calcA!$A$6=0),0,IF(AZ$117=1,AZ24,0)+IF(BA$117=1,BB24,0))</f>
        <v/>
      </c>
      <c r="BB194">
        <f>IF(OR($IW24=0,calcA!$A$6=0),0,IF(BA$117=1,BA24,0)+IF(BB$117=1,BC24,0))</f>
        <v/>
      </c>
      <c r="BC194">
        <f>IF(OR($IW24=0,calcA!$A$6=0),0,IF(BB$117=1,BB24,0)+IF(BC$117=1,BD24,0))</f>
        <v/>
      </c>
      <c r="BD194">
        <f>IF(OR($IW24=0,calcA!$A$6=0),0,IF(BC$117=1,BC24,0)+IF(BD$117=1,BE24,0))</f>
        <v/>
      </c>
      <c r="BE194">
        <f>IF(OR($IW24=0,calcA!$A$6=0),0,IF(BD$117=1,BD24,0)+IF(BE$117=1,BF24,0))</f>
        <v/>
      </c>
      <c r="BF194">
        <f>IF(OR($IW24=0,calcA!$A$6=0),0,IF(BE$117=1,BE24,0)+IF(BF$117=1,BG24,0))</f>
        <v/>
      </c>
      <c r="BG194">
        <f>IF(OR($IW24=0,calcA!$A$6=0),0,IF(BF$117=1,BF24,0)+IF(BG$117=1,BH24,0))</f>
        <v/>
      </c>
      <c r="BH194">
        <f>IF(OR($IW24=0,calcA!$A$6=0),0,IF(BG$117=1,BG24,0)+IF(BH$117=1,BI24,0))</f>
        <v/>
      </c>
      <c r="BI194">
        <f>IF(OR($IW24=0,calcA!$A$6=0),0,IF(BH$117=1,BH24,0)+IF(BI$117=1,BJ24,0))</f>
        <v/>
      </c>
      <c r="BJ194">
        <f>IF(OR($IW24=0,calcA!$A$6=0),0,IF(BI$117=1,BI24,0)+IF(BJ$117=1,BK24,0))</f>
        <v/>
      </c>
      <c r="BK194">
        <f>IF(OR($IW24=0,calcA!$A$6=0),0,IF(BJ$117=1,BJ24,0)+IF(BK$117=1,BL24,0))</f>
        <v/>
      </c>
      <c r="BL194">
        <f>IF(OR($IW24=0,calcA!$A$6=0),0,IF(BK$117=1,BK24,0)+IF(BL$117=1,BM24,0))</f>
        <v/>
      </c>
      <c r="BM194">
        <f>IF(OR($IW24=0,calcA!$A$6=0),0,IF(BL$117=1,BL24,0)+IF(BM$117=1,BN24,0))</f>
        <v/>
      </c>
      <c r="BN194">
        <f>IF(OR($IW24=0,calcA!$A$6=0),0,IF(BM$117=1,BM24,0)+IF(BN$117=1,BO24,0))</f>
        <v/>
      </c>
      <c r="BO194">
        <f>IF(OR($IW24=0,calcA!$A$6=0),0,IF(BN$117=1,BN24,0)+IF(BO$117=1,BP24,0))</f>
        <v/>
      </c>
      <c r="BP194">
        <f>IF(OR($IW24=0,calcA!$A$6=0),0,IF(BO$117=1,BO24,0)+IF(BP$117=1,BQ24,0))</f>
        <v/>
      </c>
      <c r="BQ194">
        <f>IF(OR($IW24=0,calcA!$A$6=0),0,IF(BP$117=1,BP24,0)+IF(BQ$117=1,BR24,0))</f>
        <v/>
      </c>
      <c r="BR194">
        <f>IF(OR($IW24=0,calcA!$A$6=0),0,IF(BQ$117=1,BQ24,0)+IF(BR$117=1,BS24,0))</f>
        <v/>
      </c>
      <c r="BS194">
        <f>IF(OR($IW24=0,calcA!$A$6=0),0,IF(BR$117=1,BR24,0)+IF(BS$117=1,BT24,0))</f>
        <v/>
      </c>
      <c r="BT194">
        <f>IF(OR($IW24=0,calcA!$A$6=0),0,IF(BS$117=1,BS24,0)+IF(BT$117=1,BU24,0))</f>
        <v/>
      </c>
      <c r="BU194">
        <f>IF(OR($IW24=0,calcA!$A$6=0),0,IF(BT$117=1,BT24,0)+IF(BU$117=1,BV24,0))</f>
        <v/>
      </c>
      <c r="BV194">
        <f>IF(OR($IW24=0,calcA!$A$6=0),0,IF(BU$117=1,BU24,0)+IF(BV$117=1,BW24,0))</f>
        <v/>
      </c>
      <c r="BW194">
        <f>IF(OR($IW24=0,calcA!$A$6=0),0,IF(BV$117=1,BV24,0))</f>
        <v/>
      </c>
      <c r="BX194">
        <f>IF(OR($IW24=0,calcA!$A$6=0),0,IF(BX$117=1,BY24,0))</f>
        <v/>
      </c>
      <c r="BY194">
        <f>IF(OR($IW24=0,calcA!$A$6=0),0,IF(BX$117=1,BX24,0)+IF(BY$117=1,BZ24,0))</f>
        <v/>
      </c>
      <c r="BZ194">
        <f>IF(OR($IW24=0,calcA!$A$6=0),0,IF(BY$117=1,BY24,0)+IF(BZ$117=1,CA24,0))</f>
        <v/>
      </c>
      <c r="CA194">
        <f>IF(OR($IW24=0,calcA!$A$6=0),0,IF(BZ$117=1,BZ24,0)+IF(CA$117=1,CB24,0))</f>
        <v/>
      </c>
      <c r="CB194">
        <f>IF(OR($IW24=0,calcA!$A$6=0),0,IF(CA$117=1,CA24,0)+IF(CB$117=1,CC24,0))</f>
        <v/>
      </c>
      <c r="CC194">
        <f>IF(OR($IW24=0,calcA!$A$6=0),0,IF(CB$117=1,CB24,0)+IF(CC$117=1,CD24,0))</f>
        <v/>
      </c>
      <c r="CD194">
        <f>IF(OR($IW24=0,calcA!$A$6=0),0,IF(CC$117=1,CC24,0)+IF(CD$117=1,CE24,0))</f>
        <v/>
      </c>
      <c r="CE194">
        <f>IF(OR($IW24=0,calcA!$A$6=0),0,IF(CD$117=1,CD24,0)+IF(CE$117=1,CF24,0))</f>
        <v/>
      </c>
      <c r="CF194">
        <f>IF(OR($IW24=0,calcA!$A$6=0),0,IF(CE$117=1,CE24,0)+IF(CF$117=1,CG24,0))</f>
        <v/>
      </c>
      <c r="CG194">
        <f>IF(OR($IW24=0,calcA!$A$6=0),0,IF(CF$117=1,CF24,0)+IF(CG$117=1,CH24,0))</f>
        <v/>
      </c>
      <c r="CH194">
        <f>IF(OR($IW24=0,calcA!$A$6=0),0,IF(CG$117=1,CG24,0)+IF(CH$117=1,CI24,0))</f>
        <v/>
      </c>
      <c r="CI194">
        <f>IF(OR($IW24=0,calcA!$A$6=0),0,IF(CH$117=1,CH24,0)+IF(CI$117=1,CJ24,0))</f>
        <v/>
      </c>
      <c r="CJ194">
        <f>IF(OR($IW24=0,calcA!$A$6=0),0,IF(CI$117=1,CI24,0)+IF(CJ$117=1,CK24,0))</f>
        <v/>
      </c>
      <c r="CK194">
        <f>IF(OR($IW24=0,calcA!$A$6=0),0,IF(CJ$117=1,CJ24,0)+IF(CK$117=1,CL24,0))</f>
        <v/>
      </c>
      <c r="CL194">
        <f>IF(OR($IW24=0,calcA!$A$6=0),0,IF(CK$117=1,CK24,0)+IF(CL$117=1,CM24,0))</f>
        <v/>
      </c>
      <c r="CM194">
        <f>IF(OR($IW24=0,calcA!$A$6=0),0,IF(CL$117=1,CL24,0)+IF(CM$117=1,CN24,0))</f>
        <v/>
      </c>
      <c r="CN194">
        <f>IF(OR($IW24=0,calcA!$A$6=0),0,IF(CM$117=1,CM24,0)+IF(CN$117=1,CO24,0))</f>
        <v/>
      </c>
      <c r="CO194">
        <f>IF(OR($IW24=0,calcA!$A$6=0),0,IF(CN$117=1,CN24,0)+IF(CO$117=1,CP24,0))</f>
        <v/>
      </c>
      <c r="CP194">
        <f>IF(OR($IW24=0,calcA!$A$6=0),0,IF(CO$117=1,CO24,0)+IF(CP$117=1,CQ24,0))</f>
        <v/>
      </c>
      <c r="CQ194">
        <f>IF(OR($IW24=0,calcA!$A$6=0),0,IF(CP$117=1,CP24,0)+IF(CQ$117=1,CR24,0))</f>
        <v/>
      </c>
      <c r="CR194">
        <f>IF(OR($IW24=0,calcA!$A$6=0),0,IF(CQ$117=1,CQ24,0)+IF(CR$117=1,CS24,0))</f>
        <v/>
      </c>
      <c r="CS194">
        <f>IF(OR($IW24=0,calcA!$A$6=0),0,IF(CR$117=1,CR24,0)+IF(CS$117=1,CT24,0))</f>
        <v/>
      </c>
      <c r="CT194">
        <f>IF(OR($IW24=0,calcA!$A$6=0),0,IF(CS$117=1,CS24,0)+IF(CT$117=1,CU24,0))</f>
        <v/>
      </c>
      <c r="CU194">
        <f>IF(OR($IW24=0,calcA!$A$6=0),0,IF(CT$117=1,CT24,0))</f>
        <v/>
      </c>
      <c r="CV194">
        <f>IF(OR($IW24=0,calcA!$A$6=0),0,IF(CV$117=1,CW24,0))</f>
        <v/>
      </c>
      <c r="CW194">
        <f>IF(OR($IW24=0,calcA!$A$6=0),0,IF(CV$117=1,CV24,0)+IF(CW$117=1,CX24,0))</f>
        <v/>
      </c>
      <c r="CX194">
        <f>IF(OR($IW24=0,calcA!$A$6=0),0,IF(CW$117=1,CW24,0)+IF(CX$117=1,CY24,0))</f>
        <v/>
      </c>
      <c r="CY194">
        <f>IF(OR($IW24=0,calcA!$A$6=0),0,IF(CX$117=1,CX24,0)+IF(CY$117=1,CZ24,0))</f>
        <v/>
      </c>
      <c r="CZ194">
        <f>IF(OR($IW24=0,calcA!$A$6=0),0,IF(CY$117=1,CY24,0)+IF(CZ$117=1,DA24,0))</f>
        <v/>
      </c>
      <c r="DA194">
        <f>IF(OR($IW24=0,calcA!$A$6=0),0,IF(CZ$117=1,CZ24,0)+IF(DA$117=1,DB24,0))</f>
        <v/>
      </c>
      <c r="DB194">
        <f>IF(OR($IW24=0,calcA!$A$6=0),0,IF(DA$117=1,DA24,0)+IF(DB$117=1,DC24,0))</f>
        <v/>
      </c>
      <c r="DC194">
        <f>IF(OR($IW24=0,calcA!$A$6=0),0,IF(DB$117=1,DB24,0)+IF(DC$117=1,DD24,0))</f>
        <v/>
      </c>
      <c r="DD194">
        <f>IF(OR($IW24=0,calcA!$A$6=0),0,IF(DC$117=1,DC24,0)+IF(DD$117=1,DE24,0))</f>
        <v/>
      </c>
      <c r="DE194">
        <f>IF(OR($IW24=0,calcA!$A$6=0),0,IF(DD$117=1,DD24,0)+IF(DE$117=1,DF24,0))</f>
        <v/>
      </c>
      <c r="DF194">
        <f>IF(OR($IW24=0,calcA!$A$6=0),0,IF(DE$117=1,DE24,0)+IF(DF$117=1,DG24,0))</f>
        <v/>
      </c>
      <c r="DG194">
        <f>IF(OR($IW24=0,calcA!$A$6=0),0,IF(DF$117=1,DF24,0)+IF(DG$117=1,DH24,0))</f>
        <v/>
      </c>
      <c r="DH194">
        <f>IF(OR($IW24=0,calcA!$A$6=0),0,IF(DG$117=1,DG24,0)+IF(DH$117=1,DI24,0))</f>
        <v/>
      </c>
      <c r="DI194">
        <f>IF(OR($IW24=0,calcA!$A$6=0),0,IF(DH$117=1,DH24,0)+IF(DI$117=1,DJ24,0))</f>
        <v/>
      </c>
      <c r="DJ194">
        <f>IF(OR($IW24=0,calcA!$A$6=0),0,IF(DI$117=1,DI24,0)+IF(DJ$117=1,DK24,0))</f>
        <v/>
      </c>
      <c r="DK194">
        <f>IF(OR($IW24=0,calcA!$A$6=0),0,IF(DJ$117=1,DJ24,0)+IF(DK$117=1,DL24,0))</f>
        <v/>
      </c>
      <c r="DL194">
        <f>IF(OR($IW24=0,calcA!$A$6=0),0,IF(DK$117=1,DK24,0)+IF(DL$117=1,DM24,0))</f>
        <v/>
      </c>
      <c r="DM194">
        <f>IF(OR($IW24=0,calcA!$A$6=0),0,IF(DL$117=1,DL24,0)+IF(DM$117=1,DN24,0))</f>
        <v/>
      </c>
      <c r="DN194">
        <f>IF(OR($IW24=0,calcA!$A$6=0),0,IF(DM$117=1,DM24,0)+IF(DN$117=1,DO24,0))</f>
        <v/>
      </c>
      <c r="DO194">
        <f>IF(OR($IW24=0,calcA!$A$6=0),0,IF(DN$117=1,DN24,0)+IF(DO$117=1,DP24,0))</f>
        <v/>
      </c>
      <c r="DP194">
        <f>IF(OR($IW24=0,calcA!$A$6=0),0,IF(DO$117=1,DO24,0)+IF(DP$117=1,DQ24,0))</f>
        <v/>
      </c>
      <c r="DQ194">
        <f>IF(OR($IW24=0,calcA!$A$6=0),0,IF(DP$117=1,DP24,0)+IF(DQ$117=1,DR24,0))</f>
        <v/>
      </c>
      <c r="DR194">
        <f>IF(OR($IW24=0,calcA!$A$6=0),0,IF(DQ$117=1,DQ24,0)+IF(DR$117=1,DS24,0))</f>
        <v/>
      </c>
      <c r="DS194">
        <f>IF(OR($IW24=0,calcA!$A$6=0),0,IF(DR$117=1,DR24,0))</f>
        <v/>
      </c>
      <c r="DT194">
        <f>IF(OR($IW24=0,calcA!$A$6=0),0,IF(DT$117=1,DU24,0))</f>
        <v/>
      </c>
      <c r="DU194">
        <f>IF(OR($IW24=0,calcA!$A$6=0),0,IF(DT$117=1,DT24,0)+IF(DU$117=1,DV24,0))</f>
        <v/>
      </c>
      <c r="DV194">
        <f>IF(OR($IW24=0,calcA!$A$6=0),0,IF(DU$117=1,DU24,0)+IF(DV$117=1,DW24,0))</f>
        <v/>
      </c>
      <c r="DW194">
        <f>IF(OR($IW24=0,calcA!$A$6=0),0,IF(DV$117=1,DV24,0)+IF(DW$117=1,DX24,0))</f>
        <v/>
      </c>
      <c r="DX194">
        <f>IF(OR($IW24=0,calcA!$A$6=0),0,IF(DW$117=1,DW24,0)+IF(DX$117=1,DY24,0))</f>
        <v/>
      </c>
      <c r="DY194">
        <f>IF(OR($IW24=0,calcA!$A$6=0),0,IF(DX$117=1,DX24,0)+IF(DY$117=1,DZ24,0))</f>
        <v/>
      </c>
      <c r="DZ194">
        <f>IF(OR($IW24=0,calcA!$A$6=0),0,IF(DY$117=1,DY24,0)+IF(DZ$117=1,EA24,0))</f>
        <v/>
      </c>
      <c r="EA194">
        <f>IF(OR($IW24=0,calcA!$A$6=0),0,IF(DZ$117=1,DZ24,0)+IF(EA$117=1,EB24,0))</f>
        <v/>
      </c>
      <c r="EB194">
        <f>IF(OR($IW24=0,calcA!$A$6=0),0,IF(EA$117=1,EA24,0)+IF(EB$117=1,EC24,0))</f>
        <v/>
      </c>
      <c r="EC194">
        <f>IF(OR($IW24=0,calcA!$A$6=0),0,IF(EB$117=1,EB24,0)+IF(EC$117=1,ED24,0))</f>
        <v/>
      </c>
      <c r="ED194">
        <f>IF(OR($IW24=0,calcA!$A$6=0),0,IF(EC$117=1,EC24,0)+IF(ED$117=1,EE24,0))</f>
        <v/>
      </c>
      <c r="EE194">
        <f>IF(OR($IW24=0,calcA!$A$6=0),0,IF(ED$117=1,ED24,0)+IF(EE$117=1,EF24,0))</f>
        <v/>
      </c>
      <c r="EF194">
        <f>IF(OR($IW24=0,calcA!$A$6=0),0,IF(EE$117=1,EE24,0)+IF(EF$117=1,EG24,0))</f>
        <v/>
      </c>
      <c r="EG194">
        <f>IF(OR($IW24=0,calcA!$A$6=0),0,IF(EF$117=1,EF24,0)+IF(EG$117=1,EH24,0))</f>
        <v/>
      </c>
      <c r="EH194">
        <f>IF(OR($IW24=0,calcA!$A$6=0),0,IF(EG$117=1,EG24,0)+IF(EH$117=1,EI24,0))</f>
        <v/>
      </c>
      <c r="EI194">
        <f>IF(OR($IW24=0,calcA!$A$6=0),0,IF(EH$117=1,EH24,0)+IF(EI$117=1,EJ24,0))</f>
        <v/>
      </c>
      <c r="EJ194">
        <f>IF(OR($IW24=0,calcA!$A$6=0),0,IF(EI$117=1,EI24,0)+IF(EJ$117=1,EK24,0))</f>
        <v/>
      </c>
      <c r="EK194">
        <f>IF(OR($IW24=0,calcA!$A$6=0),0,IF(EJ$117=1,EJ24,0)+IF(EK$117=1,EL24,0))</f>
        <v/>
      </c>
      <c r="EL194">
        <f>IF(OR($IW24=0,calcA!$A$6=0),0,IF(EK$117=1,EK24,0)+IF(EL$117=1,EM24,0))</f>
        <v/>
      </c>
      <c r="EM194">
        <f>IF(OR($IW24=0,calcA!$A$6=0),0,IF(EL$117=1,EL24,0)+IF(EM$117=1,EN24,0))</f>
        <v/>
      </c>
      <c r="EN194">
        <f>IF(OR($IW24=0,calcA!$A$6=0),0,IF(EM$117=1,EM24,0)+IF(EN$117=1,EO24,0))</f>
        <v/>
      </c>
      <c r="EO194">
        <f>IF(OR($IW24=0,calcA!$A$6=0),0,IF(EN$117=1,EN24,0)+IF(EO$117=1,EP24,0))</f>
        <v/>
      </c>
      <c r="EP194">
        <f>IF(OR($IW24=0,calcA!$A$6=0),0,IF(EO$117=1,EO24,0)+IF(EP$117=1,EQ24,0))</f>
        <v/>
      </c>
      <c r="EQ194">
        <f>IF(OR($IW24=0,calcA!$A$6=0),0,IF(EP$117=1,EP24,0))</f>
        <v/>
      </c>
    </row>
    <row r="195">
      <c r="D195">
        <f>IF(OR($IW25=0,calcA!$A$6=0),0,IF(D$117=1,E25,0))</f>
        <v/>
      </c>
      <c r="E195">
        <f>IF(OR($IW25=0,calcA!$A$6=0),0,IF(D$117=1,D25,0)+IF(E$117=1,F25,0))</f>
        <v/>
      </c>
      <c r="F195">
        <f>IF(OR($IW25=0,calcA!$A$6=0),0,IF(E$117=1,E25,0)+IF(F$117=1,G25,0))</f>
        <v/>
      </c>
      <c r="G195">
        <f>IF(OR($IW25=0,calcA!$A$6=0),0,IF(F$117=1,F25,0)+IF(G$117=1,H25,0))</f>
        <v/>
      </c>
      <c r="H195">
        <f>IF(OR($IW25=0,calcA!$A$6=0),0,IF(G$117=1,G25,0)+IF(H$117=1,I25,0))</f>
        <v/>
      </c>
      <c r="I195">
        <f>IF(OR($IW25=0,calcA!$A$6=0),0,IF(H$117=1,H25,0)+IF(I$117=1,J25,0))</f>
        <v/>
      </c>
      <c r="J195">
        <f>IF(OR($IW25=0,calcA!$A$6=0),0,IF(I$117=1,I25,0)+IF(J$117=1,K25,0))</f>
        <v/>
      </c>
      <c r="K195">
        <f>IF(OR($IW25=0,calcA!$A$6=0),0,IF(J$117=1,J25,0)+IF(K$117=1,L25,0))</f>
        <v/>
      </c>
      <c r="L195">
        <f>IF(OR($IW25=0,calcA!$A$6=0),0,IF(K$117=1,K25,0)+IF(L$117=1,M25,0))</f>
        <v/>
      </c>
      <c r="M195">
        <f>IF(OR($IW25=0,calcA!$A$6=0),0,IF(L$117=1,L25,0)+IF(M$117=1,N25,0))</f>
        <v/>
      </c>
      <c r="N195">
        <f>IF(OR($IW25=0,calcA!$A$6=0),0,IF(M$117=1,M25,0)+IF(N$117=1,O25,0))</f>
        <v/>
      </c>
      <c r="O195">
        <f>IF(OR($IW25=0,calcA!$A$6=0),0,IF(N$117=1,N25,0)+IF(O$117=1,P25,0))</f>
        <v/>
      </c>
      <c r="P195">
        <f>IF(OR($IW25=0,calcA!$A$6=0),0,IF(O$117=1,O25,0)+IF(P$117=1,Q25,0))</f>
        <v/>
      </c>
      <c r="Q195">
        <f>IF(OR($IW25=0,calcA!$A$6=0),0,IF(P$117=1,P25,0)+IF(Q$117=1,R25,0))</f>
        <v/>
      </c>
      <c r="R195">
        <f>IF(OR($IW25=0,calcA!$A$6=0),0,IF(Q$117=1,Q25,0)+IF(R$117=1,S25,0))</f>
        <v/>
      </c>
      <c r="S195">
        <f>IF(OR($IW25=0,calcA!$A$6=0),0,IF(R$117=1,R25,0)+IF(S$117=1,T25,0))</f>
        <v/>
      </c>
      <c r="T195">
        <f>IF(OR($IW25=0,calcA!$A$6=0),0,IF(S$117=1,S25,0)+IF(T$117=1,U25,0))</f>
        <v/>
      </c>
      <c r="U195">
        <f>IF(OR($IW25=0,calcA!$A$6=0),0,IF(T$117=1,T25,0)+IF(U$117=1,V25,0))</f>
        <v/>
      </c>
      <c r="V195">
        <f>IF(OR($IW25=0,calcA!$A$6=0),0,IF(U$117=1,U25,0)+IF(V$117=1,W25,0))</f>
        <v/>
      </c>
      <c r="W195">
        <f>IF(OR($IW25=0,calcA!$A$6=0),0,IF(V$117=1,V25,0)+IF(W$117=1,X25,0))</f>
        <v/>
      </c>
      <c r="X195">
        <f>IF(OR($IW25=0,calcA!$A$6=0),0,IF(W$117=1,W25,0)+IF(X$117=1,Y25,0))</f>
        <v/>
      </c>
      <c r="Y195">
        <f>IF(OR($IW25=0,calcA!$A$6=0),0,IF(X$117=1,X25,0)+IF(Y$117=1,Z25,0))</f>
        <v/>
      </c>
      <c r="Z195">
        <f>IF(OR($IW25=0,calcA!$A$6=0),0,IF(Y$117=1,Y25,0)+IF(Z$117=1,AA25,0))</f>
        <v/>
      </c>
      <c r="AA195">
        <f>IF(OR($IW25=0,calcA!$A$6=0),0,IF(Z$117=1,Z25,0))</f>
        <v/>
      </c>
      <c r="AB195">
        <f>IF(OR($IW25=0,calcA!$A$6=0),0,IF(AB$117=1,AC25,0))</f>
        <v/>
      </c>
      <c r="AC195">
        <f>IF(OR($IW25=0,calcA!$A$6=0),0,IF(AB$117=1,AB25,0)+IF(AC$117=1,AD25,0))</f>
        <v/>
      </c>
      <c r="AD195">
        <f>IF(OR($IW25=0,calcA!$A$6=0),0,IF(AC$117=1,AC25,0)+IF(AD$117=1,AE25,0))</f>
        <v/>
      </c>
      <c r="AE195">
        <f>IF(OR($IW25=0,calcA!$A$6=0),0,IF(AD$117=1,AD25,0)+IF(AE$117=1,AF25,0))</f>
        <v/>
      </c>
      <c r="AF195">
        <f>IF(OR($IW25=0,calcA!$A$6=0),0,IF(AE$117=1,AE25,0)+IF(AF$117=1,AG25,0))</f>
        <v/>
      </c>
      <c r="AG195">
        <f>IF(OR($IW25=0,calcA!$A$6=0),0,IF(AF$117=1,AF25,0)+IF(AG$117=1,AH25,0))</f>
        <v/>
      </c>
      <c r="AH195">
        <f>IF(OR($IW25=0,calcA!$A$6=0),0,IF(AG$117=1,AG25,0)+IF(AH$117=1,AI25,0))</f>
        <v/>
      </c>
      <c r="AI195">
        <f>IF(OR($IW25=0,calcA!$A$6=0),0,IF(AH$117=1,AH25,0)+IF(AI$117=1,AJ25,0))</f>
        <v/>
      </c>
      <c r="AJ195">
        <f>IF(OR($IW25=0,calcA!$A$6=0),0,IF(AI$117=1,AI25,0)+IF(AJ$117=1,AK25,0))</f>
        <v/>
      </c>
      <c r="AK195">
        <f>IF(OR($IW25=0,calcA!$A$6=0),0,IF(AJ$117=1,AJ25,0)+IF(AK$117=1,AL25,0))</f>
        <v/>
      </c>
      <c r="AL195">
        <f>IF(OR($IW25=0,calcA!$A$6=0),0,IF(AK$117=1,AK25,0)+IF(AL$117=1,AM25,0))</f>
        <v/>
      </c>
      <c r="AM195">
        <f>IF(OR($IW25=0,calcA!$A$6=0),0,IF(AL$117=1,AL25,0)+IF(AM$117=1,AN25,0))</f>
        <v/>
      </c>
      <c r="AN195">
        <f>IF(OR($IW25=0,calcA!$A$6=0),0,IF(AM$117=1,AM25,0)+IF(AN$117=1,AO25,0))</f>
        <v/>
      </c>
      <c r="AO195">
        <f>IF(OR($IW25=0,calcA!$A$6=0),0,IF(AN$117=1,AN25,0)+IF(AO$117=1,AP25,0))</f>
        <v/>
      </c>
      <c r="AP195">
        <f>IF(OR($IW25=0,calcA!$A$6=0),0,IF(AO$117=1,AO25,0)+IF(AP$117=1,AQ25,0))</f>
        <v/>
      </c>
      <c r="AQ195">
        <f>IF(OR($IW25=0,calcA!$A$6=0),0,IF(AP$117=1,AP25,0)+IF(AQ$117=1,AR25,0))</f>
        <v/>
      </c>
      <c r="AR195">
        <f>IF(OR($IW25=0,calcA!$A$6=0),0,IF(AQ$117=1,AQ25,0)+IF(AR$117=1,AS25,0))</f>
        <v/>
      </c>
      <c r="AS195">
        <f>IF(OR($IW25=0,calcA!$A$6=0),0,IF(AR$117=1,AR25,0)+IF(AS$117=1,AT25,0))</f>
        <v/>
      </c>
      <c r="AT195">
        <f>IF(OR($IW25=0,calcA!$A$6=0),0,IF(AS$117=1,AS25,0)+IF(AT$117=1,AU25,0))</f>
        <v/>
      </c>
      <c r="AU195">
        <f>IF(OR($IW25=0,calcA!$A$6=0),0,IF(AT$117=1,AT25,0)+IF(AU$117=1,AV25,0))</f>
        <v/>
      </c>
      <c r="AV195">
        <f>IF(OR($IW25=0,calcA!$A$6=0),0,IF(AU$117=1,AU25,0)+IF(AV$117=1,AW25,0))</f>
        <v/>
      </c>
      <c r="AW195">
        <f>IF(OR($IW25=0,calcA!$A$6=0),0,IF(AV$117=1,AV25,0)+IF(AW$117=1,AX25,0))</f>
        <v/>
      </c>
      <c r="AX195">
        <f>IF(OR($IW25=0,calcA!$A$6=0),0,IF(AW$117=1,AW25,0)+IF(AX$117=1,AY25,0))</f>
        <v/>
      </c>
      <c r="AY195">
        <f>IF(OR($IW25=0,calcA!$A$6=0),0,IF(AX$117=1,AX25,0))</f>
        <v/>
      </c>
      <c r="AZ195">
        <f>IF(OR($IW25=0,calcA!$A$6=0),0,IF(AZ$117=1,BA25,0))</f>
        <v/>
      </c>
      <c r="BA195">
        <f>IF(OR($IW25=0,calcA!$A$6=0),0,IF(AZ$117=1,AZ25,0)+IF(BA$117=1,BB25,0))</f>
        <v/>
      </c>
      <c r="BB195">
        <f>IF(OR($IW25=0,calcA!$A$6=0),0,IF(BA$117=1,BA25,0)+IF(BB$117=1,BC25,0))</f>
        <v/>
      </c>
      <c r="BC195">
        <f>IF(OR($IW25=0,calcA!$A$6=0),0,IF(BB$117=1,BB25,0)+IF(BC$117=1,BD25,0))</f>
        <v/>
      </c>
      <c r="BD195">
        <f>IF(OR($IW25=0,calcA!$A$6=0),0,IF(BC$117=1,BC25,0)+IF(BD$117=1,BE25,0))</f>
        <v/>
      </c>
      <c r="BE195">
        <f>IF(OR($IW25=0,calcA!$A$6=0),0,IF(BD$117=1,BD25,0)+IF(BE$117=1,BF25,0))</f>
        <v/>
      </c>
      <c r="BF195">
        <f>IF(OR($IW25=0,calcA!$A$6=0),0,IF(BE$117=1,BE25,0)+IF(BF$117=1,BG25,0))</f>
        <v/>
      </c>
      <c r="BG195">
        <f>IF(OR($IW25=0,calcA!$A$6=0),0,IF(BF$117=1,BF25,0)+IF(BG$117=1,BH25,0))</f>
        <v/>
      </c>
      <c r="BH195">
        <f>IF(OR($IW25=0,calcA!$A$6=0),0,IF(BG$117=1,BG25,0)+IF(BH$117=1,BI25,0))</f>
        <v/>
      </c>
      <c r="BI195">
        <f>IF(OR($IW25=0,calcA!$A$6=0),0,IF(BH$117=1,BH25,0)+IF(BI$117=1,BJ25,0))</f>
        <v/>
      </c>
      <c r="BJ195">
        <f>IF(OR($IW25=0,calcA!$A$6=0),0,IF(BI$117=1,BI25,0)+IF(BJ$117=1,BK25,0))</f>
        <v/>
      </c>
      <c r="BK195">
        <f>IF(OR($IW25=0,calcA!$A$6=0),0,IF(BJ$117=1,BJ25,0)+IF(BK$117=1,BL25,0))</f>
        <v/>
      </c>
      <c r="BL195">
        <f>IF(OR($IW25=0,calcA!$A$6=0),0,IF(BK$117=1,BK25,0)+IF(BL$117=1,BM25,0))</f>
        <v/>
      </c>
      <c r="BM195">
        <f>IF(OR($IW25=0,calcA!$A$6=0),0,IF(BL$117=1,BL25,0)+IF(BM$117=1,BN25,0))</f>
        <v/>
      </c>
      <c r="BN195">
        <f>IF(OR($IW25=0,calcA!$A$6=0),0,IF(BM$117=1,BM25,0)+IF(BN$117=1,BO25,0))</f>
        <v/>
      </c>
      <c r="BO195">
        <f>IF(OR($IW25=0,calcA!$A$6=0),0,IF(BN$117=1,BN25,0)+IF(BO$117=1,BP25,0))</f>
        <v/>
      </c>
      <c r="BP195">
        <f>IF(OR($IW25=0,calcA!$A$6=0),0,IF(BO$117=1,BO25,0)+IF(BP$117=1,BQ25,0))</f>
        <v/>
      </c>
      <c r="BQ195">
        <f>IF(OR($IW25=0,calcA!$A$6=0),0,IF(BP$117=1,BP25,0)+IF(BQ$117=1,BR25,0))</f>
        <v/>
      </c>
      <c r="BR195">
        <f>IF(OR($IW25=0,calcA!$A$6=0),0,IF(BQ$117=1,BQ25,0)+IF(BR$117=1,BS25,0))</f>
        <v/>
      </c>
      <c r="BS195">
        <f>IF(OR($IW25=0,calcA!$A$6=0),0,IF(BR$117=1,BR25,0)+IF(BS$117=1,BT25,0))</f>
        <v/>
      </c>
      <c r="BT195">
        <f>IF(OR($IW25=0,calcA!$A$6=0),0,IF(BS$117=1,BS25,0)+IF(BT$117=1,BU25,0))</f>
        <v/>
      </c>
      <c r="BU195">
        <f>IF(OR($IW25=0,calcA!$A$6=0),0,IF(BT$117=1,BT25,0)+IF(BU$117=1,BV25,0))</f>
        <v/>
      </c>
      <c r="BV195">
        <f>IF(OR($IW25=0,calcA!$A$6=0),0,IF(BU$117=1,BU25,0)+IF(BV$117=1,BW25,0))</f>
        <v/>
      </c>
      <c r="BW195">
        <f>IF(OR($IW25=0,calcA!$A$6=0),0,IF(BV$117=1,BV25,0))</f>
        <v/>
      </c>
      <c r="BX195">
        <f>IF(OR($IW25=0,calcA!$A$6=0),0,IF(BX$117=1,BY25,0))</f>
        <v/>
      </c>
      <c r="BY195">
        <f>IF(OR($IW25=0,calcA!$A$6=0),0,IF(BX$117=1,BX25,0)+IF(BY$117=1,BZ25,0))</f>
        <v/>
      </c>
      <c r="BZ195">
        <f>IF(OR($IW25=0,calcA!$A$6=0),0,IF(BY$117=1,BY25,0)+IF(BZ$117=1,CA25,0))</f>
        <v/>
      </c>
      <c r="CA195">
        <f>IF(OR($IW25=0,calcA!$A$6=0),0,IF(BZ$117=1,BZ25,0)+IF(CA$117=1,CB25,0))</f>
        <v/>
      </c>
      <c r="CB195">
        <f>IF(OR($IW25=0,calcA!$A$6=0),0,IF(CA$117=1,CA25,0)+IF(CB$117=1,CC25,0))</f>
        <v/>
      </c>
      <c r="CC195">
        <f>IF(OR($IW25=0,calcA!$A$6=0),0,IF(CB$117=1,CB25,0)+IF(CC$117=1,CD25,0))</f>
        <v/>
      </c>
      <c r="CD195">
        <f>IF(OR($IW25=0,calcA!$A$6=0),0,IF(CC$117=1,CC25,0)+IF(CD$117=1,CE25,0))</f>
        <v/>
      </c>
      <c r="CE195">
        <f>IF(OR($IW25=0,calcA!$A$6=0),0,IF(CD$117=1,CD25,0)+IF(CE$117=1,CF25,0))</f>
        <v/>
      </c>
      <c r="CF195">
        <f>IF(OR($IW25=0,calcA!$A$6=0),0,IF(CE$117=1,CE25,0)+IF(CF$117=1,CG25,0))</f>
        <v/>
      </c>
      <c r="CG195">
        <f>IF(OR($IW25=0,calcA!$A$6=0),0,IF(CF$117=1,CF25,0)+IF(CG$117=1,CH25,0))</f>
        <v/>
      </c>
      <c r="CH195">
        <f>IF(OR($IW25=0,calcA!$A$6=0),0,IF(CG$117=1,CG25,0)+IF(CH$117=1,CI25,0))</f>
        <v/>
      </c>
      <c r="CI195">
        <f>IF(OR($IW25=0,calcA!$A$6=0),0,IF(CH$117=1,CH25,0)+IF(CI$117=1,CJ25,0))</f>
        <v/>
      </c>
      <c r="CJ195">
        <f>IF(OR($IW25=0,calcA!$A$6=0),0,IF(CI$117=1,CI25,0)+IF(CJ$117=1,CK25,0))</f>
        <v/>
      </c>
      <c r="CK195">
        <f>IF(OR($IW25=0,calcA!$A$6=0),0,IF(CJ$117=1,CJ25,0)+IF(CK$117=1,CL25,0))</f>
        <v/>
      </c>
      <c r="CL195">
        <f>IF(OR($IW25=0,calcA!$A$6=0),0,IF(CK$117=1,CK25,0)+IF(CL$117=1,CM25,0))</f>
        <v/>
      </c>
      <c r="CM195">
        <f>IF(OR($IW25=0,calcA!$A$6=0),0,IF(CL$117=1,CL25,0)+IF(CM$117=1,CN25,0))</f>
        <v/>
      </c>
      <c r="CN195">
        <f>IF(OR($IW25=0,calcA!$A$6=0),0,IF(CM$117=1,CM25,0)+IF(CN$117=1,CO25,0))</f>
        <v/>
      </c>
      <c r="CO195">
        <f>IF(OR($IW25=0,calcA!$A$6=0),0,IF(CN$117=1,CN25,0)+IF(CO$117=1,CP25,0))</f>
        <v/>
      </c>
      <c r="CP195">
        <f>IF(OR($IW25=0,calcA!$A$6=0),0,IF(CO$117=1,CO25,0)+IF(CP$117=1,CQ25,0))</f>
        <v/>
      </c>
      <c r="CQ195">
        <f>IF(OR($IW25=0,calcA!$A$6=0),0,IF(CP$117=1,CP25,0)+IF(CQ$117=1,CR25,0))</f>
        <v/>
      </c>
      <c r="CR195">
        <f>IF(OR($IW25=0,calcA!$A$6=0),0,IF(CQ$117=1,CQ25,0)+IF(CR$117=1,CS25,0))</f>
        <v/>
      </c>
      <c r="CS195">
        <f>IF(OR($IW25=0,calcA!$A$6=0),0,IF(CR$117=1,CR25,0)+IF(CS$117=1,CT25,0))</f>
        <v/>
      </c>
      <c r="CT195">
        <f>IF(OR($IW25=0,calcA!$A$6=0),0,IF(CS$117=1,CS25,0)+IF(CT$117=1,CU25,0))</f>
        <v/>
      </c>
      <c r="CU195">
        <f>IF(OR($IW25=0,calcA!$A$6=0),0,IF(CT$117=1,CT25,0))</f>
        <v/>
      </c>
      <c r="CV195">
        <f>IF(OR($IW25=0,calcA!$A$6=0),0,IF(CV$117=1,CW25,0))</f>
        <v/>
      </c>
      <c r="CW195">
        <f>IF(OR($IW25=0,calcA!$A$6=0),0,IF(CV$117=1,CV25,0)+IF(CW$117=1,CX25,0))</f>
        <v/>
      </c>
      <c r="CX195">
        <f>IF(OR($IW25=0,calcA!$A$6=0),0,IF(CW$117=1,CW25,0)+IF(CX$117=1,CY25,0))</f>
        <v/>
      </c>
      <c r="CY195">
        <f>IF(OR($IW25=0,calcA!$A$6=0),0,IF(CX$117=1,CX25,0)+IF(CY$117=1,CZ25,0))</f>
        <v/>
      </c>
      <c r="CZ195">
        <f>IF(OR($IW25=0,calcA!$A$6=0),0,IF(CY$117=1,CY25,0)+IF(CZ$117=1,DA25,0))</f>
        <v/>
      </c>
      <c r="DA195">
        <f>IF(OR($IW25=0,calcA!$A$6=0),0,IF(CZ$117=1,CZ25,0)+IF(DA$117=1,DB25,0))</f>
        <v/>
      </c>
      <c r="DB195">
        <f>IF(OR($IW25=0,calcA!$A$6=0),0,IF(DA$117=1,DA25,0)+IF(DB$117=1,DC25,0))</f>
        <v/>
      </c>
      <c r="DC195">
        <f>IF(OR($IW25=0,calcA!$A$6=0),0,IF(DB$117=1,DB25,0)+IF(DC$117=1,DD25,0))</f>
        <v/>
      </c>
      <c r="DD195">
        <f>IF(OR($IW25=0,calcA!$A$6=0),0,IF(DC$117=1,DC25,0)+IF(DD$117=1,DE25,0))</f>
        <v/>
      </c>
      <c r="DE195">
        <f>IF(OR($IW25=0,calcA!$A$6=0),0,IF(DD$117=1,DD25,0)+IF(DE$117=1,DF25,0))</f>
        <v/>
      </c>
      <c r="DF195">
        <f>IF(OR($IW25=0,calcA!$A$6=0),0,IF(DE$117=1,DE25,0)+IF(DF$117=1,DG25,0))</f>
        <v/>
      </c>
      <c r="DG195">
        <f>IF(OR($IW25=0,calcA!$A$6=0),0,IF(DF$117=1,DF25,0)+IF(DG$117=1,DH25,0))</f>
        <v/>
      </c>
      <c r="DH195">
        <f>IF(OR($IW25=0,calcA!$A$6=0),0,IF(DG$117=1,DG25,0)+IF(DH$117=1,DI25,0))</f>
        <v/>
      </c>
      <c r="DI195">
        <f>IF(OR($IW25=0,calcA!$A$6=0),0,IF(DH$117=1,DH25,0)+IF(DI$117=1,DJ25,0))</f>
        <v/>
      </c>
      <c r="DJ195">
        <f>IF(OR($IW25=0,calcA!$A$6=0),0,IF(DI$117=1,DI25,0)+IF(DJ$117=1,DK25,0))</f>
        <v/>
      </c>
      <c r="DK195">
        <f>IF(OR($IW25=0,calcA!$A$6=0),0,IF(DJ$117=1,DJ25,0)+IF(DK$117=1,DL25,0))</f>
        <v/>
      </c>
      <c r="DL195">
        <f>IF(OR($IW25=0,calcA!$A$6=0),0,IF(DK$117=1,DK25,0)+IF(DL$117=1,DM25,0))</f>
        <v/>
      </c>
      <c r="DM195">
        <f>IF(OR($IW25=0,calcA!$A$6=0),0,IF(DL$117=1,DL25,0)+IF(DM$117=1,DN25,0))</f>
        <v/>
      </c>
      <c r="DN195">
        <f>IF(OR($IW25=0,calcA!$A$6=0),0,IF(DM$117=1,DM25,0)+IF(DN$117=1,DO25,0))</f>
        <v/>
      </c>
      <c r="DO195">
        <f>IF(OR($IW25=0,calcA!$A$6=0),0,IF(DN$117=1,DN25,0)+IF(DO$117=1,DP25,0))</f>
        <v/>
      </c>
      <c r="DP195">
        <f>IF(OR($IW25=0,calcA!$A$6=0),0,IF(DO$117=1,DO25,0)+IF(DP$117=1,DQ25,0))</f>
        <v/>
      </c>
      <c r="DQ195">
        <f>IF(OR($IW25=0,calcA!$A$6=0),0,IF(DP$117=1,DP25,0)+IF(DQ$117=1,DR25,0))</f>
        <v/>
      </c>
      <c r="DR195">
        <f>IF(OR($IW25=0,calcA!$A$6=0),0,IF(DQ$117=1,DQ25,0)+IF(DR$117=1,DS25,0))</f>
        <v/>
      </c>
      <c r="DS195">
        <f>IF(OR($IW25=0,calcA!$A$6=0),0,IF(DR$117=1,DR25,0))</f>
        <v/>
      </c>
      <c r="DT195">
        <f>IF(OR($IW25=0,calcA!$A$6=0),0,IF(DT$117=1,DU25,0))</f>
        <v/>
      </c>
      <c r="DU195">
        <f>IF(OR($IW25=0,calcA!$A$6=0),0,IF(DT$117=1,DT25,0)+IF(DU$117=1,DV25,0))</f>
        <v/>
      </c>
      <c r="DV195">
        <f>IF(OR($IW25=0,calcA!$A$6=0),0,IF(DU$117=1,DU25,0)+IF(DV$117=1,DW25,0))</f>
        <v/>
      </c>
      <c r="DW195">
        <f>IF(OR($IW25=0,calcA!$A$6=0),0,IF(DV$117=1,DV25,0)+IF(DW$117=1,DX25,0))</f>
        <v/>
      </c>
      <c r="DX195">
        <f>IF(OR($IW25=0,calcA!$A$6=0),0,IF(DW$117=1,DW25,0)+IF(DX$117=1,DY25,0))</f>
        <v/>
      </c>
      <c r="DY195">
        <f>IF(OR($IW25=0,calcA!$A$6=0),0,IF(DX$117=1,DX25,0)+IF(DY$117=1,DZ25,0))</f>
        <v/>
      </c>
      <c r="DZ195">
        <f>IF(OR($IW25=0,calcA!$A$6=0),0,IF(DY$117=1,DY25,0)+IF(DZ$117=1,EA25,0))</f>
        <v/>
      </c>
      <c r="EA195">
        <f>IF(OR($IW25=0,calcA!$A$6=0),0,IF(DZ$117=1,DZ25,0)+IF(EA$117=1,EB25,0))</f>
        <v/>
      </c>
      <c r="EB195">
        <f>IF(OR($IW25=0,calcA!$A$6=0),0,IF(EA$117=1,EA25,0)+IF(EB$117=1,EC25,0))</f>
        <v/>
      </c>
      <c r="EC195">
        <f>IF(OR($IW25=0,calcA!$A$6=0),0,IF(EB$117=1,EB25,0)+IF(EC$117=1,ED25,0))</f>
        <v/>
      </c>
      <c r="ED195">
        <f>IF(OR($IW25=0,calcA!$A$6=0),0,IF(EC$117=1,EC25,0)+IF(ED$117=1,EE25,0))</f>
        <v/>
      </c>
      <c r="EE195">
        <f>IF(OR($IW25=0,calcA!$A$6=0),0,IF(ED$117=1,ED25,0)+IF(EE$117=1,EF25,0))</f>
        <v/>
      </c>
      <c r="EF195">
        <f>IF(OR($IW25=0,calcA!$A$6=0),0,IF(EE$117=1,EE25,0)+IF(EF$117=1,EG25,0))</f>
        <v/>
      </c>
      <c r="EG195">
        <f>IF(OR($IW25=0,calcA!$A$6=0),0,IF(EF$117=1,EF25,0)+IF(EG$117=1,EH25,0))</f>
        <v/>
      </c>
      <c r="EH195">
        <f>IF(OR($IW25=0,calcA!$A$6=0),0,IF(EG$117=1,EG25,0)+IF(EH$117=1,EI25,0))</f>
        <v/>
      </c>
      <c r="EI195">
        <f>IF(OR($IW25=0,calcA!$A$6=0),0,IF(EH$117=1,EH25,0)+IF(EI$117=1,EJ25,0))</f>
        <v/>
      </c>
      <c r="EJ195">
        <f>IF(OR($IW25=0,calcA!$A$6=0),0,IF(EI$117=1,EI25,0)+IF(EJ$117=1,EK25,0))</f>
        <v/>
      </c>
      <c r="EK195">
        <f>IF(OR($IW25=0,calcA!$A$6=0),0,IF(EJ$117=1,EJ25,0)+IF(EK$117=1,EL25,0))</f>
        <v/>
      </c>
      <c r="EL195">
        <f>IF(OR($IW25=0,calcA!$A$6=0),0,IF(EK$117=1,EK25,0)+IF(EL$117=1,EM25,0))</f>
        <v/>
      </c>
      <c r="EM195">
        <f>IF(OR($IW25=0,calcA!$A$6=0),0,IF(EL$117=1,EL25,0)+IF(EM$117=1,EN25,0))</f>
        <v/>
      </c>
      <c r="EN195">
        <f>IF(OR($IW25=0,calcA!$A$6=0),0,IF(EM$117=1,EM25,0)+IF(EN$117=1,EO25,0))</f>
        <v/>
      </c>
      <c r="EO195">
        <f>IF(OR($IW25=0,calcA!$A$6=0),0,IF(EN$117=1,EN25,0)+IF(EO$117=1,EP25,0))</f>
        <v/>
      </c>
      <c r="EP195">
        <f>IF(OR($IW25=0,calcA!$A$6=0),0,IF(EO$117=1,EO25,0)+IF(EP$117=1,EQ25,0))</f>
        <v/>
      </c>
      <c r="EQ195">
        <f>IF(OR($IW25=0,calcA!$A$6=0),0,IF(EP$117=1,EP25,0))</f>
        <v/>
      </c>
    </row>
    <row r="196">
      <c r="D196">
        <f>IF(OR($IW26=0,calcA!$A$6=0),0,IF(D$117=1,E26,0))</f>
        <v/>
      </c>
      <c r="E196">
        <f>IF(OR($IW26=0,calcA!$A$6=0),0,IF(D$117=1,D26,0)+IF(E$117=1,F26,0))</f>
        <v/>
      </c>
      <c r="F196">
        <f>IF(OR($IW26=0,calcA!$A$6=0),0,IF(E$117=1,E26,0)+IF(F$117=1,G26,0))</f>
        <v/>
      </c>
      <c r="G196">
        <f>IF(OR($IW26=0,calcA!$A$6=0),0,IF(F$117=1,F26,0)+IF(G$117=1,H26,0))</f>
        <v/>
      </c>
      <c r="H196">
        <f>IF(OR($IW26=0,calcA!$A$6=0),0,IF(G$117=1,G26,0)+IF(H$117=1,I26,0))</f>
        <v/>
      </c>
      <c r="I196">
        <f>IF(OR($IW26=0,calcA!$A$6=0),0,IF(H$117=1,H26,0)+IF(I$117=1,J26,0))</f>
        <v/>
      </c>
      <c r="J196">
        <f>IF(OR($IW26=0,calcA!$A$6=0),0,IF(I$117=1,I26,0)+IF(J$117=1,K26,0))</f>
        <v/>
      </c>
      <c r="K196">
        <f>IF(OR($IW26=0,calcA!$A$6=0),0,IF(J$117=1,J26,0)+IF(K$117=1,L26,0))</f>
        <v/>
      </c>
      <c r="L196">
        <f>IF(OR($IW26=0,calcA!$A$6=0),0,IF(K$117=1,K26,0)+IF(L$117=1,M26,0))</f>
        <v/>
      </c>
      <c r="M196">
        <f>IF(OR($IW26=0,calcA!$A$6=0),0,IF(L$117=1,L26,0)+IF(M$117=1,N26,0))</f>
        <v/>
      </c>
      <c r="N196">
        <f>IF(OR($IW26=0,calcA!$A$6=0),0,IF(M$117=1,M26,0)+IF(N$117=1,O26,0))</f>
        <v/>
      </c>
      <c r="O196">
        <f>IF(OR($IW26=0,calcA!$A$6=0),0,IF(N$117=1,N26,0)+IF(O$117=1,P26,0))</f>
        <v/>
      </c>
      <c r="P196">
        <f>IF(OR($IW26=0,calcA!$A$6=0),0,IF(O$117=1,O26,0)+IF(P$117=1,Q26,0))</f>
        <v/>
      </c>
      <c r="Q196">
        <f>IF(OR($IW26=0,calcA!$A$6=0),0,IF(P$117=1,P26,0)+IF(Q$117=1,R26,0))</f>
        <v/>
      </c>
      <c r="R196">
        <f>IF(OR($IW26=0,calcA!$A$6=0),0,IF(Q$117=1,Q26,0)+IF(R$117=1,S26,0))</f>
        <v/>
      </c>
      <c r="S196">
        <f>IF(OR($IW26=0,calcA!$A$6=0),0,IF(R$117=1,R26,0)+IF(S$117=1,T26,0))</f>
        <v/>
      </c>
      <c r="T196">
        <f>IF(OR($IW26=0,calcA!$A$6=0),0,IF(S$117=1,S26,0)+IF(T$117=1,U26,0))</f>
        <v/>
      </c>
      <c r="U196">
        <f>IF(OR($IW26=0,calcA!$A$6=0),0,IF(T$117=1,T26,0)+IF(U$117=1,V26,0))</f>
        <v/>
      </c>
      <c r="V196">
        <f>IF(OR($IW26=0,calcA!$A$6=0),0,IF(U$117=1,U26,0)+IF(V$117=1,W26,0))</f>
        <v/>
      </c>
      <c r="W196">
        <f>IF(OR($IW26=0,calcA!$A$6=0),0,IF(V$117=1,V26,0)+IF(W$117=1,X26,0))</f>
        <v/>
      </c>
      <c r="X196">
        <f>IF(OR($IW26=0,calcA!$A$6=0),0,IF(W$117=1,W26,0)+IF(X$117=1,Y26,0))</f>
        <v/>
      </c>
      <c r="Y196">
        <f>IF(OR($IW26=0,calcA!$A$6=0),0,IF(X$117=1,X26,0)+IF(Y$117=1,Z26,0))</f>
        <v/>
      </c>
      <c r="Z196">
        <f>IF(OR($IW26=0,calcA!$A$6=0),0,IF(Y$117=1,Y26,0)+IF(Z$117=1,AA26,0))</f>
        <v/>
      </c>
      <c r="AA196">
        <f>IF(OR($IW26=0,calcA!$A$6=0),0,IF(Z$117=1,Z26,0))</f>
        <v/>
      </c>
      <c r="AB196">
        <f>IF(OR($IW26=0,calcA!$A$6=0),0,IF(AB$117=1,AC26,0))</f>
        <v/>
      </c>
      <c r="AC196">
        <f>IF(OR($IW26=0,calcA!$A$6=0),0,IF(AB$117=1,AB26,0)+IF(AC$117=1,AD26,0))</f>
        <v/>
      </c>
      <c r="AD196">
        <f>IF(OR($IW26=0,calcA!$A$6=0),0,IF(AC$117=1,AC26,0)+IF(AD$117=1,AE26,0))</f>
        <v/>
      </c>
      <c r="AE196">
        <f>IF(OR($IW26=0,calcA!$A$6=0),0,IF(AD$117=1,AD26,0)+IF(AE$117=1,AF26,0))</f>
        <v/>
      </c>
      <c r="AF196">
        <f>IF(OR($IW26=0,calcA!$A$6=0),0,IF(AE$117=1,AE26,0)+IF(AF$117=1,AG26,0))</f>
        <v/>
      </c>
      <c r="AG196">
        <f>IF(OR($IW26=0,calcA!$A$6=0),0,IF(AF$117=1,AF26,0)+IF(AG$117=1,AH26,0))</f>
        <v/>
      </c>
      <c r="AH196">
        <f>IF(OR($IW26=0,calcA!$A$6=0),0,IF(AG$117=1,AG26,0)+IF(AH$117=1,AI26,0))</f>
        <v/>
      </c>
      <c r="AI196">
        <f>IF(OR($IW26=0,calcA!$A$6=0),0,IF(AH$117=1,AH26,0)+IF(AI$117=1,AJ26,0))</f>
        <v/>
      </c>
      <c r="AJ196">
        <f>IF(OR($IW26=0,calcA!$A$6=0),0,IF(AI$117=1,AI26,0)+IF(AJ$117=1,AK26,0))</f>
        <v/>
      </c>
      <c r="AK196">
        <f>IF(OR($IW26=0,calcA!$A$6=0),0,IF(AJ$117=1,AJ26,0)+IF(AK$117=1,AL26,0))</f>
        <v/>
      </c>
      <c r="AL196">
        <f>IF(OR($IW26=0,calcA!$A$6=0),0,IF(AK$117=1,AK26,0)+IF(AL$117=1,AM26,0))</f>
        <v/>
      </c>
      <c r="AM196">
        <f>IF(OR($IW26=0,calcA!$A$6=0),0,IF(AL$117=1,AL26,0)+IF(AM$117=1,AN26,0))</f>
        <v/>
      </c>
      <c r="AN196">
        <f>IF(OR($IW26=0,calcA!$A$6=0),0,IF(AM$117=1,AM26,0)+IF(AN$117=1,AO26,0))</f>
        <v/>
      </c>
      <c r="AO196">
        <f>IF(OR($IW26=0,calcA!$A$6=0),0,IF(AN$117=1,AN26,0)+IF(AO$117=1,AP26,0))</f>
        <v/>
      </c>
      <c r="AP196">
        <f>IF(OR($IW26=0,calcA!$A$6=0),0,IF(AO$117=1,AO26,0)+IF(AP$117=1,AQ26,0))</f>
        <v/>
      </c>
      <c r="AQ196">
        <f>IF(OR($IW26=0,calcA!$A$6=0),0,IF(AP$117=1,AP26,0)+IF(AQ$117=1,AR26,0))</f>
        <v/>
      </c>
      <c r="AR196">
        <f>IF(OR($IW26=0,calcA!$A$6=0),0,IF(AQ$117=1,AQ26,0)+IF(AR$117=1,AS26,0))</f>
        <v/>
      </c>
      <c r="AS196">
        <f>IF(OR($IW26=0,calcA!$A$6=0),0,IF(AR$117=1,AR26,0)+IF(AS$117=1,AT26,0))</f>
        <v/>
      </c>
      <c r="AT196">
        <f>IF(OR($IW26=0,calcA!$A$6=0),0,IF(AS$117=1,AS26,0)+IF(AT$117=1,AU26,0))</f>
        <v/>
      </c>
      <c r="AU196">
        <f>IF(OR($IW26=0,calcA!$A$6=0),0,IF(AT$117=1,AT26,0)+IF(AU$117=1,AV26,0))</f>
        <v/>
      </c>
      <c r="AV196">
        <f>IF(OR($IW26=0,calcA!$A$6=0),0,IF(AU$117=1,AU26,0)+IF(AV$117=1,AW26,0))</f>
        <v/>
      </c>
      <c r="AW196">
        <f>IF(OR($IW26=0,calcA!$A$6=0),0,IF(AV$117=1,AV26,0)+IF(AW$117=1,AX26,0))</f>
        <v/>
      </c>
      <c r="AX196">
        <f>IF(OR($IW26=0,calcA!$A$6=0),0,IF(AW$117=1,AW26,0)+IF(AX$117=1,AY26,0))</f>
        <v/>
      </c>
      <c r="AY196">
        <f>IF(OR($IW26=0,calcA!$A$6=0),0,IF(AX$117=1,AX26,0))</f>
        <v/>
      </c>
      <c r="AZ196">
        <f>IF(OR($IW26=0,calcA!$A$6=0),0,IF(AZ$117=1,BA26,0))</f>
        <v/>
      </c>
      <c r="BA196">
        <f>IF(OR($IW26=0,calcA!$A$6=0),0,IF(AZ$117=1,AZ26,0)+IF(BA$117=1,BB26,0))</f>
        <v/>
      </c>
      <c r="BB196">
        <f>IF(OR($IW26=0,calcA!$A$6=0),0,IF(BA$117=1,BA26,0)+IF(BB$117=1,BC26,0))</f>
        <v/>
      </c>
      <c r="BC196">
        <f>IF(OR($IW26=0,calcA!$A$6=0),0,IF(BB$117=1,BB26,0)+IF(BC$117=1,BD26,0))</f>
        <v/>
      </c>
      <c r="BD196">
        <f>IF(OR($IW26=0,calcA!$A$6=0),0,IF(BC$117=1,BC26,0)+IF(BD$117=1,BE26,0))</f>
        <v/>
      </c>
      <c r="BE196">
        <f>IF(OR($IW26=0,calcA!$A$6=0),0,IF(BD$117=1,BD26,0)+IF(BE$117=1,BF26,0))</f>
        <v/>
      </c>
      <c r="BF196">
        <f>IF(OR($IW26=0,calcA!$A$6=0),0,IF(BE$117=1,BE26,0)+IF(BF$117=1,BG26,0))</f>
        <v/>
      </c>
      <c r="BG196">
        <f>IF(OR($IW26=0,calcA!$A$6=0),0,IF(BF$117=1,BF26,0)+IF(BG$117=1,BH26,0))</f>
        <v/>
      </c>
      <c r="BH196">
        <f>IF(OR($IW26=0,calcA!$A$6=0),0,IF(BG$117=1,BG26,0)+IF(BH$117=1,BI26,0))</f>
        <v/>
      </c>
      <c r="BI196">
        <f>IF(OR($IW26=0,calcA!$A$6=0),0,IF(BH$117=1,BH26,0)+IF(BI$117=1,BJ26,0))</f>
        <v/>
      </c>
      <c r="BJ196">
        <f>IF(OR($IW26=0,calcA!$A$6=0),0,IF(BI$117=1,BI26,0)+IF(BJ$117=1,BK26,0))</f>
        <v/>
      </c>
      <c r="BK196">
        <f>IF(OR($IW26=0,calcA!$A$6=0),0,IF(BJ$117=1,BJ26,0)+IF(BK$117=1,BL26,0))</f>
        <v/>
      </c>
      <c r="BL196">
        <f>IF(OR($IW26=0,calcA!$A$6=0),0,IF(BK$117=1,BK26,0)+IF(BL$117=1,BM26,0))</f>
        <v/>
      </c>
      <c r="BM196">
        <f>IF(OR($IW26=0,calcA!$A$6=0),0,IF(BL$117=1,BL26,0)+IF(BM$117=1,BN26,0))</f>
        <v/>
      </c>
      <c r="BN196">
        <f>IF(OR($IW26=0,calcA!$A$6=0),0,IF(BM$117=1,BM26,0)+IF(BN$117=1,BO26,0))</f>
        <v/>
      </c>
      <c r="BO196">
        <f>IF(OR($IW26=0,calcA!$A$6=0),0,IF(BN$117=1,BN26,0)+IF(BO$117=1,BP26,0))</f>
        <v/>
      </c>
      <c r="BP196">
        <f>IF(OR($IW26=0,calcA!$A$6=0),0,IF(BO$117=1,BO26,0)+IF(BP$117=1,BQ26,0))</f>
        <v/>
      </c>
      <c r="BQ196">
        <f>IF(OR($IW26=0,calcA!$A$6=0),0,IF(BP$117=1,BP26,0)+IF(BQ$117=1,BR26,0))</f>
        <v/>
      </c>
      <c r="BR196">
        <f>IF(OR($IW26=0,calcA!$A$6=0),0,IF(BQ$117=1,BQ26,0)+IF(BR$117=1,BS26,0))</f>
        <v/>
      </c>
      <c r="BS196">
        <f>IF(OR($IW26=0,calcA!$A$6=0),0,IF(BR$117=1,BR26,0)+IF(BS$117=1,BT26,0))</f>
        <v/>
      </c>
      <c r="BT196">
        <f>IF(OR($IW26=0,calcA!$A$6=0),0,IF(BS$117=1,BS26,0)+IF(BT$117=1,BU26,0))</f>
        <v/>
      </c>
      <c r="BU196">
        <f>IF(OR($IW26=0,calcA!$A$6=0),0,IF(BT$117=1,BT26,0)+IF(BU$117=1,BV26,0))</f>
        <v/>
      </c>
      <c r="BV196">
        <f>IF(OR($IW26=0,calcA!$A$6=0),0,IF(BU$117=1,BU26,0)+IF(BV$117=1,BW26,0))</f>
        <v/>
      </c>
      <c r="BW196">
        <f>IF(OR($IW26=0,calcA!$A$6=0),0,IF(BV$117=1,BV26,0))</f>
        <v/>
      </c>
      <c r="BX196">
        <f>IF(OR($IW26=0,calcA!$A$6=0),0,IF(BX$117=1,BY26,0))</f>
        <v/>
      </c>
      <c r="BY196">
        <f>IF(OR($IW26=0,calcA!$A$6=0),0,IF(BX$117=1,BX26,0)+IF(BY$117=1,BZ26,0))</f>
        <v/>
      </c>
      <c r="BZ196">
        <f>IF(OR($IW26=0,calcA!$A$6=0),0,IF(BY$117=1,BY26,0)+IF(BZ$117=1,CA26,0))</f>
        <v/>
      </c>
      <c r="CA196">
        <f>IF(OR($IW26=0,calcA!$A$6=0),0,IF(BZ$117=1,BZ26,0)+IF(CA$117=1,CB26,0))</f>
        <v/>
      </c>
      <c r="CB196">
        <f>IF(OR($IW26=0,calcA!$A$6=0),0,IF(CA$117=1,CA26,0)+IF(CB$117=1,CC26,0))</f>
        <v/>
      </c>
      <c r="CC196">
        <f>IF(OR($IW26=0,calcA!$A$6=0),0,IF(CB$117=1,CB26,0)+IF(CC$117=1,CD26,0))</f>
        <v/>
      </c>
      <c r="CD196">
        <f>IF(OR($IW26=0,calcA!$A$6=0),0,IF(CC$117=1,CC26,0)+IF(CD$117=1,CE26,0))</f>
        <v/>
      </c>
      <c r="CE196">
        <f>IF(OR($IW26=0,calcA!$A$6=0),0,IF(CD$117=1,CD26,0)+IF(CE$117=1,CF26,0))</f>
        <v/>
      </c>
      <c r="CF196">
        <f>IF(OR($IW26=0,calcA!$A$6=0),0,IF(CE$117=1,CE26,0)+IF(CF$117=1,CG26,0))</f>
        <v/>
      </c>
      <c r="CG196">
        <f>IF(OR($IW26=0,calcA!$A$6=0),0,IF(CF$117=1,CF26,0)+IF(CG$117=1,CH26,0))</f>
        <v/>
      </c>
      <c r="CH196">
        <f>IF(OR($IW26=0,calcA!$A$6=0),0,IF(CG$117=1,CG26,0)+IF(CH$117=1,CI26,0))</f>
        <v/>
      </c>
      <c r="CI196">
        <f>IF(OR($IW26=0,calcA!$A$6=0),0,IF(CH$117=1,CH26,0)+IF(CI$117=1,CJ26,0))</f>
        <v/>
      </c>
      <c r="CJ196">
        <f>IF(OR($IW26=0,calcA!$A$6=0),0,IF(CI$117=1,CI26,0)+IF(CJ$117=1,CK26,0))</f>
        <v/>
      </c>
      <c r="CK196">
        <f>IF(OR($IW26=0,calcA!$A$6=0),0,IF(CJ$117=1,CJ26,0)+IF(CK$117=1,CL26,0))</f>
        <v/>
      </c>
      <c r="CL196">
        <f>IF(OR($IW26=0,calcA!$A$6=0),0,IF(CK$117=1,CK26,0)+IF(CL$117=1,CM26,0))</f>
        <v/>
      </c>
      <c r="CM196">
        <f>IF(OR($IW26=0,calcA!$A$6=0),0,IF(CL$117=1,CL26,0)+IF(CM$117=1,CN26,0))</f>
        <v/>
      </c>
      <c r="CN196">
        <f>IF(OR($IW26=0,calcA!$A$6=0),0,IF(CM$117=1,CM26,0)+IF(CN$117=1,CO26,0))</f>
        <v/>
      </c>
      <c r="CO196">
        <f>IF(OR($IW26=0,calcA!$A$6=0),0,IF(CN$117=1,CN26,0)+IF(CO$117=1,CP26,0))</f>
        <v/>
      </c>
      <c r="CP196">
        <f>IF(OR($IW26=0,calcA!$A$6=0),0,IF(CO$117=1,CO26,0)+IF(CP$117=1,CQ26,0))</f>
        <v/>
      </c>
      <c r="CQ196">
        <f>IF(OR($IW26=0,calcA!$A$6=0),0,IF(CP$117=1,CP26,0)+IF(CQ$117=1,CR26,0))</f>
        <v/>
      </c>
      <c r="CR196">
        <f>IF(OR($IW26=0,calcA!$A$6=0),0,IF(CQ$117=1,CQ26,0)+IF(CR$117=1,CS26,0))</f>
        <v/>
      </c>
      <c r="CS196">
        <f>IF(OR($IW26=0,calcA!$A$6=0),0,IF(CR$117=1,CR26,0)+IF(CS$117=1,CT26,0))</f>
        <v/>
      </c>
      <c r="CT196">
        <f>IF(OR($IW26=0,calcA!$A$6=0),0,IF(CS$117=1,CS26,0)+IF(CT$117=1,CU26,0))</f>
        <v/>
      </c>
      <c r="CU196">
        <f>IF(OR($IW26=0,calcA!$A$6=0),0,IF(CT$117=1,CT26,0))</f>
        <v/>
      </c>
      <c r="CV196">
        <f>IF(OR($IW26=0,calcA!$A$6=0),0,IF(CV$117=1,CW26,0))</f>
        <v/>
      </c>
      <c r="CW196">
        <f>IF(OR($IW26=0,calcA!$A$6=0),0,IF(CV$117=1,CV26,0)+IF(CW$117=1,CX26,0))</f>
        <v/>
      </c>
      <c r="CX196">
        <f>IF(OR($IW26=0,calcA!$A$6=0),0,IF(CW$117=1,CW26,0)+IF(CX$117=1,CY26,0))</f>
        <v/>
      </c>
      <c r="CY196">
        <f>IF(OR($IW26=0,calcA!$A$6=0),0,IF(CX$117=1,CX26,0)+IF(CY$117=1,CZ26,0))</f>
        <v/>
      </c>
      <c r="CZ196">
        <f>IF(OR($IW26=0,calcA!$A$6=0),0,IF(CY$117=1,CY26,0)+IF(CZ$117=1,DA26,0))</f>
        <v/>
      </c>
      <c r="DA196">
        <f>IF(OR($IW26=0,calcA!$A$6=0),0,IF(CZ$117=1,CZ26,0)+IF(DA$117=1,DB26,0))</f>
        <v/>
      </c>
      <c r="DB196">
        <f>IF(OR($IW26=0,calcA!$A$6=0),0,IF(DA$117=1,DA26,0)+IF(DB$117=1,DC26,0))</f>
        <v/>
      </c>
      <c r="DC196">
        <f>IF(OR($IW26=0,calcA!$A$6=0),0,IF(DB$117=1,DB26,0)+IF(DC$117=1,DD26,0))</f>
        <v/>
      </c>
      <c r="DD196">
        <f>IF(OR($IW26=0,calcA!$A$6=0),0,IF(DC$117=1,DC26,0)+IF(DD$117=1,DE26,0))</f>
        <v/>
      </c>
      <c r="DE196">
        <f>IF(OR($IW26=0,calcA!$A$6=0),0,IF(DD$117=1,DD26,0)+IF(DE$117=1,DF26,0))</f>
        <v/>
      </c>
      <c r="DF196">
        <f>IF(OR($IW26=0,calcA!$A$6=0),0,IF(DE$117=1,DE26,0)+IF(DF$117=1,DG26,0))</f>
        <v/>
      </c>
      <c r="DG196">
        <f>IF(OR($IW26=0,calcA!$A$6=0),0,IF(DF$117=1,DF26,0)+IF(DG$117=1,DH26,0))</f>
        <v/>
      </c>
      <c r="DH196">
        <f>IF(OR($IW26=0,calcA!$A$6=0),0,IF(DG$117=1,DG26,0)+IF(DH$117=1,DI26,0))</f>
        <v/>
      </c>
      <c r="DI196">
        <f>IF(OR($IW26=0,calcA!$A$6=0),0,IF(DH$117=1,DH26,0)+IF(DI$117=1,DJ26,0))</f>
        <v/>
      </c>
      <c r="DJ196">
        <f>IF(OR($IW26=0,calcA!$A$6=0),0,IF(DI$117=1,DI26,0)+IF(DJ$117=1,DK26,0))</f>
        <v/>
      </c>
      <c r="DK196">
        <f>IF(OR($IW26=0,calcA!$A$6=0),0,IF(DJ$117=1,DJ26,0)+IF(DK$117=1,DL26,0))</f>
        <v/>
      </c>
      <c r="DL196">
        <f>IF(OR($IW26=0,calcA!$A$6=0),0,IF(DK$117=1,DK26,0)+IF(DL$117=1,DM26,0))</f>
        <v/>
      </c>
      <c r="DM196">
        <f>IF(OR($IW26=0,calcA!$A$6=0),0,IF(DL$117=1,DL26,0)+IF(DM$117=1,DN26,0))</f>
        <v/>
      </c>
      <c r="DN196">
        <f>IF(OR($IW26=0,calcA!$A$6=0),0,IF(DM$117=1,DM26,0)+IF(DN$117=1,DO26,0))</f>
        <v/>
      </c>
      <c r="DO196">
        <f>IF(OR($IW26=0,calcA!$A$6=0),0,IF(DN$117=1,DN26,0)+IF(DO$117=1,DP26,0))</f>
        <v/>
      </c>
      <c r="DP196">
        <f>IF(OR($IW26=0,calcA!$A$6=0),0,IF(DO$117=1,DO26,0)+IF(DP$117=1,DQ26,0))</f>
        <v/>
      </c>
      <c r="DQ196">
        <f>IF(OR($IW26=0,calcA!$A$6=0),0,IF(DP$117=1,DP26,0)+IF(DQ$117=1,DR26,0))</f>
        <v/>
      </c>
      <c r="DR196">
        <f>IF(OR($IW26=0,calcA!$A$6=0),0,IF(DQ$117=1,DQ26,0)+IF(DR$117=1,DS26,0))</f>
        <v/>
      </c>
      <c r="DS196">
        <f>IF(OR($IW26=0,calcA!$A$6=0),0,IF(DR$117=1,DR26,0))</f>
        <v/>
      </c>
      <c r="DT196">
        <f>IF(OR($IW26=0,calcA!$A$6=0),0,IF(DT$117=1,DU26,0))</f>
        <v/>
      </c>
      <c r="DU196">
        <f>IF(OR($IW26=0,calcA!$A$6=0),0,IF(DT$117=1,DT26,0)+IF(DU$117=1,DV26,0))</f>
        <v/>
      </c>
      <c r="DV196">
        <f>IF(OR($IW26=0,calcA!$A$6=0),0,IF(DU$117=1,DU26,0)+IF(DV$117=1,DW26,0))</f>
        <v/>
      </c>
      <c r="DW196">
        <f>IF(OR($IW26=0,calcA!$A$6=0),0,IF(DV$117=1,DV26,0)+IF(DW$117=1,DX26,0))</f>
        <v/>
      </c>
      <c r="DX196">
        <f>IF(OR($IW26=0,calcA!$A$6=0),0,IF(DW$117=1,DW26,0)+IF(DX$117=1,DY26,0))</f>
        <v/>
      </c>
      <c r="DY196">
        <f>IF(OR($IW26=0,calcA!$A$6=0),0,IF(DX$117=1,DX26,0)+IF(DY$117=1,DZ26,0))</f>
        <v/>
      </c>
      <c r="DZ196">
        <f>IF(OR($IW26=0,calcA!$A$6=0),0,IF(DY$117=1,DY26,0)+IF(DZ$117=1,EA26,0))</f>
        <v/>
      </c>
      <c r="EA196">
        <f>IF(OR($IW26=0,calcA!$A$6=0),0,IF(DZ$117=1,DZ26,0)+IF(EA$117=1,EB26,0))</f>
        <v/>
      </c>
      <c r="EB196">
        <f>IF(OR($IW26=0,calcA!$A$6=0),0,IF(EA$117=1,EA26,0)+IF(EB$117=1,EC26,0))</f>
        <v/>
      </c>
      <c r="EC196">
        <f>IF(OR($IW26=0,calcA!$A$6=0),0,IF(EB$117=1,EB26,0)+IF(EC$117=1,ED26,0))</f>
        <v/>
      </c>
      <c r="ED196">
        <f>IF(OR($IW26=0,calcA!$A$6=0),0,IF(EC$117=1,EC26,0)+IF(ED$117=1,EE26,0))</f>
        <v/>
      </c>
      <c r="EE196">
        <f>IF(OR($IW26=0,calcA!$A$6=0),0,IF(ED$117=1,ED26,0)+IF(EE$117=1,EF26,0))</f>
        <v/>
      </c>
      <c r="EF196">
        <f>IF(OR($IW26=0,calcA!$A$6=0),0,IF(EE$117=1,EE26,0)+IF(EF$117=1,EG26,0))</f>
        <v/>
      </c>
      <c r="EG196">
        <f>IF(OR($IW26=0,calcA!$A$6=0),0,IF(EF$117=1,EF26,0)+IF(EG$117=1,EH26,0))</f>
        <v/>
      </c>
      <c r="EH196">
        <f>IF(OR($IW26=0,calcA!$A$6=0),0,IF(EG$117=1,EG26,0)+IF(EH$117=1,EI26,0))</f>
        <v/>
      </c>
      <c r="EI196">
        <f>IF(OR($IW26=0,calcA!$A$6=0),0,IF(EH$117=1,EH26,0)+IF(EI$117=1,EJ26,0))</f>
        <v/>
      </c>
      <c r="EJ196">
        <f>IF(OR($IW26=0,calcA!$A$6=0),0,IF(EI$117=1,EI26,0)+IF(EJ$117=1,EK26,0))</f>
        <v/>
      </c>
      <c r="EK196">
        <f>IF(OR($IW26=0,calcA!$A$6=0),0,IF(EJ$117=1,EJ26,0)+IF(EK$117=1,EL26,0))</f>
        <v/>
      </c>
      <c r="EL196">
        <f>IF(OR($IW26=0,calcA!$A$6=0),0,IF(EK$117=1,EK26,0)+IF(EL$117=1,EM26,0))</f>
        <v/>
      </c>
      <c r="EM196">
        <f>IF(OR($IW26=0,calcA!$A$6=0),0,IF(EL$117=1,EL26,0)+IF(EM$117=1,EN26,0))</f>
        <v/>
      </c>
      <c r="EN196">
        <f>IF(OR($IW26=0,calcA!$A$6=0),0,IF(EM$117=1,EM26,0)+IF(EN$117=1,EO26,0))</f>
        <v/>
      </c>
      <c r="EO196">
        <f>IF(OR($IW26=0,calcA!$A$6=0),0,IF(EN$117=1,EN26,0)+IF(EO$117=1,EP26,0))</f>
        <v/>
      </c>
      <c r="EP196">
        <f>IF(OR($IW26=0,calcA!$A$6=0),0,IF(EO$117=1,EO26,0)+IF(EP$117=1,EQ26,0))</f>
        <v/>
      </c>
      <c r="EQ196">
        <f>IF(OR($IW26=0,calcA!$A$6=0),0,IF(EP$117=1,EP26,0))</f>
        <v/>
      </c>
    </row>
    <row r="197">
      <c r="D197">
        <f>IF(OR($IW27=0,calcA!$A$6=0),0,IF(D$117=1,E27,0))</f>
        <v/>
      </c>
      <c r="E197">
        <f>IF(OR($IW27=0,calcA!$A$6=0),0,IF(D$117=1,D27,0)+IF(E$117=1,F27,0))</f>
        <v/>
      </c>
      <c r="F197">
        <f>IF(OR($IW27=0,calcA!$A$6=0),0,IF(E$117=1,E27,0)+IF(F$117=1,G27,0))</f>
        <v/>
      </c>
      <c r="G197">
        <f>IF(OR($IW27=0,calcA!$A$6=0),0,IF(F$117=1,F27,0)+IF(G$117=1,H27,0))</f>
        <v/>
      </c>
      <c r="H197">
        <f>IF(OR($IW27=0,calcA!$A$6=0),0,IF(G$117=1,G27,0)+IF(H$117=1,I27,0))</f>
        <v/>
      </c>
      <c r="I197">
        <f>IF(OR($IW27=0,calcA!$A$6=0),0,IF(H$117=1,H27,0)+IF(I$117=1,J27,0))</f>
        <v/>
      </c>
      <c r="J197">
        <f>IF(OR($IW27=0,calcA!$A$6=0),0,IF(I$117=1,I27,0)+IF(J$117=1,K27,0))</f>
        <v/>
      </c>
      <c r="K197">
        <f>IF(OR($IW27=0,calcA!$A$6=0),0,IF(J$117=1,J27,0)+IF(K$117=1,L27,0))</f>
        <v/>
      </c>
      <c r="L197">
        <f>IF(OR($IW27=0,calcA!$A$6=0),0,IF(K$117=1,K27,0)+IF(L$117=1,M27,0))</f>
        <v/>
      </c>
      <c r="M197">
        <f>IF(OR($IW27=0,calcA!$A$6=0),0,IF(L$117=1,L27,0)+IF(M$117=1,N27,0))</f>
        <v/>
      </c>
      <c r="N197">
        <f>IF(OR($IW27=0,calcA!$A$6=0),0,IF(M$117=1,M27,0)+IF(N$117=1,O27,0))</f>
        <v/>
      </c>
      <c r="O197">
        <f>IF(OR($IW27=0,calcA!$A$6=0),0,IF(N$117=1,N27,0)+IF(O$117=1,P27,0))</f>
        <v/>
      </c>
      <c r="P197">
        <f>IF(OR($IW27=0,calcA!$A$6=0),0,IF(O$117=1,O27,0)+IF(P$117=1,Q27,0))</f>
        <v/>
      </c>
      <c r="Q197">
        <f>IF(OR($IW27=0,calcA!$A$6=0),0,IF(P$117=1,P27,0)+IF(Q$117=1,R27,0))</f>
        <v/>
      </c>
      <c r="R197">
        <f>IF(OR($IW27=0,calcA!$A$6=0),0,IF(Q$117=1,Q27,0)+IF(R$117=1,S27,0))</f>
        <v/>
      </c>
      <c r="S197">
        <f>IF(OR($IW27=0,calcA!$A$6=0),0,IF(R$117=1,R27,0)+IF(S$117=1,T27,0))</f>
        <v/>
      </c>
      <c r="T197">
        <f>IF(OR($IW27=0,calcA!$A$6=0),0,IF(S$117=1,S27,0)+IF(T$117=1,U27,0))</f>
        <v/>
      </c>
      <c r="U197">
        <f>IF(OR($IW27=0,calcA!$A$6=0),0,IF(T$117=1,T27,0)+IF(U$117=1,V27,0))</f>
        <v/>
      </c>
      <c r="V197">
        <f>IF(OR($IW27=0,calcA!$A$6=0),0,IF(U$117=1,U27,0)+IF(V$117=1,W27,0))</f>
        <v/>
      </c>
      <c r="W197">
        <f>IF(OR($IW27=0,calcA!$A$6=0),0,IF(V$117=1,V27,0)+IF(W$117=1,X27,0))</f>
        <v/>
      </c>
      <c r="X197">
        <f>IF(OR($IW27=0,calcA!$A$6=0),0,IF(W$117=1,W27,0)+IF(X$117=1,Y27,0))</f>
        <v/>
      </c>
      <c r="Y197">
        <f>IF(OR($IW27=0,calcA!$A$6=0),0,IF(X$117=1,X27,0)+IF(Y$117=1,Z27,0))</f>
        <v/>
      </c>
      <c r="Z197">
        <f>IF(OR($IW27=0,calcA!$A$6=0),0,IF(Y$117=1,Y27,0)+IF(Z$117=1,AA27,0))</f>
        <v/>
      </c>
      <c r="AA197">
        <f>IF(OR($IW27=0,calcA!$A$6=0),0,IF(Z$117=1,Z27,0))</f>
        <v/>
      </c>
      <c r="AB197">
        <f>IF(OR($IW27=0,calcA!$A$6=0),0,IF(AB$117=1,AC27,0))</f>
        <v/>
      </c>
      <c r="AC197">
        <f>IF(OR($IW27=0,calcA!$A$6=0),0,IF(AB$117=1,AB27,0)+IF(AC$117=1,AD27,0))</f>
        <v/>
      </c>
      <c r="AD197">
        <f>IF(OR($IW27=0,calcA!$A$6=0),0,IF(AC$117=1,AC27,0)+IF(AD$117=1,AE27,0))</f>
        <v/>
      </c>
      <c r="AE197">
        <f>IF(OR($IW27=0,calcA!$A$6=0),0,IF(AD$117=1,AD27,0)+IF(AE$117=1,AF27,0))</f>
        <v/>
      </c>
      <c r="AF197">
        <f>IF(OR($IW27=0,calcA!$A$6=0),0,IF(AE$117=1,AE27,0)+IF(AF$117=1,AG27,0))</f>
        <v/>
      </c>
      <c r="AG197">
        <f>IF(OR($IW27=0,calcA!$A$6=0),0,IF(AF$117=1,AF27,0)+IF(AG$117=1,AH27,0))</f>
        <v/>
      </c>
      <c r="AH197">
        <f>IF(OR($IW27=0,calcA!$A$6=0),0,IF(AG$117=1,AG27,0)+IF(AH$117=1,AI27,0))</f>
        <v/>
      </c>
      <c r="AI197">
        <f>IF(OR($IW27=0,calcA!$A$6=0),0,IF(AH$117=1,AH27,0)+IF(AI$117=1,AJ27,0))</f>
        <v/>
      </c>
      <c r="AJ197">
        <f>IF(OR($IW27=0,calcA!$A$6=0),0,IF(AI$117=1,AI27,0)+IF(AJ$117=1,AK27,0))</f>
        <v/>
      </c>
      <c r="AK197">
        <f>IF(OR($IW27=0,calcA!$A$6=0),0,IF(AJ$117=1,AJ27,0)+IF(AK$117=1,AL27,0))</f>
        <v/>
      </c>
      <c r="AL197">
        <f>IF(OR($IW27=0,calcA!$A$6=0),0,IF(AK$117=1,AK27,0)+IF(AL$117=1,AM27,0))</f>
        <v/>
      </c>
      <c r="AM197">
        <f>IF(OR($IW27=0,calcA!$A$6=0),0,IF(AL$117=1,AL27,0)+IF(AM$117=1,AN27,0))</f>
        <v/>
      </c>
      <c r="AN197">
        <f>IF(OR($IW27=0,calcA!$A$6=0),0,IF(AM$117=1,AM27,0)+IF(AN$117=1,AO27,0))</f>
        <v/>
      </c>
      <c r="AO197">
        <f>IF(OR($IW27=0,calcA!$A$6=0),0,IF(AN$117=1,AN27,0)+IF(AO$117=1,AP27,0))</f>
        <v/>
      </c>
      <c r="AP197">
        <f>IF(OR($IW27=0,calcA!$A$6=0),0,IF(AO$117=1,AO27,0)+IF(AP$117=1,AQ27,0))</f>
        <v/>
      </c>
      <c r="AQ197">
        <f>IF(OR($IW27=0,calcA!$A$6=0),0,IF(AP$117=1,AP27,0)+IF(AQ$117=1,AR27,0))</f>
        <v/>
      </c>
      <c r="AR197">
        <f>IF(OR($IW27=0,calcA!$A$6=0),0,IF(AQ$117=1,AQ27,0)+IF(AR$117=1,AS27,0))</f>
        <v/>
      </c>
      <c r="AS197">
        <f>IF(OR($IW27=0,calcA!$A$6=0),0,IF(AR$117=1,AR27,0)+IF(AS$117=1,AT27,0))</f>
        <v/>
      </c>
      <c r="AT197">
        <f>IF(OR($IW27=0,calcA!$A$6=0),0,IF(AS$117=1,AS27,0)+IF(AT$117=1,AU27,0))</f>
        <v/>
      </c>
      <c r="AU197">
        <f>IF(OR($IW27=0,calcA!$A$6=0),0,IF(AT$117=1,AT27,0)+IF(AU$117=1,AV27,0))</f>
        <v/>
      </c>
      <c r="AV197">
        <f>IF(OR($IW27=0,calcA!$A$6=0),0,IF(AU$117=1,AU27,0)+IF(AV$117=1,AW27,0))</f>
        <v/>
      </c>
      <c r="AW197">
        <f>IF(OR($IW27=0,calcA!$A$6=0),0,IF(AV$117=1,AV27,0)+IF(AW$117=1,AX27,0))</f>
        <v/>
      </c>
      <c r="AX197">
        <f>IF(OR($IW27=0,calcA!$A$6=0),0,IF(AW$117=1,AW27,0)+IF(AX$117=1,AY27,0))</f>
        <v/>
      </c>
      <c r="AY197">
        <f>IF(OR($IW27=0,calcA!$A$6=0),0,IF(AX$117=1,AX27,0))</f>
        <v/>
      </c>
      <c r="AZ197">
        <f>IF(OR($IW27=0,calcA!$A$6=0),0,IF(AZ$117=1,BA27,0))</f>
        <v/>
      </c>
      <c r="BA197">
        <f>IF(OR($IW27=0,calcA!$A$6=0),0,IF(AZ$117=1,AZ27,0)+IF(BA$117=1,BB27,0))</f>
        <v/>
      </c>
      <c r="BB197">
        <f>IF(OR($IW27=0,calcA!$A$6=0),0,IF(BA$117=1,BA27,0)+IF(BB$117=1,BC27,0))</f>
        <v/>
      </c>
      <c r="BC197">
        <f>IF(OR($IW27=0,calcA!$A$6=0),0,IF(BB$117=1,BB27,0)+IF(BC$117=1,BD27,0))</f>
        <v/>
      </c>
      <c r="BD197">
        <f>IF(OR($IW27=0,calcA!$A$6=0),0,IF(BC$117=1,BC27,0)+IF(BD$117=1,BE27,0))</f>
        <v/>
      </c>
      <c r="BE197">
        <f>IF(OR($IW27=0,calcA!$A$6=0),0,IF(BD$117=1,BD27,0)+IF(BE$117=1,BF27,0))</f>
        <v/>
      </c>
      <c r="BF197">
        <f>IF(OR($IW27=0,calcA!$A$6=0),0,IF(BE$117=1,BE27,0)+IF(BF$117=1,BG27,0))</f>
        <v/>
      </c>
      <c r="BG197">
        <f>IF(OR($IW27=0,calcA!$A$6=0),0,IF(BF$117=1,BF27,0)+IF(BG$117=1,BH27,0))</f>
        <v/>
      </c>
      <c r="BH197">
        <f>IF(OR($IW27=0,calcA!$A$6=0),0,IF(BG$117=1,BG27,0)+IF(BH$117=1,BI27,0))</f>
        <v/>
      </c>
      <c r="BI197">
        <f>IF(OR($IW27=0,calcA!$A$6=0),0,IF(BH$117=1,BH27,0)+IF(BI$117=1,BJ27,0))</f>
        <v/>
      </c>
      <c r="BJ197">
        <f>IF(OR($IW27=0,calcA!$A$6=0),0,IF(BI$117=1,BI27,0)+IF(BJ$117=1,BK27,0))</f>
        <v/>
      </c>
      <c r="BK197">
        <f>IF(OR($IW27=0,calcA!$A$6=0),0,IF(BJ$117=1,BJ27,0)+IF(BK$117=1,BL27,0))</f>
        <v/>
      </c>
      <c r="BL197">
        <f>IF(OR($IW27=0,calcA!$A$6=0),0,IF(BK$117=1,BK27,0)+IF(BL$117=1,BM27,0))</f>
        <v/>
      </c>
      <c r="BM197">
        <f>IF(OR($IW27=0,calcA!$A$6=0),0,IF(BL$117=1,BL27,0)+IF(BM$117=1,BN27,0))</f>
        <v/>
      </c>
      <c r="BN197">
        <f>IF(OR($IW27=0,calcA!$A$6=0),0,IF(BM$117=1,BM27,0)+IF(BN$117=1,BO27,0))</f>
        <v/>
      </c>
      <c r="BO197">
        <f>IF(OR($IW27=0,calcA!$A$6=0),0,IF(BN$117=1,BN27,0)+IF(BO$117=1,BP27,0))</f>
        <v/>
      </c>
      <c r="BP197">
        <f>IF(OR($IW27=0,calcA!$A$6=0),0,IF(BO$117=1,BO27,0)+IF(BP$117=1,BQ27,0))</f>
        <v/>
      </c>
      <c r="BQ197">
        <f>IF(OR($IW27=0,calcA!$A$6=0),0,IF(BP$117=1,BP27,0)+IF(BQ$117=1,BR27,0))</f>
        <v/>
      </c>
      <c r="BR197">
        <f>IF(OR($IW27=0,calcA!$A$6=0),0,IF(BQ$117=1,BQ27,0)+IF(BR$117=1,BS27,0))</f>
        <v/>
      </c>
      <c r="BS197">
        <f>IF(OR($IW27=0,calcA!$A$6=0),0,IF(BR$117=1,BR27,0)+IF(BS$117=1,BT27,0))</f>
        <v/>
      </c>
      <c r="BT197">
        <f>IF(OR($IW27=0,calcA!$A$6=0),0,IF(BS$117=1,BS27,0)+IF(BT$117=1,BU27,0))</f>
        <v/>
      </c>
      <c r="BU197">
        <f>IF(OR($IW27=0,calcA!$A$6=0),0,IF(BT$117=1,BT27,0)+IF(BU$117=1,BV27,0))</f>
        <v/>
      </c>
      <c r="BV197">
        <f>IF(OR($IW27=0,calcA!$A$6=0),0,IF(BU$117=1,BU27,0)+IF(BV$117=1,BW27,0))</f>
        <v/>
      </c>
      <c r="BW197">
        <f>IF(OR($IW27=0,calcA!$A$6=0),0,IF(BV$117=1,BV27,0))</f>
        <v/>
      </c>
      <c r="BX197">
        <f>IF(OR($IW27=0,calcA!$A$6=0),0,IF(BX$117=1,BY27,0))</f>
        <v/>
      </c>
      <c r="BY197">
        <f>IF(OR($IW27=0,calcA!$A$6=0),0,IF(BX$117=1,BX27,0)+IF(BY$117=1,BZ27,0))</f>
        <v/>
      </c>
      <c r="BZ197">
        <f>IF(OR($IW27=0,calcA!$A$6=0),0,IF(BY$117=1,BY27,0)+IF(BZ$117=1,CA27,0))</f>
        <v/>
      </c>
      <c r="CA197">
        <f>IF(OR($IW27=0,calcA!$A$6=0),0,IF(BZ$117=1,BZ27,0)+IF(CA$117=1,CB27,0))</f>
        <v/>
      </c>
      <c r="CB197">
        <f>IF(OR($IW27=0,calcA!$A$6=0),0,IF(CA$117=1,CA27,0)+IF(CB$117=1,CC27,0))</f>
        <v/>
      </c>
      <c r="CC197">
        <f>IF(OR($IW27=0,calcA!$A$6=0),0,IF(CB$117=1,CB27,0)+IF(CC$117=1,CD27,0))</f>
        <v/>
      </c>
      <c r="CD197">
        <f>IF(OR($IW27=0,calcA!$A$6=0),0,IF(CC$117=1,CC27,0)+IF(CD$117=1,CE27,0))</f>
        <v/>
      </c>
      <c r="CE197">
        <f>IF(OR($IW27=0,calcA!$A$6=0),0,IF(CD$117=1,CD27,0)+IF(CE$117=1,CF27,0))</f>
        <v/>
      </c>
      <c r="CF197">
        <f>IF(OR($IW27=0,calcA!$A$6=0),0,IF(CE$117=1,CE27,0)+IF(CF$117=1,CG27,0))</f>
        <v/>
      </c>
      <c r="CG197">
        <f>IF(OR($IW27=0,calcA!$A$6=0),0,IF(CF$117=1,CF27,0)+IF(CG$117=1,CH27,0))</f>
        <v/>
      </c>
      <c r="CH197">
        <f>IF(OR($IW27=0,calcA!$A$6=0),0,IF(CG$117=1,CG27,0)+IF(CH$117=1,CI27,0))</f>
        <v/>
      </c>
      <c r="CI197">
        <f>IF(OR($IW27=0,calcA!$A$6=0),0,IF(CH$117=1,CH27,0)+IF(CI$117=1,CJ27,0))</f>
        <v/>
      </c>
      <c r="CJ197">
        <f>IF(OR($IW27=0,calcA!$A$6=0),0,IF(CI$117=1,CI27,0)+IF(CJ$117=1,CK27,0))</f>
        <v/>
      </c>
      <c r="CK197">
        <f>IF(OR($IW27=0,calcA!$A$6=0),0,IF(CJ$117=1,CJ27,0)+IF(CK$117=1,CL27,0))</f>
        <v/>
      </c>
      <c r="CL197">
        <f>IF(OR($IW27=0,calcA!$A$6=0),0,IF(CK$117=1,CK27,0)+IF(CL$117=1,CM27,0))</f>
        <v/>
      </c>
      <c r="CM197">
        <f>IF(OR($IW27=0,calcA!$A$6=0),0,IF(CL$117=1,CL27,0)+IF(CM$117=1,CN27,0))</f>
        <v/>
      </c>
      <c r="CN197">
        <f>IF(OR($IW27=0,calcA!$A$6=0),0,IF(CM$117=1,CM27,0)+IF(CN$117=1,CO27,0))</f>
        <v/>
      </c>
      <c r="CO197">
        <f>IF(OR($IW27=0,calcA!$A$6=0),0,IF(CN$117=1,CN27,0)+IF(CO$117=1,CP27,0))</f>
        <v/>
      </c>
      <c r="CP197">
        <f>IF(OR($IW27=0,calcA!$A$6=0),0,IF(CO$117=1,CO27,0)+IF(CP$117=1,CQ27,0))</f>
        <v/>
      </c>
      <c r="CQ197">
        <f>IF(OR($IW27=0,calcA!$A$6=0),0,IF(CP$117=1,CP27,0)+IF(CQ$117=1,CR27,0))</f>
        <v/>
      </c>
      <c r="CR197">
        <f>IF(OR($IW27=0,calcA!$A$6=0),0,IF(CQ$117=1,CQ27,0)+IF(CR$117=1,CS27,0))</f>
        <v/>
      </c>
      <c r="CS197">
        <f>IF(OR($IW27=0,calcA!$A$6=0),0,IF(CR$117=1,CR27,0)+IF(CS$117=1,CT27,0))</f>
        <v/>
      </c>
      <c r="CT197">
        <f>IF(OR($IW27=0,calcA!$A$6=0),0,IF(CS$117=1,CS27,0)+IF(CT$117=1,CU27,0))</f>
        <v/>
      </c>
      <c r="CU197">
        <f>IF(OR($IW27=0,calcA!$A$6=0),0,IF(CT$117=1,CT27,0))</f>
        <v/>
      </c>
      <c r="CV197">
        <f>IF(OR($IW27=0,calcA!$A$6=0),0,IF(CV$117=1,CW27,0))</f>
        <v/>
      </c>
      <c r="CW197">
        <f>IF(OR($IW27=0,calcA!$A$6=0),0,IF(CV$117=1,CV27,0)+IF(CW$117=1,CX27,0))</f>
        <v/>
      </c>
      <c r="CX197">
        <f>IF(OR($IW27=0,calcA!$A$6=0),0,IF(CW$117=1,CW27,0)+IF(CX$117=1,CY27,0))</f>
        <v/>
      </c>
      <c r="CY197">
        <f>IF(OR($IW27=0,calcA!$A$6=0),0,IF(CX$117=1,CX27,0)+IF(CY$117=1,CZ27,0))</f>
        <v/>
      </c>
      <c r="CZ197">
        <f>IF(OR($IW27=0,calcA!$A$6=0),0,IF(CY$117=1,CY27,0)+IF(CZ$117=1,DA27,0))</f>
        <v/>
      </c>
      <c r="DA197">
        <f>IF(OR($IW27=0,calcA!$A$6=0),0,IF(CZ$117=1,CZ27,0)+IF(DA$117=1,DB27,0))</f>
        <v/>
      </c>
      <c r="DB197">
        <f>IF(OR($IW27=0,calcA!$A$6=0),0,IF(DA$117=1,DA27,0)+IF(DB$117=1,DC27,0))</f>
        <v/>
      </c>
      <c r="DC197">
        <f>IF(OR($IW27=0,calcA!$A$6=0),0,IF(DB$117=1,DB27,0)+IF(DC$117=1,DD27,0))</f>
        <v/>
      </c>
      <c r="DD197">
        <f>IF(OR($IW27=0,calcA!$A$6=0),0,IF(DC$117=1,DC27,0)+IF(DD$117=1,DE27,0))</f>
        <v/>
      </c>
      <c r="DE197">
        <f>IF(OR($IW27=0,calcA!$A$6=0),0,IF(DD$117=1,DD27,0)+IF(DE$117=1,DF27,0))</f>
        <v/>
      </c>
      <c r="DF197">
        <f>IF(OR($IW27=0,calcA!$A$6=0),0,IF(DE$117=1,DE27,0)+IF(DF$117=1,DG27,0))</f>
        <v/>
      </c>
      <c r="DG197">
        <f>IF(OR($IW27=0,calcA!$A$6=0),0,IF(DF$117=1,DF27,0)+IF(DG$117=1,DH27,0))</f>
        <v/>
      </c>
      <c r="DH197">
        <f>IF(OR($IW27=0,calcA!$A$6=0),0,IF(DG$117=1,DG27,0)+IF(DH$117=1,DI27,0))</f>
        <v/>
      </c>
      <c r="DI197">
        <f>IF(OR($IW27=0,calcA!$A$6=0),0,IF(DH$117=1,DH27,0)+IF(DI$117=1,DJ27,0))</f>
        <v/>
      </c>
      <c r="DJ197">
        <f>IF(OR($IW27=0,calcA!$A$6=0),0,IF(DI$117=1,DI27,0)+IF(DJ$117=1,DK27,0))</f>
        <v/>
      </c>
      <c r="DK197">
        <f>IF(OR($IW27=0,calcA!$A$6=0),0,IF(DJ$117=1,DJ27,0)+IF(DK$117=1,DL27,0))</f>
        <v/>
      </c>
      <c r="DL197">
        <f>IF(OR($IW27=0,calcA!$A$6=0),0,IF(DK$117=1,DK27,0)+IF(DL$117=1,DM27,0))</f>
        <v/>
      </c>
      <c r="DM197">
        <f>IF(OR($IW27=0,calcA!$A$6=0),0,IF(DL$117=1,DL27,0)+IF(DM$117=1,DN27,0))</f>
        <v/>
      </c>
      <c r="DN197">
        <f>IF(OR($IW27=0,calcA!$A$6=0),0,IF(DM$117=1,DM27,0)+IF(DN$117=1,DO27,0))</f>
        <v/>
      </c>
      <c r="DO197">
        <f>IF(OR($IW27=0,calcA!$A$6=0),0,IF(DN$117=1,DN27,0)+IF(DO$117=1,DP27,0))</f>
        <v/>
      </c>
      <c r="DP197">
        <f>IF(OR($IW27=0,calcA!$A$6=0),0,IF(DO$117=1,DO27,0)+IF(DP$117=1,DQ27,0))</f>
        <v/>
      </c>
      <c r="DQ197">
        <f>IF(OR($IW27=0,calcA!$A$6=0),0,IF(DP$117=1,DP27,0)+IF(DQ$117=1,DR27,0))</f>
        <v/>
      </c>
      <c r="DR197">
        <f>IF(OR($IW27=0,calcA!$A$6=0),0,IF(DQ$117=1,DQ27,0)+IF(DR$117=1,DS27,0))</f>
        <v/>
      </c>
      <c r="DS197">
        <f>IF(OR($IW27=0,calcA!$A$6=0),0,IF(DR$117=1,DR27,0))</f>
        <v/>
      </c>
      <c r="DT197">
        <f>IF(OR($IW27=0,calcA!$A$6=0),0,IF(DT$117=1,DU27,0))</f>
        <v/>
      </c>
      <c r="DU197">
        <f>IF(OR($IW27=0,calcA!$A$6=0),0,IF(DT$117=1,DT27,0)+IF(DU$117=1,DV27,0))</f>
        <v/>
      </c>
      <c r="DV197">
        <f>IF(OR($IW27=0,calcA!$A$6=0),0,IF(DU$117=1,DU27,0)+IF(DV$117=1,DW27,0))</f>
        <v/>
      </c>
      <c r="DW197">
        <f>IF(OR($IW27=0,calcA!$A$6=0),0,IF(DV$117=1,DV27,0)+IF(DW$117=1,DX27,0))</f>
        <v/>
      </c>
      <c r="DX197">
        <f>IF(OR($IW27=0,calcA!$A$6=0),0,IF(DW$117=1,DW27,0)+IF(DX$117=1,DY27,0))</f>
        <v/>
      </c>
      <c r="DY197">
        <f>IF(OR($IW27=0,calcA!$A$6=0),0,IF(DX$117=1,DX27,0)+IF(DY$117=1,DZ27,0))</f>
        <v/>
      </c>
      <c r="DZ197">
        <f>IF(OR($IW27=0,calcA!$A$6=0),0,IF(DY$117=1,DY27,0)+IF(DZ$117=1,EA27,0))</f>
        <v/>
      </c>
      <c r="EA197">
        <f>IF(OR($IW27=0,calcA!$A$6=0),0,IF(DZ$117=1,DZ27,0)+IF(EA$117=1,EB27,0))</f>
        <v/>
      </c>
      <c r="EB197">
        <f>IF(OR($IW27=0,calcA!$A$6=0),0,IF(EA$117=1,EA27,0)+IF(EB$117=1,EC27,0))</f>
        <v/>
      </c>
      <c r="EC197">
        <f>IF(OR($IW27=0,calcA!$A$6=0),0,IF(EB$117=1,EB27,0)+IF(EC$117=1,ED27,0))</f>
        <v/>
      </c>
      <c r="ED197">
        <f>IF(OR($IW27=0,calcA!$A$6=0),0,IF(EC$117=1,EC27,0)+IF(ED$117=1,EE27,0))</f>
        <v/>
      </c>
      <c r="EE197">
        <f>IF(OR($IW27=0,calcA!$A$6=0),0,IF(ED$117=1,ED27,0)+IF(EE$117=1,EF27,0))</f>
        <v/>
      </c>
      <c r="EF197">
        <f>IF(OR($IW27=0,calcA!$A$6=0),0,IF(EE$117=1,EE27,0)+IF(EF$117=1,EG27,0))</f>
        <v/>
      </c>
      <c r="EG197">
        <f>IF(OR($IW27=0,calcA!$A$6=0),0,IF(EF$117=1,EF27,0)+IF(EG$117=1,EH27,0))</f>
        <v/>
      </c>
      <c r="EH197">
        <f>IF(OR($IW27=0,calcA!$A$6=0),0,IF(EG$117=1,EG27,0)+IF(EH$117=1,EI27,0))</f>
        <v/>
      </c>
      <c r="EI197">
        <f>IF(OR($IW27=0,calcA!$A$6=0),0,IF(EH$117=1,EH27,0)+IF(EI$117=1,EJ27,0))</f>
        <v/>
      </c>
      <c r="EJ197">
        <f>IF(OR($IW27=0,calcA!$A$6=0),0,IF(EI$117=1,EI27,0)+IF(EJ$117=1,EK27,0))</f>
        <v/>
      </c>
      <c r="EK197">
        <f>IF(OR($IW27=0,calcA!$A$6=0),0,IF(EJ$117=1,EJ27,0)+IF(EK$117=1,EL27,0))</f>
        <v/>
      </c>
      <c r="EL197">
        <f>IF(OR($IW27=0,calcA!$A$6=0),0,IF(EK$117=1,EK27,0)+IF(EL$117=1,EM27,0))</f>
        <v/>
      </c>
      <c r="EM197">
        <f>IF(OR($IW27=0,calcA!$A$6=0),0,IF(EL$117=1,EL27,0)+IF(EM$117=1,EN27,0))</f>
        <v/>
      </c>
      <c r="EN197">
        <f>IF(OR($IW27=0,calcA!$A$6=0),0,IF(EM$117=1,EM27,0)+IF(EN$117=1,EO27,0))</f>
        <v/>
      </c>
      <c r="EO197">
        <f>IF(OR($IW27=0,calcA!$A$6=0),0,IF(EN$117=1,EN27,0)+IF(EO$117=1,EP27,0))</f>
        <v/>
      </c>
      <c r="EP197">
        <f>IF(OR($IW27=0,calcA!$A$6=0),0,IF(EO$117=1,EO27,0)+IF(EP$117=1,EQ27,0))</f>
        <v/>
      </c>
      <c r="EQ197">
        <f>IF(OR($IW27=0,calcA!$A$6=0),0,IF(EP$117=1,EP27,0))</f>
        <v/>
      </c>
    </row>
    <row r="198">
      <c r="D198">
        <f>IF(OR($IW28=0,calcA!$A$6=0),0,IF(D$117=1,E28,0))</f>
        <v/>
      </c>
      <c r="E198">
        <f>IF(OR($IW28=0,calcA!$A$6=0),0,IF(D$117=1,D28,0)+IF(E$117=1,F28,0))</f>
        <v/>
      </c>
      <c r="F198">
        <f>IF(OR($IW28=0,calcA!$A$6=0),0,IF(E$117=1,E28,0)+IF(F$117=1,G28,0))</f>
        <v/>
      </c>
      <c r="G198">
        <f>IF(OR($IW28=0,calcA!$A$6=0),0,IF(F$117=1,F28,0)+IF(G$117=1,H28,0))</f>
        <v/>
      </c>
      <c r="H198">
        <f>IF(OR($IW28=0,calcA!$A$6=0),0,IF(G$117=1,G28,0)+IF(H$117=1,I28,0))</f>
        <v/>
      </c>
      <c r="I198">
        <f>IF(OR($IW28=0,calcA!$A$6=0),0,IF(H$117=1,H28,0)+IF(I$117=1,J28,0))</f>
        <v/>
      </c>
      <c r="J198">
        <f>IF(OR($IW28=0,calcA!$A$6=0),0,IF(I$117=1,I28,0)+IF(J$117=1,K28,0))</f>
        <v/>
      </c>
      <c r="K198">
        <f>IF(OR($IW28=0,calcA!$A$6=0),0,IF(J$117=1,J28,0)+IF(K$117=1,L28,0))</f>
        <v/>
      </c>
      <c r="L198">
        <f>IF(OR($IW28=0,calcA!$A$6=0),0,IF(K$117=1,K28,0)+IF(L$117=1,M28,0))</f>
        <v/>
      </c>
      <c r="M198">
        <f>IF(OR($IW28=0,calcA!$A$6=0),0,IF(L$117=1,L28,0)+IF(M$117=1,N28,0))</f>
        <v/>
      </c>
      <c r="N198">
        <f>IF(OR($IW28=0,calcA!$A$6=0),0,IF(M$117=1,M28,0)+IF(N$117=1,O28,0))</f>
        <v/>
      </c>
      <c r="O198">
        <f>IF(OR($IW28=0,calcA!$A$6=0),0,IF(N$117=1,N28,0)+IF(O$117=1,P28,0))</f>
        <v/>
      </c>
      <c r="P198">
        <f>IF(OR($IW28=0,calcA!$A$6=0),0,IF(O$117=1,O28,0)+IF(P$117=1,Q28,0))</f>
        <v/>
      </c>
      <c r="Q198">
        <f>IF(OR($IW28=0,calcA!$A$6=0),0,IF(P$117=1,P28,0)+IF(Q$117=1,R28,0))</f>
        <v/>
      </c>
      <c r="R198">
        <f>IF(OR($IW28=0,calcA!$A$6=0),0,IF(Q$117=1,Q28,0)+IF(R$117=1,S28,0))</f>
        <v/>
      </c>
      <c r="S198">
        <f>IF(OR($IW28=0,calcA!$A$6=0),0,IF(R$117=1,R28,0)+IF(S$117=1,T28,0))</f>
        <v/>
      </c>
      <c r="T198">
        <f>IF(OR($IW28=0,calcA!$A$6=0),0,IF(S$117=1,S28,0)+IF(T$117=1,U28,0))</f>
        <v/>
      </c>
      <c r="U198">
        <f>IF(OR($IW28=0,calcA!$A$6=0),0,IF(T$117=1,T28,0)+IF(U$117=1,V28,0))</f>
        <v/>
      </c>
      <c r="V198">
        <f>IF(OR($IW28=0,calcA!$A$6=0),0,IF(U$117=1,U28,0)+IF(V$117=1,W28,0))</f>
        <v/>
      </c>
      <c r="W198">
        <f>IF(OR($IW28=0,calcA!$A$6=0),0,IF(V$117=1,V28,0)+IF(W$117=1,X28,0))</f>
        <v/>
      </c>
      <c r="X198">
        <f>IF(OR($IW28=0,calcA!$A$6=0),0,IF(W$117=1,W28,0)+IF(X$117=1,Y28,0))</f>
        <v/>
      </c>
      <c r="Y198">
        <f>IF(OR($IW28=0,calcA!$A$6=0),0,IF(X$117=1,X28,0)+IF(Y$117=1,Z28,0))</f>
        <v/>
      </c>
      <c r="Z198">
        <f>IF(OR($IW28=0,calcA!$A$6=0),0,IF(Y$117=1,Y28,0)+IF(Z$117=1,AA28,0))</f>
        <v/>
      </c>
      <c r="AA198">
        <f>IF(OR($IW28=0,calcA!$A$6=0),0,IF(Z$117=1,Z28,0))</f>
        <v/>
      </c>
      <c r="AB198">
        <f>IF(OR($IW28=0,calcA!$A$6=0),0,IF(AB$117=1,AC28,0))</f>
        <v/>
      </c>
      <c r="AC198">
        <f>IF(OR($IW28=0,calcA!$A$6=0),0,IF(AB$117=1,AB28,0)+IF(AC$117=1,AD28,0))</f>
        <v/>
      </c>
      <c r="AD198">
        <f>IF(OR($IW28=0,calcA!$A$6=0),0,IF(AC$117=1,AC28,0)+IF(AD$117=1,AE28,0))</f>
        <v/>
      </c>
      <c r="AE198">
        <f>IF(OR($IW28=0,calcA!$A$6=0),0,IF(AD$117=1,AD28,0)+IF(AE$117=1,AF28,0))</f>
        <v/>
      </c>
      <c r="AF198">
        <f>IF(OR($IW28=0,calcA!$A$6=0),0,IF(AE$117=1,AE28,0)+IF(AF$117=1,AG28,0))</f>
        <v/>
      </c>
      <c r="AG198">
        <f>IF(OR($IW28=0,calcA!$A$6=0),0,IF(AF$117=1,AF28,0)+IF(AG$117=1,AH28,0))</f>
        <v/>
      </c>
      <c r="AH198">
        <f>IF(OR($IW28=0,calcA!$A$6=0),0,IF(AG$117=1,AG28,0)+IF(AH$117=1,AI28,0))</f>
        <v/>
      </c>
      <c r="AI198">
        <f>IF(OR($IW28=0,calcA!$A$6=0),0,IF(AH$117=1,AH28,0)+IF(AI$117=1,AJ28,0))</f>
        <v/>
      </c>
      <c r="AJ198">
        <f>IF(OR($IW28=0,calcA!$A$6=0),0,IF(AI$117=1,AI28,0)+IF(AJ$117=1,AK28,0))</f>
        <v/>
      </c>
      <c r="AK198">
        <f>IF(OR($IW28=0,calcA!$A$6=0),0,IF(AJ$117=1,AJ28,0)+IF(AK$117=1,AL28,0))</f>
        <v/>
      </c>
      <c r="AL198">
        <f>IF(OR($IW28=0,calcA!$A$6=0),0,IF(AK$117=1,AK28,0)+IF(AL$117=1,AM28,0))</f>
        <v/>
      </c>
      <c r="AM198">
        <f>IF(OR($IW28=0,calcA!$A$6=0),0,IF(AL$117=1,AL28,0)+IF(AM$117=1,AN28,0))</f>
        <v/>
      </c>
      <c r="AN198">
        <f>IF(OR($IW28=0,calcA!$A$6=0),0,IF(AM$117=1,AM28,0)+IF(AN$117=1,AO28,0))</f>
        <v/>
      </c>
      <c r="AO198">
        <f>IF(OR($IW28=0,calcA!$A$6=0),0,IF(AN$117=1,AN28,0)+IF(AO$117=1,AP28,0))</f>
        <v/>
      </c>
      <c r="AP198">
        <f>IF(OR($IW28=0,calcA!$A$6=0),0,IF(AO$117=1,AO28,0)+IF(AP$117=1,AQ28,0))</f>
        <v/>
      </c>
      <c r="AQ198">
        <f>IF(OR($IW28=0,calcA!$A$6=0),0,IF(AP$117=1,AP28,0)+IF(AQ$117=1,AR28,0))</f>
        <v/>
      </c>
      <c r="AR198">
        <f>IF(OR($IW28=0,calcA!$A$6=0),0,IF(AQ$117=1,AQ28,0)+IF(AR$117=1,AS28,0))</f>
        <v/>
      </c>
      <c r="AS198">
        <f>IF(OR($IW28=0,calcA!$A$6=0),0,IF(AR$117=1,AR28,0)+IF(AS$117=1,AT28,0))</f>
        <v/>
      </c>
      <c r="AT198">
        <f>IF(OR($IW28=0,calcA!$A$6=0),0,IF(AS$117=1,AS28,0)+IF(AT$117=1,AU28,0))</f>
        <v/>
      </c>
      <c r="AU198">
        <f>IF(OR($IW28=0,calcA!$A$6=0),0,IF(AT$117=1,AT28,0)+IF(AU$117=1,AV28,0))</f>
        <v/>
      </c>
      <c r="AV198">
        <f>IF(OR($IW28=0,calcA!$A$6=0),0,IF(AU$117=1,AU28,0)+IF(AV$117=1,AW28,0))</f>
        <v/>
      </c>
      <c r="AW198">
        <f>IF(OR($IW28=0,calcA!$A$6=0),0,IF(AV$117=1,AV28,0)+IF(AW$117=1,AX28,0))</f>
        <v/>
      </c>
      <c r="AX198">
        <f>IF(OR($IW28=0,calcA!$A$6=0),0,IF(AW$117=1,AW28,0)+IF(AX$117=1,AY28,0))</f>
        <v/>
      </c>
      <c r="AY198">
        <f>IF(OR($IW28=0,calcA!$A$6=0),0,IF(AX$117=1,AX28,0))</f>
        <v/>
      </c>
      <c r="AZ198">
        <f>IF(OR($IW28=0,calcA!$A$6=0),0,IF(AZ$117=1,BA28,0))</f>
        <v/>
      </c>
      <c r="BA198">
        <f>IF(OR($IW28=0,calcA!$A$6=0),0,IF(AZ$117=1,AZ28,0)+IF(BA$117=1,BB28,0))</f>
        <v/>
      </c>
      <c r="BB198">
        <f>IF(OR($IW28=0,calcA!$A$6=0),0,IF(BA$117=1,BA28,0)+IF(BB$117=1,BC28,0))</f>
        <v/>
      </c>
      <c r="BC198">
        <f>IF(OR($IW28=0,calcA!$A$6=0),0,IF(BB$117=1,BB28,0)+IF(BC$117=1,BD28,0))</f>
        <v/>
      </c>
      <c r="BD198">
        <f>IF(OR($IW28=0,calcA!$A$6=0),0,IF(BC$117=1,BC28,0)+IF(BD$117=1,BE28,0))</f>
        <v/>
      </c>
      <c r="BE198">
        <f>IF(OR($IW28=0,calcA!$A$6=0),0,IF(BD$117=1,BD28,0)+IF(BE$117=1,BF28,0))</f>
        <v/>
      </c>
      <c r="BF198">
        <f>IF(OR($IW28=0,calcA!$A$6=0),0,IF(BE$117=1,BE28,0)+IF(BF$117=1,BG28,0))</f>
        <v/>
      </c>
      <c r="BG198">
        <f>IF(OR($IW28=0,calcA!$A$6=0),0,IF(BF$117=1,BF28,0)+IF(BG$117=1,BH28,0))</f>
        <v/>
      </c>
      <c r="BH198">
        <f>IF(OR($IW28=0,calcA!$A$6=0),0,IF(BG$117=1,BG28,0)+IF(BH$117=1,BI28,0))</f>
        <v/>
      </c>
      <c r="BI198">
        <f>IF(OR($IW28=0,calcA!$A$6=0),0,IF(BH$117=1,BH28,0)+IF(BI$117=1,BJ28,0))</f>
        <v/>
      </c>
      <c r="BJ198">
        <f>IF(OR($IW28=0,calcA!$A$6=0),0,IF(BI$117=1,BI28,0)+IF(BJ$117=1,BK28,0))</f>
        <v/>
      </c>
      <c r="BK198">
        <f>IF(OR($IW28=0,calcA!$A$6=0),0,IF(BJ$117=1,BJ28,0)+IF(BK$117=1,BL28,0))</f>
        <v/>
      </c>
      <c r="BL198">
        <f>IF(OR($IW28=0,calcA!$A$6=0),0,IF(BK$117=1,BK28,0)+IF(BL$117=1,BM28,0))</f>
        <v/>
      </c>
      <c r="BM198">
        <f>IF(OR($IW28=0,calcA!$A$6=0),0,IF(BL$117=1,BL28,0)+IF(BM$117=1,BN28,0))</f>
        <v/>
      </c>
      <c r="BN198">
        <f>IF(OR($IW28=0,calcA!$A$6=0),0,IF(BM$117=1,BM28,0)+IF(BN$117=1,BO28,0))</f>
        <v/>
      </c>
      <c r="BO198">
        <f>IF(OR($IW28=0,calcA!$A$6=0),0,IF(BN$117=1,BN28,0)+IF(BO$117=1,BP28,0))</f>
        <v/>
      </c>
      <c r="BP198">
        <f>IF(OR($IW28=0,calcA!$A$6=0),0,IF(BO$117=1,BO28,0)+IF(BP$117=1,BQ28,0))</f>
        <v/>
      </c>
      <c r="BQ198">
        <f>IF(OR($IW28=0,calcA!$A$6=0),0,IF(BP$117=1,BP28,0)+IF(BQ$117=1,BR28,0))</f>
        <v/>
      </c>
      <c r="BR198">
        <f>IF(OR($IW28=0,calcA!$A$6=0),0,IF(BQ$117=1,BQ28,0)+IF(BR$117=1,BS28,0))</f>
        <v/>
      </c>
      <c r="BS198">
        <f>IF(OR($IW28=0,calcA!$A$6=0),0,IF(BR$117=1,BR28,0)+IF(BS$117=1,BT28,0))</f>
        <v/>
      </c>
      <c r="BT198">
        <f>IF(OR($IW28=0,calcA!$A$6=0),0,IF(BS$117=1,BS28,0)+IF(BT$117=1,BU28,0))</f>
        <v/>
      </c>
      <c r="BU198">
        <f>IF(OR($IW28=0,calcA!$A$6=0),0,IF(BT$117=1,BT28,0)+IF(BU$117=1,BV28,0))</f>
        <v/>
      </c>
      <c r="BV198">
        <f>IF(OR($IW28=0,calcA!$A$6=0),0,IF(BU$117=1,BU28,0)+IF(BV$117=1,BW28,0))</f>
        <v/>
      </c>
      <c r="BW198">
        <f>IF(OR($IW28=0,calcA!$A$6=0),0,IF(BV$117=1,BV28,0))</f>
        <v/>
      </c>
      <c r="BX198">
        <f>IF(OR($IW28=0,calcA!$A$6=0),0,IF(BX$117=1,BY28,0))</f>
        <v/>
      </c>
      <c r="BY198">
        <f>IF(OR($IW28=0,calcA!$A$6=0),0,IF(BX$117=1,BX28,0)+IF(BY$117=1,BZ28,0))</f>
        <v/>
      </c>
      <c r="BZ198">
        <f>IF(OR($IW28=0,calcA!$A$6=0),0,IF(BY$117=1,BY28,0)+IF(BZ$117=1,CA28,0))</f>
        <v/>
      </c>
      <c r="CA198">
        <f>IF(OR($IW28=0,calcA!$A$6=0),0,IF(BZ$117=1,BZ28,0)+IF(CA$117=1,CB28,0))</f>
        <v/>
      </c>
      <c r="CB198">
        <f>IF(OR($IW28=0,calcA!$A$6=0),0,IF(CA$117=1,CA28,0)+IF(CB$117=1,CC28,0))</f>
        <v/>
      </c>
      <c r="CC198">
        <f>IF(OR($IW28=0,calcA!$A$6=0),0,IF(CB$117=1,CB28,0)+IF(CC$117=1,CD28,0))</f>
        <v/>
      </c>
      <c r="CD198">
        <f>IF(OR($IW28=0,calcA!$A$6=0),0,IF(CC$117=1,CC28,0)+IF(CD$117=1,CE28,0))</f>
        <v/>
      </c>
      <c r="CE198">
        <f>IF(OR($IW28=0,calcA!$A$6=0),0,IF(CD$117=1,CD28,0)+IF(CE$117=1,CF28,0))</f>
        <v/>
      </c>
      <c r="CF198">
        <f>IF(OR($IW28=0,calcA!$A$6=0),0,IF(CE$117=1,CE28,0)+IF(CF$117=1,CG28,0))</f>
        <v/>
      </c>
      <c r="CG198">
        <f>IF(OR($IW28=0,calcA!$A$6=0),0,IF(CF$117=1,CF28,0)+IF(CG$117=1,CH28,0))</f>
        <v/>
      </c>
      <c r="CH198">
        <f>IF(OR($IW28=0,calcA!$A$6=0),0,IF(CG$117=1,CG28,0)+IF(CH$117=1,CI28,0))</f>
        <v/>
      </c>
      <c r="CI198">
        <f>IF(OR($IW28=0,calcA!$A$6=0),0,IF(CH$117=1,CH28,0)+IF(CI$117=1,CJ28,0))</f>
        <v/>
      </c>
      <c r="CJ198">
        <f>IF(OR($IW28=0,calcA!$A$6=0),0,IF(CI$117=1,CI28,0)+IF(CJ$117=1,CK28,0))</f>
        <v/>
      </c>
      <c r="CK198">
        <f>IF(OR($IW28=0,calcA!$A$6=0),0,IF(CJ$117=1,CJ28,0)+IF(CK$117=1,CL28,0))</f>
        <v/>
      </c>
      <c r="CL198">
        <f>IF(OR($IW28=0,calcA!$A$6=0),0,IF(CK$117=1,CK28,0)+IF(CL$117=1,CM28,0))</f>
        <v/>
      </c>
      <c r="CM198">
        <f>IF(OR($IW28=0,calcA!$A$6=0),0,IF(CL$117=1,CL28,0)+IF(CM$117=1,CN28,0))</f>
        <v/>
      </c>
      <c r="CN198">
        <f>IF(OR($IW28=0,calcA!$A$6=0),0,IF(CM$117=1,CM28,0)+IF(CN$117=1,CO28,0))</f>
        <v/>
      </c>
      <c r="CO198">
        <f>IF(OR($IW28=0,calcA!$A$6=0),0,IF(CN$117=1,CN28,0)+IF(CO$117=1,CP28,0))</f>
        <v/>
      </c>
      <c r="CP198">
        <f>IF(OR($IW28=0,calcA!$A$6=0),0,IF(CO$117=1,CO28,0)+IF(CP$117=1,CQ28,0))</f>
        <v/>
      </c>
      <c r="CQ198">
        <f>IF(OR($IW28=0,calcA!$A$6=0),0,IF(CP$117=1,CP28,0)+IF(CQ$117=1,CR28,0))</f>
        <v/>
      </c>
      <c r="CR198">
        <f>IF(OR($IW28=0,calcA!$A$6=0),0,IF(CQ$117=1,CQ28,0)+IF(CR$117=1,CS28,0))</f>
        <v/>
      </c>
      <c r="CS198">
        <f>IF(OR($IW28=0,calcA!$A$6=0),0,IF(CR$117=1,CR28,0)+IF(CS$117=1,CT28,0))</f>
        <v/>
      </c>
      <c r="CT198">
        <f>IF(OR($IW28=0,calcA!$A$6=0),0,IF(CS$117=1,CS28,0)+IF(CT$117=1,CU28,0))</f>
        <v/>
      </c>
      <c r="CU198">
        <f>IF(OR($IW28=0,calcA!$A$6=0),0,IF(CT$117=1,CT28,0))</f>
        <v/>
      </c>
      <c r="CV198">
        <f>IF(OR($IW28=0,calcA!$A$6=0),0,IF(CV$117=1,CW28,0))</f>
        <v/>
      </c>
      <c r="CW198">
        <f>IF(OR($IW28=0,calcA!$A$6=0),0,IF(CV$117=1,CV28,0)+IF(CW$117=1,CX28,0))</f>
        <v/>
      </c>
      <c r="CX198">
        <f>IF(OR($IW28=0,calcA!$A$6=0),0,IF(CW$117=1,CW28,0)+IF(CX$117=1,CY28,0))</f>
        <v/>
      </c>
      <c r="CY198">
        <f>IF(OR($IW28=0,calcA!$A$6=0),0,IF(CX$117=1,CX28,0)+IF(CY$117=1,CZ28,0))</f>
        <v/>
      </c>
      <c r="CZ198">
        <f>IF(OR($IW28=0,calcA!$A$6=0),0,IF(CY$117=1,CY28,0)+IF(CZ$117=1,DA28,0))</f>
        <v/>
      </c>
      <c r="DA198">
        <f>IF(OR($IW28=0,calcA!$A$6=0),0,IF(CZ$117=1,CZ28,0)+IF(DA$117=1,DB28,0))</f>
        <v/>
      </c>
      <c r="DB198">
        <f>IF(OR($IW28=0,calcA!$A$6=0),0,IF(DA$117=1,DA28,0)+IF(DB$117=1,DC28,0))</f>
        <v/>
      </c>
      <c r="DC198">
        <f>IF(OR($IW28=0,calcA!$A$6=0),0,IF(DB$117=1,DB28,0)+IF(DC$117=1,DD28,0))</f>
        <v/>
      </c>
      <c r="DD198">
        <f>IF(OR($IW28=0,calcA!$A$6=0),0,IF(DC$117=1,DC28,0)+IF(DD$117=1,DE28,0))</f>
        <v/>
      </c>
      <c r="DE198">
        <f>IF(OR($IW28=0,calcA!$A$6=0),0,IF(DD$117=1,DD28,0)+IF(DE$117=1,DF28,0))</f>
        <v/>
      </c>
      <c r="DF198">
        <f>IF(OR($IW28=0,calcA!$A$6=0),0,IF(DE$117=1,DE28,0)+IF(DF$117=1,DG28,0))</f>
        <v/>
      </c>
      <c r="DG198">
        <f>IF(OR($IW28=0,calcA!$A$6=0),0,IF(DF$117=1,DF28,0)+IF(DG$117=1,DH28,0))</f>
        <v/>
      </c>
      <c r="DH198">
        <f>IF(OR($IW28=0,calcA!$A$6=0),0,IF(DG$117=1,DG28,0)+IF(DH$117=1,DI28,0))</f>
        <v/>
      </c>
      <c r="DI198">
        <f>IF(OR($IW28=0,calcA!$A$6=0),0,IF(DH$117=1,DH28,0)+IF(DI$117=1,DJ28,0))</f>
        <v/>
      </c>
      <c r="DJ198">
        <f>IF(OR($IW28=0,calcA!$A$6=0),0,IF(DI$117=1,DI28,0)+IF(DJ$117=1,DK28,0))</f>
        <v/>
      </c>
      <c r="DK198">
        <f>IF(OR($IW28=0,calcA!$A$6=0),0,IF(DJ$117=1,DJ28,0)+IF(DK$117=1,DL28,0))</f>
        <v/>
      </c>
      <c r="DL198">
        <f>IF(OR($IW28=0,calcA!$A$6=0),0,IF(DK$117=1,DK28,0)+IF(DL$117=1,DM28,0))</f>
        <v/>
      </c>
      <c r="DM198">
        <f>IF(OR($IW28=0,calcA!$A$6=0),0,IF(DL$117=1,DL28,0)+IF(DM$117=1,DN28,0))</f>
        <v/>
      </c>
      <c r="DN198">
        <f>IF(OR($IW28=0,calcA!$A$6=0),0,IF(DM$117=1,DM28,0)+IF(DN$117=1,DO28,0))</f>
        <v/>
      </c>
      <c r="DO198">
        <f>IF(OR($IW28=0,calcA!$A$6=0),0,IF(DN$117=1,DN28,0)+IF(DO$117=1,DP28,0))</f>
        <v/>
      </c>
      <c r="DP198">
        <f>IF(OR($IW28=0,calcA!$A$6=0),0,IF(DO$117=1,DO28,0)+IF(DP$117=1,DQ28,0))</f>
        <v/>
      </c>
      <c r="DQ198">
        <f>IF(OR($IW28=0,calcA!$A$6=0),0,IF(DP$117=1,DP28,0)+IF(DQ$117=1,DR28,0))</f>
        <v/>
      </c>
      <c r="DR198">
        <f>IF(OR($IW28=0,calcA!$A$6=0),0,IF(DQ$117=1,DQ28,0)+IF(DR$117=1,DS28,0))</f>
        <v/>
      </c>
      <c r="DS198">
        <f>IF(OR($IW28=0,calcA!$A$6=0),0,IF(DR$117=1,DR28,0))</f>
        <v/>
      </c>
      <c r="DT198">
        <f>IF(OR($IW28=0,calcA!$A$6=0),0,IF(DT$117=1,DU28,0))</f>
        <v/>
      </c>
      <c r="DU198">
        <f>IF(OR($IW28=0,calcA!$A$6=0),0,IF(DT$117=1,DT28,0)+IF(DU$117=1,DV28,0))</f>
        <v/>
      </c>
      <c r="DV198">
        <f>IF(OR($IW28=0,calcA!$A$6=0),0,IF(DU$117=1,DU28,0)+IF(DV$117=1,DW28,0))</f>
        <v/>
      </c>
      <c r="DW198">
        <f>IF(OR($IW28=0,calcA!$A$6=0),0,IF(DV$117=1,DV28,0)+IF(DW$117=1,DX28,0))</f>
        <v/>
      </c>
      <c r="DX198">
        <f>IF(OR($IW28=0,calcA!$A$6=0),0,IF(DW$117=1,DW28,0)+IF(DX$117=1,DY28,0))</f>
        <v/>
      </c>
      <c r="DY198">
        <f>IF(OR($IW28=0,calcA!$A$6=0),0,IF(DX$117=1,DX28,0)+IF(DY$117=1,DZ28,0))</f>
        <v/>
      </c>
      <c r="DZ198">
        <f>IF(OR($IW28=0,calcA!$A$6=0),0,IF(DY$117=1,DY28,0)+IF(DZ$117=1,EA28,0))</f>
        <v/>
      </c>
      <c r="EA198">
        <f>IF(OR($IW28=0,calcA!$A$6=0),0,IF(DZ$117=1,DZ28,0)+IF(EA$117=1,EB28,0))</f>
        <v/>
      </c>
      <c r="EB198">
        <f>IF(OR($IW28=0,calcA!$A$6=0),0,IF(EA$117=1,EA28,0)+IF(EB$117=1,EC28,0))</f>
        <v/>
      </c>
      <c r="EC198">
        <f>IF(OR($IW28=0,calcA!$A$6=0),0,IF(EB$117=1,EB28,0)+IF(EC$117=1,ED28,0))</f>
        <v/>
      </c>
      <c r="ED198">
        <f>IF(OR($IW28=0,calcA!$A$6=0),0,IF(EC$117=1,EC28,0)+IF(ED$117=1,EE28,0))</f>
        <v/>
      </c>
      <c r="EE198">
        <f>IF(OR($IW28=0,calcA!$A$6=0),0,IF(ED$117=1,ED28,0)+IF(EE$117=1,EF28,0))</f>
        <v/>
      </c>
      <c r="EF198">
        <f>IF(OR($IW28=0,calcA!$A$6=0),0,IF(EE$117=1,EE28,0)+IF(EF$117=1,EG28,0))</f>
        <v/>
      </c>
      <c r="EG198">
        <f>IF(OR($IW28=0,calcA!$A$6=0),0,IF(EF$117=1,EF28,0)+IF(EG$117=1,EH28,0))</f>
        <v/>
      </c>
      <c r="EH198">
        <f>IF(OR($IW28=0,calcA!$A$6=0),0,IF(EG$117=1,EG28,0)+IF(EH$117=1,EI28,0))</f>
        <v/>
      </c>
      <c r="EI198">
        <f>IF(OR($IW28=0,calcA!$A$6=0),0,IF(EH$117=1,EH28,0)+IF(EI$117=1,EJ28,0))</f>
        <v/>
      </c>
      <c r="EJ198">
        <f>IF(OR($IW28=0,calcA!$A$6=0),0,IF(EI$117=1,EI28,0)+IF(EJ$117=1,EK28,0))</f>
        <v/>
      </c>
      <c r="EK198">
        <f>IF(OR($IW28=0,calcA!$A$6=0),0,IF(EJ$117=1,EJ28,0)+IF(EK$117=1,EL28,0))</f>
        <v/>
      </c>
      <c r="EL198">
        <f>IF(OR($IW28=0,calcA!$A$6=0),0,IF(EK$117=1,EK28,0)+IF(EL$117=1,EM28,0))</f>
        <v/>
      </c>
      <c r="EM198">
        <f>IF(OR($IW28=0,calcA!$A$6=0),0,IF(EL$117=1,EL28,0)+IF(EM$117=1,EN28,0))</f>
        <v/>
      </c>
      <c r="EN198">
        <f>IF(OR($IW28=0,calcA!$A$6=0),0,IF(EM$117=1,EM28,0)+IF(EN$117=1,EO28,0))</f>
        <v/>
      </c>
      <c r="EO198">
        <f>IF(OR($IW28=0,calcA!$A$6=0),0,IF(EN$117=1,EN28,0)+IF(EO$117=1,EP28,0))</f>
        <v/>
      </c>
      <c r="EP198">
        <f>IF(OR($IW28=0,calcA!$A$6=0),0,IF(EO$117=1,EO28,0)+IF(EP$117=1,EQ28,0))</f>
        <v/>
      </c>
      <c r="EQ198">
        <f>IF(OR($IW28=0,calcA!$A$6=0),0,IF(EP$117=1,EP28,0))</f>
        <v/>
      </c>
    </row>
    <row r="199">
      <c r="D199">
        <f>IF(OR($IW29=0,calcA!$A$6=0),0,IF(D$117=1,E29,0))</f>
        <v/>
      </c>
      <c r="E199">
        <f>IF(OR($IW29=0,calcA!$A$6=0),0,IF(D$117=1,D29,0)+IF(E$117=1,F29,0))</f>
        <v/>
      </c>
      <c r="F199">
        <f>IF(OR($IW29=0,calcA!$A$6=0),0,IF(E$117=1,E29,0)+IF(F$117=1,G29,0))</f>
        <v/>
      </c>
      <c r="G199">
        <f>IF(OR($IW29=0,calcA!$A$6=0),0,IF(F$117=1,F29,0)+IF(G$117=1,H29,0))</f>
        <v/>
      </c>
      <c r="H199">
        <f>IF(OR($IW29=0,calcA!$A$6=0),0,IF(G$117=1,G29,0)+IF(H$117=1,I29,0))</f>
        <v/>
      </c>
      <c r="I199">
        <f>IF(OR($IW29=0,calcA!$A$6=0),0,IF(H$117=1,H29,0)+IF(I$117=1,J29,0))</f>
        <v/>
      </c>
      <c r="J199">
        <f>IF(OR($IW29=0,calcA!$A$6=0),0,IF(I$117=1,I29,0)+IF(J$117=1,K29,0))</f>
        <v/>
      </c>
      <c r="K199">
        <f>IF(OR($IW29=0,calcA!$A$6=0),0,IF(J$117=1,J29,0)+IF(K$117=1,L29,0))</f>
        <v/>
      </c>
      <c r="L199">
        <f>IF(OR($IW29=0,calcA!$A$6=0),0,IF(K$117=1,K29,0)+IF(L$117=1,M29,0))</f>
        <v/>
      </c>
      <c r="M199">
        <f>IF(OR($IW29=0,calcA!$A$6=0),0,IF(L$117=1,L29,0)+IF(M$117=1,N29,0))</f>
        <v/>
      </c>
      <c r="N199">
        <f>IF(OR($IW29=0,calcA!$A$6=0),0,IF(M$117=1,M29,0)+IF(N$117=1,O29,0))</f>
        <v/>
      </c>
      <c r="O199">
        <f>IF(OR($IW29=0,calcA!$A$6=0),0,IF(N$117=1,N29,0)+IF(O$117=1,P29,0))</f>
        <v/>
      </c>
      <c r="P199">
        <f>IF(OR($IW29=0,calcA!$A$6=0),0,IF(O$117=1,O29,0)+IF(P$117=1,Q29,0))</f>
        <v/>
      </c>
      <c r="Q199">
        <f>IF(OR($IW29=0,calcA!$A$6=0),0,IF(P$117=1,P29,0)+IF(Q$117=1,R29,0))</f>
        <v/>
      </c>
      <c r="R199">
        <f>IF(OR($IW29=0,calcA!$A$6=0),0,IF(Q$117=1,Q29,0)+IF(R$117=1,S29,0))</f>
        <v/>
      </c>
      <c r="S199">
        <f>IF(OR($IW29=0,calcA!$A$6=0),0,IF(R$117=1,R29,0)+IF(S$117=1,T29,0))</f>
        <v/>
      </c>
      <c r="T199">
        <f>IF(OR($IW29=0,calcA!$A$6=0),0,IF(S$117=1,S29,0)+IF(T$117=1,U29,0))</f>
        <v/>
      </c>
      <c r="U199">
        <f>IF(OR($IW29=0,calcA!$A$6=0),0,IF(T$117=1,T29,0)+IF(U$117=1,V29,0))</f>
        <v/>
      </c>
      <c r="V199">
        <f>IF(OR($IW29=0,calcA!$A$6=0),0,IF(U$117=1,U29,0)+IF(V$117=1,W29,0))</f>
        <v/>
      </c>
      <c r="W199">
        <f>IF(OR($IW29=0,calcA!$A$6=0),0,IF(V$117=1,V29,0)+IF(W$117=1,X29,0))</f>
        <v/>
      </c>
      <c r="X199">
        <f>IF(OR($IW29=0,calcA!$A$6=0),0,IF(W$117=1,W29,0)+IF(X$117=1,Y29,0))</f>
        <v/>
      </c>
      <c r="Y199">
        <f>IF(OR($IW29=0,calcA!$A$6=0),0,IF(X$117=1,X29,0)+IF(Y$117=1,Z29,0))</f>
        <v/>
      </c>
      <c r="Z199">
        <f>IF(OR($IW29=0,calcA!$A$6=0),0,IF(Y$117=1,Y29,0)+IF(Z$117=1,AA29,0))</f>
        <v/>
      </c>
      <c r="AA199">
        <f>IF(OR($IW29=0,calcA!$A$6=0),0,IF(Z$117=1,Z29,0))</f>
        <v/>
      </c>
      <c r="AB199">
        <f>IF(OR($IW29=0,calcA!$A$6=0),0,IF(AB$117=1,AC29,0))</f>
        <v/>
      </c>
      <c r="AC199">
        <f>IF(OR($IW29=0,calcA!$A$6=0),0,IF(AB$117=1,AB29,0)+IF(AC$117=1,AD29,0))</f>
        <v/>
      </c>
      <c r="AD199">
        <f>IF(OR($IW29=0,calcA!$A$6=0),0,IF(AC$117=1,AC29,0)+IF(AD$117=1,AE29,0))</f>
        <v/>
      </c>
      <c r="AE199">
        <f>IF(OR($IW29=0,calcA!$A$6=0),0,IF(AD$117=1,AD29,0)+IF(AE$117=1,AF29,0))</f>
        <v/>
      </c>
      <c r="AF199">
        <f>IF(OR($IW29=0,calcA!$A$6=0),0,IF(AE$117=1,AE29,0)+IF(AF$117=1,AG29,0))</f>
        <v/>
      </c>
      <c r="AG199">
        <f>IF(OR($IW29=0,calcA!$A$6=0),0,IF(AF$117=1,AF29,0)+IF(AG$117=1,AH29,0))</f>
        <v/>
      </c>
      <c r="AH199">
        <f>IF(OR($IW29=0,calcA!$A$6=0),0,IF(AG$117=1,AG29,0)+IF(AH$117=1,AI29,0))</f>
        <v/>
      </c>
      <c r="AI199">
        <f>IF(OR($IW29=0,calcA!$A$6=0),0,IF(AH$117=1,AH29,0)+IF(AI$117=1,AJ29,0))</f>
        <v/>
      </c>
      <c r="AJ199">
        <f>IF(OR($IW29=0,calcA!$A$6=0),0,IF(AI$117=1,AI29,0)+IF(AJ$117=1,AK29,0))</f>
        <v/>
      </c>
      <c r="AK199">
        <f>IF(OR($IW29=0,calcA!$A$6=0),0,IF(AJ$117=1,AJ29,0)+IF(AK$117=1,AL29,0))</f>
        <v/>
      </c>
      <c r="AL199">
        <f>IF(OR($IW29=0,calcA!$A$6=0),0,IF(AK$117=1,AK29,0)+IF(AL$117=1,AM29,0))</f>
        <v/>
      </c>
      <c r="AM199">
        <f>IF(OR($IW29=0,calcA!$A$6=0),0,IF(AL$117=1,AL29,0)+IF(AM$117=1,AN29,0))</f>
        <v/>
      </c>
      <c r="AN199">
        <f>IF(OR($IW29=0,calcA!$A$6=0),0,IF(AM$117=1,AM29,0)+IF(AN$117=1,AO29,0))</f>
        <v/>
      </c>
      <c r="AO199">
        <f>IF(OR($IW29=0,calcA!$A$6=0),0,IF(AN$117=1,AN29,0)+IF(AO$117=1,AP29,0))</f>
        <v/>
      </c>
      <c r="AP199">
        <f>IF(OR($IW29=0,calcA!$A$6=0),0,IF(AO$117=1,AO29,0)+IF(AP$117=1,AQ29,0))</f>
        <v/>
      </c>
      <c r="AQ199">
        <f>IF(OR($IW29=0,calcA!$A$6=0),0,IF(AP$117=1,AP29,0)+IF(AQ$117=1,AR29,0))</f>
        <v/>
      </c>
      <c r="AR199">
        <f>IF(OR($IW29=0,calcA!$A$6=0),0,IF(AQ$117=1,AQ29,0)+IF(AR$117=1,AS29,0))</f>
        <v/>
      </c>
      <c r="AS199">
        <f>IF(OR($IW29=0,calcA!$A$6=0),0,IF(AR$117=1,AR29,0)+IF(AS$117=1,AT29,0))</f>
        <v/>
      </c>
      <c r="AT199">
        <f>IF(OR($IW29=0,calcA!$A$6=0),0,IF(AS$117=1,AS29,0)+IF(AT$117=1,AU29,0))</f>
        <v/>
      </c>
      <c r="AU199">
        <f>IF(OR($IW29=0,calcA!$A$6=0),0,IF(AT$117=1,AT29,0)+IF(AU$117=1,AV29,0))</f>
        <v/>
      </c>
      <c r="AV199">
        <f>IF(OR($IW29=0,calcA!$A$6=0),0,IF(AU$117=1,AU29,0)+IF(AV$117=1,AW29,0))</f>
        <v/>
      </c>
      <c r="AW199">
        <f>IF(OR($IW29=0,calcA!$A$6=0),0,IF(AV$117=1,AV29,0)+IF(AW$117=1,AX29,0))</f>
        <v/>
      </c>
      <c r="AX199">
        <f>IF(OR($IW29=0,calcA!$A$6=0),0,IF(AW$117=1,AW29,0)+IF(AX$117=1,AY29,0))</f>
        <v/>
      </c>
      <c r="AY199">
        <f>IF(OR($IW29=0,calcA!$A$6=0),0,IF(AX$117=1,AX29,0))</f>
        <v/>
      </c>
      <c r="AZ199">
        <f>IF(OR($IW29=0,calcA!$A$6=0),0,IF(AZ$117=1,BA29,0))</f>
        <v/>
      </c>
      <c r="BA199">
        <f>IF(OR($IW29=0,calcA!$A$6=0),0,IF(AZ$117=1,AZ29,0)+IF(BA$117=1,BB29,0))</f>
        <v/>
      </c>
      <c r="BB199">
        <f>IF(OR($IW29=0,calcA!$A$6=0),0,IF(BA$117=1,BA29,0)+IF(BB$117=1,BC29,0))</f>
        <v/>
      </c>
      <c r="BC199">
        <f>IF(OR($IW29=0,calcA!$A$6=0),0,IF(BB$117=1,BB29,0)+IF(BC$117=1,BD29,0))</f>
        <v/>
      </c>
      <c r="BD199">
        <f>IF(OR($IW29=0,calcA!$A$6=0),0,IF(BC$117=1,BC29,0)+IF(BD$117=1,BE29,0))</f>
        <v/>
      </c>
      <c r="BE199">
        <f>IF(OR($IW29=0,calcA!$A$6=0),0,IF(BD$117=1,BD29,0)+IF(BE$117=1,BF29,0))</f>
        <v/>
      </c>
      <c r="BF199">
        <f>IF(OR($IW29=0,calcA!$A$6=0),0,IF(BE$117=1,BE29,0)+IF(BF$117=1,BG29,0))</f>
        <v/>
      </c>
      <c r="BG199">
        <f>IF(OR($IW29=0,calcA!$A$6=0),0,IF(BF$117=1,BF29,0)+IF(BG$117=1,BH29,0))</f>
        <v/>
      </c>
      <c r="BH199">
        <f>IF(OR($IW29=0,calcA!$A$6=0),0,IF(BG$117=1,BG29,0)+IF(BH$117=1,BI29,0))</f>
        <v/>
      </c>
      <c r="BI199">
        <f>IF(OR($IW29=0,calcA!$A$6=0),0,IF(BH$117=1,BH29,0)+IF(BI$117=1,BJ29,0))</f>
        <v/>
      </c>
      <c r="BJ199">
        <f>IF(OR($IW29=0,calcA!$A$6=0),0,IF(BI$117=1,BI29,0)+IF(BJ$117=1,BK29,0))</f>
        <v/>
      </c>
      <c r="BK199">
        <f>IF(OR($IW29=0,calcA!$A$6=0),0,IF(BJ$117=1,BJ29,0)+IF(BK$117=1,BL29,0))</f>
        <v/>
      </c>
      <c r="BL199">
        <f>IF(OR($IW29=0,calcA!$A$6=0),0,IF(BK$117=1,BK29,0)+IF(BL$117=1,BM29,0))</f>
        <v/>
      </c>
      <c r="BM199">
        <f>IF(OR($IW29=0,calcA!$A$6=0),0,IF(BL$117=1,BL29,0)+IF(BM$117=1,BN29,0))</f>
        <v/>
      </c>
      <c r="BN199">
        <f>IF(OR($IW29=0,calcA!$A$6=0),0,IF(BM$117=1,BM29,0)+IF(BN$117=1,BO29,0))</f>
        <v/>
      </c>
      <c r="BO199">
        <f>IF(OR($IW29=0,calcA!$A$6=0),0,IF(BN$117=1,BN29,0)+IF(BO$117=1,BP29,0))</f>
        <v/>
      </c>
      <c r="BP199">
        <f>IF(OR($IW29=0,calcA!$A$6=0),0,IF(BO$117=1,BO29,0)+IF(BP$117=1,BQ29,0))</f>
        <v/>
      </c>
      <c r="BQ199">
        <f>IF(OR($IW29=0,calcA!$A$6=0),0,IF(BP$117=1,BP29,0)+IF(BQ$117=1,BR29,0))</f>
        <v/>
      </c>
      <c r="BR199">
        <f>IF(OR($IW29=0,calcA!$A$6=0),0,IF(BQ$117=1,BQ29,0)+IF(BR$117=1,BS29,0))</f>
        <v/>
      </c>
      <c r="BS199">
        <f>IF(OR($IW29=0,calcA!$A$6=0),0,IF(BR$117=1,BR29,0)+IF(BS$117=1,BT29,0))</f>
        <v/>
      </c>
      <c r="BT199">
        <f>IF(OR($IW29=0,calcA!$A$6=0),0,IF(BS$117=1,BS29,0)+IF(BT$117=1,BU29,0))</f>
        <v/>
      </c>
      <c r="BU199">
        <f>IF(OR($IW29=0,calcA!$A$6=0),0,IF(BT$117=1,BT29,0)+IF(BU$117=1,BV29,0))</f>
        <v/>
      </c>
      <c r="BV199">
        <f>IF(OR($IW29=0,calcA!$A$6=0),0,IF(BU$117=1,BU29,0)+IF(BV$117=1,BW29,0))</f>
        <v/>
      </c>
      <c r="BW199">
        <f>IF(OR($IW29=0,calcA!$A$6=0),0,IF(BV$117=1,BV29,0))</f>
        <v/>
      </c>
      <c r="BX199">
        <f>IF(OR($IW29=0,calcA!$A$6=0),0,IF(BX$117=1,BY29,0))</f>
        <v/>
      </c>
      <c r="BY199">
        <f>IF(OR($IW29=0,calcA!$A$6=0),0,IF(BX$117=1,BX29,0)+IF(BY$117=1,BZ29,0))</f>
        <v/>
      </c>
      <c r="BZ199">
        <f>IF(OR($IW29=0,calcA!$A$6=0),0,IF(BY$117=1,BY29,0)+IF(BZ$117=1,CA29,0))</f>
        <v/>
      </c>
      <c r="CA199">
        <f>IF(OR($IW29=0,calcA!$A$6=0),0,IF(BZ$117=1,BZ29,0)+IF(CA$117=1,CB29,0))</f>
        <v/>
      </c>
      <c r="CB199">
        <f>IF(OR($IW29=0,calcA!$A$6=0),0,IF(CA$117=1,CA29,0)+IF(CB$117=1,CC29,0))</f>
        <v/>
      </c>
      <c r="CC199">
        <f>IF(OR($IW29=0,calcA!$A$6=0),0,IF(CB$117=1,CB29,0)+IF(CC$117=1,CD29,0))</f>
        <v/>
      </c>
      <c r="CD199">
        <f>IF(OR($IW29=0,calcA!$A$6=0),0,IF(CC$117=1,CC29,0)+IF(CD$117=1,CE29,0))</f>
        <v/>
      </c>
      <c r="CE199">
        <f>IF(OR($IW29=0,calcA!$A$6=0),0,IF(CD$117=1,CD29,0)+IF(CE$117=1,CF29,0))</f>
        <v/>
      </c>
      <c r="CF199">
        <f>IF(OR($IW29=0,calcA!$A$6=0),0,IF(CE$117=1,CE29,0)+IF(CF$117=1,CG29,0))</f>
        <v/>
      </c>
      <c r="CG199">
        <f>IF(OR($IW29=0,calcA!$A$6=0),0,IF(CF$117=1,CF29,0)+IF(CG$117=1,CH29,0))</f>
        <v/>
      </c>
      <c r="CH199">
        <f>IF(OR($IW29=0,calcA!$A$6=0),0,IF(CG$117=1,CG29,0)+IF(CH$117=1,CI29,0))</f>
        <v/>
      </c>
      <c r="CI199">
        <f>IF(OR($IW29=0,calcA!$A$6=0),0,IF(CH$117=1,CH29,0)+IF(CI$117=1,CJ29,0))</f>
        <v/>
      </c>
      <c r="CJ199">
        <f>IF(OR($IW29=0,calcA!$A$6=0),0,IF(CI$117=1,CI29,0)+IF(CJ$117=1,CK29,0))</f>
        <v/>
      </c>
      <c r="CK199">
        <f>IF(OR($IW29=0,calcA!$A$6=0),0,IF(CJ$117=1,CJ29,0)+IF(CK$117=1,CL29,0))</f>
        <v/>
      </c>
      <c r="CL199">
        <f>IF(OR($IW29=0,calcA!$A$6=0),0,IF(CK$117=1,CK29,0)+IF(CL$117=1,CM29,0))</f>
        <v/>
      </c>
      <c r="CM199">
        <f>IF(OR($IW29=0,calcA!$A$6=0),0,IF(CL$117=1,CL29,0)+IF(CM$117=1,CN29,0))</f>
        <v/>
      </c>
      <c r="CN199">
        <f>IF(OR($IW29=0,calcA!$A$6=0),0,IF(CM$117=1,CM29,0)+IF(CN$117=1,CO29,0))</f>
        <v/>
      </c>
      <c r="CO199">
        <f>IF(OR($IW29=0,calcA!$A$6=0),0,IF(CN$117=1,CN29,0)+IF(CO$117=1,CP29,0))</f>
        <v/>
      </c>
      <c r="CP199">
        <f>IF(OR($IW29=0,calcA!$A$6=0),0,IF(CO$117=1,CO29,0)+IF(CP$117=1,CQ29,0))</f>
        <v/>
      </c>
      <c r="CQ199">
        <f>IF(OR($IW29=0,calcA!$A$6=0),0,IF(CP$117=1,CP29,0)+IF(CQ$117=1,CR29,0))</f>
        <v/>
      </c>
      <c r="CR199">
        <f>IF(OR($IW29=0,calcA!$A$6=0),0,IF(CQ$117=1,CQ29,0)+IF(CR$117=1,CS29,0))</f>
        <v/>
      </c>
      <c r="CS199">
        <f>IF(OR($IW29=0,calcA!$A$6=0),0,IF(CR$117=1,CR29,0)+IF(CS$117=1,CT29,0))</f>
        <v/>
      </c>
      <c r="CT199">
        <f>IF(OR($IW29=0,calcA!$A$6=0),0,IF(CS$117=1,CS29,0)+IF(CT$117=1,CU29,0))</f>
        <v/>
      </c>
      <c r="CU199">
        <f>IF(OR($IW29=0,calcA!$A$6=0),0,IF(CT$117=1,CT29,0))</f>
        <v/>
      </c>
      <c r="CV199">
        <f>IF(OR($IW29=0,calcA!$A$6=0),0,IF(CV$117=1,CW29,0))</f>
        <v/>
      </c>
      <c r="CW199">
        <f>IF(OR($IW29=0,calcA!$A$6=0),0,IF(CV$117=1,CV29,0)+IF(CW$117=1,CX29,0))</f>
        <v/>
      </c>
      <c r="CX199">
        <f>IF(OR($IW29=0,calcA!$A$6=0),0,IF(CW$117=1,CW29,0)+IF(CX$117=1,CY29,0))</f>
        <v/>
      </c>
      <c r="CY199">
        <f>IF(OR($IW29=0,calcA!$A$6=0),0,IF(CX$117=1,CX29,0)+IF(CY$117=1,CZ29,0))</f>
        <v/>
      </c>
      <c r="CZ199">
        <f>IF(OR($IW29=0,calcA!$A$6=0),0,IF(CY$117=1,CY29,0)+IF(CZ$117=1,DA29,0))</f>
        <v/>
      </c>
      <c r="DA199">
        <f>IF(OR($IW29=0,calcA!$A$6=0),0,IF(CZ$117=1,CZ29,0)+IF(DA$117=1,DB29,0))</f>
        <v/>
      </c>
      <c r="DB199">
        <f>IF(OR($IW29=0,calcA!$A$6=0),0,IF(DA$117=1,DA29,0)+IF(DB$117=1,DC29,0))</f>
        <v/>
      </c>
      <c r="DC199">
        <f>IF(OR($IW29=0,calcA!$A$6=0),0,IF(DB$117=1,DB29,0)+IF(DC$117=1,DD29,0))</f>
        <v/>
      </c>
      <c r="DD199">
        <f>IF(OR($IW29=0,calcA!$A$6=0),0,IF(DC$117=1,DC29,0)+IF(DD$117=1,DE29,0))</f>
        <v/>
      </c>
      <c r="DE199">
        <f>IF(OR($IW29=0,calcA!$A$6=0),0,IF(DD$117=1,DD29,0)+IF(DE$117=1,DF29,0))</f>
        <v/>
      </c>
      <c r="DF199">
        <f>IF(OR($IW29=0,calcA!$A$6=0),0,IF(DE$117=1,DE29,0)+IF(DF$117=1,DG29,0))</f>
        <v/>
      </c>
      <c r="DG199">
        <f>IF(OR($IW29=0,calcA!$A$6=0),0,IF(DF$117=1,DF29,0)+IF(DG$117=1,DH29,0))</f>
        <v/>
      </c>
      <c r="DH199">
        <f>IF(OR($IW29=0,calcA!$A$6=0),0,IF(DG$117=1,DG29,0)+IF(DH$117=1,DI29,0))</f>
        <v/>
      </c>
      <c r="DI199">
        <f>IF(OR($IW29=0,calcA!$A$6=0),0,IF(DH$117=1,DH29,0)+IF(DI$117=1,DJ29,0))</f>
        <v/>
      </c>
      <c r="DJ199">
        <f>IF(OR($IW29=0,calcA!$A$6=0),0,IF(DI$117=1,DI29,0)+IF(DJ$117=1,DK29,0))</f>
        <v/>
      </c>
      <c r="DK199">
        <f>IF(OR($IW29=0,calcA!$A$6=0),0,IF(DJ$117=1,DJ29,0)+IF(DK$117=1,DL29,0))</f>
        <v/>
      </c>
      <c r="DL199">
        <f>IF(OR($IW29=0,calcA!$A$6=0),0,IF(DK$117=1,DK29,0)+IF(DL$117=1,DM29,0))</f>
        <v/>
      </c>
      <c r="DM199">
        <f>IF(OR($IW29=0,calcA!$A$6=0),0,IF(DL$117=1,DL29,0)+IF(DM$117=1,DN29,0))</f>
        <v/>
      </c>
      <c r="DN199">
        <f>IF(OR($IW29=0,calcA!$A$6=0),0,IF(DM$117=1,DM29,0)+IF(DN$117=1,DO29,0))</f>
        <v/>
      </c>
      <c r="DO199">
        <f>IF(OR($IW29=0,calcA!$A$6=0),0,IF(DN$117=1,DN29,0)+IF(DO$117=1,DP29,0))</f>
        <v/>
      </c>
      <c r="DP199">
        <f>IF(OR($IW29=0,calcA!$A$6=0),0,IF(DO$117=1,DO29,0)+IF(DP$117=1,DQ29,0))</f>
        <v/>
      </c>
      <c r="DQ199">
        <f>IF(OR($IW29=0,calcA!$A$6=0),0,IF(DP$117=1,DP29,0)+IF(DQ$117=1,DR29,0))</f>
        <v/>
      </c>
      <c r="DR199">
        <f>IF(OR($IW29=0,calcA!$A$6=0),0,IF(DQ$117=1,DQ29,0)+IF(DR$117=1,DS29,0))</f>
        <v/>
      </c>
      <c r="DS199">
        <f>IF(OR($IW29=0,calcA!$A$6=0),0,IF(DR$117=1,DR29,0))</f>
        <v/>
      </c>
      <c r="DT199">
        <f>IF(OR($IW29=0,calcA!$A$6=0),0,IF(DT$117=1,DU29,0))</f>
        <v/>
      </c>
      <c r="DU199">
        <f>IF(OR($IW29=0,calcA!$A$6=0),0,IF(DT$117=1,DT29,0)+IF(DU$117=1,DV29,0))</f>
        <v/>
      </c>
      <c r="DV199">
        <f>IF(OR($IW29=0,calcA!$A$6=0),0,IF(DU$117=1,DU29,0)+IF(DV$117=1,DW29,0))</f>
        <v/>
      </c>
      <c r="DW199">
        <f>IF(OR($IW29=0,calcA!$A$6=0),0,IF(DV$117=1,DV29,0)+IF(DW$117=1,DX29,0))</f>
        <v/>
      </c>
      <c r="DX199">
        <f>IF(OR($IW29=0,calcA!$A$6=0),0,IF(DW$117=1,DW29,0)+IF(DX$117=1,DY29,0))</f>
        <v/>
      </c>
      <c r="DY199">
        <f>IF(OR($IW29=0,calcA!$A$6=0),0,IF(DX$117=1,DX29,0)+IF(DY$117=1,DZ29,0))</f>
        <v/>
      </c>
      <c r="DZ199">
        <f>IF(OR($IW29=0,calcA!$A$6=0),0,IF(DY$117=1,DY29,0)+IF(DZ$117=1,EA29,0))</f>
        <v/>
      </c>
      <c r="EA199">
        <f>IF(OR($IW29=0,calcA!$A$6=0),0,IF(DZ$117=1,DZ29,0)+IF(EA$117=1,EB29,0))</f>
        <v/>
      </c>
      <c r="EB199">
        <f>IF(OR($IW29=0,calcA!$A$6=0),0,IF(EA$117=1,EA29,0)+IF(EB$117=1,EC29,0))</f>
        <v/>
      </c>
      <c r="EC199">
        <f>IF(OR($IW29=0,calcA!$A$6=0),0,IF(EB$117=1,EB29,0)+IF(EC$117=1,ED29,0))</f>
        <v/>
      </c>
      <c r="ED199">
        <f>IF(OR($IW29=0,calcA!$A$6=0),0,IF(EC$117=1,EC29,0)+IF(ED$117=1,EE29,0))</f>
        <v/>
      </c>
      <c r="EE199">
        <f>IF(OR($IW29=0,calcA!$A$6=0),0,IF(ED$117=1,ED29,0)+IF(EE$117=1,EF29,0))</f>
        <v/>
      </c>
      <c r="EF199">
        <f>IF(OR($IW29=0,calcA!$A$6=0),0,IF(EE$117=1,EE29,0)+IF(EF$117=1,EG29,0))</f>
        <v/>
      </c>
      <c r="EG199">
        <f>IF(OR($IW29=0,calcA!$A$6=0),0,IF(EF$117=1,EF29,0)+IF(EG$117=1,EH29,0))</f>
        <v/>
      </c>
      <c r="EH199">
        <f>IF(OR($IW29=0,calcA!$A$6=0),0,IF(EG$117=1,EG29,0)+IF(EH$117=1,EI29,0))</f>
        <v/>
      </c>
      <c r="EI199">
        <f>IF(OR($IW29=0,calcA!$A$6=0),0,IF(EH$117=1,EH29,0)+IF(EI$117=1,EJ29,0))</f>
        <v/>
      </c>
      <c r="EJ199">
        <f>IF(OR($IW29=0,calcA!$A$6=0),0,IF(EI$117=1,EI29,0)+IF(EJ$117=1,EK29,0))</f>
        <v/>
      </c>
      <c r="EK199">
        <f>IF(OR($IW29=0,calcA!$A$6=0),0,IF(EJ$117=1,EJ29,0)+IF(EK$117=1,EL29,0))</f>
        <v/>
      </c>
      <c r="EL199">
        <f>IF(OR($IW29=0,calcA!$A$6=0),0,IF(EK$117=1,EK29,0)+IF(EL$117=1,EM29,0))</f>
        <v/>
      </c>
      <c r="EM199">
        <f>IF(OR($IW29=0,calcA!$A$6=0),0,IF(EL$117=1,EL29,0)+IF(EM$117=1,EN29,0))</f>
        <v/>
      </c>
      <c r="EN199">
        <f>IF(OR($IW29=0,calcA!$A$6=0),0,IF(EM$117=1,EM29,0)+IF(EN$117=1,EO29,0))</f>
        <v/>
      </c>
      <c r="EO199">
        <f>IF(OR($IW29=0,calcA!$A$6=0),0,IF(EN$117=1,EN29,0)+IF(EO$117=1,EP29,0))</f>
        <v/>
      </c>
      <c r="EP199">
        <f>IF(OR($IW29=0,calcA!$A$6=0),0,IF(EO$117=1,EO29,0)+IF(EP$117=1,EQ29,0))</f>
        <v/>
      </c>
      <c r="EQ199">
        <f>IF(OR($IW29=0,calcA!$A$6=0),0,IF(EP$117=1,EP29,0))</f>
        <v/>
      </c>
    </row>
    <row r="200">
      <c r="D200">
        <f>IF(OR($IW30=0,calcA!$A$6=0),0,IF(D$117=1,E30,0))</f>
        <v/>
      </c>
      <c r="E200">
        <f>IF(OR($IW30=0,calcA!$A$6=0),0,IF(D$117=1,D30,0)+IF(E$117=1,F30,0))</f>
        <v/>
      </c>
      <c r="F200">
        <f>IF(OR($IW30=0,calcA!$A$6=0),0,IF(E$117=1,E30,0)+IF(F$117=1,G30,0))</f>
        <v/>
      </c>
      <c r="G200">
        <f>IF(OR($IW30=0,calcA!$A$6=0),0,IF(F$117=1,F30,0)+IF(G$117=1,H30,0))</f>
        <v/>
      </c>
      <c r="H200">
        <f>IF(OR($IW30=0,calcA!$A$6=0),0,IF(G$117=1,G30,0)+IF(H$117=1,I30,0))</f>
        <v/>
      </c>
      <c r="I200">
        <f>IF(OR($IW30=0,calcA!$A$6=0),0,IF(H$117=1,H30,0)+IF(I$117=1,J30,0))</f>
        <v/>
      </c>
      <c r="J200">
        <f>IF(OR($IW30=0,calcA!$A$6=0),0,IF(I$117=1,I30,0)+IF(J$117=1,K30,0))</f>
        <v/>
      </c>
      <c r="K200">
        <f>IF(OR($IW30=0,calcA!$A$6=0),0,IF(J$117=1,J30,0)+IF(K$117=1,L30,0))</f>
        <v/>
      </c>
      <c r="L200">
        <f>IF(OR($IW30=0,calcA!$A$6=0),0,IF(K$117=1,K30,0)+IF(L$117=1,M30,0))</f>
        <v/>
      </c>
      <c r="M200">
        <f>IF(OR($IW30=0,calcA!$A$6=0),0,IF(L$117=1,L30,0)+IF(M$117=1,N30,0))</f>
        <v/>
      </c>
      <c r="N200">
        <f>IF(OR($IW30=0,calcA!$A$6=0),0,IF(M$117=1,M30,0)+IF(N$117=1,O30,0))</f>
        <v/>
      </c>
      <c r="O200">
        <f>IF(OR($IW30=0,calcA!$A$6=0),0,IF(N$117=1,N30,0)+IF(O$117=1,P30,0))</f>
        <v/>
      </c>
      <c r="P200">
        <f>IF(OR($IW30=0,calcA!$A$6=0),0,IF(O$117=1,O30,0)+IF(P$117=1,Q30,0))</f>
        <v/>
      </c>
      <c r="Q200">
        <f>IF(OR($IW30=0,calcA!$A$6=0),0,IF(P$117=1,P30,0)+IF(Q$117=1,R30,0))</f>
        <v/>
      </c>
      <c r="R200">
        <f>IF(OR($IW30=0,calcA!$A$6=0),0,IF(Q$117=1,Q30,0)+IF(R$117=1,S30,0))</f>
        <v/>
      </c>
      <c r="S200">
        <f>IF(OR($IW30=0,calcA!$A$6=0),0,IF(R$117=1,R30,0)+IF(S$117=1,T30,0))</f>
        <v/>
      </c>
      <c r="T200">
        <f>IF(OR($IW30=0,calcA!$A$6=0),0,IF(S$117=1,S30,0)+IF(T$117=1,U30,0))</f>
        <v/>
      </c>
      <c r="U200">
        <f>IF(OR($IW30=0,calcA!$A$6=0),0,IF(T$117=1,T30,0)+IF(U$117=1,V30,0))</f>
        <v/>
      </c>
      <c r="V200">
        <f>IF(OR($IW30=0,calcA!$A$6=0),0,IF(U$117=1,U30,0)+IF(V$117=1,W30,0))</f>
        <v/>
      </c>
      <c r="W200">
        <f>IF(OR($IW30=0,calcA!$A$6=0),0,IF(V$117=1,V30,0)+IF(W$117=1,X30,0))</f>
        <v/>
      </c>
      <c r="X200">
        <f>IF(OR($IW30=0,calcA!$A$6=0),0,IF(W$117=1,W30,0)+IF(X$117=1,Y30,0))</f>
        <v/>
      </c>
      <c r="Y200">
        <f>IF(OR($IW30=0,calcA!$A$6=0),0,IF(X$117=1,X30,0)+IF(Y$117=1,Z30,0))</f>
        <v/>
      </c>
      <c r="Z200">
        <f>IF(OR($IW30=0,calcA!$A$6=0),0,IF(Y$117=1,Y30,0)+IF(Z$117=1,AA30,0))</f>
        <v/>
      </c>
      <c r="AA200">
        <f>IF(OR($IW30=0,calcA!$A$6=0),0,IF(Z$117=1,Z30,0))</f>
        <v/>
      </c>
      <c r="AB200">
        <f>IF(OR($IW30=0,calcA!$A$6=0),0,IF(AB$117=1,AC30,0))</f>
        <v/>
      </c>
      <c r="AC200">
        <f>IF(OR($IW30=0,calcA!$A$6=0),0,IF(AB$117=1,AB30,0)+IF(AC$117=1,AD30,0))</f>
        <v/>
      </c>
      <c r="AD200">
        <f>IF(OR($IW30=0,calcA!$A$6=0),0,IF(AC$117=1,AC30,0)+IF(AD$117=1,AE30,0))</f>
        <v/>
      </c>
      <c r="AE200">
        <f>IF(OR($IW30=0,calcA!$A$6=0),0,IF(AD$117=1,AD30,0)+IF(AE$117=1,AF30,0))</f>
        <v/>
      </c>
      <c r="AF200">
        <f>IF(OR($IW30=0,calcA!$A$6=0),0,IF(AE$117=1,AE30,0)+IF(AF$117=1,AG30,0))</f>
        <v/>
      </c>
      <c r="AG200">
        <f>IF(OR($IW30=0,calcA!$A$6=0),0,IF(AF$117=1,AF30,0)+IF(AG$117=1,AH30,0))</f>
        <v/>
      </c>
      <c r="AH200">
        <f>IF(OR($IW30=0,calcA!$A$6=0),0,IF(AG$117=1,AG30,0)+IF(AH$117=1,AI30,0))</f>
        <v/>
      </c>
      <c r="AI200">
        <f>IF(OR($IW30=0,calcA!$A$6=0),0,IF(AH$117=1,AH30,0)+IF(AI$117=1,AJ30,0))</f>
        <v/>
      </c>
      <c r="AJ200">
        <f>IF(OR($IW30=0,calcA!$A$6=0),0,IF(AI$117=1,AI30,0)+IF(AJ$117=1,AK30,0))</f>
        <v/>
      </c>
      <c r="AK200">
        <f>IF(OR($IW30=0,calcA!$A$6=0),0,IF(AJ$117=1,AJ30,0)+IF(AK$117=1,AL30,0))</f>
        <v/>
      </c>
      <c r="AL200">
        <f>IF(OR($IW30=0,calcA!$A$6=0),0,IF(AK$117=1,AK30,0)+IF(AL$117=1,AM30,0))</f>
        <v/>
      </c>
      <c r="AM200">
        <f>IF(OR($IW30=0,calcA!$A$6=0),0,IF(AL$117=1,AL30,0)+IF(AM$117=1,AN30,0))</f>
        <v/>
      </c>
      <c r="AN200">
        <f>IF(OR($IW30=0,calcA!$A$6=0),0,IF(AM$117=1,AM30,0)+IF(AN$117=1,AO30,0))</f>
        <v/>
      </c>
      <c r="AO200">
        <f>IF(OR($IW30=0,calcA!$A$6=0),0,IF(AN$117=1,AN30,0)+IF(AO$117=1,AP30,0))</f>
        <v/>
      </c>
      <c r="AP200">
        <f>IF(OR($IW30=0,calcA!$A$6=0),0,IF(AO$117=1,AO30,0)+IF(AP$117=1,AQ30,0))</f>
        <v/>
      </c>
      <c r="AQ200">
        <f>IF(OR($IW30=0,calcA!$A$6=0),0,IF(AP$117=1,AP30,0)+IF(AQ$117=1,AR30,0))</f>
        <v/>
      </c>
      <c r="AR200">
        <f>IF(OR($IW30=0,calcA!$A$6=0),0,IF(AQ$117=1,AQ30,0)+IF(AR$117=1,AS30,0))</f>
        <v/>
      </c>
      <c r="AS200">
        <f>IF(OR($IW30=0,calcA!$A$6=0),0,IF(AR$117=1,AR30,0)+IF(AS$117=1,AT30,0))</f>
        <v/>
      </c>
      <c r="AT200">
        <f>IF(OR($IW30=0,calcA!$A$6=0),0,IF(AS$117=1,AS30,0)+IF(AT$117=1,AU30,0))</f>
        <v/>
      </c>
      <c r="AU200">
        <f>IF(OR($IW30=0,calcA!$A$6=0),0,IF(AT$117=1,AT30,0)+IF(AU$117=1,AV30,0))</f>
        <v/>
      </c>
      <c r="AV200">
        <f>IF(OR($IW30=0,calcA!$A$6=0),0,IF(AU$117=1,AU30,0)+IF(AV$117=1,AW30,0))</f>
        <v/>
      </c>
      <c r="AW200">
        <f>IF(OR($IW30=0,calcA!$A$6=0),0,IF(AV$117=1,AV30,0)+IF(AW$117=1,AX30,0))</f>
        <v/>
      </c>
      <c r="AX200">
        <f>IF(OR($IW30=0,calcA!$A$6=0),0,IF(AW$117=1,AW30,0)+IF(AX$117=1,AY30,0))</f>
        <v/>
      </c>
      <c r="AY200">
        <f>IF(OR($IW30=0,calcA!$A$6=0),0,IF(AX$117=1,AX30,0))</f>
        <v/>
      </c>
      <c r="AZ200">
        <f>IF(OR($IW30=0,calcA!$A$6=0),0,IF(AZ$117=1,BA30,0))</f>
        <v/>
      </c>
      <c r="BA200">
        <f>IF(OR($IW30=0,calcA!$A$6=0),0,IF(AZ$117=1,AZ30,0)+IF(BA$117=1,BB30,0))</f>
        <v/>
      </c>
      <c r="BB200">
        <f>IF(OR($IW30=0,calcA!$A$6=0),0,IF(BA$117=1,BA30,0)+IF(BB$117=1,BC30,0))</f>
        <v/>
      </c>
      <c r="BC200">
        <f>IF(OR($IW30=0,calcA!$A$6=0),0,IF(BB$117=1,BB30,0)+IF(BC$117=1,BD30,0))</f>
        <v/>
      </c>
      <c r="BD200">
        <f>IF(OR($IW30=0,calcA!$A$6=0),0,IF(BC$117=1,BC30,0)+IF(BD$117=1,BE30,0))</f>
        <v/>
      </c>
      <c r="BE200">
        <f>IF(OR($IW30=0,calcA!$A$6=0),0,IF(BD$117=1,BD30,0)+IF(BE$117=1,BF30,0))</f>
        <v/>
      </c>
      <c r="BF200">
        <f>IF(OR($IW30=0,calcA!$A$6=0),0,IF(BE$117=1,BE30,0)+IF(BF$117=1,BG30,0))</f>
        <v/>
      </c>
      <c r="BG200">
        <f>IF(OR($IW30=0,calcA!$A$6=0),0,IF(BF$117=1,BF30,0)+IF(BG$117=1,BH30,0))</f>
        <v/>
      </c>
      <c r="BH200">
        <f>IF(OR($IW30=0,calcA!$A$6=0),0,IF(BG$117=1,BG30,0)+IF(BH$117=1,BI30,0))</f>
        <v/>
      </c>
      <c r="BI200">
        <f>IF(OR($IW30=0,calcA!$A$6=0),0,IF(BH$117=1,BH30,0)+IF(BI$117=1,BJ30,0))</f>
        <v/>
      </c>
      <c r="BJ200">
        <f>IF(OR($IW30=0,calcA!$A$6=0),0,IF(BI$117=1,BI30,0)+IF(BJ$117=1,BK30,0))</f>
        <v/>
      </c>
      <c r="BK200">
        <f>IF(OR($IW30=0,calcA!$A$6=0),0,IF(BJ$117=1,BJ30,0)+IF(BK$117=1,BL30,0))</f>
        <v/>
      </c>
      <c r="BL200">
        <f>IF(OR($IW30=0,calcA!$A$6=0),0,IF(BK$117=1,BK30,0)+IF(BL$117=1,BM30,0))</f>
        <v/>
      </c>
      <c r="BM200">
        <f>IF(OR($IW30=0,calcA!$A$6=0),0,IF(BL$117=1,BL30,0)+IF(BM$117=1,BN30,0))</f>
        <v/>
      </c>
      <c r="BN200">
        <f>IF(OR($IW30=0,calcA!$A$6=0),0,IF(BM$117=1,BM30,0)+IF(BN$117=1,BO30,0))</f>
        <v/>
      </c>
      <c r="BO200">
        <f>IF(OR($IW30=0,calcA!$A$6=0),0,IF(BN$117=1,BN30,0)+IF(BO$117=1,BP30,0))</f>
        <v/>
      </c>
      <c r="BP200">
        <f>IF(OR($IW30=0,calcA!$A$6=0),0,IF(BO$117=1,BO30,0)+IF(BP$117=1,BQ30,0))</f>
        <v/>
      </c>
      <c r="BQ200">
        <f>IF(OR($IW30=0,calcA!$A$6=0),0,IF(BP$117=1,BP30,0)+IF(BQ$117=1,BR30,0))</f>
        <v/>
      </c>
      <c r="BR200">
        <f>IF(OR($IW30=0,calcA!$A$6=0),0,IF(BQ$117=1,BQ30,0)+IF(BR$117=1,BS30,0))</f>
        <v/>
      </c>
      <c r="BS200">
        <f>IF(OR($IW30=0,calcA!$A$6=0),0,IF(BR$117=1,BR30,0)+IF(BS$117=1,BT30,0))</f>
        <v/>
      </c>
      <c r="BT200">
        <f>IF(OR($IW30=0,calcA!$A$6=0),0,IF(BS$117=1,BS30,0)+IF(BT$117=1,BU30,0))</f>
        <v/>
      </c>
      <c r="BU200">
        <f>IF(OR($IW30=0,calcA!$A$6=0),0,IF(BT$117=1,BT30,0)+IF(BU$117=1,BV30,0))</f>
        <v/>
      </c>
      <c r="BV200">
        <f>IF(OR($IW30=0,calcA!$A$6=0),0,IF(BU$117=1,BU30,0)+IF(BV$117=1,BW30,0))</f>
        <v/>
      </c>
      <c r="BW200">
        <f>IF(OR($IW30=0,calcA!$A$6=0),0,IF(BV$117=1,BV30,0))</f>
        <v/>
      </c>
      <c r="BX200">
        <f>IF(OR($IW30=0,calcA!$A$6=0),0,IF(BX$117=1,BY30,0))</f>
        <v/>
      </c>
      <c r="BY200">
        <f>IF(OR($IW30=0,calcA!$A$6=0),0,IF(BX$117=1,BX30,0)+IF(BY$117=1,BZ30,0))</f>
        <v/>
      </c>
      <c r="BZ200">
        <f>IF(OR($IW30=0,calcA!$A$6=0),0,IF(BY$117=1,BY30,0)+IF(BZ$117=1,CA30,0))</f>
        <v/>
      </c>
      <c r="CA200">
        <f>IF(OR($IW30=0,calcA!$A$6=0),0,IF(BZ$117=1,BZ30,0)+IF(CA$117=1,CB30,0))</f>
        <v/>
      </c>
      <c r="CB200">
        <f>IF(OR($IW30=0,calcA!$A$6=0),0,IF(CA$117=1,CA30,0)+IF(CB$117=1,CC30,0))</f>
        <v/>
      </c>
      <c r="CC200">
        <f>IF(OR($IW30=0,calcA!$A$6=0),0,IF(CB$117=1,CB30,0)+IF(CC$117=1,CD30,0))</f>
        <v/>
      </c>
      <c r="CD200">
        <f>IF(OR($IW30=0,calcA!$A$6=0),0,IF(CC$117=1,CC30,0)+IF(CD$117=1,CE30,0))</f>
        <v/>
      </c>
      <c r="CE200">
        <f>IF(OR($IW30=0,calcA!$A$6=0),0,IF(CD$117=1,CD30,0)+IF(CE$117=1,CF30,0))</f>
        <v/>
      </c>
      <c r="CF200">
        <f>IF(OR($IW30=0,calcA!$A$6=0),0,IF(CE$117=1,CE30,0)+IF(CF$117=1,CG30,0))</f>
        <v/>
      </c>
      <c r="CG200">
        <f>IF(OR($IW30=0,calcA!$A$6=0),0,IF(CF$117=1,CF30,0)+IF(CG$117=1,CH30,0))</f>
        <v/>
      </c>
      <c r="CH200">
        <f>IF(OR($IW30=0,calcA!$A$6=0),0,IF(CG$117=1,CG30,0)+IF(CH$117=1,CI30,0))</f>
        <v/>
      </c>
      <c r="CI200">
        <f>IF(OR($IW30=0,calcA!$A$6=0),0,IF(CH$117=1,CH30,0)+IF(CI$117=1,CJ30,0))</f>
        <v/>
      </c>
      <c r="CJ200">
        <f>IF(OR($IW30=0,calcA!$A$6=0),0,IF(CI$117=1,CI30,0)+IF(CJ$117=1,CK30,0))</f>
        <v/>
      </c>
      <c r="CK200">
        <f>IF(OR($IW30=0,calcA!$A$6=0),0,IF(CJ$117=1,CJ30,0)+IF(CK$117=1,CL30,0))</f>
        <v/>
      </c>
      <c r="CL200">
        <f>IF(OR($IW30=0,calcA!$A$6=0),0,IF(CK$117=1,CK30,0)+IF(CL$117=1,CM30,0))</f>
        <v/>
      </c>
      <c r="CM200">
        <f>IF(OR($IW30=0,calcA!$A$6=0),0,IF(CL$117=1,CL30,0)+IF(CM$117=1,CN30,0))</f>
        <v/>
      </c>
      <c r="CN200">
        <f>IF(OR($IW30=0,calcA!$A$6=0),0,IF(CM$117=1,CM30,0)+IF(CN$117=1,CO30,0))</f>
        <v/>
      </c>
      <c r="CO200">
        <f>IF(OR($IW30=0,calcA!$A$6=0),0,IF(CN$117=1,CN30,0)+IF(CO$117=1,CP30,0))</f>
        <v/>
      </c>
      <c r="CP200">
        <f>IF(OR($IW30=0,calcA!$A$6=0),0,IF(CO$117=1,CO30,0)+IF(CP$117=1,CQ30,0))</f>
        <v/>
      </c>
      <c r="CQ200">
        <f>IF(OR($IW30=0,calcA!$A$6=0),0,IF(CP$117=1,CP30,0)+IF(CQ$117=1,CR30,0))</f>
        <v/>
      </c>
      <c r="CR200">
        <f>IF(OR($IW30=0,calcA!$A$6=0),0,IF(CQ$117=1,CQ30,0)+IF(CR$117=1,CS30,0))</f>
        <v/>
      </c>
      <c r="CS200">
        <f>IF(OR($IW30=0,calcA!$A$6=0),0,IF(CR$117=1,CR30,0)+IF(CS$117=1,CT30,0))</f>
        <v/>
      </c>
      <c r="CT200">
        <f>IF(OR($IW30=0,calcA!$A$6=0),0,IF(CS$117=1,CS30,0)+IF(CT$117=1,CU30,0))</f>
        <v/>
      </c>
      <c r="CU200">
        <f>IF(OR($IW30=0,calcA!$A$6=0),0,IF(CT$117=1,CT30,0))</f>
        <v/>
      </c>
      <c r="CV200">
        <f>IF(OR($IW30=0,calcA!$A$6=0),0,IF(CV$117=1,CW30,0))</f>
        <v/>
      </c>
      <c r="CW200">
        <f>IF(OR($IW30=0,calcA!$A$6=0),0,IF(CV$117=1,CV30,0)+IF(CW$117=1,CX30,0))</f>
        <v/>
      </c>
      <c r="CX200">
        <f>IF(OR($IW30=0,calcA!$A$6=0),0,IF(CW$117=1,CW30,0)+IF(CX$117=1,CY30,0))</f>
        <v/>
      </c>
      <c r="CY200">
        <f>IF(OR($IW30=0,calcA!$A$6=0),0,IF(CX$117=1,CX30,0)+IF(CY$117=1,CZ30,0))</f>
        <v/>
      </c>
      <c r="CZ200">
        <f>IF(OR($IW30=0,calcA!$A$6=0),0,IF(CY$117=1,CY30,0)+IF(CZ$117=1,DA30,0))</f>
        <v/>
      </c>
      <c r="DA200">
        <f>IF(OR($IW30=0,calcA!$A$6=0),0,IF(CZ$117=1,CZ30,0)+IF(DA$117=1,DB30,0))</f>
        <v/>
      </c>
      <c r="DB200">
        <f>IF(OR($IW30=0,calcA!$A$6=0),0,IF(DA$117=1,DA30,0)+IF(DB$117=1,DC30,0))</f>
        <v/>
      </c>
      <c r="DC200">
        <f>IF(OR($IW30=0,calcA!$A$6=0),0,IF(DB$117=1,DB30,0)+IF(DC$117=1,DD30,0))</f>
        <v/>
      </c>
      <c r="DD200">
        <f>IF(OR($IW30=0,calcA!$A$6=0),0,IF(DC$117=1,DC30,0)+IF(DD$117=1,DE30,0))</f>
        <v/>
      </c>
      <c r="DE200">
        <f>IF(OR($IW30=0,calcA!$A$6=0),0,IF(DD$117=1,DD30,0)+IF(DE$117=1,DF30,0))</f>
        <v/>
      </c>
      <c r="DF200">
        <f>IF(OR($IW30=0,calcA!$A$6=0),0,IF(DE$117=1,DE30,0)+IF(DF$117=1,DG30,0))</f>
        <v/>
      </c>
      <c r="DG200">
        <f>IF(OR($IW30=0,calcA!$A$6=0),0,IF(DF$117=1,DF30,0)+IF(DG$117=1,DH30,0))</f>
        <v/>
      </c>
      <c r="DH200">
        <f>IF(OR($IW30=0,calcA!$A$6=0),0,IF(DG$117=1,DG30,0)+IF(DH$117=1,DI30,0))</f>
        <v/>
      </c>
      <c r="DI200">
        <f>IF(OR($IW30=0,calcA!$A$6=0),0,IF(DH$117=1,DH30,0)+IF(DI$117=1,DJ30,0))</f>
        <v/>
      </c>
      <c r="DJ200">
        <f>IF(OR($IW30=0,calcA!$A$6=0),0,IF(DI$117=1,DI30,0)+IF(DJ$117=1,DK30,0))</f>
        <v/>
      </c>
      <c r="DK200">
        <f>IF(OR($IW30=0,calcA!$A$6=0),0,IF(DJ$117=1,DJ30,0)+IF(DK$117=1,DL30,0))</f>
        <v/>
      </c>
      <c r="DL200">
        <f>IF(OR($IW30=0,calcA!$A$6=0),0,IF(DK$117=1,DK30,0)+IF(DL$117=1,DM30,0))</f>
        <v/>
      </c>
      <c r="DM200">
        <f>IF(OR($IW30=0,calcA!$A$6=0),0,IF(DL$117=1,DL30,0)+IF(DM$117=1,DN30,0))</f>
        <v/>
      </c>
      <c r="DN200">
        <f>IF(OR($IW30=0,calcA!$A$6=0),0,IF(DM$117=1,DM30,0)+IF(DN$117=1,DO30,0))</f>
        <v/>
      </c>
      <c r="DO200">
        <f>IF(OR($IW30=0,calcA!$A$6=0),0,IF(DN$117=1,DN30,0)+IF(DO$117=1,DP30,0))</f>
        <v/>
      </c>
      <c r="DP200">
        <f>IF(OR($IW30=0,calcA!$A$6=0),0,IF(DO$117=1,DO30,0)+IF(DP$117=1,DQ30,0))</f>
        <v/>
      </c>
      <c r="DQ200">
        <f>IF(OR($IW30=0,calcA!$A$6=0),0,IF(DP$117=1,DP30,0)+IF(DQ$117=1,DR30,0))</f>
        <v/>
      </c>
      <c r="DR200">
        <f>IF(OR($IW30=0,calcA!$A$6=0),0,IF(DQ$117=1,DQ30,0)+IF(DR$117=1,DS30,0))</f>
        <v/>
      </c>
      <c r="DS200">
        <f>IF(OR($IW30=0,calcA!$A$6=0),0,IF(DR$117=1,DR30,0))</f>
        <v/>
      </c>
      <c r="DT200">
        <f>IF(OR($IW30=0,calcA!$A$6=0),0,IF(DT$117=1,DU30,0))</f>
        <v/>
      </c>
      <c r="DU200">
        <f>IF(OR($IW30=0,calcA!$A$6=0),0,IF(DT$117=1,DT30,0)+IF(DU$117=1,DV30,0))</f>
        <v/>
      </c>
      <c r="DV200">
        <f>IF(OR($IW30=0,calcA!$A$6=0),0,IF(DU$117=1,DU30,0)+IF(DV$117=1,DW30,0))</f>
        <v/>
      </c>
      <c r="DW200">
        <f>IF(OR($IW30=0,calcA!$A$6=0),0,IF(DV$117=1,DV30,0)+IF(DW$117=1,DX30,0))</f>
        <v/>
      </c>
      <c r="DX200">
        <f>IF(OR($IW30=0,calcA!$A$6=0),0,IF(DW$117=1,DW30,0)+IF(DX$117=1,DY30,0))</f>
        <v/>
      </c>
      <c r="DY200">
        <f>IF(OR($IW30=0,calcA!$A$6=0),0,IF(DX$117=1,DX30,0)+IF(DY$117=1,DZ30,0))</f>
        <v/>
      </c>
      <c r="DZ200">
        <f>IF(OR($IW30=0,calcA!$A$6=0),0,IF(DY$117=1,DY30,0)+IF(DZ$117=1,EA30,0))</f>
        <v/>
      </c>
      <c r="EA200">
        <f>IF(OR($IW30=0,calcA!$A$6=0),0,IF(DZ$117=1,DZ30,0)+IF(EA$117=1,EB30,0))</f>
        <v/>
      </c>
      <c r="EB200">
        <f>IF(OR($IW30=0,calcA!$A$6=0),0,IF(EA$117=1,EA30,0)+IF(EB$117=1,EC30,0))</f>
        <v/>
      </c>
      <c r="EC200">
        <f>IF(OR($IW30=0,calcA!$A$6=0),0,IF(EB$117=1,EB30,0)+IF(EC$117=1,ED30,0))</f>
        <v/>
      </c>
      <c r="ED200">
        <f>IF(OR($IW30=0,calcA!$A$6=0),0,IF(EC$117=1,EC30,0)+IF(ED$117=1,EE30,0))</f>
        <v/>
      </c>
      <c r="EE200">
        <f>IF(OR($IW30=0,calcA!$A$6=0),0,IF(ED$117=1,ED30,0)+IF(EE$117=1,EF30,0))</f>
        <v/>
      </c>
      <c r="EF200">
        <f>IF(OR($IW30=0,calcA!$A$6=0),0,IF(EE$117=1,EE30,0)+IF(EF$117=1,EG30,0))</f>
        <v/>
      </c>
      <c r="EG200">
        <f>IF(OR($IW30=0,calcA!$A$6=0),0,IF(EF$117=1,EF30,0)+IF(EG$117=1,EH30,0))</f>
        <v/>
      </c>
      <c r="EH200">
        <f>IF(OR($IW30=0,calcA!$A$6=0),0,IF(EG$117=1,EG30,0)+IF(EH$117=1,EI30,0))</f>
        <v/>
      </c>
      <c r="EI200">
        <f>IF(OR($IW30=0,calcA!$A$6=0),0,IF(EH$117=1,EH30,0)+IF(EI$117=1,EJ30,0))</f>
        <v/>
      </c>
      <c r="EJ200">
        <f>IF(OR($IW30=0,calcA!$A$6=0),0,IF(EI$117=1,EI30,0)+IF(EJ$117=1,EK30,0))</f>
        <v/>
      </c>
      <c r="EK200">
        <f>IF(OR($IW30=0,calcA!$A$6=0),0,IF(EJ$117=1,EJ30,0)+IF(EK$117=1,EL30,0))</f>
        <v/>
      </c>
      <c r="EL200">
        <f>IF(OR($IW30=0,calcA!$A$6=0),0,IF(EK$117=1,EK30,0)+IF(EL$117=1,EM30,0))</f>
        <v/>
      </c>
      <c r="EM200">
        <f>IF(OR($IW30=0,calcA!$A$6=0),0,IF(EL$117=1,EL30,0)+IF(EM$117=1,EN30,0))</f>
        <v/>
      </c>
      <c r="EN200">
        <f>IF(OR($IW30=0,calcA!$A$6=0),0,IF(EM$117=1,EM30,0)+IF(EN$117=1,EO30,0))</f>
        <v/>
      </c>
      <c r="EO200">
        <f>IF(OR($IW30=0,calcA!$A$6=0),0,IF(EN$117=1,EN30,0)+IF(EO$117=1,EP30,0))</f>
        <v/>
      </c>
      <c r="EP200">
        <f>IF(OR($IW30=0,calcA!$A$6=0),0,IF(EO$117=1,EO30,0)+IF(EP$117=1,EQ30,0))</f>
        <v/>
      </c>
      <c r="EQ200">
        <f>IF(OR($IW30=0,calcA!$A$6=0),0,IF(EP$117=1,EP30,0))</f>
        <v/>
      </c>
    </row>
    <row r="201">
      <c r="D201">
        <f>IF(OR($IW31=0,calcA!$A$6=0),0,IF(D$117=1,E31,0))</f>
        <v/>
      </c>
      <c r="E201">
        <f>IF(OR($IW31=0,calcA!$A$6=0),0,IF(D$117=1,D31,0)+IF(E$117=1,F31,0))</f>
        <v/>
      </c>
      <c r="F201">
        <f>IF(OR($IW31=0,calcA!$A$6=0),0,IF(E$117=1,E31,0)+IF(F$117=1,G31,0))</f>
        <v/>
      </c>
      <c r="G201">
        <f>IF(OR($IW31=0,calcA!$A$6=0),0,IF(F$117=1,F31,0)+IF(G$117=1,H31,0))</f>
        <v/>
      </c>
      <c r="H201">
        <f>IF(OR($IW31=0,calcA!$A$6=0),0,IF(G$117=1,G31,0)+IF(H$117=1,I31,0))</f>
        <v/>
      </c>
      <c r="I201">
        <f>IF(OR($IW31=0,calcA!$A$6=0),0,IF(H$117=1,H31,0)+IF(I$117=1,J31,0))</f>
        <v/>
      </c>
      <c r="J201">
        <f>IF(OR($IW31=0,calcA!$A$6=0),0,IF(I$117=1,I31,0)+IF(J$117=1,K31,0))</f>
        <v/>
      </c>
      <c r="K201">
        <f>IF(OR($IW31=0,calcA!$A$6=0),0,IF(J$117=1,J31,0)+IF(K$117=1,L31,0))</f>
        <v/>
      </c>
      <c r="L201">
        <f>IF(OR($IW31=0,calcA!$A$6=0),0,IF(K$117=1,K31,0)+IF(L$117=1,M31,0))</f>
        <v/>
      </c>
      <c r="M201">
        <f>IF(OR($IW31=0,calcA!$A$6=0),0,IF(L$117=1,L31,0)+IF(M$117=1,N31,0))</f>
        <v/>
      </c>
      <c r="N201">
        <f>IF(OR($IW31=0,calcA!$A$6=0),0,IF(M$117=1,M31,0)+IF(N$117=1,O31,0))</f>
        <v/>
      </c>
      <c r="O201">
        <f>IF(OR($IW31=0,calcA!$A$6=0),0,IF(N$117=1,N31,0)+IF(O$117=1,P31,0))</f>
        <v/>
      </c>
      <c r="P201">
        <f>IF(OR($IW31=0,calcA!$A$6=0),0,IF(O$117=1,O31,0)+IF(P$117=1,Q31,0))</f>
        <v/>
      </c>
      <c r="Q201">
        <f>IF(OR($IW31=0,calcA!$A$6=0),0,IF(P$117=1,P31,0)+IF(Q$117=1,R31,0))</f>
        <v/>
      </c>
      <c r="R201">
        <f>IF(OR($IW31=0,calcA!$A$6=0),0,IF(Q$117=1,Q31,0)+IF(R$117=1,S31,0))</f>
        <v/>
      </c>
      <c r="S201">
        <f>IF(OR($IW31=0,calcA!$A$6=0),0,IF(R$117=1,R31,0)+IF(S$117=1,T31,0))</f>
        <v/>
      </c>
      <c r="T201">
        <f>IF(OR($IW31=0,calcA!$A$6=0),0,IF(S$117=1,S31,0)+IF(T$117=1,U31,0))</f>
        <v/>
      </c>
      <c r="U201">
        <f>IF(OR($IW31=0,calcA!$A$6=0),0,IF(T$117=1,T31,0)+IF(U$117=1,V31,0))</f>
        <v/>
      </c>
      <c r="V201">
        <f>IF(OR($IW31=0,calcA!$A$6=0),0,IF(U$117=1,U31,0)+IF(V$117=1,W31,0))</f>
        <v/>
      </c>
      <c r="W201">
        <f>IF(OR($IW31=0,calcA!$A$6=0),0,IF(V$117=1,V31,0)+IF(W$117=1,X31,0))</f>
        <v/>
      </c>
      <c r="X201">
        <f>IF(OR($IW31=0,calcA!$A$6=0),0,IF(W$117=1,W31,0)+IF(X$117=1,Y31,0))</f>
        <v/>
      </c>
      <c r="Y201">
        <f>IF(OR($IW31=0,calcA!$A$6=0),0,IF(X$117=1,X31,0)+IF(Y$117=1,Z31,0))</f>
        <v/>
      </c>
      <c r="Z201">
        <f>IF(OR($IW31=0,calcA!$A$6=0),0,IF(Y$117=1,Y31,0)+IF(Z$117=1,AA31,0))</f>
        <v/>
      </c>
      <c r="AA201">
        <f>IF(OR($IW31=0,calcA!$A$6=0),0,IF(Z$117=1,Z31,0))</f>
        <v/>
      </c>
      <c r="AB201">
        <f>IF(OR($IW31=0,calcA!$A$6=0),0,IF(AB$117=1,AC31,0))</f>
        <v/>
      </c>
      <c r="AC201">
        <f>IF(OR($IW31=0,calcA!$A$6=0),0,IF(AB$117=1,AB31,0)+IF(AC$117=1,AD31,0))</f>
        <v/>
      </c>
      <c r="AD201">
        <f>IF(OR($IW31=0,calcA!$A$6=0),0,IF(AC$117=1,AC31,0)+IF(AD$117=1,AE31,0))</f>
        <v/>
      </c>
      <c r="AE201">
        <f>IF(OR($IW31=0,calcA!$A$6=0),0,IF(AD$117=1,AD31,0)+IF(AE$117=1,AF31,0))</f>
        <v/>
      </c>
      <c r="AF201">
        <f>IF(OR($IW31=0,calcA!$A$6=0),0,IF(AE$117=1,AE31,0)+IF(AF$117=1,AG31,0))</f>
        <v/>
      </c>
      <c r="AG201">
        <f>IF(OR($IW31=0,calcA!$A$6=0),0,IF(AF$117=1,AF31,0)+IF(AG$117=1,AH31,0))</f>
        <v/>
      </c>
      <c r="AH201">
        <f>IF(OR($IW31=0,calcA!$A$6=0),0,IF(AG$117=1,AG31,0)+IF(AH$117=1,AI31,0))</f>
        <v/>
      </c>
      <c r="AI201">
        <f>IF(OR($IW31=0,calcA!$A$6=0),0,IF(AH$117=1,AH31,0)+IF(AI$117=1,AJ31,0))</f>
        <v/>
      </c>
      <c r="AJ201">
        <f>IF(OR($IW31=0,calcA!$A$6=0),0,IF(AI$117=1,AI31,0)+IF(AJ$117=1,AK31,0))</f>
        <v/>
      </c>
      <c r="AK201">
        <f>IF(OR($IW31=0,calcA!$A$6=0),0,IF(AJ$117=1,AJ31,0)+IF(AK$117=1,AL31,0))</f>
        <v/>
      </c>
      <c r="AL201">
        <f>IF(OR($IW31=0,calcA!$A$6=0),0,IF(AK$117=1,AK31,0)+IF(AL$117=1,AM31,0))</f>
        <v/>
      </c>
      <c r="AM201">
        <f>IF(OR($IW31=0,calcA!$A$6=0),0,IF(AL$117=1,AL31,0)+IF(AM$117=1,AN31,0))</f>
        <v/>
      </c>
      <c r="AN201">
        <f>IF(OR($IW31=0,calcA!$A$6=0),0,IF(AM$117=1,AM31,0)+IF(AN$117=1,AO31,0))</f>
        <v/>
      </c>
      <c r="AO201">
        <f>IF(OR($IW31=0,calcA!$A$6=0),0,IF(AN$117=1,AN31,0)+IF(AO$117=1,AP31,0))</f>
        <v/>
      </c>
      <c r="AP201">
        <f>IF(OR($IW31=0,calcA!$A$6=0),0,IF(AO$117=1,AO31,0)+IF(AP$117=1,AQ31,0))</f>
        <v/>
      </c>
      <c r="AQ201">
        <f>IF(OR($IW31=0,calcA!$A$6=0),0,IF(AP$117=1,AP31,0)+IF(AQ$117=1,AR31,0))</f>
        <v/>
      </c>
      <c r="AR201">
        <f>IF(OR($IW31=0,calcA!$A$6=0),0,IF(AQ$117=1,AQ31,0)+IF(AR$117=1,AS31,0))</f>
        <v/>
      </c>
      <c r="AS201">
        <f>IF(OR($IW31=0,calcA!$A$6=0),0,IF(AR$117=1,AR31,0)+IF(AS$117=1,AT31,0))</f>
        <v/>
      </c>
      <c r="AT201">
        <f>IF(OR($IW31=0,calcA!$A$6=0),0,IF(AS$117=1,AS31,0)+IF(AT$117=1,AU31,0))</f>
        <v/>
      </c>
      <c r="AU201">
        <f>IF(OR($IW31=0,calcA!$A$6=0),0,IF(AT$117=1,AT31,0)+IF(AU$117=1,AV31,0))</f>
        <v/>
      </c>
      <c r="AV201">
        <f>IF(OR($IW31=0,calcA!$A$6=0),0,IF(AU$117=1,AU31,0)+IF(AV$117=1,AW31,0))</f>
        <v/>
      </c>
      <c r="AW201">
        <f>IF(OR($IW31=0,calcA!$A$6=0),0,IF(AV$117=1,AV31,0)+IF(AW$117=1,AX31,0))</f>
        <v/>
      </c>
      <c r="AX201">
        <f>IF(OR($IW31=0,calcA!$A$6=0),0,IF(AW$117=1,AW31,0)+IF(AX$117=1,AY31,0))</f>
        <v/>
      </c>
      <c r="AY201">
        <f>IF(OR($IW31=0,calcA!$A$6=0),0,IF(AX$117=1,AX31,0))</f>
        <v/>
      </c>
      <c r="AZ201">
        <f>IF(OR($IW31=0,calcA!$A$6=0),0,IF(AZ$117=1,BA31,0))</f>
        <v/>
      </c>
      <c r="BA201">
        <f>IF(OR($IW31=0,calcA!$A$6=0),0,IF(AZ$117=1,AZ31,0)+IF(BA$117=1,BB31,0))</f>
        <v/>
      </c>
      <c r="BB201">
        <f>IF(OR($IW31=0,calcA!$A$6=0),0,IF(BA$117=1,BA31,0)+IF(BB$117=1,BC31,0))</f>
        <v/>
      </c>
      <c r="BC201">
        <f>IF(OR($IW31=0,calcA!$A$6=0),0,IF(BB$117=1,BB31,0)+IF(BC$117=1,BD31,0))</f>
        <v/>
      </c>
      <c r="BD201">
        <f>IF(OR($IW31=0,calcA!$A$6=0),0,IF(BC$117=1,BC31,0)+IF(BD$117=1,BE31,0))</f>
        <v/>
      </c>
      <c r="BE201">
        <f>IF(OR($IW31=0,calcA!$A$6=0),0,IF(BD$117=1,BD31,0)+IF(BE$117=1,BF31,0))</f>
        <v/>
      </c>
      <c r="BF201">
        <f>IF(OR($IW31=0,calcA!$A$6=0),0,IF(BE$117=1,BE31,0)+IF(BF$117=1,BG31,0))</f>
        <v/>
      </c>
      <c r="BG201">
        <f>IF(OR($IW31=0,calcA!$A$6=0),0,IF(BF$117=1,BF31,0)+IF(BG$117=1,BH31,0))</f>
        <v/>
      </c>
      <c r="BH201">
        <f>IF(OR($IW31=0,calcA!$A$6=0),0,IF(BG$117=1,BG31,0)+IF(BH$117=1,BI31,0))</f>
        <v/>
      </c>
      <c r="BI201">
        <f>IF(OR($IW31=0,calcA!$A$6=0),0,IF(BH$117=1,BH31,0)+IF(BI$117=1,BJ31,0))</f>
        <v/>
      </c>
      <c r="BJ201">
        <f>IF(OR($IW31=0,calcA!$A$6=0),0,IF(BI$117=1,BI31,0)+IF(BJ$117=1,BK31,0))</f>
        <v/>
      </c>
      <c r="BK201">
        <f>IF(OR($IW31=0,calcA!$A$6=0),0,IF(BJ$117=1,BJ31,0)+IF(BK$117=1,BL31,0))</f>
        <v/>
      </c>
      <c r="BL201">
        <f>IF(OR($IW31=0,calcA!$A$6=0),0,IF(BK$117=1,BK31,0)+IF(BL$117=1,BM31,0))</f>
        <v/>
      </c>
      <c r="BM201">
        <f>IF(OR($IW31=0,calcA!$A$6=0),0,IF(BL$117=1,BL31,0)+IF(BM$117=1,BN31,0))</f>
        <v/>
      </c>
      <c r="BN201">
        <f>IF(OR($IW31=0,calcA!$A$6=0),0,IF(BM$117=1,BM31,0)+IF(BN$117=1,BO31,0))</f>
        <v/>
      </c>
      <c r="BO201">
        <f>IF(OR($IW31=0,calcA!$A$6=0),0,IF(BN$117=1,BN31,0)+IF(BO$117=1,BP31,0))</f>
        <v/>
      </c>
      <c r="BP201">
        <f>IF(OR($IW31=0,calcA!$A$6=0),0,IF(BO$117=1,BO31,0)+IF(BP$117=1,BQ31,0))</f>
        <v/>
      </c>
      <c r="BQ201">
        <f>IF(OR($IW31=0,calcA!$A$6=0),0,IF(BP$117=1,BP31,0)+IF(BQ$117=1,BR31,0))</f>
        <v/>
      </c>
      <c r="BR201">
        <f>IF(OR($IW31=0,calcA!$A$6=0),0,IF(BQ$117=1,BQ31,0)+IF(BR$117=1,BS31,0))</f>
        <v/>
      </c>
      <c r="BS201">
        <f>IF(OR($IW31=0,calcA!$A$6=0),0,IF(BR$117=1,BR31,0)+IF(BS$117=1,BT31,0))</f>
        <v/>
      </c>
      <c r="BT201">
        <f>IF(OR($IW31=0,calcA!$A$6=0),0,IF(BS$117=1,BS31,0)+IF(BT$117=1,BU31,0))</f>
        <v/>
      </c>
      <c r="BU201">
        <f>IF(OR($IW31=0,calcA!$A$6=0),0,IF(BT$117=1,BT31,0)+IF(BU$117=1,BV31,0))</f>
        <v/>
      </c>
      <c r="BV201">
        <f>IF(OR($IW31=0,calcA!$A$6=0),0,IF(BU$117=1,BU31,0)+IF(BV$117=1,BW31,0))</f>
        <v/>
      </c>
      <c r="BW201">
        <f>IF(OR($IW31=0,calcA!$A$6=0),0,IF(BV$117=1,BV31,0))</f>
        <v/>
      </c>
      <c r="BX201">
        <f>IF(OR($IW31=0,calcA!$A$6=0),0,IF(BX$117=1,BY31,0))</f>
        <v/>
      </c>
      <c r="BY201">
        <f>IF(OR($IW31=0,calcA!$A$6=0),0,IF(BX$117=1,BX31,0)+IF(BY$117=1,BZ31,0))</f>
        <v/>
      </c>
      <c r="BZ201">
        <f>IF(OR($IW31=0,calcA!$A$6=0),0,IF(BY$117=1,BY31,0)+IF(BZ$117=1,CA31,0))</f>
        <v/>
      </c>
      <c r="CA201">
        <f>IF(OR($IW31=0,calcA!$A$6=0),0,IF(BZ$117=1,BZ31,0)+IF(CA$117=1,CB31,0))</f>
        <v/>
      </c>
      <c r="CB201">
        <f>IF(OR($IW31=0,calcA!$A$6=0),0,IF(CA$117=1,CA31,0)+IF(CB$117=1,CC31,0))</f>
        <v/>
      </c>
      <c r="CC201">
        <f>IF(OR($IW31=0,calcA!$A$6=0),0,IF(CB$117=1,CB31,0)+IF(CC$117=1,CD31,0))</f>
        <v/>
      </c>
      <c r="CD201">
        <f>IF(OR($IW31=0,calcA!$A$6=0),0,IF(CC$117=1,CC31,0)+IF(CD$117=1,CE31,0))</f>
        <v/>
      </c>
      <c r="CE201">
        <f>IF(OR($IW31=0,calcA!$A$6=0),0,IF(CD$117=1,CD31,0)+IF(CE$117=1,CF31,0))</f>
        <v/>
      </c>
      <c r="CF201">
        <f>IF(OR($IW31=0,calcA!$A$6=0),0,IF(CE$117=1,CE31,0)+IF(CF$117=1,CG31,0))</f>
        <v/>
      </c>
      <c r="CG201">
        <f>IF(OR($IW31=0,calcA!$A$6=0),0,IF(CF$117=1,CF31,0)+IF(CG$117=1,CH31,0))</f>
        <v/>
      </c>
      <c r="CH201">
        <f>IF(OR($IW31=0,calcA!$A$6=0),0,IF(CG$117=1,CG31,0)+IF(CH$117=1,CI31,0))</f>
        <v/>
      </c>
      <c r="CI201">
        <f>IF(OR($IW31=0,calcA!$A$6=0),0,IF(CH$117=1,CH31,0)+IF(CI$117=1,CJ31,0))</f>
        <v/>
      </c>
      <c r="CJ201">
        <f>IF(OR($IW31=0,calcA!$A$6=0),0,IF(CI$117=1,CI31,0)+IF(CJ$117=1,CK31,0))</f>
        <v/>
      </c>
      <c r="CK201">
        <f>IF(OR($IW31=0,calcA!$A$6=0),0,IF(CJ$117=1,CJ31,0)+IF(CK$117=1,CL31,0))</f>
        <v/>
      </c>
      <c r="CL201">
        <f>IF(OR($IW31=0,calcA!$A$6=0),0,IF(CK$117=1,CK31,0)+IF(CL$117=1,CM31,0))</f>
        <v/>
      </c>
      <c r="CM201">
        <f>IF(OR($IW31=0,calcA!$A$6=0),0,IF(CL$117=1,CL31,0)+IF(CM$117=1,CN31,0))</f>
        <v/>
      </c>
      <c r="CN201">
        <f>IF(OR($IW31=0,calcA!$A$6=0),0,IF(CM$117=1,CM31,0)+IF(CN$117=1,CO31,0))</f>
        <v/>
      </c>
      <c r="CO201">
        <f>IF(OR($IW31=0,calcA!$A$6=0),0,IF(CN$117=1,CN31,0)+IF(CO$117=1,CP31,0))</f>
        <v/>
      </c>
      <c r="CP201">
        <f>IF(OR($IW31=0,calcA!$A$6=0),0,IF(CO$117=1,CO31,0)+IF(CP$117=1,CQ31,0))</f>
        <v/>
      </c>
      <c r="CQ201">
        <f>IF(OR($IW31=0,calcA!$A$6=0),0,IF(CP$117=1,CP31,0)+IF(CQ$117=1,CR31,0))</f>
        <v/>
      </c>
      <c r="CR201">
        <f>IF(OR($IW31=0,calcA!$A$6=0),0,IF(CQ$117=1,CQ31,0)+IF(CR$117=1,CS31,0))</f>
        <v/>
      </c>
      <c r="CS201">
        <f>IF(OR($IW31=0,calcA!$A$6=0),0,IF(CR$117=1,CR31,0)+IF(CS$117=1,CT31,0))</f>
        <v/>
      </c>
      <c r="CT201">
        <f>IF(OR($IW31=0,calcA!$A$6=0),0,IF(CS$117=1,CS31,0)+IF(CT$117=1,CU31,0))</f>
        <v/>
      </c>
      <c r="CU201">
        <f>IF(OR($IW31=0,calcA!$A$6=0),0,IF(CT$117=1,CT31,0))</f>
        <v/>
      </c>
      <c r="CV201">
        <f>IF(OR($IW31=0,calcA!$A$6=0),0,IF(CV$117=1,CW31,0))</f>
        <v/>
      </c>
      <c r="CW201">
        <f>IF(OR($IW31=0,calcA!$A$6=0),0,IF(CV$117=1,CV31,0)+IF(CW$117=1,CX31,0))</f>
        <v/>
      </c>
      <c r="CX201">
        <f>IF(OR($IW31=0,calcA!$A$6=0),0,IF(CW$117=1,CW31,0)+IF(CX$117=1,CY31,0))</f>
        <v/>
      </c>
      <c r="CY201">
        <f>IF(OR($IW31=0,calcA!$A$6=0),0,IF(CX$117=1,CX31,0)+IF(CY$117=1,CZ31,0))</f>
        <v/>
      </c>
      <c r="CZ201">
        <f>IF(OR($IW31=0,calcA!$A$6=0),0,IF(CY$117=1,CY31,0)+IF(CZ$117=1,DA31,0))</f>
        <v/>
      </c>
      <c r="DA201">
        <f>IF(OR($IW31=0,calcA!$A$6=0),0,IF(CZ$117=1,CZ31,0)+IF(DA$117=1,DB31,0))</f>
        <v/>
      </c>
      <c r="DB201">
        <f>IF(OR($IW31=0,calcA!$A$6=0),0,IF(DA$117=1,DA31,0)+IF(DB$117=1,DC31,0))</f>
        <v/>
      </c>
      <c r="DC201">
        <f>IF(OR($IW31=0,calcA!$A$6=0),0,IF(DB$117=1,DB31,0)+IF(DC$117=1,DD31,0))</f>
        <v/>
      </c>
      <c r="DD201">
        <f>IF(OR($IW31=0,calcA!$A$6=0),0,IF(DC$117=1,DC31,0)+IF(DD$117=1,DE31,0))</f>
        <v/>
      </c>
      <c r="DE201">
        <f>IF(OR($IW31=0,calcA!$A$6=0),0,IF(DD$117=1,DD31,0)+IF(DE$117=1,DF31,0))</f>
        <v/>
      </c>
      <c r="DF201">
        <f>IF(OR($IW31=0,calcA!$A$6=0),0,IF(DE$117=1,DE31,0)+IF(DF$117=1,DG31,0))</f>
        <v/>
      </c>
      <c r="DG201">
        <f>IF(OR($IW31=0,calcA!$A$6=0),0,IF(DF$117=1,DF31,0)+IF(DG$117=1,DH31,0))</f>
        <v/>
      </c>
      <c r="DH201">
        <f>IF(OR($IW31=0,calcA!$A$6=0),0,IF(DG$117=1,DG31,0)+IF(DH$117=1,DI31,0))</f>
        <v/>
      </c>
      <c r="DI201">
        <f>IF(OR($IW31=0,calcA!$A$6=0),0,IF(DH$117=1,DH31,0)+IF(DI$117=1,DJ31,0))</f>
        <v/>
      </c>
      <c r="DJ201">
        <f>IF(OR($IW31=0,calcA!$A$6=0),0,IF(DI$117=1,DI31,0)+IF(DJ$117=1,DK31,0))</f>
        <v/>
      </c>
      <c r="DK201">
        <f>IF(OR($IW31=0,calcA!$A$6=0),0,IF(DJ$117=1,DJ31,0)+IF(DK$117=1,DL31,0))</f>
        <v/>
      </c>
      <c r="DL201">
        <f>IF(OR($IW31=0,calcA!$A$6=0),0,IF(DK$117=1,DK31,0)+IF(DL$117=1,DM31,0))</f>
        <v/>
      </c>
      <c r="DM201">
        <f>IF(OR($IW31=0,calcA!$A$6=0),0,IF(DL$117=1,DL31,0)+IF(DM$117=1,DN31,0))</f>
        <v/>
      </c>
      <c r="DN201">
        <f>IF(OR($IW31=0,calcA!$A$6=0),0,IF(DM$117=1,DM31,0)+IF(DN$117=1,DO31,0))</f>
        <v/>
      </c>
      <c r="DO201">
        <f>IF(OR($IW31=0,calcA!$A$6=0),0,IF(DN$117=1,DN31,0)+IF(DO$117=1,DP31,0))</f>
        <v/>
      </c>
      <c r="DP201">
        <f>IF(OR($IW31=0,calcA!$A$6=0),0,IF(DO$117=1,DO31,0)+IF(DP$117=1,DQ31,0))</f>
        <v/>
      </c>
      <c r="DQ201">
        <f>IF(OR($IW31=0,calcA!$A$6=0),0,IF(DP$117=1,DP31,0)+IF(DQ$117=1,DR31,0))</f>
        <v/>
      </c>
      <c r="DR201">
        <f>IF(OR($IW31=0,calcA!$A$6=0),0,IF(DQ$117=1,DQ31,0)+IF(DR$117=1,DS31,0))</f>
        <v/>
      </c>
      <c r="DS201">
        <f>IF(OR($IW31=0,calcA!$A$6=0),0,IF(DR$117=1,DR31,0))</f>
        <v/>
      </c>
      <c r="DT201">
        <f>IF(OR($IW31=0,calcA!$A$6=0),0,IF(DT$117=1,DU31,0))</f>
        <v/>
      </c>
      <c r="DU201">
        <f>IF(OR($IW31=0,calcA!$A$6=0),0,IF(DT$117=1,DT31,0)+IF(DU$117=1,DV31,0))</f>
        <v/>
      </c>
      <c r="DV201">
        <f>IF(OR($IW31=0,calcA!$A$6=0),0,IF(DU$117=1,DU31,0)+IF(DV$117=1,DW31,0))</f>
        <v/>
      </c>
      <c r="DW201">
        <f>IF(OR($IW31=0,calcA!$A$6=0),0,IF(DV$117=1,DV31,0)+IF(DW$117=1,DX31,0))</f>
        <v/>
      </c>
      <c r="DX201">
        <f>IF(OR($IW31=0,calcA!$A$6=0),0,IF(DW$117=1,DW31,0)+IF(DX$117=1,DY31,0))</f>
        <v/>
      </c>
      <c r="DY201">
        <f>IF(OR($IW31=0,calcA!$A$6=0),0,IF(DX$117=1,DX31,0)+IF(DY$117=1,DZ31,0))</f>
        <v/>
      </c>
      <c r="DZ201">
        <f>IF(OR($IW31=0,calcA!$A$6=0),0,IF(DY$117=1,DY31,0)+IF(DZ$117=1,EA31,0))</f>
        <v/>
      </c>
      <c r="EA201">
        <f>IF(OR($IW31=0,calcA!$A$6=0),0,IF(DZ$117=1,DZ31,0)+IF(EA$117=1,EB31,0))</f>
        <v/>
      </c>
      <c r="EB201">
        <f>IF(OR($IW31=0,calcA!$A$6=0),0,IF(EA$117=1,EA31,0)+IF(EB$117=1,EC31,0))</f>
        <v/>
      </c>
      <c r="EC201">
        <f>IF(OR($IW31=0,calcA!$A$6=0),0,IF(EB$117=1,EB31,0)+IF(EC$117=1,ED31,0))</f>
        <v/>
      </c>
      <c r="ED201">
        <f>IF(OR($IW31=0,calcA!$A$6=0),0,IF(EC$117=1,EC31,0)+IF(ED$117=1,EE31,0))</f>
        <v/>
      </c>
      <c r="EE201">
        <f>IF(OR($IW31=0,calcA!$A$6=0),0,IF(ED$117=1,ED31,0)+IF(EE$117=1,EF31,0))</f>
        <v/>
      </c>
      <c r="EF201">
        <f>IF(OR($IW31=0,calcA!$A$6=0),0,IF(EE$117=1,EE31,0)+IF(EF$117=1,EG31,0))</f>
        <v/>
      </c>
      <c r="EG201">
        <f>IF(OR($IW31=0,calcA!$A$6=0),0,IF(EF$117=1,EF31,0)+IF(EG$117=1,EH31,0))</f>
        <v/>
      </c>
      <c r="EH201">
        <f>IF(OR($IW31=0,calcA!$A$6=0),0,IF(EG$117=1,EG31,0)+IF(EH$117=1,EI31,0))</f>
        <v/>
      </c>
      <c r="EI201">
        <f>IF(OR($IW31=0,calcA!$A$6=0),0,IF(EH$117=1,EH31,0)+IF(EI$117=1,EJ31,0))</f>
        <v/>
      </c>
      <c r="EJ201">
        <f>IF(OR($IW31=0,calcA!$A$6=0),0,IF(EI$117=1,EI31,0)+IF(EJ$117=1,EK31,0))</f>
        <v/>
      </c>
      <c r="EK201">
        <f>IF(OR($IW31=0,calcA!$A$6=0),0,IF(EJ$117=1,EJ31,0)+IF(EK$117=1,EL31,0))</f>
        <v/>
      </c>
      <c r="EL201">
        <f>IF(OR($IW31=0,calcA!$A$6=0),0,IF(EK$117=1,EK31,0)+IF(EL$117=1,EM31,0))</f>
        <v/>
      </c>
      <c r="EM201">
        <f>IF(OR($IW31=0,calcA!$A$6=0),0,IF(EL$117=1,EL31,0)+IF(EM$117=1,EN31,0))</f>
        <v/>
      </c>
      <c r="EN201">
        <f>IF(OR($IW31=0,calcA!$A$6=0),0,IF(EM$117=1,EM31,0)+IF(EN$117=1,EO31,0))</f>
        <v/>
      </c>
      <c r="EO201">
        <f>IF(OR($IW31=0,calcA!$A$6=0),0,IF(EN$117=1,EN31,0)+IF(EO$117=1,EP31,0))</f>
        <v/>
      </c>
      <c r="EP201">
        <f>IF(OR($IW31=0,calcA!$A$6=0),0,IF(EO$117=1,EO31,0)+IF(EP$117=1,EQ31,0))</f>
        <v/>
      </c>
      <c r="EQ201">
        <f>IF(OR($IW31=0,calcA!$A$6=0),0,IF(EP$117=1,EP31,0))</f>
        <v/>
      </c>
    </row>
    <row r="202">
      <c r="D202">
        <f>IF(OR($IW32=0,calcA!$A$6=0),0,IF(D$117=1,E32,0))</f>
        <v/>
      </c>
      <c r="E202">
        <f>IF(OR($IW32=0,calcA!$A$6=0),0,IF(D$117=1,D32,0)+IF(E$117=1,F32,0))</f>
        <v/>
      </c>
      <c r="F202">
        <f>IF(OR($IW32=0,calcA!$A$6=0),0,IF(E$117=1,E32,0)+IF(F$117=1,G32,0))</f>
        <v/>
      </c>
      <c r="G202">
        <f>IF(OR($IW32=0,calcA!$A$6=0),0,IF(F$117=1,F32,0)+IF(G$117=1,H32,0))</f>
        <v/>
      </c>
      <c r="H202">
        <f>IF(OR($IW32=0,calcA!$A$6=0),0,IF(G$117=1,G32,0)+IF(H$117=1,I32,0))</f>
        <v/>
      </c>
      <c r="I202">
        <f>IF(OR($IW32=0,calcA!$A$6=0),0,IF(H$117=1,H32,0)+IF(I$117=1,J32,0))</f>
        <v/>
      </c>
      <c r="J202">
        <f>IF(OR($IW32=0,calcA!$A$6=0),0,IF(I$117=1,I32,0)+IF(J$117=1,K32,0))</f>
        <v/>
      </c>
      <c r="K202">
        <f>IF(OR($IW32=0,calcA!$A$6=0),0,IF(J$117=1,J32,0)+IF(K$117=1,L32,0))</f>
        <v/>
      </c>
      <c r="L202">
        <f>IF(OR($IW32=0,calcA!$A$6=0),0,IF(K$117=1,K32,0)+IF(L$117=1,M32,0))</f>
        <v/>
      </c>
      <c r="M202">
        <f>IF(OR($IW32=0,calcA!$A$6=0),0,IF(L$117=1,L32,0)+IF(M$117=1,N32,0))</f>
        <v/>
      </c>
      <c r="N202">
        <f>IF(OR($IW32=0,calcA!$A$6=0),0,IF(M$117=1,M32,0)+IF(N$117=1,O32,0))</f>
        <v/>
      </c>
      <c r="O202">
        <f>IF(OR($IW32=0,calcA!$A$6=0),0,IF(N$117=1,N32,0)+IF(O$117=1,P32,0))</f>
        <v/>
      </c>
      <c r="P202">
        <f>IF(OR($IW32=0,calcA!$A$6=0),0,IF(O$117=1,O32,0)+IF(P$117=1,Q32,0))</f>
        <v/>
      </c>
      <c r="Q202">
        <f>IF(OR($IW32=0,calcA!$A$6=0),0,IF(P$117=1,P32,0)+IF(Q$117=1,R32,0))</f>
        <v/>
      </c>
      <c r="R202">
        <f>IF(OR($IW32=0,calcA!$A$6=0),0,IF(Q$117=1,Q32,0)+IF(R$117=1,S32,0))</f>
        <v/>
      </c>
      <c r="S202">
        <f>IF(OR($IW32=0,calcA!$A$6=0),0,IF(R$117=1,R32,0)+IF(S$117=1,T32,0))</f>
        <v/>
      </c>
      <c r="T202">
        <f>IF(OR($IW32=0,calcA!$A$6=0),0,IF(S$117=1,S32,0)+IF(T$117=1,U32,0))</f>
        <v/>
      </c>
      <c r="U202">
        <f>IF(OR($IW32=0,calcA!$A$6=0),0,IF(T$117=1,T32,0)+IF(U$117=1,V32,0))</f>
        <v/>
      </c>
      <c r="V202">
        <f>IF(OR($IW32=0,calcA!$A$6=0),0,IF(U$117=1,U32,0)+IF(V$117=1,W32,0))</f>
        <v/>
      </c>
      <c r="W202">
        <f>IF(OR($IW32=0,calcA!$A$6=0),0,IF(V$117=1,V32,0)+IF(W$117=1,X32,0))</f>
        <v/>
      </c>
      <c r="X202">
        <f>IF(OR($IW32=0,calcA!$A$6=0),0,IF(W$117=1,W32,0)+IF(X$117=1,Y32,0))</f>
        <v/>
      </c>
      <c r="Y202">
        <f>IF(OR($IW32=0,calcA!$A$6=0),0,IF(X$117=1,X32,0)+IF(Y$117=1,Z32,0))</f>
        <v/>
      </c>
      <c r="Z202">
        <f>IF(OR($IW32=0,calcA!$A$6=0),0,IF(Y$117=1,Y32,0)+IF(Z$117=1,AA32,0))</f>
        <v/>
      </c>
      <c r="AA202">
        <f>IF(OR($IW32=0,calcA!$A$6=0),0,IF(Z$117=1,Z32,0))</f>
        <v/>
      </c>
      <c r="AB202">
        <f>IF(OR($IW32=0,calcA!$A$6=0),0,IF(AB$117=1,AC32,0))</f>
        <v/>
      </c>
      <c r="AC202">
        <f>IF(OR($IW32=0,calcA!$A$6=0),0,IF(AB$117=1,AB32,0)+IF(AC$117=1,AD32,0))</f>
        <v/>
      </c>
      <c r="AD202">
        <f>IF(OR($IW32=0,calcA!$A$6=0),0,IF(AC$117=1,AC32,0)+IF(AD$117=1,AE32,0))</f>
        <v/>
      </c>
      <c r="AE202">
        <f>IF(OR($IW32=0,calcA!$A$6=0),0,IF(AD$117=1,AD32,0)+IF(AE$117=1,AF32,0))</f>
        <v/>
      </c>
      <c r="AF202">
        <f>IF(OR($IW32=0,calcA!$A$6=0),0,IF(AE$117=1,AE32,0)+IF(AF$117=1,AG32,0))</f>
        <v/>
      </c>
      <c r="AG202">
        <f>IF(OR($IW32=0,calcA!$A$6=0),0,IF(AF$117=1,AF32,0)+IF(AG$117=1,AH32,0))</f>
        <v/>
      </c>
      <c r="AH202">
        <f>IF(OR($IW32=0,calcA!$A$6=0),0,IF(AG$117=1,AG32,0)+IF(AH$117=1,AI32,0))</f>
        <v/>
      </c>
      <c r="AI202">
        <f>IF(OR($IW32=0,calcA!$A$6=0),0,IF(AH$117=1,AH32,0)+IF(AI$117=1,AJ32,0))</f>
        <v/>
      </c>
      <c r="AJ202">
        <f>IF(OR($IW32=0,calcA!$A$6=0),0,IF(AI$117=1,AI32,0)+IF(AJ$117=1,AK32,0))</f>
        <v/>
      </c>
      <c r="AK202">
        <f>IF(OR($IW32=0,calcA!$A$6=0),0,IF(AJ$117=1,AJ32,0)+IF(AK$117=1,AL32,0))</f>
        <v/>
      </c>
      <c r="AL202">
        <f>IF(OR($IW32=0,calcA!$A$6=0),0,IF(AK$117=1,AK32,0)+IF(AL$117=1,AM32,0))</f>
        <v/>
      </c>
      <c r="AM202">
        <f>IF(OR($IW32=0,calcA!$A$6=0),0,IF(AL$117=1,AL32,0)+IF(AM$117=1,AN32,0))</f>
        <v/>
      </c>
      <c r="AN202">
        <f>IF(OR($IW32=0,calcA!$A$6=0),0,IF(AM$117=1,AM32,0)+IF(AN$117=1,AO32,0))</f>
        <v/>
      </c>
      <c r="AO202">
        <f>IF(OR($IW32=0,calcA!$A$6=0),0,IF(AN$117=1,AN32,0)+IF(AO$117=1,AP32,0))</f>
        <v/>
      </c>
      <c r="AP202">
        <f>IF(OR($IW32=0,calcA!$A$6=0),0,IF(AO$117=1,AO32,0)+IF(AP$117=1,AQ32,0))</f>
        <v/>
      </c>
      <c r="AQ202">
        <f>IF(OR($IW32=0,calcA!$A$6=0),0,IF(AP$117=1,AP32,0)+IF(AQ$117=1,AR32,0))</f>
        <v/>
      </c>
      <c r="AR202">
        <f>IF(OR($IW32=0,calcA!$A$6=0),0,IF(AQ$117=1,AQ32,0)+IF(AR$117=1,AS32,0))</f>
        <v/>
      </c>
      <c r="AS202">
        <f>IF(OR($IW32=0,calcA!$A$6=0),0,IF(AR$117=1,AR32,0)+IF(AS$117=1,AT32,0))</f>
        <v/>
      </c>
      <c r="AT202">
        <f>IF(OR($IW32=0,calcA!$A$6=0),0,IF(AS$117=1,AS32,0)+IF(AT$117=1,AU32,0))</f>
        <v/>
      </c>
      <c r="AU202">
        <f>IF(OR($IW32=0,calcA!$A$6=0),0,IF(AT$117=1,AT32,0)+IF(AU$117=1,AV32,0))</f>
        <v/>
      </c>
      <c r="AV202">
        <f>IF(OR($IW32=0,calcA!$A$6=0),0,IF(AU$117=1,AU32,0)+IF(AV$117=1,AW32,0))</f>
        <v/>
      </c>
      <c r="AW202">
        <f>IF(OR($IW32=0,calcA!$A$6=0),0,IF(AV$117=1,AV32,0)+IF(AW$117=1,AX32,0))</f>
        <v/>
      </c>
      <c r="AX202">
        <f>IF(OR($IW32=0,calcA!$A$6=0),0,IF(AW$117=1,AW32,0)+IF(AX$117=1,AY32,0))</f>
        <v/>
      </c>
      <c r="AY202">
        <f>IF(OR($IW32=0,calcA!$A$6=0),0,IF(AX$117=1,AX32,0))</f>
        <v/>
      </c>
      <c r="AZ202">
        <f>IF(OR($IW32=0,calcA!$A$6=0),0,IF(AZ$117=1,BA32,0))</f>
        <v/>
      </c>
      <c r="BA202">
        <f>IF(OR($IW32=0,calcA!$A$6=0),0,IF(AZ$117=1,AZ32,0)+IF(BA$117=1,BB32,0))</f>
        <v/>
      </c>
      <c r="BB202">
        <f>IF(OR($IW32=0,calcA!$A$6=0),0,IF(BA$117=1,BA32,0)+IF(BB$117=1,BC32,0))</f>
        <v/>
      </c>
      <c r="BC202">
        <f>IF(OR($IW32=0,calcA!$A$6=0),0,IF(BB$117=1,BB32,0)+IF(BC$117=1,BD32,0))</f>
        <v/>
      </c>
      <c r="BD202">
        <f>IF(OR($IW32=0,calcA!$A$6=0),0,IF(BC$117=1,BC32,0)+IF(BD$117=1,BE32,0))</f>
        <v/>
      </c>
      <c r="BE202">
        <f>IF(OR($IW32=0,calcA!$A$6=0),0,IF(BD$117=1,BD32,0)+IF(BE$117=1,BF32,0))</f>
        <v/>
      </c>
      <c r="BF202">
        <f>IF(OR($IW32=0,calcA!$A$6=0),0,IF(BE$117=1,BE32,0)+IF(BF$117=1,BG32,0))</f>
        <v/>
      </c>
      <c r="BG202">
        <f>IF(OR($IW32=0,calcA!$A$6=0),0,IF(BF$117=1,BF32,0)+IF(BG$117=1,BH32,0))</f>
        <v/>
      </c>
      <c r="BH202">
        <f>IF(OR($IW32=0,calcA!$A$6=0),0,IF(BG$117=1,BG32,0)+IF(BH$117=1,BI32,0))</f>
        <v/>
      </c>
      <c r="BI202">
        <f>IF(OR($IW32=0,calcA!$A$6=0),0,IF(BH$117=1,BH32,0)+IF(BI$117=1,BJ32,0))</f>
        <v/>
      </c>
      <c r="BJ202">
        <f>IF(OR($IW32=0,calcA!$A$6=0),0,IF(BI$117=1,BI32,0)+IF(BJ$117=1,BK32,0))</f>
        <v/>
      </c>
      <c r="BK202">
        <f>IF(OR($IW32=0,calcA!$A$6=0),0,IF(BJ$117=1,BJ32,0)+IF(BK$117=1,BL32,0))</f>
        <v/>
      </c>
      <c r="BL202">
        <f>IF(OR($IW32=0,calcA!$A$6=0),0,IF(BK$117=1,BK32,0)+IF(BL$117=1,BM32,0))</f>
        <v/>
      </c>
      <c r="BM202">
        <f>IF(OR($IW32=0,calcA!$A$6=0),0,IF(BL$117=1,BL32,0)+IF(BM$117=1,BN32,0))</f>
        <v/>
      </c>
      <c r="BN202">
        <f>IF(OR($IW32=0,calcA!$A$6=0),0,IF(BM$117=1,BM32,0)+IF(BN$117=1,BO32,0))</f>
        <v/>
      </c>
      <c r="BO202">
        <f>IF(OR($IW32=0,calcA!$A$6=0),0,IF(BN$117=1,BN32,0)+IF(BO$117=1,BP32,0))</f>
        <v/>
      </c>
      <c r="BP202">
        <f>IF(OR($IW32=0,calcA!$A$6=0),0,IF(BO$117=1,BO32,0)+IF(BP$117=1,BQ32,0))</f>
        <v/>
      </c>
      <c r="BQ202">
        <f>IF(OR($IW32=0,calcA!$A$6=0),0,IF(BP$117=1,BP32,0)+IF(BQ$117=1,BR32,0))</f>
        <v/>
      </c>
      <c r="BR202">
        <f>IF(OR($IW32=0,calcA!$A$6=0),0,IF(BQ$117=1,BQ32,0)+IF(BR$117=1,BS32,0))</f>
        <v/>
      </c>
      <c r="BS202">
        <f>IF(OR($IW32=0,calcA!$A$6=0),0,IF(BR$117=1,BR32,0)+IF(BS$117=1,BT32,0))</f>
        <v/>
      </c>
      <c r="BT202">
        <f>IF(OR($IW32=0,calcA!$A$6=0),0,IF(BS$117=1,BS32,0)+IF(BT$117=1,BU32,0))</f>
        <v/>
      </c>
      <c r="BU202">
        <f>IF(OR($IW32=0,calcA!$A$6=0),0,IF(BT$117=1,BT32,0)+IF(BU$117=1,BV32,0))</f>
        <v/>
      </c>
      <c r="BV202">
        <f>IF(OR($IW32=0,calcA!$A$6=0),0,IF(BU$117=1,BU32,0)+IF(BV$117=1,BW32,0))</f>
        <v/>
      </c>
      <c r="BW202">
        <f>IF(OR($IW32=0,calcA!$A$6=0),0,IF(BV$117=1,BV32,0))</f>
        <v/>
      </c>
      <c r="BX202">
        <f>IF(OR($IW32=0,calcA!$A$6=0),0,IF(BX$117=1,BY32,0))</f>
        <v/>
      </c>
      <c r="BY202">
        <f>IF(OR($IW32=0,calcA!$A$6=0),0,IF(BX$117=1,BX32,0)+IF(BY$117=1,BZ32,0))</f>
        <v/>
      </c>
      <c r="BZ202">
        <f>IF(OR($IW32=0,calcA!$A$6=0),0,IF(BY$117=1,BY32,0)+IF(BZ$117=1,CA32,0))</f>
        <v/>
      </c>
      <c r="CA202">
        <f>IF(OR($IW32=0,calcA!$A$6=0),0,IF(BZ$117=1,BZ32,0)+IF(CA$117=1,CB32,0))</f>
        <v/>
      </c>
      <c r="CB202">
        <f>IF(OR($IW32=0,calcA!$A$6=0),0,IF(CA$117=1,CA32,0)+IF(CB$117=1,CC32,0))</f>
        <v/>
      </c>
      <c r="CC202">
        <f>IF(OR($IW32=0,calcA!$A$6=0),0,IF(CB$117=1,CB32,0)+IF(CC$117=1,CD32,0))</f>
        <v/>
      </c>
      <c r="CD202">
        <f>IF(OR($IW32=0,calcA!$A$6=0),0,IF(CC$117=1,CC32,0)+IF(CD$117=1,CE32,0))</f>
        <v/>
      </c>
      <c r="CE202">
        <f>IF(OR($IW32=0,calcA!$A$6=0),0,IF(CD$117=1,CD32,0)+IF(CE$117=1,CF32,0))</f>
        <v/>
      </c>
      <c r="CF202">
        <f>IF(OR($IW32=0,calcA!$A$6=0),0,IF(CE$117=1,CE32,0)+IF(CF$117=1,CG32,0))</f>
        <v/>
      </c>
      <c r="CG202">
        <f>IF(OR($IW32=0,calcA!$A$6=0),0,IF(CF$117=1,CF32,0)+IF(CG$117=1,CH32,0))</f>
        <v/>
      </c>
      <c r="CH202">
        <f>IF(OR($IW32=0,calcA!$A$6=0),0,IF(CG$117=1,CG32,0)+IF(CH$117=1,CI32,0))</f>
        <v/>
      </c>
      <c r="CI202">
        <f>IF(OR($IW32=0,calcA!$A$6=0),0,IF(CH$117=1,CH32,0)+IF(CI$117=1,CJ32,0))</f>
        <v/>
      </c>
      <c r="CJ202">
        <f>IF(OR($IW32=0,calcA!$A$6=0),0,IF(CI$117=1,CI32,0)+IF(CJ$117=1,CK32,0))</f>
        <v/>
      </c>
      <c r="CK202">
        <f>IF(OR($IW32=0,calcA!$A$6=0),0,IF(CJ$117=1,CJ32,0)+IF(CK$117=1,CL32,0))</f>
        <v/>
      </c>
      <c r="CL202">
        <f>IF(OR($IW32=0,calcA!$A$6=0),0,IF(CK$117=1,CK32,0)+IF(CL$117=1,CM32,0))</f>
        <v/>
      </c>
      <c r="CM202">
        <f>IF(OR($IW32=0,calcA!$A$6=0),0,IF(CL$117=1,CL32,0)+IF(CM$117=1,CN32,0))</f>
        <v/>
      </c>
      <c r="CN202">
        <f>IF(OR($IW32=0,calcA!$A$6=0),0,IF(CM$117=1,CM32,0)+IF(CN$117=1,CO32,0))</f>
        <v/>
      </c>
      <c r="CO202">
        <f>IF(OR($IW32=0,calcA!$A$6=0),0,IF(CN$117=1,CN32,0)+IF(CO$117=1,CP32,0))</f>
        <v/>
      </c>
      <c r="CP202">
        <f>IF(OR($IW32=0,calcA!$A$6=0),0,IF(CO$117=1,CO32,0)+IF(CP$117=1,CQ32,0))</f>
        <v/>
      </c>
      <c r="CQ202">
        <f>IF(OR($IW32=0,calcA!$A$6=0),0,IF(CP$117=1,CP32,0)+IF(CQ$117=1,CR32,0))</f>
        <v/>
      </c>
      <c r="CR202">
        <f>IF(OR($IW32=0,calcA!$A$6=0),0,IF(CQ$117=1,CQ32,0)+IF(CR$117=1,CS32,0))</f>
        <v/>
      </c>
      <c r="CS202">
        <f>IF(OR($IW32=0,calcA!$A$6=0),0,IF(CR$117=1,CR32,0)+IF(CS$117=1,CT32,0))</f>
        <v/>
      </c>
      <c r="CT202">
        <f>IF(OR($IW32=0,calcA!$A$6=0),0,IF(CS$117=1,CS32,0)+IF(CT$117=1,CU32,0))</f>
        <v/>
      </c>
      <c r="CU202">
        <f>IF(OR($IW32=0,calcA!$A$6=0),0,IF(CT$117=1,CT32,0))</f>
        <v/>
      </c>
      <c r="CV202">
        <f>IF(OR($IW32=0,calcA!$A$6=0),0,IF(CV$117=1,CW32,0))</f>
        <v/>
      </c>
      <c r="CW202">
        <f>IF(OR($IW32=0,calcA!$A$6=0),0,IF(CV$117=1,CV32,0)+IF(CW$117=1,CX32,0))</f>
        <v/>
      </c>
      <c r="CX202">
        <f>IF(OR($IW32=0,calcA!$A$6=0),0,IF(CW$117=1,CW32,0)+IF(CX$117=1,CY32,0))</f>
        <v/>
      </c>
      <c r="CY202">
        <f>IF(OR($IW32=0,calcA!$A$6=0),0,IF(CX$117=1,CX32,0)+IF(CY$117=1,CZ32,0))</f>
        <v/>
      </c>
      <c r="CZ202">
        <f>IF(OR($IW32=0,calcA!$A$6=0),0,IF(CY$117=1,CY32,0)+IF(CZ$117=1,DA32,0))</f>
        <v/>
      </c>
      <c r="DA202">
        <f>IF(OR($IW32=0,calcA!$A$6=0),0,IF(CZ$117=1,CZ32,0)+IF(DA$117=1,DB32,0))</f>
        <v/>
      </c>
      <c r="DB202">
        <f>IF(OR($IW32=0,calcA!$A$6=0),0,IF(DA$117=1,DA32,0)+IF(DB$117=1,DC32,0))</f>
        <v/>
      </c>
      <c r="DC202">
        <f>IF(OR($IW32=0,calcA!$A$6=0),0,IF(DB$117=1,DB32,0)+IF(DC$117=1,DD32,0))</f>
        <v/>
      </c>
      <c r="DD202">
        <f>IF(OR($IW32=0,calcA!$A$6=0),0,IF(DC$117=1,DC32,0)+IF(DD$117=1,DE32,0))</f>
        <v/>
      </c>
      <c r="DE202">
        <f>IF(OR($IW32=0,calcA!$A$6=0),0,IF(DD$117=1,DD32,0)+IF(DE$117=1,DF32,0))</f>
        <v/>
      </c>
      <c r="DF202">
        <f>IF(OR($IW32=0,calcA!$A$6=0),0,IF(DE$117=1,DE32,0)+IF(DF$117=1,DG32,0))</f>
        <v/>
      </c>
      <c r="DG202">
        <f>IF(OR($IW32=0,calcA!$A$6=0),0,IF(DF$117=1,DF32,0)+IF(DG$117=1,DH32,0))</f>
        <v/>
      </c>
      <c r="DH202">
        <f>IF(OR($IW32=0,calcA!$A$6=0),0,IF(DG$117=1,DG32,0)+IF(DH$117=1,DI32,0))</f>
        <v/>
      </c>
      <c r="DI202">
        <f>IF(OR($IW32=0,calcA!$A$6=0),0,IF(DH$117=1,DH32,0)+IF(DI$117=1,DJ32,0))</f>
        <v/>
      </c>
      <c r="DJ202">
        <f>IF(OR($IW32=0,calcA!$A$6=0),0,IF(DI$117=1,DI32,0)+IF(DJ$117=1,DK32,0))</f>
        <v/>
      </c>
      <c r="DK202">
        <f>IF(OR($IW32=0,calcA!$A$6=0),0,IF(DJ$117=1,DJ32,0)+IF(DK$117=1,DL32,0))</f>
        <v/>
      </c>
      <c r="DL202">
        <f>IF(OR($IW32=0,calcA!$A$6=0),0,IF(DK$117=1,DK32,0)+IF(DL$117=1,DM32,0))</f>
        <v/>
      </c>
      <c r="DM202">
        <f>IF(OR($IW32=0,calcA!$A$6=0),0,IF(DL$117=1,DL32,0)+IF(DM$117=1,DN32,0))</f>
        <v/>
      </c>
      <c r="DN202">
        <f>IF(OR($IW32=0,calcA!$A$6=0),0,IF(DM$117=1,DM32,0)+IF(DN$117=1,DO32,0))</f>
        <v/>
      </c>
      <c r="DO202">
        <f>IF(OR($IW32=0,calcA!$A$6=0),0,IF(DN$117=1,DN32,0)+IF(DO$117=1,DP32,0))</f>
        <v/>
      </c>
      <c r="DP202">
        <f>IF(OR($IW32=0,calcA!$A$6=0),0,IF(DO$117=1,DO32,0)+IF(DP$117=1,DQ32,0))</f>
        <v/>
      </c>
      <c r="DQ202">
        <f>IF(OR($IW32=0,calcA!$A$6=0),0,IF(DP$117=1,DP32,0)+IF(DQ$117=1,DR32,0))</f>
        <v/>
      </c>
      <c r="DR202">
        <f>IF(OR($IW32=0,calcA!$A$6=0),0,IF(DQ$117=1,DQ32,0)+IF(DR$117=1,DS32,0))</f>
        <v/>
      </c>
      <c r="DS202">
        <f>IF(OR($IW32=0,calcA!$A$6=0),0,IF(DR$117=1,DR32,0))</f>
        <v/>
      </c>
      <c r="DT202">
        <f>IF(OR($IW32=0,calcA!$A$6=0),0,IF(DT$117=1,DU32,0))</f>
        <v/>
      </c>
      <c r="DU202">
        <f>IF(OR($IW32=0,calcA!$A$6=0),0,IF(DT$117=1,DT32,0)+IF(DU$117=1,DV32,0))</f>
        <v/>
      </c>
      <c r="DV202">
        <f>IF(OR($IW32=0,calcA!$A$6=0),0,IF(DU$117=1,DU32,0)+IF(DV$117=1,DW32,0))</f>
        <v/>
      </c>
      <c r="DW202">
        <f>IF(OR($IW32=0,calcA!$A$6=0),0,IF(DV$117=1,DV32,0)+IF(DW$117=1,DX32,0))</f>
        <v/>
      </c>
      <c r="DX202">
        <f>IF(OR($IW32=0,calcA!$A$6=0),0,IF(DW$117=1,DW32,0)+IF(DX$117=1,DY32,0))</f>
        <v/>
      </c>
      <c r="DY202">
        <f>IF(OR($IW32=0,calcA!$A$6=0),0,IF(DX$117=1,DX32,0)+IF(DY$117=1,DZ32,0))</f>
        <v/>
      </c>
      <c r="DZ202">
        <f>IF(OR($IW32=0,calcA!$A$6=0),0,IF(DY$117=1,DY32,0)+IF(DZ$117=1,EA32,0))</f>
        <v/>
      </c>
      <c r="EA202">
        <f>IF(OR($IW32=0,calcA!$A$6=0),0,IF(DZ$117=1,DZ32,0)+IF(EA$117=1,EB32,0))</f>
        <v/>
      </c>
      <c r="EB202">
        <f>IF(OR($IW32=0,calcA!$A$6=0),0,IF(EA$117=1,EA32,0)+IF(EB$117=1,EC32,0))</f>
        <v/>
      </c>
      <c r="EC202">
        <f>IF(OR($IW32=0,calcA!$A$6=0),0,IF(EB$117=1,EB32,0)+IF(EC$117=1,ED32,0))</f>
        <v/>
      </c>
      <c r="ED202">
        <f>IF(OR($IW32=0,calcA!$A$6=0),0,IF(EC$117=1,EC32,0)+IF(ED$117=1,EE32,0))</f>
        <v/>
      </c>
      <c r="EE202">
        <f>IF(OR($IW32=0,calcA!$A$6=0),0,IF(ED$117=1,ED32,0)+IF(EE$117=1,EF32,0))</f>
        <v/>
      </c>
      <c r="EF202">
        <f>IF(OR($IW32=0,calcA!$A$6=0),0,IF(EE$117=1,EE32,0)+IF(EF$117=1,EG32,0))</f>
        <v/>
      </c>
      <c r="EG202">
        <f>IF(OR($IW32=0,calcA!$A$6=0),0,IF(EF$117=1,EF32,0)+IF(EG$117=1,EH32,0))</f>
        <v/>
      </c>
      <c r="EH202">
        <f>IF(OR($IW32=0,calcA!$A$6=0),0,IF(EG$117=1,EG32,0)+IF(EH$117=1,EI32,0))</f>
        <v/>
      </c>
      <c r="EI202">
        <f>IF(OR($IW32=0,calcA!$A$6=0),0,IF(EH$117=1,EH32,0)+IF(EI$117=1,EJ32,0))</f>
        <v/>
      </c>
      <c r="EJ202">
        <f>IF(OR($IW32=0,calcA!$A$6=0),0,IF(EI$117=1,EI32,0)+IF(EJ$117=1,EK32,0))</f>
        <v/>
      </c>
      <c r="EK202">
        <f>IF(OR($IW32=0,calcA!$A$6=0),0,IF(EJ$117=1,EJ32,0)+IF(EK$117=1,EL32,0))</f>
        <v/>
      </c>
      <c r="EL202">
        <f>IF(OR($IW32=0,calcA!$A$6=0),0,IF(EK$117=1,EK32,0)+IF(EL$117=1,EM32,0))</f>
        <v/>
      </c>
      <c r="EM202">
        <f>IF(OR($IW32=0,calcA!$A$6=0),0,IF(EL$117=1,EL32,0)+IF(EM$117=1,EN32,0))</f>
        <v/>
      </c>
      <c r="EN202">
        <f>IF(OR($IW32=0,calcA!$A$6=0),0,IF(EM$117=1,EM32,0)+IF(EN$117=1,EO32,0))</f>
        <v/>
      </c>
      <c r="EO202">
        <f>IF(OR($IW32=0,calcA!$A$6=0),0,IF(EN$117=1,EN32,0)+IF(EO$117=1,EP32,0))</f>
        <v/>
      </c>
      <c r="EP202">
        <f>IF(OR($IW32=0,calcA!$A$6=0),0,IF(EO$117=1,EO32,0)+IF(EP$117=1,EQ32,0))</f>
        <v/>
      </c>
      <c r="EQ202">
        <f>IF(OR($IW32=0,calcA!$A$6=0),0,IF(EP$117=1,EP32,0))</f>
        <v/>
      </c>
    </row>
    <row r="203">
      <c r="D203">
        <f>IF(OR($IW33=0,calcA!$A$6=0),0,IF(D$117=1,E33,0))</f>
        <v/>
      </c>
      <c r="E203">
        <f>IF(OR($IW33=0,calcA!$A$6=0),0,IF(D$117=1,D33,0)+IF(E$117=1,F33,0))</f>
        <v/>
      </c>
      <c r="F203">
        <f>IF(OR($IW33=0,calcA!$A$6=0),0,IF(E$117=1,E33,0)+IF(F$117=1,G33,0))</f>
        <v/>
      </c>
      <c r="G203">
        <f>IF(OR($IW33=0,calcA!$A$6=0),0,IF(F$117=1,F33,0)+IF(G$117=1,H33,0))</f>
        <v/>
      </c>
      <c r="H203">
        <f>IF(OR($IW33=0,calcA!$A$6=0),0,IF(G$117=1,G33,0)+IF(H$117=1,I33,0))</f>
        <v/>
      </c>
      <c r="I203">
        <f>IF(OR($IW33=0,calcA!$A$6=0),0,IF(H$117=1,H33,0)+IF(I$117=1,J33,0))</f>
        <v/>
      </c>
      <c r="J203">
        <f>IF(OR($IW33=0,calcA!$A$6=0),0,IF(I$117=1,I33,0)+IF(J$117=1,K33,0))</f>
        <v/>
      </c>
      <c r="K203">
        <f>IF(OR($IW33=0,calcA!$A$6=0),0,IF(J$117=1,J33,0)+IF(K$117=1,L33,0))</f>
        <v/>
      </c>
      <c r="L203">
        <f>IF(OR($IW33=0,calcA!$A$6=0),0,IF(K$117=1,K33,0)+IF(L$117=1,M33,0))</f>
        <v/>
      </c>
      <c r="M203">
        <f>IF(OR($IW33=0,calcA!$A$6=0),0,IF(L$117=1,L33,0)+IF(M$117=1,N33,0))</f>
        <v/>
      </c>
      <c r="N203">
        <f>IF(OR($IW33=0,calcA!$A$6=0),0,IF(M$117=1,M33,0)+IF(N$117=1,O33,0))</f>
        <v/>
      </c>
      <c r="O203">
        <f>IF(OR($IW33=0,calcA!$A$6=0),0,IF(N$117=1,N33,0)+IF(O$117=1,P33,0))</f>
        <v/>
      </c>
      <c r="P203">
        <f>IF(OR($IW33=0,calcA!$A$6=0),0,IF(O$117=1,O33,0)+IF(P$117=1,Q33,0))</f>
        <v/>
      </c>
      <c r="Q203">
        <f>IF(OR($IW33=0,calcA!$A$6=0),0,IF(P$117=1,P33,0)+IF(Q$117=1,R33,0))</f>
        <v/>
      </c>
      <c r="R203">
        <f>IF(OR($IW33=0,calcA!$A$6=0),0,IF(Q$117=1,Q33,0)+IF(R$117=1,S33,0))</f>
        <v/>
      </c>
      <c r="S203">
        <f>IF(OR($IW33=0,calcA!$A$6=0),0,IF(R$117=1,R33,0)+IF(S$117=1,T33,0))</f>
        <v/>
      </c>
      <c r="T203">
        <f>IF(OR($IW33=0,calcA!$A$6=0),0,IF(S$117=1,S33,0)+IF(T$117=1,U33,0))</f>
        <v/>
      </c>
      <c r="U203">
        <f>IF(OR($IW33=0,calcA!$A$6=0),0,IF(T$117=1,T33,0)+IF(U$117=1,V33,0))</f>
        <v/>
      </c>
      <c r="V203">
        <f>IF(OR($IW33=0,calcA!$A$6=0),0,IF(U$117=1,U33,0)+IF(V$117=1,W33,0))</f>
        <v/>
      </c>
      <c r="W203">
        <f>IF(OR($IW33=0,calcA!$A$6=0),0,IF(V$117=1,V33,0)+IF(W$117=1,X33,0))</f>
        <v/>
      </c>
      <c r="X203">
        <f>IF(OR($IW33=0,calcA!$A$6=0),0,IF(W$117=1,W33,0)+IF(X$117=1,Y33,0))</f>
        <v/>
      </c>
      <c r="Y203">
        <f>IF(OR($IW33=0,calcA!$A$6=0),0,IF(X$117=1,X33,0)+IF(Y$117=1,Z33,0))</f>
        <v/>
      </c>
      <c r="Z203">
        <f>IF(OR($IW33=0,calcA!$A$6=0),0,IF(Y$117=1,Y33,0)+IF(Z$117=1,AA33,0))</f>
        <v/>
      </c>
      <c r="AA203">
        <f>IF(OR($IW33=0,calcA!$A$6=0),0,IF(Z$117=1,Z33,0))</f>
        <v/>
      </c>
      <c r="AB203">
        <f>IF(OR($IW33=0,calcA!$A$6=0),0,IF(AB$117=1,AC33,0))</f>
        <v/>
      </c>
      <c r="AC203">
        <f>IF(OR($IW33=0,calcA!$A$6=0),0,IF(AB$117=1,AB33,0)+IF(AC$117=1,AD33,0))</f>
        <v/>
      </c>
      <c r="AD203">
        <f>IF(OR($IW33=0,calcA!$A$6=0),0,IF(AC$117=1,AC33,0)+IF(AD$117=1,AE33,0))</f>
        <v/>
      </c>
      <c r="AE203">
        <f>IF(OR($IW33=0,calcA!$A$6=0),0,IF(AD$117=1,AD33,0)+IF(AE$117=1,AF33,0))</f>
        <v/>
      </c>
      <c r="AF203">
        <f>IF(OR($IW33=0,calcA!$A$6=0),0,IF(AE$117=1,AE33,0)+IF(AF$117=1,AG33,0))</f>
        <v/>
      </c>
      <c r="AG203">
        <f>IF(OR($IW33=0,calcA!$A$6=0),0,IF(AF$117=1,AF33,0)+IF(AG$117=1,AH33,0))</f>
        <v/>
      </c>
      <c r="AH203">
        <f>IF(OR($IW33=0,calcA!$A$6=0),0,IF(AG$117=1,AG33,0)+IF(AH$117=1,AI33,0))</f>
        <v/>
      </c>
      <c r="AI203">
        <f>IF(OR($IW33=0,calcA!$A$6=0),0,IF(AH$117=1,AH33,0)+IF(AI$117=1,AJ33,0))</f>
        <v/>
      </c>
      <c r="AJ203">
        <f>IF(OR($IW33=0,calcA!$A$6=0),0,IF(AI$117=1,AI33,0)+IF(AJ$117=1,AK33,0))</f>
        <v/>
      </c>
      <c r="AK203">
        <f>IF(OR($IW33=0,calcA!$A$6=0),0,IF(AJ$117=1,AJ33,0)+IF(AK$117=1,AL33,0))</f>
        <v/>
      </c>
      <c r="AL203">
        <f>IF(OR($IW33=0,calcA!$A$6=0),0,IF(AK$117=1,AK33,0)+IF(AL$117=1,AM33,0))</f>
        <v/>
      </c>
      <c r="AM203">
        <f>IF(OR($IW33=0,calcA!$A$6=0),0,IF(AL$117=1,AL33,0)+IF(AM$117=1,AN33,0))</f>
        <v/>
      </c>
      <c r="AN203">
        <f>IF(OR($IW33=0,calcA!$A$6=0),0,IF(AM$117=1,AM33,0)+IF(AN$117=1,AO33,0))</f>
        <v/>
      </c>
      <c r="AO203">
        <f>IF(OR($IW33=0,calcA!$A$6=0),0,IF(AN$117=1,AN33,0)+IF(AO$117=1,AP33,0))</f>
        <v/>
      </c>
      <c r="AP203">
        <f>IF(OR($IW33=0,calcA!$A$6=0),0,IF(AO$117=1,AO33,0)+IF(AP$117=1,AQ33,0))</f>
        <v/>
      </c>
      <c r="AQ203">
        <f>IF(OR($IW33=0,calcA!$A$6=0),0,IF(AP$117=1,AP33,0)+IF(AQ$117=1,AR33,0))</f>
        <v/>
      </c>
      <c r="AR203">
        <f>IF(OR($IW33=0,calcA!$A$6=0),0,IF(AQ$117=1,AQ33,0)+IF(AR$117=1,AS33,0))</f>
        <v/>
      </c>
      <c r="AS203">
        <f>IF(OR($IW33=0,calcA!$A$6=0),0,IF(AR$117=1,AR33,0)+IF(AS$117=1,AT33,0))</f>
        <v/>
      </c>
      <c r="AT203">
        <f>IF(OR($IW33=0,calcA!$A$6=0),0,IF(AS$117=1,AS33,0)+IF(AT$117=1,AU33,0))</f>
        <v/>
      </c>
      <c r="AU203">
        <f>IF(OR($IW33=0,calcA!$A$6=0),0,IF(AT$117=1,AT33,0)+IF(AU$117=1,AV33,0))</f>
        <v/>
      </c>
      <c r="AV203">
        <f>IF(OR($IW33=0,calcA!$A$6=0),0,IF(AU$117=1,AU33,0)+IF(AV$117=1,AW33,0))</f>
        <v/>
      </c>
      <c r="AW203">
        <f>IF(OR($IW33=0,calcA!$A$6=0),0,IF(AV$117=1,AV33,0)+IF(AW$117=1,AX33,0))</f>
        <v/>
      </c>
      <c r="AX203">
        <f>IF(OR($IW33=0,calcA!$A$6=0),0,IF(AW$117=1,AW33,0)+IF(AX$117=1,AY33,0))</f>
        <v/>
      </c>
      <c r="AY203">
        <f>IF(OR($IW33=0,calcA!$A$6=0),0,IF(AX$117=1,AX33,0))</f>
        <v/>
      </c>
      <c r="AZ203">
        <f>IF(OR($IW33=0,calcA!$A$6=0),0,IF(AZ$117=1,BA33,0))</f>
        <v/>
      </c>
      <c r="BA203">
        <f>IF(OR($IW33=0,calcA!$A$6=0),0,IF(AZ$117=1,AZ33,0)+IF(BA$117=1,BB33,0))</f>
        <v/>
      </c>
      <c r="BB203">
        <f>IF(OR($IW33=0,calcA!$A$6=0),0,IF(BA$117=1,BA33,0)+IF(BB$117=1,BC33,0))</f>
        <v/>
      </c>
      <c r="BC203">
        <f>IF(OR($IW33=0,calcA!$A$6=0),0,IF(BB$117=1,BB33,0)+IF(BC$117=1,BD33,0))</f>
        <v/>
      </c>
      <c r="BD203">
        <f>IF(OR($IW33=0,calcA!$A$6=0),0,IF(BC$117=1,BC33,0)+IF(BD$117=1,BE33,0))</f>
        <v/>
      </c>
      <c r="BE203">
        <f>IF(OR($IW33=0,calcA!$A$6=0),0,IF(BD$117=1,BD33,0)+IF(BE$117=1,BF33,0))</f>
        <v/>
      </c>
      <c r="BF203">
        <f>IF(OR($IW33=0,calcA!$A$6=0),0,IF(BE$117=1,BE33,0)+IF(BF$117=1,BG33,0))</f>
        <v/>
      </c>
      <c r="BG203">
        <f>IF(OR($IW33=0,calcA!$A$6=0),0,IF(BF$117=1,BF33,0)+IF(BG$117=1,BH33,0))</f>
        <v/>
      </c>
      <c r="BH203">
        <f>IF(OR($IW33=0,calcA!$A$6=0),0,IF(BG$117=1,BG33,0)+IF(BH$117=1,BI33,0))</f>
        <v/>
      </c>
      <c r="BI203">
        <f>IF(OR($IW33=0,calcA!$A$6=0),0,IF(BH$117=1,BH33,0)+IF(BI$117=1,BJ33,0))</f>
        <v/>
      </c>
      <c r="BJ203">
        <f>IF(OR($IW33=0,calcA!$A$6=0),0,IF(BI$117=1,BI33,0)+IF(BJ$117=1,BK33,0))</f>
        <v/>
      </c>
      <c r="BK203">
        <f>IF(OR($IW33=0,calcA!$A$6=0),0,IF(BJ$117=1,BJ33,0)+IF(BK$117=1,BL33,0))</f>
        <v/>
      </c>
      <c r="BL203">
        <f>IF(OR($IW33=0,calcA!$A$6=0),0,IF(BK$117=1,BK33,0)+IF(BL$117=1,BM33,0))</f>
        <v/>
      </c>
      <c r="BM203">
        <f>IF(OR($IW33=0,calcA!$A$6=0),0,IF(BL$117=1,BL33,0)+IF(BM$117=1,BN33,0))</f>
        <v/>
      </c>
      <c r="BN203">
        <f>IF(OR($IW33=0,calcA!$A$6=0),0,IF(BM$117=1,BM33,0)+IF(BN$117=1,BO33,0))</f>
        <v/>
      </c>
      <c r="BO203">
        <f>IF(OR($IW33=0,calcA!$A$6=0),0,IF(BN$117=1,BN33,0)+IF(BO$117=1,BP33,0))</f>
        <v/>
      </c>
      <c r="BP203">
        <f>IF(OR($IW33=0,calcA!$A$6=0),0,IF(BO$117=1,BO33,0)+IF(BP$117=1,BQ33,0))</f>
        <v/>
      </c>
      <c r="BQ203">
        <f>IF(OR($IW33=0,calcA!$A$6=0),0,IF(BP$117=1,BP33,0)+IF(BQ$117=1,BR33,0))</f>
        <v/>
      </c>
      <c r="BR203">
        <f>IF(OR($IW33=0,calcA!$A$6=0),0,IF(BQ$117=1,BQ33,0)+IF(BR$117=1,BS33,0))</f>
        <v/>
      </c>
      <c r="BS203">
        <f>IF(OR($IW33=0,calcA!$A$6=0),0,IF(BR$117=1,BR33,0)+IF(BS$117=1,BT33,0))</f>
        <v/>
      </c>
      <c r="BT203">
        <f>IF(OR($IW33=0,calcA!$A$6=0),0,IF(BS$117=1,BS33,0)+IF(BT$117=1,BU33,0))</f>
        <v/>
      </c>
      <c r="BU203">
        <f>IF(OR($IW33=0,calcA!$A$6=0),0,IF(BT$117=1,BT33,0)+IF(BU$117=1,BV33,0))</f>
        <v/>
      </c>
      <c r="BV203">
        <f>IF(OR($IW33=0,calcA!$A$6=0),0,IF(BU$117=1,BU33,0)+IF(BV$117=1,BW33,0))</f>
        <v/>
      </c>
      <c r="BW203">
        <f>IF(OR($IW33=0,calcA!$A$6=0),0,IF(BV$117=1,BV33,0))</f>
        <v/>
      </c>
      <c r="BX203">
        <f>IF(OR($IW33=0,calcA!$A$6=0),0,IF(BX$117=1,BY33,0))</f>
        <v/>
      </c>
      <c r="BY203">
        <f>IF(OR($IW33=0,calcA!$A$6=0),0,IF(BX$117=1,BX33,0)+IF(BY$117=1,BZ33,0))</f>
        <v/>
      </c>
      <c r="BZ203">
        <f>IF(OR($IW33=0,calcA!$A$6=0),0,IF(BY$117=1,BY33,0)+IF(BZ$117=1,CA33,0))</f>
        <v/>
      </c>
      <c r="CA203">
        <f>IF(OR($IW33=0,calcA!$A$6=0),0,IF(BZ$117=1,BZ33,0)+IF(CA$117=1,CB33,0))</f>
        <v/>
      </c>
      <c r="CB203">
        <f>IF(OR($IW33=0,calcA!$A$6=0),0,IF(CA$117=1,CA33,0)+IF(CB$117=1,CC33,0))</f>
        <v/>
      </c>
      <c r="CC203">
        <f>IF(OR($IW33=0,calcA!$A$6=0),0,IF(CB$117=1,CB33,0)+IF(CC$117=1,CD33,0))</f>
        <v/>
      </c>
      <c r="CD203">
        <f>IF(OR($IW33=0,calcA!$A$6=0),0,IF(CC$117=1,CC33,0)+IF(CD$117=1,CE33,0))</f>
        <v/>
      </c>
      <c r="CE203">
        <f>IF(OR($IW33=0,calcA!$A$6=0),0,IF(CD$117=1,CD33,0)+IF(CE$117=1,CF33,0))</f>
        <v/>
      </c>
      <c r="CF203">
        <f>IF(OR($IW33=0,calcA!$A$6=0),0,IF(CE$117=1,CE33,0)+IF(CF$117=1,CG33,0))</f>
        <v/>
      </c>
      <c r="CG203">
        <f>IF(OR($IW33=0,calcA!$A$6=0),0,IF(CF$117=1,CF33,0)+IF(CG$117=1,CH33,0))</f>
        <v/>
      </c>
      <c r="CH203">
        <f>IF(OR($IW33=0,calcA!$A$6=0),0,IF(CG$117=1,CG33,0)+IF(CH$117=1,CI33,0))</f>
        <v/>
      </c>
      <c r="CI203">
        <f>IF(OR($IW33=0,calcA!$A$6=0),0,IF(CH$117=1,CH33,0)+IF(CI$117=1,CJ33,0))</f>
        <v/>
      </c>
      <c r="CJ203">
        <f>IF(OR($IW33=0,calcA!$A$6=0),0,IF(CI$117=1,CI33,0)+IF(CJ$117=1,CK33,0))</f>
        <v/>
      </c>
      <c r="CK203">
        <f>IF(OR($IW33=0,calcA!$A$6=0),0,IF(CJ$117=1,CJ33,0)+IF(CK$117=1,CL33,0))</f>
        <v/>
      </c>
      <c r="CL203">
        <f>IF(OR($IW33=0,calcA!$A$6=0),0,IF(CK$117=1,CK33,0)+IF(CL$117=1,CM33,0))</f>
        <v/>
      </c>
      <c r="CM203">
        <f>IF(OR($IW33=0,calcA!$A$6=0),0,IF(CL$117=1,CL33,0)+IF(CM$117=1,CN33,0))</f>
        <v/>
      </c>
      <c r="CN203">
        <f>IF(OR($IW33=0,calcA!$A$6=0),0,IF(CM$117=1,CM33,0)+IF(CN$117=1,CO33,0))</f>
        <v/>
      </c>
      <c r="CO203">
        <f>IF(OR($IW33=0,calcA!$A$6=0),0,IF(CN$117=1,CN33,0)+IF(CO$117=1,CP33,0))</f>
        <v/>
      </c>
      <c r="CP203">
        <f>IF(OR($IW33=0,calcA!$A$6=0),0,IF(CO$117=1,CO33,0)+IF(CP$117=1,CQ33,0))</f>
        <v/>
      </c>
      <c r="CQ203">
        <f>IF(OR($IW33=0,calcA!$A$6=0),0,IF(CP$117=1,CP33,0)+IF(CQ$117=1,CR33,0))</f>
        <v/>
      </c>
      <c r="CR203">
        <f>IF(OR($IW33=0,calcA!$A$6=0),0,IF(CQ$117=1,CQ33,0)+IF(CR$117=1,CS33,0))</f>
        <v/>
      </c>
      <c r="CS203">
        <f>IF(OR($IW33=0,calcA!$A$6=0),0,IF(CR$117=1,CR33,0)+IF(CS$117=1,CT33,0))</f>
        <v/>
      </c>
      <c r="CT203">
        <f>IF(OR($IW33=0,calcA!$A$6=0),0,IF(CS$117=1,CS33,0)+IF(CT$117=1,CU33,0))</f>
        <v/>
      </c>
      <c r="CU203">
        <f>IF(OR($IW33=0,calcA!$A$6=0),0,IF(CT$117=1,CT33,0))</f>
        <v/>
      </c>
      <c r="CV203">
        <f>IF(OR($IW33=0,calcA!$A$6=0),0,IF(CV$117=1,CW33,0))</f>
        <v/>
      </c>
      <c r="CW203">
        <f>IF(OR($IW33=0,calcA!$A$6=0),0,IF(CV$117=1,CV33,0)+IF(CW$117=1,CX33,0))</f>
        <v/>
      </c>
      <c r="CX203">
        <f>IF(OR($IW33=0,calcA!$A$6=0),0,IF(CW$117=1,CW33,0)+IF(CX$117=1,CY33,0))</f>
        <v/>
      </c>
      <c r="CY203">
        <f>IF(OR($IW33=0,calcA!$A$6=0),0,IF(CX$117=1,CX33,0)+IF(CY$117=1,CZ33,0))</f>
        <v/>
      </c>
      <c r="CZ203">
        <f>IF(OR($IW33=0,calcA!$A$6=0),0,IF(CY$117=1,CY33,0)+IF(CZ$117=1,DA33,0))</f>
        <v/>
      </c>
      <c r="DA203">
        <f>IF(OR($IW33=0,calcA!$A$6=0),0,IF(CZ$117=1,CZ33,0)+IF(DA$117=1,DB33,0))</f>
        <v/>
      </c>
      <c r="DB203">
        <f>IF(OR($IW33=0,calcA!$A$6=0),0,IF(DA$117=1,DA33,0)+IF(DB$117=1,DC33,0))</f>
        <v/>
      </c>
      <c r="DC203">
        <f>IF(OR($IW33=0,calcA!$A$6=0),0,IF(DB$117=1,DB33,0)+IF(DC$117=1,DD33,0))</f>
        <v/>
      </c>
      <c r="DD203">
        <f>IF(OR($IW33=0,calcA!$A$6=0),0,IF(DC$117=1,DC33,0)+IF(DD$117=1,DE33,0))</f>
        <v/>
      </c>
      <c r="DE203">
        <f>IF(OR($IW33=0,calcA!$A$6=0),0,IF(DD$117=1,DD33,0)+IF(DE$117=1,DF33,0))</f>
        <v/>
      </c>
      <c r="DF203">
        <f>IF(OR($IW33=0,calcA!$A$6=0),0,IF(DE$117=1,DE33,0)+IF(DF$117=1,DG33,0))</f>
        <v/>
      </c>
      <c r="DG203">
        <f>IF(OR($IW33=0,calcA!$A$6=0),0,IF(DF$117=1,DF33,0)+IF(DG$117=1,DH33,0))</f>
        <v/>
      </c>
      <c r="DH203">
        <f>IF(OR($IW33=0,calcA!$A$6=0),0,IF(DG$117=1,DG33,0)+IF(DH$117=1,DI33,0))</f>
        <v/>
      </c>
      <c r="DI203">
        <f>IF(OR($IW33=0,calcA!$A$6=0),0,IF(DH$117=1,DH33,0)+IF(DI$117=1,DJ33,0))</f>
        <v/>
      </c>
      <c r="DJ203">
        <f>IF(OR($IW33=0,calcA!$A$6=0),0,IF(DI$117=1,DI33,0)+IF(DJ$117=1,DK33,0))</f>
        <v/>
      </c>
      <c r="DK203">
        <f>IF(OR($IW33=0,calcA!$A$6=0),0,IF(DJ$117=1,DJ33,0)+IF(DK$117=1,DL33,0))</f>
        <v/>
      </c>
      <c r="DL203">
        <f>IF(OR($IW33=0,calcA!$A$6=0),0,IF(DK$117=1,DK33,0)+IF(DL$117=1,DM33,0))</f>
        <v/>
      </c>
      <c r="DM203">
        <f>IF(OR($IW33=0,calcA!$A$6=0),0,IF(DL$117=1,DL33,0)+IF(DM$117=1,DN33,0))</f>
        <v/>
      </c>
      <c r="DN203">
        <f>IF(OR($IW33=0,calcA!$A$6=0),0,IF(DM$117=1,DM33,0)+IF(DN$117=1,DO33,0))</f>
        <v/>
      </c>
      <c r="DO203">
        <f>IF(OR($IW33=0,calcA!$A$6=0),0,IF(DN$117=1,DN33,0)+IF(DO$117=1,DP33,0))</f>
        <v/>
      </c>
      <c r="DP203">
        <f>IF(OR($IW33=0,calcA!$A$6=0),0,IF(DO$117=1,DO33,0)+IF(DP$117=1,DQ33,0))</f>
        <v/>
      </c>
      <c r="DQ203">
        <f>IF(OR($IW33=0,calcA!$A$6=0),0,IF(DP$117=1,DP33,0)+IF(DQ$117=1,DR33,0))</f>
        <v/>
      </c>
      <c r="DR203">
        <f>IF(OR($IW33=0,calcA!$A$6=0),0,IF(DQ$117=1,DQ33,0)+IF(DR$117=1,DS33,0))</f>
        <v/>
      </c>
      <c r="DS203">
        <f>IF(OR($IW33=0,calcA!$A$6=0),0,IF(DR$117=1,DR33,0))</f>
        <v/>
      </c>
      <c r="DT203">
        <f>IF(OR($IW33=0,calcA!$A$6=0),0,IF(DT$117=1,DU33,0))</f>
        <v/>
      </c>
      <c r="DU203">
        <f>IF(OR($IW33=0,calcA!$A$6=0),0,IF(DT$117=1,DT33,0)+IF(DU$117=1,DV33,0))</f>
        <v/>
      </c>
      <c r="DV203">
        <f>IF(OR($IW33=0,calcA!$A$6=0),0,IF(DU$117=1,DU33,0)+IF(DV$117=1,DW33,0))</f>
        <v/>
      </c>
      <c r="DW203">
        <f>IF(OR($IW33=0,calcA!$A$6=0),0,IF(DV$117=1,DV33,0)+IF(DW$117=1,DX33,0))</f>
        <v/>
      </c>
      <c r="DX203">
        <f>IF(OR($IW33=0,calcA!$A$6=0),0,IF(DW$117=1,DW33,0)+IF(DX$117=1,DY33,0))</f>
        <v/>
      </c>
      <c r="DY203">
        <f>IF(OR($IW33=0,calcA!$A$6=0),0,IF(DX$117=1,DX33,0)+IF(DY$117=1,DZ33,0))</f>
        <v/>
      </c>
      <c r="DZ203">
        <f>IF(OR($IW33=0,calcA!$A$6=0),0,IF(DY$117=1,DY33,0)+IF(DZ$117=1,EA33,0))</f>
        <v/>
      </c>
      <c r="EA203">
        <f>IF(OR($IW33=0,calcA!$A$6=0),0,IF(DZ$117=1,DZ33,0)+IF(EA$117=1,EB33,0))</f>
        <v/>
      </c>
      <c r="EB203">
        <f>IF(OR($IW33=0,calcA!$A$6=0),0,IF(EA$117=1,EA33,0)+IF(EB$117=1,EC33,0))</f>
        <v/>
      </c>
      <c r="EC203">
        <f>IF(OR($IW33=0,calcA!$A$6=0),0,IF(EB$117=1,EB33,0)+IF(EC$117=1,ED33,0))</f>
        <v/>
      </c>
      <c r="ED203">
        <f>IF(OR($IW33=0,calcA!$A$6=0),0,IF(EC$117=1,EC33,0)+IF(ED$117=1,EE33,0))</f>
        <v/>
      </c>
      <c r="EE203">
        <f>IF(OR($IW33=0,calcA!$A$6=0),0,IF(ED$117=1,ED33,0)+IF(EE$117=1,EF33,0))</f>
        <v/>
      </c>
      <c r="EF203">
        <f>IF(OR($IW33=0,calcA!$A$6=0),0,IF(EE$117=1,EE33,0)+IF(EF$117=1,EG33,0))</f>
        <v/>
      </c>
      <c r="EG203">
        <f>IF(OR($IW33=0,calcA!$A$6=0),0,IF(EF$117=1,EF33,0)+IF(EG$117=1,EH33,0))</f>
        <v/>
      </c>
      <c r="EH203">
        <f>IF(OR($IW33=0,calcA!$A$6=0),0,IF(EG$117=1,EG33,0)+IF(EH$117=1,EI33,0))</f>
        <v/>
      </c>
      <c r="EI203">
        <f>IF(OR($IW33=0,calcA!$A$6=0),0,IF(EH$117=1,EH33,0)+IF(EI$117=1,EJ33,0))</f>
        <v/>
      </c>
      <c r="EJ203">
        <f>IF(OR($IW33=0,calcA!$A$6=0),0,IF(EI$117=1,EI33,0)+IF(EJ$117=1,EK33,0))</f>
        <v/>
      </c>
      <c r="EK203">
        <f>IF(OR($IW33=0,calcA!$A$6=0),0,IF(EJ$117=1,EJ33,0)+IF(EK$117=1,EL33,0))</f>
        <v/>
      </c>
      <c r="EL203">
        <f>IF(OR($IW33=0,calcA!$A$6=0),0,IF(EK$117=1,EK33,0)+IF(EL$117=1,EM33,0))</f>
        <v/>
      </c>
      <c r="EM203">
        <f>IF(OR($IW33=0,calcA!$A$6=0),0,IF(EL$117=1,EL33,0)+IF(EM$117=1,EN33,0))</f>
        <v/>
      </c>
      <c r="EN203">
        <f>IF(OR($IW33=0,calcA!$A$6=0),0,IF(EM$117=1,EM33,0)+IF(EN$117=1,EO33,0))</f>
        <v/>
      </c>
      <c r="EO203">
        <f>IF(OR($IW33=0,calcA!$A$6=0),0,IF(EN$117=1,EN33,0)+IF(EO$117=1,EP33,0))</f>
        <v/>
      </c>
      <c r="EP203">
        <f>IF(OR($IW33=0,calcA!$A$6=0),0,IF(EO$117=1,EO33,0)+IF(EP$117=1,EQ33,0))</f>
        <v/>
      </c>
      <c r="EQ203">
        <f>IF(OR($IW33=0,calcA!$A$6=0),0,IF(EP$117=1,EP33,0))</f>
        <v/>
      </c>
    </row>
    <row r="204">
      <c r="D204">
        <f>IF(OR($IW34=0,calcA!$A$6=0),0,IF(D$117=1,E34,0))</f>
        <v/>
      </c>
      <c r="E204">
        <f>IF(OR($IW34=0,calcA!$A$6=0),0,IF(D$117=1,D34,0)+IF(E$117=1,F34,0))</f>
        <v/>
      </c>
      <c r="F204">
        <f>IF(OR($IW34=0,calcA!$A$6=0),0,IF(E$117=1,E34,0)+IF(F$117=1,G34,0))</f>
        <v/>
      </c>
      <c r="G204">
        <f>IF(OR($IW34=0,calcA!$A$6=0),0,IF(F$117=1,F34,0)+IF(G$117=1,H34,0))</f>
        <v/>
      </c>
      <c r="H204">
        <f>IF(OR($IW34=0,calcA!$A$6=0),0,IF(G$117=1,G34,0)+IF(H$117=1,I34,0))</f>
        <v/>
      </c>
      <c r="I204">
        <f>IF(OR($IW34=0,calcA!$A$6=0),0,IF(H$117=1,H34,0)+IF(I$117=1,J34,0))</f>
        <v/>
      </c>
      <c r="J204">
        <f>IF(OR($IW34=0,calcA!$A$6=0),0,IF(I$117=1,I34,0)+IF(J$117=1,K34,0))</f>
        <v/>
      </c>
      <c r="K204">
        <f>IF(OR($IW34=0,calcA!$A$6=0),0,IF(J$117=1,J34,0)+IF(K$117=1,L34,0))</f>
        <v/>
      </c>
      <c r="L204">
        <f>IF(OR($IW34=0,calcA!$A$6=0),0,IF(K$117=1,K34,0)+IF(L$117=1,M34,0))</f>
        <v/>
      </c>
      <c r="M204">
        <f>IF(OR($IW34=0,calcA!$A$6=0),0,IF(L$117=1,L34,0)+IF(M$117=1,N34,0))</f>
        <v/>
      </c>
      <c r="N204">
        <f>IF(OR($IW34=0,calcA!$A$6=0),0,IF(M$117=1,M34,0)+IF(N$117=1,O34,0))</f>
        <v/>
      </c>
      <c r="O204">
        <f>IF(OR($IW34=0,calcA!$A$6=0),0,IF(N$117=1,N34,0)+IF(O$117=1,P34,0))</f>
        <v/>
      </c>
      <c r="P204">
        <f>IF(OR($IW34=0,calcA!$A$6=0),0,IF(O$117=1,O34,0)+IF(P$117=1,Q34,0))</f>
        <v/>
      </c>
      <c r="Q204">
        <f>IF(OR($IW34=0,calcA!$A$6=0),0,IF(P$117=1,P34,0)+IF(Q$117=1,R34,0))</f>
        <v/>
      </c>
      <c r="R204">
        <f>IF(OR($IW34=0,calcA!$A$6=0),0,IF(Q$117=1,Q34,0)+IF(R$117=1,S34,0))</f>
        <v/>
      </c>
      <c r="S204">
        <f>IF(OR($IW34=0,calcA!$A$6=0),0,IF(R$117=1,R34,0)+IF(S$117=1,T34,0))</f>
        <v/>
      </c>
      <c r="T204">
        <f>IF(OR($IW34=0,calcA!$A$6=0),0,IF(S$117=1,S34,0)+IF(T$117=1,U34,0))</f>
        <v/>
      </c>
      <c r="U204">
        <f>IF(OR($IW34=0,calcA!$A$6=0),0,IF(T$117=1,T34,0)+IF(U$117=1,V34,0))</f>
        <v/>
      </c>
      <c r="V204">
        <f>IF(OR($IW34=0,calcA!$A$6=0),0,IF(U$117=1,U34,0)+IF(V$117=1,W34,0))</f>
        <v/>
      </c>
      <c r="W204">
        <f>IF(OR($IW34=0,calcA!$A$6=0),0,IF(V$117=1,V34,0)+IF(W$117=1,X34,0))</f>
        <v/>
      </c>
      <c r="X204">
        <f>IF(OR($IW34=0,calcA!$A$6=0),0,IF(W$117=1,W34,0)+IF(X$117=1,Y34,0))</f>
        <v/>
      </c>
      <c r="Y204">
        <f>IF(OR($IW34=0,calcA!$A$6=0),0,IF(X$117=1,X34,0)+IF(Y$117=1,Z34,0))</f>
        <v/>
      </c>
      <c r="Z204">
        <f>IF(OR($IW34=0,calcA!$A$6=0),0,IF(Y$117=1,Y34,0)+IF(Z$117=1,AA34,0))</f>
        <v/>
      </c>
      <c r="AA204">
        <f>IF(OR($IW34=0,calcA!$A$6=0),0,IF(Z$117=1,Z34,0))</f>
        <v/>
      </c>
      <c r="AB204">
        <f>IF(OR($IW34=0,calcA!$A$6=0),0,IF(AB$117=1,AC34,0))</f>
        <v/>
      </c>
      <c r="AC204">
        <f>IF(OR($IW34=0,calcA!$A$6=0),0,IF(AB$117=1,AB34,0)+IF(AC$117=1,AD34,0))</f>
        <v/>
      </c>
      <c r="AD204">
        <f>IF(OR($IW34=0,calcA!$A$6=0),0,IF(AC$117=1,AC34,0)+IF(AD$117=1,AE34,0))</f>
        <v/>
      </c>
      <c r="AE204">
        <f>IF(OR($IW34=0,calcA!$A$6=0),0,IF(AD$117=1,AD34,0)+IF(AE$117=1,AF34,0))</f>
        <v/>
      </c>
      <c r="AF204">
        <f>IF(OR($IW34=0,calcA!$A$6=0),0,IF(AE$117=1,AE34,0)+IF(AF$117=1,AG34,0))</f>
        <v/>
      </c>
      <c r="AG204">
        <f>IF(OR($IW34=0,calcA!$A$6=0),0,IF(AF$117=1,AF34,0)+IF(AG$117=1,AH34,0))</f>
        <v/>
      </c>
      <c r="AH204">
        <f>IF(OR($IW34=0,calcA!$A$6=0),0,IF(AG$117=1,AG34,0)+IF(AH$117=1,AI34,0))</f>
        <v/>
      </c>
      <c r="AI204">
        <f>IF(OR($IW34=0,calcA!$A$6=0),0,IF(AH$117=1,AH34,0)+IF(AI$117=1,AJ34,0))</f>
        <v/>
      </c>
      <c r="AJ204">
        <f>IF(OR($IW34=0,calcA!$A$6=0),0,IF(AI$117=1,AI34,0)+IF(AJ$117=1,AK34,0))</f>
        <v/>
      </c>
      <c r="AK204">
        <f>IF(OR($IW34=0,calcA!$A$6=0),0,IF(AJ$117=1,AJ34,0)+IF(AK$117=1,AL34,0))</f>
        <v/>
      </c>
      <c r="AL204">
        <f>IF(OR($IW34=0,calcA!$A$6=0),0,IF(AK$117=1,AK34,0)+IF(AL$117=1,AM34,0))</f>
        <v/>
      </c>
      <c r="AM204">
        <f>IF(OR($IW34=0,calcA!$A$6=0),0,IF(AL$117=1,AL34,0)+IF(AM$117=1,AN34,0))</f>
        <v/>
      </c>
      <c r="AN204">
        <f>IF(OR($IW34=0,calcA!$A$6=0),0,IF(AM$117=1,AM34,0)+IF(AN$117=1,AO34,0))</f>
        <v/>
      </c>
      <c r="AO204">
        <f>IF(OR($IW34=0,calcA!$A$6=0),0,IF(AN$117=1,AN34,0)+IF(AO$117=1,AP34,0))</f>
        <v/>
      </c>
      <c r="AP204">
        <f>IF(OR($IW34=0,calcA!$A$6=0),0,IF(AO$117=1,AO34,0)+IF(AP$117=1,AQ34,0))</f>
        <v/>
      </c>
      <c r="AQ204">
        <f>IF(OR($IW34=0,calcA!$A$6=0),0,IF(AP$117=1,AP34,0)+IF(AQ$117=1,AR34,0))</f>
        <v/>
      </c>
      <c r="AR204">
        <f>IF(OR($IW34=0,calcA!$A$6=0),0,IF(AQ$117=1,AQ34,0)+IF(AR$117=1,AS34,0))</f>
        <v/>
      </c>
      <c r="AS204">
        <f>IF(OR($IW34=0,calcA!$A$6=0),0,IF(AR$117=1,AR34,0)+IF(AS$117=1,AT34,0))</f>
        <v/>
      </c>
      <c r="AT204">
        <f>IF(OR($IW34=0,calcA!$A$6=0),0,IF(AS$117=1,AS34,0)+IF(AT$117=1,AU34,0))</f>
        <v/>
      </c>
      <c r="AU204">
        <f>IF(OR($IW34=0,calcA!$A$6=0),0,IF(AT$117=1,AT34,0)+IF(AU$117=1,AV34,0))</f>
        <v/>
      </c>
      <c r="AV204">
        <f>IF(OR($IW34=0,calcA!$A$6=0),0,IF(AU$117=1,AU34,0)+IF(AV$117=1,AW34,0))</f>
        <v/>
      </c>
      <c r="AW204">
        <f>IF(OR($IW34=0,calcA!$A$6=0),0,IF(AV$117=1,AV34,0)+IF(AW$117=1,AX34,0))</f>
        <v/>
      </c>
      <c r="AX204">
        <f>IF(OR($IW34=0,calcA!$A$6=0),0,IF(AW$117=1,AW34,0)+IF(AX$117=1,AY34,0))</f>
        <v/>
      </c>
      <c r="AY204">
        <f>IF(OR($IW34=0,calcA!$A$6=0),0,IF(AX$117=1,AX34,0))</f>
        <v/>
      </c>
      <c r="AZ204">
        <f>IF(OR($IW34=0,calcA!$A$6=0),0,IF(AZ$117=1,BA34,0))</f>
        <v/>
      </c>
      <c r="BA204">
        <f>IF(OR($IW34=0,calcA!$A$6=0),0,IF(AZ$117=1,AZ34,0)+IF(BA$117=1,BB34,0))</f>
        <v/>
      </c>
      <c r="BB204">
        <f>IF(OR($IW34=0,calcA!$A$6=0),0,IF(BA$117=1,BA34,0)+IF(BB$117=1,BC34,0))</f>
        <v/>
      </c>
      <c r="BC204">
        <f>IF(OR($IW34=0,calcA!$A$6=0),0,IF(BB$117=1,BB34,0)+IF(BC$117=1,BD34,0))</f>
        <v/>
      </c>
      <c r="BD204">
        <f>IF(OR($IW34=0,calcA!$A$6=0),0,IF(BC$117=1,BC34,0)+IF(BD$117=1,BE34,0))</f>
        <v/>
      </c>
      <c r="BE204">
        <f>IF(OR($IW34=0,calcA!$A$6=0),0,IF(BD$117=1,BD34,0)+IF(BE$117=1,BF34,0))</f>
        <v/>
      </c>
      <c r="BF204">
        <f>IF(OR($IW34=0,calcA!$A$6=0),0,IF(BE$117=1,BE34,0)+IF(BF$117=1,BG34,0))</f>
        <v/>
      </c>
      <c r="BG204">
        <f>IF(OR($IW34=0,calcA!$A$6=0),0,IF(BF$117=1,BF34,0)+IF(BG$117=1,BH34,0))</f>
        <v/>
      </c>
      <c r="BH204">
        <f>IF(OR($IW34=0,calcA!$A$6=0),0,IF(BG$117=1,BG34,0)+IF(BH$117=1,BI34,0))</f>
        <v/>
      </c>
      <c r="BI204">
        <f>IF(OR($IW34=0,calcA!$A$6=0),0,IF(BH$117=1,BH34,0)+IF(BI$117=1,BJ34,0))</f>
        <v/>
      </c>
      <c r="BJ204">
        <f>IF(OR($IW34=0,calcA!$A$6=0),0,IF(BI$117=1,BI34,0)+IF(BJ$117=1,BK34,0))</f>
        <v/>
      </c>
      <c r="BK204">
        <f>IF(OR($IW34=0,calcA!$A$6=0),0,IF(BJ$117=1,BJ34,0)+IF(BK$117=1,BL34,0))</f>
        <v/>
      </c>
      <c r="BL204">
        <f>IF(OR($IW34=0,calcA!$A$6=0),0,IF(BK$117=1,BK34,0)+IF(BL$117=1,BM34,0))</f>
        <v/>
      </c>
      <c r="BM204">
        <f>IF(OR($IW34=0,calcA!$A$6=0),0,IF(BL$117=1,BL34,0)+IF(BM$117=1,BN34,0))</f>
        <v/>
      </c>
      <c r="BN204">
        <f>IF(OR($IW34=0,calcA!$A$6=0),0,IF(BM$117=1,BM34,0)+IF(BN$117=1,BO34,0))</f>
        <v/>
      </c>
      <c r="BO204">
        <f>IF(OR($IW34=0,calcA!$A$6=0),0,IF(BN$117=1,BN34,0)+IF(BO$117=1,BP34,0))</f>
        <v/>
      </c>
      <c r="BP204">
        <f>IF(OR($IW34=0,calcA!$A$6=0),0,IF(BO$117=1,BO34,0)+IF(BP$117=1,BQ34,0))</f>
        <v/>
      </c>
      <c r="BQ204">
        <f>IF(OR($IW34=0,calcA!$A$6=0),0,IF(BP$117=1,BP34,0)+IF(BQ$117=1,BR34,0))</f>
        <v/>
      </c>
      <c r="BR204">
        <f>IF(OR($IW34=0,calcA!$A$6=0),0,IF(BQ$117=1,BQ34,0)+IF(BR$117=1,BS34,0))</f>
        <v/>
      </c>
      <c r="BS204">
        <f>IF(OR($IW34=0,calcA!$A$6=0),0,IF(BR$117=1,BR34,0)+IF(BS$117=1,BT34,0))</f>
        <v/>
      </c>
      <c r="BT204">
        <f>IF(OR($IW34=0,calcA!$A$6=0),0,IF(BS$117=1,BS34,0)+IF(BT$117=1,BU34,0))</f>
        <v/>
      </c>
      <c r="BU204">
        <f>IF(OR($IW34=0,calcA!$A$6=0),0,IF(BT$117=1,BT34,0)+IF(BU$117=1,BV34,0))</f>
        <v/>
      </c>
      <c r="BV204">
        <f>IF(OR($IW34=0,calcA!$A$6=0),0,IF(BU$117=1,BU34,0)+IF(BV$117=1,BW34,0))</f>
        <v/>
      </c>
      <c r="BW204">
        <f>IF(OR($IW34=0,calcA!$A$6=0),0,IF(BV$117=1,BV34,0))</f>
        <v/>
      </c>
      <c r="BX204">
        <f>IF(OR($IW34=0,calcA!$A$6=0),0,IF(BX$117=1,BY34,0))</f>
        <v/>
      </c>
      <c r="BY204">
        <f>IF(OR($IW34=0,calcA!$A$6=0),0,IF(BX$117=1,BX34,0)+IF(BY$117=1,BZ34,0))</f>
        <v/>
      </c>
      <c r="BZ204">
        <f>IF(OR($IW34=0,calcA!$A$6=0),0,IF(BY$117=1,BY34,0)+IF(BZ$117=1,CA34,0))</f>
        <v/>
      </c>
      <c r="CA204">
        <f>IF(OR($IW34=0,calcA!$A$6=0),0,IF(BZ$117=1,BZ34,0)+IF(CA$117=1,CB34,0))</f>
        <v/>
      </c>
      <c r="CB204">
        <f>IF(OR($IW34=0,calcA!$A$6=0),0,IF(CA$117=1,CA34,0)+IF(CB$117=1,CC34,0))</f>
        <v/>
      </c>
      <c r="CC204">
        <f>IF(OR($IW34=0,calcA!$A$6=0),0,IF(CB$117=1,CB34,0)+IF(CC$117=1,CD34,0))</f>
        <v/>
      </c>
      <c r="CD204">
        <f>IF(OR($IW34=0,calcA!$A$6=0),0,IF(CC$117=1,CC34,0)+IF(CD$117=1,CE34,0))</f>
        <v/>
      </c>
      <c r="CE204">
        <f>IF(OR($IW34=0,calcA!$A$6=0),0,IF(CD$117=1,CD34,0)+IF(CE$117=1,CF34,0))</f>
        <v/>
      </c>
      <c r="CF204">
        <f>IF(OR($IW34=0,calcA!$A$6=0),0,IF(CE$117=1,CE34,0)+IF(CF$117=1,CG34,0))</f>
        <v/>
      </c>
      <c r="CG204">
        <f>IF(OR($IW34=0,calcA!$A$6=0),0,IF(CF$117=1,CF34,0)+IF(CG$117=1,CH34,0))</f>
        <v/>
      </c>
      <c r="CH204">
        <f>IF(OR($IW34=0,calcA!$A$6=0),0,IF(CG$117=1,CG34,0)+IF(CH$117=1,CI34,0))</f>
        <v/>
      </c>
      <c r="CI204">
        <f>IF(OR($IW34=0,calcA!$A$6=0),0,IF(CH$117=1,CH34,0)+IF(CI$117=1,CJ34,0))</f>
        <v/>
      </c>
      <c r="CJ204">
        <f>IF(OR($IW34=0,calcA!$A$6=0),0,IF(CI$117=1,CI34,0)+IF(CJ$117=1,CK34,0))</f>
        <v/>
      </c>
      <c r="CK204">
        <f>IF(OR($IW34=0,calcA!$A$6=0),0,IF(CJ$117=1,CJ34,0)+IF(CK$117=1,CL34,0))</f>
        <v/>
      </c>
      <c r="CL204">
        <f>IF(OR($IW34=0,calcA!$A$6=0),0,IF(CK$117=1,CK34,0)+IF(CL$117=1,CM34,0))</f>
        <v/>
      </c>
      <c r="CM204">
        <f>IF(OR($IW34=0,calcA!$A$6=0),0,IF(CL$117=1,CL34,0)+IF(CM$117=1,CN34,0))</f>
        <v/>
      </c>
      <c r="CN204">
        <f>IF(OR($IW34=0,calcA!$A$6=0),0,IF(CM$117=1,CM34,0)+IF(CN$117=1,CO34,0))</f>
        <v/>
      </c>
      <c r="CO204">
        <f>IF(OR($IW34=0,calcA!$A$6=0),0,IF(CN$117=1,CN34,0)+IF(CO$117=1,CP34,0))</f>
        <v/>
      </c>
      <c r="CP204">
        <f>IF(OR($IW34=0,calcA!$A$6=0),0,IF(CO$117=1,CO34,0)+IF(CP$117=1,CQ34,0))</f>
        <v/>
      </c>
      <c r="CQ204">
        <f>IF(OR($IW34=0,calcA!$A$6=0),0,IF(CP$117=1,CP34,0)+IF(CQ$117=1,CR34,0))</f>
        <v/>
      </c>
      <c r="CR204">
        <f>IF(OR($IW34=0,calcA!$A$6=0),0,IF(CQ$117=1,CQ34,0)+IF(CR$117=1,CS34,0))</f>
        <v/>
      </c>
      <c r="CS204">
        <f>IF(OR($IW34=0,calcA!$A$6=0),0,IF(CR$117=1,CR34,0)+IF(CS$117=1,CT34,0))</f>
        <v/>
      </c>
      <c r="CT204">
        <f>IF(OR($IW34=0,calcA!$A$6=0),0,IF(CS$117=1,CS34,0)+IF(CT$117=1,CU34,0))</f>
        <v/>
      </c>
      <c r="CU204">
        <f>IF(OR($IW34=0,calcA!$A$6=0),0,IF(CT$117=1,CT34,0))</f>
        <v/>
      </c>
      <c r="CV204">
        <f>IF(OR($IW34=0,calcA!$A$6=0),0,IF(CV$117=1,CW34,0))</f>
        <v/>
      </c>
      <c r="CW204">
        <f>IF(OR($IW34=0,calcA!$A$6=0),0,IF(CV$117=1,CV34,0)+IF(CW$117=1,CX34,0))</f>
        <v/>
      </c>
      <c r="CX204">
        <f>IF(OR($IW34=0,calcA!$A$6=0),0,IF(CW$117=1,CW34,0)+IF(CX$117=1,CY34,0))</f>
        <v/>
      </c>
      <c r="CY204">
        <f>IF(OR($IW34=0,calcA!$A$6=0),0,IF(CX$117=1,CX34,0)+IF(CY$117=1,CZ34,0))</f>
        <v/>
      </c>
      <c r="CZ204">
        <f>IF(OR($IW34=0,calcA!$A$6=0),0,IF(CY$117=1,CY34,0)+IF(CZ$117=1,DA34,0))</f>
        <v/>
      </c>
      <c r="DA204">
        <f>IF(OR($IW34=0,calcA!$A$6=0),0,IF(CZ$117=1,CZ34,0)+IF(DA$117=1,DB34,0))</f>
        <v/>
      </c>
      <c r="DB204">
        <f>IF(OR($IW34=0,calcA!$A$6=0),0,IF(DA$117=1,DA34,0)+IF(DB$117=1,DC34,0))</f>
        <v/>
      </c>
      <c r="DC204">
        <f>IF(OR($IW34=0,calcA!$A$6=0),0,IF(DB$117=1,DB34,0)+IF(DC$117=1,DD34,0))</f>
        <v/>
      </c>
      <c r="DD204">
        <f>IF(OR($IW34=0,calcA!$A$6=0),0,IF(DC$117=1,DC34,0)+IF(DD$117=1,DE34,0))</f>
        <v/>
      </c>
      <c r="DE204">
        <f>IF(OR($IW34=0,calcA!$A$6=0),0,IF(DD$117=1,DD34,0)+IF(DE$117=1,DF34,0))</f>
        <v/>
      </c>
      <c r="DF204">
        <f>IF(OR($IW34=0,calcA!$A$6=0),0,IF(DE$117=1,DE34,0)+IF(DF$117=1,DG34,0))</f>
        <v/>
      </c>
      <c r="DG204">
        <f>IF(OR($IW34=0,calcA!$A$6=0),0,IF(DF$117=1,DF34,0)+IF(DG$117=1,DH34,0))</f>
        <v/>
      </c>
      <c r="DH204">
        <f>IF(OR($IW34=0,calcA!$A$6=0),0,IF(DG$117=1,DG34,0)+IF(DH$117=1,DI34,0))</f>
        <v/>
      </c>
      <c r="DI204">
        <f>IF(OR($IW34=0,calcA!$A$6=0),0,IF(DH$117=1,DH34,0)+IF(DI$117=1,DJ34,0))</f>
        <v/>
      </c>
      <c r="DJ204">
        <f>IF(OR($IW34=0,calcA!$A$6=0),0,IF(DI$117=1,DI34,0)+IF(DJ$117=1,DK34,0))</f>
        <v/>
      </c>
      <c r="DK204">
        <f>IF(OR($IW34=0,calcA!$A$6=0),0,IF(DJ$117=1,DJ34,0)+IF(DK$117=1,DL34,0))</f>
        <v/>
      </c>
      <c r="DL204">
        <f>IF(OR($IW34=0,calcA!$A$6=0),0,IF(DK$117=1,DK34,0)+IF(DL$117=1,DM34,0))</f>
        <v/>
      </c>
      <c r="DM204">
        <f>IF(OR($IW34=0,calcA!$A$6=0),0,IF(DL$117=1,DL34,0)+IF(DM$117=1,DN34,0))</f>
        <v/>
      </c>
      <c r="DN204">
        <f>IF(OR($IW34=0,calcA!$A$6=0),0,IF(DM$117=1,DM34,0)+IF(DN$117=1,DO34,0))</f>
        <v/>
      </c>
      <c r="DO204">
        <f>IF(OR($IW34=0,calcA!$A$6=0),0,IF(DN$117=1,DN34,0)+IF(DO$117=1,DP34,0))</f>
        <v/>
      </c>
      <c r="DP204">
        <f>IF(OR($IW34=0,calcA!$A$6=0),0,IF(DO$117=1,DO34,0)+IF(DP$117=1,DQ34,0))</f>
        <v/>
      </c>
      <c r="DQ204">
        <f>IF(OR($IW34=0,calcA!$A$6=0),0,IF(DP$117=1,DP34,0)+IF(DQ$117=1,DR34,0))</f>
        <v/>
      </c>
      <c r="DR204">
        <f>IF(OR($IW34=0,calcA!$A$6=0),0,IF(DQ$117=1,DQ34,0)+IF(DR$117=1,DS34,0))</f>
        <v/>
      </c>
      <c r="DS204">
        <f>IF(OR($IW34=0,calcA!$A$6=0),0,IF(DR$117=1,DR34,0))</f>
        <v/>
      </c>
      <c r="DT204">
        <f>IF(OR($IW34=0,calcA!$A$6=0),0,IF(DT$117=1,DU34,0))</f>
        <v/>
      </c>
      <c r="DU204">
        <f>IF(OR($IW34=0,calcA!$A$6=0),0,IF(DT$117=1,DT34,0)+IF(DU$117=1,DV34,0))</f>
        <v/>
      </c>
      <c r="DV204">
        <f>IF(OR($IW34=0,calcA!$A$6=0),0,IF(DU$117=1,DU34,0)+IF(DV$117=1,DW34,0))</f>
        <v/>
      </c>
      <c r="DW204">
        <f>IF(OR($IW34=0,calcA!$A$6=0),0,IF(DV$117=1,DV34,0)+IF(DW$117=1,DX34,0))</f>
        <v/>
      </c>
      <c r="DX204">
        <f>IF(OR($IW34=0,calcA!$A$6=0),0,IF(DW$117=1,DW34,0)+IF(DX$117=1,DY34,0))</f>
        <v/>
      </c>
      <c r="DY204">
        <f>IF(OR($IW34=0,calcA!$A$6=0),0,IF(DX$117=1,DX34,0)+IF(DY$117=1,DZ34,0))</f>
        <v/>
      </c>
      <c r="DZ204">
        <f>IF(OR($IW34=0,calcA!$A$6=0),0,IF(DY$117=1,DY34,0)+IF(DZ$117=1,EA34,0))</f>
        <v/>
      </c>
      <c r="EA204">
        <f>IF(OR($IW34=0,calcA!$A$6=0),0,IF(DZ$117=1,DZ34,0)+IF(EA$117=1,EB34,0))</f>
        <v/>
      </c>
      <c r="EB204">
        <f>IF(OR($IW34=0,calcA!$A$6=0),0,IF(EA$117=1,EA34,0)+IF(EB$117=1,EC34,0))</f>
        <v/>
      </c>
      <c r="EC204">
        <f>IF(OR($IW34=0,calcA!$A$6=0),0,IF(EB$117=1,EB34,0)+IF(EC$117=1,ED34,0))</f>
        <v/>
      </c>
      <c r="ED204">
        <f>IF(OR($IW34=0,calcA!$A$6=0),0,IF(EC$117=1,EC34,0)+IF(ED$117=1,EE34,0))</f>
        <v/>
      </c>
      <c r="EE204">
        <f>IF(OR($IW34=0,calcA!$A$6=0),0,IF(ED$117=1,ED34,0)+IF(EE$117=1,EF34,0))</f>
        <v/>
      </c>
      <c r="EF204">
        <f>IF(OR($IW34=0,calcA!$A$6=0),0,IF(EE$117=1,EE34,0)+IF(EF$117=1,EG34,0))</f>
        <v/>
      </c>
      <c r="EG204">
        <f>IF(OR($IW34=0,calcA!$A$6=0),0,IF(EF$117=1,EF34,0)+IF(EG$117=1,EH34,0))</f>
        <v/>
      </c>
      <c r="EH204">
        <f>IF(OR($IW34=0,calcA!$A$6=0),0,IF(EG$117=1,EG34,0)+IF(EH$117=1,EI34,0))</f>
        <v/>
      </c>
      <c r="EI204">
        <f>IF(OR($IW34=0,calcA!$A$6=0),0,IF(EH$117=1,EH34,0)+IF(EI$117=1,EJ34,0))</f>
        <v/>
      </c>
      <c r="EJ204">
        <f>IF(OR($IW34=0,calcA!$A$6=0),0,IF(EI$117=1,EI34,0)+IF(EJ$117=1,EK34,0))</f>
        <v/>
      </c>
      <c r="EK204">
        <f>IF(OR($IW34=0,calcA!$A$6=0),0,IF(EJ$117=1,EJ34,0)+IF(EK$117=1,EL34,0))</f>
        <v/>
      </c>
      <c r="EL204">
        <f>IF(OR($IW34=0,calcA!$A$6=0),0,IF(EK$117=1,EK34,0)+IF(EL$117=1,EM34,0))</f>
        <v/>
      </c>
      <c r="EM204">
        <f>IF(OR($IW34=0,calcA!$A$6=0),0,IF(EL$117=1,EL34,0)+IF(EM$117=1,EN34,0))</f>
        <v/>
      </c>
      <c r="EN204">
        <f>IF(OR($IW34=0,calcA!$A$6=0),0,IF(EM$117=1,EM34,0)+IF(EN$117=1,EO34,0))</f>
        <v/>
      </c>
      <c r="EO204">
        <f>IF(OR($IW34=0,calcA!$A$6=0),0,IF(EN$117=1,EN34,0)+IF(EO$117=1,EP34,0))</f>
        <v/>
      </c>
      <c r="EP204">
        <f>IF(OR($IW34=0,calcA!$A$6=0),0,IF(EO$117=1,EO34,0)+IF(EP$117=1,EQ34,0))</f>
        <v/>
      </c>
      <c r="EQ204">
        <f>IF(OR($IW34=0,calcA!$A$6=0),0,IF(EP$117=1,EP34,0))</f>
        <v/>
      </c>
    </row>
    <row r="205">
      <c r="D205">
        <f>IF(OR($IW35=0,calcA!$A$6=0),0,IF(D$117=1,E35,0))</f>
        <v/>
      </c>
      <c r="E205">
        <f>IF(OR($IW35=0,calcA!$A$6=0),0,IF(D$117=1,D35,0)+IF(E$117=1,F35,0))</f>
        <v/>
      </c>
      <c r="F205">
        <f>IF(OR($IW35=0,calcA!$A$6=0),0,IF(E$117=1,E35,0)+IF(F$117=1,G35,0))</f>
        <v/>
      </c>
      <c r="G205">
        <f>IF(OR($IW35=0,calcA!$A$6=0),0,IF(F$117=1,F35,0)+IF(G$117=1,H35,0))</f>
        <v/>
      </c>
      <c r="H205">
        <f>IF(OR($IW35=0,calcA!$A$6=0),0,IF(G$117=1,G35,0)+IF(H$117=1,I35,0))</f>
        <v/>
      </c>
      <c r="I205">
        <f>IF(OR($IW35=0,calcA!$A$6=0),0,IF(H$117=1,H35,0)+IF(I$117=1,J35,0))</f>
        <v/>
      </c>
      <c r="J205">
        <f>IF(OR($IW35=0,calcA!$A$6=0),0,IF(I$117=1,I35,0)+IF(J$117=1,K35,0))</f>
        <v/>
      </c>
      <c r="K205">
        <f>IF(OR($IW35=0,calcA!$A$6=0),0,IF(J$117=1,J35,0)+IF(K$117=1,L35,0))</f>
        <v/>
      </c>
      <c r="L205">
        <f>IF(OR($IW35=0,calcA!$A$6=0),0,IF(K$117=1,K35,0)+IF(L$117=1,M35,0))</f>
        <v/>
      </c>
      <c r="M205">
        <f>IF(OR($IW35=0,calcA!$A$6=0),0,IF(L$117=1,L35,0)+IF(M$117=1,N35,0))</f>
        <v/>
      </c>
      <c r="N205">
        <f>IF(OR($IW35=0,calcA!$A$6=0),0,IF(M$117=1,M35,0)+IF(N$117=1,O35,0))</f>
        <v/>
      </c>
      <c r="O205">
        <f>IF(OR($IW35=0,calcA!$A$6=0),0,IF(N$117=1,N35,0)+IF(O$117=1,P35,0))</f>
        <v/>
      </c>
      <c r="P205">
        <f>IF(OR($IW35=0,calcA!$A$6=0),0,IF(O$117=1,O35,0)+IF(P$117=1,Q35,0))</f>
        <v/>
      </c>
      <c r="Q205">
        <f>IF(OR($IW35=0,calcA!$A$6=0),0,IF(P$117=1,P35,0)+IF(Q$117=1,R35,0))</f>
        <v/>
      </c>
      <c r="R205">
        <f>IF(OR($IW35=0,calcA!$A$6=0),0,IF(Q$117=1,Q35,0)+IF(R$117=1,S35,0))</f>
        <v/>
      </c>
      <c r="S205">
        <f>IF(OR($IW35=0,calcA!$A$6=0),0,IF(R$117=1,R35,0)+IF(S$117=1,T35,0))</f>
        <v/>
      </c>
      <c r="T205">
        <f>IF(OR($IW35=0,calcA!$A$6=0),0,IF(S$117=1,S35,0)+IF(T$117=1,U35,0))</f>
        <v/>
      </c>
      <c r="U205">
        <f>IF(OR($IW35=0,calcA!$A$6=0),0,IF(T$117=1,T35,0)+IF(U$117=1,V35,0))</f>
        <v/>
      </c>
      <c r="V205">
        <f>IF(OR($IW35=0,calcA!$A$6=0),0,IF(U$117=1,U35,0)+IF(V$117=1,W35,0))</f>
        <v/>
      </c>
      <c r="W205">
        <f>IF(OR($IW35=0,calcA!$A$6=0),0,IF(V$117=1,V35,0)+IF(W$117=1,X35,0))</f>
        <v/>
      </c>
      <c r="X205">
        <f>IF(OR($IW35=0,calcA!$A$6=0),0,IF(W$117=1,W35,0)+IF(X$117=1,Y35,0))</f>
        <v/>
      </c>
      <c r="Y205">
        <f>IF(OR($IW35=0,calcA!$A$6=0),0,IF(X$117=1,X35,0)+IF(Y$117=1,Z35,0))</f>
        <v/>
      </c>
      <c r="Z205">
        <f>IF(OR($IW35=0,calcA!$A$6=0),0,IF(Y$117=1,Y35,0)+IF(Z$117=1,AA35,0))</f>
        <v/>
      </c>
      <c r="AA205">
        <f>IF(OR($IW35=0,calcA!$A$6=0),0,IF(Z$117=1,Z35,0))</f>
        <v/>
      </c>
      <c r="AB205">
        <f>IF(OR($IW35=0,calcA!$A$6=0),0,IF(AB$117=1,AC35,0))</f>
        <v/>
      </c>
      <c r="AC205">
        <f>IF(OR($IW35=0,calcA!$A$6=0),0,IF(AB$117=1,AB35,0)+IF(AC$117=1,AD35,0))</f>
        <v/>
      </c>
      <c r="AD205">
        <f>IF(OR($IW35=0,calcA!$A$6=0),0,IF(AC$117=1,AC35,0)+IF(AD$117=1,AE35,0))</f>
        <v/>
      </c>
      <c r="AE205">
        <f>IF(OR($IW35=0,calcA!$A$6=0),0,IF(AD$117=1,AD35,0)+IF(AE$117=1,AF35,0))</f>
        <v/>
      </c>
      <c r="AF205">
        <f>IF(OR($IW35=0,calcA!$A$6=0),0,IF(AE$117=1,AE35,0)+IF(AF$117=1,AG35,0))</f>
        <v/>
      </c>
      <c r="AG205">
        <f>IF(OR($IW35=0,calcA!$A$6=0),0,IF(AF$117=1,AF35,0)+IF(AG$117=1,AH35,0))</f>
        <v/>
      </c>
      <c r="AH205">
        <f>IF(OR($IW35=0,calcA!$A$6=0),0,IF(AG$117=1,AG35,0)+IF(AH$117=1,AI35,0))</f>
        <v/>
      </c>
      <c r="AI205">
        <f>IF(OR($IW35=0,calcA!$A$6=0),0,IF(AH$117=1,AH35,0)+IF(AI$117=1,AJ35,0))</f>
        <v/>
      </c>
      <c r="AJ205">
        <f>IF(OR($IW35=0,calcA!$A$6=0),0,IF(AI$117=1,AI35,0)+IF(AJ$117=1,AK35,0))</f>
        <v/>
      </c>
      <c r="AK205">
        <f>IF(OR($IW35=0,calcA!$A$6=0),0,IF(AJ$117=1,AJ35,0)+IF(AK$117=1,AL35,0))</f>
        <v/>
      </c>
      <c r="AL205">
        <f>IF(OR($IW35=0,calcA!$A$6=0),0,IF(AK$117=1,AK35,0)+IF(AL$117=1,AM35,0))</f>
        <v/>
      </c>
      <c r="AM205">
        <f>IF(OR($IW35=0,calcA!$A$6=0),0,IF(AL$117=1,AL35,0)+IF(AM$117=1,AN35,0))</f>
        <v/>
      </c>
      <c r="AN205">
        <f>IF(OR($IW35=0,calcA!$A$6=0),0,IF(AM$117=1,AM35,0)+IF(AN$117=1,AO35,0))</f>
        <v/>
      </c>
      <c r="AO205">
        <f>IF(OR($IW35=0,calcA!$A$6=0),0,IF(AN$117=1,AN35,0)+IF(AO$117=1,AP35,0))</f>
        <v/>
      </c>
      <c r="AP205">
        <f>IF(OR($IW35=0,calcA!$A$6=0),0,IF(AO$117=1,AO35,0)+IF(AP$117=1,AQ35,0))</f>
        <v/>
      </c>
      <c r="AQ205">
        <f>IF(OR($IW35=0,calcA!$A$6=0),0,IF(AP$117=1,AP35,0)+IF(AQ$117=1,AR35,0))</f>
        <v/>
      </c>
      <c r="AR205">
        <f>IF(OR($IW35=0,calcA!$A$6=0),0,IF(AQ$117=1,AQ35,0)+IF(AR$117=1,AS35,0))</f>
        <v/>
      </c>
      <c r="AS205">
        <f>IF(OR($IW35=0,calcA!$A$6=0),0,IF(AR$117=1,AR35,0)+IF(AS$117=1,AT35,0))</f>
        <v/>
      </c>
      <c r="AT205">
        <f>IF(OR($IW35=0,calcA!$A$6=0),0,IF(AS$117=1,AS35,0)+IF(AT$117=1,AU35,0))</f>
        <v/>
      </c>
      <c r="AU205">
        <f>IF(OR($IW35=0,calcA!$A$6=0),0,IF(AT$117=1,AT35,0)+IF(AU$117=1,AV35,0))</f>
        <v/>
      </c>
      <c r="AV205">
        <f>IF(OR($IW35=0,calcA!$A$6=0),0,IF(AU$117=1,AU35,0)+IF(AV$117=1,AW35,0))</f>
        <v/>
      </c>
      <c r="AW205">
        <f>IF(OR($IW35=0,calcA!$A$6=0),0,IF(AV$117=1,AV35,0)+IF(AW$117=1,AX35,0))</f>
        <v/>
      </c>
      <c r="AX205">
        <f>IF(OR($IW35=0,calcA!$A$6=0),0,IF(AW$117=1,AW35,0)+IF(AX$117=1,AY35,0))</f>
        <v/>
      </c>
      <c r="AY205">
        <f>IF(OR($IW35=0,calcA!$A$6=0),0,IF(AX$117=1,AX35,0))</f>
        <v/>
      </c>
      <c r="AZ205">
        <f>IF(OR($IW35=0,calcA!$A$6=0),0,IF(AZ$117=1,BA35,0))</f>
        <v/>
      </c>
      <c r="BA205">
        <f>IF(OR($IW35=0,calcA!$A$6=0),0,IF(AZ$117=1,AZ35,0)+IF(BA$117=1,BB35,0))</f>
        <v/>
      </c>
      <c r="BB205">
        <f>IF(OR($IW35=0,calcA!$A$6=0),0,IF(BA$117=1,BA35,0)+IF(BB$117=1,BC35,0))</f>
        <v/>
      </c>
      <c r="BC205">
        <f>IF(OR($IW35=0,calcA!$A$6=0),0,IF(BB$117=1,BB35,0)+IF(BC$117=1,BD35,0))</f>
        <v/>
      </c>
      <c r="BD205">
        <f>IF(OR($IW35=0,calcA!$A$6=0),0,IF(BC$117=1,BC35,0)+IF(BD$117=1,BE35,0))</f>
        <v/>
      </c>
      <c r="BE205">
        <f>IF(OR($IW35=0,calcA!$A$6=0),0,IF(BD$117=1,BD35,0)+IF(BE$117=1,BF35,0))</f>
        <v/>
      </c>
      <c r="BF205">
        <f>IF(OR($IW35=0,calcA!$A$6=0),0,IF(BE$117=1,BE35,0)+IF(BF$117=1,BG35,0))</f>
        <v/>
      </c>
      <c r="BG205">
        <f>IF(OR($IW35=0,calcA!$A$6=0),0,IF(BF$117=1,BF35,0)+IF(BG$117=1,BH35,0))</f>
        <v/>
      </c>
      <c r="BH205">
        <f>IF(OR($IW35=0,calcA!$A$6=0),0,IF(BG$117=1,BG35,0)+IF(BH$117=1,BI35,0))</f>
        <v/>
      </c>
      <c r="BI205">
        <f>IF(OR($IW35=0,calcA!$A$6=0),0,IF(BH$117=1,BH35,0)+IF(BI$117=1,BJ35,0))</f>
        <v/>
      </c>
      <c r="BJ205">
        <f>IF(OR($IW35=0,calcA!$A$6=0),0,IF(BI$117=1,BI35,0)+IF(BJ$117=1,BK35,0))</f>
        <v/>
      </c>
      <c r="BK205">
        <f>IF(OR($IW35=0,calcA!$A$6=0),0,IF(BJ$117=1,BJ35,0)+IF(BK$117=1,BL35,0))</f>
        <v/>
      </c>
      <c r="BL205">
        <f>IF(OR($IW35=0,calcA!$A$6=0),0,IF(BK$117=1,BK35,0)+IF(BL$117=1,BM35,0))</f>
        <v/>
      </c>
      <c r="BM205">
        <f>IF(OR($IW35=0,calcA!$A$6=0),0,IF(BL$117=1,BL35,0)+IF(BM$117=1,BN35,0))</f>
        <v/>
      </c>
      <c r="BN205">
        <f>IF(OR($IW35=0,calcA!$A$6=0),0,IF(BM$117=1,BM35,0)+IF(BN$117=1,BO35,0))</f>
        <v/>
      </c>
      <c r="BO205">
        <f>IF(OR($IW35=0,calcA!$A$6=0),0,IF(BN$117=1,BN35,0)+IF(BO$117=1,BP35,0))</f>
        <v/>
      </c>
      <c r="BP205">
        <f>IF(OR($IW35=0,calcA!$A$6=0),0,IF(BO$117=1,BO35,0)+IF(BP$117=1,BQ35,0))</f>
        <v/>
      </c>
      <c r="BQ205">
        <f>IF(OR($IW35=0,calcA!$A$6=0),0,IF(BP$117=1,BP35,0)+IF(BQ$117=1,BR35,0))</f>
        <v/>
      </c>
      <c r="BR205">
        <f>IF(OR($IW35=0,calcA!$A$6=0),0,IF(BQ$117=1,BQ35,0)+IF(BR$117=1,BS35,0))</f>
        <v/>
      </c>
      <c r="BS205">
        <f>IF(OR($IW35=0,calcA!$A$6=0),0,IF(BR$117=1,BR35,0)+IF(BS$117=1,BT35,0))</f>
        <v/>
      </c>
      <c r="BT205">
        <f>IF(OR($IW35=0,calcA!$A$6=0),0,IF(BS$117=1,BS35,0)+IF(BT$117=1,BU35,0))</f>
        <v/>
      </c>
      <c r="BU205">
        <f>IF(OR($IW35=0,calcA!$A$6=0),0,IF(BT$117=1,BT35,0)+IF(BU$117=1,BV35,0))</f>
        <v/>
      </c>
      <c r="BV205">
        <f>IF(OR($IW35=0,calcA!$A$6=0),0,IF(BU$117=1,BU35,0)+IF(BV$117=1,BW35,0))</f>
        <v/>
      </c>
      <c r="BW205">
        <f>IF(OR($IW35=0,calcA!$A$6=0),0,IF(BV$117=1,BV35,0))</f>
        <v/>
      </c>
      <c r="BX205">
        <f>IF(OR($IW35=0,calcA!$A$6=0),0,IF(BX$117=1,BY35,0))</f>
        <v/>
      </c>
      <c r="BY205">
        <f>IF(OR($IW35=0,calcA!$A$6=0),0,IF(BX$117=1,BX35,0)+IF(BY$117=1,BZ35,0))</f>
        <v/>
      </c>
      <c r="BZ205">
        <f>IF(OR($IW35=0,calcA!$A$6=0),0,IF(BY$117=1,BY35,0)+IF(BZ$117=1,CA35,0))</f>
        <v/>
      </c>
      <c r="CA205">
        <f>IF(OR($IW35=0,calcA!$A$6=0),0,IF(BZ$117=1,BZ35,0)+IF(CA$117=1,CB35,0))</f>
        <v/>
      </c>
      <c r="CB205">
        <f>IF(OR($IW35=0,calcA!$A$6=0),0,IF(CA$117=1,CA35,0)+IF(CB$117=1,CC35,0))</f>
        <v/>
      </c>
      <c r="CC205">
        <f>IF(OR($IW35=0,calcA!$A$6=0),0,IF(CB$117=1,CB35,0)+IF(CC$117=1,CD35,0))</f>
        <v/>
      </c>
      <c r="CD205">
        <f>IF(OR($IW35=0,calcA!$A$6=0),0,IF(CC$117=1,CC35,0)+IF(CD$117=1,CE35,0))</f>
        <v/>
      </c>
      <c r="CE205">
        <f>IF(OR($IW35=0,calcA!$A$6=0),0,IF(CD$117=1,CD35,0)+IF(CE$117=1,CF35,0))</f>
        <v/>
      </c>
      <c r="CF205">
        <f>IF(OR($IW35=0,calcA!$A$6=0),0,IF(CE$117=1,CE35,0)+IF(CF$117=1,CG35,0))</f>
        <v/>
      </c>
      <c r="CG205">
        <f>IF(OR($IW35=0,calcA!$A$6=0),0,IF(CF$117=1,CF35,0)+IF(CG$117=1,CH35,0))</f>
        <v/>
      </c>
      <c r="CH205">
        <f>IF(OR($IW35=0,calcA!$A$6=0),0,IF(CG$117=1,CG35,0)+IF(CH$117=1,CI35,0))</f>
        <v/>
      </c>
      <c r="CI205">
        <f>IF(OR($IW35=0,calcA!$A$6=0),0,IF(CH$117=1,CH35,0)+IF(CI$117=1,CJ35,0))</f>
        <v/>
      </c>
      <c r="CJ205">
        <f>IF(OR($IW35=0,calcA!$A$6=0),0,IF(CI$117=1,CI35,0)+IF(CJ$117=1,CK35,0))</f>
        <v/>
      </c>
      <c r="CK205">
        <f>IF(OR($IW35=0,calcA!$A$6=0),0,IF(CJ$117=1,CJ35,0)+IF(CK$117=1,CL35,0))</f>
        <v/>
      </c>
      <c r="CL205">
        <f>IF(OR($IW35=0,calcA!$A$6=0),0,IF(CK$117=1,CK35,0)+IF(CL$117=1,CM35,0))</f>
        <v/>
      </c>
      <c r="CM205">
        <f>IF(OR($IW35=0,calcA!$A$6=0),0,IF(CL$117=1,CL35,0)+IF(CM$117=1,CN35,0))</f>
        <v/>
      </c>
      <c r="CN205">
        <f>IF(OR($IW35=0,calcA!$A$6=0),0,IF(CM$117=1,CM35,0)+IF(CN$117=1,CO35,0))</f>
        <v/>
      </c>
      <c r="CO205">
        <f>IF(OR($IW35=0,calcA!$A$6=0),0,IF(CN$117=1,CN35,0)+IF(CO$117=1,CP35,0))</f>
        <v/>
      </c>
      <c r="CP205">
        <f>IF(OR($IW35=0,calcA!$A$6=0),0,IF(CO$117=1,CO35,0)+IF(CP$117=1,CQ35,0))</f>
        <v/>
      </c>
      <c r="CQ205">
        <f>IF(OR($IW35=0,calcA!$A$6=0),0,IF(CP$117=1,CP35,0)+IF(CQ$117=1,CR35,0))</f>
        <v/>
      </c>
      <c r="CR205">
        <f>IF(OR($IW35=0,calcA!$A$6=0),0,IF(CQ$117=1,CQ35,0)+IF(CR$117=1,CS35,0))</f>
        <v/>
      </c>
      <c r="CS205">
        <f>IF(OR($IW35=0,calcA!$A$6=0),0,IF(CR$117=1,CR35,0)+IF(CS$117=1,CT35,0))</f>
        <v/>
      </c>
      <c r="CT205">
        <f>IF(OR($IW35=0,calcA!$A$6=0),0,IF(CS$117=1,CS35,0)+IF(CT$117=1,CU35,0))</f>
        <v/>
      </c>
      <c r="CU205">
        <f>IF(OR($IW35=0,calcA!$A$6=0),0,IF(CT$117=1,CT35,0))</f>
        <v/>
      </c>
      <c r="CV205">
        <f>IF(OR($IW35=0,calcA!$A$6=0),0,IF(CV$117=1,CW35,0))</f>
        <v/>
      </c>
      <c r="CW205">
        <f>IF(OR($IW35=0,calcA!$A$6=0),0,IF(CV$117=1,CV35,0)+IF(CW$117=1,CX35,0))</f>
        <v/>
      </c>
      <c r="CX205">
        <f>IF(OR($IW35=0,calcA!$A$6=0),0,IF(CW$117=1,CW35,0)+IF(CX$117=1,CY35,0))</f>
        <v/>
      </c>
      <c r="CY205">
        <f>IF(OR($IW35=0,calcA!$A$6=0),0,IF(CX$117=1,CX35,0)+IF(CY$117=1,CZ35,0))</f>
        <v/>
      </c>
      <c r="CZ205">
        <f>IF(OR($IW35=0,calcA!$A$6=0),0,IF(CY$117=1,CY35,0)+IF(CZ$117=1,DA35,0))</f>
        <v/>
      </c>
      <c r="DA205">
        <f>IF(OR($IW35=0,calcA!$A$6=0),0,IF(CZ$117=1,CZ35,0)+IF(DA$117=1,DB35,0))</f>
        <v/>
      </c>
      <c r="DB205">
        <f>IF(OR($IW35=0,calcA!$A$6=0),0,IF(DA$117=1,DA35,0)+IF(DB$117=1,DC35,0))</f>
        <v/>
      </c>
      <c r="DC205">
        <f>IF(OR($IW35=0,calcA!$A$6=0),0,IF(DB$117=1,DB35,0)+IF(DC$117=1,DD35,0))</f>
        <v/>
      </c>
      <c r="DD205">
        <f>IF(OR($IW35=0,calcA!$A$6=0),0,IF(DC$117=1,DC35,0)+IF(DD$117=1,DE35,0))</f>
        <v/>
      </c>
      <c r="DE205">
        <f>IF(OR($IW35=0,calcA!$A$6=0),0,IF(DD$117=1,DD35,0)+IF(DE$117=1,DF35,0))</f>
        <v/>
      </c>
      <c r="DF205">
        <f>IF(OR($IW35=0,calcA!$A$6=0),0,IF(DE$117=1,DE35,0)+IF(DF$117=1,DG35,0))</f>
        <v/>
      </c>
      <c r="DG205">
        <f>IF(OR($IW35=0,calcA!$A$6=0),0,IF(DF$117=1,DF35,0)+IF(DG$117=1,DH35,0))</f>
        <v/>
      </c>
      <c r="DH205">
        <f>IF(OR($IW35=0,calcA!$A$6=0),0,IF(DG$117=1,DG35,0)+IF(DH$117=1,DI35,0))</f>
        <v/>
      </c>
      <c r="DI205">
        <f>IF(OR($IW35=0,calcA!$A$6=0),0,IF(DH$117=1,DH35,0)+IF(DI$117=1,DJ35,0))</f>
        <v/>
      </c>
      <c r="DJ205">
        <f>IF(OR($IW35=0,calcA!$A$6=0),0,IF(DI$117=1,DI35,0)+IF(DJ$117=1,DK35,0))</f>
        <v/>
      </c>
      <c r="DK205">
        <f>IF(OR($IW35=0,calcA!$A$6=0),0,IF(DJ$117=1,DJ35,0)+IF(DK$117=1,DL35,0))</f>
        <v/>
      </c>
      <c r="DL205">
        <f>IF(OR($IW35=0,calcA!$A$6=0),0,IF(DK$117=1,DK35,0)+IF(DL$117=1,DM35,0))</f>
        <v/>
      </c>
      <c r="DM205">
        <f>IF(OR($IW35=0,calcA!$A$6=0),0,IF(DL$117=1,DL35,0)+IF(DM$117=1,DN35,0))</f>
        <v/>
      </c>
      <c r="DN205">
        <f>IF(OR($IW35=0,calcA!$A$6=0),0,IF(DM$117=1,DM35,0)+IF(DN$117=1,DO35,0))</f>
        <v/>
      </c>
      <c r="DO205">
        <f>IF(OR($IW35=0,calcA!$A$6=0),0,IF(DN$117=1,DN35,0)+IF(DO$117=1,DP35,0))</f>
        <v/>
      </c>
      <c r="DP205">
        <f>IF(OR($IW35=0,calcA!$A$6=0),0,IF(DO$117=1,DO35,0)+IF(DP$117=1,DQ35,0))</f>
        <v/>
      </c>
      <c r="DQ205">
        <f>IF(OR($IW35=0,calcA!$A$6=0),0,IF(DP$117=1,DP35,0)+IF(DQ$117=1,DR35,0))</f>
        <v/>
      </c>
      <c r="DR205">
        <f>IF(OR($IW35=0,calcA!$A$6=0),0,IF(DQ$117=1,DQ35,0)+IF(DR$117=1,DS35,0))</f>
        <v/>
      </c>
      <c r="DS205">
        <f>IF(OR($IW35=0,calcA!$A$6=0),0,IF(DR$117=1,DR35,0))</f>
        <v/>
      </c>
      <c r="DT205">
        <f>IF(OR($IW35=0,calcA!$A$6=0),0,IF(DT$117=1,DU35,0))</f>
        <v/>
      </c>
      <c r="DU205">
        <f>IF(OR($IW35=0,calcA!$A$6=0),0,IF(DT$117=1,DT35,0)+IF(DU$117=1,DV35,0))</f>
        <v/>
      </c>
      <c r="DV205">
        <f>IF(OR($IW35=0,calcA!$A$6=0),0,IF(DU$117=1,DU35,0)+IF(DV$117=1,DW35,0))</f>
        <v/>
      </c>
      <c r="DW205">
        <f>IF(OR($IW35=0,calcA!$A$6=0),0,IF(DV$117=1,DV35,0)+IF(DW$117=1,DX35,0))</f>
        <v/>
      </c>
      <c r="DX205">
        <f>IF(OR($IW35=0,calcA!$A$6=0),0,IF(DW$117=1,DW35,0)+IF(DX$117=1,DY35,0))</f>
        <v/>
      </c>
      <c r="DY205">
        <f>IF(OR($IW35=0,calcA!$A$6=0),0,IF(DX$117=1,DX35,0)+IF(DY$117=1,DZ35,0))</f>
        <v/>
      </c>
      <c r="DZ205">
        <f>IF(OR($IW35=0,calcA!$A$6=0),0,IF(DY$117=1,DY35,0)+IF(DZ$117=1,EA35,0))</f>
        <v/>
      </c>
      <c r="EA205">
        <f>IF(OR($IW35=0,calcA!$A$6=0),0,IF(DZ$117=1,DZ35,0)+IF(EA$117=1,EB35,0))</f>
        <v/>
      </c>
      <c r="EB205">
        <f>IF(OR($IW35=0,calcA!$A$6=0),0,IF(EA$117=1,EA35,0)+IF(EB$117=1,EC35,0))</f>
        <v/>
      </c>
      <c r="EC205">
        <f>IF(OR($IW35=0,calcA!$A$6=0),0,IF(EB$117=1,EB35,0)+IF(EC$117=1,ED35,0))</f>
        <v/>
      </c>
      <c r="ED205">
        <f>IF(OR($IW35=0,calcA!$A$6=0),0,IF(EC$117=1,EC35,0)+IF(ED$117=1,EE35,0))</f>
        <v/>
      </c>
      <c r="EE205">
        <f>IF(OR($IW35=0,calcA!$A$6=0),0,IF(ED$117=1,ED35,0)+IF(EE$117=1,EF35,0))</f>
        <v/>
      </c>
      <c r="EF205">
        <f>IF(OR($IW35=0,calcA!$A$6=0),0,IF(EE$117=1,EE35,0)+IF(EF$117=1,EG35,0))</f>
        <v/>
      </c>
      <c r="EG205">
        <f>IF(OR($IW35=0,calcA!$A$6=0),0,IF(EF$117=1,EF35,0)+IF(EG$117=1,EH35,0))</f>
        <v/>
      </c>
      <c r="EH205">
        <f>IF(OR($IW35=0,calcA!$A$6=0),0,IF(EG$117=1,EG35,0)+IF(EH$117=1,EI35,0))</f>
        <v/>
      </c>
      <c r="EI205">
        <f>IF(OR($IW35=0,calcA!$A$6=0),0,IF(EH$117=1,EH35,0)+IF(EI$117=1,EJ35,0))</f>
        <v/>
      </c>
      <c r="EJ205">
        <f>IF(OR($IW35=0,calcA!$A$6=0),0,IF(EI$117=1,EI35,0)+IF(EJ$117=1,EK35,0))</f>
        <v/>
      </c>
      <c r="EK205">
        <f>IF(OR($IW35=0,calcA!$A$6=0),0,IF(EJ$117=1,EJ35,0)+IF(EK$117=1,EL35,0))</f>
        <v/>
      </c>
      <c r="EL205">
        <f>IF(OR($IW35=0,calcA!$A$6=0),0,IF(EK$117=1,EK35,0)+IF(EL$117=1,EM35,0))</f>
        <v/>
      </c>
      <c r="EM205">
        <f>IF(OR($IW35=0,calcA!$A$6=0),0,IF(EL$117=1,EL35,0)+IF(EM$117=1,EN35,0))</f>
        <v/>
      </c>
      <c r="EN205">
        <f>IF(OR($IW35=0,calcA!$A$6=0),0,IF(EM$117=1,EM35,0)+IF(EN$117=1,EO35,0))</f>
        <v/>
      </c>
      <c r="EO205">
        <f>IF(OR($IW35=0,calcA!$A$6=0),0,IF(EN$117=1,EN35,0)+IF(EO$117=1,EP35,0))</f>
        <v/>
      </c>
      <c r="EP205">
        <f>IF(OR($IW35=0,calcA!$A$6=0),0,IF(EO$117=1,EO35,0)+IF(EP$117=1,EQ35,0))</f>
        <v/>
      </c>
      <c r="EQ205">
        <f>IF(OR($IW35=0,calcA!$A$6=0),0,IF(EP$117=1,EP35,0))</f>
        <v/>
      </c>
    </row>
    <row r="206">
      <c r="D206">
        <f>IF(OR($IW36=0,calcA!$A$6=0),0,IF(D$117=1,E36,0))</f>
        <v/>
      </c>
      <c r="E206">
        <f>IF(OR($IW36=0,calcA!$A$6=0),0,IF(D$117=1,D36,0)+IF(E$117=1,F36,0))</f>
        <v/>
      </c>
      <c r="F206">
        <f>IF(OR($IW36=0,calcA!$A$6=0),0,IF(E$117=1,E36,0)+IF(F$117=1,G36,0))</f>
        <v/>
      </c>
      <c r="G206">
        <f>IF(OR($IW36=0,calcA!$A$6=0),0,IF(F$117=1,F36,0)+IF(G$117=1,H36,0))</f>
        <v/>
      </c>
      <c r="H206">
        <f>IF(OR($IW36=0,calcA!$A$6=0),0,IF(G$117=1,G36,0)+IF(H$117=1,I36,0))</f>
        <v/>
      </c>
      <c r="I206">
        <f>IF(OR($IW36=0,calcA!$A$6=0),0,IF(H$117=1,H36,0)+IF(I$117=1,J36,0))</f>
        <v/>
      </c>
      <c r="J206">
        <f>IF(OR($IW36=0,calcA!$A$6=0),0,IF(I$117=1,I36,0)+IF(J$117=1,K36,0))</f>
        <v/>
      </c>
      <c r="K206">
        <f>IF(OR($IW36=0,calcA!$A$6=0),0,IF(J$117=1,J36,0)+IF(K$117=1,L36,0))</f>
        <v/>
      </c>
      <c r="L206">
        <f>IF(OR($IW36=0,calcA!$A$6=0),0,IF(K$117=1,K36,0)+IF(L$117=1,M36,0))</f>
        <v/>
      </c>
      <c r="M206">
        <f>IF(OR($IW36=0,calcA!$A$6=0),0,IF(L$117=1,L36,0)+IF(M$117=1,N36,0))</f>
        <v/>
      </c>
      <c r="N206">
        <f>IF(OR($IW36=0,calcA!$A$6=0),0,IF(M$117=1,M36,0)+IF(N$117=1,O36,0))</f>
        <v/>
      </c>
      <c r="O206">
        <f>IF(OR($IW36=0,calcA!$A$6=0),0,IF(N$117=1,N36,0)+IF(O$117=1,P36,0))</f>
        <v/>
      </c>
      <c r="P206">
        <f>IF(OR($IW36=0,calcA!$A$6=0),0,IF(O$117=1,O36,0)+IF(P$117=1,Q36,0))</f>
        <v/>
      </c>
      <c r="Q206">
        <f>IF(OR($IW36=0,calcA!$A$6=0),0,IF(P$117=1,P36,0)+IF(Q$117=1,R36,0))</f>
        <v/>
      </c>
      <c r="R206">
        <f>IF(OR($IW36=0,calcA!$A$6=0),0,IF(Q$117=1,Q36,0)+IF(R$117=1,S36,0))</f>
        <v/>
      </c>
      <c r="S206">
        <f>IF(OR($IW36=0,calcA!$A$6=0),0,IF(R$117=1,R36,0)+IF(S$117=1,T36,0))</f>
        <v/>
      </c>
      <c r="T206">
        <f>IF(OR($IW36=0,calcA!$A$6=0),0,IF(S$117=1,S36,0)+IF(T$117=1,U36,0))</f>
        <v/>
      </c>
      <c r="U206">
        <f>IF(OR($IW36=0,calcA!$A$6=0),0,IF(T$117=1,T36,0)+IF(U$117=1,V36,0))</f>
        <v/>
      </c>
      <c r="V206">
        <f>IF(OR($IW36=0,calcA!$A$6=0),0,IF(U$117=1,U36,0)+IF(V$117=1,W36,0))</f>
        <v/>
      </c>
      <c r="W206">
        <f>IF(OR($IW36=0,calcA!$A$6=0),0,IF(V$117=1,V36,0)+IF(W$117=1,X36,0))</f>
        <v/>
      </c>
      <c r="X206">
        <f>IF(OR($IW36=0,calcA!$A$6=0),0,IF(W$117=1,W36,0)+IF(X$117=1,Y36,0))</f>
        <v/>
      </c>
      <c r="Y206">
        <f>IF(OR($IW36=0,calcA!$A$6=0),0,IF(X$117=1,X36,0)+IF(Y$117=1,Z36,0))</f>
        <v/>
      </c>
      <c r="Z206">
        <f>IF(OR($IW36=0,calcA!$A$6=0),0,IF(Y$117=1,Y36,0)+IF(Z$117=1,AA36,0))</f>
        <v/>
      </c>
      <c r="AA206">
        <f>IF(OR($IW36=0,calcA!$A$6=0),0,IF(Z$117=1,Z36,0))</f>
        <v/>
      </c>
      <c r="AB206">
        <f>IF(OR($IW36=0,calcA!$A$6=0),0,IF(AB$117=1,AC36,0))</f>
        <v/>
      </c>
      <c r="AC206">
        <f>IF(OR($IW36=0,calcA!$A$6=0),0,IF(AB$117=1,AB36,0)+IF(AC$117=1,AD36,0))</f>
        <v/>
      </c>
      <c r="AD206">
        <f>IF(OR($IW36=0,calcA!$A$6=0),0,IF(AC$117=1,AC36,0)+IF(AD$117=1,AE36,0))</f>
        <v/>
      </c>
      <c r="AE206">
        <f>IF(OR($IW36=0,calcA!$A$6=0),0,IF(AD$117=1,AD36,0)+IF(AE$117=1,AF36,0))</f>
        <v/>
      </c>
      <c r="AF206">
        <f>IF(OR($IW36=0,calcA!$A$6=0),0,IF(AE$117=1,AE36,0)+IF(AF$117=1,AG36,0))</f>
        <v/>
      </c>
      <c r="AG206">
        <f>IF(OR($IW36=0,calcA!$A$6=0),0,IF(AF$117=1,AF36,0)+IF(AG$117=1,AH36,0))</f>
        <v/>
      </c>
      <c r="AH206">
        <f>IF(OR($IW36=0,calcA!$A$6=0),0,IF(AG$117=1,AG36,0)+IF(AH$117=1,AI36,0))</f>
        <v/>
      </c>
      <c r="AI206">
        <f>IF(OR($IW36=0,calcA!$A$6=0),0,IF(AH$117=1,AH36,0)+IF(AI$117=1,AJ36,0))</f>
        <v/>
      </c>
      <c r="AJ206">
        <f>IF(OR($IW36=0,calcA!$A$6=0),0,IF(AI$117=1,AI36,0)+IF(AJ$117=1,AK36,0))</f>
        <v/>
      </c>
      <c r="AK206">
        <f>IF(OR($IW36=0,calcA!$A$6=0),0,IF(AJ$117=1,AJ36,0)+IF(AK$117=1,AL36,0))</f>
        <v/>
      </c>
      <c r="AL206">
        <f>IF(OR($IW36=0,calcA!$A$6=0),0,IF(AK$117=1,AK36,0)+IF(AL$117=1,AM36,0))</f>
        <v/>
      </c>
      <c r="AM206">
        <f>IF(OR($IW36=0,calcA!$A$6=0),0,IF(AL$117=1,AL36,0)+IF(AM$117=1,AN36,0))</f>
        <v/>
      </c>
      <c r="AN206">
        <f>IF(OR($IW36=0,calcA!$A$6=0),0,IF(AM$117=1,AM36,0)+IF(AN$117=1,AO36,0))</f>
        <v/>
      </c>
      <c r="AO206">
        <f>IF(OR($IW36=0,calcA!$A$6=0),0,IF(AN$117=1,AN36,0)+IF(AO$117=1,AP36,0))</f>
        <v/>
      </c>
      <c r="AP206">
        <f>IF(OR($IW36=0,calcA!$A$6=0),0,IF(AO$117=1,AO36,0)+IF(AP$117=1,AQ36,0))</f>
        <v/>
      </c>
      <c r="AQ206">
        <f>IF(OR($IW36=0,calcA!$A$6=0),0,IF(AP$117=1,AP36,0)+IF(AQ$117=1,AR36,0))</f>
        <v/>
      </c>
      <c r="AR206">
        <f>IF(OR($IW36=0,calcA!$A$6=0),0,IF(AQ$117=1,AQ36,0)+IF(AR$117=1,AS36,0))</f>
        <v/>
      </c>
      <c r="AS206">
        <f>IF(OR($IW36=0,calcA!$A$6=0),0,IF(AR$117=1,AR36,0)+IF(AS$117=1,AT36,0))</f>
        <v/>
      </c>
      <c r="AT206">
        <f>IF(OR($IW36=0,calcA!$A$6=0),0,IF(AS$117=1,AS36,0)+IF(AT$117=1,AU36,0))</f>
        <v/>
      </c>
      <c r="AU206">
        <f>IF(OR($IW36=0,calcA!$A$6=0),0,IF(AT$117=1,AT36,0)+IF(AU$117=1,AV36,0))</f>
        <v/>
      </c>
      <c r="AV206">
        <f>IF(OR($IW36=0,calcA!$A$6=0),0,IF(AU$117=1,AU36,0)+IF(AV$117=1,AW36,0))</f>
        <v/>
      </c>
      <c r="AW206">
        <f>IF(OR($IW36=0,calcA!$A$6=0),0,IF(AV$117=1,AV36,0)+IF(AW$117=1,AX36,0))</f>
        <v/>
      </c>
      <c r="AX206">
        <f>IF(OR($IW36=0,calcA!$A$6=0),0,IF(AW$117=1,AW36,0)+IF(AX$117=1,AY36,0))</f>
        <v/>
      </c>
      <c r="AY206">
        <f>IF(OR($IW36=0,calcA!$A$6=0),0,IF(AX$117=1,AX36,0))</f>
        <v/>
      </c>
      <c r="AZ206">
        <f>IF(OR($IW36=0,calcA!$A$6=0),0,IF(AZ$117=1,BA36,0))</f>
        <v/>
      </c>
      <c r="BA206">
        <f>IF(OR($IW36=0,calcA!$A$6=0),0,IF(AZ$117=1,AZ36,0)+IF(BA$117=1,BB36,0))</f>
        <v/>
      </c>
      <c r="BB206">
        <f>IF(OR($IW36=0,calcA!$A$6=0),0,IF(BA$117=1,BA36,0)+IF(BB$117=1,BC36,0))</f>
        <v/>
      </c>
      <c r="BC206">
        <f>IF(OR($IW36=0,calcA!$A$6=0),0,IF(BB$117=1,BB36,0)+IF(BC$117=1,BD36,0))</f>
        <v/>
      </c>
      <c r="BD206">
        <f>IF(OR($IW36=0,calcA!$A$6=0),0,IF(BC$117=1,BC36,0)+IF(BD$117=1,BE36,0))</f>
        <v/>
      </c>
      <c r="BE206">
        <f>IF(OR($IW36=0,calcA!$A$6=0),0,IF(BD$117=1,BD36,0)+IF(BE$117=1,BF36,0))</f>
        <v/>
      </c>
      <c r="BF206">
        <f>IF(OR($IW36=0,calcA!$A$6=0),0,IF(BE$117=1,BE36,0)+IF(BF$117=1,BG36,0))</f>
        <v/>
      </c>
      <c r="BG206">
        <f>IF(OR($IW36=0,calcA!$A$6=0),0,IF(BF$117=1,BF36,0)+IF(BG$117=1,BH36,0))</f>
        <v/>
      </c>
      <c r="BH206">
        <f>IF(OR($IW36=0,calcA!$A$6=0),0,IF(BG$117=1,BG36,0)+IF(BH$117=1,BI36,0))</f>
        <v/>
      </c>
      <c r="BI206">
        <f>IF(OR($IW36=0,calcA!$A$6=0),0,IF(BH$117=1,BH36,0)+IF(BI$117=1,BJ36,0))</f>
        <v/>
      </c>
      <c r="BJ206">
        <f>IF(OR($IW36=0,calcA!$A$6=0),0,IF(BI$117=1,BI36,0)+IF(BJ$117=1,BK36,0))</f>
        <v/>
      </c>
      <c r="BK206">
        <f>IF(OR($IW36=0,calcA!$A$6=0),0,IF(BJ$117=1,BJ36,0)+IF(BK$117=1,BL36,0))</f>
        <v/>
      </c>
      <c r="BL206">
        <f>IF(OR($IW36=0,calcA!$A$6=0),0,IF(BK$117=1,BK36,0)+IF(BL$117=1,BM36,0))</f>
        <v/>
      </c>
      <c r="BM206">
        <f>IF(OR($IW36=0,calcA!$A$6=0),0,IF(BL$117=1,BL36,0)+IF(BM$117=1,BN36,0))</f>
        <v/>
      </c>
      <c r="BN206">
        <f>IF(OR($IW36=0,calcA!$A$6=0),0,IF(BM$117=1,BM36,0)+IF(BN$117=1,BO36,0))</f>
        <v/>
      </c>
      <c r="BO206">
        <f>IF(OR($IW36=0,calcA!$A$6=0),0,IF(BN$117=1,BN36,0)+IF(BO$117=1,BP36,0))</f>
        <v/>
      </c>
      <c r="BP206">
        <f>IF(OR($IW36=0,calcA!$A$6=0),0,IF(BO$117=1,BO36,0)+IF(BP$117=1,BQ36,0))</f>
        <v/>
      </c>
      <c r="BQ206">
        <f>IF(OR($IW36=0,calcA!$A$6=0),0,IF(BP$117=1,BP36,0)+IF(BQ$117=1,BR36,0))</f>
        <v/>
      </c>
      <c r="BR206">
        <f>IF(OR($IW36=0,calcA!$A$6=0),0,IF(BQ$117=1,BQ36,0)+IF(BR$117=1,BS36,0))</f>
        <v/>
      </c>
      <c r="BS206">
        <f>IF(OR($IW36=0,calcA!$A$6=0),0,IF(BR$117=1,BR36,0)+IF(BS$117=1,BT36,0))</f>
        <v/>
      </c>
      <c r="BT206">
        <f>IF(OR($IW36=0,calcA!$A$6=0),0,IF(BS$117=1,BS36,0)+IF(BT$117=1,BU36,0))</f>
        <v/>
      </c>
      <c r="BU206">
        <f>IF(OR($IW36=0,calcA!$A$6=0),0,IF(BT$117=1,BT36,0)+IF(BU$117=1,BV36,0))</f>
        <v/>
      </c>
      <c r="BV206">
        <f>IF(OR($IW36=0,calcA!$A$6=0),0,IF(BU$117=1,BU36,0)+IF(BV$117=1,BW36,0))</f>
        <v/>
      </c>
      <c r="BW206">
        <f>IF(OR($IW36=0,calcA!$A$6=0),0,IF(BV$117=1,BV36,0))</f>
        <v/>
      </c>
      <c r="BX206">
        <f>IF(OR($IW36=0,calcA!$A$6=0),0,IF(BX$117=1,BY36,0))</f>
        <v/>
      </c>
      <c r="BY206">
        <f>IF(OR($IW36=0,calcA!$A$6=0),0,IF(BX$117=1,BX36,0)+IF(BY$117=1,BZ36,0))</f>
        <v/>
      </c>
      <c r="BZ206">
        <f>IF(OR($IW36=0,calcA!$A$6=0),0,IF(BY$117=1,BY36,0)+IF(BZ$117=1,CA36,0))</f>
        <v/>
      </c>
      <c r="CA206">
        <f>IF(OR($IW36=0,calcA!$A$6=0),0,IF(BZ$117=1,BZ36,0)+IF(CA$117=1,CB36,0))</f>
        <v/>
      </c>
      <c r="CB206">
        <f>IF(OR($IW36=0,calcA!$A$6=0),0,IF(CA$117=1,CA36,0)+IF(CB$117=1,CC36,0))</f>
        <v/>
      </c>
      <c r="CC206">
        <f>IF(OR($IW36=0,calcA!$A$6=0),0,IF(CB$117=1,CB36,0)+IF(CC$117=1,CD36,0))</f>
        <v/>
      </c>
      <c r="CD206">
        <f>IF(OR($IW36=0,calcA!$A$6=0),0,IF(CC$117=1,CC36,0)+IF(CD$117=1,CE36,0))</f>
        <v/>
      </c>
      <c r="CE206">
        <f>IF(OR($IW36=0,calcA!$A$6=0),0,IF(CD$117=1,CD36,0)+IF(CE$117=1,CF36,0))</f>
        <v/>
      </c>
      <c r="CF206">
        <f>IF(OR($IW36=0,calcA!$A$6=0),0,IF(CE$117=1,CE36,0)+IF(CF$117=1,CG36,0))</f>
        <v/>
      </c>
      <c r="CG206">
        <f>IF(OR($IW36=0,calcA!$A$6=0),0,IF(CF$117=1,CF36,0)+IF(CG$117=1,CH36,0))</f>
        <v/>
      </c>
      <c r="CH206">
        <f>IF(OR($IW36=0,calcA!$A$6=0),0,IF(CG$117=1,CG36,0)+IF(CH$117=1,CI36,0))</f>
        <v/>
      </c>
      <c r="CI206">
        <f>IF(OR($IW36=0,calcA!$A$6=0),0,IF(CH$117=1,CH36,0)+IF(CI$117=1,CJ36,0))</f>
        <v/>
      </c>
      <c r="CJ206">
        <f>IF(OR($IW36=0,calcA!$A$6=0),0,IF(CI$117=1,CI36,0)+IF(CJ$117=1,CK36,0))</f>
        <v/>
      </c>
      <c r="CK206">
        <f>IF(OR($IW36=0,calcA!$A$6=0),0,IF(CJ$117=1,CJ36,0)+IF(CK$117=1,CL36,0))</f>
        <v/>
      </c>
      <c r="CL206">
        <f>IF(OR($IW36=0,calcA!$A$6=0),0,IF(CK$117=1,CK36,0)+IF(CL$117=1,CM36,0))</f>
        <v/>
      </c>
      <c r="CM206">
        <f>IF(OR($IW36=0,calcA!$A$6=0),0,IF(CL$117=1,CL36,0)+IF(CM$117=1,CN36,0))</f>
        <v/>
      </c>
      <c r="CN206">
        <f>IF(OR($IW36=0,calcA!$A$6=0),0,IF(CM$117=1,CM36,0)+IF(CN$117=1,CO36,0))</f>
        <v/>
      </c>
      <c r="CO206">
        <f>IF(OR($IW36=0,calcA!$A$6=0),0,IF(CN$117=1,CN36,0)+IF(CO$117=1,CP36,0))</f>
        <v/>
      </c>
      <c r="CP206">
        <f>IF(OR($IW36=0,calcA!$A$6=0),0,IF(CO$117=1,CO36,0)+IF(CP$117=1,CQ36,0))</f>
        <v/>
      </c>
      <c r="CQ206">
        <f>IF(OR($IW36=0,calcA!$A$6=0),0,IF(CP$117=1,CP36,0)+IF(CQ$117=1,CR36,0))</f>
        <v/>
      </c>
      <c r="CR206">
        <f>IF(OR($IW36=0,calcA!$A$6=0),0,IF(CQ$117=1,CQ36,0)+IF(CR$117=1,CS36,0))</f>
        <v/>
      </c>
      <c r="CS206">
        <f>IF(OR($IW36=0,calcA!$A$6=0),0,IF(CR$117=1,CR36,0)+IF(CS$117=1,CT36,0))</f>
        <v/>
      </c>
      <c r="CT206">
        <f>IF(OR($IW36=0,calcA!$A$6=0),0,IF(CS$117=1,CS36,0)+IF(CT$117=1,CU36,0))</f>
        <v/>
      </c>
      <c r="CU206">
        <f>IF(OR($IW36=0,calcA!$A$6=0),0,IF(CT$117=1,CT36,0))</f>
        <v/>
      </c>
      <c r="CV206">
        <f>IF(OR($IW36=0,calcA!$A$6=0),0,IF(CV$117=1,CW36,0))</f>
        <v/>
      </c>
      <c r="CW206">
        <f>IF(OR($IW36=0,calcA!$A$6=0),0,IF(CV$117=1,CV36,0)+IF(CW$117=1,CX36,0))</f>
        <v/>
      </c>
      <c r="CX206">
        <f>IF(OR($IW36=0,calcA!$A$6=0),0,IF(CW$117=1,CW36,0)+IF(CX$117=1,CY36,0))</f>
        <v/>
      </c>
      <c r="CY206">
        <f>IF(OR($IW36=0,calcA!$A$6=0),0,IF(CX$117=1,CX36,0)+IF(CY$117=1,CZ36,0))</f>
        <v/>
      </c>
      <c r="CZ206">
        <f>IF(OR($IW36=0,calcA!$A$6=0),0,IF(CY$117=1,CY36,0)+IF(CZ$117=1,DA36,0))</f>
        <v/>
      </c>
      <c r="DA206">
        <f>IF(OR($IW36=0,calcA!$A$6=0),0,IF(CZ$117=1,CZ36,0)+IF(DA$117=1,DB36,0))</f>
        <v/>
      </c>
      <c r="DB206">
        <f>IF(OR($IW36=0,calcA!$A$6=0),0,IF(DA$117=1,DA36,0)+IF(DB$117=1,DC36,0))</f>
        <v/>
      </c>
      <c r="DC206">
        <f>IF(OR($IW36=0,calcA!$A$6=0),0,IF(DB$117=1,DB36,0)+IF(DC$117=1,DD36,0))</f>
        <v/>
      </c>
      <c r="DD206">
        <f>IF(OR($IW36=0,calcA!$A$6=0),0,IF(DC$117=1,DC36,0)+IF(DD$117=1,DE36,0))</f>
        <v/>
      </c>
      <c r="DE206">
        <f>IF(OR($IW36=0,calcA!$A$6=0),0,IF(DD$117=1,DD36,0)+IF(DE$117=1,DF36,0))</f>
        <v/>
      </c>
      <c r="DF206">
        <f>IF(OR($IW36=0,calcA!$A$6=0),0,IF(DE$117=1,DE36,0)+IF(DF$117=1,DG36,0))</f>
        <v/>
      </c>
      <c r="DG206">
        <f>IF(OR($IW36=0,calcA!$A$6=0),0,IF(DF$117=1,DF36,0)+IF(DG$117=1,DH36,0))</f>
        <v/>
      </c>
      <c r="DH206">
        <f>IF(OR($IW36=0,calcA!$A$6=0),0,IF(DG$117=1,DG36,0)+IF(DH$117=1,DI36,0))</f>
        <v/>
      </c>
      <c r="DI206">
        <f>IF(OR($IW36=0,calcA!$A$6=0),0,IF(DH$117=1,DH36,0)+IF(DI$117=1,DJ36,0))</f>
        <v/>
      </c>
      <c r="DJ206">
        <f>IF(OR($IW36=0,calcA!$A$6=0),0,IF(DI$117=1,DI36,0)+IF(DJ$117=1,DK36,0))</f>
        <v/>
      </c>
      <c r="DK206">
        <f>IF(OR($IW36=0,calcA!$A$6=0),0,IF(DJ$117=1,DJ36,0)+IF(DK$117=1,DL36,0))</f>
        <v/>
      </c>
      <c r="DL206">
        <f>IF(OR($IW36=0,calcA!$A$6=0),0,IF(DK$117=1,DK36,0)+IF(DL$117=1,DM36,0))</f>
        <v/>
      </c>
      <c r="DM206">
        <f>IF(OR($IW36=0,calcA!$A$6=0),0,IF(DL$117=1,DL36,0)+IF(DM$117=1,DN36,0))</f>
        <v/>
      </c>
      <c r="DN206">
        <f>IF(OR($IW36=0,calcA!$A$6=0),0,IF(DM$117=1,DM36,0)+IF(DN$117=1,DO36,0))</f>
        <v/>
      </c>
      <c r="DO206">
        <f>IF(OR($IW36=0,calcA!$A$6=0),0,IF(DN$117=1,DN36,0)+IF(DO$117=1,DP36,0))</f>
        <v/>
      </c>
      <c r="DP206">
        <f>IF(OR($IW36=0,calcA!$A$6=0),0,IF(DO$117=1,DO36,0)+IF(DP$117=1,DQ36,0))</f>
        <v/>
      </c>
      <c r="DQ206">
        <f>IF(OR($IW36=0,calcA!$A$6=0),0,IF(DP$117=1,DP36,0)+IF(DQ$117=1,DR36,0))</f>
        <v/>
      </c>
      <c r="DR206">
        <f>IF(OR($IW36=0,calcA!$A$6=0),0,IF(DQ$117=1,DQ36,0)+IF(DR$117=1,DS36,0))</f>
        <v/>
      </c>
      <c r="DS206">
        <f>IF(OR($IW36=0,calcA!$A$6=0),0,IF(DR$117=1,DR36,0))</f>
        <v/>
      </c>
      <c r="DT206">
        <f>IF(OR($IW36=0,calcA!$A$6=0),0,IF(DT$117=1,DU36,0))</f>
        <v/>
      </c>
      <c r="DU206">
        <f>IF(OR($IW36=0,calcA!$A$6=0),0,IF(DT$117=1,DT36,0)+IF(DU$117=1,DV36,0))</f>
        <v/>
      </c>
      <c r="DV206">
        <f>IF(OR($IW36=0,calcA!$A$6=0),0,IF(DU$117=1,DU36,0)+IF(DV$117=1,DW36,0))</f>
        <v/>
      </c>
      <c r="DW206">
        <f>IF(OR($IW36=0,calcA!$A$6=0),0,IF(DV$117=1,DV36,0)+IF(DW$117=1,DX36,0))</f>
        <v/>
      </c>
      <c r="DX206">
        <f>IF(OR($IW36=0,calcA!$A$6=0),0,IF(DW$117=1,DW36,0)+IF(DX$117=1,DY36,0))</f>
        <v/>
      </c>
      <c r="DY206">
        <f>IF(OR($IW36=0,calcA!$A$6=0),0,IF(DX$117=1,DX36,0)+IF(DY$117=1,DZ36,0))</f>
        <v/>
      </c>
      <c r="DZ206">
        <f>IF(OR($IW36=0,calcA!$A$6=0),0,IF(DY$117=1,DY36,0)+IF(DZ$117=1,EA36,0))</f>
        <v/>
      </c>
      <c r="EA206">
        <f>IF(OR($IW36=0,calcA!$A$6=0),0,IF(DZ$117=1,DZ36,0)+IF(EA$117=1,EB36,0))</f>
        <v/>
      </c>
      <c r="EB206">
        <f>IF(OR($IW36=0,calcA!$A$6=0),0,IF(EA$117=1,EA36,0)+IF(EB$117=1,EC36,0))</f>
        <v/>
      </c>
      <c r="EC206">
        <f>IF(OR($IW36=0,calcA!$A$6=0),0,IF(EB$117=1,EB36,0)+IF(EC$117=1,ED36,0))</f>
        <v/>
      </c>
      <c r="ED206">
        <f>IF(OR($IW36=0,calcA!$A$6=0),0,IF(EC$117=1,EC36,0)+IF(ED$117=1,EE36,0))</f>
        <v/>
      </c>
      <c r="EE206">
        <f>IF(OR($IW36=0,calcA!$A$6=0),0,IF(ED$117=1,ED36,0)+IF(EE$117=1,EF36,0))</f>
        <v/>
      </c>
      <c r="EF206">
        <f>IF(OR($IW36=0,calcA!$A$6=0),0,IF(EE$117=1,EE36,0)+IF(EF$117=1,EG36,0))</f>
        <v/>
      </c>
      <c r="EG206">
        <f>IF(OR($IW36=0,calcA!$A$6=0),0,IF(EF$117=1,EF36,0)+IF(EG$117=1,EH36,0))</f>
        <v/>
      </c>
      <c r="EH206">
        <f>IF(OR($IW36=0,calcA!$A$6=0),0,IF(EG$117=1,EG36,0)+IF(EH$117=1,EI36,0))</f>
        <v/>
      </c>
      <c r="EI206">
        <f>IF(OR($IW36=0,calcA!$A$6=0),0,IF(EH$117=1,EH36,0)+IF(EI$117=1,EJ36,0))</f>
        <v/>
      </c>
      <c r="EJ206">
        <f>IF(OR($IW36=0,calcA!$A$6=0),0,IF(EI$117=1,EI36,0)+IF(EJ$117=1,EK36,0))</f>
        <v/>
      </c>
      <c r="EK206">
        <f>IF(OR($IW36=0,calcA!$A$6=0),0,IF(EJ$117=1,EJ36,0)+IF(EK$117=1,EL36,0))</f>
        <v/>
      </c>
      <c r="EL206">
        <f>IF(OR($IW36=0,calcA!$A$6=0),0,IF(EK$117=1,EK36,0)+IF(EL$117=1,EM36,0))</f>
        <v/>
      </c>
      <c r="EM206">
        <f>IF(OR($IW36=0,calcA!$A$6=0),0,IF(EL$117=1,EL36,0)+IF(EM$117=1,EN36,0))</f>
        <v/>
      </c>
      <c r="EN206">
        <f>IF(OR($IW36=0,calcA!$A$6=0),0,IF(EM$117=1,EM36,0)+IF(EN$117=1,EO36,0))</f>
        <v/>
      </c>
      <c r="EO206">
        <f>IF(OR($IW36=0,calcA!$A$6=0),0,IF(EN$117=1,EN36,0)+IF(EO$117=1,EP36,0))</f>
        <v/>
      </c>
      <c r="EP206">
        <f>IF(OR($IW36=0,calcA!$A$6=0),0,IF(EO$117=1,EO36,0)+IF(EP$117=1,EQ36,0))</f>
        <v/>
      </c>
      <c r="EQ206">
        <f>IF(OR($IW36=0,calcA!$A$6=0),0,IF(EP$117=1,EP36,0))</f>
        <v/>
      </c>
    </row>
    <row r="207">
      <c r="D207">
        <f>IF(OR($IW37=0,calcA!$A$6=0),0,IF(D$117=1,E37,0))</f>
        <v/>
      </c>
      <c r="E207">
        <f>IF(OR($IW37=0,calcA!$A$6=0),0,IF(D$117=1,D37,0)+IF(E$117=1,F37,0))</f>
        <v/>
      </c>
      <c r="F207">
        <f>IF(OR($IW37=0,calcA!$A$6=0),0,IF(E$117=1,E37,0)+IF(F$117=1,G37,0))</f>
        <v/>
      </c>
      <c r="G207">
        <f>IF(OR($IW37=0,calcA!$A$6=0),0,IF(F$117=1,F37,0)+IF(G$117=1,H37,0))</f>
        <v/>
      </c>
      <c r="H207">
        <f>IF(OR($IW37=0,calcA!$A$6=0),0,IF(G$117=1,G37,0)+IF(H$117=1,I37,0))</f>
        <v/>
      </c>
      <c r="I207">
        <f>IF(OR($IW37=0,calcA!$A$6=0),0,IF(H$117=1,H37,0)+IF(I$117=1,J37,0))</f>
        <v/>
      </c>
      <c r="J207">
        <f>IF(OR($IW37=0,calcA!$A$6=0),0,IF(I$117=1,I37,0)+IF(J$117=1,K37,0))</f>
        <v/>
      </c>
      <c r="K207">
        <f>IF(OR($IW37=0,calcA!$A$6=0),0,IF(J$117=1,J37,0)+IF(K$117=1,L37,0))</f>
        <v/>
      </c>
      <c r="L207">
        <f>IF(OR($IW37=0,calcA!$A$6=0),0,IF(K$117=1,K37,0)+IF(L$117=1,M37,0))</f>
        <v/>
      </c>
      <c r="M207">
        <f>IF(OR($IW37=0,calcA!$A$6=0),0,IF(L$117=1,L37,0)+IF(M$117=1,N37,0))</f>
        <v/>
      </c>
      <c r="N207">
        <f>IF(OR($IW37=0,calcA!$A$6=0),0,IF(M$117=1,M37,0)+IF(N$117=1,O37,0))</f>
        <v/>
      </c>
      <c r="O207">
        <f>IF(OR($IW37=0,calcA!$A$6=0),0,IF(N$117=1,N37,0)+IF(O$117=1,P37,0))</f>
        <v/>
      </c>
      <c r="P207">
        <f>IF(OR($IW37=0,calcA!$A$6=0),0,IF(O$117=1,O37,0)+IF(P$117=1,Q37,0))</f>
        <v/>
      </c>
      <c r="Q207">
        <f>IF(OR($IW37=0,calcA!$A$6=0),0,IF(P$117=1,P37,0)+IF(Q$117=1,R37,0))</f>
        <v/>
      </c>
      <c r="R207">
        <f>IF(OR($IW37=0,calcA!$A$6=0),0,IF(Q$117=1,Q37,0)+IF(R$117=1,S37,0))</f>
        <v/>
      </c>
      <c r="S207">
        <f>IF(OR($IW37=0,calcA!$A$6=0),0,IF(R$117=1,R37,0)+IF(S$117=1,T37,0))</f>
        <v/>
      </c>
      <c r="T207">
        <f>IF(OR($IW37=0,calcA!$A$6=0),0,IF(S$117=1,S37,0)+IF(T$117=1,U37,0))</f>
        <v/>
      </c>
      <c r="U207">
        <f>IF(OR($IW37=0,calcA!$A$6=0),0,IF(T$117=1,T37,0)+IF(U$117=1,V37,0))</f>
        <v/>
      </c>
      <c r="V207">
        <f>IF(OR($IW37=0,calcA!$A$6=0),0,IF(U$117=1,U37,0)+IF(V$117=1,W37,0))</f>
        <v/>
      </c>
      <c r="W207">
        <f>IF(OR($IW37=0,calcA!$A$6=0),0,IF(V$117=1,V37,0)+IF(W$117=1,X37,0))</f>
        <v/>
      </c>
      <c r="X207">
        <f>IF(OR($IW37=0,calcA!$A$6=0),0,IF(W$117=1,W37,0)+IF(X$117=1,Y37,0))</f>
        <v/>
      </c>
      <c r="Y207">
        <f>IF(OR($IW37=0,calcA!$A$6=0),0,IF(X$117=1,X37,0)+IF(Y$117=1,Z37,0))</f>
        <v/>
      </c>
      <c r="Z207">
        <f>IF(OR($IW37=0,calcA!$A$6=0),0,IF(Y$117=1,Y37,0)+IF(Z$117=1,AA37,0))</f>
        <v/>
      </c>
      <c r="AA207">
        <f>IF(OR($IW37=0,calcA!$A$6=0),0,IF(Z$117=1,Z37,0))</f>
        <v/>
      </c>
      <c r="AB207">
        <f>IF(OR($IW37=0,calcA!$A$6=0),0,IF(AB$117=1,AC37,0))</f>
        <v/>
      </c>
      <c r="AC207">
        <f>IF(OR($IW37=0,calcA!$A$6=0),0,IF(AB$117=1,AB37,0)+IF(AC$117=1,AD37,0))</f>
        <v/>
      </c>
      <c r="AD207">
        <f>IF(OR($IW37=0,calcA!$A$6=0),0,IF(AC$117=1,AC37,0)+IF(AD$117=1,AE37,0))</f>
        <v/>
      </c>
      <c r="AE207">
        <f>IF(OR($IW37=0,calcA!$A$6=0),0,IF(AD$117=1,AD37,0)+IF(AE$117=1,AF37,0))</f>
        <v/>
      </c>
      <c r="AF207">
        <f>IF(OR($IW37=0,calcA!$A$6=0),0,IF(AE$117=1,AE37,0)+IF(AF$117=1,AG37,0))</f>
        <v/>
      </c>
      <c r="AG207">
        <f>IF(OR($IW37=0,calcA!$A$6=0),0,IF(AF$117=1,AF37,0)+IF(AG$117=1,AH37,0))</f>
        <v/>
      </c>
      <c r="AH207">
        <f>IF(OR($IW37=0,calcA!$A$6=0),0,IF(AG$117=1,AG37,0)+IF(AH$117=1,AI37,0))</f>
        <v/>
      </c>
      <c r="AI207">
        <f>IF(OR($IW37=0,calcA!$A$6=0),0,IF(AH$117=1,AH37,0)+IF(AI$117=1,AJ37,0))</f>
        <v/>
      </c>
      <c r="AJ207">
        <f>IF(OR($IW37=0,calcA!$A$6=0),0,IF(AI$117=1,AI37,0)+IF(AJ$117=1,AK37,0))</f>
        <v/>
      </c>
      <c r="AK207">
        <f>IF(OR($IW37=0,calcA!$A$6=0),0,IF(AJ$117=1,AJ37,0)+IF(AK$117=1,AL37,0))</f>
        <v/>
      </c>
      <c r="AL207">
        <f>IF(OR($IW37=0,calcA!$A$6=0),0,IF(AK$117=1,AK37,0)+IF(AL$117=1,AM37,0))</f>
        <v/>
      </c>
      <c r="AM207">
        <f>IF(OR($IW37=0,calcA!$A$6=0),0,IF(AL$117=1,AL37,0)+IF(AM$117=1,AN37,0))</f>
        <v/>
      </c>
      <c r="AN207">
        <f>IF(OR($IW37=0,calcA!$A$6=0),0,IF(AM$117=1,AM37,0)+IF(AN$117=1,AO37,0))</f>
        <v/>
      </c>
      <c r="AO207">
        <f>IF(OR($IW37=0,calcA!$A$6=0),0,IF(AN$117=1,AN37,0)+IF(AO$117=1,AP37,0))</f>
        <v/>
      </c>
      <c r="AP207">
        <f>IF(OR($IW37=0,calcA!$A$6=0),0,IF(AO$117=1,AO37,0)+IF(AP$117=1,AQ37,0))</f>
        <v/>
      </c>
      <c r="AQ207">
        <f>IF(OR($IW37=0,calcA!$A$6=0),0,IF(AP$117=1,AP37,0)+IF(AQ$117=1,AR37,0))</f>
        <v/>
      </c>
      <c r="AR207">
        <f>IF(OR($IW37=0,calcA!$A$6=0),0,IF(AQ$117=1,AQ37,0)+IF(AR$117=1,AS37,0))</f>
        <v/>
      </c>
      <c r="AS207">
        <f>IF(OR($IW37=0,calcA!$A$6=0),0,IF(AR$117=1,AR37,0)+IF(AS$117=1,AT37,0))</f>
        <v/>
      </c>
      <c r="AT207">
        <f>IF(OR($IW37=0,calcA!$A$6=0),0,IF(AS$117=1,AS37,0)+IF(AT$117=1,AU37,0))</f>
        <v/>
      </c>
      <c r="AU207">
        <f>IF(OR($IW37=0,calcA!$A$6=0),0,IF(AT$117=1,AT37,0)+IF(AU$117=1,AV37,0))</f>
        <v/>
      </c>
      <c r="AV207">
        <f>IF(OR($IW37=0,calcA!$A$6=0),0,IF(AU$117=1,AU37,0)+IF(AV$117=1,AW37,0))</f>
        <v/>
      </c>
      <c r="AW207">
        <f>IF(OR($IW37=0,calcA!$A$6=0),0,IF(AV$117=1,AV37,0)+IF(AW$117=1,AX37,0))</f>
        <v/>
      </c>
      <c r="AX207">
        <f>IF(OR($IW37=0,calcA!$A$6=0),0,IF(AW$117=1,AW37,0)+IF(AX$117=1,AY37,0))</f>
        <v/>
      </c>
      <c r="AY207">
        <f>IF(OR($IW37=0,calcA!$A$6=0),0,IF(AX$117=1,AX37,0))</f>
        <v/>
      </c>
      <c r="AZ207">
        <f>IF(OR($IW37=0,calcA!$A$6=0),0,IF(AZ$117=1,BA37,0))</f>
        <v/>
      </c>
      <c r="BA207">
        <f>IF(OR($IW37=0,calcA!$A$6=0),0,IF(AZ$117=1,AZ37,0)+IF(BA$117=1,BB37,0))</f>
        <v/>
      </c>
      <c r="BB207">
        <f>IF(OR($IW37=0,calcA!$A$6=0),0,IF(BA$117=1,BA37,0)+IF(BB$117=1,BC37,0))</f>
        <v/>
      </c>
      <c r="BC207">
        <f>IF(OR($IW37=0,calcA!$A$6=0),0,IF(BB$117=1,BB37,0)+IF(BC$117=1,BD37,0))</f>
        <v/>
      </c>
      <c r="BD207">
        <f>IF(OR($IW37=0,calcA!$A$6=0),0,IF(BC$117=1,BC37,0)+IF(BD$117=1,BE37,0))</f>
        <v/>
      </c>
      <c r="BE207">
        <f>IF(OR($IW37=0,calcA!$A$6=0),0,IF(BD$117=1,BD37,0)+IF(BE$117=1,BF37,0))</f>
        <v/>
      </c>
      <c r="BF207">
        <f>IF(OR($IW37=0,calcA!$A$6=0),0,IF(BE$117=1,BE37,0)+IF(BF$117=1,BG37,0))</f>
        <v/>
      </c>
      <c r="BG207">
        <f>IF(OR($IW37=0,calcA!$A$6=0),0,IF(BF$117=1,BF37,0)+IF(BG$117=1,BH37,0))</f>
        <v/>
      </c>
      <c r="BH207">
        <f>IF(OR($IW37=0,calcA!$A$6=0),0,IF(BG$117=1,BG37,0)+IF(BH$117=1,BI37,0))</f>
        <v/>
      </c>
      <c r="BI207">
        <f>IF(OR($IW37=0,calcA!$A$6=0),0,IF(BH$117=1,BH37,0)+IF(BI$117=1,BJ37,0))</f>
        <v/>
      </c>
      <c r="BJ207">
        <f>IF(OR($IW37=0,calcA!$A$6=0),0,IF(BI$117=1,BI37,0)+IF(BJ$117=1,BK37,0))</f>
        <v/>
      </c>
      <c r="BK207">
        <f>IF(OR($IW37=0,calcA!$A$6=0),0,IF(BJ$117=1,BJ37,0)+IF(BK$117=1,BL37,0))</f>
        <v/>
      </c>
      <c r="BL207">
        <f>IF(OR($IW37=0,calcA!$A$6=0),0,IF(BK$117=1,BK37,0)+IF(BL$117=1,BM37,0))</f>
        <v/>
      </c>
      <c r="BM207">
        <f>IF(OR($IW37=0,calcA!$A$6=0),0,IF(BL$117=1,BL37,0)+IF(BM$117=1,BN37,0))</f>
        <v/>
      </c>
      <c r="BN207">
        <f>IF(OR($IW37=0,calcA!$A$6=0),0,IF(BM$117=1,BM37,0)+IF(BN$117=1,BO37,0))</f>
        <v/>
      </c>
      <c r="BO207">
        <f>IF(OR($IW37=0,calcA!$A$6=0),0,IF(BN$117=1,BN37,0)+IF(BO$117=1,BP37,0))</f>
        <v/>
      </c>
      <c r="BP207">
        <f>IF(OR($IW37=0,calcA!$A$6=0),0,IF(BO$117=1,BO37,0)+IF(BP$117=1,BQ37,0))</f>
        <v/>
      </c>
      <c r="BQ207">
        <f>IF(OR($IW37=0,calcA!$A$6=0),0,IF(BP$117=1,BP37,0)+IF(BQ$117=1,BR37,0))</f>
        <v/>
      </c>
      <c r="BR207">
        <f>IF(OR($IW37=0,calcA!$A$6=0),0,IF(BQ$117=1,BQ37,0)+IF(BR$117=1,BS37,0))</f>
        <v/>
      </c>
      <c r="BS207">
        <f>IF(OR($IW37=0,calcA!$A$6=0),0,IF(BR$117=1,BR37,0)+IF(BS$117=1,BT37,0))</f>
        <v/>
      </c>
      <c r="BT207">
        <f>IF(OR($IW37=0,calcA!$A$6=0),0,IF(BS$117=1,BS37,0)+IF(BT$117=1,BU37,0))</f>
        <v/>
      </c>
      <c r="BU207">
        <f>IF(OR($IW37=0,calcA!$A$6=0),0,IF(BT$117=1,BT37,0)+IF(BU$117=1,BV37,0))</f>
        <v/>
      </c>
      <c r="BV207">
        <f>IF(OR($IW37=0,calcA!$A$6=0),0,IF(BU$117=1,BU37,0)+IF(BV$117=1,BW37,0))</f>
        <v/>
      </c>
      <c r="BW207">
        <f>IF(OR($IW37=0,calcA!$A$6=0),0,IF(BV$117=1,BV37,0))</f>
        <v/>
      </c>
      <c r="BX207">
        <f>IF(OR($IW37=0,calcA!$A$6=0),0,IF(BX$117=1,BY37,0))</f>
        <v/>
      </c>
      <c r="BY207">
        <f>IF(OR($IW37=0,calcA!$A$6=0),0,IF(BX$117=1,BX37,0)+IF(BY$117=1,BZ37,0))</f>
        <v/>
      </c>
      <c r="BZ207">
        <f>IF(OR($IW37=0,calcA!$A$6=0),0,IF(BY$117=1,BY37,0)+IF(BZ$117=1,CA37,0))</f>
        <v/>
      </c>
      <c r="CA207">
        <f>IF(OR($IW37=0,calcA!$A$6=0),0,IF(BZ$117=1,BZ37,0)+IF(CA$117=1,CB37,0))</f>
        <v/>
      </c>
      <c r="CB207">
        <f>IF(OR($IW37=0,calcA!$A$6=0),0,IF(CA$117=1,CA37,0)+IF(CB$117=1,CC37,0))</f>
        <v/>
      </c>
      <c r="CC207">
        <f>IF(OR($IW37=0,calcA!$A$6=0),0,IF(CB$117=1,CB37,0)+IF(CC$117=1,CD37,0))</f>
        <v/>
      </c>
      <c r="CD207">
        <f>IF(OR($IW37=0,calcA!$A$6=0),0,IF(CC$117=1,CC37,0)+IF(CD$117=1,CE37,0))</f>
        <v/>
      </c>
      <c r="CE207">
        <f>IF(OR($IW37=0,calcA!$A$6=0),0,IF(CD$117=1,CD37,0)+IF(CE$117=1,CF37,0))</f>
        <v/>
      </c>
      <c r="CF207">
        <f>IF(OR($IW37=0,calcA!$A$6=0),0,IF(CE$117=1,CE37,0)+IF(CF$117=1,CG37,0))</f>
        <v/>
      </c>
      <c r="CG207">
        <f>IF(OR($IW37=0,calcA!$A$6=0),0,IF(CF$117=1,CF37,0)+IF(CG$117=1,CH37,0))</f>
        <v/>
      </c>
      <c r="CH207">
        <f>IF(OR($IW37=0,calcA!$A$6=0),0,IF(CG$117=1,CG37,0)+IF(CH$117=1,CI37,0))</f>
        <v/>
      </c>
      <c r="CI207">
        <f>IF(OR($IW37=0,calcA!$A$6=0),0,IF(CH$117=1,CH37,0)+IF(CI$117=1,CJ37,0))</f>
        <v/>
      </c>
      <c r="CJ207">
        <f>IF(OR($IW37=0,calcA!$A$6=0),0,IF(CI$117=1,CI37,0)+IF(CJ$117=1,CK37,0))</f>
        <v/>
      </c>
      <c r="CK207">
        <f>IF(OR($IW37=0,calcA!$A$6=0),0,IF(CJ$117=1,CJ37,0)+IF(CK$117=1,CL37,0))</f>
        <v/>
      </c>
      <c r="CL207">
        <f>IF(OR($IW37=0,calcA!$A$6=0),0,IF(CK$117=1,CK37,0)+IF(CL$117=1,CM37,0))</f>
        <v/>
      </c>
      <c r="CM207">
        <f>IF(OR($IW37=0,calcA!$A$6=0),0,IF(CL$117=1,CL37,0)+IF(CM$117=1,CN37,0))</f>
        <v/>
      </c>
      <c r="CN207">
        <f>IF(OR($IW37=0,calcA!$A$6=0),0,IF(CM$117=1,CM37,0)+IF(CN$117=1,CO37,0))</f>
        <v/>
      </c>
      <c r="CO207">
        <f>IF(OR($IW37=0,calcA!$A$6=0),0,IF(CN$117=1,CN37,0)+IF(CO$117=1,CP37,0))</f>
        <v/>
      </c>
      <c r="CP207">
        <f>IF(OR($IW37=0,calcA!$A$6=0),0,IF(CO$117=1,CO37,0)+IF(CP$117=1,CQ37,0))</f>
        <v/>
      </c>
      <c r="CQ207">
        <f>IF(OR($IW37=0,calcA!$A$6=0),0,IF(CP$117=1,CP37,0)+IF(CQ$117=1,CR37,0))</f>
        <v/>
      </c>
      <c r="CR207">
        <f>IF(OR($IW37=0,calcA!$A$6=0),0,IF(CQ$117=1,CQ37,0)+IF(CR$117=1,CS37,0))</f>
        <v/>
      </c>
      <c r="CS207">
        <f>IF(OR($IW37=0,calcA!$A$6=0),0,IF(CR$117=1,CR37,0)+IF(CS$117=1,CT37,0))</f>
        <v/>
      </c>
      <c r="CT207">
        <f>IF(OR($IW37=0,calcA!$A$6=0),0,IF(CS$117=1,CS37,0)+IF(CT$117=1,CU37,0))</f>
        <v/>
      </c>
      <c r="CU207">
        <f>IF(OR($IW37=0,calcA!$A$6=0),0,IF(CT$117=1,CT37,0))</f>
        <v/>
      </c>
      <c r="CV207">
        <f>IF(OR($IW37=0,calcA!$A$6=0),0,IF(CV$117=1,CW37,0))</f>
        <v/>
      </c>
      <c r="CW207">
        <f>IF(OR($IW37=0,calcA!$A$6=0),0,IF(CV$117=1,CV37,0)+IF(CW$117=1,CX37,0))</f>
        <v/>
      </c>
      <c r="CX207">
        <f>IF(OR($IW37=0,calcA!$A$6=0),0,IF(CW$117=1,CW37,0)+IF(CX$117=1,CY37,0))</f>
        <v/>
      </c>
      <c r="CY207">
        <f>IF(OR($IW37=0,calcA!$A$6=0),0,IF(CX$117=1,CX37,0)+IF(CY$117=1,CZ37,0))</f>
        <v/>
      </c>
      <c r="CZ207">
        <f>IF(OR($IW37=0,calcA!$A$6=0),0,IF(CY$117=1,CY37,0)+IF(CZ$117=1,DA37,0))</f>
        <v/>
      </c>
      <c r="DA207">
        <f>IF(OR($IW37=0,calcA!$A$6=0),0,IF(CZ$117=1,CZ37,0)+IF(DA$117=1,DB37,0))</f>
        <v/>
      </c>
      <c r="DB207">
        <f>IF(OR($IW37=0,calcA!$A$6=0),0,IF(DA$117=1,DA37,0)+IF(DB$117=1,DC37,0))</f>
        <v/>
      </c>
      <c r="DC207">
        <f>IF(OR($IW37=0,calcA!$A$6=0),0,IF(DB$117=1,DB37,0)+IF(DC$117=1,DD37,0))</f>
        <v/>
      </c>
      <c r="DD207">
        <f>IF(OR($IW37=0,calcA!$A$6=0),0,IF(DC$117=1,DC37,0)+IF(DD$117=1,DE37,0))</f>
        <v/>
      </c>
      <c r="DE207">
        <f>IF(OR($IW37=0,calcA!$A$6=0),0,IF(DD$117=1,DD37,0)+IF(DE$117=1,DF37,0))</f>
        <v/>
      </c>
      <c r="DF207">
        <f>IF(OR($IW37=0,calcA!$A$6=0),0,IF(DE$117=1,DE37,0)+IF(DF$117=1,DG37,0))</f>
        <v/>
      </c>
      <c r="DG207">
        <f>IF(OR($IW37=0,calcA!$A$6=0),0,IF(DF$117=1,DF37,0)+IF(DG$117=1,DH37,0))</f>
        <v/>
      </c>
      <c r="DH207">
        <f>IF(OR($IW37=0,calcA!$A$6=0),0,IF(DG$117=1,DG37,0)+IF(DH$117=1,DI37,0))</f>
        <v/>
      </c>
      <c r="DI207">
        <f>IF(OR($IW37=0,calcA!$A$6=0),0,IF(DH$117=1,DH37,0)+IF(DI$117=1,DJ37,0))</f>
        <v/>
      </c>
      <c r="DJ207">
        <f>IF(OR($IW37=0,calcA!$A$6=0),0,IF(DI$117=1,DI37,0)+IF(DJ$117=1,DK37,0))</f>
        <v/>
      </c>
      <c r="DK207">
        <f>IF(OR($IW37=0,calcA!$A$6=0),0,IF(DJ$117=1,DJ37,0)+IF(DK$117=1,DL37,0))</f>
        <v/>
      </c>
      <c r="DL207">
        <f>IF(OR($IW37=0,calcA!$A$6=0),0,IF(DK$117=1,DK37,0)+IF(DL$117=1,DM37,0))</f>
        <v/>
      </c>
      <c r="DM207">
        <f>IF(OR($IW37=0,calcA!$A$6=0),0,IF(DL$117=1,DL37,0)+IF(DM$117=1,DN37,0))</f>
        <v/>
      </c>
      <c r="DN207">
        <f>IF(OR($IW37=0,calcA!$A$6=0),0,IF(DM$117=1,DM37,0)+IF(DN$117=1,DO37,0))</f>
        <v/>
      </c>
      <c r="DO207">
        <f>IF(OR($IW37=0,calcA!$A$6=0),0,IF(DN$117=1,DN37,0)+IF(DO$117=1,DP37,0))</f>
        <v/>
      </c>
      <c r="DP207">
        <f>IF(OR($IW37=0,calcA!$A$6=0),0,IF(DO$117=1,DO37,0)+IF(DP$117=1,DQ37,0))</f>
        <v/>
      </c>
      <c r="DQ207">
        <f>IF(OR($IW37=0,calcA!$A$6=0),0,IF(DP$117=1,DP37,0)+IF(DQ$117=1,DR37,0))</f>
        <v/>
      </c>
      <c r="DR207">
        <f>IF(OR($IW37=0,calcA!$A$6=0),0,IF(DQ$117=1,DQ37,0)+IF(DR$117=1,DS37,0))</f>
        <v/>
      </c>
      <c r="DS207">
        <f>IF(OR($IW37=0,calcA!$A$6=0),0,IF(DR$117=1,DR37,0))</f>
        <v/>
      </c>
      <c r="DT207">
        <f>IF(OR($IW37=0,calcA!$A$6=0),0,IF(DT$117=1,DU37,0))</f>
        <v/>
      </c>
      <c r="DU207">
        <f>IF(OR($IW37=0,calcA!$A$6=0),0,IF(DT$117=1,DT37,0)+IF(DU$117=1,DV37,0))</f>
        <v/>
      </c>
      <c r="DV207">
        <f>IF(OR($IW37=0,calcA!$A$6=0),0,IF(DU$117=1,DU37,0)+IF(DV$117=1,DW37,0))</f>
        <v/>
      </c>
      <c r="DW207">
        <f>IF(OR($IW37=0,calcA!$A$6=0),0,IF(DV$117=1,DV37,0)+IF(DW$117=1,DX37,0))</f>
        <v/>
      </c>
      <c r="DX207">
        <f>IF(OR($IW37=0,calcA!$A$6=0),0,IF(DW$117=1,DW37,0)+IF(DX$117=1,DY37,0))</f>
        <v/>
      </c>
      <c r="DY207">
        <f>IF(OR($IW37=0,calcA!$A$6=0),0,IF(DX$117=1,DX37,0)+IF(DY$117=1,DZ37,0))</f>
        <v/>
      </c>
      <c r="DZ207">
        <f>IF(OR($IW37=0,calcA!$A$6=0),0,IF(DY$117=1,DY37,0)+IF(DZ$117=1,EA37,0))</f>
        <v/>
      </c>
      <c r="EA207">
        <f>IF(OR($IW37=0,calcA!$A$6=0),0,IF(DZ$117=1,DZ37,0)+IF(EA$117=1,EB37,0))</f>
        <v/>
      </c>
      <c r="EB207">
        <f>IF(OR($IW37=0,calcA!$A$6=0),0,IF(EA$117=1,EA37,0)+IF(EB$117=1,EC37,0))</f>
        <v/>
      </c>
      <c r="EC207">
        <f>IF(OR($IW37=0,calcA!$A$6=0),0,IF(EB$117=1,EB37,0)+IF(EC$117=1,ED37,0))</f>
        <v/>
      </c>
      <c r="ED207">
        <f>IF(OR($IW37=0,calcA!$A$6=0),0,IF(EC$117=1,EC37,0)+IF(ED$117=1,EE37,0))</f>
        <v/>
      </c>
      <c r="EE207">
        <f>IF(OR($IW37=0,calcA!$A$6=0),0,IF(ED$117=1,ED37,0)+IF(EE$117=1,EF37,0))</f>
        <v/>
      </c>
      <c r="EF207">
        <f>IF(OR($IW37=0,calcA!$A$6=0),0,IF(EE$117=1,EE37,0)+IF(EF$117=1,EG37,0))</f>
        <v/>
      </c>
      <c r="EG207">
        <f>IF(OR($IW37=0,calcA!$A$6=0),0,IF(EF$117=1,EF37,0)+IF(EG$117=1,EH37,0))</f>
        <v/>
      </c>
      <c r="EH207">
        <f>IF(OR($IW37=0,calcA!$A$6=0),0,IF(EG$117=1,EG37,0)+IF(EH$117=1,EI37,0))</f>
        <v/>
      </c>
      <c r="EI207">
        <f>IF(OR($IW37=0,calcA!$A$6=0),0,IF(EH$117=1,EH37,0)+IF(EI$117=1,EJ37,0))</f>
        <v/>
      </c>
      <c r="EJ207">
        <f>IF(OR($IW37=0,calcA!$A$6=0),0,IF(EI$117=1,EI37,0)+IF(EJ$117=1,EK37,0))</f>
        <v/>
      </c>
      <c r="EK207">
        <f>IF(OR($IW37=0,calcA!$A$6=0),0,IF(EJ$117=1,EJ37,0)+IF(EK$117=1,EL37,0))</f>
        <v/>
      </c>
      <c r="EL207">
        <f>IF(OR($IW37=0,calcA!$A$6=0),0,IF(EK$117=1,EK37,0)+IF(EL$117=1,EM37,0))</f>
        <v/>
      </c>
      <c r="EM207">
        <f>IF(OR($IW37=0,calcA!$A$6=0),0,IF(EL$117=1,EL37,0)+IF(EM$117=1,EN37,0))</f>
        <v/>
      </c>
      <c r="EN207">
        <f>IF(OR($IW37=0,calcA!$A$6=0),0,IF(EM$117=1,EM37,0)+IF(EN$117=1,EO37,0))</f>
        <v/>
      </c>
      <c r="EO207">
        <f>IF(OR($IW37=0,calcA!$A$6=0),0,IF(EN$117=1,EN37,0)+IF(EO$117=1,EP37,0))</f>
        <v/>
      </c>
      <c r="EP207">
        <f>IF(OR($IW37=0,calcA!$A$6=0),0,IF(EO$117=1,EO37,0)+IF(EP$117=1,EQ37,0))</f>
        <v/>
      </c>
      <c r="EQ207">
        <f>IF(OR($IW37=0,calcA!$A$6=0),0,IF(EP$117=1,EP37,0))</f>
        <v/>
      </c>
    </row>
    <row r="208">
      <c r="D208">
        <f>IF(OR($IW38=0,calcA!$A$6=0),0,IF(D$117=1,E38,0))</f>
        <v/>
      </c>
      <c r="E208">
        <f>IF(OR($IW38=0,calcA!$A$6=0),0,IF(D$117=1,D38,0)+IF(E$117=1,F38,0))</f>
        <v/>
      </c>
      <c r="F208">
        <f>IF(OR($IW38=0,calcA!$A$6=0),0,IF(E$117=1,E38,0)+IF(F$117=1,G38,0))</f>
        <v/>
      </c>
      <c r="G208">
        <f>IF(OR($IW38=0,calcA!$A$6=0),0,IF(F$117=1,F38,0)+IF(G$117=1,H38,0))</f>
        <v/>
      </c>
      <c r="H208">
        <f>IF(OR($IW38=0,calcA!$A$6=0),0,IF(G$117=1,G38,0)+IF(H$117=1,I38,0))</f>
        <v/>
      </c>
      <c r="I208">
        <f>IF(OR($IW38=0,calcA!$A$6=0),0,IF(H$117=1,H38,0)+IF(I$117=1,J38,0))</f>
        <v/>
      </c>
      <c r="J208">
        <f>IF(OR($IW38=0,calcA!$A$6=0),0,IF(I$117=1,I38,0)+IF(J$117=1,K38,0))</f>
        <v/>
      </c>
      <c r="K208">
        <f>IF(OR($IW38=0,calcA!$A$6=0),0,IF(J$117=1,J38,0)+IF(K$117=1,L38,0))</f>
        <v/>
      </c>
      <c r="L208">
        <f>IF(OR($IW38=0,calcA!$A$6=0),0,IF(K$117=1,K38,0)+IF(L$117=1,M38,0))</f>
        <v/>
      </c>
      <c r="M208">
        <f>IF(OR($IW38=0,calcA!$A$6=0),0,IF(L$117=1,L38,0)+IF(M$117=1,N38,0))</f>
        <v/>
      </c>
      <c r="N208">
        <f>IF(OR($IW38=0,calcA!$A$6=0),0,IF(M$117=1,M38,0)+IF(N$117=1,O38,0))</f>
        <v/>
      </c>
      <c r="O208">
        <f>IF(OR($IW38=0,calcA!$A$6=0),0,IF(N$117=1,N38,0)+IF(O$117=1,P38,0))</f>
        <v/>
      </c>
      <c r="P208">
        <f>IF(OR($IW38=0,calcA!$A$6=0),0,IF(O$117=1,O38,0)+IF(P$117=1,Q38,0))</f>
        <v/>
      </c>
      <c r="Q208">
        <f>IF(OR($IW38=0,calcA!$A$6=0),0,IF(P$117=1,P38,0)+IF(Q$117=1,R38,0))</f>
        <v/>
      </c>
      <c r="R208">
        <f>IF(OR($IW38=0,calcA!$A$6=0),0,IF(Q$117=1,Q38,0)+IF(R$117=1,S38,0))</f>
        <v/>
      </c>
      <c r="S208">
        <f>IF(OR($IW38=0,calcA!$A$6=0),0,IF(R$117=1,R38,0)+IF(S$117=1,T38,0))</f>
        <v/>
      </c>
      <c r="T208">
        <f>IF(OR($IW38=0,calcA!$A$6=0),0,IF(S$117=1,S38,0)+IF(T$117=1,U38,0))</f>
        <v/>
      </c>
      <c r="U208">
        <f>IF(OR($IW38=0,calcA!$A$6=0),0,IF(T$117=1,T38,0)+IF(U$117=1,V38,0))</f>
        <v/>
      </c>
      <c r="V208">
        <f>IF(OR($IW38=0,calcA!$A$6=0),0,IF(U$117=1,U38,0)+IF(V$117=1,W38,0))</f>
        <v/>
      </c>
      <c r="W208">
        <f>IF(OR($IW38=0,calcA!$A$6=0),0,IF(V$117=1,V38,0)+IF(W$117=1,X38,0))</f>
        <v/>
      </c>
      <c r="X208">
        <f>IF(OR($IW38=0,calcA!$A$6=0),0,IF(W$117=1,W38,0)+IF(X$117=1,Y38,0))</f>
        <v/>
      </c>
      <c r="Y208">
        <f>IF(OR($IW38=0,calcA!$A$6=0),0,IF(X$117=1,X38,0)+IF(Y$117=1,Z38,0))</f>
        <v/>
      </c>
      <c r="Z208">
        <f>IF(OR($IW38=0,calcA!$A$6=0),0,IF(Y$117=1,Y38,0)+IF(Z$117=1,AA38,0))</f>
        <v/>
      </c>
      <c r="AA208">
        <f>IF(OR($IW38=0,calcA!$A$6=0),0,IF(Z$117=1,Z38,0))</f>
        <v/>
      </c>
      <c r="AB208">
        <f>IF(OR($IW38=0,calcA!$A$6=0),0,IF(AB$117=1,AC38,0))</f>
        <v/>
      </c>
      <c r="AC208">
        <f>IF(OR($IW38=0,calcA!$A$6=0),0,IF(AB$117=1,AB38,0)+IF(AC$117=1,AD38,0))</f>
        <v/>
      </c>
      <c r="AD208">
        <f>IF(OR($IW38=0,calcA!$A$6=0),0,IF(AC$117=1,AC38,0)+IF(AD$117=1,AE38,0))</f>
        <v/>
      </c>
      <c r="AE208">
        <f>IF(OR($IW38=0,calcA!$A$6=0),0,IF(AD$117=1,AD38,0)+IF(AE$117=1,AF38,0))</f>
        <v/>
      </c>
      <c r="AF208">
        <f>IF(OR($IW38=0,calcA!$A$6=0),0,IF(AE$117=1,AE38,0)+IF(AF$117=1,AG38,0))</f>
        <v/>
      </c>
      <c r="AG208">
        <f>IF(OR($IW38=0,calcA!$A$6=0),0,IF(AF$117=1,AF38,0)+IF(AG$117=1,AH38,0))</f>
        <v/>
      </c>
      <c r="AH208">
        <f>IF(OR($IW38=0,calcA!$A$6=0),0,IF(AG$117=1,AG38,0)+IF(AH$117=1,AI38,0))</f>
        <v/>
      </c>
      <c r="AI208">
        <f>IF(OR($IW38=0,calcA!$A$6=0),0,IF(AH$117=1,AH38,0)+IF(AI$117=1,AJ38,0))</f>
        <v/>
      </c>
      <c r="AJ208">
        <f>IF(OR($IW38=0,calcA!$A$6=0),0,IF(AI$117=1,AI38,0)+IF(AJ$117=1,AK38,0))</f>
        <v/>
      </c>
      <c r="AK208">
        <f>IF(OR($IW38=0,calcA!$A$6=0),0,IF(AJ$117=1,AJ38,0)+IF(AK$117=1,AL38,0))</f>
        <v/>
      </c>
      <c r="AL208">
        <f>IF(OR($IW38=0,calcA!$A$6=0),0,IF(AK$117=1,AK38,0)+IF(AL$117=1,AM38,0))</f>
        <v/>
      </c>
      <c r="AM208">
        <f>IF(OR($IW38=0,calcA!$A$6=0),0,IF(AL$117=1,AL38,0)+IF(AM$117=1,AN38,0))</f>
        <v/>
      </c>
      <c r="AN208">
        <f>IF(OR($IW38=0,calcA!$A$6=0),0,IF(AM$117=1,AM38,0)+IF(AN$117=1,AO38,0))</f>
        <v/>
      </c>
      <c r="AO208">
        <f>IF(OR($IW38=0,calcA!$A$6=0),0,IF(AN$117=1,AN38,0)+IF(AO$117=1,AP38,0))</f>
        <v/>
      </c>
      <c r="AP208">
        <f>IF(OR($IW38=0,calcA!$A$6=0),0,IF(AO$117=1,AO38,0)+IF(AP$117=1,AQ38,0))</f>
        <v/>
      </c>
      <c r="AQ208">
        <f>IF(OR($IW38=0,calcA!$A$6=0),0,IF(AP$117=1,AP38,0)+IF(AQ$117=1,AR38,0))</f>
        <v/>
      </c>
      <c r="AR208">
        <f>IF(OR($IW38=0,calcA!$A$6=0),0,IF(AQ$117=1,AQ38,0)+IF(AR$117=1,AS38,0))</f>
        <v/>
      </c>
      <c r="AS208">
        <f>IF(OR($IW38=0,calcA!$A$6=0),0,IF(AR$117=1,AR38,0)+IF(AS$117=1,AT38,0))</f>
        <v/>
      </c>
      <c r="AT208">
        <f>IF(OR($IW38=0,calcA!$A$6=0),0,IF(AS$117=1,AS38,0)+IF(AT$117=1,AU38,0))</f>
        <v/>
      </c>
      <c r="AU208">
        <f>IF(OR($IW38=0,calcA!$A$6=0),0,IF(AT$117=1,AT38,0)+IF(AU$117=1,AV38,0))</f>
        <v/>
      </c>
      <c r="AV208">
        <f>IF(OR($IW38=0,calcA!$A$6=0),0,IF(AU$117=1,AU38,0)+IF(AV$117=1,AW38,0))</f>
        <v/>
      </c>
      <c r="AW208">
        <f>IF(OR($IW38=0,calcA!$A$6=0),0,IF(AV$117=1,AV38,0)+IF(AW$117=1,AX38,0))</f>
        <v/>
      </c>
      <c r="AX208">
        <f>IF(OR($IW38=0,calcA!$A$6=0),0,IF(AW$117=1,AW38,0)+IF(AX$117=1,AY38,0))</f>
        <v/>
      </c>
      <c r="AY208">
        <f>IF(OR($IW38=0,calcA!$A$6=0),0,IF(AX$117=1,AX38,0))</f>
        <v/>
      </c>
      <c r="AZ208">
        <f>IF(OR($IW38=0,calcA!$A$6=0),0,IF(AZ$117=1,BA38,0))</f>
        <v/>
      </c>
      <c r="BA208">
        <f>IF(OR($IW38=0,calcA!$A$6=0),0,IF(AZ$117=1,AZ38,0)+IF(BA$117=1,BB38,0))</f>
        <v/>
      </c>
      <c r="BB208">
        <f>IF(OR($IW38=0,calcA!$A$6=0),0,IF(BA$117=1,BA38,0)+IF(BB$117=1,BC38,0))</f>
        <v/>
      </c>
      <c r="BC208">
        <f>IF(OR($IW38=0,calcA!$A$6=0),0,IF(BB$117=1,BB38,0)+IF(BC$117=1,BD38,0))</f>
        <v/>
      </c>
      <c r="BD208">
        <f>IF(OR($IW38=0,calcA!$A$6=0),0,IF(BC$117=1,BC38,0)+IF(BD$117=1,BE38,0))</f>
        <v/>
      </c>
      <c r="BE208">
        <f>IF(OR($IW38=0,calcA!$A$6=0),0,IF(BD$117=1,BD38,0)+IF(BE$117=1,BF38,0))</f>
        <v/>
      </c>
      <c r="BF208">
        <f>IF(OR($IW38=0,calcA!$A$6=0),0,IF(BE$117=1,BE38,0)+IF(BF$117=1,BG38,0))</f>
        <v/>
      </c>
      <c r="BG208">
        <f>IF(OR($IW38=0,calcA!$A$6=0),0,IF(BF$117=1,BF38,0)+IF(BG$117=1,BH38,0))</f>
        <v/>
      </c>
      <c r="BH208">
        <f>IF(OR($IW38=0,calcA!$A$6=0),0,IF(BG$117=1,BG38,0)+IF(BH$117=1,BI38,0))</f>
        <v/>
      </c>
      <c r="BI208">
        <f>IF(OR($IW38=0,calcA!$A$6=0),0,IF(BH$117=1,BH38,0)+IF(BI$117=1,BJ38,0))</f>
        <v/>
      </c>
      <c r="BJ208">
        <f>IF(OR($IW38=0,calcA!$A$6=0),0,IF(BI$117=1,BI38,0)+IF(BJ$117=1,BK38,0))</f>
        <v/>
      </c>
      <c r="BK208">
        <f>IF(OR($IW38=0,calcA!$A$6=0),0,IF(BJ$117=1,BJ38,0)+IF(BK$117=1,BL38,0))</f>
        <v/>
      </c>
      <c r="BL208">
        <f>IF(OR($IW38=0,calcA!$A$6=0),0,IF(BK$117=1,BK38,0)+IF(BL$117=1,BM38,0))</f>
        <v/>
      </c>
      <c r="BM208">
        <f>IF(OR($IW38=0,calcA!$A$6=0),0,IF(BL$117=1,BL38,0)+IF(BM$117=1,BN38,0))</f>
        <v/>
      </c>
      <c r="BN208">
        <f>IF(OR($IW38=0,calcA!$A$6=0),0,IF(BM$117=1,BM38,0)+IF(BN$117=1,BO38,0))</f>
        <v/>
      </c>
      <c r="BO208">
        <f>IF(OR($IW38=0,calcA!$A$6=0),0,IF(BN$117=1,BN38,0)+IF(BO$117=1,BP38,0))</f>
        <v/>
      </c>
      <c r="BP208">
        <f>IF(OR($IW38=0,calcA!$A$6=0),0,IF(BO$117=1,BO38,0)+IF(BP$117=1,BQ38,0))</f>
        <v/>
      </c>
      <c r="BQ208">
        <f>IF(OR($IW38=0,calcA!$A$6=0),0,IF(BP$117=1,BP38,0)+IF(BQ$117=1,BR38,0))</f>
        <v/>
      </c>
      <c r="BR208">
        <f>IF(OR($IW38=0,calcA!$A$6=0),0,IF(BQ$117=1,BQ38,0)+IF(BR$117=1,BS38,0))</f>
        <v/>
      </c>
      <c r="BS208">
        <f>IF(OR($IW38=0,calcA!$A$6=0),0,IF(BR$117=1,BR38,0)+IF(BS$117=1,BT38,0))</f>
        <v/>
      </c>
      <c r="BT208">
        <f>IF(OR($IW38=0,calcA!$A$6=0),0,IF(BS$117=1,BS38,0)+IF(BT$117=1,BU38,0))</f>
        <v/>
      </c>
      <c r="BU208">
        <f>IF(OR($IW38=0,calcA!$A$6=0),0,IF(BT$117=1,BT38,0)+IF(BU$117=1,BV38,0))</f>
        <v/>
      </c>
      <c r="BV208">
        <f>IF(OR($IW38=0,calcA!$A$6=0),0,IF(BU$117=1,BU38,0)+IF(BV$117=1,BW38,0))</f>
        <v/>
      </c>
      <c r="BW208">
        <f>IF(OR($IW38=0,calcA!$A$6=0),0,IF(BV$117=1,BV38,0))</f>
        <v/>
      </c>
      <c r="BX208">
        <f>IF(OR($IW38=0,calcA!$A$6=0),0,IF(BX$117=1,BY38,0))</f>
        <v/>
      </c>
      <c r="BY208">
        <f>IF(OR($IW38=0,calcA!$A$6=0),0,IF(BX$117=1,BX38,0)+IF(BY$117=1,BZ38,0))</f>
        <v/>
      </c>
      <c r="BZ208">
        <f>IF(OR($IW38=0,calcA!$A$6=0),0,IF(BY$117=1,BY38,0)+IF(BZ$117=1,CA38,0))</f>
        <v/>
      </c>
      <c r="CA208">
        <f>IF(OR($IW38=0,calcA!$A$6=0),0,IF(BZ$117=1,BZ38,0)+IF(CA$117=1,CB38,0))</f>
        <v/>
      </c>
      <c r="CB208">
        <f>IF(OR($IW38=0,calcA!$A$6=0),0,IF(CA$117=1,CA38,0)+IF(CB$117=1,CC38,0))</f>
        <v/>
      </c>
      <c r="CC208">
        <f>IF(OR($IW38=0,calcA!$A$6=0),0,IF(CB$117=1,CB38,0)+IF(CC$117=1,CD38,0))</f>
        <v/>
      </c>
      <c r="CD208">
        <f>IF(OR($IW38=0,calcA!$A$6=0),0,IF(CC$117=1,CC38,0)+IF(CD$117=1,CE38,0))</f>
        <v/>
      </c>
      <c r="CE208">
        <f>IF(OR($IW38=0,calcA!$A$6=0),0,IF(CD$117=1,CD38,0)+IF(CE$117=1,CF38,0))</f>
        <v/>
      </c>
      <c r="CF208">
        <f>IF(OR($IW38=0,calcA!$A$6=0),0,IF(CE$117=1,CE38,0)+IF(CF$117=1,CG38,0))</f>
        <v/>
      </c>
      <c r="CG208">
        <f>IF(OR($IW38=0,calcA!$A$6=0),0,IF(CF$117=1,CF38,0)+IF(CG$117=1,CH38,0))</f>
        <v/>
      </c>
      <c r="CH208">
        <f>IF(OR($IW38=0,calcA!$A$6=0),0,IF(CG$117=1,CG38,0)+IF(CH$117=1,CI38,0))</f>
        <v/>
      </c>
      <c r="CI208">
        <f>IF(OR($IW38=0,calcA!$A$6=0),0,IF(CH$117=1,CH38,0)+IF(CI$117=1,CJ38,0))</f>
        <v/>
      </c>
      <c r="CJ208">
        <f>IF(OR($IW38=0,calcA!$A$6=0),0,IF(CI$117=1,CI38,0)+IF(CJ$117=1,CK38,0))</f>
        <v/>
      </c>
      <c r="CK208">
        <f>IF(OR($IW38=0,calcA!$A$6=0),0,IF(CJ$117=1,CJ38,0)+IF(CK$117=1,CL38,0))</f>
        <v/>
      </c>
      <c r="CL208">
        <f>IF(OR($IW38=0,calcA!$A$6=0),0,IF(CK$117=1,CK38,0)+IF(CL$117=1,CM38,0))</f>
        <v/>
      </c>
      <c r="CM208">
        <f>IF(OR($IW38=0,calcA!$A$6=0),0,IF(CL$117=1,CL38,0)+IF(CM$117=1,CN38,0))</f>
        <v/>
      </c>
      <c r="CN208">
        <f>IF(OR($IW38=0,calcA!$A$6=0),0,IF(CM$117=1,CM38,0)+IF(CN$117=1,CO38,0))</f>
        <v/>
      </c>
      <c r="CO208">
        <f>IF(OR($IW38=0,calcA!$A$6=0),0,IF(CN$117=1,CN38,0)+IF(CO$117=1,CP38,0))</f>
        <v/>
      </c>
      <c r="CP208">
        <f>IF(OR($IW38=0,calcA!$A$6=0),0,IF(CO$117=1,CO38,0)+IF(CP$117=1,CQ38,0))</f>
        <v/>
      </c>
      <c r="CQ208">
        <f>IF(OR($IW38=0,calcA!$A$6=0),0,IF(CP$117=1,CP38,0)+IF(CQ$117=1,CR38,0))</f>
        <v/>
      </c>
      <c r="CR208">
        <f>IF(OR($IW38=0,calcA!$A$6=0),0,IF(CQ$117=1,CQ38,0)+IF(CR$117=1,CS38,0))</f>
        <v/>
      </c>
      <c r="CS208">
        <f>IF(OR($IW38=0,calcA!$A$6=0),0,IF(CR$117=1,CR38,0)+IF(CS$117=1,CT38,0))</f>
        <v/>
      </c>
      <c r="CT208">
        <f>IF(OR($IW38=0,calcA!$A$6=0),0,IF(CS$117=1,CS38,0)+IF(CT$117=1,CU38,0))</f>
        <v/>
      </c>
      <c r="CU208">
        <f>IF(OR($IW38=0,calcA!$A$6=0),0,IF(CT$117=1,CT38,0))</f>
        <v/>
      </c>
      <c r="CV208">
        <f>IF(OR($IW38=0,calcA!$A$6=0),0,IF(CV$117=1,CW38,0))</f>
        <v/>
      </c>
      <c r="CW208">
        <f>IF(OR($IW38=0,calcA!$A$6=0),0,IF(CV$117=1,CV38,0)+IF(CW$117=1,CX38,0))</f>
        <v/>
      </c>
      <c r="CX208">
        <f>IF(OR($IW38=0,calcA!$A$6=0),0,IF(CW$117=1,CW38,0)+IF(CX$117=1,CY38,0))</f>
        <v/>
      </c>
      <c r="CY208">
        <f>IF(OR($IW38=0,calcA!$A$6=0),0,IF(CX$117=1,CX38,0)+IF(CY$117=1,CZ38,0))</f>
        <v/>
      </c>
      <c r="CZ208">
        <f>IF(OR($IW38=0,calcA!$A$6=0),0,IF(CY$117=1,CY38,0)+IF(CZ$117=1,DA38,0))</f>
        <v/>
      </c>
      <c r="DA208">
        <f>IF(OR($IW38=0,calcA!$A$6=0),0,IF(CZ$117=1,CZ38,0)+IF(DA$117=1,DB38,0))</f>
        <v/>
      </c>
      <c r="DB208">
        <f>IF(OR($IW38=0,calcA!$A$6=0),0,IF(DA$117=1,DA38,0)+IF(DB$117=1,DC38,0))</f>
        <v/>
      </c>
      <c r="DC208">
        <f>IF(OR($IW38=0,calcA!$A$6=0),0,IF(DB$117=1,DB38,0)+IF(DC$117=1,DD38,0))</f>
        <v/>
      </c>
      <c r="DD208">
        <f>IF(OR($IW38=0,calcA!$A$6=0),0,IF(DC$117=1,DC38,0)+IF(DD$117=1,DE38,0))</f>
        <v/>
      </c>
      <c r="DE208">
        <f>IF(OR($IW38=0,calcA!$A$6=0),0,IF(DD$117=1,DD38,0)+IF(DE$117=1,DF38,0))</f>
        <v/>
      </c>
      <c r="DF208">
        <f>IF(OR($IW38=0,calcA!$A$6=0),0,IF(DE$117=1,DE38,0)+IF(DF$117=1,DG38,0))</f>
        <v/>
      </c>
      <c r="DG208">
        <f>IF(OR($IW38=0,calcA!$A$6=0),0,IF(DF$117=1,DF38,0)+IF(DG$117=1,DH38,0))</f>
        <v/>
      </c>
      <c r="DH208">
        <f>IF(OR($IW38=0,calcA!$A$6=0),0,IF(DG$117=1,DG38,0)+IF(DH$117=1,DI38,0))</f>
        <v/>
      </c>
      <c r="DI208">
        <f>IF(OR($IW38=0,calcA!$A$6=0),0,IF(DH$117=1,DH38,0)+IF(DI$117=1,DJ38,0))</f>
        <v/>
      </c>
      <c r="DJ208">
        <f>IF(OR($IW38=0,calcA!$A$6=0),0,IF(DI$117=1,DI38,0)+IF(DJ$117=1,DK38,0))</f>
        <v/>
      </c>
      <c r="DK208">
        <f>IF(OR($IW38=0,calcA!$A$6=0),0,IF(DJ$117=1,DJ38,0)+IF(DK$117=1,DL38,0))</f>
        <v/>
      </c>
      <c r="DL208">
        <f>IF(OR($IW38=0,calcA!$A$6=0),0,IF(DK$117=1,DK38,0)+IF(DL$117=1,DM38,0))</f>
        <v/>
      </c>
      <c r="DM208">
        <f>IF(OR($IW38=0,calcA!$A$6=0),0,IF(DL$117=1,DL38,0)+IF(DM$117=1,DN38,0))</f>
        <v/>
      </c>
      <c r="DN208">
        <f>IF(OR($IW38=0,calcA!$A$6=0),0,IF(DM$117=1,DM38,0)+IF(DN$117=1,DO38,0))</f>
        <v/>
      </c>
      <c r="DO208">
        <f>IF(OR($IW38=0,calcA!$A$6=0),0,IF(DN$117=1,DN38,0)+IF(DO$117=1,DP38,0))</f>
        <v/>
      </c>
      <c r="DP208">
        <f>IF(OR($IW38=0,calcA!$A$6=0),0,IF(DO$117=1,DO38,0)+IF(DP$117=1,DQ38,0))</f>
        <v/>
      </c>
      <c r="DQ208">
        <f>IF(OR($IW38=0,calcA!$A$6=0),0,IF(DP$117=1,DP38,0)+IF(DQ$117=1,DR38,0))</f>
        <v/>
      </c>
      <c r="DR208">
        <f>IF(OR($IW38=0,calcA!$A$6=0),0,IF(DQ$117=1,DQ38,0)+IF(DR$117=1,DS38,0))</f>
        <v/>
      </c>
      <c r="DS208">
        <f>IF(OR($IW38=0,calcA!$A$6=0),0,IF(DR$117=1,DR38,0))</f>
        <v/>
      </c>
      <c r="DT208">
        <f>IF(OR($IW38=0,calcA!$A$6=0),0,IF(DT$117=1,DU38,0))</f>
        <v/>
      </c>
      <c r="DU208">
        <f>IF(OR($IW38=0,calcA!$A$6=0),0,IF(DT$117=1,DT38,0)+IF(DU$117=1,DV38,0))</f>
        <v/>
      </c>
      <c r="DV208">
        <f>IF(OR($IW38=0,calcA!$A$6=0),0,IF(DU$117=1,DU38,0)+IF(DV$117=1,DW38,0))</f>
        <v/>
      </c>
      <c r="DW208">
        <f>IF(OR($IW38=0,calcA!$A$6=0),0,IF(DV$117=1,DV38,0)+IF(DW$117=1,DX38,0))</f>
        <v/>
      </c>
      <c r="DX208">
        <f>IF(OR($IW38=0,calcA!$A$6=0),0,IF(DW$117=1,DW38,0)+IF(DX$117=1,DY38,0))</f>
        <v/>
      </c>
      <c r="DY208">
        <f>IF(OR($IW38=0,calcA!$A$6=0),0,IF(DX$117=1,DX38,0)+IF(DY$117=1,DZ38,0))</f>
        <v/>
      </c>
      <c r="DZ208">
        <f>IF(OR($IW38=0,calcA!$A$6=0),0,IF(DY$117=1,DY38,0)+IF(DZ$117=1,EA38,0))</f>
        <v/>
      </c>
      <c r="EA208">
        <f>IF(OR($IW38=0,calcA!$A$6=0),0,IF(DZ$117=1,DZ38,0)+IF(EA$117=1,EB38,0))</f>
        <v/>
      </c>
      <c r="EB208">
        <f>IF(OR($IW38=0,calcA!$A$6=0),0,IF(EA$117=1,EA38,0)+IF(EB$117=1,EC38,0))</f>
        <v/>
      </c>
      <c r="EC208">
        <f>IF(OR($IW38=0,calcA!$A$6=0),0,IF(EB$117=1,EB38,0)+IF(EC$117=1,ED38,0))</f>
        <v/>
      </c>
      <c r="ED208">
        <f>IF(OR($IW38=0,calcA!$A$6=0),0,IF(EC$117=1,EC38,0)+IF(ED$117=1,EE38,0))</f>
        <v/>
      </c>
      <c r="EE208">
        <f>IF(OR($IW38=0,calcA!$A$6=0),0,IF(ED$117=1,ED38,0)+IF(EE$117=1,EF38,0))</f>
        <v/>
      </c>
      <c r="EF208">
        <f>IF(OR($IW38=0,calcA!$A$6=0),0,IF(EE$117=1,EE38,0)+IF(EF$117=1,EG38,0))</f>
        <v/>
      </c>
      <c r="EG208">
        <f>IF(OR($IW38=0,calcA!$A$6=0),0,IF(EF$117=1,EF38,0)+IF(EG$117=1,EH38,0))</f>
        <v/>
      </c>
      <c r="EH208">
        <f>IF(OR($IW38=0,calcA!$A$6=0),0,IF(EG$117=1,EG38,0)+IF(EH$117=1,EI38,0))</f>
        <v/>
      </c>
      <c r="EI208">
        <f>IF(OR($IW38=0,calcA!$A$6=0),0,IF(EH$117=1,EH38,0)+IF(EI$117=1,EJ38,0))</f>
        <v/>
      </c>
      <c r="EJ208">
        <f>IF(OR($IW38=0,calcA!$A$6=0),0,IF(EI$117=1,EI38,0)+IF(EJ$117=1,EK38,0))</f>
        <v/>
      </c>
      <c r="EK208">
        <f>IF(OR($IW38=0,calcA!$A$6=0),0,IF(EJ$117=1,EJ38,0)+IF(EK$117=1,EL38,0))</f>
        <v/>
      </c>
      <c r="EL208">
        <f>IF(OR($IW38=0,calcA!$A$6=0),0,IF(EK$117=1,EK38,0)+IF(EL$117=1,EM38,0))</f>
        <v/>
      </c>
      <c r="EM208">
        <f>IF(OR($IW38=0,calcA!$A$6=0),0,IF(EL$117=1,EL38,0)+IF(EM$117=1,EN38,0))</f>
        <v/>
      </c>
      <c r="EN208">
        <f>IF(OR($IW38=0,calcA!$A$6=0),0,IF(EM$117=1,EM38,0)+IF(EN$117=1,EO38,0))</f>
        <v/>
      </c>
      <c r="EO208">
        <f>IF(OR($IW38=0,calcA!$A$6=0),0,IF(EN$117=1,EN38,0)+IF(EO$117=1,EP38,0))</f>
        <v/>
      </c>
      <c r="EP208">
        <f>IF(OR($IW38=0,calcA!$A$6=0),0,IF(EO$117=1,EO38,0)+IF(EP$117=1,EQ38,0))</f>
        <v/>
      </c>
      <c r="EQ208">
        <f>IF(OR($IW38=0,calcA!$A$6=0),0,IF(EP$117=1,EP38,0))</f>
        <v/>
      </c>
    </row>
    <row r="209">
      <c r="D209">
        <f>IF(OR($IW39=0,calcA!$A$6=0),0,IF(D$117=1,E39,0))</f>
        <v/>
      </c>
      <c r="E209">
        <f>IF(OR($IW39=0,calcA!$A$6=0),0,IF(D$117=1,D39,0)+IF(E$117=1,F39,0))</f>
        <v/>
      </c>
      <c r="F209">
        <f>IF(OR($IW39=0,calcA!$A$6=0),0,IF(E$117=1,E39,0)+IF(F$117=1,G39,0))</f>
        <v/>
      </c>
      <c r="G209">
        <f>IF(OR($IW39=0,calcA!$A$6=0),0,IF(F$117=1,F39,0)+IF(G$117=1,H39,0))</f>
        <v/>
      </c>
      <c r="H209">
        <f>IF(OR($IW39=0,calcA!$A$6=0),0,IF(G$117=1,G39,0)+IF(H$117=1,I39,0))</f>
        <v/>
      </c>
      <c r="I209">
        <f>IF(OR($IW39=0,calcA!$A$6=0),0,IF(H$117=1,H39,0)+IF(I$117=1,J39,0))</f>
        <v/>
      </c>
      <c r="J209">
        <f>IF(OR($IW39=0,calcA!$A$6=0),0,IF(I$117=1,I39,0)+IF(J$117=1,K39,0))</f>
        <v/>
      </c>
      <c r="K209">
        <f>IF(OR($IW39=0,calcA!$A$6=0),0,IF(J$117=1,J39,0)+IF(K$117=1,L39,0))</f>
        <v/>
      </c>
      <c r="L209">
        <f>IF(OR($IW39=0,calcA!$A$6=0),0,IF(K$117=1,K39,0)+IF(L$117=1,M39,0))</f>
        <v/>
      </c>
      <c r="M209">
        <f>IF(OR($IW39=0,calcA!$A$6=0),0,IF(L$117=1,L39,0)+IF(M$117=1,N39,0))</f>
        <v/>
      </c>
      <c r="N209">
        <f>IF(OR($IW39=0,calcA!$A$6=0),0,IF(M$117=1,M39,0)+IF(N$117=1,O39,0))</f>
        <v/>
      </c>
      <c r="O209">
        <f>IF(OR($IW39=0,calcA!$A$6=0),0,IF(N$117=1,N39,0)+IF(O$117=1,P39,0))</f>
        <v/>
      </c>
      <c r="P209">
        <f>IF(OR($IW39=0,calcA!$A$6=0),0,IF(O$117=1,O39,0)+IF(P$117=1,Q39,0))</f>
        <v/>
      </c>
      <c r="Q209">
        <f>IF(OR($IW39=0,calcA!$A$6=0),0,IF(P$117=1,P39,0)+IF(Q$117=1,R39,0))</f>
        <v/>
      </c>
      <c r="R209">
        <f>IF(OR($IW39=0,calcA!$A$6=0),0,IF(Q$117=1,Q39,0)+IF(R$117=1,S39,0))</f>
        <v/>
      </c>
      <c r="S209">
        <f>IF(OR($IW39=0,calcA!$A$6=0),0,IF(R$117=1,R39,0)+IF(S$117=1,T39,0))</f>
        <v/>
      </c>
      <c r="T209">
        <f>IF(OR($IW39=0,calcA!$A$6=0),0,IF(S$117=1,S39,0)+IF(T$117=1,U39,0))</f>
        <v/>
      </c>
      <c r="U209">
        <f>IF(OR($IW39=0,calcA!$A$6=0),0,IF(T$117=1,T39,0)+IF(U$117=1,V39,0))</f>
        <v/>
      </c>
      <c r="V209">
        <f>IF(OR($IW39=0,calcA!$A$6=0),0,IF(U$117=1,U39,0)+IF(V$117=1,W39,0))</f>
        <v/>
      </c>
      <c r="W209">
        <f>IF(OR($IW39=0,calcA!$A$6=0),0,IF(V$117=1,V39,0)+IF(W$117=1,X39,0))</f>
        <v/>
      </c>
      <c r="X209">
        <f>IF(OR($IW39=0,calcA!$A$6=0),0,IF(W$117=1,W39,0)+IF(X$117=1,Y39,0))</f>
        <v/>
      </c>
      <c r="Y209">
        <f>IF(OR($IW39=0,calcA!$A$6=0),0,IF(X$117=1,X39,0)+IF(Y$117=1,Z39,0))</f>
        <v/>
      </c>
      <c r="Z209">
        <f>IF(OR($IW39=0,calcA!$A$6=0),0,IF(Y$117=1,Y39,0)+IF(Z$117=1,AA39,0))</f>
        <v/>
      </c>
      <c r="AA209">
        <f>IF(OR($IW39=0,calcA!$A$6=0),0,IF(Z$117=1,Z39,0))</f>
        <v/>
      </c>
      <c r="AB209">
        <f>IF(OR($IW39=0,calcA!$A$6=0),0,IF(AB$117=1,AC39,0))</f>
        <v/>
      </c>
      <c r="AC209">
        <f>IF(OR($IW39=0,calcA!$A$6=0),0,IF(AB$117=1,AB39,0)+IF(AC$117=1,AD39,0))</f>
        <v/>
      </c>
      <c r="AD209">
        <f>IF(OR($IW39=0,calcA!$A$6=0),0,IF(AC$117=1,AC39,0)+IF(AD$117=1,AE39,0))</f>
        <v/>
      </c>
      <c r="AE209">
        <f>IF(OR($IW39=0,calcA!$A$6=0),0,IF(AD$117=1,AD39,0)+IF(AE$117=1,AF39,0))</f>
        <v/>
      </c>
      <c r="AF209">
        <f>IF(OR($IW39=0,calcA!$A$6=0),0,IF(AE$117=1,AE39,0)+IF(AF$117=1,AG39,0))</f>
        <v/>
      </c>
      <c r="AG209">
        <f>IF(OR($IW39=0,calcA!$A$6=0),0,IF(AF$117=1,AF39,0)+IF(AG$117=1,AH39,0))</f>
        <v/>
      </c>
      <c r="AH209">
        <f>IF(OR($IW39=0,calcA!$A$6=0),0,IF(AG$117=1,AG39,0)+IF(AH$117=1,AI39,0))</f>
        <v/>
      </c>
      <c r="AI209">
        <f>IF(OR($IW39=0,calcA!$A$6=0),0,IF(AH$117=1,AH39,0)+IF(AI$117=1,AJ39,0))</f>
        <v/>
      </c>
      <c r="AJ209">
        <f>IF(OR($IW39=0,calcA!$A$6=0),0,IF(AI$117=1,AI39,0)+IF(AJ$117=1,AK39,0))</f>
        <v/>
      </c>
      <c r="AK209">
        <f>IF(OR($IW39=0,calcA!$A$6=0),0,IF(AJ$117=1,AJ39,0)+IF(AK$117=1,AL39,0))</f>
        <v/>
      </c>
      <c r="AL209">
        <f>IF(OR($IW39=0,calcA!$A$6=0),0,IF(AK$117=1,AK39,0)+IF(AL$117=1,AM39,0))</f>
        <v/>
      </c>
      <c r="AM209">
        <f>IF(OR($IW39=0,calcA!$A$6=0),0,IF(AL$117=1,AL39,0)+IF(AM$117=1,AN39,0))</f>
        <v/>
      </c>
      <c r="AN209">
        <f>IF(OR($IW39=0,calcA!$A$6=0),0,IF(AM$117=1,AM39,0)+IF(AN$117=1,AO39,0))</f>
        <v/>
      </c>
      <c r="AO209">
        <f>IF(OR($IW39=0,calcA!$A$6=0),0,IF(AN$117=1,AN39,0)+IF(AO$117=1,AP39,0))</f>
        <v/>
      </c>
      <c r="AP209">
        <f>IF(OR($IW39=0,calcA!$A$6=0),0,IF(AO$117=1,AO39,0)+IF(AP$117=1,AQ39,0))</f>
        <v/>
      </c>
      <c r="AQ209">
        <f>IF(OR($IW39=0,calcA!$A$6=0),0,IF(AP$117=1,AP39,0)+IF(AQ$117=1,AR39,0))</f>
        <v/>
      </c>
      <c r="AR209">
        <f>IF(OR($IW39=0,calcA!$A$6=0),0,IF(AQ$117=1,AQ39,0)+IF(AR$117=1,AS39,0))</f>
        <v/>
      </c>
      <c r="AS209">
        <f>IF(OR($IW39=0,calcA!$A$6=0),0,IF(AR$117=1,AR39,0)+IF(AS$117=1,AT39,0))</f>
        <v/>
      </c>
      <c r="AT209">
        <f>IF(OR($IW39=0,calcA!$A$6=0),0,IF(AS$117=1,AS39,0)+IF(AT$117=1,AU39,0))</f>
        <v/>
      </c>
      <c r="AU209">
        <f>IF(OR($IW39=0,calcA!$A$6=0),0,IF(AT$117=1,AT39,0)+IF(AU$117=1,AV39,0))</f>
        <v/>
      </c>
      <c r="AV209">
        <f>IF(OR($IW39=0,calcA!$A$6=0),0,IF(AU$117=1,AU39,0)+IF(AV$117=1,AW39,0))</f>
        <v/>
      </c>
      <c r="AW209">
        <f>IF(OR($IW39=0,calcA!$A$6=0),0,IF(AV$117=1,AV39,0)+IF(AW$117=1,AX39,0))</f>
        <v/>
      </c>
      <c r="AX209">
        <f>IF(OR($IW39=0,calcA!$A$6=0),0,IF(AW$117=1,AW39,0)+IF(AX$117=1,AY39,0))</f>
        <v/>
      </c>
      <c r="AY209">
        <f>IF(OR($IW39=0,calcA!$A$6=0),0,IF(AX$117=1,AX39,0))</f>
        <v/>
      </c>
      <c r="AZ209">
        <f>IF(OR($IW39=0,calcA!$A$6=0),0,IF(AZ$117=1,BA39,0))</f>
        <v/>
      </c>
      <c r="BA209">
        <f>IF(OR($IW39=0,calcA!$A$6=0),0,IF(AZ$117=1,AZ39,0)+IF(BA$117=1,BB39,0))</f>
        <v/>
      </c>
      <c r="BB209">
        <f>IF(OR($IW39=0,calcA!$A$6=0),0,IF(BA$117=1,BA39,0)+IF(BB$117=1,BC39,0))</f>
        <v/>
      </c>
      <c r="BC209">
        <f>IF(OR($IW39=0,calcA!$A$6=0),0,IF(BB$117=1,BB39,0)+IF(BC$117=1,BD39,0))</f>
        <v/>
      </c>
      <c r="BD209">
        <f>IF(OR($IW39=0,calcA!$A$6=0),0,IF(BC$117=1,BC39,0)+IF(BD$117=1,BE39,0))</f>
        <v/>
      </c>
      <c r="BE209">
        <f>IF(OR($IW39=0,calcA!$A$6=0),0,IF(BD$117=1,BD39,0)+IF(BE$117=1,BF39,0))</f>
        <v/>
      </c>
      <c r="BF209">
        <f>IF(OR($IW39=0,calcA!$A$6=0),0,IF(BE$117=1,BE39,0)+IF(BF$117=1,BG39,0))</f>
        <v/>
      </c>
      <c r="BG209">
        <f>IF(OR($IW39=0,calcA!$A$6=0),0,IF(BF$117=1,BF39,0)+IF(BG$117=1,BH39,0))</f>
        <v/>
      </c>
      <c r="BH209">
        <f>IF(OR($IW39=0,calcA!$A$6=0),0,IF(BG$117=1,BG39,0)+IF(BH$117=1,BI39,0))</f>
        <v/>
      </c>
      <c r="BI209">
        <f>IF(OR($IW39=0,calcA!$A$6=0),0,IF(BH$117=1,BH39,0)+IF(BI$117=1,BJ39,0))</f>
        <v/>
      </c>
      <c r="BJ209">
        <f>IF(OR($IW39=0,calcA!$A$6=0),0,IF(BI$117=1,BI39,0)+IF(BJ$117=1,BK39,0))</f>
        <v/>
      </c>
      <c r="BK209">
        <f>IF(OR($IW39=0,calcA!$A$6=0),0,IF(BJ$117=1,BJ39,0)+IF(BK$117=1,BL39,0))</f>
        <v/>
      </c>
      <c r="BL209">
        <f>IF(OR($IW39=0,calcA!$A$6=0),0,IF(BK$117=1,BK39,0)+IF(BL$117=1,BM39,0))</f>
        <v/>
      </c>
      <c r="BM209">
        <f>IF(OR($IW39=0,calcA!$A$6=0),0,IF(BL$117=1,BL39,0)+IF(BM$117=1,BN39,0))</f>
        <v/>
      </c>
      <c r="BN209">
        <f>IF(OR($IW39=0,calcA!$A$6=0),0,IF(BM$117=1,BM39,0)+IF(BN$117=1,BO39,0))</f>
        <v/>
      </c>
      <c r="BO209">
        <f>IF(OR($IW39=0,calcA!$A$6=0),0,IF(BN$117=1,BN39,0)+IF(BO$117=1,BP39,0))</f>
        <v/>
      </c>
      <c r="BP209">
        <f>IF(OR($IW39=0,calcA!$A$6=0),0,IF(BO$117=1,BO39,0)+IF(BP$117=1,BQ39,0))</f>
        <v/>
      </c>
      <c r="BQ209">
        <f>IF(OR($IW39=0,calcA!$A$6=0),0,IF(BP$117=1,BP39,0)+IF(BQ$117=1,BR39,0))</f>
        <v/>
      </c>
      <c r="BR209">
        <f>IF(OR($IW39=0,calcA!$A$6=0),0,IF(BQ$117=1,BQ39,0)+IF(BR$117=1,BS39,0))</f>
        <v/>
      </c>
      <c r="BS209">
        <f>IF(OR($IW39=0,calcA!$A$6=0),0,IF(BR$117=1,BR39,0)+IF(BS$117=1,BT39,0))</f>
        <v/>
      </c>
      <c r="BT209">
        <f>IF(OR($IW39=0,calcA!$A$6=0),0,IF(BS$117=1,BS39,0)+IF(BT$117=1,BU39,0))</f>
        <v/>
      </c>
      <c r="BU209">
        <f>IF(OR($IW39=0,calcA!$A$6=0),0,IF(BT$117=1,BT39,0)+IF(BU$117=1,BV39,0))</f>
        <v/>
      </c>
      <c r="BV209">
        <f>IF(OR($IW39=0,calcA!$A$6=0),0,IF(BU$117=1,BU39,0)+IF(BV$117=1,BW39,0))</f>
        <v/>
      </c>
      <c r="BW209">
        <f>IF(OR($IW39=0,calcA!$A$6=0),0,IF(BV$117=1,BV39,0))</f>
        <v/>
      </c>
      <c r="BX209">
        <f>IF(OR($IW39=0,calcA!$A$6=0),0,IF(BX$117=1,BY39,0))</f>
        <v/>
      </c>
      <c r="BY209">
        <f>IF(OR($IW39=0,calcA!$A$6=0),0,IF(BX$117=1,BX39,0)+IF(BY$117=1,BZ39,0))</f>
        <v/>
      </c>
      <c r="BZ209">
        <f>IF(OR($IW39=0,calcA!$A$6=0),0,IF(BY$117=1,BY39,0)+IF(BZ$117=1,CA39,0))</f>
        <v/>
      </c>
      <c r="CA209">
        <f>IF(OR($IW39=0,calcA!$A$6=0),0,IF(BZ$117=1,BZ39,0)+IF(CA$117=1,CB39,0))</f>
        <v/>
      </c>
      <c r="CB209">
        <f>IF(OR($IW39=0,calcA!$A$6=0),0,IF(CA$117=1,CA39,0)+IF(CB$117=1,CC39,0))</f>
        <v/>
      </c>
      <c r="CC209">
        <f>IF(OR($IW39=0,calcA!$A$6=0),0,IF(CB$117=1,CB39,0)+IF(CC$117=1,CD39,0))</f>
        <v/>
      </c>
      <c r="CD209">
        <f>IF(OR($IW39=0,calcA!$A$6=0),0,IF(CC$117=1,CC39,0)+IF(CD$117=1,CE39,0))</f>
        <v/>
      </c>
      <c r="CE209">
        <f>IF(OR($IW39=0,calcA!$A$6=0),0,IF(CD$117=1,CD39,0)+IF(CE$117=1,CF39,0))</f>
        <v/>
      </c>
      <c r="CF209">
        <f>IF(OR($IW39=0,calcA!$A$6=0),0,IF(CE$117=1,CE39,0)+IF(CF$117=1,CG39,0))</f>
        <v/>
      </c>
      <c r="CG209">
        <f>IF(OR($IW39=0,calcA!$A$6=0),0,IF(CF$117=1,CF39,0)+IF(CG$117=1,CH39,0))</f>
        <v/>
      </c>
      <c r="CH209">
        <f>IF(OR($IW39=0,calcA!$A$6=0),0,IF(CG$117=1,CG39,0)+IF(CH$117=1,CI39,0))</f>
        <v/>
      </c>
      <c r="CI209">
        <f>IF(OR($IW39=0,calcA!$A$6=0),0,IF(CH$117=1,CH39,0)+IF(CI$117=1,CJ39,0))</f>
        <v/>
      </c>
      <c r="CJ209">
        <f>IF(OR($IW39=0,calcA!$A$6=0),0,IF(CI$117=1,CI39,0)+IF(CJ$117=1,CK39,0))</f>
        <v/>
      </c>
      <c r="CK209">
        <f>IF(OR($IW39=0,calcA!$A$6=0),0,IF(CJ$117=1,CJ39,0)+IF(CK$117=1,CL39,0))</f>
        <v/>
      </c>
      <c r="CL209">
        <f>IF(OR($IW39=0,calcA!$A$6=0),0,IF(CK$117=1,CK39,0)+IF(CL$117=1,CM39,0))</f>
        <v/>
      </c>
      <c r="CM209">
        <f>IF(OR($IW39=0,calcA!$A$6=0),0,IF(CL$117=1,CL39,0)+IF(CM$117=1,CN39,0))</f>
        <v/>
      </c>
      <c r="CN209">
        <f>IF(OR($IW39=0,calcA!$A$6=0),0,IF(CM$117=1,CM39,0)+IF(CN$117=1,CO39,0))</f>
        <v/>
      </c>
      <c r="CO209">
        <f>IF(OR($IW39=0,calcA!$A$6=0),0,IF(CN$117=1,CN39,0)+IF(CO$117=1,CP39,0))</f>
        <v/>
      </c>
      <c r="CP209">
        <f>IF(OR($IW39=0,calcA!$A$6=0),0,IF(CO$117=1,CO39,0)+IF(CP$117=1,CQ39,0))</f>
        <v/>
      </c>
      <c r="CQ209">
        <f>IF(OR($IW39=0,calcA!$A$6=0),0,IF(CP$117=1,CP39,0)+IF(CQ$117=1,CR39,0))</f>
        <v/>
      </c>
      <c r="CR209">
        <f>IF(OR($IW39=0,calcA!$A$6=0),0,IF(CQ$117=1,CQ39,0)+IF(CR$117=1,CS39,0))</f>
        <v/>
      </c>
      <c r="CS209">
        <f>IF(OR($IW39=0,calcA!$A$6=0),0,IF(CR$117=1,CR39,0)+IF(CS$117=1,CT39,0))</f>
        <v/>
      </c>
      <c r="CT209">
        <f>IF(OR($IW39=0,calcA!$A$6=0),0,IF(CS$117=1,CS39,0)+IF(CT$117=1,CU39,0))</f>
        <v/>
      </c>
      <c r="CU209">
        <f>IF(OR($IW39=0,calcA!$A$6=0),0,IF(CT$117=1,CT39,0))</f>
        <v/>
      </c>
      <c r="CV209">
        <f>IF(OR($IW39=0,calcA!$A$6=0),0,IF(CV$117=1,CW39,0))</f>
        <v/>
      </c>
      <c r="CW209">
        <f>IF(OR($IW39=0,calcA!$A$6=0),0,IF(CV$117=1,CV39,0)+IF(CW$117=1,CX39,0))</f>
        <v/>
      </c>
      <c r="CX209">
        <f>IF(OR($IW39=0,calcA!$A$6=0),0,IF(CW$117=1,CW39,0)+IF(CX$117=1,CY39,0))</f>
        <v/>
      </c>
      <c r="CY209">
        <f>IF(OR($IW39=0,calcA!$A$6=0),0,IF(CX$117=1,CX39,0)+IF(CY$117=1,CZ39,0))</f>
        <v/>
      </c>
      <c r="CZ209">
        <f>IF(OR($IW39=0,calcA!$A$6=0),0,IF(CY$117=1,CY39,0)+IF(CZ$117=1,DA39,0))</f>
        <v/>
      </c>
      <c r="DA209">
        <f>IF(OR($IW39=0,calcA!$A$6=0),0,IF(CZ$117=1,CZ39,0)+IF(DA$117=1,DB39,0))</f>
        <v/>
      </c>
      <c r="DB209">
        <f>IF(OR($IW39=0,calcA!$A$6=0),0,IF(DA$117=1,DA39,0)+IF(DB$117=1,DC39,0))</f>
        <v/>
      </c>
      <c r="DC209">
        <f>IF(OR($IW39=0,calcA!$A$6=0),0,IF(DB$117=1,DB39,0)+IF(DC$117=1,DD39,0))</f>
        <v/>
      </c>
      <c r="DD209">
        <f>IF(OR($IW39=0,calcA!$A$6=0),0,IF(DC$117=1,DC39,0)+IF(DD$117=1,DE39,0))</f>
        <v/>
      </c>
      <c r="DE209">
        <f>IF(OR($IW39=0,calcA!$A$6=0),0,IF(DD$117=1,DD39,0)+IF(DE$117=1,DF39,0))</f>
        <v/>
      </c>
      <c r="DF209">
        <f>IF(OR($IW39=0,calcA!$A$6=0),0,IF(DE$117=1,DE39,0)+IF(DF$117=1,DG39,0))</f>
        <v/>
      </c>
      <c r="DG209">
        <f>IF(OR($IW39=0,calcA!$A$6=0),0,IF(DF$117=1,DF39,0)+IF(DG$117=1,DH39,0))</f>
        <v/>
      </c>
      <c r="DH209">
        <f>IF(OR($IW39=0,calcA!$A$6=0),0,IF(DG$117=1,DG39,0)+IF(DH$117=1,DI39,0))</f>
        <v/>
      </c>
      <c r="DI209">
        <f>IF(OR($IW39=0,calcA!$A$6=0),0,IF(DH$117=1,DH39,0)+IF(DI$117=1,DJ39,0))</f>
        <v/>
      </c>
      <c r="DJ209">
        <f>IF(OR($IW39=0,calcA!$A$6=0),0,IF(DI$117=1,DI39,0)+IF(DJ$117=1,DK39,0))</f>
        <v/>
      </c>
      <c r="DK209">
        <f>IF(OR($IW39=0,calcA!$A$6=0),0,IF(DJ$117=1,DJ39,0)+IF(DK$117=1,DL39,0))</f>
        <v/>
      </c>
      <c r="DL209">
        <f>IF(OR($IW39=0,calcA!$A$6=0),0,IF(DK$117=1,DK39,0)+IF(DL$117=1,DM39,0))</f>
        <v/>
      </c>
      <c r="DM209">
        <f>IF(OR($IW39=0,calcA!$A$6=0),0,IF(DL$117=1,DL39,0)+IF(DM$117=1,DN39,0))</f>
        <v/>
      </c>
      <c r="DN209">
        <f>IF(OR($IW39=0,calcA!$A$6=0),0,IF(DM$117=1,DM39,0)+IF(DN$117=1,DO39,0))</f>
        <v/>
      </c>
      <c r="DO209">
        <f>IF(OR($IW39=0,calcA!$A$6=0),0,IF(DN$117=1,DN39,0)+IF(DO$117=1,DP39,0))</f>
        <v/>
      </c>
      <c r="DP209">
        <f>IF(OR($IW39=0,calcA!$A$6=0),0,IF(DO$117=1,DO39,0)+IF(DP$117=1,DQ39,0))</f>
        <v/>
      </c>
      <c r="DQ209">
        <f>IF(OR($IW39=0,calcA!$A$6=0),0,IF(DP$117=1,DP39,0)+IF(DQ$117=1,DR39,0))</f>
        <v/>
      </c>
      <c r="DR209">
        <f>IF(OR($IW39=0,calcA!$A$6=0),0,IF(DQ$117=1,DQ39,0)+IF(DR$117=1,DS39,0))</f>
        <v/>
      </c>
      <c r="DS209">
        <f>IF(OR($IW39=0,calcA!$A$6=0),0,IF(DR$117=1,DR39,0))</f>
        <v/>
      </c>
      <c r="DT209">
        <f>IF(OR($IW39=0,calcA!$A$6=0),0,IF(DT$117=1,DU39,0))</f>
        <v/>
      </c>
      <c r="DU209">
        <f>IF(OR($IW39=0,calcA!$A$6=0),0,IF(DT$117=1,DT39,0)+IF(DU$117=1,DV39,0))</f>
        <v/>
      </c>
      <c r="DV209">
        <f>IF(OR($IW39=0,calcA!$A$6=0),0,IF(DU$117=1,DU39,0)+IF(DV$117=1,DW39,0))</f>
        <v/>
      </c>
      <c r="DW209">
        <f>IF(OR($IW39=0,calcA!$A$6=0),0,IF(DV$117=1,DV39,0)+IF(DW$117=1,DX39,0))</f>
        <v/>
      </c>
      <c r="DX209">
        <f>IF(OR($IW39=0,calcA!$A$6=0),0,IF(DW$117=1,DW39,0)+IF(DX$117=1,DY39,0))</f>
        <v/>
      </c>
      <c r="DY209">
        <f>IF(OR($IW39=0,calcA!$A$6=0),0,IF(DX$117=1,DX39,0)+IF(DY$117=1,DZ39,0))</f>
        <v/>
      </c>
      <c r="DZ209">
        <f>IF(OR($IW39=0,calcA!$A$6=0),0,IF(DY$117=1,DY39,0)+IF(DZ$117=1,EA39,0))</f>
        <v/>
      </c>
      <c r="EA209">
        <f>IF(OR($IW39=0,calcA!$A$6=0),0,IF(DZ$117=1,DZ39,0)+IF(EA$117=1,EB39,0))</f>
        <v/>
      </c>
      <c r="EB209">
        <f>IF(OR($IW39=0,calcA!$A$6=0),0,IF(EA$117=1,EA39,0)+IF(EB$117=1,EC39,0))</f>
        <v/>
      </c>
      <c r="EC209">
        <f>IF(OR($IW39=0,calcA!$A$6=0),0,IF(EB$117=1,EB39,0)+IF(EC$117=1,ED39,0))</f>
        <v/>
      </c>
      <c r="ED209">
        <f>IF(OR($IW39=0,calcA!$A$6=0),0,IF(EC$117=1,EC39,0)+IF(ED$117=1,EE39,0))</f>
        <v/>
      </c>
      <c r="EE209">
        <f>IF(OR($IW39=0,calcA!$A$6=0),0,IF(ED$117=1,ED39,0)+IF(EE$117=1,EF39,0))</f>
        <v/>
      </c>
      <c r="EF209">
        <f>IF(OR($IW39=0,calcA!$A$6=0),0,IF(EE$117=1,EE39,0)+IF(EF$117=1,EG39,0))</f>
        <v/>
      </c>
      <c r="EG209">
        <f>IF(OR($IW39=0,calcA!$A$6=0),0,IF(EF$117=1,EF39,0)+IF(EG$117=1,EH39,0))</f>
        <v/>
      </c>
      <c r="EH209">
        <f>IF(OR($IW39=0,calcA!$A$6=0),0,IF(EG$117=1,EG39,0)+IF(EH$117=1,EI39,0))</f>
        <v/>
      </c>
      <c r="EI209">
        <f>IF(OR($IW39=0,calcA!$A$6=0),0,IF(EH$117=1,EH39,0)+IF(EI$117=1,EJ39,0))</f>
        <v/>
      </c>
      <c r="EJ209">
        <f>IF(OR($IW39=0,calcA!$A$6=0),0,IF(EI$117=1,EI39,0)+IF(EJ$117=1,EK39,0))</f>
        <v/>
      </c>
      <c r="EK209">
        <f>IF(OR($IW39=0,calcA!$A$6=0),0,IF(EJ$117=1,EJ39,0)+IF(EK$117=1,EL39,0))</f>
        <v/>
      </c>
      <c r="EL209">
        <f>IF(OR($IW39=0,calcA!$A$6=0),0,IF(EK$117=1,EK39,0)+IF(EL$117=1,EM39,0))</f>
        <v/>
      </c>
      <c r="EM209">
        <f>IF(OR($IW39=0,calcA!$A$6=0),0,IF(EL$117=1,EL39,0)+IF(EM$117=1,EN39,0))</f>
        <v/>
      </c>
      <c r="EN209">
        <f>IF(OR($IW39=0,calcA!$A$6=0),0,IF(EM$117=1,EM39,0)+IF(EN$117=1,EO39,0))</f>
        <v/>
      </c>
      <c r="EO209">
        <f>IF(OR($IW39=0,calcA!$A$6=0),0,IF(EN$117=1,EN39,0)+IF(EO$117=1,EP39,0))</f>
        <v/>
      </c>
      <c r="EP209">
        <f>IF(OR($IW39=0,calcA!$A$6=0),0,IF(EO$117=1,EO39,0)+IF(EP$117=1,EQ39,0))</f>
        <v/>
      </c>
      <c r="EQ209">
        <f>IF(OR($IW39=0,calcA!$A$6=0),0,IF(EP$117=1,EP39,0))</f>
        <v/>
      </c>
    </row>
    <row r="210">
      <c r="D210">
        <f>IF(OR($IW40=0,calcA!$A$6=0),0,IF(D$117=1,E40,0))</f>
        <v/>
      </c>
      <c r="E210">
        <f>IF(OR($IW40=0,calcA!$A$6=0),0,IF(D$117=1,D40,0)+IF(E$117=1,F40,0))</f>
        <v/>
      </c>
      <c r="F210">
        <f>IF(OR($IW40=0,calcA!$A$6=0),0,IF(E$117=1,E40,0)+IF(F$117=1,G40,0))</f>
        <v/>
      </c>
      <c r="G210">
        <f>IF(OR($IW40=0,calcA!$A$6=0),0,IF(F$117=1,F40,0)+IF(G$117=1,H40,0))</f>
        <v/>
      </c>
      <c r="H210">
        <f>IF(OR($IW40=0,calcA!$A$6=0),0,IF(G$117=1,G40,0)+IF(H$117=1,I40,0))</f>
        <v/>
      </c>
      <c r="I210">
        <f>IF(OR($IW40=0,calcA!$A$6=0),0,IF(H$117=1,H40,0)+IF(I$117=1,J40,0))</f>
        <v/>
      </c>
      <c r="J210">
        <f>IF(OR($IW40=0,calcA!$A$6=0),0,IF(I$117=1,I40,0)+IF(J$117=1,K40,0))</f>
        <v/>
      </c>
      <c r="K210">
        <f>IF(OR($IW40=0,calcA!$A$6=0),0,IF(J$117=1,J40,0)+IF(K$117=1,L40,0))</f>
        <v/>
      </c>
      <c r="L210">
        <f>IF(OR($IW40=0,calcA!$A$6=0),0,IF(K$117=1,K40,0)+IF(L$117=1,M40,0))</f>
        <v/>
      </c>
      <c r="M210">
        <f>IF(OR($IW40=0,calcA!$A$6=0),0,IF(L$117=1,L40,0)+IF(M$117=1,N40,0))</f>
        <v/>
      </c>
      <c r="N210">
        <f>IF(OR($IW40=0,calcA!$A$6=0),0,IF(M$117=1,M40,0)+IF(N$117=1,O40,0))</f>
        <v/>
      </c>
      <c r="O210">
        <f>IF(OR($IW40=0,calcA!$A$6=0),0,IF(N$117=1,N40,0)+IF(O$117=1,P40,0))</f>
        <v/>
      </c>
      <c r="P210">
        <f>IF(OR($IW40=0,calcA!$A$6=0),0,IF(O$117=1,O40,0)+IF(P$117=1,Q40,0))</f>
        <v/>
      </c>
      <c r="Q210">
        <f>IF(OR($IW40=0,calcA!$A$6=0),0,IF(P$117=1,P40,0)+IF(Q$117=1,R40,0))</f>
        <v/>
      </c>
      <c r="R210">
        <f>IF(OR($IW40=0,calcA!$A$6=0),0,IF(Q$117=1,Q40,0)+IF(R$117=1,S40,0))</f>
        <v/>
      </c>
      <c r="S210">
        <f>IF(OR($IW40=0,calcA!$A$6=0),0,IF(R$117=1,R40,0)+IF(S$117=1,T40,0))</f>
        <v/>
      </c>
      <c r="T210">
        <f>IF(OR($IW40=0,calcA!$A$6=0),0,IF(S$117=1,S40,0)+IF(T$117=1,U40,0))</f>
        <v/>
      </c>
      <c r="U210">
        <f>IF(OR($IW40=0,calcA!$A$6=0),0,IF(T$117=1,T40,0)+IF(U$117=1,V40,0))</f>
        <v/>
      </c>
      <c r="V210">
        <f>IF(OR($IW40=0,calcA!$A$6=0),0,IF(U$117=1,U40,0)+IF(V$117=1,W40,0))</f>
        <v/>
      </c>
      <c r="W210">
        <f>IF(OR($IW40=0,calcA!$A$6=0),0,IF(V$117=1,V40,0)+IF(W$117=1,X40,0))</f>
        <v/>
      </c>
      <c r="X210">
        <f>IF(OR($IW40=0,calcA!$A$6=0),0,IF(W$117=1,W40,0)+IF(X$117=1,Y40,0))</f>
        <v/>
      </c>
      <c r="Y210">
        <f>IF(OR($IW40=0,calcA!$A$6=0),0,IF(X$117=1,X40,0)+IF(Y$117=1,Z40,0))</f>
        <v/>
      </c>
      <c r="Z210">
        <f>IF(OR($IW40=0,calcA!$A$6=0),0,IF(Y$117=1,Y40,0)+IF(Z$117=1,AA40,0))</f>
        <v/>
      </c>
      <c r="AA210">
        <f>IF(OR($IW40=0,calcA!$A$6=0),0,IF(Z$117=1,Z40,0))</f>
        <v/>
      </c>
      <c r="AB210">
        <f>IF(OR($IW40=0,calcA!$A$6=0),0,IF(AB$117=1,AC40,0))</f>
        <v/>
      </c>
      <c r="AC210">
        <f>IF(OR($IW40=0,calcA!$A$6=0),0,IF(AB$117=1,AB40,0)+IF(AC$117=1,AD40,0))</f>
        <v/>
      </c>
      <c r="AD210">
        <f>IF(OR($IW40=0,calcA!$A$6=0),0,IF(AC$117=1,AC40,0)+IF(AD$117=1,AE40,0))</f>
        <v/>
      </c>
      <c r="AE210">
        <f>IF(OR($IW40=0,calcA!$A$6=0),0,IF(AD$117=1,AD40,0)+IF(AE$117=1,AF40,0))</f>
        <v/>
      </c>
      <c r="AF210">
        <f>IF(OR($IW40=0,calcA!$A$6=0),0,IF(AE$117=1,AE40,0)+IF(AF$117=1,AG40,0))</f>
        <v/>
      </c>
      <c r="AG210">
        <f>IF(OR($IW40=0,calcA!$A$6=0),0,IF(AF$117=1,AF40,0)+IF(AG$117=1,AH40,0))</f>
        <v/>
      </c>
      <c r="AH210">
        <f>IF(OR($IW40=0,calcA!$A$6=0),0,IF(AG$117=1,AG40,0)+IF(AH$117=1,AI40,0))</f>
        <v/>
      </c>
      <c r="AI210">
        <f>IF(OR($IW40=0,calcA!$A$6=0),0,IF(AH$117=1,AH40,0)+IF(AI$117=1,AJ40,0))</f>
        <v/>
      </c>
      <c r="AJ210">
        <f>IF(OR($IW40=0,calcA!$A$6=0),0,IF(AI$117=1,AI40,0)+IF(AJ$117=1,AK40,0))</f>
        <v/>
      </c>
      <c r="AK210">
        <f>IF(OR($IW40=0,calcA!$A$6=0),0,IF(AJ$117=1,AJ40,0)+IF(AK$117=1,AL40,0))</f>
        <v/>
      </c>
      <c r="AL210">
        <f>IF(OR($IW40=0,calcA!$A$6=0),0,IF(AK$117=1,AK40,0)+IF(AL$117=1,AM40,0))</f>
        <v/>
      </c>
      <c r="AM210">
        <f>IF(OR($IW40=0,calcA!$A$6=0),0,IF(AL$117=1,AL40,0)+IF(AM$117=1,AN40,0))</f>
        <v/>
      </c>
      <c r="AN210">
        <f>IF(OR($IW40=0,calcA!$A$6=0),0,IF(AM$117=1,AM40,0)+IF(AN$117=1,AO40,0))</f>
        <v/>
      </c>
      <c r="AO210">
        <f>IF(OR($IW40=0,calcA!$A$6=0),0,IF(AN$117=1,AN40,0)+IF(AO$117=1,AP40,0))</f>
        <v/>
      </c>
      <c r="AP210">
        <f>IF(OR($IW40=0,calcA!$A$6=0),0,IF(AO$117=1,AO40,0)+IF(AP$117=1,AQ40,0))</f>
        <v/>
      </c>
      <c r="AQ210">
        <f>IF(OR($IW40=0,calcA!$A$6=0),0,IF(AP$117=1,AP40,0)+IF(AQ$117=1,AR40,0))</f>
        <v/>
      </c>
      <c r="AR210">
        <f>IF(OR($IW40=0,calcA!$A$6=0),0,IF(AQ$117=1,AQ40,0)+IF(AR$117=1,AS40,0))</f>
        <v/>
      </c>
      <c r="AS210">
        <f>IF(OR($IW40=0,calcA!$A$6=0),0,IF(AR$117=1,AR40,0)+IF(AS$117=1,AT40,0))</f>
        <v/>
      </c>
      <c r="AT210">
        <f>IF(OR($IW40=0,calcA!$A$6=0),0,IF(AS$117=1,AS40,0)+IF(AT$117=1,AU40,0))</f>
        <v/>
      </c>
      <c r="AU210">
        <f>IF(OR($IW40=0,calcA!$A$6=0),0,IF(AT$117=1,AT40,0)+IF(AU$117=1,AV40,0))</f>
        <v/>
      </c>
      <c r="AV210">
        <f>IF(OR($IW40=0,calcA!$A$6=0),0,IF(AU$117=1,AU40,0)+IF(AV$117=1,AW40,0))</f>
        <v/>
      </c>
      <c r="AW210">
        <f>IF(OR($IW40=0,calcA!$A$6=0),0,IF(AV$117=1,AV40,0)+IF(AW$117=1,AX40,0))</f>
        <v/>
      </c>
      <c r="AX210">
        <f>IF(OR($IW40=0,calcA!$A$6=0),0,IF(AW$117=1,AW40,0)+IF(AX$117=1,AY40,0))</f>
        <v/>
      </c>
      <c r="AY210">
        <f>IF(OR($IW40=0,calcA!$A$6=0),0,IF(AX$117=1,AX40,0))</f>
        <v/>
      </c>
      <c r="AZ210">
        <f>IF(OR($IW40=0,calcA!$A$6=0),0,IF(AZ$117=1,BA40,0))</f>
        <v/>
      </c>
      <c r="BA210">
        <f>IF(OR($IW40=0,calcA!$A$6=0),0,IF(AZ$117=1,AZ40,0)+IF(BA$117=1,BB40,0))</f>
        <v/>
      </c>
      <c r="BB210">
        <f>IF(OR($IW40=0,calcA!$A$6=0),0,IF(BA$117=1,BA40,0)+IF(BB$117=1,BC40,0))</f>
        <v/>
      </c>
      <c r="BC210">
        <f>IF(OR($IW40=0,calcA!$A$6=0),0,IF(BB$117=1,BB40,0)+IF(BC$117=1,BD40,0))</f>
        <v/>
      </c>
      <c r="BD210">
        <f>IF(OR($IW40=0,calcA!$A$6=0),0,IF(BC$117=1,BC40,0)+IF(BD$117=1,BE40,0))</f>
        <v/>
      </c>
      <c r="BE210">
        <f>IF(OR($IW40=0,calcA!$A$6=0),0,IF(BD$117=1,BD40,0)+IF(BE$117=1,BF40,0))</f>
        <v/>
      </c>
      <c r="BF210">
        <f>IF(OR($IW40=0,calcA!$A$6=0),0,IF(BE$117=1,BE40,0)+IF(BF$117=1,BG40,0))</f>
        <v/>
      </c>
      <c r="BG210">
        <f>IF(OR($IW40=0,calcA!$A$6=0),0,IF(BF$117=1,BF40,0)+IF(BG$117=1,BH40,0))</f>
        <v/>
      </c>
      <c r="BH210">
        <f>IF(OR($IW40=0,calcA!$A$6=0),0,IF(BG$117=1,BG40,0)+IF(BH$117=1,BI40,0))</f>
        <v/>
      </c>
      <c r="BI210">
        <f>IF(OR($IW40=0,calcA!$A$6=0),0,IF(BH$117=1,BH40,0)+IF(BI$117=1,BJ40,0))</f>
        <v/>
      </c>
      <c r="BJ210">
        <f>IF(OR($IW40=0,calcA!$A$6=0),0,IF(BI$117=1,BI40,0)+IF(BJ$117=1,BK40,0))</f>
        <v/>
      </c>
      <c r="BK210">
        <f>IF(OR($IW40=0,calcA!$A$6=0),0,IF(BJ$117=1,BJ40,0)+IF(BK$117=1,BL40,0))</f>
        <v/>
      </c>
      <c r="BL210">
        <f>IF(OR($IW40=0,calcA!$A$6=0),0,IF(BK$117=1,BK40,0)+IF(BL$117=1,BM40,0))</f>
        <v/>
      </c>
      <c r="BM210">
        <f>IF(OR($IW40=0,calcA!$A$6=0),0,IF(BL$117=1,BL40,0)+IF(BM$117=1,BN40,0))</f>
        <v/>
      </c>
      <c r="BN210">
        <f>IF(OR($IW40=0,calcA!$A$6=0),0,IF(BM$117=1,BM40,0)+IF(BN$117=1,BO40,0))</f>
        <v/>
      </c>
      <c r="BO210">
        <f>IF(OR($IW40=0,calcA!$A$6=0),0,IF(BN$117=1,BN40,0)+IF(BO$117=1,BP40,0))</f>
        <v/>
      </c>
      <c r="BP210">
        <f>IF(OR($IW40=0,calcA!$A$6=0),0,IF(BO$117=1,BO40,0)+IF(BP$117=1,BQ40,0))</f>
        <v/>
      </c>
      <c r="BQ210">
        <f>IF(OR($IW40=0,calcA!$A$6=0),0,IF(BP$117=1,BP40,0)+IF(BQ$117=1,BR40,0))</f>
        <v/>
      </c>
      <c r="BR210">
        <f>IF(OR($IW40=0,calcA!$A$6=0),0,IF(BQ$117=1,BQ40,0)+IF(BR$117=1,BS40,0))</f>
        <v/>
      </c>
      <c r="BS210">
        <f>IF(OR($IW40=0,calcA!$A$6=0),0,IF(BR$117=1,BR40,0)+IF(BS$117=1,BT40,0))</f>
        <v/>
      </c>
      <c r="BT210">
        <f>IF(OR($IW40=0,calcA!$A$6=0),0,IF(BS$117=1,BS40,0)+IF(BT$117=1,BU40,0))</f>
        <v/>
      </c>
      <c r="BU210">
        <f>IF(OR($IW40=0,calcA!$A$6=0),0,IF(BT$117=1,BT40,0)+IF(BU$117=1,BV40,0))</f>
        <v/>
      </c>
      <c r="BV210">
        <f>IF(OR($IW40=0,calcA!$A$6=0),0,IF(BU$117=1,BU40,0)+IF(BV$117=1,BW40,0))</f>
        <v/>
      </c>
      <c r="BW210">
        <f>IF(OR($IW40=0,calcA!$A$6=0),0,IF(BV$117=1,BV40,0))</f>
        <v/>
      </c>
      <c r="BX210">
        <f>IF(OR($IW40=0,calcA!$A$6=0),0,IF(BX$117=1,BY40,0))</f>
        <v/>
      </c>
      <c r="BY210">
        <f>IF(OR($IW40=0,calcA!$A$6=0),0,IF(BX$117=1,BX40,0)+IF(BY$117=1,BZ40,0))</f>
        <v/>
      </c>
      <c r="BZ210">
        <f>IF(OR($IW40=0,calcA!$A$6=0),0,IF(BY$117=1,BY40,0)+IF(BZ$117=1,CA40,0))</f>
        <v/>
      </c>
      <c r="CA210">
        <f>IF(OR($IW40=0,calcA!$A$6=0),0,IF(BZ$117=1,BZ40,0)+IF(CA$117=1,CB40,0))</f>
        <v/>
      </c>
      <c r="CB210">
        <f>IF(OR($IW40=0,calcA!$A$6=0),0,IF(CA$117=1,CA40,0)+IF(CB$117=1,CC40,0))</f>
        <v/>
      </c>
      <c r="CC210">
        <f>IF(OR($IW40=0,calcA!$A$6=0),0,IF(CB$117=1,CB40,0)+IF(CC$117=1,CD40,0))</f>
        <v/>
      </c>
      <c r="CD210">
        <f>IF(OR($IW40=0,calcA!$A$6=0),0,IF(CC$117=1,CC40,0)+IF(CD$117=1,CE40,0))</f>
        <v/>
      </c>
      <c r="CE210">
        <f>IF(OR($IW40=0,calcA!$A$6=0),0,IF(CD$117=1,CD40,0)+IF(CE$117=1,CF40,0))</f>
        <v/>
      </c>
      <c r="CF210">
        <f>IF(OR($IW40=0,calcA!$A$6=0),0,IF(CE$117=1,CE40,0)+IF(CF$117=1,CG40,0))</f>
        <v/>
      </c>
      <c r="CG210">
        <f>IF(OR($IW40=0,calcA!$A$6=0),0,IF(CF$117=1,CF40,0)+IF(CG$117=1,CH40,0))</f>
        <v/>
      </c>
      <c r="CH210">
        <f>IF(OR($IW40=0,calcA!$A$6=0),0,IF(CG$117=1,CG40,0)+IF(CH$117=1,CI40,0))</f>
        <v/>
      </c>
      <c r="CI210">
        <f>IF(OR($IW40=0,calcA!$A$6=0),0,IF(CH$117=1,CH40,0)+IF(CI$117=1,CJ40,0))</f>
        <v/>
      </c>
      <c r="CJ210">
        <f>IF(OR($IW40=0,calcA!$A$6=0),0,IF(CI$117=1,CI40,0)+IF(CJ$117=1,CK40,0))</f>
        <v/>
      </c>
      <c r="CK210">
        <f>IF(OR($IW40=0,calcA!$A$6=0),0,IF(CJ$117=1,CJ40,0)+IF(CK$117=1,CL40,0))</f>
        <v/>
      </c>
      <c r="CL210">
        <f>IF(OR($IW40=0,calcA!$A$6=0),0,IF(CK$117=1,CK40,0)+IF(CL$117=1,CM40,0))</f>
        <v/>
      </c>
      <c r="CM210">
        <f>IF(OR($IW40=0,calcA!$A$6=0),0,IF(CL$117=1,CL40,0)+IF(CM$117=1,CN40,0))</f>
        <v/>
      </c>
      <c r="CN210">
        <f>IF(OR($IW40=0,calcA!$A$6=0),0,IF(CM$117=1,CM40,0)+IF(CN$117=1,CO40,0))</f>
        <v/>
      </c>
      <c r="CO210">
        <f>IF(OR($IW40=0,calcA!$A$6=0),0,IF(CN$117=1,CN40,0)+IF(CO$117=1,CP40,0))</f>
        <v/>
      </c>
      <c r="CP210">
        <f>IF(OR($IW40=0,calcA!$A$6=0),0,IF(CO$117=1,CO40,0)+IF(CP$117=1,CQ40,0))</f>
        <v/>
      </c>
      <c r="CQ210">
        <f>IF(OR($IW40=0,calcA!$A$6=0),0,IF(CP$117=1,CP40,0)+IF(CQ$117=1,CR40,0))</f>
        <v/>
      </c>
      <c r="CR210">
        <f>IF(OR($IW40=0,calcA!$A$6=0),0,IF(CQ$117=1,CQ40,0)+IF(CR$117=1,CS40,0))</f>
        <v/>
      </c>
      <c r="CS210">
        <f>IF(OR($IW40=0,calcA!$A$6=0),0,IF(CR$117=1,CR40,0)+IF(CS$117=1,CT40,0))</f>
        <v/>
      </c>
      <c r="CT210">
        <f>IF(OR($IW40=0,calcA!$A$6=0),0,IF(CS$117=1,CS40,0)+IF(CT$117=1,CU40,0))</f>
        <v/>
      </c>
      <c r="CU210">
        <f>IF(OR($IW40=0,calcA!$A$6=0),0,IF(CT$117=1,CT40,0))</f>
        <v/>
      </c>
      <c r="CV210">
        <f>IF(OR($IW40=0,calcA!$A$6=0),0,IF(CV$117=1,CW40,0))</f>
        <v/>
      </c>
      <c r="CW210">
        <f>IF(OR($IW40=0,calcA!$A$6=0),0,IF(CV$117=1,CV40,0)+IF(CW$117=1,CX40,0))</f>
        <v/>
      </c>
      <c r="CX210">
        <f>IF(OR($IW40=0,calcA!$A$6=0),0,IF(CW$117=1,CW40,0)+IF(CX$117=1,CY40,0))</f>
        <v/>
      </c>
      <c r="CY210">
        <f>IF(OR($IW40=0,calcA!$A$6=0),0,IF(CX$117=1,CX40,0)+IF(CY$117=1,CZ40,0))</f>
        <v/>
      </c>
      <c r="CZ210">
        <f>IF(OR($IW40=0,calcA!$A$6=0),0,IF(CY$117=1,CY40,0)+IF(CZ$117=1,DA40,0))</f>
        <v/>
      </c>
      <c r="DA210">
        <f>IF(OR($IW40=0,calcA!$A$6=0),0,IF(CZ$117=1,CZ40,0)+IF(DA$117=1,DB40,0))</f>
        <v/>
      </c>
      <c r="DB210">
        <f>IF(OR($IW40=0,calcA!$A$6=0),0,IF(DA$117=1,DA40,0)+IF(DB$117=1,DC40,0))</f>
        <v/>
      </c>
      <c r="DC210">
        <f>IF(OR($IW40=0,calcA!$A$6=0),0,IF(DB$117=1,DB40,0)+IF(DC$117=1,DD40,0))</f>
        <v/>
      </c>
      <c r="DD210">
        <f>IF(OR($IW40=0,calcA!$A$6=0),0,IF(DC$117=1,DC40,0)+IF(DD$117=1,DE40,0))</f>
        <v/>
      </c>
      <c r="DE210">
        <f>IF(OR($IW40=0,calcA!$A$6=0),0,IF(DD$117=1,DD40,0)+IF(DE$117=1,DF40,0))</f>
        <v/>
      </c>
      <c r="DF210">
        <f>IF(OR($IW40=0,calcA!$A$6=0),0,IF(DE$117=1,DE40,0)+IF(DF$117=1,DG40,0))</f>
        <v/>
      </c>
      <c r="DG210">
        <f>IF(OR($IW40=0,calcA!$A$6=0),0,IF(DF$117=1,DF40,0)+IF(DG$117=1,DH40,0))</f>
        <v/>
      </c>
      <c r="DH210">
        <f>IF(OR($IW40=0,calcA!$A$6=0),0,IF(DG$117=1,DG40,0)+IF(DH$117=1,DI40,0))</f>
        <v/>
      </c>
      <c r="DI210">
        <f>IF(OR($IW40=0,calcA!$A$6=0),0,IF(DH$117=1,DH40,0)+IF(DI$117=1,DJ40,0))</f>
        <v/>
      </c>
      <c r="DJ210">
        <f>IF(OR($IW40=0,calcA!$A$6=0),0,IF(DI$117=1,DI40,0)+IF(DJ$117=1,DK40,0))</f>
        <v/>
      </c>
      <c r="DK210">
        <f>IF(OR($IW40=0,calcA!$A$6=0),0,IF(DJ$117=1,DJ40,0)+IF(DK$117=1,DL40,0))</f>
        <v/>
      </c>
      <c r="DL210">
        <f>IF(OR($IW40=0,calcA!$A$6=0),0,IF(DK$117=1,DK40,0)+IF(DL$117=1,DM40,0))</f>
        <v/>
      </c>
      <c r="DM210">
        <f>IF(OR($IW40=0,calcA!$A$6=0),0,IF(DL$117=1,DL40,0)+IF(DM$117=1,DN40,0))</f>
        <v/>
      </c>
      <c r="DN210">
        <f>IF(OR($IW40=0,calcA!$A$6=0),0,IF(DM$117=1,DM40,0)+IF(DN$117=1,DO40,0))</f>
        <v/>
      </c>
      <c r="DO210">
        <f>IF(OR($IW40=0,calcA!$A$6=0),0,IF(DN$117=1,DN40,0)+IF(DO$117=1,DP40,0))</f>
        <v/>
      </c>
      <c r="DP210">
        <f>IF(OR($IW40=0,calcA!$A$6=0),0,IF(DO$117=1,DO40,0)+IF(DP$117=1,DQ40,0))</f>
        <v/>
      </c>
      <c r="DQ210">
        <f>IF(OR($IW40=0,calcA!$A$6=0),0,IF(DP$117=1,DP40,0)+IF(DQ$117=1,DR40,0))</f>
        <v/>
      </c>
      <c r="DR210">
        <f>IF(OR($IW40=0,calcA!$A$6=0),0,IF(DQ$117=1,DQ40,0)+IF(DR$117=1,DS40,0))</f>
        <v/>
      </c>
      <c r="DS210">
        <f>IF(OR($IW40=0,calcA!$A$6=0),0,IF(DR$117=1,DR40,0))</f>
        <v/>
      </c>
      <c r="DT210">
        <f>IF(OR($IW40=0,calcA!$A$6=0),0,IF(DT$117=1,DU40,0))</f>
        <v/>
      </c>
      <c r="DU210">
        <f>IF(OR($IW40=0,calcA!$A$6=0),0,IF(DT$117=1,DT40,0)+IF(DU$117=1,DV40,0))</f>
        <v/>
      </c>
      <c r="DV210">
        <f>IF(OR($IW40=0,calcA!$A$6=0),0,IF(DU$117=1,DU40,0)+IF(DV$117=1,DW40,0))</f>
        <v/>
      </c>
      <c r="DW210">
        <f>IF(OR($IW40=0,calcA!$A$6=0),0,IF(DV$117=1,DV40,0)+IF(DW$117=1,DX40,0))</f>
        <v/>
      </c>
      <c r="DX210">
        <f>IF(OR($IW40=0,calcA!$A$6=0),0,IF(DW$117=1,DW40,0)+IF(DX$117=1,DY40,0))</f>
        <v/>
      </c>
      <c r="DY210">
        <f>IF(OR($IW40=0,calcA!$A$6=0),0,IF(DX$117=1,DX40,0)+IF(DY$117=1,DZ40,0))</f>
        <v/>
      </c>
      <c r="DZ210">
        <f>IF(OR($IW40=0,calcA!$A$6=0),0,IF(DY$117=1,DY40,0)+IF(DZ$117=1,EA40,0))</f>
        <v/>
      </c>
      <c r="EA210">
        <f>IF(OR($IW40=0,calcA!$A$6=0),0,IF(DZ$117=1,DZ40,0)+IF(EA$117=1,EB40,0))</f>
        <v/>
      </c>
      <c r="EB210">
        <f>IF(OR($IW40=0,calcA!$A$6=0),0,IF(EA$117=1,EA40,0)+IF(EB$117=1,EC40,0))</f>
        <v/>
      </c>
      <c r="EC210">
        <f>IF(OR($IW40=0,calcA!$A$6=0),0,IF(EB$117=1,EB40,0)+IF(EC$117=1,ED40,0))</f>
        <v/>
      </c>
      <c r="ED210">
        <f>IF(OR($IW40=0,calcA!$A$6=0),0,IF(EC$117=1,EC40,0)+IF(ED$117=1,EE40,0))</f>
        <v/>
      </c>
      <c r="EE210">
        <f>IF(OR($IW40=0,calcA!$A$6=0),0,IF(ED$117=1,ED40,0)+IF(EE$117=1,EF40,0))</f>
        <v/>
      </c>
      <c r="EF210">
        <f>IF(OR($IW40=0,calcA!$A$6=0),0,IF(EE$117=1,EE40,0)+IF(EF$117=1,EG40,0))</f>
        <v/>
      </c>
      <c r="EG210">
        <f>IF(OR($IW40=0,calcA!$A$6=0),0,IF(EF$117=1,EF40,0)+IF(EG$117=1,EH40,0))</f>
        <v/>
      </c>
      <c r="EH210">
        <f>IF(OR($IW40=0,calcA!$A$6=0),0,IF(EG$117=1,EG40,0)+IF(EH$117=1,EI40,0))</f>
        <v/>
      </c>
      <c r="EI210">
        <f>IF(OR($IW40=0,calcA!$A$6=0),0,IF(EH$117=1,EH40,0)+IF(EI$117=1,EJ40,0))</f>
        <v/>
      </c>
      <c r="EJ210">
        <f>IF(OR($IW40=0,calcA!$A$6=0),0,IF(EI$117=1,EI40,0)+IF(EJ$117=1,EK40,0))</f>
        <v/>
      </c>
      <c r="EK210">
        <f>IF(OR($IW40=0,calcA!$A$6=0),0,IF(EJ$117=1,EJ40,0)+IF(EK$117=1,EL40,0))</f>
        <v/>
      </c>
      <c r="EL210">
        <f>IF(OR($IW40=0,calcA!$A$6=0),0,IF(EK$117=1,EK40,0)+IF(EL$117=1,EM40,0))</f>
        <v/>
      </c>
      <c r="EM210">
        <f>IF(OR($IW40=0,calcA!$A$6=0),0,IF(EL$117=1,EL40,0)+IF(EM$117=1,EN40,0))</f>
        <v/>
      </c>
      <c r="EN210">
        <f>IF(OR($IW40=0,calcA!$A$6=0),0,IF(EM$117=1,EM40,0)+IF(EN$117=1,EO40,0))</f>
        <v/>
      </c>
      <c r="EO210">
        <f>IF(OR($IW40=0,calcA!$A$6=0),0,IF(EN$117=1,EN40,0)+IF(EO$117=1,EP40,0))</f>
        <v/>
      </c>
      <c r="EP210">
        <f>IF(OR($IW40=0,calcA!$A$6=0),0,IF(EO$117=1,EO40,0)+IF(EP$117=1,EQ40,0))</f>
        <v/>
      </c>
      <c r="EQ210">
        <f>IF(OR($IW40=0,calcA!$A$6=0),0,IF(EP$117=1,EP40,0))</f>
        <v/>
      </c>
    </row>
    <row r="211">
      <c r="D211">
        <f>IF(OR($IW41=0,calcA!$A$6=0),0,IF(D$117=1,E41,0))</f>
        <v/>
      </c>
      <c r="E211">
        <f>IF(OR($IW41=0,calcA!$A$6=0),0,IF(D$117=1,D41,0)+IF(E$117=1,F41,0))</f>
        <v/>
      </c>
      <c r="F211">
        <f>IF(OR($IW41=0,calcA!$A$6=0),0,IF(E$117=1,E41,0)+IF(F$117=1,G41,0))</f>
        <v/>
      </c>
      <c r="G211">
        <f>IF(OR($IW41=0,calcA!$A$6=0),0,IF(F$117=1,F41,0)+IF(G$117=1,H41,0))</f>
        <v/>
      </c>
      <c r="H211">
        <f>IF(OR($IW41=0,calcA!$A$6=0),0,IF(G$117=1,G41,0)+IF(H$117=1,I41,0))</f>
        <v/>
      </c>
      <c r="I211">
        <f>IF(OR($IW41=0,calcA!$A$6=0),0,IF(H$117=1,H41,0)+IF(I$117=1,J41,0))</f>
        <v/>
      </c>
      <c r="J211">
        <f>IF(OR($IW41=0,calcA!$A$6=0),0,IF(I$117=1,I41,0)+IF(J$117=1,K41,0))</f>
        <v/>
      </c>
      <c r="K211">
        <f>IF(OR($IW41=0,calcA!$A$6=0),0,IF(J$117=1,J41,0)+IF(K$117=1,L41,0))</f>
        <v/>
      </c>
      <c r="L211">
        <f>IF(OR($IW41=0,calcA!$A$6=0),0,IF(K$117=1,K41,0)+IF(L$117=1,M41,0))</f>
        <v/>
      </c>
      <c r="M211">
        <f>IF(OR($IW41=0,calcA!$A$6=0),0,IF(L$117=1,L41,0)+IF(M$117=1,N41,0))</f>
        <v/>
      </c>
      <c r="N211">
        <f>IF(OR($IW41=0,calcA!$A$6=0),0,IF(M$117=1,M41,0)+IF(N$117=1,O41,0))</f>
        <v/>
      </c>
      <c r="O211">
        <f>IF(OR($IW41=0,calcA!$A$6=0),0,IF(N$117=1,N41,0)+IF(O$117=1,P41,0))</f>
        <v/>
      </c>
      <c r="P211">
        <f>IF(OR($IW41=0,calcA!$A$6=0),0,IF(O$117=1,O41,0)+IF(P$117=1,Q41,0))</f>
        <v/>
      </c>
      <c r="Q211">
        <f>IF(OR($IW41=0,calcA!$A$6=0),0,IF(P$117=1,P41,0)+IF(Q$117=1,R41,0))</f>
        <v/>
      </c>
      <c r="R211">
        <f>IF(OR($IW41=0,calcA!$A$6=0),0,IF(Q$117=1,Q41,0)+IF(R$117=1,S41,0))</f>
        <v/>
      </c>
      <c r="S211">
        <f>IF(OR($IW41=0,calcA!$A$6=0),0,IF(R$117=1,R41,0)+IF(S$117=1,T41,0))</f>
        <v/>
      </c>
      <c r="T211">
        <f>IF(OR($IW41=0,calcA!$A$6=0),0,IF(S$117=1,S41,0)+IF(T$117=1,U41,0))</f>
        <v/>
      </c>
      <c r="U211">
        <f>IF(OR($IW41=0,calcA!$A$6=0),0,IF(T$117=1,T41,0)+IF(U$117=1,V41,0))</f>
        <v/>
      </c>
      <c r="V211">
        <f>IF(OR($IW41=0,calcA!$A$6=0),0,IF(U$117=1,U41,0)+IF(V$117=1,W41,0))</f>
        <v/>
      </c>
      <c r="W211">
        <f>IF(OR($IW41=0,calcA!$A$6=0),0,IF(V$117=1,V41,0)+IF(W$117=1,X41,0))</f>
        <v/>
      </c>
      <c r="X211">
        <f>IF(OR($IW41=0,calcA!$A$6=0),0,IF(W$117=1,W41,0)+IF(X$117=1,Y41,0))</f>
        <v/>
      </c>
      <c r="Y211">
        <f>IF(OR($IW41=0,calcA!$A$6=0),0,IF(X$117=1,X41,0)+IF(Y$117=1,Z41,0))</f>
        <v/>
      </c>
      <c r="Z211">
        <f>IF(OR($IW41=0,calcA!$A$6=0),0,IF(Y$117=1,Y41,0)+IF(Z$117=1,AA41,0))</f>
        <v/>
      </c>
      <c r="AA211">
        <f>IF(OR($IW41=0,calcA!$A$6=0),0,IF(Z$117=1,Z41,0))</f>
        <v/>
      </c>
      <c r="AB211">
        <f>IF(OR($IW41=0,calcA!$A$6=0),0,IF(AB$117=1,AC41,0))</f>
        <v/>
      </c>
      <c r="AC211">
        <f>IF(OR($IW41=0,calcA!$A$6=0),0,IF(AB$117=1,AB41,0)+IF(AC$117=1,AD41,0))</f>
        <v/>
      </c>
      <c r="AD211">
        <f>IF(OR($IW41=0,calcA!$A$6=0),0,IF(AC$117=1,AC41,0)+IF(AD$117=1,AE41,0))</f>
        <v/>
      </c>
      <c r="AE211">
        <f>IF(OR($IW41=0,calcA!$A$6=0),0,IF(AD$117=1,AD41,0)+IF(AE$117=1,AF41,0))</f>
        <v/>
      </c>
      <c r="AF211">
        <f>IF(OR($IW41=0,calcA!$A$6=0),0,IF(AE$117=1,AE41,0)+IF(AF$117=1,AG41,0))</f>
        <v/>
      </c>
      <c r="AG211">
        <f>IF(OR($IW41=0,calcA!$A$6=0),0,IF(AF$117=1,AF41,0)+IF(AG$117=1,AH41,0))</f>
        <v/>
      </c>
      <c r="AH211">
        <f>IF(OR($IW41=0,calcA!$A$6=0),0,IF(AG$117=1,AG41,0)+IF(AH$117=1,AI41,0))</f>
        <v/>
      </c>
      <c r="AI211">
        <f>IF(OR($IW41=0,calcA!$A$6=0),0,IF(AH$117=1,AH41,0)+IF(AI$117=1,AJ41,0))</f>
        <v/>
      </c>
      <c r="AJ211">
        <f>IF(OR($IW41=0,calcA!$A$6=0),0,IF(AI$117=1,AI41,0)+IF(AJ$117=1,AK41,0))</f>
        <v/>
      </c>
      <c r="AK211">
        <f>IF(OR($IW41=0,calcA!$A$6=0),0,IF(AJ$117=1,AJ41,0)+IF(AK$117=1,AL41,0))</f>
        <v/>
      </c>
      <c r="AL211">
        <f>IF(OR($IW41=0,calcA!$A$6=0),0,IF(AK$117=1,AK41,0)+IF(AL$117=1,AM41,0))</f>
        <v/>
      </c>
      <c r="AM211">
        <f>IF(OR($IW41=0,calcA!$A$6=0),0,IF(AL$117=1,AL41,0)+IF(AM$117=1,AN41,0))</f>
        <v/>
      </c>
      <c r="AN211">
        <f>IF(OR($IW41=0,calcA!$A$6=0),0,IF(AM$117=1,AM41,0)+IF(AN$117=1,AO41,0))</f>
        <v/>
      </c>
      <c r="AO211">
        <f>IF(OR($IW41=0,calcA!$A$6=0),0,IF(AN$117=1,AN41,0)+IF(AO$117=1,AP41,0))</f>
        <v/>
      </c>
      <c r="AP211">
        <f>IF(OR($IW41=0,calcA!$A$6=0),0,IF(AO$117=1,AO41,0)+IF(AP$117=1,AQ41,0))</f>
        <v/>
      </c>
      <c r="AQ211">
        <f>IF(OR($IW41=0,calcA!$A$6=0),0,IF(AP$117=1,AP41,0)+IF(AQ$117=1,AR41,0))</f>
        <v/>
      </c>
      <c r="AR211">
        <f>IF(OR($IW41=0,calcA!$A$6=0),0,IF(AQ$117=1,AQ41,0)+IF(AR$117=1,AS41,0))</f>
        <v/>
      </c>
      <c r="AS211">
        <f>IF(OR($IW41=0,calcA!$A$6=0),0,IF(AR$117=1,AR41,0)+IF(AS$117=1,AT41,0))</f>
        <v/>
      </c>
      <c r="AT211">
        <f>IF(OR($IW41=0,calcA!$A$6=0),0,IF(AS$117=1,AS41,0)+IF(AT$117=1,AU41,0))</f>
        <v/>
      </c>
      <c r="AU211">
        <f>IF(OR($IW41=0,calcA!$A$6=0),0,IF(AT$117=1,AT41,0)+IF(AU$117=1,AV41,0))</f>
        <v/>
      </c>
      <c r="AV211">
        <f>IF(OR($IW41=0,calcA!$A$6=0),0,IF(AU$117=1,AU41,0)+IF(AV$117=1,AW41,0))</f>
        <v/>
      </c>
      <c r="AW211">
        <f>IF(OR($IW41=0,calcA!$A$6=0),0,IF(AV$117=1,AV41,0)+IF(AW$117=1,AX41,0))</f>
        <v/>
      </c>
      <c r="AX211">
        <f>IF(OR($IW41=0,calcA!$A$6=0),0,IF(AW$117=1,AW41,0)+IF(AX$117=1,AY41,0))</f>
        <v/>
      </c>
      <c r="AY211">
        <f>IF(OR($IW41=0,calcA!$A$6=0),0,IF(AX$117=1,AX41,0))</f>
        <v/>
      </c>
      <c r="AZ211">
        <f>IF(OR($IW41=0,calcA!$A$6=0),0,IF(AZ$117=1,BA41,0))</f>
        <v/>
      </c>
      <c r="BA211">
        <f>IF(OR($IW41=0,calcA!$A$6=0),0,IF(AZ$117=1,AZ41,0)+IF(BA$117=1,BB41,0))</f>
        <v/>
      </c>
      <c r="BB211">
        <f>IF(OR($IW41=0,calcA!$A$6=0),0,IF(BA$117=1,BA41,0)+IF(BB$117=1,BC41,0))</f>
        <v/>
      </c>
      <c r="BC211">
        <f>IF(OR($IW41=0,calcA!$A$6=0),0,IF(BB$117=1,BB41,0)+IF(BC$117=1,BD41,0))</f>
        <v/>
      </c>
      <c r="BD211">
        <f>IF(OR($IW41=0,calcA!$A$6=0),0,IF(BC$117=1,BC41,0)+IF(BD$117=1,BE41,0))</f>
        <v/>
      </c>
      <c r="BE211">
        <f>IF(OR($IW41=0,calcA!$A$6=0),0,IF(BD$117=1,BD41,0)+IF(BE$117=1,BF41,0))</f>
        <v/>
      </c>
      <c r="BF211">
        <f>IF(OR($IW41=0,calcA!$A$6=0),0,IF(BE$117=1,BE41,0)+IF(BF$117=1,BG41,0))</f>
        <v/>
      </c>
      <c r="BG211">
        <f>IF(OR($IW41=0,calcA!$A$6=0),0,IF(BF$117=1,BF41,0)+IF(BG$117=1,BH41,0))</f>
        <v/>
      </c>
      <c r="BH211">
        <f>IF(OR($IW41=0,calcA!$A$6=0),0,IF(BG$117=1,BG41,0)+IF(BH$117=1,BI41,0))</f>
        <v/>
      </c>
      <c r="BI211">
        <f>IF(OR($IW41=0,calcA!$A$6=0),0,IF(BH$117=1,BH41,0)+IF(BI$117=1,BJ41,0))</f>
        <v/>
      </c>
      <c r="BJ211">
        <f>IF(OR($IW41=0,calcA!$A$6=0),0,IF(BI$117=1,BI41,0)+IF(BJ$117=1,BK41,0))</f>
        <v/>
      </c>
      <c r="BK211">
        <f>IF(OR($IW41=0,calcA!$A$6=0),0,IF(BJ$117=1,BJ41,0)+IF(BK$117=1,BL41,0))</f>
        <v/>
      </c>
      <c r="BL211">
        <f>IF(OR($IW41=0,calcA!$A$6=0),0,IF(BK$117=1,BK41,0)+IF(BL$117=1,BM41,0))</f>
        <v/>
      </c>
      <c r="BM211">
        <f>IF(OR($IW41=0,calcA!$A$6=0),0,IF(BL$117=1,BL41,0)+IF(BM$117=1,BN41,0))</f>
        <v/>
      </c>
      <c r="BN211">
        <f>IF(OR($IW41=0,calcA!$A$6=0),0,IF(BM$117=1,BM41,0)+IF(BN$117=1,BO41,0))</f>
        <v/>
      </c>
      <c r="BO211">
        <f>IF(OR($IW41=0,calcA!$A$6=0),0,IF(BN$117=1,BN41,0)+IF(BO$117=1,BP41,0))</f>
        <v/>
      </c>
      <c r="BP211">
        <f>IF(OR($IW41=0,calcA!$A$6=0),0,IF(BO$117=1,BO41,0)+IF(BP$117=1,BQ41,0))</f>
        <v/>
      </c>
      <c r="BQ211">
        <f>IF(OR($IW41=0,calcA!$A$6=0),0,IF(BP$117=1,BP41,0)+IF(BQ$117=1,BR41,0))</f>
        <v/>
      </c>
      <c r="BR211">
        <f>IF(OR($IW41=0,calcA!$A$6=0),0,IF(BQ$117=1,BQ41,0)+IF(BR$117=1,BS41,0))</f>
        <v/>
      </c>
      <c r="BS211">
        <f>IF(OR($IW41=0,calcA!$A$6=0),0,IF(BR$117=1,BR41,0)+IF(BS$117=1,BT41,0))</f>
        <v/>
      </c>
      <c r="BT211">
        <f>IF(OR($IW41=0,calcA!$A$6=0),0,IF(BS$117=1,BS41,0)+IF(BT$117=1,BU41,0))</f>
        <v/>
      </c>
      <c r="BU211">
        <f>IF(OR($IW41=0,calcA!$A$6=0),0,IF(BT$117=1,BT41,0)+IF(BU$117=1,BV41,0))</f>
        <v/>
      </c>
      <c r="BV211">
        <f>IF(OR($IW41=0,calcA!$A$6=0),0,IF(BU$117=1,BU41,0)+IF(BV$117=1,BW41,0))</f>
        <v/>
      </c>
      <c r="BW211">
        <f>IF(OR($IW41=0,calcA!$A$6=0),0,IF(BV$117=1,BV41,0))</f>
        <v/>
      </c>
      <c r="BX211">
        <f>IF(OR($IW41=0,calcA!$A$6=0),0,IF(BX$117=1,BY41,0))</f>
        <v/>
      </c>
      <c r="BY211">
        <f>IF(OR($IW41=0,calcA!$A$6=0),0,IF(BX$117=1,BX41,0)+IF(BY$117=1,BZ41,0))</f>
        <v/>
      </c>
      <c r="BZ211">
        <f>IF(OR($IW41=0,calcA!$A$6=0),0,IF(BY$117=1,BY41,0)+IF(BZ$117=1,CA41,0))</f>
        <v/>
      </c>
      <c r="CA211">
        <f>IF(OR($IW41=0,calcA!$A$6=0),0,IF(BZ$117=1,BZ41,0)+IF(CA$117=1,CB41,0))</f>
        <v/>
      </c>
      <c r="CB211">
        <f>IF(OR($IW41=0,calcA!$A$6=0),0,IF(CA$117=1,CA41,0)+IF(CB$117=1,CC41,0))</f>
        <v/>
      </c>
      <c r="CC211">
        <f>IF(OR($IW41=0,calcA!$A$6=0),0,IF(CB$117=1,CB41,0)+IF(CC$117=1,CD41,0))</f>
        <v/>
      </c>
      <c r="CD211">
        <f>IF(OR($IW41=0,calcA!$A$6=0),0,IF(CC$117=1,CC41,0)+IF(CD$117=1,CE41,0))</f>
        <v/>
      </c>
      <c r="CE211">
        <f>IF(OR($IW41=0,calcA!$A$6=0),0,IF(CD$117=1,CD41,0)+IF(CE$117=1,CF41,0))</f>
        <v/>
      </c>
      <c r="CF211">
        <f>IF(OR($IW41=0,calcA!$A$6=0),0,IF(CE$117=1,CE41,0)+IF(CF$117=1,CG41,0))</f>
        <v/>
      </c>
      <c r="CG211">
        <f>IF(OR($IW41=0,calcA!$A$6=0),0,IF(CF$117=1,CF41,0)+IF(CG$117=1,CH41,0))</f>
        <v/>
      </c>
      <c r="CH211">
        <f>IF(OR($IW41=0,calcA!$A$6=0),0,IF(CG$117=1,CG41,0)+IF(CH$117=1,CI41,0))</f>
        <v/>
      </c>
      <c r="CI211">
        <f>IF(OR($IW41=0,calcA!$A$6=0),0,IF(CH$117=1,CH41,0)+IF(CI$117=1,CJ41,0))</f>
        <v/>
      </c>
      <c r="CJ211">
        <f>IF(OR($IW41=0,calcA!$A$6=0),0,IF(CI$117=1,CI41,0)+IF(CJ$117=1,CK41,0))</f>
        <v/>
      </c>
      <c r="CK211">
        <f>IF(OR($IW41=0,calcA!$A$6=0),0,IF(CJ$117=1,CJ41,0)+IF(CK$117=1,CL41,0))</f>
        <v/>
      </c>
      <c r="CL211">
        <f>IF(OR($IW41=0,calcA!$A$6=0),0,IF(CK$117=1,CK41,0)+IF(CL$117=1,CM41,0))</f>
        <v/>
      </c>
      <c r="CM211">
        <f>IF(OR($IW41=0,calcA!$A$6=0),0,IF(CL$117=1,CL41,0)+IF(CM$117=1,CN41,0))</f>
        <v/>
      </c>
      <c r="CN211">
        <f>IF(OR($IW41=0,calcA!$A$6=0),0,IF(CM$117=1,CM41,0)+IF(CN$117=1,CO41,0))</f>
        <v/>
      </c>
      <c r="CO211">
        <f>IF(OR($IW41=0,calcA!$A$6=0),0,IF(CN$117=1,CN41,0)+IF(CO$117=1,CP41,0))</f>
        <v/>
      </c>
      <c r="CP211">
        <f>IF(OR($IW41=0,calcA!$A$6=0),0,IF(CO$117=1,CO41,0)+IF(CP$117=1,CQ41,0))</f>
        <v/>
      </c>
      <c r="CQ211">
        <f>IF(OR($IW41=0,calcA!$A$6=0),0,IF(CP$117=1,CP41,0)+IF(CQ$117=1,CR41,0))</f>
        <v/>
      </c>
      <c r="CR211">
        <f>IF(OR($IW41=0,calcA!$A$6=0),0,IF(CQ$117=1,CQ41,0)+IF(CR$117=1,CS41,0))</f>
        <v/>
      </c>
      <c r="CS211">
        <f>IF(OR($IW41=0,calcA!$A$6=0),0,IF(CR$117=1,CR41,0)+IF(CS$117=1,CT41,0))</f>
        <v/>
      </c>
      <c r="CT211">
        <f>IF(OR($IW41=0,calcA!$A$6=0),0,IF(CS$117=1,CS41,0)+IF(CT$117=1,CU41,0))</f>
        <v/>
      </c>
      <c r="CU211">
        <f>IF(OR($IW41=0,calcA!$A$6=0),0,IF(CT$117=1,CT41,0))</f>
        <v/>
      </c>
      <c r="CV211">
        <f>IF(OR($IW41=0,calcA!$A$6=0),0,IF(CV$117=1,CW41,0))</f>
        <v/>
      </c>
      <c r="CW211">
        <f>IF(OR($IW41=0,calcA!$A$6=0),0,IF(CV$117=1,CV41,0)+IF(CW$117=1,CX41,0))</f>
        <v/>
      </c>
      <c r="CX211">
        <f>IF(OR($IW41=0,calcA!$A$6=0),0,IF(CW$117=1,CW41,0)+IF(CX$117=1,CY41,0))</f>
        <v/>
      </c>
      <c r="CY211">
        <f>IF(OR($IW41=0,calcA!$A$6=0),0,IF(CX$117=1,CX41,0)+IF(CY$117=1,CZ41,0))</f>
        <v/>
      </c>
      <c r="CZ211">
        <f>IF(OR($IW41=0,calcA!$A$6=0),0,IF(CY$117=1,CY41,0)+IF(CZ$117=1,DA41,0))</f>
        <v/>
      </c>
      <c r="DA211">
        <f>IF(OR($IW41=0,calcA!$A$6=0),0,IF(CZ$117=1,CZ41,0)+IF(DA$117=1,DB41,0))</f>
        <v/>
      </c>
      <c r="DB211">
        <f>IF(OR($IW41=0,calcA!$A$6=0),0,IF(DA$117=1,DA41,0)+IF(DB$117=1,DC41,0))</f>
        <v/>
      </c>
      <c r="DC211">
        <f>IF(OR($IW41=0,calcA!$A$6=0),0,IF(DB$117=1,DB41,0)+IF(DC$117=1,DD41,0))</f>
        <v/>
      </c>
      <c r="DD211">
        <f>IF(OR($IW41=0,calcA!$A$6=0),0,IF(DC$117=1,DC41,0)+IF(DD$117=1,DE41,0))</f>
        <v/>
      </c>
      <c r="DE211">
        <f>IF(OR($IW41=0,calcA!$A$6=0),0,IF(DD$117=1,DD41,0)+IF(DE$117=1,DF41,0))</f>
        <v/>
      </c>
      <c r="DF211">
        <f>IF(OR($IW41=0,calcA!$A$6=0),0,IF(DE$117=1,DE41,0)+IF(DF$117=1,DG41,0))</f>
        <v/>
      </c>
      <c r="DG211">
        <f>IF(OR($IW41=0,calcA!$A$6=0),0,IF(DF$117=1,DF41,0)+IF(DG$117=1,DH41,0))</f>
        <v/>
      </c>
      <c r="DH211">
        <f>IF(OR($IW41=0,calcA!$A$6=0),0,IF(DG$117=1,DG41,0)+IF(DH$117=1,DI41,0))</f>
        <v/>
      </c>
      <c r="DI211">
        <f>IF(OR($IW41=0,calcA!$A$6=0),0,IF(DH$117=1,DH41,0)+IF(DI$117=1,DJ41,0))</f>
        <v/>
      </c>
      <c r="DJ211">
        <f>IF(OR($IW41=0,calcA!$A$6=0),0,IF(DI$117=1,DI41,0)+IF(DJ$117=1,DK41,0))</f>
        <v/>
      </c>
      <c r="DK211">
        <f>IF(OR($IW41=0,calcA!$A$6=0),0,IF(DJ$117=1,DJ41,0)+IF(DK$117=1,DL41,0))</f>
        <v/>
      </c>
      <c r="DL211">
        <f>IF(OR($IW41=0,calcA!$A$6=0),0,IF(DK$117=1,DK41,0)+IF(DL$117=1,DM41,0))</f>
        <v/>
      </c>
      <c r="DM211">
        <f>IF(OR($IW41=0,calcA!$A$6=0),0,IF(DL$117=1,DL41,0)+IF(DM$117=1,DN41,0))</f>
        <v/>
      </c>
      <c r="DN211">
        <f>IF(OR($IW41=0,calcA!$A$6=0),0,IF(DM$117=1,DM41,0)+IF(DN$117=1,DO41,0))</f>
        <v/>
      </c>
      <c r="DO211">
        <f>IF(OR($IW41=0,calcA!$A$6=0),0,IF(DN$117=1,DN41,0)+IF(DO$117=1,DP41,0))</f>
        <v/>
      </c>
      <c r="DP211">
        <f>IF(OR($IW41=0,calcA!$A$6=0),0,IF(DO$117=1,DO41,0)+IF(DP$117=1,DQ41,0))</f>
        <v/>
      </c>
      <c r="DQ211">
        <f>IF(OR($IW41=0,calcA!$A$6=0),0,IF(DP$117=1,DP41,0)+IF(DQ$117=1,DR41,0))</f>
        <v/>
      </c>
      <c r="DR211">
        <f>IF(OR($IW41=0,calcA!$A$6=0),0,IF(DQ$117=1,DQ41,0)+IF(DR$117=1,DS41,0))</f>
        <v/>
      </c>
      <c r="DS211">
        <f>IF(OR($IW41=0,calcA!$A$6=0),0,IF(DR$117=1,DR41,0))</f>
        <v/>
      </c>
      <c r="DT211">
        <f>IF(OR($IW41=0,calcA!$A$6=0),0,IF(DT$117=1,DU41,0))</f>
        <v/>
      </c>
      <c r="DU211">
        <f>IF(OR($IW41=0,calcA!$A$6=0),0,IF(DT$117=1,DT41,0)+IF(DU$117=1,DV41,0))</f>
        <v/>
      </c>
      <c r="DV211">
        <f>IF(OR($IW41=0,calcA!$A$6=0),0,IF(DU$117=1,DU41,0)+IF(DV$117=1,DW41,0))</f>
        <v/>
      </c>
      <c r="DW211">
        <f>IF(OR($IW41=0,calcA!$A$6=0),0,IF(DV$117=1,DV41,0)+IF(DW$117=1,DX41,0))</f>
        <v/>
      </c>
      <c r="DX211">
        <f>IF(OR($IW41=0,calcA!$A$6=0),0,IF(DW$117=1,DW41,0)+IF(DX$117=1,DY41,0))</f>
        <v/>
      </c>
      <c r="DY211">
        <f>IF(OR($IW41=0,calcA!$A$6=0),0,IF(DX$117=1,DX41,0)+IF(DY$117=1,DZ41,0))</f>
        <v/>
      </c>
      <c r="DZ211">
        <f>IF(OR($IW41=0,calcA!$A$6=0),0,IF(DY$117=1,DY41,0)+IF(DZ$117=1,EA41,0))</f>
        <v/>
      </c>
      <c r="EA211">
        <f>IF(OR($IW41=0,calcA!$A$6=0),0,IF(DZ$117=1,DZ41,0)+IF(EA$117=1,EB41,0))</f>
        <v/>
      </c>
      <c r="EB211">
        <f>IF(OR($IW41=0,calcA!$A$6=0),0,IF(EA$117=1,EA41,0)+IF(EB$117=1,EC41,0))</f>
        <v/>
      </c>
      <c r="EC211">
        <f>IF(OR($IW41=0,calcA!$A$6=0),0,IF(EB$117=1,EB41,0)+IF(EC$117=1,ED41,0))</f>
        <v/>
      </c>
      <c r="ED211">
        <f>IF(OR($IW41=0,calcA!$A$6=0),0,IF(EC$117=1,EC41,0)+IF(ED$117=1,EE41,0))</f>
        <v/>
      </c>
      <c r="EE211">
        <f>IF(OR($IW41=0,calcA!$A$6=0),0,IF(ED$117=1,ED41,0)+IF(EE$117=1,EF41,0))</f>
        <v/>
      </c>
      <c r="EF211">
        <f>IF(OR($IW41=0,calcA!$A$6=0),0,IF(EE$117=1,EE41,0)+IF(EF$117=1,EG41,0))</f>
        <v/>
      </c>
      <c r="EG211">
        <f>IF(OR($IW41=0,calcA!$A$6=0),0,IF(EF$117=1,EF41,0)+IF(EG$117=1,EH41,0))</f>
        <v/>
      </c>
      <c r="EH211">
        <f>IF(OR($IW41=0,calcA!$A$6=0),0,IF(EG$117=1,EG41,0)+IF(EH$117=1,EI41,0))</f>
        <v/>
      </c>
      <c r="EI211">
        <f>IF(OR($IW41=0,calcA!$A$6=0),0,IF(EH$117=1,EH41,0)+IF(EI$117=1,EJ41,0))</f>
        <v/>
      </c>
      <c r="EJ211">
        <f>IF(OR($IW41=0,calcA!$A$6=0),0,IF(EI$117=1,EI41,0)+IF(EJ$117=1,EK41,0))</f>
        <v/>
      </c>
      <c r="EK211">
        <f>IF(OR($IW41=0,calcA!$A$6=0),0,IF(EJ$117=1,EJ41,0)+IF(EK$117=1,EL41,0))</f>
        <v/>
      </c>
      <c r="EL211">
        <f>IF(OR($IW41=0,calcA!$A$6=0),0,IF(EK$117=1,EK41,0)+IF(EL$117=1,EM41,0))</f>
        <v/>
      </c>
      <c r="EM211">
        <f>IF(OR($IW41=0,calcA!$A$6=0),0,IF(EL$117=1,EL41,0)+IF(EM$117=1,EN41,0))</f>
        <v/>
      </c>
      <c r="EN211">
        <f>IF(OR($IW41=0,calcA!$A$6=0),0,IF(EM$117=1,EM41,0)+IF(EN$117=1,EO41,0))</f>
        <v/>
      </c>
      <c r="EO211">
        <f>IF(OR($IW41=0,calcA!$A$6=0),0,IF(EN$117=1,EN41,0)+IF(EO$117=1,EP41,0))</f>
        <v/>
      </c>
      <c r="EP211">
        <f>IF(OR($IW41=0,calcA!$A$6=0),0,IF(EO$117=1,EO41,0)+IF(EP$117=1,EQ41,0))</f>
        <v/>
      </c>
      <c r="EQ211">
        <f>IF(OR($IW41=0,calcA!$A$6=0),0,IF(EP$117=1,EP41,0))</f>
        <v/>
      </c>
    </row>
    <row r="212">
      <c r="D212">
        <f>IF(OR($IW42=0,calcA!$A$6=0),0,IF(D$117=1,E42,0))</f>
        <v/>
      </c>
      <c r="E212">
        <f>IF(OR($IW42=0,calcA!$A$6=0),0,IF(D$117=1,D42,0)+IF(E$117=1,F42,0))</f>
        <v/>
      </c>
      <c r="F212">
        <f>IF(OR($IW42=0,calcA!$A$6=0),0,IF(E$117=1,E42,0)+IF(F$117=1,G42,0))</f>
        <v/>
      </c>
      <c r="G212">
        <f>IF(OR($IW42=0,calcA!$A$6=0),0,IF(F$117=1,F42,0)+IF(G$117=1,H42,0))</f>
        <v/>
      </c>
      <c r="H212">
        <f>IF(OR($IW42=0,calcA!$A$6=0),0,IF(G$117=1,G42,0)+IF(H$117=1,I42,0))</f>
        <v/>
      </c>
      <c r="I212">
        <f>IF(OR($IW42=0,calcA!$A$6=0),0,IF(H$117=1,H42,0)+IF(I$117=1,J42,0))</f>
        <v/>
      </c>
      <c r="J212">
        <f>IF(OR($IW42=0,calcA!$A$6=0),0,IF(I$117=1,I42,0)+IF(J$117=1,K42,0))</f>
        <v/>
      </c>
      <c r="K212">
        <f>IF(OR($IW42=0,calcA!$A$6=0),0,IF(J$117=1,J42,0)+IF(K$117=1,L42,0))</f>
        <v/>
      </c>
      <c r="L212">
        <f>IF(OR($IW42=0,calcA!$A$6=0),0,IF(K$117=1,K42,0)+IF(L$117=1,M42,0))</f>
        <v/>
      </c>
      <c r="M212">
        <f>IF(OR($IW42=0,calcA!$A$6=0),0,IF(L$117=1,L42,0)+IF(M$117=1,N42,0))</f>
        <v/>
      </c>
      <c r="N212">
        <f>IF(OR($IW42=0,calcA!$A$6=0),0,IF(M$117=1,M42,0)+IF(N$117=1,O42,0))</f>
        <v/>
      </c>
      <c r="O212">
        <f>IF(OR($IW42=0,calcA!$A$6=0),0,IF(N$117=1,N42,0)+IF(O$117=1,P42,0))</f>
        <v/>
      </c>
      <c r="P212">
        <f>IF(OR($IW42=0,calcA!$A$6=0),0,IF(O$117=1,O42,0)+IF(P$117=1,Q42,0))</f>
        <v/>
      </c>
      <c r="Q212">
        <f>IF(OR($IW42=0,calcA!$A$6=0),0,IF(P$117=1,P42,0)+IF(Q$117=1,R42,0))</f>
        <v/>
      </c>
      <c r="R212">
        <f>IF(OR($IW42=0,calcA!$A$6=0),0,IF(Q$117=1,Q42,0)+IF(R$117=1,S42,0))</f>
        <v/>
      </c>
      <c r="S212">
        <f>IF(OR($IW42=0,calcA!$A$6=0),0,IF(R$117=1,R42,0)+IF(S$117=1,T42,0))</f>
        <v/>
      </c>
      <c r="T212">
        <f>IF(OR($IW42=0,calcA!$A$6=0),0,IF(S$117=1,S42,0)+IF(T$117=1,U42,0))</f>
        <v/>
      </c>
      <c r="U212">
        <f>IF(OR($IW42=0,calcA!$A$6=0),0,IF(T$117=1,T42,0)+IF(U$117=1,V42,0))</f>
        <v/>
      </c>
      <c r="V212">
        <f>IF(OR($IW42=0,calcA!$A$6=0),0,IF(U$117=1,U42,0)+IF(V$117=1,W42,0))</f>
        <v/>
      </c>
      <c r="W212">
        <f>IF(OR($IW42=0,calcA!$A$6=0),0,IF(V$117=1,V42,0)+IF(W$117=1,X42,0))</f>
        <v/>
      </c>
      <c r="X212">
        <f>IF(OR($IW42=0,calcA!$A$6=0),0,IF(W$117=1,W42,0)+IF(X$117=1,Y42,0))</f>
        <v/>
      </c>
      <c r="Y212">
        <f>IF(OR($IW42=0,calcA!$A$6=0),0,IF(X$117=1,X42,0)+IF(Y$117=1,Z42,0))</f>
        <v/>
      </c>
      <c r="Z212">
        <f>IF(OR($IW42=0,calcA!$A$6=0),0,IF(Y$117=1,Y42,0)+IF(Z$117=1,AA42,0))</f>
        <v/>
      </c>
      <c r="AA212">
        <f>IF(OR($IW42=0,calcA!$A$6=0),0,IF(Z$117=1,Z42,0))</f>
        <v/>
      </c>
      <c r="AB212">
        <f>IF(OR($IW42=0,calcA!$A$6=0),0,IF(AB$117=1,AC42,0))</f>
        <v/>
      </c>
      <c r="AC212">
        <f>IF(OR($IW42=0,calcA!$A$6=0),0,IF(AB$117=1,AB42,0)+IF(AC$117=1,AD42,0))</f>
        <v/>
      </c>
      <c r="AD212">
        <f>IF(OR($IW42=0,calcA!$A$6=0),0,IF(AC$117=1,AC42,0)+IF(AD$117=1,AE42,0))</f>
        <v/>
      </c>
      <c r="AE212">
        <f>IF(OR($IW42=0,calcA!$A$6=0),0,IF(AD$117=1,AD42,0)+IF(AE$117=1,AF42,0))</f>
        <v/>
      </c>
      <c r="AF212">
        <f>IF(OR($IW42=0,calcA!$A$6=0),0,IF(AE$117=1,AE42,0)+IF(AF$117=1,AG42,0))</f>
        <v/>
      </c>
      <c r="AG212">
        <f>IF(OR($IW42=0,calcA!$A$6=0),0,IF(AF$117=1,AF42,0)+IF(AG$117=1,AH42,0))</f>
        <v/>
      </c>
      <c r="AH212">
        <f>IF(OR($IW42=0,calcA!$A$6=0),0,IF(AG$117=1,AG42,0)+IF(AH$117=1,AI42,0))</f>
        <v/>
      </c>
      <c r="AI212">
        <f>IF(OR($IW42=0,calcA!$A$6=0),0,IF(AH$117=1,AH42,0)+IF(AI$117=1,AJ42,0))</f>
        <v/>
      </c>
      <c r="AJ212">
        <f>IF(OR($IW42=0,calcA!$A$6=0),0,IF(AI$117=1,AI42,0)+IF(AJ$117=1,AK42,0))</f>
        <v/>
      </c>
      <c r="AK212">
        <f>IF(OR($IW42=0,calcA!$A$6=0),0,IF(AJ$117=1,AJ42,0)+IF(AK$117=1,AL42,0))</f>
        <v/>
      </c>
      <c r="AL212">
        <f>IF(OR($IW42=0,calcA!$A$6=0),0,IF(AK$117=1,AK42,0)+IF(AL$117=1,AM42,0))</f>
        <v/>
      </c>
      <c r="AM212">
        <f>IF(OR($IW42=0,calcA!$A$6=0),0,IF(AL$117=1,AL42,0)+IF(AM$117=1,AN42,0))</f>
        <v/>
      </c>
      <c r="AN212">
        <f>IF(OR($IW42=0,calcA!$A$6=0),0,IF(AM$117=1,AM42,0)+IF(AN$117=1,AO42,0))</f>
        <v/>
      </c>
      <c r="AO212">
        <f>IF(OR($IW42=0,calcA!$A$6=0),0,IF(AN$117=1,AN42,0)+IF(AO$117=1,AP42,0))</f>
        <v/>
      </c>
      <c r="AP212">
        <f>IF(OR($IW42=0,calcA!$A$6=0),0,IF(AO$117=1,AO42,0)+IF(AP$117=1,AQ42,0))</f>
        <v/>
      </c>
      <c r="AQ212">
        <f>IF(OR($IW42=0,calcA!$A$6=0),0,IF(AP$117=1,AP42,0)+IF(AQ$117=1,AR42,0))</f>
        <v/>
      </c>
      <c r="AR212">
        <f>IF(OR($IW42=0,calcA!$A$6=0),0,IF(AQ$117=1,AQ42,0)+IF(AR$117=1,AS42,0))</f>
        <v/>
      </c>
      <c r="AS212">
        <f>IF(OR($IW42=0,calcA!$A$6=0),0,IF(AR$117=1,AR42,0)+IF(AS$117=1,AT42,0))</f>
        <v/>
      </c>
      <c r="AT212">
        <f>IF(OR($IW42=0,calcA!$A$6=0),0,IF(AS$117=1,AS42,0)+IF(AT$117=1,AU42,0))</f>
        <v/>
      </c>
      <c r="AU212">
        <f>IF(OR($IW42=0,calcA!$A$6=0),0,IF(AT$117=1,AT42,0)+IF(AU$117=1,AV42,0))</f>
        <v/>
      </c>
      <c r="AV212">
        <f>IF(OR($IW42=0,calcA!$A$6=0),0,IF(AU$117=1,AU42,0)+IF(AV$117=1,AW42,0))</f>
        <v/>
      </c>
      <c r="AW212">
        <f>IF(OR($IW42=0,calcA!$A$6=0),0,IF(AV$117=1,AV42,0)+IF(AW$117=1,AX42,0))</f>
        <v/>
      </c>
      <c r="AX212">
        <f>IF(OR($IW42=0,calcA!$A$6=0),0,IF(AW$117=1,AW42,0)+IF(AX$117=1,AY42,0))</f>
        <v/>
      </c>
      <c r="AY212">
        <f>IF(OR($IW42=0,calcA!$A$6=0),0,IF(AX$117=1,AX42,0))</f>
        <v/>
      </c>
      <c r="AZ212">
        <f>IF(OR($IW42=0,calcA!$A$6=0),0,IF(AZ$117=1,BA42,0))</f>
        <v/>
      </c>
      <c r="BA212">
        <f>IF(OR($IW42=0,calcA!$A$6=0),0,IF(AZ$117=1,AZ42,0)+IF(BA$117=1,BB42,0))</f>
        <v/>
      </c>
      <c r="BB212">
        <f>IF(OR($IW42=0,calcA!$A$6=0),0,IF(BA$117=1,BA42,0)+IF(BB$117=1,BC42,0))</f>
        <v/>
      </c>
      <c r="BC212">
        <f>IF(OR($IW42=0,calcA!$A$6=0),0,IF(BB$117=1,BB42,0)+IF(BC$117=1,BD42,0))</f>
        <v/>
      </c>
      <c r="BD212">
        <f>IF(OR($IW42=0,calcA!$A$6=0),0,IF(BC$117=1,BC42,0)+IF(BD$117=1,BE42,0))</f>
        <v/>
      </c>
      <c r="BE212">
        <f>IF(OR($IW42=0,calcA!$A$6=0),0,IF(BD$117=1,BD42,0)+IF(BE$117=1,BF42,0))</f>
        <v/>
      </c>
      <c r="BF212">
        <f>IF(OR($IW42=0,calcA!$A$6=0),0,IF(BE$117=1,BE42,0)+IF(BF$117=1,BG42,0))</f>
        <v/>
      </c>
      <c r="BG212">
        <f>IF(OR($IW42=0,calcA!$A$6=0),0,IF(BF$117=1,BF42,0)+IF(BG$117=1,BH42,0))</f>
        <v/>
      </c>
      <c r="BH212">
        <f>IF(OR($IW42=0,calcA!$A$6=0),0,IF(BG$117=1,BG42,0)+IF(BH$117=1,BI42,0))</f>
        <v/>
      </c>
      <c r="BI212">
        <f>IF(OR($IW42=0,calcA!$A$6=0),0,IF(BH$117=1,BH42,0)+IF(BI$117=1,BJ42,0))</f>
        <v/>
      </c>
      <c r="BJ212">
        <f>IF(OR($IW42=0,calcA!$A$6=0),0,IF(BI$117=1,BI42,0)+IF(BJ$117=1,BK42,0))</f>
        <v/>
      </c>
      <c r="BK212">
        <f>IF(OR($IW42=0,calcA!$A$6=0),0,IF(BJ$117=1,BJ42,0)+IF(BK$117=1,BL42,0))</f>
        <v/>
      </c>
      <c r="BL212">
        <f>IF(OR($IW42=0,calcA!$A$6=0),0,IF(BK$117=1,BK42,0)+IF(BL$117=1,BM42,0))</f>
        <v/>
      </c>
      <c r="BM212">
        <f>IF(OR($IW42=0,calcA!$A$6=0),0,IF(BL$117=1,BL42,0)+IF(BM$117=1,BN42,0))</f>
        <v/>
      </c>
      <c r="BN212">
        <f>IF(OR($IW42=0,calcA!$A$6=0),0,IF(BM$117=1,BM42,0)+IF(BN$117=1,BO42,0))</f>
        <v/>
      </c>
      <c r="BO212">
        <f>IF(OR($IW42=0,calcA!$A$6=0),0,IF(BN$117=1,BN42,0)+IF(BO$117=1,BP42,0))</f>
        <v/>
      </c>
      <c r="BP212">
        <f>IF(OR($IW42=0,calcA!$A$6=0),0,IF(BO$117=1,BO42,0)+IF(BP$117=1,BQ42,0))</f>
        <v/>
      </c>
      <c r="BQ212">
        <f>IF(OR($IW42=0,calcA!$A$6=0),0,IF(BP$117=1,BP42,0)+IF(BQ$117=1,BR42,0))</f>
        <v/>
      </c>
      <c r="BR212">
        <f>IF(OR($IW42=0,calcA!$A$6=0),0,IF(BQ$117=1,BQ42,0)+IF(BR$117=1,BS42,0))</f>
        <v/>
      </c>
      <c r="BS212">
        <f>IF(OR($IW42=0,calcA!$A$6=0),0,IF(BR$117=1,BR42,0)+IF(BS$117=1,BT42,0))</f>
        <v/>
      </c>
      <c r="BT212">
        <f>IF(OR($IW42=0,calcA!$A$6=0),0,IF(BS$117=1,BS42,0)+IF(BT$117=1,BU42,0))</f>
        <v/>
      </c>
      <c r="BU212">
        <f>IF(OR($IW42=0,calcA!$A$6=0),0,IF(BT$117=1,BT42,0)+IF(BU$117=1,BV42,0))</f>
        <v/>
      </c>
      <c r="BV212">
        <f>IF(OR($IW42=0,calcA!$A$6=0),0,IF(BU$117=1,BU42,0)+IF(BV$117=1,BW42,0))</f>
        <v/>
      </c>
      <c r="BW212">
        <f>IF(OR($IW42=0,calcA!$A$6=0),0,IF(BV$117=1,BV42,0))</f>
        <v/>
      </c>
      <c r="BX212">
        <f>IF(OR($IW42=0,calcA!$A$6=0),0,IF(BX$117=1,BY42,0))</f>
        <v/>
      </c>
      <c r="BY212">
        <f>IF(OR($IW42=0,calcA!$A$6=0),0,IF(BX$117=1,BX42,0)+IF(BY$117=1,BZ42,0))</f>
        <v/>
      </c>
      <c r="BZ212">
        <f>IF(OR($IW42=0,calcA!$A$6=0),0,IF(BY$117=1,BY42,0)+IF(BZ$117=1,CA42,0))</f>
        <v/>
      </c>
      <c r="CA212">
        <f>IF(OR($IW42=0,calcA!$A$6=0),0,IF(BZ$117=1,BZ42,0)+IF(CA$117=1,CB42,0))</f>
        <v/>
      </c>
      <c r="CB212">
        <f>IF(OR($IW42=0,calcA!$A$6=0),0,IF(CA$117=1,CA42,0)+IF(CB$117=1,CC42,0))</f>
        <v/>
      </c>
      <c r="CC212">
        <f>IF(OR($IW42=0,calcA!$A$6=0),0,IF(CB$117=1,CB42,0)+IF(CC$117=1,CD42,0))</f>
        <v/>
      </c>
      <c r="CD212">
        <f>IF(OR($IW42=0,calcA!$A$6=0),0,IF(CC$117=1,CC42,0)+IF(CD$117=1,CE42,0))</f>
        <v/>
      </c>
      <c r="CE212">
        <f>IF(OR($IW42=0,calcA!$A$6=0),0,IF(CD$117=1,CD42,0)+IF(CE$117=1,CF42,0))</f>
        <v/>
      </c>
      <c r="CF212">
        <f>IF(OR($IW42=0,calcA!$A$6=0),0,IF(CE$117=1,CE42,0)+IF(CF$117=1,CG42,0))</f>
        <v/>
      </c>
      <c r="CG212">
        <f>IF(OR($IW42=0,calcA!$A$6=0),0,IF(CF$117=1,CF42,0)+IF(CG$117=1,CH42,0))</f>
        <v/>
      </c>
      <c r="CH212">
        <f>IF(OR($IW42=0,calcA!$A$6=0),0,IF(CG$117=1,CG42,0)+IF(CH$117=1,CI42,0))</f>
        <v/>
      </c>
      <c r="CI212">
        <f>IF(OR($IW42=0,calcA!$A$6=0),0,IF(CH$117=1,CH42,0)+IF(CI$117=1,CJ42,0))</f>
        <v/>
      </c>
      <c r="CJ212">
        <f>IF(OR($IW42=0,calcA!$A$6=0),0,IF(CI$117=1,CI42,0)+IF(CJ$117=1,CK42,0))</f>
        <v/>
      </c>
      <c r="CK212">
        <f>IF(OR($IW42=0,calcA!$A$6=0),0,IF(CJ$117=1,CJ42,0)+IF(CK$117=1,CL42,0))</f>
        <v/>
      </c>
      <c r="CL212">
        <f>IF(OR($IW42=0,calcA!$A$6=0),0,IF(CK$117=1,CK42,0)+IF(CL$117=1,CM42,0))</f>
        <v/>
      </c>
      <c r="CM212">
        <f>IF(OR($IW42=0,calcA!$A$6=0),0,IF(CL$117=1,CL42,0)+IF(CM$117=1,CN42,0))</f>
        <v/>
      </c>
      <c r="CN212">
        <f>IF(OR($IW42=0,calcA!$A$6=0),0,IF(CM$117=1,CM42,0)+IF(CN$117=1,CO42,0))</f>
        <v/>
      </c>
      <c r="CO212">
        <f>IF(OR($IW42=0,calcA!$A$6=0),0,IF(CN$117=1,CN42,0)+IF(CO$117=1,CP42,0))</f>
        <v/>
      </c>
      <c r="CP212">
        <f>IF(OR($IW42=0,calcA!$A$6=0),0,IF(CO$117=1,CO42,0)+IF(CP$117=1,CQ42,0))</f>
        <v/>
      </c>
      <c r="CQ212">
        <f>IF(OR($IW42=0,calcA!$A$6=0),0,IF(CP$117=1,CP42,0)+IF(CQ$117=1,CR42,0))</f>
        <v/>
      </c>
      <c r="CR212">
        <f>IF(OR($IW42=0,calcA!$A$6=0),0,IF(CQ$117=1,CQ42,0)+IF(CR$117=1,CS42,0))</f>
        <v/>
      </c>
      <c r="CS212">
        <f>IF(OR($IW42=0,calcA!$A$6=0),0,IF(CR$117=1,CR42,0)+IF(CS$117=1,CT42,0))</f>
        <v/>
      </c>
      <c r="CT212">
        <f>IF(OR($IW42=0,calcA!$A$6=0),0,IF(CS$117=1,CS42,0)+IF(CT$117=1,CU42,0))</f>
        <v/>
      </c>
      <c r="CU212">
        <f>IF(OR($IW42=0,calcA!$A$6=0),0,IF(CT$117=1,CT42,0))</f>
        <v/>
      </c>
      <c r="CV212">
        <f>IF(OR($IW42=0,calcA!$A$6=0),0,IF(CV$117=1,CW42,0))</f>
        <v/>
      </c>
      <c r="CW212">
        <f>IF(OR($IW42=0,calcA!$A$6=0),0,IF(CV$117=1,CV42,0)+IF(CW$117=1,CX42,0))</f>
        <v/>
      </c>
      <c r="CX212">
        <f>IF(OR($IW42=0,calcA!$A$6=0),0,IF(CW$117=1,CW42,0)+IF(CX$117=1,CY42,0))</f>
        <v/>
      </c>
      <c r="CY212">
        <f>IF(OR($IW42=0,calcA!$A$6=0),0,IF(CX$117=1,CX42,0)+IF(CY$117=1,CZ42,0))</f>
        <v/>
      </c>
      <c r="CZ212">
        <f>IF(OR($IW42=0,calcA!$A$6=0),0,IF(CY$117=1,CY42,0)+IF(CZ$117=1,DA42,0))</f>
        <v/>
      </c>
      <c r="DA212">
        <f>IF(OR($IW42=0,calcA!$A$6=0),0,IF(CZ$117=1,CZ42,0)+IF(DA$117=1,DB42,0))</f>
        <v/>
      </c>
      <c r="DB212">
        <f>IF(OR($IW42=0,calcA!$A$6=0),0,IF(DA$117=1,DA42,0)+IF(DB$117=1,DC42,0))</f>
        <v/>
      </c>
      <c r="DC212">
        <f>IF(OR($IW42=0,calcA!$A$6=0),0,IF(DB$117=1,DB42,0)+IF(DC$117=1,DD42,0))</f>
        <v/>
      </c>
      <c r="DD212">
        <f>IF(OR($IW42=0,calcA!$A$6=0),0,IF(DC$117=1,DC42,0)+IF(DD$117=1,DE42,0))</f>
        <v/>
      </c>
      <c r="DE212">
        <f>IF(OR($IW42=0,calcA!$A$6=0),0,IF(DD$117=1,DD42,0)+IF(DE$117=1,DF42,0))</f>
        <v/>
      </c>
      <c r="DF212">
        <f>IF(OR($IW42=0,calcA!$A$6=0),0,IF(DE$117=1,DE42,0)+IF(DF$117=1,DG42,0))</f>
        <v/>
      </c>
      <c r="DG212">
        <f>IF(OR($IW42=0,calcA!$A$6=0),0,IF(DF$117=1,DF42,0)+IF(DG$117=1,DH42,0))</f>
        <v/>
      </c>
      <c r="DH212">
        <f>IF(OR($IW42=0,calcA!$A$6=0),0,IF(DG$117=1,DG42,0)+IF(DH$117=1,DI42,0))</f>
        <v/>
      </c>
      <c r="DI212">
        <f>IF(OR($IW42=0,calcA!$A$6=0),0,IF(DH$117=1,DH42,0)+IF(DI$117=1,DJ42,0))</f>
        <v/>
      </c>
      <c r="DJ212">
        <f>IF(OR($IW42=0,calcA!$A$6=0),0,IF(DI$117=1,DI42,0)+IF(DJ$117=1,DK42,0))</f>
        <v/>
      </c>
      <c r="DK212">
        <f>IF(OR($IW42=0,calcA!$A$6=0),0,IF(DJ$117=1,DJ42,0)+IF(DK$117=1,DL42,0))</f>
        <v/>
      </c>
      <c r="DL212">
        <f>IF(OR($IW42=0,calcA!$A$6=0),0,IF(DK$117=1,DK42,0)+IF(DL$117=1,DM42,0))</f>
        <v/>
      </c>
      <c r="DM212">
        <f>IF(OR($IW42=0,calcA!$A$6=0),0,IF(DL$117=1,DL42,0)+IF(DM$117=1,DN42,0))</f>
        <v/>
      </c>
      <c r="DN212">
        <f>IF(OR($IW42=0,calcA!$A$6=0),0,IF(DM$117=1,DM42,0)+IF(DN$117=1,DO42,0))</f>
        <v/>
      </c>
      <c r="DO212">
        <f>IF(OR($IW42=0,calcA!$A$6=0),0,IF(DN$117=1,DN42,0)+IF(DO$117=1,DP42,0))</f>
        <v/>
      </c>
      <c r="DP212">
        <f>IF(OR($IW42=0,calcA!$A$6=0),0,IF(DO$117=1,DO42,0)+IF(DP$117=1,DQ42,0))</f>
        <v/>
      </c>
      <c r="DQ212">
        <f>IF(OR($IW42=0,calcA!$A$6=0),0,IF(DP$117=1,DP42,0)+IF(DQ$117=1,DR42,0))</f>
        <v/>
      </c>
      <c r="DR212">
        <f>IF(OR($IW42=0,calcA!$A$6=0),0,IF(DQ$117=1,DQ42,0)+IF(DR$117=1,DS42,0))</f>
        <v/>
      </c>
      <c r="DS212">
        <f>IF(OR($IW42=0,calcA!$A$6=0),0,IF(DR$117=1,DR42,0))</f>
        <v/>
      </c>
      <c r="DT212">
        <f>IF(OR($IW42=0,calcA!$A$6=0),0,IF(DT$117=1,DU42,0))</f>
        <v/>
      </c>
      <c r="DU212">
        <f>IF(OR($IW42=0,calcA!$A$6=0),0,IF(DT$117=1,DT42,0)+IF(DU$117=1,DV42,0))</f>
        <v/>
      </c>
      <c r="DV212">
        <f>IF(OR($IW42=0,calcA!$A$6=0),0,IF(DU$117=1,DU42,0)+IF(DV$117=1,DW42,0))</f>
        <v/>
      </c>
      <c r="DW212">
        <f>IF(OR($IW42=0,calcA!$A$6=0),0,IF(DV$117=1,DV42,0)+IF(DW$117=1,DX42,0))</f>
        <v/>
      </c>
      <c r="DX212">
        <f>IF(OR($IW42=0,calcA!$A$6=0),0,IF(DW$117=1,DW42,0)+IF(DX$117=1,DY42,0))</f>
        <v/>
      </c>
      <c r="DY212">
        <f>IF(OR($IW42=0,calcA!$A$6=0),0,IF(DX$117=1,DX42,0)+IF(DY$117=1,DZ42,0))</f>
        <v/>
      </c>
      <c r="DZ212">
        <f>IF(OR($IW42=0,calcA!$A$6=0),0,IF(DY$117=1,DY42,0)+IF(DZ$117=1,EA42,0))</f>
        <v/>
      </c>
      <c r="EA212">
        <f>IF(OR($IW42=0,calcA!$A$6=0),0,IF(DZ$117=1,DZ42,0)+IF(EA$117=1,EB42,0))</f>
        <v/>
      </c>
      <c r="EB212">
        <f>IF(OR($IW42=0,calcA!$A$6=0),0,IF(EA$117=1,EA42,0)+IF(EB$117=1,EC42,0))</f>
        <v/>
      </c>
      <c r="EC212">
        <f>IF(OR($IW42=0,calcA!$A$6=0),0,IF(EB$117=1,EB42,0)+IF(EC$117=1,ED42,0))</f>
        <v/>
      </c>
      <c r="ED212">
        <f>IF(OR($IW42=0,calcA!$A$6=0),0,IF(EC$117=1,EC42,0)+IF(ED$117=1,EE42,0))</f>
        <v/>
      </c>
      <c r="EE212">
        <f>IF(OR($IW42=0,calcA!$A$6=0),0,IF(ED$117=1,ED42,0)+IF(EE$117=1,EF42,0))</f>
        <v/>
      </c>
      <c r="EF212">
        <f>IF(OR($IW42=0,calcA!$A$6=0),0,IF(EE$117=1,EE42,0)+IF(EF$117=1,EG42,0))</f>
        <v/>
      </c>
      <c r="EG212">
        <f>IF(OR($IW42=0,calcA!$A$6=0),0,IF(EF$117=1,EF42,0)+IF(EG$117=1,EH42,0))</f>
        <v/>
      </c>
      <c r="EH212">
        <f>IF(OR($IW42=0,calcA!$A$6=0),0,IF(EG$117=1,EG42,0)+IF(EH$117=1,EI42,0))</f>
        <v/>
      </c>
      <c r="EI212">
        <f>IF(OR($IW42=0,calcA!$A$6=0),0,IF(EH$117=1,EH42,0)+IF(EI$117=1,EJ42,0))</f>
        <v/>
      </c>
      <c r="EJ212">
        <f>IF(OR($IW42=0,calcA!$A$6=0),0,IF(EI$117=1,EI42,0)+IF(EJ$117=1,EK42,0))</f>
        <v/>
      </c>
      <c r="EK212">
        <f>IF(OR($IW42=0,calcA!$A$6=0),0,IF(EJ$117=1,EJ42,0)+IF(EK$117=1,EL42,0))</f>
        <v/>
      </c>
      <c r="EL212">
        <f>IF(OR($IW42=0,calcA!$A$6=0),0,IF(EK$117=1,EK42,0)+IF(EL$117=1,EM42,0))</f>
        <v/>
      </c>
      <c r="EM212">
        <f>IF(OR($IW42=0,calcA!$A$6=0),0,IF(EL$117=1,EL42,0)+IF(EM$117=1,EN42,0))</f>
        <v/>
      </c>
      <c r="EN212">
        <f>IF(OR($IW42=0,calcA!$A$6=0),0,IF(EM$117=1,EM42,0)+IF(EN$117=1,EO42,0))</f>
        <v/>
      </c>
      <c r="EO212">
        <f>IF(OR($IW42=0,calcA!$A$6=0),0,IF(EN$117=1,EN42,0)+IF(EO$117=1,EP42,0))</f>
        <v/>
      </c>
      <c r="EP212">
        <f>IF(OR($IW42=0,calcA!$A$6=0),0,IF(EO$117=1,EO42,0)+IF(EP$117=1,EQ42,0))</f>
        <v/>
      </c>
      <c r="EQ212">
        <f>IF(OR($IW42=0,calcA!$A$6=0),0,IF(EP$117=1,EP42,0))</f>
        <v/>
      </c>
    </row>
    <row r="213">
      <c r="D213">
        <f>IF(OR($IW43=0,calcA!$A$6=0),0,IF(D$117=1,E43,0))</f>
        <v/>
      </c>
      <c r="E213">
        <f>IF(OR($IW43=0,calcA!$A$6=0),0,IF(D$117=1,D43,0)+IF(E$117=1,F43,0))</f>
        <v/>
      </c>
      <c r="F213">
        <f>IF(OR($IW43=0,calcA!$A$6=0),0,IF(E$117=1,E43,0)+IF(F$117=1,G43,0))</f>
        <v/>
      </c>
      <c r="G213">
        <f>IF(OR($IW43=0,calcA!$A$6=0),0,IF(F$117=1,F43,0)+IF(G$117=1,H43,0))</f>
        <v/>
      </c>
      <c r="H213">
        <f>IF(OR($IW43=0,calcA!$A$6=0),0,IF(G$117=1,G43,0)+IF(H$117=1,I43,0))</f>
        <v/>
      </c>
      <c r="I213">
        <f>IF(OR($IW43=0,calcA!$A$6=0),0,IF(H$117=1,H43,0)+IF(I$117=1,J43,0))</f>
        <v/>
      </c>
      <c r="J213">
        <f>IF(OR($IW43=0,calcA!$A$6=0),0,IF(I$117=1,I43,0)+IF(J$117=1,K43,0))</f>
        <v/>
      </c>
      <c r="K213">
        <f>IF(OR($IW43=0,calcA!$A$6=0),0,IF(J$117=1,J43,0)+IF(K$117=1,L43,0))</f>
        <v/>
      </c>
      <c r="L213">
        <f>IF(OR($IW43=0,calcA!$A$6=0),0,IF(K$117=1,K43,0)+IF(L$117=1,M43,0))</f>
        <v/>
      </c>
      <c r="M213">
        <f>IF(OR($IW43=0,calcA!$A$6=0),0,IF(L$117=1,L43,0)+IF(M$117=1,N43,0))</f>
        <v/>
      </c>
      <c r="N213">
        <f>IF(OR($IW43=0,calcA!$A$6=0),0,IF(M$117=1,M43,0)+IF(N$117=1,O43,0))</f>
        <v/>
      </c>
      <c r="O213">
        <f>IF(OR($IW43=0,calcA!$A$6=0),0,IF(N$117=1,N43,0)+IF(O$117=1,P43,0))</f>
        <v/>
      </c>
      <c r="P213">
        <f>IF(OR($IW43=0,calcA!$A$6=0),0,IF(O$117=1,O43,0)+IF(P$117=1,Q43,0))</f>
        <v/>
      </c>
      <c r="Q213">
        <f>IF(OR($IW43=0,calcA!$A$6=0),0,IF(P$117=1,P43,0)+IF(Q$117=1,R43,0))</f>
        <v/>
      </c>
      <c r="R213">
        <f>IF(OR($IW43=0,calcA!$A$6=0),0,IF(Q$117=1,Q43,0)+IF(R$117=1,S43,0))</f>
        <v/>
      </c>
      <c r="S213">
        <f>IF(OR($IW43=0,calcA!$A$6=0),0,IF(R$117=1,R43,0)+IF(S$117=1,T43,0))</f>
        <v/>
      </c>
      <c r="T213">
        <f>IF(OR($IW43=0,calcA!$A$6=0),0,IF(S$117=1,S43,0)+IF(T$117=1,U43,0))</f>
        <v/>
      </c>
      <c r="U213">
        <f>IF(OR($IW43=0,calcA!$A$6=0),0,IF(T$117=1,T43,0)+IF(U$117=1,V43,0))</f>
        <v/>
      </c>
      <c r="V213">
        <f>IF(OR($IW43=0,calcA!$A$6=0),0,IF(U$117=1,U43,0)+IF(V$117=1,W43,0))</f>
        <v/>
      </c>
      <c r="W213">
        <f>IF(OR($IW43=0,calcA!$A$6=0),0,IF(V$117=1,V43,0)+IF(W$117=1,X43,0))</f>
        <v/>
      </c>
      <c r="X213">
        <f>IF(OR($IW43=0,calcA!$A$6=0),0,IF(W$117=1,W43,0)+IF(X$117=1,Y43,0))</f>
        <v/>
      </c>
      <c r="Y213">
        <f>IF(OR($IW43=0,calcA!$A$6=0),0,IF(X$117=1,X43,0)+IF(Y$117=1,Z43,0))</f>
        <v/>
      </c>
      <c r="Z213">
        <f>IF(OR($IW43=0,calcA!$A$6=0),0,IF(Y$117=1,Y43,0)+IF(Z$117=1,AA43,0))</f>
        <v/>
      </c>
      <c r="AA213">
        <f>IF(OR($IW43=0,calcA!$A$6=0),0,IF(Z$117=1,Z43,0))</f>
        <v/>
      </c>
      <c r="AB213">
        <f>IF(OR($IW43=0,calcA!$A$6=0),0,IF(AB$117=1,AC43,0))</f>
        <v/>
      </c>
      <c r="AC213">
        <f>IF(OR($IW43=0,calcA!$A$6=0),0,IF(AB$117=1,AB43,0)+IF(AC$117=1,AD43,0))</f>
        <v/>
      </c>
      <c r="AD213">
        <f>IF(OR($IW43=0,calcA!$A$6=0),0,IF(AC$117=1,AC43,0)+IF(AD$117=1,AE43,0))</f>
        <v/>
      </c>
      <c r="AE213">
        <f>IF(OR($IW43=0,calcA!$A$6=0),0,IF(AD$117=1,AD43,0)+IF(AE$117=1,AF43,0))</f>
        <v/>
      </c>
      <c r="AF213">
        <f>IF(OR($IW43=0,calcA!$A$6=0),0,IF(AE$117=1,AE43,0)+IF(AF$117=1,AG43,0))</f>
        <v/>
      </c>
      <c r="AG213">
        <f>IF(OR($IW43=0,calcA!$A$6=0),0,IF(AF$117=1,AF43,0)+IF(AG$117=1,AH43,0))</f>
        <v/>
      </c>
      <c r="AH213">
        <f>IF(OR($IW43=0,calcA!$A$6=0),0,IF(AG$117=1,AG43,0)+IF(AH$117=1,AI43,0))</f>
        <v/>
      </c>
      <c r="AI213">
        <f>IF(OR($IW43=0,calcA!$A$6=0),0,IF(AH$117=1,AH43,0)+IF(AI$117=1,AJ43,0))</f>
        <v/>
      </c>
      <c r="AJ213">
        <f>IF(OR($IW43=0,calcA!$A$6=0),0,IF(AI$117=1,AI43,0)+IF(AJ$117=1,AK43,0))</f>
        <v/>
      </c>
      <c r="AK213">
        <f>IF(OR($IW43=0,calcA!$A$6=0),0,IF(AJ$117=1,AJ43,0)+IF(AK$117=1,AL43,0))</f>
        <v/>
      </c>
      <c r="AL213">
        <f>IF(OR($IW43=0,calcA!$A$6=0),0,IF(AK$117=1,AK43,0)+IF(AL$117=1,AM43,0))</f>
        <v/>
      </c>
      <c r="AM213">
        <f>IF(OR($IW43=0,calcA!$A$6=0),0,IF(AL$117=1,AL43,0)+IF(AM$117=1,AN43,0))</f>
        <v/>
      </c>
      <c r="AN213">
        <f>IF(OR($IW43=0,calcA!$A$6=0),0,IF(AM$117=1,AM43,0)+IF(AN$117=1,AO43,0))</f>
        <v/>
      </c>
      <c r="AO213">
        <f>IF(OR($IW43=0,calcA!$A$6=0),0,IF(AN$117=1,AN43,0)+IF(AO$117=1,AP43,0))</f>
        <v/>
      </c>
      <c r="AP213">
        <f>IF(OR($IW43=0,calcA!$A$6=0),0,IF(AO$117=1,AO43,0)+IF(AP$117=1,AQ43,0))</f>
        <v/>
      </c>
      <c r="AQ213">
        <f>IF(OR($IW43=0,calcA!$A$6=0),0,IF(AP$117=1,AP43,0)+IF(AQ$117=1,AR43,0))</f>
        <v/>
      </c>
      <c r="AR213">
        <f>IF(OR($IW43=0,calcA!$A$6=0),0,IF(AQ$117=1,AQ43,0)+IF(AR$117=1,AS43,0))</f>
        <v/>
      </c>
      <c r="AS213">
        <f>IF(OR($IW43=0,calcA!$A$6=0),0,IF(AR$117=1,AR43,0)+IF(AS$117=1,AT43,0))</f>
        <v/>
      </c>
      <c r="AT213">
        <f>IF(OR($IW43=0,calcA!$A$6=0),0,IF(AS$117=1,AS43,0)+IF(AT$117=1,AU43,0))</f>
        <v/>
      </c>
      <c r="AU213">
        <f>IF(OR($IW43=0,calcA!$A$6=0),0,IF(AT$117=1,AT43,0)+IF(AU$117=1,AV43,0))</f>
        <v/>
      </c>
      <c r="AV213">
        <f>IF(OR($IW43=0,calcA!$A$6=0),0,IF(AU$117=1,AU43,0)+IF(AV$117=1,AW43,0))</f>
        <v/>
      </c>
      <c r="AW213">
        <f>IF(OR($IW43=0,calcA!$A$6=0),0,IF(AV$117=1,AV43,0)+IF(AW$117=1,AX43,0))</f>
        <v/>
      </c>
      <c r="AX213">
        <f>IF(OR($IW43=0,calcA!$A$6=0),0,IF(AW$117=1,AW43,0)+IF(AX$117=1,AY43,0))</f>
        <v/>
      </c>
      <c r="AY213">
        <f>IF(OR($IW43=0,calcA!$A$6=0),0,IF(AX$117=1,AX43,0))</f>
        <v/>
      </c>
      <c r="AZ213">
        <f>IF(OR($IW43=0,calcA!$A$6=0),0,IF(AZ$117=1,BA43,0))</f>
        <v/>
      </c>
      <c r="BA213">
        <f>IF(OR($IW43=0,calcA!$A$6=0),0,IF(AZ$117=1,AZ43,0)+IF(BA$117=1,BB43,0))</f>
        <v/>
      </c>
      <c r="BB213">
        <f>IF(OR($IW43=0,calcA!$A$6=0),0,IF(BA$117=1,BA43,0)+IF(BB$117=1,BC43,0))</f>
        <v/>
      </c>
      <c r="BC213">
        <f>IF(OR($IW43=0,calcA!$A$6=0),0,IF(BB$117=1,BB43,0)+IF(BC$117=1,BD43,0))</f>
        <v/>
      </c>
      <c r="BD213">
        <f>IF(OR($IW43=0,calcA!$A$6=0),0,IF(BC$117=1,BC43,0)+IF(BD$117=1,BE43,0))</f>
        <v/>
      </c>
      <c r="BE213">
        <f>IF(OR($IW43=0,calcA!$A$6=0),0,IF(BD$117=1,BD43,0)+IF(BE$117=1,BF43,0))</f>
        <v/>
      </c>
      <c r="BF213">
        <f>IF(OR($IW43=0,calcA!$A$6=0),0,IF(BE$117=1,BE43,0)+IF(BF$117=1,BG43,0))</f>
        <v/>
      </c>
      <c r="BG213">
        <f>IF(OR($IW43=0,calcA!$A$6=0),0,IF(BF$117=1,BF43,0)+IF(BG$117=1,BH43,0))</f>
        <v/>
      </c>
      <c r="BH213">
        <f>IF(OR($IW43=0,calcA!$A$6=0),0,IF(BG$117=1,BG43,0)+IF(BH$117=1,BI43,0))</f>
        <v/>
      </c>
      <c r="BI213">
        <f>IF(OR($IW43=0,calcA!$A$6=0),0,IF(BH$117=1,BH43,0)+IF(BI$117=1,BJ43,0))</f>
        <v/>
      </c>
      <c r="BJ213">
        <f>IF(OR($IW43=0,calcA!$A$6=0),0,IF(BI$117=1,BI43,0)+IF(BJ$117=1,BK43,0))</f>
        <v/>
      </c>
      <c r="BK213">
        <f>IF(OR($IW43=0,calcA!$A$6=0),0,IF(BJ$117=1,BJ43,0)+IF(BK$117=1,BL43,0))</f>
        <v/>
      </c>
      <c r="BL213">
        <f>IF(OR($IW43=0,calcA!$A$6=0),0,IF(BK$117=1,BK43,0)+IF(BL$117=1,BM43,0))</f>
        <v/>
      </c>
      <c r="BM213">
        <f>IF(OR($IW43=0,calcA!$A$6=0),0,IF(BL$117=1,BL43,0)+IF(BM$117=1,BN43,0))</f>
        <v/>
      </c>
      <c r="BN213">
        <f>IF(OR($IW43=0,calcA!$A$6=0),0,IF(BM$117=1,BM43,0)+IF(BN$117=1,BO43,0))</f>
        <v/>
      </c>
      <c r="BO213">
        <f>IF(OR($IW43=0,calcA!$A$6=0),0,IF(BN$117=1,BN43,0)+IF(BO$117=1,BP43,0))</f>
        <v/>
      </c>
      <c r="BP213">
        <f>IF(OR($IW43=0,calcA!$A$6=0),0,IF(BO$117=1,BO43,0)+IF(BP$117=1,BQ43,0))</f>
        <v/>
      </c>
      <c r="BQ213">
        <f>IF(OR($IW43=0,calcA!$A$6=0),0,IF(BP$117=1,BP43,0)+IF(BQ$117=1,BR43,0))</f>
        <v/>
      </c>
      <c r="BR213">
        <f>IF(OR($IW43=0,calcA!$A$6=0),0,IF(BQ$117=1,BQ43,0)+IF(BR$117=1,BS43,0))</f>
        <v/>
      </c>
      <c r="BS213">
        <f>IF(OR($IW43=0,calcA!$A$6=0),0,IF(BR$117=1,BR43,0)+IF(BS$117=1,BT43,0))</f>
        <v/>
      </c>
      <c r="BT213">
        <f>IF(OR($IW43=0,calcA!$A$6=0),0,IF(BS$117=1,BS43,0)+IF(BT$117=1,BU43,0))</f>
        <v/>
      </c>
      <c r="BU213">
        <f>IF(OR($IW43=0,calcA!$A$6=0),0,IF(BT$117=1,BT43,0)+IF(BU$117=1,BV43,0))</f>
        <v/>
      </c>
      <c r="BV213">
        <f>IF(OR($IW43=0,calcA!$A$6=0),0,IF(BU$117=1,BU43,0)+IF(BV$117=1,BW43,0))</f>
        <v/>
      </c>
      <c r="BW213">
        <f>IF(OR($IW43=0,calcA!$A$6=0),0,IF(BV$117=1,BV43,0))</f>
        <v/>
      </c>
      <c r="BX213">
        <f>IF(OR($IW43=0,calcA!$A$6=0),0,IF(BX$117=1,BY43,0))</f>
        <v/>
      </c>
      <c r="BY213">
        <f>IF(OR($IW43=0,calcA!$A$6=0),0,IF(BX$117=1,BX43,0)+IF(BY$117=1,BZ43,0))</f>
        <v/>
      </c>
      <c r="BZ213">
        <f>IF(OR($IW43=0,calcA!$A$6=0),0,IF(BY$117=1,BY43,0)+IF(BZ$117=1,CA43,0))</f>
        <v/>
      </c>
      <c r="CA213">
        <f>IF(OR($IW43=0,calcA!$A$6=0),0,IF(BZ$117=1,BZ43,0)+IF(CA$117=1,CB43,0))</f>
        <v/>
      </c>
      <c r="CB213">
        <f>IF(OR($IW43=0,calcA!$A$6=0),0,IF(CA$117=1,CA43,0)+IF(CB$117=1,CC43,0))</f>
        <v/>
      </c>
      <c r="CC213">
        <f>IF(OR($IW43=0,calcA!$A$6=0),0,IF(CB$117=1,CB43,0)+IF(CC$117=1,CD43,0))</f>
        <v/>
      </c>
      <c r="CD213">
        <f>IF(OR($IW43=0,calcA!$A$6=0),0,IF(CC$117=1,CC43,0)+IF(CD$117=1,CE43,0))</f>
        <v/>
      </c>
      <c r="CE213">
        <f>IF(OR($IW43=0,calcA!$A$6=0),0,IF(CD$117=1,CD43,0)+IF(CE$117=1,CF43,0))</f>
        <v/>
      </c>
      <c r="CF213">
        <f>IF(OR($IW43=0,calcA!$A$6=0),0,IF(CE$117=1,CE43,0)+IF(CF$117=1,CG43,0))</f>
        <v/>
      </c>
      <c r="CG213">
        <f>IF(OR($IW43=0,calcA!$A$6=0),0,IF(CF$117=1,CF43,0)+IF(CG$117=1,CH43,0))</f>
        <v/>
      </c>
      <c r="CH213">
        <f>IF(OR($IW43=0,calcA!$A$6=0),0,IF(CG$117=1,CG43,0)+IF(CH$117=1,CI43,0))</f>
        <v/>
      </c>
      <c r="CI213">
        <f>IF(OR($IW43=0,calcA!$A$6=0),0,IF(CH$117=1,CH43,0)+IF(CI$117=1,CJ43,0))</f>
        <v/>
      </c>
      <c r="CJ213">
        <f>IF(OR($IW43=0,calcA!$A$6=0),0,IF(CI$117=1,CI43,0)+IF(CJ$117=1,CK43,0))</f>
        <v/>
      </c>
      <c r="CK213">
        <f>IF(OR($IW43=0,calcA!$A$6=0),0,IF(CJ$117=1,CJ43,0)+IF(CK$117=1,CL43,0))</f>
        <v/>
      </c>
      <c r="CL213">
        <f>IF(OR($IW43=0,calcA!$A$6=0),0,IF(CK$117=1,CK43,0)+IF(CL$117=1,CM43,0))</f>
        <v/>
      </c>
      <c r="CM213">
        <f>IF(OR($IW43=0,calcA!$A$6=0),0,IF(CL$117=1,CL43,0)+IF(CM$117=1,CN43,0))</f>
        <v/>
      </c>
      <c r="CN213">
        <f>IF(OR($IW43=0,calcA!$A$6=0),0,IF(CM$117=1,CM43,0)+IF(CN$117=1,CO43,0))</f>
        <v/>
      </c>
      <c r="CO213">
        <f>IF(OR($IW43=0,calcA!$A$6=0),0,IF(CN$117=1,CN43,0)+IF(CO$117=1,CP43,0))</f>
        <v/>
      </c>
      <c r="CP213">
        <f>IF(OR($IW43=0,calcA!$A$6=0),0,IF(CO$117=1,CO43,0)+IF(CP$117=1,CQ43,0))</f>
        <v/>
      </c>
      <c r="CQ213">
        <f>IF(OR($IW43=0,calcA!$A$6=0),0,IF(CP$117=1,CP43,0)+IF(CQ$117=1,CR43,0))</f>
        <v/>
      </c>
      <c r="CR213">
        <f>IF(OR($IW43=0,calcA!$A$6=0),0,IF(CQ$117=1,CQ43,0)+IF(CR$117=1,CS43,0))</f>
        <v/>
      </c>
      <c r="CS213">
        <f>IF(OR($IW43=0,calcA!$A$6=0),0,IF(CR$117=1,CR43,0)+IF(CS$117=1,CT43,0))</f>
        <v/>
      </c>
      <c r="CT213">
        <f>IF(OR($IW43=0,calcA!$A$6=0),0,IF(CS$117=1,CS43,0)+IF(CT$117=1,CU43,0))</f>
        <v/>
      </c>
      <c r="CU213">
        <f>IF(OR($IW43=0,calcA!$A$6=0),0,IF(CT$117=1,CT43,0))</f>
        <v/>
      </c>
      <c r="CV213">
        <f>IF(OR($IW43=0,calcA!$A$6=0),0,IF(CV$117=1,CW43,0))</f>
        <v/>
      </c>
      <c r="CW213">
        <f>IF(OR($IW43=0,calcA!$A$6=0),0,IF(CV$117=1,CV43,0)+IF(CW$117=1,CX43,0))</f>
        <v/>
      </c>
      <c r="CX213">
        <f>IF(OR($IW43=0,calcA!$A$6=0),0,IF(CW$117=1,CW43,0)+IF(CX$117=1,CY43,0))</f>
        <v/>
      </c>
      <c r="CY213">
        <f>IF(OR($IW43=0,calcA!$A$6=0),0,IF(CX$117=1,CX43,0)+IF(CY$117=1,CZ43,0))</f>
        <v/>
      </c>
      <c r="CZ213">
        <f>IF(OR($IW43=0,calcA!$A$6=0),0,IF(CY$117=1,CY43,0)+IF(CZ$117=1,DA43,0))</f>
        <v/>
      </c>
      <c r="DA213">
        <f>IF(OR($IW43=0,calcA!$A$6=0),0,IF(CZ$117=1,CZ43,0)+IF(DA$117=1,DB43,0))</f>
        <v/>
      </c>
      <c r="DB213">
        <f>IF(OR($IW43=0,calcA!$A$6=0),0,IF(DA$117=1,DA43,0)+IF(DB$117=1,DC43,0))</f>
        <v/>
      </c>
      <c r="DC213">
        <f>IF(OR($IW43=0,calcA!$A$6=0),0,IF(DB$117=1,DB43,0)+IF(DC$117=1,DD43,0))</f>
        <v/>
      </c>
      <c r="DD213">
        <f>IF(OR($IW43=0,calcA!$A$6=0),0,IF(DC$117=1,DC43,0)+IF(DD$117=1,DE43,0))</f>
        <v/>
      </c>
      <c r="DE213">
        <f>IF(OR($IW43=0,calcA!$A$6=0),0,IF(DD$117=1,DD43,0)+IF(DE$117=1,DF43,0))</f>
        <v/>
      </c>
      <c r="DF213">
        <f>IF(OR($IW43=0,calcA!$A$6=0),0,IF(DE$117=1,DE43,0)+IF(DF$117=1,DG43,0))</f>
        <v/>
      </c>
      <c r="DG213">
        <f>IF(OR($IW43=0,calcA!$A$6=0),0,IF(DF$117=1,DF43,0)+IF(DG$117=1,DH43,0))</f>
        <v/>
      </c>
      <c r="DH213">
        <f>IF(OR($IW43=0,calcA!$A$6=0),0,IF(DG$117=1,DG43,0)+IF(DH$117=1,DI43,0))</f>
        <v/>
      </c>
      <c r="DI213">
        <f>IF(OR($IW43=0,calcA!$A$6=0),0,IF(DH$117=1,DH43,0)+IF(DI$117=1,DJ43,0))</f>
        <v/>
      </c>
      <c r="DJ213">
        <f>IF(OR($IW43=0,calcA!$A$6=0),0,IF(DI$117=1,DI43,0)+IF(DJ$117=1,DK43,0))</f>
        <v/>
      </c>
      <c r="DK213">
        <f>IF(OR($IW43=0,calcA!$A$6=0),0,IF(DJ$117=1,DJ43,0)+IF(DK$117=1,DL43,0))</f>
        <v/>
      </c>
      <c r="DL213">
        <f>IF(OR($IW43=0,calcA!$A$6=0),0,IF(DK$117=1,DK43,0)+IF(DL$117=1,DM43,0))</f>
        <v/>
      </c>
      <c r="DM213">
        <f>IF(OR($IW43=0,calcA!$A$6=0),0,IF(DL$117=1,DL43,0)+IF(DM$117=1,DN43,0))</f>
        <v/>
      </c>
      <c r="DN213">
        <f>IF(OR($IW43=0,calcA!$A$6=0),0,IF(DM$117=1,DM43,0)+IF(DN$117=1,DO43,0))</f>
        <v/>
      </c>
      <c r="DO213">
        <f>IF(OR($IW43=0,calcA!$A$6=0),0,IF(DN$117=1,DN43,0)+IF(DO$117=1,DP43,0))</f>
        <v/>
      </c>
      <c r="DP213">
        <f>IF(OR($IW43=0,calcA!$A$6=0),0,IF(DO$117=1,DO43,0)+IF(DP$117=1,DQ43,0))</f>
        <v/>
      </c>
      <c r="DQ213">
        <f>IF(OR($IW43=0,calcA!$A$6=0),0,IF(DP$117=1,DP43,0)+IF(DQ$117=1,DR43,0))</f>
        <v/>
      </c>
      <c r="DR213">
        <f>IF(OR($IW43=0,calcA!$A$6=0),0,IF(DQ$117=1,DQ43,0)+IF(DR$117=1,DS43,0))</f>
        <v/>
      </c>
      <c r="DS213">
        <f>IF(OR($IW43=0,calcA!$A$6=0),0,IF(DR$117=1,DR43,0))</f>
        <v/>
      </c>
      <c r="DT213">
        <f>IF(OR($IW43=0,calcA!$A$6=0),0,IF(DT$117=1,DU43,0))</f>
        <v/>
      </c>
      <c r="DU213">
        <f>IF(OR($IW43=0,calcA!$A$6=0),0,IF(DT$117=1,DT43,0)+IF(DU$117=1,DV43,0))</f>
        <v/>
      </c>
      <c r="DV213">
        <f>IF(OR($IW43=0,calcA!$A$6=0),0,IF(DU$117=1,DU43,0)+IF(DV$117=1,DW43,0))</f>
        <v/>
      </c>
      <c r="DW213">
        <f>IF(OR($IW43=0,calcA!$A$6=0),0,IF(DV$117=1,DV43,0)+IF(DW$117=1,DX43,0))</f>
        <v/>
      </c>
      <c r="DX213">
        <f>IF(OR($IW43=0,calcA!$A$6=0),0,IF(DW$117=1,DW43,0)+IF(DX$117=1,DY43,0))</f>
        <v/>
      </c>
      <c r="DY213">
        <f>IF(OR($IW43=0,calcA!$A$6=0),0,IF(DX$117=1,DX43,0)+IF(DY$117=1,DZ43,0))</f>
        <v/>
      </c>
      <c r="DZ213">
        <f>IF(OR($IW43=0,calcA!$A$6=0),0,IF(DY$117=1,DY43,0)+IF(DZ$117=1,EA43,0))</f>
        <v/>
      </c>
      <c r="EA213">
        <f>IF(OR($IW43=0,calcA!$A$6=0),0,IF(DZ$117=1,DZ43,0)+IF(EA$117=1,EB43,0))</f>
        <v/>
      </c>
      <c r="EB213">
        <f>IF(OR($IW43=0,calcA!$A$6=0),0,IF(EA$117=1,EA43,0)+IF(EB$117=1,EC43,0))</f>
        <v/>
      </c>
      <c r="EC213">
        <f>IF(OR($IW43=0,calcA!$A$6=0),0,IF(EB$117=1,EB43,0)+IF(EC$117=1,ED43,0))</f>
        <v/>
      </c>
      <c r="ED213">
        <f>IF(OR($IW43=0,calcA!$A$6=0),0,IF(EC$117=1,EC43,0)+IF(ED$117=1,EE43,0))</f>
        <v/>
      </c>
      <c r="EE213">
        <f>IF(OR($IW43=0,calcA!$A$6=0),0,IF(ED$117=1,ED43,0)+IF(EE$117=1,EF43,0))</f>
        <v/>
      </c>
      <c r="EF213">
        <f>IF(OR($IW43=0,calcA!$A$6=0),0,IF(EE$117=1,EE43,0)+IF(EF$117=1,EG43,0))</f>
        <v/>
      </c>
      <c r="EG213">
        <f>IF(OR($IW43=0,calcA!$A$6=0),0,IF(EF$117=1,EF43,0)+IF(EG$117=1,EH43,0))</f>
        <v/>
      </c>
      <c r="EH213">
        <f>IF(OR($IW43=0,calcA!$A$6=0),0,IF(EG$117=1,EG43,0)+IF(EH$117=1,EI43,0))</f>
        <v/>
      </c>
      <c r="EI213">
        <f>IF(OR($IW43=0,calcA!$A$6=0),0,IF(EH$117=1,EH43,0)+IF(EI$117=1,EJ43,0))</f>
        <v/>
      </c>
      <c r="EJ213">
        <f>IF(OR($IW43=0,calcA!$A$6=0),0,IF(EI$117=1,EI43,0)+IF(EJ$117=1,EK43,0))</f>
        <v/>
      </c>
      <c r="EK213">
        <f>IF(OR($IW43=0,calcA!$A$6=0),0,IF(EJ$117=1,EJ43,0)+IF(EK$117=1,EL43,0))</f>
        <v/>
      </c>
      <c r="EL213">
        <f>IF(OR($IW43=0,calcA!$A$6=0),0,IF(EK$117=1,EK43,0)+IF(EL$117=1,EM43,0))</f>
        <v/>
      </c>
      <c r="EM213">
        <f>IF(OR($IW43=0,calcA!$A$6=0),0,IF(EL$117=1,EL43,0)+IF(EM$117=1,EN43,0))</f>
        <v/>
      </c>
      <c r="EN213">
        <f>IF(OR($IW43=0,calcA!$A$6=0),0,IF(EM$117=1,EM43,0)+IF(EN$117=1,EO43,0))</f>
        <v/>
      </c>
      <c r="EO213">
        <f>IF(OR($IW43=0,calcA!$A$6=0),0,IF(EN$117=1,EN43,0)+IF(EO$117=1,EP43,0))</f>
        <v/>
      </c>
      <c r="EP213">
        <f>IF(OR($IW43=0,calcA!$A$6=0),0,IF(EO$117=1,EO43,0)+IF(EP$117=1,EQ43,0))</f>
        <v/>
      </c>
      <c r="EQ213">
        <f>IF(OR($IW43=0,calcA!$A$6=0),0,IF(EP$117=1,EP43,0))</f>
        <v/>
      </c>
    </row>
    <row r="214">
      <c r="D214">
        <f>IF(OR($IW44=0,calcA!$A$6=0),0,IF(D$117=1,E44,0))</f>
        <v/>
      </c>
      <c r="E214">
        <f>IF(OR($IW44=0,calcA!$A$6=0),0,IF(D$117=1,D44,0)+IF(E$117=1,F44,0))</f>
        <v/>
      </c>
      <c r="F214">
        <f>IF(OR($IW44=0,calcA!$A$6=0),0,IF(E$117=1,E44,0)+IF(F$117=1,G44,0))</f>
        <v/>
      </c>
      <c r="G214">
        <f>IF(OR($IW44=0,calcA!$A$6=0),0,IF(F$117=1,F44,0)+IF(G$117=1,H44,0))</f>
        <v/>
      </c>
      <c r="H214">
        <f>IF(OR($IW44=0,calcA!$A$6=0),0,IF(G$117=1,G44,0)+IF(H$117=1,I44,0))</f>
        <v/>
      </c>
      <c r="I214">
        <f>IF(OR($IW44=0,calcA!$A$6=0),0,IF(H$117=1,H44,0)+IF(I$117=1,J44,0))</f>
        <v/>
      </c>
      <c r="J214">
        <f>IF(OR($IW44=0,calcA!$A$6=0),0,IF(I$117=1,I44,0)+IF(J$117=1,K44,0))</f>
        <v/>
      </c>
      <c r="K214">
        <f>IF(OR($IW44=0,calcA!$A$6=0),0,IF(J$117=1,J44,0)+IF(K$117=1,L44,0))</f>
        <v/>
      </c>
      <c r="L214">
        <f>IF(OR($IW44=0,calcA!$A$6=0),0,IF(K$117=1,K44,0)+IF(L$117=1,M44,0))</f>
        <v/>
      </c>
      <c r="M214">
        <f>IF(OR($IW44=0,calcA!$A$6=0),0,IF(L$117=1,L44,0)+IF(M$117=1,N44,0))</f>
        <v/>
      </c>
      <c r="N214">
        <f>IF(OR($IW44=0,calcA!$A$6=0),0,IF(M$117=1,M44,0)+IF(N$117=1,O44,0))</f>
        <v/>
      </c>
      <c r="O214">
        <f>IF(OR($IW44=0,calcA!$A$6=0),0,IF(N$117=1,N44,0)+IF(O$117=1,P44,0))</f>
        <v/>
      </c>
      <c r="P214">
        <f>IF(OR($IW44=0,calcA!$A$6=0),0,IF(O$117=1,O44,0)+IF(P$117=1,Q44,0))</f>
        <v/>
      </c>
      <c r="Q214">
        <f>IF(OR($IW44=0,calcA!$A$6=0),0,IF(P$117=1,P44,0)+IF(Q$117=1,R44,0))</f>
        <v/>
      </c>
      <c r="R214">
        <f>IF(OR($IW44=0,calcA!$A$6=0),0,IF(Q$117=1,Q44,0)+IF(R$117=1,S44,0))</f>
        <v/>
      </c>
      <c r="S214">
        <f>IF(OR($IW44=0,calcA!$A$6=0),0,IF(R$117=1,R44,0)+IF(S$117=1,T44,0))</f>
        <v/>
      </c>
      <c r="T214">
        <f>IF(OR($IW44=0,calcA!$A$6=0),0,IF(S$117=1,S44,0)+IF(T$117=1,U44,0))</f>
        <v/>
      </c>
      <c r="U214">
        <f>IF(OR($IW44=0,calcA!$A$6=0),0,IF(T$117=1,T44,0)+IF(U$117=1,V44,0))</f>
        <v/>
      </c>
      <c r="V214">
        <f>IF(OR($IW44=0,calcA!$A$6=0),0,IF(U$117=1,U44,0)+IF(V$117=1,W44,0))</f>
        <v/>
      </c>
      <c r="W214">
        <f>IF(OR($IW44=0,calcA!$A$6=0),0,IF(V$117=1,V44,0)+IF(W$117=1,X44,0))</f>
        <v/>
      </c>
      <c r="X214">
        <f>IF(OR($IW44=0,calcA!$A$6=0),0,IF(W$117=1,W44,0)+IF(X$117=1,Y44,0))</f>
        <v/>
      </c>
      <c r="Y214">
        <f>IF(OR($IW44=0,calcA!$A$6=0),0,IF(X$117=1,X44,0)+IF(Y$117=1,Z44,0))</f>
        <v/>
      </c>
      <c r="Z214">
        <f>IF(OR($IW44=0,calcA!$A$6=0),0,IF(Y$117=1,Y44,0)+IF(Z$117=1,AA44,0))</f>
        <v/>
      </c>
      <c r="AA214">
        <f>IF(OR($IW44=0,calcA!$A$6=0),0,IF(Z$117=1,Z44,0))</f>
        <v/>
      </c>
      <c r="AB214">
        <f>IF(OR($IW44=0,calcA!$A$6=0),0,IF(AB$117=1,AC44,0))</f>
        <v/>
      </c>
      <c r="AC214">
        <f>IF(OR($IW44=0,calcA!$A$6=0),0,IF(AB$117=1,AB44,0)+IF(AC$117=1,AD44,0))</f>
        <v/>
      </c>
      <c r="AD214">
        <f>IF(OR($IW44=0,calcA!$A$6=0),0,IF(AC$117=1,AC44,0)+IF(AD$117=1,AE44,0))</f>
        <v/>
      </c>
      <c r="AE214">
        <f>IF(OR($IW44=0,calcA!$A$6=0),0,IF(AD$117=1,AD44,0)+IF(AE$117=1,AF44,0))</f>
        <v/>
      </c>
      <c r="AF214">
        <f>IF(OR($IW44=0,calcA!$A$6=0),0,IF(AE$117=1,AE44,0)+IF(AF$117=1,AG44,0))</f>
        <v/>
      </c>
      <c r="AG214">
        <f>IF(OR($IW44=0,calcA!$A$6=0),0,IF(AF$117=1,AF44,0)+IF(AG$117=1,AH44,0))</f>
        <v/>
      </c>
      <c r="AH214">
        <f>IF(OR($IW44=0,calcA!$A$6=0),0,IF(AG$117=1,AG44,0)+IF(AH$117=1,AI44,0))</f>
        <v/>
      </c>
      <c r="AI214">
        <f>IF(OR($IW44=0,calcA!$A$6=0),0,IF(AH$117=1,AH44,0)+IF(AI$117=1,AJ44,0))</f>
        <v/>
      </c>
      <c r="AJ214">
        <f>IF(OR($IW44=0,calcA!$A$6=0),0,IF(AI$117=1,AI44,0)+IF(AJ$117=1,AK44,0))</f>
        <v/>
      </c>
      <c r="AK214">
        <f>IF(OR($IW44=0,calcA!$A$6=0),0,IF(AJ$117=1,AJ44,0)+IF(AK$117=1,AL44,0))</f>
        <v/>
      </c>
      <c r="AL214">
        <f>IF(OR($IW44=0,calcA!$A$6=0),0,IF(AK$117=1,AK44,0)+IF(AL$117=1,AM44,0))</f>
        <v/>
      </c>
      <c r="AM214">
        <f>IF(OR($IW44=0,calcA!$A$6=0),0,IF(AL$117=1,AL44,0)+IF(AM$117=1,AN44,0))</f>
        <v/>
      </c>
      <c r="AN214">
        <f>IF(OR($IW44=0,calcA!$A$6=0),0,IF(AM$117=1,AM44,0)+IF(AN$117=1,AO44,0))</f>
        <v/>
      </c>
      <c r="AO214">
        <f>IF(OR($IW44=0,calcA!$A$6=0),0,IF(AN$117=1,AN44,0)+IF(AO$117=1,AP44,0))</f>
        <v/>
      </c>
      <c r="AP214">
        <f>IF(OR($IW44=0,calcA!$A$6=0),0,IF(AO$117=1,AO44,0)+IF(AP$117=1,AQ44,0))</f>
        <v/>
      </c>
      <c r="AQ214">
        <f>IF(OR($IW44=0,calcA!$A$6=0),0,IF(AP$117=1,AP44,0)+IF(AQ$117=1,AR44,0))</f>
        <v/>
      </c>
      <c r="AR214">
        <f>IF(OR($IW44=0,calcA!$A$6=0),0,IF(AQ$117=1,AQ44,0)+IF(AR$117=1,AS44,0))</f>
        <v/>
      </c>
      <c r="AS214">
        <f>IF(OR($IW44=0,calcA!$A$6=0),0,IF(AR$117=1,AR44,0)+IF(AS$117=1,AT44,0))</f>
        <v/>
      </c>
      <c r="AT214">
        <f>IF(OR($IW44=0,calcA!$A$6=0),0,IF(AS$117=1,AS44,0)+IF(AT$117=1,AU44,0))</f>
        <v/>
      </c>
      <c r="AU214">
        <f>IF(OR($IW44=0,calcA!$A$6=0),0,IF(AT$117=1,AT44,0)+IF(AU$117=1,AV44,0))</f>
        <v/>
      </c>
      <c r="AV214">
        <f>IF(OR($IW44=0,calcA!$A$6=0),0,IF(AU$117=1,AU44,0)+IF(AV$117=1,AW44,0))</f>
        <v/>
      </c>
      <c r="AW214">
        <f>IF(OR($IW44=0,calcA!$A$6=0),0,IF(AV$117=1,AV44,0)+IF(AW$117=1,AX44,0))</f>
        <v/>
      </c>
      <c r="AX214">
        <f>IF(OR($IW44=0,calcA!$A$6=0),0,IF(AW$117=1,AW44,0)+IF(AX$117=1,AY44,0))</f>
        <v/>
      </c>
      <c r="AY214">
        <f>IF(OR($IW44=0,calcA!$A$6=0),0,IF(AX$117=1,AX44,0))</f>
        <v/>
      </c>
      <c r="AZ214">
        <f>IF(OR($IW44=0,calcA!$A$6=0),0,IF(AZ$117=1,BA44,0))</f>
        <v/>
      </c>
      <c r="BA214">
        <f>IF(OR($IW44=0,calcA!$A$6=0),0,IF(AZ$117=1,AZ44,0)+IF(BA$117=1,BB44,0))</f>
        <v/>
      </c>
      <c r="BB214">
        <f>IF(OR($IW44=0,calcA!$A$6=0),0,IF(BA$117=1,BA44,0)+IF(BB$117=1,BC44,0))</f>
        <v/>
      </c>
      <c r="BC214">
        <f>IF(OR($IW44=0,calcA!$A$6=0),0,IF(BB$117=1,BB44,0)+IF(BC$117=1,BD44,0))</f>
        <v/>
      </c>
      <c r="BD214">
        <f>IF(OR($IW44=0,calcA!$A$6=0),0,IF(BC$117=1,BC44,0)+IF(BD$117=1,BE44,0))</f>
        <v/>
      </c>
      <c r="BE214">
        <f>IF(OR($IW44=0,calcA!$A$6=0),0,IF(BD$117=1,BD44,0)+IF(BE$117=1,BF44,0))</f>
        <v/>
      </c>
      <c r="BF214">
        <f>IF(OR($IW44=0,calcA!$A$6=0),0,IF(BE$117=1,BE44,0)+IF(BF$117=1,BG44,0))</f>
        <v/>
      </c>
      <c r="BG214">
        <f>IF(OR($IW44=0,calcA!$A$6=0),0,IF(BF$117=1,BF44,0)+IF(BG$117=1,BH44,0))</f>
        <v/>
      </c>
      <c r="BH214">
        <f>IF(OR($IW44=0,calcA!$A$6=0),0,IF(BG$117=1,BG44,0)+IF(BH$117=1,BI44,0))</f>
        <v/>
      </c>
      <c r="BI214">
        <f>IF(OR($IW44=0,calcA!$A$6=0),0,IF(BH$117=1,BH44,0)+IF(BI$117=1,BJ44,0))</f>
        <v/>
      </c>
      <c r="BJ214">
        <f>IF(OR($IW44=0,calcA!$A$6=0),0,IF(BI$117=1,BI44,0)+IF(BJ$117=1,BK44,0))</f>
        <v/>
      </c>
      <c r="BK214">
        <f>IF(OR($IW44=0,calcA!$A$6=0),0,IF(BJ$117=1,BJ44,0)+IF(BK$117=1,BL44,0))</f>
        <v/>
      </c>
      <c r="BL214">
        <f>IF(OR($IW44=0,calcA!$A$6=0),0,IF(BK$117=1,BK44,0)+IF(BL$117=1,BM44,0))</f>
        <v/>
      </c>
      <c r="BM214">
        <f>IF(OR($IW44=0,calcA!$A$6=0),0,IF(BL$117=1,BL44,0)+IF(BM$117=1,BN44,0))</f>
        <v/>
      </c>
      <c r="BN214">
        <f>IF(OR($IW44=0,calcA!$A$6=0),0,IF(BM$117=1,BM44,0)+IF(BN$117=1,BO44,0))</f>
        <v/>
      </c>
      <c r="BO214">
        <f>IF(OR($IW44=0,calcA!$A$6=0),0,IF(BN$117=1,BN44,0)+IF(BO$117=1,BP44,0))</f>
        <v/>
      </c>
      <c r="BP214">
        <f>IF(OR($IW44=0,calcA!$A$6=0),0,IF(BO$117=1,BO44,0)+IF(BP$117=1,BQ44,0))</f>
        <v/>
      </c>
      <c r="BQ214">
        <f>IF(OR($IW44=0,calcA!$A$6=0),0,IF(BP$117=1,BP44,0)+IF(BQ$117=1,BR44,0))</f>
        <v/>
      </c>
      <c r="BR214">
        <f>IF(OR($IW44=0,calcA!$A$6=0),0,IF(BQ$117=1,BQ44,0)+IF(BR$117=1,BS44,0))</f>
        <v/>
      </c>
      <c r="BS214">
        <f>IF(OR($IW44=0,calcA!$A$6=0),0,IF(BR$117=1,BR44,0)+IF(BS$117=1,BT44,0))</f>
        <v/>
      </c>
      <c r="BT214">
        <f>IF(OR($IW44=0,calcA!$A$6=0),0,IF(BS$117=1,BS44,0)+IF(BT$117=1,BU44,0))</f>
        <v/>
      </c>
      <c r="BU214">
        <f>IF(OR($IW44=0,calcA!$A$6=0),0,IF(BT$117=1,BT44,0)+IF(BU$117=1,BV44,0))</f>
        <v/>
      </c>
      <c r="BV214">
        <f>IF(OR($IW44=0,calcA!$A$6=0),0,IF(BU$117=1,BU44,0)+IF(BV$117=1,BW44,0))</f>
        <v/>
      </c>
      <c r="BW214">
        <f>IF(OR($IW44=0,calcA!$A$6=0),0,IF(BV$117=1,BV44,0))</f>
        <v/>
      </c>
      <c r="BX214">
        <f>IF(OR($IW44=0,calcA!$A$6=0),0,IF(BX$117=1,BY44,0))</f>
        <v/>
      </c>
      <c r="BY214">
        <f>IF(OR($IW44=0,calcA!$A$6=0),0,IF(BX$117=1,BX44,0)+IF(BY$117=1,BZ44,0))</f>
        <v/>
      </c>
      <c r="BZ214">
        <f>IF(OR($IW44=0,calcA!$A$6=0),0,IF(BY$117=1,BY44,0)+IF(BZ$117=1,CA44,0))</f>
        <v/>
      </c>
      <c r="CA214">
        <f>IF(OR($IW44=0,calcA!$A$6=0),0,IF(BZ$117=1,BZ44,0)+IF(CA$117=1,CB44,0))</f>
        <v/>
      </c>
      <c r="CB214">
        <f>IF(OR($IW44=0,calcA!$A$6=0),0,IF(CA$117=1,CA44,0)+IF(CB$117=1,CC44,0))</f>
        <v/>
      </c>
      <c r="CC214">
        <f>IF(OR($IW44=0,calcA!$A$6=0),0,IF(CB$117=1,CB44,0)+IF(CC$117=1,CD44,0))</f>
        <v/>
      </c>
      <c r="CD214">
        <f>IF(OR($IW44=0,calcA!$A$6=0),0,IF(CC$117=1,CC44,0)+IF(CD$117=1,CE44,0))</f>
        <v/>
      </c>
      <c r="CE214">
        <f>IF(OR($IW44=0,calcA!$A$6=0),0,IF(CD$117=1,CD44,0)+IF(CE$117=1,CF44,0))</f>
        <v/>
      </c>
      <c r="CF214">
        <f>IF(OR($IW44=0,calcA!$A$6=0),0,IF(CE$117=1,CE44,0)+IF(CF$117=1,CG44,0))</f>
        <v/>
      </c>
      <c r="CG214">
        <f>IF(OR($IW44=0,calcA!$A$6=0),0,IF(CF$117=1,CF44,0)+IF(CG$117=1,CH44,0))</f>
        <v/>
      </c>
      <c r="CH214">
        <f>IF(OR($IW44=0,calcA!$A$6=0),0,IF(CG$117=1,CG44,0)+IF(CH$117=1,CI44,0))</f>
        <v/>
      </c>
      <c r="CI214">
        <f>IF(OR($IW44=0,calcA!$A$6=0),0,IF(CH$117=1,CH44,0)+IF(CI$117=1,CJ44,0))</f>
        <v/>
      </c>
      <c r="CJ214">
        <f>IF(OR($IW44=0,calcA!$A$6=0),0,IF(CI$117=1,CI44,0)+IF(CJ$117=1,CK44,0))</f>
        <v/>
      </c>
      <c r="CK214">
        <f>IF(OR($IW44=0,calcA!$A$6=0),0,IF(CJ$117=1,CJ44,0)+IF(CK$117=1,CL44,0))</f>
        <v/>
      </c>
      <c r="CL214">
        <f>IF(OR($IW44=0,calcA!$A$6=0),0,IF(CK$117=1,CK44,0)+IF(CL$117=1,CM44,0))</f>
        <v/>
      </c>
      <c r="CM214">
        <f>IF(OR($IW44=0,calcA!$A$6=0),0,IF(CL$117=1,CL44,0)+IF(CM$117=1,CN44,0))</f>
        <v/>
      </c>
      <c r="CN214">
        <f>IF(OR($IW44=0,calcA!$A$6=0),0,IF(CM$117=1,CM44,0)+IF(CN$117=1,CO44,0))</f>
        <v/>
      </c>
      <c r="CO214">
        <f>IF(OR($IW44=0,calcA!$A$6=0),0,IF(CN$117=1,CN44,0)+IF(CO$117=1,CP44,0))</f>
        <v/>
      </c>
      <c r="CP214">
        <f>IF(OR($IW44=0,calcA!$A$6=0),0,IF(CO$117=1,CO44,0)+IF(CP$117=1,CQ44,0))</f>
        <v/>
      </c>
      <c r="CQ214">
        <f>IF(OR($IW44=0,calcA!$A$6=0),0,IF(CP$117=1,CP44,0)+IF(CQ$117=1,CR44,0))</f>
        <v/>
      </c>
      <c r="CR214">
        <f>IF(OR($IW44=0,calcA!$A$6=0),0,IF(CQ$117=1,CQ44,0)+IF(CR$117=1,CS44,0))</f>
        <v/>
      </c>
      <c r="CS214">
        <f>IF(OR($IW44=0,calcA!$A$6=0),0,IF(CR$117=1,CR44,0)+IF(CS$117=1,CT44,0))</f>
        <v/>
      </c>
      <c r="CT214">
        <f>IF(OR($IW44=0,calcA!$A$6=0),0,IF(CS$117=1,CS44,0)+IF(CT$117=1,CU44,0))</f>
        <v/>
      </c>
      <c r="CU214">
        <f>IF(OR($IW44=0,calcA!$A$6=0),0,IF(CT$117=1,CT44,0))</f>
        <v/>
      </c>
      <c r="CV214">
        <f>IF(OR($IW44=0,calcA!$A$6=0),0,IF(CV$117=1,CW44,0))</f>
        <v/>
      </c>
      <c r="CW214">
        <f>IF(OR($IW44=0,calcA!$A$6=0),0,IF(CV$117=1,CV44,0)+IF(CW$117=1,CX44,0))</f>
        <v/>
      </c>
      <c r="CX214">
        <f>IF(OR($IW44=0,calcA!$A$6=0),0,IF(CW$117=1,CW44,0)+IF(CX$117=1,CY44,0))</f>
        <v/>
      </c>
      <c r="CY214">
        <f>IF(OR($IW44=0,calcA!$A$6=0),0,IF(CX$117=1,CX44,0)+IF(CY$117=1,CZ44,0))</f>
        <v/>
      </c>
      <c r="CZ214">
        <f>IF(OR($IW44=0,calcA!$A$6=0),0,IF(CY$117=1,CY44,0)+IF(CZ$117=1,DA44,0))</f>
        <v/>
      </c>
      <c r="DA214">
        <f>IF(OR($IW44=0,calcA!$A$6=0),0,IF(CZ$117=1,CZ44,0)+IF(DA$117=1,DB44,0))</f>
        <v/>
      </c>
      <c r="DB214">
        <f>IF(OR($IW44=0,calcA!$A$6=0),0,IF(DA$117=1,DA44,0)+IF(DB$117=1,DC44,0))</f>
        <v/>
      </c>
      <c r="DC214">
        <f>IF(OR($IW44=0,calcA!$A$6=0),0,IF(DB$117=1,DB44,0)+IF(DC$117=1,DD44,0))</f>
        <v/>
      </c>
      <c r="DD214">
        <f>IF(OR($IW44=0,calcA!$A$6=0),0,IF(DC$117=1,DC44,0)+IF(DD$117=1,DE44,0))</f>
        <v/>
      </c>
      <c r="DE214">
        <f>IF(OR($IW44=0,calcA!$A$6=0),0,IF(DD$117=1,DD44,0)+IF(DE$117=1,DF44,0))</f>
        <v/>
      </c>
      <c r="DF214">
        <f>IF(OR($IW44=0,calcA!$A$6=0),0,IF(DE$117=1,DE44,0)+IF(DF$117=1,DG44,0))</f>
        <v/>
      </c>
      <c r="DG214">
        <f>IF(OR($IW44=0,calcA!$A$6=0),0,IF(DF$117=1,DF44,0)+IF(DG$117=1,DH44,0))</f>
        <v/>
      </c>
      <c r="DH214">
        <f>IF(OR($IW44=0,calcA!$A$6=0),0,IF(DG$117=1,DG44,0)+IF(DH$117=1,DI44,0))</f>
        <v/>
      </c>
      <c r="DI214">
        <f>IF(OR($IW44=0,calcA!$A$6=0),0,IF(DH$117=1,DH44,0)+IF(DI$117=1,DJ44,0))</f>
        <v/>
      </c>
      <c r="DJ214">
        <f>IF(OR($IW44=0,calcA!$A$6=0),0,IF(DI$117=1,DI44,0)+IF(DJ$117=1,DK44,0))</f>
        <v/>
      </c>
      <c r="DK214">
        <f>IF(OR($IW44=0,calcA!$A$6=0),0,IF(DJ$117=1,DJ44,0)+IF(DK$117=1,DL44,0))</f>
        <v/>
      </c>
      <c r="DL214">
        <f>IF(OR($IW44=0,calcA!$A$6=0),0,IF(DK$117=1,DK44,0)+IF(DL$117=1,DM44,0))</f>
        <v/>
      </c>
      <c r="DM214">
        <f>IF(OR($IW44=0,calcA!$A$6=0),0,IF(DL$117=1,DL44,0)+IF(DM$117=1,DN44,0))</f>
        <v/>
      </c>
      <c r="DN214">
        <f>IF(OR($IW44=0,calcA!$A$6=0),0,IF(DM$117=1,DM44,0)+IF(DN$117=1,DO44,0))</f>
        <v/>
      </c>
      <c r="DO214">
        <f>IF(OR($IW44=0,calcA!$A$6=0),0,IF(DN$117=1,DN44,0)+IF(DO$117=1,DP44,0))</f>
        <v/>
      </c>
      <c r="DP214">
        <f>IF(OR($IW44=0,calcA!$A$6=0),0,IF(DO$117=1,DO44,0)+IF(DP$117=1,DQ44,0))</f>
        <v/>
      </c>
      <c r="DQ214">
        <f>IF(OR($IW44=0,calcA!$A$6=0),0,IF(DP$117=1,DP44,0)+IF(DQ$117=1,DR44,0))</f>
        <v/>
      </c>
      <c r="DR214">
        <f>IF(OR($IW44=0,calcA!$A$6=0),0,IF(DQ$117=1,DQ44,0)+IF(DR$117=1,DS44,0))</f>
        <v/>
      </c>
      <c r="DS214">
        <f>IF(OR($IW44=0,calcA!$A$6=0),0,IF(DR$117=1,DR44,0))</f>
        <v/>
      </c>
      <c r="DT214">
        <f>IF(OR($IW44=0,calcA!$A$6=0),0,IF(DT$117=1,DU44,0))</f>
        <v/>
      </c>
      <c r="DU214">
        <f>IF(OR($IW44=0,calcA!$A$6=0),0,IF(DT$117=1,DT44,0)+IF(DU$117=1,DV44,0))</f>
        <v/>
      </c>
      <c r="DV214">
        <f>IF(OR($IW44=0,calcA!$A$6=0),0,IF(DU$117=1,DU44,0)+IF(DV$117=1,DW44,0))</f>
        <v/>
      </c>
      <c r="DW214">
        <f>IF(OR($IW44=0,calcA!$A$6=0),0,IF(DV$117=1,DV44,0)+IF(DW$117=1,DX44,0))</f>
        <v/>
      </c>
      <c r="DX214">
        <f>IF(OR($IW44=0,calcA!$A$6=0),0,IF(DW$117=1,DW44,0)+IF(DX$117=1,DY44,0))</f>
        <v/>
      </c>
      <c r="DY214">
        <f>IF(OR($IW44=0,calcA!$A$6=0),0,IF(DX$117=1,DX44,0)+IF(DY$117=1,DZ44,0))</f>
        <v/>
      </c>
      <c r="DZ214">
        <f>IF(OR($IW44=0,calcA!$A$6=0),0,IF(DY$117=1,DY44,0)+IF(DZ$117=1,EA44,0))</f>
        <v/>
      </c>
      <c r="EA214">
        <f>IF(OR($IW44=0,calcA!$A$6=0),0,IF(DZ$117=1,DZ44,0)+IF(EA$117=1,EB44,0))</f>
        <v/>
      </c>
      <c r="EB214">
        <f>IF(OR($IW44=0,calcA!$A$6=0),0,IF(EA$117=1,EA44,0)+IF(EB$117=1,EC44,0))</f>
        <v/>
      </c>
      <c r="EC214">
        <f>IF(OR($IW44=0,calcA!$A$6=0),0,IF(EB$117=1,EB44,0)+IF(EC$117=1,ED44,0))</f>
        <v/>
      </c>
      <c r="ED214">
        <f>IF(OR($IW44=0,calcA!$A$6=0),0,IF(EC$117=1,EC44,0)+IF(ED$117=1,EE44,0))</f>
        <v/>
      </c>
      <c r="EE214">
        <f>IF(OR($IW44=0,calcA!$A$6=0),0,IF(ED$117=1,ED44,0)+IF(EE$117=1,EF44,0))</f>
        <v/>
      </c>
      <c r="EF214">
        <f>IF(OR($IW44=0,calcA!$A$6=0),0,IF(EE$117=1,EE44,0)+IF(EF$117=1,EG44,0))</f>
        <v/>
      </c>
      <c r="EG214">
        <f>IF(OR($IW44=0,calcA!$A$6=0),0,IF(EF$117=1,EF44,0)+IF(EG$117=1,EH44,0))</f>
        <v/>
      </c>
      <c r="EH214">
        <f>IF(OR($IW44=0,calcA!$A$6=0),0,IF(EG$117=1,EG44,0)+IF(EH$117=1,EI44,0))</f>
        <v/>
      </c>
      <c r="EI214">
        <f>IF(OR($IW44=0,calcA!$A$6=0),0,IF(EH$117=1,EH44,0)+IF(EI$117=1,EJ44,0))</f>
        <v/>
      </c>
      <c r="EJ214">
        <f>IF(OR($IW44=0,calcA!$A$6=0),0,IF(EI$117=1,EI44,0)+IF(EJ$117=1,EK44,0))</f>
        <v/>
      </c>
      <c r="EK214">
        <f>IF(OR($IW44=0,calcA!$A$6=0),0,IF(EJ$117=1,EJ44,0)+IF(EK$117=1,EL44,0))</f>
        <v/>
      </c>
      <c r="EL214">
        <f>IF(OR($IW44=0,calcA!$A$6=0),0,IF(EK$117=1,EK44,0)+IF(EL$117=1,EM44,0))</f>
        <v/>
      </c>
      <c r="EM214">
        <f>IF(OR($IW44=0,calcA!$A$6=0),0,IF(EL$117=1,EL44,0)+IF(EM$117=1,EN44,0))</f>
        <v/>
      </c>
      <c r="EN214">
        <f>IF(OR($IW44=0,calcA!$A$6=0),0,IF(EM$117=1,EM44,0)+IF(EN$117=1,EO44,0))</f>
        <v/>
      </c>
      <c r="EO214">
        <f>IF(OR($IW44=0,calcA!$A$6=0),0,IF(EN$117=1,EN44,0)+IF(EO$117=1,EP44,0))</f>
        <v/>
      </c>
      <c r="EP214">
        <f>IF(OR($IW44=0,calcA!$A$6=0),0,IF(EO$117=1,EO44,0)+IF(EP$117=1,EQ44,0))</f>
        <v/>
      </c>
      <c r="EQ214">
        <f>IF(OR($IW44=0,calcA!$A$6=0),0,IF(EP$117=1,EP44,0))</f>
        <v/>
      </c>
    </row>
    <row r="215">
      <c r="D215">
        <f>IF(OR($IW45=0,calcA!$A$6=0),0,IF(D$117=1,E45,0))</f>
        <v/>
      </c>
      <c r="E215">
        <f>IF(OR($IW45=0,calcA!$A$6=0),0,IF(D$117=1,D45,0)+IF(E$117=1,F45,0))</f>
        <v/>
      </c>
      <c r="F215">
        <f>IF(OR($IW45=0,calcA!$A$6=0),0,IF(E$117=1,E45,0)+IF(F$117=1,G45,0))</f>
        <v/>
      </c>
      <c r="G215">
        <f>IF(OR($IW45=0,calcA!$A$6=0),0,IF(F$117=1,F45,0)+IF(G$117=1,H45,0))</f>
        <v/>
      </c>
      <c r="H215">
        <f>IF(OR($IW45=0,calcA!$A$6=0),0,IF(G$117=1,G45,0)+IF(H$117=1,I45,0))</f>
        <v/>
      </c>
      <c r="I215">
        <f>IF(OR($IW45=0,calcA!$A$6=0),0,IF(H$117=1,H45,0)+IF(I$117=1,J45,0))</f>
        <v/>
      </c>
      <c r="J215">
        <f>IF(OR($IW45=0,calcA!$A$6=0),0,IF(I$117=1,I45,0)+IF(J$117=1,K45,0))</f>
        <v/>
      </c>
      <c r="K215">
        <f>IF(OR($IW45=0,calcA!$A$6=0),0,IF(J$117=1,J45,0)+IF(K$117=1,L45,0))</f>
        <v/>
      </c>
      <c r="L215">
        <f>IF(OR($IW45=0,calcA!$A$6=0),0,IF(K$117=1,K45,0)+IF(L$117=1,M45,0))</f>
        <v/>
      </c>
      <c r="M215">
        <f>IF(OR($IW45=0,calcA!$A$6=0),0,IF(L$117=1,L45,0)+IF(M$117=1,N45,0))</f>
        <v/>
      </c>
      <c r="N215">
        <f>IF(OR($IW45=0,calcA!$A$6=0),0,IF(M$117=1,M45,0)+IF(N$117=1,O45,0))</f>
        <v/>
      </c>
      <c r="O215">
        <f>IF(OR($IW45=0,calcA!$A$6=0),0,IF(N$117=1,N45,0)+IF(O$117=1,P45,0))</f>
        <v/>
      </c>
      <c r="P215">
        <f>IF(OR($IW45=0,calcA!$A$6=0),0,IF(O$117=1,O45,0)+IF(P$117=1,Q45,0))</f>
        <v/>
      </c>
      <c r="Q215">
        <f>IF(OR($IW45=0,calcA!$A$6=0),0,IF(P$117=1,P45,0)+IF(Q$117=1,R45,0))</f>
        <v/>
      </c>
      <c r="R215">
        <f>IF(OR($IW45=0,calcA!$A$6=0),0,IF(Q$117=1,Q45,0)+IF(R$117=1,S45,0))</f>
        <v/>
      </c>
      <c r="S215">
        <f>IF(OR($IW45=0,calcA!$A$6=0),0,IF(R$117=1,R45,0)+IF(S$117=1,T45,0))</f>
        <v/>
      </c>
      <c r="T215">
        <f>IF(OR($IW45=0,calcA!$A$6=0),0,IF(S$117=1,S45,0)+IF(T$117=1,U45,0))</f>
        <v/>
      </c>
      <c r="U215">
        <f>IF(OR($IW45=0,calcA!$A$6=0),0,IF(T$117=1,T45,0)+IF(U$117=1,V45,0))</f>
        <v/>
      </c>
      <c r="V215">
        <f>IF(OR($IW45=0,calcA!$A$6=0),0,IF(U$117=1,U45,0)+IF(V$117=1,W45,0))</f>
        <v/>
      </c>
      <c r="W215">
        <f>IF(OR($IW45=0,calcA!$A$6=0),0,IF(V$117=1,V45,0)+IF(W$117=1,X45,0))</f>
        <v/>
      </c>
      <c r="X215">
        <f>IF(OR($IW45=0,calcA!$A$6=0),0,IF(W$117=1,W45,0)+IF(X$117=1,Y45,0))</f>
        <v/>
      </c>
      <c r="Y215">
        <f>IF(OR($IW45=0,calcA!$A$6=0),0,IF(X$117=1,X45,0)+IF(Y$117=1,Z45,0))</f>
        <v/>
      </c>
      <c r="Z215">
        <f>IF(OR($IW45=0,calcA!$A$6=0),0,IF(Y$117=1,Y45,0)+IF(Z$117=1,AA45,0))</f>
        <v/>
      </c>
      <c r="AA215">
        <f>IF(OR($IW45=0,calcA!$A$6=0),0,IF(Z$117=1,Z45,0))</f>
        <v/>
      </c>
      <c r="AB215">
        <f>IF(OR($IW45=0,calcA!$A$6=0),0,IF(AB$117=1,AC45,0))</f>
        <v/>
      </c>
      <c r="AC215">
        <f>IF(OR($IW45=0,calcA!$A$6=0),0,IF(AB$117=1,AB45,0)+IF(AC$117=1,AD45,0))</f>
        <v/>
      </c>
      <c r="AD215">
        <f>IF(OR($IW45=0,calcA!$A$6=0),0,IF(AC$117=1,AC45,0)+IF(AD$117=1,AE45,0))</f>
        <v/>
      </c>
      <c r="AE215">
        <f>IF(OR($IW45=0,calcA!$A$6=0),0,IF(AD$117=1,AD45,0)+IF(AE$117=1,AF45,0))</f>
        <v/>
      </c>
      <c r="AF215">
        <f>IF(OR($IW45=0,calcA!$A$6=0),0,IF(AE$117=1,AE45,0)+IF(AF$117=1,AG45,0))</f>
        <v/>
      </c>
      <c r="AG215">
        <f>IF(OR($IW45=0,calcA!$A$6=0),0,IF(AF$117=1,AF45,0)+IF(AG$117=1,AH45,0))</f>
        <v/>
      </c>
      <c r="AH215">
        <f>IF(OR($IW45=0,calcA!$A$6=0),0,IF(AG$117=1,AG45,0)+IF(AH$117=1,AI45,0))</f>
        <v/>
      </c>
      <c r="AI215">
        <f>IF(OR($IW45=0,calcA!$A$6=0),0,IF(AH$117=1,AH45,0)+IF(AI$117=1,AJ45,0))</f>
        <v/>
      </c>
      <c r="AJ215">
        <f>IF(OR($IW45=0,calcA!$A$6=0),0,IF(AI$117=1,AI45,0)+IF(AJ$117=1,AK45,0))</f>
        <v/>
      </c>
      <c r="AK215">
        <f>IF(OR($IW45=0,calcA!$A$6=0),0,IF(AJ$117=1,AJ45,0)+IF(AK$117=1,AL45,0))</f>
        <v/>
      </c>
      <c r="AL215">
        <f>IF(OR($IW45=0,calcA!$A$6=0),0,IF(AK$117=1,AK45,0)+IF(AL$117=1,AM45,0))</f>
        <v/>
      </c>
      <c r="AM215">
        <f>IF(OR($IW45=0,calcA!$A$6=0),0,IF(AL$117=1,AL45,0)+IF(AM$117=1,AN45,0))</f>
        <v/>
      </c>
      <c r="AN215">
        <f>IF(OR($IW45=0,calcA!$A$6=0),0,IF(AM$117=1,AM45,0)+IF(AN$117=1,AO45,0))</f>
        <v/>
      </c>
      <c r="AO215">
        <f>IF(OR($IW45=0,calcA!$A$6=0),0,IF(AN$117=1,AN45,0)+IF(AO$117=1,AP45,0))</f>
        <v/>
      </c>
      <c r="AP215">
        <f>IF(OR($IW45=0,calcA!$A$6=0),0,IF(AO$117=1,AO45,0)+IF(AP$117=1,AQ45,0))</f>
        <v/>
      </c>
      <c r="AQ215">
        <f>IF(OR($IW45=0,calcA!$A$6=0),0,IF(AP$117=1,AP45,0)+IF(AQ$117=1,AR45,0))</f>
        <v/>
      </c>
      <c r="AR215">
        <f>IF(OR($IW45=0,calcA!$A$6=0),0,IF(AQ$117=1,AQ45,0)+IF(AR$117=1,AS45,0))</f>
        <v/>
      </c>
      <c r="AS215">
        <f>IF(OR($IW45=0,calcA!$A$6=0),0,IF(AR$117=1,AR45,0)+IF(AS$117=1,AT45,0))</f>
        <v/>
      </c>
      <c r="AT215">
        <f>IF(OR($IW45=0,calcA!$A$6=0),0,IF(AS$117=1,AS45,0)+IF(AT$117=1,AU45,0))</f>
        <v/>
      </c>
      <c r="AU215">
        <f>IF(OR($IW45=0,calcA!$A$6=0),0,IF(AT$117=1,AT45,0)+IF(AU$117=1,AV45,0))</f>
        <v/>
      </c>
      <c r="AV215">
        <f>IF(OR($IW45=0,calcA!$A$6=0),0,IF(AU$117=1,AU45,0)+IF(AV$117=1,AW45,0))</f>
        <v/>
      </c>
      <c r="AW215">
        <f>IF(OR($IW45=0,calcA!$A$6=0),0,IF(AV$117=1,AV45,0)+IF(AW$117=1,AX45,0))</f>
        <v/>
      </c>
      <c r="AX215">
        <f>IF(OR($IW45=0,calcA!$A$6=0),0,IF(AW$117=1,AW45,0)+IF(AX$117=1,AY45,0))</f>
        <v/>
      </c>
      <c r="AY215">
        <f>IF(OR($IW45=0,calcA!$A$6=0),0,IF(AX$117=1,AX45,0))</f>
        <v/>
      </c>
      <c r="AZ215">
        <f>IF(OR($IW45=0,calcA!$A$6=0),0,IF(AZ$117=1,BA45,0))</f>
        <v/>
      </c>
      <c r="BA215">
        <f>IF(OR($IW45=0,calcA!$A$6=0),0,IF(AZ$117=1,AZ45,0)+IF(BA$117=1,BB45,0))</f>
        <v/>
      </c>
      <c r="BB215">
        <f>IF(OR($IW45=0,calcA!$A$6=0),0,IF(BA$117=1,BA45,0)+IF(BB$117=1,BC45,0))</f>
        <v/>
      </c>
      <c r="BC215">
        <f>IF(OR($IW45=0,calcA!$A$6=0),0,IF(BB$117=1,BB45,0)+IF(BC$117=1,BD45,0))</f>
        <v/>
      </c>
      <c r="BD215">
        <f>IF(OR($IW45=0,calcA!$A$6=0),0,IF(BC$117=1,BC45,0)+IF(BD$117=1,BE45,0))</f>
        <v/>
      </c>
      <c r="BE215">
        <f>IF(OR($IW45=0,calcA!$A$6=0),0,IF(BD$117=1,BD45,0)+IF(BE$117=1,BF45,0))</f>
        <v/>
      </c>
      <c r="BF215">
        <f>IF(OR($IW45=0,calcA!$A$6=0),0,IF(BE$117=1,BE45,0)+IF(BF$117=1,BG45,0))</f>
        <v/>
      </c>
      <c r="BG215">
        <f>IF(OR($IW45=0,calcA!$A$6=0),0,IF(BF$117=1,BF45,0)+IF(BG$117=1,BH45,0))</f>
        <v/>
      </c>
      <c r="BH215">
        <f>IF(OR($IW45=0,calcA!$A$6=0),0,IF(BG$117=1,BG45,0)+IF(BH$117=1,BI45,0))</f>
        <v/>
      </c>
      <c r="BI215">
        <f>IF(OR($IW45=0,calcA!$A$6=0),0,IF(BH$117=1,BH45,0)+IF(BI$117=1,BJ45,0))</f>
        <v/>
      </c>
      <c r="BJ215">
        <f>IF(OR($IW45=0,calcA!$A$6=0),0,IF(BI$117=1,BI45,0)+IF(BJ$117=1,BK45,0))</f>
        <v/>
      </c>
      <c r="BK215">
        <f>IF(OR($IW45=0,calcA!$A$6=0),0,IF(BJ$117=1,BJ45,0)+IF(BK$117=1,BL45,0))</f>
        <v/>
      </c>
      <c r="BL215">
        <f>IF(OR($IW45=0,calcA!$A$6=0),0,IF(BK$117=1,BK45,0)+IF(BL$117=1,BM45,0))</f>
        <v/>
      </c>
      <c r="BM215">
        <f>IF(OR($IW45=0,calcA!$A$6=0),0,IF(BL$117=1,BL45,0)+IF(BM$117=1,BN45,0))</f>
        <v/>
      </c>
      <c r="BN215">
        <f>IF(OR($IW45=0,calcA!$A$6=0),0,IF(BM$117=1,BM45,0)+IF(BN$117=1,BO45,0))</f>
        <v/>
      </c>
      <c r="BO215">
        <f>IF(OR($IW45=0,calcA!$A$6=0),0,IF(BN$117=1,BN45,0)+IF(BO$117=1,BP45,0))</f>
        <v/>
      </c>
      <c r="BP215">
        <f>IF(OR($IW45=0,calcA!$A$6=0),0,IF(BO$117=1,BO45,0)+IF(BP$117=1,BQ45,0))</f>
        <v/>
      </c>
      <c r="BQ215">
        <f>IF(OR($IW45=0,calcA!$A$6=0),0,IF(BP$117=1,BP45,0)+IF(BQ$117=1,BR45,0))</f>
        <v/>
      </c>
      <c r="BR215">
        <f>IF(OR($IW45=0,calcA!$A$6=0),0,IF(BQ$117=1,BQ45,0)+IF(BR$117=1,BS45,0))</f>
        <v/>
      </c>
      <c r="BS215">
        <f>IF(OR($IW45=0,calcA!$A$6=0),0,IF(BR$117=1,BR45,0)+IF(BS$117=1,BT45,0))</f>
        <v/>
      </c>
      <c r="BT215">
        <f>IF(OR($IW45=0,calcA!$A$6=0),0,IF(BS$117=1,BS45,0)+IF(BT$117=1,BU45,0))</f>
        <v/>
      </c>
      <c r="BU215">
        <f>IF(OR($IW45=0,calcA!$A$6=0),0,IF(BT$117=1,BT45,0)+IF(BU$117=1,BV45,0))</f>
        <v/>
      </c>
      <c r="BV215">
        <f>IF(OR($IW45=0,calcA!$A$6=0),0,IF(BU$117=1,BU45,0)+IF(BV$117=1,BW45,0))</f>
        <v/>
      </c>
      <c r="BW215">
        <f>IF(OR($IW45=0,calcA!$A$6=0),0,IF(BV$117=1,BV45,0))</f>
        <v/>
      </c>
      <c r="BX215">
        <f>IF(OR($IW45=0,calcA!$A$6=0),0,IF(BX$117=1,BY45,0))</f>
        <v/>
      </c>
      <c r="BY215">
        <f>IF(OR($IW45=0,calcA!$A$6=0),0,IF(BX$117=1,BX45,0)+IF(BY$117=1,BZ45,0))</f>
        <v/>
      </c>
      <c r="BZ215">
        <f>IF(OR($IW45=0,calcA!$A$6=0),0,IF(BY$117=1,BY45,0)+IF(BZ$117=1,CA45,0))</f>
        <v/>
      </c>
      <c r="CA215">
        <f>IF(OR($IW45=0,calcA!$A$6=0),0,IF(BZ$117=1,BZ45,0)+IF(CA$117=1,CB45,0))</f>
        <v/>
      </c>
      <c r="CB215">
        <f>IF(OR($IW45=0,calcA!$A$6=0),0,IF(CA$117=1,CA45,0)+IF(CB$117=1,CC45,0))</f>
        <v/>
      </c>
      <c r="CC215">
        <f>IF(OR($IW45=0,calcA!$A$6=0),0,IF(CB$117=1,CB45,0)+IF(CC$117=1,CD45,0))</f>
        <v/>
      </c>
      <c r="CD215">
        <f>IF(OR($IW45=0,calcA!$A$6=0),0,IF(CC$117=1,CC45,0)+IF(CD$117=1,CE45,0))</f>
        <v/>
      </c>
      <c r="CE215">
        <f>IF(OR($IW45=0,calcA!$A$6=0),0,IF(CD$117=1,CD45,0)+IF(CE$117=1,CF45,0))</f>
        <v/>
      </c>
      <c r="CF215">
        <f>IF(OR($IW45=0,calcA!$A$6=0),0,IF(CE$117=1,CE45,0)+IF(CF$117=1,CG45,0))</f>
        <v/>
      </c>
      <c r="CG215">
        <f>IF(OR($IW45=0,calcA!$A$6=0),0,IF(CF$117=1,CF45,0)+IF(CG$117=1,CH45,0))</f>
        <v/>
      </c>
      <c r="CH215">
        <f>IF(OR($IW45=0,calcA!$A$6=0),0,IF(CG$117=1,CG45,0)+IF(CH$117=1,CI45,0))</f>
        <v/>
      </c>
      <c r="CI215">
        <f>IF(OR($IW45=0,calcA!$A$6=0),0,IF(CH$117=1,CH45,0)+IF(CI$117=1,CJ45,0))</f>
        <v/>
      </c>
      <c r="CJ215">
        <f>IF(OR($IW45=0,calcA!$A$6=0),0,IF(CI$117=1,CI45,0)+IF(CJ$117=1,CK45,0))</f>
        <v/>
      </c>
      <c r="CK215">
        <f>IF(OR($IW45=0,calcA!$A$6=0),0,IF(CJ$117=1,CJ45,0)+IF(CK$117=1,CL45,0))</f>
        <v/>
      </c>
      <c r="CL215">
        <f>IF(OR($IW45=0,calcA!$A$6=0),0,IF(CK$117=1,CK45,0)+IF(CL$117=1,CM45,0))</f>
        <v/>
      </c>
      <c r="CM215">
        <f>IF(OR($IW45=0,calcA!$A$6=0),0,IF(CL$117=1,CL45,0)+IF(CM$117=1,CN45,0))</f>
        <v/>
      </c>
      <c r="CN215">
        <f>IF(OR($IW45=0,calcA!$A$6=0),0,IF(CM$117=1,CM45,0)+IF(CN$117=1,CO45,0))</f>
        <v/>
      </c>
      <c r="CO215">
        <f>IF(OR($IW45=0,calcA!$A$6=0),0,IF(CN$117=1,CN45,0)+IF(CO$117=1,CP45,0))</f>
        <v/>
      </c>
      <c r="CP215">
        <f>IF(OR($IW45=0,calcA!$A$6=0),0,IF(CO$117=1,CO45,0)+IF(CP$117=1,CQ45,0))</f>
        <v/>
      </c>
      <c r="CQ215">
        <f>IF(OR($IW45=0,calcA!$A$6=0),0,IF(CP$117=1,CP45,0)+IF(CQ$117=1,CR45,0))</f>
        <v/>
      </c>
      <c r="CR215">
        <f>IF(OR($IW45=0,calcA!$A$6=0),0,IF(CQ$117=1,CQ45,0)+IF(CR$117=1,CS45,0))</f>
        <v/>
      </c>
      <c r="CS215">
        <f>IF(OR($IW45=0,calcA!$A$6=0),0,IF(CR$117=1,CR45,0)+IF(CS$117=1,CT45,0))</f>
        <v/>
      </c>
      <c r="CT215">
        <f>IF(OR($IW45=0,calcA!$A$6=0),0,IF(CS$117=1,CS45,0)+IF(CT$117=1,CU45,0))</f>
        <v/>
      </c>
      <c r="CU215">
        <f>IF(OR($IW45=0,calcA!$A$6=0),0,IF(CT$117=1,CT45,0))</f>
        <v/>
      </c>
      <c r="CV215">
        <f>IF(OR($IW45=0,calcA!$A$6=0),0,IF(CV$117=1,CW45,0))</f>
        <v/>
      </c>
      <c r="CW215">
        <f>IF(OR($IW45=0,calcA!$A$6=0),0,IF(CV$117=1,CV45,0)+IF(CW$117=1,CX45,0))</f>
        <v/>
      </c>
      <c r="CX215">
        <f>IF(OR($IW45=0,calcA!$A$6=0),0,IF(CW$117=1,CW45,0)+IF(CX$117=1,CY45,0))</f>
        <v/>
      </c>
      <c r="CY215">
        <f>IF(OR($IW45=0,calcA!$A$6=0),0,IF(CX$117=1,CX45,0)+IF(CY$117=1,CZ45,0))</f>
        <v/>
      </c>
      <c r="CZ215">
        <f>IF(OR($IW45=0,calcA!$A$6=0),0,IF(CY$117=1,CY45,0)+IF(CZ$117=1,DA45,0))</f>
        <v/>
      </c>
      <c r="DA215">
        <f>IF(OR($IW45=0,calcA!$A$6=0),0,IF(CZ$117=1,CZ45,0)+IF(DA$117=1,DB45,0))</f>
        <v/>
      </c>
      <c r="DB215">
        <f>IF(OR($IW45=0,calcA!$A$6=0),0,IF(DA$117=1,DA45,0)+IF(DB$117=1,DC45,0))</f>
        <v/>
      </c>
      <c r="DC215">
        <f>IF(OR($IW45=0,calcA!$A$6=0),0,IF(DB$117=1,DB45,0)+IF(DC$117=1,DD45,0))</f>
        <v/>
      </c>
      <c r="DD215">
        <f>IF(OR($IW45=0,calcA!$A$6=0),0,IF(DC$117=1,DC45,0)+IF(DD$117=1,DE45,0))</f>
        <v/>
      </c>
      <c r="DE215">
        <f>IF(OR($IW45=0,calcA!$A$6=0),0,IF(DD$117=1,DD45,0)+IF(DE$117=1,DF45,0))</f>
        <v/>
      </c>
      <c r="DF215">
        <f>IF(OR($IW45=0,calcA!$A$6=0),0,IF(DE$117=1,DE45,0)+IF(DF$117=1,DG45,0))</f>
        <v/>
      </c>
      <c r="DG215">
        <f>IF(OR($IW45=0,calcA!$A$6=0),0,IF(DF$117=1,DF45,0)+IF(DG$117=1,DH45,0))</f>
        <v/>
      </c>
      <c r="DH215">
        <f>IF(OR($IW45=0,calcA!$A$6=0),0,IF(DG$117=1,DG45,0)+IF(DH$117=1,DI45,0))</f>
        <v/>
      </c>
      <c r="DI215">
        <f>IF(OR($IW45=0,calcA!$A$6=0),0,IF(DH$117=1,DH45,0)+IF(DI$117=1,DJ45,0))</f>
        <v/>
      </c>
      <c r="DJ215">
        <f>IF(OR($IW45=0,calcA!$A$6=0),0,IF(DI$117=1,DI45,0)+IF(DJ$117=1,DK45,0))</f>
        <v/>
      </c>
      <c r="DK215">
        <f>IF(OR($IW45=0,calcA!$A$6=0),0,IF(DJ$117=1,DJ45,0)+IF(DK$117=1,DL45,0))</f>
        <v/>
      </c>
      <c r="DL215">
        <f>IF(OR($IW45=0,calcA!$A$6=0),0,IF(DK$117=1,DK45,0)+IF(DL$117=1,DM45,0))</f>
        <v/>
      </c>
      <c r="DM215">
        <f>IF(OR($IW45=0,calcA!$A$6=0),0,IF(DL$117=1,DL45,0)+IF(DM$117=1,DN45,0))</f>
        <v/>
      </c>
      <c r="DN215">
        <f>IF(OR($IW45=0,calcA!$A$6=0),0,IF(DM$117=1,DM45,0)+IF(DN$117=1,DO45,0))</f>
        <v/>
      </c>
      <c r="DO215">
        <f>IF(OR($IW45=0,calcA!$A$6=0),0,IF(DN$117=1,DN45,0)+IF(DO$117=1,DP45,0))</f>
        <v/>
      </c>
      <c r="DP215">
        <f>IF(OR($IW45=0,calcA!$A$6=0),0,IF(DO$117=1,DO45,0)+IF(DP$117=1,DQ45,0))</f>
        <v/>
      </c>
      <c r="DQ215">
        <f>IF(OR($IW45=0,calcA!$A$6=0),0,IF(DP$117=1,DP45,0)+IF(DQ$117=1,DR45,0))</f>
        <v/>
      </c>
      <c r="DR215">
        <f>IF(OR($IW45=0,calcA!$A$6=0),0,IF(DQ$117=1,DQ45,0)+IF(DR$117=1,DS45,0))</f>
        <v/>
      </c>
      <c r="DS215">
        <f>IF(OR($IW45=0,calcA!$A$6=0),0,IF(DR$117=1,DR45,0))</f>
        <v/>
      </c>
      <c r="DT215">
        <f>IF(OR($IW45=0,calcA!$A$6=0),0,IF(DT$117=1,DU45,0))</f>
        <v/>
      </c>
      <c r="DU215">
        <f>IF(OR($IW45=0,calcA!$A$6=0),0,IF(DT$117=1,DT45,0)+IF(DU$117=1,DV45,0))</f>
        <v/>
      </c>
      <c r="DV215">
        <f>IF(OR($IW45=0,calcA!$A$6=0),0,IF(DU$117=1,DU45,0)+IF(DV$117=1,DW45,0))</f>
        <v/>
      </c>
      <c r="DW215">
        <f>IF(OR($IW45=0,calcA!$A$6=0),0,IF(DV$117=1,DV45,0)+IF(DW$117=1,DX45,0))</f>
        <v/>
      </c>
      <c r="DX215">
        <f>IF(OR($IW45=0,calcA!$A$6=0),0,IF(DW$117=1,DW45,0)+IF(DX$117=1,DY45,0))</f>
        <v/>
      </c>
      <c r="DY215">
        <f>IF(OR($IW45=0,calcA!$A$6=0),0,IF(DX$117=1,DX45,0)+IF(DY$117=1,DZ45,0))</f>
        <v/>
      </c>
      <c r="DZ215">
        <f>IF(OR($IW45=0,calcA!$A$6=0),0,IF(DY$117=1,DY45,0)+IF(DZ$117=1,EA45,0))</f>
        <v/>
      </c>
      <c r="EA215">
        <f>IF(OR($IW45=0,calcA!$A$6=0),0,IF(DZ$117=1,DZ45,0)+IF(EA$117=1,EB45,0))</f>
        <v/>
      </c>
      <c r="EB215">
        <f>IF(OR($IW45=0,calcA!$A$6=0),0,IF(EA$117=1,EA45,0)+IF(EB$117=1,EC45,0))</f>
        <v/>
      </c>
      <c r="EC215">
        <f>IF(OR($IW45=0,calcA!$A$6=0),0,IF(EB$117=1,EB45,0)+IF(EC$117=1,ED45,0))</f>
        <v/>
      </c>
      <c r="ED215">
        <f>IF(OR($IW45=0,calcA!$A$6=0),0,IF(EC$117=1,EC45,0)+IF(ED$117=1,EE45,0))</f>
        <v/>
      </c>
      <c r="EE215">
        <f>IF(OR($IW45=0,calcA!$A$6=0),0,IF(ED$117=1,ED45,0)+IF(EE$117=1,EF45,0))</f>
        <v/>
      </c>
      <c r="EF215">
        <f>IF(OR($IW45=0,calcA!$A$6=0),0,IF(EE$117=1,EE45,0)+IF(EF$117=1,EG45,0))</f>
        <v/>
      </c>
      <c r="EG215">
        <f>IF(OR($IW45=0,calcA!$A$6=0),0,IF(EF$117=1,EF45,0)+IF(EG$117=1,EH45,0))</f>
        <v/>
      </c>
      <c r="EH215">
        <f>IF(OR($IW45=0,calcA!$A$6=0),0,IF(EG$117=1,EG45,0)+IF(EH$117=1,EI45,0))</f>
        <v/>
      </c>
      <c r="EI215">
        <f>IF(OR($IW45=0,calcA!$A$6=0),0,IF(EH$117=1,EH45,0)+IF(EI$117=1,EJ45,0))</f>
        <v/>
      </c>
      <c r="EJ215">
        <f>IF(OR($IW45=0,calcA!$A$6=0),0,IF(EI$117=1,EI45,0)+IF(EJ$117=1,EK45,0))</f>
        <v/>
      </c>
      <c r="EK215">
        <f>IF(OR($IW45=0,calcA!$A$6=0),0,IF(EJ$117=1,EJ45,0)+IF(EK$117=1,EL45,0))</f>
        <v/>
      </c>
      <c r="EL215">
        <f>IF(OR($IW45=0,calcA!$A$6=0),0,IF(EK$117=1,EK45,0)+IF(EL$117=1,EM45,0))</f>
        <v/>
      </c>
      <c r="EM215">
        <f>IF(OR($IW45=0,calcA!$A$6=0),0,IF(EL$117=1,EL45,0)+IF(EM$117=1,EN45,0))</f>
        <v/>
      </c>
      <c r="EN215">
        <f>IF(OR($IW45=0,calcA!$A$6=0),0,IF(EM$117=1,EM45,0)+IF(EN$117=1,EO45,0))</f>
        <v/>
      </c>
      <c r="EO215">
        <f>IF(OR($IW45=0,calcA!$A$6=0),0,IF(EN$117=1,EN45,0)+IF(EO$117=1,EP45,0))</f>
        <v/>
      </c>
      <c r="EP215">
        <f>IF(OR($IW45=0,calcA!$A$6=0),0,IF(EO$117=1,EO45,0)+IF(EP$117=1,EQ45,0))</f>
        <v/>
      </c>
      <c r="EQ215">
        <f>IF(OR($IW45=0,calcA!$A$6=0),0,IF(EP$117=1,EP45,0))</f>
        <v/>
      </c>
    </row>
    <row r="216">
      <c r="D216">
        <f>IF(OR($IW46=0,calcA!$A$6=0),0,IF(D$117=1,E46,0))</f>
        <v/>
      </c>
      <c r="E216">
        <f>IF(OR($IW46=0,calcA!$A$6=0),0,IF(D$117=1,D46,0)+IF(E$117=1,F46,0))</f>
        <v/>
      </c>
      <c r="F216">
        <f>IF(OR($IW46=0,calcA!$A$6=0),0,IF(E$117=1,E46,0)+IF(F$117=1,G46,0))</f>
        <v/>
      </c>
      <c r="G216">
        <f>IF(OR($IW46=0,calcA!$A$6=0),0,IF(F$117=1,F46,0)+IF(G$117=1,H46,0))</f>
        <v/>
      </c>
      <c r="H216">
        <f>IF(OR($IW46=0,calcA!$A$6=0),0,IF(G$117=1,G46,0)+IF(H$117=1,I46,0))</f>
        <v/>
      </c>
      <c r="I216">
        <f>IF(OR($IW46=0,calcA!$A$6=0),0,IF(H$117=1,H46,0)+IF(I$117=1,J46,0))</f>
        <v/>
      </c>
      <c r="J216">
        <f>IF(OR($IW46=0,calcA!$A$6=0),0,IF(I$117=1,I46,0)+IF(J$117=1,K46,0))</f>
        <v/>
      </c>
      <c r="K216">
        <f>IF(OR($IW46=0,calcA!$A$6=0),0,IF(J$117=1,J46,0)+IF(K$117=1,L46,0))</f>
        <v/>
      </c>
      <c r="L216">
        <f>IF(OR($IW46=0,calcA!$A$6=0),0,IF(K$117=1,K46,0)+IF(L$117=1,M46,0))</f>
        <v/>
      </c>
      <c r="M216">
        <f>IF(OR($IW46=0,calcA!$A$6=0),0,IF(L$117=1,L46,0)+IF(M$117=1,N46,0))</f>
        <v/>
      </c>
      <c r="N216">
        <f>IF(OR($IW46=0,calcA!$A$6=0),0,IF(M$117=1,M46,0)+IF(N$117=1,O46,0))</f>
        <v/>
      </c>
      <c r="O216">
        <f>IF(OR($IW46=0,calcA!$A$6=0),0,IF(N$117=1,N46,0)+IF(O$117=1,P46,0))</f>
        <v/>
      </c>
      <c r="P216">
        <f>IF(OR($IW46=0,calcA!$A$6=0),0,IF(O$117=1,O46,0)+IF(P$117=1,Q46,0))</f>
        <v/>
      </c>
      <c r="Q216">
        <f>IF(OR($IW46=0,calcA!$A$6=0),0,IF(P$117=1,P46,0)+IF(Q$117=1,R46,0))</f>
        <v/>
      </c>
      <c r="R216">
        <f>IF(OR($IW46=0,calcA!$A$6=0),0,IF(Q$117=1,Q46,0)+IF(R$117=1,S46,0))</f>
        <v/>
      </c>
      <c r="S216">
        <f>IF(OR($IW46=0,calcA!$A$6=0),0,IF(R$117=1,R46,0)+IF(S$117=1,T46,0))</f>
        <v/>
      </c>
      <c r="T216">
        <f>IF(OR($IW46=0,calcA!$A$6=0),0,IF(S$117=1,S46,0)+IF(T$117=1,U46,0))</f>
        <v/>
      </c>
      <c r="U216">
        <f>IF(OR($IW46=0,calcA!$A$6=0),0,IF(T$117=1,T46,0)+IF(U$117=1,V46,0))</f>
        <v/>
      </c>
      <c r="V216">
        <f>IF(OR($IW46=0,calcA!$A$6=0),0,IF(U$117=1,U46,0)+IF(V$117=1,W46,0))</f>
        <v/>
      </c>
      <c r="W216">
        <f>IF(OR($IW46=0,calcA!$A$6=0),0,IF(V$117=1,V46,0)+IF(W$117=1,X46,0))</f>
        <v/>
      </c>
      <c r="X216">
        <f>IF(OR($IW46=0,calcA!$A$6=0),0,IF(W$117=1,W46,0)+IF(X$117=1,Y46,0))</f>
        <v/>
      </c>
      <c r="Y216">
        <f>IF(OR($IW46=0,calcA!$A$6=0),0,IF(X$117=1,X46,0)+IF(Y$117=1,Z46,0))</f>
        <v/>
      </c>
      <c r="Z216">
        <f>IF(OR($IW46=0,calcA!$A$6=0),0,IF(Y$117=1,Y46,0)+IF(Z$117=1,AA46,0))</f>
        <v/>
      </c>
      <c r="AA216">
        <f>IF(OR($IW46=0,calcA!$A$6=0),0,IF(Z$117=1,Z46,0))</f>
        <v/>
      </c>
      <c r="AB216">
        <f>IF(OR($IW46=0,calcA!$A$6=0),0,IF(AB$117=1,AC46,0))</f>
        <v/>
      </c>
      <c r="AC216">
        <f>IF(OR($IW46=0,calcA!$A$6=0),0,IF(AB$117=1,AB46,0)+IF(AC$117=1,AD46,0))</f>
        <v/>
      </c>
      <c r="AD216">
        <f>IF(OR($IW46=0,calcA!$A$6=0),0,IF(AC$117=1,AC46,0)+IF(AD$117=1,AE46,0))</f>
        <v/>
      </c>
      <c r="AE216">
        <f>IF(OR($IW46=0,calcA!$A$6=0),0,IF(AD$117=1,AD46,0)+IF(AE$117=1,AF46,0))</f>
        <v/>
      </c>
      <c r="AF216">
        <f>IF(OR($IW46=0,calcA!$A$6=0),0,IF(AE$117=1,AE46,0)+IF(AF$117=1,AG46,0))</f>
        <v/>
      </c>
      <c r="AG216">
        <f>IF(OR($IW46=0,calcA!$A$6=0),0,IF(AF$117=1,AF46,0)+IF(AG$117=1,AH46,0))</f>
        <v/>
      </c>
      <c r="AH216">
        <f>IF(OR($IW46=0,calcA!$A$6=0),0,IF(AG$117=1,AG46,0)+IF(AH$117=1,AI46,0))</f>
        <v/>
      </c>
      <c r="AI216">
        <f>IF(OR($IW46=0,calcA!$A$6=0),0,IF(AH$117=1,AH46,0)+IF(AI$117=1,AJ46,0))</f>
        <v/>
      </c>
      <c r="AJ216">
        <f>IF(OR($IW46=0,calcA!$A$6=0),0,IF(AI$117=1,AI46,0)+IF(AJ$117=1,AK46,0))</f>
        <v/>
      </c>
      <c r="AK216">
        <f>IF(OR($IW46=0,calcA!$A$6=0),0,IF(AJ$117=1,AJ46,0)+IF(AK$117=1,AL46,0))</f>
        <v/>
      </c>
      <c r="AL216">
        <f>IF(OR($IW46=0,calcA!$A$6=0),0,IF(AK$117=1,AK46,0)+IF(AL$117=1,AM46,0))</f>
        <v/>
      </c>
      <c r="AM216">
        <f>IF(OR($IW46=0,calcA!$A$6=0),0,IF(AL$117=1,AL46,0)+IF(AM$117=1,AN46,0))</f>
        <v/>
      </c>
      <c r="AN216">
        <f>IF(OR($IW46=0,calcA!$A$6=0),0,IF(AM$117=1,AM46,0)+IF(AN$117=1,AO46,0))</f>
        <v/>
      </c>
      <c r="AO216">
        <f>IF(OR($IW46=0,calcA!$A$6=0),0,IF(AN$117=1,AN46,0)+IF(AO$117=1,AP46,0))</f>
        <v/>
      </c>
      <c r="AP216">
        <f>IF(OR($IW46=0,calcA!$A$6=0),0,IF(AO$117=1,AO46,0)+IF(AP$117=1,AQ46,0))</f>
        <v/>
      </c>
      <c r="AQ216">
        <f>IF(OR($IW46=0,calcA!$A$6=0),0,IF(AP$117=1,AP46,0)+IF(AQ$117=1,AR46,0))</f>
        <v/>
      </c>
      <c r="AR216">
        <f>IF(OR($IW46=0,calcA!$A$6=0),0,IF(AQ$117=1,AQ46,0)+IF(AR$117=1,AS46,0))</f>
        <v/>
      </c>
      <c r="AS216">
        <f>IF(OR($IW46=0,calcA!$A$6=0),0,IF(AR$117=1,AR46,0)+IF(AS$117=1,AT46,0))</f>
        <v/>
      </c>
      <c r="AT216">
        <f>IF(OR($IW46=0,calcA!$A$6=0),0,IF(AS$117=1,AS46,0)+IF(AT$117=1,AU46,0))</f>
        <v/>
      </c>
      <c r="AU216">
        <f>IF(OR($IW46=0,calcA!$A$6=0),0,IF(AT$117=1,AT46,0)+IF(AU$117=1,AV46,0))</f>
        <v/>
      </c>
      <c r="AV216">
        <f>IF(OR($IW46=0,calcA!$A$6=0),0,IF(AU$117=1,AU46,0)+IF(AV$117=1,AW46,0))</f>
        <v/>
      </c>
      <c r="AW216">
        <f>IF(OR($IW46=0,calcA!$A$6=0),0,IF(AV$117=1,AV46,0)+IF(AW$117=1,AX46,0))</f>
        <v/>
      </c>
      <c r="AX216">
        <f>IF(OR($IW46=0,calcA!$A$6=0),0,IF(AW$117=1,AW46,0)+IF(AX$117=1,AY46,0))</f>
        <v/>
      </c>
      <c r="AY216">
        <f>IF(OR($IW46=0,calcA!$A$6=0),0,IF(AX$117=1,AX46,0))</f>
        <v/>
      </c>
      <c r="AZ216">
        <f>IF(OR($IW46=0,calcA!$A$6=0),0,IF(AZ$117=1,BA46,0))</f>
        <v/>
      </c>
      <c r="BA216">
        <f>IF(OR($IW46=0,calcA!$A$6=0),0,IF(AZ$117=1,AZ46,0)+IF(BA$117=1,BB46,0))</f>
        <v/>
      </c>
      <c r="BB216">
        <f>IF(OR($IW46=0,calcA!$A$6=0),0,IF(BA$117=1,BA46,0)+IF(BB$117=1,BC46,0))</f>
        <v/>
      </c>
      <c r="BC216">
        <f>IF(OR($IW46=0,calcA!$A$6=0),0,IF(BB$117=1,BB46,0)+IF(BC$117=1,BD46,0))</f>
        <v/>
      </c>
      <c r="BD216">
        <f>IF(OR($IW46=0,calcA!$A$6=0),0,IF(BC$117=1,BC46,0)+IF(BD$117=1,BE46,0))</f>
        <v/>
      </c>
      <c r="BE216">
        <f>IF(OR($IW46=0,calcA!$A$6=0),0,IF(BD$117=1,BD46,0)+IF(BE$117=1,BF46,0))</f>
        <v/>
      </c>
      <c r="BF216">
        <f>IF(OR($IW46=0,calcA!$A$6=0),0,IF(BE$117=1,BE46,0)+IF(BF$117=1,BG46,0))</f>
        <v/>
      </c>
      <c r="BG216">
        <f>IF(OR($IW46=0,calcA!$A$6=0),0,IF(BF$117=1,BF46,0)+IF(BG$117=1,BH46,0))</f>
        <v/>
      </c>
      <c r="BH216">
        <f>IF(OR($IW46=0,calcA!$A$6=0),0,IF(BG$117=1,BG46,0)+IF(BH$117=1,BI46,0))</f>
        <v/>
      </c>
      <c r="BI216">
        <f>IF(OR($IW46=0,calcA!$A$6=0),0,IF(BH$117=1,BH46,0)+IF(BI$117=1,BJ46,0))</f>
        <v/>
      </c>
      <c r="BJ216">
        <f>IF(OR($IW46=0,calcA!$A$6=0),0,IF(BI$117=1,BI46,0)+IF(BJ$117=1,BK46,0))</f>
        <v/>
      </c>
      <c r="BK216">
        <f>IF(OR($IW46=0,calcA!$A$6=0),0,IF(BJ$117=1,BJ46,0)+IF(BK$117=1,BL46,0))</f>
        <v/>
      </c>
      <c r="BL216">
        <f>IF(OR($IW46=0,calcA!$A$6=0),0,IF(BK$117=1,BK46,0)+IF(BL$117=1,BM46,0))</f>
        <v/>
      </c>
      <c r="BM216">
        <f>IF(OR($IW46=0,calcA!$A$6=0),0,IF(BL$117=1,BL46,0)+IF(BM$117=1,BN46,0))</f>
        <v/>
      </c>
      <c r="BN216">
        <f>IF(OR($IW46=0,calcA!$A$6=0),0,IF(BM$117=1,BM46,0)+IF(BN$117=1,BO46,0))</f>
        <v/>
      </c>
      <c r="BO216">
        <f>IF(OR($IW46=0,calcA!$A$6=0),0,IF(BN$117=1,BN46,0)+IF(BO$117=1,BP46,0))</f>
        <v/>
      </c>
      <c r="BP216">
        <f>IF(OR($IW46=0,calcA!$A$6=0),0,IF(BO$117=1,BO46,0)+IF(BP$117=1,BQ46,0))</f>
        <v/>
      </c>
      <c r="BQ216">
        <f>IF(OR($IW46=0,calcA!$A$6=0),0,IF(BP$117=1,BP46,0)+IF(BQ$117=1,BR46,0))</f>
        <v/>
      </c>
      <c r="BR216">
        <f>IF(OR($IW46=0,calcA!$A$6=0),0,IF(BQ$117=1,BQ46,0)+IF(BR$117=1,BS46,0))</f>
        <v/>
      </c>
      <c r="BS216">
        <f>IF(OR($IW46=0,calcA!$A$6=0),0,IF(BR$117=1,BR46,0)+IF(BS$117=1,BT46,0))</f>
        <v/>
      </c>
      <c r="BT216">
        <f>IF(OR($IW46=0,calcA!$A$6=0),0,IF(BS$117=1,BS46,0)+IF(BT$117=1,BU46,0))</f>
        <v/>
      </c>
      <c r="BU216">
        <f>IF(OR($IW46=0,calcA!$A$6=0),0,IF(BT$117=1,BT46,0)+IF(BU$117=1,BV46,0))</f>
        <v/>
      </c>
      <c r="BV216">
        <f>IF(OR($IW46=0,calcA!$A$6=0),0,IF(BU$117=1,BU46,0)+IF(BV$117=1,BW46,0))</f>
        <v/>
      </c>
      <c r="BW216">
        <f>IF(OR($IW46=0,calcA!$A$6=0),0,IF(BV$117=1,BV46,0))</f>
        <v/>
      </c>
      <c r="BX216">
        <f>IF(OR($IW46=0,calcA!$A$6=0),0,IF(BX$117=1,BY46,0))</f>
        <v/>
      </c>
      <c r="BY216">
        <f>IF(OR($IW46=0,calcA!$A$6=0),0,IF(BX$117=1,BX46,0)+IF(BY$117=1,BZ46,0))</f>
        <v/>
      </c>
      <c r="BZ216">
        <f>IF(OR($IW46=0,calcA!$A$6=0),0,IF(BY$117=1,BY46,0)+IF(BZ$117=1,CA46,0))</f>
        <v/>
      </c>
      <c r="CA216">
        <f>IF(OR($IW46=0,calcA!$A$6=0),0,IF(BZ$117=1,BZ46,0)+IF(CA$117=1,CB46,0))</f>
        <v/>
      </c>
      <c r="CB216">
        <f>IF(OR($IW46=0,calcA!$A$6=0),0,IF(CA$117=1,CA46,0)+IF(CB$117=1,CC46,0))</f>
        <v/>
      </c>
      <c r="CC216">
        <f>IF(OR($IW46=0,calcA!$A$6=0),0,IF(CB$117=1,CB46,0)+IF(CC$117=1,CD46,0))</f>
        <v/>
      </c>
      <c r="CD216">
        <f>IF(OR($IW46=0,calcA!$A$6=0),0,IF(CC$117=1,CC46,0)+IF(CD$117=1,CE46,0))</f>
        <v/>
      </c>
      <c r="CE216">
        <f>IF(OR($IW46=0,calcA!$A$6=0),0,IF(CD$117=1,CD46,0)+IF(CE$117=1,CF46,0))</f>
        <v/>
      </c>
      <c r="CF216">
        <f>IF(OR($IW46=0,calcA!$A$6=0),0,IF(CE$117=1,CE46,0)+IF(CF$117=1,CG46,0))</f>
        <v/>
      </c>
      <c r="CG216">
        <f>IF(OR($IW46=0,calcA!$A$6=0),0,IF(CF$117=1,CF46,0)+IF(CG$117=1,CH46,0))</f>
        <v/>
      </c>
      <c r="CH216">
        <f>IF(OR($IW46=0,calcA!$A$6=0),0,IF(CG$117=1,CG46,0)+IF(CH$117=1,CI46,0))</f>
        <v/>
      </c>
      <c r="CI216">
        <f>IF(OR($IW46=0,calcA!$A$6=0),0,IF(CH$117=1,CH46,0)+IF(CI$117=1,CJ46,0))</f>
        <v/>
      </c>
      <c r="CJ216">
        <f>IF(OR($IW46=0,calcA!$A$6=0),0,IF(CI$117=1,CI46,0)+IF(CJ$117=1,CK46,0))</f>
        <v/>
      </c>
      <c r="CK216">
        <f>IF(OR($IW46=0,calcA!$A$6=0),0,IF(CJ$117=1,CJ46,0)+IF(CK$117=1,CL46,0))</f>
        <v/>
      </c>
      <c r="CL216">
        <f>IF(OR($IW46=0,calcA!$A$6=0),0,IF(CK$117=1,CK46,0)+IF(CL$117=1,CM46,0))</f>
        <v/>
      </c>
      <c r="CM216">
        <f>IF(OR($IW46=0,calcA!$A$6=0),0,IF(CL$117=1,CL46,0)+IF(CM$117=1,CN46,0))</f>
        <v/>
      </c>
      <c r="CN216">
        <f>IF(OR($IW46=0,calcA!$A$6=0),0,IF(CM$117=1,CM46,0)+IF(CN$117=1,CO46,0))</f>
        <v/>
      </c>
      <c r="CO216">
        <f>IF(OR($IW46=0,calcA!$A$6=0),0,IF(CN$117=1,CN46,0)+IF(CO$117=1,CP46,0))</f>
        <v/>
      </c>
      <c r="CP216">
        <f>IF(OR($IW46=0,calcA!$A$6=0),0,IF(CO$117=1,CO46,0)+IF(CP$117=1,CQ46,0))</f>
        <v/>
      </c>
      <c r="CQ216">
        <f>IF(OR($IW46=0,calcA!$A$6=0),0,IF(CP$117=1,CP46,0)+IF(CQ$117=1,CR46,0))</f>
        <v/>
      </c>
      <c r="CR216">
        <f>IF(OR($IW46=0,calcA!$A$6=0),0,IF(CQ$117=1,CQ46,0)+IF(CR$117=1,CS46,0))</f>
        <v/>
      </c>
      <c r="CS216">
        <f>IF(OR($IW46=0,calcA!$A$6=0),0,IF(CR$117=1,CR46,0)+IF(CS$117=1,CT46,0))</f>
        <v/>
      </c>
      <c r="CT216">
        <f>IF(OR($IW46=0,calcA!$A$6=0),0,IF(CS$117=1,CS46,0)+IF(CT$117=1,CU46,0))</f>
        <v/>
      </c>
      <c r="CU216">
        <f>IF(OR($IW46=0,calcA!$A$6=0),0,IF(CT$117=1,CT46,0))</f>
        <v/>
      </c>
      <c r="CV216">
        <f>IF(OR($IW46=0,calcA!$A$6=0),0,IF(CV$117=1,CW46,0))</f>
        <v/>
      </c>
      <c r="CW216">
        <f>IF(OR($IW46=0,calcA!$A$6=0),0,IF(CV$117=1,CV46,0)+IF(CW$117=1,CX46,0))</f>
        <v/>
      </c>
      <c r="CX216">
        <f>IF(OR($IW46=0,calcA!$A$6=0),0,IF(CW$117=1,CW46,0)+IF(CX$117=1,CY46,0))</f>
        <v/>
      </c>
      <c r="CY216">
        <f>IF(OR($IW46=0,calcA!$A$6=0),0,IF(CX$117=1,CX46,0)+IF(CY$117=1,CZ46,0))</f>
        <v/>
      </c>
      <c r="CZ216">
        <f>IF(OR($IW46=0,calcA!$A$6=0),0,IF(CY$117=1,CY46,0)+IF(CZ$117=1,DA46,0))</f>
        <v/>
      </c>
      <c r="DA216">
        <f>IF(OR($IW46=0,calcA!$A$6=0),0,IF(CZ$117=1,CZ46,0)+IF(DA$117=1,DB46,0))</f>
        <v/>
      </c>
      <c r="DB216">
        <f>IF(OR($IW46=0,calcA!$A$6=0),0,IF(DA$117=1,DA46,0)+IF(DB$117=1,DC46,0))</f>
        <v/>
      </c>
      <c r="DC216">
        <f>IF(OR($IW46=0,calcA!$A$6=0),0,IF(DB$117=1,DB46,0)+IF(DC$117=1,DD46,0))</f>
        <v/>
      </c>
      <c r="DD216">
        <f>IF(OR($IW46=0,calcA!$A$6=0),0,IF(DC$117=1,DC46,0)+IF(DD$117=1,DE46,0))</f>
        <v/>
      </c>
      <c r="DE216">
        <f>IF(OR($IW46=0,calcA!$A$6=0),0,IF(DD$117=1,DD46,0)+IF(DE$117=1,DF46,0))</f>
        <v/>
      </c>
      <c r="DF216">
        <f>IF(OR($IW46=0,calcA!$A$6=0),0,IF(DE$117=1,DE46,0)+IF(DF$117=1,DG46,0))</f>
        <v/>
      </c>
      <c r="DG216">
        <f>IF(OR($IW46=0,calcA!$A$6=0),0,IF(DF$117=1,DF46,0)+IF(DG$117=1,DH46,0))</f>
        <v/>
      </c>
      <c r="DH216">
        <f>IF(OR($IW46=0,calcA!$A$6=0),0,IF(DG$117=1,DG46,0)+IF(DH$117=1,DI46,0))</f>
        <v/>
      </c>
      <c r="DI216">
        <f>IF(OR($IW46=0,calcA!$A$6=0),0,IF(DH$117=1,DH46,0)+IF(DI$117=1,DJ46,0))</f>
        <v/>
      </c>
      <c r="DJ216">
        <f>IF(OR($IW46=0,calcA!$A$6=0),0,IF(DI$117=1,DI46,0)+IF(DJ$117=1,DK46,0))</f>
        <v/>
      </c>
      <c r="DK216">
        <f>IF(OR($IW46=0,calcA!$A$6=0),0,IF(DJ$117=1,DJ46,0)+IF(DK$117=1,DL46,0))</f>
        <v/>
      </c>
      <c r="DL216">
        <f>IF(OR($IW46=0,calcA!$A$6=0),0,IF(DK$117=1,DK46,0)+IF(DL$117=1,DM46,0))</f>
        <v/>
      </c>
      <c r="DM216">
        <f>IF(OR($IW46=0,calcA!$A$6=0),0,IF(DL$117=1,DL46,0)+IF(DM$117=1,DN46,0))</f>
        <v/>
      </c>
      <c r="DN216">
        <f>IF(OR($IW46=0,calcA!$A$6=0),0,IF(DM$117=1,DM46,0)+IF(DN$117=1,DO46,0))</f>
        <v/>
      </c>
      <c r="DO216">
        <f>IF(OR($IW46=0,calcA!$A$6=0),0,IF(DN$117=1,DN46,0)+IF(DO$117=1,DP46,0))</f>
        <v/>
      </c>
      <c r="DP216">
        <f>IF(OR($IW46=0,calcA!$A$6=0),0,IF(DO$117=1,DO46,0)+IF(DP$117=1,DQ46,0))</f>
        <v/>
      </c>
      <c r="DQ216">
        <f>IF(OR($IW46=0,calcA!$A$6=0),0,IF(DP$117=1,DP46,0)+IF(DQ$117=1,DR46,0))</f>
        <v/>
      </c>
      <c r="DR216">
        <f>IF(OR($IW46=0,calcA!$A$6=0),0,IF(DQ$117=1,DQ46,0)+IF(DR$117=1,DS46,0))</f>
        <v/>
      </c>
      <c r="DS216">
        <f>IF(OR($IW46=0,calcA!$A$6=0),0,IF(DR$117=1,DR46,0))</f>
        <v/>
      </c>
      <c r="DT216">
        <f>IF(OR($IW46=0,calcA!$A$6=0),0,IF(DT$117=1,DU46,0))</f>
        <v/>
      </c>
      <c r="DU216">
        <f>IF(OR($IW46=0,calcA!$A$6=0),0,IF(DT$117=1,DT46,0)+IF(DU$117=1,DV46,0))</f>
        <v/>
      </c>
      <c r="DV216">
        <f>IF(OR($IW46=0,calcA!$A$6=0),0,IF(DU$117=1,DU46,0)+IF(DV$117=1,DW46,0))</f>
        <v/>
      </c>
      <c r="DW216">
        <f>IF(OR($IW46=0,calcA!$A$6=0),0,IF(DV$117=1,DV46,0)+IF(DW$117=1,DX46,0))</f>
        <v/>
      </c>
      <c r="DX216">
        <f>IF(OR($IW46=0,calcA!$A$6=0),0,IF(DW$117=1,DW46,0)+IF(DX$117=1,DY46,0))</f>
        <v/>
      </c>
      <c r="DY216">
        <f>IF(OR($IW46=0,calcA!$A$6=0),0,IF(DX$117=1,DX46,0)+IF(DY$117=1,DZ46,0))</f>
        <v/>
      </c>
      <c r="DZ216">
        <f>IF(OR($IW46=0,calcA!$A$6=0),0,IF(DY$117=1,DY46,0)+IF(DZ$117=1,EA46,0))</f>
        <v/>
      </c>
      <c r="EA216">
        <f>IF(OR($IW46=0,calcA!$A$6=0),0,IF(DZ$117=1,DZ46,0)+IF(EA$117=1,EB46,0))</f>
        <v/>
      </c>
      <c r="EB216">
        <f>IF(OR($IW46=0,calcA!$A$6=0),0,IF(EA$117=1,EA46,0)+IF(EB$117=1,EC46,0))</f>
        <v/>
      </c>
      <c r="EC216">
        <f>IF(OR($IW46=0,calcA!$A$6=0),0,IF(EB$117=1,EB46,0)+IF(EC$117=1,ED46,0))</f>
        <v/>
      </c>
      <c r="ED216">
        <f>IF(OR($IW46=0,calcA!$A$6=0),0,IF(EC$117=1,EC46,0)+IF(ED$117=1,EE46,0))</f>
        <v/>
      </c>
      <c r="EE216">
        <f>IF(OR($IW46=0,calcA!$A$6=0),0,IF(ED$117=1,ED46,0)+IF(EE$117=1,EF46,0))</f>
        <v/>
      </c>
      <c r="EF216">
        <f>IF(OR($IW46=0,calcA!$A$6=0),0,IF(EE$117=1,EE46,0)+IF(EF$117=1,EG46,0))</f>
        <v/>
      </c>
      <c r="EG216">
        <f>IF(OR($IW46=0,calcA!$A$6=0),0,IF(EF$117=1,EF46,0)+IF(EG$117=1,EH46,0))</f>
        <v/>
      </c>
      <c r="EH216">
        <f>IF(OR($IW46=0,calcA!$A$6=0),0,IF(EG$117=1,EG46,0)+IF(EH$117=1,EI46,0))</f>
        <v/>
      </c>
      <c r="EI216">
        <f>IF(OR($IW46=0,calcA!$A$6=0),0,IF(EH$117=1,EH46,0)+IF(EI$117=1,EJ46,0))</f>
        <v/>
      </c>
      <c r="EJ216">
        <f>IF(OR($IW46=0,calcA!$A$6=0),0,IF(EI$117=1,EI46,0)+IF(EJ$117=1,EK46,0))</f>
        <v/>
      </c>
      <c r="EK216">
        <f>IF(OR($IW46=0,calcA!$A$6=0),0,IF(EJ$117=1,EJ46,0)+IF(EK$117=1,EL46,0))</f>
        <v/>
      </c>
      <c r="EL216">
        <f>IF(OR($IW46=0,calcA!$A$6=0),0,IF(EK$117=1,EK46,0)+IF(EL$117=1,EM46,0))</f>
        <v/>
      </c>
      <c r="EM216">
        <f>IF(OR($IW46=0,calcA!$A$6=0),0,IF(EL$117=1,EL46,0)+IF(EM$117=1,EN46,0))</f>
        <v/>
      </c>
      <c r="EN216">
        <f>IF(OR($IW46=0,calcA!$A$6=0),0,IF(EM$117=1,EM46,0)+IF(EN$117=1,EO46,0))</f>
        <v/>
      </c>
      <c r="EO216">
        <f>IF(OR($IW46=0,calcA!$A$6=0),0,IF(EN$117=1,EN46,0)+IF(EO$117=1,EP46,0))</f>
        <v/>
      </c>
      <c r="EP216">
        <f>IF(OR($IW46=0,calcA!$A$6=0),0,IF(EO$117=1,EO46,0)+IF(EP$117=1,EQ46,0))</f>
        <v/>
      </c>
      <c r="EQ216">
        <f>IF(OR($IW46=0,calcA!$A$6=0),0,IF(EP$117=1,EP46,0))</f>
        <v/>
      </c>
    </row>
    <row r="217">
      <c r="D217">
        <f>IF(OR($IW47=0,calcA!$A$6=0),0,IF(D$117=1,E47,0))</f>
        <v/>
      </c>
      <c r="E217">
        <f>IF(OR($IW47=0,calcA!$A$6=0),0,IF(D$117=1,D47,0)+IF(E$117=1,F47,0))</f>
        <v/>
      </c>
      <c r="F217">
        <f>IF(OR($IW47=0,calcA!$A$6=0),0,IF(E$117=1,E47,0)+IF(F$117=1,G47,0))</f>
        <v/>
      </c>
      <c r="G217">
        <f>IF(OR($IW47=0,calcA!$A$6=0),0,IF(F$117=1,F47,0)+IF(G$117=1,H47,0))</f>
        <v/>
      </c>
      <c r="H217">
        <f>IF(OR($IW47=0,calcA!$A$6=0),0,IF(G$117=1,G47,0)+IF(H$117=1,I47,0))</f>
        <v/>
      </c>
      <c r="I217">
        <f>IF(OR($IW47=0,calcA!$A$6=0),0,IF(H$117=1,H47,0)+IF(I$117=1,J47,0))</f>
        <v/>
      </c>
      <c r="J217">
        <f>IF(OR($IW47=0,calcA!$A$6=0),0,IF(I$117=1,I47,0)+IF(J$117=1,K47,0))</f>
        <v/>
      </c>
      <c r="K217">
        <f>IF(OR($IW47=0,calcA!$A$6=0),0,IF(J$117=1,J47,0)+IF(K$117=1,L47,0))</f>
        <v/>
      </c>
      <c r="L217">
        <f>IF(OR($IW47=0,calcA!$A$6=0),0,IF(K$117=1,K47,0)+IF(L$117=1,M47,0))</f>
        <v/>
      </c>
      <c r="M217">
        <f>IF(OR($IW47=0,calcA!$A$6=0),0,IF(L$117=1,L47,0)+IF(M$117=1,N47,0))</f>
        <v/>
      </c>
      <c r="N217">
        <f>IF(OR($IW47=0,calcA!$A$6=0),0,IF(M$117=1,M47,0)+IF(N$117=1,O47,0))</f>
        <v/>
      </c>
      <c r="O217">
        <f>IF(OR($IW47=0,calcA!$A$6=0),0,IF(N$117=1,N47,0)+IF(O$117=1,P47,0))</f>
        <v/>
      </c>
      <c r="P217">
        <f>IF(OR($IW47=0,calcA!$A$6=0),0,IF(O$117=1,O47,0)+IF(P$117=1,Q47,0))</f>
        <v/>
      </c>
      <c r="Q217">
        <f>IF(OR($IW47=0,calcA!$A$6=0),0,IF(P$117=1,P47,0)+IF(Q$117=1,R47,0))</f>
        <v/>
      </c>
      <c r="R217">
        <f>IF(OR($IW47=0,calcA!$A$6=0),0,IF(Q$117=1,Q47,0)+IF(R$117=1,S47,0))</f>
        <v/>
      </c>
      <c r="S217">
        <f>IF(OR($IW47=0,calcA!$A$6=0),0,IF(R$117=1,R47,0)+IF(S$117=1,T47,0))</f>
        <v/>
      </c>
      <c r="T217">
        <f>IF(OR($IW47=0,calcA!$A$6=0),0,IF(S$117=1,S47,0)+IF(T$117=1,U47,0))</f>
        <v/>
      </c>
      <c r="U217">
        <f>IF(OR($IW47=0,calcA!$A$6=0),0,IF(T$117=1,T47,0)+IF(U$117=1,V47,0))</f>
        <v/>
      </c>
      <c r="V217">
        <f>IF(OR($IW47=0,calcA!$A$6=0),0,IF(U$117=1,U47,0)+IF(V$117=1,W47,0))</f>
        <v/>
      </c>
      <c r="W217">
        <f>IF(OR($IW47=0,calcA!$A$6=0),0,IF(V$117=1,V47,0)+IF(W$117=1,X47,0))</f>
        <v/>
      </c>
      <c r="X217">
        <f>IF(OR($IW47=0,calcA!$A$6=0),0,IF(W$117=1,W47,0)+IF(X$117=1,Y47,0))</f>
        <v/>
      </c>
      <c r="Y217">
        <f>IF(OR($IW47=0,calcA!$A$6=0),0,IF(X$117=1,X47,0)+IF(Y$117=1,Z47,0))</f>
        <v/>
      </c>
      <c r="Z217">
        <f>IF(OR($IW47=0,calcA!$A$6=0),0,IF(Y$117=1,Y47,0)+IF(Z$117=1,AA47,0))</f>
        <v/>
      </c>
      <c r="AA217">
        <f>IF(OR($IW47=0,calcA!$A$6=0),0,IF(Z$117=1,Z47,0))</f>
        <v/>
      </c>
      <c r="AB217">
        <f>IF(OR($IW47=0,calcA!$A$6=0),0,IF(AB$117=1,AC47,0))</f>
        <v/>
      </c>
      <c r="AC217">
        <f>IF(OR($IW47=0,calcA!$A$6=0),0,IF(AB$117=1,AB47,0)+IF(AC$117=1,AD47,0))</f>
        <v/>
      </c>
      <c r="AD217">
        <f>IF(OR($IW47=0,calcA!$A$6=0),0,IF(AC$117=1,AC47,0)+IF(AD$117=1,AE47,0))</f>
        <v/>
      </c>
      <c r="AE217">
        <f>IF(OR($IW47=0,calcA!$A$6=0),0,IF(AD$117=1,AD47,0)+IF(AE$117=1,AF47,0))</f>
        <v/>
      </c>
      <c r="AF217">
        <f>IF(OR($IW47=0,calcA!$A$6=0),0,IF(AE$117=1,AE47,0)+IF(AF$117=1,AG47,0))</f>
        <v/>
      </c>
      <c r="AG217">
        <f>IF(OR($IW47=0,calcA!$A$6=0),0,IF(AF$117=1,AF47,0)+IF(AG$117=1,AH47,0))</f>
        <v/>
      </c>
      <c r="AH217">
        <f>IF(OR($IW47=0,calcA!$A$6=0),0,IF(AG$117=1,AG47,0)+IF(AH$117=1,AI47,0))</f>
        <v/>
      </c>
      <c r="AI217">
        <f>IF(OR($IW47=0,calcA!$A$6=0),0,IF(AH$117=1,AH47,0)+IF(AI$117=1,AJ47,0))</f>
        <v/>
      </c>
      <c r="AJ217">
        <f>IF(OR($IW47=0,calcA!$A$6=0),0,IF(AI$117=1,AI47,0)+IF(AJ$117=1,AK47,0))</f>
        <v/>
      </c>
      <c r="AK217">
        <f>IF(OR($IW47=0,calcA!$A$6=0),0,IF(AJ$117=1,AJ47,0)+IF(AK$117=1,AL47,0))</f>
        <v/>
      </c>
      <c r="AL217">
        <f>IF(OR($IW47=0,calcA!$A$6=0),0,IF(AK$117=1,AK47,0)+IF(AL$117=1,AM47,0))</f>
        <v/>
      </c>
      <c r="AM217">
        <f>IF(OR($IW47=0,calcA!$A$6=0),0,IF(AL$117=1,AL47,0)+IF(AM$117=1,AN47,0))</f>
        <v/>
      </c>
      <c r="AN217">
        <f>IF(OR($IW47=0,calcA!$A$6=0),0,IF(AM$117=1,AM47,0)+IF(AN$117=1,AO47,0))</f>
        <v/>
      </c>
      <c r="AO217">
        <f>IF(OR($IW47=0,calcA!$A$6=0),0,IF(AN$117=1,AN47,0)+IF(AO$117=1,AP47,0))</f>
        <v/>
      </c>
      <c r="AP217">
        <f>IF(OR($IW47=0,calcA!$A$6=0),0,IF(AO$117=1,AO47,0)+IF(AP$117=1,AQ47,0))</f>
        <v/>
      </c>
      <c r="AQ217">
        <f>IF(OR($IW47=0,calcA!$A$6=0),0,IF(AP$117=1,AP47,0)+IF(AQ$117=1,AR47,0))</f>
        <v/>
      </c>
      <c r="AR217">
        <f>IF(OR($IW47=0,calcA!$A$6=0),0,IF(AQ$117=1,AQ47,0)+IF(AR$117=1,AS47,0))</f>
        <v/>
      </c>
      <c r="AS217">
        <f>IF(OR($IW47=0,calcA!$A$6=0),0,IF(AR$117=1,AR47,0)+IF(AS$117=1,AT47,0))</f>
        <v/>
      </c>
      <c r="AT217">
        <f>IF(OR($IW47=0,calcA!$A$6=0),0,IF(AS$117=1,AS47,0)+IF(AT$117=1,AU47,0))</f>
        <v/>
      </c>
      <c r="AU217">
        <f>IF(OR($IW47=0,calcA!$A$6=0),0,IF(AT$117=1,AT47,0)+IF(AU$117=1,AV47,0))</f>
        <v/>
      </c>
      <c r="AV217">
        <f>IF(OR($IW47=0,calcA!$A$6=0),0,IF(AU$117=1,AU47,0)+IF(AV$117=1,AW47,0))</f>
        <v/>
      </c>
      <c r="AW217">
        <f>IF(OR($IW47=0,calcA!$A$6=0),0,IF(AV$117=1,AV47,0)+IF(AW$117=1,AX47,0))</f>
        <v/>
      </c>
      <c r="AX217">
        <f>IF(OR($IW47=0,calcA!$A$6=0),0,IF(AW$117=1,AW47,0)+IF(AX$117=1,AY47,0))</f>
        <v/>
      </c>
      <c r="AY217">
        <f>IF(OR($IW47=0,calcA!$A$6=0),0,IF(AX$117=1,AX47,0))</f>
        <v/>
      </c>
      <c r="AZ217">
        <f>IF(OR($IW47=0,calcA!$A$6=0),0,IF(AZ$117=1,BA47,0))</f>
        <v/>
      </c>
      <c r="BA217">
        <f>IF(OR($IW47=0,calcA!$A$6=0),0,IF(AZ$117=1,AZ47,0)+IF(BA$117=1,BB47,0))</f>
        <v/>
      </c>
      <c r="BB217">
        <f>IF(OR($IW47=0,calcA!$A$6=0),0,IF(BA$117=1,BA47,0)+IF(BB$117=1,BC47,0))</f>
        <v/>
      </c>
      <c r="BC217">
        <f>IF(OR($IW47=0,calcA!$A$6=0),0,IF(BB$117=1,BB47,0)+IF(BC$117=1,BD47,0))</f>
        <v/>
      </c>
      <c r="BD217">
        <f>IF(OR($IW47=0,calcA!$A$6=0),0,IF(BC$117=1,BC47,0)+IF(BD$117=1,BE47,0))</f>
        <v/>
      </c>
      <c r="BE217">
        <f>IF(OR($IW47=0,calcA!$A$6=0),0,IF(BD$117=1,BD47,0)+IF(BE$117=1,BF47,0))</f>
        <v/>
      </c>
      <c r="BF217">
        <f>IF(OR($IW47=0,calcA!$A$6=0),0,IF(BE$117=1,BE47,0)+IF(BF$117=1,BG47,0))</f>
        <v/>
      </c>
      <c r="BG217">
        <f>IF(OR($IW47=0,calcA!$A$6=0),0,IF(BF$117=1,BF47,0)+IF(BG$117=1,BH47,0))</f>
        <v/>
      </c>
      <c r="BH217">
        <f>IF(OR($IW47=0,calcA!$A$6=0),0,IF(BG$117=1,BG47,0)+IF(BH$117=1,BI47,0))</f>
        <v/>
      </c>
      <c r="BI217">
        <f>IF(OR($IW47=0,calcA!$A$6=0),0,IF(BH$117=1,BH47,0)+IF(BI$117=1,BJ47,0))</f>
        <v/>
      </c>
      <c r="BJ217">
        <f>IF(OR($IW47=0,calcA!$A$6=0),0,IF(BI$117=1,BI47,0)+IF(BJ$117=1,BK47,0))</f>
        <v/>
      </c>
      <c r="BK217">
        <f>IF(OR($IW47=0,calcA!$A$6=0),0,IF(BJ$117=1,BJ47,0)+IF(BK$117=1,BL47,0))</f>
        <v/>
      </c>
      <c r="BL217">
        <f>IF(OR($IW47=0,calcA!$A$6=0),0,IF(BK$117=1,BK47,0)+IF(BL$117=1,BM47,0))</f>
        <v/>
      </c>
      <c r="BM217">
        <f>IF(OR($IW47=0,calcA!$A$6=0),0,IF(BL$117=1,BL47,0)+IF(BM$117=1,BN47,0))</f>
        <v/>
      </c>
      <c r="BN217">
        <f>IF(OR($IW47=0,calcA!$A$6=0),0,IF(BM$117=1,BM47,0)+IF(BN$117=1,BO47,0))</f>
        <v/>
      </c>
      <c r="BO217">
        <f>IF(OR($IW47=0,calcA!$A$6=0),0,IF(BN$117=1,BN47,0)+IF(BO$117=1,BP47,0))</f>
        <v/>
      </c>
      <c r="BP217">
        <f>IF(OR($IW47=0,calcA!$A$6=0),0,IF(BO$117=1,BO47,0)+IF(BP$117=1,BQ47,0))</f>
        <v/>
      </c>
      <c r="BQ217">
        <f>IF(OR($IW47=0,calcA!$A$6=0),0,IF(BP$117=1,BP47,0)+IF(BQ$117=1,BR47,0))</f>
        <v/>
      </c>
      <c r="BR217">
        <f>IF(OR($IW47=0,calcA!$A$6=0),0,IF(BQ$117=1,BQ47,0)+IF(BR$117=1,BS47,0))</f>
        <v/>
      </c>
      <c r="BS217">
        <f>IF(OR($IW47=0,calcA!$A$6=0),0,IF(BR$117=1,BR47,0)+IF(BS$117=1,BT47,0))</f>
        <v/>
      </c>
      <c r="BT217">
        <f>IF(OR($IW47=0,calcA!$A$6=0),0,IF(BS$117=1,BS47,0)+IF(BT$117=1,BU47,0))</f>
        <v/>
      </c>
      <c r="BU217">
        <f>IF(OR($IW47=0,calcA!$A$6=0),0,IF(BT$117=1,BT47,0)+IF(BU$117=1,BV47,0))</f>
        <v/>
      </c>
      <c r="BV217">
        <f>IF(OR($IW47=0,calcA!$A$6=0),0,IF(BU$117=1,BU47,0)+IF(BV$117=1,BW47,0))</f>
        <v/>
      </c>
      <c r="BW217">
        <f>IF(OR($IW47=0,calcA!$A$6=0),0,IF(BV$117=1,BV47,0))</f>
        <v/>
      </c>
      <c r="BX217">
        <f>IF(OR($IW47=0,calcA!$A$6=0),0,IF(BX$117=1,BY47,0))</f>
        <v/>
      </c>
      <c r="BY217">
        <f>IF(OR($IW47=0,calcA!$A$6=0),0,IF(BX$117=1,BX47,0)+IF(BY$117=1,BZ47,0))</f>
        <v/>
      </c>
      <c r="BZ217">
        <f>IF(OR($IW47=0,calcA!$A$6=0),0,IF(BY$117=1,BY47,0)+IF(BZ$117=1,CA47,0))</f>
        <v/>
      </c>
      <c r="CA217">
        <f>IF(OR($IW47=0,calcA!$A$6=0),0,IF(BZ$117=1,BZ47,0)+IF(CA$117=1,CB47,0))</f>
        <v/>
      </c>
      <c r="CB217">
        <f>IF(OR($IW47=0,calcA!$A$6=0),0,IF(CA$117=1,CA47,0)+IF(CB$117=1,CC47,0))</f>
        <v/>
      </c>
      <c r="CC217">
        <f>IF(OR($IW47=0,calcA!$A$6=0),0,IF(CB$117=1,CB47,0)+IF(CC$117=1,CD47,0))</f>
        <v/>
      </c>
      <c r="CD217">
        <f>IF(OR($IW47=0,calcA!$A$6=0),0,IF(CC$117=1,CC47,0)+IF(CD$117=1,CE47,0))</f>
        <v/>
      </c>
      <c r="CE217">
        <f>IF(OR($IW47=0,calcA!$A$6=0),0,IF(CD$117=1,CD47,0)+IF(CE$117=1,CF47,0))</f>
        <v/>
      </c>
      <c r="CF217">
        <f>IF(OR($IW47=0,calcA!$A$6=0),0,IF(CE$117=1,CE47,0)+IF(CF$117=1,CG47,0))</f>
        <v/>
      </c>
      <c r="CG217">
        <f>IF(OR($IW47=0,calcA!$A$6=0),0,IF(CF$117=1,CF47,0)+IF(CG$117=1,CH47,0))</f>
        <v/>
      </c>
      <c r="CH217">
        <f>IF(OR($IW47=0,calcA!$A$6=0),0,IF(CG$117=1,CG47,0)+IF(CH$117=1,CI47,0))</f>
        <v/>
      </c>
      <c r="CI217">
        <f>IF(OR($IW47=0,calcA!$A$6=0),0,IF(CH$117=1,CH47,0)+IF(CI$117=1,CJ47,0))</f>
        <v/>
      </c>
      <c r="CJ217">
        <f>IF(OR($IW47=0,calcA!$A$6=0),0,IF(CI$117=1,CI47,0)+IF(CJ$117=1,CK47,0))</f>
        <v/>
      </c>
      <c r="CK217">
        <f>IF(OR($IW47=0,calcA!$A$6=0),0,IF(CJ$117=1,CJ47,0)+IF(CK$117=1,CL47,0))</f>
        <v/>
      </c>
      <c r="CL217">
        <f>IF(OR($IW47=0,calcA!$A$6=0),0,IF(CK$117=1,CK47,0)+IF(CL$117=1,CM47,0))</f>
        <v/>
      </c>
      <c r="CM217">
        <f>IF(OR($IW47=0,calcA!$A$6=0),0,IF(CL$117=1,CL47,0)+IF(CM$117=1,CN47,0))</f>
        <v/>
      </c>
      <c r="CN217">
        <f>IF(OR($IW47=0,calcA!$A$6=0),0,IF(CM$117=1,CM47,0)+IF(CN$117=1,CO47,0))</f>
        <v/>
      </c>
      <c r="CO217">
        <f>IF(OR($IW47=0,calcA!$A$6=0),0,IF(CN$117=1,CN47,0)+IF(CO$117=1,CP47,0))</f>
        <v/>
      </c>
      <c r="CP217">
        <f>IF(OR($IW47=0,calcA!$A$6=0),0,IF(CO$117=1,CO47,0)+IF(CP$117=1,CQ47,0))</f>
        <v/>
      </c>
      <c r="CQ217">
        <f>IF(OR($IW47=0,calcA!$A$6=0),0,IF(CP$117=1,CP47,0)+IF(CQ$117=1,CR47,0))</f>
        <v/>
      </c>
      <c r="CR217">
        <f>IF(OR($IW47=0,calcA!$A$6=0),0,IF(CQ$117=1,CQ47,0)+IF(CR$117=1,CS47,0))</f>
        <v/>
      </c>
      <c r="CS217">
        <f>IF(OR($IW47=0,calcA!$A$6=0),0,IF(CR$117=1,CR47,0)+IF(CS$117=1,CT47,0))</f>
        <v/>
      </c>
      <c r="CT217">
        <f>IF(OR($IW47=0,calcA!$A$6=0),0,IF(CS$117=1,CS47,0)+IF(CT$117=1,CU47,0))</f>
        <v/>
      </c>
      <c r="CU217">
        <f>IF(OR($IW47=0,calcA!$A$6=0),0,IF(CT$117=1,CT47,0))</f>
        <v/>
      </c>
      <c r="CV217">
        <f>IF(OR($IW47=0,calcA!$A$6=0),0,IF(CV$117=1,CW47,0))</f>
        <v/>
      </c>
      <c r="CW217">
        <f>IF(OR($IW47=0,calcA!$A$6=0),0,IF(CV$117=1,CV47,0)+IF(CW$117=1,CX47,0))</f>
        <v/>
      </c>
      <c r="CX217">
        <f>IF(OR($IW47=0,calcA!$A$6=0),0,IF(CW$117=1,CW47,0)+IF(CX$117=1,CY47,0))</f>
        <v/>
      </c>
      <c r="CY217">
        <f>IF(OR($IW47=0,calcA!$A$6=0),0,IF(CX$117=1,CX47,0)+IF(CY$117=1,CZ47,0))</f>
        <v/>
      </c>
      <c r="CZ217">
        <f>IF(OR($IW47=0,calcA!$A$6=0),0,IF(CY$117=1,CY47,0)+IF(CZ$117=1,DA47,0))</f>
        <v/>
      </c>
      <c r="DA217">
        <f>IF(OR($IW47=0,calcA!$A$6=0),0,IF(CZ$117=1,CZ47,0)+IF(DA$117=1,DB47,0))</f>
        <v/>
      </c>
      <c r="DB217">
        <f>IF(OR($IW47=0,calcA!$A$6=0),0,IF(DA$117=1,DA47,0)+IF(DB$117=1,DC47,0))</f>
        <v/>
      </c>
      <c r="DC217">
        <f>IF(OR($IW47=0,calcA!$A$6=0),0,IF(DB$117=1,DB47,0)+IF(DC$117=1,DD47,0))</f>
        <v/>
      </c>
      <c r="DD217">
        <f>IF(OR($IW47=0,calcA!$A$6=0),0,IF(DC$117=1,DC47,0)+IF(DD$117=1,DE47,0))</f>
        <v/>
      </c>
      <c r="DE217">
        <f>IF(OR($IW47=0,calcA!$A$6=0),0,IF(DD$117=1,DD47,0)+IF(DE$117=1,DF47,0))</f>
        <v/>
      </c>
      <c r="DF217">
        <f>IF(OR($IW47=0,calcA!$A$6=0),0,IF(DE$117=1,DE47,0)+IF(DF$117=1,DG47,0))</f>
        <v/>
      </c>
      <c r="DG217">
        <f>IF(OR($IW47=0,calcA!$A$6=0),0,IF(DF$117=1,DF47,0)+IF(DG$117=1,DH47,0))</f>
        <v/>
      </c>
      <c r="DH217">
        <f>IF(OR($IW47=0,calcA!$A$6=0),0,IF(DG$117=1,DG47,0)+IF(DH$117=1,DI47,0))</f>
        <v/>
      </c>
      <c r="DI217">
        <f>IF(OR($IW47=0,calcA!$A$6=0),0,IF(DH$117=1,DH47,0)+IF(DI$117=1,DJ47,0))</f>
        <v/>
      </c>
      <c r="DJ217">
        <f>IF(OR($IW47=0,calcA!$A$6=0),0,IF(DI$117=1,DI47,0)+IF(DJ$117=1,DK47,0))</f>
        <v/>
      </c>
      <c r="DK217">
        <f>IF(OR($IW47=0,calcA!$A$6=0),0,IF(DJ$117=1,DJ47,0)+IF(DK$117=1,DL47,0))</f>
        <v/>
      </c>
      <c r="DL217">
        <f>IF(OR($IW47=0,calcA!$A$6=0),0,IF(DK$117=1,DK47,0)+IF(DL$117=1,DM47,0))</f>
        <v/>
      </c>
      <c r="DM217">
        <f>IF(OR($IW47=0,calcA!$A$6=0),0,IF(DL$117=1,DL47,0)+IF(DM$117=1,DN47,0))</f>
        <v/>
      </c>
      <c r="DN217">
        <f>IF(OR($IW47=0,calcA!$A$6=0),0,IF(DM$117=1,DM47,0)+IF(DN$117=1,DO47,0))</f>
        <v/>
      </c>
      <c r="DO217">
        <f>IF(OR($IW47=0,calcA!$A$6=0),0,IF(DN$117=1,DN47,0)+IF(DO$117=1,DP47,0))</f>
        <v/>
      </c>
      <c r="DP217">
        <f>IF(OR($IW47=0,calcA!$A$6=0),0,IF(DO$117=1,DO47,0)+IF(DP$117=1,DQ47,0))</f>
        <v/>
      </c>
      <c r="DQ217">
        <f>IF(OR($IW47=0,calcA!$A$6=0),0,IF(DP$117=1,DP47,0)+IF(DQ$117=1,DR47,0))</f>
        <v/>
      </c>
      <c r="DR217">
        <f>IF(OR($IW47=0,calcA!$A$6=0),0,IF(DQ$117=1,DQ47,0)+IF(DR$117=1,DS47,0))</f>
        <v/>
      </c>
      <c r="DS217">
        <f>IF(OR($IW47=0,calcA!$A$6=0),0,IF(DR$117=1,DR47,0))</f>
        <v/>
      </c>
      <c r="DT217">
        <f>IF(OR($IW47=0,calcA!$A$6=0),0,IF(DT$117=1,DU47,0))</f>
        <v/>
      </c>
      <c r="DU217">
        <f>IF(OR($IW47=0,calcA!$A$6=0),0,IF(DT$117=1,DT47,0)+IF(DU$117=1,DV47,0))</f>
        <v/>
      </c>
      <c r="DV217">
        <f>IF(OR($IW47=0,calcA!$A$6=0),0,IF(DU$117=1,DU47,0)+IF(DV$117=1,DW47,0))</f>
        <v/>
      </c>
      <c r="DW217">
        <f>IF(OR($IW47=0,calcA!$A$6=0),0,IF(DV$117=1,DV47,0)+IF(DW$117=1,DX47,0))</f>
        <v/>
      </c>
      <c r="DX217">
        <f>IF(OR($IW47=0,calcA!$A$6=0),0,IF(DW$117=1,DW47,0)+IF(DX$117=1,DY47,0))</f>
        <v/>
      </c>
      <c r="DY217">
        <f>IF(OR($IW47=0,calcA!$A$6=0),0,IF(DX$117=1,DX47,0)+IF(DY$117=1,DZ47,0))</f>
        <v/>
      </c>
      <c r="DZ217">
        <f>IF(OR($IW47=0,calcA!$A$6=0),0,IF(DY$117=1,DY47,0)+IF(DZ$117=1,EA47,0))</f>
        <v/>
      </c>
      <c r="EA217">
        <f>IF(OR($IW47=0,calcA!$A$6=0),0,IF(DZ$117=1,DZ47,0)+IF(EA$117=1,EB47,0))</f>
        <v/>
      </c>
      <c r="EB217">
        <f>IF(OR($IW47=0,calcA!$A$6=0),0,IF(EA$117=1,EA47,0)+IF(EB$117=1,EC47,0))</f>
        <v/>
      </c>
      <c r="EC217">
        <f>IF(OR($IW47=0,calcA!$A$6=0),0,IF(EB$117=1,EB47,0)+IF(EC$117=1,ED47,0))</f>
        <v/>
      </c>
      <c r="ED217">
        <f>IF(OR($IW47=0,calcA!$A$6=0),0,IF(EC$117=1,EC47,0)+IF(ED$117=1,EE47,0))</f>
        <v/>
      </c>
      <c r="EE217">
        <f>IF(OR($IW47=0,calcA!$A$6=0),0,IF(ED$117=1,ED47,0)+IF(EE$117=1,EF47,0))</f>
        <v/>
      </c>
      <c r="EF217">
        <f>IF(OR($IW47=0,calcA!$A$6=0),0,IF(EE$117=1,EE47,0)+IF(EF$117=1,EG47,0))</f>
        <v/>
      </c>
      <c r="EG217">
        <f>IF(OR($IW47=0,calcA!$A$6=0),0,IF(EF$117=1,EF47,0)+IF(EG$117=1,EH47,0))</f>
        <v/>
      </c>
      <c r="EH217">
        <f>IF(OR($IW47=0,calcA!$A$6=0),0,IF(EG$117=1,EG47,0)+IF(EH$117=1,EI47,0))</f>
        <v/>
      </c>
      <c r="EI217">
        <f>IF(OR($IW47=0,calcA!$A$6=0),0,IF(EH$117=1,EH47,0)+IF(EI$117=1,EJ47,0))</f>
        <v/>
      </c>
      <c r="EJ217">
        <f>IF(OR($IW47=0,calcA!$A$6=0),0,IF(EI$117=1,EI47,0)+IF(EJ$117=1,EK47,0))</f>
        <v/>
      </c>
      <c r="EK217">
        <f>IF(OR($IW47=0,calcA!$A$6=0),0,IF(EJ$117=1,EJ47,0)+IF(EK$117=1,EL47,0))</f>
        <v/>
      </c>
      <c r="EL217">
        <f>IF(OR($IW47=0,calcA!$A$6=0),0,IF(EK$117=1,EK47,0)+IF(EL$117=1,EM47,0))</f>
        <v/>
      </c>
      <c r="EM217">
        <f>IF(OR($IW47=0,calcA!$A$6=0),0,IF(EL$117=1,EL47,0)+IF(EM$117=1,EN47,0))</f>
        <v/>
      </c>
      <c r="EN217">
        <f>IF(OR($IW47=0,calcA!$A$6=0),0,IF(EM$117=1,EM47,0)+IF(EN$117=1,EO47,0))</f>
        <v/>
      </c>
      <c r="EO217">
        <f>IF(OR($IW47=0,calcA!$A$6=0),0,IF(EN$117=1,EN47,0)+IF(EO$117=1,EP47,0))</f>
        <v/>
      </c>
      <c r="EP217">
        <f>IF(OR($IW47=0,calcA!$A$6=0),0,IF(EO$117=1,EO47,0)+IF(EP$117=1,EQ47,0))</f>
        <v/>
      </c>
      <c r="EQ217">
        <f>IF(OR($IW47=0,calcA!$A$6=0),0,IF(EP$117=1,EP47,0))</f>
        <v/>
      </c>
    </row>
    <row r="218">
      <c r="D218">
        <f>IF(OR($IW48=0,calcA!$A$6=0),0,IF(D$117=1,E48,0))</f>
        <v/>
      </c>
      <c r="E218">
        <f>IF(OR($IW48=0,calcA!$A$6=0),0,IF(D$117=1,D48,0)+IF(E$117=1,F48,0))</f>
        <v/>
      </c>
      <c r="F218">
        <f>IF(OR($IW48=0,calcA!$A$6=0),0,IF(E$117=1,E48,0)+IF(F$117=1,G48,0))</f>
        <v/>
      </c>
      <c r="G218">
        <f>IF(OR($IW48=0,calcA!$A$6=0),0,IF(F$117=1,F48,0)+IF(G$117=1,H48,0))</f>
        <v/>
      </c>
      <c r="H218">
        <f>IF(OR($IW48=0,calcA!$A$6=0),0,IF(G$117=1,G48,0)+IF(H$117=1,I48,0))</f>
        <v/>
      </c>
      <c r="I218">
        <f>IF(OR($IW48=0,calcA!$A$6=0),0,IF(H$117=1,H48,0)+IF(I$117=1,J48,0))</f>
        <v/>
      </c>
      <c r="J218">
        <f>IF(OR($IW48=0,calcA!$A$6=0),0,IF(I$117=1,I48,0)+IF(J$117=1,K48,0))</f>
        <v/>
      </c>
      <c r="K218">
        <f>IF(OR($IW48=0,calcA!$A$6=0),0,IF(J$117=1,J48,0)+IF(K$117=1,L48,0))</f>
        <v/>
      </c>
      <c r="L218">
        <f>IF(OR($IW48=0,calcA!$A$6=0),0,IF(K$117=1,K48,0)+IF(L$117=1,M48,0))</f>
        <v/>
      </c>
      <c r="M218">
        <f>IF(OR($IW48=0,calcA!$A$6=0),0,IF(L$117=1,L48,0)+IF(M$117=1,N48,0))</f>
        <v/>
      </c>
      <c r="N218">
        <f>IF(OR($IW48=0,calcA!$A$6=0),0,IF(M$117=1,M48,0)+IF(N$117=1,O48,0))</f>
        <v/>
      </c>
      <c r="O218">
        <f>IF(OR($IW48=0,calcA!$A$6=0),0,IF(N$117=1,N48,0)+IF(O$117=1,P48,0))</f>
        <v/>
      </c>
      <c r="P218">
        <f>IF(OR($IW48=0,calcA!$A$6=0),0,IF(O$117=1,O48,0)+IF(P$117=1,Q48,0))</f>
        <v/>
      </c>
      <c r="Q218">
        <f>IF(OR($IW48=0,calcA!$A$6=0),0,IF(P$117=1,P48,0)+IF(Q$117=1,R48,0))</f>
        <v/>
      </c>
      <c r="R218">
        <f>IF(OR($IW48=0,calcA!$A$6=0),0,IF(Q$117=1,Q48,0)+IF(R$117=1,S48,0))</f>
        <v/>
      </c>
      <c r="S218">
        <f>IF(OR($IW48=0,calcA!$A$6=0),0,IF(R$117=1,R48,0)+IF(S$117=1,T48,0))</f>
        <v/>
      </c>
      <c r="T218">
        <f>IF(OR($IW48=0,calcA!$A$6=0),0,IF(S$117=1,S48,0)+IF(T$117=1,U48,0))</f>
        <v/>
      </c>
      <c r="U218">
        <f>IF(OR($IW48=0,calcA!$A$6=0),0,IF(T$117=1,T48,0)+IF(U$117=1,V48,0))</f>
        <v/>
      </c>
      <c r="V218">
        <f>IF(OR($IW48=0,calcA!$A$6=0),0,IF(U$117=1,U48,0)+IF(V$117=1,W48,0))</f>
        <v/>
      </c>
      <c r="W218">
        <f>IF(OR($IW48=0,calcA!$A$6=0),0,IF(V$117=1,V48,0)+IF(W$117=1,X48,0))</f>
        <v/>
      </c>
      <c r="X218">
        <f>IF(OR($IW48=0,calcA!$A$6=0),0,IF(W$117=1,W48,0)+IF(X$117=1,Y48,0))</f>
        <v/>
      </c>
      <c r="Y218">
        <f>IF(OR($IW48=0,calcA!$A$6=0),0,IF(X$117=1,X48,0)+IF(Y$117=1,Z48,0))</f>
        <v/>
      </c>
      <c r="Z218">
        <f>IF(OR($IW48=0,calcA!$A$6=0),0,IF(Y$117=1,Y48,0)+IF(Z$117=1,AA48,0))</f>
        <v/>
      </c>
      <c r="AA218">
        <f>IF(OR($IW48=0,calcA!$A$6=0),0,IF(Z$117=1,Z48,0))</f>
        <v/>
      </c>
      <c r="AB218">
        <f>IF(OR($IW48=0,calcA!$A$6=0),0,IF(AB$117=1,AC48,0))</f>
        <v/>
      </c>
      <c r="AC218">
        <f>IF(OR($IW48=0,calcA!$A$6=0),0,IF(AB$117=1,AB48,0)+IF(AC$117=1,AD48,0))</f>
        <v/>
      </c>
      <c r="AD218">
        <f>IF(OR($IW48=0,calcA!$A$6=0),0,IF(AC$117=1,AC48,0)+IF(AD$117=1,AE48,0))</f>
        <v/>
      </c>
      <c r="AE218">
        <f>IF(OR($IW48=0,calcA!$A$6=0),0,IF(AD$117=1,AD48,0)+IF(AE$117=1,AF48,0))</f>
        <v/>
      </c>
      <c r="AF218">
        <f>IF(OR($IW48=0,calcA!$A$6=0),0,IF(AE$117=1,AE48,0)+IF(AF$117=1,AG48,0))</f>
        <v/>
      </c>
      <c r="AG218">
        <f>IF(OR($IW48=0,calcA!$A$6=0),0,IF(AF$117=1,AF48,0)+IF(AG$117=1,AH48,0))</f>
        <v/>
      </c>
      <c r="AH218">
        <f>IF(OR($IW48=0,calcA!$A$6=0),0,IF(AG$117=1,AG48,0)+IF(AH$117=1,AI48,0))</f>
        <v/>
      </c>
      <c r="AI218">
        <f>IF(OR($IW48=0,calcA!$A$6=0),0,IF(AH$117=1,AH48,0)+IF(AI$117=1,AJ48,0))</f>
        <v/>
      </c>
      <c r="AJ218">
        <f>IF(OR($IW48=0,calcA!$A$6=0),0,IF(AI$117=1,AI48,0)+IF(AJ$117=1,AK48,0))</f>
        <v/>
      </c>
      <c r="AK218">
        <f>IF(OR($IW48=0,calcA!$A$6=0),0,IF(AJ$117=1,AJ48,0)+IF(AK$117=1,AL48,0))</f>
        <v/>
      </c>
      <c r="AL218">
        <f>IF(OR($IW48=0,calcA!$A$6=0),0,IF(AK$117=1,AK48,0)+IF(AL$117=1,AM48,0))</f>
        <v/>
      </c>
      <c r="AM218">
        <f>IF(OR($IW48=0,calcA!$A$6=0),0,IF(AL$117=1,AL48,0)+IF(AM$117=1,AN48,0))</f>
        <v/>
      </c>
      <c r="AN218">
        <f>IF(OR($IW48=0,calcA!$A$6=0),0,IF(AM$117=1,AM48,0)+IF(AN$117=1,AO48,0))</f>
        <v/>
      </c>
      <c r="AO218">
        <f>IF(OR($IW48=0,calcA!$A$6=0),0,IF(AN$117=1,AN48,0)+IF(AO$117=1,AP48,0))</f>
        <v/>
      </c>
      <c r="AP218">
        <f>IF(OR($IW48=0,calcA!$A$6=0),0,IF(AO$117=1,AO48,0)+IF(AP$117=1,AQ48,0))</f>
        <v/>
      </c>
      <c r="AQ218">
        <f>IF(OR($IW48=0,calcA!$A$6=0),0,IF(AP$117=1,AP48,0)+IF(AQ$117=1,AR48,0))</f>
        <v/>
      </c>
      <c r="AR218">
        <f>IF(OR($IW48=0,calcA!$A$6=0),0,IF(AQ$117=1,AQ48,0)+IF(AR$117=1,AS48,0))</f>
        <v/>
      </c>
      <c r="AS218">
        <f>IF(OR($IW48=0,calcA!$A$6=0),0,IF(AR$117=1,AR48,0)+IF(AS$117=1,AT48,0))</f>
        <v/>
      </c>
      <c r="AT218">
        <f>IF(OR($IW48=0,calcA!$A$6=0),0,IF(AS$117=1,AS48,0)+IF(AT$117=1,AU48,0))</f>
        <v/>
      </c>
      <c r="AU218">
        <f>IF(OR($IW48=0,calcA!$A$6=0),0,IF(AT$117=1,AT48,0)+IF(AU$117=1,AV48,0))</f>
        <v/>
      </c>
      <c r="AV218">
        <f>IF(OR($IW48=0,calcA!$A$6=0),0,IF(AU$117=1,AU48,0)+IF(AV$117=1,AW48,0))</f>
        <v/>
      </c>
      <c r="AW218">
        <f>IF(OR($IW48=0,calcA!$A$6=0),0,IF(AV$117=1,AV48,0)+IF(AW$117=1,AX48,0))</f>
        <v/>
      </c>
      <c r="AX218">
        <f>IF(OR($IW48=0,calcA!$A$6=0),0,IF(AW$117=1,AW48,0)+IF(AX$117=1,AY48,0))</f>
        <v/>
      </c>
      <c r="AY218">
        <f>IF(OR($IW48=0,calcA!$A$6=0),0,IF(AX$117=1,AX48,0))</f>
        <v/>
      </c>
      <c r="AZ218">
        <f>IF(OR($IW48=0,calcA!$A$6=0),0,IF(AZ$117=1,BA48,0))</f>
        <v/>
      </c>
      <c r="BA218">
        <f>IF(OR($IW48=0,calcA!$A$6=0),0,IF(AZ$117=1,AZ48,0)+IF(BA$117=1,BB48,0))</f>
        <v/>
      </c>
      <c r="BB218">
        <f>IF(OR($IW48=0,calcA!$A$6=0),0,IF(BA$117=1,BA48,0)+IF(BB$117=1,BC48,0))</f>
        <v/>
      </c>
      <c r="BC218">
        <f>IF(OR($IW48=0,calcA!$A$6=0),0,IF(BB$117=1,BB48,0)+IF(BC$117=1,BD48,0))</f>
        <v/>
      </c>
      <c r="BD218">
        <f>IF(OR($IW48=0,calcA!$A$6=0),0,IF(BC$117=1,BC48,0)+IF(BD$117=1,BE48,0))</f>
        <v/>
      </c>
      <c r="BE218">
        <f>IF(OR($IW48=0,calcA!$A$6=0),0,IF(BD$117=1,BD48,0)+IF(BE$117=1,BF48,0))</f>
        <v/>
      </c>
      <c r="BF218">
        <f>IF(OR($IW48=0,calcA!$A$6=0),0,IF(BE$117=1,BE48,0)+IF(BF$117=1,BG48,0))</f>
        <v/>
      </c>
      <c r="BG218">
        <f>IF(OR($IW48=0,calcA!$A$6=0),0,IF(BF$117=1,BF48,0)+IF(BG$117=1,BH48,0))</f>
        <v/>
      </c>
      <c r="BH218">
        <f>IF(OR($IW48=0,calcA!$A$6=0),0,IF(BG$117=1,BG48,0)+IF(BH$117=1,BI48,0))</f>
        <v/>
      </c>
      <c r="BI218">
        <f>IF(OR($IW48=0,calcA!$A$6=0),0,IF(BH$117=1,BH48,0)+IF(BI$117=1,BJ48,0))</f>
        <v/>
      </c>
      <c r="BJ218">
        <f>IF(OR($IW48=0,calcA!$A$6=0),0,IF(BI$117=1,BI48,0)+IF(BJ$117=1,BK48,0))</f>
        <v/>
      </c>
      <c r="BK218">
        <f>IF(OR($IW48=0,calcA!$A$6=0),0,IF(BJ$117=1,BJ48,0)+IF(BK$117=1,BL48,0))</f>
        <v/>
      </c>
      <c r="BL218">
        <f>IF(OR($IW48=0,calcA!$A$6=0),0,IF(BK$117=1,BK48,0)+IF(BL$117=1,BM48,0))</f>
        <v/>
      </c>
      <c r="BM218">
        <f>IF(OR($IW48=0,calcA!$A$6=0),0,IF(BL$117=1,BL48,0)+IF(BM$117=1,BN48,0))</f>
        <v/>
      </c>
      <c r="BN218">
        <f>IF(OR($IW48=0,calcA!$A$6=0),0,IF(BM$117=1,BM48,0)+IF(BN$117=1,BO48,0))</f>
        <v/>
      </c>
      <c r="BO218">
        <f>IF(OR($IW48=0,calcA!$A$6=0),0,IF(BN$117=1,BN48,0)+IF(BO$117=1,BP48,0))</f>
        <v/>
      </c>
      <c r="BP218">
        <f>IF(OR($IW48=0,calcA!$A$6=0),0,IF(BO$117=1,BO48,0)+IF(BP$117=1,BQ48,0))</f>
        <v/>
      </c>
      <c r="BQ218">
        <f>IF(OR($IW48=0,calcA!$A$6=0),0,IF(BP$117=1,BP48,0)+IF(BQ$117=1,BR48,0))</f>
        <v/>
      </c>
      <c r="BR218">
        <f>IF(OR($IW48=0,calcA!$A$6=0),0,IF(BQ$117=1,BQ48,0)+IF(BR$117=1,BS48,0))</f>
        <v/>
      </c>
      <c r="BS218">
        <f>IF(OR($IW48=0,calcA!$A$6=0),0,IF(BR$117=1,BR48,0)+IF(BS$117=1,BT48,0))</f>
        <v/>
      </c>
      <c r="BT218">
        <f>IF(OR($IW48=0,calcA!$A$6=0),0,IF(BS$117=1,BS48,0)+IF(BT$117=1,BU48,0))</f>
        <v/>
      </c>
      <c r="BU218">
        <f>IF(OR($IW48=0,calcA!$A$6=0),0,IF(BT$117=1,BT48,0)+IF(BU$117=1,BV48,0))</f>
        <v/>
      </c>
      <c r="BV218">
        <f>IF(OR($IW48=0,calcA!$A$6=0),0,IF(BU$117=1,BU48,0)+IF(BV$117=1,BW48,0))</f>
        <v/>
      </c>
      <c r="BW218">
        <f>IF(OR($IW48=0,calcA!$A$6=0),0,IF(BV$117=1,BV48,0))</f>
        <v/>
      </c>
      <c r="BX218">
        <f>IF(OR($IW48=0,calcA!$A$6=0),0,IF(BX$117=1,BY48,0))</f>
        <v/>
      </c>
      <c r="BY218">
        <f>IF(OR($IW48=0,calcA!$A$6=0),0,IF(BX$117=1,BX48,0)+IF(BY$117=1,BZ48,0))</f>
        <v/>
      </c>
      <c r="BZ218">
        <f>IF(OR($IW48=0,calcA!$A$6=0),0,IF(BY$117=1,BY48,0)+IF(BZ$117=1,CA48,0))</f>
        <v/>
      </c>
      <c r="CA218">
        <f>IF(OR($IW48=0,calcA!$A$6=0),0,IF(BZ$117=1,BZ48,0)+IF(CA$117=1,CB48,0))</f>
        <v/>
      </c>
      <c r="CB218">
        <f>IF(OR($IW48=0,calcA!$A$6=0),0,IF(CA$117=1,CA48,0)+IF(CB$117=1,CC48,0))</f>
        <v/>
      </c>
      <c r="CC218">
        <f>IF(OR($IW48=0,calcA!$A$6=0),0,IF(CB$117=1,CB48,0)+IF(CC$117=1,CD48,0))</f>
        <v/>
      </c>
      <c r="CD218">
        <f>IF(OR($IW48=0,calcA!$A$6=0),0,IF(CC$117=1,CC48,0)+IF(CD$117=1,CE48,0))</f>
        <v/>
      </c>
      <c r="CE218">
        <f>IF(OR($IW48=0,calcA!$A$6=0),0,IF(CD$117=1,CD48,0)+IF(CE$117=1,CF48,0))</f>
        <v/>
      </c>
      <c r="CF218">
        <f>IF(OR($IW48=0,calcA!$A$6=0),0,IF(CE$117=1,CE48,0)+IF(CF$117=1,CG48,0))</f>
        <v/>
      </c>
      <c r="CG218">
        <f>IF(OR($IW48=0,calcA!$A$6=0),0,IF(CF$117=1,CF48,0)+IF(CG$117=1,CH48,0))</f>
        <v/>
      </c>
      <c r="CH218">
        <f>IF(OR($IW48=0,calcA!$A$6=0),0,IF(CG$117=1,CG48,0)+IF(CH$117=1,CI48,0))</f>
        <v/>
      </c>
      <c r="CI218">
        <f>IF(OR($IW48=0,calcA!$A$6=0),0,IF(CH$117=1,CH48,0)+IF(CI$117=1,CJ48,0))</f>
        <v/>
      </c>
      <c r="CJ218">
        <f>IF(OR($IW48=0,calcA!$A$6=0),0,IF(CI$117=1,CI48,0)+IF(CJ$117=1,CK48,0))</f>
        <v/>
      </c>
      <c r="CK218">
        <f>IF(OR($IW48=0,calcA!$A$6=0),0,IF(CJ$117=1,CJ48,0)+IF(CK$117=1,CL48,0))</f>
        <v/>
      </c>
      <c r="CL218">
        <f>IF(OR($IW48=0,calcA!$A$6=0),0,IF(CK$117=1,CK48,0)+IF(CL$117=1,CM48,0))</f>
        <v/>
      </c>
      <c r="CM218">
        <f>IF(OR($IW48=0,calcA!$A$6=0),0,IF(CL$117=1,CL48,0)+IF(CM$117=1,CN48,0))</f>
        <v/>
      </c>
      <c r="CN218">
        <f>IF(OR($IW48=0,calcA!$A$6=0),0,IF(CM$117=1,CM48,0)+IF(CN$117=1,CO48,0))</f>
        <v/>
      </c>
      <c r="CO218">
        <f>IF(OR($IW48=0,calcA!$A$6=0),0,IF(CN$117=1,CN48,0)+IF(CO$117=1,CP48,0))</f>
        <v/>
      </c>
      <c r="CP218">
        <f>IF(OR($IW48=0,calcA!$A$6=0),0,IF(CO$117=1,CO48,0)+IF(CP$117=1,CQ48,0))</f>
        <v/>
      </c>
      <c r="CQ218">
        <f>IF(OR($IW48=0,calcA!$A$6=0),0,IF(CP$117=1,CP48,0)+IF(CQ$117=1,CR48,0))</f>
        <v/>
      </c>
      <c r="CR218">
        <f>IF(OR($IW48=0,calcA!$A$6=0),0,IF(CQ$117=1,CQ48,0)+IF(CR$117=1,CS48,0))</f>
        <v/>
      </c>
      <c r="CS218">
        <f>IF(OR($IW48=0,calcA!$A$6=0),0,IF(CR$117=1,CR48,0)+IF(CS$117=1,CT48,0))</f>
        <v/>
      </c>
      <c r="CT218">
        <f>IF(OR($IW48=0,calcA!$A$6=0),0,IF(CS$117=1,CS48,0)+IF(CT$117=1,CU48,0))</f>
        <v/>
      </c>
      <c r="CU218">
        <f>IF(OR($IW48=0,calcA!$A$6=0),0,IF(CT$117=1,CT48,0))</f>
        <v/>
      </c>
      <c r="CV218">
        <f>IF(OR($IW48=0,calcA!$A$6=0),0,IF(CV$117=1,CW48,0))</f>
        <v/>
      </c>
      <c r="CW218">
        <f>IF(OR($IW48=0,calcA!$A$6=0),0,IF(CV$117=1,CV48,0)+IF(CW$117=1,CX48,0))</f>
        <v/>
      </c>
      <c r="CX218">
        <f>IF(OR($IW48=0,calcA!$A$6=0),0,IF(CW$117=1,CW48,0)+IF(CX$117=1,CY48,0))</f>
        <v/>
      </c>
      <c r="CY218">
        <f>IF(OR($IW48=0,calcA!$A$6=0),0,IF(CX$117=1,CX48,0)+IF(CY$117=1,CZ48,0))</f>
        <v/>
      </c>
      <c r="CZ218">
        <f>IF(OR($IW48=0,calcA!$A$6=0),0,IF(CY$117=1,CY48,0)+IF(CZ$117=1,DA48,0))</f>
        <v/>
      </c>
      <c r="DA218">
        <f>IF(OR($IW48=0,calcA!$A$6=0),0,IF(CZ$117=1,CZ48,0)+IF(DA$117=1,DB48,0))</f>
        <v/>
      </c>
      <c r="DB218">
        <f>IF(OR($IW48=0,calcA!$A$6=0),0,IF(DA$117=1,DA48,0)+IF(DB$117=1,DC48,0))</f>
        <v/>
      </c>
      <c r="DC218">
        <f>IF(OR($IW48=0,calcA!$A$6=0),0,IF(DB$117=1,DB48,0)+IF(DC$117=1,DD48,0))</f>
        <v/>
      </c>
      <c r="DD218">
        <f>IF(OR($IW48=0,calcA!$A$6=0),0,IF(DC$117=1,DC48,0)+IF(DD$117=1,DE48,0))</f>
        <v/>
      </c>
      <c r="DE218">
        <f>IF(OR($IW48=0,calcA!$A$6=0),0,IF(DD$117=1,DD48,0)+IF(DE$117=1,DF48,0))</f>
        <v/>
      </c>
      <c r="DF218">
        <f>IF(OR($IW48=0,calcA!$A$6=0),0,IF(DE$117=1,DE48,0)+IF(DF$117=1,DG48,0))</f>
        <v/>
      </c>
      <c r="DG218">
        <f>IF(OR($IW48=0,calcA!$A$6=0),0,IF(DF$117=1,DF48,0)+IF(DG$117=1,DH48,0))</f>
        <v/>
      </c>
      <c r="DH218">
        <f>IF(OR($IW48=0,calcA!$A$6=0),0,IF(DG$117=1,DG48,0)+IF(DH$117=1,DI48,0))</f>
        <v/>
      </c>
      <c r="DI218">
        <f>IF(OR($IW48=0,calcA!$A$6=0),0,IF(DH$117=1,DH48,0)+IF(DI$117=1,DJ48,0))</f>
        <v/>
      </c>
      <c r="DJ218">
        <f>IF(OR($IW48=0,calcA!$A$6=0),0,IF(DI$117=1,DI48,0)+IF(DJ$117=1,DK48,0))</f>
        <v/>
      </c>
      <c r="DK218">
        <f>IF(OR($IW48=0,calcA!$A$6=0),0,IF(DJ$117=1,DJ48,0)+IF(DK$117=1,DL48,0))</f>
        <v/>
      </c>
      <c r="DL218">
        <f>IF(OR($IW48=0,calcA!$A$6=0),0,IF(DK$117=1,DK48,0)+IF(DL$117=1,DM48,0))</f>
        <v/>
      </c>
      <c r="DM218">
        <f>IF(OR($IW48=0,calcA!$A$6=0),0,IF(DL$117=1,DL48,0)+IF(DM$117=1,DN48,0))</f>
        <v/>
      </c>
      <c r="DN218">
        <f>IF(OR($IW48=0,calcA!$A$6=0),0,IF(DM$117=1,DM48,0)+IF(DN$117=1,DO48,0))</f>
        <v/>
      </c>
      <c r="DO218">
        <f>IF(OR($IW48=0,calcA!$A$6=0),0,IF(DN$117=1,DN48,0)+IF(DO$117=1,DP48,0))</f>
        <v/>
      </c>
      <c r="DP218">
        <f>IF(OR($IW48=0,calcA!$A$6=0),0,IF(DO$117=1,DO48,0)+IF(DP$117=1,DQ48,0))</f>
        <v/>
      </c>
      <c r="DQ218">
        <f>IF(OR($IW48=0,calcA!$A$6=0),0,IF(DP$117=1,DP48,0)+IF(DQ$117=1,DR48,0))</f>
        <v/>
      </c>
      <c r="DR218">
        <f>IF(OR($IW48=0,calcA!$A$6=0),0,IF(DQ$117=1,DQ48,0)+IF(DR$117=1,DS48,0))</f>
        <v/>
      </c>
      <c r="DS218">
        <f>IF(OR($IW48=0,calcA!$A$6=0),0,IF(DR$117=1,DR48,0))</f>
        <v/>
      </c>
      <c r="DT218">
        <f>IF(OR($IW48=0,calcA!$A$6=0),0,IF(DT$117=1,DU48,0))</f>
        <v/>
      </c>
      <c r="DU218">
        <f>IF(OR($IW48=0,calcA!$A$6=0),0,IF(DT$117=1,DT48,0)+IF(DU$117=1,DV48,0))</f>
        <v/>
      </c>
      <c r="DV218">
        <f>IF(OR($IW48=0,calcA!$A$6=0),0,IF(DU$117=1,DU48,0)+IF(DV$117=1,DW48,0))</f>
        <v/>
      </c>
      <c r="DW218">
        <f>IF(OR($IW48=0,calcA!$A$6=0),0,IF(DV$117=1,DV48,0)+IF(DW$117=1,DX48,0))</f>
        <v/>
      </c>
      <c r="DX218">
        <f>IF(OR($IW48=0,calcA!$A$6=0),0,IF(DW$117=1,DW48,0)+IF(DX$117=1,DY48,0))</f>
        <v/>
      </c>
      <c r="DY218">
        <f>IF(OR($IW48=0,calcA!$A$6=0),0,IF(DX$117=1,DX48,0)+IF(DY$117=1,DZ48,0))</f>
        <v/>
      </c>
      <c r="DZ218">
        <f>IF(OR($IW48=0,calcA!$A$6=0),0,IF(DY$117=1,DY48,0)+IF(DZ$117=1,EA48,0))</f>
        <v/>
      </c>
      <c r="EA218">
        <f>IF(OR($IW48=0,calcA!$A$6=0),0,IF(DZ$117=1,DZ48,0)+IF(EA$117=1,EB48,0))</f>
        <v/>
      </c>
      <c r="EB218">
        <f>IF(OR($IW48=0,calcA!$A$6=0),0,IF(EA$117=1,EA48,0)+IF(EB$117=1,EC48,0))</f>
        <v/>
      </c>
      <c r="EC218">
        <f>IF(OR($IW48=0,calcA!$A$6=0),0,IF(EB$117=1,EB48,0)+IF(EC$117=1,ED48,0))</f>
        <v/>
      </c>
      <c r="ED218">
        <f>IF(OR($IW48=0,calcA!$A$6=0),0,IF(EC$117=1,EC48,0)+IF(ED$117=1,EE48,0))</f>
        <v/>
      </c>
      <c r="EE218">
        <f>IF(OR($IW48=0,calcA!$A$6=0),0,IF(ED$117=1,ED48,0)+IF(EE$117=1,EF48,0))</f>
        <v/>
      </c>
      <c r="EF218">
        <f>IF(OR($IW48=0,calcA!$A$6=0),0,IF(EE$117=1,EE48,0)+IF(EF$117=1,EG48,0))</f>
        <v/>
      </c>
      <c r="EG218">
        <f>IF(OR($IW48=0,calcA!$A$6=0),0,IF(EF$117=1,EF48,0)+IF(EG$117=1,EH48,0))</f>
        <v/>
      </c>
      <c r="EH218">
        <f>IF(OR($IW48=0,calcA!$A$6=0),0,IF(EG$117=1,EG48,0)+IF(EH$117=1,EI48,0))</f>
        <v/>
      </c>
      <c r="EI218">
        <f>IF(OR($IW48=0,calcA!$A$6=0),0,IF(EH$117=1,EH48,0)+IF(EI$117=1,EJ48,0))</f>
        <v/>
      </c>
      <c r="EJ218">
        <f>IF(OR($IW48=0,calcA!$A$6=0),0,IF(EI$117=1,EI48,0)+IF(EJ$117=1,EK48,0))</f>
        <v/>
      </c>
      <c r="EK218">
        <f>IF(OR($IW48=0,calcA!$A$6=0),0,IF(EJ$117=1,EJ48,0)+IF(EK$117=1,EL48,0))</f>
        <v/>
      </c>
      <c r="EL218">
        <f>IF(OR($IW48=0,calcA!$A$6=0),0,IF(EK$117=1,EK48,0)+IF(EL$117=1,EM48,0))</f>
        <v/>
      </c>
      <c r="EM218">
        <f>IF(OR($IW48=0,calcA!$A$6=0),0,IF(EL$117=1,EL48,0)+IF(EM$117=1,EN48,0))</f>
        <v/>
      </c>
      <c r="EN218">
        <f>IF(OR($IW48=0,calcA!$A$6=0),0,IF(EM$117=1,EM48,0)+IF(EN$117=1,EO48,0))</f>
        <v/>
      </c>
      <c r="EO218">
        <f>IF(OR($IW48=0,calcA!$A$6=0),0,IF(EN$117=1,EN48,0)+IF(EO$117=1,EP48,0))</f>
        <v/>
      </c>
      <c r="EP218">
        <f>IF(OR($IW48=0,calcA!$A$6=0),0,IF(EO$117=1,EO48,0)+IF(EP$117=1,EQ48,0))</f>
        <v/>
      </c>
      <c r="EQ218">
        <f>IF(OR($IW48=0,calcA!$A$6=0),0,IF(EP$117=1,EP48,0))</f>
        <v/>
      </c>
    </row>
    <row r="219">
      <c r="D219">
        <f>IF(OR($IW49=0,calcA!$A$6=0),0,IF(D$117=1,E49,0))</f>
        <v/>
      </c>
      <c r="E219">
        <f>IF(OR($IW49=0,calcA!$A$6=0),0,IF(D$117=1,D49,0)+IF(E$117=1,F49,0))</f>
        <v/>
      </c>
      <c r="F219">
        <f>IF(OR($IW49=0,calcA!$A$6=0),0,IF(E$117=1,E49,0)+IF(F$117=1,G49,0))</f>
        <v/>
      </c>
      <c r="G219">
        <f>IF(OR($IW49=0,calcA!$A$6=0),0,IF(F$117=1,F49,0)+IF(G$117=1,H49,0))</f>
        <v/>
      </c>
      <c r="H219">
        <f>IF(OR($IW49=0,calcA!$A$6=0),0,IF(G$117=1,G49,0)+IF(H$117=1,I49,0))</f>
        <v/>
      </c>
      <c r="I219">
        <f>IF(OR($IW49=0,calcA!$A$6=0),0,IF(H$117=1,H49,0)+IF(I$117=1,J49,0))</f>
        <v/>
      </c>
      <c r="J219">
        <f>IF(OR($IW49=0,calcA!$A$6=0),0,IF(I$117=1,I49,0)+IF(J$117=1,K49,0))</f>
        <v/>
      </c>
      <c r="K219">
        <f>IF(OR($IW49=0,calcA!$A$6=0),0,IF(J$117=1,J49,0)+IF(K$117=1,L49,0))</f>
        <v/>
      </c>
      <c r="L219">
        <f>IF(OR($IW49=0,calcA!$A$6=0),0,IF(K$117=1,K49,0)+IF(L$117=1,M49,0))</f>
        <v/>
      </c>
      <c r="M219">
        <f>IF(OR($IW49=0,calcA!$A$6=0),0,IF(L$117=1,L49,0)+IF(M$117=1,N49,0))</f>
        <v/>
      </c>
      <c r="N219">
        <f>IF(OR($IW49=0,calcA!$A$6=0),0,IF(M$117=1,M49,0)+IF(N$117=1,O49,0))</f>
        <v/>
      </c>
      <c r="O219">
        <f>IF(OR($IW49=0,calcA!$A$6=0),0,IF(N$117=1,N49,0)+IF(O$117=1,P49,0))</f>
        <v/>
      </c>
      <c r="P219">
        <f>IF(OR($IW49=0,calcA!$A$6=0),0,IF(O$117=1,O49,0)+IF(P$117=1,Q49,0))</f>
        <v/>
      </c>
      <c r="Q219">
        <f>IF(OR($IW49=0,calcA!$A$6=0),0,IF(P$117=1,P49,0)+IF(Q$117=1,R49,0))</f>
        <v/>
      </c>
      <c r="R219">
        <f>IF(OR($IW49=0,calcA!$A$6=0),0,IF(Q$117=1,Q49,0)+IF(R$117=1,S49,0))</f>
        <v/>
      </c>
      <c r="S219">
        <f>IF(OR($IW49=0,calcA!$A$6=0),0,IF(R$117=1,R49,0)+IF(S$117=1,T49,0))</f>
        <v/>
      </c>
      <c r="T219">
        <f>IF(OR($IW49=0,calcA!$A$6=0),0,IF(S$117=1,S49,0)+IF(T$117=1,U49,0))</f>
        <v/>
      </c>
      <c r="U219">
        <f>IF(OR($IW49=0,calcA!$A$6=0),0,IF(T$117=1,T49,0)+IF(U$117=1,V49,0))</f>
        <v/>
      </c>
      <c r="V219">
        <f>IF(OR($IW49=0,calcA!$A$6=0),0,IF(U$117=1,U49,0)+IF(V$117=1,W49,0))</f>
        <v/>
      </c>
      <c r="W219">
        <f>IF(OR($IW49=0,calcA!$A$6=0),0,IF(V$117=1,V49,0)+IF(W$117=1,X49,0))</f>
        <v/>
      </c>
      <c r="X219">
        <f>IF(OR($IW49=0,calcA!$A$6=0),0,IF(W$117=1,W49,0)+IF(X$117=1,Y49,0))</f>
        <v/>
      </c>
      <c r="Y219">
        <f>IF(OR($IW49=0,calcA!$A$6=0),0,IF(X$117=1,X49,0)+IF(Y$117=1,Z49,0))</f>
        <v/>
      </c>
      <c r="Z219">
        <f>IF(OR($IW49=0,calcA!$A$6=0),0,IF(Y$117=1,Y49,0)+IF(Z$117=1,AA49,0))</f>
        <v/>
      </c>
      <c r="AA219">
        <f>IF(OR($IW49=0,calcA!$A$6=0),0,IF(Z$117=1,Z49,0))</f>
        <v/>
      </c>
      <c r="AB219">
        <f>IF(OR($IW49=0,calcA!$A$6=0),0,IF(AB$117=1,AC49,0))</f>
        <v/>
      </c>
      <c r="AC219">
        <f>IF(OR($IW49=0,calcA!$A$6=0),0,IF(AB$117=1,AB49,0)+IF(AC$117=1,AD49,0))</f>
        <v/>
      </c>
      <c r="AD219">
        <f>IF(OR($IW49=0,calcA!$A$6=0),0,IF(AC$117=1,AC49,0)+IF(AD$117=1,AE49,0))</f>
        <v/>
      </c>
      <c r="AE219">
        <f>IF(OR($IW49=0,calcA!$A$6=0),0,IF(AD$117=1,AD49,0)+IF(AE$117=1,AF49,0))</f>
        <v/>
      </c>
      <c r="AF219">
        <f>IF(OR($IW49=0,calcA!$A$6=0),0,IF(AE$117=1,AE49,0)+IF(AF$117=1,AG49,0))</f>
        <v/>
      </c>
      <c r="AG219">
        <f>IF(OR($IW49=0,calcA!$A$6=0),0,IF(AF$117=1,AF49,0)+IF(AG$117=1,AH49,0))</f>
        <v/>
      </c>
      <c r="AH219">
        <f>IF(OR($IW49=0,calcA!$A$6=0),0,IF(AG$117=1,AG49,0)+IF(AH$117=1,AI49,0))</f>
        <v/>
      </c>
      <c r="AI219">
        <f>IF(OR($IW49=0,calcA!$A$6=0),0,IF(AH$117=1,AH49,0)+IF(AI$117=1,AJ49,0))</f>
        <v/>
      </c>
      <c r="AJ219">
        <f>IF(OR($IW49=0,calcA!$A$6=0),0,IF(AI$117=1,AI49,0)+IF(AJ$117=1,AK49,0))</f>
        <v/>
      </c>
      <c r="AK219">
        <f>IF(OR($IW49=0,calcA!$A$6=0),0,IF(AJ$117=1,AJ49,0)+IF(AK$117=1,AL49,0))</f>
        <v/>
      </c>
      <c r="AL219">
        <f>IF(OR($IW49=0,calcA!$A$6=0),0,IF(AK$117=1,AK49,0)+IF(AL$117=1,AM49,0))</f>
        <v/>
      </c>
      <c r="AM219">
        <f>IF(OR($IW49=0,calcA!$A$6=0),0,IF(AL$117=1,AL49,0)+IF(AM$117=1,AN49,0))</f>
        <v/>
      </c>
      <c r="AN219">
        <f>IF(OR($IW49=0,calcA!$A$6=0),0,IF(AM$117=1,AM49,0)+IF(AN$117=1,AO49,0))</f>
        <v/>
      </c>
      <c r="AO219">
        <f>IF(OR($IW49=0,calcA!$A$6=0),0,IF(AN$117=1,AN49,0)+IF(AO$117=1,AP49,0))</f>
        <v/>
      </c>
      <c r="AP219">
        <f>IF(OR($IW49=0,calcA!$A$6=0),0,IF(AO$117=1,AO49,0)+IF(AP$117=1,AQ49,0))</f>
        <v/>
      </c>
      <c r="AQ219">
        <f>IF(OR($IW49=0,calcA!$A$6=0),0,IF(AP$117=1,AP49,0)+IF(AQ$117=1,AR49,0))</f>
        <v/>
      </c>
      <c r="AR219">
        <f>IF(OR($IW49=0,calcA!$A$6=0),0,IF(AQ$117=1,AQ49,0)+IF(AR$117=1,AS49,0))</f>
        <v/>
      </c>
      <c r="AS219">
        <f>IF(OR($IW49=0,calcA!$A$6=0),0,IF(AR$117=1,AR49,0)+IF(AS$117=1,AT49,0))</f>
        <v/>
      </c>
      <c r="AT219">
        <f>IF(OR($IW49=0,calcA!$A$6=0),0,IF(AS$117=1,AS49,0)+IF(AT$117=1,AU49,0))</f>
        <v/>
      </c>
      <c r="AU219">
        <f>IF(OR($IW49=0,calcA!$A$6=0),0,IF(AT$117=1,AT49,0)+IF(AU$117=1,AV49,0))</f>
        <v/>
      </c>
      <c r="AV219">
        <f>IF(OR($IW49=0,calcA!$A$6=0),0,IF(AU$117=1,AU49,0)+IF(AV$117=1,AW49,0))</f>
        <v/>
      </c>
      <c r="AW219">
        <f>IF(OR($IW49=0,calcA!$A$6=0),0,IF(AV$117=1,AV49,0)+IF(AW$117=1,AX49,0))</f>
        <v/>
      </c>
      <c r="AX219">
        <f>IF(OR($IW49=0,calcA!$A$6=0),0,IF(AW$117=1,AW49,0)+IF(AX$117=1,AY49,0))</f>
        <v/>
      </c>
      <c r="AY219">
        <f>IF(OR($IW49=0,calcA!$A$6=0),0,IF(AX$117=1,AX49,0))</f>
        <v/>
      </c>
      <c r="AZ219">
        <f>IF(OR($IW49=0,calcA!$A$6=0),0,IF(AZ$117=1,BA49,0))</f>
        <v/>
      </c>
      <c r="BA219">
        <f>IF(OR($IW49=0,calcA!$A$6=0),0,IF(AZ$117=1,AZ49,0)+IF(BA$117=1,BB49,0))</f>
        <v/>
      </c>
      <c r="BB219">
        <f>IF(OR($IW49=0,calcA!$A$6=0),0,IF(BA$117=1,BA49,0)+IF(BB$117=1,BC49,0))</f>
        <v/>
      </c>
      <c r="BC219">
        <f>IF(OR($IW49=0,calcA!$A$6=0),0,IF(BB$117=1,BB49,0)+IF(BC$117=1,BD49,0))</f>
        <v/>
      </c>
      <c r="BD219">
        <f>IF(OR($IW49=0,calcA!$A$6=0),0,IF(BC$117=1,BC49,0)+IF(BD$117=1,BE49,0))</f>
        <v/>
      </c>
      <c r="BE219">
        <f>IF(OR($IW49=0,calcA!$A$6=0),0,IF(BD$117=1,BD49,0)+IF(BE$117=1,BF49,0))</f>
        <v/>
      </c>
      <c r="BF219">
        <f>IF(OR($IW49=0,calcA!$A$6=0),0,IF(BE$117=1,BE49,0)+IF(BF$117=1,BG49,0))</f>
        <v/>
      </c>
      <c r="BG219">
        <f>IF(OR($IW49=0,calcA!$A$6=0),0,IF(BF$117=1,BF49,0)+IF(BG$117=1,BH49,0))</f>
        <v/>
      </c>
      <c r="BH219">
        <f>IF(OR($IW49=0,calcA!$A$6=0),0,IF(BG$117=1,BG49,0)+IF(BH$117=1,BI49,0))</f>
        <v/>
      </c>
      <c r="BI219">
        <f>IF(OR($IW49=0,calcA!$A$6=0),0,IF(BH$117=1,BH49,0)+IF(BI$117=1,BJ49,0))</f>
        <v/>
      </c>
      <c r="BJ219">
        <f>IF(OR($IW49=0,calcA!$A$6=0),0,IF(BI$117=1,BI49,0)+IF(BJ$117=1,BK49,0))</f>
        <v/>
      </c>
      <c r="BK219">
        <f>IF(OR($IW49=0,calcA!$A$6=0),0,IF(BJ$117=1,BJ49,0)+IF(BK$117=1,BL49,0))</f>
        <v/>
      </c>
      <c r="BL219">
        <f>IF(OR($IW49=0,calcA!$A$6=0),0,IF(BK$117=1,BK49,0)+IF(BL$117=1,BM49,0))</f>
        <v/>
      </c>
      <c r="BM219">
        <f>IF(OR($IW49=0,calcA!$A$6=0),0,IF(BL$117=1,BL49,0)+IF(BM$117=1,BN49,0))</f>
        <v/>
      </c>
      <c r="BN219">
        <f>IF(OR($IW49=0,calcA!$A$6=0),0,IF(BM$117=1,BM49,0)+IF(BN$117=1,BO49,0))</f>
        <v/>
      </c>
      <c r="BO219">
        <f>IF(OR($IW49=0,calcA!$A$6=0),0,IF(BN$117=1,BN49,0)+IF(BO$117=1,BP49,0))</f>
        <v/>
      </c>
      <c r="BP219">
        <f>IF(OR($IW49=0,calcA!$A$6=0),0,IF(BO$117=1,BO49,0)+IF(BP$117=1,BQ49,0))</f>
        <v/>
      </c>
      <c r="BQ219">
        <f>IF(OR($IW49=0,calcA!$A$6=0),0,IF(BP$117=1,BP49,0)+IF(BQ$117=1,BR49,0))</f>
        <v/>
      </c>
      <c r="BR219">
        <f>IF(OR($IW49=0,calcA!$A$6=0),0,IF(BQ$117=1,BQ49,0)+IF(BR$117=1,BS49,0))</f>
        <v/>
      </c>
      <c r="BS219">
        <f>IF(OR($IW49=0,calcA!$A$6=0),0,IF(BR$117=1,BR49,0)+IF(BS$117=1,BT49,0))</f>
        <v/>
      </c>
      <c r="BT219">
        <f>IF(OR($IW49=0,calcA!$A$6=0),0,IF(BS$117=1,BS49,0)+IF(BT$117=1,BU49,0))</f>
        <v/>
      </c>
      <c r="BU219">
        <f>IF(OR($IW49=0,calcA!$A$6=0),0,IF(BT$117=1,BT49,0)+IF(BU$117=1,BV49,0))</f>
        <v/>
      </c>
      <c r="BV219">
        <f>IF(OR($IW49=0,calcA!$A$6=0),0,IF(BU$117=1,BU49,0)+IF(BV$117=1,BW49,0))</f>
        <v/>
      </c>
      <c r="BW219">
        <f>IF(OR($IW49=0,calcA!$A$6=0),0,IF(BV$117=1,BV49,0))</f>
        <v/>
      </c>
      <c r="BX219">
        <f>IF(OR($IW49=0,calcA!$A$6=0),0,IF(BX$117=1,BY49,0))</f>
        <v/>
      </c>
      <c r="BY219">
        <f>IF(OR($IW49=0,calcA!$A$6=0),0,IF(BX$117=1,BX49,0)+IF(BY$117=1,BZ49,0))</f>
        <v/>
      </c>
      <c r="BZ219">
        <f>IF(OR($IW49=0,calcA!$A$6=0),0,IF(BY$117=1,BY49,0)+IF(BZ$117=1,CA49,0))</f>
        <v/>
      </c>
      <c r="CA219">
        <f>IF(OR($IW49=0,calcA!$A$6=0),0,IF(BZ$117=1,BZ49,0)+IF(CA$117=1,CB49,0))</f>
        <v/>
      </c>
      <c r="CB219">
        <f>IF(OR($IW49=0,calcA!$A$6=0),0,IF(CA$117=1,CA49,0)+IF(CB$117=1,CC49,0))</f>
        <v/>
      </c>
      <c r="CC219">
        <f>IF(OR($IW49=0,calcA!$A$6=0),0,IF(CB$117=1,CB49,0)+IF(CC$117=1,CD49,0))</f>
        <v/>
      </c>
      <c r="CD219">
        <f>IF(OR($IW49=0,calcA!$A$6=0),0,IF(CC$117=1,CC49,0)+IF(CD$117=1,CE49,0))</f>
        <v/>
      </c>
      <c r="CE219">
        <f>IF(OR($IW49=0,calcA!$A$6=0),0,IF(CD$117=1,CD49,0)+IF(CE$117=1,CF49,0))</f>
        <v/>
      </c>
      <c r="CF219">
        <f>IF(OR($IW49=0,calcA!$A$6=0),0,IF(CE$117=1,CE49,0)+IF(CF$117=1,CG49,0))</f>
        <v/>
      </c>
      <c r="CG219">
        <f>IF(OR($IW49=0,calcA!$A$6=0),0,IF(CF$117=1,CF49,0)+IF(CG$117=1,CH49,0))</f>
        <v/>
      </c>
      <c r="CH219">
        <f>IF(OR($IW49=0,calcA!$A$6=0),0,IF(CG$117=1,CG49,0)+IF(CH$117=1,CI49,0))</f>
        <v/>
      </c>
      <c r="CI219">
        <f>IF(OR($IW49=0,calcA!$A$6=0),0,IF(CH$117=1,CH49,0)+IF(CI$117=1,CJ49,0))</f>
        <v/>
      </c>
      <c r="CJ219">
        <f>IF(OR($IW49=0,calcA!$A$6=0),0,IF(CI$117=1,CI49,0)+IF(CJ$117=1,CK49,0))</f>
        <v/>
      </c>
      <c r="CK219">
        <f>IF(OR($IW49=0,calcA!$A$6=0),0,IF(CJ$117=1,CJ49,0)+IF(CK$117=1,CL49,0))</f>
        <v/>
      </c>
      <c r="CL219">
        <f>IF(OR($IW49=0,calcA!$A$6=0),0,IF(CK$117=1,CK49,0)+IF(CL$117=1,CM49,0))</f>
        <v/>
      </c>
      <c r="CM219">
        <f>IF(OR($IW49=0,calcA!$A$6=0),0,IF(CL$117=1,CL49,0)+IF(CM$117=1,CN49,0))</f>
        <v/>
      </c>
      <c r="CN219">
        <f>IF(OR($IW49=0,calcA!$A$6=0),0,IF(CM$117=1,CM49,0)+IF(CN$117=1,CO49,0))</f>
        <v/>
      </c>
      <c r="CO219">
        <f>IF(OR($IW49=0,calcA!$A$6=0),0,IF(CN$117=1,CN49,0)+IF(CO$117=1,CP49,0))</f>
        <v/>
      </c>
      <c r="CP219">
        <f>IF(OR($IW49=0,calcA!$A$6=0),0,IF(CO$117=1,CO49,0)+IF(CP$117=1,CQ49,0))</f>
        <v/>
      </c>
      <c r="CQ219">
        <f>IF(OR($IW49=0,calcA!$A$6=0),0,IF(CP$117=1,CP49,0)+IF(CQ$117=1,CR49,0))</f>
        <v/>
      </c>
      <c r="CR219">
        <f>IF(OR($IW49=0,calcA!$A$6=0),0,IF(CQ$117=1,CQ49,0)+IF(CR$117=1,CS49,0))</f>
        <v/>
      </c>
      <c r="CS219">
        <f>IF(OR($IW49=0,calcA!$A$6=0),0,IF(CR$117=1,CR49,0)+IF(CS$117=1,CT49,0))</f>
        <v/>
      </c>
      <c r="CT219">
        <f>IF(OR($IW49=0,calcA!$A$6=0),0,IF(CS$117=1,CS49,0)+IF(CT$117=1,CU49,0))</f>
        <v/>
      </c>
      <c r="CU219">
        <f>IF(OR($IW49=0,calcA!$A$6=0),0,IF(CT$117=1,CT49,0))</f>
        <v/>
      </c>
      <c r="CV219">
        <f>IF(OR($IW49=0,calcA!$A$6=0),0,IF(CV$117=1,CW49,0))</f>
        <v/>
      </c>
      <c r="CW219">
        <f>IF(OR($IW49=0,calcA!$A$6=0),0,IF(CV$117=1,CV49,0)+IF(CW$117=1,CX49,0))</f>
        <v/>
      </c>
      <c r="CX219">
        <f>IF(OR($IW49=0,calcA!$A$6=0),0,IF(CW$117=1,CW49,0)+IF(CX$117=1,CY49,0))</f>
        <v/>
      </c>
      <c r="CY219">
        <f>IF(OR($IW49=0,calcA!$A$6=0),0,IF(CX$117=1,CX49,0)+IF(CY$117=1,CZ49,0))</f>
        <v/>
      </c>
      <c r="CZ219">
        <f>IF(OR($IW49=0,calcA!$A$6=0),0,IF(CY$117=1,CY49,0)+IF(CZ$117=1,DA49,0))</f>
        <v/>
      </c>
      <c r="DA219">
        <f>IF(OR($IW49=0,calcA!$A$6=0),0,IF(CZ$117=1,CZ49,0)+IF(DA$117=1,DB49,0))</f>
        <v/>
      </c>
      <c r="DB219">
        <f>IF(OR($IW49=0,calcA!$A$6=0),0,IF(DA$117=1,DA49,0)+IF(DB$117=1,DC49,0))</f>
        <v/>
      </c>
      <c r="DC219">
        <f>IF(OR($IW49=0,calcA!$A$6=0),0,IF(DB$117=1,DB49,0)+IF(DC$117=1,DD49,0))</f>
        <v/>
      </c>
      <c r="DD219">
        <f>IF(OR($IW49=0,calcA!$A$6=0),0,IF(DC$117=1,DC49,0)+IF(DD$117=1,DE49,0))</f>
        <v/>
      </c>
      <c r="DE219">
        <f>IF(OR($IW49=0,calcA!$A$6=0),0,IF(DD$117=1,DD49,0)+IF(DE$117=1,DF49,0))</f>
        <v/>
      </c>
      <c r="DF219">
        <f>IF(OR($IW49=0,calcA!$A$6=0),0,IF(DE$117=1,DE49,0)+IF(DF$117=1,DG49,0))</f>
        <v/>
      </c>
      <c r="DG219">
        <f>IF(OR($IW49=0,calcA!$A$6=0),0,IF(DF$117=1,DF49,0)+IF(DG$117=1,DH49,0))</f>
        <v/>
      </c>
      <c r="DH219">
        <f>IF(OR($IW49=0,calcA!$A$6=0),0,IF(DG$117=1,DG49,0)+IF(DH$117=1,DI49,0))</f>
        <v/>
      </c>
      <c r="DI219">
        <f>IF(OR($IW49=0,calcA!$A$6=0),0,IF(DH$117=1,DH49,0)+IF(DI$117=1,DJ49,0))</f>
        <v/>
      </c>
      <c r="DJ219">
        <f>IF(OR($IW49=0,calcA!$A$6=0),0,IF(DI$117=1,DI49,0)+IF(DJ$117=1,DK49,0))</f>
        <v/>
      </c>
      <c r="DK219">
        <f>IF(OR($IW49=0,calcA!$A$6=0),0,IF(DJ$117=1,DJ49,0)+IF(DK$117=1,DL49,0))</f>
        <v/>
      </c>
      <c r="DL219">
        <f>IF(OR($IW49=0,calcA!$A$6=0),0,IF(DK$117=1,DK49,0)+IF(DL$117=1,DM49,0))</f>
        <v/>
      </c>
      <c r="DM219">
        <f>IF(OR($IW49=0,calcA!$A$6=0),0,IF(DL$117=1,DL49,0)+IF(DM$117=1,DN49,0))</f>
        <v/>
      </c>
      <c r="DN219">
        <f>IF(OR($IW49=0,calcA!$A$6=0),0,IF(DM$117=1,DM49,0)+IF(DN$117=1,DO49,0))</f>
        <v/>
      </c>
      <c r="DO219">
        <f>IF(OR($IW49=0,calcA!$A$6=0),0,IF(DN$117=1,DN49,0)+IF(DO$117=1,DP49,0))</f>
        <v/>
      </c>
      <c r="DP219">
        <f>IF(OR($IW49=0,calcA!$A$6=0),0,IF(DO$117=1,DO49,0)+IF(DP$117=1,DQ49,0))</f>
        <v/>
      </c>
      <c r="DQ219">
        <f>IF(OR($IW49=0,calcA!$A$6=0),0,IF(DP$117=1,DP49,0)+IF(DQ$117=1,DR49,0))</f>
        <v/>
      </c>
      <c r="DR219">
        <f>IF(OR($IW49=0,calcA!$A$6=0),0,IF(DQ$117=1,DQ49,0)+IF(DR$117=1,DS49,0))</f>
        <v/>
      </c>
      <c r="DS219">
        <f>IF(OR($IW49=0,calcA!$A$6=0),0,IF(DR$117=1,DR49,0))</f>
        <v/>
      </c>
      <c r="DT219">
        <f>IF(OR($IW49=0,calcA!$A$6=0),0,IF(DT$117=1,DU49,0))</f>
        <v/>
      </c>
      <c r="DU219">
        <f>IF(OR($IW49=0,calcA!$A$6=0),0,IF(DT$117=1,DT49,0)+IF(DU$117=1,DV49,0))</f>
        <v/>
      </c>
      <c r="DV219">
        <f>IF(OR($IW49=0,calcA!$A$6=0),0,IF(DU$117=1,DU49,0)+IF(DV$117=1,DW49,0))</f>
        <v/>
      </c>
      <c r="DW219">
        <f>IF(OR($IW49=0,calcA!$A$6=0),0,IF(DV$117=1,DV49,0)+IF(DW$117=1,DX49,0))</f>
        <v/>
      </c>
      <c r="DX219">
        <f>IF(OR($IW49=0,calcA!$A$6=0),0,IF(DW$117=1,DW49,0)+IF(DX$117=1,DY49,0))</f>
        <v/>
      </c>
      <c r="DY219">
        <f>IF(OR($IW49=0,calcA!$A$6=0),0,IF(DX$117=1,DX49,0)+IF(DY$117=1,DZ49,0))</f>
        <v/>
      </c>
      <c r="DZ219">
        <f>IF(OR($IW49=0,calcA!$A$6=0),0,IF(DY$117=1,DY49,0)+IF(DZ$117=1,EA49,0))</f>
        <v/>
      </c>
      <c r="EA219">
        <f>IF(OR($IW49=0,calcA!$A$6=0),0,IF(DZ$117=1,DZ49,0)+IF(EA$117=1,EB49,0))</f>
        <v/>
      </c>
      <c r="EB219">
        <f>IF(OR($IW49=0,calcA!$A$6=0),0,IF(EA$117=1,EA49,0)+IF(EB$117=1,EC49,0))</f>
        <v/>
      </c>
      <c r="EC219">
        <f>IF(OR($IW49=0,calcA!$A$6=0),0,IF(EB$117=1,EB49,0)+IF(EC$117=1,ED49,0))</f>
        <v/>
      </c>
      <c r="ED219">
        <f>IF(OR($IW49=0,calcA!$A$6=0),0,IF(EC$117=1,EC49,0)+IF(ED$117=1,EE49,0))</f>
        <v/>
      </c>
      <c r="EE219">
        <f>IF(OR($IW49=0,calcA!$A$6=0),0,IF(ED$117=1,ED49,0)+IF(EE$117=1,EF49,0))</f>
        <v/>
      </c>
      <c r="EF219">
        <f>IF(OR($IW49=0,calcA!$A$6=0),0,IF(EE$117=1,EE49,0)+IF(EF$117=1,EG49,0))</f>
        <v/>
      </c>
      <c r="EG219">
        <f>IF(OR($IW49=0,calcA!$A$6=0),0,IF(EF$117=1,EF49,0)+IF(EG$117=1,EH49,0))</f>
        <v/>
      </c>
      <c r="EH219">
        <f>IF(OR($IW49=0,calcA!$A$6=0),0,IF(EG$117=1,EG49,0)+IF(EH$117=1,EI49,0))</f>
        <v/>
      </c>
      <c r="EI219">
        <f>IF(OR($IW49=0,calcA!$A$6=0),0,IF(EH$117=1,EH49,0)+IF(EI$117=1,EJ49,0))</f>
        <v/>
      </c>
      <c r="EJ219">
        <f>IF(OR($IW49=0,calcA!$A$6=0),0,IF(EI$117=1,EI49,0)+IF(EJ$117=1,EK49,0))</f>
        <v/>
      </c>
      <c r="EK219">
        <f>IF(OR($IW49=0,calcA!$A$6=0),0,IF(EJ$117=1,EJ49,0)+IF(EK$117=1,EL49,0))</f>
        <v/>
      </c>
      <c r="EL219">
        <f>IF(OR($IW49=0,calcA!$A$6=0),0,IF(EK$117=1,EK49,0)+IF(EL$117=1,EM49,0))</f>
        <v/>
      </c>
      <c r="EM219">
        <f>IF(OR($IW49=0,calcA!$A$6=0),0,IF(EL$117=1,EL49,0)+IF(EM$117=1,EN49,0))</f>
        <v/>
      </c>
      <c r="EN219">
        <f>IF(OR($IW49=0,calcA!$A$6=0),0,IF(EM$117=1,EM49,0)+IF(EN$117=1,EO49,0))</f>
        <v/>
      </c>
      <c r="EO219">
        <f>IF(OR($IW49=0,calcA!$A$6=0),0,IF(EN$117=1,EN49,0)+IF(EO$117=1,EP49,0))</f>
        <v/>
      </c>
      <c r="EP219">
        <f>IF(OR($IW49=0,calcA!$A$6=0),0,IF(EO$117=1,EO49,0)+IF(EP$117=1,EQ49,0))</f>
        <v/>
      </c>
      <c r="EQ219">
        <f>IF(OR($IW49=0,calcA!$A$6=0),0,IF(EP$117=1,EP49,0))</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KS42"/>
  <sheetViews>
    <sheetView showGridLines="0" workbookViewId="0">
      <selection activeCell="A1" sqref="A1"/>
    </sheetView>
  </sheetViews>
  <sheetFormatPr baseColWidth="8" defaultRowHeight="15"/>
  <sheetData>
    <row r="1">
      <c r="A1" s="95" t="inlineStr">
        <is>
          <t>計算用（さわらないでください）</t>
        </is>
      </c>
      <c r="X1" t="inlineStr">
        <is>
          <t>済</t>
        </is>
      </c>
      <c r="BM1" t="inlineStr">
        <is>
          <t>点数（入れられる枠の数）</t>
        </is>
      </c>
      <c r="DB1" t="inlineStr">
        <is>
          <t>空き</t>
        </is>
      </c>
      <c r="IQ1" t="inlineStr">
        <is>
          <t>次の枠が空いている</t>
        </is>
      </c>
      <c r="OF1" t="inlineStr">
        <is>
          <t>枠の点数</t>
        </is>
      </c>
    </row>
    <row r="2">
      <c r="A2" t="inlineStr">
        <is>
          <t>k</t>
        </is>
      </c>
      <c r="B2" t="inlineStr">
        <is>
          <t>児童</t>
        </is>
      </c>
      <c r="C2" t="inlineStr">
        <is>
          <t>枠</t>
        </is>
      </c>
      <c r="D2" t="inlineStr">
        <is>
          <t>空けたい枠</t>
        </is>
      </c>
      <c r="E2" t="inlineStr">
        <is>
          <t>後ろ空け</t>
        </is>
      </c>
      <c r="F2" t="inlineStr">
        <is>
          <t>希望</t>
        </is>
      </c>
      <c r="G2" t="inlineStr">
        <is>
          <t>空けた枠</t>
        </is>
      </c>
      <c r="H2" t="inlineStr">
        <is>
          <t>兄弟あり</t>
        </is>
      </c>
      <c r="I2" t="inlineStr">
        <is>
          <t>兄弟①枠</t>
        </is>
      </c>
      <c r="J2" t="inlineStr">
        <is>
          <t>兄弟②枠</t>
        </is>
      </c>
      <c r="K2" t="inlineStr">
        <is>
          <t>兄弟③枠</t>
        </is>
      </c>
      <c r="L2" t="inlineStr">
        <is>
          <t>①順番</t>
        </is>
      </c>
      <c r="M2" t="inlineStr">
        <is>
          <t>②順番</t>
        </is>
      </c>
      <c r="N2" t="inlineStr">
        <is>
          <t>③順番</t>
        </is>
      </c>
      <c r="O2" t="inlineStr">
        <is>
          <t>①日</t>
        </is>
      </c>
      <c r="P2" t="inlineStr">
        <is>
          <t>②日</t>
        </is>
      </c>
      <c r="Q2" t="inlineStr">
        <is>
          <t>③日</t>
        </is>
      </c>
      <c r="R2" t="inlineStr">
        <is>
          <t>①時</t>
        </is>
      </c>
      <c r="S2" t="inlineStr">
        <is>
          <t>②時</t>
        </is>
      </c>
      <c r="T2" t="inlineStr">
        <is>
          <t>③時</t>
        </is>
      </c>
      <c r="U2" t="inlineStr">
        <is>
          <t>空けない</t>
        </is>
      </c>
      <c r="V2" t="inlineStr">
        <is>
          <t>兄弟の時間あり</t>
        </is>
      </c>
      <c r="X2" t="n">
        <v>1</v>
      </c>
      <c r="Y2" t="n">
        <v>2</v>
      </c>
      <c r="Z2" t="n">
        <v>3</v>
      </c>
      <c r="AA2" t="n">
        <v>4</v>
      </c>
      <c r="AB2" t="n">
        <v>5</v>
      </c>
      <c r="AC2" t="n">
        <v>6</v>
      </c>
      <c r="AD2" t="n">
        <v>7</v>
      </c>
      <c r="AE2" t="n">
        <v>8</v>
      </c>
      <c r="AF2" t="n">
        <v>9</v>
      </c>
      <c r="AG2" t="n">
        <v>10</v>
      </c>
      <c r="AH2" t="n">
        <v>11</v>
      </c>
      <c r="AI2" t="n">
        <v>12</v>
      </c>
      <c r="AJ2" t="n">
        <v>13</v>
      </c>
      <c r="AK2" t="n">
        <v>14</v>
      </c>
      <c r="AL2" t="n">
        <v>15</v>
      </c>
      <c r="AM2" t="n">
        <v>16</v>
      </c>
      <c r="AN2" t="n">
        <v>17</v>
      </c>
      <c r="AO2" t="n">
        <v>18</v>
      </c>
      <c r="AP2" t="n">
        <v>19</v>
      </c>
      <c r="AQ2" t="n">
        <v>20</v>
      </c>
      <c r="AR2" t="n">
        <v>21</v>
      </c>
      <c r="AS2" t="n">
        <v>22</v>
      </c>
      <c r="AT2" t="n">
        <v>23</v>
      </c>
      <c r="AU2" t="n">
        <v>24</v>
      </c>
      <c r="AV2" t="n">
        <v>25</v>
      </c>
      <c r="AW2" t="n">
        <v>26</v>
      </c>
      <c r="AX2" t="n">
        <v>27</v>
      </c>
      <c r="AY2" t="n">
        <v>28</v>
      </c>
      <c r="AZ2" t="n">
        <v>29</v>
      </c>
      <c r="BA2" t="n">
        <v>30</v>
      </c>
      <c r="BB2" t="n">
        <v>31</v>
      </c>
      <c r="BC2" t="n">
        <v>32</v>
      </c>
      <c r="BD2" t="n">
        <v>33</v>
      </c>
      <c r="BE2" t="n">
        <v>34</v>
      </c>
      <c r="BF2" t="n">
        <v>35</v>
      </c>
      <c r="BG2" t="n">
        <v>36</v>
      </c>
      <c r="BH2" t="n">
        <v>37</v>
      </c>
      <c r="BI2" t="n">
        <v>38</v>
      </c>
      <c r="BJ2" t="n">
        <v>39</v>
      </c>
      <c r="BK2" t="n">
        <v>40</v>
      </c>
      <c r="BM2" t="n">
        <v>1</v>
      </c>
      <c r="BN2" t="n">
        <v>2</v>
      </c>
      <c r="BO2" t="n">
        <v>3</v>
      </c>
      <c r="BP2" t="n">
        <v>4</v>
      </c>
      <c r="BQ2" t="n">
        <v>5</v>
      </c>
      <c r="BR2" t="n">
        <v>6</v>
      </c>
      <c r="BS2" t="n">
        <v>7</v>
      </c>
      <c r="BT2" t="n">
        <v>8</v>
      </c>
      <c r="BU2" t="n">
        <v>9</v>
      </c>
      <c r="BV2" t="n">
        <v>10</v>
      </c>
      <c r="BW2" t="n">
        <v>11</v>
      </c>
      <c r="BX2" t="n">
        <v>12</v>
      </c>
      <c r="BY2" t="n">
        <v>13</v>
      </c>
      <c r="BZ2" t="n">
        <v>14</v>
      </c>
      <c r="CA2" t="n">
        <v>15</v>
      </c>
      <c r="CB2" t="n">
        <v>16</v>
      </c>
      <c r="CC2" t="n">
        <v>17</v>
      </c>
      <c r="CD2" t="n">
        <v>18</v>
      </c>
      <c r="CE2" t="n">
        <v>19</v>
      </c>
      <c r="CF2" t="n">
        <v>20</v>
      </c>
      <c r="CG2" t="n">
        <v>21</v>
      </c>
      <c r="CH2" t="n">
        <v>22</v>
      </c>
      <c r="CI2" t="n">
        <v>23</v>
      </c>
      <c r="CJ2" t="n">
        <v>24</v>
      </c>
      <c r="CK2" t="n">
        <v>25</v>
      </c>
      <c r="CL2" t="n">
        <v>26</v>
      </c>
      <c r="CM2" t="n">
        <v>27</v>
      </c>
      <c r="CN2" t="n">
        <v>28</v>
      </c>
      <c r="CO2" t="n">
        <v>29</v>
      </c>
      <c r="CP2" t="n">
        <v>30</v>
      </c>
      <c r="CQ2" t="n">
        <v>31</v>
      </c>
      <c r="CR2" t="n">
        <v>32</v>
      </c>
      <c r="CS2" t="n">
        <v>33</v>
      </c>
      <c r="CT2" t="n">
        <v>34</v>
      </c>
      <c r="CU2" t="n">
        <v>35</v>
      </c>
      <c r="CV2" t="n">
        <v>36</v>
      </c>
      <c r="CW2" t="n">
        <v>37</v>
      </c>
      <c r="CX2" t="n">
        <v>38</v>
      </c>
      <c r="CY2" t="n">
        <v>39</v>
      </c>
      <c r="CZ2" t="n">
        <v>40</v>
      </c>
      <c r="DB2" t="n">
        <v>1</v>
      </c>
      <c r="DC2" t="n">
        <v>2</v>
      </c>
      <c r="DD2" t="n">
        <v>3</v>
      </c>
      <c r="DE2" t="n">
        <v>4</v>
      </c>
      <c r="DF2" t="n">
        <v>5</v>
      </c>
      <c r="DG2" t="n">
        <v>6</v>
      </c>
      <c r="DH2" t="n">
        <v>7</v>
      </c>
      <c r="DI2" t="n">
        <v>8</v>
      </c>
      <c r="DJ2" t="n">
        <v>9</v>
      </c>
      <c r="DK2" t="n">
        <v>10</v>
      </c>
      <c r="DL2" t="n">
        <v>11</v>
      </c>
      <c r="DM2" t="n">
        <v>12</v>
      </c>
      <c r="DN2" t="n">
        <v>13</v>
      </c>
      <c r="DO2" t="n">
        <v>14</v>
      </c>
      <c r="DP2" t="n">
        <v>15</v>
      </c>
      <c r="DQ2" t="n">
        <v>16</v>
      </c>
      <c r="DR2" t="n">
        <v>17</v>
      </c>
      <c r="DS2" t="n">
        <v>18</v>
      </c>
      <c r="DT2" t="n">
        <v>19</v>
      </c>
      <c r="DU2" t="n">
        <v>20</v>
      </c>
      <c r="DV2" t="n">
        <v>21</v>
      </c>
      <c r="DW2" t="n">
        <v>22</v>
      </c>
      <c r="DX2" t="n">
        <v>23</v>
      </c>
      <c r="DY2" t="n">
        <v>24</v>
      </c>
      <c r="DZ2" t="n">
        <v>25</v>
      </c>
      <c r="EA2" t="n">
        <v>26</v>
      </c>
      <c r="EB2" t="n">
        <v>27</v>
      </c>
      <c r="EC2" t="n">
        <v>28</v>
      </c>
      <c r="ED2" t="n">
        <v>29</v>
      </c>
      <c r="EE2" t="n">
        <v>30</v>
      </c>
      <c r="EF2" t="n">
        <v>31</v>
      </c>
      <c r="EG2" t="n">
        <v>32</v>
      </c>
      <c r="EH2" t="n">
        <v>33</v>
      </c>
      <c r="EI2" t="n">
        <v>34</v>
      </c>
      <c r="EJ2" t="n">
        <v>35</v>
      </c>
      <c r="EK2" t="n">
        <v>36</v>
      </c>
      <c r="EL2" t="n">
        <v>37</v>
      </c>
      <c r="EM2" t="n">
        <v>38</v>
      </c>
      <c r="EN2" t="n">
        <v>39</v>
      </c>
      <c r="EO2" t="n">
        <v>40</v>
      </c>
      <c r="EP2" t="n">
        <v>41</v>
      </c>
      <c r="EQ2" t="n">
        <v>42</v>
      </c>
      <c r="ER2" t="n">
        <v>43</v>
      </c>
      <c r="ES2" t="n">
        <v>44</v>
      </c>
      <c r="ET2" t="n">
        <v>45</v>
      </c>
      <c r="EU2" t="n">
        <v>46</v>
      </c>
      <c r="EV2" t="n">
        <v>47</v>
      </c>
      <c r="EW2" t="n">
        <v>48</v>
      </c>
      <c r="EX2" t="n">
        <v>49</v>
      </c>
      <c r="EY2" t="n">
        <v>50</v>
      </c>
      <c r="EZ2" t="n">
        <v>51</v>
      </c>
      <c r="FA2" t="n">
        <v>52</v>
      </c>
      <c r="FB2" t="n">
        <v>53</v>
      </c>
      <c r="FC2" t="n">
        <v>54</v>
      </c>
      <c r="FD2" t="n">
        <v>55</v>
      </c>
      <c r="FE2" t="n">
        <v>56</v>
      </c>
      <c r="FF2" t="n">
        <v>57</v>
      </c>
      <c r="FG2" t="n">
        <v>58</v>
      </c>
      <c r="FH2" t="n">
        <v>59</v>
      </c>
      <c r="FI2" t="n">
        <v>60</v>
      </c>
      <c r="FJ2" t="n">
        <v>61</v>
      </c>
      <c r="FK2" t="n">
        <v>62</v>
      </c>
      <c r="FL2" t="n">
        <v>63</v>
      </c>
      <c r="FM2" t="n">
        <v>64</v>
      </c>
      <c r="FN2" t="n">
        <v>65</v>
      </c>
      <c r="FO2" t="n">
        <v>66</v>
      </c>
      <c r="FP2" t="n">
        <v>67</v>
      </c>
      <c r="FQ2" t="n">
        <v>68</v>
      </c>
      <c r="FR2" t="n">
        <v>69</v>
      </c>
      <c r="FS2" t="n">
        <v>70</v>
      </c>
      <c r="FT2" t="n">
        <v>71</v>
      </c>
      <c r="FU2" t="n">
        <v>72</v>
      </c>
      <c r="FV2" t="n">
        <v>73</v>
      </c>
      <c r="FW2" t="n">
        <v>74</v>
      </c>
      <c r="FX2" t="n">
        <v>75</v>
      </c>
      <c r="FY2" t="n">
        <v>76</v>
      </c>
      <c r="FZ2" t="n">
        <v>77</v>
      </c>
      <c r="GA2" t="n">
        <v>78</v>
      </c>
      <c r="GB2" t="n">
        <v>79</v>
      </c>
      <c r="GC2" t="n">
        <v>80</v>
      </c>
      <c r="GD2" t="n">
        <v>81</v>
      </c>
      <c r="GE2" t="n">
        <v>82</v>
      </c>
      <c r="GF2" t="n">
        <v>83</v>
      </c>
      <c r="GG2" t="n">
        <v>84</v>
      </c>
      <c r="GH2" t="n">
        <v>85</v>
      </c>
      <c r="GI2" t="n">
        <v>86</v>
      </c>
      <c r="GJ2" t="n">
        <v>87</v>
      </c>
      <c r="GK2" t="n">
        <v>88</v>
      </c>
      <c r="GL2" t="n">
        <v>89</v>
      </c>
      <c r="GM2" t="n">
        <v>90</v>
      </c>
      <c r="GN2" t="n">
        <v>91</v>
      </c>
      <c r="GO2" t="n">
        <v>92</v>
      </c>
      <c r="GP2" t="n">
        <v>93</v>
      </c>
      <c r="GQ2" t="n">
        <v>94</v>
      </c>
      <c r="GR2" t="n">
        <v>95</v>
      </c>
      <c r="GS2" t="n">
        <v>96</v>
      </c>
      <c r="GT2" t="n">
        <v>97</v>
      </c>
      <c r="GU2" t="n">
        <v>98</v>
      </c>
      <c r="GV2" t="n">
        <v>99</v>
      </c>
      <c r="GW2" t="n">
        <v>100</v>
      </c>
      <c r="GX2" t="n">
        <v>101</v>
      </c>
      <c r="GY2" t="n">
        <v>102</v>
      </c>
      <c r="GZ2" t="n">
        <v>103</v>
      </c>
      <c r="HA2" t="n">
        <v>104</v>
      </c>
      <c r="HB2" t="n">
        <v>105</v>
      </c>
      <c r="HC2" t="n">
        <v>106</v>
      </c>
      <c r="HD2" t="n">
        <v>107</v>
      </c>
      <c r="HE2" t="n">
        <v>108</v>
      </c>
      <c r="HF2" t="n">
        <v>109</v>
      </c>
      <c r="HG2" t="n">
        <v>110</v>
      </c>
      <c r="HH2" t="n">
        <v>111</v>
      </c>
      <c r="HI2" t="n">
        <v>112</v>
      </c>
      <c r="HJ2" t="n">
        <v>113</v>
      </c>
      <c r="HK2" t="n">
        <v>114</v>
      </c>
      <c r="HL2" t="n">
        <v>115</v>
      </c>
      <c r="HM2" t="n">
        <v>116</v>
      </c>
      <c r="HN2" t="n">
        <v>117</v>
      </c>
      <c r="HO2" t="n">
        <v>118</v>
      </c>
      <c r="HP2" t="n">
        <v>119</v>
      </c>
      <c r="HQ2" t="n">
        <v>120</v>
      </c>
      <c r="HR2" t="n">
        <v>121</v>
      </c>
      <c r="HS2" t="n">
        <v>122</v>
      </c>
      <c r="HT2" t="n">
        <v>123</v>
      </c>
      <c r="HU2" t="n">
        <v>124</v>
      </c>
      <c r="HV2" t="n">
        <v>125</v>
      </c>
      <c r="HW2" t="n">
        <v>126</v>
      </c>
      <c r="HX2" t="n">
        <v>127</v>
      </c>
      <c r="HY2" t="n">
        <v>128</v>
      </c>
      <c r="HZ2" t="n">
        <v>129</v>
      </c>
      <c r="IA2" t="n">
        <v>130</v>
      </c>
      <c r="IB2" t="n">
        <v>131</v>
      </c>
      <c r="IC2" t="n">
        <v>132</v>
      </c>
      <c r="ID2" t="n">
        <v>133</v>
      </c>
      <c r="IE2" t="n">
        <v>134</v>
      </c>
      <c r="IF2" t="n">
        <v>135</v>
      </c>
      <c r="IG2" t="n">
        <v>136</v>
      </c>
      <c r="IH2" t="n">
        <v>137</v>
      </c>
      <c r="II2" t="n">
        <v>138</v>
      </c>
      <c r="IJ2" t="n">
        <v>139</v>
      </c>
      <c r="IK2" t="n">
        <v>140</v>
      </c>
      <c r="IL2" t="n">
        <v>141</v>
      </c>
      <c r="IM2" t="n">
        <v>142</v>
      </c>
      <c r="IN2" t="n">
        <v>143</v>
      </c>
      <c r="IO2" t="n">
        <v>144</v>
      </c>
      <c r="IQ2" t="n">
        <v>1</v>
      </c>
      <c r="IR2" t="n">
        <v>2</v>
      </c>
      <c r="IS2" t="n">
        <v>3</v>
      </c>
      <c r="IT2" t="n">
        <v>4</v>
      </c>
      <c r="IU2" t="n">
        <v>5</v>
      </c>
      <c r="IV2" t="n">
        <v>6</v>
      </c>
      <c r="IW2" t="n">
        <v>7</v>
      </c>
      <c r="IX2" t="n">
        <v>8</v>
      </c>
      <c r="IY2" t="n">
        <v>9</v>
      </c>
      <c r="IZ2" t="n">
        <v>10</v>
      </c>
      <c r="JA2" t="n">
        <v>11</v>
      </c>
      <c r="JB2" t="n">
        <v>12</v>
      </c>
      <c r="JC2" t="n">
        <v>13</v>
      </c>
      <c r="JD2" t="n">
        <v>14</v>
      </c>
      <c r="JE2" t="n">
        <v>15</v>
      </c>
      <c r="JF2" t="n">
        <v>16</v>
      </c>
      <c r="JG2" t="n">
        <v>17</v>
      </c>
      <c r="JH2" t="n">
        <v>18</v>
      </c>
      <c r="JI2" t="n">
        <v>19</v>
      </c>
      <c r="JJ2" t="n">
        <v>20</v>
      </c>
      <c r="JK2" t="n">
        <v>21</v>
      </c>
      <c r="JL2" t="n">
        <v>22</v>
      </c>
      <c r="JM2" t="n">
        <v>23</v>
      </c>
      <c r="JN2" t="n">
        <v>24</v>
      </c>
      <c r="JO2" t="n">
        <v>25</v>
      </c>
      <c r="JP2" t="n">
        <v>26</v>
      </c>
      <c r="JQ2" t="n">
        <v>27</v>
      </c>
      <c r="JR2" t="n">
        <v>28</v>
      </c>
      <c r="JS2" t="n">
        <v>29</v>
      </c>
      <c r="JT2" t="n">
        <v>30</v>
      </c>
      <c r="JU2" t="n">
        <v>31</v>
      </c>
      <c r="JV2" t="n">
        <v>32</v>
      </c>
      <c r="JW2" t="n">
        <v>33</v>
      </c>
      <c r="JX2" t="n">
        <v>34</v>
      </c>
      <c r="JY2" t="n">
        <v>35</v>
      </c>
      <c r="JZ2" t="n">
        <v>36</v>
      </c>
      <c r="KA2" t="n">
        <v>37</v>
      </c>
      <c r="KB2" t="n">
        <v>38</v>
      </c>
      <c r="KC2" t="n">
        <v>39</v>
      </c>
      <c r="KD2" t="n">
        <v>40</v>
      </c>
      <c r="KE2" t="n">
        <v>41</v>
      </c>
      <c r="KF2" t="n">
        <v>42</v>
      </c>
      <c r="KG2" t="n">
        <v>43</v>
      </c>
      <c r="KH2" t="n">
        <v>44</v>
      </c>
      <c r="KI2" t="n">
        <v>45</v>
      </c>
      <c r="KJ2" t="n">
        <v>46</v>
      </c>
      <c r="KK2" t="n">
        <v>47</v>
      </c>
      <c r="KL2" t="n">
        <v>48</v>
      </c>
      <c r="KM2" t="n">
        <v>49</v>
      </c>
      <c r="KN2" t="n">
        <v>50</v>
      </c>
      <c r="KO2" t="n">
        <v>51</v>
      </c>
      <c r="KP2" t="n">
        <v>52</v>
      </c>
      <c r="KQ2" t="n">
        <v>53</v>
      </c>
      <c r="KR2" t="n">
        <v>54</v>
      </c>
      <c r="KS2" t="n">
        <v>55</v>
      </c>
      <c r="KT2" t="n">
        <v>56</v>
      </c>
      <c r="KU2" t="n">
        <v>57</v>
      </c>
      <c r="KV2" t="n">
        <v>58</v>
      </c>
      <c r="KW2" t="n">
        <v>59</v>
      </c>
      <c r="KX2" t="n">
        <v>60</v>
      </c>
      <c r="KY2" t="n">
        <v>61</v>
      </c>
      <c r="KZ2" t="n">
        <v>62</v>
      </c>
      <c r="LA2" t="n">
        <v>63</v>
      </c>
      <c r="LB2" t="n">
        <v>64</v>
      </c>
      <c r="LC2" t="n">
        <v>65</v>
      </c>
      <c r="LD2" t="n">
        <v>66</v>
      </c>
      <c r="LE2" t="n">
        <v>67</v>
      </c>
      <c r="LF2" t="n">
        <v>68</v>
      </c>
      <c r="LG2" t="n">
        <v>69</v>
      </c>
      <c r="LH2" t="n">
        <v>70</v>
      </c>
      <c r="LI2" t="n">
        <v>71</v>
      </c>
      <c r="LJ2" t="n">
        <v>72</v>
      </c>
      <c r="LK2" t="n">
        <v>73</v>
      </c>
      <c r="LL2" t="n">
        <v>74</v>
      </c>
      <c r="LM2" t="n">
        <v>75</v>
      </c>
      <c r="LN2" t="n">
        <v>76</v>
      </c>
      <c r="LO2" t="n">
        <v>77</v>
      </c>
      <c r="LP2" t="n">
        <v>78</v>
      </c>
      <c r="LQ2" t="n">
        <v>79</v>
      </c>
      <c r="LR2" t="n">
        <v>80</v>
      </c>
      <c r="LS2" t="n">
        <v>81</v>
      </c>
      <c r="LT2" t="n">
        <v>82</v>
      </c>
      <c r="LU2" t="n">
        <v>83</v>
      </c>
      <c r="LV2" t="n">
        <v>84</v>
      </c>
      <c r="LW2" t="n">
        <v>85</v>
      </c>
      <c r="LX2" t="n">
        <v>86</v>
      </c>
      <c r="LY2" t="n">
        <v>87</v>
      </c>
      <c r="LZ2" t="n">
        <v>88</v>
      </c>
      <c r="MA2" t="n">
        <v>89</v>
      </c>
      <c r="MB2" t="n">
        <v>90</v>
      </c>
      <c r="MC2" t="n">
        <v>91</v>
      </c>
      <c r="MD2" t="n">
        <v>92</v>
      </c>
      <c r="ME2" t="n">
        <v>93</v>
      </c>
      <c r="MF2" t="n">
        <v>94</v>
      </c>
      <c r="MG2" t="n">
        <v>95</v>
      </c>
      <c r="MH2" t="n">
        <v>96</v>
      </c>
      <c r="MI2" t="n">
        <v>97</v>
      </c>
      <c r="MJ2" t="n">
        <v>98</v>
      </c>
      <c r="MK2" t="n">
        <v>99</v>
      </c>
      <c r="ML2" t="n">
        <v>100</v>
      </c>
      <c r="MM2" t="n">
        <v>101</v>
      </c>
      <c r="MN2" t="n">
        <v>102</v>
      </c>
      <c r="MO2" t="n">
        <v>103</v>
      </c>
      <c r="MP2" t="n">
        <v>104</v>
      </c>
      <c r="MQ2" t="n">
        <v>105</v>
      </c>
      <c r="MR2" t="n">
        <v>106</v>
      </c>
      <c r="MS2" t="n">
        <v>107</v>
      </c>
      <c r="MT2" t="n">
        <v>108</v>
      </c>
      <c r="MU2" t="n">
        <v>109</v>
      </c>
      <c r="MV2" t="n">
        <v>110</v>
      </c>
      <c r="MW2" t="n">
        <v>111</v>
      </c>
      <c r="MX2" t="n">
        <v>112</v>
      </c>
      <c r="MY2" t="n">
        <v>113</v>
      </c>
      <c r="MZ2" t="n">
        <v>114</v>
      </c>
      <c r="NA2" t="n">
        <v>115</v>
      </c>
      <c r="NB2" t="n">
        <v>116</v>
      </c>
      <c r="NC2" t="n">
        <v>117</v>
      </c>
      <c r="ND2" t="n">
        <v>118</v>
      </c>
      <c r="NE2" t="n">
        <v>119</v>
      </c>
      <c r="NF2" t="n">
        <v>120</v>
      </c>
      <c r="NG2" t="n">
        <v>121</v>
      </c>
      <c r="NH2" t="n">
        <v>122</v>
      </c>
      <c r="NI2" t="n">
        <v>123</v>
      </c>
      <c r="NJ2" t="n">
        <v>124</v>
      </c>
      <c r="NK2" t="n">
        <v>125</v>
      </c>
      <c r="NL2" t="n">
        <v>126</v>
      </c>
      <c r="NM2" t="n">
        <v>127</v>
      </c>
      <c r="NN2" t="n">
        <v>128</v>
      </c>
      <c r="NO2" t="n">
        <v>129</v>
      </c>
      <c r="NP2" t="n">
        <v>130</v>
      </c>
      <c r="NQ2" t="n">
        <v>131</v>
      </c>
      <c r="NR2" t="n">
        <v>132</v>
      </c>
      <c r="NS2" t="n">
        <v>133</v>
      </c>
      <c r="NT2" t="n">
        <v>134</v>
      </c>
      <c r="NU2" t="n">
        <v>135</v>
      </c>
      <c r="NV2" t="n">
        <v>136</v>
      </c>
      <c r="NW2" t="n">
        <v>137</v>
      </c>
      <c r="NX2" t="n">
        <v>138</v>
      </c>
      <c r="NY2" t="n">
        <v>139</v>
      </c>
      <c r="NZ2" t="n">
        <v>140</v>
      </c>
      <c r="OA2" t="n">
        <v>141</v>
      </c>
      <c r="OB2" t="n">
        <v>142</v>
      </c>
      <c r="OC2" t="n">
        <v>143</v>
      </c>
      <c r="OD2" t="n">
        <v>144</v>
      </c>
      <c r="OF2" t="n">
        <v>1</v>
      </c>
      <c r="OG2" t="n">
        <v>2</v>
      </c>
      <c r="OH2" t="n">
        <v>3</v>
      </c>
      <c r="OI2" t="n">
        <v>4</v>
      </c>
      <c r="OJ2" t="n">
        <v>5</v>
      </c>
      <c r="OK2" t="n">
        <v>6</v>
      </c>
      <c r="OL2" t="n">
        <v>7</v>
      </c>
      <c r="OM2" t="n">
        <v>8</v>
      </c>
      <c r="ON2" t="n">
        <v>9</v>
      </c>
      <c r="OO2" t="n">
        <v>10</v>
      </c>
      <c r="OP2" t="n">
        <v>11</v>
      </c>
      <c r="OQ2" t="n">
        <v>12</v>
      </c>
      <c r="OR2" t="n">
        <v>13</v>
      </c>
      <c r="OS2" t="n">
        <v>14</v>
      </c>
      <c r="OT2" t="n">
        <v>15</v>
      </c>
      <c r="OU2" t="n">
        <v>16</v>
      </c>
      <c r="OV2" t="n">
        <v>17</v>
      </c>
      <c r="OW2" t="n">
        <v>18</v>
      </c>
      <c r="OX2" t="n">
        <v>19</v>
      </c>
      <c r="OY2" t="n">
        <v>20</v>
      </c>
      <c r="OZ2" t="n">
        <v>21</v>
      </c>
      <c r="PA2" t="n">
        <v>22</v>
      </c>
      <c r="PB2" t="n">
        <v>23</v>
      </c>
      <c r="PC2" t="n">
        <v>24</v>
      </c>
      <c r="PD2" t="n">
        <v>25</v>
      </c>
      <c r="PE2" t="n">
        <v>26</v>
      </c>
      <c r="PF2" t="n">
        <v>27</v>
      </c>
      <c r="PG2" t="n">
        <v>28</v>
      </c>
      <c r="PH2" t="n">
        <v>29</v>
      </c>
      <c r="PI2" t="n">
        <v>30</v>
      </c>
      <c r="PJ2" t="n">
        <v>31</v>
      </c>
      <c r="PK2" t="n">
        <v>32</v>
      </c>
      <c r="PL2" t="n">
        <v>33</v>
      </c>
      <c r="PM2" t="n">
        <v>34</v>
      </c>
      <c r="PN2" t="n">
        <v>35</v>
      </c>
      <c r="PO2" t="n">
        <v>36</v>
      </c>
      <c r="PP2" t="n">
        <v>37</v>
      </c>
      <c r="PQ2" t="n">
        <v>38</v>
      </c>
      <c r="PR2" t="n">
        <v>39</v>
      </c>
      <c r="PS2" t="n">
        <v>40</v>
      </c>
      <c r="PT2" t="n">
        <v>41</v>
      </c>
      <c r="PU2" t="n">
        <v>42</v>
      </c>
      <c r="PV2" t="n">
        <v>43</v>
      </c>
      <c r="PW2" t="n">
        <v>44</v>
      </c>
      <c r="PX2" t="n">
        <v>45</v>
      </c>
      <c r="PY2" t="n">
        <v>46</v>
      </c>
      <c r="PZ2" t="n">
        <v>47</v>
      </c>
      <c r="QA2" t="n">
        <v>48</v>
      </c>
      <c r="QB2" t="n">
        <v>49</v>
      </c>
      <c r="QC2" t="n">
        <v>50</v>
      </c>
      <c r="QD2" t="n">
        <v>51</v>
      </c>
      <c r="QE2" t="n">
        <v>52</v>
      </c>
      <c r="QF2" t="n">
        <v>53</v>
      </c>
      <c r="QG2" t="n">
        <v>54</v>
      </c>
      <c r="QH2" t="n">
        <v>55</v>
      </c>
      <c r="QI2" t="n">
        <v>56</v>
      </c>
      <c r="QJ2" t="n">
        <v>57</v>
      </c>
      <c r="QK2" t="n">
        <v>58</v>
      </c>
      <c r="QL2" t="n">
        <v>59</v>
      </c>
      <c r="QM2" t="n">
        <v>60</v>
      </c>
      <c r="QN2" t="n">
        <v>61</v>
      </c>
      <c r="QO2" t="n">
        <v>62</v>
      </c>
      <c r="QP2" t="n">
        <v>63</v>
      </c>
      <c r="QQ2" t="n">
        <v>64</v>
      </c>
      <c r="QR2" t="n">
        <v>65</v>
      </c>
      <c r="QS2" t="n">
        <v>66</v>
      </c>
      <c r="QT2" t="n">
        <v>67</v>
      </c>
      <c r="QU2" t="n">
        <v>68</v>
      </c>
      <c r="QV2" t="n">
        <v>69</v>
      </c>
      <c r="QW2" t="n">
        <v>70</v>
      </c>
      <c r="QX2" t="n">
        <v>71</v>
      </c>
      <c r="QY2" t="n">
        <v>72</v>
      </c>
      <c r="QZ2" t="n">
        <v>73</v>
      </c>
      <c r="RA2" t="n">
        <v>74</v>
      </c>
      <c r="RB2" t="n">
        <v>75</v>
      </c>
      <c r="RC2" t="n">
        <v>76</v>
      </c>
      <c r="RD2" t="n">
        <v>77</v>
      </c>
      <c r="RE2" t="n">
        <v>78</v>
      </c>
      <c r="RF2" t="n">
        <v>79</v>
      </c>
      <c r="RG2" t="n">
        <v>80</v>
      </c>
      <c r="RH2" t="n">
        <v>81</v>
      </c>
      <c r="RI2" t="n">
        <v>82</v>
      </c>
      <c r="RJ2" t="n">
        <v>83</v>
      </c>
      <c r="RK2" t="n">
        <v>84</v>
      </c>
      <c r="RL2" t="n">
        <v>85</v>
      </c>
      <c r="RM2" t="n">
        <v>86</v>
      </c>
      <c r="RN2" t="n">
        <v>87</v>
      </c>
      <c r="RO2" t="n">
        <v>88</v>
      </c>
      <c r="RP2" t="n">
        <v>89</v>
      </c>
      <c r="RQ2" t="n">
        <v>90</v>
      </c>
      <c r="RR2" t="n">
        <v>91</v>
      </c>
      <c r="RS2" t="n">
        <v>92</v>
      </c>
      <c r="RT2" t="n">
        <v>93</v>
      </c>
      <c r="RU2" t="n">
        <v>94</v>
      </c>
      <c r="RV2" t="n">
        <v>95</v>
      </c>
      <c r="RW2" t="n">
        <v>96</v>
      </c>
      <c r="RX2" t="n">
        <v>97</v>
      </c>
      <c r="RY2" t="n">
        <v>98</v>
      </c>
      <c r="RZ2" t="n">
        <v>99</v>
      </c>
      <c r="SA2" t="n">
        <v>100</v>
      </c>
      <c r="SB2" t="n">
        <v>101</v>
      </c>
      <c r="SC2" t="n">
        <v>102</v>
      </c>
      <c r="SD2" t="n">
        <v>103</v>
      </c>
      <c r="SE2" t="n">
        <v>104</v>
      </c>
      <c r="SF2" t="n">
        <v>105</v>
      </c>
      <c r="SG2" t="n">
        <v>106</v>
      </c>
      <c r="SH2" t="n">
        <v>107</v>
      </c>
      <c r="SI2" t="n">
        <v>108</v>
      </c>
      <c r="SJ2" t="n">
        <v>109</v>
      </c>
      <c r="SK2" t="n">
        <v>110</v>
      </c>
      <c r="SL2" t="n">
        <v>111</v>
      </c>
      <c r="SM2" t="n">
        <v>112</v>
      </c>
      <c r="SN2" t="n">
        <v>113</v>
      </c>
      <c r="SO2" t="n">
        <v>114</v>
      </c>
      <c r="SP2" t="n">
        <v>115</v>
      </c>
      <c r="SQ2" t="n">
        <v>116</v>
      </c>
      <c r="SR2" t="n">
        <v>117</v>
      </c>
      <c r="SS2" t="n">
        <v>118</v>
      </c>
      <c r="ST2" t="n">
        <v>119</v>
      </c>
      <c r="SU2" t="n">
        <v>120</v>
      </c>
      <c r="SV2" t="n">
        <v>121</v>
      </c>
      <c r="SW2" t="n">
        <v>122</v>
      </c>
      <c r="SX2" t="n">
        <v>123</v>
      </c>
      <c r="SY2" t="n">
        <v>124</v>
      </c>
      <c r="SZ2" t="n">
        <v>125</v>
      </c>
      <c r="TA2" t="n">
        <v>126</v>
      </c>
      <c r="TB2" t="n">
        <v>127</v>
      </c>
      <c r="TC2" t="n">
        <v>128</v>
      </c>
      <c r="TD2" t="n">
        <v>129</v>
      </c>
      <c r="TE2" t="n">
        <v>130</v>
      </c>
      <c r="TF2" t="n">
        <v>131</v>
      </c>
      <c r="TG2" t="n">
        <v>132</v>
      </c>
      <c r="TH2" t="n">
        <v>133</v>
      </c>
      <c r="TI2" t="n">
        <v>134</v>
      </c>
      <c r="TJ2" t="n">
        <v>135</v>
      </c>
      <c r="TK2" t="n">
        <v>136</v>
      </c>
      <c r="TL2" t="n">
        <v>137</v>
      </c>
      <c r="TM2" t="n">
        <v>138</v>
      </c>
      <c r="TN2" t="n">
        <v>139</v>
      </c>
      <c r="TO2" t="n">
        <v>140</v>
      </c>
      <c r="TP2" t="n">
        <v>141</v>
      </c>
      <c r="TQ2" t="n">
        <v>142</v>
      </c>
      <c r="TR2" t="n">
        <v>143</v>
      </c>
      <c r="TS2" t="n">
        <v>144</v>
      </c>
    </row>
    <row r="3">
      <c r="A3" t="n">
        <v>1</v>
      </c>
      <c r="B3">
        <f>IF(MIN(BM3:CZ3)&gt;=1000000000,0,MATCH(MIN(BM3:CZ3),BM3:CZ3,0))</f>
        <v/>
      </c>
      <c r="C3">
        <f>IF(MIN(OF3:TS3)&gt;=1000000000,0,MATCH(MIN(OF3:TS3),OF3:TS3,0))</f>
        <v/>
      </c>
      <c r="D3">
        <f>IF(C3&gt;0,INDEX('calcA'!$D$5:$EQ$5,C3),0)</f>
        <v/>
      </c>
      <c r="E3">
        <f>IF(B3=0,0,INDEX('calcA'!$IQ$10:$IQ$54,B3))</f>
        <v/>
      </c>
      <c r="F3">
        <f>IF(B3=0,0,INDEX('calcA'!$IP$10:$IP$54,B3))</f>
        <v/>
      </c>
      <c r="G3">
        <f>IF(AND(C3&gt;0,E3&gt;0),IF(AND(INDEX('calcA'!$D$106:$EQ$106,C3)=1,INDEX($IQ3:$OD3,C3)=1),C3+1,0),0)</f>
        <v/>
      </c>
      <c r="H3">
        <f>IF(B3=0,0,INDEX('calcA'!$IW$10:$IW$54,B3))</f>
        <v/>
      </c>
      <c r="U3">
        <f>IF(B3=0,0,INDEX('calcA'!$IX$10:$IX$54,B3))</f>
        <v/>
      </c>
      <c r="V3">
        <f>IF(B3=0,0,INDEX('calcA'!$JF$10:$JF$54,B3))</f>
        <v/>
      </c>
      <c r="W3">
        <f>IF(B3=0,0,IF(IF(E3=2,SUMPRODUCT(INDEX('calcA'!$D$60:$EQ$99,B3,0),$DB3:$IO3,$IQ3:$OD3),SUMPRODUCT(INDEX('calcA'!$D$60:$EQ$99,B3,0),$DB3:$IO3))=0,1,0))</f>
        <v/>
      </c>
      <c r="X3">
        <f>1-'calcA'!C10</f>
        <v/>
      </c>
      <c r="Y3">
        <f>1-'calcA'!C11</f>
        <v/>
      </c>
      <c r="Z3">
        <f>1-'calcA'!C12</f>
        <v/>
      </c>
      <c r="AA3">
        <f>1-'calcA'!C13</f>
        <v/>
      </c>
      <c r="AB3">
        <f>1-'calcA'!C14</f>
        <v/>
      </c>
      <c r="AC3">
        <f>1-'calcA'!C15</f>
        <v/>
      </c>
      <c r="AD3">
        <f>1-'calcA'!C16</f>
        <v/>
      </c>
      <c r="AE3">
        <f>1-'calcA'!C17</f>
        <v/>
      </c>
      <c r="AF3">
        <f>1-'calcA'!C18</f>
        <v/>
      </c>
      <c r="AG3">
        <f>1-'calcA'!C19</f>
        <v/>
      </c>
      <c r="AH3">
        <f>1-'calcA'!C20</f>
        <v/>
      </c>
      <c r="AI3">
        <f>1-'calcA'!C21</f>
        <v/>
      </c>
      <c r="AJ3">
        <f>1-'calcA'!C22</f>
        <v/>
      </c>
      <c r="AK3">
        <f>1-'calcA'!C23</f>
        <v/>
      </c>
      <c r="AL3">
        <f>1-'calcA'!C24</f>
        <v/>
      </c>
      <c r="AM3">
        <f>1-'calcA'!C25</f>
        <v/>
      </c>
      <c r="AN3">
        <f>1-'calcA'!C26</f>
        <v/>
      </c>
      <c r="AO3">
        <f>1-'calcA'!C27</f>
        <v/>
      </c>
      <c r="AP3">
        <f>1-'calcA'!C28</f>
        <v/>
      </c>
      <c r="AQ3">
        <f>1-'calcA'!C29</f>
        <v/>
      </c>
      <c r="AR3">
        <f>1-'calcA'!C30</f>
        <v/>
      </c>
      <c r="AS3">
        <f>1-'calcA'!C31</f>
        <v/>
      </c>
      <c r="AT3">
        <f>1-'calcA'!C32</f>
        <v/>
      </c>
      <c r="AU3">
        <f>1-'calcA'!C33</f>
        <v/>
      </c>
      <c r="AV3">
        <f>1-'calcA'!C34</f>
        <v/>
      </c>
      <c r="AW3">
        <f>1-'calcA'!C35</f>
        <v/>
      </c>
      <c r="AX3">
        <f>1-'calcA'!C36</f>
        <v/>
      </c>
      <c r="AY3">
        <f>1-'calcA'!C37</f>
        <v/>
      </c>
      <c r="AZ3">
        <f>1-'calcA'!C38</f>
        <v/>
      </c>
      <c r="BA3">
        <f>1-'calcA'!C39</f>
        <v/>
      </c>
      <c r="BB3">
        <f>1-'calcA'!C40</f>
        <v/>
      </c>
      <c r="BC3">
        <f>1-'calcA'!C41</f>
        <v/>
      </c>
      <c r="BD3">
        <f>1-'calcA'!C42</f>
        <v/>
      </c>
      <c r="BE3">
        <f>1-'calcA'!C43</f>
        <v/>
      </c>
      <c r="BF3">
        <f>1-'calcA'!C44</f>
        <v/>
      </c>
      <c r="BG3">
        <f>1-'calcA'!C45</f>
        <v/>
      </c>
      <c r="BH3">
        <f>1-'calcA'!C46</f>
        <v/>
      </c>
      <c r="BI3">
        <f>1-'calcA'!C47</f>
        <v/>
      </c>
      <c r="BJ3">
        <f>1-'calcA'!C48</f>
        <v/>
      </c>
      <c r="BK3">
        <f>1-'calcA'!C49</f>
        <v/>
      </c>
      <c r="BM3">
        <f>IF(OR(X3=1,calcA!$A$6=0),1000000000,IF('calcA'!$JF$10=1,0,100000000)+IF('calcA'!$IQ$10=2,SUMPRODUCT('calcA'!$D$60:$EQ$60,$DB3:$IO3,$IQ3:$OD3)*1000+SUMPRODUCT('calcA'!$D$60:$EQ$60,$DB3:$IO3+$ZQ3:$AFD3,$AFF3:$AKS3),SUMPRODUCT('calcA'!$D$60:$EQ$60,$DB3:$IO3*1001+$ZQ3:$AFD3))*100+1)</f>
        <v/>
      </c>
      <c r="BN3">
        <f>IF(OR(Y3=1,calcA!$A$6=0),1000000000,IF('calcA'!$JF$11=1,0,100000000)+IF('calcA'!$IQ$11=2,SUMPRODUCT('calcA'!$D$61:$EQ$61,$DB3:$IO3,$IQ3:$OD3)*1000+SUMPRODUCT('calcA'!$D$61:$EQ$61,$DB3:$IO3+$ZQ3:$AFD3,$AFF3:$AKS3),SUMPRODUCT('calcA'!$D$61:$EQ$61,$DB3:$IO3*1001+$ZQ3:$AFD3))*100+2)</f>
        <v/>
      </c>
      <c r="BO3">
        <f>IF(OR(Z3=1,calcA!$A$6=0),1000000000,IF('calcA'!$JF$12=1,0,100000000)+IF('calcA'!$IQ$12=2,SUMPRODUCT('calcA'!$D$62:$EQ$62,$DB3:$IO3,$IQ3:$OD3)*1000+SUMPRODUCT('calcA'!$D$62:$EQ$62,$DB3:$IO3+$ZQ3:$AFD3,$AFF3:$AKS3),SUMPRODUCT('calcA'!$D$62:$EQ$62,$DB3:$IO3*1001+$ZQ3:$AFD3))*100+3)</f>
        <v/>
      </c>
      <c r="BP3">
        <f>IF(OR(AA3=1,calcA!$A$6=0),1000000000,IF('calcA'!$JF$13=1,0,100000000)+IF('calcA'!$IQ$13=2,SUMPRODUCT('calcA'!$D$63:$EQ$63,$DB3:$IO3,$IQ3:$OD3)*1000+SUMPRODUCT('calcA'!$D$63:$EQ$63,$DB3:$IO3+$ZQ3:$AFD3,$AFF3:$AKS3),SUMPRODUCT('calcA'!$D$63:$EQ$63,$DB3:$IO3*1001+$ZQ3:$AFD3))*100+4)</f>
        <v/>
      </c>
      <c r="BQ3">
        <f>IF(OR(AB3=1,calcA!$A$6=0),1000000000,IF('calcA'!$JF$14=1,0,100000000)+IF('calcA'!$IQ$14=2,SUMPRODUCT('calcA'!$D$64:$EQ$64,$DB3:$IO3,$IQ3:$OD3)*1000+SUMPRODUCT('calcA'!$D$64:$EQ$64,$DB3:$IO3+$ZQ3:$AFD3,$AFF3:$AKS3),SUMPRODUCT('calcA'!$D$64:$EQ$64,$DB3:$IO3*1001+$ZQ3:$AFD3))*100+5)</f>
        <v/>
      </c>
      <c r="BR3">
        <f>IF(OR(AC3=1,calcA!$A$6=0),1000000000,IF('calcA'!$JF$15=1,0,100000000)+IF('calcA'!$IQ$15=2,SUMPRODUCT('calcA'!$D$65:$EQ$65,$DB3:$IO3,$IQ3:$OD3)*1000+SUMPRODUCT('calcA'!$D$65:$EQ$65,$DB3:$IO3+$ZQ3:$AFD3,$AFF3:$AKS3),SUMPRODUCT('calcA'!$D$65:$EQ$65,$DB3:$IO3*1001+$ZQ3:$AFD3))*100+6)</f>
        <v/>
      </c>
      <c r="BS3">
        <f>IF(OR(AD3=1,calcA!$A$6=0),1000000000,IF('calcA'!$JF$16=1,0,100000000)+IF('calcA'!$IQ$16=2,SUMPRODUCT('calcA'!$D$66:$EQ$66,$DB3:$IO3,$IQ3:$OD3)*1000+SUMPRODUCT('calcA'!$D$66:$EQ$66,$DB3:$IO3+$ZQ3:$AFD3,$AFF3:$AKS3),SUMPRODUCT('calcA'!$D$66:$EQ$66,$DB3:$IO3*1001+$ZQ3:$AFD3))*100+7)</f>
        <v/>
      </c>
      <c r="BT3">
        <f>IF(OR(AE3=1,calcA!$A$6=0),1000000000,IF('calcA'!$JF$17=1,0,100000000)+IF('calcA'!$IQ$17=2,SUMPRODUCT('calcA'!$D$67:$EQ$67,$DB3:$IO3,$IQ3:$OD3)*1000+SUMPRODUCT('calcA'!$D$67:$EQ$67,$DB3:$IO3+$ZQ3:$AFD3,$AFF3:$AKS3),SUMPRODUCT('calcA'!$D$67:$EQ$67,$DB3:$IO3*1001+$ZQ3:$AFD3))*100+8)</f>
        <v/>
      </c>
      <c r="BU3">
        <f>IF(OR(AF3=1,calcA!$A$6=0),1000000000,IF('calcA'!$JF$18=1,0,100000000)+IF('calcA'!$IQ$18=2,SUMPRODUCT('calcA'!$D$68:$EQ$68,$DB3:$IO3,$IQ3:$OD3)*1000+SUMPRODUCT('calcA'!$D$68:$EQ$68,$DB3:$IO3+$ZQ3:$AFD3,$AFF3:$AKS3),SUMPRODUCT('calcA'!$D$68:$EQ$68,$DB3:$IO3*1001+$ZQ3:$AFD3))*100+9)</f>
        <v/>
      </c>
      <c r="BV3">
        <f>IF(OR(AG3=1,calcA!$A$6=0),1000000000,IF('calcA'!$JF$19=1,0,100000000)+IF('calcA'!$IQ$19=2,SUMPRODUCT('calcA'!$D$69:$EQ$69,$DB3:$IO3,$IQ3:$OD3)*1000+SUMPRODUCT('calcA'!$D$69:$EQ$69,$DB3:$IO3+$ZQ3:$AFD3,$AFF3:$AKS3),SUMPRODUCT('calcA'!$D$69:$EQ$69,$DB3:$IO3*1001+$ZQ3:$AFD3))*100+10)</f>
        <v/>
      </c>
      <c r="BW3">
        <f>IF(OR(AH3=1,calcA!$A$6=0),1000000000,IF('calcA'!$JF$20=1,0,100000000)+IF('calcA'!$IQ$20=2,SUMPRODUCT('calcA'!$D$70:$EQ$70,$DB3:$IO3,$IQ3:$OD3)*1000+SUMPRODUCT('calcA'!$D$70:$EQ$70,$DB3:$IO3+$ZQ3:$AFD3,$AFF3:$AKS3),SUMPRODUCT('calcA'!$D$70:$EQ$70,$DB3:$IO3*1001+$ZQ3:$AFD3))*100+11)</f>
        <v/>
      </c>
      <c r="BX3">
        <f>IF(OR(AI3=1,calcA!$A$6=0),1000000000,IF('calcA'!$JF$21=1,0,100000000)+IF('calcA'!$IQ$21=2,SUMPRODUCT('calcA'!$D$71:$EQ$71,$DB3:$IO3,$IQ3:$OD3)*1000+SUMPRODUCT('calcA'!$D$71:$EQ$71,$DB3:$IO3+$ZQ3:$AFD3,$AFF3:$AKS3),SUMPRODUCT('calcA'!$D$71:$EQ$71,$DB3:$IO3*1001+$ZQ3:$AFD3))*100+12)</f>
        <v/>
      </c>
      <c r="BY3">
        <f>IF(OR(AJ3=1,calcA!$A$6=0),1000000000,IF('calcA'!$JF$22=1,0,100000000)+IF('calcA'!$IQ$22=2,SUMPRODUCT('calcA'!$D$72:$EQ$72,$DB3:$IO3,$IQ3:$OD3)*1000+SUMPRODUCT('calcA'!$D$72:$EQ$72,$DB3:$IO3+$ZQ3:$AFD3,$AFF3:$AKS3),SUMPRODUCT('calcA'!$D$72:$EQ$72,$DB3:$IO3*1001+$ZQ3:$AFD3))*100+13)</f>
        <v/>
      </c>
      <c r="BZ3">
        <f>IF(OR(AK3=1,calcA!$A$6=0),1000000000,IF('calcA'!$JF$23=1,0,100000000)+IF('calcA'!$IQ$23=2,SUMPRODUCT('calcA'!$D$73:$EQ$73,$DB3:$IO3,$IQ3:$OD3)*1000+SUMPRODUCT('calcA'!$D$73:$EQ$73,$DB3:$IO3+$ZQ3:$AFD3,$AFF3:$AKS3),SUMPRODUCT('calcA'!$D$73:$EQ$73,$DB3:$IO3*1001+$ZQ3:$AFD3))*100+14)</f>
        <v/>
      </c>
      <c r="CA3">
        <f>IF(OR(AL3=1,calcA!$A$6=0),1000000000,IF('calcA'!$JF$24=1,0,100000000)+IF('calcA'!$IQ$24=2,SUMPRODUCT('calcA'!$D$74:$EQ$74,$DB3:$IO3,$IQ3:$OD3)*1000+SUMPRODUCT('calcA'!$D$74:$EQ$74,$DB3:$IO3+$ZQ3:$AFD3,$AFF3:$AKS3),SUMPRODUCT('calcA'!$D$74:$EQ$74,$DB3:$IO3*1001+$ZQ3:$AFD3))*100+15)</f>
        <v/>
      </c>
      <c r="CB3">
        <f>IF(OR(AM3=1,calcA!$A$6=0),1000000000,IF('calcA'!$JF$25=1,0,100000000)+IF('calcA'!$IQ$25=2,SUMPRODUCT('calcA'!$D$75:$EQ$75,$DB3:$IO3,$IQ3:$OD3)*1000+SUMPRODUCT('calcA'!$D$75:$EQ$75,$DB3:$IO3+$ZQ3:$AFD3,$AFF3:$AKS3),SUMPRODUCT('calcA'!$D$75:$EQ$75,$DB3:$IO3*1001+$ZQ3:$AFD3))*100+16)</f>
        <v/>
      </c>
      <c r="CC3">
        <f>IF(OR(AN3=1,calcA!$A$6=0),1000000000,IF('calcA'!$JF$26=1,0,100000000)+IF('calcA'!$IQ$26=2,SUMPRODUCT('calcA'!$D$76:$EQ$76,$DB3:$IO3,$IQ3:$OD3)*1000+SUMPRODUCT('calcA'!$D$76:$EQ$76,$DB3:$IO3+$ZQ3:$AFD3,$AFF3:$AKS3),SUMPRODUCT('calcA'!$D$76:$EQ$76,$DB3:$IO3*1001+$ZQ3:$AFD3))*100+17)</f>
        <v/>
      </c>
      <c r="CD3">
        <f>IF(OR(AO3=1,calcA!$A$6=0),1000000000,IF('calcA'!$JF$27=1,0,100000000)+IF('calcA'!$IQ$27=2,SUMPRODUCT('calcA'!$D$77:$EQ$77,$DB3:$IO3,$IQ3:$OD3)*1000+SUMPRODUCT('calcA'!$D$77:$EQ$77,$DB3:$IO3+$ZQ3:$AFD3,$AFF3:$AKS3),SUMPRODUCT('calcA'!$D$77:$EQ$77,$DB3:$IO3*1001+$ZQ3:$AFD3))*100+18)</f>
        <v/>
      </c>
      <c r="CE3">
        <f>IF(OR(AP3=1,calcA!$A$6=0),1000000000,IF('calcA'!$JF$28=1,0,100000000)+IF('calcA'!$IQ$28=2,SUMPRODUCT('calcA'!$D$78:$EQ$78,$DB3:$IO3,$IQ3:$OD3)*1000+SUMPRODUCT('calcA'!$D$78:$EQ$78,$DB3:$IO3+$ZQ3:$AFD3,$AFF3:$AKS3),SUMPRODUCT('calcA'!$D$78:$EQ$78,$DB3:$IO3*1001+$ZQ3:$AFD3))*100+19)</f>
        <v/>
      </c>
      <c r="CF3">
        <f>IF(OR(AQ3=1,calcA!$A$6=0),1000000000,IF('calcA'!$JF$29=1,0,100000000)+IF('calcA'!$IQ$29=2,SUMPRODUCT('calcA'!$D$79:$EQ$79,$DB3:$IO3,$IQ3:$OD3)*1000+SUMPRODUCT('calcA'!$D$79:$EQ$79,$DB3:$IO3+$ZQ3:$AFD3,$AFF3:$AKS3),SUMPRODUCT('calcA'!$D$79:$EQ$79,$DB3:$IO3*1001+$ZQ3:$AFD3))*100+20)</f>
        <v/>
      </c>
      <c r="CG3">
        <f>IF(OR(AR3=1,calcA!$A$6=0),1000000000,IF('calcA'!$JF$30=1,0,100000000)+IF('calcA'!$IQ$30=2,SUMPRODUCT('calcA'!$D$80:$EQ$80,$DB3:$IO3,$IQ3:$OD3)*1000+SUMPRODUCT('calcA'!$D$80:$EQ$80,$DB3:$IO3+$ZQ3:$AFD3,$AFF3:$AKS3),SUMPRODUCT('calcA'!$D$80:$EQ$80,$DB3:$IO3*1001+$ZQ3:$AFD3))*100+21)</f>
        <v/>
      </c>
      <c r="CH3">
        <f>IF(OR(AS3=1,calcA!$A$6=0),1000000000,IF('calcA'!$JF$31=1,0,100000000)+IF('calcA'!$IQ$31=2,SUMPRODUCT('calcA'!$D$81:$EQ$81,$DB3:$IO3,$IQ3:$OD3)*1000+SUMPRODUCT('calcA'!$D$81:$EQ$81,$DB3:$IO3+$ZQ3:$AFD3,$AFF3:$AKS3),SUMPRODUCT('calcA'!$D$81:$EQ$81,$DB3:$IO3*1001+$ZQ3:$AFD3))*100+22)</f>
        <v/>
      </c>
      <c r="CI3">
        <f>IF(OR(AT3=1,calcA!$A$6=0),1000000000,IF('calcA'!$JF$32=1,0,100000000)+IF('calcA'!$IQ$32=2,SUMPRODUCT('calcA'!$D$82:$EQ$82,$DB3:$IO3,$IQ3:$OD3)*1000+SUMPRODUCT('calcA'!$D$82:$EQ$82,$DB3:$IO3+$ZQ3:$AFD3,$AFF3:$AKS3),SUMPRODUCT('calcA'!$D$82:$EQ$82,$DB3:$IO3*1001+$ZQ3:$AFD3))*100+23)</f>
        <v/>
      </c>
      <c r="CJ3">
        <f>IF(OR(AU3=1,calcA!$A$6=0),1000000000,IF('calcA'!$JF$33=1,0,100000000)+IF('calcA'!$IQ$33=2,SUMPRODUCT('calcA'!$D$83:$EQ$83,$DB3:$IO3,$IQ3:$OD3)*1000+SUMPRODUCT('calcA'!$D$83:$EQ$83,$DB3:$IO3+$ZQ3:$AFD3,$AFF3:$AKS3),SUMPRODUCT('calcA'!$D$83:$EQ$83,$DB3:$IO3*1001+$ZQ3:$AFD3))*100+24)</f>
        <v/>
      </c>
      <c r="CK3">
        <f>IF(OR(AV3=1,calcA!$A$6=0),1000000000,IF('calcA'!$JF$34=1,0,100000000)+IF('calcA'!$IQ$34=2,SUMPRODUCT('calcA'!$D$84:$EQ$84,$DB3:$IO3,$IQ3:$OD3)*1000+SUMPRODUCT('calcA'!$D$84:$EQ$84,$DB3:$IO3+$ZQ3:$AFD3,$AFF3:$AKS3),SUMPRODUCT('calcA'!$D$84:$EQ$84,$DB3:$IO3*1001+$ZQ3:$AFD3))*100+25)</f>
        <v/>
      </c>
      <c r="CL3">
        <f>IF(OR(AW3=1,calcA!$A$6=0),1000000000,IF('calcA'!$JF$35=1,0,100000000)+IF('calcA'!$IQ$35=2,SUMPRODUCT('calcA'!$D$85:$EQ$85,$DB3:$IO3,$IQ3:$OD3)*1000+SUMPRODUCT('calcA'!$D$85:$EQ$85,$DB3:$IO3+$ZQ3:$AFD3,$AFF3:$AKS3),SUMPRODUCT('calcA'!$D$85:$EQ$85,$DB3:$IO3*1001+$ZQ3:$AFD3))*100+26)</f>
        <v/>
      </c>
      <c r="CM3">
        <f>IF(OR(AX3=1,calcA!$A$6=0),1000000000,IF('calcA'!$JF$36=1,0,100000000)+IF('calcA'!$IQ$36=2,SUMPRODUCT('calcA'!$D$86:$EQ$86,$DB3:$IO3,$IQ3:$OD3)*1000+SUMPRODUCT('calcA'!$D$86:$EQ$86,$DB3:$IO3+$ZQ3:$AFD3,$AFF3:$AKS3),SUMPRODUCT('calcA'!$D$86:$EQ$86,$DB3:$IO3*1001+$ZQ3:$AFD3))*100+27)</f>
        <v/>
      </c>
      <c r="CN3">
        <f>IF(OR(AY3=1,calcA!$A$6=0),1000000000,IF('calcA'!$JF$37=1,0,100000000)+IF('calcA'!$IQ$37=2,SUMPRODUCT('calcA'!$D$87:$EQ$87,$DB3:$IO3,$IQ3:$OD3)*1000+SUMPRODUCT('calcA'!$D$87:$EQ$87,$DB3:$IO3+$ZQ3:$AFD3,$AFF3:$AKS3),SUMPRODUCT('calcA'!$D$87:$EQ$87,$DB3:$IO3*1001+$ZQ3:$AFD3))*100+28)</f>
        <v/>
      </c>
      <c r="CO3">
        <f>IF(OR(AZ3=1,calcA!$A$6=0),1000000000,IF('calcA'!$JF$38=1,0,100000000)+IF('calcA'!$IQ$38=2,SUMPRODUCT('calcA'!$D$88:$EQ$88,$DB3:$IO3,$IQ3:$OD3)*1000+SUMPRODUCT('calcA'!$D$88:$EQ$88,$DB3:$IO3+$ZQ3:$AFD3,$AFF3:$AKS3),SUMPRODUCT('calcA'!$D$88:$EQ$88,$DB3:$IO3*1001+$ZQ3:$AFD3))*100+29)</f>
        <v/>
      </c>
      <c r="CP3">
        <f>IF(OR(BA3=1,calcA!$A$6=0),1000000000,IF('calcA'!$JF$39=1,0,100000000)+IF('calcA'!$IQ$39=2,SUMPRODUCT('calcA'!$D$89:$EQ$89,$DB3:$IO3,$IQ3:$OD3)*1000+SUMPRODUCT('calcA'!$D$89:$EQ$89,$DB3:$IO3+$ZQ3:$AFD3,$AFF3:$AKS3),SUMPRODUCT('calcA'!$D$89:$EQ$89,$DB3:$IO3*1001+$ZQ3:$AFD3))*100+30)</f>
        <v/>
      </c>
      <c r="CQ3">
        <f>IF(OR(BB3=1,calcA!$A$6=0),1000000000,IF('calcA'!$JF$40=1,0,100000000)+IF('calcA'!$IQ$40=2,SUMPRODUCT('calcA'!$D$90:$EQ$90,$DB3:$IO3,$IQ3:$OD3)*1000+SUMPRODUCT('calcA'!$D$90:$EQ$90,$DB3:$IO3+$ZQ3:$AFD3,$AFF3:$AKS3),SUMPRODUCT('calcA'!$D$90:$EQ$90,$DB3:$IO3*1001+$ZQ3:$AFD3))*100+31)</f>
        <v/>
      </c>
      <c r="CR3">
        <f>IF(OR(BC3=1,calcA!$A$6=0),1000000000,IF('calcA'!$JF$41=1,0,100000000)+IF('calcA'!$IQ$41=2,SUMPRODUCT('calcA'!$D$91:$EQ$91,$DB3:$IO3,$IQ3:$OD3)*1000+SUMPRODUCT('calcA'!$D$91:$EQ$91,$DB3:$IO3+$ZQ3:$AFD3,$AFF3:$AKS3),SUMPRODUCT('calcA'!$D$91:$EQ$91,$DB3:$IO3*1001+$ZQ3:$AFD3))*100+32)</f>
        <v/>
      </c>
      <c r="CS3">
        <f>IF(OR(BD3=1,calcA!$A$6=0),1000000000,IF('calcA'!$JF$42=1,0,100000000)+IF('calcA'!$IQ$42=2,SUMPRODUCT('calcA'!$D$92:$EQ$92,$DB3:$IO3,$IQ3:$OD3)*1000+SUMPRODUCT('calcA'!$D$92:$EQ$92,$DB3:$IO3+$ZQ3:$AFD3,$AFF3:$AKS3),SUMPRODUCT('calcA'!$D$92:$EQ$92,$DB3:$IO3*1001+$ZQ3:$AFD3))*100+33)</f>
        <v/>
      </c>
      <c r="CT3">
        <f>IF(OR(BE3=1,calcA!$A$6=0),1000000000,IF('calcA'!$JF$43=1,0,100000000)+IF('calcA'!$IQ$43=2,SUMPRODUCT('calcA'!$D$93:$EQ$93,$DB3:$IO3,$IQ3:$OD3)*1000+SUMPRODUCT('calcA'!$D$93:$EQ$93,$DB3:$IO3+$ZQ3:$AFD3,$AFF3:$AKS3),SUMPRODUCT('calcA'!$D$93:$EQ$93,$DB3:$IO3*1001+$ZQ3:$AFD3))*100+34)</f>
        <v/>
      </c>
      <c r="CU3">
        <f>IF(OR(BF3=1,calcA!$A$6=0),1000000000,IF('calcA'!$JF$44=1,0,100000000)+IF('calcA'!$IQ$44=2,SUMPRODUCT('calcA'!$D$94:$EQ$94,$DB3:$IO3,$IQ3:$OD3)*1000+SUMPRODUCT('calcA'!$D$94:$EQ$94,$DB3:$IO3+$ZQ3:$AFD3,$AFF3:$AKS3),SUMPRODUCT('calcA'!$D$94:$EQ$94,$DB3:$IO3*1001+$ZQ3:$AFD3))*100+35)</f>
        <v/>
      </c>
      <c r="CV3">
        <f>IF(OR(BG3=1,calcA!$A$6=0),1000000000,IF('calcA'!$JF$45=1,0,100000000)+IF('calcA'!$IQ$45=2,SUMPRODUCT('calcA'!$D$95:$EQ$95,$DB3:$IO3,$IQ3:$OD3)*1000+SUMPRODUCT('calcA'!$D$95:$EQ$95,$DB3:$IO3+$ZQ3:$AFD3,$AFF3:$AKS3),SUMPRODUCT('calcA'!$D$95:$EQ$95,$DB3:$IO3*1001+$ZQ3:$AFD3))*100+36)</f>
        <v/>
      </c>
      <c r="CW3">
        <f>IF(OR(BH3=1,calcA!$A$6=0),1000000000,IF('calcA'!$JF$46=1,0,100000000)+IF('calcA'!$IQ$46=2,SUMPRODUCT('calcA'!$D$96:$EQ$96,$DB3:$IO3,$IQ3:$OD3)*1000+SUMPRODUCT('calcA'!$D$96:$EQ$96,$DB3:$IO3+$ZQ3:$AFD3,$AFF3:$AKS3),SUMPRODUCT('calcA'!$D$96:$EQ$96,$DB3:$IO3*1001+$ZQ3:$AFD3))*100+37)</f>
        <v/>
      </c>
      <c r="CX3">
        <f>IF(OR(BI3=1,calcA!$A$6=0),1000000000,IF('calcA'!$JF$47=1,0,100000000)+IF('calcA'!$IQ$47=2,SUMPRODUCT('calcA'!$D$97:$EQ$97,$DB3:$IO3,$IQ3:$OD3)*1000+SUMPRODUCT('calcA'!$D$97:$EQ$97,$DB3:$IO3+$ZQ3:$AFD3,$AFF3:$AKS3),SUMPRODUCT('calcA'!$D$97:$EQ$97,$DB3:$IO3*1001+$ZQ3:$AFD3))*100+38)</f>
        <v/>
      </c>
      <c r="CY3">
        <f>IF(OR(BJ3=1,calcA!$A$6=0),1000000000,IF('calcA'!$JF$48=1,0,100000000)+IF('calcA'!$IQ$48=2,SUMPRODUCT('calcA'!$D$98:$EQ$98,$DB3:$IO3,$IQ3:$OD3)*1000+SUMPRODUCT('calcA'!$D$98:$EQ$98,$DB3:$IO3+$ZQ3:$AFD3,$AFF3:$AKS3),SUMPRODUCT('calcA'!$D$98:$EQ$98,$DB3:$IO3*1001+$ZQ3:$AFD3))*100+39)</f>
        <v/>
      </c>
      <c r="CZ3">
        <f>IF(OR(BK3=1,calcA!$A$6=0),1000000000,IF('calcA'!$JF$49=1,0,100000000)+IF('calcA'!$IQ$49=2,SUMPRODUCT('calcA'!$D$99:$EQ$99,$DB3:$IO3,$IQ3:$OD3)*1000+SUMPRODUCT('calcA'!$D$99:$EQ$99,$DB3:$IO3+$ZQ3:$AFD3,$AFF3:$AKS3),SUMPRODUCT('calcA'!$D$99:$EQ$99,$DB3:$IO3*1001+$ZQ3:$AFD3))*100+40)</f>
        <v/>
      </c>
      <c r="DB3">
        <f>1-'calcA'!D$7</f>
        <v/>
      </c>
      <c r="DC3">
        <f>1-'calcA'!E$7</f>
        <v/>
      </c>
      <c r="DD3">
        <f>1-'calcA'!F$7</f>
        <v/>
      </c>
      <c r="DE3">
        <f>1-'calcA'!G$7</f>
        <v/>
      </c>
      <c r="DF3">
        <f>1-'calcA'!H$7</f>
        <v/>
      </c>
      <c r="DG3">
        <f>1-'calcA'!I$7</f>
        <v/>
      </c>
      <c r="DH3">
        <f>1-'calcA'!J$7</f>
        <v/>
      </c>
      <c r="DI3">
        <f>1-'calcA'!K$7</f>
        <v/>
      </c>
      <c r="DJ3">
        <f>1-'calcA'!L$7</f>
        <v/>
      </c>
      <c r="DK3">
        <f>1-'calcA'!M$7</f>
        <v/>
      </c>
      <c r="DL3">
        <f>1-'calcA'!N$7</f>
        <v/>
      </c>
      <c r="DM3">
        <f>1-'calcA'!O$7</f>
        <v/>
      </c>
      <c r="DN3">
        <f>1-'calcA'!P$7</f>
        <v/>
      </c>
      <c r="DO3">
        <f>1-'calcA'!Q$7</f>
        <v/>
      </c>
      <c r="DP3">
        <f>1-'calcA'!R$7</f>
        <v/>
      </c>
      <c r="DQ3">
        <f>1-'calcA'!S$7</f>
        <v/>
      </c>
      <c r="DR3">
        <f>1-'calcA'!T$7</f>
        <v/>
      </c>
      <c r="DS3">
        <f>1-'calcA'!U$7</f>
        <v/>
      </c>
      <c r="DT3">
        <f>1-'calcA'!V$7</f>
        <v/>
      </c>
      <c r="DU3">
        <f>1-'calcA'!W$7</f>
        <v/>
      </c>
      <c r="DV3">
        <f>1-'calcA'!X$7</f>
        <v/>
      </c>
      <c r="DW3">
        <f>1-'calcA'!Y$7</f>
        <v/>
      </c>
      <c r="DX3">
        <f>1-'calcA'!Z$7</f>
        <v/>
      </c>
      <c r="DY3">
        <f>1-'calcA'!AA$7</f>
        <v/>
      </c>
      <c r="DZ3">
        <f>1-'calcA'!AB$7</f>
        <v/>
      </c>
      <c r="EA3">
        <f>1-'calcA'!AC$7</f>
        <v/>
      </c>
      <c r="EB3">
        <f>1-'calcA'!AD$7</f>
        <v/>
      </c>
      <c r="EC3">
        <f>1-'calcA'!AE$7</f>
        <v/>
      </c>
      <c r="ED3">
        <f>1-'calcA'!AF$7</f>
        <v/>
      </c>
      <c r="EE3">
        <f>1-'calcA'!AG$7</f>
        <v/>
      </c>
      <c r="EF3">
        <f>1-'calcA'!AH$7</f>
        <v/>
      </c>
      <c r="EG3">
        <f>1-'calcA'!AI$7</f>
        <v/>
      </c>
      <c r="EH3">
        <f>1-'calcA'!AJ$7</f>
        <v/>
      </c>
      <c r="EI3">
        <f>1-'calcA'!AK$7</f>
        <v/>
      </c>
      <c r="EJ3">
        <f>1-'calcA'!AL$7</f>
        <v/>
      </c>
      <c r="EK3">
        <f>1-'calcA'!AM$7</f>
        <v/>
      </c>
      <c r="EL3">
        <f>1-'calcA'!AN$7</f>
        <v/>
      </c>
      <c r="EM3">
        <f>1-'calcA'!AO$7</f>
        <v/>
      </c>
      <c r="EN3">
        <f>1-'calcA'!AP$7</f>
        <v/>
      </c>
      <c r="EO3">
        <f>1-'calcA'!AQ$7</f>
        <v/>
      </c>
      <c r="EP3">
        <f>1-'calcA'!AR$7</f>
        <v/>
      </c>
      <c r="EQ3">
        <f>1-'calcA'!AS$7</f>
        <v/>
      </c>
      <c r="ER3">
        <f>1-'calcA'!AT$7</f>
        <v/>
      </c>
      <c r="ES3">
        <f>1-'calcA'!AU$7</f>
        <v/>
      </c>
      <c r="ET3">
        <f>1-'calcA'!AV$7</f>
        <v/>
      </c>
      <c r="EU3">
        <f>1-'calcA'!AW$7</f>
        <v/>
      </c>
      <c r="EV3">
        <f>1-'calcA'!AX$7</f>
        <v/>
      </c>
      <c r="EW3">
        <f>1-'calcA'!AY$7</f>
        <v/>
      </c>
      <c r="EX3">
        <f>1-'calcA'!AZ$7</f>
        <v/>
      </c>
      <c r="EY3">
        <f>1-'calcA'!BA$7</f>
        <v/>
      </c>
      <c r="EZ3">
        <f>1-'calcA'!BB$7</f>
        <v/>
      </c>
      <c r="FA3">
        <f>1-'calcA'!BC$7</f>
        <v/>
      </c>
      <c r="FB3">
        <f>1-'calcA'!BD$7</f>
        <v/>
      </c>
      <c r="FC3">
        <f>1-'calcA'!BE$7</f>
        <v/>
      </c>
      <c r="FD3">
        <f>1-'calcA'!BF$7</f>
        <v/>
      </c>
      <c r="FE3">
        <f>1-'calcA'!BG$7</f>
        <v/>
      </c>
      <c r="FF3">
        <f>1-'calcA'!BH$7</f>
        <v/>
      </c>
      <c r="FG3">
        <f>1-'calcA'!BI$7</f>
        <v/>
      </c>
      <c r="FH3">
        <f>1-'calcA'!BJ$7</f>
        <v/>
      </c>
      <c r="FI3">
        <f>1-'calcA'!BK$7</f>
        <v/>
      </c>
      <c r="FJ3">
        <f>1-'calcA'!BL$7</f>
        <v/>
      </c>
      <c r="FK3">
        <f>1-'calcA'!BM$7</f>
        <v/>
      </c>
      <c r="FL3">
        <f>1-'calcA'!BN$7</f>
        <v/>
      </c>
      <c r="FM3">
        <f>1-'calcA'!BO$7</f>
        <v/>
      </c>
      <c r="FN3">
        <f>1-'calcA'!BP$7</f>
        <v/>
      </c>
      <c r="FO3">
        <f>1-'calcA'!BQ$7</f>
        <v/>
      </c>
      <c r="FP3">
        <f>1-'calcA'!BR$7</f>
        <v/>
      </c>
      <c r="FQ3">
        <f>1-'calcA'!BS$7</f>
        <v/>
      </c>
      <c r="FR3">
        <f>1-'calcA'!BT$7</f>
        <v/>
      </c>
      <c r="FS3">
        <f>1-'calcA'!BU$7</f>
        <v/>
      </c>
      <c r="FT3">
        <f>1-'calcA'!BV$7</f>
        <v/>
      </c>
      <c r="FU3">
        <f>1-'calcA'!BW$7</f>
        <v/>
      </c>
      <c r="FV3">
        <f>1-'calcA'!BX$7</f>
        <v/>
      </c>
      <c r="FW3">
        <f>1-'calcA'!BY$7</f>
        <v/>
      </c>
      <c r="FX3">
        <f>1-'calcA'!BZ$7</f>
        <v/>
      </c>
      <c r="FY3">
        <f>1-'calcA'!CA$7</f>
        <v/>
      </c>
      <c r="FZ3">
        <f>1-'calcA'!CB$7</f>
        <v/>
      </c>
      <c r="GA3">
        <f>1-'calcA'!CC$7</f>
        <v/>
      </c>
      <c r="GB3">
        <f>1-'calcA'!CD$7</f>
        <v/>
      </c>
      <c r="GC3">
        <f>1-'calcA'!CE$7</f>
        <v/>
      </c>
      <c r="GD3">
        <f>1-'calcA'!CF$7</f>
        <v/>
      </c>
      <c r="GE3">
        <f>1-'calcA'!CG$7</f>
        <v/>
      </c>
      <c r="GF3">
        <f>1-'calcA'!CH$7</f>
        <v/>
      </c>
      <c r="GG3">
        <f>1-'calcA'!CI$7</f>
        <v/>
      </c>
      <c r="GH3">
        <f>1-'calcA'!CJ$7</f>
        <v/>
      </c>
      <c r="GI3">
        <f>1-'calcA'!CK$7</f>
        <v/>
      </c>
      <c r="GJ3">
        <f>1-'calcA'!CL$7</f>
        <v/>
      </c>
      <c r="GK3">
        <f>1-'calcA'!CM$7</f>
        <v/>
      </c>
      <c r="GL3">
        <f>1-'calcA'!CN$7</f>
        <v/>
      </c>
      <c r="GM3">
        <f>1-'calcA'!CO$7</f>
        <v/>
      </c>
      <c r="GN3">
        <f>1-'calcA'!CP$7</f>
        <v/>
      </c>
      <c r="GO3">
        <f>1-'calcA'!CQ$7</f>
        <v/>
      </c>
      <c r="GP3">
        <f>1-'calcA'!CR$7</f>
        <v/>
      </c>
      <c r="GQ3">
        <f>1-'calcA'!CS$7</f>
        <v/>
      </c>
      <c r="GR3">
        <f>1-'calcA'!CT$7</f>
        <v/>
      </c>
      <c r="GS3">
        <f>1-'calcA'!CU$7</f>
        <v/>
      </c>
      <c r="GT3">
        <f>1-'calcA'!CV$7</f>
        <v/>
      </c>
      <c r="GU3">
        <f>1-'calcA'!CW$7</f>
        <v/>
      </c>
      <c r="GV3">
        <f>1-'calcA'!CX$7</f>
        <v/>
      </c>
      <c r="GW3">
        <f>1-'calcA'!CY$7</f>
        <v/>
      </c>
      <c r="GX3">
        <f>1-'calcA'!CZ$7</f>
        <v/>
      </c>
      <c r="GY3">
        <f>1-'calcA'!DA$7</f>
        <v/>
      </c>
      <c r="GZ3">
        <f>1-'calcA'!DB$7</f>
        <v/>
      </c>
      <c r="HA3">
        <f>1-'calcA'!DC$7</f>
        <v/>
      </c>
      <c r="HB3">
        <f>1-'calcA'!DD$7</f>
        <v/>
      </c>
      <c r="HC3">
        <f>1-'calcA'!DE$7</f>
        <v/>
      </c>
      <c r="HD3">
        <f>1-'calcA'!DF$7</f>
        <v/>
      </c>
      <c r="HE3">
        <f>1-'calcA'!DG$7</f>
        <v/>
      </c>
      <c r="HF3">
        <f>1-'calcA'!DH$7</f>
        <v/>
      </c>
      <c r="HG3">
        <f>1-'calcA'!DI$7</f>
        <v/>
      </c>
      <c r="HH3">
        <f>1-'calcA'!DJ$7</f>
        <v/>
      </c>
      <c r="HI3">
        <f>1-'calcA'!DK$7</f>
        <v/>
      </c>
      <c r="HJ3">
        <f>1-'calcA'!DL$7</f>
        <v/>
      </c>
      <c r="HK3">
        <f>1-'calcA'!DM$7</f>
        <v/>
      </c>
      <c r="HL3">
        <f>1-'calcA'!DN$7</f>
        <v/>
      </c>
      <c r="HM3">
        <f>1-'calcA'!DO$7</f>
        <v/>
      </c>
      <c r="HN3">
        <f>1-'calcA'!DP$7</f>
        <v/>
      </c>
      <c r="HO3">
        <f>1-'calcA'!DQ$7</f>
        <v/>
      </c>
      <c r="HP3">
        <f>1-'calcA'!DR$7</f>
        <v/>
      </c>
      <c r="HQ3">
        <f>1-'calcA'!DS$7</f>
        <v/>
      </c>
      <c r="HR3">
        <f>1-'calcA'!DT$7</f>
        <v/>
      </c>
      <c r="HS3">
        <f>1-'calcA'!DU$7</f>
        <v/>
      </c>
      <c r="HT3">
        <f>1-'calcA'!DV$7</f>
        <v/>
      </c>
      <c r="HU3">
        <f>1-'calcA'!DW$7</f>
        <v/>
      </c>
      <c r="HV3">
        <f>1-'calcA'!DX$7</f>
        <v/>
      </c>
      <c r="HW3">
        <f>1-'calcA'!DY$7</f>
        <v/>
      </c>
      <c r="HX3">
        <f>1-'calcA'!DZ$7</f>
        <v/>
      </c>
      <c r="HY3">
        <f>1-'calcA'!EA$7</f>
        <v/>
      </c>
      <c r="HZ3">
        <f>1-'calcA'!EB$7</f>
        <v/>
      </c>
      <c r="IA3">
        <f>1-'calcA'!EC$7</f>
        <v/>
      </c>
      <c r="IB3">
        <f>1-'calcA'!ED$7</f>
        <v/>
      </c>
      <c r="IC3">
        <f>1-'calcA'!EE$7</f>
        <v/>
      </c>
      <c r="ID3">
        <f>1-'calcA'!EF$7</f>
        <v/>
      </c>
      <c r="IE3">
        <f>1-'calcA'!EG$7</f>
        <v/>
      </c>
      <c r="IF3">
        <f>1-'calcA'!EH$7</f>
        <v/>
      </c>
      <c r="IG3">
        <f>1-'calcA'!EI$7</f>
        <v/>
      </c>
      <c r="IH3">
        <f>1-'calcA'!EJ$7</f>
        <v/>
      </c>
      <c r="II3">
        <f>1-'calcA'!EK$7</f>
        <v/>
      </c>
      <c r="IJ3">
        <f>1-'calcA'!EL$7</f>
        <v/>
      </c>
      <c r="IK3">
        <f>1-'calcA'!EM$7</f>
        <v/>
      </c>
      <c r="IL3">
        <f>1-'calcA'!EN$7</f>
        <v/>
      </c>
      <c r="IM3">
        <f>1-'calcA'!EO$7</f>
        <v/>
      </c>
      <c r="IN3">
        <f>1-'calcA'!EP$7</f>
        <v/>
      </c>
      <c r="IO3">
        <f>1-'calcA'!EQ$7</f>
        <v/>
      </c>
      <c r="IQ3">
        <f>IF('calcA'!D$106=1,DC3,1)</f>
        <v/>
      </c>
      <c r="IR3">
        <f>IF('calcA'!E$106=1,DD3,1)</f>
        <v/>
      </c>
      <c r="IS3">
        <f>IF('calcA'!F$106=1,DE3,1)</f>
        <v/>
      </c>
      <c r="IT3">
        <f>IF('calcA'!G$106=1,DF3,1)</f>
        <v/>
      </c>
      <c r="IU3">
        <f>IF('calcA'!H$106=1,DG3,1)</f>
        <v/>
      </c>
      <c r="IV3">
        <f>IF('calcA'!I$106=1,DH3,1)</f>
        <v/>
      </c>
      <c r="IW3">
        <f>IF('calcA'!J$106=1,DI3,1)</f>
        <v/>
      </c>
      <c r="IX3">
        <f>IF('calcA'!K$106=1,DJ3,1)</f>
        <v/>
      </c>
      <c r="IY3">
        <f>IF('calcA'!L$106=1,DK3,1)</f>
        <v/>
      </c>
      <c r="IZ3">
        <f>IF('calcA'!M$106=1,DL3,1)</f>
        <v/>
      </c>
      <c r="JA3">
        <f>IF('calcA'!N$106=1,DM3,1)</f>
        <v/>
      </c>
      <c r="JB3">
        <f>IF('calcA'!O$106=1,DN3,1)</f>
        <v/>
      </c>
      <c r="JC3">
        <f>IF('calcA'!P$106=1,DO3,1)</f>
        <v/>
      </c>
      <c r="JD3">
        <f>IF('calcA'!Q$106=1,DP3,1)</f>
        <v/>
      </c>
      <c r="JE3">
        <f>IF('calcA'!R$106=1,DQ3,1)</f>
        <v/>
      </c>
      <c r="JF3">
        <f>IF('calcA'!S$106=1,DR3,1)</f>
        <v/>
      </c>
      <c r="JG3">
        <f>IF('calcA'!T$106=1,DS3,1)</f>
        <v/>
      </c>
      <c r="JH3">
        <f>IF('calcA'!U$106=1,DT3,1)</f>
        <v/>
      </c>
      <c r="JI3">
        <f>IF('calcA'!V$106=1,DU3,1)</f>
        <v/>
      </c>
      <c r="JJ3">
        <f>IF('calcA'!W$106=1,DV3,1)</f>
        <v/>
      </c>
      <c r="JK3">
        <f>IF('calcA'!X$106=1,DW3,1)</f>
        <v/>
      </c>
      <c r="JL3">
        <f>IF('calcA'!Y$106=1,DX3,1)</f>
        <v/>
      </c>
      <c r="JM3">
        <f>IF('calcA'!Z$106=1,DY3,1)</f>
        <v/>
      </c>
      <c r="JN3">
        <f>IF('calcA'!AA$106=1,DZ3,1)</f>
        <v/>
      </c>
      <c r="JO3">
        <f>IF('calcA'!AB$106=1,EA3,1)</f>
        <v/>
      </c>
      <c r="JP3">
        <f>IF('calcA'!AC$106=1,EB3,1)</f>
        <v/>
      </c>
      <c r="JQ3">
        <f>IF('calcA'!AD$106=1,EC3,1)</f>
        <v/>
      </c>
      <c r="JR3">
        <f>IF('calcA'!AE$106=1,ED3,1)</f>
        <v/>
      </c>
      <c r="JS3">
        <f>IF('calcA'!AF$106=1,EE3,1)</f>
        <v/>
      </c>
      <c r="JT3">
        <f>IF('calcA'!AG$106=1,EF3,1)</f>
        <v/>
      </c>
      <c r="JU3">
        <f>IF('calcA'!AH$106=1,EG3,1)</f>
        <v/>
      </c>
      <c r="JV3">
        <f>IF('calcA'!AI$106=1,EH3,1)</f>
        <v/>
      </c>
      <c r="JW3">
        <f>IF('calcA'!AJ$106=1,EI3,1)</f>
        <v/>
      </c>
      <c r="JX3">
        <f>IF('calcA'!AK$106=1,EJ3,1)</f>
        <v/>
      </c>
      <c r="JY3">
        <f>IF('calcA'!AL$106=1,EK3,1)</f>
        <v/>
      </c>
      <c r="JZ3">
        <f>IF('calcA'!AM$106=1,EL3,1)</f>
        <v/>
      </c>
      <c r="KA3">
        <f>IF('calcA'!AN$106=1,EM3,1)</f>
        <v/>
      </c>
      <c r="KB3">
        <f>IF('calcA'!AO$106=1,EN3,1)</f>
        <v/>
      </c>
      <c r="KC3">
        <f>IF('calcA'!AP$106=1,EO3,1)</f>
        <v/>
      </c>
      <c r="KD3">
        <f>IF('calcA'!AQ$106=1,EP3,1)</f>
        <v/>
      </c>
      <c r="KE3">
        <f>IF('calcA'!AR$106=1,EQ3,1)</f>
        <v/>
      </c>
      <c r="KF3">
        <f>IF('calcA'!AS$106=1,ER3,1)</f>
        <v/>
      </c>
      <c r="KG3">
        <f>IF('calcA'!AT$106=1,ES3,1)</f>
        <v/>
      </c>
      <c r="KH3">
        <f>IF('calcA'!AU$106=1,ET3,1)</f>
        <v/>
      </c>
      <c r="KI3">
        <f>IF('calcA'!AV$106=1,EU3,1)</f>
        <v/>
      </c>
      <c r="KJ3">
        <f>IF('calcA'!AW$106=1,EV3,1)</f>
        <v/>
      </c>
      <c r="KK3">
        <f>IF('calcA'!AX$106=1,EW3,1)</f>
        <v/>
      </c>
      <c r="KL3">
        <f>IF('calcA'!AY$106=1,EX3,1)</f>
        <v/>
      </c>
      <c r="KM3">
        <f>IF('calcA'!AZ$106=1,EY3,1)</f>
        <v/>
      </c>
      <c r="KN3">
        <f>IF('calcA'!BA$106=1,EZ3,1)</f>
        <v/>
      </c>
      <c r="KO3">
        <f>IF('calcA'!BB$106=1,FA3,1)</f>
        <v/>
      </c>
      <c r="KP3">
        <f>IF('calcA'!BC$106=1,FB3,1)</f>
        <v/>
      </c>
      <c r="KQ3">
        <f>IF('calcA'!BD$106=1,FC3,1)</f>
        <v/>
      </c>
      <c r="KR3">
        <f>IF('calcA'!BE$106=1,FD3,1)</f>
        <v/>
      </c>
      <c r="KS3">
        <f>IF('calcA'!BF$106=1,FE3,1)</f>
        <v/>
      </c>
      <c r="KT3">
        <f>IF('calcA'!BG$106=1,FF3,1)</f>
        <v/>
      </c>
      <c r="KU3">
        <f>IF('calcA'!BH$106=1,FG3,1)</f>
        <v/>
      </c>
      <c r="KV3">
        <f>IF('calcA'!BI$106=1,FH3,1)</f>
        <v/>
      </c>
      <c r="KW3">
        <f>IF('calcA'!BJ$106=1,FI3,1)</f>
        <v/>
      </c>
      <c r="KX3">
        <f>IF('calcA'!BK$106=1,FJ3,1)</f>
        <v/>
      </c>
      <c r="KY3">
        <f>IF('calcA'!BL$106=1,FK3,1)</f>
        <v/>
      </c>
      <c r="KZ3">
        <f>IF('calcA'!BM$106=1,FL3,1)</f>
        <v/>
      </c>
      <c r="LA3">
        <f>IF('calcA'!BN$106=1,FM3,1)</f>
        <v/>
      </c>
      <c r="LB3">
        <f>IF('calcA'!BO$106=1,FN3,1)</f>
        <v/>
      </c>
      <c r="LC3">
        <f>IF('calcA'!BP$106=1,FO3,1)</f>
        <v/>
      </c>
      <c r="LD3">
        <f>IF('calcA'!BQ$106=1,FP3,1)</f>
        <v/>
      </c>
      <c r="LE3">
        <f>IF('calcA'!BR$106=1,FQ3,1)</f>
        <v/>
      </c>
      <c r="LF3">
        <f>IF('calcA'!BS$106=1,FR3,1)</f>
        <v/>
      </c>
      <c r="LG3">
        <f>IF('calcA'!BT$106=1,FS3,1)</f>
        <v/>
      </c>
      <c r="LH3">
        <f>IF('calcA'!BU$106=1,FT3,1)</f>
        <v/>
      </c>
      <c r="LI3">
        <f>IF('calcA'!BV$106=1,FU3,1)</f>
        <v/>
      </c>
      <c r="LJ3">
        <f>IF('calcA'!BW$106=1,FV3,1)</f>
        <v/>
      </c>
      <c r="LK3">
        <f>IF('calcA'!BX$106=1,FW3,1)</f>
        <v/>
      </c>
      <c r="LL3">
        <f>IF('calcA'!BY$106=1,FX3,1)</f>
        <v/>
      </c>
      <c r="LM3">
        <f>IF('calcA'!BZ$106=1,FY3,1)</f>
        <v/>
      </c>
      <c r="LN3">
        <f>IF('calcA'!CA$106=1,FZ3,1)</f>
        <v/>
      </c>
      <c r="LO3">
        <f>IF('calcA'!CB$106=1,GA3,1)</f>
        <v/>
      </c>
      <c r="LP3">
        <f>IF('calcA'!CC$106=1,GB3,1)</f>
        <v/>
      </c>
      <c r="LQ3">
        <f>IF('calcA'!CD$106=1,GC3,1)</f>
        <v/>
      </c>
      <c r="LR3">
        <f>IF('calcA'!CE$106=1,GD3,1)</f>
        <v/>
      </c>
      <c r="LS3">
        <f>IF('calcA'!CF$106=1,GE3,1)</f>
        <v/>
      </c>
      <c r="LT3">
        <f>IF('calcA'!CG$106=1,GF3,1)</f>
        <v/>
      </c>
      <c r="LU3">
        <f>IF('calcA'!CH$106=1,GG3,1)</f>
        <v/>
      </c>
      <c r="LV3">
        <f>IF('calcA'!CI$106=1,GH3,1)</f>
        <v/>
      </c>
      <c r="LW3">
        <f>IF('calcA'!CJ$106=1,GI3,1)</f>
        <v/>
      </c>
      <c r="LX3">
        <f>IF('calcA'!CK$106=1,GJ3,1)</f>
        <v/>
      </c>
      <c r="LY3">
        <f>IF('calcA'!CL$106=1,GK3,1)</f>
        <v/>
      </c>
      <c r="LZ3">
        <f>IF('calcA'!CM$106=1,GL3,1)</f>
        <v/>
      </c>
      <c r="MA3">
        <f>IF('calcA'!CN$106=1,GM3,1)</f>
        <v/>
      </c>
      <c r="MB3">
        <f>IF('calcA'!CO$106=1,GN3,1)</f>
        <v/>
      </c>
      <c r="MC3">
        <f>IF('calcA'!CP$106=1,GO3,1)</f>
        <v/>
      </c>
      <c r="MD3">
        <f>IF('calcA'!CQ$106=1,GP3,1)</f>
        <v/>
      </c>
      <c r="ME3">
        <f>IF('calcA'!CR$106=1,GQ3,1)</f>
        <v/>
      </c>
      <c r="MF3">
        <f>IF('calcA'!CS$106=1,GR3,1)</f>
        <v/>
      </c>
      <c r="MG3">
        <f>IF('calcA'!CT$106=1,GS3,1)</f>
        <v/>
      </c>
      <c r="MH3">
        <f>IF('calcA'!CU$106=1,GT3,1)</f>
        <v/>
      </c>
      <c r="MI3">
        <f>IF('calcA'!CV$106=1,GU3,1)</f>
        <v/>
      </c>
      <c r="MJ3">
        <f>IF('calcA'!CW$106=1,GV3,1)</f>
        <v/>
      </c>
      <c r="MK3">
        <f>IF('calcA'!CX$106=1,GW3,1)</f>
        <v/>
      </c>
      <c r="ML3">
        <f>IF('calcA'!CY$106=1,GX3,1)</f>
        <v/>
      </c>
      <c r="MM3">
        <f>IF('calcA'!CZ$106=1,GY3,1)</f>
        <v/>
      </c>
      <c r="MN3">
        <f>IF('calcA'!DA$106=1,GZ3,1)</f>
        <v/>
      </c>
      <c r="MO3">
        <f>IF('calcA'!DB$106=1,HA3,1)</f>
        <v/>
      </c>
      <c r="MP3">
        <f>IF('calcA'!DC$106=1,HB3,1)</f>
        <v/>
      </c>
      <c r="MQ3">
        <f>IF('calcA'!DD$106=1,HC3,1)</f>
        <v/>
      </c>
      <c r="MR3">
        <f>IF('calcA'!DE$106=1,HD3,1)</f>
        <v/>
      </c>
      <c r="MS3">
        <f>IF('calcA'!DF$106=1,HE3,1)</f>
        <v/>
      </c>
      <c r="MT3">
        <f>IF('calcA'!DG$106=1,HF3,1)</f>
        <v/>
      </c>
      <c r="MU3">
        <f>IF('calcA'!DH$106=1,HG3,1)</f>
        <v/>
      </c>
      <c r="MV3">
        <f>IF('calcA'!DI$106=1,HH3,1)</f>
        <v/>
      </c>
      <c r="MW3">
        <f>IF('calcA'!DJ$106=1,HI3,1)</f>
        <v/>
      </c>
      <c r="MX3">
        <f>IF('calcA'!DK$106=1,HJ3,1)</f>
        <v/>
      </c>
      <c r="MY3">
        <f>IF('calcA'!DL$106=1,HK3,1)</f>
        <v/>
      </c>
      <c r="MZ3">
        <f>IF('calcA'!DM$106=1,HL3,1)</f>
        <v/>
      </c>
      <c r="NA3">
        <f>IF('calcA'!DN$106=1,HM3,1)</f>
        <v/>
      </c>
      <c r="NB3">
        <f>IF('calcA'!DO$106=1,HN3,1)</f>
        <v/>
      </c>
      <c r="NC3">
        <f>IF('calcA'!DP$106=1,HO3,1)</f>
        <v/>
      </c>
      <c r="ND3">
        <f>IF('calcA'!DQ$106=1,HP3,1)</f>
        <v/>
      </c>
      <c r="NE3">
        <f>IF('calcA'!DR$106=1,HQ3,1)</f>
        <v/>
      </c>
      <c r="NF3">
        <f>IF('calcA'!DS$106=1,HR3,1)</f>
        <v/>
      </c>
      <c r="NG3">
        <f>IF('calcA'!DT$106=1,HS3,1)</f>
        <v/>
      </c>
      <c r="NH3">
        <f>IF('calcA'!DU$106=1,HT3,1)</f>
        <v/>
      </c>
      <c r="NI3">
        <f>IF('calcA'!DV$106=1,HU3,1)</f>
        <v/>
      </c>
      <c r="NJ3">
        <f>IF('calcA'!DW$106=1,HV3,1)</f>
        <v/>
      </c>
      <c r="NK3">
        <f>IF('calcA'!DX$106=1,HW3,1)</f>
        <v/>
      </c>
      <c r="NL3">
        <f>IF('calcA'!DY$106=1,HX3,1)</f>
        <v/>
      </c>
      <c r="NM3">
        <f>IF('calcA'!DZ$106=1,HY3,1)</f>
        <v/>
      </c>
      <c r="NN3">
        <f>IF('calcA'!EA$106=1,HZ3,1)</f>
        <v/>
      </c>
      <c r="NO3">
        <f>IF('calcA'!EB$106=1,IA3,1)</f>
        <v/>
      </c>
      <c r="NP3">
        <f>IF('calcA'!EC$106=1,IB3,1)</f>
        <v/>
      </c>
      <c r="NQ3">
        <f>IF('calcA'!ED$106=1,IC3,1)</f>
        <v/>
      </c>
      <c r="NR3">
        <f>IF('calcA'!EE$106=1,ID3,1)</f>
        <v/>
      </c>
      <c r="NS3">
        <f>IF('calcA'!EF$106=1,IE3,1)</f>
        <v/>
      </c>
      <c r="NT3">
        <f>IF('calcA'!EG$106=1,IF3,1)</f>
        <v/>
      </c>
      <c r="NU3">
        <f>IF('calcA'!EH$106=1,IG3,1)</f>
        <v/>
      </c>
      <c r="NV3">
        <f>IF('calcA'!EI$106=1,IH3,1)</f>
        <v/>
      </c>
      <c r="NW3">
        <f>IF('calcA'!EJ$106=1,II3,1)</f>
        <v/>
      </c>
      <c r="NX3">
        <f>IF('calcA'!EK$106=1,IJ3,1)</f>
        <v/>
      </c>
      <c r="NY3">
        <f>IF('calcA'!EL$106=1,IK3,1)</f>
        <v/>
      </c>
      <c r="NZ3">
        <f>IF('calcA'!EM$106=1,IL3,1)</f>
        <v/>
      </c>
      <c r="OA3">
        <f>IF('calcA'!EN$106=1,IM3,1)</f>
        <v/>
      </c>
      <c r="OB3">
        <f>IF('calcA'!EO$106=1,IN3,1)</f>
        <v/>
      </c>
      <c r="OC3">
        <f>IF('calcA'!EP$106=1,IO3,1)</f>
        <v/>
      </c>
      <c r="OD3" t="n">
        <v>1</v>
      </c>
      <c r="OF3">
        <f>IF($B3=0,1000000000,IF(INDEX('calcA'!$D$60:$EQ$99,$B3,1)*IF($W3=1,DB3+ZQ3,DB3)=1,IF(AND($E3=2,IF($W3=1,AFF3,IQ3)=0),1000000000,IF($V3=1,INDEX('calcA'!$D$130:$EQ$169,$B3,1)+IF(AND($E3=1,IQ3=0),25,0),INDEX('calcA'!D$110:D$114,$F3+1)+IF(AND($E3=1,IQ3=0),1000,0)+IF($H3=1,INDEX('calcA'!$D$180:$EQ$219,$B3,1)*500,0)-IF(AND($U3=1,'calcA'!D$117=1,DC3=0),300,0))),1000000000))</f>
        <v/>
      </c>
      <c r="OG3">
        <f>IF($B3=0,1000000000,IF(INDEX('calcA'!$D$60:$EQ$99,$B3,2)*IF($W3=1,DC3+ZR3,DC3)=1,IF(AND($E3=2,IF($W3=1,AFG3,IR3)=0),1000000000,IF($V3=1,INDEX('calcA'!$D$130:$EQ$169,$B3,2)+IF(AND($E3=1,IR3=0),25,0),INDEX('calcA'!E$110:E$114,$F3+1)+IF(AND($E3=1,IR3=0),1000,0)+IF($H3=1,INDEX('calcA'!$D$180:$EQ$219,$B3,2)*500,0)-IF(AND('calcA'!D$117=1,UB3&gt;0),300,0)-IF(AND($U3=1,'calcA'!E$117=1,DD3=0),300,0))),1000000000))</f>
        <v/>
      </c>
      <c r="OH3">
        <f>IF($B3=0,1000000000,IF(INDEX('calcA'!$D$60:$EQ$99,$B3,3)*IF($W3=1,DD3+ZS3,DD3)=1,IF(AND($E3=2,IF($W3=1,AFH3,IS3)=0),1000000000,IF($V3=1,INDEX('calcA'!$D$130:$EQ$169,$B3,3)+IF(AND($E3=1,IS3=0),25,0),INDEX('calcA'!F$110:F$114,$F3+1)+IF(AND($E3=1,IS3=0),1000,0)+IF($H3=1,INDEX('calcA'!$D$180:$EQ$219,$B3,3)*500,0)-IF(AND('calcA'!E$117=1,UC3&gt;0),300,0)-IF(AND($U3=1,'calcA'!F$117=1,DE3=0),300,0))),1000000000))</f>
        <v/>
      </c>
      <c r="OI3">
        <f>IF($B3=0,1000000000,IF(INDEX('calcA'!$D$60:$EQ$99,$B3,4)*IF($W3=1,DE3+ZT3,DE3)=1,IF(AND($E3=2,IF($W3=1,AFI3,IT3)=0),1000000000,IF($V3=1,INDEX('calcA'!$D$130:$EQ$169,$B3,4)+IF(AND($E3=1,IT3=0),25,0),INDEX('calcA'!G$110:G$114,$F3+1)+IF(AND($E3=1,IT3=0),1000,0)+IF($H3=1,INDEX('calcA'!$D$180:$EQ$219,$B3,4)*500,0)-IF(AND('calcA'!F$117=1,UD3&gt;0),300,0)-IF(AND($U3=1,'calcA'!G$117=1,DF3=0),300,0))),1000000000))</f>
        <v/>
      </c>
      <c r="OJ3">
        <f>IF($B3=0,1000000000,IF(INDEX('calcA'!$D$60:$EQ$99,$B3,5)*IF($W3=1,DF3+ZU3,DF3)=1,IF(AND($E3=2,IF($W3=1,AFJ3,IU3)=0),1000000000,IF($V3=1,INDEX('calcA'!$D$130:$EQ$169,$B3,5)+IF(AND($E3=1,IU3=0),25,0),INDEX('calcA'!H$110:H$114,$F3+1)+IF(AND($E3=1,IU3=0),1000,0)+IF($H3=1,INDEX('calcA'!$D$180:$EQ$219,$B3,5)*500,0)-IF(AND('calcA'!G$117=1,UE3&gt;0),300,0)-IF(AND($U3=1,'calcA'!H$117=1,DG3=0),300,0))),1000000000))</f>
        <v/>
      </c>
      <c r="OK3">
        <f>IF($B3=0,1000000000,IF(INDEX('calcA'!$D$60:$EQ$99,$B3,6)*IF($W3=1,DG3+ZV3,DG3)=1,IF(AND($E3=2,IF($W3=1,AFK3,IV3)=0),1000000000,IF($V3=1,INDEX('calcA'!$D$130:$EQ$169,$B3,6)+IF(AND($E3=1,IV3=0),25,0),INDEX('calcA'!I$110:I$114,$F3+1)+IF(AND($E3=1,IV3=0),1000,0)+IF($H3=1,INDEX('calcA'!$D$180:$EQ$219,$B3,6)*500,0)-IF(AND('calcA'!H$117=1,UF3&gt;0),300,0)-IF(AND($U3=1,'calcA'!I$117=1,DH3=0),300,0))),1000000000))</f>
        <v/>
      </c>
      <c r="OL3">
        <f>IF($B3=0,1000000000,IF(INDEX('calcA'!$D$60:$EQ$99,$B3,7)*IF($W3=1,DH3+ZW3,DH3)=1,IF(AND($E3=2,IF($W3=1,AFL3,IW3)=0),1000000000,IF($V3=1,INDEX('calcA'!$D$130:$EQ$169,$B3,7)+IF(AND($E3=1,IW3=0),25,0),INDEX('calcA'!J$110:J$114,$F3+1)+IF(AND($E3=1,IW3=0),1000,0)+IF($H3=1,INDEX('calcA'!$D$180:$EQ$219,$B3,7)*500,0)-IF(AND('calcA'!I$117=1,UG3&gt;0),300,0)-IF(AND($U3=1,'calcA'!J$117=1,DI3=0),300,0))),1000000000))</f>
        <v/>
      </c>
      <c r="OM3">
        <f>IF($B3=0,1000000000,IF(INDEX('calcA'!$D$60:$EQ$99,$B3,8)*IF($W3=1,DI3+ZX3,DI3)=1,IF(AND($E3=2,IF($W3=1,AFM3,IX3)=0),1000000000,IF($V3=1,INDEX('calcA'!$D$130:$EQ$169,$B3,8)+IF(AND($E3=1,IX3=0),25,0),INDEX('calcA'!K$110:K$114,$F3+1)+IF(AND($E3=1,IX3=0),1000,0)+IF($H3=1,INDEX('calcA'!$D$180:$EQ$219,$B3,8)*500,0)-IF(AND('calcA'!J$117=1,UH3&gt;0),300,0)-IF(AND($U3=1,'calcA'!K$117=1,DJ3=0),300,0))),1000000000))</f>
        <v/>
      </c>
      <c r="ON3">
        <f>IF($B3=0,1000000000,IF(INDEX('calcA'!$D$60:$EQ$99,$B3,9)*IF($W3=1,DJ3+ZY3,DJ3)=1,IF(AND($E3=2,IF($W3=1,AFN3,IY3)=0),1000000000,IF($V3=1,INDEX('calcA'!$D$130:$EQ$169,$B3,9)+IF(AND($E3=1,IY3=0),25,0),INDEX('calcA'!L$110:L$114,$F3+1)+IF(AND($E3=1,IY3=0),1000,0)+IF($H3=1,INDEX('calcA'!$D$180:$EQ$219,$B3,9)*500,0)-IF(AND('calcA'!K$117=1,UI3&gt;0),300,0)-IF(AND($U3=1,'calcA'!L$117=1,DK3=0),300,0))),1000000000))</f>
        <v/>
      </c>
      <c r="OO3">
        <f>IF($B3=0,1000000000,IF(INDEX('calcA'!$D$60:$EQ$99,$B3,10)*IF($W3=1,DK3+ZZ3,DK3)=1,IF(AND($E3=2,IF($W3=1,AFO3,IZ3)=0),1000000000,IF($V3=1,INDEX('calcA'!$D$130:$EQ$169,$B3,10)+IF(AND($E3=1,IZ3=0),25,0),INDEX('calcA'!M$110:M$114,$F3+1)+IF(AND($E3=1,IZ3=0),1000,0)+IF($H3=1,INDEX('calcA'!$D$180:$EQ$219,$B3,10)*500,0)-IF(AND('calcA'!L$117=1,UJ3&gt;0),300,0)-IF(AND($U3=1,'calcA'!M$117=1,DL3=0),300,0))),1000000000))</f>
        <v/>
      </c>
      <c r="OP3">
        <f>IF($B3=0,1000000000,IF(INDEX('calcA'!$D$60:$EQ$99,$B3,11)*IF($W3=1,DL3+AAA3,DL3)=1,IF(AND($E3=2,IF($W3=1,AFP3,JA3)=0),1000000000,IF($V3=1,INDEX('calcA'!$D$130:$EQ$169,$B3,11)+IF(AND($E3=1,JA3=0),25,0),INDEX('calcA'!N$110:N$114,$F3+1)+IF(AND($E3=1,JA3=0),1000,0)+IF($H3=1,INDEX('calcA'!$D$180:$EQ$219,$B3,11)*500,0)-IF(AND('calcA'!M$117=1,UK3&gt;0),300,0)-IF(AND($U3=1,'calcA'!N$117=1,DM3=0),300,0))),1000000000))</f>
        <v/>
      </c>
      <c r="OQ3">
        <f>IF($B3=0,1000000000,IF(INDEX('calcA'!$D$60:$EQ$99,$B3,12)*IF($W3=1,DM3+AAB3,DM3)=1,IF(AND($E3=2,IF($W3=1,AFQ3,JB3)=0),1000000000,IF($V3=1,INDEX('calcA'!$D$130:$EQ$169,$B3,12)+IF(AND($E3=1,JB3=0),25,0),INDEX('calcA'!O$110:O$114,$F3+1)+IF(AND($E3=1,JB3=0),1000,0)+IF($H3=1,INDEX('calcA'!$D$180:$EQ$219,$B3,12)*500,0)-IF(AND('calcA'!N$117=1,UL3&gt;0),300,0)-IF(AND($U3=1,'calcA'!O$117=1,DN3=0),300,0))),1000000000))</f>
        <v/>
      </c>
      <c r="OR3">
        <f>IF($B3=0,1000000000,IF(INDEX('calcA'!$D$60:$EQ$99,$B3,13)*IF($W3=1,DN3+AAC3,DN3)=1,IF(AND($E3=2,IF($W3=1,AFR3,JC3)=0),1000000000,IF($V3=1,INDEX('calcA'!$D$130:$EQ$169,$B3,13)+IF(AND($E3=1,JC3=0),25,0),INDEX('calcA'!P$110:P$114,$F3+1)+IF(AND($E3=1,JC3=0),1000,0)+IF($H3=1,INDEX('calcA'!$D$180:$EQ$219,$B3,13)*500,0)-IF(AND('calcA'!O$117=1,UM3&gt;0),300,0)-IF(AND($U3=1,'calcA'!P$117=1,DO3=0),300,0))),1000000000))</f>
        <v/>
      </c>
      <c r="OS3">
        <f>IF($B3=0,1000000000,IF(INDEX('calcA'!$D$60:$EQ$99,$B3,14)*IF($W3=1,DO3+AAD3,DO3)=1,IF(AND($E3=2,IF($W3=1,AFS3,JD3)=0),1000000000,IF($V3=1,INDEX('calcA'!$D$130:$EQ$169,$B3,14)+IF(AND($E3=1,JD3=0),25,0),INDEX('calcA'!Q$110:Q$114,$F3+1)+IF(AND($E3=1,JD3=0),1000,0)+IF($H3=1,INDEX('calcA'!$D$180:$EQ$219,$B3,14)*500,0)-IF(AND('calcA'!P$117=1,UN3&gt;0),300,0)-IF(AND($U3=1,'calcA'!Q$117=1,DP3=0),300,0))),1000000000))</f>
        <v/>
      </c>
      <c r="OT3">
        <f>IF($B3=0,1000000000,IF(INDEX('calcA'!$D$60:$EQ$99,$B3,15)*IF($W3=1,DP3+AAE3,DP3)=1,IF(AND($E3=2,IF($W3=1,AFT3,JE3)=0),1000000000,IF($V3=1,INDEX('calcA'!$D$130:$EQ$169,$B3,15)+IF(AND($E3=1,JE3=0),25,0),INDEX('calcA'!R$110:R$114,$F3+1)+IF(AND($E3=1,JE3=0),1000,0)+IF($H3=1,INDEX('calcA'!$D$180:$EQ$219,$B3,15)*500,0)-IF(AND('calcA'!Q$117=1,UO3&gt;0),300,0)-IF(AND($U3=1,'calcA'!R$117=1,DQ3=0),300,0))),1000000000))</f>
        <v/>
      </c>
      <c r="OU3">
        <f>IF($B3=0,1000000000,IF(INDEX('calcA'!$D$60:$EQ$99,$B3,16)*IF($W3=1,DQ3+AAF3,DQ3)=1,IF(AND($E3=2,IF($W3=1,AFU3,JF3)=0),1000000000,IF($V3=1,INDEX('calcA'!$D$130:$EQ$169,$B3,16)+IF(AND($E3=1,JF3=0),25,0),INDEX('calcA'!S$110:S$114,$F3+1)+IF(AND($E3=1,JF3=0),1000,0)+IF($H3=1,INDEX('calcA'!$D$180:$EQ$219,$B3,16)*500,0)-IF(AND('calcA'!R$117=1,UP3&gt;0),300,0)-IF(AND($U3=1,'calcA'!S$117=1,DR3=0),300,0))),1000000000))</f>
        <v/>
      </c>
      <c r="OV3">
        <f>IF($B3=0,1000000000,IF(INDEX('calcA'!$D$60:$EQ$99,$B3,17)*IF($W3=1,DR3+AAG3,DR3)=1,IF(AND($E3=2,IF($W3=1,AFV3,JG3)=0),1000000000,IF($V3=1,INDEX('calcA'!$D$130:$EQ$169,$B3,17)+IF(AND($E3=1,JG3=0),25,0),INDEX('calcA'!T$110:T$114,$F3+1)+IF(AND($E3=1,JG3=0),1000,0)+IF($H3=1,INDEX('calcA'!$D$180:$EQ$219,$B3,17)*500,0)-IF(AND('calcA'!S$117=1,UQ3&gt;0),300,0)-IF(AND($U3=1,'calcA'!T$117=1,DS3=0),300,0))),1000000000))</f>
        <v/>
      </c>
      <c r="OW3">
        <f>IF($B3=0,1000000000,IF(INDEX('calcA'!$D$60:$EQ$99,$B3,18)*IF($W3=1,DS3+AAH3,DS3)=1,IF(AND($E3=2,IF($W3=1,AFW3,JH3)=0),1000000000,IF($V3=1,INDEX('calcA'!$D$130:$EQ$169,$B3,18)+IF(AND($E3=1,JH3=0),25,0),INDEX('calcA'!U$110:U$114,$F3+1)+IF(AND($E3=1,JH3=0),1000,0)+IF($H3=1,INDEX('calcA'!$D$180:$EQ$219,$B3,18)*500,0)-IF(AND('calcA'!T$117=1,UR3&gt;0),300,0)-IF(AND($U3=1,'calcA'!U$117=1,DT3=0),300,0))),1000000000))</f>
        <v/>
      </c>
      <c r="OX3">
        <f>IF($B3=0,1000000000,IF(INDEX('calcA'!$D$60:$EQ$99,$B3,19)*IF($W3=1,DT3+AAI3,DT3)=1,IF(AND($E3=2,IF($W3=1,AFX3,JI3)=0),1000000000,IF($V3=1,INDEX('calcA'!$D$130:$EQ$169,$B3,19)+IF(AND($E3=1,JI3=0),25,0),INDEX('calcA'!V$110:V$114,$F3+1)+IF(AND($E3=1,JI3=0),1000,0)+IF($H3=1,INDEX('calcA'!$D$180:$EQ$219,$B3,19)*500,0)-IF(AND('calcA'!U$117=1,US3&gt;0),300,0)-IF(AND($U3=1,'calcA'!V$117=1,DU3=0),300,0))),1000000000))</f>
        <v/>
      </c>
      <c r="OY3">
        <f>IF($B3=0,1000000000,IF(INDEX('calcA'!$D$60:$EQ$99,$B3,20)*IF($W3=1,DU3+AAJ3,DU3)=1,IF(AND($E3=2,IF($W3=1,AFY3,JJ3)=0),1000000000,IF($V3=1,INDEX('calcA'!$D$130:$EQ$169,$B3,20)+IF(AND($E3=1,JJ3=0),25,0),INDEX('calcA'!W$110:W$114,$F3+1)+IF(AND($E3=1,JJ3=0),1000,0)+IF($H3=1,INDEX('calcA'!$D$180:$EQ$219,$B3,20)*500,0)-IF(AND('calcA'!V$117=1,UT3&gt;0),300,0)-IF(AND($U3=1,'calcA'!W$117=1,DV3=0),300,0))),1000000000))</f>
        <v/>
      </c>
      <c r="OZ3">
        <f>IF($B3=0,1000000000,IF(INDEX('calcA'!$D$60:$EQ$99,$B3,21)*IF($W3=1,DV3+AAK3,DV3)=1,IF(AND($E3=2,IF($W3=1,AFZ3,JK3)=0),1000000000,IF($V3=1,INDEX('calcA'!$D$130:$EQ$169,$B3,21)+IF(AND($E3=1,JK3=0),25,0),INDEX('calcA'!X$110:X$114,$F3+1)+IF(AND($E3=1,JK3=0),1000,0)+IF($H3=1,INDEX('calcA'!$D$180:$EQ$219,$B3,21)*500,0)-IF(AND('calcA'!W$117=1,UU3&gt;0),300,0)-IF(AND($U3=1,'calcA'!X$117=1,DW3=0),300,0))),1000000000))</f>
        <v/>
      </c>
      <c r="PA3">
        <f>IF($B3=0,1000000000,IF(INDEX('calcA'!$D$60:$EQ$99,$B3,22)*IF($W3=1,DW3+AAL3,DW3)=1,IF(AND($E3=2,IF($W3=1,AGA3,JL3)=0),1000000000,IF($V3=1,INDEX('calcA'!$D$130:$EQ$169,$B3,22)+IF(AND($E3=1,JL3=0),25,0),INDEX('calcA'!Y$110:Y$114,$F3+1)+IF(AND($E3=1,JL3=0),1000,0)+IF($H3=1,INDEX('calcA'!$D$180:$EQ$219,$B3,22)*500,0)-IF(AND('calcA'!X$117=1,UV3&gt;0),300,0)-IF(AND($U3=1,'calcA'!Y$117=1,DX3=0),300,0))),1000000000))</f>
        <v/>
      </c>
      <c r="PB3">
        <f>IF($B3=0,1000000000,IF(INDEX('calcA'!$D$60:$EQ$99,$B3,23)*IF($W3=1,DX3+AAM3,DX3)=1,IF(AND($E3=2,IF($W3=1,AGB3,JM3)=0),1000000000,IF($V3=1,INDEX('calcA'!$D$130:$EQ$169,$B3,23)+IF(AND($E3=1,JM3=0),25,0),INDEX('calcA'!Z$110:Z$114,$F3+1)+IF(AND($E3=1,JM3=0),1000,0)+IF($H3=1,INDEX('calcA'!$D$180:$EQ$219,$B3,23)*500,0)-IF(AND('calcA'!Y$117=1,UW3&gt;0),300,0)-IF(AND($U3=1,'calcA'!Z$117=1,DY3=0),300,0))),1000000000))</f>
        <v/>
      </c>
      <c r="PC3">
        <f>IF($B3=0,1000000000,IF(INDEX('calcA'!$D$60:$EQ$99,$B3,24)*IF($W3=1,DY3+AAN3,DY3)=1,IF(AND($E3=2,IF($W3=1,AGC3,JN3)=0),1000000000,IF($V3=1,INDEX('calcA'!$D$130:$EQ$169,$B3,24)+IF(AND($E3=1,JN3=0),25,0),INDEX('calcA'!AA$110:AA$114,$F3+1)+IF(AND($E3=1,JN3=0),1000,0)+IF($H3=1,INDEX('calcA'!$D$180:$EQ$219,$B3,24)*500,0)-IF(AND('calcA'!Z$117=1,UX3&gt;0),300,0))),1000000000))</f>
        <v/>
      </c>
      <c r="PD3">
        <f>IF($B3=0,1000000000,IF(INDEX('calcA'!$D$60:$EQ$99,$B3,25)*IF($W3=1,DZ3+AAO3,DZ3)=1,IF(AND($E3=2,IF($W3=1,AGD3,JO3)=0),1000000000,IF($V3=1,INDEX('calcA'!$D$130:$EQ$169,$B3,25)+IF(AND($E3=1,JO3=0),25,0),INDEX('calcA'!AB$110:AB$114,$F3+1)+IF(AND($E3=1,JO3=0),1000,0)+IF($H3=1,INDEX('calcA'!$D$180:$EQ$219,$B3,25)*500,0)-IF(AND($U3=1,'calcA'!AB$117=1,EA3=0),300,0))),1000000000))</f>
        <v/>
      </c>
      <c r="PE3">
        <f>IF($B3=0,1000000000,IF(INDEX('calcA'!$D$60:$EQ$99,$B3,26)*IF($W3=1,EA3+AAP3,EA3)=1,IF(AND($E3=2,IF($W3=1,AGE3,JP3)=0),1000000000,IF($V3=1,INDEX('calcA'!$D$130:$EQ$169,$B3,26)+IF(AND($E3=1,JP3=0),25,0),INDEX('calcA'!AC$110:AC$114,$F3+1)+IF(AND($E3=1,JP3=0),1000,0)+IF($H3=1,INDEX('calcA'!$D$180:$EQ$219,$B3,26)*500,0)-IF(AND('calcA'!AB$117=1,UZ3&gt;0),300,0)-IF(AND($U3=1,'calcA'!AC$117=1,EB3=0),300,0))),1000000000))</f>
        <v/>
      </c>
      <c r="PF3">
        <f>IF($B3=0,1000000000,IF(INDEX('calcA'!$D$60:$EQ$99,$B3,27)*IF($W3=1,EB3+AAQ3,EB3)=1,IF(AND($E3=2,IF($W3=1,AGF3,JQ3)=0),1000000000,IF($V3=1,INDEX('calcA'!$D$130:$EQ$169,$B3,27)+IF(AND($E3=1,JQ3=0),25,0),INDEX('calcA'!AD$110:AD$114,$F3+1)+IF(AND($E3=1,JQ3=0),1000,0)+IF($H3=1,INDEX('calcA'!$D$180:$EQ$219,$B3,27)*500,0)-IF(AND('calcA'!AC$117=1,VA3&gt;0),300,0)-IF(AND($U3=1,'calcA'!AD$117=1,EC3=0),300,0))),1000000000))</f>
        <v/>
      </c>
      <c r="PG3">
        <f>IF($B3=0,1000000000,IF(INDEX('calcA'!$D$60:$EQ$99,$B3,28)*IF($W3=1,EC3+AAR3,EC3)=1,IF(AND($E3=2,IF($W3=1,AGG3,JR3)=0),1000000000,IF($V3=1,INDEX('calcA'!$D$130:$EQ$169,$B3,28)+IF(AND($E3=1,JR3=0),25,0),INDEX('calcA'!AE$110:AE$114,$F3+1)+IF(AND($E3=1,JR3=0),1000,0)+IF($H3=1,INDEX('calcA'!$D$180:$EQ$219,$B3,28)*500,0)-IF(AND('calcA'!AD$117=1,VB3&gt;0),300,0)-IF(AND($U3=1,'calcA'!AE$117=1,ED3=0),300,0))),1000000000))</f>
        <v/>
      </c>
      <c r="PH3">
        <f>IF($B3=0,1000000000,IF(INDEX('calcA'!$D$60:$EQ$99,$B3,29)*IF($W3=1,ED3+AAS3,ED3)=1,IF(AND($E3=2,IF($W3=1,AGH3,JS3)=0),1000000000,IF($V3=1,INDEX('calcA'!$D$130:$EQ$169,$B3,29)+IF(AND($E3=1,JS3=0),25,0),INDEX('calcA'!AF$110:AF$114,$F3+1)+IF(AND($E3=1,JS3=0),1000,0)+IF($H3=1,INDEX('calcA'!$D$180:$EQ$219,$B3,29)*500,0)-IF(AND('calcA'!AE$117=1,VC3&gt;0),300,0)-IF(AND($U3=1,'calcA'!AF$117=1,EE3=0),300,0))),1000000000))</f>
        <v/>
      </c>
      <c r="PI3">
        <f>IF($B3=0,1000000000,IF(INDEX('calcA'!$D$60:$EQ$99,$B3,30)*IF($W3=1,EE3+AAT3,EE3)=1,IF(AND($E3=2,IF($W3=1,AGI3,JT3)=0),1000000000,IF($V3=1,INDEX('calcA'!$D$130:$EQ$169,$B3,30)+IF(AND($E3=1,JT3=0),25,0),INDEX('calcA'!AG$110:AG$114,$F3+1)+IF(AND($E3=1,JT3=0),1000,0)+IF($H3=1,INDEX('calcA'!$D$180:$EQ$219,$B3,30)*500,0)-IF(AND('calcA'!AF$117=1,VD3&gt;0),300,0)-IF(AND($U3=1,'calcA'!AG$117=1,EF3=0),300,0))),1000000000))</f>
        <v/>
      </c>
      <c r="PJ3">
        <f>IF($B3=0,1000000000,IF(INDEX('calcA'!$D$60:$EQ$99,$B3,31)*IF($W3=1,EF3+AAU3,EF3)=1,IF(AND($E3=2,IF($W3=1,AGJ3,JU3)=0),1000000000,IF($V3=1,INDEX('calcA'!$D$130:$EQ$169,$B3,31)+IF(AND($E3=1,JU3=0),25,0),INDEX('calcA'!AH$110:AH$114,$F3+1)+IF(AND($E3=1,JU3=0),1000,0)+IF($H3=1,INDEX('calcA'!$D$180:$EQ$219,$B3,31)*500,0)-IF(AND('calcA'!AG$117=1,VE3&gt;0),300,0)-IF(AND($U3=1,'calcA'!AH$117=1,EG3=0),300,0))),1000000000))</f>
        <v/>
      </c>
      <c r="PK3">
        <f>IF($B3=0,1000000000,IF(INDEX('calcA'!$D$60:$EQ$99,$B3,32)*IF($W3=1,EG3+AAV3,EG3)=1,IF(AND($E3=2,IF($W3=1,AGK3,JV3)=0),1000000000,IF($V3=1,INDEX('calcA'!$D$130:$EQ$169,$B3,32)+IF(AND($E3=1,JV3=0),25,0),INDEX('calcA'!AI$110:AI$114,$F3+1)+IF(AND($E3=1,JV3=0),1000,0)+IF($H3=1,INDEX('calcA'!$D$180:$EQ$219,$B3,32)*500,0)-IF(AND('calcA'!AH$117=1,VF3&gt;0),300,0)-IF(AND($U3=1,'calcA'!AI$117=1,EH3=0),300,0))),1000000000))</f>
        <v/>
      </c>
      <c r="PL3">
        <f>IF($B3=0,1000000000,IF(INDEX('calcA'!$D$60:$EQ$99,$B3,33)*IF($W3=1,EH3+AAW3,EH3)=1,IF(AND($E3=2,IF($W3=1,AGL3,JW3)=0),1000000000,IF($V3=1,INDEX('calcA'!$D$130:$EQ$169,$B3,33)+IF(AND($E3=1,JW3=0),25,0),INDEX('calcA'!AJ$110:AJ$114,$F3+1)+IF(AND($E3=1,JW3=0),1000,0)+IF($H3=1,INDEX('calcA'!$D$180:$EQ$219,$B3,33)*500,0)-IF(AND('calcA'!AI$117=1,VG3&gt;0),300,0)-IF(AND($U3=1,'calcA'!AJ$117=1,EI3=0),300,0))),1000000000))</f>
        <v/>
      </c>
      <c r="PM3">
        <f>IF($B3=0,1000000000,IF(INDEX('calcA'!$D$60:$EQ$99,$B3,34)*IF($W3=1,EI3+AAX3,EI3)=1,IF(AND($E3=2,IF($W3=1,AGM3,JX3)=0),1000000000,IF($V3=1,INDEX('calcA'!$D$130:$EQ$169,$B3,34)+IF(AND($E3=1,JX3=0),25,0),INDEX('calcA'!AK$110:AK$114,$F3+1)+IF(AND($E3=1,JX3=0),1000,0)+IF($H3=1,INDEX('calcA'!$D$180:$EQ$219,$B3,34)*500,0)-IF(AND('calcA'!AJ$117=1,VH3&gt;0),300,0)-IF(AND($U3=1,'calcA'!AK$117=1,EJ3=0),300,0))),1000000000))</f>
        <v/>
      </c>
      <c r="PN3">
        <f>IF($B3=0,1000000000,IF(INDEX('calcA'!$D$60:$EQ$99,$B3,35)*IF($W3=1,EJ3+AAY3,EJ3)=1,IF(AND($E3=2,IF($W3=1,AGN3,JY3)=0),1000000000,IF($V3=1,INDEX('calcA'!$D$130:$EQ$169,$B3,35)+IF(AND($E3=1,JY3=0),25,0),INDEX('calcA'!AL$110:AL$114,$F3+1)+IF(AND($E3=1,JY3=0),1000,0)+IF($H3=1,INDEX('calcA'!$D$180:$EQ$219,$B3,35)*500,0)-IF(AND('calcA'!AK$117=1,VI3&gt;0),300,0)-IF(AND($U3=1,'calcA'!AL$117=1,EK3=0),300,0))),1000000000))</f>
        <v/>
      </c>
      <c r="PO3">
        <f>IF($B3=0,1000000000,IF(INDEX('calcA'!$D$60:$EQ$99,$B3,36)*IF($W3=1,EK3+AAZ3,EK3)=1,IF(AND($E3=2,IF($W3=1,AGO3,JZ3)=0),1000000000,IF($V3=1,INDEX('calcA'!$D$130:$EQ$169,$B3,36)+IF(AND($E3=1,JZ3=0),25,0),INDEX('calcA'!AM$110:AM$114,$F3+1)+IF(AND($E3=1,JZ3=0),1000,0)+IF($H3=1,INDEX('calcA'!$D$180:$EQ$219,$B3,36)*500,0)-IF(AND('calcA'!AL$117=1,VJ3&gt;0),300,0)-IF(AND($U3=1,'calcA'!AM$117=1,EL3=0),300,0))),1000000000))</f>
        <v/>
      </c>
      <c r="PP3">
        <f>IF($B3=0,1000000000,IF(INDEX('calcA'!$D$60:$EQ$99,$B3,37)*IF($W3=1,EL3+ABA3,EL3)=1,IF(AND($E3=2,IF($W3=1,AGP3,KA3)=0),1000000000,IF($V3=1,INDEX('calcA'!$D$130:$EQ$169,$B3,37)+IF(AND($E3=1,KA3=0),25,0),INDEX('calcA'!AN$110:AN$114,$F3+1)+IF(AND($E3=1,KA3=0),1000,0)+IF($H3=1,INDEX('calcA'!$D$180:$EQ$219,$B3,37)*500,0)-IF(AND('calcA'!AM$117=1,VK3&gt;0),300,0)-IF(AND($U3=1,'calcA'!AN$117=1,EM3=0),300,0))),1000000000))</f>
        <v/>
      </c>
      <c r="PQ3">
        <f>IF($B3=0,1000000000,IF(INDEX('calcA'!$D$60:$EQ$99,$B3,38)*IF($W3=1,EM3+ABB3,EM3)=1,IF(AND($E3=2,IF($W3=1,AGQ3,KB3)=0),1000000000,IF($V3=1,INDEX('calcA'!$D$130:$EQ$169,$B3,38)+IF(AND($E3=1,KB3=0),25,0),INDEX('calcA'!AO$110:AO$114,$F3+1)+IF(AND($E3=1,KB3=0),1000,0)+IF($H3=1,INDEX('calcA'!$D$180:$EQ$219,$B3,38)*500,0)-IF(AND('calcA'!AN$117=1,VL3&gt;0),300,0)-IF(AND($U3=1,'calcA'!AO$117=1,EN3=0),300,0))),1000000000))</f>
        <v/>
      </c>
      <c r="PR3">
        <f>IF($B3=0,1000000000,IF(INDEX('calcA'!$D$60:$EQ$99,$B3,39)*IF($W3=1,EN3+ABC3,EN3)=1,IF(AND($E3=2,IF($W3=1,AGR3,KC3)=0),1000000000,IF($V3=1,INDEX('calcA'!$D$130:$EQ$169,$B3,39)+IF(AND($E3=1,KC3=0),25,0),INDEX('calcA'!AP$110:AP$114,$F3+1)+IF(AND($E3=1,KC3=0),1000,0)+IF($H3=1,INDEX('calcA'!$D$180:$EQ$219,$B3,39)*500,0)-IF(AND('calcA'!AO$117=1,VM3&gt;0),300,0)-IF(AND($U3=1,'calcA'!AP$117=1,EO3=0),300,0))),1000000000))</f>
        <v/>
      </c>
      <c r="PS3">
        <f>IF($B3=0,1000000000,IF(INDEX('calcA'!$D$60:$EQ$99,$B3,40)*IF($W3=1,EO3+ABD3,EO3)=1,IF(AND($E3=2,IF($W3=1,AGS3,KD3)=0),1000000000,IF($V3=1,INDEX('calcA'!$D$130:$EQ$169,$B3,40)+IF(AND($E3=1,KD3=0),25,0),INDEX('calcA'!AQ$110:AQ$114,$F3+1)+IF(AND($E3=1,KD3=0),1000,0)+IF($H3=1,INDEX('calcA'!$D$180:$EQ$219,$B3,40)*500,0)-IF(AND('calcA'!AP$117=1,VN3&gt;0),300,0)-IF(AND($U3=1,'calcA'!AQ$117=1,EP3=0),300,0))),1000000000))</f>
        <v/>
      </c>
      <c r="PT3">
        <f>IF($B3=0,1000000000,IF(INDEX('calcA'!$D$60:$EQ$99,$B3,41)*IF($W3=1,EP3+ABE3,EP3)=1,IF(AND($E3=2,IF($W3=1,AGT3,KE3)=0),1000000000,IF($V3=1,INDEX('calcA'!$D$130:$EQ$169,$B3,41)+IF(AND($E3=1,KE3=0),25,0),INDEX('calcA'!AR$110:AR$114,$F3+1)+IF(AND($E3=1,KE3=0),1000,0)+IF($H3=1,INDEX('calcA'!$D$180:$EQ$219,$B3,41)*500,0)-IF(AND('calcA'!AQ$117=1,VO3&gt;0),300,0)-IF(AND($U3=1,'calcA'!AR$117=1,EQ3=0),300,0))),1000000000))</f>
        <v/>
      </c>
      <c r="PU3">
        <f>IF($B3=0,1000000000,IF(INDEX('calcA'!$D$60:$EQ$99,$B3,42)*IF($W3=1,EQ3+ABF3,EQ3)=1,IF(AND($E3=2,IF($W3=1,AGU3,KF3)=0),1000000000,IF($V3=1,INDEX('calcA'!$D$130:$EQ$169,$B3,42)+IF(AND($E3=1,KF3=0),25,0),INDEX('calcA'!AS$110:AS$114,$F3+1)+IF(AND($E3=1,KF3=0),1000,0)+IF($H3=1,INDEX('calcA'!$D$180:$EQ$219,$B3,42)*500,0)-IF(AND('calcA'!AR$117=1,VP3&gt;0),300,0)-IF(AND($U3=1,'calcA'!AS$117=1,ER3=0),300,0))),1000000000))</f>
        <v/>
      </c>
      <c r="PV3">
        <f>IF($B3=0,1000000000,IF(INDEX('calcA'!$D$60:$EQ$99,$B3,43)*IF($W3=1,ER3+ABG3,ER3)=1,IF(AND($E3=2,IF($W3=1,AGV3,KG3)=0),1000000000,IF($V3=1,INDEX('calcA'!$D$130:$EQ$169,$B3,43)+IF(AND($E3=1,KG3=0),25,0),INDEX('calcA'!AT$110:AT$114,$F3+1)+IF(AND($E3=1,KG3=0),1000,0)+IF($H3=1,INDEX('calcA'!$D$180:$EQ$219,$B3,43)*500,0)-IF(AND('calcA'!AS$117=1,VQ3&gt;0),300,0)-IF(AND($U3=1,'calcA'!AT$117=1,ES3=0),300,0))),1000000000))</f>
        <v/>
      </c>
      <c r="PW3">
        <f>IF($B3=0,1000000000,IF(INDEX('calcA'!$D$60:$EQ$99,$B3,44)*IF($W3=1,ES3+ABH3,ES3)=1,IF(AND($E3=2,IF($W3=1,AGW3,KH3)=0),1000000000,IF($V3=1,INDEX('calcA'!$D$130:$EQ$169,$B3,44)+IF(AND($E3=1,KH3=0),25,0),INDEX('calcA'!AU$110:AU$114,$F3+1)+IF(AND($E3=1,KH3=0),1000,0)+IF($H3=1,INDEX('calcA'!$D$180:$EQ$219,$B3,44)*500,0)-IF(AND('calcA'!AT$117=1,VR3&gt;0),300,0)-IF(AND($U3=1,'calcA'!AU$117=1,ET3=0),300,0))),1000000000))</f>
        <v/>
      </c>
      <c r="PX3">
        <f>IF($B3=0,1000000000,IF(INDEX('calcA'!$D$60:$EQ$99,$B3,45)*IF($W3=1,ET3+ABI3,ET3)=1,IF(AND($E3=2,IF($W3=1,AGX3,KI3)=0),1000000000,IF($V3=1,INDEX('calcA'!$D$130:$EQ$169,$B3,45)+IF(AND($E3=1,KI3=0),25,0),INDEX('calcA'!AV$110:AV$114,$F3+1)+IF(AND($E3=1,KI3=0),1000,0)+IF($H3=1,INDEX('calcA'!$D$180:$EQ$219,$B3,45)*500,0)-IF(AND('calcA'!AU$117=1,VS3&gt;0),300,0)-IF(AND($U3=1,'calcA'!AV$117=1,EU3=0),300,0))),1000000000))</f>
        <v/>
      </c>
      <c r="PY3">
        <f>IF($B3=0,1000000000,IF(INDEX('calcA'!$D$60:$EQ$99,$B3,46)*IF($W3=1,EU3+ABJ3,EU3)=1,IF(AND($E3=2,IF($W3=1,AGY3,KJ3)=0),1000000000,IF($V3=1,INDEX('calcA'!$D$130:$EQ$169,$B3,46)+IF(AND($E3=1,KJ3=0),25,0),INDEX('calcA'!AW$110:AW$114,$F3+1)+IF(AND($E3=1,KJ3=0),1000,0)+IF($H3=1,INDEX('calcA'!$D$180:$EQ$219,$B3,46)*500,0)-IF(AND('calcA'!AV$117=1,VT3&gt;0),300,0)-IF(AND($U3=1,'calcA'!AW$117=1,EV3=0),300,0))),1000000000))</f>
        <v/>
      </c>
      <c r="PZ3">
        <f>IF($B3=0,1000000000,IF(INDEX('calcA'!$D$60:$EQ$99,$B3,47)*IF($W3=1,EV3+ABK3,EV3)=1,IF(AND($E3=2,IF($W3=1,AGZ3,KK3)=0),1000000000,IF($V3=1,INDEX('calcA'!$D$130:$EQ$169,$B3,47)+IF(AND($E3=1,KK3=0),25,0),INDEX('calcA'!AX$110:AX$114,$F3+1)+IF(AND($E3=1,KK3=0),1000,0)+IF($H3=1,INDEX('calcA'!$D$180:$EQ$219,$B3,47)*500,0)-IF(AND('calcA'!AW$117=1,VU3&gt;0),300,0)-IF(AND($U3=1,'calcA'!AX$117=1,EW3=0),300,0))),1000000000))</f>
        <v/>
      </c>
      <c r="QA3">
        <f>IF($B3=0,1000000000,IF(INDEX('calcA'!$D$60:$EQ$99,$B3,48)*IF($W3=1,EW3+ABL3,EW3)=1,IF(AND($E3=2,IF($W3=1,AHA3,KL3)=0),1000000000,IF($V3=1,INDEX('calcA'!$D$130:$EQ$169,$B3,48)+IF(AND($E3=1,KL3=0),25,0),INDEX('calcA'!AY$110:AY$114,$F3+1)+IF(AND($E3=1,KL3=0),1000,0)+IF($H3=1,INDEX('calcA'!$D$180:$EQ$219,$B3,48)*500,0)-IF(AND('calcA'!AX$117=1,VV3&gt;0),300,0))),1000000000))</f>
        <v/>
      </c>
      <c r="QB3">
        <f>IF($B3=0,1000000000,IF(INDEX('calcA'!$D$60:$EQ$99,$B3,49)*IF($W3=1,EX3+ABM3,EX3)=1,IF(AND($E3=2,IF($W3=1,AHB3,KM3)=0),1000000000,IF($V3=1,INDEX('calcA'!$D$130:$EQ$169,$B3,49)+IF(AND($E3=1,KM3=0),25,0),INDEX('calcA'!AZ$110:AZ$114,$F3+1)+IF(AND($E3=1,KM3=0),1000,0)+IF($H3=1,INDEX('calcA'!$D$180:$EQ$219,$B3,49)*500,0)-IF(AND($U3=1,'calcA'!AZ$117=1,EY3=0),300,0))),1000000000))</f>
        <v/>
      </c>
      <c r="QC3">
        <f>IF($B3=0,1000000000,IF(INDEX('calcA'!$D$60:$EQ$99,$B3,50)*IF($W3=1,EY3+ABN3,EY3)=1,IF(AND($E3=2,IF($W3=1,AHC3,KN3)=0),1000000000,IF($V3=1,INDEX('calcA'!$D$130:$EQ$169,$B3,50)+IF(AND($E3=1,KN3=0),25,0),INDEX('calcA'!BA$110:BA$114,$F3+1)+IF(AND($E3=1,KN3=0),1000,0)+IF($H3=1,INDEX('calcA'!$D$180:$EQ$219,$B3,50)*500,0)-IF(AND('calcA'!AZ$117=1,VX3&gt;0),300,0)-IF(AND($U3=1,'calcA'!BA$117=1,EZ3=0),300,0))),1000000000))</f>
        <v/>
      </c>
      <c r="QD3">
        <f>IF($B3=0,1000000000,IF(INDEX('calcA'!$D$60:$EQ$99,$B3,51)*IF($W3=1,EZ3+ABO3,EZ3)=1,IF(AND($E3=2,IF($W3=1,AHD3,KO3)=0),1000000000,IF($V3=1,INDEX('calcA'!$D$130:$EQ$169,$B3,51)+IF(AND($E3=1,KO3=0),25,0),INDEX('calcA'!BB$110:BB$114,$F3+1)+IF(AND($E3=1,KO3=0),1000,0)+IF($H3=1,INDEX('calcA'!$D$180:$EQ$219,$B3,51)*500,0)-IF(AND('calcA'!BA$117=1,VY3&gt;0),300,0)-IF(AND($U3=1,'calcA'!BB$117=1,FA3=0),300,0))),1000000000))</f>
        <v/>
      </c>
      <c r="QE3">
        <f>IF($B3=0,1000000000,IF(INDEX('calcA'!$D$60:$EQ$99,$B3,52)*IF($W3=1,FA3+ABP3,FA3)=1,IF(AND($E3=2,IF($W3=1,AHE3,KP3)=0),1000000000,IF($V3=1,INDEX('calcA'!$D$130:$EQ$169,$B3,52)+IF(AND($E3=1,KP3=0),25,0),INDEX('calcA'!BC$110:BC$114,$F3+1)+IF(AND($E3=1,KP3=0),1000,0)+IF($H3=1,INDEX('calcA'!$D$180:$EQ$219,$B3,52)*500,0)-IF(AND('calcA'!BB$117=1,VZ3&gt;0),300,0)-IF(AND($U3=1,'calcA'!BC$117=1,FB3=0),300,0))),1000000000))</f>
        <v/>
      </c>
      <c r="QF3">
        <f>IF($B3=0,1000000000,IF(INDEX('calcA'!$D$60:$EQ$99,$B3,53)*IF($W3=1,FB3+ABQ3,FB3)=1,IF(AND($E3=2,IF($W3=1,AHF3,KQ3)=0),1000000000,IF($V3=1,INDEX('calcA'!$D$130:$EQ$169,$B3,53)+IF(AND($E3=1,KQ3=0),25,0),INDEX('calcA'!BD$110:BD$114,$F3+1)+IF(AND($E3=1,KQ3=0),1000,0)+IF($H3=1,INDEX('calcA'!$D$180:$EQ$219,$B3,53)*500,0)-IF(AND('calcA'!BC$117=1,WA3&gt;0),300,0)-IF(AND($U3=1,'calcA'!BD$117=1,FC3=0),300,0))),1000000000))</f>
        <v/>
      </c>
      <c r="QG3">
        <f>IF($B3=0,1000000000,IF(INDEX('calcA'!$D$60:$EQ$99,$B3,54)*IF($W3=1,FC3+ABR3,FC3)=1,IF(AND($E3=2,IF($W3=1,AHG3,KR3)=0),1000000000,IF($V3=1,INDEX('calcA'!$D$130:$EQ$169,$B3,54)+IF(AND($E3=1,KR3=0),25,0),INDEX('calcA'!BE$110:BE$114,$F3+1)+IF(AND($E3=1,KR3=0),1000,0)+IF($H3=1,INDEX('calcA'!$D$180:$EQ$219,$B3,54)*500,0)-IF(AND('calcA'!BD$117=1,WB3&gt;0),300,0)-IF(AND($U3=1,'calcA'!BE$117=1,FD3=0),300,0))),1000000000))</f>
        <v/>
      </c>
      <c r="QH3">
        <f>IF($B3=0,1000000000,IF(INDEX('calcA'!$D$60:$EQ$99,$B3,55)*IF($W3=1,FD3+ABS3,FD3)=1,IF(AND($E3=2,IF($W3=1,AHH3,KS3)=0),1000000000,IF($V3=1,INDEX('calcA'!$D$130:$EQ$169,$B3,55)+IF(AND($E3=1,KS3=0),25,0),INDEX('calcA'!BF$110:BF$114,$F3+1)+IF(AND($E3=1,KS3=0),1000,0)+IF($H3=1,INDEX('calcA'!$D$180:$EQ$219,$B3,55)*500,0)-IF(AND('calcA'!BE$117=1,WC3&gt;0),300,0)-IF(AND($U3=1,'calcA'!BF$117=1,FE3=0),300,0))),1000000000))</f>
        <v/>
      </c>
      <c r="QI3">
        <f>IF($B3=0,1000000000,IF(INDEX('calcA'!$D$60:$EQ$99,$B3,56)*IF($W3=1,FE3+ABT3,FE3)=1,IF(AND($E3=2,IF($W3=1,AHI3,KT3)=0),1000000000,IF($V3=1,INDEX('calcA'!$D$130:$EQ$169,$B3,56)+IF(AND($E3=1,KT3=0),25,0),INDEX('calcA'!BG$110:BG$114,$F3+1)+IF(AND($E3=1,KT3=0),1000,0)+IF($H3=1,INDEX('calcA'!$D$180:$EQ$219,$B3,56)*500,0)-IF(AND('calcA'!BF$117=1,WD3&gt;0),300,0)-IF(AND($U3=1,'calcA'!BG$117=1,FF3=0),300,0))),1000000000))</f>
        <v/>
      </c>
      <c r="QJ3">
        <f>IF($B3=0,1000000000,IF(INDEX('calcA'!$D$60:$EQ$99,$B3,57)*IF($W3=1,FF3+ABU3,FF3)=1,IF(AND($E3=2,IF($W3=1,AHJ3,KU3)=0),1000000000,IF($V3=1,INDEX('calcA'!$D$130:$EQ$169,$B3,57)+IF(AND($E3=1,KU3=0),25,0),INDEX('calcA'!BH$110:BH$114,$F3+1)+IF(AND($E3=1,KU3=0),1000,0)+IF($H3=1,INDEX('calcA'!$D$180:$EQ$219,$B3,57)*500,0)-IF(AND('calcA'!BG$117=1,WE3&gt;0),300,0)-IF(AND($U3=1,'calcA'!BH$117=1,FG3=0),300,0))),1000000000))</f>
        <v/>
      </c>
      <c r="QK3">
        <f>IF($B3=0,1000000000,IF(INDEX('calcA'!$D$60:$EQ$99,$B3,58)*IF($W3=1,FG3+ABV3,FG3)=1,IF(AND($E3=2,IF($W3=1,AHK3,KV3)=0),1000000000,IF($V3=1,INDEX('calcA'!$D$130:$EQ$169,$B3,58)+IF(AND($E3=1,KV3=0),25,0),INDEX('calcA'!BI$110:BI$114,$F3+1)+IF(AND($E3=1,KV3=0),1000,0)+IF($H3=1,INDEX('calcA'!$D$180:$EQ$219,$B3,58)*500,0)-IF(AND('calcA'!BH$117=1,WF3&gt;0),300,0)-IF(AND($U3=1,'calcA'!BI$117=1,FH3=0),300,0))),1000000000))</f>
        <v/>
      </c>
      <c r="QL3">
        <f>IF($B3=0,1000000000,IF(INDEX('calcA'!$D$60:$EQ$99,$B3,59)*IF($W3=1,FH3+ABW3,FH3)=1,IF(AND($E3=2,IF($W3=1,AHL3,KW3)=0),1000000000,IF($V3=1,INDEX('calcA'!$D$130:$EQ$169,$B3,59)+IF(AND($E3=1,KW3=0),25,0),INDEX('calcA'!BJ$110:BJ$114,$F3+1)+IF(AND($E3=1,KW3=0),1000,0)+IF($H3=1,INDEX('calcA'!$D$180:$EQ$219,$B3,59)*500,0)-IF(AND('calcA'!BI$117=1,WG3&gt;0),300,0)-IF(AND($U3=1,'calcA'!BJ$117=1,FI3=0),300,0))),1000000000))</f>
        <v/>
      </c>
      <c r="QM3">
        <f>IF($B3=0,1000000000,IF(INDEX('calcA'!$D$60:$EQ$99,$B3,60)*IF($W3=1,FI3+ABX3,FI3)=1,IF(AND($E3=2,IF($W3=1,AHM3,KX3)=0),1000000000,IF($V3=1,INDEX('calcA'!$D$130:$EQ$169,$B3,60)+IF(AND($E3=1,KX3=0),25,0),INDEX('calcA'!BK$110:BK$114,$F3+1)+IF(AND($E3=1,KX3=0),1000,0)+IF($H3=1,INDEX('calcA'!$D$180:$EQ$219,$B3,60)*500,0)-IF(AND('calcA'!BJ$117=1,WH3&gt;0),300,0)-IF(AND($U3=1,'calcA'!BK$117=1,FJ3=0),300,0))),1000000000))</f>
        <v/>
      </c>
      <c r="QN3">
        <f>IF($B3=0,1000000000,IF(INDEX('calcA'!$D$60:$EQ$99,$B3,61)*IF($W3=1,FJ3+ABY3,FJ3)=1,IF(AND($E3=2,IF($W3=1,AHN3,KY3)=0),1000000000,IF($V3=1,INDEX('calcA'!$D$130:$EQ$169,$B3,61)+IF(AND($E3=1,KY3=0),25,0),INDEX('calcA'!BL$110:BL$114,$F3+1)+IF(AND($E3=1,KY3=0),1000,0)+IF($H3=1,INDEX('calcA'!$D$180:$EQ$219,$B3,61)*500,0)-IF(AND('calcA'!BK$117=1,WI3&gt;0),300,0)-IF(AND($U3=1,'calcA'!BL$117=1,FK3=0),300,0))),1000000000))</f>
        <v/>
      </c>
      <c r="QO3">
        <f>IF($B3=0,1000000000,IF(INDEX('calcA'!$D$60:$EQ$99,$B3,62)*IF($W3=1,FK3+ABZ3,FK3)=1,IF(AND($E3=2,IF($W3=1,AHO3,KZ3)=0),1000000000,IF($V3=1,INDEX('calcA'!$D$130:$EQ$169,$B3,62)+IF(AND($E3=1,KZ3=0),25,0),INDEX('calcA'!BM$110:BM$114,$F3+1)+IF(AND($E3=1,KZ3=0),1000,0)+IF($H3=1,INDEX('calcA'!$D$180:$EQ$219,$B3,62)*500,0)-IF(AND('calcA'!BL$117=1,WJ3&gt;0),300,0)-IF(AND($U3=1,'calcA'!BM$117=1,FL3=0),300,0))),1000000000))</f>
        <v/>
      </c>
      <c r="QP3">
        <f>IF($B3=0,1000000000,IF(INDEX('calcA'!$D$60:$EQ$99,$B3,63)*IF($W3=1,FL3+ACA3,FL3)=1,IF(AND($E3=2,IF($W3=1,AHP3,LA3)=0),1000000000,IF($V3=1,INDEX('calcA'!$D$130:$EQ$169,$B3,63)+IF(AND($E3=1,LA3=0),25,0),INDEX('calcA'!BN$110:BN$114,$F3+1)+IF(AND($E3=1,LA3=0),1000,0)+IF($H3=1,INDEX('calcA'!$D$180:$EQ$219,$B3,63)*500,0)-IF(AND('calcA'!BM$117=1,WK3&gt;0),300,0)-IF(AND($U3=1,'calcA'!BN$117=1,FM3=0),300,0))),1000000000))</f>
        <v/>
      </c>
      <c r="QQ3">
        <f>IF($B3=0,1000000000,IF(INDEX('calcA'!$D$60:$EQ$99,$B3,64)*IF($W3=1,FM3+ACB3,FM3)=1,IF(AND($E3=2,IF($W3=1,AHQ3,LB3)=0),1000000000,IF($V3=1,INDEX('calcA'!$D$130:$EQ$169,$B3,64)+IF(AND($E3=1,LB3=0),25,0),INDEX('calcA'!BO$110:BO$114,$F3+1)+IF(AND($E3=1,LB3=0),1000,0)+IF($H3=1,INDEX('calcA'!$D$180:$EQ$219,$B3,64)*500,0)-IF(AND('calcA'!BN$117=1,WL3&gt;0),300,0)-IF(AND($U3=1,'calcA'!BO$117=1,FN3=0),300,0))),1000000000))</f>
        <v/>
      </c>
      <c r="QR3">
        <f>IF($B3=0,1000000000,IF(INDEX('calcA'!$D$60:$EQ$99,$B3,65)*IF($W3=1,FN3+ACC3,FN3)=1,IF(AND($E3=2,IF($W3=1,AHR3,LC3)=0),1000000000,IF($V3=1,INDEX('calcA'!$D$130:$EQ$169,$B3,65)+IF(AND($E3=1,LC3=0),25,0),INDEX('calcA'!BP$110:BP$114,$F3+1)+IF(AND($E3=1,LC3=0),1000,0)+IF($H3=1,INDEX('calcA'!$D$180:$EQ$219,$B3,65)*500,0)-IF(AND('calcA'!BO$117=1,WM3&gt;0),300,0)-IF(AND($U3=1,'calcA'!BP$117=1,FO3=0),300,0))),1000000000))</f>
        <v/>
      </c>
      <c r="QS3">
        <f>IF($B3=0,1000000000,IF(INDEX('calcA'!$D$60:$EQ$99,$B3,66)*IF($W3=1,FO3+ACD3,FO3)=1,IF(AND($E3=2,IF($W3=1,AHS3,LD3)=0),1000000000,IF($V3=1,INDEX('calcA'!$D$130:$EQ$169,$B3,66)+IF(AND($E3=1,LD3=0),25,0),INDEX('calcA'!BQ$110:BQ$114,$F3+1)+IF(AND($E3=1,LD3=0),1000,0)+IF($H3=1,INDEX('calcA'!$D$180:$EQ$219,$B3,66)*500,0)-IF(AND('calcA'!BP$117=1,WN3&gt;0),300,0)-IF(AND($U3=1,'calcA'!BQ$117=1,FP3=0),300,0))),1000000000))</f>
        <v/>
      </c>
      <c r="QT3">
        <f>IF($B3=0,1000000000,IF(INDEX('calcA'!$D$60:$EQ$99,$B3,67)*IF($W3=1,FP3+ACE3,FP3)=1,IF(AND($E3=2,IF($W3=1,AHT3,LE3)=0),1000000000,IF($V3=1,INDEX('calcA'!$D$130:$EQ$169,$B3,67)+IF(AND($E3=1,LE3=0),25,0),INDEX('calcA'!BR$110:BR$114,$F3+1)+IF(AND($E3=1,LE3=0),1000,0)+IF($H3=1,INDEX('calcA'!$D$180:$EQ$219,$B3,67)*500,0)-IF(AND('calcA'!BQ$117=1,WO3&gt;0),300,0)-IF(AND($U3=1,'calcA'!BR$117=1,FQ3=0),300,0))),1000000000))</f>
        <v/>
      </c>
      <c r="QU3">
        <f>IF($B3=0,1000000000,IF(INDEX('calcA'!$D$60:$EQ$99,$B3,68)*IF($W3=1,FQ3+ACF3,FQ3)=1,IF(AND($E3=2,IF($W3=1,AHU3,LF3)=0),1000000000,IF($V3=1,INDEX('calcA'!$D$130:$EQ$169,$B3,68)+IF(AND($E3=1,LF3=0),25,0),INDEX('calcA'!BS$110:BS$114,$F3+1)+IF(AND($E3=1,LF3=0),1000,0)+IF($H3=1,INDEX('calcA'!$D$180:$EQ$219,$B3,68)*500,0)-IF(AND('calcA'!BR$117=1,WP3&gt;0),300,0)-IF(AND($U3=1,'calcA'!BS$117=1,FR3=0),300,0))),1000000000))</f>
        <v/>
      </c>
      <c r="QV3">
        <f>IF($B3=0,1000000000,IF(INDEX('calcA'!$D$60:$EQ$99,$B3,69)*IF($W3=1,FR3+ACG3,FR3)=1,IF(AND($E3=2,IF($W3=1,AHV3,LG3)=0),1000000000,IF($V3=1,INDEX('calcA'!$D$130:$EQ$169,$B3,69)+IF(AND($E3=1,LG3=0),25,0),INDEX('calcA'!BT$110:BT$114,$F3+1)+IF(AND($E3=1,LG3=0),1000,0)+IF($H3=1,INDEX('calcA'!$D$180:$EQ$219,$B3,69)*500,0)-IF(AND('calcA'!BS$117=1,WQ3&gt;0),300,0)-IF(AND($U3=1,'calcA'!BT$117=1,FS3=0),300,0))),1000000000))</f>
        <v/>
      </c>
      <c r="QW3">
        <f>IF($B3=0,1000000000,IF(INDEX('calcA'!$D$60:$EQ$99,$B3,70)*IF($W3=1,FS3+ACH3,FS3)=1,IF(AND($E3=2,IF($W3=1,AHW3,LH3)=0),1000000000,IF($V3=1,INDEX('calcA'!$D$130:$EQ$169,$B3,70)+IF(AND($E3=1,LH3=0),25,0),INDEX('calcA'!BU$110:BU$114,$F3+1)+IF(AND($E3=1,LH3=0),1000,0)+IF($H3=1,INDEX('calcA'!$D$180:$EQ$219,$B3,70)*500,0)-IF(AND('calcA'!BT$117=1,WR3&gt;0),300,0)-IF(AND($U3=1,'calcA'!BU$117=1,FT3=0),300,0))),1000000000))</f>
        <v/>
      </c>
      <c r="QX3">
        <f>IF($B3=0,1000000000,IF(INDEX('calcA'!$D$60:$EQ$99,$B3,71)*IF($W3=1,FT3+ACI3,FT3)=1,IF(AND($E3=2,IF($W3=1,AHX3,LI3)=0),1000000000,IF($V3=1,INDEX('calcA'!$D$130:$EQ$169,$B3,71)+IF(AND($E3=1,LI3=0),25,0),INDEX('calcA'!BV$110:BV$114,$F3+1)+IF(AND($E3=1,LI3=0),1000,0)+IF($H3=1,INDEX('calcA'!$D$180:$EQ$219,$B3,71)*500,0)-IF(AND('calcA'!BU$117=1,WS3&gt;0),300,0)-IF(AND($U3=1,'calcA'!BV$117=1,FU3=0),300,0))),1000000000))</f>
        <v/>
      </c>
      <c r="QY3">
        <f>IF($B3=0,1000000000,IF(INDEX('calcA'!$D$60:$EQ$99,$B3,72)*IF($W3=1,FU3+ACJ3,FU3)=1,IF(AND($E3=2,IF($W3=1,AHY3,LJ3)=0),1000000000,IF($V3=1,INDEX('calcA'!$D$130:$EQ$169,$B3,72)+IF(AND($E3=1,LJ3=0),25,0),INDEX('calcA'!BW$110:BW$114,$F3+1)+IF(AND($E3=1,LJ3=0),1000,0)+IF($H3=1,INDEX('calcA'!$D$180:$EQ$219,$B3,72)*500,0)-IF(AND('calcA'!BV$117=1,WT3&gt;0),300,0))),1000000000))</f>
        <v/>
      </c>
      <c r="QZ3">
        <f>IF($B3=0,1000000000,IF(INDEX('calcA'!$D$60:$EQ$99,$B3,73)*IF($W3=1,FV3+ACK3,FV3)=1,IF(AND($E3=2,IF($W3=1,AHZ3,LK3)=0),1000000000,IF($V3=1,INDEX('calcA'!$D$130:$EQ$169,$B3,73)+IF(AND($E3=1,LK3=0),25,0),INDEX('calcA'!BX$110:BX$114,$F3+1)+IF(AND($E3=1,LK3=0),1000,0)+IF($H3=1,INDEX('calcA'!$D$180:$EQ$219,$B3,73)*500,0)-IF(AND($U3=1,'calcA'!BX$117=1,FW3=0),300,0))),1000000000))</f>
        <v/>
      </c>
      <c r="RA3">
        <f>IF($B3=0,1000000000,IF(INDEX('calcA'!$D$60:$EQ$99,$B3,74)*IF($W3=1,FW3+ACL3,FW3)=1,IF(AND($E3=2,IF($W3=1,AIA3,LL3)=0),1000000000,IF($V3=1,INDEX('calcA'!$D$130:$EQ$169,$B3,74)+IF(AND($E3=1,LL3=0),25,0),INDEX('calcA'!BY$110:BY$114,$F3+1)+IF(AND($E3=1,LL3=0),1000,0)+IF($H3=1,INDEX('calcA'!$D$180:$EQ$219,$B3,74)*500,0)-IF(AND('calcA'!BX$117=1,WV3&gt;0),300,0)-IF(AND($U3=1,'calcA'!BY$117=1,FX3=0),300,0))),1000000000))</f>
        <v/>
      </c>
      <c r="RB3">
        <f>IF($B3=0,1000000000,IF(INDEX('calcA'!$D$60:$EQ$99,$B3,75)*IF($W3=1,FX3+ACM3,FX3)=1,IF(AND($E3=2,IF($W3=1,AIB3,LM3)=0),1000000000,IF($V3=1,INDEX('calcA'!$D$130:$EQ$169,$B3,75)+IF(AND($E3=1,LM3=0),25,0),INDEX('calcA'!BZ$110:BZ$114,$F3+1)+IF(AND($E3=1,LM3=0),1000,0)+IF($H3=1,INDEX('calcA'!$D$180:$EQ$219,$B3,75)*500,0)-IF(AND('calcA'!BY$117=1,WW3&gt;0),300,0)-IF(AND($U3=1,'calcA'!BZ$117=1,FY3=0),300,0))),1000000000))</f>
        <v/>
      </c>
      <c r="RC3">
        <f>IF($B3=0,1000000000,IF(INDEX('calcA'!$D$60:$EQ$99,$B3,76)*IF($W3=1,FY3+ACN3,FY3)=1,IF(AND($E3=2,IF($W3=1,AIC3,LN3)=0),1000000000,IF($V3=1,INDEX('calcA'!$D$130:$EQ$169,$B3,76)+IF(AND($E3=1,LN3=0),25,0),INDEX('calcA'!CA$110:CA$114,$F3+1)+IF(AND($E3=1,LN3=0),1000,0)+IF($H3=1,INDEX('calcA'!$D$180:$EQ$219,$B3,76)*500,0)-IF(AND('calcA'!BZ$117=1,WX3&gt;0),300,0)-IF(AND($U3=1,'calcA'!CA$117=1,FZ3=0),300,0))),1000000000))</f>
        <v/>
      </c>
      <c r="RD3">
        <f>IF($B3=0,1000000000,IF(INDEX('calcA'!$D$60:$EQ$99,$B3,77)*IF($W3=1,FZ3+ACO3,FZ3)=1,IF(AND($E3=2,IF($W3=1,AID3,LO3)=0),1000000000,IF($V3=1,INDEX('calcA'!$D$130:$EQ$169,$B3,77)+IF(AND($E3=1,LO3=0),25,0),INDEX('calcA'!CB$110:CB$114,$F3+1)+IF(AND($E3=1,LO3=0),1000,0)+IF($H3=1,INDEX('calcA'!$D$180:$EQ$219,$B3,77)*500,0)-IF(AND('calcA'!CA$117=1,WY3&gt;0),300,0)-IF(AND($U3=1,'calcA'!CB$117=1,GA3=0),300,0))),1000000000))</f>
        <v/>
      </c>
      <c r="RE3">
        <f>IF($B3=0,1000000000,IF(INDEX('calcA'!$D$60:$EQ$99,$B3,78)*IF($W3=1,GA3+ACP3,GA3)=1,IF(AND($E3=2,IF($W3=1,AIE3,LP3)=0),1000000000,IF($V3=1,INDEX('calcA'!$D$130:$EQ$169,$B3,78)+IF(AND($E3=1,LP3=0),25,0),INDEX('calcA'!CC$110:CC$114,$F3+1)+IF(AND($E3=1,LP3=0),1000,0)+IF($H3=1,INDEX('calcA'!$D$180:$EQ$219,$B3,78)*500,0)-IF(AND('calcA'!CB$117=1,WZ3&gt;0),300,0)-IF(AND($U3=1,'calcA'!CC$117=1,GB3=0),300,0))),1000000000))</f>
        <v/>
      </c>
      <c r="RF3">
        <f>IF($B3=0,1000000000,IF(INDEX('calcA'!$D$60:$EQ$99,$B3,79)*IF($W3=1,GB3+ACQ3,GB3)=1,IF(AND($E3=2,IF($W3=1,AIF3,LQ3)=0),1000000000,IF($V3=1,INDEX('calcA'!$D$130:$EQ$169,$B3,79)+IF(AND($E3=1,LQ3=0),25,0),INDEX('calcA'!CD$110:CD$114,$F3+1)+IF(AND($E3=1,LQ3=0),1000,0)+IF($H3=1,INDEX('calcA'!$D$180:$EQ$219,$B3,79)*500,0)-IF(AND('calcA'!CC$117=1,XA3&gt;0),300,0)-IF(AND($U3=1,'calcA'!CD$117=1,GC3=0),300,0))),1000000000))</f>
        <v/>
      </c>
      <c r="RG3">
        <f>IF($B3=0,1000000000,IF(INDEX('calcA'!$D$60:$EQ$99,$B3,80)*IF($W3=1,GC3+ACR3,GC3)=1,IF(AND($E3=2,IF($W3=1,AIG3,LR3)=0),1000000000,IF($V3=1,INDEX('calcA'!$D$130:$EQ$169,$B3,80)+IF(AND($E3=1,LR3=0),25,0),INDEX('calcA'!CE$110:CE$114,$F3+1)+IF(AND($E3=1,LR3=0),1000,0)+IF($H3=1,INDEX('calcA'!$D$180:$EQ$219,$B3,80)*500,0)-IF(AND('calcA'!CD$117=1,XB3&gt;0),300,0)-IF(AND($U3=1,'calcA'!CE$117=1,GD3=0),300,0))),1000000000))</f>
        <v/>
      </c>
      <c r="RH3">
        <f>IF($B3=0,1000000000,IF(INDEX('calcA'!$D$60:$EQ$99,$B3,81)*IF($W3=1,GD3+ACS3,GD3)=1,IF(AND($E3=2,IF($W3=1,AIH3,LS3)=0),1000000000,IF($V3=1,INDEX('calcA'!$D$130:$EQ$169,$B3,81)+IF(AND($E3=1,LS3=0),25,0),INDEX('calcA'!CF$110:CF$114,$F3+1)+IF(AND($E3=1,LS3=0),1000,0)+IF($H3=1,INDEX('calcA'!$D$180:$EQ$219,$B3,81)*500,0)-IF(AND('calcA'!CE$117=1,XC3&gt;0),300,0)-IF(AND($U3=1,'calcA'!CF$117=1,GE3=0),300,0))),1000000000))</f>
        <v/>
      </c>
      <c r="RI3">
        <f>IF($B3=0,1000000000,IF(INDEX('calcA'!$D$60:$EQ$99,$B3,82)*IF($W3=1,GE3+ACT3,GE3)=1,IF(AND($E3=2,IF($W3=1,AII3,LT3)=0),1000000000,IF($V3=1,INDEX('calcA'!$D$130:$EQ$169,$B3,82)+IF(AND($E3=1,LT3=0),25,0),INDEX('calcA'!CG$110:CG$114,$F3+1)+IF(AND($E3=1,LT3=0),1000,0)+IF($H3=1,INDEX('calcA'!$D$180:$EQ$219,$B3,82)*500,0)-IF(AND('calcA'!CF$117=1,XD3&gt;0),300,0)-IF(AND($U3=1,'calcA'!CG$117=1,GF3=0),300,0))),1000000000))</f>
        <v/>
      </c>
      <c r="RJ3">
        <f>IF($B3=0,1000000000,IF(INDEX('calcA'!$D$60:$EQ$99,$B3,83)*IF($W3=1,GF3+ACU3,GF3)=1,IF(AND($E3=2,IF($W3=1,AIJ3,LU3)=0),1000000000,IF($V3=1,INDEX('calcA'!$D$130:$EQ$169,$B3,83)+IF(AND($E3=1,LU3=0),25,0),INDEX('calcA'!CH$110:CH$114,$F3+1)+IF(AND($E3=1,LU3=0),1000,0)+IF($H3=1,INDEX('calcA'!$D$180:$EQ$219,$B3,83)*500,0)-IF(AND('calcA'!CG$117=1,XE3&gt;0),300,0)-IF(AND($U3=1,'calcA'!CH$117=1,GG3=0),300,0))),1000000000))</f>
        <v/>
      </c>
      <c r="RK3">
        <f>IF($B3=0,1000000000,IF(INDEX('calcA'!$D$60:$EQ$99,$B3,84)*IF($W3=1,GG3+ACV3,GG3)=1,IF(AND($E3=2,IF($W3=1,AIK3,LV3)=0),1000000000,IF($V3=1,INDEX('calcA'!$D$130:$EQ$169,$B3,84)+IF(AND($E3=1,LV3=0),25,0),INDEX('calcA'!CI$110:CI$114,$F3+1)+IF(AND($E3=1,LV3=0),1000,0)+IF($H3=1,INDEX('calcA'!$D$180:$EQ$219,$B3,84)*500,0)-IF(AND('calcA'!CH$117=1,XF3&gt;0),300,0)-IF(AND($U3=1,'calcA'!CI$117=1,GH3=0),300,0))),1000000000))</f>
        <v/>
      </c>
      <c r="RL3">
        <f>IF($B3=0,1000000000,IF(INDEX('calcA'!$D$60:$EQ$99,$B3,85)*IF($W3=1,GH3+ACW3,GH3)=1,IF(AND($E3=2,IF($W3=1,AIL3,LW3)=0),1000000000,IF($V3=1,INDEX('calcA'!$D$130:$EQ$169,$B3,85)+IF(AND($E3=1,LW3=0),25,0),INDEX('calcA'!CJ$110:CJ$114,$F3+1)+IF(AND($E3=1,LW3=0),1000,0)+IF($H3=1,INDEX('calcA'!$D$180:$EQ$219,$B3,85)*500,0)-IF(AND('calcA'!CI$117=1,XG3&gt;0),300,0)-IF(AND($U3=1,'calcA'!CJ$117=1,GI3=0),300,0))),1000000000))</f>
        <v/>
      </c>
      <c r="RM3">
        <f>IF($B3=0,1000000000,IF(INDEX('calcA'!$D$60:$EQ$99,$B3,86)*IF($W3=1,GI3+ACX3,GI3)=1,IF(AND($E3=2,IF($W3=1,AIM3,LX3)=0),1000000000,IF($V3=1,INDEX('calcA'!$D$130:$EQ$169,$B3,86)+IF(AND($E3=1,LX3=0),25,0),INDEX('calcA'!CK$110:CK$114,$F3+1)+IF(AND($E3=1,LX3=0),1000,0)+IF($H3=1,INDEX('calcA'!$D$180:$EQ$219,$B3,86)*500,0)-IF(AND('calcA'!CJ$117=1,XH3&gt;0),300,0)-IF(AND($U3=1,'calcA'!CK$117=1,GJ3=0),300,0))),1000000000))</f>
        <v/>
      </c>
      <c r="RN3">
        <f>IF($B3=0,1000000000,IF(INDEX('calcA'!$D$60:$EQ$99,$B3,87)*IF($W3=1,GJ3+ACY3,GJ3)=1,IF(AND($E3=2,IF($W3=1,AIN3,LY3)=0),1000000000,IF($V3=1,INDEX('calcA'!$D$130:$EQ$169,$B3,87)+IF(AND($E3=1,LY3=0),25,0),INDEX('calcA'!CL$110:CL$114,$F3+1)+IF(AND($E3=1,LY3=0),1000,0)+IF($H3=1,INDEX('calcA'!$D$180:$EQ$219,$B3,87)*500,0)-IF(AND('calcA'!CK$117=1,XI3&gt;0),300,0)-IF(AND($U3=1,'calcA'!CL$117=1,GK3=0),300,0))),1000000000))</f>
        <v/>
      </c>
      <c r="RO3">
        <f>IF($B3=0,1000000000,IF(INDEX('calcA'!$D$60:$EQ$99,$B3,88)*IF($W3=1,GK3+ACZ3,GK3)=1,IF(AND($E3=2,IF($W3=1,AIO3,LZ3)=0),1000000000,IF($V3=1,INDEX('calcA'!$D$130:$EQ$169,$B3,88)+IF(AND($E3=1,LZ3=0),25,0),INDEX('calcA'!CM$110:CM$114,$F3+1)+IF(AND($E3=1,LZ3=0),1000,0)+IF($H3=1,INDEX('calcA'!$D$180:$EQ$219,$B3,88)*500,0)-IF(AND('calcA'!CL$117=1,XJ3&gt;0),300,0)-IF(AND($U3=1,'calcA'!CM$117=1,GL3=0),300,0))),1000000000))</f>
        <v/>
      </c>
      <c r="RP3">
        <f>IF($B3=0,1000000000,IF(INDEX('calcA'!$D$60:$EQ$99,$B3,89)*IF($W3=1,GL3+ADA3,GL3)=1,IF(AND($E3=2,IF($W3=1,AIP3,MA3)=0),1000000000,IF($V3=1,INDEX('calcA'!$D$130:$EQ$169,$B3,89)+IF(AND($E3=1,MA3=0),25,0),INDEX('calcA'!CN$110:CN$114,$F3+1)+IF(AND($E3=1,MA3=0),1000,0)+IF($H3=1,INDEX('calcA'!$D$180:$EQ$219,$B3,89)*500,0)-IF(AND('calcA'!CM$117=1,XK3&gt;0),300,0)-IF(AND($U3=1,'calcA'!CN$117=1,GM3=0),300,0))),1000000000))</f>
        <v/>
      </c>
      <c r="RQ3">
        <f>IF($B3=0,1000000000,IF(INDEX('calcA'!$D$60:$EQ$99,$B3,90)*IF($W3=1,GM3+ADB3,GM3)=1,IF(AND($E3=2,IF($W3=1,AIQ3,MB3)=0),1000000000,IF($V3=1,INDEX('calcA'!$D$130:$EQ$169,$B3,90)+IF(AND($E3=1,MB3=0),25,0),INDEX('calcA'!CO$110:CO$114,$F3+1)+IF(AND($E3=1,MB3=0),1000,0)+IF($H3=1,INDEX('calcA'!$D$180:$EQ$219,$B3,90)*500,0)-IF(AND('calcA'!CN$117=1,XL3&gt;0),300,0)-IF(AND($U3=1,'calcA'!CO$117=1,GN3=0),300,0))),1000000000))</f>
        <v/>
      </c>
      <c r="RR3">
        <f>IF($B3=0,1000000000,IF(INDEX('calcA'!$D$60:$EQ$99,$B3,91)*IF($W3=1,GN3+ADC3,GN3)=1,IF(AND($E3=2,IF($W3=1,AIR3,MC3)=0),1000000000,IF($V3=1,INDEX('calcA'!$D$130:$EQ$169,$B3,91)+IF(AND($E3=1,MC3=0),25,0),INDEX('calcA'!CP$110:CP$114,$F3+1)+IF(AND($E3=1,MC3=0),1000,0)+IF($H3=1,INDEX('calcA'!$D$180:$EQ$219,$B3,91)*500,0)-IF(AND('calcA'!CO$117=1,XM3&gt;0),300,0)-IF(AND($U3=1,'calcA'!CP$117=1,GO3=0),300,0))),1000000000))</f>
        <v/>
      </c>
      <c r="RS3">
        <f>IF($B3=0,1000000000,IF(INDEX('calcA'!$D$60:$EQ$99,$B3,92)*IF($W3=1,GO3+ADD3,GO3)=1,IF(AND($E3=2,IF($W3=1,AIS3,MD3)=0),1000000000,IF($V3=1,INDEX('calcA'!$D$130:$EQ$169,$B3,92)+IF(AND($E3=1,MD3=0),25,0),INDEX('calcA'!CQ$110:CQ$114,$F3+1)+IF(AND($E3=1,MD3=0),1000,0)+IF($H3=1,INDEX('calcA'!$D$180:$EQ$219,$B3,92)*500,0)-IF(AND('calcA'!CP$117=1,XN3&gt;0),300,0)-IF(AND($U3=1,'calcA'!CQ$117=1,GP3=0),300,0))),1000000000))</f>
        <v/>
      </c>
      <c r="RT3">
        <f>IF($B3=0,1000000000,IF(INDEX('calcA'!$D$60:$EQ$99,$B3,93)*IF($W3=1,GP3+ADE3,GP3)=1,IF(AND($E3=2,IF($W3=1,AIT3,ME3)=0),1000000000,IF($V3=1,INDEX('calcA'!$D$130:$EQ$169,$B3,93)+IF(AND($E3=1,ME3=0),25,0),INDEX('calcA'!CR$110:CR$114,$F3+1)+IF(AND($E3=1,ME3=0),1000,0)+IF($H3=1,INDEX('calcA'!$D$180:$EQ$219,$B3,93)*500,0)-IF(AND('calcA'!CQ$117=1,XO3&gt;0),300,0)-IF(AND($U3=1,'calcA'!CR$117=1,GQ3=0),300,0))),1000000000))</f>
        <v/>
      </c>
      <c r="RU3">
        <f>IF($B3=0,1000000000,IF(INDEX('calcA'!$D$60:$EQ$99,$B3,94)*IF($W3=1,GQ3+ADF3,GQ3)=1,IF(AND($E3=2,IF($W3=1,AIU3,MF3)=0),1000000000,IF($V3=1,INDEX('calcA'!$D$130:$EQ$169,$B3,94)+IF(AND($E3=1,MF3=0),25,0),INDEX('calcA'!CS$110:CS$114,$F3+1)+IF(AND($E3=1,MF3=0),1000,0)+IF($H3=1,INDEX('calcA'!$D$180:$EQ$219,$B3,94)*500,0)-IF(AND('calcA'!CR$117=1,XP3&gt;0),300,0)-IF(AND($U3=1,'calcA'!CS$117=1,GR3=0),300,0))),1000000000))</f>
        <v/>
      </c>
      <c r="RV3">
        <f>IF($B3=0,1000000000,IF(INDEX('calcA'!$D$60:$EQ$99,$B3,95)*IF($W3=1,GR3+ADG3,GR3)=1,IF(AND($E3=2,IF($W3=1,AIV3,MG3)=0),1000000000,IF($V3=1,INDEX('calcA'!$D$130:$EQ$169,$B3,95)+IF(AND($E3=1,MG3=0),25,0),INDEX('calcA'!CT$110:CT$114,$F3+1)+IF(AND($E3=1,MG3=0),1000,0)+IF($H3=1,INDEX('calcA'!$D$180:$EQ$219,$B3,95)*500,0)-IF(AND('calcA'!CS$117=1,XQ3&gt;0),300,0)-IF(AND($U3=1,'calcA'!CT$117=1,GS3=0),300,0))),1000000000))</f>
        <v/>
      </c>
      <c r="RW3">
        <f>IF($B3=0,1000000000,IF(INDEX('calcA'!$D$60:$EQ$99,$B3,96)*IF($W3=1,GS3+ADH3,GS3)=1,IF(AND($E3=2,IF($W3=1,AIW3,MH3)=0),1000000000,IF($V3=1,INDEX('calcA'!$D$130:$EQ$169,$B3,96)+IF(AND($E3=1,MH3=0),25,0),INDEX('calcA'!CU$110:CU$114,$F3+1)+IF(AND($E3=1,MH3=0),1000,0)+IF($H3=1,INDEX('calcA'!$D$180:$EQ$219,$B3,96)*500,0)-IF(AND('calcA'!CT$117=1,XR3&gt;0),300,0))),1000000000))</f>
        <v/>
      </c>
      <c r="RX3">
        <f>IF($B3=0,1000000000,IF(INDEX('calcA'!$D$60:$EQ$99,$B3,97)*IF($W3=1,GT3+ADI3,GT3)=1,IF(AND($E3=2,IF($W3=1,AIX3,MI3)=0),1000000000,IF($V3=1,INDEX('calcA'!$D$130:$EQ$169,$B3,97)+IF(AND($E3=1,MI3=0),25,0),INDEX('calcA'!CV$110:CV$114,$F3+1)+IF(AND($E3=1,MI3=0),1000,0)+IF($H3=1,INDEX('calcA'!$D$180:$EQ$219,$B3,97)*500,0)-IF(AND($U3=1,'calcA'!CV$117=1,GU3=0),300,0))),1000000000))</f>
        <v/>
      </c>
      <c r="RY3">
        <f>IF($B3=0,1000000000,IF(INDEX('calcA'!$D$60:$EQ$99,$B3,98)*IF($W3=1,GU3+ADJ3,GU3)=1,IF(AND($E3=2,IF($W3=1,AIY3,MJ3)=0),1000000000,IF($V3=1,INDEX('calcA'!$D$130:$EQ$169,$B3,98)+IF(AND($E3=1,MJ3=0),25,0),INDEX('calcA'!CW$110:CW$114,$F3+1)+IF(AND($E3=1,MJ3=0),1000,0)+IF($H3=1,INDEX('calcA'!$D$180:$EQ$219,$B3,98)*500,0)-IF(AND('calcA'!CV$117=1,XT3&gt;0),300,0)-IF(AND($U3=1,'calcA'!CW$117=1,GV3=0),300,0))),1000000000))</f>
        <v/>
      </c>
      <c r="RZ3">
        <f>IF($B3=0,1000000000,IF(INDEX('calcA'!$D$60:$EQ$99,$B3,99)*IF($W3=1,GV3+ADK3,GV3)=1,IF(AND($E3=2,IF($W3=1,AIZ3,MK3)=0),1000000000,IF($V3=1,INDEX('calcA'!$D$130:$EQ$169,$B3,99)+IF(AND($E3=1,MK3=0),25,0),INDEX('calcA'!CX$110:CX$114,$F3+1)+IF(AND($E3=1,MK3=0),1000,0)+IF($H3=1,INDEX('calcA'!$D$180:$EQ$219,$B3,99)*500,0)-IF(AND('calcA'!CW$117=1,XU3&gt;0),300,0)-IF(AND($U3=1,'calcA'!CX$117=1,GW3=0),300,0))),1000000000))</f>
        <v/>
      </c>
      <c r="SA3">
        <f>IF($B3=0,1000000000,IF(INDEX('calcA'!$D$60:$EQ$99,$B3,100)*IF($W3=1,GW3+ADL3,GW3)=1,IF(AND($E3=2,IF($W3=1,AJA3,ML3)=0),1000000000,IF($V3=1,INDEX('calcA'!$D$130:$EQ$169,$B3,100)+IF(AND($E3=1,ML3=0),25,0),INDEX('calcA'!CY$110:CY$114,$F3+1)+IF(AND($E3=1,ML3=0),1000,0)+IF($H3=1,INDEX('calcA'!$D$180:$EQ$219,$B3,100)*500,0)-IF(AND('calcA'!CX$117=1,XV3&gt;0),300,0)-IF(AND($U3=1,'calcA'!CY$117=1,GX3=0),300,0))),1000000000))</f>
        <v/>
      </c>
      <c r="SB3">
        <f>IF($B3=0,1000000000,IF(INDEX('calcA'!$D$60:$EQ$99,$B3,101)*IF($W3=1,GX3+ADM3,GX3)=1,IF(AND($E3=2,IF($W3=1,AJB3,MM3)=0),1000000000,IF($V3=1,INDEX('calcA'!$D$130:$EQ$169,$B3,101)+IF(AND($E3=1,MM3=0),25,0),INDEX('calcA'!CZ$110:CZ$114,$F3+1)+IF(AND($E3=1,MM3=0),1000,0)+IF($H3=1,INDEX('calcA'!$D$180:$EQ$219,$B3,101)*500,0)-IF(AND('calcA'!CY$117=1,XW3&gt;0),300,0)-IF(AND($U3=1,'calcA'!CZ$117=1,GY3=0),300,0))),1000000000))</f>
        <v/>
      </c>
      <c r="SC3">
        <f>IF($B3=0,1000000000,IF(INDEX('calcA'!$D$60:$EQ$99,$B3,102)*IF($W3=1,GY3+ADN3,GY3)=1,IF(AND($E3=2,IF($W3=1,AJC3,MN3)=0),1000000000,IF($V3=1,INDEX('calcA'!$D$130:$EQ$169,$B3,102)+IF(AND($E3=1,MN3=0),25,0),INDEX('calcA'!DA$110:DA$114,$F3+1)+IF(AND($E3=1,MN3=0),1000,0)+IF($H3=1,INDEX('calcA'!$D$180:$EQ$219,$B3,102)*500,0)-IF(AND('calcA'!CZ$117=1,XX3&gt;0),300,0)-IF(AND($U3=1,'calcA'!DA$117=1,GZ3=0),300,0))),1000000000))</f>
        <v/>
      </c>
      <c r="SD3">
        <f>IF($B3=0,1000000000,IF(INDEX('calcA'!$D$60:$EQ$99,$B3,103)*IF($W3=1,GZ3+ADO3,GZ3)=1,IF(AND($E3=2,IF($W3=1,AJD3,MO3)=0),1000000000,IF($V3=1,INDEX('calcA'!$D$130:$EQ$169,$B3,103)+IF(AND($E3=1,MO3=0),25,0),INDEX('calcA'!DB$110:DB$114,$F3+1)+IF(AND($E3=1,MO3=0),1000,0)+IF($H3=1,INDEX('calcA'!$D$180:$EQ$219,$B3,103)*500,0)-IF(AND('calcA'!DA$117=1,XY3&gt;0),300,0)-IF(AND($U3=1,'calcA'!DB$117=1,HA3=0),300,0))),1000000000))</f>
        <v/>
      </c>
      <c r="SE3">
        <f>IF($B3=0,1000000000,IF(INDEX('calcA'!$D$60:$EQ$99,$B3,104)*IF($W3=1,HA3+ADP3,HA3)=1,IF(AND($E3=2,IF($W3=1,AJE3,MP3)=0),1000000000,IF($V3=1,INDEX('calcA'!$D$130:$EQ$169,$B3,104)+IF(AND($E3=1,MP3=0),25,0),INDEX('calcA'!DC$110:DC$114,$F3+1)+IF(AND($E3=1,MP3=0),1000,0)+IF($H3=1,INDEX('calcA'!$D$180:$EQ$219,$B3,104)*500,0)-IF(AND('calcA'!DB$117=1,XZ3&gt;0),300,0)-IF(AND($U3=1,'calcA'!DC$117=1,HB3=0),300,0))),1000000000))</f>
        <v/>
      </c>
      <c r="SF3">
        <f>IF($B3=0,1000000000,IF(INDEX('calcA'!$D$60:$EQ$99,$B3,105)*IF($W3=1,HB3+ADQ3,HB3)=1,IF(AND($E3=2,IF($W3=1,AJF3,MQ3)=0),1000000000,IF($V3=1,INDEX('calcA'!$D$130:$EQ$169,$B3,105)+IF(AND($E3=1,MQ3=0),25,0),INDEX('calcA'!DD$110:DD$114,$F3+1)+IF(AND($E3=1,MQ3=0),1000,0)+IF($H3=1,INDEX('calcA'!$D$180:$EQ$219,$B3,105)*500,0)-IF(AND('calcA'!DC$117=1,YA3&gt;0),300,0)-IF(AND($U3=1,'calcA'!DD$117=1,HC3=0),300,0))),1000000000))</f>
        <v/>
      </c>
      <c r="SG3">
        <f>IF($B3=0,1000000000,IF(INDEX('calcA'!$D$60:$EQ$99,$B3,106)*IF($W3=1,HC3+ADR3,HC3)=1,IF(AND($E3=2,IF($W3=1,AJG3,MR3)=0),1000000000,IF($V3=1,INDEX('calcA'!$D$130:$EQ$169,$B3,106)+IF(AND($E3=1,MR3=0),25,0),INDEX('calcA'!DE$110:DE$114,$F3+1)+IF(AND($E3=1,MR3=0),1000,0)+IF($H3=1,INDEX('calcA'!$D$180:$EQ$219,$B3,106)*500,0)-IF(AND('calcA'!DD$117=1,YB3&gt;0),300,0)-IF(AND($U3=1,'calcA'!DE$117=1,HD3=0),300,0))),1000000000))</f>
        <v/>
      </c>
      <c r="SH3">
        <f>IF($B3=0,1000000000,IF(INDEX('calcA'!$D$60:$EQ$99,$B3,107)*IF($W3=1,HD3+ADS3,HD3)=1,IF(AND($E3=2,IF($W3=1,AJH3,MS3)=0),1000000000,IF($V3=1,INDEX('calcA'!$D$130:$EQ$169,$B3,107)+IF(AND($E3=1,MS3=0),25,0),INDEX('calcA'!DF$110:DF$114,$F3+1)+IF(AND($E3=1,MS3=0),1000,0)+IF($H3=1,INDEX('calcA'!$D$180:$EQ$219,$B3,107)*500,0)-IF(AND('calcA'!DE$117=1,YC3&gt;0),300,0)-IF(AND($U3=1,'calcA'!DF$117=1,HE3=0),300,0))),1000000000))</f>
        <v/>
      </c>
      <c r="SI3">
        <f>IF($B3=0,1000000000,IF(INDEX('calcA'!$D$60:$EQ$99,$B3,108)*IF($W3=1,HE3+ADT3,HE3)=1,IF(AND($E3=2,IF($W3=1,AJI3,MT3)=0),1000000000,IF($V3=1,INDEX('calcA'!$D$130:$EQ$169,$B3,108)+IF(AND($E3=1,MT3=0),25,0),INDEX('calcA'!DG$110:DG$114,$F3+1)+IF(AND($E3=1,MT3=0),1000,0)+IF($H3=1,INDEX('calcA'!$D$180:$EQ$219,$B3,108)*500,0)-IF(AND('calcA'!DF$117=1,YD3&gt;0),300,0)-IF(AND($U3=1,'calcA'!DG$117=1,HF3=0),300,0))),1000000000))</f>
        <v/>
      </c>
      <c r="SJ3">
        <f>IF($B3=0,1000000000,IF(INDEX('calcA'!$D$60:$EQ$99,$B3,109)*IF($W3=1,HF3+ADU3,HF3)=1,IF(AND($E3=2,IF($W3=1,AJJ3,MU3)=0),1000000000,IF($V3=1,INDEX('calcA'!$D$130:$EQ$169,$B3,109)+IF(AND($E3=1,MU3=0),25,0),INDEX('calcA'!DH$110:DH$114,$F3+1)+IF(AND($E3=1,MU3=0),1000,0)+IF($H3=1,INDEX('calcA'!$D$180:$EQ$219,$B3,109)*500,0)-IF(AND('calcA'!DG$117=1,YE3&gt;0),300,0)-IF(AND($U3=1,'calcA'!DH$117=1,HG3=0),300,0))),1000000000))</f>
        <v/>
      </c>
      <c r="SK3">
        <f>IF($B3=0,1000000000,IF(INDEX('calcA'!$D$60:$EQ$99,$B3,110)*IF($W3=1,HG3+ADV3,HG3)=1,IF(AND($E3=2,IF($W3=1,AJK3,MV3)=0),1000000000,IF($V3=1,INDEX('calcA'!$D$130:$EQ$169,$B3,110)+IF(AND($E3=1,MV3=0),25,0),INDEX('calcA'!DI$110:DI$114,$F3+1)+IF(AND($E3=1,MV3=0),1000,0)+IF($H3=1,INDEX('calcA'!$D$180:$EQ$219,$B3,110)*500,0)-IF(AND('calcA'!DH$117=1,YF3&gt;0),300,0)-IF(AND($U3=1,'calcA'!DI$117=1,HH3=0),300,0))),1000000000))</f>
        <v/>
      </c>
      <c r="SL3">
        <f>IF($B3=0,1000000000,IF(INDEX('calcA'!$D$60:$EQ$99,$B3,111)*IF($W3=1,HH3+ADW3,HH3)=1,IF(AND($E3=2,IF($W3=1,AJL3,MW3)=0),1000000000,IF($V3=1,INDEX('calcA'!$D$130:$EQ$169,$B3,111)+IF(AND($E3=1,MW3=0),25,0),INDEX('calcA'!DJ$110:DJ$114,$F3+1)+IF(AND($E3=1,MW3=0),1000,0)+IF($H3=1,INDEX('calcA'!$D$180:$EQ$219,$B3,111)*500,0)-IF(AND('calcA'!DI$117=1,YG3&gt;0),300,0)-IF(AND($U3=1,'calcA'!DJ$117=1,HI3=0),300,0))),1000000000))</f>
        <v/>
      </c>
      <c r="SM3">
        <f>IF($B3=0,1000000000,IF(INDEX('calcA'!$D$60:$EQ$99,$B3,112)*IF($W3=1,HI3+ADX3,HI3)=1,IF(AND($E3=2,IF($W3=1,AJM3,MX3)=0),1000000000,IF($V3=1,INDEX('calcA'!$D$130:$EQ$169,$B3,112)+IF(AND($E3=1,MX3=0),25,0),INDEX('calcA'!DK$110:DK$114,$F3+1)+IF(AND($E3=1,MX3=0),1000,0)+IF($H3=1,INDEX('calcA'!$D$180:$EQ$219,$B3,112)*500,0)-IF(AND('calcA'!DJ$117=1,YH3&gt;0),300,0)-IF(AND($U3=1,'calcA'!DK$117=1,HJ3=0),300,0))),1000000000))</f>
        <v/>
      </c>
      <c r="SN3">
        <f>IF($B3=0,1000000000,IF(INDEX('calcA'!$D$60:$EQ$99,$B3,113)*IF($W3=1,HJ3+ADY3,HJ3)=1,IF(AND($E3=2,IF($W3=1,AJN3,MY3)=0),1000000000,IF($V3=1,INDEX('calcA'!$D$130:$EQ$169,$B3,113)+IF(AND($E3=1,MY3=0),25,0),INDEX('calcA'!DL$110:DL$114,$F3+1)+IF(AND($E3=1,MY3=0),1000,0)+IF($H3=1,INDEX('calcA'!$D$180:$EQ$219,$B3,113)*500,0)-IF(AND('calcA'!DK$117=1,YI3&gt;0),300,0)-IF(AND($U3=1,'calcA'!DL$117=1,HK3=0),300,0))),1000000000))</f>
        <v/>
      </c>
      <c r="SO3">
        <f>IF($B3=0,1000000000,IF(INDEX('calcA'!$D$60:$EQ$99,$B3,114)*IF($W3=1,HK3+ADZ3,HK3)=1,IF(AND($E3=2,IF($W3=1,AJO3,MZ3)=0),1000000000,IF($V3=1,INDEX('calcA'!$D$130:$EQ$169,$B3,114)+IF(AND($E3=1,MZ3=0),25,0),INDEX('calcA'!DM$110:DM$114,$F3+1)+IF(AND($E3=1,MZ3=0),1000,0)+IF($H3=1,INDEX('calcA'!$D$180:$EQ$219,$B3,114)*500,0)-IF(AND('calcA'!DL$117=1,YJ3&gt;0),300,0)-IF(AND($U3=1,'calcA'!DM$117=1,HL3=0),300,0))),1000000000))</f>
        <v/>
      </c>
      <c r="SP3">
        <f>IF($B3=0,1000000000,IF(INDEX('calcA'!$D$60:$EQ$99,$B3,115)*IF($W3=1,HL3+AEA3,HL3)=1,IF(AND($E3=2,IF($W3=1,AJP3,NA3)=0),1000000000,IF($V3=1,INDEX('calcA'!$D$130:$EQ$169,$B3,115)+IF(AND($E3=1,NA3=0),25,0),INDEX('calcA'!DN$110:DN$114,$F3+1)+IF(AND($E3=1,NA3=0),1000,0)+IF($H3=1,INDEX('calcA'!$D$180:$EQ$219,$B3,115)*500,0)-IF(AND('calcA'!DM$117=1,YK3&gt;0),300,0)-IF(AND($U3=1,'calcA'!DN$117=1,HM3=0),300,0))),1000000000))</f>
        <v/>
      </c>
      <c r="SQ3">
        <f>IF($B3=0,1000000000,IF(INDEX('calcA'!$D$60:$EQ$99,$B3,116)*IF($W3=1,HM3+AEB3,HM3)=1,IF(AND($E3=2,IF($W3=1,AJQ3,NB3)=0),1000000000,IF($V3=1,INDEX('calcA'!$D$130:$EQ$169,$B3,116)+IF(AND($E3=1,NB3=0),25,0),INDEX('calcA'!DO$110:DO$114,$F3+1)+IF(AND($E3=1,NB3=0),1000,0)+IF($H3=1,INDEX('calcA'!$D$180:$EQ$219,$B3,116)*500,0)-IF(AND('calcA'!DN$117=1,YL3&gt;0),300,0)-IF(AND($U3=1,'calcA'!DO$117=1,HN3=0),300,0))),1000000000))</f>
        <v/>
      </c>
      <c r="SR3">
        <f>IF($B3=0,1000000000,IF(INDEX('calcA'!$D$60:$EQ$99,$B3,117)*IF($W3=1,HN3+AEC3,HN3)=1,IF(AND($E3=2,IF($W3=1,AJR3,NC3)=0),1000000000,IF($V3=1,INDEX('calcA'!$D$130:$EQ$169,$B3,117)+IF(AND($E3=1,NC3=0),25,0),INDEX('calcA'!DP$110:DP$114,$F3+1)+IF(AND($E3=1,NC3=0),1000,0)+IF($H3=1,INDEX('calcA'!$D$180:$EQ$219,$B3,117)*500,0)-IF(AND('calcA'!DO$117=1,YM3&gt;0),300,0)-IF(AND($U3=1,'calcA'!DP$117=1,HO3=0),300,0))),1000000000))</f>
        <v/>
      </c>
      <c r="SS3">
        <f>IF($B3=0,1000000000,IF(INDEX('calcA'!$D$60:$EQ$99,$B3,118)*IF($W3=1,HO3+AED3,HO3)=1,IF(AND($E3=2,IF($W3=1,AJS3,ND3)=0),1000000000,IF($V3=1,INDEX('calcA'!$D$130:$EQ$169,$B3,118)+IF(AND($E3=1,ND3=0),25,0),INDEX('calcA'!DQ$110:DQ$114,$F3+1)+IF(AND($E3=1,ND3=0),1000,0)+IF($H3=1,INDEX('calcA'!$D$180:$EQ$219,$B3,118)*500,0)-IF(AND('calcA'!DP$117=1,YN3&gt;0),300,0)-IF(AND($U3=1,'calcA'!DQ$117=1,HP3=0),300,0))),1000000000))</f>
        <v/>
      </c>
      <c r="ST3">
        <f>IF($B3=0,1000000000,IF(INDEX('calcA'!$D$60:$EQ$99,$B3,119)*IF($W3=1,HP3+AEE3,HP3)=1,IF(AND($E3=2,IF($W3=1,AJT3,NE3)=0),1000000000,IF($V3=1,INDEX('calcA'!$D$130:$EQ$169,$B3,119)+IF(AND($E3=1,NE3=0),25,0),INDEX('calcA'!DR$110:DR$114,$F3+1)+IF(AND($E3=1,NE3=0),1000,0)+IF($H3=1,INDEX('calcA'!$D$180:$EQ$219,$B3,119)*500,0)-IF(AND('calcA'!DQ$117=1,YO3&gt;0),300,0)-IF(AND($U3=1,'calcA'!DR$117=1,HQ3=0),300,0))),1000000000))</f>
        <v/>
      </c>
      <c r="SU3">
        <f>IF($B3=0,1000000000,IF(INDEX('calcA'!$D$60:$EQ$99,$B3,120)*IF($W3=1,HQ3+AEF3,HQ3)=1,IF(AND($E3=2,IF($W3=1,AJU3,NF3)=0),1000000000,IF($V3=1,INDEX('calcA'!$D$130:$EQ$169,$B3,120)+IF(AND($E3=1,NF3=0),25,0),INDEX('calcA'!DS$110:DS$114,$F3+1)+IF(AND($E3=1,NF3=0),1000,0)+IF($H3=1,INDEX('calcA'!$D$180:$EQ$219,$B3,120)*500,0)-IF(AND('calcA'!DR$117=1,YP3&gt;0),300,0))),1000000000))</f>
        <v/>
      </c>
      <c r="SV3">
        <f>IF($B3=0,1000000000,IF(INDEX('calcA'!$D$60:$EQ$99,$B3,121)*IF($W3=1,HR3+AEG3,HR3)=1,IF(AND($E3=2,IF($W3=1,AJV3,NG3)=0),1000000000,IF($V3=1,INDEX('calcA'!$D$130:$EQ$169,$B3,121)+IF(AND($E3=1,NG3=0),25,0),INDEX('calcA'!DT$110:DT$114,$F3+1)+IF(AND($E3=1,NG3=0),1000,0)+IF($H3=1,INDEX('calcA'!$D$180:$EQ$219,$B3,121)*500,0)-IF(AND($U3=1,'calcA'!DT$117=1,HS3=0),300,0))),1000000000))</f>
        <v/>
      </c>
      <c r="SW3">
        <f>IF($B3=0,1000000000,IF(INDEX('calcA'!$D$60:$EQ$99,$B3,122)*IF($W3=1,HS3+AEH3,HS3)=1,IF(AND($E3=2,IF($W3=1,AJW3,NH3)=0),1000000000,IF($V3=1,INDEX('calcA'!$D$130:$EQ$169,$B3,122)+IF(AND($E3=1,NH3=0),25,0),INDEX('calcA'!DU$110:DU$114,$F3+1)+IF(AND($E3=1,NH3=0),1000,0)+IF($H3=1,INDEX('calcA'!$D$180:$EQ$219,$B3,122)*500,0)-IF(AND('calcA'!DT$117=1,YR3&gt;0),300,0)-IF(AND($U3=1,'calcA'!DU$117=1,HT3=0),300,0))),1000000000))</f>
        <v/>
      </c>
      <c r="SX3">
        <f>IF($B3=0,1000000000,IF(INDEX('calcA'!$D$60:$EQ$99,$B3,123)*IF($W3=1,HT3+AEI3,HT3)=1,IF(AND($E3=2,IF($W3=1,AJX3,NI3)=0),1000000000,IF($V3=1,INDEX('calcA'!$D$130:$EQ$169,$B3,123)+IF(AND($E3=1,NI3=0),25,0),INDEX('calcA'!DV$110:DV$114,$F3+1)+IF(AND($E3=1,NI3=0),1000,0)+IF($H3=1,INDEX('calcA'!$D$180:$EQ$219,$B3,123)*500,0)-IF(AND('calcA'!DU$117=1,YS3&gt;0),300,0)-IF(AND($U3=1,'calcA'!DV$117=1,HU3=0),300,0))),1000000000))</f>
        <v/>
      </c>
      <c r="SY3">
        <f>IF($B3=0,1000000000,IF(INDEX('calcA'!$D$60:$EQ$99,$B3,124)*IF($W3=1,HU3+AEJ3,HU3)=1,IF(AND($E3=2,IF($W3=1,AJY3,NJ3)=0),1000000000,IF($V3=1,INDEX('calcA'!$D$130:$EQ$169,$B3,124)+IF(AND($E3=1,NJ3=0),25,0),INDEX('calcA'!DW$110:DW$114,$F3+1)+IF(AND($E3=1,NJ3=0),1000,0)+IF($H3=1,INDEX('calcA'!$D$180:$EQ$219,$B3,124)*500,0)-IF(AND('calcA'!DV$117=1,YT3&gt;0),300,0)-IF(AND($U3=1,'calcA'!DW$117=1,HV3=0),300,0))),1000000000))</f>
        <v/>
      </c>
      <c r="SZ3">
        <f>IF($B3=0,1000000000,IF(INDEX('calcA'!$D$60:$EQ$99,$B3,125)*IF($W3=1,HV3+AEK3,HV3)=1,IF(AND($E3=2,IF($W3=1,AJZ3,NK3)=0),1000000000,IF($V3=1,INDEX('calcA'!$D$130:$EQ$169,$B3,125)+IF(AND($E3=1,NK3=0),25,0),INDEX('calcA'!DX$110:DX$114,$F3+1)+IF(AND($E3=1,NK3=0),1000,0)+IF($H3=1,INDEX('calcA'!$D$180:$EQ$219,$B3,125)*500,0)-IF(AND('calcA'!DW$117=1,YU3&gt;0),300,0)-IF(AND($U3=1,'calcA'!DX$117=1,HW3=0),300,0))),1000000000))</f>
        <v/>
      </c>
      <c r="TA3">
        <f>IF($B3=0,1000000000,IF(INDEX('calcA'!$D$60:$EQ$99,$B3,126)*IF($W3=1,HW3+AEL3,HW3)=1,IF(AND($E3=2,IF($W3=1,AKA3,NL3)=0),1000000000,IF($V3=1,INDEX('calcA'!$D$130:$EQ$169,$B3,126)+IF(AND($E3=1,NL3=0),25,0),INDEX('calcA'!DY$110:DY$114,$F3+1)+IF(AND($E3=1,NL3=0),1000,0)+IF($H3=1,INDEX('calcA'!$D$180:$EQ$219,$B3,126)*500,0)-IF(AND('calcA'!DX$117=1,YV3&gt;0),300,0)-IF(AND($U3=1,'calcA'!DY$117=1,HX3=0),300,0))),1000000000))</f>
        <v/>
      </c>
      <c r="TB3">
        <f>IF($B3=0,1000000000,IF(INDEX('calcA'!$D$60:$EQ$99,$B3,127)*IF($W3=1,HX3+AEM3,HX3)=1,IF(AND($E3=2,IF($W3=1,AKB3,NM3)=0),1000000000,IF($V3=1,INDEX('calcA'!$D$130:$EQ$169,$B3,127)+IF(AND($E3=1,NM3=0),25,0),INDEX('calcA'!DZ$110:DZ$114,$F3+1)+IF(AND($E3=1,NM3=0),1000,0)+IF($H3=1,INDEX('calcA'!$D$180:$EQ$219,$B3,127)*500,0)-IF(AND('calcA'!DY$117=1,YW3&gt;0),300,0)-IF(AND($U3=1,'calcA'!DZ$117=1,HY3=0),300,0))),1000000000))</f>
        <v/>
      </c>
      <c r="TC3">
        <f>IF($B3=0,1000000000,IF(INDEX('calcA'!$D$60:$EQ$99,$B3,128)*IF($W3=1,HY3+AEN3,HY3)=1,IF(AND($E3=2,IF($W3=1,AKC3,NN3)=0),1000000000,IF($V3=1,INDEX('calcA'!$D$130:$EQ$169,$B3,128)+IF(AND($E3=1,NN3=0),25,0),INDEX('calcA'!EA$110:EA$114,$F3+1)+IF(AND($E3=1,NN3=0),1000,0)+IF($H3=1,INDEX('calcA'!$D$180:$EQ$219,$B3,128)*500,0)-IF(AND('calcA'!DZ$117=1,YX3&gt;0),300,0)-IF(AND($U3=1,'calcA'!EA$117=1,HZ3=0),300,0))),1000000000))</f>
        <v/>
      </c>
      <c r="TD3">
        <f>IF($B3=0,1000000000,IF(INDEX('calcA'!$D$60:$EQ$99,$B3,129)*IF($W3=1,HZ3+AEO3,HZ3)=1,IF(AND($E3=2,IF($W3=1,AKD3,NO3)=0),1000000000,IF($V3=1,INDEX('calcA'!$D$130:$EQ$169,$B3,129)+IF(AND($E3=1,NO3=0),25,0),INDEX('calcA'!EB$110:EB$114,$F3+1)+IF(AND($E3=1,NO3=0),1000,0)+IF($H3=1,INDEX('calcA'!$D$180:$EQ$219,$B3,129)*500,0)-IF(AND('calcA'!EA$117=1,YY3&gt;0),300,0)-IF(AND($U3=1,'calcA'!EB$117=1,IA3=0),300,0))),1000000000))</f>
        <v/>
      </c>
      <c r="TE3">
        <f>IF($B3=0,1000000000,IF(INDEX('calcA'!$D$60:$EQ$99,$B3,130)*IF($W3=1,IA3+AEP3,IA3)=1,IF(AND($E3=2,IF($W3=1,AKE3,NP3)=0),1000000000,IF($V3=1,INDEX('calcA'!$D$130:$EQ$169,$B3,130)+IF(AND($E3=1,NP3=0),25,0),INDEX('calcA'!EC$110:EC$114,$F3+1)+IF(AND($E3=1,NP3=0),1000,0)+IF($H3=1,INDEX('calcA'!$D$180:$EQ$219,$B3,130)*500,0)-IF(AND('calcA'!EB$117=1,YZ3&gt;0),300,0)-IF(AND($U3=1,'calcA'!EC$117=1,IB3=0),300,0))),1000000000))</f>
        <v/>
      </c>
      <c r="TF3">
        <f>IF($B3=0,1000000000,IF(INDEX('calcA'!$D$60:$EQ$99,$B3,131)*IF($W3=1,IB3+AEQ3,IB3)=1,IF(AND($E3=2,IF($W3=1,AKF3,NQ3)=0),1000000000,IF($V3=1,INDEX('calcA'!$D$130:$EQ$169,$B3,131)+IF(AND($E3=1,NQ3=0),25,0),INDEX('calcA'!ED$110:ED$114,$F3+1)+IF(AND($E3=1,NQ3=0),1000,0)+IF($H3=1,INDEX('calcA'!$D$180:$EQ$219,$B3,131)*500,0)-IF(AND('calcA'!EC$117=1,ZA3&gt;0),300,0)-IF(AND($U3=1,'calcA'!ED$117=1,IC3=0),300,0))),1000000000))</f>
        <v/>
      </c>
      <c r="TG3">
        <f>IF($B3=0,1000000000,IF(INDEX('calcA'!$D$60:$EQ$99,$B3,132)*IF($W3=1,IC3+AER3,IC3)=1,IF(AND($E3=2,IF($W3=1,AKG3,NR3)=0),1000000000,IF($V3=1,INDEX('calcA'!$D$130:$EQ$169,$B3,132)+IF(AND($E3=1,NR3=0),25,0),INDEX('calcA'!EE$110:EE$114,$F3+1)+IF(AND($E3=1,NR3=0),1000,0)+IF($H3=1,INDEX('calcA'!$D$180:$EQ$219,$B3,132)*500,0)-IF(AND('calcA'!ED$117=1,ZB3&gt;0),300,0)-IF(AND($U3=1,'calcA'!EE$117=1,ID3=0),300,0))),1000000000))</f>
        <v/>
      </c>
      <c r="TH3">
        <f>IF($B3=0,1000000000,IF(INDEX('calcA'!$D$60:$EQ$99,$B3,133)*IF($W3=1,ID3+AES3,ID3)=1,IF(AND($E3=2,IF($W3=1,AKH3,NS3)=0),1000000000,IF($V3=1,INDEX('calcA'!$D$130:$EQ$169,$B3,133)+IF(AND($E3=1,NS3=0),25,0),INDEX('calcA'!EF$110:EF$114,$F3+1)+IF(AND($E3=1,NS3=0),1000,0)+IF($H3=1,INDEX('calcA'!$D$180:$EQ$219,$B3,133)*500,0)-IF(AND('calcA'!EE$117=1,ZC3&gt;0),300,0)-IF(AND($U3=1,'calcA'!EF$117=1,IE3=0),300,0))),1000000000))</f>
        <v/>
      </c>
      <c r="TI3">
        <f>IF($B3=0,1000000000,IF(INDEX('calcA'!$D$60:$EQ$99,$B3,134)*IF($W3=1,IE3+AET3,IE3)=1,IF(AND($E3=2,IF($W3=1,AKI3,NT3)=0),1000000000,IF($V3=1,INDEX('calcA'!$D$130:$EQ$169,$B3,134)+IF(AND($E3=1,NT3=0),25,0),INDEX('calcA'!EG$110:EG$114,$F3+1)+IF(AND($E3=1,NT3=0),1000,0)+IF($H3=1,INDEX('calcA'!$D$180:$EQ$219,$B3,134)*500,0)-IF(AND('calcA'!EF$117=1,ZD3&gt;0),300,0)-IF(AND($U3=1,'calcA'!EG$117=1,IF3=0),300,0))),1000000000))</f>
        <v/>
      </c>
      <c r="TJ3">
        <f>IF($B3=0,1000000000,IF(INDEX('calcA'!$D$60:$EQ$99,$B3,135)*IF($W3=1,IF3+AEU3,IF3)=1,IF(AND($E3=2,IF($W3=1,AKJ3,NU3)=0),1000000000,IF($V3=1,INDEX('calcA'!$D$130:$EQ$169,$B3,135)+IF(AND($E3=1,NU3=0),25,0),INDEX('calcA'!EH$110:EH$114,$F3+1)+IF(AND($E3=1,NU3=0),1000,0)+IF($H3=1,INDEX('calcA'!$D$180:$EQ$219,$B3,135)*500,0)-IF(AND('calcA'!EG$117=1,ZE3&gt;0),300,0)-IF(AND($U3=1,'calcA'!EH$117=1,IG3=0),300,0))),1000000000))</f>
        <v/>
      </c>
      <c r="TK3">
        <f>IF($B3=0,1000000000,IF(INDEX('calcA'!$D$60:$EQ$99,$B3,136)*IF($W3=1,IG3+AEV3,IG3)=1,IF(AND($E3=2,IF($W3=1,AKK3,NV3)=0),1000000000,IF($V3=1,INDEX('calcA'!$D$130:$EQ$169,$B3,136)+IF(AND($E3=1,NV3=0),25,0),INDEX('calcA'!EI$110:EI$114,$F3+1)+IF(AND($E3=1,NV3=0),1000,0)+IF($H3=1,INDEX('calcA'!$D$180:$EQ$219,$B3,136)*500,0)-IF(AND('calcA'!EH$117=1,ZF3&gt;0),300,0)-IF(AND($U3=1,'calcA'!EI$117=1,IH3=0),300,0))),1000000000))</f>
        <v/>
      </c>
      <c r="TL3">
        <f>IF($B3=0,1000000000,IF(INDEX('calcA'!$D$60:$EQ$99,$B3,137)*IF($W3=1,IH3+AEW3,IH3)=1,IF(AND($E3=2,IF($W3=1,AKL3,NW3)=0),1000000000,IF($V3=1,INDEX('calcA'!$D$130:$EQ$169,$B3,137)+IF(AND($E3=1,NW3=0),25,0),INDEX('calcA'!EJ$110:EJ$114,$F3+1)+IF(AND($E3=1,NW3=0),1000,0)+IF($H3=1,INDEX('calcA'!$D$180:$EQ$219,$B3,137)*500,0)-IF(AND('calcA'!EI$117=1,ZG3&gt;0),300,0)-IF(AND($U3=1,'calcA'!EJ$117=1,II3=0),300,0))),1000000000))</f>
        <v/>
      </c>
      <c r="TM3">
        <f>IF($B3=0,1000000000,IF(INDEX('calcA'!$D$60:$EQ$99,$B3,138)*IF($W3=1,II3+AEX3,II3)=1,IF(AND($E3=2,IF($W3=1,AKM3,NX3)=0),1000000000,IF($V3=1,INDEX('calcA'!$D$130:$EQ$169,$B3,138)+IF(AND($E3=1,NX3=0),25,0),INDEX('calcA'!EK$110:EK$114,$F3+1)+IF(AND($E3=1,NX3=0),1000,0)+IF($H3=1,INDEX('calcA'!$D$180:$EQ$219,$B3,138)*500,0)-IF(AND('calcA'!EJ$117=1,ZH3&gt;0),300,0)-IF(AND($U3=1,'calcA'!EK$117=1,IJ3=0),300,0))),1000000000))</f>
        <v/>
      </c>
      <c r="TN3">
        <f>IF($B3=0,1000000000,IF(INDEX('calcA'!$D$60:$EQ$99,$B3,139)*IF($W3=1,IJ3+AEY3,IJ3)=1,IF(AND($E3=2,IF($W3=1,AKN3,NY3)=0),1000000000,IF($V3=1,INDEX('calcA'!$D$130:$EQ$169,$B3,139)+IF(AND($E3=1,NY3=0),25,0),INDEX('calcA'!EL$110:EL$114,$F3+1)+IF(AND($E3=1,NY3=0),1000,0)+IF($H3=1,INDEX('calcA'!$D$180:$EQ$219,$B3,139)*500,0)-IF(AND('calcA'!EK$117=1,ZI3&gt;0),300,0)-IF(AND($U3=1,'calcA'!EL$117=1,IK3=0),300,0))),1000000000))</f>
        <v/>
      </c>
      <c r="TO3">
        <f>IF($B3=0,1000000000,IF(INDEX('calcA'!$D$60:$EQ$99,$B3,140)*IF($W3=1,IK3+AEZ3,IK3)=1,IF(AND($E3=2,IF($W3=1,AKO3,NZ3)=0),1000000000,IF($V3=1,INDEX('calcA'!$D$130:$EQ$169,$B3,140)+IF(AND($E3=1,NZ3=0),25,0),INDEX('calcA'!EM$110:EM$114,$F3+1)+IF(AND($E3=1,NZ3=0),1000,0)+IF($H3=1,INDEX('calcA'!$D$180:$EQ$219,$B3,140)*500,0)-IF(AND('calcA'!EL$117=1,ZJ3&gt;0),300,0)-IF(AND($U3=1,'calcA'!EM$117=1,IL3=0),300,0))),1000000000))</f>
        <v/>
      </c>
      <c r="TP3">
        <f>IF($B3=0,1000000000,IF(INDEX('calcA'!$D$60:$EQ$99,$B3,141)*IF($W3=1,IL3+AFA3,IL3)=1,IF(AND($E3=2,IF($W3=1,AKP3,OA3)=0),1000000000,IF($V3=1,INDEX('calcA'!$D$130:$EQ$169,$B3,141)+IF(AND($E3=1,OA3=0),25,0),INDEX('calcA'!EN$110:EN$114,$F3+1)+IF(AND($E3=1,OA3=0),1000,0)+IF($H3=1,INDEX('calcA'!$D$180:$EQ$219,$B3,141)*500,0)-IF(AND('calcA'!EM$117=1,ZK3&gt;0),300,0)-IF(AND($U3=1,'calcA'!EN$117=1,IM3=0),300,0))),1000000000))</f>
        <v/>
      </c>
      <c r="TQ3">
        <f>IF($B3=0,1000000000,IF(INDEX('calcA'!$D$60:$EQ$99,$B3,142)*IF($W3=1,IM3+AFB3,IM3)=1,IF(AND($E3=2,IF($W3=1,AKQ3,OB3)=0),1000000000,IF($V3=1,INDEX('calcA'!$D$130:$EQ$169,$B3,142)+IF(AND($E3=1,OB3=0),25,0),INDEX('calcA'!EO$110:EO$114,$F3+1)+IF(AND($E3=1,OB3=0),1000,0)+IF($H3=1,INDEX('calcA'!$D$180:$EQ$219,$B3,142)*500,0)-IF(AND('calcA'!EN$117=1,ZL3&gt;0),300,0)-IF(AND($U3=1,'calcA'!EO$117=1,IN3=0),300,0))),1000000000))</f>
        <v/>
      </c>
      <c r="TR3">
        <f>IF($B3=0,1000000000,IF(INDEX('calcA'!$D$60:$EQ$99,$B3,143)*IF($W3=1,IN3+AFC3,IN3)=1,IF(AND($E3=2,IF($W3=1,AKR3,OC3)=0),1000000000,IF($V3=1,INDEX('calcA'!$D$130:$EQ$169,$B3,143)+IF(AND($E3=1,OC3=0),25,0),INDEX('calcA'!EP$110:EP$114,$F3+1)+IF(AND($E3=1,OC3=0),1000,0)+IF($H3=1,INDEX('calcA'!$D$180:$EQ$219,$B3,143)*500,0)-IF(AND('calcA'!EO$117=1,ZM3&gt;0),300,0)-IF(AND($U3=1,'calcA'!EP$117=1,IO3=0),300,0))),1000000000))</f>
        <v/>
      </c>
      <c r="TS3">
        <f>IF($B3=0,1000000000,IF(INDEX('calcA'!$D$60:$EQ$99,$B3,144)*IF($W3=1,IO3+AFD3,IO3)=1,IF(AND($E3=2,IF($W3=1,AKS3,OD3)=0),1000000000,IF($V3=1,INDEX('calcA'!$D$130:$EQ$169,$B3,144)+IF(AND($E3=1,OD3=0),25,0),INDEX('calcA'!EQ$110:EQ$114,$F3+1)+IF(AND($E3=1,OD3=0),1000,0)+IF($H3=1,INDEX('calcA'!$D$180:$EQ$219,$B3,144)*500,0)-IF(AND('calcA'!EP$117=1,ZN3&gt;0),300,0))),1000000000))</f>
        <v/>
      </c>
      <c r="UB3">
        <f>'calcA'!D$118</f>
        <v/>
      </c>
      <c r="UC3">
        <f>'calcA'!E$118</f>
        <v/>
      </c>
      <c r="UD3">
        <f>'calcA'!F$118</f>
        <v/>
      </c>
      <c r="UE3">
        <f>'calcA'!G$118</f>
        <v/>
      </c>
      <c r="UF3">
        <f>'calcA'!H$118</f>
        <v/>
      </c>
      <c r="UG3">
        <f>'calcA'!I$118</f>
        <v/>
      </c>
      <c r="UH3">
        <f>'calcA'!J$118</f>
        <v/>
      </c>
      <c r="UI3">
        <f>'calcA'!K$118</f>
        <v/>
      </c>
      <c r="UJ3">
        <f>'calcA'!L$118</f>
        <v/>
      </c>
      <c r="UK3">
        <f>'calcA'!M$118</f>
        <v/>
      </c>
      <c r="UL3">
        <f>'calcA'!N$118</f>
        <v/>
      </c>
      <c r="UM3">
        <f>'calcA'!O$118</f>
        <v/>
      </c>
      <c r="UN3">
        <f>'calcA'!P$118</f>
        <v/>
      </c>
      <c r="UO3">
        <f>'calcA'!Q$118</f>
        <v/>
      </c>
      <c r="UP3">
        <f>'calcA'!R$118</f>
        <v/>
      </c>
      <c r="UQ3">
        <f>'calcA'!S$118</f>
        <v/>
      </c>
      <c r="UR3">
        <f>'calcA'!T$118</f>
        <v/>
      </c>
      <c r="US3">
        <f>'calcA'!U$118</f>
        <v/>
      </c>
      <c r="UT3">
        <f>'calcA'!V$118</f>
        <v/>
      </c>
      <c r="UU3">
        <f>'calcA'!W$118</f>
        <v/>
      </c>
      <c r="UV3">
        <f>'calcA'!X$118</f>
        <v/>
      </c>
      <c r="UW3">
        <f>'calcA'!Y$118</f>
        <v/>
      </c>
      <c r="UX3">
        <f>'calcA'!Z$118</f>
        <v/>
      </c>
      <c r="UY3">
        <f>'calcA'!AA$118</f>
        <v/>
      </c>
      <c r="UZ3">
        <f>'calcA'!AB$118</f>
        <v/>
      </c>
      <c r="VA3">
        <f>'calcA'!AC$118</f>
        <v/>
      </c>
      <c r="VB3">
        <f>'calcA'!AD$118</f>
        <v/>
      </c>
      <c r="VC3">
        <f>'calcA'!AE$118</f>
        <v/>
      </c>
      <c r="VD3">
        <f>'calcA'!AF$118</f>
        <v/>
      </c>
      <c r="VE3">
        <f>'calcA'!AG$118</f>
        <v/>
      </c>
      <c r="VF3">
        <f>'calcA'!AH$118</f>
        <v/>
      </c>
      <c r="VG3">
        <f>'calcA'!AI$118</f>
        <v/>
      </c>
      <c r="VH3">
        <f>'calcA'!AJ$118</f>
        <v/>
      </c>
      <c r="VI3">
        <f>'calcA'!AK$118</f>
        <v/>
      </c>
      <c r="VJ3">
        <f>'calcA'!AL$118</f>
        <v/>
      </c>
      <c r="VK3">
        <f>'calcA'!AM$118</f>
        <v/>
      </c>
      <c r="VL3">
        <f>'calcA'!AN$118</f>
        <v/>
      </c>
      <c r="VM3">
        <f>'calcA'!AO$118</f>
        <v/>
      </c>
      <c r="VN3">
        <f>'calcA'!AP$118</f>
        <v/>
      </c>
      <c r="VO3">
        <f>'calcA'!AQ$118</f>
        <v/>
      </c>
      <c r="VP3">
        <f>'calcA'!AR$118</f>
        <v/>
      </c>
      <c r="VQ3">
        <f>'calcA'!AS$118</f>
        <v/>
      </c>
      <c r="VR3">
        <f>'calcA'!AT$118</f>
        <v/>
      </c>
      <c r="VS3">
        <f>'calcA'!AU$118</f>
        <v/>
      </c>
      <c r="VT3">
        <f>'calcA'!AV$118</f>
        <v/>
      </c>
      <c r="VU3">
        <f>'calcA'!AW$118</f>
        <v/>
      </c>
      <c r="VV3">
        <f>'calcA'!AX$118</f>
        <v/>
      </c>
      <c r="VW3">
        <f>'calcA'!AY$118</f>
        <v/>
      </c>
      <c r="VX3">
        <f>'calcA'!AZ$118</f>
        <v/>
      </c>
      <c r="VY3">
        <f>'calcA'!BA$118</f>
        <v/>
      </c>
      <c r="VZ3">
        <f>'calcA'!BB$118</f>
        <v/>
      </c>
      <c r="WA3">
        <f>'calcA'!BC$118</f>
        <v/>
      </c>
      <c r="WB3">
        <f>'calcA'!BD$118</f>
        <v/>
      </c>
      <c r="WC3">
        <f>'calcA'!BE$118</f>
        <v/>
      </c>
      <c r="WD3">
        <f>'calcA'!BF$118</f>
        <v/>
      </c>
      <c r="WE3">
        <f>'calcA'!BG$118</f>
        <v/>
      </c>
      <c r="WF3">
        <f>'calcA'!BH$118</f>
        <v/>
      </c>
      <c r="WG3">
        <f>'calcA'!BI$118</f>
        <v/>
      </c>
      <c r="WH3">
        <f>'calcA'!BJ$118</f>
        <v/>
      </c>
      <c r="WI3">
        <f>'calcA'!BK$118</f>
        <v/>
      </c>
      <c r="WJ3">
        <f>'calcA'!BL$118</f>
        <v/>
      </c>
      <c r="WK3">
        <f>'calcA'!BM$118</f>
        <v/>
      </c>
      <c r="WL3">
        <f>'calcA'!BN$118</f>
        <v/>
      </c>
      <c r="WM3">
        <f>'calcA'!BO$118</f>
        <v/>
      </c>
      <c r="WN3">
        <f>'calcA'!BP$118</f>
        <v/>
      </c>
      <c r="WO3">
        <f>'calcA'!BQ$118</f>
        <v/>
      </c>
      <c r="WP3">
        <f>'calcA'!BR$118</f>
        <v/>
      </c>
      <c r="WQ3">
        <f>'calcA'!BS$118</f>
        <v/>
      </c>
      <c r="WR3">
        <f>'calcA'!BT$118</f>
        <v/>
      </c>
      <c r="WS3">
        <f>'calcA'!BU$118</f>
        <v/>
      </c>
      <c r="WT3">
        <f>'calcA'!BV$118</f>
        <v/>
      </c>
      <c r="WU3">
        <f>'calcA'!BW$118</f>
        <v/>
      </c>
      <c r="WV3">
        <f>'calcA'!BX$118</f>
        <v/>
      </c>
      <c r="WW3">
        <f>'calcA'!BY$118</f>
        <v/>
      </c>
      <c r="WX3">
        <f>'calcA'!BZ$118</f>
        <v/>
      </c>
      <c r="WY3">
        <f>'calcA'!CA$118</f>
        <v/>
      </c>
      <c r="WZ3">
        <f>'calcA'!CB$118</f>
        <v/>
      </c>
      <c r="XA3">
        <f>'calcA'!CC$118</f>
        <v/>
      </c>
      <c r="XB3">
        <f>'calcA'!CD$118</f>
        <v/>
      </c>
      <c r="XC3">
        <f>'calcA'!CE$118</f>
        <v/>
      </c>
      <c r="XD3">
        <f>'calcA'!CF$118</f>
        <v/>
      </c>
      <c r="XE3">
        <f>'calcA'!CG$118</f>
        <v/>
      </c>
      <c r="XF3">
        <f>'calcA'!CH$118</f>
        <v/>
      </c>
      <c r="XG3">
        <f>'calcA'!CI$118</f>
        <v/>
      </c>
      <c r="XH3">
        <f>'calcA'!CJ$118</f>
        <v/>
      </c>
      <c r="XI3">
        <f>'calcA'!CK$118</f>
        <v/>
      </c>
      <c r="XJ3">
        <f>'calcA'!CL$118</f>
        <v/>
      </c>
      <c r="XK3">
        <f>'calcA'!CM$118</f>
        <v/>
      </c>
      <c r="XL3">
        <f>'calcA'!CN$118</f>
        <v/>
      </c>
      <c r="XM3">
        <f>'calcA'!CO$118</f>
        <v/>
      </c>
      <c r="XN3">
        <f>'calcA'!CP$118</f>
        <v/>
      </c>
      <c r="XO3">
        <f>'calcA'!CQ$118</f>
        <v/>
      </c>
      <c r="XP3">
        <f>'calcA'!CR$118</f>
        <v/>
      </c>
      <c r="XQ3">
        <f>'calcA'!CS$118</f>
        <v/>
      </c>
      <c r="XR3">
        <f>'calcA'!CT$118</f>
        <v/>
      </c>
      <c r="XS3">
        <f>'calcA'!CU$118</f>
        <v/>
      </c>
      <c r="XT3">
        <f>'calcA'!CV$118</f>
        <v/>
      </c>
      <c r="XU3">
        <f>'calcA'!CW$118</f>
        <v/>
      </c>
      <c r="XV3">
        <f>'calcA'!CX$118</f>
        <v/>
      </c>
      <c r="XW3">
        <f>'calcA'!CY$118</f>
        <v/>
      </c>
      <c r="XX3">
        <f>'calcA'!CZ$118</f>
        <v/>
      </c>
      <c r="XY3">
        <f>'calcA'!DA$118</f>
        <v/>
      </c>
      <c r="XZ3">
        <f>'calcA'!DB$118</f>
        <v/>
      </c>
      <c r="YA3">
        <f>'calcA'!DC$118</f>
        <v/>
      </c>
      <c r="YB3">
        <f>'calcA'!DD$118</f>
        <v/>
      </c>
      <c r="YC3">
        <f>'calcA'!DE$118</f>
        <v/>
      </c>
      <c r="YD3">
        <f>'calcA'!DF$118</f>
        <v/>
      </c>
      <c r="YE3">
        <f>'calcA'!DG$118</f>
        <v/>
      </c>
      <c r="YF3">
        <f>'calcA'!DH$118</f>
        <v/>
      </c>
      <c r="YG3">
        <f>'calcA'!DI$118</f>
        <v/>
      </c>
      <c r="YH3">
        <f>'calcA'!DJ$118</f>
        <v/>
      </c>
      <c r="YI3">
        <f>'calcA'!DK$118</f>
        <v/>
      </c>
      <c r="YJ3">
        <f>'calcA'!DL$118</f>
        <v/>
      </c>
      <c r="YK3">
        <f>'calcA'!DM$118</f>
        <v/>
      </c>
      <c r="YL3">
        <f>'calcA'!DN$118</f>
        <v/>
      </c>
      <c r="YM3">
        <f>'calcA'!DO$118</f>
        <v/>
      </c>
      <c r="YN3">
        <f>'calcA'!DP$118</f>
        <v/>
      </c>
      <c r="YO3">
        <f>'calcA'!DQ$118</f>
        <v/>
      </c>
      <c r="YP3">
        <f>'calcA'!DR$118</f>
        <v/>
      </c>
      <c r="YQ3">
        <f>'calcA'!DS$118</f>
        <v/>
      </c>
      <c r="YR3">
        <f>'calcA'!DT$118</f>
        <v/>
      </c>
      <c r="YS3">
        <f>'calcA'!DU$118</f>
        <v/>
      </c>
      <c r="YT3">
        <f>'calcA'!DV$118</f>
        <v/>
      </c>
      <c r="YU3">
        <f>'calcA'!DW$118</f>
        <v/>
      </c>
      <c r="YV3">
        <f>'calcA'!DX$118</f>
        <v/>
      </c>
      <c r="YW3">
        <f>'calcA'!DY$118</f>
        <v/>
      </c>
      <c r="YX3">
        <f>'calcA'!DZ$118</f>
        <v/>
      </c>
      <c r="YY3">
        <f>'calcA'!EA$118</f>
        <v/>
      </c>
      <c r="YZ3">
        <f>'calcA'!EB$118</f>
        <v/>
      </c>
      <c r="ZA3">
        <f>'calcA'!EC$118</f>
        <v/>
      </c>
      <c r="ZB3">
        <f>'calcA'!ED$118</f>
        <v/>
      </c>
      <c r="ZC3">
        <f>'calcA'!EE$118</f>
        <v/>
      </c>
      <c r="ZD3">
        <f>'calcA'!EF$118</f>
        <v/>
      </c>
      <c r="ZE3">
        <f>'calcA'!EG$118</f>
        <v/>
      </c>
      <c r="ZF3">
        <f>'calcA'!EH$118</f>
        <v/>
      </c>
      <c r="ZG3">
        <f>'calcA'!EI$118</f>
        <v/>
      </c>
      <c r="ZH3">
        <f>'calcA'!EJ$118</f>
        <v/>
      </c>
      <c r="ZI3">
        <f>'calcA'!EK$118</f>
        <v/>
      </c>
      <c r="ZJ3">
        <f>'calcA'!EL$118</f>
        <v/>
      </c>
      <c r="ZK3">
        <f>'calcA'!EM$118</f>
        <v/>
      </c>
      <c r="ZL3">
        <f>'calcA'!EN$118</f>
        <v/>
      </c>
      <c r="ZM3">
        <f>'calcA'!EO$118</f>
        <v/>
      </c>
      <c r="ZN3">
        <f>'calcA'!EP$118</f>
        <v/>
      </c>
      <c r="ZO3">
        <f>'calcA'!EQ$118</f>
        <v/>
      </c>
      <c r="ZQ3" t="n">
        <v>0</v>
      </c>
      <c r="ZR3" t="n">
        <v>0</v>
      </c>
      <c r="ZS3" t="n">
        <v>0</v>
      </c>
      <c r="ZT3" t="n">
        <v>0</v>
      </c>
      <c r="ZU3" t="n">
        <v>0</v>
      </c>
      <c r="ZV3" t="n">
        <v>0</v>
      </c>
      <c r="ZW3" t="n">
        <v>0</v>
      </c>
      <c r="ZX3" t="n">
        <v>0</v>
      </c>
      <c r="ZY3" t="n">
        <v>0</v>
      </c>
      <c r="ZZ3" t="n">
        <v>0</v>
      </c>
      <c r="AAA3" t="n">
        <v>0</v>
      </c>
      <c r="AAB3" t="n">
        <v>0</v>
      </c>
      <c r="AAC3" t="n">
        <v>0</v>
      </c>
      <c r="AAD3" t="n">
        <v>0</v>
      </c>
      <c r="AAE3" t="n">
        <v>0</v>
      </c>
      <c r="AAF3" t="n">
        <v>0</v>
      </c>
      <c r="AAG3" t="n">
        <v>0</v>
      </c>
      <c r="AAH3" t="n">
        <v>0</v>
      </c>
      <c r="AAI3" t="n">
        <v>0</v>
      </c>
      <c r="AAJ3" t="n">
        <v>0</v>
      </c>
      <c r="AAK3" t="n">
        <v>0</v>
      </c>
      <c r="AAL3" t="n">
        <v>0</v>
      </c>
      <c r="AAM3" t="n">
        <v>0</v>
      </c>
      <c r="AAN3" t="n">
        <v>0</v>
      </c>
      <c r="AAO3" t="n">
        <v>0</v>
      </c>
      <c r="AAP3" t="n">
        <v>0</v>
      </c>
      <c r="AAQ3" t="n">
        <v>0</v>
      </c>
      <c r="AAR3" t="n">
        <v>0</v>
      </c>
      <c r="AAS3" t="n">
        <v>0</v>
      </c>
      <c r="AAT3" t="n">
        <v>0</v>
      </c>
      <c r="AAU3" t="n">
        <v>0</v>
      </c>
      <c r="AAV3" t="n">
        <v>0</v>
      </c>
      <c r="AAW3" t="n">
        <v>0</v>
      </c>
      <c r="AAX3" t="n">
        <v>0</v>
      </c>
      <c r="AAY3" t="n">
        <v>0</v>
      </c>
      <c r="AAZ3" t="n">
        <v>0</v>
      </c>
      <c r="ABA3" t="n">
        <v>0</v>
      </c>
      <c r="ABB3" t="n">
        <v>0</v>
      </c>
      <c r="ABC3" t="n">
        <v>0</v>
      </c>
      <c r="ABD3" t="n">
        <v>0</v>
      </c>
      <c r="ABE3" t="n">
        <v>0</v>
      </c>
      <c r="ABF3" t="n">
        <v>0</v>
      </c>
      <c r="ABG3" t="n">
        <v>0</v>
      </c>
      <c r="ABH3" t="n">
        <v>0</v>
      </c>
      <c r="ABI3" t="n">
        <v>0</v>
      </c>
      <c r="ABJ3" t="n">
        <v>0</v>
      </c>
      <c r="ABK3" t="n">
        <v>0</v>
      </c>
      <c r="ABL3" t="n">
        <v>0</v>
      </c>
      <c r="ABM3" t="n">
        <v>0</v>
      </c>
      <c r="ABN3" t="n">
        <v>0</v>
      </c>
      <c r="ABO3" t="n">
        <v>0</v>
      </c>
      <c r="ABP3" t="n">
        <v>0</v>
      </c>
      <c r="ABQ3" t="n">
        <v>0</v>
      </c>
      <c r="ABR3" t="n">
        <v>0</v>
      </c>
      <c r="ABS3" t="n">
        <v>0</v>
      </c>
      <c r="ABT3" t="n">
        <v>0</v>
      </c>
      <c r="ABU3" t="n">
        <v>0</v>
      </c>
      <c r="ABV3" t="n">
        <v>0</v>
      </c>
      <c r="ABW3" t="n">
        <v>0</v>
      </c>
      <c r="ABX3" t="n">
        <v>0</v>
      </c>
      <c r="ABY3" t="n">
        <v>0</v>
      </c>
      <c r="ABZ3" t="n">
        <v>0</v>
      </c>
      <c r="ACA3" t="n">
        <v>0</v>
      </c>
      <c r="ACB3" t="n">
        <v>0</v>
      </c>
      <c r="ACC3" t="n">
        <v>0</v>
      </c>
      <c r="ACD3" t="n">
        <v>0</v>
      </c>
      <c r="ACE3" t="n">
        <v>0</v>
      </c>
      <c r="ACF3" t="n">
        <v>0</v>
      </c>
      <c r="ACG3" t="n">
        <v>0</v>
      </c>
      <c r="ACH3" t="n">
        <v>0</v>
      </c>
      <c r="ACI3" t="n">
        <v>0</v>
      </c>
      <c r="ACJ3" t="n">
        <v>0</v>
      </c>
      <c r="ACK3" t="n">
        <v>0</v>
      </c>
      <c r="ACL3" t="n">
        <v>0</v>
      </c>
      <c r="ACM3" t="n">
        <v>0</v>
      </c>
      <c r="ACN3" t="n">
        <v>0</v>
      </c>
      <c r="ACO3" t="n">
        <v>0</v>
      </c>
      <c r="ACP3" t="n">
        <v>0</v>
      </c>
      <c r="ACQ3" t="n">
        <v>0</v>
      </c>
      <c r="ACR3" t="n">
        <v>0</v>
      </c>
      <c r="ACS3" t="n">
        <v>0</v>
      </c>
      <c r="ACT3" t="n">
        <v>0</v>
      </c>
      <c r="ACU3" t="n">
        <v>0</v>
      </c>
      <c r="ACV3" t="n">
        <v>0</v>
      </c>
      <c r="ACW3" t="n">
        <v>0</v>
      </c>
      <c r="ACX3" t="n">
        <v>0</v>
      </c>
      <c r="ACY3" t="n">
        <v>0</v>
      </c>
      <c r="ACZ3" t="n">
        <v>0</v>
      </c>
      <c r="ADA3" t="n">
        <v>0</v>
      </c>
      <c r="ADB3" t="n">
        <v>0</v>
      </c>
      <c r="ADC3" t="n">
        <v>0</v>
      </c>
      <c r="ADD3" t="n">
        <v>0</v>
      </c>
      <c r="ADE3" t="n">
        <v>0</v>
      </c>
      <c r="ADF3" t="n">
        <v>0</v>
      </c>
      <c r="ADG3" t="n">
        <v>0</v>
      </c>
      <c r="ADH3" t="n">
        <v>0</v>
      </c>
      <c r="ADI3" t="n">
        <v>0</v>
      </c>
      <c r="ADJ3" t="n">
        <v>0</v>
      </c>
      <c r="ADK3" t="n">
        <v>0</v>
      </c>
      <c r="ADL3" t="n">
        <v>0</v>
      </c>
      <c r="ADM3" t="n">
        <v>0</v>
      </c>
      <c r="ADN3" t="n">
        <v>0</v>
      </c>
      <c r="ADO3" t="n">
        <v>0</v>
      </c>
      <c r="ADP3" t="n">
        <v>0</v>
      </c>
      <c r="ADQ3" t="n">
        <v>0</v>
      </c>
      <c r="ADR3" t="n">
        <v>0</v>
      </c>
      <c r="ADS3" t="n">
        <v>0</v>
      </c>
      <c r="ADT3" t="n">
        <v>0</v>
      </c>
      <c r="ADU3" t="n">
        <v>0</v>
      </c>
      <c r="ADV3" t="n">
        <v>0</v>
      </c>
      <c r="ADW3" t="n">
        <v>0</v>
      </c>
      <c r="ADX3" t="n">
        <v>0</v>
      </c>
      <c r="ADY3" t="n">
        <v>0</v>
      </c>
      <c r="ADZ3" t="n">
        <v>0</v>
      </c>
      <c r="AEA3" t="n">
        <v>0</v>
      </c>
      <c r="AEB3" t="n">
        <v>0</v>
      </c>
      <c r="AEC3" t="n">
        <v>0</v>
      </c>
      <c r="AED3" t="n">
        <v>0</v>
      </c>
      <c r="AEE3" t="n">
        <v>0</v>
      </c>
      <c r="AEF3" t="n">
        <v>0</v>
      </c>
      <c r="AEG3" t="n">
        <v>0</v>
      </c>
      <c r="AEH3" t="n">
        <v>0</v>
      </c>
      <c r="AEI3" t="n">
        <v>0</v>
      </c>
      <c r="AEJ3" t="n">
        <v>0</v>
      </c>
      <c r="AEK3" t="n">
        <v>0</v>
      </c>
      <c r="AEL3" t="n">
        <v>0</v>
      </c>
      <c r="AEM3" t="n">
        <v>0</v>
      </c>
      <c r="AEN3" t="n">
        <v>0</v>
      </c>
      <c r="AEO3" t="n">
        <v>0</v>
      </c>
      <c r="AEP3" t="n">
        <v>0</v>
      </c>
      <c r="AEQ3" t="n">
        <v>0</v>
      </c>
      <c r="AER3" t="n">
        <v>0</v>
      </c>
      <c r="AES3" t="n">
        <v>0</v>
      </c>
      <c r="AET3" t="n">
        <v>0</v>
      </c>
      <c r="AEU3" t="n">
        <v>0</v>
      </c>
      <c r="AEV3" t="n">
        <v>0</v>
      </c>
      <c r="AEW3" t="n">
        <v>0</v>
      </c>
      <c r="AEX3" t="n">
        <v>0</v>
      </c>
      <c r="AEY3" t="n">
        <v>0</v>
      </c>
      <c r="AEZ3" t="n">
        <v>0</v>
      </c>
      <c r="AFA3" t="n">
        <v>0</v>
      </c>
      <c r="AFB3" t="n">
        <v>0</v>
      </c>
      <c r="AFC3" t="n">
        <v>0</v>
      </c>
      <c r="AFD3" t="n">
        <v>0</v>
      </c>
      <c r="AFF3">
        <f>IF('calcA'!D$106=1,DC3+ZR3,1)</f>
        <v/>
      </c>
      <c r="AFG3">
        <f>IF('calcA'!E$106=1,DD3+ZS3,1)</f>
        <v/>
      </c>
      <c r="AFH3">
        <f>IF('calcA'!F$106=1,DE3+ZT3,1)</f>
        <v/>
      </c>
      <c r="AFI3">
        <f>IF('calcA'!G$106=1,DF3+ZU3,1)</f>
        <v/>
      </c>
      <c r="AFJ3">
        <f>IF('calcA'!H$106=1,DG3+ZV3,1)</f>
        <v/>
      </c>
      <c r="AFK3">
        <f>IF('calcA'!I$106=1,DH3+ZW3,1)</f>
        <v/>
      </c>
      <c r="AFL3">
        <f>IF('calcA'!J$106=1,DI3+ZX3,1)</f>
        <v/>
      </c>
      <c r="AFM3">
        <f>IF('calcA'!K$106=1,DJ3+ZY3,1)</f>
        <v/>
      </c>
      <c r="AFN3">
        <f>IF('calcA'!L$106=1,DK3+ZZ3,1)</f>
        <v/>
      </c>
      <c r="AFO3">
        <f>IF('calcA'!M$106=1,DL3+AAA3,1)</f>
        <v/>
      </c>
      <c r="AFP3">
        <f>IF('calcA'!N$106=1,DM3+AAB3,1)</f>
        <v/>
      </c>
      <c r="AFQ3">
        <f>IF('calcA'!O$106=1,DN3+AAC3,1)</f>
        <v/>
      </c>
      <c r="AFR3">
        <f>IF('calcA'!P$106=1,DO3+AAD3,1)</f>
        <v/>
      </c>
      <c r="AFS3">
        <f>IF('calcA'!Q$106=1,DP3+AAE3,1)</f>
        <v/>
      </c>
      <c r="AFT3">
        <f>IF('calcA'!R$106=1,DQ3+AAF3,1)</f>
        <v/>
      </c>
      <c r="AFU3">
        <f>IF('calcA'!S$106=1,DR3+AAG3,1)</f>
        <v/>
      </c>
      <c r="AFV3">
        <f>IF('calcA'!T$106=1,DS3+AAH3,1)</f>
        <v/>
      </c>
      <c r="AFW3">
        <f>IF('calcA'!U$106=1,DT3+AAI3,1)</f>
        <v/>
      </c>
      <c r="AFX3">
        <f>IF('calcA'!V$106=1,DU3+AAJ3,1)</f>
        <v/>
      </c>
      <c r="AFY3">
        <f>IF('calcA'!W$106=1,DV3+AAK3,1)</f>
        <v/>
      </c>
      <c r="AFZ3">
        <f>IF('calcA'!X$106=1,DW3+AAL3,1)</f>
        <v/>
      </c>
      <c r="AGA3">
        <f>IF('calcA'!Y$106=1,DX3+AAM3,1)</f>
        <v/>
      </c>
      <c r="AGB3">
        <f>IF('calcA'!Z$106=1,DY3+AAN3,1)</f>
        <v/>
      </c>
      <c r="AGC3">
        <f>IF('calcA'!AA$106=1,DZ3+AAO3,1)</f>
        <v/>
      </c>
      <c r="AGD3">
        <f>IF('calcA'!AB$106=1,EA3+AAP3,1)</f>
        <v/>
      </c>
      <c r="AGE3">
        <f>IF('calcA'!AC$106=1,EB3+AAQ3,1)</f>
        <v/>
      </c>
      <c r="AGF3">
        <f>IF('calcA'!AD$106=1,EC3+AAR3,1)</f>
        <v/>
      </c>
      <c r="AGG3">
        <f>IF('calcA'!AE$106=1,ED3+AAS3,1)</f>
        <v/>
      </c>
      <c r="AGH3">
        <f>IF('calcA'!AF$106=1,EE3+AAT3,1)</f>
        <v/>
      </c>
      <c r="AGI3">
        <f>IF('calcA'!AG$106=1,EF3+AAU3,1)</f>
        <v/>
      </c>
      <c r="AGJ3">
        <f>IF('calcA'!AH$106=1,EG3+AAV3,1)</f>
        <v/>
      </c>
      <c r="AGK3">
        <f>IF('calcA'!AI$106=1,EH3+AAW3,1)</f>
        <v/>
      </c>
      <c r="AGL3">
        <f>IF('calcA'!AJ$106=1,EI3+AAX3,1)</f>
        <v/>
      </c>
      <c r="AGM3">
        <f>IF('calcA'!AK$106=1,EJ3+AAY3,1)</f>
        <v/>
      </c>
      <c r="AGN3">
        <f>IF('calcA'!AL$106=1,EK3+AAZ3,1)</f>
        <v/>
      </c>
      <c r="AGO3">
        <f>IF('calcA'!AM$106=1,EL3+ABA3,1)</f>
        <v/>
      </c>
      <c r="AGP3">
        <f>IF('calcA'!AN$106=1,EM3+ABB3,1)</f>
        <v/>
      </c>
      <c r="AGQ3">
        <f>IF('calcA'!AO$106=1,EN3+ABC3,1)</f>
        <v/>
      </c>
      <c r="AGR3">
        <f>IF('calcA'!AP$106=1,EO3+ABD3,1)</f>
        <v/>
      </c>
      <c r="AGS3">
        <f>IF('calcA'!AQ$106=1,EP3+ABE3,1)</f>
        <v/>
      </c>
      <c r="AGT3">
        <f>IF('calcA'!AR$106=1,EQ3+ABF3,1)</f>
        <v/>
      </c>
      <c r="AGU3">
        <f>IF('calcA'!AS$106=1,ER3+ABG3,1)</f>
        <v/>
      </c>
      <c r="AGV3">
        <f>IF('calcA'!AT$106=1,ES3+ABH3,1)</f>
        <v/>
      </c>
      <c r="AGW3">
        <f>IF('calcA'!AU$106=1,ET3+ABI3,1)</f>
        <v/>
      </c>
      <c r="AGX3">
        <f>IF('calcA'!AV$106=1,EU3+ABJ3,1)</f>
        <v/>
      </c>
      <c r="AGY3">
        <f>IF('calcA'!AW$106=1,EV3+ABK3,1)</f>
        <v/>
      </c>
      <c r="AGZ3">
        <f>IF('calcA'!AX$106=1,EW3+ABL3,1)</f>
        <v/>
      </c>
      <c r="AHA3">
        <f>IF('calcA'!AY$106=1,EX3+ABM3,1)</f>
        <v/>
      </c>
      <c r="AHB3">
        <f>IF('calcA'!AZ$106=1,EY3+ABN3,1)</f>
        <v/>
      </c>
      <c r="AHC3">
        <f>IF('calcA'!BA$106=1,EZ3+ABO3,1)</f>
        <v/>
      </c>
      <c r="AHD3">
        <f>IF('calcA'!BB$106=1,FA3+ABP3,1)</f>
        <v/>
      </c>
      <c r="AHE3">
        <f>IF('calcA'!BC$106=1,FB3+ABQ3,1)</f>
        <v/>
      </c>
      <c r="AHF3">
        <f>IF('calcA'!BD$106=1,FC3+ABR3,1)</f>
        <v/>
      </c>
      <c r="AHG3">
        <f>IF('calcA'!BE$106=1,FD3+ABS3,1)</f>
        <v/>
      </c>
      <c r="AHH3">
        <f>IF('calcA'!BF$106=1,FE3+ABT3,1)</f>
        <v/>
      </c>
      <c r="AHI3">
        <f>IF('calcA'!BG$106=1,FF3+ABU3,1)</f>
        <v/>
      </c>
      <c r="AHJ3">
        <f>IF('calcA'!BH$106=1,FG3+ABV3,1)</f>
        <v/>
      </c>
      <c r="AHK3">
        <f>IF('calcA'!BI$106=1,FH3+ABW3,1)</f>
        <v/>
      </c>
      <c r="AHL3">
        <f>IF('calcA'!BJ$106=1,FI3+ABX3,1)</f>
        <v/>
      </c>
      <c r="AHM3">
        <f>IF('calcA'!BK$106=1,FJ3+ABY3,1)</f>
        <v/>
      </c>
      <c r="AHN3">
        <f>IF('calcA'!BL$106=1,FK3+ABZ3,1)</f>
        <v/>
      </c>
      <c r="AHO3">
        <f>IF('calcA'!BM$106=1,FL3+ACA3,1)</f>
        <v/>
      </c>
      <c r="AHP3">
        <f>IF('calcA'!BN$106=1,FM3+ACB3,1)</f>
        <v/>
      </c>
      <c r="AHQ3">
        <f>IF('calcA'!BO$106=1,FN3+ACC3,1)</f>
        <v/>
      </c>
      <c r="AHR3">
        <f>IF('calcA'!BP$106=1,FO3+ACD3,1)</f>
        <v/>
      </c>
      <c r="AHS3">
        <f>IF('calcA'!BQ$106=1,FP3+ACE3,1)</f>
        <v/>
      </c>
      <c r="AHT3">
        <f>IF('calcA'!BR$106=1,FQ3+ACF3,1)</f>
        <v/>
      </c>
      <c r="AHU3">
        <f>IF('calcA'!BS$106=1,FR3+ACG3,1)</f>
        <v/>
      </c>
      <c r="AHV3">
        <f>IF('calcA'!BT$106=1,FS3+ACH3,1)</f>
        <v/>
      </c>
      <c r="AHW3">
        <f>IF('calcA'!BU$106=1,FT3+ACI3,1)</f>
        <v/>
      </c>
      <c r="AHX3">
        <f>IF('calcA'!BV$106=1,FU3+ACJ3,1)</f>
        <v/>
      </c>
      <c r="AHY3">
        <f>IF('calcA'!BW$106=1,FV3+ACK3,1)</f>
        <v/>
      </c>
      <c r="AHZ3">
        <f>IF('calcA'!BX$106=1,FW3+ACL3,1)</f>
        <v/>
      </c>
      <c r="AIA3">
        <f>IF('calcA'!BY$106=1,FX3+ACM3,1)</f>
        <v/>
      </c>
      <c r="AIB3">
        <f>IF('calcA'!BZ$106=1,FY3+ACN3,1)</f>
        <v/>
      </c>
      <c r="AIC3">
        <f>IF('calcA'!CA$106=1,FZ3+ACO3,1)</f>
        <v/>
      </c>
      <c r="AID3">
        <f>IF('calcA'!CB$106=1,GA3+ACP3,1)</f>
        <v/>
      </c>
      <c r="AIE3">
        <f>IF('calcA'!CC$106=1,GB3+ACQ3,1)</f>
        <v/>
      </c>
      <c r="AIF3">
        <f>IF('calcA'!CD$106=1,GC3+ACR3,1)</f>
        <v/>
      </c>
      <c r="AIG3">
        <f>IF('calcA'!CE$106=1,GD3+ACS3,1)</f>
        <v/>
      </c>
      <c r="AIH3">
        <f>IF('calcA'!CF$106=1,GE3+ACT3,1)</f>
        <v/>
      </c>
      <c r="AII3">
        <f>IF('calcA'!CG$106=1,GF3+ACU3,1)</f>
        <v/>
      </c>
      <c r="AIJ3">
        <f>IF('calcA'!CH$106=1,GG3+ACV3,1)</f>
        <v/>
      </c>
      <c r="AIK3">
        <f>IF('calcA'!CI$106=1,GH3+ACW3,1)</f>
        <v/>
      </c>
      <c r="AIL3">
        <f>IF('calcA'!CJ$106=1,GI3+ACX3,1)</f>
        <v/>
      </c>
      <c r="AIM3">
        <f>IF('calcA'!CK$106=1,GJ3+ACY3,1)</f>
        <v/>
      </c>
      <c r="AIN3">
        <f>IF('calcA'!CL$106=1,GK3+ACZ3,1)</f>
        <v/>
      </c>
      <c r="AIO3">
        <f>IF('calcA'!CM$106=1,GL3+ADA3,1)</f>
        <v/>
      </c>
      <c r="AIP3">
        <f>IF('calcA'!CN$106=1,GM3+ADB3,1)</f>
        <v/>
      </c>
      <c r="AIQ3">
        <f>IF('calcA'!CO$106=1,GN3+ADC3,1)</f>
        <v/>
      </c>
      <c r="AIR3">
        <f>IF('calcA'!CP$106=1,GO3+ADD3,1)</f>
        <v/>
      </c>
      <c r="AIS3">
        <f>IF('calcA'!CQ$106=1,GP3+ADE3,1)</f>
        <v/>
      </c>
      <c r="AIT3">
        <f>IF('calcA'!CR$106=1,GQ3+ADF3,1)</f>
        <v/>
      </c>
      <c r="AIU3">
        <f>IF('calcA'!CS$106=1,GR3+ADG3,1)</f>
        <v/>
      </c>
      <c r="AIV3">
        <f>IF('calcA'!CT$106=1,GS3+ADH3,1)</f>
        <v/>
      </c>
      <c r="AIW3">
        <f>IF('calcA'!CU$106=1,GT3+ADI3,1)</f>
        <v/>
      </c>
      <c r="AIX3">
        <f>IF('calcA'!CV$106=1,GU3+ADJ3,1)</f>
        <v/>
      </c>
      <c r="AIY3">
        <f>IF('calcA'!CW$106=1,GV3+ADK3,1)</f>
        <v/>
      </c>
      <c r="AIZ3">
        <f>IF('calcA'!CX$106=1,GW3+ADL3,1)</f>
        <v/>
      </c>
      <c r="AJA3">
        <f>IF('calcA'!CY$106=1,GX3+ADM3,1)</f>
        <v/>
      </c>
      <c r="AJB3">
        <f>IF('calcA'!CZ$106=1,GY3+ADN3,1)</f>
        <v/>
      </c>
      <c r="AJC3">
        <f>IF('calcA'!DA$106=1,GZ3+ADO3,1)</f>
        <v/>
      </c>
      <c r="AJD3">
        <f>IF('calcA'!DB$106=1,HA3+ADP3,1)</f>
        <v/>
      </c>
      <c r="AJE3">
        <f>IF('calcA'!DC$106=1,HB3+ADQ3,1)</f>
        <v/>
      </c>
      <c r="AJF3">
        <f>IF('calcA'!DD$106=1,HC3+ADR3,1)</f>
        <v/>
      </c>
      <c r="AJG3">
        <f>IF('calcA'!DE$106=1,HD3+ADS3,1)</f>
        <v/>
      </c>
      <c r="AJH3">
        <f>IF('calcA'!DF$106=1,HE3+ADT3,1)</f>
        <v/>
      </c>
      <c r="AJI3">
        <f>IF('calcA'!DG$106=1,HF3+ADU3,1)</f>
        <v/>
      </c>
      <c r="AJJ3">
        <f>IF('calcA'!DH$106=1,HG3+ADV3,1)</f>
        <v/>
      </c>
      <c r="AJK3">
        <f>IF('calcA'!DI$106=1,HH3+ADW3,1)</f>
        <v/>
      </c>
      <c r="AJL3">
        <f>IF('calcA'!DJ$106=1,HI3+ADX3,1)</f>
        <v/>
      </c>
      <c r="AJM3">
        <f>IF('calcA'!DK$106=1,HJ3+ADY3,1)</f>
        <v/>
      </c>
      <c r="AJN3">
        <f>IF('calcA'!DL$106=1,HK3+ADZ3,1)</f>
        <v/>
      </c>
      <c r="AJO3">
        <f>IF('calcA'!DM$106=1,HL3+AEA3,1)</f>
        <v/>
      </c>
      <c r="AJP3">
        <f>IF('calcA'!DN$106=1,HM3+AEB3,1)</f>
        <v/>
      </c>
      <c r="AJQ3">
        <f>IF('calcA'!DO$106=1,HN3+AEC3,1)</f>
        <v/>
      </c>
      <c r="AJR3">
        <f>IF('calcA'!DP$106=1,HO3+AED3,1)</f>
        <v/>
      </c>
      <c r="AJS3">
        <f>IF('calcA'!DQ$106=1,HP3+AEE3,1)</f>
        <v/>
      </c>
      <c r="AJT3">
        <f>IF('calcA'!DR$106=1,HQ3+AEF3,1)</f>
        <v/>
      </c>
      <c r="AJU3">
        <f>IF('calcA'!DS$106=1,HR3+AEG3,1)</f>
        <v/>
      </c>
      <c r="AJV3">
        <f>IF('calcA'!DT$106=1,HS3+AEH3,1)</f>
        <v/>
      </c>
      <c r="AJW3">
        <f>IF('calcA'!DU$106=1,HT3+AEI3,1)</f>
        <v/>
      </c>
      <c r="AJX3">
        <f>IF('calcA'!DV$106=1,HU3+AEJ3,1)</f>
        <v/>
      </c>
      <c r="AJY3">
        <f>IF('calcA'!DW$106=1,HV3+AEK3,1)</f>
        <v/>
      </c>
      <c r="AJZ3">
        <f>IF('calcA'!DX$106=1,HW3+AEL3,1)</f>
        <v/>
      </c>
      <c r="AKA3">
        <f>IF('calcA'!DY$106=1,HX3+AEM3,1)</f>
        <v/>
      </c>
      <c r="AKB3">
        <f>IF('calcA'!DZ$106=1,HY3+AEN3,1)</f>
        <v/>
      </c>
      <c r="AKC3">
        <f>IF('calcA'!EA$106=1,HZ3+AEO3,1)</f>
        <v/>
      </c>
      <c r="AKD3">
        <f>IF('calcA'!EB$106=1,IA3+AEP3,1)</f>
        <v/>
      </c>
      <c r="AKE3">
        <f>IF('calcA'!EC$106=1,IB3+AEQ3,1)</f>
        <v/>
      </c>
      <c r="AKF3">
        <f>IF('calcA'!ED$106=1,IC3+AER3,1)</f>
        <v/>
      </c>
      <c r="AKG3">
        <f>IF('calcA'!EE$106=1,ID3+AES3,1)</f>
        <v/>
      </c>
      <c r="AKH3">
        <f>IF('calcA'!EF$106=1,IE3+AET3,1)</f>
        <v/>
      </c>
      <c r="AKI3">
        <f>IF('calcA'!EG$106=1,IF3+AEU3,1)</f>
        <v/>
      </c>
      <c r="AKJ3">
        <f>IF('calcA'!EH$106=1,IG3+AEV3,1)</f>
        <v/>
      </c>
      <c r="AKK3">
        <f>IF('calcA'!EI$106=1,IH3+AEW3,1)</f>
        <v/>
      </c>
      <c r="AKL3">
        <f>IF('calcA'!EJ$106=1,II3+AEX3,1)</f>
        <v/>
      </c>
      <c r="AKM3">
        <f>IF('calcA'!EK$106=1,IJ3+AEY3,1)</f>
        <v/>
      </c>
      <c r="AKN3">
        <f>IF('calcA'!EL$106=1,IK3+AEZ3,1)</f>
        <v/>
      </c>
      <c r="AKO3">
        <f>IF('calcA'!EM$106=1,IL3+AFA3,1)</f>
        <v/>
      </c>
      <c r="AKP3">
        <f>IF('calcA'!EN$106=1,IM3+AFB3,1)</f>
        <v/>
      </c>
      <c r="AKQ3">
        <f>IF('calcA'!EO$106=1,IN3+AFC3,1)</f>
        <v/>
      </c>
      <c r="AKR3">
        <f>IF('calcA'!EP$106=1,IO3+AFD3,1)</f>
        <v/>
      </c>
      <c r="AKS3" t="n">
        <v>1</v>
      </c>
    </row>
    <row r="4">
      <c r="A4" t="n">
        <v>2</v>
      </c>
      <c r="B4">
        <f>IF(MIN(BM4:CZ4)&gt;=1000000000,0,MATCH(MIN(BM4:CZ4),BM4:CZ4,0))</f>
        <v/>
      </c>
      <c r="C4">
        <f>IF(MIN(OF4:TS4)&gt;=1000000000,0,MATCH(MIN(OF4:TS4),OF4:TS4,0))</f>
        <v/>
      </c>
      <c r="D4">
        <f>IF(C4&gt;0,INDEX('calcA'!$D$5:$EQ$5,C4),0)</f>
        <v/>
      </c>
      <c r="E4">
        <f>IF(B4=0,0,INDEX('calcA'!$IQ$10:$IQ$54,B4))</f>
        <v/>
      </c>
      <c r="F4">
        <f>IF(B4=0,0,INDEX('calcA'!$IP$10:$IP$54,B4))</f>
        <v/>
      </c>
      <c r="G4">
        <f>IF(AND(C4&gt;0,E4&gt;0),IF(AND(INDEX('calcA'!$D$106:$EQ$106,C4)=1,INDEX($IQ4:$OD4,C4)=1),C4+1,0),0)</f>
        <v/>
      </c>
      <c r="H4">
        <f>IF(B4=0,0,INDEX('calcA'!$IW$10:$IW$54,B4))</f>
        <v/>
      </c>
      <c r="U4">
        <f>IF(B4=0,0,INDEX('calcA'!$IX$10:$IX$54,B4))</f>
        <v/>
      </c>
      <c r="V4">
        <f>IF(B4=0,0,INDEX('calcA'!$JF$10:$JF$54,B4))</f>
        <v/>
      </c>
      <c r="W4">
        <f>IF(B4=0,0,IF(IF(E4=2,SUMPRODUCT(INDEX('calcA'!$D$60:$EQ$99,B4,0),$DB4:$IO4,$IQ4:$OD4),SUMPRODUCT(INDEX('calcA'!$D$60:$EQ$99,B4,0),$DB4:$IO4))=0,1,0))</f>
        <v/>
      </c>
      <c r="X4">
        <f>MAX(X3,IF($B3=1,1,0))</f>
        <v/>
      </c>
      <c r="Y4">
        <f>MAX(Y3,IF($B3=2,1,0))</f>
        <v/>
      </c>
      <c r="Z4">
        <f>MAX(Z3,IF($B3=3,1,0))</f>
        <v/>
      </c>
      <c r="AA4">
        <f>MAX(AA3,IF($B3=4,1,0))</f>
        <v/>
      </c>
      <c r="AB4">
        <f>MAX(AB3,IF($B3=5,1,0))</f>
        <v/>
      </c>
      <c r="AC4">
        <f>MAX(AC3,IF($B3=6,1,0))</f>
        <v/>
      </c>
      <c r="AD4">
        <f>MAX(AD3,IF($B3=7,1,0))</f>
        <v/>
      </c>
      <c r="AE4">
        <f>MAX(AE3,IF($B3=8,1,0))</f>
        <v/>
      </c>
      <c r="AF4">
        <f>MAX(AF3,IF($B3=9,1,0))</f>
        <v/>
      </c>
      <c r="AG4">
        <f>MAX(AG3,IF($B3=10,1,0))</f>
        <v/>
      </c>
      <c r="AH4">
        <f>MAX(AH3,IF($B3=11,1,0))</f>
        <v/>
      </c>
      <c r="AI4">
        <f>MAX(AI3,IF($B3=12,1,0))</f>
        <v/>
      </c>
      <c r="AJ4">
        <f>MAX(AJ3,IF($B3=13,1,0))</f>
        <v/>
      </c>
      <c r="AK4">
        <f>MAX(AK3,IF($B3=14,1,0))</f>
        <v/>
      </c>
      <c r="AL4">
        <f>MAX(AL3,IF($B3=15,1,0))</f>
        <v/>
      </c>
      <c r="AM4">
        <f>MAX(AM3,IF($B3=16,1,0))</f>
        <v/>
      </c>
      <c r="AN4">
        <f>MAX(AN3,IF($B3=17,1,0))</f>
        <v/>
      </c>
      <c r="AO4">
        <f>MAX(AO3,IF($B3=18,1,0))</f>
        <v/>
      </c>
      <c r="AP4">
        <f>MAX(AP3,IF($B3=19,1,0))</f>
        <v/>
      </c>
      <c r="AQ4">
        <f>MAX(AQ3,IF($B3=20,1,0))</f>
        <v/>
      </c>
      <c r="AR4">
        <f>MAX(AR3,IF($B3=21,1,0))</f>
        <v/>
      </c>
      <c r="AS4">
        <f>MAX(AS3,IF($B3=22,1,0))</f>
        <v/>
      </c>
      <c r="AT4">
        <f>MAX(AT3,IF($B3=23,1,0))</f>
        <v/>
      </c>
      <c r="AU4">
        <f>MAX(AU3,IF($B3=24,1,0))</f>
        <v/>
      </c>
      <c r="AV4">
        <f>MAX(AV3,IF($B3=25,1,0))</f>
        <v/>
      </c>
      <c r="AW4">
        <f>MAX(AW3,IF($B3=26,1,0))</f>
        <v/>
      </c>
      <c r="AX4">
        <f>MAX(AX3,IF($B3=27,1,0))</f>
        <v/>
      </c>
      <c r="AY4">
        <f>MAX(AY3,IF($B3=28,1,0))</f>
        <v/>
      </c>
      <c r="AZ4">
        <f>MAX(AZ3,IF($B3=29,1,0))</f>
        <v/>
      </c>
      <c r="BA4">
        <f>MAX(BA3,IF($B3=30,1,0))</f>
        <v/>
      </c>
      <c r="BB4">
        <f>MAX(BB3,IF($B3=31,1,0))</f>
        <v/>
      </c>
      <c r="BC4">
        <f>MAX(BC3,IF($B3=32,1,0))</f>
        <v/>
      </c>
      <c r="BD4">
        <f>MAX(BD3,IF($B3=33,1,0))</f>
        <v/>
      </c>
      <c r="BE4">
        <f>MAX(BE3,IF($B3=34,1,0))</f>
        <v/>
      </c>
      <c r="BF4">
        <f>MAX(BF3,IF($B3=35,1,0))</f>
        <v/>
      </c>
      <c r="BG4">
        <f>MAX(BG3,IF($B3=36,1,0))</f>
        <v/>
      </c>
      <c r="BH4">
        <f>MAX(BH3,IF($B3=37,1,0))</f>
        <v/>
      </c>
      <c r="BI4">
        <f>MAX(BI3,IF($B3=38,1,0))</f>
        <v/>
      </c>
      <c r="BJ4">
        <f>MAX(BJ3,IF($B3=39,1,0))</f>
        <v/>
      </c>
      <c r="BK4">
        <f>MAX(BK3,IF($B3=40,1,0))</f>
        <v/>
      </c>
      <c r="BM4">
        <f>IF(OR(X4=1,calcA!$A$6=0),1000000000,IF('calcA'!$JF$10=1,0,100000000)+IF('calcA'!$IQ$10=2,SUMPRODUCT('calcA'!$D$60:$EQ$60,$DB4:$IO4,$IQ4:$OD4)*1000+SUMPRODUCT('calcA'!$D$60:$EQ$60,$DB4:$IO4+$ZQ4:$AFD4,$AFF4:$AKS4),SUMPRODUCT('calcA'!$D$60:$EQ$60,$DB4:$IO4*1001+$ZQ4:$AFD4))*100+1)</f>
        <v/>
      </c>
      <c r="BN4">
        <f>IF(OR(Y4=1,calcA!$A$6=0),1000000000,IF('calcA'!$JF$11=1,0,100000000)+IF('calcA'!$IQ$11=2,SUMPRODUCT('calcA'!$D$61:$EQ$61,$DB4:$IO4,$IQ4:$OD4)*1000+SUMPRODUCT('calcA'!$D$61:$EQ$61,$DB4:$IO4+$ZQ4:$AFD4,$AFF4:$AKS4),SUMPRODUCT('calcA'!$D$61:$EQ$61,$DB4:$IO4*1001+$ZQ4:$AFD4))*100+2)</f>
        <v/>
      </c>
      <c r="BO4">
        <f>IF(OR(Z4=1,calcA!$A$6=0),1000000000,IF('calcA'!$JF$12=1,0,100000000)+IF('calcA'!$IQ$12=2,SUMPRODUCT('calcA'!$D$62:$EQ$62,$DB4:$IO4,$IQ4:$OD4)*1000+SUMPRODUCT('calcA'!$D$62:$EQ$62,$DB4:$IO4+$ZQ4:$AFD4,$AFF4:$AKS4),SUMPRODUCT('calcA'!$D$62:$EQ$62,$DB4:$IO4*1001+$ZQ4:$AFD4))*100+3)</f>
        <v/>
      </c>
      <c r="BP4">
        <f>IF(OR(AA4=1,calcA!$A$6=0),1000000000,IF('calcA'!$JF$13=1,0,100000000)+IF('calcA'!$IQ$13=2,SUMPRODUCT('calcA'!$D$63:$EQ$63,$DB4:$IO4,$IQ4:$OD4)*1000+SUMPRODUCT('calcA'!$D$63:$EQ$63,$DB4:$IO4+$ZQ4:$AFD4,$AFF4:$AKS4),SUMPRODUCT('calcA'!$D$63:$EQ$63,$DB4:$IO4*1001+$ZQ4:$AFD4))*100+4)</f>
        <v/>
      </c>
      <c r="BQ4">
        <f>IF(OR(AB4=1,calcA!$A$6=0),1000000000,IF('calcA'!$JF$14=1,0,100000000)+IF('calcA'!$IQ$14=2,SUMPRODUCT('calcA'!$D$64:$EQ$64,$DB4:$IO4,$IQ4:$OD4)*1000+SUMPRODUCT('calcA'!$D$64:$EQ$64,$DB4:$IO4+$ZQ4:$AFD4,$AFF4:$AKS4),SUMPRODUCT('calcA'!$D$64:$EQ$64,$DB4:$IO4*1001+$ZQ4:$AFD4))*100+5)</f>
        <v/>
      </c>
      <c r="BR4">
        <f>IF(OR(AC4=1,calcA!$A$6=0),1000000000,IF('calcA'!$JF$15=1,0,100000000)+IF('calcA'!$IQ$15=2,SUMPRODUCT('calcA'!$D$65:$EQ$65,$DB4:$IO4,$IQ4:$OD4)*1000+SUMPRODUCT('calcA'!$D$65:$EQ$65,$DB4:$IO4+$ZQ4:$AFD4,$AFF4:$AKS4),SUMPRODUCT('calcA'!$D$65:$EQ$65,$DB4:$IO4*1001+$ZQ4:$AFD4))*100+6)</f>
        <v/>
      </c>
      <c r="BS4">
        <f>IF(OR(AD4=1,calcA!$A$6=0),1000000000,IF('calcA'!$JF$16=1,0,100000000)+IF('calcA'!$IQ$16=2,SUMPRODUCT('calcA'!$D$66:$EQ$66,$DB4:$IO4,$IQ4:$OD4)*1000+SUMPRODUCT('calcA'!$D$66:$EQ$66,$DB4:$IO4+$ZQ4:$AFD4,$AFF4:$AKS4),SUMPRODUCT('calcA'!$D$66:$EQ$66,$DB4:$IO4*1001+$ZQ4:$AFD4))*100+7)</f>
        <v/>
      </c>
      <c r="BT4">
        <f>IF(OR(AE4=1,calcA!$A$6=0),1000000000,IF('calcA'!$JF$17=1,0,100000000)+IF('calcA'!$IQ$17=2,SUMPRODUCT('calcA'!$D$67:$EQ$67,$DB4:$IO4,$IQ4:$OD4)*1000+SUMPRODUCT('calcA'!$D$67:$EQ$67,$DB4:$IO4+$ZQ4:$AFD4,$AFF4:$AKS4),SUMPRODUCT('calcA'!$D$67:$EQ$67,$DB4:$IO4*1001+$ZQ4:$AFD4))*100+8)</f>
        <v/>
      </c>
      <c r="BU4">
        <f>IF(OR(AF4=1,calcA!$A$6=0),1000000000,IF('calcA'!$JF$18=1,0,100000000)+IF('calcA'!$IQ$18=2,SUMPRODUCT('calcA'!$D$68:$EQ$68,$DB4:$IO4,$IQ4:$OD4)*1000+SUMPRODUCT('calcA'!$D$68:$EQ$68,$DB4:$IO4+$ZQ4:$AFD4,$AFF4:$AKS4),SUMPRODUCT('calcA'!$D$68:$EQ$68,$DB4:$IO4*1001+$ZQ4:$AFD4))*100+9)</f>
        <v/>
      </c>
      <c r="BV4">
        <f>IF(OR(AG4=1,calcA!$A$6=0),1000000000,IF('calcA'!$JF$19=1,0,100000000)+IF('calcA'!$IQ$19=2,SUMPRODUCT('calcA'!$D$69:$EQ$69,$DB4:$IO4,$IQ4:$OD4)*1000+SUMPRODUCT('calcA'!$D$69:$EQ$69,$DB4:$IO4+$ZQ4:$AFD4,$AFF4:$AKS4),SUMPRODUCT('calcA'!$D$69:$EQ$69,$DB4:$IO4*1001+$ZQ4:$AFD4))*100+10)</f>
        <v/>
      </c>
      <c r="BW4">
        <f>IF(OR(AH4=1,calcA!$A$6=0),1000000000,IF('calcA'!$JF$20=1,0,100000000)+IF('calcA'!$IQ$20=2,SUMPRODUCT('calcA'!$D$70:$EQ$70,$DB4:$IO4,$IQ4:$OD4)*1000+SUMPRODUCT('calcA'!$D$70:$EQ$70,$DB4:$IO4+$ZQ4:$AFD4,$AFF4:$AKS4),SUMPRODUCT('calcA'!$D$70:$EQ$70,$DB4:$IO4*1001+$ZQ4:$AFD4))*100+11)</f>
        <v/>
      </c>
      <c r="BX4">
        <f>IF(OR(AI4=1,calcA!$A$6=0),1000000000,IF('calcA'!$JF$21=1,0,100000000)+IF('calcA'!$IQ$21=2,SUMPRODUCT('calcA'!$D$71:$EQ$71,$DB4:$IO4,$IQ4:$OD4)*1000+SUMPRODUCT('calcA'!$D$71:$EQ$71,$DB4:$IO4+$ZQ4:$AFD4,$AFF4:$AKS4),SUMPRODUCT('calcA'!$D$71:$EQ$71,$DB4:$IO4*1001+$ZQ4:$AFD4))*100+12)</f>
        <v/>
      </c>
      <c r="BY4">
        <f>IF(OR(AJ4=1,calcA!$A$6=0),1000000000,IF('calcA'!$JF$22=1,0,100000000)+IF('calcA'!$IQ$22=2,SUMPRODUCT('calcA'!$D$72:$EQ$72,$DB4:$IO4,$IQ4:$OD4)*1000+SUMPRODUCT('calcA'!$D$72:$EQ$72,$DB4:$IO4+$ZQ4:$AFD4,$AFF4:$AKS4),SUMPRODUCT('calcA'!$D$72:$EQ$72,$DB4:$IO4*1001+$ZQ4:$AFD4))*100+13)</f>
        <v/>
      </c>
      <c r="BZ4">
        <f>IF(OR(AK4=1,calcA!$A$6=0),1000000000,IF('calcA'!$JF$23=1,0,100000000)+IF('calcA'!$IQ$23=2,SUMPRODUCT('calcA'!$D$73:$EQ$73,$DB4:$IO4,$IQ4:$OD4)*1000+SUMPRODUCT('calcA'!$D$73:$EQ$73,$DB4:$IO4+$ZQ4:$AFD4,$AFF4:$AKS4),SUMPRODUCT('calcA'!$D$73:$EQ$73,$DB4:$IO4*1001+$ZQ4:$AFD4))*100+14)</f>
        <v/>
      </c>
      <c r="CA4">
        <f>IF(OR(AL4=1,calcA!$A$6=0),1000000000,IF('calcA'!$JF$24=1,0,100000000)+IF('calcA'!$IQ$24=2,SUMPRODUCT('calcA'!$D$74:$EQ$74,$DB4:$IO4,$IQ4:$OD4)*1000+SUMPRODUCT('calcA'!$D$74:$EQ$74,$DB4:$IO4+$ZQ4:$AFD4,$AFF4:$AKS4),SUMPRODUCT('calcA'!$D$74:$EQ$74,$DB4:$IO4*1001+$ZQ4:$AFD4))*100+15)</f>
        <v/>
      </c>
      <c r="CB4">
        <f>IF(OR(AM4=1,calcA!$A$6=0),1000000000,IF('calcA'!$JF$25=1,0,100000000)+IF('calcA'!$IQ$25=2,SUMPRODUCT('calcA'!$D$75:$EQ$75,$DB4:$IO4,$IQ4:$OD4)*1000+SUMPRODUCT('calcA'!$D$75:$EQ$75,$DB4:$IO4+$ZQ4:$AFD4,$AFF4:$AKS4),SUMPRODUCT('calcA'!$D$75:$EQ$75,$DB4:$IO4*1001+$ZQ4:$AFD4))*100+16)</f>
        <v/>
      </c>
      <c r="CC4">
        <f>IF(OR(AN4=1,calcA!$A$6=0),1000000000,IF('calcA'!$JF$26=1,0,100000000)+IF('calcA'!$IQ$26=2,SUMPRODUCT('calcA'!$D$76:$EQ$76,$DB4:$IO4,$IQ4:$OD4)*1000+SUMPRODUCT('calcA'!$D$76:$EQ$76,$DB4:$IO4+$ZQ4:$AFD4,$AFF4:$AKS4),SUMPRODUCT('calcA'!$D$76:$EQ$76,$DB4:$IO4*1001+$ZQ4:$AFD4))*100+17)</f>
        <v/>
      </c>
      <c r="CD4">
        <f>IF(OR(AO4=1,calcA!$A$6=0),1000000000,IF('calcA'!$JF$27=1,0,100000000)+IF('calcA'!$IQ$27=2,SUMPRODUCT('calcA'!$D$77:$EQ$77,$DB4:$IO4,$IQ4:$OD4)*1000+SUMPRODUCT('calcA'!$D$77:$EQ$77,$DB4:$IO4+$ZQ4:$AFD4,$AFF4:$AKS4),SUMPRODUCT('calcA'!$D$77:$EQ$77,$DB4:$IO4*1001+$ZQ4:$AFD4))*100+18)</f>
        <v/>
      </c>
      <c r="CE4">
        <f>IF(OR(AP4=1,calcA!$A$6=0),1000000000,IF('calcA'!$JF$28=1,0,100000000)+IF('calcA'!$IQ$28=2,SUMPRODUCT('calcA'!$D$78:$EQ$78,$DB4:$IO4,$IQ4:$OD4)*1000+SUMPRODUCT('calcA'!$D$78:$EQ$78,$DB4:$IO4+$ZQ4:$AFD4,$AFF4:$AKS4),SUMPRODUCT('calcA'!$D$78:$EQ$78,$DB4:$IO4*1001+$ZQ4:$AFD4))*100+19)</f>
        <v/>
      </c>
      <c r="CF4">
        <f>IF(OR(AQ4=1,calcA!$A$6=0),1000000000,IF('calcA'!$JF$29=1,0,100000000)+IF('calcA'!$IQ$29=2,SUMPRODUCT('calcA'!$D$79:$EQ$79,$DB4:$IO4,$IQ4:$OD4)*1000+SUMPRODUCT('calcA'!$D$79:$EQ$79,$DB4:$IO4+$ZQ4:$AFD4,$AFF4:$AKS4),SUMPRODUCT('calcA'!$D$79:$EQ$79,$DB4:$IO4*1001+$ZQ4:$AFD4))*100+20)</f>
        <v/>
      </c>
      <c r="CG4">
        <f>IF(OR(AR4=1,calcA!$A$6=0),1000000000,IF('calcA'!$JF$30=1,0,100000000)+IF('calcA'!$IQ$30=2,SUMPRODUCT('calcA'!$D$80:$EQ$80,$DB4:$IO4,$IQ4:$OD4)*1000+SUMPRODUCT('calcA'!$D$80:$EQ$80,$DB4:$IO4+$ZQ4:$AFD4,$AFF4:$AKS4),SUMPRODUCT('calcA'!$D$80:$EQ$80,$DB4:$IO4*1001+$ZQ4:$AFD4))*100+21)</f>
        <v/>
      </c>
      <c r="CH4">
        <f>IF(OR(AS4=1,calcA!$A$6=0),1000000000,IF('calcA'!$JF$31=1,0,100000000)+IF('calcA'!$IQ$31=2,SUMPRODUCT('calcA'!$D$81:$EQ$81,$DB4:$IO4,$IQ4:$OD4)*1000+SUMPRODUCT('calcA'!$D$81:$EQ$81,$DB4:$IO4+$ZQ4:$AFD4,$AFF4:$AKS4),SUMPRODUCT('calcA'!$D$81:$EQ$81,$DB4:$IO4*1001+$ZQ4:$AFD4))*100+22)</f>
        <v/>
      </c>
      <c r="CI4">
        <f>IF(OR(AT4=1,calcA!$A$6=0),1000000000,IF('calcA'!$JF$32=1,0,100000000)+IF('calcA'!$IQ$32=2,SUMPRODUCT('calcA'!$D$82:$EQ$82,$DB4:$IO4,$IQ4:$OD4)*1000+SUMPRODUCT('calcA'!$D$82:$EQ$82,$DB4:$IO4+$ZQ4:$AFD4,$AFF4:$AKS4),SUMPRODUCT('calcA'!$D$82:$EQ$82,$DB4:$IO4*1001+$ZQ4:$AFD4))*100+23)</f>
        <v/>
      </c>
      <c r="CJ4">
        <f>IF(OR(AU4=1,calcA!$A$6=0),1000000000,IF('calcA'!$JF$33=1,0,100000000)+IF('calcA'!$IQ$33=2,SUMPRODUCT('calcA'!$D$83:$EQ$83,$DB4:$IO4,$IQ4:$OD4)*1000+SUMPRODUCT('calcA'!$D$83:$EQ$83,$DB4:$IO4+$ZQ4:$AFD4,$AFF4:$AKS4),SUMPRODUCT('calcA'!$D$83:$EQ$83,$DB4:$IO4*1001+$ZQ4:$AFD4))*100+24)</f>
        <v/>
      </c>
      <c r="CK4">
        <f>IF(OR(AV4=1,calcA!$A$6=0),1000000000,IF('calcA'!$JF$34=1,0,100000000)+IF('calcA'!$IQ$34=2,SUMPRODUCT('calcA'!$D$84:$EQ$84,$DB4:$IO4,$IQ4:$OD4)*1000+SUMPRODUCT('calcA'!$D$84:$EQ$84,$DB4:$IO4+$ZQ4:$AFD4,$AFF4:$AKS4),SUMPRODUCT('calcA'!$D$84:$EQ$84,$DB4:$IO4*1001+$ZQ4:$AFD4))*100+25)</f>
        <v/>
      </c>
      <c r="CL4">
        <f>IF(OR(AW4=1,calcA!$A$6=0),1000000000,IF('calcA'!$JF$35=1,0,100000000)+IF('calcA'!$IQ$35=2,SUMPRODUCT('calcA'!$D$85:$EQ$85,$DB4:$IO4,$IQ4:$OD4)*1000+SUMPRODUCT('calcA'!$D$85:$EQ$85,$DB4:$IO4+$ZQ4:$AFD4,$AFF4:$AKS4),SUMPRODUCT('calcA'!$D$85:$EQ$85,$DB4:$IO4*1001+$ZQ4:$AFD4))*100+26)</f>
        <v/>
      </c>
      <c r="CM4">
        <f>IF(OR(AX4=1,calcA!$A$6=0),1000000000,IF('calcA'!$JF$36=1,0,100000000)+IF('calcA'!$IQ$36=2,SUMPRODUCT('calcA'!$D$86:$EQ$86,$DB4:$IO4,$IQ4:$OD4)*1000+SUMPRODUCT('calcA'!$D$86:$EQ$86,$DB4:$IO4+$ZQ4:$AFD4,$AFF4:$AKS4),SUMPRODUCT('calcA'!$D$86:$EQ$86,$DB4:$IO4*1001+$ZQ4:$AFD4))*100+27)</f>
        <v/>
      </c>
      <c r="CN4">
        <f>IF(OR(AY4=1,calcA!$A$6=0),1000000000,IF('calcA'!$JF$37=1,0,100000000)+IF('calcA'!$IQ$37=2,SUMPRODUCT('calcA'!$D$87:$EQ$87,$DB4:$IO4,$IQ4:$OD4)*1000+SUMPRODUCT('calcA'!$D$87:$EQ$87,$DB4:$IO4+$ZQ4:$AFD4,$AFF4:$AKS4),SUMPRODUCT('calcA'!$D$87:$EQ$87,$DB4:$IO4*1001+$ZQ4:$AFD4))*100+28)</f>
        <v/>
      </c>
      <c r="CO4">
        <f>IF(OR(AZ4=1,calcA!$A$6=0),1000000000,IF('calcA'!$JF$38=1,0,100000000)+IF('calcA'!$IQ$38=2,SUMPRODUCT('calcA'!$D$88:$EQ$88,$DB4:$IO4,$IQ4:$OD4)*1000+SUMPRODUCT('calcA'!$D$88:$EQ$88,$DB4:$IO4+$ZQ4:$AFD4,$AFF4:$AKS4),SUMPRODUCT('calcA'!$D$88:$EQ$88,$DB4:$IO4*1001+$ZQ4:$AFD4))*100+29)</f>
        <v/>
      </c>
      <c r="CP4">
        <f>IF(OR(BA4=1,calcA!$A$6=0),1000000000,IF('calcA'!$JF$39=1,0,100000000)+IF('calcA'!$IQ$39=2,SUMPRODUCT('calcA'!$D$89:$EQ$89,$DB4:$IO4,$IQ4:$OD4)*1000+SUMPRODUCT('calcA'!$D$89:$EQ$89,$DB4:$IO4+$ZQ4:$AFD4,$AFF4:$AKS4),SUMPRODUCT('calcA'!$D$89:$EQ$89,$DB4:$IO4*1001+$ZQ4:$AFD4))*100+30)</f>
        <v/>
      </c>
      <c r="CQ4">
        <f>IF(OR(BB4=1,calcA!$A$6=0),1000000000,IF('calcA'!$JF$40=1,0,100000000)+IF('calcA'!$IQ$40=2,SUMPRODUCT('calcA'!$D$90:$EQ$90,$DB4:$IO4,$IQ4:$OD4)*1000+SUMPRODUCT('calcA'!$D$90:$EQ$90,$DB4:$IO4+$ZQ4:$AFD4,$AFF4:$AKS4),SUMPRODUCT('calcA'!$D$90:$EQ$90,$DB4:$IO4*1001+$ZQ4:$AFD4))*100+31)</f>
        <v/>
      </c>
      <c r="CR4">
        <f>IF(OR(BC4=1,calcA!$A$6=0),1000000000,IF('calcA'!$JF$41=1,0,100000000)+IF('calcA'!$IQ$41=2,SUMPRODUCT('calcA'!$D$91:$EQ$91,$DB4:$IO4,$IQ4:$OD4)*1000+SUMPRODUCT('calcA'!$D$91:$EQ$91,$DB4:$IO4+$ZQ4:$AFD4,$AFF4:$AKS4),SUMPRODUCT('calcA'!$D$91:$EQ$91,$DB4:$IO4*1001+$ZQ4:$AFD4))*100+32)</f>
        <v/>
      </c>
      <c r="CS4">
        <f>IF(OR(BD4=1,calcA!$A$6=0),1000000000,IF('calcA'!$JF$42=1,0,100000000)+IF('calcA'!$IQ$42=2,SUMPRODUCT('calcA'!$D$92:$EQ$92,$DB4:$IO4,$IQ4:$OD4)*1000+SUMPRODUCT('calcA'!$D$92:$EQ$92,$DB4:$IO4+$ZQ4:$AFD4,$AFF4:$AKS4),SUMPRODUCT('calcA'!$D$92:$EQ$92,$DB4:$IO4*1001+$ZQ4:$AFD4))*100+33)</f>
        <v/>
      </c>
      <c r="CT4">
        <f>IF(OR(BE4=1,calcA!$A$6=0),1000000000,IF('calcA'!$JF$43=1,0,100000000)+IF('calcA'!$IQ$43=2,SUMPRODUCT('calcA'!$D$93:$EQ$93,$DB4:$IO4,$IQ4:$OD4)*1000+SUMPRODUCT('calcA'!$D$93:$EQ$93,$DB4:$IO4+$ZQ4:$AFD4,$AFF4:$AKS4),SUMPRODUCT('calcA'!$D$93:$EQ$93,$DB4:$IO4*1001+$ZQ4:$AFD4))*100+34)</f>
        <v/>
      </c>
      <c r="CU4">
        <f>IF(OR(BF4=1,calcA!$A$6=0),1000000000,IF('calcA'!$JF$44=1,0,100000000)+IF('calcA'!$IQ$44=2,SUMPRODUCT('calcA'!$D$94:$EQ$94,$DB4:$IO4,$IQ4:$OD4)*1000+SUMPRODUCT('calcA'!$D$94:$EQ$94,$DB4:$IO4+$ZQ4:$AFD4,$AFF4:$AKS4),SUMPRODUCT('calcA'!$D$94:$EQ$94,$DB4:$IO4*1001+$ZQ4:$AFD4))*100+35)</f>
        <v/>
      </c>
      <c r="CV4">
        <f>IF(OR(BG4=1,calcA!$A$6=0),1000000000,IF('calcA'!$JF$45=1,0,100000000)+IF('calcA'!$IQ$45=2,SUMPRODUCT('calcA'!$D$95:$EQ$95,$DB4:$IO4,$IQ4:$OD4)*1000+SUMPRODUCT('calcA'!$D$95:$EQ$95,$DB4:$IO4+$ZQ4:$AFD4,$AFF4:$AKS4),SUMPRODUCT('calcA'!$D$95:$EQ$95,$DB4:$IO4*1001+$ZQ4:$AFD4))*100+36)</f>
        <v/>
      </c>
      <c r="CW4">
        <f>IF(OR(BH4=1,calcA!$A$6=0),1000000000,IF('calcA'!$JF$46=1,0,100000000)+IF('calcA'!$IQ$46=2,SUMPRODUCT('calcA'!$D$96:$EQ$96,$DB4:$IO4,$IQ4:$OD4)*1000+SUMPRODUCT('calcA'!$D$96:$EQ$96,$DB4:$IO4+$ZQ4:$AFD4,$AFF4:$AKS4),SUMPRODUCT('calcA'!$D$96:$EQ$96,$DB4:$IO4*1001+$ZQ4:$AFD4))*100+37)</f>
        <v/>
      </c>
      <c r="CX4">
        <f>IF(OR(BI4=1,calcA!$A$6=0),1000000000,IF('calcA'!$JF$47=1,0,100000000)+IF('calcA'!$IQ$47=2,SUMPRODUCT('calcA'!$D$97:$EQ$97,$DB4:$IO4,$IQ4:$OD4)*1000+SUMPRODUCT('calcA'!$D$97:$EQ$97,$DB4:$IO4+$ZQ4:$AFD4,$AFF4:$AKS4),SUMPRODUCT('calcA'!$D$97:$EQ$97,$DB4:$IO4*1001+$ZQ4:$AFD4))*100+38)</f>
        <v/>
      </c>
      <c r="CY4">
        <f>IF(OR(BJ4=1,calcA!$A$6=0),1000000000,IF('calcA'!$JF$48=1,0,100000000)+IF('calcA'!$IQ$48=2,SUMPRODUCT('calcA'!$D$98:$EQ$98,$DB4:$IO4,$IQ4:$OD4)*1000+SUMPRODUCT('calcA'!$D$98:$EQ$98,$DB4:$IO4+$ZQ4:$AFD4,$AFF4:$AKS4),SUMPRODUCT('calcA'!$D$98:$EQ$98,$DB4:$IO4*1001+$ZQ4:$AFD4))*100+39)</f>
        <v/>
      </c>
      <c r="CZ4">
        <f>IF(OR(BK4=1,calcA!$A$6=0),1000000000,IF('calcA'!$JF$49=1,0,100000000)+IF('calcA'!$IQ$49=2,SUMPRODUCT('calcA'!$D$99:$EQ$99,$DB4:$IO4,$IQ4:$OD4)*1000+SUMPRODUCT('calcA'!$D$99:$EQ$99,$DB4:$IO4+$ZQ4:$AFD4,$AFF4:$AKS4),SUMPRODUCT('calcA'!$D$99:$EQ$99,$DB4:$IO4*1001+$ZQ4:$AFD4))*100+40)</f>
        <v/>
      </c>
      <c r="DB4">
        <f>DB3*IF(OR($C3=1,$G3=1),0,1)</f>
        <v/>
      </c>
      <c r="DC4">
        <f>DC3*IF(OR($C3=2,$G3=2),0,1)</f>
        <v/>
      </c>
      <c r="DD4">
        <f>DD3*IF(OR($C3=3,$G3=3),0,1)</f>
        <v/>
      </c>
      <c r="DE4">
        <f>DE3*IF(OR($C3=4,$G3=4),0,1)</f>
        <v/>
      </c>
      <c r="DF4">
        <f>DF3*IF(OR($C3=5,$G3=5),0,1)</f>
        <v/>
      </c>
      <c r="DG4">
        <f>DG3*IF(OR($C3=6,$G3=6),0,1)</f>
        <v/>
      </c>
      <c r="DH4">
        <f>DH3*IF(OR($C3=7,$G3=7),0,1)</f>
        <v/>
      </c>
      <c r="DI4">
        <f>DI3*IF(OR($C3=8,$G3=8),0,1)</f>
        <v/>
      </c>
      <c r="DJ4">
        <f>DJ3*IF(OR($C3=9,$G3=9),0,1)</f>
        <v/>
      </c>
      <c r="DK4">
        <f>DK3*IF(OR($C3=10,$G3=10),0,1)</f>
        <v/>
      </c>
      <c r="DL4">
        <f>DL3*IF(OR($C3=11,$G3=11),0,1)</f>
        <v/>
      </c>
      <c r="DM4">
        <f>DM3*IF(OR($C3=12,$G3=12),0,1)</f>
        <v/>
      </c>
      <c r="DN4">
        <f>DN3*IF(OR($C3=13,$G3=13),0,1)</f>
        <v/>
      </c>
      <c r="DO4">
        <f>DO3*IF(OR($C3=14,$G3=14),0,1)</f>
        <v/>
      </c>
      <c r="DP4">
        <f>DP3*IF(OR($C3=15,$G3=15),0,1)</f>
        <v/>
      </c>
      <c r="DQ4">
        <f>DQ3*IF(OR($C3=16,$G3=16),0,1)</f>
        <v/>
      </c>
      <c r="DR4">
        <f>DR3*IF(OR($C3=17,$G3=17),0,1)</f>
        <v/>
      </c>
      <c r="DS4">
        <f>DS3*IF(OR($C3=18,$G3=18),0,1)</f>
        <v/>
      </c>
      <c r="DT4">
        <f>DT3*IF(OR($C3=19,$G3=19),0,1)</f>
        <v/>
      </c>
      <c r="DU4">
        <f>DU3*IF(OR($C3=20,$G3=20),0,1)</f>
        <v/>
      </c>
      <c r="DV4">
        <f>DV3*IF(OR($C3=21,$G3=21),0,1)</f>
        <v/>
      </c>
      <c r="DW4">
        <f>DW3*IF(OR($C3=22,$G3=22),0,1)</f>
        <v/>
      </c>
      <c r="DX4">
        <f>DX3*IF(OR($C3=23,$G3=23),0,1)</f>
        <v/>
      </c>
      <c r="DY4">
        <f>DY3*IF(OR($C3=24,$G3=24),0,1)</f>
        <v/>
      </c>
      <c r="DZ4">
        <f>DZ3*IF(OR($C3=25,$G3=25),0,1)</f>
        <v/>
      </c>
      <c r="EA4">
        <f>EA3*IF(OR($C3=26,$G3=26),0,1)</f>
        <v/>
      </c>
      <c r="EB4">
        <f>EB3*IF(OR($C3=27,$G3=27),0,1)</f>
        <v/>
      </c>
      <c r="EC4">
        <f>EC3*IF(OR($C3=28,$G3=28),0,1)</f>
        <v/>
      </c>
      <c r="ED4">
        <f>ED3*IF(OR($C3=29,$G3=29),0,1)</f>
        <v/>
      </c>
      <c r="EE4">
        <f>EE3*IF(OR($C3=30,$G3=30),0,1)</f>
        <v/>
      </c>
      <c r="EF4">
        <f>EF3*IF(OR($C3=31,$G3=31),0,1)</f>
        <v/>
      </c>
      <c r="EG4">
        <f>EG3*IF(OR($C3=32,$G3=32),0,1)</f>
        <v/>
      </c>
      <c r="EH4">
        <f>EH3*IF(OR($C3=33,$G3=33),0,1)</f>
        <v/>
      </c>
      <c r="EI4">
        <f>EI3*IF(OR($C3=34,$G3=34),0,1)</f>
        <v/>
      </c>
      <c r="EJ4">
        <f>EJ3*IF(OR($C3=35,$G3=35),0,1)</f>
        <v/>
      </c>
      <c r="EK4">
        <f>EK3*IF(OR($C3=36,$G3=36),0,1)</f>
        <v/>
      </c>
      <c r="EL4">
        <f>EL3*IF(OR($C3=37,$G3=37),0,1)</f>
        <v/>
      </c>
      <c r="EM4">
        <f>EM3*IF(OR($C3=38,$G3=38),0,1)</f>
        <v/>
      </c>
      <c r="EN4">
        <f>EN3*IF(OR($C3=39,$G3=39),0,1)</f>
        <v/>
      </c>
      <c r="EO4">
        <f>EO3*IF(OR($C3=40,$G3=40),0,1)</f>
        <v/>
      </c>
      <c r="EP4">
        <f>EP3*IF(OR($C3=41,$G3=41),0,1)</f>
        <v/>
      </c>
      <c r="EQ4">
        <f>EQ3*IF(OR($C3=42,$G3=42),0,1)</f>
        <v/>
      </c>
      <c r="ER4">
        <f>ER3*IF(OR($C3=43,$G3=43),0,1)</f>
        <v/>
      </c>
      <c r="ES4">
        <f>ES3*IF(OR($C3=44,$G3=44),0,1)</f>
        <v/>
      </c>
      <c r="ET4">
        <f>ET3*IF(OR($C3=45,$G3=45),0,1)</f>
        <v/>
      </c>
      <c r="EU4">
        <f>EU3*IF(OR($C3=46,$G3=46),0,1)</f>
        <v/>
      </c>
      <c r="EV4">
        <f>EV3*IF(OR($C3=47,$G3=47),0,1)</f>
        <v/>
      </c>
      <c r="EW4">
        <f>EW3*IF(OR($C3=48,$G3=48),0,1)</f>
        <v/>
      </c>
      <c r="EX4">
        <f>EX3*IF(OR($C3=49,$G3=49),0,1)</f>
        <v/>
      </c>
      <c r="EY4">
        <f>EY3*IF(OR($C3=50,$G3=50),0,1)</f>
        <v/>
      </c>
      <c r="EZ4">
        <f>EZ3*IF(OR($C3=51,$G3=51),0,1)</f>
        <v/>
      </c>
      <c r="FA4">
        <f>FA3*IF(OR($C3=52,$G3=52),0,1)</f>
        <v/>
      </c>
      <c r="FB4">
        <f>FB3*IF(OR($C3=53,$G3=53),0,1)</f>
        <v/>
      </c>
      <c r="FC4">
        <f>FC3*IF(OR($C3=54,$G3=54),0,1)</f>
        <v/>
      </c>
      <c r="FD4">
        <f>FD3*IF(OR($C3=55,$G3=55),0,1)</f>
        <v/>
      </c>
      <c r="FE4">
        <f>FE3*IF(OR($C3=56,$G3=56),0,1)</f>
        <v/>
      </c>
      <c r="FF4">
        <f>FF3*IF(OR($C3=57,$G3=57),0,1)</f>
        <v/>
      </c>
      <c r="FG4">
        <f>FG3*IF(OR($C3=58,$G3=58),0,1)</f>
        <v/>
      </c>
      <c r="FH4">
        <f>FH3*IF(OR($C3=59,$G3=59),0,1)</f>
        <v/>
      </c>
      <c r="FI4">
        <f>FI3*IF(OR($C3=60,$G3=60),0,1)</f>
        <v/>
      </c>
      <c r="FJ4">
        <f>FJ3*IF(OR($C3=61,$G3=61),0,1)</f>
        <v/>
      </c>
      <c r="FK4">
        <f>FK3*IF(OR($C3=62,$G3=62),0,1)</f>
        <v/>
      </c>
      <c r="FL4">
        <f>FL3*IF(OR($C3=63,$G3=63),0,1)</f>
        <v/>
      </c>
      <c r="FM4">
        <f>FM3*IF(OR($C3=64,$G3=64),0,1)</f>
        <v/>
      </c>
      <c r="FN4">
        <f>FN3*IF(OR($C3=65,$G3=65),0,1)</f>
        <v/>
      </c>
      <c r="FO4">
        <f>FO3*IF(OR($C3=66,$G3=66),0,1)</f>
        <v/>
      </c>
      <c r="FP4">
        <f>FP3*IF(OR($C3=67,$G3=67),0,1)</f>
        <v/>
      </c>
      <c r="FQ4">
        <f>FQ3*IF(OR($C3=68,$G3=68),0,1)</f>
        <v/>
      </c>
      <c r="FR4">
        <f>FR3*IF(OR($C3=69,$G3=69),0,1)</f>
        <v/>
      </c>
      <c r="FS4">
        <f>FS3*IF(OR($C3=70,$G3=70),0,1)</f>
        <v/>
      </c>
      <c r="FT4">
        <f>FT3*IF(OR($C3=71,$G3=71),0,1)</f>
        <v/>
      </c>
      <c r="FU4">
        <f>FU3*IF(OR($C3=72,$G3=72),0,1)</f>
        <v/>
      </c>
      <c r="FV4">
        <f>FV3*IF(OR($C3=73,$G3=73),0,1)</f>
        <v/>
      </c>
      <c r="FW4">
        <f>FW3*IF(OR($C3=74,$G3=74),0,1)</f>
        <v/>
      </c>
      <c r="FX4">
        <f>FX3*IF(OR($C3=75,$G3=75),0,1)</f>
        <v/>
      </c>
      <c r="FY4">
        <f>FY3*IF(OR($C3=76,$G3=76),0,1)</f>
        <v/>
      </c>
      <c r="FZ4">
        <f>FZ3*IF(OR($C3=77,$G3=77),0,1)</f>
        <v/>
      </c>
      <c r="GA4">
        <f>GA3*IF(OR($C3=78,$G3=78),0,1)</f>
        <v/>
      </c>
      <c r="GB4">
        <f>GB3*IF(OR($C3=79,$G3=79),0,1)</f>
        <v/>
      </c>
      <c r="GC4">
        <f>GC3*IF(OR($C3=80,$G3=80),0,1)</f>
        <v/>
      </c>
      <c r="GD4">
        <f>GD3*IF(OR($C3=81,$G3=81),0,1)</f>
        <v/>
      </c>
      <c r="GE4">
        <f>GE3*IF(OR($C3=82,$G3=82),0,1)</f>
        <v/>
      </c>
      <c r="GF4">
        <f>GF3*IF(OR($C3=83,$G3=83),0,1)</f>
        <v/>
      </c>
      <c r="GG4">
        <f>GG3*IF(OR($C3=84,$G3=84),0,1)</f>
        <v/>
      </c>
      <c r="GH4">
        <f>GH3*IF(OR($C3=85,$G3=85),0,1)</f>
        <v/>
      </c>
      <c r="GI4">
        <f>GI3*IF(OR($C3=86,$G3=86),0,1)</f>
        <v/>
      </c>
      <c r="GJ4">
        <f>GJ3*IF(OR($C3=87,$G3=87),0,1)</f>
        <v/>
      </c>
      <c r="GK4">
        <f>GK3*IF(OR($C3=88,$G3=88),0,1)</f>
        <v/>
      </c>
      <c r="GL4">
        <f>GL3*IF(OR($C3=89,$G3=89),0,1)</f>
        <v/>
      </c>
      <c r="GM4">
        <f>GM3*IF(OR($C3=90,$G3=90),0,1)</f>
        <v/>
      </c>
      <c r="GN4">
        <f>GN3*IF(OR($C3=91,$G3=91),0,1)</f>
        <v/>
      </c>
      <c r="GO4">
        <f>GO3*IF(OR($C3=92,$G3=92),0,1)</f>
        <v/>
      </c>
      <c r="GP4">
        <f>GP3*IF(OR($C3=93,$G3=93),0,1)</f>
        <v/>
      </c>
      <c r="GQ4">
        <f>GQ3*IF(OR($C3=94,$G3=94),0,1)</f>
        <v/>
      </c>
      <c r="GR4">
        <f>GR3*IF(OR($C3=95,$G3=95),0,1)</f>
        <v/>
      </c>
      <c r="GS4">
        <f>GS3*IF(OR($C3=96,$G3=96),0,1)</f>
        <v/>
      </c>
      <c r="GT4">
        <f>GT3*IF(OR($C3=97,$G3=97),0,1)</f>
        <v/>
      </c>
      <c r="GU4">
        <f>GU3*IF(OR($C3=98,$G3=98),0,1)</f>
        <v/>
      </c>
      <c r="GV4">
        <f>GV3*IF(OR($C3=99,$G3=99),0,1)</f>
        <v/>
      </c>
      <c r="GW4">
        <f>GW3*IF(OR($C3=100,$G3=100),0,1)</f>
        <v/>
      </c>
      <c r="GX4">
        <f>GX3*IF(OR($C3=101,$G3=101),0,1)</f>
        <v/>
      </c>
      <c r="GY4">
        <f>GY3*IF(OR($C3=102,$G3=102),0,1)</f>
        <v/>
      </c>
      <c r="GZ4">
        <f>GZ3*IF(OR($C3=103,$G3=103),0,1)</f>
        <v/>
      </c>
      <c r="HA4">
        <f>HA3*IF(OR($C3=104,$G3=104),0,1)</f>
        <v/>
      </c>
      <c r="HB4">
        <f>HB3*IF(OR($C3=105,$G3=105),0,1)</f>
        <v/>
      </c>
      <c r="HC4">
        <f>HC3*IF(OR($C3=106,$G3=106),0,1)</f>
        <v/>
      </c>
      <c r="HD4">
        <f>HD3*IF(OR($C3=107,$G3=107),0,1)</f>
        <v/>
      </c>
      <c r="HE4">
        <f>HE3*IF(OR($C3=108,$G3=108),0,1)</f>
        <v/>
      </c>
      <c r="HF4">
        <f>HF3*IF(OR($C3=109,$G3=109),0,1)</f>
        <v/>
      </c>
      <c r="HG4">
        <f>HG3*IF(OR($C3=110,$G3=110),0,1)</f>
        <v/>
      </c>
      <c r="HH4">
        <f>HH3*IF(OR($C3=111,$G3=111),0,1)</f>
        <v/>
      </c>
      <c r="HI4">
        <f>HI3*IF(OR($C3=112,$G3=112),0,1)</f>
        <v/>
      </c>
      <c r="HJ4">
        <f>HJ3*IF(OR($C3=113,$G3=113),0,1)</f>
        <v/>
      </c>
      <c r="HK4">
        <f>HK3*IF(OR($C3=114,$G3=114),0,1)</f>
        <v/>
      </c>
      <c r="HL4">
        <f>HL3*IF(OR($C3=115,$G3=115),0,1)</f>
        <v/>
      </c>
      <c r="HM4">
        <f>HM3*IF(OR($C3=116,$G3=116),0,1)</f>
        <v/>
      </c>
      <c r="HN4">
        <f>HN3*IF(OR($C3=117,$G3=117),0,1)</f>
        <v/>
      </c>
      <c r="HO4">
        <f>HO3*IF(OR($C3=118,$G3=118),0,1)</f>
        <v/>
      </c>
      <c r="HP4">
        <f>HP3*IF(OR($C3=119,$G3=119),0,1)</f>
        <v/>
      </c>
      <c r="HQ4">
        <f>HQ3*IF(OR($C3=120,$G3=120),0,1)</f>
        <v/>
      </c>
      <c r="HR4">
        <f>HR3*IF(OR($C3=121,$G3=121),0,1)</f>
        <v/>
      </c>
      <c r="HS4">
        <f>HS3*IF(OR($C3=122,$G3=122),0,1)</f>
        <v/>
      </c>
      <c r="HT4">
        <f>HT3*IF(OR($C3=123,$G3=123),0,1)</f>
        <v/>
      </c>
      <c r="HU4">
        <f>HU3*IF(OR($C3=124,$G3=124),0,1)</f>
        <v/>
      </c>
      <c r="HV4">
        <f>HV3*IF(OR($C3=125,$G3=125),0,1)</f>
        <v/>
      </c>
      <c r="HW4">
        <f>HW3*IF(OR($C3=126,$G3=126),0,1)</f>
        <v/>
      </c>
      <c r="HX4">
        <f>HX3*IF(OR($C3=127,$G3=127),0,1)</f>
        <v/>
      </c>
      <c r="HY4">
        <f>HY3*IF(OR($C3=128,$G3=128),0,1)</f>
        <v/>
      </c>
      <c r="HZ4">
        <f>HZ3*IF(OR($C3=129,$G3=129),0,1)</f>
        <v/>
      </c>
      <c r="IA4">
        <f>IA3*IF(OR($C3=130,$G3=130),0,1)</f>
        <v/>
      </c>
      <c r="IB4">
        <f>IB3*IF(OR($C3=131,$G3=131),0,1)</f>
        <v/>
      </c>
      <c r="IC4">
        <f>IC3*IF(OR($C3=132,$G3=132),0,1)</f>
        <v/>
      </c>
      <c r="ID4">
        <f>ID3*IF(OR($C3=133,$G3=133),0,1)</f>
        <v/>
      </c>
      <c r="IE4">
        <f>IE3*IF(OR($C3=134,$G3=134),0,1)</f>
        <v/>
      </c>
      <c r="IF4">
        <f>IF3*IF(OR($C3=135,$G3=135),0,1)</f>
        <v/>
      </c>
      <c r="IG4">
        <f>IG3*IF(OR($C3=136,$G3=136),0,1)</f>
        <v/>
      </c>
      <c r="IH4">
        <f>IH3*IF(OR($C3=137,$G3=137),0,1)</f>
        <v/>
      </c>
      <c r="II4">
        <f>II3*IF(OR($C3=138,$G3=138),0,1)</f>
        <v/>
      </c>
      <c r="IJ4">
        <f>IJ3*IF(OR($C3=139,$G3=139),0,1)</f>
        <v/>
      </c>
      <c r="IK4">
        <f>IK3*IF(OR($C3=140,$G3=140),0,1)</f>
        <v/>
      </c>
      <c r="IL4">
        <f>IL3*IF(OR($C3=141,$G3=141),0,1)</f>
        <v/>
      </c>
      <c r="IM4">
        <f>IM3*IF(OR($C3=142,$G3=142),0,1)</f>
        <v/>
      </c>
      <c r="IN4">
        <f>IN3*IF(OR($C3=143,$G3=143),0,1)</f>
        <v/>
      </c>
      <c r="IO4">
        <f>IO3*IF(OR($C3=144,$G3=144),0,1)</f>
        <v/>
      </c>
      <c r="IQ4">
        <f>IF('calcA'!D$106=1,DC4,1)</f>
        <v/>
      </c>
      <c r="IR4">
        <f>IF('calcA'!E$106=1,DD4,1)</f>
        <v/>
      </c>
      <c r="IS4">
        <f>IF('calcA'!F$106=1,DE4,1)</f>
        <v/>
      </c>
      <c r="IT4">
        <f>IF('calcA'!G$106=1,DF4,1)</f>
        <v/>
      </c>
      <c r="IU4">
        <f>IF('calcA'!H$106=1,DG4,1)</f>
        <v/>
      </c>
      <c r="IV4">
        <f>IF('calcA'!I$106=1,DH4,1)</f>
        <v/>
      </c>
      <c r="IW4">
        <f>IF('calcA'!J$106=1,DI4,1)</f>
        <v/>
      </c>
      <c r="IX4">
        <f>IF('calcA'!K$106=1,DJ4,1)</f>
        <v/>
      </c>
      <c r="IY4">
        <f>IF('calcA'!L$106=1,DK4,1)</f>
        <v/>
      </c>
      <c r="IZ4">
        <f>IF('calcA'!M$106=1,DL4,1)</f>
        <v/>
      </c>
      <c r="JA4">
        <f>IF('calcA'!N$106=1,DM4,1)</f>
        <v/>
      </c>
      <c r="JB4">
        <f>IF('calcA'!O$106=1,DN4,1)</f>
        <v/>
      </c>
      <c r="JC4">
        <f>IF('calcA'!P$106=1,DO4,1)</f>
        <v/>
      </c>
      <c r="JD4">
        <f>IF('calcA'!Q$106=1,DP4,1)</f>
        <v/>
      </c>
      <c r="JE4">
        <f>IF('calcA'!R$106=1,DQ4,1)</f>
        <v/>
      </c>
      <c r="JF4">
        <f>IF('calcA'!S$106=1,DR4,1)</f>
        <v/>
      </c>
      <c r="JG4">
        <f>IF('calcA'!T$106=1,DS4,1)</f>
        <v/>
      </c>
      <c r="JH4">
        <f>IF('calcA'!U$106=1,DT4,1)</f>
        <v/>
      </c>
      <c r="JI4">
        <f>IF('calcA'!V$106=1,DU4,1)</f>
        <v/>
      </c>
      <c r="JJ4">
        <f>IF('calcA'!W$106=1,DV4,1)</f>
        <v/>
      </c>
      <c r="JK4">
        <f>IF('calcA'!X$106=1,DW4,1)</f>
        <v/>
      </c>
      <c r="JL4">
        <f>IF('calcA'!Y$106=1,DX4,1)</f>
        <v/>
      </c>
      <c r="JM4">
        <f>IF('calcA'!Z$106=1,DY4,1)</f>
        <v/>
      </c>
      <c r="JN4">
        <f>IF('calcA'!AA$106=1,DZ4,1)</f>
        <v/>
      </c>
      <c r="JO4">
        <f>IF('calcA'!AB$106=1,EA4,1)</f>
        <v/>
      </c>
      <c r="JP4">
        <f>IF('calcA'!AC$106=1,EB4,1)</f>
        <v/>
      </c>
      <c r="JQ4">
        <f>IF('calcA'!AD$106=1,EC4,1)</f>
        <v/>
      </c>
      <c r="JR4">
        <f>IF('calcA'!AE$106=1,ED4,1)</f>
        <v/>
      </c>
      <c r="JS4">
        <f>IF('calcA'!AF$106=1,EE4,1)</f>
        <v/>
      </c>
      <c r="JT4">
        <f>IF('calcA'!AG$106=1,EF4,1)</f>
        <v/>
      </c>
      <c r="JU4">
        <f>IF('calcA'!AH$106=1,EG4,1)</f>
        <v/>
      </c>
      <c r="JV4">
        <f>IF('calcA'!AI$106=1,EH4,1)</f>
        <v/>
      </c>
      <c r="JW4">
        <f>IF('calcA'!AJ$106=1,EI4,1)</f>
        <v/>
      </c>
      <c r="JX4">
        <f>IF('calcA'!AK$106=1,EJ4,1)</f>
        <v/>
      </c>
      <c r="JY4">
        <f>IF('calcA'!AL$106=1,EK4,1)</f>
        <v/>
      </c>
      <c r="JZ4">
        <f>IF('calcA'!AM$106=1,EL4,1)</f>
        <v/>
      </c>
      <c r="KA4">
        <f>IF('calcA'!AN$106=1,EM4,1)</f>
        <v/>
      </c>
      <c r="KB4">
        <f>IF('calcA'!AO$106=1,EN4,1)</f>
        <v/>
      </c>
      <c r="KC4">
        <f>IF('calcA'!AP$106=1,EO4,1)</f>
        <v/>
      </c>
      <c r="KD4">
        <f>IF('calcA'!AQ$106=1,EP4,1)</f>
        <v/>
      </c>
      <c r="KE4">
        <f>IF('calcA'!AR$106=1,EQ4,1)</f>
        <v/>
      </c>
      <c r="KF4">
        <f>IF('calcA'!AS$106=1,ER4,1)</f>
        <v/>
      </c>
      <c r="KG4">
        <f>IF('calcA'!AT$106=1,ES4,1)</f>
        <v/>
      </c>
      <c r="KH4">
        <f>IF('calcA'!AU$106=1,ET4,1)</f>
        <v/>
      </c>
      <c r="KI4">
        <f>IF('calcA'!AV$106=1,EU4,1)</f>
        <v/>
      </c>
      <c r="KJ4">
        <f>IF('calcA'!AW$106=1,EV4,1)</f>
        <v/>
      </c>
      <c r="KK4">
        <f>IF('calcA'!AX$106=1,EW4,1)</f>
        <v/>
      </c>
      <c r="KL4">
        <f>IF('calcA'!AY$106=1,EX4,1)</f>
        <v/>
      </c>
      <c r="KM4">
        <f>IF('calcA'!AZ$106=1,EY4,1)</f>
        <v/>
      </c>
      <c r="KN4">
        <f>IF('calcA'!BA$106=1,EZ4,1)</f>
        <v/>
      </c>
      <c r="KO4">
        <f>IF('calcA'!BB$106=1,FA4,1)</f>
        <v/>
      </c>
      <c r="KP4">
        <f>IF('calcA'!BC$106=1,FB4,1)</f>
        <v/>
      </c>
      <c r="KQ4">
        <f>IF('calcA'!BD$106=1,FC4,1)</f>
        <v/>
      </c>
      <c r="KR4">
        <f>IF('calcA'!BE$106=1,FD4,1)</f>
        <v/>
      </c>
      <c r="KS4">
        <f>IF('calcA'!BF$106=1,FE4,1)</f>
        <v/>
      </c>
      <c r="KT4">
        <f>IF('calcA'!BG$106=1,FF4,1)</f>
        <v/>
      </c>
      <c r="KU4">
        <f>IF('calcA'!BH$106=1,FG4,1)</f>
        <v/>
      </c>
      <c r="KV4">
        <f>IF('calcA'!BI$106=1,FH4,1)</f>
        <v/>
      </c>
      <c r="KW4">
        <f>IF('calcA'!BJ$106=1,FI4,1)</f>
        <v/>
      </c>
      <c r="KX4">
        <f>IF('calcA'!BK$106=1,FJ4,1)</f>
        <v/>
      </c>
      <c r="KY4">
        <f>IF('calcA'!BL$106=1,FK4,1)</f>
        <v/>
      </c>
      <c r="KZ4">
        <f>IF('calcA'!BM$106=1,FL4,1)</f>
        <v/>
      </c>
      <c r="LA4">
        <f>IF('calcA'!BN$106=1,FM4,1)</f>
        <v/>
      </c>
      <c r="LB4">
        <f>IF('calcA'!BO$106=1,FN4,1)</f>
        <v/>
      </c>
      <c r="LC4">
        <f>IF('calcA'!BP$106=1,FO4,1)</f>
        <v/>
      </c>
      <c r="LD4">
        <f>IF('calcA'!BQ$106=1,FP4,1)</f>
        <v/>
      </c>
      <c r="LE4">
        <f>IF('calcA'!BR$106=1,FQ4,1)</f>
        <v/>
      </c>
      <c r="LF4">
        <f>IF('calcA'!BS$106=1,FR4,1)</f>
        <v/>
      </c>
      <c r="LG4">
        <f>IF('calcA'!BT$106=1,FS4,1)</f>
        <v/>
      </c>
      <c r="LH4">
        <f>IF('calcA'!BU$106=1,FT4,1)</f>
        <v/>
      </c>
      <c r="LI4">
        <f>IF('calcA'!BV$106=1,FU4,1)</f>
        <v/>
      </c>
      <c r="LJ4">
        <f>IF('calcA'!BW$106=1,FV4,1)</f>
        <v/>
      </c>
      <c r="LK4">
        <f>IF('calcA'!BX$106=1,FW4,1)</f>
        <v/>
      </c>
      <c r="LL4">
        <f>IF('calcA'!BY$106=1,FX4,1)</f>
        <v/>
      </c>
      <c r="LM4">
        <f>IF('calcA'!BZ$106=1,FY4,1)</f>
        <v/>
      </c>
      <c r="LN4">
        <f>IF('calcA'!CA$106=1,FZ4,1)</f>
        <v/>
      </c>
      <c r="LO4">
        <f>IF('calcA'!CB$106=1,GA4,1)</f>
        <v/>
      </c>
      <c r="LP4">
        <f>IF('calcA'!CC$106=1,GB4,1)</f>
        <v/>
      </c>
      <c r="LQ4">
        <f>IF('calcA'!CD$106=1,GC4,1)</f>
        <v/>
      </c>
      <c r="LR4">
        <f>IF('calcA'!CE$106=1,GD4,1)</f>
        <v/>
      </c>
      <c r="LS4">
        <f>IF('calcA'!CF$106=1,GE4,1)</f>
        <v/>
      </c>
      <c r="LT4">
        <f>IF('calcA'!CG$106=1,GF4,1)</f>
        <v/>
      </c>
      <c r="LU4">
        <f>IF('calcA'!CH$106=1,GG4,1)</f>
        <v/>
      </c>
      <c r="LV4">
        <f>IF('calcA'!CI$106=1,GH4,1)</f>
        <v/>
      </c>
      <c r="LW4">
        <f>IF('calcA'!CJ$106=1,GI4,1)</f>
        <v/>
      </c>
      <c r="LX4">
        <f>IF('calcA'!CK$106=1,GJ4,1)</f>
        <v/>
      </c>
      <c r="LY4">
        <f>IF('calcA'!CL$106=1,GK4,1)</f>
        <v/>
      </c>
      <c r="LZ4">
        <f>IF('calcA'!CM$106=1,GL4,1)</f>
        <v/>
      </c>
      <c r="MA4">
        <f>IF('calcA'!CN$106=1,GM4,1)</f>
        <v/>
      </c>
      <c r="MB4">
        <f>IF('calcA'!CO$106=1,GN4,1)</f>
        <v/>
      </c>
      <c r="MC4">
        <f>IF('calcA'!CP$106=1,GO4,1)</f>
        <v/>
      </c>
      <c r="MD4">
        <f>IF('calcA'!CQ$106=1,GP4,1)</f>
        <v/>
      </c>
      <c r="ME4">
        <f>IF('calcA'!CR$106=1,GQ4,1)</f>
        <v/>
      </c>
      <c r="MF4">
        <f>IF('calcA'!CS$106=1,GR4,1)</f>
        <v/>
      </c>
      <c r="MG4">
        <f>IF('calcA'!CT$106=1,GS4,1)</f>
        <v/>
      </c>
      <c r="MH4">
        <f>IF('calcA'!CU$106=1,GT4,1)</f>
        <v/>
      </c>
      <c r="MI4">
        <f>IF('calcA'!CV$106=1,GU4,1)</f>
        <v/>
      </c>
      <c r="MJ4">
        <f>IF('calcA'!CW$106=1,GV4,1)</f>
        <v/>
      </c>
      <c r="MK4">
        <f>IF('calcA'!CX$106=1,GW4,1)</f>
        <v/>
      </c>
      <c r="ML4">
        <f>IF('calcA'!CY$106=1,GX4,1)</f>
        <v/>
      </c>
      <c r="MM4">
        <f>IF('calcA'!CZ$106=1,GY4,1)</f>
        <v/>
      </c>
      <c r="MN4">
        <f>IF('calcA'!DA$106=1,GZ4,1)</f>
        <v/>
      </c>
      <c r="MO4">
        <f>IF('calcA'!DB$106=1,HA4,1)</f>
        <v/>
      </c>
      <c r="MP4">
        <f>IF('calcA'!DC$106=1,HB4,1)</f>
        <v/>
      </c>
      <c r="MQ4">
        <f>IF('calcA'!DD$106=1,HC4,1)</f>
        <v/>
      </c>
      <c r="MR4">
        <f>IF('calcA'!DE$106=1,HD4,1)</f>
        <v/>
      </c>
      <c r="MS4">
        <f>IF('calcA'!DF$106=1,HE4,1)</f>
        <v/>
      </c>
      <c r="MT4">
        <f>IF('calcA'!DG$106=1,HF4,1)</f>
        <v/>
      </c>
      <c r="MU4">
        <f>IF('calcA'!DH$106=1,HG4,1)</f>
        <v/>
      </c>
      <c r="MV4">
        <f>IF('calcA'!DI$106=1,HH4,1)</f>
        <v/>
      </c>
      <c r="MW4">
        <f>IF('calcA'!DJ$106=1,HI4,1)</f>
        <v/>
      </c>
      <c r="MX4">
        <f>IF('calcA'!DK$106=1,HJ4,1)</f>
        <v/>
      </c>
      <c r="MY4">
        <f>IF('calcA'!DL$106=1,HK4,1)</f>
        <v/>
      </c>
      <c r="MZ4">
        <f>IF('calcA'!DM$106=1,HL4,1)</f>
        <v/>
      </c>
      <c r="NA4">
        <f>IF('calcA'!DN$106=1,HM4,1)</f>
        <v/>
      </c>
      <c r="NB4">
        <f>IF('calcA'!DO$106=1,HN4,1)</f>
        <v/>
      </c>
      <c r="NC4">
        <f>IF('calcA'!DP$106=1,HO4,1)</f>
        <v/>
      </c>
      <c r="ND4">
        <f>IF('calcA'!DQ$106=1,HP4,1)</f>
        <v/>
      </c>
      <c r="NE4">
        <f>IF('calcA'!DR$106=1,HQ4,1)</f>
        <v/>
      </c>
      <c r="NF4">
        <f>IF('calcA'!DS$106=1,HR4,1)</f>
        <v/>
      </c>
      <c r="NG4">
        <f>IF('calcA'!DT$106=1,HS4,1)</f>
        <v/>
      </c>
      <c r="NH4">
        <f>IF('calcA'!DU$106=1,HT4,1)</f>
        <v/>
      </c>
      <c r="NI4">
        <f>IF('calcA'!DV$106=1,HU4,1)</f>
        <v/>
      </c>
      <c r="NJ4">
        <f>IF('calcA'!DW$106=1,HV4,1)</f>
        <v/>
      </c>
      <c r="NK4">
        <f>IF('calcA'!DX$106=1,HW4,1)</f>
        <v/>
      </c>
      <c r="NL4">
        <f>IF('calcA'!DY$106=1,HX4,1)</f>
        <v/>
      </c>
      <c r="NM4">
        <f>IF('calcA'!DZ$106=1,HY4,1)</f>
        <v/>
      </c>
      <c r="NN4">
        <f>IF('calcA'!EA$106=1,HZ4,1)</f>
        <v/>
      </c>
      <c r="NO4">
        <f>IF('calcA'!EB$106=1,IA4,1)</f>
        <v/>
      </c>
      <c r="NP4">
        <f>IF('calcA'!EC$106=1,IB4,1)</f>
        <v/>
      </c>
      <c r="NQ4">
        <f>IF('calcA'!ED$106=1,IC4,1)</f>
        <v/>
      </c>
      <c r="NR4">
        <f>IF('calcA'!EE$106=1,ID4,1)</f>
        <v/>
      </c>
      <c r="NS4">
        <f>IF('calcA'!EF$106=1,IE4,1)</f>
        <v/>
      </c>
      <c r="NT4">
        <f>IF('calcA'!EG$106=1,IF4,1)</f>
        <v/>
      </c>
      <c r="NU4">
        <f>IF('calcA'!EH$106=1,IG4,1)</f>
        <v/>
      </c>
      <c r="NV4">
        <f>IF('calcA'!EI$106=1,IH4,1)</f>
        <v/>
      </c>
      <c r="NW4">
        <f>IF('calcA'!EJ$106=1,II4,1)</f>
        <v/>
      </c>
      <c r="NX4">
        <f>IF('calcA'!EK$106=1,IJ4,1)</f>
        <v/>
      </c>
      <c r="NY4">
        <f>IF('calcA'!EL$106=1,IK4,1)</f>
        <v/>
      </c>
      <c r="NZ4">
        <f>IF('calcA'!EM$106=1,IL4,1)</f>
        <v/>
      </c>
      <c r="OA4">
        <f>IF('calcA'!EN$106=1,IM4,1)</f>
        <v/>
      </c>
      <c r="OB4">
        <f>IF('calcA'!EO$106=1,IN4,1)</f>
        <v/>
      </c>
      <c r="OC4">
        <f>IF('calcA'!EP$106=1,IO4,1)</f>
        <v/>
      </c>
      <c r="OD4" t="n">
        <v>1</v>
      </c>
      <c r="OF4">
        <f>IF($B4=0,1000000000,IF(INDEX('calcA'!$D$60:$EQ$99,$B4,1)*IF($W4=1,DB4+ZQ4,DB4)=1,IF(AND($E4=2,IF($W4=1,AFF4,IQ4)=0),1000000000,IF($V4=1,INDEX('calcA'!$D$130:$EQ$169,$B4,1)+IF(AND($E4=1,IQ4=0),25,0),INDEX('calcA'!D$110:D$114,$F4+1)+IF(AND($E4=1,IQ4=0),1000,0)+IF($H4=1,INDEX('calcA'!$D$180:$EQ$219,$B4,1)*500,0)-IF(AND($U4=1,'calcA'!D$117=1,DC4=0),300,0))),1000000000))</f>
        <v/>
      </c>
      <c r="OG4">
        <f>IF($B4=0,1000000000,IF(INDEX('calcA'!$D$60:$EQ$99,$B4,2)*IF($W4=1,DC4+ZR4,DC4)=1,IF(AND($E4=2,IF($W4=1,AFG4,IR4)=0),1000000000,IF($V4=1,INDEX('calcA'!$D$130:$EQ$169,$B4,2)+IF(AND($E4=1,IR4=0),25,0),INDEX('calcA'!E$110:E$114,$F4+1)+IF(AND($E4=1,IR4=0),1000,0)+IF($H4=1,INDEX('calcA'!$D$180:$EQ$219,$B4,2)*500,0)-IF(AND('calcA'!D$117=1,UB4&gt;0),300,0)-IF(AND($U4=1,'calcA'!E$117=1,DD4=0),300,0))),1000000000))</f>
        <v/>
      </c>
      <c r="OH4">
        <f>IF($B4=0,1000000000,IF(INDEX('calcA'!$D$60:$EQ$99,$B4,3)*IF($W4=1,DD4+ZS4,DD4)=1,IF(AND($E4=2,IF($W4=1,AFH4,IS4)=0),1000000000,IF($V4=1,INDEX('calcA'!$D$130:$EQ$169,$B4,3)+IF(AND($E4=1,IS4=0),25,0),INDEX('calcA'!F$110:F$114,$F4+1)+IF(AND($E4=1,IS4=0),1000,0)+IF($H4=1,INDEX('calcA'!$D$180:$EQ$219,$B4,3)*500,0)-IF(AND('calcA'!E$117=1,UC4&gt;0),300,0)-IF(AND($U4=1,'calcA'!F$117=1,DE4=0),300,0))),1000000000))</f>
        <v/>
      </c>
      <c r="OI4">
        <f>IF($B4=0,1000000000,IF(INDEX('calcA'!$D$60:$EQ$99,$B4,4)*IF($W4=1,DE4+ZT4,DE4)=1,IF(AND($E4=2,IF($W4=1,AFI4,IT4)=0),1000000000,IF($V4=1,INDEX('calcA'!$D$130:$EQ$169,$B4,4)+IF(AND($E4=1,IT4=0),25,0),INDEX('calcA'!G$110:G$114,$F4+1)+IF(AND($E4=1,IT4=0),1000,0)+IF($H4=1,INDEX('calcA'!$D$180:$EQ$219,$B4,4)*500,0)-IF(AND('calcA'!F$117=1,UD4&gt;0),300,0)-IF(AND($U4=1,'calcA'!G$117=1,DF4=0),300,0))),1000000000))</f>
        <v/>
      </c>
      <c r="OJ4">
        <f>IF($B4=0,1000000000,IF(INDEX('calcA'!$D$60:$EQ$99,$B4,5)*IF($W4=1,DF4+ZU4,DF4)=1,IF(AND($E4=2,IF($W4=1,AFJ4,IU4)=0),1000000000,IF($V4=1,INDEX('calcA'!$D$130:$EQ$169,$B4,5)+IF(AND($E4=1,IU4=0),25,0),INDEX('calcA'!H$110:H$114,$F4+1)+IF(AND($E4=1,IU4=0),1000,0)+IF($H4=1,INDEX('calcA'!$D$180:$EQ$219,$B4,5)*500,0)-IF(AND('calcA'!G$117=1,UE4&gt;0),300,0)-IF(AND($U4=1,'calcA'!H$117=1,DG4=0),300,0))),1000000000))</f>
        <v/>
      </c>
      <c r="OK4">
        <f>IF($B4=0,1000000000,IF(INDEX('calcA'!$D$60:$EQ$99,$B4,6)*IF($W4=1,DG4+ZV4,DG4)=1,IF(AND($E4=2,IF($W4=1,AFK4,IV4)=0),1000000000,IF($V4=1,INDEX('calcA'!$D$130:$EQ$169,$B4,6)+IF(AND($E4=1,IV4=0),25,0),INDEX('calcA'!I$110:I$114,$F4+1)+IF(AND($E4=1,IV4=0),1000,0)+IF($H4=1,INDEX('calcA'!$D$180:$EQ$219,$B4,6)*500,0)-IF(AND('calcA'!H$117=1,UF4&gt;0),300,0)-IF(AND($U4=1,'calcA'!I$117=1,DH4=0),300,0))),1000000000))</f>
        <v/>
      </c>
      <c r="OL4">
        <f>IF($B4=0,1000000000,IF(INDEX('calcA'!$D$60:$EQ$99,$B4,7)*IF($W4=1,DH4+ZW4,DH4)=1,IF(AND($E4=2,IF($W4=1,AFL4,IW4)=0),1000000000,IF($V4=1,INDEX('calcA'!$D$130:$EQ$169,$B4,7)+IF(AND($E4=1,IW4=0),25,0),INDEX('calcA'!J$110:J$114,$F4+1)+IF(AND($E4=1,IW4=0),1000,0)+IF($H4=1,INDEX('calcA'!$D$180:$EQ$219,$B4,7)*500,0)-IF(AND('calcA'!I$117=1,UG4&gt;0),300,0)-IF(AND($U4=1,'calcA'!J$117=1,DI4=0),300,0))),1000000000))</f>
        <v/>
      </c>
      <c r="OM4">
        <f>IF($B4=0,1000000000,IF(INDEX('calcA'!$D$60:$EQ$99,$B4,8)*IF($W4=1,DI4+ZX4,DI4)=1,IF(AND($E4=2,IF($W4=1,AFM4,IX4)=0),1000000000,IF($V4=1,INDEX('calcA'!$D$130:$EQ$169,$B4,8)+IF(AND($E4=1,IX4=0),25,0),INDEX('calcA'!K$110:K$114,$F4+1)+IF(AND($E4=1,IX4=0),1000,0)+IF($H4=1,INDEX('calcA'!$D$180:$EQ$219,$B4,8)*500,0)-IF(AND('calcA'!J$117=1,UH4&gt;0),300,0)-IF(AND($U4=1,'calcA'!K$117=1,DJ4=0),300,0))),1000000000))</f>
        <v/>
      </c>
      <c r="ON4">
        <f>IF($B4=0,1000000000,IF(INDEX('calcA'!$D$60:$EQ$99,$B4,9)*IF($W4=1,DJ4+ZY4,DJ4)=1,IF(AND($E4=2,IF($W4=1,AFN4,IY4)=0),1000000000,IF($V4=1,INDEX('calcA'!$D$130:$EQ$169,$B4,9)+IF(AND($E4=1,IY4=0),25,0),INDEX('calcA'!L$110:L$114,$F4+1)+IF(AND($E4=1,IY4=0),1000,0)+IF($H4=1,INDEX('calcA'!$D$180:$EQ$219,$B4,9)*500,0)-IF(AND('calcA'!K$117=1,UI4&gt;0),300,0)-IF(AND($U4=1,'calcA'!L$117=1,DK4=0),300,0))),1000000000))</f>
        <v/>
      </c>
      <c r="OO4">
        <f>IF($B4=0,1000000000,IF(INDEX('calcA'!$D$60:$EQ$99,$B4,10)*IF($W4=1,DK4+ZZ4,DK4)=1,IF(AND($E4=2,IF($W4=1,AFO4,IZ4)=0),1000000000,IF($V4=1,INDEX('calcA'!$D$130:$EQ$169,$B4,10)+IF(AND($E4=1,IZ4=0),25,0),INDEX('calcA'!M$110:M$114,$F4+1)+IF(AND($E4=1,IZ4=0),1000,0)+IF($H4=1,INDEX('calcA'!$D$180:$EQ$219,$B4,10)*500,0)-IF(AND('calcA'!L$117=1,UJ4&gt;0),300,0)-IF(AND($U4=1,'calcA'!M$117=1,DL4=0),300,0))),1000000000))</f>
        <v/>
      </c>
      <c r="OP4">
        <f>IF($B4=0,1000000000,IF(INDEX('calcA'!$D$60:$EQ$99,$B4,11)*IF($W4=1,DL4+AAA4,DL4)=1,IF(AND($E4=2,IF($W4=1,AFP4,JA4)=0),1000000000,IF($V4=1,INDEX('calcA'!$D$130:$EQ$169,$B4,11)+IF(AND($E4=1,JA4=0),25,0),INDEX('calcA'!N$110:N$114,$F4+1)+IF(AND($E4=1,JA4=0),1000,0)+IF($H4=1,INDEX('calcA'!$D$180:$EQ$219,$B4,11)*500,0)-IF(AND('calcA'!M$117=1,UK4&gt;0),300,0)-IF(AND($U4=1,'calcA'!N$117=1,DM4=0),300,0))),1000000000))</f>
        <v/>
      </c>
      <c r="OQ4">
        <f>IF($B4=0,1000000000,IF(INDEX('calcA'!$D$60:$EQ$99,$B4,12)*IF($W4=1,DM4+AAB4,DM4)=1,IF(AND($E4=2,IF($W4=1,AFQ4,JB4)=0),1000000000,IF($V4=1,INDEX('calcA'!$D$130:$EQ$169,$B4,12)+IF(AND($E4=1,JB4=0),25,0),INDEX('calcA'!O$110:O$114,$F4+1)+IF(AND($E4=1,JB4=0),1000,0)+IF($H4=1,INDEX('calcA'!$D$180:$EQ$219,$B4,12)*500,0)-IF(AND('calcA'!N$117=1,UL4&gt;0),300,0)-IF(AND($U4=1,'calcA'!O$117=1,DN4=0),300,0))),1000000000))</f>
        <v/>
      </c>
      <c r="OR4">
        <f>IF($B4=0,1000000000,IF(INDEX('calcA'!$D$60:$EQ$99,$B4,13)*IF($W4=1,DN4+AAC4,DN4)=1,IF(AND($E4=2,IF($W4=1,AFR4,JC4)=0),1000000000,IF($V4=1,INDEX('calcA'!$D$130:$EQ$169,$B4,13)+IF(AND($E4=1,JC4=0),25,0),INDEX('calcA'!P$110:P$114,$F4+1)+IF(AND($E4=1,JC4=0),1000,0)+IF($H4=1,INDEX('calcA'!$D$180:$EQ$219,$B4,13)*500,0)-IF(AND('calcA'!O$117=1,UM4&gt;0),300,0)-IF(AND($U4=1,'calcA'!P$117=1,DO4=0),300,0))),1000000000))</f>
        <v/>
      </c>
      <c r="OS4">
        <f>IF($B4=0,1000000000,IF(INDEX('calcA'!$D$60:$EQ$99,$B4,14)*IF($W4=1,DO4+AAD4,DO4)=1,IF(AND($E4=2,IF($W4=1,AFS4,JD4)=0),1000000000,IF($V4=1,INDEX('calcA'!$D$130:$EQ$169,$B4,14)+IF(AND($E4=1,JD4=0),25,0),INDEX('calcA'!Q$110:Q$114,$F4+1)+IF(AND($E4=1,JD4=0),1000,0)+IF($H4=1,INDEX('calcA'!$D$180:$EQ$219,$B4,14)*500,0)-IF(AND('calcA'!P$117=1,UN4&gt;0),300,0)-IF(AND($U4=1,'calcA'!Q$117=1,DP4=0),300,0))),1000000000))</f>
        <v/>
      </c>
      <c r="OT4">
        <f>IF($B4=0,1000000000,IF(INDEX('calcA'!$D$60:$EQ$99,$B4,15)*IF($W4=1,DP4+AAE4,DP4)=1,IF(AND($E4=2,IF($W4=1,AFT4,JE4)=0),1000000000,IF($V4=1,INDEX('calcA'!$D$130:$EQ$169,$B4,15)+IF(AND($E4=1,JE4=0),25,0),INDEX('calcA'!R$110:R$114,$F4+1)+IF(AND($E4=1,JE4=0),1000,0)+IF($H4=1,INDEX('calcA'!$D$180:$EQ$219,$B4,15)*500,0)-IF(AND('calcA'!Q$117=1,UO4&gt;0),300,0)-IF(AND($U4=1,'calcA'!R$117=1,DQ4=0),300,0))),1000000000))</f>
        <v/>
      </c>
      <c r="OU4">
        <f>IF($B4=0,1000000000,IF(INDEX('calcA'!$D$60:$EQ$99,$B4,16)*IF($W4=1,DQ4+AAF4,DQ4)=1,IF(AND($E4=2,IF($W4=1,AFU4,JF4)=0),1000000000,IF($V4=1,INDEX('calcA'!$D$130:$EQ$169,$B4,16)+IF(AND($E4=1,JF4=0),25,0),INDEX('calcA'!S$110:S$114,$F4+1)+IF(AND($E4=1,JF4=0),1000,0)+IF($H4=1,INDEX('calcA'!$D$180:$EQ$219,$B4,16)*500,0)-IF(AND('calcA'!R$117=1,UP4&gt;0),300,0)-IF(AND($U4=1,'calcA'!S$117=1,DR4=0),300,0))),1000000000))</f>
        <v/>
      </c>
      <c r="OV4">
        <f>IF($B4=0,1000000000,IF(INDEX('calcA'!$D$60:$EQ$99,$B4,17)*IF($W4=1,DR4+AAG4,DR4)=1,IF(AND($E4=2,IF($W4=1,AFV4,JG4)=0),1000000000,IF($V4=1,INDEX('calcA'!$D$130:$EQ$169,$B4,17)+IF(AND($E4=1,JG4=0),25,0),INDEX('calcA'!T$110:T$114,$F4+1)+IF(AND($E4=1,JG4=0),1000,0)+IF($H4=1,INDEX('calcA'!$D$180:$EQ$219,$B4,17)*500,0)-IF(AND('calcA'!S$117=1,UQ4&gt;0),300,0)-IF(AND($U4=1,'calcA'!T$117=1,DS4=0),300,0))),1000000000))</f>
        <v/>
      </c>
      <c r="OW4">
        <f>IF($B4=0,1000000000,IF(INDEX('calcA'!$D$60:$EQ$99,$B4,18)*IF($W4=1,DS4+AAH4,DS4)=1,IF(AND($E4=2,IF($W4=1,AFW4,JH4)=0),1000000000,IF($V4=1,INDEX('calcA'!$D$130:$EQ$169,$B4,18)+IF(AND($E4=1,JH4=0),25,0),INDEX('calcA'!U$110:U$114,$F4+1)+IF(AND($E4=1,JH4=0),1000,0)+IF($H4=1,INDEX('calcA'!$D$180:$EQ$219,$B4,18)*500,0)-IF(AND('calcA'!T$117=1,UR4&gt;0),300,0)-IF(AND($U4=1,'calcA'!U$117=1,DT4=0),300,0))),1000000000))</f>
        <v/>
      </c>
      <c r="OX4">
        <f>IF($B4=0,1000000000,IF(INDEX('calcA'!$D$60:$EQ$99,$B4,19)*IF($W4=1,DT4+AAI4,DT4)=1,IF(AND($E4=2,IF($W4=1,AFX4,JI4)=0),1000000000,IF($V4=1,INDEX('calcA'!$D$130:$EQ$169,$B4,19)+IF(AND($E4=1,JI4=0),25,0),INDEX('calcA'!V$110:V$114,$F4+1)+IF(AND($E4=1,JI4=0),1000,0)+IF($H4=1,INDEX('calcA'!$D$180:$EQ$219,$B4,19)*500,0)-IF(AND('calcA'!U$117=1,US4&gt;0),300,0)-IF(AND($U4=1,'calcA'!V$117=1,DU4=0),300,0))),1000000000))</f>
        <v/>
      </c>
      <c r="OY4">
        <f>IF($B4=0,1000000000,IF(INDEX('calcA'!$D$60:$EQ$99,$B4,20)*IF($W4=1,DU4+AAJ4,DU4)=1,IF(AND($E4=2,IF($W4=1,AFY4,JJ4)=0),1000000000,IF($V4=1,INDEX('calcA'!$D$130:$EQ$169,$B4,20)+IF(AND($E4=1,JJ4=0),25,0),INDEX('calcA'!W$110:W$114,$F4+1)+IF(AND($E4=1,JJ4=0),1000,0)+IF($H4=1,INDEX('calcA'!$D$180:$EQ$219,$B4,20)*500,0)-IF(AND('calcA'!V$117=1,UT4&gt;0),300,0)-IF(AND($U4=1,'calcA'!W$117=1,DV4=0),300,0))),1000000000))</f>
        <v/>
      </c>
      <c r="OZ4">
        <f>IF($B4=0,1000000000,IF(INDEX('calcA'!$D$60:$EQ$99,$B4,21)*IF($W4=1,DV4+AAK4,DV4)=1,IF(AND($E4=2,IF($W4=1,AFZ4,JK4)=0),1000000000,IF($V4=1,INDEX('calcA'!$D$130:$EQ$169,$B4,21)+IF(AND($E4=1,JK4=0),25,0),INDEX('calcA'!X$110:X$114,$F4+1)+IF(AND($E4=1,JK4=0),1000,0)+IF($H4=1,INDEX('calcA'!$D$180:$EQ$219,$B4,21)*500,0)-IF(AND('calcA'!W$117=1,UU4&gt;0),300,0)-IF(AND($U4=1,'calcA'!X$117=1,DW4=0),300,0))),1000000000))</f>
        <v/>
      </c>
      <c r="PA4">
        <f>IF($B4=0,1000000000,IF(INDEX('calcA'!$D$60:$EQ$99,$B4,22)*IF($W4=1,DW4+AAL4,DW4)=1,IF(AND($E4=2,IF($W4=1,AGA4,JL4)=0),1000000000,IF($V4=1,INDEX('calcA'!$D$130:$EQ$169,$B4,22)+IF(AND($E4=1,JL4=0),25,0),INDEX('calcA'!Y$110:Y$114,$F4+1)+IF(AND($E4=1,JL4=0),1000,0)+IF($H4=1,INDEX('calcA'!$D$180:$EQ$219,$B4,22)*500,0)-IF(AND('calcA'!X$117=1,UV4&gt;0),300,0)-IF(AND($U4=1,'calcA'!Y$117=1,DX4=0),300,0))),1000000000))</f>
        <v/>
      </c>
      <c r="PB4">
        <f>IF($B4=0,1000000000,IF(INDEX('calcA'!$D$60:$EQ$99,$B4,23)*IF($W4=1,DX4+AAM4,DX4)=1,IF(AND($E4=2,IF($W4=1,AGB4,JM4)=0),1000000000,IF($V4=1,INDEX('calcA'!$D$130:$EQ$169,$B4,23)+IF(AND($E4=1,JM4=0),25,0),INDEX('calcA'!Z$110:Z$114,$F4+1)+IF(AND($E4=1,JM4=0),1000,0)+IF($H4=1,INDEX('calcA'!$D$180:$EQ$219,$B4,23)*500,0)-IF(AND('calcA'!Y$117=1,UW4&gt;0),300,0)-IF(AND($U4=1,'calcA'!Z$117=1,DY4=0),300,0))),1000000000))</f>
        <v/>
      </c>
      <c r="PC4">
        <f>IF($B4=0,1000000000,IF(INDEX('calcA'!$D$60:$EQ$99,$B4,24)*IF($W4=1,DY4+AAN4,DY4)=1,IF(AND($E4=2,IF($W4=1,AGC4,JN4)=0),1000000000,IF($V4=1,INDEX('calcA'!$D$130:$EQ$169,$B4,24)+IF(AND($E4=1,JN4=0),25,0),INDEX('calcA'!AA$110:AA$114,$F4+1)+IF(AND($E4=1,JN4=0),1000,0)+IF($H4=1,INDEX('calcA'!$D$180:$EQ$219,$B4,24)*500,0)-IF(AND('calcA'!Z$117=1,UX4&gt;0),300,0))),1000000000))</f>
        <v/>
      </c>
      <c r="PD4">
        <f>IF($B4=0,1000000000,IF(INDEX('calcA'!$D$60:$EQ$99,$B4,25)*IF($W4=1,DZ4+AAO4,DZ4)=1,IF(AND($E4=2,IF($W4=1,AGD4,JO4)=0),1000000000,IF($V4=1,INDEX('calcA'!$D$130:$EQ$169,$B4,25)+IF(AND($E4=1,JO4=0),25,0),INDEX('calcA'!AB$110:AB$114,$F4+1)+IF(AND($E4=1,JO4=0),1000,0)+IF($H4=1,INDEX('calcA'!$D$180:$EQ$219,$B4,25)*500,0)-IF(AND($U4=1,'calcA'!AB$117=1,EA4=0),300,0))),1000000000))</f>
        <v/>
      </c>
      <c r="PE4">
        <f>IF($B4=0,1000000000,IF(INDEX('calcA'!$D$60:$EQ$99,$B4,26)*IF($W4=1,EA4+AAP4,EA4)=1,IF(AND($E4=2,IF($W4=1,AGE4,JP4)=0),1000000000,IF($V4=1,INDEX('calcA'!$D$130:$EQ$169,$B4,26)+IF(AND($E4=1,JP4=0),25,0),INDEX('calcA'!AC$110:AC$114,$F4+1)+IF(AND($E4=1,JP4=0),1000,0)+IF($H4=1,INDEX('calcA'!$D$180:$EQ$219,$B4,26)*500,0)-IF(AND('calcA'!AB$117=1,UZ4&gt;0),300,0)-IF(AND($U4=1,'calcA'!AC$117=1,EB4=0),300,0))),1000000000))</f>
        <v/>
      </c>
      <c r="PF4">
        <f>IF($B4=0,1000000000,IF(INDEX('calcA'!$D$60:$EQ$99,$B4,27)*IF($W4=1,EB4+AAQ4,EB4)=1,IF(AND($E4=2,IF($W4=1,AGF4,JQ4)=0),1000000000,IF($V4=1,INDEX('calcA'!$D$130:$EQ$169,$B4,27)+IF(AND($E4=1,JQ4=0),25,0),INDEX('calcA'!AD$110:AD$114,$F4+1)+IF(AND($E4=1,JQ4=0),1000,0)+IF($H4=1,INDEX('calcA'!$D$180:$EQ$219,$B4,27)*500,0)-IF(AND('calcA'!AC$117=1,VA4&gt;0),300,0)-IF(AND($U4=1,'calcA'!AD$117=1,EC4=0),300,0))),1000000000))</f>
        <v/>
      </c>
      <c r="PG4">
        <f>IF($B4=0,1000000000,IF(INDEX('calcA'!$D$60:$EQ$99,$B4,28)*IF($W4=1,EC4+AAR4,EC4)=1,IF(AND($E4=2,IF($W4=1,AGG4,JR4)=0),1000000000,IF($V4=1,INDEX('calcA'!$D$130:$EQ$169,$B4,28)+IF(AND($E4=1,JR4=0),25,0),INDEX('calcA'!AE$110:AE$114,$F4+1)+IF(AND($E4=1,JR4=0),1000,0)+IF($H4=1,INDEX('calcA'!$D$180:$EQ$219,$B4,28)*500,0)-IF(AND('calcA'!AD$117=1,VB4&gt;0),300,0)-IF(AND($U4=1,'calcA'!AE$117=1,ED4=0),300,0))),1000000000))</f>
        <v/>
      </c>
      <c r="PH4">
        <f>IF($B4=0,1000000000,IF(INDEX('calcA'!$D$60:$EQ$99,$B4,29)*IF($W4=1,ED4+AAS4,ED4)=1,IF(AND($E4=2,IF($W4=1,AGH4,JS4)=0),1000000000,IF($V4=1,INDEX('calcA'!$D$130:$EQ$169,$B4,29)+IF(AND($E4=1,JS4=0),25,0),INDEX('calcA'!AF$110:AF$114,$F4+1)+IF(AND($E4=1,JS4=0),1000,0)+IF($H4=1,INDEX('calcA'!$D$180:$EQ$219,$B4,29)*500,0)-IF(AND('calcA'!AE$117=1,VC4&gt;0),300,0)-IF(AND($U4=1,'calcA'!AF$117=1,EE4=0),300,0))),1000000000))</f>
        <v/>
      </c>
      <c r="PI4">
        <f>IF($B4=0,1000000000,IF(INDEX('calcA'!$D$60:$EQ$99,$B4,30)*IF($W4=1,EE4+AAT4,EE4)=1,IF(AND($E4=2,IF($W4=1,AGI4,JT4)=0),1000000000,IF($V4=1,INDEX('calcA'!$D$130:$EQ$169,$B4,30)+IF(AND($E4=1,JT4=0),25,0),INDEX('calcA'!AG$110:AG$114,$F4+1)+IF(AND($E4=1,JT4=0),1000,0)+IF($H4=1,INDEX('calcA'!$D$180:$EQ$219,$B4,30)*500,0)-IF(AND('calcA'!AF$117=1,VD4&gt;0),300,0)-IF(AND($U4=1,'calcA'!AG$117=1,EF4=0),300,0))),1000000000))</f>
        <v/>
      </c>
      <c r="PJ4">
        <f>IF($B4=0,1000000000,IF(INDEX('calcA'!$D$60:$EQ$99,$B4,31)*IF($W4=1,EF4+AAU4,EF4)=1,IF(AND($E4=2,IF($W4=1,AGJ4,JU4)=0),1000000000,IF($V4=1,INDEX('calcA'!$D$130:$EQ$169,$B4,31)+IF(AND($E4=1,JU4=0),25,0),INDEX('calcA'!AH$110:AH$114,$F4+1)+IF(AND($E4=1,JU4=0),1000,0)+IF($H4=1,INDEX('calcA'!$D$180:$EQ$219,$B4,31)*500,0)-IF(AND('calcA'!AG$117=1,VE4&gt;0),300,0)-IF(AND($U4=1,'calcA'!AH$117=1,EG4=0),300,0))),1000000000))</f>
        <v/>
      </c>
      <c r="PK4">
        <f>IF($B4=0,1000000000,IF(INDEX('calcA'!$D$60:$EQ$99,$B4,32)*IF($W4=1,EG4+AAV4,EG4)=1,IF(AND($E4=2,IF($W4=1,AGK4,JV4)=0),1000000000,IF($V4=1,INDEX('calcA'!$D$130:$EQ$169,$B4,32)+IF(AND($E4=1,JV4=0),25,0),INDEX('calcA'!AI$110:AI$114,$F4+1)+IF(AND($E4=1,JV4=0),1000,0)+IF($H4=1,INDEX('calcA'!$D$180:$EQ$219,$B4,32)*500,0)-IF(AND('calcA'!AH$117=1,VF4&gt;0),300,0)-IF(AND($U4=1,'calcA'!AI$117=1,EH4=0),300,0))),1000000000))</f>
        <v/>
      </c>
      <c r="PL4">
        <f>IF($B4=0,1000000000,IF(INDEX('calcA'!$D$60:$EQ$99,$B4,33)*IF($W4=1,EH4+AAW4,EH4)=1,IF(AND($E4=2,IF($W4=1,AGL4,JW4)=0),1000000000,IF($V4=1,INDEX('calcA'!$D$130:$EQ$169,$B4,33)+IF(AND($E4=1,JW4=0),25,0),INDEX('calcA'!AJ$110:AJ$114,$F4+1)+IF(AND($E4=1,JW4=0),1000,0)+IF($H4=1,INDEX('calcA'!$D$180:$EQ$219,$B4,33)*500,0)-IF(AND('calcA'!AI$117=1,VG4&gt;0),300,0)-IF(AND($U4=1,'calcA'!AJ$117=1,EI4=0),300,0))),1000000000))</f>
        <v/>
      </c>
      <c r="PM4">
        <f>IF($B4=0,1000000000,IF(INDEX('calcA'!$D$60:$EQ$99,$B4,34)*IF($W4=1,EI4+AAX4,EI4)=1,IF(AND($E4=2,IF($W4=1,AGM4,JX4)=0),1000000000,IF($V4=1,INDEX('calcA'!$D$130:$EQ$169,$B4,34)+IF(AND($E4=1,JX4=0),25,0),INDEX('calcA'!AK$110:AK$114,$F4+1)+IF(AND($E4=1,JX4=0),1000,0)+IF($H4=1,INDEX('calcA'!$D$180:$EQ$219,$B4,34)*500,0)-IF(AND('calcA'!AJ$117=1,VH4&gt;0),300,0)-IF(AND($U4=1,'calcA'!AK$117=1,EJ4=0),300,0))),1000000000))</f>
        <v/>
      </c>
      <c r="PN4">
        <f>IF($B4=0,1000000000,IF(INDEX('calcA'!$D$60:$EQ$99,$B4,35)*IF($W4=1,EJ4+AAY4,EJ4)=1,IF(AND($E4=2,IF($W4=1,AGN4,JY4)=0),1000000000,IF($V4=1,INDEX('calcA'!$D$130:$EQ$169,$B4,35)+IF(AND($E4=1,JY4=0),25,0),INDEX('calcA'!AL$110:AL$114,$F4+1)+IF(AND($E4=1,JY4=0),1000,0)+IF($H4=1,INDEX('calcA'!$D$180:$EQ$219,$B4,35)*500,0)-IF(AND('calcA'!AK$117=1,VI4&gt;0),300,0)-IF(AND($U4=1,'calcA'!AL$117=1,EK4=0),300,0))),1000000000))</f>
        <v/>
      </c>
      <c r="PO4">
        <f>IF($B4=0,1000000000,IF(INDEX('calcA'!$D$60:$EQ$99,$B4,36)*IF($W4=1,EK4+AAZ4,EK4)=1,IF(AND($E4=2,IF($W4=1,AGO4,JZ4)=0),1000000000,IF($V4=1,INDEX('calcA'!$D$130:$EQ$169,$B4,36)+IF(AND($E4=1,JZ4=0),25,0),INDEX('calcA'!AM$110:AM$114,$F4+1)+IF(AND($E4=1,JZ4=0),1000,0)+IF($H4=1,INDEX('calcA'!$D$180:$EQ$219,$B4,36)*500,0)-IF(AND('calcA'!AL$117=1,VJ4&gt;0),300,0)-IF(AND($U4=1,'calcA'!AM$117=1,EL4=0),300,0))),1000000000))</f>
        <v/>
      </c>
      <c r="PP4">
        <f>IF($B4=0,1000000000,IF(INDEX('calcA'!$D$60:$EQ$99,$B4,37)*IF($W4=1,EL4+ABA4,EL4)=1,IF(AND($E4=2,IF($W4=1,AGP4,KA4)=0),1000000000,IF($V4=1,INDEX('calcA'!$D$130:$EQ$169,$B4,37)+IF(AND($E4=1,KA4=0),25,0),INDEX('calcA'!AN$110:AN$114,$F4+1)+IF(AND($E4=1,KA4=0),1000,0)+IF($H4=1,INDEX('calcA'!$D$180:$EQ$219,$B4,37)*500,0)-IF(AND('calcA'!AM$117=1,VK4&gt;0),300,0)-IF(AND($U4=1,'calcA'!AN$117=1,EM4=0),300,0))),1000000000))</f>
        <v/>
      </c>
      <c r="PQ4">
        <f>IF($B4=0,1000000000,IF(INDEX('calcA'!$D$60:$EQ$99,$B4,38)*IF($W4=1,EM4+ABB4,EM4)=1,IF(AND($E4=2,IF($W4=1,AGQ4,KB4)=0),1000000000,IF($V4=1,INDEX('calcA'!$D$130:$EQ$169,$B4,38)+IF(AND($E4=1,KB4=0),25,0),INDEX('calcA'!AO$110:AO$114,$F4+1)+IF(AND($E4=1,KB4=0),1000,0)+IF($H4=1,INDEX('calcA'!$D$180:$EQ$219,$B4,38)*500,0)-IF(AND('calcA'!AN$117=1,VL4&gt;0),300,0)-IF(AND($U4=1,'calcA'!AO$117=1,EN4=0),300,0))),1000000000))</f>
        <v/>
      </c>
      <c r="PR4">
        <f>IF($B4=0,1000000000,IF(INDEX('calcA'!$D$60:$EQ$99,$B4,39)*IF($W4=1,EN4+ABC4,EN4)=1,IF(AND($E4=2,IF($W4=1,AGR4,KC4)=0),1000000000,IF($V4=1,INDEX('calcA'!$D$130:$EQ$169,$B4,39)+IF(AND($E4=1,KC4=0),25,0),INDEX('calcA'!AP$110:AP$114,$F4+1)+IF(AND($E4=1,KC4=0),1000,0)+IF($H4=1,INDEX('calcA'!$D$180:$EQ$219,$B4,39)*500,0)-IF(AND('calcA'!AO$117=1,VM4&gt;0),300,0)-IF(AND($U4=1,'calcA'!AP$117=1,EO4=0),300,0))),1000000000))</f>
        <v/>
      </c>
      <c r="PS4">
        <f>IF($B4=0,1000000000,IF(INDEX('calcA'!$D$60:$EQ$99,$B4,40)*IF($W4=1,EO4+ABD4,EO4)=1,IF(AND($E4=2,IF($W4=1,AGS4,KD4)=0),1000000000,IF($V4=1,INDEX('calcA'!$D$130:$EQ$169,$B4,40)+IF(AND($E4=1,KD4=0),25,0),INDEX('calcA'!AQ$110:AQ$114,$F4+1)+IF(AND($E4=1,KD4=0),1000,0)+IF($H4=1,INDEX('calcA'!$D$180:$EQ$219,$B4,40)*500,0)-IF(AND('calcA'!AP$117=1,VN4&gt;0),300,0)-IF(AND($U4=1,'calcA'!AQ$117=1,EP4=0),300,0))),1000000000))</f>
        <v/>
      </c>
      <c r="PT4">
        <f>IF($B4=0,1000000000,IF(INDEX('calcA'!$D$60:$EQ$99,$B4,41)*IF($W4=1,EP4+ABE4,EP4)=1,IF(AND($E4=2,IF($W4=1,AGT4,KE4)=0),1000000000,IF($V4=1,INDEX('calcA'!$D$130:$EQ$169,$B4,41)+IF(AND($E4=1,KE4=0),25,0),INDEX('calcA'!AR$110:AR$114,$F4+1)+IF(AND($E4=1,KE4=0),1000,0)+IF($H4=1,INDEX('calcA'!$D$180:$EQ$219,$B4,41)*500,0)-IF(AND('calcA'!AQ$117=1,VO4&gt;0),300,0)-IF(AND($U4=1,'calcA'!AR$117=1,EQ4=0),300,0))),1000000000))</f>
        <v/>
      </c>
      <c r="PU4">
        <f>IF($B4=0,1000000000,IF(INDEX('calcA'!$D$60:$EQ$99,$B4,42)*IF($W4=1,EQ4+ABF4,EQ4)=1,IF(AND($E4=2,IF($W4=1,AGU4,KF4)=0),1000000000,IF($V4=1,INDEX('calcA'!$D$130:$EQ$169,$B4,42)+IF(AND($E4=1,KF4=0),25,0),INDEX('calcA'!AS$110:AS$114,$F4+1)+IF(AND($E4=1,KF4=0),1000,0)+IF($H4=1,INDEX('calcA'!$D$180:$EQ$219,$B4,42)*500,0)-IF(AND('calcA'!AR$117=1,VP4&gt;0),300,0)-IF(AND($U4=1,'calcA'!AS$117=1,ER4=0),300,0))),1000000000))</f>
        <v/>
      </c>
      <c r="PV4">
        <f>IF($B4=0,1000000000,IF(INDEX('calcA'!$D$60:$EQ$99,$B4,43)*IF($W4=1,ER4+ABG4,ER4)=1,IF(AND($E4=2,IF($W4=1,AGV4,KG4)=0),1000000000,IF($V4=1,INDEX('calcA'!$D$130:$EQ$169,$B4,43)+IF(AND($E4=1,KG4=0),25,0),INDEX('calcA'!AT$110:AT$114,$F4+1)+IF(AND($E4=1,KG4=0),1000,0)+IF($H4=1,INDEX('calcA'!$D$180:$EQ$219,$B4,43)*500,0)-IF(AND('calcA'!AS$117=1,VQ4&gt;0),300,0)-IF(AND($U4=1,'calcA'!AT$117=1,ES4=0),300,0))),1000000000))</f>
        <v/>
      </c>
      <c r="PW4">
        <f>IF($B4=0,1000000000,IF(INDEX('calcA'!$D$60:$EQ$99,$B4,44)*IF($W4=1,ES4+ABH4,ES4)=1,IF(AND($E4=2,IF($W4=1,AGW4,KH4)=0),1000000000,IF($V4=1,INDEX('calcA'!$D$130:$EQ$169,$B4,44)+IF(AND($E4=1,KH4=0),25,0),INDEX('calcA'!AU$110:AU$114,$F4+1)+IF(AND($E4=1,KH4=0),1000,0)+IF($H4=1,INDEX('calcA'!$D$180:$EQ$219,$B4,44)*500,0)-IF(AND('calcA'!AT$117=1,VR4&gt;0),300,0)-IF(AND($U4=1,'calcA'!AU$117=1,ET4=0),300,0))),1000000000))</f>
        <v/>
      </c>
      <c r="PX4">
        <f>IF($B4=0,1000000000,IF(INDEX('calcA'!$D$60:$EQ$99,$B4,45)*IF($W4=1,ET4+ABI4,ET4)=1,IF(AND($E4=2,IF($W4=1,AGX4,KI4)=0),1000000000,IF($V4=1,INDEX('calcA'!$D$130:$EQ$169,$B4,45)+IF(AND($E4=1,KI4=0),25,0),INDEX('calcA'!AV$110:AV$114,$F4+1)+IF(AND($E4=1,KI4=0),1000,0)+IF($H4=1,INDEX('calcA'!$D$180:$EQ$219,$B4,45)*500,0)-IF(AND('calcA'!AU$117=1,VS4&gt;0),300,0)-IF(AND($U4=1,'calcA'!AV$117=1,EU4=0),300,0))),1000000000))</f>
        <v/>
      </c>
      <c r="PY4">
        <f>IF($B4=0,1000000000,IF(INDEX('calcA'!$D$60:$EQ$99,$B4,46)*IF($W4=1,EU4+ABJ4,EU4)=1,IF(AND($E4=2,IF($W4=1,AGY4,KJ4)=0),1000000000,IF($V4=1,INDEX('calcA'!$D$130:$EQ$169,$B4,46)+IF(AND($E4=1,KJ4=0),25,0),INDEX('calcA'!AW$110:AW$114,$F4+1)+IF(AND($E4=1,KJ4=0),1000,0)+IF($H4=1,INDEX('calcA'!$D$180:$EQ$219,$B4,46)*500,0)-IF(AND('calcA'!AV$117=1,VT4&gt;0),300,0)-IF(AND($U4=1,'calcA'!AW$117=1,EV4=0),300,0))),1000000000))</f>
        <v/>
      </c>
      <c r="PZ4">
        <f>IF($B4=0,1000000000,IF(INDEX('calcA'!$D$60:$EQ$99,$B4,47)*IF($W4=1,EV4+ABK4,EV4)=1,IF(AND($E4=2,IF($W4=1,AGZ4,KK4)=0),1000000000,IF($V4=1,INDEX('calcA'!$D$130:$EQ$169,$B4,47)+IF(AND($E4=1,KK4=0),25,0),INDEX('calcA'!AX$110:AX$114,$F4+1)+IF(AND($E4=1,KK4=0),1000,0)+IF($H4=1,INDEX('calcA'!$D$180:$EQ$219,$B4,47)*500,0)-IF(AND('calcA'!AW$117=1,VU4&gt;0),300,0)-IF(AND($U4=1,'calcA'!AX$117=1,EW4=0),300,0))),1000000000))</f>
        <v/>
      </c>
      <c r="QA4">
        <f>IF($B4=0,1000000000,IF(INDEX('calcA'!$D$60:$EQ$99,$B4,48)*IF($W4=1,EW4+ABL4,EW4)=1,IF(AND($E4=2,IF($W4=1,AHA4,KL4)=0),1000000000,IF($V4=1,INDEX('calcA'!$D$130:$EQ$169,$B4,48)+IF(AND($E4=1,KL4=0),25,0),INDEX('calcA'!AY$110:AY$114,$F4+1)+IF(AND($E4=1,KL4=0),1000,0)+IF($H4=1,INDEX('calcA'!$D$180:$EQ$219,$B4,48)*500,0)-IF(AND('calcA'!AX$117=1,VV4&gt;0),300,0))),1000000000))</f>
        <v/>
      </c>
      <c r="QB4">
        <f>IF($B4=0,1000000000,IF(INDEX('calcA'!$D$60:$EQ$99,$B4,49)*IF($W4=1,EX4+ABM4,EX4)=1,IF(AND($E4=2,IF($W4=1,AHB4,KM4)=0),1000000000,IF($V4=1,INDEX('calcA'!$D$130:$EQ$169,$B4,49)+IF(AND($E4=1,KM4=0),25,0),INDEX('calcA'!AZ$110:AZ$114,$F4+1)+IF(AND($E4=1,KM4=0),1000,0)+IF($H4=1,INDEX('calcA'!$D$180:$EQ$219,$B4,49)*500,0)-IF(AND($U4=1,'calcA'!AZ$117=1,EY4=0),300,0))),1000000000))</f>
        <v/>
      </c>
      <c r="QC4">
        <f>IF($B4=0,1000000000,IF(INDEX('calcA'!$D$60:$EQ$99,$B4,50)*IF($W4=1,EY4+ABN4,EY4)=1,IF(AND($E4=2,IF($W4=1,AHC4,KN4)=0),1000000000,IF($V4=1,INDEX('calcA'!$D$130:$EQ$169,$B4,50)+IF(AND($E4=1,KN4=0),25,0),INDEX('calcA'!BA$110:BA$114,$F4+1)+IF(AND($E4=1,KN4=0),1000,0)+IF($H4=1,INDEX('calcA'!$D$180:$EQ$219,$B4,50)*500,0)-IF(AND('calcA'!AZ$117=1,VX4&gt;0),300,0)-IF(AND($U4=1,'calcA'!BA$117=1,EZ4=0),300,0))),1000000000))</f>
        <v/>
      </c>
      <c r="QD4">
        <f>IF($B4=0,1000000000,IF(INDEX('calcA'!$D$60:$EQ$99,$B4,51)*IF($W4=1,EZ4+ABO4,EZ4)=1,IF(AND($E4=2,IF($W4=1,AHD4,KO4)=0),1000000000,IF($V4=1,INDEX('calcA'!$D$130:$EQ$169,$B4,51)+IF(AND($E4=1,KO4=0),25,0),INDEX('calcA'!BB$110:BB$114,$F4+1)+IF(AND($E4=1,KO4=0),1000,0)+IF($H4=1,INDEX('calcA'!$D$180:$EQ$219,$B4,51)*500,0)-IF(AND('calcA'!BA$117=1,VY4&gt;0),300,0)-IF(AND($U4=1,'calcA'!BB$117=1,FA4=0),300,0))),1000000000))</f>
        <v/>
      </c>
      <c r="QE4">
        <f>IF($B4=0,1000000000,IF(INDEX('calcA'!$D$60:$EQ$99,$B4,52)*IF($W4=1,FA4+ABP4,FA4)=1,IF(AND($E4=2,IF($W4=1,AHE4,KP4)=0),1000000000,IF($V4=1,INDEX('calcA'!$D$130:$EQ$169,$B4,52)+IF(AND($E4=1,KP4=0),25,0),INDEX('calcA'!BC$110:BC$114,$F4+1)+IF(AND($E4=1,KP4=0),1000,0)+IF($H4=1,INDEX('calcA'!$D$180:$EQ$219,$B4,52)*500,0)-IF(AND('calcA'!BB$117=1,VZ4&gt;0),300,0)-IF(AND($U4=1,'calcA'!BC$117=1,FB4=0),300,0))),1000000000))</f>
        <v/>
      </c>
      <c r="QF4">
        <f>IF($B4=0,1000000000,IF(INDEX('calcA'!$D$60:$EQ$99,$B4,53)*IF($W4=1,FB4+ABQ4,FB4)=1,IF(AND($E4=2,IF($W4=1,AHF4,KQ4)=0),1000000000,IF($V4=1,INDEX('calcA'!$D$130:$EQ$169,$B4,53)+IF(AND($E4=1,KQ4=0),25,0),INDEX('calcA'!BD$110:BD$114,$F4+1)+IF(AND($E4=1,KQ4=0),1000,0)+IF($H4=1,INDEX('calcA'!$D$180:$EQ$219,$B4,53)*500,0)-IF(AND('calcA'!BC$117=1,WA4&gt;0),300,0)-IF(AND($U4=1,'calcA'!BD$117=1,FC4=0),300,0))),1000000000))</f>
        <v/>
      </c>
      <c r="QG4">
        <f>IF($B4=0,1000000000,IF(INDEX('calcA'!$D$60:$EQ$99,$B4,54)*IF($W4=1,FC4+ABR4,FC4)=1,IF(AND($E4=2,IF($W4=1,AHG4,KR4)=0),1000000000,IF($V4=1,INDEX('calcA'!$D$130:$EQ$169,$B4,54)+IF(AND($E4=1,KR4=0),25,0),INDEX('calcA'!BE$110:BE$114,$F4+1)+IF(AND($E4=1,KR4=0),1000,0)+IF($H4=1,INDEX('calcA'!$D$180:$EQ$219,$B4,54)*500,0)-IF(AND('calcA'!BD$117=1,WB4&gt;0),300,0)-IF(AND($U4=1,'calcA'!BE$117=1,FD4=0),300,0))),1000000000))</f>
        <v/>
      </c>
      <c r="QH4">
        <f>IF($B4=0,1000000000,IF(INDEX('calcA'!$D$60:$EQ$99,$B4,55)*IF($W4=1,FD4+ABS4,FD4)=1,IF(AND($E4=2,IF($W4=1,AHH4,KS4)=0),1000000000,IF($V4=1,INDEX('calcA'!$D$130:$EQ$169,$B4,55)+IF(AND($E4=1,KS4=0),25,0),INDEX('calcA'!BF$110:BF$114,$F4+1)+IF(AND($E4=1,KS4=0),1000,0)+IF($H4=1,INDEX('calcA'!$D$180:$EQ$219,$B4,55)*500,0)-IF(AND('calcA'!BE$117=1,WC4&gt;0),300,0)-IF(AND($U4=1,'calcA'!BF$117=1,FE4=0),300,0))),1000000000))</f>
        <v/>
      </c>
      <c r="QI4">
        <f>IF($B4=0,1000000000,IF(INDEX('calcA'!$D$60:$EQ$99,$B4,56)*IF($W4=1,FE4+ABT4,FE4)=1,IF(AND($E4=2,IF($W4=1,AHI4,KT4)=0),1000000000,IF($V4=1,INDEX('calcA'!$D$130:$EQ$169,$B4,56)+IF(AND($E4=1,KT4=0),25,0),INDEX('calcA'!BG$110:BG$114,$F4+1)+IF(AND($E4=1,KT4=0),1000,0)+IF($H4=1,INDEX('calcA'!$D$180:$EQ$219,$B4,56)*500,0)-IF(AND('calcA'!BF$117=1,WD4&gt;0),300,0)-IF(AND($U4=1,'calcA'!BG$117=1,FF4=0),300,0))),1000000000))</f>
        <v/>
      </c>
      <c r="QJ4">
        <f>IF($B4=0,1000000000,IF(INDEX('calcA'!$D$60:$EQ$99,$B4,57)*IF($W4=1,FF4+ABU4,FF4)=1,IF(AND($E4=2,IF($W4=1,AHJ4,KU4)=0),1000000000,IF($V4=1,INDEX('calcA'!$D$130:$EQ$169,$B4,57)+IF(AND($E4=1,KU4=0),25,0),INDEX('calcA'!BH$110:BH$114,$F4+1)+IF(AND($E4=1,KU4=0),1000,0)+IF($H4=1,INDEX('calcA'!$D$180:$EQ$219,$B4,57)*500,0)-IF(AND('calcA'!BG$117=1,WE4&gt;0),300,0)-IF(AND($U4=1,'calcA'!BH$117=1,FG4=0),300,0))),1000000000))</f>
        <v/>
      </c>
      <c r="QK4">
        <f>IF($B4=0,1000000000,IF(INDEX('calcA'!$D$60:$EQ$99,$B4,58)*IF($W4=1,FG4+ABV4,FG4)=1,IF(AND($E4=2,IF($W4=1,AHK4,KV4)=0),1000000000,IF($V4=1,INDEX('calcA'!$D$130:$EQ$169,$B4,58)+IF(AND($E4=1,KV4=0),25,0),INDEX('calcA'!BI$110:BI$114,$F4+1)+IF(AND($E4=1,KV4=0),1000,0)+IF($H4=1,INDEX('calcA'!$D$180:$EQ$219,$B4,58)*500,0)-IF(AND('calcA'!BH$117=1,WF4&gt;0),300,0)-IF(AND($U4=1,'calcA'!BI$117=1,FH4=0),300,0))),1000000000))</f>
        <v/>
      </c>
      <c r="QL4">
        <f>IF($B4=0,1000000000,IF(INDEX('calcA'!$D$60:$EQ$99,$B4,59)*IF($W4=1,FH4+ABW4,FH4)=1,IF(AND($E4=2,IF($W4=1,AHL4,KW4)=0),1000000000,IF($V4=1,INDEX('calcA'!$D$130:$EQ$169,$B4,59)+IF(AND($E4=1,KW4=0),25,0),INDEX('calcA'!BJ$110:BJ$114,$F4+1)+IF(AND($E4=1,KW4=0),1000,0)+IF($H4=1,INDEX('calcA'!$D$180:$EQ$219,$B4,59)*500,0)-IF(AND('calcA'!BI$117=1,WG4&gt;0),300,0)-IF(AND($U4=1,'calcA'!BJ$117=1,FI4=0),300,0))),1000000000))</f>
        <v/>
      </c>
      <c r="QM4">
        <f>IF($B4=0,1000000000,IF(INDEX('calcA'!$D$60:$EQ$99,$B4,60)*IF($W4=1,FI4+ABX4,FI4)=1,IF(AND($E4=2,IF($W4=1,AHM4,KX4)=0),1000000000,IF($V4=1,INDEX('calcA'!$D$130:$EQ$169,$B4,60)+IF(AND($E4=1,KX4=0),25,0),INDEX('calcA'!BK$110:BK$114,$F4+1)+IF(AND($E4=1,KX4=0),1000,0)+IF($H4=1,INDEX('calcA'!$D$180:$EQ$219,$B4,60)*500,0)-IF(AND('calcA'!BJ$117=1,WH4&gt;0),300,0)-IF(AND($U4=1,'calcA'!BK$117=1,FJ4=0),300,0))),1000000000))</f>
        <v/>
      </c>
      <c r="QN4">
        <f>IF($B4=0,1000000000,IF(INDEX('calcA'!$D$60:$EQ$99,$B4,61)*IF($W4=1,FJ4+ABY4,FJ4)=1,IF(AND($E4=2,IF($W4=1,AHN4,KY4)=0),1000000000,IF($V4=1,INDEX('calcA'!$D$130:$EQ$169,$B4,61)+IF(AND($E4=1,KY4=0),25,0),INDEX('calcA'!BL$110:BL$114,$F4+1)+IF(AND($E4=1,KY4=0),1000,0)+IF($H4=1,INDEX('calcA'!$D$180:$EQ$219,$B4,61)*500,0)-IF(AND('calcA'!BK$117=1,WI4&gt;0),300,0)-IF(AND($U4=1,'calcA'!BL$117=1,FK4=0),300,0))),1000000000))</f>
        <v/>
      </c>
      <c r="QO4">
        <f>IF($B4=0,1000000000,IF(INDEX('calcA'!$D$60:$EQ$99,$B4,62)*IF($W4=1,FK4+ABZ4,FK4)=1,IF(AND($E4=2,IF($W4=1,AHO4,KZ4)=0),1000000000,IF($V4=1,INDEX('calcA'!$D$130:$EQ$169,$B4,62)+IF(AND($E4=1,KZ4=0),25,0),INDEX('calcA'!BM$110:BM$114,$F4+1)+IF(AND($E4=1,KZ4=0),1000,0)+IF($H4=1,INDEX('calcA'!$D$180:$EQ$219,$B4,62)*500,0)-IF(AND('calcA'!BL$117=1,WJ4&gt;0),300,0)-IF(AND($U4=1,'calcA'!BM$117=1,FL4=0),300,0))),1000000000))</f>
        <v/>
      </c>
      <c r="QP4">
        <f>IF($B4=0,1000000000,IF(INDEX('calcA'!$D$60:$EQ$99,$B4,63)*IF($W4=1,FL4+ACA4,FL4)=1,IF(AND($E4=2,IF($W4=1,AHP4,LA4)=0),1000000000,IF($V4=1,INDEX('calcA'!$D$130:$EQ$169,$B4,63)+IF(AND($E4=1,LA4=0),25,0),INDEX('calcA'!BN$110:BN$114,$F4+1)+IF(AND($E4=1,LA4=0),1000,0)+IF($H4=1,INDEX('calcA'!$D$180:$EQ$219,$B4,63)*500,0)-IF(AND('calcA'!BM$117=1,WK4&gt;0),300,0)-IF(AND($U4=1,'calcA'!BN$117=1,FM4=0),300,0))),1000000000))</f>
        <v/>
      </c>
      <c r="QQ4">
        <f>IF($B4=0,1000000000,IF(INDEX('calcA'!$D$60:$EQ$99,$B4,64)*IF($W4=1,FM4+ACB4,FM4)=1,IF(AND($E4=2,IF($W4=1,AHQ4,LB4)=0),1000000000,IF($V4=1,INDEX('calcA'!$D$130:$EQ$169,$B4,64)+IF(AND($E4=1,LB4=0),25,0),INDEX('calcA'!BO$110:BO$114,$F4+1)+IF(AND($E4=1,LB4=0),1000,0)+IF($H4=1,INDEX('calcA'!$D$180:$EQ$219,$B4,64)*500,0)-IF(AND('calcA'!BN$117=1,WL4&gt;0),300,0)-IF(AND($U4=1,'calcA'!BO$117=1,FN4=0),300,0))),1000000000))</f>
        <v/>
      </c>
      <c r="QR4">
        <f>IF($B4=0,1000000000,IF(INDEX('calcA'!$D$60:$EQ$99,$B4,65)*IF($W4=1,FN4+ACC4,FN4)=1,IF(AND($E4=2,IF($W4=1,AHR4,LC4)=0),1000000000,IF($V4=1,INDEX('calcA'!$D$130:$EQ$169,$B4,65)+IF(AND($E4=1,LC4=0),25,0),INDEX('calcA'!BP$110:BP$114,$F4+1)+IF(AND($E4=1,LC4=0),1000,0)+IF($H4=1,INDEX('calcA'!$D$180:$EQ$219,$B4,65)*500,0)-IF(AND('calcA'!BO$117=1,WM4&gt;0),300,0)-IF(AND($U4=1,'calcA'!BP$117=1,FO4=0),300,0))),1000000000))</f>
        <v/>
      </c>
      <c r="QS4">
        <f>IF($B4=0,1000000000,IF(INDEX('calcA'!$D$60:$EQ$99,$B4,66)*IF($W4=1,FO4+ACD4,FO4)=1,IF(AND($E4=2,IF($W4=1,AHS4,LD4)=0),1000000000,IF($V4=1,INDEX('calcA'!$D$130:$EQ$169,$B4,66)+IF(AND($E4=1,LD4=0),25,0),INDEX('calcA'!BQ$110:BQ$114,$F4+1)+IF(AND($E4=1,LD4=0),1000,0)+IF($H4=1,INDEX('calcA'!$D$180:$EQ$219,$B4,66)*500,0)-IF(AND('calcA'!BP$117=1,WN4&gt;0),300,0)-IF(AND($U4=1,'calcA'!BQ$117=1,FP4=0),300,0))),1000000000))</f>
        <v/>
      </c>
      <c r="QT4">
        <f>IF($B4=0,1000000000,IF(INDEX('calcA'!$D$60:$EQ$99,$B4,67)*IF($W4=1,FP4+ACE4,FP4)=1,IF(AND($E4=2,IF($W4=1,AHT4,LE4)=0),1000000000,IF($V4=1,INDEX('calcA'!$D$130:$EQ$169,$B4,67)+IF(AND($E4=1,LE4=0),25,0),INDEX('calcA'!BR$110:BR$114,$F4+1)+IF(AND($E4=1,LE4=0),1000,0)+IF($H4=1,INDEX('calcA'!$D$180:$EQ$219,$B4,67)*500,0)-IF(AND('calcA'!BQ$117=1,WO4&gt;0),300,0)-IF(AND($U4=1,'calcA'!BR$117=1,FQ4=0),300,0))),1000000000))</f>
        <v/>
      </c>
      <c r="QU4">
        <f>IF($B4=0,1000000000,IF(INDEX('calcA'!$D$60:$EQ$99,$B4,68)*IF($W4=1,FQ4+ACF4,FQ4)=1,IF(AND($E4=2,IF($W4=1,AHU4,LF4)=0),1000000000,IF($V4=1,INDEX('calcA'!$D$130:$EQ$169,$B4,68)+IF(AND($E4=1,LF4=0),25,0),INDEX('calcA'!BS$110:BS$114,$F4+1)+IF(AND($E4=1,LF4=0),1000,0)+IF($H4=1,INDEX('calcA'!$D$180:$EQ$219,$B4,68)*500,0)-IF(AND('calcA'!BR$117=1,WP4&gt;0),300,0)-IF(AND($U4=1,'calcA'!BS$117=1,FR4=0),300,0))),1000000000))</f>
        <v/>
      </c>
      <c r="QV4">
        <f>IF($B4=0,1000000000,IF(INDEX('calcA'!$D$60:$EQ$99,$B4,69)*IF($W4=1,FR4+ACG4,FR4)=1,IF(AND($E4=2,IF($W4=1,AHV4,LG4)=0),1000000000,IF($V4=1,INDEX('calcA'!$D$130:$EQ$169,$B4,69)+IF(AND($E4=1,LG4=0),25,0),INDEX('calcA'!BT$110:BT$114,$F4+1)+IF(AND($E4=1,LG4=0),1000,0)+IF($H4=1,INDEX('calcA'!$D$180:$EQ$219,$B4,69)*500,0)-IF(AND('calcA'!BS$117=1,WQ4&gt;0),300,0)-IF(AND($U4=1,'calcA'!BT$117=1,FS4=0),300,0))),1000000000))</f>
        <v/>
      </c>
      <c r="QW4">
        <f>IF($B4=0,1000000000,IF(INDEX('calcA'!$D$60:$EQ$99,$B4,70)*IF($W4=1,FS4+ACH4,FS4)=1,IF(AND($E4=2,IF($W4=1,AHW4,LH4)=0),1000000000,IF($V4=1,INDEX('calcA'!$D$130:$EQ$169,$B4,70)+IF(AND($E4=1,LH4=0),25,0),INDEX('calcA'!BU$110:BU$114,$F4+1)+IF(AND($E4=1,LH4=0),1000,0)+IF($H4=1,INDEX('calcA'!$D$180:$EQ$219,$B4,70)*500,0)-IF(AND('calcA'!BT$117=1,WR4&gt;0),300,0)-IF(AND($U4=1,'calcA'!BU$117=1,FT4=0),300,0))),1000000000))</f>
        <v/>
      </c>
      <c r="QX4">
        <f>IF($B4=0,1000000000,IF(INDEX('calcA'!$D$60:$EQ$99,$B4,71)*IF($W4=1,FT4+ACI4,FT4)=1,IF(AND($E4=2,IF($W4=1,AHX4,LI4)=0),1000000000,IF($V4=1,INDEX('calcA'!$D$130:$EQ$169,$B4,71)+IF(AND($E4=1,LI4=0),25,0),INDEX('calcA'!BV$110:BV$114,$F4+1)+IF(AND($E4=1,LI4=0),1000,0)+IF($H4=1,INDEX('calcA'!$D$180:$EQ$219,$B4,71)*500,0)-IF(AND('calcA'!BU$117=1,WS4&gt;0),300,0)-IF(AND($U4=1,'calcA'!BV$117=1,FU4=0),300,0))),1000000000))</f>
        <v/>
      </c>
      <c r="QY4">
        <f>IF($B4=0,1000000000,IF(INDEX('calcA'!$D$60:$EQ$99,$B4,72)*IF($W4=1,FU4+ACJ4,FU4)=1,IF(AND($E4=2,IF($W4=1,AHY4,LJ4)=0),1000000000,IF($V4=1,INDEX('calcA'!$D$130:$EQ$169,$B4,72)+IF(AND($E4=1,LJ4=0),25,0),INDEX('calcA'!BW$110:BW$114,$F4+1)+IF(AND($E4=1,LJ4=0),1000,0)+IF($H4=1,INDEX('calcA'!$D$180:$EQ$219,$B4,72)*500,0)-IF(AND('calcA'!BV$117=1,WT4&gt;0),300,0))),1000000000))</f>
        <v/>
      </c>
      <c r="QZ4">
        <f>IF($B4=0,1000000000,IF(INDEX('calcA'!$D$60:$EQ$99,$B4,73)*IF($W4=1,FV4+ACK4,FV4)=1,IF(AND($E4=2,IF($W4=1,AHZ4,LK4)=0),1000000000,IF($V4=1,INDEX('calcA'!$D$130:$EQ$169,$B4,73)+IF(AND($E4=1,LK4=0),25,0),INDEX('calcA'!BX$110:BX$114,$F4+1)+IF(AND($E4=1,LK4=0),1000,0)+IF($H4=1,INDEX('calcA'!$D$180:$EQ$219,$B4,73)*500,0)-IF(AND($U4=1,'calcA'!BX$117=1,FW4=0),300,0))),1000000000))</f>
        <v/>
      </c>
      <c r="RA4">
        <f>IF($B4=0,1000000000,IF(INDEX('calcA'!$D$60:$EQ$99,$B4,74)*IF($W4=1,FW4+ACL4,FW4)=1,IF(AND($E4=2,IF($W4=1,AIA4,LL4)=0),1000000000,IF($V4=1,INDEX('calcA'!$D$130:$EQ$169,$B4,74)+IF(AND($E4=1,LL4=0),25,0),INDEX('calcA'!BY$110:BY$114,$F4+1)+IF(AND($E4=1,LL4=0),1000,0)+IF($H4=1,INDEX('calcA'!$D$180:$EQ$219,$B4,74)*500,0)-IF(AND('calcA'!BX$117=1,WV4&gt;0),300,0)-IF(AND($U4=1,'calcA'!BY$117=1,FX4=0),300,0))),1000000000))</f>
        <v/>
      </c>
      <c r="RB4">
        <f>IF($B4=0,1000000000,IF(INDEX('calcA'!$D$60:$EQ$99,$B4,75)*IF($W4=1,FX4+ACM4,FX4)=1,IF(AND($E4=2,IF($W4=1,AIB4,LM4)=0),1000000000,IF($V4=1,INDEX('calcA'!$D$130:$EQ$169,$B4,75)+IF(AND($E4=1,LM4=0),25,0),INDEX('calcA'!BZ$110:BZ$114,$F4+1)+IF(AND($E4=1,LM4=0),1000,0)+IF($H4=1,INDEX('calcA'!$D$180:$EQ$219,$B4,75)*500,0)-IF(AND('calcA'!BY$117=1,WW4&gt;0),300,0)-IF(AND($U4=1,'calcA'!BZ$117=1,FY4=0),300,0))),1000000000))</f>
        <v/>
      </c>
      <c r="RC4">
        <f>IF($B4=0,1000000000,IF(INDEX('calcA'!$D$60:$EQ$99,$B4,76)*IF($W4=1,FY4+ACN4,FY4)=1,IF(AND($E4=2,IF($W4=1,AIC4,LN4)=0),1000000000,IF($V4=1,INDEX('calcA'!$D$130:$EQ$169,$B4,76)+IF(AND($E4=1,LN4=0),25,0),INDEX('calcA'!CA$110:CA$114,$F4+1)+IF(AND($E4=1,LN4=0),1000,0)+IF($H4=1,INDEX('calcA'!$D$180:$EQ$219,$B4,76)*500,0)-IF(AND('calcA'!BZ$117=1,WX4&gt;0),300,0)-IF(AND($U4=1,'calcA'!CA$117=1,FZ4=0),300,0))),1000000000))</f>
        <v/>
      </c>
      <c r="RD4">
        <f>IF($B4=0,1000000000,IF(INDEX('calcA'!$D$60:$EQ$99,$B4,77)*IF($W4=1,FZ4+ACO4,FZ4)=1,IF(AND($E4=2,IF($W4=1,AID4,LO4)=0),1000000000,IF($V4=1,INDEX('calcA'!$D$130:$EQ$169,$B4,77)+IF(AND($E4=1,LO4=0),25,0),INDEX('calcA'!CB$110:CB$114,$F4+1)+IF(AND($E4=1,LO4=0),1000,0)+IF($H4=1,INDEX('calcA'!$D$180:$EQ$219,$B4,77)*500,0)-IF(AND('calcA'!CA$117=1,WY4&gt;0),300,0)-IF(AND($U4=1,'calcA'!CB$117=1,GA4=0),300,0))),1000000000))</f>
        <v/>
      </c>
      <c r="RE4">
        <f>IF($B4=0,1000000000,IF(INDEX('calcA'!$D$60:$EQ$99,$B4,78)*IF($W4=1,GA4+ACP4,GA4)=1,IF(AND($E4=2,IF($W4=1,AIE4,LP4)=0),1000000000,IF($V4=1,INDEX('calcA'!$D$130:$EQ$169,$B4,78)+IF(AND($E4=1,LP4=0),25,0),INDEX('calcA'!CC$110:CC$114,$F4+1)+IF(AND($E4=1,LP4=0),1000,0)+IF($H4=1,INDEX('calcA'!$D$180:$EQ$219,$B4,78)*500,0)-IF(AND('calcA'!CB$117=1,WZ4&gt;0),300,0)-IF(AND($U4=1,'calcA'!CC$117=1,GB4=0),300,0))),1000000000))</f>
        <v/>
      </c>
      <c r="RF4">
        <f>IF($B4=0,1000000000,IF(INDEX('calcA'!$D$60:$EQ$99,$B4,79)*IF($W4=1,GB4+ACQ4,GB4)=1,IF(AND($E4=2,IF($W4=1,AIF4,LQ4)=0),1000000000,IF($V4=1,INDEX('calcA'!$D$130:$EQ$169,$B4,79)+IF(AND($E4=1,LQ4=0),25,0),INDEX('calcA'!CD$110:CD$114,$F4+1)+IF(AND($E4=1,LQ4=0),1000,0)+IF($H4=1,INDEX('calcA'!$D$180:$EQ$219,$B4,79)*500,0)-IF(AND('calcA'!CC$117=1,XA4&gt;0),300,0)-IF(AND($U4=1,'calcA'!CD$117=1,GC4=0),300,0))),1000000000))</f>
        <v/>
      </c>
      <c r="RG4">
        <f>IF($B4=0,1000000000,IF(INDEX('calcA'!$D$60:$EQ$99,$B4,80)*IF($W4=1,GC4+ACR4,GC4)=1,IF(AND($E4=2,IF($W4=1,AIG4,LR4)=0),1000000000,IF($V4=1,INDEX('calcA'!$D$130:$EQ$169,$B4,80)+IF(AND($E4=1,LR4=0),25,0),INDEX('calcA'!CE$110:CE$114,$F4+1)+IF(AND($E4=1,LR4=0),1000,0)+IF($H4=1,INDEX('calcA'!$D$180:$EQ$219,$B4,80)*500,0)-IF(AND('calcA'!CD$117=1,XB4&gt;0),300,0)-IF(AND($U4=1,'calcA'!CE$117=1,GD4=0),300,0))),1000000000))</f>
        <v/>
      </c>
      <c r="RH4">
        <f>IF($B4=0,1000000000,IF(INDEX('calcA'!$D$60:$EQ$99,$B4,81)*IF($W4=1,GD4+ACS4,GD4)=1,IF(AND($E4=2,IF($W4=1,AIH4,LS4)=0),1000000000,IF($V4=1,INDEX('calcA'!$D$130:$EQ$169,$B4,81)+IF(AND($E4=1,LS4=0),25,0),INDEX('calcA'!CF$110:CF$114,$F4+1)+IF(AND($E4=1,LS4=0),1000,0)+IF($H4=1,INDEX('calcA'!$D$180:$EQ$219,$B4,81)*500,0)-IF(AND('calcA'!CE$117=1,XC4&gt;0),300,0)-IF(AND($U4=1,'calcA'!CF$117=1,GE4=0),300,0))),1000000000))</f>
        <v/>
      </c>
      <c r="RI4">
        <f>IF($B4=0,1000000000,IF(INDEX('calcA'!$D$60:$EQ$99,$B4,82)*IF($W4=1,GE4+ACT4,GE4)=1,IF(AND($E4=2,IF($W4=1,AII4,LT4)=0),1000000000,IF($V4=1,INDEX('calcA'!$D$130:$EQ$169,$B4,82)+IF(AND($E4=1,LT4=0),25,0),INDEX('calcA'!CG$110:CG$114,$F4+1)+IF(AND($E4=1,LT4=0),1000,0)+IF($H4=1,INDEX('calcA'!$D$180:$EQ$219,$B4,82)*500,0)-IF(AND('calcA'!CF$117=1,XD4&gt;0),300,0)-IF(AND($U4=1,'calcA'!CG$117=1,GF4=0),300,0))),1000000000))</f>
        <v/>
      </c>
      <c r="RJ4">
        <f>IF($B4=0,1000000000,IF(INDEX('calcA'!$D$60:$EQ$99,$B4,83)*IF($W4=1,GF4+ACU4,GF4)=1,IF(AND($E4=2,IF($W4=1,AIJ4,LU4)=0),1000000000,IF($V4=1,INDEX('calcA'!$D$130:$EQ$169,$B4,83)+IF(AND($E4=1,LU4=0),25,0),INDEX('calcA'!CH$110:CH$114,$F4+1)+IF(AND($E4=1,LU4=0),1000,0)+IF($H4=1,INDEX('calcA'!$D$180:$EQ$219,$B4,83)*500,0)-IF(AND('calcA'!CG$117=1,XE4&gt;0),300,0)-IF(AND($U4=1,'calcA'!CH$117=1,GG4=0),300,0))),1000000000))</f>
        <v/>
      </c>
      <c r="RK4">
        <f>IF($B4=0,1000000000,IF(INDEX('calcA'!$D$60:$EQ$99,$B4,84)*IF($W4=1,GG4+ACV4,GG4)=1,IF(AND($E4=2,IF($W4=1,AIK4,LV4)=0),1000000000,IF($V4=1,INDEX('calcA'!$D$130:$EQ$169,$B4,84)+IF(AND($E4=1,LV4=0),25,0),INDEX('calcA'!CI$110:CI$114,$F4+1)+IF(AND($E4=1,LV4=0),1000,0)+IF($H4=1,INDEX('calcA'!$D$180:$EQ$219,$B4,84)*500,0)-IF(AND('calcA'!CH$117=1,XF4&gt;0),300,0)-IF(AND($U4=1,'calcA'!CI$117=1,GH4=0),300,0))),1000000000))</f>
        <v/>
      </c>
      <c r="RL4">
        <f>IF($B4=0,1000000000,IF(INDEX('calcA'!$D$60:$EQ$99,$B4,85)*IF($W4=1,GH4+ACW4,GH4)=1,IF(AND($E4=2,IF($W4=1,AIL4,LW4)=0),1000000000,IF($V4=1,INDEX('calcA'!$D$130:$EQ$169,$B4,85)+IF(AND($E4=1,LW4=0),25,0),INDEX('calcA'!CJ$110:CJ$114,$F4+1)+IF(AND($E4=1,LW4=0),1000,0)+IF($H4=1,INDEX('calcA'!$D$180:$EQ$219,$B4,85)*500,0)-IF(AND('calcA'!CI$117=1,XG4&gt;0),300,0)-IF(AND($U4=1,'calcA'!CJ$117=1,GI4=0),300,0))),1000000000))</f>
        <v/>
      </c>
      <c r="RM4">
        <f>IF($B4=0,1000000000,IF(INDEX('calcA'!$D$60:$EQ$99,$B4,86)*IF($W4=1,GI4+ACX4,GI4)=1,IF(AND($E4=2,IF($W4=1,AIM4,LX4)=0),1000000000,IF($V4=1,INDEX('calcA'!$D$130:$EQ$169,$B4,86)+IF(AND($E4=1,LX4=0),25,0),INDEX('calcA'!CK$110:CK$114,$F4+1)+IF(AND($E4=1,LX4=0),1000,0)+IF($H4=1,INDEX('calcA'!$D$180:$EQ$219,$B4,86)*500,0)-IF(AND('calcA'!CJ$117=1,XH4&gt;0),300,0)-IF(AND($U4=1,'calcA'!CK$117=1,GJ4=0),300,0))),1000000000))</f>
        <v/>
      </c>
      <c r="RN4">
        <f>IF($B4=0,1000000000,IF(INDEX('calcA'!$D$60:$EQ$99,$B4,87)*IF($W4=1,GJ4+ACY4,GJ4)=1,IF(AND($E4=2,IF($W4=1,AIN4,LY4)=0),1000000000,IF($V4=1,INDEX('calcA'!$D$130:$EQ$169,$B4,87)+IF(AND($E4=1,LY4=0),25,0),INDEX('calcA'!CL$110:CL$114,$F4+1)+IF(AND($E4=1,LY4=0),1000,0)+IF($H4=1,INDEX('calcA'!$D$180:$EQ$219,$B4,87)*500,0)-IF(AND('calcA'!CK$117=1,XI4&gt;0),300,0)-IF(AND($U4=1,'calcA'!CL$117=1,GK4=0),300,0))),1000000000))</f>
        <v/>
      </c>
      <c r="RO4">
        <f>IF($B4=0,1000000000,IF(INDEX('calcA'!$D$60:$EQ$99,$B4,88)*IF($W4=1,GK4+ACZ4,GK4)=1,IF(AND($E4=2,IF($W4=1,AIO4,LZ4)=0),1000000000,IF($V4=1,INDEX('calcA'!$D$130:$EQ$169,$B4,88)+IF(AND($E4=1,LZ4=0),25,0),INDEX('calcA'!CM$110:CM$114,$F4+1)+IF(AND($E4=1,LZ4=0),1000,0)+IF($H4=1,INDEX('calcA'!$D$180:$EQ$219,$B4,88)*500,0)-IF(AND('calcA'!CL$117=1,XJ4&gt;0),300,0)-IF(AND($U4=1,'calcA'!CM$117=1,GL4=0),300,0))),1000000000))</f>
        <v/>
      </c>
      <c r="RP4">
        <f>IF($B4=0,1000000000,IF(INDEX('calcA'!$D$60:$EQ$99,$B4,89)*IF($W4=1,GL4+ADA4,GL4)=1,IF(AND($E4=2,IF($W4=1,AIP4,MA4)=0),1000000000,IF($V4=1,INDEX('calcA'!$D$130:$EQ$169,$B4,89)+IF(AND($E4=1,MA4=0),25,0),INDEX('calcA'!CN$110:CN$114,$F4+1)+IF(AND($E4=1,MA4=0),1000,0)+IF($H4=1,INDEX('calcA'!$D$180:$EQ$219,$B4,89)*500,0)-IF(AND('calcA'!CM$117=1,XK4&gt;0),300,0)-IF(AND($U4=1,'calcA'!CN$117=1,GM4=0),300,0))),1000000000))</f>
        <v/>
      </c>
      <c r="RQ4">
        <f>IF($B4=0,1000000000,IF(INDEX('calcA'!$D$60:$EQ$99,$B4,90)*IF($W4=1,GM4+ADB4,GM4)=1,IF(AND($E4=2,IF($W4=1,AIQ4,MB4)=0),1000000000,IF($V4=1,INDEX('calcA'!$D$130:$EQ$169,$B4,90)+IF(AND($E4=1,MB4=0),25,0),INDEX('calcA'!CO$110:CO$114,$F4+1)+IF(AND($E4=1,MB4=0),1000,0)+IF($H4=1,INDEX('calcA'!$D$180:$EQ$219,$B4,90)*500,0)-IF(AND('calcA'!CN$117=1,XL4&gt;0),300,0)-IF(AND($U4=1,'calcA'!CO$117=1,GN4=0),300,0))),1000000000))</f>
        <v/>
      </c>
      <c r="RR4">
        <f>IF($B4=0,1000000000,IF(INDEX('calcA'!$D$60:$EQ$99,$B4,91)*IF($W4=1,GN4+ADC4,GN4)=1,IF(AND($E4=2,IF($W4=1,AIR4,MC4)=0),1000000000,IF($V4=1,INDEX('calcA'!$D$130:$EQ$169,$B4,91)+IF(AND($E4=1,MC4=0),25,0),INDEX('calcA'!CP$110:CP$114,$F4+1)+IF(AND($E4=1,MC4=0),1000,0)+IF($H4=1,INDEX('calcA'!$D$180:$EQ$219,$B4,91)*500,0)-IF(AND('calcA'!CO$117=1,XM4&gt;0),300,0)-IF(AND($U4=1,'calcA'!CP$117=1,GO4=0),300,0))),1000000000))</f>
        <v/>
      </c>
      <c r="RS4">
        <f>IF($B4=0,1000000000,IF(INDEX('calcA'!$D$60:$EQ$99,$B4,92)*IF($W4=1,GO4+ADD4,GO4)=1,IF(AND($E4=2,IF($W4=1,AIS4,MD4)=0),1000000000,IF($V4=1,INDEX('calcA'!$D$130:$EQ$169,$B4,92)+IF(AND($E4=1,MD4=0),25,0),INDEX('calcA'!CQ$110:CQ$114,$F4+1)+IF(AND($E4=1,MD4=0),1000,0)+IF($H4=1,INDEX('calcA'!$D$180:$EQ$219,$B4,92)*500,0)-IF(AND('calcA'!CP$117=1,XN4&gt;0),300,0)-IF(AND($U4=1,'calcA'!CQ$117=1,GP4=0),300,0))),1000000000))</f>
        <v/>
      </c>
      <c r="RT4">
        <f>IF($B4=0,1000000000,IF(INDEX('calcA'!$D$60:$EQ$99,$B4,93)*IF($W4=1,GP4+ADE4,GP4)=1,IF(AND($E4=2,IF($W4=1,AIT4,ME4)=0),1000000000,IF($V4=1,INDEX('calcA'!$D$130:$EQ$169,$B4,93)+IF(AND($E4=1,ME4=0),25,0),INDEX('calcA'!CR$110:CR$114,$F4+1)+IF(AND($E4=1,ME4=0),1000,0)+IF($H4=1,INDEX('calcA'!$D$180:$EQ$219,$B4,93)*500,0)-IF(AND('calcA'!CQ$117=1,XO4&gt;0),300,0)-IF(AND($U4=1,'calcA'!CR$117=1,GQ4=0),300,0))),1000000000))</f>
        <v/>
      </c>
      <c r="RU4">
        <f>IF($B4=0,1000000000,IF(INDEX('calcA'!$D$60:$EQ$99,$B4,94)*IF($W4=1,GQ4+ADF4,GQ4)=1,IF(AND($E4=2,IF($W4=1,AIU4,MF4)=0),1000000000,IF($V4=1,INDEX('calcA'!$D$130:$EQ$169,$B4,94)+IF(AND($E4=1,MF4=0),25,0),INDEX('calcA'!CS$110:CS$114,$F4+1)+IF(AND($E4=1,MF4=0),1000,0)+IF($H4=1,INDEX('calcA'!$D$180:$EQ$219,$B4,94)*500,0)-IF(AND('calcA'!CR$117=1,XP4&gt;0),300,0)-IF(AND($U4=1,'calcA'!CS$117=1,GR4=0),300,0))),1000000000))</f>
        <v/>
      </c>
      <c r="RV4">
        <f>IF($B4=0,1000000000,IF(INDEX('calcA'!$D$60:$EQ$99,$B4,95)*IF($W4=1,GR4+ADG4,GR4)=1,IF(AND($E4=2,IF($W4=1,AIV4,MG4)=0),1000000000,IF($V4=1,INDEX('calcA'!$D$130:$EQ$169,$B4,95)+IF(AND($E4=1,MG4=0),25,0),INDEX('calcA'!CT$110:CT$114,$F4+1)+IF(AND($E4=1,MG4=0),1000,0)+IF($H4=1,INDEX('calcA'!$D$180:$EQ$219,$B4,95)*500,0)-IF(AND('calcA'!CS$117=1,XQ4&gt;0),300,0)-IF(AND($U4=1,'calcA'!CT$117=1,GS4=0),300,0))),1000000000))</f>
        <v/>
      </c>
      <c r="RW4">
        <f>IF($B4=0,1000000000,IF(INDEX('calcA'!$D$60:$EQ$99,$B4,96)*IF($W4=1,GS4+ADH4,GS4)=1,IF(AND($E4=2,IF($W4=1,AIW4,MH4)=0),1000000000,IF($V4=1,INDEX('calcA'!$D$130:$EQ$169,$B4,96)+IF(AND($E4=1,MH4=0),25,0),INDEX('calcA'!CU$110:CU$114,$F4+1)+IF(AND($E4=1,MH4=0),1000,0)+IF($H4=1,INDEX('calcA'!$D$180:$EQ$219,$B4,96)*500,0)-IF(AND('calcA'!CT$117=1,XR4&gt;0),300,0))),1000000000))</f>
        <v/>
      </c>
      <c r="RX4">
        <f>IF($B4=0,1000000000,IF(INDEX('calcA'!$D$60:$EQ$99,$B4,97)*IF($W4=1,GT4+ADI4,GT4)=1,IF(AND($E4=2,IF($W4=1,AIX4,MI4)=0),1000000000,IF($V4=1,INDEX('calcA'!$D$130:$EQ$169,$B4,97)+IF(AND($E4=1,MI4=0),25,0),INDEX('calcA'!CV$110:CV$114,$F4+1)+IF(AND($E4=1,MI4=0),1000,0)+IF($H4=1,INDEX('calcA'!$D$180:$EQ$219,$B4,97)*500,0)-IF(AND($U4=1,'calcA'!CV$117=1,GU4=0),300,0))),1000000000))</f>
        <v/>
      </c>
      <c r="RY4">
        <f>IF($B4=0,1000000000,IF(INDEX('calcA'!$D$60:$EQ$99,$B4,98)*IF($W4=1,GU4+ADJ4,GU4)=1,IF(AND($E4=2,IF($W4=1,AIY4,MJ4)=0),1000000000,IF($V4=1,INDEX('calcA'!$D$130:$EQ$169,$B4,98)+IF(AND($E4=1,MJ4=0),25,0),INDEX('calcA'!CW$110:CW$114,$F4+1)+IF(AND($E4=1,MJ4=0),1000,0)+IF($H4=1,INDEX('calcA'!$D$180:$EQ$219,$B4,98)*500,0)-IF(AND('calcA'!CV$117=1,XT4&gt;0),300,0)-IF(AND($U4=1,'calcA'!CW$117=1,GV4=0),300,0))),1000000000))</f>
        <v/>
      </c>
      <c r="RZ4">
        <f>IF($B4=0,1000000000,IF(INDEX('calcA'!$D$60:$EQ$99,$B4,99)*IF($W4=1,GV4+ADK4,GV4)=1,IF(AND($E4=2,IF($W4=1,AIZ4,MK4)=0),1000000000,IF($V4=1,INDEX('calcA'!$D$130:$EQ$169,$B4,99)+IF(AND($E4=1,MK4=0),25,0),INDEX('calcA'!CX$110:CX$114,$F4+1)+IF(AND($E4=1,MK4=0),1000,0)+IF($H4=1,INDEX('calcA'!$D$180:$EQ$219,$B4,99)*500,0)-IF(AND('calcA'!CW$117=1,XU4&gt;0),300,0)-IF(AND($U4=1,'calcA'!CX$117=1,GW4=0),300,0))),1000000000))</f>
        <v/>
      </c>
      <c r="SA4">
        <f>IF($B4=0,1000000000,IF(INDEX('calcA'!$D$60:$EQ$99,$B4,100)*IF($W4=1,GW4+ADL4,GW4)=1,IF(AND($E4=2,IF($W4=1,AJA4,ML4)=0),1000000000,IF($V4=1,INDEX('calcA'!$D$130:$EQ$169,$B4,100)+IF(AND($E4=1,ML4=0),25,0),INDEX('calcA'!CY$110:CY$114,$F4+1)+IF(AND($E4=1,ML4=0),1000,0)+IF($H4=1,INDEX('calcA'!$D$180:$EQ$219,$B4,100)*500,0)-IF(AND('calcA'!CX$117=1,XV4&gt;0),300,0)-IF(AND($U4=1,'calcA'!CY$117=1,GX4=0),300,0))),1000000000))</f>
        <v/>
      </c>
      <c r="SB4">
        <f>IF($B4=0,1000000000,IF(INDEX('calcA'!$D$60:$EQ$99,$B4,101)*IF($W4=1,GX4+ADM4,GX4)=1,IF(AND($E4=2,IF($W4=1,AJB4,MM4)=0),1000000000,IF($V4=1,INDEX('calcA'!$D$130:$EQ$169,$B4,101)+IF(AND($E4=1,MM4=0),25,0),INDEX('calcA'!CZ$110:CZ$114,$F4+1)+IF(AND($E4=1,MM4=0),1000,0)+IF($H4=1,INDEX('calcA'!$D$180:$EQ$219,$B4,101)*500,0)-IF(AND('calcA'!CY$117=1,XW4&gt;0),300,0)-IF(AND($U4=1,'calcA'!CZ$117=1,GY4=0),300,0))),1000000000))</f>
        <v/>
      </c>
      <c r="SC4">
        <f>IF($B4=0,1000000000,IF(INDEX('calcA'!$D$60:$EQ$99,$B4,102)*IF($W4=1,GY4+ADN4,GY4)=1,IF(AND($E4=2,IF($W4=1,AJC4,MN4)=0),1000000000,IF($V4=1,INDEX('calcA'!$D$130:$EQ$169,$B4,102)+IF(AND($E4=1,MN4=0),25,0),INDEX('calcA'!DA$110:DA$114,$F4+1)+IF(AND($E4=1,MN4=0),1000,0)+IF($H4=1,INDEX('calcA'!$D$180:$EQ$219,$B4,102)*500,0)-IF(AND('calcA'!CZ$117=1,XX4&gt;0),300,0)-IF(AND($U4=1,'calcA'!DA$117=1,GZ4=0),300,0))),1000000000))</f>
        <v/>
      </c>
      <c r="SD4">
        <f>IF($B4=0,1000000000,IF(INDEX('calcA'!$D$60:$EQ$99,$B4,103)*IF($W4=1,GZ4+ADO4,GZ4)=1,IF(AND($E4=2,IF($W4=1,AJD4,MO4)=0),1000000000,IF($V4=1,INDEX('calcA'!$D$130:$EQ$169,$B4,103)+IF(AND($E4=1,MO4=0),25,0),INDEX('calcA'!DB$110:DB$114,$F4+1)+IF(AND($E4=1,MO4=0),1000,0)+IF($H4=1,INDEX('calcA'!$D$180:$EQ$219,$B4,103)*500,0)-IF(AND('calcA'!DA$117=1,XY4&gt;0),300,0)-IF(AND($U4=1,'calcA'!DB$117=1,HA4=0),300,0))),1000000000))</f>
        <v/>
      </c>
      <c r="SE4">
        <f>IF($B4=0,1000000000,IF(INDEX('calcA'!$D$60:$EQ$99,$B4,104)*IF($W4=1,HA4+ADP4,HA4)=1,IF(AND($E4=2,IF($W4=1,AJE4,MP4)=0),1000000000,IF($V4=1,INDEX('calcA'!$D$130:$EQ$169,$B4,104)+IF(AND($E4=1,MP4=0),25,0),INDEX('calcA'!DC$110:DC$114,$F4+1)+IF(AND($E4=1,MP4=0),1000,0)+IF($H4=1,INDEX('calcA'!$D$180:$EQ$219,$B4,104)*500,0)-IF(AND('calcA'!DB$117=1,XZ4&gt;0),300,0)-IF(AND($U4=1,'calcA'!DC$117=1,HB4=0),300,0))),1000000000))</f>
        <v/>
      </c>
      <c r="SF4">
        <f>IF($B4=0,1000000000,IF(INDEX('calcA'!$D$60:$EQ$99,$B4,105)*IF($W4=1,HB4+ADQ4,HB4)=1,IF(AND($E4=2,IF($W4=1,AJF4,MQ4)=0),1000000000,IF($V4=1,INDEX('calcA'!$D$130:$EQ$169,$B4,105)+IF(AND($E4=1,MQ4=0),25,0),INDEX('calcA'!DD$110:DD$114,$F4+1)+IF(AND($E4=1,MQ4=0),1000,0)+IF($H4=1,INDEX('calcA'!$D$180:$EQ$219,$B4,105)*500,0)-IF(AND('calcA'!DC$117=1,YA4&gt;0),300,0)-IF(AND($U4=1,'calcA'!DD$117=1,HC4=0),300,0))),1000000000))</f>
        <v/>
      </c>
      <c r="SG4">
        <f>IF($B4=0,1000000000,IF(INDEX('calcA'!$D$60:$EQ$99,$B4,106)*IF($W4=1,HC4+ADR4,HC4)=1,IF(AND($E4=2,IF($W4=1,AJG4,MR4)=0),1000000000,IF($V4=1,INDEX('calcA'!$D$130:$EQ$169,$B4,106)+IF(AND($E4=1,MR4=0),25,0),INDEX('calcA'!DE$110:DE$114,$F4+1)+IF(AND($E4=1,MR4=0),1000,0)+IF($H4=1,INDEX('calcA'!$D$180:$EQ$219,$B4,106)*500,0)-IF(AND('calcA'!DD$117=1,YB4&gt;0),300,0)-IF(AND($U4=1,'calcA'!DE$117=1,HD4=0),300,0))),1000000000))</f>
        <v/>
      </c>
      <c r="SH4">
        <f>IF($B4=0,1000000000,IF(INDEX('calcA'!$D$60:$EQ$99,$B4,107)*IF($W4=1,HD4+ADS4,HD4)=1,IF(AND($E4=2,IF($W4=1,AJH4,MS4)=0),1000000000,IF($V4=1,INDEX('calcA'!$D$130:$EQ$169,$B4,107)+IF(AND($E4=1,MS4=0),25,0),INDEX('calcA'!DF$110:DF$114,$F4+1)+IF(AND($E4=1,MS4=0),1000,0)+IF($H4=1,INDEX('calcA'!$D$180:$EQ$219,$B4,107)*500,0)-IF(AND('calcA'!DE$117=1,YC4&gt;0),300,0)-IF(AND($U4=1,'calcA'!DF$117=1,HE4=0),300,0))),1000000000))</f>
        <v/>
      </c>
      <c r="SI4">
        <f>IF($B4=0,1000000000,IF(INDEX('calcA'!$D$60:$EQ$99,$B4,108)*IF($W4=1,HE4+ADT4,HE4)=1,IF(AND($E4=2,IF($W4=1,AJI4,MT4)=0),1000000000,IF($V4=1,INDEX('calcA'!$D$130:$EQ$169,$B4,108)+IF(AND($E4=1,MT4=0),25,0),INDEX('calcA'!DG$110:DG$114,$F4+1)+IF(AND($E4=1,MT4=0),1000,0)+IF($H4=1,INDEX('calcA'!$D$180:$EQ$219,$B4,108)*500,0)-IF(AND('calcA'!DF$117=1,YD4&gt;0),300,0)-IF(AND($U4=1,'calcA'!DG$117=1,HF4=0),300,0))),1000000000))</f>
        <v/>
      </c>
      <c r="SJ4">
        <f>IF($B4=0,1000000000,IF(INDEX('calcA'!$D$60:$EQ$99,$B4,109)*IF($W4=1,HF4+ADU4,HF4)=1,IF(AND($E4=2,IF($W4=1,AJJ4,MU4)=0),1000000000,IF($V4=1,INDEX('calcA'!$D$130:$EQ$169,$B4,109)+IF(AND($E4=1,MU4=0),25,0),INDEX('calcA'!DH$110:DH$114,$F4+1)+IF(AND($E4=1,MU4=0),1000,0)+IF($H4=1,INDEX('calcA'!$D$180:$EQ$219,$B4,109)*500,0)-IF(AND('calcA'!DG$117=1,YE4&gt;0),300,0)-IF(AND($U4=1,'calcA'!DH$117=1,HG4=0),300,0))),1000000000))</f>
        <v/>
      </c>
      <c r="SK4">
        <f>IF($B4=0,1000000000,IF(INDEX('calcA'!$D$60:$EQ$99,$B4,110)*IF($W4=1,HG4+ADV4,HG4)=1,IF(AND($E4=2,IF($W4=1,AJK4,MV4)=0),1000000000,IF($V4=1,INDEX('calcA'!$D$130:$EQ$169,$B4,110)+IF(AND($E4=1,MV4=0),25,0),INDEX('calcA'!DI$110:DI$114,$F4+1)+IF(AND($E4=1,MV4=0),1000,0)+IF($H4=1,INDEX('calcA'!$D$180:$EQ$219,$B4,110)*500,0)-IF(AND('calcA'!DH$117=1,YF4&gt;0),300,0)-IF(AND($U4=1,'calcA'!DI$117=1,HH4=0),300,0))),1000000000))</f>
        <v/>
      </c>
      <c r="SL4">
        <f>IF($B4=0,1000000000,IF(INDEX('calcA'!$D$60:$EQ$99,$B4,111)*IF($W4=1,HH4+ADW4,HH4)=1,IF(AND($E4=2,IF($W4=1,AJL4,MW4)=0),1000000000,IF($V4=1,INDEX('calcA'!$D$130:$EQ$169,$B4,111)+IF(AND($E4=1,MW4=0),25,0),INDEX('calcA'!DJ$110:DJ$114,$F4+1)+IF(AND($E4=1,MW4=0),1000,0)+IF($H4=1,INDEX('calcA'!$D$180:$EQ$219,$B4,111)*500,0)-IF(AND('calcA'!DI$117=1,YG4&gt;0),300,0)-IF(AND($U4=1,'calcA'!DJ$117=1,HI4=0),300,0))),1000000000))</f>
        <v/>
      </c>
      <c r="SM4">
        <f>IF($B4=0,1000000000,IF(INDEX('calcA'!$D$60:$EQ$99,$B4,112)*IF($W4=1,HI4+ADX4,HI4)=1,IF(AND($E4=2,IF($W4=1,AJM4,MX4)=0),1000000000,IF($V4=1,INDEX('calcA'!$D$130:$EQ$169,$B4,112)+IF(AND($E4=1,MX4=0),25,0),INDEX('calcA'!DK$110:DK$114,$F4+1)+IF(AND($E4=1,MX4=0),1000,0)+IF($H4=1,INDEX('calcA'!$D$180:$EQ$219,$B4,112)*500,0)-IF(AND('calcA'!DJ$117=1,YH4&gt;0),300,0)-IF(AND($U4=1,'calcA'!DK$117=1,HJ4=0),300,0))),1000000000))</f>
        <v/>
      </c>
      <c r="SN4">
        <f>IF($B4=0,1000000000,IF(INDEX('calcA'!$D$60:$EQ$99,$B4,113)*IF($W4=1,HJ4+ADY4,HJ4)=1,IF(AND($E4=2,IF($W4=1,AJN4,MY4)=0),1000000000,IF($V4=1,INDEX('calcA'!$D$130:$EQ$169,$B4,113)+IF(AND($E4=1,MY4=0),25,0),INDEX('calcA'!DL$110:DL$114,$F4+1)+IF(AND($E4=1,MY4=0),1000,0)+IF($H4=1,INDEX('calcA'!$D$180:$EQ$219,$B4,113)*500,0)-IF(AND('calcA'!DK$117=1,YI4&gt;0),300,0)-IF(AND($U4=1,'calcA'!DL$117=1,HK4=0),300,0))),1000000000))</f>
        <v/>
      </c>
      <c r="SO4">
        <f>IF($B4=0,1000000000,IF(INDEX('calcA'!$D$60:$EQ$99,$B4,114)*IF($W4=1,HK4+ADZ4,HK4)=1,IF(AND($E4=2,IF($W4=1,AJO4,MZ4)=0),1000000000,IF($V4=1,INDEX('calcA'!$D$130:$EQ$169,$B4,114)+IF(AND($E4=1,MZ4=0),25,0),INDEX('calcA'!DM$110:DM$114,$F4+1)+IF(AND($E4=1,MZ4=0),1000,0)+IF($H4=1,INDEX('calcA'!$D$180:$EQ$219,$B4,114)*500,0)-IF(AND('calcA'!DL$117=1,YJ4&gt;0),300,0)-IF(AND($U4=1,'calcA'!DM$117=1,HL4=0),300,0))),1000000000))</f>
        <v/>
      </c>
      <c r="SP4">
        <f>IF($B4=0,1000000000,IF(INDEX('calcA'!$D$60:$EQ$99,$B4,115)*IF($W4=1,HL4+AEA4,HL4)=1,IF(AND($E4=2,IF($W4=1,AJP4,NA4)=0),1000000000,IF($V4=1,INDEX('calcA'!$D$130:$EQ$169,$B4,115)+IF(AND($E4=1,NA4=0),25,0),INDEX('calcA'!DN$110:DN$114,$F4+1)+IF(AND($E4=1,NA4=0),1000,0)+IF($H4=1,INDEX('calcA'!$D$180:$EQ$219,$B4,115)*500,0)-IF(AND('calcA'!DM$117=1,YK4&gt;0),300,0)-IF(AND($U4=1,'calcA'!DN$117=1,HM4=0),300,0))),1000000000))</f>
        <v/>
      </c>
      <c r="SQ4">
        <f>IF($B4=0,1000000000,IF(INDEX('calcA'!$D$60:$EQ$99,$B4,116)*IF($W4=1,HM4+AEB4,HM4)=1,IF(AND($E4=2,IF($W4=1,AJQ4,NB4)=0),1000000000,IF($V4=1,INDEX('calcA'!$D$130:$EQ$169,$B4,116)+IF(AND($E4=1,NB4=0),25,0),INDEX('calcA'!DO$110:DO$114,$F4+1)+IF(AND($E4=1,NB4=0),1000,0)+IF($H4=1,INDEX('calcA'!$D$180:$EQ$219,$B4,116)*500,0)-IF(AND('calcA'!DN$117=1,YL4&gt;0),300,0)-IF(AND($U4=1,'calcA'!DO$117=1,HN4=0),300,0))),1000000000))</f>
        <v/>
      </c>
      <c r="SR4">
        <f>IF($B4=0,1000000000,IF(INDEX('calcA'!$D$60:$EQ$99,$B4,117)*IF($W4=1,HN4+AEC4,HN4)=1,IF(AND($E4=2,IF($W4=1,AJR4,NC4)=0),1000000000,IF($V4=1,INDEX('calcA'!$D$130:$EQ$169,$B4,117)+IF(AND($E4=1,NC4=0),25,0),INDEX('calcA'!DP$110:DP$114,$F4+1)+IF(AND($E4=1,NC4=0),1000,0)+IF($H4=1,INDEX('calcA'!$D$180:$EQ$219,$B4,117)*500,0)-IF(AND('calcA'!DO$117=1,YM4&gt;0),300,0)-IF(AND($U4=1,'calcA'!DP$117=1,HO4=0),300,0))),1000000000))</f>
        <v/>
      </c>
      <c r="SS4">
        <f>IF($B4=0,1000000000,IF(INDEX('calcA'!$D$60:$EQ$99,$B4,118)*IF($W4=1,HO4+AED4,HO4)=1,IF(AND($E4=2,IF($W4=1,AJS4,ND4)=0),1000000000,IF($V4=1,INDEX('calcA'!$D$130:$EQ$169,$B4,118)+IF(AND($E4=1,ND4=0),25,0),INDEX('calcA'!DQ$110:DQ$114,$F4+1)+IF(AND($E4=1,ND4=0),1000,0)+IF($H4=1,INDEX('calcA'!$D$180:$EQ$219,$B4,118)*500,0)-IF(AND('calcA'!DP$117=1,YN4&gt;0),300,0)-IF(AND($U4=1,'calcA'!DQ$117=1,HP4=0),300,0))),1000000000))</f>
        <v/>
      </c>
      <c r="ST4">
        <f>IF($B4=0,1000000000,IF(INDEX('calcA'!$D$60:$EQ$99,$B4,119)*IF($W4=1,HP4+AEE4,HP4)=1,IF(AND($E4=2,IF($W4=1,AJT4,NE4)=0),1000000000,IF($V4=1,INDEX('calcA'!$D$130:$EQ$169,$B4,119)+IF(AND($E4=1,NE4=0),25,0),INDEX('calcA'!DR$110:DR$114,$F4+1)+IF(AND($E4=1,NE4=0),1000,0)+IF($H4=1,INDEX('calcA'!$D$180:$EQ$219,$B4,119)*500,0)-IF(AND('calcA'!DQ$117=1,YO4&gt;0),300,0)-IF(AND($U4=1,'calcA'!DR$117=1,HQ4=0),300,0))),1000000000))</f>
        <v/>
      </c>
      <c r="SU4">
        <f>IF($B4=0,1000000000,IF(INDEX('calcA'!$D$60:$EQ$99,$B4,120)*IF($W4=1,HQ4+AEF4,HQ4)=1,IF(AND($E4=2,IF($W4=1,AJU4,NF4)=0),1000000000,IF($V4=1,INDEX('calcA'!$D$130:$EQ$169,$B4,120)+IF(AND($E4=1,NF4=0),25,0),INDEX('calcA'!DS$110:DS$114,$F4+1)+IF(AND($E4=1,NF4=0),1000,0)+IF($H4=1,INDEX('calcA'!$D$180:$EQ$219,$B4,120)*500,0)-IF(AND('calcA'!DR$117=1,YP4&gt;0),300,0))),1000000000))</f>
        <v/>
      </c>
      <c r="SV4">
        <f>IF($B4=0,1000000000,IF(INDEX('calcA'!$D$60:$EQ$99,$B4,121)*IF($W4=1,HR4+AEG4,HR4)=1,IF(AND($E4=2,IF($W4=1,AJV4,NG4)=0),1000000000,IF($V4=1,INDEX('calcA'!$D$130:$EQ$169,$B4,121)+IF(AND($E4=1,NG4=0),25,0),INDEX('calcA'!DT$110:DT$114,$F4+1)+IF(AND($E4=1,NG4=0),1000,0)+IF($H4=1,INDEX('calcA'!$D$180:$EQ$219,$B4,121)*500,0)-IF(AND($U4=1,'calcA'!DT$117=1,HS4=0),300,0))),1000000000))</f>
        <v/>
      </c>
      <c r="SW4">
        <f>IF($B4=0,1000000000,IF(INDEX('calcA'!$D$60:$EQ$99,$B4,122)*IF($W4=1,HS4+AEH4,HS4)=1,IF(AND($E4=2,IF($W4=1,AJW4,NH4)=0),1000000000,IF($V4=1,INDEX('calcA'!$D$130:$EQ$169,$B4,122)+IF(AND($E4=1,NH4=0),25,0),INDEX('calcA'!DU$110:DU$114,$F4+1)+IF(AND($E4=1,NH4=0),1000,0)+IF($H4=1,INDEX('calcA'!$D$180:$EQ$219,$B4,122)*500,0)-IF(AND('calcA'!DT$117=1,YR4&gt;0),300,0)-IF(AND($U4=1,'calcA'!DU$117=1,HT4=0),300,0))),1000000000))</f>
        <v/>
      </c>
      <c r="SX4">
        <f>IF($B4=0,1000000000,IF(INDEX('calcA'!$D$60:$EQ$99,$B4,123)*IF($W4=1,HT4+AEI4,HT4)=1,IF(AND($E4=2,IF($W4=1,AJX4,NI4)=0),1000000000,IF($V4=1,INDEX('calcA'!$D$130:$EQ$169,$B4,123)+IF(AND($E4=1,NI4=0),25,0),INDEX('calcA'!DV$110:DV$114,$F4+1)+IF(AND($E4=1,NI4=0),1000,0)+IF($H4=1,INDEX('calcA'!$D$180:$EQ$219,$B4,123)*500,0)-IF(AND('calcA'!DU$117=1,YS4&gt;0),300,0)-IF(AND($U4=1,'calcA'!DV$117=1,HU4=0),300,0))),1000000000))</f>
        <v/>
      </c>
      <c r="SY4">
        <f>IF($B4=0,1000000000,IF(INDEX('calcA'!$D$60:$EQ$99,$B4,124)*IF($W4=1,HU4+AEJ4,HU4)=1,IF(AND($E4=2,IF($W4=1,AJY4,NJ4)=0),1000000000,IF($V4=1,INDEX('calcA'!$D$130:$EQ$169,$B4,124)+IF(AND($E4=1,NJ4=0),25,0),INDEX('calcA'!DW$110:DW$114,$F4+1)+IF(AND($E4=1,NJ4=0),1000,0)+IF($H4=1,INDEX('calcA'!$D$180:$EQ$219,$B4,124)*500,0)-IF(AND('calcA'!DV$117=1,YT4&gt;0),300,0)-IF(AND($U4=1,'calcA'!DW$117=1,HV4=0),300,0))),1000000000))</f>
        <v/>
      </c>
      <c r="SZ4">
        <f>IF($B4=0,1000000000,IF(INDEX('calcA'!$D$60:$EQ$99,$B4,125)*IF($W4=1,HV4+AEK4,HV4)=1,IF(AND($E4=2,IF($W4=1,AJZ4,NK4)=0),1000000000,IF($V4=1,INDEX('calcA'!$D$130:$EQ$169,$B4,125)+IF(AND($E4=1,NK4=0),25,0),INDEX('calcA'!DX$110:DX$114,$F4+1)+IF(AND($E4=1,NK4=0),1000,0)+IF($H4=1,INDEX('calcA'!$D$180:$EQ$219,$B4,125)*500,0)-IF(AND('calcA'!DW$117=1,YU4&gt;0),300,0)-IF(AND($U4=1,'calcA'!DX$117=1,HW4=0),300,0))),1000000000))</f>
        <v/>
      </c>
      <c r="TA4">
        <f>IF($B4=0,1000000000,IF(INDEX('calcA'!$D$60:$EQ$99,$B4,126)*IF($W4=1,HW4+AEL4,HW4)=1,IF(AND($E4=2,IF($W4=1,AKA4,NL4)=0),1000000000,IF($V4=1,INDEX('calcA'!$D$130:$EQ$169,$B4,126)+IF(AND($E4=1,NL4=0),25,0),INDEX('calcA'!DY$110:DY$114,$F4+1)+IF(AND($E4=1,NL4=0),1000,0)+IF($H4=1,INDEX('calcA'!$D$180:$EQ$219,$B4,126)*500,0)-IF(AND('calcA'!DX$117=1,YV4&gt;0),300,0)-IF(AND($U4=1,'calcA'!DY$117=1,HX4=0),300,0))),1000000000))</f>
        <v/>
      </c>
      <c r="TB4">
        <f>IF($B4=0,1000000000,IF(INDEX('calcA'!$D$60:$EQ$99,$B4,127)*IF($W4=1,HX4+AEM4,HX4)=1,IF(AND($E4=2,IF($W4=1,AKB4,NM4)=0),1000000000,IF($V4=1,INDEX('calcA'!$D$130:$EQ$169,$B4,127)+IF(AND($E4=1,NM4=0),25,0),INDEX('calcA'!DZ$110:DZ$114,$F4+1)+IF(AND($E4=1,NM4=0),1000,0)+IF($H4=1,INDEX('calcA'!$D$180:$EQ$219,$B4,127)*500,0)-IF(AND('calcA'!DY$117=1,YW4&gt;0),300,0)-IF(AND($U4=1,'calcA'!DZ$117=1,HY4=0),300,0))),1000000000))</f>
        <v/>
      </c>
      <c r="TC4">
        <f>IF($B4=0,1000000000,IF(INDEX('calcA'!$D$60:$EQ$99,$B4,128)*IF($W4=1,HY4+AEN4,HY4)=1,IF(AND($E4=2,IF($W4=1,AKC4,NN4)=0),1000000000,IF($V4=1,INDEX('calcA'!$D$130:$EQ$169,$B4,128)+IF(AND($E4=1,NN4=0),25,0),INDEX('calcA'!EA$110:EA$114,$F4+1)+IF(AND($E4=1,NN4=0),1000,0)+IF($H4=1,INDEX('calcA'!$D$180:$EQ$219,$B4,128)*500,0)-IF(AND('calcA'!DZ$117=1,YX4&gt;0),300,0)-IF(AND($U4=1,'calcA'!EA$117=1,HZ4=0),300,0))),1000000000))</f>
        <v/>
      </c>
      <c r="TD4">
        <f>IF($B4=0,1000000000,IF(INDEX('calcA'!$D$60:$EQ$99,$B4,129)*IF($W4=1,HZ4+AEO4,HZ4)=1,IF(AND($E4=2,IF($W4=1,AKD4,NO4)=0),1000000000,IF($V4=1,INDEX('calcA'!$D$130:$EQ$169,$B4,129)+IF(AND($E4=1,NO4=0),25,0),INDEX('calcA'!EB$110:EB$114,$F4+1)+IF(AND($E4=1,NO4=0),1000,0)+IF($H4=1,INDEX('calcA'!$D$180:$EQ$219,$B4,129)*500,0)-IF(AND('calcA'!EA$117=1,YY4&gt;0),300,0)-IF(AND($U4=1,'calcA'!EB$117=1,IA4=0),300,0))),1000000000))</f>
        <v/>
      </c>
      <c r="TE4">
        <f>IF($B4=0,1000000000,IF(INDEX('calcA'!$D$60:$EQ$99,$B4,130)*IF($W4=1,IA4+AEP4,IA4)=1,IF(AND($E4=2,IF($W4=1,AKE4,NP4)=0),1000000000,IF($V4=1,INDEX('calcA'!$D$130:$EQ$169,$B4,130)+IF(AND($E4=1,NP4=0),25,0),INDEX('calcA'!EC$110:EC$114,$F4+1)+IF(AND($E4=1,NP4=0),1000,0)+IF($H4=1,INDEX('calcA'!$D$180:$EQ$219,$B4,130)*500,0)-IF(AND('calcA'!EB$117=1,YZ4&gt;0),300,0)-IF(AND($U4=1,'calcA'!EC$117=1,IB4=0),300,0))),1000000000))</f>
        <v/>
      </c>
      <c r="TF4">
        <f>IF($B4=0,1000000000,IF(INDEX('calcA'!$D$60:$EQ$99,$B4,131)*IF($W4=1,IB4+AEQ4,IB4)=1,IF(AND($E4=2,IF($W4=1,AKF4,NQ4)=0),1000000000,IF($V4=1,INDEX('calcA'!$D$130:$EQ$169,$B4,131)+IF(AND($E4=1,NQ4=0),25,0),INDEX('calcA'!ED$110:ED$114,$F4+1)+IF(AND($E4=1,NQ4=0),1000,0)+IF($H4=1,INDEX('calcA'!$D$180:$EQ$219,$B4,131)*500,0)-IF(AND('calcA'!EC$117=1,ZA4&gt;0),300,0)-IF(AND($U4=1,'calcA'!ED$117=1,IC4=0),300,0))),1000000000))</f>
        <v/>
      </c>
      <c r="TG4">
        <f>IF($B4=0,1000000000,IF(INDEX('calcA'!$D$60:$EQ$99,$B4,132)*IF($W4=1,IC4+AER4,IC4)=1,IF(AND($E4=2,IF($W4=1,AKG4,NR4)=0),1000000000,IF($V4=1,INDEX('calcA'!$D$130:$EQ$169,$B4,132)+IF(AND($E4=1,NR4=0),25,0),INDEX('calcA'!EE$110:EE$114,$F4+1)+IF(AND($E4=1,NR4=0),1000,0)+IF($H4=1,INDEX('calcA'!$D$180:$EQ$219,$B4,132)*500,0)-IF(AND('calcA'!ED$117=1,ZB4&gt;0),300,0)-IF(AND($U4=1,'calcA'!EE$117=1,ID4=0),300,0))),1000000000))</f>
        <v/>
      </c>
      <c r="TH4">
        <f>IF($B4=0,1000000000,IF(INDEX('calcA'!$D$60:$EQ$99,$B4,133)*IF($W4=1,ID4+AES4,ID4)=1,IF(AND($E4=2,IF($W4=1,AKH4,NS4)=0),1000000000,IF($V4=1,INDEX('calcA'!$D$130:$EQ$169,$B4,133)+IF(AND($E4=1,NS4=0),25,0),INDEX('calcA'!EF$110:EF$114,$F4+1)+IF(AND($E4=1,NS4=0),1000,0)+IF($H4=1,INDEX('calcA'!$D$180:$EQ$219,$B4,133)*500,0)-IF(AND('calcA'!EE$117=1,ZC4&gt;0),300,0)-IF(AND($U4=1,'calcA'!EF$117=1,IE4=0),300,0))),1000000000))</f>
        <v/>
      </c>
      <c r="TI4">
        <f>IF($B4=0,1000000000,IF(INDEX('calcA'!$D$60:$EQ$99,$B4,134)*IF($W4=1,IE4+AET4,IE4)=1,IF(AND($E4=2,IF($W4=1,AKI4,NT4)=0),1000000000,IF($V4=1,INDEX('calcA'!$D$130:$EQ$169,$B4,134)+IF(AND($E4=1,NT4=0),25,0),INDEX('calcA'!EG$110:EG$114,$F4+1)+IF(AND($E4=1,NT4=0),1000,0)+IF($H4=1,INDEX('calcA'!$D$180:$EQ$219,$B4,134)*500,0)-IF(AND('calcA'!EF$117=1,ZD4&gt;0),300,0)-IF(AND($U4=1,'calcA'!EG$117=1,IF4=0),300,0))),1000000000))</f>
        <v/>
      </c>
      <c r="TJ4">
        <f>IF($B4=0,1000000000,IF(INDEX('calcA'!$D$60:$EQ$99,$B4,135)*IF($W4=1,IF4+AEU4,IF4)=1,IF(AND($E4=2,IF($W4=1,AKJ4,NU4)=0),1000000000,IF($V4=1,INDEX('calcA'!$D$130:$EQ$169,$B4,135)+IF(AND($E4=1,NU4=0),25,0),INDEX('calcA'!EH$110:EH$114,$F4+1)+IF(AND($E4=1,NU4=0),1000,0)+IF($H4=1,INDEX('calcA'!$D$180:$EQ$219,$B4,135)*500,0)-IF(AND('calcA'!EG$117=1,ZE4&gt;0),300,0)-IF(AND($U4=1,'calcA'!EH$117=1,IG4=0),300,0))),1000000000))</f>
        <v/>
      </c>
      <c r="TK4">
        <f>IF($B4=0,1000000000,IF(INDEX('calcA'!$D$60:$EQ$99,$B4,136)*IF($W4=1,IG4+AEV4,IG4)=1,IF(AND($E4=2,IF($W4=1,AKK4,NV4)=0),1000000000,IF($V4=1,INDEX('calcA'!$D$130:$EQ$169,$B4,136)+IF(AND($E4=1,NV4=0),25,0),INDEX('calcA'!EI$110:EI$114,$F4+1)+IF(AND($E4=1,NV4=0),1000,0)+IF($H4=1,INDEX('calcA'!$D$180:$EQ$219,$B4,136)*500,0)-IF(AND('calcA'!EH$117=1,ZF4&gt;0),300,0)-IF(AND($U4=1,'calcA'!EI$117=1,IH4=0),300,0))),1000000000))</f>
        <v/>
      </c>
      <c r="TL4">
        <f>IF($B4=0,1000000000,IF(INDEX('calcA'!$D$60:$EQ$99,$B4,137)*IF($W4=1,IH4+AEW4,IH4)=1,IF(AND($E4=2,IF($W4=1,AKL4,NW4)=0),1000000000,IF($V4=1,INDEX('calcA'!$D$130:$EQ$169,$B4,137)+IF(AND($E4=1,NW4=0),25,0),INDEX('calcA'!EJ$110:EJ$114,$F4+1)+IF(AND($E4=1,NW4=0),1000,0)+IF($H4=1,INDEX('calcA'!$D$180:$EQ$219,$B4,137)*500,0)-IF(AND('calcA'!EI$117=1,ZG4&gt;0),300,0)-IF(AND($U4=1,'calcA'!EJ$117=1,II4=0),300,0))),1000000000))</f>
        <v/>
      </c>
      <c r="TM4">
        <f>IF($B4=0,1000000000,IF(INDEX('calcA'!$D$60:$EQ$99,$B4,138)*IF($W4=1,II4+AEX4,II4)=1,IF(AND($E4=2,IF($W4=1,AKM4,NX4)=0),1000000000,IF($V4=1,INDEX('calcA'!$D$130:$EQ$169,$B4,138)+IF(AND($E4=1,NX4=0),25,0),INDEX('calcA'!EK$110:EK$114,$F4+1)+IF(AND($E4=1,NX4=0),1000,0)+IF($H4=1,INDEX('calcA'!$D$180:$EQ$219,$B4,138)*500,0)-IF(AND('calcA'!EJ$117=1,ZH4&gt;0),300,0)-IF(AND($U4=1,'calcA'!EK$117=1,IJ4=0),300,0))),1000000000))</f>
        <v/>
      </c>
      <c r="TN4">
        <f>IF($B4=0,1000000000,IF(INDEX('calcA'!$D$60:$EQ$99,$B4,139)*IF($W4=1,IJ4+AEY4,IJ4)=1,IF(AND($E4=2,IF($W4=1,AKN4,NY4)=0),1000000000,IF($V4=1,INDEX('calcA'!$D$130:$EQ$169,$B4,139)+IF(AND($E4=1,NY4=0),25,0),INDEX('calcA'!EL$110:EL$114,$F4+1)+IF(AND($E4=1,NY4=0),1000,0)+IF($H4=1,INDEX('calcA'!$D$180:$EQ$219,$B4,139)*500,0)-IF(AND('calcA'!EK$117=1,ZI4&gt;0),300,0)-IF(AND($U4=1,'calcA'!EL$117=1,IK4=0),300,0))),1000000000))</f>
        <v/>
      </c>
      <c r="TO4">
        <f>IF($B4=0,1000000000,IF(INDEX('calcA'!$D$60:$EQ$99,$B4,140)*IF($W4=1,IK4+AEZ4,IK4)=1,IF(AND($E4=2,IF($W4=1,AKO4,NZ4)=0),1000000000,IF($V4=1,INDEX('calcA'!$D$130:$EQ$169,$B4,140)+IF(AND($E4=1,NZ4=0),25,0),INDEX('calcA'!EM$110:EM$114,$F4+1)+IF(AND($E4=1,NZ4=0),1000,0)+IF($H4=1,INDEX('calcA'!$D$180:$EQ$219,$B4,140)*500,0)-IF(AND('calcA'!EL$117=1,ZJ4&gt;0),300,0)-IF(AND($U4=1,'calcA'!EM$117=1,IL4=0),300,0))),1000000000))</f>
        <v/>
      </c>
      <c r="TP4">
        <f>IF($B4=0,1000000000,IF(INDEX('calcA'!$D$60:$EQ$99,$B4,141)*IF($W4=1,IL4+AFA4,IL4)=1,IF(AND($E4=2,IF($W4=1,AKP4,OA4)=0),1000000000,IF($V4=1,INDEX('calcA'!$D$130:$EQ$169,$B4,141)+IF(AND($E4=1,OA4=0),25,0),INDEX('calcA'!EN$110:EN$114,$F4+1)+IF(AND($E4=1,OA4=0),1000,0)+IF($H4=1,INDEX('calcA'!$D$180:$EQ$219,$B4,141)*500,0)-IF(AND('calcA'!EM$117=1,ZK4&gt;0),300,0)-IF(AND($U4=1,'calcA'!EN$117=1,IM4=0),300,0))),1000000000))</f>
        <v/>
      </c>
      <c r="TQ4">
        <f>IF($B4=0,1000000000,IF(INDEX('calcA'!$D$60:$EQ$99,$B4,142)*IF($W4=1,IM4+AFB4,IM4)=1,IF(AND($E4=2,IF($W4=1,AKQ4,OB4)=0),1000000000,IF($V4=1,INDEX('calcA'!$D$130:$EQ$169,$B4,142)+IF(AND($E4=1,OB4=0),25,0),INDEX('calcA'!EO$110:EO$114,$F4+1)+IF(AND($E4=1,OB4=0),1000,0)+IF($H4=1,INDEX('calcA'!$D$180:$EQ$219,$B4,142)*500,0)-IF(AND('calcA'!EN$117=1,ZL4&gt;0),300,0)-IF(AND($U4=1,'calcA'!EO$117=1,IN4=0),300,0))),1000000000))</f>
        <v/>
      </c>
      <c r="TR4">
        <f>IF($B4=0,1000000000,IF(INDEX('calcA'!$D$60:$EQ$99,$B4,143)*IF($W4=1,IN4+AFC4,IN4)=1,IF(AND($E4=2,IF($W4=1,AKR4,OC4)=0),1000000000,IF($V4=1,INDEX('calcA'!$D$130:$EQ$169,$B4,143)+IF(AND($E4=1,OC4=0),25,0),INDEX('calcA'!EP$110:EP$114,$F4+1)+IF(AND($E4=1,OC4=0),1000,0)+IF($H4=1,INDEX('calcA'!$D$180:$EQ$219,$B4,143)*500,0)-IF(AND('calcA'!EO$117=1,ZM4&gt;0),300,0)-IF(AND($U4=1,'calcA'!EP$117=1,IO4=0),300,0))),1000000000))</f>
        <v/>
      </c>
      <c r="TS4">
        <f>IF($B4=0,1000000000,IF(INDEX('calcA'!$D$60:$EQ$99,$B4,144)*IF($W4=1,IO4+AFD4,IO4)=1,IF(AND($E4=2,IF($W4=1,AKS4,OD4)=0),1000000000,IF($V4=1,INDEX('calcA'!$D$130:$EQ$169,$B4,144)+IF(AND($E4=1,OD4=0),25,0),INDEX('calcA'!EQ$110:EQ$114,$F4+1)+IF(AND($E4=1,OD4=0),1000,0)+IF($H4=1,INDEX('calcA'!$D$180:$EQ$219,$B4,144)*500,0)-IF(AND('calcA'!EP$117=1,ZN4&gt;0),300,0))),1000000000))</f>
        <v/>
      </c>
      <c r="UB4">
        <f>UB3+IF(AND($C3=1,$U3=1),1,0)</f>
        <v/>
      </c>
      <c r="UC4">
        <f>UC3+IF(AND($C3=2,$U3=1),1,0)</f>
        <v/>
      </c>
      <c r="UD4">
        <f>UD3+IF(AND($C3=3,$U3=1),1,0)</f>
        <v/>
      </c>
      <c r="UE4">
        <f>UE3+IF(AND($C3=4,$U3=1),1,0)</f>
        <v/>
      </c>
      <c r="UF4">
        <f>UF3+IF(AND($C3=5,$U3=1),1,0)</f>
        <v/>
      </c>
      <c r="UG4">
        <f>UG3+IF(AND($C3=6,$U3=1),1,0)</f>
        <v/>
      </c>
      <c r="UH4">
        <f>UH3+IF(AND($C3=7,$U3=1),1,0)</f>
        <v/>
      </c>
      <c r="UI4">
        <f>UI3+IF(AND($C3=8,$U3=1),1,0)</f>
        <v/>
      </c>
      <c r="UJ4">
        <f>UJ3+IF(AND($C3=9,$U3=1),1,0)</f>
        <v/>
      </c>
      <c r="UK4">
        <f>UK3+IF(AND($C3=10,$U3=1),1,0)</f>
        <v/>
      </c>
      <c r="UL4">
        <f>UL3+IF(AND($C3=11,$U3=1),1,0)</f>
        <v/>
      </c>
      <c r="UM4">
        <f>UM3+IF(AND($C3=12,$U3=1),1,0)</f>
        <v/>
      </c>
      <c r="UN4">
        <f>UN3+IF(AND($C3=13,$U3=1),1,0)</f>
        <v/>
      </c>
      <c r="UO4">
        <f>UO3+IF(AND($C3=14,$U3=1),1,0)</f>
        <v/>
      </c>
      <c r="UP4">
        <f>UP3+IF(AND($C3=15,$U3=1),1,0)</f>
        <v/>
      </c>
      <c r="UQ4">
        <f>UQ3+IF(AND($C3=16,$U3=1),1,0)</f>
        <v/>
      </c>
      <c r="UR4">
        <f>UR3+IF(AND($C3=17,$U3=1),1,0)</f>
        <v/>
      </c>
      <c r="US4">
        <f>US3+IF(AND($C3=18,$U3=1),1,0)</f>
        <v/>
      </c>
      <c r="UT4">
        <f>UT3+IF(AND($C3=19,$U3=1),1,0)</f>
        <v/>
      </c>
      <c r="UU4">
        <f>UU3+IF(AND($C3=20,$U3=1),1,0)</f>
        <v/>
      </c>
      <c r="UV4">
        <f>UV3+IF(AND($C3=21,$U3=1),1,0)</f>
        <v/>
      </c>
      <c r="UW4">
        <f>UW3+IF(AND($C3=22,$U3=1),1,0)</f>
        <v/>
      </c>
      <c r="UX4">
        <f>UX3+IF(AND($C3=23,$U3=1),1,0)</f>
        <v/>
      </c>
      <c r="UY4">
        <f>UY3+IF(AND($C3=24,$U3=1),1,0)</f>
        <v/>
      </c>
      <c r="UZ4">
        <f>UZ3+IF(AND($C3=25,$U3=1),1,0)</f>
        <v/>
      </c>
      <c r="VA4">
        <f>VA3+IF(AND($C3=26,$U3=1),1,0)</f>
        <v/>
      </c>
      <c r="VB4">
        <f>VB3+IF(AND($C3=27,$U3=1),1,0)</f>
        <v/>
      </c>
      <c r="VC4">
        <f>VC3+IF(AND($C3=28,$U3=1),1,0)</f>
        <v/>
      </c>
      <c r="VD4">
        <f>VD3+IF(AND($C3=29,$U3=1),1,0)</f>
        <v/>
      </c>
      <c r="VE4">
        <f>VE3+IF(AND($C3=30,$U3=1),1,0)</f>
        <v/>
      </c>
      <c r="VF4">
        <f>VF3+IF(AND($C3=31,$U3=1),1,0)</f>
        <v/>
      </c>
      <c r="VG4">
        <f>VG3+IF(AND($C3=32,$U3=1),1,0)</f>
        <v/>
      </c>
      <c r="VH4">
        <f>VH3+IF(AND($C3=33,$U3=1),1,0)</f>
        <v/>
      </c>
      <c r="VI4">
        <f>VI3+IF(AND($C3=34,$U3=1),1,0)</f>
        <v/>
      </c>
      <c r="VJ4">
        <f>VJ3+IF(AND($C3=35,$U3=1),1,0)</f>
        <v/>
      </c>
      <c r="VK4">
        <f>VK3+IF(AND($C3=36,$U3=1),1,0)</f>
        <v/>
      </c>
      <c r="VL4">
        <f>VL3+IF(AND($C3=37,$U3=1),1,0)</f>
        <v/>
      </c>
      <c r="VM4">
        <f>VM3+IF(AND($C3=38,$U3=1),1,0)</f>
        <v/>
      </c>
      <c r="VN4">
        <f>VN3+IF(AND($C3=39,$U3=1),1,0)</f>
        <v/>
      </c>
      <c r="VO4">
        <f>VO3+IF(AND($C3=40,$U3=1),1,0)</f>
        <v/>
      </c>
      <c r="VP4">
        <f>VP3+IF(AND($C3=41,$U3=1),1,0)</f>
        <v/>
      </c>
      <c r="VQ4">
        <f>VQ3+IF(AND($C3=42,$U3=1),1,0)</f>
        <v/>
      </c>
      <c r="VR4">
        <f>VR3+IF(AND($C3=43,$U3=1),1,0)</f>
        <v/>
      </c>
      <c r="VS4">
        <f>VS3+IF(AND($C3=44,$U3=1),1,0)</f>
        <v/>
      </c>
      <c r="VT4">
        <f>VT3+IF(AND($C3=45,$U3=1),1,0)</f>
        <v/>
      </c>
      <c r="VU4">
        <f>VU3+IF(AND($C3=46,$U3=1),1,0)</f>
        <v/>
      </c>
      <c r="VV4">
        <f>VV3+IF(AND($C3=47,$U3=1),1,0)</f>
        <v/>
      </c>
      <c r="VW4">
        <f>VW3+IF(AND($C3=48,$U3=1),1,0)</f>
        <v/>
      </c>
      <c r="VX4">
        <f>VX3+IF(AND($C3=49,$U3=1),1,0)</f>
        <v/>
      </c>
      <c r="VY4">
        <f>VY3+IF(AND($C3=50,$U3=1),1,0)</f>
        <v/>
      </c>
      <c r="VZ4">
        <f>VZ3+IF(AND($C3=51,$U3=1),1,0)</f>
        <v/>
      </c>
      <c r="WA4">
        <f>WA3+IF(AND($C3=52,$U3=1),1,0)</f>
        <v/>
      </c>
      <c r="WB4">
        <f>WB3+IF(AND($C3=53,$U3=1),1,0)</f>
        <v/>
      </c>
      <c r="WC4">
        <f>WC3+IF(AND($C3=54,$U3=1),1,0)</f>
        <v/>
      </c>
      <c r="WD4">
        <f>WD3+IF(AND($C3=55,$U3=1),1,0)</f>
        <v/>
      </c>
      <c r="WE4">
        <f>WE3+IF(AND($C3=56,$U3=1),1,0)</f>
        <v/>
      </c>
      <c r="WF4">
        <f>WF3+IF(AND($C3=57,$U3=1),1,0)</f>
        <v/>
      </c>
      <c r="WG4">
        <f>WG3+IF(AND($C3=58,$U3=1),1,0)</f>
        <v/>
      </c>
      <c r="WH4">
        <f>WH3+IF(AND($C3=59,$U3=1),1,0)</f>
        <v/>
      </c>
      <c r="WI4">
        <f>WI3+IF(AND($C3=60,$U3=1),1,0)</f>
        <v/>
      </c>
      <c r="WJ4">
        <f>WJ3+IF(AND($C3=61,$U3=1),1,0)</f>
        <v/>
      </c>
      <c r="WK4">
        <f>WK3+IF(AND($C3=62,$U3=1),1,0)</f>
        <v/>
      </c>
      <c r="WL4">
        <f>WL3+IF(AND($C3=63,$U3=1),1,0)</f>
        <v/>
      </c>
      <c r="WM4">
        <f>WM3+IF(AND($C3=64,$U3=1),1,0)</f>
        <v/>
      </c>
      <c r="WN4">
        <f>WN3+IF(AND($C3=65,$U3=1),1,0)</f>
        <v/>
      </c>
      <c r="WO4">
        <f>WO3+IF(AND($C3=66,$U3=1),1,0)</f>
        <v/>
      </c>
      <c r="WP4">
        <f>WP3+IF(AND($C3=67,$U3=1),1,0)</f>
        <v/>
      </c>
      <c r="WQ4">
        <f>WQ3+IF(AND($C3=68,$U3=1),1,0)</f>
        <v/>
      </c>
      <c r="WR4">
        <f>WR3+IF(AND($C3=69,$U3=1),1,0)</f>
        <v/>
      </c>
      <c r="WS4">
        <f>WS3+IF(AND($C3=70,$U3=1),1,0)</f>
        <v/>
      </c>
      <c r="WT4">
        <f>WT3+IF(AND($C3=71,$U3=1),1,0)</f>
        <v/>
      </c>
      <c r="WU4">
        <f>WU3+IF(AND($C3=72,$U3=1),1,0)</f>
        <v/>
      </c>
      <c r="WV4">
        <f>WV3+IF(AND($C3=73,$U3=1),1,0)</f>
        <v/>
      </c>
      <c r="WW4">
        <f>WW3+IF(AND($C3=74,$U3=1),1,0)</f>
        <v/>
      </c>
      <c r="WX4">
        <f>WX3+IF(AND($C3=75,$U3=1),1,0)</f>
        <v/>
      </c>
      <c r="WY4">
        <f>WY3+IF(AND($C3=76,$U3=1),1,0)</f>
        <v/>
      </c>
      <c r="WZ4">
        <f>WZ3+IF(AND($C3=77,$U3=1),1,0)</f>
        <v/>
      </c>
      <c r="XA4">
        <f>XA3+IF(AND($C3=78,$U3=1),1,0)</f>
        <v/>
      </c>
      <c r="XB4">
        <f>XB3+IF(AND($C3=79,$U3=1),1,0)</f>
        <v/>
      </c>
      <c r="XC4">
        <f>XC3+IF(AND($C3=80,$U3=1),1,0)</f>
        <v/>
      </c>
      <c r="XD4">
        <f>XD3+IF(AND($C3=81,$U3=1),1,0)</f>
        <v/>
      </c>
      <c r="XE4">
        <f>XE3+IF(AND($C3=82,$U3=1),1,0)</f>
        <v/>
      </c>
      <c r="XF4">
        <f>XF3+IF(AND($C3=83,$U3=1),1,0)</f>
        <v/>
      </c>
      <c r="XG4">
        <f>XG3+IF(AND($C3=84,$U3=1),1,0)</f>
        <v/>
      </c>
      <c r="XH4">
        <f>XH3+IF(AND($C3=85,$U3=1),1,0)</f>
        <v/>
      </c>
      <c r="XI4">
        <f>XI3+IF(AND($C3=86,$U3=1),1,0)</f>
        <v/>
      </c>
      <c r="XJ4">
        <f>XJ3+IF(AND($C3=87,$U3=1),1,0)</f>
        <v/>
      </c>
      <c r="XK4">
        <f>XK3+IF(AND($C3=88,$U3=1),1,0)</f>
        <v/>
      </c>
      <c r="XL4">
        <f>XL3+IF(AND($C3=89,$U3=1),1,0)</f>
        <v/>
      </c>
      <c r="XM4">
        <f>XM3+IF(AND($C3=90,$U3=1),1,0)</f>
        <v/>
      </c>
      <c r="XN4">
        <f>XN3+IF(AND($C3=91,$U3=1),1,0)</f>
        <v/>
      </c>
      <c r="XO4">
        <f>XO3+IF(AND($C3=92,$U3=1),1,0)</f>
        <v/>
      </c>
      <c r="XP4">
        <f>XP3+IF(AND($C3=93,$U3=1),1,0)</f>
        <v/>
      </c>
      <c r="XQ4">
        <f>XQ3+IF(AND($C3=94,$U3=1),1,0)</f>
        <v/>
      </c>
      <c r="XR4">
        <f>XR3+IF(AND($C3=95,$U3=1),1,0)</f>
        <v/>
      </c>
      <c r="XS4">
        <f>XS3+IF(AND($C3=96,$U3=1),1,0)</f>
        <v/>
      </c>
      <c r="XT4">
        <f>XT3+IF(AND($C3=97,$U3=1),1,0)</f>
        <v/>
      </c>
      <c r="XU4">
        <f>XU3+IF(AND($C3=98,$U3=1),1,0)</f>
        <v/>
      </c>
      <c r="XV4">
        <f>XV3+IF(AND($C3=99,$U3=1),1,0)</f>
        <v/>
      </c>
      <c r="XW4">
        <f>XW3+IF(AND($C3=100,$U3=1),1,0)</f>
        <v/>
      </c>
      <c r="XX4">
        <f>XX3+IF(AND($C3=101,$U3=1),1,0)</f>
        <v/>
      </c>
      <c r="XY4">
        <f>XY3+IF(AND($C3=102,$U3=1),1,0)</f>
        <v/>
      </c>
      <c r="XZ4">
        <f>XZ3+IF(AND($C3=103,$U3=1),1,0)</f>
        <v/>
      </c>
      <c r="YA4">
        <f>YA3+IF(AND($C3=104,$U3=1),1,0)</f>
        <v/>
      </c>
      <c r="YB4">
        <f>YB3+IF(AND($C3=105,$U3=1),1,0)</f>
        <v/>
      </c>
      <c r="YC4">
        <f>YC3+IF(AND($C3=106,$U3=1),1,0)</f>
        <v/>
      </c>
      <c r="YD4">
        <f>YD3+IF(AND($C3=107,$U3=1),1,0)</f>
        <v/>
      </c>
      <c r="YE4">
        <f>YE3+IF(AND($C3=108,$U3=1),1,0)</f>
        <v/>
      </c>
      <c r="YF4">
        <f>YF3+IF(AND($C3=109,$U3=1),1,0)</f>
        <v/>
      </c>
      <c r="YG4">
        <f>YG3+IF(AND($C3=110,$U3=1),1,0)</f>
        <v/>
      </c>
      <c r="YH4">
        <f>YH3+IF(AND($C3=111,$U3=1),1,0)</f>
        <v/>
      </c>
      <c r="YI4">
        <f>YI3+IF(AND($C3=112,$U3=1),1,0)</f>
        <v/>
      </c>
      <c r="YJ4">
        <f>YJ3+IF(AND($C3=113,$U3=1),1,0)</f>
        <v/>
      </c>
      <c r="YK4">
        <f>YK3+IF(AND($C3=114,$U3=1),1,0)</f>
        <v/>
      </c>
      <c r="YL4">
        <f>YL3+IF(AND($C3=115,$U3=1),1,0)</f>
        <v/>
      </c>
      <c r="YM4">
        <f>YM3+IF(AND($C3=116,$U3=1),1,0)</f>
        <v/>
      </c>
      <c r="YN4">
        <f>YN3+IF(AND($C3=117,$U3=1),1,0)</f>
        <v/>
      </c>
      <c r="YO4">
        <f>YO3+IF(AND($C3=118,$U3=1),1,0)</f>
        <v/>
      </c>
      <c r="YP4">
        <f>YP3+IF(AND($C3=119,$U3=1),1,0)</f>
        <v/>
      </c>
      <c r="YQ4">
        <f>YQ3+IF(AND($C3=120,$U3=1),1,0)</f>
        <v/>
      </c>
      <c r="YR4">
        <f>YR3+IF(AND($C3=121,$U3=1),1,0)</f>
        <v/>
      </c>
      <c r="YS4">
        <f>YS3+IF(AND($C3=122,$U3=1),1,0)</f>
        <v/>
      </c>
      <c r="YT4">
        <f>YT3+IF(AND($C3=123,$U3=1),1,0)</f>
        <v/>
      </c>
      <c r="YU4">
        <f>YU3+IF(AND($C3=124,$U3=1),1,0)</f>
        <v/>
      </c>
      <c r="YV4">
        <f>YV3+IF(AND($C3=125,$U3=1),1,0)</f>
        <v/>
      </c>
      <c r="YW4">
        <f>YW3+IF(AND($C3=126,$U3=1),1,0)</f>
        <v/>
      </c>
      <c r="YX4">
        <f>YX3+IF(AND($C3=127,$U3=1),1,0)</f>
        <v/>
      </c>
      <c r="YY4">
        <f>YY3+IF(AND($C3=128,$U3=1),1,0)</f>
        <v/>
      </c>
      <c r="YZ4">
        <f>YZ3+IF(AND($C3=129,$U3=1),1,0)</f>
        <v/>
      </c>
      <c r="ZA4">
        <f>ZA3+IF(AND($C3=130,$U3=1),1,0)</f>
        <v/>
      </c>
      <c r="ZB4">
        <f>ZB3+IF(AND($C3=131,$U3=1),1,0)</f>
        <v/>
      </c>
      <c r="ZC4">
        <f>ZC3+IF(AND($C3=132,$U3=1),1,0)</f>
        <v/>
      </c>
      <c r="ZD4">
        <f>ZD3+IF(AND($C3=133,$U3=1),1,0)</f>
        <v/>
      </c>
      <c r="ZE4">
        <f>ZE3+IF(AND($C3=134,$U3=1),1,0)</f>
        <v/>
      </c>
      <c r="ZF4">
        <f>ZF3+IF(AND($C3=135,$U3=1),1,0)</f>
        <v/>
      </c>
      <c r="ZG4">
        <f>ZG3+IF(AND($C3=136,$U3=1),1,0)</f>
        <v/>
      </c>
      <c r="ZH4">
        <f>ZH3+IF(AND($C3=137,$U3=1),1,0)</f>
        <v/>
      </c>
      <c r="ZI4">
        <f>ZI3+IF(AND($C3=138,$U3=1),1,0)</f>
        <v/>
      </c>
      <c r="ZJ4">
        <f>ZJ3+IF(AND($C3=139,$U3=1),1,0)</f>
        <v/>
      </c>
      <c r="ZK4">
        <f>ZK3+IF(AND($C3=140,$U3=1),1,0)</f>
        <v/>
      </c>
      <c r="ZL4">
        <f>ZL3+IF(AND($C3=141,$U3=1),1,0)</f>
        <v/>
      </c>
      <c r="ZM4">
        <f>ZM3+IF(AND($C3=142,$U3=1),1,0)</f>
        <v/>
      </c>
      <c r="ZN4">
        <f>ZN3+IF(AND($C3=143,$U3=1),1,0)</f>
        <v/>
      </c>
      <c r="ZO4">
        <f>ZO3+IF(AND($C3=144,$U3=1),1,0)</f>
        <v/>
      </c>
      <c r="ZQ4">
        <f>IF($C3=1,0,ZQ3+IF(AND($G3=1,$E3=1),1,0))</f>
        <v/>
      </c>
      <c r="ZR4">
        <f>IF($C3=2,0,ZR3+IF(AND($G3=2,$E3=1),1,0))</f>
        <v/>
      </c>
      <c r="ZS4">
        <f>IF($C3=3,0,ZS3+IF(AND($G3=3,$E3=1),1,0))</f>
        <v/>
      </c>
      <c r="ZT4">
        <f>IF($C3=4,0,ZT3+IF(AND($G3=4,$E3=1),1,0))</f>
        <v/>
      </c>
      <c r="ZU4">
        <f>IF($C3=5,0,ZU3+IF(AND($G3=5,$E3=1),1,0))</f>
        <v/>
      </c>
      <c r="ZV4">
        <f>IF($C3=6,0,ZV3+IF(AND($G3=6,$E3=1),1,0))</f>
        <v/>
      </c>
      <c r="ZW4">
        <f>IF($C3=7,0,ZW3+IF(AND($G3=7,$E3=1),1,0))</f>
        <v/>
      </c>
      <c r="ZX4">
        <f>IF($C3=8,0,ZX3+IF(AND($G3=8,$E3=1),1,0))</f>
        <v/>
      </c>
      <c r="ZY4">
        <f>IF($C3=9,0,ZY3+IF(AND($G3=9,$E3=1),1,0))</f>
        <v/>
      </c>
      <c r="ZZ4">
        <f>IF($C3=10,0,ZZ3+IF(AND($G3=10,$E3=1),1,0))</f>
        <v/>
      </c>
      <c r="AAA4">
        <f>IF($C3=11,0,AAA3+IF(AND($G3=11,$E3=1),1,0))</f>
        <v/>
      </c>
      <c r="AAB4">
        <f>IF($C3=12,0,AAB3+IF(AND($G3=12,$E3=1),1,0))</f>
        <v/>
      </c>
      <c r="AAC4">
        <f>IF($C3=13,0,AAC3+IF(AND($G3=13,$E3=1),1,0))</f>
        <v/>
      </c>
      <c r="AAD4">
        <f>IF($C3=14,0,AAD3+IF(AND($G3=14,$E3=1),1,0))</f>
        <v/>
      </c>
      <c r="AAE4">
        <f>IF($C3=15,0,AAE3+IF(AND($G3=15,$E3=1),1,0))</f>
        <v/>
      </c>
      <c r="AAF4">
        <f>IF($C3=16,0,AAF3+IF(AND($G3=16,$E3=1),1,0))</f>
        <v/>
      </c>
      <c r="AAG4">
        <f>IF($C3=17,0,AAG3+IF(AND($G3=17,$E3=1),1,0))</f>
        <v/>
      </c>
      <c r="AAH4">
        <f>IF($C3=18,0,AAH3+IF(AND($G3=18,$E3=1),1,0))</f>
        <v/>
      </c>
      <c r="AAI4">
        <f>IF($C3=19,0,AAI3+IF(AND($G3=19,$E3=1),1,0))</f>
        <v/>
      </c>
      <c r="AAJ4">
        <f>IF($C3=20,0,AAJ3+IF(AND($G3=20,$E3=1),1,0))</f>
        <v/>
      </c>
      <c r="AAK4">
        <f>IF($C3=21,0,AAK3+IF(AND($G3=21,$E3=1),1,0))</f>
        <v/>
      </c>
      <c r="AAL4">
        <f>IF($C3=22,0,AAL3+IF(AND($G3=22,$E3=1),1,0))</f>
        <v/>
      </c>
      <c r="AAM4">
        <f>IF($C3=23,0,AAM3+IF(AND($G3=23,$E3=1),1,0))</f>
        <v/>
      </c>
      <c r="AAN4">
        <f>IF($C3=24,0,AAN3+IF(AND($G3=24,$E3=1),1,0))</f>
        <v/>
      </c>
      <c r="AAO4">
        <f>IF($C3=25,0,AAO3+IF(AND($G3=25,$E3=1),1,0))</f>
        <v/>
      </c>
      <c r="AAP4">
        <f>IF($C3=26,0,AAP3+IF(AND($G3=26,$E3=1),1,0))</f>
        <v/>
      </c>
      <c r="AAQ4">
        <f>IF($C3=27,0,AAQ3+IF(AND($G3=27,$E3=1),1,0))</f>
        <v/>
      </c>
      <c r="AAR4">
        <f>IF($C3=28,0,AAR3+IF(AND($G3=28,$E3=1),1,0))</f>
        <v/>
      </c>
      <c r="AAS4">
        <f>IF($C3=29,0,AAS3+IF(AND($G3=29,$E3=1),1,0))</f>
        <v/>
      </c>
      <c r="AAT4">
        <f>IF($C3=30,0,AAT3+IF(AND($G3=30,$E3=1),1,0))</f>
        <v/>
      </c>
      <c r="AAU4">
        <f>IF($C3=31,0,AAU3+IF(AND($G3=31,$E3=1),1,0))</f>
        <v/>
      </c>
      <c r="AAV4">
        <f>IF($C3=32,0,AAV3+IF(AND($G3=32,$E3=1),1,0))</f>
        <v/>
      </c>
      <c r="AAW4">
        <f>IF($C3=33,0,AAW3+IF(AND($G3=33,$E3=1),1,0))</f>
        <v/>
      </c>
      <c r="AAX4">
        <f>IF($C3=34,0,AAX3+IF(AND($G3=34,$E3=1),1,0))</f>
        <v/>
      </c>
      <c r="AAY4">
        <f>IF($C3=35,0,AAY3+IF(AND($G3=35,$E3=1),1,0))</f>
        <v/>
      </c>
      <c r="AAZ4">
        <f>IF($C3=36,0,AAZ3+IF(AND($G3=36,$E3=1),1,0))</f>
        <v/>
      </c>
      <c r="ABA4">
        <f>IF($C3=37,0,ABA3+IF(AND($G3=37,$E3=1),1,0))</f>
        <v/>
      </c>
      <c r="ABB4">
        <f>IF($C3=38,0,ABB3+IF(AND($G3=38,$E3=1),1,0))</f>
        <v/>
      </c>
      <c r="ABC4">
        <f>IF($C3=39,0,ABC3+IF(AND($G3=39,$E3=1),1,0))</f>
        <v/>
      </c>
      <c r="ABD4">
        <f>IF($C3=40,0,ABD3+IF(AND($G3=40,$E3=1),1,0))</f>
        <v/>
      </c>
      <c r="ABE4">
        <f>IF($C3=41,0,ABE3+IF(AND($G3=41,$E3=1),1,0))</f>
        <v/>
      </c>
      <c r="ABF4">
        <f>IF($C3=42,0,ABF3+IF(AND($G3=42,$E3=1),1,0))</f>
        <v/>
      </c>
      <c r="ABG4">
        <f>IF($C3=43,0,ABG3+IF(AND($G3=43,$E3=1),1,0))</f>
        <v/>
      </c>
      <c r="ABH4">
        <f>IF($C3=44,0,ABH3+IF(AND($G3=44,$E3=1),1,0))</f>
        <v/>
      </c>
      <c r="ABI4">
        <f>IF($C3=45,0,ABI3+IF(AND($G3=45,$E3=1),1,0))</f>
        <v/>
      </c>
      <c r="ABJ4">
        <f>IF($C3=46,0,ABJ3+IF(AND($G3=46,$E3=1),1,0))</f>
        <v/>
      </c>
      <c r="ABK4">
        <f>IF($C3=47,0,ABK3+IF(AND($G3=47,$E3=1),1,0))</f>
        <v/>
      </c>
      <c r="ABL4">
        <f>IF($C3=48,0,ABL3+IF(AND($G3=48,$E3=1),1,0))</f>
        <v/>
      </c>
      <c r="ABM4">
        <f>IF($C3=49,0,ABM3+IF(AND($G3=49,$E3=1),1,0))</f>
        <v/>
      </c>
      <c r="ABN4">
        <f>IF($C3=50,0,ABN3+IF(AND($G3=50,$E3=1),1,0))</f>
        <v/>
      </c>
      <c r="ABO4">
        <f>IF($C3=51,0,ABO3+IF(AND($G3=51,$E3=1),1,0))</f>
        <v/>
      </c>
      <c r="ABP4">
        <f>IF($C3=52,0,ABP3+IF(AND($G3=52,$E3=1),1,0))</f>
        <v/>
      </c>
      <c r="ABQ4">
        <f>IF($C3=53,0,ABQ3+IF(AND($G3=53,$E3=1),1,0))</f>
        <v/>
      </c>
      <c r="ABR4">
        <f>IF($C3=54,0,ABR3+IF(AND($G3=54,$E3=1),1,0))</f>
        <v/>
      </c>
      <c r="ABS4">
        <f>IF($C3=55,0,ABS3+IF(AND($G3=55,$E3=1),1,0))</f>
        <v/>
      </c>
      <c r="ABT4">
        <f>IF($C3=56,0,ABT3+IF(AND($G3=56,$E3=1),1,0))</f>
        <v/>
      </c>
      <c r="ABU4">
        <f>IF($C3=57,0,ABU3+IF(AND($G3=57,$E3=1),1,0))</f>
        <v/>
      </c>
      <c r="ABV4">
        <f>IF($C3=58,0,ABV3+IF(AND($G3=58,$E3=1),1,0))</f>
        <v/>
      </c>
      <c r="ABW4">
        <f>IF($C3=59,0,ABW3+IF(AND($G3=59,$E3=1),1,0))</f>
        <v/>
      </c>
      <c r="ABX4">
        <f>IF($C3=60,0,ABX3+IF(AND($G3=60,$E3=1),1,0))</f>
        <v/>
      </c>
      <c r="ABY4">
        <f>IF($C3=61,0,ABY3+IF(AND($G3=61,$E3=1),1,0))</f>
        <v/>
      </c>
      <c r="ABZ4">
        <f>IF($C3=62,0,ABZ3+IF(AND($G3=62,$E3=1),1,0))</f>
        <v/>
      </c>
      <c r="ACA4">
        <f>IF($C3=63,0,ACA3+IF(AND($G3=63,$E3=1),1,0))</f>
        <v/>
      </c>
      <c r="ACB4">
        <f>IF($C3=64,0,ACB3+IF(AND($G3=64,$E3=1),1,0))</f>
        <v/>
      </c>
      <c r="ACC4">
        <f>IF($C3=65,0,ACC3+IF(AND($G3=65,$E3=1),1,0))</f>
        <v/>
      </c>
      <c r="ACD4">
        <f>IF($C3=66,0,ACD3+IF(AND($G3=66,$E3=1),1,0))</f>
        <v/>
      </c>
      <c r="ACE4">
        <f>IF($C3=67,0,ACE3+IF(AND($G3=67,$E3=1),1,0))</f>
        <v/>
      </c>
      <c r="ACF4">
        <f>IF($C3=68,0,ACF3+IF(AND($G3=68,$E3=1),1,0))</f>
        <v/>
      </c>
      <c r="ACG4">
        <f>IF($C3=69,0,ACG3+IF(AND($G3=69,$E3=1),1,0))</f>
        <v/>
      </c>
      <c r="ACH4">
        <f>IF($C3=70,0,ACH3+IF(AND($G3=70,$E3=1),1,0))</f>
        <v/>
      </c>
      <c r="ACI4">
        <f>IF($C3=71,0,ACI3+IF(AND($G3=71,$E3=1),1,0))</f>
        <v/>
      </c>
      <c r="ACJ4">
        <f>IF($C3=72,0,ACJ3+IF(AND($G3=72,$E3=1),1,0))</f>
        <v/>
      </c>
      <c r="ACK4">
        <f>IF($C3=73,0,ACK3+IF(AND($G3=73,$E3=1),1,0))</f>
        <v/>
      </c>
      <c r="ACL4">
        <f>IF($C3=74,0,ACL3+IF(AND($G3=74,$E3=1),1,0))</f>
        <v/>
      </c>
      <c r="ACM4">
        <f>IF($C3=75,0,ACM3+IF(AND($G3=75,$E3=1),1,0))</f>
        <v/>
      </c>
      <c r="ACN4">
        <f>IF($C3=76,0,ACN3+IF(AND($G3=76,$E3=1),1,0))</f>
        <v/>
      </c>
      <c r="ACO4">
        <f>IF($C3=77,0,ACO3+IF(AND($G3=77,$E3=1),1,0))</f>
        <v/>
      </c>
      <c r="ACP4">
        <f>IF($C3=78,0,ACP3+IF(AND($G3=78,$E3=1),1,0))</f>
        <v/>
      </c>
      <c r="ACQ4">
        <f>IF($C3=79,0,ACQ3+IF(AND($G3=79,$E3=1),1,0))</f>
        <v/>
      </c>
      <c r="ACR4">
        <f>IF($C3=80,0,ACR3+IF(AND($G3=80,$E3=1),1,0))</f>
        <v/>
      </c>
      <c r="ACS4">
        <f>IF($C3=81,0,ACS3+IF(AND($G3=81,$E3=1),1,0))</f>
        <v/>
      </c>
      <c r="ACT4">
        <f>IF($C3=82,0,ACT3+IF(AND($G3=82,$E3=1),1,0))</f>
        <v/>
      </c>
      <c r="ACU4">
        <f>IF($C3=83,0,ACU3+IF(AND($G3=83,$E3=1),1,0))</f>
        <v/>
      </c>
      <c r="ACV4">
        <f>IF($C3=84,0,ACV3+IF(AND($G3=84,$E3=1),1,0))</f>
        <v/>
      </c>
      <c r="ACW4">
        <f>IF($C3=85,0,ACW3+IF(AND($G3=85,$E3=1),1,0))</f>
        <v/>
      </c>
      <c r="ACX4">
        <f>IF($C3=86,0,ACX3+IF(AND($G3=86,$E3=1),1,0))</f>
        <v/>
      </c>
      <c r="ACY4">
        <f>IF($C3=87,0,ACY3+IF(AND($G3=87,$E3=1),1,0))</f>
        <v/>
      </c>
      <c r="ACZ4">
        <f>IF($C3=88,0,ACZ3+IF(AND($G3=88,$E3=1),1,0))</f>
        <v/>
      </c>
      <c r="ADA4">
        <f>IF($C3=89,0,ADA3+IF(AND($G3=89,$E3=1),1,0))</f>
        <v/>
      </c>
      <c r="ADB4">
        <f>IF($C3=90,0,ADB3+IF(AND($G3=90,$E3=1),1,0))</f>
        <v/>
      </c>
      <c r="ADC4">
        <f>IF($C3=91,0,ADC3+IF(AND($G3=91,$E3=1),1,0))</f>
        <v/>
      </c>
      <c r="ADD4">
        <f>IF($C3=92,0,ADD3+IF(AND($G3=92,$E3=1),1,0))</f>
        <v/>
      </c>
      <c r="ADE4">
        <f>IF($C3=93,0,ADE3+IF(AND($G3=93,$E3=1),1,0))</f>
        <v/>
      </c>
      <c r="ADF4">
        <f>IF($C3=94,0,ADF3+IF(AND($G3=94,$E3=1),1,0))</f>
        <v/>
      </c>
      <c r="ADG4">
        <f>IF($C3=95,0,ADG3+IF(AND($G3=95,$E3=1),1,0))</f>
        <v/>
      </c>
      <c r="ADH4">
        <f>IF($C3=96,0,ADH3+IF(AND($G3=96,$E3=1),1,0))</f>
        <v/>
      </c>
      <c r="ADI4">
        <f>IF($C3=97,0,ADI3+IF(AND($G3=97,$E3=1),1,0))</f>
        <v/>
      </c>
      <c r="ADJ4">
        <f>IF($C3=98,0,ADJ3+IF(AND($G3=98,$E3=1),1,0))</f>
        <v/>
      </c>
      <c r="ADK4">
        <f>IF($C3=99,0,ADK3+IF(AND($G3=99,$E3=1),1,0))</f>
        <v/>
      </c>
      <c r="ADL4">
        <f>IF($C3=100,0,ADL3+IF(AND($G3=100,$E3=1),1,0))</f>
        <v/>
      </c>
      <c r="ADM4">
        <f>IF($C3=101,0,ADM3+IF(AND($G3=101,$E3=1),1,0))</f>
        <v/>
      </c>
      <c r="ADN4">
        <f>IF($C3=102,0,ADN3+IF(AND($G3=102,$E3=1),1,0))</f>
        <v/>
      </c>
      <c r="ADO4">
        <f>IF($C3=103,0,ADO3+IF(AND($G3=103,$E3=1),1,0))</f>
        <v/>
      </c>
      <c r="ADP4">
        <f>IF($C3=104,0,ADP3+IF(AND($G3=104,$E3=1),1,0))</f>
        <v/>
      </c>
      <c r="ADQ4">
        <f>IF($C3=105,0,ADQ3+IF(AND($G3=105,$E3=1),1,0))</f>
        <v/>
      </c>
      <c r="ADR4">
        <f>IF($C3=106,0,ADR3+IF(AND($G3=106,$E3=1),1,0))</f>
        <v/>
      </c>
      <c r="ADS4">
        <f>IF($C3=107,0,ADS3+IF(AND($G3=107,$E3=1),1,0))</f>
        <v/>
      </c>
      <c r="ADT4">
        <f>IF($C3=108,0,ADT3+IF(AND($G3=108,$E3=1),1,0))</f>
        <v/>
      </c>
      <c r="ADU4">
        <f>IF($C3=109,0,ADU3+IF(AND($G3=109,$E3=1),1,0))</f>
        <v/>
      </c>
      <c r="ADV4">
        <f>IF($C3=110,0,ADV3+IF(AND($G3=110,$E3=1),1,0))</f>
        <v/>
      </c>
      <c r="ADW4">
        <f>IF($C3=111,0,ADW3+IF(AND($G3=111,$E3=1),1,0))</f>
        <v/>
      </c>
      <c r="ADX4">
        <f>IF($C3=112,0,ADX3+IF(AND($G3=112,$E3=1),1,0))</f>
        <v/>
      </c>
      <c r="ADY4">
        <f>IF($C3=113,0,ADY3+IF(AND($G3=113,$E3=1),1,0))</f>
        <v/>
      </c>
      <c r="ADZ4">
        <f>IF($C3=114,0,ADZ3+IF(AND($G3=114,$E3=1),1,0))</f>
        <v/>
      </c>
      <c r="AEA4">
        <f>IF($C3=115,0,AEA3+IF(AND($G3=115,$E3=1),1,0))</f>
        <v/>
      </c>
      <c r="AEB4">
        <f>IF($C3=116,0,AEB3+IF(AND($G3=116,$E3=1),1,0))</f>
        <v/>
      </c>
      <c r="AEC4">
        <f>IF($C3=117,0,AEC3+IF(AND($G3=117,$E3=1),1,0))</f>
        <v/>
      </c>
      <c r="AED4">
        <f>IF($C3=118,0,AED3+IF(AND($G3=118,$E3=1),1,0))</f>
        <v/>
      </c>
      <c r="AEE4">
        <f>IF($C3=119,0,AEE3+IF(AND($G3=119,$E3=1),1,0))</f>
        <v/>
      </c>
      <c r="AEF4">
        <f>IF($C3=120,0,AEF3+IF(AND($G3=120,$E3=1),1,0))</f>
        <v/>
      </c>
      <c r="AEG4">
        <f>IF($C3=121,0,AEG3+IF(AND($G3=121,$E3=1),1,0))</f>
        <v/>
      </c>
      <c r="AEH4">
        <f>IF($C3=122,0,AEH3+IF(AND($G3=122,$E3=1),1,0))</f>
        <v/>
      </c>
      <c r="AEI4">
        <f>IF($C3=123,0,AEI3+IF(AND($G3=123,$E3=1),1,0))</f>
        <v/>
      </c>
      <c r="AEJ4">
        <f>IF($C3=124,0,AEJ3+IF(AND($G3=124,$E3=1),1,0))</f>
        <v/>
      </c>
      <c r="AEK4">
        <f>IF($C3=125,0,AEK3+IF(AND($G3=125,$E3=1),1,0))</f>
        <v/>
      </c>
      <c r="AEL4">
        <f>IF($C3=126,0,AEL3+IF(AND($G3=126,$E3=1),1,0))</f>
        <v/>
      </c>
      <c r="AEM4">
        <f>IF($C3=127,0,AEM3+IF(AND($G3=127,$E3=1),1,0))</f>
        <v/>
      </c>
      <c r="AEN4">
        <f>IF($C3=128,0,AEN3+IF(AND($G3=128,$E3=1),1,0))</f>
        <v/>
      </c>
      <c r="AEO4">
        <f>IF($C3=129,0,AEO3+IF(AND($G3=129,$E3=1),1,0))</f>
        <v/>
      </c>
      <c r="AEP4">
        <f>IF($C3=130,0,AEP3+IF(AND($G3=130,$E3=1),1,0))</f>
        <v/>
      </c>
      <c r="AEQ4">
        <f>IF($C3=131,0,AEQ3+IF(AND($G3=131,$E3=1),1,0))</f>
        <v/>
      </c>
      <c r="AER4">
        <f>IF($C3=132,0,AER3+IF(AND($G3=132,$E3=1),1,0))</f>
        <v/>
      </c>
      <c r="AES4">
        <f>IF($C3=133,0,AES3+IF(AND($G3=133,$E3=1),1,0))</f>
        <v/>
      </c>
      <c r="AET4">
        <f>IF($C3=134,0,AET3+IF(AND($G3=134,$E3=1),1,0))</f>
        <v/>
      </c>
      <c r="AEU4">
        <f>IF($C3=135,0,AEU3+IF(AND($G3=135,$E3=1),1,0))</f>
        <v/>
      </c>
      <c r="AEV4">
        <f>IF($C3=136,0,AEV3+IF(AND($G3=136,$E3=1),1,0))</f>
        <v/>
      </c>
      <c r="AEW4">
        <f>IF($C3=137,0,AEW3+IF(AND($G3=137,$E3=1),1,0))</f>
        <v/>
      </c>
      <c r="AEX4">
        <f>IF($C3=138,0,AEX3+IF(AND($G3=138,$E3=1),1,0))</f>
        <v/>
      </c>
      <c r="AEY4">
        <f>IF($C3=139,0,AEY3+IF(AND($G3=139,$E3=1),1,0))</f>
        <v/>
      </c>
      <c r="AEZ4">
        <f>IF($C3=140,0,AEZ3+IF(AND($G3=140,$E3=1),1,0))</f>
        <v/>
      </c>
      <c r="AFA4">
        <f>IF($C3=141,0,AFA3+IF(AND($G3=141,$E3=1),1,0))</f>
        <v/>
      </c>
      <c r="AFB4">
        <f>IF($C3=142,0,AFB3+IF(AND($G3=142,$E3=1),1,0))</f>
        <v/>
      </c>
      <c r="AFC4">
        <f>IF($C3=143,0,AFC3+IF(AND($G3=143,$E3=1),1,0))</f>
        <v/>
      </c>
      <c r="AFD4">
        <f>IF($C3=144,0,AFD3+IF(AND($G3=144,$E3=1),1,0))</f>
        <v/>
      </c>
      <c r="AFF4">
        <f>IF('calcA'!D$106=1,DC4+ZR4,1)</f>
        <v/>
      </c>
      <c r="AFG4">
        <f>IF('calcA'!E$106=1,DD4+ZS4,1)</f>
        <v/>
      </c>
      <c r="AFH4">
        <f>IF('calcA'!F$106=1,DE4+ZT4,1)</f>
        <v/>
      </c>
      <c r="AFI4">
        <f>IF('calcA'!G$106=1,DF4+ZU4,1)</f>
        <v/>
      </c>
      <c r="AFJ4">
        <f>IF('calcA'!H$106=1,DG4+ZV4,1)</f>
        <v/>
      </c>
      <c r="AFK4">
        <f>IF('calcA'!I$106=1,DH4+ZW4,1)</f>
        <v/>
      </c>
      <c r="AFL4">
        <f>IF('calcA'!J$106=1,DI4+ZX4,1)</f>
        <v/>
      </c>
      <c r="AFM4">
        <f>IF('calcA'!K$106=1,DJ4+ZY4,1)</f>
        <v/>
      </c>
      <c r="AFN4">
        <f>IF('calcA'!L$106=1,DK4+ZZ4,1)</f>
        <v/>
      </c>
      <c r="AFO4">
        <f>IF('calcA'!M$106=1,DL4+AAA4,1)</f>
        <v/>
      </c>
      <c r="AFP4">
        <f>IF('calcA'!N$106=1,DM4+AAB4,1)</f>
        <v/>
      </c>
      <c r="AFQ4">
        <f>IF('calcA'!O$106=1,DN4+AAC4,1)</f>
        <v/>
      </c>
      <c r="AFR4">
        <f>IF('calcA'!P$106=1,DO4+AAD4,1)</f>
        <v/>
      </c>
      <c r="AFS4">
        <f>IF('calcA'!Q$106=1,DP4+AAE4,1)</f>
        <v/>
      </c>
      <c r="AFT4">
        <f>IF('calcA'!R$106=1,DQ4+AAF4,1)</f>
        <v/>
      </c>
      <c r="AFU4">
        <f>IF('calcA'!S$106=1,DR4+AAG4,1)</f>
        <v/>
      </c>
      <c r="AFV4">
        <f>IF('calcA'!T$106=1,DS4+AAH4,1)</f>
        <v/>
      </c>
      <c r="AFW4">
        <f>IF('calcA'!U$106=1,DT4+AAI4,1)</f>
        <v/>
      </c>
      <c r="AFX4">
        <f>IF('calcA'!V$106=1,DU4+AAJ4,1)</f>
        <v/>
      </c>
      <c r="AFY4">
        <f>IF('calcA'!W$106=1,DV4+AAK4,1)</f>
        <v/>
      </c>
      <c r="AFZ4">
        <f>IF('calcA'!X$106=1,DW4+AAL4,1)</f>
        <v/>
      </c>
      <c r="AGA4">
        <f>IF('calcA'!Y$106=1,DX4+AAM4,1)</f>
        <v/>
      </c>
      <c r="AGB4">
        <f>IF('calcA'!Z$106=1,DY4+AAN4,1)</f>
        <v/>
      </c>
      <c r="AGC4">
        <f>IF('calcA'!AA$106=1,DZ4+AAO4,1)</f>
        <v/>
      </c>
      <c r="AGD4">
        <f>IF('calcA'!AB$106=1,EA4+AAP4,1)</f>
        <v/>
      </c>
      <c r="AGE4">
        <f>IF('calcA'!AC$106=1,EB4+AAQ4,1)</f>
        <v/>
      </c>
      <c r="AGF4">
        <f>IF('calcA'!AD$106=1,EC4+AAR4,1)</f>
        <v/>
      </c>
      <c r="AGG4">
        <f>IF('calcA'!AE$106=1,ED4+AAS4,1)</f>
        <v/>
      </c>
      <c r="AGH4">
        <f>IF('calcA'!AF$106=1,EE4+AAT4,1)</f>
        <v/>
      </c>
      <c r="AGI4">
        <f>IF('calcA'!AG$106=1,EF4+AAU4,1)</f>
        <v/>
      </c>
      <c r="AGJ4">
        <f>IF('calcA'!AH$106=1,EG4+AAV4,1)</f>
        <v/>
      </c>
      <c r="AGK4">
        <f>IF('calcA'!AI$106=1,EH4+AAW4,1)</f>
        <v/>
      </c>
      <c r="AGL4">
        <f>IF('calcA'!AJ$106=1,EI4+AAX4,1)</f>
        <v/>
      </c>
      <c r="AGM4">
        <f>IF('calcA'!AK$106=1,EJ4+AAY4,1)</f>
        <v/>
      </c>
      <c r="AGN4">
        <f>IF('calcA'!AL$106=1,EK4+AAZ4,1)</f>
        <v/>
      </c>
      <c r="AGO4">
        <f>IF('calcA'!AM$106=1,EL4+ABA4,1)</f>
        <v/>
      </c>
      <c r="AGP4">
        <f>IF('calcA'!AN$106=1,EM4+ABB4,1)</f>
        <v/>
      </c>
      <c r="AGQ4">
        <f>IF('calcA'!AO$106=1,EN4+ABC4,1)</f>
        <v/>
      </c>
      <c r="AGR4">
        <f>IF('calcA'!AP$106=1,EO4+ABD4,1)</f>
        <v/>
      </c>
      <c r="AGS4">
        <f>IF('calcA'!AQ$106=1,EP4+ABE4,1)</f>
        <v/>
      </c>
      <c r="AGT4">
        <f>IF('calcA'!AR$106=1,EQ4+ABF4,1)</f>
        <v/>
      </c>
      <c r="AGU4">
        <f>IF('calcA'!AS$106=1,ER4+ABG4,1)</f>
        <v/>
      </c>
      <c r="AGV4">
        <f>IF('calcA'!AT$106=1,ES4+ABH4,1)</f>
        <v/>
      </c>
      <c r="AGW4">
        <f>IF('calcA'!AU$106=1,ET4+ABI4,1)</f>
        <v/>
      </c>
      <c r="AGX4">
        <f>IF('calcA'!AV$106=1,EU4+ABJ4,1)</f>
        <v/>
      </c>
      <c r="AGY4">
        <f>IF('calcA'!AW$106=1,EV4+ABK4,1)</f>
        <v/>
      </c>
      <c r="AGZ4">
        <f>IF('calcA'!AX$106=1,EW4+ABL4,1)</f>
        <v/>
      </c>
      <c r="AHA4">
        <f>IF('calcA'!AY$106=1,EX4+ABM4,1)</f>
        <v/>
      </c>
      <c r="AHB4">
        <f>IF('calcA'!AZ$106=1,EY4+ABN4,1)</f>
        <v/>
      </c>
      <c r="AHC4">
        <f>IF('calcA'!BA$106=1,EZ4+ABO4,1)</f>
        <v/>
      </c>
      <c r="AHD4">
        <f>IF('calcA'!BB$106=1,FA4+ABP4,1)</f>
        <v/>
      </c>
      <c r="AHE4">
        <f>IF('calcA'!BC$106=1,FB4+ABQ4,1)</f>
        <v/>
      </c>
      <c r="AHF4">
        <f>IF('calcA'!BD$106=1,FC4+ABR4,1)</f>
        <v/>
      </c>
      <c r="AHG4">
        <f>IF('calcA'!BE$106=1,FD4+ABS4,1)</f>
        <v/>
      </c>
      <c r="AHH4">
        <f>IF('calcA'!BF$106=1,FE4+ABT4,1)</f>
        <v/>
      </c>
      <c r="AHI4">
        <f>IF('calcA'!BG$106=1,FF4+ABU4,1)</f>
        <v/>
      </c>
      <c r="AHJ4">
        <f>IF('calcA'!BH$106=1,FG4+ABV4,1)</f>
        <v/>
      </c>
      <c r="AHK4">
        <f>IF('calcA'!BI$106=1,FH4+ABW4,1)</f>
        <v/>
      </c>
      <c r="AHL4">
        <f>IF('calcA'!BJ$106=1,FI4+ABX4,1)</f>
        <v/>
      </c>
      <c r="AHM4">
        <f>IF('calcA'!BK$106=1,FJ4+ABY4,1)</f>
        <v/>
      </c>
      <c r="AHN4">
        <f>IF('calcA'!BL$106=1,FK4+ABZ4,1)</f>
        <v/>
      </c>
      <c r="AHO4">
        <f>IF('calcA'!BM$106=1,FL4+ACA4,1)</f>
        <v/>
      </c>
      <c r="AHP4">
        <f>IF('calcA'!BN$106=1,FM4+ACB4,1)</f>
        <v/>
      </c>
      <c r="AHQ4">
        <f>IF('calcA'!BO$106=1,FN4+ACC4,1)</f>
        <v/>
      </c>
      <c r="AHR4">
        <f>IF('calcA'!BP$106=1,FO4+ACD4,1)</f>
        <v/>
      </c>
      <c r="AHS4">
        <f>IF('calcA'!BQ$106=1,FP4+ACE4,1)</f>
        <v/>
      </c>
      <c r="AHT4">
        <f>IF('calcA'!BR$106=1,FQ4+ACF4,1)</f>
        <v/>
      </c>
      <c r="AHU4">
        <f>IF('calcA'!BS$106=1,FR4+ACG4,1)</f>
        <v/>
      </c>
      <c r="AHV4">
        <f>IF('calcA'!BT$106=1,FS4+ACH4,1)</f>
        <v/>
      </c>
      <c r="AHW4">
        <f>IF('calcA'!BU$106=1,FT4+ACI4,1)</f>
        <v/>
      </c>
      <c r="AHX4">
        <f>IF('calcA'!BV$106=1,FU4+ACJ4,1)</f>
        <v/>
      </c>
      <c r="AHY4">
        <f>IF('calcA'!BW$106=1,FV4+ACK4,1)</f>
        <v/>
      </c>
      <c r="AHZ4">
        <f>IF('calcA'!BX$106=1,FW4+ACL4,1)</f>
        <v/>
      </c>
      <c r="AIA4">
        <f>IF('calcA'!BY$106=1,FX4+ACM4,1)</f>
        <v/>
      </c>
      <c r="AIB4">
        <f>IF('calcA'!BZ$106=1,FY4+ACN4,1)</f>
        <v/>
      </c>
      <c r="AIC4">
        <f>IF('calcA'!CA$106=1,FZ4+ACO4,1)</f>
        <v/>
      </c>
      <c r="AID4">
        <f>IF('calcA'!CB$106=1,GA4+ACP4,1)</f>
        <v/>
      </c>
      <c r="AIE4">
        <f>IF('calcA'!CC$106=1,GB4+ACQ4,1)</f>
        <v/>
      </c>
      <c r="AIF4">
        <f>IF('calcA'!CD$106=1,GC4+ACR4,1)</f>
        <v/>
      </c>
      <c r="AIG4">
        <f>IF('calcA'!CE$106=1,GD4+ACS4,1)</f>
        <v/>
      </c>
      <c r="AIH4">
        <f>IF('calcA'!CF$106=1,GE4+ACT4,1)</f>
        <v/>
      </c>
      <c r="AII4">
        <f>IF('calcA'!CG$106=1,GF4+ACU4,1)</f>
        <v/>
      </c>
      <c r="AIJ4">
        <f>IF('calcA'!CH$106=1,GG4+ACV4,1)</f>
        <v/>
      </c>
      <c r="AIK4">
        <f>IF('calcA'!CI$106=1,GH4+ACW4,1)</f>
        <v/>
      </c>
      <c r="AIL4">
        <f>IF('calcA'!CJ$106=1,GI4+ACX4,1)</f>
        <v/>
      </c>
      <c r="AIM4">
        <f>IF('calcA'!CK$106=1,GJ4+ACY4,1)</f>
        <v/>
      </c>
      <c r="AIN4">
        <f>IF('calcA'!CL$106=1,GK4+ACZ4,1)</f>
        <v/>
      </c>
      <c r="AIO4">
        <f>IF('calcA'!CM$106=1,GL4+ADA4,1)</f>
        <v/>
      </c>
      <c r="AIP4">
        <f>IF('calcA'!CN$106=1,GM4+ADB4,1)</f>
        <v/>
      </c>
      <c r="AIQ4">
        <f>IF('calcA'!CO$106=1,GN4+ADC4,1)</f>
        <v/>
      </c>
      <c r="AIR4">
        <f>IF('calcA'!CP$106=1,GO4+ADD4,1)</f>
        <v/>
      </c>
      <c r="AIS4">
        <f>IF('calcA'!CQ$106=1,GP4+ADE4,1)</f>
        <v/>
      </c>
      <c r="AIT4">
        <f>IF('calcA'!CR$106=1,GQ4+ADF4,1)</f>
        <v/>
      </c>
      <c r="AIU4">
        <f>IF('calcA'!CS$106=1,GR4+ADG4,1)</f>
        <v/>
      </c>
      <c r="AIV4">
        <f>IF('calcA'!CT$106=1,GS4+ADH4,1)</f>
        <v/>
      </c>
      <c r="AIW4">
        <f>IF('calcA'!CU$106=1,GT4+ADI4,1)</f>
        <v/>
      </c>
      <c r="AIX4">
        <f>IF('calcA'!CV$106=1,GU4+ADJ4,1)</f>
        <v/>
      </c>
      <c r="AIY4">
        <f>IF('calcA'!CW$106=1,GV4+ADK4,1)</f>
        <v/>
      </c>
      <c r="AIZ4">
        <f>IF('calcA'!CX$106=1,GW4+ADL4,1)</f>
        <v/>
      </c>
      <c r="AJA4">
        <f>IF('calcA'!CY$106=1,GX4+ADM4,1)</f>
        <v/>
      </c>
      <c r="AJB4">
        <f>IF('calcA'!CZ$106=1,GY4+ADN4,1)</f>
        <v/>
      </c>
      <c r="AJC4">
        <f>IF('calcA'!DA$106=1,GZ4+ADO4,1)</f>
        <v/>
      </c>
      <c r="AJD4">
        <f>IF('calcA'!DB$106=1,HA4+ADP4,1)</f>
        <v/>
      </c>
      <c r="AJE4">
        <f>IF('calcA'!DC$106=1,HB4+ADQ4,1)</f>
        <v/>
      </c>
      <c r="AJF4">
        <f>IF('calcA'!DD$106=1,HC4+ADR4,1)</f>
        <v/>
      </c>
      <c r="AJG4">
        <f>IF('calcA'!DE$106=1,HD4+ADS4,1)</f>
        <v/>
      </c>
      <c r="AJH4">
        <f>IF('calcA'!DF$106=1,HE4+ADT4,1)</f>
        <v/>
      </c>
      <c r="AJI4">
        <f>IF('calcA'!DG$106=1,HF4+ADU4,1)</f>
        <v/>
      </c>
      <c r="AJJ4">
        <f>IF('calcA'!DH$106=1,HG4+ADV4,1)</f>
        <v/>
      </c>
      <c r="AJK4">
        <f>IF('calcA'!DI$106=1,HH4+ADW4,1)</f>
        <v/>
      </c>
      <c r="AJL4">
        <f>IF('calcA'!DJ$106=1,HI4+ADX4,1)</f>
        <v/>
      </c>
      <c r="AJM4">
        <f>IF('calcA'!DK$106=1,HJ4+ADY4,1)</f>
        <v/>
      </c>
      <c r="AJN4">
        <f>IF('calcA'!DL$106=1,HK4+ADZ4,1)</f>
        <v/>
      </c>
      <c r="AJO4">
        <f>IF('calcA'!DM$106=1,HL4+AEA4,1)</f>
        <v/>
      </c>
      <c r="AJP4">
        <f>IF('calcA'!DN$106=1,HM4+AEB4,1)</f>
        <v/>
      </c>
      <c r="AJQ4">
        <f>IF('calcA'!DO$106=1,HN4+AEC4,1)</f>
        <v/>
      </c>
      <c r="AJR4">
        <f>IF('calcA'!DP$106=1,HO4+AED4,1)</f>
        <v/>
      </c>
      <c r="AJS4">
        <f>IF('calcA'!DQ$106=1,HP4+AEE4,1)</f>
        <v/>
      </c>
      <c r="AJT4">
        <f>IF('calcA'!DR$106=1,HQ4+AEF4,1)</f>
        <v/>
      </c>
      <c r="AJU4">
        <f>IF('calcA'!DS$106=1,HR4+AEG4,1)</f>
        <v/>
      </c>
      <c r="AJV4">
        <f>IF('calcA'!DT$106=1,HS4+AEH4,1)</f>
        <v/>
      </c>
      <c r="AJW4">
        <f>IF('calcA'!DU$106=1,HT4+AEI4,1)</f>
        <v/>
      </c>
      <c r="AJX4">
        <f>IF('calcA'!DV$106=1,HU4+AEJ4,1)</f>
        <v/>
      </c>
      <c r="AJY4">
        <f>IF('calcA'!DW$106=1,HV4+AEK4,1)</f>
        <v/>
      </c>
      <c r="AJZ4">
        <f>IF('calcA'!DX$106=1,HW4+AEL4,1)</f>
        <v/>
      </c>
      <c r="AKA4">
        <f>IF('calcA'!DY$106=1,HX4+AEM4,1)</f>
        <v/>
      </c>
      <c r="AKB4">
        <f>IF('calcA'!DZ$106=1,HY4+AEN4,1)</f>
        <v/>
      </c>
      <c r="AKC4">
        <f>IF('calcA'!EA$106=1,HZ4+AEO4,1)</f>
        <v/>
      </c>
      <c r="AKD4">
        <f>IF('calcA'!EB$106=1,IA4+AEP4,1)</f>
        <v/>
      </c>
      <c r="AKE4">
        <f>IF('calcA'!EC$106=1,IB4+AEQ4,1)</f>
        <v/>
      </c>
      <c r="AKF4">
        <f>IF('calcA'!ED$106=1,IC4+AER4,1)</f>
        <v/>
      </c>
      <c r="AKG4">
        <f>IF('calcA'!EE$106=1,ID4+AES4,1)</f>
        <v/>
      </c>
      <c r="AKH4">
        <f>IF('calcA'!EF$106=1,IE4+AET4,1)</f>
        <v/>
      </c>
      <c r="AKI4">
        <f>IF('calcA'!EG$106=1,IF4+AEU4,1)</f>
        <v/>
      </c>
      <c r="AKJ4">
        <f>IF('calcA'!EH$106=1,IG4+AEV4,1)</f>
        <v/>
      </c>
      <c r="AKK4">
        <f>IF('calcA'!EI$106=1,IH4+AEW4,1)</f>
        <v/>
      </c>
      <c r="AKL4">
        <f>IF('calcA'!EJ$106=1,II4+AEX4,1)</f>
        <v/>
      </c>
      <c r="AKM4">
        <f>IF('calcA'!EK$106=1,IJ4+AEY4,1)</f>
        <v/>
      </c>
      <c r="AKN4">
        <f>IF('calcA'!EL$106=1,IK4+AEZ4,1)</f>
        <v/>
      </c>
      <c r="AKO4">
        <f>IF('calcA'!EM$106=1,IL4+AFA4,1)</f>
        <v/>
      </c>
      <c r="AKP4">
        <f>IF('calcA'!EN$106=1,IM4+AFB4,1)</f>
        <v/>
      </c>
      <c r="AKQ4">
        <f>IF('calcA'!EO$106=1,IN4+AFC4,1)</f>
        <v/>
      </c>
      <c r="AKR4">
        <f>IF('calcA'!EP$106=1,IO4+AFD4,1)</f>
        <v/>
      </c>
      <c r="AKS4" t="n">
        <v>1</v>
      </c>
    </row>
    <row r="5">
      <c r="A5" t="n">
        <v>3</v>
      </c>
      <c r="B5">
        <f>IF(MIN(BM5:CZ5)&gt;=1000000000,0,MATCH(MIN(BM5:CZ5),BM5:CZ5,0))</f>
        <v/>
      </c>
      <c r="C5">
        <f>IF(MIN(OF5:TS5)&gt;=1000000000,0,MATCH(MIN(OF5:TS5),OF5:TS5,0))</f>
        <v/>
      </c>
      <c r="D5">
        <f>IF(C5&gt;0,INDEX('calcA'!$D$5:$EQ$5,C5),0)</f>
        <v/>
      </c>
      <c r="E5">
        <f>IF(B5=0,0,INDEX('calcA'!$IQ$10:$IQ$54,B5))</f>
        <v/>
      </c>
      <c r="F5">
        <f>IF(B5=0,0,INDEX('calcA'!$IP$10:$IP$54,B5))</f>
        <v/>
      </c>
      <c r="G5">
        <f>IF(AND(C5&gt;0,E5&gt;0),IF(AND(INDEX('calcA'!$D$106:$EQ$106,C5)=1,INDEX($IQ5:$OD5,C5)=1),C5+1,0),0)</f>
        <v/>
      </c>
      <c r="H5">
        <f>IF(B5=0,0,INDEX('calcA'!$IW$10:$IW$54,B5))</f>
        <v/>
      </c>
      <c r="U5">
        <f>IF(B5=0,0,INDEX('calcA'!$IX$10:$IX$54,B5))</f>
        <v/>
      </c>
      <c r="V5">
        <f>IF(B5=0,0,INDEX('calcA'!$JF$10:$JF$54,B5))</f>
        <v/>
      </c>
      <c r="W5">
        <f>IF(B5=0,0,IF(IF(E5=2,SUMPRODUCT(INDEX('calcA'!$D$60:$EQ$99,B5,0),$DB5:$IO5,$IQ5:$OD5),SUMPRODUCT(INDEX('calcA'!$D$60:$EQ$99,B5,0),$DB5:$IO5))=0,1,0))</f>
        <v/>
      </c>
      <c r="X5">
        <f>MAX(X4,IF($B4=1,1,0))</f>
        <v/>
      </c>
      <c r="Y5">
        <f>MAX(Y4,IF($B4=2,1,0))</f>
        <v/>
      </c>
      <c r="Z5">
        <f>MAX(Z4,IF($B4=3,1,0))</f>
        <v/>
      </c>
      <c r="AA5">
        <f>MAX(AA4,IF($B4=4,1,0))</f>
        <v/>
      </c>
      <c r="AB5">
        <f>MAX(AB4,IF($B4=5,1,0))</f>
        <v/>
      </c>
      <c r="AC5">
        <f>MAX(AC4,IF($B4=6,1,0))</f>
        <v/>
      </c>
      <c r="AD5">
        <f>MAX(AD4,IF($B4=7,1,0))</f>
        <v/>
      </c>
      <c r="AE5">
        <f>MAX(AE4,IF($B4=8,1,0))</f>
        <v/>
      </c>
      <c r="AF5">
        <f>MAX(AF4,IF($B4=9,1,0))</f>
        <v/>
      </c>
      <c r="AG5">
        <f>MAX(AG4,IF($B4=10,1,0))</f>
        <v/>
      </c>
      <c r="AH5">
        <f>MAX(AH4,IF($B4=11,1,0))</f>
        <v/>
      </c>
      <c r="AI5">
        <f>MAX(AI4,IF($B4=12,1,0))</f>
        <v/>
      </c>
      <c r="AJ5">
        <f>MAX(AJ4,IF($B4=13,1,0))</f>
        <v/>
      </c>
      <c r="AK5">
        <f>MAX(AK4,IF($B4=14,1,0))</f>
        <v/>
      </c>
      <c r="AL5">
        <f>MAX(AL4,IF($B4=15,1,0))</f>
        <v/>
      </c>
      <c r="AM5">
        <f>MAX(AM4,IF($B4=16,1,0))</f>
        <v/>
      </c>
      <c r="AN5">
        <f>MAX(AN4,IF($B4=17,1,0))</f>
        <v/>
      </c>
      <c r="AO5">
        <f>MAX(AO4,IF($B4=18,1,0))</f>
        <v/>
      </c>
      <c r="AP5">
        <f>MAX(AP4,IF($B4=19,1,0))</f>
        <v/>
      </c>
      <c r="AQ5">
        <f>MAX(AQ4,IF($B4=20,1,0))</f>
        <v/>
      </c>
      <c r="AR5">
        <f>MAX(AR4,IF($B4=21,1,0))</f>
        <v/>
      </c>
      <c r="AS5">
        <f>MAX(AS4,IF($B4=22,1,0))</f>
        <v/>
      </c>
      <c r="AT5">
        <f>MAX(AT4,IF($B4=23,1,0))</f>
        <v/>
      </c>
      <c r="AU5">
        <f>MAX(AU4,IF($B4=24,1,0))</f>
        <v/>
      </c>
      <c r="AV5">
        <f>MAX(AV4,IF($B4=25,1,0))</f>
        <v/>
      </c>
      <c r="AW5">
        <f>MAX(AW4,IF($B4=26,1,0))</f>
        <v/>
      </c>
      <c r="AX5">
        <f>MAX(AX4,IF($B4=27,1,0))</f>
        <v/>
      </c>
      <c r="AY5">
        <f>MAX(AY4,IF($B4=28,1,0))</f>
        <v/>
      </c>
      <c r="AZ5">
        <f>MAX(AZ4,IF($B4=29,1,0))</f>
        <v/>
      </c>
      <c r="BA5">
        <f>MAX(BA4,IF($B4=30,1,0))</f>
        <v/>
      </c>
      <c r="BB5">
        <f>MAX(BB4,IF($B4=31,1,0))</f>
        <v/>
      </c>
      <c r="BC5">
        <f>MAX(BC4,IF($B4=32,1,0))</f>
        <v/>
      </c>
      <c r="BD5">
        <f>MAX(BD4,IF($B4=33,1,0))</f>
        <v/>
      </c>
      <c r="BE5">
        <f>MAX(BE4,IF($B4=34,1,0))</f>
        <v/>
      </c>
      <c r="BF5">
        <f>MAX(BF4,IF($B4=35,1,0))</f>
        <v/>
      </c>
      <c r="BG5">
        <f>MAX(BG4,IF($B4=36,1,0))</f>
        <v/>
      </c>
      <c r="BH5">
        <f>MAX(BH4,IF($B4=37,1,0))</f>
        <v/>
      </c>
      <c r="BI5">
        <f>MAX(BI4,IF($B4=38,1,0))</f>
        <v/>
      </c>
      <c r="BJ5">
        <f>MAX(BJ4,IF($B4=39,1,0))</f>
        <v/>
      </c>
      <c r="BK5">
        <f>MAX(BK4,IF($B4=40,1,0))</f>
        <v/>
      </c>
      <c r="BM5">
        <f>IF(OR(X5=1,calcA!$A$6=0),1000000000,IF('calcA'!$JF$10=1,0,100000000)+IF('calcA'!$IQ$10=2,SUMPRODUCT('calcA'!$D$60:$EQ$60,$DB5:$IO5,$IQ5:$OD5)*1000+SUMPRODUCT('calcA'!$D$60:$EQ$60,$DB5:$IO5+$ZQ5:$AFD5,$AFF5:$AKS5),SUMPRODUCT('calcA'!$D$60:$EQ$60,$DB5:$IO5*1001+$ZQ5:$AFD5))*100+1)</f>
        <v/>
      </c>
      <c r="BN5">
        <f>IF(OR(Y5=1,calcA!$A$6=0),1000000000,IF('calcA'!$JF$11=1,0,100000000)+IF('calcA'!$IQ$11=2,SUMPRODUCT('calcA'!$D$61:$EQ$61,$DB5:$IO5,$IQ5:$OD5)*1000+SUMPRODUCT('calcA'!$D$61:$EQ$61,$DB5:$IO5+$ZQ5:$AFD5,$AFF5:$AKS5),SUMPRODUCT('calcA'!$D$61:$EQ$61,$DB5:$IO5*1001+$ZQ5:$AFD5))*100+2)</f>
        <v/>
      </c>
      <c r="BO5">
        <f>IF(OR(Z5=1,calcA!$A$6=0),1000000000,IF('calcA'!$JF$12=1,0,100000000)+IF('calcA'!$IQ$12=2,SUMPRODUCT('calcA'!$D$62:$EQ$62,$DB5:$IO5,$IQ5:$OD5)*1000+SUMPRODUCT('calcA'!$D$62:$EQ$62,$DB5:$IO5+$ZQ5:$AFD5,$AFF5:$AKS5),SUMPRODUCT('calcA'!$D$62:$EQ$62,$DB5:$IO5*1001+$ZQ5:$AFD5))*100+3)</f>
        <v/>
      </c>
      <c r="BP5">
        <f>IF(OR(AA5=1,calcA!$A$6=0),1000000000,IF('calcA'!$JF$13=1,0,100000000)+IF('calcA'!$IQ$13=2,SUMPRODUCT('calcA'!$D$63:$EQ$63,$DB5:$IO5,$IQ5:$OD5)*1000+SUMPRODUCT('calcA'!$D$63:$EQ$63,$DB5:$IO5+$ZQ5:$AFD5,$AFF5:$AKS5),SUMPRODUCT('calcA'!$D$63:$EQ$63,$DB5:$IO5*1001+$ZQ5:$AFD5))*100+4)</f>
        <v/>
      </c>
      <c r="BQ5">
        <f>IF(OR(AB5=1,calcA!$A$6=0),1000000000,IF('calcA'!$JF$14=1,0,100000000)+IF('calcA'!$IQ$14=2,SUMPRODUCT('calcA'!$D$64:$EQ$64,$DB5:$IO5,$IQ5:$OD5)*1000+SUMPRODUCT('calcA'!$D$64:$EQ$64,$DB5:$IO5+$ZQ5:$AFD5,$AFF5:$AKS5),SUMPRODUCT('calcA'!$D$64:$EQ$64,$DB5:$IO5*1001+$ZQ5:$AFD5))*100+5)</f>
        <v/>
      </c>
      <c r="BR5">
        <f>IF(OR(AC5=1,calcA!$A$6=0),1000000000,IF('calcA'!$JF$15=1,0,100000000)+IF('calcA'!$IQ$15=2,SUMPRODUCT('calcA'!$D$65:$EQ$65,$DB5:$IO5,$IQ5:$OD5)*1000+SUMPRODUCT('calcA'!$D$65:$EQ$65,$DB5:$IO5+$ZQ5:$AFD5,$AFF5:$AKS5),SUMPRODUCT('calcA'!$D$65:$EQ$65,$DB5:$IO5*1001+$ZQ5:$AFD5))*100+6)</f>
        <v/>
      </c>
      <c r="BS5">
        <f>IF(OR(AD5=1,calcA!$A$6=0),1000000000,IF('calcA'!$JF$16=1,0,100000000)+IF('calcA'!$IQ$16=2,SUMPRODUCT('calcA'!$D$66:$EQ$66,$DB5:$IO5,$IQ5:$OD5)*1000+SUMPRODUCT('calcA'!$D$66:$EQ$66,$DB5:$IO5+$ZQ5:$AFD5,$AFF5:$AKS5),SUMPRODUCT('calcA'!$D$66:$EQ$66,$DB5:$IO5*1001+$ZQ5:$AFD5))*100+7)</f>
        <v/>
      </c>
      <c r="BT5">
        <f>IF(OR(AE5=1,calcA!$A$6=0),1000000000,IF('calcA'!$JF$17=1,0,100000000)+IF('calcA'!$IQ$17=2,SUMPRODUCT('calcA'!$D$67:$EQ$67,$DB5:$IO5,$IQ5:$OD5)*1000+SUMPRODUCT('calcA'!$D$67:$EQ$67,$DB5:$IO5+$ZQ5:$AFD5,$AFF5:$AKS5),SUMPRODUCT('calcA'!$D$67:$EQ$67,$DB5:$IO5*1001+$ZQ5:$AFD5))*100+8)</f>
        <v/>
      </c>
      <c r="BU5">
        <f>IF(OR(AF5=1,calcA!$A$6=0),1000000000,IF('calcA'!$JF$18=1,0,100000000)+IF('calcA'!$IQ$18=2,SUMPRODUCT('calcA'!$D$68:$EQ$68,$DB5:$IO5,$IQ5:$OD5)*1000+SUMPRODUCT('calcA'!$D$68:$EQ$68,$DB5:$IO5+$ZQ5:$AFD5,$AFF5:$AKS5),SUMPRODUCT('calcA'!$D$68:$EQ$68,$DB5:$IO5*1001+$ZQ5:$AFD5))*100+9)</f>
        <v/>
      </c>
      <c r="BV5">
        <f>IF(OR(AG5=1,calcA!$A$6=0),1000000000,IF('calcA'!$JF$19=1,0,100000000)+IF('calcA'!$IQ$19=2,SUMPRODUCT('calcA'!$D$69:$EQ$69,$DB5:$IO5,$IQ5:$OD5)*1000+SUMPRODUCT('calcA'!$D$69:$EQ$69,$DB5:$IO5+$ZQ5:$AFD5,$AFF5:$AKS5),SUMPRODUCT('calcA'!$D$69:$EQ$69,$DB5:$IO5*1001+$ZQ5:$AFD5))*100+10)</f>
        <v/>
      </c>
      <c r="BW5">
        <f>IF(OR(AH5=1,calcA!$A$6=0),1000000000,IF('calcA'!$JF$20=1,0,100000000)+IF('calcA'!$IQ$20=2,SUMPRODUCT('calcA'!$D$70:$EQ$70,$DB5:$IO5,$IQ5:$OD5)*1000+SUMPRODUCT('calcA'!$D$70:$EQ$70,$DB5:$IO5+$ZQ5:$AFD5,$AFF5:$AKS5),SUMPRODUCT('calcA'!$D$70:$EQ$70,$DB5:$IO5*1001+$ZQ5:$AFD5))*100+11)</f>
        <v/>
      </c>
      <c r="BX5">
        <f>IF(OR(AI5=1,calcA!$A$6=0),1000000000,IF('calcA'!$JF$21=1,0,100000000)+IF('calcA'!$IQ$21=2,SUMPRODUCT('calcA'!$D$71:$EQ$71,$DB5:$IO5,$IQ5:$OD5)*1000+SUMPRODUCT('calcA'!$D$71:$EQ$71,$DB5:$IO5+$ZQ5:$AFD5,$AFF5:$AKS5),SUMPRODUCT('calcA'!$D$71:$EQ$71,$DB5:$IO5*1001+$ZQ5:$AFD5))*100+12)</f>
        <v/>
      </c>
      <c r="BY5">
        <f>IF(OR(AJ5=1,calcA!$A$6=0),1000000000,IF('calcA'!$JF$22=1,0,100000000)+IF('calcA'!$IQ$22=2,SUMPRODUCT('calcA'!$D$72:$EQ$72,$DB5:$IO5,$IQ5:$OD5)*1000+SUMPRODUCT('calcA'!$D$72:$EQ$72,$DB5:$IO5+$ZQ5:$AFD5,$AFF5:$AKS5),SUMPRODUCT('calcA'!$D$72:$EQ$72,$DB5:$IO5*1001+$ZQ5:$AFD5))*100+13)</f>
        <v/>
      </c>
      <c r="BZ5">
        <f>IF(OR(AK5=1,calcA!$A$6=0),1000000000,IF('calcA'!$JF$23=1,0,100000000)+IF('calcA'!$IQ$23=2,SUMPRODUCT('calcA'!$D$73:$EQ$73,$DB5:$IO5,$IQ5:$OD5)*1000+SUMPRODUCT('calcA'!$D$73:$EQ$73,$DB5:$IO5+$ZQ5:$AFD5,$AFF5:$AKS5),SUMPRODUCT('calcA'!$D$73:$EQ$73,$DB5:$IO5*1001+$ZQ5:$AFD5))*100+14)</f>
        <v/>
      </c>
      <c r="CA5">
        <f>IF(OR(AL5=1,calcA!$A$6=0),1000000000,IF('calcA'!$JF$24=1,0,100000000)+IF('calcA'!$IQ$24=2,SUMPRODUCT('calcA'!$D$74:$EQ$74,$DB5:$IO5,$IQ5:$OD5)*1000+SUMPRODUCT('calcA'!$D$74:$EQ$74,$DB5:$IO5+$ZQ5:$AFD5,$AFF5:$AKS5),SUMPRODUCT('calcA'!$D$74:$EQ$74,$DB5:$IO5*1001+$ZQ5:$AFD5))*100+15)</f>
        <v/>
      </c>
      <c r="CB5">
        <f>IF(OR(AM5=1,calcA!$A$6=0),1000000000,IF('calcA'!$JF$25=1,0,100000000)+IF('calcA'!$IQ$25=2,SUMPRODUCT('calcA'!$D$75:$EQ$75,$DB5:$IO5,$IQ5:$OD5)*1000+SUMPRODUCT('calcA'!$D$75:$EQ$75,$DB5:$IO5+$ZQ5:$AFD5,$AFF5:$AKS5),SUMPRODUCT('calcA'!$D$75:$EQ$75,$DB5:$IO5*1001+$ZQ5:$AFD5))*100+16)</f>
        <v/>
      </c>
      <c r="CC5">
        <f>IF(OR(AN5=1,calcA!$A$6=0),1000000000,IF('calcA'!$JF$26=1,0,100000000)+IF('calcA'!$IQ$26=2,SUMPRODUCT('calcA'!$D$76:$EQ$76,$DB5:$IO5,$IQ5:$OD5)*1000+SUMPRODUCT('calcA'!$D$76:$EQ$76,$DB5:$IO5+$ZQ5:$AFD5,$AFF5:$AKS5),SUMPRODUCT('calcA'!$D$76:$EQ$76,$DB5:$IO5*1001+$ZQ5:$AFD5))*100+17)</f>
        <v/>
      </c>
      <c r="CD5">
        <f>IF(OR(AO5=1,calcA!$A$6=0),1000000000,IF('calcA'!$JF$27=1,0,100000000)+IF('calcA'!$IQ$27=2,SUMPRODUCT('calcA'!$D$77:$EQ$77,$DB5:$IO5,$IQ5:$OD5)*1000+SUMPRODUCT('calcA'!$D$77:$EQ$77,$DB5:$IO5+$ZQ5:$AFD5,$AFF5:$AKS5),SUMPRODUCT('calcA'!$D$77:$EQ$77,$DB5:$IO5*1001+$ZQ5:$AFD5))*100+18)</f>
        <v/>
      </c>
      <c r="CE5">
        <f>IF(OR(AP5=1,calcA!$A$6=0),1000000000,IF('calcA'!$JF$28=1,0,100000000)+IF('calcA'!$IQ$28=2,SUMPRODUCT('calcA'!$D$78:$EQ$78,$DB5:$IO5,$IQ5:$OD5)*1000+SUMPRODUCT('calcA'!$D$78:$EQ$78,$DB5:$IO5+$ZQ5:$AFD5,$AFF5:$AKS5),SUMPRODUCT('calcA'!$D$78:$EQ$78,$DB5:$IO5*1001+$ZQ5:$AFD5))*100+19)</f>
        <v/>
      </c>
      <c r="CF5">
        <f>IF(OR(AQ5=1,calcA!$A$6=0),1000000000,IF('calcA'!$JF$29=1,0,100000000)+IF('calcA'!$IQ$29=2,SUMPRODUCT('calcA'!$D$79:$EQ$79,$DB5:$IO5,$IQ5:$OD5)*1000+SUMPRODUCT('calcA'!$D$79:$EQ$79,$DB5:$IO5+$ZQ5:$AFD5,$AFF5:$AKS5),SUMPRODUCT('calcA'!$D$79:$EQ$79,$DB5:$IO5*1001+$ZQ5:$AFD5))*100+20)</f>
        <v/>
      </c>
      <c r="CG5">
        <f>IF(OR(AR5=1,calcA!$A$6=0),1000000000,IF('calcA'!$JF$30=1,0,100000000)+IF('calcA'!$IQ$30=2,SUMPRODUCT('calcA'!$D$80:$EQ$80,$DB5:$IO5,$IQ5:$OD5)*1000+SUMPRODUCT('calcA'!$D$80:$EQ$80,$DB5:$IO5+$ZQ5:$AFD5,$AFF5:$AKS5),SUMPRODUCT('calcA'!$D$80:$EQ$80,$DB5:$IO5*1001+$ZQ5:$AFD5))*100+21)</f>
        <v/>
      </c>
      <c r="CH5">
        <f>IF(OR(AS5=1,calcA!$A$6=0),1000000000,IF('calcA'!$JF$31=1,0,100000000)+IF('calcA'!$IQ$31=2,SUMPRODUCT('calcA'!$D$81:$EQ$81,$DB5:$IO5,$IQ5:$OD5)*1000+SUMPRODUCT('calcA'!$D$81:$EQ$81,$DB5:$IO5+$ZQ5:$AFD5,$AFF5:$AKS5),SUMPRODUCT('calcA'!$D$81:$EQ$81,$DB5:$IO5*1001+$ZQ5:$AFD5))*100+22)</f>
        <v/>
      </c>
      <c r="CI5">
        <f>IF(OR(AT5=1,calcA!$A$6=0),1000000000,IF('calcA'!$JF$32=1,0,100000000)+IF('calcA'!$IQ$32=2,SUMPRODUCT('calcA'!$D$82:$EQ$82,$DB5:$IO5,$IQ5:$OD5)*1000+SUMPRODUCT('calcA'!$D$82:$EQ$82,$DB5:$IO5+$ZQ5:$AFD5,$AFF5:$AKS5),SUMPRODUCT('calcA'!$D$82:$EQ$82,$DB5:$IO5*1001+$ZQ5:$AFD5))*100+23)</f>
        <v/>
      </c>
      <c r="CJ5">
        <f>IF(OR(AU5=1,calcA!$A$6=0),1000000000,IF('calcA'!$JF$33=1,0,100000000)+IF('calcA'!$IQ$33=2,SUMPRODUCT('calcA'!$D$83:$EQ$83,$DB5:$IO5,$IQ5:$OD5)*1000+SUMPRODUCT('calcA'!$D$83:$EQ$83,$DB5:$IO5+$ZQ5:$AFD5,$AFF5:$AKS5),SUMPRODUCT('calcA'!$D$83:$EQ$83,$DB5:$IO5*1001+$ZQ5:$AFD5))*100+24)</f>
        <v/>
      </c>
      <c r="CK5">
        <f>IF(OR(AV5=1,calcA!$A$6=0),1000000000,IF('calcA'!$JF$34=1,0,100000000)+IF('calcA'!$IQ$34=2,SUMPRODUCT('calcA'!$D$84:$EQ$84,$DB5:$IO5,$IQ5:$OD5)*1000+SUMPRODUCT('calcA'!$D$84:$EQ$84,$DB5:$IO5+$ZQ5:$AFD5,$AFF5:$AKS5),SUMPRODUCT('calcA'!$D$84:$EQ$84,$DB5:$IO5*1001+$ZQ5:$AFD5))*100+25)</f>
        <v/>
      </c>
      <c r="CL5">
        <f>IF(OR(AW5=1,calcA!$A$6=0),1000000000,IF('calcA'!$JF$35=1,0,100000000)+IF('calcA'!$IQ$35=2,SUMPRODUCT('calcA'!$D$85:$EQ$85,$DB5:$IO5,$IQ5:$OD5)*1000+SUMPRODUCT('calcA'!$D$85:$EQ$85,$DB5:$IO5+$ZQ5:$AFD5,$AFF5:$AKS5),SUMPRODUCT('calcA'!$D$85:$EQ$85,$DB5:$IO5*1001+$ZQ5:$AFD5))*100+26)</f>
        <v/>
      </c>
      <c r="CM5">
        <f>IF(OR(AX5=1,calcA!$A$6=0),1000000000,IF('calcA'!$JF$36=1,0,100000000)+IF('calcA'!$IQ$36=2,SUMPRODUCT('calcA'!$D$86:$EQ$86,$DB5:$IO5,$IQ5:$OD5)*1000+SUMPRODUCT('calcA'!$D$86:$EQ$86,$DB5:$IO5+$ZQ5:$AFD5,$AFF5:$AKS5),SUMPRODUCT('calcA'!$D$86:$EQ$86,$DB5:$IO5*1001+$ZQ5:$AFD5))*100+27)</f>
        <v/>
      </c>
      <c r="CN5">
        <f>IF(OR(AY5=1,calcA!$A$6=0),1000000000,IF('calcA'!$JF$37=1,0,100000000)+IF('calcA'!$IQ$37=2,SUMPRODUCT('calcA'!$D$87:$EQ$87,$DB5:$IO5,$IQ5:$OD5)*1000+SUMPRODUCT('calcA'!$D$87:$EQ$87,$DB5:$IO5+$ZQ5:$AFD5,$AFF5:$AKS5),SUMPRODUCT('calcA'!$D$87:$EQ$87,$DB5:$IO5*1001+$ZQ5:$AFD5))*100+28)</f>
        <v/>
      </c>
      <c r="CO5">
        <f>IF(OR(AZ5=1,calcA!$A$6=0),1000000000,IF('calcA'!$JF$38=1,0,100000000)+IF('calcA'!$IQ$38=2,SUMPRODUCT('calcA'!$D$88:$EQ$88,$DB5:$IO5,$IQ5:$OD5)*1000+SUMPRODUCT('calcA'!$D$88:$EQ$88,$DB5:$IO5+$ZQ5:$AFD5,$AFF5:$AKS5),SUMPRODUCT('calcA'!$D$88:$EQ$88,$DB5:$IO5*1001+$ZQ5:$AFD5))*100+29)</f>
        <v/>
      </c>
      <c r="CP5">
        <f>IF(OR(BA5=1,calcA!$A$6=0),1000000000,IF('calcA'!$JF$39=1,0,100000000)+IF('calcA'!$IQ$39=2,SUMPRODUCT('calcA'!$D$89:$EQ$89,$DB5:$IO5,$IQ5:$OD5)*1000+SUMPRODUCT('calcA'!$D$89:$EQ$89,$DB5:$IO5+$ZQ5:$AFD5,$AFF5:$AKS5),SUMPRODUCT('calcA'!$D$89:$EQ$89,$DB5:$IO5*1001+$ZQ5:$AFD5))*100+30)</f>
        <v/>
      </c>
      <c r="CQ5">
        <f>IF(OR(BB5=1,calcA!$A$6=0),1000000000,IF('calcA'!$JF$40=1,0,100000000)+IF('calcA'!$IQ$40=2,SUMPRODUCT('calcA'!$D$90:$EQ$90,$DB5:$IO5,$IQ5:$OD5)*1000+SUMPRODUCT('calcA'!$D$90:$EQ$90,$DB5:$IO5+$ZQ5:$AFD5,$AFF5:$AKS5),SUMPRODUCT('calcA'!$D$90:$EQ$90,$DB5:$IO5*1001+$ZQ5:$AFD5))*100+31)</f>
        <v/>
      </c>
      <c r="CR5">
        <f>IF(OR(BC5=1,calcA!$A$6=0),1000000000,IF('calcA'!$JF$41=1,0,100000000)+IF('calcA'!$IQ$41=2,SUMPRODUCT('calcA'!$D$91:$EQ$91,$DB5:$IO5,$IQ5:$OD5)*1000+SUMPRODUCT('calcA'!$D$91:$EQ$91,$DB5:$IO5+$ZQ5:$AFD5,$AFF5:$AKS5),SUMPRODUCT('calcA'!$D$91:$EQ$91,$DB5:$IO5*1001+$ZQ5:$AFD5))*100+32)</f>
        <v/>
      </c>
      <c r="CS5">
        <f>IF(OR(BD5=1,calcA!$A$6=0),1000000000,IF('calcA'!$JF$42=1,0,100000000)+IF('calcA'!$IQ$42=2,SUMPRODUCT('calcA'!$D$92:$EQ$92,$DB5:$IO5,$IQ5:$OD5)*1000+SUMPRODUCT('calcA'!$D$92:$EQ$92,$DB5:$IO5+$ZQ5:$AFD5,$AFF5:$AKS5),SUMPRODUCT('calcA'!$D$92:$EQ$92,$DB5:$IO5*1001+$ZQ5:$AFD5))*100+33)</f>
        <v/>
      </c>
      <c r="CT5">
        <f>IF(OR(BE5=1,calcA!$A$6=0),1000000000,IF('calcA'!$JF$43=1,0,100000000)+IF('calcA'!$IQ$43=2,SUMPRODUCT('calcA'!$D$93:$EQ$93,$DB5:$IO5,$IQ5:$OD5)*1000+SUMPRODUCT('calcA'!$D$93:$EQ$93,$DB5:$IO5+$ZQ5:$AFD5,$AFF5:$AKS5),SUMPRODUCT('calcA'!$D$93:$EQ$93,$DB5:$IO5*1001+$ZQ5:$AFD5))*100+34)</f>
        <v/>
      </c>
      <c r="CU5">
        <f>IF(OR(BF5=1,calcA!$A$6=0),1000000000,IF('calcA'!$JF$44=1,0,100000000)+IF('calcA'!$IQ$44=2,SUMPRODUCT('calcA'!$D$94:$EQ$94,$DB5:$IO5,$IQ5:$OD5)*1000+SUMPRODUCT('calcA'!$D$94:$EQ$94,$DB5:$IO5+$ZQ5:$AFD5,$AFF5:$AKS5),SUMPRODUCT('calcA'!$D$94:$EQ$94,$DB5:$IO5*1001+$ZQ5:$AFD5))*100+35)</f>
        <v/>
      </c>
      <c r="CV5">
        <f>IF(OR(BG5=1,calcA!$A$6=0),1000000000,IF('calcA'!$JF$45=1,0,100000000)+IF('calcA'!$IQ$45=2,SUMPRODUCT('calcA'!$D$95:$EQ$95,$DB5:$IO5,$IQ5:$OD5)*1000+SUMPRODUCT('calcA'!$D$95:$EQ$95,$DB5:$IO5+$ZQ5:$AFD5,$AFF5:$AKS5),SUMPRODUCT('calcA'!$D$95:$EQ$95,$DB5:$IO5*1001+$ZQ5:$AFD5))*100+36)</f>
        <v/>
      </c>
      <c r="CW5">
        <f>IF(OR(BH5=1,calcA!$A$6=0),1000000000,IF('calcA'!$JF$46=1,0,100000000)+IF('calcA'!$IQ$46=2,SUMPRODUCT('calcA'!$D$96:$EQ$96,$DB5:$IO5,$IQ5:$OD5)*1000+SUMPRODUCT('calcA'!$D$96:$EQ$96,$DB5:$IO5+$ZQ5:$AFD5,$AFF5:$AKS5),SUMPRODUCT('calcA'!$D$96:$EQ$96,$DB5:$IO5*1001+$ZQ5:$AFD5))*100+37)</f>
        <v/>
      </c>
      <c r="CX5">
        <f>IF(OR(BI5=1,calcA!$A$6=0),1000000000,IF('calcA'!$JF$47=1,0,100000000)+IF('calcA'!$IQ$47=2,SUMPRODUCT('calcA'!$D$97:$EQ$97,$DB5:$IO5,$IQ5:$OD5)*1000+SUMPRODUCT('calcA'!$D$97:$EQ$97,$DB5:$IO5+$ZQ5:$AFD5,$AFF5:$AKS5),SUMPRODUCT('calcA'!$D$97:$EQ$97,$DB5:$IO5*1001+$ZQ5:$AFD5))*100+38)</f>
        <v/>
      </c>
      <c r="CY5">
        <f>IF(OR(BJ5=1,calcA!$A$6=0),1000000000,IF('calcA'!$JF$48=1,0,100000000)+IF('calcA'!$IQ$48=2,SUMPRODUCT('calcA'!$D$98:$EQ$98,$DB5:$IO5,$IQ5:$OD5)*1000+SUMPRODUCT('calcA'!$D$98:$EQ$98,$DB5:$IO5+$ZQ5:$AFD5,$AFF5:$AKS5),SUMPRODUCT('calcA'!$D$98:$EQ$98,$DB5:$IO5*1001+$ZQ5:$AFD5))*100+39)</f>
        <v/>
      </c>
      <c r="CZ5">
        <f>IF(OR(BK5=1,calcA!$A$6=0),1000000000,IF('calcA'!$JF$49=1,0,100000000)+IF('calcA'!$IQ$49=2,SUMPRODUCT('calcA'!$D$99:$EQ$99,$DB5:$IO5,$IQ5:$OD5)*1000+SUMPRODUCT('calcA'!$D$99:$EQ$99,$DB5:$IO5+$ZQ5:$AFD5,$AFF5:$AKS5),SUMPRODUCT('calcA'!$D$99:$EQ$99,$DB5:$IO5*1001+$ZQ5:$AFD5))*100+40)</f>
        <v/>
      </c>
      <c r="DB5">
        <f>DB4*IF(OR($C4=1,$G4=1),0,1)</f>
        <v/>
      </c>
      <c r="DC5">
        <f>DC4*IF(OR($C4=2,$G4=2),0,1)</f>
        <v/>
      </c>
      <c r="DD5">
        <f>DD4*IF(OR($C4=3,$G4=3),0,1)</f>
        <v/>
      </c>
      <c r="DE5">
        <f>DE4*IF(OR($C4=4,$G4=4),0,1)</f>
        <v/>
      </c>
      <c r="DF5">
        <f>DF4*IF(OR($C4=5,$G4=5),0,1)</f>
        <v/>
      </c>
      <c r="DG5">
        <f>DG4*IF(OR($C4=6,$G4=6),0,1)</f>
        <v/>
      </c>
      <c r="DH5">
        <f>DH4*IF(OR($C4=7,$G4=7),0,1)</f>
        <v/>
      </c>
      <c r="DI5">
        <f>DI4*IF(OR($C4=8,$G4=8),0,1)</f>
        <v/>
      </c>
      <c r="DJ5">
        <f>DJ4*IF(OR($C4=9,$G4=9),0,1)</f>
        <v/>
      </c>
      <c r="DK5">
        <f>DK4*IF(OR($C4=10,$G4=10),0,1)</f>
        <v/>
      </c>
      <c r="DL5">
        <f>DL4*IF(OR($C4=11,$G4=11),0,1)</f>
        <v/>
      </c>
      <c r="DM5">
        <f>DM4*IF(OR($C4=12,$G4=12),0,1)</f>
        <v/>
      </c>
      <c r="DN5">
        <f>DN4*IF(OR($C4=13,$G4=13),0,1)</f>
        <v/>
      </c>
      <c r="DO5">
        <f>DO4*IF(OR($C4=14,$G4=14),0,1)</f>
        <v/>
      </c>
      <c r="DP5">
        <f>DP4*IF(OR($C4=15,$G4=15),0,1)</f>
        <v/>
      </c>
      <c r="DQ5">
        <f>DQ4*IF(OR($C4=16,$G4=16),0,1)</f>
        <v/>
      </c>
      <c r="DR5">
        <f>DR4*IF(OR($C4=17,$G4=17),0,1)</f>
        <v/>
      </c>
      <c r="DS5">
        <f>DS4*IF(OR($C4=18,$G4=18),0,1)</f>
        <v/>
      </c>
      <c r="DT5">
        <f>DT4*IF(OR($C4=19,$G4=19),0,1)</f>
        <v/>
      </c>
      <c r="DU5">
        <f>DU4*IF(OR($C4=20,$G4=20),0,1)</f>
        <v/>
      </c>
      <c r="DV5">
        <f>DV4*IF(OR($C4=21,$G4=21),0,1)</f>
        <v/>
      </c>
      <c r="DW5">
        <f>DW4*IF(OR($C4=22,$G4=22),0,1)</f>
        <v/>
      </c>
      <c r="DX5">
        <f>DX4*IF(OR($C4=23,$G4=23),0,1)</f>
        <v/>
      </c>
      <c r="DY5">
        <f>DY4*IF(OR($C4=24,$G4=24),0,1)</f>
        <v/>
      </c>
      <c r="DZ5">
        <f>DZ4*IF(OR($C4=25,$G4=25),0,1)</f>
        <v/>
      </c>
      <c r="EA5">
        <f>EA4*IF(OR($C4=26,$G4=26),0,1)</f>
        <v/>
      </c>
      <c r="EB5">
        <f>EB4*IF(OR($C4=27,$G4=27),0,1)</f>
        <v/>
      </c>
      <c r="EC5">
        <f>EC4*IF(OR($C4=28,$G4=28),0,1)</f>
        <v/>
      </c>
      <c r="ED5">
        <f>ED4*IF(OR($C4=29,$G4=29),0,1)</f>
        <v/>
      </c>
      <c r="EE5">
        <f>EE4*IF(OR($C4=30,$G4=30),0,1)</f>
        <v/>
      </c>
      <c r="EF5">
        <f>EF4*IF(OR($C4=31,$G4=31),0,1)</f>
        <v/>
      </c>
      <c r="EG5">
        <f>EG4*IF(OR($C4=32,$G4=32),0,1)</f>
        <v/>
      </c>
      <c r="EH5">
        <f>EH4*IF(OR($C4=33,$G4=33),0,1)</f>
        <v/>
      </c>
      <c r="EI5">
        <f>EI4*IF(OR($C4=34,$G4=34),0,1)</f>
        <v/>
      </c>
      <c r="EJ5">
        <f>EJ4*IF(OR($C4=35,$G4=35),0,1)</f>
        <v/>
      </c>
      <c r="EK5">
        <f>EK4*IF(OR($C4=36,$G4=36),0,1)</f>
        <v/>
      </c>
      <c r="EL5">
        <f>EL4*IF(OR($C4=37,$G4=37),0,1)</f>
        <v/>
      </c>
      <c r="EM5">
        <f>EM4*IF(OR($C4=38,$G4=38),0,1)</f>
        <v/>
      </c>
      <c r="EN5">
        <f>EN4*IF(OR($C4=39,$G4=39),0,1)</f>
        <v/>
      </c>
      <c r="EO5">
        <f>EO4*IF(OR($C4=40,$G4=40),0,1)</f>
        <v/>
      </c>
      <c r="EP5">
        <f>EP4*IF(OR($C4=41,$G4=41),0,1)</f>
        <v/>
      </c>
      <c r="EQ5">
        <f>EQ4*IF(OR($C4=42,$G4=42),0,1)</f>
        <v/>
      </c>
      <c r="ER5">
        <f>ER4*IF(OR($C4=43,$G4=43),0,1)</f>
        <v/>
      </c>
      <c r="ES5">
        <f>ES4*IF(OR($C4=44,$G4=44),0,1)</f>
        <v/>
      </c>
      <c r="ET5">
        <f>ET4*IF(OR($C4=45,$G4=45),0,1)</f>
        <v/>
      </c>
      <c r="EU5">
        <f>EU4*IF(OR($C4=46,$G4=46),0,1)</f>
        <v/>
      </c>
      <c r="EV5">
        <f>EV4*IF(OR($C4=47,$G4=47),0,1)</f>
        <v/>
      </c>
      <c r="EW5">
        <f>EW4*IF(OR($C4=48,$G4=48),0,1)</f>
        <v/>
      </c>
      <c r="EX5">
        <f>EX4*IF(OR($C4=49,$G4=49),0,1)</f>
        <v/>
      </c>
      <c r="EY5">
        <f>EY4*IF(OR($C4=50,$G4=50),0,1)</f>
        <v/>
      </c>
      <c r="EZ5">
        <f>EZ4*IF(OR($C4=51,$G4=51),0,1)</f>
        <v/>
      </c>
      <c r="FA5">
        <f>FA4*IF(OR($C4=52,$G4=52),0,1)</f>
        <v/>
      </c>
      <c r="FB5">
        <f>FB4*IF(OR($C4=53,$G4=53),0,1)</f>
        <v/>
      </c>
      <c r="FC5">
        <f>FC4*IF(OR($C4=54,$G4=54),0,1)</f>
        <v/>
      </c>
      <c r="FD5">
        <f>FD4*IF(OR($C4=55,$G4=55),0,1)</f>
        <v/>
      </c>
      <c r="FE5">
        <f>FE4*IF(OR($C4=56,$G4=56),0,1)</f>
        <v/>
      </c>
      <c r="FF5">
        <f>FF4*IF(OR($C4=57,$G4=57),0,1)</f>
        <v/>
      </c>
      <c r="FG5">
        <f>FG4*IF(OR($C4=58,$G4=58),0,1)</f>
        <v/>
      </c>
      <c r="FH5">
        <f>FH4*IF(OR($C4=59,$G4=59),0,1)</f>
        <v/>
      </c>
      <c r="FI5">
        <f>FI4*IF(OR($C4=60,$G4=60),0,1)</f>
        <v/>
      </c>
      <c r="FJ5">
        <f>FJ4*IF(OR($C4=61,$G4=61),0,1)</f>
        <v/>
      </c>
      <c r="FK5">
        <f>FK4*IF(OR($C4=62,$G4=62),0,1)</f>
        <v/>
      </c>
      <c r="FL5">
        <f>FL4*IF(OR($C4=63,$G4=63),0,1)</f>
        <v/>
      </c>
      <c r="FM5">
        <f>FM4*IF(OR($C4=64,$G4=64),0,1)</f>
        <v/>
      </c>
      <c r="FN5">
        <f>FN4*IF(OR($C4=65,$G4=65),0,1)</f>
        <v/>
      </c>
      <c r="FO5">
        <f>FO4*IF(OR($C4=66,$G4=66),0,1)</f>
        <v/>
      </c>
      <c r="FP5">
        <f>FP4*IF(OR($C4=67,$G4=67),0,1)</f>
        <v/>
      </c>
      <c r="FQ5">
        <f>FQ4*IF(OR($C4=68,$G4=68),0,1)</f>
        <v/>
      </c>
      <c r="FR5">
        <f>FR4*IF(OR($C4=69,$G4=69),0,1)</f>
        <v/>
      </c>
      <c r="FS5">
        <f>FS4*IF(OR($C4=70,$G4=70),0,1)</f>
        <v/>
      </c>
      <c r="FT5">
        <f>FT4*IF(OR($C4=71,$G4=71),0,1)</f>
        <v/>
      </c>
      <c r="FU5">
        <f>FU4*IF(OR($C4=72,$G4=72),0,1)</f>
        <v/>
      </c>
      <c r="FV5">
        <f>FV4*IF(OR($C4=73,$G4=73),0,1)</f>
        <v/>
      </c>
      <c r="FW5">
        <f>FW4*IF(OR($C4=74,$G4=74),0,1)</f>
        <v/>
      </c>
      <c r="FX5">
        <f>FX4*IF(OR($C4=75,$G4=75),0,1)</f>
        <v/>
      </c>
      <c r="FY5">
        <f>FY4*IF(OR($C4=76,$G4=76),0,1)</f>
        <v/>
      </c>
      <c r="FZ5">
        <f>FZ4*IF(OR($C4=77,$G4=77),0,1)</f>
        <v/>
      </c>
      <c r="GA5">
        <f>GA4*IF(OR($C4=78,$G4=78),0,1)</f>
        <v/>
      </c>
      <c r="GB5">
        <f>GB4*IF(OR($C4=79,$G4=79),0,1)</f>
        <v/>
      </c>
      <c r="GC5">
        <f>GC4*IF(OR($C4=80,$G4=80),0,1)</f>
        <v/>
      </c>
      <c r="GD5">
        <f>GD4*IF(OR($C4=81,$G4=81),0,1)</f>
        <v/>
      </c>
      <c r="GE5">
        <f>GE4*IF(OR($C4=82,$G4=82),0,1)</f>
        <v/>
      </c>
      <c r="GF5">
        <f>GF4*IF(OR($C4=83,$G4=83),0,1)</f>
        <v/>
      </c>
      <c r="GG5">
        <f>GG4*IF(OR($C4=84,$G4=84),0,1)</f>
        <v/>
      </c>
      <c r="GH5">
        <f>GH4*IF(OR($C4=85,$G4=85),0,1)</f>
        <v/>
      </c>
      <c r="GI5">
        <f>GI4*IF(OR($C4=86,$G4=86),0,1)</f>
        <v/>
      </c>
      <c r="GJ5">
        <f>GJ4*IF(OR($C4=87,$G4=87),0,1)</f>
        <v/>
      </c>
      <c r="GK5">
        <f>GK4*IF(OR($C4=88,$G4=88),0,1)</f>
        <v/>
      </c>
      <c r="GL5">
        <f>GL4*IF(OR($C4=89,$G4=89),0,1)</f>
        <v/>
      </c>
      <c r="GM5">
        <f>GM4*IF(OR($C4=90,$G4=90),0,1)</f>
        <v/>
      </c>
      <c r="GN5">
        <f>GN4*IF(OR($C4=91,$G4=91),0,1)</f>
        <v/>
      </c>
      <c r="GO5">
        <f>GO4*IF(OR($C4=92,$G4=92),0,1)</f>
        <v/>
      </c>
      <c r="GP5">
        <f>GP4*IF(OR($C4=93,$G4=93),0,1)</f>
        <v/>
      </c>
      <c r="GQ5">
        <f>GQ4*IF(OR($C4=94,$G4=94),0,1)</f>
        <v/>
      </c>
      <c r="GR5">
        <f>GR4*IF(OR($C4=95,$G4=95),0,1)</f>
        <v/>
      </c>
      <c r="GS5">
        <f>GS4*IF(OR($C4=96,$G4=96),0,1)</f>
        <v/>
      </c>
      <c r="GT5">
        <f>GT4*IF(OR($C4=97,$G4=97),0,1)</f>
        <v/>
      </c>
      <c r="GU5">
        <f>GU4*IF(OR($C4=98,$G4=98),0,1)</f>
        <v/>
      </c>
      <c r="GV5">
        <f>GV4*IF(OR($C4=99,$G4=99),0,1)</f>
        <v/>
      </c>
      <c r="GW5">
        <f>GW4*IF(OR($C4=100,$G4=100),0,1)</f>
        <v/>
      </c>
      <c r="GX5">
        <f>GX4*IF(OR($C4=101,$G4=101),0,1)</f>
        <v/>
      </c>
      <c r="GY5">
        <f>GY4*IF(OR($C4=102,$G4=102),0,1)</f>
        <v/>
      </c>
      <c r="GZ5">
        <f>GZ4*IF(OR($C4=103,$G4=103),0,1)</f>
        <v/>
      </c>
      <c r="HA5">
        <f>HA4*IF(OR($C4=104,$G4=104),0,1)</f>
        <v/>
      </c>
      <c r="HB5">
        <f>HB4*IF(OR($C4=105,$G4=105),0,1)</f>
        <v/>
      </c>
      <c r="HC5">
        <f>HC4*IF(OR($C4=106,$G4=106),0,1)</f>
        <v/>
      </c>
      <c r="HD5">
        <f>HD4*IF(OR($C4=107,$G4=107),0,1)</f>
        <v/>
      </c>
      <c r="HE5">
        <f>HE4*IF(OR($C4=108,$G4=108),0,1)</f>
        <v/>
      </c>
      <c r="HF5">
        <f>HF4*IF(OR($C4=109,$G4=109),0,1)</f>
        <v/>
      </c>
      <c r="HG5">
        <f>HG4*IF(OR($C4=110,$G4=110),0,1)</f>
        <v/>
      </c>
      <c r="HH5">
        <f>HH4*IF(OR($C4=111,$G4=111),0,1)</f>
        <v/>
      </c>
      <c r="HI5">
        <f>HI4*IF(OR($C4=112,$G4=112),0,1)</f>
        <v/>
      </c>
      <c r="HJ5">
        <f>HJ4*IF(OR($C4=113,$G4=113),0,1)</f>
        <v/>
      </c>
      <c r="HK5">
        <f>HK4*IF(OR($C4=114,$G4=114),0,1)</f>
        <v/>
      </c>
      <c r="HL5">
        <f>HL4*IF(OR($C4=115,$G4=115),0,1)</f>
        <v/>
      </c>
      <c r="HM5">
        <f>HM4*IF(OR($C4=116,$G4=116),0,1)</f>
        <v/>
      </c>
      <c r="HN5">
        <f>HN4*IF(OR($C4=117,$G4=117),0,1)</f>
        <v/>
      </c>
      <c r="HO5">
        <f>HO4*IF(OR($C4=118,$G4=118),0,1)</f>
        <v/>
      </c>
      <c r="HP5">
        <f>HP4*IF(OR($C4=119,$G4=119),0,1)</f>
        <v/>
      </c>
      <c r="HQ5">
        <f>HQ4*IF(OR($C4=120,$G4=120),0,1)</f>
        <v/>
      </c>
      <c r="HR5">
        <f>HR4*IF(OR($C4=121,$G4=121),0,1)</f>
        <v/>
      </c>
      <c r="HS5">
        <f>HS4*IF(OR($C4=122,$G4=122),0,1)</f>
        <v/>
      </c>
      <c r="HT5">
        <f>HT4*IF(OR($C4=123,$G4=123),0,1)</f>
        <v/>
      </c>
      <c r="HU5">
        <f>HU4*IF(OR($C4=124,$G4=124),0,1)</f>
        <v/>
      </c>
      <c r="HV5">
        <f>HV4*IF(OR($C4=125,$G4=125),0,1)</f>
        <v/>
      </c>
      <c r="HW5">
        <f>HW4*IF(OR($C4=126,$G4=126),0,1)</f>
        <v/>
      </c>
      <c r="HX5">
        <f>HX4*IF(OR($C4=127,$G4=127),0,1)</f>
        <v/>
      </c>
      <c r="HY5">
        <f>HY4*IF(OR($C4=128,$G4=128),0,1)</f>
        <v/>
      </c>
      <c r="HZ5">
        <f>HZ4*IF(OR($C4=129,$G4=129),0,1)</f>
        <v/>
      </c>
      <c r="IA5">
        <f>IA4*IF(OR($C4=130,$G4=130),0,1)</f>
        <v/>
      </c>
      <c r="IB5">
        <f>IB4*IF(OR($C4=131,$G4=131),0,1)</f>
        <v/>
      </c>
      <c r="IC5">
        <f>IC4*IF(OR($C4=132,$G4=132),0,1)</f>
        <v/>
      </c>
      <c r="ID5">
        <f>ID4*IF(OR($C4=133,$G4=133),0,1)</f>
        <v/>
      </c>
      <c r="IE5">
        <f>IE4*IF(OR($C4=134,$G4=134),0,1)</f>
        <v/>
      </c>
      <c r="IF5">
        <f>IF4*IF(OR($C4=135,$G4=135),0,1)</f>
        <v/>
      </c>
      <c r="IG5">
        <f>IG4*IF(OR($C4=136,$G4=136),0,1)</f>
        <v/>
      </c>
      <c r="IH5">
        <f>IH4*IF(OR($C4=137,$G4=137),0,1)</f>
        <v/>
      </c>
      <c r="II5">
        <f>II4*IF(OR($C4=138,$G4=138),0,1)</f>
        <v/>
      </c>
      <c r="IJ5">
        <f>IJ4*IF(OR($C4=139,$G4=139),0,1)</f>
        <v/>
      </c>
      <c r="IK5">
        <f>IK4*IF(OR($C4=140,$G4=140),0,1)</f>
        <v/>
      </c>
      <c r="IL5">
        <f>IL4*IF(OR($C4=141,$G4=141),0,1)</f>
        <v/>
      </c>
      <c r="IM5">
        <f>IM4*IF(OR($C4=142,$G4=142),0,1)</f>
        <v/>
      </c>
      <c r="IN5">
        <f>IN4*IF(OR($C4=143,$G4=143),0,1)</f>
        <v/>
      </c>
      <c r="IO5">
        <f>IO4*IF(OR($C4=144,$G4=144),0,1)</f>
        <v/>
      </c>
      <c r="IQ5">
        <f>IF('calcA'!D$106=1,DC5,1)</f>
        <v/>
      </c>
      <c r="IR5">
        <f>IF('calcA'!E$106=1,DD5,1)</f>
        <v/>
      </c>
      <c r="IS5">
        <f>IF('calcA'!F$106=1,DE5,1)</f>
        <v/>
      </c>
      <c r="IT5">
        <f>IF('calcA'!G$106=1,DF5,1)</f>
        <v/>
      </c>
      <c r="IU5">
        <f>IF('calcA'!H$106=1,DG5,1)</f>
        <v/>
      </c>
      <c r="IV5">
        <f>IF('calcA'!I$106=1,DH5,1)</f>
        <v/>
      </c>
      <c r="IW5">
        <f>IF('calcA'!J$106=1,DI5,1)</f>
        <v/>
      </c>
      <c r="IX5">
        <f>IF('calcA'!K$106=1,DJ5,1)</f>
        <v/>
      </c>
      <c r="IY5">
        <f>IF('calcA'!L$106=1,DK5,1)</f>
        <v/>
      </c>
      <c r="IZ5">
        <f>IF('calcA'!M$106=1,DL5,1)</f>
        <v/>
      </c>
      <c r="JA5">
        <f>IF('calcA'!N$106=1,DM5,1)</f>
        <v/>
      </c>
      <c r="JB5">
        <f>IF('calcA'!O$106=1,DN5,1)</f>
        <v/>
      </c>
      <c r="JC5">
        <f>IF('calcA'!P$106=1,DO5,1)</f>
        <v/>
      </c>
      <c r="JD5">
        <f>IF('calcA'!Q$106=1,DP5,1)</f>
        <v/>
      </c>
      <c r="JE5">
        <f>IF('calcA'!R$106=1,DQ5,1)</f>
        <v/>
      </c>
      <c r="JF5">
        <f>IF('calcA'!S$106=1,DR5,1)</f>
        <v/>
      </c>
      <c r="JG5">
        <f>IF('calcA'!T$106=1,DS5,1)</f>
        <v/>
      </c>
      <c r="JH5">
        <f>IF('calcA'!U$106=1,DT5,1)</f>
        <v/>
      </c>
      <c r="JI5">
        <f>IF('calcA'!V$106=1,DU5,1)</f>
        <v/>
      </c>
      <c r="JJ5">
        <f>IF('calcA'!W$106=1,DV5,1)</f>
        <v/>
      </c>
      <c r="JK5">
        <f>IF('calcA'!X$106=1,DW5,1)</f>
        <v/>
      </c>
      <c r="JL5">
        <f>IF('calcA'!Y$106=1,DX5,1)</f>
        <v/>
      </c>
      <c r="JM5">
        <f>IF('calcA'!Z$106=1,DY5,1)</f>
        <v/>
      </c>
      <c r="JN5">
        <f>IF('calcA'!AA$106=1,DZ5,1)</f>
        <v/>
      </c>
      <c r="JO5">
        <f>IF('calcA'!AB$106=1,EA5,1)</f>
        <v/>
      </c>
      <c r="JP5">
        <f>IF('calcA'!AC$106=1,EB5,1)</f>
        <v/>
      </c>
      <c r="JQ5">
        <f>IF('calcA'!AD$106=1,EC5,1)</f>
        <v/>
      </c>
      <c r="JR5">
        <f>IF('calcA'!AE$106=1,ED5,1)</f>
        <v/>
      </c>
      <c r="JS5">
        <f>IF('calcA'!AF$106=1,EE5,1)</f>
        <v/>
      </c>
      <c r="JT5">
        <f>IF('calcA'!AG$106=1,EF5,1)</f>
        <v/>
      </c>
      <c r="JU5">
        <f>IF('calcA'!AH$106=1,EG5,1)</f>
        <v/>
      </c>
      <c r="JV5">
        <f>IF('calcA'!AI$106=1,EH5,1)</f>
        <v/>
      </c>
      <c r="JW5">
        <f>IF('calcA'!AJ$106=1,EI5,1)</f>
        <v/>
      </c>
      <c r="JX5">
        <f>IF('calcA'!AK$106=1,EJ5,1)</f>
        <v/>
      </c>
      <c r="JY5">
        <f>IF('calcA'!AL$106=1,EK5,1)</f>
        <v/>
      </c>
      <c r="JZ5">
        <f>IF('calcA'!AM$106=1,EL5,1)</f>
        <v/>
      </c>
      <c r="KA5">
        <f>IF('calcA'!AN$106=1,EM5,1)</f>
        <v/>
      </c>
      <c r="KB5">
        <f>IF('calcA'!AO$106=1,EN5,1)</f>
        <v/>
      </c>
      <c r="KC5">
        <f>IF('calcA'!AP$106=1,EO5,1)</f>
        <v/>
      </c>
      <c r="KD5">
        <f>IF('calcA'!AQ$106=1,EP5,1)</f>
        <v/>
      </c>
      <c r="KE5">
        <f>IF('calcA'!AR$106=1,EQ5,1)</f>
        <v/>
      </c>
      <c r="KF5">
        <f>IF('calcA'!AS$106=1,ER5,1)</f>
        <v/>
      </c>
      <c r="KG5">
        <f>IF('calcA'!AT$106=1,ES5,1)</f>
        <v/>
      </c>
      <c r="KH5">
        <f>IF('calcA'!AU$106=1,ET5,1)</f>
        <v/>
      </c>
      <c r="KI5">
        <f>IF('calcA'!AV$106=1,EU5,1)</f>
        <v/>
      </c>
      <c r="KJ5">
        <f>IF('calcA'!AW$106=1,EV5,1)</f>
        <v/>
      </c>
      <c r="KK5">
        <f>IF('calcA'!AX$106=1,EW5,1)</f>
        <v/>
      </c>
      <c r="KL5">
        <f>IF('calcA'!AY$106=1,EX5,1)</f>
        <v/>
      </c>
      <c r="KM5">
        <f>IF('calcA'!AZ$106=1,EY5,1)</f>
        <v/>
      </c>
      <c r="KN5">
        <f>IF('calcA'!BA$106=1,EZ5,1)</f>
        <v/>
      </c>
      <c r="KO5">
        <f>IF('calcA'!BB$106=1,FA5,1)</f>
        <v/>
      </c>
      <c r="KP5">
        <f>IF('calcA'!BC$106=1,FB5,1)</f>
        <v/>
      </c>
      <c r="KQ5">
        <f>IF('calcA'!BD$106=1,FC5,1)</f>
        <v/>
      </c>
      <c r="KR5">
        <f>IF('calcA'!BE$106=1,FD5,1)</f>
        <v/>
      </c>
      <c r="KS5">
        <f>IF('calcA'!BF$106=1,FE5,1)</f>
        <v/>
      </c>
      <c r="KT5">
        <f>IF('calcA'!BG$106=1,FF5,1)</f>
        <v/>
      </c>
      <c r="KU5">
        <f>IF('calcA'!BH$106=1,FG5,1)</f>
        <v/>
      </c>
      <c r="KV5">
        <f>IF('calcA'!BI$106=1,FH5,1)</f>
        <v/>
      </c>
      <c r="KW5">
        <f>IF('calcA'!BJ$106=1,FI5,1)</f>
        <v/>
      </c>
      <c r="KX5">
        <f>IF('calcA'!BK$106=1,FJ5,1)</f>
        <v/>
      </c>
      <c r="KY5">
        <f>IF('calcA'!BL$106=1,FK5,1)</f>
        <v/>
      </c>
      <c r="KZ5">
        <f>IF('calcA'!BM$106=1,FL5,1)</f>
        <v/>
      </c>
      <c r="LA5">
        <f>IF('calcA'!BN$106=1,FM5,1)</f>
        <v/>
      </c>
      <c r="LB5">
        <f>IF('calcA'!BO$106=1,FN5,1)</f>
        <v/>
      </c>
      <c r="LC5">
        <f>IF('calcA'!BP$106=1,FO5,1)</f>
        <v/>
      </c>
      <c r="LD5">
        <f>IF('calcA'!BQ$106=1,FP5,1)</f>
        <v/>
      </c>
      <c r="LE5">
        <f>IF('calcA'!BR$106=1,FQ5,1)</f>
        <v/>
      </c>
      <c r="LF5">
        <f>IF('calcA'!BS$106=1,FR5,1)</f>
        <v/>
      </c>
      <c r="LG5">
        <f>IF('calcA'!BT$106=1,FS5,1)</f>
        <v/>
      </c>
      <c r="LH5">
        <f>IF('calcA'!BU$106=1,FT5,1)</f>
        <v/>
      </c>
      <c r="LI5">
        <f>IF('calcA'!BV$106=1,FU5,1)</f>
        <v/>
      </c>
      <c r="LJ5">
        <f>IF('calcA'!BW$106=1,FV5,1)</f>
        <v/>
      </c>
      <c r="LK5">
        <f>IF('calcA'!BX$106=1,FW5,1)</f>
        <v/>
      </c>
      <c r="LL5">
        <f>IF('calcA'!BY$106=1,FX5,1)</f>
        <v/>
      </c>
      <c r="LM5">
        <f>IF('calcA'!BZ$106=1,FY5,1)</f>
        <v/>
      </c>
      <c r="LN5">
        <f>IF('calcA'!CA$106=1,FZ5,1)</f>
        <v/>
      </c>
      <c r="LO5">
        <f>IF('calcA'!CB$106=1,GA5,1)</f>
        <v/>
      </c>
      <c r="LP5">
        <f>IF('calcA'!CC$106=1,GB5,1)</f>
        <v/>
      </c>
      <c r="LQ5">
        <f>IF('calcA'!CD$106=1,GC5,1)</f>
        <v/>
      </c>
      <c r="LR5">
        <f>IF('calcA'!CE$106=1,GD5,1)</f>
        <v/>
      </c>
      <c r="LS5">
        <f>IF('calcA'!CF$106=1,GE5,1)</f>
        <v/>
      </c>
      <c r="LT5">
        <f>IF('calcA'!CG$106=1,GF5,1)</f>
        <v/>
      </c>
      <c r="LU5">
        <f>IF('calcA'!CH$106=1,GG5,1)</f>
        <v/>
      </c>
      <c r="LV5">
        <f>IF('calcA'!CI$106=1,GH5,1)</f>
        <v/>
      </c>
      <c r="LW5">
        <f>IF('calcA'!CJ$106=1,GI5,1)</f>
        <v/>
      </c>
      <c r="LX5">
        <f>IF('calcA'!CK$106=1,GJ5,1)</f>
        <v/>
      </c>
      <c r="LY5">
        <f>IF('calcA'!CL$106=1,GK5,1)</f>
        <v/>
      </c>
      <c r="LZ5">
        <f>IF('calcA'!CM$106=1,GL5,1)</f>
        <v/>
      </c>
      <c r="MA5">
        <f>IF('calcA'!CN$106=1,GM5,1)</f>
        <v/>
      </c>
      <c r="MB5">
        <f>IF('calcA'!CO$106=1,GN5,1)</f>
        <v/>
      </c>
      <c r="MC5">
        <f>IF('calcA'!CP$106=1,GO5,1)</f>
        <v/>
      </c>
      <c r="MD5">
        <f>IF('calcA'!CQ$106=1,GP5,1)</f>
        <v/>
      </c>
      <c r="ME5">
        <f>IF('calcA'!CR$106=1,GQ5,1)</f>
        <v/>
      </c>
      <c r="MF5">
        <f>IF('calcA'!CS$106=1,GR5,1)</f>
        <v/>
      </c>
      <c r="MG5">
        <f>IF('calcA'!CT$106=1,GS5,1)</f>
        <v/>
      </c>
      <c r="MH5">
        <f>IF('calcA'!CU$106=1,GT5,1)</f>
        <v/>
      </c>
      <c r="MI5">
        <f>IF('calcA'!CV$106=1,GU5,1)</f>
        <v/>
      </c>
      <c r="MJ5">
        <f>IF('calcA'!CW$106=1,GV5,1)</f>
        <v/>
      </c>
      <c r="MK5">
        <f>IF('calcA'!CX$106=1,GW5,1)</f>
        <v/>
      </c>
      <c r="ML5">
        <f>IF('calcA'!CY$106=1,GX5,1)</f>
        <v/>
      </c>
      <c r="MM5">
        <f>IF('calcA'!CZ$106=1,GY5,1)</f>
        <v/>
      </c>
      <c r="MN5">
        <f>IF('calcA'!DA$106=1,GZ5,1)</f>
        <v/>
      </c>
      <c r="MO5">
        <f>IF('calcA'!DB$106=1,HA5,1)</f>
        <v/>
      </c>
      <c r="MP5">
        <f>IF('calcA'!DC$106=1,HB5,1)</f>
        <v/>
      </c>
      <c r="MQ5">
        <f>IF('calcA'!DD$106=1,HC5,1)</f>
        <v/>
      </c>
      <c r="MR5">
        <f>IF('calcA'!DE$106=1,HD5,1)</f>
        <v/>
      </c>
      <c r="MS5">
        <f>IF('calcA'!DF$106=1,HE5,1)</f>
        <v/>
      </c>
      <c r="MT5">
        <f>IF('calcA'!DG$106=1,HF5,1)</f>
        <v/>
      </c>
      <c r="MU5">
        <f>IF('calcA'!DH$106=1,HG5,1)</f>
        <v/>
      </c>
      <c r="MV5">
        <f>IF('calcA'!DI$106=1,HH5,1)</f>
        <v/>
      </c>
      <c r="MW5">
        <f>IF('calcA'!DJ$106=1,HI5,1)</f>
        <v/>
      </c>
      <c r="MX5">
        <f>IF('calcA'!DK$106=1,HJ5,1)</f>
        <v/>
      </c>
      <c r="MY5">
        <f>IF('calcA'!DL$106=1,HK5,1)</f>
        <v/>
      </c>
      <c r="MZ5">
        <f>IF('calcA'!DM$106=1,HL5,1)</f>
        <v/>
      </c>
      <c r="NA5">
        <f>IF('calcA'!DN$106=1,HM5,1)</f>
        <v/>
      </c>
      <c r="NB5">
        <f>IF('calcA'!DO$106=1,HN5,1)</f>
        <v/>
      </c>
      <c r="NC5">
        <f>IF('calcA'!DP$106=1,HO5,1)</f>
        <v/>
      </c>
      <c r="ND5">
        <f>IF('calcA'!DQ$106=1,HP5,1)</f>
        <v/>
      </c>
      <c r="NE5">
        <f>IF('calcA'!DR$106=1,HQ5,1)</f>
        <v/>
      </c>
      <c r="NF5">
        <f>IF('calcA'!DS$106=1,HR5,1)</f>
        <v/>
      </c>
      <c r="NG5">
        <f>IF('calcA'!DT$106=1,HS5,1)</f>
        <v/>
      </c>
      <c r="NH5">
        <f>IF('calcA'!DU$106=1,HT5,1)</f>
        <v/>
      </c>
      <c r="NI5">
        <f>IF('calcA'!DV$106=1,HU5,1)</f>
        <v/>
      </c>
      <c r="NJ5">
        <f>IF('calcA'!DW$106=1,HV5,1)</f>
        <v/>
      </c>
      <c r="NK5">
        <f>IF('calcA'!DX$106=1,HW5,1)</f>
        <v/>
      </c>
      <c r="NL5">
        <f>IF('calcA'!DY$106=1,HX5,1)</f>
        <v/>
      </c>
      <c r="NM5">
        <f>IF('calcA'!DZ$106=1,HY5,1)</f>
        <v/>
      </c>
      <c r="NN5">
        <f>IF('calcA'!EA$106=1,HZ5,1)</f>
        <v/>
      </c>
      <c r="NO5">
        <f>IF('calcA'!EB$106=1,IA5,1)</f>
        <v/>
      </c>
      <c r="NP5">
        <f>IF('calcA'!EC$106=1,IB5,1)</f>
        <v/>
      </c>
      <c r="NQ5">
        <f>IF('calcA'!ED$106=1,IC5,1)</f>
        <v/>
      </c>
      <c r="NR5">
        <f>IF('calcA'!EE$106=1,ID5,1)</f>
        <v/>
      </c>
      <c r="NS5">
        <f>IF('calcA'!EF$106=1,IE5,1)</f>
        <v/>
      </c>
      <c r="NT5">
        <f>IF('calcA'!EG$106=1,IF5,1)</f>
        <v/>
      </c>
      <c r="NU5">
        <f>IF('calcA'!EH$106=1,IG5,1)</f>
        <v/>
      </c>
      <c r="NV5">
        <f>IF('calcA'!EI$106=1,IH5,1)</f>
        <v/>
      </c>
      <c r="NW5">
        <f>IF('calcA'!EJ$106=1,II5,1)</f>
        <v/>
      </c>
      <c r="NX5">
        <f>IF('calcA'!EK$106=1,IJ5,1)</f>
        <v/>
      </c>
      <c r="NY5">
        <f>IF('calcA'!EL$106=1,IK5,1)</f>
        <v/>
      </c>
      <c r="NZ5">
        <f>IF('calcA'!EM$106=1,IL5,1)</f>
        <v/>
      </c>
      <c r="OA5">
        <f>IF('calcA'!EN$106=1,IM5,1)</f>
        <v/>
      </c>
      <c r="OB5">
        <f>IF('calcA'!EO$106=1,IN5,1)</f>
        <v/>
      </c>
      <c r="OC5">
        <f>IF('calcA'!EP$106=1,IO5,1)</f>
        <v/>
      </c>
      <c r="OD5" t="n">
        <v>1</v>
      </c>
      <c r="OF5">
        <f>IF($B5=0,1000000000,IF(INDEX('calcA'!$D$60:$EQ$99,$B5,1)*IF($W5=1,DB5+ZQ5,DB5)=1,IF(AND($E5=2,IF($W5=1,AFF5,IQ5)=0),1000000000,IF($V5=1,INDEX('calcA'!$D$130:$EQ$169,$B5,1)+IF(AND($E5=1,IQ5=0),25,0),INDEX('calcA'!D$110:D$114,$F5+1)+IF(AND($E5=1,IQ5=0),1000,0)+IF($H5=1,INDEX('calcA'!$D$180:$EQ$219,$B5,1)*500,0)-IF(AND($U5=1,'calcA'!D$117=1,DC5=0),300,0))),1000000000))</f>
        <v/>
      </c>
      <c r="OG5">
        <f>IF($B5=0,1000000000,IF(INDEX('calcA'!$D$60:$EQ$99,$B5,2)*IF($W5=1,DC5+ZR5,DC5)=1,IF(AND($E5=2,IF($W5=1,AFG5,IR5)=0),1000000000,IF($V5=1,INDEX('calcA'!$D$130:$EQ$169,$B5,2)+IF(AND($E5=1,IR5=0),25,0),INDEX('calcA'!E$110:E$114,$F5+1)+IF(AND($E5=1,IR5=0),1000,0)+IF($H5=1,INDEX('calcA'!$D$180:$EQ$219,$B5,2)*500,0)-IF(AND('calcA'!D$117=1,UB5&gt;0),300,0)-IF(AND($U5=1,'calcA'!E$117=1,DD5=0),300,0))),1000000000))</f>
        <v/>
      </c>
      <c r="OH5">
        <f>IF($B5=0,1000000000,IF(INDEX('calcA'!$D$60:$EQ$99,$B5,3)*IF($W5=1,DD5+ZS5,DD5)=1,IF(AND($E5=2,IF($W5=1,AFH5,IS5)=0),1000000000,IF($V5=1,INDEX('calcA'!$D$130:$EQ$169,$B5,3)+IF(AND($E5=1,IS5=0),25,0),INDEX('calcA'!F$110:F$114,$F5+1)+IF(AND($E5=1,IS5=0),1000,0)+IF($H5=1,INDEX('calcA'!$D$180:$EQ$219,$B5,3)*500,0)-IF(AND('calcA'!E$117=1,UC5&gt;0),300,0)-IF(AND($U5=1,'calcA'!F$117=1,DE5=0),300,0))),1000000000))</f>
        <v/>
      </c>
      <c r="OI5">
        <f>IF($B5=0,1000000000,IF(INDEX('calcA'!$D$60:$EQ$99,$B5,4)*IF($W5=1,DE5+ZT5,DE5)=1,IF(AND($E5=2,IF($W5=1,AFI5,IT5)=0),1000000000,IF($V5=1,INDEX('calcA'!$D$130:$EQ$169,$B5,4)+IF(AND($E5=1,IT5=0),25,0),INDEX('calcA'!G$110:G$114,$F5+1)+IF(AND($E5=1,IT5=0),1000,0)+IF($H5=1,INDEX('calcA'!$D$180:$EQ$219,$B5,4)*500,0)-IF(AND('calcA'!F$117=1,UD5&gt;0),300,0)-IF(AND($U5=1,'calcA'!G$117=1,DF5=0),300,0))),1000000000))</f>
        <v/>
      </c>
      <c r="OJ5">
        <f>IF($B5=0,1000000000,IF(INDEX('calcA'!$D$60:$EQ$99,$B5,5)*IF($W5=1,DF5+ZU5,DF5)=1,IF(AND($E5=2,IF($W5=1,AFJ5,IU5)=0),1000000000,IF($V5=1,INDEX('calcA'!$D$130:$EQ$169,$B5,5)+IF(AND($E5=1,IU5=0),25,0),INDEX('calcA'!H$110:H$114,$F5+1)+IF(AND($E5=1,IU5=0),1000,0)+IF($H5=1,INDEX('calcA'!$D$180:$EQ$219,$B5,5)*500,0)-IF(AND('calcA'!G$117=1,UE5&gt;0),300,0)-IF(AND($U5=1,'calcA'!H$117=1,DG5=0),300,0))),1000000000))</f>
        <v/>
      </c>
      <c r="OK5">
        <f>IF($B5=0,1000000000,IF(INDEX('calcA'!$D$60:$EQ$99,$B5,6)*IF($W5=1,DG5+ZV5,DG5)=1,IF(AND($E5=2,IF($W5=1,AFK5,IV5)=0),1000000000,IF($V5=1,INDEX('calcA'!$D$130:$EQ$169,$B5,6)+IF(AND($E5=1,IV5=0),25,0),INDEX('calcA'!I$110:I$114,$F5+1)+IF(AND($E5=1,IV5=0),1000,0)+IF($H5=1,INDEX('calcA'!$D$180:$EQ$219,$B5,6)*500,0)-IF(AND('calcA'!H$117=1,UF5&gt;0),300,0)-IF(AND($U5=1,'calcA'!I$117=1,DH5=0),300,0))),1000000000))</f>
        <v/>
      </c>
      <c r="OL5">
        <f>IF($B5=0,1000000000,IF(INDEX('calcA'!$D$60:$EQ$99,$B5,7)*IF($W5=1,DH5+ZW5,DH5)=1,IF(AND($E5=2,IF($W5=1,AFL5,IW5)=0),1000000000,IF($V5=1,INDEX('calcA'!$D$130:$EQ$169,$B5,7)+IF(AND($E5=1,IW5=0),25,0),INDEX('calcA'!J$110:J$114,$F5+1)+IF(AND($E5=1,IW5=0),1000,0)+IF($H5=1,INDEX('calcA'!$D$180:$EQ$219,$B5,7)*500,0)-IF(AND('calcA'!I$117=1,UG5&gt;0),300,0)-IF(AND($U5=1,'calcA'!J$117=1,DI5=0),300,0))),1000000000))</f>
        <v/>
      </c>
      <c r="OM5">
        <f>IF($B5=0,1000000000,IF(INDEX('calcA'!$D$60:$EQ$99,$B5,8)*IF($W5=1,DI5+ZX5,DI5)=1,IF(AND($E5=2,IF($W5=1,AFM5,IX5)=0),1000000000,IF($V5=1,INDEX('calcA'!$D$130:$EQ$169,$B5,8)+IF(AND($E5=1,IX5=0),25,0),INDEX('calcA'!K$110:K$114,$F5+1)+IF(AND($E5=1,IX5=0),1000,0)+IF($H5=1,INDEX('calcA'!$D$180:$EQ$219,$B5,8)*500,0)-IF(AND('calcA'!J$117=1,UH5&gt;0),300,0)-IF(AND($U5=1,'calcA'!K$117=1,DJ5=0),300,0))),1000000000))</f>
        <v/>
      </c>
      <c r="ON5">
        <f>IF($B5=0,1000000000,IF(INDEX('calcA'!$D$60:$EQ$99,$B5,9)*IF($W5=1,DJ5+ZY5,DJ5)=1,IF(AND($E5=2,IF($W5=1,AFN5,IY5)=0),1000000000,IF($V5=1,INDEX('calcA'!$D$130:$EQ$169,$B5,9)+IF(AND($E5=1,IY5=0),25,0),INDEX('calcA'!L$110:L$114,$F5+1)+IF(AND($E5=1,IY5=0),1000,0)+IF($H5=1,INDEX('calcA'!$D$180:$EQ$219,$B5,9)*500,0)-IF(AND('calcA'!K$117=1,UI5&gt;0),300,0)-IF(AND($U5=1,'calcA'!L$117=1,DK5=0),300,0))),1000000000))</f>
        <v/>
      </c>
      <c r="OO5">
        <f>IF($B5=0,1000000000,IF(INDEX('calcA'!$D$60:$EQ$99,$B5,10)*IF($W5=1,DK5+ZZ5,DK5)=1,IF(AND($E5=2,IF($W5=1,AFO5,IZ5)=0),1000000000,IF($V5=1,INDEX('calcA'!$D$130:$EQ$169,$B5,10)+IF(AND($E5=1,IZ5=0),25,0),INDEX('calcA'!M$110:M$114,$F5+1)+IF(AND($E5=1,IZ5=0),1000,0)+IF($H5=1,INDEX('calcA'!$D$180:$EQ$219,$B5,10)*500,0)-IF(AND('calcA'!L$117=1,UJ5&gt;0),300,0)-IF(AND($U5=1,'calcA'!M$117=1,DL5=0),300,0))),1000000000))</f>
        <v/>
      </c>
      <c r="OP5">
        <f>IF($B5=0,1000000000,IF(INDEX('calcA'!$D$60:$EQ$99,$B5,11)*IF($W5=1,DL5+AAA5,DL5)=1,IF(AND($E5=2,IF($W5=1,AFP5,JA5)=0),1000000000,IF($V5=1,INDEX('calcA'!$D$130:$EQ$169,$B5,11)+IF(AND($E5=1,JA5=0),25,0),INDEX('calcA'!N$110:N$114,$F5+1)+IF(AND($E5=1,JA5=0),1000,0)+IF($H5=1,INDEX('calcA'!$D$180:$EQ$219,$B5,11)*500,0)-IF(AND('calcA'!M$117=1,UK5&gt;0),300,0)-IF(AND($U5=1,'calcA'!N$117=1,DM5=0),300,0))),1000000000))</f>
        <v/>
      </c>
      <c r="OQ5">
        <f>IF($B5=0,1000000000,IF(INDEX('calcA'!$D$60:$EQ$99,$B5,12)*IF($W5=1,DM5+AAB5,DM5)=1,IF(AND($E5=2,IF($W5=1,AFQ5,JB5)=0),1000000000,IF($V5=1,INDEX('calcA'!$D$130:$EQ$169,$B5,12)+IF(AND($E5=1,JB5=0),25,0),INDEX('calcA'!O$110:O$114,$F5+1)+IF(AND($E5=1,JB5=0),1000,0)+IF($H5=1,INDEX('calcA'!$D$180:$EQ$219,$B5,12)*500,0)-IF(AND('calcA'!N$117=1,UL5&gt;0),300,0)-IF(AND($U5=1,'calcA'!O$117=1,DN5=0),300,0))),1000000000))</f>
        <v/>
      </c>
      <c r="OR5">
        <f>IF($B5=0,1000000000,IF(INDEX('calcA'!$D$60:$EQ$99,$B5,13)*IF($W5=1,DN5+AAC5,DN5)=1,IF(AND($E5=2,IF($W5=1,AFR5,JC5)=0),1000000000,IF($V5=1,INDEX('calcA'!$D$130:$EQ$169,$B5,13)+IF(AND($E5=1,JC5=0),25,0),INDEX('calcA'!P$110:P$114,$F5+1)+IF(AND($E5=1,JC5=0),1000,0)+IF($H5=1,INDEX('calcA'!$D$180:$EQ$219,$B5,13)*500,0)-IF(AND('calcA'!O$117=1,UM5&gt;0),300,0)-IF(AND($U5=1,'calcA'!P$117=1,DO5=0),300,0))),1000000000))</f>
        <v/>
      </c>
      <c r="OS5">
        <f>IF($B5=0,1000000000,IF(INDEX('calcA'!$D$60:$EQ$99,$B5,14)*IF($W5=1,DO5+AAD5,DO5)=1,IF(AND($E5=2,IF($W5=1,AFS5,JD5)=0),1000000000,IF($V5=1,INDEX('calcA'!$D$130:$EQ$169,$B5,14)+IF(AND($E5=1,JD5=0),25,0),INDEX('calcA'!Q$110:Q$114,$F5+1)+IF(AND($E5=1,JD5=0),1000,0)+IF($H5=1,INDEX('calcA'!$D$180:$EQ$219,$B5,14)*500,0)-IF(AND('calcA'!P$117=1,UN5&gt;0),300,0)-IF(AND($U5=1,'calcA'!Q$117=1,DP5=0),300,0))),1000000000))</f>
        <v/>
      </c>
      <c r="OT5">
        <f>IF($B5=0,1000000000,IF(INDEX('calcA'!$D$60:$EQ$99,$B5,15)*IF($W5=1,DP5+AAE5,DP5)=1,IF(AND($E5=2,IF($W5=1,AFT5,JE5)=0),1000000000,IF($V5=1,INDEX('calcA'!$D$130:$EQ$169,$B5,15)+IF(AND($E5=1,JE5=0),25,0),INDEX('calcA'!R$110:R$114,$F5+1)+IF(AND($E5=1,JE5=0),1000,0)+IF($H5=1,INDEX('calcA'!$D$180:$EQ$219,$B5,15)*500,0)-IF(AND('calcA'!Q$117=1,UO5&gt;0),300,0)-IF(AND($U5=1,'calcA'!R$117=1,DQ5=0),300,0))),1000000000))</f>
        <v/>
      </c>
      <c r="OU5">
        <f>IF($B5=0,1000000000,IF(INDEX('calcA'!$D$60:$EQ$99,$B5,16)*IF($W5=1,DQ5+AAF5,DQ5)=1,IF(AND($E5=2,IF($W5=1,AFU5,JF5)=0),1000000000,IF($V5=1,INDEX('calcA'!$D$130:$EQ$169,$B5,16)+IF(AND($E5=1,JF5=0),25,0),INDEX('calcA'!S$110:S$114,$F5+1)+IF(AND($E5=1,JF5=0),1000,0)+IF($H5=1,INDEX('calcA'!$D$180:$EQ$219,$B5,16)*500,0)-IF(AND('calcA'!R$117=1,UP5&gt;0),300,0)-IF(AND($U5=1,'calcA'!S$117=1,DR5=0),300,0))),1000000000))</f>
        <v/>
      </c>
      <c r="OV5">
        <f>IF($B5=0,1000000000,IF(INDEX('calcA'!$D$60:$EQ$99,$B5,17)*IF($W5=1,DR5+AAG5,DR5)=1,IF(AND($E5=2,IF($W5=1,AFV5,JG5)=0),1000000000,IF($V5=1,INDEX('calcA'!$D$130:$EQ$169,$B5,17)+IF(AND($E5=1,JG5=0),25,0),INDEX('calcA'!T$110:T$114,$F5+1)+IF(AND($E5=1,JG5=0),1000,0)+IF($H5=1,INDEX('calcA'!$D$180:$EQ$219,$B5,17)*500,0)-IF(AND('calcA'!S$117=1,UQ5&gt;0),300,0)-IF(AND($U5=1,'calcA'!T$117=1,DS5=0),300,0))),1000000000))</f>
        <v/>
      </c>
      <c r="OW5">
        <f>IF($B5=0,1000000000,IF(INDEX('calcA'!$D$60:$EQ$99,$B5,18)*IF($W5=1,DS5+AAH5,DS5)=1,IF(AND($E5=2,IF($W5=1,AFW5,JH5)=0),1000000000,IF($V5=1,INDEX('calcA'!$D$130:$EQ$169,$B5,18)+IF(AND($E5=1,JH5=0),25,0),INDEX('calcA'!U$110:U$114,$F5+1)+IF(AND($E5=1,JH5=0),1000,0)+IF($H5=1,INDEX('calcA'!$D$180:$EQ$219,$B5,18)*500,0)-IF(AND('calcA'!T$117=1,UR5&gt;0),300,0)-IF(AND($U5=1,'calcA'!U$117=1,DT5=0),300,0))),1000000000))</f>
        <v/>
      </c>
      <c r="OX5">
        <f>IF($B5=0,1000000000,IF(INDEX('calcA'!$D$60:$EQ$99,$B5,19)*IF($W5=1,DT5+AAI5,DT5)=1,IF(AND($E5=2,IF($W5=1,AFX5,JI5)=0),1000000000,IF($V5=1,INDEX('calcA'!$D$130:$EQ$169,$B5,19)+IF(AND($E5=1,JI5=0),25,0),INDEX('calcA'!V$110:V$114,$F5+1)+IF(AND($E5=1,JI5=0),1000,0)+IF($H5=1,INDEX('calcA'!$D$180:$EQ$219,$B5,19)*500,0)-IF(AND('calcA'!U$117=1,US5&gt;0),300,0)-IF(AND($U5=1,'calcA'!V$117=1,DU5=0),300,0))),1000000000))</f>
        <v/>
      </c>
      <c r="OY5">
        <f>IF($B5=0,1000000000,IF(INDEX('calcA'!$D$60:$EQ$99,$B5,20)*IF($W5=1,DU5+AAJ5,DU5)=1,IF(AND($E5=2,IF($W5=1,AFY5,JJ5)=0),1000000000,IF($V5=1,INDEX('calcA'!$D$130:$EQ$169,$B5,20)+IF(AND($E5=1,JJ5=0),25,0),INDEX('calcA'!W$110:W$114,$F5+1)+IF(AND($E5=1,JJ5=0),1000,0)+IF($H5=1,INDEX('calcA'!$D$180:$EQ$219,$B5,20)*500,0)-IF(AND('calcA'!V$117=1,UT5&gt;0),300,0)-IF(AND($U5=1,'calcA'!W$117=1,DV5=0),300,0))),1000000000))</f>
        <v/>
      </c>
      <c r="OZ5">
        <f>IF($B5=0,1000000000,IF(INDEX('calcA'!$D$60:$EQ$99,$B5,21)*IF($W5=1,DV5+AAK5,DV5)=1,IF(AND($E5=2,IF($W5=1,AFZ5,JK5)=0),1000000000,IF($V5=1,INDEX('calcA'!$D$130:$EQ$169,$B5,21)+IF(AND($E5=1,JK5=0),25,0),INDEX('calcA'!X$110:X$114,$F5+1)+IF(AND($E5=1,JK5=0),1000,0)+IF($H5=1,INDEX('calcA'!$D$180:$EQ$219,$B5,21)*500,0)-IF(AND('calcA'!W$117=1,UU5&gt;0),300,0)-IF(AND($U5=1,'calcA'!X$117=1,DW5=0),300,0))),1000000000))</f>
        <v/>
      </c>
      <c r="PA5">
        <f>IF($B5=0,1000000000,IF(INDEX('calcA'!$D$60:$EQ$99,$B5,22)*IF($W5=1,DW5+AAL5,DW5)=1,IF(AND($E5=2,IF($W5=1,AGA5,JL5)=0),1000000000,IF($V5=1,INDEX('calcA'!$D$130:$EQ$169,$B5,22)+IF(AND($E5=1,JL5=0),25,0),INDEX('calcA'!Y$110:Y$114,$F5+1)+IF(AND($E5=1,JL5=0),1000,0)+IF($H5=1,INDEX('calcA'!$D$180:$EQ$219,$B5,22)*500,0)-IF(AND('calcA'!X$117=1,UV5&gt;0),300,0)-IF(AND($U5=1,'calcA'!Y$117=1,DX5=0),300,0))),1000000000))</f>
        <v/>
      </c>
      <c r="PB5">
        <f>IF($B5=0,1000000000,IF(INDEX('calcA'!$D$60:$EQ$99,$B5,23)*IF($W5=1,DX5+AAM5,DX5)=1,IF(AND($E5=2,IF($W5=1,AGB5,JM5)=0),1000000000,IF($V5=1,INDEX('calcA'!$D$130:$EQ$169,$B5,23)+IF(AND($E5=1,JM5=0),25,0),INDEX('calcA'!Z$110:Z$114,$F5+1)+IF(AND($E5=1,JM5=0),1000,0)+IF($H5=1,INDEX('calcA'!$D$180:$EQ$219,$B5,23)*500,0)-IF(AND('calcA'!Y$117=1,UW5&gt;0),300,0)-IF(AND($U5=1,'calcA'!Z$117=1,DY5=0),300,0))),1000000000))</f>
        <v/>
      </c>
      <c r="PC5">
        <f>IF($B5=0,1000000000,IF(INDEX('calcA'!$D$60:$EQ$99,$B5,24)*IF($W5=1,DY5+AAN5,DY5)=1,IF(AND($E5=2,IF($W5=1,AGC5,JN5)=0),1000000000,IF($V5=1,INDEX('calcA'!$D$130:$EQ$169,$B5,24)+IF(AND($E5=1,JN5=0),25,0),INDEX('calcA'!AA$110:AA$114,$F5+1)+IF(AND($E5=1,JN5=0),1000,0)+IF($H5=1,INDEX('calcA'!$D$180:$EQ$219,$B5,24)*500,0)-IF(AND('calcA'!Z$117=1,UX5&gt;0),300,0))),1000000000))</f>
        <v/>
      </c>
      <c r="PD5">
        <f>IF($B5=0,1000000000,IF(INDEX('calcA'!$D$60:$EQ$99,$B5,25)*IF($W5=1,DZ5+AAO5,DZ5)=1,IF(AND($E5=2,IF($W5=1,AGD5,JO5)=0),1000000000,IF($V5=1,INDEX('calcA'!$D$130:$EQ$169,$B5,25)+IF(AND($E5=1,JO5=0),25,0),INDEX('calcA'!AB$110:AB$114,$F5+1)+IF(AND($E5=1,JO5=0),1000,0)+IF($H5=1,INDEX('calcA'!$D$180:$EQ$219,$B5,25)*500,0)-IF(AND($U5=1,'calcA'!AB$117=1,EA5=0),300,0))),1000000000))</f>
        <v/>
      </c>
      <c r="PE5">
        <f>IF($B5=0,1000000000,IF(INDEX('calcA'!$D$60:$EQ$99,$B5,26)*IF($W5=1,EA5+AAP5,EA5)=1,IF(AND($E5=2,IF($W5=1,AGE5,JP5)=0),1000000000,IF($V5=1,INDEX('calcA'!$D$130:$EQ$169,$B5,26)+IF(AND($E5=1,JP5=0),25,0),INDEX('calcA'!AC$110:AC$114,$F5+1)+IF(AND($E5=1,JP5=0),1000,0)+IF($H5=1,INDEX('calcA'!$D$180:$EQ$219,$B5,26)*500,0)-IF(AND('calcA'!AB$117=1,UZ5&gt;0),300,0)-IF(AND($U5=1,'calcA'!AC$117=1,EB5=0),300,0))),1000000000))</f>
        <v/>
      </c>
      <c r="PF5">
        <f>IF($B5=0,1000000000,IF(INDEX('calcA'!$D$60:$EQ$99,$B5,27)*IF($W5=1,EB5+AAQ5,EB5)=1,IF(AND($E5=2,IF($W5=1,AGF5,JQ5)=0),1000000000,IF($V5=1,INDEX('calcA'!$D$130:$EQ$169,$B5,27)+IF(AND($E5=1,JQ5=0),25,0),INDEX('calcA'!AD$110:AD$114,$F5+1)+IF(AND($E5=1,JQ5=0),1000,0)+IF($H5=1,INDEX('calcA'!$D$180:$EQ$219,$B5,27)*500,0)-IF(AND('calcA'!AC$117=1,VA5&gt;0),300,0)-IF(AND($U5=1,'calcA'!AD$117=1,EC5=0),300,0))),1000000000))</f>
        <v/>
      </c>
      <c r="PG5">
        <f>IF($B5=0,1000000000,IF(INDEX('calcA'!$D$60:$EQ$99,$B5,28)*IF($W5=1,EC5+AAR5,EC5)=1,IF(AND($E5=2,IF($W5=1,AGG5,JR5)=0),1000000000,IF($V5=1,INDEX('calcA'!$D$130:$EQ$169,$B5,28)+IF(AND($E5=1,JR5=0),25,0),INDEX('calcA'!AE$110:AE$114,$F5+1)+IF(AND($E5=1,JR5=0),1000,0)+IF($H5=1,INDEX('calcA'!$D$180:$EQ$219,$B5,28)*500,0)-IF(AND('calcA'!AD$117=1,VB5&gt;0),300,0)-IF(AND($U5=1,'calcA'!AE$117=1,ED5=0),300,0))),1000000000))</f>
        <v/>
      </c>
      <c r="PH5">
        <f>IF($B5=0,1000000000,IF(INDEX('calcA'!$D$60:$EQ$99,$B5,29)*IF($W5=1,ED5+AAS5,ED5)=1,IF(AND($E5=2,IF($W5=1,AGH5,JS5)=0),1000000000,IF($V5=1,INDEX('calcA'!$D$130:$EQ$169,$B5,29)+IF(AND($E5=1,JS5=0),25,0),INDEX('calcA'!AF$110:AF$114,$F5+1)+IF(AND($E5=1,JS5=0),1000,0)+IF($H5=1,INDEX('calcA'!$D$180:$EQ$219,$B5,29)*500,0)-IF(AND('calcA'!AE$117=1,VC5&gt;0),300,0)-IF(AND($U5=1,'calcA'!AF$117=1,EE5=0),300,0))),1000000000))</f>
        <v/>
      </c>
      <c r="PI5">
        <f>IF($B5=0,1000000000,IF(INDEX('calcA'!$D$60:$EQ$99,$B5,30)*IF($W5=1,EE5+AAT5,EE5)=1,IF(AND($E5=2,IF($W5=1,AGI5,JT5)=0),1000000000,IF($V5=1,INDEX('calcA'!$D$130:$EQ$169,$B5,30)+IF(AND($E5=1,JT5=0),25,0),INDEX('calcA'!AG$110:AG$114,$F5+1)+IF(AND($E5=1,JT5=0),1000,0)+IF($H5=1,INDEX('calcA'!$D$180:$EQ$219,$B5,30)*500,0)-IF(AND('calcA'!AF$117=1,VD5&gt;0),300,0)-IF(AND($U5=1,'calcA'!AG$117=1,EF5=0),300,0))),1000000000))</f>
        <v/>
      </c>
      <c r="PJ5">
        <f>IF($B5=0,1000000000,IF(INDEX('calcA'!$D$60:$EQ$99,$B5,31)*IF($W5=1,EF5+AAU5,EF5)=1,IF(AND($E5=2,IF($W5=1,AGJ5,JU5)=0),1000000000,IF($V5=1,INDEX('calcA'!$D$130:$EQ$169,$B5,31)+IF(AND($E5=1,JU5=0),25,0),INDEX('calcA'!AH$110:AH$114,$F5+1)+IF(AND($E5=1,JU5=0),1000,0)+IF($H5=1,INDEX('calcA'!$D$180:$EQ$219,$B5,31)*500,0)-IF(AND('calcA'!AG$117=1,VE5&gt;0),300,0)-IF(AND($U5=1,'calcA'!AH$117=1,EG5=0),300,0))),1000000000))</f>
        <v/>
      </c>
      <c r="PK5">
        <f>IF($B5=0,1000000000,IF(INDEX('calcA'!$D$60:$EQ$99,$B5,32)*IF($W5=1,EG5+AAV5,EG5)=1,IF(AND($E5=2,IF($W5=1,AGK5,JV5)=0),1000000000,IF($V5=1,INDEX('calcA'!$D$130:$EQ$169,$B5,32)+IF(AND($E5=1,JV5=0),25,0),INDEX('calcA'!AI$110:AI$114,$F5+1)+IF(AND($E5=1,JV5=0),1000,0)+IF($H5=1,INDEX('calcA'!$D$180:$EQ$219,$B5,32)*500,0)-IF(AND('calcA'!AH$117=1,VF5&gt;0),300,0)-IF(AND($U5=1,'calcA'!AI$117=1,EH5=0),300,0))),1000000000))</f>
        <v/>
      </c>
      <c r="PL5">
        <f>IF($B5=0,1000000000,IF(INDEX('calcA'!$D$60:$EQ$99,$B5,33)*IF($W5=1,EH5+AAW5,EH5)=1,IF(AND($E5=2,IF($W5=1,AGL5,JW5)=0),1000000000,IF($V5=1,INDEX('calcA'!$D$130:$EQ$169,$B5,33)+IF(AND($E5=1,JW5=0),25,0),INDEX('calcA'!AJ$110:AJ$114,$F5+1)+IF(AND($E5=1,JW5=0),1000,0)+IF($H5=1,INDEX('calcA'!$D$180:$EQ$219,$B5,33)*500,0)-IF(AND('calcA'!AI$117=1,VG5&gt;0),300,0)-IF(AND($U5=1,'calcA'!AJ$117=1,EI5=0),300,0))),1000000000))</f>
        <v/>
      </c>
      <c r="PM5">
        <f>IF($B5=0,1000000000,IF(INDEX('calcA'!$D$60:$EQ$99,$B5,34)*IF($W5=1,EI5+AAX5,EI5)=1,IF(AND($E5=2,IF($W5=1,AGM5,JX5)=0),1000000000,IF($V5=1,INDEX('calcA'!$D$130:$EQ$169,$B5,34)+IF(AND($E5=1,JX5=0),25,0),INDEX('calcA'!AK$110:AK$114,$F5+1)+IF(AND($E5=1,JX5=0),1000,0)+IF($H5=1,INDEX('calcA'!$D$180:$EQ$219,$B5,34)*500,0)-IF(AND('calcA'!AJ$117=1,VH5&gt;0),300,0)-IF(AND($U5=1,'calcA'!AK$117=1,EJ5=0),300,0))),1000000000))</f>
        <v/>
      </c>
      <c r="PN5">
        <f>IF($B5=0,1000000000,IF(INDEX('calcA'!$D$60:$EQ$99,$B5,35)*IF($W5=1,EJ5+AAY5,EJ5)=1,IF(AND($E5=2,IF($W5=1,AGN5,JY5)=0),1000000000,IF($V5=1,INDEX('calcA'!$D$130:$EQ$169,$B5,35)+IF(AND($E5=1,JY5=0),25,0),INDEX('calcA'!AL$110:AL$114,$F5+1)+IF(AND($E5=1,JY5=0),1000,0)+IF($H5=1,INDEX('calcA'!$D$180:$EQ$219,$B5,35)*500,0)-IF(AND('calcA'!AK$117=1,VI5&gt;0),300,0)-IF(AND($U5=1,'calcA'!AL$117=1,EK5=0),300,0))),1000000000))</f>
        <v/>
      </c>
      <c r="PO5">
        <f>IF($B5=0,1000000000,IF(INDEX('calcA'!$D$60:$EQ$99,$B5,36)*IF($W5=1,EK5+AAZ5,EK5)=1,IF(AND($E5=2,IF($W5=1,AGO5,JZ5)=0),1000000000,IF($V5=1,INDEX('calcA'!$D$130:$EQ$169,$B5,36)+IF(AND($E5=1,JZ5=0),25,0),INDEX('calcA'!AM$110:AM$114,$F5+1)+IF(AND($E5=1,JZ5=0),1000,0)+IF($H5=1,INDEX('calcA'!$D$180:$EQ$219,$B5,36)*500,0)-IF(AND('calcA'!AL$117=1,VJ5&gt;0),300,0)-IF(AND($U5=1,'calcA'!AM$117=1,EL5=0),300,0))),1000000000))</f>
        <v/>
      </c>
      <c r="PP5">
        <f>IF($B5=0,1000000000,IF(INDEX('calcA'!$D$60:$EQ$99,$B5,37)*IF($W5=1,EL5+ABA5,EL5)=1,IF(AND($E5=2,IF($W5=1,AGP5,KA5)=0),1000000000,IF($V5=1,INDEX('calcA'!$D$130:$EQ$169,$B5,37)+IF(AND($E5=1,KA5=0),25,0),INDEX('calcA'!AN$110:AN$114,$F5+1)+IF(AND($E5=1,KA5=0),1000,0)+IF($H5=1,INDEX('calcA'!$D$180:$EQ$219,$B5,37)*500,0)-IF(AND('calcA'!AM$117=1,VK5&gt;0),300,0)-IF(AND($U5=1,'calcA'!AN$117=1,EM5=0),300,0))),1000000000))</f>
        <v/>
      </c>
      <c r="PQ5">
        <f>IF($B5=0,1000000000,IF(INDEX('calcA'!$D$60:$EQ$99,$B5,38)*IF($W5=1,EM5+ABB5,EM5)=1,IF(AND($E5=2,IF($W5=1,AGQ5,KB5)=0),1000000000,IF($V5=1,INDEX('calcA'!$D$130:$EQ$169,$B5,38)+IF(AND($E5=1,KB5=0),25,0),INDEX('calcA'!AO$110:AO$114,$F5+1)+IF(AND($E5=1,KB5=0),1000,0)+IF($H5=1,INDEX('calcA'!$D$180:$EQ$219,$B5,38)*500,0)-IF(AND('calcA'!AN$117=1,VL5&gt;0),300,0)-IF(AND($U5=1,'calcA'!AO$117=1,EN5=0),300,0))),1000000000))</f>
        <v/>
      </c>
      <c r="PR5">
        <f>IF($B5=0,1000000000,IF(INDEX('calcA'!$D$60:$EQ$99,$B5,39)*IF($W5=1,EN5+ABC5,EN5)=1,IF(AND($E5=2,IF($W5=1,AGR5,KC5)=0),1000000000,IF($V5=1,INDEX('calcA'!$D$130:$EQ$169,$B5,39)+IF(AND($E5=1,KC5=0),25,0),INDEX('calcA'!AP$110:AP$114,$F5+1)+IF(AND($E5=1,KC5=0),1000,0)+IF($H5=1,INDEX('calcA'!$D$180:$EQ$219,$B5,39)*500,0)-IF(AND('calcA'!AO$117=1,VM5&gt;0),300,0)-IF(AND($U5=1,'calcA'!AP$117=1,EO5=0),300,0))),1000000000))</f>
        <v/>
      </c>
      <c r="PS5">
        <f>IF($B5=0,1000000000,IF(INDEX('calcA'!$D$60:$EQ$99,$B5,40)*IF($W5=1,EO5+ABD5,EO5)=1,IF(AND($E5=2,IF($W5=1,AGS5,KD5)=0),1000000000,IF($V5=1,INDEX('calcA'!$D$130:$EQ$169,$B5,40)+IF(AND($E5=1,KD5=0),25,0),INDEX('calcA'!AQ$110:AQ$114,$F5+1)+IF(AND($E5=1,KD5=0),1000,0)+IF($H5=1,INDEX('calcA'!$D$180:$EQ$219,$B5,40)*500,0)-IF(AND('calcA'!AP$117=1,VN5&gt;0),300,0)-IF(AND($U5=1,'calcA'!AQ$117=1,EP5=0),300,0))),1000000000))</f>
        <v/>
      </c>
      <c r="PT5">
        <f>IF($B5=0,1000000000,IF(INDEX('calcA'!$D$60:$EQ$99,$B5,41)*IF($W5=1,EP5+ABE5,EP5)=1,IF(AND($E5=2,IF($W5=1,AGT5,KE5)=0),1000000000,IF($V5=1,INDEX('calcA'!$D$130:$EQ$169,$B5,41)+IF(AND($E5=1,KE5=0),25,0),INDEX('calcA'!AR$110:AR$114,$F5+1)+IF(AND($E5=1,KE5=0),1000,0)+IF($H5=1,INDEX('calcA'!$D$180:$EQ$219,$B5,41)*500,0)-IF(AND('calcA'!AQ$117=1,VO5&gt;0),300,0)-IF(AND($U5=1,'calcA'!AR$117=1,EQ5=0),300,0))),1000000000))</f>
        <v/>
      </c>
      <c r="PU5">
        <f>IF($B5=0,1000000000,IF(INDEX('calcA'!$D$60:$EQ$99,$B5,42)*IF($W5=1,EQ5+ABF5,EQ5)=1,IF(AND($E5=2,IF($W5=1,AGU5,KF5)=0),1000000000,IF($V5=1,INDEX('calcA'!$D$130:$EQ$169,$B5,42)+IF(AND($E5=1,KF5=0),25,0),INDEX('calcA'!AS$110:AS$114,$F5+1)+IF(AND($E5=1,KF5=0),1000,0)+IF($H5=1,INDEX('calcA'!$D$180:$EQ$219,$B5,42)*500,0)-IF(AND('calcA'!AR$117=1,VP5&gt;0),300,0)-IF(AND($U5=1,'calcA'!AS$117=1,ER5=0),300,0))),1000000000))</f>
        <v/>
      </c>
      <c r="PV5">
        <f>IF($B5=0,1000000000,IF(INDEX('calcA'!$D$60:$EQ$99,$B5,43)*IF($W5=1,ER5+ABG5,ER5)=1,IF(AND($E5=2,IF($W5=1,AGV5,KG5)=0),1000000000,IF($V5=1,INDEX('calcA'!$D$130:$EQ$169,$B5,43)+IF(AND($E5=1,KG5=0),25,0),INDEX('calcA'!AT$110:AT$114,$F5+1)+IF(AND($E5=1,KG5=0),1000,0)+IF($H5=1,INDEX('calcA'!$D$180:$EQ$219,$B5,43)*500,0)-IF(AND('calcA'!AS$117=1,VQ5&gt;0),300,0)-IF(AND($U5=1,'calcA'!AT$117=1,ES5=0),300,0))),1000000000))</f>
        <v/>
      </c>
      <c r="PW5">
        <f>IF($B5=0,1000000000,IF(INDEX('calcA'!$D$60:$EQ$99,$B5,44)*IF($W5=1,ES5+ABH5,ES5)=1,IF(AND($E5=2,IF($W5=1,AGW5,KH5)=0),1000000000,IF($V5=1,INDEX('calcA'!$D$130:$EQ$169,$B5,44)+IF(AND($E5=1,KH5=0),25,0),INDEX('calcA'!AU$110:AU$114,$F5+1)+IF(AND($E5=1,KH5=0),1000,0)+IF($H5=1,INDEX('calcA'!$D$180:$EQ$219,$B5,44)*500,0)-IF(AND('calcA'!AT$117=1,VR5&gt;0),300,0)-IF(AND($U5=1,'calcA'!AU$117=1,ET5=0),300,0))),1000000000))</f>
        <v/>
      </c>
      <c r="PX5">
        <f>IF($B5=0,1000000000,IF(INDEX('calcA'!$D$60:$EQ$99,$B5,45)*IF($W5=1,ET5+ABI5,ET5)=1,IF(AND($E5=2,IF($W5=1,AGX5,KI5)=0),1000000000,IF($V5=1,INDEX('calcA'!$D$130:$EQ$169,$B5,45)+IF(AND($E5=1,KI5=0),25,0),INDEX('calcA'!AV$110:AV$114,$F5+1)+IF(AND($E5=1,KI5=0),1000,0)+IF($H5=1,INDEX('calcA'!$D$180:$EQ$219,$B5,45)*500,0)-IF(AND('calcA'!AU$117=1,VS5&gt;0),300,0)-IF(AND($U5=1,'calcA'!AV$117=1,EU5=0),300,0))),1000000000))</f>
        <v/>
      </c>
      <c r="PY5">
        <f>IF($B5=0,1000000000,IF(INDEX('calcA'!$D$60:$EQ$99,$B5,46)*IF($W5=1,EU5+ABJ5,EU5)=1,IF(AND($E5=2,IF($W5=1,AGY5,KJ5)=0),1000000000,IF($V5=1,INDEX('calcA'!$D$130:$EQ$169,$B5,46)+IF(AND($E5=1,KJ5=0),25,0),INDEX('calcA'!AW$110:AW$114,$F5+1)+IF(AND($E5=1,KJ5=0),1000,0)+IF($H5=1,INDEX('calcA'!$D$180:$EQ$219,$B5,46)*500,0)-IF(AND('calcA'!AV$117=1,VT5&gt;0),300,0)-IF(AND($U5=1,'calcA'!AW$117=1,EV5=0),300,0))),1000000000))</f>
        <v/>
      </c>
      <c r="PZ5">
        <f>IF($B5=0,1000000000,IF(INDEX('calcA'!$D$60:$EQ$99,$B5,47)*IF($W5=1,EV5+ABK5,EV5)=1,IF(AND($E5=2,IF($W5=1,AGZ5,KK5)=0),1000000000,IF($V5=1,INDEX('calcA'!$D$130:$EQ$169,$B5,47)+IF(AND($E5=1,KK5=0),25,0),INDEX('calcA'!AX$110:AX$114,$F5+1)+IF(AND($E5=1,KK5=0),1000,0)+IF($H5=1,INDEX('calcA'!$D$180:$EQ$219,$B5,47)*500,0)-IF(AND('calcA'!AW$117=1,VU5&gt;0),300,0)-IF(AND($U5=1,'calcA'!AX$117=1,EW5=0),300,0))),1000000000))</f>
        <v/>
      </c>
      <c r="QA5">
        <f>IF($B5=0,1000000000,IF(INDEX('calcA'!$D$60:$EQ$99,$B5,48)*IF($W5=1,EW5+ABL5,EW5)=1,IF(AND($E5=2,IF($W5=1,AHA5,KL5)=0),1000000000,IF($V5=1,INDEX('calcA'!$D$130:$EQ$169,$B5,48)+IF(AND($E5=1,KL5=0),25,0),INDEX('calcA'!AY$110:AY$114,$F5+1)+IF(AND($E5=1,KL5=0),1000,0)+IF($H5=1,INDEX('calcA'!$D$180:$EQ$219,$B5,48)*500,0)-IF(AND('calcA'!AX$117=1,VV5&gt;0),300,0))),1000000000))</f>
        <v/>
      </c>
      <c r="QB5">
        <f>IF($B5=0,1000000000,IF(INDEX('calcA'!$D$60:$EQ$99,$B5,49)*IF($W5=1,EX5+ABM5,EX5)=1,IF(AND($E5=2,IF($W5=1,AHB5,KM5)=0),1000000000,IF($V5=1,INDEX('calcA'!$D$130:$EQ$169,$B5,49)+IF(AND($E5=1,KM5=0),25,0),INDEX('calcA'!AZ$110:AZ$114,$F5+1)+IF(AND($E5=1,KM5=0),1000,0)+IF($H5=1,INDEX('calcA'!$D$180:$EQ$219,$B5,49)*500,0)-IF(AND($U5=1,'calcA'!AZ$117=1,EY5=0),300,0))),1000000000))</f>
        <v/>
      </c>
      <c r="QC5">
        <f>IF($B5=0,1000000000,IF(INDEX('calcA'!$D$60:$EQ$99,$B5,50)*IF($W5=1,EY5+ABN5,EY5)=1,IF(AND($E5=2,IF($W5=1,AHC5,KN5)=0),1000000000,IF($V5=1,INDEX('calcA'!$D$130:$EQ$169,$B5,50)+IF(AND($E5=1,KN5=0),25,0),INDEX('calcA'!BA$110:BA$114,$F5+1)+IF(AND($E5=1,KN5=0),1000,0)+IF($H5=1,INDEX('calcA'!$D$180:$EQ$219,$B5,50)*500,0)-IF(AND('calcA'!AZ$117=1,VX5&gt;0),300,0)-IF(AND($U5=1,'calcA'!BA$117=1,EZ5=0),300,0))),1000000000))</f>
        <v/>
      </c>
      <c r="QD5">
        <f>IF($B5=0,1000000000,IF(INDEX('calcA'!$D$60:$EQ$99,$B5,51)*IF($W5=1,EZ5+ABO5,EZ5)=1,IF(AND($E5=2,IF($W5=1,AHD5,KO5)=0),1000000000,IF($V5=1,INDEX('calcA'!$D$130:$EQ$169,$B5,51)+IF(AND($E5=1,KO5=0),25,0),INDEX('calcA'!BB$110:BB$114,$F5+1)+IF(AND($E5=1,KO5=0),1000,0)+IF($H5=1,INDEX('calcA'!$D$180:$EQ$219,$B5,51)*500,0)-IF(AND('calcA'!BA$117=1,VY5&gt;0),300,0)-IF(AND($U5=1,'calcA'!BB$117=1,FA5=0),300,0))),1000000000))</f>
        <v/>
      </c>
      <c r="QE5">
        <f>IF($B5=0,1000000000,IF(INDEX('calcA'!$D$60:$EQ$99,$B5,52)*IF($W5=1,FA5+ABP5,FA5)=1,IF(AND($E5=2,IF($W5=1,AHE5,KP5)=0),1000000000,IF($V5=1,INDEX('calcA'!$D$130:$EQ$169,$B5,52)+IF(AND($E5=1,KP5=0),25,0),INDEX('calcA'!BC$110:BC$114,$F5+1)+IF(AND($E5=1,KP5=0),1000,0)+IF($H5=1,INDEX('calcA'!$D$180:$EQ$219,$B5,52)*500,0)-IF(AND('calcA'!BB$117=1,VZ5&gt;0),300,0)-IF(AND($U5=1,'calcA'!BC$117=1,FB5=0),300,0))),1000000000))</f>
        <v/>
      </c>
      <c r="QF5">
        <f>IF($B5=0,1000000000,IF(INDEX('calcA'!$D$60:$EQ$99,$B5,53)*IF($W5=1,FB5+ABQ5,FB5)=1,IF(AND($E5=2,IF($W5=1,AHF5,KQ5)=0),1000000000,IF($V5=1,INDEX('calcA'!$D$130:$EQ$169,$B5,53)+IF(AND($E5=1,KQ5=0),25,0),INDEX('calcA'!BD$110:BD$114,$F5+1)+IF(AND($E5=1,KQ5=0),1000,0)+IF($H5=1,INDEX('calcA'!$D$180:$EQ$219,$B5,53)*500,0)-IF(AND('calcA'!BC$117=1,WA5&gt;0),300,0)-IF(AND($U5=1,'calcA'!BD$117=1,FC5=0),300,0))),1000000000))</f>
        <v/>
      </c>
      <c r="QG5">
        <f>IF($B5=0,1000000000,IF(INDEX('calcA'!$D$60:$EQ$99,$B5,54)*IF($W5=1,FC5+ABR5,FC5)=1,IF(AND($E5=2,IF($W5=1,AHG5,KR5)=0),1000000000,IF($V5=1,INDEX('calcA'!$D$130:$EQ$169,$B5,54)+IF(AND($E5=1,KR5=0),25,0),INDEX('calcA'!BE$110:BE$114,$F5+1)+IF(AND($E5=1,KR5=0),1000,0)+IF($H5=1,INDEX('calcA'!$D$180:$EQ$219,$B5,54)*500,0)-IF(AND('calcA'!BD$117=1,WB5&gt;0),300,0)-IF(AND($U5=1,'calcA'!BE$117=1,FD5=0),300,0))),1000000000))</f>
        <v/>
      </c>
      <c r="QH5">
        <f>IF($B5=0,1000000000,IF(INDEX('calcA'!$D$60:$EQ$99,$B5,55)*IF($W5=1,FD5+ABS5,FD5)=1,IF(AND($E5=2,IF($W5=1,AHH5,KS5)=0),1000000000,IF($V5=1,INDEX('calcA'!$D$130:$EQ$169,$B5,55)+IF(AND($E5=1,KS5=0),25,0),INDEX('calcA'!BF$110:BF$114,$F5+1)+IF(AND($E5=1,KS5=0),1000,0)+IF($H5=1,INDEX('calcA'!$D$180:$EQ$219,$B5,55)*500,0)-IF(AND('calcA'!BE$117=1,WC5&gt;0),300,0)-IF(AND($U5=1,'calcA'!BF$117=1,FE5=0),300,0))),1000000000))</f>
        <v/>
      </c>
      <c r="QI5">
        <f>IF($B5=0,1000000000,IF(INDEX('calcA'!$D$60:$EQ$99,$B5,56)*IF($W5=1,FE5+ABT5,FE5)=1,IF(AND($E5=2,IF($W5=1,AHI5,KT5)=0),1000000000,IF($V5=1,INDEX('calcA'!$D$130:$EQ$169,$B5,56)+IF(AND($E5=1,KT5=0),25,0),INDEX('calcA'!BG$110:BG$114,$F5+1)+IF(AND($E5=1,KT5=0),1000,0)+IF($H5=1,INDEX('calcA'!$D$180:$EQ$219,$B5,56)*500,0)-IF(AND('calcA'!BF$117=1,WD5&gt;0),300,0)-IF(AND($U5=1,'calcA'!BG$117=1,FF5=0),300,0))),1000000000))</f>
        <v/>
      </c>
      <c r="QJ5">
        <f>IF($B5=0,1000000000,IF(INDEX('calcA'!$D$60:$EQ$99,$B5,57)*IF($W5=1,FF5+ABU5,FF5)=1,IF(AND($E5=2,IF($W5=1,AHJ5,KU5)=0),1000000000,IF($V5=1,INDEX('calcA'!$D$130:$EQ$169,$B5,57)+IF(AND($E5=1,KU5=0),25,0),INDEX('calcA'!BH$110:BH$114,$F5+1)+IF(AND($E5=1,KU5=0),1000,0)+IF($H5=1,INDEX('calcA'!$D$180:$EQ$219,$B5,57)*500,0)-IF(AND('calcA'!BG$117=1,WE5&gt;0),300,0)-IF(AND($U5=1,'calcA'!BH$117=1,FG5=0),300,0))),1000000000))</f>
        <v/>
      </c>
      <c r="QK5">
        <f>IF($B5=0,1000000000,IF(INDEX('calcA'!$D$60:$EQ$99,$B5,58)*IF($W5=1,FG5+ABV5,FG5)=1,IF(AND($E5=2,IF($W5=1,AHK5,KV5)=0),1000000000,IF($V5=1,INDEX('calcA'!$D$130:$EQ$169,$B5,58)+IF(AND($E5=1,KV5=0),25,0),INDEX('calcA'!BI$110:BI$114,$F5+1)+IF(AND($E5=1,KV5=0),1000,0)+IF($H5=1,INDEX('calcA'!$D$180:$EQ$219,$B5,58)*500,0)-IF(AND('calcA'!BH$117=1,WF5&gt;0),300,0)-IF(AND($U5=1,'calcA'!BI$117=1,FH5=0),300,0))),1000000000))</f>
        <v/>
      </c>
      <c r="QL5">
        <f>IF($B5=0,1000000000,IF(INDEX('calcA'!$D$60:$EQ$99,$B5,59)*IF($W5=1,FH5+ABW5,FH5)=1,IF(AND($E5=2,IF($W5=1,AHL5,KW5)=0),1000000000,IF($V5=1,INDEX('calcA'!$D$130:$EQ$169,$B5,59)+IF(AND($E5=1,KW5=0),25,0),INDEX('calcA'!BJ$110:BJ$114,$F5+1)+IF(AND($E5=1,KW5=0),1000,0)+IF($H5=1,INDEX('calcA'!$D$180:$EQ$219,$B5,59)*500,0)-IF(AND('calcA'!BI$117=1,WG5&gt;0),300,0)-IF(AND($U5=1,'calcA'!BJ$117=1,FI5=0),300,0))),1000000000))</f>
        <v/>
      </c>
      <c r="QM5">
        <f>IF($B5=0,1000000000,IF(INDEX('calcA'!$D$60:$EQ$99,$B5,60)*IF($W5=1,FI5+ABX5,FI5)=1,IF(AND($E5=2,IF($W5=1,AHM5,KX5)=0),1000000000,IF($V5=1,INDEX('calcA'!$D$130:$EQ$169,$B5,60)+IF(AND($E5=1,KX5=0),25,0),INDEX('calcA'!BK$110:BK$114,$F5+1)+IF(AND($E5=1,KX5=0),1000,0)+IF($H5=1,INDEX('calcA'!$D$180:$EQ$219,$B5,60)*500,0)-IF(AND('calcA'!BJ$117=1,WH5&gt;0),300,0)-IF(AND($U5=1,'calcA'!BK$117=1,FJ5=0),300,0))),1000000000))</f>
        <v/>
      </c>
      <c r="QN5">
        <f>IF($B5=0,1000000000,IF(INDEX('calcA'!$D$60:$EQ$99,$B5,61)*IF($W5=1,FJ5+ABY5,FJ5)=1,IF(AND($E5=2,IF($W5=1,AHN5,KY5)=0),1000000000,IF($V5=1,INDEX('calcA'!$D$130:$EQ$169,$B5,61)+IF(AND($E5=1,KY5=0),25,0),INDEX('calcA'!BL$110:BL$114,$F5+1)+IF(AND($E5=1,KY5=0),1000,0)+IF($H5=1,INDEX('calcA'!$D$180:$EQ$219,$B5,61)*500,0)-IF(AND('calcA'!BK$117=1,WI5&gt;0),300,0)-IF(AND($U5=1,'calcA'!BL$117=1,FK5=0),300,0))),1000000000))</f>
        <v/>
      </c>
      <c r="QO5">
        <f>IF($B5=0,1000000000,IF(INDEX('calcA'!$D$60:$EQ$99,$B5,62)*IF($W5=1,FK5+ABZ5,FK5)=1,IF(AND($E5=2,IF($W5=1,AHO5,KZ5)=0),1000000000,IF($V5=1,INDEX('calcA'!$D$130:$EQ$169,$B5,62)+IF(AND($E5=1,KZ5=0),25,0),INDEX('calcA'!BM$110:BM$114,$F5+1)+IF(AND($E5=1,KZ5=0),1000,0)+IF($H5=1,INDEX('calcA'!$D$180:$EQ$219,$B5,62)*500,0)-IF(AND('calcA'!BL$117=1,WJ5&gt;0),300,0)-IF(AND($U5=1,'calcA'!BM$117=1,FL5=0),300,0))),1000000000))</f>
        <v/>
      </c>
      <c r="QP5">
        <f>IF($B5=0,1000000000,IF(INDEX('calcA'!$D$60:$EQ$99,$B5,63)*IF($W5=1,FL5+ACA5,FL5)=1,IF(AND($E5=2,IF($W5=1,AHP5,LA5)=0),1000000000,IF($V5=1,INDEX('calcA'!$D$130:$EQ$169,$B5,63)+IF(AND($E5=1,LA5=0),25,0),INDEX('calcA'!BN$110:BN$114,$F5+1)+IF(AND($E5=1,LA5=0),1000,0)+IF($H5=1,INDEX('calcA'!$D$180:$EQ$219,$B5,63)*500,0)-IF(AND('calcA'!BM$117=1,WK5&gt;0),300,0)-IF(AND($U5=1,'calcA'!BN$117=1,FM5=0),300,0))),1000000000))</f>
        <v/>
      </c>
      <c r="QQ5">
        <f>IF($B5=0,1000000000,IF(INDEX('calcA'!$D$60:$EQ$99,$B5,64)*IF($W5=1,FM5+ACB5,FM5)=1,IF(AND($E5=2,IF($W5=1,AHQ5,LB5)=0),1000000000,IF($V5=1,INDEX('calcA'!$D$130:$EQ$169,$B5,64)+IF(AND($E5=1,LB5=0),25,0),INDEX('calcA'!BO$110:BO$114,$F5+1)+IF(AND($E5=1,LB5=0),1000,0)+IF($H5=1,INDEX('calcA'!$D$180:$EQ$219,$B5,64)*500,0)-IF(AND('calcA'!BN$117=1,WL5&gt;0),300,0)-IF(AND($U5=1,'calcA'!BO$117=1,FN5=0),300,0))),1000000000))</f>
        <v/>
      </c>
      <c r="QR5">
        <f>IF($B5=0,1000000000,IF(INDEX('calcA'!$D$60:$EQ$99,$B5,65)*IF($W5=1,FN5+ACC5,FN5)=1,IF(AND($E5=2,IF($W5=1,AHR5,LC5)=0),1000000000,IF($V5=1,INDEX('calcA'!$D$130:$EQ$169,$B5,65)+IF(AND($E5=1,LC5=0),25,0),INDEX('calcA'!BP$110:BP$114,$F5+1)+IF(AND($E5=1,LC5=0),1000,0)+IF($H5=1,INDEX('calcA'!$D$180:$EQ$219,$B5,65)*500,0)-IF(AND('calcA'!BO$117=1,WM5&gt;0),300,0)-IF(AND($U5=1,'calcA'!BP$117=1,FO5=0),300,0))),1000000000))</f>
        <v/>
      </c>
      <c r="QS5">
        <f>IF($B5=0,1000000000,IF(INDEX('calcA'!$D$60:$EQ$99,$B5,66)*IF($W5=1,FO5+ACD5,FO5)=1,IF(AND($E5=2,IF($W5=1,AHS5,LD5)=0),1000000000,IF($V5=1,INDEX('calcA'!$D$130:$EQ$169,$B5,66)+IF(AND($E5=1,LD5=0),25,0),INDEX('calcA'!BQ$110:BQ$114,$F5+1)+IF(AND($E5=1,LD5=0),1000,0)+IF($H5=1,INDEX('calcA'!$D$180:$EQ$219,$B5,66)*500,0)-IF(AND('calcA'!BP$117=1,WN5&gt;0),300,0)-IF(AND($U5=1,'calcA'!BQ$117=1,FP5=0),300,0))),1000000000))</f>
        <v/>
      </c>
      <c r="QT5">
        <f>IF($B5=0,1000000000,IF(INDEX('calcA'!$D$60:$EQ$99,$B5,67)*IF($W5=1,FP5+ACE5,FP5)=1,IF(AND($E5=2,IF($W5=1,AHT5,LE5)=0),1000000000,IF($V5=1,INDEX('calcA'!$D$130:$EQ$169,$B5,67)+IF(AND($E5=1,LE5=0),25,0),INDEX('calcA'!BR$110:BR$114,$F5+1)+IF(AND($E5=1,LE5=0),1000,0)+IF($H5=1,INDEX('calcA'!$D$180:$EQ$219,$B5,67)*500,0)-IF(AND('calcA'!BQ$117=1,WO5&gt;0),300,0)-IF(AND($U5=1,'calcA'!BR$117=1,FQ5=0),300,0))),1000000000))</f>
        <v/>
      </c>
      <c r="QU5">
        <f>IF($B5=0,1000000000,IF(INDEX('calcA'!$D$60:$EQ$99,$B5,68)*IF($W5=1,FQ5+ACF5,FQ5)=1,IF(AND($E5=2,IF($W5=1,AHU5,LF5)=0),1000000000,IF($V5=1,INDEX('calcA'!$D$130:$EQ$169,$B5,68)+IF(AND($E5=1,LF5=0),25,0),INDEX('calcA'!BS$110:BS$114,$F5+1)+IF(AND($E5=1,LF5=0),1000,0)+IF($H5=1,INDEX('calcA'!$D$180:$EQ$219,$B5,68)*500,0)-IF(AND('calcA'!BR$117=1,WP5&gt;0),300,0)-IF(AND($U5=1,'calcA'!BS$117=1,FR5=0),300,0))),1000000000))</f>
        <v/>
      </c>
      <c r="QV5">
        <f>IF($B5=0,1000000000,IF(INDEX('calcA'!$D$60:$EQ$99,$B5,69)*IF($W5=1,FR5+ACG5,FR5)=1,IF(AND($E5=2,IF($W5=1,AHV5,LG5)=0),1000000000,IF($V5=1,INDEX('calcA'!$D$130:$EQ$169,$B5,69)+IF(AND($E5=1,LG5=0),25,0),INDEX('calcA'!BT$110:BT$114,$F5+1)+IF(AND($E5=1,LG5=0),1000,0)+IF($H5=1,INDEX('calcA'!$D$180:$EQ$219,$B5,69)*500,0)-IF(AND('calcA'!BS$117=1,WQ5&gt;0),300,0)-IF(AND($U5=1,'calcA'!BT$117=1,FS5=0),300,0))),1000000000))</f>
        <v/>
      </c>
      <c r="QW5">
        <f>IF($B5=0,1000000000,IF(INDEX('calcA'!$D$60:$EQ$99,$B5,70)*IF($W5=1,FS5+ACH5,FS5)=1,IF(AND($E5=2,IF($W5=1,AHW5,LH5)=0),1000000000,IF($V5=1,INDEX('calcA'!$D$130:$EQ$169,$B5,70)+IF(AND($E5=1,LH5=0),25,0),INDEX('calcA'!BU$110:BU$114,$F5+1)+IF(AND($E5=1,LH5=0),1000,0)+IF($H5=1,INDEX('calcA'!$D$180:$EQ$219,$B5,70)*500,0)-IF(AND('calcA'!BT$117=1,WR5&gt;0),300,0)-IF(AND($U5=1,'calcA'!BU$117=1,FT5=0),300,0))),1000000000))</f>
        <v/>
      </c>
      <c r="QX5">
        <f>IF($B5=0,1000000000,IF(INDEX('calcA'!$D$60:$EQ$99,$B5,71)*IF($W5=1,FT5+ACI5,FT5)=1,IF(AND($E5=2,IF($W5=1,AHX5,LI5)=0),1000000000,IF($V5=1,INDEX('calcA'!$D$130:$EQ$169,$B5,71)+IF(AND($E5=1,LI5=0),25,0),INDEX('calcA'!BV$110:BV$114,$F5+1)+IF(AND($E5=1,LI5=0),1000,0)+IF($H5=1,INDEX('calcA'!$D$180:$EQ$219,$B5,71)*500,0)-IF(AND('calcA'!BU$117=1,WS5&gt;0),300,0)-IF(AND($U5=1,'calcA'!BV$117=1,FU5=0),300,0))),1000000000))</f>
        <v/>
      </c>
      <c r="QY5">
        <f>IF($B5=0,1000000000,IF(INDEX('calcA'!$D$60:$EQ$99,$B5,72)*IF($W5=1,FU5+ACJ5,FU5)=1,IF(AND($E5=2,IF($W5=1,AHY5,LJ5)=0),1000000000,IF($V5=1,INDEX('calcA'!$D$130:$EQ$169,$B5,72)+IF(AND($E5=1,LJ5=0),25,0),INDEX('calcA'!BW$110:BW$114,$F5+1)+IF(AND($E5=1,LJ5=0),1000,0)+IF($H5=1,INDEX('calcA'!$D$180:$EQ$219,$B5,72)*500,0)-IF(AND('calcA'!BV$117=1,WT5&gt;0),300,0))),1000000000))</f>
        <v/>
      </c>
      <c r="QZ5">
        <f>IF($B5=0,1000000000,IF(INDEX('calcA'!$D$60:$EQ$99,$B5,73)*IF($W5=1,FV5+ACK5,FV5)=1,IF(AND($E5=2,IF($W5=1,AHZ5,LK5)=0),1000000000,IF($V5=1,INDEX('calcA'!$D$130:$EQ$169,$B5,73)+IF(AND($E5=1,LK5=0),25,0),INDEX('calcA'!BX$110:BX$114,$F5+1)+IF(AND($E5=1,LK5=0),1000,0)+IF($H5=1,INDEX('calcA'!$D$180:$EQ$219,$B5,73)*500,0)-IF(AND($U5=1,'calcA'!BX$117=1,FW5=0),300,0))),1000000000))</f>
        <v/>
      </c>
      <c r="RA5">
        <f>IF($B5=0,1000000000,IF(INDEX('calcA'!$D$60:$EQ$99,$B5,74)*IF($W5=1,FW5+ACL5,FW5)=1,IF(AND($E5=2,IF($W5=1,AIA5,LL5)=0),1000000000,IF($V5=1,INDEX('calcA'!$D$130:$EQ$169,$B5,74)+IF(AND($E5=1,LL5=0),25,0),INDEX('calcA'!BY$110:BY$114,$F5+1)+IF(AND($E5=1,LL5=0),1000,0)+IF($H5=1,INDEX('calcA'!$D$180:$EQ$219,$B5,74)*500,0)-IF(AND('calcA'!BX$117=1,WV5&gt;0),300,0)-IF(AND($U5=1,'calcA'!BY$117=1,FX5=0),300,0))),1000000000))</f>
        <v/>
      </c>
      <c r="RB5">
        <f>IF($B5=0,1000000000,IF(INDEX('calcA'!$D$60:$EQ$99,$B5,75)*IF($W5=1,FX5+ACM5,FX5)=1,IF(AND($E5=2,IF($W5=1,AIB5,LM5)=0),1000000000,IF($V5=1,INDEX('calcA'!$D$130:$EQ$169,$B5,75)+IF(AND($E5=1,LM5=0),25,0),INDEX('calcA'!BZ$110:BZ$114,$F5+1)+IF(AND($E5=1,LM5=0),1000,0)+IF($H5=1,INDEX('calcA'!$D$180:$EQ$219,$B5,75)*500,0)-IF(AND('calcA'!BY$117=1,WW5&gt;0),300,0)-IF(AND($U5=1,'calcA'!BZ$117=1,FY5=0),300,0))),1000000000))</f>
        <v/>
      </c>
      <c r="RC5">
        <f>IF($B5=0,1000000000,IF(INDEX('calcA'!$D$60:$EQ$99,$B5,76)*IF($W5=1,FY5+ACN5,FY5)=1,IF(AND($E5=2,IF($W5=1,AIC5,LN5)=0),1000000000,IF($V5=1,INDEX('calcA'!$D$130:$EQ$169,$B5,76)+IF(AND($E5=1,LN5=0),25,0),INDEX('calcA'!CA$110:CA$114,$F5+1)+IF(AND($E5=1,LN5=0),1000,0)+IF($H5=1,INDEX('calcA'!$D$180:$EQ$219,$B5,76)*500,0)-IF(AND('calcA'!BZ$117=1,WX5&gt;0),300,0)-IF(AND($U5=1,'calcA'!CA$117=1,FZ5=0),300,0))),1000000000))</f>
        <v/>
      </c>
      <c r="RD5">
        <f>IF($B5=0,1000000000,IF(INDEX('calcA'!$D$60:$EQ$99,$B5,77)*IF($W5=1,FZ5+ACO5,FZ5)=1,IF(AND($E5=2,IF($W5=1,AID5,LO5)=0),1000000000,IF($V5=1,INDEX('calcA'!$D$130:$EQ$169,$B5,77)+IF(AND($E5=1,LO5=0),25,0),INDEX('calcA'!CB$110:CB$114,$F5+1)+IF(AND($E5=1,LO5=0),1000,0)+IF($H5=1,INDEX('calcA'!$D$180:$EQ$219,$B5,77)*500,0)-IF(AND('calcA'!CA$117=1,WY5&gt;0),300,0)-IF(AND($U5=1,'calcA'!CB$117=1,GA5=0),300,0))),1000000000))</f>
        <v/>
      </c>
      <c r="RE5">
        <f>IF($B5=0,1000000000,IF(INDEX('calcA'!$D$60:$EQ$99,$B5,78)*IF($W5=1,GA5+ACP5,GA5)=1,IF(AND($E5=2,IF($W5=1,AIE5,LP5)=0),1000000000,IF($V5=1,INDEX('calcA'!$D$130:$EQ$169,$B5,78)+IF(AND($E5=1,LP5=0),25,0),INDEX('calcA'!CC$110:CC$114,$F5+1)+IF(AND($E5=1,LP5=0),1000,0)+IF($H5=1,INDEX('calcA'!$D$180:$EQ$219,$B5,78)*500,0)-IF(AND('calcA'!CB$117=1,WZ5&gt;0),300,0)-IF(AND($U5=1,'calcA'!CC$117=1,GB5=0),300,0))),1000000000))</f>
        <v/>
      </c>
      <c r="RF5">
        <f>IF($B5=0,1000000000,IF(INDEX('calcA'!$D$60:$EQ$99,$B5,79)*IF($W5=1,GB5+ACQ5,GB5)=1,IF(AND($E5=2,IF($W5=1,AIF5,LQ5)=0),1000000000,IF($V5=1,INDEX('calcA'!$D$130:$EQ$169,$B5,79)+IF(AND($E5=1,LQ5=0),25,0),INDEX('calcA'!CD$110:CD$114,$F5+1)+IF(AND($E5=1,LQ5=0),1000,0)+IF($H5=1,INDEX('calcA'!$D$180:$EQ$219,$B5,79)*500,0)-IF(AND('calcA'!CC$117=1,XA5&gt;0),300,0)-IF(AND($U5=1,'calcA'!CD$117=1,GC5=0),300,0))),1000000000))</f>
        <v/>
      </c>
      <c r="RG5">
        <f>IF($B5=0,1000000000,IF(INDEX('calcA'!$D$60:$EQ$99,$B5,80)*IF($W5=1,GC5+ACR5,GC5)=1,IF(AND($E5=2,IF($W5=1,AIG5,LR5)=0),1000000000,IF($V5=1,INDEX('calcA'!$D$130:$EQ$169,$B5,80)+IF(AND($E5=1,LR5=0),25,0),INDEX('calcA'!CE$110:CE$114,$F5+1)+IF(AND($E5=1,LR5=0),1000,0)+IF($H5=1,INDEX('calcA'!$D$180:$EQ$219,$B5,80)*500,0)-IF(AND('calcA'!CD$117=1,XB5&gt;0),300,0)-IF(AND($U5=1,'calcA'!CE$117=1,GD5=0),300,0))),1000000000))</f>
        <v/>
      </c>
      <c r="RH5">
        <f>IF($B5=0,1000000000,IF(INDEX('calcA'!$D$60:$EQ$99,$B5,81)*IF($W5=1,GD5+ACS5,GD5)=1,IF(AND($E5=2,IF($W5=1,AIH5,LS5)=0),1000000000,IF($V5=1,INDEX('calcA'!$D$130:$EQ$169,$B5,81)+IF(AND($E5=1,LS5=0),25,0),INDEX('calcA'!CF$110:CF$114,$F5+1)+IF(AND($E5=1,LS5=0),1000,0)+IF($H5=1,INDEX('calcA'!$D$180:$EQ$219,$B5,81)*500,0)-IF(AND('calcA'!CE$117=1,XC5&gt;0),300,0)-IF(AND($U5=1,'calcA'!CF$117=1,GE5=0),300,0))),1000000000))</f>
        <v/>
      </c>
      <c r="RI5">
        <f>IF($B5=0,1000000000,IF(INDEX('calcA'!$D$60:$EQ$99,$B5,82)*IF($W5=1,GE5+ACT5,GE5)=1,IF(AND($E5=2,IF($W5=1,AII5,LT5)=0),1000000000,IF($V5=1,INDEX('calcA'!$D$130:$EQ$169,$B5,82)+IF(AND($E5=1,LT5=0),25,0),INDEX('calcA'!CG$110:CG$114,$F5+1)+IF(AND($E5=1,LT5=0),1000,0)+IF($H5=1,INDEX('calcA'!$D$180:$EQ$219,$B5,82)*500,0)-IF(AND('calcA'!CF$117=1,XD5&gt;0),300,0)-IF(AND($U5=1,'calcA'!CG$117=1,GF5=0),300,0))),1000000000))</f>
        <v/>
      </c>
      <c r="RJ5">
        <f>IF($B5=0,1000000000,IF(INDEX('calcA'!$D$60:$EQ$99,$B5,83)*IF($W5=1,GF5+ACU5,GF5)=1,IF(AND($E5=2,IF($W5=1,AIJ5,LU5)=0),1000000000,IF($V5=1,INDEX('calcA'!$D$130:$EQ$169,$B5,83)+IF(AND($E5=1,LU5=0),25,0),INDEX('calcA'!CH$110:CH$114,$F5+1)+IF(AND($E5=1,LU5=0),1000,0)+IF($H5=1,INDEX('calcA'!$D$180:$EQ$219,$B5,83)*500,0)-IF(AND('calcA'!CG$117=1,XE5&gt;0),300,0)-IF(AND($U5=1,'calcA'!CH$117=1,GG5=0),300,0))),1000000000))</f>
        <v/>
      </c>
      <c r="RK5">
        <f>IF($B5=0,1000000000,IF(INDEX('calcA'!$D$60:$EQ$99,$B5,84)*IF($W5=1,GG5+ACV5,GG5)=1,IF(AND($E5=2,IF($W5=1,AIK5,LV5)=0),1000000000,IF($V5=1,INDEX('calcA'!$D$130:$EQ$169,$B5,84)+IF(AND($E5=1,LV5=0),25,0),INDEX('calcA'!CI$110:CI$114,$F5+1)+IF(AND($E5=1,LV5=0),1000,0)+IF($H5=1,INDEX('calcA'!$D$180:$EQ$219,$B5,84)*500,0)-IF(AND('calcA'!CH$117=1,XF5&gt;0),300,0)-IF(AND($U5=1,'calcA'!CI$117=1,GH5=0),300,0))),1000000000))</f>
        <v/>
      </c>
      <c r="RL5">
        <f>IF($B5=0,1000000000,IF(INDEX('calcA'!$D$60:$EQ$99,$B5,85)*IF($W5=1,GH5+ACW5,GH5)=1,IF(AND($E5=2,IF($W5=1,AIL5,LW5)=0),1000000000,IF($V5=1,INDEX('calcA'!$D$130:$EQ$169,$B5,85)+IF(AND($E5=1,LW5=0),25,0),INDEX('calcA'!CJ$110:CJ$114,$F5+1)+IF(AND($E5=1,LW5=0),1000,0)+IF($H5=1,INDEX('calcA'!$D$180:$EQ$219,$B5,85)*500,0)-IF(AND('calcA'!CI$117=1,XG5&gt;0),300,0)-IF(AND($U5=1,'calcA'!CJ$117=1,GI5=0),300,0))),1000000000))</f>
        <v/>
      </c>
      <c r="RM5">
        <f>IF($B5=0,1000000000,IF(INDEX('calcA'!$D$60:$EQ$99,$B5,86)*IF($W5=1,GI5+ACX5,GI5)=1,IF(AND($E5=2,IF($W5=1,AIM5,LX5)=0),1000000000,IF($V5=1,INDEX('calcA'!$D$130:$EQ$169,$B5,86)+IF(AND($E5=1,LX5=0),25,0),INDEX('calcA'!CK$110:CK$114,$F5+1)+IF(AND($E5=1,LX5=0),1000,0)+IF($H5=1,INDEX('calcA'!$D$180:$EQ$219,$B5,86)*500,0)-IF(AND('calcA'!CJ$117=1,XH5&gt;0),300,0)-IF(AND($U5=1,'calcA'!CK$117=1,GJ5=0),300,0))),1000000000))</f>
        <v/>
      </c>
      <c r="RN5">
        <f>IF($B5=0,1000000000,IF(INDEX('calcA'!$D$60:$EQ$99,$B5,87)*IF($W5=1,GJ5+ACY5,GJ5)=1,IF(AND($E5=2,IF($W5=1,AIN5,LY5)=0),1000000000,IF($V5=1,INDEX('calcA'!$D$130:$EQ$169,$B5,87)+IF(AND($E5=1,LY5=0),25,0),INDEX('calcA'!CL$110:CL$114,$F5+1)+IF(AND($E5=1,LY5=0),1000,0)+IF($H5=1,INDEX('calcA'!$D$180:$EQ$219,$B5,87)*500,0)-IF(AND('calcA'!CK$117=1,XI5&gt;0),300,0)-IF(AND($U5=1,'calcA'!CL$117=1,GK5=0),300,0))),1000000000))</f>
        <v/>
      </c>
      <c r="RO5">
        <f>IF($B5=0,1000000000,IF(INDEX('calcA'!$D$60:$EQ$99,$B5,88)*IF($W5=1,GK5+ACZ5,GK5)=1,IF(AND($E5=2,IF($W5=1,AIO5,LZ5)=0),1000000000,IF($V5=1,INDEX('calcA'!$D$130:$EQ$169,$B5,88)+IF(AND($E5=1,LZ5=0),25,0),INDEX('calcA'!CM$110:CM$114,$F5+1)+IF(AND($E5=1,LZ5=0),1000,0)+IF($H5=1,INDEX('calcA'!$D$180:$EQ$219,$B5,88)*500,0)-IF(AND('calcA'!CL$117=1,XJ5&gt;0),300,0)-IF(AND($U5=1,'calcA'!CM$117=1,GL5=0),300,0))),1000000000))</f>
        <v/>
      </c>
      <c r="RP5">
        <f>IF($B5=0,1000000000,IF(INDEX('calcA'!$D$60:$EQ$99,$B5,89)*IF($W5=1,GL5+ADA5,GL5)=1,IF(AND($E5=2,IF($W5=1,AIP5,MA5)=0),1000000000,IF($V5=1,INDEX('calcA'!$D$130:$EQ$169,$B5,89)+IF(AND($E5=1,MA5=0),25,0),INDEX('calcA'!CN$110:CN$114,$F5+1)+IF(AND($E5=1,MA5=0),1000,0)+IF($H5=1,INDEX('calcA'!$D$180:$EQ$219,$B5,89)*500,0)-IF(AND('calcA'!CM$117=1,XK5&gt;0),300,0)-IF(AND($U5=1,'calcA'!CN$117=1,GM5=0),300,0))),1000000000))</f>
        <v/>
      </c>
      <c r="RQ5">
        <f>IF($B5=0,1000000000,IF(INDEX('calcA'!$D$60:$EQ$99,$B5,90)*IF($W5=1,GM5+ADB5,GM5)=1,IF(AND($E5=2,IF($W5=1,AIQ5,MB5)=0),1000000000,IF($V5=1,INDEX('calcA'!$D$130:$EQ$169,$B5,90)+IF(AND($E5=1,MB5=0),25,0),INDEX('calcA'!CO$110:CO$114,$F5+1)+IF(AND($E5=1,MB5=0),1000,0)+IF($H5=1,INDEX('calcA'!$D$180:$EQ$219,$B5,90)*500,0)-IF(AND('calcA'!CN$117=1,XL5&gt;0),300,0)-IF(AND($U5=1,'calcA'!CO$117=1,GN5=0),300,0))),1000000000))</f>
        <v/>
      </c>
      <c r="RR5">
        <f>IF($B5=0,1000000000,IF(INDEX('calcA'!$D$60:$EQ$99,$B5,91)*IF($W5=1,GN5+ADC5,GN5)=1,IF(AND($E5=2,IF($W5=1,AIR5,MC5)=0),1000000000,IF($V5=1,INDEX('calcA'!$D$130:$EQ$169,$B5,91)+IF(AND($E5=1,MC5=0),25,0),INDEX('calcA'!CP$110:CP$114,$F5+1)+IF(AND($E5=1,MC5=0),1000,0)+IF($H5=1,INDEX('calcA'!$D$180:$EQ$219,$B5,91)*500,0)-IF(AND('calcA'!CO$117=1,XM5&gt;0),300,0)-IF(AND($U5=1,'calcA'!CP$117=1,GO5=0),300,0))),1000000000))</f>
        <v/>
      </c>
      <c r="RS5">
        <f>IF($B5=0,1000000000,IF(INDEX('calcA'!$D$60:$EQ$99,$B5,92)*IF($W5=1,GO5+ADD5,GO5)=1,IF(AND($E5=2,IF($W5=1,AIS5,MD5)=0),1000000000,IF($V5=1,INDEX('calcA'!$D$130:$EQ$169,$B5,92)+IF(AND($E5=1,MD5=0),25,0),INDEX('calcA'!CQ$110:CQ$114,$F5+1)+IF(AND($E5=1,MD5=0),1000,0)+IF($H5=1,INDEX('calcA'!$D$180:$EQ$219,$B5,92)*500,0)-IF(AND('calcA'!CP$117=1,XN5&gt;0),300,0)-IF(AND($U5=1,'calcA'!CQ$117=1,GP5=0),300,0))),1000000000))</f>
        <v/>
      </c>
      <c r="RT5">
        <f>IF($B5=0,1000000000,IF(INDEX('calcA'!$D$60:$EQ$99,$B5,93)*IF($W5=1,GP5+ADE5,GP5)=1,IF(AND($E5=2,IF($W5=1,AIT5,ME5)=0),1000000000,IF($V5=1,INDEX('calcA'!$D$130:$EQ$169,$B5,93)+IF(AND($E5=1,ME5=0),25,0),INDEX('calcA'!CR$110:CR$114,$F5+1)+IF(AND($E5=1,ME5=0),1000,0)+IF($H5=1,INDEX('calcA'!$D$180:$EQ$219,$B5,93)*500,0)-IF(AND('calcA'!CQ$117=1,XO5&gt;0),300,0)-IF(AND($U5=1,'calcA'!CR$117=1,GQ5=0),300,0))),1000000000))</f>
        <v/>
      </c>
      <c r="RU5">
        <f>IF($B5=0,1000000000,IF(INDEX('calcA'!$D$60:$EQ$99,$B5,94)*IF($W5=1,GQ5+ADF5,GQ5)=1,IF(AND($E5=2,IF($W5=1,AIU5,MF5)=0),1000000000,IF($V5=1,INDEX('calcA'!$D$130:$EQ$169,$B5,94)+IF(AND($E5=1,MF5=0),25,0),INDEX('calcA'!CS$110:CS$114,$F5+1)+IF(AND($E5=1,MF5=0),1000,0)+IF($H5=1,INDEX('calcA'!$D$180:$EQ$219,$B5,94)*500,0)-IF(AND('calcA'!CR$117=1,XP5&gt;0),300,0)-IF(AND($U5=1,'calcA'!CS$117=1,GR5=0),300,0))),1000000000))</f>
        <v/>
      </c>
      <c r="RV5">
        <f>IF($B5=0,1000000000,IF(INDEX('calcA'!$D$60:$EQ$99,$B5,95)*IF($W5=1,GR5+ADG5,GR5)=1,IF(AND($E5=2,IF($W5=1,AIV5,MG5)=0),1000000000,IF($V5=1,INDEX('calcA'!$D$130:$EQ$169,$B5,95)+IF(AND($E5=1,MG5=0),25,0),INDEX('calcA'!CT$110:CT$114,$F5+1)+IF(AND($E5=1,MG5=0),1000,0)+IF($H5=1,INDEX('calcA'!$D$180:$EQ$219,$B5,95)*500,0)-IF(AND('calcA'!CS$117=1,XQ5&gt;0),300,0)-IF(AND($U5=1,'calcA'!CT$117=1,GS5=0),300,0))),1000000000))</f>
        <v/>
      </c>
      <c r="RW5">
        <f>IF($B5=0,1000000000,IF(INDEX('calcA'!$D$60:$EQ$99,$B5,96)*IF($W5=1,GS5+ADH5,GS5)=1,IF(AND($E5=2,IF($W5=1,AIW5,MH5)=0),1000000000,IF($V5=1,INDEX('calcA'!$D$130:$EQ$169,$B5,96)+IF(AND($E5=1,MH5=0),25,0),INDEX('calcA'!CU$110:CU$114,$F5+1)+IF(AND($E5=1,MH5=0),1000,0)+IF($H5=1,INDEX('calcA'!$D$180:$EQ$219,$B5,96)*500,0)-IF(AND('calcA'!CT$117=1,XR5&gt;0),300,0))),1000000000))</f>
        <v/>
      </c>
      <c r="RX5">
        <f>IF($B5=0,1000000000,IF(INDEX('calcA'!$D$60:$EQ$99,$B5,97)*IF($W5=1,GT5+ADI5,GT5)=1,IF(AND($E5=2,IF($W5=1,AIX5,MI5)=0),1000000000,IF($V5=1,INDEX('calcA'!$D$130:$EQ$169,$B5,97)+IF(AND($E5=1,MI5=0),25,0),INDEX('calcA'!CV$110:CV$114,$F5+1)+IF(AND($E5=1,MI5=0),1000,0)+IF($H5=1,INDEX('calcA'!$D$180:$EQ$219,$B5,97)*500,0)-IF(AND($U5=1,'calcA'!CV$117=1,GU5=0),300,0))),1000000000))</f>
        <v/>
      </c>
      <c r="RY5">
        <f>IF($B5=0,1000000000,IF(INDEX('calcA'!$D$60:$EQ$99,$B5,98)*IF($W5=1,GU5+ADJ5,GU5)=1,IF(AND($E5=2,IF($W5=1,AIY5,MJ5)=0),1000000000,IF($V5=1,INDEX('calcA'!$D$130:$EQ$169,$B5,98)+IF(AND($E5=1,MJ5=0),25,0),INDEX('calcA'!CW$110:CW$114,$F5+1)+IF(AND($E5=1,MJ5=0),1000,0)+IF($H5=1,INDEX('calcA'!$D$180:$EQ$219,$B5,98)*500,0)-IF(AND('calcA'!CV$117=1,XT5&gt;0),300,0)-IF(AND($U5=1,'calcA'!CW$117=1,GV5=0),300,0))),1000000000))</f>
        <v/>
      </c>
      <c r="RZ5">
        <f>IF($B5=0,1000000000,IF(INDEX('calcA'!$D$60:$EQ$99,$B5,99)*IF($W5=1,GV5+ADK5,GV5)=1,IF(AND($E5=2,IF($W5=1,AIZ5,MK5)=0),1000000000,IF($V5=1,INDEX('calcA'!$D$130:$EQ$169,$B5,99)+IF(AND($E5=1,MK5=0),25,0),INDEX('calcA'!CX$110:CX$114,$F5+1)+IF(AND($E5=1,MK5=0),1000,0)+IF($H5=1,INDEX('calcA'!$D$180:$EQ$219,$B5,99)*500,0)-IF(AND('calcA'!CW$117=1,XU5&gt;0),300,0)-IF(AND($U5=1,'calcA'!CX$117=1,GW5=0),300,0))),1000000000))</f>
        <v/>
      </c>
      <c r="SA5">
        <f>IF($B5=0,1000000000,IF(INDEX('calcA'!$D$60:$EQ$99,$B5,100)*IF($W5=1,GW5+ADL5,GW5)=1,IF(AND($E5=2,IF($W5=1,AJA5,ML5)=0),1000000000,IF($V5=1,INDEX('calcA'!$D$130:$EQ$169,$B5,100)+IF(AND($E5=1,ML5=0),25,0),INDEX('calcA'!CY$110:CY$114,$F5+1)+IF(AND($E5=1,ML5=0),1000,0)+IF($H5=1,INDEX('calcA'!$D$180:$EQ$219,$B5,100)*500,0)-IF(AND('calcA'!CX$117=1,XV5&gt;0),300,0)-IF(AND($U5=1,'calcA'!CY$117=1,GX5=0),300,0))),1000000000))</f>
        <v/>
      </c>
      <c r="SB5">
        <f>IF($B5=0,1000000000,IF(INDEX('calcA'!$D$60:$EQ$99,$B5,101)*IF($W5=1,GX5+ADM5,GX5)=1,IF(AND($E5=2,IF($W5=1,AJB5,MM5)=0),1000000000,IF($V5=1,INDEX('calcA'!$D$130:$EQ$169,$B5,101)+IF(AND($E5=1,MM5=0),25,0),INDEX('calcA'!CZ$110:CZ$114,$F5+1)+IF(AND($E5=1,MM5=0),1000,0)+IF($H5=1,INDEX('calcA'!$D$180:$EQ$219,$B5,101)*500,0)-IF(AND('calcA'!CY$117=1,XW5&gt;0),300,0)-IF(AND($U5=1,'calcA'!CZ$117=1,GY5=0),300,0))),1000000000))</f>
        <v/>
      </c>
      <c r="SC5">
        <f>IF($B5=0,1000000000,IF(INDEX('calcA'!$D$60:$EQ$99,$B5,102)*IF($W5=1,GY5+ADN5,GY5)=1,IF(AND($E5=2,IF($W5=1,AJC5,MN5)=0),1000000000,IF($V5=1,INDEX('calcA'!$D$130:$EQ$169,$B5,102)+IF(AND($E5=1,MN5=0),25,0),INDEX('calcA'!DA$110:DA$114,$F5+1)+IF(AND($E5=1,MN5=0),1000,0)+IF($H5=1,INDEX('calcA'!$D$180:$EQ$219,$B5,102)*500,0)-IF(AND('calcA'!CZ$117=1,XX5&gt;0),300,0)-IF(AND($U5=1,'calcA'!DA$117=1,GZ5=0),300,0))),1000000000))</f>
        <v/>
      </c>
      <c r="SD5">
        <f>IF($B5=0,1000000000,IF(INDEX('calcA'!$D$60:$EQ$99,$B5,103)*IF($W5=1,GZ5+ADO5,GZ5)=1,IF(AND($E5=2,IF($W5=1,AJD5,MO5)=0),1000000000,IF($V5=1,INDEX('calcA'!$D$130:$EQ$169,$B5,103)+IF(AND($E5=1,MO5=0),25,0),INDEX('calcA'!DB$110:DB$114,$F5+1)+IF(AND($E5=1,MO5=0),1000,0)+IF($H5=1,INDEX('calcA'!$D$180:$EQ$219,$B5,103)*500,0)-IF(AND('calcA'!DA$117=1,XY5&gt;0),300,0)-IF(AND($U5=1,'calcA'!DB$117=1,HA5=0),300,0))),1000000000))</f>
        <v/>
      </c>
      <c r="SE5">
        <f>IF($B5=0,1000000000,IF(INDEX('calcA'!$D$60:$EQ$99,$B5,104)*IF($W5=1,HA5+ADP5,HA5)=1,IF(AND($E5=2,IF($W5=1,AJE5,MP5)=0),1000000000,IF($V5=1,INDEX('calcA'!$D$130:$EQ$169,$B5,104)+IF(AND($E5=1,MP5=0),25,0),INDEX('calcA'!DC$110:DC$114,$F5+1)+IF(AND($E5=1,MP5=0),1000,0)+IF($H5=1,INDEX('calcA'!$D$180:$EQ$219,$B5,104)*500,0)-IF(AND('calcA'!DB$117=1,XZ5&gt;0),300,0)-IF(AND($U5=1,'calcA'!DC$117=1,HB5=0),300,0))),1000000000))</f>
        <v/>
      </c>
      <c r="SF5">
        <f>IF($B5=0,1000000000,IF(INDEX('calcA'!$D$60:$EQ$99,$B5,105)*IF($W5=1,HB5+ADQ5,HB5)=1,IF(AND($E5=2,IF($W5=1,AJF5,MQ5)=0),1000000000,IF($V5=1,INDEX('calcA'!$D$130:$EQ$169,$B5,105)+IF(AND($E5=1,MQ5=0),25,0),INDEX('calcA'!DD$110:DD$114,$F5+1)+IF(AND($E5=1,MQ5=0),1000,0)+IF($H5=1,INDEX('calcA'!$D$180:$EQ$219,$B5,105)*500,0)-IF(AND('calcA'!DC$117=1,YA5&gt;0),300,0)-IF(AND($U5=1,'calcA'!DD$117=1,HC5=0),300,0))),1000000000))</f>
        <v/>
      </c>
      <c r="SG5">
        <f>IF($B5=0,1000000000,IF(INDEX('calcA'!$D$60:$EQ$99,$B5,106)*IF($W5=1,HC5+ADR5,HC5)=1,IF(AND($E5=2,IF($W5=1,AJG5,MR5)=0),1000000000,IF($V5=1,INDEX('calcA'!$D$130:$EQ$169,$B5,106)+IF(AND($E5=1,MR5=0),25,0),INDEX('calcA'!DE$110:DE$114,$F5+1)+IF(AND($E5=1,MR5=0),1000,0)+IF($H5=1,INDEX('calcA'!$D$180:$EQ$219,$B5,106)*500,0)-IF(AND('calcA'!DD$117=1,YB5&gt;0),300,0)-IF(AND($U5=1,'calcA'!DE$117=1,HD5=0),300,0))),1000000000))</f>
        <v/>
      </c>
      <c r="SH5">
        <f>IF($B5=0,1000000000,IF(INDEX('calcA'!$D$60:$EQ$99,$B5,107)*IF($W5=1,HD5+ADS5,HD5)=1,IF(AND($E5=2,IF($W5=1,AJH5,MS5)=0),1000000000,IF($V5=1,INDEX('calcA'!$D$130:$EQ$169,$B5,107)+IF(AND($E5=1,MS5=0),25,0),INDEX('calcA'!DF$110:DF$114,$F5+1)+IF(AND($E5=1,MS5=0),1000,0)+IF($H5=1,INDEX('calcA'!$D$180:$EQ$219,$B5,107)*500,0)-IF(AND('calcA'!DE$117=1,YC5&gt;0),300,0)-IF(AND($U5=1,'calcA'!DF$117=1,HE5=0),300,0))),1000000000))</f>
        <v/>
      </c>
      <c r="SI5">
        <f>IF($B5=0,1000000000,IF(INDEX('calcA'!$D$60:$EQ$99,$B5,108)*IF($W5=1,HE5+ADT5,HE5)=1,IF(AND($E5=2,IF($W5=1,AJI5,MT5)=0),1000000000,IF($V5=1,INDEX('calcA'!$D$130:$EQ$169,$B5,108)+IF(AND($E5=1,MT5=0),25,0),INDEX('calcA'!DG$110:DG$114,$F5+1)+IF(AND($E5=1,MT5=0),1000,0)+IF($H5=1,INDEX('calcA'!$D$180:$EQ$219,$B5,108)*500,0)-IF(AND('calcA'!DF$117=1,YD5&gt;0),300,0)-IF(AND($U5=1,'calcA'!DG$117=1,HF5=0),300,0))),1000000000))</f>
        <v/>
      </c>
      <c r="SJ5">
        <f>IF($B5=0,1000000000,IF(INDEX('calcA'!$D$60:$EQ$99,$B5,109)*IF($W5=1,HF5+ADU5,HF5)=1,IF(AND($E5=2,IF($W5=1,AJJ5,MU5)=0),1000000000,IF($V5=1,INDEX('calcA'!$D$130:$EQ$169,$B5,109)+IF(AND($E5=1,MU5=0),25,0),INDEX('calcA'!DH$110:DH$114,$F5+1)+IF(AND($E5=1,MU5=0),1000,0)+IF($H5=1,INDEX('calcA'!$D$180:$EQ$219,$B5,109)*500,0)-IF(AND('calcA'!DG$117=1,YE5&gt;0),300,0)-IF(AND($U5=1,'calcA'!DH$117=1,HG5=0),300,0))),1000000000))</f>
        <v/>
      </c>
      <c r="SK5">
        <f>IF($B5=0,1000000000,IF(INDEX('calcA'!$D$60:$EQ$99,$B5,110)*IF($W5=1,HG5+ADV5,HG5)=1,IF(AND($E5=2,IF($W5=1,AJK5,MV5)=0),1000000000,IF($V5=1,INDEX('calcA'!$D$130:$EQ$169,$B5,110)+IF(AND($E5=1,MV5=0),25,0),INDEX('calcA'!DI$110:DI$114,$F5+1)+IF(AND($E5=1,MV5=0),1000,0)+IF($H5=1,INDEX('calcA'!$D$180:$EQ$219,$B5,110)*500,0)-IF(AND('calcA'!DH$117=1,YF5&gt;0),300,0)-IF(AND($U5=1,'calcA'!DI$117=1,HH5=0),300,0))),1000000000))</f>
        <v/>
      </c>
      <c r="SL5">
        <f>IF($B5=0,1000000000,IF(INDEX('calcA'!$D$60:$EQ$99,$B5,111)*IF($W5=1,HH5+ADW5,HH5)=1,IF(AND($E5=2,IF($W5=1,AJL5,MW5)=0),1000000000,IF($V5=1,INDEX('calcA'!$D$130:$EQ$169,$B5,111)+IF(AND($E5=1,MW5=0),25,0),INDEX('calcA'!DJ$110:DJ$114,$F5+1)+IF(AND($E5=1,MW5=0),1000,0)+IF($H5=1,INDEX('calcA'!$D$180:$EQ$219,$B5,111)*500,0)-IF(AND('calcA'!DI$117=1,YG5&gt;0),300,0)-IF(AND($U5=1,'calcA'!DJ$117=1,HI5=0),300,0))),1000000000))</f>
        <v/>
      </c>
      <c r="SM5">
        <f>IF($B5=0,1000000000,IF(INDEX('calcA'!$D$60:$EQ$99,$B5,112)*IF($W5=1,HI5+ADX5,HI5)=1,IF(AND($E5=2,IF($W5=1,AJM5,MX5)=0),1000000000,IF($V5=1,INDEX('calcA'!$D$130:$EQ$169,$B5,112)+IF(AND($E5=1,MX5=0),25,0),INDEX('calcA'!DK$110:DK$114,$F5+1)+IF(AND($E5=1,MX5=0),1000,0)+IF($H5=1,INDEX('calcA'!$D$180:$EQ$219,$B5,112)*500,0)-IF(AND('calcA'!DJ$117=1,YH5&gt;0),300,0)-IF(AND($U5=1,'calcA'!DK$117=1,HJ5=0),300,0))),1000000000))</f>
        <v/>
      </c>
      <c r="SN5">
        <f>IF($B5=0,1000000000,IF(INDEX('calcA'!$D$60:$EQ$99,$B5,113)*IF($W5=1,HJ5+ADY5,HJ5)=1,IF(AND($E5=2,IF($W5=1,AJN5,MY5)=0),1000000000,IF($V5=1,INDEX('calcA'!$D$130:$EQ$169,$B5,113)+IF(AND($E5=1,MY5=0),25,0),INDEX('calcA'!DL$110:DL$114,$F5+1)+IF(AND($E5=1,MY5=0),1000,0)+IF($H5=1,INDEX('calcA'!$D$180:$EQ$219,$B5,113)*500,0)-IF(AND('calcA'!DK$117=1,YI5&gt;0),300,0)-IF(AND($U5=1,'calcA'!DL$117=1,HK5=0),300,0))),1000000000))</f>
        <v/>
      </c>
      <c r="SO5">
        <f>IF($B5=0,1000000000,IF(INDEX('calcA'!$D$60:$EQ$99,$B5,114)*IF($W5=1,HK5+ADZ5,HK5)=1,IF(AND($E5=2,IF($W5=1,AJO5,MZ5)=0),1000000000,IF($V5=1,INDEX('calcA'!$D$130:$EQ$169,$B5,114)+IF(AND($E5=1,MZ5=0),25,0),INDEX('calcA'!DM$110:DM$114,$F5+1)+IF(AND($E5=1,MZ5=0),1000,0)+IF($H5=1,INDEX('calcA'!$D$180:$EQ$219,$B5,114)*500,0)-IF(AND('calcA'!DL$117=1,YJ5&gt;0),300,0)-IF(AND($U5=1,'calcA'!DM$117=1,HL5=0),300,0))),1000000000))</f>
        <v/>
      </c>
      <c r="SP5">
        <f>IF($B5=0,1000000000,IF(INDEX('calcA'!$D$60:$EQ$99,$B5,115)*IF($W5=1,HL5+AEA5,HL5)=1,IF(AND($E5=2,IF($W5=1,AJP5,NA5)=0),1000000000,IF($V5=1,INDEX('calcA'!$D$130:$EQ$169,$B5,115)+IF(AND($E5=1,NA5=0),25,0),INDEX('calcA'!DN$110:DN$114,$F5+1)+IF(AND($E5=1,NA5=0),1000,0)+IF($H5=1,INDEX('calcA'!$D$180:$EQ$219,$B5,115)*500,0)-IF(AND('calcA'!DM$117=1,YK5&gt;0),300,0)-IF(AND($U5=1,'calcA'!DN$117=1,HM5=0),300,0))),1000000000))</f>
        <v/>
      </c>
      <c r="SQ5">
        <f>IF($B5=0,1000000000,IF(INDEX('calcA'!$D$60:$EQ$99,$B5,116)*IF($W5=1,HM5+AEB5,HM5)=1,IF(AND($E5=2,IF($W5=1,AJQ5,NB5)=0),1000000000,IF($V5=1,INDEX('calcA'!$D$130:$EQ$169,$B5,116)+IF(AND($E5=1,NB5=0),25,0),INDEX('calcA'!DO$110:DO$114,$F5+1)+IF(AND($E5=1,NB5=0),1000,0)+IF($H5=1,INDEX('calcA'!$D$180:$EQ$219,$B5,116)*500,0)-IF(AND('calcA'!DN$117=1,YL5&gt;0),300,0)-IF(AND($U5=1,'calcA'!DO$117=1,HN5=0),300,0))),1000000000))</f>
        <v/>
      </c>
      <c r="SR5">
        <f>IF($B5=0,1000000000,IF(INDEX('calcA'!$D$60:$EQ$99,$B5,117)*IF($W5=1,HN5+AEC5,HN5)=1,IF(AND($E5=2,IF($W5=1,AJR5,NC5)=0),1000000000,IF($V5=1,INDEX('calcA'!$D$130:$EQ$169,$B5,117)+IF(AND($E5=1,NC5=0),25,0),INDEX('calcA'!DP$110:DP$114,$F5+1)+IF(AND($E5=1,NC5=0),1000,0)+IF($H5=1,INDEX('calcA'!$D$180:$EQ$219,$B5,117)*500,0)-IF(AND('calcA'!DO$117=1,YM5&gt;0),300,0)-IF(AND($U5=1,'calcA'!DP$117=1,HO5=0),300,0))),1000000000))</f>
        <v/>
      </c>
      <c r="SS5">
        <f>IF($B5=0,1000000000,IF(INDEX('calcA'!$D$60:$EQ$99,$B5,118)*IF($W5=1,HO5+AED5,HO5)=1,IF(AND($E5=2,IF($W5=1,AJS5,ND5)=0),1000000000,IF($V5=1,INDEX('calcA'!$D$130:$EQ$169,$B5,118)+IF(AND($E5=1,ND5=0),25,0),INDEX('calcA'!DQ$110:DQ$114,$F5+1)+IF(AND($E5=1,ND5=0),1000,0)+IF($H5=1,INDEX('calcA'!$D$180:$EQ$219,$B5,118)*500,0)-IF(AND('calcA'!DP$117=1,YN5&gt;0),300,0)-IF(AND($U5=1,'calcA'!DQ$117=1,HP5=0),300,0))),1000000000))</f>
        <v/>
      </c>
      <c r="ST5">
        <f>IF($B5=0,1000000000,IF(INDEX('calcA'!$D$60:$EQ$99,$B5,119)*IF($W5=1,HP5+AEE5,HP5)=1,IF(AND($E5=2,IF($W5=1,AJT5,NE5)=0),1000000000,IF($V5=1,INDEX('calcA'!$D$130:$EQ$169,$B5,119)+IF(AND($E5=1,NE5=0),25,0),INDEX('calcA'!DR$110:DR$114,$F5+1)+IF(AND($E5=1,NE5=0),1000,0)+IF($H5=1,INDEX('calcA'!$D$180:$EQ$219,$B5,119)*500,0)-IF(AND('calcA'!DQ$117=1,YO5&gt;0),300,0)-IF(AND($U5=1,'calcA'!DR$117=1,HQ5=0),300,0))),1000000000))</f>
        <v/>
      </c>
      <c r="SU5">
        <f>IF($B5=0,1000000000,IF(INDEX('calcA'!$D$60:$EQ$99,$B5,120)*IF($W5=1,HQ5+AEF5,HQ5)=1,IF(AND($E5=2,IF($W5=1,AJU5,NF5)=0),1000000000,IF($V5=1,INDEX('calcA'!$D$130:$EQ$169,$B5,120)+IF(AND($E5=1,NF5=0),25,0),INDEX('calcA'!DS$110:DS$114,$F5+1)+IF(AND($E5=1,NF5=0),1000,0)+IF($H5=1,INDEX('calcA'!$D$180:$EQ$219,$B5,120)*500,0)-IF(AND('calcA'!DR$117=1,YP5&gt;0),300,0))),1000000000))</f>
        <v/>
      </c>
      <c r="SV5">
        <f>IF($B5=0,1000000000,IF(INDEX('calcA'!$D$60:$EQ$99,$B5,121)*IF($W5=1,HR5+AEG5,HR5)=1,IF(AND($E5=2,IF($W5=1,AJV5,NG5)=0),1000000000,IF($V5=1,INDEX('calcA'!$D$130:$EQ$169,$B5,121)+IF(AND($E5=1,NG5=0),25,0),INDEX('calcA'!DT$110:DT$114,$F5+1)+IF(AND($E5=1,NG5=0),1000,0)+IF($H5=1,INDEX('calcA'!$D$180:$EQ$219,$B5,121)*500,0)-IF(AND($U5=1,'calcA'!DT$117=1,HS5=0),300,0))),1000000000))</f>
        <v/>
      </c>
      <c r="SW5">
        <f>IF($B5=0,1000000000,IF(INDEX('calcA'!$D$60:$EQ$99,$B5,122)*IF($W5=1,HS5+AEH5,HS5)=1,IF(AND($E5=2,IF($W5=1,AJW5,NH5)=0),1000000000,IF($V5=1,INDEX('calcA'!$D$130:$EQ$169,$B5,122)+IF(AND($E5=1,NH5=0),25,0),INDEX('calcA'!DU$110:DU$114,$F5+1)+IF(AND($E5=1,NH5=0),1000,0)+IF($H5=1,INDEX('calcA'!$D$180:$EQ$219,$B5,122)*500,0)-IF(AND('calcA'!DT$117=1,YR5&gt;0),300,0)-IF(AND($U5=1,'calcA'!DU$117=1,HT5=0),300,0))),1000000000))</f>
        <v/>
      </c>
      <c r="SX5">
        <f>IF($B5=0,1000000000,IF(INDEX('calcA'!$D$60:$EQ$99,$B5,123)*IF($W5=1,HT5+AEI5,HT5)=1,IF(AND($E5=2,IF($W5=1,AJX5,NI5)=0),1000000000,IF($V5=1,INDEX('calcA'!$D$130:$EQ$169,$B5,123)+IF(AND($E5=1,NI5=0),25,0),INDEX('calcA'!DV$110:DV$114,$F5+1)+IF(AND($E5=1,NI5=0),1000,0)+IF($H5=1,INDEX('calcA'!$D$180:$EQ$219,$B5,123)*500,0)-IF(AND('calcA'!DU$117=1,YS5&gt;0),300,0)-IF(AND($U5=1,'calcA'!DV$117=1,HU5=0),300,0))),1000000000))</f>
        <v/>
      </c>
      <c r="SY5">
        <f>IF($B5=0,1000000000,IF(INDEX('calcA'!$D$60:$EQ$99,$B5,124)*IF($W5=1,HU5+AEJ5,HU5)=1,IF(AND($E5=2,IF($W5=1,AJY5,NJ5)=0),1000000000,IF($V5=1,INDEX('calcA'!$D$130:$EQ$169,$B5,124)+IF(AND($E5=1,NJ5=0),25,0),INDEX('calcA'!DW$110:DW$114,$F5+1)+IF(AND($E5=1,NJ5=0),1000,0)+IF($H5=1,INDEX('calcA'!$D$180:$EQ$219,$B5,124)*500,0)-IF(AND('calcA'!DV$117=1,YT5&gt;0),300,0)-IF(AND($U5=1,'calcA'!DW$117=1,HV5=0),300,0))),1000000000))</f>
        <v/>
      </c>
      <c r="SZ5">
        <f>IF($B5=0,1000000000,IF(INDEX('calcA'!$D$60:$EQ$99,$B5,125)*IF($W5=1,HV5+AEK5,HV5)=1,IF(AND($E5=2,IF($W5=1,AJZ5,NK5)=0),1000000000,IF($V5=1,INDEX('calcA'!$D$130:$EQ$169,$B5,125)+IF(AND($E5=1,NK5=0),25,0),INDEX('calcA'!DX$110:DX$114,$F5+1)+IF(AND($E5=1,NK5=0),1000,0)+IF($H5=1,INDEX('calcA'!$D$180:$EQ$219,$B5,125)*500,0)-IF(AND('calcA'!DW$117=1,YU5&gt;0),300,0)-IF(AND($U5=1,'calcA'!DX$117=1,HW5=0),300,0))),1000000000))</f>
        <v/>
      </c>
      <c r="TA5">
        <f>IF($B5=0,1000000000,IF(INDEX('calcA'!$D$60:$EQ$99,$B5,126)*IF($W5=1,HW5+AEL5,HW5)=1,IF(AND($E5=2,IF($W5=1,AKA5,NL5)=0),1000000000,IF($V5=1,INDEX('calcA'!$D$130:$EQ$169,$B5,126)+IF(AND($E5=1,NL5=0),25,0),INDEX('calcA'!DY$110:DY$114,$F5+1)+IF(AND($E5=1,NL5=0),1000,0)+IF($H5=1,INDEX('calcA'!$D$180:$EQ$219,$B5,126)*500,0)-IF(AND('calcA'!DX$117=1,YV5&gt;0),300,0)-IF(AND($U5=1,'calcA'!DY$117=1,HX5=0),300,0))),1000000000))</f>
        <v/>
      </c>
      <c r="TB5">
        <f>IF($B5=0,1000000000,IF(INDEX('calcA'!$D$60:$EQ$99,$B5,127)*IF($W5=1,HX5+AEM5,HX5)=1,IF(AND($E5=2,IF($W5=1,AKB5,NM5)=0),1000000000,IF($V5=1,INDEX('calcA'!$D$130:$EQ$169,$B5,127)+IF(AND($E5=1,NM5=0),25,0),INDEX('calcA'!DZ$110:DZ$114,$F5+1)+IF(AND($E5=1,NM5=0),1000,0)+IF($H5=1,INDEX('calcA'!$D$180:$EQ$219,$B5,127)*500,0)-IF(AND('calcA'!DY$117=1,YW5&gt;0),300,0)-IF(AND($U5=1,'calcA'!DZ$117=1,HY5=0),300,0))),1000000000))</f>
        <v/>
      </c>
      <c r="TC5">
        <f>IF($B5=0,1000000000,IF(INDEX('calcA'!$D$60:$EQ$99,$B5,128)*IF($W5=1,HY5+AEN5,HY5)=1,IF(AND($E5=2,IF($W5=1,AKC5,NN5)=0),1000000000,IF($V5=1,INDEX('calcA'!$D$130:$EQ$169,$B5,128)+IF(AND($E5=1,NN5=0),25,0),INDEX('calcA'!EA$110:EA$114,$F5+1)+IF(AND($E5=1,NN5=0),1000,0)+IF($H5=1,INDEX('calcA'!$D$180:$EQ$219,$B5,128)*500,0)-IF(AND('calcA'!DZ$117=1,YX5&gt;0),300,0)-IF(AND($U5=1,'calcA'!EA$117=1,HZ5=0),300,0))),1000000000))</f>
        <v/>
      </c>
      <c r="TD5">
        <f>IF($B5=0,1000000000,IF(INDEX('calcA'!$D$60:$EQ$99,$B5,129)*IF($W5=1,HZ5+AEO5,HZ5)=1,IF(AND($E5=2,IF($W5=1,AKD5,NO5)=0),1000000000,IF($V5=1,INDEX('calcA'!$D$130:$EQ$169,$B5,129)+IF(AND($E5=1,NO5=0),25,0),INDEX('calcA'!EB$110:EB$114,$F5+1)+IF(AND($E5=1,NO5=0),1000,0)+IF($H5=1,INDEX('calcA'!$D$180:$EQ$219,$B5,129)*500,0)-IF(AND('calcA'!EA$117=1,YY5&gt;0),300,0)-IF(AND($U5=1,'calcA'!EB$117=1,IA5=0),300,0))),1000000000))</f>
        <v/>
      </c>
      <c r="TE5">
        <f>IF($B5=0,1000000000,IF(INDEX('calcA'!$D$60:$EQ$99,$B5,130)*IF($W5=1,IA5+AEP5,IA5)=1,IF(AND($E5=2,IF($W5=1,AKE5,NP5)=0),1000000000,IF($V5=1,INDEX('calcA'!$D$130:$EQ$169,$B5,130)+IF(AND($E5=1,NP5=0),25,0),INDEX('calcA'!EC$110:EC$114,$F5+1)+IF(AND($E5=1,NP5=0),1000,0)+IF($H5=1,INDEX('calcA'!$D$180:$EQ$219,$B5,130)*500,0)-IF(AND('calcA'!EB$117=1,YZ5&gt;0),300,0)-IF(AND($U5=1,'calcA'!EC$117=1,IB5=0),300,0))),1000000000))</f>
        <v/>
      </c>
      <c r="TF5">
        <f>IF($B5=0,1000000000,IF(INDEX('calcA'!$D$60:$EQ$99,$B5,131)*IF($W5=1,IB5+AEQ5,IB5)=1,IF(AND($E5=2,IF($W5=1,AKF5,NQ5)=0),1000000000,IF($V5=1,INDEX('calcA'!$D$130:$EQ$169,$B5,131)+IF(AND($E5=1,NQ5=0),25,0),INDEX('calcA'!ED$110:ED$114,$F5+1)+IF(AND($E5=1,NQ5=0),1000,0)+IF($H5=1,INDEX('calcA'!$D$180:$EQ$219,$B5,131)*500,0)-IF(AND('calcA'!EC$117=1,ZA5&gt;0),300,0)-IF(AND($U5=1,'calcA'!ED$117=1,IC5=0),300,0))),1000000000))</f>
        <v/>
      </c>
      <c r="TG5">
        <f>IF($B5=0,1000000000,IF(INDEX('calcA'!$D$60:$EQ$99,$B5,132)*IF($W5=1,IC5+AER5,IC5)=1,IF(AND($E5=2,IF($W5=1,AKG5,NR5)=0),1000000000,IF($V5=1,INDEX('calcA'!$D$130:$EQ$169,$B5,132)+IF(AND($E5=1,NR5=0),25,0),INDEX('calcA'!EE$110:EE$114,$F5+1)+IF(AND($E5=1,NR5=0),1000,0)+IF($H5=1,INDEX('calcA'!$D$180:$EQ$219,$B5,132)*500,0)-IF(AND('calcA'!ED$117=1,ZB5&gt;0),300,0)-IF(AND($U5=1,'calcA'!EE$117=1,ID5=0),300,0))),1000000000))</f>
        <v/>
      </c>
      <c r="TH5">
        <f>IF($B5=0,1000000000,IF(INDEX('calcA'!$D$60:$EQ$99,$B5,133)*IF($W5=1,ID5+AES5,ID5)=1,IF(AND($E5=2,IF($W5=1,AKH5,NS5)=0),1000000000,IF($V5=1,INDEX('calcA'!$D$130:$EQ$169,$B5,133)+IF(AND($E5=1,NS5=0),25,0),INDEX('calcA'!EF$110:EF$114,$F5+1)+IF(AND($E5=1,NS5=0),1000,0)+IF($H5=1,INDEX('calcA'!$D$180:$EQ$219,$B5,133)*500,0)-IF(AND('calcA'!EE$117=1,ZC5&gt;0),300,0)-IF(AND($U5=1,'calcA'!EF$117=1,IE5=0),300,0))),1000000000))</f>
        <v/>
      </c>
      <c r="TI5">
        <f>IF($B5=0,1000000000,IF(INDEX('calcA'!$D$60:$EQ$99,$B5,134)*IF($W5=1,IE5+AET5,IE5)=1,IF(AND($E5=2,IF($W5=1,AKI5,NT5)=0),1000000000,IF($V5=1,INDEX('calcA'!$D$130:$EQ$169,$B5,134)+IF(AND($E5=1,NT5=0),25,0),INDEX('calcA'!EG$110:EG$114,$F5+1)+IF(AND($E5=1,NT5=0),1000,0)+IF($H5=1,INDEX('calcA'!$D$180:$EQ$219,$B5,134)*500,0)-IF(AND('calcA'!EF$117=1,ZD5&gt;0),300,0)-IF(AND($U5=1,'calcA'!EG$117=1,IF5=0),300,0))),1000000000))</f>
        <v/>
      </c>
      <c r="TJ5">
        <f>IF($B5=0,1000000000,IF(INDEX('calcA'!$D$60:$EQ$99,$B5,135)*IF($W5=1,IF5+AEU5,IF5)=1,IF(AND($E5=2,IF($W5=1,AKJ5,NU5)=0),1000000000,IF($V5=1,INDEX('calcA'!$D$130:$EQ$169,$B5,135)+IF(AND($E5=1,NU5=0),25,0),INDEX('calcA'!EH$110:EH$114,$F5+1)+IF(AND($E5=1,NU5=0),1000,0)+IF($H5=1,INDEX('calcA'!$D$180:$EQ$219,$B5,135)*500,0)-IF(AND('calcA'!EG$117=1,ZE5&gt;0),300,0)-IF(AND($U5=1,'calcA'!EH$117=1,IG5=0),300,0))),1000000000))</f>
        <v/>
      </c>
      <c r="TK5">
        <f>IF($B5=0,1000000000,IF(INDEX('calcA'!$D$60:$EQ$99,$B5,136)*IF($W5=1,IG5+AEV5,IG5)=1,IF(AND($E5=2,IF($W5=1,AKK5,NV5)=0),1000000000,IF($V5=1,INDEX('calcA'!$D$130:$EQ$169,$B5,136)+IF(AND($E5=1,NV5=0),25,0),INDEX('calcA'!EI$110:EI$114,$F5+1)+IF(AND($E5=1,NV5=0),1000,0)+IF($H5=1,INDEX('calcA'!$D$180:$EQ$219,$B5,136)*500,0)-IF(AND('calcA'!EH$117=1,ZF5&gt;0),300,0)-IF(AND($U5=1,'calcA'!EI$117=1,IH5=0),300,0))),1000000000))</f>
        <v/>
      </c>
      <c r="TL5">
        <f>IF($B5=0,1000000000,IF(INDEX('calcA'!$D$60:$EQ$99,$B5,137)*IF($W5=1,IH5+AEW5,IH5)=1,IF(AND($E5=2,IF($W5=1,AKL5,NW5)=0),1000000000,IF($V5=1,INDEX('calcA'!$D$130:$EQ$169,$B5,137)+IF(AND($E5=1,NW5=0),25,0),INDEX('calcA'!EJ$110:EJ$114,$F5+1)+IF(AND($E5=1,NW5=0),1000,0)+IF($H5=1,INDEX('calcA'!$D$180:$EQ$219,$B5,137)*500,0)-IF(AND('calcA'!EI$117=1,ZG5&gt;0),300,0)-IF(AND($U5=1,'calcA'!EJ$117=1,II5=0),300,0))),1000000000))</f>
        <v/>
      </c>
      <c r="TM5">
        <f>IF($B5=0,1000000000,IF(INDEX('calcA'!$D$60:$EQ$99,$B5,138)*IF($W5=1,II5+AEX5,II5)=1,IF(AND($E5=2,IF($W5=1,AKM5,NX5)=0),1000000000,IF($V5=1,INDEX('calcA'!$D$130:$EQ$169,$B5,138)+IF(AND($E5=1,NX5=0),25,0),INDEX('calcA'!EK$110:EK$114,$F5+1)+IF(AND($E5=1,NX5=0),1000,0)+IF($H5=1,INDEX('calcA'!$D$180:$EQ$219,$B5,138)*500,0)-IF(AND('calcA'!EJ$117=1,ZH5&gt;0),300,0)-IF(AND($U5=1,'calcA'!EK$117=1,IJ5=0),300,0))),1000000000))</f>
        <v/>
      </c>
      <c r="TN5">
        <f>IF($B5=0,1000000000,IF(INDEX('calcA'!$D$60:$EQ$99,$B5,139)*IF($W5=1,IJ5+AEY5,IJ5)=1,IF(AND($E5=2,IF($W5=1,AKN5,NY5)=0),1000000000,IF($V5=1,INDEX('calcA'!$D$130:$EQ$169,$B5,139)+IF(AND($E5=1,NY5=0),25,0),INDEX('calcA'!EL$110:EL$114,$F5+1)+IF(AND($E5=1,NY5=0),1000,0)+IF($H5=1,INDEX('calcA'!$D$180:$EQ$219,$B5,139)*500,0)-IF(AND('calcA'!EK$117=1,ZI5&gt;0),300,0)-IF(AND($U5=1,'calcA'!EL$117=1,IK5=0),300,0))),1000000000))</f>
        <v/>
      </c>
      <c r="TO5">
        <f>IF($B5=0,1000000000,IF(INDEX('calcA'!$D$60:$EQ$99,$B5,140)*IF($W5=1,IK5+AEZ5,IK5)=1,IF(AND($E5=2,IF($W5=1,AKO5,NZ5)=0),1000000000,IF($V5=1,INDEX('calcA'!$D$130:$EQ$169,$B5,140)+IF(AND($E5=1,NZ5=0),25,0),INDEX('calcA'!EM$110:EM$114,$F5+1)+IF(AND($E5=1,NZ5=0),1000,0)+IF($H5=1,INDEX('calcA'!$D$180:$EQ$219,$B5,140)*500,0)-IF(AND('calcA'!EL$117=1,ZJ5&gt;0),300,0)-IF(AND($U5=1,'calcA'!EM$117=1,IL5=0),300,0))),1000000000))</f>
        <v/>
      </c>
      <c r="TP5">
        <f>IF($B5=0,1000000000,IF(INDEX('calcA'!$D$60:$EQ$99,$B5,141)*IF($W5=1,IL5+AFA5,IL5)=1,IF(AND($E5=2,IF($W5=1,AKP5,OA5)=0),1000000000,IF($V5=1,INDEX('calcA'!$D$130:$EQ$169,$B5,141)+IF(AND($E5=1,OA5=0),25,0),INDEX('calcA'!EN$110:EN$114,$F5+1)+IF(AND($E5=1,OA5=0),1000,0)+IF($H5=1,INDEX('calcA'!$D$180:$EQ$219,$B5,141)*500,0)-IF(AND('calcA'!EM$117=1,ZK5&gt;0),300,0)-IF(AND($U5=1,'calcA'!EN$117=1,IM5=0),300,0))),1000000000))</f>
        <v/>
      </c>
      <c r="TQ5">
        <f>IF($B5=0,1000000000,IF(INDEX('calcA'!$D$60:$EQ$99,$B5,142)*IF($W5=1,IM5+AFB5,IM5)=1,IF(AND($E5=2,IF($W5=1,AKQ5,OB5)=0),1000000000,IF($V5=1,INDEX('calcA'!$D$130:$EQ$169,$B5,142)+IF(AND($E5=1,OB5=0),25,0),INDEX('calcA'!EO$110:EO$114,$F5+1)+IF(AND($E5=1,OB5=0),1000,0)+IF($H5=1,INDEX('calcA'!$D$180:$EQ$219,$B5,142)*500,0)-IF(AND('calcA'!EN$117=1,ZL5&gt;0),300,0)-IF(AND($U5=1,'calcA'!EO$117=1,IN5=0),300,0))),1000000000))</f>
        <v/>
      </c>
      <c r="TR5">
        <f>IF($B5=0,1000000000,IF(INDEX('calcA'!$D$60:$EQ$99,$B5,143)*IF($W5=1,IN5+AFC5,IN5)=1,IF(AND($E5=2,IF($W5=1,AKR5,OC5)=0),1000000000,IF($V5=1,INDEX('calcA'!$D$130:$EQ$169,$B5,143)+IF(AND($E5=1,OC5=0),25,0),INDEX('calcA'!EP$110:EP$114,$F5+1)+IF(AND($E5=1,OC5=0),1000,0)+IF($H5=1,INDEX('calcA'!$D$180:$EQ$219,$B5,143)*500,0)-IF(AND('calcA'!EO$117=1,ZM5&gt;0),300,0)-IF(AND($U5=1,'calcA'!EP$117=1,IO5=0),300,0))),1000000000))</f>
        <v/>
      </c>
      <c r="TS5">
        <f>IF($B5=0,1000000000,IF(INDEX('calcA'!$D$60:$EQ$99,$B5,144)*IF($W5=1,IO5+AFD5,IO5)=1,IF(AND($E5=2,IF($W5=1,AKS5,OD5)=0),1000000000,IF($V5=1,INDEX('calcA'!$D$130:$EQ$169,$B5,144)+IF(AND($E5=1,OD5=0),25,0),INDEX('calcA'!EQ$110:EQ$114,$F5+1)+IF(AND($E5=1,OD5=0),1000,0)+IF($H5=1,INDEX('calcA'!$D$180:$EQ$219,$B5,144)*500,0)-IF(AND('calcA'!EP$117=1,ZN5&gt;0),300,0))),1000000000))</f>
        <v/>
      </c>
      <c r="UB5">
        <f>UB4+IF(AND($C4=1,$U4=1),1,0)</f>
        <v/>
      </c>
      <c r="UC5">
        <f>UC4+IF(AND($C4=2,$U4=1),1,0)</f>
        <v/>
      </c>
      <c r="UD5">
        <f>UD4+IF(AND($C4=3,$U4=1),1,0)</f>
        <v/>
      </c>
      <c r="UE5">
        <f>UE4+IF(AND($C4=4,$U4=1),1,0)</f>
        <v/>
      </c>
      <c r="UF5">
        <f>UF4+IF(AND($C4=5,$U4=1),1,0)</f>
        <v/>
      </c>
      <c r="UG5">
        <f>UG4+IF(AND($C4=6,$U4=1),1,0)</f>
        <v/>
      </c>
      <c r="UH5">
        <f>UH4+IF(AND($C4=7,$U4=1),1,0)</f>
        <v/>
      </c>
      <c r="UI5">
        <f>UI4+IF(AND($C4=8,$U4=1),1,0)</f>
        <v/>
      </c>
      <c r="UJ5">
        <f>UJ4+IF(AND($C4=9,$U4=1),1,0)</f>
        <v/>
      </c>
      <c r="UK5">
        <f>UK4+IF(AND($C4=10,$U4=1),1,0)</f>
        <v/>
      </c>
      <c r="UL5">
        <f>UL4+IF(AND($C4=11,$U4=1),1,0)</f>
        <v/>
      </c>
      <c r="UM5">
        <f>UM4+IF(AND($C4=12,$U4=1),1,0)</f>
        <v/>
      </c>
      <c r="UN5">
        <f>UN4+IF(AND($C4=13,$U4=1),1,0)</f>
        <v/>
      </c>
      <c r="UO5">
        <f>UO4+IF(AND($C4=14,$U4=1),1,0)</f>
        <v/>
      </c>
      <c r="UP5">
        <f>UP4+IF(AND($C4=15,$U4=1),1,0)</f>
        <v/>
      </c>
      <c r="UQ5">
        <f>UQ4+IF(AND($C4=16,$U4=1),1,0)</f>
        <v/>
      </c>
      <c r="UR5">
        <f>UR4+IF(AND($C4=17,$U4=1),1,0)</f>
        <v/>
      </c>
      <c r="US5">
        <f>US4+IF(AND($C4=18,$U4=1),1,0)</f>
        <v/>
      </c>
      <c r="UT5">
        <f>UT4+IF(AND($C4=19,$U4=1),1,0)</f>
        <v/>
      </c>
      <c r="UU5">
        <f>UU4+IF(AND($C4=20,$U4=1),1,0)</f>
        <v/>
      </c>
      <c r="UV5">
        <f>UV4+IF(AND($C4=21,$U4=1),1,0)</f>
        <v/>
      </c>
      <c r="UW5">
        <f>UW4+IF(AND($C4=22,$U4=1),1,0)</f>
        <v/>
      </c>
      <c r="UX5">
        <f>UX4+IF(AND($C4=23,$U4=1),1,0)</f>
        <v/>
      </c>
      <c r="UY5">
        <f>UY4+IF(AND($C4=24,$U4=1),1,0)</f>
        <v/>
      </c>
      <c r="UZ5">
        <f>UZ4+IF(AND($C4=25,$U4=1),1,0)</f>
        <v/>
      </c>
      <c r="VA5">
        <f>VA4+IF(AND($C4=26,$U4=1),1,0)</f>
        <v/>
      </c>
      <c r="VB5">
        <f>VB4+IF(AND($C4=27,$U4=1),1,0)</f>
        <v/>
      </c>
      <c r="VC5">
        <f>VC4+IF(AND($C4=28,$U4=1),1,0)</f>
        <v/>
      </c>
      <c r="VD5">
        <f>VD4+IF(AND($C4=29,$U4=1),1,0)</f>
        <v/>
      </c>
      <c r="VE5">
        <f>VE4+IF(AND($C4=30,$U4=1),1,0)</f>
        <v/>
      </c>
      <c r="VF5">
        <f>VF4+IF(AND($C4=31,$U4=1),1,0)</f>
        <v/>
      </c>
      <c r="VG5">
        <f>VG4+IF(AND($C4=32,$U4=1),1,0)</f>
        <v/>
      </c>
      <c r="VH5">
        <f>VH4+IF(AND($C4=33,$U4=1),1,0)</f>
        <v/>
      </c>
      <c r="VI5">
        <f>VI4+IF(AND($C4=34,$U4=1),1,0)</f>
        <v/>
      </c>
      <c r="VJ5">
        <f>VJ4+IF(AND($C4=35,$U4=1),1,0)</f>
        <v/>
      </c>
      <c r="VK5">
        <f>VK4+IF(AND($C4=36,$U4=1),1,0)</f>
        <v/>
      </c>
      <c r="VL5">
        <f>VL4+IF(AND($C4=37,$U4=1),1,0)</f>
        <v/>
      </c>
      <c r="VM5">
        <f>VM4+IF(AND($C4=38,$U4=1),1,0)</f>
        <v/>
      </c>
      <c r="VN5">
        <f>VN4+IF(AND($C4=39,$U4=1),1,0)</f>
        <v/>
      </c>
      <c r="VO5">
        <f>VO4+IF(AND($C4=40,$U4=1),1,0)</f>
        <v/>
      </c>
      <c r="VP5">
        <f>VP4+IF(AND($C4=41,$U4=1),1,0)</f>
        <v/>
      </c>
      <c r="VQ5">
        <f>VQ4+IF(AND($C4=42,$U4=1),1,0)</f>
        <v/>
      </c>
      <c r="VR5">
        <f>VR4+IF(AND($C4=43,$U4=1),1,0)</f>
        <v/>
      </c>
      <c r="VS5">
        <f>VS4+IF(AND($C4=44,$U4=1),1,0)</f>
        <v/>
      </c>
      <c r="VT5">
        <f>VT4+IF(AND($C4=45,$U4=1),1,0)</f>
        <v/>
      </c>
      <c r="VU5">
        <f>VU4+IF(AND($C4=46,$U4=1),1,0)</f>
        <v/>
      </c>
      <c r="VV5">
        <f>VV4+IF(AND($C4=47,$U4=1),1,0)</f>
        <v/>
      </c>
      <c r="VW5">
        <f>VW4+IF(AND($C4=48,$U4=1),1,0)</f>
        <v/>
      </c>
      <c r="VX5">
        <f>VX4+IF(AND($C4=49,$U4=1),1,0)</f>
        <v/>
      </c>
      <c r="VY5">
        <f>VY4+IF(AND($C4=50,$U4=1),1,0)</f>
        <v/>
      </c>
      <c r="VZ5">
        <f>VZ4+IF(AND($C4=51,$U4=1),1,0)</f>
        <v/>
      </c>
      <c r="WA5">
        <f>WA4+IF(AND($C4=52,$U4=1),1,0)</f>
        <v/>
      </c>
      <c r="WB5">
        <f>WB4+IF(AND($C4=53,$U4=1),1,0)</f>
        <v/>
      </c>
      <c r="WC5">
        <f>WC4+IF(AND($C4=54,$U4=1),1,0)</f>
        <v/>
      </c>
      <c r="WD5">
        <f>WD4+IF(AND($C4=55,$U4=1),1,0)</f>
        <v/>
      </c>
      <c r="WE5">
        <f>WE4+IF(AND($C4=56,$U4=1),1,0)</f>
        <v/>
      </c>
      <c r="WF5">
        <f>WF4+IF(AND($C4=57,$U4=1),1,0)</f>
        <v/>
      </c>
      <c r="WG5">
        <f>WG4+IF(AND($C4=58,$U4=1),1,0)</f>
        <v/>
      </c>
      <c r="WH5">
        <f>WH4+IF(AND($C4=59,$U4=1),1,0)</f>
        <v/>
      </c>
      <c r="WI5">
        <f>WI4+IF(AND($C4=60,$U4=1),1,0)</f>
        <v/>
      </c>
      <c r="WJ5">
        <f>WJ4+IF(AND($C4=61,$U4=1),1,0)</f>
        <v/>
      </c>
      <c r="WK5">
        <f>WK4+IF(AND($C4=62,$U4=1),1,0)</f>
        <v/>
      </c>
      <c r="WL5">
        <f>WL4+IF(AND($C4=63,$U4=1),1,0)</f>
        <v/>
      </c>
      <c r="WM5">
        <f>WM4+IF(AND($C4=64,$U4=1),1,0)</f>
        <v/>
      </c>
      <c r="WN5">
        <f>WN4+IF(AND($C4=65,$U4=1),1,0)</f>
        <v/>
      </c>
      <c r="WO5">
        <f>WO4+IF(AND($C4=66,$U4=1),1,0)</f>
        <v/>
      </c>
      <c r="WP5">
        <f>WP4+IF(AND($C4=67,$U4=1),1,0)</f>
        <v/>
      </c>
      <c r="WQ5">
        <f>WQ4+IF(AND($C4=68,$U4=1),1,0)</f>
        <v/>
      </c>
      <c r="WR5">
        <f>WR4+IF(AND($C4=69,$U4=1),1,0)</f>
        <v/>
      </c>
      <c r="WS5">
        <f>WS4+IF(AND($C4=70,$U4=1),1,0)</f>
        <v/>
      </c>
      <c r="WT5">
        <f>WT4+IF(AND($C4=71,$U4=1),1,0)</f>
        <v/>
      </c>
      <c r="WU5">
        <f>WU4+IF(AND($C4=72,$U4=1),1,0)</f>
        <v/>
      </c>
      <c r="WV5">
        <f>WV4+IF(AND($C4=73,$U4=1),1,0)</f>
        <v/>
      </c>
      <c r="WW5">
        <f>WW4+IF(AND($C4=74,$U4=1),1,0)</f>
        <v/>
      </c>
      <c r="WX5">
        <f>WX4+IF(AND($C4=75,$U4=1),1,0)</f>
        <v/>
      </c>
      <c r="WY5">
        <f>WY4+IF(AND($C4=76,$U4=1),1,0)</f>
        <v/>
      </c>
      <c r="WZ5">
        <f>WZ4+IF(AND($C4=77,$U4=1),1,0)</f>
        <v/>
      </c>
      <c r="XA5">
        <f>XA4+IF(AND($C4=78,$U4=1),1,0)</f>
        <v/>
      </c>
      <c r="XB5">
        <f>XB4+IF(AND($C4=79,$U4=1),1,0)</f>
        <v/>
      </c>
      <c r="XC5">
        <f>XC4+IF(AND($C4=80,$U4=1),1,0)</f>
        <v/>
      </c>
      <c r="XD5">
        <f>XD4+IF(AND($C4=81,$U4=1),1,0)</f>
        <v/>
      </c>
      <c r="XE5">
        <f>XE4+IF(AND($C4=82,$U4=1),1,0)</f>
        <v/>
      </c>
      <c r="XF5">
        <f>XF4+IF(AND($C4=83,$U4=1),1,0)</f>
        <v/>
      </c>
      <c r="XG5">
        <f>XG4+IF(AND($C4=84,$U4=1),1,0)</f>
        <v/>
      </c>
      <c r="XH5">
        <f>XH4+IF(AND($C4=85,$U4=1),1,0)</f>
        <v/>
      </c>
      <c r="XI5">
        <f>XI4+IF(AND($C4=86,$U4=1),1,0)</f>
        <v/>
      </c>
      <c r="XJ5">
        <f>XJ4+IF(AND($C4=87,$U4=1),1,0)</f>
        <v/>
      </c>
      <c r="XK5">
        <f>XK4+IF(AND($C4=88,$U4=1),1,0)</f>
        <v/>
      </c>
      <c r="XL5">
        <f>XL4+IF(AND($C4=89,$U4=1),1,0)</f>
        <v/>
      </c>
      <c r="XM5">
        <f>XM4+IF(AND($C4=90,$U4=1),1,0)</f>
        <v/>
      </c>
      <c r="XN5">
        <f>XN4+IF(AND($C4=91,$U4=1),1,0)</f>
        <v/>
      </c>
      <c r="XO5">
        <f>XO4+IF(AND($C4=92,$U4=1),1,0)</f>
        <v/>
      </c>
      <c r="XP5">
        <f>XP4+IF(AND($C4=93,$U4=1),1,0)</f>
        <v/>
      </c>
      <c r="XQ5">
        <f>XQ4+IF(AND($C4=94,$U4=1),1,0)</f>
        <v/>
      </c>
      <c r="XR5">
        <f>XR4+IF(AND($C4=95,$U4=1),1,0)</f>
        <v/>
      </c>
      <c r="XS5">
        <f>XS4+IF(AND($C4=96,$U4=1),1,0)</f>
        <v/>
      </c>
      <c r="XT5">
        <f>XT4+IF(AND($C4=97,$U4=1),1,0)</f>
        <v/>
      </c>
      <c r="XU5">
        <f>XU4+IF(AND($C4=98,$U4=1),1,0)</f>
        <v/>
      </c>
      <c r="XV5">
        <f>XV4+IF(AND($C4=99,$U4=1),1,0)</f>
        <v/>
      </c>
      <c r="XW5">
        <f>XW4+IF(AND($C4=100,$U4=1),1,0)</f>
        <v/>
      </c>
      <c r="XX5">
        <f>XX4+IF(AND($C4=101,$U4=1),1,0)</f>
        <v/>
      </c>
      <c r="XY5">
        <f>XY4+IF(AND($C4=102,$U4=1),1,0)</f>
        <v/>
      </c>
      <c r="XZ5">
        <f>XZ4+IF(AND($C4=103,$U4=1),1,0)</f>
        <v/>
      </c>
      <c r="YA5">
        <f>YA4+IF(AND($C4=104,$U4=1),1,0)</f>
        <v/>
      </c>
      <c r="YB5">
        <f>YB4+IF(AND($C4=105,$U4=1),1,0)</f>
        <v/>
      </c>
      <c r="YC5">
        <f>YC4+IF(AND($C4=106,$U4=1),1,0)</f>
        <v/>
      </c>
      <c r="YD5">
        <f>YD4+IF(AND($C4=107,$U4=1),1,0)</f>
        <v/>
      </c>
      <c r="YE5">
        <f>YE4+IF(AND($C4=108,$U4=1),1,0)</f>
        <v/>
      </c>
      <c r="YF5">
        <f>YF4+IF(AND($C4=109,$U4=1),1,0)</f>
        <v/>
      </c>
      <c r="YG5">
        <f>YG4+IF(AND($C4=110,$U4=1),1,0)</f>
        <v/>
      </c>
      <c r="YH5">
        <f>YH4+IF(AND($C4=111,$U4=1),1,0)</f>
        <v/>
      </c>
      <c r="YI5">
        <f>YI4+IF(AND($C4=112,$U4=1),1,0)</f>
        <v/>
      </c>
      <c r="YJ5">
        <f>YJ4+IF(AND($C4=113,$U4=1),1,0)</f>
        <v/>
      </c>
      <c r="YK5">
        <f>YK4+IF(AND($C4=114,$U4=1),1,0)</f>
        <v/>
      </c>
      <c r="YL5">
        <f>YL4+IF(AND($C4=115,$U4=1),1,0)</f>
        <v/>
      </c>
      <c r="YM5">
        <f>YM4+IF(AND($C4=116,$U4=1),1,0)</f>
        <v/>
      </c>
      <c r="YN5">
        <f>YN4+IF(AND($C4=117,$U4=1),1,0)</f>
        <v/>
      </c>
      <c r="YO5">
        <f>YO4+IF(AND($C4=118,$U4=1),1,0)</f>
        <v/>
      </c>
      <c r="YP5">
        <f>YP4+IF(AND($C4=119,$U4=1),1,0)</f>
        <v/>
      </c>
      <c r="YQ5">
        <f>YQ4+IF(AND($C4=120,$U4=1),1,0)</f>
        <v/>
      </c>
      <c r="YR5">
        <f>YR4+IF(AND($C4=121,$U4=1),1,0)</f>
        <v/>
      </c>
      <c r="YS5">
        <f>YS4+IF(AND($C4=122,$U4=1),1,0)</f>
        <v/>
      </c>
      <c r="YT5">
        <f>YT4+IF(AND($C4=123,$U4=1),1,0)</f>
        <v/>
      </c>
      <c r="YU5">
        <f>YU4+IF(AND($C4=124,$U4=1),1,0)</f>
        <v/>
      </c>
      <c r="YV5">
        <f>YV4+IF(AND($C4=125,$U4=1),1,0)</f>
        <v/>
      </c>
      <c r="YW5">
        <f>YW4+IF(AND($C4=126,$U4=1),1,0)</f>
        <v/>
      </c>
      <c r="YX5">
        <f>YX4+IF(AND($C4=127,$U4=1),1,0)</f>
        <v/>
      </c>
      <c r="YY5">
        <f>YY4+IF(AND($C4=128,$U4=1),1,0)</f>
        <v/>
      </c>
      <c r="YZ5">
        <f>YZ4+IF(AND($C4=129,$U4=1),1,0)</f>
        <v/>
      </c>
      <c r="ZA5">
        <f>ZA4+IF(AND($C4=130,$U4=1),1,0)</f>
        <v/>
      </c>
      <c r="ZB5">
        <f>ZB4+IF(AND($C4=131,$U4=1),1,0)</f>
        <v/>
      </c>
      <c r="ZC5">
        <f>ZC4+IF(AND($C4=132,$U4=1),1,0)</f>
        <v/>
      </c>
      <c r="ZD5">
        <f>ZD4+IF(AND($C4=133,$U4=1),1,0)</f>
        <v/>
      </c>
      <c r="ZE5">
        <f>ZE4+IF(AND($C4=134,$U4=1),1,0)</f>
        <v/>
      </c>
      <c r="ZF5">
        <f>ZF4+IF(AND($C4=135,$U4=1),1,0)</f>
        <v/>
      </c>
      <c r="ZG5">
        <f>ZG4+IF(AND($C4=136,$U4=1),1,0)</f>
        <v/>
      </c>
      <c r="ZH5">
        <f>ZH4+IF(AND($C4=137,$U4=1),1,0)</f>
        <v/>
      </c>
      <c r="ZI5">
        <f>ZI4+IF(AND($C4=138,$U4=1),1,0)</f>
        <v/>
      </c>
      <c r="ZJ5">
        <f>ZJ4+IF(AND($C4=139,$U4=1),1,0)</f>
        <v/>
      </c>
      <c r="ZK5">
        <f>ZK4+IF(AND($C4=140,$U4=1),1,0)</f>
        <v/>
      </c>
      <c r="ZL5">
        <f>ZL4+IF(AND($C4=141,$U4=1),1,0)</f>
        <v/>
      </c>
      <c r="ZM5">
        <f>ZM4+IF(AND($C4=142,$U4=1),1,0)</f>
        <v/>
      </c>
      <c r="ZN5">
        <f>ZN4+IF(AND($C4=143,$U4=1),1,0)</f>
        <v/>
      </c>
      <c r="ZO5">
        <f>ZO4+IF(AND($C4=144,$U4=1),1,0)</f>
        <v/>
      </c>
      <c r="ZQ5">
        <f>IF($C4=1,0,ZQ4+IF(AND($G4=1,$E4=1),1,0))</f>
        <v/>
      </c>
      <c r="ZR5">
        <f>IF($C4=2,0,ZR4+IF(AND($G4=2,$E4=1),1,0))</f>
        <v/>
      </c>
      <c r="ZS5">
        <f>IF($C4=3,0,ZS4+IF(AND($G4=3,$E4=1),1,0))</f>
        <v/>
      </c>
      <c r="ZT5">
        <f>IF($C4=4,0,ZT4+IF(AND($G4=4,$E4=1),1,0))</f>
        <v/>
      </c>
      <c r="ZU5">
        <f>IF($C4=5,0,ZU4+IF(AND($G4=5,$E4=1),1,0))</f>
        <v/>
      </c>
      <c r="ZV5">
        <f>IF($C4=6,0,ZV4+IF(AND($G4=6,$E4=1),1,0))</f>
        <v/>
      </c>
      <c r="ZW5">
        <f>IF($C4=7,0,ZW4+IF(AND($G4=7,$E4=1),1,0))</f>
        <v/>
      </c>
      <c r="ZX5">
        <f>IF($C4=8,0,ZX4+IF(AND($G4=8,$E4=1),1,0))</f>
        <v/>
      </c>
      <c r="ZY5">
        <f>IF($C4=9,0,ZY4+IF(AND($G4=9,$E4=1),1,0))</f>
        <v/>
      </c>
      <c r="ZZ5">
        <f>IF($C4=10,0,ZZ4+IF(AND($G4=10,$E4=1),1,0))</f>
        <v/>
      </c>
      <c r="AAA5">
        <f>IF($C4=11,0,AAA4+IF(AND($G4=11,$E4=1),1,0))</f>
        <v/>
      </c>
      <c r="AAB5">
        <f>IF($C4=12,0,AAB4+IF(AND($G4=12,$E4=1),1,0))</f>
        <v/>
      </c>
      <c r="AAC5">
        <f>IF($C4=13,0,AAC4+IF(AND($G4=13,$E4=1),1,0))</f>
        <v/>
      </c>
      <c r="AAD5">
        <f>IF($C4=14,0,AAD4+IF(AND($G4=14,$E4=1),1,0))</f>
        <v/>
      </c>
      <c r="AAE5">
        <f>IF($C4=15,0,AAE4+IF(AND($G4=15,$E4=1),1,0))</f>
        <v/>
      </c>
      <c r="AAF5">
        <f>IF($C4=16,0,AAF4+IF(AND($G4=16,$E4=1),1,0))</f>
        <v/>
      </c>
      <c r="AAG5">
        <f>IF($C4=17,0,AAG4+IF(AND($G4=17,$E4=1),1,0))</f>
        <v/>
      </c>
      <c r="AAH5">
        <f>IF($C4=18,0,AAH4+IF(AND($G4=18,$E4=1),1,0))</f>
        <v/>
      </c>
      <c r="AAI5">
        <f>IF($C4=19,0,AAI4+IF(AND($G4=19,$E4=1),1,0))</f>
        <v/>
      </c>
      <c r="AAJ5">
        <f>IF($C4=20,0,AAJ4+IF(AND($G4=20,$E4=1),1,0))</f>
        <v/>
      </c>
      <c r="AAK5">
        <f>IF($C4=21,0,AAK4+IF(AND($G4=21,$E4=1),1,0))</f>
        <v/>
      </c>
      <c r="AAL5">
        <f>IF($C4=22,0,AAL4+IF(AND($G4=22,$E4=1),1,0))</f>
        <v/>
      </c>
      <c r="AAM5">
        <f>IF($C4=23,0,AAM4+IF(AND($G4=23,$E4=1),1,0))</f>
        <v/>
      </c>
      <c r="AAN5">
        <f>IF($C4=24,0,AAN4+IF(AND($G4=24,$E4=1),1,0))</f>
        <v/>
      </c>
      <c r="AAO5">
        <f>IF($C4=25,0,AAO4+IF(AND($G4=25,$E4=1),1,0))</f>
        <v/>
      </c>
      <c r="AAP5">
        <f>IF($C4=26,0,AAP4+IF(AND($G4=26,$E4=1),1,0))</f>
        <v/>
      </c>
      <c r="AAQ5">
        <f>IF($C4=27,0,AAQ4+IF(AND($G4=27,$E4=1),1,0))</f>
        <v/>
      </c>
      <c r="AAR5">
        <f>IF($C4=28,0,AAR4+IF(AND($G4=28,$E4=1),1,0))</f>
        <v/>
      </c>
      <c r="AAS5">
        <f>IF($C4=29,0,AAS4+IF(AND($G4=29,$E4=1),1,0))</f>
        <v/>
      </c>
      <c r="AAT5">
        <f>IF($C4=30,0,AAT4+IF(AND($G4=30,$E4=1),1,0))</f>
        <v/>
      </c>
      <c r="AAU5">
        <f>IF($C4=31,0,AAU4+IF(AND($G4=31,$E4=1),1,0))</f>
        <v/>
      </c>
      <c r="AAV5">
        <f>IF($C4=32,0,AAV4+IF(AND($G4=32,$E4=1),1,0))</f>
        <v/>
      </c>
      <c r="AAW5">
        <f>IF($C4=33,0,AAW4+IF(AND($G4=33,$E4=1),1,0))</f>
        <v/>
      </c>
      <c r="AAX5">
        <f>IF($C4=34,0,AAX4+IF(AND($G4=34,$E4=1),1,0))</f>
        <v/>
      </c>
      <c r="AAY5">
        <f>IF($C4=35,0,AAY4+IF(AND($G4=35,$E4=1),1,0))</f>
        <v/>
      </c>
      <c r="AAZ5">
        <f>IF($C4=36,0,AAZ4+IF(AND($G4=36,$E4=1),1,0))</f>
        <v/>
      </c>
      <c r="ABA5">
        <f>IF($C4=37,0,ABA4+IF(AND($G4=37,$E4=1),1,0))</f>
        <v/>
      </c>
      <c r="ABB5">
        <f>IF($C4=38,0,ABB4+IF(AND($G4=38,$E4=1),1,0))</f>
        <v/>
      </c>
      <c r="ABC5">
        <f>IF($C4=39,0,ABC4+IF(AND($G4=39,$E4=1),1,0))</f>
        <v/>
      </c>
      <c r="ABD5">
        <f>IF($C4=40,0,ABD4+IF(AND($G4=40,$E4=1),1,0))</f>
        <v/>
      </c>
      <c r="ABE5">
        <f>IF($C4=41,0,ABE4+IF(AND($G4=41,$E4=1),1,0))</f>
        <v/>
      </c>
      <c r="ABF5">
        <f>IF($C4=42,0,ABF4+IF(AND($G4=42,$E4=1),1,0))</f>
        <v/>
      </c>
      <c r="ABG5">
        <f>IF($C4=43,0,ABG4+IF(AND($G4=43,$E4=1),1,0))</f>
        <v/>
      </c>
      <c r="ABH5">
        <f>IF($C4=44,0,ABH4+IF(AND($G4=44,$E4=1),1,0))</f>
        <v/>
      </c>
      <c r="ABI5">
        <f>IF($C4=45,0,ABI4+IF(AND($G4=45,$E4=1),1,0))</f>
        <v/>
      </c>
      <c r="ABJ5">
        <f>IF($C4=46,0,ABJ4+IF(AND($G4=46,$E4=1),1,0))</f>
        <v/>
      </c>
      <c r="ABK5">
        <f>IF($C4=47,0,ABK4+IF(AND($G4=47,$E4=1),1,0))</f>
        <v/>
      </c>
      <c r="ABL5">
        <f>IF($C4=48,0,ABL4+IF(AND($G4=48,$E4=1),1,0))</f>
        <v/>
      </c>
      <c r="ABM5">
        <f>IF($C4=49,0,ABM4+IF(AND($G4=49,$E4=1),1,0))</f>
        <v/>
      </c>
      <c r="ABN5">
        <f>IF($C4=50,0,ABN4+IF(AND($G4=50,$E4=1),1,0))</f>
        <v/>
      </c>
      <c r="ABO5">
        <f>IF($C4=51,0,ABO4+IF(AND($G4=51,$E4=1),1,0))</f>
        <v/>
      </c>
      <c r="ABP5">
        <f>IF($C4=52,0,ABP4+IF(AND($G4=52,$E4=1),1,0))</f>
        <v/>
      </c>
      <c r="ABQ5">
        <f>IF($C4=53,0,ABQ4+IF(AND($G4=53,$E4=1),1,0))</f>
        <v/>
      </c>
      <c r="ABR5">
        <f>IF($C4=54,0,ABR4+IF(AND($G4=54,$E4=1),1,0))</f>
        <v/>
      </c>
      <c r="ABS5">
        <f>IF($C4=55,0,ABS4+IF(AND($G4=55,$E4=1),1,0))</f>
        <v/>
      </c>
      <c r="ABT5">
        <f>IF($C4=56,0,ABT4+IF(AND($G4=56,$E4=1),1,0))</f>
        <v/>
      </c>
      <c r="ABU5">
        <f>IF($C4=57,0,ABU4+IF(AND($G4=57,$E4=1),1,0))</f>
        <v/>
      </c>
      <c r="ABV5">
        <f>IF($C4=58,0,ABV4+IF(AND($G4=58,$E4=1),1,0))</f>
        <v/>
      </c>
      <c r="ABW5">
        <f>IF($C4=59,0,ABW4+IF(AND($G4=59,$E4=1),1,0))</f>
        <v/>
      </c>
      <c r="ABX5">
        <f>IF($C4=60,0,ABX4+IF(AND($G4=60,$E4=1),1,0))</f>
        <v/>
      </c>
      <c r="ABY5">
        <f>IF($C4=61,0,ABY4+IF(AND($G4=61,$E4=1),1,0))</f>
        <v/>
      </c>
      <c r="ABZ5">
        <f>IF($C4=62,0,ABZ4+IF(AND($G4=62,$E4=1),1,0))</f>
        <v/>
      </c>
      <c r="ACA5">
        <f>IF($C4=63,0,ACA4+IF(AND($G4=63,$E4=1),1,0))</f>
        <v/>
      </c>
      <c r="ACB5">
        <f>IF($C4=64,0,ACB4+IF(AND($G4=64,$E4=1),1,0))</f>
        <v/>
      </c>
      <c r="ACC5">
        <f>IF($C4=65,0,ACC4+IF(AND($G4=65,$E4=1),1,0))</f>
        <v/>
      </c>
      <c r="ACD5">
        <f>IF($C4=66,0,ACD4+IF(AND($G4=66,$E4=1),1,0))</f>
        <v/>
      </c>
      <c r="ACE5">
        <f>IF($C4=67,0,ACE4+IF(AND($G4=67,$E4=1),1,0))</f>
        <v/>
      </c>
      <c r="ACF5">
        <f>IF($C4=68,0,ACF4+IF(AND($G4=68,$E4=1),1,0))</f>
        <v/>
      </c>
      <c r="ACG5">
        <f>IF($C4=69,0,ACG4+IF(AND($G4=69,$E4=1),1,0))</f>
        <v/>
      </c>
      <c r="ACH5">
        <f>IF($C4=70,0,ACH4+IF(AND($G4=70,$E4=1),1,0))</f>
        <v/>
      </c>
      <c r="ACI5">
        <f>IF($C4=71,0,ACI4+IF(AND($G4=71,$E4=1),1,0))</f>
        <v/>
      </c>
      <c r="ACJ5">
        <f>IF($C4=72,0,ACJ4+IF(AND($G4=72,$E4=1),1,0))</f>
        <v/>
      </c>
      <c r="ACK5">
        <f>IF($C4=73,0,ACK4+IF(AND($G4=73,$E4=1),1,0))</f>
        <v/>
      </c>
      <c r="ACL5">
        <f>IF($C4=74,0,ACL4+IF(AND($G4=74,$E4=1),1,0))</f>
        <v/>
      </c>
      <c r="ACM5">
        <f>IF($C4=75,0,ACM4+IF(AND($G4=75,$E4=1),1,0))</f>
        <v/>
      </c>
      <c r="ACN5">
        <f>IF($C4=76,0,ACN4+IF(AND($G4=76,$E4=1),1,0))</f>
        <v/>
      </c>
      <c r="ACO5">
        <f>IF($C4=77,0,ACO4+IF(AND($G4=77,$E4=1),1,0))</f>
        <v/>
      </c>
      <c r="ACP5">
        <f>IF($C4=78,0,ACP4+IF(AND($G4=78,$E4=1),1,0))</f>
        <v/>
      </c>
      <c r="ACQ5">
        <f>IF($C4=79,0,ACQ4+IF(AND($G4=79,$E4=1),1,0))</f>
        <v/>
      </c>
      <c r="ACR5">
        <f>IF($C4=80,0,ACR4+IF(AND($G4=80,$E4=1),1,0))</f>
        <v/>
      </c>
      <c r="ACS5">
        <f>IF($C4=81,0,ACS4+IF(AND($G4=81,$E4=1),1,0))</f>
        <v/>
      </c>
      <c r="ACT5">
        <f>IF($C4=82,0,ACT4+IF(AND($G4=82,$E4=1),1,0))</f>
        <v/>
      </c>
      <c r="ACU5">
        <f>IF($C4=83,0,ACU4+IF(AND($G4=83,$E4=1),1,0))</f>
        <v/>
      </c>
      <c r="ACV5">
        <f>IF($C4=84,0,ACV4+IF(AND($G4=84,$E4=1),1,0))</f>
        <v/>
      </c>
      <c r="ACW5">
        <f>IF($C4=85,0,ACW4+IF(AND($G4=85,$E4=1),1,0))</f>
        <v/>
      </c>
      <c r="ACX5">
        <f>IF($C4=86,0,ACX4+IF(AND($G4=86,$E4=1),1,0))</f>
        <v/>
      </c>
      <c r="ACY5">
        <f>IF($C4=87,0,ACY4+IF(AND($G4=87,$E4=1),1,0))</f>
        <v/>
      </c>
      <c r="ACZ5">
        <f>IF($C4=88,0,ACZ4+IF(AND($G4=88,$E4=1),1,0))</f>
        <v/>
      </c>
      <c r="ADA5">
        <f>IF($C4=89,0,ADA4+IF(AND($G4=89,$E4=1),1,0))</f>
        <v/>
      </c>
      <c r="ADB5">
        <f>IF($C4=90,0,ADB4+IF(AND($G4=90,$E4=1),1,0))</f>
        <v/>
      </c>
      <c r="ADC5">
        <f>IF($C4=91,0,ADC4+IF(AND($G4=91,$E4=1),1,0))</f>
        <v/>
      </c>
      <c r="ADD5">
        <f>IF($C4=92,0,ADD4+IF(AND($G4=92,$E4=1),1,0))</f>
        <v/>
      </c>
      <c r="ADE5">
        <f>IF($C4=93,0,ADE4+IF(AND($G4=93,$E4=1),1,0))</f>
        <v/>
      </c>
      <c r="ADF5">
        <f>IF($C4=94,0,ADF4+IF(AND($G4=94,$E4=1),1,0))</f>
        <v/>
      </c>
      <c r="ADG5">
        <f>IF($C4=95,0,ADG4+IF(AND($G4=95,$E4=1),1,0))</f>
        <v/>
      </c>
      <c r="ADH5">
        <f>IF($C4=96,0,ADH4+IF(AND($G4=96,$E4=1),1,0))</f>
        <v/>
      </c>
      <c r="ADI5">
        <f>IF($C4=97,0,ADI4+IF(AND($G4=97,$E4=1),1,0))</f>
        <v/>
      </c>
      <c r="ADJ5">
        <f>IF($C4=98,0,ADJ4+IF(AND($G4=98,$E4=1),1,0))</f>
        <v/>
      </c>
      <c r="ADK5">
        <f>IF($C4=99,0,ADK4+IF(AND($G4=99,$E4=1),1,0))</f>
        <v/>
      </c>
      <c r="ADL5">
        <f>IF($C4=100,0,ADL4+IF(AND($G4=100,$E4=1),1,0))</f>
        <v/>
      </c>
      <c r="ADM5">
        <f>IF($C4=101,0,ADM4+IF(AND($G4=101,$E4=1),1,0))</f>
        <v/>
      </c>
      <c r="ADN5">
        <f>IF($C4=102,0,ADN4+IF(AND($G4=102,$E4=1),1,0))</f>
        <v/>
      </c>
      <c r="ADO5">
        <f>IF($C4=103,0,ADO4+IF(AND($G4=103,$E4=1),1,0))</f>
        <v/>
      </c>
      <c r="ADP5">
        <f>IF($C4=104,0,ADP4+IF(AND($G4=104,$E4=1),1,0))</f>
        <v/>
      </c>
      <c r="ADQ5">
        <f>IF($C4=105,0,ADQ4+IF(AND($G4=105,$E4=1),1,0))</f>
        <v/>
      </c>
      <c r="ADR5">
        <f>IF($C4=106,0,ADR4+IF(AND($G4=106,$E4=1),1,0))</f>
        <v/>
      </c>
      <c r="ADS5">
        <f>IF($C4=107,0,ADS4+IF(AND($G4=107,$E4=1),1,0))</f>
        <v/>
      </c>
      <c r="ADT5">
        <f>IF($C4=108,0,ADT4+IF(AND($G4=108,$E4=1),1,0))</f>
        <v/>
      </c>
      <c r="ADU5">
        <f>IF($C4=109,0,ADU4+IF(AND($G4=109,$E4=1),1,0))</f>
        <v/>
      </c>
      <c r="ADV5">
        <f>IF($C4=110,0,ADV4+IF(AND($G4=110,$E4=1),1,0))</f>
        <v/>
      </c>
      <c r="ADW5">
        <f>IF($C4=111,0,ADW4+IF(AND($G4=111,$E4=1),1,0))</f>
        <v/>
      </c>
      <c r="ADX5">
        <f>IF($C4=112,0,ADX4+IF(AND($G4=112,$E4=1),1,0))</f>
        <v/>
      </c>
      <c r="ADY5">
        <f>IF($C4=113,0,ADY4+IF(AND($G4=113,$E4=1),1,0))</f>
        <v/>
      </c>
      <c r="ADZ5">
        <f>IF($C4=114,0,ADZ4+IF(AND($G4=114,$E4=1),1,0))</f>
        <v/>
      </c>
      <c r="AEA5">
        <f>IF($C4=115,0,AEA4+IF(AND($G4=115,$E4=1),1,0))</f>
        <v/>
      </c>
      <c r="AEB5">
        <f>IF($C4=116,0,AEB4+IF(AND($G4=116,$E4=1),1,0))</f>
        <v/>
      </c>
      <c r="AEC5">
        <f>IF($C4=117,0,AEC4+IF(AND($G4=117,$E4=1),1,0))</f>
        <v/>
      </c>
      <c r="AED5">
        <f>IF($C4=118,0,AED4+IF(AND($G4=118,$E4=1),1,0))</f>
        <v/>
      </c>
      <c r="AEE5">
        <f>IF($C4=119,0,AEE4+IF(AND($G4=119,$E4=1),1,0))</f>
        <v/>
      </c>
      <c r="AEF5">
        <f>IF($C4=120,0,AEF4+IF(AND($G4=120,$E4=1),1,0))</f>
        <v/>
      </c>
      <c r="AEG5">
        <f>IF($C4=121,0,AEG4+IF(AND($G4=121,$E4=1),1,0))</f>
        <v/>
      </c>
      <c r="AEH5">
        <f>IF($C4=122,0,AEH4+IF(AND($G4=122,$E4=1),1,0))</f>
        <v/>
      </c>
      <c r="AEI5">
        <f>IF($C4=123,0,AEI4+IF(AND($G4=123,$E4=1),1,0))</f>
        <v/>
      </c>
      <c r="AEJ5">
        <f>IF($C4=124,0,AEJ4+IF(AND($G4=124,$E4=1),1,0))</f>
        <v/>
      </c>
      <c r="AEK5">
        <f>IF($C4=125,0,AEK4+IF(AND($G4=125,$E4=1),1,0))</f>
        <v/>
      </c>
      <c r="AEL5">
        <f>IF($C4=126,0,AEL4+IF(AND($G4=126,$E4=1),1,0))</f>
        <v/>
      </c>
      <c r="AEM5">
        <f>IF($C4=127,0,AEM4+IF(AND($G4=127,$E4=1),1,0))</f>
        <v/>
      </c>
      <c r="AEN5">
        <f>IF($C4=128,0,AEN4+IF(AND($G4=128,$E4=1),1,0))</f>
        <v/>
      </c>
      <c r="AEO5">
        <f>IF($C4=129,0,AEO4+IF(AND($G4=129,$E4=1),1,0))</f>
        <v/>
      </c>
      <c r="AEP5">
        <f>IF($C4=130,0,AEP4+IF(AND($G4=130,$E4=1),1,0))</f>
        <v/>
      </c>
      <c r="AEQ5">
        <f>IF($C4=131,0,AEQ4+IF(AND($G4=131,$E4=1),1,0))</f>
        <v/>
      </c>
      <c r="AER5">
        <f>IF($C4=132,0,AER4+IF(AND($G4=132,$E4=1),1,0))</f>
        <v/>
      </c>
      <c r="AES5">
        <f>IF($C4=133,0,AES4+IF(AND($G4=133,$E4=1),1,0))</f>
        <v/>
      </c>
      <c r="AET5">
        <f>IF($C4=134,0,AET4+IF(AND($G4=134,$E4=1),1,0))</f>
        <v/>
      </c>
      <c r="AEU5">
        <f>IF($C4=135,0,AEU4+IF(AND($G4=135,$E4=1),1,0))</f>
        <v/>
      </c>
      <c r="AEV5">
        <f>IF($C4=136,0,AEV4+IF(AND($G4=136,$E4=1),1,0))</f>
        <v/>
      </c>
      <c r="AEW5">
        <f>IF($C4=137,0,AEW4+IF(AND($G4=137,$E4=1),1,0))</f>
        <v/>
      </c>
      <c r="AEX5">
        <f>IF($C4=138,0,AEX4+IF(AND($G4=138,$E4=1),1,0))</f>
        <v/>
      </c>
      <c r="AEY5">
        <f>IF($C4=139,0,AEY4+IF(AND($G4=139,$E4=1),1,0))</f>
        <v/>
      </c>
      <c r="AEZ5">
        <f>IF($C4=140,0,AEZ4+IF(AND($G4=140,$E4=1),1,0))</f>
        <v/>
      </c>
      <c r="AFA5">
        <f>IF($C4=141,0,AFA4+IF(AND($G4=141,$E4=1),1,0))</f>
        <v/>
      </c>
      <c r="AFB5">
        <f>IF($C4=142,0,AFB4+IF(AND($G4=142,$E4=1),1,0))</f>
        <v/>
      </c>
      <c r="AFC5">
        <f>IF($C4=143,0,AFC4+IF(AND($G4=143,$E4=1),1,0))</f>
        <v/>
      </c>
      <c r="AFD5">
        <f>IF($C4=144,0,AFD4+IF(AND($G4=144,$E4=1),1,0))</f>
        <v/>
      </c>
      <c r="AFF5">
        <f>IF('calcA'!D$106=1,DC5+ZR5,1)</f>
        <v/>
      </c>
      <c r="AFG5">
        <f>IF('calcA'!E$106=1,DD5+ZS5,1)</f>
        <v/>
      </c>
      <c r="AFH5">
        <f>IF('calcA'!F$106=1,DE5+ZT5,1)</f>
        <v/>
      </c>
      <c r="AFI5">
        <f>IF('calcA'!G$106=1,DF5+ZU5,1)</f>
        <v/>
      </c>
      <c r="AFJ5">
        <f>IF('calcA'!H$106=1,DG5+ZV5,1)</f>
        <v/>
      </c>
      <c r="AFK5">
        <f>IF('calcA'!I$106=1,DH5+ZW5,1)</f>
        <v/>
      </c>
      <c r="AFL5">
        <f>IF('calcA'!J$106=1,DI5+ZX5,1)</f>
        <v/>
      </c>
      <c r="AFM5">
        <f>IF('calcA'!K$106=1,DJ5+ZY5,1)</f>
        <v/>
      </c>
      <c r="AFN5">
        <f>IF('calcA'!L$106=1,DK5+ZZ5,1)</f>
        <v/>
      </c>
      <c r="AFO5">
        <f>IF('calcA'!M$106=1,DL5+AAA5,1)</f>
        <v/>
      </c>
      <c r="AFP5">
        <f>IF('calcA'!N$106=1,DM5+AAB5,1)</f>
        <v/>
      </c>
      <c r="AFQ5">
        <f>IF('calcA'!O$106=1,DN5+AAC5,1)</f>
        <v/>
      </c>
      <c r="AFR5">
        <f>IF('calcA'!P$106=1,DO5+AAD5,1)</f>
        <v/>
      </c>
      <c r="AFS5">
        <f>IF('calcA'!Q$106=1,DP5+AAE5,1)</f>
        <v/>
      </c>
      <c r="AFT5">
        <f>IF('calcA'!R$106=1,DQ5+AAF5,1)</f>
        <v/>
      </c>
      <c r="AFU5">
        <f>IF('calcA'!S$106=1,DR5+AAG5,1)</f>
        <v/>
      </c>
      <c r="AFV5">
        <f>IF('calcA'!T$106=1,DS5+AAH5,1)</f>
        <v/>
      </c>
      <c r="AFW5">
        <f>IF('calcA'!U$106=1,DT5+AAI5,1)</f>
        <v/>
      </c>
      <c r="AFX5">
        <f>IF('calcA'!V$106=1,DU5+AAJ5,1)</f>
        <v/>
      </c>
      <c r="AFY5">
        <f>IF('calcA'!W$106=1,DV5+AAK5,1)</f>
        <v/>
      </c>
      <c r="AFZ5">
        <f>IF('calcA'!X$106=1,DW5+AAL5,1)</f>
        <v/>
      </c>
      <c r="AGA5">
        <f>IF('calcA'!Y$106=1,DX5+AAM5,1)</f>
        <v/>
      </c>
      <c r="AGB5">
        <f>IF('calcA'!Z$106=1,DY5+AAN5,1)</f>
        <v/>
      </c>
      <c r="AGC5">
        <f>IF('calcA'!AA$106=1,DZ5+AAO5,1)</f>
        <v/>
      </c>
      <c r="AGD5">
        <f>IF('calcA'!AB$106=1,EA5+AAP5,1)</f>
        <v/>
      </c>
      <c r="AGE5">
        <f>IF('calcA'!AC$106=1,EB5+AAQ5,1)</f>
        <v/>
      </c>
      <c r="AGF5">
        <f>IF('calcA'!AD$106=1,EC5+AAR5,1)</f>
        <v/>
      </c>
      <c r="AGG5">
        <f>IF('calcA'!AE$106=1,ED5+AAS5,1)</f>
        <v/>
      </c>
      <c r="AGH5">
        <f>IF('calcA'!AF$106=1,EE5+AAT5,1)</f>
        <v/>
      </c>
      <c r="AGI5">
        <f>IF('calcA'!AG$106=1,EF5+AAU5,1)</f>
        <v/>
      </c>
      <c r="AGJ5">
        <f>IF('calcA'!AH$106=1,EG5+AAV5,1)</f>
        <v/>
      </c>
      <c r="AGK5">
        <f>IF('calcA'!AI$106=1,EH5+AAW5,1)</f>
        <v/>
      </c>
      <c r="AGL5">
        <f>IF('calcA'!AJ$106=1,EI5+AAX5,1)</f>
        <v/>
      </c>
      <c r="AGM5">
        <f>IF('calcA'!AK$106=1,EJ5+AAY5,1)</f>
        <v/>
      </c>
      <c r="AGN5">
        <f>IF('calcA'!AL$106=1,EK5+AAZ5,1)</f>
        <v/>
      </c>
      <c r="AGO5">
        <f>IF('calcA'!AM$106=1,EL5+ABA5,1)</f>
        <v/>
      </c>
      <c r="AGP5">
        <f>IF('calcA'!AN$106=1,EM5+ABB5,1)</f>
        <v/>
      </c>
      <c r="AGQ5">
        <f>IF('calcA'!AO$106=1,EN5+ABC5,1)</f>
        <v/>
      </c>
      <c r="AGR5">
        <f>IF('calcA'!AP$106=1,EO5+ABD5,1)</f>
        <v/>
      </c>
      <c r="AGS5">
        <f>IF('calcA'!AQ$106=1,EP5+ABE5,1)</f>
        <v/>
      </c>
      <c r="AGT5">
        <f>IF('calcA'!AR$106=1,EQ5+ABF5,1)</f>
        <v/>
      </c>
      <c r="AGU5">
        <f>IF('calcA'!AS$106=1,ER5+ABG5,1)</f>
        <v/>
      </c>
      <c r="AGV5">
        <f>IF('calcA'!AT$106=1,ES5+ABH5,1)</f>
        <v/>
      </c>
      <c r="AGW5">
        <f>IF('calcA'!AU$106=1,ET5+ABI5,1)</f>
        <v/>
      </c>
      <c r="AGX5">
        <f>IF('calcA'!AV$106=1,EU5+ABJ5,1)</f>
        <v/>
      </c>
      <c r="AGY5">
        <f>IF('calcA'!AW$106=1,EV5+ABK5,1)</f>
        <v/>
      </c>
      <c r="AGZ5">
        <f>IF('calcA'!AX$106=1,EW5+ABL5,1)</f>
        <v/>
      </c>
      <c r="AHA5">
        <f>IF('calcA'!AY$106=1,EX5+ABM5,1)</f>
        <v/>
      </c>
      <c r="AHB5">
        <f>IF('calcA'!AZ$106=1,EY5+ABN5,1)</f>
        <v/>
      </c>
      <c r="AHC5">
        <f>IF('calcA'!BA$106=1,EZ5+ABO5,1)</f>
        <v/>
      </c>
      <c r="AHD5">
        <f>IF('calcA'!BB$106=1,FA5+ABP5,1)</f>
        <v/>
      </c>
      <c r="AHE5">
        <f>IF('calcA'!BC$106=1,FB5+ABQ5,1)</f>
        <v/>
      </c>
      <c r="AHF5">
        <f>IF('calcA'!BD$106=1,FC5+ABR5,1)</f>
        <v/>
      </c>
      <c r="AHG5">
        <f>IF('calcA'!BE$106=1,FD5+ABS5,1)</f>
        <v/>
      </c>
      <c r="AHH5">
        <f>IF('calcA'!BF$106=1,FE5+ABT5,1)</f>
        <v/>
      </c>
      <c r="AHI5">
        <f>IF('calcA'!BG$106=1,FF5+ABU5,1)</f>
        <v/>
      </c>
      <c r="AHJ5">
        <f>IF('calcA'!BH$106=1,FG5+ABV5,1)</f>
        <v/>
      </c>
      <c r="AHK5">
        <f>IF('calcA'!BI$106=1,FH5+ABW5,1)</f>
        <v/>
      </c>
      <c r="AHL5">
        <f>IF('calcA'!BJ$106=1,FI5+ABX5,1)</f>
        <v/>
      </c>
      <c r="AHM5">
        <f>IF('calcA'!BK$106=1,FJ5+ABY5,1)</f>
        <v/>
      </c>
      <c r="AHN5">
        <f>IF('calcA'!BL$106=1,FK5+ABZ5,1)</f>
        <v/>
      </c>
      <c r="AHO5">
        <f>IF('calcA'!BM$106=1,FL5+ACA5,1)</f>
        <v/>
      </c>
      <c r="AHP5">
        <f>IF('calcA'!BN$106=1,FM5+ACB5,1)</f>
        <v/>
      </c>
      <c r="AHQ5">
        <f>IF('calcA'!BO$106=1,FN5+ACC5,1)</f>
        <v/>
      </c>
      <c r="AHR5">
        <f>IF('calcA'!BP$106=1,FO5+ACD5,1)</f>
        <v/>
      </c>
      <c r="AHS5">
        <f>IF('calcA'!BQ$106=1,FP5+ACE5,1)</f>
        <v/>
      </c>
      <c r="AHT5">
        <f>IF('calcA'!BR$106=1,FQ5+ACF5,1)</f>
        <v/>
      </c>
      <c r="AHU5">
        <f>IF('calcA'!BS$106=1,FR5+ACG5,1)</f>
        <v/>
      </c>
      <c r="AHV5">
        <f>IF('calcA'!BT$106=1,FS5+ACH5,1)</f>
        <v/>
      </c>
      <c r="AHW5">
        <f>IF('calcA'!BU$106=1,FT5+ACI5,1)</f>
        <v/>
      </c>
      <c r="AHX5">
        <f>IF('calcA'!BV$106=1,FU5+ACJ5,1)</f>
        <v/>
      </c>
      <c r="AHY5">
        <f>IF('calcA'!BW$106=1,FV5+ACK5,1)</f>
        <v/>
      </c>
      <c r="AHZ5">
        <f>IF('calcA'!BX$106=1,FW5+ACL5,1)</f>
        <v/>
      </c>
      <c r="AIA5">
        <f>IF('calcA'!BY$106=1,FX5+ACM5,1)</f>
        <v/>
      </c>
      <c r="AIB5">
        <f>IF('calcA'!BZ$106=1,FY5+ACN5,1)</f>
        <v/>
      </c>
      <c r="AIC5">
        <f>IF('calcA'!CA$106=1,FZ5+ACO5,1)</f>
        <v/>
      </c>
      <c r="AID5">
        <f>IF('calcA'!CB$106=1,GA5+ACP5,1)</f>
        <v/>
      </c>
      <c r="AIE5">
        <f>IF('calcA'!CC$106=1,GB5+ACQ5,1)</f>
        <v/>
      </c>
      <c r="AIF5">
        <f>IF('calcA'!CD$106=1,GC5+ACR5,1)</f>
        <v/>
      </c>
      <c r="AIG5">
        <f>IF('calcA'!CE$106=1,GD5+ACS5,1)</f>
        <v/>
      </c>
      <c r="AIH5">
        <f>IF('calcA'!CF$106=1,GE5+ACT5,1)</f>
        <v/>
      </c>
      <c r="AII5">
        <f>IF('calcA'!CG$106=1,GF5+ACU5,1)</f>
        <v/>
      </c>
      <c r="AIJ5">
        <f>IF('calcA'!CH$106=1,GG5+ACV5,1)</f>
        <v/>
      </c>
      <c r="AIK5">
        <f>IF('calcA'!CI$106=1,GH5+ACW5,1)</f>
        <v/>
      </c>
      <c r="AIL5">
        <f>IF('calcA'!CJ$106=1,GI5+ACX5,1)</f>
        <v/>
      </c>
      <c r="AIM5">
        <f>IF('calcA'!CK$106=1,GJ5+ACY5,1)</f>
        <v/>
      </c>
      <c r="AIN5">
        <f>IF('calcA'!CL$106=1,GK5+ACZ5,1)</f>
        <v/>
      </c>
      <c r="AIO5">
        <f>IF('calcA'!CM$106=1,GL5+ADA5,1)</f>
        <v/>
      </c>
      <c r="AIP5">
        <f>IF('calcA'!CN$106=1,GM5+ADB5,1)</f>
        <v/>
      </c>
      <c r="AIQ5">
        <f>IF('calcA'!CO$106=1,GN5+ADC5,1)</f>
        <v/>
      </c>
      <c r="AIR5">
        <f>IF('calcA'!CP$106=1,GO5+ADD5,1)</f>
        <v/>
      </c>
      <c r="AIS5">
        <f>IF('calcA'!CQ$106=1,GP5+ADE5,1)</f>
        <v/>
      </c>
      <c r="AIT5">
        <f>IF('calcA'!CR$106=1,GQ5+ADF5,1)</f>
        <v/>
      </c>
      <c r="AIU5">
        <f>IF('calcA'!CS$106=1,GR5+ADG5,1)</f>
        <v/>
      </c>
      <c r="AIV5">
        <f>IF('calcA'!CT$106=1,GS5+ADH5,1)</f>
        <v/>
      </c>
      <c r="AIW5">
        <f>IF('calcA'!CU$106=1,GT5+ADI5,1)</f>
        <v/>
      </c>
      <c r="AIX5">
        <f>IF('calcA'!CV$106=1,GU5+ADJ5,1)</f>
        <v/>
      </c>
      <c r="AIY5">
        <f>IF('calcA'!CW$106=1,GV5+ADK5,1)</f>
        <v/>
      </c>
      <c r="AIZ5">
        <f>IF('calcA'!CX$106=1,GW5+ADL5,1)</f>
        <v/>
      </c>
      <c r="AJA5">
        <f>IF('calcA'!CY$106=1,GX5+ADM5,1)</f>
        <v/>
      </c>
      <c r="AJB5">
        <f>IF('calcA'!CZ$106=1,GY5+ADN5,1)</f>
        <v/>
      </c>
      <c r="AJC5">
        <f>IF('calcA'!DA$106=1,GZ5+ADO5,1)</f>
        <v/>
      </c>
      <c r="AJD5">
        <f>IF('calcA'!DB$106=1,HA5+ADP5,1)</f>
        <v/>
      </c>
      <c r="AJE5">
        <f>IF('calcA'!DC$106=1,HB5+ADQ5,1)</f>
        <v/>
      </c>
      <c r="AJF5">
        <f>IF('calcA'!DD$106=1,HC5+ADR5,1)</f>
        <v/>
      </c>
      <c r="AJG5">
        <f>IF('calcA'!DE$106=1,HD5+ADS5,1)</f>
        <v/>
      </c>
      <c r="AJH5">
        <f>IF('calcA'!DF$106=1,HE5+ADT5,1)</f>
        <v/>
      </c>
      <c r="AJI5">
        <f>IF('calcA'!DG$106=1,HF5+ADU5,1)</f>
        <v/>
      </c>
      <c r="AJJ5">
        <f>IF('calcA'!DH$106=1,HG5+ADV5,1)</f>
        <v/>
      </c>
      <c r="AJK5">
        <f>IF('calcA'!DI$106=1,HH5+ADW5,1)</f>
        <v/>
      </c>
      <c r="AJL5">
        <f>IF('calcA'!DJ$106=1,HI5+ADX5,1)</f>
        <v/>
      </c>
      <c r="AJM5">
        <f>IF('calcA'!DK$106=1,HJ5+ADY5,1)</f>
        <v/>
      </c>
      <c r="AJN5">
        <f>IF('calcA'!DL$106=1,HK5+ADZ5,1)</f>
        <v/>
      </c>
      <c r="AJO5">
        <f>IF('calcA'!DM$106=1,HL5+AEA5,1)</f>
        <v/>
      </c>
      <c r="AJP5">
        <f>IF('calcA'!DN$106=1,HM5+AEB5,1)</f>
        <v/>
      </c>
      <c r="AJQ5">
        <f>IF('calcA'!DO$106=1,HN5+AEC5,1)</f>
        <v/>
      </c>
      <c r="AJR5">
        <f>IF('calcA'!DP$106=1,HO5+AED5,1)</f>
        <v/>
      </c>
      <c r="AJS5">
        <f>IF('calcA'!DQ$106=1,HP5+AEE5,1)</f>
        <v/>
      </c>
      <c r="AJT5">
        <f>IF('calcA'!DR$106=1,HQ5+AEF5,1)</f>
        <v/>
      </c>
      <c r="AJU5">
        <f>IF('calcA'!DS$106=1,HR5+AEG5,1)</f>
        <v/>
      </c>
      <c r="AJV5">
        <f>IF('calcA'!DT$106=1,HS5+AEH5,1)</f>
        <v/>
      </c>
      <c r="AJW5">
        <f>IF('calcA'!DU$106=1,HT5+AEI5,1)</f>
        <v/>
      </c>
      <c r="AJX5">
        <f>IF('calcA'!DV$106=1,HU5+AEJ5,1)</f>
        <v/>
      </c>
      <c r="AJY5">
        <f>IF('calcA'!DW$106=1,HV5+AEK5,1)</f>
        <v/>
      </c>
      <c r="AJZ5">
        <f>IF('calcA'!DX$106=1,HW5+AEL5,1)</f>
        <v/>
      </c>
      <c r="AKA5">
        <f>IF('calcA'!DY$106=1,HX5+AEM5,1)</f>
        <v/>
      </c>
      <c r="AKB5">
        <f>IF('calcA'!DZ$106=1,HY5+AEN5,1)</f>
        <v/>
      </c>
      <c r="AKC5">
        <f>IF('calcA'!EA$106=1,HZ5+AEO5,1)</f>
        <v/>
      </c>
      <c r="AKD5">
        <f>IF('calcA'!EB$106=1,IA5+AEP5,1)</f>
        <v/>
      </c>
      <c r="AKE5">
        <f>IF('calcA'!EC$106=1,IB5+AEQ5,1)</f>
        <v/>
      </c>
      <c r="AKF5">
        <f>IF('calcA'!ED$106=1,IC5+AER5,1)</f>
        <v/>
      </c>
      <c r="AKG5">
        <f>IF('calcA'!EE$106=1,ID5+AES5,1)</f>
        <v/>
      </c>
      <c r="AKH5">
        <f>IF('calcA'!EF$106=1,IE5+AET5,1)</f>
        <v/>
      </c>
      <c r="AKI5">
        <f>IF('calcA'!EG$106=1,IF5+AEU5,1)</f>
        <v/>
      </c>
      <c r="AKJ5">
        <f>IF('calcA'!EH$106=1,IG5+AEV5,1)</f>
        <v/>
      </c>
      <c r="AKK5">
        <f>IF('calcA'!EI$106=1,IH5+AEW5,1)</f>
        <v/>
      </c>
      <c r="AKL5">
        <f>IF('calcA'!EJ$106=1,II5+AEX5,1)</f>
        <v/>
      </c>
      <c r="AKM5">
        <f>IF('calcA'!EK$106=1,IJ5+AEY5,1)</f>
        <v/>
      </c>
      <c r="AKN5">
        <f>IF('calcA'!EL$106=1,IK5+AEZ5,1)</f>
        <v/>
      </c>
      <c r="AKO5">
        <f>IF('calcA'!EM$106=1,IL5+AFA5,1)</f>
        <v/>
      </c>
      <c r="AKP5">
        <f>IF('calcA'!EN$106=1,IM5+AFB5,1)</f>
        <v/>
      </c>
      <c r="AKQ5">
        <f>IF('calcA'!EO$106=1,IN5+AFC5,1)</f>
        <v/>
      </c>
      <c r="AKR5">
        <f>IF('calcA'!EP$106=1,IO5+AFD5,1)</f>
        <v/>
      </c>
      <c r="AKS5" t="n">
        <v>1</v>
      </c>
    </row>
    <row r="6">
      <c r="A6" t="n">
        <v>4</v>
      </c>
      <c r="B6">
        <f>IF(MIN(BM6:CZ6)&gt;=1000000000,0,MATCH(MIN(BM6:CZ6),BM6:CZ6,0))</f>
        <v/>
      </c>
      <c r="C6">
        <f>IF(MIN(OF6:TS6)&gt;=1000000000,0,MATCH(MIN(OF6:TS6),OF6:TS6,0))</f>
        <v/>
      </c>
      <c r="D6">
        <f>IF(C6&gt;0,INDEX('calcA'!$D$5:$EQ$5,C6),0)</f>
        <v/>
      </c>
      <c r="E6">
        <f>IF(B6=0,0,INDEX('calcA'!$IQ$10:$IQ$54,B6))</f>
        <v/>
      </c>
      <c r="F6">
        <f>IF(B6=0,0,INDEX('calcA'!$IP$10:$IP$54,B6))</f>
        <v/>
      </c>
      <c r="G6">
        <f>IF(AND(C6&gt;0,E6&gt;0),IF(AND(INDEX('calcA'!$D$106:$EQ$106,C6)=1,INDEX($IQ6:$OD6,C6)=1),C6+1,0),0)</f>
        <v/>
      </c>
      <c r="H6">
        <f>IF(B6=0,0,INDEX('calcA'!$IW$10:$IW$54,B6))</f>
        <v/>
      </c>
      <c r="U6">
        <f>IF(B6=0,0,INDEX('calcA'!$IX$10:$IX$54,B6))</f>
        <v/>
      </c>
      <c r="V6">
        <f>IF(B6=0,0,INDEX('calcA'!$JF$10:$JF$54,B6))</f>
        <v/>
      </c>
      <c r="W6">
        <f>IF(B6=0,0,IF(IF(E6=2,SUMPRODUCT(INDEX('calcA'!$D$60:$EQ$99,B6,0),$DB6:$IO6,$IQ6:$OD6),SUMPRODUCT(INDEX('calcA'!$D$60:$EQ$99,B6,0),$DB6:$IO6))=0,1,0))</f>
        <v/>
      </c>
      <c r="X6">
        <f>MAX(X5,IF($B5=1,1,0))</f>
        <v/>
      </c>
      <c r="Y6">
        <f>MAX(Y5,IF($B5=2,1,0))</f>
        <v/>
      </c>
      <c r="Z6">
        <f>MAX(Z5,IF($B5=3,1,0))</f>
        <v/>
      </c>
      <c r="AA6">
        <f>MAX(AA5,IF($B5=4,1,0))</f>
        <v/>
      </c>
      <c r="AB6">
        <f>MAX(AB5,IF($B5=5,1,0))</f>
        <v/>
      </c>
      <c r="AC6">
        <f>MAX(AC5,IF($B5=6,1,0))</f>
        <v/>
      </c>
      <c r="AD6">
        <f>MAX(AD5,IF($B5=7,1,0))</f>
        <v/>
      </c>
      <c r="AE6">
        <f>MAX(AE5,IF($B5=8,1,0))</f>
        <v/>
      </c>
      <c r="AF6">
        <f>MAX(AF5,IF($B5=9,1,0))</f>
        <v/>
      </c>
      <c r="AG6">
        <f>MAX(AG5,IF($B5=10,1,0))</f>
        <v/>
      </c>
      <c r="AH6">
        <f>MAX(AH5,IF($B5=11,1,0))</f>
        <v/>
      </c>
      <c r="AI6">
        <f>MAX(AI5,IF($B5=12,1,0))</f>
        <v/>
      </c>
      <c r="AJ6">
        <f>MAX(AJ5,IF($B5=13,1,0))</f>
        <v/>
      </c>
      <c r="AK6">
        <f>MAX(AK5,IF($B5=14,1,0))</f>
        <v/>
      </c>
      <c r="AL6">
        <f>MAX(AL5,IF($B5=15,1,0))</f>
        <v/>
      </c>
      <c r="AM6">
        <f>MAX(AM5,IF($B5=16,1,0))</f>
        <v/>
      </c>
      <c r="AN6">
        <f>MAX(AN5,IF($B5=17,1,0))</f>
        <v/>
      </c>
      <c r="AO6">
        <f>MAX(AO5,IF($B5=18,1,0))</f>
        <v/>
      </c>
      <c r="AP6">
        <f>MAX(AP5,IF($B5=19,1,0))</f>
        <v/>
      </c>
      <c r="AQ6">
        <f>MAX(AQ5,IF($B5=20,1,0))</f>
        <v/>
      </c>
      <c r="AR6">
        <f>MAX(AR5,IF($B5=21,1,0))</f>
        <v/>
      </c>
      <c r="AS6">
        <f>MAX(AS5,IF($B5=22,1,0))</f>
        <v/>
      </c>
      <c r="AT6">
        <f>MAX(AT5,IF($B5=23,1,0))</f>
        <v/>
      </c>
      <c r="AU6">
        <f>MAX(AU5,IF($B5=24,1,0))</f>
        <v/>
      </c>
      <c r="AV6">
        <f>MAX(AV5,IF($B5=25,1,0))</f>
        <v/>
      </c>
      <c r="AW6">
        <f>MAX(AW5,IF($B5=26,1,0))</f>
        <v/>
      </c>
      <c r="AX6">
        <f>MAX(AX5,IF($B5=27,1,0))</f>
        <v/>
      </c>
      <c r="AY6">
        <f>MAX(AY5,IF($B5=28,1,0))</f>
        <v/>
      </c>
      <c r="AZ6">
        <f>MAX(AZ5,IF($B5=29,1,0))</f>
        <v/>
      </c>
      <c r="BA6">
        <f>MAX(BA5,IF($B5=30,1,0))</f>
        <v/>
      </c>
      <c r="BB6">
        <f>MAX(BB5,IF($B5=31,1,0))</f>
        <v/>
      </c>
      <c r="BC6">
        <f>MAX(BC5,IF($B5=32,1,0))</f>
        <v/>
      </c>
      <c r="BD6">
        <f>MAX(BD5,IF($B5=33,1,0))</f>
        <v/>
      </c>
      <c r="BE6">
        <f>MAX(BE5,IF($B5=34,1,0))</f>
        <v/>
      </c>
      <c r="BF6">
        <f>MAX(BF5,IF($B5=35,1,0))</f>
        <v/>
      </c>
      <c r="BG6">
        <f>MAX(BG5,IF($B5=36,1,0))</f>
        <v/>
      </c>
      <c r="BH6">
        <f>MAX(BH5,IF($B5=37,1,0))</f>
        <v/>
      </c>
      <c r="BI6">
        <f>MAX(BI5,IF($B5=38,1,0))</f>
        <v/>
      </c>
      <c r="BJ6">
        <f>MAX(BJ5,IF($B5=39,1,0))</f>
        <v/>
      </c>
      <c r="BK6">
        <f>MAX(BK5,IF($B5=40,1,0))</f>
        <v/>
      </c>
      <c r="BM6">
        <f>IF(OR(X6=1,calcA!$A$6=0),1000000000,IF('calcA'!$JF$10=1,0,100000000)+IF('calcA'!$IQ$10=2,SUMPRODUCT('calcA'!$D$60:$EQ$60,$DB6:$IO6,$IQ6:$OD6)*1000+SUMPRODUCT('calcA'!$D$60:$EQ$60,$DB6:$IO6+$ZQ6:$AFD6,$AFF6:$AKS6),SUMPRODUCT('calcA'!$D$60:$EQ$60,$DB6:$IO6*1001+$ZQ6:$AFD6))*100+1)</f>
        <v/>
      </c>
      <c r="BN6">
        <f>IF(OR(Y6=1,calcA!$A$6=0),1000000000,IF('calcA'!$JF$11=1,0,100000000)+IF('calcA'!$IQ$11=2,SUMPRODUCT('calcA'!$D$61:$EQ$61,$DB6:$IO6,$IQ6:$OD6)*1000+SUMPRODUCT('calcA'!$D$61:$EQ$61,$DB6:$IO6+$ZQ6:$AFD6,$AFF6:$AKS6),SUMPRODUCT('calcA'!$D$61:$EQ$61,$DB6:$IO6*1001+$ZQ6:$AFD6))*100+2)</f>
        <v/>
      </c>
      <c r="BO6">
        <f>IF(OR(Z6=1,calcA!$A$6=0),1000000000,IF('calcA'!$JF$12=1,0,100000000)+IF('calcA'!$IQ$12=2,SUMPRODUCT('calcA'!$D$62:$EQ$62,$DB6:$IO6,$IQ6:$OD6)*1000+SUMPRODUCT('calcA'!$D$62:$EQ$62,$DB6:$IO6+$ZQ6:$AFD6,$AFF6:$AKS6),SUMPRODUCT('calcA'!$D$62:$EQ$62,$DB6:$IO6*1001+$ZQ6:$AFD6))*100+3)</f>
        <v/>
      </c>
      <c r="BP6">
        <f>IF(OR(AA6=1,calcA!$A$6=0),1000000000,IF('calcA'!$JF$13=1,0,100000000)+IF('calcA'!$IQ$13=2,SUMPRODUCT('calcA'!$D$63:$EQ$63,$DB6:$IO6,$IQ6:$OD6)*1000+SUMPRODUCT('calcA'!$D$63:$EQ$63,$DB6:$IO6+$ZQ6:$AFD6,$AFF6:$AKS6),SUMPRODUCT('calcA'!$D$63:$EQ$63,$DB6:$IO6*1001+$ZQ6:$AFD6))*100+4)</f>
        <v/>
      </c>
      <c r="BQ6">
        <f>IF(OR(AB6=1,calcA!$A$6=0),1000000000,IF('calcA'!$JF$14=1,0,100000000)+IF('calcA'!$IQ$14=2,SUMPRODUCT('calcA'!$D$64:$EQ$64,$DB6:$IO6,$IQ6:$OD6)*1000+SUMPRODUCT('calcA'!$D$64:$EQ$64,$DB6:$IO6+$ZQ6:$AFD6,$AFF6:$AKS6),SUMPRODUCT('calcA'!$D$64:$EQ$64,$DB6:$IO6*1001+$ZQ6:$AFD6))*100+5)</f>
        <v/>
      </c>
      <c r="BR6">
        <f>IF(OR(AC6=1,calcA!$A$6=0),1000000000,IF('calcA'!$JF$15=1,0,100000000)+IF('calcA'!$IQ$15=2,SUMPRODUCT('calcA'!$D$65:$EQ$65,$DB6:$IO6,$IQ6:$OD6)*1000+SUMPRODUCT('calcA'!$D$65:$EQ$65,$DB6:$IO6+$ZQ6:$AFD6,$AFF6:$AKS6),SUMPRODUCT('calcA'!$D$65:$EQ$65,$DB6:$IO6*1001+$ZQ6:$AFD6))*100+6)</f>
        <v/>
      </c>
      <c r="BS6">
        <f>IF(OR(AD6=1,calcA!$A$6=0),1000000000,IF('calcA'!$JF$16=1,0,100000000)+IF('calcA'!$IQ$16=2,SUMPRODUCT('calcA'!$D$66:$EQ$66,$DB6:$IO6,$IQ6:$OD6)*1000+SUMPRODUCT('calcA'!$D$66:$EQ$66,$DB6:$IO6+$ZQ6:$AFD6,$AFF6:$AKS6),SUMPRODUCT('calcA'!$D$66:$EQ$66,$DB6:$IO6*1001+$ZQ6:$AFD6))*100+7)</f>
        <v/>
      </c>
      <c r="BT6">
        <f>IF(OR(AE6=1,calcA!$A$6=0),1000000000,IF('calcA'!$JF$17=1,0,100000000)+IF('calcA'!$IQ$17=2,SUMPRODUCT('calcA'!$D$67:$EQ$67,$DB6:$IO6,$IQ6:$OD6)*1000+SUMPRODUCT('calcA'!$D$67:$EQ$67,$DB6:$IO6+$ZQ6:$AFD6,$AFF6:$AKS6),SUMPRODUCT('calcA'!$D$67:$EQ$67,$DB6:$IO6*1001+$ZQ6:$AFD6))*100+8)</f>
        <v/>
      </c>
      <c r="BU6">
        <f>IF(OR(AF6=1,calcA!$A$6=0),1000000000,IF('calcA'!$JF$18=1,0,100000000)+IF('calcA'!$IQ$18=2,SUMPRODUCT('calcA'!$D$68:$EQ$68,$DB6:$IO6,$IQ6:$OD6)*1000+SUMPRODUCT('calcA'!$D$68:$EQ$68,$DB6:$IO6+$ZQ6:$AFD6,$AFF6:$AKS6),SUMPRODUCT('calcA'!$D$68:$EQ$68,$DB6:$IO6*1001+$ZQ6:$AFD6))*100+9)</f>
        <v/>
      </c>
      <c r="BV6">
        <f>IF(OR(AG6=1,calcA!$A$6=0),1000000000,IF('calcA'!$JF$19=1,0,100000000)+IF('calcA'!$IQ$19=2,SUMPRODUCT('calcA'!$D$69:$EQ$69,$DB6:$IO6,$IQ6:$OD6)*1000+SUMPRODUCT('calcA'!$D$69:$EQ$69,$DB6:$IO6+$ZQ6:$AFD6,$AFF6:$AKS6),SUMPRODUCT('calcA'!$D$69:$EQ$69,$DB6:$IO6*1001+$ZQ6:$AFD6))*100+10)</f>
        <v/>
      </c>
      <c r="BW6">
        <f>IF(OR(AH6=1,calcA!$A$6=0),1000000000,IF('calcA'!$JF$20=1,0,100000000)+IF('calcA'!$IQ$20=2,SUMPRODUCT('calcA'!$D$70:$EQ$70,$DB6:$IO6,$IQ6:$OD6)*1000+SUMPRODUCT('calcA'!$D$70:$EQ$70,$DB6:$IO6+$ZQ6:$AFD6,$AFF6:$AKS6),SUMPRODUCT('calcA'!$D$70:$EQ$70,$DB6:$IO6*1001+$ZQ6:$AFD6))*100+11)</f>
        <v/>
      </c>
      <c r="BX6">
        <f>IF(OR(AI6=1,calcA!$A$6=0),1000000000,IF('calcA'!$JF$21=1,0,100000000)+IF('calcA'!$IQ$21=2,SUMPRODUCT('calcA'!$D$71:$EQ$71,$DB6:$IO6,$IQ6:$OD6)*1000+SUMPRODUCT('calcA'!$D$71:$EQ$71,$DB6:$IO6+$ZQ6:$AFD6,$AFF6:$AKS6),SUMPRODUCT('calcA'!$D$71:$EQ$71,$DB6:$IO6*1001+$ZQ6:$AFD6))*100+12)</f>
        <v/>
      </c>
      <c r="BY6">
        <f>IF(OR(AJ6=1,calcA!$A$6=0),1000000000,IF('calcA'!$JF$22=1,0,100000000)+IF('calcA'!$IQ$22=2,SUMPRODUCT('calcA'!$D$72:$EQ$72,$DB6:$IO6,$IQ6:$OD6)*1000+SUMPRODUCT('calcA'!$D$72:$EQ$72,$DB6:$IO6+$ZQ6:$AFD6,$AFF6:$AKS6),SUMPRODUCT('calcA'!$D$72:$EQ$72,$DB6:$IO6*1001+$ZQ6:$AFD6))*100+13)</f>
        <v/>
      </c>
      <c r="BZ6">
        <f>IF(OR(AK6=1,calcA!$A$6=0),1000000000,IF('calcA'!$JF$23=1,0,100000000)+IF('calcA'!$IQ$23=2,SUMPRODUCT('calcA'!$D$73:$EQ$73,$DB6:$IO6,$IQ6:$OD6)*1000+SUMPRODUCT('calcA'!$D$73:$EQ$73,$DB6:$IO6+$ZQ6:$AFD6,$AFF6:$AKS6),SUMPRODUCT('calcA'!$D$73:$EQ$73,$DB6:$IO6*1001+$ZQ6:$AFD6))*100+14)</f>
        <v/>
      </c>
      <c r="CA6">
        <f>IF(OR(AL6=1,calcA!$A$6=0),1000000000,IF('calcA'!$JF$24=1,0,100000000)+IF('calcA'!$IQ$24=2,SUMPRODUCT('calcA'!$D$74:$EQ$74,$DB6:$IO6,$IQ6:$OD6)*1000+SUMPRODUCT('calcA'!$D$74:$EQ$74,$DB6:$IO6+$ZQ6:$AFD6,$AFF6:$AKS6),SUMPRODUCT('calcA'!$D$74:$EQ$74,$DB6:$IO6*1001+$ZQ6:$AFD6))*100+15)</f>
        <v/>
      </c>
      <c r="CB6">
        <f>IF(OR(AM6=1,calcA!$A$6=0),1000000000,IF('calcA'!$JF$25=1,0,100000000)+IF('calcA'!$IQ$25=2,SUMPRODUCT('calcA'!$D$75:$EQ$75,$DB6:$IO6,$IQ6:$OD6)*1000+SUMPRODUCT('calcA'!$D$75:$EQ$75,$DB6:$IO6+$ZQ6:$AFD6,$AFF6:$AKS6),SUMPRODUCT('calcA'!$D$75:$EQ$75,$DB6:$IO6*1001+$ZQ6:$AFD6))*100+16)</f>
        <v/>
      </c>
      <c r="CC6">
        <f>IF(OR(AN6=1,calcA!$A$6=0),1000000000,IF('calcA'!$JF$26=1,0,100000000)+IF('calcA'!$IQ$26=2,SUMPRODUCT('calcA'!$D$76:$EQ$76,$DB6:$IO6,$IQ6:$OD6)*1000+SUMPRODUCT('calcA'!$D$76:$EQ$76,$DB6:$IO6+$ZQ6:$AFD6,$AFF6:$AKS6),SUMPRODUCT('calcA'!$D$76:$EQ$76,$DB6:$IO6*1001+$ZQ6:$AFD6))*100+17)</f>
        <v/>
      </c>
      <c r="CD6">
        <f>IF(OR(AO6=1,calcA!$A$6=0),1000000000,IF('calcA'!$JF$27=1,0,100000000)+IF('calcA'!$IQ$27=2,SUMPRODUCT('calcA'!$D$77:$EQ$77,$DB6:$IO6,$IQ6:$OD6)*1000+SUMPRODUCT('calcA'!$D$77:$EQ$77,$DB6:$IO6+$ZQ6:$AFD6,$AFF6:$AKS6),SUMPRODUCT('calcA'!$D$77:$EQ$77,$DB6:$IO6*1001+$ZQ6:$AFD6))*100+18)</f>
        <v/>
      </c>
      <c r="CE6">
        <f>IF(OR(AP6=1,calcA!$A$6=0),1000000000,IF('calcA'!$JF$28=1,0,100000000)+IF('calcA'!$IQ$28=2,SUMPRODUCT('calcA'!$D$78:$EQ$78,$DB6:$IO6,$IQ6:$OD6)*1000+SUMPRODUCT('calcA'!$D$78:$EQ$78,$DB6:$IO6+$ZQ6:$AFD6,$AFF6:$AKS6),SUMPRODUCT('calcA'!$D$78:$EQ$78,$DB6:$IO6*1001+$ZQ6:$AFD6))*100+19)</f>
        <v/>
      </c>
      <c r="CF6">
        <f>IF(OR(AQ6=1,calcA!$A$6=0),1000000000,IF('calcA'!$JF$29=1,0,100000000)+IF('calcA'!$IQ$29=2,SUMPRODUCT('calcA'!$D$79:$EQ$79,$DB6:$IO6,$IQ6:$OD6)*1000+SUMPRODUCT('calcA'!$D$79:$EQ$79,$DB6:$IO6+$ZQ6:$AFD6,$AFF6:$AKS6),SUMPRODUCT('calcA'!$D$79:$EQ$79,$DB6:$IO6*1001+$ZQ6:$AFD6))*100+20)</f>
        <v/>
      </c>
      <c r="CG6">
        <f>IF(OR(AR6=1,calcA!$A$6=0),1000000000,IF('calcA'!$JF$30=1,0,100000000)+IF('calcA'!$IQ$30=2,SUMPRODUCT('calcA'!$D$80:$EQ$80,$DB6:$IO6,$IQ6:$OD6)*1000+SUMPRODUCT('calcA'!$D$80:$EQ$80,$DB6:$IO6+$ZQ6:$AFD6,$AFF6:$AKS6),SUMPRODUCT('calcA'!$D$80:$EQ$80,$DB6:$IO6*1001+$ZQ6:$AFD6))*100+21)</f>
        <v/>
      </c>
      <c r="CH6">
        <f>IF(OR(AS6=1,calcA!$A$6=0),1000000000,IF('calcA'!$JF$31=1,0,100000000)+IF('calcA'!$IQ$31=2,SUMPRODUCT('calcA'!$D$81:$EQ$81,$DB6:$IO6,$IQ6:$OD6)*1000+SUMPRODUCT('calcA'!$D$81:$EQ$81,$DB6:$IO6+$ZQ6:$AFD6,$AFF6:$AKS6),SUMPRODUCT('calcA'!$D$81:$EQ$81,$DB6:$IO6*1001+$ZQ6:$AFD6))*100+22)</f>
        <v/>
      </c>
      <c r="CI6">
        <f>IF(OR(AT6=1,calcA!$A$6=0),1000000000,IF('calcA'!$JF$32=1,0,100000000)+IF('calcA'!$IQ$32=2,SUMPRODUCT('calcA'!$D$82:$EQ$82,$DB6:$IO6,$IQ6:$OD6)*1000+SUMPRODUCT('calcA'!$D$82:$EQ$82,$DB6:$IO6+$ZQ6:$AFD6,$AFF6:$AKS6),SUMPRODUCT('calcA'!$D$82:$EQ$82,$DB6:$IO6*1001+$ZQ6:$AFD6))*100+23)</f>
        <v/>
      </c>
      <c r="CJ6">
        <f>IF(OR(AU6=1,calcA!$A$6=0),1000000000,IF('calcA'!$JF$33=1,0,100000000)+IF('calcA'!$IQ$33=2,SUMPRODUCT('calcA'!$D$83:$EQ$83,$DB6:$IO6,$IQ6:$OD6)*1000+SUMPRODUCT('calcA'!$D$83:$EQ$83,$DB6:$IO6+$ZQ6:$AFD6,$AFF6:$AKS6),SUMPRODUCT('calcA'!$D$83:$EQ$83,$DB6:$IO6*1001+$ZQ6:$AFD6))*100+24)</f>
        <v/>
      </c>
      <c r="CK6">
        <f>IF(OR(AV6=1,calcA!$A$6=0),1000000000,IF('calcA'!$JF$34=1,0,100000000)+IF('calcA'!$IQ$34=2,SUMPRODUCT('calcA'!$D$84:$EQ$84,$DB6:$IO6,$IQ6:$OD6)*1000+SUMPRODUCT('calcA'!$D$84:$EQ$84,$DB6:$IO6+$ZQ6:$AFD6,$AFF6:$AKS6),SUMPRODUCT('calcA'!$D$84:$EQ$84,$DB6:$IO6*1001+$ZQ6:$AFD6))*100+25)</f>
        <v/>
      </c>
      <c r="CL6">
        <f>IF(OR(AW6=1,calcA!$A$6=0),1000000000,IF('calcA'!$JF$35=1,0,100000000)+IF('calcA'!$IQ$35=2,SUMPRODUCT('calcA'!$D$85:$EQ$85,$DB6:$IO6,$IQ6:$OD6)*1000+SUMPRODUCT('calcA'!$D$85:$EQ$85,$DB6:$IO6+$ZQ6:$AFD6,$AFF6:$AKS6),SUMPRODUCT('calcA'!$D$85:$EQ$85,$DB6:$IO6*1001+$ZQ6:$AFD6))*100+26)</f>
        <v/>
      </c>
      <c r="CM6">
        <f>IF(OR(AX6=1,calcA!$A$6=0),1000000000,IF('calcA'!$JF$36=1,0,100000000)+IF('calcA'!$IQ$36=2,SUMPRODUCT('calcA'!$D$86:$EQ$86,$DB6:$IO6,$IQ6:$OD6)*1000+SUMPRODUCT('calcA'!$D$86:$EQ$86,$DB6:$IO6+$ZQ6:$AFD6,$AFF6:$AKS6),SUMPRODUCT('calcA'!$D$86:$EQ$86,$DB6:$IO6*1001+$ZQ6:$AFD6))*100+27)</f>
        <v/>
      </c>
      <c r="CN6">
        <f>IF(OR(AY6=1,calcA!$A$6=0),1000000000,IF('calcA'!$JF$37=1,0,100000000)+IF('calcA'!$IQ$37=2,SUMPRODUCT('calcA'!$D$87:$EQ$87,$DB6:$IO6,$IQ6:$OD6)*1000+SUMPRODUCT('calcA'!$D$87:$EQ$87,$DB6:$IO6+$ZQ6:$AFD6,$AFF6:$AKS6),SUMPRODUCT('calcA'!$D$87:$EQ$87,$DB6:$IO6*1001+$ZQ6:$AFD6))*100+28)</f>
        <v/>
      </c>
      <c r="CO6">
        <f>IF(OR(AZ6=1,calcA!$A$6=0),1000000000,IF('calcA'!$JF$38=1,0,100000000)+IF('calcA'!$IQ$38=2,SUMPRODUCT('calcA'!$D$88:$EQ$88,$DB6:$IO6,$IQ6:$OD6)*1000+SUMPRODUCT('calcA'!$D$88:$EQ$88,$DB6:$IO6+$ZQ6:$AFD6,$AFF6:$AKS6),SUMPRODUCT('calcA'!$D$88:$EQ$88,$DB6:$IO6*1001+$ZQ6:$AFD6))*100+29)</f>
        <v/>
      </c>
      <c r="CP6">
        <f>IF(OR(BA6=1,calcA!$A$6=0),1000000000,IF('calcA'!$JF$39=1,0,100000000)+IF('calcA'!$IQ$39=2,SUMPRODUCT('calcA'!$D$89:$EQ$89,$DB6:$IO6,$IQ6:$OD6)*1000+SUMPRODUCT('calcA'!$D$89:$EQ$89,$DB6:$IO6+$ZQ6:$AFD6,$AFF6:$AKS6),SUMPRODUCT('calcA'!$D$89:$EQ$89,$DB6:$IO6*1001+$ZQ6:$AFD6))*100+30)</f>
        <v/>
      </c>
      <c r="CQ6">
        <f>IF(OR(BB6=1,calcA!$A$6=0),1000000000,IF('calcA'!$JF$40=1,0,100000000)+IF('calcA'!$IQ$40=2,SUMPRODUCT('calcA'!$D$90:$EQ$90,$DB6:$IO6,$IQ6:$OD6)*1000+SUMPRODUCT('calcA'!$D$90:$EQ$90,$DB6:$IO6+$ZQ6:$AFD6,$AFF6:$AKS6),SUMPRODUCT('calcA'!$D$90:$EQ$90,$DB6:$IO6*1001+$ZQ6:$AFD6))*100+31)</f>
        <v/>
      </c>
      <c r="CR6">
        <f>IF(OR(BC6=1,calcA!$A$6=0),1000000000,IF('calcA'!$JF$41=1,0,100000000)+IF('calcA'!$IQ$41=2,SUMPRODUCT('calcA'!$D$91:$EQ$91,$DB6:$IO6,$IQ6:$OD6)*1000+SUMPRODUCT('calcA'!$D$91:$EQ$91,$DB6:$IO6+$ZQ6:$AFD6,$AFF6:$AKS6),SUMPRODUCT('calcA'!$D$91:$EQ$91,$DB6:$IO6*1001+$ZQ6:$AFD6))*100+32)</f>
        <v/>
      </c>
      <c r="CS6">
        <f>IF(OR(BD6=1,calcA!$A$6=0),1000000000,IF('calcA'!$JF$42=1,0,100000000)+IF('calcA'!$IQ$42=2,SUMPRODUCT('calcA'!$D$92:$EQ$92,$DB6:$IO6,$IQ6:$OD6)*1000+SUMPRODUCT('calcA'!$D$92:$EQ$92,$DB6:$IO6+$ZQ6:$AFD6,$AFF6:$AKS6),SUMPRODUCT('calcA'!$D$92:$EQ$92,$DB6:$IO6*1001+$ZQ6:$AFD6))*100+33)</f>
        <v/>
      </c>
      <c r="CT6">
        <f>IF(OR(BE6=1,calcA!$A$6=0),1000000000,IF('calcA'!$JF$43=1,0,100000000)+IF('calcA'!$IQ$43=2,SUMPRODUCT('calcA'!$D$93:$EQ$93,$DB6:$IO6,$IQ6:$OD6)*1000+SUMPRODUCT('calcA'!$D$93:$EQ$93,$DB6:$IO6+$ZQ6:$AFD6,$AFF6:$AKS6),SUMPRODUCT('calcA'!$D$93:$EQ$93,$DB6:$IO6*1001+$ZQ6:$AFD6))*100+34)</f>
        <v/>
      </c>
      <c r="CU6">
        <f>IF(OR(BF6=1,calcA!$A$6=0),1000000000,IF('calcA'!$JF$44=1,0,100000000)+IF('calcA'!$IQ$44=2,SUMPRODUCT('calcA'!$D$94:$EQ$94,$DB6:$IO6,$IQ6:$OD6)*1000+SUMPRODUCT('calcA'!$D$94:$EQ$94,$DB6:$IO6+$ZQ6:$AFD6,$AFF6:$AKS6),SUMPRODUCT('calcA'!$D$94:$EQ$94,$DB6:$IO6*1001+$ZQ6:$AFD6))*100+35)</f>
        <v/>
      </c>
      <c r="CV6">
        <f>IF(OR(BG6=1,calcA!$A$6=0),1000000000,IF('calcA'!$JF$45=1,0,100000000)+IF('calcA'!$IQ$45=2,SUMPRODUCT('calcA'!$D$95:$EQ$95,$DB6:$IO6,$IQ6:$OD6)*1000+SUMPRODUCT('calcA'!$D$95:$EQ$95,$DB6:$IO6+$ZQ6:$AFD6,$AFF6:$AKS6),SUMPRODUCT('calcA'!$D$95:$EQ$95,$DB6:$IO6*1001+$ZQ6:$AFD6))*100+36)</f>
        <v/>
      </c>
      <c r="CW6">
        <f>IF(OR(BH6=1,calcA!$A$6=0),1000000000,IF('calcA'!$JF$46=1,0,100000000)+IF('calcA'!$IQ$46=2,SUMPRODUCT('calcA'!$D$96:$EQ$96,$DB6:$IO6,$IQ6:$OD6)*1000+SUMPRODUCT('calcA'!$D$96:$EQ$96,$DB6:$IO6+$ZQ6:$AFD6,$AFF6:$AKS6),SUMPRODUCT('calcA'!$D$96:$EQ$96,$DB6:$IO6*1001+$ZQ6:$AFD6))*100+37)</f>
        <v/>
      </c>
      <c r="CX6">
        <f>IF(OR(BI6=1,calcA!$A$6=0),1000000000,IF('calcA'!$JF$47=1,0,100000000)+IF('calcA'!$IQ$47=2,SUMPRODUCT('calcA'!$D$97:$EQ$97,$DB6:$IO6,$IQ6:$OD6)*1000+SUMPRODUCT('calcA'!$D$97:$EQ$97,$DB6:$IO6+$ZQ6:$AFD6,$AFF6:$AKS6),SUMPRODUCT('calcA'!$D$97:$EQ$97,$DB6:$IO6*1001+$ZQ6:$AFD6))*100+38)</f>
        <v/>
      </c>
      <c r="CY6">
        <f>IF(OR(BJ6=1,calcA!$A$6=0),1000000000,IF('calcA'!$JF$48=1,0,100000000)+IF('calcA'!$IQ$48=2,SUMPRODUCT('calcA'!$D$98:$EQ$98,$DB6:$IO6,$IQ6:$OD6)*1000+SUMPRODUCT('calcA'!$D$98:$EQ$98,$DB6:$IO6+$ZQ6:$AFD6,$AFF6:$AKS6),SUMPRODUCT('calcA'!$D$98:$EQ$98,$DB6:$IO6*1001+$ZQ6:$AFD6))*100+39)</f>
        <v/>
      </c>
      <c r="CZ6">
        <f>IF(OR(BK6=1,calcA!$A$6=0),1000000000,IF('calcA'!$JF$49=1,0,100000000)+IF('calcA'!$IQ$49=2,SUMPRODUCT('calcA'!$D$99:$EQ$99,$DB6:$IO6,$IQ6:$OD6)*1000+SUMPRODUCT('calcA'!$D$99:$EQ$99,$DB6:$IO6+$ZQ6:$AFD6,$AFF6:$AKS6),SUMPRODUCT('calcA'!$D$99:$EQ$99,$DB6:$IO6*1001+$ZQ6:$AFD6))*100+40)</f>
        <v/>
      </c>
      <c r="DB6">
        <f>DB5*IF(OR($C5=1,$G5=1),0,1)</f>
        <v/>
      </c>
      <c r="DC6">
        <f>DC5*IF(OR($C5=2,$G5=2),0,1)</f>
        <v/>
      </c>
      <c r="DD6">
        <f>DD5*IF(OR($C5=3,$G5=3),0,1)</f>
        <v/>
      </c>
      <c r="DE6">
        <f>DE5*IF(OR($C5=4,$G5=4),0,1)</f>
        <v/>
      </c>
      <c r="DF6">
        <f>DF5*IF(OR($C5=5,$G5=5),0,1)</f>
        <v/>
      </c>
      <c r="DG6">
        <f>DG5*IF(OR($C5=6,$G5=6),0,1)</f>
        <v/>
      </c>
      <c r="DH6">
        <f>DH5*IF(OR($C5=7,$G5=7),0,1)</f>
        <v/>
      </c>
      <c r="DI6">
        <f>DI5*IF(OR($C5=8,$G5=8),0,1)</f>
        <v/>
      </c>
      <c r="DJ6">
        <f>DJ5*IF(OR($C5=9,$G5=9),0,1)</f>
        <v/>
      </c>
      <c r="DK6">
        <f>DK5*IF(OR($C5=10,$G5=10),0,1)</f>
        <v/>
      </c>
      <c r="DL6">
        <f>DL5*IF(OR($C5=11,$G5=11),0,1)</f>
        <v/>
      </c>
      <c r="DM6">
        <f>DM5*IF(OR($C5=12,$G5=12),0,1)</f>
        <v/>
      </c>
      <c r="DN6">
        <f>DN5*IF(OR($C5=13,$G5=13),0,1)</f>
        <v/>
      </c>
      <c r="DO6">
        <f>DO5*IF(OR($C5=14,$G5=14),0,1)</f>
        <v/>
      </c>
      <c r="DP6">
        <f>DP5*IF(OR($C5=15,$G5=15),0,1)</f>
        <v/>
      </c>
      <c r="DQ6">
        <f>DQ5*IF(OR($C5=16,$G5=16),0,1)</f>
        <v/>
      </c>
      <c r="DR6">
        <f>DR5*IF(OR($C5=17,$G5=17),0,1)</f>
        <v/>
      </c>
      <c r="DS6">
        <f>DS5*IF(OR($C5=18,$G5=18),0,1)</f>
        <v/>
      </c>
      <c r="DT6">
        <f>DT5*IF(OR($C5=19,$G5=19),0,1)</f>
        <v/>
      </c>
      <c r="DU6">
        <f>DU5*IF(OR($C5=20,$G5=20),0,1)</f>
        <v/>
      </c>
      <c r="DV6">
        <f>DV5*IF(OR($C5=21,$G5=21),0,1)</f>
        <v/>
      </c>
      <c r="DW6">
        <f>DW5*IF(OR($C5=22,$G5=22),0,1)</f>
        <v/>
      </c>
      <c r="DX6">
        <f>DX5*IF(OR($C5=23,$G5=23),0,1)</f>
        <v/>
      </c>
      <c r="DY6">
        <f>DY5*IF(OR($C5=24,$G5=24),0,1)</f>
        <v/>
      </c>
      <c r="DZ6">
        <f>DZ5*IF(OR($C5=25,$G5=25),0,1)</f>
        <v/>
      </c>
      <c r="EA6">
        <f>EA5*IF(OR($C5=26,$G5=26),0,1)</f>
        <v/>
      </c>
      <c r="EB6">
        <f>EB5*IF(OR($C5=27,$G5=27),0,1)</f>
        <v/>
      </c>
      <c r="EC6">
        <f>EC5*IF(OR($C5=28,$G5=28),0,1)</f>
        <v/>
      </c>
      <c r="ED6">
        <f>ED5*IF(OR($C5=29,$G5=29),0,1)</f>
        <v/>
      </c>
      <c r="EE6">
        <f>EE5*IF(OR($C5=30,$G5=30),0,1)</f>
        <v/>
      </c>
      <c r="EF6">
        <f>EF5*IF(OR($C5=31,$G5=31),0,1)</f>
        <v/>
      </c>
      <c r="EG6">
        <f>EG5*IF(OR($C5=32,$G5=32),0,1)</f>
        <v/>
      </c>
      <c r="EH6">
        <f>EH5*IF(OR($C5=33,$G5=33),0,1)</f>
        <v/>
      </c>
      <c r="EI6">
        <f>EI5*IF(OR($C5=34,$G5=34),0,1)</f>
        <v/>
      </c>
      <c r="EJ6">
        <f>EJ5*IF(OR($C5=35,$G5=35),0,1)</f>
        <v/>
      </c>
      <c r="EK6">
        <f>EK5*IF(OR($C5=36,$G5=36),0,1)</f>
        <v/>
      </c>
      <c r="EL6">
        <f>EL5*IF(OR($C5=37,$G5=37),0,1)</f>
        <v/>
      </c>
      <c r="EM6">
        <f>EM5*IF(OR($C5=38,$G5=38),0,1)</f>
        <v/>
      </c>
      <c r="EN6">
        <f>EN5*IF(OR($C5=39,$G5=39),0,1)</f>
        <v/>
      </c>
      <c r="EO6">
        <f>EO5*IF(OR($C5=40,$G5=40),0,1)</f>
        <v/>
      </c>
      <c r="EP6">
        <f>EP5*IF(OR($C5=41,$G5=41),0,1)</f>
        <v/>
      </c>
      <c r="EQ6">
        <f>EQ5*IF(OR($C5=42,$G5=42),0,1)</f>
        <v/>
      </c>
      <c r="ER6">
        <f>ER5*IF(OR($C5=43,$G5=43),0,1)</f>
        <v/>
      </c>
      <c r="ES6">
        <f>ES5*IF(OR($C5=44,$G5=44),0,1)</f>
        <v/>
      </c>
      <c r="ET6">
        <f>ET5*IF(OR($C5=45,$G5=45),0,1)</f>
        <v/>
      </c>
      <c r="EU6">
        <f>EU5*IF(OR($C5=46,$G5=46),0,1)</f>
        <v/>
      </c>
      <c r="EV6">
        <f>EV5*IF(OR($C5=47,$G5=47),0,1)</f>
        <v/>
      </c>
      <c r="EW6">
        <f>EW5*IF(OR($C5=48,$G5=48),0,1)</f>
        <v/>
      </c>
      <c r="EX6">
        <f>EX5*IF(OR($C5=49,$G5=49),0,1)</f>
        <v/>
      </c>
      <c r="EY6">
        <f>EY5*IF(OR($C5=50,$G5=50),0,1)</f>
        <v/>
      </c>
      <c r="EZ6">
        <f>EZ5*IF(OR($C5=51,$G5=51),0,1)</f>
        <v/>
      </c>
      <c r="FA6">
        <f>FA5*IF(OR($C5=52,$G5=52),0,1)</f>
        <v/>
      </c>
      <c r="FB6">
        <f>FB5*IF(OR($C5=53,$G5=53),0,1)</f>
        <v/>
      </c>
      <c r="FC6">
        <f>FC5*IF(OR($C5=54,$G5=54),0,1)</f>
        <v/>
      </c>
      <c r="FD6">
        <f>FD5*IF(OR($C5=55,$G5=55),0,1)</f>
        <v/>
      </c>
      <c r="FE6">
        <f>FE5*IF(OR($C5=56,$G5=56),0,1)</f>
        <v/>
      </c>
      <c r="FF6">
        <f>FF5*IF(OR($C5=57,$G5=57),0,1)</f>
        <v/>
      </c>
      <c r="FG6">
        <f>FG5*IF(OR($C5=58,$G5=58),0,1)</f>
        <v/>
      </c>
      <c r="FH6">
        <f>FH5*IF(OR($C5=59,$G5=59),0,1)</f>
        <v/>
      </c>
      <c r="FI6">
        <f>FI5*IF(OR($C5=60,$G5=60),0,1)</f>
        <v/>
      </c>
      <c r="FJ6">
        <f>FJ5*IF(OR($C5=61,$G5=61),0,1)</f>
        <v/>
      </c>
      <c r="FK6">
        <f>FK5*IF(OR($C5=62,$G5=62),0,1)</f>
        <v/>
      </c>
      <c r="FL6">
        <f>FL5*IF(OR($C5=63,$G5=63),0,1)</f>
        <v/>
      </c>
      <c r="FM6">
        <f>FM5*IF(OR($C5=64,$G5=64),0,1)</f>
        <v/>
      </c>
      <c r="FN6">
        <f>FN5*IF(OR($C5=65,$G5=65),0,1)</f>
        <v/>
      </c>
      <c r="FO6">
        <f>FO5*IF(OR($C5=66,$G5=66),0,1)</f>
        <v/>
      </c>
      <c r="FP6">
        <f>FP5*IF(OR($C5=67,$G5=67),0,1)</f>
        <v/>
      </c>
      <c r="FQ6">
        <f>FQ5*IF(OR($C5=68,$G5=68),0,1)</f>
        <v/>
      </c>
      <c r="FR6">
        <f>FR5*IF(OR($C5=69,$G5=69),0,1)</f>
        <v/>
      </c>
      <c r="FS6">
        <f>FS5*IF(OR($C5=70,$G5=70),0,1)</f>
        <v/>
      </c>
      <c r="FT6">
        <f>FT5*IF(OR($C5=71,$G5=71),0,1)</f>
        <v/>
      </c>
      <c r="FU6">
        <f>FU5*IF(OR($C5=72,$G5=72),0,1)</f>
        <v/>
      </c>
      <c r="FV6">
        <f>FV5*IF(OR($C5=73,$G5=73),0,1)</f>
        <v/>
      </c>
      <c r="FW6">
        <f>FW5*IF(OR($C5=74,$G5=74),0,1)</f>
        <v/>
      </c>
      <c r="FX6">
        <f>FX5*IF(OR($C5=75,$G5=75),0,1)</f>
        <v/>
      </c>
      <c r="FY6">
        <f>FY5*IF(OR($C5=76,$G5=76),0,1)</f>
        <v/>
      </c>
      <c r="FZ6">
        <f>FZ5*IF(OR($C5=77,$G5=77),0,1)</f>
        <v/>
      </c>
      <c r="GA6">
        <f>GA5*IF(OR($C5=78,$G5=78),0,1)</f>
        <v/>
      </c>
      <c r="GB6">
        <f>GB5*IF(OR($C5=79,$G5=79),0,1)</f>
        <v/>
      </c>
      <c r="GC6">
        <f>GC5*IF(OR($C5=80,$G5=80),0,1)</f>
        <v/>
      </c>
      <c r="GD6">
        <f>GD5*IF(OR($C5=81,$G5=81),0,1)</f>
        <v/>
      </c>
      <c r="GE6">
        <f>GE5*IF(OR($C5=82,$G5=82),0,1)</f>
        <v/>
      </c>
      <c r="GF6">
        <f>GF5*IF(OR($C5=83,$G5=83),0,1)</f>
        <v/>
      </c>
      <c r="GG6">
        <f>GG5*IF(OR($C5=84,$G5=84),0,1)</f>
        <v/>
      </c>
      <c r="GH6">
        <f>GH5*IF(OR($C5=85,$G5=85),0,1)</f>
        <v/>
      </c>
      <c r="GI6">
        <f>GI5*IF(OR($C5=86,$G5=86),0,1)</f>
        <v/>
      </c>
      <c r="GJ6">
        <f>GJ5*IF(OR($C5=87,$G5=87),0,1)</f>
        <v/>
      </c>
      <c r="GK6">
        <f>GK5*IF(OR($C5=88,$G5=88),0,1)</f>
        <v/>
      </c>
      <c r="GL6">
        <f>GL5*IF(OR($C5=89,$G5=89),0,1)</f>
        <v/>
      </c>
      <c r="GM6">
        <f>GM5*IF(OR($C5=90,$G5=90),0,1)</f>
        <v/>
      </c>
      <c r="GN6">
        <f>GN5*IF(OR($C5=91,$G5=91),0,1)</f>
        <v/>
      </c>
      <c r="GO6">
        <f>GO5*IF(OR($C5=92,$G5=92),0,1)</f>
        <v/>
      </c>
      <c r="GP6">
        <f>GP5*IF(OR($C5=93,$G5=93),0,1)</f>
        <v/>
      </c>
      <c r="GQ6">
        <f>GQ5*IF(OR($C5=94,$G5=94),0,1)</f>
        <v/>
      </c>
      <c r="GR6">
        <f>GR5*IF(OR($C5=95,$G5=95),0,1)</f>
        <v/>
      </c>
      <c r="GS6">
        <f>GS5*IF(OR($C5=96,$G5=96),0,1)</f>
        <v/>
      </c>
      <c r="GT6">
        <f>GT5*IF(OR($C5=97,$G5=97),0,1)</f>
        <v/>
      </c>
      <c r="GU6">
        <f>GU5*IF(OR($C5=98,$G5=98),0,1)</f>
        <v/>
      </c>
      <c r="GV6">
        <f>GV5*IF(OR($C5=99,$G5=99),0,1)</f>
        <v/>
      </c>
      <c r="GW6">
        <f>GW5*IF(OR($C5=100,$G5=100),0,1)</f>
        <v/>
      </c>
      <c r="GX6">
        <f>GX5*IF(OR($C5=101,$G5=101),0,1)</f>
        <v/>
      </c>
      <c r="GY6">
        <f>GY5*IF(OR($C5=102,$G5=102),0,1)</f>
        <v/>
      </c>
      <c r="GZ6">
        <f>GZ5*IF(OR($C5=103,$G5=103),0,1)</f>
        <v/>
      </c>
      <c r="HA6">
        <f>HA5*IF(OR($C5=104,$G5=104),0,1)</f>
        <v/>
      </c>
      <c r="HB6">
        <f>HB5*IF(OR($C5=105,$G5=105),0,1)</f>
        <v/>
      </c>
      <c r="HC6">
        <f>HC5*IF(OR($C5=106,$G5=106),0,1)</f>
        <v/>
      </c>
      <c r="HD6">
        <f>HD5*IF(OR($C5=107,$G5=107),0,1)</f>
        <v/>
      </c>
      <c r="HE6">
        <f>HE5*IF(OR($C5=108,$G5=108),0,1)</f>
        <v/>
      </c>
      <c r="HF6">
        <f>HF5*IF(OR($C5=109,$G5=109),0,1)</f>
        <v/>
      </c>
      <c r="HG6">
        <f>HG5*IF(OR($C5=110,$G5=110),0,1)</f>
        <v/>
      </c>
      <c r="HH6">
        <f>HH5*IF(OR($C5=111,$G5=111),0,1)</f>
        <v/>
      </c>
      <c r="HI6">
        <f>HI5*IF(OR($C5=112,$G5=112),0,1)</f>
        <v/>
      </c>
      <c r="HJ6">
        <f>HJ5*IF(OR($C5=113,$G5=113),0,1)</f>
        <v/>
      </c>
      <c r="HK6">
        <f>HK5*IF(OR($C5=114,$G5=114),0,1)</f>
        <v/>
      </c>
      <c r="HL6">
        <f>HL5*IF(OR($C5=115,$G5=115),0,1)</f>
        <v/>
      </c>
      <c r="HM6">
        <f>HM5*IF(OR($C5=116,$G5=116),0,1)</f>
        <v/>
      </c>
      <c r="HN6">
        <f>HN5*IF(OR($C5=117,$G5=117),0,1)</f>
        <v/>
      </c>
      <c r="HO6">
        <f>HO5*IF(OR($C5=118,$G5=118),0,1)</f>
        <v/>
      </c>
      <c r="HP6">
        <f>HP5*IF(OR($C5=119,$G5=119),0,1)</f>
        <v/>
      </c>
      <c r="HQ6">
        <f>HQ5*IF(OR($C5=120,$G5=120),0,1)</f>
        <v/>
      </c>
      <c r="HR6">
        <f>HR5*IF(OR($C5=121,$G5=121),0,1)</f>
        <v/>
      </c>
      <c r="HS6">
        <f>HS5*IF(OR($C5=122,$G5=122),0,1)</f>
        <v/>
      </c>
      <c r="HT6">
        <f>HT5*IF(OR($C5=123,$G5=123),0,1)</f>
        <v/>
      </c>
      <c r="HU6">
        <f>HU5*IF(OR($C5=124,$G5=124),0,1)</f>
        <v/>
      </c>
      <c r="HV6">
        <f>HV5*IF(OR($C5=125,$G5=125),0,1)</f>
        <v/>
      </c>
      <c r="HW6">
        <f>HW5*IF(OR($C5=126,$G5=126),0,1)</f>
        <v/>
      </c>
      <c r="HX6">
        <f>HX5*IF(OR($C5=127,$G5=127),0,1)</f>
        <v/>
      </c>
      <c r="HY6">
        <f>HY5*IF(OR($C5=128,$G5=128),0,1)</f>
        <v/>
      </c>
      <c r="HZ6">
        <f>HZ5*IF(OR($C5=129,$G5=129),0,1)</f>
        <v/>
      </c>
      <c r="IA6">
        <f>IA5*IF(OR($C5=130,$G5=130),0,1)</f>
        <v/>
      </c>
      <c r="IB6">
        <f>IB5*IF(OR($C5=131,$G5=131),0,1)</f>
        <v/>
      </c>
      <c r="IC6">
        <f>IC5*IF(OR($C5=132,$G5=132),0,1)</f>
        <v/>
      </c>
      <c r="ID6">
        <f>ID5*IF(OR($C5=133,$G5=133),0,1)</f>
        <v/>
      </c>
      <c r="IE6">
        <f>IE5*IF(OR($C5=134,$G5=134),0,1)</f>
        <v/>
      </c>
      <c r="IF6">
        <f>IF5*IF(OR($C5=135,$G5=135),0,1)</f>
        <v/>
      </c>
      <c r="IG6">
        <f>IG5*IF(OR($C5=136,$G5=136),0,1)</f>
        <v/>
      </c>
      <c r="IH6">
        <f>IH5*IF(OR($C5=137,$G5=137),0,1)</f>
        <v/>
      </c>
      <c r="II6">
        <f>II5*IF(OR($C5=138,$G5=138),0,1)</f>
        <v/>
      </c>
      <c r="IJ6">
        <f>IJ5*IF(OR($C5=139,$G5=139),0,1)</f>
        <v/>
      </c>
      <c r="IK6">
        <f>IK5*IF(OR($C5=140,$G5=140),0,1)</f>
        <v/>
      </c>
      <c r="IL6">
        <f>IL5*IF(OR($C5=141,$G5=141),0,1)</f>
        <v/>
      </c>
      <c r="IM6">
        <f>IM5*IF(OR($C5=142,$G5=142),0,1)</f>
        <v/>
      </c>
      <c r="IN6">
        <f>IN5*IF(OR($C5=143,$G5=143),0,1)</f>
        <v/>
      </c>
      <c r="IO6">
        <f>IO5*IF(OR($C5=144,$G5=144),0,1)</f>
        <v/>
      </c>
      <c r="IQ6">
        <f>IF('calcA'!D$106=1,DC6,1)</f>
        <v/>
      </c>
      <c r="IR6">
        <f>IF('calcA'!E$106=1,DD6,1)</f>
        <v/>
      </c>
      <c r="IS6">
        <f>IF('calcA'!F$106=1,DE6,1)</f>
        <v/>
      </c>
      <c r="IT6">
        <f>IF('calcA'!G$106=1,DF6,1)</f>
        <v/>
      </c>
      <c r="IU6">
        <f>IF('calcA'!H$106=1,DG6,1)</f>
        <v/>
      </c>
      <c r="IV6">
        <f>IF('calcA'!I$106=1,DH6,1)</f>
        <v/>
      </c>
      <c r="IW6">
        <f>IF('calcA'!J$106=1,DI6,1)</f>
        <v/>
      </c>
      <c r="IX6">
        <f>IF('calcA'!K$106=1,DJ6,1)</f>
        <v/>
      </c>
      <c r="IY6">
        <f>IF('calcA'!L$106=1,DK6,1)</f>
        <v/>
      </c>
      <c r="IZ6">
        <f>IF('calcA'!M$106=1,DL6,1)</f>
        <v/>
      </c>
      <c r="JA6">
        <f>IF('calcA'!N$106=1,DM6,1)</f>
        <v/>
      </c>
      <c r="JB6">
        <f>IF('calcA'!O$106=1,DN6,1)</f>
        <v/>
      </c>
      <c r="JC6">
        <f>IF('calcA'!P$106=1,DO6,1)</f>
        <v/>
      </c>
      <c r="JD6">
        <f>IF('calcA'!Q$106=1,DP6,1)</f>
        <v/>
      </c>
      <c r="JE6">
        <f>IF('calcA'!R$106=1,DQ6,1)</f>
        <v/>
      </c>
      <c r="JF6">
        <f>IF('calcA'!S$106=1,DR6,1)</f>
        <v/>
      </c>
      <c r="JG6">
        <f>IF('calcA'!T$106=1,DS6,1)</f>
        <v/>
      </c>
      <c r="JH6">
        <f>IF('calcA'!U$106=1,DT6,1)</f>
        <v/>
      </c>
      <c r="JI6">
        <f>IF('calcA'!V$106=1,DU6,1)</f>
        <v/>
      </c>
      <c r="JJ6">
        <f>IF('calcA'!W$106=1,DV6,1)</f>
        <v/>
      </c>
      <c r="JK6">
        <f>IF('calcA'!X$106=1,DW6,1)</f>
        <v/>
      </c>
      <c r="JL6">
        <f>IF('calcA'!Y$106=1,DX6,1)</f>
        <v/>
      </c>
      <c r="JM6">
        <f>IF('calcA'!Z$106=1,DY6,1)</f>
        <v/>
      </c>
      <c r="JN6">
        <f>IF('calcA'!AA$106=1,DZ6,1)</f>
        <v/>
      </c>
      <c r="JO6">
        <f>IF('calcA'!AB$106=1,EA6,1)</f>
        <v/>
      </c>
      <c r="JP6">
        <f>IF('calcA'!AC$106=1,EB6,1)</f>
        <v/>
      </c>
      <c r="JQ6">
        <f>IF('calcA'!AD$106=1,EC6,1)</f>
        <v/>
      </c>
      <c r="JR6">
        <f>IF('calcA'!AE$106=1,ED6,1)</f>
        <v/>
      </c>
      <c r="JS6">
        <f>IF('calcA'!AF$106=1,EE6,1)</f>
        <v/>
      </c>
      <c r="JT6">
        <f>IF('calcA'!AG$106=1,EF6,1)</f>
        <v/>
      </c>
      <c r="JU6">
        <f>IF('calcA'!AH$106=1,EG6,1)</f>
        <v/>
      </c>
      <c r="JV6">
        <f>IF('calcA'!AI$106=1,EH6,1)</f>
        <v/>
      </c>
      <c r="JW6">
        <f>IF('calcA'!AJ$106=1,EI6,1)</f>
        <v/>
      </c>
      <c r="JX6">
        <f>IF('calcA'!AK$106=1,EJ6,1)</f>
        <v/>
      </c>
      <c r="JY6">
        <f>IF('calcA'!AL$106=1,EK6,1)</f>
        <v/>
      </c>
      <c r="JZ6">
        <f>IF('calcA'!AM$106=1,EL6,1)</f>
        <v/>
      </c>
      <c r="KA6">
        <f>IF('calcA'!AN$106=1,EM6,1)</f>
        <v/>
      </c>
      <c r="KB6">
        <f>IF('calcA'!AO$106=1,EN6,1)</f>
        <v/>
      </c>
      <c r="KC6">
        <f>IF('calcA'!AP$106=1,EO6,1)</f>
        <v/>
      </c>
      <c r="KD6">
        <f>IF('calcA'!AQ$106=1,EP6,1)</f>
        <v/>
      </c>
      <c r="KE6">
        <f>IF('calcA'!AR$106=1,EQ6,1)</f>
        <v/>
      </c>
      <c r="KF6">
        <f>IF('calcA'!AS$106=1,ER6,1)</f>
        <v/>
      </c>
      <c r="KG6">
        <f>IF('calcA'!AT$106=1,ES6,1)</f>
        <v/>
      </c>
      <c r="KH6">
        <f>IF('calcA'!AU$106=1,ET6,1)</f>
        <v/>
      </c>
      <c r="KI6">
        <f>IF('calcA'!AV$106=1,EU6,1)</f>
        <v/>
      </c>
      <c r="KJ6">
        <f>IF('calcA'!AW$106=1,EV6,1)</f>
        <v/>
      </c>
      <c r="KK6">
        <f>IF('calcA'!AX$106=1,EW6,1)</f>
        <v/>
      </c>
      <c r="KL6">
        <f>IF('calcA'!AY$106=1,EX6,1)</f>
        <v/>
      </c>
      <c r="KM6">
        <f>IF('calcA'!AZ$106=1,EY6,1)</f>
        <v/>
      </c>
      <c r="KN6">
        <f>IF('calcA'!BA$106=1,EZ6,1)</f>
        <v/>
      </c>
      <c r="KO6">
        <f>IF('calcA'!BB$106=1,FA6,1)</f>
        <v/>
      </c>
      <c r="KP6">
        <f>IF('calcA'!BC$106=1,FB6,1)</f>
        <v/>
      </c>
      <c r="KQ6">
        <f>IF('calcA'!BD$106=1,FC6,1)</f>
        <v/>
      </c>
      <c r="KR6">
        <f>IF('calcA'!BE$106=1,FD6,1)</f>
        <v/>
      </c>
      <c r="KS6">
        <f>IF('calcA'!BF$106=1,FE6,1)</f>
        <v/>
      </c>
      <c r="KT6">
        <f>IF('calcA'!BG$106=1,FF6,1)</f>
        <v/>
      </c>
      <c r="KU6">
        <f>IF('calcA'!BH$106=1,FG6,1)</f>
        <v/>
      </c>
      <c r="KV6">
        <f>IF('calcA'!BI$106=1,FH6,1)</f>
        <v/>
      </c>
      <c r="KW6">
        <f>IF('calcA'!BJ$106=1,FI6,1)</f>
        <v/>
      </c>
      <c r="KX6">
        <f>IF('calcA'!BK$106=1,FJ6,1)</f>
        <v/>
      </c>
      <c r="KY6">
        <f>IF('calcA'!BL$106=1,FK6,1)</f>
        <v/>
      </c>
      <c r="KZ6">
        <f>IF('calcA'!BM$106=1,FL6,1)</f>
        <v/>
      </c>
      <c r="LA6">
        <f>IF('calcA'!BN$106=1,FM6,1)</f>
        <v/>
      </c>
      <c r="LB6">
        <f>IF('calcA'!BO$106=1,FN6,1)</f>
        <v/>
      </c>
      <c r="LC6">
        <f>IF('calcA'!BP$106=1,FO6,1)</f>
        <v/>
      </c>
      <c r="LD6">
        <f>IF('calcA'!BQ$106=1,FP6,1)</f>
        <v/>
      </c>
      <c r="LE6">
        <f>IF('calcA'!BR$106=1,FQ6,1)</f>
        <v/>
      </c>
      <c r="LF6">
        <f>IF('calcA'!BS$106=1,FR6,1)</f>
        <v/>
      </c>
      <c r="LG6">
        <f>IF('calcA'!BT$106=1,FS6,1)</f>
        <v/>
      </c>
      <c r="LH6">
        <f>IF('calcA'!BU$106=1,FT6,1)</f>
        <v/>
      </c>
      <c r="LI6">
        <f>IF('calcA'!BV$106=1,FU6,1)</f>
        <v/>
      </c>
      <c r="LJ6">
        <f>IF('calcA'!BW$106=1,FV6,1)</f>
        <v/>
      </c>
      <c r="LK6">
        <f>IF('calcA'!BX$106=1,FW6,1)</f>
        <v/>
      </c>
      <c r="LL6">
        <f>IF('calcA'!BY$106=1,FX6,1)</f>
        <v/>
      </c>
      <c r="LM6">
        <f>IF('calcA'!BZ$106=1,FY6,1)</f>
        <v/>
      </c>
      <c r="LN6">
        <f>IF('calcA'!CA$106=1,FZ6,1)</f>
        <v/>
      </c>
      <c r="LO6">
        <f>IF('calcA'!CB$106=1,GA6,1)</f>
        <v/>
      </c>
      <c r="LP6">
        <f>IF('calcA'!CC$106=1,GB6,1)</f>
        <v/>
      </c>
      <c r="LQ6">
        <f>IF('calcA'!CD$106=1,GC6,1)</f>
        <v/>
      </c>
      <c r="LR6">
        <f>IF('calcA'!CE$106=1,GD6,1)</f>
        <v/>
      </c>
      <c r="LS6">
        <f>IF('calcA'!CF$106=1,GE6,1)</f>
        <v/>
      </c>
      <c r="LT6">
        <f>IF('calcA'!CG$106=1,GF6,1)</f>
        <v/>
      </c>
      <c r="LU6">
        <f>IF('calcA'!CH$106=1,GG6,1)</f>
        <v/>
      </c>
      <c r="LV6">
        <f>IF('calcA'!CI$106=1,GH6,1)</f>
        <v/>
      </c>
      <c r="LW6">
        <f>IF('calcA'!CJ$106=1,GI6,1)</f>
        <v/>
      </c>
      <c r="LX6">
        <f>IF('calcA'!CK$106=1,GJ6,1)</f>
        <v/>
      </c>
      <c r="LY6">
        <f>IF('calcA'!CL$106=1,GK6,1)</f>
        <v/>
      </c>
      <c r="LZ6">
        <f>IF('calcA'!CM$106=1,GL6,1)</f>
        <v/>
      </c>
      <c r="MA6">
        <f>IF('calcA'!CN$106=1,GM6,1)</f>
        <v/>
      </c>
      <c r="MB6">
        <f>IF('calcA'!CO$106=1,GN6,1)</f>
        <v/>
      </c>
      <c r="MC6">
        <f>IF('calcA'!CP$106=1,GO6,1)</f>
        <v/>
      </c>
      <c r="MD6">
        <f>IF('calcA'!CQ$106=1,GP6,1)</f>
        <v/>
      </c>
      <c r="ME6">
        <f>IF('calcA'!CR$106=1,GQ6,1)</f>
        <v/>
      </c>
      <c r="MF6">
        <f>IF('calcA'!CS$106=1,GR6,1)</f>
        <v/>
      </c>
      <c r="MG6">
        <f>IF('calcA'!CT$106=1,GS6,1)</f>
        <v/>
      </c>
      <c r="MH6">
        <f>IF('calcA'!CU$106=1,GT6,1)</f>
        <v/>
      </c>
      <c r="MI6">
        <f>IF('calcA'!CV$106=1,GU6,1)</f>
        <v/>
      </c>
      <c r="MJ6">
        <f>IF('calcA'!CW$106=1,GV6,1)</f>
        <v/>
      </c>
      <c r="MK6">
        <f>IF('calcA'!CX$106=1,GW6,1)</f>
        <v/>
      </c>
      <c r="ML6">
        <f>IF('calcA'!CY$106=1,GX6,1)</f>
        <v/>
      </c>
      <c r="MM6">
        <f>IF('calcA'!CZ$106=1,GY6,1)</f>
        <v/>
      </c>
      <c r="MN6">
        <f>IF('calcA'!DA$106=1,GZ6,1)</f>
        <v/>
      </c>
      <c r="MO6">
        <f>IF('calcA'!DB$106=1,HA6,1)</f>
        <v/>
      </c>
      <c r="MP6">
        <f>IF('calcA'!DC$106=1,HB6,1)</f>
        <v/>
      </c>
      <c r="MQ6">
        <f>IF('calcA'!DD$106=1,HC6,1)</f>
        <v/>
      </c>
      <c r="MR6">
        <f>IF('calcA'!DE$106=1,HD6,1)</f>
        <v/>
      </c>
      <c r="MS6">
        <f>IF('calcA'!DF$106=1,HE6,1)</f>
        <v/>
      </c>
      <c r="MT6">
        <f>IF('calcA'!DG$106=1,HF6,1)</f>
        <v/>
      </c>
      <c r="MU6">
        <f>IF('calcA'!DH$106=1,HG6,1)</f>
        <v/>
      </c>
      <c r="MV6">
        <f>IF('calcA'!DI$106=1,HH6,1)</f>
        <v/>
      </c>
      <c r="MW6">
        <f>IF('calcA'!DJ$106=1,HI6,1)</f>
        <v/>
      </c>
      <c r="MX6">
        <f>IF('calcA'!DK$106=1,HJ6,1)</f>
        <v/>
      </c>
      <c r="MY6">
        <f>IF('calcA'!DL$106=1,HK6,1)</f>
        <v/>
      </c>
      <c r="MZ6">
        <f>IF('calcA'!DM$106=1,HL6,1)</f>
        <v/>
      </c>
      <c r="NA6">
        <f>IF('calcA'!DN$106=1,HM6,1)</f>
        <v/>
      </c>
      <c r="NB6">
        <f>IF('calcA'!DO$106=1,HN6,1)</f>
        <v/>
      </c>
      <c r="NC6">
        <f>IF('calcA'!DP$106=1,HO6,1)</f>
        <v/>
      </c>
      <c r="ND6">
        <f>IF('calcA'!DQ$106=1,HP6,1)</f>
        <v/>
      </c>
      <c r="NE6">
        <f>IF('calcA'!DR$106=1,HQ6,1)</f>
        <v/>
      </c>
      <c r="NF6">
        <f>IF('calcA'!DS$106=1,HR6,1)</f>
        <v/>
      </c>
      <c r="NG6">
        <f>IF('calcA'!DT$106=1,HS6,1)</f>
        <v/>
      </c>
      <c r="NH6">
        <f>IF('calcA'!DU$106=1,HT6,1)</f>
        <v/>
      </c>
      <c r="NI6">
        <f>IF('calcA'!DV$106=1,HU6,1)</f>
        <v/>
      </c>
      <c r="NJ6">
        <f>IF('calcA'!DW$106=1,HV6,1)</f>
        <v/>
      </c>
      <c r="NK6">
        <f>IF('calcA'!DX$106=1,HW6,1)</f>
        <v/>
      </c>
      <c r="NL6">
        <f>IF('calcA'!DY$106=1,HX6,1)</f>
        <v/>
      </c>
      <c r="NM6">
        <f>IF('calcA'!DZ$106=1,HY6,1)</f>
        <v/>
      </c>
      <c r="NN6">
        <f>IF('calcA'!EA$106=1,HZ6,1)</f>
        <v/>
      </c>
      <c r="NO6">
        <f>IF('calcA'!EB$106=1,IA6,1)</f>
        <v/>
      </c>
      <c r="NP6">
        <f>IF('calcA'!EC$106=1,IB6,1)</f>
        <v/>
      </c>
      <c r="NQ6">
        <f>IF('calcA'!ED$106=1,IC6,1)</f>
        <v/>
      </c>
      <c r="NR6">
        <f>IF('calcA'!EE$106=1,ID6,1)</f>
        <v/>
      </c>
      <c r="NS6">
        <f>IF('calcA'!EF$106=1,IE6,1)</f>
        <v/>
      </c>
      <c r="NT6">
        <f>IF('calcA'!EG$106=1,IF6,1)</f>
        <v/>
      </c>
      <c r="NU6">
        <f>IF('calcA'!EH$106=1,IG6,1)</f>
        <v/>
      </c>
      <c r="NV6">
        <f>IF('calcA'!EI$106=1,IH6,1)</f>
        <v/>
      </c>
      <c r="NW6">
        <f>IF('calcA'!EJ$106=1,II6,1)</f>
        <v/>
      </c>
      <c r="NX6">
        <f>IF('calcA'!EK$106=1,IJ6,1)</f>
        <v/>
      </c>
      <c r="NY6">
        <f>IF('calcA'!EL$106=1,IK6,1)</f>
        <v/>
      </c>
      <c r="NZ6">
        <f>IF('calcA'!EM$106=1,IL6,1)</f>
        <v/>
      </c>
      <c r="OA6">
        <f>IF('calcA'!EN$106=1,IM6,1)</f>
        <v/>
      </c>
      <c r="OB6">
        <f>IF('calcA'!EO$106=1,IN6,1)</f>
        <v/>
      </c>
      <c r="OC6">
        <f>IF('calcA'!EP$106=1,IO6,1)</f>
        <v/>
      </c>
      <c r="OD6" t="n">
        <v>1</v>
      </c>
      <c r="OF6">
        <f>IF($B6=0,1000000000,IF(INDEX('calcA'!$D$60:$EQ$99,$B6,1)*IF($W6=1,DB6+ZQ6,DB6)=1,IF(AND($E6=2,IF($W6=1,AFF6,IQ6)=0),1000000000,IF($V6=1,INDEX('calcA'!$D$130:$EQ$169,$B6,1)+IF(AND($E6=1,IQ6=0),25,0),INDEX('calcA'!D$110:D$114,$F6+1)+IF(AND($E6=1,IQ6=0),1000,0)+IF($H6=1,INDEX('calcA'!$D$180:$EQ$219,$B6,1)*500,0)-IF(AND($U6=1,'calcA'!D$117=1,DC6=0),300,0))),1000000000))</f>
        <v/>
      </c>
      <c r="OG6">
        <f>IF($B6=0,1000000000,IF(INDEX('calcA'!$D$60:$EQ$99,$B6,2)*IF($W6=1,DC6+ZR6,DC6)=1,IF(AND($E6=2,IF($W6=1,AFG6,IR6)=0),1000000000,IF($V6=1,INDEX('calcA'!$D$130:$EQ$169,$B6,2)+IF(AND($E6=1,IR6=0),25,0),INDEX('calcA'!E$110:E$114,$F6+1)+IF(AND($E6=1,IR6=0),1000,0)+IF($H6=1,INDEX('calcA'!$D$180:$EQ$219,$B6,2)*500,0)-IF(AND('calcA'!D$117=1,UB6&gt;0),300,0)-IF(AND($U6=1,'calcA'!E$117=1,DD6=0),300,0))),1000000000))</f>
        <v/>
      </c>
      <c r="OH6">
        <f>IF($B6=0,1000000000,IF(INDEX('calcA'!$D$60:$EQ$99,$B6,3)*IF($W6=1,DD6+ZS6,DD6)=1,IF(AND($E6=2,IF($W6=1,AFH6,IS6)=0),1000000000,IF($V6=1,INDEX('calcA'!$D$130:$EQ$169,$B6,3)+IF(AND($E6=1,IS6=0),25,0),INDEX('calcA'!F$110:F$114,$F6+1)+IF(AND($E6=1,IS6=0),1000,0)+IF($H6=1,INDEX('calcA'!$D$180:$EQ$219,$B6,3)*500,0)-IF(AND('calcA'!E$117=1,UC6&gt;0),300,0)-IF(AND($U6=1,'calcA'!F$117=1,DE6=0),300,0))),1000000000))</f>
        <v/>
      </c>
      <c r="OI6">
        <f>IF($B6=0,1000000000,IF(INDEX('calcA'!$D$60:$EQ$99,$B6,4)*IF($W6=1,DE6+ZT6,DE6)=1,IF(AND($E6=2,IF($W6=1,AFI6,IT6)=0),1000000000,IF($V6=1,INDEX('calcA'!$D$130:$EQ$169,$B6,4)+IF(AND($E6=1,IT6=0),25,0),INDEX('calcA'!G$110:G$114,$F6+1)+IF(AND($E6=1,IT6=0),1000,0)+IF($H6=1,INDEX('calcA'!$D$180:$EQ$219,$B6,4)*500,0)-IF(AND('calcA'!F$117=1,UD6&gt;0),300,0)-IF(AND($U6=1,'calcA'!G$117=1,DF6=0),300,0))),1000000000))</f>
        <v/>
      </c>
      <c r="OJ6">
        <f>IF($B6=0,1000000000,IF(INDEX('calcA'!$D$60:$EQ$99,$B6,5)*IF($W6=1,DF6+ZU6,DF6)=1,IF(AND($E6=2,IF($W6=1,AFJ6,IU6)=0),1000000000,IF($V6=1,INDEX('calcA'!$D$130:$EQ$169,$B6,5)+IF(AND($E6=1,IU6=0),25,0),INDEX('calcA'!H$110:H$114,$F6+1)+IF(AND($E6=1,IU6=0),1000,0)+IF($H6=1,INDEX('calcA'!$D$180:$EQ$219,$B6,5)*500,0)-IF(AND('calcA'!G$117=1,UE6&gt;0),300,0)-IF(AND($U6=1,'calcA'!H$117=1,DG6=0),300,0))),1000000000))</f>
        <v/>
      </c>
      <c r="OK6">
        <f>IF($B6=0,1000000000,IF(INDEX('calcA'!$D$60:$EQ$99,$B6,6)*IF($W6=1,DG6+ZV6,DG6)=1,IF(AND($E6=2,IF($W6=1,AFK6,IV6)=0),1000000000,IF($V6=1,INDEX('calcA'!$D$130:$EQ$169,$B6,6)+IF(AND($E6=1,IV6=0),25,0),INDEX('calcA'!I$110:I$114,$F6+1)+IF(AND($E6=1,IV6=0),1000,0)+IF($H6=1,INDEX('calcA'!$D$180:$EQ$219,$B6,6)*500,0)-IF(AND('calcA'!H$117=1,UF6&gt;0),300,0)-IF(AND($U6=1,'calcA'!I$117=1,DH6=0),300,0))),1000000000))</f>
        <v/>
      </c>
      <c r="OL6">
        <f>IF($B6=0,1000000000,IF(INDEX('calcA'!$D$60:$EQ$99,$B6,7)*IF($W6=1,DH6+ZW6,DH6)=1,IF(AND($E6=2,IF($W6=1,AFL6,IW6)=0),1000000000,IF($V6=1,INDEX('calcA'!$D$130:$EQ$169,$B6,7)+IF(AND($E6=1,IW6=0),25,0),INDEX('calcA'!J$110:J$114,$F6+1)+IF(AND($E6=1,IW6=0),1000,0)+IF($H6=1,INDEX('calcA'!$D$180:$EQ$219,$B6,7)*500,0)-IF(AND('calcA'!I$117=1,UG6&gt;0),300,0)-IF(AND($U6=1,'calcA'!J$117=1,DI6=0),300,0))),1000000000))</f>
        <v/>
      </c>
      <c r="OM6">
        <f>IF($B6=0,1000000000,IF(INDEX('calcA'!$D$60:$EQ$99,$B6,8)*IF($W6=1,DI6+ZX6,DI6)=1,IF(AND($E6=2,IF($W6=1,AFM6,IX6)=0),1000000000,IF($V6=1,INDEX('calcA'!$D$130:$EQ$169,$B6,8)+IF(AND($E6=1,IX6=0),25,0),INDEX('calcA'!K$110:K$114,$F6+1)+IF(AND($E6=1,IX6=0),1000,0)+IF($H6=1,INDEX('calcA'!$D$180:$EQ$219,$B6,8)*500,0)-IF(AND('calcA'!J$117=1,UH6&gt;0),300,0)-IF(AND($U6=1,'calcA'!K$117=1,DJ6=0),300,0))),1000000000))</f>
        <v/>
      </c>
      <c r="ON6">
        <f>IF($B6=0,1000000000,IF(INDEX('calcA'!$D$60:$EQ$99,$B6,9)*IF($W6=1,DJ6+ZY6,DJ6)=1,IF(AND($E6=2,IF($W6=1,AFN6,IY6)=0),1000000000,IF($V6=1,INDEX('calcA'!$D$130:$EQ$169,$B6,9)+IF(AND($E6=1,IY6=0),25,0),INDEX('calcA'!L$110:L$114,$F6+1)+IF(AND($E6=1,IY6=0),1000,0)+IF($H6=1,INDEX('calcA'!$D$180:$EQ$219,$B6,9)*500,0)-IF(AND('calcA'!K$117=1,UI6&gt;0),300,0)-IF(AND($U6=1,'calcA'!L$117=1,DK6=0),300,0))),1000000000))</f>
        <v/>
      </c>
      <c r="OO6">
        <f>IF($B6=0,1000000000,IF(INDEX('calcA'!$D$60:$EQ$99,$B6,10)*IF($W6=1,DK6+ZZ6,DK6)=1,IF(AND($E6=2,IF($W6=1,AFO6,IZ6)=0),1000000000,IF($V6=1,INDEX('calcA'!$D$130:$EQ$169,$B6,10)+IF(AND($E6=1,IZ6=0),25,0),INDEX('calcA'!M$110:M$114,$F6+1)+IF(AND($E6=1,IZ6=0),1000,0)+IF($H6=1,INDEX('calcA'!$D$180:$EQ$219,$B6,10)*500,0)-IF(AND('calcA'!L$117=1,UJ6&gt;0),300,0)-IF(AND($U6=1,'calcA'!M$117=1,DL6=0),300,0))),1000000000))</f>
        <v/>
      </c>
      <c r="OP6">
        <f>IF($B6=0,1000000000,IF(INDEX('calcA'!$D$60:$EQ$99,$B6,11)*IF($W6=1,DL6+AAA6,DL6)=1,IF(AND($E6=2,IF($W6=1,AFP6,JA6)=0),1000000000,IF($V6=1,INDEX('calcA'!$D$130:$EQ$169,$B6,11)+IF(AND($E6=1,JA6=0),25,0),INDEX('calcA'!N$110:N$114,$F6+1)+IF(AND($E6=1,JA6=0),1000,0)+IF($H6=1,INDEX('calcA'!$D$180:$EQ$219,$B6,11)*500,0)-IF(AND('calcA'!M$117=1,UK6&gt;0),300,0)-IF(AND($U6=1,'calcA'!N$117=1,DM6=0),300,0))),1000000000))</f>
        <v/>
      </c>
      <c r="OQ6">
        <f>IF($B6=0,1000000000,IF(INDEX('calcA'!$D$60:$EQ$99,$B6,12)*IF($W6=1,DM6+AAB6,DM6)=1,IF(AND($E6=2,IF($W6=1,AFQ6,JB6)=0),1000000000,IF($V6=1,INDEX('calcA'!$D$130:$EQ$169,$B6,12)+IF(AND($E6=1,JB6=0),25,0),INDEX('calcA'!O$110:O$114,$F6+1)+IF(AND($E6=1,JB6=0),1000,0)+IF($H6=1,INDEX('calcA'!$D$180:$EQ$219,$B6,12)*500,0)-IF(AND('calcA'!N$117=1,UL6&gt;0),300,0)-IF(AND($U6=1,'calcA'!O$117=1,DN6=0),300,0))),1000000000))</f>
        <v/>
      </c>
      <c r="OR6">
        <f>IF($B6=0,1000000000,IF(INDEX('calcA'!$D$60:$EQ$99,$B6,13)*IF($W6=1,DN6+AAC6,DN6)=1,IF(AND($E6=2,IF($W6=1,AFR6,JC6)=0),1000000000,IF($V6=1,INDEX('calcA'!$D$130:$EQ$169,$B6,13)+IF(AND($E6=1,JC6=0),25,0),INDEX('calcA'!P$110:P$114,$F6+1)+IF(AND($E6=1,JC6=0),1000,0)+IF($H6=1,INDEX('calcA'!$D$180:$EQ$219,$B6,13)*500,0)-IF(AND('calcA'!O$117=1,UM6&gt;0),300,0)-IF(AND($U6=1,'calcA'!P$117=1,DO6=0),300,0))),1000000000))</f>
        <v/>
      </c>
      <c r="OS6">
        <f>IF($B6=0,1000000000,IF(INDEX('calcA'!$D$60:$EQ$99,$B6,14)*IF($W6=1,DO6+AAD6,DO6)=1,IF(AND($E6=2,IF($W6=1,AFS6,JD6)=0),1000000000,IF($V6=1,INDEX('calcA'!$D$130:$EQ$169,$B6,14)+IF(AND($E6=1,JD6=0),25,0),INDEX('calcA'!Q$110:Q$114,$F6+1)+IF(AND($E6=1,JD6=0),1000,0)+IF($H6=1,INDEX('calcA'!$D$180:$EQ$219,$B6,14)*500,0)-IF(AND('calcA'!P$117=1,UN6&gt;0),300,0)-IF(AND($U6=1,'calcA'!Q$117=1,DP6=0),300,0))),1000000000))</f>
        <v/>
      </c>
      <c r="OT6">
        <f>IF($B6=0,1000000000,IF(INDEX('calcA'!$D$60:$EQ$99,$B6,15)*IF($W6=1,DP6+AAE6,DP6)=1,IF(AND($E6=2,IF($W6=1,AFT6,JE6)=0),1000000000,IF($V6=1,INDEX('calcA'!$D$130:$EQ$169,$B6,15)+IF(AND($E6=1,JE6=0),25,0),INDEX('calcA'!R$110:R$114,$F6+1)+IF(AND($E6=1,JE6=0),1000,0)+IF($H6=1,INDEX('calcA'!$D$180:$EQ$219,$B6,15)*500,0)-IF(AND('calcA'!Q$117=1,UO6&gt;0),300,0)-IF(AND($U6=1,'calcA'!R$117=1,DQ6=0),300,0))),1000000000))</f>
        <v/>
      </c>
      <c r="OU6">
        <f>IF($B6=0,1000000000,IF(INDEX('calcA'!$D$60:$EQ$99,$B6,16)*IF($W6=1,DQ6+AAF6,DQ6)=1,IF(AND($E6=2,IF($W6=1,AFU6,JF6)=0),1000000000,IF($V6=1,INDEX('calcA'!$D$130:$EQ$169,$B6,16)+IF(AND($E6=1,JF6=0),25,0),INDEX('calcA'!S$110:S$114,$F6+1)+IF(AND($E6=1,JF6=0),1000,0)+IF($H6=1,INDEX('calcA'!$D$180:$EQ$219,$B6,16)*500,0)-IF(AND('calcA'!R$117=1,UP6&gt;0),300,0)-IF(AND($U6=1,'calcA'!S$117=1,DR6=0),300,0))),1000000000))</f>
        <v/>
      </c>
      <c r="OV6">
        <f>IF($B6=0,1000000000,IF(INDEX('calcA'!$D$60:$EQ$99,$B6,17)*IF($W6=1,DR6+AAG6,DR6)=1,IF(AND($E6=2,IF($W6=1,AFV6,JG6)=0),1000000000,IF($V6=1,INDEX('calcA'!$D$130:$EQ$169,$B6,17)+IF(AND($E6=1,JG6=0),25,0),INDEX('calcA'!T$110:T$114,$F6+1)+IF(AND($E6=1,JG6=0),1000,0)+IF($H6=1,INDEX('calcA'!$D$180:$EQ$219,$B6,17)*500,0)-IF(AND('calcA'!S$117=1,UQ6&gt;0),300,0)-IF(AND($U6=1,'calcA'!T$117=1,DS6=0),300,0))),1000000000))</f>
        <v/>
      </c>
      <c r="OW6">
        <f>IF($B6=0,1000000000,IF(INDEX('calcA'!$D$60:$EQ$99,$B6,18)*IF($W6=1,DS6+AAH6,DS6)=1,IF(AND($E6=2,IF($W6=1,AFW6,JH6)=0),1000000000,IF($V6=1,INDEX('calcA'!$D$130:$EQ$169,$B6,18)+IF(AND($E6=1,JH6=0),25,0),INDEX('calcA'!U$110:U$114,$F6+1)+IF(AND($E6=1,JH6=0),1000,0)+IF($H6=1,INDEX('calcA'!$D$180:$EQ$219,$B6,18)*500,0)-IF(AND('calcA'!T$117=1,UR6&gt;0),300,0)-IF(AND($U6=1,'calcA'!U$117=1,DT6=0),300,0))),1000000000))</f>
        <v/>
      </c>
      <c r="OX6">
        <f>IF($B6=0,1000000000,IF(INDEX('calcA'!$D$60:$EQ$99,$B6,19)*IF($W6=1,DT6+AAI6,DT6)=1,IF(AND($E6=2,IF($W6=1,AFX6,JI6)=0),1000000000,IF($V6=1,INDEX('calcA'!$D$130:$EQ$169,$B6,19)+IF(AND($E6=1,JI6=0),25,0),INDEX('calcA'!V$110:V$114,$F6+1)+IF(AND($E6=1,JI6=0),1000,0)+IF($H6=1,INDEX('calcA'!$D$180:$EQ$219,$B6,19)*500,0)-IF(AND('calcA'!U$117=1,US6&gt;0),300,0)-IF(AND($U6=1,'calcA'!V$117=1,DU6=0),300,0))),1000000000))</f>
        <v/>
      </c>
      <c r="OY6">
        <f>IF($B6=0,1000000000,IF(INDEX('calcA'!$D$60:$EQ$99,$B6,20)*IF($W6=1,DU6+AAJ6,DU6)=1,IF(AND($E6=2,IF($W6=1,AFY6,JJ6)=0),1000000000,IF($V6=1,INDEX('calcA'!$D$130:$EQ$169,$B6,20)+IF(AND($E6=1,JJ6=0),25,0),INDEX('calcA'!W$110:W$114,$F6+1)+IF(AND($E6=1,JJ6=0),1000,0)+IF($H6=1,INDEX('calcA'!$D$180:$EQ$219,$B6,20)*500,0)-IF(AND('calcA'!V$117=1,UT6&gt;0),300,0)-IF(AND($U6=1,'calcA'!W$117=1,DV6=0),300,0))),1000000000))</f>
        <v/>
      </c>
      <c r="OZ6">
        <f>IF($B6=0,1000000000,IF(INDEX('calcA'!$D$60:$EQ$99,$B6,21)*IF($W6=1,DV6+AAK6,DV6)=1,IF(AND($E6=2,IF($W6=1,AFZ6,JK6)=0),1000000000,IF($V6=1,INDEX('calcA'!$D$130:$EQ$169,$B6,21)+IF(AND($E6=1,JK6=0),25,0),INDEX('calcA'!X$110:X$114,$F6+1)+IF(AND($E6=1,JK6=0),1000,0)+IF($H6=1,INDEX('calcA'!$D$180:$EQ$219,$B6,21)*500,0)-IF(AND('calcA'!W$117=1,UU6&gt;0),300,0)-IF(AND($U6=1,'calcA'!X$117=1,DW6=0),300,0))),1000000000))</f>
        <v/>
      </c>
      <c r="PA6">
        <f>IF($B6=0,1000000000,IF(INDEX('calcA'!$D$60:$EQ$99,$B6,22)*IF($W6=1,DW6+AAL6,DW6)=1,IF(AND($E6=2,IF($W6=1,AGA6,JL6)=0),1000000000,IF($V6=1,INDEX('calcA'!$D$130:$EQ$169,$B6,22)+IF(AND($E6=1,JL6=0),25,0),INDEX('calcA'!Y$110:Y$114,$F6+1)+IF(AND($E6=1,JL6=0),1000,0)+IF($H6=1,INDEX('calcA'!$D$180:$EQ$219,$B6,22)*500,0)-IF(AND('calcA'!X$117=1,UV6&gt;0),300,0)-IF(AND($U6=1,'calcA'!Y$117=1,DX6=0),300,0))),1000000000))</f>
        <v/>
      </c>
      <c r="PB6">
        <f>IF($B6=0,1000000000,IF(INDEX('calcA'!$D$60:$EQ$99,$B6,23)*IF($W6=1,DX6+AAM6,DX6)=1,IF(AND($E6=2,IF($W6=1,AGB6,JM6)=0),1000000000,IF($V6=1,INDEX('calcA'!$D$130:$EQ$169,$B6,23)+IF(AND($E6=1,JM6=0),25,0),INDEX('calcA'!Z$110:Z$114,$F6+1)+IF(AND($E6=1,JM6=0),1000,0)+IF($H6=1,INDEX('calcA'!$D$180:$EQ$219,$B6,23)*500,0)-IF(AND('calcA'!Y$117=1,UW6&gt;0),300,0)-IF(AND($U6=1,'calcA'!Z$117=1,DY6=0),300,0))),1000000000))</f>
        <v/>
      </c>
      <c r="PC6">
        <f>IF($B6=0,1000000000,IF(INDEX('calcA'!$D$60:$EQ$99,$B6,24)*IF($W6=1,DY6+AAN6,DY6)=1,IF(AND($E6=2,IF($W6=1,AGC6,JN6)=0),1000000000,IF($V6=1,INDEX('calcA'!$D$130:$EQ$169,$B6,24)+IF(AND($E6=1,JN6=0),25,0),INDEX('calcA'!AA$110:AA$114,$F6+1)+IF(AND($E6=1,JN6=0),1000,0)+IF($H6=1,INDEX('calcA'!$D$180:$EQ$219,$B6,24)*500,0)-IF(AND('calcA'!Z$117=1,UX6&gt;0),300,0))),1000000000))</f>
        <v/>
      </c>
      <c r="PD6">
        <f>IF($B6=0,1000000000,IF(INDEX('calcA'!$D$60:$EQ$99,$B6,25)*IF($W6=1,DZ6+AAO6,DZ6)=1,IF(AND($E6=2,IF($W6=1,AGD6,JO6)=0),1000000000,IF($V6=1,INDEX('calcA'!$D$130:$EQ$169,$B6,25)+IF(AND($E6=1,JO6=0),25,0),INDEX('calcA'!AB$110:AB$114,$F6+1)+IF(AND($E6=1,JO6=0),1000,0)+IF($H6=1,INDEX('calcA'!$D$180:$EQ$219,$B6,25)*500,0)-IF(AND($U6=1,'calcA'!AB$117=1,EA6=0),300,0))),1000000000))</f>
        <v/>
      </c>
      <c r="PE6">
        <f>IF($B6=0,1000000000,IF(INDEX('calcA'!$D$60:$EQ$99,$B6,26)*IF($W6=1,EA6+AAP6,EA6)=1,IF(AND($E6=2,IF($W6=1,AGE6,JP6)=0),1000000000,IF($V6=1,INDEX('calcA'!$D$130:$EQ$169,$B6,26)+IF(AND($E6=1,JP6=0),25,0),INDEX('calcA'!AC$110:AC$114,$F6+1)+IF(AND($E6=1,JP6=0),1000,0)+IF($H6=1,INDEX('calcA'!$D$180:$EQ$219,$B6,26)*500,0)-IF(AND('calcA'!AB$117=1,UZ6&gt;0),300,0)-IF(AND($U6=1,'calcA'!AC$117=1,EB6=0),300,0))),1000000000))</f>
        <v/>
      </c>
      <c r="PF6">
        <f>IF($B6=0,1000000000,IF(INDEX('calcA'!$D$60:$EQ$99,$B6,27)*IF($W6=1,EB6+AAQ6,EB6)=1,IF(AND($E6=2,IF($W6=1,AGF6,JQ6)=0),1000000000,IF($V6=1,INDEX('calcA'!$D$130:$EQ$169,$B6,27)+IF(AND($E6=1,JQ6=0),25,0),INDEX('calcA'!AD$110:AD$114,$F6+1)+IF(AND($E6=1,JQ6=0),1000,0)+IF($H6=1,INDEX('calcA'!$D$180:$EQ$219,$B6,27)*500,0)-IF(AND('calcA'!AC$117=1,VA6&gt;0),300,0)-IF(AND($U6=1,'calcA'!AD$117=1,EC6=0),300,0))),1000000000))</f>
        <v/>
      </c>
      <c r="PG6">
        <f>IF($B6=0,1000000000,IF(INDEX('calcA'!$D$60:$EQ$99,$B6,28)*IF($W6=1,EC6+AAR6,EC6)=1,IF(AND($E6=2,IF($W6=1,AGG6,JR6)=0),1000000000,IF($V6=1,INDEX('calcA'!$D$130:$EQ$169,$B6,28)+IF(AND($E6=1,JR6=0),25,0),INDEX('calcA'!AE$110:AE$114,$F6+1)+IF(AND($E6=1,JR6=0),1000,0)+IF($H6=1,INDEX('calcA'!$D$180:$EQ$219,$B6,28)*500,0)-IF(AND('calcA'!AD$117=1,VB6&gt;0),300,0)-IF(AND($U6=1,'calcA'!AE$117=1,ED6=0),300,0))),1000000000))</f>
        <v/>
      </c>
      <c r="PH6">
        <f>IF($B6=0,1000000000,IF(INDEX('calcA'!$D$60:$EQ$99,$B6,29)*IF($W6=1,ED6+AAS6,ED6)=1,IF(AND($E6=2,IF($W6=1,AGH6,JS6)=0),1000000000,IF($V6=1,INDEX('calcA'!$D$130:$EQ$169,$B6,29)+IF(AND($E6=1,JS6=0),25,0),INDEX('calcA'!AF$110:AF$114,$F6+1)+IF(AND($E6=1,JS6=0),1000,0)+IF($H6=1,INDEX('calcA'!$D$180:$EQ$219,$B6,29)*500,0)-IF(AND('calcA'!AE$117=1,VC6&gt;0),300,0)-IF(AND($U6=1,'calcA'!AF$117=1,EE6=0),300,0))),1000000000))</f>
        <v/>
      </c>
      <c r="PI6">
        <f>IF($B6=0,1000000000,IF(INDEX('calcA'!$D$60:$EQ$99,$B6,30)*IF($W6=1,EE6+AAT6,EE6)=1,IF(AND($E6=2,IF($W6=1,AGI6,JT6)=0),1000000000,IF($V6=1,INDEX('calcA'!$D$130:$EQ$169,$B6,30)+IF(AND($E6=1,JT6=0),25,0),INDEX('calcA'!AG$110:AG$114,$F6+1)+IF(AND($E6=1,JT6=0),1000,0)+IF($H6=1,INDEX('calcA'!$D$180:$EQ$219,$B6,30)*500,0)-IF(AND('calcA'!AF$117=1,VD6&gt;0),300,0)-IF(AND($U6=1,'calcA'!AG$117=1,EF6=0),300,0))),1000000000))</f>
        <v/>
      </c>
      <c r="PJ6">
        <f>IF($B6=0,1000000000,IF(INDEX('calcA'!$D$60:$EQ$99,$B6,31)*IF($W6=1,EF6+AAU6,EF6)=1,IF(AND($E6=2,IF($W6=1,AGJ6,JU6)=0),1000000000,IF($V6=1,INDEX('calcA'!$D$130:$EQ$169,$B6,31)+IF(AND($E6=1,JU6=0),25,0),INDEX('calcA'!AH$110:AH$114,$F6+1)+IF(AND($E6=1,JU6=0),1000,0)+IF($H6=1,INDEX('calcA'!$D$180:$EQ$219,$B6,31)*500,0)-IF(AND('calcA'!AG$117=1,VE6&gt;0),300,0)-IF(AND($U6=1,'calcA'!AH$117=1,EG6=0),300,0))),1000000000))</f>
        <v/>
      </c>
      <c r="PK6">
        <f>IF($B6=0,1000000000,IF(INDEX('calcA'!$D$60:$EQ$99,$B6,32)*IF($W6=1,EG6+AAV6,EG6)=1,IF(AND($E6=2,IF($W6=1,AGK6,JV6)=0),1000000000,IF($V6=1,INDEX('calcA'!$D$130:$EQ$169,$B6,32)+IF(AND($E6=1,JV6=0),25,0),INDEX('calcA'!AI$110:AI$114,$F6+1)+IF(AND($E6=1,JV6=0),1000,0)+IF($H6=1,INDEX('calcA'!$D$180:$EQ$219,$B6,32)*500,0)-IF(AND('calcA'!AH$117=1,VF6&gt;0),300,0)-IF(AND($U6=1,'calcA'!AI$117=1,EH6=0),300,0))),1000000000))</f>
        <v/>
      </c>
      <c r="PL6">
        <f>IF($B6=0,1000000000,IF(INDEX('calcA'!$D$60:$EQ$99,$B6,33)*IF($W6=1,EH6+AAW6,EH6)=1,IF(AND($E6=2,IF($W6=1,AGL6,JW6)=0),1000000000,IF($V6=1,INDEX('calcA'!$D$130:$EQ$169,$B6,33)+IF(AND($E6=1,JW6=0),25,0),INDEX('calcA'!AJ$110:AJ$114,$F6+1)+IF(AND($E6=1,JW6=0),1000,0)+IF($H6=1,INDEX('calcA'!$D$180:$EQ$219,$B6,33)*500,0)-IF(AND('calcA'!AI$117=1,VG6&gt;0),300,0)-IF(AND($U6=1,'calcA'!AJ$117=1,EI6=0),300,0))),1000000000))</f>
        <v/>
      </c>
      <c r="PM6">
        <f>IF($B6=0,1000000000,IF(INDEX('calcA'!$D$60:$EQ$99,$B6,34)*IF($W6=1,EI6+AAX6,EI6)=1,IF(AND($E6=2,IF($W6=1,AGM6,JX6)=0),1000000000,IF($V6=1,INDEX('calcA'!$D$130:$EQ$169,$B6,34)+IF(AND($E6=1,JX6=0),25,0),INDEX('calcA'!AK$110:AK$114,$F6+1)+IF(AND($E6=1,JX6=0),1000,0)+IF($H6=1,INDEX('calcA'!$D$180:$EQ$219,$B6,34)*500,0)-IF(AND('calcA'!AJ$117=1,VH6&gt;0),300,0)-IF(AND($U6=1,'calcA'!AK$117=1,EJ6=0),300,0))),1000000000))</f>
        <v/>
      </c>
      <c r="PN6">
        <f>IF($B6=0,1000000000,IF(INDEX('calcA'!$D$60:$EQ$99,$B6,35)*IF($W6=1,EJ6+AAY6,EJ6)=1,IF(AND($E6=2,IF($W6=1,AGN6,JY6)=0),1000000000,IF($V6=1,INDEX('calcA'!$D$130:$EQ$169,$B6,35)+IF(AND($E6=1,JY6=0),25,0),INDEX('calcA'!AL$110:AL$114,$F6+1)+IF(AND($E6=1,JY6=0),1000,0)+IF($H6=1,INDEX('calcA'!$D$180:$EQ$219,$B6,35)*500,0)-IF(AND('calcA'!AK$117=1,VI6&gt;0),300,0)-IF(AND($U6=1,'calcA'!AL$117=1,EK6=0),300,0))),1000000000))</f>
        <v/>
      </c>
      <c r="PO6">
        <f>IF($B6=0,1000000000,IF(INDEX('calcA'!$D$60:$EQ$99,$B6,36)*IF($W6=1,EK6+AAZ6,EK6)=1,IF(AND($E6=2,IF($W6=1,AGO6,JZ6)=0),1000000000,IF($V6=1,INDEX('calcA'!$D$130:$EQ$169,$B6,36)+IF(AND($E6=1,JZ6=0),25,0),INDEX('calcA'!AM$110:AM$114,$F6+1)+IF(AND($E6=1,JZ6=0),1000,0)+IF($H6=1,INDEX('calcA'!$D$180:$EQ$219,$B6,36)*500,0)-IF(AND('calcA'!AL$117=1,VJ6&gt;0),300,0)-IF(AND($U6=1,'calcA'!AM$117=1,EL6=0),300,0))),1000000000))</f>
        <v/>
      </c>
      <c r="PP6">
        <f>IF($B6=0,1000000000,IF(INDEX('calcA'!$D$60:$EQ$99,$B6,37)*IF($W6=1,EL6+ABA6,EL6)=1,IF(AND($E6=2,IF($W6=1,AGP6,KA6)=0),1000000000,IF($V6=1,INDEX('calcA'!$D$130:$EQ$169,$B6,37)+IF(AND($E6=1,KA6=0),25,0),INDEX('calcA'!AN$110:AN$114,$F6+1)+IF(AND($E6=1,KA6=0),1000,0)+IF($H6=1,INDEX('calcA'!$D$180:$EQ$219,$B6,37)*500,0)-IF(AND('calcA'!AM$117=1,VK6&gt;0),300,0)-IF(AND($U6=1,'calcA'!AN$117=1,EM6=0),300,0))),1000000000))</f>
        <v/>
      </c>
      <c r="PQ6">
        <f>IF($B6=0,1000000000,IF(INDEX('calcA'!$D$60:$EQ$99,$B6,38)*IF($W6=1,EM6+ABB6,EM6)=1,IF(AND($E6=2,IF($W6=1,AGQ6,KB6)=0),1000000000,IF($V6=1,INDEX('calcA'!$D$130:$EQ$169,$B6,38)+IF(AND($E6=1,KB6=0),25,0),INDEX('calcA'!AO$110:AO$114,$F6+1)+IF(AND($E6=1,KB6=0),1000,0)+IF($H6=1,INDEX('calcA'!$D$180:$EQ$219,$B6,38)*500,0)-IF(AND('calcA'!AN$117=1,VL6&gt;0),300,0)-IF(AND($U6=1,'calcA'!AO$117=1,EN6=0),300,0))),1000000000))</f>
        <v/>
      </c>
      <c r="PR6">
        <f>IF($B6=0,1000000000,IF(INDEX('calcA'!$D$60:$EQ$99,$B6,39)*IF($W6=1,EN6+ABC6,EN6)=1,IF(AND($E6=2,IF($W6=1,AGR6,KC6)=0),1000000000,IF($V6=1,INDEX('calcA'!$D$130:$EQ$169,$B6,39)+IF(AND($E6=1,KC6=0),25,0),INDEX('calcA'!AP$110:AP$114,$F6+1)+IF(AND($E6=1,KC6=0),1000,0)+IF($H6=1,INDEX('calcA'!$D$180:$EQ$219,$B6,39)*500,0)-IF(AND('calcA'!AO$117=1,VM6&gt;0),300,0)-IF(AND($U6=1,'calcA'!AP$117=1,EO6=0),300,0))),1000000000))</f>
        <v/>
      </c>
      <c r="PS6">
        <f>IF($B6=0,1000000000,IF(INDEX('calcA'!$D$60:$EQ$99,$B6,40)*IF($W6=1,EO6+ABD6,EO6)=1,IF(AND($E6=2,IF($W6=1,AGS6,KD6)=0),1000000000,IF($V6=1,INDEX('calcA'!$D$130:$EQ$169,$B6,40)+IF(AND($E6=1,KD6=0),25,0),INDEX('calcA'!AQ$110:AQ$114,$F6+1)+IF(AND($E6=1,KD6=0),1000,0)+IF($H6=1,INDEX('calcA'!$D$180:$EQ$219,$B6,40)*500,0)-IF(AND('calcA'!AP$117=1,VN6&gt;0),300,0)-IF(AND($U6=1,'calcA'!AQ$117=1,EP6=0),300,0))),1000000000))</f>
        <v/>
      </c>
      <c r="PT6">
        <f>IF($B6=0,1000000000,IF(INDEX('calcA'!$D$60:$EQ$99,$B6,41)*IF($W6=1,EP6+ABE6,EP6)=1,IF(AND($E6=2,IF($W6=1,AGT6,KE6)=0),1000000000,IF($V6=1,INDEX('calcA'!$D$130:$EQ$169,$B6,41)+IF(AND($E6=1,KE6=0),25,0),INDEX('calcA'!AR$110:AR$114,$F6+1)+IF(AND($E6=1,KE6=0),1000,0)+IF($H6=1,INDEX('calcA'!$D$180:$EQ$219,$B6,41)*500,0)-IF(AND('calcA'!AQ$117=1,VO6&gt;0),300,0)-IF(AND($U6=1,'calcA'!AR$117=1,EQ6=0),300,0))),1000000000))</f>
        <v/>
      </c>
      <c r="PU6">
        <f>IF($B6=0,1000000000,IF(INDEX('calcA'!$D$60:$EQ$99,$B6,42)*IF($W6=1,EQ6+ABF6,EQ6)=1,IF(AND($E6=2,IF($W6=1,AGU6,KF6)=0),1000000000,IF($V6=1,INDEX('calcA'!$D$130:$EQ$169,$B6,42)+IF(AND($E6=1,KF6=0),25,0),INDEX('calcA'!AS$110:AS$114,$F6+1)+IF(AND($E6=1,KF6=0),1000,0)+IF($H6=1,INDEX('calcA'!$D$180:$EQ$219,$B6,42)*500,0)-IF(AND('calcA'!AR$117=1,VP6&gt;0),300,0)-IF(AND($U6=1,'calcA'!AS$117=1,ER6=0),300,0))),1000000000))</f>
        <v/>
      </c>
      <c r="PV6">
        <f>IF($B6=0,1000000000,IF(INDEX('calcA'!$D$60:$EQ$99,$B6,43)*IF($W6=1,ER6+ABG6,ER6)=1,IF(AND($E6=2,IF($W6=1,AGV6,KG6)=0),1000000000,IF($V6=1,INDEX('calcA'!$D$130:$EQ$169,$B6,43)+IF(AND($E6=1,KG6=0),25,0),INDEX('calcA'!AT$110:AT$114,$F6+1)+IF(AND($E6=1,KG6=0),1000,0)+IF($H6=1,INDEX('calcA'!$D$180:$EQ$219,$B6,43)*500,0)-IF(AND('calcA'!AS$117=1,VQ6&gt;0),300,0)-IF(AND($U6=1,'calcA'!AT$117=1,ES6=0),300,0))),1000000000))</f>
        <v/>
      </c>
      <c r="PW6">
        <f>IF($B6=0,1000000000,IF(INDEX('calcA'!$D$60:$EQ$99,$B6,44)*IF($W6=1,ES6+ABH6,ES6)=1,IF(AND($E6=2,IF($W6=1,AGW6,KH6)=0),1000000000,IF($V6=1,INDEX('calcA'!$D$130:$EQ$169,$B6,44)+IF(AND($E6=1,KH6=0),25,0),INDEX('calcA'!AU$110:AU$114,$F6+1)+IF(AND($E6=1,KH6=0),1000,0)+IF($H6=1,INDEX('calcA'!$D$180:$EQ$219,$B6,44)*500,0)-IF(AND('calcA'!AT$117=1,VR6&gt;0),300,0)-IF(AND($U6=1,'calcA'!AU$117=1,ET6=0),300,0))),1000000000))</f>
        <v/>
      </c>
      <c r="PX6">
        <f>IF($B6=0,1000000000,IF(INDEX('calcA'!$D$60:$EQ$99,$B6,45)*IF($W6=1,ET6+ABI6,ET6)=1,IF(AND($E6=2,IF($W6=1,AGX6,KI6)=0),1000000000,IF($V6=1,INDEX('calcA'!$D$130:$EQ$169,$B6,45)+IF(AND($E6=1,KI6=0),25,0),INDEX('calcA'!AV$110:AV$114,$F6+1)+IF(AND($E6=1,KI6=0),1000,0)+IF($H6=1,INDEX('calcA'!$D$180:$EQ$219,$B6,45)*500,0)-IF(AND('calcA'!AU$117=1,VS6&gt;0),300,0)-IF(AND($U6=1,'calcA'!AV$117=1,EU6=0),300,0))),1000000000))</f>
        <v/>
      </c>
      <c r="PY6">
        <f>IF($B6=0,1000000000,IF(INDEX('calcA'!$D$60:$EQ$99,$B6,46)*IF($W6=1,EU6+ABJ6,EU6)=1,IF(AND($E6=2,IF($W6=1,AGY6,KJ6)=0),1000000000,IF($V6=1,INDEX('calcA'!$D$130:$EQ$169,$B6,46)+IF(AND($E6=1,KJ6=0),25,0),INDEX('calcA'!AW$110:AW$114,$F6+1)+IF(AND($E6=1,KJ6=0),1000,0)+IF($H6=1,INDEX('calcA'!$D$180:$EQ$219,$B6,46)*500,0)-IF(AND('calcA'!AV$117=1,VT6&gt;0),300,0)-IF(AND($U6=1,'calcA'!AW$117=1,EV6=0),300,0))),1000000000))</f>
        <v/>
      </c>
      <c r="PZ6">
        <f>IF($B6=0,1000000000,IF(INDEX('calcA'!$D$60:$EQ$99,$B6,47)*IF($W6=1,EV6+ABK6,EV6)=1,IF(AND($E6=2,IF($W6=1,AGZ6,KK6)=0),1000000000,IF($V6=1,INDEX('calcA'!$D$130:$EQ$169,$B6,47)+IF(AND($E6=1,KK6=0),25,0),INDEX('calcA'!AX$110:AX$114,$F6+1)+IF(AND($E6=1,KK6=0),1000,0)+IF($H6=1,INDEX('calcA'!$D$180:$EQ$219,$B6,47)*500,0)-IF(AND('calcA'!AW$117=1,VU6&gt;0),300,0)-IF(AND($U6=1,'calcA'!AX$117=1,EW6=0),300,0))),1000000000))</f>
        <v/>
      </c>
      <c r="QA6">
        <f>IF($B6=0,1000000000,IF(INDEX('calcA'!$D$60:$EQ$99,$B6,48)*IF($W6=1,EW6+ABL6,EW6)=1,IF(AND($E6=2,IF($W6=1,AHA6,KL6)=0),1000000000,IF($V6=1,INDEX('calcA'!$D$130:$EQ$169,$B6,48)+IF(AND($E6=1,KL6=0),25,0),INDEX('calcA'!AY$110:AY$114,$F6+1)+IF(AND($E6=1,KL6=0),1000,0)+IF($H6=1,INDEX('calcA'!$D$180:$EQ$219,$B6,48)*500,0)-IF(AND('calcA'!AX$117=1,VV6&gt;0),300,0))),1000000000))</f>
        <v/>
      </c>
      <c r="QB6">
        <f>IF($B6=0,1000000000,IF(INDEX('calcA'!$D$60:$EQ$99,$B6,49)*IF($W6=1,EX6+ABM6,EX6)=1,IF(AND($E6=2,IF($W6=1,AHB6,KM6)=0),1000000000,IF($V6=1,INDEX('calcA'!$D$130:$EQ$169,$B6,49)+IF(AND($E6=1,KM6=0),25,0),INDEX('calcA'!AZ$110:AZ$114,$F6+1)+IF(AND($E6=1,KM6=0),1000,0)+IF($H6=1,INDEX('calcA'!$D$180:$EQ$219,$B6,49)*500,0)-IF(AND($U6=1,'calcA'!AZ$117=1,EY6=0),300,0))),1000000000))</f>
        <v/>
      </c>
      <c r="QC6">
        <f>IF($B6=0,1000000000,IF(INDEX('calcA'!$D$60:$EQ$99,$B6,50)*IF($W6=1,EY6+ABN6,EY6)=1,IF(AND($E6=2,IF($W6=1,AHC6,KN6)=0),1000000000,IF($V6=1,INDEX('calcA'!$D$130:$EQ$169,$B6,50)+IF(AND($E6=1,KN6=0),25,0),INDEX('calcA'!BA$110:BA$114,$F6+1)+IF(AND($E6=1,KN6=0),1000,0)+IF($H6=1,INDEX('calcA'!$D$180:$EQ$219,$B6,50)*500,0)-IF(AND('calcA'!AZ$117=1,VX6&gt;0),300,0)-IF(AND($U6=1,'calcA'!BA$117=1,EZ6=0),300,0))),1000000000))</f>
        <v/>
      </c>
      <c r="QD6">
        <f>IF($B6=0,1000000000,IF(INDEX('calcA'!$D$60:$EQ$99,$B6,51)*IF($W6=1,EZ6+ABO6,EZ6)=1,IF(AND($E6=2,IF($W6=1,AHD6,KO6)=0),1000000000,IF($V6=1,INDEX('calcA'!$D$130:$EQ$169,$B6,51)+IF(AND($E6=1,KO6=0),25,0),INDEX('calcA'!BB$110:BB$114,$F6+1)+IF(AND($E6=1,KO6=0),1000,0)+IF($H6=1,INDEX('calcA'!$D$180:$EQ$219,$B6,51)*500,0)-IF(AND('calcA'!BA$117=1,VY6&gt;0),300,0)-IF(AND($U6=1,'calcA'!BB$117=1,FA6=0),300,0))),1000000000))</f>
        <v/>
      </c>
      <c r="QE6">
        <f>IF($B6=0,1000000000,IF(INDEX('calcA'!$D$60:$EQ$99,$B6,52)*IF($W6=1,FA6+ABP6,FA6)=1,IF(AND($E6=2,IF($W6=1,AHE6,KP6)=0),1000000000,IF($V6=1,INDEX('calcA'!$D$130:$EQ$169,$B6,52)+IF(AND($E6=1,KP6=0),25,0),INDEX('calcA'!BC$110:BC$114,$F6+1)+IF(AND($E6=1,KP6=0),1000,0)+IF($H6=1,INDEX('calcA'!$D$180:$EQ$219,$B6,52)*500,0)-IF(AND('calcA'!BB$117=1,VZ6&gt;0),300,0)-IF(AND($U6=1,'calcA'!BC$117=1,FB6=0),300,0))),1000000000))</f>
        <v/>
      </c>
      <c r="QF6">
        <f>IF($B6=0,1000000000,IF(INDEX('calcA'!$D$60:$EQ$99,$B6,53)*IF($W6=1,FB6+ABQ6,FB6)=1,IF(AND($E6=2,IF($W6=1,AHF6,KQ6)=0),1000000000,IF($V6=1,INDEX('calcA'!$D$130:$EQ$169,$B6,53)+IF(AND($E6=1,KQ6=0),25,0),INDEX('calcA'!BD$110:BD$114,$F6+1)+IF(AND($E6=1,KQ6=0),1000,0)+IF($H6=1,INDEX('calcA'!$D$180:$EQ$219,$B6,53)*500,0)-IF(AND('calcA'!BC$117=1,WA6&gt;0),300,0)-IF(AND($U6=1,'calcA'!BD$117=1,FC6=0),300,0))),1000000000))</f>
        <v/>
      </c>
      <c r="QG6">
        <f>IF($B6=0,1000000000,IF(INDEX('calcA'!$D$60:$EQ$99,$B6,54)*IF($W6=1,FC6+ABR6,FC6)=1,IF(AND($E6=2,IF($W6=1,AHG6,KR6)=0),1000000000,IF($V6=1,INDEX('calcA'!$D$130:$EQ$169,$B6,54)+IF(AND($E6=1,KR6=0),25,0),INDEX('calcA'!BE$110:BE$114,$F6+1)+IF(AND($E6=1,KR6=0),1000,0)+IF($H6=1,INDEX('calcA'!$D$180:$EQ$219,$B6,54)*500,0)-IF(AND('calcA'!BD$117=1,WB6&gt;0),300,0)-IF(AND($U6=1,'calcA'!BE$117=1,FD6=0),300,0))),1000000000))</f>
        <v/>
      </c>
      <c r="QH6">
        <f>IF($B6=0,1000000000,IF(INDEX('calcA'!$D$60:$EQ$99,$B6,55)*IF($W6=1,FD6+ABS6,FD6)=1,IF(AND($E6=2,IF($W6=1,AHH6,KS6)=0),1000000000,IF($V6=1,INDEX('calcA'!$D$130:$EQ$169,$B6,55)+IF(AND($E6=1,KS6=0),25,0),INDEX('calcA'!BF$110:BF$114,$F6+1)+IF(AND($E6=1,KS6=0),1000,0)+IF($H6=1,INDEX('calcA'!$D$180:$EQ$219,$B6,55)*500,0)-IF(AND('calcA'!BE$117=1,WC6&gt;0),300,0)-IF(AND($U6=1,'calcA'!BF$117=1,FE6=0),300,0))),1000000000))</f>
        <v/>
      </c>
      <c r="QI6">
        <f>IF($B6=0,1000000000,IF(INDEX('calcA'!$D$60:$EQ$99,$B6,56)*IF($W6=1,FE6+ABT6,FE6)=1,IF(AND($E6=2,IF($W6=1,AHI6,KT6)=0),1000000000,IF($V6=1,INDEX('calcA'!$D$130:$EQ$169,$B6,56)+IF(AND($E6=1,KT6=0),25,0),INDEX('calcA'!BG$110:BG$114,$F6+1)+IF(AND($E6=1,KT6=0),1000,0)+IF($H6=1,INDEX('calcA'!$D$180:$EQ$219,$B6,56)*500,0)-IF(AND('calcA'!BF$117=1,WD6&gt;0),300,0)-IF(AND($U6=1,'calcA'!BG$117=1,FF6=0),300,0))),1000000000))</f>
        <v/>
      </c>
      <c r="QJ6">
        <f>IF($B6=0,1000000000,IF(INDEX('calcA'!$D$60:$EQ$99,$B6,57)*IF($W6=1,FF6+ABU6,FF6)=1,IF(AND($E6=2,IF($W6=1,AHJ6,KU6)=0),1000000000,IF($V6=1,INDEX('calcA'!$D$130:$EQ$169,$B6,57)+IF(AND($E6=1,KU6=0),25,0),INDEX('calcA'!BH$110:BH$114,$F6+1)+IF(AND($E6=1,KU6=0),1000,0)+IF($H6=1,INDEX('calcA'!$D$180:$EQ$219,$B6,57)*500,0)-IF(AND('calcA'!BG$117=1,WE6&gt;0),300,0)-IF(AND($U6=1,'calcA'!BH$117=1,FG6=0),300,0))),1000000000))</f>
        <v/>
      </c>
      <c r="QK6">
        <f>IF($B6=0,1000000000,IF(INDEX('calcA'!$D$60:$EQ$99,$B6,58)*IF($W6=1,FG6+ABV6,FG6)=1,IF(AND($E6=2,IF($W6=1,AHK6,KV6)=0),1000000000,IF($V6=1,INDEX('calcA'!$D$130:$EQ$169,$B6,58)+IF(AND($E6=1,KV6=0),25,0),INDEX('calcA'!BI$110:BI$114,$F6+1)+IF(AND($E6=1,KV6=0),1000,0)+IF($H6=1,INDEX('calcA'!$D$180:$EQ$219,$B6,58)*500,0)-IF(AND('calcA'!BH$117=1,WF6&gt;0),300,0)-IF(AND($U6=1,'calcA'!BI$117=1,FH6=0),300,0))),1000000000))</f>
        <v/>
      </c>
      <c r="QL6">
        <f>IF($B6=0,1000000000,IF(INDEX('calcA'!$D$60:$EQ$99,$B6,59)*IF($W6=1,FH6+ABW6,FH6)=1,IF(AND($E6=2,IF($W6=1,AHL6,KW6)=0),1000000000,IF($V6=1,INDEX('calcA'!$D$130:$EQ$169,$B6,59)+IF(AND($E6=1,KW6=0),25,0),INDEX('calcA'!BJ$110:BJ$114,$F6+1)+IF(AND($E6=1,KW6=0),1000,0)+IF($H6=1,INDEX('calcA'!$D$180:$EQ$219,$B6,59)*500,0)-IF(AND('calcA'!BI$117=1,WG6&gt;0),300,0)-IF(AND($U6=1,'calcA'!BJ$117=1,FI6=0),300,0))),1000000000))</f>
        <v/>
      </c>
      <c r="QM6">
        <f>IF($B6=0,1000000000,IF(INDEX('calcA'!$D$60:$EQ$99,$B6,60)*IF($W6=1,FI6+ABX6,FI6)=1,IF(AND($E6=2,IF($W6=1,AHM6,KX6)=0),1000000000,IF($V6=1,INDEX('calcA'!$D$130:$EQ$169,$B6,60)+IF(AND($E6=1,KX6=0),25,0),INDEX('calcA'!BK$110:BK$114,$F6+1)+IF(AND($E6=1,KX6=0),1000,0)+IF($H6=1,INDEX('calcA'!$D$180:$EQ$219,$B6,60)*500,0)-IF(AND('calcA'!BJ$117=1,WH6&gt;0),300,0)-IF(AND($U6=1,'calcA'!BK$117=1,FJ6=0),300,0))),1000000000))</f>
        <v/>
      </c>
      <c r="QN6">
        <f>IF($B6=0,1000000000,IF(INDEX('calcA'!$D$60:$EQ$99,$B6,61)*IF($W6=1,FJ6+ABY6,FJ6)=1,IF(AND($E6=2,IF($W6=1,AHN6,KY6)=0),1000000000,IF($V6=1,INDEX('calcA'!$D$130:$EQ$169,$B6,61)+IF(AND($E6=1,KY6=0),25,0),INDEX('calcA'!BL$110:BL$114,$F6+1)+IF(AND($E6=1,KY6=0),1000,0)+IF($H6=1,INDEX('calcA'!$D$180:$EQ$219,$B6,61)*500,0)-IF(AND('calcA'!BK$117=1,WI6&gt;0),300,0)-IF(AND($U6=1,'calcA'!BL$117=1,FK6=0),300,0))),1000000000))</f>
        <v/>
      </c>
      <c r="QO6">
        <f>IF($B6=0,1000000000,IF(INDEX('calcA'!$D$60:$EQ$99,$B6,62)*IF($W6=1,FK6+ABZ6,FK6)=1,IF(AND($E6=2,IF($W6=1,AHO6,KZ6)=0),1000000000,IF($V6=1,INDEX('calcA'!$D$130:$EQ$169,$B6,62)+IF(AND($E6=1,KZ6=0),25,0),INDEX('calcA'!BM$110:BM$114,$F6+1)+IF(AND($E6=1,KZ6=0),1000,0)+IF($H6=1,INDEX('calcA'!$D$180:$EQ$219,$B6,62)*500,0)-IF(AND('calcA'!BL$117=1,WJ6&gt;0),300,0)-IF(AND($U6=1,'calcA'!BM$117=1,FL6=0),300,0))),1000000000))</f>
        <v/>
      </c>
      <c r="QP6">
        <f>IF($B6=0,1000000000,IF(INDEX('calcA'!$D$60:$EQ$99,$B6,63)*IF($W6=1,FL6+ACA6,FL6)=1,IF(AND($E6=2,IF($W6=1,AHP6,LA6)=0),1000000000,IF($V6=1,INDEX('calcA'!$D$130:$EQ$169,$B6,63)+IF(AND($E6=1,LA6=0),25,0),INDEX('calcA'!BN$110:BN$114,$F6+1)+IF(AND($E6=1,LA6=0),1000,0)+IF($H6=1,INDEX('calcA'!$D$180:$EQ$219,$B6,63)*500,0)-IF(AND('calcA'!BM$117=1,WK6&gt;0),300,0)-IF(AND($U6=1,'calcA'!BN$117=1,FM6=0),300,0))),1000000000))</f>
        <v/>
      </c>
      <c r="QQ6">
        <f>IF($B6=0,1000000000,IF(INDEX('calcA'!$D$60:$EQ$99,$B6,64)*IF($W6=1,FM6+ACB6,FM6)=1,IF(AND($E6=2,IF($W6=1,AHQ6,LB6)=0),1000000000,IF($V6=1,INDEX('calcA'!$D$130:$EQ$169,$B6,64)+IF(AND($E6=1,LB6=0),25,0),INDEX('calcA'!BO$110:BO$114,$F6+1)+IF(AND($E6=1,LB6=0),1000,0)+IF($H6=1,INDEX('calcA'!$D$180:$EQ$219,$B6,64)*500,0)-IF(AND('calcA'!BN$117=1,WL6&gt;0),300,0)-IF(AND($U6=1,'calcA'!BO$117=1,FN6=0),300,0))),1000000000))</f>
        <v/>
      </c>
      <c r="QR6">
        <f>IF($B6=0,1000000000,IF(INDEX('calcA'!$D$60:$EQ$99,$B6,65)*IF($W6=1,FN6+ACC6,FN6)=1,IF(AND($E6=2,IF($W6=1,AHR6,LC6)=0),1000000000,IF($V6=1,INDEX('calcA'!$D$130:$EQ$169,$B6,65)+IF(AND($E6=1,LC6=0),25,0),INDEX('calcA'!BP$110:BP$114,$F6+1)+IF(AND($E6=1,LC6=0),1000,0)+IF($H6=1,INDEX('calcA'!$D$180:$EQ$219,$B6,65)*500,0)-IF(AND('calcA'!BO$117=1,WM6&gt;0),300,0)-IF(AND($U6=1,'calcA'!BP$117=1,FO6=0),300,0))),1000000000))</f>
        <v/>
      </c>
      <c r="QS6">
        <f>IF($B6=0,1000000000,IF(INDEX('calcA'!$D$60:$EQ$99,$B6,66)*IF($W6=1,FO6+ACD6,FO6)=1,IF(AND($E6=2,IF($W6=1,AHS6,LD6)=0),1000000000,IF($V6=1,INDEX('calcA'!$D$130:$EQ$169,$B6,66)+IF(AND($E6=1,LD6=0),25,0),INDEX('calcA'!BQ$110:BQ$114,$F6+1)+IF(AND($E6=1,LD6=0),1000,0)+IF($H6=1,INDEX('calcA'!$D$180:$EQ$219,$B6,66)*500,0)-IF(AND('calcA'!BP$117=1,WN6&gt;0),300,0)-IF(AND($U6=1,'calcA'!BQ$117=1,FP6=0),300,0))),1000000000))</f>
        <v/>
      </c>
      <c r="QT6">
        <f>IF($B6=0,1000000000,IF(INDEX('calcA'!$D$60:$EQ$99,$B6,67)*IF($W6=1,FP6+ACE6,FP6)=1,IF(AND($E6=2,IF($W6=1,AHT6,LE6)=0),1000000000,IF($V6=1,INDEX('calcA'!$D$130:$EQ$169,$B6,67)+IF(AND($E6=1,LE6=0),25,0),INDEX('calcA'!BR$110:BR$114,$F6+1)+IF(AND($E6=1,LE6=0),1000,0)+IF($H6=1,INDEX('calcA'!$D$180:$EQ$219,$B6,67)*500,0)-IF(AND('calcA'!BQ$117=1,WO6&gt;0),300,0)-IF(AND($U6=1,'calcA'!BR$117=1,FQ6=0),300,0))),1000000000))</f>
        <v/>
      </c>
      <c r="QU6">
        <f>IF($B6=0,1000000000,IF(INDEX('calcA'!$D$60:$EQ$99,$B6,68)*IF($W6=1,FQ6+ACF6,FQ6)=1,IF(AND($E6=2,IF($W6=1,AHU6,LF6)=0),1000000000,IF($V6=1,INDEX('calcA'!$D$130:$EQ$169,$B6,68)+IF(AND($E6=1,LF6=0),25,0),INDEX('calcA'!BS$110:BS$114,$F6+1)+IF(AND($E6=1,LF6=0),1000,0)+IF($H6=1,INDEX('calcA'!$D$180:$EQ$219,$B6,68)*500,0)-IF(AND('calcA'!BR$117=1,WP6&gt;0),300,0)-IF(AND($U6=1,'calcA'!BS$117=1,FR6=0),300,0))),1000000000))</f>
        <v/>
      </c>
      <c r="QV6">
        <f>IF($B6=0,1000000000,IF(INDEX('calcA'!$D$60:$EQ$99,$B6,69)*IF($W6=1,FR6+ACG6,FR6)=1,IF(AND($E6=2,IF($W6=1,AHV6,LG6)=0),1000000000,IF($V6=1,INDEX('calcA'!$D$130:$EQ$169,$B6,69)+IF(AND($E6=1,LG6=0),25,0),INDEX('calcA'!BT$110:BT$114,$F6+1)+IF(AND($E6=1,LG6=0),1000,0)+IF($H6=1,INDEX('calcA'!$D$180:$EQ$219,$B6,69)*500,0)-IF(AND('calcA'!BS$117=1,WQ6&gt;0),300,0)-IF(AND($U6=1,'calcA'!BT$117=1,FS6=0),300,0))),1000000000))</f>
        <v/>
      </c>
      <c r="QW6">
        <f>IF($B6=0,1000000000,IF(INDEX('calcA'!$D$60:$EQ$99,$B6,70)*IF($W6=1,FS6+ACH6,FS6)=1,IF(AND($E6=2,IF($W6=1,AHW6,LH6)=0),1000000000,IF($V6=1,INDEX('calcA'!$D$130:$EQ$169,$B6,70)+IF(AND($E6=1,LH6=0),25,0),INDEX('calcA'!BU$110:BU$114,$F6+1)+IF(AND($E6=1,LH6=0),1000,0)+IF($H6=1,INDEX('calcA'!$D$180:$EQ$219,$B6,70)*500,0)-IF(AND('calcA'!BT$117=1,WR6&gt;0),300,0)-IF(AND($U6=1,'calcA'!BU$117=1,FT6=0),300,0))),1000000000))</f>
        <v/>
      </c>
      <c r="QX6">
        <f>IF($B6=0,1000000000,IF(INDEX('calcA'!$D$60:$EQ$99,$B6,71)*IF($W6=1,FT6+ACI6,FT6)=1,IF(AND($E6=2,IF($W6=1,AHX6,LI6)=0),1000000000,IF($V6=1,INDEX('calcA'!$D$130:$EQ$169,$B6,71)+IF(AND($E6=1,LI6=0),25,0),INDEX('calcA'!BV$110:BV$114,$F6+1)+IF(AND($E6=1,LI6=0),1000,0)+IF($H6=1,INDEX('calcA'!$D$180:$EQ$219,$B6,71)*500,0)-IF(AND('calcA'!BU$117=1,WS6&gt;0),300,0)-IF(AND($U6=1,'calcA'!BV$117=1,FU6=0),300,0))),1000000000))</f>
        <v/>
      </c>
      <c r="QY6">
        <f>IF($B6=0,1000000000,IF(INDEX('calcA'!$D$60:$EQ$99,$B6,72)*IF($W6=1,FU6+ACJ6,FU6)=1,IF(AND($E6=2,IF($W6=1,AHY6,LJ6)=0),1000000000,IF($V6=1,INDEX('calcA'!$D$130:$EQ$169,$B6,72)+IF(AND($E6=1,LJ6=0),25,0),INDEX('calcA'!BW$110:BW$114,$F6+1)+IF(AND($E6=1,LJ6=0),1000,0)+IF($H6=1,INDEX('calcA'!$D$180:$EQ$219,$B6,72)*500,0)-IF(AND('calcA'!BV$117=1,WT6&gt;0),300,0))),1000000000))</f>
        <v/>
      </c>
      <c r="QZ6">
        <f>IF($B6=0,1000000000,IF(INDEX('calcA'!$D$60:$EQ$99,$B6,73)*IF($W6=1,FV6+ACK6,FV6)=1,IF(AND($E6=2,IF($W6=1,AHZ6,LK6)=0),1000000000,IF($V6=1,INDEX('calcA'!$D$130:$EQ$169,$B6,73)+IF(AND($E6=1,LK6=0),25,0),INDEX('calcA'!BX$110:BX$114,$F6+1)+IF(AND($E6=1,LK6=0),1000,0)+IF($H6=1,INDEX('calcA'!$D$180:$EQ$219,$B6,73)*500,0)-IF(AND($U6=1,'calcA'!BX$117=1,FW6=0),300,0))),1000000000))</f>
        <v/>
      </c>
      <c r="RA6">
        <f>IF($B6=0,1000000000,IF(INDEX('calcA'!$D$60:$EQ$99,$B6,74)*IF($W6=1,FW6+ACL6,FW6)=1,IF(AND($E6=2,IF($W6=1,AIA6,LL6)=0),1000000000,IF($V6=1,INDEX('calcA'!$D$130:$EQ$169,$B6,74)+IF(AND($E6=1,LL6=0),25,0),INDEX('calcA'!BY$110:BY$114,$F6+1)+IF(AND($E6=1,LL6=0),1000,0)+IF($H6=1,INDEX('calcA'!$D$180:$EQ$219,$B6,74)*500,0)-IF(AND('calcA'!BX$117=1,WV6&gt;0),300,0)-IF(AND($U6=1,'calcA'!BY$117=1,FX6=0),300,0))),1000000000))</f>
        <v/>
      </c>
      <c r="RB6">
        <f>IF($B6=0,1000000000,IF(INDEX('calcA'!$D$60:$EQ$99,$B6,75)*IF($W6=1,FX6+ACM6,FX6)=1,IF(AND($E6=2,IF($W6=1,AIB6,LM6)=0),1000000000,IF($V6=1,INDEX('calcA'!$D$130:$EQ$169,$B6,75)+IF(AND($E6=1,LM6=0),25,0),INDEX('calcA'!BZ$110:BZ$114,$F6+1)+IF(AND($E6=1,LM6=0),1000,0)+IF($H6=1,INDEX('calcA'!$D$180:$EQ$219,$B6,75)*500,0)-IF(AND('calcA'!BY$117=1,WW6&gt;0),300,0)-IF(AND($U6=1,'calcA'!BZ$117=1,FY6=0),300,0))),1000000000))</f>
        <v/>
      </c>
      <c r="RC6">
        <f>IF($B6=0,1000000000,IF(INDEX('calcA'!$D$60:$EQ$99,$B6,76)*IF($W6=1,FY6+ACN6,FY6)=1,IF(AND($E6=2,IF($W6=1,AIC6,LN6)=0),1000000000,IF($V6=1,INDEX('calcA'!$D$130:$EQ$169,$B6,76)+IF(AND($E6=1,LN6=0),25,0),INDEX('calcA'!CA$110:CA$114,$F6+1)+IF(AND($E6=1,LN6=0),1000,0)+IF($H6=1,INDEX('calcA'!$D$180:$EQ$219,$B6,76)*500,0)-IF(AND('calcA'!BZ$117=1,WX6&gt;0),300,0)-IF(AND($U6=1,'calcA'!CA$117=1,FZ6=0),300,0))),1000000000))</f>
        <v/>
      </c>
      <c r="RD6">
        <f>IF($B6=0,1000000000,IF(INDEX('calcA'!$D$60:$EQ$99,$B6,77)*IF($W6=1,FZ6+ACO6,FZ6)=1,IF(AND($E6=2,IF($W6=1,AID6,LO6)=0),1000000000,IF($V6=1,INDEX('calcA'!$D$130:$EQ$169,$B6,77)+IF(AND($E6=1,LO6=0),25,0),INDEX('calcA'!CB$110:CB$114,$F6+1)+IF(AND($E6=1,LO6=0),1000,0)+IF($H6=1,INDEX('calcA'!$D$180:$EQ$219,$B6,77)*500,0)-IF(AND('calcA'!CA$117=1,WY6&gt;0),300,0)-IF(AND($U6=1,'calcA'!CB$117=1,GA6=0),300,0))),1000000000))</f>
        <v/>
      </c>
      <c r="RE6">
        <f>IF($B6=0,1000000000,IF(INDEX('calcA'!$D$60:$EQ$99,$B6,78)*IF($W6=1,GA6+ACP6,GA6)=1,IF(AND($E6=2,IF($W6=1,AIE6,LP6)=0),1000000000,IF($V6=1,INDEX('calcA'!$D$130:$EQ$169,$B6,78)+IF(AND($E6=1,LP6=0),25,0),INDEX('calcA'!CC$110:CC$114,$F6+1)+IF(AND($E6=1,LP6=0),1000,0)+IF($H6=1,INDEX('calcA'!$D$180:$EQ$219,$B6,78)*500,0)-IF(AND('calcA'!CB$117=1,WZ6&gt;0),300,0)-IF(AND($U6=1,'calcA'!CC$117=1,GB6=0),300,0))),1000000000))</f>
        <v/>
      </c>
      <c r="RF6">
        <f>IF($B6=0,1000000000,IF(INDEX('calcA'!$D$60:$EQ$99,$B6,79)*IF($W6=1,GB6+ACQ6,GB6)=1,IF(AND($E6=2,IF($W6=1,AIF6,LQ6)=0),1000000000,IF($V6=1,INDEX('calcA'!$D$130:$EQ$169,$B6,79)+IF(AND($E6=1,LQ6=0),25,0),INDEX('calcA'!CD$110:CD$114,$F6+1)+IF(AND($E6=1,LQ6=0),1000,0)+IF($H6=1,INDEX('calcA'!$D$180:$EQ$219,$B6,79)*500,0)-IF(AND('calcA'!CC$117=1,XA6&gt;0),300,0)-IF(AND($U6=1,'calcA'!CD$117=1,GC6=0),300,0))),1000000000))</f>
        <v/>
      </c>
      <c r="RG6">
        <f>IF($B6=0,1000000000,IF(INDEX('calcA'!$D$60:$EQ$99,$B6,80)*IF($W6=1,GC6+ACR6,GC6)=1,IF(AND($E6=2,IF($W6=1,AIG6,LR6)=0),1000000000,IF($V6=1,INDEX('calcA'!$D$130:$EQ$169,$B6,80)+IF(AND($E6=1,LR6=0),25,0),INDEX('calcA'!CE$110:CE$114,$F6+1)+IF(AND($E6=1,LR6=0),1000,0)+IF($H6=1,INDEX('calcA'!$D$180:$EQ$219,$B6,80)*500,0)-IF(AND('calcA'!CD$117=1,XB6&gt;0),300,0)-IF(AND($U6=1,'calcA'!CE$117=1,GD6=0),300,0))),1000000000))</f>
        <v/>
      </c>
      <c r="RH6">
        <f>IF($B6=0,1000000000,IF(INDEX('calcA'!$D$60:$EQ$99,$B6,81)*IF($W6=1,GD6+ACS6,GD6)=1,IF(AND($E6=2,IF($W6=1,AIH6,LS6)=0),1000000000,IF($V6=1,INDEX('calcA'!$D$130:$EQ$169,$B6,81)+IF(AND($E6=1,LS6=0),25,0),INDEX('calcA'!CF$110:CF$114,$F6+1)+IF(AND($E6=1,LS6=0),1000,0)+IF($H6=1,INDEX('calcA'!$D$180:$EQ$219,$B6,81)*500,0)-IF(AND('calcA'!CE$117=1,XC6&gt;0),300,0)-IF(AND($U6=1,'calcA'!CF$117=1,GE6=0),300,0))),1000000000))</f>
        <v/>
      </c>
      <c r="RI6">
        <f>IF($B6=0,1000000000,IF(INDEX('calcA'!$D$60:$EQ$99,$B6,82)*IF($W6=1,GE6+ACT6,GE6)=1,IF(AND($E6=2,IF($W6=1,AII6,LT6)=0),1000000000,IF($V6=1,INDEX('calcA'!$D$130:$EQ$169,$B6,82)+IF(AND($E6=1,LT6=0),25,0),INDEX('calcA'!CG$110:CG$114,$F6+1)+IF(AND($E6=1,LT6=0),1000,0)+IF($H6=1,INDEX('calcA'!$D$180:$EQ$219,$B6,82)*500,0)-IF(AND('calcA'!CF$117=1,XD6&gt;0),300,0)-IF(AND($U6=1,'calcA'!CG$117=1,GF6=0),300,0))),1000000000))</f>
        <v/>
      </c>
      <c r="RJ6">
        <f>IF($B6=0,1000000000,IF(INDEX('calcA'!$D$60:$EQ$99,$B6,83)*IF($W6=1,GF6+ACU6,GF6)=1,IF(AND($E6=2,IF($W6=1,AIJ6,LU6)=0),1000000000,IF($V6=1,INDEX('calcA'!$D$130:$EQ$169,$B6,83)+IF(AND($E6=1,LU6=0),25,0),INDEX('calcA'!CH$110:CH$114,$F6+1)+IF(AND($E6=1,LU6=0),1000,0)+IF($H6=1,INDEX('calcA'!$D$180:$EQ$219,$B6,83)*500,0)-IF(AND('calcA'!CG$117=1,XE6&gt;0),300,0)-IF(AND($U6=1,'calcA'!CH$117=1,GG6=0),300,0))),1000000000))</f>
        <v/>
      </c>
      <c r="RK6">
        <f>IF($B6=0,1000000000,IF(INDEX('calcA'!$D$60:$EQ$99,$B6,84)*IF($W6=1,GG6+ACV6,GG6)=1,IF(AND($E6=2,IF($W6=1,AIK6,LV6)=0),1000000000,IF($V6=1,INDEX('calcA'!$D$130:$EQ$169,$B6,84)+IF(AND($E6=1,LV6=0),25,0),INDEX('calcA'!CI$110:CI$114,$F6+1)+IF(AND($E6=1,LV6=0),1000,0)+IF($H6=1,INDEX('calcA'!$D$180:$EQ$219,$B6,84)*500,0)-IF(AND('calcA'!CH$117=1,XF6&gt;0),300,0)-IF(AND($U6=1,'calcA'!CI$117=1,GH6=0),300,0))),1000000000))</f>
        <v/>
      </c>
      <c r="RL6">
        <f>IF($B6=0,1000000000,IF(INDEX('calcA'!$D$60:$EQ$99,$B6,85)*IF($W6=1,GH6+ACW6,GH6)=1,IF(AND($E6=2,IF($W6=1,AIL6,LW6)=0),1000000000,IF($V6=1,INDEX('calcA'!$D$130:$EQ$169,$B6,85)+IF(AND($E6=1,LW6=0),25,0),INDEX('calcA'!CJ$110:CJ$114,$F6+1)+IF(AND($E6=1,LW6=0),1000,0)+IF($H6=1,INDEX('calcA'!$D$180:$EQ$219,$B6,85)*500,0)-IF(AND('calcA'!CI$117=1,XG6&gt;0),300,0)-IF(AND($U6=1,'calcA'!CJ$117=1,GI6=0),300,0))),1000000000))</f>
        <v/>
      </c>
      <c r="RM6">
        <f>IF($B6=0,1000000000,IF(INDEX('calcA'!$D$60:$EQ$99,$B6,86)*IF($W6=1,GI6+ACX6,GI6)=1,IF(AND($E6=2,IF($W6=1,AIM6,LX6)=0),1000000000,IF($V6=1,INDEX('calcA'!$D$130:$EQ$169,$B6,86)+IF(AND($E6=1,LX6=0),25,0),INDEX('calcA'!CK$110:CK$114,$F6+1)+IF(AND($E6=1,LX6=0),1000,0)+IF($H6=1,INDEX('calcA'!$D$180:$EQ$219,$B6,86)*500,0)-IF(AND('calcA'!CJ$117=1,XH6&gt;0),300,0)-IF(AND($U6=1,'calcA'!CK$117=1,GJ6=0),300,0))),1000000000))</f>
        <v/>
      </c>
      <c r="RN6">
        <f>IF($B6=0,1000000000,IF(INDEX('calcA'!$D$60:$EQ$99,$B6,87)*IF($W6=1,GJ6+ACY6,GJ6)=1,IF(AND($E6=2,IF($W6=1,AIN6,LY6)=0),1000000000,IF($V6=1,INDEX('calcA'!$D$130:$EQ$169,$B6,87)+IF(AND($E6=1,LY6=0),25,0),INDEX('calcA'!CL$110:CL$114,$F6+1)+IF(AND($E6=1,LY6=0),1000,0)+IF($H6=1,INDEX('calcA'!$D$180:$EQ$219,$B6,87)*500,0)-IF(AND('calcA'!CK$117=1,XI6&gt;0),300,0)-IF(AND($U6=1,'calcA'!CL$117=1,GK6=0),300,0))),1000000000))</f>
        <v/>
      </c>
      <c r="RO6">
        <f>IF($B6=0,1000000000,IF(INDEX('calcA'!$D$60:$EQ$99,$B6,88)*IF($W6=1,GK6+ACZ6,GK6)=1,IF(AND($E6=2,IF($W6=1,AIO6,LZ6)=0),1000000000,IF($V6=1,INDEX('calcA'!$D$130:$EQ$169,$B6,88)+IF(AND($E6=1,LZ6=0),25,0),INDEX('calcA'!CM$110:CM$114,$F6+1)+IF(AND($E6=1,LZ6=0),1000,0)+IF($H6=1,INDEX('calcA'!$D$180:$EQ$219,$B6,88)*500,0)-IF(AND('calcA'!CL$117=1,XJ6&gt;0),300,0)-IF(AND($U6=1,'calcA'!CM$117=1,GL6=0),300,0))),1000000000))</f>
        <v/>
      </c>
      <c r="RP6">
        <f>IF($B6=0,1000000000,IF(INDEX('calcA'!$D$60:$EQ$99,$B6,89)*IF($W6=1,GL6+ADA6,GL6)=1,IF(AND($E6=2,IF($W6=1,AIP6,MA6)=0),1000000000,IF($V6=1,INDEX('calcA'!$D$130:$EQ$169,$B6,89)+IF(AND($E6=1,MA6=0),25,0),INDEX('calcA'!CN$110:CN$114,$F6+1)+IF(AND($E6=1,MA6=0),1000,0)+IF($H6=1,INDEX('calcA'!$D$180:$EQ$219,$B6,89)*500,0)-IF(AND('calcA'!CM$117=1,XK6&gt;0),300,0)-IF(AND($U6=1,'calcA'!CN$117=1,GM6=0),300,0))),1000000000))</f>
        <v/>
      </c>
      <c r="RQ6">
        <f>IF($B6=0,1000000000,IF(INDEX('calcA'!$D$60:$EQ$99,$B6,90)*IF($W6=1,GM6+ADB6,GM6)=1,IF(AND($E6=2,IF($W6=1,AIQ6,MB6)=0),1000000000,IF($V6=1,INDEX('calcA'!$D$130:$EQ$169,$B6,90)+IF(AND($E6=1,MB6=0),25,0),INDEX('calcA'!CO$110:CO$114,$F6+1)+IF(AND($E6=1,MB6=0),1000,0)+IF($H6=1,INDEX('calcA'!$D$180:$EQ$219,$B6,90)*500,0)-IF(AND('calcA'!CN$117=1,XL6&gt;0),300,0)-IF(AND($U6=1,'calcA'!CO$117=1,GN6=0),300,0))),1000000000))</f>
        <v/>
      </c>
      <c r="RR6">
        <f>IF($B6=0,1000000000,IF(INDEX('calcA'!$D$60:$EQ$99,$B6,91)*IF($W6=1,GN6+ADC6,GN6)=1,IF(AND($E6=2,IF($W6=1,AIR6,MC6)=0),1000000000,IF($V6=1,INDEX('calcA'!$D$130:$EQ$169,$B6,91)+IF(AND($E6=1,MC6=0),25,0),INDEX('calcA'!CP$110:CP$114,$F6+1)+IF(AND($E6=1,MC6=0),1000,0)+IF($H6=1,INDEX('calcA'!$D$180:$EQ$219,$B6,91)*500,0)-IF(AND('calcA'!CO$117=1,XM6&gt;0),300,0)-IF(AND($U6=1,'calcA'!CP$117=1,GO6=0),300,0))),1000000000))</f>
        <v/>
      </c>
      <c r="RS6">
        <f>IF($B6=0,1000000000,IF(INDEX('calcA'!$D$60:$EQ$99,$B6,92)*IF($W6=1,GO6+ADD6,GO6)=1,IF(AND($E6=2,IF($W6=1,AIS6,MD6)=0),1000000000,IF($V6=1,INDEX('calcA'!$D$130:$EQ$169,$B6,92)+IF(AND($E6=1,MD6=0),25,0),INDEX('calcA'!CQ$110:CQ$114,$F6+1)+IF(AND($E6=1,MD6=0),1000,0)+IF($H6=1,INDEX('calcA'!$D$180:$EQ$219,$B6,92)*500,0)-IF(AND('calcA'!CP$117=1,XN6&gt;0),300,0)-IF(AND($U6=1,'calcA'!CQ$117=1,GP6=0),300,0))),1000000000))</f>
        <v/>
      </c>
      <c r="RT6">
        <f>IF($B6=0,1000000000,IF(INDEX('calcA'!$D$60:$EQ$99,$B6,93)*IF($W6=1,GP6+ADE6,GP6)=1,IF(AND($E6=2,IF($W6=1,AIT6,ME6)=0),1000000000,IF($V6=1,INDEX('calcA'!$D$130:$EQ$169,$B6,93)+IF(AND($E6=1,ME6=0),25,0),INDEX('calcA'!CR$110:CR$114,$F6+1)+IF(AND($E6=1,ME6=0),1000,0)+IF($H6=1,INDEX('calcA'!$D$180:$EQ$219,$B6,93)*500,0)-IF(AND('calcA'!CQ$117=1,XO6&gt;0),300,0)-IF(AND($U6=1,'calcA'!CR$117=1,GQ6=0),300,0))),1000000000))</f>
        <v/>
      </c>
      <c r="RU6">
        <f>IF($B6=0,1000000000,IF(INDEX('calcA'!$D$60:$EQ$99,$B6,94)*IF($W6=1,GQ6+ADF6,GQ6)=1,IF(AND($E6=2,IF($W6=1,AIU6,MF6)=0),1000000000,IF($V6=1,INDEX('calcA'!$D$130:$EQ$169,$B6,94)+IF(AND($E6=1,MF6=0),25,0),INDEX('calcA'!CS$110:CS$114,$F6+1)+IF(AND($E6=1,MF6=0),1000,0)+IF($H6=1,INDEX('calcA'!$D$180:$EQ$219,$B6,94)*500,0)-IF(AND('calcA'!CR$117=1,XP6&gt;0),300,0)-IF(AND($U6=1,'calcA'!CS$117=1,GR6=0),300,0))),1000000000))</f>
        <v/>
      </c>
      <c r="RV6">
        <f>IF($B6=0,1000000000,IF(INDEX('calcA'!$D$60:$EQ$99,$B6,95)*IF($W6=1,GR6+ADG6,GR6)=1,IF(AND($E6=2,IF($W6=1,AIV6,MG6)=0),1000000000,IF($V6=1,INDEX('calcA'!$D$130:$EQ$169,$B6,95)+IF(AND($E6=1,MG6=0),25,0),INDEX('calcA'!CT$110:CT$114,$F6+1)+IF(AND($E6=1,MG6=0),1000,0)+IF($H6=1,INDEX('calcA'!$D$180:$EQ$219,$B6,95)*500,0)-IF(AND('calcA'!CS$117=1,XQ6&gt;0),300,0)-IF(AND($U6=1,'calcA'!CT$117=1,GS6=0),300,0))),1000000000))</f>
        <v/>
      </c>
      <c r="RW6">
        <f>IF($B6=0,1000000000,IF(INDEX('calcA'!$D$60:$EQ$99,$B6,96)*IF($W6=1,GS6+ADH6,GS6)=1,IF(AND($E6=2,IF($W6=1,AIW6,MH6)=0),1000000000,IF($V6=1,INDEX('calcA'!$D$130:$EQ$169,$B6,96)+IF(AND($E6=1,MH6=0),25,0),INDEX('calcA'!CU$110:CU$114,$F6+1)+IF(AND($E6=1,MH6=0),1000,0)+IF($H6=1,INDEX('calcA'!$D$180:$EQ$219,$B6,96)*500,0)-IF(AND('calcA'!CT$117=1,XR6&gt;0),300,0))),1000000000))</f>
        <v/>
      </c>
      <c r="RX6">
        <f>IF($B6=0,1000000000,IF(INDEX('calcA'!$D$60:$EQ$99,$B6,97)*IF($W6=1,GT6+ADI6,GT6)=1,IF(AND($E6=2,IF($W6=1,AIX6,MI6)=0),1000000000,IF($V6=1,INDEX('calcA'!$D$130:$EQ$169,$B6,97)+IF(AND($E6=1,MI6=0),25,0),INDEX('calcA'!CV$110:CV$114,$F6+1)+IF(AND($E6=1,MI6=0),1000,0)+IF($H6=1,INDEX('calcA'!$D$180:$EQ$219,$B6,97)*500,0)-IF(AND($U6=1,'calcA'!CV$117=1,GU6=0),300,0))),1000000000))</f>
        <v/>
      </c>
      <c r="RY6">
        <f>IF($B6=0,1000000000,IF(INDEX('calcA'!$D$60:$EQ$99,$B6,98)*IF($W6=1,GU6+ADJ6,GU6)=1,IF(AND($E6=2,IF($W6=1,AIY6,MJ6)=0),1000000000,IF($V6=1,INDEX('calcA'!$D$130:$EQ$169,$B6,98)+IF(AND($E6=1,MJ6=0),25,0),INDEX('calcA'!CW$110:CW$114,$F6+1)+IF(AND($E6=1,MJ6=0),1000,0)+IF($H6=1,INDEX('calcA'!$D$180:$EQ$219,$B6,98)*500,0)-IF(AND('calcA'!CV$117=1,XT6&gt;0),300,0)-IF(AND($U6=1,'calcA'!CW$117=1,GV6=0),300,0))),1000000000))</f>
        <v/>
      </c>
      <c r="RZ6">
        <f>IF($B6=0,1000000000,IF(INDEX('calcA'!$D$60:$EQ$99,$B6,99)*IF($W6=1,GV6+ADK6,GV6)=1,IF(AND($E6=2,IF($W6=1,AIZ6,MK6)=0),1000000000,IF($V6=1,INDEX('calcA'!$D$130:$EQ$169,$B6,99)+IF(AND($E6=1,MK6=0),25,0),INDEX('calcA'!CX$110:CX$114,$F6+1)+IF(AND($E6=1,MK6=0),1000,0)+IF($H6=1,INDEX('calcA'!$D$180:$EQ$219,$B6,99)*500,0)-IF(AND('calcA'!CW$117=1,XU6&gt;0),300,0)-IF(AND($U6=1,'calcA'!CX$117=1,GW6=0),300,0))),1000000000))</f>
        <v/>
      </c>
      <c r="SA6">
        <f>IF($B6=0,1000000000,IF(INDEX('calcA'!$D$60:$EQ$99,$B6,100)*IF($W6=1,GW6+ADL6,GW6)=1,IF(AND($E6=2,IF($W6=1,AJA6,ML6)=0),1000000000,IF($V6=1,INDEX('calcA'!$D$130:$EQ$169,$B6,100)+IF(AND($E6=1,ML6=0),25,0),INDEX('calcA'!CY$110:CY$114,$F6+1)+IF(AND($E6=1,ML6=0),1000,0)+IF($H6=1,INDEX('calcA'!$D$180:$EQ$219,$B6,100)*500,0)-IF(AND('calcA'!CX$117=1,XV6&gt;0),300,0)-IF(AND($U6=1,'calcA'!CY$117=1,GX6=0),300,0))),1000000000))</f>
        <v/>
      </c>
      <c r="SB6">
        <f>IF($B6=0,1000000000,IF(INDEX('calcA'!$D$60:$EQ$99,$B6,101)*IF($W6=1,GX6+ADM6,GX6)=1,IF(AND($E6=2,IF($W6=1,AJB6,MM6)=0),1000000000,IF($V6=1,INDEX('calcA'!$D$130:$EQ$169,$B6,101)+IF(AND($E6=1,MM6=0),25,0),INDEX('calcA'!CZ$110:CZ$114,$F6+1)+IF(AND($E6=1,MM6=0),1000,0)+IF($H6=1,INDEX('calcA'!$D$180:$EQ$219,$B6,101)*500,0)-IF(AND('calcA'!CY$117=1,XW6&gt;0),300,0)-IF(AND($U6=1,'calcA'!CZ$117=1,GY6=0),300,0))),1000000000))</f>
        <v/>
      </c>
      <c r="SC6">
        <f>IF($B6=0,1000000000,IF(INDEX('calcA'!$D$60:$EQ$99,$B6,102)*IF($W6=1,GY6+ADN6,GY6)=1,IF(AND($E6=2,IF($W6=1,AJC6,MN6)=0),1000000000,IF($V6=1,INDEX('calcA'!$D$130:$EQ$169,$B6,102)+IF(AND($E6=1,MN6=0),25,0),INDEX('calcA'!DA$110:DA$114,$F6+1)+IF(AND($E6=1,MN6=0),1000,0)+IF($H6=1,INDEX('calcA'!$D$180:$EQ$219,$B6,102)*500,0)-IF(AND('calcA'!CZ$117=1,XX6&gt;0),300,0)-IF(AND($U6=1,'calcA'!DA$117=1,GZ6=0),300,0))),1000000000))</f>
        <v/>
      </c>
      <c r="SD6">
        <f>IF($B6=0,1000000000,IF(INDEX('calcA'!$D$60:$EQ$99,$B6,103)*IF($W6=1,GZ6+ADO6,GZ6)=1,IF(AND($E6=2,IF($W6=1,AJD6,MO6)=0),1000000000,IF($V6=1,INDEX('calcA'!$D$130:$EQ$169,$B6,103)+IF(AND($E6=1,MO6=0),25,0),INDEX('calcA'!DB$110:DB$114,$F6+1)+IF(AND($E6=1,MO6=0),1000,0)+IF($H6=1,INDEX('calcA'!$D$180:$EQ$219,$B6,103)*500,0)-IF(AND('calcA'!DA$117=1,XY6&gt;0),300,0)-IF(AND($U6=1,'calcA'!DB$117=1,HA6=0),300,0))),1000000000))</f>
        <v/>
      </c>
      <c r="SE6">
        <f>IF($B6=0,1000000000,IF(INDEX('calcA'!$D$60:$EQ$99,$B6,104)*IF($W6=1,HA6+ADP6,HA6)=1,IF(AND($E6=2,IF($W6=1,AJE6,MP6)=0),1000000000,IF($V6=1,INDEX('calcA'!$D$130:$EQ$169,$B6,104)+IF(AND($E6=1,MP6=0),25,0),INDEX('calcA'!DC$110:DC$114,$F6+1)+IF(AND($E6=1,MP6=0),1000,0)+IF($H6=1,INDEX('calcA'!$D$180:$EQ$219,$B6,104)*500,0)-IF(AND('calcA'!DB$117=1,XZ6&gt;0),300,0)-IF(AND($U6=1,'calcA'!DC$117=1,HB6=0),300,0))),1000000000))</f>
        <v/>
      </c>
      <c r="SF6">
        <f>IF($B6=0,1000000000,IF(INDEX('calcA'!$D$60:$EQ$99,$B6,105)*IF($W6=1,HB6+ADQ6,HB6)=1,IF(AND($E6=2,IF($W6=1,AJF6,MQ6)=0),1000000000,IF($V6=1,INDEX('calcA'!$D$130:$EQ$169,$B6,105)+IF(AND($E6=1,MQ6=0),25,0),INDEX('calcA'!DD$110:DD$114,$F6+1)+IF(AND($E6=1,MQ6=0),1000,0)+IF($H6=1,INDEX('calcA'!$D$180:$EQ$219,$B6,105)*500,0)-IF(AND('calcA'!DC$117=1,YA6&gt;0),300,0)-IF(AND($U6=1,'calcA'!DD$117=1,HC6=0),300,0))),1000000000))</f>
        <v/>
      </c>
      <c r="SG6">
        <f>IF($B6=0,1000000000,IF(INDEX('calcA'!$D$60:$EQ$99,$B6,106)*IF($W6=1,HC6+ADR6,HC6)=1,IF(AND($E6=2,IF($W6=1,AJG6,MR6)=0),1000000000,IF($V6=1,INDEX('calcA'!$D$130:$EQ$169,$B6,106)+IF(AND($E6=1,MR6=0),25,0),INDEX('calcA'!DE$110:DE$114,$F6+1)+IF(AND($E6=1,MR6=0),1000,0)+IF($H6=1,INDEX('calcA'!$D$180:$EQ$219,$B6,106)*500,0)-IF(AND('calcA'!DD$117=1,YB6&gt;0),300,0)-IF(AND($U6=1,'calcA'!DE$117=1,HD6=0),300,0))),1000000000))</f>
        <v/>
      </c>
      <c r="SH6">
        <f>IF($B6=0,1000000000,IF(INDEX('calcA'!$D$60:$EQ$99,$B6,107)*IF($W6=1,HD6+ADS6,HD6)=1,IF(AND($E6=2,IF($W6=1,AJH6,MS6)=0),1000000000,IF($V6=1,INDEX('calcA'!$D$130:$EQ$169,$B6,107)+IF(AND($E6=1,MS6=0),25,0),INDEX('calcA'!DF$110:DF$114,$F6+1)+IF(AND($E6=1,MS6=0),1000,0)+IF($H6=1,INDEX('calcA'!$D$180:$EQ$219,$B6,107)*500,0)-IF(AND('calcA'!DE$117=1,YC6&gt;0),300,0)-IF(AND($U6=1,'calcA'!DF$117=1,HE6=0),300,0))),1000000000))</f>
        <v/>
      </c>
      <c r="SI6">
        <f>IF($B6=0,1000000000,IF(INDEX('calcA'!$D$60:$EQ$99,$B6,108)*IF($W6=1,HE6+ADT6,HE6)=1,IF(AND($E6=2,IF($W6=1,AJI6,MT6)=0),1000000000,IF($V6=1,INDEX('calcA'!$D$130:$EQ$169,$B6,108)+IF(AND($E6=1,MT6=0),25,0),INDEX('calcA'!DG$110:DG$114,$F6+1)+IF(AND($E6=1,MT6=0),1000,0)+IF($H6=1,INDEX('calcA'!$D$180:$EQ$219,$B6,108)*500,0)-IF(AND('calcA'!DF$117=1,YD6&gt;0),300,0)-IF(AND($U6=1,'calcA'!DG$117=1,HF6=0),300,0))),1000000000))</f>
        <v/>
      </c>
      <c r="SJ6">
        <f>IF($B6=0,1000000000,IF(INDEX('calcA'!$D$60:$EQ$99,$B6,109)*IF($W6=1,HF6+ADU6,HF6)=1,IF(AND($E6=2,IF($W6=1,AJJ6,MU6)=0),1000000000,IF($V6=1,INDEX('calcA'!$D$130:$EQ$169,$B6,109)+IF(AND($E6=1,MU6=0),25,0),INDEX('calcA'!DH$110:DH$114,$F6+1)+IF(AND($E6=1,MU6=0),1000,0)+IF($H6=1,INDEX('calcA'!$D$180:$EQ$219,$B6,109)*500,0)-IF(AND('calcA'!DG$117=1,YE6&gt;0),300,0)-IF(AND($U6=1,'calcA'!DH$117=1,HG6=0),300,0))),1000000000))</f>
        <v/>
      </c>
      <c r="SK6">
        <f>IF($B6=0,1000000000,IF(INDEX('calcA'!$D$60:$EQ$99,$B6,110)*IF($W6=1,HG6+ADV6,HG6)=1,IF(AND($E6=2,IF($W6=1,AJK6,MV6)=0),1000000000,IF($V6=1,INDEX('calcA'!$D$130:$EQ$169,$B6,110)+IF(AND($E6=1,MV6=0),25,0),INDEX('calcA'!DI$110:DI$114,$F6+1)+IF(AND($E6=1,MV6=0),1000,0)+IF($H6=1,INDEX('calcA'!$D$180:$EQ$219,$B6,110)*500,0)-IF(AND('calcA'!DH$117=1,YF6&gt;0),300,0)-IF(AND($U6=1,'calcA'!DI$117=1,HH6=0),300,0))),1000000000))</f>
        <v/>
      </c>
      <c r="SL6">
        <f>IF($B6=0,1000000000,IF(INDEX('calcA'!$D$60:$EQ$99,$B6,111)*IF($W6=1,HH6+ADW6,HH6)=1,IF(AND($E6=2,IF($W6=1,AJL6,MW6)=0),1000000000,IF($V6=1,INDEX('calcA'!$D$130:$EQ$169,$B6,111)+IF(AND($E6=1,MW6=0),25,0),INDEX('calcA'!DJ$110:DJ$114,$F6+1)+IF(AND($E6=1,MW6=0),1000,0)+IF($H6=1,INDEX('calcA'!$D$180:$EQ$219,$B6,111)*500,0)-IF(AND('calcA'!DI$117=1,YG6&gt;0),300,0)-IF(AND($U6=1,'calcA'!DJ$117=1,HI6=0),300,0))),1000000000))</f>
        <v/>
      </c>
      <c r="SM6">
        <f>IF($B6=0,1000000000,IF(INDEX('calcA'!$D$60:$EQ$99,$B6,112)*IF($W6=1,HI6+ADX6,HI6)=1,IF(AND($E6=2,IF($W6=1,AJM6,MX6)=0),1000000000,IF($V6=1,INDEX('calcA'!$D$130:$EQ$169,$B6,112)+IF(AND($E6=1,MX6=0),25,0),INDEX('calcA'!DK$110:DK$114,$F6+1)+IF(AND($E6=1,MX6=0),1000,0)+IF($H6=1,INDEX('calcA'!$D$180:$EQ$219,$B6,112)*500,0)-IF(AND('calcA'!DJ$117=1,YH6&gt;0),300,0)-IF(AND($U6=1,'calcA'!DK$117=1,HJ6=0),300,0))),1000000000))</f>
        <v/>
      </c>
      <c r="SN6">
        <f>IF($B6=0,1000000000,IF(INDEX('calcA'!$D$60:$EQ$99,$B6,113)*IF($W6=1,HJ6+ADY6,HJ6)=1,IF(AND($E6=2,IF($W6=1,AJN6,MY6)=0),1000000000,IF($V6=1,INDEX('calcA'!$D$130:$EQ$169,$B6,113)+IF(AND($E6=1,MY6=0),25,0),INDEX('calcA'!DL$110:DL$114,$F6+1)+IF(AND($E6=1,MY6=0),1000,0)+IF($H6=1,INDEX('calcA'!$D$180:$EQ$219,$B6,113)*500,0)-IF(AND('calcA'!DK$117=1,YI6&gt;0),300,0)-IF(AND($U6=1,'calcA'!DL$117=1,HK6=0),300,0))),1000000000))</f>
        <v/>
      </c>
      <c r="SO6">
        <f>IF($B6=0,1000000000,IF(INDEX('calcA'!$D$60:$EQ$99,$B6,114)*IF($W6=1,HK6+ADZ6,HK6)=1,IF(AND($E6=2,IF($W6=1,AJO6,MZ6)=0),1000000000,IF($V6=1,INDEX('calcA'!$D$130:$EQ$169,$B6,114)+IF(AND($E6=1,MZ6=0),25,0),INDEX('calcA'!DM$110:DM$114,$F6+1)+IF(AND($E6=1,MZ6=0),1000,0)+IF($H6=1,INDEX('calcA'!$D$180:$EQ$219,$B6,114)*500,0)-IF(AND('calcA'!DL$117=1,YJ6&gt;0),300,0)-IF(AND($U6=1,'calcA'!DM$117=1,HL6=0),300,0))),1000000000))</f>
        <v/>
      </c>
      <c r="SP6">
        <f>IF($B6=0,1000000000,IF(INDEX('calcA'!$D$60:$EQ$99,$B6,115)*IF($W6=1,HL6+AEA6,HL6)=1,IF(AND($E6=2,IF($W6=1,AJP6,NA6)=0),1000000000,IF($V6=1,INDEX('calcA'!$D$130:$EQ$169,$B6,115)+IF(AND($E6=1,NA6=0),25,0),INDEX('calcA'!DN$110:DN$114,$F6+1)+IF(AND($E6=1,NA6=0),1000,0)+IF($H6=1,INDEX('calcA'!$D$180:$EQ$219,$B6,115)*500,0)-IF(AND('calcA'!DM$117=1,YK6&gt;0),300,0)-IF(AND($U6=1,'calcA'!DN$117=1,HM6=0),300,0))),1000000000))</f>
        <v/>
      </c>
      <c r="SQ6">
        <f>IF($B6=0,1000000000,IF(INDEX('calcA'!$D$60:$EQ$99,$B6,116)*IF($W6=1,HM6+AEB6,HM6)=1,IF(AND($E6=2,IF($W6=1,AJQ6,NB6)=0),1000000000,IF($V6=1,INDEX('calcA'!$D$130:$EQ$169,$B6,116)+IF(AND($E6=1,NB6=0),25,0),INDEX('calcA'!DO$110:DO$114,$F6+1)+IF(AND($E6=1,NB6=0),1000,0)+IF($H6=1,INDEX('calcA'!$D$180:$EQ$219,$B6,116)*500,0)-IF(AND('calcA'!DN$117=1,YL6&gt;0),300,0)-IF(AND($U6=1,'calcA'!DO$117=1,HN6=0),300,0))),1000000000))</f>
        <v/>
      </c>
      <c r="SR6">
        <f>IF($B6=0,1000000000,IF(INDEX('calcA'!$D$60:$EQ$99,$B6,117)*IF($W6=1,HN6+AEC6,HN6)=1,IF(AND($E6=2,IF($W6=1,AJR6,NC6)=0),1000000000,IF($V6=1,INDEX('calcA'!$D$130:$EQ$169,$B6,117)+IF(AND($E6=1,NC6=0),25,0),INDEX('calcA'!DP$110:DP$114,$F6+1)+IF(AND($E6=1,NC6=0),1000,0)+IF($H6=1,INDEX('calcA'!$D$180:$EQ$219,$B6,117)*500,0)-IF(AND('calcA'!DO$117=1,YM6&gt;0),300,0)-IF(AND($U6=1,'calcA'!DP$117=1,HO6=0),300,0))),1000000000))</f>
        <v/>
      </c>
      <c r="SS6">
        <f>IF($B6=0,1000000000,IF(INDEX('calcA'!$D$60:$EQ$99,$B6,118)*IF($W6=1,HO6+AED6,HO6)=1,IF(AND($E6=2,IF($W6=1,AJS6,ND6)=0),1000000000,IF($V6=1,INDEX('calcA'!$D$130:$EQ$169,$B6,118)+IF(AND($E6=1,ND6=0),25,0),INDEX('calcA'!DQ$110:DQ$114,$F6+1)+IF(AND($E6=1,ND6=0),1000,0)+IF($H6=1,INDEX('calcA'!$D$180:$EQ$219,$B6,118)*500,0)-IF(AND('calcA'!DP$117=1,YN6&gt;0),300,0)-IF(AND($U6=1,'calcA'!DQ$117=1,HP6=0),300,0))),1000000000))</f>
        <v/>
      </c>
      <c r="ST6">
        <f>IF($B6=0,1000000000,IF(INDEX('calcA'!$D$60:$EQ$99,$B6,119)*IF($W6=1,HP6+AEE6,HP6)=1,IF(AND($E6=2,IF($W6=1,AJT6,NE6)=0),1000000000,IF($V6=1,INDEX('calcA'!$D$130:$EQ$169,$B6,119)+IF(AND($E6=1,NE6=0),25,0),INDEX('calcA'!DR$110:DR$114,$F6+1)+IF(AND($E6=1,NE6=0),1000,0)+IF($H6=1,INDEX('calcA'!$D$180:$EQ$219,$B6,119)*500,0)-IF(AND('calcA'!DQ$117=1,YO6&gt;0),300,0)-IF(AND($U6=1,'calcA'!DR$117=1,HQ6=0),300,0))),1000000000))</f>
        <v/>
      </c>
      <c r="SU6">
        <f>IF($B6=0,1000000000,IF(INDEX('calcA'!$D$60:$EQ$99,$B6,120)*IF($W6=1,HQ6+AEF6,HQ6)=1,IF(AND($E6=2,IF($W6=1,AJU6,NF6)=0),1000000000,IF($V6=1,INDEX('calcA'!$D$130:$EQ$169,$B6,120)+IF(AND($E6=1,NF6=0),25,0),INDEX('calcA'!DS$110:DS$114,$F6+1)+IF(AND($E6=1,NF6=0),1000,0)+IF($H6=1,INDEX('calcA'!$D$180:$EQ$219,$B6,120)*500,0)-IF(AND('calcA'!DR$117=1,YP6&gt;0),300,0))),1000000000))</f>
        <v/>
      </c>
      <c r="SV6">
        <f>IF($B6=0,1000000000,IF(INDEX('calcA'!$D$60:$EQ$99,$B6,121)*IF($W6=1,HR6+AEG6,HR6)=1,IF(AND($E6=2,IF($W6=1,AJV6,NG6)=0),1000000000,IF($V6=1,INDEX('calcA'!$D$130:$EQ$169,$B6,121)+IF(AND($E6=1,NG6=0),25,0),INDEX('calcA'!DT$110:DT$114,$F6+1)+IF(AND($E6=1,NG6=0),1000,0)+IF($H6=1,INDEX('calcA'!$D$180:$EQ$219,$B6,121)*500,0)-IF(AND($U6=1,'calcA'!DT$117=1,HS6=0),300,0))),1000000000))</f>
        <v/>
      </c>
      <c r="SW6">
        <f>IF($B6=0,1000000000,IF(INDEX('calcA'!$D$60:$EQ$99,$B6,122)*IF($W6=1,HS6+AEH6,HS6)=1,IF(AND($E6=2,IF($W6=1,AJW6,NH6)=0),1000000000,IF($V6=1,INDEX('calcA'!$D$130:$EQ$169,$B6,122)+IF(AND($E6=1,NH6=0),25,0),INDEX('calcA'!DU$110:DU$114,$F6+1)+IF(AND($E6=1,NH6=0),1000,0)+IF($H6=1,INDEX('calcA'!$D$180:$EQ$219,$B6,122)*500,0)-IF(AND('calcA'!DT$117=1,YR6&gt;0),300,0)-IF(AND($U6=1,'calcA'!DU$117=1,HT6=0),300,0))),1000000000))</f>
        <v/>
      </c>
      <c r="SX6">
        <f>IF($B6=0,1000000000,IF(INDEX('calcA'!$D$60:$EQ$99,$B6,123)*IF($W6=1,HT6+AEI6,HT6)=1,IF(AND($E6=2,IF($W6=1,AJX6,NI6)=0),1000000000,IF($V6=1,INDEX('calcA'!$D$130:$EQ$169,$B6,123)+IF(AND($E6=1,NI6=0),25,0),INDEX('calcA'!DV$110:DV$114,$F6+1)+IF(AND($E6=1,NI6=0),1000,0)+IF($H6=1,INDEX('calcA'!$D$180:$EQ$219,$B6,123)*500,0)-IF(AND('calcA'!DU$117=1,YS6&gt;0),300,0)-IF(AND($U6=1,'calcA'!DV$117=1,HU6=0),300,0))),1000000000))</f>
        <v/>
      </c>
      <c r="SY6">
        <f>IF($B6=0,1000000000,IF(INDEX('calcA'!$D$60:$EQ$99,$B6,124)*IF($W6=1,HU6+AEJ6,HU6)=1,IF(AND($E6=2,IF($W6=1,AJY6,NJ6)=0),1000000000,IF($V6=1,INDEX('calcA'!$D$130:$EQ$169,$B6,124)+IF(AND($E6=1,NJ6=0),25,0),INDEX('calcA'!DW$110:DW$114,$F6+1)+IF(AND($E6=1,NJ6=0),1000,0)+IF($H6=1,INDEX('calcA'!$D$180:$EQ$219,$B6,124)*500,0)-IF(AND('calcA'!DV$117=1,YT6&gt;0),300,0)-IF(AND($U6=1,'calcA'!DW$117=1,HV6=0),300,0))),1000000000))</f>
        <v/>
      </c>
      <c r="SZ6">
        <f>IF($B6=0,1000000000,IF(INDEX('calcA'!$D$60:$EQ$99,$B6,125)*IF($W6=1,HV6+AEK6,HV6)=1,IF(AND($E6=2,IF($W6=1,AJZ6,NK6)=0),1000000000,IF($V6=1,INDEX('calcA'!$D$130:$EQ$169,$B6,125)+IF(AND($E6=1,NK6=0),25,0),INDEX('calcA'!DX$110:DX$114,$F6+1)+IF(AND($E6=1,NK6=0),1000,0)+IF($H6=1,INDEX('calcA'!$D$180:$EQ$219,$B6,125)*500,0)-IF(AND('calcA'!DW$117=1,YU6&gt;0),300,0)-IF(AND($U6=1,'calcA'!DX$117=1,HW6=0),300,0))),1000000000))</f>
        <v/>
      </c>
      <c r="TA6">
        <f>IF($B6=0,1000000000,IF(INDEX('calcA'!$D$60:$EQ$99,$B6,126)*IF($W6=1,HW6+AEL6,HW6)=1,IF(AND($E6=2,IF($W6=1,AKA6,NL6)=0),1000000000,IF($V6=1,INDEX('calcA'!$D$130:$EQ$169,$B6,126)+IF(AND($E6=1,NL6=0),25,0),INDEX('calcA'!DY$110:DY$114,$F6+1)+IF(AND($E6=1,NL6=0),1000,0)+IF($H6=1,INDEX('calcA'!$D$180:$EQ$219,$B6,126)*500,0)-IF(AND('calcA'!DX$117=1,YV6&gt;0),300,0)-IF(AND($U6=1,'calcA'!DY$117=1,HX6=0),300,0))),1000000000))</f>
        <v/>
      </c>
      <c r="TB6">
        <f>IF($B6=0,1000000000,IF(INDEX('calcA'!$D$60:$EQ$99,$B6,127)*IF($W6=1,HX6+AEM6,HX6)=1,IF(AND($E6=2,IF($W6=1,AKB6,NM6)=0),1000000000,IF($V6=1,INDEX('calcA'!$D$130:$EQ$169,$B6,127)+IF(AND($E6=1,NM6=0),25,0),INDEX('calcA'!DZ$110:DZ$114,$F6+1)+IF(AND($E6=1,NM6=0),1000,0)+IF($H6=1,INDEX('calcA'!$D$180:$EQ$219,$B6,127)*500,0)-IF(AND('calcA'!DY$117=1,YW6&gt;0),300,0)-IF(AND($U6=1,'calcA'!DZ$117=1,HY6=0),300,0))),1000000000))</f>
        <v/>
      </c>
      <c r="TC6">
        <f>IF($B6=0,1000000000,IF(INDEX('calcA'!$D$60:$EQ$99,$B6,128)*IF($W6=1,HY6+AEN6,HY6)=1,IF(AND($E6=2,IF($W6=1,AKC6,NN6)=0),1000000000,IF($V6=1,INDEX('calcA'!$D$130:$EQ$169,$B6,128)+IF(AND($E6=1,NN6=0),25,0),INDEX('calcA'!EA$110:EA$114,$F6+1)+IF(AND($E6=1,NN6=0),1000,0)+IF($H6=1,INDEX('calcA'!$D$180:$EQ$219,$B6,128)*500,0)-IF(AND('calcA'!DZ$117=1,YX6&gt;0),300,0)-IF(AND($U6=1,'calcA'!EA$117=1,HZ6=0),300,0))),1000000000))</f>
        <v/>
      </c>
      <c r="TD6">
        <f>IF($B6=0,1000000000,IF(INDEX('calcA'!$D$60:$EQ$99,$B6,129)*IF($W6=1,HZ6+AEO6,HZ6)=1,IF(AND($E6=2,IF($W6=1,AKD6,NO6)=0),1000000000,IF($V6=1,INDEX('calcA'!$D$130:$EQ$169,$B6,129)+IF(AND($E6=1,NO6=0),25,0),INDEX('calcA'!EB$110:EB$114,$F6+1)+IF(AND($E6=1,NO6=0),1000,0)+IF($H6=1,INDEX('calcA'!$D$180:$EQ$219,$B6,129)*500,0)-IF(AND('calcA'!EA$117=1,YY6&gt;0),300,0)-IF(AND($U6=1,'calcA'!EB$117=1,IA6=0),300,0))),1000000000))</f>
        <v/>
      </c>
      <c r="TE6">
        <f>IF($B6=0,1000000000,IF(INDEX('calcA'!$D$60:$EQ$99,$B6,130)*IF($W6=1,IA6+AEP6,IA6)=1,IF(AND($E6=2,IF($W6=1,AKE6,NP6)=0),1000000000,IF($V6=1,INDEX('calcA'!$D$130:$EQ$169,$B6,130)+IF(AND($E6=1,NP6=0),25,0),INDEX('calcA'!EC$110:EC$114,$F6+1)+IF(AND($E6=1,NP6=0),1000,0)+IF($H6=1,INDEX('calcA'!$D$180:$EQ$219,$B6,130)*500,0)-IF(AND('calcA'!EB$117=1,YZ6&gt;0),300,0)-IF(AND($U6=1,'calcA'!EC$117=1,IB6=0),300,0))),1000000000))</f>
        <v/>
      </c>
      <c r="TF6">
        <f>IF($B6=0,1000000000,IF(INDEX('calcA'!$D$60:$EQ$99,$B6,131)*IF($W6=1,IB6+AEQ6,IB6)=1,IF(AND($E6=2,IF($W6=1,AKF6,NQ6)=0),1000000000,IF($V6=1,INDEX('calcA'!$D$130:$EQ$169,$B6,131)+IF(AND($E6=1,NQ6=0),25,0),INDEX('calcA'!ED$110:ED$114,$F6+1)+IF(AND($E6=1,NQ6=0),1000,0)+IF($H6=1,INDEX('calcA'!$D$180:$EQ$219,$B6,131)*500,0)-IF(AND('calcA'!EC$117=1,ZA6&gt;0),300,0)-IF(AND($U6=1,'calcA'!ED$117=1,IC6=0),300,0))),1000000000))</f>
        <v/>
      </c>
      <c r="TG6">
        <f>IF($B6=0,1000000000,IF(INDEX('calcA'!$D$60:$EQ$99,$B6,132)*IF($W6=1,IC6+AER6,IC6)=1,IF(AND($E6=2,IF($W6=1,AKG6,NR6)=0),1000000000,IF($V6=1,INDEX('calcA'!$D$130:$EQ$169,$B6,132)+IF(AND($E6=1,NR6=0),25,0),INDEX('calcA'!EE$110:EE$114,$F6+1)+IF(AND($E6=1,NR6=0),1000,0)+IF($H6=1,INDEX('calcA'!$D$180:$EQ$219,$B6,132)*500,0)-IF(AND('calcA'!ED$117=1,ZB6&gt;0),300,0)-IF(AND($U6=1,'calcA'!EE$117=1,ID6=0),300,0))),1000000000))</f>
        <v/>
      </c>
      <c r="TH6">
        <f>IF($B6=0,1000000000,IF(INDEX('calcA'!$D$60:$EQ$99,$B6,133)*IF($W6=1,ID6+AES6,ID6)=1,IF(AND($E6=2,IF($W6=1,AKH6,NS6)=0),1000000000,IF($V6=1,INDEX('calcA'!$D$130:$EQ$169,$B6,133)+IF(AND($E6=1,NS6=0),25,0),INDEX('calcA'!EF$110:EF$114,$F6+1)+IF(AND($E6=1,NS6=0),1000,0)+IF($H6=1,INDEX('calcA'!$D$180:$EQ$219,$B6,133)*500,0)-IF(AND('calcA'!EE$117=1,ZC6&gt;0),300,0)-IF(AND($U6=1,'calcA'!EF$117=1,IE6=0),300,0))),1000000000))</f>
        <v/>
      </c>
      <c r="TI6">
        <f>IF($B6=0,1000000000,IF(INDEX('calcA'!$D$60:$EQ$99,$B6,134)*IF($W6=1,IE6+AET6,IE6)=1,IF(AND($E6=2,IF($W6=1,AKI6,NT6)=0),1000000000,IF($V6=1,INDEX('calcA'!$D$130:$EQ$169,$B6,134)+IF(AND($E6=1,NT6=0),25,0),INDEX('calcA'!EG$110:EG$114,$F6+1)+IF(AND($E6=1,NT6=0),1000,0)+IF($H6=1,INDEX('calcA'!$D$180:$EQ$219,$B6,134)*500,0)-IF(AND('calcA'!EF$117=1,ZD6&gt;0),300,0)-IF(AND($U6=1,'calcA'!EG$117=1,IF6=0),300,0))),1000000000))</f>
        <v/>
      </c>
      <c r="TJ6">
        <f>IF($B6=0,1000000000,IF(INDEX('calcA'!$D$60:$EQ$99,$B6,135)*IF($W6=1,IF6+AEU6,IF6)=1,IF(AND($E6=2,IF($W6=1,AKJ6,NU6)=0),1000000000,IF($V6=1,INDEX('calcA'!$D$130:$EQ$169,$B6,135)+IF(AND($E6=1,NU6=0),25,0),INDEX('calcA'!EH$110:EH$114,$F6+1)+IF(AND($E6=1,NU6=0),1000,0)+IF($H6=1,INDEX('calcA'!$D$180:$EQ$219,$B6,135)*500,0)-IF(AND('calcA'!EG$117=1,ZE6&gt;0),300,0)-IF(AND($U6=1,'calcA'!EH$117=1,IG6=0),300,0))),1000000000))</f>
        <v/>
      </c>
      <c r="TK6">
        <f>IF($B6=0,1000000000,IF(INDEX('calcA'!$D$60:$EQ$99,$B6,136)*IF($W6=1,IG6+AEV6,IG6)=1,IF(AND($E6=2,IF($W6=1,AKK6,NV6)=0),1000000000,IF($V6=1,INDEX('calcA'!$D$130:$EQ$169,$B6,136)+IF(AND($E6=1,NV6=0),25,0),INDEX('calcA'!EI$110:EI$114,$F6+1)+IF(AND($E6=1,NV6=0),1000,0)+IF($H6=1,INDEX('calcA'!$D$180:$EQ$219,$B6,136)*500,0)-IF(AND('calcA'!EH$117=1,ZF6&gt;0),300,0)-IF(AND($U6=1,'calcA'!EI$117=1,IH6=0),300,0))),1000000000))</f>
        <v/>
      </c>
      <c r="TL6">
        <f>IF($B6=0,1000000000,IF(INDEX('calcA'!$D$60:$EQ$99,$B6,137)*IF($W6=1,IH6+AEW6,IH6)=1,IF(AND($E6=2,IF($W6=1,AKL6,NW6)=0),1000000000,IF($V6=1,INDEX('calcA'!$D$130:$EQ$169,$B6,137)+IF(AND($E6=1,NW6=0),25,0),INDEX('calcA'!EJ$110:EJ$114,$F6+1)+IF(AND($E6=1,NW6=0),1000,0)+IF($H6=1,INDEX('calcA'!$D$180:$EQ$219,$B6,137)*500,0)-IF(AND('calcA'!EI$117=1,ZG6&gt;0),300,0)-IF(AND($U6=1,'calcA'!EJ$117=1,II6=0),300,0))),1000000000))</f>
        <v/>
      </c>
      <c r="TM6">
        <f>IF($B6=0,1000000000,IF(INDEX('calcA'!$D$60:$EQ$99,$B6,138)*IF($W6=1,II6+AEX6,II6)=1,IF(AND($E6=2,IF($W6=1,AKM6,NX6)=0),1000000000,IF($V6=1,INDEX('calcA'!$D$130:$EQ$169,$B6,138)+IF(AND($E6=1,NX6=0),25,0),INDEX('calcA'!EK$110:EK$114,$F6+1)+IF(AND($E6=1,NX6=0),1000,0)+IF($H6=1,INDEX('calcA'!$D$180:$EQ$219,$B6,138)*500,0)-IF(AND('calcA'!EJ$117=1,ZH6&gt;0),300,0)-IF(AND($U6=1,'calcA'!EK$117=1,IJ6=0),300,0))),1000000000))</f>
        <v/>
      </c>
      <c r="TN6">
        <f>IF($B6=0,1000000000,IF(INDEX('calcA'!$D$60:$EQ$99,$B6,139)*IF($W6=1,IJ6+AEY6,IJ6)=1,IF(AND($E6=2,IF($W6=1,AKN6,NY6)=0),1000000000,IF($V6=1,INDEX('calcA'!$D$130:$EQ$169,$B6,139)+IF(AND($E6=1,NY6=0),25,0),INDEX('calcA'!EL$110:EL$114,$F6+1)+IF(AND($E6=1,NY6=0),1000,0)+IF($H6=1,INDEX('calcA'!$D$180:$EQ$219,$B6,139)*500,0)-IF(AND('calcA'!EK$117=1,ZI6&gt;0),300,0)-IF(AND($U6=1,'calcA'!EL$117=1,IK6=0),300,0))),1000000000))</f>
        <v/>
      </c>
      <c r="TO6">
        <f>IF($B6=0,1000000000,IF(INDEX('calcA'!$D$60:$EQ$99,$B6,140)*IF($W6=1,IK6+AEZ6,IK6)=1,IF(AND($E6=2,IF($W6=1,AKO6,NZ6)=0),1000000000,IF($V6=1,INDEX('calcA'!$D$130:$EQ$169,$B6,140)+IF(AND($E6=1,NZ6=0),25,0),INDEX('calcA'!EM$110:EM$114,$F6+1)+IF(AND($E6=1,NZ6=0),1000,0)+IF($H6=1,INDEX('calcA'!$D$180:$EQ$219,$B6,140)*500,0)-IF(AND('calcA'!EL$117=1,ZJ6&gt;0),300,0)-IF(AND($U6=1,'calcA'!EM$117=1,IL6=0),300,0))),1000000000))</f>
        <v/>
      </c>
      <c r="TP6">
        <f>IF($B6=0,1000000000,IF(INDEX('calcA'!$D$60:$EQ$99,$B6,141)*IF($W6=1,IL6+AFA6,IL6)=1,IF(AND($E6=2,IF($W6=1,AKP6,OA6)=0),1000000000,IF($V6=1,INDEX('calcA'!$D$130:$EQ$169,$B6,141)+IF(AND($E6=1,OA6=0),25,0),INDEX('calcA'!EN$110:EN$114,$F6+1)+IF(AND($E6=1,OA6=0),1000,0)+IF($H6=1,INDEX('calcA'!$D$180:$EQ$219,$B6,141)*500,0)-IF(AND('calcA'!EM$117=1,ZK6&gt;0),300,0)-IF(AND($U6=1,'calcA'!EN$117=1,IM6=0),300,0))),1000000000))</f>
        <v/>
      </c>
      <c r="TQ6">
        <f>IF($B6=0,1000000000,IF(INDEX('calcA'!$D$60:$EQ$99,$B6,142)*IF($W6=1,IM6+AFB6,IM6)=1,IF(AND($E6=2,IF($W6=1,AKQ6,OB6)=0),1000000000,IF($V6=1,INDEX('calcA'!$D$130:$EQ$169,$B6,142)+IF(AND($E6=1,OB6=0),25,0),INDEX('calcA'!EO$110:EO$114,$F6+1)+IF(AND($E6=1,OB6=0),1000,0)+IF($H6=1,INDEX('calcA'!$D$180:$EQ$219,$B6,142)*500,0)-IF(AND('calcA'!EN$117=1,ZL6&gt;0),300,0)-IF(AND($U6=1,'calcA'!EO$117=1,IN6=0),300,0))),1000000000))</f>
        <v/>
      </c>
      <c r="TR6">
        <f>IF($B6=0,1000000000,IF(INDEX('calcA'!$D$60:$EQ$99,$B6,143)*IF($W6=1,IN6+AFC6,IN6)=1,IF(AND($E6=2,IF($W6=1,AKR6,OC6)=0),1000000000,IF($V6=1,INDEX('calcA'!$D$130:$EQ$169,$B6,143)+IF(AND($E6=1,OC6=0),25,0),INDEX('calcA'!EP$110:EP$114,$F6+1)+IF(AND($E6=1,OC6=0),1000,0)+IF($H6=1,INDEX('calcA'!$D$180:$EQ$219,$B6,143)*500,0)-IF(AND('calcA'!EO$117=1,ZM6&gt;0),300,0)-IF(AND($U6=1,'calcA'!EP$117=1,IO6=0),300,0))),1000000000))</f>
        <v/>
      </c>
      <c r="TS6">
        <f>IF($B6=0,1000000000,IF(INDEX('calcA'!$D$60:$EQ$99,$B6,144)*IF($W6=1,IO6+AFD6,IO6)=1,IF(AND($E6=2,IF($W6=1,AKS6,OD6)=0),1000000000,IF($V6=1,INDEX('calcA'!$D$130:$EQ$169,$B6,144)+IF(AND($E6=1,OD6=0),25,0),INDEX('calcA'!EQ$110:EQ$114,$F6+1)+IF(AND($E6=1,OD6=0),1000,0)+IF($H6=1,INDEX('calcA'!$D$180:$EQ$219,$B6,144)*500,0)-IF(AND('calcA'!EP$117=1,ZN6&gt;0),300,0))),1000000000))</f>
        <v/>
      </c>
      <c r="UB6">
        <f>UB5+IF(AND($C5=1,$U5=1),1,0)</f>
        <v/>
      </c>
      <c r="UC6">
        <f>UC5+IF(AND($C5=2,$U5=1),1,0)</f>
        <v/>
      </c>
      <c r="UD6">
        <f>UD5+IF(AND($C5=3,$U5=1),1,0)</f>
        <v/>
      </c>
      <c r="UE6">
        <f>UE5+IF(AND($C5=4,$U5=1),1,0)</f>
        <v/>
      </c>
      <c r="UF6">
        <f>UF5+IF(AND($C5=5,$U5=1),1,0)</f>
        <v/>
      </c>
      <c r="UG6">
        <f>UG5+IF(AND($C5=6,$U5=1),1,0)</f>
        <v/>
      </c>
      <c r="UH6">
        <f>UH5+IF(AND($C5=7,$U5=1),1,0)</f>
        <v/>
      </c>
      <c r="UI6">
        <f>UI5+IF(AND($C5=8,$U5=1),1,0)</f>
        <v/>
      </c>
      <c r="UJ6">
        <f>UJ5+IF(AND($C5=9,$U5=1),1,0)</f>
        <v/>
      </c>
      <c r="UK6">
        <f>UK5+IF(AND($C5=10,$U5=1),1,0)</f>
        <v/>
      </c>
      <c r="UL6">
        <f>UL5+IF(AND($C5=11,$U5=1),1,0)</f>
        <v/>
      </c>
      <c r="UM6">
        <f>UM5+IF(AND($C5=12,$U5=1),1,0)</f>
        <v/>
      </c>
      <c r="UN6">
        <f>UN5+IF(AND($C5=13,$U5=1),1,0)</f>
        <v/>
      </c>
      <c r="UO6">
        <f>UO5+IF(AND($C5=14,$U5=1),1,0)</f>
        <v/>
      </c>
      <c r="UP6">
        <f>UP5+IF(AND($C5=15,$U5=1),1,0)</f>
        <v/>
      </c>
      <c r="UQ6">
        <f>UQ5+IF(AND($C5=16,$U5=1),1,0)</f>
        <v/>
      </c>
      <c r="UR6">
        <f>UR5+IF(AND($C5=17,$U5=1),1,0)</f>
        <v/>
      </c>
      <c r="US6">
        <f>US5+IF(AND($C5=18,$U5=1),1,0)</f>
        <v/>
      </c>
      <c r="UT6">
        <f>UT5+IF(AND($C5=19,$U5=1),1,0)</f>
        <v/>
      </c>
      <c r="UU6">
        <f>UU5+IF(AND($C5=20,$U5=1),1,0)</f>
        <v/>
      </c>
      <c r="UV6">
        <f>UV5+IF(AND($C5=21,$U5=1),1,0)</f>
        <v/>
      </c>
      <c r="UW6">
        <f>UW5+IF(AND($C5=22,$U5=1),1,0)</f>
        <v/>
      </c>
      <c r="UX6">
        <f>UX5+IF(AND($C5=23,$U5=1),1,0)</f>
        <v/>
      </c>
      <c r="UY6">
        <f>UY5+IF(AND($C5=24,$U5=1),1,0)</f>
        <v/>
      </c>
      <c r="UZ6">
        <f>UZ5+IF(AND($C5=25,$U5=1),1,0)</f>
        <v/>
      </c>
      <c r="VA6">
        <f>VA5+IF(AND($C5=26,$U5=1),1,0)</f>
        <v/>
      </c>
      <c r="VB6">
        <f>VB5+IF(AND($C5=27,$U5=1),1,0)</f>
        <v/>
      </c>
      <c r="VC6">
        <f>VC5+IF(AND($C5=28,$U5=1),1,0)</f>
        <v/>
      </c>
      <c r="VD6">
        <f>VD5+IF(AND($C5=29,$U5=1),1,0)</f>
        <v/>
      </c>
      <c r="VE6">
        <f>VE5+IF(AND($C5=30,$U5=1),1,0)</f>
        <v/>
      </c>
      <c r="VF6">
        <f>VF5+IF(AND($C5=31,$U5=1),1,0)</f>
        <v/>
      </c>
      <c r="VG6">
        <f>VG5+IF(AND($C5=32,$U5=1),1,0)</f>
        <v/>
      </c>
      <c r="VH6">
        <f>VH5+IF(AND($C5=33,$U5=1),1,0)</f>
        <v/>
      </c>
      <c r="VI6">
        <f>VI5+IF(AND($C5=34,$U5=1),1,0)</f>
        <v/>
      </c>
      <c r="VJ6">
        <f>VJ5+IF(AND($C5=35,$U5=1),1,0)</f>
        <v/>
      </c>
      <c r="VK6">
        <f>VK5+IF(AND($C5=36,$U5=1),1,0)</f>
        <v/>
      </c>
      <c r="VL6">
        <f>VL5+IF(AND($C5=37,$U5=1),1,0)</f>
        <v/>
      </c>
      <c r="VM6">
        <f>VM5+IF(AND($C5=38,$U5=1),1,0)</f>
        <v/>
      </c>
      <c r="VN6">
        <f>VN5+IF(AND($C5=39,$U5=1),1,0)</f>
        <v/>
      </c>
      <c r="VO6">
        <f>VO5+IF(AND($C5=40,$U5=1),1,0)</f>
        <v/>
      </c>
      <c r="VP6">
        <f>VP5+IF(AND($C5=41,$U5=1),1,0)</f>
        <v/>
      </c>
      <c r="VQ6">
        <f>VQ5+IF(AND($C5=42,$U5=1),1,0)</f>
        <v/>
      </c>
      <c r="VR6">
        <f>VR5+IF(AND($C5=43,$U5=1),1,0)</f>
        <v/>
      </c>
      <c r="VS6">
        <f>VS5+IF(AND($C5=44,$U5=1),1,0)</f>
        <v/>
      </c>
      <c r="VT6">
        <f>VT5+IF(AND($C5=45,$U5=1),1,0)</f>
        <v/>
      </c>
      <c r="VU6">
        <f>VU5+IF(AND($C5=46,$U5=1),1,0)</f>
        <v/>
      </c>
      <c r="VV6">
        <f>VV5+IF(AND($C5=47,$U5=1),1,0)</f>
        <v/>
      </c>
      <c r="VW6">
        <f>VW5+IF(AND($C5=48,$U5=1),1,0)</f>
        <v/>
      </c>
      <c r="VX6">
        <f>VX5+IF(AND($C5=49,$U5=1),1,0)</f>
        <v/>
      </c>
      <c r="VY6">
        <f>VY5+IF(AND($C5=50,$U5=1),1,0)</f>
        <v/>
      </c>
      <c r="VZ6">
        <f>VZ5+IF(AND($C5=51,$U5=1),1,0)</f>
        <v/>
      </c>
      <c r="WA6">
        <f>WA5+IF(AND($C5=52,$U5=1),1,0)</f>
        <v/>
      </c>
      <c r="WB6">
        <f>WB5+IF(AND($C5=53,$U5=1),1,0)</f>
        <v/>
      </c>
      <c r="WC6">
        <f>WC5+IF(AND($C5=54,$U5=1),1,0)</f>
        <v/>
      </c>
      <c r="WD6">
        <f>WD5+IF(AND($C5=55,$U5=1),1,0)</f>
        <v/>
      </c>
      <c r="WE6">
        <f>WE5+IF(AND($C5=56,$U5=1),1,0)</f>
        <v/>
      </c>
      <c r="WF6">
        <f>WF5+IF(AND($C5=57,$U5=1),1,0)</f>
        <v/>
      </c>
      <c r="WG6">
        <f>WG5+IF(AND($C5=58,$U5=1),1,0)</f>
        <v/>
      </c>
      <c r="WH6">
        <f>WH5+IF(AND($C5=59,$U5=1),1,0)</f>
        <v/>
      </c>
      <c r="WI6">
        <f>WI5+IF(AND($C5=60,$U5=1),1,0)</f>
        <v/>
      </c>
      <c r="WJ6">
        <f>WJ5+IF(AND($C5=61,$U5=1),1,0)</f>
        <v/>
      </c>
      <c r="WK6">
        <f>WK5+IF(AND($C5=62,$U5=1),1,0)</f>
        <v/>
      </c>
      <c r="WL6">
        <f>WL5+IF(AND($C5=63,$U5=1),1,0)</f>
        <v/>
      </c>
      <c r="WM6">
        <f>WM5+IF(AND($C5=64,$U5=1),1,0)</f>
        <v/>
      </c>
      <c r="WN6">
        <f>WN5+IF(AND($C5=65,$U5=1),1,0)</f>
        <v/>
      </c>
      <c r="WO6">
        <f>WO5+IF(AND($C5=66,$U5=1),1,0)</f>
        <v/>
      </c>
      <c r="WP6">
        <f>WP5+IF(AND($C5=67,$U5=1),1,0)</f>
        <v/>
      </c>
      <c r="WQ6">
        <f>WQ5+IF(AND($C5=68,$U5=1),1,0)</f>
        <v/>
      </c>
      <c r="WR6">
        <f>WR5+IF(AND($C5=69,$U5=1),1,0)</f>
        <v/>
      </c>
      <c r="WS6">
        <f>WS5+IF(AND($C5=70,$U5=1),1,0)</f>
        <v/>
      </c>
      <c r="WT6">
        <f>WT5+IF(AND($C5=71,$U5=1),1,0)</f>
        <v/>
      </c>
      <c r="WU6">
        <f>WU5+IF(AND($C5=72,$U5=1),1,0)</f>
        <v/>
      </c>
      <c r="WV6">
        <f>WV5+IF(AND($C5=73,$U5=1),1,0)</f>
        <v/>
      </c>
      <c r="WW6">
        <f>WW5+IF(AND($C5=74,$U5=1),1,0)</f>
        <v/>
      </c>
      <c r="WX6">
        <f>WX5+IF(AND($C5=75,$U5=1),1,0)</f>
        <v/>
      </c>
      <c r="WY6">
        <f>WY5+IF(AND($C5=76,$U5=1),1,0)</f>
        <v/>
      </c>
      <c r="WZ6">
        <f>WZ5+IF(AND($C5=77,$U5=1),1,0)</f>
        <v/>
      </c>
      <c r="XA6">
        <f>XA5+IF(AND($C5=78,$U5=1),1,0)</f>
        <v/>
      </c>
      <c r="XB6">
        <f>XB5+IF(AND($C5=79,$U5=1),1,0)</f>
        <v/>
      </c>
      <c r="XC6">
        <f>XC5+IF(AND($C5=80,$U5=1),1,0)</f>
        <v/>
      </c>
      <c r="XD6">
        <f>XD5+IF(AND($C5=81,$U5=1),1,0)</f>
        <v/>
      </c>
      <c r="XE6">
        <f>XE5+IF(AND($C5=82,$U5=1),1,0)</f>
        <v/>
      </c>
      <c r="XF6">
        <f>XF5+IF(AND($C5=83,$U5=1),1,0)</f>
        <v/>
      </c>
      <c r="XG6">
        <f>XG5+IF(AND($C5=84,$U5=1),1,0)</f>
        <v/>
      </c>
      <c r="XH6">
        <f>XH5+IF(AND($C5=85,$U5=1),1,0)</f>
        <v/>
      </c>
      <c r="XI6">
        <f>XI5+IF(AND($C5=86,$U5=1),1,0)</f>
        <v/>
      </c>
      <c r="XJ6">
        <f>XJ5+IF(AND($C5=87,$U5=1),1,0)</f>
        <v/>
      </c>
      <c r="XK6">
        <f>XK5+IF(AND($C5=88,$U5=1),1,0)</f>
        <v/>
      </c>
      <c r="XL6">
        <f>XL5+IF(AND($C5=89,$U5=1),1,0)</f>
        <v/>
      </c>
      <c r="XM6">
        <f>XM5+IF(AND($C5=90,$U5=1),1,0)</f>
        <v/>
      </c>
      <c r="XN6">
        <f>XN5+IF(AND($C5=91,$U5=1),1,0)</f>
        <v/>
      </c>
      <c r="XO6">
        <f>XO5+IF(AND($C5=92,$U5=1),1,0)</f>
        <v/>
      </c>
      <c r="XP6">
        <f>XP5+IF(AND($C5=93,$U5=1),1,0)</f>
        <v/>
      </c>
      <c r="XQ6">
        <f>XQ5+IF(AND($C5=94,$U5=1),1,0)</f>
        <v/>
      </c>
      <c r="XR6">
        <f>XR5+IF(AND($C5=95,$U5=1),1,0)</f>
        <v/>
      </c>
      <c r="XS6">
        <f>XS5+IF(AND($C5=96,$U5=1),1,0)</f>
        <v/>
      </c>
      <c r="XT6">
        <f>XT5+IF(AND($C5=97,$U5=1),1,0)</f>
        <v/>
      </c>
      <c r="XU6">
        <f>XU5+IF(AND($C5=98,$U5=1),1,0)</f>
        <v/>
      </c>
      <c r="XV6">
        <f>XV5+IF(AND($C5=99,$U5=1),1,0)</f>
        <v/>
      </c>
      <c r="XW6">
        <f>XW5+IF(AND($C5=100,$U5=1),1,0)</f>
        <v/>
      </c>
      <c r="XX6">
        <f>XX5+IF(AND($C5=101,$U5=1),1,0)</f>
        <v/>
      </c>
      <c r="XY6">
        <f>XY5+IF(AND($C5=102,$U5=1),1,0)</f>
        <v/>
      </c>
      <c r="XZ6">
        <f>XZ5+IF(AND($C5=103,$U5=1),1,0)</f>
        <v/>
      </c>
      <c r="YA6">
        <f>YA5+IF(AND($C5=104,$U5=1),1,0)</f>
        <v/>
      </c>
      <c r="YB6">
        <f>YB5+IF(AND($C5=105,$U5=1),1,0)</f>
        <v/>
      </c>
      <c r="YC6">
        <f>YC5+IF(AND($C5=106,$U5=1),1,0)</f>
        <v/>
      </c>
      <c r="YD6">
        <f>YD5+IF(AND($C5=107,$U5=1),1,0)</f>
        <v/>
      </c>
      <c r="YE6">
        <f>YE5+IF(AND($C5=108,$U5=1),1,0)</f>
        <v/>
      </c>
      <c r="YF6">
        <f>YF5+IF(AND($C5=109,$U5=1),1,0)</f>
        <v/>
      </c>
      <c r="YG6">
        <f>YG5+IF(AND($C5=110,$U5=1),1,0)</f>
        <v/>
      </c>
      <c r="YH6">
        <f>YH5+IF(AND($C5=111,$U5=1),1,0)</f>
        <v/>
      </c>
      <c r="YI6">
        <f>YI5+IF(AND($C5=112,$U5=1),1,0)</f>
        <v/>
      </c>
      <c r="YJ6">
        <f>YJ5+IF(AND($C5=113,$U5=1),1,0)</f>
        <v/>
      </c>
      <c r="YK6">
        <f>YK5+IF(AND($C5=114,$U5=1),1,0)</f>
        <v/>
      </c>
      <c r="YL6">
        <f>YL5+IF(AND($C5=115,$U5=1),1,0)</f>
        <v/>
      </c>
      <c r="YM6">
        <f>YM5+IF(AND($C5=116,$U5=1),1,0)</f>
        <v/>
      </c>
      <c r="YN6">
        <f>YN5+IF(AND($C5=117,$U5=1),1,0)</f>
        <v/>
      </c>
      <c r="YO6">
        <f>YO5+IF(AND($C5=118,$U5=1),1,0)</f>
        <v/>
      </c>
      <c r="YP6">
        <f>YP5+IF(AND($C5=119,$U5=1),1,0)</f>
        <v/>
      </c>
      <c r="YQ6">
        <f>YQ5+IF(AND($C5=120,$U5=1),1,0)</f>
        <v/>
      </c>
      <c r="YR6">
        <f>YR5+IF(AND($C5=121,$U5=1),1,0)</f>
        <v/>
      </c>
      <c r="YS6">
        <f>YS5+IF(AND($C5=122,$U5=1),1,0)</f>
        <v/>
      </c>
      <c r="YT6">
        <f>YT5+IF(AND($C5=123,$U5=1),1,0)</f>
        <v/>
      </c>
      <c r="YU6">
        <f>YU5+IF(AND($C5=124,$U5=1),1,0)</f>
        <v/>
      </c>
      <c r="YV6">
        <f>YV5+IF(AND($C5=125,$U5=1),1,0)</f>
        <v/>
      </c>
      <c r="YW6">
        <f>YW5+IF(AND($C5=126,$U5=1),1,0)</f>
        <v/>
      </c>
      <c r="YX6">
        <f>YX5+IF(AND($C5=127,$U5=1),1,0)</f>
        <v/>
      </c>
      <c r="YY6">
        <f>YY5+IF(AND($C5=128,$U5=1),1,0)</f>
        <v/>
      </c>
      <c r="YZ6">
        <f>YZ5+IF(AND($C5=129,$U5=1),1,0)</f>
        <v/>
      </c>
      <c r="ZA6">
        <f>ZA5+IF(AND($C5=130,$U5=1),1,0)</f>
        <v/>
      </c>
      <c r="ZB6">
        <f>ZB5+IF(AND($C5=131,$U5=1),1,0)</f>
        <v/>
      </c>
      <c r="ZC6">
        <f>ZC5+IF(AND($C5=132,$U5=1),1,0)</f>
        <v/>
      </c>
      <c r="ZD6">
        <f>ZD5+IF(AND($C5=133,$U5=1),1,0)</f>
        <v/>
      </c>
      <c r="ZE6">
        <f>ZE5+IF(AND($C5=134,$U5=1),1,0)</f>
        <v/>
      </c>
      <c r="ZF6">
        <f>ZF5+IF(AND($C5=135,$U5=1),1,0)</f>
        <v/>
      </c>
      <c r="ZG6">
        <f>ZG5+IF(AND($C5=136,$U5=1),1,0)</f>
        <v/>
      </c>
      <c r="ZH6">
        <f>ZH5+IF(AND($C5=137,$U5=1),1,0)</f>
        <v/>
      </c>
      <c r="ZI6">
        <f>ZI5+IF(AND($C5=138,$U5=1),1,0)</f>
        <v/>
      </c>
      <c r="ZJ6">
        <f>ZJ5+IF(AND($C5=139,$U5=1),1,0)</f>
        <v/>
      </c>
      <c r="ZK6">
        <f>ZK5+IF(AND($C5=140,$U5=1),1,0)</f>
        <v/>
      </c>
      <c r="ZL6">
        <f>ZL5+IF(AND($C5=141,$U5=1),1,0)</f>
        <v/>
      </c>
      <c r="ZM6">
        <f>ZM5+IF(AND($C5=142,$U5=1),1,0)</f>
        <v/>
      </c>
      <c r="ZN6">
        <f>ZN5+IF(AND($C5=143,$U5=1),1,0)</f>
        <v/>
      </c>
      <c r="ZO6">
        <f>ZO5+IF(AND($C5=144,$U5=1),1,0)</f>
        <v/>
      </c>
      <c r="ZQ6">
        <f>IF($C5=1,0,ZQ5+IF(AND($G5=1,$E5=1),1,0))</f>
        <v/>
      </c>
      <c r="ZR6">
        <f>IF($C5=2,0,ZR5+IF(AND($G5=2,$E5=1),1,0))</f>
        <v/>
      </c>
      <c r="ZS6">
        <f>IF($C5=3,0,ZS5+IF(AND($G5=3,$E5=1),1,0))</f>
        <v/>
      </c>
      <c r="ZT6">
        <f>IF($C5=4,0,ZT5+IF(AND($G5=4,$E5=1),1,0))</f>
        <v/>
      </c>
      <c r="ZU6">
        <f>IF($C5=5,0,ZU5+IF(AND($G5=5,$E5=1),1,0))</f>
        <v/>
      </c>
      <c r="ZV6">
        <f>IF($C5=6,0,ZV5+IF(AND($G5=6,$E5=1),1,0))</f>
        <v/>
      </c>
      <c r="ZW6">
        <f>IF($C5=7,0,ZW5+IF(AND($G5=7,$E5=1),1,0))</f>
        <v/>
      </c>
      <c r="ZX6">
        <f>IF($C5=8,0,ZX5+IF(AND($G5=8,$E5=1),1,0))</f>
        <v/>
      </c>
      <c r="ZY6">
        <f>IF($C5=9,0,ZY5+IF(AND($G5=9,$E5=1),1,0))</f>
        <v/>
      </c>
      <c r="ZZ6">
        <f>IF($C5=10,0,ZZ5+IF(AND($G5=10,$E5=1),1,0))</f>
        <v/>
      </c>
      <c r="AAA6">
        <f>IF($C5=11,0,AAA5+IF(AND($G5=11,$E5=1),1,0))</f>
        <v/>
      </c>
      <c r="AAB6">
        <f>IF($C5=12,0,AAB5+IF(AND($G5=12,$E5=1),1,0))</f>
        <v/>
      </c>
      <c r="AAC6">
        <f>IF($C5=13,0,AAC5+IF(AND($G5=13,$E5=1),1,0))</f>
        <v/>
      </c>
      <c r="AAD6">
        <f>IF($C5=14,0,AAD5+IF(AND($G5=14,$E5=1),1,0))</f>
        <v/>
      </c>
      <c r="AAE6">
        <f>IF($C5=15,0,AAE5+IF(AND($G5=15,$E5=1),1,0))</f>
        <v/>
      </c>
      <c r="AAF6">
        <f>IF($C5=16,0,AAF5+IF(AND($G5=16,$E5=1),1,0))</f>
        <v/>
      </c>
      <c r="AAG6">
        <f>IF($C5=17,0,AAG5+IF(AND($G5=17,$E5=1),1,0))</f>
        <v/>
      </c>
      <c r="AAH6">
        <f>IF($C5=18,0,AAH5+IF(AND($G5=18,$E5=1),1,0))</f>
        <v/>
      </c>
      <c r="AAI6">
        <f>IF($C5=19,0,AAI5+IF(AND($G5=19,$E5=1),1,0))</f>
        <v/>
      </c>
      <c r="AAJ6">
        <f>IF($C5=20,0,AAJ5+IF(AND($G5=20,$E5=1),1,0))</f>
        <v/>
      </c>
      <c r="AAK6">
        <f>IF($C5=21,0,AAK5+IF(AND($G5=21,$E5=1),1,0))</f>
        <v/>
      </c>
      <c r="AAL6">
        <f>IF($C5=22,0,AAL5+IF(AND($G5=22,$E5=1),1,0))</f>
        <v/>
      </c>
      <c r="AAM6">
        <f>IF($C5=23,0,AAM5+IF(AND($G5=23,$E5=1),1,0))</f>
        <v/>
      </c>
      <c r="AAN6">
        <f>IF($C5=24,0,AAN5+IF(AND($G5=24,$E5=1),1,0))</f>
        <v/>
      </c>
      <c r="AAO6">
        <f>IF($C5=25,0,AAO5+IF(AND($G5=25,$E5=1),1,0))</f>
        <v/>
      </c>
      <c r="AAP6">
        <f>IF($C5=26,0,AAP5+IF(AND($G5=26,$E5=1),1,0))</f>
        <v/>
      </c>
      <c r="AAQ6">
        <f>IF($C5=27,0,AAQ5+IF(AND($G5=27,$E5=1),1,0))</f>
        <v/>
      </c>
      <c r="AAR6">
        <f>IF($C5=28,0,AAR5+IF(AND($G5=28,$E5=1),1,0))</f>
        <v/>
      </c>
      <c r="AAS6">
        <f>IF($C5=29,0,AAS5+IF(AND($G5=29,$E5=1),1,0))</f>
        <v/>
      </c>
      <c r="AAT6">
        <f>IF($C5=30,0,AAT5+IF(AND($G5=30,$E5=1),1,0))</f>
        <v/>
      </c>
      <c r="AAU6">
        <f>IF($C5=31,0,AAU5+IF(AND($G5=31,$E5=1),1,0))</f>
        <v/>
      </c>
      <c r="AAV6">
        <f>IF($C5=32,0,AAV5+IF(AND($G5=32,$E5=1),1,0))</f>
        <v/>
      </c>
      <c r="AAW6">
        <f>IF($C5=33,0,AAW5+IF(AND($G5=33,$E5=1),1,0))</f>
        <v/>
      </c>
      <c r="AAX6">
        <f>IF($C5=34,0,AAX5+IF(AND($G5=34,$E5=1),1,0))</f>
        <v/>
      </c>
      <c r="AAY6">
        <f>IF($C5=35,0,AAY5+IF(AND($G5=35,$E5=1),1,0))</f>
        <v/>
      </c>
      <c r="AAZ6">
        <f>IF($C5=36,0,AAZ5+IF(AND($G5=36,$E5=1),1,0))</f>
        <v/>
      </c>
      <c r="ABA6">
        <f>IF($C5=37,0,ABA5+IF(AND($G5=37,$E5=1),1,0))</f>
        <v/>
      </c>
      <c r="ABB6">
        <f>IF($C5=38,0,ABB5+IF(AND($G5=38,$E5=1),1,0))</f>
        <v/>
      </c>
      <c r="ABC6">
        <f>IF($C5=39,0,ABC5+IF(AND($G5=39,$E5=1),1,0))</f>
        <v/>
      </c>
      <c r="ABD6">
        <f>IF($C5=40,0,ABD5+IF(AND($G5=40,$E5=1),1,0))</f>
        <v/>
      </c>
      <c r="ABE6">
        <f>IF($C5=41,0,ABE5+IF(AND($G5=41,$E5=1),1,0))</f>
        <v/>
      </c>
      <c r="ABF6">
        <f>IF($C5=42,0,ABF5+IF(AND($G5=42,$E5=1),1,0))</f>
        <v/>
      </c>
      <c r="ABG6">
        <f>IF($C5=43,0,ABG5+IF(AND($G5=43,$E5=1),1,0))</f>
        <v/>
      </c>
      <c r="ABH6">
        <f>IF($C5=44,0,ABH5+IF(AND($G5=44,$E5=1),1,0))</f>
        <v/>
      </c>
      <c r="ABI6">
        <f>IF($C5=45,0,ABI5+IF(AND($G5=45,$E5=1),1,0))</f>
        <v/>
      </c>
      <c r="ABJ6">
        <f>IF($C5=46,0,ABJ5+IF(AND($G5=46,$E5=1),1,0))</f>
        <v/>
      </c>
      <c r="ABK6">
        <f>IF($C5=47,0,ABK5+IF(AND($G5=47,$E5=1),1,0))</f>
        <v/>
      </c>
      <c r="ABL6">
        <f>IF($C5=48,0,ABL5+IF(AND($G5=48,$E5=1),1,0))</f>
        <v/>
      </c>
      <c r="ABM6">
        <f>IF($C5=49,0,ABM5+IF(AND($G5=49,$E5=1),1,0))</f>
        <v/>
      </c>
      <c r="ABN6">
        <f>IF($C5=50,0,ABN5+IF(AND($G5=50,$E5=1),1,0))</f>
        <v/>
      </c>
      <c r="ABO6">
        <f>IF($C5=51,0,ABO5+IF(AND($G5=51,$E5=1),1,0))</f>
        <v/>
      </c>
      <c r="ABP6">
        <f>IF($C5=52,0,ABP5+IF(AND($G5=52,$E5=1),1,0))</f>
        <v/>
      </c>
      <c r="ABQ6">
        <f>IF($C5=53,0,ABQ5+IF(AND($G5=53,$E5=1),1,0))</f>
        <v/>
      </c>
      <c r="ABR6">
        <f>IF($C5=54,0,ABR5+IF(AND($G5=54,$E5=1),1,0))</f>
        <v/>
      </c>
      <c r="ABS6">
        <f>IF($C5=55,0,ABS5+IF(AND($G5=55,$E5=1),1,0))</f>
        <v/>
      </c>
      <c r="ABT6">
        <f>IF($C5=56,0,ABT5+IF(AND($G5=56,$E5=1),1,0))</f>
        <v/>
      </c>
      <c r="ABU6">
        <f>IF($C5=57,0,ABU5+IF(AND($G5=57,$E5=1),1,0))</f>
        <v/>
      </c>
      <c r="ABV6">
        <f>IF($C5=58,0,ABV5+IF(AND($G5=58,$E5=1),1,0))</f>
        <v/>
      </c>
      <c r="ABW6">
        <f>IF($C5=59,0,ABW5+IF(AND($G5=59,$E5=1),1,0))</f>
        <v/>
      </c>
      <c r="ABX6">
        <f>IF($C5=60,0,ABX5+IF(AND($G5=60,$E5=1),1,0))</f>
        <v/>
      </c>
      <c r="ABY6">
        <f>IF($C5=61,0,ABY5+IF(AND($G5=61,$E5=1),1,0))</f>
        <v/>
      </c>
      <c r="ABZ6">
        <f>IF($C5=62,0,ABZ5+IF(AND($G5=62,$E5=1),1,0))</f>
        <v/>
      </c>
      <c r="ACA6">
        <f>IF($C5=63,0,ACA5+IF(AND($G5=63,$E5=1),1,0))</f>
        <v/>
      </c>
      <c r="ACB6">
        <f>IF($C5=64,0,ACB5+IF(AND($G5=64,$E5=1),1,0))</f>
        <v/>
      </c>
      <c r="ACC6">
        <f>IF($C5=65,0,ACC5+IF(AND($G5=65,$E5=1),1,0))</f>
        <v/>
      </c>
      <c r="ACD6">
        <f>IF($C5=66,0,ACD5+IF(AND($G5=66,$E5=1),1,0))</f>
        <v/>
      </c>
      <c r="ACE6">
        <f>IF($C5=67,0,ACE5+IF(AND($G5=67,$E5=1),1,0))</f>
        <v/>
      </c>
      <c r="ACF6">
        <f>IF($C5=68,0,ACF5+IF(AND($G5=68,$E5=1),1,0))</f>
        <v/>
      </c>
      <c r="ACG6">
        <f>IF($C5=69,0,ACG5+IF(AND($G5=69,$E5=1),1,0))</f>
        <v/>
      </c>
      <c r="ACH6">
        <f>IF($C5=70,0,ACH5+IF(AND($G5=70,$E5=1),1,0))</f>
        <v/>
      </c>
      <c r="ACI6">
        <f>IF($C5=71,0,ACI5+IF(AND($G5=71,$E5=1),1,0))</f>
        <v/>
      </c>
      <c r="ACJ6">
        <f>IF($C5=72,0,ACJ5+IF(AND($G5=72,$E5=1),1,0))</f>
        <v/>
      </c>
      <c r="ACK6">
        <f>IF($C5=73,0,ACK5+IF(AND($G5=73,$E5=1),1,0))</f>
        <v/>
      </c>
      <c r="ACL6">
        <f>IF($C5=74,0,ACL5+IF(AND($G5=74,$E5=1),1,0))</f>
        <v/>
      </c>
      <c r="ACM6">
        <f>IF($C5=75,0,ACM5+IF(AND($G5=75,$E5=1),1,0))</f>
        <v/>
      </c>
      <c r="ACN6">
        <f>IF($C5=76,0,ACN5+IF(AND($G5=76,$E5=1),1,0))</f>
        <v/>
      </c>
      <c r="ACO6">
        <f>IF($C5=77,0,ACO5+IF(AND($G5=77,$E5=1),1,0))</f>
        <v/>
      </c>
      <c r="ACP6">
        <f>IF($C5=78,0,ACP5+IF(AND($G5=78,$E5=1),1,0))</f>
        <v/>
      </c>
      <c r="ACQ6">
        <f>IF($C5=79,0,ACQ5+IF(AND($G5=79,$E5=1),1,0))</f>
        <v/>
      </c>
      <c r="ACR6">
        <f>IF($C5=80,0,ACR5+IF(AND($G5=80,$E5=1),1,0))</f>
        <v/>
      </c>
      <c r="ACS6">
        <f>IF($C5=81,0,ACS5+IF(AND($G5=81,$E5=1),1,0))</f>
        <v/>
      </c>
      <c r="ACT6">
        <f>IF($C5=82,0,ACT5+IF(AND($G5=82,$E5=1),1,0))</f>
        <v/>
      </c>
      <c r="ACU6">
        <f>IF($C5=83,0,ACU5+IF(AND($G5=83,$E5=1),1,0))</f>
        <v/>
      </c>
      <c r="ACV6">
        <f>IF($C5=84,0,ACV5+IF(AND($G5=84,$E5=1),1,0))</f>
        <v/>
      </c>
      <c r="ACW6">
        <f>IF($C5=85,0,ACW5+IF(AND($G5=85,$E5=1),1,0))</f>
        <v/>
      </c>
      <c r="ACX6">
        <f>IF($C5=86,0,ACX5+IF(AND($G5=86,$E5=1),1,0))</f>
        <v/>
      </c>
      <c r="ACY6">
        <f>IF($C5=87,0,ACY5+IF(AND($G5=87,$E5=1),1,0))</f>
        <v/>
      </c>
      <c r="ACZ6">
        <f>IF($C5=88,0,ACZ5+IF(AND($G5=88,$E5=1),1,0))</f>
        <v/>
      </c>
      <c r="ADA6">
        <f>IF($C5=89,0,ADA5+IF(AND($G5=89,$E5=1),1,0))</f>
        <v/>
      </c>
      <c r="ADB6">
        <f>IF($C5=90,0,ADB5+IF(AND($G5=90,$E5=1),1,0))</f>
        <v/>
      </c>
      <c r="ADC6">
        <f>IF($C5=91,0,ADC5+IF(AND($G5=91,$E5=1),1,0))</f>
        <v/>
      </c>
      <c r="ADD6">
        <f>IF($C5=92,0,ADD5+IF(AND($G5=92,$E5=1),1,0))</f>
        <v/>
      </c>
      <c r="ADE6">
        <f>IF($C5=93,0,ADE5+IF(AND($G5=93,$E5=1),1,0))</f>
        <v/>
      </c>
      <c r="ADF6">
        <f>IF($C5=94,0,ADF5+IF(AND($G5=94,$E5=1),1,0))</f>
        <v/>
      </c>
      <c r="ADG6">
        <f>IF($C5=95,0,ADG5+IF(AND($G5=95,$E5=1),1,0))</f>
        <v/>
      </c>
      <c r="ADH6">
        <f>IF($C5=96,0,ADH5+IF(AND($G5=96,$E5=1),1,0))</f>
        <v/>
      </c>
      <c r="ADI6">
        <f>IF($C5=97,0,ADI5+IF(AND($G5=97,$E5=1),1,0))</f>
        <v/>
      </c>
      <c r="ADJ6">
        <f>IF($C5=98,0,ADJ5+IF(AND($G5=98,$E5=1),1,0))</f>
        <v/>
      </c>
      <c r="ADK6">
        <f>IF($C5=99,0,ADK5+IF(AND($G5=99,$E5=1),1,0))</f>
        <v/>
      </c>
      <c r="ADL6">
        <f>IF($C5=100,0,ADL5+IF(AND($G5=100,$E5=1),1,0))</f>
        <v/>
      </c>
      <c r="ADM6">
        <f>IF($C5=101,0,ADM5+IF(AND($G5=101,$E5=1),1,0))</f>
        <v/>
      </c>
      <c r="ADN6">
        <f>IF($C5=102,0,ADN5+IF(AND($G5=102,$E5=1),1,0))</f>
        <v/>
      </c>
      <c r="ADO6">
        <f>IF($C5=103,0,ADO5+IF(AND($G5=103,$E5=1),1,0))</f>
        <v/>
      </c>
      <c r="ADP6">
        <f>IF($C5=104,0,ADP5+IF(AND($G5=104,$E5=1),1,0))</f>
        <v/>
      </c>
      <c r="ADQ6">
        <f>IF($C5=105,0,ADQ5+IF(AND($G5=105,$E5=1),1,0))</f>
        <v/>
      </c>
      <c r="ADR6">
        <f>IF($C5=106,0,ADR5+IF(AND($G5=106,$E5=1),1,0))</f>
        <v/>
      </c>
      <c r="ADS6">
        <f>IF($C5=107,0,ADS5+IF(AND($G5=107,$E5=1),1,0))</f>
        <v/>
      </c>
      <c r="ADT6">
        <f>IF($C5=108,0,ADT5+IF(AND($G5=108,$E5=1),1,0))</f>
        <v/>
      </c>
      <c r="ADU6">
        <f>IF($C5=109,0,ADU5+IF(AND($G5=109,$E5=1),1,0))</f>
        <v/>
      </c>
      <c r="ADV6">
        <f>IF($C5=110,0,ADV5+IF(AND($G5=110,$E5=1),1,0))</f>
        <v/>
      </c>
      <c r="ADW6">
        <f>IF($C5=111,0,ADW5+IF(AND($G5=111,$E5=1),1,0))</f>
        <v/>
      </c>
      <c r="ADX6">
        <f>IF($C5=112,0,ADX5+IF(AND($G5=112,$E5=1),1,0))</f>
        <v/>
      </c>
      <c r="ADY6">
        <f>IF($C5=113,0,ADY5+IF(AND($G5=113,$E5=1),1,0))</f>
        <v/>
      </c>
      <c r="ADZ6">
        <f>IF($C5=114,0,ADZ5+IF(AND($G5=114,$E5=1),1,0))</f>
        <v/>
      </c>
      <c r="AEA6">
        <f>IF($C5=115,0,AEA5+IF(AND($G5=115,$E5=1),1,0))</f>
        <v/>
      </c>
      <c r="AEB6">
        <f>IF($C5=116,0,AEB5+IF(AND($G5=116,$E5=1),1,0))</f>
        <v/>
      </c>
      <c r="AEC6">
        <f>IF($C5=117,0,AEC5+IF(AND($G5=117,$E5=1),1,0))</f>
        <v/>
      </c>
      <c r="AED6">
        <f>IF($C5=118,0,AED5+IF(AND($G5=118,$E5=1),1,0))</f>
        <v/>
      </c>
      <c r="AEE6">
        <f>IF($C5=119,0,AEE5+IF(AND($G5=119,$E5=1),1,0))</f>
        <v/>
      </c>
      <c r="AEF6">
        <f>IF($C5=120,0,AEF5+IF(AND($G5=120,$E5=1),1,0))</f>
        <v/>
      </c>
      <c r="AEG6">
        <f>IF($C5=121,0,AEG5+IF(AND($G5=121,$E5=1),1,0))</f>
        <v/>
      </c>
      <c r="AEH6">
        <f>IF($C5=122,0,AEH5+IF(AND($G5=122,$E5=1),1,0))</f>
        <v/>
      </c>
      <c r="AEI6">
        <f>IF($C5=123,0,AEI5+IF(AND($G5=123,$E5=1),1,0))</f>
        <v/>
      </c>
      <c r="AEJ6">
        <f>IF($C5=124,0,AEJ5+IF(AND($G5=124,$E5=1),1,0))</f>
        <v/>
      </c>
      <c r="AEK6">
        <f>IF($C5=125,0,AEK5+IF(AND($G5=125,$E5=1),1,0))</f>
        <v/>
      </c>
      <c r="AEL6">
        <f>IF($C5=126,0,AEL5+IF(AND($G5=126,$E5=1),1,0))</f>
        <v/>
      </c>
      <c r="AEM6">
        <f>IF($C5=127,0,AEM5+IF(AND($G5=127,$E5=1),1,0))</f>
        <v/>
      </c>
      <c r="AEN6">
        <f>IF($C5=128,0,AEN5+IF(AND($G5=128,$E5=1),1,0))</f>
        <v/>
      </c>
      <c r="AEO6">
        <f>IF($C5=129,0,AEO5+IF(AND($G5=129,$E5=1),1,0))</f>
        <v/>
      </c>
      <c r="AEP6">
        <f>IF($C5=130,0,AEP5+IF(AND($G5=130,$E5=1),1,0))</f>
        <v/>
      </c>
      <c r="AEQ6">
        <f>IF($C5=131,0,AEQ5+IF(AND($G5=131,$E5=1),1,0))</f>
        <v/>
      </c>
      <c r="AER6">
        <f>IF($C5=132,0,AER5+IF(AND($G5=132,$E5=1),1,0))</f>
        <v/>
      </c>
      <c r="AES6">
        <f>IF($C5=133,0,AES5+IF(AND($G5=133,$E5=1),1,0))</f>
        <v/>
      </c>
      <c r="AET6">
        <f>IF($C5=134,0,AET5+IF(AND($G5=134,$E5=1),1,0))</f>
        <v/>
      </c>
      <c r="AEU6">
        <f>IF($C5=135,0,AEU5+IF(AND($G5=135,$E5=1),1,0))</f>
        <v/>
      </c>
      <c r="AEV6">
        <f>IF($C5=136,0,AEV5+IF(AND($G5=136,$E5=1),1,0))</f>
        <v/>
      </c>
      <c r="AEW6">
        <f>IF($C5=137,0,AEW5+IF(AND($G5=137,$E5=1),1,0))</f>
        <v/>
      </c>
      <c r="AEX6">
        <f>IF($C5=138,0,AEX5+IF(AND($G5=138,$E5=1),1,0))</f>
        <v/>
      </c>
      <c r="AEY6">
        <f>IF($C5=139,0,AEY5+IF(AND($G5=139,$E5=1),1,0))</f>
        <v/>
      </c>
      <c r="AEZ6">
        <f>IF($C5=140,0,AEZ5+IF(AND($G5=140,$E5=1),1,0))</f>
        <v/>
      </c>
      <c r="AFA6">
        <f>IF($C5=141,0,AFA5+IF(AND($G5=141,$E5=1),1,0))</f>
        <v/>
      </c>
      <c r="AFB6">
        <f>IF($C5=142,0,AFB5+IF(AND($G5=142,$E5=1),1,0))</f>
        <v/>
      </c>
      <c r="AFC6">
        <f>IF($C5=143,0,AFC5+IF(AND($G5=143,$E5=1),1,0))</f>
        <v/>
      </c>
      <c r="AFD6">
        <f>IF($C5=144,0,AFD5+IF(AND($G5=144,$E5=1),1,0))</f>
        <v/>
      </c>
      <c r="AFF6">
        <f>IF('calcA'!D$106=1,DC6+ZR6,1)</f>
        <v/>
      </c>
      <c r="AFG6">
        <f>IF('calcA'!E$106=1,DD6+ZS6,1)</f>
        <v/>
      </c>
      <c r="AFH6">
        <f>IF('calcA'!F$106=1,DE6+ZT6,1)</f>
        <v/>
      </c>
      <c r="AFI6">
        <f>IF('calcA'!G$106=1,DF6+ZU6,1)</f>
        <v/>
      </c>
      <c r="AFJ6">
        <f>IF('calcA'!H$106=1,DG6+ZV6,1)</f>
        <v/>
      </c>
      <c r="AFK6">
        <f>IF('calcA'!I$106=1,DH6+ZW6,1)</f>
        <v/>
      </c>
      <c r="AFL6">
        <f>IF('calcA'!J$106=1,DI6+ZX6,1)</f>
        <v/>
      </c>
      <c r="AFM6">
        <f>IF('calcA'!K$106=1,DJ6+ZY6,1)</f>
        <v/>
      </c>
      <c r="AFN6">
        <f>IF('calcA'!L$106=1,DK6+ZZ6,1)</f>
        <v/>
      </c>
      <c r="AFO6">
        <f>IF('calcA'!M$106=1,DL6+AAA6,1)</f>
        <v/>
      </c>
      <c r="AFP6">
        <f>IF('calcA'!N$106=1,DM6+AAB6,1)</f>
        <v/>
      </c>
      <c r="AFQ6">
        <f>IF('calcA'!O$106=1,DN6+AAC6,1)</f>
        <v/>
      </c>
      <c r="AFR6">
        <f>IF('calcA'!P$106=1,DO6+AAD6,1)</f>
        <v/>
      </c>
      <c r="AFS6">
        <f>IF('calcA'!Q$106=1,DP6+AAE6,1)</f>
        <v/>
      </c>
      <c r="AFT6">
        <f>IF('calcA'!R$106=1,DQ6+AAF6,1)</f>
        <v/>
      </c>
      <c r="AFU6">
        <f>IF('calcA'!S$106=1,DR6+AAG6,1)</f>
        <v/>
      </c>
      <c r="AFV6">
        <f>IF('calcA'!T$106=1,DS6+AAH6,1)</f>
        <v/>
      </c>
      <c r="AFW6">
        <f>IF('calcA'!U$106=1,DT6+AAI6,1)</f>
        <v/>
      </c>
      <c r="AFX6">
        <f>IF('calcA'!V$106=1,DU6+AAJ6,1)</f>
        <v/>
      </c>
      <c r="AFY6">
        <f>IF('calcA'!W$106=1,DV6+AAK6,1)</f>
        <v/>
      </c>
      <c r="AFZ6">
        <f>IF('calcA'!X$106=1,DW6+AAL6,1)</f>
        <v/>
      </c>
      <c r="AGA6">
        <f>IF('calcA'!Y$106=1,DX6+AAM6,1)</f>
        <v/>
      </c>
      <c r="AGB6">
        <f>IF('calcA'!Z$106=1,DY6+AAN6,1)</f>
        <v/>
      </c>
      <c r="AGC6">
        <f>IF('calcA'!AA$106=1,DZ6+AAO6,1)</f>
        <v/>
      </c>
      <c r="AGD6">
        <f>IF('calcA'!AB$106=1,EA6+AAP6,1)</f>
        <v/>
      </c>
      <c r="AGE6">
        <f>IF('calcA'!AC$106=1,EB6+AAQ6,1)</f>
        <v/>
      </c>
      <c r="AGF6">
        <f>IF('calcA'!AD$106=1,EC6+AAR6,1)</f>
        <v/>
      </c>
      <c r="AGG6">
        <f>IF('calcA'!AE$106=1,ED6+AAS6,1)</f>
        <v/>
      </c>
      <c r="AGH6">
        <f>IF('calcA'!AF$106=1,EE6+AAT6,1)</f>
        <v/>
      </c>
      <c r="AGI6">
        <f>IF('calcA'!AG$106=1,EF6+AAU6,1)</f>
        <v/>
      </c>
      <c r="AGJ6">
        <f>IF('calcA'!AH$106=1,EG6+AAV6,1)</f>
        <v/>
      </c>
      <c r="AGK6">
        <f>IF('calcA'!AI$106=1,EH6+AAW6,1)</f>
        <v/>
      </c>
      <c r="AGL6">
        <f>IF('calcA'!AJ$106=1,EI6+AAX6,1)</f>
        <v/>
      </c>
      <c r="AGM6">
        <f>IF('calcA'!AK$106=1,EJ6+AAY6,1)</f>
        <v/>
      </c>
      <c r="AGN6">
        <f>IF('calcA'!AL$106=1,EK6+AAZ6,1)</f>
        <v/>
      </c>
      <c r="AGO6">
        <f>IF('calcA'!AM$106=1,EL6+ABA6,1)</f>
        <v/>
      </c>
      <c r="AGP6">
        <f>IF('calcA'!AN$106=1,EM6+ABB6,1)</f>
        <v/>
      </c>
      <c r="AGQ6">
        <f>IF('calcA'!AO$106=1,EN6+ABC6,1)</f>
        <v/>
      </c>
      <c r="AGR6">
        <f>IF('calcA'!AP$106=1,EO6+ABD6,1)</f>
        <v/>
      </c>
      <c r="AGS6">
        <f>IF('calcA'!AQ$106=1,EP6+ABE6,1)</f>
        <v/>
      </c>
      <c r="AGT6">
        <f>IF('calcA'!AR$106=1,EQ6+ABF6,1)</f>
        <v/>
      </c>
      <c r="AGU6">
        <f>IF('calcA'!AS$106=1,ER6+ABG6,1)</f>
        <v/>
      </c>
      <c r="AGV6">
        <f>IF('calcA'!AT$106=1,ES6+ABH6,1)</f>
        <v/>
      </c>
      <c r="AGW6">
        <f>IF('calcA'!AU$106=1,ET6+ABI6,1)</f>
        <v/>
      </c>
      <c r="AGX6">
        <f>IF('calcA'!AV$106=1,EU6+ABJ6,1)</f>
        <v/>
      </c>
      <c r="AGY6">
        <f>IF('calcA'!AW$106=1,EV6+ABK6,1)</f>
        <v/>
      </c>
      <c r="AGZ6">
        <f>IF('calcA'!AX$106=1,EW6+ABL6,1)</f>
        <v/>
      </c>
      <c r="AHA6">
        <f>IF('calcA'!AY$106=1,EX6+ABM6,1)</f>
        <v/>
      </c>
      <c r="AHB6">
        <f>IF('calcA'!AZ$106=1,EY6+ABN6,1)</f>
        <v/>
      </c>
      <c r="AHC6">
        <f>IF('calcA'!BA$106=1,EZ6+ABO6,1)</f>
        <v/>
      </c>
      <c r="AHD6">
        <f>IF('calcA'!BB$106=1,FA6+ABP6,1)</f>
        <v/>
      </c>
      <c r="AHE6">
        <f>IF('calcA'!BC$106=1,FB6+ABQ6,1)</f>
        <v/>
      </c>
      <c r="AHF6">
        <f>IF('calcA'!BD$106=1,FC6+ABR6,1)</f>
        <v/>
      </c>
      <c r="AHG6">
        <f>IF('calcA'!BE$106=1,FD6+ABS6,1)</f>
        <v/>
      </c>
      <c r="AHH6">
        <f>IF('calcA'!BF$106=1,FE6+ABT6,1)</f>
        <v/>
      </c>
      <c r="AHI6">
        <f>IF('calcA'!BG$106=1,FF6+ABU6,1)</f>
        <v/>
      </c>
      <c r="AHJ6">
        <f>IF('calcA'!BH$106=1,FG6+ABV6,1)</f>
        <v/>
      </c>
      <c r="AHK6">
        <f>IF('calcA'!BI$106=1,FH6+ABW6,1)</f>
        <v/>
      </c>
      <c r="AHL6">
        <f>IF('calcA'!BJ$106=1,FI6+ABX6,1)</f>
        <v/>
      </c>
      <c r="AHM6">
        <f>IF('calcA'!BK$106=1,FJ6+ABY6,1)</f>
        <v/>
      </c>
      <c r="AHN6">
        <f>IF('calcA'!BL$106=1,FK6+ABZ6,1)</f>
        <v/>
      </c>
      <c r="AHO6">
        <f>IF('calcA'!BM$106=1,FL6+ACA6,1)</f>
        <v/>
      </c>
      <c r="AHP6">
        <f>IF('calcA'!BN$106=1,FM6+ACB6,1)</f>
        <v/>
      </c>
      <c r="AHQ6">
        <f>IF('calcA'!BO$106=1,FN6+ACC6,1)</f>
        <v/>
      </c>
      <c r="AHR6">
        <f>IF('calcA'!BP$106=1,FO6+ACD6,1)</f>
        <v/>
      </c>
      <c r="AHS6">
        <f>IF('calcA'!BQ$106=1,FP6+ACE6,1)</f>
        <v/>
      </c>
      <c r="AHT6">
        <f>IF('calcA'!BR$106=1,FQ6+ACF6,1)</f>
        <v/>
      </c>
      <c r="AHU6">
        <f>IF('calcA'!BS$106=1,FR6+ACG6,1)</f>
        <v/>
      </c>
      <c r="AHV6">
        <f>IF('calcA'!BT$106=1,FS6+ACH6,1)</f>
        <v/>
      </c>
      <c r="AHW6">
        <f>IF('calcA'!BU$106=1,FT6+ACI6,1)</f>
        <v/>
      </c>
      <c r="AHX6">
        <f>IF('calcA'!BV$106=1,FU6+ACJ6,1)</f>
        <v/>
      </c>
      <c r="AHY6">
        <f>IF('calcA'!BW$106=1,FV6+ACK6,1)</f>
        <v/>
      </c>
      <c r="AHZ6">
        <f>IF('calcA'!BX$106=1,FW6+ACL6,1)</f>
        <v/>
      </c>
      <c r="AIA6">
        <f>IF('calcA'!BY$106=1,FX6+ACM6,1)</f>
        <v/>
      </c>
      <c r="AIB6">
        <f>IF('calcA'!BZ$106=1,FY6+ACN6,1)</f>
        <v/>
      </c>
      <c r="AIC6">
        <f>IF('calcA'!CA$106=1,FZ6+ACO6,1)</f>
        <v/>
      </c>
      <c r="AID6">
        <f>IF('calcA'!CB$106=1,GA6+ACP6,1)</f>
        <v/>
      </c>
      <c r="AIE6">
        <f>IF('calcA'!CC$106=1,GB6+ACQ6,1)</f>
        <v/>
      </c>
      <c r="AIF6">
        <f>IF('calcA'!CD$106=1,GC6+ACR6,1)</f>
        <v/>
      </c>
      <c r="AIG6">
        <f>IF('calcA'!CE$106=1,GD6+ACS6,1)</f>
        <v/>
      </c>
      <c r="AIH6">
        <f>IF('calcA'!CF$106=1,GE6+ACT6,1)</f>
        <v/>
      </c>
      <c r="AII6">
        <f>IF('calcA'!CG$106=1,GF6+ACU6,1)</f>
        <v/>
      </c>
      <c r="AIJ6">
        <f>IF('calcA'!CH$106=1,GG6+ACV6,1)</f>
        <v/>
      </c>
      <c r="AIK6">
        <f>IF('calcA'!CI$106=1,GH6+ACW6,1)</f>
        <v/>
      </c>
      <c r="AIL6">
        <f>IF('calcA'!CJ$106=1,GI6+ACX6,1)</f>
        <v/>
      </c>
      <c r="AIM6">
        <f>IF('calcA'!CK$106=1,GJ6+ACY6,1)</f>
        <v/>
      </c>
      <c r="AIN6">
        <f>IF('calcA'!CL$106=1,GK6+ACZ6,1)</f>
        <v/>
      </c>
      <c r="AIO6">
        <f>IF('calcA'!CM$106=1,GL6+ADA6,1)</f>
        <v/>
      </c>
      <c r="AIP6">
        <f>IF('calcA'!CN$106=1,GM6+ADB6,1)</f>
        <v/>
      </c>
      <c r="AIQ6">
        <f>IF('calcA'!CO$106=1,GN6+ADC6,1)</f>
        <v/>
      </c>
      <c r="AIR6">
        <f>IF('calcA'!CP$106=1,GO6+ADD6,1)</f>
        <v/>
      </c>
      <c r="AIS6">
        <f>IF('calcA'!CQ$106=1,GP6+ADE6,1)</f>
        <v/>
      </c>
      <c r="AIT6">
        <f>IF('calcA'!CR$106=1,GQ6+ADF6,1)</f>
        <v/>
      </c>
      <c r="AIU6">
        <f>IF('calcA'!CS$106=1,GR6+ADG6,1)</f>
        <v/>
      </c>
      <c r="AIV6">
        <f>IF('calcA'!CT$106=1,GS6+ADH6,1)</f>
        <v/>
      </c>
      <c r="AIW6">
        <f>IF('calcA'!CU$106=1,GT6+ADI6,1)</f>
        <v/>
      </c>
      <c r="AIX6">
        <f>IF('calcA'!CV$106=1,GU6+ADJ6,1)</f>
        <v/>
      </c>
      <c r="AIY6">
        <f>IF('calcA'!CW$106=1,GV6+ADK6,1)</f>
        <v/>
      </c>
      <c r="AIZ6">
        <f>IF('calcA'!CX$106=1,GW6+ADL6,1)</f>
        <v/>
      </c>
      <c r="AJA6">
        <f>IF('calcA'!CY$106=1,GX6+ADM6,1)</f>
        <v/>
      </c>
      <c r="AJB6">
        <f>IF('calcA'!CZ$106=1,GY6+ADN6,1)</f>
        <v/>
      </c>
      <c r="AJC6">
        <f>IF('calcA'!DA$106=1,GZ6+ADO6,1)</f>
        <v/>
      </c>
      <c r="AJD6">
        <f>IF('calcA'!DB$106=1,HA6+ADP6,1)</f>
        <v/>
      </c>
      <c r="AJE6">
        <f>IF('calcA'!DC$106=1,HB6+ADQ6,1)</f>
        <v/>
      </c>
      <c r="AJF6">
        <f>IF('calcA'!DD$106=1,HC6+ADR6,1)</f>
        <v/>
      </c>
      <c r="AJG6">
        <f>IF('calcA'!DE$106=1,HD6+ADS6,1)</f>
        <v/>
      </c>
      <c r="AJH6">
        <f>IF('calcA'!DF$106=1,HE6+ADT6,1)</f>
        <v/>
      </c>
      <c r="AJI6">
        <f>IF('calcA'!DG$106=1,HF6+ADU6,1)</f>
        <v/>
      </c>
      <c r="AJJ6">
        <f>IF('calcA'!DH$106=1,HG6+ADV6,1)</f>
        <v/>
      </c>
      <c r="AJK6">
        <f>IF('calcA'!DI$106=1,HH6+ADW6,1)</f>
        <v/>
      </c>
      <c r="AJL6">
        <f>IF('calcA'!DJ$106=1,HI6+ADX6,1)</f>
        <v/>
      </c>
      <c r="AJM6">
        <f>IF('calcA'!DK$106=1,HJ6+ADY6,1)</f>
        <v/>
      </c>
      <c r="AJN6">
        <f>IF('calcA'!DL$106=1,HK6+ADZ6,1)</f>
        <v/>
      </c>
      <c r="AJO6">
        <f>IF('calcA'!DM$106=1,HL6+AEA6,1)</f>
        <v/>
      </c>
      <c r="AJP6">
        <f>IF('calcA'!DN$106=1,HM6+AEB6,1)</f>
        <v/>
      </c>
      <c r="AJQ6">
        <f>IF('calcA'!DO$106=1,HN6+AEC6,1)</f>
        <v/>
      </c>
      <c r="AJR6">
        <f>IF('calcA'!DP$106=1,HO6+AED6,1)</f>
        <v/>
      </c>
      <c r="AJS6">
        <f>IF('calcA'!DQ$106=1,HP6+AEE6,1)</f>
        <v/>
      </c>
      <c r="AJT6">
        <f>IF('calcA'!DR$106=1,HQ6+AEF6,1)</f>
        <v/>
      </c>
      <c r="AJU6">
        <f>IF('calcA'!DS$106=1,HR6+AEG6,1)</f>
        <v/>
      </c>
      <c r="AJV6">
        <f>IF('calcA'!DT$106=1,HS6+AEH6,1)</f>
        <v/>
      </c>
      <c r="AJW6">
        <f>IF('calcA'!DU$106=1,HT6+AEI6,1)</f>
        <v/>
      </c>
      <c r="AJX6">
        <f>IF('calcA'!DV$106=1,HU6+AEJ6,1)</f>
        <v/>
      </c>
      <c r="AJY6">
        <f>IF('calcA'!DW$106=1,HV6+AEK6,1)</f>
        <v/>
      </c>
      <c r="AJZ6">
        <f>IF('calcA'!DX$106=1,HW6+AEL6,1)</f>
        <v/>
      </c>
      <c r="AKA6">
        <f>IF('calcA'!DY$106=1,HX6+AEM6,1)</f>
        <v/>
      </c>
      <c r="AKB6">
        <f>IF('calcA'!DZ$106=1,HY6+AEN6,1)</f>
        <v/>
      </c>
      <c r="AKC6">
        <f>IF('calcA'!EA$106=1,HZ6+AEO6,1)</f>
        <v/>
      </c>
      <c r="AKD6">
        <f>IF('calcA'!EB$106=1,IA6+AEP6,1)</f>
        <v/>
      </c>
      <c r="AKE6">
        <f>IF('calcA'!EC$106=1,IB6+AEQ6,1)</f>
        <v/>
      </c>
      <c r="AKF6">
        <f>IF('calcA'!ED$106=1,IC6+AER6,1)</f>
        <v/>
      </c>
      <c r="AKG6">
        <f>IF('calcA'!EE$106=1,ID6+AES6,1)</f>
        <v/>
      </c>
      <c r="AKH6">
        <f>IF('calcA'!EF$106=1,IE6+AET6,1)</f>
        <v/>
      </c>
      <c r="AKI6">
        <f>IF('calcA'!EG$106=1,IF6+AEU6,1)</f>
        <v/>
      </c>
      <c r="AKJ6">
        <f>IF('calcA'!EH$106=1,IG6+AEV6,1)</f>
        <v/>
      </c>
      <c r="AKK6">
        <f>IF('calcA'!EI$106=1,IH6+AEW6,1)</f>
        <v/>
      </c>
      <c r="AKL6">
        <f>IF('calcA'!EJ$106=1,II6+AEX6,1)</f>
        <v/>
      </c>
      <c r="AKM6">
        <f>IF('calcA'!EK$106=1,IJ6+AEY6,1)</f>
        <v/>
      </c>
      <c r="AKN6">
        <f>IF('calcA'!EL$106=1,IK6+AEZ6,1)</f>
        <v/>
      </c>
      <c r="AKO6">
        <f>IF('calcA'!EM$106=1,IL6+AFA6,1)</f>
        <v/>
      </c>
      <c r="AKP6">
        <f>IF('calcA'!EN$106=1,IM6+AFB6,1)</f>
        <v/>
      </c>
      <c r="AKQ6">
        <f>IF('calcA'!EO$106=1,IN6+AFC6,1)</f>
        <v/>
      </c>
      <c r="AKR6">
        <f>IF('calcA'!EP$106=1,IO6+AFD6,1)</f>
        <v/>
      </c>
      <c r="AKS6" t="n">
        <v>1</v>
      </c>
    </row>
    <row r="7">
      <c r="A7" t="n">
        <v>5</v>
      </c>
      <c r="B7">
        <f>IF(MIN(BM7:CZ7)&gt;=1000000000,0,MATCH(MIN(BM7:CZ7),BM7:CZ7,0))</f>
        <v/>
      </c>
      <c r="C7">
        <f>IF(MIN(OF7:TS7)&gt;=1000000000,0,MATCH(MIN(OF7:TS7),OF7:TS7,0))</f>
        <v/>
      </c>
      <c r="D7">
        <f>IF(C7&gt;0,INDEX('calcA'!$D$5:$EQ$5,C7),0)</f>
        <v/>
      </c>
      <c r="E7">
        <f>IF(B7=0,0,INDEX('calcA'!$IQ$10:$IQ$54,B7))</f>
        <v/>
      </c>
      <c r="F7">
        <f>IF(B7=0,0,INDEX('calcA'!$IP$10:$IP$54,B7))</f>
        <v/>
      </c>
      <c r="G7">
        <f>IF(AND(C7&gt;0,E7&gt;0),IF(AND(INDEX('calcA'!$D$106:$EQ$106,C7)=1,INDEX($IQ7:$OD7,C7)=1),C7+1,0),0)</f>
        <v/>
      </c>
      <c r="H7">
        <f>IF(B7=0,0,INDEX('calcA'!$IW$10:$IW$54,B7))</f>
        <v/>
      </c>
      <c r="U7">
        <f>IF(B7=0,0,INDEX('calcA'!$IX$10:$IX$54,B7))</f>
        <v/>
      </c>
      <c r="V7">
        <f>IF(B7=0,0,INDEX('calcA'!$JF$10:$JF$54,B7))</f>
        <v/>
      </c>
      <c r="W7">
        <f>IF(B7=0,0,IF(IF(E7=2,SUMPRODUCT(INDEX('calcA'!$D$60:$EQ$99,B7,0),$DB7:$IO7,$IQ7:$OD7),SUMPRODUCT(INDEX('calcA'!$D$60:$EQ$99,B7,0),$DB7:$IO7))=0,1,0))</f>
        <v/>
      </c>
      <c r="X7">
        <f>MAX(X6,IF($B6=1,1,0))</f>
        <v/>
      </c>
      <c r="Y7">
        <f>MAX(Y6,IF($B6=2,1,0))</f>
        <v/>
      </c>
      <c r="Z7">
        <f>MAX(Z6,IF($B6=3,1,0))</f>
        <v/>
      </c>
      <c r="AA7">
        <f>MAX(AA6,IF($B6=4,1,0))</f>
        <v/>
      </c>
      <c r="AB7">
        <f>MAX(AB6,IF($B6=5,1,0))</f>
        <v/>
      </c>
      <c r="AC7">
        <f>MAX(AC6,IF($B6=6,1,0))</f>
        <v/>
      </c>
      <c r="AD7">
        <f>MAX(AD6,IF($B6=7,1,0))</f>
        <v/>
      </c>
      <c r="AE7">
        <f>MAX(AE6,IF($B6=8,1,0))</f>
        <v/>
      </c>
      <c r="AF7">
        <f>MAX(AF6,IF($B6=9,1,0))</f>
        <v/>
      </c>
      <c r="AG7">
        <f>MAX(AG6,IF($B6=10,1,0))</f>
        <v/>
      </c>
      <c r="AH7">
        <f>MAX(AH6,IF($B6=11,1,0))</f>
        <v/>
      </c>
      <c r="AI7">
        <f>MAX(AI6,IF($B6=12,1,0))</f>
        <v/>
      </c>
      <c r="AJ7">
        <f>MAX(AJ6,IF($B6=13,1,0))</f>
        <v/>
      </c>
      <c r="AK7">
        <f>MAX(AK6,IF($B6=14,1,0))</f>
        <v/>
      </c>
      <c r="AL7">
        <f>MAX(AL6,IF($B6=15,1,0))</f>
        <v/>
      </c>
      <c r="AM7">
        <f>MAX(AM6,IF($B6=16,1,0))</f>
        <v/>
      </c>
      <c r="AN7">
        <f>MAX(AN6,IF($B6=17,1,0))</f>
        <v/>
      </c>
      <c r="AO7">
        <f>MAX(AO6,IF($B6=18,1,0))</f>
        <v/>
      </c>
      <c r="AP7">
        <f>MAX(AP6,IF($B6=19,1,0))</f>
        <v/>
      </c>
      <c r="AQ7">
        <f>MAX(AQ6,IF($B6=20,1,0))</f>
        <v/>
      </c>
      <c r="AR7">
        <f>MAX(AR6,IF($B6=21,1,0))</f>
        <v/>
      </c>
      <c r="AS7">
        <f>MAX(AS6,IF($B6=22,1,0))</f>
        <v/>
      </c>
      <c r="AT7">
        <f>MAX(AT6,IF($B6=23,1,0))</f>
        <v/>
      </c>
      <c r="AU7">
        <f>MAX(AU6,IF($B6=24,1,0))</f>
        <v/>
      </c>
      <c r="AV7">
        <f>MAX(AV6,IF($B6=25,1,0))</f>
        <v/>
      </c>
      <c r="AW7">
        <f>MAX(AW6,IF($B6=26,1,0))</f>
        <v/>
      </c>
      <c r="AX7">
        <f>MAX(AX6,IF($B6=27,1,0))</f>
        <v/>
      </c>
      <c r="AY7">
        <f>MAX(AY6,IF($B6=28,1,0))</f>
        <v/>
      </c>
      <c r="AZ7">
        <f>MAX(AZ6,IF($B6=29,1,0))</f>
        <v/>
      </c>
      <c r="BA7">
        <f>MAX(BA6,IF($B6=30,1,0))</f>
        <v/>
      </c>
      <c r="BB7">
        <f>MAX(BB6,IF($B6=31,1,0))</f>
        <v/>
      </c>
      <c r="BC7">
        <f>MAX(BC6,IF($B6=32,1,0))</f>
        <v/>
      </c>
      <c r="BD7">
        <f>MAX(BD6,IF($B6=33,1,0))</f>
        <v/>
      </c>
      <c r="BE7">
        <f>MAX(BE6,IF($B6=34,1,0))</f>
        <v/>
      </c>
      <c r="BF7">
        <f>MAX(BF6,IF($B6=35,1,0))</f>
        <v/>
      </c>
      <c r="BG7">
        <f>MAX(BG6,IF($B6=36,1,0))</f>
        <v/>
      </c>
      <c r="BH7">
        <f>MAX(BH6,IF($B6=37,1,0))</f>
        <v/>
      </c>
      <c r="BI7">
        <f>MAX(BI6,IF($B6=38,1,0))</f>
        <v/>
      </c>
      <c r="BJ7">
        <f>MAX(BJ6,IF($B6=39,1,0))</f>
        <v/>
      </c>
      <c r="BK7">
        <f>MAX(BK6,IF($B6=40,1,0))</f>
        <v/>
      </c>
      <c r="BM7">
        <f>IF(OR(X7=1,calcA!$A$6=0),1000000000,IF('calcA'!$JF$10=1,0,100000000)+IF('calcA'!$IQ$10=2,SUMPRODUCT('calcA'!$D$60:$EQ$60,$DB7:$IO7,$IQ7:$OD7)*1000+SUMPRODUCT('calcA'!$D$60:$EQ$60,$DB7:$IO7+$ZQ7:$AFD7,$AFF7:$AKS7),SUMPRODUCT('calcA'!$D$60:$EQ$60,$DB7:$IO7*1001+$ZQ7:$AFD7))*100+1)</f>
        <v/>
      </c>
      <c r="BN7">
        <f>IF(OR(Y7=1,calcA!$A$6=0),1000000000,IF('calcA'!$JF$11=1,0,100000000)+IF('calcA'!$IQ$11=2,SUMPRODUCT('calcA'!$D$61:$EQ$61,$DB7:$IO7,$IQ7:$OD7)*1000+SUMPRODUCT('calcA'!$D$61:$EQ$61,$DB7:$IO7+$ZQ7:$AFD7,$AFF7:$AKS7),SUMPRODUCT('calcA'!$D$61:$EQ$61,$DB7:$IO7*1001+$ZQ7:$AFD7))*100+2)</f>
        <v/>
      </c>
      <c r="BO7">
        <f>IF(OR(Z7=1,calcA!$A$6=0),1000000000,IF('calcA'!$JF$12=1,0,100000000)+IF('calcA'!$IQ$12=2,SUMPRODUCT('calcA'!$D$62:$EQ$62,$DB7:$IO7,$IQ7:$OD7)*1000+SUMPRODUCT('calcA'!$D$62:$EQ$62,$DB7:$IO7+$ZQ7:$AFD7,$AFF7:$AKS7),SUMPRODUCT('calcA'!$D$62:$EQ$62,$DB7:$IO7*1001+$ZQ7:$AFD7))*100+3)</f>
        <v/>
      </c>
      <c r="BP7">
        <f>IF(OR(AA7=1,calcA!$A$6=0),1000000000,IF('calcA'!$JF$13=1,0,100000000)+IF('calcA'!$IQ$13=2,SUMPRODUCT('calcA'!$D$63:$EQ$63,$DB7:$IO7,$IQ7:$OD7)*1000+SUMPRODUCT('calcA'!$D$63:$EQ$63,$DB7:$IO7+$ZQ7:$AFD7,$AFF7:$AKS7),SUMPRODUCT('calcA'!$D$63:$EQ$63,$DB7:$IO7*1001+$ZQ7:$AFD7))*100+4)</f>
        <v/>
      </c>
      <c r="BQ7">
        <f>IF(OR(AB7=1,calcA!$A$6=0),1000000000,IF('calcA'!$JF$14=1,0,100000000)+IF('calcA'!$IQ$14=2,SUMPRODUCT('calcA'!$D$64:$EQ$64,$DB7:$IO7,$IQ7:$OD7)*1000+SUMPRODUCT('calcA'!$D$64:$EQ$64,$DB7:$IO7+$ZQ7:$AFD7,$AFF7:$AKS7),SUMPRODUCT('calcA'!$D$64:$EQ$64,$DB7:$IO7*1001+$ZQ7:$AFD7))*100+5)</f>
        <v/>
      </c>
      <c r="BR7">
        <f>IF(OR(AC7=1,calcA!$A$6=0),1000000000,IF('calcA'!$JF$15=1,0,100000000)+IF('calcA'!$IQ$15=2,SUMPRODUCT('calcA'!$D$65:$EQ$65,$DB7:$IO7,$IQ7:$OD7)*1000+SUMPRODUCT('calcA'!$D$65:$EQ$65,$DB7:$IO7+$ZQ7:$AFD7,$AFF7:$AKS7),SUMPRODUCT('calcA'!$D$65:$EQ$65,$DB7:$IO7*1001+$ZQ7:$AFD7))*100+6)</f>
        <v/>
      </c>
      <c r="BS7">
        <f>IF(OR(AD7=1,calcA!$A$6=0),1000000000,IF('calcA'!$JF$16=1,0,100000000)+IF('calcA'!$IQ$16=2,SUMPRODUCT('calcA'!$D$66:$EQ$66,$DB7:$IO7,$IQ7:$OD7)*1000+SUMPRODUCT('calcA'!$D$66:$EQ$66,$DB7:$IO7+$ZQ7:$AFD7,$AFF7:$AKS7),SUMPRODUCT('calcA'!$D$66:$EQ$66,$DB7:$IO7*1001+$ZQ7:$AFD7))*100+7)</f>
        <v/>
      </c>
      <c r="BT7">
        <f>IF(OR(AE7=1,calcA!$A$6=0),1000000000,IF('calcA'!$JF$17=1,0,100000000)+IF('calcA'!$IQ$17=2,SUMPRODUCT('calcA'!$D$67:$EQ$67,$DB7:$IO7,$IQ7:$OD7)*1000+SUMPRODUCT('calcA'!$D$67:$EQ$67,$DB7:$IO7+$ZQ7:$AFD7,$AFF7:$AKS7),SUMPRODUCT('calcA'!$D$67:$EQ$67,$DB7:$IO7*1001+$ZQ7:$AFD7))*100+8)</f>
        <v/>
      </c>
      <c r="BU7">
        <f>IF(OR(AF7=1,calcA!$A$6=0),1000000000,IF('calcA'!$JF$18=1,0,100000000)+IF('calcA'!$IQ$18=2,SUMPRODUCT('calcA'!$D$68:$EQ$68,$DB7:$IO7,$IQ7:$OD7)*1000+SUMPRODUCT('calcA'!$D$68:$EQ$68,$DB7:$IO7+$ZQ7:$AFD7,$AFF7:$AKS7),SUMPRODUCT('calcA'!$D$68:$EQ$68,$DB7:$IO7*1001+$ZQ7:$AFD7))*100+9)</f>
        <v/>
      </c>
      <c r="BV7">
        <f>IF(OR(AG7=1,calcA!$A$6=0),1000000000,IF('calcA'!$JF$19=1,0,100000000)+IF('calcA'!$IQ$19=2,SUMPRODUCT('calcA'!$D$69:$EQ$69,$DB7:$IO7,$IQ7:$OD7)*1000+SUMPRODUCT('calcA'!$D$69:$EQ$69,$DB7:$IO7+$ZQ7:$AFD7,$AFF7:$AKS7),SUMPRODUCT('calcA'!$D$69:$EQ$69,$DB7:$IO7*1001+$ZQ7:$AFD7))*100+10)</f>
        <v/>
      </c>
      <c r="BW7">
        <f>IF(OR(AH7=1,calcA!$A$6=0),1000000000,IF('calcA'!$JF$20=1,0,100000000)+IF('calcA'!$IQ$20=2,SUMPRODUCT('calcA'!$D$70:$EQ$70,$DB7:$IO7,$IQ7:$OD7)*1000+SUMPRODUCT('calcA'!$D$70:$EQ$70,$DB7:$IO7+$ZQ7:$AFD7,$AFF7:$AKS7),SUMPRODUCT('calcA'!$D$70:$EQ$70,$DB7:$IO7*1001+$ZQ7:$AFD7))*100+11)</f>
        <v/>
      </c>
      <c r="BX7">
        <f>IF(OR(AI7=1,calcA!$A$6=0),1000000000,IF('calcA'!$JF$21=1,0,100000000)+IF('calcA'!$IQ$21=2,SUMPRODUCT('calcA'!$D$71:$EQ$71,$DB7:$IO7,$IQ7:$OD7)*1000+SUMPRODUCT('calcA'!$D$71:$EQ$71,$DB7:$IO7+$ZQ7:$AFD7,$AFF7:$AKS7),SUMPRODUCT('calcA'!$D$71:$EQ$71,$DB7:$IO7*1001+$ZQ7:$AFD7))*100+12)</f>
        <v/>
      </c>
      <c r="BY7">
        <f>IF(OR(AJ7=1,calcA!$A$6=0),1000000000,IF('calcA'!$JF$22=1,0,100000000)+IF('calcA'!$IQ$22=2,SUMPRODUCT('calcA'!$D$72:$EQ$72,$DB7:$IO7,$IQ7:$OD7)*1000+SUMPRODUCT('calcA'!$D$72:$EQ$72,$DB7:$IO7+$ZQ7:$AFD7,$AFF7:$AKS7),SUMPRODUCT('calcA'!$D$72:$EQ$72,$DB7:$IO7*1001+$ZQ7:$AFD7))*100+13)</f>
        <v/>
      </c>
      <c r="BZ7">
        <f>IF(OR(AK7=1,calcA!$A$6=0),1000000000,IF('calcA'!$JF$23=1,0,100000000)+IF('calcA'!$IQ$23=2,SUMPRODUCT('calcA'!$D$73:$EQ$73,$DB7:$IO7,$IQ7:$OD7)*1000+SUMPRODUCT('calcA'!$D$73:$EQ$73,$DB7:$IO7+$ZQ7:$AFD7,$AFF7:$AKS7),SUMPRODUCT('calcA'!$D$73:$EQ$73,$DB7:$IO7*1001+$ZQ7:$AFD7))*100+14)</f>
        <v/>
      </c>
      <c r="CA7">
        <f>IF(OR(AL7=1,calcA!$A$6=0),1000000000,IF('calcA'!$JF$24=1,0,100000000)+IF('calcA'!$IQ$24=2,SUMPRODUCT('calcA'!$D$74:$EQ$74,$DB7:$IO7,$IQ7:$OD7)*1000+SUMPRODUCT('calcA'!$D$74:$EQ$74,$DB7:$IO7+$ZQ7:$AFD7,$AFF7:$AKS7),SUMPRODUCT('calcA'!$D$74:$EQ$74,$DB7:$IO7*1001+$ZQ7:$AFD7))*100+15)</f>
        <v/>
      </c>
      <c r="CB7">
        <f>IF(OR(AM7=1,calcA!$A$6=0),1000000000,IF('calcA'!$JF$25=1,0,100000000)+IF('calcA'!$IQ$25=2,SUMPRODUCT('calcA'!$D$75:$EQ$75,$DB7:$IO7,$IQ7:$OD7)*1000+SUMPRODUCT('calcA'!$D$75:$EQ$75,$DB7:$IO7+$ZQ7:$AFD7,$AFF7:$AKS7),SUMPRODUCT('calcA'!$D$75:$EQ$75,$DB7:$IO7*1001+$ZQ7:$AFD7))*100+16)</f>
        <v/>
      </c>
      <c r="CC7">
        <f>IF(OR(AN7=1,calcA!$A$6=0),1000000000,IF('calcA'!$JF$26=1,0,100000000)+IF('calcA'!$IQ$26=2,SUMPRODUCT('calcA'!$D$76:$EQ$76,$DB7:$IO7,$IQ7:$OD7)*1000+SUMPRODUCT('calcA'!$D$76:$EQ$76,$DB7:$IO7+$ZQ7:$AFD7,$AFF7:$AKS7),SUMPRODUCT('calcA'!$D$76:$EQ$76,$DB7:$IO7*1001+$ZQ7:$AFD7))*100+17)</f>
        <v/>
      </c>
      <c r="CD7">
        <f>IF(OR(AO7=1,calcA!$A$6=0),1000000000,IF('calcA'!$JF$27=1,0,100000000)+IF('calcA'!$IQ$27=2,SUMPRODUCT('calcA'!$D$77:$EQ$77,$DB7:$IO7,$IQ7:$OD7)*1000+SUMPRODUCT('calcA'!$D$77:$EQ$77,$DB7:$IO7+$ZQ7:$AFD7,$AFF7:$AKS7),SUMPRODUCT('calcA'!$D$77:$EQ$77,$DB7:$IO7*1001+$ZQ7:$AFD7))*100+18)</f>
        <v/>
      </c>
      <c r="CE7">
        <f>IF(OR(AP7=1,calcA!$A$6=0),1000000000,IF('calcA'!$JF$28=1,0,100000000)+IF('calcA'!$IQ$28=2,SUMPRODUCT('calcA'!$D$78:$EQ$78,$DB7:$IO7,$IQ7:$OD7)*1000+SUMPRODUCT('calcA'!$D$78:$EQ$78,$DB7:$IO7+$ZQ7:$AFD7,$AFF7:$AKS7),SUMPRODUCT('calcA'!$D$78:$EQ$78,$DB7:$IO7*1001+$ZQ7:$AFD7))*100+19)</f>
        <v/>
      </c>
      <c r="CF7">
        <f>IF(OR(AQ7=1,calcA!$A$6=0),1000000000,IF('calcA'!$JF$29=1,0,100000000)+IF('calcA'!$IQ$29=2,SUMPRODUCT('calcA'!$D$79:$EQ$79,$DB7:$IO7,$IQ7:$OD7)*1000+SUMPRODUCT('calcA'!$D$79:$EQ$79,$DB7:$IO7+$ZQ7:$AFD7,$AFF7:$AKS7),SUMPRODUCT('calcA'!$D$79:$EQ$79,$DB7:$IO7*1001+$ZQ7:$AFD7))*100+20)</f>
        <v/>
      </c>
      <c r="CG7">
        <f>IF(OR(AR7=1,calcA!$A$6=0),1000000000,IF('calcA'!$JF$30=1,0,100000000)+IF('calcA'!$IQ$30=2,SUMPRODUCT('calcA'!$D$80:$EQ$80,$DB7:$IO7,$IQ7:$OD7)*1000+SUMPRODUCT('calcA'!$D$80:$EQ$80,$DB7:$IO7+$ZQ7:$AFD7,$AFF7:$AKS7),SUMPRODUCT('calcA'!$D$80:$EQ$80,$DB7:$IO7*1001+$ZQ7:$AFD7))*100+21)</f>
        <v/>
      </c>
      <c r="CH7">
        <f>IF(OR(AS7=1,calcA!$A$6=0),1000000000,IF('calcA'!$JF$31=1,0,100000000)+IF('calcA'!$IQ$31=2,SUMPRODUCT('calcA'!$D$81:$EQ$81,$DB7:$IO7,$IQ7:$OD7)*1000+SUMPRODUCT('calcA'!$D$81:$EQ$81,$DB7:$IO7+$ZQ7:$AFD7,$AFF7:$AKS7),SUMPRODUCT('calcA'!$D$81:$EQ$81,$DB7:$IO7*1001+$ZQ7:$AFD7))*100+22)</f>
        <v/>
      </c>
      <c r="CI7">
        <f>IF(OR(AT7=1,calcA!$A$6=0),1000000000,IF('calcA'!$JF$32=1,0,100000000)+IF('calcA'!$IQ$32=2,SUMPRODUCT('calcA'!$D$82:$EQ$82,$DB7:$IO7,$IQ7:$OD7)*1000+SUMPRODUCT('calcA'!$D$82:$EQ$82,$DB7:$IO7+$ZQ7:$AFD7,$AFF7:$AKS7),SUMPRODUCT('calcA'!$D$82:$EQ$82,$DB7:$IO7*1001+$ZQ7:$AFD7))*100+23)</f>
        <v/>
      </c>
      <c r="CJ7">
        <f>IF(OR(AU7=1,calcA!$A$6=0),1000000000,IF('calcA'!$JF$33=1,0,100000000)+IF('calcA'!$IQ$33=2,SUMPRODUCT('calcA'!$D$83:$EQ$83,$DB7:$IO7,$IQ7:$OD7)*1000+SUMPRODUCT('calcA'!$D$83:$EQ$83,$DB7:$IO7+$ZQ7:$AFD7,$AFF7:$AKS7),SUMPRODUCT('calcA'!$D$83:$EQ$83,$DB7:$IO7*1001+$ZQ7:$AFD7))*100+24)</f>
        <v/>
      </c>
      <c r="CK7">
        <f>IF(OR(AV7=1,calcA!$A$6=0),1000000000,IF('calcA'!$JF$34=1,0,100000000)+IF('calcA'!$IQ$34=2,SUMPRODUCT('calcA'!$D$84:$EQ$84,$DB7:$IO7,$IQ7:$OD7)*1000+SUMPRODUCT('calcA'!$D$84:$EQ$84,$DB7:$IO7+$ZQ7:$AFD7,$AFF7:$AKS7),SUMPRODUCT('calcA'!$D$84:$EQ$84,$DB7:$IO7*1001+$ZQ7:$AFD7))*100+25)</f>
        <v/>
      </c>
      <c r="CL7">
        <f>IF(OR(AW7=1,calcA!$A$6=0),1000000000,IF('calcA'!$JF$35=1,0,100000000)+IF('calcA'!$IQ$35=2,SUMPRODUCT('calcA'!$D$85:$EQ$85,$DB7:$IO7,$IQ7:$OD7)*1000+SUMPRODUCT('calcA'!$D$85:$EQ$85,$DB7:$IO7+$ZQ7:$AFD7,$AFF7:$AKS7),SUMPRODUCT('calcA'!$D$85:$EQ$85,$DB7:$IO7*1001+$ZQ7:$AFD7))*100+26)</f>
        <v/>
      </c>
      <c r="CM7">
        <f>IF(OR(AX7=1,calcA!$A$6=0),1000000000,IF('calcA'!$JF$36=1,0,100000000)+IF('calcA'!$IQ$36=2,SUMPRODUCT('calcA'!$D$86:$EQ$86,$DB7:$IO7,$IQ7:$OD7)*1000+SUMPRODUCT('calcA'!$D$86:$EQ$86,$DB7:$IO7+$ZQ7:$AFD7,$AFF7:$AKS7),SUMPRODUCT('calcA'!$D$86:$EQ$86,$DB7:$IO7*1001+$ZQ7:$AFD7))*100+27)</f>
        <v/>
      </c>
      <c r="CN7">
        <f>IF(OR(AY7=1,calcA!$A$6=0),1000000000,IF('calcA'!$JF$37=1,0,100000000)+IF('calcA'!$IQ$37=2,SUMPRODUCT('calcA'!$D$87:$EQ$87,$DB7:$IO7,$IQ7:$OD7)*1000+SUMPRODUCT('calcA'!$D$87:$EQ$87,$DB7:$IO7+$ZQ7:$AFD7,$AFF7:$AKS7),SUMPRODUCT('calcA'!$D$87:$EQ$87,$DB7:$IO7*1001+$ZQ7:$AFD7))*100+28)</f>
        <v/>
      </c>
      <c r="CO7">
        <f>IF(OR(AZ7=1,calcA!$A$6=0),1000000000,IF('calcA'!$JF$38=1,0,100000000)+IF('calcA'!$IQ$38=2,SUMPRODUCT('calcA'!$D$88:$EQ$88,$DB7:$IO7,$IQ7:$OD7)*1000+SUMPRODUCT('calcA'!$D$88:$EQ$88,$DB7:$IO7+$ZQ7:$AFD7,$AFF7:$AKS7),SUMPRODUCT('calcA'!$D$88:$EQ$88,$DB7:$IO7*1001+$ZQ7:$AFD7))*100+29)</f>
        <v/>
      </c>
      <c r="CP7">
        <f>IF(OR(BA7=1,calcA!$A$6=0),1000000000,IF('calcA'!$JF$39=1,0,100000000)+IF('calcA'!$IQ$39=2,SUMPRODUCT('calcA'!$D$89:$EQ$89,$DB7:$IO7,$IQ7:$OD7)*1000+SUMPRODUCT('calcA'!$D$89:$EQ$89,$DB7:$IO7+$ZQ7:$AFD7,$AFF7:$AKS7),SUMPRODUCT('calcA'!$D$89:$EQ$89,$DB7:$IO7*1001+$ZQ7:$AFD7))*100+30)</f>
        <v/>
      </c>
      <c r="CQ7">
        <f>IF(OR(BB7=1,calcA!$A$6=0),1000000000,IF('calcA'!$JF$40=1,0,100000000)+IF('calcA'!$IQ$40=2,SUMPRODUCT('calcA'!$D$90:$EQ$90,$DB7:$IO7,$IQ7:$OD7)*1000+SUMPRODUCT('calcA'!$D$90:$EQ$90,$DB7:$IO7+$ZQ7:$AFD7,$AFF7:$AKS7),SUMPRODUCT('calcA'!$D$90:$EQ$90,$DB7:$IO7*1001+$ZQ7:$AFD7))*100+31)</f>
        <v/>
      </c>
      <c r="CR7">
        <f>IF(OR(BC7=1,calcA!$A$6=0),1000000000,IF('calcA'!$JF$41=1,0,100000000)+IF('calcA'!$IQ$41=2,SUMPRODUCT('calcA'!$D$91:$EQ$91,$DB7:$IO7,$IQ7:$OD7)*1000+SUMPRODUCT('calcA'!$D$91:$EQ$91,$DB7:$IO7+$ZQ7:$AFD7,$AFF7:$AKS7),SUMPRODUCT('calcA'!$D$91:$EQ$91,$DB7:$IO7*1001+$ZQ7:$AFD7))*100+32)</f>
        <v/>
      </c>
      <c r="CS7">
        <f>IF(OR(BD7=1,calcA!$A$6=0),1000000000,IF('calcA'!$JF$42=1,0,100000000)+IF('calcA'!$IQ$42=2,SUMPRODUCT('calcA'!$D$92:$EQ$92,$DB7:$IO7,$IQ7:$OD7)*1000+SUMPRODUCT('calcA'!$D$92:$EQ$92,$DB7:$IO7+$ZQ7:$AFD7,$AFF7:$AKS7),SUMPRODUCT('calcA'!$D$92:$EQ$92,$DB7:$IO7*1001+$ZQ7:$AFD7))*100+33)</f>
        <v/>
      </c>
      <c r="CT7">
        <f>IF(OR(BE7=1,calcA!$A$6=0),1000000000,IF('calcA'!$JF$43=1,0,100000000)+IF('calcA'!$IQ$43=2,SUMPRODUCT('calcA'!$D$93:$EQ$93,$DB7:$IO7,$IQ7:$OD7)*1000+SUMPRODUCT('calcA'!$D$93:$EQ$93,$DB7:$IO7+$ZQ7:$AFD7,$AFF7:$AKS7),SUMPRODUCT('calcA'!$D$93:$EQ$93,$DB7:$IO7*1001+$ZQ7:$AFD7))*100+34)</f>
        <v/>
      </c>
      <c r="CU7">
        <f>IF(OR(BF7=1,calcA!$A$6=0),1000000000,IF('calcA'!$JF$44=1,0,100000000)+IF('calcA'!$IQ$44=2,SUMPRODUCT('calcA'!$D$94:$EQ$94,$DB7:$IO7,$IQ7:$OD7)*1000+SUMPRODUCT('calcA'!$D$94:$EQ$94,$DB7:$IO7+$ZQ7:$AFD7,$AFF7:$AKS7),SUMPRODUCT('calcA'!$D$94:$EQ$94,$DB7:$IO7*1001+$ZQ7:$AFD7))*100+35)</f>
        <v/>
      </c>
      <c r="CV7">
        <f>IF(OR(BG7=1,calcA!$A$6=0),1000000000,IF('calcA'!$JF$45=1,0,100000000)+IF('calcA'!$IQ$45=2,SUMPRODUCT('calcA'!$D$95:$EQ$95,$DB7:$IO7,$IQ7:$OD7)*1000+SUMPRODUCT('calcA'!$D$95:$EQ$95,$DB7:$IO7+$ZQ7:$AFD7,$AFF7:$AKS7),SUMPRODUCT('calcA'!$D$95:$EQ$95,$DB7:$IO7*1001+$ZQ7:$AFD7))*100+36)</f>
        <v/>
      </c>
      <c r="CW7">
        <f>IF(OR(BH7=1,calcA!$A$6=0),1000000000,IF('calcA'!$JF$46=1,0,100000000)+IF('calcA'!$IQ$46=2,SUMPRODUCT('calcA'!$D$96:$EQ$96,$DB7:$IO7,$IQ7:$OD7)*1000+SUMPRODUCT('calcA'!$D$96:$EQ$96,$DB7:$IO7+$ZQ7:$AFD7,$AFF7:$AKS7),SUMPRODUCT('calcA'!$D$96:$EQ$96,$DB7:$IO7*1001+$ZQ7:$AFD7))*100+37)</f>
        <v/>
      </c>
      <c r="CX7">
        <f>IF(OR(BI7=1,calcA!$A$6=0),1000000000,IF('calcA'!$JF$47=1,0,100000000)+IF('calcA'!$IQ$47=2,SUMPRODUCT('calcA'!$D$97:$EQ$97,$DB7:$IO7,$IQ7:$OD7)*1000+SUMPRODUCT('calcA'!$D$97:$EQ$97,$DB7:$IO7+$ZQ7:$AFD7,$AFF7:$AKS7),SUMPRODUCT('calcA'!$D$97:$EQ$97,$DB7:$IO7*1001+$ZQ7:$AFD7))*100+38)</f>
        <v/>
      </c>
      <c r="CY7">
        <f>IF(OR(BJ7=1,calcA!$A$6=0),1000000000,IF('calcA'!$JF$48=1,0,100000000)+IF('calcA'!$IQ$48=2,SUMPRODUCT('calcA'!$D$98:$EQ$98,$DB7:$IO7,$IQ7:$OD7)*1000+SUMPRODUCT('calcA'!$D$98:$EQ$98,$DB7:$IO7+$ZQ7:$AFD7,$AFF7:$AKS7),SUMPRODUCT('calcA'!$D$98:$EQ$98,$DB7:$IO7*1001+$ZQ7:$AFD7))*100+39)</f>
        <v/>
      </c>
      <c r="CZ7">
        <f>IF(OR(BK7=1,calcA!$A$6=0),1000000000,IF('calcA'!$JF$49=1,0,100000000)+IF('calcA'!$IQ$49=2,SUMPRODUCT('calcA'!$D$99:$EQ$99,$DB7:$IO7,$IQ7:$OD7)*1000+SUMPRODUCT('calcA'!$D$99:$EQ$99,$DB7:$IO7+$ZQ7:$AFD7,$AFF7:$AKS7),SUMPRODUCT('calcA'!$D$99:$EQ$99,$DB7:$IO7*1001+$ZQ7:$AFD7))*100+40)</f>
        <v/>
      </c>
      <c r="DB7">
        <f>DB6*IF(OR($C6=1,$G6=1),0,1)</f>
        <v/>
      </c>
      <c r="DC7">
        <f>DC6*IF(OR($C6=2,$G6=2),0,1)</f>
        <v/>
      </c>
      <c r="DD7">
        <f>DD6*IF(OR($C6=3,$G6=3),0,1)</f>
        <v/>
      </c>
      <c r="DE7">
        <f>DE6*IF(OR($C6=4,$G6=4),0,1)</f>
        <v/>
      </c>
      <c r="DF7">
        <f>DF6*IF(OR($C6=5,$G6=5),0,1)</f>
        <v/>
      </c>
      <c r="DG7">
        <f>DG6*IF(OR($C6=6,$G6=6),0,1)</f>
        <v/>
      </c>
      <c r="DH7">
        <f>DH6*IF(OR($C6=7,$G6=7),0,1)</f>
        <v/>
      </c>
      <c r="DI7">
        <f>DI6*IF(OR($C6=8,$G6=8),0,1)</f>
        <v/>
      </c>
      <c r="DJ7">
        <f>DJ6*IF(OR($C6=9,$G6=9),0,1)</f>
        <v/>
      </c>
      <c r="DK7">
        <f>DK6*IF(OR($C6=10,$G6=10),0,1)</f>
        <v/>
      </c>
      <c r="DL7">
        <f>DL6*IF(OR($C6=11,$G6=11),0,1)</f>
        <v/>
      </c>
      <c r="DM7">
        <f>DM6*IF(OR($C6=12,$G6=12),0,1)</f>
        <v/>
      </c>
      <c r="DN7">
        <f>DN6*IF(OR($C6=13,$G6=13),0,1)</f>
        <v/>
      </c>
      <c r="DO7">
        <f>DO6*IF(OR($C6=14,$G6=14),0,1)</f>
        <v/>
      </c>
      <c r="DP7">
        <f>DP6*IF(OR($C6=15,$G6=15),0,1)</f>
        <v/>
      </c>
      <c r="DQ7">
        <f>DQ6*IF(OR($C6=16,$G6=16),0,1)</f>
        <v/>
      </c>
      <c r="DR7">
        <f>DR6*IF(OR($C6=17,$G6=17),0,1)</f>
        <v/>
      </c>
      <c r="DS7">
        <f>DS6*IF(OR($C6=18,$G6=18),0,1)</f>
        <v/>
      </c>
      <c r="DT7">
        <f>DT6*IF(OR($C6=19,$G6=19),0,1)</f>
        <v/>
      </c>
      <c r="DU7">
        <f>DU6*IF(OR($C6=20,$G6=20),0,1)</f>
        <v/>
      </c>
      <c r="DV7">
        <f>DV6*IF(OR($C6=21,$G6=21),0,1)</f>
        <v/>
      </c>
      <c r="DW7">
        <f>DW6*IF(OR($C6=22,$G6=22),0,1)</f>
        <v/>
      </c>
      <c r="DX7">
        <f>DX6*IF(OR($C6=23,$G6=23),0,1)</f>
        <v/>
      </c>
      <c r="DY7">
        <f>DY6*IF(OR($C6=24,$G6=24),0,1)</f>
        <v/>
      </c>
      <c r="DZ7">
        <f>DZ6*IF(OR($C6=25,$G6=25),0,1)</f>
        <v/>
      </c>
      <c r="EA7">
        <f>EA6*IF(OR($C6=26,$G6=26),0,1)</f>
        <v/>
      </c>
      <c r="EB7">
        <f>EB6*IF(OR($C6=27,$G6=27),0,1)</f>
        <v/>
      </c>
      <c r="EC7">
        <f>EC6*IF(OR($C6=28,$G6=28),0,1)</f>
        <v/>
      </c>
      <c r="ED7">
        <f>ED6*IF(OR($C6=29,$G6=29),0,1)</f>
        <v/>
      </c>
      <c r="EE7">
        <f>EE6*IF(OR($C6=30,$G6=30),0,1)</f>
        <v/>
      </c>
      <c r="EF7">
        <f>EF6*IF(OR($C6=31,$G6=31),0,1)</f>
        <v/>
      </c>
      <c r="EG7">
        <f>EG6*IF(OR($C6=32,$G6=32),0,1)</f>
        <v/>
      </c>
      <c r="EH7">
        <f>EH6*IF(OR($C6=33,$G6=33),0,1)</f>
        <v/>
      </c>
      <c r="EI7">
        <f>EI6*IF(OR($C6=34,$G6=34),0,1)</f>
        <v/>
      </c>
      <c r="EJ7">
        <f>EJ6*IF(OR($C6=35,$G6=35),0,1)</f>
        <v/>
      </c>
      <c r="EK7">
        <f>EK6*IF(OR($C6=36,$G6=36),0,1)</f>
        <v/>
      </c>
      <c r="EL7">
        <f>EL6*IF(OR($C6=37,$G6=37),0,1)</f>
        <v/>
      </c>
      <c r="EM7">
        <f>EM6*IF(OR($C6=38,$G6=38),0,1)</f>
        <v/>
      </c>
      <c r="EN7">
        <f>EN6*IF(OR($C6=39,$G6=39),0,1)</f>
        <v/>
      </c>
      <c r="EO7">
        <f>EO6*IF(OR($C6=40,$G6=40),0,1)</f>
        <v/>
      </c>
      <c r="EP7">
        <f>EP6*IF(OR($C6=41,$G6=41),0,1)</f>
        <v/>
      </c>
      <c r="EQ7">
        <f>EQ6*IF(OR($C6=42,$G6=42),0,1)</f>
        <v/>
      </c>
      <c r="ER7">
        <f>ER6*IF(OR($C6=43,$G6=43),0,1)</f>
        <v/>
      </c>
      <c r="ES7">
        <f>ES6*IF(OR($C6=44,$G6=44),0,1)</f>
        <v/>
      </c>
      <c r="ET7">
        <f>ET6*IF(OR($C6=45,$G6=45),0,1)</f>
        <v/>
      </c>
      <c r="EU7">
        <f>EU6*IF(OR($C6=46,$G6=46),0,1)</f>
        <v/>
      </c>
      <c r="EV7">
        <f>EV6*IF(OR($C6=47,$G6=47),0,1)</f>
        <v/>
      </c>
      <c r="EW7">
        <f>EW6*IF(OR($C6=48,$G6=48),0,1)</f>
        <v/>
      </c>
      <c r="EX7">
        <f>EX6*IF(OR($C6=49,$G6=49),0,1)</f>
        <v/>
      </c>
      <c r="EY7">
        <f>EY6*IF(OR($C6=50,$G6=50),0,1)</f>
        <v/>
      </c>
      <c r="EZ7">
        <f>EZ6*IF(OR($C6=51,$G6=51),0,1)</f>
        <v/>
      </c>
      <c r="FA7">
        <f>FA6*IF(OR($C6=52,$G6=52),0,1)</f>
        <v/>
      </c>
      <c r="FB7">
        <f>FB6*IF(OR($C6=53,$G6=53),0,1)</f>
        <v/>
      </c>
      <c r="FC7">
        <f>FC6*IF(OR($C6=54,$G6=54),0,1)</f>
        <v/>
      </c>
      <c r="FD7">
        <f>FD6*IF(OR($C6=55,$G6=55),0,1)</f>
        <v/>
      </c>
      <c r="FE7">
        <f>FE6*IF(OR($C6=56,$G6=56),0,1)</f>
        <v/>
      </c>
      <c r="FF7">
        <f>FF6*IF(OR($C6=57,$G6=57),0,1)</f>
        <v/>
      </c>
      <c r="FG7">
        <f>FG6*IF(OR($C6=58,$G6=58),0,1)</f>
        <v/>
      </c>
      <c r="FH7">
        <f>FH6*IF(OR($C6=59,$G6=59),0,1)</f>
        <v/>
      </c>
      <c r="FI7">
        <f>FI6*IF(OR($C6=60,$G6=60),0,1)</f>
        <v/>
      </c>
      <c r="FJ7">
        <f>FJ6*IF(OR($C6=61,$G6=61),0,1)</f>
        <v/>
      </c>
      <c r="FK7">
        <f>FK6*IF(OR($C6=62,$G6=62),0,1)</f>
        <v/>
      </c>
      <c r="FL7">
        <f>FL6*IF(OR($C6=63,$G6=63),0,1)</f>
        <v/>
      </c>
      <c r="FM7">
        <f>FM6*IF(OR($C6=64,$G6=64),0,1)</f>
        <v/>
      </c>
      <c r="FN7">
        <f>FN6*IF(OR($C6=65,$G6=65),0,1)</f>
        <v/>
      </c>
      <c r="FO7">
        <f>FO6*IF(OR($C6=66,$G6=66),0,1)</f>
        <v/>
      </c>
      <c r="FP7">
        <f>FP6*IF(OR($C6=67,$G6=67),0,1)</f>
        <v/>
      </c>
      <c r="FQ7">
        <f>FQ6*IF(OR($C6=68,$G6=68),0,1)</f>
        <v/>
      </c>
      <c r="FR7">
        <f>FR6*IF(OR($C6=69,$G6=69),0,1)</f>
        <v/>
      </c>
      <c r="FS7">
        <f>FS6*IF(OR($C6=70,$G6=70),0,1)</f>
        <v/>
      </c>
      <c r="FT7">
        <f>FT6*IF(OR($C6=71,$G6=71),0,1)</f>
        <v/>
      </c>
      <c r="FU7">
        <f>FU6*IF(OR($C6=72,$G6=72),0,1)</f>
        <v/>
      </c>
      <c r="FV7">
        <f>FV6*IF(OR($C6=73,$G6=73),0,1)</f>
        <v/>
      </c>
      <c r="FW7">
        <f>FW6*IF(OR($C6=74,$G6=74),0,1)</f>
        <v/>
      </c>
      <c r="FX7">
        <f>FX6*IF(OR($C6=75,$G6=75),0,1)</f>
        <v/>
      </c>
      <c r="FY7">
        <f>FY6*IF(OR($C6=76,$G6=76),0,1)</f>
        <v/>
      </c>
      <c r="FZ7">
        <f>FZ6*IF(OR($C6=77,$G6=77),0,1)</f>
        <v/>
      </c>
      <c r="GA7">
        <f>GA6*IF(OR($C6=78,$G6=78),0,1)</f>
        <v/>
      </c>
      <c r="GB7">
        <f>GB6*IF(OR($C6=79,$G6=79),0,1)</f>
        <v/>
      </c>
      <c r="GC7">
        <f>GC6*IF(OR($C6=80,$G6=80),0,1)</f>
        <v/>
      </c>
      <c r="GD7">
        <f>GD6*IF(OR($C6=81,$G6=81),0,1)</f>
        <v/>
      </c>
      <c r="GE7">
        <f>GE6*IF(OR($C6=82,$G6=82),0,1)</f>
        <v/>
      </c>
      <c r="GF7">
        <f>GF6*IF(OR($C6=83,$G6=83),0,1)</f>
        <v/>
      </c>
      <c r="GG7">
        <f>GG6*IF(OR($C6=84,$G6=84),0,1)</f>
        <v/>
      </c>
      <c r="GH7">
        <f>GH6*IF(OR($C6=85,$G6=85),0,1)</f>
        <v/>
      </c>
      <c r="GI7">
        <f>GI6*IF(OR($C6=86,$G6=86),0,1)</f>
        <v/>
      </c>
      <c r="GJ7">
        <f>GJ6*IF(OR($C6=87,$G6=87),0,1)</f>
        <v/>
      </c>
      <c r="GK7">
        <f>GK6*IF(OR($C6=88,$G6=88),0,1)</f>
        <v/>
      </c>
      <c r="GL7">
        <f>GL6*IF(OR($C6=89,$G6=89),0,1)</f>
        <v/>
      </c>
      <c r="GM7">
        <f>GM6*IF(OR($C6=90,$G6=90),0,1)</f>
        <v/>
      </c>
      <c r="GN7">
        <f>GN6*IF(OR($C6=91,$G6=91),0,1)</f>
        <v/>
      </c>
      <c r="GO7">
        <f>GO6*IF(OR($C6=92,$G6=92),0,1)</f>
        <v/>
      </c>
      <c r="GP7">
        <f>GP6*IF(OR($C6=93,$G6=93),0,1)</f>
        <v/>
      </c>
      <c r="GQ7">
        <f>GQ6*IF(OR($C6=94,$G6=94),0,1)</f>
        <v/>
      </c>
      <c r="GR7">
        <f>GR6*IF(OR($C6=95,$G6=95),0,1)</f>
        <v/>
      </c>
      <c r="GS7">
        <f>GS6*IF(OR($C6=96,$G6=96),0,1)</f>
        <v/>
      </c>
      <c r="GT7">
        <f>GT6*IF(OR($C6=97,$G6=97),0,1)</f>
        <v/>
      </c>
      <c r="GU7">
        <f>GU6*IF(OR($C6=98,$G6=98),0,1)</f>
        <v/>
      </c>
      <c r="GV7">
        <f>GV6*IF(OR($C6=99,$G6=99),0,1)</f>
        <v/>
      </c>
      <c r="GW7">
        <f>GW6*IF(OR($C6=100,$G6=100),0,1)</f>
        <v/>
      </c>
      <c r="GX7">
        <f>GX6*IF(OR($C6=101,$G6=101),0,1)</f>
        <v/>
      </c>
      <c r="GY7">
        <f>GY6*IF(OR($C6=102,$G6=102),0,1)</f>
        <v/>
      </c>
      <c r="GZ7">
        <f>GZ6*IF(OR($C6=103,$G6=103),0,1)</f>
        <v/>
      </c>
      <c r="HA7">
        <f>HA6*IF(OR($C6=104,$G6=104),0,1)</f>
        <v/>
      </c>
      <c r="HB7">
        <f>HB6*IF(OR($C6=105,$G6=105),0,1)</f>
        <v/>
      </c>
      <c r="HC7">
        <f>HC6*IF(OR($C6=106,$G6=106),0,1)</f>
        <v/>
      </c>
      <c r="HD7">
        <f>HD6*IF(OR($C6=107,$G6=107),0,1)</f>
        <v/>
      </c>
      <c r="HE7">
        <f>HE6*IF(OR($C6=108,$G6=108),0,1)</f>
        <v/>
      </c>
      <c r="HF7">
        <f>HF6*IF(OR($C6=109,$G6=109),0,1)</f>
        <v/>
      </c>
      <c r="HG7">
        <f>HG6*IF(OR($C6=110,$G6=110),0,1)</f>
        <v/>
      </c>
      <c r="HH7">
        <f>HH6*IF(OR($C6=111,$G6=111),0,1)</f>
        <v/>
      </c>
      <c r="HI7">
        <f>HI6*IF(OR($C6=112,$G6=112),0,1)</f>
        <v/>
      </c>
      <c r="HJ7">
        <f>HJ6*IF(OR($C6=113,$G6=113),0,1)</f>
        <v/>
      </c>
      <c r="HK7">
        <f>HK6*IF(OR($C6=114,$G6=114),0,1)</f>
        <v/>
      </c>
      <c r="HL7">
        <f>HL6*IF(OR($C6=115,$G6=115),0,1)</f>
        <v/>
      </c>
      <c r="HM7">
        <f>HM6*IF(OR($C6=116,$G6=116),0,1)</f>
        <v/>
      </c>
      <c r="HN7">
        <f>HN6*IF(OR($C6=117,$G6=117),0,1)</f>
        <v/>
      </c>
      <c r="HO7">
        <f>HO6*IF(OR($C6=118,$G6=118),0,1)</f>
        <v/>
      </c>
      <c r="HP7">
        <f>HP6*IF(OR($C6=119,$G6=119),0,1)</f>
        <v/>
      </c>
      <c r="HQ7">
        <f>HQ6*IF(OR($C6=120,$G6=120),0,1)</f>
        <v/>
      </c>
      <c r="HR7">
        <f>HR6*IF(OR($C6=121,$G6=121),0,1)</f>
        <v/>
      </c>
      <c r="HS7">
        <f>HS6*IF(OR($C6=122,$G6=122),0,1)</f>
        <v/>
      </c>
      <c r="HT7">
        <f>HT6*IF(OR($C6=123,$G6=123),0,1)</f>
        <v/>
      </c>
      <c r="HU7">
        <f>HU6*IF(OR($C6=124,$G6=124),0,1)</f>
        <v/>
      </c>
      <c r="HV7">
        <f>HV6*IF(OR($C6=125,$G6=125),0,1)</f>
        <v/>
      </c>
      <c r="HW7">
        <f>HW6*IF(OR($C6=126,$G6=126),0,1)</f>
        <v/>
      </c>
      <c r="HX7">
        <f>HX6*IF(OR($C6=127,$G6=127),0,1)</f>
        <v/>
      </c>
      <c r="HY7">
        <f>HY6*IF(OR($C6=128,$G6=128),0,1)</f>
        <v/>
      </c>
      <c r="HZ7">
        <f>HZ6*IF(OR($C6=129,$G6=129),0,1)</f>
        <v/>
      </c>
      <c r="IA7">
        <f>IA6*IF(OR($C6=130,$G6=130),0,1)</f>
        <v/>
      </c>
      <c r="IB7">
        <f>IB6*IF(OR($C6=131,$G6=131),0,1)</f>
        <v/>
      </c>
      <c r="IC7">
        <f>IC6*IF(OR($C6=132,$G6=132),0,1)</f>
        <v/>
      </c>
      <c r="ID7">
        <f>ID6*IF(OR($C6=133,$G6=133),0,1)</f>
        <v/>
      </c>
      <c r="IE7">
        <f>IE6*IF(OR($C6=134,$G6=134),0,1)</f>
        <v/>
      </c>
      <c r="IF7">
        <f>IF6*IF(OR($C6=135,$G6=135),0,1)</f>
        <v/>
      </c>
      <c r="IG7">
        <f>IG6*IF(OR($C6=136,$G6=136),0,1)</f>
        <v/>
      </c>
      <c r="IH7">
        <f>IH6*IF(OR($C6=137,$G6=137),0,1)</f>
        <v/>
      </c>
      <c r="II7">
        <f>II6*IF(OR($C6=138,$G6=138),0,1)</f>
        <v/>
      </c>
      <c r="IJ7">
        <f>IJ6*IF(OR($C6=139,$G6=139),0,1)</f>
        <v/>
      </c>
      <c r="IK7">
        <f>IK6*IF(OR($C6=140,$G6=140),0,1)</f>
        <v/>
      </c>
      <c r="IL7">
        <f>IL6*IF(OR($C6=141,$G6=141),0,1)</f>
        <v/>
      </c>
      <c r="IM7">
        <f>IM6*IF(OR($C6=142,$G6=142),0,1)</f>
        <v/>
      </c>
      <c r="IN7">
        <f>IN6*IF(OR($C6=143,$G6=143),0,1)</f>
        <v/>
      </c>
      <c r="IO7">
        <f>IO6*IF(OR($C6=144,$G6=144),0,1)</f>
        <v/>
      </c>
      <c r="IQ7">
        <f>IF('calcA'!D$106=1,DC7,1)</f>
        <v/>
      </c>
      <c r="IR7">
        <f>IF('calcA'!E$106=1,DD7,1)</f>
        <v/>
      </c>
      <c r="IS7">
        <f>IF('calcA'!F$106=1,DE7,1)</f>
        <v/>
      </c>
      <c r="IT7">
        <f>IF('calcA'!G$106=1,DF7,1)</f>
        <v/>
      </c>
      <c r="IU7">
        <f>IF('calcA'!H$106=1,DG7,1)</f>
        <v/>
      </c>
      <c r="IV7">
        <f>IF('calcA'!I$106=1,DH7,1)</f>
        <v/>
      </c>
      <c r="IW7">
        <f>IF('calcA'!J$106=1,DI7,1)</f>
        <v/>
      </c>
      <c r="IX7">
        <f>IF('calcA'!K$106=1,DJ7,1)</f>
        <v/>
      </c>
      <c r="IY7">
        <f>IF('calcA'!L$106=1,DK7,1)</f>
        <v/>
      </c>
      <c r="IZ7">
        <f>IF('calcA'!M$106=1,DL7,1)</f>
        <v/>
      </c>
      <c r="JA7">
        <f>IF('calcA'!N$106=1,DM7,1)</f>
        <v/>
      </c>
      <c r="JB7">
        <f>IF('calcA'!O$106=1,DN7,1)</f>
        <v/>
      </c>
      <c r="JC7">
        <f>IF('calcA'!P$106=1,DO7,1)</f>
        <v/>
      </c>
      <c r="JD7">
        <f>IF('calcA'!Q$106=1,DP7,1)</f>
        <v/>
      </c>
      <c r="JE7">
        <f>IF('calcA'!R$106=1,DQ7,1)</f>
        <v/>
      </c>
      <c r="JF7">
        <f>IF('calcA'!S$106=1,DR7,1)</f>
        <v/>
      </c>
      <c r="JG7">
        <f>IF('calcA'!T$106=1,DS7,1)</f>
        <v/>
      </c>
      <c r="JH7">
        <f>IF('calcA'!U$106=1,DT7,1)</f>
        <v/>
      </c>
      <c r="JI7">
        <f>IF('calcA'!V$106=1,DU7,1)</f>
        <v/>
      </c>
      <c r="JJ7">
        <f>IF('calcA'!W$106=1,DV7,1)</f>
        <v/>
      </c>
      <c r="JK7">
        <f>IF('calcA'!X$106=1,DW7,1)</f>
        <v/>
      </c>
      <c r="JL7">
        <f>IF('calcA'!Y$106=1,DX7,1)</f>
        <v/>
      </c>
      <c r="JM7">
        <f>IF('calcA'!Z$106=1,DY7,1)</f>
        <v/>
      </c>
      <c r="JN7">
        <f>IF('calcA'!AA$106=1,DZ7,1)</f>
        <v/>
      </c>
      <c r="JO7">
        <f>IF('calcA'!AB$106=1,EA7,1)</f>
        <v/>
      </c>
      <c r="JP7">
        <f>IF('calcA'!AC$106=1,EB7,1)</f>
        <v/>
      </c>
      <c r="JQ7">
        <f>IF('calcA'!AD$106=1,EC7,1)</f>
        <v/>
      </c>
      <c r="JR7">
        <f>IF('calcA'!AE$106=1,ED7,1)</f>
        <v/>
      </c>
      <c r="JS7">
        <f>IF('calcA'!AF$106=1,EE7,1)</f>
        <v/>
      </c>
      <c r="JT7">
        <f>IF('calcA'!AG$106=1,EF7,1)</f>
        <v/>
      </c>
      <c r="JU7">
        <f>IF('calcA'!AH$106=1,EG7,1)</f>
        <v/>
      </c>
      <c r="JV7">
        <f>IF('calcA'!AI$106=1,EH7,1)</f>
        <v/>
      </c>
      <c r="JW7">
        <f>IF('calcA'!AJ$106=1,EI7,1)</f>
        <v/>
      </c>
      <c r="JX7">
        <f>IF('calcA'!AK$106=1,EJ7,1)</f>
        <v/>
      </c>
      <c r="JY7">
        <f>IF('calcA'!AL$106=1,EK7,1)</f>
        <v/>
      </c>
      <c r="JZ7">
        <f>IF('calcA'!AM$106=1,EL7,1)</f>
        <v/>
      </c>
      <c r="KA7">
        <f>IF('calcA'!AN$106=1,EM7,1)</f>
        <v/>
      </c>
      <c r="KB7">
        <f>IF('calcA'!AO$106=1,EN7,1)</f>
        <v/>
      </c>
      <c r="KC7">
        <f>IF('calcA'!AP$106=1,EO7,1)</f>
        <v/>
      </c>
      <c r="KD7">
        <f>IF('calcA'!AQ$106=1,EP7,1)</f>
        <v/>
      </c>
      <c r="KE7">
        <f>IF('calcA'!AR$106=1,EQ7,1)</f>
        <v/>
      </c>
      <c r="KF7">
        <f>IF('calcA'!AS$106=1,ER7,1)</f>
        <v/>
      </c>
      <c r="KG7">
        <f>IF('calcA'!AT$106=1,ES7,1)</f>
        <v/>
      </c>
      <c r="KH7">
        <f>IF('calcA'!AU$106=1,ET7,1)</f>
        <v/>
      </c>
      <c r="KI7">
        <f>IF('calcA'!AV$106=1,EU7,1)</f>
        <v/>
      </c>
      <c r="KJ7">
        <f>IF('calcA'!AW$106=1,EV7,1)</f>
        <v/>
      </c>
      <c r="KK7">
        <f>IF('calcA'!AX$106=1,EW7,1)</f>
        <v/>
      </c>
      <c r="KL7">
        <f>IF('calcA'!AY$106=1,EX7,1)</f>
        <v/>
      </c>
      <c r="KM7">
        <f>IF('calcA'!AZ$106=1,EY7,1)</f>
        <v/>
      </c>
      <c r="KN7">
        <f>IF('calcA'!BA$106=1,EZ7,1)</f>
        <v/>
      </c>
      <c r="KO7">
        <f>IF('calcA'!BB$106=1,FA7,1)</f>
        <v/>
      </c>
      <c r="KP7">
        <f>IF('calcA'!BC$106=1,FB7,1)</f>
        <v/>
      </c>
      <c r="KQ7">
        <f>IF('calcA'!BD$106=1,FC7,1)</f>
        <v/>
      </c>
      <c r="KR7">
        <f>IF('calcA'!BE$106=1,FD7,1)</f>
        <v/>
      </c>
      <c r="KS7">
        <f>IF('calcA'!BF$106=1,FE7,1)</f>
        <v/>
      </c>
      <c r="KT7">
        <f>IF('calcA'!BG$106=1,FF7,1)</f>
        <v/>
      </c>
      <c r="KU7">
        <f>IF('calcA'!BH$106=1,FG7,1)</f>
        <v/>
      </c>
      <c r="KV7">
        <f>IF('calcA'!BI$106=1,FH7,1)</f>
        <v/>
      </c>
      <c r="KW7">
        <f>IF('calcA'!BJ$106=1,FI7,1)</f>
        <v/>
      </c>
      <c r="KX7">
        <f>IF('calcA'!BK$106=1,FJ7,1)</f>
        <v/>
      </c>
      <c r="KY7">
        <f>IF('calcA'!BL$106=1,FK7,1)</f>
        <v/>
      </c>
      <c r="KZ7">
        <f>IF('calcA'!BM$106=1,FL7,1)</f>
        <v/>
      </c>
      <c r="LA7">
        <f>IF('calcA'!BN$106=1,FM7,1)</f>
        <v/>
      </c>
      <c r="LB7">
        <f>IF('calcA'!BO$106=1,FN7,1)</f>
        <v/>
      </c>
      <c r="LC7">
        <f>IF('calcA'!BP$106=1,FO7,1)</f>
        <v/>
      </c>
      <c r="LD7">
        <f>IF('calcA'!BQ$106=1,FP7,1)</f>
        <v/>
      </c>
      <c r="LE7">
        <f>IF('calcA'!BR$106=1,FQ7,1)</f>
        <v/>
      </c>
      <c r="LF7">
        <f>IF('calcA'!BS$106=1,FR7,1)</f>
        <v/>
      </c>
      <c r="LG7">
        <f>IF('calcA'!BT$106=1,FS7,1)</f>
        <v/>
      </c>
      <c r="LH7">
        <f>IF('calcA'!BU$106=1,FT7,1)</f>
        <v/>
      </c>
      <c r="LI7">
        <f>IF('calcA'!BV$106=1,FU7,1)</f>
        <v/>
      </c>
      <c r="LJ7">
        <f>IF('calcA'!BW$106=1,FV7,1)</f>
        <v/>
      </c>
      <c r="LK7">
        <f>IF('calcA'!BX$106=1,FW7,1)</f>
        <v/>
      </c>
      <c r="LL7">
        <f>IF('calcA'!BY$106=1,FX7,1)</f>
        <v/>
      </c>
      <c r="LM7">
        <f>IF('calcA'!BZ$106=1,FY7,1)</f>
        <v/>
      </c>
      <c r="LN7">
        <f>IF('calcA'!CA$106=1,FZ7,1)</f>
        <v/>
      </c>
      <c r="LO7">
        <f>IF('calcA'!CB$106=1,GA7,1)</f>
        <v/>
      </c>
      <c r="LP7">
        <f>IF('calcA'!CC$106=1,GB7,1)</f>
        <v/>
      </c>
      <c r="LQ7">
        <f>IF('calcA'!CD$106=1,GC7,1)</f>
        <v/>
      </c>
      <c r="LR7">
        <f>IF('calcA'!CE$106=1,GD7,1)</f>
        <v/>
      </c>
      <c r="LS7">
        <f>IF('calcA'!CF$106=1,GE7,1)</f>
        <v/>
      </c>
      <c r="LT7">
        <f>IF('calcA'!CG$106=1,GF7,1)</f>
        <v/>
      </c>
      <c r="LU7">
        <f>IF('calcA'!CH$106=1,GG7,1)</f>
        <v/>
      </c>
      <c r="LV7">
        <f>IF('calcA'!CI$106=1,GH7,1)</f>
        <v/>
      </c>
      <c r="LW7">
        <f>IF('calcA'!CJ$106=1,GI7,1)</f>
        <v/>
      </c>
      <c r="LX7">
        <f>IF('calcA'!CK$106=1,GJ7,1)</f>
        <v/>
      </c>
      <c r="LY7">
        <f>IF('calcA'!CL$106=1,GK7,1)</f>
        <v/>
      </c>
      <c r="LZ7">
        <f>IF('calcA'!CM$106=1,GL7,1)</f>
        <v/>
      </c>
      <c r="MA7">
        <f>IF('calcA'!CN$106=1,GM7,1)</f>
        <v/>
      </c>
      <c r="MB7">
        <f>IF('calcA'!CO$106=1,GN7,1)</f>
        <v/>
      </c>
      <c r="MC7">
        <f>IF('calcA'!CP$106=1,GO7,1)</f>
        <v/>
      </c>
      <c r="MD7">
        <f>IF('calcA'!CQ$106=1,GP7,1)</f>
        <v/>
      </c>
      <c r="ME7">
        <f>IF('calcA'!CR$106=1,GQ7,1)</f>
        <v/>
      </c>
      <c r="MF7">
        <f>IF('calcA'!CS$106=1,GR7,1)</f>
        <v/>
      </c>
      <c r="MG7">
        <f>IF('calcA'!CT$106=1,GS7,1)</f>
        <v/>
      </c>
      <c r="MH7">
        <f>IF('calcA'!CU$106=1,GT7,1)</f>
        <v/>
      </c>
      <c r="MI7">
        <f>IF('calcA'!CV$106=1,GU7,1)</f>
        <v/>
      </c>
      <c r="MJ7">
        <f>IF('calcA'!CW$106=1,GV7,1)</f>
        <v/>
      </c>
      <c r="MK7">
        <f>IF('calcA'!CX$106=1,GW7,1)</f>
        <v/>
      </c>
      <c r="ML7">
        <f>IF('calcA'!CY$106=1,GX7,1)</f>
        <v/>
      </c>
      <c r="MM7">
        <f>IF('calcA'!CZ$106=1,GY7,1)</f>
        <v/>
      </c>
      <c r="MN7">
        <f>IF('calcA'!DA$106=1,GZ7,1)</f>
        <v/>
      </c>
      <c r="MO7">
        <f>IF('calcA'!DB$106=1,HA7,1)</f>
        <v/>
      </c>
      <c r="MP7">
        <f>IF('calcA'!DC$106=1,HB7,1)</f>
        <v/>
      </c>
      <c r="MQ7">
        <f>IF('calcA'!DD$106=1,HC7,1)</f>
        <v/>
      </c>
      <c r="MR7">
        <f>IF('calcA'!DE$106=1,HD7,1)</f>
        <v/>
      </c>
      <c r="MS7">
        <f>IF('calcA'!DF$106=1,HE7,1)</f>
        <v/>
      </c>
      <c r="MT7">
        <f>IF('calcA'!DG$106=1,HF7,1)</f>
        <v/>
      </c>
      <c r="MU7">
        <f>IF('calcA'!DH$106=1,HG7,1)</f>
        <v/>
      </c>
      <c r="MV7">
        <f>IF('calcA'!DI$106=1,HH7,1)</f>
        <v/>
      </c>
      <c r="MW7">
        <f>IF('calcA'!DJ$106=1,HI7,1)</f>
        <v/>
      </c>
      <c r="MX7">
        <f>IF('calcA'!DK$106=1,HJ7,1)</f>
        <v/>
      </c>
      <c r="MY7">
        <f>IF('calcA'!DL$106=1,HK7,1)</f>
        <v/>
      </c>
      <c r="MZ7">
        <f>IF('calcA'!DM$106=1,HL7,1)</f>
        <v/>
      </c>
      <c r="NA7">
        <f>IF('calcA'!DN$106=1,HM7,1)</f>
        <v/>
      </c>
      <c r="NB7">
        <f>IF('calcA'!DO$106=1,HN7,1)</f>
        <v/>
      </c>
      <c r="NC7">
        <f>IF('calcA'!DP$106=1,HO7,1)</f>
        <v/>
      </c>
      <c r="ND7">
        <f>IF('calcA'!DQ$106=1,HP7,1)</f>
        <v/>
      </c>
      <c r="NE7">
        <f>IF('calcA'!DR$106=1,HQ7,1)</f>
        <v/>
      </c>
      <c r="NF7">
        <f>IF('calcA'!DS$106=1,HR7,1)</f>
        <v/>
      </c>
      <c r="NG7">
        <f>IF('calcA'!DT$106=1,HS7,1)</f>
        <v/>
      </c>
      <c r="NH7">
        <f>IF('calcA'!DU$106=1,HT7,1)</f>
        <v/>
      </c>
      <c r="NI7">
        <f>IF('calcA'!DV$106=1,HU7,1)</f>
        <v/>
      </c>
      <c r="NJ7">
        <f>IF('calcA'!DW$106=1,HV7,1)</f>
        <v/>
      </c>
      <c r="NK7">
        <f>IF('calcA'!DX$106=1,HW7,1)</f>
        <v/>
      </c>
      <c r="NL7">
        <f>IF('calcA'!DY$106=1,HX7,1)</f>
        <v/>
      </c>
      <c r="NM7">
        <f>IF('calcA'!DZ$106=1,HY7,1)</f>
        <v/>
      </c>
      <c r="NN7">
        <f>IF('calcA'!EA$106=1,HZ7,1)</f>
        <v/>
      </c>
      <c r="NO7">
        <f>IF('calcA'!EB$106=1,IA7,1)</f>
        <v/>
      </c>
      <c r="NP7">
        <f>IF('calcA'!EC$106=1,IB7,1)</f>
        <v/>
      </c>
      <c r="NQ7">
        <f>IF('calcA'!ED$106=1,IC7,1)</f>
        <v/>
      </c>
      <c r="NR7">
        <f>IF('calcA'!EE$106=1,ID7,1)</f>
        <v/>
      </c>
      <c r="NS7">
        <f>IF('calcA'!EF$106=1,IE7,1)</f>
        <v/>
      </c>
      <c r="NT7">
        <f>IF('calcA'!EG$106=1,IF7,1)</f>
        <v/>
      </c>
      <c r="NU7">
        <f>IF('calcA'!EH$106=1,IG7,1)</f>
        <v/>
      </c>
      <c r="NV7">
        <f>IF('calcA'!EI$106=1,IH7,1)</f>
        <v/>
      </c>
      <c r="NW7">
        <f>IF('calcA'!EJ$106=1,II7,1)</f>
        <v/>
      </c>
      <c r="NX7">
        <f>IF('calcA'!EK$106=1,IJ7,1)</f>
        <v/>
      </c>
      <c r="NY7">
        <f>IF('calcA'!EL$106=1,IK7,1)</f>
        <v/>
      </c>
      <c r="NZ7">
        <f>IF('calcA'!EM$106=1,IL7,1)</f>
        <v/>
      </c>
      <c r="OA7">
        <f>IF('calcA'!EN$106=1,IM7,1)</f>
        <v/>
      </c>
      <c r="OB7">
        <f>IF('calcA'!EO$106=1,IN7,1)</f>
        <v/>
      </c>
      <c r="OC7">
        <f>IF('calcA'!EP$106=1,IO7,1)</f>
        <v/>
      </c>
      <c r="OD7" t="n">
        <v>1</v>
      </c>
      <c r="OF7">
        <f>IF($B7=0,1000000000,IF(INDEX('calcA'!$D$60:$EQ$99,$B7,1)*IF($W7=1,DB7+ZQ7,DB7)=1,IF(AND($E7=2,IF($W7=1,AFF7,IQ7)=0),1000000000,IF($V7=1,INDEX('calcA'!$D$130:$EQ$169,$B7,1)+IF(AND($E7=1,IQ7=0),25,0),INDEX('calcA'!D$110:D$114,$F7+1)+IF(AND($E7=1,IQ7=0),1000,0)+IF($H7=1,INDEX('calcA'!$D$180:$EQ$219,$B7,1)*500,0)-IF(AND($U7=1,'calcA'!D$117=1,DC7=0),300,0))),1000000000))</f>
        <v/>
      </c>
      <c r="OG7">
        <f>IF($B7=0,1000000000,IF(INDEX('calcA'!$D$60:$EQ$99,$B7,2)*IF($W7=1,DC7+ZR7,DC7)=1,IF(AND($E7=2,IF($W7=1,AFG7,IR7)=0),1000000000,IF($V7=1,INDEX('calcA'!$D$130:$EQ$169,$B7,2)+IF(AND($E7=1,IR7=0),25,0),INDEX('calcA'!E$110:E$114,$F7+1)+IF(AND($E7=1,IR7=0),1000,0)+IF($H7=1,INDEX('calcA'!$D$180:$EQ$219,$B7,2)*500,0)-IF(AND('calcA'!D$117=1,UB7&gt;0),300,0)-IF(AND($U7=1,'calcA'!E$117=1,DD7=0),300,0))),1000000000))</f>
        <v/>
      </c>
      <c r="OH7">
        <f>IF($B7=0,1000000000,IF(INDEX('calcA'!$D$60:$EQ$99,$B7,3)*IF($W7=1,DD7+ZS7,DD7)=1,IF(AND($E7=2,IF($W7=1,AFH7,IS7)=0),1000000000,IF($V7=1,INDEX('calcA'!$D$130:$EQ$169,$B7,3)+IF(AND($E7=1,IS7=0),25,0),INDEX('calcA'!F$110:F$114,$F7+1)+IF(AND($E7=1,IS7=0),1000,0)+IF($H7=1,INDEX('calcA'!$D$180:$EQ$219,$B7,3)*500,0)-IF(AND('calcA'!E$117=1,UC7&gt;0),300,0)-IF(AND($U7=1,'calcA'!F$117=1,DE7=0),300,0))),1000000000))</f>
        <v/>
      </c>
      <c r="OI7">
        <f>IF($B7=0,1000000000,IF(INDEX('calcA'!$D$60:$EQ$99,$B7,4)*IF($W7=1,DE7+ZT7,DE7)=1,IF(AND($E7=2,IF($W7=1,AFI7,IT7)=0),1000000000,IF($V7=1,INDEX('calcA'!$D$130:$EQ$169,$B7,4)+IF(AND($E7=1,IT7=0),25,0),INDEX('calcA'!G$110:G$114,$F7+1)+IF(AND($E7=1,IT7=0),1000,0)+IF($H7=1,INDEX('calcA'!$D$180:$EQ$219,$B7,4)*500,0)-IF(AND('calcA'!F$117=1,UD7&gt;0),300,0)-IF(AND($U7=1,'calcA'!G$117=1,DF7=0),300,0))),1000000000))</f>
        <v/>
      </c>
      <c r="OJ7">
        <f>IF($B7=0,1000000000,IF(INDEX('calcA'!$D$60:$EQ$99,$B7,5)*IF($W7=1,DF7+ZU7,DF7)=1,IF(AND($E7=2,IF($W7=1,AFJ7,IU7)=0),1000000000,IF($V7=1,INDEX('calcA'!$D$130:$EQ$169,$B7,5)+IF(AND($E7=1,IU7=0),25,0),INDEX('calcA'!H$110:H$114,$F7+1)+IF(AND($E7=1,IU7=0),1000,0)+IF($H7=1,INDEX('calcA'!$D$180:$EQ$219,$B7,5)*500,0)-IF(AND('calcA'!G$117=1,UE7&gt;0),300,0)-IF(AND($U7=1,'calcA'!H$117=1,DG7=0),300,0))),1000000000))</f>
        <v/>
      </c>
      <c r="OK7">
        <f>IF($B7=0,1000000000,IF(INDEX('calcA'!$D$60:$EQ$99,$B7,6)*IF($W7=1,DG7+ZV7,DG7)=1,IF(AND($E7=2,IF($W7=1,AFK7,IV7)=0),1000000000,IF($V7=1,INDEX('calcA'!$D$130:$EQ$169,$B7,6)+IF(AND($E7=1,IV7=0),25,0),INDEX('calcA'!I$110:I$114,$F7+1)+IF(AND($E7=1,IV7=0),1000,0)+IF($H7=1,INDEX('calcA'!$D$180:$EQ$219,$B7,6)*500,0)-IF(AND('calcA'!H$117=1,UF7&gt;0),300,0)-IF(AND($U7=1,'calcA'!I$117=1,DH7=0),300,0))),1000000000))</f>
        <v/>
      </c>
      <c r="OL7">
        <f>IF($B7=0,1000000000,IF(INDEX('calcA'!$D$60:$EQ$99,$B7,7)*IF($W7=1,DH7+ZW7,DH7)=1,IF(AND($E7=2,IF($W7=1,AFL7,IW7)=0),1000000000,IF($V7=1,INDEX('calcA'!$D$130:$EQ$169,$B7,7)+IF(AND($E7=1,IW7=0),25,0),INDEX('calcA'!J$110:J$114,$F7+1)+IF(AND($E7=1,IW7=0),1000,0)+IF($H7=1,INDEX('calcA'!$D$180:$EQ$219,$B7,7)*500,0)-IF(AND('calcA'!I$117=1,UG7&gt;0),300,0)-IF(AND($U7=1,'calcA'!J$117=1,DI7=0),300,0))),1000000000))</f>
        <v/>
      </c>
      <c r="OM7">
        <f>IF($B7=0,1000000000,IF(INDEX('calcA'!$D$60:$EQ$99,$B7,8)*IF($W7=1,DI7+ZX7,DI7)=1,IF(AND($E7=2,IF($W7=1,AFM7,IX7)=0),1000000000,IF($V7=1,INDEX('calcA'!$D$130:$EQ$169,$B7,8)+IF(AND($E7=1,IX7=0),25,0),INDEX('calcA'!K$110:K$114,$F7+1)+IF(AND($E7=1,IX7=0),1000,0)+IF($H7=1,INDEX('calcA'!$D$180:$EQ$219,$B7,8)*500,0)-IF(AND('calcA'!J$117=1,UH7&gt;0),300,0)-IF(AND($U7=1,'calcA'!K$117=1,DJ7=0),300,0))),1000000000))</f>
        <v/>
      </c>
      <c r="ON7">
        <f>IF($B7=0,1000000000,IF(INDEX('calcA'!$D$60:$EQ$99,$B7,9)*IF($W7=1,DJ7+ZY7,DJ7)=1,IF(AND($E7=2,IF($W7=1,AFN7,IY7)=0),1000000000,IF($V7=1,INDEX('calcA'!$D$130:$EQ$169,$B7,9)+IF(AND($E7=1,IY7=0),25,0),INDEX('calcA'!L$110:L$114,$F7+1)+IF(AND($E7=1,IY7=0),1000,0)+IF($H7=1,INDEX('calcA'!$D$180:$EQ$219,$B7,9)*500,0)-IF(AND('calcA'!K$117=1,UI7&gt;0),300,0)-IF(AND($U7=1,'calcA'!L$117=1,DK7=0),300,0))),1000000000))</f>
        <v/>
      </c>
      <c r="OO7">
        <f>IF($B7=0,1000000000,IF(INDEX('calcA'!$D$60:$EQ$99,$B7,10)*IF($W7=1,DK7+ZZ7,DK7)=1,IF(AND($E7=2,IF($W7=1,AFO7,IZ7)=0),1000000000,IF($V7=1,INDEX('calcA'!$D$130:$EQ$169,$B7,10)+IF(AND($E7=1,IZ7=0),25,0),INDEX('calcA'!M$110:M$114,$F7+1)+IF(AND($E7=1,IZ7=0),1000,0)+IF($H7=1,INDEX('calcA'!$D$180:$EQ$219,$B7,10)*500,0)-IF(AND('calcA'!L$117=1,UJ7&gt;0),300,0)-IF(AND($U7=1,'calcA'!M$117=1,DL7=0),300,0))),1000000000))</f>
        <v/>
      </c>
      <c r="OP7">
        <f>IF($B7=0,1000000000,IF(INDEX('calcA'!$D$60:$EQ$99,$B7,11)*IF($W7=1,DL7+AAA7,DL7)=1,IF(AND($E7=2,IF($W7=1,AFP7,JA7)=0),1000000000,IF($V7=1,INDEX('calcA'!$D$130:$EQ$169,$B7,11)+IF(AND($E7=1,JA7=0),25,0),INDEX('calcA'!N$110:N$114,$F7+1)+IF(AND($E7=1,JA7=0),1000,0)+IF($H7=1,INDEX('calcA'!$D$180:$EQ$219,$B7,11)*500,0)-IF(AND('calcA'!M$117=1,UK7&gt;0),300,0)-IF(AND($U7=1,'calcA'!N$117=1,DM7=0),300,0))),1000000000))</f>
        <v/>
      </c>
      <c r="OQ7">
        <f>IF($B7=0,1000000000,IF(INDEX('calcA'!$D$60:$EQ$99,$B7,12)*IF($W7=1,DM7+AAB7,DM7)=1,IF(AND($E7=2,IF($W7=1,AFQ7,JB7)=0),1000000000,IF($V7=1,INDEX('calcA'!$D$130:$EQ$169,$B7,12)+IF(AND($E7=1,JB7=0),25,0),INDEX('calcA'!O$110:O$114,$F7+1)+IF(AND($E7=1,JB7=0),1000,0)+IF($H7=1,INDEX('calcA'!$D$180:$EQ$219,$B7,12)*500,0)-IF(AND('calcA'!N$117=1,UL7&gt;0),300,0)-IF(AND($U7=1,'calcA'!O$117=1,DN7=0),300,0))),1000000000))</f>
        <v/>
      </c>
      <c r="OR7">
        <f>IF($B7=0,1000000000,IF(INDEX('calcA'!$D$60:$EQ$99,$B7,13)*IF($W7=1,DN7+AAC7,DN7)=1,IF(AND($E7=2,IF($W7=1,AFR7,JC7)=0),1000000000,IF($V7=1,INDEX('calcA'!$D$130:$EQ$169,$B7,13)+IF(AND($E7=1,JC7=0),25,0),INDEX('calcA'!P$110:P$114,$F7+1)+IF(AND($E7=1,JC7=0),1000,0)+IF($H7=1,INDEX('calcA'!$D$180:$EQ$219,$B7,13)*500,0)-IF(AND('calcA'!O$117=1,UM7&gt;0),300,0)-IF(AND($U7=1,'calcA'!P$117=1,DO7=0),300,0))),1000000000))</f>
        <v/>
      </c>
      <c r="OS7">
        <f>IF($B7=0,1000000000,IF(INDEX('calcA'!$D$60:$EQ$99,$B7,14)*IF($W7=1,DO7+AAD7,DO7)=1,IF(AND($E7=2,IF($W7=1,AFS7,JD7)=0),1000000000,IF($V7=1,INDEX('calcA'!$D$130:$EQ$169,$B7,14)+IF(AND($E7=1,JD7=0),25,0),INDEX('calcA'!Q$110:Q$114,$F7+1)+IF(AND($E7=1,JD7=0),1000,0)+IF($H7=1,INDEX('calcA'!$D$180:$EQ$219,$B7,14)*500,0)-IF(AND('calcA'!P$117=1,UN7&gt;0),300,0)-IF(AND($U7=1,'calcA'!Q$117=1,DP7=0),300,0))),1000000000))</f>
        <v/>
      </c>
      <c r="OT7">
        <f>IF($B7=0,1000000000,IF(INDEX('calcA'!$D$60:$EQ$99,$B7,15)*IF($W7=1,DP7+AAE7,DP7)=1,IF(AND($E7=2,IF($W7=1,AFT7,JE7)=0),1000000000,IF($V7=1,INDEX('calcA'!$D$130:$EQ$169,$B7,15)+IF(AND($E7=1,JE7=0),25,0),INDEX('calcA'!R$110:R$114,$F7+1)+IF(AND($E7=1,JE7=0),1000,0)+IF($H7=1,INDEX('calcA'!$D$180:$EQ$219,$B7,15)*500,0)-IF(AND('calcA'!Q$117=1,UO7&gt;0),300,0)-IF(AND($U7=1,'calcA'!R$117=1,DQ7=0),300,0))),1000000000))</f>
        <v/>
      </c>
      <c r="OU7">
        <f>IF($B7=0,1000000000,IF(INDEX('calcA'!$D$60:$EQ$99,$B7,16)*IF($W7=1,DQ7+AAF7,DQ7)=1,IF(AND($E7=2,IF($W7=1,AFU7,JF7)=0),1000000000,IF($V7=1,INDEX('calcA'!$D$130:$EQ$169,$B7,16)+IF(AND($E7=1,JF7=0),25,0),INDEX('calcA'!S$110:S$114,$F7+1)+IF(AND($E7=1,JF7=0),1000,0)+IF($H7=1,INDEX('calcA'!$D$180:$EQ$219,$B7,16)*500,0)-IF(AND('calcA'!R$117=1,UP7&gt;0),300,0)-IF(AND($U7=1,'calcA'!S$117=1,DR7=0),300,0))),1000000000))</f>
        <v/>
      </c>
      <c r="OV7">
        <f>IF($B7=0,1000000000,IF(INDEX('calcA'!$D$60:$EQ$99,$B7,17)*IF($W7=1,DR7+AAG7,DR7)=1,IF(AND($E7=2,IF($W7=1,AFV7,JG7)=0),1000000000,IF($V7=1,INDEX('calcA'!$D$130:$EQ$169,$B7,17)+IF(AND($E7=1,JG7=0),25,0),INDEX('calcA'!T$110:T$114,$F7+1)+IF(AND($E7=1,JG7=0),1000,0)+IF($H7=1,INDEX('calcA'!$D$180:$EQ$219,$B7,17)*500,0)-IF(AND('calcA'!S$117=1,UQ7&gt;0),300,0)-IF(AND($U7=1,'calcA'!T$117=1,DS7=0),300,0))),1000000000))</f>
        <v/>
      </c>
      <c r="OW7">
        <f>IF($B7=0,1000000000,IF(INDEX('calcA'!$D$60:$EQ$99,$B7,18)*IF($W7=1,DS7+AAH7,DS7)=1,IF(AND($E7=2,IF($W7=1,AFW7,JH7)=0),1000000000,IF($V7=1,INDEX('calcA'!$D$130:$EQ$169,$B7,18)+IF(AND($E7=1,JH7=0),25,0),INDEX('calcA'!U$110:U$114,$F7+1)+IF(AND($E7=1,JH7=0),1000,0)+IF($H7=1,INDEX('calcA'!$D$180:$EQ$219,$B7,18)*500,0)-IF(AND('calcA'!T$117=1,UR7&gt;0),300,0)-IF(AND($U7=1,'calcA'!U$117=1,DT7=0),300,0))),1000000000))</f>
        <v/>
      </c>
      <c r="OX7">
        <f>IF($B7=0,1000000000,IF(INDEX('calcA'!$D$60:$EQ$99,$B7,19)*IF($W7=1,DT7+AAI7,DT7)=1,IF(AND($E7=2,IF($W7=1,AFX7,JI7)=0),1000000000,IF($V7=1,INDEX('calcA'!$D$130:$EQ$169,$B7,19)+IF(AND($E7=1,JI7=0),25,0),INDEX('calcA'!V$110:V$114,$F7+1)+IF(AND($E7=1,JI7=0),1000,0)+IF($H7=1,INDEX('calcA'!$D$180:$EQ$219,$B7,19)*500,0)-IF(AND('calcA'!U$117=1,US7&gt;0),300,0)-IF(AND($U7=1,'calcA'!V$117=1,DU7=0),300,0))),1000000000))</f>
        <v/>
      </c>
      <c r="OY7">
        <f>IF($B7=0,1000000000,IF(INDEX('calcA'!$D$60:$EQ$99,$B7,20)*IF($W7=1,DU7+AAJ7,DU7)=1,IF(AND($E7=2,IF($W7=1,AFY7,JJ7)=0),1000000000,IF($V7=1,INDEX('calcA'!$D$130:$EQ$169,$B7,20)+IF(AND($E7=1,JJ7=0),25,0),INDEX('calcA'!W$110:W$114,$F7+1)+IF(AND($E7=1,JJ7=0),1000,0)+IF($H7=1,INDEX('calcA'!$D$180:$EQ$219,$B7,20)*500,0)-IF(AND('calcA'!V$117=1,UT7&gt;0),300,0)-IF(AND($U7=1,'calcA'!W$117=1,DV7=0),300,0))),1000000000))</f>
        <v/>
      </c>
      <c r="OZ7">
        <f>IF($B7=0,1000000000,IF(INDEX('calcA'!$D$60:$EQ$99,$B7,21)*IF($W7=1,DV7+AAK7,DV7)=1,IF(AND($E7=2,IF($W7=1,AFZ7,JK7)=0),1000000000,IF($V7=1,INDEX('calcA'!$D$130:$EQ$169,$B7,21)+IF(AND($E7=1,JK7=0),25,0),INDEX('calcA'!X$110:X$114,$F7+1)+IF(AND($E7=1,JK7=0),1000,0)+IF($H7=1,INDEX('calcA'!$D$180:$EQ$219,$B7,21)*500,0)-IF(AND('calcA'!W$117=1,UU7&gt;0),300,0)-IF(AND($U7=1,'calcA'!X$117=1,DW7=0),300,0))),1000000000))</f>
        <v/>
      </c>
      <c r="PA7">
        <f>IF($B7=0,1000000000,IF(INDEX('calcA'!$D$60:$EQ$99,$B7,22)*IF($W7=1,DW7+AAL7,DW7)=1,IF(AND($E7=2,IF($W7=1,AGA7,JL7)=0),1000000000,IF($V7=1,INDEX('calcA'!$D$130:$EQ$169,$B7,22)+IF(AND($E7=1,JL7=0),25,0),INDEX('calcA'!Y$110:Y$114,$F7+1)+IF(AND($E7=1,JL7=0),1000,0)+IF($H7=1,INDEX('calcA'!$D$180:$EQ$219,$B7,22)*500,0)-IF(AND('calcA'!X$117=1,UV7&gt;0),300,0)-IF(AND($U7=1,'calcA'!Y$117=1,DX7=0),300,0))),1000000000))</f>
        <v/>
      </c>
      <c r="PB7">
        <f>IF($B7=0,1000000000,IF(INDEX('calcA'!$D$60:$EQ$99,$B7,23)*IF($W7=1,DX7+AAM7,DX7)=1,IF(AND($E7=2,IF($W7=1,AGB7,JM7)=0),1000000000,IF($V7=1,INDEX('calcA'!$D$130:$EQ$169,$B7,23)+IF(AND($E7=1,JM7=0),25,0),INDEX('calcA'!Z$110:Z$114,$F7+1)+IF(AND($E7=1,JM7=0),1000,0)+IF($H7=1,INDEX('calcA'!$D$180:$EQ$219,$B7,23)*500,0)-IF(AND('calcA'!Y$117=1,UW7&gt;0),300,0)-IF(AND($U7=1,'calcA'!Z$117=1,DY7=0),300,0))),1000000000))</f>
        <v/>
      </c>
      <c r="PC7">
        <f>IF($B7=0,1000000000,IF(INDEX('calcA'!$D$60:$EQ$99,$B7,24)*IF($W7=1,DY7+AAN7,DY7)=1,IF(AND($E7=2,IF($W7=1,AGC7,JN7)=0),1000000000,IF($V7=1,INDEX('calcA'!$D$130:$EQ$169,$B7,24)+IF(AND($E7=1,JN7=0),25,0),INDEX('calcA'!AA$110:AA$114,$F7+1)+IF(AND($E7=1,JN7=0),1000,0)+IF($H7=1,INDEX('calcA'!$D$180:$EQ$219,$B7,24)*500,0)-IF(AND('calcA'!Z$117=1,UX7&gt;0),300,0))),1000000000))</f>
        <v/>
      </c>
      <c r="PD7">
        <f>IF($B7=0,1000000000,IF(INDEX('calcA'!$D$60:$EQ$99,$B7,25)*IF($W7=1,DZ7+AAO7,DZ7)=1,IF(AND($E7=2,IF($W7=1,AGD7,JO7)=0),1000000000,IF($V7=1,INDEX('calcA'!$D$130:$EQ$169,$B7,25)+IF(AND($E7=1,JO7=0),25,0),INDEX('calcA'!AB$110:AB$114,$F7+1)+IF(AND($E7=1,JO7=0),1000,0)+IF($H7=1,INDEX('calcA'!$D$180:$EQ$219,$B7,25)*500,0)-IF(AND($U7=1,'calcA'!AB$117=1,EA7=0),300,0))),1000000000))</f>
        <v/>
      </c>
      <c r="PE7">
        <f>IF($B7=0,1000000000,IF(INDEX('calcA'!$D$60:$EQ$99,$B7,26)*IF($W7=1,EA7+AAP7,EA7)=1,IF(AND($E7=2,IF($W7=1,AGE7,JP7)=0),1000000000,IF($V7=1,INDEX('calcA'!$D$130:$EQ$169,$B7,26)+IF(AND($E7=1,JP7=0),25,0),INDEX('calcA'!AC$110:AC$114,$F7+1)+IF(AND($E7=1,JP7=0),1000,0)+IF($H7=1,INDEX('calcA'!$D$180:$EQ$219,$B7,26)*500,0)-IF(AND('calcA'!AB$117=1,UZ7&gt;0),300,0)-IF(AND($U7=1,'calcA'!AC$117=1,EB7=0),300,0))),1000000000))</f>
        <v/>
      </c>
      <c r="PF7">
        <f>IF($B7=0,1000000000,IF(INDEX('calcA'!$D$60:$EQ$99,$B7,27)*IF($W7=1,EB7+AAQ7,EB7)=1,IF(AND($E7=2,IF($W7=1,AGF7,JQ7)=0),1000000000,IF($V7=1,INDEX('calcA'!$D$130:$EQ$169,$B7,27)+IF(AND($E7=1,JQ7=0),25,0),INDEX('calcA'!AD$110:AD$114,$F7+1)+IF(AND($E7=1,JQ7=0),1000,0)+IF($H7=1,INDEX('calcA'!$D$180:$EQ$219,$B7,27)*500,0)-IF(AND('calcA'!AC$117=1,VA7&gt;0),300,0)-IF(AND($U7=1,'calcA'!AD$117=1,EC7=0),300,0))),1000000000))</f>
        <v/>
      </c>
      <c r="PG7">
        <f>IF($B7=0,1000000000,IF(INDEX('calcA'!$D$60:$EQ$99,$B7,28)*IF($W7=1,EC7+AAR7,EC7)=1,IF(AND($E7=2,IF($W7=1,AGG7,JR7)=0),1000000000,IF($V7=1,INDEX('calcA'!$D$130:$EQ$169,$B7,28)+IF(AND($E7=1,JR7=0),25,0),INDEX('calcA'!AE$110:AE$114,$F7+1)+IF(AND($E7=1,JR7=0),1000,0)+IF($H7=1,INDEX('calcA'!$D$180:$EQ$219,$B7,28)*500,0)-IF(AND('calcA'!AD$117=1,VB7&gt;0),300,0)-IF(AND($U7=1,'calcA'!AE$117=1,ED7=0),300,0))),1000000000))</f>
        <v/>
      </c>
      <c r="PH7">
        <f>IF($B7=0,1000000000,IF(INDEX('calcA'!$D$60:$EQ$99,$B7,29)*IF($W7=1,ED7+AAS7,ED7)=1,IF(AND($E7=2,IF($W7=1,AGH7,JS7)=0),1000000000,IF($V7=1,INDEX('calcA'!$D$130:$EQ$169,$B7,29)+IF(AND($E7=1,JS7=0),25,0),INDEX('calcA'!AF$110:AF$114,$F7+1)+IF(AND($E7=1,JS7=0),1000,0)+IF($H7=1,INDEX('calcA'!$D$180:$EQ$219,$B7,29)*500,0)-IF(AND('calcA'!AE$117=1,VC7&gt;0),300,0)-IF(AND($U7=1,'calcA'!AF$117=1,EE7=0),300,0))),1000000000))</f>
        <v/>
      </c>
      <c r="PI7">
        <f>IF($B7=0,1000000000,IF(INDEX('calcA'!$D$60:$EQ$99,$B7,30)*IF($W7=1,EE7+AAT7,EE7)=1,IF(AND($E7=2,IF($W7=1,AGI7,JT7)=0),1000000000,IF($V7=1,INDEX('calcA'!$D$130:$EQ$169,$B7,30)+IF(AND($E7=1,JT7=0),25,0),INDEX('calcA'!AG$110:AG$114,$F7+1)+IF(AND($E7=1,JT7=0),1000,0)+IF($H7=1,INDEX('calcA'!$D$180:$EQ$219,$B7,30)*500,0)-IF(AND('calcA'!AF$117=1,VD7&gt;0),300,0)-IF(AND($U7=1,'calcA'!AG$117=1,EF7=0),300,0))),1000000000))</f>
        <v/>
      </c>
      <c r="PJ7">
        <f>IF($B7=0,1000000000,IF(INDEX('calcA'!$D$60:$EQ$99,$B7,31)*IF($W7=1,EF7+AAU7,EF7)=1,IF(AND($E7=2,IF($W7=1,AGJ7,JU7)=0),1000000000,IF($V7=1,INDEX('calcA'!$D$130:$EQ$169,$B7,31)+IF(AND($E7=1,JU7=0),25,0),INDEX('calcA'!AH$110:AH$114,$F7+1)+IF(AND($E7=1,JU7=0),1000,0)+IF($H7=1,INDEX('calcA'!$D$180:$EQ$219,$B7,31)*500,0)-IF(AND('calcA'!AG$117=1,VE7&gt;0),300,0)-IF(AND($U7=1,'calcA'!AH$117=1,EG7=0),300,0))),1000000000))</f>
        <v/>
      </c>
      <c r="PK7">
        <f>IF($B7=0,1000000000,IF(INDEX('calcA'!$D$60:$EQ$99,$B7,32)*IF($W7=1,EG7+AAV7,EG7)=1,IF(AND($E7=2,IF($W7=1,AGK7,JV7)=0),1000000000,IF($V7=1,INDEX('calcA'!$D$130:$EQ$169,$B7,32)+IF(AND($E7=1,JV7=0),25,0),INDEX('calcA'!AI$110:AI$114,$F7+1)+IF(AND($E7=1,JV7=0),1000,0)+IF($H7=1,INDEX('calcA'!$D$180:$EQ$219,$B7,32)*500,0)-IF(AND('calcA'!AH$117=1,VF7&gt;0),300,0)-IF(AND($U7=1,'calcA'!AI$117=1,EH7=0),300,0))),1000000000))</f>
        <v/>
      </c>
      <c r="PL7">
        <f>IF($B7=0,1000000000,IF(INDEX('calcA'!$D$60:$EQ$99,$B7,33)*IF($W7=1,EH7+AAW7,EH7)=1,IF(AND($E7=2,IF($W7=1,AGL7,JW7)=0),1000000000,IF($V7=1,INDEX('calcA'!$D$130:$EQ$169,$B7,33)+IF(AND($E7=1,JW7=0),25,0),INDEX('calcA'!AJ$110:AJ$114,$F7+1)+IF(AND($E7=1,JW7=0),1000,0)+IF($H7=1,INDEX('calcA'!$D$180:$EQ$219,$B7,33)*500,0)-IF(AND('calcA'!AI$117=1,VG7&gt;0),300,0)-IF(AND($U7=1,'calcA'!AJ$117=1,EI7=0),300,0))),1000000000))</f>
        <v/>
      </c>
      <c r="PM7">
        <f>IF($B7=0,1000000000,IF(INDEX('calcA'!$D$60:$EQ$99,$B7,34)*IF($W7=1,EI7+AAX7,EI7)=1,IF(AND($E7=2,IF($W7=1,AGM7,JX7)=0),1000000000,IF($V7=1,INDEX('calcA'!$D$130:$EQ$169,$B7,34)+IF(AND($E7=1,JX7=0),25,0),INDEX('calcA'!AK$110:AK$114,$F7+1)+IF(AND($E7=1,JX7=0),1000,0)+IF($H7=1,INDEX('calcA'!$D$180:$EQ$219,$B7,34)*500,0)-IF(AND('calcA'!AJ$117=1,VH7&gt;0),300,0)-IF(AND($U7=1,'calcA'!AK$117=1,EJ7=0),300,0))),1000000000))</f>
        <v/>
      </c>
      <c r="PN7">
        <f>IF($B7=0,1000000000,IF(INDEX('calcA'!$D$60:$EQ$99,$B7,35)*IF($W7=1,EJ7+AAY7,EJ7)=1,IF(AND($E7=2,IF($W7=1,AGN7,JY7)=0),1000000000,IF($V7=1,INDEX('calcA'!$D$130:$EQ$169,$B7,35)+IF(AND($E7=1,JY7=0),25,0),INDEX('calcA'!AL$110:AL$114,$F7+1)+IF(AND($E7=1,JY7=0),1000,0)+IF($H7=1,INDEX('calcA'!$D$180:$EQ$219,$B7,35)*500,0)-IF(AND('calcA'!AK$117=1,VI7&gt;0),300,0)-IF(AND($U7=1,'calcA'!AL$117=1,EK7=0),300,0))),1000000000))</f>
        <v/>
      </c>
      <c r="PO7">
        <f>IF($B7=0,1000000000,IF(INDEX('calcA'!$D$60:$EQ$99,$B7,36)*IF($W7=1,EK7+AAZ7,EK7)=1,IF(AND($E7=2,IF($W7=1,AGO7,JZ7)=0),1000000000,IF($V7=1,INDEX('calcA'!$D$130:$EQ$169,$B7,36)+IF(AND($E7=1,JZ7=0),25,0),INDEX('calcA'!AM$110:AM$114,$F7+1)+IF(AND($E7=1,JZ7=0),1000,0)+IF($H7=1,INDEX('calcA'!$D$180:$EQ$219,$B7,36)*500,0)-IF(AND('calcA'!AL$117=1,VJ7&gt;0),300,0)-IF(AND($U7=1,'calcA'!AM$117=1,EL7=0),300,0))),1000000000))</f>
        <v/>
      </c>
      <c r="PP7">
        <f>IF($B7=0,1000000000,IF(INDEX('calcA'!$D$60:$EQ$99,$B7,37)*IF($W7=1,EL7+ABA7,EL7)=1,IF(AND($E7=2,IF($W7=1,AGP7,KA7)=0),1000000000,IF($V7=1,INDEX('calcA'!$D$130:$EQ$169,$B7,37)+IF(AND($E7=1,KA7=0),25,0),INDEX('calcA'!AN$110:AN$114,$F7+1)+IF(AND($E7=1,KA7=0),1000,0)+IF($H7=1,INDEX('calcA'!$D$180:$EQ$219,$B7,37)*500,0)-IF(AND('calcA'!AM$117=1,VK7&gt;0),300,0)-IF(AND($U7=1,'calcA'!AN$117=1,EM7=0),300,0))),1000000000))</f>
        <v/>
      </c>
      <c r="PQ7">
        <f>IF($B7=0,1000000000,IF(INDEX('calcA'!$D$60:$EQ$99,$B7,38)*IF($W7=1,EM7+ABB7,EM7)=1,IF(AND($E7=2,IF($W7=1,AGQ7,KB7)=0),1000000000,IF($V7=1,INDEX('calcA'!$D$130:$EQ$169,$B7,38)+IF(AND($E7=1,KB7=0),25,0),INDEX('calcA'!AO$110:AO$114,$F7+1)+IF(AND($E7=1,KB7=0),1000,0)+IF($H7=1,INDEX('calcA'!$D$180:$EQ$219,$B7,38)*500,0)-IF(AND('calcA'!AN$117=1,VL7&gt;0),300,0)-IF(AND($U7=1,'calcA'!AO$117=1,EN7=0),300,0))),1000000000))</f>
        <v/>
      </c>
      <c r="PR7">
        <f>IF($B7=0,1000000000,IF(INDEX('calcA'!$D$60:$EQ$99,$B7,39)*IF($W7=1,EN7+ABC7,EN7)=1,IF(AND($E7=2,IF($W7=1,AGR7,KC7)=0),1000000000,IF($V7=1,INDEX('calcA'!$D$130:$EQ$169,$B7,39)+IF(AND($E7=1,KC7=0),25,0),INDEX('calcA'!AP$110:AP$114,$F7+1)+IF(AND($E7=1,KC7=0),1000,0)+IF($H7=1,INDEX('calcA'!$D$180:$EQ$219,$B7,39)*500,0)-IF(AND('calcA'!AO$117=1,VM7&gt;0),300,0)-IF(AND($U7=1,'calcA'!AP$117=1,EO7=0),300,0))),1000000000))</f>
        <v/>
      </c>
      <c r="PS7">
        <f>IF($B7=0,1000000000,IF(INDEX('calcA'!$D$60:$EQ$99,$B7,40)*IF($W7=1,EO7+ABD7,EO7)=1,IF(AND($E7=2,IF($W7=1,AGS7,KD7)=0),1000000000,IF($V7=1,INDEX('calcA'!$D$130:$EQ$169,$B7,40)+IF(AND($E7=1,KD7=0),25,0),INDEX('calcA'!AQ$110:AQ$114,$F7+1)+IF(AND($E7=1,KD7=0),1000,0)+IF($H7=1,INDEX('calcA'!$D$180:$EQ$219,$B7,40)*500,0)-IF(AND('calcA'!AP$117=1,VN7&gt;0),300,0)-IF(AND($U7=1,'calcA'!AQ$117=1,EP7=0),300,0))),1000000000))</f>
        <v/>
      </c>
      <c r="PT7">
        <f>IF($B7=0,1000000000,IF(INDEX('calcA'!$D$60:$EQ$99,$B7,41)*IF($W7=1,EP7+ABE7,EP7)=1,IF(AND($E7=2,IF($W7=1,AGT7,KE7)=0),1000000000,IF($V7=1,INDEX('calcA'!$D$130:$EQ$169,$B7,41)+IF(AND($E7=1,KE7=0),25,0),INDEX('calcA'!AR$110:AR$114,$F7+1)+IF(AND($E7=1,KE7=0),1000,0)+IF($H7=1,INDEX('calcA'!$D$180:$EQ$219,$B7,41)*500,0)-IF(AND('calcA'!AQ$117=1,VO7&gt;0),300,0)-IF(AND($U7=1,'calcA'!AR$117=1,EQ7=0),300,0))),1000000000))</f>
        <v/>
      </c>
      <c r="PU7">
        <f>IF($B7=0,1000000000,IF(INDEX('calcA'!$D$60:$EQ$99,$B7,42)*IF($W7=1,EQ7+ABF7,EQ7)=1,IF(AND($E7=2,IF($W7=1,AGU7,KF7)=0),1000000000,IF($V7=1,INDEX('calcA'!$D$130:$EQ$169,$B7,42)+IF(AND($E7=1,KF7=0),25,0),INDEX('calcA'!AS$110:AS$114,$F7+1)+IF(AND($E7=1,KF7=0),1000,0)+IF($H7=1,INDEX('calcA'!$D$180:$EQ$219,$B7,42)*500,0)-IF(AND('calcA'!AR$117=1,VP7&gt;0),300,0)-IF(AND($U7=1,'calcA'!AS$117=1,ER7=0),300,0))),1000000000))</f>
        <v/>
      </c>
      <c r="PV7">
        <f>IF($B7=0,1000000000,IF(INDEX('calcA'!$D$60:$EQ$99,$B7,43)*IF($W7=1,ER7+ABG7,ER7)=1,IF(AND($E7=2,IF($W7=1,AGV7,KG7)=0),1000000000,IF($V7=1,INDEX('calcA'!$D$130:$EQ$169,$B7,43)+IF(AND($E7=1,KG7=0),25,0),INDEX('calcA'!AT$110:AT$114,$F7+1)+IF(AND($E7=1,KG7=0),1000,0)+IF($H7=1,INDEX('calcA'!$D$180:$EQ$219,$B7,43)*500,0)-IF(AND('calcA'!AS$117=1,VQ7&gt;0),300,0)-IF(AND($U7=1,'calcA'!AT$117=1,ES7=0),300,0))),1000000000))</f>
        <v/>
      </c>
      <c r="PW7">
        <f>IF($B7=0,1000000000,IF(INDEX('calcA'!$D$60:$EQ$99,$B7,44)*IF($W7=1,ES7+ABH7,ES7)=1,IF(AND($E7=2,IF($W7=1,AGW7,KH7)=0),1000000000,IF($V7=1,INDEX('calcA'!$D$130:$EQ$169,$B7,44)+IF(AND($E7=1,KH7=0),25,0),INDEX('calcA'!AU$110:AU$114,$F7+1)+IF(AND($E7=1,KH7=0),1000,0)+IF($H7=1,INDEX('calcA'!$D$180:$EQ$219,$B7,44)*500,0)-IF(AND('calcA'!AT$117=1,VR7&gt;0),300,0)-IF(AND($U7=1,'calcA'!AU$117=1,ET7=0),300,0))),1000000000))</f>
        <v/>
      </c>
      <c r="PX7">
        <f>IF($B7=0,1000000000,IF(INDEX('calcA'!$D$60:$EQ$99,$B7,45)*IF($W7=1,ET7+ABI7,ET7)=1,IF(AND($E7=2,IF($W7=1,AGX7,KI7)=0),1000000000,IF($V7=1,INDEX('calcA'!$D$130:$EQ$169,$B7,45)+IF(AND($E7=1,KI7=0),25,0),INDEX('calcA'!AV$110:AV$114,$F7+1)+IF(AND($E7=1,KI7=0),1000,0)+IF($H7=1,INDEX('calcA'!$D$180:$EQ$219,$B7,45)*500,0)-IF(AND('calcA'!AU$117=1,VS7&gt;0),300,0)-IF(AND($U7=1,'calcA'!AV$117=1,EU7=0),300,0))),1000000000))</f>
        <v/>
      </c>
      <c r="PY7">
        <f>IF($B7=0,1000000000,IF(INDEX('calcA'!$D$60:$EQ$99,$B7,46)*IF($W7=1,EU7+ABJ7,EU7)=1,IF(AND($E7=2,IF($W7=1,AGY7,KJ7)=0),1000000000,IF($V7=1,INDEX('calcA'!$D$130:$EQ$169,$B7,46)+IF(AND($E7=1,KJ7=0),25,0),INDEX('calcA'!AW$110:AW$114,$F7+1)+IF(AND($E7=1,KJ7=0),1000,0)+IF($H7=1,INDEX('calcA'!$D$180:$EQ$219,$B7,46)*500,0)-IF(AND('calcA'!AV$117=1,VT7&gt;0),300,0)-IF(AND($U7=1,'calcA'!AW$117=1,EV7=0),300,0))),1000000000))</f>
        <v/>
      </c>
      <c r="PZ7">
        <f>IF($B7=0,1000000000,IF(INDEX('calcA'!$D$60:$EQ$99,$B7,47)*IF($W7=1,EV7+ABK7,EV7)=1,IF(AND($E7=2,IF($W7=1,AGZ7,KK7)=0),1000000000,IF($V7=1,INDEX('calcA'!$D$130:$EQ$169,$B7,47)+IF(AND($E7=1,KK7=0),25,0),INDEX('calcA'!AX$110:AX$114,$F7+1)+IF(AND($E7=1,KK7=0),1000,0)+IF($H7=1,INDEX('calcA'!$D$180:$EQ$219,$B7,47)*500,0)-IF(AND('calcA'!AW$117=1,VU7&gt;0),300,0)-IF(AND($U7=1,'calcA'!AX$117=1,EW7=0),300,0))),1000000000))</f>
        <v/>
      </c>
      <c r="QA7">
        <f>IF($B7=0,1000000000,IF(INDEX('calcA'!$D$60:$EQ$99,$B7,48)*IF($W7=1,EW7+ABL7,EW7)=1,IF(AND($E7=2,IF($W7=1,AHA7,KL7)=0),1000000000,IF($V7=1,INDEX('calcA'!$D$130:$EQ$169,$B7,48)+IF(AND($E7=1,KL7=0),25,0),INDEX('calcA'!AY$110:AY$114,$F7+1)+IF(AND($E7=1,KL7=0),1000,0)+IF($H7=1,INDEX('calcA'!$D$180:$EQ$219,$B7,48)*500,0)-IF(AND('calcA'!AX$117=1,VV7&gt;0),300,0))),1000000000))</f>
        <v/>
      </c>
      <c r="QB7">
        <f>IF($B7=0,1000000000,IF(INDEX('calcA'!$D$60:$EQ$99,$B7,49)*IF($W7=1,EX7+ABM7,EX7)=1,IF(AND($E7=2,IF($W7=1,AHB7,KM7)=0),1000000000,IF($V7=1,INDEX('calcA'!$D$130:$EQ$169,$B7,49)+IF(AND($E7=1,KM7=0),25,0),INDEX('calcA'!AZ$110:AZ$114,$F7+1)+IF(AND($E7=1,KM7=0),1000,0)+IF($H7=1,INDEX('calcA'!$D$180:$EQ$219,$B7,49)*500,0)-IF(AND($U7=1,'calcA'!AZ$117=1,EY7=0),300,0))),1000000000))</f>
        <v/>
      </c>
      <c r="QC7">
        <f>IF($B7=0,1000000000,IF(INDEX('calcA'!$D$60:$EQ$99,$B7,50)*IF($W7=1,EY7+ABN7,EY7)=1,IF(AND($E7=2,IF($W7=1,AHC7,KN7)=0),1000000000,IF($V7=1,INDEX('calcA'!$D$130:$EQ$169,$B7,50)+IF(AND($E7=1,KN7=0),25,0),INDEX('calcA'!BA$110:BA$114,$F7+1)+IF(AND($E7=1,KN7=0),1000,0)+IF($H7=1,INDEX('calcA'!$D$180:$EQ$219,$B7,50)*500,0)-IF(AND('calcA'!AZ$117=1,VX7&gt;0),300,0)-IF(AND($U7=1,'calcA'!BA$117=1,EZ7=0),300,0))),1000000000))</f>
        <v/>
      </c>
      <c r="QD7">
        <f>IF($B7=0,1000000000,IF(INDEX('calcA'!$D$60:$EQ$99,$B7,51)*IF($W7=1,EZ7+ABO7,EZ7)=1,IF(AND($E7=2,IF($W7=1,AHD7,KO7)=0),1000000000,IF($V7=1,INDEX('calcA'!$D$130:$EQ$169,$B7,51)+IF(AND($E7=1,KO7=0),25,0),INDEX('calcA'!BB$110:BB$114,$F7+1)+IF(AND($E7=1,KO7=0),1000,0)+IF($H7=1,INDEX('calcA'!$D$180:$EQ$219,$B7,51)*500,0)-IF(AND('calcA'!BA$117=1,VY7&gt;0),300,0)-IF(AND($U7=1,'calcA'!BB$117=1,FA7=0),300,0))),1000000000))</f>
        <v/>
      </c>
      <c r="QE7">
        <f>IF($B7=0,1000000000,IF(INDEX('calcA'!$D$60:$EQ$99,$B7,52)*IF($W7=1,FA7+ABP7,FA7)=1,IF(AND($E7=2,IF($W7=1,AHE7,KP7)=0),1000000000,IF($V7=1,INDEX('calcA'!$D$130:$EQ$169,$B7,52)+IF(AND($E7=1,KP7=0),25,0),INDEX('calcA'!BC$110:BC$114,$F7+1)+IF(AND($E7=1,KP7=0),1000,0)+IF($H7=1,INDEX('calcA'!$D$180:$EQ$219,$B7,52)*500,0)-IF(AND('calcA'!BB$117=1,VZ7&gt;0),300,0)-IF(AND($U7=1,'calcA'!BC$117=1,FB7=0),300,0))),1000000000))</f>
        <v/>
      </c>
      <c r="QF7">
        <f>IF($B7=0,1000000000,IF(INDEX('calcA'!$D$60:$EQ$99,$B7,53)*IF($W7=1,FB7+ABQ7,FB7)=1,IF(AND($E7=2,IF($W7=1,AHF7,KQ7)=0),1000000000,IF($V7=1,INDEX('calcA'!$D$130:$EQ$169,$B7,53)+IF(AND($E7=1,KQ7=0),25,0),INDEX('calcA'!BD$110:BD$114,$F7+1)+IF(AND($E7=1,KQ7=0),1000,0)+IF($H7=1,INDEX('calcA'!$D$180:$EQ$219,$B7,53)*500,0)-IF(AND('calcA'!BC$117=1,WA7&gt;0),300,0)-IF(AND($U7=1,'calcA'!BD$117=1,FC7=0),300,0))),1000000000))</f>
        <v/>
      </c>
      <c r="QG7">
        <f>IF($B7=0,1000000000,IF(INDEX('calcA'!$D$60:$EQ$99,$B7,54)*IF($W7=1,FC7+ABR7,FC7)=1,IF(AND($E7=2,IF($W7=1,AHG7,KR7)=0),1000000000,IF($V7=1,INDEX('calcA'!$D$130:$EQ$169,$B7,54)+IF(AND($E7=1,KR7=0),25,0),INDEX('calcA'!BE$110:BE$114,$F7+1)+IF(AND($E7=1,KR7=0),1000,0)+IF($H7=1,INDEX('calcA'!$D$180:$EQ$219,$B7,54)*500,0)-IF(AND('calcA'!BD$117=1,WB7&gt;0),300,0)-IF(AND($U7=1,'calcA'!BE$117=1,FD7=0),300,0))),1000000000))</f>
        <v/>
      </c>
      <c r="QH7">
        <f>IF($B7=0,1000000000,IF(INDEX('calcA'!$D$60:$EQ$99,$B7,55)*IF($W7=1,FD7+ABS7,FD7)=1,IF(AND($E7=2,IF($W7=1,AHH7,KS7)=0),1000000000,IF($V7=1,INDEX('calcA'!$D$130:$EQ$169,$B7,55)+IF(AND($E7=1,KS7=0),25,0),INDEX('calcA'!BF$110:BF$114,$F7+1)+IF(AND($E7=1,KS7=0),1000,0)+IF($H7=1,INDEX('calcA'!$D$180:$EQ$219,$B7,55)*500,0)-IF(AND('calcA'!BE$117=1,WC7&gt;0),300,0)-IF(AND($U7=1,'calcA'!BF$117=1,FE7=0),300,0))),1000000000))</f>
        <v/>
      </c>
      <c r="QI7">
        <f>IF($B7=0,1000000000,IF(INDEX('calcA'!$D$60:$EQ$99,$B7,56)*IF($W7=1,FE7+ABT7,FE7)=1,IF(AND($E7=2,IF($W7=1,AHI7,KT7)=0),1000000000,IF($V7=1,INDEX('calcA'!$D$130:$EQ$169,$B7,56)+IF(AND($E7=1,KT7=0),25,0),INDEX('calcA'!BG$110:BG$114,$F7+1)+IF(AND($E7=1,KT7=0),1000,0)+IF($H7=1,INDEX('calcA'!$D$180:$EQ$219,$B7,56)*500,0)-IF(AND('calcA'!BF$117=1,WD7&gt;0),300,0)-IF(AND($U7=1,'calcA'!BG$117=1,FF7=0),300,0))),1000000000))</f>
        <v/>
      </c>
      <c r="QJ7">
        <f>IF($B7=0,1000000000,IF(INDEX('calcA'!$D$60:$EQ$99,$B7,57)*IF($W7=1,FF7+ABU7,FF7)=1,IF(AND($E7=2,IF($W7=1,AHJ7,KU7)=0),1000000000,IF($V7=1,INDEX('calcA'!$D$130:$EQ$169,$B7,57)+IF(AND($E7=1,KU7=0),25,0),INDEX('calcA'!BH$110:BH$114,$F7+1)+IF(AND($E7=1,KU7=0),1000,0)+IF($H7=1,INDEX('calcA'!$D$180:$EQ$219,$B7,57)*500,0)-IF(AND('calcA'!BG$117=1,WE7&gt;0),300,0)-IF(AND($U7=1,'calcA'!BH$117=1,FG7=0),300,0))),1000000000))</f>
        <v/>
      </c>
      <c r="QK7">
        <f>IF($B7=0,1000000000,IF(INDEX('calcA'!$D$60:$EQ$99,$B7,58)*IF($W7=1,FG7+ABV7,FG7)=1,IF(AND($E7=2,IF($W7=1,AHK7,KV7)=0),1000000000,IF($V7=1,INDEX('calcA'!$D$130:$EQ$169,$B7,58)+IF(AND($E7=1,KV7=0),25,0),INDEX('calcA'!BI$110:BI$114,$F7+1)+IF(AND($E7=1,KV7=0),1000,0)+IF($H7=1,INDEX('calcA'!$D$180:$EQ$219,$B7,58)*500,0)-IF(AND('calcA'!BH$117=1,WF7&gt;0),300,0)-IF(AND($U7=1,'calcA'!BI$117=1,FH7=0),300,0))),1000000000))</f>
        <v/>
      </c>
      <c r="QL7">
        <f>IF($B7=0,1000000000,IF(INDEX('calcA'!$D$60:$EQ$99,$B7,59)*IF($W7=1,FH7+ABW7,FH7)=1,IF(AND($E7=2,IF($W7=1,AHL7,KW7)=0),1000000000,IF($V7=1,INDEX('calcA'!$D$130:$EQ$169,$B7,59)+IF(AND($E7=1,KW7=0),25,0),INDEX('calcA'!BJ$110:BJ$114,$F7+1)+IF(AND($E7=1,KW7=0),1000,0)+IF($H7=1,INDEX('calcA'!$D$180:$EQ$219,$B7,59)*500,0)-IF(AND('calcA'!BI$117=1,WG7&gt;0),300,0)-IF(AND($U7=1,'calcA'!BJ$117=1,FI7=0),300,0))),1000000000))</f>
        <v/>
      </c>
      <c r="QM7">
        <f>IF($B7=0,1000000000,IF(INDEX('calcA'!$D$60:$EQ$99,$B7,60)*IF($W7=1,FI7+ABX7,FI7)=1,IF(AND($E7=2,IF($W7=1,AHM7,KX7)=0),1000000000,IF($V7=1,INDEX('calcA'!$D$130:$EQ$169,$B7,60)+IF(AND($E7=1,KX7=0),25,0),INDEX('calcA'!BK$110:BK$114,$F7+1)+IF(AND($E7=1,KX7=0),1000,0)+IF($H7=1,INDEX('calcA'!$D$180:$EQ$219,$B7,60)*500,0)-IF(AND('calcA'!BJ$117=1,WH7&gt;0),300,0)-IF(AND($U7=1,'calcA'!BK$117=1,FJ7=0),300,0))),1000000000))</f>
        <v/>
      </c>
      <c r="QN7">
        <f>IF($B7=0,1000000000,IF(INDEX('calcA'!$D$60:$EQ$99,$B7,61)*IF($W7=1,FJ7+ABY7,FJ7)=1,IF(AND($E7=2,IF($W7=1,AHN7,KY7)=0),1000000000,IF($V7=1,INDEX('calcA'!$D$130:$EQ$169,$B7,61)+IF(AND($E7=1,KY7=0),25,0),INDEX('calcA'!BL$110:BL$114,$F7+1)+IF(AND($E7=1,KY7=0),1000,0)+IF($H7=1,INDEX('calcA'!$D$180:$EQ$219,$B7,61)*500,0)-IF(AND('calcA'!BK$117=1,WI7&gt;0),300,0)-IF(AND($U7=1,'calcA'!BL$117=1,FK7=0),300,0))),1000000000))</f>
        <v/>
      </c>
      <c r="QO7">
        <f>IF($B7=0,1000000000,IF(INDEX('calcA'!$D$60:$EQ$99,$B7,62)*IF($W7=1,FK7+ABZ7,FK7)=1,IF(AND($E7=2,IF($W7=1,AHO7,KZ7)=0),1000000000,IF($V7=1,INDEX('calcA'!$D$130:$EQ$169,$B7,62)+IF(AND($E7=1,KZ7=0),25,0),INDEX('calcA'!BM$110:BM$114,$F7+1)+IF(AND($E7=1,KZ7=0),1000,0)+IF($H7=1,INDEX('calcA'!$D$180:$EQ$219,$B7,62)*500,0)-IF(AND('calcA'!BL$117=1,WJ7&gt;0),300,0)-IF(AND($U7=1,'calcA'!BM$117=1,FL7=0),300,0))),1000000000))</f>
        <v/>
      </c>
      <c r="QP7">
        <f>IF($B7=0,1000000000,IF(INDEX('calcA'!$D$60:$EQ$99,$B7,63)*IF($W7=1,FL7+ACA7,FL7)=1,IF(AND($E7=2,IF($W7=1,AHP7,LA7)=0),1000000000,IF($V7=1,INDEX('calcA'!$D$130:$EQ$169,$B7,63)+IF(AND($E7=1,LA7=0),25,0),INDEX('calcA'!BN$110:BN$114,$F7+1)+IF(AND($E7=1,LA7=0),1000,0)+IF($H7=1,INDEX('calcA'!$D$180:$EQ$219,$B7,63)*500,0)-IF(AND('calcA'!BM$117=1,WK7&gt;0),300,0)-IF(AND($U7=1,'calcA'!BN$117=1,FM7=0),300,0))),1000000000))</f>
        <v/>
      </c>
      <c r="QQ7">
        <f>IF($B7=0,1000000000,IF(INDEX('calcA'!$D$60:$EQ$99,$B7,64)*IF($W7=1,FM7+ACB7,FM7)=1,IF(AND($E7=2,IF($W7=1,AHQ7,LB7)=0),1000000000,IF($V7=1,INDEX('calcA'!$D$130:$EQ$169,$B7,64)+IF(AND($E7=1,LB7=0),25,0),INDEX('calcA'!BO$110:BO$114,$F7+1)+IF(AND($E7=1,LB7=0),1000,0)+IF($H7=1,INDEX('calcA'!$D$180:$EQ$219,$B7,64)*500,0)-IF(AND('calcA'!BN$117=1,WL7&gt;0),300,0)-IF(AND($U7=1,'calcA'!BO$117=1,FN7=0),300,0))),1000000000))</f>
        <v/>
      </c>
      <c r="QR7">
        <f>IF($B7=0,1000000000,IF(INDEX('calcA'!$D$60:$EQ$99,$B7,65)*IF($W7=1,FN7+ACC7,FN7)=1,IF(AND($E7=2,IF($W7=1,AHR7,LC7)=0),1000000000,IF($V7=1,INDEX('calcA'!$D$130:$EQ$169,$B7,65)+IF(AND($E7=1,LC7=0),25,0),INDEX('calcA'!BP$110:BP$114,$F7+1)+IF(AND($E7=1,LC7=0),1000,0)+IF($H7=1,INDEX('calcA'!$D$180:$EQ$219,$B7,65)*500,0)-IF(AND('calcA'!BO$117=1,WM7&gt;0),300,0)-IF(AND($U7=1,'calcA'!BP$117=1,FO7=0),300,0))),1000000000))</f>
        <v/>
      </c>
      <c r="QS7">
        <f>IF($B7=0,1000000000,IF(INDEX('calcA'!$D$60:$EQ$99,$B7,66)*IF($W7=1,FO7+ACD7,FO7)=1,IF(AND($E7=2,IF($W7=1,AHS7,LD7)=0),1000000000,IF($V7=1,INDEX('calcA'!$D$130:$EQ$169,$B7,66)+IF(AND($E7=1,LD7=0),25,0),INDEX('calcA'!BQ$110:BQ$114,$F7+1)+IF(AND($E7=1,LD7=0),1000,0)+IF($H7=1,INDEX('calcA'!$D$180:$EQ$219,$B7,66)*500,0)-IF(AND('calcA'!BP$117=1,WN7&gt;0),300,0)-IF(AND($U7=1,'calcA'!BQ$117=1,FP7=0),300,0))),1000000000))</f>
        <v/>
      </c>
      <c r="QT7">
        <f>IF($B7=0,1000000000,IF(INDEX('calcA'!$D$60:$EQ$99,$B7,67)*IF($W7=1,FP7+ACE7,FP7)=1,IF(AND($E7=2,IF($W7=1,AHT7,LE7)=0),1000000000,IF($V7=1,INDEX('calcA'!$D$130:$EQ$169,$B7,67)+IF(AND($E7=1,LE7=0),25,0),INDEX('calcA'!BR$110:BR$114,$F7+1)+IF(AND($E7=1,LE7=0),1000,0)+IF($H7=1,INDEX('calcA'!$D$180:$EQ$219,$B7,67)*500,0)-IF(AND('calcA'!BQ$117=1,WO7&gt;0),300,0)-IF(AND($U7=1,'calcA'!BR$117=1,FQ7=0),300,0))),1000000000))</f>
        <v/>
      </c>
      <c r="QU7">
        <f>IF($B7=0,1000000000,IF(INDEX('calcA'!$D$60:$EQ$99,$B7,68)*IF($W7=1,FQ7+ACF7,FQ7)=1,IF(AND($E7=2,IF($W7=1,AHU7,LF7)=0),1000000000,IF($V7=1,INDEX('calcA'!$D$130:$EQ$169,$B7,68)+IF(AND($E7=1,LF7=0),25,0),INDEX('calcA'!BS$110:BS$114,$F7+1)+IF(AND($E7=1,LF7=0),1000,0)+IF($H7=1,INDEX('calcA'!$D$180:$EQ$219,$B7,68)*500,0)-IF(AND('calcA'!BR$117=1,WP7&gt;0),300,0)-IF(AND($U7=1,'calcA'!BS$117=1,FR7=0),300,0))),1000000000))</f>
        <v/>
      </c>
      <c r="QV7">
        <f>IF($B7=0,1000000000,IF(INDEX('calcA'!$D$60:$EQ$99,$B7,69)*IF($W7=1,FR7+ACG7,FR7)=1,IF(AND($E7=2,IF($W7=1,AHV7,LG7)=0),1000000000,IF($V7=1,INDEX('calcA'!$D$130:$EQ$169,$B7,69)+IF(AND($E7=1,LG7=0),25,0),INDEX('calcA'!BT$110:BT$114,$F7+1)+IF(AND($E7=1,LG7=0),1000,0)+IF($H7=1,INDEX('calcA'!$D$180:$EQ$219,$B7,69)*500,0)-IF(AND('calcA'!BS$117=1,WQ7&gt;0),300,0)-IF(AND($U7=1,'calcA'!BT$117=1,FS7=0),300,0))),1000000000))</f>
        <v/>
      </c>
      <c r="QW7">
        <f>IF($B7=0,1000000000,IF(INDEX('calcA'!$D$60:$EQ$99,$B7,70)*IF($W7=1,FS7+ACH7,FS7)=1,IF(AND($E7=2,IF($W7=1,AHW7,LH7)=0),1000000000,IF($V7=1,INDEX('calcA'!$D$130:$EQ$169,$B7,70)+IF(AND($E7=1,LH7=0),25,0),INDEX('calcA'!BU$110:BU$114,$F7+1)+IF(AND($E7=1,LH7=0),1000,0)+IF($H7=1,INDEX('calcA'!$D$180:$EQ$219,$B7,70)*500,0)-IF(AND('calcA'!BT$117=1,WR7&gt;0),300,0)-IF(AND($U7=1,'calcA'!BU$117=1,FT7=0),300,0))),1000000000))</f>
        <v/>
      </c>
      <c r="QX7">
        <f>IF($B7=0,1000000000,IF(INDEX('calcA'!$D$60:$EQ$99,$B7,71)*IF($W7=1,FT7+ACI7,FT7)=1,IF(AND($E7=2,IF($W7=1,AHX7,LI7)=0),1000000000,IF($V7=1,INDEX('calcA'!$D$130:$EQ$169,$B7,71)+IF(AND($E7=1,LI7=0),25,0),INDEX('calcA'!BV$110:BV$114,$F7+1)+IF(AND($E7=1,LI7=0),1000,0)+IF($H7=1,INDEX('calcA'!$D$180:$EQ$219,$B7,71)*500,0)-IF(AND('calcA'!BU$117=1,WS7&gt;0),300,0)-IF(AND($U7=1,'calcA'!BV$117=1,FU7=0),300,0))),1000000000))</f>
        <v/>
      </c>
      <c r="QY7">
        <f>IF($B7=0,1000000000,IF(INDEX('calcA'!$D$60:$EQ$99,$B7,72)*IF($W7=1,FU7+ACJ7,FU7)=1,IF(AND($E7=2,IF($W7=1,AHY7,LJ7)=0),1000000000,IF($V7=1,INDEX('calcA'!$D$130:$EQ$169,$B7,72)+IF(AND($E7=1,LJ7=0),25,0),INDEX('calcA'!BW$110:BW$114,$F7+1)+IF(AND($E7=1,LJ7=0),1000,0)+IF($H7=1,INDEX('calcA'!$D$180:$EQ$219,$B7,72)*500,0)-IF(AND('calcA'!BV$117=1,WT7&gt;0),300,0))),1000000000))</f>
        <v/>
      </c>
      <c r="QZ7">
        <f>IF($B7=0,1000000000,IF(INDEX('calcA'!$D$60:$EQ$99,$B7,73)*IF($W7=1,FV7+ACK7,FV7)=1,IF(AND($E7=2,IF($W7=1,AHZ7,LK7)=0),1000000000,IF($V7=1,INDEX('calcA'!$D$130:$EQ$169,$B7,73)+IF(AND($E7=1,LK7=0),25,0),INDEX('calcA'!BX$110:BX$114,$F7+1)+IF(AND($E7=1,LK7=0),1000,0)+IF($H7=1,INDEX('calcA'!$D$180:$EQ$219,$B7,73)*500,0)-IF(AND($U7=1,'calcA'!BX$117=1,FW7=0),300,0))),1000000000))</f>
        <v/>
      </c>
      <c r="RA7">
        <f>IF($B7=0,1000000000,IF(INDEX('calcA'!$D$60:$EQ$99,$B7,74)*IF($W7=1,FW7+ACL7,FW7)=1,IF(AND($E7=2,IF($W7=1,AIA7,LL7)=0),1000000000,IF($V7=1,INDEX('calcA'!$D$130:$EQ$169,$B7,74)+IF(AND($E7=1,LL7=0),25,0),INDEX('calcA'!BY$110:BY$114,$F7+1)+IF(AND($E7=1,LL7=0),1000,0)+IF($H7=1,INDEX('calcA'!$D$180:$EQ$219,$B7,74)*500,0)-IF(AND('calcA'!BX$117=1,WV7&gt;0),300,0)-IF(AND($U7=1,'calcA'!BY$117=1,FX7=0),300,0))),1000000000))</f>
        <v/>
      </c>
      <c r="RB7">
        <f>IF($B7=0,1000000000,IF(INDEX('calcA'!$D$60:$EQ$99,$B7,75)*IF($W7=1,FX7+ACM7,FX7)=1,IF(AND($E7=2,IF($W7=1,AIB7,LM7)=0),1000000000,IF($V7=1,INDEX('calcA'!$D$130:$EQ$169,$B7,75)+IF(AND($E7=1,LM7=0),25,0),INDEX('calcA'!BZ$110:BZ$114,$F7+1)+IF(AND($E7=1,LM7=0),1000,0)+IF($H7=1,INDEX('calcA'!$D$180:$EQ$219,$B7,75)*500,0)-IF(AND('calcA'!BY$117=1,WW7&gt;0),300,0)-IF(AND($U7=1,'calcA'!BZ$117=1,FY7=0),300,0))),1000000000))</f>
        <v/>
      </c>
      <c r="RC7">
        <f>IF($B7=0,1000000000,IF(INDEX('calcA'!$D$60:$EQ$99,$B7,76)*IF($W7=1,FY7+ACN7,FY7)=1,IF(AND($E7=2,IF($W7=1,AIC7,LN7)=0),1000000000,IF($V7=1,INDEX('calcA'!$D$130:$EQ$169,$B7,76)+IF(AND($E7=1,LN7=0),25,0),INDEX('calcA'!CA$110:CA$114,$F7+1)+IF(AND($E7=1,LN7=0),1000,0)+IF($H7=1,INDEX('calcA'!$D$180:$EQ$219,$B7,76)*500,0)-IF(AND('calcA'!BZ$117=1,WX7&gt;0),300,0)-IF(AND($U7=1,'calcA'!CA$117=1,FZ7=0),300,0))),1000000000))</f>
        <v/>
      </c>
      <c r="RD7">
        <f>IF($B7=0,1000000000,IF(INDEX('calcA'!$D$60:$EQ$99,$B7,77)*IF($W7=1,FZ7+ACO7,FZ7)=1,IF(AND($E7=2,IF($W7=1,AID7,LO7)=0),1000000000,IF($V7=1,INDEX('calcA'!$D$130:$EQ$169,$B7,77)+IF(AND($E7=1,LO7=0),25,0),INDEX('calcA'!CB$110:CB$114,$F7+1)+IF(AND($E7=1,LO7=0),1000,0)+IF($H7=1,INDEX('calcA'!$D$180:$EQ$219,$B7,77)*500,0)-IF(AND('calcA'!CA$117=1,WY7&gt;0),300,0)-IF(AND($U7=1,'calcA'!CB$117=1,GA7=0),300,0))),1000000000))</f>
        <v/>
      </c>
      <c r="RE7">
        <f>IF($B7=0,1000000000,IF(INDEX('calcA'!$D$60:$EQ$99,$B7,78)*IF($W7=1,GA7+ACP7,GA7)=1,IF(AND($E7=2,IF($W7=1,AIE7,LP7)=0),1000000000,IF($V7=1,INDEX('calcA'!$D$130:$EQ$169,$B7,78)+IF(AND($E7=1,LP7=0),25,0),INDEX('calcA'!CC$110:CC$114,$F7+1)+IF(AND($E7=1,LP7=0),1000,0)+IF($H7=1,INDEX('calcA'!$D$180:$EQ$219,$B7,78)*500,0)-IF(AND('calcA'!CB$117=1,WZ7&gt;0),300,0)-IF(AND($U7=1,'calcA'!CC$117=1,GB7=0),300,0))),1000000000))</f>
        <v/>
      </c>
      <c r="RF7">
        <f>IF($B7=0,1000000000,IF(INDEX('calcA'!$D$60:$EQ$99,$B7,79)*IF($W7=1,GB7+ACQ7,GB7)=1,IF(AND($E7=2,IF($W7=1,AIF7,LQ7)=0),1000000000,IF($V7=1,INDEX('calcA'!$D$130:$EQ$169,$B7,79)+IF(AND($E7=1,LQ7=0),25,0),INDEX('calcA'!CD$110:CD$114,$F7+1)+IF(AND($E7=1,LQ7=0),1000,0)+IF($H7=1,INDEX('calcA'!$D$180:$EQ$219,$B7,79)*500,0)-IF(AND('calcA'!CC$117=1,XA7&gt;0),300,0)-IF(AND($U7=1,'calcA'!CD$117=1,GC7=0),300,0))),1000000000))</f>
        <v/>
      </c>
      <c r="RG7">
        <f>IF($B7=0,1000000000,IF(INDEX('calcA'!$D$60:$EQ$99,$B7,80)*IF($W7=1,GC7+ACR7,GC7)=1,IF(AND($E7=2,IF($W7=1,AIG7,LR7)=0),1000000000,IF($V7=1,INDEX('calcA'!$D$130:$EQ$169,$B7,80)+IF(AND($E7=1,LR7=0),25,0),INDEX('calcA'!CE$110:CE$114,$F7+1)+IF(AND($E7=1,LR7=0),1000,0)+IF($H7=1,INDEX('calcA'!$D$180:$EQ$219,$B7,80)*500,0)-IF(AND('calcA'!CD$117=1,XB7&gt;0),300,0)-IF(AND($U7=1,'calcA'!CE$117=1,GD7=0),300,0))),1000000000))</f>
        <v/>
      </c>
      <c r="RH7">
        <f>IF($B7=0,1000000000,IF(INDEX('calcA'!$D$60:$EQ$99,$B7,81)*IF($W7=1,GD7+ACS7,GD7)=1,IF(AND($E7=2,IF($W7=1,AIH7,LS7)=0),1000000000,IF($V7=1,INDEX('calcA'!$D$130:$EQ$169,$B7,81)+IF(AND($E7=1,LS7=0),25,0),INDEX('calcA'!CF$110:CF$114,$F7+1)+IF(AND($E7=1,LS7=0),1000,0)+IF($H7=1,INDEX('calcA'!$D$180:$EQ$219,$B7,81)*500,0)-IF(AND('calcA'!CE$117=1,XC7&gt;0),300,0)-IF(AND($U7=1,'calcA'!CF$117=1,GE7=0),300,0))),1000000000))</f>
        <v/>
      </c>
      <c r="RI7">
        <f>IF($B7=0,1000000000,IF(INDEX('calcA'!$D$60:$EQ$99,$B7,82)*IF($W7=1,GE7+ACT7,GE7)=1,IF(AND($E7=2,IF($W7=1,AII7,LT7)=0),1000000000,IF($V7=1,INDEX('calcA'!$D$130:$EQ$169,$B7,82)+IF(AND($E7=1,LT7=0),25,0),INDEX('calcA'!CG$110:CG$114,$F7+1)+IF(AND($E7=1,LT7=0),1000,0)+IF($H7=1,INDEX('calcA'!$D$180:$EQ$219,$B7,82)*500,0)-IF(AND('calcA'!CF$117=1,XD7&gt;0),300,0)-IF(AND($U7=1,'calcA'!CG$117=1,GF7=0),300,0))),1000000000))</f>
        <v/>
      </c>
      <c r="RJ7">
        <f>IF($B7=0,1000000000,IF(INDEX('calcA'!$D$60:$EQ$99,$B7,83)*IF($W7=1,GF7+ACU7,GF7)=1,IF(AND($E7=2,IF($W7=1,AIJ7,LU7)=0),1000000000,IF($V7=1,INDEX('calcA'!$D$130:$EQ$169,$B7,83)+IF(AND($E7=1,LU7=0),25,0),INDEX('calcA'!CH$110:CH$114,$F7+1)+IF(AND($E7=1,LU7=0),1000,0)+IF($H7=1,INDEX('calcA'!$D$180:$EQ$219,$B7,83)*500,0)-IF(AND('calcA'!CG$117=1,XE7&gt;0),300,0)-IF(AND($U7=1,'calcA'!CH$117=1,GG7=0),300,0))),1000000000))</f>
        <v/>
      </c>
      <c r="RK7">
        <f>IF($B7=0,1000000000,IF(INDEX('calcA'!$D$60:$EQ$99,$B7,84)*IF($W7=1,GG7+ACV7,GG7)=1,IF(AND($E7=2,IF($W7=1,AIK7,LV7)=0),1000000000,IF($V7=1,INDEX('calcA'!$D$130:$EQ$169,$B7,84)+IF(AND($E7=1,LV7=0),25,0),INDEX('calcA'!CI$110:CI$114,$F7+1)+IF(AND($E7=1,LV7=0),1000,0)+IF($H7=1,INDEX('calcA'!$D$180:$EQ$219,$B7,84)*500,0)-IF(AND('calcA'!CH$117=1,XF7&gt;0),300,0)-IF(AND($U7=1,'calcA'!CI$117=1,GH7=0),300,0))),1000000000))</f>
        <v/>
      </c>
      <c r="RL7">
        <f>IF($B7=0,1000000000,IF(INDEX('calcA'!$D$60:$EQ$99,$B7,85)*IF($W7=1,GH7+ACW7,GH7)=1,IF(AND($E7=2,IF($W7=1,AIL7,LW7)=0),1000000000,IF($V7=1,INDEX('calcA'!$D$130:$EQ$169,$B7,85)+IF(AND($E7=1,LW7=0),25,0),INDEX('calcA'!CJ$110:CJ$114,$F7+1)+IF(AND($E7=1,LW7=0),1000,0)+IF($H7=1,INDEX('calcA'!$D$180:$EQ$219,$B7,85)*500,0)-IF(AND('calcA'!CI$117=1,XG7&gt;0),300,0)-IF(AND($U7=1,'calcA'!CJ$117=1,GI7=0),300,0))),1000000000))</f>
        <v/>
      </c>
      <c r="RM7">
        <f>IF($B7=0,1000000000,IF(INDEX('calcA'!$D$60:$EQ$99,$B7,86)*IF($W7=1,GI7+ACX7,GI7)=1,IF(AND($E7=2,IF($W7=1,AIM7,LX7)=0),1000000000,IF($V7=1,INDEX('calcA'!$D$130:$EQ$169,$B7,86)+IF(AND($E7=1,LX7=0),25,0),INDEX('calcA'!CK$110:CK$114,$F7+1)+IF(AND($E7=1,LX7=0),1000,0)+IF($H7=1,INDEX('calcA'!$D$180:$EQ$219,$B7,86)*500,0)-IF(AND('calcA'!CJ$117=1,XH7&gt;0),300,0)-IF(AND($U7=1,'calcA'!CK$117=1,GJ7=0),300,0))),1000000000))</f>
        <v/>
      </c>
      <c r="RN7">
        <f>IF($B7=0,1000000000,IF(INDEX('calcA'!$D$60:$EQ$99,$B7,87)*IF($W7=1,GJ7+ACY7,GJ7)=1,IF(AND($E7=2,IF($W7=1,AIN7,LY7)=0),1000000000,IF($V7=1,INDEX('calcA'!$D$130:$EQ$169,$B7,87)+IF(AND($E7=1,LY7=0),25,0),INDEX('calcA'!CL$110:CL$114,$F7+1)+IF(AND($E7=1,LY7=0),1000,0)+IF($H7=1,INDEX('calcA'!$D$180:$EQ$219,$B7,87)*500,0)-IF(AND('calcA'!CK$117=1,XI7&gt;0),300,0)-IF(AND($U7=1,'calcA'!CL$117=1,GK7=0),300,0))),1000000000))</f>
        <v/>
      </c>
      <c r="RO7">
        <f>IF($B7=0,1000000000,IF(INDEX('calcA'!$D$60:$EQ$99,$B7,88)*IF($W7=1,GK7+ACZ7,GK7)=1,IF(AND($E7=2,IF($W7=1,AIO7,LZ7)=0),1000000000,IF($V7=1,INDEX('calcA'!$D$130:$EQ$169,$B7,88)+IF(AND($E7=1,LZ7=0),25,0),INDEX('calcA'!CM$110:CM$114,$F7+1)+IF(AND($E7=1,LZ7=0),1000,0)+IF($H7=1,INDEX('calcA'!$D$180:$EQ$219,$B7,88)*500,0)-IF(AND('calcA'!CL$117=1,XJ7&gt;0),300,0)-IF(AND($U7=1,'calcA'!CM$117=1,GL7=0),300,0))),1000000000))</f>
        <v/>
      </c>
      <c r="RP7">
        <f>IF($B7=0,1000000000,IF(INDEX('calcA'!$D$60:$EQ$99,$B7,89)*IF($W7=1,GL7+ADA7,GL7)=1,IF(AND($E7=2,IF($W7=1,AIP7,MA7)=0),1000000000,IF($V7=1,INDEX('calcA'!$D$130:$EQ$169,$B7,89)+IF(AND($E7=1,MA7=0),25,0),INDEX('calcA'!CN$110:CN$114,$F7+1)+IF(AND($E7=1,MA7=0),1000,0)+IF($H7=1,INDEX('calcA'!$D$180:$EQ$219,$B7,89)*500,0)-IF(AND('calcA'!CM$117=1,XK7&gt;0),300,0)-IF(AND($U7=1,'calcA'!CN$117=1,GM7=0),300,0))),1000000000))</f>
        <v/>
      </c>
      <c r="RQ7">
        <f>IF($B7=0,1000000000,IF(INDEX('calcA'!$D$60:$EQ$99,$B7,90)*IF($W7=1,GM7+ADB7,GM7)=1,IF(AND($E7=2,IF($W7=1,AIQ7,MB7)=0),1000000000,IF($V7=1,INDEX('calcA'!$D$130:$EQ$169,$B7,90)+IF(AND($E7=1,MB7=0),25,0),INDEX('calcA'!CO$110:CO$114,$F7+1)+IF(AND($E7=1,MB7=0),1000,0)+IF($H7=1,INDEX('calcA'!$D$180:$EQ$219,$B7,90)*500,0)-IF(AND('calcA'!CN$117=1,XL7&gt;0),300,0)-IF(AND($U7=1,'calcA'!CO$117=1,GN7=0),300,0))),1000000000))</f>
        <v/>
      </c>
      <c r="RR7">
        <f>IF($B7=0,1000000000,IF(INDEX('calcA'!$D$60:$EQ$99,$B7,91)*IF($W7=1,GN7+ADC7,GN7)=1,IF(AND($E7=2,IF($W7=1,AIR7,MC7)=0),1000000000,IF($V7=1,INDEX('calcA'!$D$130:$EQ$169,$B7,91)+IF(AND($E7=1,MC7=0),25,0),INDEX('calcA'!CP$110:CP$114,$F7+1)+IF(AND($E7=1,MC7=0),1000,0)+IF($H7=1,INDEX('calcA'!$D$180:$EQ$219,$B7,91)*500,0)-IF(AND('calcA'!CO$117=1,XM7&gt;0),300,0)-IF(AND($U7=1,'calcA'!CP$117=1,GO7=0),300,0))),1000000000))</f>
        <v/>
      </c>
      <c r="RS7">
        <f>IF($B7=0,1000000000,IF(INDEX('calcA'!$D$60:$EQ$99,$B7,92)*IF($W7=1,GO7+ADD7,GO7)=1,IF(AND($E7=2,IF($W7=1,AIS7,MD7)=0),1000000000,IF($V7=1,INDEX('calcA'!$D$130:$EQ$169,$B7,92)+IF(AND($E7=1,MD7=0),25,0),INDEX('calcA'!CQ$110:CQ$114,$F7+1)+IF(AND($E7=1,MD7=0),1000,0)+IF($H7=1,INDEX('calcA'!$D$180:$EQ$219,$B7,92)*500,0)-IF(AND('calcA'!CP$117=1,XN7&gt;0),300,0)-IF(AND($U7=1,'calcA'!CQ$117=1,GP7=0),300,0))),1000000000))</f>
        <v/>
      </c>
      <c r="RT7">
        <f>IF($B7=0,1000000000,IF(INDEX('calcA'!$D$60:$EQ$99,$B7,93)*IF($W7=1,GP7+ADE7,GP7)=1,IF(AND($E7=2,IF($W7=1,AIT7,ME7)=0),1000000000,IF($V7=1,INDEX('calcA'!$D$130:$EQ$169,$B7,93)+IF(AND($E7=1,ME7=0),25,0),INDEX('calcA'!CR$110:CR$114,$F7+1)+IF(AND($E7=1,ME7=0),1000,0)+IF($H7=1,INDEX('calcA'!$D$180:$EQ$219,$B7,93)*500,0)-IF(AND('calcA'!CQ$117=1,XO7&gt;0),300,0)-IF(AND($U7=1,'calcA'!CR$117=1,GQ7=0),300,0))),1000000000))</f>
        <v/>
      </c>
      <c r="RU7">
        <f>IF($B7=0,1000000000,IF(INDEX('calcA'!$D$60:$EQ$99,$B7,94)*IF($W7=1,GQ7+ADF7,GQ7)=1,IF(AND($E7=2,IF($W7=1,AIU7,MF7)=0),1000000000,IF($V7=1,INDEX('calcA'!$D$130:$EQ$169,$B7,94)+IF(AND($E7=1,MF7=0),25,0),INDEX('calcA'!CS$110:CS$114,$F7+1)+IF(AND($E7=1,MF7=0),1000,0)+IF($H7=1,INDEX('calcA'!$D$180:$EQ$219,$B7,94)*500,0)-IF(AND('calcA'!CR$117=1,XP7&gt;0),300,0)-IF(AND($U7=1,'calcA'!CS$117=1,GR7=0),300,0))),1000000000))</f>
        <v/>
      </c>
      <c r="RV7">
        <f>IF($B7=0,1000000000,IF(INDEX('calcA'!$D$60:$EQ$99,$B7,95)*IF($W7=1,GR7+ADG7,GR7)=1,IF(AND($E7=2,IF($W7=1,AIV7,MG7)=0),1000000000,IF($V7=1,INDEX('calcA'!$D$130:$EQ$169,$B7,95)+IF(AND($E7=1,MG7=0),25,0),INDEX('calcA'!CT$110:CT$114,$F7+1)+IF(AND($E7=1,MG7=0),1000,0)+IF($H7=1,INDEX('calcA'!$D$180:$EQ$219,$B7,95)*500,0)-IF(AND('calcA'!CS$117=1,XQ7&gt;0),300,0)-IF(AND($U7=1,'calcA'!CT$117=1,GS7=0),300,0))),1000000000))</f>
        <v/>
      </c>
      <c r="RW7">
        <f>IF($B7=0,1000000000,IF(INDEX('calcA'!$D$60:$EQ$99,$B7,96)*IF($W7=1,GS7+ADH7,GS7)=1,IF(AND($E7=2,IF($W7=1,AIW7,MH7)=0),1000000000,IF($V7=1,INDEX('calcA'!$D$130:$EQ$169,$B7,96)+IF(AND($E7=1,MH7=0),25,0),INDEX('calcA'!CU$110:CU$114,$F7+1)+IF(AND($E7=1,MH7=0),1000,0)+IF($H7=1,INDEX('calcA'!$D$180:$EQ$219,$B7,96)*500,0)-IF(AND('calcA'!CT$117=1,XR7&gt;0),300,0))),1000000000))</f>
        <v/>
      </c>
      <c r="RX7">
        <f>IF($B7=0,1000000000,IF(INDEX('calcA'!$D$60:$EQ$99,$B7,97)*IF($W7=1,GT7+ADI7,GT7)=1,IF(AND($E7=2,IF($W7=1,AIX7,MI7)=0),1000000000,IF($V7=1,INDEX('calcA'!$D$130:$EQ$169,$B7,97)+IF(AND($E7=1,MI7=0),25,0),INDEX('calcA'!CV$110:CV$114,$F7+1)+IF(AND($E7=1,MI7=0),1000,0)+IF($H7=1,INDEX('calcA'!$D$180:$EQ$219,$B7,97)*500,0)-IF(AND($U7=1,'calcA'!CV$117=1,GU7=0),300,0))),1000000000))</f>
        <v/>
      </c>
      <c r="RY7">
        <f>IF($B7=0,1000000000,IF(INDEX('calcA'!$D$60:$EQ$99,$B7,98)*IF($W7=1,GU7+ADJ7,GU7)=1,IF(AND($E7=2,IF($W7=1,AIY7,MJ7)=0),1000000000,IF($V7=1,INDEX('calcA'!$D$130:$EQ$169,$B7,98)+IF(AND($E7=1,MJ7=0),25,0),INDEX('calcA'!CW$110:CW$114,$F7+1)+IF(AND($E7=1,MJ7=0),1000,0)+IF($H7=1,INDEX('calcA'!$D$180:$EQ$219,$B7,98)*500,0)-IF(AND('calcA'!CV$117=1,XT7&gt;0),300,0)-IF(AND($U7=1,'calcA'!CW$117=1,GV7=0),300,0))),1000000000))</f>
        <v/>
      </c>
      <c r="RZ7">
        <f>IF($B7=0,1000000000,IF(INDEX('calcA'!$D$60:$EQ$99,$B7,99)*IF($W7=1,GV7+ADK7,GV7)=1,IF(AND($E7=2,IF($W7=1,AIZ7,MK7)=0),1000000000,IF($V7=1,INDEX('calcA'!$D$130:$EQ$169,$B7,99)+IF(AND($E7=1,MK7=0),25,0),INDEX('calcA'!CX$110:CX$114,$F7+1)+IF(AND($E7=1,MK7=0),1000,0)+IF($H7=1,INDEX('calcA'!$D$180:$EQ$219,$B7,99)*500,0)-IF(AND('calcA'!CW$117=1,XU7&gt;0),300,0)-IF(AND($U7=1,'calcA'!CX$117=1,GW7=0),300,0))),1000000000))</f>
        <v/>
      </c>
      <c r="SA7">
        <f>IF($B7=0,1000000000,IF(INDEX('calcA'!$D$60:$EQ$99,$B7,100)*IF($W7=1,GW7+ADL7,GW7)=1,IF(AND($E7=2,IF($W7=1,AJA7,ML7)=0),1000000000,IF($V7=1,INDEX('calcA'!$D$130:$EQ$169,$B7,100)+IF(AND($E7=1,ML7=0),25,0),INDEX('calcA'!CY$110:CY$114,$F7+1)+IF(AND($E7=1,ML7=0),1000,0)+IF($H7=1,INDEX('calcA'!$D$180:$EQ$219,$B7,100)*500,0)-IF(AND('calcA'!CX$117=1,XV7&gt;0),300,0)-IF(AND($U7=1,'calcA'!CY$117=1,GX7=0),300,0))),1000000000))</f>
        <v/>
      </c>
      <c r="SB7">
        <f>IF($B7=0,1000000000,IF(INDEX('calcA'!$D$60:$EQ$99,$B7,101)*IF($W7=1,GX7+ADM7,GX7)=1,IF(AND($E7=2,IF($W7=1,AJB7,MM7)=0),1000000000,IF($V7=1,INDEX('calcA'!$D$130:$EQ$169,$B7,101)+IF(AND($E7=1,MM7=0),25,0),INDEX('calcA'!CZ$110:CZ$114,$F7+1)+IF(AND($E7=1,MM7=0),1000,0)+IF($H7=1,INDEX('calcA'!$D$180:$EQ$219,$B7,101)*500,0)-IF(AND('calcA'!CY$117=1,XW7&gt;0),300,0)-IF(AND($U7=1,'calcA'!CZ$117=1,GY7=0),300,0))),1000000000))</f>
        <v/>
      </c>
      <c r="SC7">
        <f>IF($B7=0,1000000000,IF(INDEX('calcA'!$D$60:$EQ$99,$B7,102)*IF($W7=1,GY7+ADN7,GY7)=1,IF(AND($E7=2,IF($W7=1,AJC7,MN7)=0),1000000000,IF($V7=1,INDEX('calcA'!$D$130:$EQ$169,$B7,102)+IF(AND($E7=1,MN7=0),25,0),INDEX('calcA'!DA$110:DA$114,$F7+1)+IF(AND($E7=1,MN7=0),1000,0)+IF($H7=1,INDEX('calcA'!$D$180:$EQ$219,$B7,102)*500,0)-IF(AND('calcA'!CZ$117=1,XX7&gt;0),300,0)-IF(AND($U7=1,'calcA'!DA$117=1,GZ7=0),300,0))),1000000000))</f>
        <v/>
      </c>
      <c r="SD7">
        <f>IF($B7=0,1000000000,IF(INDEX('calcA'!$D$60:$EQ$99,$B7,103)*IF($W7=1,GZ7+ADO7,GZ7)=1,IF(AND($E7=2,IF($W7=1,AJD7,MO7)=0),1000000000,IF($V7=1,INDEX('calcA'!$D$130:$EQ$169,$B7,103)+IF(AND($E7=1,MO7=0),25,0),INDEX('calcA'!DB$110:DB$114,$F7+1)+IF(AND($E7=1,MO7=0),1000,0)+IF($H7=1,INDEX('calcA'!$D$180:$EQ$219,$B7,103)*500,0)-IF(AND('calcA'!DA$117=1,XY7&gt;0),300,0)-IF(AND($U7=1,'calcA'!DB$117=1,HA7=0),300,0))),1000000000))</f>
        <v/>
      </c>
      <c r="SE7">
        <f>IF($B7=0,1000000000,IF(INDEX('calcA'!$D$60:$EQ$99,$B7,104)*IF($W7=1,HA7+ADP7,HA7)=1,IF(AND($E7=2,IF($W7=1,AJE7,MP7)=0),1000000000,IF($V7=1,INDEX('calcA'!$D$130:$EQ$169,$B7,104)+IF(AND($E7=1,MP7=0),25,0),INDEX('calcA'!DC$110:DC$114,$F7+1)+IF(AND($E7=1,MP7=0),1000,0)+IF($H7=1,INDEX('calcA'!$D$180:$EQ$219,$B7,104)*500,0)-IF(AND('calcA'!DB$117=1,XZ7&gt;0),300,0)-IF(AND($U7=1,'calcA'!DC$117=1,HB7=0),300,0))),1000000000))</f>
        <v/>
      </c>
      <c r="SF7">
        <f>IF($B7=0,1000000000,IF(INDEX('calcA'!$D$60:$EQ$99,$B7,105)*IF($W7=1,HB7+ADQ7,HB7)=1,IF(AND($E7=2,IF($W7=1,AJF7,MQ7)=0),1000000000,IF($V7=1,INDEX('calcA'!$D$130:$EQ$169,$B7,105)+IF(AND($E7=1,MQ7=0),25,0),INDEX('calcA'!DD$110:DD$114,$F7+1)+IF(AND($E7=1,MQ7=0),1000,0)+IF($H7=1,INDEX('calcA'!$D$180:$EQ$219,$B7,105)*500,0)-IF(AND('calcA'!DC$117=1,YA7&gt;0),300,0)-IF(AND($U7=1,'calcA'!DD$117=1,HC7=0),300,0))),1000000000))</f>
        <v/>
      </c>
      <c r="SG7">
        <f>IF($B7=0,1000000000,IF(INDEX('calcA'!$D$60:$EQ$99,$B7,106)*IF($W7=1,HC7+ADR7,HC7)=1,IF(AND($E7=2,IF($W7=1,AJG7,MR7)=0),1000000000,IF($V7=1,INDEX('calcA'!$D$130:$EQ$169,$B7,106)+IF(AND($E7=1,MR7=0),25,0),INDEX('calcA'!DE$110:DE$114,$F7+1)+IF(AND($E7=1,MR7=0),1000,0)+IF($H7=1,INDEX('calcA'!$D$180:$EQ$219,$B7,106)*500,0)-IF(AND('calcA'!DD$117=1,YB7&gt;0),300,0)-IF(AND($U7=1,'calcA'!DE$117=1,HD7=0),300,0))),1000000000))</f>
        <v/>
      </c>
      <c r="SH7">
        <f>IF($B7=0,1000000000,IF(INDEX('calcA'!$D$60:$EQ$99,$B7,107)*IF($W7=1,HD7+ADS7,HD7)=1,IF(AND($E7=2,IF($W7=1,AJH7,MS7)=0),1000000000,IF($V7=1,INDEX('calcA'!$D$130:$EQ$169,$B7,107)+IF(AND($E7=1,MS7=0),25,0),INDEX('calcA'!DF$110:DF$114,$F7+1)+IF(AND($E7=1,MS7=0),1000,0)+IF($H7=1,INDEX('calcA'!$D$180:$EQ$219,$B7,107)*500,0)-IF(AND('calcA'!DE$117=1,YC7&gt;0),300,0)-IF(AND($U7=1,'calcA'!DF$117=1,HE7=0),300,0))),1000000000))</f>
        <v/>
      </c>
      <c r="SI7">
        <f>IF($B7=0,1000000000,IF(INDEX('calcA'!$D$60:$EQ$99,$B7,108)*IF($W7=1,HE7+ADT7,HE7)=1,IF(AND($E7=2,IF($W7=1,AJI7,MT7)=0),1000000000,IF($V7=1,INDEX('calcA'!$D$130:$EQ$169,$B7,108)+IF(AND($E7=1,MT7=0),25,0),INDEX('calcA'!DG$110:DG$114,$F7+1)+IF(AND($E7=1,MT7=0),1000,0)+IF($H7=1,INDEX('calcA'!$D$180:$EQ$219,$B7,108)*500,0)-IF(AND('calcA'!DF$117=1,YD7&gt;0),300,0)-IF(AND($U7=1,'calcA'!DG$117=1,HF7=0),300,0))),1000000000))</f>
        <v/>
      </c>
      <c r="SJ7">
        <f>IF($B7=0,1000000000,IF(INDEX('calcA'!$D$60:$EQ$99,$B7,109)*IF($W7=1,HF7+ADU7,HF7)=1,IF(AND($E7=2,IF($W7=1,AJJ7,MU7)=0),1000000000,IF($V7=1,INDEX('calcA'!$D$130:$EQ$169,$B7,109)+IF(AND($E7=1,MU7=0),25,0),INDEX('calcA'!DH$110:DH$114,$F7+1)+IF(AND($E7=1,MU7=0),1000,0)+IF($H7=1,INDEX('calcA'!$D$180:$EQ$219,$B7,109)*500,0)-IF(AND('calcA'!DG$117=1,YE7&gt;0),300,0)-IF(AND($U7=1,'calcA'!DH$117=1,HG7=0),300,0))),1000000000))</f>
        <v/>
      </c>
      <c r="SK7">
        <f>IF($B7=0,1000000000,IF(INDEX('calcA'!$D$60:$EQ$99,$B7,110)*IF($W7=1,HG7+ADV7,HG7)=1,IF(AND($E7=2,IF($W7=1,AJK7,MV7)=0),1000000000,IF($V7=1,INDEX('calcA'!$D$130:$EQ$169,$B7,110)+IF(AND($E7=1,MV7=0),25,0),INDEX('calcA'!DI$110:DI$114,$F7+1)+IF(AND($E7=1,MV7=0),1000,0)+IF($H7=1,INDEX('calcA'!$D$180:$EQ$219,$B7,110)*500,0)-IF(AND('calcA'!DH$117=1,YF7&gt;0),300,0)-IF(AND($U7=1,'calcA'!DI$117=1,HH7=0),300,0))),1000000000))</f>
        <v/>
      </c>
      <c r="SL7">
        <f>IF($B7=0,1000000000,IF(INDEX('calcA'!$D$60:$EQ$99,$B7,111)*IF($W7=1,HH7+ADW7,HH7)=1,IF(AND($E7=2,IF($W7=1,AJL7,MW7)=0),1000000000,IF($V7=1,INDEX('calcA'!$D$130:$EQ$169,$B7,111)+IF(AND($E7=1,MW7=0),25,0),INDEX('calcA'!DJ$110:DJ$114,$F7+1)+IF(AND($E7=1,MW7=0),1000,0)+IF($H7=1,INDEX('calcA'!$D$180:$EQ$219,$B7,111)*500,0)-IF(AND('calcA'!DI$117=1,YG7&gt;0),300,0)-IF(AND($U7=1,'calcA'!DJ$117=1,HI7=0),300,0))),1000000000))</f>
        <v/>
      </c>
      <c r="SM7">
        <f>IF($B7=0,1000000000,IF(INDEX('calcA'!$D$60:$EQ$99,$B7,112)*IF($W7=1,HI7+ADX7,HI7)=1,IF(AND($E7=2,IF($W7=1,AJM7,MX7)=0),1000000000,IF($V7=1,INDEX('calcA'!$D$130:$EQ$169,$B7,112)+IF(AND($E7=1,MX7=0),25,0),INDEX('calcA'!DK$110:DK$114,$F7+1)+IF(AND($E7=1,MX7=0),1000,0)+IF($H7=1,INDEX('calcA'!$D$180:$EQ$219,$B7,112)*500,0)-IF(AND('calcA'!DJ$117=1,YH7&gt;0),300,0)-IF(AND($U7=1,'calcA'!DK$117=1,HJ7=0),300,0))),1000000000))</f>
        <v/>
      </c>
      <c r="SN7">
        <f>IF($B7=0,1000000000,IF(INDEX('calcA'!$D$60:$EQ$99,$B7,113)*IF($W7=1,HJ7+ADY7,HJ7)=1,IF(AND($E7=2,IF($W7=1,AJN7,MY7)=0),1000000000,IF($V7=1,INDEX('calcA'!$D$130:$EQ$169,$B7,113)+IF(AND($E7=1,MY7=0),25,0),INDEX('calcA'!DL$110:DL$114,$F7+1)+IF(AND($E7=1,MY7=0),1000,0)+IF($H7=1,INDEX('calcA'!$D$180:$EQ$219,$B7,113)*500,0)-IF(AND('calcA'!DK$117=1,YI7&gt;0),300,0)-IF(AND($U7=1,'calcA'!DL$117=1,HK7=0),300,0))),1000000000))</f>
        <v/>
      </c>
      <c r="SO7">
        <f>IF($B7=0,1000000000,IF(INDEX('calcA'!$D$60:$EQ$99,$B7,114)*IF($W7=1,HK7+ADZ7,HK7)=1,IF(AND($E7=2,IF($W7=1,AJO7,MZ7)=0),1000000000,IF($V7=1,INDEX('calcA'!$D$130:$EQ$169,$B7,114)+IF(AND($E7=1,MZ7=0),25,0),INDEX('calcA'!DM$110:DM$114,$F7+1)+IF(AND($E7=1,MZ7=0),1000,0)+IF($H7=1,INDEX('calcA'!$D$180:$EQ$219,$B7,114)*500,0)-IF(AND('calcA'!DL$117=1,YJ7&gt;0),300,0)-IF(AND($U7=1,'calcA'!DM$117=1,HL7=0),300,0))),1000000000))</f>
        <v/>
      </c>
      <c r="SP7">
        <f>IF($B7=0,1000000000,IF(INDEX('calcA'!$D$60:$EQ$99,$B7,115)*IF($W7=1,HL7+AEA7,HL7)=1,IF(AND($E7=2,IF($W7=1,AJP7,NA7)=0),1000000000,IF($V7=1,INDEX('calcA'!$D$130:$EQ$169,$B7,115)+IF(AND($E7=1,NA7=0),25,0),INDEX('calcA'!DN$110:DN$114,$F7+1)+IF(AND($E7=1,NA7=0),1000,0)+IF($H7=1,INDEX('calcA'!$D$180:$EQ$219,$B7,115)*500,0)-IF(AND('calcA'!DM$117=1,YK7&gt;0),300,0)-IF(AND($U7=1,'calcA'!DN$117=1,HM7=0),300,0))),1000000000))</f>
        <v/>
      </c>
      <c r="SQ7">
        <f>IF($B7=0,1000000000,IF(INDEX('calcA'!$D$60:$EQ$99,$B7,116)*IF($W7=1,HM7+AEB7,HM7)=1,IF(AND($E7=2,IF($W7=1,AJQ7,NB7)=0),1000000000,IF($V7=1,INDEX('calcA'!$D$130:$EQ$169,$B7,116)+IF(AND($E7=1,NB7=0),25,0),INDEX('calcA'!DO$110:DO$114,$F7+1)+IF(AND($E7=1,NB7=0),1000,0)+IF($H7=1,INDEX('calcA'!$D$180:$EQ$219,$B7,116)*500,0)-IF(AND('calcA'!DN$117=1,YL7&gt;0),300,0)-IF(AND($U7=1,'calcA'!DO$117=1,HN7=0),300,0))),1000000000))</f>
        <v/>
      </c>
      <c r="SR7">
        <f>IF($B7=0,1000000000,IF(INDEX('calcA'!$D$60:$EQ$99,$B7,117)*IF($W7=1,HN7+AEC7,HN7)=1,IF(AND($E7=2,IF($W7=1,AJR7,NC7)=0),1000000000,IF($V7=1,INDEX('calcA'!$D$130:$EQ$169,$B7,117)+IF(AND($E7=1,NC7=0),25,0),INDEX('calcA'!DP$110:DP$114,$F7+1)+IF(AND($E7=1,NC7=0),1000,0)+IF($H7=1,INDEX('calcA'!$D$180:$EQ$219,$B7,117)*500,0)-IF(AND('calcA'!DO$117=1,YM7&gt;0),300,0)-IF(AND($U7=1,'calcA'!DP$117=1,HO7=0),300,0))),1000000000))</f>
        <v/>
      </c>
      <c r="SS7">
        <f>IF($B7=0,1000000000,IF(INDEX('calcA'!$D$60:$EQ$99,$B7,118)*IF($W7=1,HO7+AED7,HO7)=1,IF(AND($E7=2,IF($W7=1,AJS7,ND7)=0),1000000000,IF($V7=1,INDEX('calcA'!$D$130:$EQ$169,$B7,118)+IF(AND($E7=1,ND7=0),25,0),INDEX('calcA'!DQ$110:DQ$114,$F7+1)+IF(AND($E7=1,ND7=0),1000,0)+IF($H7=1,INDEX('calcA'!$D$180:$EQ$219,$B7,118)*500,0)-IF(AND('calcA'!DP$117=1,YN7&gt;0),300,0)-IF(AND($U7=1,'calcA'!DQ$117=1,HP7=0),300,0))),1000000000))</f>
        <v/>
      </c>
      <c r="ST7">
        <f>IF($B7=0,1000000000,IF(INDEX('calcA'!$D$60:$EQ$99,$B7,119)*IF($W7=1,HP7+AEE7,HP7)=1,IF(AND($E7=2,IF($W7=1,AJT7,NE7)=0),1000000000,IF($V7=1,INDEX('calcA'!$D$130:$EQ$169,$B7,119)+IF(AND($E7=1,NE7=0),25,0),INDEX('calcA'!DR$110:DR$114,$F7+1)+IF(AND($E7=1,NE7=0),1000,0)+IF($H7=1,INDEX('calcA'!$D$180:$EQ$219,$B7,119)*500,0)-IF(AND('calcA'!DQ$117=1,YO7&gt;0),300,0)-IF(AND($U7=1,'calcA'!DR$117=1,HQ7=0),300,0))),1000000000))</f>
        <v/>
      </c>
      <c r="SU7">
        <f>IF($B7=0,1000000000,IF(INDEX('calcA'!$D$60:$EQ$99,$B7,120)*IF($W7=1,HQ7+AEF7,HQ7)=1,IF(AND($E7=2,IF($W7=1,AJU7,NF7)=0),1000000000,IF($V7=1,INDEX('calcA'!$D$130:$EQ$169,$B7,120)+IF(AND($E7=1,NF7=0),25,0),INDEX('calcA'!DS$110:DS$114,$F7+1)+IF(AND($E7=1,NF7=0),1000,0)+IF($H7=1,INDEX('calcA'!$D$180:$EQ$219,$B7,120)*500,0)-IF(AND('calcA'!DR$117=1,YP7&gt;0),300,0))),1000000000))</f>
        <v/>
      </c>
      <c r="SV7">
        <f>IF($B7=0,1000000000,IF(INDEX('calcA'!$D$60:$EQ$99,$B7,121)*IF($W7=1,HR7+AEG7,HR7)=1,IF(AND($E7=2,IF($W7=1,AJV7,NG7)=0),1000000000,IF($V7=1,INDEX('calcA'!$D$130:$EQ$169,$B7,121)+IF(AND($E7=1,NG7=0),25,0),INDEX('calcA'!DT$110:DT$114,$F7+1)+IF(AND($E7=1,NG7=0),1000,0)+IF($H7=1,INDEX('calcA'!$D$180:$EQ$219,$B7,121)*500,0)-IF(AND($U7=1,'calcA'!DT$117=1,HS7=0),300,0))),1000000000))</f>
        <v/>
      </c>
      <c r="SW7">
        <f>IF($B7=0,1000000000,IF(INDEX('calcA'!$D$60:$EQ$99,$B7,122)*IF($W7=1,HS7+AEH7,HS7)=1,IF(AND($E7=2,IF($W7=1,AJW7,NH7)=0),1000000000,IF($V7=1,INDEX('calcA'!$D$130:$EQ$169,$B7,122)+IF(AND($E7=1,NH7=0),25,0),INDEX('calcA'!DU$110:DU$114,$F7+1)+IF(AND($E7=1,NH7=0),1000,0)+IF($H7=1,INDEX('calcA'!$D$180:$EQ$219,$B7,122)*500,0)-IF(AND('calcA'!DT$117=1,YR7&gt;0),300,0)-IF(AND($U7=1,'calcA'!DU$117=1,HT7=0),300,0))),1000000000))</f>
        <v/>
      </c>
      <c r="SX7">
        <f>IF($B7=0,1000000000,IF(INDEX('calcA'!$D$60:$EQ$99,$B7,123)*IF($W7=1,HT7+AEI7,HT7)=1,IF(AND($E7=2,IF($W7=1,AJX7,NI7)=0),1000000000,IF($V7=1,INDEX('calcA'!$D$130:$EQ$169,$B7,123)+IF(AND($E7=1,NI7=0),25,0),INDEX('calcA'!DV$110:DV$114,$F7+1)+IF(AND($E7=1,NI7=0),1000,0)+IF($H7=1,INDEX('calcA'!$D$180:$EQ$219,$B7,123)*500,0)-IF(AND('calcA'!DU$117=1,YS7&gt;0),300,0)-IF(AND($U7=1,'calcA'!DV$117=1,HU7=0),300,0))),1000000000))</f>
        <v/>
      </c>
      <c r="SY7">
        <f>IF($B7=0,1000000000,IF(INDEX('calcA'!$D$60:$EQ$99,$B7,124)*IF($W7=1,HU7+AEJ7,HU7)=1,IF(AND($E7=2,IF($W7=1,AJY7,NJ7)=0),1000000000,IF($V7=1,INDEX('calcA'!$D$130:$EQ$169,$B7,124)+IF(AND($E7=1,NJ7=0),25,0),INDEX('calcA'!DW$110:DW$114,$F7+1)+IF(AND($E7=1,NJ7=0),1000,0)+IF($H7=1,INDEX('calcA'!$D$180:$EQ$219,$B7,124)*500,0)-IF(AND('calcA'!DV$117=1,YT7&gt;0),300,0)-IF(AND($U7=1,'calcA'!DW$117=1,HV7=0),300,0))),1000000000))</f>
        <v/>
      </c>
      <c r="SZ7">
        <f>IF($B7=0,1000000000,IF(INDEX('calcA'!$D$60:$EQ$99,$B7,125)*IF($W7=1,HV7+AEK7,HV7)=1,IF(AND($E7=2,IF($W7=1,AJZ7,NK7)=0),1000000000,IF($V7=1,INDEX('calcA'!$D$130:$EQ$169,$B7,125)+IF(AND($E7=1,NK7=0),25,0),INDEX('calcA'!DX$110:DX$114,$F7+1)+IF(AND($E7=1,NK7=0),1000,0)+IF($H7=1,INDEX('calcA'!$D$180:$EQ$219,$B7,125)*500,0)-IF(AND('calcA'!DW$117=1,YU7&gt;0),300,0)-IF(AND($U7=1,'calcA'!DX$117=1,HW7=0),300,0))),1000000000))</f>
        <v/>
      </c>
      <c r="TA7">
        <f>IF($B7=0,1000000000,IF(INDEX('calcA'!$D$60:$EQ$99,$B7,126)*IF($W7=1,HW7+AEL7,HW7)=1,IF(AND($E7=2,IF($W7=1,AKA7,NL7)=0),1000000000,IF($V7=1,INDEX('calcA'!$D$130:$EQ$169,$B7,126)+IF(AND($E7=1,NL7=0),25,0),INDEX('calcA'!DY$110:DY$114,$F7+1)+IF(AND($E7=1,NL7=0),1000,0)+IF($H7=1,INDEX('calcA'!$D$180:$EQ$219,$B7,126)*500,0)-IF(AND('calcA'!DX$117=1,YV7&gt;0),300,0)-IF(AND($U7=1,'calcA'!DY$117=1,HX7=0),300,0))),1000000000))</f>
        <v/>
      </c>
      <c r="TB7">
        <f>IF($B7=0,1000000000,IF(INDEX('calcA'!$D$60:$EQ$99,$B7,127)*IF($W7=1,HX7+AEM7,HX7)=1,IF(AND($E7=2,IF($W7=1,AKB7,NM7)=0),1000000000,IF($V7=1,INDEX('calcA'!$D$130:$EQ$169,$B7,127)+IF(AND($E7=1,NM7=0),25,0),INDEX('calcA'!DZ$110:DZ$114,$F7+1)+IF(AND($E7=1,NM7=0),1000,0)+IF($H7=1,INDEX('calcA'!$D$180:$EQ$219,$B7,127)*500,0)-IF(AND('calcA'!DY$117=1,YW7&gt;0),300,0)-IF(AND($U7=1,'calcA'!DZ$117=1,HY7=0),300,0))),1000000000))</f>
        <v/>
      </c>
      <c r="TC7">
        <f>IF($B7=0,1000000000,IF(INDEX('calcA'!$D$60:$EQ$99,$B7,128)*IF($W7=1,HY7+AEN7,HY7)=1,IF(AND($E7=2,IF($W7=1,AKC7,NN7)=0),1000000000,IF($V7=1,INDEX('calcA'!$D$130:$EQ$169,$B7,128)+IF(AND($E7=1,NN7=0),25,0),INDEX('calcA'!EA$110:EA$114,$F7+1)+IF(AND($E7=1,NN7=0),1000,0)+IF($H7=1,INDEX('calcA'!$D$180:$EQ$219,$B7,128)*500,0)-IF(AND('calcA'!DZ$117=1,YX7&gt;0),300,0)-IF(AND($U7=1,'calcA'!EA$117=1,HZ7=0),300,0))),1000000000))</f>
        <v/>
      </c>
      <c r="TD7">
        <f>IF($B7=0,1000000000,IF(INDEX('calcA'!$D$60:$EQ$99,$B7,129)*IF($W7=1,HZ7+AEO7,HZ7)=1,IF(AND($E7=2,IF($W7=1,AKD7,NO7)=0),1000000000,IF($V7=1,INDEX('calcA'!$D$130:$EQ$169,$B7,129)+IF(AND($E7=1,NO7=0),25,0),INDEX('calcA'!EB$110:EB$114,$F7+1)+IF(AND($E7=1,NO7=0),1000,0)+IF($H7=1,INDEX('calcA'!$D$180:$EQ$219,$B7,129)*500,0)-IF(AND('calcA'!EA$117=1,YY7&gt;0),300,0)-IF(AND($U7=1,'calcA'!EB$117=1,IA7=0),300,0))),1000000000))</f>
        <v/>
      </c>
      <c r="TE7">
        <f>IF($B7=0,1000000000,IF(INDEX('calcA'!$D$60:$EQ$99,$B7,130)*IF($W7=1,IA7+AEP7,IA7)=1,IF(AND($E7=2,IF($W7=1,AKE7,NP7)=0),1000000000,IF($V7=1,INDEX('calcA'!$D$130:$EQ$169,$B7,130)+IF(AND($E7=1,NP7=0),25,0),INDEX('calcA'!EC$110:EC$114,$F7+1)+IF(AND($E7=1,NP7=0),1000,0)+IF($H7=1,INDEX('calcA'!$D$180:$EQ$219,$B7,130)*500,0)-IF(AND('calcA'!EB$117=1,YZ7&gt;0),300,0)-IF(AND($U7=1,'calcA'!EC$117=1,IB7=0),300,0))),1000000000))</f>
        <v/>
      </c>
      <c r="TF7">
        <f>IF($B7=0,1000000000,IF(INDEX('calcA'!$D$60:$EQ$99,$B7,131)*IF($W7=1,IB7+AEQ7,IB7)=1,IF(AND($E7=2,IF($W7=1,AKF7,NQ7)=0),1000000000,IF($V7=1,INDEX('calcA'!$D$130:$EQ$169,$B7,131)+IF(AND($E7=1,NQ7=0),25,0),INDEX('calcA'!ED$110:ED$114,$F7+1)+IF(AND($E7=1,NQ7=0),1000,0)+IF($H7=1,INDEX('calcA'!$D$180:$EQ$219,$B7,131)*500,0)-IF(AND('calcA'!EC$117=1,ZA7&gt;0),300,0)-IF(AND($U7=1,'calcA'!ED$117=1,IC7=0),300,0))),1000000000))</f>
        <v/>
      </c>
      <c r="TG7">
        <f>IF($B7=0,1000000000,IF(INDEX('calcA'!$D$60:$EQ$99,$B7,132)*IF($W7=1,IC7+AER7,IC7)=1,IF(AND($E7=2,IF($W7=1,AKG7,NR7)=0),1000000000,IF($V7=1,INDEX('calcA'!$D$130:$EQ$169,$B7,132)+IF(AND($E7=1,NR7=0),25,0),INDEX('calcA'!EE$110:EE$114,$F7+1)+IF(AND($E7=1,NR7=0),1000,0)+IF($H7=1,INDEX('calcA'!$D$180:$EQ$219,$B7,132)*500,0)-IF(AND('calcA'!ED$117=1,ZB7&gt;0),300,0)-IF(AND($U7=1,'calcA'!EE$117=1,ID7=0),300,0))),1000000000))</f>
        <v/>
      </c>
      <c r="TH7">
        <f>IF($B7=0,1000000000,IF(INDEX('calcA'!$D$60:$EQ$99,$B7,133)*IF($W7=1,ID7+AES7,ID7)=1,IF(AND($E7=2,IF($W7=1,AKH7,NS7)=0),1000000000,IF($V7=1,INDEX('calcA'!$D$130:$EQ$169,$B7,133)+IF(AND($E7=1,NS7=0),25,0),INDEX('calcA'!EF$110:EF$114,$F7+1)+IF(AND($E7=1,NS7=0),1000,0)+IF($H7=1,INDEX('calcA'!$D$180:$EQ$219,$B7,133)*500,0)-IF(AND('calcA'!EE$117=1,ZC7&gt;0),300,0)-IF(AND($U7=1,'calcA'!EF$117=1,IE7=0),300,0))),1000000000))</f>
        <v/>
      </c>
      <c r="TI7">
        <f>IF($B7=0,1000000000,IF(INDEX('calcA'!$D$60:$EQ$99,$B7,134)*IF($W7=1,IE7+AET7,IE7)=1,IF(AND($E7=2,IF($W7=1,AKI7,NT7)=0),1000000000,IF($V7=1,INDEX('calcA'!$D$130:$EQ$169,$B7,134)+IF(AND($E7=1,NT7=0),25,0),INDEX('calcA'!EG$110:EG$114,$F7+1)+IF(AND($E7=1,NT7=0),1000,0)+IF($H7=1,INDEX('calcA'!$D$180:$EQ$219,$B7,134)*500,0)-IF(AND('calcA'!EF$117=1,ZD7&gt;0),300,0)-IF(AND($U7=1,'calcA'!EG$117=1,IF7=0),300,0))),1000000000))</f>
        <v/>
      </c>
      <c r="TJ7">
        <f>IF($B7=0,1000000000,IF(INDEX('calcA'!$D$60:$EQ$99,$B7,135)*IF($W7=1,IF7+AEU7,IF7)=1,IF(AND($E7=2,IF($W7=1,AKJ7,NU7)=0),1000000000,IF($V7=1,INDEX('calcA'!$D$130:$EQ$169,$B7,135)+IF(AND($E7=1,NU7=0),25,0),INDEX('calcA'!EH$110:EH$114,$F7+1)+IF(AND($E7=1,NU7=0),1000,0)+IF($H7=1,INDEX('calcA'!$D$180:$EQ$219,$B7,135)*500,0)-IF(AND('calcA'!EG$117=1,ZE7&gt;0),300,0)-IF(AND($U7=1,'calcA'!EH$117=1,IG7=0),300,0))),1000000000))</f>
        <v/>
      </c>
      <c r="TK7">
        <f>IF($B7=0,1000000000,IF(INDEX('calcA'!$D$60:$EQ$99,$B7,136)*IF($W7=1,IG7+AEV7,IG7)=1,IF(AND($E7=2,IF($W7=1,AKK7,NV7)=0),1000000000,IF($V7=1,INDEX('calcA'!$D$130:$EQ$169,$B7,136)+IF(AND($E7=1,NV7=0),25,0),INDEX('calcA'!EI$110:EI$114,$F7+1)+IF(AND($E7=1,NV7=0),1000,0)+IF($H7=1,INDEX('calcA'!$D$180:$EQ$219,$B7,136)*500,0)-IF(AND('calcA'!EH$117=1,ZF7&gt;0),300,0)-IF(AND($U7=1,'calcA'!EI$117=1,IH7=0),300,0))),1000000000))</f>
        <v/>
      </c>
      <c r="TL7">
        <f>IF($B7=0,1000000000,IF(INDEX('calcA'!$D$60:$EQ$99,$B7,137)*IF($W7=1,IH7+AEW7,IH7)=1,IF(AND($E7=2,IF($W7=1,AKL7,NW7)=0),1000000000,IF($V7=1,INDEX('calcA'!$D$130:$EQ$169,$B7,137)+IF(AND($E7=1,NW7=0),25,0),INDEX('calcA'!EJ$110:EJ$114,$F7+1)+IF(AND($E7=1,NW7=0),1000,0)+IF($H7=1,INDEX('calcA'!$D$180:$EQ$219,$B7,137)*500,0)-IF(AND('calcA'!EI$117=1,ZG7&gt;0),300,0)-IF(AND($U7=1,'calcA'!EJ$117=1,II7=0),300,0))),1000000000))</f>
        <v/>
      </c>
      <c r="TM7">
        <f>IF($B7=0,1000000000,IF(INDEX('calcA'!$D$60:$EQ$99,$B7,138)*IF($W7=1,II7+AEX7,II7)=1,IF(AND($E7=2,IF($W7=1,AKM7,NX7)=0),1000000000,IF($V7=1,INDEX('calcA'!$D$130:$EQ$169,$B7,138)+IF(AND($E7=1,NX7=0),25,0),INDEX('calcA'!EK$110:EK$114,$F7+1)+IF(AND($E7=1,NX7=0),1000,0)+IF($H7=1,INDEX('calcA'!$D$180:$EQ$219,$B7,138)*500,0)-IF(AND('calcA'!EJ$117=1,ZH7&gt;0),300,0)-IF(AND($U7=1,'calcA'!EK$117=1,IJ7=0),300,0))),1000000000))</f>
        <v/>
      </c>
      <c r="TN7">
        <f>IF($B7=0,1000000000,IF(INDEX('calcA'!$D$60:$EQ$99,$B7,139)*IF($W7=1,IJ7+AEY7,IJ7)=1,IF(AND($E7=2,IF($W7=1,AKN7,NY7)=0),1000000000,IF($V7=1,INDEX('calcA'!$D$130:$EQ$169,$B7,139)+IF(AND($E7=1,NY7=0),25,0),INDEX('calcA'!EL$110:EL$114,$F7+1)+IF(AND($E7=1,NY7=0),1000,0)+IF($H7=1,INDEX('calcA'!$D$180:$EQ$219,$B7,139)*500,0)-IF(AND('calcA'!EK$117=1,ZI7&gt;0),300,0)-IF(AND($U7=1,'calcA'!EL$117=1,IK7=0),300,0))),1000000000))</f>
        <v/>
      </c>
      <c r="TO7">
        <f>IF($B7=0,1000000000,IF(INDEX('calcA'!$D$60:$EQ$99,$B7,140)*IF($W7=1,IK7+AEZ7,IK7)=1,IF(AND($E7=2,IF($W7=1,AKO7,NZ7)=0),1000000000,IF($V7=1,INDEX('calcA'!$D$130:$EQ$169,$B7,140)+IF(AND($E7=1,NZ7=0),25,0),INDEX('calcA'!EM$110:EM$114,$F7+1)+IF(AND($E7=1,NZ7=0),1000,0)+IF($H7=1,INDEX('calcA'!$D$180:$EQ$219,$B7,140)*500,0)-IF(AND('calcA'!EL$117=1,ZJ7&gt;0),300,0)-IF(AND($U7=1,'calcA'!EM$117=1,IL7=0),300,0))),1000000000))</f>
        <v/>
      </c>
      <c r="TP7">
        <f>IF($B7=0,1000000000,IF(INDEX('calcA'!$D$60:$EQ$99,$B7,141)*IF($W7=1,IL7+AFA7,IL7)=1,IF(AND($E7=2,IF($W7=1,AKP7,OA7)=0),1000000000,IF($V7=1,INDEX('calcA'!$D$130:$EQ$169,$B7,141)+IF(AND($E7=1,OA7=0),25,0),INDEX('calcA'!EN$110:EN$114,$F7+1)+IF(AND($E7=1,OA7=0),1000,0)+IF($H7=1,INDEX('calcA'!$D$180:$EQ$219,$B7,141)*500,0)-IF(AND('calcA'!EM$117=1,ZK7&gt;0),300,0)-IF(AND($U7=1,'calcA'!EN$117=1,IM7=0),300,0))),1000000000))</f>
        <v/>
      </c>
      <c r="TQ7">
        <f>IF($B7=0,1000000000,IF(INDEX('calcA'!$D$60:$EQ$99,$B7,142)*IF($W7=1,IM7+AFB7,IM7)=1,IF(AND($E7=2,IF($W7=1,AKQ7,OB7)=0),1000000000,IF($V7=1,INDEX('calcA'!$D$130:$EQ$169,$B7,142)+IF(AND($E7=1,OB7=0),25,0),INDEX('calcA'!EO$110:EO$114,$F7+1)+IF(AND($E7=1,OB7=0),1000,0)+IF($H7=1,INDEX('calcA'!$D$180:$EQ$219,$B7,142)*500,0)-IF(AND('calcA'!EN$117=1,ZL7&gt;0),300,0)-IF(AND($U7=1,'calcA'!EO$117=1,IN7=0),300,0))),1000000000))</f>
        <v/>
      </c>
      <c r="TR7">
        <f>IF($B7=0,1000000000,IF(INDEX('calcA'!$D$60:$EQ$99,$B7,143)*IF($W7=1,IN7+AFC7,IN7)=1,IF(AND($E7=2,IF($W7=1,AKR7,OC7)=0),1000000000,IF($V7=1,INDEX('calcA'!$D$130:$EQ$169,$B7,143)+IF(AND($E7=1,OC7=0),25,0),INDEX('calcA'!EP$110:EP$114,$F7+1)+IF(AND($E7=1,OC7=0),1000,0)+IF($H7=1,INDEX('calcA'!$D$180:$EQ$219,$B7,143)*500,0)-IF(AND('calcA'!EO$117=1,ZM7&gt;0),300,0)-IF(AND($U7=1,'calcA'!EP$117=1,IO7=0),300,0))),1000000000))</f>
        <v/>
      </c>
      <c r="TS7">
        <f>IF($B7=0,1000000000,IF(INDEX('calcA'!$D$60:$EQ$99,$B7,144)*IF($W7=1,IO7+AFD7,IO7)=1,IF(AND($E7=2,IF($W7=1,AKS7,OD7)=0),1000000000,IF($V7=1,INDEX('calcA'!$D$130:$EQ$169,$B7,144)+IF(AND($E7=1,OD7=0),25,0),INDEX('calcA'!EQ$110:EQ$114,$F7+1)+IF(AND($E7=1,OD7=0),1000,0)+IF($H7=1,INDEX('calcA'!$D$180:$EQ$219,$B7,144)*500,0)-IF(AND('calcA'!EP$117=1,ZN7&gt;0),300,0))),1000000000))</f>
        <v/>
      </c>
      <c r="UB7">
        <f>UB6+IF(AND($C6=1,$U6=1),1,0)</f>
        <v/>
      </c>
      <c r="UC7">
        <f>UC6+IF(AND($C6=2,$U6=1),1,0)</f>
        <v/>
      </c>
      <c r="UD7">
        <f>UD6+IF(AND($C6=3,$U6=1),1,0)</f>
        <v/>
      </c>
      <c r="UE7">
        <f>UE6+IF(AND($C6=4,$U6=1),1,0)</f>
        <v/>
      </c>
      <c r="UF7">
        <f>UF6+IF(AND($C6=5,$U6=1),1,0)</f>
        <v/>
      </c>
      <c r="UG7">
        <f>UG6+IF(AND($C6=6,$U6=1),1,0)</f>
        <v/>
      </c>
      <c r="UH7">
        <f>UH6+IF(AND($C6=7,$U6=1),1,0)</f>
        <v/>
      </c>
      <c r="UI7">
        <f>UI6+IF(AND($C6=8,$U6=1),1,0)</f>
        <v/>
      </c>
      <c r="UJ7">
        <f>UJ6+IF(AND($C6=9,$U6=1),1,0)</f>
        <v/>
      </c>
      <c r="UK7">
        <f>UK6+IF(AND($C6=10,$U6=1),1,0)</f>
        <v/>
      </c>
      <c r="UL7">
        <f>UL6+IF(AND($C6=11,$U6=1),1,0)</f>
        <v/>
      </c>
      <c r="UM7">
        <f>UM6+IF(AND($C6=12,$U6=1),1,0)</f>
        <v/>
      </c>
      <c r="UN7">
        <f>UN6+IF(AND($C6=13,$U6=1),1,0)</f>
        <v/>
      </c>
      <c r="UO7">
        <f>UO6+IF(AND($C6=14,$U6=1),1,0)</f>
        <v/>
      </c>
      <c r="UP7">
        <f>UP6+IF(AND($C6=15,$U6=1),1,0)</f>
        <v/>
      </c>
      <c r="UQ7">
        <f>UQ6+IF(AND($C6=16,$U6=1),1,0)</f>
        <v/>
      </c>
      <c r="UR7">
        <f>UR6+IF(AND($C6=17,$U6=1),1,0)</f>
        <v/>
      </c>
      <c r="US7">
        <f>US6+IF(AND($C6=18,$U6=1),1,0)</f>
        <v/>
      </c>
      <c r="UT7">
        <f>UT6+IF(AND($C6=19,$U6=1),1,0)</f>
        <v/>
      </c>
      <c r="UU7">
        <f>UU6+IF(AND($C6=20,$U6=1),1,0)</f>
        <v/>
      </c>
      <c r="UV7">
        <f>UV6+IF(AND($C6=21,$U6=1),1,0)</f>
        <v/>
      </c>
      <c r="UW7">
        <f>UW6+IF(AND($C6=22,$U6=1),1,0)</f>
        <v/>
      </c>
      <c r="UX7">
        <f>UX6+IF(AND($C6=23,$U6=1),1,0)</f>
        <v/>
      </c>
      <c r="UY7">
        <f>UY6+IF(AND($C6=24,$U6=1),1,0)</f>
        <v/>
      </c>
      <c r="UZ7">
        <f>UZ6+IF(AND($C6=25,$U6=1),1,0)</f>
        <v/>
      </c>
      <c r="VA7">
        <f>VA6+IF(AND($C6=26,$U6=1),1,0)</f>
        <v/>
      </c>
      <c r="VB7">
        <f>VB6+IF(AND($C6=27,$U6=1),1,0)</f>
        <v/>
      </c>
      <c r="VC7">
        <f>VC6+IF(AND($C6=28,$U6=1),1,0)</f>
        <v/>
      </c>
      <c r="VD7">
        <f>VD6+IF(AND($C6=29,$U6=1),1,0)</f>
        <v/>
      </c>
      <c r="VE7">
        <f>VE6+IF(AND($C6=30,$U6=1),1,0)</f>
        <v/>
      </c>
      <c r="VF7">
        <f>VF6+IF(AND($C6=31,$U6=1),1,0)</f>
        <v/>
      </c>
      <c r="VG7">
        <f>VG6+IF(AND($C6=32,$U6=1),1,0)</f>
        <v/>
      </c>
      <c r="VH7">
        <f>VH6+IF(AND($C6=33,$U6=1),1,0)</f>
        <v/>
      </c>
      <c r="VI7">
        <f>VI6+IF(AND($C6=34,$U6=1),1,0)</f>
        <v/>
      </c>
      <c r="VJ7">
        <f>VJ6+IF(AND($C6=35,$U6=1),1,0)</f>
        <v/>
      </c>
      <c r="VK7">
        <f>VK6+IF(AND($C6=36,$U6=1),1,0)</f>
        <v/>
      </c>
      <c r="VL7">
        <f>VL6+IF(AND($C6=37,$U6=1),1,0)</f>
        <v/>
      </c>
      <c r="VM7">
        <f>VM6+IF(AND($C6=38,$U6=1),1,0)</f>
        <v/>
      </c>
      <c r="VN7">
        <f>VN6+IF(AND($C6=39,$U6=1),1,0)</f>
        <v/>
      </c>
      <c r="VO7">
        <f>VO6+IF(AND($C6=40,$U6=1),1,0)</f>
        <v/>
      </c>
      <c r="VP7">
        <f>VP6+IF(AND($C6=41,$U6=1),1,0)</f>
        <v/>
      </c>
      <c r="VQ7">
        <f>VQ6+IF(AND($C6=42,$U6=1),1,0)</f>
        <v/>
      </c>
      <c r="VR7">
        <f>VR6+IF(AND($C6=43,$U6=1),1,0)</f>
        <v/>
      </c>
      <c r="VS7">
        <f>VS6+IF(AND($C6=44,$U6=1),1,0)</f>
        <v/>
      </c>
      <c r="VT7">
        <f>VT6+IF(AND($C6=45,$U6=1),1,0)</f>
        <v/>
      </c>
      <c r="VU7">
        <f>VU6+IF(AND($C6=46,$U6=1),1,0)</f>
        <v/>
      </c>
      <c r="VV7">
        <f>VV6+IF(AND($C6=47,$U6=1),1,0)</f>
        <v/>
      </c>
      <c r="VW7">
        <f>VW6+IF(AND($C6=48,$U6=1),1,0)</f>
        <v/>
      </c>
      <c r="VX7">
        <f>VX6+IF(AND($C6=49,$U6=1),1,0)</f>
        <v/>
      </c>
      <c r="VY7">
        <f>VY6+IF(AND($C6=50,$U6=1),1,0)</f>
        <v/>
      </c>
      <c r="VZ7">
        <f>VZ6+IF(AND($C6=51,$U6=1),1,0)</f>
        <v/>
      </c>
      <c r="WA7">
        <f>WA6+IF(AND($C6=52,$U6=1),1,0)</f>
        <v/>
      </c>
      <c r="WB7">
        <f>WB6+IF(AND($C6=53,$U6=1),1,0)</f>
        <v/>
      </c>
      <c r="WC7">
        <f>WC6+IF(AND($C6=54,$U6=1),1,0)</f>
        <v/>
      </c>
      <c r="WD7">
        <f>WD6+IF(AND($C6=55,$U6=1),1,0)</f>
        <v/>
      </c>
      <c r="WE7">
        <f>WE6+IF(AND($C6=56,$U6=1),1,0)</f>
        <v/>
      </c>
      <c r="WF7">
        <f>WF6+IF(AND($C6=57,$U6=1),1,0)</f>
        <v/>
      </c>
      <c r="WG7">
        <f>WG6+IF(AND($C6=58,$U6=1),1,0)</f>
        <v/>
      </c>
      <c r="WH7">
        <f>WH6+IF(AND($C6=59,$U6=1),1,0)</f>
        <v/>
      </c>
      <c r="WI7">
        <f>WI6+IF(AND($C6=60,$U6=1),1,0)</f>
        <v/>
      </c>
      <c r="WJ7">
        <f>WJ6+IF(AND($C6=61,$U6=1),1,0)</f>
        <v/>
      </c>
      <c r="WK7">
        <f>WK6+IF(AND($C6=62,$U6=1),1,0)</f>
        <v/>
      </c>
      <c r="WL7">
        <f>WL6+IF(AND($C6=63,$U6=1),1,0)</f>
        <v/>
      </c>
      <c r="WM7">
        <f>WM6+IF(AND($C6=64,$U6=1),1,0)</f>
        <v/>
      </c>
      <c r="WN7">
        <f>WN6+IF(AND($C6=65,$U6=1),1,0)</f>
        <v/>
      </c>
      <c r="WO7">
        <f>WO6+IF(AND($C6=66,$U6=1),1,0)</f>
        <v/>
      </c>
      <c r="WP7">
        <f>WP6+IF(AND($C6=67,$U6=1),1,0)</f>
        <v/>
      </c>
      <c r="WQ7">
        <f>WQ6+IF(AND($C6=68,$U6=1),1,0)</f>
        <v/>
      </c>
      <c r="WR7">
        <f>WR6+IF(AND($C6=69,$U6=1),1,0)</f>
        <v/>
      </c>
      <c r="WS7">
        <f>WS6+IF(AND($C6=70,$U6=1),1,0)</f>
        <v/>
      </c>
      <c r="WT7">
        <f>WT6+IF(AND($C6=71,$U6=1),1,0)</f>
        <v/>
      </c>
      <c r="WU7">
        <f>WU6+IF(AND($C6=72,$U6=1),1,0)</f>
        <v/>
      </c>
      <c r="WV7">
        <f>WV6+IF(AND($C6=73,$U6=1),1,0)</f>
        <v/>
      </c>
      <c r="WW7">
        <f>WW6+IF(AND($C6=74,$U6=1),1,0)</f>
        <v/>
      </c>
      <c r="WX7">
        <f>WX6+IF(AND($C6=75,$U6=1),1,0)</f>
        <v/>
      </c>
      <c r="WY7">
        <f>WY6+IF(AND($C6=76,$U6=1),1,0)</f>
        <v/>
      </c>
      <c r="WZ7">
        <f>WZ6+IF(AND($C6=77,$U6=1),1,0)</f>
        <v/>
      </c>
      <c r="XA7">
        <f>XA6+IF(AND($C6=78,$U6=1),1,0)</f>
        <v/>
      </c>
      <c r="XB7">
        <f>XB6+IF(AND($C6=79,$U6=1),1,0)</f>
        <v/>
      </c>
      <c r="XC7">
        <f>XC6+IF(AND($C6=80,$U6=1),1,0)</f>
        <v/>
      </c>
      <c r="XD7">
        <f>XD6+IF(AND($C6=81,$U6=1),1,0)</f>
        <v/>
      </c>
      <c r="XE7">
        <f>XE6+IF(AND($C6=82,$U6=1),1,0)</f>
        <v/>
      </c>
      <c r="XF7">
        <f>XF6+IF(AND($C6=83,$U6=1),1,0)</f>
        <v/>
      </c>
      <c r="XG7">
        <f>XG6+IF(AND($C6=84,$U6=1),1,0)</f>
        <v/>
      </c>
      <c r="XH7">
        <f>XH6+IF(AND($C6=85,$U6=1),1,0)</f>
        <v/>
      </c>
      <c r="XI7">
        <f>XI6+IF(AND($C6=86,$U6=1),1,0)</f>
        <v/>
      </c>
      <c r="XJ7">
        <f>XJ6+IF(AND($C6=87,$U6=1),1,0)</f>
        <v/>
      </c>
      <c r="XK7">
        <f>XK6+IF(AND($C6=88,$U6=1),1,0)</f>
        <v/>
      </c>
      <c r="XL7">
        <f>XL6+IF(AND($C6=89,$U6=1),1,0)</f>
        <v/>
      </c>
      <c r="XM7">
        <f>XM6+IF(AND($C6=90,$U6=1),1,0)</f>
        <v/>
      </c>
      <c r="XN7">
        <f>XN6+IF(AND($C6=91,$U6=1),1,0)</f>
        <v/>
      </c>
      <c r="XO7">
        <f>XO6+IF(AND($C6=92,$U6=1),1,0)</f>
        <v/>
      </c>
      <c r="XP7">
        <f>XP6+IF(AND($C6=93,$U6=1),1,0)</f>
        <v/>
      </c>
      <c r="XQ7">
        <f>XQ6+IF(AND($C6=94,$U6=1),1,0)</f>
        <v/>
      </c>
      <c r="XR7">
        <f>XR6+IF(AND($C6=95,$U6=1),1,0)</f>
        <v/>
      </c>
      <c r="XS7">
        <f>XS6+IF(AND($C6=96,$U6=1),1,0)</f>
        <v/>
      </c>
      <c r="XT7">
        <f>XT6+IF(AND($C6=97,$U6=1),1,0)</f>
        <v/>
      </c>
      <c r="XU7">
        <f>XU6+IF(AND($C6=98,$U6=1),1,0)</f>
        <v/>
      </c>
      <c r="XV7">
        <f>XV6+IF(AND($C6=99,$U6=1),1,0)</f>
        <v/>
      </c>
      <c r="XW7">
        <f>XW6+IF(AND($C6=100,$U6=1),1,0)</f>
        <v/>
      </c>
      <c r="XX7">
        <f>XX6+IF(AND($C6=101,$U6=1),1,0)</f>
        <v/>
      </c>
      <c r="XY7">
        <f>XY6+IF(AND($C6=102,$U6=1),1,0)</f>
        <v/>
      </c>
      <c r="XZ7">
        <f>XZ6+IF(AND($C6=103,$U6=1),1,0)</f>
        <v/>
      </c>
      <c r="YA7">
        <f>YA6+IF(AND($C6=104,$U6=1),1,0)</f>
        <v/>
      </c>
      <c r="YB7">
        <f>YB6+IF(AND($C6=105,$U6=1),1,0)</f>
        <v/>
      </c>
      <c r="YC7">
        <f>YC6+IF(AND($C6=106,$U6=1),1,0)</f>
        <v/>
      </c>
      <c r="YD7">
        <f>YD6+IF(AND($C6=107,$U6=1),1,0)</f>
        <v/>
      </c>
      <c r="YE7">
        <f>YE6+IF(AND($C6=108,$U6=1),1,0)</f>
        <v/>
      </c>
      <c r="YF7">
        <f>YF6+IF(AND($C6=109,$U6=1),1,0)</f>
        <v/>
      </c>
      <c r="YG7">
        <f>YG6+IF(AND($C6=110,$U6=1),1,0)</f>
        <v/>
      </c>
      <c r="YH7">
        <f>YH6+IF(AND($C6=111,$U6=1),1,0)</f>
        <v/>
      </c>
      <c r="YI7">
        <f>YI6+IF(AND($C6=112,$U6=1),1,0)</f>
        <v/>
      </c>
      <c r="YJ7">
        <f>YJ6+IF(AND($C6=113,$U6=1),1,0)</f>
        <v/>
      </c>
      <c r="YK7">
        <f>YK6+IF(AND($C6=114,$U6=1),1,0)</f>
        <v/>
      </c>
      <c r="YL7">
        <f>YL6+IF(AND($C6=115,$U6=1),1,0)</f>
        <v/>
      </c>
      <c r="YM7">
        <f>YM6+IF(AND($C6=116,$U6=1),1,0)</f>
        <v/>
      </c>
      <c r="YN7">
        <f>YN6+IF(AND($C6=117,$U6=1),1,0)</f>
        <v/>
      </c>
      <c r="YO7">
        <f>YO6+IF(AND($C6=118,$U6=1),1,0)</f>
        <v/>
      </c>
      <c r="YP7">
        <f>YP6+IF(AND($C6=119,$U6=1),1,0)</f>
        <v/>
      </c>
      <c r="YQ7">
        <f>YQ6+IF(AND($C6=120,$U6=1),1,0)</f>
        <v/>
      </c>
      <c r="YR7">
        <f>YR6+IF(AND($C6=121,$U6=1),1,0)</f>
        <v/>
      </c>
      <c r="YS7">
        <f>YS6+IF(AND($C6=122,$U6=1),1,0)</f>
        <v/>
      </c>
      <c r="YT7">
        <f>YT6+IF(AND($C6=123,$U6=1),1,0)</f>
        <v/>
      </c>
      <c r="YU7">
        <f>YU6+IF(AND($C6=124,$U6=1),1,0)</f>
        <v/>
      </c>
      <c r="YV7">
        <f>YV6+IF(AND($C6=125,$U6=1),1,0)</f>
        <v/>
      </c>
      <c r="YW7">
        <f>YW6+IF(AND($C6=126,$U6=1),1,0)</f>
        <v/>
      </c>
      <c r="YX7">
        <f>YX6+IF(AND($C6=127,$U6=1),1,0)</f>
        <v/>
      </c>
      <c r="YY7">
        <f>YY6+IF(AND($C6=128,$U6=1),1,0)</f>
        <v/>
      </c>
      <c r="YZ7">
        <f>YZ6+IF(AND($C6=129,$U6=1),1,0)</f>
        <v/>
      </c>
      <c r="ZA7">
        <f>ZA6+IF(AND($C6=130,$U6=1),1,0)</f>
        <v/>
      </c>
      <c r="ZB7">
        <f>ZB6+IF(AND($C6=131,$U6=1),1,0)</f>
        <v/>
      </c>
      <c r="ZC7">
        <f>ZC6+IF(AND($C6=132,$U6=1),1,0)</f>
        <v/>
      </c>
      <c r="ZD7">
        <f>ZD6+IF(AND($C6=133,$U6=1),1,0)</f>
        <v/>
      </c>
      <c r="ZE7">
        <f>ZE6+IF(AND($C6=134,$U6=1),1,0)</f>
        <v/>
      </c>
      <c r="ZF7">
        <f>ZF6+IF(AND($C6=135,$U6=1),1,0)</f>
        <v/>
      </c>
      <c r="ZG7">
        <f>ZG6+IF(AND($C6=136,$U6=1),1,0)</f>
        <v/>
      </c>
      <c r="ZH7">
        <f>ZH6+IF(AND($C6=137,$U6=1),1,0)</f>
        <v/>
      </c>
      <c r="ZI7">
        <f>ZI6+IF(AND($C6=138,$U6=1),1,0)</f>
        <v/>
      </c>
      <c r="ZJ7">
        <f>ZJ6+IF(AND($C6=139,$U6=1),1,0)</f>
        <v/>
      </c>
      <c r="ZK7">
        <f>ZK6+IF(AND($C6=140,$U6=1),1,0)</f>
        <v/>
      </c>
      <c r="ZL7">
        <f>ZL6+IF(AND($C6=141,$U6=1),1,0)</f>
        <v/>
      </c>
      <c r="ZM7">
        <f>ZM6+IF(AND($C6=142,$U6=1),1,0)</f>
        <v/>
      </c>
      <c r="ZN7">
        <f>ZN6+IF(AND($C6=143,$U6=1),1,0)</f>
        <v/>
      </c>
      <c r="ZO7">
        <f>ZO6+IF(AND($C6=144,$U6=1),1,0)</f>
        <v/>
      </c>
      <c r="ZQ7">
        <f>IF($C6=1,0,ZQ6+IF(AND($G6=1,$E6=1),1,0))</f>
        <v/>
      </c>
      <c r="ZR7">
        <f>IF($C6=2,0,ZR6+IF(AND($G6=2,$E6=1),1,0))</f>
        <v/>
      </c>
      <c r="ZS7">
        <f>IF($C6=3,0,ZS6+IF(AND($G6=3,$E6=1),1,0))</f>
        <v/>
      </c>
      <c r="ZT7">
        <f>IF($C6=4,0,ZT6+IF(AND($G6=4,$E6=1),1,0))</f>
        <v/>
      </c>
      <c r="ZU7">
        <f>IF($C6=5,0,ZU6+IF(AND($G6=5,$E6=1),1,0))</f>
        <v/>
      </c>
      <c r="ZV7">
        <f>IF($C6=6,0,ZV6+IF(AND($G6=6,$E6=1),1,0))</f>
        <v/>
      </c>
      <c r="ZW7">
        <f>IF($C6=7,0,ZW6+IF(AND($G6=7,$E6=1),1,0))</f>
        <v/>
      </c>
      <c r="ZX7">
        <f>IF($C6=8,0,ZX6+IF(AND($G6=8,$E6=1),1,0))</f>
        <v/>
      </c>
      <c r="ZY7">
        <f>IF($C6=9,0,ZY6+IF(AND($G6=9,$E6=1),1,0))</f>
        <v/>
      </c>
      <c r="ZZ7">
        <f>IF($C6=10,0,ZZ6+IF(AND($G6=10,$E6=1),1,0))</f>
        <v/>
      </c>
      <c r="AAA7">
        <f>IF($C6=11,0,AAA6+IF(AND($G6=11,$E6=1),1,0))</f>
        <v/>
      </c>
      <c r="AAB7">
        <f>IF($C6=12,0,AAB6+IF(AND($G6=12,$E6=1),1,0))</f>
        <v/>
      </c>
      <c r="AAC7">
        <f>IF($C6=13,0,AAC6+IF(AND($G6=13,$E6=1),1,0))</f>
        <v/>
      </c>
      <c r="AAD7">
        <f>IF($C6=14,0,AAD6+IF(AND($G6=14,$E6=1),1,0))</f>
        <v/>
      </c>
      <c r="AAE7">
        <f>IF($C6=15,0,AAE6+IF(AND($G6=15,$E6=1),1,0))</f>
        <v/>
      </c>
      <c r="AAF7">
        <f>IF($C6=16,0,AAF6+IF(AND($G6=16,$E6=1),1,0))</f>
        <v/>
      </c>
      <c r="AAG7">
        <f>IF($C6=17,0,AAG6+IF(AND($G6=17,$E6=1),1,0))</f>
        <v/>
      </c>
      <c r="AAH7">
        <f>IF($C6=18,0,AAH6+IF(AND($G6=18,$E6=1),1,0))</f>
        <v/>
      </c>
      <c r="AAI7">
        <f>IF($C6=19,0,AAI6+IF(AND($G6=19,$E6=1),1,0))</f>
        <v/>
      </c>
      <c r="AAJ7">
        <f>IF($C6=20,0,AAJ6+IF(AND($G6=20,$E6=1),1,0))</f>
        <v/>
      </c>
      <c r="AAK7">
        <f>IF($C6=21,0,AAK6+IF(AND($G6=21,$E6=1),1,0))</f>
        <v/>
      </c>
      <c r="AAL7">
        <f>IF($C6=22,0,AAL6+IF(AND($G6=22,$E6=1),1,0))</f>
        <v/>
      </c>
      <c r="AAM7">
        <f>IF($C6=23,0,AAM6+IF(AND($G6=23,$E6=1),1,0))</f>
        <v/>
      </c>
      <c r="AAN7">
        <f>IF($C6=24,0,AAN6+IF(AND($G6=24,$E6=1),1,0))</f>
        <v/>
      </c>
      <c r="AAO7">
        <f>IF($C6=25,0,AAO6+IF(AND($G6=25,$E6=1),1,0))</f>
        <v/>
      </c>
      <c r="AAP7">
        <f>IF($C6=26,0,AAP6+IF(AND($G6=26,$E6=1),1,0))</f>
        <v/>
      </c>
      <c r="AAQ7">
        <f>IF($C6=27,0,AAQ6+IF(AND($G6=27,$E6=1),1,0))</f>
        <v/>
      </c>
      <c r="AAR7">
        <f>IF($C6=28,0,AAR6+IF(AND($G6=28,$E6=1),1,0))</f>
        <v/>
      </c>
      <c r="AAS7">
        <f>IF($C6=29,0,AAS6+IF(AND($G6=29,$E6=1),1,0))</f>
        <v/>
      </c>
      <c r="AAT7">
        <f>IF($C6=30,0,AAT6+IF(AND($G6=30,$E6=1),1,0))</f>
        <v/>
      </c>
      <c r="AAU7">
        <f>IF($C6=31,0,AAU6+IF(AND($G6=31,$E6=1),1,0))</f>
        <v/>
      </c>
      <c r="AAV7">
        <f>IF($C6=32,0,AAV6+IF(AND($G6=32,$E6=1),1,0))</f>
        <v/>
      </c>
      <c r="AAW7">
        <f>IF($C6=33,0,AAW6+IF(AND($G6=33,$E6=1),1,0))</f>
        <v/>
      </c>
      <c r="AAX7">
        <f>IF($C6=34,0,AAX6+IF(AND($G6=34,$E6=1),1,0))</f>
        <v/>
      </c>
      <c r="AAY7">
        <f>IF($C6=35,0,AAY6+IF(AND($G6=35,$E6=1),1,0))</f>
        <v/>
      </c>
      <c r="AAZ7">
        <f>IF($C6=36,0,AAZ6+IF(AND($G6=36,$E6=1),1,0))</f>
        <v/>
      </c>
      <c r="ABA7">
        <f>IF($C6=37,0,ABA6+IF(AND($G6=37,$E6=1),1,0))</f>
        <v/>
      </c>
      <c r="ABB7">
        <f>IF($C6=38,0,ABB6+IF(AND($G6=38,$E6=1),1,0))</f>
        <v/>
      </c>
      <c r="ABC7">
        <f>IF($C6=39,0,ABC6+IF(AND($G6=39,$E6=1),1,0))</f>
        <v/>
      </c>
      <c r="ABD7">
        <f>IF($C6=40,0,ABD6+IF(AND($G6=40,$E6=1),1,0))</f>
        <v/>
      </c>
      <c r="ABE7">
        <f>IF($C6=41,0,ABE6+IF(AND($G6=41,$E6=1),1,0))</f>
        <v/>
      </c>
      <c r="ABF7">
        <f>IF($C6=42,0,ABF6+IF(AND($G6=42,$E6=1),1,0))</f>
        <v/>
      </c>
      <c r="ABG7">
        <f>IF($C6=43,0,ABG6+IF(AND($G6=43,$E6=1),1,0))</f>
        <v/>
      </c>
      <c r="ABH7">
        <f>IF($C6=44,0,ABH6+IF(AND($G6=44,$E6=1),1,0))</f>
        <v/>
      </c>
      <c r="ABI7">
        <f>IF($C6=45,0,ABI6+IF(AND($G6=45,$E6=1),1,0))</f>
        <v/>
      </c>
      <c r="ABJ7">
        <f>IF($C6=46,0,ABJ6+IF(AND($G6=46,$E6=1),1,0))</f>
        <v/>
      </c>
      <c r="ABK7">
        <f>IF($C6=47,0,ABK6+IF(AND($G6=47,$E6=1),1,0))</f>
        <v/>
      </c>
      <c r="ABL7">
        <f>IF($C6=48,0,ABL6+IF(AND($G6=48,$E6=1),1,0))</f>
        <v/>
      </c>
      <c r="ABM7">
        <f>IF($C6=49,0,ABM6+IF(AND($G6=49,$E6=1),1,0))</f>
        <v/>
      </c>
      <c r="ABN7">
        <f>IF($C6=50,0,ABN6+IF(AND($G6=50,$E6=1),1,0))</f>
        <v/>
      </c>
      <c r="ABO7">
        <f>IF($C6=51,0,ABO6+IF(AND($G6=51,$E6=1),1,0))</f>
        <v/>
      </c>
      <c r="ABP7">
        <f>IF($C6=52,0,ABP6+IF(AND($G6=52,$E6=1),1,0))</f>
        <v/>
      </c>
      <c r="ABQ7">
        <f>IF($C6=53,0,ABQ6+IF(AND($G6=53,$E6=1),1,0))</f>
        <v/>
      </c>
      <c r="ABR7">
        <f>IF($C6=54,0,ABR6+IF(AND($G6=54,$E6=1),1,0))</f>
        <v/>
      </c>
      <c r="ABS7">
        <f>IF($C6=55,0,ABS6+IF(AND($G6=55,$E6=1),1,0))</f>
        <v/>
      </c>
      <c r="ABT7">
        <f>IF($C6=56,0,ABT6+IF(AND($G6=56,$E6=1),1,0))</f>
        <v/>
      </c>
      <c r="ABU7">
        <f>IF($C6=57,0,ABU6+IF(AND($G6=57,$E6=1),1,0))</f>
        <v/>
      </c>
      <c r="ABV7">
        <f>IF($C6=58,0,ABV6+IF(AND($G6=58,$E6=1),1,0))</f>
        <v/>
      </c>
      <c r="ABW7">
        <f>IF($C6=59,0,ABW6+IF(AND($G6=59,$E6=1),1,0))</f>
        <v/>
      </c>
      <c r="ABX7">
        <f>IF($C6=60,0,ABX6+IF(AND($G6=60,$E6=1),1,0))</f>
        <v/>
      </c>
      <c r="ABY7">
        <f>IF($C6=61,0,ABY6+IF(AND($G6=61,$E6=1),1,0))</f>
        <v/>
      </c>
      <c r="ABZ7">
        <f>IF($C6=62,0,ABZ6+IF(AND($G6=62,$E6=1),1,0))</f>
        <v/>
      </c>
      <c r="ACA7">
        <f>IF($C6=63,0,ACA6+IF(AND($G6=63,$E6=1),1,0))</f>
        <v/>
      </c>
      <c r="ACB7">
        <f>IF($C6=64,0,ACB6+IF(AND($G6=64,$E6=1),1,0))</f>
        <v/>
      </c>
      <c r="ACC7">
        <f>IF($C6=65,0,ACC6+IF(AND($G6=65,$E6=1),1,0))</f>
        <v/>
      </c>
      <c r="ACD7">
        <f>IF($C6=66,0,ACD6+IF(AND($G6=66,$E6=1),1,0))</f>
        <v/>
      </c>
      <c r="ACE7">
        <f>IF($C6=67,0,ACE6+IF(AND($G6=67,$E6=1),1,0))</f>
        <v/>
      </c>
      <c r="ACF7">
        <f>IF($C6=68,0,ACF6+IF(AND($G6=68,$E6=1),1,0))</f>
        <v/>
      </c>
      <c r="ACG7">
        <f>IF($C6=69,0,ACG6+IF(AND($G6=69,$E6=1),1,0))</f>
        <v/>
      </c>
      <c r="ACH7">
        <f>IF($C6=70,0,ACH6+IF(AND($G6=70,$E6=1),1,0))</f>
        <v/>
      </c>
      <c r="ACI7">
        <f>IF($C6=71,0,ACI6+IF(AND($G6=71,$E6=1),1,0))</f>
        <v/>
      </c>
      <c r="ACJ7">
        <f>IF($C6=72,0,ACJ6+IF(AND($G6=72,$E6=1),1,0))</f>
        <v/>
      </c>
      <c r="ACK7">
        <f>IF($C6=73,0,ACK6+IF(AND($G6=73,$E6=1),1,0))</f>
        <v/>
      </c>
      <c r="ACL7">
        <f>IF($C6=74,0,ACL6+IF(AND($G6=74,$E6=1),1,0))</f>
        <v/>
      </c>
      <c r="ACM7">
        <f>IF($C6=75,0,ACM6+IF(AND($G6=75,$E6=1),1,0))</f>
        <v/>
      </c>
      <c r="ACN7">
        <f>IF($C6=76,0,ACN6+IF(AND($G6=76,$E6=1),1,0))</f>
        <v/>
      </c>
      <c r="ACO7">
        <f>IF($C6=77,0,ACO6+IF(AND($G6=77,$E6=1),1,0))</f>
        <v/>
      </c>
      <c r="ACP7">
        <f>IF($C6=78,0,ACP6+IF(AND($G6=78,$E6=1),1,0))</f>
        <v/>
      </c>
      <c r="ACQ7">
        <f>IF($C6=79,0,ACQ6+IF(AND($G6=79,$E6=1),1,0))</f>
        <v/>
      </c>
      <c r="ACR7">
        <f>IF($C6=80,0,ACR6+IF(AND($G6=80,$E6=1),1,0))</f>
        <v/>
      </c>
      <c r="ACS7">
        <f>IF($C6=81,0,ACS6+IF(AND($G6=81,$E6=1),1,0))</f>
        <v/>
      </c>
      <c r="ACT7">
        <f>IF($C6=82,0,ACT6+IF(AND($G6=82,$E6=1),1,0))</f>
        <v/>
      </c>
      <c r="ACU7">
        <f>IF($C6=83,0,ACU6+IF(AND($G6=83,$E6=1),1,0))</f>
        <v/>
      </c>
      <c r="ACV7">
        <f>IF($C6=84,0,ACV6+IF(AND($G6=84,$E6=1),1,0))</f>
        <v/>
      </c>
      <c r="ACW7">
        <f>IF($C6=85,0,ACW6+IF(AND($G6=85,$E6=1),1,0))</f>
        <v/>
      </c>
      <c r="ACX7">
        <f>IF($C6=86,0,ACX6+IF(AND($G6=86,$E6=1),1,0))</f>
        <v/>
      </c>
      <c r="ACY7">
        <f>IF($C6=87,0,ACY6+IF(AND($G6=87,$E6=1),1,0))</f>
        <v/>
      </c>
      <c r="ACZ7">
        <f>IF($C6=88,0,ACZ6+IF(AND($G6=88,$E6=1),1,0))</f>
        <v/>
      </c>
      <c r="ADA7">
        <f>IF($C6=89,0,ADA6+IF(AND($G6=89,$E6=1),1,0))</f>
        <v/>
      </c>
      <c r="ADB7">
        <f>IF($C6=90,0,ADB6+IF(AND($G6=90,$E6=1),1,0))</f>
        <v/>
      </c>
      <c r="ADC7">
        <f>IF($C6=91,0,ADC6+IF(AND($G6=91,$E6=1),1,0))</f>
        <v/>
      </c>
      <c r="ADD7">
        <f>IF($C6=92,0,ADD6+IF(AND($G6=92,$E6=1),1,0))</f>
        <v/>
      </c>
      <c r="ADE7">
        <f>IF($C6=93,0,ADE6+IF(AND($G6=93,$E6=1),1,0))</f>
        <v/>
      </c>
      <c r="ADF7">
        <f>IF($C6=94,0,ADF6+IF(AND($G6=94,$E6=1),1,0))</f>
        <v/>
      </c>
      <c r="ADG7">
        <f>IF($C6=95,0,ADG6+IF(AND($G6=95,$E6=1),1,0))</f>
        <v/>
      </c>
      <c r="ADH7">
        <f>IF($C6=96,0,ADH6+IF(AND($G6=96,$E6=1),1,0))</f>
        <v/>
      </c>
      <c r="ADI7">
        <f>IF($C6=97,0,ADI6+IF(AND($G6=97,$E6=1),1,0))</f>
        <v/>
      </c>
      <c r="ADJ7">
        <f>IF($C6=98,0,ADJ6+IF(AND($G6=98,$E6=1),1,0))</f>
        <v/>
      </c>
      <c r="ADK7">
        <f>IF($C6=99,0,ADK6+IF(AND($G6=99,$E6=1),1,0))</f>
        <v/>
      </c>
      <c r="ADL7">
        <f>IF($C6=100,0,ADL6+IF(AND($G6=100,$E6=1),1,0))</f>
        <v/>
      </c>
      <c r="ADM7">
        <f>IF($C6=101,0,ADM6+IF(AND($G6=101,$E6=1),1,0))</f>
        <v/>
      </c>
      <c r="ADN7">
        <f>IF($C6=102,0,ADN6+IF(AND($G6=102,$E6=1),1,0))</f>
        <v/>
      </c>
      <c r="ADO7">
        <f>IF($C6=103,0,ADO6+IF(AND($G6=103,$E6=1),1,0))</f>
        <v/>
      </c>
      <c r="ADP7">
        <f>IF($C6=104,0,ADP6+IF(AND($G6=104,$E6=1),1,0))</f>
        <v/>
      </c>
      <c r="ADQ7">
        <f>IF($C6=105,0,ADQ6+IF(AND($G6=105,$E6=1),1,0))</f>
        <v/>
      </c>
      <c r="ADR7">
        <f>IF($C6=106,0,ADR6+IF(AND($G6=106,$E6=1),1,0))</f>
        <v/>
      </c>
      <c r="ADS7">
        <f>IF($C6=107,0,ADS6+IF(AND($G6=107,$E6=1),1,0))</f>
        <v/>
      </c>
      <c r="ADT7">
        <f>IF($C6=108,0,ADT6+IF(AND($G6=108,$E6=1),1,0))</f>
        <v/>
      </c>
      <c r="ADU7">
        <f>IF($C6=109,0,ADU6+IF(AND($G6=109,$E6=1),1,0))</f>
        <v/>
      </c>
      <c r="ADV7">
        <f>IF($C6=110,0,ADV6+IF(AND($G6=110,$E6=1),1,0))</f>
        <v/>
      </c>
      <c r="ADW7">
        <f>IF($C6=111,0,ADW6+IF(AND($G6=111,$E6=1),1,0))</f>
        <v/>
      </c>
      <c r="ADX7">
        <f>IF($C6=112,0,ADX6+IF(AND($G6=112,$E6=1),1,0))</f>
        <v/>
      </c>
      <c r="ADY7">
        <f>IF($C6=113,0,ADY6+IF(AND($G6=113,$E6=1),1,0))</f>
        <v/>
      </c>
      <c r="ADZ7">
        <f>IF($C6=114,0,ADZ6+IF(AND($G6=114,$E6=1),1,0))</f>
        <v/>
      </c>
      <c r="AEA7">
        <f>IF($C6=115,0,AEA6+IF(AND($G6=115,$E6=1),1,0))</f>
        <v/>
      </c>
      <c r="AEB7">
        <f>IF($C6=116,0,AEB6+IF(AND($G6=116,$E6=1),1,0))</f>
        <v/>
      </c>
      <c r="AEC7">
        <f>IF($C6=117,0,AEC6+IF(AND($G6=117,$E6=1),1,0))</f>
        <v/>
      </c>
      <c r="AED7">
        <f>IF($C6=118,0,AED6+IF(AND($G6=118,$E6=1),1,0))</f>
        <v/>
      </c>
      <c r="AEE7">
        <f>IF($C6=119,0,AEE6+IF(AND($G6=119,$E6=1),1,0))</f>
        <v/>
      </c>
      <c r="AEF7">
        <f>IF($C6=120,0,AEF6+IF(AND($G6=120,$E6=1),1,0))</f>
        <v/>
      </c>
      <c r="AEG7">
        <f>IF($C6=121,0,AEG6+IF(AND($G6=121,$E6=1),1,0))</f>
        <v/>
      </c>
      <c r="AEH7">
        <f>IF($C6=122,0,AEH6+IF(AND($G6=122,$E6=1),1,0))</f>
        <v/>
      </c>
      <c r="AEI7">
        <f>IF($C6=123,0,AEI6+IF(AND($G6=123,$E6=1),1,0))</f>
        <v/>
      </c>
      <c r="AEJ7">
        <f>IF($C6=124,0,AEJ6+IF(AND($G6=124,$E6=1),1,0))</f>
        <v/>
      </c>
      <c r="AEK7">
        <f>IF($C6=125,0,AEK6+IF(AND($G6=125,$E6=1),1,0))</f>
        <v/>
      </c>
      <c r="AEL7">
        <f>IF($C6=126,0,AEL6+IF(AND($G6=126,$E6=1),1,0))</f>
        <v/>
      </c>
      <c r="AEM7">
        <f>IF($C6=127,0,AEM6+IF(AND($G6=127,$E6=1),1,0))</f>
        <v/>
      </c>
      <c r="AEN7">
        <f>IF($C6=128,0,AEN6+IF(AND($G6=128,$E6=1),1,0))</f>
        <v/>
      </c>
      <c r="AEO7">
        <f>IF($C6=129,0,AEO6+IF(AND($G6=129,$E6=1),1,0))</f>
        <v/>
      </c>
      <c r="AEP7">
        <f>IF($C6=130,0,AEP6+IF(AND($G6=130,$E6=1),1,0))</f>
        <v/>
      </c>
      <c r="AEQ7">
        <f>IF($C6=131,0,AEQ6+IF(AND($G6=131,$E6=1),1,0))</f>
        <v/>
      </c>
      <c r="AER7">
        <f>IF($C6=132,0,AER6+IF(AND($G6=132,$E6=1),1,0))</f>
        <v/>
      </c>
      <c r="AES7">
        <f>IF($C6=133,0,AES6+IF(AND($G6=133,$E6=1),1,0))</f>
        <v/>
      </c>
      <c r="AET7">
        <f>IF($C6=134,0,AET6+IF(AND($G6=134,$E6=1),1,0))</f>
        <v/>
      </c>
      <c r="AEU7">
        <f>IF($C6=135,0,AEU6+IF(AND($G6=135,$E6=1),1,0))</f>
        <v/>
      </c>
      <c r="AEV7">
        <f>IF($C6=136,0,AEV6+IF(AND($G6=136,$E6=1),1,0))</f>
        <v/>
      </c>
      <c r="AEW7">
        <f>IF($C6=137,0,AEW6+IF(AND($G6=137,$E6=1),1,0))</f>
        <v/>
      </c>
      <c r="AEX7">
        <f>IF($C6=138,0,AEX6+IF(AND($G6=138,$E6=1),1,0))</f>
        <v/>
      </c>
      <c r="AEY7">
        <f>IF($C6=139,0,AEY6+IF(AND($G6=139,$E6=1),1,0))</f>
        <v/>
      </c>
      <c r="AEZ7">
        <f>IF($C6=140,0,AEZ6+IF(AND($G6=140,$E6=1),1,0))</f>
        <v/>
      </c>
      <c r="AFA7">
        <f>IF($C6=141,0,AFA6+IF(AND($G6=141,$E6=1),1,0))</f>
        <v/>
      </c>
      <c r="AFB7">
        <f>IF($C6=142,0,AFB6+IF(AND($G6=142,$E6=1),1,0))</f>
        <v/>
      </c>
      <c r="AFC7">
        <f>IF($C6=143,0,AFC6+IF(AND($G6=143,$E6=1),1,0))</f>
        <v/>
      </c>
      <c r="AFD7">
        <f>IF($C6=144,0,AFD6+IF(AND($G6=144,$E6=1),1,0))</f>
        <v/>
      </c>
      <c r="AFF7">
        <f>IF('calcA'!D$106=1,DC7+ZR7,1)</f>
        <v/>
      </c>
      <c r="AFG7">
        <f>IF('calcA'!E$106=1,DD7+ZS7,1)</f>
        <v/>
      </c>
      <c r="AFH7">
        <f>IF('calcA'!F$106=1,DE7+ZT7,1)</f>
        <v/>
      </c>
      <c r="AFI7">
        <f>IF('calcA'!G$106=1,DF7+ZU7,1)</f>
        <v/>
      </c>
      <c r="AFJ7">
        <f>IF('calcA'!H$106=1,DG7+ZV7,1)</f>
        <v/>
      </c>
      <c r="AFK7">
        <f>IF('calcA'!I$106=1,DH7+ZW7,1)</f>
        <v/>
      </c>
      <c r="AFL7">
        <f>IF('calcA'!J$106=1,DI7+ZX7,1)</f>
        <v/>
      </c>
      <c r="AFM7">
        <f>IF('calcA'!K$106=1,DJ7+ZY7,1)</f>
        <v/>
      </c>
      <c r="AFN7">
        <f>IF('calcA'!L$106=1,DK7+ZZ7,1)</f>
        <v/>
      </c>
      <c r="AFO7">
        <f>IF('calcA'!M$106=1,DL7+AAA7,1)</f>
        <v/>
      </c>
      <c r="AFP7">
        <f>IF('calcA'!N$106=1,DM7+AAB7,1)</f>
        <v/>
      </c>
      <c r="AFQ7">
        <f>IF('calcA'!O$106=1,DN7+AAC7,1)</f>
        <v/>
      </c>
      <c r="AFR7">
        <f>IF('calcA'!P$106=1,DO7+AAD7,1)</f>
        <v/>
      </c>
      <c r="AFS7">
        <f>IF('calcA'!Q$106=1,DP7+AAE7,1)</f>
        <v/>
      </c>
      <c r="AFT7">
        <f>IF('calcA'!R$106=1,DQ7+AAF7,1)</f>
        <v/>
      </c>
      <c r="AFU7">
        <f>IF('calcA'!S$106=1,DR7+AAG7,1)</f>
        <v/>
      </c>
      <c r="AFV7">
        <f>IF('calcA'!T$106=1,DS7+AAH7,1)</f>
        <v/>
      </c>
      <c r="AFW7">
        <f>IF('calcA'!U$106=1,DT7+AAI7,1)</f>
        <v/>
      </c>
      <c r="AFX7">
        <f>IF('calcA'!V$106=1,DU7+AAJ7,1)</f>
        <v/>
      </c>
      <c r="AFY7">
        <f>IF('calcA'!W$106=1,DV7+AAK7,1)</f>
        <v/>
      </c>
      <c r="AFZ7">
        <f>IF('calcA'!X$106=1,DW7+AAL7,1)</f>
        <v/>
      </c>
      <c r="AGA7">
        <f>IF('calcA'!Y$106=1,DX7+AAM7,1)</f>
        <v/>
      </c>
      <c r="AGB7">
        <f>IF('calcA'!Z$106=1,DY7+AAN7,1)</f>
        <v/>
      </c>
      <c r="AGC7">
        <f>IF('calcA'!AA$106=1,DZ7+AAO7,1)</f>
        <v/>
      </c>
      <c r="AGD7">
        <f>IF('calcA'!AB$106=1,EA7+AAP7,1)</f>
        <v/>
      </c>
      <c r="AGE7">
        <f>IF('calcA'!AC$106=1,EB7+AAQ7,1)</f>
        <v/>
      </c>
      <c r="AGF7">
        <f>IF('calcA'!AD$106=1,EC7+AAR7,1)</f>
        <v/>
      </c>
      <c r="AGG7">
        <f>IF('calcA'!AE$106=1,ED7+AAS7,1)</f>
        <v/>
      </c>
      <c r="AGH7">
        <f>IF('calcA'!AF$106=1,EE7+AAT7,1)</f>
        <v/>
      </c>
      <c r="AGI7">
        <f>IF('calcA'!AG$106=1,EF7+AAU7,1)</f>
        <v/>
      </c>
      <c r="AGJ7">
        <f>IF('calcA'!AH$106=1,EG7+AAV7,1)</f>
        <v/>
      </c>
      <c r="AGK7">
        <f>IF('calcA'!AI$106=1,EH7+AAW7,1)</f>
        <v/>
      </c>
      <c r="AGL7">
        <f>IF('calcA'!AJ$106=1,EI7+AAX7,1)</f>
        <v/>
      </c>
      <c r="AGM7">
        <f>IF('calcA'!AK$106=1,EJ7+AAY7,1)</f>
        <v/>
      </c>
      <c r="AGN7">
        <f>IF('calcA'!AL$106=1,EK7+AAZ7,1)</f>
        <v/>
      </c>
      <c r="AGO7">
        <f>IF('calcA'!AM$106=1,EL7+ABA7,1)</f>
        <v/>
      </c>
      <c r="AGP7">
        <f>IF('calcA'!AN$106=1,EM7+ABB7,1)</f>
        <v/>
      </c>
      <c r="AGQ7">
        <f>IF('calcA'!AO$106=1,EN7+ABC7,1)</f>
        <v/>
      </c>
      <c r="AGR7">
        <f>IF('calcA'!AP$106=1,EO7+ABD7,1)</f>
        <v/>
      </c>
      <c r="AGS7">
        <f>IF('calcA'!AQ$106=1,EP7+ABE7,1)</f>
        <v/>
      </c>
      <c r="AGT7">
        <f>IF('calcA'!AR$106=1,EQ7+ABF7,1)</f>
        <v/>
      </c>
      <c r="AGU7">
        <f>IF('calcA'!AS$106=1,ER7+ABG7,1)</f>
        <v/>
      </c>
      <c r="AGV7">
        <f>IF('calcA'!AT$106=1,ES7+ABH7,1)</f>
        <v/>
      </c>
      <c r="AGW7">
        <f>IF('calcA'!AU$106=1,ET7+ABI7,1)</f>
        <v/>
      </c>
      <c r="AGX7">
        <f>IF('calcA'!AV$106=1,EU7+ABJ7,1)</f>
        <v/>
      </c>
      <c r="AGY7">
        <f>IF('calcA'!AW$106=1,EV7+ABK7,1)</f>
        <v/>
      </c>
      <c r="AGZ7">
        <f>IF('calcA'!AX$106=1,EW7+ABL7,1)</f>
        <v/>
      </c>
      <c r="AHA7">
        <f>IF('calcA'!AY$106=1,EX7+ABM7,1)</f>
        <v/>
      </c>
      <c r="AHB7">
        <f>IF('calcA'!AZ$106=1,EY7+ABN7,1)</f>
        <v/>
      </c>
      <c r="AHC7">
        <f>IF('calcA'!BA$106=1,EZ7+ABO7,1)</f>
        <v/>
      </c>
      <c r="AHD7">
        <f>IF('calcA'!BB$106=1,FA7+ABP7,1)</f>
        <v/>
      </c>
      <c r="AHE7">
        <f>IF('calcA'!BC$106=1,FB7+ABQ7,1)</f>
        <v/>
      </c>
      <c r="AHF7">
        <f>IF('calcA'!BD$106=1,FC7+ABR7,1)</f>
        <v/>
      </c>
      <c r="AHG7">
        <f>IF('calcA'!BE$106=1,FD7+ABS7,1)</f>
        <v/>
      </c>
      <c r="AHH7">
        <f>IF('calcA'!BF$106=1,FE7+ABT7,1)</f>
        <v/>
      </c>
      <c r="AHI7">
        <f>IF('calcA'!BG$106=1,FF7+ABU7,1)</f>
        <v/>
      </c>
      <c r="AHJ7">
        <f>IF('calcA'!BH$106=1,FG7+ABV7,1)</f>
        <v/>
      </c>
      <c r="AHK7">
        <f>IF('calcA'!BI$106=1,FH7+ABW7,1)</f>
        <v/>
      </c>
      <c r="AHL7">
        <f>IF('calcA'!BJ$106=1,FI7+ABX7,1)</f>
        <v/>
      </c>
      <c r="AHM7">
        <f>IF('calcA'!BK$106=1,FJ7+ABY7,1)</f>
        <v/>
      </c>
      <c r="AHN7">
        <f>IF('calcA'!BL$106=1,FK7+ABZ7,1)</f>
        <v/>
      </c>
      <c r="AHO7">
        <f>IF('calcA'!BM$106=1,FL7+ACA7,1)</f>
        <v/>
      </c>
      <c r="AHP7">
        <f>IF('calcA'!BN$106=1,FM7+ACB7,1)</f>
        <v/>
      </c>
      <c r="AHQ7">
        <f>IF('calcA'!BO$106=1,FN7+ACC7,1)</f>
        <v/>
      </c>
      <c r="AHR7">
        <f>IF('calcA'!BP$106=1,FO7+ACD7,1)</f>
        <v/>
      </c>
      <c r="AHS7">
        <f>IF('calcA'!BQ$106=1,FP7+ACE7,1)</f>
        <v/>
      </c>
      <c r="AHT7">
        <f>IF('calcA'!BR$106=1,FQ7+ACF7,1)</f>
        <v/>
      </c>
      <c r="AHU7">
        <f>IF('calcA'!BS$106=1,FR7+ACG7,1)</f>
        <v/>
      </c>
      <c r="AHV7">
        <f>IF('calcA'!BT$106=1,FS7+ACH7,1)</f>
        <v/>
      </c>
      <c r="AHW7">
        <f>IF('calcA'!BU$106=1,FT7+ACI7,1)</f>
        <v/>
      </c>
      <c r="AHX7">
        <f>IF('calcA'!BV$106=1,FU7+ACJ7,1)</f>
        <v/>
      </c>
      <c r="AHY7">
        <f>IF('calcA'!BW$106=1,FV7+ACK7,1)</f>
        <v/>
      </c>
      <c r="AHZ7">
        <f>IF('calcA'!BX$106=1,FW7+ACL7,1)</f>
        <v/>
      </c>
      <c r="AIA7">
        <f>IF('calcA'!BY$106=1,FX7+ACM7,1)</f>
        <v/>
      </c>
      <c r="AIB7">
        <f>IF('calcA'!BZ$106=1,FY7+ACN7,1)</f>
        <v/>
      </c>
      <c r="AIC7">
        <f>IF('calcA'!CA$106=1,FZ7+ACO7,1)</f>
        <v/>
      </c>
      <c r="AID7">
        <f>IF('calcA'!CB$106=1,GA7+ACP7,1)</f>
        <v/>
      </c>
      <c r="AIE7">
        <f>IF('calcA'!CC$106=1,GB7+ACQ7,1)</f>
        <v/>
      </c>
      <c r="AIF7">
        <f>IF('calcA'!CD$106=1,GC7+ACR7,1)</f>
        <v/>
      </c>
      <c r="AIG7">
        <f>IF('calcA'!CE$106=1,GD7+ACS7,1)</f>
        <v/>
      </c>
      <c r="AIH7">
        <f>IF('calcA'!CF$106=1,GE7+ACT7,1)</f>
        <v/>
      </c>
      <c r="AII7">
        <f>IF('calcA'!CG$106=1,GF7+ACU7,1)</f>
        <v/>
      </c>
      <c r="AIJ7">
        <f>IF('calcA'!CH$106=1,GG7+ACV7,1)</f>
        <v/>
      </c>
      <c r="AIK7">
        <f>IF('calcA'!CI$106=1,GH7+ACW7,1)</f>
        <v/>
      </c>
      <c r="AIL7">
        <f>IF('calcA'!CJ$106=1,GI7+ACX7,1)</f>
        <v/>
      </c>
      <c r="AIM7">
        <f>IF('calcA'!CK$106=1,GJ7+ACY7,1)</f>
        <v/>
      </c>
      <c r="AIN7">
        <f>IF('calcA'!CL$106=1,GK7+ACZ7,1)</f>
        <v/>
      </c>
      <c r="AIO7">
        <f>IF('calcA'!CM$106=1,GL7+ADA7,1)</f>
        <v/>
      </c>
      <c r="AIP7">
        <f>IF('calcA'!CN$106=1,GM7+ADB7,1)</f>
        <v/>
      </c>
      <c r="AIQ7">
        <f>IF('calcA'!CO$106=1,GN7+ADC7,1)</f>
        <v/>
      </c>
      <c r="AIR7">
        <f>IF('calcA'!CP$106=1,GO7+ADD7,1)</f>
        <v/>
      </c>
      <c r="AIS7">
        <f>IF('calcA'!CQ$106=1,GP7+ADE7,1)</f>
        <v/>
      </c>
      <c r="AIT7">
        <f>IF('calcA'!CR$106=1,GQ7+ADF7,1)</f>
        <v/>
      </c>
      <c r="AIU7">
        <f>IF('calcA'!CS$106=1,GR7+ADG7,1)</f>
        <v/>
      </c>
      <c r="AIV7">
        <f>IF('calcA'!CT$106=1,GS7+ADH7,1)</f>
        <v/>
      </c>
      <c r="AIW7">
        <f>IF('calcA'!CU$106=1,GT7+ADI7,1)</f>
        <v/>
      </c>
      <c r="AIX7">
        <f>IF('calcA'!CV$106=1,GU7+ADJ7,1)</f>
        <v/>
      </c>
      <c r="AIY7">
        <f>IF('calcA'!CW$106=1,GV7+ADK7,1)</f>
        <v/>
      </c>
      <c r="AIZ7">
        <f>IF('calcA'!CX$106=1,GW7+ADL7,1)</f>
        <v/>
      </c>
      <c r="AJA7">
        <f>IF('calcA'!CY$106=1,GX7+ADM7,1)</f>
        <v/>
      </c>
      <c r="AJB7">
        <f>IF('calcA'!CZ$106=1,GY7+ADN7,1)</f>
        <v/>
      </c>
      <c r="AJC7">
        <f>IF('calcA'!DA$106=1,GZ7+ADO7,1)</f>
        <v/>
      </c>
      <c r="AJD7">
        <f>IF('calcA'!DB$106=1,HA7+ADP7,1)</f>
        <v/>
      </c>
      <c r="AJE7">
        <f>IF('calcA'!DC$106=1,HB7+ADQ7,1)</f>
        <v/>
      </c>
      <c r="AJF7">
        <f>IF('calcA'!DD$106=1,HC7+ADR7,1)</f>
        <v/>
      </c>
      <c r="AJG7">
        <f>IF('calcA'!DE$106=1,HD7+ADS7,1)</f>
        <v/>
      </c>
      <c r="AJH7">
        <f>IF('calcA'!DF$106=1,HE7+ADT7,1)</f>
        <v/>
      </c>
      <c r="AJI7">
        <f>IF('calcA'!DG$106=1,HF7+ADU7,1)</f>
        <v/>
      </c>
      <c r="AJJ7">
        <f>IF('calcA'!DH$106=1,HG7+ADV7,1)</f>
        <v/>
      </c>
      <c r="AJK7">
        <f>IF('calcA'!DI$106=1,HH7+ADW7,1)</f>
        <v/>
      </c>
      <c r="AJL7">
        <f>IF('calcA'!DJ$106=1,HI7+ADX7,1)</f>
        <v/>
      </c>
      <c r="AJM7">
        <f>IF('calcA'!DK$106=1,HJ7+ADY7,1)</f>
        <v/>
      </c>
      <c r="AJN7">
        <f>IF('calcA'!DL$106=1,HK7+ADZ7,1)</f>
        <v/>
      </c>
      <c r="AJO7">
        <f>IF('calcA'!DM$106=1,HL7+AEA7,1)</f>
        <v/>
      </c>
      <c r="AJP7">
        <f>IF('calcA'!DN$106=1,HM7+AEB7,1)</f>
        <v/>
      </c>
      <c r="AJQ7">
        <f>IF('calcA'!DO$106=1,HN7+AEC7,1)</f>
        <v/>
      </c>
      <c r="AJR7">
        <f>IF('calcA'!DP$106=1,HO7+AED7,1)</f>
        <v/>
      </c>
      <c r="AJS7">
        <f>IF('calcA'!DQ$106=1,HP7+AEE7,1)</f>
        <v/>
      </c>
      <c r="AJT7">
        <f>IF('calcA'!DR$106=1,HQ7+AEF7,1)</f>
        <v/>
      </c>
      <c r="AJU7">
        <f>IF('calcA'!DS$106=1,HR7+AEG7,1)</f>
        <v/>
      </c>
      <c r="AJV7">
        <f>IF('calcA'!DT$106=1,HS7+AEH7,1)</f>
        <v/>
      </c>
      <c r="AJW7">
        <f>IF('calcA'!DU$106=1,HT7+AEI7,1)</f>
        <v/>
      </c>
      <c r="AJX7">
        <f>IF('calcA'!DV$106=1,HU7+AEJ7,1)</f>
        <v/>
      </c>
      <c r="AJY7">
        <f>IF('calcA'!DW$106=1,HV7+AEK7,1)</f>
        <v/>
      </c>
      <c r="AJZ7">
        <f>IF('calcA'!DX$106=1,HW7+AEL7,1)</f>
        <v/>
      </c>
      <c r="AKA7">
        <f>IF('calcA'!DY$106=1,HX7+AEM7,1)</f>
        <v/>
      </c>
      <c r="AKB7">
        <f>IF('calcA'!DZ$106=1,HY7+AEN7,1)</f>
        <v/>
      </c>
      <c r="AKC7">
        <f>IF('calcA'!EA$106=1,HZ7+AEO7,1)</f>
        <v/>
      </c>
      <c r="AKD7">
        <f>IF('calcA'!EB$106=1,IA7+AEP7,1)</f>
        <v/>
      </c>
      <c r="AKE7">
        <f>IF('calcA'!EC$106=1,IB7+AEQ7,1)</f>
        <v/>
      </c>
      <c r="AKF7">
        <f>IF('calcA'!ED$106=1,IC7+AER7,1)</f>
        <v/>
      </c>
      <c r="AKG7">
        <f>IF('calcA'!EE$106=1,ID7+AES7,1)</f>
        <v/>
      </c>
      <c r="AKH7">
        <f>IF('calcA'!EF$106=1,IE7+AET7,1)</f>
        <v/>
      </c>
      <c r="AKI7">
        <f>IF('calcA'!EG$106=1,IF7+AEU7,1)</f>
        <v/>
      </c>
      <c r="AKJ7">
        <f>IF('calcA'!EH$106=1,IG7+AEV7,1)</f>
        <v/>
      </c>
      <c r="AKK7">
        <f>IF('calcA'!EI$106=1,IH7+AEW7,1)</f>
        <v/>
      </c>
      <c r="AKL7">
        <f>IF('calcA'!EJ$106=1,II7+AEX7,1)</f>
        <v/>
      </c>
      <c r="AKM7">
        <f>IF('calcA'!EK$106=1,IJ7+AEY7,1)</f>
        <v/>
      </c>
      <c r="AKN7">
        <f>IF('calcA'!EL$106=1,IK7+AEZ7,1)</f>
        <v/>
      </c>
      <c r="AKO7">
        <f>IF('calcA'!EM$106=1,IL7+AFA7,1)</f>
        <v/>
      </c>
      <c r="AKP7">
        <f>IF('calcA'!EN$106=1,IM7+AFB7,1)</f>
        <v/>
      </c>
      <c r="AKQ7">
        <f>IF('calcA'!EO$106=1,IN7+AFC7,1)</f>
        <v/>
      </c>
      <c r="AKR7">
        <f>IF('calcA'!EP$106=1,IO7+AFD7,1)</f>
        <v/>
      </c>
      <c r="AKS7" t="n">
        <v>1</v>
      </c>
    </row>
    <row r="8">
      <c r="A8" t="n">
        <v>6</v>
      </c>
      <c r="B8">
        <f>IF(MIN(BM8:CZ8)&gt;=1000000000,0,MATCH(MIN(BM8:CZ8),BM8:CZ8,0))</f>
        <v/>
      </c>
      <c r="C8">
        <f>IF(MIN(OF8:TS8)&gt;=1000000000,0,MATCH(MIN(OF8:TS8),OF8:TS8,0))</f>
        <v/>
      </c>
      <c r="D8">
        <f>IF(C8&gt;0,INDEX('calcA'!$D$5:$EQ$5,C8),0)</f>
        <v/>
      </c>
      <c r="E8">
        <f>IF(B8=0,0,INDEX('calcA'!$IQ$10:$IQ$54,B8))</f>
        <v/>
      </c>
      <c r="F8">
        <f>IF(B8=0,0,INDEX('calcA'!$IP$10:$IP$54,B8))</f>
        <v/>
      </c>
      <c r="G8">
        <f>IF(AND(C8&gt;0,E8&gt;0),IF(AND(INDEX('calcA'!$D$106:$EQ$106,C8)=1,INDEX($IQ8:$OD8,C8)=1),C8+1,0),0)</f>
        <v/>
      </c>
      <c r="H8">
        <f>IF(B8=0,0,INDEX('calcA'!$IW$10:$IW$54,B8))</f>
        <v/>
      </c>
      <c r="U8">
        <f>IF(B8=0,0,INDEX('calcA'!$IX$10:$IX$54,B8))</f>
        <v/>
      </c>
      <c r="V8">
        <f>IF(B8=0,0,INDEX('calcA'!$JF$10:$JF$54,B8))</f>
        <v/>
      </c>
      <c r="W8">
        <f>IF(B8=0,0,IF(IF(E8=2,SUMPRODUCT(INDEX('calcA'!$D$60:$EQ$99,B8,0),$DB8:$IO8,$IQ8:$OD8),SUMPRODUCT(INDEX('calcA'!$D$60:$EQ$99,B8,0),$DB8:$IO8))=0,1,0))</f>
        <v/>
      </c>
      <c r="X8">
        <f>MAX(X7,IF($B7=1,1,0))</f>
        <v/>
      </c>
      <c r="Y8">
        <f>MAX(Y7,IF($B7=2,1,0))</f>
        <v/>
      </c>
      <c r="Z8">
        <f>MAX(Z7,IF($B7=3,1,0))</f>
        <v/>
      </c>
      <c r="AA8">
        <f>MAX(AA7,IF($B7=4,1,0))</f>
        <v/>
      </c>
      <c r="AB8">
        <f>MAX(AB7,IF($B7=5,1,0))</f>
        <v/>
      </c>
      <c r="AC8">
        <f>MAX(AC7,IF($B7=6,1,0))</f>
        <v/>
      </c>
      <c r="AD8">
        <f>MAX(AD7,IF($B7=7,1,0))</f>
        <v/>
      </c>
      <c r="AE8">
        <f>MAX(AE7,IF($B7=8,1,0))</f>
        <v/>
      </c>
      <c r="AF8">
        <f>MAX(AF7,IF($B7=9,1,0))</f>
        <v/>
      </c>
      <c r="AG8">
        <f>MAX(AG7,IF($B7=10,1,0))</f>
        <v/>
      </c>
      <c r="AH8">
        <f>MAX(AH7,IF($B7=11,1,0))</f>
        <v/>
      </c>
      <c r="AI8">
        <f>MAX(AI7,IF($B7=12,1,0))</f>
        <v/>
      </c>
      <c r="AJ8">
        <f>MAX(AJ7,IF($B7=13,1,0))</f>
        <v/>
      </c>
      <c r="AK8">
        <f>MAX(AK7,IF($B7=14,1,0))</f>
        <v/>
      </c>
      <c r="AL8">
        <f>MAX(AL7,IF($B7=15,1,0))</f>
        <v/>
      </c>
      <c r="AM8">
        <f>MAX(AM7,IF($B7=16,1,0))</f>
        <v/>
      </c>
      <c r="AN8">
        <f>MAX(AN7,IF($B7=17,1,0))</f>
        <v/>
      </c>
      <c r="AO8">
        <f>MAX(AO7,IF($B7=18,1,0))</f>
        <v/>
      </c>
      <c r="AP8">
        <f>MAX(AP7,IF($B7=19,1,0))</f>
        <v/>
      </c>
      <c r="AQ8">
        <f>MAX(AQ7,IF($B7=20,1,0))</f>
        <v/>
      </c>
      <c r="AR8">
        <f>MAX(AR7,IF($B7=21,1,0))</f>
        <v/>
      </c>
      <c r="AS8">
        <f>MAX(AS7,IF($B7=22,1,0))</f>
        <v/>
      </c>
      <c r="AT8">
        <f>MAX(AT7,IF($B7=23,1,0))</f>
        <v/>
      </c>
      <c r="AU8">
        <f>MAX(AU7,IF($B7=24,1,0))</f>
        <v/>
      </c>
      <c r="AV8">
        <f>MAX(AV7,IF($B7=25,1,0))</f>
        <v/>
      </c>
      <c r="AW8">
        <f>MAX(AW7,IF($B7=26,1,0))</f>
        <v/>
      </c>
      <c r="AX8">
        <f>MAX(AX7,IF($B7=27,1,0))</f>
        <v/>
      </c>
      <c r="AY8">
        <f>MAX(AY7,IF($B7=28,1,0))</f>
        <v/>
      </c>
      <c r="AZ8">
        <f>MAX(AZ7,IF($B7=29,1,0))</f>
        <v/>
      </c>
      <c r="BA8">
        <f>MAX(BA7,IF($B7=30,1,0))</f>
        <v/>
      </c>
      <c r="BB8">
        <f>MAX(BB7,IF($B7=31,1,0))</f>
        <v/>
      </c>
      <c r="BC8">
        <f>MAX(BC7,IF($B7=32,1,0))</f>
        <v/>
      </c>
      <c r="BD8">
        <f>MAX(BD7,IF($B7=33,1,0))</f>
        <v/>
      </c>
      <c r="BE8">
        <f>MAX(BE7,IF($B7=34,1,0))</f>
        <v/>
      </c>
      <c r="BF8">
        <f>MAX(BF7,IF($B7=35,1,0))</f>
        <v/>
      </c>
      <c r="BG8">
        <f>MAX(BG7,IF($B7=36,1,0))</f>
        <v/>
      </c>
      <c r="BH8">
        <f>MAX(BH7,IF($B7=37,1,0))</f>
        <v/>
      </c>
      <c r="BI8">
        <f>MAX(BI7,IF($B7=38,1,0))</f>
        <v/>
      </c>
      <c r="BJ8">
        <f>MAX(BJ7,IF($B7=39,1,0))</f>
        <v/>
      </c>
      <c r="BK8">
        <f>MAX(BK7,IF($B7=40,1,0))</f>
        <v/>
      </c>
      <c r="BM8">
        <f>IF(OR(X8=1,calcA!$A$6=0),1000000000,IF('calcA'!$JF$10=1,0,100000000)+IF('calcA'!$IQ$10=2,SUMPRODUCT('calcA'!$D$60:$EQ$60,$DB8:$IO8,$IQ8:$OD8)*1000+SUMPRODUCT('calcA'!$D$60:$EQ$60,$DB8:$IO8+$ZQ8:$AFD8,$AFF8:$AKS8),SUMPRODUCT('calcA'!$D$60:$EQ$60,$DB8:$IO8*1001+$ZQ8:$AFD8))*100+1)</f>
        <v/>
      </c>
      <c r="BN8">
        <f>IF(OR(Y8=1,calcA!$A$6=0),1000000000,IF('calcA'!$JF$11=1,0,100000000)+IF('calcA'!$IQ$11=2,SUMPRODUCT('calcA'!$D$61:$EQ$61,$DB8:$IO8,$IQ8:$OD8)*1000+SUMPRODUCT('calcA'!$D$61:$EQ$61,$DB8:$IO8+$ZQ8:$AFD8,$AFF8:$AKS8),SUMPRODUCT('calcA'!$D$61:$EQ$61,$DB8:$IO8*1001+$ZQ8:$AFD8))*100+2)</f>
        <v/>
      </c>
      <c r="BO8">
        <f>IF(OR(Z8=1,calcA!$A$6=0),1000000000,IF('calcA'!$JF$12=1,0,100000000)+IF('calcA'!$IQ$12=2,SUMPRODUCT('calcA'!$D$62:$EQ$62,$DB8:$IO8,$IQ8:$OD8)*1000+SUMPRODUCT('calcA'!$D$62:$EQ$62,$DB8:$IO8+$ZQ8:$AFD8,$AFF8:$AKS8),SUMPRODUCT('calcA'!$D$62:$EQ$62,$DB8:$IO8*1001+$ZQ8:$AFD8))*100+3)</f>
        <v/>
      </c>
      <c r="BP8">
        <f>IF(OR(AA8=1,calcA!$A$6=0),1000000000,IF('calcA'!$JF$13=1,0,100000000)+IF('calcA'!$IQ$13=2,SUMPRODUCT('calcA'!$D$63:$EQ$63,$DB8:$IO8,$IQ8:$OD8)*1000+SUMPRODUCT('calcA'!$D$63:$EQ$63,$DB8:$IO8+$ZQ8:$AFD8,$AFF8:$AKS8),SUMPRODUCT('calcA'!$D$63:$EQ$63,$DB8:$IO8*1001+$ZQ8:$AFD8))*100+4)</f>
        <v/>
      </c>
      <c r="BQ8">
        <f>IF(OR(AB8=1,calcA!$A$6=0),1000000000,IF('calcA'!$JF$14=1,0,100000000)+IF('calcA'!$IQ$14=2,SUMPRODUCT('calcA'!$D$64:$EQ$64,$DB8:$IO8,$IQ8:$OD8)*1000+SUMPRODUCT('calcA'!$D$64:$EQ$64,$DB8:$IO8+$ZQ8:$AFD8,$AFF8:$AKS8),SUMPRODUCT('calcA'!$D$64:$EQ$64,$DB8:$IO8*1001+$ZQ8:$AFD8))*100+5)</f>
        <v/>
      </c>
      <c r="BR8">
        <f>IF(OR(AC8=1,calcA!$A$6=0),1000000000,IF('calcA'!$JF$15=1,0,100000000)+IF('calcA'!$IQ$15=2,SUMPRODUCT('calcA'!$D$65:$EQ$65,$DB8:$IO8,$IQ8:$OD8)*1000+SUMPRODUCT('calcA'!$D$65:$EQ$65,$DB8:$IO8+$ZQ8:$AFD8,$AFF8:$AKS8),SUMPRODUCT('calcA'!$D$65:$EQ$65,$DB8:$IO8*1001+$ZQ8:$AFD8))*100+6)</f>
        <v/>
      </c>
      <c r="BS8">
        <f>IF(OR(AD8=1,calcA!$A$6=0),1000000000,IF('calcA'!$JF$16=1,0,100000000)+IF('calcA'!$IQ$16=2,SUMPRODUCT('calcA'!$D$66:$EQ$66,$DB8:$IO8,$IQ8:$OD8)*1000+SUMPRODUCT('calcA'!$D$66:$EQ$66,$DB8:$IO8+$ZQ8:$AFD8,$AFF8:$AKS8),SUMPRODUCT('calcA'!$D$66:$EQ$66,$DB8:$IO8*1001+$ZQ8:$AFD8))*100+7)</f>
        <v/>
      </c>
      <c r="BT8">
        <f>IF(OR(AE8=1,calcA!$A$6=0),1000000000,IF('calcA'!$JF$17=1,0,100000000)+IF('calcA'!$IQ$17=2,SUMPRODUCT('calcA'!$D$67:$EQ$67,$DB8:$IO8,$IQ8:$OD8)*1000+SUMPRODUCT('calcA'!$D$67:$EQ$67,$DB8:$IO8+$ZQ8:$AFD8,$AFF8:$AKS8),SUMPRODUCT('calcA'!$D$67:$EQ$67,$DB8:$IO8*1001+$ZQ8:$AFD8))*100+8)</f>
        <v/>
      </c>
      <c r="BU8">
        <f>IF(OR(AF8=1,calcA!$A$6=0),1000000000,IF('calcA'!$JF$18=1,0,100000000)+IF('calcA'!$IQ$18=2,SUMPRODUCT('calcA'!$D$68:$EQ$68,$DB8:$IO8,$IQ8:$OD8)*1000+SUMPRODUCT('calcA'!$D$68:$EQ$68,$DB8:$IO8+$ZQ8:$AFD8,$AFF8:$AKS8),SUMPRODUCT('calcA'!$D$68:$EQ$68,$DB8:$IO8*1001+$ZQ8:$AFD8))*100+9)</f>
        <v/>
      </c>
      <c r="BV8">
        <f>IF(OR(AG8=1,calcA!$A$6=0),1000000000,IF('calcA'!$JF$19=1,0,100000000)+IF('calcA'!$IQ$19=2,SUMPRODUCT('calcA'!$D$69:$EQ$69,$DB8:$IO8,$IQ8:$OD8)*1000+SUMPRODUCT('calcA'!$D$69:$EQ$69,$DB8:$IO8+$ZQ8:$AFD8,$AFF8:$AKS8),SUMPRODUCT('calcA'!$D$69:$EQ$69,$DB8:$IO8*1001+$ZQ8:$AFD8))*100+10)</f>
        <v/>
      </c>
      <c r="BW8">
        <f>IF(OR(AH8=1,calcA!$A$6=0),1000000000,IF('calcA'!$JF$20=1,0,100000000)+IF('calcA'!$IQ$20=2,SUMPRODUCT('calcA'!$D$70:$EQ$70,$DB8:$IO8,$IQ8:$OD8)*1000+SUMPRODUCT('calcA'!$D$70:$EQ$70,$DB8:$IO8+$ZQ8:$AFD8,$AFF8:$AKS8),SUMPRODUCT('calcA'!$D$70:$EQ$70,$DB8:$IO8*1001+$ZQ8:$AFD8))*100+11)</f>
        <v/>
      </c>
      <c r="BX8">
        <f>IF(OR(AI8=1,calcA!$A$6=0),1000000000,IF('calcA'!$JF$21=1,0,100000000)+IF('calcA'!$IQ$21=2,SUMPRODUCT('calcA'!$D$71:$EQ$71,$DB8:$IO8,$IQ8:$OD8)*1000+SUMPRODUCT('calcA'!$D$71:$EQ$71,$DB8:$IO8+$ZQ8:$AFD8,$AFF8:$AKS8),SUMPRODUCT('calcA'!$D$71:$EQ$71,$DB8:$IO8*1001+$ZQ8:$AFD8))*100+12)</f>
        <v/>
      </c>
      <c r="BY8">
        <f>IF(OR(AJ8=1,calcA!$A$6=0),1000000000,IF('calcA'!$JF$22=1,0,100000000)+IF('calcA'!$IQ$22=2,SUMPRODUCT('calcA'!$D$72:$EQ$72,$DB8:$IO8,$IQ8:$OD8)*1000+SUMPRODUCT('calcA'!$D$72:$EQ$72,$DB8:$IO8+$ZQ8:$AFD8,$AFF8:$AKS8),SUMPRODUCT('calcA'!$D$72:$EQ$72,$DB8:$IO8*1001+$ZQ8:$AFD8))*100+13)</f>
        <v/>
      </c>
      <c r="BZ8">
        <f>IF(OR(AK8=1,calcA!$A$6=0),1000000000,IF('calcA'!$JF$23=1,0,100000000)+IF('calcA'!$IQ$23=2,SUMPRODUCT('calcA'!$D$73:$EQ$73,$DB8:$IO8,$IQ8:$OD8)*1000+SUMPRODUCT('calcA'!$D$73:$EQ$73,$DB8:$IO8+$ZQ8:$AFD8,$AFF8:$AKS8),SUMPRODUCT('calcA'!$D$73:$EQ$73,$DB8:$IO8*1001+$ZQ8:$AFD8))*100+14)</f>
        <v/>
      </c>
      <c r="CA8">
        <f>IF(OR(AL8=1,calcA!$A$6=0),1000000000,IF('calcA'!$JF$24=1,0,100000000)+IF('calcA'!$IQ$24=2,SUMPRODUCT('calcA'!$D$74:$EQ$74,$DB8:$IO8,$IQ8:$OD8)*1000+SUMPRODUCT('calcA'!$D$74:$EQ$74,$DB8:$IO8+$ZQ8:$AFD8,$AFF8:$AKS8),SUMPRODUCT('calcA'!$D$74:$EQ$74,$DB8:$IO8*1001+$ZQ8:$AFD8))*100+15)</f>
        <v/>
      </c>
      <c r="CB8">
        <f>IF(OR(AM8=1,calcA!$A$6=0),1000000000,IF('calcA'!$JF$25=1,0,100000000)+IF('calcA'!$IQ$25=2,SUMPRODUCT('calcA'!$D$75:$EQ$75,$DB8:$IO8,$IQ8:$OD8)*1000+SUMPRODUCT('calcA'!$D$75:$EQ$75,$DB8:$IO8+$ZQ8:$AFD8,$AFF8:$AKS8),SUMPRODUCT('calcA'!$D$75:$EQ$75,$DB8:$IO8*1001+$ZQ8:$AFD8))*100+16)</f>
        <v/>
      </c>
      <c r="CC8">
        <f>IF(OR(AN8=1,calcA!$A$6=0),1000000000,IF('calcA'!$JF$26=1,0,100000000)+IF('calcA'!$IQ$26=2,SUMPRODUCT('calcA'!$D$76:$EQ$76,$DB8:$IO8,$IQ8:$OD8)*1000+SUMPRODUCT('calcA'!$D$76:$EQ$76,$DB8:$IO8+$ZQ8:$AFD8,$AFF8:$AKS8),SUMPRODUCT('calcA'!$D$76:$EQ$76,$DB8:$IO8*1001+$ZQ8:$AFD8))*100+17)</f>
        <v/>
      </c>
      <c r="CD8">
        <f>IF(OR(AO8=1,calcA!$A$6=0),1000000000,IF('calcA'!$JF$27=1,0,100000000)+IF('calcA'!$IQ$27=2,SUMPRODUCT('calcA'!$D$77:$EQ$77,$DB8:$IO8,$IQ8:$OD8)*1000+SUMPRODUCT('calcA'!$D$77:$EQ$77,$DB8:$IO8+$ZQ8:$AFD8,$AFF8:$AKS8),SUMPRODUCT('calcA'!$D$77:$EQ$77,$DB8:$IO8*1001+$ZQ8:$AFD8))*100+18)</f>
        <v/>
      </c>
      <c r="CE8">
        <f>IF(OR(AP8=1,calcA!$A$6=0),1000000000,IF('calcA'!$JF$28=1,0,100000000)+IF('calcA'!$IQ$28=2,SUMPRODUCT('calcA'!$D$78:$EQ$78,$DB8:$IO8,$IQ8:$OD8)*1000+SUMPRODUCT('calcA'!$D$78:$EQ$78,$DB8:$IO8+$ZQ8:$AFD8,$AFF8:$AKS8),SUMPRODUCT('calcA'!$D$78:$EQ$78,$DB8:$IO8*1001+$ZQ8:$AFD8))*100+19)</f>
        <v/>
      </c>
      <c r="CF8">
        <f>IF(OR(AQ8=1,calcA!$A$6=0),1000000000,IF('calcA'!$JF$29=1,0,100000000)+IF('calcA'!$IQ$29=2,SUMPRODUCT('calcA'!$D$79:$EQ$79,$DB8:$IO8,$IQ8:$OD8)*1000+SUMPRODUCT('calcA'!$D$79:$EQ$79,$DB8:$IO8+$ZQ8:$AFD8,$AFF8:$AKS8),SUMPRODUCT('calcA'!$D$79:$EQ$79,$DB8:$IO8*1001+$ZQ8:$AFD8))*100+20)</f>
        <v/>
      </c>
      <c r="CG8">
        <f>IF(OR(AR8=1,calcA!$A$6=0),1000000000,IF('calcA'!$JF$30=1,0,100000000)+IF('calcA'!$IQ$30=2,SUMPRODUCT('calcA'!$D$80:$EQ$80,$DB8:$IO8,$IQ8:$OD8)*1000+SUMPRODUCT('calcA'!$D$80:$EQ$80,$DB8:$IO8+$ZQ8:$AFD8,$AFF8:$AKS8),SUMPRODUCT('calcA'!$D$80:$EQ$80,$DB8:$IO8*1001+$ZQ8:$AFD8))*100+21)</f>
        <v/>
      </c>
      <c r="CH8">
        <f>IF(OR(AS8=1,calcA!$A$6=0),1000000000,IF('calcA'!$JF$31=1,0,100000000)+IF('calcA'!$IQ$31=2,SUMPRODUCT('calcA'!$D$81:$EQ$81,$DB8:$IO8,$IQ8:$OD8)*1000+SUMPRODUCT('calcA'!$D$81:$EQ$81,$DB8:$IO8+$ZQ8:$AFD8,$AFF8:$AKS8),SUMPRODUCT('calcA'!$D$81:$EQ$81,$DB8:$IO8*1001+$ZQ8:$AFD8))*100+22)</f>
        <v/>
      </c>
      <c r="CI8">
        <f>IF(OR(AT8=1,calcA!$A$6=0),1000000000,IF('calcA'!$JF$32=1,0,100000000)+IF('calcA'!$IQ$32=2,SUMPRODUCT('calcA'!$D$82:$EQ$82,$DB8:$IO8,$IQ8:$OD8)*1000+SUMPRODUCT('calcA'!$D$82:$EQ$82,$DB8:$IO8+$ZQ8:$AFD8,$AFF8:$AKS8),SUMPRODUCT('calcA'!$D$82:$EQ$82,$DB8:$IO8*1001+$ZQ8:$AFD8))*100+23)</f>
        <v/>
      </c>
      <c r="CJ8">
        <f>IF(OR(AU8=1,calcA!$A$6=0),1000000000,IF('calcA'!$JF$33=1,0,100000000)+IF('calcA'!$IQ$33=2,SUMPRODUCT('calcA'!$D$83:$EQ$83,$DB8:$IO8,$IQ8:$OD8)*1000+SUMPRODUCT('calcA'!$D$83:$EQ$83,$DB8:$IO8+$ZQ8:$AFD8,$AFF8:$AKS8),SUMPRODUCT('calcA'!$D$83:$EQ$83,$DB8:$IO8*1001+$ZQ8:$AFD8))*100+24)</f>
        <v/>
      </c>
      <c r="CK8">
        <f>IF(OR(AV8=1,calcA!$A$6=0),1000000000,IF('calcA'!$JF$34=1,0,100000000)+IF('calcA'!$IQ$34=2,SUMPRODUCT('calcA'!$D$84:$EQ$84,$DB8:$IO8,$IQ8:$OD8)*1000+SUMPRODUCT('calcA'!$D$84:$EQ$84,$DB8:$IO8+$ZQ8:$AFD8,$AFF8:$AKS8),SUMPRODUCT('calcA'!$D$84:$EQ$84,$DB8:$IO8*1001+$ZQ8:$AFD8))*100+25)</f>
        <v/>
      </c>
      <c r="CL8">
        <f>IF(OR(AW8=1,calcA!$A$6=0),1000000000,IF('calcA'!$JF$35=1,0,100000000)+IF('calcA'!$IQ$35=2,SUMPRODUCT('calcA'!$D$85:$EQ$85,$DB8:$IO8,$IQ8:$OD8)*1000+SUMPRODUCT('calcA'!$D$85:$EQ$85,$DB8:$IO8+$ZQ8:$AFD8,$AFF8:$AKS8),SUMPRODUCT('calcA'!$D$85:$EQ$85,$DB8:$IO8*1001+$ZQ8:$AFD8))*100+26)</f>
        <v/>
      </c>
      <c r="CM8">
        <f>IF(OR(AX8=1,calcA!$A$6=0),1000000000,IF('calcA'!$JF$36=1,0,100000000)+IF('calcA'!$IQ$36=2,SUMPRODUCT('calcA'!$D$86:$EQ$86,$DB8:$IO8,$IQ8:$OD8)*1000+SUMPRODUCT('calcA'!$D$86:$EQ$86,$DB8:$IO8+$ZQ8:$AFD8,$AFF8:$AKS8),SUMPRODUCT('calcA'!$D$86:$EQ$86,$DB8:$IO8*1001+$ZQ8:$AFD8))*100+27)</f>
        <v/>
      </c>
      <c r="CN8">
        <f>IF(OR(AY8=1,calcA!$A$6=0),1000000000,IF('calcA'!$JF$37=1,0,100000000)+IF('calcA'!$IQ$37=2,SUMPRODUCT('calcA'!$D$87:$EQ$87,$DB8:$IO8,$IQ8:$OD8)*1000+SUMPRODUCT('calcA'!$D$87:$EQ$87,$DB8:$IO8+$ZQ8:$AFD8,$AFF8:$AKS8),SUMPRODUCT('calcA'!$D$87:$EQ$87,$DB8:$IO8*1001+$ZQ8:$AFD8))*100+28)</f>
        <v/>
      </c>
      <c r="CO8">
        <f>IF(OR(AZ8=1,calcA!$A$6=0),1000000000,IF('calcA'!$JF$38=1,0,100000000)+IF('calcA'!$IQ$38=2,SUMPRODUCT('calcA'!$D$88:$EQ$88,$DB8:$IO8,$IQ8:$OD8)*1000+SUMPRODUCT('calcA'!$D$88:$EQ$88,$DB8:$IO8+$ZQ8:$AFD8,$AFF8:$AKS8),SUMPRODUCT('calcA'!$D$88:$EQ$88,$DB8:$IO8*1001+$ZQ8:$AFD8))*100+29)</f>
        <v/>
      </c>
      <c r="CP8">
        <f>IF(OR(BA8=1,calcA!$A$6=0),1000000000,IF('calcA'!$JF$39=1,0,100000000)+IF('calcA'!$IQ$39=2,SUMPRODUCT('calcA'!$D$89:$EQ$89,$DB8:$IO8,$IQ8:$OD8)*1000+SUMPRODUCT('calcA'!$D$89:$EQ$89,$DB8:$IO8+$ZQ8:$AFD8,$AFF8:$AKS8),SUMPRODUCT('calcA'!$D$89:$EQ$89,$DB8:$IO8*1001+$ZQ8:$AFD8))*100+30)</f>
        <v/>
      </c>
      <c r="CQ8">
        <f>IF(OR(BB8=1,calcA!$A$6=0),1000000000,IF('calcA'!$JF$40=1,0,100000000)+IF('calcA'!$IQ$40=2,SUMPRODUCT('calcA'!$D$90:$EQ$90,$DB8:$IO8,$IQ8:$OD8)*1000+SUMPRODUCT('calcA'!$D$90:$EQ$90,$DB8:$IO8+$ZQ8:$AFD8,$AFF8:$AKS8),SUMPRODUCT('calcA'!$D$90:$EQ$90,$DB8:$IO8*1001+$ZQ8:$AFD8))*100+31)</f>
        <v/>
      </c>
      <c r="CR8">
        <f>IF(OR(BC8=1,calcA!$A$6=0),1000000000,IF('calcA'!$JF$41=1,0,100000000)+IF('calcA'!$IQ$41=2,SUMPRODUCT('calcA'!$D$91:$EQ$91,$DB8:$IO8,$IQ8:$OD8)*1000+SUMPRODUCT('calcA'!$D$91:$EQ$91,$DB8:$IO8+$ZQ8:$AFD8,$AFF8:$AKS8),SUMPRODUCT('calcA'!$D$91:$EQ$91,$DB8:$IO8*1001+$ZQ8:$AFD8))*100+32)</f>
        <v/>
      </c>
      <c r="CS8">
        <f>IF(OR(BD8=1,calcA!$A$6=0),1000000000,IF('calcA'!$JF$42=1,0,100000000)+IF('calcA'!$IQ$42=2,SUMPRODUCT('calcA'!$D$92:$EQ$92,$DB8:$IO8,$IQ8:$OD8)*1000+SUMPRODUCT('calcA'!$D$92:$EQ$92,$DB8:$IO8+$ZQ8:$AFD8,$AFF8:$AKS8),SUMPRODUCT('calcA'!$D$92:$EQ$92,$DB8:$IO8*1001+$ZQ8:$AFD8))*100+33)</f>
        <v/>
      </c>
      <c r="CT8">
        <f>IF(OR(BE8=1,calcA!$A$6=0),1000000000,IF('calcA'!$JF$43=1,0,100000000)+IF('calcA'!$IQ$43=2,SUMPRODUCT('calcA'!$D$93:$EQ$93,$DB8:$IO8,$IQ8:$OD8)*1000+SUMPRODUCT('calcA'!$D$93:$EQ$93,$DB8:$IO8+$ZQ8:$AFD8,$AFF8:$AKS8),SUMPRODUCT('calcA'!$D$93:$EQ$93,$DB8:$IO8*1001+$ZQ8:$AFD8))*100+34)</f>
        <v/>
      </c>
      <c r="CU8">
        <f>IF(OR(BF8=1,calcA!$A$6=0),1000000000,IF('calcA'!$JF$44=1,0,100000000)+IF('calcA'!$IQ$44=2,SUMPRODUCT('calcA'!$D$94:$EQ$94,$DB8:$IO8,$IQ8:$OD8)*1000+SUMPRODUCT('calcA'!$D$94:$EQ$94,$DB8:$IO8+$ZQ8:$AFD8,$AFF8:$AKS8),SUMPRODUCT('calcA'!$D$94:$EQ$94,$DB8:$IO8*1001+$ZQ8:$AFD8))*100+35)</f>
        <v/>
      </c>
      <c r="CV8">
        <f>IF(OR(BG8=1,calcA!$A$6=0),1000000000,IF('calcA'!$JF$45=1,0,100000000)+IF('calcA'!$IQ$45=2,SUMPRODUCT('calcA'!$D$95:$EQ$95,$DB8:$IO8,$IQ8:$OD8)*1000+SUMPRODUCT('calcA'!$D$95:$EQ$95,$DB8:$IO8+$ZQ8:$AFD8,$AFF8:$AKS8),SUMPRODUCT('calcA'!$D$95:$EQ$95,$DB8:$IO8*1001+$ZQ8:$AFD8))*100+36)</f>
        <v/>
      </c>
      <c r="CW8">
        <f>IF(OR(BH8=1,calcA!$A$6=0),1000000000,IF('calcA'!$JF$46=1,0,100000000)+IF('calcA'!$IQ$46=2,SUMPRODUCT('calcA'!$D$96:$EQ$96,$DB8:$IO8,$IQ8:$OD8)*1000+SUMPRODUCT('calcA'!$D$96:$EQ$96,$DB8:$IO8+$ZQ8:$AFD8,$AFF8:$AKS8),SUMPRODUCT('calcA'!$D$96:$EQ$96,$DB8:$IO8*1001+$ZQ8:$AFD8))*100+37)</f>
        <v/>
      </c>
      <c r="CX8">
        <f>IF(OR(BI8=1,calcA!$A$6=0),1000000000,IF('calcA'!$JF$47=1,0,100000000)+IF('calcA'!$IQ$47=2,SUMPRODUCT('calcA'!$D$97:$EQ$97,$DB8:$IO8,$IQ8:$OD8)*1000+SUMPRODUCT('calcA'!$D$97:$EQ$97,$DB8:$IO8+$ZQ8:$AFD8,$AFF8:$AKS8),SUMPRODUCT('calcA'!$D$97:$EQ$97,$DB8:$IO8*1001+$ZQ8:$AFD8))*100+38)</f>
        <v/>
      </c>
      <c r="CY8">
        <f>IF(OR(BJ8=1,calcA!$A$6=0),1000000000,IF('calcA'!$JF$48=1,0,100000000)+IF('calcA'!$IQ$48=2,SUMPRODUCT('calcA'!$D$98:$EQ$98,$DB8:$IO8,$IQ8:$OD8)*1000+SUMPRODUCT('calcA'!$D$98:$EQ$98,$DB8:$IO8+$ZQ8:$AFD8,$AFF8:$AKS8),SUMPRODUCT('calcA'!$D$98:$EQ$98,$DB8:$IO8*1001+$ZQ8:$AFD8))*100+39)</f>
        <v/>
      </c>
      <c r="CZ8">
        <f>IF(OR(BK8=1,calcA!$A$6=0),1000000000,IF('calcA'!$JF$49=1,0,100000000)+IF('calcA'!$IQ$49=2,SUMPRODUCT('calcA'!$D$99:$EQ$99,$DB8:$IO8,$IQ8:$OD8)*1000+SUMPRODUCT('calcA'!$D$99:$EQ$99,$DB8:$IO8+$ZQ8:$AFD8,$AFF8:$AKS8),SUMPRODUCT('calcA'!$D$99:$EQ$99,$DB8:$IO8*1001+$ZQ8:$AFD8))*100+40)</f>
        <v/>
      </c>
      <c r="DB8">
        <f>DB7*IF(OR($C7=1,$G7=1),0,1)</f>
        <v/>
      </c>
      <c r="DC8">
        <f>DC7*IF(OR($C7=2,$G7=2),0,1)</f>
        <v/>
      </c>
      <c r="DD8">
        <f>DD7*IF(OR($C7=3,$G7=3),0,1)</f>
        <v/>
      </c>
      <c r="DE8">
        <f>DE7*IF(OR($C7=4,$G7=4),0,1)</f>
        <v/>
      </c>
      <c r="DF8">
        <f>DF7*IF(OR($C7=5,$G7=5),0,1)</f>
        <v/>
      </c>
      <c r="DG8">
        <f>DG7*IF(OR($C7=6,$G7=6),0,1)</f>
        <v/>
      </c>
      <c r="DH8">
        <f>DH7*IF(OR($C7=7,$G7=7),0,1)</f>
        <v/>
      </c>
      <c r="DI8">
        <f>DI7*IF(OR($C7=8,$G7=8),0,1)</f>
        <v/>
      </c>
      <c r="DJ8">
        <f>DJ7*IF(OR($C7=9,$G7=9),0,1)</f>
        <v/>
      </c>
      <c r="DK8">
        <f>DK7*IF(OR($C7=10,$G7=10),0,1)</f>
        <v/>
      </c>
      <c r="DL8">
        <f>DL7*IF(OR($C7=11,$G7=11),0,1)</f>
        <v/>
      </c>
      <c r="DM8">
        <f>DM7*IF(OR($C7=12,$G7=12),0,1)</f>
        <v/>
      </c>
      <c r="DN8">
        <f>DN7*IF(OR($C7=13,$G7=13),0,1)</f>
        <v/>
      </c>
      <c r="DO8">
        <f>DO7*IF(OR($C7=14,$G7=14),0,1)</f>
        <v/>
      </c>
      <c r="DP8">
        <f>DP7*IF(OR($C7=15,$G7=15),0,1)</f>
        <v/>
      </c>
      <c r="DQ8">
        <f>DQ7*IF(OR($C7=16,$G7=16),0,1)</f>
        <v/>
      </c>
      <c r="DR8">
        <f>DR7*IF(OR($C7=17,$G7=17),0,1)</f>
        <v/>
      </c>
      <c r="DS8">
        <f>DS7*IF(OR($C7=18,$G7=18),0,1)</f>
        <v/>
      </c>
      <c r="DT8">
        <f>DT7*IF(OR($C7=19,$G7=19),0,1)</f>
        <v/>
      </c>
      <c r="DU8">
        <f>DU7*IF(OR($C7=20,$G7=20),0,1)</f>
        <v/>
      </c>
      <c r="DV8">
        <f>DV7*IF(OR($C7=21,$G7=21),0,1)</f>
        <v/>
      </c>
      <c r="DW8">
        <f>DW7*IF(OR($C7=22,$G7=22),0,1)</f>
        <v/>
      </c>
      <c r="DX8">
        <f>DX7*IF(OR($C7=23,$G7=23),0,1)</f>
        <v/>
      </c>
      <c r="DY8">
        <f>DY7*IF(OR($C7=24,$G7=24),0,1)</f>
        <v/>
      </c>
      <c r="DZ8">
        <f>DZ7*IF(OR($C7=25,$G7=25),0,1)</f>
        <v/>
      </c>
      <c r="EA8">
        <f>EA7*IF(OR($C7=26,$G7=26),0,1)</f>
        <v/>
      </c>
      <c r="EB8">
        <f>EB7*IF(OR($C7=27,$G7=27),0,1)</f>
        <v/>
      </c>
      <c r="EC8">
        <f>EC7*IF(OR($C7=28,$G7=28),0,1)</f>
        <v/>
      </c>
      <c r="ED8">
        <f>ED7*IF(OR($C7=29,$G7=29),0,1)</f>
        <v/>
      </c>
      <c r="EE8">
        <f>EE7*IF(OR($C7=30,$G7=30),0,1)</f>
        <v/>
      </c>
      <c r="EF8">
        <f>EF7*IF(OR($C7=31,$G7=31),0,1)</f>
        <v/>
      </c>
      <c r="EG8">
        <f>EG7*IF(OR($C7=32,$G7=32),0,1)</f>
        <v/>
      </c>
      <c r="EH8">
        <f>EH7*IF(OR($C7=33,$G7=33),0,1)</f>
        <v/>
      </c>
      <c r="EI8">
        <f>EI7*IF(OR($C7=34,$G7=34),0,1)</f>
        <v/>
      </c>
      <c r="EJ8">
        <f>EJ7*IF(OR($C7=35,$G7=35),0,1)</f>
        <v/>
      </c>
      <c r="EK8">
        <f>EK7*IF(OR($C7=36,$G7=36),0,1)</f>
        <v/>
      </c>
      <c r="EL8">
        <f>EL7*IF(OR($C7=37,$G7=37),0,1)</f>
        <v/>
      </c>
      <c r="EM8">
        <f>EM7*IF(OR($C7=38,$G7=38),0,1)</f>
        <v/>
      </c>
      <c r="EN8">
        <f>EN7*IF(OR($C7=39,$G7=39),0,1)</f>
        <v/>
      </c>
      <c r="EO8">
        <f>EO7*IF(OR($C7=40,$G7=40),0,1)</f>
        <v/>
      </c>
      <c r="EP8">
        <f>EP7*IF(OR($C7=41,$G7=41),0,1)</f>
        <v/>
      </c>
      <c r="EQ8">
        <f>EQ7*IF(OR($C7=42,$G7=42),0,1)</f>
        <v/>
      </c>
      <c r="ER8">
        <f>ER7*IF(OR($C7=43,$G7=43),0,1)</f>
        <v/>
      </c>
      <c r="ES8">
        <f>ES7*IF(OR($C7=44,$G7=44),0,1)</f>
        <v/>
      </c>
      <c r="ET8">
        <f>ET7*IF(OR($C7=45,$G7=45),0,1)</f>
        <v/>
      </c>
      <c r="EU8">
        <f>EU7*IF(OR($C7=46,$G7=46),0,1)</f>
        <v/>
      </c>
      <c r="EV8">
        <f>EV7*IF(OR($C7=47,$G7=47),0,1)</f>
        <v/>
      </c>
      <c r="EW8">
        <f>EW7*IF(OR($C7=48,$G7=48),0,1)</f>
        <v/>
      </c>
      <c r="EX8">
        <f>EX7*IF(OR($C7=49,$G7=49),0,1)</f>
        <v/>
      </c>
      <c r="EY8">
        <f>EY7*IF(OR($C7=50,$G7=50),0,1)</f>
        <v/>
      </c>
      <c r="EZ8">
        <f>EZ7*IF(OR($C7=51,$G7=51),0,1)</f>
        <v/>
      </c>
      <c r="FA8">
        <f>FA7*IF(OR($C7=52,$G7=52),0,1)</f>
        <v/>
      </c>
      <c r="FB8">
        <f>FB7*IF(OR($C7=53,$G7=53),0,1)</f>
        <v/>
      </c>
      <c r="FC8">
        <f>FC7*IF(OR($C7=54,$G7=54),0,1)</f>
        <v/>
      </c>
      <c r="FD8">
        <f>FD7*IF(OR($C7=55,$G7=55),0,1)</f>
        <v/>
      </c>
      <c r="FE8">
        <f>FE7*IF(OR($C7=56,$G7=56),0,1)</f>
        <v/>
      </c>
      <c r="FF8">
        <f>FF7*IF(OR($C7=57,$G7=57),0,1)</f>
        <v/>
      </c>
      <c r="FG8">
        <f>FG7*IF(OR($C7=58,$G7=58),0,1)</f>
        <v/>
      </c>
      <c r="FH8">
        <f>FH7*IF(OR($C7=59,$G7=59),0,1)</f>
        <v/>
      </c>
      <c r="FI8">
        <f>FI7*IF(OR($C7=60,$G7=60),0,1)</f>
        <v/>
      </c>
      <c r="FJ8">
        <f>FJ7*IF(OR($C7=61,$G7=61),0,1)</f>
        <v/>
      </c>
      <c r="FK8">
        <f>FK7*IF(OR($C7=62,$G7=62),0,1)</f>
        <v/>
      </c>
      <c r="FL8">
        <f>FL7*IF(OR($C7=63,$G7=63),0,1)</f>
        <v/>
      </c>
      <c r="FM8">
        <f>FM7*IF(OR($C7=64,$G7=64),0,1)</f>
        <v/>
      </c>
      <c r="FN8">
        <f>FN7*IF(OR($C7=65,$G7=65),0,1)</f>
        <v/>
      </c>
      <c r="FO8">
        <f>FO7*IF(OR($C7=66,$G7=66),0,1)</f>
        <v/>
      </c>
      <c r="FP8">
        <f>FP7*IF(OR($C7=67,$G7=67),0,1)</f>
        <v/>
      </c>
      <c r="FQ8">
        <f>FQ7*IF(OR($C7=68,$G7=68),0,1)</f>
        <v/>
      </c>
      <c r="FR8">
        <f>FR7*IF(OR($C7=69,$G7=69),0,1)</f>
        <v/>
      </c>
      <c r="FS8">
        <f>FS7*IF(OR($C7=70,$G7=70),0,1)</f>
        <v/>
      </c>
      <c r="FT8">
        <f>FT7*IF(OR($C7=71,$G7=71),0,1)</f>
        <v/>
      </c>
      <c r="FU8">
        <f>FU7*IF(OR($C7=72,$G7=72),0,1)</f>
        <v/>
      </c>
      <c r="FV8">
        <f>FV7*IF(OR($C7=73,$G7=73),0,1)</f>
        <v/>
      </c>
      <c r="FW8">
        <f>FW7*IF(OR($C7=74,$G7=74),0,1)</f>
        <v/>
      </c>
      <c r="FX8">
        <f>FX7*IF(OR($C7=75,$G7=75),0,1)</f>
        <v/>
      </c>
      <c r="FY8">
        <f>FY7*IF(OR($C7=76,$G7=76),0,1)</f>
        <v/>
      </c>
      <c r="FZ8">
        <f>FZ7*IF(OR($C7=77,$G7=77),0,1)</f>
        <v/>
      </c>
      <c r="GA8">
        <f>GA7*IF(OR($C7=78,$G7=78),0,1)</f>
        <v/>
      </c>
      <c r="GB8">
        <f>GB7*IF(OR($C7=79,$G7=79),0,1)</f>
        <v/>
      </c>
      <c r="GC8">
        <f>GC7*IF(OR($C7=80,$G7=80),0,1)</f>
        <v/>
      </c>
      <c r="GD8">
        <f>GD7*IF(OR($C7=81,$G7=81),0,1)</f>
        <v/>
      </c>
      <c r="GE8">
        <f>GE7*IF(OR($C7=82,$G7=82),0,1)</f>
        <v/>
      </c>
      <c r="GF8">
        <f>GF7*IF(OR($C7=83,$G7=83),0,1)</f>
        <v/>
      </c>
      <c r="GG8">
        <f>GG7*IF(OR($C7=84,$G7=84),0,1)</f>
        <v/>
      </c>
      <c r="GH8">
        <f>GH7*IF(OR($C7=85,$G7=85),0,1)</f>
        <v/>
      </c>
      <c r="GI8">
        <f>GI7*IF(OR($C7=86,$G7=86),0,1)</f>
        <v/>
      </c>
      <c r="GJ8">
        <f>GJ7*IF(OR($C7=87,$G7=87),0,1)</f>
        <v/>
      </c>
      <c r="GK8">
        <f>GK7*IF(OR($C7=88,$G7=88),0,1)</f>
        <v/>
      </c>
      <c r="GL8">
        <f>GL7*IF(OR($C7=89,$G7=89),0,1)</f>
        <v/>
      </c>
      <c r="GM8">
        <f>GM7*IF(OR($C7=90,$G7=90),0,1)</f>
        <v/>
      </c>
      <c r="GN8">
        <f>GN7*IF(OR($C7=91,$G7=91),0,1)</f>
        <v/>
      </c>
      <c r="GO8">
        <f>GO7*IF(OR($C7=92,$G7=92),0,1)</f>
        <v/>
      </c>
      <c r="GP8">
        <f>GP7*IF(OR($C7=93,$G7=93),0,1)</f>
        <v/>
      </c>
      <c r="GQ8">
        <f>GQ7*IF(OR($C7=94,$G7=94),0,1)</f>
        <v/>
      </c>
      <c r="GR8">
        <f>GR7*IF(OR($C7=95,$G7=95),0,1)</f>
        <v/>
      </c>
      <c r="GS8">
        <f>GS7*IF(OR($C7=96,$G7=96),0,1)</f>
        <v/>
      </c>
      <c r="GT8">
        <f>GT7*IF(OR($C7=97,$G7=97),0,1)</f>
        <v/>
      </c>
      <c r="GU8">
        <f>GU7*IF(OR($C7=98,$G7=98),0,1)</f>
        <v/>
      </c>
      <c r="GV8">
        <f>GV7*IF(OR($C7=99,$G7=99),0,1)</f>
        <v/>
      </c>
      <c r="GW8">
        <f>GW7*IF(OR($C7=100,$G7=100),0,1)</f>
        <v/>
      </c>
      <c r="GX8">
        <f>GX7*IF(OR($C7=101,$G7=101),0,1)</f>
        <v/>
      </c>
      <c r="GY8">
        <f>GY7*IF(OR($C7=102,$G7=102),0,1)</f>
        <v/>
      </c>
      <c r="GZ8">
        <f>GZ7*IF(OR($C7=103,$G7=103),0,1)</f>
        <v/>
      </c>
      <c r="HA8">
        <f>HA7*IF(OR($C7=104,$G7=104),0,1)</f>
        <v/>
      </c>
      <c r="HB8">
        <f>HB7*IF(OR($C7=105,$G7=105),0,1)</f>
        <v/>
      </c>
      <c r="HC8">
        <f>HC7*IF(OR($C7=106,$G7=106),0,1)</f>
        <v/>
      </c>
      <c r="HD8">
        <f>HD7*IF(OR($C7=107,$G7=107),0,1)</f>
        <v/>
      </c>
      <c r="HE8">
        <f>HE7*IF(OR($C7=108,$G7=108),0,1)</f>
        <v/>
      </c>
      <c r="HF8">
        <f>HF7*IF(OR($C7=109,$G7=109),0,1)</f>
        <v/>
      </c>
      <c r="HG8">
        <f>HG7*IF(OR($C7=110,$G7=110),0,1)</f>
        <v/>
      </c>
      <c r="HH8">
        <f>HH7*IF(OR($C7=111,$G7=111),0,1)</f>
        <v/>
      </c>
      <c r="HI8">
        <f>HI7*IF(OR($C7=112,$G7=112),0,1)</f>
        <v/>
      </c>
      <c r="HJ8">
        <f>HJ7*IF(OR($C7=113,$G7=113),0,1)</f>
        <v/>
      </c>
      <c r="HK8">
        <f>HK7*IF(OR($C7=114,$G7=114),0,1)</f>
        <v/>
      </c>
      <c r="HL8">
        <f>HL7*IF(OR($C7=115,$G7=115),0,1)</f>
        <v/>
      </c>
      <c r="HM8">
        <f>HM7*IF(OR($C7=116,$G7=116),0,1)</f>
        <v/>
      </c>
      <c r="HN8">
        <f>HN7*IF(OR($C7=117,$G7=117),0,1)</f>
        <v/>
      </c>
      <c r="HO8">
        <f>HO7*IF(OR($C7=118,$G7=118),0,1)</f>
        <v/>
      </c>
      <c r="HP8">
        <f>HP7*IF(OR($C7=119,$G7=119),0,1)</f>
        <v/>
      </c>
      <c r="HQ8">
        <f>HQ7*IF(OR($C7=120,$G7=120),0,1)</f>
        <v/>
      </c>
      <c r="HR8">
        <f>HR7*IF(OR($C7=121,$G7=121),0,1)</f>
        <v/>
      </c>
      <c r="HS8">
        <f>HS7*IF(OR($C7=122,$G7=122),0,1)</f>
        <v/>
      </c>
      <c r="HT8">
        <f>HT7*IF(OR($C7=123,$G7=123),0,1)</f>
        <v/>
      </c>
      <c r="HU8">
        <f>HU7*IF(OR($C7=124,$G7=124),0,1)</f>
        <v/>
      </c>
      <c r="HV8">
        <f>HV7*IF(OR($C7=125,$G7=125),0,1)</f>
        <v/>
      </c>
      <c r="HW8">
        <f>HW7*IF(OR($C7=126,$G7=126),0,1)</f>
        <v/>
      </c>
      <c r="HX8">
        <f>HX7*IF(OR($C7=127,$G7=127),0,1)</f>
        <v/>
      </c>
      <c r="HY8">
        <f>HY7*IF(OR($C7=128,$G7=128),0,1)</f>
        <v/>
      </c>
      <c r="HZ8">
        <f>HZ7*IF(OR($C7=129,$G7=129),0,1)</f>
        <v/>
      </c>
      <c r="IA8">
        <f>IA7*IF(OR($C7=130,$G7=130),0,1)</f>
        <v/>
      </c>
      <c r="IB8">
        <f>IB7*IF(OR($C7=131,$G7=131),0,1)</f>
        <v/>
      </c>
      <c r="IC8">
        <f>IC7*IF(OR($C7=132,$G7=132),0,1)</f>
        <v/>
      </c>
      <c r="ID8">
        <f>ID7*IF(OR($C7=133,$G7=133),0,1)</f>
        <v/>
      </c>
      <c r="IE8">
        <f>IE7*IF(OR($C7=134,$G7=134),0,1)</f>
        <v/>
      </c>
      <c r="IF8">
        <f>IF7*IF(OR($C7=135,$G7=135),0,1)</f>
        <v/>
      </c>
      <c r="IG8">
        <f>IG7*IF(OR($C7=136,$G7=136),0,1)</f>
        <v/>
      </c>
      <c r="IH8">
        <f>IH7*IF(OR($C7=137,$G7=137),0,1)</f>
        <v/>
      </c>
      <c r="II8">
        <f>II7*IF(OR($C7=138,$G7=138),0,1)</f>
        <v/>
      </c>
      <c r="IJ8">
        <f>IJ7*IF(OR($C7=139,$G7=139),0,1)</f>
        <v/>
      </c>
      <c r="IK8">
        <f>IK7*IF(OR($C7=140,$G7=140),0,1)</f>
        <v/>
      </c>
      <c r="IL8">
        <f>IL7*IF(OR($C7=141,$G7=141),0,1)</f>
        <v/>
      </c>
      <c r="IM8">
        <f>IM7*IF(OR($C7=142,$G7=142),0,1)</f>
        <v/>
      </c>
      <c r="IN8">
        <f>IN7*IF(OR($C7=143,$G7=143),0,1)</f>
        <v/>
      </c>
      <c r="IO8">
        <f>IO7*IF(OR($C7=144,$G7=144),0,1)</f>
        <v/>
      </c>
      <c r="IQ8">
        <f>IF('calcA'!D$106=1,DC8,1)</f>
        <v/>
      </c>
      <c r="IR8">
        <f>IF('calcA'!E$106=1,DD8,1)</f>
        <v/>
      </c>
      <c r="IS8">
        <f>IF('calcA'!F$106=1,DE8,1)</f>
        <v/>
      </c>
      <c r="IT8">
        <f>IF('calcA'!G$106=1,DF8,1)</f>
        <v/>
      </c>
      <c r="IU8">
        <f>IF('calcA'!H$106=1,DG8,1)</f>
        <v/>
      </c>
      <c r="IV8">
        <f>IF('calcA'!I$106=1,DH8,1)</f>
        <v/>
      </c>
      <c r="IW8">
        <f>IF('calcA'!J$106=1,DI8,1)</f>
        <v/>
      </c>
      <c r="IX8">
        <f>IF('calcA'!K$106=1,DJ8,1)</f>
        <v/>
      </c>
      <c r="IY8">
        <f>IF('calcA'!L$106=1,DK8,1)</f>
        <v/>
      </c>
      <c r="IZ8">
        <f>IF('calcA'!M$106=1,DL8,1)</f>
        <v/>
      </c>
      <c r="JA8">
        <f>IF('calcA'!N$106=1,DM8,1)</f>
        <v/>
      </c>
      <c r="JB8">
        <f>IF('calcA'!O$106=1,DN8,1)</f>
        <v/>
      </c>
      <c r="JC8">
        <f>IF('calcA'!P$106=1,DO8,1)</f>
        <v/>
      </c>
      <c r="JD8">
        <f>IF('calcA'!Q$106=1,DP8,1)</f>
        <v/>
      </c>
      <c r="JE8">
        <f>IF('calcA'!R$106=1,DQ8,1)</f>
        <v/>
      </c>
      <c r="JF8">
        <f>IF('calcA'!S$106=1,DR8,1)</f>
        <v/>
      </c>
      <c r="JG8">
        <f>IF('calcA'!T$106=1,DS8,1)</f>
        <v/>
      </c>
      <c r="JH8">
        <f>IF('calcA'!U$106=1,DT8,1)</f>
        <v/>
      </c>
      <c r="JI8">
        <f>IF('calcA'!V$106=1,DU8,1)</f>
        <v/>
      </c>
      <c r="JJ8">
        <f>IF('calcA'!W$106=1,DV8,1)</f>
        <v/>
      </c>
      <c r="JK8">
        <f>IF('calcA'!X$106=1,DW8,1)</f>
        <v/>
      </c>
      <c r="JL8">
        <f>IF('calcA'!Y$106=1,DX8,1)</f>
        <v/>
      </c>
      <c r="JM8">
        <f>IF('calcA'!Z$106=1,DY8,1)</f>
        <v/>
      </c>
      <c r="JN8">
        <f>IF('calcA'!AA$106=1,DZ8,1)</f>
        <v/>
      </c>
      <c r="JO8">
        <f>IF('calcA'!AB$106=1,EA8,1)</f>
        <v/>
      </c>
      <c r="JP8">
        <f>IF('calcA'!AC$106=1,EB8,1)</f>
        <v/>
      </c>
      <c r="JQ8">
        <f>IF('calcA'!AD$106=1,EC8,1)</f>
        <v/>
      </c>
      <c r="JR8">
        <f>IF('calcA'!AE$106=1,ED8,1)</f>
        <v/>
      </c>
      <c r="JS8">
        <f>IF('calcA'!AF$106=1,EE8,1)</f>
        <v/>
      </c>
      <c r="JT8">
        <f>IF('calcA'!AG$106=1,EF8,1)</f>
        <v/>
      </c>
      <c r="JU8">
        <f>IF('calcA'!AH$106=1,EG8,1)</f>
        <v/>
      </c>
      <c r="JV8">
        <f>IF('calcA'!AI$106=1,EH8,1)</f>
        <v/>
      </c>
      <c r="JW8">
        <f>IF('calcA'!AJ$106=1,EI8,1)</f>
        <v/>
      </c>
      <c r="JX8">
        <f>IF('calcA'!AK$106=1,EJ8,1)</f>
        <v/>
      </c>
      <c r="JY8">
        <f>IF('calcA'!AL$106=1,EK8,1)</f>
        <v/>
      </c>
      <c r="JZ8">
        <f>IF('calcA'!AM$106=1,EL8,1)</f>
        <v/>
      </c>
      <c r="KA8">
        <f>IF('calcA'!AN$106=1,EM8,1)</f>
        <v/>
      </c>
      <c r="KB8">
        <f>IF('calcA'!AO$106=1,EN8,1)</f>
        <v/>
      </c>
      <c r="KC8">
        <f>IF('calcA'!AP$106=1,EO8,1)</f>
        <v/>
      </c>
      <c r="KD8">
        <f>IF('calcA'!AQ$106=1,EP8,1)</f>
        <v/>
      </c>
      <c r="KE8">
        <f>IF('calcA'!AR$106=1,EQ8,1)</f>
        <v/>
      </c>
      <c r="KF8">
        <f>IF('calcA'!AS$106=1,ER8,1)</f>
        <v/>
      </c>
      <c r="KG8">
        <f>IF('calcA'!AT$106=1,ES8,1)</f>
        <v/>
      </c>
      <c r="KH8">
        <f>IF('calcA'!AU$106=1,ET8,1)</f>
        <v/>
      </c>
      <c r="KI8">
        <f>IF('calcA'!AV$106=1,EU8,1)</f>
        <v/>
      </c>
      <c r="KJ8">
        <f>IF('calcA'!AW$106=1,EV8,1)</f>
        <v/>
      </c>
      <c r="KK8">
        <f>IF('calcA'!AX$106=1,EW8,1)</f>
        <v/>
      </c>
      <c r="KL8">
        <f>IF('calcA'!AY$106=1,EX8,1)</f>
        <v/>
      </c>
      <c r="KM8">
        <f>IF('calcA'!AZ$106=1,EY8,1)</f>
        <v/>
      </c>
      <c r="KN8">
        <f>IF('calcA'!BA$106=1,EZ8,1)</f>
        <v/>
      </c>
      <c r="KO8">
        <f>IF('calcA'!BB$106=1,FA8,1)</f>
        <v/>
      </c>
      <c r="KP8">
        <f>IF('calcA'!BC$106=1,FB8,1)</f>
        <v/>
      </c>
      <c r="KQ8">
        <f>IF('calcA'!BD$106=1,FC8,1)</f>
        <v/>
      </c>
      <c r="KR8">
        <f>IF('calcA'!BE$106=1,FD8,1)</f>
        <v/>
      </c>
      <c r="KS8">
        <f>IF('calcA'!BF$106=1,FE8,1)</f>
        <v/>
      </c>
      <c r="KT8">
        <f>IF('calcA'!BG$106=1,FF8,1)</f>
        <v/>
      </c>
      <c r="KU8">
        <f>IF('calcA'!BH$106=1,FG8,1)</f>
        <v/>
      </c>
      <c r="KV8">
        <f>IF('calcA'!BI$106=1,FH8,1)</f>
        <v/>
      </c>
      <c r="KW8">
        <f>IF('calcA'!BJ$106=1,FI8,1)</f>
        <v/>
      </c>
      <c r="KX8">
        <f>IF('calcA'!BK$106=1,FJ8,1)</f>
        <v/>
      </c>
      <c r="KY8">
        <f>IF('calcA'!BL$106=1,FK8,1)</f>
        <v/>
      </c>
      <c r="KZ8">
        <f>IF('calcA'!BM$106=1,FL8,1)</f>
        <v/>
      </c>
      <c r="LA8">
        <f>IF('calcA'!BN$106=1,FM8,1)</f>
        <v/>
      </c>
      <c r="LB8">
        <f>IF('calcA'!BO$106=1,FN8,1)</f>
        <v/>
      </c>
      <c r="LC8">
        <f>IF('calcA'!BP$106=1,FO8,1)</f>
        <v/>
      </c>
      <c r="LD8">
        <f>IF('calcA'!BQ$106=1,FP8,1)</f>
        <v/>
      </c>
      <c r="LE8">
        <f>IF('calcA'!BR$106=1,FQ8,1)</f>
        <v/>
      </c>
      <c r="LF8">
        <f>IF('calcA'!BS$106=1,FR8,1)</f>
        <v/>
      </c>
      <c r="LG8">
        <f>IF('calcA'!BT$106=1,FS8,1)</f>
        <v/>
      </c>
      <c r="LH8">
        <f>IF('calcA'!BU$106=1,FT8,1)</f>
        <v/>
      </c>
      <c r="LI8">
        <f>IF('calcA'!BV$106=1,FU8,1)</f>
        <v/>
      </c>
      <c r="LJ8">
        <f>IF('calcA'!BW$106=1,FV8,1)</f>
        <v/>
      </c>
      <c r="LK8">
        <f>IF('calcA'!BX$106=1,FW8,1)</f>
        <v/>
      </c>
      <c r="LL8">
        <f>IF('calcA'!BY$106=1,FX8,1)</f>
        <v/>
      </c>
      <c r="LM8">
        <f>IF('calcA'!BZ$106=1,FY8,1)</f>
        <v/>
      </c>
      <c r="LN8">
        <f>IF('calcA'!CA$106=1,FZ8,1)</f>
        <v/>
      </c>
      <c r="LO8">
        <f>IF('calcA'!CB$106=1,GA8,1)</f>
        <v/>
      </c>
      <c r="LP8">
        <f>IF('calcA'!CC$106=1,GB8,1)</f>
        <v/>
      </c>
      <c r="LQ8">
        <f>IF('calcA'!CD$106=1,GC8,1)</f>
        <v/>
      </c>
      <c r="LR8">
        <f>IF('calcA'!CE$106=1,GD8,1)</f>
        <v/>
      </c>
      <c r="LS8">
        <f>IF('calcA'!CF$106=1,GE8,1)</f>
        <v/>
      </c>
      <c r="LT8">
        <f>IF('calcA'!CG$106=1,GF8,1)</f>
        <v/>
      </c>
      <c r="LU8">
        <f>IF('calcA'!CH$106=1,GG8,1)</f>
        <v/>
      </c>
      <c r="LV8">
        <f>IF('calcA'!CI$106=1,GH8,1)</f>
        <v/>
      </c>
      <c r="LW8">
        <f>IF('calcA'!CJ$106=1,GI8,1)</f>
        <v/>
      </c>
      <c r="LX8">
        <f>IF('calcA'!CK$106=1,GJ8,1)</f>
        <v/>
      </c>
      <c r="LY8">
        <f>IF('calcA'!CL$106=1,GK8,1)</f>
        <v/>
      </c>
      <c r="LZ8">
        <f>IF('calcA'!CM$106=1,GL8,1)</f>
        <v/>
      </c>
      <c r="MA8">
        <f>IF('calcA'!CN$106=1,GM8,1)</f>
        <v/>
      </c>
      <c r="MB8">
        <f>IF('calcA'!CO$106=1,GN8,1)</f>
        <v/>
      </c>
      <c r="MC8">
        <f>IF('calcA'!CP$106=1,GO8,1)</f>
        <v/>
      </c>
      <c r="MD8">
        <f>IF('calcA'!CQ$106=1,GP8,1)</f>
        <v/>
      </c>
      <c r="ME8">
        <f>IF('calcA'!CR$106=1,GQ8,1)</f>
        <v/>
      </c>
      <c r="MF8">
        <f>IF('calcA'!CS$106=1,GR8,1)</f>
        <v/>
      </c>
      <c r="MG8">
        <f>IF('calcA'!CT$106=1,GS8,1)</f>
        <v/>
      </c>
      <c r="MH8">
        <f>IF('calcA'!CU$106=1,GT8,1)</f>
        <v/>
      </c>
      <c r="MI8">
        <f>IF('calcA'!CV$106=1,GU8,1)</f>
        <v/>
      </c>
      <c r="MJ8">
        <f>IF('calcA'!CW$106=1,GV8,1)</f>
        <v/>
      </c>
      <c r="MK8">
        <f>IF('calcA'!CX$106=1,GW8,1)</f>
        <v/>
      </c>
      <c r="ML8">
        <f>IF('calcA'!CY$106=1,GX8,1)</f>
        <v/>
      </c>
      <c r="MM8">
        <f>IF('calcA'!CZ$106=1,GY8,1)</f>
        <v/>
      </c>
      <c r="MN8">
        <f>IF('calcA'!DA$106=1,GZ8,1)</f>
        <v/>
      </c>
      <c r="MO8">
        <f>IF('calcA'!DB$106=1,HA8,1)</f>
        <v/>
      </c>
      <c r="MP8">
        <f>IF('calcA'!DC$106=1,HB8,1)</f>
        <v/>
      </c>
      <c r="MQ8">
        <f>IF('calcA'!DD$106=1,HC8,1)</f>
        <v/>
      </c>
      <c r="MR8">
        <f>IF('calcA'!DE$106=1,HD8,1)</f>
        <v/>
      </c>
      <c r="MS8">
        <f>IF('calcA'!DF$106=1,HE8,1)</f>
        <v/>
      </c>
      <c r="MT8">
        <f>IF('calcA'!DG$106=1,HF8,1)</f>
        <v/>
      </c>
      <c r="MU8">
        <f>IF('calcA'!DH$106=1,HG8,1)</f>
        <v/>
      </c>
      <c r="MV8">
        <f>IF('calcA'!DI$106=1,HH8,1)</f>
        <v/>
      </c>
      <c r="MW8">
        <f>IF('calcA'!DJ$106=1,HI8,1)</f>
        <v/>
      </c>
      <c r="MX8">
        <f>IF('calcA'!DK$106=1,HJ8,1)</f>
        <v/>
      </c>
      <c r="MY8">
        <f>IF('calcA'!DL$106=1,HK8,1)</f>
        <v/>
      </c>
      <c r="MZ8">
        <f>IF('calcA'!DM$106=1,HL8,1)</f>
        <v/>
      </c>
      <c r="NA8">
        <f>IF('calcA'!DN$106=1,HM8,1)</f>
        <v/>
      </c>
      <c r="NB8">
        <f>IF('calcA'!DO$106=1,HN8,1)</f>
        <v/>
      </c>
      <c r="NC8">
        <f>IF('calcA'!DP$106=1,HO8,1)</f>
        <v/>
      </c>
      <c r="ND8">
        <f>IF('calcA'!DQ$106=1,HP8,1)</f>
        <v/>
      </c>
      <c r="NE8">
        <f>IF('calcA'!DR$106=1,HQ8,1)</f>
        <v/>
      </c>
      <c r="NF8">
        <f>IF('calcA'!DS$106=1,HR8,1)</f>
        <v/>
      </c>
      <c r="NG8">
        <f>IF('calcA'!DT$106=1,HS8,1)</f>
        <v/>
      </c>
      <c r="NH8">
        <f>IF('calcA'!DU$106=1,HT8,1)</f>
        <v/>
      </c>
      <c r="NI8">
        <f>IF('calcA'!DV$106=1,HU8,1)</f>
        <v/>
      </c>
      <c r="NJ8">
        <f>IF('calcA'!DW$106=1,HV8,1)</f>
        <v/>
      </c>
      <c r="NK8">
        <f>IF('calcA'!DX$106=1,HW8,1)</f>
        <v/>
      </c>
      <c r="NL8">
        <f>IF('calcA'!DY$106=1,HX8,1)</f>
        <v/>
      </c>
      <c r="NM8">
        <f>IF('calcA'!DZ$106=1,HY8,1)</f>
        <v/>
      </c>
      <c r="NN8">
        <f>IF('calcA'!EA$106=1,HZ8,1)</f>
        <v/>
      </c>
      <c r="NO8">
        <f>IF('calcA'!EB$106=1,IA8,1)</f>
        <v/>
      </c>
      <c r="NP8">
        <f>IF('calcA'!EC$106=1,IB8,1)</f>
        <v/>
      </c>
      <c r="NQ8">
        <f>IF('calcA'!ED$106=1,IC8,1)</f>
        <v/>
      </c>
      <c r="NR8">
        <f>IF('calcA'!EE$106=1,ID8,1)</f>
        <v/>
      </c>
      <c r="NS8">
        <f>IF('calcA'!EF$106=1,IE8,1)</f>
        <v/>
      </c>
      <c r="NT8">
        <f>IF('calcA'!EG$106=1,IF8,1)</f>
        <v/>
      </c>
      <c r="NU8">
        <f>IF('calcA'!EH$106=1,IG8,1)</f>
        <v/>
      </c>
      <c r="NV8">
        <f>IF('calcA'!EI$106=1,IH8,1)</f>
        <v/>
      </c>
      <c r="NW8">
        <f>IF('calcA'!EJ$106=1,II8,1)</f>
        <v/>
      </c>
      <c r="NX8">
        <f>IF('calcA'!EK$106=1,IJ8,1)</f>
        <v/>
      </c>
      <c r="NY8">
        <f>IF('calcA'!EL$106=1,IK8,1)</f>
        <v/>
      </c>
      <c r="NZ8">
        <f>IF('calcA'!EM$106=1,IL8,1)</f>
        <v/>
      </c>
      <c r="OA8">
        <f>IF('calcA'!EN$106=1,IM8,1)</f>
        <v/>
      </c>
      <c r="OB8">
        <f>IF('calcA'!EO$106=1,IN8,1)</f>
        <v/>
      </c>
      <c r="OC8">
        <f>IF('calcA'!EP$106=1,IO8,1)</f>
        <v/>
      </c>
      <c r="OD8" t="n">
        <v>1</v>
      </c>
      <c r="OF8">
        <f>IF($B8=0,1000000000,IF(INDEX('calcA'!$D$60:$EQ$99,$B8,1)*IF($W8=1,DB8+ZQ8,DB8)=1,IF(AND($E8=2,IF($W8=1,AFF8,IQ8)=0),1000000000,IF($V8=1,INDEX('calcA'!$D$130:$EQ$169,$B8,1)+IF(AND($E8=1,IQ8=0),25,0),INDEX('calcA'!D$110:D$114,$F8+1)+IF(AND($E8=1,IQ8=0),1000,0)+IF($H8=1,INDEX('calcA'!$D$180:$EQ$219,$B8,1)*500,0)-IF(AND($U8=1,'calcA'!D$117=1,DC8=0),300,0))),1000000000))</f>
        <v/>
      </c>
      <c r="OG8">
        <f>IF($B8=0,1000000000,IF(INDEX('calcA'!$D$60:$EQ$99,$B8,2)*IF($W8=1,DC8+ZR8,DC8)=1,IF(AND($E8=2,IF($W8=1,AFG8,IR8)=0),1000000000,IF($V8=1,INDEX('calcA'!$D$130:$EQ$169,$B8,2)+IF(AND($E8=1,IR8=0),25,0),INDEX('calcA'!E$110:E$114,$F8+1)+IF(AND($E8=1,IR8=0),1000,0)+IF($H8=1,INDEX('calcA'!$D$180:$EQ$219,$B8,2)*500,0)-IF(AND('calcA'!D$117=1,UB8&gt;0),300,0)-IF(AND($U8=1,'calcA'!E$117=1,DD8=0),300,0))),1000000000))</f>
        <v/>
      </c>
      <c r="OH8">
        <f>IF($B8=0,1000000000,IF(INDEX('calcA'!$D$60:$EQ$99,$B8,3)*IF($W8=1,DD8+ZS8,DD8)=1,IF(AND($E8=2,IF($W8=1,AFH8,IS8)=0),1000000000,IF($V8=1,INDEX('calcA'!$D$130:$EQ$169,$B8,3)+IF(AND($E8=1,IS8=0),25,0),INDEX('calcA'!F$110:F$114,$F8+1)+IF(AND($E8=1,IS8=0),1000,0)+IF($H8=1,INDEX('calcA'!$D$180:$EQ$219,$B8,3)*500,0)-IF(AND('calcA'!E$117=1,UC8&gt;0),300,0)-IF(AND($U8=1,'calcA'!F$117=1,DE8=0),300,0))),1000000000))</f>
        <v/>
      </c>
      <c r="OI8">
        <f>IF($B8=0,1000000000,IF(INDEX('calcA'!$D$60:$EQ$99,$B8,4)*IF($W8=1,DE8+ZT8,DE8)=1,IF(AND($E8=2,IF($W8=1,AFI8,IT8)=0),1000000000,IF($V8=1,INDEX('calcA'!$D$130:$EQ$169,$B8,4)+IF(AND($E8=1,IT8=0),25,0),INDEX('calcA'!G$110:G$114,$F8+1)+IF(AND($E8=1,IT8=0),1000,0)+IF($H8=1,INDEX('calcA'!$D$180:$EQ$219,$B8,4)*500,0)-IF(AND('calcA'!F$117=1,UD8&gt;0),300,0)-IF(AND($U8=1,'calcA'!G$117=1,DF8=0),300,0))),1000000000))</f>
        <v/>
      </c>
      <c r="OJ8">
        <f>IF($B8=0,1000000000,IF(INDEX('calcA'!$D$60:$EQ$99,$B8,5)*IF($W8=1,DF8+ZU8,DF8)=1,IF(AND($E8=2,IF($W8=1,AFJ8,IU8)=0),1000000000,IF($V8=1,INDEX('calcA'!$D$130:$EQ$169,$B8,5)+IF(AND($E8=1,IU8=0),25,0),INDEX('calcA'!H$110:H$114,$F8+1)+IF(AND($E8=1,IU8=0),1000,0)+IF($H8=1,INDEX('calcA'!$D$180:$EQ$219,$B8,5)*500,0)-IF(AND('calcA'!G$117=1,UE8&gt;0),300,0)-IF(AND($U8=1,'calcA'!H$117=1,DG8=0),300,0))),1000000000))</f>
        <v/>
      </c>
      <c r="OK8">
        <f>IF($B8=0,1000000000,IF(INDEX('calcA'!$D$60:$EQ$99,$B8,6)*IF($W8=1,DG8+ZV8,DG8)=1,IF(AND($E8=2,IF($W8=1,AFK8,IV8)=0),1000000000,IF($V8=1,INDEX('calcA'!$D$130:$EQ$169,$B8,6)+IF(AND($E8=1,IV8=0),25,0),INDEX('calcA'!I$110:I$114,$F8+1)+IF(AND($E8=1,IV8=0),1000,0)+IF($H8=1,INDEX('calcA'!$D$180:$EQ$219,$B8,6)*500,0)-IF(AND('calcA'!H$117=1,UF8&gt;0),300,0)-IF(AND($U8=1,'calcA'!I$117=1,DH8=0),300,0))),1000000000))</f>
        <v/>
      </c>
      <c r="OL8">
        <f>IF($B8=0,1000000000,IF(INDEX('calcA'!$D$60:$EQ$99,$B8,7)*IF($W8=1,DH8+ZW8,DH8)=1,IF(AND($E8=2,IF($W8=1,AFL8,IW8)=0),1000000000,IF($V8=1,INDEX('calcA'!$D$130:$EQ$169,$B8,7)+IF(AND($E8=1,IW8=0),25,0),INDEX('calcA'!J$110:J$114,$F8+1)+IF(AND($E8=1,IW8=0),1000,0)+IF($H8=1,INDEX('calcA'!$D$180:$EQ$219,$B8,7)*500,0)-IF(AND('calcA'!I$117=1,UG8&gt;0),300,0)-IF(AND($U8=1,'calcA'!J$117=1,DI8=0),300,0))),1000000000))</f>
        <v/>
      </c>
      <c r="OM8">
        <f>IF($B8=0,1000000000,IF(INDEX('calcA'!$D$60:$EQ$99,$B8,8)*IF($W8=1,DI8+ZX8,DI8)=1,IF(AND($E8=2,IF($W8=1,AFM8,IX8)=0),1000000000,IF($V8=1,INDEX('calcA'!$D$130:$EQ$169,$B8,8)+IF(AND($E8=1,IX8=0),25,0),INDEX('calcA'!K$110:K$114,$F8+1)+IF(AND($E8=1,IX8=0),1000,0)+IF($H8=1,INDEX('calcA'!$D$180:$EQ$219,$B8,8)*500,0)-IF(AND('calcA'!J$117=1,UH8&gt;0),300,0)-IF(AND($U8=1,'calcA'!K$117=1,DJ8=0),300,0))),1000000000))</f>
        <v/>
      </c>
      <c r="ON8">
        <f>IF($B8=0,1000000000,IF(INDEX('calcA'!$D$60:$EQ$99,$B8,9)*IF($W8=1,DJ8+ZY8,DJ8)=1,IF(AND($E8=2,IF($W8=1,AFN8,IY8)=0),1000000000,IF($V8=1,INDEX('calcA'!$D$130:$EQ$169,$B8,9)+IF(AND($E8=1,IY8=0),25,0),INDEX('calcA'!L$110:L$114,$F8+1)+IF(AND($E8=1,IY8=0),1000,0)+IF($H8=1,INDEX('calcA'!$D$180:$EQ$219,$B8,9)*500,0)-IF(AND('calcA'!K$117=1,UI8&gt;0),300,0)-IF(AND($U8=1,'calcA'!L$117=1,DK8=0),300,0))),1000000000))</f>
        <v/>
      </c>
      <c r="OO8">
        <f>IF($B8=0,1000000000,IF(INDEX('calcA'!$D$60:$EQ$99,$B8,10)*IF($W8=1,DK8+ZZ8,DK8)=1,IF(AND($E8=2,IF($W8=1,AFO8,IZ8)=0),1000000000,IF($V8=1,INDEX('calcA'!$D$130:$EQ$169,$B8,10)+IF(AND($E8=1,IZ8=0),25,0),INDEX('calcA'!M$110:M$114,$F8+1)+IF(AND($E8=1,IZ8=0),1000,0)+IF($H8=1,INDEX('calcA'!$D$180:$EQ$219,$B8,10)*500,0)-IF(AND('calcA'!L$117=1,UJ8&gt;0),300,0)-IF(AND($U8=1,'calcA'!M$117=1,DL8=0),300,0))),1000000000))</f>
        <v/>
      </c>
      <c r="OP8">
        <f>IF($B8=0,1000000000,IF(INDEX('calcA'!$D$60:$EQ$99,$B8,11)*IF($W8=1,DL8+AAA8,DL8)=1,IF(AND($E8=2,IF($W8=1,AFP8,JA8)=0),1000000000,IF($V8=1,INDEX('calcA'!$D$130:$EQ$169,$B8,11)+IF(AND($E8=1,JA8=0),25,0),INDEX('calcA'!N$110:N$114,$F8+1)+IF(AND($E8=1,JA8=0),1000,0)+IF($H8=1,INDEX('calcA'!$D$180:$EQ$219,$B8,11)*500,0)-IF(AND('calcA'!M$117=1,UK8&gt;0),300,0)-IF(AND($U8=1,'calcA'!N$117=1,DM8=0),300,0))),1000000000))</f>
        <v/>
      </c>
      <c r="OQ8">
        <f>IF($B8=0,1000000000,IF(INDEX('calcA'!$D$60:$EQ$99,$B8,12)*IF($W8=1,DM8+AAB8,DM8)=1,IF(AND($E8=2,IF($W8=1,AFQ8,JB8)=0),1000000000,IF($V8=1,INDEX('calcA'!$D$130:$EQ$169,$B8,12)+IF(AND($E8=1,JB8=0),25,0),INDEX('calcA'!O$110:O$114,$F8+1)+IF(AND($E8=1,JB8=0),1000,0)+IF($H8=1,INDEX('calcA'!$D$180:$EQ$219,$B8,12)*500,0)-IF(AND('calcA'!N$117=1,UL8&gt;0),300,0)-IF(AND($U8=1,'calcA'!O$117=1,DN8=0),300,0))),1000000000))</f>
        <v/>
      </c>
      <c r="OR8">
        <f>IF($B8=0,1000000000,IF(INDEX('calcA'!$D$60:$EQ$99,$B8,13)*IF($W8=1,DN8+AAC8,DN8)=1,IF(AND($E8=2,IF($W8=1,AFR8,JC8)=0),1000000000,IF($V8=1,INDEX('calcA'!$D$130:$EQ$169,$B8,13)+IF(AND($E8=1,JC8=0),25,0),INDEX('calcA'!P$110:P$114,$F8+1)+IF(AND($E8=1,JC8=0),1000,0)+IF($H8=1,INDEX('calcA'!$D$180:$EQ$219,$B8,13)*500,0)-IF(AND('calcA'!O$117=1,UM8&gt;0),300,0)-IF(AND($U8=1,'calcA'!P$117=1,DO8=0),300,0))),1000000000))</f>
        <v/>
      </c>
      <c r="OS8">
        <f>IF($B8=0,1000000000,IF(INDEX('calcA'!$D$60:$EQ$99,$B8,14)*IF($W8=1,DO8+AAD8,DO8)=1,IF(AND($E8=2,IF($W8=1,AFS8,JD8)=0),1000000000,IF($V8=1,INDEX('calcA'!$D$130:$EQ$169,$B8,14)+IF(AND($E8=1,JD8=0),25,0),INDEX('calcA'!Q$110:Q$114,$F8+1)+IF(AND($E8=1,JD8=0),1000,0)+IF($H8=1,INDEX('calcA'!$D$180:$EQ$219,$B8,14)*500,0)-IF(AND('calcA'!P$117=1,UN8&gt;0),300,0)-IF(AND($U8=1,'calcA'!Q$117=1,DP8=0),300,0))),1000000000))</f>
        <v/>
      </c>
      <c r="OT8">
        <f>IF($B8=0,1000000000,IF(INDEX('calcA'!$D$60:$EQ$99,$B8,15)*IF($W8=1,DP8+AAE8,DP8)=1,IF(AND($E8=2,IF($W8=1,AFT8,JE8)=0),1000000000,IF($V8=1,INDEX('calcA'!$D$130:$EQ$169,$B8,15)+IF(AND($E8=1,JE8=0),25,0),INDEX('calcA'!R$110:R$114,$F8+1)+IF(AND($E8=1,JE8=0),1000,0)+IF($H8=1,INDEX('calcA'!$D$180:$EQ$219,$B8,15)*500,0)-IF(AND('calcA'!Q$117=1,UO8&gt;0),300,0)-IF(AND($U8=1,'calcA'!R$117=1,DQ8=0),300,0))),1000000000))</f>
        <v/>
      </c>
      <c r="OU8">
        <f>IF($B8=0,1000000000,IF(INDEX('calcA'!$D$60:$EQ$99,$B8,16)*IF($W8=1,DQ8+AAF8,DQ8)=1,IF(AND($E8=2,IF($W8=1,AFU8,JF8)=0),1000000000,IF($V8=1,INDEX('calcA'!$D$130:$EQ$169,$B8,16)+IF(AND($E8=1,JF8=0),25,0),INDEX('calcA'!S$110:S$114,$F8+1)+IF(AND($E8=1,JF8=0),1000,0)+IF($H8=1,INDEX('calcA'!$D$180:$EQ$219,$B8,16)*500,0)-IF(AND('calcA'!R$117=1,UP8&gt;0),300,0)-IF(AND($U8=1,'calcA'!S$117=1,DR8=0),300,0))),1000000000))</f>
        <v/>
      </c>
      <c r="OV8">
        <f>IF($B8=0,1000000000,IF(INDEX('calcA'!$D$60:$EQ$99,$B8,17)*IF($W8=1,DR8+AAG8,DR8)=1,IF(AND($E8=2,IF($W8=1,AFV8,JG8)=0),1000000000,IF($V8=1,INDEX('calcA'!$D$130:$EQ$169,$B8,17)+IF(AND($E8=1,JG8=0),25,0),INDEX('calcA'!T$110:T$114,$F8+1)+IF(AND($E8=1,JG8=0),1000,0)+IF($H8=1,INDEX('calcA'!$D$180:$EQ$219,$B8,17)*500,0)-IF(AND('calcA'!S$117=1,UQ8&gt;0),300,0)-IF(AND($U8=1,'calcA'!T$117=1,DS8=0),300,0))),1000000000))</f>
        <v/>
      </c>
      <c r="OW8">
        <f>IF($B8=0,1000000000,IF(INDEX('calcA'!$D$60:$EQ$99,$B8,18)*IF($W8=1,DS8+AAH8,DS8)=1,IF(AND($E8=2,IF($W8=1,AFW8,JH8)=0),1000000000,IF($V8=1,INDEX('calcA'!$D$130:$EQ$169,$B8,18)+IF(AND($E8=1,JH8=0),25,0),INDEX('calcA'!U$110:U$114,$F8+1)+IF(AND($E8=1,JH8=0),1000,0)+IF($H8=1,INDEX('calcA'!$D$180:$EQ$219,$B8,18)*500,0)-IF(AND('calcA'!T$117=1,UR8&gt;0),300,0)-IF(AND($U8=1,'calcA'!U$117=1,DT8=0),300,0))),1000000000))</f>
        <v/>
      </c>
      <c r="OX8">
        <f>IF($B8=0,1000000000,IF(INDEX('calcA'!$D$60:$EQ$99,$B8,19)*IF($W8=1,DT8+AAI8,DT8)=1,IF(AND($E8=2,IF($W8=1,AFX8,JI8)=0),1000000000,IF($V8=1,INDEX('calcA'!$D$130:$EQ$169,$B8,19)+IF(AND($E8=1,JI8=0),25,0),INDEX('calcA'!V$110:V$114,$F8+1)+IF(AND($E8=1,JI8=0),1000,0)+IF($H8=1,INDEX('calcA'!$D$180:$EQ$219,$B8,19)*500,0)-IF(AND('calcA'!U$117=1,US8&gt;0),300,0)-IF(AND($U8=1,'calcA'!V$117=1,DU8=0),300,0))),1000000000))</f>
        <v/>
      </c>
      <c r="OY8">
        <f>IF($B8=0,1000000000,IF(INDEX('calcA'!$D$60:$EQ$99,$B8,20)*IF($W8=1,DU8+AAJ8,DU8)=1,IF(AND($E8=2,IF($W8=1,AFY8,JJ8)=0),1000000000,IF($V8=1,INDEX('calcA'!$D$130:$EQ$169,$B8,20)+IF(AND($E8=1,JJ8=0),25,0),INDEX('calcA'!W$110:W$114,$F8+1)+IF(AND($E8=1,JJ8=0),1000,0)+IF($H8=1,INDEX('calcA'!$D$180:$EQ$219,$B8,20)*500,0)-IF(AND('calcA'!V$117=1,UT8&gt;0),300,0)-IF(AND($U8=1,'calcA'!W$117=1,DV8=0),300,0))),1000000000))</f>
        <v/>
      </c>
      <c r="OZ8">
        <f>IF($B8=0,1000000000,IF(INDEX('calcA'!$D$60:$EQ$99,$B8,21)*IF($W8=1,DV8+AAK8,DV8)=1,IF(AND($E8=2,IF($W8=1,AFZ8,JK8)=0),1000000000,IF($V8=1,INDEX('calcA'!$D$130:$EQ$169,$B8,21)+IF(AND($E8=1,JK8=0),25,0),INDEX('calcA'!X$110:X$114,$F8+1)+IF(AND($E8=1,JK8=0),1000,0)+IF($H8=1,INDEX('calcA'!$D$180:$EQ$219,$B8,21)*500,0)-IF(AND('calcA'!W$117=1,UU8&gt;0),300,0)-IF(AND($U8=1,'calcA'!X$117=1,DW8=0),300,0))),1000000000))</f>
        <v/>
      </c>
      <c r="PA8">
        <f>IF($B8=0,1000000000,IF(INDEX('calcA'!$D$60:$EQ$99,$B8,22)*IF($W8=1,DW8+AAL8,DW8)=1,IF(AND($E8=2,IF($W8=1,AGA8,JL8)=0),1000000000,IF($V8=1,INDEX('calcA'!$D$130:$EQ$169,$B8,22)+IF(AND($E8=1,JL8=0),25,0),INDEX('calcA'!Y$110:Y$114,$F8+1)+IF(AND($E8=1,JL8=0),1000,0)+IF($H8=1,INDEX('calcA'!$D$180:$EQ$219,$B8,22)*500,0)-IF(AND('calcA'!X$117=1,UV8&gt;0),300,0)-IF(AND($U8=1,'calcA'!Y$117=1,DX8=0),300,0))),1000000000))</f>
        <v/>
      </c>
      <c r="PB8">
        <f>IF($B8=0,1000000000,IF(INDEX('calcA'!$D$60:$EQ$99,$B8,23)*IF($W8=1,DX8+AAM8,DX8)=1,IF(AND($E8=2,IF($W8=1,AGB8,JM8)=0),1000000000,IF($V8=1,INDEX('calcA'!$D$130:$EQ$169,$B8,23)+IF(AND($E8=1,JM8=0),25,0),INDEX('calcA'!Z$110:Z$114,$F8+1)+IF(AND($E8=1,JM8=0),1000,0)+IF($H8=1,INDEX('calcA'!$D$180:$EQ$219,$B8,23)*500,0)-IF(AND('calcA'!Y$117=1,UW8&gt;0),300,0)-IF(AND($U8=1,'calcA'!Z$117=1,DY8=0),300,0))),1000000000))</f>
        <v/>
      </c>
      <c r="PC8">
        <f>IF($B8=0,1000000000,IF(INDEX('calcA'!$D$60:$EQ$99,$B8,24)*IF($W8=1,DY8+AAN8,DY8)=1,IF(AND($E8=2,IF($W8=1,AGC8,JN8)=0),1000000000,IF($V8=1,INDEX('calcA'!$D$130:$EQ$169,$B8,24)+IF(AND($E8=1,JN8=0),25,0),INDEX('calcA'!AA$110:AA$114,$F8+1)+IF(AND($E8=1,JN8=0),1000,0)+IF($H8=1,INDEX('calcA'!$D$180:$EQ$219,$B8,24)*500,0)-IF(AND('calcA'!Z$117=1,UX8&gt;0),300,0))),1000000000))</f>
        <v/>
      </c>
      <c r="PD8">
        <f>IF($B8=0,1000000000,IF(INDEX('calcA'!$D$60:$EQ$99,$B8,25)*IF($W8=1,DZ8+AAO8,DZ8)=1,IF(AND($E8=2,IF($W8=1,AGD8,JO8)=0),1000000000,IF($V8=1,INDEX('calcA'!$D$130:$EQ$169,$B8,25)+IF(AND($E8=1,JO8=0),25,0),INDEX('calcA'!AB$110:AB$114,$F8+1)+IF(AND($E8=1,JO8=0),1000,0)+IF($H8=1,INDEX('calcA'!$D$180:$EQ$219,$B8,25)*500,0)-IF(AND($U8=1,'calcA'!AB$117=1,EA8=0),300,0))),1000000000))</f>
        <v/>
      </c>
      <c r="PE8">
        <f>IF($B8=0,1000000000,IF(INDEX('calcA'!$D$60:$EQ$99,$B8,26)*IF($W8=1,EA8+AAP8,EA8)=1,IF(AND($E8=2,IF($W8=1,AGE8,JP8)=0),1000000000,IF($V8=1,INDEX('calcA'!$D$130:$EQ$169,$B8,26)+IF(AND($E8=1,JP8=0),25,0),INDEX('calcA'!AC$110:AC$114,$F8+1)+IF(AND($E8=1,JP8=0),1000,0)+IF($H8=1,INDEX('calcA'!$D$180:$EQ$219,$B8,26)*500,0)-IF(AND('calcA'!AB$117=1,UZ8&gt;0),300,0)-IF(AND($U8=1,'calcA'!AC$117=1,EB8=0),300,0))),1000000000))</f>
        <v/>
      </c>
      <c r="PF8">
        <f>IF($B8=0,1000000000,IF(INDEX('calcA'!$D$60:$EQ$99,$B8,27)*IF($W8=1,EB8+AAQ8,EB8)=1,IF(AND($E8=2,IF($W8=1,AGF8,JQ8)=0),1000000000,IF($V8=1,INDEX('calcA'!$D$130:$EQ$169,$B8,27)+IF(AND($E8=1,JQ8=0),25,0),INDEX('calcA'!AD$110:AD$114,$F8+1)+IF(AND($E8=1,JQ8=0),1000,0)+IF($H8=1,INDEX('calcA'!$D$180:$EQ$219,$B8,27)*500,0)-IF(AND('calcA'!AC$117=1,VA8&gt;0),300,0)-IF(AND($U8=1,'calcA'!AD$117=1,EC8=0),300,0))),1000000000))</f>
        <v/>
      </c>
      <c r="PG8">
        <f>IF($B8=0,1000000000,IF(INDEX('calcA'!$D$60:$EQ$99,$B8,28)*IF($W8=1,EC8+AAR8,EC8)=1,IF(AND($E8=2,IF($W8=1,AGG8,JR8)=0),1000000000,IF($V8=1,INDEX('calcA'!$D$130:$EQ$169,$B8,28)+IF(AND($E8=1,JR8=0),25,0),INDEX('calcA'!AE$110:AE$114,$F8+1)+IF(AND($E8=1,JR8=0),1000,0)+IF($H8=1,INDEX('calcA'!$D$180:$EQ$219,$B8,28)*500,0)-IF(AND('calcA'!AD$117=1,VB8&gt;0),300,0)-IF(AND($U8=1,'calcA'!AE$117=1,ED8=0),300,0))),1000000000))</f>
        <v/>
      </c>
      <c r="PH8">
        <f>IF($B8=0,1000000000,IF(INDEX('calcA'!$D$60:$EQ$99,$B8,29)*IF($W8=1,ED8+AAS8,ED8)=1,IF(AND($E8=2,IF($W8=1,AGH8,JS8)=0),1000000000,IF($V8=1,INDEX('calcA'!$D$130:$EQ$169,$B8,29)+IF(AND($E8=1,JS8=0),25,0),INDEX('calcA'!AF$110:AF$114,$F8+1)+IF(AND($E8=1,JS8=0),1000,0)+IF($H8=1,INDEX('calcA'!$D$180:$EQ$219,$B8,29)*500,0)-IF(AND('calcA'!AE$117=1,VC8&gt;0),300,0)-IF(AND($U8=1,'calcA'!AF$117=1,EE8=0),300,0))),1000000000))</f>
        <v/>
      </c>
      <c r="PI8">
        <f>IF($B8=0,1000000000,IF(INDEX('calcA'!$D$60:$EQ$99,$B8,30)*IF($W8=1,EE8+AAT8,EE8)=1,IF(AND($E8=2,IF($W8=1,AGI8,JT8)=0),1000000000,IF($V8=1,INDEX('calcA'!$D$130:$EQ$169,$B8,30)+IF(AND($E8=1,JT8=0),25,0),INDEX('calcA'!AG$110:AG$114,$F8+1)+IF(AND($E8=1,JT8=0),1000,0)+IF($H8=1,INDEX('calcA'!$D$180:$EQ$219,$B8,30)*500,0)-IF(AND('calcA'!AF$117=1,VD8&gt;0),300,0)-IF(AND($U8=1,'calcA'!AG$117=1,EF8=0),300,0))),1000000000))</f>
        <v/>
      </c>
      <c r="PJ8">
        <f>IF($B8=0,1000000000,IF(INDEX('calcA'!$D$60:$EQ$99,$B8,31)*IF($W8=1,EF8+AAU8,EF8)=1,IF(AND($E8=2,IF($W8=1,AGJ8,JU8)=0),1000000000,IF($V8=1,INDEX('calcA'!$D$130:$EQ$169,$B8,31)+IF(AND($E8=1,JU8=0),25,0),INDEX('calcA'!AH$110:AH$114,$F8+1)+IF(AND($E8=1,JU8=0),1000,0)+IF($H8=1,INDEX('calcA'!$D$180:$EQ$219,$B8,31)*500,0)-IF(AND('calcA'!AG$117=1,VE8&gt;0),300,0)-IF(AND($U8=1,'calcA'!AH$117=1,EG8=0),300,0))),1000000000))</f>
        <v/>
      </c>
      <c r="PK8">
        <f>IF($B8=0,1000000000,IF(INDEX('calcA'!$D$60:$EQ$99,$B8,32)*IF($W8=1,EG8+AAV8,EG8)=1,IF(AND($E8=2,IF($W8=1,AGK8,JV8)=0),1000000000,IF($V8=1,INDEX('calcA'!$D$130:$EQ$169,$B8,32)+IF(AND($E8=1,JV8=0),25,0),INDEX('calcA'!AI$110:AI$114,$F8+1)+IF(AND($E8=1,JV8=0),1000,0)+IF($H8=1,INDEX('calcA'!$D$180:$EQ$219,$B8,32)*500,0)-IF(AND('calcA'!AH$117=1,VF8&gt;0),300,0)-IF(AND($U8=1,'calcA'!AI$117=1,EH8=0),300,0))),1000000000))</f>
        <v/>
      </c>
      <c r="PL8">
        <f>IF($B8=0,1000000000,IF(INDEX('calcA'!$D$60:$EQ$99,$B8,33)*IF($W8=1,EH8+AAW8,EH8)=1,IF(AND($E8=2,IF($W8=1,AGL8,JW8)=0),1000000000,IF($V8=1,INDEX('calcA'!$D$130:$EQ$169,$B8,33)+IF(AND($E8=1,JW8=0),25,0),INDEX('calcA'!AJ$110:AJ$114,$F8+1)+IF(AND($E8=1,JW8=0),1000,0)+IF($H8=1,INDEX('calcA'!$D$180:$EQ$219,$B8,33)*500,0)-IF(AND('calcA'!AI$117=1,VG8&gt;0),300,0)-IF(AND($U8=1,'calcA'!AJ$117=1,EI8=0),300,0))),1000000000))</f>
        <v/>
      </c>
      <c r="PM8">
        <f>IF($B8=0,1000000000,IF(INDEX('calcA'!$D$60:$EQ$99,$B8,34)*IF($W8=1,EI8+AAX8,EI8)=1,IF(AND($E8=2,IF($W8=1,AGM8,JX8)=0),1000000000,IF($V8=1,INDEX('calcA'!$D$130:$EQ$169,$B8,34)+IF(AND($E8=1,JX8=0),25,0),INDEX('calcA'!AK$110:AK$114,$F8+1)+IF(AND($E8=1,JX8=0),1000,0)+IF($H8=1,INDEX('calcA'!$D$180:$EQ$219,$B8,34)*500,0)-IF(AND('calcA'!AJ$117=1,VH8&gt;0),300,0)-IF(AND($U8=1,'calcA'!AK$117=1,EJ8=0),300,0))),1000000000))</f>
        <v/>
      </c>
      <c r="PN8">
        <f>IF($B8=0,1000000000,IF(INDEX('calcA'!$D$60:$EQ$99,$B8,35)*IF($W8=1,EJ8+AAY8,EJ8)=1,IF(AND($E8=2,IF($W8=1,AGN8,JY8)=0),1000000000,IF($V8=1,INDEX('calcA'!$D$130:$EQ$169,$B8,35)+IF(AND($E8=1,JY8=0),25,0),INDEX('calcA'!AL$110:AL$114,$F8+1)+IF(AND($E8=1,JY8=0),1000,0)+IF($H8=1,INDEX('calcA'!$D$180:$EQ$219,$B8,35)*500,0)-IF(AND('calcA'!AK$117=1,VI8&gt;0),300,0)-IF(AND($U8=1,'calcA'!AL$117=1,EK8=0),300,0))),1000000000))</f>
        <v/>
      </c>
      <c r="PO8">
        <f>IF($B8=0,1000000000,IF(INDEX('calcA'!$D$60:$EQ$99,$B8,36)*IF($W8=1,EK8+AAZ8,EK8)=1,IF(AND($E8=2,IF($W8=1,AGO8,JZ8)=0),1000000000,IF($V8=1,INDEX('calcA'!$D$130:$EQ$169,$B8,36)+IF(AND($E8=1,JZ8=0),25,0),INDEX('calcA'!AM$110:AM$114,$F8+1)+IF(AND($E8=1,JZ8=0),1000,0)+IF($H8=1,INDEX('calcA'!$D$180:$EQ$219,$B8,36)*500,0)-IF(AND('calcA'!AL$117=1,VJ8&gt;0),300,0)-IF(AND($U8=1,'calcA'!AM$117=1,EL8=0),300,0))),1000000000))</f>
        <v/>
      </c>
      <c r="PP8">
        <f>IF($B8=0,1000000000,IF(INDEX('calcA'!$D$60:$EQ$99,$B8,37)*IF($W8=1,EL8+ABA8,EL8)=1,IF(AND($E8=2,IF($W8=1,AGP8,KA8)=0),1000000000,IF($V8=1,INDEX('calcA'!$D$130:$EQ$169,$B8,37)+IF(AND($E8=1,KA8=0),25,0),INDEX('calcA'!AN$110:AN$114,$F8+1)+IF(AND($E8=1,KA8=0),1000,0)+IF($H8=1,INDEX('calcA'!$D$180:$EQ$219,$B8,37)*500,0)-IF(AND('calcA'!AM$117=1,VK8&gt;0),300,0)-IF(AND($U8=1,'calcA'!AN$117=1,EM8=0),300,0))),1000000000))</f>
        <v/>
      </c>
      <c r="PQ8">
        <f>IF($B8=0,1000000000,IF(INDEX('calcA'!$D$60:$EQ$99,$B8,38)*IF($W8=1,EM8+ABB8,EM8)=1,IF(AND($E8=2,IF($W8=1,AGQ8,KB8)=0),1000000000,IF($V8=1,INDEX('calcA'!$D$130:$EQ$169,$B8,38)+IF(AND($E8=1,KB8=0),25,0),INDEX('calcA'!AO$110:AO$114,$F8+1)+IF(AND($E8=1,KB8=0),1000,0)+IF($H8=1,INDEX('calcA'!$D$180:$EQ$219,$B8,38)*500,0)-IF(AND('calcA'!AN$117=1,VL8&gt;0),300,0)-IF(AND($U8=1,'calcA'!AO$117=1,EN8=0),300,0))),1000000000))</f>
        <v/>
      </c>
      <c r="PR8">
        <f>IF($B8=0,1000000000,IF(INDEX('calcA'!$D$60:$EQ$99,$B8,39)*IF($W8=1,EN8+ABC8,EN8)=1,IF(AND($E8=2,IF($W8=1,AGR8,KC8)=0),1000000000,IF($V8=1,INDEX('calcA'!$D$130:$EQ$169,$B8,39)+IF(AND($E8=1,KC8=0),25,0),INDEX('calcA'!AP$110:AP$114,$F8+1)+IF(AND($E8=1,KC8=0),1000,0)+IF($H8=1,INDEX('calcA'!$D$180:$EQ$219,$B8,39)*500,0)-IF(AND('calcA'!AO$117=1,VM8&gt;0),300,0)-IF(AND($U8=1,'calcA'!AP$117=1,EO8=0),300,0))),1000000000))</f>
        <v/>
      </c>
      <c r="PS8">
        <f>IF($B8=0,1000000000,IF(INDEX('calcA'!$D$60:$EQ$99,$B8,40)*IF($W8=1,EO8+ABD8,EO8)=1,IF(AND($E8=2,IF($W8=1,AGS8,KD8)=0),1000000000,IF($V8=1,INDEX('calcA'!$D$130:$EQ$169,$B8,40)+IF(AND($E8=1,KD8=0),25,0),INDEX('calcA'!AQ$110:AQ$114,$F8+1)+IF(AND($E8=1,KD8=0),1000,0)+IF($H8=1,INDEX('calcA'!$D$180:$EQ$219,$B8,40)*500,0)-IF(AND('calcA'!AP$117=1,VN8&gt;0),300,0)-IF(AND($U8=1,'calcA'!AQ$117=1,EP8=0),300,0))),1000000000))</f>
        <v/>
      </c>
      <c r="PT8">
        <f>IF($B8=0,1000000000,IF(INDEX('calcA'!$D$60:$EQ$99,$B8,41)*IF($W8=1,EP8+ABE8,EP8)=1,IF(AND($E8=2,IF($W8=1,AGT8,KE8)=0),1000000000,IF($V8=1,INDEX('calcA'!$D$130:$EQ$169,$B8,41)+IF(AND($E8=1,KE8=0),25,0),INDEX('calcA'!AR$110:AR$114,$F8+1)+IF(AND($E8=1,KE8=0),1000,0)+IF($H8=1,INDEX('calcA'!$D$180:$EQ$219,$B8,41)*500,0)-IF(AND('calcA'!AQ$117=1,VO8&gt;0),300,0)-IF(AND($U8=1,'calcA'!AR$117=1,EQ8=0),300,0))),1000000000))</f>
        <v/>
      </c>
      <c r="PU8">
        <f>IF($B8=0,1000000000,IF(INDEX('calcA'!$D$60:$EQ$99,$B8,42)*IF($W8=1,EQ8+ABF8,EQ8)=1,IF(AND($E8=2,IF($W8=1,AGU8,KF8)=0),1000000000,IF($V8=1,INDEX('calcA'!$D$130:$EQ$169,$B8,42)+IF(AND($E8=1,KF8=0),25,0),INDEX('calcA'!AS$110:AS$114,$F8+1)+IF(AND($E8=1,KF8=0),1000,0)+IF($H8=1,INDEX('calcA'!$D$180:$EQ$219,$B8,42)*500,0)-IF(AND('calcA'!AR$117=1,VP8&gt;0),300,0)-IF(AND($U8=1,'calcA'!AS$117=1,ER8=0),300,0))),1000000000))</f>
        <v/>
      </c>
      <c r="PV8">
        <f>IF($B8=0,1000000000,IF(INDEX('calcA'!$D$60:$EQ$99,$B8,43)*IF($W8=1,ER8+ABG8,ER8)=1,IF(AND($E8=2,IF($W8=1,AGV8,KG8)=0),1000000000,IF($V8=1,INDEX('calcA'!$D$130:$EQ$169,$B8,43)+IF(AND($E8=1,KG8=0),25,0),INDEX('calcA'!AT$110:AT$114,$F8+1)+IF(AND($E8=1,KG8=0),1000,0)+IF($H8=1,INDEX('calcA'!$D$180:$EQ$219,$B8,43)*500,0)-IF(AND('calcA'!AS$117=1,VQ8&gt;0),300,0)-IF(AND($U8=1,'calcA'!AT$117=1,ES8=0),300,0))),1000000000))</f>
        <v/>
      </c>
      <c r="PW8">
        <f>IF($B8=0,1000000000,IF(INDEX('calcA'!$D$60:$EQ$99,$B8,44)*IF($W8=1,ES8+ABH8,ES8)=1,IF(AND($E8=2,IF($W8=1,AGW8,KH8)=0),1000000000,IF($V8=1,INDEX('calcA'!$D$130:$EQ$169,$B8,44)+IF(AND($E8=1,KH8=0),25,0),INDEX('calcA'!AU$110:AU$114,$F8+1)+IF(AND($E8=1,KH8=0),1000,0)+IF($H8=1,INDEX('calcA'!$D$180:$EQ$219,$B8,44)*500,0)-IF(AND('calcA'!AT$117=1,VR8&gt;0),300,0)-IF(AND($U8=1,'calcA'!AU$117=1,ET8=0),300,0))),1000000000))</f>
        <v/>
      </c>
      <c r="PX8">
        <f>IF($B8=0,1000000000,IF(INDEX('calcA'!$D$60:$EQ$99,$B8,45)*IF($W8=1,ET8+ABI8,ET8)=1,IF(AND($E8=2,IF($W8=1,AGX8,KI8)=0),1000000000,IF($V8=1,INDEX('calcA'!$D$130:$EQ$169,$B8,45)+IF(AND($E8=1,KI8=0),25,0),INDEX('calcA'!AV$110:AV$114,$F8+1)+IF(AND($E8=1,KI8=0),1000,0)+IF($H8=1,INDEX('calcA'!$D$180:$EQ$219,$B8,45)*500,0)-IF(AND('calcA'!AU$117=1,VS8&gt;0),300,0)-IF(AND($U8=1,'calcA'!AV$117=1,EU8=0),300,0))),1000000000))</f>
        <v/>
      </c>
      <c r="PY8">
        <f>IF($B8=0,1000000000,IF(INDEX('calcA'!$D$60:$EQ$99,$B8,46)*IF($W8=1,EU8+ABJ8,EU8)=1,IF(AND($E8=2,IF($W8=1,AGY8,KJ8)=0),1000000000,IF($V8=1,INDEX('calcA'!$D$130:$EQ$169,$B8,46)+IF(AND($E8=1,KJ8=0),25,0),INDEX('calcA'!AW$110:AW$114,$F8+1)+IF(AND($E8=1,KJ8=0),1000,0)+IF($H8=1,INDEX('calcA'!$D$180:$EQ$219,$B8,46)*500,0)-IF(AND('calcA'!AV$117=1,VT8&gt;0),300,0)-IF(AND($U8=1,'calcA'!AW$117=1,EV8=0),300,0))),1000000000))</f>
        <v/>
      </c>
      <c r="PZ8">
        <f>IF($B8=0,1000000000,IF(INDEX('calcA'!$D$60:$EQ$99,$B8,47)*IF($W8=1,EV8+ABK8,EV8)=1,IF(AND($E8=2,IF($W8=1,AGZ8,KK8)=0),1000000000,IF($V8=1,INDEX('calcA'!$D$130:$EQ$169,$B8,47)+IF(AND($E8=1,KK8=0),25,0),INDEX('calcA'!AX$110:AX$114,$F8+1)+IF(AND($E8=1,KK8=0),1000,0)+IF($H8=1,INDEX('calcA'!$D$180:$EQ$219,$B8,47)*500,0)-IF(AND('calcA'!AW$117=1,VU8&gt;0),300,0)-IF(AND($U8=1,'calcA'!AX$117=1,EW8=0),300,0))),1000000000))</f>
        <v/>
      </c>
      <c r="QA8">
        <f>IF($B8=0,1000000000,IF(INDEX('calcA'!$D$60:$EQ$99,$B8,48)*IF($W8=1,EW8+ABL8,EW8)=1,IF(AND($E8=2,IF($W8=1,AHA8,KL8)=0),1000000000,IF($V8=1,INDEX('calcA'!$D$130:$EQ$169,$B8,48)+IF(AND($E8=1,KL8=0),25,0),INDEX('calcA'!AY$110:AY$114,$F8+1)+IF(AND($E8=1,KL8=0),1000,0)+IF($H8=1,INDEX('calcA'!$D$180:$EQ$219,$B8,48)*500,0)-IF(AND('calcA'!AX$117=1,VV8&gt;0),300,0))),1000000000))</f>
        <v/>
      </c>
      <c r="QB8">
        <f>IF($B8=0,1000000000,IF(INDEX('calcA'!$D$60:$EQ$99,$B8,49)*IF($W8=1,EX8+ABM8,EX8)=1,IF(AND($E8=2,IF($W8=1,AHB8,KM8)=0),1000000000,IF($V8=1,INDEX('calcA'!$D$130:$EQ$169,$B8,49)+IF(AND($E8=1,KM8=0),25,0),INDEX('calcA'!AZ$110:AZ$114,$F8+1)+IF(AND($E8=1,KM8=0),1000,0)+IF($H8=1,INDEX('calcA'!$D$180:$EQ$219,$B8,49)*500,0)-IF(AND($U8=1,'calcA'!AZ$117=1,EY8=0),300,0))),1000000000))</f>
        <v/>
      </c>
      <c r="QC8">
        <f>IF($B8=0,1000000000,IF(INDEX('calcA'!$D$60:$EQ$99,$B8,50)*IF($W8=1,EY8+ABN8,EY8)=1,IF(AND($E8=2,IF($W8=1,AHC8,KN8)=0),1000000000,IF($V8=1,INDEX('calcA'!$D$130:$EQ$169,$B8,50)+IF(AND($E8=1,KN8=0),25,0),INDEX('calcA'!BA$110:BA$114,$F8+1)+IF(AND($E8=1,KN8=0),1000,0)+IF($H8=1,INDEX('calcA'!$D$180:$EQ$219,$B8,50)*500,0)-IF(AND('calcA'!AZ$117=1,VX8&gt;0),300,0)-IF(AND($U8=1,'calcA'!BA$117=1,EZ8=0),300,0))),1000000000))</f>
        <v/>
      </c>
      <c r="QD8">
        <f>IF($B8=0,1000000000,IF(INDEX('calcA'!$D$60:$EQ$99,$B8,51)*IF($W8=1,EZ8+ABO8,EZ8)=1,IF(AND($E8=2,IF($W8=1,AHD8,KO8)=0),1000000000,IF($V8=1,INDEX('calcA'!$D$130:$EQ$169,$B8,51)+IF(AND($E8=1,KO8=0),25,0),INDEX('calcA'!BB$110:BB$114,$F8+1)+IF(AND($E8=1,KO8=0),1000,0)+IF($H8=1,INDEX('calcA'!$D$180:$EQ$219,$B8,51)*500,0)-IF(AND('calcA'!BA$117=1,VY8&gt;0),300,0)-IF(AND($U8=1,'calcA'!BB$117=1,FA8=0),300,0))),1000000000))</f>
        <v/>
      </c>
      <c r="QE8">
        <f>IF($B8=0,1000000000,IF(INDEX('calcA'!$D$60:$EQ$99,$B8,52)*IF($W8=1,FA8+ABP8,FA8)=1,IF(AND($E8=2,IF($W8=1,AHE8,KP8)=0),1000000000,IF($V8=1,INDEX('calcA'!$D$130:$EQ$169,$B8,52)+IF(AND($E8=1,KP8=0),25,0),INDEX('calcA'!BC$110:BC$114,$F8+1)+IF(AND($E8=1,KP8=0),1000,0)+IF($H8=1,INDEX('calcA'!$D$180:$EQ$219,$B8,52)*500,0)-IF(AND('calcA'!BB$117=1,VZ8&gt;0),300,0)-IF(AND($U8=1,'calcA'!BC$117=1,FB8=0),300,0))),1000000000))</f>
        <v/>
      </c>
      <c r="QF8">
        <f>IF($B8=0,1000000000,IF(INDEX('calcA'!$D$60:$EQ$99,$B8,53)*IF($W8=1,FB8+ABQ8,FB8)=1,IF(AND($E8=2,IF($W8=1,AHF8,KQ8)=0),1000000000,IF($V8=1,INDEX('calcA'!$D$130:$EQ$169,$B8,53)+IF(AND($E8=1,KQ8=0),25,0),INDEX('calcA'!BD$110:BD$114,$F8+1)+IF(AND($E8=1,KQ8=0),1000,0)+IF($H8=1,INDEX('calcA'!$D$180:$EQ$219,$B8,53)*500,0)-IF(AND('calcA'!BC$117=1,WA8&gt;0),300,0)-IF(AND($U8=1,'calcA'!BD$117=1,FC8=0),300,0))),1000000000))</f>
        <v/>
      </c>
      <c r="QG8">
        <f>IF($B8=0,1000000000,IF(INDEX('calcA'!$D$60:$EQ$99,$B8,54)*IF($W8=1,FC8+ABR8,FC8)=1,IF(AND($E8=2,IF($W8=1,AHG8,KR8)=0),1000000000,IF($V8=1,INDEX('calcA'!$D$130:$EQ$169,$B8,54)+IF(AND($E8=1,KR8=0),25,0),INDEX('calcA'!BE$110:BE$114,$F8+1)+IF(AND($E8=1,KR8=0),1000,0)+IF($H8=1,INDEX('calcA'!$D$180:$EQ$219,$B8,54)*500,0)-IF(AND('calcA'!BD$117=1,WB8&gt;0),300,0)-IF(AND($U8=1,'calcA'!BE$117=1,FD8=0),300,0))),1000000000))</f>
        <v/>
      </c>
      <c r="QH8">
        <f>IF($B8=0,1000000000,IF(INDEX('calcA'!$D$60:$EQ$99,$B8,55)*IF($W8=1,FD8+ABS8,FD8)=1,IF(AND($E8=2,IF($W8=1,AHH8,KS8)=0),1000000000,IF($V8=1,INDEX('calcA'!$D$130:$EQ$169,$B8,55)+IF(AND($E8=1,KS8=0),25,0),INDEX('calcA'!BF$110:BF$114,$F8+1)+IF(AND($E8=1,KS8=0),1000,0)+IF($H8=1,INDEX('calcA'!$D$180:$EQ$219,$B8,55)*500,0)-IF(AND('calcA'!BE$117=1,WC8&gt;0),300,0)-IF(AND($U8=1,'calcA'!BF$117=1,FE8=0),300,0))),1000000000))</f>
        <v/>
      </c>
      <c r="QI8">
        <f>IF($B8=0,1000000000,IF(INDEX('calcA'!$D$60:$EQ$99,$B8,56)*IF($W8=1,FE8+ABT8,FE8)=1,IF(AND($E8=2,IF($W8=1,AHI8,KT8)=0),1000000000,IF($V8=1,INDEX('calcA'!$D$130:$EQ$169,$B8,56)+IF(AND($E8=1,KT8=0),25,0),INDEX('calcA'!BG$110:BG$114,$F8+1)+IF(AND($E8=1,KT8=0),1000,0)+IF($H8=1,INDEX('calcA'!$D$180:$EQ$219,$B8,56)*500,0)-IF(AND('calcA'!BF$117=1,WD8&gt;0),300,0)-IF(AND($U8=1,'calcA'!BG$117=1,FF8=0),300,0))),1000000000))</f>
        <v/>
      </c>
      <c r="QJ8">
        <f>IF($B8=0,1000000000,IF(INDEX('calcA'!$D$60:$EQ$99,$B8,57)*IF($W8=1,FF8+ABU8,FF8)=1,IF(AND($E8=2,IF($W8=1,AHJ8,KU8)=0),1000000000,IF($V8=1,INDEX('calcA'!$D$130:$EQ$169,$B8,57)+IF(AND($E8=1,KU8=0),25,0),INDEX('calcA'!BH$110:BH$114,$F8+1)+IF(AND($E8=1,KU8=0),1000,0)+IF($H8=1,INDEX('calcA'!$D$180:$EQ$219,$B8,57)*500,0)-IF(AND('calcA'!BG$117=1,WE8&gt;0),300,0)-IF(AND($U8=1,'calcA'!BH$117=1,FG8=0),300,0))),1000000000))</f>
        <v/>
      </c>
      <c r="QK8">
        <f>IF($B8=0,1000000000,IF(INDEX('calcA'!$D$60:$EQ$99,$B8,58)*IF($W8=1,FG8+ABV8,FG8)=1,IF(AND($E8=2,IF($W8=1,AHK8,KV8)=0),1000000000,IF($V8=1,INDEX('calcA'!$D$130:$EQ$169,$B8,58)+IF(AND($E8=1,KV8=0),25,0),INDEX('calcA'!BI$110:BI$114,$F8+1)+IF(AND($E8=1,KV8=0),1000,0)+IF($H8=1,INDEX('calcA'!$D$180:$EQ$219,$B8,58)*500,0)-IF(AND('calcA'!BH$117=1,WF8&gt;0),300,0)-IF(AND($U8=1,'calcA'!BI$117=1,FH8=0),300,0))),1000000000))</f>
        <v/>
      </c>
      <c r="QL8">
        <f>IF($B8=0,1000000000,IF(INDEX('calcA'!$D$60:$EQ$99,$B8,59)*IF($W8=1,FH8+ABW8,FH8)=1,IF(AND($E8=2,IF($W8=1,AHL8,KW8)=0),1000000000,IF($V8=1,INDEX('calcA'!$D$130:$EQ$169,$B8,59)+IF(AND($E8=1,KW8=0),25,0),INDEX('calcA'!BJ$110:BJ$114,$F8+1)+IF(AND($E8=1,KW8=0),1000,0)+IF($H8=1,INDEX('calcA'!$D$180:$EQ$219,$B8,59)*500,0)-IF(AND('calcA'!BI$117=1,WG8&gt;0),300,0)-IF(AND($U8=1,'calcA'!BJ$117=1,FI8=0),300,0))),1000000000))</f>
        <v/>
      </c>
      <c r="QM8">
        <f>IF($B8=0,1000000000,IF(INDEX('calcA'!$D$60:$EQ$99,$B8,60)*IF($W8=1,FI8+ABX8,FI8)=1,IF(AND($E8=2,IF($W8=1,AHM8,KX8)=0),1000000000,IF($V8=1,INDEX('calcA'!$D$130:$EQ$169,$B8,60)+IF(AND($E8=1,KX8=0),25,0),INDEX('calcA'!BK$110:BK$114,$F8+1)+IF(AND($E8=1,KX8=0),1000,0)+IF($H8=1,INDEX('calcA'!$D$180:$EQ$219,$B8,60)*500,0)-IF(AND('calcA'!BJ$117=1,WH8&gt;0),300,0)-IF(AND($U8=1,'calcA'!BK$117=1,FJ8=0),300,0))),1000000000))</f>
        <v/>
      </c>
      <c r="QN8">
        <f>IF($B8=0,1000000000,IF(INDEX('calcA'!$D$60:$EQ$99,$B8,61)*IF($W8=1,FJ8+ABY8,FJ8)=1,IF(AND($E8=2,IF($W8=1,AHN8,KY8)=0),1000000000,IF($V8=1,INDEX('calcA'!$D$130:$EQ$169,$B8,61)+IF(AND($E8=1,KY8=0),25,0),INDEX('calcA'!BL$110:BL$114,$F8+1)+IF(AND($E8=1,KY8=0),1000,0)+IF($H8=1,INDEX('calcA'!$D$180:$EQ$219,$B8,61)*500,0)-IF(AND('calcA'!BK$117=1,WI8&gt;0),300,0)-IF(AND($U8=1,'calcA'!BL$117=1,FK8=0),300,0))),1000000000))</f>
        <v/>
      </c>
      <c r="QO8">
        <f>IF($B8=0,1000000000,IF(INDEX('calcA'!$D$60:$EQ$99,$B8,62)*IF($W8=1,FK8+ABZ8,FK8)=1,IF(AND($E8=2,IF($W8=1,AHO8,KZ8)=0),1000000000,IF($V8=1,INDEX('calcA'!$D$130:$EQ$169,$B8,62)+IF(AND($E8=1,KZ8=0),25,0),INDEX('calcA'!BM$110:BM$114,$F8+1)+IF(AND($E8=1,KZ8=0),1000,0)+IF($H8=1,INDEX('calcA'!$D$180:$EQ$219,$B8,62)*500,0)-IF(AND('calcA'!BL$117=1,WJ8&gt;0),300,0)-IF(AND($U8=1,'calcA'!BM$117=1,FL8=0),300,0))),1000000000))</f>
        <v/>
      </c>
      <c r="QP8">
        <f>IF($B8=0,1000000000,IF(INDEX('calcA'!$D$60:$EQ$99,$B8,63)*IF($W8=1,FL8+ACA8,FL8)=1,IF(AND($E8=2,IF($W8=1,AHP8,LA8)=0),1000000000,IF($V8=1,INDEX('calcA'!$D$130:$EQ$169,$B8,63)+IF(AND($E8=1,LA8=0),25,0),INDEX('calcA'!BN$110:BN$114,$F8+1)+IF(AND($E8=1,LA8=0),1000,0)+IF($H8=1,INDEX('calcA'!$D$180:$EQ$219,$B8,63)*500,0)-IF(AND('calcA'!BM$117=1,WK8&gt;0),300,0)-IF(AND($U8=1,'calcA'!BN$117=1,FM8=0),300,0))),1000000000))</f>
        <v/>
      </c>
      <c r="QQ8">
        <f>IF($B8=0,1000000000,IF(INDEX('calcA'!$D$60:$EQ$99,$B8,64)*IF($W8=1,FM8+ACB8,FM8)=1,IF(AND($E8=2,IF($W8=1,AHQ8,LB8)=0),1000000000,IF($V8=1,INDEX('calcA'!$D$130:$EQ$169,$B8,64)+IF(AND($E8=1,LB8=0),25,0),INDEX('calcA'!BO$110:BO$114,$F8+1)+IF(AND($E8=1,LB8=0),1000,0)+IF($H8=1,INDEX('calcA'!$D$180:$EQ$219,$B8,64)*500,0)-IF(AND('calcA'!BN$117=1,WL8&gt;0),300,0)-IF(AND($U8=1,'calcA'!BO$117=1,FN8=0),300,0))),1000000000))</f>
        <v/>
      </c>
      <c r="QR8">
        <f>IF($B8=0,1000000000,IF(INDEX('calcA'!$D$60:$EQ$99,$B8,65)*IF($W8=1,FN8+ACC8,FN8)=1,IF(AND($E8=2,IF($W8=1,AHR8,LC8)=0),1000000000,IF($V8=1,INDEX('calcA'!$D$130:$EQ$169,$B8,65)+IF(AND($E8=1,LC8=0),25,0),INDEX('calcA'!BP$110:BP$114,$F8+1)+IF(AND($E8=1,LC8=0),1000,0)+IF($H8=1,INDEX('calcA'!$D$180:$EQ$219,$B8,65)*500,0)-IF(AND('calcA'!BO$117=1,WM8&gt;0),300,0)-IF(AND($U8=1,'calcA'!BP$117=1,FO8=0),300,0))),1000000000))</f>
        <v/>
      </c>
      <c r="QS8">
        <f>IF($B8=0,1000000000,IF(INDEX('calcA'!$D$60:$EQ$99,$B8,66)*IF($W8=1,FO8+ACD8,FO8)=1,IF(AND($E8=2,IF($W8=1,AHS8,LD8)=0),1000000000,IF($V8=1,INDEX('calcA'!$D$130:$EQ$169,$B8,66)+IF(AND($E8=1,LD8=0),25,0),INDEX('calcA'!BQ$110:BQ$114,$F8+1)+IF(AND($E8=1,LD8=0),1000,0)+IF($H8=1,INDEX('calcA'!$D$180:$EQ$219,$B8,66)*500,0)-IF(AND('calcA'!BP$117=1,WN8&gt;0),300,0)-IF(AND($U8=1,'calcA'!BQ$117=1,FP8=0),300,0))),1000000000))</f>
        <v/>
      </c>
      <c r="QT8">
        <f>IF($B8=0,1000000000,IF(INDEX('calcA'!$D$60:$EQ$99,$B8,67)*IF($W8=1,FP8+ACE8,FP8)=1,IF(AND($E8=2,IF($W8=1,AHT8,LE8)=0),1000000000,IF($V8=1,INDEX('calcA'!$D$130:$EQ$169,$B8,67)+IF(AND($E8=1,LE8=0),25,0),INDEX('calcA'!BR$110:BR$114,$F8+1)+IF(AND($E8=1,LE8=0),1000,0)+IF($H8=1,INDEX('calcA'!$D$180:$EQ$219,$B8,67)*500,0)-IF(AND('calcA'!BQ$117=1,WO8&gt;0),300,0)-IF(AND($U8=1,'calcA'!BR$117=1,FQ8=0),300,0))),1000000000))</f>
        <v/>
      </c>
      <c r="QU8">
        <f>IF($B8=0,1000000000,IF(INDEX('calcA'!$D$60:$EQ$99,$B8,68)*IF($W8=1,FQ8+ACF8,FQ8)=1,IF(AND($E8=2,IF($W8=1,AHU8,LF8)=0),1000000000,IF($V8=1,INDEX('calcA'!$D$130:$EQ$169,$B8,68)+IF(AND($E8=1,LF8=0),25,0),INDEX('calcA'!BS$110:BS$114,$F8+1)+IF(AND($E8=1,LF8=0),1000,0)+IF($H8=1,INDEX('calcA'!$D$180:$EQ$219,$B8,68)*500,0)-IF(AND('calcA'!BR$117=1,WP8&gt;0),300,0)-IF(AND($U8=1,'calcA'!BS$117=1,FR8=0),300,0))),1000000000))</f>
        <v/>
      </c>
      <c r="QV8">
        <f>IF($B8=0,1000000000,IF(INDEX('calcA'!$D$60:$EQ$99,$B8,69)*IF($W8=1,FR8+ACG8,FR8)=1,IF(AND($E8=2,IF($W8=1,AHV8,LG8)=0),1000000000,IF($V8=1,INDEX('calcA'!$D$130:$EQ$169,$B8,69)+IF(AND($E8=1,LG8=0),25,0),INDEX('calcA'!BT$110:BT$114,$F8+1)+IF(AND($E8=1,LG8=0),1000,0)+IF($H8=1,INDEX('calcA'!$D$180:$EQ$219,$B8,69)*500,0)-IF(AND('calcA'!BS$117=1,WQ8&gt;0),300,0)-IF(AND($U8=1,'calcA'!BT$117=1,FS8=0),300,0))),1000000000))</f>
        <v/>
      </c>
      <c r="QW8">
        <f>IF($B8=0,1000000000,IF(INDEX('calcA'!$D$60:$EQ$99,$B8,70)*IF($W8=1,FS8+ACH8,FS8)=1,IF(AND($E8=2,IF($W8=1,AHW8,LH8)=0),1000000000,IF($V8=1,INDEX('calcA'!$D$130:$EQ$169,$B8,70)+IF(AND($E8=1,LH8=0),25,0),INDEX('calcA'!BU$110:BU$114,$F8+1)+IF(AND($E8=1,LH8=0),1000,0)+IF($H8=1,INDEX('calcA'!$D$180:$EQ$219,$B8,70)*500,0)-IF(AND('calcA'!BT$117=1,WR8&gt;0),300,0)-IF(AND($U8=1,'calcA'!BU$117=1,FT8=0),300,0))),1000000000))</f>
        <v/>
      </c>
      <c r="QX8">
        <f>IF($B8=0,1000000000,IF(INDEX('calcA'!$D$60:$EQ$99,$B8,71)*IF($W8=1,FT8+ACI8,FT8)=1,IF(AND($E8=2,IF($W8=1,AHX8,LI8)=0),1000000000,IF($V8=1,INDEX('calcA'!$D$130:$EQ$169,$B8,71)+IF(AND($E8=1,LI8=0),25,0),INDEX('calcA'!BV$110:BV$114,$F8+1)+IF(AND($E8=1,LI8=0),1000,0)+IF($H8=1,INDEX('calcA'!$D$180:$EQ$219,$B8,71)*500,0)-IF(AND('calcA'!BU$117=1,WS8&gt;0),300,0)-IF(AND($U8=1,'calcA'!BV$117=1,FU8=0),300,0))),1000000000))</f>
        <v/>
      </c>
      <c r="QY8">
        <f>IF($B8=0,1000000000,IF(INDEX('calcA'!$D$60:$EQ$99,$B8,72)*IF($W8=1,FU8+ACJ8,FU8)=1,IF(AND($E8=2,IF($W8=1,AHY8,LJ8)=0),1000000000,IF($V8=1,INDEX('calcA'!$D$130:$EQ$169,$B8,72)+IF(AND($E8=1,LJ8=0),25,0),INDEX('calcA'!BW$110:BW$114,$F8+1)+IF(AND($E8=1,LJ8=0),1000,0)+IF($H8=1,INDEX('calcA'!$D$180:$EQ$219,$B8,72)*500,0)-IF(AND('calcA'!BV$117=1,WT8&gt;0),300,0))),1000000000))</f>
        <v/>
      </c>
      <c r="QZ8">
        <f>IF($B8=0,1000000000,IF(INDEX('calcA'!$D$60:$EQ$99,$B8,73)*IF($W8=1,FV8+ACK8,FV8)=1,IF(AND($E8=2,IF($W8=1,AHZ8,LK8)=0),1000000000,IF($V8=1,INDEX('calcA'!$D$130:$EQ$169,$B8,73)+IF(AND($E8=1,LK8=0),25,0),INDEX('calcA'!BX$110:BX$114,$F8+1)+IF(AND($E8=1,LK8=0),1000,0)+IF($H8=1,INDEX('calcA'!$D$180:$EQ$219,$B8,73)*500,0)-IF(AND($U8=1,'calcA'!BX$117=1,FW8=0),300,0))),1000000000))</f>
        <v/>
      </c>
      <c r="RA8">
        <f>IF($B8=0,1000000000,IF(INDEX('calcA'!$D$60:$EQ$99,$B8,74)*IF($W8=1,FW8+ACL8,FW8)=1,IF(AND($E8=2,IF($W8=1,AIA8,LL8)=0),1000000000,IF($V8=1,INDEX('calcA'!$D$130:$EQ$169,$B8,74)+IF(AND($E8=1,LL8=0),25,0),INDEX('calcA'!BY$110:BY$114,$F8+1)+IF(AND($E8=1,LL8=0),1000,0)+IF($H8=1,INDEX('calcA'!$D$180:$EQ$219,$B8,74)*500,0)-IF(AND('calcA'!BX$117=1,WV8&gt;0),300,0)-IF(AND($U8=1,'calcA'!BY$117=1,FX8=0),300,0))),1000000000))</f>
        <v/>
      </c>
      <c r="RB8">
        <f>IF($B8=0,1000000000,IF(INDEX('calcA'!$D$60:$EQ$99,$B8,75)*IF($W8=1,FX8+ACM8,FX8)=1,IF(AND($E8=2,IF($W8=1,AIB8,LM8)=0),1000000000,IF($V8=1,INDEX('calcA'!$D$130:$EQ$169,$B8,75)+IF(AND($E8=1,LM8=0),25,0),INDEX('calcA'!BZ$110:BZ$114,$F8+1)+IF(AND($E8=1,LM8=0),1000,0)+IF($H8=1,INDEX('calcA'!$D$180:$EQ$219,$B8,75)*500,0)-IF(AND('calcA'!BY$117=1,WW8&gt;0),300,0)-IF(AND($U8=1,'calcA'!BZ$117=1,FY8=0),300,0))),1000000000))</f>
        <v/>
      </c>
      <c r="RC8">
        <f>IF($B8=0,1000000000,IF(INDEX('calcA'!$D$60:$EQ$99,$B8,76)*IF($W8=1,FY8+ACN8,FY8)=1,IF(AND($E8=2,IF($W8=1,AIC8,LN8)=0),1000000000,IF($V8=1,INDEX('calcA'!$D$130:$EQ$169,$B8,76)+IF(AND($E8=1,LN8=0),25,0),INDEX('calcA'!CA$110:CA$114,$F8+1)+IF(AND($E8=1,LN8=0),1000,0)+IF($H8=1,INDEX('calcA'!$D$180:$EQ$219,$B8,76)*500,0)-IF(AND('calcA'!BZ$117=1,WX8&gt;0),300,0)-IF(AND($U8=1,'calcA'!CA$117=1,FZ8=0),300,0))),1000000000))</f>
        <v/>
      </c>
      <c r="RD8">
        <f>IF($B8=0,1000000000,IF(INDEX('calcA'!$D$60:$EQ$99,$B8,77)*IF($W8=1,FZ8+ACO8,FZ8)=1,IF(AND($E8=2,IF($W8=1,AID8,LO8)=0),1000000000,IF($V8=1,INDEX('calcA'!$D$130:$EQ$169,$B8,77)+IF(AND($E8=1,LO8=0),25,0),INDEX('calcA'!CB$110:CB$114,$F8+1)+IF(AND($E8=1,LO8=0),1000,0)+IF($H8=1,INDEX('calcA'!$D$180:$EQ$219,$B8,77)*500,0)-IF(AND('calcA'!CA$117=1,WY8&gt;0),300,0)-IF(AND($U8=1,'calcA'!CB$117=1,GA8=0),300,0))),1000000000))</f>
        <v/>
      </c>
      <c r="RE8">
        <f>IF($B8=0,1000000000,IF(INDEX('calcA'!$D$60:$EQ$99,$B8,78)*IF($W8=1,GA8+ACP8,GA8)=1,IF(AND($E8=2,IF($W8=1,AIE8,LP8)=0),1000000000,IF($V8=1,INDEX('calcA'!$D$130:$EQ$169,$B8,78)+IF(AND($E8=1,LP8=0),25,0),INDEX('calcA'!CC$110:CC$114,$F8+1)+IF(AND($E8=1,LP8=0),1000,0)+IF($H8=1,INDEX('calcA'!$D$180:$EQ$219,$B8,78)*500,0)-IF(AND('calcA'!CB$117=1,WZ8&gt;0),300,0)-IF(AND($U8=1,'calcA'!CC$117=1,GB8=0),300,0))),1000000000))</f>
        <v/>
      </c>
      <c r="RF8">
        <f>IF($B8=0,1000000000,IF(INDEX('calcA'!$D$60:$EQ$99,$B8,79)*IF($W8=1,GB8+ACQ8,GB8)=1,IF(AND($E8=2,IF($W8=1,AIF8,LQ8)=0),1000000000,IF($V8=1,INDEX('calcA'!$D$130:$EQ$169,$B8,79)+IF(AND($E8=1,LQ8=0),25,0),INDEX('calcA'!CD$110:CD$114,$F8+1)+IF(AND($E8=1,LQ8=0),1000,0)+IF($H8=1,INDEX('calcA'!$D$180:$EQ$219,$B8,79)*500,0)-IF(AND('calcA'!CC$117=1,XA8&gt;0),300,0)-IF(AND($U8=1,'calcA'!CD$117=1,GC8=0),300,0))),1000000000))</f>
        <v/>
      </c>
      <c r="RG8">
        <f>IF($B8=0,1000000000,IF(INDEX('calcA'!$D$60:$EQ$99,$B8,80)*IF($W8=1,GC8+ACR8,GC8)=1,IF(AND($E8=2,IF($W8=1,AIG8,LR8)=0),1000000000,IF($V8=1,INDEX('calcA'!$D$130:$EQ$169,$B8,80)+IF(AND($E8=1,LR8=0),25,0),INDEX('calcA'!CE$110:CE$114,$F8+1)+IF(AND($E8=1,LR8=0),1000,0)+IF($H8=1,INDEX('calcA'!$D$180:$EQ$219,$B8,80)*500,0)-IF(AND('calcA'!CD$117=1,XB8&gt;0),300,0)-IF(AND($U8=1,'calcA'!CE$117=1,GD8=0),300,0))),1000000000))</f>
        <v/>
      </c>
      <c r="RH8">
        <f>IF($B8=0,1000000000,IF(INDEX('calcA'!$D$60:$EQ$99,$B8,81)*IF($W8=1,GD8+ACS8,GD8)=1,IF(AND($E8=2,IF($W8=1,AIH8,LS8)=0),1000000000,IF($V8=1,INDEX('calcA'!$D$130:$EQ$169,$B8,81)+IF(AND($E8=1,LS8=0),25,0),INDEX('calcA'!CF$110:CF$114,$F8+1)+IF(AND($E8=1,LS8=0),1000,0)+IF($H8=1,INDEX('calcA'!$D$180:$EQ$219,$B8,81)*500,0)-IF(AND('calcA'!CE$117=1,XC8&gt;0),300,0)-IF(AND($U8=1,'calcA'!CF$117=1,GE8=0),300,0))),1000000000))</f>
        <v/>
      </c>
      <c r="RI8">
        <f>IF($B8=0,1000000000,IF(INDEX('calcA'!$D$60:$EQ$99,$B8,82)*IF($W8=1,GE8+ACT8,GE8)=1,IF(AND($E8=2,IF($W8=1,AII8,LT8)=0),1000000000,IF($V8=1,INDEX('calcA'!$D$130:$EQ$169,$B8,82)+IF(AND($E8=1,LT8=0),25,0),INDEX('calcA'!CG$110:CG$114,$F8+1)+IF(AND($E8=1,LT8=0),1000,0)+IF($H8=1,INDEX('calcA'!$D$180:$EQ$219,$B8,82)*500,0)-IF(AND('calcA'!CF$117=1,XD8&gt;0),300,0)-IF(AND($U8=1,'calcA'!CG$117=1,GF8=0),300,0))),1000000000))</f>
        <v/>
      </c>
      <c r="RJ8">
        <f>IF($B8=0,1000000000,IF(INDEX('calcA'!$D$60:$EQ$99,$B8,83)*IF($W8=1,GF8+ACU8,GF8)=1,IF(AND($E8=2,IF($W8=1,AIJ8,LU8)=0),1000000000,IF($V8=1,INDEX('calcA'!$D$130:$EQ$169,$B8,83)+IF(AND($E8=1,LU8=0),25,0),INDEX('calcA'!CH$110:CH$114,$F8+1)+IF(AND($E8=1,LU8=0),1000,0)+IF($H8=1,INDEX('calcA'!$D$180:$EQ$219,$B8,83)*500,0)-IF(AND('calcA'!CG$117=1,XE8&gt;0),300,0)-IF(AND($U8=1,'calcA'!CH$117=1,GG8=0),300,0))),1000000000))</f>
        <v/>
      </c>
      <c r="RK8">
        <f>IF($B8=0,1000000000,IF(INDEX('calcA'!$D$60:$EQ$99,$B8,84)*IF($W8=1,GG8+ACV8,GG8)=1,IF(AND($E8=2,IF($W8=1,AIK8,LV8)=0),1000000000,IF($V8=1,INDEX('calcA'!$D$130:$EQ$169,$B8,84)+IF(AND($E8=1,LV8=0),25,0),INDEX('calcA'!CI$110:CI$114,$F8+1)+IF(AND($E8=1,LV8=0),1000,0)+IF($H8=1,INDEX('calcA'!$D$180:$EQ$219,$B8,84)*500,0)-IF(AND('calcA'!CH$117=1,XF8&gt;0),300,0)-IF(AND($U8=1,'calcA'!CI$117=1,GH8=0),300,0))),1000000000))</f>
        <v/>
      </c>
      <c r="RL8">
        <f>IF($B8=0,1000000000,IF(INDEX('calcA'!$D$60:$EQ$99,$B8,85)*IF($W8=1,GH8+ACW8,GH8)=1,IF(AND($E8=2,IF($W8=1,AIL8,LW8)=0),1000000000,IF($V8=1,INDEX('calcA'!$D$130:$EQ$169,$B8,85)+IF(AND($E8=1,LW8=0),25,0),INDEX('calcA'!CJ$110:CJ$114,$F8+1)+IF(AND($E8=1,LW8=0),1000,0)+IF($H8=1,INDEX('calcA'!$D$180:$EQ$219,$B8,85)*500,0)-IF(AND('calcA'!CI$117=1,XG8&gt;0),300,0)-IF(AND($U8=1,'calcA'!CJ$117=1,GI8=0),300,0))),1000000000))</f>
        <v/>
      </c>
      <c r="RM8">
        <f>IF($B8=0,1000000000,IF(INDEX('calcA'!$D$60:$EQ$99,$B8,86)*IF($W8=1,GI8+ACX8,GI8)=1,IF(AND($E8=2,IF($W8=1,AIM8,LX8)=0),1000000000,IF($V8=1,INDEX('calcA'!$D$130:$EQ$169,$B8,86)+IF(AND($E8=1,LX8=0),25,0),INDEX('calcA'!CK$110:CK$114,$F8+1)+IF(AND($E8=1,LX8=0),1000,0)+IF($H8=1,INDEX('calcA'!$D$180:$EQ$219,$B8,86)*500,0)-IF(AND('calcA'!CJ$117=1,XH8&gt;0),300,0)-IF(AND($U8=1,'calcA'!CK$117=1,GJ8=0),300,0))),1000000000))</f>
        <v/>
      </c>
      <c r="RN8">
        <f>IF($B8=0,1000000000,IF(INDEX('calcA'!$D$60:$EQ$99,$B8,87)*IF($W8=1,GJ8+ACY8,GJ8)=1,IF(AND($E8=2,IF($W8=1,AIN8,LY8)=0),1000000000,IF($V8=1,INDEX('calcA'!$D$130:$EQ$169,$B8,87)+IF(AND($E8=1,LY8=0),25,0),INDEX('calcA'!CL$110:CL$114,$F8+1)+IF(AND($E8=1,LY8=0),1000,0)+IF($H8=1,INDEX('calcA'!$D$180:$EQ$219,$B8,87)*500,0)-IF(AND('calcA'!CK$117=1,XI8&gt;0),300,0)-IF(AND($U8=1,'calcA'!CL$117=1,GK8=0),300,0))),1000000000))</f>
        <v/>
      </c>
      <c r="RO8">
        <f>IF($B8=0,1000000000,IF(INDEX('calcA'!$D$60:$EQ$99,$B8,88)*IF($W8=1,GK8+ACZ8,GK8)=1,IF(AND($E8=2,IF($W8=1,AIO8,LZ8)=0),1000000000,IF($V8=1,INDEX('calcA'!$D$130:$EQ$169,$B8,88)+IF(AND($E8=1,LZ8=0),25,0),INDEX('calcA'!CM$110:CM$114,$F8+1)+IF(AND($E8=1,LZ8=0),1000,0)+IF($H8=1,INDEX('calcA'!$D$180:$EQ$219,$B8,88)*500,0)-IF(AND('calcA'!CL$117=1,XJ8&gt;0),300,0)-IF(AND($U8=1,'calcA'!CM$117=1,GL8=0),300,0))),1000000000))</f>
        <v/>
      </c>
      <c r="RP8">
        <f>IF($B8=0,1000000000,IF(INDEX('calcA'!$D$60:$EQ$99,$B8,89)*IF($W8=1,GL8+ADA8,GL8)=1,IF(AND($E8=2,IF($W8=1,AIP8,MA8)=0),1000000000,IF($V8=1,INDEX('calcA'!$D$130:$EQ$169,$B8,89)+IF(AND($E8=1,MA8=0),25,0),INDEX('calcA'!CN$110:CN$114,$F8+1)+IF(AND($E8=1,MA8=0),1000,0)+IF($H8=1,INDEX('calcA'!$D$180:$EQ$219,$B8,89)*500,0)-IF(AND('calcA'!CM$117=1,XK8&gt;0),300,0)-IF(AND($U8=1,'calcA'!CN$117=1,GM8=0),300,0))),1000000000))</f>
        <v/>
      </c>
      <c r="RQ8">
        <f>IF($B8=0,1000000000,IF(INDEX('calcA'!$D$60:$EQ$99,$B8,90)*IF($W8=1,GM8+ADB8,GM8)=1,IF(AND($E8=2,IF($W8=1,AIQ8,MB8)=0),1000000000,IF($V8=1,INDEX('calcA'!$D$130:$EQ$169,$B8,90)+IF(AND($E8=1,MB8=0),25,0),INDEX('calcA'!CO$110:CO$114,$F8+1)+IF(AND($E8=1,MB8=0),1000,0)+IF($H8=1,INDEX('calcA'!$D$180:$EQ$219,$B8,90)*500,0)-IF(AND('calcA'!CN$117=1,XL8&gt;0),300,0)-IF(AND($U8=1,'calcA'!CO$117=1,GN8=0),300,0))),1000000000))</f>
        <v/>
      </c>
      <c r="RR8">
        <f>IF($B8=0,1000000000,IF(INDEX('calcA'!$D$60:$EQ$99,$B8,91)*IF($W8=1,GN8+ADC8,GN8)=1,IF(AND($E8=2,IF($W8=1,AIR8,MC8)=0),1000000000,IF($V8=1,INDEX('calcA'!$D$130:$EQ$169,$B8,91)+IF(AND($E8=1,MC8=0),25,0),INDEX('calcA'!CP$110:CP$114,$F8+1)+IF(AND($E8=1,MC8=0),1000,0)+IF($H8=1,INDEX('calcA'!$D$180:$EQ$219,$B8,91)*500,0)-IF(AND('calcA'!CO$117=1,XM8&gt;0),300,0)-IF(AND($U8=1,'calcA'!CP$117=1,GO8=0),300,0))),1000000000))</f>
        <v/>
      </c>
      <c r="RS8">
        <f>IF($B8=0,1000000000,IF(INDEX('calcA'!$D$60:$EQ$99,$B8,92)*IF($W8=1,GO8+ADD8,GO8)=1,IF(AND($E8=2,IF($W8=1,AIS8,MD8)=0),1000000000,IF($V8=1,INDEX('calcA'!$D$130:$EQ$169,$B8,92)+IF(AND($E8=1,MD8=0),25,0),INDEX('calcA'!CQ$110:CQ$114,$F8+1)+IF(AND($E8=1,MD8=0),1000,0)+IF($H8=1,INDEX('calcA'!$D$180:$EQ$219,$B8,92)*500,0)-IF(AND('calcA'!CP$117=1,XN8&gt;0),300,0)-IF(AND($U8=1,'calcA'!CQ$117=1,GP8=0),300,0))),1000000000))</f>
        <v/>
      </c>
      <c r="RT8">
        <f>IF($B8=0,1000000000,IF(INDEX('calcA'!$D$60:$EQ$99,$B8,93)*IF($W8=1,GP8+ADE8,GP8)=1,IF(AND($E8=2,IF($W8=1,AIT8,ME8)=0),1000000000,IF($V8=1,INDEX('calcA'!$D$130:$EQ$169,$B8,93)+IF(AND($E8=1,ME8=0),25,0),INDEX('calcA'!CR$110:CR$114,$F8+1)+IF(AND($E8=1,ME8=0),1000,0)+IF($H8=1,INDEX('calcA'!$D$180:$EQ$219,$B8,93)*500,0)-IF(AND('calcA'!CQ$117=1,XO8&gt;0),300,0)-IF(AND($U8=1,'calcA'!CR$117=1,GQ8=0),300,0))),1000000000))</f>
        <v/>
      </c>
      <c r="RU8">
        <f>IF($B8=0,1000000000,IF(INDEX('calcA'!$D$60:$EQ$99,$B8,94)*IF($W8=1,GQ8+ADF8,GQ8)=1,IF(AND($E8=2,IF($W8=1,AIU8,MF8)=0),1000000000,IF($V8=1,INDEX('calcA'!$D$130:$EQ$169,$B8,94)+IF(AND($E8=1,MF8=0),25,0),INDEX('calcA'!CS$110:CS$114,$F8+1)+IF(AND($E8=1,MF8=0),1000,0)+IF($H8=1,INDEX('calcA'!$D$180:$EQ$219,$B8,94)*500,0)-IF(AND('calcA'!CR$117=1,XP8&gt;0),300,0)-IF(AND($U8=1,'calcA'!CS$117=1,GR8=0),300,0))),1000000000))</f>
        <v/>
      </c>
      <c r="RV8">
        <f>IF($B8=0,1000000000,IF(INDEX('calcA'!$D$60:$EQ$99,$B8,95)*IF($W8=1,GR8+ADG8,GR8)=1,IF(AND($E8=2,IF($W8=1,AIV8,MG8)=0),1000000000,IF($V8=1,INDEX('calcA'!$D$130:$EQ$169,$B8,95)+IF(AND($E8=1,MG8=0),25,0),INDEX('calcA'!CT$110:CT$114,$F8+1)+IF(AND($E8=1,MG8=0),1000,0)+IF($H8=1,INDEX('calcA'!$D$180:$EQ$219,$B8,95)*500,0)-IF(AND('calcA'!CS$117=1,XQ8&gt;0),300,0)-IF(AND($U8=1,'calcA'!CT$117=1,GS8=0),300,0))),1000000000))</f>
        <v/>
      </c>
      <c r="RW8">
        <f>IF($B8=0,1000000000,IF(INDEX('calcA'!$D$60:$EQ$99,$B8,96)*IF($W8=1,GS8+ADH8,GS8)=1,IF(AND($E8=2,IF($W8=1,AIW8,MH8)=0),1000000000,IF($V8=1,INDEX('calcA'!$D$130:$EQ$169,$B8,96)+IF(AND($E8=1,MH8=0),25,0),INDEX('calcA'!CU$110:CU$114,$F8+1)+IF(AND($E8=1,MH8=0),1000,0)+IF($H8=1,INDEX('calcA'!$D$180:$EQ$219,$B8,96)*500,0)-IF(AND('calcA'!CT$117=1,XR8&gt;0),300,0))),1000000000))</f>
        <v/>
      </c>
      <c r="RX8">
        <f>IF($B8=0,1000000000,IF(INDEX('calcA'!$D$60:$EQ$99,$B8,97)*IF($W8=1,GT8+ADI8,GT8)=1,IF(AND($E8=2,IF($W8=1,AIX8,MI8)=0),1000000000,IF($V8=1,INDEX('calcA'!$D$130:$EQ$169,$B8,97)+IF(AND($E8=1,MI8=0),25,0),INDEX('calcA'!CV$110:CV$114,$F8+1)+IF(AND($E8=1,MI8=0),1000,0)+IF($H8=1,INDEX('calcA'!$D$180:$EQ$219,$B8,97)*500,0)-IF(AND($U8=1,'calcA'!CV$117=1,GU8=0),300,0))),1000000000))</f>
        <v/>
      </c>
      <c r="RY8">
        <f>IF($B8=0,1000000000,IF(INDEX('calcA'!$D$60:$EQ$99,$B8,98)*IF($W8=1,GU8+ADJ8,GU8)=1,IF(AND($E8=2,IF($W8=1,AIY8,MJ8)=0),1000000000,IF($V8=1,INDEX('calcA'!$D$130:$EQ$169,$B8,98)+IF(AND($E8=1,MJ8=0),25,0),INDEX('calcA'!CW$110:CW$114,$F8+1)+IF(AND($E8=1,MJ8=0),1000,0)+IF($H8=1,INDEX('calcA'!$D$180:$EQ$219,$B8,98)*500,0)-IF(AND('calcA'!CV$117=1,XT8&gt;0),300,0)-IF(AND($U8=1,'calcA'!CW$117=1,GV8=0),300,0))),1000000000))</f>
        <v/>
      </c>
      <c r="RZ8">
        <f>IF($B8=0,1000000000,IF(INDEX('calcA'!$D$60:$EQ$99,$B8,99)*IF($W8=1,GV8+ADK8,GV8)=1,IF(AND($E8=2,IF($W8=1,AIZ8,MK8)=0),1000000000,IF($V8=1,INDEX('calcA'!$D$130:$EQ$169,$B8,99)+IF(AND($E8=1,MK8=0),25,0),INDEX('calcA'!CX$110:CX$114,$F8+1)+IF(AND($E8=1,MK8=0),1000,0)+IF($H8=1,INDEX('calcA'!$D$180:$EQ$219,$B8,99)*500,0)-IF(AND('calcA'!CW$117=1,XU8&gt;0),300,0)-IF(AND($U8=1,'calcA'!CX$117=1,GW8=0),300,0))),1000000000))</f>
        <v/>
      </c>
      <c r="SA8">
        <f>IF($B8=0,1000000000,IF(INDEX('calcA'!$D$60:$EQ$99,$B8,100)*IF($W8=1,GW8+ADL8,GW8)=1,IF(AND($E8=2,IF($W8=1,AJA8,ML8)=0),1000000000,IF($V8=1,INDEX('calcA'!$D$130:$EQ$169,$B8,100)+IF(AND($E8=1,ML8=0),25,0),INDEX('calcA'!CY$110:CY$114,$F8+1)+IF(AND($E8=1,ML8=0),1000,0)+IF($H8=1,INDEX('calcA'!$D$180:$EQ$219,$B8,100)*500,0)-IF(AND('calcA'!CX$117=1,XV8&gt;0),300,0)-IF(AND($U8=1,'calcA'!CY$117=1,GX8=0),300,0))),1000000000))</f>
        <v/>
      </c>
      <c r="SB8">
        <f>IF($B8=0,1000000000,IF(INDEX('calcA'!$D$60:$EQ$99,$B8,101)*IF($W8=1,GX8+ADM8,GX8)=1,IF(AND($E8=2,IF($W8=1,AJB8,MM8)=0),1000000000,IF($V8=1,INDEX('calcA'!$D$130:$EQ$169,$B8,101)+IF(AND($E8=1,MM8=0),25,0),INDEX('calcA'!CZ$110:CZ$114,$F8+1)+IF(AND($E8=1,MM8=0),1000,0)+IF($H8=1,INDEX('calcA'!$D$180:$EQ$219,$B8,101)*500,0)-IF(AND('calcA'!CY$117=1,XW8&gt;0),300,0)-IF(AND($U8=1,'calcA'!CZ$117=1,GY8=0),300,0))),1000000000))</f>
        <v/>
      </c>
      <c r="SC8">
        <f>IF($B8=0,1000000000,IF(INDEX('calcA'!$D$60:$EQ$99,$B8,102)*IF($W8=1,GY8+ADN8,GY8)=1,IF(AND($E8=2,IF($W8=1,AJC8,MN8)=0),1000000000,IF($V8=1,INDEX('calcA'!$D$130:$EQ$169,$B8,102)+IF(AND($E8=1,MN8=0),25,0),INDEX('calcA'!DA$110:DA$114,$F8+1)+IF(AND($E8=1,MN8=0),1000,0)+IF($H8=1,INDEX('calcA'!$D$180:$EQ$219,$B8,102)*500,0)-IF(AND('calcA'!CZ$117=1,XX8&gt;0),300,0)-IF(AND($U8=1,'calcA'!DA$117=1,GZ8=0),300,0))),1000000000))</f>
        <v/>
      </c>
      <c r="SD8">
        <f>IF($B8=0,1000000000,IF(INDEX('calcA'!$D$60:$EQ$99,$B8,103)*IF($W8=1,GZ8+ADO8,GZ8)=1,IF(AND($E8=2,IF($W8=1,AJD8,MO8)=0),1000000000,IF($V8=1,INDEX('calcA'!$D$130:$EQ$169,$B8,103)+IF(AND($E8=1,MO8=0),25,0),INDEX('calcA'!DB$110:DB$114,$F8+1)+IF(AND($E8=1,MO8=0),1000,0)+IF($H8=1,INDEX('calcA'!$D$180:$EQ$219,$B8,103)*500,0)-IF(AND('calcA'!DA$117=1,XY8&gt;0),300,0)-IF(AND($U8=1,'calcA'!DB$117=1,HA8=0),300,0))),1000000000))</f>
        <v/>
      </c>
      <c r="SE8">
        <f>IF($B8=0,1000000000,IF(INDEX('calcA'!$D$60:$EQ$99,$B8,104)*IF($W8=1,HA8+ADP8,HA8)=1,IF(AND($E8=2,IF($W8=1,AJE8,MP8)=0),1000000000,IF($V8=1,INDEX('calcA'!$D$130:$EQ$169,$B8,104)+IF(AND($E8=1,MP8=0),25,0),INDEX('calcA'!DC$110:DC$114,$F8+1)+IF(AND($E8=1,MP8=0),1000,0)+IF($H8=1,INDEX('calcA'!$D$180:$EQ$219,$B8,104)*500,0)-IF(AND('calcA'!DB$117=1,XZ8&gt;0),300,0)-IF(AND($U8=1,'calcA'!DC$117=1,HB8=0),300,0))),1000000000))</f>
        <v/>
      </c>
      <c r="SF8">
        <f>IF($B8=0,1000000000,IF(INDEX('calcA'!$D$60:$EQ$99,$B8,105)*IF($W8=1,HB8+ADQ8,HB8)=1,IF(AND($E8=2,IF($W8=1,AJF8,MQ8)=0),1000000000,IF($V8=1,INDEX('calcA'!$D$130:$EQ$169,$B8,105)+IF(AND($E8=1,MQ8=0),25,0),INDEX('calcA'!DD$110:DD$114,$F8+1)+IF(AND($E8=1,MQ8=0),1000,0)+IF($H8=1,INDEX('calcA'!$D$180:$EQ$219,$B8,105)*500,0)-IF(AND('calcA'!DC$117=1,YA8&gt;0),300,0)-IF(AND($U8=1,'calcA'!DD$117=1,HC8=0),300,0))),1000000000))</f>
        <v/>
      </c>
      <c r="SG8">
        <f>IF($B8=0,1000000000,IF(INDEX('calcA'!$D$60:$EQ$99,$B8,106)*IF($W8=1,HC8+ADR8,HC8)=1,IF(AND($E8=2,IF($W8=1,AJG8,MR8)=0),1000000000,IF($V8=1,INDEX('calcA'!$D$130:$EQ$169,$B8,106)+IF(AND($E8=1,MR8=0),25,0),INDEX('calcA'!DE$110:DE$114,$F8+1)+IF(AND($E8=1,MR8=0),1000,0)+IF($H8=1,INDEX('calcA'!$D$180:$EQ$219,$B8,106)*500,0)-IF(AND('calcA'!DD$117=1,YB8&gt;0),300,0)-IF(AND($U8=1,'calcA'!DE$117=1,HD8=0),300,0))),1000000000))</f>
        <v/>
      </c>
      <c r="SH8">
        <f>IF($B8=0,1000000000,IF(INDEX('calcA'!$D$60:$EQ$99,$B8,107)*IF($W8=1,HD8+ADS8,HD8)=1,IF(AND($E8=2,IF($W8=1,AJH8,MS8)=0),1000000000,IF($V8=1,INDEX('calcA'!$D$130:$EQ$169,$B8,107)+IF(AND($E8=1,MS8=0),25,0),INDEX('calcA'!DF$110:DF$114,$F8+1)+IF(AND($E8=1,MS8=0),1000,0)+IF($H8=1,INDEX('calcA'!$D$180:$EQ$219,$B8,107)*500,0)-IF(AND('calcA'!DE$117=1,YC8&gt;0),300,0)-IF(AND($U8=1,'calcA'!DF$117=1,HE8=0),300,0))),1000000000))</f>
        <v/>
      </c>
      <c r="SI8">
        <f>IF($B8=0,1000000000,IF(INDEX('calcA'!$D$60:$EQ$99,$B8,108)*IF($W8=1,HE8+ADT8,HE8)=1,IF(AND($E8=2,IF($W8=1,AJI8,MT8)=0),1000000000,IF($V8=1,INDEX('calcA'!$D$130:$EQ$169,$B8,108)+IF(AND($E8=1,MT8=0),25,0),INDEX('calcA'!DG$110:DG$114,$F8+1)+IF(AND($E8=1,MT8=0),1000,0)+IF($H8=1,INDEX('calcA'!$D$180:$EQ$219,$B8,108)*500,0)-IF(AND('calcA'!DF$117=1,YD8&gt;0),300,0)-IF(AND($U8=1,'calcA'!DG$117=1,HF8=0),300,0))),1000000000))</f>
        <v/>
      </c>
      <c r="SJ8">
        <f>IF($B8=0,1000000000,IF(INDEX('calcA'!$D$60:$EQ$99,$B8,109)*IF($W8=1,HF8+ADU8,HF8)=1,IF(AND($E8=2,IF($W8=1,AJJ8,MU8)=0),1000000000,IF($V8=1,INDEX('calcA'!$D$130:$EQ$169,$B8,109)+IF(AND($E8=1,MU8=0),25,0),INDEX('calcA'!DH$110:DH$114,$F8+1)+IF(AND($E8=1,MU8=0),1000,0)+IF($H8=1,INDEX('calcA'!$D$180:$EQ$219,$B8,109)*500,0)-IF(AND('calcA'!DG$117=1,YE8&gt;0),300,0)-IF(AND($U8=1,'calcA'!DH$117=1,HG8=0),300,0))),1000000000))</f>
        <v/>
      </c>
      <c r="SK8">
        <f>IF($B8=0,1000000000,IF(INDEX('calcA'!$D$60:$EQ$99,$B8,110)*IF($W8=1,HG8+ADV8,HG8)=1,IF(AND($E8=2,IF($W8=1,AJK8,MV8)=0),1000000000,IF($V8=1,INDEX('calcA'!$D$130:$EQ$169,$B8,110)+IF(AND($E8=1,MV8=0),25,0),INDEX('calcA'!DI$110:DI$114,$F8+1)+IF(AND($E8=1,MV8=0),1000,0)+IF($H8=1,INDEX('calcA'!$D$180:$EQ$219,$B8,110)*500,0)-IF(AND('calcA'!DH$117=1,YF8&gt;0),300,0)-IF(AND($U8=1,'calcA'!DI$117=1,HH8=0),300,0))),1000000000))</f>
        <v/>
      </c>
      <c r="SL8">
        <f>IF($B8=0,1000000000,IF(INDEX('calcA'!$D$60:$EQ$99,$B8,111)*IF($W8=1,HH8+ADW8,HH8)=1,IF(AND($E8=2,IF($W8=1,AJL8,MW8)=0),1000000000,IF($V8=1,INDEX('calcA'!$D$130:$EQ$169,$B8,111)+IF(AND($E8=1,MW8=0),25,0),INDEX('calcA'!DJ$110:DJ$114,$F8+1)+IF(AND($E8=1,MW8=0),1000,0)+IF($H8=1,INDEX('calcA'!$D$180:$EQ$219,$B8,111)*500,0)-IF(AND('calcA'!DI$117=1,YG8&gt;0),300,0)-IF(AND($U8=1,'calcA'!DJ$117=1,HI8=0),300,0))),1000000000))</f>
        <v/>
      </c>
      <c r="SM8">
        <f>IF($B8=0,1000000000,IF(INDEX('calcA'!$D$60:$EQ$99,$B8,112)*IF($W8=1,HI8+ADX8,HI8)=1,IF(AND($E8=2,IF($W8=1,AJM8,MX8)=0),1000000000,IF($V8=1,INDEX('calcA'!$D$130:$EQ$169,$B8,112)+IF(AND($E8=1,MX8=0),25,0),INDEX('calcA'!DK$110:DK$114,$F8+1)+IF(AND($E8=1,MX8=0),1000,0)+IF($H8=1,INDEX('calcA'!$D$180:$EQ$219,$B8,112)*500,0)-IF(AND('calcA'!DJ$117=1,YH8&gt;0),300,0)-IF(AND($U8=1,'calcA'!DK$117=1,HJ8=0),300,0))),1000000000))</f>
        <v/>
      </c>
      <c r="SN8">
        <f>IF($B8=0,1000000000,IF(INDEX('calcA'!$D$60:$EQ$99,$B8,113)*IF($W8=1,HJ8+ADY8,HJ8)=1,IF(AND($E8=2,IF($W8=1,AJN8,MY8)=0),1000000000,IF($V8=1,INDEX('calcA'!$D$130:$EQ$169,$B8,113)+IF(AND($E8=1,MY8=0),25,0),INDEX('calcA'!DL$110:DL$114,$F8+1)+IF(AND($E8=1,MY8=0),1000,0)+IF($H8=1,INDEX('calcA'!$D$180:$EQ$219,$B8,113)*500,0)-IF(AND('calcA'!DK$117=1,YI8&gt;0),300,0)-IF(AND($U8=1,'calcA'!DL$117=1,HK8=0),300,0))),1000000000))</f>
        <v/>
      </c>
      <c r="SO8">
        <f>IF($B8=0,1000000000,IF(INDEX('calcA'!$D$60:$EQ$99,$B8,114)*IF($W8=1,HK8+ADZ8,HK8)=1,IF(AND($E8=2,IF($W8=1,AJO8,MZ8)=0),1000000000,IF($V8=1,INDEX('calcA'!$D$130:$EQ$169,$B8,114)+IF(AND($E8=1,MZ8=0),25,0),INDEX('calcA'!DM$110:DM$114,$F8+1)+IF(AND($E8=1,MZ8=0),1000,0)+IF($H8=1,INDEX('calcA'!$D$180:$EQ$219,$B8,114)*500,0)-IF(AND('calcA'!DL$117=1,YJ8&gt;0),300,0)-IF(AND($U8=1,'calcA'!DM$117=1,HL8=0),300,0))),1000000000))</f>
        <v/>
      </c>
      <c r="SP8">
        <f>IF($B8=0,1000000000,IF(INDEX('calcA'!$D$60:$EQ$99,$B8,115)*IF($W8=1,HL8+AEA8,HL8)=1,IF(AND($E8=2,IF($W8=1,AJP8,NA8)=0),1000000000,IF($V8=1,INDEX('calcA'!$D$130:$EQ$169,$B8,115)+IF(AND($E8=1,NA8=0),25,0),INDEX('calcA'!DN$110:DN$114,$F8+1)+IF(AND($E8=1,NA8=0),1000,0)+IF($H8=1,INDEX('calcA'!$D$180:$EQ$219,$B8,115)*500,0)-IF(AND('calcA'!DM$117=1,YK8&gt;0),300,0)-IF(AND($U8=1,'calcA'!DN$117=1,HM8=0),300,0))),1000000000))</f>
        <v/>
      </c>
      <c r="SQ8">
        <f>IF($B8=0,1000000000,IF(INDEX('calcA'!$D$60:$EQ$99,$B8,116)*IF($W8=1,HM8+AEB8,HM8)=1,IF(AND($E8=2,IF($W8=1,AJQ8,NB8)=0),1000000000,IF($V8=1,INDEX('calcA'!$D$130:$EQ$169,$B8,116)+IF(AND($E8=1,NB8=0),25,0),INDEX('calcA'!DO$110:DO$114,$F8+1)+IF(AND($E8=1,NB8=0),1000,0)+IF($H8=1,INDEX('calcA'!$D$180:$EQ$219,$B8,116)*500,0)-IF(AND('calcA'!DN$117=1,YL8&gt;0),300,0)-IF(AND($U8=1,'calcA'!DO$117=1,HN8=0),300,0))),1000000000))</f>
        <v/>
      </c>
      <c r="SR8">
        <f>IF($B8=0,1000000000,IF(INDEX('calcA'!$D$60:$EQ$99,$B8,117)*IF($W8=1,HN8+AEC8,HN8)=1,IF(AND($E8=2,IF($W8=1,AJR8,NC8)=0),1000000000,IF($V8=1,INDEX('calcA'!$D$130:$EQ$169,$B8,117)+IF(AND($E8=1,NC8=0),25,0),INDEX('calcA'!DP$110:DP$114,$F8+1)+IF(AND($E8=1,NC8=0),1000,0)+IF($H8=1,INDEX('calcA'!$D$180:$EQ$219,$B8,117)*500,0)-IF(AND('calcA'!DO$117=1,YM8&gt;0),300,0)-IF(AND($U8=1,'calcA'!DP$117=1,HO8=0),300,0))),1000000000))</f>
        <v/>
      </c>
      <c r="SS8">
        <f>IF($B8=0,1000000000,IF(INDEX('calcA'!$D$60:$EQ$99,$B8,118)*IF($W8=1,HO8+AED8,HO8)=1,IF(AND($E8=2,IF($W8=1,AJS8,ND8)=0),1000000000,IF($V8=1,INDEX('calcA'!$D$130:$EQ$169,$B8,118)+IF(AND($E8=1,ND8=0),25,0),INDEX('calcA'!DQ$110:DQ$114,$F8+1)+IF(AND($E8=1,ND8=0),1000,0)+IF($H8=1,INDEX('calcA'!$D$180:$EQ$219,$B8,118)*500,0)-IF(AND('calcA'!DP$117=1,YN8&gt;0),300,0)-IF(AND($U8=1,'calcA'!DQ$117=1,HP8=0),300,0))),1000000000))</f>
        <v/>
      </c>
      <c r="ST8">
        <f>IF($B8=0,1000000000,IF(INDEX('calcA'!$D$60:$EQ$99,$B8,119)*IF($W8=1,HP8+AEE8,HP8)=1,IF(AND($E8=2,IF($W8=1,AJT8,NE8)=0),1000000000,IF($V8=1,INDEX('calcA'!$D$130:$EQ$169,$B8,119)+IF(AND($E8=1,NE8=0),25,0),INDEX('calcA'!DR$110:DR$114,$F8+1)+IF(AND($E8=1,NE8=0),1000,0)+IF($H8=1,INDEX('calcA'!$D$180:$EQ$219,$B8,119)*500,0)-IF(AND('calcA'!DQ$117=1,YO8&gt;0),300,0)-IF(AND($U8=1,'calcA'!DR$117=1,HQ8=0),300,0))),1000000000))</f>
        <v/>
      </c>
      <c r="SU8">
        <f>IF($B8=0,1000000000,IF(INDEX('calcA'!$D$60:$EQ$99,$B8,120)*IF($W8=1,HQ8+AEF8,HQ8)=1,IF(AND($E8=2,IF($W8=1,AJU8,NF8)=0),1000000000,IF($V8=1,INDEX('calcA'!$D$130:$EQ$169,$B8,120)+IF(AND($E8=1,NF8=0),25,0),INDEX('calcA'!DS$110:DS$114,$F8+1)+IF(AND($E8=1,NF8=0),1000,0)+IF($H8=1,INDEX('calcA'!$D$180:$EQ$219,$B8,120)*500,0)-IF(AND('calcA'!DR$117=1,YP8&gt;0),300,0))),1000000000))</f>
        <v/>
      </c>
      <c r="SV8">
        <f>IF($B8=0,1000000000,IF(INDEX('calcA'!$D$60:$EQ$99,$B8,121)*IF($W8=1,HR8+AEG8,HR8)=1,IF(AND($E8=2,IF($W8=1,AJV8,NG8)=0),1000000000,IF($V8=1,INDEX('calcA'!$D$130:$EQ$169,$B8,121)+IF(AND($E8=1,NG8=0),25,0),INDEX('calcA'!DT$110:DT$114,$F8+1)+IF(AND($E8=1,NG8=0),1000,0)+IF($H8=1,INDEX('calcA'!$D$180:$EQ$219,$B8,121)*500,0)-IF(AND($U8=1,'calcA'!DT$117=1,HS8=0),300,0))),1000000000))</f>
        <v/>
      </c>
      <c r="SW8">
        <f>IF($B8=0,1000000000,IF(INDEX('calcA'!$D$60:$EQ$99,$B8,122)*IF($W8=1,HS8+AEH8,HS8)=1,IF(AND($E8=2,IF($W8=1,AJW8,NH8)=0),1000000000,IF($V8=1,INDEX('calcA'!$D$130:$EQ$169,$B8,122)+IF(AND($E8=1,NH8=0),25,0),INDEX('calcA'!DU$110:DU$114,$F8+1)+IF(AND($E8=1,NH8=0),1000,0)+IF($H8=1,INDEX('calcA'!$D$180:$EQ$219,$B8,122)*500,0)-IF(AND('calcA'!DT$117=1,YR8&gt;0),300,0)-IF(AND($U8=1,'calcA'!DU$117=1,HT8=0),300,0))),1000000000))</f>
        <v/>
      </c>
      <c r="SX8">
        <f>IF($B8=0,1000000000,IF(INDEX('calcA'!$D$60:$EQ$99,$B8,123)*IF($W8=1,HT8+AEI8,HT8)=1,IF(AND($E8=2,IF($W8=1,AJX8,NI8)=0),1000000000,IF($V8=1,INDEX('calcA'!$D$130:$EQ$169,$B8,123)+IF(AND($E8=1,NI8=0),25,0),INDEX('calcA'!DV$110:DV$114,$F8+1)+IF(AND($E8=1,NI8=0),1000,0)+IF($H8=1,INDEX('calcA'!$D$180:$EQ$219,$B8,123)*500,0)-IF(AND('calcA'!DU$117=1,YS8&gt;0),300,0)-IF(AND($U8=1,'calcA'!DV$117=1,HU8=0),300,0))),1000000000))</f>
        <v/>
      </c>
      <c r="SY8">
        <f>IF($B8=0,1000000000,IF(INDEX('calcA'!$D$60:$EQ$99,$B8,124)*IF($W8=1,HU8+AEJ8,HU8)=1,IF(AND($E8=2,IF($W8=1,AJY8,NJ8)=0),1000000000,IF($V8=1,INDEX('calcA'!$D$130:$EQ$169,$B8,124)+IF(AND($E8=1,NJ8=0),25,0),INDEX('calcA'!DW$110:DW$114,$F8+1)+IF(AND($E8=1,NJ8=0),1000,0)+IF($H8=1,INDEX('calcA'!$D$180:$EQ$219,$B8,124)*500,0)-IF(AND('calcA'!DV$117=1,YT8&gt;0),300,0)-IF(AND($U8=1,'calcA'!DW$117=1,HV8=0),300,0))),1000000000))</f>
        <v/>
      </c>
      <c r="SZ8">
        <f>IF($B8=0,1000000000,IF(INDEX('calcA'!$D$60:$EQ$99,$B8,125)*IF($W8=1,HV8+AEK8,HV8)=1,IF(AND($E8=2,IF($W8=1,AJZ8,NK8)=0),1000000000,IF($V8=1,INDEX('calcA'!$D$130:$EQ$169,$B8,125)+IF(AND($E8=1,NK8=0),25,0),INDEX('calcA'!DX$110:DX$114,$F8+1)+IF(AND($E8=1,NK8=0),1000,0)+IF($H8=1,INDEX('calcA'!$D$180:$EQ$219,$B8,125)*500,0)-IF(AND('calcA'!DW$117=1,YU8&gt;0),300,0)-IF(AND($U8=1,'calcA'!DX$117=1,HW8=0),300,0))),1000000000))</f>
        <v/>
      </c>
      <c r="TA8">
        <f>IF($B8=0,1000000000,IF(INDEX('calcA'!$D$60:$EQ$99,$B8,126)*IF($W8=1,HW8+AEL8,HW8)=1,IF(AND($E8=2,IF($W8=1,AKA8,NL8)=0),1000000000,IF($V8=1,INDEX('calcA'!$D$130:$EQ$169,$B8,126)+IF(AND($E8=1,NL8=0),25,0),INDEX('calcA'!DY$110:DY$114,$F8+1)+IF(AND($E8=1,NL8=0),1000,0)+IF($H8=1,INDEX('calcA'!$D$180:$EQ$219,$B8,126)*500,0)-IF(AND('calcA'!DX$117=1,YV8&gt;0),300,0)-IF(AND($U8=1,'calcA'!DY$117=1,HX8=0),300,0))),1000000000))</f>
        <v/>
      </c>
      <c r="TB8">
        <f>IF($B8=0,1000000000,IF(INDEX('calcA'!$D$60:$EQ$99,$B8,127)*IF($W8=1,HX8+AEM8,HX8)=1,IF(AND($E8=2,IF($W8=1,AKB8,NM8)=0),1000000000,IF($V8=1,INDEX('calcA'!$D$130:$EQ$169,$B8,127)+IF(AND($E8=1,NM8=0),25,0),INDEX('calcA'!DZ$110:DZ$114,$F8+1)+IF(AND($E8=1,NM8=0),1000,0)+IF($H8=1,INDEX('calcA'!$D$180:$EQ$219,$B8,127)*500,0)-IF(AND('calcA'!DY$117=1,YW8&gt;0),300,0)-IF(AND($U8=1,'calcA'!DZ$117=1,HY8=0),300,0))),1000000000))</f>
        <v/>
      </c>
      <c r="TC8">
        <f>IF($B8=0,1000000000,IF(INDEX('calcA'!$D$60:$EQ$99,$B8,128)*IF($W8=1,HY8+AEN8,HY8)=1,IF(AND($E8=2,IF($W8=1,AKC8,NN8)=0),1000000000,IF($V8=1,INDEX('calcA'!$D$130:$EQ$169,$B8,128)+IF(AND($E8=1,NN8=0),25,0),INDEX('calcA'!EA$110:EA$114,$F8+1)+IF(AND($E8=1,NN8=0),1000,0)+IF($H8=1,INDEX('calcA'!$D$180:$EQ$219,$B8,128)*500,0)-IF(AND('calcA'!DZ$117=1,YX8&gt;0),300,0)-IF(AND($U8=1,'calcA'!EA$117=1,HZ8=0),300,0))),1000000000))</f>
        <v/>
      </c>
      <c r="TD8">
        <f>IF($B8=0,1000000000,IF(INDEX('calcA'!$D$60:$EQ$99,$B8,129)*IF($W8=1,HZ8+AEO8,HZ8)=1,IF(AND($E8=2,IF($W8=1,AKD8,NO8)=0),1000000000,IF($V8=1,INDEX('calcA'!$D$130:$EQ$169,$B8,129)+IF(AND($E8=1,NO8=0),25,0),INDEX('calcA'!EB$110:EB$114,$F8+1)+IF(AND($E8=1,NO8=0),1000,0)+IF($H8=1,INDEX('calcA'!$D$180:$EQ$219,$B8,129)*500,0)-IF(AND('calcA'!EA$117=1,YY8&gt;0),300,0)-IF(AND($U8=1,'calcA'!EB$117=1,IA8=0),300,0))),1000000000))</f>
        <v/>
      </c>
      <c r="TE8">
        <f>IF($B8=0,1000000000,IF(INDEX('calcA'!$D$60:$EQ$99,$B8,130)*IF($W8=1,IA8+AEP8,IA8)=1,IF(AND($E8=2,IF($W8=1,AKE8,NP8)=0),1000000000,IF($V8=1,INDEX('calcA'!$D$130:$EQ$169,$B8,130)+IF(AND($E8=1,NP8=0),25,0),INDEX('calcA'!EC$110:EC$114,$F8+1)+IF(AND($E8=1,NP8=0),1000,0)+IF($H8=1,INDEX('calcA'!$D$180:$EQ$219,$B8,130)*500,0)-IF(AND('calcA'!EB$117=1,YZ8&gt;0),300,0)-IF(AND($U8=1,'calcA'!EC$117=1,IB8=0),300,0))),1000000000))</f>
        <v/>
      </c>
      <c r="TF8">
        <f>IF($B8=0,1000000000,IF(INDEX('calcA'!$D$60:$EQ$99,$B8,131)*IF($W8=1,IB8+AEQ8,IB8)=1,IF(AND($E8=2,IF($W8=1,AKF8,NQ8)=0),1000000000,IF($V8=1,INDEX('calcA'!$D$130:$EQ$169,$B8,131)+IF(AND($E8=1,NQ8=0),25,0),INDEX('calcA'!ED$110:ED$114,$F8+1)+IF(AND($E8=1,NQ8=0),1000,0)+IF($H8=1,INDEX('calcA'!$D$180:$EQ$219,$B8,131)*500,0)-IF(AND('calcA'!EC$117=1,ZA8&gt;0),300,0)-IF(AND($U8=1,'calcA'!ED$117=1,IC8=0),300,0))),1000000000))</f>
        <v/>
      </c>
      <c r="TG8">
        <f>IF($B8=0,1000000000,IF(INDEX('calcA'!$D$60:$EQ$99,$B8,132)*IF($W8=1,IC8+AER8,IC8)=1,IF(AND($E8=2,IF($W8=1,AKG8,NR8)=0),1000000000,IF($V8=1,INDEX('calcA'!$D$130:$EQ$169,$B8,132)+IF(AND($E8=1,NR8=0),25,0),INDEX('calcA'!EE$110:EE$114,$F8+1)+IF(AND($E8=1,NR8=0),1000,0)+IF($H8=1,INDEX('calcA'!$D$180:$EQ$219,$B8,132)*500,0)-IF(AND('calcA'!ED$117=1,ZB8&gt;0),300,0)-IF(AND($U8=1,'calcA'!EE$117=1,ID8=0),300,0))),1000000000))</f>
        <v/>
      </c>
      <c r="TH8">
        <f>IF($B8=0,1000000000,IF(INDEX('calcA'!$D$60:$EQ$99,$B8,133)*IF($W8=1,ID8+AES8,ID8)=1,IF(AND($E8=2,IF($W8=1,AKH8,NS8)=0),1000000000,IF($V8=1,INDEX('calcA'!$D$130:$EQ$169,$B8,133)+IF(AND($E8=1,NS8=0),25,0),INDEX('calcA'!EF$110:EF$114,$F8+1)+IF(AND($E8=1,NS8=0),1000,0)+IF($H8=1,INDEX('calcA'!$D$180:$EQ$219,$B8,133)*500,0)-IF(AND('calcA'!EE$117=1,ZC8&gt;0),300,0)-IF(AND($U8=1,'calcA'!EF$117=1,IE8=0),300,0))),1000000000))</f>
        <v/>
      </c>
      <c r="TI8">
        <f>IF($B8=0,1000000000,IF(INDEX('calcA'!$D$60:$EQ$99,$B8,134)*IF($W8=1,IE8+AET8,IE8)=1,IF(AND($E8=2,IF($W8=1,AKI8,NT8)=0),1000000000,IF($V8=1,INDEX('calcA'!$D$130:$EQ$169,$B8,134)+IF(AND($E8=1,NT8=0),25,0),INDEX('calcA'!EG$110:EG$114,$F8+1)+IF(AND($E8=1,NT8=0),1000,0)+IF($H8=1,INDEX('calcA'!$D$180:$EQ$219,$B8,134)*500,0)-IF(AND('calcA'!EF$117=1,ZD8&gt;0),300,0)-IF(AND($U8=1,'calcA'!EG$117=1,IF8=0),300,0))),1000000000))</f>
        <v/>
      </c>
      <c r="TJ8">
        <f>IF($B8=0,1000000000,IF(INDEX('calcA'!$D$60:$EQ$99,$B8,135)*IF($W8=1,IF8+AEU8,IF8)=1,IF(AND($E8=2,IF($W8=1,AKJ8,NU8)=0),1000000000,IF($V8=1,INDEX('calcA'!$D$130:$EQ$169,$B8,135)+IF(AND($E8=1,NU8=0),25,0),INDEX('calcA'!EH$110:EH$114,$F8+1)+IF(AND($E8=1,NU8=0),1000,0)+IF($H8=1,INDEX('calcA'!$D$180:$EQ$219,$B8,135)*500,0)-IF(AND('calcA'!EG$117=1,ZE8&gt;0),300,0)-IF(AND($U8=1,'calcA'!EH$117=1,IG8=0),300,0))),1000000000))</f>
        <v/>
      </c>
      <c r="TK8">
        <f>IF($B8=0,1000000000,IF(INDEX('calcA'!$D$60:$EQ$99,$B8,136)*IF($W8=1,IG8+AEV8,IG8)=1,IF(AND($E8=2,IF($W8=1,AKK8,NV8)=0),1000000000,IF($V8=1,INDEX('calcA'!$D$130:$EQ$169,$B8,136)+IF(AND($E8=1,NV8=0),25,0),INDEX('calcA'!EI$110:EI$114,$F8+1)+IF(AND($E8=1,NV8=0),1000,0)+IF($H8=1,INDEX('calcA'!$D$180:$EQ$219,$B8,136)*500,0)-IF(AND('calcA'!EH$117=1,ZF8&gt;0),300,0)-IF(AND($U8=1,'calcA'!EI$117=1,IH8=0),300,0))),1000000000))</f>
        <v/>
      </c>
      <c r="TL8">
        <f>IF($B8=0,1000000000,IF(INDEX('calcA'!$D$60:$EQ$99,$B8,137)*IF($W8=1,IH8+AEW8,IH8)=1,IF(AND($E8=2,IF($W8=1,AKL8,NW8)=0),1000000000,IF($V8=1,INDEX('calcA'!$D$130:$EQ$169,$B8,137)+IF(AND($E8=1,NW8=0),25,0),INDEX('calcA'!EJ$110:EJ$114,$F8+1)+IF(AND($E8=1,NW8=0),1000,0)+IF($H8=1,INDEX('calcA'!$D$180:$EQ$219,$B8,137)*500,0)-IF(AND('calcA'!EI$117=1,ZG8&gt;0),300,0)-IF(AND($U8=1,'calcA'!EJ$117=1,II8=0),300,0))),1000000000))</f>
        <v/>
      </c>
      <c r="TM8">
        <f>IF($B8=0,1000000000,IF(INDEX('calcA'!$D$60:$EQ$99,$B8,138)*IF($W8=1,II8+AEX8,II8)=1,IF(AND($E8=2,IF($W8=1,AKM8,NX8)=0),1000000000,IF($V8=1,INDEX('calcA'!$D$130:$EQ$169,$B8,138)+IF(AND($E8=1,NX8=0),25,0),INDEX('calcA'!EK$110:EK$114,$F8+1)+IF(AND($E8=1,NX8=0),1000,0)+IF($H8=1,INDEX('calcA'!$D$180:$EQ$219,$B8,138)*500,0)-IF(AND('calcA'!EJ$117=1,ZH8&gt;0),300,0)-IF(AND($U8=1,'calcA'!EK$117=1,IJ8=0),300,0))),1000000000))</f>
        <v/>
      </c>
      <c r="TN8">
        <f>IF($B8=0,1000000000,IF(INDEX('calcA'!$D$60:$EQ$99,$B8,139)*IF($W8=1,IJ8+AEY8,IJ8)=1,IF(AND($E8=2,IF($W8=1,AKN8,NY8)=0),1000000000,IF($V8=1,INDEX('calcA'!$D$130:$EQ$169,$B8,139)+IF(AND($E8=1,NY8=0),25,0),INDEX('calcA'!EL$110:EL$114,$F8+1)+IF(AND($E8=1,NY8=0),1000,0)+IF($H8=1,INDEX('calcA'!$D$180:$EQ$219,$B8,139)*500,0)-IF(AND('calcA'!EK$117=1,ZI8&gt;0),300,0)-IF(AND($U8=1,'calcA'!EL$117=1,IK8=0),300,0))),1000000000))</f>
        <v/>
      </c>
      <c r="TO8">
        <f>IF($B8=0,1000000000,IF(INDEX('calcA'!$D$60:$EQ$99,$B8,140)*IF($W8=1,IK8+AEZ8,IK8)=1,IF(AND($E8=2,IF($W8=1,AKO8,NZ8)=0),1000000000,IF($V8=1,INDEX('calcA'!$D$130:$EQ$169,$B8,140)+IF(AND($E8=1,NZ8=0),25,0),INDEX('calcA'!EM$110:EM$114,$F8+1)+IF(AND($E8=1,NZ8=0),1000,0)+IF($H8=1,INDEX('calcA'!$D$180:$EQ$219,$B8,140)*500,0)-IF(AND('calcA'!EL$117=1,ZJ8&gt;0),300,0)-IF(AND($U8=1,'calcA'!EM$117=1,IL8=0),300,0))),1000000000))</f>
        <v/>
      </c>
      <c r="TP8">
        <f>IF($B8=0,1000000000,IF(INDEX('calcA'!$D$60:$EQ$99,$B8,141)*IF($W8=1,IL8+AFA8,IL8)=1,IF(AND($E8=2,IF($W8=1,AKP8,OA8)=0),1000000000,IF($V8=1,INDEX('calcA'!$D$130:$EQ$169,$B8,141)+IF(AND($E8=1,OA8=0),25,0),INDEX('calcA'!EN$110:EN$114,$F8+1)+IF(AND($E8=1,OA8=0),1000,0)+IF($H8=1,INDEX('calcA'!$D$180:$EQ$219,$B8,141)*500,0)-IF(AND('calcA'!EM$117=1,ZK8&gt;0),300,0)-IF(AND($U8=1,'calcA'!EN$117=1,IM8=0),300,0))),1000000000))</f>
        <v/>
      </c>
      <c r="TQ8">
        <f>IF($B8=0,1000000000,IF(INDEX('calcA'!$D$60:$EQ$99,$B8,142)*IF($W8=1,IM8+AFB8,IM8)=1,IF(AND($E8=2,IF($W8=1,AKQ8,OB8)=0),1000000000,IF($V8=1,INDEX('calcA'!$D$130:$EQ$169,$B8,142)+IF(AND($E8=1,OB8=0),25,0),INDEX('calcA'!EO$110:EO$114,$F8+1)+IF(AND($E8=1,OB8=0),1000,0)+IF($H8=1,INDEX('calcA'!$D$180:$EQ$219,$B8,142)*500,0)-IF(AND('calcA'!EN$117=1,ZL8&gt;0),300,0)-IF(AND($U8=1,'calcA'!EO$117=1,IN8=0),300,0))),1000000000))</f>
        <v/>
      </c>
      <c r="TR8">
        <f>IF($B8=0,1000000000,IF(INDEX('calcA'!$D$60:$EQ$99,$B8,143)*IF($W8=1,IN8+AFC8,IN8)=1,IF(AND($E8=2,IF($W8=1,AKR8,OC8)=0),1000000000,IF($V8=1,INDEX('calcA'!$D$130:$EQ$169,$B8,143)+IF(AND($E8=1,OC8=0),25,0),INDEX('calcA'!EP$110:EP$114,$F8+1)+IF(AND($E8=1,OC8=0),1000,0)+IF($H8=1,INDEX('calcA'!$D$180:$EQ$219,$B8,143)*500,0)-IF(AND('calcA'!EO$117=1,ZM8&gt;0),300,0)-IF(AND($U8=1,'calcA'!EP$117=1,IO8=0),300,0))),1000000000))</f>
        <v/>
      </c>
      <c r="TS8">
        <f>IF($B8=0,1000000000,IF(INDEX('calcA'!$D$60:$EQ$99,$B8,144)*IF($W8=1,IO8+AFD8,IO8)=1,IF(AND($E8=2,IF($W8=1,AKS8,OD8)=0),1000000000,IF($V8=1,INDEX('calcA'!$D$130:$EQ$169,$B8,144)+IF(AND($E8=1,OD8=0),25,0),INDEX('calcA'!EQ$110:EQ$114,$F8+1)+IF(AND($E8=1,OD8=0),1000,0)+IF($H8=1,INDEX('calcA'!$D$180:$EQ$219,$B8,144)*500,0)-IF(AND('calcA'!EP$117=1,ZN8&gt;0),300,0))),1000000000))</f>
        <v/>
      </c>
      <c r="UB8">
        <f>UB7+IF(AND($C7=1,$U7=1),1,0)</f>
        <v/>
      </c>
      <c r="UC8">
        <f>UC7+IF(AND($C7=2,$U7=1),1,0)</f>
        <v/>
      </c>
      <c r="UD8">
        <f>UD7+IF(AND($C7=3,$U7=1),1,0)</f>
        <v/>
      </c>
      <c r="UE8">
        <f>UE7+IF(AND($C7=4,$U7=1),1,0)</f>
        <v/>
      </c>
      <c r="UF8">
        <f>UF7+IF(AND($C7=5,$U7=1),1,0)</f>
        <v/>
      </c>
      <c r="UG8">
        <f>UG7+IF(AND($C7=6,$U7=1),1,0)</f>
        <v/>
      </c>
      <c r="UH8">
        <f>UH7+IF(AND($C7=7,$U7=1),1,0)</f>
        <v/>
      </c>
      <c r="UI8">
        <f>UI7+IF(AND($C7=8,$U7=1),1,0)</f>
        <v/>
      </c>
      <c r="UJ8">
        <f>UJ7+IF(AND($C7=9,$U7=1),1,0)</f>
        <v/>
      </c>
      <c r="UK8">
        <f>UK7+IF(AND($C7=10,$U7=1),1,0)</f>
        <v/>
      </c>
      <c r="UL8">
        <f>UL7+IF(AND($C7=11,$U7=1),1,0)</f>
        <v/>
      </c>
      <c r="UM8">
        <f>UM7+IF(AND($C7=12,$U7=1),1,0)</f>
        <v/>
      </c>
      <c r="UN8">
        <f>UN7+IF(AND($C7=13,$U7=1),1,0)</f>
        <v/>
      </c>
      <c r="UO8">
        <f>UO7+IF(AND($C7=14,$U7=1),1,0)</f>
        <v/>
      </c>
      <c r="UP8">
        <f>UP7+IF(AND($C7=15,$U7=1),1,0)</f>
        <v/>
      </c>
      <c r="UQ8">
        <f>UQ7+IF(AND($C7=16,$U7=1),1,0)</f>
        <v/>
      </c>
      <c r="UR8">
        <f>UR7+IF(AND($C7=17,$U7=1),1,0)</f>
        <v/>
      </c>
      <c r="US8">
        <f>US7+IF(AND($C7=18,$U7=1),1,0)</f>
        <v/>
      </c>
      <c r="UT8">
        <f>UT7+IF(AND($C7=19,$U7=1),1,0)</f>
        <v/>
      </c>
      <c r="UU8">
        <f>UU7+IF(AND($C7=20,$U7=1),1,0)</f>
        <v/>
      </c>
      <c r="UV8">
        <f>UV7+IF(AND($C7=21,$U7=1),1,0)</f>
        <v/>
      </c>
      <c r="UW8">
        <f>UW7+IF(AND($C7=22,$U7=1),1,0)</f>
        <v/>
      </c>
      <c r="UX8">
        <f>UX7+IF(AND($C7=23,$U7=1),1,0)</f>
        <v/>
      </c>
      <c r="UY8">
        <f>UY7+IF(AND($C7=24,$U7=1),1,0)</f>
        <v/>
      </c>
      <c r="UZ8">
        <f>UZ7+IF(AND($C7=25,$U7=1),1,0)</f>
        <v/>
      </c>
      <c r="VA8">
        <f>VA7+IF(AND($C7=26,$U7=1),1,0)</f>
        <v/>
      </c>
      <c r="VB8">
        <f>VB7+IF(AND($C7=27,$U7=1),1,0)</f>
        <v/>
      </c>
      <c r="VC8">
        <f>VC7+IF(AND($C7=28,$U7=1),1,0)</f>
        <v/>
      </c>
      <c r="VD8">
        <f>VD7+IF(AND($C7=29,$U7=1),1,0)</f>
        <v/>
      </c>
      <c r="VE8">
        <f>VE7+IF(AND($C7=30,$U7=1),1,0)</f>
        <v/>
      </c>
      <c r="VF8">
        <f>VF7+IF(AND($C7=31,$U7=1),1,0)</f>
        <v/>
      </c>
      <c r="VG8">
        <f>VG7+IF(AND($C7=32,$U7=1),1,0)</f>
        <v/>
      </c>
      <c r="VH8">
        <f>VH7+IF(AND($C7=33,$U7=1),1,0)</f>
        <v/>
      </c>
      <c r="VI8">
        <f>VI7+IF(AND($C7=34,$U7=1),1,0)</f>
        <v/>
      </c>
      <c r="VJ8">
        <f>VJ7+IF(AND($C7=35,$U7=1),1,0)</f>
        <v/>
      </c>
      <c r="VK8">
        <f>VK7+IF(AND($C7=36,$U7=1),1,0)</f>
        <v/>
      </c>
      <c r="VL8">
        <f>VL7+IF(AND($C7=37,$U7=1),1,0)</f>
        <v/>
      </c>
      <c r="VM8">
        <f>VM7+IF(AND($C7=38,$U7=1),1,0)</f>
        <v/>
      </c>
      <c r="VN8">
        <f>VN7+IF(AND($C7=39,$U7=1),1,0)</f>
        <v/>
      </c>
      <c r="VO8">
        <f>VO7+IF(AND($C7=40,$U7=1),1,0)</f>
        <v/>
      </c>
      <c r="VP8">
        <f>VP7+IF(AND($C7=41,$U7=1),1,0)</f>
        <v/>
      </c>
      <c r="VQ8">
        <f>VQ7+IF(AND($C7=42,$U7=1),1,0)</f>
        <v/>
      </c>
      <c r="VR8">
        <f>VR7+IF(AND($C7=43,$U7=1),1,0)</f>
        <v/>
      </c>
      <c r="VS8">
        <f>VS7+IF(AND($C7=44,$U7=1),1,0)</f>
        <v/>
      </c>
      <c r="VT8">
        <f>VT7+IF(AND($C7=45,$U7=1),1,0)</f>
        <v/>
      </c>
      <c r="VU8">
        <f>VU7+IF(AND($C7=46,$U7=1),1,0)</f>
        <v/>
      </c>
      <c r="VV8">
        <f>VV7+IF(AND($C7=47,$U7=1),1,0)</f>
        <v/>
      </c>
      <c r="VW8">
        <f>VW7+IF(AND($C7=48,$U7=1),1,0)</f>
        <v/>
      </c>
      <c r="VX8">
        <f>VX7+IF(AND($C7=49,$U7=1),1,0)</f>
        <v/>
      </c>
      <c r="VY8">
        <f>VY7+IF(AND($C7=50,$U7=1),1,0)</f>
        <v/>
      </c>
      <c r="VZ8">
        <f>VZ7+IF(AND($C7=51,$U7=1),1,0)</f>
        <v/>
      </c>
      <c r="WA8">
        <f>WA7+IF(AND($C7=52,$U7=1),1,0)</f>
        <v/>
      </c>
      <c r="WB8">
        <f>WB7+IF(AND($C7=53,$U7=1),1,0)</f>
        <v/>
      </c>
      <c r="WC8">
        <f>WC7+IF(AND($C7=54,$U7=1),1,0)</f>
        <v/>
      </c>
      <c r="WD8">
        <f>WD7+IF(AND($C7=55,$U7=1),1,0)</f>
        <v/>
      </c>
      <c r="WE8">
        <f>WE7+IF(AND($C7=56,$U7=1),1,0)</f>
        <v/>
      </c>
      <c r="WF8">
        <f>WF7+IF(AND($C7=57,$U7=1),1,0)</f>
        <v/>
      </c>
      <c r="WG8">
        <f>WG7+IF(AND($C7=58,$U7=1),1,0)</f>
        <v/>
      </c>
      <c r="WH8">
        <f>WH7+IF(AND($C7=59,$U7=1),1,0)</f>
        <v/>
      </c>
      <c r="WI8">
        <f>WI7+IF(AND($C7=60,$U7=1),1,0)</f>
        <v/>
      </c>
      <c r="WJ8">
        <f>WJ7+IF(AND($C7=61,$U7=1),1,0)</f>
        <v/>
      </c>
      <c r="WK8">
        <f>WK7+IF(AND($C7=62,$U7=1),1,0)</f>
        <v/>
      </c>
      <c r="WL8">
        <f>WL7+IF(AND($C7=63,$U7=1),1,0)</f>
        <v/>
      </c>
      <c r="WM8">
        <f>WM7+IF(AND($C7=64,$U7=1),1,0)</f>
        <v/>
      </c>
      <c r="WN8">
        <f>WN7+IF(AND($C7=65,$U7=1),1,0)</f>
        <v/>
      </c>
      <c r="WO8">
        <f>WO7+IF(AND($C7=66,$U7=1),1,0)</f>
        <v/>
      </c>
      <c r="WP8">
        <f>WP7+IF(AND($C7=67,$U7=1),1,0)</f>
        <v/>
      </c>
      <c r="WQ8">
        <f>WQ7+IF(AND($C7=68,$U7=1),1,0)</f>
        <v/>
      </c>
      <c r="WR8">
        <f>WR7+IF(AND($C7=69,$U7=1),1,0)</f>
        <v/>
      </c>
      <c r="WS8">
        <f>WS7+IF(AND($C7=70,$U7=1),1,0)</f>
        <v/>
      </c>
      <c r="WT8">
        <f>WT7+IF(AND($C7=71,$U7=1),1,0)</f>
        <v/>
      </c>
      <c r="WU8">
        <f>WU7+IF(AND($C7=72,$U7=1),1,0)</f>
        <v/>
      </c>
      <c r="WV8">
        <f>WV7+IF(AND($C7=73,$U7=1),1,0)</f>
        <v/>
      </c>
      <c r="WW8">
        <f>WW7+IF(AND($C7=74,$U7=1),1,0)</f>
        <v/>
      </c>
      <c r="WX8">
        <f>WX7+IF(AND($C7=75,$U7=1),1,0)</f>
        <v/>
      </c>
      <c r="WY8">
        <f>WY7+IF(AND($C7=76,$U7=1),1,0)</f>
        <v/>
      </c>
      <c r="WZ8">
        <f>WZ7+IF(AND($C7=77,$U7=1),1,0)</f>
        <v/>
      </c>
      <c r="XA8">
        <f>XA7+IF(AND($C7=78,$U7=1),1,0)</f>
        <v/>
      </c>
      <c r="XB8">
        <f>XB7+IF(AND($C7=79,$U7=1),1,0)</f>
        <v/>
      </c>
      <c r="XC8">
        <f>XC7+IF(AND($C7=80,$U7=1),1,0)</f>
        <v/>
      </c>
      <c r="XD8">
        <f>XD7+IF(AND($C7=81,$U7=1),1,0)</f>
        <v/>
      </c>
      <c r="XE8">
        <f>XE7+IF(AND($C7=82,$U7=1),1,0)</f>
        <v/>
      </c>
      <c r="XF8">
        <f>XF7+IF(AND($C7=83,$U7=1),1,0)</f>
        <v/>
      </c>
      <c r="XG8">
        <f>XG7+IF(AND($C7=84,$U7=1),1,0)</f>
        <v/>
      </c>
      <c r="XH8">
        <f>XH7+IF(AND($C7=85,$U7=1),1,0)</f>
        <v/>
      </c>
      <c r="XI8">
        <f>XI7+IF(AND($C7=86,$U7=1),1,0)</f>
        <v/>
      </c>
      <c r="XJ8">
        <f>XJ7+IF(AND($C7=87,$U7=1),1,0)</f>
        <v/>
      </c>
      <c r="XK8">
        <f>XK7+IF(AND($C7=88,$U7=1),1,0)</f>
        <v/>
      </c>
      <c r="XL8">
        <f>XL7+IF(AND($C7=89,$U7=1),1,0)</f>
        <v/>
      </c>
      <c r="XM8">
        <f>XM7+IF(AND($C7=90,$U7=1),1,0)</f>
        <v/>
      </c>
      <c r="XN8">
        <f>XN7+IF(AND($C7=91,$U7=1),1,0)</f>
        <v/>
      </c>
      <c r="XO8">
        <f>XO7+IF(AND($C7=92,$U7=1),1,0)</f>
        <v/>
      </c>
      <c r="XP8">
        <f>XP7+IF(AND($C7=93,$U7=1),1,0)</f>
        <v/>
      </c>
      <c r="XQ8">
        <f>XQ7+IF(AND($C7=94,$U7=1),1,0)</f>
        <v/>
      </c>
      <c r="XR8">
        <f>XR7+IF(AND($C7=95,$U7=1),1,0)</f>
        <v/>
      </c>
      <c r="XS8">
        <f>XS7+IF(AND($C7=96,$U7=1),1,0)</f>
        <v/>
      </c>
      <c r="XT8">
        <f>XT7+IF(AND($C7=97,$U7=1),1,0)</f>
        <v/>
      </c>
      <c r="XU8">
        <f>XU7+IF(AND($C7=98,$U7=1),1,0)</f>
        <v/>
      </c>
      <c r="XV8">
        <f>XV7+IF(AND($C7=99,$U7=1),1,0)</f>
        <v/>
      </c>
      <c r="XW8">
        <f>XW7+IF(AND($C7=100,$U7=1),1,0)</f>
        <v/>
      </c>
      <c r="XX8">
        <f>XX7+IF(AND($C7=101,$U7=1),1,0)</f>
        <v/>
      </c>
      <c r="XY8">
        <f>XY7+IF(AND($C7=102,$U7=1),1,0)</f>
        <v/>
      </c>
      <c r="XZ8">
        <f>XZ7+IF(AND($C7=103,$U7=1),1,0)</f>
        <v/>
      </c>
      <c r="YA8">
        <f>YA7+IF(AND($C7=104,$U7=1),1,0)</f>
        <v/>
      </c>
      <c r="YB8">
        <f>YB7+IF(AND($C7=105,$U7=1),1,0)</f>
        <v/>
      </c>
      <c r="YC8">
        <f>YC7+IF(AND($C7=106,$U7=1),1,0)</f>
        <v/>
      </c>
      <c r="YD8">
        <f>YD7+IF(AND($C7=107,$U7=1),1,0)</f>
        <v/>
      </c>
      <c r="YE8">
        <f>YE7+IF(AND($C7=108,$U7=1),1,0)</f>
        <v/>
      </c>
      <c r="YF8">
        <f>YF7+IF(AND($C7=109,$U7=1),1,0)</f>
        <v/>
      </c>
      <c r="YG8">
        <f>YG7+IF(AND($C7=110,$U7=1),1,0)</f>
        <v/>
      </c>
      <c r="YH8">
        <f>YH7+IF(AND($C7=111,$U7=1),1,0)</f>
        <v/>
      </c>
      <c r="YI8">
        <f>YI7+IF(AND($C7=112,$U7=1),1,0)</f>
        <v/>
      </c>
      <c r="YJ8">
        <f>YJ7+IF(AND($C7=113,$U7=1),1,0)</f>
        <v/>
      </c>
      <c r="YK8">
        <f>YK7+IF(AND($C7=114,$U7=1),1,0)</f>
        <v/>
      </c>
      <c r="YL8">
        <f>YL7+IF(AND($C7=115,$U7=1),1,0)</f>
        <v/>
      </c>
      <c r="YM8">
        <f>YM7+IF(AND($C7=116,$U7=1),1,0)</f>
        <v/>
      </c>
      <c r="YN8">
        <f>YN7+IF(AND($C7=117,$U7=1),1,0)</f>
        <v/>
      </c>
      <c r="YO8">
        <f>YO7+IF(AND($C7=118,$U7=1),1,0)</f>
        <v/>
      </c>
      <c r="YP8">
        <f>YP7+IF(AND($C7=119,$U7=1),1,0)</f>
        <v/>
      </c>
      <c r="YQ8">
        <f>YQ7+IF(AND($C7=120,$U7=1),1,0)</f>
        <v/>
      </c>
      <c r="YR8">
        <f>YR7+IF(AND($C7=121,$U7=1),1,0)</f>
        <v/>
      </c>
      <c r="YS8">
        <f>YS7+IF(AND($C7=122,$U7=1),1,0)</f>
        <v/>
      </c>
      <c r="YT8">
        <f>YT7+IF(AND($C7=123,$U7=1),1,0)</f>
        <v/>
      </c>
      <c r="YU8">
        <f>YU7+IF(AND($C7=124,$U7=1),1,0)</f>
        <v/>
      </c>
      <c r="YV8">
        <f>YV7+IF(AND($C7=125,$U7=1),1,0)</f>
        <v/>
      </c>
      <c r="YW8">
        <f>YW7+IF(AND($C7=126,$U7=1),1,0)</f>
        <v/>
      </c>
      <c r="YX8">
        <f>YX7+IF(AND($C7=127,$U7=1),1,0)</f>
        <v/>
      </c>
      <c r="YY8">
        <f>YY7+IF(AND($C7=128,$U7=1),1,0)</f>
        <v/>
      </c>
      <c r="YZ8">
        <f>YZ7+IF(AND($C7=129,$U7=1),1,0)</f>
        <v/>
      </c>
      <c r="ZA8">
        <f>ZA7+IF(AND($C7=130,$U7=1),1,0)</f>
        <v/>
      </c>
      <c r="ZB8">
        <f>ZB7+IF(AND($C7=131,$U7=1),1,0)</f>
        <v/>
      </c>
      <c r="ZC8">
        <f>ZC7+IF(AND($C7=132,$U7=1),1,0)</f>
        <v/>
      </c>
      <c r="ZD8">
        <f>ZD7+IF(AND($C7=133,$U7=1),1,0)</f>
        <v/>
      </c>
      <c r="ZE8">
        <f>ZE7+IF(AND($C7=134,$U7=1),1,0)</f>
        <v/>
      </c>
      <c r="ZF8">
        <f>ZF7+IF(AND($C7=135,$U7=1),1,0)</f>
        <v/>
      </c>
      <c r="ZG8">
        <f>ZG7+IF(AND($C7=136,$U7=1),1,0)</f>
        <v/>
      </c>
      <c r="ZH8">
        <f>ZH7+IF(AND($C7=137,$U7=1),1,0)</f>
        <v/>
      </c>
      <c r="ZI8">
        <f>ZI7+IF(AND($C7=138,$U7=1),1,0)</f>
        <v/>
      </c>
      <c r="ZJ8">
        <f>ZJ7+IF(AND($C7=139,$U7=1),1,0)</f>
        <v/>
      </c>
      <c r="ZK8">
        <f>ZK7+IF(AND($C7=140,$U7=1),1,0)</f>
        <v/>
      </c>
      <c r="ZL8">
        <f>ZL7+IF(AND($C7=141,$U7=1),1,0)</f>
        <v/>
      </c>
      <c r="ZM8">
        <f>ZM7+IF(AND($C7=142,$U7=1),1,0)</f>
        <v/>
      </c>
      <c r="ZN8">
        <f>ZN7+IF(AND($C7=143,$U7=1),1,0)</f>
        <v/>
      </c>
      <c r="ZO8">
        <f>ZO7+IF(AND($C7=144,$U7=1),1,0)</f>
        <v/>
      </c>
      <c r="ZQ8">
        <f>IF($C7=1,0,ZQ7+IF(AND($G7=1,$E7=1),1,0))</f>
        <v/>
      </c>
      <c r="ZR8">
        <f>IF($C7=2,0,ZR7+IF(AND($G7=2,$E7=1),1,0))</f>
        <v/>
      </c>
      <c r="ZS8">
        <f>IF($C7=3,0,ZS7+IF(AND($G7=3,$E7=1),1,0))</f>
        <v/>
      </c>
      <c r="ZT8">
        <f>IF($C7=4,0,ZT7+IF(AND($G7=4,$E7=1),1,0))</f>
        <v/>
      </c>
      <c r="ZU8">
        <f>IF($C7=5,0,ZU7+IF(AND($G7=5,$E7=1),1,0))</f>
        <v/>
      </c>
      <c r="ZV8">
        <f>IF($C7=6,0,ZV7+IF(AND($G7=6,$E7=1),1,0))</f>
        <v/>
      </c>
      <c r="ZW8">
        <f>IF($C7=7,0,ZW7+IF(AND($G7=7,$E7=1),1,0))</f>
        <v/>
      </c>
      <c r="ZX8">
        <f>IF($C7=8,0,ZX7+IF(AND($G7=8,$E7=1),1,0))</f>
        <v/>
      </c>
      <c r="ZY8">
        <f>IF($C7=9,0,ZY7+IF(AND($G7=9,$E7=1),1,0))</f>
        <v/>
      </c>
      <c r="ZZ8">
        <f>IF($C7=10,0,ZZ7+IF(AND($G7=10,$E7=1),1,0))</f>
        <v/>
      </c>
      <c r="AAA8">
        <f>IF($C7=11,0,AAA7+IF(AND($G7=11,$E7=1),1,0))</f>
        <v/>
      </c>
      <c r="AAB8">
        <f>IF($C7=12,0,AAB7+IF(AND($G7=12,$E7=1),1,0))</f>
        <v/>
      </c>
      <c r="AAC8">
        <f>IF($C7=13,0,AAC7+IF(AND($G7=13,$E7=1),1,0))</f>
        <v/>
      </c>
      <c r="AAD8">
        <f>IF($C7=14,0,AAD7+IF(AND($G7=14,$E7=1),1,0))</f>
        <v/>
      </c>
      <c r="AAE8">
        <f>IF($C7=15,0,AAE7+IF(AND($G7=15,$E7=1),1,0))</f>
        <v/>
      </c>
      <c r="AAF8">
        <f>IF($C7=16,0,AAF7+IF(AND($G7=16,$E7=1),1,0))</f>
        <v/>
      </c>
      <c r="AAG8">
        <f>IF($C7=17,0,AAG7+IF(AND($G7=17,$E7=1),1,0))</f>
        <v/>
      </c>
      <c r="AAH8">
        <f>IF($C7=18,0,AAH7+IF(AND($G7=18,$E7=1),1,0))</f>
        <v/>
      </c>
      <c r="AAI8">
        <f>IF($C7=19,0,AAI7+IF(AND($G7=19,$E7=1),1,0))</f>
        <v/>
      </c>
      <c r="AAJ8">
        <f>IF($C7=20,0,AAJ7+IF(AND($G7=20,$E7=1),1,0))</f>
        <v/>
      </c>
      <c r="AAK8">
        <f>IF($C7=21,0,AAK7+IF(AND($G7=21,$E7=1),1,0))</f>
        <v/>
      </c>
      <c r="AAL8">
        <f>IF($C7=22,0,AAL7+IF(AND($G7=22,$E7=1),1,0))</f>
        <v/>
      </c>
      <c r="AAM8">
        <f>IF($C7=23,0,AAM7+IF(AND($G7=23,$E7=1),1,0))</f>
        <v/>
      </c>
      <c r="AAN8">
        <f>IF($C7=24,0,AAN7+IF(AND($G7=24,$E7=1),1,0))</f>
        <v/>
      </c>
      <c r="AAO8">
        <f>IF($C7=25,0,AAO7+IF(AND($G7=25,$E7=1),1,0))</f>
        <v/>
      </c>
      <c r="AAP8">
        <f>IF($C7=26,0,AAP7+IF(AND($G7=26,$E7=1),1,0))</f>
        <v/>
      </c>
      <c r="AAQ8">
        <f>IF($C7=27,0,AAQ7+IF(AND($G7=27,$E7=1),1,0))</f>
        <v/>
      </c>
      <c r="AAR8">
        <f>IF($C7=28,0,AAR7+IF(AND($G7=28,$E7=1),1,0))</f>
        <v/>
      </c>
      <c r="AAS8">
        <f>IF($C7=29,0,AAS7+IF(AND($G7=29,$E7=1),1,0))</f>
        <v/>
      </c>
      <c r="AAT8">
        <f>IF($C7=30,0,AAT7+IF(AND($G7=30,$E7=1),1,0))</f>
        <v/>
      </c>
      <c r="AAU8">
        <f>IF($C7=31,0,AAU7+IF(AND($G7=31,$E7=1),1,0))</f>
        <v/>
      </c>
      <c r="AAV8">
        <f>IF($C7=32,0,AAV7+IF(AND($G7=32,$E7=1),1,0))</f>
        <v/>
      </c>
      <c r="AAW8">
        <f>IF($C7=33,0,AAW7+IF(AND($G7=33,$E7=1),1,0))</f>
        <v/>
      </c>
      <c r="AAX8">
        <f>IF($C7=34,0,AAX7+IF(AND($G7=34,$E7=1),1,0))</f>
        <v/>
      </c>
      <c r="AAY8">
        <f>IF($C7=35,0,AAY7+IF(AND($G7=35,$E7=1),1,0))</f>
        <v/>
      </c>
      <c r="AAZ8">
        <f>IF($C7=36,0,AAZ7+IF(AND($G7=36,$E7=1),1,0))</f>
        <v/>
      </c>
      <c r="ABA8">
        <f>IF($C7=37,0,ABA7+IF(AND($G7=37,$E7=1),1,0))</f>
        <v/>
      </c>
      <c r="ABB8">
        <f>IF($C7=38,0,ABB7+IF(AND($G7=38,$E7=1),1,0))</f>
        <v/>
      </c>
      <c r="ABC8">
        <f>IF($C7=39,0,ABC7+IF(AND($G7=39,$E7=1),1,0))</f>
        <v/>
      </c>
      <c r="ABD8">
        <f>IF($C7=40,0,ABD7+IF(AND($G7=40,$E7=1),1,0))</f>
        <v/>
      </c>
      <c r="ABE8">
        <f>IF($C7=41,0,ABE7+IF(AND($G7=41,$E7=1),1,0))</f>
        <v/>
      </c>
      <c r="ABF8">
        <f>IF($C7=42,0,ABF7+IF(AND($G7=42,$E7=1),1,0))</f>
        <v/>
      </c>
      <c r="ABG8">
        <f>IF($C7=43,0,ABG7+IF(AND($G7=43,$E7=1),1,0))</f>
        <v/>
      </c>
      <c r="ABH8">
        <f>IF($C7=44,0,ABH7+IF(AND($G7=44,$E7=1),1,0))</f>
        <v/>
      </c>
      <c r="ABI8">
        <f>IF($C7=45,0,ABI7+IF(AND($G7=45,$E7=1),1,0))</f>
        <v/>
      </c>
      <c r="ABJ8">
        <f>IF($C7=46,0,ABJ7+IF(AND($G7=46,$E7=1),1,0))</f>
        <v/>
      </c>
      <c r="ABK8">
        <f>IF($C7=47,0,ABK7+IF(AND($G7=47,$E7=1),1,0))</f>
        <v/>
      </c>
      <c r="ABL8">
        <f>IF($C7=48,0,ABL7+IF(AND($G7=48,$E7=1),1,0))</f>
        <v/>
      </c>
      <c r="ABM8">
        <f>IF($C7=49,0,ABM7+IF(AND($G7=49,$E7=1),1,0))</f>
        <v/>
      </c>
      <c r="ABN8">
        <f>IF($C7=50,0,ABN7+IF(AND($G7=50,$E7=1),1,0))</f>
        <v/>
      </c>
      <c r="ABO8">
        <f>IF($C7=51,0,ABO7+IF(AND($G7=51,$E7=1),1,0))</f>
        <v/>
      </c>
      <c r="ABP8">
        <f>IF($C7=52,0,ABP7+IF(AND($G7=52,$E7=1),1,0))</f>
        <v/>
      </c>
      <c r="ABQ8">
        <f>IF($C7=53,0,ABQ7+IF(AND($G7=53,$E7=1),1,0))</f>
        <v/>
      </c>
      <c r="ABR8">
        <f>IF($C7=54,0,ABR7+IF(AND($G7=54,$E7=1),1,0))</f>
        <v/>
      </c>
      <c r="ABS8">
        <f>IF($C7=55,0,ABS7+IF(AND($G7=55,$E7=1),1,0))</f>
        <v/>
      </c>
      <c r="ABT8">
        <f>IF($C7=56,0,ABT7+IF(AND($G7=56,$E7=1),1,0))</f>
        <v/>
      </c>
      <c r="ABU8">
        <f>IF($C7=57,0,ABU7+IF(AND($G7=57,$E7=1),1,0))</f>
        <v/>
      </c>
      <c r="ABV8">
        <f>IF($C7=58,0,ABV7+IF(AND($G7=58,$E7=1),1,0))</f>
        <v/>
      </c>
      <c r="ABW8">
        <f>IF($C7=59,0,ABW7+IF(AND($G7=59,$E7=1),1,0))</f>
        <v/>
      </c>
      <c r="ABX8">
        <f>IF($C7=60,0,ABX7+IF(AND($G7=60,$E7=1),1,0))</f>
        <v/>
      </c>
      <c r="ABY8">
        <f>IF($C7=61,0,ABY7+IF(AND($G7=61,$E7=1),1,0))</f>
        <v/>
      </c>
      <c r="ABZ8">
        <f>IF($C7=62,0,ABZ7+IF(AND($G7=62,$E7=1),1,0))</f>
        <v/>
      </c>
      <c r="ACA8">
        <f>IF($C7=63,0,ACA7+IF(AND($G7=63,$E7=1),1,0))</f>
        <v/>
      </c>
      <c r="ACB8">
        <f>IF($C7=64,0,ACB7+IF(AND($G7=64,$E7=1),1,0))</f>
        <v/>
      </c>
      <c r="ACC8">
        <f>IF($C7=65,0,ACC7+IF(AND($G7=65,$E7=1),1,0))</f>
        <v/>
      </c>
      <c r="ACD8">
        <f>IF($C7=66,0,ACD7+IF(AND($G7=66,$E7=1),1,0))</f>
        <v/>
      </c>
      <c r="ACE8">
        <f>IF($C7=67,0,ACE7+IF(AND($G7=67,$E7=1),1,0))</f>
        <v/>
      </c>
      <c r="ACF8">
        <f>IF($C7=68,0,ACF7+IF(AND($G7=68,$E7=1),1,0))</f>
        <v/>
      </c>
      <c r="ACG8">
        <f>IF($C7=69,0,ACG7+IF(AND($G7=69,$E7=1),1,0))</f>
        <v/>
      </c>
      <c r="ACH8">
        <f>IF($C7=70,0,ACH7+IF(AND($G7=70,$E7=1),1,0))</f>
        <v/>
      </c>
      <c r="ACI8">
        <f>IF($C7=71,0,ACI7+IF(AND($G7=71,$E7=1),1,0))</f>
        <v/>
      </c>
      <c r="ACJ8">
        <f>IF($C7=72,0,ACJ7+IF(AND($G7=72,$E7=1),1,0))</f>
        <v/>
      </c>
      <c r="ACK8">
        <f>IF($C7=73,0,ACK7+IF(AND($G7=73,$E7=1),1,0))</f>
        <v/>
      </c>
      <c r="ACL8">
        <f>IF($C7=74,0,ACL7+IF(AND($G7=74,$E7=1),1,0))</f>
        <v/>
      </c>
      <c r="ACM8">
        <f>IF($C7=75,0,ACM7+IF(AND($G7=75,$E7=1),1,0))</f>
        <v/>
      </c>
      <c r="ACN8">
        <f>IF($C7=76,0,ACN7+IF(AND($G7=76,$E7=1),1,0))</f>
        <v/>
      </c>
      <c r="ACO8">
        <f>IF($C7=77,0,ACO7+IF(AND($G7=77,$E7=1),1,0))</f>
        <v/>
      </c>
      <c r="ACP8">
        <f>IF($C7=78,0,ACP7+IF(AND($G7=78,$E7=1),1,0))</f>
        <v/>
      </c>
      <c r="ACQ8">
        <f>IF($C7=79,0,ACQ7+IF(AND($G7=79,$E7=1),1,0))</f>
        <v/>
      </c>
      <c r="ACR8">
        <f>IF($C7=80,0,ACR7+IF(AND($G7=80,$E7=1),1,0))</f>
        <v/>
      </c>
      <c r="ACS8">
        <f>IF($C7=81,0,ACS7+IF(AND($G7=81,$E7=1),1,0))</f>
        <v/>
      </c>
      <c r="ACT8">
        <f>IF($C7=82,0,ACT7+IF(AND($G7=82,$E7=1),1,0))</f>
        <v/>
      </c>
      <c r="ACU8">
        <f>IF($C7=83,0,ACU7+IF(AND($G7=83,$E7=1),1,0))</f>
        <v/>
      </c>
      <c r="ACV8">
        <f>IF($C7=84,0,ACV7+IF(AND($G7=84,$E7=1),1,0))</f>
        <v/>
      </c>
      <c r="ACW8">
        <f>IF($C7=85,0,ACW7+IF(AND($G7=85,$E7=1),1,0))</f>
        <v/>
      </c>
      <c r="ACX8">
        <f>IF($C7=86,0,ACX7+IF(AND($G7=86,$E7=1),1,0))</f>
        <v/>
      </c>
      <c r="ACY8">
        <f>IF($C7=87,0,ACY7+IF(AND($G7=87,$E7=1),1,0))</f>
        <v/>
      </c>
      <c r="ACZ8">
        <f>IF($C7=88,0,ACZ7+IF(AND($G7=88,$E7=1),1,0))</f>
        <v/>
      </c>
      <c r="ADA8">
        <f>IF($C7=89,0,ADA7+IF(AND($G7=89,$E7=1),1,0))</f>
        <v/>
      </c>
      <c r="ADB8">
        <f>IF($C7=90,0,ADB7+IF(AND($G7=90,$E7=1),1,0))</f>
        <v/>
      </c>
      <c r="ADC8">
        <f>IF($C7=91,0,ADC7+IF(AND($G7=91,$E7=1),1,0))</f>
        <v/>
      </c>
      <c r="ADD8">
        <f>IF($C7=92,0,ADD7+IF(AND($G7=92,$E7=1),1,0))</f>
        <v/>
      </c>
      <c r="ADE8">
        <f>IF($C7=93,0,ADE7+IF(AND($G7=93,$E7=1),1,0))</f>
        <v/>
      </c>
      <c r="ADF8">
        <f>IF($C7=94,0,ADF7+IF(AND($G7=94,$E7=1),1,0))</f>
        <v/>
      </c>
      <c r="ADG8">
        <f>IF($C7=95,0,ADG7+IF(AND($G7=95,$E7=1),1,0))</f>
        <v/>
      </c>
      <c r="ADH8">
        <f>IF($C7=96,0,ADH7+IF(AND($G7=96,$E7=1),1,0))</f>
        <v/>
      </c>
      <c r="ADI8">
        <f>IF($C7=97,0,ADI7+IF(AND($G7=97,$E7=1),1,0))</f>
        <v/>
      </c>
      <c r="ADJ8">
        <f>IF($C7=98,0,ADJ7+IF(AND($G7=98,$E7=1),1,0))</f>
        <v/>
      </c>
      <c r="ADK8">
        <f>IF($C7=99,0,ADK7+IF(AND($G7=99,$E7=1),1,0))</f>
        <v/>
      </c>
      <c r="ADL8">
        <f>IF($C7=100,0,ADL7+IF(AND($G7=100,$E7=1),1,0))</f>
        <v/>
      </c>
      <c r="ADM8">
        <f>IF($C7=101,0,ADM7+IF(AND($G7=101,$E7=1),1,0))</f>
        <v/>
      </c>
      <c r="ADN8">
        <f>IF($C7=102,0,ADN7+IF(AND($G7=102,$E7=1),1,0))</f>
        <v/>
      </c>
      <c r="ADO8">
        <f>IF($C7=103,0,ADO7+IF(AND($G7=103,$E7=1),1,0))</f>
        <v/>
      </c>
      <c r="ADP8">
        <f>IF($C7=104,0,ADP7+IF(AND($G7=104,$E7=1),1,0))</f>
        <v/>
      </c>
      <c r="ADQ8">
        <f>IF($C7=105,0,ADQ7+IF(AND($G7=105,$E7=1),1,0))</f>
        <v/>
      </c>
      <c r="ADR8">
        <f>IF($C7=106,0,ADR7+IF(AND($G7=106,$E7=1),1,0))</f>
        <v/>
      </c>
      <c r="ADS8">
        <f>IF($C7=107,0,ADS7+IF(AND($G7=107,$E7=1),1,0))</f>
        <v/>
      </c>
      <c r="ADT8">
        <f>IF($C7=108,0,ADT7+IF(AND($G7=108,$E7=1),1,0))</f>
        <v/>
      </c>
      <c r="ADU8">
        <f>IF($C7=109,0,ADU7+IF(AND($G7=109,$E7=1),1,0))</f>
        <v/>
      </c>
      <c r="ADV8">
        <f>IF($C7=110,0,ADV7+IF(AND($G7=110,$E7=1),1,0))</f>
        <v/>
      </c>
      <c r="ADW8">
        <f>IF($C7=111,0,ADW7+IF(AND($G7=111,$E7=1),1,0))</f>
        <v/>
      </c>
      <c r="ADX8">
        <f>IF($C7=112,0,ADX7+IF(AND($G7=112,$E7=1),1,0))</f>
        <v/>
      </c>
      <c r="ADY8">
        <f>IF($C7=113,0,ADY7+IF(AND($G7=113,$E7=1),1,0))</f>
        <v/>
      </c>
      <c r="ADZ8">
        <f>IF($C7=114,0,ADZ7+IF(AND($G7=114,$E7=1),1,0))</f>
        <v/>
      </c>
      <c r="AEA8">
        <f>IF($C7=115,0,AEA7+IF(AND($G7=115,$E7=1),1,0))</f>
        <v/>
      </c>
      <c r="AEB8">
        <f>IF($C7=116,0,AEB7+IF(AND($G7=116,$E7=1),1,0))</f>
        <v/>
      </c>
      <c r="AEC8">
        <f>IF($C7=117,0,AEC7+IF(AND($G7=117,$E7=1),1,0))</f>
        <v/>
      </c>
      <c r="AED8">
        <f>IF($C7=118,0,AED7+IF(AND($G7=118,$E7=1),1,0))</f>
        <v/>
      </c>
      <c r="AEE8">
        <f>IF($C7=119,0,AEE7+IF(AND($G7=119,$E7=1),1,0))</f>
        <v/>
      </c>
      <c r="AEF8">
        <f>IF($C7=120,0,AEF7+IF(AND($G7=120,$E7=1),1,0))</f>
        <v/>
      </c>
      <c r="AEG8">
        <f>IF($C7=121,0,AEG7+IF(AND($G7=121,$E7=1),1,0))</f>
        <v/>
      </c>
      <c r="AEH8">
        <f>IF($C7=122,0,AEH7+IF(AND($G7=122,$E7=1),1,0))</f>
        <v/>
      </c>
      <c r="AEI8">
        <f>IF($C7=123,0,AEI7+IF(AND($G7=123,$E7=1),1,0))</f>
        <v/>
      </c>
      <c r="AEJ8">
        <f>IF($C7=124,0,AEJ7+IF(AND($G7=124,$E7=1),1,0))</f>
        <v/>
      </c>
      <c r="AEK8">
        <f>IF($C7=125,0,AEK7+IF(AND($G7=125,$E7=1),1,0))</f>
        <v/>
      </c>
      <c r="AEL8">
        <f>IF($C7=126,0,AEL7+IF(AND($G7=126,$E7=1),1,0))</f>
        <v/>
      </c>
      <c r="AEM8">
        <f>IF($C7=127,0,AEM7+IF(AND($G7=127,$E7=1),1,0))</f>
        <v/>
      </c>
      <c r="AEN8">
        <f>IF($C7=128,0,AEN7+IF(AND($G7=128,$E7=1),1,0))</f>
        <v/>
      </c>
      <c r="AEO8">
        <f>IF($C7=129,0,AEO7+IF(AND($G7=129,$E7=1),1,0))</f>
        <v/>
      </c>
      <c r="AEP8">
        <f>IF($C7=130,0,AEP7+IF(AND($G7=130,$E7=1),1,0))</f>
        <v/>
      </c>
      <c r="AEQ8">
        <f>IF($C7=131,0,AEQ7+IF(AND($G7=131,$E7=1),1,0))</f>
        <v/>
      </c>
      <c r="AER8">
        <f>IF($C7=132,0,AER7+IF(AND($G7=132,$E7=1),1,0))</f>
        <v/>
      </c>
      <c r="AES8">
        <f>IF($C7=133,0,AES7+IF(AND($G7=133,$E7=1),1,0))</f>
        <v/>
      </c>
      <c r="AET8">
        <f>IF($C7=134,0,AET7+IF(AND($G7=134,$E7=1),1,0))</f>
        <v/>
      </c>
      <c r="AEU8">
        <f>IF($C7=135,0,AEU7+IF(AND($G7=135,$E7=1),1,0))</f>
        <v/>
      </c>
      <c r="AEV8">
        <f>IF($C7=136,0,AEV7+IF(AND($G7=136,$E7=1),1,0))</f>
        <v/>
      </c>
      <c r="AEW8">
        <f>IF($C7=137,0,AEW7+IF(AND($G7=137,$E7=1),1,0))</f>
        <v/>
      </c>
      <c r="AEX8">
        <f>IF($C7=138,0,AEX7+IF(AND($G7=138,$E7=1),1,0))</f>
        <v/>
      </c>
      <c r="AEY8">
        <f>IF($C7=139,0,AEY7+IF(AND($G7=139,$E7=1),1,0))</f>
        <v/>
      </c>
      <c r="AEZ8">
        <f>IF($C7=140,0,AEZ7+IF(AND($G7=140,$E7=1),1,0))</f>
        <v/>
      </c>
      <c r="AFA8">
        <f>IF($C7=141,0,AFA7+IF(AND($G7=141,$E7=1),1,0))</f>
        <v/>
      </c>
      <c r="AFB8">
        <f>IF($C7=142,0,AFB7+IF(AND($G7=142,$E7=1),1,0))</f>
        <v/>
      </c>
      <c r="AFC8">
        <f>IF($C7=143,0,AFC7+IF(AND($G7=143,$E7=1),1,0))</f>
        <v/>
      </c>
      <c r="AFD8">
        <f>IF($C7=144,0,AFD7+IF(AND($G7=144,$E7=1),1,0))</f>
        <v/>
      </c>
      <c r="AFF8">
        <f>IF('calcA'!D$106=1,DC8+ZR8,1)</f>
        <v/>
      </c>
      <c r="AFG8">
        <f>IF('calcA'!E$106=1,DD8+ZS8,1)</f>
        <v/>
      </c>
      <c r="AFH8">
        <f>IF('calcA'!F$106=1,DE8+ZT8,1)</f>
        <v/>
      </c>
      <c r="AFI8">
        <f>IF('calcA'!G$106=1,DF8+ZU8,1)</f>
        <v/>
      </c>
      <c r="AFJ8">
        <f>IF('calcA'!H$106=1,DG8+ZV8,1)</f>
        <v/>
      </c>
      <c r="AFK8">
        <f>IF('calcA'!I$106=1,DH8+ZW8,1)</f>
        <v/>
      </c>
      <c r="AFL8">
        <f>IF('calcA'!J$106=1,DI8+ZX8,1)</f>
        <v/>
      </c>
      <c r="AFM8">
        <f>IF('calcA'!K$106=1,DJ8+ZY8,1)</f>
        <v/>
      </c>
      <c r="AFN8">
        <f>IF('calcA'!L$106=1,DK8+ZZ8,1)</f>
        <v/>
      </c>
      <c r="AFO8">
        <f>IF('calcA'!M$106=1,DL8+AAA8,1)</f>
        <v/>
      </c>
      <c r="AFP8">
        <f>IF('calcA'!N$106=1,DM8+AAB8,1)</f>
        <v/>
      </c>
      <c r="AFQ8">
        <f>IF('calcA'!O$106=1,DN8+AAC8,1)</f>
        <v/>
      </c>
      <c r="AFR8">
        <f>IF('calcA'!P$106=1,DO8+AAD8,1)</f>
        <v/>
      </c>
      <c r="AFS8">
        <f>IF('calcA'!Q$106=1,DP8+AAE8,1)</f>
        <v/>
      </c>
      <c r="AFT8">
        <f>IF('calcA'!R$106=1,DQ8+AAF8,1)</f>
        <v/>
      </c>
      <c r="AFU8">
        <f>IF('calcA'!S$106=1,DR8+AAG8,1)</f>
        <v/>
      </c>
      <c r="AFV8">
        <f>IF('calcA'!T$106=1,DS8+AAH8,1)</f>
        <v/>
      </c>
      <c r="AFW8">
        <f>IF('calcA'!U$106=1,DT8+AAI8,1)</f>
        <v/>
      </c>
      <c r="AFX8">
        <f>IF('calcA'!V$106=1,DU8+AAJ8,1)</f>
        <v/>
      </c>
      <c r="AFY8">
        <f>IF('calcA'!W$106=1,DV8+AAK8,1)</f>
        <v/>
      </c>
      <c r="AFZ8">
        <f>IF('calcA'!X$106=1,DW8+AAL8,1)</f>
        <v/>
      </c>
      <c r="AGA8">
        <f>IF('calcA'!Y$106=1,DX8+AAM8,1)</f>
        <v/>
      </c>
      <c r="AGB8">
        <f>IF('calcA'!Z$106=1,DY8+AAN8,1)</f>
        <v/>
      </c>
      <c r="AGC8">
        <f>IF('calcA'!AA$106=1,DZ8+AAO8,1)</f>
        <v/>
      </c>
      <c r="AGD8">
        <f>IF('calcA'!AB$106=1,EA8+AAP8,1)</f>
        <v/>
      </c>
      <c r="AGE8">
        <f>IF('calcA'!AC$106=1,EB8+AAQ8,1)</f>
        <v/>
      </c>
      <c r="AGF8">
        <f>IF('calcA'!AD$106=1,EC8+AAR8,1)</f>
        <v/>
      </c>
      <c r="AGG8">
        <f>IF('calcA'!AE$106=1,ED8+AAS8,1)</f>
        <v/>
      </c>
      <c r="AGH8">
        <f>IF('calcA'!AF$106=1,EE8+AAT8,1)</f>
        <v/>
      </c>
      <c r="AGI8">
        <f>IF('calcA'!AG$106=1,EF8+AAU8,1)</f>
        <v/>
      </c>
      <c r="AGJ8">
        <f>IF('calcA'!AH$106=1,EG8+AAV8,1)</f>
        <v/>
      </c>
      <c r="AGK8">
        <f>IF('calcA'!AI$106=1,EH8+AAW8,1)</f>
        <v/>
      </c>
      <c r="AGL8">
        <f>IF('calcA'!AJ$106=1,EI8+AAX8,1)</f>
        <v/>
      </c>
      <c r="AGM8">
        <f>IF('calcA'!AK$106=1,EJ8+AAY8,1)</f>
        <v/>
      </c>
      <c r="AGN8">
        <f>IF('calcA'!AL$106=1,EK8+AAZ8,1)</f>
        <v/>
      </c>
      <c r="AGO8">
        <f>IF('calcA'!AM$106=1,EL8+ABA8,1)</f>
        <v/>
      </c>
      <c r="AGP8">
        <f>IF('calcA'!AN$106=1,EM8+ABB8,1)</f>
        <v/>
      </c>
      <c r="AGQ8">
        <f>IF('calcA'!AO$106=1,EN8+ABC8,1)</f>
        <v/>
      </c>
      <c r="AGR8">
        <f>IF('calcA'!AP$106=1,EO8+ABD8,1)</f>
        <v/>
      </c>
      <c r="AGS8">
        <f>IF('calcA'!AQ$106=1,EP8+ABE8,1)</f>
        <v/>
      </c>
      <c r="AGT8">
        <f>IF('calcA'!AR$106=1,EQ8+ABF8,1)</f>
        <v/>
      </c>
      <c r="AGU8">
        <f>IF('calcA'!AS$106=1,ER8+ABG8,1)</f>
        <v/>
      </c>
      <c r="AGV8">
        <f>IF('calcA'!AT$106=1,ES8+ABH8,1)</f>
        <v/>
      </c>
      <c r="AGW8">
        <f>IF('calcA'!AU$106=1,ET8+ABI8,1)</f>
        <v/>
      </c>
      <c r="AGX8">
        <f>IF('calcA'!AV$106=1,EU8+ABJ8,1)</f>
        <v/>
      </c>
      <c r="AGY8">
        <f>IF('calcA'!AW$106=1,EV8+ABK8,1)</f>
        <v/>
      </c>
      <c r="AGZ8">
        <f>IF('calcA'!AX$106=1,EW8+ABL8,1)</f>
        <v/>
      </c>
      <c r="AHA8">
        <f>IF('calcA'!AY$106=1,EX8+ABM8,1)</f>
        <v/>
      </c>
      <c r="AHB8">
        <f>IF('calcA'!AZ$106=1,EY8+ABN8,1)</f>
        <v/>
      </c>
      <c r="AHC8">
        <f>IF('calcA'!BA$106=1,EZ8+ABO8,1)</f>
        <v/>
      </c>
      <c r="AHD8">
        <f>IF('calcA'!BB$106=1,FA8+ABP8,1)</f>
        <v/>
      </c>
      <c r="AHE8">
        <f>IF('calcA'!BC$106=1,FB8+ABQ8,1)</f>
        <v/>
      </c>
      <c r="AHF8">
        <f>IF('calcA'!BD$106=1,FC8+ABR8,1)</f>
        <v/>
      </c>
      <c r="AHG8">
        <f>IF('calcA'!BE$106=1,FD8+ABS8,1)</f>
        <v/>
      </c>
      <c r="AHH8">
        <f>IF('calcA'!BF$106=1,FE8+ABT8,1)</f>
        <v/>
      </c>
      <c r="AHI8">
        <f>IF('calcA'!BG$106=1,FF8+ABU8,1)</f>
        <v/>
      </c>
      <c r="AHJ8">
        <f>IF('calcA'!BH$106=1,FG8+ABV8,1)</f>
        <v/>
      </c>
      <c r="AHK8">
        <f>IF('calcA'!BI$106=1,FH8+ABW8,1)</f>
        <v/>
      </c>
      <c r="AHL8">
        <f>IF('calcA'!BJ$106=1,FI8+ABX8,1)</f>
        <v/>
      </c>
      <c r="AHM8">
        <f>IF('calcA'!BK$106=1,FJ8+ABY8,1)</f>
        <v/>
      </c>
      <c r="AHN8">
        <f>IF('calcA'!BL$106=1,FK8+ABZ8,1)</f>
        <v/>
      </c>
      <c r="AHO8">
        <f>IF('calcA'!BM$106=1,FL8+ACA8,1)</f>
        <v/>
      </c>
      <c r="AHP8">
        <f>IF('calcA'!BN$106=1,FM8+ACB8,1)</f>
        <v/>
      </c>
      <c r="AHQ8">
        <f>IF('calcA'!BO$106=1,FN8+ACC8,1)</f>
        <v/>
      </c>
      <c r="AHR8">
        <f>IF('calcA'!BP$106=1,FO8+ACD8,1)</f>
        <v/>
      </c>
      <c r="AHS8">
        <f>IF('calcA'!BQ$106=1,FP8+ACE8,1)</f>
        <v/>
      </c>
      <c r="AHT8">
        <f>IF('calcA'!BR$106=1,FQ8+ACF8,1)</f>
        <v/>
      </c>
      <c r="AHU8">
        <f>IF('calcA'!BS$106=1,FR8+ACG8,1)</f>
        <v/>
      </c>
      <c r="AHV8">
        <f>IF('calcA'!BT$106=1,FS8+ACH8,1)</f>
        <v/>
      </c>
      <c r="AHW8">
        <f>IF('calcA'!BU$106=1,FT8+ACI8,1)</f>
        <v/>
      </c>
      <c r="AHX8">
        <f>IF('calcA'!BV$106=1,FU8+ACJ8,1)</f>
        <v/>
      </c>
      <c r="AHY8">
        <f>IF('calcA'!BW$106=1,FV8+ACK8,1)</f>
        <v/>
      </c>
      <c r="AHZ8">
        <f>IF('calcA'!BX$106=1,FW8+ACL8,1)</f>
        <v/>
      </c>
      <c r="AIA8">
        <f>IF('calcA'!BY$106=1,FX8+ACM8,1)</f>
        <v/>
      </c>
      <c r="AIB8">
        <f>IF('calcA'!BZ$106=1,FY8+ACN8,1)</f>
        <v/>
      </c>
      <c r="AIC8">
        <f>IF('calcA'!CA$106=1,FZ8+ACO8,1)</f>
        <v/>
      </c>
      <c r="AID8">
        <f>IF('calcA'!CB$106=1,GA8+ACP8,1)</f>
        <v/>
      </c>
      <c r="AIE8">
        <f>IF('calcA'!CC$106=1,GB8+ACQ8,1)</f>
        <v/>
      </c>
      <c r="AIF8">
        <f>IF('calcA'!CD$106=1,GC8+ACR8,1)</f>
        <v/>
      </c>
      <c r="AIG8">
        <f>IF('calcA'!CE$106=1,GD8+ACS8,1)</f>
        <v/>
      </c>
      <c r="AIH8">
        <f>IF('calcA'!CF$106=1,GE8+ACT8,1)</f>
        <v/>
      </c>
      <c r="AII8">
        <f>IF('calcA'!CG$106=1,GF8+ACU8,1)</f>
        <v/>
      </c>
      <c r="AIJ8">
        <f>IF('calcA'!CH$106=1,GG8+ACV8,1)</f>
        <v/>
      </c>
      <c r="AIK8">
        <f>IF('calcA'!CI$106=1,GH8+ACW8,1)</f>
        <v/>
      </c>
      <c r="AIL8">
        <f>IF('calcA'!CJ$106=1,GI8+ACX8,1)</f>
        <v/>
      </c>
      <c r="AIM8">
        <f>IF('calcA'!CK$106=1,GJ8+ACY8,1)</f>
        <v/>
      </c>
      <c r="AIN8">
        <f>IF('calcA'!CL$106=1,GK8+ACZ8,1)</f>
        <v/>
      </c>
      <c r="AIO8">
        <f>IF('calcA'!CM$106=1,GL8+ADA8,1)</f>
        <v/>
      </c>
      <c r="AIP8">
        <f>IF('calcA'!CN$106=1,GM8+ADB8,1)</f>
        <v/>
      </c>
      <c r="AIQ8">
        <f>IF('calcA'!CO$106=1,GN8+ADC8,1)</f>
        <v/>
      </c>
      <c r="AIR8">
        <f>IF('calcA'!CP$106=1,GO8+ADD8,1)</f>
        <v/>
      </c>
      <c r="AIS8">
        <f>IF('calcA'!CQ$106=1,GP8+ADE8,1)</f>
        <v/>
      </c>
      <c r="AIT8">
        <f>IF('calcA'!CR$106=1,GQ8+ADF8,1)</f>
        <v/>
      </c>
      <c r="AIU8">
        <f>IF('calcA'!CS$106=1,GR8+ADG8,1)</f>
        <v/>
      </c>
      <c r="AIV8">
        <f>IF('calcA'!CT$106=1,GS8+ADH8,1)</f>
        <v/>
      </c>
      <c r="AIW8">
        <f>IF('calcA'!CU$106=1,GT8+ADI8,1)</f>
        <v/>
      </c>
      <c r="AIX8">
        <f>IF('calcA'!CV$106=1,GU8+ADJ8,1)</f>
        <v/>
      </c>
      <c r="AIY8">
        <f>IF('calcA'!CW$106=1,GV8+ADK8,1)</f>
        <v/>
      </c>
      <c r="AIZ8">
        <f>IF('calcA'!CX$106=1,GW8+ADL8,1)</f>
        <v/>
      </c>
      <c r="AJA8">
        <f>IF('calcA'!CY$106=1,GX8+ADM8,1)</f>
        <v/>
      </c>
      <c r="AJB8">
        <f>IF('calcA'!CZ$106=1,GY8+ADN8,1)</f>
        <v/>
      </c>
      <c r="AJC8">
        <f>IF('calcA'!DA$106=1,GZ8+ADO8,1)</f>
        <v/>
      </c>
      <c r="AJD8">
        <f>IF('calcA'!DB$106=1,HA8+ADP8,1)</f>
        <v/>
      </c>
      <c r="AJE8">
        <f>IF('calcA'!DC$106=1,HB8+ADQ8,1)</f>
        <v/>
      </c>
      <c r="AJF8">
        <f>IF('calcA'!DD$106=1,HC8+ADR8,1)</f>
        <v/>
      </c>
      <c r="AJG8">
        <f>IF('calcA'!DE$106=1,HD8+ADS8,1)</f>
        <v/>
      </c>
      <c r="AJH8">
        <f>IF('calcA'!DF$106=1,HE8+ADT8,1)</f>
        <v/>
      </c>
      <c r="AJI8">
        <f>IF('calcA'!DG$106=1,HF8+ADU8,1)</f>
        <v/>
      </c>
      <c r="AJJ8">
        <f>IF('calcA'!DH$106=1,HG8+ADV8,1)</f>
        <v/>
      </c>
      <c r="AJK8">
        <f>IF('calcA'!DI$106=1,HH8+ADW8,1)</f>
        <v/>
      </c>
      <c r="AJL8">
        <f>IF('calcA'!DJ$106=1,HI8+ADX8,1)</f>
        <v/>
      </c>
      <c r="AJM8">
        <f>IF('calcA'!DK$106=1,HJ8+ADY8,1)</f>
        <v/>
      </c>
      <c r="AJN8">
        <f>IF('calcA'!DL$106=1,HK8+ADZ8,1)</f>
        <v/>
      </c>
      <c r="AJO8">
        <f>IF('calcA'!DM$106=1,HL8+AEA8,1)</f>
        <v/>
      </c>
      <c r="AJP8">
        <f>IF('calcA'!DN$106=1,HM8+AEB8,1)</f>
        <v/>
      </c>
      <c r="AJQ8">
        <f>IF('calcA'!DO$106=1,HN8+AEC8,1)</f>
        <v/>
      </c>
      <c r="AJR8">
        <f>IF('calcA'!DP$106=1,HO8+AED8,1)</f>
        <v/>
      </c>
      <c r="AJS8">
        <f>IF('calcA'!DQ$106=1,HP8+AEE8,1)</f>
        <v/>
      </c>
      <c r="AJT8">
        <f>IF('calcA'!DR$106=1,HQ8+AEF8,1)</f>
        <v/>
      </c>
      <c r="AJU8">
        <f>IF('calcA'!DS$106=1,HR8+AEG8,1)</f>
        <v/>
      </c>
      <c r="AJV8">
        <f>IF('calcA'!DT$106=1,HS8+AEH8,1)</f>
        <v/>
      </c>
      <c r="AJW8">
        <f>IF('calcA'!DU$106=1,HT8+AEI8,1)</f>
        <v/>
      </c>
      <c r="AJX8">
        <f>IF('calcA'!DV$106=1,HU8+AEJ8,1)</f>
        <v/>
      </c>
      <c r="AJY8">
        <f>IF('calcA'!DW$106=1,HV8+AEK8,1)</f>
        <v/>
      </c>
      <c r="AJZ8">
        <f>IF('calcA'!DX$106=1,HW8+AEL8,1)</f>
        <v/>
      </c>
      <c r="AKA8">
        <f>IF('calcA'!DY$106=1,HX8+AEM8,1)</f>
        <v/>
      </c>
      <c r="AKB8">
        <f>IF('calcA'!DZ$106=1,HY8+AEN8,1)</f>
        <v/>
      </c>
      <c r="AKC8">
        <f>IF('calcA'!EA$106=1,HZ8+AEO8,1)</f>
        <v/>
      </c>
      <c r="AKD8">
        <f>IF('calcA'!EB$106=1,IA8+AEP8,1)</f>
        <v/>
      </c>
      <c r="AKE8">
        <f>IF('calcA'!EC$106=1,IB8+AEQ8,1)</f>
        <v/>
      </c>
      <c r="AKF8">
        <f>IF('calcA'!ED$106=1,IC8+AER8,1)</f>
        <v/>
      </c>
      <c r="AKG8">
        <f>IF('calcA'!EE$106=1,ID8+AES8,1)</f>
        <v/>
      </c>
      <c r="AKH8">
        <f>IF('calcA'!EF$106=1,IE8+AET8,1)</f>
        <v/>
      </c>
      <c r="AKI8">
        <f>IF('calcA'!EG$106=1,IF8+AEU8,1)</f>
        <v/>
      </c>
      <c r="AKJ8">
        <f>IF('calcA'!EH$106=1,IG8+AEV8,1)</f>
        <v/>
      </c>
      <c r="AKK8">
        <f>IF('calcA'!EI$106=1,IH8+AEW8,1)</f>
        <v/>
      </c>
      <c r="AKL8">
        <f>IF('calcA'!EJ$106=1,II8+AEX8,1)</f>
        <v/>
      </c>
      <c r="AKM8">
        <f>IF('calcA'!EK$106=1,IJ8+AEY8,1)</f>
        <v/>
      </c>
      <c r="AKN8">
        <f>IF('calcA'!EL$106=1,IK8+AEZ8,1)</f>
        <v/>
      </c>
      <c r="AKO8">
        <f>IF('calcA'!EM$106=1,IL8+AFA8,1)</f>
        <v/>
      </c>
      <c r="AKP8">
        <f>IF('calcA'!EN$106=1,IM8+AFB8,1)</f>
        <v/>
      </c>
      <c r="AKQ8">
        <f>IF('calcA'!EO$106=1,IN8+AFC8,1)</f>
        <v/>
      </c>
      <c r="AKR8">
        <f>IF('calcA'!EP$106=1,IO8+AFD8,1)</f>
        <v/>
      </c>
      <c r="AKS8" t="n">
        <v>1</v>
      </c>
    </row>
    <row r="9">
      <c r="A9" t="n">
        <v>7</v>
      </c>
      <c r="B9">
        <f>IF(MIN(BM9:CZ9)&gt;=1000000000,0,MATCH(MIN(BM9:CZ9),BM9:CZ9,0))</f>
        <v/>
      </c>
      <c r="C9">
        <f>IF(MIN(OF9:TS9)&gt;=1000000000,0,MATCH(MIN(OF9:TS9),OF9:TS9,0))</f>
        <v/>
      </c>
      <c r="D9">
        <f>IF(C9&gt;0,INDEX('calcA'!$D$5:$EQ$5,C9),0)</f>
        <v/>
      </c>
      <c r="E9">
        <f>IF(B9=0,0,INDEX('calcA'!$IQ$10:$IQ$54,B9))</f>
        <v/>
      </c>
      <c r="F9">
        <f>IF(B9=0,0,INDEX('calcA'!$IP$10:$IP$54,B9))</f>
        <v/>
      </c>
      <c r="G9">
        <f>IF(AND(C9&gt;0,E9&gt;0),IF(AND(INDEX('calcA'!$D$106:$EQ$106,C9)=1,INDEX($IQ9:$OD9,C9)=1),C9+1,0),0)</f>
        <v/>
      </c>
      <c r="H9">
        <f>IF(B9=0,0,INDEX('calcA'!$IW$10:$IW$54,B9))</f>
        <v/>
      </c>
      <c r="U9">
        <f>IF(B9=0,0,INDEX('calcA'!$IX$10:$IX$54,B9))</f>
        <v/>
      </c>
      <c r="V9">
        <f>IF(B9=0,0,INDEX('calcA'!$JF$10:$JF$54,B9))</f>
        <v/>
      </c>
      <c r="W9">
        <f>IF(B9=0,0,IF(IF(E9=2,SUMPRODUCT(INDEX('calcA'!$D$60:$EQ$99,B9,0),$DB9:$IO9,$IQ9:$OD9),SUMPRODUCT(INDEX('calcA'!$D$60:$EQ$99,B9,0),$DB9:$IO9))=0,1,0))</f>
        <v/>
      </c>
      <c r="X9">
        <f>MAX(X8,IF($B8=1,1,0))</f>
        <v/>
      </c>
      <c r="Y9">
        <f>MAX(Y8,IF($B8=2,1,0))</f>
        <v/>
      </c>
      <c r="Z9">
        <f>MAX(Z8,IF($B8=3,1,0))</f>
        <v/>
      </c>
      <c r="AA9">
        <f>MAX(AA8,IF($B8=4,1,0))</f>
        <v/>
      </c>
      <c r="AB9">
        <f>MAX(AB8,IF($B8=5,1,0))</f>
        <v/>
      </c>
      <c r="AC9">
        <f>MAX(AC8,IF($B8=6,1,0))</f>
        <v/>
      </c>
      <c r="AD9">
        <f>MAX(AD8,IF($B8=7,1,0))</f>
        <v/>
      </c>
      <c r="AE9">
        <f>MAX(AE8,IF($B8=8,1,0))</f>
        <v/>
      </c>
      <c r="AF9">
        <f>MAX(AF8,IF($B8=9,1,0))</f>
        <v/>
      </c>
      <c r="AG9">
        <f>MAX(AG8,IF($B8=10,1,0))</f>
        <v/>
      </c>
      <c r="AH9">
        <f>MAX(AH8,IF($B8=11,1,0))</f>
        <v/>
      </c>
      <c r="AI9">
        <f>MAX(AI8,IF($B8=12,1,0))</f>
        <v/>
      </c>
      <c r="AJ9">
        <f>MAX(AJ8,IF($B8=13,1,0))</f>
        <v/>
      </c>
      <c r="AK9">
        <f>MAX(AK8,IF($B8=14,1,0))</f>
        <v/>
      </c>
      <c r="AL9">
        <f>MAX(AL8,IF($B8=15,1,0))</f>
        <v/>
      </c>
      <c r="AM9">
        <f>MAX(AM8,IF($B8=16,1,0))</f>
        <v/>
      </c>
      <c r="AN9">
        <f>MAX(AN8,IF($B8=17,1,0))</f>
        <v/>
      </c>
      <c r="AO9">
        <f>MAX(AO8,IF($B8=18,1,0))</f>
        <v/>
      </c>
      <c r="AP9">
        <f>MAX(AP8,IF($B8=19,1,0))</f>
        <v/>
      </c>
      <c r="AQ9">
        <f>MAX(AQ8,IF($B8=20,1,0))</f>
        <v/>
      </c>
      <c r="AR9">
        <f>MAX(AR8,IF($B8=21,1,0))</f>
        <v/>
      </c>
      <c r="AS9">
        <f>MAX(AS8,IF($B8=22,1,0))</f>
        <v/>
      </c>
      <c r="AT9">
        <f>MAX(AT8,IF($B8=23,1,0))</f>
        <v/>
      </c>
      <c r="AU9">
        <f>MAX(AU8,IF($B8=24,1,0))</f>
        <v/>
      </c>
      <c r="AV9">
        <f>MAX(AV8,IF($B8=25,1,0))</f>
        <v/>
      </c>
      <c r="AW9">
        <f>MAX(AW8,IF($B8=26,1,0))</f>
        <v/>
      </c>
      <c r="AX9">
        <f>MAX(AX8,IF($B8=27,1,0))</f>
        <v/>
      </c>
      <c r="AY9">
        <f>MAX(AY8,IF($B8=28,1,0))</f>
        <v/>
      </c>
      <c r="AZ9">
        <f>MAX(AZ8,IF($B8=29,1,0))</f>
        <v/>
      </c>
      <c r="BA9">
        <f>MAX(BA8,IF($B8=30,1,0))</f>
        <v/>
      </c>
      <c r="BB9">
        <f>MAX(BB8,IF($B8=31,1,0))</f>
        <v/>
      </c>
      <c r="BC9">
        <f>MAX(BC8,IF($B8=32,1,0))</f>
        <v/>
      </c>
      <c r="BD9">
        <f>MAX(BD8,IF($B8=33,1,0))</f>
        <v/>
      </c>
      <c r="BE9">
        <f>MAX(BE8,IF($B8=34,1,0))</f>
        <v/>
      </c>
      <c r="BF9">
        <f>MAX(BF8,IF($B8=35,1,0))</f>
        <v/>
      </c>
      <c r="BG9">
        <f>MAX(BG8,IF($B8=36,1,0))</f>
        <v/>
      </c>
      <c r="BH9">
        <f>MAX(BH8,IF($B8=37,1,0))</f>
        <v/>
      </c>
      <c r="BI9">
        <f>MAX(BI8,IF($B8=38,1,0))</f>
        <v/>
      </c>
      <c r="BJ9">
        <f>MAX(BJ8,IF($B8=39,1,0))</f>
        <v/>
      </c>
      <c r="BK9">
        <f>MAX(BK8,IF($B8=40,1,0))</f>
        <v/>
      </c>
      <c r="BM9">
        <f>IF(OR(X9=1,calcA!$A$6=0),1000000000,IF('calcA'!$JF$10=1,0,100000000)+IF('calcA'!$IQ$10=2,SUMPRODUCT('calcA'!$D$60:$EQ$60,$DB9:$IO9,$IQ9:$OD9)*1000+SUMPRODUCT('calcA'!$D$60:$EQ$60,$DB9:$IO9+$ZQ9:$AFD9,$AFF9:$AKS9),SUMPRODUCT('calcA'!$D$60:$EQ$60,$DB9:$IO9*1001+$ZQ9:$AFD9))*100+1)</f>
        <v/>
      </c>
      <c r="BN9">
        <f>IF(OR(Y9=1,calcA!$A$6=0),1000000000,IF('calcA'!$JF$11=1,0,100000000)+IF('calcA'!$IQ$11=2,SUMPRODUCT('calcA'!$D$61:$EQ$61,$DB9:$IO9,$IQ9:$OD9)*1000+SUMPRODUCT('calcA'!$D$61:$EQ$61,$DB9:$IO9+$ZQ9:$AFD9,$AFF9:$AKS9),SUMPRODUCT('calcA'!$D$61:$EQ$61,$DB9:$IO9*1001+$ZQ9:$AFD9))*100+2)</f>
        <v/>
      </c>
      <c r="BO9">
        <f>IF(OR(Z9=1,calcA!$A$6=0),1000000000,IF('calcA'!$JF$12=1,0,100000000)+IF('calcA'!$IQ$12=2,SUMPRODUCT('calcA'!$D$62:$EQ$62,$DB9:$IO9,$IQ9:$OD9)*1000+SUMPRODUCT('calcA'!$D$62:$EQ$62,$DB9:$IO9+$ZQ9:$AFD9,$AFF9:$AKS9),SUMPRODUCT('calcA'!$D$62:$EQ$62,$DB9:$IO9*1001+$ZQ9:$AFD9))*100+3)</f>
        <v/>
      </c>
      <c r="BP9">
        <f>IF(OR(AA9=1,calcA!$A$6=0),1000000000,IF('calcA'!$JF$13=1,0,100000000)+IF('calcA'!$IQ$13=2,SUMPRODUCT('calcA'!$D$63:$EQ$63,$DB9:$IO9,$IQ9:$OD9)*1000+SUMPRODUCT('calcA'!$D$63:$EQ$63,$DB9:$IO9+$ZQ9:$AFD9,$AFF9:$AKS9),SUMPRODUCT('calcA'!$D$63:$EQ$63,$DB9:$IO9*1001+$ZQ9:$AFD9))*100+4)</f>
        <v/>
      </c>
      <c r="BQ9">
        <f>IF(OR(AB9=1,calcA!$A$6=0),1000000000,IF('calcA'!$JF$14=1,0,100000000)+IF('calcA'!$IQ$14=2,SUMPRODUCT('calcA'!$D$64:$EQ$64,$DB9:$IO9,$IQ9:$OD9)*1000+SUMPRODUCT('calcA'!$D$64:$EQ$64,$DB9:$IO9+$ZQ9:$AFD9,$AFF9:$AKS9),SUMPRODUCT('calcA'!$D$64:$EQ$64,$DB9:$IO9*1001+$ZQ9:$AFD9))*100+5)</f>
        <v/>
      </c>
      <c r="BR9">
        <f>IF(OR(AC9=1,calcA!$A$6=0),1000000000,IF('calcA'!$JF$15=1,0,100000000)+IF('calcA'!$IQ$15=2,SUMPRODUCT('calcA'!$D$65:$EQ$65,$DB9:$IO9,$IQ9:$OD9)*1000+SUMPRODUCT('calcA'!$D$65:$EQ$65,$DB9:$IO9+$ZQ9:$AFD9,$AFF9:$AKS9),SUMPRODUCT('calcA'!$D$65:$EQ$65,$DB9:$IO9*1001+$ZQ9:$AFD9))*100+6)</f>
        <v/>
      </c>
      <c r="BS9">
        <f>IF(OR(AD9=1,calcA!$A$6=0),1000000000,IF('calcA'!$JF$16=1,0,100000000)+IF('calcA'!$IQ$16=2,SUMPRODUCT('calcA'!$D$66:$EQ$66,$DB9:$IO9,$IQ9:$OD9)*1000+SUMPRODUCT('calcA'!$D$66:$EQ$66,$DB9:$IO9+$ZQ9:$AFD9,$AFF9:$AKS9),SUMPRODUCT('calcA'!$D$66:$EQ$66,$DB9:$IO9*1001+$ZQ9:$AFD9))*100+7)</f>
        <v/>
      </c>
      <c r="BT9">
        <f>IF(OR(AE9=1,calcA!$A$6=0),1000000000,IF('calcA'!$JF$17=1,0,100000000)+IF('calcA'!$IQ$17=2,SUMPRODUCT('calcA'!$D$67:$EQ$67,$DB9:$IO9,$IQ9:$OD9)*1000+SUMPRODUCT('calcA'!$D$67:$EQ$67,$DB9:$IO9+$ZQ9:$AFD9,$AFF9:$AKS9),SUMPRODUCT('calcA'!$D$67:$EQ$67,$DB9:$IO9*1001+$ZQ9:$AFD9))*100+8)</f>
        <v/>
      </c>
      <c r="BU9">
        <f>IF(OR(AF9=1,calcA!$A$6=0),1000000000,IF('calcA'!$JF$18=1,0,100000000)+IF('calcA'!$IQ$18=2,SUMPRODUCT('calcA'!$D$68:$EQ$68,$DB9:$IO9,$IQ9:$OD9)*1000+SUMPRODUCT('calcA'!$D$68:$EQ$68,$DB9:$IO9+$ZQ9:$AFD9,$AFF9:$AKS9),SUMPRODUCT('calcA'!$D$68:$EQ$68,$DB9:$IO9*1001+$ZQ9:$AFD9))*100+9)</f>
        <v/>
      </c>
      <c r="BV9">
        <f>IF(OR(AG9=1,calcA!$A$6=0),1000000000,IF('calcA'!$JF$19=1,0,100000000)+IF('calcA'!$IQ$19=2,SUMPRODUCT('calcA'!$D$69:$EQ$69,$DB9:$IO9,$IQ9:$OD9)*1000+SUMPRODUCT('calcA'!$D$69:$EQ$69,$DB9:$IO9+$ZQ9:$AFD9,$AFF9:$AKS9),SUMPRODUCT('calcA'!$D$69:$EQ$69,$DB9:$IO9*1001+$ZQ9:$AFD9))*100+10)</f>
        <v/>
      </c>
      <c r="BW9">
        <f>IF(OR(AH9=1,calcA!$A$6=0),1000000000,IF('calcA'!$JF$20=1,0,100000000)+IF('calcA'!$IQ$20=2,SUMPRODUCT('calcA'!$D$70:$EQ$70,$DB9:$IO9,$IQ9:$OD9)*1000+SUMPRODUCT('calcA'!$D$70:$EQ$70,$DB9:$IO9+$ZQ9:$AFD9,$AFF9:$AKS9),SUMPRODUCT('calcA'!$D$70:$EQ$70,$DB9:$IO9*1001+$ZQ9:$AFD9))*100+11)</f>
        <v/>
      </c>
      <c r="BX9">
        <f>IF(OR(AI9=1,calcA!$A$6=0),1000000000,IF('calcA'!$JF$21=1,0,100000000)+IF('calcA'!$IQ$21=2,SUMPRODUCT('calcA'!$D$71:$EQ$71,$DB9:$IO9,$IQ9:$OD9)*1000+SUMPRODUCT('calcA'!$D$71:$EQ$71,$DB9:$IO9+$ZQ9:$AFD9,$AFF9:$AKS9),SUMPRODUCT('calcA'!$D$71:$EQ$71,$DB9:$IO9*1001+$ZQ9:$AFD9))*100+12)</f>
        <v/>
      </c>
      <c r="BY9">
        <f>IF(OR(AJ9=1,calcA!$A$6=0),1000000000,IF('calcA'!$JF$22=1,0,100000000)+IF('calcA'!$IQ$22=2,SUMPRODUCT('calcA'!$D$72:$EQ$72,$DB9:$IO9,$IQ9:$OD9)*1000+SUMPRODUCT('calcA'!$D$72:$EQ$72,$DB9:$IO9+$ZQ9:$AFD9,$AFF9:$AKS9),SUMPRODUCT('calcA'!$D$72:$EQ$72,$DB9:$IO9*1001+$ZQ9:$AFD9))*100+13)</f>
        <v/>
      </c>
      <c r="BZ9">
        <f>IF(OR(AK9=1,calcA!$A$6=0),1000000000,IF('calcA'!$JF$23=1,0,100000000)+IF('calcA'!$IQ$23=2,SUMPRODUCT('calcA'!$D$73:$EQ$73,$DB9:$IO9,$IQ9:$OD9)*1000+SUMPRODUCT('calcA'!$D$73:$EQ$73,$DB9:$IO9+$ZQ9:$AFD9,$AFF9:$AKS9),SUMPRODUCT('calcA'!$D$73:$EQ$73,$DB9:$IO9*1001+$ZQ9:$AFD9))*100+14)</f>
        <v/>
      </c>
      <c r="CA9">
        <f>IF(OR(AL9=1,calcA!$A$6=0),1000000000,IF('calcA'!$JF$24=1,0,100000000)+IF('calcA'!$IQ$24=2,SUMPRODUCT('calcA'!$D$74:$EQ$74,$DB9:$IO9,$IQ9:$OD9)*1000+SUMPRODUCT('calcA'!$D$74:$EQ$74,$DB9:$IO9+$ZQ9:$AFD9,$AFF9:$AKS9),SUMPRODUCT('calcA'!$D$74:$EQ$74,$DB9:$IO9*1001+$ZQ9:$AFD9))*100+15)</f>
        <v/>
      </c>
      <c r="CB9">
        <f>IF(OR(AM9=1,calcA!$A$6=0),1000000000,IF('calcA'!$JF$25=1,0,100000000)+IF('calcA'!$IQ$25=2,SUMPRODUCT('calcA'!$D$75:$EQ$75,$DB9:$IO9,$IQ9:$OD9)*1000+SUMPRODUCT('calcA'!$D$75:$EQ$75,$DB9:$IO9+$ZQ9:$AFD9,$AFF9:$AKS9),SUMPRODUCT('calcA'!$D$75:$EQ$75,$DB9:$IO9*1001+$ZQ9:$AFD9))*100+16)</f>
        <v/>
      </c>
      <c r="CC9">
        <f>IF(OR(AN9=1,calcA!$A$6=0),1000000000,IF('calcA'!$JF$26=1,0,100000000)+IF('calcA'!$IQ$26=2,SUMPRODUCT('calcA'!$D$76:$EQ$76,$DB9:$IO9,$IQ9:$OD9)*1000+SUMPRODUCT('calcA'!$D$76:$EQ$76,$DB9:$IO9+$ZQ9:$AFD9,$AFF9:$AKS9),SUMPRODUCT('calcA'!$D$76:$EQ$76,$DB9:$IO9*1001+$ZQ9:$AFD9))*100+17)</f>
        <v/>
      </c>
      <c r="CD9">
        <f>IF(OR(AO9=1,calcA!$A$6=0),1000000000,IF('calcA'!$JF$27=1,0,100000000)+IF('calcA'!$IQ$27=2,SUMPRODUCT('calcA'!$D$77:$EQ$77,$DB9:$IO9,$IQ9:$OD9)*1000+SUMPRODUCT('calcA'!$D$77:$EQ$77,$DB9:$IO9+$ZQ9:$AFD9,$AFF9:$AKS9),SUMPRODUCT('calcA'!$D$77:$EQ$77,$DB9:$IO9*1001+$ZQ9:$AFD9))*100+18)</f>
        <v/>
      </c>
      <c r="CE9">
        <f>IF(OR(AP9=1,calcA!$A$6=0),1000000000,IF('calcA'!$JF$28=1,0,100000000)+IF('calcA'!$IQ$28=2,SUMPRODUCT('calcA'!$D$78:$EQ$78,$DB9:$IO9,$IQ9:$OD9)*1000+SUMPRODUCT('calcA'!$D$78:$EQ$78,$DB9:$IO9+$ZQ9:$AFD9,$AFF9:$AKS9),SUMPRODUCT('calcA'!$D$78:$EQ$78,$DB9:$IO9*1001+$ZQ9:$AFD9))*100+19)</f>
        <v/>
      </c>
      <c r="CF9">
        <f>IF(OR(AQ9=1,calcA!$A$6=0),1000000000,IF('calcA'!$JF$29=1,0,100000000)+IF('calcA'!$IQ$29=2,SUMPRODUCT('calcA'!$D$79:$EQ$79,$DB9:$IO9,$IQ9:$OD9)*1000+SUMPRODUCT('calcA'!$D$79:$EQ$79,$DB9:$IO9+$ZQ9:$AFD9,$AFF9:$AKS9),SUMPRODUCT('calcA'!$D$79:$EQ$79,$DB9:$IO9*1001+$ZQ9:$AFD9))*100+20)</f>
        <v/>
      </c>
      <c r="CG9">
        <f>IF(OR(AR9=1,calcA!$A$6=0),1000000000,IF('calcA'!$JF$30=1,0,100000000)+IF('calcA'!$IQ$30=2,SUMPRODUCT('calcA'!$D$80:$EQ$80,$DB9:$IO9,$IQ9:$OD9)*1000+SUMPRODUCT('calcA'!$D$80:$EQ$80,$DB9:$IO9+$ZQ9:$AFD9,$AFF9:$AKS9),SUMPRODUCT('calcA'!$D$80:$EQ$80,$DB9:$IO9*1001+$ZQ9:$AFD9))*100+21)</f>
        <v/>
      </c>
      <c r="CH9">
        <f>IF(OR(AS9=1,calcA!$A$6=0),1000000000,IF('calcA'!$JF$31=1,0,100000000)+IF('calcA'!$IQ$31=2,SUMPRODUCT('calcA'!$D$81:$EQ$81,$DB9:$IO9,$IQ9:$OD9)*1000+SUMPRODUCT('calcA'!$D$81:$EQ$81,$DB9:$IO9+$ZQ9:$AFD9,$AFF9:$AKS9),SUMPRODUCT('calcA'!$D$81:$EQ$81,$DB9:$IO9*1001+$ZQ9:$AFD9))*100+22)</f>
        <v/>
      </c>
      <c r="CI9">
        <f>IF(OR(AT9=1,calcA!$A$6=0),1000000000,IF('calcA'!$JF$32=1,0,100000000)+IF('calcA'!$IQ$32=2,SUMPRODUCT('calcA'!$D$82:$EQ$82,$DB9:$IO9,$IQ9:$OD9)*1000+SUMPRODUCT('calcA'!$D$82:$EQ$82,$DB9:$IO9+$ZQ9:$AFD9,$AFF9:$AKS9),SUMPRODUCT('calcA'!$D$82:$EQ$82,$DB9:$IO9*1001+$ZQ9:$AFD9))*100+23)</f>
        <v/>
      </c>
      <c r="CJ9">
        <f>IF(OR(AU9=1,calcA!$A$6=0),1000000000,IF('calcA'!$JF$33=1,0,100000000)+IF('calcA'!$IQ$33=2,SUMPRODUCT('calcA'!$D$83:$EQ$83,$DB9:$IO9,$IQ9:$OD9)*1000+SUMPRODUCT('calcA'!$D$83:$EQ$83,$DB9:$IO9+$ZQ9:$AFD9,$AFF9:$AKS9),SUMPRODUCT('calcA'!$D$83:$EQ$83,$DB9:$IO9*1001+$ZQ9:$AFD9))*100+24)</f>
        <v/>
      </c>
      <c r="CK9">
        <f>IF(OR(AV9=1,calcA!$A$6=0),1000000000,IF('calcA'!$JF$34=1,0,100000000)+IF('calcA'!$IQ$34=2,SUMPRODUCT('calcA'!$D$84:$EQ$84,$DB9:$IO9,$IQ9:$OD9)*1000+SUMPRODUCT('calcA'!$D$84:$EQ$84,$DB9:$IO9+$ZQ9:$AFD9,$AFF9:$AKS9),SUMPRODUCT('calcA'!$D$84:$EQ$84,$DB9:$IO9*1001+$ZQ9:$AFD9))*100+25)</f>
        <v/>
      </c>
      <c r="CL9">
        <f>IF(OR(AW9=1,calcA!$A$6=0),1000000000,IF('calcA'!$JF$35=1,0,100000000)+IF('calcA'!$IQ$35=2,SUMPRODUCT('calcA'!$D$85:$EQ$85,$DB9:$IO9,$IQ9:$OD9)*1000+SUMPRODUCT('calcA'!$D$85:$EQ$85,$DB9:$IO9+$ZQ9:$AFD9,$AFF9:$AKS9),SUMPRODUCT('calcA'!$D$85:$EQ$85,$DB9:$IO9*1001+$ZQ9:$AFD9))*100+26)</f>
        <v/>
      </c>
      <c r="CM9">
        <f>IF(OR(AX9=1,calcA!$A$6=0),1000000000,IF('calcA'!$JF$36=1,0,100000000)+IF('calcA'!$IQ$36=2,SUMPRODUCT('calcA'!$D$86:$EQ$86,$DB9:$IO9,$IQ9:$OD9)*1000+SUMPRODUCT('calcA'!$D$86:$EQ$86,$DB9:$IO9+$ZQ9:$AFD9,$AFF9:$AKS9),SUMPRODUCT('calcA'!$D$86:$EQ$86,$DB9:$IO9*1001+$ZQ9:$AFD9))*100+27)</f>
        <v/>
      </c>
      <c r="CN9">
        <f>IF(OR(AY9=1,calcA!$A$6=0),1000000000,IF('calcA'!$JF$37=1,0,100000000)+IF('calcA'!$IQ$37=2,SUMPRODUCT('calcA'!$D$87:$EQ$87,$DB9:$IO9,$IQ9:$OD9)*1000+SUMPRODUCT('calcA'!$D$87:$EQ$87,$DB9:$IO9+$ZQ9:$AFD9,$AFF9:$AKS9),SUMPRODUCT('calcA'!$D$87:$EQ$87,$DB9:$IO9*1001+$ZQ9:$AFD9))*100+28)</f>
        <v/>
      </c>
      <c r="CO9">
        <f>IF(OR(AZ9=1,calcA!$A$6=0),1000000000,IF('calcA'!$JF$38=1,0,100000000)+IF('calcA'!$IQ$38=2,SUMPRODUCT('calcA'!$D$88:$EQ$88,$DB9:$IO9,$IQ9:$OD9)*1000+SUMPRODUCT('calcA'!$D$88:$EQ$88,$DB9:$IO9+$ZQ9:$AFD9,$AFF9:$AKS9),SUMPRODUCT('calcA'!$D$88:$EQ$88,$DB9:$IO9*1001+$ZQ9:$AFD9))*100+29)</f>
        <v/>
      </c>
      <c r="CP9">
        <f>IF(OR(BA9=1,calcA!$A$6=0),1000000000,IF('calcA'!$JF$39=1,0,100000000)+IF('calcA'!$IQ$39=2,SUMPRODUCT('calcA'!$D$89:$EQ$89,$DB9:$IO9,$IQ9:$OD9)*1000+SUMPRODUCT('calcA'!$D$89:$EQ$89,$DB9:$IO9+$ZQ9:$AFD9,$AFF9:$AKS9),SUMPRODUCT('calcA'!$D$89:$EQ$89,$DB9:$IO9*1001+$ZQ9:$AFD9))*100+30)</f>
        <v/>
      </c>
      <c r="CQ9">
        <f>IF(OR(BB9=1,calcA!$A$6=0),1000000000,IF('calcA'!$JF$40=1,0,100000000)+IF('calcA'!$IQ$40=2,SUMPRODUCT('calcA'!$D$90:$EQ$90,$DB9:$IO9,$IQ9:$OD9)*1000+SUMPRODUCT('calcA'!$D$90:$EQ$90,$DB9:$IO9+$ZQ9:$AFD9,$AFF9:$AKS9),SUMPRODUCT('calcA'!$D$90:$EQ$90,$DB9:$IO9*1001+$ZQ9:$AFD9))*100+31)</f>
        <v/>
      </c>
      <c r="CR9">
        <f>IF(OR(BC9=1,calcA!$A$6=0),1000000000,IF('calcA'!$JF$41=1,0,100000000)+IF('calcA'!$IQ$41=2,SUMPRODUCT('calcA'!$D$91:$EQ$91,$DB9:$IO9,$IQ9:$OD9)*1000+SUMPRODUCT('calcA'!$D$91:$EQ$91,$DB9:$IO9+$ZQ9:$AFD9,$AFF9:$AKS9),SUMPRODUCT('calcA'!$D$91:$EQ$91,$DB9:$IO9*1001+$ZQ9:$AFD9))*100+32)</f>
        <v/>
      </c>
      <c r="CS9">
        <f>IF(OR(BD9=1,calcA!$A$6=0),1000000000,IF('calcA'!$JF$42=1,0,100000000)+IF('calcA'!$IQ$42=2,SUMPRODUCT('calcA'!$D$92:$EQ$92,$DB9:$IO9,$IQ9:$OD9)*1000+SUMPRODUCT('calcA'!$D$92:$EQ$92,$DB9:$IO9+$ZQ9:$AFD9,$AFF9:$AKS9),SUMPRODUCT('calcA'!$D$92:$EQ$92,$DB9:$IO9*1001+$ZQ9:$AFD9))*100+33)</f>
        <v/>
      </c>
      <c r="CT9">
        <f>IF(OR(BE9=1,calcA!$A$6=0),1000000000,IF('calcA'!$JF$43=1,0,100000000)+IF('calcA'!$IQ$43=2,SUMPRODUCT('calcA'!$D$93:$EQ$93,$DB9:$IO9,$IQ9:$OD9)*1000+SUMPRODUCT('calcA'!$D$93:$EQ$93,$DB9:$IO9+$ZQ9:$AFD9,$AFF9:$AKS9),SUMPRODUCT('calcA'!$D$93:$EQ$93,$DB9:$IO9*1001+$ZQ9:$AFD9))*100+34)</f>
        <v/>
      </c>
      <c r="CU9">
        <f>IF(OR(BF9=1,calcA!$A$6=0),1000000000,IF('calcA'!$JF$44=1,0,100000000)+IF('calcA'!$IQ$44=2,SUMPRODUCT('calcA'!$D$94:$EQ$94,$DB9:$IO9,$IQ9:$OD9)*1000+SUMPRODUCT('calcA'!$D$94:$EQ$94,$DB9:$IO9+$ZQ9:$AFD9,$AFF9:$AKS9),SUMPRODUCT('calcA'!$D$94:$EQ$94,$DB9:$IO9*1001+$ZQ9:$AFD9))*100+35)</f>
        <v/>
      </c>
      <c r="CV9">
        <f>IF(OR(BG9=1,calcA!$A$6=0),1000000000,IF('calcA'!$JF$45=1,0,100000000)+IF('calcA'!$IQ$45=2,SUMPRODUCT('calcA'!$D$95:$EQ$95,$DB9:$IO9,$IQ9:$OD9)*1000+SUMPRODUCT('calcA'!$D$95:$EQ$95,$DB9:$IO9+$ZQ9:$AFD9,$AFF9:$AKS9),SUMPRODUCT('calcA'!$D$95:$EQ$95,$DB9:$IO9*1001+$ZQ9:$AFD9))*100+36)</f>
        <v/>
      </c>
      <c r="CW9">
        <f>IF(OR(BH9=1,calcA!$A$6=0),1000000000,IF('calcA'!$JF$46=1,0,100000000)+IF('calcA'!$IQ$46=2,SUMPRODUCT('calcA'!$D$96:$EQ$96,$DB9:$IO9,$IQ9:$OD9)*1000+SUMPRODUCT('calcA'!$D$96:$EQ$96,$DB9:$IO9+$ZQ9:$AFD9,$AFF9:$AKS9),SUMPRODUCT('calcA'!$D$96:$EQ$96,$DB9:$IO9*1001+$ZQ9:$AFD9))*100+37)</f>
        <v/>
      </c>
      <c r="CX9">
        <f>IF(OR(BI9=1,calcA!$A$6=0),1000000000,IF('calcA'!$JF$47=1,0,100000000)+IF('calcA'!$IQ$47=2,SUMPRODUCT('calcA'!$D$97:$EQ$97,$DB9:$IO9,$IQ9:$OD9)*1000+SUMPRODUCT('calcA'!$D$97:$EQ$97,$DB9:$IO9+$ZQ9:$AFD9,$AFF9:$AKS9),SUMPRODUCT('calcA'!$D$97:$EQ$97,$DB9:$IO9*1001+$ZQ9:$AFD9))*100+38)</f>
        <v/>
      </c>
      <c r="CY9">
        <f>IF(OR(BJ9=1,calcA!$A$6=0),1000000000,IF('calcA'!$JF$48=1,0,100000000)+IF('calcA'!$IQ$48=2,SUMPRODUCT('calcA'!$D$98:$EQ$98,$DB9:$IO9,$IQ9:$OD9)*1000+SUMPRODUCT('calcA'!$D$98:$EQ$98,$DB9:$IO9+$ZQ9:$AFD9,$AFF9:$AKS9),SUMPRODUCT('calcA'!$D$98:$EQ$98,$DB9:$IO9*1001+$ZQ9:$AFD9))*100+39)</f>
        <v/>
      </c>
      <c r="CZ9">
        <f>IF(OR(BK9=1,calcA!$A$6=0),1000000000,IF('calcA'!$JF$49=1,0,100000000)+IF('calcA'!$IQ$49=2,SUMPRODUCT('calcA'!$D$99:$EQ$99,$DB9:$IO9,$IQ9:$OD9)*1000+SUMPRODUCT('calcA'!$D$99:$EQ$99,$DB9:$IO9+$ZQ9:$AFD9,$AFF9:$AKS9),SUMPRODUCT('calcA'!$D$99:$EQ$99,$DB9:$IO9*1001+$ZQ9:$AFD9))*100+40)</f>
        <v/>
      </c>
      <c r="DB9">
        <f>DB8*IF(OR($C8=1,$G8=1),0,1)</f>
        <v/>
      </c>
      <c r="DC9">
        <f>DC8*IF(OR($C8=2,$G8=2),0,1)</f>
        <v/>
      </c>
      <c r="DD9">
        <f>DD8*IF(OR($C8=3,$G8=3),0,1)</f>
        <v/>
      </c>
      <c r="DE9">
        <f>DE8*IF(OR($C8=4,$G8=4),0,1)</f>
        <v/>
      </c>
      <c r="DF9">
        <f>DF8*IF(OR($C8=5,$G8=5),0,1)</f>
        <v/>
      </c>
      <c r="DG9">
        <f>DG8*IF(OR($C8=6,$G8=6),0,1)</f>
        <v/>
      </c>
      <c r="DH9">
        <f>DH8*IF(OR($C8=7,$G8=7),0,1)</f>
        <v/>
      </c>
      <c r="DI9">
        <f>DI8*IF(OR($C8=8,$G8=8),0,1)</f>
        <v/>
      </c>
      <c r="DJ9">
        <f>DJ8*IF(OR($C8=9,$G8=9),0,1)</f>
        <v/>
      </c>
      <c r="DK9">
        <f>DK8*IF(OR($C8=10,$G8=10),0,1)</f>
        <v/>
      </c>
      <c r="DL9">
        <f>DL8*IF(OR($C8=11,$G8=11),0,1)</f>
        <v/>
      </c>
      <c r="DM9">
        <f>DM8*IF(OR($C8=12,$G8=12),0,1)</f>
        <v/>
      </c>
      <c r="DN9">
        <f>DN8*IF(OR($C8=13,$G8=13),0,1)</f>
        <v/>
      </c>
      <c r="DO9">
        <f>DO8*IF(OR($C8=14,$G8=14),0,1)</f>
        <v/>
      </c>
      <c r="DP9">
        <f>DP8*IF(OR($C8=15,$G8=15),0,1)</f>
        <v/>
      </c>
      <c r="DQ9">
        <f>DQ8*IF(OR($C8=16,$G8=16),0,1)</f>
        <v/>
      </c>
      <c r="DR9">
        <f>DR8*IF(OR($C8=17,$G8=17),0,1)</f>
        <v/>
      </c>
      <c r="DS9">
        <f>DS8*IF(OR($C8=18,$G8=18),0,1)</f>
        <v/>
      </c>
      <c r="DT9">
        <f>DT8*IF(OR($C8=19,$G8=19),0,1)</f>
        <v/>
      </c>
      <c r="DU9">
        <f>DU8*IF(OR($C8=20,$G8=20),0,1)</f>
        <v/>
      </c>
      <c r="DV9">
        <f>DV8*IF(OR($C8=21,$G8=21),0,1)</f>
        <v/>
      </c>
      <c r="DW9">
        <f>DW8*IF(OR($C8=22,$G8=22),0,1)</f>
        <v/>
      </c>
      <c r="DX9">
        <f>DX8*IF(OR($C8=23,$G8=23),0,1)</f>
        <v/>
      </c>
      <c r="DY9">
        <f>DY8*IF(OR($C8=24,$G8=24),0,1)</f>
        <v/>
      </c>
      <c r="DZ9">
        <f>DZ8*IF(OR($C8=25,$G8=25),0,1)</f>
        <v/>
      </c>
      <c r="EA9">
        <f>EA8*IF(OR($C8=26,$G8=26),0,1)</f>
        <v/>
      </c>
      <c r="EB9">
        <f>EB8*IF(OR($C8=27,$G8=27),0,1)</f>
        <v/>
      </c>
      <c r="EC9">
        <f>EC8*IF(OR($C8=28,$G8=28),0,1)</f>
        <v/>
      </c>
      <c r="ED9">
        <f>ED8*IF(OR($C8=29,$G8=29),0,1)</f>
        <v/>
      </c>
      <c r="EE9">
        <f>EE8*IF(OR($C8=30,$G8=30),0,1)</f>
        <v/>
      </c>
      <c r="EF9">
        <f>EF8*IF(OR($C8=31,$G8=31),0,1)</f>
        <v/>
      </c>
      <c r="EG9">
        <f>EG8*IF(OR($C8=32,$G8=32),0,1)</f>
        <v/>
      </c>
      <c r="EH9">
        <f>EH8*IF(OR($C8=33,$G8=33),0,1)</f>
        <v/>
      </c>
      <c r="EI9">
        <f>EI8*IF(OR($C8=34,$G8=34),0,1)</f>
        <v/>
      </c>
      <c r="EJ9">
        <f>EJ8*IF(OR($C8=35,$G8=35),0,1)</f>
        <v/>
      </c>
      <c r="EK9">
        <f>EK8*IF(OR($C8=36,$G8=36),0,1)</f>
        <v/>
      </c>
      <c r="EL9">
        <f>EL8*IF(OR($C8=37,$G8=37),0,1)</f>
        <v/>
      </c>
      <c r="EM9">
        <f>EM8*IF(OR($C8=38,$G8=38),0,1)</f>
        <v/>
      </c>
      <c r="EN9">
        <f>EN8*IF(OR($C8=39,$G8=39),0,1)</f>
        <v/>
      </c>
      <c r="EO9">
        <f>EO8*IF(OR($C8=40,$G8=40),0,1)</f>
        <v/>
      </c>
      <c r="EP9">
        <f>EP8*IF(OR($C8=41,$G8=41),0,1)</f>
        <v/>
      </c>
      <c r="EQ9">
        <f>EQ8*IF(OR($C8=42,$G8=42),0,1)</f>
        <v/>
      </c>
      <c r="ER9">
        <f>ER8*IF(OR($C8=43,$G8=43),0,1)</f>
        <v/>
      </c>
      <c r="ES9">
        <f>ES8*IF(OR($C8=44,$G8=44),0,1)</f>
        <v/>
      </c>
      <c r="ET9">
        <f>ET8*IF(OR($C8=45,$G8=45),0,1)</f>
        <v/>
      </c>
      <c r="EU9">
        <f>EU8*IF(OR($C8=46,$G8=46),0,1)</f>
        <v/>
      </c>
      <c r="EV9">
        <f>EV8*IF(OR($C8=47,$G8=47),0,1)</f>
        <v/>
      </c>
      <c r="EW9">
        <f>EW8*IF(OR($C8=48,$G8=48),0,1)</f>
        <v/>
      </c>
      <c r="EX9">
        <f>EX8*IF(OR($C8=49,$G8=49),0,1)</f>
        <v/>
      </c>
      <c r="EY9">
        <f>EY8*IF(OR($C8=50,$G8=50),0,1)</f>
        <v/>
      </c>
      <c r="EZ9">
        <f>EZ8*IF(OR($C8=51,$G8=51),0,1)</f>
        <v/>
      </c>
      <c r="FA9">
        <f>FA8*IF(OR($C8=52,$G8=52),0,1)</f>
        <v/>
      </c>
      <c r="FB9">
        <f>FB8*IF(OR($C8=53,$G8=53),0,1)</f>
        <v/>
      </c>
      <c r="FC9">
        <f>FC8*IF(OR($C8=54,$G8=54),0,1)</f>
        <v/>
      </c>
      <c r="FD9">
        <f>FD8*IF(OR($C8=55,$G8=55),0,1)</f>
        <v/>
      </c>
      <c r="FE9">
        <f>FE8*IF(OR($C8=56,$G8=56),0,1)</f>
        <v/>
      </c>
      <c r="FF9">
        <f>FF8*IF(OR($C8=57,$G8=57),0,1)</f>
        <v/>
      </c>
      <c r="FG9">
        <f>FG8*IF(OR($C8=58,$G8=58),0,1)</f>
        <v/>
      </c>
      <c r="FH9">
        <f>FH8*IF(OR($C8=59,$G8=59),0,1)</f>
        <v/>
      </c>
      <c r="FI9">
        <f>FI8*IF(OR($C8=60,$G8=60),0,1)</f>
        <v/>
      </c>
      <c r="FJ9">
        <f>FJ8*IF(OR($C8=61,$G8=61),0,1)</f>
        <v/>
      </c>
      <c r="FK9">
        <f>FK8*IF(OR($C8=62,$G8=62),0,1)</f>
        <v/>
      </c>
      <c r="FL9">
        <f>FL8*IF(OR($C8=63,$G8=63),0,1)</f>
        <v/>
      </c>
      <c r="FM9">
        <f>FM8*IF(OR($C8=64,$G8=64),0,1)</f>
        <v/>
      </c>
      <c r="FN9">
        <f>FN8*IF(OR($C8=65,$G8=65),0,1)</f>
        <v/>
      </c>
      <c r="FO9">
        <f>FO8*IF(OR($C8=66,$G8=66),0,1)</f>
        <v/>
      </c>
      <c r="FP9">
        <f>FP8*IF(OR($C8=67,$G8=67),0,1)</f>
        <v/>
      </c>
      <c r="FQ9">
        <f>FQ8*IF(OR($C8=68,$G8=68),0,1)</f>
        <v/>
      </c>
      <c r="FR9">
        <f>FR8*IF(OR($C8=69,$G8=69),0,1)</f>
        <v/>
      </c>
      <c r="FS9">
        <f>FS8*IF(OR($C8=70,$G8=70),0,1)</f>
        <v/>
      </c>
      <c r="FT9">
        <f>FT8*IF(OR($C8=71,$G8=71),0,1)</f>
        <v/>
      </c>
      <c r="FU9">
        <f>FU8*IF(OR($C8=72,$G8=72),0,1)</f>
        <v/>
      </c>
      <c r="FV9">
        <f>FV8*IF(OR($C8=73,$G8=73),0,1)</f>
        <v/>
      </c>
      <c r="FW9">
        <f>FW8*IF(OR($C8=74,$G8=74),0,1)</f>
        <v/>
      </c>
      <c r="FX9">
        <f>FX8*IF(OR($C8=75,$G8=75),0,1)</f>
        <v/>
      </c>
      <c r="FY9">
        <f>FY8*IF(OR($C8=76,$G8=76),0,1)</f>
        <v/>
      </c>
      <c r="FZ9">
        <f>FZ8*IF(OR($C8=77,$G8=77),0,1)</f>
        <v/>
      </c>
      <c r="GA9">
        <f>GA8*IF(OR($C8=78,$G8=78),0,1)</f>
        <v/>
      </c>
      <c r="GB9">
        <f>GB8*IF(OR($C8=79,$G8=79),0,1)</f>
        <v/>
      </c>
      <c r="GC9">
        <f>GC8*IF(OR($C8=80,$G8=80),0,1)</f>
        <v/>
      </c>
      <c r="GD9">
        <f>GD8*IF(OR($C8=81,$G8=81),0,1)</f>
        <v/>
      </c>
      <c r="GE9">
        <f>GE8*IF(OR($C8=82,$G8=82),0,1)</f>
        <v/>
      </c>
      <c r="GF9">
        <f>GF8*IF(OR($C8=83,$G8=83),0,1)</f>
        <v/>
      </c>
      <c r="GG9">
        <f>GG8*IF(OR($C8=84,$G8=84),0,1)</f>
        <v/>
      </c>
      <c r="GH9">
        <f>GH8*IF(OR($C8=85,$G8=85),0,1)</f>
        <v/>
      </c>
      <c r="GI9">
        <f>GI8*IF(OR($C8=86,$G8=86),0,1)</f>
        <v/>
      </c>
      <c r="GJ9">
        <f>GJ8*IF(OR($C8=87,$G8=87),0,1)</f>
        <v/>
      </c>
      <c r="GK9">
        <f>GK8*IF(OR($C8=88,$G8=88),0,1)</f>
        <v/>
      </c>
      <c r="GL9">
        <f>GL8*IF(OR($C8=89,$G8=89),0,1)</f>
        <v/>
      </c>
      <c r="GM9">
        <f>GM8*IF(OR($C8=90,$G8=90),0,1)</f>
        <v/>
      </c>
      <c r="GN9">
        <f>GN8*IF(OR($C8=91,$G8=91),0,1)</f>
        <v/>
      </c>
      <c r="GO9">
        <f>GO8*IF(OR($C8=92,$G8=92),0,1)</f>
        <v/>
      </c>
      <c r="GP9">
        <f>GP8*IF(OR($C8=93,$G8=93),0,1)</f>
        <v/>
      </c>
      <c r="GQ9">
        <f>GQ8*IF(OR($C8=94,$G8=94),0,1)</f>
        <v/>
      </c>
      <c r="GR9">
        <f>GR8*IF(OR($C8=95,$G8=95),0,1)</f>
        <v/>
      </c>
      <c r="GS9">
        <f>GS8*IF(OR($C8=96,$G8=96),0,1)</f>
        <v/>
      </c>
      <c r="GT9">
        <f>GT8*IF(OR($C8=97,$G8=97),0,1)</f>
        <v/>
      </c>
      <c r="GU9">
        <f>GU8*IF(OR($C8=98,$G8=98),0,1)</f>
        <v/>
      </c>
      <c r="GV9">
        <f>GV8*IF(OR($C8=99,$G8=99),0,1)</f>
        <v/>
      </c>
      <c r="GW9">
        <f>GW8*IF(OR($C8=100,$G8=100),0,1)</f>
        <v/>
      </c>
      <c r="GX9">
        <f>GX8*IF(OR($C8=101,$G8=101),0,1)</f>
        <v/>
      </c>
      <c r="GY9">
        <f>GY8*IF(OR($C8=102,$G8=102),0,1)</f>
        <v/>
      </c>
      <c r="GZ9">
        <f>GZ8*IF(OR($C8=103,$G8=103),0,1)</f>
        <v/>
      </c>
      <c r="HA9">
        <f>HA8*IF(OR($C8=104,$G8=104),0,1)</f>
        <v/>
      </c>
      <c r="HB9">
        <f>HB8*IF(OR($C8=105,$G8=105),0,1)</f>
        <v/>
      </c>
      <c r="HC9">
        <f>HC8*IF(OR($C8=106,$G8=106),0,1)</f>
        <v/>
      </c>
      <c r="HD9">
        <f>HD8*IF(OR($C8=107,$G8=107),0,1)</f>
        <v/>
      </c>
      <c r="HE9">
        <f>HE8*IF(OR($C8=108,$G8=108),0,1)</f>
        <v/>
      </c>
      <c r="HF9">
        <f>HF8*IF(OR($C8=109,$G8=109),0,1)</f>
        <v/>
      </c>
      <c r="HG9">
        <f>HG8*IF(OR($C8=110,$G8=110),0,1)</f>
        <v/>
      </c>
      <c r="HH9">
        <f>HH8*IF(OR($C8=111,$G8=111),0,1)</f>
        <v/>
      </c>
      <c r="HI9">
        <f>HI8*IF(OR($C8=112,$G8=112),0,1)</f>
        <v/>
      </c>
      <c r="HJ9">
        <f>HJ8*IF(OR($C8=113,$G8=113),0,1)</f>
        <v/>
      </c>
      <c r="HK9">
        <f>HK8*IF(OR($C8=114,$G8=114),0,1)</f>
        <v/>
      </c>
      <c r="HL9">
        <f>HL8*IF(OR($C8=115,$G8=115),0,1)</f>
        <v/>
      </c>
      <c r="HM9">
        <f>HM8*IF(OR($C8=116,$G8=116),0,1)</f>
        <v/>
      </c>
      <c r="HN9">
        <f>HN8*IF(OR($C8=117,$G8=117),0,1)</f>
        <v/>
      </c>
      <c r="HO9">
        <f>HO8*IF(OR($C8=118,$G8=118),0,1)</f>
        <v/>
      </c>
      <c r="HP9">
        <f>HP8*IF(OR($C8=119,$G8=119),0,1)</f>
        <v/>
      </c>
      <c r="HQ9">
        <f>HQ8*IF(OR($C8=120,$G8=120),0,1)</f>
        <v/>
      </c>
      <c r="HR9">
        <f>HR8*IF(OR($C8=121,$G8=121),0,1)</f>
        <v/>
      </c>
      <c r="HS9">
        <f>HS8*IF(OR($C8=122,$G8=122),0,1)</f>
        <v/>
      </c>
      <c r="HT9">
        <f>HT8*IF(OR($C8=123,$G8=123),0,1)</f>
        <v/>
      </c>
      <c r="HU9">
        <f>HU8*IF(OR($C8=124,$G8=124),0,1)</f>
        <v/>
      </c>
      <c r="HV9">
        <f>HV8*IF(OR($C8=125,$G8=125),0,1)</f>
        <v/>
      </c>
      <c r="HW9">
        <f>HW8*IF(OR($C8=126,$G8=126),0,1)</f>
        <v/>
      </c>
      <c r="HX9">
        <f>HX8*IF(OR($C8=127,$G8=127),0,1)</f>
        <v/>
      </c>
      <c r="HY9">
        <f>HY8*IF(OR($C8=128,$G8=128),0,1)</f>
        <v/>
      </c>
      <c r="HZ9">
        <f>HZ8*IF(OR($C8=129,$G8=129),0,1)</f>
        <v/>
      </c>
      <c r="IA9">
        <f>IA8*IF(OR($C8=130,$G8=130),0,1)</f>
        <v/>
      </c>
      <c r="IB9">
        <f>IB8*IF(OR($C8=131,$G8=131),0,1)</f>
        <v/>
      </c>
      <c r="IC9">
        <f>IC8*IF(OR($C8=132,$G8=132),0,1)</f>
        <v/>
      </c>
      <c r="ID9">
        <f>ID8*IF(OR($C8=133,$G8=133),0,1)</f>
        <v/>
      </c>
      <c r="IE9">
        <f>IE8*IF(OR($C8=134,$G8=134),0,1)</f>
        <v/>
      </c>
      <c r="IF9">
        <f>IF8*IF(OR($C8=135,$G8=135),0,1)</f>
        <v/>
      </c>
      <c r="IG9">
        <f>IG8*IF(OR($C8=136,$G8=136),0,1)</f>
        <v/>
      </c>
      <c r="IH9">
        <f>IH8*IF(OR($C8=137,$G8=137),0,1)</f>
        <v/>
      </c>
      <c r="II9">
        <f>II8*IF(OR($C8=138,$G8=138),0,1)</f>
        <v/>
      </c>
      <c r="IJ9">
        <f>IJ8*IF(OR($C8=139,$G8=139),0,1)</f>
        <v/>
      </c>
      <c r="IK9">
        <f>IK8*IF(OR($C8=140,$G8=140),0,1)</f>
        <v/>
      </c>
      <c r="IL9">
        <f>IL8*IF(OR($C8=141,$G8=141),0,1)</f>
        <v/>
      </c>
      <c r="IM9">
        <f>IM8*IF(OR($C8=142,$G8=142),0,1)</f>
        <v/>
      </c>
      <c r="IN9">
        <f>IN8*IF(OR($C8=143,$G8=143),0,1)</f>
        <v/>
      </c>
      <c r="IO9">
        <f>IO8*IF(OR($C8=144,$G8=144),0,1)</f>
        <v/>
      </c>
      <c r="IQ9">
        <f>IF('calcA'!D$106=1,DC9,1)</f>
        <v/>
      </c>
      <c r="IR9">
        <f>IF('calcA'!E$106=1,DD9,1)</f>
        <v/>
      </c>
      <c r="IS9">
        <f>IF('calcA'!F$106=1,DE9,1)</f>
        <v/>
      </c>
      <c r="IT9">
        <f>IF('calcA'!G$106=1,DF9,1)</f>
        <v/>
      </c>
      <c r="IU9">
        <f>IF('calcA'!H$106=1,DG9,1)</f>
        <v/>
      </c>
      <c r="IV9">
        <f>IF('calcA'!I$106=1,DH9,1)</f>
        <v/>
      </c>
      <c r="IW9">
        <f>IF('calcA'!J$106=1,DI9,1)</f>
        <v/>
      </c>
      <c r="IX9">
        <f>IF('calcA'!K$106=1,DJ9,1)</f>
        <v/>
      </c>
      <c r="IY9">
        <f>IF('calcA'!L$106=1,DK9,1)</f>
        <v/>
      </c>
      <c r="IZ9">
        <f>IF('calcA'!M$106=1,DL9,1)</f>
        <v/>
      </c>
      <c r="JA9">
        <f>IF('calcA'!N$106=1,DM9,1)</f>
        <v/>
      </c>
      <c r="JB9">
        <f>IF('calcA'!O$106=1,DN9,1)</f>
        <v/>
      </c>
      <c r="JC9">
        <f>IF('calcA'!P$106=1,DO9,1)</f>
        <v/>
      </c>
      <c r="JD9">
        <f>IF('calcA'!Q$106=1,DP9,1)</f>
        <v/>
      </c>
      <c r="JE9">
        <f>IF('calcA'!R$106=1,DQ9,1)</f>
        <v/>
      </c>
      <c r="JF9">
        <f>IF('calcA'!S$106=1,DR9,1)</f>
        <v/>
      </c>
      <c r="JG9">
        <f>IF('calcA'!T$106=1,DS9,1)</f>
        <v/>
      </c>
      <c r="JH9">
        <f>IF('calcA'!U$106=1,DT9,1)</f>
        <v/>
      </c>
      <c r="JI9">
        <f>IF('calcA'!V$106=1,DU9,1)</f>
        <v/>
      </c>
      <c r="JJ9">
        <f>IF('calcA'!W$106=1,DV9,1)</f>
        <v/>
      </c>
      <c r="JK9">
        <f>IF('calcA'!X$106=1,DW9,1)</f>
        <v/>
      </c>
      <c r="JL9">
        <f>IF('calcA'!Y$106=1,DX9,1)</f>
        <v/>
      </c>
      <c r="JM9">
        <f>IF('calcA'!Z$106=1,DY9,1)</f>
        <v/>
      </c>
      <c r="JN9">
        <f>IF('calcA'!AA$106=1,DZ9,1)</f>
        <v/>
      </c>
      <c r="JO9">
        <f>IF('calcA'!AB$106=1,EA9,1)</f>
        <v/>
      </c>
      <c r="JP9">
        <f>IF('calcA'!AC$106=1,EB9,1)</f>
        <v/>
      </c>
      <c r="JQ9">
        <f>IF('calcA'!AD$106=1,EC9,1)</f>
        <v/>
      </c>
      <c r="JR9">
        <f>IF('calcA'!AE$106=1,ED9,1)</f>
        <v/>
      </c>
      <c r="JS9">
        <f>IF('calcA'!AF$106=1,EE9,1)</f>
        <v/>
      </c>
      <c r="JT9">
        <f>IF('calcA'!AG$106=1,EF9,1)</f>
        <v/>
      </c>
      <c r="JU9">
        <f>IF('calcA'!AH$106=1,EG9,1)</f>
        <v/>
      </c>
      <c r="JV9">
        <f>IF('calcA'!AI$106=1,EH9,1)</f>
        <v/>
      </c>
      <c r="JW9">
        <f>IF('calcA'!AJ$106=1,EI9,1)</f>
        <v/>
      </c>
      <c r="JX9">
        <f>IF('calcA'!AK$106=1,EJ9,1)</f>
        <v/>
      </c>
      <c r="JY9">
        <f>IF('calcA'!AL$106=1,EK9,1)</f>
        <v/>
      </c>
      <c r="JZ9">
        <f>IF('calcA'!AM$106=1,EL9,1)</f>
        <v/>
      </c>
      <c r="KA9">
        <f>IF('calcA'!AN$106=1,EM9,1)</f>
        <v/>
      </c>
      <c r="KB9">
        <f>IF('calcA'!AO$106=1,EN9,1)</f>
        <v/>
      </c>
      <c r="KC9">
        <f>IF('calcA'!AP$106=1,EO9,1)</f>
        <v/>
      </c>
      <c r="KD9">
        <f>IF('calcA'!AQ$106=1,EP9,1)</f>
        <v/>
      </c>
      <c r="KE9">
        <f>IF('calcA'!AR$106=1,EQ9,1)</f>
        <v/>
      </c>
      <c r="KF9">
        <f>IF('calcA'!AS$106=1,ER9,1)</f>
        <v/>
      </c>
      <c r="KG9">
        <f>IF('calcA'!AT$106=1,ES9,1)</f>
        <v/>
      </c>
      <c r="KH9">
        <f>IF('calcA'!AU$106=1,ET9,1)</f>
        <v/>
      </c>
      <c r="KI9">
        <f>IF('calcA'!AV$106=1,EU9,1)</f>
        <v/>
      </c>
      <c r="KJ9">
        <f>IF('calcA'!AW$106=1,EV9,1)</f>
        <v/>
      </c>
      <c r="KK9">
        <f>IF('calcA'!AX$106=1,EW9,1)</f>
        <v/>
      </c>
      <c r="KL9">
        <f>IF('calcA'!AY$106=1,EX9,1)</f>
        <v/>
      </c>
      <c r="KM9">
        <f>IF('calcA'!AZ$106=1,EY9,1)</f>
        <v/>
      </c>
      <c r="KN9">
        <f>IF('calcA'!BA$106=1,EZ9,1)</f>
        <v/>
      </c>
      <c r="KO9">
        <f>IF('calcA'!BB$106=1,FA9,1)</f>
        <v/>
      </c>
      <c r="KP9">
        <f>IF('calcA'!BC$106=1,FB9,1)</f>
        <v/>
      </c>
      <c r="KQ9">
        <f>IF('calcA'!BD$106=1,FC9,1)</f>
        <v/>
      </c>
      <c r="KR9">
        <f>IF('calcA'!BE$106=1,FD9,1)</f>
        <v/>
      </c>
      <c r="KS9">
        <f>IF('calcA'!BF$106=1,FE9,1)</f>
        <v/>
      </c>
      <c r="KT9">
        <f>IF('calcA'!BG$106=1,FF9,1)</f>
        <v/>
      </c>
      <c r="KU9">
        <f>IF('calcA'!BH$106=1,FG9,1)</f>
        <v/>
      </c>
      <c r="KV9">
        <f>IF('calcA'!BI$106=1,FH9,1)</f>
        <v/>
      </c>
      <c r="KW9">
        <f>IF('calcA'!BJ$106=1,FI9,1)</f>
        <v/>
      </c>
      <c r="KX9">
        <f>IF('calcA'!BK$106=1,FJ9,1)</f>
        <v/>
      </c>
      <c r="KY9">
        <f>IF('calcA'!BL$106=1,FK9,1)</f>
        <v/>
      </c>
      <c r="KZ9">
        <f>IF('calcA'!BM$106=1,FL9,1)</f>
        <v/>
      </c>
      <c r="LA9">
        <f>IF('calcA'!BN$106=1,FM9,1)</f>
        <v/>
      </c>
      <c r="LB9">
        <f>IF('calcA'!BO$106=1,FN9,1)</f>
        <v/>
      </c>
      <c r="LC9">
        <f>IF('calcA'!BP$106=1,FO9,1)</f>
        <v/>
      </c>
      <c r="LD9">
        <f>IF('calcA'!BQ$106=1,FP9,1)</f>
        <v/>
      </c>
      <c r="LE9">
        <f>IF('calcA'!BR$106=1,FQ9,1)</f>
        <v/>
      </c>
      <c r="LF9">
        <f>IF('calcA'!BS$106=1,FR9,1)</f>
        <v/>
      </c>
      <c r="LG9">
        <f>IF('calcA'!BT$106=1,FS9,1)</f>
        <v/>
      </c>
      <c r="LH9">
        <f>IF('calcA'!BU$106=1,FT9,1)</f>
        <v/>
      </c>
      <c r="LI9">
        <f>IF('calcA'!BV$106=1,FU9,1)</f>
        <v/>
      </c>
      <c r="LJ9">
        <f>IF('calcA'!BW$106=1,FV9,1)</f>
        <v/>
      </c>
      <c r="LK9">
        <f>IF('calcA'!BX$106=1,FW9,1)</f>
        <v/>
      </c>
      <c r="LL9">
        <f>IF('calcA'!BY$106=1,FX9,1)</f>
        <v/>
      </c>
      <c r="LM9">
        <f>IF('calcA'!BZ$106=1,FY9,1)</f>
        <v/>
      </c>
      <c r="LN9">
        <f>IF('calcA'!CA$106=1,FZ9,1)</f>
        <v/>
      </c>
      <c r="LO9">
        <f>IF('calcA'!CB$106=1,GA9,1)</f>
        <v/>
      </c>
      <c r="LP9">
        <f>IF('calcA'!CC$106=1,GB9,1)</f>
        <v/>
      </c>
      <c r="LQ9">
        <f>IF('calcA'!CD$106=1,GC9,1)</f>
        <v/>
      </c>
      <c r="LR9">
        <f>IF('calcA'!CE$106=1,GD9,1)</f>
        <v/>
      </c>
      <c r="LS9">
        <f>IF('calcA'!CF$106=1,GE9,1)</f>
        <v/>
      </c>
      <c r="LT9">
        <f>IF('calcA'!CG$106=1,GF9,1)</f>
        <v/>
      </c>
      <c r="LU9">
        <f>IF('calcA'!CH$106=1,GG9,1)</f>
        <v/>
      </c>
      <c r="LV9">
        <f>IF('calcA'!CI$106=1,GH9,1)</f>
        <v/>
      </c>
      <c r="LW9">
        <f>IF('calcA'!CJ$106=1,GI9,1)</f>
        <v/>
      </c>
      <c r="LX9">
        <f>IF('calcA'!CK$106=1,GJ9,1)</f>
        <v/>
      </c>
      <c r="LY9">
        <f>IF('calcA'!CL$106=1,GK9,1)</f>
        <v/>
      </c>
      <c r="LZ9">
        <f>IF('calcA'!CM$106=1,GL9,1)</f>
        <v/>
      </c>
      <c r="MA9">
        <f>IF('calcA'!CN$106=1,GM9,1)</f>
        <v/>
      </c>
      <c r="MB9">
        <f>IF('calcA'!CO$106=1,GN9,1)</f>
        <v/>
      </c>
      <c r="MC9">
        <f>IF('calcA'!CP$106=1,GO9,1)</f>
        <v/>
      </c>
      <c r="MD9">
        <f>IF('calcA'!CQ$106=1,GP9,1)</f>
        <v/>
      </c>
      <c r="ME9">
        <f>IF('calcA'!CR$106=1,GQ9,1)</f>
        <v/>
      </c>
      <c r="MF9">
        <f>IF('calcA'!CS$106=1,GR9,1)</f>
        <v/>
      </c>
      <c r="MG9">
        <f>IF('calcA'!CT$106=1,GS9,1)</f>
        <v/>
      </c>
      <c r="MH9">
        <f>IF('calcA'!CU$106=1,GT9,1)</f>
        <v/>
      </c>
      <c r="MI9">
        <f>IF('calcA'!CV$106=1,GU9,1)</f>
        <v/>
      </c>
      <c r="MJ9">
        <f>IF('calcA'!CW$106=1,GV9,1)</f>
        <v/>
      </c>
      <c r="MK9">
        <f>IF('calcA'!CX$106=1,GW9,1)</f>
        <v/>
      </c>
      <c r="ML9">
        <f>IF('calcA'!CY$106=1,GX9,1)</f>
        <v/>
      </c>
      <c r="MM9">
        <f>IF('calcA'!CZ$106=1,GY9,1)</f>
        <v/>
      </c>
      <c r="MN9">
        <f>IF('calcA'!DA$106=1,GZ9,1)</f>
        <v/>
      </c>
      <c r="MO9">
        <f>IF('calcA'!DB$106=1,HA9,1)</f>
        <v/>
      </c>
      <c r="MP9">
        <f>IF('calcA'!DC$106=1,HB9,1)</f>
        <v/>
      </c>
      <c r="MQ9">
        <f>IF('calcA'!DD$106=1,HC9,1)</f>
        <v/>
      </c>
      <c r="MR9">
        <f>IF('calcA'!DE$106=1,HD9,1)</f>
        <v/>
      </c>
      <c r="MS9">
        <f>IF('calcA'!DF$106=1,HE9,1)</f>
        <v/>
      </c>
      <c r="MT9">
        <f>IF('calcA'!DG$106=1,HF9,1)</f>
        <v/>
      </c>
      <c r="MU9">
        <f>IF('calcA'!DH$106=1,HG9,1)</f>
        <v/>
      </c>
      <c r="MV9">
        <f>IF('calcA'!DI$106=1,HH9,1)</f>
        <v/>
      </c>
      <c r="MW9">
        <f>IF('calcA'!DJ$106=1,HI9,1)</f>
        <v/>
      </c>
      <c r="MX9">
        <f>IF('calcA'!DK$106=1,HJ9,1)</f>
        <v/>
      </c>
      <c r="MY9">
        <f>IF('calcA'!DL$106=1,HK9,1)</f>
        <v/>
      </c>
      <c r="MZ9">
        <f>IF('calcA'!DM$106=1,HL9,1)</f>
        <v/>
      </c>
      <c r="NA9">
        <f>IF('calcA'!DN$106=1,HM9,1)</f>
        <v/>
      </c>
      <c r="NB9">
        <f>IF('calcA'!DO$106=1,HN9,1)</f>
        <v/>
      </c>
      <c r="NC9">
        <f>IF('calcA'!DP$106=1,HO9,1)</f>
        <v/>
      </c>
      <c r="ND9">
        <f>IF('calcA'!DQ$106=1,HP9,1)</f>
        <v/>
      </c>
      <c r="NE9">
        <f>IF('calcA'!DR$106=1,HQ9,1)</f>
        <v/>
      </c>
      <c r="NF9">
        <f>IF('calcA'!DS$106=1,HR9,1)</f>
        <v/>
      </c>
      <c r="NG9">
        <f>IF('calcA'!DT$106=1,HS9,1)</f>
        <v/>
      </c>
      <c r="NH9">
        <f>IF('calcA'!DU$106=1,HT9,1)</f>
        <v/>
      </c>
      <c r="NI9">
        <f>IF('calcA'!DV$106=1,HU9,1)</f>
        <v/>
      </c>
      <c r="NJ9">
        <f>IF('calcA'!DW$106=1,HV9,1)</f>
        <v/>
      </c>
      <c r="NK9">
        <f>IF('calcA'!DX$106=1,HW9,1)</f>
        <v/>
      </c>
      <c r="NL9">
        <f>IF('calcA'!DY$106=1,HX9,1)</f>
        <v/>
      </c>
      <c r="NM9">
        <f>IF('calcA'!DZ$106=1,HY9,1)</f>
        <v/>
      </c>
      <c r="NN9">
        <f>IF('calcA'!EA$106=1,HZ9,1)</f>
        <v/>
      </c>
      <c r="NO9">
        <f>IF('calcA'!EB$106=1,IA9,1)</f>
        <v/>
      </c>
      <c r="NP9">
        <f>IF('calcA'!EC$106=1,IB9,1)</f>
        <v/>
      </c>
      <c r="NQ9">
        <f>IF('calcA'!ED$106=1,IC9,1)</f>
        <v/>
      </c>
      <c r="NR9">
        <f>IF('calcA'!EE$106=1,ID9,1)</f>
        <v/>
      </c>
      <c r="NS9">
        <f>IF('calcA'!EF$106=1,IE9,1)</f>
        <v/>
      </c>
      <c r="NT9">
        <f>IF('calcA'!EG$106=1,IF9,1)</f>
        <v/>
      </c>
      <c r="NU9">
        <f>IF('calcA'!EH$106=1,IG9,1)</f>
        <v/>
      </c>
      <c r="NV9">
        <f>IF('calcA'!EI$106=1,IH9,1)</f>
        <v/>
      </c>
      <c r="NW9">
        <f>IF('calcA'!EJ$106=1,II9,1)</f>
        <v/>
      </c>
      <c r="NX9">
        <f>IF('calcA'!EK$106=1,IJ9,1)</f>
        <v/>
      </c>
      <c r="NY9">
        <f>IF('calcA'!EL$106=1,IK9,1)</f>
        <v/>
      </c>
      <c r="NZ9">
        <f>IF('calcA'!EM$106=1,IL9,1)</f>
        <v/>
      </c>
      <c r="OA9">
        <f>IF('calcA'!EN$106=1,IM9,1)</f>
        <v/>
      </c>
      <c r="OB9">
        <f>IF('calcA'!EO$106=1,IN9,1)</f>
        <v/>
      </c>
      <c r="OC9">
        <f>IF('calcA'!EP$106=1,IO9,1)</f>
        <v/>
      </c>
      <c r="OD9" t="n">
        <v>1</v>
      </c>
      <c r="OF9">
        <f>IF($B9=0,1000000000,IF(INDEX('calcA'!$D$60:$EQ$99,$B9,1)*IF($W9=1,DB9+ZQ9,DB9)=1,IF(AND($E9=2,IF($W9=1,AFF9,IQ9)=0),1000000000,IF($V9=1,INDEX('calcA'!$D$130:$EQ$169,$B9,1)+IF(AND($E9=1,IQ9=0),25,0),INDEX('calcA'!D$110:D$114,$F9+1)+IF(AND($E9=1,IQ9=0),1000,0)+IF($H9=1,INDEX('calcA'!$D$180:$EQ$219,$B9,1)*500,0)-IF(AND($U9=1,'calcA'!D$117=1,DC9=0),300,0))),1000000000))</f>
        <v/>
      </c>
      <c r="OG9">
        <f>IF($B9=0,1000000000,IF(INDEX('calcA'!$D$60:$EQ$99,$B9,2)*IF($W9=1,DC9+ZR9,DC9)=1,IF(AND($E9=2,IF($W9=1,AFG9,IR9)=0),1000000000,IF($V9=1,INDEX('calcA'!$D$130:$EQ$169,$B9,2)+IF(AND($E9=1,IR9=0),25,0),INDEX('calcA'!E$110:E$114,$F9+1)+IF(AND($E9=1,IR9=0),1000,0)+IF($H9=1,INDEX('calcA'!$D$180:$EQ$219,$B9,2)*500,0)-IF(AND('calcA'!D$117=1,UB9&gt;0),300,0)-IF(AND($U9=1,'calcA'!E$117=1,DD9=0),300,0))),1000000000))</f>
        <v/>
      </c>
      <c r="OH9">
        <f>IF($B9=0,1000000000,IF(INDEX('calcA'!$D$60:$EQ$99,$B9,3)*IF($W9=1,DD9+ZS9,DD9)=1,IF(AND($E9=2,IF($W9=1,AFH9,IS9)=0),1000000000,IF($V9=1,INDEX('calcA'!$D$130:$EQ$169,$B9,3)+IF(AND($E9=1,IS9=0),25,0),INDEX('calcA'!F$110:F$114,$F9+1)+IF(AND($E9=1,IS9=0),1000,0)+IF($H9=1,INDEX('calcA'!$D$180:$EQ$219,$B9,3)*500,0)-IF(AND('calcA'!E$117=1,UC9&gt;0),300,0)-IF(AND($U9=1,'calcA'!F$117=1,DE9=0),300,0))),1000000000))</f>
        <v/>
      </c>
      <c r="OI9">
        <f>IF($B9=0,1000000000,IF(INDEX('calcA'!$D$60:$EQ$99,$B9,4)*IF($W9=1,DE9+ZT9,DE9)=1,IF(AND($E9=2,IF($W9=1,AFI9,IT9)=0),1000000000,IF($V9=1,INDEX('calcA'!$D$130:$EQ$169,$B9,4)+IF(AND($E9=1,IT9=0),25,0),INDEX('calcA'!G$110:G$114,$F9+1)+IF(AND($E9=1,IT9=0),1000,0)+IF($H9=1,INDEX('calcA'!$D$180:$EQ$219,$B9,4)*500,0)-IF(AND('calcA'!F$117=1,UD9&gt;0),300,0)-IF(AND($U9=1,'calcA'!G$117=1,DF9=0),300,0))),1000000000))</f>
        <v/>
      </c>
      <c r="OJ9">
        <f>IF($B9=0,1000000000,IF(INDEX('calcA'!$D$60:$EQ$99,$B9,5)*IF($W9=1,DF9+ZU9,DF9)=1,IF(AND($E9=2,IF($W9=1,AFJ9,IU9)=0),1000000000,IF($V9=1,INDEX('calcA'!$D$130:$EQ$169,$B9,5)+IF(AND($E9=1,IU9=0),25,0),INDEX('calcA'!H$110:H$114,$F9+1)+IF(AND($E9=1,IU9=0),1000,0)+IF($H9=1,INDEX('calcA'!$D$180:$EQ$219,$B9,5)*500,0)-IF(AND('calcA'!G$117=1,UE9&gt;0),300,0)-IF(AND($U9=1,'calcA'!H$117=1,DG9=0),300,0))),1000000000))</f>
        <v/>
      </c>
      <c r="OK9">
        <f>IF($B9=0,1000000000,IF(INDEX('calcA'!$D$60:$EQ$99,$B9,6)*IF($W9=1,DG9+ZV9,DG9)=1,IF(AND($E9=2,IF($W9=1,AFK9,IV9)=0),1000000000,IF($V9=1,INDEX('calcA'!$D$130:$EQ$169,$B9,6)+IF(AND($E9=1,IV9=0),25,0),INDEX('calcA'!I$110:I$114,$F9+1)+IF(AND($E9=1,IV9=0),1000,0)+IF($H9=1,INDEX('calcA'!$D$180:$EQ$219,$B9,6)*500,0)-IF(AND('calcA'!H$117=1,UF9&gt;0),300,0)-IF(AND($U9=1,'calcA'!I$117=1,DH9=0),300,0))),1000000000))</f>
        <v/>
      </c>
      <c r="OL9">
        <f>IF($B9=0,1000000000,IF(INDEX('calcA'!$D$60:$EQ$99,$B9,7)*IF($W9=1,DH9+ZW9,DH9)=1,IF(AND($E9=2,IF($W9=1,AFL9,IW9)=0),1000000000,IF($V9=1,INDEX('calcA'!$D$130:$EQ$169,$B9,7)+IF(AND($E9=1,IW9=0),25,0),INDEX('calcA'!J$110:J$114,$F9+1)+IF(AND($E9=1,IW9=0),1000,0)+IF($H9=1,INDEX('calcA'!$D$180:$EQ$219,$B9,7)*500,0)-IF(AND('calcA'!I$117=1,UG9&gt;0),300,0)-IF(AND($U9=1,'calcA'!J$117=1,DI9=0),300,0))),1000000000))</f>
        <v/>
      </c>
      <c r="OM9">
        <f>IF($B9=0,1000000000,IF(INDEX('calcA'!$D$60:$EQ$99,$B9,8)*IF($W9=1,DI9+ZX9,DI9)=1,IF(AND($E9=2,IF($W9=1,AFM9,IX9)=0),1000000000,IF($V9=1,INDEX('calcA'!$D$130:$EQ$169,$B9,8)+IF(AND($E9=1,IX9=0),25,0),INDEX('calcA'!K$110:K$114,$F9+1)+IF(AND($E9=1,IX9=0),1000,0)+IF($H9=1,INDEX('calcA'!$D$180:$EQ$219,$B9,8)*500,0)-IF(AND('calcA'!J$117=1,UH9&gt;0),300,0)-IF(AND($U9=1,'calcA'!K$117=1,DJ9=0),300,0))),1000000000))</f>
        <v/>
      </c>
      <c r="ON9">
        <f>IF($B9=0,1000000000,IF(INDEX('calcA'!$D$60:$EQ$99,$B9,9)*IF($W9=1,DJ9+ZY9,DJ9)=1,IF(AND($E9=2,IF($W9=1,AFN9,IY9)=0),1000000000,IF($V9=1,INDEX('calcA'!$D$130:$EQ$169,$B9,9)+IF(AND($E9=1,IY9=0),25,0),INDEX('calcA'!L$110:L$114,$F9+1)+IF(AND($E9=1,IY9=0),1000,0)+IF($H9=1,INDEX('calcA'!$D$180:$EQ$219,$B9,9)*500,0)-IF(AND('calcA'!K$117=1,UI9&gt;0),300,0)-IF(AND($U9=1,'calcA'!L$117=1,DK9=0),300,0))),1000000000))</f>
        <v/>
      </c>
      <c r="OO9">
        <f>IF($B9=0,1000000000,IF(INDEX('calcA'!$D$60:$EQ$99,$B9,10)*IF($W9=1,DK9+ZZ9,DK9)=1,IF(AND($E9=2,IF($W9=1,AFO9,IZ9)=0),1000000000,IF($V9=1,INDEX('calcA'!$D$130:$EQ$169,$B9,10)+IF(AND($E9=1,IZ9=0),25,0),INDEX('calcA'!M$110:M$114,$F9+1)+IF(AND($E9=1,IZ9=0),1000,0)+IF($H9=1,INDEX('calcA'!$D$180:$EQ$219,$B9,10)*500,0)-IF(AND('calcA'!L$117=1,UJ9&gt;0),300,0)-IF(AND($U9=1,'calcA'!M$117=1,DL9=0),300,0))),1000000000))</f>
        <v/>
      </c>
      <c r="OP9">
        <f>IF($B9=0,1000000000,IF(INDEX('calcA'!$D$60:$EQ$99,$B9,11)*IF($W9=1,DL9+AAA9,DL9)=1,IF(AND($E9=2,IF($W9=1,AFP9,JA9)=0),1000000000,IF($V9=1,INDEX('calcA'!$D$130:$EQ$169,$B9,11)+IF(AND($E9=1,JA9=0),25,0),INDEX('calcA'!N$110:N$114,$F9+1)+IF(AND($E9=1,JA9=0),1000,0)+IF($H9=1,INDEX('calcA'!$D$180:$EQ$219,$B9,11)*500,0)-IF(AND('calcA'!M$117=1,UK9&gt;0),300,0)-IF(AND($U9=1,'calcA'!N$117=1,DM9=0),300,0))),1000000000))</f>
        <v/>
      </c>
      <c r="OQ9">
        <f>IF($B9=0,1000000000,IF(INDEX('calcA'!$D$60:$EQ$99,$B9,12)*IF($W9=1,DM9+AAB9,DM9)=1,IF(AND($E9=2,IF($W9=1,AFQ9,JB9)=0),1000000000,IF($V9=1,INDEX('calcA'!$D$130:$EQ$169,$B9,12)+IF(AND($E9=1,JB9=0),25,0),INDEX('calcA'!O$110:O$114,$F9+1)+IF(AND($E9=1,JB9=0),1000,0)+IF($H9=1,INDEX('calcA'!$D$180:$EQ$219,$B9,12)*500,0)-IF(AND('calcA'!N$117=1,UL9&gt;0),300,0)-IF(AND($U9=1,'calcA'!O$117=1,DN9=0),300,0))),1000000000))</f>
        <v/>
      </c>
      <c r="OR9">
        <f>IF($B9=0,1000000000,IF(INDEX('calcA'!$D$60:$EQ$99,$B9,13)*IF($W9=1,DN9+AAC9,DN9)=1,IF(AND($E9=2,IF($W9=1,AFR9,JC9)=0),1000000000,IF($V9=1,INDEX('calcA'!$D$130:$EQ$169,$B9,13)+IF(AND($E9=1,JC9=0),25,0),INDEX('calcA'!P$110:P$114,$F9+1)+IF(AND($E9=1,JC9=0),1000,0)+IF($H9=1,INDEX('calcA'!$D$180:$EQ$219,$B9,13)*500,0)-IF(AND('calcA'!O$117=1,UM9&gt;0),300,0)-IF(AND($U9=1,'calcA'!P$117=1,DO9=0),300,0))),1000000000))</f>
        <v/>
      </c>
      <c r="OS9">
        <f>IF($B9=0,1000000000,IF(INDEX('calcA'!$D$60:$EQ$99,$B9,14)*IF($W9=1,DO9+AAD9,DO9)=1,IF(AND($E9=2,IF($W9=1,AFS9,JD9)=0),1000000000,IF($V9=1,INDEX('calcA'!$D$130:$EQ$169,$B9,14)+IF(AND($E9=1,JD9=0),25,0),INDEX('calcA'!Q$110:Q$114,$F9+1)+IF(AND($E9=1,JD9=0),1000,0)+IF($H9=1,INDEX('calcA'!$D$180:$EQ$219,$B9,14)*500,0)-IF(AND('calcA'!P$117=1,UN9&gt;0),300,0)-IF(AND($U9=1,'calcA'!Q$117=1,DP9=0),300,0))),1000000000))</f>
        <v/>
      </c>
      <c r="OT9">
        <f>IF($B9=0,1000000000,IF(INDEX('calcA'!$D$60:$EQ$99,$B9,15)*IF($W9=1,DP9+AAE9,DP9)=1,IF(AND($E9=2,IF($W9=1,AFT9,JE9)=0),1000000000,IF($V9=1,INDEX('calcA'!$D$130:$EQ$169,$B9,15)+IF(AND($E9=1,JE9=0),25,0),INDEX('calcA'!R$110:R$114,$F9+1)+IF(AND($E9=1,JE9=0),1000,0)+IF($H9=1,INDEX('calcA'!$D$180:$EQ$219,$B9,15)*500,0)-IF(AND('calcA'!Q$117=1,UO9&gt;0),300,0)-IF(AND($U9=1,'calcA'!R$117=1,DQ9=0),300,0))),1000000000))</f>
        <v/>
      </c>
      <c r="OU9">
        <f>IF($B9=0,1000000000,IF(INDEX('calcA'!$D$60:$EQ$99,$B9,16)*IF($W9=1,DQ9+AAF9,DQ9)=1,IF(AND($E9=2,IF($W9=1,AFU9,JF9)=0),1000000000,IF($V9=1,INDEX('calcA'!$D$130:$EQ$169,$B9,16)+IF(AND($E9=1,JF9=0),25,0),INDEX('calcA'!S$110:S$114,$F9+1)+IF(AND($E9=1,JF9=0),1000,0)+IF($H9=1,INDEX('calcA'!$D$180:$EQ$219,$B9,16)*500,0)-IF(AND('calcA'!R$117=1,UP9&gt;0),300,0)-IF(AND($U9=1,'calcA'!S$117=1,DR9=0),300,0))),1000000000))</f>
        <v/>
      </c>
      <c r="OV9">
        <f>IF($B9=0,1000000000,IF(INDEX('calcA'!$D$60:$EQ$99,$B9,17)*IF($W9=1,DR9+AAG9,DR9)=1,IF(AND($E9=2,IF($W9=1,AFV9,JG9)=0),1000000000,IF($V9=1,INDEX('calcA'!$D$130:$EQ$169,$B9,17)+IF(AND($E9=1,JG9=0),25,0),INDEX('calcA'!T$110:T$114,$F9+1)+IF(AND($E9=1,JG9=0),1000,0)+IF($H9=1,INDEX('calcA'!$D$180:$EQ$219,$B9,17)*500,0)-IF(AND('calcA'!S$117=1,UQ9&gt;0),300,0)-IF(AND($U9=1,'calcA'!T$117=1,DS9=0),300,0))),1000000000))</f>
        <v/>
      </c>
      <c r="OW9">
        <f>IF($B9=0,1000000000,IF(INDEX('calcA'!$D$60:$EQ$99,$B9,18)*IF($W9=1,DS9+AAH9,DS9)=1,IF(AND($E9=2,IF($W9=1,AFW9,JH9)=0),1000000000,IF($V9=1,INDEX('calcA'!$D$130:$EQ$169,$B9,18)+IF(AND($E9=1,JH9=0),25,0),INDEX('calcA'!U$110:U$114,$F9+1)+IF(AND($E9=1,JH9=0),1000,0)+IF($H9=1,INDEX('calcA'!$D$180:$EQ$219,$B9,18)*500,0)-IF(AND('calcA'!T$117=1,UR9&gt;0),300,0)-IF(AND($U9=1,'calcA'!U$117=1,DT9=0),300,0))),1000000000))</f>
        <v/>
      </c>
      <c r="OX9">
        <f>IF($B9=0,1000000000,IF(INDEX('calcA'!$D$60:$EQ$99,$B9,19)*IF($W9=1,DT9+AAI9,DT9)=1,IF(AND($E9=2,IF($W9=1,AFX9,JI9)=0),1000000000,IF($V9=1,INDEX('calcA'!$D$130:$EQ$169,$B9,19)+IF(AND($E9=1,JI9=0),25,0),INDEX('calcA'!V$110:V$114,$F9+1)+IF(AND($E9=1,JI9=0),1000,0)+IF($H9=1,INDEX('calcA'!$D$180:$EQ$219,$B9,19)*500,0)-IF(AND('calcA'!U$117=1,US9&gt;0),300,0)-IF(AND($U9=1,'calcA'!V$117=1,DU9=0),300,0))),1000000000))</f>
        <v/>
      </c>
      <c r="OY9">
        <f>IF($B9=0,1000000000,IF(INDEX('calcA'!$D$60:$EQ$99,$B9,20)*IF($W9=1,DU9+AAJ9,DU9)=1,IF(AND($E9=2,IF($W9=1,AFY9,JJ9)=0),1000000000,IF($V9=1,INDEX('calcA'!$D$130:$EQ$169,$B9,20)+IF(AND($E9=1,JJ9=0),25,0),INDEX('calcA'!W$110:W$114,$F9+1)+IF(AND($E9=1,JJ9=0),1000,0)+IF($H9=1,INDEX('calcA'!$D$180:$EQ$219,$B9,20)*500,0)-IF(AND('calcA'!V$117=1,UT9&gt;0),300,0)-IF(AND($U9=1,'calcA'!W$117=1,DV9=0),300,0))),1000000000))</f>
        <v/>
      </c>
      <c r="OZ9">
        <f>IF($B9=0,1000000000,IF(INDEX('calcA'!$D$60:$EQ$99,$B9,21)*IF($W9=1,DV9+AAK9,DV9)=1,IF(AND($E9=2,IF($W9=1,AFZ9,JK9)=0),1000000000,IF($V9=1,INDEX('calcA'!$D$130:$EQ$169,$B9,21)+IF(AND($E9=1,JK9=0),25,0),INDEX('calcA'!X$110:X$114,$F9+1)+IF(AND($E9=1,JK9=0),1000,0)+IF($H9=1,INDEX('calcA'!$D$180:$EQ$219,$B9,21)*500,0)-IF(AND('calcA'!W$117=1,UU9&gt;0),300,0)-IF(AND($U9=1,'calcA'!X$117=1,DW9=0),300,0))),1000000000))</f>
        <v/>
      </c>
      <c r="PA9">
        <f>IF($B9=0,1000000000,IF(INDEX('calcA'!$D$60:$EQ$99,$B9,22)*IF($W9=1,DW9+AAL9,DW9)=1,IF(AND($E9=2,IF($W9=1,AGA9,JL9)=0),1000000000,IF($V9=1,INDEX('calcA'!$D$130:$EQ$169,$B9,22)+IF(AND($E9=1,JL9=0),25,0),INDEX('calcA'!Y$110:Y$114,$F9+1)+IF(AND($E9=1,JL9=0),1000,0)+IF($H9=1,INDEX('calcA'!$D$180:$EQ$219,$B9,22)*500,0)-IF(AND('calcA'!X$117=1,UV9&gt;0),300,0)-IF(AND($U9=1,'calcA'!Y$117=1,DX9=0),300,0))),1000000000))</f>
        <v/>
      </c>
      <c r="PB9">
        <f>IF($B9=0,1000000000,IF(INDEX('calcA'!$D$60:$EQ$99,$B9,23)*IF($W9=1,DX9+AAM9,DX9)=1,IF(AND($E9=2,IF($W9=1,AGB9,JM9)=0),1000000000,IF($V9=1,INDEX('calcA'!$D$130:$EQ$169,$B9,23)+IF(AND($E9=1,JM9=0),25,0),INDEX('calcA'!Z$110:Z$114,$F9+1)+IF(AND($E9=1,JM9=0),1000,0)+IF($H9=1,INDEX('calcA'!$D$180:$EQ$219,$B9,23)*500,0)-IF(AND('calcA'!Y$117=1,UW9&gt;0),300,0)-IF(AND($U9=1,'calcA'!Z$117=1,DY9=0),300,0))),1000000000))</f>
        <v/>
      </c>
      <c r="PC9">
        <f>IF($B9=0,1000000000,IF(INDEX('calcA'!$D$60:$EQ$99,$B9,24)*IF($W9=1,DY9+AAN9,DY9)=1,IF(AND($E9=2,IF($W9=1,AGC9,JN9)=0),1000000000,IF($V9=1,INDEX('calcA'!$D$130:$EQ$169,$B9,24)+IF(AND($E9=1,JN9=0),25,0),INDEX('calcA'!AA$110:AA$114,$F9+1)+IF(AND($E9=1,JN9=0),1000,0)+IF($H9=1,INDEX('calcA'!$D$180:$EQ$219,$B9,24)*500,0)-IF(AND('calcA'!Z$117=1,UX9&gt;0),300,0))),1000000000))</f>
        <v/>
      </c>
      <c r="PD9">
        <f>IF($B9=0,1000000000,IF(INDEX('calcA'!$D$60:$EQ$99,$B9,25)*IF($W9=1,DZ9+AAO9,DZ9)=1,IF(AND($E9=2,IF($W9=1,AGD9,JO9)=0),1000000000,IF($V9=1,INDEX('calcA'!$D$130:$EQ$169,$B9,25)+IF(AND($E9=1,JO9=0),25,0),INDEX('calcA'!AB$110:AB$114,$F9+1)+IF(AND($E9=1,JO9=0),1000,0)+IF($H9=1,INDEX('calcA'!$D$180:$EQ$219,$B9,25)*500,0)-IF(AND($U9=1,'calcA'!AB$117=1,EA9=0),300,0))),1000000000))</f>
        <v/>
      </c>
      <c r="PE9">
        <f>IF($B9=0,1000000000,IF(INDEX('calcA'!$D$60:$EQ$99,$B9,26)*IF($W9=1,EA9+AAP9,EA9)=1,IF(AND($E9=2,IF($W9=1,AGE9,JP9)=0),1000000000,IF($V9=1,INDEX('calcA'!$D$130:$EQ$169,$B9,26)+IF(AND($E9=1,JP9=0),25,0),INDEX('calcA'!AC$110:AC$114,$F9+1)+IF(AND($E9=1,JP9=0),1000,0)+IF($H9=1,INDEX('calcA'!$D$180:$EQ$219,$B9,26)*500,0)-IF(AND('calcA'!AB$117=1,UZ9&gt;0),300,0)-IF(AND($U9=1,'calcA'!AC$117=1,EB9=0),300,0))),1000000000))</f>
        <v/>
      </c>
      <c r="PF9">
        <f>IF($B9=0,1000000000,IF(INDEX('calcA'!$D$60:$EQ$99,$B9,27)*IF($W9=1,EB9+AAQ9,EB9)=1,IF(AND($E9=2,IF($W9=1,AGF9,JQ9)=0),1000000000,IF($V9=1,INDEX('calcA'!$D$130:$EQ$169,$B9,27)+IF(AND($E9=1,JQ9=0),25,0),INDEX('calcA'!AD$110:AD$114,$F9+1)+IF(AND($E9=1,JQ9=0),1000,0)+IF($H9=1,INDEX('calcA'!$D$180:$EQ$219,$B9,27)*500,0)-IF(AND('calcA'!AC$117=1,VA9&gt;0),300,0)-IF(AND($U9=1,'calcA'!AD$117=1,EC9=0),300,0))),1000000000))</f>
        <v/>
      </c>
      <c r="PG9">
        <f>IF($B9=0,1000000000,IF(INDEX('calcA'!$D$60:$EQ$99,$B9,28)*IF($W9=1,EC9+AAR9,EC9)=1,IF(AND($E9=2,IF($W9=1,AGG9,JR9)=0),1000000000,IF($V9=1,INDEX('calcA'!$D$130:$EQ$169,$B9,28)+IF(AND($E9=1,JR9=0),25,0),INDEX('calcA'!AE$110:AE$114,$F9+1)+IF(AND($E9=1,JR9=0),1000,0)+IF($H9=1,INDEX('calcA'!$D$180:$EQ$219,$B9,28)*500,0)-IF(AND('calcA'!AD$117=1,VB9&gt;0),300,0)-IF(AND($U9=1,'calcA'!AE$117=1,ED9=0),300,0))),1000000000))</f>
        <v/>
      </c>
      <c r="PH9">
        <f>IF($B9=0,1000000000,IF(INDEX('calcA'!$D$60:$EQ$99,$B9,29)*IF($W9=1,ED9+AAS9,ED9)=1,IF(AND($E9=2,IF($W9=1,AGH9,JS9)=0),1000000000,IF($V9=1,INDEX('calcA'!$D$130:$EQ$169,$B9,29)+IF(AND($E9=1,JS9=0),25,0),INDEX('calcA'!AF$110:AF$114,$F9+1)+IF(AND($E9=1,JS9=0),1000,0)+IF($H9=1,INDEX('calcA'!$D$180:$EQ$219,$B9,29)*500,0)-IF(AND('calcA'!AE$117=1,VC9&gt;0),300,0)-IF(AND($U9=1,'calcA'!AF$117=1,EE9=0),300,0))),1000000000))</f>
        <v/>
      </c>
      <c r="PI9">
        <f>IF($B9=0,1000000000,IF(INDEX('calcA'!$D$60:$EQ$99,$B9,30)*IF($W9=1,EE9+AAT9,EE9)=1,IF(AND($E9=2,IF($W9=1,AGI9,JT9)=0),1000000000,IF($V9=1,INDEX('calcA'!$D$130:$EQ$169,$B9,30)+IF(AND($E9=1,JT9=0),25,0),INDEX('calcA'!AG$110:AG$114,$F9+1)+IF(AND($E9=1,JT9=0),1000,0)+IF($H9=1,INDEX('calcA'!$D$180:$EQ$219,$B9,30)*500,0)-IF(AND('calcA'!AF$117=1,VD9&gt;0),300,0)-IF(AND($U9=1,'calcA'!AG$117=1,EF9=0),300,0))),1000000000))</f>
        <v/>
      </c>
      <c r="PJ9">
        <f>IF($B9=0,1000000000,IF(INDEX('calcA'!$D$60:$EQ$99,$B9,31)*IF($W9=1,EF9+AAU9,EF9)=1,IF(AND($E9=2,IF($W9=1,AGJ9,JU9)=0),1000000000,IF($V9=1,INDEX('calcA'!$D$130:$EQ$169,$B9,31)+IF(AND($E9=1,JU9=0),25,0),INDEX('calcA'!AH$110:AH$114,$F9+1)+IF(AND($E9=1,JU9=0),1000,0)+IF($H9=1,INDEX('calcA'!$D$180:$EQ$219,$B9,31)*500,0)-IF(AND('calcA'!AG$117=1,VE9&gt;0),300,0)-IF(AND($U9=1,'calcA'!AH$117=1,EG9=0),300,0))),1000000000))</f>
        <v/>
      </c>
      <c r="PK9">
        <f>IF($B9=0,1000000000,IF(INDEX('calcA'!$D$60:$EQ$99,$B9,32)*IF($W9=1,EG9+AAV9,EG9)=1,IF(AND($E9=2,IF($W9=1,AGK9,JV9)=0),1000000000,IF($V9=1,INDEX('calcA'!$D$130:$EQ$169,$B9,32)+IF(AND($E9=1,JV9=0),25,0),INDEX('calcA'!AI$110:AI$114,$F9+1)+IF(AND($E9=1,JV9=0),1000,0)+IF($H9=1,INDEX('calcA'!$D$180:$EQ$219,$B9,32)*500,0)-IF(AND('calcA'!AH$117=1,VF9&gt;0),300,0)-IF(AND($U9=1,'calcA'!AI$117=1,EH9=0),300,0))),1000000000))</f>
        <v/>
      </c>
      <c r="PL9">
        <f>IF($B9=0,1000000000,IF(INDEX('calcA'!$D$60:$EQ$99,$B9,33)*IF($W9=1,EH9+AAW9,EH9)=1,IF(AND($E9=2,IF($W9=1,AGL9,JW9)=0),1000000000,IF($V9=1,INDEX('calcA'!$D$130:$EQ$169,$B9,33)+IF(AND($E9=1,JW9=0),25,0),INDEX('calcA'!AJ$110:AJ$114,$F9+1)+IF(AND($E9=1,JW9=0),1000,0)+IF($H9=1,INDEX('calcA'!$D$180:$EQ$219,$B9,33)*500,0)-IF(AND('calcA'!AI$117=1,VG9&gt;0),300,0)-IF(AND($U9=1,'calcA'!AJ$117=1,EI9=0),300,0))),1000000000))</f>
        <v/>
      </c>
      <c r="PM9">
        <f>IF($B9=0,1000000000,IF(INDEX('calcA'!$D$60:$EQ$99,$B9,34)*IF($W9=1,EI9+AAX9,EI9)=1,IF(AND($E9=2,IF($W9=1,AGM9,JX9)=0),1000000000,IF($V9=1,INDEX('calcA'!$D$130:$EQ$169,$B9,34)+IF(AND($E9=1,JX9=0),25,0),INDEX('calcA'!AK$110:AK$114,$F9+1)+IF(AND($E9=1,JX9=0),1000,0)+IF($H9=1,INDEX('calcA'!$D$180:$EQ$219,$B9,34)*500,0)-IF(AND('calcA'!AJ$117=1,VH9&gt;0),300,0)-IF(AND($U9=1,'calcA'!AK$117=1,EJ9=0),300,0))),1000000000))</f>
        <v/>
      </c>
      <c r="PN9">
        <f>IF($B9=0,1000000000,IF(INDEX('calcA'!$D$60:$EQ$99,$B9,35)*IF($W9=1,EJ9+AAY9,EJ9)=1,IF(AND($E9=2,IF($W9=1,AGN9,JY9)=0),1000000000,IF($V9=1,INDEX('calcA'!$D$130:$EQ$169,$B9,35)+IF(AND($E9=1,JY9=0),25,0),INDEX('calcA'!AL$110:AL$114,$F9+1)+IF(AND($E9=1,JY9=0),1000,0)+IF($H9=1,INDEX('calcA'!$D$180:$EQ$219,$B9,35)*500,0)-IF(AND('calcA'!AK$117=1,VI9&gt;0),300,0)-IF(AND($U9=1,'calcA'!AL$117=1,EK9=0),300,0))),1000000000))</f>
        <v/>
      </c>
      <c r="PO9">
        <f>IF($B9=0,1000000000,IF(INDEX('calcA'!$D$60:$EQ$99,$B9,36)*IF($W9=1,EK9+AAZ9,EK9)=1,IF(AND($E9=2,IF($W9=1,AGO9,JZ9)=0),1000000000,IF($V9=1,INDEX('calcA'!$D$130:$EQ$169,$B9,36)+IF(AND($E9=1,JZ9=0),25,0),INDEX('calcA'!AM$110:AM$114,$F9+1)+IF(AND($E9=1,JZ9=0),1000,0)+IF($H9=1,INDEX('calcA'!$D$180:$EQ$219,$B9,36)*500,0)-IF(AND('calcA'!AL$117=1,VJ9&gt;0),300,0)-IF(AND($U9=1,'calcA'!AM$117=1,EL9=0),300,0))),1000000000))</f>
        <v/>
      </c>
      <c r="PP9">
        <f>IF($B9=0,1000000000,IF(INDEX('calcA'!$D$60:$EQ$99,$B9,37)*IF($W9=1,EL9+ABA9,EL9)=1,IF(AND($E9=2,IF($W9=1,AGP9,KA9)=0),1000000000,IF($V9=1,INDEX('calcA'!$D$130:$EQ$169,$B9,37)+IF(AND($E9=1,KA9=0),25,0),INDEX('calcA'!AN$110:AN$114,$F9+1)+IF(AND($E9=1,KA9=0),1000,0)+IF($H9=1,INDEX('calcA'!$D$180:$EQ$219,$B9,37)*500,0)-IF(AND('calcA'!AM$117=1,VK9&gt;0),300,0)-IF(AND($U9=1,'calcA'!AN$117=1,EM9=0),300,0))),1000000000))</f>
        <v/>
      </c>
      <c r="PQ9">
        <f>IF($B9=0,1000000000,IF(INDEX('calcA'!$D$60:$EQ$99,$B9,38)*IF($W9=1,EM9+ABB9,EM9)=1,IF(AND($E9=2,IF($W9=1,AGQ9,KB9)=0),1000000000,IF($V9=1,INDEX('calcA'!$D$130:$EQ$169,$B9,38)+IF(AND($E9=1,KB9=0),25,0),INDEX('calcA'!AO$110:AO$114,$F9+1)+IF(AND($E9=1,KB9=0),1000,0)+IF($H9=1,INDEX('calcA'!$D$180:$EQ$219,$B9,38)*500,0)-IF(AND('calcA'!AN$117=1,VL9&gt;0),300,0)-IF(AND($U9=1,'calcA'!AO$117=1,EN9=0),300,0))),1000000000))</f>
        <v/>
      </c>
      <c r="PR9">
        <f>IF($B9=0,1000000000,IF(INDEX('calcA'!$D$60:$EQ$99,$B9,39)*IF($W9=1,EN9+ABC9,EN9)=1,IF(AND($E9=2,IF($W9=1,AGR9,KC9)=0),1000000000,IF($V9=1,INDEX('calcA'!$D$130:$EQ$169,$B9,39)+IF(AND($E9=1,KC9=0),25,0),INDEX('calcA'!AP$110:AP$114,$F9+1)+IF(AND($E9=1,KC9=0),1000,0)+IF($H9=1,INDEX('calcA'!$D$180:$EQ$219,$B9,39)*500,0)-IF(AND('calcA'!AO$117=1,VM9&gt;0),300,0)-IF(AND($U9=1,'calcA'!AP$117=1,EO9=0),300,0))),1000000000))</f>
        <v/>
      </c>
      <c r="PS9">
        <f>IF($B9=0,1000000000,IF(INDEX('calcA'!$D$60:$EQ$99,$B9,40)*IF($W9=1,EO9+ABD9,EO9)=1,IF(AND($E9=2,IF($W9=1,AGS9,KD9)=0),1000000000,IF($V9=1,INDEX('calcA'!$D$130:$EQ$169,$B9,40)+IF(AND($E9=1,KD9=0),25,0),INDEX('calcA'!AQ$110:AQ$114,$F9+1)+IF(AND($E9=1,KD9=0),1000,0)+IF($H9=1,INDEX('calcA'!$D$180:$EQ$219,$B9,40)*500,0)-IF(AND('calcA'!AP$117=1,VN9&gt;0),300,0)-IF(AND($U9=1,'calcA'!AQ$117=1,EP9=0),300,0))),1000000000))</f>
        <v/>
      </c>
      <c r="PT9">
        <f>IF($B9=0,1000000000,IF(INDEX('calcA'!$D$60:$EQ$99,$B9,41)*IF($W9=1,EP9+ABE9,EP9)=1,IF(AND($E9=2,IF($W9=1,AGT9,KE9)=0),1000000000,IF($V9=1,INDEX('calcA'!$D$130:$EQ$169,$B9,41)+IF(AND($E9=1,KE9=0),25,0),INDEX('calcA'!AR$110:AR$114,$F9+1)+IF(AND($E9=1,KE9=0),1000,0)+IF($H9=1,INDEX('calcA'!$D$180:$EQ$219,$B9,41)*500,0)-IF(AND('calcA'!AQ$117=1,VO9&gt;0),300,0)-IF(AND($U9=1,'calcA'!AR$117=1,EQ9=0),300,0))),1000000000))</f>
        <v/>
      </c>
      <c r="PU9">
        <f>IF($B9=0,1000000000,IF(INDEX('calcA'!$D$60:$EQ$99,$B9,42)*IF($W9=1,EQ9+ABF9,EQ9)=1,IF(AND($E9=2,IF($W9=1,AGU9,KF9)=0),1000000000,IF($V9=1,INDEX('calcA'!$D$130:$EQ$169,$B9,42)+IF(AND($E9=1,KF9=0),25,0),INDEX('calcA'!AS$110:AS$114,$F9+1)+IF(AND($E9=1,KF9=0),1000,0)+IF($H9=1,INDEX('calcA'!$D$180:$EQ$219,$B9,42)*500,0)-IF(AND('calcA'!AR$117=1,VP9&gt;0),300,0)-IF(AND($U9=1,'calcA'!AS$117=1,ER9=0),300,0))),1000000000))</f>
        <v/>
      </c>
      <c r="PV9">
        <f>IF($B9=0,1000000000,IF(INDEX('calcA'!$D$60:$EQ$99,$B9,43)*IF($W9=1,ER9+ABG9,ER9)=1,IF(AND($E9=2,IF($W9=1,AGV9,KG9)=0),1000000000,IF($V9=1,INDEX('calcA'!$D$130:$EQ$169,$B9,43)+IF(AND($E9=1,KG9=0),25,0),INDEX('calcA'!AT$110:AT$114,$F9+1)+IF(AND($E9=1,KG9=0),1000,0)+IF($H9=1,INDEX('calcA'!$D$180:$EQ$219,$B9,43)*500,0)-IF(AND('calcA'!AS$117=1,VQ9&gt;0),300,0)-IF(AND($U9=1,'calcA'!AT$117=1,ES9=0),300,0))),1000000000))</f>
        <v/>
      </c>
      <c r="PW9">
        <f>IF($B9=0,1000000000,IF(INDEX('calcA'!$D$60:$EQ$99,$B9,44)*IF($W9=1,ES9+ABH9,ES9)=1,IF(AND($E9=2,IF($W9=1,AGW9,KH9)=0),1000000000,IF($V9=1,INDEX('calcA'!$D$130:$EQ$169,$B9,44)+IF(AND($E9=1,KH9=0),25,0),INDEX('calcA'!AU$110:AU$114,$F9+1)+IF(AND($E9=1,KH9=0),1000,0)+IF($H9=1,INDEX('calcA'!$D$180:$EQ$219,$B9,44)*500,0)-IF(AND('calcA'!AT$117=1,VR9&gt;0),300,0)-IF(AND($U9=1,'calcA'!AU$117=1,ET9=0),300,0))),1000000000))</f>
        <v/>
      </c>
      <c r="PX9">
        <f>IF($B9=0,1000000000,IF(INDEX('calcA'!$D$60:$EQ$99,$B9,45)*IF($W9=1,ET9+ABI9,ET9)=1,IF(AND($E9=2,IF($W9=1,AGX9,KI9)=0),1000000000,IF($V9=1,INDEX('calcA'!$D$130:$EQ$169,$B9,45)+IF(AND($E9=1,KI9=0),25,0),INDEX('calcA'!AV$110:AV$114,$F9+1)+IF(AND($E9=1,KI9=0),1000,0)+IF($H9=1,INDEX('calcA'!$D$180:$EQ$219,$B9,45)*500,0)-IF(AND('calcA'!AU$117=1,VS9&gt;0),300,0)-IF(AND($U9=1,'calcA'!AV$117=1,EU9=0),300,0))),1000000000))</f>
        <v/>
      </c>
      <c r="PY9">
        <f>IF($B9=0,1000000000,IF(INDEX('calcA'!$D$60:$EQ$99,$B9,46)*IF($W9=1,EU9+ABJ9,EU9)=1,IF(AND($E9=2,IF($W9=1,AGY9,KJ9)=0),1000000000,IF($V9=1,INDEX('calcA'!$D$130:$EQ$169,$B9,46)+IF(AND($E9=1,KJ9=0),25,0),INDEX('calcA'!AW$110:AW$114,$F9+1)+IF(AND($E9=1,KJ9=0),1000,0)+IF($H9=1,INDEX('calcA'!$D$180:$EQ$219,$B9,46)*500,0)-IF(AND('calcA'!AV$117=1,VT9&gt;0),300,0)-IF(AND($U9=1,'calcA'!AW$117=1,EV9=0),300,0))),1000000000))</f>
        <v/>
      </c>
      <c r="PZ9">
        <f>IF($B9=0,1000000000,IF(INDEX('calcA'!$D$60:$EQ$99,$B9,47)*IF($W9=1,EV9+ABK9,EV9)=1,IF(AND($E9=2,IF($W9=1,AGZ9,KK9)=0),1000000000,IF($V9=1,INDEX('calcA'!$D$130:$EQ$169,$B9,47)+IF(AND($E9=1,KK9=0),25,0),INDEX('calcA'!AX$110:AX$114,$F9+1)+IF(AND($E9=1,KK9=0),1000,0)+IF($H9=1,INDEX('calcA'!$D$180:$EQ$219,$B9,47)*500,0)-IF(AND('calcA'!AW$117=1,VU9&gt;0),300,0)-IF(AND($U9=1,'calcA'!AX$117=1,EW9=0),300,0))),1000000000))</f>
        <v/>
      </c>
      <c r="QA9">
        <f>IF($B9=0,1000000000,IF(INDEX('calcA'!$D$60:$EQ$99,$B9,48)*IF($W9=1,EW9+ABL9,EW9)=1,IF(AND($E9=2,IF($W9=1,AHA9,KL9)=0),1000000000,IF($V9=1,INDEX('calcA'!$D$130:$EQ$169,$B9,48)+IF(AND($E9=1,KL9=0),25,0),INDEX('calcA'!AY$110:AY$114,$F9+1)+IF(AND($E9=1,KL9=0),1000,0)+IF($H9=1,INDEX('calcA'!$D$180:$EQ$219,$B9,48)*500,0)-IF(AND('calcA'!AX$117=1,VV9&gt;0),300,0))),1000000000))</f>
        <v/>
      </c>
      <c r="QB9">
        <f>IF($B9=0,1000000000,IF(INDEX('calcA'!$D$60:$EQ$99,$B9,49)*IF($W9=1,EX9+ABM9,EX9)=1,IF(AND($E9=2,IF($W9=1,AHB9,KM9)=0),1000000000,IF($V9=1,INDEX('calcA'!$D$130:$EQ$169,$B9,49)+IF(AND($E9=1,KM9=0),25,0),INDEX('calcA'!AZ$110:AZ$114,$F9+1)+IF(AND($E9=1,KM9=0),1000,0)+IF($H9=1,INDEX('calcA'!$D$180:$EQ$219,$B9,49)*500,0)-IF(AND($U9=1,'calcA'!AZ$117=1,EY9=0),300,0))),1000000000))</f>
        <v/>
      </c>
      <c r="QC9">
        <f>IF($B9=0,1000000000,IF(INDEX('calcA'!$D$60:$EQ$99,$B9,50)*IF($W9=1,EY9+ABN9,EY9)=1,IF(AND($E9=2,IF($W9=1,AHC9,KN9)=0),1000000000,IF($V9=1,INDEX('calcA'!$D$130:$EQ$169,$B9,50)+IF(AND($E9=1,KN9=0),25,0),INDEX('calcA'!BA$110:BA$114,$F9+1)+IF(AND($E9=1,KN9=0),1000,0)+IF($H9=1,INDEX('calcA'!$D$180:$EQ$219,$B9,50)*500,0)-IF(AND('calcA'!AZ$117=1,VX9&gt;0),300,0)-IF(AND($U9=1,'calcA'!BA$117=1,EZ9=0),300,0))),1000000000))</f>
        <v/>
      </c>
      <c r="QD9">
        <f>IF($B9=0,1000000000,IF(INDEX('calcA'!$D$60:$EQ$99,$B9,51)*IF($W9=1,EZ9+ABO9,EZ9)=1,IF(AND($E9=2,IF($W9=1,AHD9,KO9)=0),1000000000,IF($V9=1,INDEX('calcA'!$D$130:$EQ$169,$B9,51)+IF(AND($E9=1,KO9=0),25,0),INDEX('calcA'!BB$110:BB$114,$F9+1)+IF(AND($E9=1,KO9=0),1000,0)+IF($H9=1,INDEX('calcA'!$D$180:$EQ$219,$B9,51)*500,0)-IF(AND('calcA'!BA$117=1,VY9&gt;0),300,0)-IF(AND($U9=1,'calcA'!BB$117=1,FA9=0),300,0))),1000000000))</f>
        <v/>
      </c>
      <c r="QE9">
        <f>IF($B9=0,1000000000,IF(INDEX('calcA'!$D$60:$EQ$99,$B9,52)*IF($W9=1,FA9+ABP9,FA9)=1,IF(AND($E9=2,IF($W9=1,AHE9,KP9)=0),1000000000,IF($V9=1,INDEX('calcA'!$D$130:$EQ$169,$B9,52)+IF(AND($E9=1,KP9=0),25,0),INDEX('calcA'!BC$110:BC$114,$F9+1)+IF(AND($E9=1,KP9=0),1000,0)+IF($H9=1,INDEX('calcA'!$D$180:$EQ$219,$B9,52)*500,0)-IF(AND('calcA'!BB$117=1,VZ9&gt;0),300,0)-IF(AND($U9=1,'calcA'!BC$117=1,FB9=0),300,0))),1000000000))</f>
        <v/>
      </c>
      <c r="QF9">
        <f>IF($B9=0,1000000000,IF(INDEX('calcA'!$D$60:$EQ$99,$B9,53)*IF($W9=1,FB9+ABQ9,FB9)=1,IF(AND($E9=2,IF($W9=1,AHF9,KQ9)=0),1000000000,IF($V9=1,INDEX('calcA'!$D$130:$EQ$169,$B9,53)+IF(AND($E9=1,KQ9=0),25,0),INDEX('calcA'!BD$110:BD$114,$F9+1)+IF(AND($E9=1,KQ9=0),1000,0)+IF($H9=1,INDEX('calcA'!$D$180:$EQ$219,$B9,53)*500,0)-IF(AND('calcA'!BC$117=1,WA9&gt;0),300,0)-IF(AND($U9=1,'calcA'!BD$117=1,FC9=0),300,0))),1000000000))</f>
        <v/>
      </c>
      <c r="QG9">
        <f>IF($B9=0,1000000000,IF(INDEX('calcA'!$D$60:$EQ$99,$B9,54)*IF($W9=1,FC9+ABR9,FC9)=1,IF(AND($E9=2,IF($W9=1,AHG9,KR9)=0),1000000000,IF($V9=1,INDEX('calcA'!$D$130:$EQ$169,$B9,54)+IF(AND($E9=1,KR9=0),25,0),INDEX('calcA'!BE$110:BE$114,$F9+1)+IF(AND($E9=1,KR9=0),1000,0)+IF($H9=1,INDEX('calcA'!$D$180:$EQ$219,$B9,54)*500,0)-IF(AND('calcA'!BD$117=1,WB9&gt;0),300,0)-IF(AND($U9=1,'calcA'!BE$117=1,FD9=0),300,0))),1000000000))</f>
        <v/>
      </c>
      <c r="QH9">
        <f>IF($B9=0,1000000000,IF(INDEX('calcA'!$D$60:$EQ$99,$B9,55)*IF($W9=1,FD9+ABS9,FD9)=1,IF(AND($E9=2,IF($W9=1,AHH9,KS9)=0),1000000000,IF($V9=1,INDEX('calcA'!$D$130:$EQ$169,$B9,55)+IF(AND($E9=1,KS9=0),25,0),INDEX('calcA'!BF$110:BF$114,$F9+1)+IF(AND($E9=1,KS9=0),1000,0)+IF($H9=1,INDEX('calcA'!$D$180:$EQ$219,$B9,55)*500,0)-IF(AND('calcA'!BE$117=1,WC9&gt;0),300,0)-IF(AND($U9=1,'calcA'!BF$117=1,FE9=0),300,0))),1000000000))</f>
        <v/>
      </c>
      <c r="QI9">
        <f>IF($B9=0,1000000000,IF(INDEX('calcA'!$D$60:$EQ$99,$B9,56)*IF($W9=1,FE9+ABT9,FE9)=1,IF(AND($E9=2,IF($W9=1,AHI9,KT9)=0),1000000000,IF($V9=1,INDEX('calcA'!$D$130:$EQ$169,$B9,56)+IF(AND($E9=1,KT9=0),25,0),INDEX('calcA'!BG$110:BG$114,$F9+1)+IF(AND($E9=1,KT9=0),1000,0)+IF($H9=1,INDEX('calcA'!$D$180:$EQ$219,$B9,56)*500,0)-IF(AND('calcA'!BF$117=1,WD9&gt;0),300,0)-IF(AND($U9=1,'calcA'!BG$117=1,FF9=0),300,0))),1000000000))</f>
        <v/>
      </c>
      <c r="QJ9">
        <f>IF($B9=0,1000000000,IF(INDEX('calcA'!$D$60:$EQ$99,$B9,57)*IF($W9=1,FF9+ABU9,FF9)=1,IF(AND($E9=2,IF($W9=1,AHJ9,KU9)=0),1000000000,IF($V9=1,INDEX('calcA'!$D$130:$EQ$169,$B9,57)+IF(AND($E9=1,KU9=0),25,0),INDEX('calcA'!BH$110:BH$114,$F9+1)+IF(AND($E9=1,KU9=0),1000,0)+IF($H9=1,INDEX('calcA'!$D$180:$EQ$219,$B9,57)*500,0)-IF(AND('calcA'!BG$117=1,WE9&gt;0),300,0)-IF(AND($U9=1,'calcA'!BH$117=1,FG9=0),300,0))),1000000000))</f>
        <v/>
      </c>
      <c r="QK9">
        <f>IF($B9=0,1000000000,IF(INDEX('calcA'!$D$60:$EQ$99,$B9,58)*IF($W9=1,FG9+ABV9,FG9)=1,IF(AND($E9=2,IF($W9=1,AHK9,KV9)=0),1000000000,IF($V9=1,INDEX('calcA'!$D$130:$EQ$169,$B9,58)+IF(AND($E9=1,KV9=0),25,0),INDEX('calcA'!BI$110:BI$114,$F9+1)+IF(AND($E9=1,KV9=0),1000,0)+IF($H9=1,INDEX('calcA'!$D$180:$EQ$219,$B9,58)*500,0)-IF(AND('calcA'!BH$117=1,WF9&gt;0),300,0)-IF(AND($U9=1,'calcA'!BI$117=1,FH9=0),300,0))),1000000000))</f>
        <v/>
      </c>
      <c r="QL9">
        <f>IF($B9=0,1000000000,IF(INDEX('calcA'!$D$60:$EQ$99,$B9,59)*IF($W9=1,FH9+ABW9,FH9)=1,IF(AND($E9=2,IF($W9=1,AHL9,KW9)=0),1000000000,IF($V9=1,INDEX('calcA'!$D$130:$EQ$169,$B9,59)+IF(AND($E9=1,KW9=0),25,0),INDEX('calcA'!BJ$110:BJ$114,$F9+1)+IF(AND($E9=1,KW9=0),1000,0)+IF($H9=1,INDEX('calcA'!$D$180:$EQ$219,$B9,59)*500,0)-IF(AND('calcA'!BI$117=1,WG9&gt;0),300,0)-IF(AND($U9=1,'calcA'!BJ$117=1,FI9=0),300,0))),1000000000))</f>
        <v/>
      </c>
      <c r="QM9">
        <f>IF($B9=0,1000000000,IF(INDEX('calcA'!$D$60:$EQ$99,$B9,60)*IF($W9=1,FI9+ABX9,FI9)=1,IF(AND($E9=2,IF($W9=1,AHM9,KX9)=0),1000000000,IF($V9=1,INDEX('calcA'!$D$130:$EQ$169,$B9,60)+IF(AND($E9=1,KX9=0),25,0),INDEX('calcA'!BK$110:BK$114,$F9+1)+IF(AND($E9=1,KX9=0),1000,0)+IF($H9=1,INDEX('calcA'!$D$180:$EQ$219,$B9,60)*500,0)-IF(AND('calcA'!BJ$117=1,WH9&gt;0),300,0)-IF(AND($U9=1,'calcA'!BK$117=1,FJ9=0),300,0))),1000000000))</f>
        <v/>
      </c>
      <c r="QN9">
        <f>IF($B9=0,1000000000,IF(INDEX('calcA'!$D$60:$EQ$99,$B9,61)*IF($W9=1,FJ9+ABY9,FJ9)=1,IF(AND($E9=2,IF($W9=1,AHN9,KY9)=0),1000000000,IF($V9=1,INDEX('calcA'!$D$130:$EQ$169,$B9,61)+IF(AND($E9=1,KY9=0),25,0),INDEX('calcA'!BL$110:BL$114,$F9+1)+IF(AND($E9=1,KY9=0),1000,0)+IF($H9=1,INDEX('calcA'!$D$180:$EQ$219,$B9,61)*500,0)-IF(AND('calcA'!BK$117=1,WI9&gt;0),300,0)-IF(AND($U9=1,'calcA'!BL$117=1,FK9=0),300,0))),1000000000))</f>
        <v/>
      </c>
      <c r="QO9">
        <f>IF($B9=0,1000000000,IF(INDEX('calcA'!$D$60:$EQ$99,$B9,62)*IF($W9=1,FK9+ABZ9,FK9)=1,IF(AND($E9=2,IF($W9=1,AHO9,KZ9)=0),1000000000,IF($V9=1,INDEX('calcA'!$D$130:$EQ$169,$B9,62)+IF(AND($E9=1,KZ9=0),25,0),INDEX('calcA'!BM$110:BM$114,$F9+1)+IF(AND($E9=1,KZ9=0),1000,0)+IF($H9=1,INDEX('calcA'!$D$180:$EQ$219,$B9,62)*500,0)-IF(AND('calcA'!BL$117=1,WJ9&gt;0),300,0)-IF(AND($U9=1,'calcA'!BM$117=1,FL9=0),300,0))),1000000000))</f>
        <v/>
      </c>
      <c r="QP9">
        <f>IF($B9=0,1000000000,IF(INDEX('calcA'!$D$60:$EQ$99,$B9,63)*IF($W9=1,FL9+ACA9,FL9)=1,IF(AND($E9=2,IF($W9=1,AHP9,LA9)=0),1000000000,IF($V9=1,INDEX('calcA'!$D$130:$EQ$169,$B9,63)+IF(AND($E9=1,LA9=0),25,0),INDEX('calcA'!BN$110:BN$114,$F9+1)+IF(AND($E9=1,LA9=0),1000,0)+IF($H9=1,INDEX('calcA'!$D$180:$EQ$219,$B9,63)*500,0)-IF(AND('calcA'!BM$117=1,WK9&gt;0),300,0)-IF(AND($U9=1,'calcA'!BN$117=1,FM9=0),300,0))),1000000000))</f>
        <v/>
      </c>
      <c r="QQ9">
        <f>IF($B9=0,1000000000,IF(INDEX('calcA'!$D$60:$EQ$99,$B9,64)*IF($W9=1,FM9+ACB9,FM9)=1,IF(AND($E9=2,IF($W9=1,AHQ9,LB9)=0),1000000000,IF($V9=1,INDEX('calcA'!$D$130:$EQ$169,$B9,64)+IF(AND($E9=1,LB9=0),25,0),INDEX('calcA'!BO$110:BO$114,$F9+1)+IF(AND($E9=1,LB9=0),1000,0)+IF($H9=1,INDEX('calcA'!$D$180:$EQ$219,$B9,64)*500,0)-IF(AND('calcA'!BN$117=1,WL9&gt;0),300,0)-IF(AND($U9=1,'calcA'!BO$117=1,FN9=0),300,0))),1000000000))</f>
        <v/>
      </c>
      <c r="QR9">
        <f>IF($B9=0,1000000000,IF(INDEX('calcA'!$D$60:$EQ$99,$B9,65)*IF($W9=1,FN9+ACC9,FN9)=1,IF(AND($E9=2,IF($W9=1,AHR9,LC9)=0),1000000000,IF($V9=1,INDEX('calcA'!$D$130:$EQ$169,$B9,65)+IF(AND($E9=1,LC9=0),25,0),INDEX('calcA'!BP$110:BP$114,$F9+1)+IF(AND($E9=1,LC9=0),1000,0)+IF($H9=1,INDEX('calcA'!$D$180:$EQ$219,$B9,65)*500,0)-IF(AND('calcA'!BO$117=1,WM9&gt;0),300,0)-IF(AND($U9=1,'calcA'!BP$117=1,FO9=0),300,0))),1000000000))</f>
        <v/>
      </c>
      <c r="QS9">
        <f>IF($B9=0,1000000000,IF(INDEX('calcA'!$D$60:$EQ$99,$B9,66)*IF($W9=1,FO9+ACD9,FO9)=1,IF(AND($E9=2,IF($W9=1,AHS9,LD9)=0),1000000000,IF($V9=1,INDEX('calcA'!$D$130:$EQ$169,$B9,66)+IF(AND($E9=1,LD9=0),25,0),INDEX('calcA'!BQ$110:BQ$114,$F9+1)+IF(AND($E9=1,LD9=0),1000,0)+IF($H9=1,INDEX('calcA'!$D$180:$EQ$219,$B9,66)*500,0)-IF(AND('calcA'!BP$117=1,WN9&gt;0),300,0)-IF(AND($U9=1,'calcA'!BQ$117=1,FP9=0),300,0))),1000000000))</f>
        <v/>
      </c>
      <c r="QT9">
        <f>IF($B9=0,1000000000,IF(INDEX('calcA'!$D$60:$EQ$99,$B9,67)*IF($W9=1,FP9+ACE9,FP9)=1,IF(AND($E9=2,IF($W9=1,AHT9,LE9)=0),1000000000,IF($V9=1,INDEX('calcA'!$D$130:$EQ$169,$B9,67)+IF(AND($E9=1,LE9=0),25,0),INDEX('calcA'!BR$110:BR$114,$F9+1)+IF(AND($E9=1,LE9=0),1000,0)+IF($H9=1,INDEX('calcA'!$D$180:$EQ$219,$B9,67)*500,0)-IF(AND('calcA'!BQ$117=1,WO9&gt;0),300,0)-IF(AND($U9=1,'calcA'!BR$117=1,FQ9=0),300,0))),1000000000))</f>
        <v/>
      </c>
      <c r="QU9">
        <f>IF($B9=0,1000000000,IF(INDEX('calcA'!$D$60:$EQ$99,$B9,68)*IF($W9=1,FQ9+ACF9,FQ9)=1,IF(AND($E9=2,IF($W9=1,AHU9,LF9)=0),1000000000,IF($V9=1,INDEX('calcA'!$D$130:$EQ$169,$B9,68)+IF(AND($E9=1,LF9=0),25,0),INDEX('calcA'!BS$110:BS$114,$F9+1)+IF(AND($E9=1,LF9=0),1000,0)+IF($H9=1,INDEX('calcA'!$D$180:$EQ$219,$B9,68)*500,0)-IF(AND('calcA'!BR$117=1,WP9&gt;0),300,0)-IF(AND($U9=1,'calcA'!BS$117=1,FR9=0),300,0))),1000000000))</f>
        <v/>
      </c>
      <c r="QV9">
        <f>IF($B9=0,1000000000,IF(INDEX('calcA'!$D$60:$EQ$99,$B9,69)*IF($W9=1,FR9+ACG9,FR9)=1,IF(AND($E9=2,IF($W9=1,AHV9,LG9)=0),1000000000,IF($V9=1,INDEX('calcA'!$D$130:$EQ$169,$B9,69)+IF(AND($E9=1,LG9=0),25,0),INDEX('calcA'!BT$110:BT$114,$F9+1)+IF(AND($E9=1,LG9=0),1000,0)+IF($H9=1,INDEX('calcA'!$D$180:$EQ$219,$B9,69)*500,0)-IF(AND('calcA'!BS$117=1,WQ9&gt;0),300,0)-IF(AND($U9=1,'calcA'!BT$117=1,FS9=0),300,0))),1000000000))</f>
        <v/>
      </c>
      <c r="QW9">
        <f>IF($B9=0,1000000000,IF(INDEX('calcA'!$D$60:$EQ$99,$B9,70)*IF($W9=1,FS9+ACH9,FS9)=1,IF(AND($E9=2,IF($W9=1,AHW9,LH9)=0),1000000000,IF($V9=1,INDEX('calcA'!$D$130:$EQ$169,$B9,70)+IF(AND($E9=1,LH9=0),25,0),INDEX('calcA'!BU$110:BU$114,$F9+1)+IF(AND($E9=1,LH9=0),1000,0)+IF($H9=1,INDEX('calcA'!$D$180:$EQ$219,$B9,70)*500,0)-IF(AND('calcA'!BT$117=1,WR9&gt;0),300,0)-IF(AND($U9=1,'calcA'!BU$117=1,FT9=0),300,0))),1000000000))</f>
        <v/>
      </c>
      <c r="QX9">
        <f>IF($B9=0,1000000000,IF(INDEX('calcA'!$D$60:$EQ$99,$B9,71)*IF($W9=1,FT9+ACI9,FT9)=1,IF(AND($E9=2,IF($W9=1,AHX9,LI9)=0),1000000000,IF($V9=1,INDEX('calcA'!$D$130:$EQ$169,$B9,71)+IF(AND($E9=1,LI9=0),25,0),INDEX('calcA'!BV$110:BV$114,$F9+1)+IF(AND($E9=1,LI9=0),1000,0)+IF($H9=1,INDEX('calcA'!$D$180:$EQ$219,$B9,71)*500,0)-IF(AND('calcA'!BU$117=1,WS9&gt;0),300,0)-IF(AND($U9=1,'calcA'!BV$117=1,FU9=0),300,0))),1000000000))</f>
        <v/>
      </c>
      <c r="QY9">
        <f>IF($B9=0,1000000000,IF(INDEX('calcA'!$D$60:$EQ$99,$B9,72)*IF($W9=1,FU9+ACJ9,FU9)=1,IF(AND($E9=2,IF($W9=1,AHY9,LJ9)=0),1000000000,IF($V9=1,INDEX('calcA'!$D$130:$EQ$169,$B9,72)+IF(AND($E9=1,LJ9=0),25,0),INDEX('calcA'!BW$110:BW$114,$F9+1)+IF(AND($E9=1,LJ9=0),1000,0)+IF($H9=1,INDEX('calcA'!$D$180:$EQ$219,$B9,72)*500,0)-IF(AND('calcA'!BV$117=1,WT9&gt;0),300,0))),1000000000))</f>
        <v/>
      </c>
      <c r="QZ9">
        <f>IF($B9=0,1000000000,IF(INDEX('calcA'!$D$60:$EQ$99,$B9,73)*IF($W9=1,FV9+ACK9,FV9)=1,IF(AND($E9=2,IF($W9=1,AHZ9,LK9)=0),1000000000,IF($V9=1,INDEX('calcA'!$D$130:$EQ$169,$B9,73)+IF(AND($E9=1,LK9=0),25,0),INDEX('calcA'!BX$110:BX$114,$F9+1)+IF(AND($E9=1,LK9=0),1000,0)+IF($H9=1,INDEX('calcA'!$D$180:$EQ$219,$B9,73)*500,0)-IF(AND($U9=1,'calcA'!BX$117=1,FW9=0),300,0))),1000000000))</f>
        <v/>
      </c>
      <c r="RA9">
        <f>IF($B9=0,1000000000,IF(INDEX('calcA'!$D$60:$EQ$99,$B9,74)*IF($W9=1,FW9+ACL9,FW9)=1,IF(AND($E9=2,IF($W9=1,AIA9,LL9)=0),1000000000,IF($V9=1,INDEX('calcA'!$D$130:$EQ$169,$B9,74)+IF(AND($E9=1,LL9=0),25,0),INDEX('calcA'!BY$110:BY$114,$F9+1)+IF(AND($E9=1,LL9=0),1000,0)+IF($H9=1,INDEX('calcA'!$D$180:$EQ$219,$B9,74)*500,0)-IF(AND('calcA'!BX$117=1,WV9&gt;0),300,0)-IF(AND($U9=1,'calcA'!BY$117=1,FX9=0),300,0))),1000000000))</f>
        <v/>
      </c>
      <c r="RB9">
        <f>IF($B9=0,1000000000,IF(INDEX('calcA'!$D$60:$EQ$99,$B9,75)*IF($W9=1,FX9+ACM9,FX9)=1,IF(AND($E9=2,IF($W9=1,AIB9,LM9)=0),1000000000,IF($V9=1,INDEX('calcA'!$D$130:$EQ$169,$B9,75)+IF(AND($E9=1,LM9=0),25,0),INDEX('calcA'!BZ$110:BZ$114,$F9+1)+IF(AND($E9=1,LM9=0),1000,0)+IF($H9=1,INDEX('calcA'!$D$180:$EQ$219,$B9,75)*500,0)-IF(AND('calcA'!BY$117=1,WW9&gt;0),300,0)-IF(AND($U9=1,'calcA'!BZ$117=1,FY9=0),300,0))),1000000000))</f>
        <v/>
      </c>
      <c r="RC9">
        <f>IF($B9=0,1000000000,IF(INDEX('calcA'!$D$60:$EQ$99,$B9,76)*IF($W9=1,FY9+ACN9,FY9)=1,IF(AND($E9=2,IF($W9=1,AIC9,LN9)=0),1000000000,IF($V9=1,INDEX('calcA'!$D$130:$EQ$169,$B9,76)+IF(AND($E9=1,LN9=0),25,0),INDEX('calcA'!CA$110:CA$114,$F9+1)+IF(AND($E9=1,LN9=0),1000,0)+IF($H9=1,INDEX('calcA'!$D$180:$EQ$219,$B9,76)*500,0)-IF(AND('calcA'!BZ$117=1,WX9&gt;0),300,0)-IF(AND($U9=1,'calcA'!CA$117=1,FZ9=0),300,0))),1000000000))</f>
        <v/>
      </c>
      <c r="RD9">
        <f>IF($B9=0,1000000000,IF(INDEX('calcA'!$D$60:$EQ$99,$B9,77)*IF($W9=1,FZ9+ACO9,FZ9)=1,IF(AND($E9=2,IF($W9=1,AID9,LO9)=0),1000000000,IF($V9=1,INDEX('calcA'!$D$130:$EQ$169,$B9,77)+IF(AND($E9=1,LO9=0),25,0),INDEX('calcA'!CB$110:CB$114,$F9+1)+IF(AND($E9=1,LO9=0),1000,0)+IF($H9=1,INDEX('calcA'!$D$180:$EQ$219,$B9,77)*500,0)-IF(AND('calcA'!CA$117=1,WY9&gt;0),300,0)-IF(AND($U9=1,'calcA'!CB$117=1,GA9=0),300,0))),1000000000))</f>
        <v/>
      </c>
      <c r="RE9">
        <f>IF($B9=0,1000000000,IF(INDEX('calcA'!$D$60:$EQ$99,$B9,78)*IF($W9=1,GA9+ACP9,GA9)=1,IF(AND($E9=2,IF($W9=1,AIE9,LP9)=0),1000000000,IF($V9=1,INDEX('calcA'!$D$130:$EQ$169,$B9,78)+IF(AND($E9=1,LP9=0),25,0),INDEX('calcA'!CC$110:CC$114,$F9+1)+IF(AND($E9=1,LP9=0),1000,0)+IF($H9=1,INDEX('calcA'!$D$180:$EQ$219,$B9,78)*500,0)-IF(AND('calcA'!CB$117=1,WZ9&gt;0),300,0)-IF(AND($U9=1,'calcA'!CC$117=1,GB9=0),300,0))),1000000000))</f>
        <v/>
      </c>
      <c r="RF9">
        <f>IF($B9=0,1000000000,IF(INDEX('calcA'!$D$60:$EQ$99,$B9,79)*IF($W9=1,GB9+ACQ9,GB9)=1,IF(AND($E9=2,IF($W9=1,AIF9,LQ9)=0),1000000000,IF($V9=1,INDEX('calcA'!$D$130:$EQ$169,$B9,79)+IF(AND($E9=1,LQ9=0),25,0),INDEX('calcA'!CD$110:CD$114,$F9+1)+IF(AND($E9=1,LQ9=0),1000,0)+IF($H9=1,INDEX('calcA'!$D$180:$EQ$219,$B9,79)*500,0)-IF(AND('calcA'!CC$117=1,XA9&gt;0),300,0)-IF(AND($U9=1,'calcA'!CD$117=1,GC9=0),300,0))),1000000000))</f>
        <v/>
      </c>
      <c r="RG9">
        <f>IF($B9=0,1000000000,IF(INDEX('calcA'!$D$60:$EQ$99,$B9,80)*IF($W9=1,GC9+ACR9,GC9)=1,IF(AND($E9=2,IF($W9=1,AIG9,LR9)=0),1000000000,IF($V9=1,INDEX('calcA'!$D$130:$EQ$169,$B9,80)+IF(AND($E9=1,LR9=0),25,0),INDEX('calcA'!CE$110:CE$114,$F9+1)+IF(AND($E9=1,LR9=0),1000,0)+IF($H9=1,INDEX('calcA'!$D$180:$EQ$219,$B9,80)*500,0)-IF(AND('calcA'!CD$117=1,XB9&gt;0),300,0)-IF(AND($U9=1,'calcA'!CE$117=1,GD9=0),300,0))),1000000000))</f>
        <v/>
      </c>
      <c r="RH9">
        <f>IF($B9=0,1000000000,IF(INDEX('calcA'!$D$60:$EQ$99,$B9,81)*IF($W9=1,GD9+ACS9,GD9)=1,IF(AND($E9=2,IF($W9=1,AIH9,LS9)=0),1000000000,IF($V9=1,INDEX('calcA'!$D$130:$EQ$169,$B9,81)+IF(AND($E9=1,LS9=0),25,0),INDEX('calcA'!CF$110:CF$114,$F9+1)+IF(AND($E9=1,LS9=0),1000,0)+IF($H9=1,INDEX('calcA'!$D$180:$EQ$219,$B9,81)*500,0)-IF(AND('calcA'!CE$117=1,XC9&gt;0),300,0)-IF(AND($U9=1,'calcA'!CF$117=1,GE9=0),300,0))),1000000000))</f>
        <v/>
      </c>
      <c r="RI9">
        <f>IF($B9=0,1000000000,IF(INDEX('calcA'!$D$60:$EQ$99,$B9,82)*IF($W9=1,GE9+ACT9,GE9)=1,IF(AND($E9=2,IF($W9=1,AII9,LT9)=0),1000000000,IF($V9=1,INDEX('calcA'!$D$130:$EQ$169,$B9,82)+IF(AND($E9=1,LT9=0),25,0),INDEX('calcA'!CG$110:CG$114,$F9+1)+IF(AND($E9=1,LT9=0),1000,0)+IF($H9=1,INDEX('calcA'!$D$180:$EQ$219,$B9,82)*500,0)-IF(AND('calcA'!CF$117=1,XD9&gt;0),300,0)-IF(AND($U9=1,'calcA'!CG$117=1,GF9=0),300,0))),1000000000))</f>
        <v/>
      </c>
      <c r="RJ9">
        <f>IF($B9=0,1000000000,IF(INDEX('calcA'!$D$60:$EQ$99,$B9,83)*IF($W9=1,GF9+ACU9,GF9)=1,IF(AND($E9=2,IF($W9=1,AIJ9,LU9)=0),1000000000,IF($V9=1,INDEX('calcA'!$D$130:$EQ$169,$B9,83)+IF(AND($E9=1,LU9=0),25,0),INDEX('calcA'!CH$110:CH$114,$F9+1)+IF(AND($E9=1,LU9=0),1000,0)+IF($H9=1,INDEX('calcA'!$D$180:$EQ$219,$B9,83)*500,0)-IF(AND('calcA'!CG$117=1,XE9&gt;0),300,0)-IF(AND($U9=1,'calcA'!CH$117=1,GG9=0),300,0))),1000000000))</f>
        <v/>
      </c>
      <c r="RK9">
        <f>IF($B9=0,1000000000,IF(INDEX('calcA'!$D$60:$EQ$99,$B9,84)*IF($W9=1,GG9+ACV9,GG9)=1,IF(AND($E9=2,IF($W9=1,AIK9,LV9)=0),1000000000,IF($V9=1,INDEX('calcA'!$D$130:$EQ$169,$B9,84)+IF(AND($E9=1,LV9=0),25,0),INDEX('calcA'!CI$110:CI$114,$F9+1)+IF(AND($E9=1,LV9=0),1000,0)+IF($H9=1,INDEX('calcA'!$D$180:$EQ$219,$B9,84)*500,0)-IF(AND('calcA'!CH$117=1,XF9&gt;0),300,0)-IF(AND($U9=1,'calcA'!CI$117=1,GH9=0),300,0))),1000000000))</f>
        <v/>
      </c>
      <c r="RL9">
        <f>IF($B9=0,1000000000,IF(INDEX('calcA'!$D$60:$EQ$99,$B9,85)*IF($W9=1,GH9+ACW9,GH9)=1,IF(AND($E9=2,IF($W9=1,AIL9,LW9)=0),1000000000,IF($V9=1,INDEX('calcA'!$D$130:$EQ$169,$B9,85)+IF(AND($E9=1,LW9=0),25,0),INDEX('calcA'!CJ$110:CJ$114,$F9+1)+IF(AND($E9=1,LW9=0),1000,0)+IF($H9=1,INDEX('calcA'!$D$180:$EQ$219,$B9,85)*500,0)-IF(AND('calcA'!CI$117=1,XG9&gt;0),300,0)-IF(AND($U9=1,'calcA'!CJ$117=1,GI9=0),300,0))),1000000000))</f>
        <v/>
      </c>
      <c r="RM9">
        <f>IF($B9=0,1000000000,IF(INDEX('calcA'!$D$60:$EQ$99,$B9,86)*IF($W9=1,GI9+ACX9,GI9)=1,IF(AND($E9=2,IF($W9=1,AIM9,LX9)=0),1000000000,IF($V9=1,INDEX('calcA'!$D$130:$EQ$169,$B9,86)+IF(AND($E9=1,LX9=0),25,0),INDEX('calcA'!CK$110:CK$114,$F9+1)+IF(AND($E9=1,LX9=0),1000,0)+IF($H9=1,INDEX('calcA'!$D$180:$EQ$219,$B9,86)*500,0)-IF(AND('calcA'!CJ$117=1,XH9&gt;0),300,0)-IF(AND($U9=1,'calcA'!CK$117=1,GJ9=0),300,0))),1000000000))</f>
        <v/>
      </c>
      <c r="RN9">
        <f>IF($B9=0,1000000000,IF(INDEX('calcA'!$D$60:$EQ$99,$B9,87)*IF($W9=1,GJ9+ACY9,GJ9)=1,IF(AND($E9=2,IF($W9=1,AIN9,LY9)=0),1000000000,IF($V9=1,INDEX('calcA'!$D$130:$EQ$169,$B9,87)+IF(AND($E9=1,LY9=0),25,0),INDEX('calcA'!CL$110:CL$114,$F9+1)+IF(AND($E9=1,LY9=0),1000,0)+IF($H9=1,INDEX('calcA'!$D$180:$EQ$219,$B9,87)*500,0)-IF(AND('calcA'!CK$117=1,XI9&gt;0),300,0)-IF(AND($U9=1,'calcA'!CL$117=1,GK9=0),300,0))),1000000000))</f>
        <v/>
      </c>
      <c r="RO9">
        <f>IF($B9=0,1000000000,IF(INDEX('calcA'!$D$60:$EQ$99,$B9,88)*IF($W9=1,GK9+ACZ9,GK9)=1,IF(AND($E9=2,IF($W9=1,AIO9,LZ9)=0),1000000000,IF($V9=1,INDEX('calcA'!$D$130:$EQ$169,$B9,88)+IF(AND($E9=1,LZ9=0),25,0),INDEX('calcA'!CM$110:CM$114,$F9+1)+IF(AND($E9=1,LZ9=0),1000,0)+IF($H9=1,INDEX('calcA'!$D$180:$EQ$219,$B9,88)*500,0)-IF(AND('calcA'!CL$117=1,XJ9&gt;0),300,0)-IF(AND($U9=1,'calcA'!CM$117=1,GL9=0),300,0))),1000000000))</f>
        <v/>
      </c>
      <c r="RP9">
        <f>IF($B9=0,1000000000,IF(INDEX('calcA'!$D$60:$EQ$99,$B9,89)*IF($W9=1,GL9+ADA9,GL9)=1,IF(AND($E9=2,IF($W9=1,AIP9,MA9)=0),1000000000,IF($V9=1,INDEX('calcA'!$D$130:$EQ$169,$B9,89)+IF(AND($E9=1,MA9=0),25,0),INDEX('calcA'!CN$110:CN$114,$F9+1)+IF(AND($E9=1,MA9=0),1000,0)+IF($H9=1,INDEX('calcA'!$D$180:$EQ$219,$B9,89)*500,0)-IF(AND('calcA'!CM$117=1,XK9&gt;0),300,0)-IF(AND($U9=1,'calcA'!CN$117=1,GM9=0),300,0))),1000000000))</f>
        <v/>
      </c>
      <c r="RQ9">
        <f>IF($B9=0,1000000000,IF(INDEX('calcA'!$D$60:$EQ$99,$B9,90)*IF($W9=1,GM9+ADB9,GM9)=1,IF(AND($E9=2,IF($W9=1,AIQ9,MB9)=0),1000000000,IF($V9=1,INDEX('calcA'!$D$130:$EQ$169,$B9,90)+IF(AND($E9=1,MB9=0),25,0),INDEX('calcA'!CO$110:CO$114,$F9+1)+IF(AND($E9=1,MB9=0),1000,0)+IF($H9=1,INDEX('calcA'!$D$180:$EQ$219,$B9,90)*500,0)-IF(AND('calcA'!CN$117=1,XL9&gt;0),300,0)-IF(AND($U9=1,'calcA'!CO$117=1,GN9=0),300,0))),1000000000))</f>
        <v/>
      </c>
      <c r="RR9">
        <f>IF($B9=0,1000000000,IF(INDEX('calcA'!$D$60:$EQ$99,$B9,91)*IF($W9=1,GN9+ADC9,GN9)=1,IF(AND($E9=2,IF($W9=1,AIR9,MC9)=0),1000000000,IF($V9=1,INDEX('calcA'!$D$130:$EQ$169,$B9,91)+IF(AND($E9=1,MC9=0),25,0),INDEX('calcA'!CP$110:CP$114,$F9+1)+IF(AND($E9=1,MC9=0),1000,0)+IF($H9=1,INDEX('calcA'!$D$180:$EQ$219,$B9,91)*500,0)-IF(AND('calcA'!CO$117=1,XM9&gt;0),300,0)-IF(AND($U9=1,'calcA'!CP$117=1,GO9=0),300,0))),1000000000))</f>
        <v/>
      </c>
      <c r="RS9">
        <f>IF($B9=0,1000000000,IF(INDEX('calcA'!$D$60:$EQ$99,$B9,92)*IF($W9=1,GO9+ADD9,GO9)=1,IF(AND($E9=2,IF($W9=1,AIS9,MD9)=0),1000000000,IF($V9=1,INDEX('calcA'!$D$130:$EQ$169,$B9,92)+IF(AND($E9=1,MD9=0),25,0),INDEX('calcA'!CQ$110:CQ$114,$F9+1)+IF(AND($E9=1,MD9=0),1000,0)+IF($H9=1,INDEX('calcA'!$D$180:$EQ$219,$B9,92)*500,0)-IF(AND('calcA'!CP$117=1,XN9&gt;0),300,0)-IF(AND($U9=1,'calcA'!CQ$117=1,GP9=0),300,0))),1000000000))</f>
        <v/>
      </c>
      <c r="RT9">
        <f>IF($B9=0,1000000000,IF(INDEX('calcA'!$D$60:$EQ$99,$B9,93)*IF($W9=1,GP9+ADE9,GP9)=1,IF(AND($E9=2,IF($W9=1,AIT9,ME9)=0),1000000000,IF($V9=1,INDEX('calcA'!$D$130:$EQ$169,$B9,93)+IF(AND($E9=1,ME9=0),25,0),INDEX('calcA'!CR$110:CR$114,$F9+1)+IF(AND($E9=1,ME9=0),1000,0)+IF($H9=1,INDEX('calcA'!$D$180:$EQ$219,$B9,93)*500,0)-IF(AND('calcA'!CQ$117=1,XO9&gt;0),300,0)-IF(AND($U9=1,'calcA'!CR$117=1,GQ9=0),300,0))),1000000000))</f>
        <v/>
      </c>
      <c r="RU9">
        <f>IF($B9=0,1000000000,IF(INDEX('calcA'!$D$60:$EQ$99,$B9,94)*IF($W9=1,GQ9+ADF9,GQ9)=1,IF(AND($E9=2,IF($W9=1,AIU9,MF9)=0),1000000000,IF($V9=1,INDEX('calcA'!$D$130:$EQ$169,$B9,94)+IF(AND($E9=1,MF9=0),25,0),INDEX('calcA'!CS$110:CS$114,$F9+1)+IF(AND($E9=1,MF9=0),1000,0)+IF($H9=1,INDEX('calcA'!$D$180:$EQ$219,$B9,94)*500,0)-IF(AND('calcA'!CR$117=1,XP9&gt;0),300,0)-IF(AND($U9=1,'calcA'!CS$117=1,GR9=0),300,0))),1000000000))</f>
        <v/>
      </c>
      <c r="RV9">
        <f>IF($B9=0,1000000000,IF(INDEX('calcA'!$D$60:$EQ$99,$B9,95)*IF($W9=1,GR9+ADG9,GR9)=1,IF(AND($E9=2,IF($W9=1,AIV9,MG9)=0),1000000000,IF($V9=1,INDEX('calcA'!$D$130:$EQ$169,$B9,95)+IF(AND($E9=1,MG9=0),25,0),INDEX('calcA'!CT$110:CT$114,$F9+1)+IF(AND($E9=1,MG9=0),1000,0)+IF($H9=1,INDEX('calcA'!$D$180:$EQ$219,$B9,95)*500,0)-IF(AND('calcA'!CS$117=1,XQ9&gt;0),300,0)-IF(AND($U9=1,'calcA'!CT$117=1,GS9=0),300,0))),1000000000))</f>
        <v/>
      </c>
      <c r="RW9">
        <f>IF($B9=0,1000000000,IF(INDEX('calcA'!$D$60:$EQ$99,$B9,96)*IF($W9=1,GS9+ADH9,GS9)=1,IF(AND($E9=2,IF($W9=1,AIW9,MH9)=0),1000000000,IF($V9=1,INDEX('calcA'!$D$130:$EQ$169,$B9,96)+IF(AND($E9=1,MH9=0),25,0),INDEX('calcA'!CU$110:CU$114,$F9+1)+IF(AND($E9=1,MH9=0),1000,0)+IF($H9=1,INDEX('calcA'!$D$180:$EQ$219,$B9,96)*500,0)-IF(AND('calcA'!CT$117=1,XR9&gt;0),300,0))),1000000000))</f>
        <v/>
      </c>
      <c r="RX9">
        <f>IF($B9=0,1000000000,IF(INDEX('calcA'!$D$60:$EQ$99,$B9,97)*IF($W9=1,GT9+ADI9,GT9)=1,IF(AND($E9=2,IF($W9=1,AIX9,MI9)=0),1000000000,IF($V9=1,INDEX('calcA'!$D$130:$EQ$169,$B9,97)+IF(AND($E9=1,MI9=0),25,0),INDEX('calcA'!CV$110:CV$114,$F9+1)+IF(AND($E9=1,MI9=0),1000,0)+IF($H9=1,INDEX('calcA'!$D$180:$EQ$219,$B9,97)*500,0)-IF(AND($U9=1,'calcA'!CV$117=1,GU9=0),300,0))),1000000000))</f>
        <v/>
      </c>
      <c r="RY9">
        <f>IF($B9=0,1000000000,IF(INDEX('calcA'!$D$60:$EQ$99,$B9,98)*IF($W9=1,GU9+ADJ9,GU9)=1,IF(AND($E9=2,IF($W9=1,AIY9,MJ9)=0),1000000000,IF($V9=1,INDEX('calcA'!$D$130:$EQ$169,$B9,98)+IF(AND($E9=1,MJ9=0),25,0),INDEX('calcA'!CW$110:CW$114,$F9+1)+IF(AND($E9=1,MJ9=0),1000,0)+IF($H9=1,INDEX('calcA'!$D$180:$EQ$219,$B9,98)*500,0)-IF(AND('calcA'!CV$117=1,XT9&gt;0),300,0)-IF(AND($U9=1,'calcA'!CW$117=1,GV9=0),300,0))),1000000000))</f>
        <v/>
      </c>
      <c r="RZ9">
        <f>IF($B9=0,1000000000,IF(INDEX('calcA'!$D$60:$EQ$99,$B9,99)*IF($W9=1,GV9+ADK9,GV9)=1,IF(AND($E9=2,IF($W9=1,AIZ9,MK9)=0),1000000000,IF($V9=1,INDEX('calcA'!$D$130:$EQ$169,$B9,99)+IF(AND($E9=1,MK9=0),25,0),INDEX('calcA'!CX$110:CX$114,$F9+1)+IF(AND($E9=1,MK9=0),1000,0)+IF($H9=1,INDEX('calcA'!$D$180:$EQ$219,$B9,99)*500,0)-IF(AND('calcA'!CW$117=1,XU9&gt;0),300,0)-IF(AND($U9=1,'calcA'!CX$117=1,GW9=0),300,0))),1000000000))</f>
        <v/>
      </c>
      <c r="SA9">
        <f>IF($B9=0,1000000000,IF(INDEX('calcA'!$D$60:$EQ$99,$B9,100)*IF($W9=1,GW9+ADL9,GW9)=1,IF(AND($E9=2,IF($W9=1,AJA9,ML9)=0),1000000000,IF($V9=1,INDEX('calcA'!$D$130:$EQ$169,$B9,100)+IF(AND($E9=1,ML9=0),25,0),INDEX('calcA'!CY$110:CY$114,$F9+1)+IF(AND($E9=1,ML9=0),1000,0)+IF($H9=1,INDEX('calcA'!$D$180:$EQ$219,$B9,100)*500,0)-IF(AND('calcA'!CX$117=1,XV9&gt;0),300,0)-IF(AND($U9=1,'calcA'!CY$117=1,GX9=0),300,0))),1000000000))</f>
        <v/>
      </c>
      <c r="SB9">
        <f>IF($B9=0,1000000000,IF(INDEX('calcA'!$D$60:$EQ$99,$B9,101)*IF($W9=1,GX9+ADM9,GX9)=1,IF(AND($E9=2,IF($W9=1,AJB9,MM9)=0),1000000000,IF($V9=1,INDEX('calcA'!$D$130:$EQ$169,$B9,101)+IF(AND($E9=1,MM9=0),25,0),INDEX('calcA'!CZ$110:CZ$114,$F9+1)+IF(AND($E9=1,MM9=0),1000,0)+IF($H9=1,INDEX('calcA'!$D$180:$EQ$219,$B9,101)*500,0)-IF(AND('calcA'!CY$117=1,XW9&gt;0),300,0)-IF(AND($U9=1,'calcA'!CZ$117=1,GY9=0),300,0))),1000000000))</f>
        <v/>
      </c>
      <c r="SC9">
        <f>IF($B9=0,1000000000,IF(INDEX('calcA'!$D$60:$EQ$99,$B9,102)*IF($W9=1,GY9+ADN9,GY9)=1,IF(AND($E9=2,IF($W9=1,AJC9,MN9)=0),1000000000,IF($V9=1,INDEX('calcA'!$D$130:$EQ$169,$B9,102)+IF(AND($E9=1,MN9=0),25,0),INDEX('calcA'!DA$110:DA$114,$F9+1)+IF(AND($E9=1,MN9=0),1000,0)+IF($H9=1,INDEX('calcA'!$D$180:$EQ$219,$B9,102)*500,0)-IF(AND('calcA'!CZ$117=1,XX9&gt;0),300,0)-IF(AND($U9=1,'calcA'!DA$117=1,GZ9=0),300,0))),1000000000))</f>
        <v/>
      </c>
      <c r="SD9">
        <f>IF($B9=0,1000000000,IF(INDEX('calcA'!$D$60:$EQ$99,$B9,103)*IF($W9=1,GZ9+ADO9,GZ9)=1,IF(AND($E9=2,IF($W9=1,AJD9,MO9)=0),1000000000,IF($V9=1,INDEX('calcA'!$D$130:$EQ$169,$B9,103)+IF(AND($E9=1,MO9=0),25,0),INDEX('calcA'!DB$110:DB$114,$F9+1)+IF(AND($E9=1,MO9=0),1000,0)+IF($H9=1,INDEX('calcA'!$D$180:$EQ$219,$B9,103)*500,0)-IF(AND('calcA'!DA$117=1,XY9&gt;0),300,0)-IF(AND($U9=1,'calcA'!DB$117=1,HA9=0),300,0))),1000000000))</f>
        <v/>
      </c>
      <c r="SE9">
        <f>IF($B9=0,1000000000,IF(INDEX('calcA'!$D$60:$EQ$99,$B9,104)*IF($W9=1,HA9+ADP9,HA9)=1,IF(AND($E9=2,IF($W9=1,AJE9,MP9)=0),1000000000,IF($V9=1,INDEX('calcA'!$D$130:$EQ$169,$B9,104)+IF(AND($E9=1,MP9=0),25,0),INDEX('calcA'!DC$110:DC$114,$F9+1)+IF(AND($E9=1,MP9=0),1000,0)+IF($H9=1,INDEX('calcA'!$D$180:$EQ$219,$B9,104)*500,0)-IF(AND('calcA'!DB$117=1,XZ9&gt;0),300,0)-IF(AND($U9=1,'calcA'!DC$117=1,HB9=0),300,0))),1000000000))</f>
        <v/>
      </c>
      <c r="SF9">
        <f>IF($B9=0,1000000000,IF(INDEX('calcA'!$D$60:$EQ$99,$B9,105)*IF($W9=1,HB9+ADQ9,HB9)=1,IF(AND($E9=2,IF($W9=1,AJF9,MQ9)=0),1000000000,IF($V9=1,INDEX('calcA'!$D$130:$EQ$169,$B9,105)+IF(AND($E9=1,MQ9=0),25,0),INDEX('calcA'!DD$110:DD$114,$F9+1)+IF(AND($E9=1,MQ9=0),1000,0)+IF($H9=1,INDEX('calcA'!$D$180:$EQ$219,$B9,105)*500,0)-IF(AND('calcA'!DC$117=1,YA9&gt;0),300,0)-IF(AND($U9=1,'calcA'!DD$117=1,HC9=0),300,0))),1000000000))</f>
        <v/>
      </c>
      <c r="SG9">
        <f>IF($B9=0,1000000000,IF(INDEX('calcA'!$D$60:$EQ$99,$B9,106)*IF($W9=1,HC9+ADR9,HC9)=1,IF(AND($E9=2,IF($W9=1,AJG9,MR9)=0),1000000000,IF($V9=1,INDEX('calcA'!$D$130:$EQ$169,$B9,106)+IF(AND($E9=1,MR9=0),25,0),INDEX('calcA'!DE$110:DE$114,$F9+1)+IF(AND($E9=1,MR9=0),1000,0)+IF($H9=1,INDEX('calcA'!$D$180:$EQ$219,$B9,106)*500,0)-IF(AND('calcA'!DD$117=1,YB9&gt;0),300,0)-IF(AND($U9=1,'calcA'!DE$117=1,HD9=0),300,0))),1000000000))</f>
        <v/>
      </c>
      <c r="SH9">
        <f>IF($B9=0,1000000000,IF(INDEX('calcA'!$D$60:$EQ$99,$B9,107)*IF($W9=1,HD9+ADS9,HD9)=1,IF(AND($E9=2,IF($W9=1,AJH9,MS9)=0),1000000000,IF($V9=1,INDEX('calcA'!$D$130:$EQ$169,$B9,107)+IF(AND($E9=1,MS9=0),25,0),INDEX('calcA'!DF$110:DF$114,$F9+1)+IF(AND($E9=1,MS9=0),1000,0)+IF($H9=1,INDEX('calcA'!$D$180:$EQ$219,$B9,107)*500,0)-IF(AND('calcA'!DE$117=1,YC9&gt;0),300,0)-IF(AND($U9=1,'calcA'!DF$117=1,HE9=0),300,0))),1000000000))</f>
        <v/>
      </c>
      <c r="SI9">
        <f>IF($B9=0,1000000000,IF(INDEX('calcA'!$D$60:$EQ$99,$B9,108)*IF($W9=1,HE9+ADT9,HE9)=1,IF(AND($E9=2,IF($W9=1,AJI9,MT9)=0),1000000000,IF($V9=1,INDEX('calcA'!$D$130:$EQ$169,$B9,108)+IF(AND($E9=1,MT9=0),25,0),INDEX('calcA'!DG$110:DG$114,$F9+1)+IF(AND($E9=1,MT9=0),1000,0)+IF($H9=1,INDEX('calcA'!$D$180:$EQ$219,$B9,108)*500,0)-IF(AND('calcA'!DF$117=1,YD9&gt;0),300,0)-IF(AND($U9=1,'calcA'!DG$117=1,HF9=0),300,0))),1000000000))</f>
        <v/>
      </c>
      <c r="SJ9">
        <f>IF($B9=0,1000000000,IF(INDEX('calcA'!$D$60:$EQ$99,$B9,109)*IF($W9=1,HF9+ADU9,HF9)=1,IF(AND($E9=2,IF($W9=1,AJJ9,MU9)=0),1000000000,IF($V9=1,INDEX('calcA'!$D$130:$EQ$169,$B9,109)+IF(AND($E9=1,MU9=0),25,0),INDEX('calcA'!DH$110:DH$114,$F9+1)+IF(AND($E9=1,MU9=0),1000,0)+IF($H9=1,INDEX('calcA'!$D$180:$EQ$219,$B9,109)*500,0)-IF(AND('calcA'!DG$117=1,YE9&gt;0),300,0)-IF(AND($U9=1,'calcA'!DH$117=1,HG9=0),300,0))),1000000000))</f>
        <v/>
      </c>
      <c r="SK9">
        <f>IF($B9=0,1000000000,IF(INDEX('calcA'!$D$60:$EQ$99,$B9,110)*IF($W9=1,HG9+ADV9,HG9)=1,IF(AND($E9=2,IF($W9=1,AJK9,MV9)=0),1000000000,IF($V9=1,INDEX('calcA'!$D$130:$EQ$169,$B9,110)+IF(AND($E9=1,MV9=0),25,0),INDEX('calcA'!DI$110:DI$114,$F9+1)+IF(AND($E9=1,MV9=0),1000,0)+IF($H9=1,INDEX('calcA'!$D$180:$EQ$219,$B9,110)*500,0)-IF(AND('calcA'!DH$117=1,YF9&gt;0),300,0)-IF(AND($U9=1,'calcA'!DI$117=1,HH9=0),300,0))),1000000000))</f>
        <v/>
      </c>
      <c r="SL9">
        <f>IF($B9=0,1000000000,IF(INDEX('calcA'!$D$60:$EQ$99,$B9,111)*IF($W9=1,HH9+ADW9,HH9)=1,IF(AND($E9=2,IF($W9=1,AJL9,MW9)=0),1000000000,IF($V9=1,INDEX('calcA'!$D$130:$EQ$169,$B9,111)+IF(AND($E9=1,MW9=0),25,0),INDEX('calcA'!DJ$110:DJ$114,$F9+1)+IF(AND($E9=1,MW9=0),1000,0)+IF($H9=1,INDEX('calcA'!$D$180:$EQ$219,$B9,111)*500,0)-IF(AND('calcA'!DI$117=1,YG9&gt;0),300,0)-IF(AND($U9=1,'calcA'!DJ$117=1,HI9=0),300,0))),1000000000))</f>
        <v/>
      </c>
      <c r="SM9">
        <f>IF($B9=0,1000000000,IF(INDEX('calcA'!$D$60:$EQ$99,$B9,112)*IF($W9=1,HI9+ADX9,HI9)=1,IF(AND($E9=2,IF($W9=1,AJM9,MX9)=0),1000000000,IF($V9=1,INDEX('calcA'!$D$130:$EQ$169,$B9,112)+IF(AND($E9=1,MX9=0),25,0),INDEX('calcA'!DK$110:DK$114,$F9+1)+IF(AND($E9=1,MX9=0),1000,0)+IF($H9=1,INDEX('calcA'!$D$180:$EQ$219,$B9,112)*500,0)-IF(AND('calcA'!DJ$117=1,YH9&gt;0),300,0)-IF(AND($U9=1,'calcA'!DK$117=1,HJ9=0),300,0))),1000000000))</f>
        <v/>
      </c>
      <c r="SN9">
        <f>IF($B9=0,1000000000,IF(INDEX('calcA'!$D$60:$EQ$99,$B9,113)*IF($W9=1,HJ9+ADY9,HJ9)=1,IF(AND($E9=2,IF($W9=1,AJN9,MY9)=0),1000000000,IF($V9=1,INDEX('calcA'!$D$130:$EQ$169,$B9,113)+IF(AND($E9=1,MY9=0),25,0),INDEX('calcA'!DL$110:DL$114,$F9+1)+IF(AND($E9=1,MY9=0),1000,0)+IF($H9=1,INDEX('calcA'!$D$180:$EQ$219,$B9,113)*500,0)-IF(AND('calcA'!DK$117=1,YI9&gt;0),300,0)-IF(AND($U9=1,'calcA'!DL$117=1,HK9=0),300,0))),1000000000))</f>
        <v/>
      </c>
      <c r="SO9">
        <f>IF($B9=0,1000000000,IF(INDEX('calcA'!$D$60:$EQ$99,$B9,114)*IF($W9=1,HK9+ADZ9,HK9)=1,IF(AND($E9=2,IF($W9=1,AJO9,MZ9)=0),1000000000,IF($V9=1,INDEX('calcA'!$D$130:$EQ$169,$B9,114)+IF(AND($E9=1,MZ9=0),25,0),INDEX('calcA'!DM$110:DM$114,$F9+1)+IF(AND($E9=1,MZ9=0),1000,0)+IF($H9=1,INDEX('calcA'!$D$180:$EQ$219,$B9,114)*500,0)-IF(AND('calcA'!DL$117=1,YJ9&gt;0),300,0)-IF(AND($U9=1,'calcA'!DM$117=1,HL9=0),300,0))),1000000000))</f>
        <v/>
      </c>
      <c r="SP9">
        <f>IF($B9=0,1000000000,IF(INDEX('calcA'!$D$60:$EQ$99,$B9,115)*IF($W9=1,HL9+AEA9,HL9)=1,IF(AND($E9=2,IF($W9=1,AJP9,NA9)=0),1000000000,IF($V9=1,INDEX('calcA'!$D$130:$EQ$169,$B9,115)+IF(AND($E9=1,NA9=0),25,0),INDEX('calcA'!DN$110:DN$114,$F9+1)+IF(AND($E9=1,NA9=0),1000,0)+IF($H9=1,INDEX('calcA'!$D$180:$EQ$219,$B9,115)*500,0)-IF(AND('calcA'!DM$117=1,YK9&gt;0),300,0)-IF(AND($U9=1,'calcA'!DN$117=1,HM9=0),300,0))),1000000000))</f>
        <v/>
      </c>
      <c r="SQ9">
        <f>IF($B9=0,1000000000,IF(INDEX('calcA'!$D$60:$EQ$99,$B9,116)*IF($W9=1,HM9+AEB9,HM9)=1,IF(AND($E9=2,IF($W9=1,AJQ9,NB9)=0),1000000000,IF($V9=1,INDEX('calcA'!$D$130:$EQ$169,$B9,116)+IF(AND($E9=1,NB9=0),25,0),INDEX('calcA'!DO$110:DO$114,$F9+1)+IF(AND($E9=1,NB9=0),1000,0)+IF($H9=1,INDEX('calcA'!$D$180:$EQ$219,$B9,116)*500,0)-IF(AND('calcA'!DN$117=1,YL9&gt;0),300,0)-IF(AND($U9=1,'calcA'!DO$117=1,HN9=0),300,0))),1000000000))</f>
        <v/>
      </c>
      <c r="SR9">
        <f>IF($B9=0,1000000000,IF(INDEX('calcA'!$D$60:$EQ$99,$B9,117)*IF($W9=1,HN9+AEC9,HN9)=1,IF(AND($E9=2,IF($W9=1,AJR9,NC9)=0),1000000000,IF($V9=1,INDEX('calcA'!$D$130:$EQ$169,$B9,117)+IF(AND($E9=1,NC9=0),25,0),INDEX('calcA'!DP$110:DP$114,$F9+1)+IF(AND($E9=1,NC9=0),1000,0)+IF($H9=1,INDEX('calcA'!$D$180:$EQ$219,$B9,117)*500,0)-IF(AND('calcA'!DO$117=1,YM9&gt;0),300,0)-IF(AND($U9=1,'calcA'!DP$117=1,HO9=0),300,0))),1000000000))</f>
        <v/>
      </c>
      <c r="SS9">
        <f>IF($B9=0,1000000000,IF(INDEX('calcA'!$D$60:$EQ$99,$B9,118)*IF($W9=1,HO9+AED9,HO9)=1,IF(AND($E9=2,IF($W9=1,AJS9,ND9)=0),1000000000,IF($V9=1,INDEX('calcA'!$D$130:$EQ$169,$B9,118)+IF(AND($E9=1,ND9=0),25,0),INDEX('calcA'!DQ$110:DQ$114,$F9+1)+IF(AND($E9=1,ND9=0),1000,0)+IF($H9=1,INDEX('calcA'!$D$180:$EQ$219,$B9,118)*500,0)-IF(AND('calcA'!DP$117=1,YN9&gt;0),300,0)-IF(AND($U9=1,'calcA'!DQ$117=1,HP9=0),300,0))),1000000000))</f>
        <v/>
      </c>
      <c r="ST9">
        <f>IF($B9=0,1000000000,IF(INDEX('calcA'!$D$60:$EQ$99,$B9,119)*IF($W9=1,HP9+AEE9,HP9)=1,IF(AND($E9=2,IF($W9=1,AJT9,NE9)=0),1000000000,IF($V9=1,INDEX('calcA'!$D$130:$EQ$169,$B9,119)+IF(AND($E9=1,NE9=0),25,0),INDEX('calcA'!DR$110:DR$114,$F9+1)+IF(AND($E9=1,NE9=0),1000,0)+IF($H9=1,INDEX('calcA'!$D$180:$EQ$219,$B9,119)*500,0)-IF(AND('calcA'!DQ$117=1,YO9&gt;0),300,0)-IF(AND($U9=1,'calcA'!DR$117=1,HQ9=0),300,0))),1000000000))</f>
        <v/>
      </c>
      <c r="SU9">
        <f>IF($B9=0,1000000000,IF(INDEX('calcA'!$D$60:$EQ$99,$B9,120)*IF($W9=1,HQ9+AEF9,HQ9)=1,IF(AND($E9=2,IF($W9=1,AJU9,NF9)=0),1000000000,IF($V9=1,INDEX('calcA'!$D$130:$EQ$169,$B9,120)+IF(AND($E9=1,NF9=0),25,0),INDEX('calcA'!DS$110:DS$114,$F9+1)+IF(AND($E9=1,NF9=0),1000,0)+IF($H9=1,INDEX('calcA'!$D$180:$EQ$219,$B9,120)*500,0)-IF(AND('calcA'!DR$117=1,YP9&gt;0),300,0))),1000000000))</f>
        <v/>
      </c>
      <c r="SV9">
        <f>IF($B9=0,1000000000,IF(INDEX('calcA'!$D$60:$EQ$99,$B9,121)*IF($W9=1,HR9+AEG9,HR9)=1,IF(AND($E9=2,IF($W9=1,AJV9,NG9)=0),1000000000,IF($V9=1,INDEX('calcA'!$D$130:$EQ$169,$B9,121)+IF(AND($E9=1,NG9=0),25,0),INDEX('calcA'!DT$110:DT$114,$F9+1)+IF(AND($E9=1,NG9=0),1000,0)+IF($H9=1,INDEX('calcA'!$D$180:$EQ$219,$B9,121)*500,0)-IF(AND($U9=1,'calcA'!DT$117=1,HS9=0),300,0))),1000000000))</f>
        <v/>
      </c>
      <c r="SW9">
        <f>IF($B9=0,1000000000,IF(INDEX('calcA'!$D$60:$EQ$99,$B9,122)*IF($W9=1,HS9+AEH9,HS9)=1,IF(AND($E9=2,IF($W9=1,AJW9,NH9)=0),1000000000,IF($V9=1,INDEX('calcA'!$D$130:$EQ$169,$B9,122)+IF(AND($E9=1,NH9=0),25,0),INDEX('calcA'!DU$110:DU$114,$F9+1)+IF(AND($E9=1,NH9=0),1000,0)+IF($H9=1,INDEX('calcA'!$D$180:$EQ$219,$B9,122)*500,0)-IF(AND('calcA'!DT$117=1,YR9&gt;0),300,0)-IF(AND($U9=1,'calcA'!DU$117=1,HT9=0),300,0))),1000000000))</f>
        <v/>
      </c>
      <c r="SX9">
        <f>IF($B9=0,1000000000,IF(INDEX('calcA'!$D$60:$EQ$99,$B9,123)*IF($W9=1,HT9+AEI9,HT9)=1,IF(AND($E9=2,IF($W9=1,AJX9,NI9)=0),1000000000,IF($V9=1,INDEX('calcA'!$D$130:$EQ$169,$B9,123)+IF(AND($E9=1,NI9=0),25,0),INDEX('calcA'!DV$110:DV$114,$F9+1)+IF(AND($E9=1,NI9=0),1000,0)+IF($H9=1,INDEX('calcA'!$D$180:$EQ$219,$B9,123)*500,0)-IF(AND('calcA'!DU$117=1,YS9&gt;0),300,0)-IF(AND($U9=1,'calcA'!DV$117=1,HU9=0),300,0))),1000000000))</f>
        <v/>
      </c>
      <c r="SY9">
        <f>IF($B9=0,1000000000,IF(INDEX('calcA'!$D$60:$EQ$99,$B9,124)*IF($W9=1,HU9+AEJ9,HU9)=1,IF(AND($E9=2,IF($W9=1,AJY9,NJ9)=0),1000000000,IF($V9=1,INDEX('calcA'!$D$130:$EQ$169,$B9,124)+IF(AND($E9=1,NJ9=0),25,0),INDEX('calcA'!DW$110:DW$114,$F9+1)+IF(AND($E9=1,NJ9=0),1000,0)+IF($H9=1,INDEX('calcA'!$D$180:$EQ$219,$B9,124)*500,0)-IF(AND('calcA'!DV$117=1,YT9&gt;0),300,0)-IF(AND($U9=1,'calcA'!DW$117=1,HV9=0),300,0))),1000000000))</f>
        <v/>
      </c>
      <c r="SZ9">
        <f>IF($B9=0,1000000000,IF(INDEX('calcA'!$D$60:$EQ$99,$B9,125)*IF($W9=1,HV9+AEK9,HV9)=1,IF(AND($E9=2,IF($W9=1,AJZ9,NK9)=0),1000000000,IF($V9=1,INDEX('calcA'!$D$130:$EQ$169,$B9,125)+IF(AND($E9=1,NK9=0),25,0),INDEX('calcA'!DX$110:DX$114,$F9+1)+IF(AND($E9=1,NK9=0),1000,0)+IF($H9=1,INDEX('calcA'!$D$180:$EQ$219,$B9,125)*500,0)-IF(AND('calcA'!DW$117=1,YU9&gt;0),300,0)-IF(AND($U9=1,'calcA'!DX$117=1,HW9=0),300,0))),1000000000))</f>
        <v/>
      </c>
      <c r="TA9">
        <f>IF($B9=0,1000000000,IF(INDEX('calcA'!$D$60:$EQ$99,$B9,126)*IF($W9=1,HW9+AEL9,HW9)=1,IF(AND($E9=2,IF($W9=1,AKA9,NL9)=0),1000000000,IF($V9=1,INDEX('calcA'!$D$130:$EQ$169,$B9,126)+IF(AND($E9=1,NL9=0),25,0),INDEX('calcA'!DY$110:DY$114,$F9+1)+IF(AND($E9=1,NL9=0),1000,0)+IF($H9=1,INDEX('calcA'!$D$180:$EQ$219,$B9,126)*500,0)-IF(AND('calcA'!DX$117=1,YV9&gt;0),300,0)-IF(AND($U9=1,'calcA'!DY$117=1,HX9=0),300,0))),1000000000))</f>
        <v/>
      </c>
      <c r="TB9">
        <f>IF($B9=0,1000000000,IF(INDEX('calcA'!$D$60:$EQ$99,$B9,127)*IF($W9=1,HX9+AEM9,HX9)=1,IF(AND($E9=2,IF($W9=1,AKB9,NM9)=0),1000000000,IF($V9=1,INDEX('calcA'!$D$130:$EQ$169,$B9,127)+IF(AND($E9=1,NM9=0),25,0),INDEX('calcA'!DZ$110:DZ$114,$F9+1)+IF(AND($E9=1,NM9=0),1000,0)+IF($H9=1,INDEX('calcA'!$D$180:$EQ$219,$B9,127)*500,0)-IF(AND('calcA'!DY$117=1,YW9&gt;0),300,0)-IF(AND($U9=1,'calcA'!DZ$117=1,HY9=0),300,0))),1000000000))</f>
        <v/>
      </c>
      <c r="TC9">
        <f>IF($B9=0,1000000000,IF(INDEX('calcA'!$D$60:$EQ$99,$B9,128)*IF($W9=1,HY9+AEN9,HY9)=1,IF(AND($E9=2,IF($W9=1,AKC9,NN9)=0),1000000000,IF($V9=1,INDEX('calcA'!$D$130:$EQ$169,$B9,128)+IF(AND($E9=1,NN9=0),25,0),INDEX('calcA'!EA$110:EA$114,$F9+1)+IF(AND($E9=1,NN9=0),1000,0)+IF($H9=1,INDEX('calcA'!$D$180:$EQ$219,$B9,128)*500,0)-IF(AND('calcA'!DZ$117=1,YX9&gt;0),300,0)-IF(AND($U9=1,'calcA'!EA$117=1,HZ9=0),300,0))),1000000000))</f>
        <v/>
      </c>
      <c r="TD9">
        <f>IF($B9=0,1000000000,IF(INDEX('calcA'!$D$60:$EQ$99,$B9,129)*IF($W9=1,HZ9+AEO9,HZ9)=1,IF(AND($E9=2,IF($W9=1,AKD9,NO9)=0),1000000000,IF($V9=1,INDEX('calcA'!$D$130:$EQ$169,$B9,129)+IF(AND($E9=1,NO9=0),25,0),INDEX('calcA'!EB$110:EB$114,$F9+1)+IF(AND($E9=1,NO9=0),1000,0)+IF($H9=1,INDEX('calcA'!$D$180:$EQ$219,$B9,129)*500,0)-IF(AND('calcA'!EA$117=1,YY9&gt;0),300,0)-IF(AND($U9=1,'calcA'!EB$117=1,IA9=0),300,0))),1000000000))</f>
        <v/>
      </c>
      <c r="TE9">
        <f>IF($B9=0,1000000000,IF(INDEX('calcA'!$D$60:$EQ$99,$B9,130)*IF($W9=1,IA9+AEP9,IA9)=1,IF(AND($E9=2,IF($W9=1,AKE9,NP9)=0),1000000000,IF($V9=1,INDEX('calcA'!$D$130:$EQ$169,$B9,130)+IF(AND($E9=1,NP9=0),25,0),INDEX('calcA'!EC$110:EC$114,$F9+1)+IF(AND($E9=1,NP9=0),1000,0)+IF($H9=1,INDEX('calcA'!$D$180:$EQ$219,$B9,130)*500,0)-IF(AND('calcA'!EB$117=1,YZ9&gt;0),300,0)-IF(AND($U9=1,'calcA'!EC$117=1,IB9=0),300,0))),1000000000))</f>
        <v/>
      </c>
      <c r="TF9">
        <f>IF($B9=0,1000000000,IF(INDEX('calcA'!$D$60:$EQ$99,$B9,131)*IF($W9=1,IB9+AEQ9,IB9)=1,IF(AND($E9=2,IF($W9=1,AKF9,NQ9)=0),1000000000,IF($V9=1,INDEX('calcA'!$D$130:$EQ$169,$B9,131)+IF(AND($E9=1,NQ9=0),25,0),INDEX('calcA'!ED$110:ED$114,$F9+1)+IF(AND($E9=1,NQ9=0),1000,0)+IF($H9=1,INDEX('calcA'!$D$180:$EQ$219,$B9,131)*500,0)-IF(AND('calcA'!EC$117=1,ZA9&gt;0),300,0)-IF(AND($U9=1,'calcA'!ED$117=1,IC9=0),300,0))),1000000000))</f>
        <v/>
      </c>
      <c r="TG9">
        <f>IF($B9=0,1000000000,IF(INDEX('calcA'!$D$60:$EQ$99,$B9,132)*IF($W9=1,IC9+AER9,IC9)=1,IF(AND($E9=2,IF($W9=1,AKG9,NR9)=0),1000000000,IF($V9=1,INDEX('calcA'!$D$130:$EQ$169,$B9,132)+IF(AND($E9=1,NR9=0),25,0),INDEX('calcA'!EE$110:EE$114,$F9+1)+IF(AND($E9=1,NR9=0),1000,0)+IF($H9=1,INDEX('calcA'!$D$180:$EQ$219,$B9,132)*500,0)-IF(AND('calcA'!ED$117=1,ZB9&gt;0),300,0)-IF(AND($U9=1,'calcA'!EE$117=1,ID9=0),300,0))),1000000000))</f>
        <v/>
      </c>
      <c r="TH9">
        <f>IF($B9=0,1000000000,IF(INDEX('calcA'!$D$60:$EQ$99,$B9,133)*IF($W9=1,ID9+AES9,ID9)=1,IF(AND($E9=2,IF($W9=1,AKH9,NS9)=0),1000000000,IF($V9=1,INDEX('calcA'!$D$130:$EQ$169,$B9,133)+IF(AND($E9=1,NS9=0),25,0),INDEX('calcA'!EF$110:EF$114,$F9+1)+IF(AND($E9=1,NS9=0),1000,0)+IF($H9=1,INDEX('calcA'!$D$180:$EQ$219,$B9,133)*500,0)-IF(AND('calcA'!EE$117=1,ZC9&gt;0),300,0)-IF(AND($U9=1,'calcA'!EF$117=1,IE9=0),300,0))),1000000000))</f>
        <v/>
      </c>
      <c r="TI9">
        <f>IF($B9=0,1000000000,IF(INDEX('calcA'!$D$60:$EQ$99,$B9,134)*IF($W9=1,IE9+AET9,IE9)=1,IF(AND($E9=2,IF($W9=1,AKI9,NT9)=0),1000000000,IF($V9=1,INDEX('calcA'!$D$130:$EQ$169,$B9,134)+IF(AND($E9=1,NT9=0),25,0),INDEX('calcA'!EG$110:EG$114,$F9+1)+IF(AND($E9=1,NT9=0),1000,0)+IF($H9=1,INDEX('calcA'!$D$180:$EQ$219,$B9,134)*500,0)-IF(AND('calcA'!EF$117=1,ZD9&gt;0),300,0)-IF(AND($U9=1,'calcA'!EG$117=1,IF9=0),300,0))),1000000000))</f>
        <v/>
      </c>
      <c r="TJ9">
        <f>IF($B9=0,1000000000,IF(INDEX('calcA'!$D$60:$EQ$99,$B9,135)*IF($W9=1,IF9+AEU9,IF9)=1,IF(AND($E9=2,IF($W9=1,AKJ9,NU9)=0),1000000000,IF($V9=1,INDEX('calcA'!$D$130:$EQ$169,$B9,135)+IF(AND($E9=1,NU9=0),25,0),INDEX('calcA'!EH$110:EH$114,$F9+1)+IF(AND($E9=1,NU9=0),1000,0)+IF($H9=1,INDEX('calcA'!$D$180:$EQ$219,$B9,135)*500,0)-IF(AND('calcA'!EG$117=1,ZE9&gt;0),300,0)-IF(AND($U9=1,'calcA'!EH$117=1,IG9=0),300,0))),1000000000))</f>
        <v/>
      </c>
      <c r="TK9">
        <f>IF($B9=0,1000000000,IF(INDEX('calcA'!$D$60:$EQ$99,$B9,136)*IF($W9=1,IG9+AEV9,IG9)=1,IF(AND($E9=2,IF($W9=1,AKK9,NV9)=0),1000000000,IF($V9=1,INDEX('calcA'!$D$130:$EQ$169,$B9,136)+IF(AND($E9=1,NV9=0),25,0),INDEX('calcA'!EI$110:EI$114,$F9+1)+IF(AND($E9=1,NV9=0),1000,0)+IF($H9=1,INDEX('calcA'!$D$180:$EQ$219,$B9,136)*500,0)-IF(AND('calcA'!EH$117=1,ZF9&gt;0),300,0)-IF(AND($U9=1,'calcA'!EI$117=1,IH9=0),300,0))),1000000000))</f>
        <v/>
      </c>
      <c r="TL9">
        <f>IF($B9=0,1000000000,IF(INDEX('calcA'!$D$60:$EQ$99,$B9,137)*IF($W9=1,IH9+AEW9,IH9)=1,IF(AND($E9=2,IF($W9=1,AKL9,NW9)=0),1000000000,IF($V9=1,INDEX('calcA'!$D$130:$EQ$169,$B9,137)+IF(AND($E9=1,NW9=0),25,0),INDEX('calcA'!EJ$110:EJ$114,$F9+1)+IF(AND($E9=1,NW9=0),1000,0)+IF($H9=1,INDEX('calcA'!$D$180:$EQ$219,$B9,137)*500,0)-IF(AND('calcA'!EI$117=1,ZG9&gt;0),300,0)-IF(AND($U9=1,'calcA'!EJ$117=1,II9=0),300,0))),1000000000))</f>
        <v/>
      </c>
      <c r="TM9">
        <f>IF($B9=0,1000000000,IF(INDEX('calcA'!$D$60:$EQ$99,$B9,138)*IF($W9=1,II9+AEX9,II9)=1,IF(AND($E9=2,IF($W9=1,AKM9,NX9)=0),1000000000,IF($V9=1,INDEX('calcA'!$D$130:$EQ$169,$B9,138)+IF(AND($E9=1,NX9=0),25,0),INDEX('calcA'!EK$110:EK$114,$F9+1)+IF(AND($E9=1,NX9=0),1000,0)+IF($H9=1,INDEX('calcA'!$D$180:$EQ$219,$B9,138)*500,0)-IF(AND('calcA'!EJ$117=1,ZH9&gt;0),300,0)-IF(AND($U9=1,'calcA'!EK$117=1,IJ9=0),300,0))),1000000000))</f>
        <v/>
      </c>
      <c r="TN9">
        <f>IF($B9=0,1000000000,IF(INDEX('calcA'!$D$60:$EQ$99,$B9,139)*IF($W9=1,IJ9+AEY9,IJ9)=1,IF(AND($E9=2,IF($W9=1,AKN9,NY9)=0),1000000000,IF($V9=1,INDEX('calcA'!$D$130:$EQ$169,$B9,139)+IF(AND($E9=1,NY9=0),25,0),INDEX('calcA'!EL$110:EL$114,$F9+1)+IF(AND($E9=1,NY9=0),1000,0)+IF($H9=1,INDEX('calcA'!$D$180:$EQ$219,$B9,139)*500,0)-IF(AND('calcA'!EK$117=1,ZI9&gt;0),300,0)-IF(AND($U9=1,'calcA'!EL$117=1,IK9=0),300,0))),1000000000))</f>
        <v/>
      </c>
      <c r="TO9">
        <f>IF($B9=0,1000000000,IF(INDEX('calcA'!$D$60:$EQ$99,$B9,140)*IF($W9=1,IK9+AEZ9,IK9)=1,IF(AND($E9=2,IF($W9=1,AKO9,NZ9)=0),1000000000,IF($V9=1,INDEX('calcA'!$D$130:$EQ$169,$B9,140)+IF(AND($E9=1,NZ9=0),25,0),INDEX('calcA'!EM$110:EM$114,$F9+1)+IF(AND($E9=1,NZ9=0),1000,0)+IF($H9=1,INDEX('calcA'!$D$180:$EQ$219,$B9,140)*500,0)-IF(AND('calcA'!EL$117=1,ZJ9&gt;0),300,0)-IF(AND($U9=1,'calcA'!EM$117=1,IL9=0),300,0))),1000000000))</f>
        <v/>
      </c>
      <c r="TP9">
        <f>IF($B9=0,1000000000,IF(INDEX('calcA'!$D$60:$EQ$99,$B9,141)*IF($W9=1,IL9+AFA9,IL9)=1,IF(AND($E9=2,IF($W9=1,AKP9,OA9)=0),1000000000,IF($V9=1,INDEX('calcA'!$D$130:$EQ$169,$B9,141)+IF(AND($E9=1,OA9=0),25,0),INDEX('calcA'!EN$110:EN$114,$F9+1)+IF(AND($E9=1,OA9=0),1000,0)+IF($H9=1,INDEX('calcA'!$D$180:$EQ$219,$B9,141)*500,0)-IF(AND('calcA'!EM$117=1,ZK9&gt;0),300,0)-IF(AND($U9=1,'calcA'!EN$117=1,IM9=0),300,0))),1000000000))</f>
        <v/>
      </c>
      <c r="TQ9">
        <f>IF($B9=0,1000000000,IF(INDEX('calcA'!$D$60:$EQ$99,$B9,142)*IF($W9=1,IM9+AFB9,IM9)=1,IF(AND($E9=2,IF($W9=1,AKQ9,OB9)=0),1000000000,IF($V9=1,INDEX('calcA'!$D$130:$EQ$169,$B9,142)+IF(AND($E9=1,OB9=0),25,0),INDEX('calcA'!EO$110:EO$114,$F9+1)+IF(AND($E9=1,OB9=0),1000,0)+IF($H9=1,INDEX('calcA'!$D$180:$EQ$219,$B9,142)*500,0)-IF(AND('calcA'!EN$117=1,ZL9&gt;0),300,0)-IF(AND($U9=1,'calcA'!EO$117=1,IN9=0),300,0))),1000000000))</f>
        <v/>
      </c>
      <c r="TR9">
        <f>IF($B9=0,1000000000,IF(INDEX('calcA'!$D$60:$EQ$99,$B9,143)*IF($W9=1,IN9+AFC9,IN9)=1,IF(AND($E9=2,IF($W9=1,AKR9,OC9)=0),1000000000,IF($V9=1,INDEX('calcA'!$D$130:$EQ$169,$B9,143)+IF(AND($E9=1,OC9=0),25,0),INDEX('calcA'!EP$110:EP$114,$F9+1)+IF(AND($E9=1,OC9=0),1000,0)+IF($H9=1,INDEX('calcA'!$D$180:$EQ$219,$B9,143)*500,0)-IF(AND('calcA'!EO$117=1,ZM9&gt;0),300,0)-IF(AND($U9=1,'calcA'!EP$117=1,IO9=0),300,0))),1000000000))</f>
        <v/>
      </c>
      <c r="TS9">
        <f>IF($B9=0,1000000000,IF(INDEX('calcA'!$D$60:$EQ$99,$B9,144)*IF($W9=1,IO9+AFD9,IO9)=1,IF(AND($E9=2,IF($W9=1,AKS9,OD9)=0),1000000000,IF($V9=1,INDEX('calcA'!$D$130:$EQ$169,$B9,144)+IF(AND($E9=1,OD9=0),25,0),INDEX('calcA'!EQ$110:EQ$114,$F9+1)+IF(AND($E9=1,OD9=0),1000,0)+IF($H9=1,INDEX('calcA'!$D$180:$EQ$219,$B9,144)*500,0)-IF(AND('calcA'!EP$117=1,ZN9&gt;0),300,0))),1000000000))</f>
        <v/>
      </c>
      <c r="UB9">
        <f>UB8+IF(AND($C8=1,$U8=1),1,0)</f>
        <v/>
      </c>
      <c r="UC9">
        <f>UC8+IF(AND($C8=2,$U8=1),1,0)</f>
        <v/>
      </c>
      <c r="UD9">
        <f>UD8+IF(AND($C8=3,$U8=1),1,0)</f>
        <v/>
      </c>
      <c r="UE9">
        <f>UE8+IF(AND($C8=4,$U8=1),1,0)</f>
        <v/>
      </c>
      <c r="UF9">
        <f>UF8+IF(AND($C8=5,$U8=1),1,0)</f>
        <v/>
      </c>
      <c r="UG9">
        <f>UG8+IF(AND($C8=6,$U8=1),1,0)</f>
        <v/>
      </c>
      <c r="UH9">
        <f>UH8+IF(AND($C8=7,$U8=1),1,0)</f>
        <v/>
      </c>
      <c r="UI9">
        <f>UI8+IF(AND($C8=8,$U8=1),1,0)</f>
        <v/>
      </c>
      <c r="UJ9">
        <f>UJ8+IF(AND($C8=9,$U8=1),1,0)</f>
        <v/>
      </c>
      <c r="UK9">
        <f>UK8+IF(AND($C8=10,$U8=1),1,0)</f>
        <v/>
      </c>
      <c r="UL9">
        <f>UL8+IF(AND($C8=11,$U8=1),1,0)</f>
        <v/>
      </c>
      <c r="UM9">
        <f>UM8+IF(AND($C8=12,$U8=1),1,0)</f>
        <v/>
      </c>
      <c r="UN9">
        <f>UN8+IF(AND($C8=13,$U8=1),1,0)</f>
        <v/>
      </c>
      <c r="UO9">
        <f>UO8+IF(AND($C8=14,$U8=1),1,0)</f>
        <v/>
      </c>
      <c r="UP9">
        <f>UP8+IF(AND($C8=15,$U8=1),1,0)</f>
        <v/>
      </c>
      <c r="UQ9">
        <f>UQ8+IF(AND($C8=16,$U8=1),1,0)</f>
        <v/>
      </c>
      <c r="UR9">
        <f>UR8+IF(AND($C8=17,$U8=1),1,0)</f>
        <v/>
      </c>
      <c r="US9">
        <f>US8+IF(AND($C8=18,$U8=1),1,0)</f>
        <v/>
      </c>
      <c r="UT9">
        <f>UT8+IF(AND($C8=19,$U8=1),1,0)</f>
        <v/>
      </c>
      <c r="UU9">
        <f>UU8+IF(AND($C8=20,$U8=1),1,0)</f>
        <v/>
      </c>
      <c r="UV9">
        <f>UV8+IF(AND($C8=21,$U8=1),1,0)</f>
        <v/>
      </c>
      <c r="UW9">
        <f>UW8+IF(AND($C8=22,$U8=1),1,0)</f>
        <v/>
      </c>
      <c r="UX9">
        <f>UX8+IF(AND($C8=23,$U8=1),1,0)</f>
        <v/>
      </c>
      <c r="UY9">
        <f>UY8+IF(AND($C8=24,$U8=1),1,0)</f>
        <v/>
      </c>
      <c r="UZ9">
        <f>UZ8+IF(AND($C8=25,$U8=1),1,0)</f>
        <v/>
      </c>
      <c r="VA9">
        <f>VA8+IF(AND($C8=26,$U8=1),1,0)</f>
        <v/>
      </c>
      <c r="VB9">
        <f>VB8+IF(AND($C8=27,$U8=1),1,0)</f>
        <v/>
      </c>
      <c r="VC9">
        <f>VC8+IF(AND($C8=28,$U8=1),1,0)</f>
        <v/>
      </c>
      <c r="VD9">
        <f>VD8+IF(AND($C8=29,$U8=1),1,0)</f>
        <v/>
      </c>
      <c r="VE9">
        <f>VE8+IF(AND($C8=30,$U8=1),1,0)</f>
        <v/>
      </c>
      <c r="VF9">
        <f>VF8+IF(AND($C8=31,$U8=1),1,0)</f>
        <v/>
      </c>
      <c r="VG9">
        <f>VG8+IF(AND($C8=32,$U8=1),1,0)</f>
        <v/>
      </c>
      <c r="VH9">
        <f>VH8+IF(AND($C8=33,$U8=1),1,0)</f>
        <v/>
      </c>
      <c r="VI9">
        <f>VI8+IF(AND($C8=34,$U8=1),1,0)</f>
        <v/>
      </c>
      <c r="VJ9">
        <f>VJ8+IF(AND($C8=35,$U8=1),1,0)</f>
        <v/>
      </c>
      <c r="VK9">
        <f>VK8+IF(AND($C8=36,$U8=1),1,0)</f>
        <v/>
      </c>
      <c r="VL9">
        <f>VL8+IF(AND($C8=37,$U8=1),1,0)</f>
        <v/>
      </c>
      <c r="VM9">
        <f>VM8+IF(AND($C8=38,$U8=1),1,0)</f>
        <v/>
      </c>
      <c r="VN9">
        <f>VN8+IF(AND($C8=39,$U8=1),1,0)</f>
        <v/>
      </c>
      <c r="VO9">
        <f>VO8+IF(AND($C8=40,$U8=1),1,0)</f>
        <v/>
      </c>
      <c r="VP9">
        <f>VP8+IF(AND($C8=41,$U8=1),1,0)</f>
        <v/>
      </c>
      <c r="VQ9">
        <f>VQ8+IF(AND($C8=42,$U8=1),1,0)</f>
        <v/>
      </c>
      <c r="VR9">
        <f>VR8+IF(AND($C8=43,$U8=1),1,0)</f>
        <v/>
      </c>
      <c r="VS9">
        <f>VS8+IF(AND($C8=44,$U8=1),1,0)</f>
        <v/>
      </c>
      <c r="VT9">
        <f>VT8+IF(AND($C8=45,$U8=1),1,0)</f>
        <v/>
      </c>
      <c r="VU9">
        <f>VU8+IF(AND($C8=46,$U8=1),1,0)</f>
        <v/>
      </c>
      <c r="VV9">
        <f>VV8+IF(AND($C8=47,$U8=1),1,0)</f>
        <v/>
      </c>
      <c r="VW9">
        <f>VW8+IF(AND($C8=48,$U8=1),1,0)</f>
        <v/>
      </c>
      <c r="VX9">
        <f>VX8+IF(AND($C8=49,$U8=1),1,0)</f>
        <v/>
      </c>
      <c r="VY9">
        <f>VY8+IF(AND($C8=50,$U8=1),1,0)</f>
        <v/>
      </c>
      <c r="VZ9">
        <f>VZ8+IF(AND($C8=51,$U8=1),1,0)</f>
        <v/>
      </c>
      <c r="WA9">
        <f>WA8+IF(AND($C8=52,$U8=1),1,0)</f>
        <v/>
      </c>
      <c r="WB9">
        <f>WB8+IF(AND($C8=53,$U8=1),1,0)</f>
        <v/>
      </c>
      <c r="WC9">
        <f>WC8+IF(AND($C8=54,$U8=1),1,0)</f>
        <v/>
      </c>
      <c r="WD9">
        <f>WD8+IF(AND($C8=55,$U8=1),1,0)</f>
        <v/>
      </c>
      <c r="WE9">
        <f>WE8+IF(AND($C8=56,$U8=1),1,0)</f>
        <v/>
      </c>
      <c r="WF9">
        <f>WF8+IF(AND($C8=57,$U8=1),1,0)</f>
        <v/>
      </c>
      <c r="WG9">
        <f>WG8+IF(AND($C8=58,$U8=1),1,0)</f>
        <v/>
      </c>
      <c r="WH9">
        <f>WH8+IF(AND($C8=59,$U8=1),1,0)</f>
        <v/>
      </c>
      <c r="WI9">
        <f>WI8+IF(AND($C8=60,$U8=1),1,0)</f>
        <v/>
      </c>
      <c r="WJ9">
        <f>WJ8+IF(AND($C8=61,$U8=1),1,0)</f>
        <v/>
      </c>
      <c r="WK9">
        <f>WK8+IF(AND($C8=62,$U8=1),1,0)</f>
        <v/>
      </c>
      <c r="WL9">
        <f>WL8+IF(AND($C8=63,$U8=1),1,0)</f>
        <v/>
      </c>
      <c r="WM9">
        <f>WM8+IF(AND($C8=64,$U8=1),1,0)</f>
        <v/>
      </c>
      <c r="WN9">
        <f>WN8+IF(AND($C8=65,$U8=1),1,0)</f>
        <v/>
      </c>
      <c r="WO9">
        <f>WO8+IF(AND($C8=66,$U8=1),1,0)</f>
        <v/>
      </c>
      <c r="WP9">
        <f>WP8+IF(AND($C8=67,$U8=1),1,0)</f>
        <v/>
      </c>
      <c r="WQ9">
        <f>WQ8+IF(AND($C8=68,$U8=1),1,0)</f>
        <v/>
      </c>
      <c r="WR9">
        <f>WR8+IF(AND($C8=69,$U8=1),1,0)</f>
        <v/>
      </c>
      <c r="WS9">
        <f>WS8+IF(AND($C8=70,$U8=1),1,0)</f>
        <v/>
      </c>
      <c r="WT9">
        <f>WT8+IF(AND($C8=71,$U8=1),1,0)</f>
        <v/>
      </c>
      <c r="WU9">
        <f>WU8+IF(AND($C8=72,$U8=1),1,0)</f>
        <v/>
      </c>
      <c r="WV9">
        <f>WV8+IF(AND($C8=73,$U8=1),1,0)</f>
        <v/>
      </c>
      <c r="WW9">
        <f>WW8+IF(AND($C8=74,$U8=1),1,0)</f>
        <v/>
      </c>
      <c r="WX9">
        <f>WX8+IF(AND($C8=75,$U8=1),1,0)</f>
        <v/>
      </c>
      <c r="WY9">
        <f>WY8+IF(AND($C8=76,$U8=1),1,0)</f>
        <v/>
      </c>
      <c r="WZ9">
        <f>WZ8+IF(AND($C8=77,$U8=1),1,0)</f>
        <v/>
      </c>
      <c r="XA9">
        <f>XA8+IF(AND($C8=78,$U8=1),1,0)</f>
        <v/>
      </c>
      <c r="XB9">
        <f>XB8+IF(AND($C8=79,$U8=1),1,0)</f>
        <v/>
      </c>
      <c r="XC9">
        <f>XC8+IF(AND($C8=80,$U8=1),1,0)</f>
        <v/>
      </c>
      <c r="XD9">
        <f>XD8+IF(AND($C8=81,$U8=1),1,0)</f>
        <v/>
      </c>
      <c r="XE9">
        <f>XE8+IF(AND($C8=82,$U8=1),1,0)</f>
        <v/>
      </c>
      <c r="XF9">
        <f>XF8+IF(AND($C8=83,$U8=1),1,0)</f>
        <v/>
      </c>
      <c r="XG9">
        <f>XG8+IF(AND($C8=84,$U8=1),1,0)</f>
        <v/>
      </c>
      <c r="XH9">
        <f>XH8+IF(AND($C8=85,$U8=1),1,0)</f>
        <v/>
      </c>
      <c r="XI9">
        <f>XI8+IF(AND($C8=86,$U8=1),1,0)</f>
        <v/>
      </c>
      <c r="XJ9">
        <f>XJ8+IF(AND($C8=87,$U8=1),1,0)</f>
        <v/>
      </c>
      <c r="XK9">
        <f>XK8+IF(AND($C8=88,$U8=1),1,0)</f>
        <v/>
      </c>
      <c r="XL9">
        <f>XL8+IF(AND($C8=89,$U8=1),1,0)</f>
        <v/>
      </c>
      <c r="XM9">
        <f>XM8+IF(AND($C8=90,$U8=1),1,0)</f>
        <v/>
      </c>
      <c r="XN9">
        <f>XN8+IF(AND($C8=91,$U8=1),1,0)</f>
        <v/>
      </c>
      <c r="XO9">
        <f>XO8+IF(AND($C8=92,$U8=1),1,0)</f>
        <v/>
      </c>
      <c r="XP9">
        <f>XP8+IF(AND($C8=93,$U8=1),1,0)</f>
        <v/>
      </c>
      <c r="XQ9">
        <f>XQ8+IF(AND($C8=94,$U8=1),1,0)</f>
        <v/>
      </c>
      <c r="XR9">
        <f>XR8+IF(AND($C8=95,$U8=1),1,0)</f>
        <v/>
      </c>
      <c r="XS9">
        <f>XS8+IF(AND($C8=96,$U8=1),1,0)</f>
        <v/>
      </c>
      <c r="XT9">
        <f>XT8+IF(AND($C8=97,$U8=1),1,0)</f>
        <v/>
      </c>
      <c r="XU9">
        <f>XU8+IF(AND($C8=98,$U8=1),1,0)</f>
        <v/>
      </c>
      <c r="XV9">
        <f>XV8+IF(AND($C8=99,$U8=1),1,0)</f>
        <v/>
      </c>
      <c r="XW9">
        <f>XW8+IF(AND($C8=100,$U8=1),1,0)</f>
        <v/>
      </c>
      <c r="XX9">
        <f>XX8+IF(AND($C8=101,$U8=1),1,0)</f>
        <v/>
      </c>
      <c r="XY9">
        <f>XY8+IF(AND($C8=102,$U8=1),1,0)</f>
        <v/>
      </c>
      <c r="XZ9">
        <f>XZ8+IF(AND($C8=103,$U8=1),1,0)</f>
        <v/>
      </c>
      <c r="YA9">
        <f>YA8+IF(AND($C8=104,$U8=1),1,0)</f>
        <v/>
      </c>
      <c r="YB9">
        <f>YB8+IF(AND($C8=105,$U8=1),1,0)</f>
        <v/>
      </c>
      <c r="YC9">
        <f>YC8+IF(AND($C8=106,$U8=1),1,0)</f>
        <v/>
      </c>
      <c r="YD9">
        <f>YD8+IF(AND($C8=107,$U8=1),1,0)</f>
        <v/>
      </c>
      <c r="YE9">
        <f>YE8+IF(AND($C8=108,$U8=1),1,0)</f>
        <v/>
      </c>
      <c r="YF9">
        <f>YF8+IF(AND($C8=109,$U8=1),1,0)</f>
        <v/>
      </c>
      <c r="YG9">
        <f>YG8+IF(AND($C8=110,$U8=1),1,0)</f>
        <v/>
      </c>
      <c r="YH9">
        <f>YH8+IF(AND($C8=111,$U8=1),1,0)</f>
        <v/>
      </c>
      <c r="YI9">
        <f>YI8+IF(AND($C8=112,$U8=1),1,0)</f>
        <v/>
      </c>
      <c r="YJ9">
        <f>YJ8+IF(AND($C8=113,$U8=1),1,0)</f>
        <v/>
      </c>
      <c r="YK9">
        <f>YK8+IF(AND($C8=114,$U8=1),1,0)</f>
        <v/>
      </c>
      <c r="YL9">
        <f>YL8+IF(AND($C8=115,$U8=1),1,0)</f>
        <v/>
      </c>
      <c r="YM9">
        <f>YM8+IF(AND($C8=116,$U8=1),1,0)</f>
        <v/>
      </c>
      <c r="YN9">
        <f>YN8+IF(AND($C8=117,$U8=1),1,0)</f>
        <v/>
      </c>
      <c r="YO9">
        <f>YO8+IF(AND($C8=118,$U8=1),1,0)</f>
        <v/>
      </c>
      <c r="YP9">
        <f>YP8+IF(AND($C8=119,$U8=1),1,0)</f>
        <v/>
      </c>
      <c r="YQ9">
        <f>YQ8+IF(AND($C8=120,$U8=1),1,0)</f>
        <v/>
      </c>
      <c r="YR9">
        <f>YR8+IF(AND($C8=121,$U8=1),1,0)</f>
        <v/>
      </c>
      <c r="YS9">
        <f>YS8+IF(AND($C8=122,$U8=1),1,0)</f>
        <v/>
      </c>
      <c r="YT9">
        <f>YT8+IF(AND($C8=123,$U8=1),1,0)</f>
        <v/>
      </c>
      <c r="YU9">
        <f>YU8+IF(AND($C8=124,$U8=1),1,0)</f>
        <v/>
      </c>
      <c r="YV9">
        <f>YV8+IF(AND($C8=125,$U8=1),1,0)</f>
        <v/>
      </c>
      <c r="YW9">
        <f>YW8+IF(AND($C8=126,$U8=1),1,0)</f>
        <v/>
      </c>
      <c r="YX9">
        <f>YX8+IF(AND($C8=127,$U8=1),1,0)</f>
        <v/>
      </c>
      <c r="YY9">
        <f>YY8+IF(AND($C8=128,$U8=1),1,0)</f>
        <v/>
      </c>
      <c r="YZ9">
        <f>YZ8+IF(AND($C8=129,$U8=1),1,0)</f>
        <v/>
      </c>
      <c r="ZA9">
        <f>ZA8+IF(AND($C8=130,$U8=1),1,0)</f>
        <v/>
      </c>
      <c r="ZB9">
        <f>ZB8+IF(AND($C8=131,$U8=1),1,0)</f>
        <v/>
      </c>
      <c r="ZC9">
        <f>ZC8+IF(AND($C8=132,$U8=1),1,0)</f>
        <v/>
      </c>
      <c r="ZD9">
        <f>ZD8+IF(AND($C8=133,$U8=1),1,0)</f>
        <v/>
      </c>
      <c r="ZE9">
        <f>ZE8+IF(AND($C8=134,$U8=1),1,0)</f>
        <v/>
      </c>
      <c r="ZF9">
        <f>ZF8+IF(AND($C8=135,$U8=1),1,0)</f>
        <v/>
      </c>
      <c r="ZG9">
        <f>ZG8+IF(AND($C8=136,$U8=1),1,0)</f>
        <v/>
      </c>
      <c r="ZH9">
        <f>ZH8+IF(AND($C8=137,$U8=1),1,0)</f>
        <v/>
      </c>
      <c r="ZI9">
        <f>ZI8+IF(AND($C8=138,$U8=1),1,0)</f>
        <v/>
      </c>
      <c r="ZJ9">
        <f>ZJ8+IF(AND($C8=139,$U8=1),1,0)</f>
        <v/>
      </c>
      <c r="ZK9">
        <f>ZK8+IF(AND($C8=140,$U8=1),1,0)</f>
        <v/>
      </c>
      <c r="ZL9">
        <f>ZL8+IF(AND($C8=141,$U8=1),1,0)</f>
        <v/>
      </c>
      <c r="ZM9">
        <f>ZM8+IF(AND($C8=142,$U8=1),1,0)</f>
        <v/>
      </c>
      <c r="ZN9">
        <f>ZN8+IF(AND($C8=143,$U8=1),1,0)</f>
        <v/>
      </c>
      <c r="ZO9">
        <f>ZO8+IF(AND($C8=144,$U8=1),1,0)</f>
        <v/>
      </c>
      <c r="ZQ9">
        <f>IF($C8=1,0,ZQ8+IF(AND($G8=1,$E8=1),1,0))</f>
        <v/>
      </c>
      <c r="ZR9">
        <f>IF($C8=2,0,ZR8+IF(AND($G8=2,$E8=1),1,0))</f>
        <v/>
      </c>
      <c r="ZS9">
        <f>IF($C8=3,0,ZS8+IF(AND($G8=3,$E8=1),1,0))</f>
        <v/>
      </c>
      <c r="ZT9">
        <f>IF($C8=4,0,ZT8+IF(AND($G8=4,$E8=1),1,0))</f>
        <v/>
      </c>
      <c r="ZU9">
        <f>IF($C8=5,0,ZU8+IF(AND($G8=5,$E8=1),1,0))</f>
        <v/>
      </c>
      <c r="ZV9">
        <f>IF($C8=6,0,ZV8+IF(AND($G8=6,$E8=1),1,0))</f>
        <v/>
      </c>
      <c r="ZW9">
        <f>IF($C8=7,0,ZW8+IF(AND($G8=7,$E8=1),1,0))</f>
        <v/>
      </c>
      <c r="ZX9">
        <f>IF($C8=8,0,ZX8+IF(AND($G8=8,$E8=1),1,0))</f>
        <v/>
      </c>
      <c r="ZY9">
        <f>IF($C8=9,0,ZY8+IF(AND($G8=9,$E8=1),1,0))</f>
        <v/>
      </c>
      <c r="ZZ9">
        <f>IF($C8=10,0,ZZ8+IF(AND($G8=10,$E8=1),1,0))</f>
        <v/>
      </c>
      <c r="AAA9">
        <f>IF($C8=11,0,AAA8+IF(AND($G8=11,$E8=1),1,0))</f>
        <v/>
      </c>
      <c r="AAB9">
        <f>IF($C8=12,0,AAB8+IF(AND($G8=12,$E8=1),1,0))</f>
        <v/>
      </c>
      <c r="AAC9">
        <f>IF($C8=13,0,AAC8+IF(AND($G8=13,$E8=1),1,0))</f>
        <v/>
      </c>
      <c r="AAD9">
        <f>IF($C8=14,0,AAD8+IF(AND($G8=14,$E8=1),1,0))</f>
        <v/>
      </c>
      <c r="AAE9">
        <f>IF($C8=15,0,AAE8+IF(AND($G8=15,$E8=1),1,0))</f>
        <v/>
      </c>
      <c r="AAF9">
        <f>IF($C8=16,0,AAF8+IF(AND($G8=16,$E8=1),1,0))</f>
        <v/>
      </c>
      <c r="AAG9">
        <f>IF($C8=17,0,AAG8+IF(AND($G8=17,$E8=1),1,0))</f>
        <v/>
      </c>
      <c r="AAH9">
        <f>IF($C8=18,0,AAH8+IF(AND($G8=18,$E8=1),1,0))</f>
        <v/>
      </c>
      <c r="AAI9">
        <f>IF($C8=19,0,AAI8+IF(AND($G8=19,$E8=1),1,0))</f>
        <v/>
      </c>
      <c r="AAJ9">
        <f>IF($C8=20,0,AAJ8+IF(AND($G8=20,$E8=1),1,0))</f>
        <v/>
      </c>
      <c r="AAK9">
        <f>IF($C8=21,0,AAK8+IF(AND($G8=21,$E8=1),1,0))</f>
        <v/>
      </c>
      <c r="AAL9">
        <f>IF($C8=22,0,AAL8+IF(AND($G8=22,$E8=1),1,0))</f>
        <v/>
      </c>
      <c r="AAM9">
        <f>IF($C8=23,0,AAM8+IF(AND($G8=23,$E8=1),1,0))</f>
        <v/>
      </c>
      <c r="AAN9">
        <f>IF($C8=24,0,AAN8+IF(AND($G8=24,$E8=1),1,0))</f>
        <v/>
      </c>
      <c r="AAO9">
        <f>IF($C8=25,0,AAO8+IF(AND($G8=25,$E8=1),1,0))</f>
        <v/>
      </c>
      <c r="AAP9">
        <f>IF($C8=26,0,AAP8+IF(AND($G8=26,$E8=1),1,0))</f>
        <v/>
      </c>
      <c r="AAQ9">
        <f>IF($C8=27,0,AAQ8+IF(AND($G8=27,$E8=1),1,0))</f>
        <v/>
      </c>
      <c r="AAR9">
        <f>IF($C8=28,0,AAR8+IF(AND($G8=28,$E8=1),1,0))</f>
        <v/>
      </c>
      <c r="AAS9">
        <f>IF($C8=29,0,AAS8+IF(AND($G8=29,$E8=1),1,0))</f>
        <v/>
      </c>
      <c r="AAT9">
        <f>IF($C8=30,0,AAT8+IF(AND($G8=30,$E8=1),1,0))</f>
        <v/>
      </c>
      <c r="AAU9">
        <f>IF($C8=31,0,AAU8+IF(AND($G8=31,$E8=1),1,0))</f>
        <v/>
      </c>
      <c r="AAV9">
        <f>IF($C8=32,0,AAV8+IF(AND($G8=32,$E8=1),1,0))</f>
        <v/>
      </c>
      <c r="AAW9">
        <f>IF($C8=33,0,AAW8+IF(AND($G8=33,$E8=1),1,0))</f>
        <v/>
      </c>
      <c r="AAX9">
        <f>IF($C8=34,0,AAX8+IF(AND($G8=34,$E8=1),1,0))</f>
        <v/>
      </c>
      <c r="AAY9">
        <f>IF($C8=35,0,AAY8+IF(AND($G8=35,$E8=1),1,0))</f>
        <v/>
      </c>
      <c r="AAZ9">
        <f>IF($C8=36,0,AAZ8+IF(AND($G8=36,$E8=1),1,0))</f>
        <v/>
      </c>
      <c r="ABA9">
        <f>IF($C8=37,0,ABA8+IF(AND($G8=37,$E8=1),1,0))</f>
        <v/>
      </c>
      <c r="ABB9">
        <f>IF($C8=38,0,ABB8+IF(AND($G8=38,$E8=1),1,0))</f>
        <v/>
      </c>
      <c r="ABC9">
        <f>IF($C8=39,0,ABC8+IF(AND($G8=39,$E8=1),1,0))</f>
        <v/>
      </c>
      <c r="ABD9">
        <f>IF($C8=40,0,ABD8+IF(AND($G8=40,$E8=1),1,0))</f>
        <v/>
      </c>
      <c r="ABE9">
        <f>IF($C8=41,0,ABE8+IF(AND($G8=41,$E8=1),1,0))</f>
        <v/>
      </c>
      <c r="ABF9">
        <f>IF($C8=42,0,ABF8+IF(AND($G8=42,$E8=1),1,0))</f>
        <v/>
      </c>
      <c r="ABG9">
        <f>IF($C8=43,0,ABG8+IF(AND($G8=43,$E8=1),1,0))</f>
        <v/>
      </c>
      <c r="ABH9">
        <f>IF($C8=44,0,ABH8+IF(AND($G8=44,$E8=1),1,0))</f>
        <v/>
      </c>
      <c r="ABI9">
        <f>IF($C8=45,0,ABI8+IF(AND($G8=45,$E8=1),1,0))</f>
        <v/>
      </c>
      <c r="ABJ9">
        <f>IF($C8=46,0,ABJ8+IF(AND($G8=46,$E8=1),1,0))</f>
        <v/>
      </c>
      <c r="ABK9">
        <f>IF($C8=47,0,ABK8+IF(AND($G8=47,$E8=1),1,0))</f>
        <v/>
      </c>
      <c r="ABL9">
        <f>IF($C8=48,0,ABL8+IF(AND($G8=48,$E8=1),1,0))</f>
        <v/>
      </c>
      <c r="ABM9">
        <f>IF($C8=49,0,ABM8+IF(AND($G8=49,$E8=1),1,0))</f>
        <v/>
      </c>
      <c r="ABN9">
        <f>IF($C8=50,0,ABN8+IF(AND($G8=50,$E8=1),1,0))</f>
        <v/>
      </c>
      <c r="ABO9">
        <f>IF($C8=51,0,ABO8+IF(AND($G8=51,$E8=1),1,0))</f>
        <v/>
      </c>
      <c r="ABP9">
        <f>IF($C8=52,0,ABP8+IF(AND($G8=52,$E8=1),1,0))</f>
        <v/>
      </c>
      <c r="ABQ9">
        <f>IF($C8=53,0,ABQ8+IF(AND($G8=53,$E8=1),1,0))</f>
        <v/>
      </c>
      <c r="ABR9">
        <f>IF($C8=54,0,ABR8+IF(AND($G8=54,$E8=1),1,0))</f>
        <v/>
      </c>
      <c r="ABS9">
        <f>IF($C8=55,0,ABS8+IF(AND($G8=55,$E8=1),1,0))</f>
        <v/>
      </c>
      <c r="ABT9">
        <f>IF($C8=56,0,ABT8+IF(AND($G8=56,$E8=1),1,0))</f>
        <v/>
      </c>
      <c r="ABU9">
        <f>IF($C8=57,0,ABU8+IF(AND($G8=57,$E8=1),1,0))</f>
        <v/>
      </c>
      <c r="ABV9">
        <f>IF($C8=58,0,ABV8+IF(AND($G8=58,$E8=1),1,0))</f>
        <v/>
      </c>
      <c r="ABW9">
        <f>IF($C8=59,0,ABW8+IF(AND($G8=59,$E8=1),1,0))</f>
        <v/>
      </c>
      <c r="ABX9">
        <f>IF($C8=60,0,ABX8+IF(AND($G8=60,$E8=1),1,0))</f>
        <v/>
      </c>
      <c r="ABY9">
        <f>IF($C8=61,0,ABY8+IF(AND($G8=61,$E8=1),1,0))</f>
        <v/>
      </c>
      <c r="ABZ9">
        <f>IF($C8=62,0,ABZ8+IF(AND($G8=62,$E8=1),1,0))</f>
        <v/>
      </c>
      <c r="ACA9">
        <f>IF($C8=63,0,ACA8+IF(AND($G8=63,$E8=1),1,0))</f>
        <v/>
      </c>
      <c r="ACB9">
        <f>IF($C8=64,0,ACB8+IF(AND($G8=64,$E8=1),1,0))</f>
        <v/>
      </c>
      <c r="ACC9">
        <f>IF($C8=65,0,ACC8+IF(AND($G8=65,$E8=1),1,0))</f>
        <v/>
      </c>
      <c r="ACD9">
        <f>IF($C8=66,0,ACD8+IF(AND($G8=66,$E8=1),1,0))</f>
        <v/>
      </c>
      <c r="ACE9">
        <f>IF($C8=67,0,ACE8+IF(AND($G8=67,$E8=1),1,0))</f>
        <v/>
      </c>
      <c r="ACF9">
        <f>IF($C8=68,0,ACF8+IF(AND($G8=68,$E8=1),1,0))</f>
        <v/>
      </c>
      <c r="ACG9">
        <f>IF($C8=69,0,ACG8+IF(AND($G8=69,$E8=1),1,0))</f>
        <v/>
      </c>
      <c r="ACH9">
        <f>IF($C8=70,0,ACH8+IF(AND($G8=70,$E8=1),1,0))</f>
        <v/>
      </c>
      <c r="ACI9">
        <f>IF($C8=71,0,ACI8+IF(AND($G8=71,$E8=1),1,0))</f>
        <v/>
      </c>
      <c r="ACJ9">
        <f>IF($C8=72,0,ACJ8+IF(AND($G8=72,$E8=1),1,0))</f>
        <v/>
      </c>
      <c r="ACK9">
        <f>IF($C8=73,0,ACK8+IF(AND($G8=73,$E8=1),1,0))</f>
        <v/>
      </c>
      <c r="ACL9">
        <f>IF($C8=74,0,ACL8+IF(AND($G8=74,$E8=1),1,0))</f>
        <v/>
      </c>
      <c r="ACM9">
        <f>IF($C8=75,0,ACM8+IF(AND($G8=75,$E8=1),1,0))</f>
        <v/>
      </c>
      <c r="ACN9">
        <f>IF($C8=76,0,ACN8+IF(AND($G8=76,$E8=1),1,0))</f>
        <v/>
      </c>
      <c r="ACO9">
        <f>IF($C8=77,0,ACO8+IF(AND($G8=77,$E8=1),1,0))</f>
        <v/>
      </c>
      <c r="ACP9">
        <f>IF($C8=78,0,ACP8+IF(AND($G8=78,$E8=1),1,0))</f>
        <v/>
      </c>
      <c r="ACQ9">
        <f>IF($C8=79,0,ACQ8+IF(AND($G8=79,$E8=1),1,0))</f>
        <v/>
      </c>
      <c r="ACR9">
        <f>IF($C8=80,0,ACR8+IF(AND($G8=80,$E8=1),1,0))</f>
        <v/>
      </c>
      <c r="ACS9">
        <f>IF($C8=81,0,ACS8+IF(AND($G8=81,$E8=1),1,0))</f>
        <v/>
      </c>
      <c r="ACT9">
        <f>IF($C8=82,0,ACT8+IF(AND($G8=82,$E8=1),1,0))</f>
        <v/>
      </c>
      <c r="ACU9">
        <f>IF($C8=83,0,ACU8+IF(AND($G8=83,$E8=1),1,0))</f>
        <v/>
      </c>
      <c r="ACV9">
        <f>IF($C8=84,0,ACV8+IF(AND($G8=84,$E8=1),1,0))</f>
        <v/>
      </c>
      <c r="ACW9">
        <f>IF($C8=85,0,ACW8+IF(AND($G8=85,$E8=1),1,0))</f>
        <v/>
      </c>
      <c r="ACX9">
        <f>IF($C8=86,0,ACX8+IF(AND($G8=86,$E8=1),1,0))</f>
        <v/>
      </c>
      <c r="ACY9">
        <f>IF($C8=87,0,ACY8+IF(AND($G8=87,$E8=1),1,0))</f>
        <v/>
      </c>
      <c r="ACZ9">
        <f>IF($C8=88,0,ACZ8+IF(AND($G8=88,$E8=1),1,0))</f>
        <v/>
      </c>
      <c r="ADA9">
        <f>IF($C8=89,0,ADA8+IF(AND($G8=89,$E8=1),1,0))</f>
        <v/>
      </c>
      <c r="ADB9">
        <f>IF($C8=90,0,ADB8+IF(AND($G8=90,$E8=1),1,0))</f>
        <v/>
      </c>
      <c r="ADC9">
        <f>IF($C8=91,0,ADC8+IF(AND($G8=91,$E8=1),1,0))</f>
        <v/>
      </c>
      <c r="ADD9">
        <f>IF($C8=92,0,ADD8+IF(AND($G8=92,$E8=1),1,0))</f>
        <v/>
      </c>
      <c r="ADE9">
        <f>IF($C8=93,0,ADE8+IF(AND($G8=93,$E8=1),1,0))</f>
        <v/>
      </c>
      <c r="ADF9">
        <f>IF($C8=94,0,ADF8+IF(AND($G8=94,$E8=1),1,0))</f>
        <v/>
      </c>
      <c r="ADG9">
        <f>IF($C8=95,0,ADG8+IF(AND($G8=95,$E8=1),1,0))</f>
        <v/>
      </c>
      <c r="ADH9">
        <f>IF($C8=96,0,ADH8+IF(AND($G8=96,$E8=1),1,0))</f>
        <v/>
      </c>
      <c r="ADI9">
        <f>IF($C8=97,0,ADI8+IF(AND($G8=97,$E8=1),1,0))</f>
        <v/>
      </c>
      <c r="ADJ9">
        <f>IF($C8=98,0,ADJ8+IF(AND($G8=98,$E8=1),1,0))</f>
        <v/>
      </c>
      <c r="ADK9">
        <f>IF($C8=99,0,ADK8+IF(AND($G8=99,$E8=1),1,0))</f>
        <v/>
      </c>
      <c r="ADL9">
        <f>IF($C8=100,0,ADL8+IF(AND($G8=100,$E8=1),1,0))</f>
        <v/>
      </c>
      <c r="ADM9">
        <f>IF($C8=101,0,ADM8+IF(AND($G8=101,$E8=1),1,0))</f>
        <v/>
      </c>
      <c r="ADN9">
        <f>IF($C8=102,0,ADN8+IF(AND($G8=102,$E8=1),1,0))</f>
        <v/>
      </c>
      <c r="ADO9">
        <f>IF($C8=103,0,ADO8+IF(AND($G8=103,$E8=1),1,0))</f>
        <v/>
      </c>
      <c r="ADP9">
        <f>IF($C8=104,0,ADP8+IF(AND($G8=104,$E8=1),1,0))</f>
        <v/>
      </c>
      <c r="ADQ9">
        <f>IF($C8=105,0,ADQ8+IF(AND($G8=105,$E8=1),1,0))</f>
        <v/>
      </c>
      <c r="ADR9">
        <f>IF($C8=106,0,ADR8+IF(AND($G8=106,$E8=1),1,0))</f>
        <v/>
      </c>
      <c r="ADS9">
        <f>IF($C8=107,0,ADS8+IF(AND($G8=107,$E8=1),1,0))</f>
        <v/>
      </c>
      <c r="ADT9">
        <f>IF($C8=108,0,ADT8+IF(AND($G8=108,$E8=1),1,0))</f>
        <v/>
      </c>
      <c r="ADU9">
        <f>IF($C8=109,0,ADU8+IF(AND($G8=109,$E8=1),1,0))</f>
        <v/>
      </c>
      <c r="ADV9">
        <f>IF($C8=110,0,ADV8+IF(AND($G8=110,$E8=1),1,0))</f>
        <v/>
      </c>
      <c r="ADW9">
        <f>IF($C8=111,0,ADW8+IF(AND($G8=111,$E8=1),1,0))</f>
        <v/>
      </c>
      <c r="ADX9">
        <f>IF($C8=112,0,ADX8+IF(AND($G8=112,$E8=1),1,0))</f>
        <v/>
      </c>
      <c r="ADY9">
        <f>IF($C8=113,0,ADY8+IF(AND($G8=113,$E8=1),1,0))</f>
        <v/>
      </c>
      <c r="ADZ9">
        <f>IF($C8=114,0,ADZ8+IF(AND($G8=114,$E8=1),1,0))</f>
        <v/>
      </c>
      <c r="AEA9">
        <f>IF($C8=115,0,AEA8+IF(AND($G8=115,$E8=1),1,0))</f>
        <v/>
      </c>
      <c r="AEB9">
        <f>IF($C8=116,0,AEB8+IF(AND($G8=116,$E8=1),1,0))</f>
        <v/>
      </c>
      <c r="AEC9">
        <f>IF($C8=117,0,AEC8+IF(AND($G8=117,$E8=1),1,0))</f>
        <v/>
      </c>
      <c r="AED9">
        <f>IF($C8=118,0,AED8+IF(AND($G8=118,$E8=1),1,0))</f>
        <v/>
      </c>
      <c r="AEE9">
        <f>IF($C8=119,0,AEE8+IF(AND($G8=119,$E8=1),1,0))</f>
        <v/>
      </c>
      <c r="AEF9">
        <f>IF($C8=120,0,AEF8+IF(AND($G8=120,$E8=1),1,0))</f>
        <v/>
      </c>
      <c r="AEG9">
        <f>IF($C8=121,0,AEG8+IF(AND($G8=121,$E8=1),1,0))</f>
        <v/>
      </c>
      <c r="AEH9">
        <f>IF($C8=122,0,AEH8+IF(AND($G8=122,$E8=1),1,0))</f>
        <v/>
      </c>
      <c r="AEI9">
        <f>IF($C8=123,0,AEI8+IF(AND($G8=123,$E8=1),1,0))</f>
        <v/>
      </c>
      <c r="AEJ9">
        <f>IF($C8=124,0,AEJ8+IF(AND($G8=124,$E8=1),1,0))</f>
        <v/>
      </c>
      <c r="AEK9">
        <f>IF($C8=125,0,AEK8+IF(AND($G8=125,$E8=1),1,0))</f>
        <v/>
      </c>
      <c r="AEL9">
        <f>IF($C8=126,0,AEL8+IF(AND($G8=126,$E8=1),1,0))</f>
        <v/>
      </c>
      <c r="AEM9">
        <f>IF($C8=127,0,AEM8+IF(AND($G8=127,$E8=1),1,0))</f>
        <v/>
      </c>
      <c r="AEN9">
        <f>IF($C8=128,0,AEN8+IF(AND($G8=128,$E8=1),1,0))</f>
        <v/>
      </c>
      <c r="AEO9">
        <f>IF($C8=129,0,AEO8+IF(AND($G8=129,$E8=1),1,0))</f>
        <v/>
      </c>
      <c r="AEP9">
        <f>IF($C8=130,0,AEP8+IF(AND($G8=130,$E8=1),1,0))</f>
        <v/>
      </c>
      <c r="AEQ9">
        <f>IF($C8=131,0,AEQ8+IF(AND($G8=131,$E8=1),1,0))</f>
        <v/>
      </c>
      <c r="AER9">
        <f>IF($C8=132,0,AER8+IF(AND($G8=132,$E8=1),1,0))</f>
        <v/>
      </c>
      <c r="AES9">
        <f>IF($C8=133,0,AES8+IF(AND($G8=133,$E8=1),1,0))</f>
        <v/>
      </c>
      <c r="AET9">
        <f>IF($C8=134,0,AET8+IF(AND($G8=134,$E8=1),1,0))</f>
        <v/>
      </c>
      <c r="AEU9">
        <f>IF($C8=135,0,AEU8+IF(AND($G8=135,$E8=1),1,0))</f>
        <v/>
      </c>
      <c r="AEV9">
        <f>IF($C8=136,0,AEV8+IF(AND($G8=136,$E8=1),1,0))</f>
        <v/>
      </c>
      <c r="AEW9">
        <f>IF($C8=137,0,AEW8+IF(AND($G8=137,$E8=1),1,0))</f>
        <v/>
      </c>
      <c r="AEX9">
        <f>IF($C8=138,0,AEX8+IF(AND($G8=138,$E8=1),1,0))</f>
        <v/>
      </c>
      <c r="AEY9">
        <f>IF($C8=139,0,AEY8+IF(AND($G8=139,$E8=1),1,0))</f>
        <v/>
      </c>
      <c r="AEZ9">
        <f>IF($C8=140,0,AEZ8+IF(AND($G8=140,$E8=1),1,0))</f>
        <v/>
      </c>
      <c r="AFA9">
        <f>IF($C8=141,0,AFA8+IF(AND($G8=141,$E8=1),1,0))</f>
        <v/>
      </c>
      <c r="AFB9">
        <f>IF($C8=142,0,AFB8+IF(AND($G8=142,$E8=1),1,0))</f>
        <v/>
      </c>
      <c r="AFC9">
        <f>IF($C8=143,0,AFC8+IF(AND($G8=143,$E8=1),1,0))</f>
        <v/>
      </c>
      <c r="AFD9">
        <f>IF($C8=144,0,AFD8+IF(AND($G8=144,$E8=1),1,0))</f>
        <v/>
      </c>
      <c r="AFF9">
        <f>IF('calcA'!D$106=1,DC9+ZR9,1)</f>
        <v/>
      </c>
      <c r="AFG9">
        <f>IF('calcA'!E$106=1,DD9+ZS9,1)</f>
        <v/>
      </c>
      <c r="AFH9">
        <f>IF('calcA'!F$106=1,DE9+ZT9,1)</f>
        <v/>
      </c>
      <c r="AFI9">
        <f>IF('calcA'!G$106=1,DF9+ZU9,1)</f>
        <v/>
      </c>
      <c r="AFJ9">
        <f>IF('calcA'!H$106=1,DG9+ZV9,1)</f>
        <v/>
      </c>
      <c r="AFK9">
        <f>IF('calcA'!I$106=1,DH9+ZW9,1)</f>
        <v/>
      </c>
      <c r="AFL9">
        <f>IF('calcA'!J$106=1,DI9+ZX9,1)</f>
        <v/>
      </c>
      <c r="AFM9">
        <f>IF('calcA'!K$106=1,DJ9+ZY9,1)</f>
        <v/>
      </c>
      <c r="AFN9">
        <f>IF('calcA'!L$106=1,DK9+ZZ9,1)</f>
        <v/>
      </c>
      <c r="AFO9">
        <f>IF('calcA'!M$106=1,DL9+AAA9,1)</f>
        <v/>
      </c>
      <c r="AFP9">
        <f>IF('calcA'!N$106=1,DM9+AAB9,1)</f>
        <v/>
      </c>
      <c r="AFQ9">
        <f>IF('calcA'!O$106=1,DN9+AAC9,1)</f>
        <v/>
      </c>
      <c r="AFR9">
        <f>IF('calcA'!P$106=1,DO9+AAD9,1)</f>
        <v/>
      </c>
      <c r="AFS9">
        <f>IF('calcA'!Q$106=1,DP9+AAE9,1)</f>
        <v/>
      </c>
      <c r="AFT9">
        <f>IF('calcA'!R$106=1,DQ9+AAF9,1)</f>
        <v/>
      </c>
      <c r="AFU9">
        <f>IF('calcA'!S$106=1,DR9+AAG9,1)</f>
        <v/>
      </c>
      <c r="AFV9">
        <f>IF('calcA'!T$106=1,DS9+AAH9,1)</f>
        <v/>
      </c>
      <c r="AFW9">
        <f>IF('calcA'!U$106=1,DT9+AAI9,1)</f>
        <v/>
      </c>
      <c r="AFX9">
        <f>IF('calcA'!V$106=1,DU9+AAJ9,1)</f>
        <v/>
      </c>
      <c r="AFY9">
        <f>IF('calcA'!W$106=1,DV9+AAK9,1)</f>
        <v/>
      </c>
      <c r="AFZ9">
        <f>IF('calcA'!X$106=1,DW9+AAL9,1)</f>
        <v/>
      </c>
      <c r="AGA9">
        <f>IF('calcA'!Y$106=1,DX9+AAM9,1)</f>
        <v/>
      </c>
      <c r="AGB9">
        <f>IF('calcA'!Z$106=1,DY9+AAN9,1)</f>
        <v/>
      </c>
      <c r="AGC9">
        <f>IF('calcA'!AA$106=1,DZ9+AAO9,1)</f>
        <v/>
      </c>
      <c r="AGD9">
        <f>IF('calcA'!AB$106=1,EA9+AAP9,1)</f>
        <v/>
      </c>
      <c r="AGE9">
        <f>IF('calcA'!AC$106=1,EB9+AAQ9,1)</f>
        <v/>
      </c>
      <c r="AGF9">
        <f>IF('calcA'!AD$106=1,EC9+AAR9,1)</f>
        <v/>
      </c>
      <c r="AGG9">
        <f>IF('calcA'!AE$106=1,ED9+AAS9,1)</f>
        <v/>
      </c>
      <c r="AGH9">
        <f>IF('calcA'!AF$106=1,EE9+AAT9,1)</f>
        <v/>
      </c>
      <c r="AGI9">
        <f>IF('calcA'!AG$106=1,EF9+AAU9,1)</f>
        <v/>
      </c>
      <c r="AGJ9">
        <f>IF('calcA'!AH$106=1,EG9+AAV9,1)</f>
        <v/>
      </c>
      <c r="AGK9">
        <f>IF('calcA'!AI$106=1,EH9+AAW9,1)</f>
        <v/>
      </c>
      <c r="AGL9">
        <f>IF('calcA'!AJ$106=1,EI9+AAX9,1)</f>
        <v/>
      </c>
      <c r="AGM9">
        <f>IF('calcA'!AK$106=1,EJ9+AAY9,1)</f>
        <v/>
      </c>
      <c r="AGN9">
        <f>IF('calcA'!AL$106=1,EK9+AAZ9,1)</f>
        <v/>
      </c>
      <c r="AGO9">
        <f>IF('calcA'!AM$106=1,EL9+ABA9,1)</f>
        <v/>
      </c>
      <c r="AGP9">
        <f>IF('calcA'!AN$106=1,EM9+ABB9,1)</f>
        <v/>
      </c>
      <c r="AGQ9">
        <f>IF('calcA'!AO$106=1,EN9+ABC9,1)</f>
        <v/>
      </c>
      <c r="AGR9">
        <f>IF('calcA'!AP$106=1,EO9+ABD9,1)</f>
        <v/>
      </c>
      <c r="AGS9">
        <f>IF('calcA'!AQ$106=1,EP9+ABE9,1)</f>
        <v/>
      </c>
      <c r="AGT9">
        <f>IF('calcA'!AR$106=1,EQ9+ABF9,1)</f>
        <v/>
      </c>
      <c r="AGU9">
        <f>IF('calcA'!AS$106=1,ER9+ABG9,1)</f>
        <v/>
      </c>
      <c r="AGV9">
        <f>IF('calcA'!AT$106=1,ES9+ABH9,1)</f>
        <v/>
      </c>
      <c r="AGW9">
        <f>IF('calcA'!AU$106=1,ET9+ABI9,1)</f>
        <v/>
      </c>
      <c r="AGX9">
        <f>IF('calcA'!AV$106=1,EU9+ABJ9,1)</f>
        <v/>
      </c>
      <c r="AGY9">
        <f>IF('calcA'!AW$106=1,EV9+ABK9,1)</f>
        <v/>
      </c>
      <c r="AGZ9">
        <f>IF('calcA'!AX$106=1,EW9+ABL9,1)</f>
        <v/>
      </c>
      <c r="AHA9">
        <f>IF('calcA'!AY$106=1,EX9+ABM9,1)</f>
        <v/>
      </c>
      <c r="AHB9">
        <f>IF('calcA'!AZ$106=1,EY9+ABN9,1)</f>
        <v/>
      </c>
      <c r="AHC9">
        <f>IF('calcA'!BA$106=1,EZ9+ABO9,1)</f>
        <v/>
      </c>
      <c r="AHD9">
        <f>IF('calcA'!BB$106=1,FA9+ABP9,1)</f>
        <v/>
      </c>
      <c r="AHE9">
        <f>IF('calcA'!BC$106=1,FB9+ABQ9,1)</f>
        <v/>
      </c>
      <c r="AHF9">
        <f>IF('calcA'!BD$106=1,FC9+ABR9,1)</f>
        <v/>
      </c>
      <c r="AHG9">
        <f>IF('calcA'!BE$106=1,FD9+ABS9,1)</f>
        <v/>
      </c>
      <c r="AHH9">
        <f>IF('calcA'!BF$106=1,FE9+ABT9,1)</f>
        <v/>
      </c>
      <c r="AHI9">
        <f>IF('calcA'!BG$106=1,FF9+ABU9,1)</f>
        <v/>
      </c>
      <c r="AHJ9">
        <f>IF('calcA'!BH$106=1,FG9+ABV9,1)</f>
        <v/>
      </c>
      <c r="AHK9">
        <f>IF('calcA'!BI$106=1,FH9+ABW9,1)</f>
        <v/>
      </c>
      <c r="AHL9">
        <f>IF('calcA'!BJ$106=1,FI9+ABX9,1)</f>
        <v/>
      </c>
      <c r="AHM9">
        <f>IF('calcA'!BK$106=1,FJ9+ABY9,1)</f>
        <v/>
      </c>
      <c r="AHN9">
        <f>IF('calcA'!BL$106=1,FK9+ABZ9,1)</f>
        <v/>
      </c>
      <c r="AHO9">
        <f>IF('calcA'!BM$106=1,FL9+ACA9,1)</f>
        <v/>
      </c>
      <c r="AHP9">
        <f>IF('calcA'!BN$106=1,FM9+ACB9,1)</f>
        <v/>
      </c>
      <c r="AHQ9">
        <f>IF('calcA'!BO$106=1,FN9+ACC9,1)</f>
        <v/>
      </c>
      <c r="AHR9">
        <f>IF('calcA'!BP$106=1,FO9+ACD9,1)</f>
        <v/>
      </c>
      <c r="AHS9">
        <f>IF('calcA'!BQ$106=1,FP9+ACE9,1)</f>
        <v/>
      </c>
      <c r="AHT9">
        <f>IF('calcA'!BR$106=1,FQ9+ACF9,1)</f>
        <v/>
      </c>
      <c r="AHU9">
        <f>IF('calcA'!BS$106=1,FR9+ACG9,1)</f>
        <v/>
      </c>
      <c r="AHV9">
        <f>IF('calcA'!BT$106=1,FS9+ACH9,1)</f>
        <v/>
      </c>
      <c r="AHW9">
        <f>IF('calcA'!BU$106=1,FT9+ACI9,1)</f>
        <v/>
      </c>
      <c r="AHX9">
        <f>IF('calcA'!BV$106=1,FU9+ACJ9,1)</f>
        <v/>
      </c>
      <c r="AHY9">
        <f>IF('calcA'!BW$106=1,FV9+ACK9,1)</f>
        <v/>
      </c>
      <c r="AHZ9">
        <f>IF('calcA'!BX$106=1,FW9+ACL9,1)</f>
        <v/>
      </c>
      <c r="AIA9">
        <f>IF('calcA'!BY$106=1,FX9+ACM9,1)</f>
        <v/>
      </c>
      <c r="AIB9">
        <f>IF('calcA'!BZ$106=1,FY9+ACN9,1)</f>
        <v/>
      </c>
      <c r="AIC9">
        <f>IF('calcA'!CA$106=1,FZ9+ACO9,1)</f>
        <v/>
      </c>
      <c r="AID9">
        <f>IF('calcA'!CB$106=1,GA9+ACP9,1)</f>
        <v/>
      </c>
      <c r="AIE9">
        <f>IF('calcA'!CC$106=1,GB9+ACQ9,1)</f>
        <v/>
      </c>
      <c r="AIF9">
        <f>IF('calcA'!CD$106=1,GC9+ACR9,1)</f>
        <v/>
      </c>
      <c r="AIG9">
        <f>IF('calcA'!CE$106=1,GD9+ACS9,1)</f>
        <v/>
      </c>
      <c r="AIH9">
        <f>IF('calcA'!CF$106=1,GE9+ACT9,1)</f>
        <v/>
      </c>
      <c r="AII9">
        <f>IF('calcA'!CG$106=1,GF9+ACU9,1)</f>
        <v/>
      </c>
      <c r="AIJ9">
        <f>IF('calcA'!CH$106=1,GG9+ACV9,1)</f>
        <v/>
      </c>
      <c r="AIK9">
        <f>IF('calcA'!CI$106=1,GH9+ACW9,1)</f>
        <v/>
      </c>
      <c r="AIL9">
        <f>IF('calcA'!CJ$106=1,GI9+ACX9,1)</f>
        <v/>
      </c>
      <c r="AIM9">
        <f>IF('calcA'!CK$106=1,GJ9+ACY9,1)</f>
        <v/>
      </c>
      <c r="AIN9">
        <f>IF('calcA'!CL$106=1,GK9+ACZ9,1)</f>
        <v/>
      </c>
      <c r="AIO9">
        <f>IF('calcA'!CM$106=1,GL9+ADA9,1)</f>
        <v/>
      </c>
      <c r="AIP9">
        <f>IF('calcA'!CN$106=1,GM9+ADB9,1)</f>
        <v/>
      </c>
      <c r="AIQ9">
        <f>IF('calcA'!CO$106=1,GN9+ADC9,1)</f>
        <v/>
      </c>
      <c r="AIR9">
        <f>IF('calcA'!CP$106=1,GO9+ADD9,1)</f>
        <v/>
      </c>
      <c r="AIS9">
        <f>IF('calcA'!CQ$106=1,GP9+ADE9,1)</f>
        <v/>
      </c>
      <c r="AIT9">
        <f>IF('calcA'!CR$106=1,GQ9+ADF9,1)</f>
        <v/>
      </c>
      <c r="AIU9">
        <f>IF('calcA'!CS$106=1,GR9+ADG9,1)</f>
        <v/>
      </c>
      <c r="AIV9">
        <f>IF('calcA'!CT$106=1,GS9+ADH9,1)</f>
        <v/>
      </c>
      <c r="AIW9">
        <f>IF('calcA'!CU$106=1,GT9+ADI9,1)</f>
        <v/>
      </c>
      <c r="AIX9">
        <f>IF('calcA'!CV$106=1,GU9+ADJ9,1)</f>
        <v/>
      </c>
      <c r="AIY9">
        <f>IF('calcA'!CW$106=1,GV9+ADK9,1)</f>
        <v/>
      </c>
      <c r="AIZ9">
        <f>IF('calcA'!CX$106=1,GW9+ADL9,1)</f>
        <v/>
      </c>
      <c r="AJA9">
        <f>IF('calcA'!CY$106=1,GX9+ADM9,1)</f>
        <v/>
      </c>
      <c r="AJB9">
        <f>IF('calcA'!CZ$106=1,GY9+ADN9,1)</f>
        <v/>
      </c>
      <c r="AJC9">
        <f>IF('calcA'!DA$106=1,GZ9+ADO9,1)</f>
        <v/>
      </c>
      <c r="AJD9">
        <f>IF('calcA'!DB$106=1,HA9+ADP9,1)</f>
        <v/>
      </c>
      <c r="AJE9">
        <f>IF('calcA'!DC$106=1,HB9+ADQ9,1)</f>
        <v/>
      </c>
      <c r="AJF9">
        <f>IF('calcA'!DD$106=1,HC9+ADR9,1)</f>
        <v/>
      </c>
      <c r="AJG9">
        <f>IF('calcA'!DE$106=1,HD9+ADS9,1)</f>
        <v/>
      </c>
      <c r="AJH9">
        <f>IF('calcA'!DF$106=1,HE9+ADT9,1)</f>
        <v/>
      </c>
      <c r="AJI9">
        <f>IF('calcA'!DG$106=1,HF9+ADU9,1)</f>
        <v/>
      </c>
      <c r="AJJ9">
        <f>IF('calcA'!DH$106=1,HG9+ADV9,1)</f>
        <v/>
      </c>
      <c r="AJK9">
        <f>IF('calcA'!DI$106=1,HH9+ADW9,1)</f>
        <v/>
      </c>
      <c r="AJL9">
        <f>IF('calcA'!DJ$106=1,HI9+ADX9,1)</f>
        <v/>
      </c>
      <c r="AJM9">
        <f>IF('calcA'!DK$106=1,HJ9+ADY9,1)</f>
        <v/>
      </c>
      <c r="AJN9">
        <f>IF('calcA'!DL$106=1,HK9+ADZ9,1)</f>
        <v/>
      </c>
      <c r="AJO9">
        <f>IF('calcA'!DM$106=1,HL9+AEA9,1)</f>
        <v/>
      </c>
      <c r="AJP9">
        <f>IF('calcA'!DN$106=1,HM9+AEB9,1)</f>
        <v/>
      </c>
      <c r="AJQ9">
        <f>IF('calcA'!DO$106=1,HN9+AEC9,1)</f>
        <v/>
      </c>
      <c r="AJR9">
        <f>IF('calcA'!DP$106=1,HO9+AED9,1)</f>
        <v/>
      </c>
      <c r="AJS9">
        <f>IF('calcA'!DQ$106=1,HP9+AEE9,1)</f>
        <v/>
      </c>
      <c r="AJT9">
        <f>IF('calcA'!DR$106=1,HQ9+AEF9,1)</f>
        <v/>
      </c>
      <c r="AJU9">
        <f>IF('calcA'!DS$106=1,HR9+AEG9,1)</f>
        <v/>
      </c>
      <c r="AJV9">
        <f>IF('calcA'!DT$106=1,HS9+AEH9,1)</f>
        <v/>
      </c>
      <c r="AJW9">
        <f>IF('calcA'!DU$106=1,HT9+AEI9,1)</f>
        <v/>
      </c>
      <c r="AJX9">
        <f>IF('calcA'!DV$106=1,HU9+AEJ9,1)</f>
        <v/>
      </c>
      <c r="AJY9">
        <f>IF('calcA'!DW$106=1,HV9+AEK9,1)</f>
        <v/>
      </c>
      <c r="AJZ9">
        <f>IF('calcA'!DX$106=1,HW9+AEL9,1)</f>
        <v/>
      </c>
      <c r="AKA9">
        <f>IF('calcA'!DY$106=1,HX9+AEM9,1)</f>
        <v/>
      </c>
      <c r="AKB9">
        <f>IF('calcA'!DZ$106=1,HY9+AEN9,1)</f>
        <v/>
      </c>
      <c r="AKC9">
        <f>IF('calcA'!EA$106=1,HZ9+AEO9,1)</f>
        <v/>
      </c>
      <c r="AKD9">
        <f>IF('calcA'!EB$106=1,IA9+AEP9,1)</f>
        <v/>
      </c>
      <c r="AKE9">
        <f>IF('calcA'!EC$106=1,IB9+AEQ9,1)</f>
        <v/>
      </c>
      <c r="AKF9">
        <f>IF('calcA'!ED$106=1,IC9+AER9,1)</f>
        <v/>
      </c>
      <c r="AKG9">
        <f>IF('calcA'!EE$106=1,ID9+AES9,1)</f>
        <v/>
      </c>
      <c r="AKH9">
        <f>IF('calcA'!EF$106=1,IE9+AET9,1)</f>
        <v/>
      </c>
      <c r="AKI9">
        <f>IF('calcA'!EG$106=1,IF9+AEU9,1)</f>
        <v/>
      </c>
      <c r="AKJ9">
        <f>IF('calcA'!EH$106=1,IG9+AEV9,1)</f>
        <v/>
      </c>
      <c r="AKK9">
        <f>IF('calcA'!EI$106=1,IH9+AEW9,1)</f>
        <v/>
      </c>
      <c r="AKL9">
        <f>IF('calcA'!EJ$106=1,II9+AEX9,1)</f>
        <v/>
      </c>
      <c r="AKM9">
        <f>IF('calcA'!EK$106=1,IJ9+AEY9,1)</f>
        <v/>
      </c>
      <c r="AKN9">
        <f>IF('calcA'!EL$106=1,IK9+AEZ9,1)</f>
        <v/>
      </c>
      <c r="AKO9">
        <f>IF('calcA'!EM$106=1,IL9+AFA9,1)</f>
        <v/>
      </c>
      <c r="AKP9">
        <f>IF('calcA'!EN$106=1,IM9+AFB9,1)</f>
        <v/>
      </c>
      <c r="AKQ9">
        <f>IF('calcA'!EO$106=1,IN9+AFC9,1)</f>
        <v/>
      </c>
      <c r="AKR9">
        <f>IF('calcA'!EP$106=1,IO9+AFD9,1)</f>
        <v/>
      </c>
      <c r="AKS9" t="n">
        <v>1</v>
      </c>
    </row>
    <row r="10">
      <c r="A10" t="n">
        <v>8</v>
      </c>
      <c r="B10">
        <f>IF(MIN(BM10:CZ10)&gt;=1000000000,0,MATCH(MIN(BM10:CZ10),BM10:CZ10,0))</f>
        <v/>
      </c>
      <c r="C10">
        <f>IF(MIN(OF10:TS10)&gt;=1000000000,0,MATCH(MIN(OF10:TS10),OF10:TS10,0))</f>
        <v/>
      </c>
      <c r="D10">
        <f>IF(C10&gt;0,INDEX('calcA'!$D$5:$EQ$5,C10),0)</f>
        <v/>
      </c>
      <c r="E10">
        <f>IF(B10=0,0,INDEX('calcA'!$IQ$10:$IQ$54,B10))</f>
        <v/>
      </c>
      <c r="F10">
        <f>IF(B10=0,0,INDEX('calcA'!$IP$10:$IP$54,B10))</f>
        <v/>
      </c>
      <c r="G10">
        <f>IF(AND(C10&gt;0,E10&gt;0),IF(AND(INDEX('calcA'!$D$106:$EQ$106,C10)=1,INDEX($IQ10:$OD10,C10)=1),C10+1,0),0)</f>
        <v/>
      </c>
      <c r="H10">
        <f>IF(B10=0,0,INDEX('calcA'!$IW$10:$IW$54,B10))</f>
        <v/>
      </c>
      <c r="U10">
        <f>IF(B10=0,0,INDEX('calcA'!$IX$10:$IX$54,B10))</f>
        <v/>
      </c>
      <c r="V10">
        <f>IF(B10=0,0,INDEX('calcA'!$JF$10:$JF$54,B10))</f>
        <v/>
      </c>
      <c r="W10">
        <f>IF(B10=0,0,IF(IF(E10=2,SUMPRODUCT(INDEX('calcA'!$D$60:$EQ$99,B10,0),$DB10:$IO10,$IQ10:$OD10),SUMPRODUCT(INDEX('calcA'!$D$60:$EQ$99,B10,0),$DB10:$IO10))=0,1,0))</f>
        <v/>
      </c>
      <c r="X10">
        <f>MAX(X9,IF($B9=1,1,0))</f>
        <v/>
      </c>
      <c r="Y10">
        <f>MAX(Y9,IF($B9=2,1,0))</f>
        <v/>
      </c>
      <c r="Z10">
        <f>MAX(Z9,IF($B9=3,1,0))</f>
        <v/>
      </c>
      <c r="AA10">
        <f>MAX(AA9,IF($B9=4,1,0))</f>
        <v/>
      </c>
      <c r="AB10">
        <f>MAX(AB9,IF($B9=5,1,0))</f>
        <v/>
      </c>
      <c r="AC10">
        <f>MAX(AC9,IF($B9=6,1,0))</f>
        <v/>
      </c>
      <c r="AD10">
        <f>MAX(AD9,IF($B9=7,1,0))</f>
        <v/>
      </c>
      <c r="AE10">
        <f>MAX(AE9,IF($B9=8,1,0))</f>
        <v/>
      </c>
      <c r="AF10">
        <f>MAX(AF9,IF($B9=9,1,0))</f>
        <v/>
      </c>
      <c r="AG10">
        <f>MAX(AG9,IF($B9=10,1,0))</f>
        <v/>
      </c>
      <c r="AH10">
        <f>MAX(AH9,IF($B9=11,1,0))</f>
        <v/>
      </c>
      <c r="AI10">
        <f>MAX(AI9,IF($B9=12,1,0))</f>
        <v/>
      </c>
      <c r="AJ10">
        <f>MAX(AJ9,IF($B9=13,1,0))</f>
        <v/>
      </c>
      <c r="AK10">
        <f>MAX(AK9,IF($B9=14,1,0))</f>
        <v/>
      </c>
      <c r="AL10">
        <f>MAX(AL9,IF($B9=15,1,0))</f>
        <v/>
      </c>
      <c r="AM10">
        <f>MAX(AM9,IF($B9=16,1,0))</f>
        <v/>
      </c>
      <c r="AN10">
        <f>MAX(AN9,IF($B9=17,1,0))</f>
        <v/>
      </c>
      <c r="AO10">
        <f>MAX(AO9,IF($B9=18,1,0))</f>
        <v/>
      </c>
      <c r="AP10">
        <f>MAX(AP9,IF($B9=19,1,0))</f>
        <v/>
      </c>
      <c r="AQ10">
        <f>MAX(AQ9,IF($B9=20,1,0))</f>
        <v/>
      </c>
      <c r="AR10">
        <f>MAX(AR9,IF($B9=21,1,0))</f>
        <v/>
      </c>
      <c r="AS10">
        <f>MAX(AS9,IF($B9=22,1,0))</f>
        <v/>
      </c>
      <c r="AT10">
        <f>MAX(AT9,IF($B9=23,1,0))</f>
        <v/>
      </c>
      <c r="AU10">
        <f>MAX(AU9,IF($B9=24,1,0))</f>
        <v/>
      </c>
      <c r="AV10">
        <f>MAX(AV9,IF($B9=25,1,0))</f>
        <v/>
      </c>
      <c r="AW10">
        <f>MAX(AW9,IF($B9=26,1,0))</f>
        <v/>
      </c>
      <c r="AX10">
        <f>MAX(AX9,IF($B9=27,1,0))</f>
        <v/>
      </c>
      <c r="AY10">
        <f>MAX(AY9,IF($B9=28,1,0))</f>
        <v/>
      </c>
      <c r="AZ10">
        <f>MAX(AZ9,IF($B9=29,1,0))</f>
        <v/>
      </c>
      <c r="BA10">
        <f>MAX(BA9,IF($B9=30,1,0))</f>
        <v/>
      </c>
      <c r="BB10">
        <f>MAX(BB9,IF($B9=31,1,0))</f>
        <v/>
      </c>
      <c r="BC10">
        <f>MAX(BC9,IF($B9=32,1,0))</f>
        <v/>
      </c>
      <c r="BD10">
        <f>MAX(BD9,IF($B9=33,1,0))</f>
        <v/>
      </c>
      <c r="BE10">
        <f>MAX(BE9,IF($B9=34,1,0))</f>
        <v/>
      </c>
      <c r="BF10">
        <f>MAX(BF9,IF($B9=35,1,0))</f>
        <v/>
      </c>
      <c r="BG10">
        <f>MAX(BG9,IF($B9=36,1,0))</f>
        <v/>
      </c>
      <c r="BH10">
        <f>MAX(BH9,IF($B9=37,1,0))</f>
        <v/>
      </c>
      <c r="BI10">
        <f>MAX(BI9,IF($B9=38,1,0))</f>
        <v/>
      </c>
      <c r="BJ10">
        <f>MAX(BJ9,IF($B9=39,1,0))</f>
        <v/>
      </c>
      <c r="BK10">
        <f>MAX(BK9,IF($B9=40,1,0))</f>
        <v/>
      </c>
      <c r="BM10">
        <f>IF(OR(X10=1,calcA!$A$6=0),1000000000,IF('calcA'!$JF$10=1,0,100000000)+IF('calcA'!$IQ$10=2,SUMPRODUCT('calcA'!$D$60:$EQ$60,$DB10:$IO10,$IQ10:$OD10)*1000+SUMPRODUCT('calcA'!$D$60:$EQ$60,$DB10:$IO10+$ZQ10:$AFD10,$AFF10:$AKS10),SUMPRODUCT('calcA'!$D$60:$EQ$60,$DB10:$IO10*1001+$ZQ10:$AFD10))*100+1)</f>
        <v/>
      </c>
      <c r="BN10">
        <f>IF(OR(Y10=1,calcA!$A$6=0),1000000000,IF('calcA'!$JF$11=1,0,100000000)+IF('calcA'!$IQ$11=2,SUMPRODUCT('calcA'!$D$61:$EQ$61,$DB10:$IO10,$IQ10:$OD10)*1000+SUMPRODUCT('calcA'!$D$61:$EQ$61,$DB10:$IO10+$ZQ10:$AFD10,$AFF10:$AKS10),SUMPRODUCT('calcA'!$D$61:$EQ$61,$DB10:$IO10*1001+$ZQ10:$AFD10))*100+2)</f>
        <v/>
      </c>
      <c r="BO10">
        <f>IF(OR(Z10=1,calcA!$A$6=0),1000000000,IF('calcA'!$JF$12=1,0,100000000)+IF('calcA'!$IQ$12=2,SUMPRODUCT('calcA'!$D$62:$EQ$62,$DB10:$IO10,$IQ10:$OD10)*1000+SUMPRODUCT('calcA'!$D$62:$EQ$62,$DB10:$IO10+$ZQ10:$AFD10,$AFF10:$AKS10),SUMPRODUCT('calcA'!$D$62:$EQ$62,$DB10:$IO10*1001+$ZQ10:$AFD10))*100+3)</f>
        <v/>
      </c>
      <c r="BP10">
        <f>IF(OR(AA10=1,calcA!$A$6=0),1000000000,IF('calcA'!$JF$13=1,0,100000000)+IF('calcA'!$IQ$13=2,SUMPRODUCT('calcA'!$D$63:$EQ$63,$DB10:$IO10,$IQ10:$OD10)*1000+SUMPRODUCT('calcA'!$D$63:$EQ$63,$DB10:$IO10+$ZQ10:$AFD10,$AFF10:$AKS10),SUMPRODUCT('calcA'!$D$63:$EQ$63,$DB10:$IO10*1001+$ZQ10:$AFD10))*100+4)</f>
        <v/>
      </c>
      <c r="BQ10">
        <f>IF(OR(AB10=1,calcA!$A$6=0),1000000000,IF('calcA'!$JF$14=1,0,100000000)+IF('calcA'!$IQ$14=2,SUMPRODUCT('calcA'!$D$64:$EQ$64,$DB10:$IO10,$IQ10:$OD10)*1000+SUMPRODUCT('calcA'!$D$64:$EQ$64,$DB10:$IO10+$ZQ10:$AFD10,$AFF10:$AKS10),SUMPRODUCT('calcA'!$D$64:$EQ$64,$DB10:$IO10*1001+$ZQ10:$AFD10))*100+5)</f>
        <v/>
      </c>
      <c r="BR10">
        <f>IF(OR(AC10=1,calcA!$A$6=0),1000000000,IF('calcA'!$JF$15=1,0,100000000)+IF('calcA'!$IQ$15=2,SUMPRODUCT('calcA'!$D$65:$EQ$65,$DB10:$IO10,$IQ10:$OD10)*1000+SUMPRODUCT('calcA'!$D$65:$EQ$65,$DB10:$IO10+$ZQ10:$AFD10,$AFF10:$AKS10),SUMPRODUCT('calcA'!$D$65:$EQ$65,$DB10:$IO10*1001+$ZQ10:$AFD10))*100+6)</f>
        <v/>
      </c>
      <c r="BS10">
        <f>IF(OR(AD10=1,calcA!$A$6=0),1000000000,IF('calcA'!$JF$16=1,0,100000000)+IF('calcA'!$IQ$16=2,SUMPRODUCT('calcA'!$D$66:$EQ$66,$DB10:$IO10,$IQ10:$OD10)*1000+SUMPRODUCT('calcA'!$D$66:$EQ$66,$DB10:$IO10+$ZQ10:$AFD10,$AFF10:$AKS10),SUMPRODUCT('calcA'!$D$66:$EQ$66,$DB10:$IO10*1001+$ZQ10:$AFD10))*100+7)</f>
        <v/>
      </c>
      <c r="BT10">
        <f>IF(OR(AE10=1,calcA!$A$6=0),1000000000,IF('calcA'!$JF$17=1,0,100000000)+IF('calcA'!$IQ$17=2,SUMPRODUCT('calcA'!$D$67:$EQ$67,$DB10:$IO10,$IQ10:$OD10)*1000+SUMPRODUCT('calcA'!$D$67:$EQ$67,$DB10:$IO10+$ZQ10:$AFD10,$AFF10:$AKS10),SUMPRODUCT('calcA'!$D$67:$EQ$67,$DB10:$IO10*1001+$ZQ10:$AFD10))*100+8)</f>
        <v/>
      </c>
      <c r="BU10">
        <f>IF(OR(AF10=1,calcA!$A$6=0),1000000000,IF('calcA'!$JF$18=1,0,100000000)+IF('calcA'!$IQ$18=2,SUMPRODUCT('calcA'!$D$68:$EQ$68,$DB10:$IO10,$IQ10:$OD10)*1000+SUMPRODUCT('calcA'!$D$68:$EQ$68,$DB10:$IO10+$ZQ10:$AFD10,$AFF10:$AKS10),SUMPRODUCT('calcA'!$D$68:$EQ$68,$DB10:$IO10*1001+$ZQ10:$AFD10))*100+9)</f>
        <v/>
      </c>
      <c r="BV10">
        <f>IF(OR(AG10=1,calcA!$A$6=0),1000000000,IF('calcA'!$JF$19=1,0,100000000)+IF('calcA'!$IQ$19=2,SUMPRODUCT('calcA'!$D$69:$EQ$69,$DB10:$IO10,$IQ10:$OD10)*1000+SUMPRODUCT('calcA'!$D$69:$EQ$69,$DB10:$IO10+$ZQ10:$AFD10,$AFF10:$AKS10),SUMPRODUCT('calcA'!$D$69:$EQ$69,$DB10:$IO10*1001+$ZQ10:$AFD10))*100+10)</f>
        <v/>
      </c>
      <c r="BW10">
        <f>IF(OR(AH10=1,calcA!$A$6=0),1000000000,IF('calcA'!$JF$20=1,0,100000000)+IF('calcA'!$IQ$20=2,SUMPRODUCT('calcA'!$D$70:$EQ$70,$DB10:$IO10,$IQ10:$OD10)*1000+SUMPRODUCT('calcA'!$D$70:$EQ$70,$DB10:$IO10+$ZQ10:$AFD10,$AFF10:$AKS10),SUMPRODUCT('calcA'!$D$70:$EQ$70,$DB10:$IO10*1001+$ZQ10:$AFD10))*100+11)</f>
        <v/>
      </c>
      <c r="BX10">
        <f>IF(OR(AI10=1,calcA!$A$6=0),1000000000,IF('calcA'!$JF$21=1,0,100000000)+IF('calcA'!$IQ$21=2,SUMPRODUCT('calcA'!$D$71:$EQ$71,$DB10:$IO10,$IQ10:$OD10)*1000+SUMPRODUCT('calcA'!$D$71:$EQ$71,$DB10:$IO10+$ZQ10:$AFD10,$AFF10:$AKS10),SUMPRODUCT('calcA'!$D$71:$EQ$71,$DB10:$IO10*1001+$ZQ10:$AFD10))*100+12)</f>
        <v/>
      </c>
      <c r="BY10">
        <f>IF(OR(AJ10=1,calcA!$A$6=0),1000000000,IF('calcA'!$JF$22=1,0,100000000)+IF('calcA'!$IQ$22=2,SUMPRODUCT('calcA'!$D$72:$EQ$72,$DB10:$IO10,$IQ10:$OD10)*1000+SUMPRODUCT('calcA'!$D$72:$EQ$72,$DB10:$IO10+$ZQ10:$AFD10,$AFF10:$AKS10),SUMPRODUCT('calcA'!$D$72:$EQ$72,$DB10:$IO10*1001+$ZQ10:$AFD10))*100+13)</f>
        <v/>
      </c>
      <c r="BZ10">
        <f>IF(OR(AK10=1,calcA!$A$6=0),1000000000,IF('calcA'!$JF$23=1,0,100000000)+IF('calcA'!$IQ$23=2,SUMPRODUCT('calcA'!$D$73:$EQ$73,$DB10:$IO10,$IQ10:$OD10)*1000+SUMPRODUCT('calcA'!$D$73:$EQ$73,$DB10:$IO10+$ZQ10:$AFD10,$AFF10:$AKS10),SUMPRODUCT('calcA'!$D$73:$EQ$73,$DB10:$IO10*1001+$ZQ10:$AFD10))*100+14)</f>
        <v/>
      </c>
      <c r="CA10">
        <f>IF(OR(AL10=1,calcA!$A$6=0),1000000000,IF('calcA'!$JF$24=1,0,100000000)+IF('calcA'!$IQ$24=2,SUMPRODUCT('calcA'!$D$74:$EQ$74,$DB10:$IO10,$IQ10:$OD10)*1000+SUMPRODUCT('calcA'!$D$74:$EQ$74,$DB10:$IO10+$ZQ10:$AFD10,$AFF10:$AKS10),SUMPRODUCT('calcA'!$D$74:$EQ$74,$DB10:$IO10*1001+$ZQ10:$AFD10))*100+15)</f>
        <v/>
      </c>
      <c r="CB10">
        <f>IF(OR(AM10=1,calcA!$A$6=0),1000000000,IF('calcA'!$JF$25=1,0,100000000)+IF('calcA'!$IQ$25=2,SUMPRODUCT('calcA'!$D$75:$EQ$75,$DB10:$IO10,$IQ10:$OD10)*1000+SUMPRODUCT('calcA'!$D$75:$EQ$75,$DB10:$IO10+$ZQ10:$AFD10,$AFF10:$AKS10),SUMPRODUCT('calcA'!$D$75:$EQ$75,$DB10:$IO10*1001+$ZQ10:$AFD10))*100+16)</f>
        <v/>
      </c>
      <c r="CC10">
        <f>IF(OR(AN10=1,calcA!$A$6=0),1000000000,IF('calcA'!$JF$26=1,0,100000000)+IF('calcA'!$IQ$26=2,SUMPRODUCT('calcA'!$D$76:$EQ$76,$DB10:$IO10,$IQ10:$OD10)*1000+SUMPRODUCT('calcA'!$D$76:$EQ$76,$DB10:$IO10+$ZQ10:$AFD10,$AFF10:$AKS10),SUMPRODUCT('calcA'!$D$76:$EQ$76,$DB10:$IO10*1001+$ZQ10:$AFD10))*100+17)</f>
        <v/>
      </c>
      <c r="CD10">
        <f>IF(OR(AO10=1,calcA!$A$6=0),1000000000,IF('calcA'!$JF$27=1,0,100000000)+IF('calcA'!$IQ$27=2,SUMPRODUCT('calcA'!$D$77:$EQ$77,$DB10:$IO10,$IQ10:$OD10)*1000+SUMPRODUCT('calcA'!$D$77:$EQ$77,$DB10:$IO10+$ZQ10:$AFD10,$AFF10:$AKS10),SUMPRODUCT('calcA'!$D$77:$EQ$77,$DB10:$IO10*1001+$ZQ10:$AFD10))*100+18)</f>
        <v/>
      </c>
      <c r="CE10">
        <f>IF(OR(AP10=1,calcA!$A$6=0),1000000000,IF('calcA'!$JF$28=1,0,100000000)+IF('calcA'!$IQ$28=2,SUMPRODUCT('calcA'!$D$78:$EQ$78,$DB10:$IO10,$IQ10:$OD10)*1000+SUMPRODUCT('calcA'!$D$78:$EQ$78,$DB10:$IO10+$ZQ10:$AFD10,$AFF10:$AKS10),SUMPRODUCT('calcA'!$D$78:$EQ$78,$DB10:$IO10*1001+$ZQ10:$AFD10))*100+19)</f>
        <v/>
      </c>
      <c r="CF10">
        <f>IF(OR(AQ10=1,calcA!$A$6=0),1000000000,IF('calcA'!$JF$29=1,0,100000000)+IF('calcA'!$IQ$29=2,SUMPRODUCT('calcA'!$D$79:$EQ$79,$DB10:$IO10,$IQ10:$OD10)*1000+SUMPRODUCT('calcA'!$D$79:$EQ$79,$DB10:$IO10+$ZQ10:$AFD10,$AFF10:$AKS10),SUMPRODUCT('calcA'!$D$79:$EQ$79,$DB10:$IO10*1001+$ZQ10:$AFD10))*100+20)</f>
        <v/>
      </c>
      <c r="CG10">
        <f>IF(OR(AR10=1,calcA!$A$6=0),1000000000,IF('calcA'!$JF$30=1,0,100000000)+IF('calcA'!$IQ$30=2,SUMPRODUCT('calcA'!$D$80:$EQ$80,$DB10:$IO10,$IQ10:$OD10)*1000+SUMPRODUCT('calcA'!$D$80:$EQ$80,$DB10:$IO10+$ZQ10:$AFD10,$AFF10:$AKS10),SUMPRODUCT('calcA'!$D$80:$EQ$80,$DB10:$IO10*1001+$ZQ10:$AFD10))*100+21)</f>
        <v/>
      </c>
      <c r="CH10">
        <f>IF(OR(AS10=1,calcA!$A$6=0),1000000000,IF('calcA'!$JF$31=1,0,100000000)+IF('calcA'!$IQ$31=2,SUMPRODUCT('calcA'!$D$81:$EQ$81,$DB10:$IO10,$IQ10:$OD10)*1000+SUMPRODUCT('calcA'!$D$81:$EQ$81,$DB10:$IO10+$ZQ10:$AFD10,$AFF10:$AKS10),SUMPRODUCT('calcA'!$D$81:$EQ$81,$DB10:$IO10*1001+$ZQ10:$AFD10))*100+22)</f>
        <v/>
      </c>
      <c r="CI10">
        <f>IF(OR(AT10=1,calcA!$A$6=0),1000000000,IF('calcA'!$JF$32=1,0,100000000)+IF('calcA'!$IQ$32=2,SUMPRODUCT('calcA'!$D$82:$EQ$82,$DB10:$IO10,$IQ10:$OD10)*1000+SUMPRODUCT('calcA'!$D$82:$EQ$82,$DB10:$IO10+$ZQ10:$AFD10,$AFF10:$AKS10),SUMPRODUCT('calcA'!$D$82:$EQ$82,$DB10:$IO10*1001+$ZQ10:$AFD10))*100+23)</f>
        <v/>
      </c>
      <c r="CJ10">
        <f>IF(OR(AU10=1,calcA!$A$6=0),1000000000,IF('calcA'!$JF$33=1,0,100000000)+IF('calcA'!$IQ$33=2,SUMPRODUCT('calcA'!$D$83:$EQ$83,$DB10:$IO10,$IQ10:$OD10)*1000+SUMPRODUCT('calcA'!$D$83:$EQ$83,$DB10:$IO10+$ZQ10:$AFD10,$AFF10:$AKS10),SUMPRODUCT('calcA'!$D$83:$EQ$83,$DB10:$IO10*1001+$ZQ10:$AFD10))*100+24)</f>
        <v/>
      </c>
      <c r="CK10">
        <f>IF(OR(AV10=1,calcA!$A$6=0),1000000000,IF('calcA'!$JF$34=1,0,100000000)+IF('calcA'!$IQ$34=2,SUMPRODUCT('calcA'!$D$84:$EQ$84,$DB10:$IO10,$IQ10:$OD10)*1000+SUMPRODUCT('calcA'!$D$84:$EQ$84,$DB10:$IO10+$ZQ10:$AFD10,$AFF10:$AKS10),SUMPRODUCT('calcA'!$D$84:$EQ$84,$DB10:$IO10*1001+$ZQ10:$AFD10))*100+25)</f>
        <v/>
      </c>
      <c r="CL10">
        <f>IF(OR(AW10=1,calcA!$A$6=0),1000000000,IF('calcA'!$JF$35=1,0,100000000)+IF('calcA'!$IQ$35=2,SUMPRODUCT('calcA'!$D$85:$EQ$85,$DB10:$IO10,$IQ10:$OD10)*1000+SUMPRODUCT('calcA'!$D$85:$EQ$85,$DB10:$IO10+$ZQ10:$AFD10,$AFF10:$AKS10),SUMPRODUCT('calcA'!$D$85:$EQ$85,$DB10:$IO10*1001+$ZQ10:$AFD10))*100+26)</f>
        <v/>
      </c>
      <c r="CM10">
        <f>IF(OR(AX10=1,calcA!$A$6=0),1000000000,IF('calcA'!$JF$36=1,0,100000000)+IF('calcA'!$IQ$36=2,SUMPRODUCT('calcA'!$D$86:$EQ$86,$DB10:$IO10,$IQ10:$OD10)*1000+SUMPRODUCT('calcA'!$D$86:$EQ$86,$DB10:$IO10+$ZQ10:$AFD10,$AFF10:$AKS10),SUMPRODUCT('calcA'!$D$86:$EQ$86,$DB10:$IO10*1001+$ZQ10:$AFD10))*100+27)</f>
        <v/>
      </c>
      <c r="CN10">
        <f>IF(OR(AY10=1,calcA!$A$6=0),1000000000,IF('calcA'!$JF$37=1,0,100000000)+IF('calcA'!$IQ$37=2,SUMPRODUCT('calcA'!$D$87:$EQ$87,$DB10:$IO10,$IQ10:$OD10)*1000+SUMPRODUCT('calcA'!$D$87:$EQ$87,$DB10:$IO10+$ZQ10:$AFD10,$AFF10:$AKS10),SUMPRODUCT('calcA'!$D$87:$EQ$87,$DB10:$IO10*1001+$ZQ10:$AFD10))*100+28)</f>
        <v/>
      </c>
      <c r="CO10">
        <f>IF(OR(AZ10=1,calcA!$A$6=0),1000000000,IF('calcA'!$JF$38=1,0,100000000)+IF('calcA'!$IQ$38=2,SUMPRODUCT('calcA'!$D$88:$EQ$88,$DB10:$IO10,$IQ10:$OD10)*1000+SUMPRODUCT('calcA'!$D$88:$EQ$88,$DB10:$IO10+$ZQ10:$AFD10,$AFF10:$AKS10),SUMPRODUCT('calcA'!$D$88:$EQ$88,$DB10:$IO10*1001+$ZQ10:$AFD10))*100+29)</f>
        <v/>
      </c>
      <c r="CP10">
        <f>IF(OR(BA10=1,calcA!$A$6=0),1000000000,IF('calcA'!$JF$39=1,0,100000000)+IF('calcA'!$IQ$39=2,SUMPRODUCT('calcA'!$D$89:$EQ$89,$DB10:$IO10,$IQ10:$OD10)*1000+SUMPRODUCT('calcA'!$D$89:$EQ$89,$DB10:$IO10+$ZQ10:$AFD10,$AFF10:$AKS10),SUMPRODUCT('calcA'!$D$89:$EQ$89,$DB10:$IO10*1001+$ZQ10:$AFD10))*100+30)</f>
        <v/>
      </c>
      <c r="CQ10">
        <f>IF(OR(BB10=1,calcA!$A$6=0),1000000000,IF('calcA'!$JF$40=1,0,100000000)+IF('calcA'!$IQ$40=2,SUMPRODUCT('calcA'!$D$90:$EQ$90,$DB10:$IO10,$IQ10:$OD10)*1000+SUMPRODUCT('calcA'!$D$90:$EQ$90,$DB10:$IO10+$ZQ10:$AFD10,$AFF10:$AKS10),SUMPRODUCT('calcA'!$D$90:$EQ$90,$DB10:$IO10*1001+$ZQ10:$AFD10))*100+31)</f>
        <v/>
      </c>
      <c r="CR10">
        <f>IF(OR(BC10=1,calcA!$A$6=0),1000000000,IF('calcA'!$JF$41=1,0,100000000)+IF('calcA'!$IQ$41=2,SUMPRODUCT('calcA'!$D$91:$EQ$91,$DB10:$IO10,$IQ10:$OD10)*1000+SUMPRODUCT('calcA'!$D$91:$EQ$91,$DB10:$IO10+$ZQ10:$AFD10,$AFF10:$AKS10),SUMPRODUCT('calcA'!$D$91:$EQ$91,$DB10:$IO10*1001+$ZQ10:$AFD10))*100+32)</f>
        <v/>
      </c>
      <c r="CS10">
        <f>IF(OR(BD10=1,calcA!$A$6=0),1000000000,IF('calcA'!$JF$42=1,0,100000000)+IF('calcA'!$IQ$42=2,SUMPRODUCT('calcA'!$D$92:$EQ$92,$DB10:$IO10,$IQ10:$OD10)*1000+SUMPRODUCT('calcA'!$D$92:$EQ$92,$DB10:$IO10+$ZQ10:$AFD10,$AFF10:$AKS10),SUMPRODUCT('calcA'!$D$92:$EQ$92,$DB10:$IO10*1001+$ZQ10:$AFD10))*100+33)</f>
        <v/>
      </c>
      <c r="CT10">
        <f>IF(OR(BE10=1,calcA!$A$6=0),1000000000,IF('calcA'!$JF$43=1,0,100000000)+IF('calcA'!$IQ$43=2,SUMPRODUCT('calcA'!$D$93:$EQ$93,$DB10:$IO10,$IQ10:$OD10)*1000+SUMPRODUCT('calcA'!$D$93:$EQ$93,$DB10:$IO10+$ZQ10:$AFD10,$AFF10:$AKS10),SUMPRODUCT('calcA'!$D$93:$EQ$93,$DB10:$IO10*1001+$ZQ10:$AFD10))*100+34)</f>
        <v/>
      </c>
      <c r="CU10">
        <f>IF(OR(BF10=1,calcA!$A$6=0),1000000000,IF('calcA'!$JF$44=1,0,100000000)+IF('calcA'!$IQ$44=2,SUMPRODUCT('calcA'!$D$94:$EQ$94,$DB10:$IO10,$IQ10:$OD10)*1000+SUMPRODUCT('calcA'!$D$94:$EQ$94,$DB10:$IO10+$ZQ10:$AFD10,$AFF10:$AKS10),SUMPRODUCT('calcA'!$D$94:$EQ$94,$DB10:$IO10*1001+$ZQ10:$AFD10))*100+35)</f>
        <v/>
      </c>
      <c r="CV10">
        <f>IF(OR(BG10=1,calcA!$A$6=0),1000000000,IF('calcA'!$JF$45=1,0,100000000)+IF('calcA'!$IQ$45=2,SUMPRODUCT('calcA'!$D$95:$EQ$95,$DB10:$IO10,$IQ10:$OD10)*1000+SUMPRODUCT('calcA'!$D$95:$EQ$95,$DB10:$IO10+$ZQ10:$AFD10,$AFF10:$AKS10),SUMPRODUCT('calcA'!$D$95:$EQ$95,$DB10:$IO10*1001+$ZQ10:$AFD10))*100+36)</f>
        <v/>
      </c>
      <c r="CW10">
        <f>IF(OR(BH10=1,calcA!$A$6=0),1000000000,IF('calcA'!$JF$46=1,0,100000000)+IF('calcA'!$IQ$46=2,SUMPRODUCT('calcA'!$D$96:$EQ$96,$DB10:$IO10,$IQ10:$OD10)*1000+SUMPRODUCT('calcA'!$D$96:$EQ$96,$DB10:$IO10+$ZQ10:$AFD10,$AFF10:$AKS10),SUMPRODUCT('calcA'!$D$96:$EQ$96,$DB10:$IO10*1001+$ZQ10:$AFD10))*100+37)</f>
        <v/>
      </c>
      <c r="CX10">
        <f>IF(OR(BI10=1,calcA!$A$6=0),1000000000,IF('calcA'!$JF$47=1,0,100000000)+IF('calcA'!$IQ$47=2,SUMPRODUCT('calcA'!$D$97:$EQ$97,$DB10:$IO10,$IQ10:$OD10)*1000+SUMPRODUCT('calcA'!$D$97:$EQ$97,$DB10:$IO10+$ZQ10:$AFD10,$AFF10:$AKS10),SUMPRODUCT('calcA'!$D$97:$EQ$97,$DB10:$IO10*1001+$ZQ10:$AFD10))*100+38)</f>
        <v/>
      </c>
      <c r="CY10">
        <f>IF(OR(BJ10=1,calcA!$A$6=0),1000000000,IF('calcA'!$JF$48=1,0,100000000)+IF('calcA'!$IQ$48=2,SUMPRODUCT('calcA'!$D$98:$EQ$98,$DB10:$IO10,$IQ10:$OD10)*1000+SUMPRODUCT('calcA'!$D$98:$EQ$98,$DB10:$IO10+$ZQ10:$AFD10,$AFF10:$AKS10),SUMPRODUCT('calcA'!$D$98:$EQ$98,$DB10:$IO10*1001+$ZQ10:$AFD10))*100+39)</f>
        <v/>
      </c>
      <c r="CZ10">
        <f>IF(OR(BK10=1,calcA!$A$6=0),1000000000,IF('calcA'!$JF$49=1,0,100000000)+IF('calcA'!$IQ$49=2,SUMPRODUCT('calcA'!$D$99:$EQ$99,$DB10:$IO10,$IQ10:$OD10)*1000+SUMPRODUCT('calcA'!$D$99:$EQ$99,$DB10:$IO10+$ZQ10:$AFD10,$AFF10:$AKS10),SUMPRODUCT('calcA'!$D$99:$EQ$99,$DB10:$IO10*1001+$ZQ10:$AFD10))*100+40)</f>
        <v/>
      </c>
      <c r="DB10">
        <f>DB9*IF(OR($C9=1,$G9=1),0,1)</f>
        <v/>
      </c>
      <c r="DC10">
        <f>DC9*IF(OR($C9=2,$G9=2),0,1)</f>
        <v/>
      </c>
      <c r="DD10">
        <f>DD9*IF(OR($C9=3,$G9=3),0,1)</f>
        <v/>
      </c>
      <c r="DE10">
        <f>DE9*IF(OR($C9=4,$G9=4),0,1)</f>
        <v/>
      </c>
      <c r="DF10">
        <f>DF9*IF(OR($C9=5,$G9=5),0,1)</f>
        <v/>
      </c>
      <c r="DG10">
        <f>DG9*IF(OR($C9=6,$G9=6),0,1)</f>
        <v/>
      </c>
      <c r="DH10">
        <f>DH9*IF(OR($C9=7,$G9=7),0,1)</f>
        <v/>
      </c>
      <c r="DI10">
        <f>DI9*IF(OR($C9=8,$G9=8),0,1)</f>
        <v/>
      </c>
      <c r="DJ10">
        <f>DJ9*IF(OR($C9=9,$G9=9),0,1)</f>
        <v/>
      </c>
      <c r="DK10">
        <f>DK9*IF(OR($C9=10,$G9=10),0,1)</f>
        <v/>
      </c>
      <c r="DL10">
        <f>DL9*IF(OR($C9=11,$G9=11),0,1)</f>
        <v/>
      </c>
      <c r="DM10">
        <f>DM9*IF(OR($C9=12,$G9=12),0,1)</f>
        <v/>
      </c>
      <c r="DN10">
        <f>DN9*IF(OR($C9=13,$G9=13),0,1)</f>
        <v/>
      </c>
      <c r="DO10">
        <f>DO9*IF(OR($C9=14,$G9=14),0,1)</f>
        <v/>
      </c>
      <c r="DP10">
        <f>DP9*IF(OR($C9=15,$G9=15),0,1)</f>
        <v/>
      </c>
      <c r="DQ10">
        <f>DQ9*IF(OR($C9=16,$G9=16),0,1)</f>
        <v/>
      </c>
      <c r="DR10">
        <f>DR9*IF(OR($C9=17,$G9=17),0,1)</f>
        <v/>
      </c>
      <c r="DS10">
        <f>DS9*IF(OR($C9=18,$G9=18),0,1)</f>
        <v/>
      </c>
      <c r="DT10">
        <f>DT9*IF(OR($C9=19,$G9=19),0,1)</f>
        <v/>
      </c>
      <c r="DU10">
        <f>DU9*IF(OR($C9=20,$G9=20),0,1)</f>
        <v/>
      </c>
      <c r="DV10">
        <f>DV9*IF(OR($C9=21,$G9=21),0,1)</f>
        <v/>
      </c>
      <c r="DW10">
        <f>DW9*IF(OR($C9=22,$G9=22),0,1)</f>
        <v/>
      </c>
      <c r="DX10">
        <f>DX9*IF(OR($C9=23,$G9=23),0,1)</f>
        <v/>
      </c>
      <c r="DY10">
        <f>DY9*IF(OR($C9=24,$G9=24),0,1)</f>
        <v/>
      </c>
      <c r="DZ10">
        <f>DZ9*IF(OR($C9=25,$G9=25),0,1)</f>
        <v/>
      </c>
      <c r="EA10">
        <f>EA9*IF(OR($C9=26,$G9=26),0,1)</f>
        <v/>
      </c>
      <c r="EB10">
        <f>EB9*IF(OR($C9=27,$G9=27),0,1)</f>
        <v/>
      </c>
      <c r="EC10">
        <f>EC9*IF(OR($C9=28,$G9=28),0,1)</f>
        <v/>
      </c>
      <c r="ED10">
        <f>ED9*IF(OR($C9=29,$G9=29),0,1)</f>
        <v/>
      </c>
      <c r="EE10">
        <f>EE9*IF(OR($C9=30,$G9=30),0,1)</f>
        <v/>
      </c>
      <c r="EF10">
        <f>EF9*IF(OR($C9=31,$G9=31),0,1)</f>
        <v/>
      </c>
      <c r="EG10">
        <f>EG9*IF(OR($C9=32,$G9=32),0,1)</f>
        <v/>
      </c>
      <c r="EH10">
        <f>EH9*IF(OR($C9=33,$G9=33),0,1)</f>
        <v/>
      </c>
      <c r="EI10">
        <f>EI9*IF(OR($C9=34,$G9=34),0,1)</f>
        <v/>
      </c>
      <c r="EJ10">
        <f>EJ9*IF(OR($C9=35,$G9=35),0,1)</f>
        <v/>
      </c>
      <c r="EK10">
        <f>EK9*IF(OR($C9=36,$G9=36),0,1)</f>
        <v/>
      </c>
      <c r="EL10">
        <f>EL9*IF(OR($C9=37,$G9=37),0,1)</f>
        <v/>
      </c>
      <c r="EM10">
        <f>EM9*IF(OR($C9=38,$G9=38),0,1)</f>
        <v/>
      </c>
      <c r="EN10">
        <f>EN9*IF(OR($C9=39,$G9=39),0,1)</f>
        <v/>
      </c>
      <c r="EO10">
        <f>EO9*IF(OR($C9=40,$G9=40),0,1)</f>
        <v/>
      </c>
      <c r="EP10">
        <f>EP9*IF(OR($C9=41,$G9=41),0,1)</f>
        <v/>
      </c>
      <c r="EQ10">
        <f>EQ9*IF(OR($C9=42,$G9=42),0,1)</f>
        <v/>
      </c>
      <c r="ER10">
        <f>ER9*IF(OR($C9=43,$G9=43),0,1)</f>
        <v/>
      </c>
      <c r="ES10">
        <f>ES9*IF(OR($C9=44,$G9=44),0,1)</f>
        <v/>
      </c>
      <c r="ET10">
        <f>ET9*IF(OR($C9=45,$G9=45),0,1)</f>
        <v/>
      </c>
      <c r="EU10">
        <f>EU9*IF(OR($C9=46,$G9=46),0,1)</f>
        <v/>
      </c>
      <c r="EV10">
        <f>EV9*IF(OR($C9=47,$G9=47),0,1)</f>
        <v/>
      </c>
      <c r="EW10">
        <f>EW9*IF(OR($C9=48,$G9=48),0,1)</f>
        <v/>
      </c>
      <c r="EX10">
        <f>EX9*IF(OR($C9=49,$G9=49),0,1)</f>
        <v/>
      </c>
      <c r="EY10">
        <f>EY9*IF(OR($C9=50,$G9=50),0,1)</f>
        <v/>
      </c>
      <c r="EZ10">
        <f>EZ9*IF(OR($C9=51,$G9=51),0,1)</f>
        <v/>
      </c>
      <c r="FA10">
        <f>FA9*IF(OR($C9=52,$G9=52),0,1)</f>
        <v/>
      </c>
      <c r="FB10">
        <f>FB9*IF(OR($C9=53,$G9=53),0,1)</f>
        <v/>
      </c>
      <c r="FC10">
        <f>FC9*IF(OR($C9=54,$G9=54),0,1)</f>
        <v/>
      </c>
      <c r="FD10">
        <f>FD9*IF(OR($C9=55,$G9=55),0,1)</f>
        <v/>
      </c>
      <c r="FE10">
        <f>FE9*IF(OR($C9=56,$G9=56),0,1)</f>
        <v/>
      </c>
      <c r="FF10">
        <f>FF9*IF(OR($C9=57,$G9=57),0,1)</f>
        <v/>
      </c>
      <c r="FG10">
        <f>FG9*IF(OR($C9=58,$G9=58),0,1)</f>
        <v/>
      </c>
      <c r="FH10">
        <f>FH9*IF(OR($C9=59,$G9=59),0,1)</f>
        <v/>
      </c>
      <c r="FI10">
        <f>FI9*IF(OR($C9=60,$G9=60),0,1)</f>
        <v/>
      </c>
      <c r="FJ10">
        <f>FJ9*IF(OR($C9=61,$G9=61),0,1)</f>
        <v/>
      </c>
      <c r="FK10">
        <f>FK9*IF(OR($C9=62,$G9=62),0,1)</f>
        <v/>
      </c>
      <c r="FL10">
        <f>FL9*IF(OR($C9=63,$G9=63),0,1)</f>
        <v/>
      </c>
      <c r="FM10">
        <f>FM9*IF(OR($C9=64,$G9=64),0,1)</f>
        <v/>
      </c>
      <c r="FN10">
        <f>FN9*IF(OR($C9=65,$G9=65),0,1)</f>
        <v/>
      </c>
      <c r="FO10">
        <f>FO9*IF(OR($C9=66,$G9=66),0,1)</f>
        <v/>
      </c>
      <c r="FP10">
        <f>FP9*IF(OR($C9=67,$G9=67),0,1)</f>
        <v/>
      </c>
      <c r="FQ10">
        <f>FQ9*IF(OR($C9=68,$G9=68),0,1)</f>
        <v/>
      </c>
      <c r="FR10">
        <f>FR9*IF(OR($C9=69,$G9=69),0,1)</f>
        <v/>
      </c>
      <c r="FS10">
        <f>FS9*IF(OR($C9=70,$G9=70),0,1)</f>
        <v/>
      </c>
      <c r="FT10">
        <f>FT9*IF(OR($C9=71,$G9=71),0,1)</f>
        <v/>
      </c>
      <c r="FU10">
        <f>FU9*IF(OR($C9=72,$G9=72),0,1)</f>
        <v/>
      </c>
      <c r="FV10">
        <f>FV9*IF(OR($C9=73,$G9=73),0,1)</f>
        <v/>
      </c>
      <c r="FW10">
        <f>FW9*IF(OR($C9=74,$G9=74),0,1)</f>
        <v/>
      </c>
      <c r="FX10">
        <f>FX9*IF(OR($C9=75,$G9=75),0,1)</f>
        <v/>
      </c>
      <c r="FY10">
        <f>FY9*IF(OR($C9=76,$G9=76),0,1)</f>
        <v/>
      </c>
      <c r="FZ10">
        <f>FZ9*IF(OR($C9=77,$G9=77),0,1)</f>
        <v/>
      </c>
      <c r="GA10">
        <f>GA9*IF(OR($C9=78,$G9=78),0,1)</f>
        <v/>
      </c>
      <c r="GB10">
        <f>GB9*IF(OR($C9=79,$G9=79),0,1)</f>
        <v/>
      </c>
      <c r="GC10">
        <f>GC9*IF(OR($C9=80,$G9=80),0,1)</f>
        <v/>
      </c>
      <c r="GD10">
        <f>GD9*IF(OR($C9=81,$G9=81),0,1)</f>
        <v/>
      </c>
      <c r="GE10">
        <f>GE9*IF(OR($C9=82,$G9=82),0,1)</f>
        <v/>
      </c>
      <c r="GF10">
        <f>GF9*IF(OR($C9=83,$G9=83),0,1)</f>
        <v/>
      </c>
      <c r="GG10">
        <f>GG9*IF(OR($C9=84,$G9=84),0,1)</f>
        <v/>
      </c>
      <c r="GH10">
        <f>GH9*IF(OR($C9=85,$G9=85),0,1)</f>
        <v/>
      </c>
      <c r="GI10">
        <f>GI9*IF(OR($C9=86,$G9=86),0,1)</f>
        <v/>
      </c>
      <c r="GJ10">
        <f>GJ9*IF(OR($C9=87,$G9=87),0,1)</f>
        <v/>
      </c>
      <c r="GK10">
        <f>GK9*IF(OR($C9=88,$G9=88),0,1)</f>
        <v/>
      </c>
      <c r="GL10">
        <f>GL9*IF(OR($C9=89,$G9=89),0,1)</f>
        <v/>
      </c>
      <c r="GM10">
        <f>GM9*IF(OR($C9=90,$G9=90),0,1)</f>
        <v/>
      </c>
      <c r="GN10">
        <f>GN9*IF(OR($C9=91,$G9=91),0,1)</f>
        <v/>
      </c>
      <c r="GO10">
        <f>GO9*IF(OR($C9=92,$G9=92),0,1)</f>
        <v/>
      </c>
      <c r="GP10">
        <f>GP9*IF(OR($C9=93,$G9=93),0,1)</f>
        <v/>
      </c>
      <c r="GQ10">
        <f>GQ9*IF(OR($C9=94,$G9=94),0,1)</f>
        <v/>
      </c>
      <c r="GR10">
        <f>GR9*IF(OR($C9=95,$G9=95),0,1)</f>
        <v/>
      </c>
      <c r="GS10">
        <f>GS9*IF(OR($C9=96,$G9=96),0,1)</f>
        <v/>
      </c>
      <c r="GT10">
        <f>GT9*IF(OR($C9=97,$G9=97),0,1)</f>
        <v/>
      </c>
      <c r="GU10">
        <f>GU9*IF(OR($C9=98,$G9=98),0,1)</f>
        <v/>
      </c>
      <c r="GV10">
        <f>GV9*IF(OR($C9=99,$G9=99),0,1)</f>
        <v/>
      </c>
      <c r="GW10">
        <f>GW9*IF(OR($C9=100,$G9=100),0,1)</f>
        <v/>
      </c>
      <c r="GX10">
        <f>GX9*IF(OR($C9=101,$G9=101),0,1)</f>
        <v/>
      </c>
      <c r="GY10">
        <f>GY9*IF(OR($C9=102,$G9=102),0,1)</f>
        <v/>
      </c>
      <c r="GZ10">
        <f>GZ9*IF(OR($C9=103,$G9=103),0,1)</f>
        <v/>
      </c>
      <c r="HA10">
        <f>HA9*IF(OR($C9=104,$G9=104),0,1)</f>
        <v/>
      </c>
      <c r="HB10">
        <f>HB9*IF(OR($C9=105,$G9=105),0,1)</f>
        <v/>
      </c>
      <c r="HC10">
        <f>HC9*IF(OR($C9=106,$G9=106),0,1)</f>
        <v/>
      </c>
      <c r="HD10">
        <f>HD9*IF(OR($C9=107,$G9=107),0,1)</f>
        <v/>
      </c>
      <c r="HE10">
        <f>HE9*IF(OR($C9=108,$G9=108),0,1)</f>
        <v/>
      </c>
      <c r="HF10">
        <f>HF9*IF(OR($C9=109,$G9=109),0,1)</f>
        <v/>
      </c>
      <c r="HG10">
        <f>HG9*IF(OR($C9=110,$G9=110),0,1)</f>
        <v/>
      </c>
      <c r="HH10">
        <f>HH9*IF(OR($C9=111,$G9=111),0,1)</f>
        <v/>
      </c>
      <c r="HI10">
        <f>HI9*IF(OR($C9=112,$G9=112),0,1)</f>
        <v/>
      </c>
      <c r="HJ10">
        <f>HJ9*IF(OR($C9=113,$G9=113),0,1)</f>
        <v/>
      </c>
      <c r="HK10">
        <f>HK9*IF(OR($C9=114,$G9=114),0,1)</f>
        <v/>
      </c>
      <c r="HL10">
        <f>HL9*IF(OR($C9=115,$G9=115),0,1)</f>
        <v/>
      </c>
      <c r="HM10">
        <f>HM9*IF(OR($C9=116,$G9=116),0,1)</f>
        <v/>
      </c>
      <c r="HN10">
        <f>HN9*IF(OR($C9=117,$G9=117),0,1)</f>
        <v/>
      </c>
      <c r="HO10">
        <f>HO9*IF(OR($C9=118,$G9=118),0,1)</f>
        <v/>
      </c>
      <c r="HP10">
        <f>HP9*IF(OR($C9=119,$G9=119),0,1)</f>
        <v/>
      </c>
      <c r="HQ10">
        <f>HQ9*IF(OR($C9=120,$G9=120),0,1)</f>
        <v/>
      </c>
      <c r="HR10">
        <f>HR9*IF(OR($C9=121,$G9=121),0,1)</f>
        <v/>
      </c>
      <c r="HS10">
        <f>HS9*IF(OR($C9=122,$G9=122),0,1)</f>
        <v/>
      </c>
      <c r="HT10">
        <f>HT9*IF(OR($C9=123,$G9=123),0,1)</f>
        <v/>
      </c>
      <c r="HU10">
        <f>HU9*IF(OR($C9=124,$G9=124),0,1)</f>
        <v/>
      </c>
      <c r="HV10">
        <f>HV9*IF(OR($C9=125,$G9=125),0,1)</f>
        <v/>
      </c>
      <c r="HW10">
        <f>HW9*IF(OR($C9=126,$G9=126),0,1)</f>
        <v/>
      </c>
      <c r="HX10">
        <f>HX9*IF(OR($C9=127,$G9=127),0,1)</f>
        <v/>
      </c>
      <c r="HY10">
        <f>HY9*IF(OR($C9=128,$G9=128),0,1)</f>
        <v/>
      </c>
      <c r="HZ10">
        <f>HZ9*IF(OR($C9=129,$G9=129),0,1)</f>
        <v/>
      </c>
      <c r="IA10">
        <f>IA9*IF(OR($C9=130,$G9=130),0,1)</f>
        <v/>
      </c>
      <c r="IB10">
        <f>IB9*IF(OR($C9=131,$G9=131),0,1)</f>
        <v/>
      </c>
      <c r="IC10">
        <f>IC9*IF(OR($C9=132,$G9=132),0,1)</f>
        <v/>
      </c>
      <c r="ID10">
        <f>ID9*IF(OR($C9=133,$G9=133),0,1)</f>
        <v/>
      </c>
      <c r="IE10">
        <f>IE9*IF(OR($C9=134,$G9=134),0,1)</f>
        <v/>
      </c>
      <c r="IF10">
        <f>IF9*IF(OR($C9=135,$G9=135),0,1)</f>
        <v/>
      </c>
      <c r="IG10">
        <f>IG9*IF(OR($C9=136,$G9=136),0,1)</f>
        <v/>
      </c>
      <c r="IH10">
        <f>IH9*IF(OR($C9=137,$G9=137),0,1)</f>
        <v/>
      </c>
      <c r="II10">
        <f>II9*IF(OR($C9=138,$G9=138),0,1)</f>
        <v/>
      </c>
      <c r="IJ10">
        <f>IJ9*IF(OR($C9=139,$G9=139),0,1)</f>
        <v/>
      </c>
      <c r="IK10">
        <f>IK9*IF(OR($C9=140,$G9=140),0,1)</f>
        <v/>
      </c>
      <c r="IL10">
        <f>IL9*IF(OR($C9=141,$G9=141),0,1)</f>
        <v/>
      </c>
      <c r="IM10">
        <f>IM9*IF(OR($C9=142,$G9=142),0,1)</f>
        <v/>
      </c>
      <c r="IN10">
        <f>IN9*IF(OR($C9=143,$G9=143),0,1)</f>
        <v/>
      </c>
      <c r="IO10">
        <f>IO9*IF(OR($C9=144,$G9=144),0,1)</f>
        <v/>
      </c>
      <c r="IQ10">
        <f>IF('calcA'!D$106=1,DC10,1)</f>
        <v/>
      </c>
      <c r="IR10">
        <f>IF('calcA'!E$106=1,DD10,1)</f>
        <v/>
      </c>
      <c r="IS10">
        <f>IF('calcA'!F$106=1,DE10,1)</f>
        <v/>
      </c>
      <c r="IT10">
        <f>IF('calcA'!G$106=1,DF10,1)</f>
        <v/>
      </c>
      <c r="IU10">
        <f>IF('calcA'!H$106=1,DG10,1)</f>
        <v/>
      </c>
      <c r="IV10">
        <f>IF('calcA'!I$106=1,DH10,1)</f>
        <v/>
      </c>
      <c r="IW10">
        <f>IF('calcA'!J$106=1,DI10,1)</f>
        <v/>
      </c>
      <c r="IX10">
        <f>IF('calcA'!K$106=1,DJ10,1)</f>
        <v/>
      </c>
      <c r="IY10">
        <f>IF('calcA'!L$106=1,DK10,1)</f>
        <v/>
      </c>
      <c r="IZ10">
        <f>IF('calcA'!M$106=1,DL10,1)</f>
        <v/>
      </c>
      <c r="JA10">
        <f>IF('calcA'!N$106=1,DM10,1)</f>
        <v/>
      </c>
      <c r="JB10">
        <f>IF('calcA'!O$106=1,DN10,1)</f>
        <v/>
      </c>
      <c r="JC10">
        <f>IF('calcA'!P$106=1,DO10,1)</f>
        <v/>
      </c>
      <c r="JD10">
        <f>IF('calcA'!Q$106=1,DP10,1)</f>
        <v/>
      </c>
      <c r="JE10">
        <f>IF('calcA'!R$106=1,DQ10,1)</f>
        <v/>
      </c>
      <c r="JF10">
        <f>IF('calcA'!S$106=1,DR10,1)</f>
        <v/>
      </c>
      <c r="JG10">
        <f>IF('calcA'!T$106=1,DS10,1)</f>
        <v/>
      </c>
      <c r="JH10">
        <f>IF('calcA'!U$106=1,DT10,1)</f>
        <v/>
      </c>
      <c r="JI10">
        <f>IF('calcA'!V$106=1,DU10,1)</f>
        <v/>
      </c>
      <c r="JJ10">
        <f>IF('calcA'!W$106=1,DV10,1)</f>
        <v/>
      </c>
      <c r="JK10">
        <f>IF('calcA'!X$106=1,DW10,1)</f>
        <v/>
      </c>
      <c r="JL10">
        <f>IF('calcA'!Y$106=1,DX10,1)</f>
        <v/>
      </c>
      <c r="JM10">
        <f>IF('calcA'!Z$106=1,DY10,1)</f>
        <v/>
      </c>
      <c r="JN10">
        <f>IF('calcA'!AA$106=1,DZ10,1)</f>
        <v/>
      </c>
      <c r="JO10">
        <f>IF('calcA'!AB$106=1,EA10,1)</f>
        <v/>
      </c>
      <c r="JP10">
        <f>IF('calcA'!AC$106=1,EB10,1)</f>
        <v/>
      </c>
      <c r="JQ10">
        <f>IF('calcA'!AD$106=1,EC10,1)</f>
        <v/>
      </c>
      <c r="JR10">
        <f>IF('calcA'!AE$106=1,ED10,1)</f>
        <v/>
      </c>
      <c r="JS10">
        <f>IF('calcA'!AF$106=1,EE10,1)</f>
        <v/>
      </c>
      <c r="JT10">
        <f>IF('calcA'!AG$106=1,EF10,1)</f>
        <v/>
      </c>
      <c r="JU10">
        <f>IF('calcA'!AH$106=1,EG10,1)</f>
        <v/>
      </c>
      <c r="JV10">
        <f>IF('calcA'!AI$106=1,EH10,1)</f>
        <v/>
      </c>
      <c r="JW10">
        <f>IF('calcA'!AJ$106=1,EI10,1)</f>
        <v/>
      </c>
      <c r="JX10">
        <f>IF('calcA'!AK$106=1,EJ10,1)</f>
        <v/>
      </c>
      <c r="JY10">
        <f>IF('calcA'!AL$106=1,EK10,1)</f>
        <v/>
      </c>
      <c r="JZ10">
        <f>IF('calcA'!AM$106=1,EL10,1)</f>
        <v/>
      </c>
      <c r="KA10">
        <f>IF('calcA'!AN$106=1,EM10,1)</f>
        <v/>
      </c>
      <c r="KB10">
        <f>IF('calcA'!AO$106=1,EN10,1)</f>
        <v/>
      </c>
      <c r="KC10">
        <f>IF('calcA'!AP$106=1,EO10,1)</f>
        <v/>
      </c>
      <c r="KD10">
        <f>IF('calcA'!AQ$106=1,EP10,1)</f>
        <v/>
      </c>
      <c r="KE10">
        <f>IF('calcA'!AR$106=1,EQ10,1)</f>
        <v/>
      </c>
      <c r="KF10">
        <f>IF('calcA'!AS$106=1,ER10,1)</f>
        <v/>
      </c>
      <c r="KG10">
        <f>IF('calcA'!AT$106=1,ES10,1)</f>
        <v/>
      </c>
      <c r="KH10">
        <f>IF('calcA'!AU$106=1,ET10,1)</f>
        <v/>
      </c>
      <c r="KI10">
        <f>IF('calcA'!AV$106=1,EU10,1)</f>
        <v/>
      </c>
      <c r="KJ10">
        <f>IF('calcA'!AW$106=1,EV10,1)</f>
        <v/>
      </c>
      <c r="KK10">
        <f>IF('calcA'!AX$106=1,EW10,1)</f>
        <v/>
      </c>
      <c r="KL10">
        <f>IF('calcA'!AY$106=1,EX10,1)</f>
        <v/>
      </c>
      <c r="KM10">
        <f>IF('calcA'!AZ$106=1,EY10,1)</f>
        <v/>
      </c>
      <c r="KN10">
        <f>IF('calcA'!BA$106=1,EZ10,1)</f>
        <v/>
      </c>
      <c r="KO10">
        <f>IF('calcA'!BB$106=1,FA10,1)</f>
        <v/>
      </c>
      <c r="KP10">
        <f>IF('calcA'!BC$106=1,FB10,1)</f>
        <v/>
      </c>
      <c r="KQ10">
        <f>IF('calcA'!BD$106=1,FC10,1)</f>
        <v/>
      </c>
      <c r="KR10">
        <f>IF('calcA'!BE$106=1,FD10,1)</f>
        <v/>
      </c>
      <c r="KS10">
        <f>IF('calcA'!BF$106=1,FE10,1)</f>
        <v/>
      </c>
      <c r="KT10">
        <f>IF('calcA'!BG$106=1,FF10,1)</f>
        <v/>
      </c>
      <c r="KU10">
        <f>IF('calcA'!BH$106=1,FG10,1)</f>
        <v/>
      </c>
      <c r="KV10">
        <f>IF('calcA'!BI$106=1,FH10,1)</f>
        <v/>
      </c>
      <c r="KW10">
        <f>IF('calcA'!BJ$106=1,FI10,1)</f>
        <v/>
      </c>
      <c r="KX10">
        <f>IF('calcA'!BK$106=1,FJ10,1)</f>
        <v/>
      </c>
      <c r="KY10">
        <f>IF('calcA'!BL$106=1,FK10,1)</f>
        <v/>
      </c>
      <c r="KZ10">
        <f>IF('calcA'!BM$106=1,FL10,1)</f>
        <v/>
      </c>
      <c r="LA10">
        <f>IF('calcA'!BN$106=1,FM10,1)</f>
        <v/>
      </c>
      <c r="LB10">
        <f>IF('calcA'!BO$106=1,FN10,1)</f>
        <v/>
      </c>
      <c r="LC10">
        <f>IF('calcA'!BP$106=1,FO10,1)</f>
        <v/>
      </c>
      <c r="LD10">
        <f>IF('calcA'!BQ$106=1,FP10,1)</f>
        <v/>
      </c>
      <c r="LE10">
        <f>IF('calcA'!BR$106=1,FQ10,1)</f>
        <v/>
      </c>
      <c r="LF10">
        <f>IF('calcA'!BS$106=1,FR10,1)</f>
        <v/>
      </c>
      <c r="LG10">
        <f>IF('calcA'!BT$106=1,FS10,1)</f>
        <v/>
      </c>
      <c r="LH10">
        <f>IF('calcA'!BU$106=1,FT10,1)</f>
        <v/>
      </c>
      <c r="LI10">
        <f>IF('calcA'!BV$106=1,FU10,1)</f>
        <v/>
      </c>
      <c r="LJ10">
        <f>IF('calcA'!BW$106=1,FV10,1)</f>
        <v/>
      </c>
      <c r="LK10">
        <f>IF('calcA'!BX$106=1,FW10,1)</f>
        <v/>
      </c>
      <c r="LL10">
        <f>IF('calcA'!BY$106=1,FX10,1)</f>
        <v/>
      </c>
      <c r="LM10">
        <f>IF('calcA'!BZ$106=1,FY10,1)</f>
        <v/>
      </c>
      <c r="LN10">
        <f>IF('calcA'!CA$106=1,FZ10,1)</f>
        <v/>
      </c>
      <c r="LO10">
        <f>IF('calcA'!CB$106=1,GA10,1)</f>
        <v/>
      </c>
      <c r="LP10">
        <f>IF('calcA'!CC$106=1,GB10,1)</f>
        <v/>
      </c>
      <c r="LQ10">
        <f>IF('calcA'!CD$106=1,GC10,1)</f>
        <v/>
      </c>
      <c r="LR10">
        <f>IF('calcA'!CE$106=1,GD10,1)</f>
        <v/>
      </c>
      <c r="LS10">
        <f>IF('calcA'!CF$106=1,GE10,1)</f>
        <v/>
      </c>
      <c r="LT10">
        <f>IF('calcA'!CG$106=1,GF10,1)</f>
        <v/>
      </c>
      <c r="LU10">
        <f>IF('calcA'!CH$106=1,GG10,1)</f>
        <v/>
      </c>
      <c r="LV10">
        <f>IF('calcA'!CI$106=1,GH10,1)</f>
        <v/>
      </c>
      <c r="LW10">
        <f>IF('calcA'!CJ$106=1,GI10,1)</f>
        <v/>
      </c>
      <c r="LX10">
        <f>IF('calcA'!CK$106=1,GJ10,1)</f>
        <v/>
      </c>
      <c r="LY10">
        <f>IF('calcA'!CL$106=1,GK10,1)</f>
        <v/>
      </c>
      <c r="LZ10">
        <f>IF('calcA'!CM$106=1,GL10,1)</f>
        <v/>
      </c>
      <c r="MA10">
        <f>IF('calcA'!CN$106=1,GM10,1)</f>
        <v/>
      </c>
      <c r="MB10">
        <f>IF('calcA'!CO$106=1,GN10,1)</f>
        <v/>
      </c>
      <c r="MC10">
        <f>IF('calcA'!CP$106=1,GO10,1)</f>
        <v/>
      </c>
      <c r="MD10">
        <f>IF('calcA'!CQ$106=1,GP10,1)</f>
        <v/>
      </c>
      <c r="ME10">
        <f>IF('calcA'!CR$106=1,GQ10,1)</f>
        <v/>
      </c>
      <c r="MF10">
        <f>IF('calcA'!CS$106=1,GR10,1)</f>
        <v/>
      </c>
      <c r="MG10">
        <f>IF('calcA'!CT$106=1,GS10,1)</f>
        <v/>
      </c>
      <c r="MH10">
        <f>IF('calcA'!CU$106=1,GT10,1)</f>
        <v/>
      </c>
      <c r="MI10">
        <f>IF('calcA'!CV$106=1,GU10,1)</f>
        <v/>
      </c>
      <c r="MJ10">
        <f>IF('calcA'!CW$106=1,GV10,1)</f>
        <v/>
      </c>
      <c r="MK10">
        <f>IF('calcA'!CX$106=1,GW10,1)</f>
        <v/>
      </c>
      <c r="ML10">
        <f>IF('calcA'!CY$106=1,GX10,1)</f>
        <v/>
      </c>
      <c r="MM10">
        <f>IF('calcA'!CZ$106=1,GY10,1)</f>
        <v/>
      </c>
      <c r="MN10">
        <f>IF('calcA'!DA$106=1,GZ10,1)</f>
        <v/>
      </c>
      <c r="MO10">
        <f>IF('calcA'!DB$106=1,HA10,1)</f>
        <v/>
      </c>
      <c r="MP10">
        <f>IF('calcA'!DC$106=1,HB10,1)</f>
        <v/>
      </c>
      <c r="MQ10">
        <f>IF('calcA'!DD$106=1,HC10,1)</f>
        <v/>
      </c>
      <c r="MR10">
        <f>IF('calcA'!DE$106=1,HD10,1)</f>
        <v/>
      </c>
      <c r="MS10">
        <f>IF('calcA'!DF$106=1,HE10,1)</f>
        <v/>
      </c>
      <c r="MT10">
        <f>IF('calcA'!DG$106=1,HF10,1)</f>
        <v/>
      </c>
      <c r="MU10">
        <f>IF('calcA'!DH$106=1,HG10,1)</f>
        <v/>
      </c>
      <c r="MV10">
        <f>IF('calcA'!DI$106=1,HH10,1)</f>
        <v/>
      </c>
      <c r="MW10">
        <f>IF('calcA'!DJ$106=1,HI10,1)</f>
        <v/>
      </c>
      <c r="MX10">
        <f>IF('calcA'!DK$106=1,HJ10,1)</f>
        <v/>
      </c>
      <c r="MY10">
        <f>IF('calcA'!DL$106=1,HK10,1)</f>
        <v/>
      </c>
      <c r="MZ10">
        <f>IF('calcA'!DM$106=1,HL10,1)</f>
        <v/>
      </c>
      <c r="NA10">
        <f>IF('calcA'!DN$106=1,HM10,1)</f>
        <v/>
      </c>
      <c r="NB10">
        <f>IF('calcA'!DO$106=1,HN10,1)</f>
        <v/>
      </c>
      <c r="NC10">
        <f>IF('calcA'!DP$106=1,HO10,1)</f>
        <v/>
      </c>
      <c r="ND10">
        <f>IF('calcA'!DQ$106=1,HP10,1)</f>
        <v/>
      </c>
      <c r="NE10">
        <f>IF('calcA'!DR$106=1,HQ10,1)</f>
        <v/>
      </c>
      <c r="NF10">
        <f>IF('calcA'!DS$106=1,HR10,1)</f>
        <v/>
      </c>
      <c r="NG10">
        <f>IF('calcA'!DT$106=1,HS10,1)</f>
        <v/>
      </c>
      <c r="NH10">
        <f>IF('calcA'!DU$106=1,HT10,1)</f>
        <v/>
      </c>
      <c r="NI10">
        <f>IF('calcA'!DV$106=1,HU10,1)</f>
        <v/>
      </c>
      <c r="NJ10">
        <f>IF('calcA'!DW$106=1,HV10,1)</f>
        <v/>
      </c>
      <c r="NK10">
        <f>IF('calcA'!DX$106=1,HW10,1)</f>
        <v/>
      </c>
      <c r="NL10">
        <f>IF('calcA'!DY$106=1,HX10,1)</f>
        <v/>
      </c>
      <c r="NM10">
        <f>IF('calcA'!DZ$106=1,HY10,1)</f>
        <v/>
      </c>
      <c r="NN10">
        <f>IF('calcA'!EA$106=1,HZ10,1)</f>
        <v/>
      </c>
      <c r="NO10">
        <f>IF('calcA'!EB$106=1,IA10,1)</f>
        <v/>
      </c>
      <c r="NP10">
        <f>IF('calcA'!EC$106=1,IB10,1)</f>
        <v/>
      </c>
      <c r="NQ10">
        <f>IF('calcA'!ED$106=1,IC10,1)</f>
        <v/>
      </c>
      <c r="NR10">
        <f>IF('calcA'!EE$106=1,ID10,1)</f>
        <v/>
      </c>
      <c r="NS10">
        <f>IF('calcA'!EF$106=1,IE10,1)</f>
        <v/>
      </c>
      <c r="NT10">
        <f>IF('calcA'!EG$106=1,IF10,1)</f>
        <v/>
      </c>
      <c r="NU10">
        <f>IF('calcA'!EH$106=1,IG10,1)</f>
        <v/>
      </c>
      <c r="NV10">
        <f>IF('calcA'!EI$106=1,IH10,1)</f>
        <v/>
      </c>
      <c r="NW10">
        <f>IF('calcA'!EJ$106=1,II10,1)</f>
        <v/>
      </c>
      <c r="NX10">
        <f>IF('calcA'!EK$106=1,IJ10,1)</f>
        <v/>
      </c>
      <c r="NY10">
        <f>IF('calcA'!EL$106=1,IK10,1)</f>
        <v/>
      </c>
      <c r="NZ10">
        <f>IF('calcA'!EM$106=1,IL10,1)</f>
        <v/>
      </c>
      <c r="OA10">
        <f>IF('calcA'!EN$106=1,IM10,1)</f>
        <v/>
      </c>
      <c r="OB10">
        <f>IF('calcA'!EO$106=1,IN10,1)</f>
        <v/>
      </c>
      <c r="OC10">
        <f>IF('calcA'!EP$106=1,IO10,1)</f>
        <v/>
      </c>
      <c r="OD10" t="n">
        <v>1</v>
      </c>
      <c r="OF10">
        <f>IF($B10=0,1000000000,IF(INDEX('calcA'!$D$60:$EQ$99,$B10,1)*IF($W10=1,DB10+ZQ10,DB10)=1,IF(AND($E10=2,IF($W10=1,AFF10,IQ10)=0),1000000000,IF($V10=1,INDEX('calcA'!$D$130:$EQ$169,$B10,1)+IF(AND($E10=1,IQ10=0),25,0),INDEX('calcA'!D$110:D$114,$F10+1)+IF(AND($E10=1,IQ10=0),1000,0)+IF($H10=1,INDEX('calcA'!$D$180:$EQ$219,$B10,1)*500,0)-IF(AND($U10=1,'calcA'!D$117=1,DC10=0),300,0))),1000000000))</f>
        <v/>
      </c>
      <c r="OG10">
        <f>IF($B10=0,1000000000,IF(INDEX('calcA'!$D$60:$EQ$99,$B10,2)*IF($W10=1,DC10+ZR10,DC10)=1,IF(AND($E10=2,IF($W10=1,AFG10,IR10)=0),1000000000,IF($V10=1,INDEX('calcA'!$D$130:$EQ$169,$B10,2)+IF(AND($E10=1,IR10=0),25,0),INDEX('calcA'!E$110:E$114,$F10+1)+IF(AND($E10=1,IR10=0),1000,0)+IF($H10=1,INDEX('calcA'!$D$180:$EQ$219,$B10,2)*500,0)-IF(AND('calcA'!D$117=1,UB10&gt;0),300,0)-IF(AND($U10=1,'calcA'!E$117=1,DD10=0),300,0))),1000000000))</f>
        <v/>
      </c>
      <c r="OH10">
        <f>IF($B10=0,1000000000,IF(INDEX('calcA'!$D$60:$EQ$99,$B10,3)*IF($W10=1,DD10+ZS10,DD10)=1,IF(AND($E10=2,IF($W10=1,AFH10,IS10)=0),1000000000,IF($V10=1,INDEX('calcA'!$D$130:$EQ$169,$B10,3)+IF(AND($E10=1,IS10=0),25,0),INDEX('calcA'!F$110:F$114,$F10+1)+IF(AND($E10=1,IS10=0),1000,0)+IF($H10=1,INDEX('calcA'!$D$180:$EQ$219,$B10,3)*500,0)-IF(AND('calcA'!E$117=1,UC10&gt;0),300,0)-IF(AND($U10=1,'calcA'!F$117=1,DE10=0),300,0))),1000000000))</f>
        <v/>
      </c>
      <c r="OI10">
        <f>IF($B10=0,1000000000,IF(INDEX('calcA'!$D$60:$EQ$99,$B10,4)*IF($W10=1,DE10+ZT10,DE10)=1,IF(AND($E10=2,IF($W10=1,AFI10,IT10)=0),1000000000,IF($V10=1,INDEX('calcA'!$D$130:$EQ$169,$B10,4)+IF(AND($E10=1,IT10=0),25,0),INDEX('calcA'!G$110:G$114,$F10+1)+IF(AND($E10=1,IT10=0),1000,0)+IF($H10=1,INDEX('calcA'!$D$180:$EQ$219,$B10,4)*500,0)-IF(AND('calcA'!F$117=1,UD10&gt;0),300,0)-IF(AND($U10=1,'calcA'!G$117=1,DF10=0),300,0))),1000000000))</f>
        <v/>
      </c>
      <c r="OJ10">
        <f>IF($B10=0,1000000000,IF(INDEX('calcA'!$D$60:$EQ$99,$B10,5)*IF($W10=1,DF10+ZU10,DF10)=1,IF(AND($E10=2,IF($W10=1,AFJ10,IU10)=0),1000000000,IF($V10=1,INDEX('calcA'!$D$130:$EQ$169,$B10,5)+IF(AND($E10=1,IU10=0),25,0),INDEX('calcA'!H$110:H$114,$F10+1)+IF(AND($E10=1,IU10=0),1000,0)+IF($H10=1,INDEX('calcA'!$D$180:$EQ$219,$B10,5)*500,0)-IF(AND('calcA'!G$117=1,UE10&gt;0),300,0)-IF(AND($U10=1,'calcA'!H$117=1,DG10=0),300,0))),1000000000))</f>
        <v/>
      </c>
      <c r="OK10">
        <f>IF($B10=0,1000000000,IF(INDEX('calcA'!$D$60:$EQ$99,$B10,6)*IF($W10=1,DG10+ZV10,DG10)=1,IF(AND($E10=2,IF($W10=1,AFK10,IV10)=0),1000000000,IF($V10=1,INDEX('calcA'!$D$130:$EQ$169,$B10,6)+IF(AND($E10=1,IV10=0),25,0),INDEX('calcA'!I$110:I$114,$F10+1)+IF(AND($E10=1,IV10=0),1000,0)+IF($H10=1,INDEX('calcA'!$D$180:$EQ$219,$B10,6)*500,0)-IF(AND('calcA'!H$117=1,UF10&gt;0),300,0)-IF(AND($U10=1,'calcA'!I$117=1,DH10=0),300,0))),1000000000))</f>
        <v/>
      </c>
      <c r="OL10">
        <f>IF($B10=0,1000000000,IF(INDEX('calcA'!$D$60:$EQ$99,$B10,7)*IF($W10=1,DH10+ZW10,DH10)=1,IF(AND($E10=2,IF($W10=1,AFL10,IW10)=0),1000000000,IF($V10=1,INDEX('calcA'!$D$130:$EQ$169,$B10,7)+IF(AND($E10=1,IW10=0),25,0),INDEX('calcA'!J$110:J$114,$F10+1)+IF(AND($E10=1,IW10=0),1000,0)+IF($H10=1,INDEX('calcA'!$D$180:$EQ$219,$B10,7)*500,0)-IF(AND('calcA'!I$117=1,UG10&gt;0),300,0)-IF(AND($U10=1,'calcA'!J$117=1,DI10=0),300,0))),1000000000))</f>
        <v/>
      </c>
      <c r="OM10">
        <f>IF($B10=0,1000000000,IF(INDEX('calcA'!$D$60:$EQ$99,$B10,8)*IF($W10=1,DI10+ZX10,DI10)=1,IF(AND($E10=2,IF($W10=1,AFM10,IX10)=0),1000000000,IF($V10=1,INDEX('calcA'!$D$130:$EQ$169,$B10,8)+IF(AND($E10=1,IX10=0),25,0),INDEX('calcA'!K$110:K$114,$F10+1)+IF(AND($E10=1,IX10=0),1000,0)+IF($H10=1,INDEX('calcA'!$D$180:$EQ$219,$B10,8)*500,0)-IF(AND('calcA'!J$117=1,UH10&gt;0),300,0)-IF(AND($U10=1,'calcA'!K$117=1,DJ10=0),300,0))),1000000000))</f>
        <v/>
      </c>
      <c r="ON10">
        <f>IF($B10=0,1000000000,IF(INDEX('calcA'!$D$60:$EQ$99,$B10,9)*IF($W10=1,DJ10+ZY10,DJ10)=1,IF(AND($E10=2,IF($W10=1,AFN10,IY10)=0),1000000000,IF($V10=1,INDEX('calcA'!$D$130:$EQ$169,$B10,9)+IF(AND($E10=1,IY10=0),25,0),INDEX('calcA'!L$110:L$114,$F10+1)+IF(AND($E10=1,IY10=0),1000,0)+IF($H10=1,INDEX('calcA'!$D$180:$EQ$219,$B10,9)*500,0)-IF(AND('calcA'!K$117=1,UI10&gt;0),300,0)-IF(AND($U10=1,'calcA'!L$117=1,DK10=0),300,0))),1000000000))</f>
        <v/>
      </c>
      <c r="OO10">
        <f>IF($B10=0,1000000000,IF(INDEX('calcA'!$D$60:$EQ$99,$B10,10)*IF($W10=1,DK10+ZZ10,DK10)=1,IF(AND($E10=2,IF($W10=1,AFO10,IZ10)=0),1000000000,IF($V10=1,INDEX('calcA'!$D$130:$EQ$169,$B10,10)+IF(AND($E10=1,IZ10=0),25,0),INDEX('calcA'!M$110:M$114,$F10+1)+IF(AND($E10=1,IZ10=0),1000,0)+IF($H10=1,INDEX('calcA'!$D$180:$EQ$219,$B10,10)*500,0)-IF(AND('calcA'!L$117=1,UJ10&gt;0),300,0)-IF(AND($U10=1,'calcA'!M$117=1,DL10=0),300,0))),1000000000))</f>
        <v/>
      </c>
      <c r="OP10">
        <f>IF($B10=0,1000000000,IF(INDEX('calcA'!$D$60:$EQ$99,$B10,11)*IF($W10=1,DL10+AAA10,DL10)=1,IF(AND($E10=2,IF($W10=1,AFP10,JA10)=0),1000000000,IF($V10=1,INDEX('calcA'!$D$130:$EQ$169,$B10,11)+IF(AND($E10=1,JA10=0),25,0),INDEX('calcA'!N$110:N$114,$F10+1)+IF(AND($E10=1,JA10=0),1000,0)+IF($H10=1,INDEX('calcA'!$D$180:$EQ$219,$B10,11)*500,0)-IF(AND('calcA'!M$117=1,UK10&gt;0),300,0)-IF(AND($U10=1,'calcA'!N$117=1,DM10=0),300,0))),1000000000))</f>
        <v/>
      </c>
      <c r="OQ10">
        <f>IF($B10=0,1000000000,IF(INDEX('calcA'!$D$60:$EQ$99,$B10,12)*IF($W10=1,DM10+AAB10,DM10)=1,IF(AND($E10=2,IF($W10=1,AFQ10,JB10)=0),1000000000,IF($V10=1,INDEX('calcA'!$D$130:$EQ$169,$B10,12)+IF(AND($E10=1,JB10=0),25,0),INDEX('calcA'!O$110:O$114,$F10+1)+IF(AND($E10=1,JB10=0),1000,0)+IF($H10=1,INDEX('calcA'!$D$180:$EQ$219,$B10,12)*500,0)-IF(AND('calcA'!N$117=1,UL10&gt;0),300,0)-IF(AND($U10=1,'calcA'!O$117=1,DN10=0),300,0))),1000000000))</f>
        <v/>
      </c>
      <c r="OR10">
        <f>IF($B10=0,1000000000,IF(INDEX('calcA'!$D$60:$EQ$99,$B10,13)*IF($W10=1,DN10+AAC10,DN10)=1,IF(AND($E10=2,IF($W10=1,AFR10,JC10)=0),1000000000,IF($V10=1,INDEX('calcA'!$D$130:$EQ$169,$B10,13)+IF(AND($E10=1,JC10=0),25,0),INDEX('calcA'!P$110:P$114,$F10+1)+IF(AND($E10=1,JC10=0),1000,0)+IF($H10=1,INDEX('calcA'!$D$180:$EQ$219,$B10,13)*500,0)-IF(AND('calcA'!O$117=1,UM10&gt;0),300,0)-IF(AND($U10=1,'calcA'!P$117=1,DO10=0),300,0))),1000000000))</f>
        <v/>
      </c>
      <c r="OS10">
        <f>IF($B10=0,1000000000,IF(INDEX('calcA'!$D$60:$EQ$99,$B10,14)*IF($W10=1,DO10+AAD10,DO10)=1,IF(AND($E10=2,IF($W10=1,AFS10,JD10)=0),1000000000,IF($V10=1,INDEX('calcA'!$D$130:$EQ$169,$B10,14)+IF(AND($E10=1,JD10=0),25,0),INDEX('calcA'!Q$110:Q$114,$F10+1)+IF(AND($E10=1,JD10=0),1000,0)+IF($H10=1,INDEX('calcA'!$D$180:$EQ$219,$B10,14)*500,0)-IF(AND('calcA'!P$117=1,UN10&gt;0),300,0)-IF(AND($U10=1,'calcA'!Q$117=1,DP10=0),300,0))),1000000000))</f>
        <v/>
      </c>
      <c r="OT10">
        <f>IF($B10=0,1000000000,IF(INDEX('calcA'!$D$60:$EQ$99,$B10,15)*IF($W10=1,DP10+AAE10,DP10)=1,IF(AND($E10=2,IF($W10=1,AFT10,JE10)=0),1000000000,IF($V10=1,INDEX('calcA'!$D$130:$EQ$169,$B10,15)+IF(AND($E10=1,JE10=0),25,0),INDEX('calcA'!R$110:R$114,$F10+1)+IF(AND($E10=1,JE10=0),1000,0)+IF($H10=1,INDEX('calcA'!$D$180:$EQ$219,$B10,15)*500,0)-IF(AND('calcA'!Q$117=1,UO10&gt;0),300,0)-IF(AND($U10=1,'calcA'!R$117=1,DQ10=0),300,0))),1000000000))</f>
        <v/>
      </c>
      <c r="OU10">
        <f>IF($B10=0,1000000000,IF(INDEX('calcA'!$D$60:$EQ$99,$B10,16)*IF($W10=1,DQ10+AAF10,DQ10)=1,IF(AND($E10=2,IF($W10=1,AFU10,JF10)=0),1000000000,IF($V10=1,INDEX('calcA'!$D$130:$EQ$169,$B10,16)+IF(AND($E10=1,JF10=0),25,0),INDEX('calcA'!S$110:S$114,$F10+1)+IF(AND($E10=1,JF10=0),1000,0)+IF($H10=1,INDEX('calcA'!$D$180:$EQ$219,$B10,16)*500,0)-IF(AND('calcA'!R$117=1,UP10&gt;0),300,0)-IF(AND($U10=1,'calcA'!S$117=1,DR10=0),300,0))),1000000000))</f>
        <v/>
      </c>
      <c r="OV10">
        <f>IF($B10=0,1000000000,IF(INDEX('calcA'!$D$60:$EQ$99,$B10,17)*IF($W10=1,DR10+AAG10,DR10)=1,IF(AND($E10=2,IF($W10=1,AFV10,JG10)=0),1000000000,IF($V10=1,INDEX('calcA'!$D$130:$EQ$169,$B10,17)+IF(AND($E10=1,JG10=0),25,0),INDEX('calcA'!T$110:T$114,$F10+1)+IF(AND($E10=1,JG10=0),1000,0)+IF($H10=1,INDEX('calcA'!$D$180:$EQ$219,$B10,17)*500,0)-IF(AND('calcA'!S$117=1,UQ10&gt;0),300,0)-IF(AND($U10=1,'calcA'!T$117=1,DS10=0),300,0))),1000000000))</f>
        <v/>
      </c>
      <c r="OW10">
        <f>IF($B10=0,1000000000,IF(INDEX('calcA'!$D$60:$EQ$99,$B10,18)*IF($W10=1,DS10+AAH10,DS10)=1,IF(AND($E10=2,IF($W10=1,AFW10,JH10)=0),1000000000,IF($V10=1,INDEX('calcA'!$D$130:$EQ$169,$B10,18)+IF(AND($E10=1,JH10=0),25,0),INDEX('calcA'!U$110:U$114,$F10+1)+IF(AND($E10=1,JH10=0),1000,0)+IF($H10=1,INDEX('calcA'!$D$180:$EQ$219,$B10,18)*500,0)-IF(AND('calcA'!T$117=1,UR10&gt;0),300,0)-IF(AND($U10=1,'calcA'!U$117=1,DT10=0),300,0))),1000000000))</f>
        <v/>
      </c>
      <c r="OX10">
        <f>IF($B10=0,1000000000,IF(INDEX('calcA'!$D$60:$EQ$99,$B10,19)*IF($W10=1,DT10+AAI10,DT10)=1,IF(AND($E10=2,IF($W10=1,AFX10,JI10)=0),1000000000,IF($V10=1,INDEX('calcA'!$D$130:$EQ$169,$B10,19)+IF(AND($E10=1,JI10=0),25,0),INDEX('calcA'!V$110:V$114,$F10+1)+IF(AND($E10=1,JI10=0),1000,0)+IF($H10=1,INDEX('calcA'!$D$180:$EQ$219,$B10,19)*500,0)-IF(AND('calcA'!U$117=1,US10&gt;0),300,0)-IF(AND($U10=1,'calcA'!V$117=1,DU10=0),300,0))),1000000000))</f>
        <v/>
      </c>
      <c r="OY10">
        <f>IF($B10=0,1000000000,IF(INDEX('calcA'!$D$60:$EQ$99,$B10,20)*IF($W10=1,DU10+AAJ10,DU10)=1,IF(AND($E10=2,IF($W10=1,AFY10,JJ10)=0),1000000000,IF($V10=1,INDEX('calcA'!$D$130:$EQ$169,$B10,20)+IF(AND($E10=1,JJ10=0),25,0),INDEX('calcA'!W$110:W$114,$F10+1)+IF(AND($E10=1,JJ10=0),1000,0)+IF($H10=1,INDEX('calcA'!$D$180:$EQ$219,$B10,20)*500,0)-IF(AND('calcA'!V$117=1,UT10&gt;0),300,0)-IF(AND($U10=1,'calcA'!W$117=1,DV10=0),300,0))),1000000000))</f>
        <v/>
      </c>
      <c r="OZ10">
        <f>IF($B10=0,1000000000,IF(INDEX('calcA'!$D$60:$EQ$99,$B10,21)*IF($W10=1,DV10+AAK10,DV10)=1,IF(AND($E10=2,IF($W10=1,AFZ10,JK10)=0),1000000000,IF($V10=1,INDEX('calcA'!$D$130:$EQ$169,$B10,21)+IF(AND($E10=1,JK10=0),25,0),INDEX('calcA'!X$110:X$114,$F10+1)+IF(AND($E10=1,JK10=0),1000,0)+IF($H10=1,INDEX('calcA'!$D$180:$EQ$219,$B10,21)*500,0)-IF(AND('calcA'!W$117=1,UU10&gt;0),300,0)-IF(AND($U10=1,'calcA'!X$117=1,DW10=0),300,0))),1000000000))</f>
        <v/>
      </c>
      <c r="PA10">
        <f>IF($B10=0,1000000000,IF(INDEX('calcA'!$D$60:$EQ$99,$B10,22)*IF($W10=1,DW10+AAL10,DW10)=1,IF(AND($E10=2,IF($W10=1,AGA10,JL10)=0),1000000000,IF($V10=1,INDEX('calcA'!$D$130:$EQ$169,$B10,22)+IF(AND($E10=1,JL10=0),25,0),INDEX('calcA'!Y$110:Y$114,$F10+1)+IF(AND($E10=1,JL10=0),1000,0)+IF($H10=1,INDEX('calcA'!$D$180:$EQ$219,$B10,22)*500,0)-IF(AND('calcA'!X$117=1,UV10&gt;0),300,0)-IF(AND($U10=1,'calcA'!Y$117=1,DX10=0),300,0))),1000000000))</f>
        <v/>
      </c>
      <c r="PB10">
        <f>IF($B10=0,1000000000,IF(INDEX('calcA'!$D$60:$EQ$99,$B10,23)*IF($W10=1,DX10+AAM10,DX10)=1,IF(AND($E10=2,IF($W10=1,AGB10,JM10)=0),1000000000,IF($V10=1,INDEX('calcA'!$D$130:$EQ$169,$B10,23)+IF(AND($E10=1,JM10=0),25,0),INDEX('calcA'!Z$110:Z$114,$F10+1)+IF(AND($E10=1,JM10=0),1000,0)+IF($H10=1,INDEX('calcA'!$D$180:$EQ$219,$B10,23)*500,0)-IF(AND('calcA'!Y$117=1,UW10&gt;0),300,0)-IF(AND($U10=1,'calcA'!Z$117=1,DY10=0),300,0))),1000000000))</f>
        <v/>
      </c>
      <c r="PC10">
        <f>IF($B10=0,1000000000,IF(INDEX('calcA'!$D$60:$EQ$99,$B10,24)*IF($W10=1,DY10+AAN10,DY10)=1,IF(AND($E10=2,IF($W10=1,AGC10,JN10)=0),1000000000,IF($V10=1,INDEX('calcA'!$D$130:$EQ$169,$B10,24)+IF(AND($E10=1,JN10=0),25,0),INDEX('calcA'!AA$110:AA$114,$F10+1)+IF(AND($E10=1,JN10=0),1000,0)+IF($H10=1,INDEX('calcA'!$D$180:$EQ$219,$B10,24)*500,0)-IF(AND('calcA'!Z$117=1,UX10&gt;0),300,0))),1000000000))</f>
        <v/>
      </c>
      <c r="PD10">
        <f>IF($B10=0,1000000000,IF(INDEX('calcA'!$D$60:$EQ$99,$B10,25)*IF($W10=1,DZ10+AAO10,DZ10)=1,IF(AND($E10=2,IF($W10=1,AGD10,JO10)=0),1000000000,IF($V10=1,INDEX('calcA'!$D$130:$EQ$169,$B10,25)+IF(AND($E10=1,JO10=0),25,0),INDEX('calcA'!AB$110:AB$114,$F10+1)+IF(AND($E10=1,JO10=0),1000,0)+IF($H10=1,INDEX('calcA'!$D$180:$EQ$219,$B10,25)*500,0)-IF(AND($U10=1,'calcA'!AB$117=1,EA10=0),300,0))),1000000000))</f>
        <v/>
      </c>
      <c r="PE10">
        <f>IF($B10=0,1000000000,IF(INDEX('calcA'!$D$60:$EQ$99,$B10,26)*IF($W10=1,EA10+AAP10,EA10)=1,IF(AND($E10=2,IF($W10=1,AGE10,JP10)=0),1000000000,IF($V10=1,INDEX('calcA'!$D$130:$EQ$169,$B10,26)+IF(AND($E10=1,JP10=0),25,0),INDEX('calcA'!AC$110:AC$114,$F10+1)+IF(AND($E10=1,JP10=0),1000,0)+IF($H10=1,INDEX('calcA'!$D$180:$EQ$219,$B10,26)*500,0)-IF(AND('calcA'!AB$117=1,UZ10&gt;0),300,0)-IF(AND($U10=1,'calcA'!AC$117=1,EB10=0),300,0))),1000000000))</f>
        <v/>
      </c>
      <c r="PF10">
        <f>IF($B10=0,1000000000,IF(INDEX('calcA'!$D$60:$EQ$99,$B10,27)*IF($W10=1,EB10+AAQ10,EB10)=1,IF(AND($E10=2,IF($W10=1,AGF10,JQ10)=0),1000000000,IF($V10=1,INDEX('calcA'!$D$130:$EQ$169,$B10,27)+IF(AND($E10=1,JQ10=0),25,0),INDEX('calcA'!AD$110:AD$114,$F10+1)+IF(AND($E10=1,JQ10=0),1000,0)+IF($H10=1,INDEX('calcA'!$D$180:$EQ$219,$B10,27)*500,0)-IF(AND('calcA'!AC$117=1,VA10&gt;0),300,0)-IF(AND($U10=1,'calcA'!AD$117=1,EC10=0),300,0))),1000000000))</f>
        <v/>
      </c>
      <c r="PG10">
        <f>IF($B10=0,1000000000,IF(INDEX('calcA'!$D$60:$EQ$99,$B10,28)*IF($W10=1,EC10+AAR10,EC10)=1,IF(AND($E10=2,IF($W10=1,AGG10,JR10)=0),1000000000,IF($V10=1,INDEX('calcA'!$D$130:$EQ$169,$B10,28)+IF(AND($E10=1,JR10=0),25,0),INDEX('calcA'!AE$110:AE$114,$F10+1)+IF(AND($E10=1,JR10=0),1000,0)+IF($H10=1,INDEX('calcA'!$D$180:$EQ$219,$B10,28)*500,0)-IF(AND('calcA'!AD$117=1,VB10&gt;0),300,0)-IF(AND($U10=1,'calcA'!AE$117=1,ED10=0),300,0))),1000000000))</f>
        <v/>
      </c>
      <c r="PH10">
        <f>IF($B10=0,1000000000,IF(INDEX('calcA'!$D$60:$EQ$99,$B10,29)*IF($W10=1,ED10+AAS10,ED10)=1,IF(AND($E10=2,IF($W10=1,AGH10,JS10)=0),1000000000,IF($V10=1,INDEX('calcA'!$D$130:$EQ$169,$B10,29)+IF(AND($E10=1,JS10=0),25,0),INDEX('calcA'!AF$110:AF$114,$F10+1)+IF(AND($E10=1,JS10=0),1000,0)+IF($H10=1,INDEX('calcA'!$D$180:$EQ$219,$B10,29)*500,0)-IF(AND('calcA'!AE$117=1,VC10&gt;0),300,0)-IF(AND($U10=1,'calcA'!AF$117=1,EE10=0),300,0))),1000000000))</f>
        <v/>
      </c>
      <c r="PI10">
        <f>IF($B10=0,1000000000,IF(INDEX('calcA'!$D$60:$EQ$99,$B10,30)*IF($W10=1,EE10+AAT10,EE10)=1,IF(AND($E10=2,IF($W10=1,AGI10,JT10)=0),1000000000,IF($V10=1,INDEX('calcA'!$D$130:$EQ$169,$B10,30)+IF(AND($E10=1,JT10=0),25,0),INDEX('calcA'!AG$110:AG$114,$F10+1)+IF(AND($E10=1,JT10=0),1000,0)+IF($H10=1,INDEX('calcA'!$D$180:$EQ$219,$B10,30)*500,0)-IF(AND('calcA'!AF$117=1,VD10&gt;0),300,0)-IF(AND($U10=1,'calcA'!AG$117=1,EF10=0),300,0))),1000000000))</f>
        <v/>
      </c>
      <c r="PJ10">
        <f>IF($B10=0,1000000000,IF(INDEX('calcA'!$D$60:$EQ$99,$B10,31)*IF($W10=1,EF10+AAU10,EF10)=1,IF(AND($E10=2,IF($W10=1,AGJ10,JU10)=0),1000000000,IF($V10=1,INDEX('calcA'!$D$130:$EQ$169,$B10,31)+IF(AND($E10=1,JU10=0),25,0),INDEX('calcA'!AH$110:AH$114,$F10+1)+IF(AND($E10=1,JU10=0),1000,0)+IF($H10=1,INDEX('calcA'!$D$180:$EQ$219,$B10,31)*500,0)-IF(AND('calcA'!AG$117=1,VE10&gt;0),300,0)-IF(AND($U10=1,'calcA'!AH$117=1,EG10=0),300,0))),1000000000))</f>
        <v/>
      </c>
      <c r="PK10">
        <f>IF($B10=0,1000000000,IF(INDEX('calcA'!$D$60:$EQ$99,$B10,32)*IF($W10=1,EG10+AAV10,EG10)=1,IF(AND($E10=2,IF($W10=1,AGK10,JV10)=0),1000000000,IF($V10=1,INDEX('calcA'!$D$130:$EQ$169,$B10,32)+IF(AND($E10=1,JV10=0),25,0),INDEX('calcA'!AI$110:AI$114,$F10+1)+IF(AND($E10=1,JV10=0),1000,0)+IF($H10=1,INDEX('calcA'!$D$180:$EQ$219,$B10,32)*500,0)-IF(AND('calcA'!AH$117=1,VF10&gt;0),300,0)-IF(AND($U10=1,'calcA'!AI$117=1,EH10=0),300,0))),1000000000))</f>
        <v/>
      </c>
      <c r="PL10">
        <f>IF($B10=0,1000000000,IF(INDEX('calcA'!$D$60:$EQ$99,$B10,33)*IF($W10=1,EH10+AAW10,EH10)=1,IF(AND($E10=2,IF($W10=1,AGL10,JW10)=0),1000000000,IF($V10=1,INDEX('calcA'!$D$130:$EQ$169,$B10,33)+IF(AND($E10=1,JW10=0),25,0),INDEX('calcA'!AJ$110:AJ$114,$F10+1)+IF(AND($E10=1,JW10=0),1000,0)+IF($H10=1,INDEX('calcA'!$D$180:$EQ$219,$B10,33)*500,0)-IF(AND('calcA'!AI$117=1,VG10&gt;0),300,0)-IF(AND($U10=1,'calcA'!AJ$117=1,EI10=0),300,0))),1000000000))</f>
        <v/>
      </c>
      <c r="PM10">
        <f>IF($B10=0,1000000000,IF(INDEX('calcA'!$D$60:$EQ$99,$B10,34)*IF($W10=1,EI10+AAX10,EI10)=1,IF(AND($E10=2,IF($W10=1,AGM10,JX10)=0),1000000000,IF($V10=1,INDEX('calcA'!$D$130:$EQ$169,$B10,34)+IF(AND($E10=1,JX10=0),25,0),INDEX('calcA'!AK$110:AK$114,$F10+1)+IF(AND($E10=1,JX10=0),1000,0)+IF($H10=1,INDEX('calcA'!$D$180:$EQ$219,$B10,34)*500,0)-IF(AND('calcA'!AJ$117=1,VH10&gt;0),300,0)-IF(AND($U10=1,'calcA'!AK$117=1,EJ10=0),300,0))),1000000000))</f>
        <v/>
      </c>
      <c r="PN10">
        <f>IF($B10=0,1000000000,IF(INDEX('calcA'!$D$60:$EQ$99,$B10,35)*IF($W10=1,EJ10+AAY10,EJ10)=1,IF(AND($E10=2,IF($W10=1,AGN10,JY10)=0),1000000000,IF($V10=1,INDEX('calcA'!$D$130:$EQ$169,$B10,35)+IF(AND($E10=1,JY10=0),25,0),INDEX('calcA'!AL$110:AL$114,$F10+1)+IF(AND($E10=1,JY10=0),1000,0)+IF($H10=1,INDEX('calcA'!$D$180:$EQ$219,$B10,35)*500,0)-IF(AND('calcA'!AK$117=1,VI10&gt;0),300,0)-IF(AND($U10=1,'calcA'!AL$117=1,EK10=0),300,0))),1000000000))</f>
        <v/>
      </c>
      <c r="PO10">
        <f>IF($B10=0,1000000000,IF(INDEX('calcA'!$D$60:$EQ$99,$B10,36)*IF($W10=1,EK10+AAZ10,EK10)=1,IF(AND($E10=2,IF($W10=1,AGO10,JZ10)=0),1000000000,IF($V10=1,INDEX('calcA'!$D$130:$EQ$169,$B10,36)+IF(AND($E10=1,JZ10=0),25,0),INDEX('calcA'!AM$110:AM$114,$F10+1)+IF(AND($E10=1,JZ10=0),1000,0)+IF($H10=1,INDEX('calcA'!$D$180:$EQ$219,$B10,36)*500,0)-IF(AND('calcA'!AL$117=1,VJ10&gt;0),300,0)-IF(AND($U10=1,'calcA'!AM$117=1,EL10=0),300,0))),1000000000))</f>
        <v/>
      </c>
      <c r="PP10">
        <f>IF($B10=0,1000000000,IF(INDEX('calcA'!$D$60:$EQ$99,$B10,37)*IF($W10=1,EL10+ABA10,EL10)=1,IF(AND($E10=2,IF($W10=1,AGP10,KA10)=0),1000000000,IF($V10=1,INDEX('calcA'!$D$130:$EQ$169,$B10,37)+IF(AND($E10=1,KA10=0),25,0),INDEX('calcA'!AN$110:AN$114,$F10+1)+IF(AND($E10=1,KA10=0),1000,0)+IF($H10=1,INDEX('calcA'!$D$180:$EQ$219,$B10,37)*500,0)-IF(AND('calcA'!AM$117=1,VK10&gt;0),300,0)-IF(AND($U10=1,'calcA'!AN$117=1,EM10=0),300,0))),1000000000))</f>
        <v/>
      </c>
      <c r="PQ10">
        <f>IF($B10=0,1000000000,IF(INDEX('calcA'!$D$60:$EQ$99,$B10,38)*IF($W10=1,EM10+ABB10,EM10)=1,IF(AND($E10=2,IF($W10=1,AGQ10,KB10)=0),1000000000,IF($V10=1,INDEX('calcA'!$D$130:$EQ$169,$B10,38)+IF(AND($E10=1,KB10=0),25,0),INDEX('calcA'!AO$110:AO$114,$F10+1)+IF(AND($E10=1,KB10=0),1000,0)+IF($H10=1,INDEX('calcA'!$D$180:$EQ$219,$B10,38)*500,0)-IF(AND('calcA'!AN$117=1,VL10&gt;0),300,0)-IF(AND($U10=1,'calcA'!AO$117=1,EN10=0),300,0))),1000000000))</f>
        <v/>
      </c>
      <c r="PR10">
        <f>IF($B10=0,1000000000,IF(INDEX('calcA'!$D$60:$EQ$99,$B10,39)*IF($W10=1,EN10+ABC10,EN10)=1,IF(AND($E10=2,IF($W10=1,AGR10,KC10)=0),1000000000,IF($V10=1,INDEX('calcA'!$D$130:$EQ$169,$B10,39)+IF(AND($E10=1,KC10=0),25,0),INDEX('calcA'!AP$110:AP$114,$F10+1)+IF(AND($E10=1,KC10=0),1000,0)+IF($H10=1,INDEX('calcA'!$D$180:$EQ$219,$B10,39)*500,0)-IF(AND('calcA'!AO$117=1,VM10&gt;0),300,0)-IF(AND($U10=1,'calcA'!AP$117=1,EO10=0),300,0))),1000000000))</f>
        <v/>
      </c>
      <c r="PS10">
        <f>IF($B10=0,1000000000,IF(INDEX('calcA'!$D$60:$EQ$99,$B10,40)*IF($W10=1,EO10+ABD10,EO10)=1,IF(AND($E10=2,IF($W10=1,AGS10,KD10)=0),1000000000,IF($V10=1,INDEX('calcA'!$D$130:$EQ$169,$B10,40)+IF(AND($E10=1,KD10=0),25,0),INDEX('calcA'!AQ$110:AQ$114,$F10+1)+IF(AND($E10=1,KD10=0),1000,0)+IF($H10=1,INDEX('calcA'!$D$180:$EQ$219,$B10,40)*500,0)-IF(AND('calcA'!AP$117=1,VN10&gt;0),300,0)-IF(AND($U10=1,'calcA'!AQ$117=1,EP10=0),300,0))),1000000000))</f>
        <v/>
      </c>
      <c r="PT10">
        <f>IF($B10=0,1000000000,IF(INDEX('calcA'!$D$60:$EQ$99,$B10,41)*IF($W10=1,EP10+ABE10,EP10)=1,IF(AND($E10=2,IF($W10=1,AGT10,KE10)=0),1000000000,IF($V10=1,INDEX('calcA'!$D$130:$EQ$169,$B10,41)+IF(AND($E10=1,KE10=0),25,0),INDEX('calcA'!AR$110:AR$114,$F10+1)+IF(AND($E10=1,KE10=0),1000,0)+IF($H10=1,INDEX('calcA'!$D$180:$EQ$219,$B10,41)*500,0)-IF(AND('calcA'!AQ$117=1,VO10&gt;0),300,0)-IF(AND($U10=1,'calcA'!AR$117=1,EQ10=0),300,0))),1000000000))</f>
        <v/>
      </c>
      <c r="PU10">
        <f>IF($B10=0,1000000000,IF(INDEX('calcA'!$D$60:$EQ$99,$B10,42)*IF($W10=1,EQ10+ABF10,EQ10)=1,IF(AND($E10=2,IF($W10=1,AGU10,KF10)=0),1000000000,IF($V10=1,INDEX('calcA'!$D$130:$EQ$169,$B10,42)+IF(AND($E10=1,KF10=0),25,0),INDEX('calcA'!AS$110:AS$114,$F10+1)+IF(AND($E10=1,KF10=0),1000,0)+IF($H10=1,INDEX('calcA'!$D$180:$EQ$219,$B10,42)*500,0)-IF(AND('calcA'!AR$117=1,VP10&gt;0),300,0)-IF(AND($U10=1,'calcA'!AS$117=1,ER10=0),300,0))),1000000000))</f>
        <v/>
      </c>
      <c r="PV10">
        <f>IF($B10=0,1000000000,IF(INDEX('calcA'!$D$60:$EQ$99,$B10,43)*IF($W10=1,ER10+ABG10,ER10)=1,IF(AND($E10=2,IF($W10=1,AGV10,KG10)=0),1000000000,IF($V10=1,INDEX('calcA'!$D$130:$EQ$169,$B10,43)+IF(AND($E10=1,KG10=0),25,0),INDEX('calcA'!AT$110:AT$114,$F10+1)+IF(AND($E10=1,KG10=0),1000,0)+IF($H10=1,INDEX('calcA'!$D$180:$EQ$219,$B10,43)*500,0)-IF(AND('calcA'!AS$117=1,VQ10&gt;0),300,0)-IF(AND($U10=1,'calcA'!AT$117=1,ES10=0),300,0))),1000000000))</f>
        <v/>
      </c>
      <c r="PW10">
        <f>IF($B10=0,1000000000,IF(INDEX('calcA'!$D$60:$EQ$99,$B10,44)*IF($W10=1,ES10+ABH10,ES10)=1,IF(AND($E10=2,IF($W10=1,AGW10,KH10)=0),1000000000,IF($V10=1,INDEX('calcA'!$D$130:$EQ$169,$B10,44)+IF(AND($E10=1,KH10=0),25,0),INDEX('calcA'!AU$110:AU$114,$F10+1)+IF(AND($E10=1,KH10=0),1000,0)+IF($H10=1,INDEX('calcA'!$D$180:$EQ$219,$B10,44)*500,0)-IF(AND('calcA'!AT$117=1,VR10&gt;0),300,0)-IF(AND($U10=1,'calcA'!AU$117=1,ET10=0),300,0))),1000000000))</f>
        <v/>
      </c>
      <c r="PX10">
        <f>IF($B10=0,1000000000,IF(INDEX('calcA'!$D$60:$EQ$99,$B10,45)*IF($W10=1,ET10+ABI10,ET10)=1,IF(AND($E10=2,IF($W10=1,AGX10,KI10)=0),1000000000,IF($V10=1,INDEX('calcA'!$D$130:$EQ$169,$B10,45)+IF(AND($E10=1,KI10=0),25,0),INDEX('calcA'!AV$110:AV$114,$F10+1)+IF(AND($E10=1,KI10=0),1000,0)+IF($H10=1,INDEX('calcA'!$D$180:$EQ$219,$B10,45)*500,0)-IF(AND('calcA'!AU$117=1,VS10&gt;0),300,0)-IF(AND($U10=1,'calcA'!AV$117=1,EU10=0),300,0))),1000000000))</f>
        <v/>
      </c>
      <c r="PY10">
        <f>IF($B10=0,1000000000,IF(INDEX('calcA'!$D$60:$EQ$99,$B10,46)*IF($W10=1,EU10+ABJ10,EU10)=1,IF(AND($E10=2,IF($W10=1,AGY10,KJ10)=0),1000000000,IF($V10=1,INDEX('calcA'!$D$130:$EQ$169,$B10,46)+IF(AND($E10=1,KJ10=0),25,0),INDEX('calcA'!AW$110:AW$114,$F10+1)+IF(AND($E10=1,KJ10=0),1000,0)+IF($H10=1,INDEX('calcA'!$D$180:$EQ$219,$B10,46)*500,0)-IF(AND('calcA'!AV$117=1,VT10&gt;0),300,0)-IF(AND($U10=1,'calcA'!AW$117=1,EV10=0),300,0))),1000000000))</f>
        <v/>
      </c>
      <c r="PZ10">
        <f>IF($B10=0,1000000000,IF(INDEX('calcA'!$D$60:$EQ$99,$B10,47)*IF($W10=1,EV10+ABK10,EV10)=1,IF(AND($E10=2,IF($W10=1,AGZ10,KK10)=0),1000000000,IF($V10=1,INDEX('calcA'!$D$130:$EQ$169,$B10,47)+IF(AND($E10=1,KK10=0),25,0),INDEX('calcA'!AX$110:AX$114,$F10+1)+IF(AND($E10=1,KK10=0),1000,0)+IF($H10=1,INDEX('calcA'!$D$180:$EQ$219,$B10,47)*500,0)-IF(AND('calcA'!AW$117=1,VU10&gt;0),300,0)-IF(AND($U10=1,'calcA'!AX$117=1,EW10=0),300,0))),1000000000))</f>
        <v/>
      </c>
      <c r="QA10">
        <f>IF($B10=0,1000000000,IF(INDEX('calcA'!$D$60:$EQ$99,$B10,48)*IF($W10=1,EW10+ABL10,EW10)=1,IF(AND($E10=2,IF($W10=1,AHA10,KL10)=0),1000000000,IF($V10=1,INDEX('calcA'!$D$130:$EQ$169,$B10,48)+IF(AND($E10=1,KL10=0),25,0),INDEX('calcA'!AY$110:AY$114,$F10+1)+IF(AND($E10=1,KL10=0),1000,0)+IF($H10=1,INDEX('calcA'!$D$180:$EQ$219,$B10,48)*500,0)-IF(AND('calcA'!AX$117=1,VV10&gt;0),300,0))),1000000000))</f>
        <v/>
      </c>
      <c r="QB10">
        <f>IF($B10=0,1000000000,IF(INDEX('calcA'!$D$60:$EQ$99,$B10,49)*IF($W10=1,EX10+ABM10,EX10)=1,IF(AND($E10=2,IF($W10=1,AHB10,KM10)=0),1000000000,IF($V10=1,INDEX('calcA'!$D$130:$EQ$169,$B10,49)+IF(AND($E10=1,KM10=0),25,0),INDEX('calcA'!AZ$110:AZ$114,$F10+1)+IF(AND($E10=1,KM10=0),1000,0)+IF($H10=1,INDEX('calcA'!$D$180:$EQ$219,$B10,49)*500,0)-IF(AND($U10=1,'calcA'!AZ$117=1,EY10=0),300,0))),1000000000))</f>
        <v/>
      </c>
      <c r="QC10">
        <f>IF($B10=0,1000000000,IF(INDEX('calcA'!$D$60:$EQ$99,$B10,50)*IF($W10=1,EY10+ABN10,EY10)=1,IF(AND($E10=2,IF($W10=1,AHC10,KN10)=0),1000000000,IF($V10=1,INDEX('calcA'!$D$130:$EQ$169,$B10,50)+IF(AND($E10=1,KN10=0),25,0),INDEX('calcA'!BA$110:BA$114,$F10+1)+IF(AND($E10=1,KN10=0),1000,0)+IF($H10=1,INDEX('calcA'!$D$180:$EQ$219,$B10,50)*500,0)-IF(AND('calcA'!AZ$117=1,VX10&gt;0),300,0)-IF(AND($U10=1,'calcA'!BA$117=1,EZ10=0),300,0))),1000000000))</f>
        <v/>
      </c>
      <c r="QD10">
        <f>IF($B10=0,1000000000,IF(INDEX('calcA'!$D$60:$EQ$99,$B10,51)*IF($W10=1,EZ10+ABO10,EZ10)=1,IF(AND($E10=2,IF($W10=1,AHD10,KO10)=0),1000000000,IF($V10=1,INDEX('calcA'!$D$130:$EQ$169,$B10,51)+IF(AND($E10=1,KO10=0),25,0),INDEX('calcA'!BB$110:BB$114,$F10+1)+IF(AND($E10=1,KO10=0),1000,0)+IF($H10=1,INDEX('calcA'!$D$180:$EQ$219,$B10,51)*500,0)-IF(AND('calcA'!BA$117=1,VY10&gt;0),300,0)-IF(AND($U10=1,'calcA'!BB$117=1,FA10=0),300,0))),1000000000))</f>
        <v/>
      </c>
      <c r="QE10">
        <f>IF($B10=0,1000000000,IF(INDEX('calcA'!$D$60:$EQ$99,$B10,52)*IF($W10=1,FA10+ABP10,FA10)=1,IF(AND($E10=2,IF($W10=1,AHE10,KP10)=0),1000000000,IF($V10=1,INDEX('calcA'!$D$130:$EQ$169,$B10,52)+IF(AND($E10=1,KP10=0),25,0),INDEX('calcA'!BC$110:BC$114,$F10+1)+IF(AND($E10=1,KP10=0),1000,0)+IF($H10=1,INDEX('calcA'!$D$180:$EQ$219,$B10,52)*500,0)-IF(AND('calcA'!BB$117=1,VZ10&gt;0),300,0)-IF(AND($U10=1,'calcA'!BC$117=1,FB10=0),300,0))),1000000000))</f>
        <v/>
      </c>
      <c r="QF10">
        <f>IF($B10=0,1000000000,IF(INDEX('calcA'!$D$60:$EQ$99,$B10,53)*IF($W10=1,FB10+ABQ10,FB10)=1,IF(AND($E10=2,IF($W10=1,AHF10,KQ10)=0),1000000000,IF($V10=1,INDEX('calcA'!$D$130:$EQ$169,$B10,53)+IF(AND($E10=1,KQ10=0),25,0),INDEX('calcA'!BD$110:BD$114,$F10+1)+IF(AND($E10=1,KQ10=0),1000,0)+IF($H10=1,INDEX('calcA'!$D$180:$EQ$219,$B10,53)*500,0)-IF(AND('calcA'!BC$117=1,WA10&gt;0),300,0)-IF(AND($U10=1,'calcA'!BD$117=1,FC10=0),300,0))),1000000000))</f>
        <v/>
      </c>
      <c r="QG10">
        <f>IF($B10=0,1000000000,IF(INDEX('calcA'!$D$60:$EQ$99,$B10,54)*IF($W10=1,FC10+ABR10,FC10)=1,IF(AND($E10=2,IF($W10=1,AHG10,KR10)=0),1000000000,IF($V10=1,INDEX('calcA'!$D$130:$EQ$169,$B10,54)+IF(AND($E10=1,KR10=0),25,0),INDEX('calcA'!BE$110:BE$114,$F10+1)+IF(AND($E10=1,KR10=0),1000,0)+IF($H10=1,INDEX('calcA'!$D$180:$EQ$219,$B10,54)*500,0)-IF(AND('calcA'!BD$117=1,WB10&gt;0),300,0)-IF(AND($U10=1,'calcA'!BE$117=1,FD10=0),300,0))),1000000000))</f>
        <v/>
      </c>
      <c r="QH10">
        <f>IF($B10=0,1000000000,IF(INDEX('calcA'!$D$60:$EQ$99,$B10,55)*IF($W10=1,FD10+ABS10,FD10)=1,IF(AND($E10=2,IF($W10=1,AHH10,KS10)=0),1000000000,IF($V10=1,INDEX('calcA'!$D$130:$EQ$169,$B10,55)+IF(AND($E10=1,KS10=0),25,0),INDEX('calcA'!BF$110:BF$114,$F10+1)+IF(AND($E10=1,KS10=0),1000,0)+IF($H10=1,INDEX('calcA'!$D$180:$EQ$219,$B10,55)*500,0)-IF(AND('calcA'!BE$117=1,WC10&gt;0),300,0)-IF(AND($U10=1,'calcA'!BF$117=1,FE10=0),300,0))),1000000000))</f>
        <v/>
      </c>
      <c r="QI10">
        <f>IF($B10=0,1000000000,IF(INDEX('calcA'!$D$60:$EQ$99,$B10,56)*IF($W10=1,FE10+ABT10,FE10)=1,IF(AND($E10=2,IF($W10=1,AHI10,KT10)=0),1000000000,IF($V10=1,INDEX('calcA'!$D$130:$EQ$169,$B10,56)+IF(AND($E10=1,KT10=0),25,0),INDEX('calcA'!BG$110:BG$114,$F10+1)+IF(AND($E10=1,KT10=0),1000,0)+IF($H10=1,INDEX('calcA'!$D$180:$EQ$219,$B10,56)*500,0)-IF(AND('calcA'!BF$117=1,WD10&gt;0),300,0)-IF(AND($U10=1,'calcA'!BG$117=1,FF10=0),300,0))),1000000000))</f>
        <v/>
      </c>
      <c r="QJ10">
        <f>IF($B10=0,1000000000,IF(INDEX('calcA'!$D$60:$EQ$99,$B10,57)*IF($W10=1,FF10+ABU10,FF10)=1,IF(AND($E10=2,IF($W10=1,AHJ10,KU10)=0),1000000000,IF($V10=1,INDEX('calcA'!$D$130:$EQ$169,$B10,57)+IF(AND($E10=1,KU10=0),25,0),INDEX('calcA'!BH$110:BH$114,$F10+1)+IF(AND($E10=1,KU10=0),1000,0)+IF($H10=1,INDEX('calcA'!$D$180:$EQ$219,$B10,57)*500,0)-IF(AND('calcA'!BG$117=1,WE10&gt;0),300,0)-IF(AND($U10=1,'calcA'!BH$117=1,FG10=0),300,0))),1000000000))</f>
        <v/>
      </c>
      <c r="QK10">
        <f>IF($B10=0,1000000000,IF(INDEX('calcA'!$D$60:$EQ$99,$B10,58)*IF($W10=1,FG10+ABV10,FG10)=1,IF(AND($E10=2,IF($W10=1,AHK10,KV10)=0),1000000000,IF($V10=1,INDEX('calcA'!$D$130:$EQ$169,$B10,58)+IF(AND($E10=1,KV10=0),25,0),INDEX('calcA'!BI$110:BI$114,$F10+1)+IF(AND($E10=1,KV10=0),1000,0)+IF($H10=1,INDEX('calcA'!$D$180:$EQ$219,$B10,58)*500,0)-IF(AND('calcA'!BH$117=1,WF10&gt;0),300,0)-IF(AND($U10=1,'calcA'!BI$117=1,FH10=0),300,0))),1000000000))</f>
        <v/>
      </c>
      <c r="QL10">
        <f>IF($B10=0,1000000000,IF(INDEX('calcA'!$D$60:$EQ$99,$B10,59)*IF($W10=1,FH10+ABW10,FH10)=1,IF(AND($E10=2,IF($W10=1,AHL10,KW10)=0),1000000000,IF($V10=1,INDEX('calcA'!$D$130:$EQ$169,$B10,59)+IF(AND($E10=1,KW10=0),25,0),INDEX('calcA'!BJ$110:BJ$114,$F10+1)+IF(AND($E10=1,KW10=0),1000,0)+IF($H10=1,INDEX('calcA'!$D$180:$EQ$219,$B10,59)*500,0)-IF(AND('calcA'!BI$117=1,WG10&gt;0),300,0)-IF(AND($U10=1,'calcA'!BJ$117=1,FI10=0),300,0))),1000000000))</f>
        <v/>
      </c>
      <c r="QM10">
        <f>IF($B10=0,1000000000,IF(INDEX('calcA'!$D$60:$EQ$99,$B10,60)*IF($W10=1,FI10+ABX10,FI10)=1,IF(AND($E10=2,IF($W10=1,AHM10,KX10)=0),1000000000,IF($V10=1,INDEX('calcA'!$D$130:$EQ$169,$B10,60)+IF(AND($E10=1,KX10=0),25,0),INDEX('calcA'!BK$110:BK$114,$F10+1)+IF(AND($E10=1,KX10=0),1000,0)+IF($H10=1,INDEX('calcA'!$D$180:$EQ$219,$B10,60)*500,0)-IF(AND('calcA'!BJ$117=1,WH10&gt;0),300,0)-IF(AND($U10=1,'calcA'!BK$117=1,FJ10=0),300,0))),1000000000))</f>
        <v/>
      </c>
      <c r="QN10">
        <f>IF($B10=0,1000000000,IF(INDEX('calcA'!$D$60:$EQ$99,$B10,61)*IF($W10=1,FJ10+ABY10,FJ10)=1,IF(AND($E10=2,IF($W10=1,AHN10,KY10)=0),1000000000,IF($V10=1,INDEX('calcA'!$D$130:$EQ$169,$B10,61)+IF(AND($E10=1,KY10=0),25,0),INDEX('calcA'!BL$110:BL$114,$F10+1)+IF(AND($E10=1,KY10=0),1000,0)+IF($H10=1,INDEX('calcA'!$D$180:$EQ$219,$B10,61)*500,0)-IF(AND('calcA'!BK$117=1,WI10&gt;0),300,0)-IF(AND($U10=1,'calcA'!BL$117=1,FK10=0),300,0))),1000000000))</f>
        <v/>
      </c>
      <c r="QO10">
        <f>IF($B10=0,1000000000,IF(INDEX('calcA'!$D$60:$EQ$99,$B10,62)*IF($W10=1,FK10+ABZ10,FK10)=1,IF(AND($E10=2,IF($W10=1,AHO10,KZ10)=0),1000000000,IF($V10=1,INDEX('calcA'!$D$130:$EQ$169,$B10,62)+IF(AND($E10=1,KZ10=0),25,0),INDEX('calcA'!BM$110:BM$114,$F10+1)+IF(AND($E10=1,KZ10=0),1000,0)+IF($H10=1,INDEX('calcA'!$D$180:$EQ$219,$B10,62)*500,0)-IF(AND('calcA'!BL$117=1,WJ10&gt;0),300,0)-IF(AND($U10=1,'calcA'!BM$117=1,FL10=0),300,0))),1000000000))</f>
        <v/>
      </c>
      <c r="QP10">
        <f>IF($B10=0,1000000000,IF(INDEX('calcA'!$D$60:$EQ$99,$B10,63)*IF($W10=1,FL10+ACA10,FL10)=1,IF(AND($E10=2,IF($W10=1,AHP10,LA10)=0),1000000000,IF($V10=1,INDEX('calcA'!$D$130:$EQ$169,$B10,63)+IF(AND($E10=1,LA10=0),25,0),INDEX('calcA'!BN$110:BN$114,$F10+1)+IF(AND($E10=1,LA10=0),1000,0)+IF($H10=1,INDEX('calcA'!$D$180:$EQ$219,$B10,63)*500,0)-IF(AND('calcA'!BM$117=1,WK10&gt;0),300,0)-IF(AND($U10=1,'calcA'!BN$117=1,FM10=0),300,0))),1000000000))</f>
        <v/>
      </c>
      <c r="QQ10">
        <f>IF($B10=0,1000000000,IF(INDEX('calcA'!$D$60:$EQ$99,$B10,64)*IF($W10=1,FM10+ACB10,FM10)=1,IF(AND($E10=2,IF($W10=1,AHQ10,LB10)=0),1000000000,IF($V10=1,INDEX('calcA'!$D$130:$EQ$169,$B10,64)+IF(AND($E10=1,LB10=0),25,0),INDEX('calcA'!BO$110:BO$114,$F10+1)+IF(AND($E10=1,LB10=0),1000,0)+IF($H10=1,INDEX('calcA'!$D$180:$EQ$219,$B10,64)*500,0)-IF(AND('calcA'!BN$117=1,WL10&gt;0),300,0)-IF(AND($U10=1,'calcA'!BO$117=1,FN10=0),300,0))),1000000000))</f>
        <v/>
      </c>
      <c r="QR10">
        <f>IF($B10=0,1000000000,IF(INDEX('calcA'!$D$60:$EQ$99,$B10,65)*IF($W10=1,FN10+ACC10,FN10)=1,IF(AND($E10=2,IF($W10=1,AHR10,LC10)=0),1000000000,IF($V10=1,INDEX('calcA'!$D$130:$EQ$169,$B10,65)+IF(AND($E10=1,LC10=0),25,0),INDEX('calcA'!BP$110:BP$114,$F10+1)+IF(AND($E10=1,LC10=0),1000,0)+IF($H10=1,INDEX('calcA'!$D$180:$EQ$219,$B10,65)*500,0)-IF(AND('calcA'!BO$117=1,WM10&gt;0),300,0)-IF(AND($U10=1,'calcA'!BP$117=1,FO10=0),300,0))),1000000000))</f>
        <v/>
      </c>
      <c r="QS10">
        <f>IF($B10=0,1000000000,IF(INDEX('calcA'!$D$60:$EQ$99,$B10,66)*IF($W10=1,FO10+ACD10,FO10)=1,IF(AND($E10=2,IF($W10=1,AHS10,LD10)=0),1000000000,IF($V10=1,INDEX('calcA'!$D$130:$EQ$169,$B10,66)+IF(AND($E10=1,LD10=0),25,0),INDEX('calcA'!BQ$110:BQ$114,$F10+1)+IF(AND($E10=1,LD10=0),1000,0)+IF($H10=1,INDEX('calcA'!$D$180:$EQ$219,$B10,66)*500,0)-IF(AND('calcA'!BP$117=1,WN10&gt;0),300,0)-IF(AND($U10=1,'calcA'!BQ$117=1,FP10=0),300,0))),1000000000))</f>
        <v/>
      </c>
      <c r="QT10">
        <f>IF($B10=0,1000000000,IF(INDEX('calcA'!$D$60:$EQ$99,$B10,67)*IF($W10=1,FP10+ACE10,FP10)=1,IF(AND($E10=2,IF($W10=1,AHT10,LE10)=0),1000000000,IF($V10=1,INDEX('calcA'!$D$130:$EQ$169,$B10,67)+IF(AND($E10=1,LE10=0),25,0),INDEX('calcA'!BR$110:BR$114,$F10+1)+IF(AND($E10=1,LE10=0),1000,0)+IF($H10=1,INDEX('calcA'!$D$180:$EQ$219,$B10,67)*500,0)-IF(AND('calcA'!BQ$117=1,WO10&gt;0),300,0)-IF(AND($U10=1,'calcA'!BR$117=1,FQ10=0),300,0))),1000000000))</f>
        <v/>
      </c>
      <c r="QU10">
        <f>IF($B10=0,1000000000,IF(INDEX('calcA'!$D$60:$EQ$99,$B10,68)*IF($W10=1,FQ10+ACF10,FQ10)=1,IF(AND($E10=2,IF($W10=1,AHU10,LF10)=0),1000000000,IF($V10=1,INDEX('calcA'!$D$130:$EQ$169,$B10,68)+IF(AND($E10=1,LF10=0),25,0),INDEX('calcA'!BS$110:BS$114,$F10+1)+IF(AND($E10=1,LF10=0),1000,0)+IF($H10=1,INDEX('calcA'!$D$180:$EQ$219,$B10,68)*500,0)-IF(AND('calcA'!BR$117=1,WP10&gt;0),300,0)-IF(AND($U10=1,'calcA'!BS$117=1,FR10=0),300,0))),1000000000))</f>
        <v/>
      </c>
      <c r="QV10">
        <f>IF($B10=0,1000000000,IF(INDEX('calcA'!$D$60:$EQ$99,$B10,69)*IF($W10=1,FR10+ACG10,FR10)=1,IF(AND($E10=2,IF($W10=1,AHV10,LG10)=0),1000000000,IF($V10=1,INDEX('calcA'!$D$130:$EQ$169,$B10,69)+IF(AND($E10=1,LG10=0),25,0),INDEX('calcA'!BT$110:BT$114,$F10+1)+IF(AND($E10=1,LG10=0),1000,0)+IF($H10=1,INDEX('calcA'!$D$180:$EQ$219,$B10,69)*500,0)-IF(AND('calcA'!BS$117=1,WQ10&gt;0),300,0)-IF(AND($U10=1,'calcA'!BT$117=1,FS10=0),300,0))),1000000000))</f>
        <v/>
      </c>
      <c r="QW10">
        <f>IF($B10=0,1000000000,IF(INDEX('calcA'!$D$60:$EQ$99,$B10,70)*IF($W10=1,FS10+ACH10,FS10)=1,IF(AND($E10=2,IF($W10=1,AHW10,LH10)=0),1000000000,IF($V10=1,INDEX('calcA'!$D$130:$EQ$169,$B10,70)+IF(AND($E10=1,LH10=0),25,0),INDEX('calcA'!BU$110:BU$114,$F10+1)+IF(AND($E10=1,LH10=0),1000,0)+IF($H10=1,INDEX('calcA'!$D$180:$EQ$219,$B10,70)*500,0)-IF(AND('calcA'!BT$117=1,WR10&gt;0),300,0)-IF(AND($U10=1,'calcA'!BU$117=1,FT10=0),300,0))),1000000000))</f>
        <v/>
      </c>
      <c r="QX10">
        <f>IF($B10=0,1000000000,IF(INDEX('calcA'!$D$60:$EQ$99,$B10,71)*IF($W10=1,FT10+ACI10,FT10)=1,IF(AND($E10=2,IF($W10=1,AHX10,LI10)=0),1000000000,IF($V10=1,INDEX('calcA'!$D$130:$EQ$169,$B10,71)+IF(AND($E10=1,LI10=0),25,0),INDEX('calcA'!BV$110:BV$114,$F10+1)+IF(AND($E10=1,LI10=0),1000,0)+IF($H10=1,INDEX('calcA'!$D$180:$EQ$219,$B10,71)*500,0)-IF(AND('calcA'!BU$117=1,WS10&gt;0),300,0)-IF(AND($U10=1,'calcA'!BV$117=1,FU10=0),300,0))),1000000000))</f>
        <v/>
      </c>
      <c r="QY10">
        <f>IF($B10=0,1000000000,IF(INDEX('calcA'!$D$60:$EQ$99,$B10,72)*IF($W10=1,FU10+ACJ10,FU10)=1,IF(AND($E10=2,IF($W10=1,AHY10,LJ10)=0),1000000000,IF($V10=1,INDEX('calcA'!$D$130:$EQ$169,$B10,72)+IF(AND($E10=1,LJ10=0),25,0),INDEX('calcA'!BW$110:BW$114,$F10+1)+IF(AND($E10=1,LJ10=0),1000,0)+IF($H10=1,INDEX('calcA'!$D$180:$EQ$219,$B10,72)*500,0)-IF(AND('calcA'!BV$117=1,WT10&gt;0),300,0))),1000000000))</f>
        <v/>
      </c>
      <c r="QZ10">
        <f>IF($B10=0,1000000000,IF(INDEX('calcA'!$D$60:$EQ$99,$B10,73)*IF($W10=1,FV10+ACK10,FV10)=1,IF(AND($E10=2,IF($W10=1,AHZ10,LK10)=0),1000000000,IF($V10=1,INDEX('calcA'!$D$130:$EQ$169,$B10,73)+IF(AND($E10=1,LK10=0),25,0),INDEX('calcA'!BX$110:BX$114,$F10+1)+IF(AND($E10=1,LK10=0),1000,0)+IF($H10=1,INDEX('calcA'!$D$180:$EQ$219,$B10,73)*500,0)-IF(AND($U10=1,'calcA'!BX$117=1,FW10=0),300,0))),1000000000))</f>
        <v/>
      </c>
      <c r="RA10">
        <f>IF($B10=0,1000000000,IF(INDEX('calcA'!$D$60:$EQ$99,$B10,74)*IF($W10=1,FW10+ACL10,FW10)=1,IF(AND($E10=2,IF($W10=1,AIA10,LL10)=0),1000000000,IF($V10=1,INDEX('calcA'!$D$130:$EQ$169,$B10,74)+IF(AND($E10=1,LL10=0),25,0),INDEX('calcA'!BY$110:BY$114,$F10+1)+IF(AND($E10=1,LL10=0),1000,0)+IF($H10=1,INDEX('calcA'!$D$180:$EQ$219,$B10,74)*500,0)-IF(AND('calcA'!BX$117=1,WV10&gt;0),300,0)-IF(AND($U10=1,'calcA'!BY$117=1,FX10=0),300,0))),1000000000))</f>
        <v/>
      </c>
      <c r="RB10">
        <f>IF($B10=0,1000000000,IF(INDEX('calcA'!$D$60:$EQ$99,$B10,75)*IF($W10=1,FX10+ACM10,FX10)=1,IF(AND($E10=2,IF($W10=1,AIB10,LM10)=0),1000000000,IF($V10=1,INDEX('calcA'!$D$130:$EQ$169,$B10,75)+IF(AND($E10=1,LM10=0),25,0),INDEX('calcA'!BZ$110:BZ$114,$F10+1)+IF(AND($E10=1,LM10=0),1000,0)+IF($H10=1,INDEX('calcA'!$D$180:$EQ$219,$B10,75)*500,0)-IF(AND('calcA'!BY$117=1,WW10&gt;0),300,0)-IF(AND($U10=1,'calcA'!BZ$117=1,FY10=0),300,0))),1000000000))</f>
        <v/>
      </c>
      <c r="RC10">
        <f>IF($B10=0,1000000000,IF(INDEX('calcA'!$D$60:$EQ$99,$B10,76)*IF($W10=1,FY10+ACN10,FY10)=1,IF(AND($E10=2,IF($W10=1,AIC10,LN10)=0),1000000000,IF($V10=1,INDEX('calcA'!$D$130:$EQ$169,$B10,76)+IF(AND($E10=1,LN10=0),25,0),INDEX('calcA'!CA$110:CA$114,$F10+1)+IF(AND($E10=1,LN10=0),1000,0)+IF($H10=1,INDEX('calcA'!$D$180:$EQ$219,$B10,76)*500,0)-IF(AND('calcA'!BZ$117=1,WX10&gt;0),300,0)-IF(AND($U10=1,'calcA'!CA$117=1,FZ10=0),300,0))),1000000000))</f>
        <v/>
      </c>
      <c r="RD10">
        <f>IF($B10=0,1000000000,IF(INDEX('calcA'!$D$60:$EQ$99,$B10,77)*IF($W10=1,FZ10+ACO10,FZ10)=1,IF(AND($E10=2,IF($W10=1,AID10,LO10)=0),1000000000,IF($V10=1,INDEX('calcA'!$D$130:$EQ$169,$B10,77)+IF(AND($E10=1,LO10=0),25,0),INDEX('calcA'!CB$110:CB$114,$F10+1)+IF(AND($E10=1,LO10=0),1000,0)+IF($H10=1,INDEX('calcA'!$D$180:$EQ$219,$B10,77)*500,0)-IF(AND('calcA'!CA$117=1,WY10&gt;0),300,0)-IF(AND($U10=1,'calcA'!CB$117=1,GA10=0),300,0))),1000000000))</f>
        <v/>
      </c>
      <c r="RE10">
        <f>IF($B10=0,1000000000,IF(INDEX('calcA'!$D$60:$EQ$99,$B10,78)*IF($W10=1,GA10+ACP10,GA10)=1,IF(AND($E10=2,IF($W10=1,AIE10,LP10)=0),1000000000,IF($V10=1,INDEX('calcA'!$D$130:$EQ$169,$B10,78)+IF(AND($E10=1,LP10=0),25,0),INDEX('calcA'!CC$110:CC$114,$F10+1)+IF(AND($E10=1,LP10=0),1000,0)+IF($H10=1,INDEX('calcA'!$D$180:$EQ$219,$B10,78)*500,0)-IF(AND('calcA'!CB$117=1,WZ10&gt;0),300,0)-IF(AND($U10=1,'calcA'!CC$117=1,GB10=0),300,0))),1000000000))</f>
        <v/>
      </c>
      <c r="RF10">
        <f>IF($B10=0,1000000000,IF(INDEX('calcA'!$D$60:$EQ$99,$B10,79)*IF($W10=1,GB10+ACQ10,GB10)=1,IF(AND($E10=2,IF($W10=1,AIF10,LQ10)=0),1000000000,IF($V10=1,INDEX('calcA'!$D$130:$EQ$169,$B10,79)+IF(AND($E10=1,LQ10=0),25,0),INDEX('calcA'!CD$110:CD$114,$F10+1)+IF(AND($E10=1,LQ10=0),1000,0)+IF($H10=1,INDEX('calcA'!$D$180:$EQ$219,$B10,79)*500,0)-IF(AND('calcA'!CC$117=1,XA10&gt;0),300,0)-IF(AND($U10=1,'calcA'!CD$117=1,GC10=0),300,0))),1000000000))</f>
        <v/>
      </c>
      <c r="RG10">
        <f>IF($B10=0,1000000000,IF(INDEX('calcA'!$D$60:$EQ$99,$B10,80)*IF($W10=1,GC10+ACR10,GC10)=1,IF(AND($E10=2,IF($W10=1,AIG10,LR10)=0),1000000000,IF($V10=1,INDEX('calcA'!$D$130:$EQ$169,$B10,80)+IF(AND($E10=1,LR10=0),25,0),INDEX('calcA'!CE$110:CE$114,$F10+1)+IF(AND($E10=1,LR10=0),1000,0)+IF($H10=1,INDEX('calcA'!$D$180:$EQ$219,$B10,80)*500,0)-IF(AND('calcA'!CD$117=1,XB10&gt;0),300,0)-IF(AND($U10=1,'calcA'!CE$117=1,GD10=0),300,0))),1000000000))</f>
        <v/>
      </c>
      <c r="RH10">
        <f>IF($B10=0,1000000000,IF(INDEX('calcA'!$D$60:$EQ$99,$B10,81)*IF($W10=1,GD10+ACS10,GD10)=1,IF(AND($E10=2,IF($W10=1,AIH10,LS10)=0),1000000000,IF($V10=1,INDEX('calcA'!$D$130:$EQ$169,$B10,81)+IF(AND($E10=1,LS10=0),25,0),INDEX('calcA'!CF$110:CF$114,$F10+1)+IF(AND($E10=1,LS10=0),1000,0)+IF($H10=1,INDEX('calcA'!$D$180:$EQ$219,$B10,81)*500,0)-IF(AND('calcA'!CE$117=1,XC10&gt;0),300,0)-IF(AND($U10=1,'calcA'!CF$117=1,GE10=0),300,0))),1000000000))</f>
        <v/>
      </c>
      <c r="RI10">
        <f>IF($B10=0,1000000000,IF(INDEX('calcA'!$D$60:$EQ$99,$B10,82)*IF($W10=1,GE10+ACT10,GE10)=1,IF(AND($E10=2,IF($W10=1,AII10,LT10)=0),1000000000,IF($V10=1,INDEX('calcA'!$D$130:$EQ$169,$B10,82)+IF(AND($E10=1,LT10=0),25,0),INDEX('calcA'!CG$110:CG$114,$F10+1)+IF(AND($E10=1,LT10=0),1000,0)+IF($H10=1,INDEX('calcA'!$D$180:$EQ$219,$B10,82)*500,0)-IF(AND('calcA'!CF$117=1,XD10&gt;0),300,0)-IF(AND($U10=1,'calcA'!CG$117=1,GF10=0),300,0))),1000000000))</f>
        <v/>
      </c>
      <c r="RJ10">
        <f>IF($B10=0,1000000000,IF(INDEX('calcA'!$D$60:$EQ$99,$B10,83)*IF($W10=1,GF10+ACU10,GF10)=1,IF(AND($E10=2,IF($W10=1,AIJ10,LU10)=0),1000000000,IF($V10=1,INDEX('calcA'!$D$130:$EQ$169,$B10,83)+IF(AND($E10=1,LU10=0),25,0),INDEX('calcA'!CH$110:CH$114,$F10+1)+IF(AND($E10=1,LU10=0),1000,0)+IF($H10=1,INDEX('calcA'!$D$180:$EQ$219,$B10,83)*500,0)-IF(AND('calcA'!CG$117=1,XE10&gt;0),300,0)-IF(AND($U10=1,'calcA'!CH$117=1,GG10=0),300,0))),1000000000))</f>
        <v/>
      </c>
      <c r="RK10">
        <f>IF($B10=0,1000000000,IF(INDEX('calcA'!$D$60:$EQ$99,$B10,84)*IF($W10=1,GG10+ACV10,GG10)=1,IF(AND($E10=2,IF($W10=1,AIK10,LV10)=0),1000000000,IF($V10=1,INDEX('calcA'!$D$130:$EQ$169,$B10,84)+IF(AND($E10=1,LV10=0),25,0),INDEX('calcA'!CI$110:CI$114,$F10+1)+IF(AND($E10=1,LV10=0),1000,0)+IF($H10=1,INDEX('calcA'!$D$180:$EQ$219,$B10,84)*500,0)-IF(AND('calcA'!CH$117=1,XF10&gt;0),300,0)-IF(AND($U10=1,'calcA'!CI$117=1,GH10=0),300,0))),1000000000))</f>
        <v/>
      </c>
      <c r="RL10">
        <f>IF($B10=0,1000000000,IF(INDEX('calcA'!$D$60:$EQ$99,$B10,85)*IF($W10=1,GH10+ACW10,GH10)=1,IF(AND($E10=2,IF($W10=1,AIL10,LW10)=0),1000000000,IF($V10=1,INDEX('calcA'!$D$130:$EQ$169,$B10,85)+IF(AND($E10=1,LW10=0),25,0),INDEX('calcA'!CJ$110:CJ$114,$F10+1)+IF(AND($E10=1,LW10=0),1000,0)+IF($H10=1,INDEX('calcA'!$D$180:$EQ$219,$B10,85)*500,0)-IF(AND('calcA'!CI$117=1,XG10&gt;0),300,0)-IF(AND($U10=1,'calcA'!CJ$117=1,GI10=0),300,0))),1000000000))</f>
        <v/>
      </c>
      <c r="RM10">
        <f>IF($B10=0,1000000000,IF(INDEX('calcA'!$D$60:$EQ$99,$B10,86)*IF($W10=1,GI10+ACX10,GI10)=1,IF(AND($E10=2,IF($W10=1,AIM10,LX10)=0),1000000000,IF($V10=1,INDEX('calcA'!$D$130:$EQ$169,$B10,86)+IF(AND($E10=1,LX10=0),25,0),INDEX('calcA'!CK$110:CK$114,$F10+1)+IF(AND($E10=1,LX10=0),1000,0)+IF($H10=1,INDEX('calcA'!$D$180:$EQ$219,$B10,86)*500,0)-IF(AND('calcA'!CJ$117=1,XH10&gt;0),300,0)-IF(AND($U10=1,'calcA'!CK$117=1,GJ10=0),300,0))),1000000000))</f>
        <v/>
      </c>
      <c r="RN10">
        <f>IF($B10=0,1000000000,IF(INDEX('calcA'!$D$60:$EQ$99,$B10,87)*IF($W10=1,GJ10+ACY10,GJ10)=1,IF(AND($E10=2,IF($W10=1,AIN10,LY10)=0),1000000000,IF($V10=1,INDEX('calcA'!$D$130:$EQ$169,$B10,87)+IF(AND($E10=1,LY10=0),25,0),INDEX('calcA'!CL$110:CL$114,$F10+1)+IF(AND($E10=1,LY10=0),1000,0)+IF($H10=1,INDEX('calcA'!$D$180:$EQ$219,$B10,87)*500,0)-IF(AND('calcA'!CK$117=1,XI10&gt;0),300,0)-IF(AND($U10=1,'calcA'!CL$117=1,GK10=0),300,0))),1000000000))</f>
        <v/>
      </c>
      <c r="RO10">
        <f>IF($B10=0,1000000000,IF(INDEX('calcA'!$D$60:$EQ$99,$B10,88)*IF($W10=1,GK10+ACZ10,GK10)=1,IF(AND($E10=2,IF($W10=1,AIO10,LZ10)=0),1000000000,IF($V10=1,INDEX('calcA'!$D$130:$EQ$169,$B10,88)+IF(AND($E10=1,LZ10=0),25,0),INDEX('calcA'!CM$110:CM$114,$F10+1)+IF(AND($E10=1,LZ10=0),1000,0)+IF($H10=1,INDEX('calcA'!$D$180:$EQ$219,$B10,88)*500,0)-IF(AND('calcA'!CL$117=1,XJ10&gt;0),300,0)-IF(AND($U10=1,'calcA'!CM$117=1,GL10=0),300,0))),1000000000))</f>
        <v/>
      </c>
      <c r="RP10">
        <f>IF($B10=0,1000000000,IF(INDEX('calcA'!$D$60:$EQ$99,$B10,89)*IF($W10=1,GL10+ADA10,GL10)=1,IF(AND($E10=2,IF($W10=1,AIP10,MA10)=0),1000000000,IF($V10=1,INDEX('calcA'!$D$130:$EQ$169,$B10,89)+IF(AND($E10=1,MA10=0),25,0),INDEX('calcA'!CN$110:CN$114,$F10+1)+IF(AND($E10=1,MA10=0),1000,0)+IF($H10=1,INDEX('calcA'!$D$180:$EQ$219,$B10,89)*500,0)-IF(AND('calcA'!CM$117=1,XK10&gt;0),300,0)-IF(AND($U10=1,'calcA'!CN$117=1,GM10=0),300,0))),1000000000))</f>
        <v/>
      </c>
      <c r="RQ10">
        <f>IF($B10=0,1000000000,IF(INDEX('calcA'!$D$60:$EQ$99,$B10,90)*IF($W10=1,GM10+ADB10,GM10)=1,IF(AND($E10=2,IF($W10=1,AIQ10,MB10)=0),1000000000,IF($V10=1,INDEX('calcA'!$D$130:$EQ$169,$B10,90)+IF(AND($E10=1,MB10=0),25,0),INDEX('calcA'!CO$110:CO$114,$F10+1)+IF(AND($E10=1,MB10=0),1000,0)+IF($H10=1,INDEX('calcA'!$D$180:$EQ$219,$B10,90)*500,0)-IF(AND('calcA'!CN$117=1,XL10&gt;0),300,0)-IF(AND($U10=1,'calcA'!CO$117=1,GN10=0),300,0))),1000000000))</f>
        <v/>
      </c>
      <c r="RR10">
        <f>IF($B10=0,1000000000,IF(INDEX('calcA'!$D$60:$EQ$99,$B10,91)*IF($W10=1,GN10+ADC10,GN10)=1,IF(AND($E10=2,IF($W10=1,AIR10,MC10)=0),1000000000,IF($V10=1,INDEX('calcA'!$D$130:$EQ$169,$B10,91)+IF(AND($E10=1,MC10=0),25,0),INDEX('calcA'!CP$110:CP$114,$F10+1)+IF(AND($E10=1,MC10=0),1000,0)+IF($H10=1,INDEX('calcA'!$D$180:$EQ$219,$B10,91)*500,0)-IF(AND('calcA'!CO$117=1,XM10&gt;0),300,0)-IF(AND($U10=1,'calcA'!CP$117=1,GO10=0),300,0))),1000000000))</f>
        <v/>
      </c>
      <c r="RS10">
        <f>IF($B10=0,1000000000,IF(INDEX('calcA'!$D$60:$EQ$99,$B10,92)*IF($W10=1,GO10+ADD10,GO10)=1,IF(AND($E10=2,IF($W10=1,AIS10,MD10)=0),1000000000,IF($V10=1,INDEX('calcA'!$D$130:$EQ$169,$B10,92)+IF(AND($E10=1,MD10=0),25,0),INDEX('calcA'!CQ$110:CQ$114,$F10+1)+IF(AND($E10=1,MD10=0),1000,0)+IF($H10=1,INDEX('calcA'!$D$180:$EQ$219,$B10,92)*500,0)-IF(AND('calcA'!CP$117=1,XN10&gt;0),300,0)-IF(AND($U10=1,'calcA'!CQ$117=1,GP10=0),300,0))),1000000000))</f>
        <v/>
      </c>
      <c r="RT10">
        <f>IF($B10=0,1000000000,IF(INDEX('calcA'!$D$60:$EQ$99,$B10,93)*IF($W10=1,GP10+ADE10,GP10)=1,IF(AND($E10=2,IF($W10=1,AIT10,ME10)=0),1000000000,IF($V10=1,INDEX('calcA'!$D$130:$EQ$169,$B10,93)+IF(AND($E10=1,ME10=0),25,0),INDEX('calcA'!CR$110:CR$114,$F10+1)+IF(AND($E10=1,ME10=0),1000,0)+IF($H10=1,INDEX('calcA'!$D$180:$EQ$219,$B10,93)*500,0)-IF(AND('calcA'!CQ$117=1,XO10&gt;0),300,0)-IF(AND($U10=1,'calcA'!CR$117=1,GQ10=0),300,0))),1000000000))</f>
        <v/>
      </c>
      <c r="RU10">
        <f>IF($B10=0,1000000000,IF(INDEX('calcA'!$D$60:$EQ$99,$B10,94)*IF($W10=1,GQ10+ADF10,GQ10)=1,IF(AND($E10=2,IF($W10=1,AIU10,MF10)=0),1000000000,IF($V10=1,INDEX('calcA'!$D$130:$EQ$169,$B10,94)+IF(AND($E10=1,MF10=0),25,0),INDEX('calcA'!CS$110:CS$114,$F10+1)+IF(AND($E10=1,MF10=0),1000,0)+IF($H10=1,INDEX('calcA'!$D$180:$EQ$219,$B10,94)*500,0)-IF(AND('calcA'!CR$117=1,XP10&gt;0),300,0)-IF(AND($U10=1,'calcA'!CS$117=1,GR10=0),300,0))),1000000000))</f>
        <v/>
      </c>
      <c r="RV10">
        <f>IF($B10=0,1000000000,IF(INDEX('calcA'!$D$60:$EQ$99,$B10,95)*IF($W10=1,GR10+ADG10,GR10)=1,IF(AND($E10=2,IF($W10=1,AIV10,MG10)=0),1000000000,IF($V10=1,INDEX('calcA'!$D$130:$EQ$169,$B10,95)+IF(AND($E10=1,MG10=0),25,0),INDEX('calcA'!CT$110:CT$114,$F10+1)+IF(AND($E10=1,MG10=0),1000,0)+IF($H10=1,INDEX('calcA'!$D$180:$EQ$219,$B10,95)*500,0)-IF(AND('calcA'!CS$117=1,XQ10&gt;0),300,0)-IF(AND($U10=1,'calcA'!CT$117=1,GS10=0),300,0))),1000000000))</f>
        <v/>
      </c>
      <c r="RW10">
        <f>IF($B10=0,1000000000,IF(INDEX('calcA'!$D$60:$EQ$99,$B10,96)*IF($W10=1,GS10+ADH10,GS10)=1,IF(AND($E10=2,IF($W10=1,AIW10,MH10)=0),1000000000,IF($V10=1,INDEX('calcA'!$D$130:$EQ$169,$B10,96)+IF(AND($E10=1,MH10=0),25,0),INDEX('calcA'!CU$110:CU$114,$F10+1)+IF(AND($E10=1,MH10=0),1000,0)+IF($H10=1,INDEX('calcA'!$D$180:$EQ$219,$B10,96)*500,0)-IF(AND('calcA'!CT$117=1,XR10&gt;0),300,0))),1000000000))</f>
        <v/>
      </c>
      <c r="RX10">
        <f>IF($B10=0,1000000000,IF(INDEX('calcA'!$D$60:$EQ$99,$B10,97)*IF($W10=1,GT10+ADI10,GT10)=1,IF(AND($E10=2,IF($W10=1,AIX10,MI10)=0),1000000000,IF($V10=1,INDEX('calcA'!$D$130:$EQ$169,$B10,97)+IF(AND($E10=1,MI10=0),25,0),INDEX('calcA'!CV$110:CV$114,$F10+1)+IF(AND($E10=1,MI10=0),1000,0)+IF($H10=1,INDEX('calcA'!$D$180:$EQ$219,$B10,97)*500,0)-IF(AND($U10=1,'calcA'!CV$117=1,GU10=0),300,0))),1000000000))</f>
        <v/>
      </c>
      <c r="RY10">
        <f>IF($B10=0,1000000000,IF(INDEX('calcA'!$D$60:$EQ$99,$B10,98)*IF($W10=1,GU10+ADJ10,GU10)=1,IF(AND($E10=2,IF($W10=1,AIY10,MJ10)=0),1000000000,IF($V10=1,INDEX('calcA'!$D$130:$EQ$169,$B10,98)+IF(AND($E10=1,MJ10=0),25,0),INDEX('calcA'!CW$110:CW$114,$F10+1)+IF(AND($E10=1,MJ10=0),1000,0)+IF($H10=1,INDEX('calcA'!$D$180:$EQ$219,$B10,98)*500,0)-IF(AND('calcA'!CV$117=1,XT10&gt;0),300,0)-IF(AND($U10=1,'calcA'!CW$117=1,GV10=0),300,0))),1000000000))</f>
        <v/>
      </c>
      <c r="RZ10">
        <f>IF($B10=0,1000000000,IF(INDEX('calcA'!$D$60:$EQ$99,$B10,99)*IF($W10=1,GV10+ADK10,GV10)=1,IF(AND($E10=2,IF($W10=1,AIZ10,MK10)=0),1000000000,IF($V10=1,INDEX('calcA'!$D$130:$EQ$169,$B10,99)+IF(AND($E10=1,MK10=0),25,0),INDEX('calcA'!CX$110:CX$114,$F10+1)+IF(AND($E10=1,MK10=0),1000,0)+IF($H10=1,INDEX('calcA'!$D$180:$EQ$219,$B10,99)*500,0)-IF(AND('calcA'!CW$117=1,XU10&gt;0),300,0)-IF(AND($U10=1,'calcA'!CX$117=1,GW10=0),300,0))),1000000000))</f>
        <v/>
      </c>
      <c r="SA10">
        <f>IF($B10=0,1000000000,IF(INDEX('calcA'!$D$60:$EQ$99,$B10,100)*IF($W10=1,GW10+ADL10,GW10)=1,IF(AND($E10=2,IF($W10=1,AJA10,ML10)=0),1000000000,IF($V10=1,INDEX('calcA'!$D$130:$EQ$169,$B10,100)+IF(AND($E10=1,ML10=0),25,0),INDEX('calcA'!CY$110:CY$114,$F10+1)+IF(AND($E10=1,ML10=0),1000,0)+IF($H10=1,INDEX('calcA'!$D$180:$EQ$219,$B10,100)*500,0)-IF(AND('calcA'!CX$117=1,XV10&gt;0),300,0)-IF(AND($U10=1,'calcA'!CY$117=1,GX10=0),300,0))),1000000000))</f>
        <v/>
      </c>
      <c r="SB10">
        <f>IF($B10=0,1000000000,IF(INDEX('calcA'!$D$60:$EQ$99,$B10,101)*IF($W10=1,GX10+ADM10,GX10)=1,IF(AND($E10=2,IF($W10=1,AJB10,MM10)=0),1000000000,IF($V10=1,INDEX('calcA'!$D$130:$EQ$169,$B10,101)+IF(AND($E10=1,MM10=0),25,0),INDEX('calcA'!CZ$110:CZ$114,$F10+1)+IF(AND($E10=1,MM10=0),1000,0)+IF($H10=1,INDEX('calcA'!$D$180:$EQ$219,$B10,101)*500,0)-IF(AND('calcA'!CY$117=1,XW10&gt;0),300,0)-IF(AND($U10=1,'calcA'!CZ$117=1,GY10=0),300,0))),1000000000))</f>
        <v/>
      </c>
      <c r="SC10">
        <f>IF($B10=0,1000000000,IF(INDEX('calcA'!$D$60:$EQ$99,$B10,102)*IF($W10=1,GY10+ADN10,GY10)=1,IF(AND($E10=2,IF($W10=1,AJC10,MN10)=0),1000000000,IF($V10=1,INDEX('calcA'!$D$130:$EQ$169,$B10,102)+IF(AND($E10=1,MN10=0),25,0),INDEX('calcA'!DA$110:DA$114,$F10+1)+IF(AND($E10=1,MN10=0),1000,0)+IF($H10=1,INDEX('calcA'!$D$180:$EQ$219,$B10,102)*500,0)-IF(AND('calcA'!CZ$117=1,XX10&gt;0),300,0)-IF(AND($U10=1,'calcA'!DA$117=1,GZ10=0),300,0))),1000000000))</f>
        <v/>
      </c>
      <c r="SD10">
        <f>IF($B10=0,1000000000,IF(INDEX('calcA'!$D$60:$EQ$99,$B10,103)*IF($W10=1,GZ10+ADO10,GZ10)=1,IF(AND($E10=2,IF($W10=1,AJD10,MO10)=0),1000000000,IF($V10=1,INDEX('calcA'!$D$130:$EQ$169,$B10,103)+IF(AND($E10=1,MO10=0),25,0),INDEX('calcA'!DB$110:DB$114,$F10+1)+IF(AND($E10=1,MO10=0),1000,0)+IF($H10=1,INDEX('calcA'!$D$180:$EQ$219,$B10,103)*500,0)-IF(AND('calcA'!DA$117=1,XY10&gt;0),300,0)-IF(AND($U10=1,'calcA'!DB$117=1,HA10=0),300,0))),1000000000))</f>
        <v/>
      </c>
      <c r="SE10">
        <f>IF($B10=0,1000000000,IF(INDEX('calcA'!$D$60:$EQ$99,$B10,104)*IF($W10=1,HA10+ADP10,HA10)=1,IF(AND($E10=2,IF($W10=1,AJE10,MP10)=0),1000000000,IF($V10=1,INDEX('calcA'!$D$130:$EQ$169,$B10,104)+IF(AND($E10=1,MP10=0),25,0),INDEX('calcA'!DC$110:DC$114,$F10+1)+IF(AND($E10=1,MP10=0),1000,0)+IF($H10=1,INDEX('calcA'!$D$180:$EQ$219,$B10,104)*500,0)-IF(AND('calcA'!DB$117=1,XZ10&gt;0),300,0)-IF(AND($U10=1,'calcA'!DC$117=1,HB10=0),300,0))),1000000000))</f>
        <v/>
      </c>
      <c r="SF10">
        <f>IF($B10=0,1000000000,IF(INDEX('calcA'!$D$60:$EQ$99,$B10,105)*IF($W10=1,HB10+ADQ10,HB10)=1,IF(AND($E10=2,IF($W10=1,AJF10,MQ10)=0),1000000000,IF($V10=1,INDEX('calcA'!$D$130:$EQ$169,$B10,105)+IF(AND($E10=1,MQ10=0),25,0),INDEX('calcA'!DD$110:DD$114,$F10+1)+IF(AND($E10=1,MQ10=0),1000,0)+IF($H10=1,INDEX('calcA'!$D$180:$EQ$219,$B10,105)*500,0)-IF(AND('calcA'!DC$117=1,YA10&gt;0),300,0)-IF(AND($U10=1,'calcA'!DD$117=1,HC10=0),300,0))),1000000000))</f>
        <v/>
      </c>
      <c r="SG10">
        <f>IF($B10=0,1000000000,IF(INDEX('calcA'!$D$60:$EQ$99,$B10,106)*IF($W10=1,HC10+ADR10,HC10)=1,IF(AND($E10=2,IF($W10=1,AJG10,MR10)=0),1000000000,IF($V10=1,INDEX('calcA'!$D$130:$EQ$169,$B10,106)+IF(AND($E10=1,MR10=0),25,0),INDEX('calcA'!DE$110:DE$114,$F10+1)+IF(AND($E10=1,MR10=0),1000,0)+IF($H10=1,INDEX('calcA'!$D$180:$EQ$219,$B10,106)*500,0)-IF(AND('calcA'!DD$117=1,YB10&gt;0),300,0)-IF(AND($U10=1,'calcA'!DE$117=1,HD10=0),300,0))),1000000000))</f>
        <v/>
      </c>
      <c r="SH10">
        <f>IF($B10=0,1000000000,IF(INDEX('calcA'!$D$60:$EQ$99,$B10,107)*IF($W10=1,HD10+ADS10,HD10)=1,IF(AND($E10=2,IF($W10=1,AJH10,MS10)=0),1000000000,IF($V10=1,INDEX('calcA'!$D$130:$EQ$169,$B10,107)+IF(AND($E10=1,MS10=0),25,0),INDEX('calcA'!DF$110:DF$114,$F10+1)+IF(AND($E10=1,MS10=0),1000,0)+IF($H10=1,INDEX('calcA'!$D$180:$EQ$219,$B10,107)*500,0)-IF(AND('calcA'!DE$117=1,YC10&gt;0),300,0)-IF(AND($U10=1,'calcA'!DF$117=1,HE10=0),300,0))),1000000000))</f>
        <v/>
      </c>
      <c r="SI10">
        <f>IF($B10=0,1000000000,IF(INDEX('calcA'!$D$60:$EQ$99,$B10,108)*IF($W10=1,HE10+ADT10,HE10)=1,IF(AND($E10=2,IF($W10=1,AJI10,MT10)=0),1000000000,IF($V10=1,INDEX('calcA'!$D$130:$EQ$169,$B10,108)+IF(AND($E10=1,MT10=0),25,0),INDEX('calcA'!DG$110:DG$114,$F10+1)+IF(AND($E10=1,MT10=0),1000,0)+IF($H10=1,INDEX('calcA'!$D$180:$EQ$219,$B10,108)*500,0)-IF(AND('calcA'!DF$117=1,YD10&gt;0),300,0)-IF(AND($U10=1,'calcA'!DG$117=1,HF10=0),300,0))),1000000000))</f>
        <v/>
      </c>
      <c r="SJ10">
        <f>IF($B10=0,1000000000,IF(INDEX('calcA'!$D$60:$EQ$99,$B10,109)*IF($W10=1,HF10+ADU10,HF10)=1,IF(AND($E10=2,IF($W10=1,AJJ10,MU10)=0),1000000000,IF($V10=1,INDEX('calcA'!$D$130:$EQ$169,$B10,109)+IF(AND($E10=1,MU10=0),25,0),INDEX('calcA'!DH$110:DH$114,$F10+1)+IF(AND($E10=1,MU10=0),1000,0)+IF($H10=1,INDEX('calcA'!$D$180:$EQ$219,$B10,109)*500,0)-IF(AND('calcA'!DG$117=1,YE10&gt;0),300,0)-IF(AND($U10=1,'calcA'!DH$117=1,HG10=0),300,0))),1000000000))</f>
        <v/>
      </c>
      <c r="SK10">
        <f>IF($B10=0,1000000000,IF(INDEX('calcA'!$D$60:$EQ$99,$B10,110)*IF($W10=1,HG10+ADV10,HG10)=1,IF(AND($E10=2,IF($W10=1,AJK10,MV10)=0),1000000000,IF($V10=1,INDEX('calcA'!$D$130:$EQ$169,$B10,110)+IF(AND($E10=1,MV10=0),25,0),INDEX('calcA'!DI$110:DI$114,$F10+1)+IF(AND($E10=1,MV10=0),1000,0)+IF($H10=1,INDEX('calcA'!$D$180:$EQ$219,$B10,110)*500,0)-IF(AND('calcA'!DH$117=1,YF10&gt;0),300,0)-IF(AND($U10=1,'calcA'!DI$117=1,HH10=0),300,0))),1000000000))</f>
        <v/>
      </c>
      <c r="SL10">
        <f>IF($B10=0,1000000000,IF(INDEX('calcA'!$D$60:$EQ$99,$B10,111)*IF($W10=1,HH10+ADW10,HH10)=1,IF(AND($E10=2,IF($W10=1,AJL10,MW10)=0),1000000000,IF($V10=1,INDEX('calcA'!$D$130:$EQ$169,$B10,111)+IF(AND($E10=1,MW10=0),25,0),INDEX('calcA'!DJ$110:DJ$114,$F10+1)+IF(AND($E10=1,MW10=0),1000,0)+IF($H10=1,INDEX('calcA'!$D$180:$EQ$219,$B10,111)*500,0)-IF(AND('calcA'!DI$117=1,YG10&gt;0),300,0)-IF(AND($U10=1,'calcA'!DJ$117=1,HI10=0),300,0))),1000000000))</f>
        <v/>
      </c>
      <c r="SM10">
        <f>IF($B10=0,1000000000,IF(INDEX('calcA'!$D$60:$EQ$99,$B10,112)*IF($W10=1,HI10+ADX10,HI10)=1,IF(AND($E10=2,IF($W10=1,AJM10,MX10)=0),1000000000,IF($V10=1,INDEX('calcA'!$D$130:$EQ$169,$B10,112)+IF(AND($E10=1,MX10=0),25,0),INDEX('calcA'!DK$110:DK$114,$F10+1)+IF(AND($E10=1,MX10=0),1000,0)+IF($H10=1,INDEX('calcA'!$D$180:$EQ$219,$B10,112)*500,0)-IF(AND('calcA'!DJ$117=1,YH10&gt;0),300,0)-IF(AND($U10=1,'calcA'!DK$117=1,HJ10=0),300,0))),1000000000))</f>
        <v/>
      </c>
      <c r="SN10">
        <f>IF($B10=0,1000000000,IF(INDEX('calcA'!$D$60:$EQ$99,$B10,113)*IF($W10=1,HJ10+ADY10,HJ10)=1,IF(AND($E10=2,IF($W10=1,AJN10,MY10)=0),1000000000,IF($V10=1,INDEX('calcA'!$D$130:$EQ$169,$B10,113)+IF(AND($E10=1,MY10=0),25,0),INDEX('calcA'!DL$110:DL$114,$F10+1)+IF(AND($E10=1,MY10=0),1000,0)+IF($H10=1,INDEX('calcA'!$D$180:$EQ$219,$B10,113)*500,0)-IF(AND('calcA'!DK$117=1,YI10&gt;0),300,0)-IF(AND($U10=1,'calcA'!DL$117=1,HK10=0),300,0))),1000000000))</f>
        <v/>
      </c>
      <c r="SO10">
        <f>IF($B10=0,1000000000,IF(INDEX('calcA'!$D$60:$EQ$99,$B10,114)*IF($W10=1,HK10+ADZ10,HK10)=1,IF(AND($E10=2,IF($W10=1,AJO10,MZ10)=0),1000000000,IF($V10=1,INDEX('calcA'!$D$130:$EQ$169,$B10,114)+IF(AND($E10=1,MZ10=0),25,0),INDEX('calcA'!DM$110:DM$114,$F10+1)+IF(AND($E10=1,MZ10=0),1000,0)+IF($H10=1,INDEX('calcA'!$D$180:$EQ$219,$B10,114)*500,0)-IF(AND('calcA'!DL$117=1,YJ10&gt;0),300,0)-IF(AND($U10=1,'calcA'!DM$117=1,HL10=0),300,0))),1000000000))</f>
        <v/>
      </c>
      <c r="SP10">
        <f>IF($B10=0,1000000000,IF(INDEX('calcA'!$D$60:$EQ$99,$B10,115)*IF($W10=1,HL10+AEA10,HL10)=1,IF(AND($E10=2,IF($W10=1,AJP10,NA10)=0),1000000000,IF($V10=1,INDEX('calcA'!$D$130:$EQ$169,$B10,115)+IF(AND($E10=1,NA10=0),25,0),INDEX('calcA'!DN$110:DN$114,$F10+1)+IF(AND($E10=1,NA10=0),1000,0)+IF($H10=1,INDEX('calcA'!$D$180:$EQ$219,$B10,115)*500,0)-IF(AND('calcA'!DM$117=1,YK10&gt;0),300,0)-IF(AND($U10=1,'calcA'!DN$117=1,HM10=0),300,0))),1000000000))</f>
        <v/>
      </c>
      <c r="SQ10">
        <f>IF($B10=0,1000000000,IF(INDEX('calcA'!$D$60:$EQ$99,$B10,116)*IF($W10=1,HM10+AEB10,HM10)=1,IF(AND($E10=2,IF($W10=1,AJQ10,NB10)=0),1000000000,IF($V10=1,INDEX('calcA'!$D$130:$EQ$169,$B10,116)+IF(AND($E10=1,NB10=0),25,0),INDEX('calcA'!DO$110:DO$114,$F10+1)+IF(AND($E10=1,NB10=0),1000,0)+IF($H10=1,INDEX('calcA'!$D$180:$EQ$219,$B10,116)*500,0)-IF(AND('calcA'!DN$117=1,YL10&gt;0),300,0)-IF(AND($U10=1,'calcA'!DO$117=1,HN10=0),300,0))),1000000000))</f>
        <v/>
      </c>
      <c r="SR10">
        <f>IF($B10=0,1000000000,IF(INDEX('calcA'!$D$60:$EQ$99,$B10,117)*IF($W10=1,HN10+AEC10,HN10)=1,IF(AND($E10=2,IF($W10=1,AJR10,NC10)=0),1000000000,IF($V10=1,INDEX('calcA'!$D$130:$EQ$169,$B10,117)+IF(AND($E10=1,NC10=0),25,0),INDEX('calcA'!DP$110:DP$114,$F10+1)+IF(AND($E10=1,NC10=0),1000,0)+IF($H10=1,INDEX('calcA'!$D$180:$EQ$219,$B10,117)*500,0)-IF(AND('calcA'!DO$117=1,YM10&gt;0),300,0)-IF(AND($U10=1,'calcA'!DP$117=1,HO10=0),300,0))),1000000000))</f>
        <v/>
      </c>
      <c r="SS10">
        <f>IF($B10=0,1000000000,IF(INDEX('calcA'!$D$60:$EQ$99,$B10,118)*IF($W10=1,HO10+AED10,HO10)=1,IF(AND($E10=2,IF($W10=1,AJS10,ND10)=0),1000000000,IF($V10=1,INDEX('calcA'!$D$130:$EQ$169,$B10,118)+IF(AND($E10=1,ND10=0),25,0),INDEX('calcA'!DQ$110:DQ$114,$F10+1)+IF(AND($E10=1,ND10=0),1000,0)+IF($H10=1,INDEX('calcA'!$D$180:$EQ$219,$B10,118)*500,0)-IF(AND('calcA'!DP$117=1,YN10&gt;0),300,0)-IF(AND($U10=1,'calcA'!DQ$117=1,HP10=0),300,0))),1000000000))</f>
        <v/>
      </c>
      <c r="ST10">
        <f>IF($B10=0,1000000000,IF(INDEX('calcA'!$D$60:$EQ$99,$B10,119)*IF($W10=1,HP10+AEE10,HP10)=1,IF(AND($E10=2,IF($W10=1,AJT10,NE10)=0),1000000000,IF($V10=1,INDEX('calcA'!$D$130:$EQ$169,$B10,119)+IF(AND($E10=1,NE10=0),25,0),INDEX('calcA'!DR$110:DR$114,$F10+1)+IF(AND($E10=1,NE10=0),1000,0)+IF($H10=1,INDEX('calcA'!$D$180:$EQ$219,$B10,119)*500,0)-IF(AND('calcA'!DQ$117=1,YO10&gt;0),300,0)-IF(AND($U10=1,'calcA'!DR$117=1,HQ10=0),300,0))),1000000000))</f>
        <v/>
      </c>
      <c r="SU10">
        <f>IF($B10=0,1000000000,IF(INDEX('calcA'!$D$60:$EQ$99,$B10,120)*IF($W10=1,HQ10+AEF10,HQ10)=1,IF(AND($E10=2,IF($W10=1,AJU10,NF10)=0),1000000000,IF($V10=1,INDEX('calcA'!$D$130:$EQ$169,$B10,120)+IF(AND($E10=1,NF10=0),25,0),INDEX('calcA'!DS$110:DS$114,$F10+1)+IF(AND($E10=1,NF10=0),1000,0)+IF($H10=1,INDEX('calcA'!$D$180:$EQ$219,$B10,120)*500,0)-IF(AND('calcA'!DR$117=1,YP10&gt;0),300,0))),1000000000))</f>
        <v/>
      </c>
      <c r="SV10">
        <f>IF($B10=0,1000000000,IF(INDEX('calcA'!$D$60:$EQ$99,$B10,121)*IF($W10=1,HR10+AEG10,HR10)=1,IF(AND($E10=2,IF($W10=1,AJV10,NG10)=0),1000000000,IF($V10=1,INDEX('calcA'!$D$130:$EQ$169,$B10,121)+IF(AND($E10=1,NG10=0),25,0),INDEX('calcA'!DT$110:DT$114,$F10+1)+IF(AND($E10=1,NG10=0),1000,0)+IF($H10=1,INDEX('calcA'!$D$180:$EQ$219,$B10,121)*500,0)-IF(AND($U10=1,'calcA'!DT$117=1,HS10=0),300,0))),1000000000))</f>
        <v/>
      </c>
      <c r="SW10">
        <f>IF($B10=0,1000000000,IF(INDEX('calcA'!$D$60:$EQ$99,$B10,122)*IF($W10=1,HS10+AEH10,HS10)=1,IF(AND($E10=2,IF($W10=1,AJW10,NH10)=0),1000000000,IF($V10=1,INDEX('calcA'!$D$130:$EQ$169,$B10,122)+IF(AND($E10=1,NH10=0),25,0),INDEX('calcA'!DU$110:DU$114,$F10+1)+IF(AND($E10=1,NH10=0),1000,0)+IF($H10=1,INDEX('calcA'!$D$180:$EQ$219,$B10,122)*500,0)-IF(AND('calcA'!DT$117=1,YR10&gt;0),300,0)-IF(AND($U10=1,'calcA'!DU$117=1,HT10=0),300,0))),1000000000))</f>
        <v/>
      </c>
      <c r="SX10">
        <f>IF($B10=0,1000000000,IF(INDEX('calcA'!$D$60:$EQ$99,$B10,123)*IF($W10=1,HT10+AEI10,HT10)=1,IF(AND($E10=2,IF($W10=1,AJX10,NI10)=0),1000000000,IF($V10=1,INDEX('calcA'!$D$130:$EQ$169,$B10,123)+IF(AND($E10=1,NI10=0),25,0),INDEX('calcA'!DV$110:DV$114,$F10+1)+IF(AND($E10=1,NI10=0),1000,0)+IF($H10=1,INDEX('calcA'!$D$180:$EQ$219,$B10,123)*500,0)-IF(AND('calcA'!DU$117=1,YS10&gt;0),300,0)-IF(AND($U10=1,'calcA'!DV$117=1,HU10=0),300,0))),1000000000))</f>
        <v/>
      </c>
      <c r="SY10">
        <f>IF($B10=0,1000000000,IF(INDEX('calcA'!$D$60:$EQ$99,$B10,124)*IF($W10=1,HU10+AEJ10,HU10)=1,IF(AND($E10=2,IF($W10=1,AJY10,NJ10)=0),1000000000,IF($V10=1,INDEX('calcA'!$D$130:$EQ$169,$B10,124)+IF(AND($E10=1,NJ10=0),25,0),INDEX('calcA'!DW$110:DW$114,$F10+1)+IF(AND($E10=1,NJ10=0),1000,0)+IF($H10=1,INDEX('calcA'!$D$180:$EQ$219,$B10,124)*500,0)-IF(AND('calcA'!DV$117=1,YT10&gt;0),300,0)-IF(AND($U10=1,'calcA'!DW$117=1,HV10=0),300,0))),1000000000))</f>
        <v/>
      </c>
      <c r="SZ10">
        <f>IF($B10=0,1000000000,IF(INDEX('calcA'!$D$60:$EQ$99,$B10,125)*IF($W10=1,HV10+AEK10,HV10)=1,IF(AND($E10=2,IF($W10=1,AJZ10,NK10)=0),1000000000,IF($V10=1,INDEX('calcA'!$D$130:$EQ$169,$B10,125)+IF(AND($E10=1,NK10=0),25,0),INDEX('calcA'!DX$110:DX$114,$F10+1)+IF(AND($E10=1,NK10=0),1000,0)+IF($H10=1,INDEX('calcA'!$D$180:$EQ$219,$B10,125)*500,0)-IF(AND('calcA'!DW$117=1,YU10&gt;0),300,0)-IF(AND($U10=1,'calcA'!DX$117=1,HW10=0),300,0))),1000000000))</f>
        <v/>
      </c>
      <c r="TA10">
        <f>IF($B10=0,1000000000,IF(INDEX('calcA'!$D$60:$EQ$99,$B10,126)*IF($W10=1,HW10+AEL10,HW10)=1,IF(AND($E10=2,IF($W10=1,AKA10,NL10)=0),1000000000,IF($V10=1,INDEX('calcA'!$D$130:$EQ$169,$B10,126)+IF(AND($E10=1,NL10=0),25,0),INDEX('calcA'!DY$110:DY$114,$F10+1)+IF(AND($E10=1,NL10=0),1000,0)+IF($H10=1,INDEX('calcA'!$D$180:$EQ$219,$B10,126)*500,0)-IF(AND('calcA'!DX$117=1,YV10&gt;0),300,0)-IF(AND($U10=1,'calcA'!DY$117=1,HX10=0),300,0))),1000000000))</f>
        <v/>
      </c>
      <c r="TB10">
        <f>IF($B10=0,1000000000,IF(INDEX('calcA'!$D$60:$EQ$99,$B10,127)*IF($W10=1,HX10+AEM10,HX10)=1,IF(AND($E10=2,IF($W10=1,AKB10,NM10)=0),1000000000,IF($V10=1,INDEX('calcA'!$D$130:$EQ$169,$B10,127)+IF(AND($E10=1,NM10=0),25,0),INDEX('calcA'!DZ$110:DZ$114,$F10+1)+IF(AND($E10=1,NM10=0),1000,0)+IF($H10=1,INDEX('calcA'!$D$180:$EQ$219,$B10,127)*500,0)-IF(AND('calcA'!DY$117=1,YW10&gt;0),300,0)-IF(AND($U10=1,'calcA'!DZ$117=1,HY10=0),300,0))),1000000000))</f>
        <v/>
      </c>
      <c r="TC10">
        <f>IF($B10=0,1000000000,IF(INDEX('calcA'!$D$60:$EQ$99,$B10,128)*IF($W10=1,HY10+AEN10,HY10)=1,IF(AND($E10=2,IF($W10=1,AKC10,NN10)=0),1000000000,IF($V10=1,INDEX('calcA'!$D$130:$EQ$169,$B10,128)+IF(AND($E10=1,NN10=0),25,0),INDEX('calcA'!EA$110:EA$114,$F10+1)+IF(AND($E10=1,NN10=0),1000,0)+IF($H10=1,INDEX('calcA'!$D$180:$EQ$219,$B10,128)*500,0)-IF(AND('calcA'!DZ$117=1,YX10&gt;0),300,0)-IF(AND($U10=1,'calcA'!EA$117=1,HZ10=0),300,0))),1000000000))</f>
        <v/>
      </c>
      <c r="TD10">
        <f>IF($B10=0,1000000000,IF(INDEX('calcA'!$D$60:$EQ$99,$B10,129)*IF($W10=1,HZ10+AEO10,HZ10)=1,IF(AND($E10=2,IF($W10=1,AKD10,NO10)=0),1000000000,IF($V10=1,INDEX('calcA'!$D$130:$EQ$169,$B10,129)+IF(AND($E10=1,NO10=0),25,0),INDEX('calcA'!EB$110:EB$114,$F10+1)+IF(AND($E10=1,NO10=0),1000,0)+IF($H10=1,INDEX('calcA'!$D$180:$EQ$219,$B10,129)*500,0)-IF(AND('calcA'!EA$117=1,YY10&gt;0),300,0)-IF(AND($U10=1,'calcA'!EB$117=1,IA10=0),300,0))),1000000000))</f>
        <v/>
      </c>
      <c r="TE10">
        <f>IF($B10=0,1000000000,IF(INDEX('calcA'!$D$60:$EQ$99,$B10,130)*IF($W10=1,IA10+AEP10,IA10)=1,IF(AND($E10=2,IF($W10=1,AKE10,NP10)=0),1000000000,IF($V10=1,INDEX('calcA'!$D$130:$EQ$169,$B10,130)+IF(AND($E10=1,NP10=0),25,0),INDEX('calcA'!EC$110:EC$114,$F10+1)+IF(AND($E10=1,NP10=0),1000,0)+IF($H10=1,INDEX('calcA'!$D$180:$EQ$219,$B10,130)*500,0)-IF(AND('calcA'!EB$117=1,YZ10&gt;0),300,0)-IF(AND($U10=1,'calcA'!EC$117=1,IB10=0),300,0))),1000000000))</f>
        <v/>
      </c>
      <c r="TF10">
        <f>IF($B10=0,1000000000,IF(INDEX('calcA'!$D$60:$EQ$99,$B10,131)*IF($W10=1,IB10+AEQ10,IB10)=1,IF(AND($E10=2,IF($W10=1,AKF10,NQ10)=0),1000000000,IF($V10=1,INDEX('calcA'!$D$130:$EQ$169,$B10,131)+IF(AND($E10=1,NQ10=0),25,0),INDEX('calcA'!ED$110:ED$114,$F10+1)+IF(AND($E10=1,NQ10=0),1000,0)+IF($H10=1,INDEX('calcA'!$D$180:$EQ$219,$B10,131)*500,0)-IF(AND('calcA'!EC$117=1,ZA10&gt;0),300,0)-IF(AND($U10=1,'calcA'!ED$117=1,IC10=0),300,0))),1000000000))</f>
        <v/>
      </c>
      <c r="TG10">
        <f>IF($B10=0,1000000000,IF(INDEX('calcA'!$D$60:$EQ$99,$B10,132)*IF($W10=1,IC10+AER10,IC10)=1,IF(AND($E10=2,IF($W10=1,AKG10,NR10)=0),1000000000,IF($V10=1,INDEX('calcA'!$D$130:$EQ$169,$B10,132)+IF(AND($E10=1,NR10=0),25,0),INDEX('calcA'!EE$110:EE$114,$F10+1)+IF(AND($E10=1,NR10=0),1000,0)+IF($H10=1,INDEX('calcA'!$D$180:$EQ$219,$B10,132)*500,0)-IF(AND('calcA'!ED$117=1,ZB10&gt;0),300,0)-IF(AND($U10=1,'calcA'!EE$117=1,ID10=0),300,0))),1000000000))</f>
        <v/>
      </c>
      <c r="TH10">
        <f>IF($B10=0,1000000000,IF(INDEX('calcA'!$D$60:$EQ$99,$B10,133)*IF($W10=1,ID10+AES10,ID10)=1,IF(AND($E10=2,IF($W10=1,AKH10,NS10)=0),1000000000,IF($V10=1,INDEX('calcA'!$D$130:$EQ$169,$B10,133)+IF(AND($E10=1,NS10=0),25,0),INDEX('calcA'!EF$110:EF$114,$F10+1)+IF(AND($E10=1,NS10=0),1000,0)+IF($H10=1,INDEX('calcA'!$D$180:$EQ$219,$B10,133)*500,0)-IF(AND('calcA'!EE$117=1,ZC10&gt;0),300,0)-IF(AND($U10=1,'calcA'!EF$117=1,IE10=0),300,0))),1000000000))</f>
        <v/>
      </c>
      <c r="TI10">
        <f>IF($B10=0,1000000000,IF(INDEX('calcA'!$D$60:$EQ$99,$B10,134)*IF($W10=1,IE10+AET10,IE10)=1,IF(AND($E10=2,IF($W10=1,AKI10,NT10)=0),1000000000,IF($V10=1,INDEX('calcA'!$D$130:$EQ$169,$B10,134)+IF(AND($E10=1,NT10=0),25,0),INDEX('calcA'!EG$110:EG$114,$F10+1)+IF(AND($E10=1,NT10=0),1000,0)+IF($H10=1,INDEX('calcA'!$D$180:$EQ$219,$B10,134)*500,0)-IF(AND('calcA'!EF$117=1,ZD10&gt;0),300,0)-IF(AND($U10=1,'calcA'!EG$117=1,IF10=0),300,0))),1000000000))</f>
        <v/>
      </c>
      <c r="TJ10">
        <f>IF($B10=0,1000000000,IF(INDEX('calcA'!$D$60:$EQ$99,$B10,135)*IF($W10=1,IF10+AEU10,IF10)=1,IF(AND($E10=2,IF($W10=1,AKJ10,NU10)=0),1000000000,IF($V10=1,INDEX('calcA'!$D$130:$EQ$169,$B10,135)+IF(AND($E10=1,NU10=0),25,0),INDEX('calcA'!EH$110:EH$114,$F10+1)+IF(AND($E10=1,NU10=0),1000,0)+IF($H10=1,INDEX('calcA'!$D$180:$EQ$219,$B10,135)*500,0)-IF(AND('calcA'!EG$117=1,ZE10&gt;0),300,0)-IF(AND($U10=1,'calcA'!EH$117=1,IG10=0),300,0))),1000000000))</f>
        <v/>
      </c>
      <c r="TK10">
        <f>IF($B10=0,1000000000,IF(INDEX('calcA'!$D$60:$EQ$99,$B10,136)*IF($W10=1,IG10+AEV10,IG10)=1,IF(AND($E10=2,IF($W10=1,AKK10,NV10)=0),1000000000,IF($V10=1,INDEX('calcA'!$D$130:$EQ$169,$B10,136)+IF(AND($E10=1,NV10=0),25,0),INDEX('calcA'!EI$110:EI$114,$F10+1)+IF(AND($E10=1,NV10=0),1000,0)+IF($H10=1,INDEX('calcA'!$D$180:$EQ$219,$B10,136)*500,0)-IF(AND('calcA'!EH$117=1,ZF10&gt;0),300,0)-IF(AND($U10=1,'calcA'!EI$117=1,IH10=0),300,0))),1000000000))</f>
        <v/>
      </c>
      <c r="TL10">
        <f>IF($B10=0,1000000000,IF(INDEX('calcA'!$D$60:$EQ$99,$B10,137)*IF($W10=1,IH10+AEW10,IH10)=1,IF(AND($E10=2,IF($W10=1,AKL10,NW10)=0),1000000000,IF($V10=1,INDEX('calcA'!$D$130:$EQ$169,$B10,137)+IF(AND($E10=1,NW10=0),25,0),INDEX('calcA'!EJ$110:EJ$114,$F10+1)+IF(AND($E10=1,NW10=0),1000,0)+IF($H10=1,INDEX('calcA'!$D$180:$EQ$219,$B10,137)*500,0)-IF(AND('calcA'!EI$117=1,ZG10&gt;0),300,0)-IF(AND($U10=1,'calcA'!EJ$117=1,II10=0),300,0))),1000000000))</f>
        <v/>
      </c>
      <c r="TM10">
        <f>IF($B10=0,1000000000,IF(INDEX('calcA'!$D$60:$EQ$99,$B10,138)*IF($W10=1,II10+AEX10,II10)=1,IF(AND($E10=2,IF($W10=1,AKM10,NX10)=0),1000000000,IF($V10=1,INDEX('calcA'!$D$130:$EQ$169,$B10,138)+IF(AND($E10=1,NX10=0),25,0),INDEX('calcA'!EK$110:EK$114,$F10+1)+IF(AND($E10=1,NX10=0),1000,0)+IF($H10=1,INDEX('calcA'!$D$180:$EQ$219,$B10,138)*500,0)-IF(AND('calcA'!EJ$117=1,ZH10&gt;0),300,0)-IF(AND($U10=1,'calcA'!EK$117=1,IJ10=0),300,0))),1000000000))</f>
        <v/>
      </c>
      <c r="TN10">
        <f>IF($B10=0,1000000000,IF(INDEX('calcA'!$D$60:$EQ$99,$B10,139)*IF($W10=1,IJ10+AEY10,IJ10)=1,IF(AND($E10=2,IF($W10=1,AKN10,NY10)=0),1000000000,IF($V10=1,INDEX('calcA'!$D$130:$EQ$169,$B10,139)+IF(AND($E10=1,NY10=0),25,0),INDEX('calcA'!EL$110:EL$114,$F10+1)+IF(AND($E10=1,NY10=0),1000,0)+IF($H10=1,INDEX('calcA'!$D$180:$EQ$219,$B10,139)*500,0)-IF(AND('calcA'!EK$117=1,ZI10&gt;0),300,0)-IF(AND($U10=1,'calcA'!EL$117=1,IK10=0),300,0))),1000000000))</f>
        <v/>
      </c>
      <c r="TO10">
        <f>IF($B10=0,1000000000,IF(INDEX('calcA'!$D$60:$EQ$99,$B10,140)*IF($W10=1,IK10+AEZ10,IK10)=1,IF(AND($E10=2,IF($W10=1,AKO10,NZ10)=0),1000000000,IF($V10=1,INDEX('calcA'!$D$130:$EQ$169,$B10,140)+IF(AND($E10=1,NZ10=0),25,0),INDEX('calcA'!EM$110:EM$114,$F10+1)+IF(AND($E10=1,NZ10=0),1000,0)+IF($H10=1,INDEX('calcA'!$D$180:$EQ$219,$B10,140)*500,0)-IF(AND('calcA'!EL$117=1,ZJ10&gt;0),300,0)-IF(AND($U10=1,'calcA'!EM$117=1,IL10=0),300,0))),1000000000))</f>
        <v/>
      </c>
      <c r="TP10">
        <f>IF($B10=0,1000000000,IF(INDEX('calcA'!$D$60:$EQ$99,$B10,141)*IF($W10=1,IL10+AFA10,IL10)=1,IF(AND($E10=2,IF($W10=1,AKP10,OA10)=0),1000000000,IF($V10=1,INDEX('calcA'!$D$130:$EQ$169,$B10,141)+IF(AND($E10=1,OA10=0),25,0),INDEX('calcA'!EN$110:EN$114,$F10+1)+IF(AND($E10=1,OA10=0),1000,0)+IF($H10=1,INDEX('calcA'!$D$180:$EQ$219,$B10,141)*500,0)-IF(AND('calcA'!EM$117=1,ZK10&gt;0),300,0)-IF(AND($U10=1,'calcA'!EN$117=1,IM10=0),300,0))),1000000000))</f>
        <v/>
      </c>
      <c r="TQ10">
        <f>IF($B10=0,1000000000,IF(INDEX('calcA'!$D$60:$EQ$99,$B10,142)*IF($W10=1,IM10+AFB10,IM10)=1,IF(AND($E10=2,IF($W10=1,AKQ10,OB10)=0),1000000000,IF($V10=1,INDEX('calcA'!$D$130:$EQ$169,$B10,142)+IF(AND($E10=1,OB10=0),25,0),INDEX('calcA'!EO$110:EO$114,$F10+1)+IF(AND($E10=1,OB10=0),1000,0)+IF($H10=1,INDEX('calcA'!$D$180:$EQ$219,$B10,142)*500,0)-IF(AND('calcA'!EN$117=1,ZL10&gt;0),300,0)-IF(AND($U10=1,'calcA'!EO$117=1,IN10=0),300,0))),1000000000))</f>
        <v/>
      </c>
      <c r="TR10">
        <f>IF($B10=0,1000000000,IF(INDEX('calcA'!$D$60:$EQ$99,$B10,143)*IF($W10=1,IN10+AFC10,IN10)=1,IF(AND($E10=2,IF($W10=1,AKR10,OC10)=0),1000000000,IF($V10=1,INDEX('calcA'!$D$130:$EQ$169,$B10,143)+IF(AND($E10=1,OC10=0),25,0),INDEX('calcA'!EP$110:EP$114,$F10+1)+IF(AND($E10=1,OC10=0),1000,0)+IF($H10=1,INDEX('calcA'!$D$180:$EQ$219,$B10,143)*500,0)-IF(AND('calcA'!EO$117=1,ZM10&gt;0),300,0)-IF(AND($U10=1,'calcA'!EP$117=1,IO10=0),300,0))),1000000000))</f>
        <v/>
      </c>
      <c r="TS10">
        <f>IF($B10=0,1000000000,IF(INDEX('calcA'!$D$60:$EQ$99,$B10,144)*IF($W10=1,IO10+AFD10,IO10)=1,IF(AND($E10=2,IF($W10=1,AKS10,OD10)=0),1000000000,IF($V10=1,INDEX('calcA'!$D$130:$EQ$169,$B10,144)+IF(AND($E10=1,OD10=0),25,0),INDEX('calcA'!EQ$110:EQ$114,$F10+1)+IF(AND($E10=1,OD10=0),1000,0)+IF($H10=1,INDEX('calcA'!$D$180:$EQ$219,$B10,144)*500,0)-IF(AND('calcA'!EP$117=1,ZN10&gt;0),300,0))),1000000000))</f>
        <v/>
      </c>
      <c r="UB10">
        <f>UB9+IF(AND($C9=1,$U9=1),1,0)</f>
        <v/>
      </c>
      <c r="UC10">
        <f>UC9+IF(AND($C9=2,$U9=1),1,0)</f>
        <v/>
      </c>
      <c r="UD10">
        <f>UD9+IF(AND($C9=3,$U9=1),1,0)</f>
        <v/>
      </c>
      <c r="UE10">
        <f>UE9+IF(AND($C9=4,$U9=1),1,0)</f>
        <v/>
      </c>
      <c r="UF10">
        <f>UF9+IF(AND($C9=5,$U9=1),1,0)</f>
        <v/>
      </c>
      <c r="UG10">
        <f>UG9+IF(AND($C9=6,$U9=1),1,0)</f>
        <v/>
      </c>
      <c r="UH10">
        <f>UH9+IF(AND($C9=7,$U9=1),1,0)</f>
        <v/>
      </c>
      <c r="UI10">
        <f>UI9+IF(AND($C9=8,$U9=1),1,0)</f>
        <v/>
      </c>
      <c r="UJ10">
        <f>UJ9+IF(AND($C9=9,$U9=1),1,0)</f>
        <v/>
      </c>
      <c r="UK10">
        <f>UK9+IF(AND($C9=10,$U9=1),1,0)</f>
        <v/>
      </c>
      <c r="UL10">
        <f>UL9+IF(AND($C9=11,$U9=1),1,0)</f>
        <v/>
      </c>
      <c r="UM10">
        <f>UM9+IF(AND($C9=12,$U9=1),1,0)</f>
        <v/>
      </c>
      <c r="UN10">
        <f>UN9+IF(AND($C9=13,$U9=1),1,0)</f>
        <v/>
      </c>
      <c r="UO10">
        <f>UO9+IF(AND($C9=14,$U9=1),1,0)</f>
        <v/>
      </c>
      <c r="UP10">
        <f>UP9+IF(AND($C9=15,$U9=1),1,0)</f>
        <v/>
      </c>
      <c r="UQ10">
        <f>UQ9+IF(AND($C9=16,$U9=1),1,0)</f>
        <v/>
      </c>
      <c r="UR10">
        <f>UR9+IF(AND($C9=17,$U9=1),1,0)</f>
        <v/>
      </c>
      <c r="US10">
        <f>US9+IF(AND($C9=18,$U9=1),1,0)</f>
        <v/>
      </c>
      <c r="UT10">
        <f>UT9+IF(AND($C9=19,$U9=1),1,0)</f>
        <v/>
      </c>
      <c r="UU10">
        <f>UU9+IF(AND($C9=20,$U9=1),1,0)</f>
        <v/>
      </c>
      <c r="UV10">
        <f>UV9+IF(AND($C9=21,$U9=1),1,0)</f>
        <v/>
      </c>
      <c r="UW10">
        <f>UW9+IF(AND($C9=22,$U9=1),1,0)</f>
        <v/>
      </c>
      <c r="UX10">
        <f>UX9+IF(AND($C9=23,$U9=1),1,0)</f>
        <v/>
      </c>
      <c r="UY10">
        <f>UY9+IF(AND($C9=24,$U9=1),1,0)</f>
        <v/>
      </c>
      <c r="UZ10">
        <f>UZ9+IF(AND($C9=25,$U9=1),1,0)</f>
        <v/>
      </c>
      <c r="VA10">
        <f>VA9+IF(AND($C9=26,$U9=1),1,0)</f>
        <v/>
      </c>
      <c r="VB10">
        <f>VB9+IF(AND($C9=27,$U9=1),1,0)</f>
        <v/>
      </c>
      <c r="VC10">
        <f>VC9+IF(AND($C9=28,$U9=1),1,0)</f>
        <v/>
      </c>
      <c r="VD10">
        <f>VD9+IF(AND($C9=29,$U9=1),1,0)</f>
        <v/>
      </c>
      <c r="VE10">
        <f>VE9+IF(AND($C9=30,$U9=1),1,0)</f>
        <v/>
      </c>
      <c r="VF10">
        <f>VF9+IF(AND($C9=31,$U9=1),1,0)</f>
        <v/>
      </c>
      <c r="VG10">
        <f>VG9+IF(AND($C9=32,$U9=1),1,0)</f>
        <v/>
      </c>
      <c r="VH10">
        <f>VH9+IF(AND($C9=33,$U9=1),1,0)</f>
        <v/>
      </c>
      <c r="VI10">
        <f>VI9+IF(AND($C9=34,$U9=1),1,0)</f>
        <v/>
      </c>
      <c r="VJ10">
        <f>VJ9+IF(AND($C9=35,$U9=1),1,0)</f>
        <v/>
      </c>
      <c r="VK10">
        <f>VK9+IF(AND($C9=36,$U9=1),1,0)</f>
        <v/>
      </c>
      <c r="VL10">
        <f>VL9+IF(AND($C9=37,$U9=1),1,0)</f>
        <v/>
      </c>
      <c r="VM10">
        <f>VM9+IF(AND($C9=38,$U9=1),1,0)</f>
        <v/>
      </c>
      <c r="VN10">
        <f>VN9+IF(AND($C9=39,$U9=1),1,0)</f>
        <v/>
      </c>
      <c r="VO10">
        <f>VO9+IF(AND($C9=40,$U9=1),1,0)</f>
        <v/>
      </c>
      <c r="VP10">
        <f>VP9+IF(AND($C9=41,$U9=1),1,0)</f>
        <v/>
      </c>
      <c r="VQ10">
        <f>VQ9+IF(AND($C9=42,$U9=1),1,0)</f>
        <v/>
      </c>
      <c r="VR10">
        <f>VR9+IF(AND($C9=43,$U9=1),1,0)</f>
        <v/>
      </c>
      <c r="VS10">
        <f>VS9+IF(AND($C9=44,$U9=1),1,0)</f>
        <v/>
      </c>
      <c r="VT10">
        <f>VT9+IF(AND($C9=45,$U9=1),1,0)</f>
        <v/>
      </c>
      <c r="VU10">
        <f>VU9+IF(AND($C9=46,$U9=1),1,0)</f>
        <v/>
      </c>
      <c r="VV10">
        <f>VV9+IF(AND($C9=47,$U9=1),1,0)</f>
        <v/>
      </c>
      <c r="VW10">
        <f>VW9+IF(AND($C9=48,$U9=1),1,0)</f>
        <v/>
      </c>
      <c r="VX10">
        <f>VX9+IF(AND($C9=49,$U9=1),1,0)</f>
        <v/>
      </c>
      <c r="VY10">
        <f>VY9+IF(AND($C9=50,$U9=1),1,0)</f>
        <v/>
      </c>
      <c r="VZ10">
        <f>VZ9+IF(AND($C9=51,$U9=1),1,0)</f>
        <v/>
      </c>
      <c r="WA10">
        <f>WA9+IF(AND($C9=52,$U9=1),1,0)</f>
        <v/>
      </c>
      <c r="WB10">
        <f>WB9+IF(AND($C9=53,$U9=1),1,0)</f>
        <v/>
      </c>
      <c r="WC10">
        <f>WC9+IF(AND($C9=54,$U9=1),1,0)</f>
        <v/>
      </c>
      <c r="WD10">
        <f>WD9+IF(AND($C9=55,$U9=1),1,0)</f>
        <v/>
      </c>
      <c r="WE10">
        <f>WE9+IF(AND($C9=56,$U9=1),1,0)</f>
        <v/>
      </c>
      <c r="WF10">
        <f>WF9+IF(AND($C9=57,$U9=1),1,0)</f>
        <v/>
      </c>
      <c r="WG10">
        <f>WG9+IF(AND($C9=58,$U9=1),1,0)</f>
        <v/>
      </c>
      <c r="WH10">
        <f>WH9+IF(AND($C9=59,$U9=1),1,0)</f>
        <v/>
      </c>
      <c r="WI10">
        <f>WI9+IF(AND($C9=60,$U9=1),1,0)</f>
        <v/>
      </c>
      <c r="WJ10">
        <f>WJ9+IF(AND($C9=61,$U9=1),1,0)</f>
        <v/>
      </c>
      <c r="WK10">
        <f>WK9+IF(AND($C9=62,$U9=1),1,0)</f>
        <v/>
      </c>
      <c r="WL10">
        <f>WL9+IF(AND($C9=63,$U9=1),1,0)</f>
        <v/>
      </c>
      <c r="WM10">
        <f>WM9+IF(AND($C9=64,$U9=1),1,0)</f>
        <v/>
      </c>
      <c r="WN10">
        <f>WN9+IF(AND($C9=65,$U9=1),1,0)</f>
        <v/>
      </c>
      <c r="WO10">
        <f>WO9+IF(AND($C9=66,$U9=1),1,0)</f>
        <v/>
      </c>
      <c r="WP10">
        <f>WP9+IF(AND($C9=67,$U9=1),1,0)</f>
        <v/>
      </c>
      <c r="WQ10">
        <f>WQ9+IF(AND($C9=68,$U9=1),1,0)</f>
        <v/>
      </c>
      <c r="WR10">
        <f>WR9+IF(AND($C9=69,$U9=1),1,0)</f>
        <v/>
      </c>
      <c r="WS10">
        <f>WS9+IF(AND($C9=70,$U9=1),1,0)</f>
        <v/>
      </c>
      <c r="WT10">
        <f>WT9+IF(AND($C9=71,$U9=1),1,0)</f>
        <v/>
      </c>
      <c r="WU10">
        <f>WU9+IF(AND($C9=72,$U9=1),1,0)</f>
        <v/>
      </c>
      <c r="WV10">
        <f>WV9+IF(AND($C9=73,$U9=1),1,0)</f>
        <v/>
      </c>
      <c r="WW10">
        <f>WW9+IF(AND($C9=74,$U9=1),1,0)</f>
        <v/>
      </c>
      <c r="WX10">
        <f>WX9+IF(AND($C9=75,$U9=1),1,0)</f>
        <v/>
      </c>
      <c r="WY10">
        <f>WY9+IF(AND($C9=76,$U9=1),1,0)</f>
        <v/>
      </c>
      <c r="WZ10">
        <f>WZ9+IF(AND($C9=77,$U9=1),1,0)</f>
        <v/>
      </c>
      <c r="XA10">
        <f>XA9+IF(AND($C9=78,$U9=1),1,0)</f>
        <v/>
      </c>
      <c r="XB10">
        <f>XB9+IF(AND($C9=79,$U9=1),1,0)</f>
        <v/>
      </c>
      <c r="XC10">
        <f>XC9+IF(AND($C9=80,$U9=1),1,0)</f>
        <v/>
      </c>
      <c r="XD10">
        <f>XD9+IF(AND($C9=81,$U9=1),1,0)</f>
        <v/>
      </c>
      <c r="XE10">
        <f>XE9+IF(AND($C9=82,$U9=1),1,0)</f>
        <v/>
      </c>
      <c r="XF10">
        <f>XF9+IF(AND($C9=83,$U9=1),1,0)</f>
        <v/>
      </c>
      <c r="XG10">
        <f>XG9+IF(AND($C9=84,$U9=1),1,0)</f>
        <v/>
      </c>
      <c r="XH10">
        <f>XH9+IF(AND($C9=85,$U9=1),1,0)</f>
        <v/>
      </c>
      <c r="XI10">
        <f>XI9+IF(AND($C9=86,$U9=1),1,0)</f>
        <v/>
      </c>
      <c r="XJ10">
        <f>XJ9+IF(AND($C9=87,$U9=1),1,0)</f>
        <v/>
      </c>
      <c r="XK10">
        <f>XK9+IF(AND($C9=88,$U9=1),1,0)</f>
        <v/>
      </c>
      <c r="XL10">
        <f>XL9+IF(AND($C9=89,$U9=1),1,0)</f>
        <v/>
      </c>
      <c r="XM10">
        <f>XM9+IF(AND($C9=90,$U9=1),1,0)</f>
        <v/>
      </c>
      <c r="XN10">
        <f>XN9+IF(AND($C9=91,$U9=1),1,0)</f>
        <v/>
      </c>
      <c r="XO10">
        <f>XO9+IF(AND($C9=92,$U9=1),1,0)</f>
        <v/>
      </c>
      <c r="XP10">
        <f>XP9+IF(AND($C9=93,$U9=1),1,0)</f>
        <v/>
      </c>
      <c r="XQ10">
        <f>XQ9+IF(AND($C9=94,$U9=1),1,0)</f>
        <v/>
      </c>
      <c r="XR10">
        <f>XR9+IF(AND($C9=95,$U9=1),1,0)</f>
        <v/>
      </c>
      <c r="XS10">
        <f>XS9+IF(AND($C9=96,$U9=1),1,0)</f>
        <v/>
      </c>
      <c r="XT10">
        <f>XT9+IF(AND($C9=97,$U9=1),1,0)</f>
        <v/>
      </c>
      <c r="XU10">
        <f>XU9+IF(AND($C9=98,$U9=1),1,0)</f>
        <v/>
      </c>
      <c r="XV10">
        <f>XV9+IF(AND($C9=99,$U9=1),1,0)</f>
        <v/>
      </c>
      <c r="XW10">
        <f>XW9+IF(AND($C9=100,$U9=1),1,0)</f>
        <v/>
      </c>
      <c r="XX10">
        <f>XX9+IF(AND($C9=101,$U9=1),1,0)</f>
        <v/>
      </c>
      <c r="XY10">
        <f>XY9+IF(AND($C9=102,$U9=1),1,0)</f>
        <v/>
      </c>
      <c r="XZ10">
        <f>XZ9+IF(AND($C9=103,$U9=1),1,0)</f>
        <v/>
      </c>
      <c r="YA10">
        <f>YA9+IF(AND($C9=104,$U9=1),1,0)</f>
        <v/>
      </c>
      <c r="YB10">
        <f>YB9+IF(AND($C9=105,$U9=1),1,0)</f>
        <v/>
      </c>
      <c r="YC10">
        <f>YC9+IF(AND($C9=106,$U9=1),1,0)</f>
        <v/>
      </c>
      <c r="YD10">
        <f>YD9+IF(AND($C9=107,$U9=1),1,0)</f>
        <v/>
      </c>
      <c r="YE10">
        <f>YE9+IF(AND($C9=108,$U9=1),1,0)</f>
        <v/>
      </c>
      <c r="YF10">
        <f>YF9+IF(AND($C9=109,$U9=1),1,0)</f>
        <v/>
      </c>
      <c r="YG10">
        <f>YG9+IF(AND($C9=110,$U9=1),1,0)</f>
        <v/>
      </c>
      <c r="YH10">
        <f>YH9+IF(AND($C9=111,$U9=1),1,0)</f>
        <v/>
      </c>
      <c r="YI10">
        <f>YI9+IF(AND($C9=112,$U9=1),1,0)</f>
        <v/>
      </c>
      <c r="YJ10">
        <f>YJ9+IF(AND($C9=113,$U9=1),1,0)</f>
        <v/>
      </c>
      <c r="YK10">
        <f>YK9+IF(AND($C9=114,$U9=1),1,0)</f>
        <v/>
      </c>
      <c r="YL10">
        <f>YL9+IF(AND($C9=115,$U9=1),1,0)</f>
        <v/>
      </c>
      <c r="YM10">
        <f>YM9+IF(AND($C9=116,$U9=1),1,0)</f>
        <v/>
      </c>
      <c r="YN10">
        <f>YN9+IF(AND($C9=117,$U9=1),1,0)</f>
        <v/>
      </c>
      <c r="YO10">
        <f>YO9+IF(AND($C9=118,$U9=1),1,0)</f>
        <v/>
      </c>
      <c r="YP10">
        <f>YP9+IF(AND($C9=119,$U9=1),1,0)</f>
        <v/>
      </c>
      <c r="YQ10">
        <f>YQ9+IF(AND($C9=120,$U9=1),1,0)</f>
        <v/>
      </c>
      <c r="YR10">
        <f>YR9+IF(AND($C9=121,$U9=1),1,0)</f>
        <v/>
      </c>
      <c r="YS10">
        <f>YS9+IF(AND($C9=122,$U9=1),1,0)</f>
        <v/>
      </c>
      <c r="YT10">
        <f>YT9+IF(AND($C9=123,$U9=1),1,0)</f>
        <v/>
      </c>
      <c r="YU10">
        <f>YU9+IF(AND($C9=124,$U9=1),1,0)</f>
        <v/>
      </c>
      <c r="YV10">
        <f>YV9+IF(AND($C9=125,$U9=1),1,0)</f>
        <v/>
      </c>
      <c r="YW10">
        <f>YW9+IF(AND($C9=126,$U9=1),1,0)</f>
        <v/>
      </c>
      <c r="YX10">
        <f>YX9+IF(AND($C9=127,$U9=1),1,0)</f>
        <v/>
      </c>
      <c r="YY10">
        <f>YY9+IF(AND($C9=128,$U9=1),1,0)</f>
        <v/>
      </c>
      <c r="YZ10">
        <f>YZ9+IF(AND($C9=129,$U9=1),1,0)</f>
        <v/>
      </c>
      <c r="ZA10">
        <f>ZA9+IF(AND($C9=130,$U9=1),1,0)</f>
        <v/>
      </c>
      <c r="ZB10">
        <f>ZB9+IF(AND($C9=131,$U9=1),1,0)</f>
        <v/>
      </c>
      <c r="ZC10">
        <f>ZC9+IF(AND($C9=132,$U9=1),1,0)</f>
        <v/>
      </c>
      <c r="ZD10">
        <f>ZD9+IF(AND($C9=133,$U9=1),1,0)</f>
        <v/>
      </c>
      <c r="ZE10">
        <f>ZE9+IF(AND($C9=134,$U9=1),1,0)</f>
        <v/>
      </c>
      <c r="ZF10">
        <f>ZF9+IF(AND($C9=135,$U9=1),1,0)</f>
        <v/>
      </c>
      <c r="ZG10">
        <f>ZG9+IF(AND($C9=136,$U9=1),1,0)</f>
        <v/>
      </c>
      <c r="ZH10">
        <f>ZH9+IF(AND($C9=137,$U9=1),1,0)</f>
        <v/>
      </c>
      <c r="ZI10">
        <f>ZI9+IF(AND($C9=138,$U9=1),1,0)</f>
        <v/>
      </c>
      <c r="ZJ10">
        <f>ZJ9+IF(AND($C9=139,$U9=1),1,0)</f>
        <v/>
      </c>
      <c r="ZK10">
        <f>ZK9+IF(AND($C9=140,$U9=1),1,0)</f>
        <v/>
      </c>
      <c r="ZL10">
        <f>ZL9+IF(AND($C9=141,$U9=1),1,0)</f>
        <v/>
      </c>
      <c r="ZM10">
        <f>ZM9+IF(AND($C9=142,$U9=1),1,0)</f>
        <v/>
      </c>
      <c r="ZN10">
        <f>ZN9+IF(AND($C9=143,$U9=1),1,0)</f>
        <v/>
      </c>
      <c r="ZO10">
        <f>ZO9+IF(AND($C9=144,$U9=1),1,0)</f>
        <v/>
      </c>
      <c r="ZQ10">
        <f>IF($C9=1,0,ZQ9+IF(AND($G9=1,$E9=1),1,0))</f>
        <v/>
      </c>
      <c r="ZR10">
        <f>IF($C9=2,0,ZR9+IF(AND($G9=2,$E9=1),1,0))</f>
        <v/>
      </c>
      <c r="ZS10">
        <f>IF($C9=3,0,ZS9+IF(AND($G9=3,$E9=1),1,0))</f>
        <v/>
      </c>
      <c r="ZT10">
        <f>IF($C9=4,0,ZT9+IF(AND($G9=4,$E9=1),1,0))</f>
        <v/>
      </c>
      <c r="ZU10">
        <f>IF($C9=5,0,ZU9+IF(AND($G9=5,$E9=1),1,0))</f>
        <v/>
      </c>
      <c r="ZV10">
        <f>IF($C9=6,0,ZV9+IF(AND($G9=6,$E9=1),1,0))</f>
        <v/>
      </c>
      <c r="ZW10">
        <f>IF($C9=7,0,ZW9+IF(AND($G9=7,$E9=1),1,0))</f>
        <v/>
      </c>
      <c r="ZX10">
        <f>IF($C9=8,0,ZX9+IF(AND($G9=8,$E9=1),1,0))</f>
        <v/>
      </c>
      <c r="ZY10">
        <f>IF($C9=9,0,ZY9+IF(AND($G9=9,$E9=1),1,0))</f>
        <v/>
      </c>
      <c r="ZZ10">
        <f>IF($C9=10,0,ZZ9+IF(AND($G9=10,$E9=1),1,0))</f>
        <v/>
      </c>
      <c r="AAA10">
        <f>IF($C9=11,0,AAA9+IF(AND($G9=11,$E9=1),1,0))</f>
        <v/>
      </c>
      <c r="AAB10">
        <f>IF($C9=12,0,AAB9+IF(AND($G9=12,$E9=1),1,0))</f>
        <v/>
      </c>
      <c r="AAC10">
        <f>IF($C9=13,0,AAC9+IF(AND($G9=13,$E9=1),1,0))</f>
        <v/>
      </c>
      <c r="AAD10">
        <f>IF($C9=14,0,AAD9+IF(AND($G9=14,$E9=1),1,0))</f>
        <v/>
      </c>
      <c r="AAE10">
        <f>IF($C9=15,0,AAE9+IF(AND($G9=15,$E9=1),1,0))</f>
        <v/>
      </c>
      <c r="AAF10">
        <f>IF($C9=16,0,AAF9+IF(AND($G9=16,$E9=1),1,0))</f>
        <v/>
      </c>
      <c r="AAG10">
        <f>IF($C9=17,0,AAG9+IF(AND($G9=17,$E9=1),1,0))</f>
        <v/>
      </c>
      <c r="AAH10">
        <f>IF($C9=18,0,AAH9+IF(AND($G9=18,$E9=1),1,0))</f>
        <v/>
      </c>
      <c r="AAI10">
        <f>IF($C9=19,0,AAI9+IF(AND($G9=19,$E9=1),1,0))</f>
        <v/>
      </c>
      <c r="AAJ10">
        <f>IF($C9=20,0,AAJ9+IF(AND($G9=20,$E9=1),1,0))</f>
        <v/>
      </c>
      <c r="AAK10">
        <f>IF($C9=21,0,AAK9+IF(AND($G9=21,$E9=1),1,0))</f>
        <v/>
      </c>
      <c r="AAL10">
        <f>IF($C9=22,0,AAL9+IF(AND($G9=22,$E9=1),1,0))</f>
        <v/>
      </c>
      <c r="AAM10">
        <f>IF($C9=23,0,AAM9+IF(AND($G9=23,$E9=1),1,0))</f>
        <v/>
      </c>
      <c r="AAN10">
        <f>IF($C9=24,0,AAN9+IF(AND($G9=24,$E9=1),1,0))</f>
        <v/>
      </c>
      <c r="AAO10">
        <f>IF($C9=25,0,AAO9+IF(AND($G9=25,$E9=1),1,0))</f>
        <v/>
      </c>
      <c r="AAP10">
        <f>IF($C9=26,0,AAP9+IF(AND($G9=26,$E9=1),1,0))</f>
        <v/>
      </c>
      <c r="AAQ10">
        <f>IF($C9=27,0,AAQ9+IF(AND($G9=27,$E9=1),1,0))</f>
        <v/>
      </c>
      <c r="AAR10">
        <f>IF($C9=28,0,AAR9+IF(AND($G9=28,$E9=1),1,0))</f>
        <v/>
      </c>
      <c r="AAS10">
        <f>IF($C9=29,0,AAS9+IF(AND($G9=29,$E9=1),1,0))</f>
        <v/>
      </c>
      <c r="AAT10">
        <f>IF($C9=30,0,AAT9+IF(AND($G9=30,$E9=1),1,0))</f>
        <v/>
      </c>
      <c r="AAU10">
        <f>IF($C9=31,0,AAU9+IF(AND($G9=31,$E9=1),1,0))</f>
        <v/>
      </c>
      <c r="AAV10">
        <f>IF($C9=32,0,AAV9+IF(AND($G9=32,$E9=1),1,0))</f>
        <v/>
      </c>
      <c r="AAW10">
        <f>IF($C9=33,0,AAW9+IF(AND($G9=33,$E9=1),1,0))</f>
        <v/>
      </c>
      <c r="AAX10">
        <f>IF($C9=34,0,AAX9+IF(AND($G9=34,$E9=1),1,0))</f>
        <v/>
      </c>
      <c r="AAY10">
        <f>IF($C9=35,0,AAY9+IF(AND($G9=35,$E9=1),1,0))</f>
        <v/>
      </c>
      <c r="AAZ10">
        <f>IF($C9=36,0,AAZ9+IF(AND($G9=36,$E9=1),1,0))</f>
        <v/>
      </c>
      <c r="ABA10">
        <f>IF($C9=37,0,ABA9+IF(AND($G9=37,$E9=1),1,0))</f>
        <v/>
      </c>
      <c r="ABB10">
        <f>IF($C9=38,0,ABB9+IF(AND($G9=38,$E9=1),1,0))</f>
        <v/>
      </c>
      <c r="ABC10">
        <f>IF($C9=39,0,ABC9+IF(AND($G9=39,$E9=1),1,0))</f>
        <v/>
      </c>
      <c r="ABD10">
        <f>IF($C9=40,0,ABD9+IF(AND($G9=40,$E9=1),1,0))</f>
        <v/>
      </c>
      <c r="ABE10">
        <f>IF($C9=41,0,ABE9+IF(AND($G9=41,$E9=1),1,0))</f>
        <v/>
      </c>
      <c r="ABF10">
        <f>IF($C9=42,0,ABF9+IF(AND($G9=42,$E9=1),1,0))</f>
        <v/>
      </c>
      <c r="ABG10">
        <f>IF($C9=43,0,ABG9+IF(AND($G9=43,$E9=1),1,0))</f>
        <v/>
      </c>
      <c r="ABH10">
        <f>IF($C9=44,0,ABH9+IF(AND($G9=44,$E9=1),1,0))</f>
        <v/>
      </c>
      <c r="ABI10">
        <f>IF($C9=45,0,ABI9+IF(AND($G9=45,$E9=1),1,0))</f>
        <v/>
      </c>
      <c r="ABJ10">
        <f>IF($C9=46,0,ABJ9+IF(AND($G9=46,$E9=1),1,0))</f>
        <v/>
      </c>
      <c r="ABK10">
        <f>IF($C9=47,0,ABK9+IF(AND($G9=47,$E9=1),1,0))</f>
        <v/>
      </c>
      <c r="ABL10">
        <f>IF($C9=48,0,ABL9+IF(AND($G9=48,$E9=1),1,0))</f>
        <v/>
      </c>
      <c r="ABM10">
        <f>IF($C9=49,0,ABM9+IF(AND($G9=49,$E9=1),1,0))</f>
        <v/>
      </c>
      <c r="ABN10">
        <f>IF($C9=50,0,ABN9+IF(AND($G9=50,$E9=1),1,0))</f>
        <v/>
      </c>
      <c r="ABO10">
        <f>IF($C9=51,0,ABO9+IF(AND($G9=51,$E9=1),1,0))</f>
        <v/>
      </c>
      <c r="ABP10">
        <f>IF($C9=52,0,ABP9+IF(AND($G9=52,$E9=1),1,0))</f>
        <v/>
      </c>
      <c r="ABQ10">
        <f>IF($C9=53,0,ABQ9+IF(AND($G9=53,$E9=1),1,0))</f>
        <v/>
      </c>
      <c r="ABR10">
        <f>IF($C9=54,0,ABR9+IF(AND($G9=54,$E9=1),1,0))</f>
        <v/>
      </c>
      <c r="ABS10">
        <f>IF($C9=55,0,ABS9+IF(AND($G9=55,$E9=1),1,0))</f>
        <v/>
      </c>
      <c r="ABT10">
        <f>IF($C9=56,0,ABT9+IF(AND($G9=56,$E9=1),1,0))</f>
        <v/>
      </c>
      <c r="ABU10">
        <f>IF($C9=57,0,ABU9+IF(AND($G9=57,$E9=1),1,0))</f>
        <v/>
      </c>
      <c r="ABV10">
        <f>IF($C9=58,0,ABV9+IF(AND($G9=58,$E9=1),1,0))</f>
        <v/>
      </c>
      <c r="ABW10">
        <f>IF($C9=59,0,ABW9+IF(AND($G9=59,$E9=1),1,0))</f>
        <v/>
      </c>
      <c r="ABX10">
        <f>IF($C9=60,0,ABX9+IF(AND($G9=60,$E9=1),1,0))</f>
        <v/>
      </c>
      <c r="ABY10">
        <f>IF($C9=61,0,ABY9+IF(AND($G9=61,$E9=1),1,0))</f>
        <v/>
      </c>
      <c r="ABZ10">
        <f>IF($C9=62,0,ABZ9+IF(AND($G9=62,$E9=1),1,0))</f>
        <v/>
      </c>
      <c r="ACA10">
        <f>IF($C9=63,0,ACA9+IF(AND($G9=63,$E9=1),1,0))</f>
        <v/>
      </c>
      <c r="ACB10">
        <f>IF($C9=64,0,ACB9+IF(AND($G9=64,$E9=1),1,0))</f>
        <v/>
      </c>
      <c r="ACC10">
        <f>IF($C9=65,0,ACC9+IF(AND($G9=65,$E9=1),1,0))</f>
        <v/>
      </c>
      <c r="ACD10">
        <f>IF($C9=66,0,ACD9+IF(AND($G9=66,$E9=1),1,0))</f>
        <v/>
      </c>
      <c r="ACE10">
        <f>IF($C9=67,0,ACE9+IF(AND($G9=67,$E9=1),1,0))</f>
        <v/>
      </c>
      <c r="ACF10">
        <f>IF($C9=68,0,ACF9+IF(AND($G9=68,$E9=1),1,0))</f>
        <v/>
      </c>
      <c r="ACG10">
        <f>IF($C9=69,0,ACG9+IF(AND($G9=69,$E9=1),1,0))</f>
        <v/>
      </c>
      <c r="ACH10">
        <f>IF($C9=70,0,ACH9+IF(AND($G9=70,$E9=1),1,0))</f>
        <v/>
      </c>
      <c r="ACI10">
        <f>IF($C9=71,0,ACI9+IF(AND($G9=71,$E9=1),1,0))</f>
        <v/>
      </c>
      <c r="ACJ10">
        <f>IF($C9=72,0,ACJ9+IF(AND($G9=72,$E9=1),1,0))</f>
        <v/>
      </c>
      <c r="ACK10">
        <f>IF($C9=73,0,ACK9+IF(AND($G9=73,$E9=1),1,0))</f>
        <v/>
      </c>
      <c r="ACL10">
        <f>IF($C9=74,0,ACL9+IF(AND($G9=74,$E9=1),1,0))</f>
        <v/>
      </c>
      <c r="ACM10">
        <f>IF($C9=75,0,ACM9+IF(AND($G9=75,$E9=1),1,0))</f>
        <v/>
      </c>
      <c r="ACN10">
        <f>IF($C9=76,0,ACN9+IF(AND($G9=76,$E9=1),1,0))</f>
        <v/>
      </c>
      <c r="ACO10">
        <f>IF($C9=77,0,ACO9+IF(AND($G9=77,$E9=1),1,0))</f>
        <v/>
      </c>
      <c r="ACP10">
        <f>IF($C9=78,0,ACP9+IF(AND($G9=78,$E9=1),1,0))</f>
        <v/>
      </c>
      <c r="ACQ10">
        <f>IF($C9=79,0,ACQ9+IF(AND($G9=79,$E9=1),1,0))</f>
        <v/>
      </c>
      <c r="ACR10">
        <f>IF($C9=80,0,ACR9+IF(AND($G9=80,$E9=1),1,0))</f>
        <v/>
      </c>
      <c r="ACS10">
        <f>IF($C9=81,0,ACS9+IF(AND($G9=81,$E9=1),1,0))</f>
        <v/>
      </c>
      <c r="ACT10">
        <f>IF($C9=82,0,ACT9+IF(AND($G9=82,$E9=1),1,0))</f>
        <v/>
      </c>
      <c r="ACU10">
        <f>IF($C9=83,0,ACU9+IF(AND($G9=83,$E9=1),1,0))</f>
        <v/>
      </c>
      <c r="ACV10">
        <f>IF($C9=84,0,ACV9+IF(AND($G9=84,$E9=1),1,0))</f>
        <v/>
      </c>
      <c r="ACW10">
        <f>IF($C9=85,0,ACW9+IF(AND($G9=85,$E9=1),1,0))</f>
        <v/>
      </c>
      <c r="ACX10">
        <f>IF($C9=86,0,ACX9+IF(AND($G9=86,$E9=1),1,0))</f>
        <v/>
      </c>
      <c r="ACY10">
        <f>IF($C9=87,0,ACY9+IF(AND($G9=87,$E9=1),1,0))</f>
        <v/>
      </c>
      <c r="ACZ10">
        <f>IF($C9=88,0,ACZ9+IF(AND($G9=88,$E9=1),1,0))</f>
        <v/>
      </c>
      <c r="ADA10">
        <f>IF($C9=89,0,ADA9+IF(AND($G9=89,$E9=1),1,0))</f>
        <v/>
      </c>
      <c r="ADB10">
        <f>IF($C9=90,0,ADB9+IF(AND($G9=90,$E9=1),1,0))</f>
        <v/>
      </c>
      <c r="ADC10">
        <f>IF($C9=91,0,ADC9+IF(AND($G9=91,$E9=1),1,0))</f>
        <v/>
      </c>
      <c r="ADD10">
        <f>IF($C9=92,0,ADD9+IF(AND($G9=92,$E9=1),1,0))</f>
        <v/>
      </c>
      <c r="ADE10">
        <f>IF($C9=93,0,ADE9+IF(AND($G9=93,$E9=1),1,0))</f>
        <v/>
      </c>
      <c r="ADF10">
        <f>IF($C9=94,0,ADF9+IF(AND($G9=94,$E9=1),1,0))</f>
        <v/>
      </c>
      <c r="ADG10">
        <f>IF($C9=95,0,ADG9+IF(AND($G9=95,$E9=1),1,0))</f>
        <v/>
      </c>
      <c r="ADH10">
        <f>IF($C9=96,0,ADH9+IF(AND($G9=96,$E9=1),1,0))</f>
        <v/>
      </c>
      <c r="ADI10">
        <f>IF($C9=97,0,ADI9+IF(AND($G9=97,$E9=1),1,0))</f>
        <v/>
      </c>
      <c r="ADJ10">
        <f>IF($C9=98,0,ADJ9+IF(AND($G9=98,$E9=1),1,0))</f>
        <v/>
      </c>
      <c r="ADK10">
        <f>IF($C9=99,0,ADK9+IF(AND($G9=99,$E9=1),1,0))</f>
        <v/>
      </c>
      <c r="ADL10">
        <f>IF($C9=100,0,ADL9+IF(AND($G9=100,$E9=1),1,0))</f>
        <v/>
      </c>
      <c r="ADM10">
        <f>IF($C9=101,0,ADM9+IF(AND($G9=101,$E9=1),1,0))</f>
        <v/>
      </c>
      <c r="ADN10">
        <f>IF($C9=102,0,ADN9+IF(AND($G9=102,$E9=1),1,0))</f>
        <v/>
      </c>
      <c r="ADO10">
        <f>IF($C9=103,0,ADO9+IF(AND($G9=103,$E9=1),1,0))</f>
        <v/>
      </c>
      <c r="ADP10">
        <f>IF($C9=104,0,ADP9+IF(AND($G9=104,$E9=1),1,0))</f>
        <v/>
      </c>
      <c r="ADQ10">
        <f>IF($C9=105,0,ADQ9+IF(AND($G9=105,$E9=1),1,0))</f>
        <v/>
      </c>
      <c r="ADR10">
        <f>IF($C9=106,0,ADR9+IF(AND($G9=106,$E9=1),1,0))</f>
        <v/>
      </c>
      <c r="ADS10">
        <f>IF($C9=107,0,ADS9+IF(AND($G9=107,$E9=1),1,0))</f>
        <v/>
      </c>
      <c r="ADT10">
        <f>IF($C9=108,0,ADT9+IF(AND($G9=108,$E9=1),1,0))</f>
        <v/>
      </c>
      <c r="ADU10">
        <f>IF($C9=109,0,ADU9+IF(AND($G9=109,$E9=1),1,0))</f>
        <v/>
      </c>
      <c r="ADV10">
        <f>IF($C9=110,0,ADV9+IF(AND($G9=110,$E9=1),1,0))</f>
        <v/>
      </c>
      <c r="ADW10">
        <f>IF($C9=111,0,ADW9+IF(AND($G9=111,$E9=1),1,0))</f>
        <v/>
      </c>
      <c r="ADX10">
        <f>IF($C9=112,0,ADX9+IF(AND($G9=112,$E9=1),1,0))</f>
        <v/>
      </c>
      <c r="ADY10">
        <f>IF($C9=113,0,ADY9+IF(AND($G9=113,$E9=1),1,0))</f>
        <v/>
      </c>
      <c r="ADZ10">
        <f>IF($C9=114,0,ADZ9+IF(AND($G9=114,$E9=1),1,0))</f>
        <v/>
      </c>
      <c r="AEA10">
        <f>IF($C9=115,0,AEA9+IF(AND($G9=115,$E9=1),1,0))</f>
        <v/>
      </c>
      <c r="AEB10">
        <f>IF($C9=116,0,AEB9+IF(AND($G9=116,$E9=1),1,0))</f>
        <v/>
      </c>
      <c r="AEC10">
        <f>IF($C9=117,0,AEC9+IF(AND($G9=117,$E9=1),1,0))</f>
        <v/>
      </c>
      <c r="AED10">
        <f>IF($C9=118,0,AED9+IF(AND($G9=118,$E9=1),1,0))</f>
        <v/>
      </c>
      <c r="AEE10">
        <f>IF($C9=119,0,AEE9+IF(AND($G9=119,$E9=1),1,0))</f>
        <v/>
      </c>
      <c r="AEF10">
        <f>IF($C9=120,0,AEF9+IF(AND($G9=120,$E9=1),1,0))</f>
        <v/>
      </c>
      <c r="AEG10">
        <f>IF($C9=121,0,AEG9+IF(AND($G9=121,$E9=1),1,0))</f>
        <v/>
      </c>
      <c r="AEH10">
        <f>IF($C9=122,0,AEH9+IF(AND($G9=122,$E9=1),1,0))</f>
        <v/>
      </c>
      <c r="AEI10">
        <f>IF($C9=123,0,AEI9+IF(AND($G9=123,$E9=1),1,0))</f>
        <v/>
      </c>
      <c r="AEJ10">
        <f>IF($C9=124,0,AEJ9+IF(AND($G9=124,$E9=1),1,0))</f>
        <v/>
      </c>
      <c r="AEK10">
        <f>IF($C9=125,0,AEK9+IF(AND($G9=125,$E9=1),1,0))</f>
        <v/>
      </c>
      <c r="AEL10">
        <f>IF($C9=126,0,AEL9+IF(AND($G9=126,$E9=1),1,0))</f>
        <v/>
      </c>
      <c r="AEM10">
        <f>IF($C9=127,0,AEM9+IF(AND($G9=127,$E9=1),1,0))</f>
        <v/>
      </c>
      <c r="AEN10">
        <f>IF($C9=128,0,AEN9+IF(AND($G9=128,$E9=1),1,0))</f>
        <v/>
      </c>
      <c r="AEO10">
        <f>IF($C9=129,0,AEO9+IF(AND($G9=129,$E9=1),1,0))</f>
        <v/>
      </c>
      <c r="AEP10">
        <f>IF($C9=130,0,AEP9+IF(AND($G9=130,$E9=1),1,0))</f>
        <v/>
      </c>
      <c r="AEQ10">
        <f>IF($C9=131,0,AEQ9+IF(AND($G9=131,$E9=1),1,0))</f>
        <v/>
      </c>
      <c r="AER10">
        <f>IF($C9=132,0,AER9+IF(AND($G9=132,$E9=1),1,0))</f>
        <v/>
      </c>
      <c r="AES10">
        <f>IF($C9=133,0,AES9+IF(AND($G9=133,$E9=1),1,0))</f>
        <v/>
      </c>
      <c r="AET10">
        <f>IF($C9=134,0,AET9+IF(AND($G9=134,$E9=1),1,0))</f>
        <v/>
      </c>
      <c r="AEU10">
        <f>IF($C9=135,0,AEU9+IF(AND($G9=135,$E9=1),1,0))</f>
        <v/>
      </c>
      <c r="AEV10">
        <f>IF($C9=136,0,AEV9+IF(AND($G9=136,$E9=1),1,0))</f>
        <v/>
      </c>
      <c r="AEW10">
        <f>IF($C9=137,0,AEW9+IF(AND($G9=137,$E9=1),1,0))</f>
        <v/>
      </c>
      <c r="AEX10">
        <f>IF($C9=138,0,AEX9+IF(AND($G9=138,$E9=1),1,0))</f>
        <v/>
      </c>
      <c r="AEY10">
        <f>IF($C9=139,0,AEY9+IF(AND($G9=139,$E9=1),1,0))</f>
        <v/>
      </c>
      <c r="AEZ10">
        <f>IF($C9=140,0,AEZ9+IF(AND($G9=140,$E9=1),1,0))</f>
        <v/>
      </c>
      <c r="AFA10">
        <f>IF($C9=141,0,AFA9+IF(AND($G9=141,$E9=1),1,0))</f>
        <v/>
      </c>
      <c r="AFB10">
        <f>IF($C9=142,0,AFB9+IF(AND($G9=142,$E9=1),1,0))</f>
        <v/>
      </c>
      <c r="AFC10">
        <f>IF($C9=143,0,AFC9+IF(AND($G9=143,$E9=1),1,0))</f>
        <v/>
      </c>
      <c r="AFD10">
        <f>IF($C9=144,0,AFD9+IF(AND($G9=144,$E9=1),1,0))</f>
        <v/>
      </c>
      <c r="AFF10">
        <f>IF('calcA'!D$106=1,DC10+ZR10,1)</f>
        <v/>
      </c>
      <c r="AFG10">
        <f>IF('calcA'!E$106=1,DD10+ZS10,1)</f>
        <v/>
      </c>
      <c r="AFH10">
        <f>IF('calcA'!F$106=1,DE10+ZT10,1)</f>
        <v/>
      </c>
      <c r="AFI10">
        <f>IF('calcA'!G$106=1,DF10+ZU10,1)</f>
        <v/>
      </c>
      <c r="AFJ10">
        <f>IF('calcA'!H$106=1,DG10+ZV10,1)</f>
        <v/>
      </c>
      <c r="AFK10">
        <f>IF('calcA'!I$106=1,DH10+ZW10,1)</f>
        <v/>
      </c>
      <c r="AFL10">
        <f>IF('calcA'!J$106=1,DI10+ZX10,1)</f>
        <v/>
      </c>
      <c r="AFM10">
        <f>IF('calcA'!K$106=1,DJ10+ZY10,1)</f>
        <v/>
      </c>
      <c r="AFN10">
        <f>IF('calcA'!L$106=1,DK10+ZZ10,1)</f>
        <v/>
      </c>
      <c r="AFO10">
        <f>IF('calcA'!M$106=1,DL10+AAA10,1)</f>
        <v/>
      </c>
      <c r="AFP10">
        <f>IF('calcA'!N$106=1,DM10+AAB10,1)</f>
        <v/>
      </c>
      <c r="AFQ10">
        <f>IF('calcA'!O$106=1,DN10+AAC10,1)</f>
        <v/>
      </c>
      <c r="AFR10">
        <f>IF('calcA'!P$106=1,DO10+AAD10,1)</f>
        <v/>
      </c>
      <c r="AFS10">
        <f>IF('calcA'!Q$106=1,DP10+AAE10,1)</f>
        <v/>
      </c>
      <c r="AFT10">
        <f>IF('calcA'!R$106=1,DQ10+AAF10,1)</f>
        <v/>
      </c>
      <c r="AFU10">
        <f>IF('calcA'!S$106=1,DR10+AAG10,1)</f>
        <v/>
      </c>
      <c r="AFV10">
        <f>IF('calcA'!T$106=1,DS10+AAH10,1)</f>
        <v/>
      </c>
      <c r="AFW10">
        <f>IF('calcA'!U$106=1,DT10+AAI10,1)</f>
        <v/>
      </c>
      <c r="AFX10">
        <f>IF('calcA'!V$106=1,DU10+AAJ10,1)</f>
        <v/>
      </c>
      <c r="AFY10">
        <f>IF('calcA'!W$106=1,DV10+AAK10,1)</f>
        <v/>
      </c>
      <c r="AFZ10">
        <f>IF('calcA'!X$106=1,DW10+AAL10,1)</f>
        <v/>
      </c>
      <c r="AGA10">
        <f>IF('calcA'!Y$106=1,DX10+AAM10,1)</f>
        <v/>
      </c>
      <c r="AGB10">
        <f>IF('calcA'!Z$106=1,DY10+AAN10,1)</f>
        <v/>
      </c>
      <c r="AGC10">
        <f>IF('calcA'!AA$106=1,DZ10+AAO10,1)</f>
        <v/>
      </c>
      <c r="AGD10">
        <f>IF('calcA'!AB$106=1,EA10+AAP10,1)</f>
        <v/>
      </c>
      <c r="AGE10">
        <f>IF('calcA'!AC$106=1,EB10+AAQ10,1)</f>
        <v/>
      </c>
      <c r="AGF10">
        <f>IF('calcA'!AD$106=1,EC10+AAR10,1)</f>
        <v/>
      </c>
      <c r="AGG10">
        <f>IF('calcA'!AE$106=1,ED10+AAS10,1)</f>
        <v/>
      </c>
      <c r="AGH10">
        <f>IF('calcA'!AF$106=1,EE10+AAT10,1)</f>
        <v/>
      </c>
      <c r="AGI10">
        <f>IF('calcA'!AG$106=1,EF10+AAU10,1)</f>
        <v/>
      </c>
      <c r="AGJ10">
        <f>IF('calcA'!AH$106=1,EG10+AAV10,1)</f>
        <v/>
      </c>
      <c r="AGK10">
        <f>IF('calcA'!AI$106=1,EH10+AAW10,1)</f>
        <v/>
      </c>
      <c r="AGL10">
        <f>IF('calcA'!AJ$106=1,EI10+AAX10,1)</f>
        <v/>
      </c>
      <c r="AGM10">
        <f>IF('calcA'!AK$106=1,EJ10+AAY10,1)</f>
        <v/>
      </c>
      <c r="AGN10">
        <f>IF('calcA'!AL$106=1,EK10+AAZ10,1)</f>
        <v/>
      </c>
      <c r="AGO10">
        <f>IF('calcA'!AM$106=1,EL10+ABA10,1)</f>
        <v/>
      </c>
      <c r="AGP10">
        <f>IF('calcA'!AN$106=1,EM10+ABB10,1)</f>
        <v/>
      </c>
      <c r="AGQ10">
        <f>IF('calcA'!AO$106=1,EN10+ABC10,1)</f>
        <v/>
      </c>
      <c r="AGR10">
        <f>IF('calcA'!AP$106=1,EO10+ABD10,1)</f>
        <v/>
      </c>
      <c r="AGS10">
        <f>IF('calcA'!AQ$106=1,EP10+ABE10,1)</f>
        <v/>
      </c>
      <c r="AGT10">
        <f>IF('calcA'!AR$106=1,EQ10+ABF10,1)</f>
        <v/>
      </c>
      <c r="AGU10">
        <f>IF('calcA'!AS$106=1,ER10+ABG10,1)</f>
        <v/>
      </c>
      <c r="AGV10">
        <f>IF('calcA'!AT$106=1,ES10+ABH10,1)</f>
        <v/>
      </c>
      <c r="AGW10">
        <f>IF('calcA'!AU$106=1,ET10+ABI10,1)</f>
        <v/>
      </c>
      <c r="AGX10">
        <f>IF('calcA'!AV$106=1,EU10+ABJ10,1)</f>
        <v/>
      </c>
      <c r="AGY10">
        <f>IF('calcA'!AW$106=1,EV10+ABK10,1)</f>
        <v/>
      </c>
      <c r="AGZ10">
        <f>IF('calcA'!AX$106=1,EW10+ABL10,1)</f>
        <v/>
      </c>
      <c r="AHA10">
        <f>IF('calcA'!AY$106=1,EX10+ABM10,1)</f>
        <v/>
      </c>
      <c r="AHB10">
        <f>IF('calcA'!AZ$106=1,EY10+ABN10,1)</f>
        <v/>
      </c>
      <c r="AHC10">
        <f>IF('calcA'!BA$106=1,EZ10+ABO10,1)</f>
        <v/>
      </c>
      <c r="AHD10">
        <f>IF('calcA'!BB$106=1,FA10+ABP10,1)</f>
        <v/>
      </c>
      <c r="AHE10">
        <f>IF('calcA'!BC$106=1,FB10+ABQ10,1)</f>
        <v/>
      </c>
      <c r="AHF10">
        <f>IF('calcA'!BD$106=1,FC10+ABR10,1)</f>
        <v/>
      </c>
      <c r="AHG10">
        <f>IF('calcA'!BE$106=1,FD10+ABS10,1)</f>
        <v/>
      </c>
      <c r="AHH10">
        <f>IF('calcA'!BF$106=1,FE10+ABT10,1)</f>
        <v/>
      </c>
      <c r="AHI10">
        <f>IF('calcA'!BG$106=1,FF10+ABU10,1)</f>
        <v/>
      </c>
      <c r="AHJ10">
        <f>IF('calcA'!BH$106=1,FG10+ABV10,1)</f>
        <v/>
      </c>
      <c r="AHK10">
        <f>IF('calcA'!BI$106=1,FH10+ABW10,1)</f>
        <v/>
      </c>
      <c r="AHL10">
        <f>IF('calcA'!BJ$106=1,FI10+ABX10,1)</f>
        <v/>
      </c>
      <c r="AHM10">
        <f>IF('calcA'!BK$106=1,FJ10+ABY10,1)</f>
        <v/>
      </c>
      <c r="AHN10">
        <f>IF('calcA'!BL$106=1,FK10+ABZ10,1)</f>
        <v/>
      </c>
      <c r="AHO10">
        <f>IF('calcA'!BM$106=1,FL10+ACA10,1)</f>
        <v/>
      </c>
      <c r="AHP10">
        <f>IF('calcA'!BN$106=1,FM10+ACB10,1)</f>
        <v/>
      </c>
      <c r="AHQ10">
        <f>IF('calcA'!BO$106=1,FN10+ACC10,1)</f>
        <v/>
      </c>
      <c r="AHR10">
        <f>IF('calcA'!BP$106=1,FO10+ACD10,1)</f>
        <v/>
      </c>
      <c r="AHS10">
        <f>IF('calcA'!BQ$106=1,FP10+ACE10,1)</f>
        <v/>
      </c>
      <c r="AHT10">
        <f>IF('calcA'!BR$106=1,FQ10+ACF10,1)</f>
        <v/>
      </c>
      <c r="AHU10">
        <f>IF('calcA'!BS$106=1,FR10+ACG10,1)</f>
        <v/>
      </c>
      <c r="AHV10">
        <f>IF('calcA'!BT$106=1,FS10+ACH10,1)</f>
        <v/>
      </c>
      <c r="AHW10">
        <f>IF('calcA'!BU$106=1,FT10+ACI10,1)</f>
        <v/>
      </c>
      <c r="AHX10">
        <f>IF('calcA'!BV$106=1,FU10+ACJ10,1)</f>
        <v/>
      </c>
      <c r="AHY10">
        <f>IF('calcA'!BW$106=1,FV10+ACK10,1)</f>
        <v/>
      </c>
      <c r="AHZ10">
        <f>IF('calcA'!BX$106=1,FW10+ACL10,1)</f>
        <v/>
      </c>
      <c r="AIA10">
        <f>IF('calcA'!BY$106=1,FX10+ACM10,1)</f>
        <v/>
      </c>
      <c r="AIB10">
        <f>IF('calcA'!BZ$106=1,FY10+ACN10,1)</f>
        <v/>
      </c>
      <c r="AIC10">
        <f>IF('calcA'!CA$106=1,FZ10+ACO10,1)</f>
        <v/>
      </c>
      <c r="AID10">
        <f>IF('calcA'!CB$106=1,GA10+ACP10,1)</f>
        <v/>
      </c>
      <c r="AIE10">
        <f>IF('calcA'!CC$106=1,GB10+ACQ10,1)</f>
        <v/>
      </c>
      <c r="AIF10">
        <f>IF('calcA'!CD$106=1,GC10+ACR10,1)</f>
        <v/>
      </c>
      <c r="AIG10">
        <f>IF('calcA'!CE$106=1,GD10+ACS10,1)</f>
        <v/>
      </c>
      <c r="AIH10">
        <f>IF('calcA'!CF$106=1,GE10+ACT10,1)</f>
        <v/>
      </c>
      <c r="AII10">
        <f>IF('calcA'!CG$106=1,GF10+ACU10,1)</f>
        <v/>
      </c>
      <c r="AIJ10">
        <f>IF('calcA'!CH$106=1,GG10+ACV10,1)</f>
        <v/>
      </c>
      <c r="AIK10">
        <f>IF('calcA'!CI$106=1,GH10+ACW10,1)</f>
        <v/>
      </c>
      <c r="AIL10">
        <f>IF('calcA'!CJ$106=1,GI10+ACX10,1)</f>
        <v/>
      </c>
      <c r="AIM10">
        <f>IF('calcA'!CK$106=1,GJ10+ACY10,1)</f>
        <v/>
      </c>
      <c r="AIN10">
        <f>IF('calcA'!CL$106=1,GK10+ACZ10,1)</f>
        <v/>
      </c>
      <c r="AIO10">
        <f>IF('calcA'!CM$106=1,GL10+ADA10,1)</f>
        <v/>
      </c>
      <c r="AIP10">
        <f>IF('calcA'!CN$106=1,GM10+ADB10,1)</f>
        <v/>
      </c>
      <c r="AIQ10">
        <f>IF('calcA'!CO$106=1,GN10+ADC10,1)</f>
        <v/>
      </c>
      <c r="AIR10">
        <f>IF('calcA'!CP$106=1,GO10+ADD10,1)</f>
        <v/>
      </c>
      <c r="AIS10">
        <f>IF('calcA'!CQ$106=1,GP10+ADE10,1)</f>
        <v/>
      </c>
      <c r="AIT10">
        <f>IF('calcA'!CR$106=1,GQ10+ADF10,1)</f>
        <v/>
      </c>
      <c r="AIU10">
        <f>IF('calcA'!CS$106=1,GR10+ADG10,1)</f>
        <v/>
      </c>
      <c r="AIV10">
        <f>IF('calcA'!CT$106=1,GS10+ADH10,1)</f>
        <v/>
      </c>
      <c r="AIW10">
        <f>IF('calcA'!CU$106=1,GT10+ADI10,1)</f>
        <v/>
      </c>
      <c r="AIX10">
        <f>IF('calcA'!CV$106=1,GU10+ADJ10,1)</f>
        <v/>
      </c>
      <c r="AIY10">
        <f>IF('calcA'!CW$106=1,GV10+ADK10,1)</f>
        <v/>
      </c>
      <c r="AIZ10">
        <f>IF('calcA'!CX$106=1,GW10+ADL10,1)</f>
        <v/>
      </c>
      <c r="AJA10">
        <f>IF('calcA'!CY$106=1,GX10+ADM10,1)</f>
        <v/>
      </c>
      <c r="AJB10">
        <f>IF('calcA'!CZ$106=1,GY10+ADN10,1)</f>
        <v/>
      </c>
      <c r="AJC10">
        <f>IF('calcA'!DA$106=1,GZ10+ADO10,1)</f>
        <v/>
      </c>
      <c r="AJD10">
        <f>IF('calcA'!DB$106=1,HA10+ADP10,1)</f>
        <v/>
      </c>
      <c r="AJE10">
        <f>IF('calcA'!DC$106=1,HB10+ADQ10,1)</f>
        <v/>
      </c>
      <c r="AJF10">
        <f>IF('calcA'!DD$106=1,HC10+ADR10,1)</f>
        <v/>
      </c>
      <c r="AJG10">
        <f>IF('calcA'!DE$106=1,HD10+ADS10,1)</f>
        <v/>
      </c>
      <c r="AJH10">
        <f>IF('calcA'!DF$106=1,HE10+ADT10,1)</f>
        <v/>
      </c>
      <c r="AJI10">
        <f>IF('calcA'!DG$106=1,HF10+ADU10,1)</f>
        <v/>
      </c>
      <c r="AJJ10">
        <f>IF('calcA'!DH$106=1,HG10+ADV10,1)</f>
        <v/>
      </c>
      <c r="AJK10">
        <f>IF('calcA'!DI$106=1,HH10+ADW10,1)</f>
        <v/>
      </c>
      <c r="AJL10">
        <f>IF('calcA'!DJ$106=1,HI10+ADX10,1)</f>
        <v/>
      </c>
      <c r="AJM10">
        <f>IF('calcA'!DK$106=1,HJ10+ADY10,1)</f>
        <v/>
      </c>
      <c r="AJN10">
        <f>IF('calcA'!DL$106=1,HK10+ADZ10,1)</f>
        <v/>
      </c>
      <c r="AJO10">
        <f>IF('calcA'!DM$106=1,HL10+AEA10,1)</f>
        <v/>
      </c>
      <c r="AJP10">
        <f>IF('calcA'!DN$106=1,HM10+AEB10,1)</f>
        <v/>
      </c>
      <c r="AJQ10">
        <f>IF('calcA'!DO$106=1,HN10+AEC10,1)</f>
        <v/>
      </c>
      <c r="AJR10">
        <f>IF('calcA'!DP$106=1,HO10+AED10,1)</f>
        <v/>
      </c>
      <c r="AJS10">
        <f>IF('calcA'!DQ$106=1,HP10+AEE10,1)</f>
        <v/>
      </c>
      <c r="AJT10">
        <f>IF('calcA'!DR$106=1,HQ10+AEF10,1)</f>
        <v/>
      </c>
      <c r="AJU10">
        <f>IF('calcA'!DS$106=1,HR10+AEG10,1)</f>
        <v/>
      </c>
      <c r="AJV10">
        <f>IF('calcA'!DT$106=1,HS10+AEH10,1)</f>
        <v/>
      </c>
      <c r="AJW10">
        <f>IF('calcA'!DU$106=1,HT10+AEI10,1)</f>
        <v/>
      </c>
      <c r="AJX10">
        <f>IF('calcA'!DV$106=1,HU10+AEJ10,1)</f>
        <v/>
      </c>
      <c r="AJY10">
        <f>IF('calcA'!DW$106=1,HV10+AEK10,1)</f>
        <v/>
      </c>
      <c r="AJZ10">
        <f>IF('calcA'!DX$106=1,HW10+AEL10,1)</f>
        <v/>
      </c>
      <c r="AKA10">
        <f>IF('calcA'!DY$106=1,HX10+AEM10,1)</f>
        <v/>
      </c>
      <c r="AKB10">
        <f>IF('calcA'!DZ$106=1,HY10+AEN10,1)</f>
        <v/>
      </c>
      <c r="AKC10">
        <f>IF('calcA'!EA$106=1,HZ10+AEO10,1)</f>
        <v/>
      </c>
      <c r="AKD10">
        <f>IF('calcA'!EB$106=1,IA10+AEP10,1)</f>
        <v/>
      </c>
      <c r="AKE10">
        <f>IF('calcA'!EC$106=1,IB10+AEQ10,1)</f>
        <v/>
      </c>
      <c r="AKF10">
        <f>IF('calcA'!ED$106=1,IC10+AER10,1)</f>
        <v/>
      </c>
      <c r="AKG10">
        <f>IF('calcA'!EE$106=1,ID10+AES10,1)</f>
        <v/>
      </c>
      <c r="AKH10">
        <f>IF('calcA'!EF$106=1,IE10+AET10,1)</f>
        <v/>
      </c>
      <c r="AKI10">
        <f>IF('calcA'!EG$106=1,IF10+AEU10,1)</f>
        <v/>
      </c>
      <c r="AKJ10">
        <f>IF('calcA'!EH$106=1,IG10+AEV10,1)</f>
        <v/>
      </c>
      <c r="AKK10">
        <f>IF('calcA'!EI$106=1,IH10+AEW10,1)</f>
        <v/>
      </c>
      <c r="AKL10">
        <f>IF('calcA'!EJ$106=1,II10+AEX10,1)</f>
        <v/>
      </c>
      <c r="AKM10">
        <f>IF('calcA'!EK$106=1,IJ10+AEY10,1)</f>
        <v/>
      </c>
      <c r="AKN10">
        <f>IF('calcA'!EL$106=1,IK10+AEZ10,1)</f>
        <v/>
      </c>
      <c r="AKO10">
        <f>IF('calcA'!EM$106=1,IL10+AFA10,1)</f>
        <v/>
      </c>
      <c r="AKP10">
        <f>IF('calcA'!EN$106=1,IM10+AFB10,1)</f>
        <v/>
      </c>
      <c r="AKQ10">
        <f>IF('calcA'!EO$106=1,IN10+AFC10,1)</f>
        <v/>
      </c>
      <c r="AKR10">
        <f>IF('calcA'!EP$106=1,IO10+AFD10,1)</f>
        <v/>
      </c>
      <c r="AKS10" t="n">
        <v>1</v>
      </c>
    </row>
    <row r="11">
      <c r="A11" t="n">
        <v>9</v>
      </c>
      <c r="B11">
        <f>IF(MIN(BM11:CZ11)&gt;=1000000000,0,MATCH(MIN(BM11:CZ11),BM11:CZ11,0))</f>
        <v/>
      </c>
      <c r="C11">
        <f>IF(MIN(OF11:TS11)&gt;=1000000000,0,MATCH(MIN(OF11:TS11),OF11:TS11,0))</f>
        <v/>
      </c>
      <c r="D11">
        <f>IF(C11&gt;0,INDEX('calcA'!$D$5:$EQ$5,C11),0)</f>
        <v/>
      </c>
      <c r="E11">
        <f>IF(B11=0,0,INDEX('calcA'!$IQ$10:$IQ$54,B11))</f>
        <v/>
      </c>
      <c r="F11">
        <f>IF(B11=0,0,INDEX('calcA'!$IP$10:$IP$54,B11))</f>
        <v/>
      </c>
      <c r="G11">
        <f>IF(AND(C11&gt;0,E11&gt;0),IF(AND(INDEX('calcA'!$D$106:$EQ$106,C11)=1,INDEX($IQ11:$OD11,C11)=1),C11+1,0),0)</f>
        <v/>
      </c>
      <c r="H11">
        <f>IF(B11=0,0,INDEX('calcA'!$IW$10:$IW$54,B11))</f>
        <v/>
      </c>
      <c r="U11">
        <f>IF(B11=0,0,INDEX('calcA'!$IX$10:$IX$54,B11))</f>
        <v/>
      </c>
      <c r="V11">
        <f>IF(B11=0,0,INDEX('calcA'!$JF$10:$JF$54,B11))</f>
        <v/>
      </c>
      <c r="W11">
        <f>IF(B11=0,0,IF(IF(E11=2,SUMPRODUCT(INDEX('calcA'!$D$60:$EQ$99,B11,0),$DB11:$IO11,$IQ11:$OD11),SUMPRODUCT(INDEX('calcA'!$D$60:$EQ$99,B11,0),$DB11:$IO11))=0,1,0))</f>
        <v/>
      </c>
      <c r="X11">
        <f>MAX(X10,IF($B10=1,1,0))</f>
        <v/>
      </c>
      <c r="Y11">
        <f>MAX(Y10,IF($B10=2,1,0))</f>
        <v/>
      </c>
      <c r="Z11">
        <f>MAX(Z10,IF($B10=3,1,0))</f>
        <v/>
      </c>
      <c r="AA11">
        <f>MAX(AA10,IF($B10=4,1,0))</f>
        <v/>
      </c>
      <c r="AB11">
        <f>MAX(AB10,IF($B10=5,1,0))</f>
        <v/>
      </c>
      <c r="AC11">
        <f>MAX(AC10,IF($B10=6,1,0))</f>
        <v/>
      </c>
      <c r="AD11">
        <f>MAX(AD10,IF($B10=7,1,0))</f>
        <v/>
      </c>
      <c r="AE11">
        <f>MAX(AE10,IF($B10=8,1,0))</f>
        <v/>
      </c>
      <c r="AF11">
        <f>MAX(AF10,IF($B10=9,1,0))</f>
        <v/>
      </c>
      <c r="AG11">
        <f>MAX(AG10,IF($B10=10,1,0))</f>
        <v/>
      </c>
      <c r="AH11">
        <f>MAX(AH10,IF($B10=11,1,0))</f>
        <v/>
      </c>
      <c r="AI11">
        <f>MAX(AI10,IF($B10=12,1,0))</f>
        <v/>
      </c>
      <c r="AJ11">
        <f>MAX(AJ10,IF($B10=13,1,0))</f>
        <v/>
      </c>
      <c r="AK11">
        <f>MAX(AK10,IF($B10=14,1,0))</f>
        <v/>
      </c>
      <c r="AL11">
        <f>MAX(AL10,IF($B10=15,1,0))</f>
        <v/>
      </c>
      <c r="AM11">
        <f>MAX(AM10,IF($B10=16,1,0))</f>
        <v/>
      </c>
      <c r="AN11">
        <f>MAX(AN10,IF($B10=17,1,0))</f>
        <v/>
      </c>
      <c r="AO11">
        <f>MAX(AO10,IF($B10=18,1,0))</f>
        <v/>
      </c>
      <c r="AP11">
        <f>MAX(AP10,IF($B10=19,1,0))</f>
        <v/>
      </c>
      <c r="AQ11">
        <f>MAX(AQ10,IF($B10=20,1,0))</f>
        <v/>
      </c>
      <c r="AR11">
        <f>MAX(AR10,IF($B10=21,1,0))</f>
        <v/>
      </c>
      <c r="AS11">
        <f>MAX(AS10,IF($B10=22,1,0))</f>
        <v/>
      </c>
      <c r="AT11">
        <f>MAX(AT10,IF($B10=23,1,0))</f>
        <v/>
      </c>
      <c r="AU11">
        <f>MAX(AU10,IF($B10=24,1,0))</f>
        <v/>
      </c>
      <c r="AV11">
        <f>MAX(AV10,IF($B10=25,1,0))</f>
        <v/>
      </c>
      <c r="AW11">
        <f>MAX(AW10,IF($B10=26,1,0))</f>
        <v/>
      </c>
      <c r="AX11">
        <f>MAX(AX10,IF($B10=27,1,0))</f>
        <v/>
      </c>
      <c r="AY11">
        <f>MAX(AY10,IF($B10=28,1,0))</f>
        <v/>
      </c>
      <c r="AZ11">
        <f>MAX(AZ10,IF($B10=29,1,0))</f>
        <v/>
      </c>
      <c r="BA11">
        <f>MAX(BA10,IF($B10=30,1,0))</f>
        <v/>
      </c>
      <c r="BB11">
        <f>MAX(BB10,IF($B10=31,1,0))</f>
        <v/>
      </c>
      <c r="BC11">
        <f>MAX(BC10,IF($B10=32,1,0))</f>
        <v/>
      </c>
      <c r="BD11">
        <f>MAX(BD10,IF($B10=33,1,0))</f>
        <v/>
      </c>
      <c r="BE11">
        <f>MAX(BE10,IF($B10=34,1,0))</f>
        <v/>
      </c>
      <c r="BF11">
        <f>MAX(BF10,IF($B10=35,1,0))</f>
        <v/>
      </c>
      <c r="BG11">
        <f>MAX(BG10,IF($B10=36,1,0))</f>
        <v/>
      </c>
      <c r="BH11">
        <f>MAX(BH10,IF($B10=37,1,0))</f>
        <v/>
      </c>
      <c r="BI11">
        <f>MAX(BI10,IF($B10=38,1,0))</f>
        <v/>
      </c>
      <c r="BJ11">
        <f>MAX(BJ10,IF($B10=39,1,0))</f>
        <v/>
      </c>
      <c r="BK11">
        <f>MAX(BK10,IF($B10=40,1,0))</f>
        <v/>
      </c>
      <c r="BM11">
        <f>IF(OR(X11=1,calcA!$A$6=0),1000000000,IF('calcA'!$JF$10=1,0,100000000)+IF('calcA'!$IQ$10=2,SUMPRODUCT('calcA'!$D$60:$EQ$60,$DB11:$IO11,$IQ11:$OD11)*1000+SUMPRODUCT('calcA'!$D$60:$EQ$60,$DB11:$IO11+$ZQ11:$AFD11,$AFF11:$AKS11),SUMPRODUCT('calcA'!$D$60:$EQ$60,$DB11:$IO11*1001+$ZQ11:$AFD11))*100+1)</f>
        <v/>
      </c>
      <c r="BN11">
        <f>IF(OR(Y11=1,calcA!$A$6=0),1000000000,IF('calcA'!$JF$11=1,0,100000000)+IF('calcA'!$IQ$11=2,SUMPRODUCT('calcA'!$D$61:$EQ$61,$DB11:$IO11,$IQ11:$OD11)*1000+SUMPRODUCT('calcA'!$D$61:$EQ$61,$DB11:$IO11+$ZQ11:$AFD11,$AFF11:$AKS11),SUMPRODUCT('calcA'!$D$61:$EQ$61,$DB11:$IO11*1001+$ZQ11:$AFD11))*100+2)</f>
        <v/>
      </c>
      <c r="BO11">
        <f>IF(OR(Z11=1,calcA!$A$6=0),1000000000,IF('calcA'!$JF$12=1,0,100000000)+IF('calcA'!$IQ$12=2,SUMPRODUCT('calcA'!$D$62:$EQ$62,$DB11:$IO11,$IQ11:$OD11)*1000+SUMPRODUCT('calcA'!$D$62:$EQ$62,$DB11:$IO11+$ZQ11:$AFD11,$AFF11:$AKS11),SUMPRODUCT('calcA'!$D$62:$EQ$62,$DB11:$IO11*1001+$ZQ11:$AFD11))*100+3)</f>
        <v/>
      </c>
      <c r="BP11">
        <f>IF(OR(AA11=1,calcA!$A$6=0),1000000000,IF('calcA'!$JF$13=1,0,100000000)+IF('calcA'!$IQ$13=2,SUMPRODUCT('calcA'!$D$63:$EQ$63,$DB11:$IO11,$IQ11:$OD11)*1000+SUMPRODUCT('calcA'!$D$63:$EQ$63,$DB11:$IO11+$ZQ11:$AFD11,$AFF11:$AKS11),SUMPRODUCT('calcA'!$D$63:$EQ$63,$DB11:$IO11*1001+$ZQ11:$AFD11))*100+4)</f>
        <v/>
      </c>
      <c r="BQ11">
        <f>IF(OR(AB11=1,calcA!$A$6=0),1000000000,IF('calcA'!$JF$14=1,0,100000000)+IF('calcA'!$IQ$14=2,SUMPRODUCT('calcA'!$D$64:$EQ$64,$DB11:$IO11,$IQ11:$OD11)*1000+SUMPRODUCT('calcA'!$D$64:$EQ$64,$DB11:$IO11+$ZQ11:$AFD11,$AFF11:$AKS11),SUMPRODUCT('calcA'!$D$64:$EQ$64,$DB11:$IO11*1001+$ZQ11:$AFD11))*100+5)</f>
        <v/>
      </c>
      <c r="BR11">
        <f>IF(OR(AC11=1,calcA!$A$6=0),1000000000,IF('calcA'!$JF$15=1,0,100000000)+IF('calcA'!$IQ$15=2,SUMPRODUCT('calcA'!$D$65:$EQ$65,$DB11:$IO11,$IQ11:$OD11)*1000+SUMPRODUCT('calcA'!$D$65:$EQ$65,$DB11:$IO11+$ZQ11:$AFD11,$AFF11:$AKS11),SUMPRODUCT('calcA'!$D$65:$EQ$65,$DB11:$IO11*1001+$ZQ11:$AFD11))*100+6)</f>
        <v/>
      </c>
      <c r="BS11">
        <f>IF(OR(AD11=1,calcA!$A$6=0),1000000000,IF('calcA'!$JF$16=1,0,100000000)+IF('calcA'!$IQ$16=2,SUMPRODUCT('calcA'!$D$66:$EQ$66,$DB11:$IO11,$IQ11:$OD11)*1000+SUMPRODUCT('calcA'!$D$66:$EQ$66,$DB11:$IO11+$ZQ11:$AFD11,$AFF11:$AKS11),SUMPRODUCT('calcA'!$D$66:$EQ$66,$DB11:$IO11*1001+$ZQ11:$AFD11))*100+7)</f>
        <v/>
      </c>
      <c r="BT11">
        <f>IF(OR(AE11=1,calcA!$A$6=0),1000000000,IF('calcA'!$JF$17=1,0,100000000)+IF('calcA'!$IQ$17=2,SUMPRODUCT('calcA'!$D$67:$EQ$67,$DB11:$IO11,$IQ11:$OD11)*1000+SUMPRODUCT('calcA'!$D$67:$EQ$67,$DB11:$IO11+$ZQ11:$AFD11,$AFF11:$AKS11),SUMPRODUCT('calcA'!$D$67:$EQ$67,$DB11:$IO11*1001+$ZQ11:$AFD11))*100+8)</f>
        <v/>
      </c>
      <c r="BU11">
        <f>IF(OR(AF11=1,calcA!$A$6=0),1000000000,IF('calcA'!$JF$18=1,0,100000000)+IF('calcA'!$IQ$18=2,SUMPRODUCT('calcA'!$D$68:$EQ$68,$DB11:$IO11,$IQ11:$OD11)*1000+SUMPRODUCT('calcA'!$D$68:$EQ$68,$DB11:$IO11+$ZQ11:$AFD11,$AFF11:$AKS11),SUMPRODUCT('calcA'!$D$68:$EQ$68,$DB11:$IO11*1001+$ZQ11:$AFD11))*100+9)</f>
        <v/>
      </c>
      <c r="BV11">
        <f>IF(OR(AG11=1,calcA!$A$6=0),1000000000,IF('calcA'!$JF$19=1,0,100000000)+IF('calcA'!$IQ$19=2,SUMPRODUCT('calcA'!$D$69:$EQ$69,$DB11:$IO11,$IQ11:$OD11)*1000+SUMPRODUCT('calcA'!$D$69:$EQ$69,$DB11:$IO11+$ZQ11:$AFD11,$AFF11:$AKS11),SUMPRODUCT('calcA'!$D$69:$EQ$69,$DB11:$IO11*1001+$ZQ11:$AFD11))*100+10)</f>
        <v/>
      </c>
      <c r="BW11">
        <f>IF(OR(AH11=1,calcA!$A$6=0),1000000000,IF('calcA'!$JF$20=1,0,100000000)+IF('calcA'!$IQ$20=2,SUMPRODUCT('calcA'!$D$70:$EQ$70,$DB11:$IO11,$IQ11:$OD11)*1000+SUMPRODUCT('calcA'!$D$70:$EQ$70,$DB11:$IO11+$ZQ11:$AFD11,$AFF11:$AKS11),SUMPRODUCT('calcA'!$D$70:$EQ$70,$DB11:$IO11*1001+$ZQ11:$AFD11))*100+11)</f>
        <v/>
      </c>
      <c r="BX11">
        <f>IF(OR(AI11=1,calcA!$A$6=0),1000000000,IF('calcA'!$JF$21=1,0,100000000)+IF('calcA'!$IQ$21=2,SUMPRODUCT('calcA'!$D$71:$EQ$71,$DB11:$IO11,$IQ11:$OD11)*1000+SUMPRODUCT('calcA'!$D$71:$EQ$71,$DB11:$IO11+$ZQ11:$AFD11,$AFF11:$AKS11),SUMPRODUCT('calcA'!$D$71:$EQ$71,$DB11:$IO11*1001+$ZQ11:$AFD11))*100+12)</f>
        <v/>
      </c>
      <c r="BY11">
        <f>IF(OR(AJ11=1,calcA!$A$6=0),1000000000,IF('calcA'!$JF$22=1,0,100000000)+IF('calcA'!$IQ$22=2,SUMPRODUCT('calcA'!$D$72:$EQ$72,$DB11:$IO11,$IQ11:$OD11)*1000+SUMPRODUCT('calcA'!$D$72:$EQ$72,$DB11:$IO11+$ZQ11:$AFD11,$AFF11:$AKS11),SUMPRODUCT('calcA'!$D$72:$EQ$72,$DB11:$IO11*1001+$ZQ11:$AFD11))*100+13)</f>
        <v/>
      </c>
      <c r="BZ11">
        <f>IF(OR(AK11=1,calcA!$A$6=0),1000000000,IF('calcA'!$JF$23=1,0,100000000)+IF('calcA'!$IQ$23=2,SUMPRODUCT('calcA'!$D$73:$EQ$73,$DB11:$IO11,$IQ11:$OD11)*1000+SUMPRODUCT('calcA'!$D$73:$EQ$73,$DB11:$IO11+$ZQ11:$AFD11,$AFF11:$AKS11),SUMPRODUCT('calcA'!$D$73:$EQ$73,$DB11:$IO11*1001+$ZQ11:$AFD11))*100+14)</f>
        <v/>
      </c>
      <c r="CA11">
        <f>IF(OR(AL11=1,calcA!$A$6=0),1000000000,IF('calcA'!$JF$24=1,0,100000000)+IF('calcA'!$IQ$24=2,SUMPRODUCT('calcA'!$D$74:$EQ$74,$DB11:$IO11,$IQ11:$OD11)*1000+SUMPRODUCT('calcA'!$D$74:$EQ$74,$DB11:$IO11+$ZQ11:$AFD11,$AFF11:$AKS11),SUMPRODUCT('calcA'!$D$74:$EQ$74,$DB11:$IO11*1001+$ZQ11:$AFD11))*100+15)</f>
        <v/>
      </c>
      <c r="CB11">
        <f>IF(OR(AM11=1,calcA!$A$6=0),1000000000,IF('calcA'!$JF$25=1,0,100000000)+IF('calcA'!$IQ$25=2,SUMPRODUCT('calcA'!$D$75:$EQ$75,$DB11:$IO11,$IQ11:$OD11)*1000+SUMPRODUCT('calcA'!$D$75:$EQ$75,$DB11:$IO11+$ZQ11:$AFD11,$AFF11:$AKS11),SUMPRODUCT('calcA'!$D$75:$EQ$75,$DB11:$IO11*1001+$ZQ11:$AFD11))*100+16)</f>
        <v/>
      </c>
      <c r="CC11">
        <f>IF(OR(AN11=1,calcA!$A$6=0),1000000000,IF('calcA'!$JF$26=1,0,100000000)+IF('calcA'!$IQ$26=2,SUMPRODUCT('calcA'!$D$76:$EQ$76,$DB11:$IO11,$IQ11:$OD11)*1000+SUMPRODUCT('calcA'!$D$76:$EQ$76,$DB11:$IO11+$ZQ11:$AFD11,$AFF11:$AKS11),SUMPRODUCT('calcA'!$D$76:$EQ$76,$DB11:$IO11*1001+$ZQ11:$AFD11))*100+17)</f>
        <v/>
      </c>
      <c r="CD11">
        <f>IF(OR(AO11=1,calcA!$A$6=0),1000000000,IF('calcA'!$JF$27=1,0,100000000)+IF('calcA'!$IQ$27=2,SUMPRODUCT('calcA'!$D$77:$EQ$77,$DB11:$IO11,$IQ11:$OD11)*1000+SUMPRODUCT('calcA'!$D$77:$EQ$77,$DB11:$IO11+$ZQ11:$AFD11,$AFF11:$AKS11),SUMPRODUCT('calcA'!$D$77:$EQ$77,$DB11:$IO11*1001+$ZQ11:$AFD11))*100+18)</f>
        <v/>
      </c>
      <c r="CE11">
        <f>IF(OR(AP11=1,calcA!$A$6=0),1000000000,IF('calcA'!$JF$28=1,0,100000000)+IF('calcA'!$IQ$28=2,SUMPRODUCT('calcA'!$D$78:$EQ$78,$DB11:$IO11,$IQ11:$OD11)*1000+SUMPRODUCT('calcA'!$D$78:$EQ$78,$DB11:$IO11+$ZQ11:$AFD11,$AFF11:$AKS11),SUMPRODUCT('calcA'!$D$78:$EQ$78,$DB11:$IO11*1001+$ZQ11:$AFD11))*100+19)</f>
        <v/>
      </c>
      <c r="CF11">
        <f>IF(OR(AQ11=1,calcA!$A$6=0),1000000000,IF('calcA'!$JF$29=1,0,100000000)+IF('calcA'!$IQ$29=2,SUMPRODUCT('calcA'!$D$79:$EQ$79,$DB11:$IO11,$IQ11:$OD11)*1000+SUMPRODUCT('calcA'!$D$79:$EQ$79,$DB11:$IO11+$ZQ11:$AFD11,$AFF11:$AKS11),SUMPRODUCT('calcA'!$D$79:$EQ$79,$DB11:$IO11*1001+$ZQ11:$AFD11))*100+20)</f>
        <v/>
      </c>
      <c r="CG11">
        <f>IF(OR(AR11=1,calcA!$A$6=0),1000000000,IF('calcA'!$JF$30=1,0,100000000)+IF('calcA'!$IQ$30=2,SUMPRODUCT('calcA'!$D$80:$EQ$80,$DB11:$IO11,$IQ11:$OD11)*1000+SUMPRODUCT('calcA'!$D$80:$EQ$80,$DB11:$IO11+$ZQ11:$AFD11,$AFF11:$AKS11),SUMPRODUCT('calcA'!$D$80:$EQ$80,$DB11:$IO11*1001+$ZQ11:$AFD11))*100+21)</f>
        <v/>
      </c>
      <c r="CH11">
        <f>IF(OR(AS11=1,calcA!$A$6=0),1000000000,IF('calcA'!$JF$31=1,0,100000000)+IF('calcA'!$IQ$31=2,SUMPRODUCT('calcA'!$D$81:$EQ$81,$DB11:$IO11,$IQ11:$OD11)*1000+SUMPRODUCT('calcA'!$D$81:$EQ$81,$DB11:$IO11+$ZQ11:$AFD11,$AFF11:$AKS11),SUMPRODUCT('calcA'!$D$81:$EQ$81,$DB11:$IO11*1001+$ZQ11:$AFD11))*100+22)</f>
        <v/>
      </c>
      <c r="CI11">
        <f>IF(OR(AT11=1,calcA!$A$6=0),1000000000,IF('calcA'!$JF$32=1,0,100000000)+IF('calcA'!$IQ$32=2,SUMPRODUCT('calcA'!$D$82:$EQ$82,$DB11:$IO11,$IQ11:$OD11)*1000+SUMPRODUCT('calcA'!$D$82:$EQ$82,$DB11:$IO11+$ZQ11:$AFD11,$AFF11:$AKS11),SUMPRODUCT('calcA'!$D$82:$EQ$82,$DB11:$IO11*1001+$ZQ11:$AFD11))*100+23)</f>
        <v/>
      </c>
      <c r="CJ11">
        <f>IF(OR(AU11=1,calcA!$A$6=0),1000000000,IF('calcA'!$JF$33=1,0,100000000)+IF('calcA'!$IQ$33=2,SUMPRODUCT('calcA'!$D$83:$EQ$83,$DB11:$IO11,$IQ11:$OD11)*1000+SUMPRODUCT('calcA'!$D$83:$EQ$83,$DB11:$IO11+$ZQ11:$AFD11,$AFF11:$AKS11),SUMPRODUCT('calcA'!$D$83:$EQ$83,$DB11:$IO11*1001+$ZQ11:$AFD11))*100+24)</f>
        <v/>
      </c>
      <c r="CK11">
        <f>IF(OR(AV11=1,calcA!$A$6=0),1000000000,IF('calcA'!$JF$34=1,0,100000000)+IF('calcA'!$IQ$34=2,SUMPRODUCT('calcA'!$D$84:$EQ$84,$DB11:$IO11,$IQ11:$OD11)*1000+SUMPRODUCT('calcA'!$D$84:$EQ$84,$DB11:$IO11+$ZQ11:$AFD11,$AFF11:$AKS11),SUMPRODUCT('calcA'!$D$84:$EQ$84,$DB11:$IO11*1001+$ZQ11:$AFD11))*100+25)</f>
        <v/>
      </c>
      <c r="CL11">
        <f>IF(OR(AW11=1,calcA!$A$6=0),1000000000,IF('calcA'!$JF$35=1,0,100000000)+IF('calcA'!$IQ$35=2,SUMPRODUCT('calcA'!$D$85:$EQ$85,$DB11:$IO11,$IQ11:$OD11)*1000+SUMPRODUCT('calcA'!$D$85:$EQ$85,$DB11:$IO11+$ZQ11:$AFD11,$AFF11:$AKS11),SUMPRODUCT('calcA'!$D$85:$EQ$85,$DB11:$IO11*1001+$ZQ11:$AFD11))*100+26)</f>
        <v/>
      </c>
      <c r="CM11">
        <f>IF(OR(AX11=1,calcA!$A$6=0),1000000000,IF('calcA'!$JF$36=1,0,100000000)+IF('calcA'!$IQ$36=2,SUMPRODUCT('calcA'!$D$86:$EQ$86,$DB11:$IO11,$IQ11:$OD11)*1000+SUMPRODUCT('calcA'!$D$86:$EQ$86,$DB11:$IO11+$ZQ11:$AFD11,$AFF11:$AKS11),SUMPRODUCT('calcA'!$D$86:$EQ$86,$DB11:$IO11*1001+$ZQ11:$AFD11))*100+27)</f>
        <v/>
      </c>
      <c r="CN11">
        <f>IF(OR(AY11=1,calcA!$A$6=0),1000000000,IF('calcA'!$JF$37=1,0,100000000)+IF('calcA'!$IQ$37=2,SUMPRODUCT('calcA'!$D$87:$EQ$87,$DB11:$IO11,$IQ11:$OD11)*1000+SUMPRODUCT('calcA'!$D$87:$EQ$87,$DB11:$IO11+$ZQ11:$AFD11,$AFF11:$AKS11),SUMPRODUCT('calcA'!$D$87:$EQ$87,$DB11:$IO11*1001+$ZQ11:$AFD11))*100+28)</f>
        <v/>
      </c>
      <c r="CO11">
        <f>IF(OR(AZ11=1,calcA!$A$6=0),1000000000,IF('calcA'!$JF$38=1,0,100000000)+IF('calcA'!$IQ$38=2,SUMPRODUCT('calcA'!$D$88:$EQ$88,$DB11:$IO11,$IQ11:$OD11)*1000+SUMPRODUCT('calcA'!$D$88:$EQ$88,$DB11:$IO11+$ZQ11:$AFD11,$AFF11:$AKS11),SUMPRODUCT('calcA'!$D$88:$EQ$88,$DB11:$IO11*1001+$ZQ11:$AFD11))*100+29)</f>
        <v/>
      </c>
      <c r="CP11">
        <f>IF(OR(BA11=1,calcA!$A$6=0),1000000000,IF('calcA'!$JF$39=1,0,100000000)+IF('calcA'!$IQ$39=2,SUMPRODUCT('calcA'!$D$89:$EQ$89,$DB11:$IO11,$IQ11:$OD11)*1000+SUMPRODUCT('calcA'!$D$89:$EQ$89,$DB11:$IO11+$ZQ11:$AFD11,$AFF11:$AKS11),SUMPRODUCT('calcA'!$D$89:$EQ$89,$DB11:$IO11*1001+$ZQ11:$AFD11))*100+30)</f>
        <v/>
      </c>
      <c r="CQ11">
        <f>IF(OR(BB11=1,calcA!$A$6=0),1000000000,IF('calcA'!$JF$40=1,0,100000000)+IF('calcA'!$IQ$40=2,SUMPRODUCT('calcA'!$D$90:$EQ$90,$DB11:$IO11,$IQ11:$OD11)*1000+SUMPRODUCT('calcA'!$D$90:$EQ$90,$DB11:$IO11+$ZQ11:$AFD11,$AFF11:$AKS11),SUMPRODUCT('calcA'!$D$90:$EQ$90,$DB11:$IO11*1001+$ZQ11:$AFD11))*100+31)</f>
        <v/>
      </c>
      <c r="CR11">
        <f>IF(OR(BC11=1,calcA!$A$6=0),1000000000,IF('calcA'!$JF$41=1,0,100000000)+IF('calcA'!$IQ$41=2,SUMPRODUCT('calcA'!$D$91:$EQ$91,$DB11:$IO11,$IQ11:$OD11)*1000+SUMPRODUCT('calcA'!$D$91:$EQ$91,$DB11:$IO11+$ZQ11:$AFD11,$AFF11:$AKS11),SUMPRODUCT('calcA'!$D$91:$EQ$91,$DB11:$IO11*1001+$ZQ11:$AFD11))*100+32)</f>
        <v/>
      </c>
      <c r="CS11">
        <f>IF(OR(BD11=1,calcA!$A$6=0),1000000000,IF('calcA'!$JF$42=1,0,100000000)+IF('calcA'!$IQ$42=2,SUMPRODUCT('calcA'!$D$92:$EQ$92,$DB11:$IO11,$IQ11:$OD11)*1000+SUMPRODUCT('calcA'!$D$92:$EQ$92,$DB11:$IO11+$ZQ11:$AFD11,$AFF11:$AKS11),SUMPRODUCT('calcA'!$D$92:$EQ$92,$DB11:$IO11*1001+$ZQ11:$AFD11))*100+33)</f>
        <v/>
      </c>
      <c r="CT11">
        <f>IF(OR(BE11=1,calcA!$A$6=0),1000000000,IF('calcA'!$JF$43=1,0,100000000)+IF('calcA'!$IQ$43=2,SUMPRODUCT('calcA'!$D$93:$EQ$93,$DB11:$IO11,$IQ11:$OD11)*1000+SUMPRODUCT('calcA'!$D$93:$EQ$93,$DB11:$IO11+$ZQ11:$AFD11,$AFF11:$AKS11),SUMPRODUCT('calcA'!$D$93:$EQ$93,$DB11:$IO11*1001+$ZQ11:$AFD11))*100+34)</f>
        <v/>
      </c>
      <c r="CU11">
        <f>IF(OR(BF11=1,calcA!$A$6=0),1000000000,IF('calcA'!$JF$44=1,0,100000000)+IF('calcA'!$IQ$44=2,SUMPRODUCT('calcA'!$D$94:$EQ$94,$DB11:$IO11,$IQ11:$OD11)*1000+SUMPRODUCT('calcA'!$D$94:$EQ$94,$DB11:$IO11+$ZQ11:$AFD11,$AFF11:$AKS11),SUMPRODUCT('calcA'!$D$94:$EQ$94,$DB11:$IO11*1001+$ZQ11:$AFD11))*100+35)</f>
        <v/>
      </c>
      <c r="CV11">
        <f>IF(OR(BG11=1,calcA!$A$6=0),1000000000,IF('calcA'!$JF$45=1,0,100000000)+IF('calcA'!$IQ$45=2,SUMPRODUCT('calcA'!$D$95:$EQ$95,$DB11:$IO11,$IQ11:$OD11)*1000+SUMPRODUCT('calcA'!$D$95:$EQ$95,$DB11:$IO11+$ZQ11:$AFD11,$AFF11:$AKS11),SUMPRODUCT('calcA'!$D$95:$EQ$95,$DB11:$IO11*1001+$ZQ11:$AFD11))*100+36)</f>
        <v/>
      </c>
      <c r="CW11">
        <f>IF(OR(BH11=1,calcA!$A$6=0),1000000000,IF('calcA'!$JF$46=1,0,100000000)+IF('calcA'!$IQ$46=2,SUMPRODUCT('calcA'!$D$96:$EQ$96,$DB11:$IO11,$IQ11:$OD11)*1000+SUMPRODUCT('calcA'!$D$96:$EQ$96,$DB11:$IO11+$ZQ11:$AFD11,$AFF11:$AKS11),SUMPRODUCT('calcA'!$D$96:$EQ$96,$DB11:$IO11*1001+$ZQ11:$AFD11))*100+37)</f>
        <v/>
      </c>
      <c r="CX11">
        <f>IF(OR(BI11=1,calcA!$A$6=0),1000000000,IF('calcA'!$JF$47=1,0,100000000)+IF('calcA'!$IQ$47=2,SUMPRODUCT('calcA'!$D$97:$EQ$97,$DB11:$IO11,$IQ11:$OD11)*1000+SUMPRODUCT('calcA'!$D$97:$EQ$97,$DB11:$IO11+$ZQ11:$AFD11,$AFF11:$AKS11),SUMPRODUCT('calcA'!$D$97:$EQ$97,$DB11:$IO11*1001+$ZQ11:$AFD11))*100+38)</f>
        <v/>
      </c>
      <c r="CY11">
        <f>IF(OR(BJ11=1,calcA!$A$6=0),1000000000,IF('calcA'!$JF$48=1,0,100000000)+IF('calcA'!$IQ$48=2,SUMPRODUCT('calcA'!$D$98:$EQ$98,$DB11:$IO11,$IQ11:$OD11)*1000+SUMPRODUCT('calcA'!$D$98:$EQ$98,$DB11:$IO11+$ZQ11:$AFD11,$AFF11:$AKS11),SUMPRODUCT('calcA'!$D$98:$EQ$98,$DB11:$IO11*1001+$ZQ11:$AFD11))*100+39)</f>
        <v/>
      </c>
      <c r="CZ11">
        <f>IF(OR(BK11=1,calcA!$A$6=0),1000000000,IF('calcA'!$JF$49=1,0,100000000)+IF('calcA'!$IQ$49=2,SUMPRODUCT('calcA'!$D$99:$EQ$99,$DB11:$IO11,$IQ11:$OD11)*1000+SUMPRODUCT('calcA'!$D$99:$EQ$99,$DB11:$IO11+$ZQ11:$AFD11,$AFF11:$AKS11),SUMPRODUCT('calcA'!$D$99:$EQ$99,$DB11:$IO11*1001+$ZQ11:$AFD11))*100+40)</f>
        <v/>
      </c>
      <c r="DB11">
        <f>DB10*IF(OR($C10=1,$G10=1),0,1)</f>
        <v/>
      </c>
      <c r="DC11">
        <f>DC10*IF(OR($C10=2,$G10=2),0,1)</f>
        <v/>
      </c>
      <c r="DD11">
        <f>DD10*IF(OR($C10=3,$G10=3),0,1)</f>
        <v/>
      </c>
      <c r="DE11">
        <f>DE10*IF(OR($C10=4,$G10=4),0,1)</f>
        <v/>
      </c>
      <c r="DF11">
        <f>DF10*IF(OR($C10=5,$G10=5),0,1)</f>
        <v/>
      </c>
      <c r="DG11">
        <f>DG10*IF(OR($C10=6,$G10=6),0,1)</f>
        <v/>
      </c>
      <c r="DH11">
        <f>DH10*IF(OR($C10=7,$G10=7),0,1)</f>
        <v/>
      </c>
      <c r="DI11">
        <f>DI10*IF(OR($C10=8,$G10=8),0,1)</f>
        <v/>
      </c>
      <c r="DJ11">
        <f>DJ10*IF(OR($C10=9,$G10=9),0,1)</f>
        <v/>
      </c>
      <c r="DK11">
        <f>DK10*IF(OR($C10=10,$G10=10),0,1)</f>
        <v/>
      </c>
      <c r="DL11">
        <f>DL10*IF(OR($C10=11,$G10=11),0,1)</f>
        <v/>
      </c>
      <c r="DM11">
        <f>DM10*IF(OR($C10=12,$G10=12),0,1)</f>
        <v/>
      </c>
      <c r="DN11">
        <f>DN10*IF(OR($C10=13,$G10=13),0,1)</f>
        <v/>
      </c>
      <c r="DO11">
        <f>DO10*IF(OR($C10=14,$G10=14),0,1)</f>
        <v/>
      </c>
      <c r="DP11">
        <f>DP10*IF(OR($C10=15,$G10=15),0,1)</f>
        <v/>
      </c>
      <c r="DQ11">
        <f>DQ10*IF(OR($C10=16,$G10=16),0,1)</f>
        <v/>
      </c>
      <c r="DR11">
        <f>DR10*IF(OR($C10=17,$G10=17),0,1)</f>
        <v/>
      </c>
      <c r="DS11">
        <f>DS10*IF(OR($C10=18,$G10=18),0,1)</f>
        <v/>
      </c>
      <c r="DT11">
        <f>DT10*IF(OR($C10=19,$G10=19),0,1)</f>
        <v/>
      </c>
      <c r="DU11">
        <f>DU10*IF(OR($C10=20,$G10=20),0,1)</f>
        <v/>
      </c>
      <c r="DV11">
        <f>DV10*IF(OR($C10=21,$G10=21),0,1)</f>
        <v/>
      </c>
      <c r="DW11">
        <f>DW10*IF(OR($C10=22,$G10=22),0,1)</f>
        <v/>
      </c>
      <c r="DX11">
        <f>DX10*IF(OR($C10=23,$G10=23),0,1)</f>
        <v/>
      </c>
      <c r="DY11">
        <f>DY10*IF(OR($C10=24,$G10=24),0,1)</f>
        <v/>
      </c>
      <c r="DZ11">
        <f>DZ10*IF(OR($C10=25,$G10=25),0,1)</f>
        <v/>
      </c>
      <c r="EA11">
        <f>EA10*IF(OR($C10=26,$G10=26),0,1)</f>
        <v/>
      </c>
      <c r="EB11">
        <f>EB10*IF(OR($C10=27,$G10=27),0,1)</f>
        <v/>
      </c>
      <c r="EC11">
        <f>EC10*IF(OR($C10=28,$G10=28),0,1)</f>
        <v/>
      </c>
      <c r="ED11">
        <f>ED10*IF(OR($C10=29,$G10=29),0,1)</f>
        <v/>
      </c>
      <c r="EE11">
        <f>EE10*IF(OR($C10=30,$G10=30),0,1)</f>
        <v/>
      </c>
      <c r="EF11">
        <f>EF10*IF(OR($C10=31,$G10=31),0,1)</f>
        <v/>
      </c>
      <c r="EG11">
        <f>EG10*IF(OR($C10=32,$G10=32),0,1)</f>
        <v/>
      </c>
      <c r="EH11">
        <f>EH10*IF(OR($C10=33,$G10=33),0,1)</f>
        <v/>
      </c>
      <c r="EI11">
        <f>EI10*IF(OR($C10=34,$G10=34),0,1)</f>
        <v/>
      </c>
      <c r="EJ11">
        <f>EJ10*IF(OR($C10=35,$G10=35),0,1)</f>
        <v/>
      </c>
      <c r="EK11">
        <f>EK10*IF(OR($C10=36,$G10=36),0,1)</f>
        <v/>
      </c>
      <c r="EL11">
        <f>EL10*IF(OR($C10=37,$G10=37),0,1)</f>
        <v/>
      </c>
      <c r="EM11">
        <f>EM10*IF(OR($C10=38,$G10=38),0,1)</f>
        <v/>
      </c>
      <c r="EN11">
        <f>EN10*IF(OR($C10=39,$G10=39),0,1)</f>
        <v/>
      </c>
      <c r="EO11">
        <f>EO10*IF(OR($C10=40,$G10=40),0,1)</f>
        <v/>
      </c>
      <c r="EP11">
        <f>EP10*IF(OR($C10=41,$G10=41),0,1)</f>
        <v/>
      </c>
      <c r="EQ11">
        <f>EQ10*IF(OR($C10=42,$G10=42),0,1)</f>
        <v/>
      </c>
      <c r="ER11">
        <f>ER10*IF(OR($C10=43,$G10=43),0,1)</f>
        <v/>
      </c>
      <c r="ES11">
        <f>ES10*IF(OR($C10=44,$G10=44),0,1)</f>
        <v/>
      </c>
      <c r="ET11">
        <f>ET10*IF(OR($C10=45,$G10=45),0,1)</f>
        <v/>
      </c>
      <c r="EU11">
        <f>EU10*IF(OR($C10=46,$G10=46),0,1)</f>
        <v/>
      </c>
      <c r="EV11">
        <f>EV10*IF(OR($C10=47,$G10=47),0,1)</f>
        <v/>
      </c>
      <c r="EW11">
        <f>EW10*IF(OR($C10=48,$G10=48),0,1)</f>
        <v/>
      </c>
      <c r="EX11">
        <f>EX10*IF(OR($C10=49,$G10=49),0,1)</f>
        <v/>
      </c>
      <c r="EY11">
        <f>EY10*IF(OR($C10=50,$G10=50),0,1)</f>
        <v/>
      </c>
      <c r="EZ11">
        <f>EZ10*IF(OR($C10=51,$G10=51),0,1)</f>
        <v/>
      </c>
      <c r="FA11">
        <f>FA10*IF(OR($C10=52,$G10=52),0,1)</f>
        <v/>
      </c>
      <c r="FB11">
        <f>FB10*IF(OR($C10=53,$G10=53),0,1)</f>
        <v/>
      </c>
      <c r="FC11">
        <f>FC10*IF(OR($C10=54,$G10=54),0,1)</f>
        <v/>
      </c>
      <c r="FD11">
        <f>FD10*IF(OR($C10=55,$G10=55),0,1)</f>
        <v/>
      </c>
      <c r="FE11">
        <f>FE10*IF(OR($C10=56,$G10=56),0,1)</f>
        <v/>
      </c>
      <c r="FF11">
        <f>FF10*IF(OR($C10=57,$G10=57),0,1)</f>
        <v/>
      </c>
      <c r="FG11">
        <f>FG10*IF(OR($C10=58,$G10=58),0,1)</f>
        <v/>
      </c>
      <c r="FH11">
        <f>FH10*IF(OR($C10=59,$G10=59),0,1)</f>
        <v/>
      </c>
      <c r="FI11">
        <f>FI10*IF(OR($C10=60,$G10=60),0,1)</f>
        <v/>
      </c>
      <c r="FJ11">
        <f>FJ10*IF(OR($C10=61,$G10=61),0,1)</f>
        <v/>
      </c>
      <c r="FK11">
        <f>FK10*IF(OR($C10=62,$G10=62),0,1)</f>
        <v/>
      </c>
      <c r="FL11">
        <f>FL10*IF(OR($C10=63,$G10=63),0,1)</f>
        <v/>
      </c>
      <c r="FM11">
        <f>FM10*IF(OR($C10=64,$G10=64),0,1)</f>
        <v/>
      </c>
      <c r="FN11">
        <f>FN10*IF(OR($C10=65,$G10=65),0,1)</f>
        <v/>
      </c>
      <c r="FO11">
        <f>FO10*IF(OR($C10=66,$G10=66),0,1)</f>
        <v/>
      </c>
      <c r="FP11">
        <f>FP10*IF(OR($C10=67,$G10=67),0,1)</f>
        <v/>
      </c>
      <c r="FQ11">
        <f>FQ10*IF(OR($C10=68,$G10=68),0,1)</f>
        <v/>
      </c>
      <c r="FR11">
        <f>FR10*IF(OR($C10=69,$G10=69),0,1)</f>
        <v/>
      </c>
      <c r="FS11">
        <f>FS10*IF(OR($C10=70,$G10=70),0,1)</f>
        <v/>
      </c>
      <c r="FT11">
        <f>FT10*IF(OR($C10=71,$G10=71),0,1)</f>
        <v/>
      </c>
      <c r="FU11">
        <f>FU10*IF(OR($C10=72,$G10=72),0,1)</f>
        <v/>
      </c>
      <c r="FV11">
        <f>FV10*IF(OR($C10=73,$G10=73),0,1)</f>
        <v/>
      </c>
      <c r="FW11">
        <f>FW10*IF(OR($C10=74,$G10=74),0,1)</f>
        <v/>
      </c>
      <c r="FX11">
        <f>FX10*IF(OR($C10=75,$G10=75),0,1)</f>
        <v/>
      </c>
      <c r="FY11">
        <f>FY10*IF(OR($C10=76,$G10=76),0,1)</f>
        <v/>
      </c>
      <c r="FZ11">
        <f>FZ10*IF(OR($C10=77,$G10=77),0,1)</f>
        <v/>
      </c>
      <c r="GA11">
        <f>GA10*IF(OR($C10=78,$G10=78),0,1)</f>
        <v/>
      </c>
      <c r="GB11">
        <f>GB10*IF(OR($C10=79,$G10=79),0,1)</f>
        <v/>
      </c>
      <c r="GC11">
        <f>GC10*IF(OR($C10=80,$G10=80),0,1)</f>
        <v/>
      </c>
      <c r="GD11">
        <f>GD10*IF(OR($C10=81,$G10=81),0,1)</f>
        <v/>
      </c>
      <c r="GE11">
        <f>GE10*IF(OR($C10=82,$G10=82),0,1)</f>
        <v/>
      </c>
      <c r="GF11">
        <f>GF10*IF(OR($C10=83,$G10=83),0,1)</f>
        <v/>
      </c>
      <c r="GG11">
        <f>GG10*IF(OR($C10=84,$G10=84),0,1)</f>
        <v/>
      </c>
      <c r="GH11">
        <f>GH10*IF(OR($C10=85,$G10=85),0,1)</f>
        <v/>
      </c>
      <c r="GI11">
        <f>GI10*IF(OR($C10=86,$G10=86),0,1)</f>
        <v/>
      </c>
      <c r="GJ11">
        <f>GJ10*IF(OR($C10=87,$G10=87),0,1)</f>
        <v/>
      </c>
      <c r="GK11">
        <f>GK10*IF(OR($C10=88,$G10=88),0,1)</f>
        <v/>
      </c>
      <c r="GL11">
        <f>GL10*IF(OR($C10=89,$G10=89),0,1)</f>
        <v/>
      </c>
      <c r="GM11">
        <f>GM10*IF(OR($C10=90,$G10=90),0,1)</f>
        <v/>
      </c>
      <c r="GN11">
        <f>GN10*IF(OR($C10=91,$G10=91),0,1)</f>
        <v/>
      </c>
      <c r="GO11">
        <f>GO10*IF(OR($C10=92,$G10=92),0,1)</f>
        <v/>
      </c>
      <c r="GP11">
        <f>GP10*IF(OR($C10=93,$G10=93),0,1)</f>
        <v/>
      </c>
      <c r="GQ11">
        <f>GQ10*IF(OR($C10=94,$G10=94),0,1)</f>
        <v/>
      </c>
      <c r="GR11">
        <f>GR10*IF(OR($C10=95,$G10=95),0,1)</f>
        <v/>
      </c>
      <c r="GS11">
        <f>GS10*IF(OR($C10=96,$G10=96),0,1)</f>
        <v/>
      </c>
      <c r="GT11">
        <f>GT10*IF(OR($C10=97,$G10=97),0,1)</f>
        <v/>
      </c>
      <c r="GU11">
        <f>GU10*IF(OR($C10=98,$G10=98),0,1)</f>
        <v/>
      </c>
      <c r="GV11">
        <f>GV10*IF(OR($C10=99,$G10=99),0,1)</f>
        <v/>
      </c>
      <c r="GW11">
        <f>GW10*IF(OR($C10=100,$G10=100),0,1)</f>
        <v/>
      </c>
      <c r="GX11">
        <f>GX10*IF(OR($C10=101,$G10=101),0,1)</f>
        <v/>
      </c>
      <c r="GY11">
        <f>GY10*IF(OR($C10=102,$G10=102),0,1)</f>
        <v/>
      </c>
      <c r="GZ11">
        <f>GZ10*IF(OR($C10=103,$G10=103),0,1)</f>
        <v/>
      </c>
      <c r="HA11">
        <f>HA10*IF(OR($C10=104,$G10=104),0,1)</f>
        <v/>
      </c>
      <c r="HB11">
        <f>HB10*IF(OR($C10=105,$G10=105),0,1)</f>
        <v/>
      </c>
      <c r="HC11">
        <f>HC10*IF(OR($C10=106,$G10=106),0,1)</f>
        <v/>
      </c>
      <c r="HD11">
        <f>HD10*IF(OR($C10=107,$G10=107),0,1)</f>
        <v/>
      </c>
      <c r="HE11">
        <f>HE10*IF(OR($C10=108,$G10=108),0,1)</f>
        <v/>
      </c>
      <c r="HF11">
        <f>HF10*IF(OR($C10=109,$G10=109),0,1)</f>
        <v/>
      </c>
      <c r="HG11">
        <f>HG10*IF(OR($C10=110,$G10=110),0,1)</f>
        <v/>
      </c>
      <c r="HH11">
        <f>HH10*IF(OR($C10=111,$G10=111),0,1)</f>
        <v/>
      </c>
      <c r="HI11">
        <f>HI10*IF(OR($C10=112,$G10=112),0,1)</f>
        <v/>
      </c>
      <c r="HJ11">
        <f>HJ10*IF(OR($C10=113,$G10=113),0,1)</f>
        <v/>
      </c>
      <c r="HK11">
        <f>HK10*IF(OR($C10=114,$G10=114),0,1)</f>
        <v/>
      </c>
      <c r="HL11">
        <f>HL10*IF(OR($C10=115,$G10=115),0,1)</f>
        <v/>
      </c>
      <c r="HM11">
        <f>HM10*IF(OR($C10=116,$G10=116),0,1)</f>
        <v/>
      </c>
      <c r="HN11">
        <f>HN10*IF(OR($C10=117,$G10=117),0,1)</f>
        <v/>
      </c>
      <c r="HO11">
        <f>HO10*IF(OR($C10=118,$G10=118),0,1)</f>
        <v/>
      </c>
      <c r="HP11">
        <f>HP10*IF(OR($C10=119,$G10=119),0,1)</f>
        <v/>
      </c>
      <c r="HQ11">
        <f>HQ10*IF(OR($C10=120,$G10=120),0,1)</f>
        <v/>
      </c>
      <c r="HR11">
        <f>HR10*IF(OR($C10=121,$G10=121),0,1)</f>
        <v/>
      </c>
      <c r="HS11">
        <f>HS10*IF(OR($C10=122,$G10=122),0,1)</f>
        <v/>
      </c>
      <c r="HT11">
        <f>HT10*IF(OR($C10=123,$G10=123),0,1)</f>
        <v/>
      </c>
      <c r="HU11">
        <f>HU10*IF(OR($C10=124,$G10=124),0,1)</f>
        <v/>
      </c>
      <c r="HV11">
        <f>HV10*IF(OR($C10=125,$G10=125),0,1)</f>
        <v/>
      </c>
      <c r="HW11">
        <f>HW10*IF(OR($C10=126,$G10=126),0,1)</f>
        <v/>
      </c>
      <c r="HX11">
        <f>HX10*IF(OR($C10=127,$G10=127),0,1)</f>
        <v/>
      </c>
      <c r="HY11">
        <f>HY10*IF(OR($C10=128,$G10=128),0,1)</f>
        <v/>
      </c>
      <c r="HZ11">
        <f>HZ10*IF(OR($C10=129,$G10=129),0,1)</f>
        <v/>
      </c>
      <c r="IA11">
        <f>IA10*IF(OR($C10=130,$G10=130),0,1)</f>
        <v/>
      </c>
      <c r="IB11">
        <f>IB10*IF(OR($C10=131,$G10=131),0,1)</f>
        <v/>
      </c>
      <c r="IC11">
        <f>IC10*IF(OR($C10=132,$G10=132),0,1)</f>
        <v/>
      </c>
      <c r="ID11">
        <f>ID10*IF(OR($C10=133,$G10=133),0,1)</f>
        <v/>
      </c>
      <c r="IE11">
        <f>IE10*IF(OR($C10=134,$G10=134),0,1)</f>
        <v/>
      </c>
      <c r="IF11">
        <f>IF10*IF(OR($C10=135,$G10=135),0,1)</f>
        <v/>
      </c>
      <c r="IG11">
        <f>IG10*IF(OR($C10=136,$G10=136),0,1)</f>
        <v/>
      </c>
      <c r="IH11">
        <f>IH10*IF(OR($C10=137,$G10=137),0,1)</f>
        <v/>
      </c>
      <c r="II11">
        <f>II10*IF(OR($C10=138,$G10=138),0,1)</f>
        <v/>
      </c>
      <c r="IJ11">
        <f>IJ10*IF(OR($C10=139,$G10=139),0,1)</f>
        <v/>
      </c>
      <c r="IK11">
        <f>IK10*IF(OR($C10=140,$G10=140),0,1)</f>
        <v/>
      </c>
      <c r="IL11">
        <f>IL10*IF(OR($C10=141,$G10=141),0,1)</f>
        <v/>
      </c>
      <c r="IM11">
        <f>IM10*IF(OR($C10=142,$G10=142),0,1)</f>
        <v/>
      </c>
      <c r="IN11">
        <f>IN10*IF(OR($C10=143,$G10=143),0,1)</f>
        <v/>
      </c>
      <c r="IO11">
        <f>IO10*IF(OR($C10=144,$G10=144),0,1)</f>
        <v/>
      </c>
      <c r="IQ11">
        <f>IF('calcA'!D$106=1,DC11,1)</f>
        <v/>
      </c>
      <c r="IR11">
        <f>IF('calcA'!E$106=1,DD11,1)</f>
        <v/>
      </c>
      <c r="IS11">
        <f>IF('calcA'!F$106=1,DE11,1)</f>
        <v/>
      </c>
      <c r="IT11">
        <f>IF('calcA'!G$106=1,DF11,1)</f>
        <v/>
      </c>
      <c r="IU11">
        <f>IF('calcA'!H$106=1,DG11,1)</f>
        <v/>
      </c>
      <c r="IV11">
        <f>IF('calcA'!I$106=1,DH11,1)</f>
        <v/>
      </c>
      <c r="IW11">
        <f>IF('calcA'!J$106=1,DI11,1)</f>
        <v/>
      </c>
      <c r="IX11">
        <f>IF('calcA'!K$106=1,DJ11,1)</f>
        <v/>
      </c>
      <c r="IY11">
        <f>IF('calcA'!L$106=1,DK11,1)</f>
        <v/>
      </c>
      <c r="IZ11">
        <f>IF('calcA'!M$106=1,DL11,1)</f>
        <v/>
      </c>
      <c r="JA11">
        <f>IF('calcA'!N$106=1,DM11,1)</f>
        <v/>
      </c>
      <c r="JB11">
        <f>IF('calcA'!O$106=1,DN11,1)</f>
        <v/>
      </c>
      <c r="JC11">
        <f>IF('calcA'!P$106=1,DO11,1)</f>
        <v/>
      </c>
      <c r="JD11">
        <f>IF('calcA'!Q$106=1,DP11,1)</f>
        <v/>
      </c>
      <c r="JE11">
        <f>IF('calcA'!R$106=1,DQ11,1)</f>
        <v/>
      </c>
      <c r="JF11">
        <f>IF('calcA'!S$106=1,DR11,1)</f>
        <v/>
      </c>
      <c r="JG11">
        <f>IF('calcA'!T$106=1,DS11,1)</f>
        <v/>
      </c>
      <c r="JH11">
        <f>IF('calcA'!U$106=1,DT11,1)</f>
        <v/>
      </c>
      <c r="JI11">
        <f>IF('calcA'!V$106=1,DU11,1)</f>
        <v/>
      </c>
      <c r="JJ11">
        <f>IF('calcA'!W$106=1,DV11,1)</f>
        <v/>
      </c>
      <c r="JK11">
        <f>IF('calcA'!X$106=1,DW11,1)</f>
        <v/>
      </c>
      <c r="JL11">
        <f>IF('calcA'!Y$106=1,DX11,1)</f>
        <v/>
      </c>
      <c r="JM11">
        <f>IF('calcA'!Z$106=1,DY11,1)</f>
        <v/>
      </c>
      <c r="JN11">
        <f>IF('calcA'!AA$106=1,DZ11,1)</f>
        <v/>
      </c>
      <c r="JO11">
        <f>IF('calcA'!AB$106=1,EA11,1)</f>
        <v/>
      </c>
      <c r="JP11">
        <f>IF('calcA'!AC$106=1,EB11,1)</f>
        <v/>
      </c>
      <c r="JQ11">
        <f>IF('calcA'!AD$106=1,EC11,1)</f>
        <v/>
      </c>
      <c r="JR11">
        <f>IF('calcA'!AE$106=1,ED11,1)</f>
        <v/>
      </c>
      <c r="JS11">
        <f>IF('calcA'!AF$106=1,EE11,1)</f>
        <v/>
      </c>
      <c r="JT11">
        <f>IF('calcA'!AG$106=1,EF11,1)</f>
        <v/>
      </c>
      <c r="JU11">
        <f>IF('calcA'!AH$106=1,EG11,1)</f>
        <v/>
      </c>
      <c r="JV11">
        <f>IF('calcA'!AI$106=1,EH11,1)</f>
        <v/>
      </c>
      <c r="JW11">
        <f>IF('calcA'!AJ$106=1,EI11,1)</f>
        <v/>
      </c>
      <c r="JX11">
        <f>IF('calcA'!AK$106=1,EJ11,1)</f>
        <v/>
      </c>
      <c r="JY11">
        <f>IF('calcA'!AL$106=1,EK11,1)</f>
        <v/>
      </c>
      <c r="JZ11">
        <f>IF('calcA'!AM$106=1,EL11,1)</f>
        <v/>
      </c>
      <c r="KA11">
        <f>IF('calcA'!AN$106=1,EM11,1)</f>
        <v/>
      </c>
      <c r="KB11">
        <f>IF('calcA'!AO$106=1,EN11,1)</f>
        <v/>
      </c>
      <c r="KC11">
        <f>IF('calcA'!AP$106=1,EO11,1)</f>
        <v/>
      </c>
      <c r="KD11">
        <f>IF('calcA'!AQ$106=1,EP11,1)</f>
        <v/>
      </c>
      <c r="KE11">
        <f>IF('calcA'!AR$106=1,EQ11,1)</f>
        <v/>
      </c>
      <c r="KF11">
        <f>IF('calcA'!AS$106=1,ER11,1)</f>
        <v/>
      </c>
      <c r="KG11">
        <f>IF('calcA'!AT$106=1,ES11,1)</f>
        <v/>
      </c>
      <c r="KH11">
        <f>IF('calcA'!AU$106=1,ET11,1)</f>
        <v/>
      </c>
      <c r="KI11">
        <f>IF('calcA'!AV$106=1,EU11,1)</f>
        <v/>
      </c>
      <c r="KJ11">
        <f>IF('calcA'!AW$106=1,EV11,1)</f>
        <v/>
      </c>
      <c r="KK11">
        <f>IF('calcA'!AX$106=1,EW11,1)</f>
        <v/>
      </c>
      <c r="KL11">
        <f>IF('calcA'!AY$106=1,EX11,1)</f>
        <v/>
      </c>
      <c r="KM11">
        <f>IF('calcA'!AZ$106=1,EY11,1)</f>
        <v/>
      </c>
      <c r="KN11">
        <f>IF('calcA'!BA$106=1,EZ11,1)</f>
        <v/>
      </c>
      <c r="KO11">
        <f>IF('calcA'!BB$106=1,FA11,1)</f>
        <v/>
      </c>
      <c r="KP11">
        <f>IF('calcA'!BC$106=1,FB11,1)</f>
        <v/>
      </c>
      <c r="KQ11">
        <f>IF('calcA'!BD$106=1,FC11,1)</f>
        <v/>
      </c>
      <c r="KR11">
        <f>IF('calcA'!BE$106=1,FD11,1)</f>
        <v/>
      </c>
      <c r="KS11">
        <f>IF('calcA'!BF$106=1,FE11,1)</f>
        <v/>
      </c>
      <c r="KT11">
        <f>IF('calcA'!BG$106=1,FF11,1)</f>
        <v/>
      </c>
      <c r="KU11">
        <f>IF('calcA'!BH$106=1,FG11,1)</f>
        <v/>
      </c>
      <c r="KV11">
        <f>IF('calcA'!BI$106=1,FH11,1)</f>
        <v/>
      </c>
      <c r="KW11">
        <f>IF('calcA'!BJ$106=1,FI11,1)</f>
        <v/>
      </c>
      <c r="KX11">
        <f>IF('calcA'!BK$106=1,FJ11,1)</f>
        <v/>
      </c>
      <c r="KY11">
        <f>IF('calcA'!BL$106=1,FK11,1)</f>
        <v/>
      </c>
      <c r="KZ11">
        <f>IF('calcA'!BM$106=1,FL11,1)</f>
        <v/>
      </c>
      <c r="LA11">
        <f>IF('calcA'!BN$106=1,FM11,1)</f>
        <v/>
      </c>
      <c r="LB11">
        <f>IF('calcA'!BO$106=1,FN11,1)</f>
        <v/>
      </c>
      <c r="LC11">
        <f>IF('calcA'!BP$106=1,FO11,1)</f>
        <v/>
      </c>
      <c r="LD11">
        <f>IF('calcA'!BQ$106=1,FP11,1)</f>
        <v/>
      </c>
      <c r="LE11">
        <f>IF('calcA'!BR$106=1,FQ11,1)</f>
        <v/>
      </c>
      <c r="LF11">
        <f>IF('calcA'!BS$106=1,FR11,1)</f>
        <v/>
      </c>
      <c r="LG11">
        <f>IF('calcA'!BT$106=1,FS11,1)</f>
        <v/>
      </c>
      <c r="LH11">
        <f>IF('calcA'!BU$106=1,FT11,1)</f>
        <v/>
      </c>
      <c r="LI11">
        <f>IF('calcA'!BV$106=1,FU11,1)</f>
        <v/>
      </c>
      <c r="LJ11">
        <f>IF('calcA'!BW$106=1,FV11,1)</f>
        <v/>
      </c>
      <c r="LK11">
        <f>IF('calcA'!BX$106=1,FW11,1)</f>
        <v/>
      </c>
      <c r="LL11">
        <f>IF('calcA'!BY$106=1,FX11,1)</f>
        <v/>
      </c>
      <c r="LM11">
        <f>IF('calcA'!BZ$106=1,FY11,1)</f>
        <v/>
      </c>
      <c r="LN11">
        <f>IF('calcA'!CA$106=1,FZ11,1)</f>
        <v/>
      </c>
      <c r="LO11">
        <f>IF('calcA'!CB$106=1,GA11,1)</f>
        <v/>
      </c>
      <c r="LP11">
        <f>IF('calcA'!CC$106=1,GB11,1)</f>
        <v/>
      </c>
      <c r="LQ11">
        <f>IF('calcA'!CD$106=1,GC11,1)</f>
        <v/>
      </c>
      <c r="LR11">
        <f>IF('calcA'!CE$106=1,GD11,1)</f>
        <v/>
      </c>
      <c r="LS11">
        <f>IF('calcA'!CF$106=1,GE11,1)</f>
        <v/>
      </c>
      <c r="LT11">
        <f>IF('calcA'!CG$106=1,GF11,1)</f>
        <v/>
      </c>
      <c r="LU11">
        <f>IF('calcA'!CH$106=1,GG11,1)</f>
        <v/>
      </c>
      <c r="LV11">
        <f>IF('calcA'!CI$106=1,GH11,1)</f>
        <v/>
      </c>
      <c r="LW11">
        <f>IF('calcA'!CJ$106=1,GI11,1)</f>
        <v/>
      </c>
      <c r="LX11">
        <f>IF('calcA'!CK$106=1,GJ11,1)</f>
        <v/>
      </c>
      <c r="LY11">
        <f>IF('calcA'!CL$106=1,GK11,1)</f>
        <v/>
      </c>
      <c r="LZ11">
        <f>IF('calcA'!CM$106=1,GL11,1)</f>
        <v/>
      </c>
      <c r="MA11">
        <f>IF('calcA'!CN$106=1,GM11,1)</f>
        <v/>
      </c>
      <c r="MB11">
        <f>IF('calcA'!CO$106=1,GN11,1)</f>
        <v/>
      </c>
      <c r="MC11">
        <f>IF('calcA'!CP$106=1,GO11,1)</f>
        <v/>
      </c>
      <c r="MD11">
        <f>IF('calcA'!CQ$106=1,GP11,1)</f>
        <v/>
      </c>
      <c r="ME11">
        <f>IF('calcA'!CR$106=1,GQ11,1)</f>
        <v/>
      </c>
      <c r="MF11">
        <f>IF('calcA'!CS$106=1,GR11,1)</f>
        <v/>
      </c>
      <c r="MG11">
        <f>IF('calcA'!CT$106=1,GS11,1)</f>
        <v/>
      </c>
      <c r="MH11">
        <f>IF('calcA'!CU$106=1,GT11,1)</f>
        <v/>
      </c>
      <c r="MI11">
        <f>IF('calcA'!CV$106=1,GU11,1)</f>
        <v/>
      </c>
      <c r="MJ11">
        <f>IF('calcA'!CW$106=1,GV11,1)</f>
        <v/>
      </c>
      <c r="MK11">
        <f>IF('calcA'!CX$106=1,GW11,1)</f>
        <v/>
      </c>
      <c r="ML11">
        <f>IF('calcA'!CY$106=1,GX11,1)</f>
        <v/>
      </c>
      <c r="MM11">
        <f>IF('calcA'!CZ$106=1,GY11,1)</f>
        <v/>
      </c>
      <c r="MN11">
        <f>IF('calcA'!DA$106=1,GZ11,1)</f>
        <v/>
      </c>
      <c r="MO11">
        <f>IF('calcA'!DB$106=1,HA11,1)</f>
        <v/>
      </c>
      <c r="MP11">
        <f>IF('calcA'!DC$106=1,HB11,1)</f>
        <v/>
      </c>
      <c r="MQ11">
        <f>IF('calcA'!DD$106=1,HC11,1)</f>
        <v/>
      </c>
      <c r="MR11">
        <f>IF('calcA'!DE$106=1,HD11,1)</f>
        <v/>
      </c>
      <c r="MS11">
        <f>IF('calcA'!DF$106=1,HE11,1)</f>
        <v/>
      </c>
      <c r="MT11">
        <f>IF('calcA'!DG$106=1,HF11,1)</f>
        <v/>
      </c>
      <c r="MU11">
        <f>IF('calcA'!DH$106=1,HG11,1)</f>
        <v/>
      </c>
      <c r="MV11">
        <f>IF('calcA'!DI$106=1,HH11,1)</f>
        <v/>
      </c>
      <c r="MW11">
        <f>IF('calcA'!DJ$106=1,HI11,1)</f>
        <v/>
      </c>
      <c r="MX11">
        <f>IF('calcA'!DK$106=1,HJ11,1)</f>
        <v/>
      </c>
      <c r="MY11">
        <f>IF('calcA'!DL$106=1,HK11,1)</f>
        <v/>
      </c>
      <c r="MZ11">
        <f>IF('calcA'!DM$106=1,HL11,1)</f>
        <v/>
      </c>
      <c r="NA11">
        <f>IF('calcA'!DN$106=1,HM11,1)</f>
        <v/>
      </c>
      <c r="NB11">
        <f>IF('calcA'!DO$106=1,HN11,1)</f>
        <v/>
      </c>
      <c r="NC11">
        <f>IF('calcA'!DP$106=1,HO11,1)</f>
        <v/>
      </c>
      <c r="ND11">
        <f>IF('calcA'!DQ$106=1,HP11,1)</f>
        <v/>
      </c>
      <c r="NE11">
        <f>IF('calcA'!DR$106=1,HQ11,1)</f>
        <v/>
      </c>
      <c r="NF11">
        <f>IF('calcA'!DS$106=1,HR11,1)</f>
        <v/>
      </c>
      <c r="NG11">
        <f>IF('calcA'!DT$106=1,HS11,1)</f>
        <v/>
      </c>
      <c r="NH11">
        <f>IF('calcA'!DU$106=1,HT11,1)</f>
        <v/>
      </c>
      <c r="NI11">
        <f>IF('calcA'!DV$106=1,HU11,1)</f>
        <v/>
      </c>
      <c r="NJ11">
        <f>IF('calcA'!DW$106=1,HV11,1)</f>
        <v/>
      </c>
      <c r="NK11">
        <f>IF('calcA'!DX$106=1,HW11,1)</f>
        <v/>
      </c>
      <c r="NL11">
        <f>IF('calcA'!DY$106=1,HX11,1)</f>
        <v/>
      </c>
      <c r="NM11">
        <f>IF('calcA'!DZ$106=1,HY11,1)</f>
        <v/>
      </c>
      <c r="NN11">
        <f>IF('calcA'!EA$106=1,HZ11,1)</f>
        <v/>
      </c>
      <c r="NO11">
        <f>IF('calcA'!EB$106=1,IA11,1)</f>
        <v/>
      </c>
      <c r="NP11">
        <f>IF('calcA'!EC$106=1,IB11,1)</f>
        <v/>
      </c>
      <c r="NQ11">
        <f>IF('calcA'!ED$106=1,IC11,1)</f>
        <v/>
      </c>
      <c r="NR11">
        <f>IF('calcA'!EE$106=1,ID11,1)</f>
        <v/>
      </c>
      <c r="NS11">
        <f>IF('calcA'!EF$106=1,IE11,1)</f>
        <v/>
      </c>
      <c r="NT11">
        <f>IF('calcA'!EG$106=1,IF11,1)</f>
        <v/>
      </c>
      <c r="NU11">
        <f>IF('calcA'!EH$106=1,IG11,1)</f>
        <v/>
      </c>
      <c r="NV11">
        <f>IF('calcA'!EI$106=1,IH11,1)</f>
        <v/>
      </c>
      <c r="NW11">
        <f>IF('calcA'!EJ$106=1,II11,1)</f>
        <v/>
      </c>
      <c r="NX11">
        <f>IF('calcA'!EK$106=1,IJ11,1)</f>
        <v/>
      </c>
      <c r="NY11">
        <f>IF('calcA'!EL$106=1,IK11,1)</f>
        <v/>
      </c>
      <c r="NZ11">
        <f>IF('calcA'!EM$106=1,IL11,1)</f>
        <v/>
      </c>
      <c r="OA11">
        <f>IF('calcA'!EN$106=1,IM11,1)</f>
        <v/>
      </c>
      <c r="OB11">
        <f>IF('calcA'!EO$106=1,IN11,1)</f>
        <v/>
      </c>
      <c r="OC11">
        <f>IF('calcA'!EP$106=1,IO11,1)</f>
        <v/>
      </c>
      <c r="OD11" t="n">
        <v>1</v>
      </c>
      <c r="OF11">
        <f>IF($B11=0,1000000000,IF(INDEX('calcA'!$D$60:$EQ$99,$B11,1)*IF($W11=1,DB11+ZQ11,DB11)=1,IF(AND($E11=2,IF($W11=1,AFF11,IQ11)=0),1000000000,IF($V11=1,INDEX('calcA'!$D$130:$EQ$169,$B11,1)+IF(AND($E11=1,IQ11=0),25,0),INDEX('calcA'!D$110:D$114,$F11+1)+IF(AND($E11=1,IQ11=0),1000,0)+IF($H11=1,INDEX('calcA'!$D$180:$EQ$219,$B11,1)*500,0)-IF(AND($U11=1,'calcA'!D$117=1,DC11=0),300,0))),1000000000))</f>
        <v/>
      </c>
      <c r="OG11">
        <f>IF($B11=0,1000000000,IF(INDEX('calcA'!$D$60:$EQ$99,$B11,2)*IF($W11=1,DC11+ZR11,DC11)=1,IF(AND($E11=2,IF($W11=1,AFG11,IR11)=0),1000000000,IF($V11=1,INDEX('calcA'!$D$130:$EQ$169,$B11,2)+IF(AND($E11=1,IR11=0),25,0),INDEX('calcA'!E$110:E$114,$F11+1)+IF(AND($E11=1,IR11=0),1000,0)+IF($H11=1,INDEX('calcA'!$D$180:$EQ$219,$B11,2)*500,0)-IF(AND('calcA'!D$117=1,UB11&gt;0),300,0)-IF(AND($U11=1,'calcA'!E$117=1,DD11=0),300,0))),1000000000))</f>
        <v/>
      </c>
      <c r="OH11">
        <f>IF($B11=0,1000000000,IF(INDEX('calcA'!$D$60:$EQ$99,$B11,3)*IF($W11=1,DD11+ZS11,DD11)=1,IF(AND($E11=2,IF($W11=1,AFH11,IS11)=0),1000000000,IF($V11=1,INDEX('calcA'!$D$130:$EQ$169,$B11,3)+IF(AND($E11=1,IS11=0),25,0),INDEX('calcA'!F$110:F$114,$F11+1)+IF(AND($E11=1,IS11=0),1000,0)+IF($H11=1,INDEX('calcA'!$D$180:$EQ$219,$B11,3)*500,0)-IF(AND('calcA'!E$117=1,UC11&gt;0),300,0)-IF(AND($U11=1,'calcA'!F$117=1,DE11=0),300,0))),1000000000))</f>
        <v/>
      </c>
      <c r="OI11">
        <f>IF($B11=0,1000000000,IF(INDEX('calcA'!$D$60:$EQ$99,$B11,4)*IF($W11=1,DE11+ZT11,DE11)=1,IF(AND($E11=2,IF($W11=1,AFI11,IT11)=0),1000000000,IF($V11=1,INDEX('calcA'!$D$130:$EQ$169,$B11,4)+IF(AND($E11=1,IT11=0),25,0),INDEX('calcA'!G$110:G$114,$F11+1)+IF(AND($E11=1,IT11=0),1000,0)+IF($H11=1,INDEX('calcA'!$D$180:$EQ$219,$B11,4)*500,0)-IF(AND('calcA'!F$117=1,UD11&gt;0),300,0)-IF(AND($U11=1,'calcA'!G$117=1,DF11=0),300,0))),1000000000))</f>
        <v/>
      </c>
      <c r="OJ11">
        <f>IF($B11=0,1000000000,IF(INDEX('calcA'!$D$60:$EQ$99,$B11,5)*IF($W11=1,DF11+ZU11,DF11)=1,IF(AND($E11=2,IF($W11=1,AFJ11,IU11)=0),1000000000,IF($V11=1,INDEX('calcA'!$D$130:$EQ$169,$B11,5)+IF(AND($E11=1,IU11=0),25,0),INDEX('calcA'!H$110:H$114,$F11+1)+IF(AND($E11=1,IU11=0),1000,0)+IF($H11=1,INDEX('calcA'!$D$180:$EQ$219,$B11,5)*500,0)-IF(AND('calcA'!G$117=1,UE11&gt;0),300,0)-IF(AND($U11=1,'calcA'!H$117=1,DG11=0),300,0))),1000000000))</f>
        <v/>
      </c>
      <c r="OK11">
        <f>IF($B11=0,1000000000,IF(INDEX('calcA'!$D$60:$EQ$99,$B11,6)*IF($W11=1,DG11+ZV11,DG11)=1,IF(AND($E11=2,IF($W11=1,AFK11,IV11)=0),1000000000,IF($V11=1,INDEX('calcA'!$D$130:$EQ$169,$B11,6)+IF(AND($E11=1,IV11=0),25,0),INDEX('calcA'!I$110:I$114,$F11+1)+IF(AND($E11=1,IV11=0),1000,0)+IF($H11=1,INDEX('calcA'!$D$180:$EQ$219,$B11,6)*500,0)-IF(AND('calcA'!H$117=1,UF11&gt;0),300,0)-IF(AND($U11=1,'calcA'!I$117=1,DH11=0),300,0))),1000000000))</f>
        <v/>
      </c>
      <c r="OL11">
        <f>IF($B11=0,1000000000,IF(INDEX('calcA'!$D$60:$EQ$99,$B11,7)*IF($W11=1,DH11+ZW11,DH11)=1,IF(AND($E11=2,IF($W11=1,AFL11,IW11)=0),1000000000,IF($V11=1,INDEX('calcA'!$D$130:$EQ$169,$B11,7)+IF(AND($E11=1,IW11=0),25,0),INDEX('calcA'!J$110:J$114,$F11+1)+IF(AND($E11=1,IW11=0),1000,0)+IF($H11=1,INDEX('calcA'!$D$180:$EQ$219,$B11,7)*500,0)-IF(AND('calcA'!I$117=1,UG11&gt;0),300,0)-IF(AND($U11=1,'calcA'!J$117=1,DI11=0),300,0))),1000000000))</f>
        <v/>
      </c>
      <c r="OM11">
        <f>IF($B11=0,1000000000,IF(INDEX('calcA'!$D$60:$EQ$99,$B11,8)*IF($W11=1,DI11+ZX11,DI11)=1,IF(AND($E11=2,IF($W11=1,AFM11,IX11)=0),1000000000,IF($V11=1,INDEX('calcA'!$D$130:$EQ$169,$B11,8)+IF(AND($E11=1,IX11=0),25,0),INDEX('calcA'!K$110:K$114,$F11+1)+IF(AND($E11=1,IX11=0),1000,0)+IF($H11=1,INDEX('calcA'!$D$180:$EQ$219,$B11,8)*500,0)-IF(AND('calcA'!J$117=1,UH11&gt;0),300,0)-IF(AND($U11=1,'calcA'!K$117=1,DJ11=0),300,0))),1000000000))</f>
        <v/>
      </c>
      <c r="ON11">
        <f>IF($B11=0,1000000000,IF(INDEX('calcA'!$D$60:$EQ$99,$B11,9)*IF($W11=1,DJ11+ZY11,DJ11)=1,IF(AND($E11=2,IF($W11=1,AFN11,IY11)=0),1000000000,IF($V11=1,INDEX('calcA'!$D$130:$EQ$169,$B11,9)+IF(AND($E11=1,IY11=0),25,0),INDEX('calcA'!L$110:L$114,$F11+1)+IF(AND($E11=1,IY11=0),1000,0)+IF($H11=1,INDEX('calcA'!$D$180:$EQ$219,$B11,9)*500,0)-IF(AND('calcA'!K$117=1,UI11&gt;0),300,0)-IF(AND($U11=1,'calcA'!L$117=1,DK11=0),300,0))),1000000000))</f>
        <v/>
      </c>
      <c r="OO11">
        <f>IF($B11=0,1000000000,IF(INDEX('calcA'!$D$60:$EQ$99,$B11,10)*IF($W11=1,DK11+ZZ11,DK11)=1,IF(AND($E11=2,IF($W11=1,AFO11,IZ11)=0),1000000000,IF($V11=1,INDEX('calcA'!$D$130:$EQ$169,$B11,10)+IF(AND($E11=1,IZ11=0),25,0),INDEX('calcA'!M$110:M$114,$F11+1)+IF(AND($E11=1,IZ11=0),1000,0)+IF($H11=1,INDEX('calcA'!$D$180:$EQ$219,$B11,10)*500,0)-IF(AND('calcA'!L$117=1,UJ11&gt;0),300,0)-IF(AND($U11=1,'calcA'!M$117=1,DL11=0),300,0))),1000000000))</f>
        <v/>
      </c>
      <c r="OP11">
        <f>IF($B11=0,1000000000,IF(INDEX('calcA'!$D$60:$EQ$99,$B11,11)*IF($W11=1,DL11+AAA11,DL11)=1,IF(AND($E11=2,IF($W11=1,AFP11,JA11)=0),1000000000,IF($V11=1,INDEX('calcA'!$D$130:$EQ$169,$B11,11)+IF(AND($E11=1,JA11=0),25,0),INDEX('calcA'!N$110:N$114,$F11+1)+IF(AND($E11=1,JA11=0),1000,0)+IF($H11=1,INDEX('calcA'!$D$180:$EQ$219,$B11,11)*500,0)-IF(AND('calcA'!M$117=1,UK11&gt;0),300,0)-IF(AND($U11=1,'calcA'!N$117=1,DM11=0),300,0))),1000000000))</f>
        <v/>
      </c>
      <c r="OQ11">
        <f>IF($B11=0,1000000000,IF(INDEX('calcA'!$D$60:$EQ$99,$B11,12)*IF($W11=1,DM11+AAB11,DM11)=1,IF(AND($E11=2,IF($W11=1,AFQ11,JB11)=0),1000000000,IF($V11=1,INDEX('calcA'!$D$130:$EQ$169,$B11,12)+IF(AND($E11=1,JB11=0),25,0),INDEX('calcA'!O$110:O$114,$F11+1)+IF(AND($E11=1,JB11=0),1000,0)+IF($H11=1,INDEX('calcA'!$D$180:$EQ$219,$B11,12)*500,0)-IF(AND('calcA'!N$117=1,UL11&gt;0),300,0)-IF(AND($U11=1,'calcA'!O$117=1,DN11=0),300,0))),1000000000))</f>
        <v/>
      </c>
      <c r="OR11">
        <f>IF($B11=0,1000000000,IF(INDEX('calcA'!$D$60:$EQ$99,$B11,13)*IF($W11=1,DN11+AAC11,DN11)=1,IF(AND($E11=2,IF($W11=1,AFR11,JC11)=0),1000000000,IF($V11=1,INDEX('calcA'!$D$130:$EQ$169,$B11,13)+IF(AND($E11=1,JC11=0),25,0),INDEX('calcA'!P$110:P$114,$F11+1)+IF(AND($E11=1,JC11=0),1000,0)+IF($H11=1,INDEX('calcA'!$D$180:$EQ$219,$B11,13)*500,0)-IF(AND('calcA'!O$117=1,UM11&gt;0),300,0)-IF(AND($U11=1,'calcA'!P$117=1,DO11=0),300,0))),1000000000))</f>
        <v/>
      </c>
      <c r="OS11">
        <f>IF($B11=0,1000000000,IF(INDEX('calcA'!$D$60:$EQ$99,$B11,14)*IF($W11=1,DO11+AAD11,DO11)=1,IF(AND($E11=2,IF($W11=1,AFS11,JD11)=0),1000000000,IF($V11=1,INDEX('calcA'!$D$130:$EQ$169,$B11,14)+IF(AND($E11=1,JD11=0),25,0),INDEX('calcA'!Q$110:Q$114,$F11+1)+IF(AND($E11=1,JD11=0),1000,0)+IF($H11=1,INDEX('calcA'!$D$180:$EQ$219,$B11,14)*500,0)-IF(AND('calcA'!P$117=1,UN11&gt;0),300,0)-IF(AND($U11=1,'calcA'!Q$117=1,DP11=0),300,0))),1000000000))</f>
        <v/>
      </c>
      <c r="OT11">
        <f>IF($B11=0,1000000000,IF(INDEX('calcA'!$D$60:$EQ$99,$B11,15)*IF($W11=1,DP11+AAE11,DP11)=1,IF(AND($E11=2,IF($W11=1,AFT11,JE11)=0),1000000000,IF($V11=1,INDEX('calcA'!$D$130:$EQ$169,$B11,15)+IF(AND($E11=1,JE11=0),25,0),INDEX('calcA'!R$110:R$114,$F11+1)+IF(AND($E11=1,JE11=0),1000,0)+IF($H11=1,INDEX('calcA'!$D$180:$EQ$219,$B11,15)*500,0)-IF(AND('calcA'!Q$117=1,UO11&gt;0),300,0)-IF(AND($U11=1,'calcA'!R$117=1,DQ11=0),300,0))),1000000000))</f>
        <v/>
      </c>
      <c r="OU11">
        <f>IF($B11=0,1000000000,IF(INDEX('calcA'!$D$60:$EQ$99,$B11,16)*IF($W11=1,DQ11+AAF11,DQ11)=1,IF(AND($E11=2,IF($W11=1,AFU11,JF11)=0),1000000000,IF($V11=1,INDEX('calcA'!$D$130:$EQ$169,$B11,16)+IF(AND($E11=1,JF11=0),25,0),INDEX('calcA'!S$110:S$114,$F11+1)+IF(AND($E11=1,JF11=0),1000,0)+IF($H11=1,INDEX('calcA'!$D$180:$EQ$219,$B11,16)*500,0)-IF(AND('calcA'!R$117=1,UP11&gt;0),300,0)-IF(AND($U11=1,'calcA'!S$117=1,DR11=0),300,0))),1000000000))</f>
        <v/>
      </c>
      <c r="OV11">
        <f>IF($B11=0,1000000000,IF(INDEX('calcA'!$D$60:$EQ$99,$B11,17)*IF($W11=1,DR11+AAG11,DR11)=1,IF(AND($E11=2,IF($W11=1,AFV11,JG11)=0),1000000000,IF($V11=1,INDEX('calcA'!$D$130:$EQ$169,$B11,17)+IF(AND($E11=1,JG11=0),25,0),INDEX('calcA'!T$110:T$114,$F11+1)+IF(AND($E11=1,JG11=0),1000,0)+IF($H11=1,INDEX('calcA'!$D$180:$EQ$219,$B11,17)*500,0)-IF(AND('calcA'!S$117=1,UQ11&gt;0),300,0)-IF(AND($U11=1,'calcA'!T$117=1,DS11=0),300,0))),1000000000))</f>
        <v/>
      </c>
      <c r="OW11">
        <f>IF($B11=0,1000000000,IF(INDEX('calcA'!$D$60:$EQ$99,$B11,18)*IF($W11=1,DS11+AAH11,DS11)=1,IF(AND($E11=2,IF($W11=1,AFW11,JH11)=0),1000000000,IF($V11=1,INDEX('calcA'!$D$130:$EQ$169,$B11,18)+IF(AND($E11=1,JH11=0),25,0),INDEX('calcA'!U$110:U$114,$F11+1)+IF(AND($E11=1,JH11=0),1000,0)+IF($H11=1,INDEX('calcA'!$D$180:$EQ$219,$B11,18)*500,0)-IF(AND('calcA'!T$117=1,UR11&gt;0),300,0)-IF(AND($U11=1,'calcA'!U$117=1,DT11=0),300,0))),1000000000))</f>
        <v/>
      </c>
      <c r="OX11">
        <f>IF($B11=0,1000000000,IF(INDEX('calcA'!$D$60:$EQ$99,$B11,19)*IF($W11=1,DT11+AAI11,DT11)=1,IF(AND($E11=2,IF($W11=1,AFX11,JI11)=0),1000000000,IF($V11=1,INDEX('calcA'!$D$130:$EQ$169,$B11,19)+IF(AND($E11=1,JI11=0),25,0),INDEX('calcA'!V$110:V$114,$F11+1)+IF(AND($E11=1,JI11=0),1000,0)+IF($H11=1,INDEX('calcA'!$D$180:$EQ$219,$B11,19)*500,0)-IF(AND('calcA'!U$117=1,US11&gt;0),300,0)-IF(AND($U11=1,'calcA'!V$117=1,DU11=0),300,0))),1000000000))</f>
        <v/>
      </c>
      <c r="OY11">
        <f>IF($B11=0,1000000000,IF(INDEX('calcA'!$D$60:$EQ$99,$B11,20)*IF($W11=1,DU11+AAJ11,DU11)=1,IF(AND($E11=2,IF($W11=1,AFY11,JJ11)=0),1000000000,IF($V11=1,INDEX('calcA'!$D$130:$EQ$169,$B11,20)+IF(AND($E11=1,JJ11=0),25,0),INDEX('calcA'!W$110:W$114,$F11+1)+IF(AND($E11=1,JJ11=0),1000,0)+IF($H11=1,INDEX('calcA'!$D$180:$EQ$219,$B11,20)*500,0)-IF(AND('calcA'!V$117=1,UT11&gt;0),300,0)-IF(AND($U11=1,'calcA'!W$117=1,DV11=0),300,0))),1000000000))</f>
        <v/>
      </c>
      <c r="OZ11">
        <f>IF($B11=0,1000000000,IF(INDEX('calcA'!$D$60:$EQ$99,$B11,21)*IF($W11=1,DV11+AAK11,DV11)=1,IF(AND($E11=2,IF($W11=1,AFZ11,JK11)=0),1000000000,IF($V11=1,INDEX('calcA'!$D$130:$EQ$169,$B11,21)+IF(AND($E11=1,JK11=0),25,0),INDEX('calcA'!X$110:X$114,$F11+1)+IF(AND($E11=1,JK11=0),1000,0)+IF($H11=1,INDEX('calcA'!$D$180:$EQ$219,$B11,21)*500,0)-IF(AND('calcA'!W$117=1,UU11&gt;0),300,0)-IF(AND($U11=1,'calcA'!X$117=1,DW11=0),300,0))),1000000000))</f>
        <v/>
      </c>
      <c r="PA11">
        <f>IF($B11=0,1000000000,IF(INDEX('calcA'!$D$60:$EQ$99,$B11,22)*IF($W11=1,DW11+AAL11,DW11)=1,IF(AND($E11=2,IF($W11=1,AGA11,JL11)=0),1000000000,IF($V11=1,INDEX('calcA'!$D$130:$EQ$169,$B11,22)+IF(AND($E11=1,JL11=0),25,0),INDEX('calcA'!Y$110:Y$114,$F11+1)+IF(AND($E11=1,JL11=0),1000,0)+IF($H11=1,INDEX('calcA'!$D$180:$EQ$219,$B11,22)*500,0)-IF(AND('calcA'!X$117=1,UV11&gt;0),300,0)-IF(AND($U11=1,'calcA'!Y$117=1,DX11=0),300,0))),1000000000))</f>
        <v/>
      </c>
      <c r="PB11">
        <f>IF($B11=0,1000000000,IF(INDEX('calcA'!$D$60:$EQ$99,$B11,23)*IF($W11=1,DX11+AAM11,DX11)=1,IF(AND($E11=2,IF($W11=1,AGB11,JM11)=0),1000000000,IF($V11=1,INDEX('calcA'!$D$130:$EQ$169,$B11,23)+IF(AND($E11=1,JM11=0),25,0),INDEX('calcA'!Z$110:Z$114,$F11+1)+IF(AND($E11=1,JM11=0),1000,0)+IF($H11=1,INDEX('calcA'!$D$180:$EQ$219,$B11,23)*500,0)-IF(AND('calcA'!Y$117=1,UW11&gt;0),300,0)-IF(AND($U11=1,'calcA'!Z$117=1,DY11=0),300,0))),1000000000))</f>
        <v/>
      </c>
      <c r="PC11">
        <f>IF($B11=0,1000000000,IF(INDEX('calcA'!$D$60:$EQ$99,$B11,24)*IF($W11=1,DY11+AAN11,DY11)=1,IF(AND($E11=2,IF($W11=1,AGC11,JN11)=0),1000000000,IF($V11=1,INDEX('calcA'!$D$130:$EQ$169,$B11,24)+IF(AND($E11=1,JN11=0),25,0),INDEX('calcA'!AA$110:AA$114,$F11+1)+IF(AND($E11=1,JN11=0),1000,0)+IF($H11=1,INDEX('calcA'!$D$180:$EQ$219,$B11,24)*500,0)-IF(AND('calcA'!Z$117=1,UX11&gt;0),300,0))),1000000000))</f>
        <v/>
      </c>
      <c r="PD11">
        <f>IF($B11=0,1000000000,IF(INDEX('calcA'!$D$60:$EQ$99,$B11,25)*IF($W11=1,DZ11+AAO11,DZ11)=1,IF(AND($E11=2,IF($W11=1,AGD11,JO11)=0),1000000000,IF($V11=1,INDEX('calcA'!$D$130:$EQ$169,$B11,25)+IF(AND($E11=1,JO11=0),25,0),INDEX('calcA'!AB$110:AB$114,$F11+1)+IF(AND($E11=1,JO11=0),1000,0)+IF($H11=1,INDEX('calcA'!$D$180:$EQ$219,$B11,25)*500,0)-IF(AND($U11=1,'calcA'!AB$117=1,EA11=0),300,0))),1000000000))</f>
        <v/>
      </c>
      <c r="PE11">
        <f>IF($B11=0,1000000000,IF(INDEX('calcA'!$D$60:$EQ$99,$B11,26)*IF($W11=1,EA11+AAP11,EA11)=1,IF(AND($E11=2,IF($W11=1,AGE11,JP11)=0),1000000000,IF($V11=1,INDEX('calcA'!$D$130:$EQ$169,$B11,26)+IF(AND($E11=1,JP11=0),25,0),INDEX('calcA'!AC$110:AC$114,$F11+1)+IF(AND($E11=1,JP11=0),1000,0)+IF($H11=1,INDEX('calcA'!$D$180:$EQ$219,$B11,26)*500,0)-IF(AND('calcA'!AB$117=1,UZ11&gt;0),300,0)-IF(AND($U11=1,'calcA'!AC$117=1,EB11=0),300,0))),1000000000))</f>
        <v/>
      </c>
      <c r="PF11">
        <f>IF($B11=0,1000000000,IF(INDEX('calcA'!$D$60:$EQ$99,$B11,27)*IF($W11=1,EB11+AAQ11,EB11)=1,IF(AND($E11=2,IF($W11=1,AGF11,JQ11)=0),1000000000,IF($V11=1,INDEX('calcA'!$D$130:$EQ$169,$B11,27)+IF(AND($E11=1,JQ11=0),25,0),INDEX('calcA'!AD$110:AD$114,$F11+1)+IF(AND($E11=1,JQ11=0),1000,0)+IF($H11=1,INDEX('calcA'!$D$180:$EQ$219,$B11,27)*500,0)-IF(AND('calcA'!AC$117=1,VA11&gt;0),300,0)-IF(AND($U11=1,'calcA'!AD$117=1,EC11=0),300,0))),1000000000))</f>
        <v/>
      </c>
      <c r="PG11">
        <f>IF($B11=0,1000000000,IF(INDEX('calcA'!$D$60:$EQ$99,$B11,28)*IF($W11=1,EC11+AAR11,EC11)=1,IF(AND($E11=2,IF($W11=1,AGG11,JR11)=0),1000000000,IF($V11=1,INDEX('calcA'!$D$130:$EQ$169,$B11,28)+IF(AND($E11=1,JR11=0),25,0),INDEX('calcA'!AE$110:AE$114,$F11+1)+IF(AND($E11=1,JR11=0),1000,0)+IF($H11=1,INDEX('calcA'!$D$180:$EQ$219,$B11,28)*500,0)-IF(AND('calcA'!AD$117=1,VB11&gt;0),300,0)-IF(AND($U11=1,'calcA'!AE$117=1,ED11=0),300,0))),1000000000))</f>
        <v/>
      </c>
      <c r="PH11">
        <f>IF($B11=0,1000000000,IF(INDEX('calcA'!$D$60:$EQ$99,$B11,29)*IF($W11=1,ED11+AAS11,ED11)=1,IF(AND($E11=2,IF($W11=1,AGH11,JS11)=0),1000000000,IF($V11=1,INDEX('calcA'!$D$130:$EQ$169,$B11,29)+IF(AND($E11=1,JS11=0),25,0),INDEX('calcA'!AF$110:AF$114,$F11+1)+IF(AND($E11=1,JS11=0),1000,0)+IF($H11=1,INDEX('calcA'!$D$180:$EQ$219,$B11,29)*500,0)-IF(AND('calcA'!AE$117=1,VC11&gt;0),300,0)-IF(AND($U11=1,'calcA'!AF$117=1,EE11=0),300,0))),1000000000))</f>
        <v/>
      </c>
      <c r="PI11">
        <f>IF($B11=0,1000000000,IF(INDEX('calcA'!$D$60:$EQ$99,$B11,30)*IF($W11=1,EE11+AAT11,EE11)=1,IF(AND($E11=2,IF($W11=1,AGI11,JT11)=0),1000000000,IF($V11=1,INDEX('calcA'!$D$130:$EQ$169,$B11,30)+IF(AND($E11=1,JT11=0),25,0),INDEX('calcA'!AG$110:AG$114,$F11+1)+IF(AND($E11=1,JT11=0),1000,0)+IF($H11=1,INDEX('calcA'!$D$180:$EQ$219,$B11,30)*500,0)-IF(AND('calcA'!AF$117=1,VD11&gt;0),300,0)-IF(AND($U11=1,'calcA'!AG$117=1,EF11=0),300,0))),1000000000))</f>
        <v/>
      </c>
      <c r="PJ11">
        <f>IF($B11=0,1000000000,IF(INDEX('calcA'!$D$60:$EQ$99,$B11,31)*IF($W11=1,EF11+AAU11,EF11)=1,IF(AND($E11=2,IF($W11=1,AGJ11,JU11)=0),1000000000,IF($V11=1,INDEX('calcA'!$D$130:$EQ$169,$B11,31)+IF(AND($E11=1,JU11=0),25,0),INDEX('calcA'!AH$110:AH$114,$F11+1)+IF(AND($E11=1,JU11=0),1000,0)+IF($H11=1,INDEX('calcA'!$D$180:$EQ$219,$B11,31)*500,0)-IF(AND('calcA'!AG$117=1,VE11&gt;0),300,0)-IF(AND($U11=1,'calcA'!AH$117=1,EG11=0),300,0))),1000000000))</f>
        <v/>
      </c>
      <c r="PK11">
        <f>IF($B11=0,1000000000,IF(INDEX('calcA'!$D$60:$EQ$99,$B11,32)*IF($W11=1,EG11+AAV11,EG11)=1,IF(AND($E11=2,IF($W11=1,AGK11,JV11)=0),1000000000,IF($V11=1,INDEX('calcA'!$D$130:$EQ$169,$B11,32)+IF(AND($E11=1,JV11=0),25,0),INDEX('calcA'!AI$110:AI$114,$F11+1)+IF(AND($E11=1,JV11=0),1000,0)+IF($H11=1,INDEX('calcA'!$D$180:$EQ$219,$B11,32)*500,0)-IF(AND('calcA'!AH$117=1,VF11&gt;0),300,0)-IF(AND($U11=1,'calcA'!AI$117=1,EH11=0),300,0))),1000000000))</f>
        <v/>
      </c>
      <c r="PL11">
        <f>IF($B11=0,1000000000,IF(INDEX('calcA'!$D$60:$EQ$99,$B11,33)*IF($W11=1,EH11+AAW11,EH11)=1,IF(AND($E11=2,IF($W11=1,AGL11,JW11)=0),1000000000,IF($V11=1,INDEX('calcA'!$D$130:$EQ$169,$B11,33)+IF(AND($E11=1,JW11=0),25,0),INDEX('calcA'!AJ$110:AJ$114,$F11+1)+IF(AND($E11=1,JW11=0),1000,0)+IF($H11=1,INDEX('calcA'!$D$180:$EQ$219,$B11,33)*500,0)-IF(AND('calcA'!AI$117=1,VG11&gt;0),300,0)-IF(AND($U11=1,'calcA'!AJ$117=1,EI11=0),300,0))),1000000000))</f>
        <v/>
      </c>
      <c r="PM11">
        <f>IF($B11=0,1000000000,IF(INDEX('calcA'!$D$60:$EQ$99,$B11,34)*IF($W11=1,EI11+AAX11,EI11)=1,IF(AND($E11=2,IF($W11=1,AGM11,JX11)=0),1000000000,IF($V11=1,INDEX('calcA'!$D$130:$EQ$169,$B11,34)+IF(AND($E11=1,JX11=0),25,0),INDEX('calcA'!AK$110:AK$114,$F11+1)+IF(AND($E11=1,JX11=0),1000,0)+IF($H11=1,INDEX('calcA'!$D$180:$EQ$219,$B11,34)*500,0)-IF(AND('calcA'!AJ$117=1,VH11&gt;0),300,0)-IF(AND($U11=1,'calcA'!AK$117=1,EJ11=0),300,0))),1000000000))</f>
        <v/>
      </c>
      <c r="PN11">
        <f>IF($B11=0,1000000000,IF(INDEX('calcA'!$D$60:$EQ$99,$B11,35)*IF($W11=1,EJ11+AAY11,EJ11)=1,IF(AND($E11=2,IF($W11=1,AGN11,JY11)=0),1000000000,IF($V11=1,INDEX('calcA'!$D$130:$EQ$169,$B11,35)+IF(AND($E11=1,JY11=0),25,0),INDEX('calcA'!AL$110:AL$114,$F11+1)+IF(AND($E11=1,JY11=0),1000,0)+IF($H11=1,INDEX('calcA'!$D$180:$EQ$219,$B11,35)*500,0)-IF(AND('calcA'!AK$117=1,VI11&gt;0),300,0)-IF(AND($U11=1,'calcA'!AL$117=1,EK11=0),300,0))),1000000000))</f>
        <v/>
      </c>
      <c r="PO11">
        <f>IF($B11=0,1000000000,IF(INDEX('calcA'!$D$60:$EQ$99,$B11,36)*IF($W11=1,EK11+AAZ11,EK11)=1,IF(AND($E11=2,IF($W11=1,AGO11,JZ11)=0),1000000000,IF($V11=1,INDEX('calcA'!$D$130:$EQ$169,$B11,36)+IF(AND($E11=1,JZ11=0),25,0),INDEX('calcA'!AM$110:AM$114,$F11+1)+IF(AND($E11=1,JZ11=0),1000,0)+IF($H11=1,INDEX('calcA'!$D$180:$EQ$219,$B11,36)*500,0)-IF(AND('calcA'!AL$117=1,VJ11&gt;0),300,0)-IF(AND($U11=1,'calcA'!AM$117=1,EL11=0),300,0))),1000000000))</f>
        <v/>
      </c>
      <c r="PP11">
        <f>IF($B11=0,1000000000,IF(INDEX('calcA'!$D$60:$EQ$99,$B11,37)*IF($W11=1,EL11+ABA11,EL11)=1,IF(AND($E11=2,IF($W11=1,AGP11,KA11)=0),1000000000,IF($V11=1,INDEX('calcA'!$D$130:$EQ$169,$B11,37)+IF(AND($E11=1,KA11=0),25,0),INDEX('calcA'!AN$110:AN$114,$F11+1)+IF(AND($E11=1,KA11=0),1000,0)+IF($H11=1,INDEX('calcA'!$D$180:$EQ$219,$B11,37)*500,0)-IF(AND('calcA'!AM$117=1,VK11&gt;0),300,0)-IF(AND($U11=1,'calcA'!AN$117=1,EM11=0),300,0))),1000000000))</f>
        <v/>
      </c>
      <c r="PQ11">
        <f>IF($B11=0,1000000000,IF(INDEX('calcA'!$D$60:$EQ$99,$B11,38)*IF($W11=1,EM11+ABB11,EM11)=1,IF(AND($E11=2,IF($W11=1,AGQ11,KB11)=0),1000000000,IF($V11=1,INDEX('calcA'!$D$130:$EQ$169,$B11,38)+IF(AND($E11=1,KB11=0),25,0),INDEX('calcA'!AO$110:AO$114,$F11+1)+IF(AND($E11=1,KB11=0),1000,0)+IF($H11=1,INDEX('calcA'!$D$180:$EQ$219,$B11,38)*500,0)-IF(AND('calcA'!AN$117=1,VL11&gt;0),300,0)-IF(AND($U11=1,'calcA'!AO$117=1,EN11=0),300,0))),1000000000))</f>
        <v/>
      </c>
      <c r="PR11">
        <f>IF($B11=0,1000000000,IF(INDEX('calcA'!$D$60:$EQ$99,$B11,39)*IF($W11=1,EN11+ABC11,EN11)=1,IF(AND($E11=2,IF($W11=1,AGR11,KC11)=0),1000000000,IF($V11=1,INDEX('calcA'!$D$130:$EQ$169,$B11,39)+IF(AND($E11=1,KC11=0),25,0),INDEX('calcA'!AP$110:AP$114,$F11+1)+IF(AND($E11=1,KC11=0),1000,0)+IF($H11=1,INDEX('calcA'!$D$180:$EQ$219,$B11,39)*500,0)-IF(AND('calcA'!AO$117=1,VM11&gt;0),300,0)-IF(AND($U11=1,'calcA'!AP$117=1,EO11=0),300,0))),1000000000))</f>
        <v/>
      </c>
      <c r="PS11">
        <f>IF($B11=0,1000000000,IF(INDEX('calcA'!$D$60:$EQ$99,$B11,40)*IF($W11=1,EO11+ABD11,EO11)=1,IF(AND($E11=2,IF($W11=1,AGS11,KD11)=0),1000000000,IF($V11=1,INDEX('calcA'!$D$130:$EQ$169,$B11,40)+IF(AND($E11=1,KD11=0),25,0),INDEX('calcA'!AQ$110:AQ$114,$F11+1)+IF(AND($E11=1,KD11=0),1000,0)+IF($H11=1,INDEX('calcA'!$D$180:$EQ$219,$B11,40)*500,0)-IF(AND('calcA'!AP$117=1,VN11&gt;0),300,0)-IF(AND($U11=1,'calcA'!AQ$117=1,EP11=0),300,0))),1000000000))</f>
        <v/>
      </c>
      <c r="PT11">
        <f>IF($B11=0,1000000000,IF(INDEX('calcA'!$D$60:$EQ$99,$B11,41)*IF($W11=1,EP11+ABE11,EP11)=1,IF(AND($E11=2,IF($W11=1,AGT11,KE11)=0),1000000000,IF($V11=1,INDEX('calcA'!$D$130:$EQ$169,$B11,41)+IF(AND($E11=1,KE11=0),25,0),INDEX('calcA'!AR$110:AR$114,$F11+1)+IF(AND($E11=1,KE11=0),1000,0)+IF($H11=1,INDEX('calcA'!$D$180:$EQ$219,$B11,41)*500,0)-IF(AND('calcA'!AQ$117=1,VO11&gt;0),300,0)-IF(AND($U11=1,'calcA'!AR$117=1,EQ11=0),300,0))),1000000000))</f>
        <v/>
      </c>
      <c r="PU11">
        <f>IF($B11=0,1000000000,IF(INDEX('calcA'!$D$60:$EQ$99,$B11,42)*IF($W11=1,EQ11+ABF11,EQ11)=1,IF(AND($E11=2,IF($W11=1,AGU11,KF11)=0),1000000000,IF($V11=1,INDEX('calcA'!$D$130:$EQ$169,$B11,42)+IF(AND($E11=1,KF11=0),25,0),INDEX('calcA'!AS$110:AS$114,$F11+1)+IF(AND($E11=1,KF11=0),1000,0)+IF($H11=1,INDEX('calcA'!$D$180:$EQ$219,$B11,42)*500,0)-IF(AND('calcA'!AR$117=1,VP11&gt;0),300,0)-IF(AND($U11=1,'calcA'!AS$117=1,ER11=0),300,0))),1000000000))</f>
        <v/>
      </c>
      <c r="PV11">
        <f>IF($B11=0,1000000000,IF(INDEX('calcA'!$D$60:$EQ$99,$B11,43)*IF($W11=1,ER11+ABG11,ER11)=1,IF(AND($E11=2,IF($W11=1,AGV11,KG11)=0),1000000000,IF($V11=1,INDEX('calcA'!$D$130:$EQ$169,$B11,43)+IF(AND($E11=1,KG11=0),25,0),INDEX('calcA'!AT$110:AT$114,$F11+1)+IF(AND($E11=1,KG11=0),1000,0)+IF($H11=1,INDEX('calcA'!$D$180:$EQ$219,$B11,43)*500,0)-IF(AND('calcA'!AS$117=1,VQ11&gt;0),300,0)-IF(AND($U11=1,'calcA'!AT$117=1,ES11=0),300,0))),1000000000))</f>
        <v/>
      </c>
      <c r="PW11">
        <f>IF($B11=0,1000000000,IF(INDEX('calcA'!$D$60:$EQ$99,$B11,44)*IF($W11=1,ES11+ABH11,ES11)=1,IF(AND($E11=2,IF($W11=1,AGW11,KH11)=0),1000000000,IF($V11=1,INDEX('calcA'!$D$130:$EQ$169,$B11,44)+IF(AND($E11=1,KH11=0),25,0),INDEX('calcA'!AU$110:AU$114,$F11+1)+IF(AND($E11=1,KH11=0),1000,0)+IF($H11=1,INDEX('calcA'!$D$180:$EQ$219,$B11,44)*500,0)-IF(AND('calcA'!AT$117=1,VR11&gt;0),300,0)-IF(AND($U11=1,'calcA'!AU$117=1,ET11=0),300,0))),1000000000))</f>
        <v/>
      </c>
      <c r="PX11">
        <f>IF($B11=0,1000000000,IF(INDEX('calcA'!$D$60:$EQ$99,$B11,45)*IF($W11=1,ET11+ABI11,ET11)=1,IF(AND($E11=2,IF($W11=1,AGX11,KI11)=0),1000000000,IF($V11=1,INDEX('calcA'!$D$130:$EQ$169,$B11,45)+IF(AND($E11=1,KI11=0),25,0),INDEX('calcA'!AV$110:AV$114,$F11+1)+IF(AND($E11=1,KI11=0),1000,0)+IF($H11=1,INDEX('calcA'!$D$180:$EQ$219,$B11,45)*500,0)-IF(AND('calcA'!AU$117=1,VS11&gt;0),300,0)-IF(AND($U11=1,'calcA'!AV$117=1,EU11=0),300,0))),1000000000))</f>
        <v/>
      </c>
      <c r="PY11">
        <f>IF($B11=0,1000000000,IF(INDEX('calcA'!$D$60:$EQ$99,$B11,46)*IF($W11=1,EU11+ABJ11,EU11)=1,IF(AND($E11=2,IF($W11=1,AGY11,KJ11)=0),1000000000,IF($V11=1,INDEX('calcA'!$D$130:$EQ$169,$B11,46)+IF(AND($E11=1,KJ11=0),25,0),INDEX('calcA'!AW$110:AW$114,$F11+1)+IF(AND($E11=1,KJ11=0),1000,0)+IF($H11=1,INDEX('calcA'!$D$180:$EQ$219,$B11,46)*500,0)-IF(AND('calcA'!AV$117=1,VT11&gt;0),300,0)-IF(AND($U11=1,'calcA'!AW$117=1,EV11=0),300,0))),1000000000))</f>
        <v/>
      </c>
      <c r="PZ11">
        <f>IF($B11=0,1000000000,IF(INDEX('calcA'!$D$60:$EQ$99,$B11,47)*IF($W11=1,EV11+ABK11,EV11)=1,IF(AND($E11=2,IF($W11=1,AGZ11,KK11)=0),1000000000,IF($V11=1,INDEX('calcA'!$D$130:$EQ$169,$B11,47)+IF(AND($E11=1,KK11=0),25,0),INDEX('calcA'!AX$110:AX$114,$F11+1)+IF(AND($E11=1,KK11=0),1000,0)+IF($H11=1,INDEX('calcA'!$D$180:$EQ$219,$B11,47)*500,0)-IF(AND('calcA'!AW$117=1,VU11&gt;0),300,0)-IF(AND($U11=1,'calcA'!AX$117=1,EW11=0),300,0))),1000000000))</f>
        <v/>
      </c>
      <c r="QA11">
        <f>IF($B11=0,1000000000,IF(INDEX('calcA'!$D$60:$EQ$99,$B11,48)*IF($W11=1,EW11+ABL11,EW11)=1,IF(AND($E11=2,IF($W11=1,AHA11,KL11)=0),1000000000,IF($V11=1,INDEX('calcA'!$D$130:$EQ$169,$B11,48)+IF(AND($E11=1,KL11=0),25,0),INDEX('calcA'!AY$110:AY$114,$F11+1)+IF(AND($E11=1,KL11=0),1000,0)+IF($H11=1,INDEX('calcA'!$D$180:$EQ$219,$B11,48)*500,0)-IF(AND('calcA'!AX$117=1,VV11&gt;0),300,0))),1000000000))</f>
        <v/>
      </c>
      <c r="QB11">
        <f>IF($B11=0,1000000000,IF(INDEX('calcA'!$D$60:$EQ$99,$B11,49)*IF($W11=1,EX11+ABM11,EX11)=1,IF(AND($E11=2,IF($W11=1,AHB11,KM11)=0),1000000000,IF($V11=1,INDEX('calcA'!$D$130:$EQ$169,$B11,49)+IF(AND($E11=1,KM11=0),25,0),INDEX('calcA'!AZ$110:AZ$114,$F11+1)+IF(AND($E11=1,KM11=0),1000,0)+IF($H11=1,INDEX('calcA'!$D$180:$EQ$219,$B11,49)*500,0)-IF(AND($U11=1,'calcA'!AZ$117=1,EY11=0),300,0))),1000000000))</f>
        <v/>
      </c>
      <c r="QC11">
        <f>IF($B11=0,1000000000,IF(INDEX('calcA'!$D$60:$EQ$99,$B11,50)*IF($W11=1,EY11+ABN11,EY11)=1,IF(AND($E11=2,IF($W11=1,AHC11,KN11)=0),1000000000,IF($V11=1,INDEX('calcA'!$D$130:$EQ$169,$B11,50)+IF(AND($E11=1,KN11=0),25,0),INDEX('calcA'!BA$110:BA$114,$F11+1)+IF(AND($E11=1,KN11=0),1000,0)+IF($H11=1,INDEX('calcA'!$D$180:$EQ$219,$B11,50)*500,0)-IF(AND('calcA'!AZ$117=1,VX11&gt;0),300,0)-IF(AND($U11=1,'calcA'!BA$117=1,EZ11=0),300,0))),1000000000))</f>
        <v/>
      </c>
      <c r="QD11">
        <f>IF($B11=0,1000000000,IF(INDEX('calcA'!$D$60:$EQ$99,$B11,51)*IF($W11=1,EZ11+ABO11,EZ11)=1,IF(AND($E11=2,IF($W11=1,AHD11,KO11)=0),1000000000,IF($V11=1,INDEX('calcA'!$D$130:$EQ$169,$B11,51)+IF(AND($E11=1,KO11=0),25,0),INDEX('calcA'!BB$110:BB$114,$F11+1)+IF(AND($E11=1,KO11=0),1000,0)+IF($H11=1,INDEX('calcA'!$D$180:$EQ$219,$B11,51)*500,0)-IF(AND('calcA'!BA$117=1,VY11&gt;0),300,0)-IF(AND($U11=1,'calcA'!BB$117=1,FA11=0),300,0))),1000000000))</f>
        <v/>
      </c>
      <c r="QE11">
        <f>IF($B11=0,1000000000,IF(INDEX('calcA'!$D$60:$EQ$99,$B11,52)*IF($W11=1,FA11+ABP11,FA11)=1,IF(AND($E11=2,IF($W11=1,AHE11,KP11)=0),1000000000,IF($V11=1,INDEX('calcA'!$D$130:$EQ$169,$B11,52)+IF(AND($E11=1,KP11=0),25,0),INDEX('calcA'!BC$110:BC$114,$F11+1)+IF(AND($E11=1,KP11=0),1000,0)+IF($H11=1,INDEX('calcA'!$D$180:$EQ$219,$B11,52)*500,0)-IF(AND('calcA'!BB$117=1,VZ11&gt;0),300,0)-IF(AND($U11=1,'calcA'!BC$117=1,FB11=0),300,0))),1000000000))</f>
        <v/>
      </c>
      <c r="QF11">
        <f>IF($B11=0,1000000000,IF(INDEX('calcA'!$D$60:$EQ$99,$B11,53)*IF($W11=1,FB11+ABQ11,FB11)=1,IF(AND($E11=2,IF($W11=1,AHF11,KQ11)=0),1000000000,IF($V11=1,INDEX('calcA'!$D$130:$EQ$169,$B11,53)+IF(AND($E11=1,KQ11=0),25,0),INDEX('calcA'!BD$110:BD$114,$F11+1)+IF(AND($E11=1,KQ11=0),1000,0)+IF($H11=1,INDEX('calcA'!$D$180:$EQ$219,$B11,53)*500,0)-IF(AND('calcA'!BC$117=1,WA11&gt;0),300,0)-IF(AND($U11=1,'calcA'!BD$117=1,FC11=0),300,0))),1000000000))</f>
        <v/>
      </c>
      <c r="QG11">
        <f>IF($B11=0,1000000000,IF(INDEX('calcA'!$D$60:$EQ$99,$B11,54)*IF($W11=1,FC11+ABR11,FC11)=1,IF(AND($E11=2,IF($W11=1,AHG11,KR11)=0),1000000000,IF($V11=1,INDEX('calcA'!$D$130:$EQ$169,$B11,54)+IF(AND($E11=1,KR11=0),25,0),INDEX('calcA'!BE$110:BE$114,$F11+1)+IF(AND($E11=1,KR11=0),1000,0)+IF($H11=1,INDEX('calcA'!$D$180:$EQ$219,$B11,54)*500,0)-IF(AND('calcA'!BD$117=1,WB11&gt;0),300,0)-IF(AND($U11=1,'calcA'!BE$117=1,FD11=0),300,0))),1000000000))</f>
        <v/>
      </c>
      <c r="QH11">
        <f>IF($B11=0,1000000000,IF(INDEX('calcA'!$D$60:$EQ$99,$B11,55)*IF($W11=1,FD11+ABS11,FD11)=1,IF(AND($E11=2,IF($W11=1,AHH11,KS11)=0),1000000000,IF($V11=1,INDEX('calcA'!$D$130:$EQ$169,$B11,55)+IF(AND($E11=1,KS11=0),25,0),INDEX('calcA'!BF$110:BF$114,$F11+1)+IF(AND($E11=1,KS11=0),1000,0)+IF($H11=1,INDEX('calcA'!$D$180:$EQ$219,$B11,55)*500,0)-IF(AND('calcA'!BE$117=1,WC11&gt;0),300,0)-IF(AND($U11=1,'calcA'!BF$117=1,FE11=0),300,0))),1000000000))</f>
        <v/>
      </c>
      <c r="QI11">
        <f>IF($B11=0,1000000000,IF(INDEX('calcA'!$D$60:$EQ$99,$B11,56)*IF($W11=1,FE11+ABT11,FE11)=1,IF(AND($E11=2,IF($W11=1,AHI11,KT11)=0),1000000000,IF($V11=1,INDEX('calcA'!$D$130:$EQ$169,$B11,56)+IF(AND($E11=1,KT11=0),25,0),INDEX('calcA'!BG$110:BG$114,$F11+1)+IF(AND($E11=1,KT11=0),1000,0)+IF($H11=1,INDEX('calcA'!$D$180:$EQ$219,$B11,56)*500,0)-IF(AND('calcA'!BF$117=1,WD11&gt;0),300,0)-IF(AND($U11=1,'calcA'!BG$117=1,FF11=0),300,0))),1000000000))</f>
        <v/>
      </c>
      <c r="QJ11">
        <f>IF($B11=0,1000000000,IF(INDEX('calcA'!$D$60:$EQ$99,$B11,57)*IF($W11=1,FF11+ABU11,FF11)=1,IF(AND($E11=2,IF($W11=1,AHJ11,KU11)=0),1000000000,IF($V11=1,INDEX('calcA'!$D$130:$EQ$169,$B11,57)+IF(AND($E11=1,KU11=0),25,0),INDEX('calcA'!BH$110:BH$114,$F11+1)+IF(AND($E11=1,KU11=0),1000,0)+IF($H11=1,INDEX('calcA'!$D$180:$EQ$219,$B11,57)*500,0)-IF(AND('calcA'!BG$117=1,WE11&gt;0),300,0)-IF(AND($U11=1,'calcA'!BH$117=1,FG11=0),300,0))),1000000000))</f>
        <v/>
      </c>
      <c r="QK11">
        <f>IF($B11=0,1000000000,IF(INDEX('calcA'!$D$60:$EQ$99,$B11,58)*IF($W11=1,FG11+ABV11,FG11)=1,IF(AND($E11=2,IF($W11=1,AHK11,KV11)=0),1000000000,IF($V11=1,INDEX('calcA'!$D$130:$EQ$169,$B11,58)+IF(AND($E11=1,KV11=0),25,0),INDEX('calcA'!BI$110:BI$114,$F11+1)+IF(AND($E11=1,KV11=0),1000,0)+IF($H11=1,INDEX('calcA'!$D$180:$EQ$219,$B11,58)*500,0)-IF(AND('calcA'!BH$117=1,WF11&gt;0),300,0)-IF(AND($U11=1,'calcA'!BI$117=1,FH11=0),300,0))),1000000000))</f>
        <v/>
      </c>
      <c r="QL11">
        <f>IF($B11=0,1000000000,IF(INDEX('calcA'!$D$60:$EQ$99,$B11,59)*IF($W11=1,FH11+ABW11,FH11)=1,IF(AND($E11=2,IF($W11=1,AHL11,KW11)=0),1000000000,IF($V11=1,INDEX('calcA'!$D$130:$EQ$169,$B11,59)+IF(AND($E11=1,KW11=0),25,0),INDEX('calcA'!BJ$110:BJ$114,$F11+1)+IF(AND($E11=1,KW11=0),1000,0)+IF($H11=1,INDEX('calcA'!$D$180:$EQ$219,$B11,59)*500,0)-IF(AND('calcA'!BI$117=1,WG11&gt;0),300,0)-IF(AND($U11=1,'calcA'!BJ$117=1,FI11=0),300,0))),1000000000))</f>
        <v/>
      </c>
      <c r="QM11">
        <f>IF($B11=0,1000000000,IF(INDEX('calcA'!$D$60:$EQ$99,$B11,60)*IF($W11=1,FI11+ABX11,FI11)=1,IF(AND($E11=2,IF($W11=1,AHM11,KX11)=0),1000000000,IF($V11=1,INDEX('calcA'!$D$130:$EQ$169,$B11,60)+IF(AND($E11=1,KX11=0),25,0),INDEX('calcA'!BK$110:BK$114,$F11+1)+IF(AND($E11=1,KX11=0),1000,0)+IF($H11=1,INDEX('calcA'!$D$180:$EQ$219,$B11,60)*500,0)-IF(AND('calcA'!BJ$117=1,WH11&gt;0),300,0)-IF(AND($U11=1,'calcA'!BK$117=1,FJ11=0),300,0))),1000000000))</f>
        <v/>
      </c>
      <c r="QN11">
        <f>IF($B11=0,1000000000,IF(INDEX('calcA'!$D$60:$EQ$99,$B11,61)*IF($W11=1,FJ11+ABY11,FJ11)=1,IF(AND($E11=2,IF($W11=1,AHN11,KY11)=0),1000000000,IF($V11=1,INDEX('calcA'!$D$130:$EQ$169,$B11,61)+IF(AND($E11=1,KY11=0),25,0),INDEX('calcA'!BL$110:BL$114,$F11+1)+IF(AND($E11=1,KY11=0),1000,0)+IF($H11=1,INDEX('calcA'!$D$180:$EQ$219,$B11,61)*500,0)-IF(AND('calcA'!BK$117=1,WI11&gt;0),300,0)-IF(AND($U11=1,'calcA'!BL$117=1,FK11=0),300,0))),1000000000))</f>
        <v/>
      </c>
      <c r="QO11">
        <f>IF($B11=0,1000000000,IF(INDEX('calcA'!$D$60:$EQ$99,$B11,62)*IF($W11=1,FK11+ABZ11,FK11)=1,IF(AND($E11=2,IF($W11=1,AHO11,KZ11)=0),1000000000,IF($V11=1,INDEX('calcA'!$D$130:$EQ$169,$B11,62)+IF(AND($E11=1,KZ11=0),25,0),INDEX('calcA'!BM$110:BM$114,$F11+1)+IF(AND($E11=1,KZ11=0),1000,0)+IF($H11=1,INDEX('calcA'!$D$180:$EQ$219,$B11,62)*500,0)-IF(AND('calcA'!BL$117=1,WJ11&gt;0),300,0)-IF(AND($U11=1,'calcA'!BM$117=1,FL11=0),300,0))),1000000000))</f>
        <v/>
      </c>
      <c r="QP11">
        <f>IF($B11=0,1000000000,IF(INDEX('calcA'!$D$60:$EQ$99,$B11,63)*IF($W11=1,FL11+ACA11,FL11)=1,IF(AND($E11=2,IF($W11=1,AHP11,LA11)=0),1000000000,IF($V11=1,INDEX('calcA'!$D$130:$EQ$169,$B11,63)+IF(AND($E11=1,LA11=0),25,0),INDEX('calcA'!BN$110:BN$114,$F11+1)+IF(AND($E11=1,LA11=0),1000,0)+IF($H11=1,INDEX('calcA'!$D$180:$EQ$219,$B11,63)*500,0)-IF(AND('calcA'!BM$117=1,WK11&gt;0),300,0)-IF(AND($U11=1,'calcA'!BN$117=1,FM11=0),300,0))),1000000000))</f>
        <v/>
      </c>
      <c r="QQ11">
        <f>IF($B11=0,1000000000,IF(INDEX('calcA'!$D$60:$EQ$99,$B11,64)*IF($W11=1,FM11+ACB11,FM11)=1,IF(AND($E11=2,IF($W11=1,AHQ11,LB11)=0),1000000000,IF($V11=1,INDEX('calcA'!$D$130:$EQ$169,$B11,64)+IF(AND($E11=1,LB11=0),25,0),INDEX('calcA'!BO$110:BO$114,$F11+1)+IF(AND($E11=1,LB11=0),1000,0)+IF($H11=1,INDEX('calcA'!$D$180:$EQ$219,$B11,64)*500,0)-IF(AND('calcA'!BN$117=1,WL11&gt;0),300,0)-IF(AND($U11=1,'calcA'!BO$117=1,FN11=0),300,0))),1000000000))</f>
        <v/>
      </c>
      <c r="QR11">
        <f>IF($B11=0,1000000000,IF(INDEX('calcA'!$D$60:$EQ$99,$B11,65)*IF($W11=1,FN11+ACC11,FN11)=1,IF(AND($E11=2,IF($W11=1,AHR11,LC11)=0),1000000000,IF($V11=1,INDEX('calcA'!$D$130:$EQ$169,$B11,65)+IF(AND($E11=1,LC11=0),25,0),INDEX('calcA'!BP$110:BP$114,$F11+1)+IF(AND($E11=1,LC11=0),1000,0)+IF($H11=1,INDEX('calcA'!$D$180:$EQ$219,$B11,65)*500,0)-IF(AND('calcA'!BO$117=1,WM11&gt;0),300,0)-IF(AND($U11=1,'calcA'!BP$117=1,FO11=0),300,0))),1000000000))</f>
        <v/>
      </c>
      <c r="QS11">
        <f>IF($B11=0,1000000000,IF(INDEX('calcA'!$D$60:$EQ$99,$B11,66)*IF($W11=1,FO11+ACD11,FO11)=1,IF(AND($E11=2,IF($W11=1,AHS11,LD11)=0),1000000000,IF($V11=1,INDEX('calcA'!$D$130:$EQ$169,$B11,66)+IF(AND($E11=1,LD11=0),25,0),INDEX('calcA'!BQ$110:BQ$114,$F11+1)+IF(AND($E11=1,LD11=0),1000,0)+IF($H11=1,INDEX('calcA'!$D$180:$EQ$219,$B11,66)*500,0)-IF(AND('calcA'!BP$117=1,WN11&gt;0),300,0)-IF(AND($U11=1,'calcA'!BQ$117=1,FP11=0),300,0))),1000000000))</f>
        <v/>
      </c>
      <c r="QT11">
        <f>IF($B11=0,1000000000,IF(INDEX('calcA'!$D$60:$EQ$99,$B11,67)*IF($W11=1,FP11+ACE11,FP11)=1,IF(AND($E11=2,IF($W11=1,AHT11,LE11)=0),1000000000,IF($V11=1,INDEX('calcA'!$D$130:$EQ$169,$B11,67)+IF(AND($E11=1,LE11=0),25,0),INDEX('calcA'!BR$110:BR$114,$F11+1)+IF(AND($E11=1,LE11=0),1000,0)+IF($H11=1,INDEX('calcA'!$D$180:$EQ$219,$B11,67)*500,0)-IF(AND('calcA'!BQ$117=1,WO11&gt;0),300,0)-IF(AND($U11=1,'calcA'!BR$117=1,FQ11=0),300,0))),1000000000))</f>
        <v/>
      </c>
      <c r="QU11">
        <f>IF($B11=0,1000000000,IF(INDEX('calcA'!$D$60:$EQ$99,$B11,68)*IF($W11=1,FQ11+ACF11,FQ11)=1,IF(AND($E11=2,IF($W11=1,AHU11,LF11)=0),1000000000,IF($V11=1,INDEX('calcA'!$D$130:$EQ$169,$B11,68)+IF(AND($E11=1,LF11=0),25,0),INDEX('calcA'!BS$110:BS$114,$F11+1)+IF(AND($E11=1,LF11=0),1000,0)+IF($H11=1,INDEX('calcA'!$D$180:$EQ$219,$B11,68)*500,0)-IF(AND('calcA'!BR$117=1,WP11&gt;0),300,0)-IF(AND($U11=1,'calcA'!BS$117=1,FR11=0),300,0))),1000000000))</f>
        <v/>
      </c>
      <c r="QV11">
        <f>IF($B11=0,1000000000,IF(INDEX('calcA'!$D$60:$EQ$99,$B11,69)*IF($W11=1,FR11+ACG11,FR11)=1,IF(AND($E11=2,IF($W11=1,AHV11,LG11)=0),1000000000,IF($V11=1,INDEX('calcA'!$D$130:$EQ$169,$B11,69)+IF(AND($E11=1,LG11=0),25,0),INDEX('calcA'!BT$110:BT$114,$F11+1)+IF(AND($E11=1,LG11=0),1000,0)+IF($H11=1,INDEX('calcA'!$D$180:$EQ$219,$B11,69)*500,0)-IF(AND('calcA'!BS$117=1,WQ11&gt;0),300,0)-IF(AND($U11=1,'calcA'!BT$117=1,FS11=0),300,0))),1000000000))</f>
        <v/>
      </c>
      <c r="QW11">
        <f>IF($B11=0,1000000000,IF(INDEX('calcA'!$D$60:$EQ$99,$B11,70)*IF($W11=1,FS11+ACH11,FS11)=1,IF(AND($E11=2,IF($W11=1,AHW11,LH11)=0),1000000000,IF($V11=1,INDEX('calcA'!$D$130:$EQ$169,$B11,70)+IF(AND($E11=1,LH11=0),25,0),INDEX('calcA'!BU$110:BU$114,$F11+1)+IF(AND($E11=1,LH11=0),1000,0)+IF($H11=1,INDEX('calcA'!$D$180:$EQ$219,$B11,70)*500,0)-IF(AND('calcA'!BT$117=1,WR11&gt;0),300,0)-IF(AND($U11=1,'calcA'!BU$117=1,FT11=0),300,0))),1000000000))</f>
        <v/>
      </c>
      <c r="QX11">
        <f>IF($B11=0,1000000000,IF(INDEX('calcA'!$D$60:$EQ$99,$B11,71)*IF($W11=1,FT11+ACI11,FT11)=1,IF(AND($E11=2,IF($W11=1,AHX11,LI11)=0),1000000000,IF($V11=1,INDEX('calcA'!$D$130:$EQ$169,$B11,71)+IF(AND($E11=1,LI11=0),25,0),INDEX('calcA'!BV$110:BV$114,$F11+1)+IF(AND($E11=1,LI11=0),1000,0)+IF($H11=1,INDEX('calcA'!$D$180:$EQ$219,$B11,71)*500,0)-IF(AND('calcA'!BU$117=1,WS11&gt;0),300,0)-IF(AND($U11=1,'calcA'!BV$117=1,FU11=0),300,0))),1000000000))</f>
        <v/>
      </c>
      <c r="QY11">
        <f>IF($B11=0,1000000000,IF(INDEX('calcA'!$D$60:$EQ$99,$B11,72)*IF($W11=1,FU11+ACJ11,FU11)=1,IF(AND($E11=2,IF($W11=1,AHY11,LJ11)=0),1000000000,IF($V11=1,INDEX('calcA'!$D$130:$EQ$169,$B11,72)+IF(AND($E11=1,LJ11=0),25,0),INDEX('calcA'!BW$110:BW$114,$F11+1)+IF(AND($E11=1,LJ11=0),1000,0)+IF($H11=1,INDEX('calcA'!$D$180:$EQ$219,$B11,72)*500,0)-IF(AND('calcA'!BV$117=1,WT11&gt;0),300,0))),1000000000))</f>
        <v/>
      </c>
      <c r="QZ11">
        <f>IF($B11=0,1000000000,IF(INDEX('calcA'!$D$60:$EQ$99,$B11,73)*IF($W11=1,FV11+ACK11,FV11)=1,IF(AND($E11=2,IF($W11=1,AHZ11,LK11)=0),1000000000,IF($V11=1,INDEX('calcA'!$D$130:$EQ$169,$B11,73)+IF(AND($E11=1,LK11=0),25,0),INDEX('calcA'!BX$110:BX$114,$F11+1)+IF(AND($E11=1,LK11=0),1000,0)+IF($H11=1,INDEX('calcA'!$D$180:$EQ$219,$B11,73)*500,0)-IF(AND($U11=1,'calcA'!BX$117=1,FW11=0),300,0))),1000000000))</f>
        <v/>
      </c>
      <c r="RA11">
        <f>IF($B11=0,1000000000,IF(INDEX('calcA'!$D$60:$EQ$99,$B11,74)*IF($W11=1,FW11+ACL11,FW11)=1,IF(AND($E11=2,IF($W11=1,AIA11,LL11)=0),1000000000,IF($V11=1,INDEX('calcA'!$D$130:$EQ$169,$B11,74)+IF(AND($E11=1,LL11=0),25,0),INDEX('calcA'!BY$110:BY$114,$F11+1)+IF(AND($E11=1,LL11=0),1000,0)+IF($H11=1,INDEX('calcA'!$D$180:$EQ$219,$B11,74)*500,0)-IF(AND('calcA'!BX$117=1,WV11&gt;0),300,0)-IF(AND($U11=1,'calcA'!BY$117=1,FX11=0),300,0))),1000000000))</f>
        <v/>
      </c>
      <c r="RB11">
        <f>IF($B11=0,1000000000,IF(INDEX('calcA'!$D$60:$EQ$99,$B11,75)*IF($W11=1,FX11+ACM11,FX11)=1,IF(AND($E11=2,IF($W11=1,AIB11,LM11)=0),1000000000,IF($V11=1,INDEX('calcA'!$D$130:$EQ$169,$B11,75)+IF(AND($E11=1,LM11=0),25,0),INDEX('calcA'!BZ$110:BZ$114,$F11+1)+IF(AND($E11=1,LM11=0),1000,0)+IF($H11=1,INDEX('calcA'!$D$180:$EQ$219,$B11,75)*500,0)-IF(AND('calcA'!BY$117=1,WW11&gt;0),300,0)-IF(AND($U11=1,'calcA'!BZ$117=1,FY11=0),300,0))),1000000000))</f>
        <v/>
      </c>
      <c r="RC11">
        <f>IF($B11=0,1000000000,IF(INDEX('calcA'!$D$60:$EQ$99,$B11,76)*IF($W11=1,FY11+ACN11,FY11)=1,IF(AND($E11=2,IF($W11=1,AIC11,LN11)=0),1000000000,IF($V11=1,INDEX('calcA'!$D$130:$EQ$169,$B11,76)+IF(AND($E11=1,LN11=0),25,0),INDEX('calcA'!CA$110:CA$114,$F11+1)+IF(AND($E11=1,LN11=0),1000,0)+IF($H11=1,INDEX('calcA'!$D$180:$EQ$219,$B11,76)*500,0)-IF(AND('calcA'!BZ$117=1,WX11&gt;0),300,0)-IF(AND($U11=1,'calcA'!CA$117=1,FZ11=0),300,0))),1000000000))</f>
        <v/>
      </c>
      <c r="RD11">
        <f>IF($B11=0,1000000000,IF(INDEX('calcA'!$D$60:$EQ$99,$B11,77)*IF($W11=1,FZ11+ACO11,FZ11)=1,IF(AND($E11=2,IF($W11=1,AID11,LO11)=0),1000000000,IF($V11=1,INDEX('calcA'!$D$130:$EQ$169,$B11,77)+IF(AND($E11=1,LO11=0),25,0),INDEX('calcA'!CB$110:CB$114,$F11+1)+IF(AND($E11=1,LO11=0),1000,0)+IF($H11=1,INDEX('calcA'!$D$180:$EQ$219,$B11,77)*500,0)-IF(AND('calcA'!CA$117=1,WY11&gt;0),300,0)-IF(AND($U11=1,'calcA'!CB$117=1,GA11=0),300,0))),1000000000))</f>
        <v/>
      </c>
      <c r="RE11">
        <f>IF($B11=0,1000000000,IF(INDEX('calcA'!$D$60:$EQ$99,$B11,78)*IF($W11=1,GA11+ACP11,GA11)=1,IF(AND($E11=2,IF($W11=1,AIE11,LP11)=0),1000000000,IF($V11=1,INDEX('calcA'!$D$130:$EQ$169,$B11,78)+IF(AND($E11=1,LP11=0),25,0),INDEX('calcA'!CC$110:CC$114,$F11+1)+IF(AND($E11=1,LP11=0),1000,0)+IF($H11=1,INDEX('calcA'!$D$180:$EQ$219,$B11,78)*500,0)-IF(AND('calcA'!CB$117=1,WZ11&gt;0),300,0)-IF(AND($U11=1,'calcA'!CC$117=1,GB11=0),300,0))),1000000000))</f>
        <v/>
      </c>
      <c r="RF11">
        <f>IF($B11=0,1000000000,IF(INDEX('calcA'!$D$60:$EQ$99,$B11,79)*IF($W11=1,GB11+ACQ11,GB11)=1,IF(AND($E11=2,IF($W11=1,AIF11,LQ11)=0),1000000000,IF($V11=1,INDEX('calcA'!$D$130:$EQ$169,$B11,79)+IF(AND($E11=1,LQ11=0),25,0),INDEX('calcA'!CD$110:CD$114,$F11+1)+IF(AND($E11=1,LQ11=0),1000,0)+IF($H11=1,INDEX('calcA'!$D$180:$EQ$219,$B11,79)*500,0)-IF(AND('calcA'!CC$117=1,XA11&gt;0),300,0)-IF(AND($U11=1,'calcA'!CD$117=1,GC11=0),300,0))),1000000000))</f>
        <v/>
      </c>
      <c r="RG11">
        <f>IF($B11=0,1000000000,IF(INDEX('calcA'!$D$60:$EQ$99,$B11,80)*IF($W11=1,GC11+ACR11,GC11)=1,IF(AND($E11=2,IF($W11=1,AIG11,LR11)=0),1000000000,IF($V11=1,INDEX('calcA'!$D$130:$EQ$169,$B11,80)+IF(AND($E11=1,LR11=0),25,0),INDEX('calcA'!CE$110:CE$114,$F11+1)+IF(AND($E11=1,LR11=0),1000,0)+IF($H11=1,INDEX('calcA'!$D$180:$EQ$219,$B11,80)*500,0)-IF(AND('calcA'!CD$117=1,XB11&gt;0),300,0)-IF(AND($U11=1,'calcA'!CE$117=1,GD11=0),300,0))),1000000000))</f>
        <v/>
      </c>
      <c r="RH11">
        <f>IF($B11=0,1000000000,IF(INDEX('calcA'!$D$60:$EQ$99,$B11,81)*IF($W11=1,GD11+ACS11,GD11)=1,IF(AND($E11=2,IF($W11=1,AIH11,LS11)=0),1000000000,IF($V11=1,INDEX('calcA'!$D$130:$EQ$169,$B11,81)+IF(AND($E11=1,LS11=0),25,0),INDEX('calcA'!CF$110:CF$114,$F11+1)+IF(AND($E11=1,LS11=0),1000,0)+IF($H11=1,INDEX('calcA'!$D$180:$EQ$219,$B11,81)*500,0)-IF(AND('calcA'!CE$117=1,XC11&gt;0),300,0)-IF(AND($U11=1,'calcA'!CF$117=1,GE11=0),300,0))),1000000000))</f>
        <v/>
      </c>
      <c r="RI11">
        <f>IF($B11=0,1000000000,IF(INDEX('calcA'!$D$60:$EQ$99,$B11,82)*IF($W11=1,GE11+ACT11,GE11)=1,IF(AND($E11=2,IF($W11=1,AII11,LT11)=0),1000000000,IF($V11=1,INDEX('calcA'!$D$130:$EQ$169,$B11,82)+IF(AND($E11=1,LT11=0),25,0),INDEX('calcA'!CG$110:CG$114,$F11+1)+IF(AND($E11=1,LT11=0),1000,0)+IF($H11=1,INDEX('calcA'!$D$180:$EQ$219,$B11,82)*500,0)-IF(AND('calcA'!CF$117=1,XD11&gt;0),300,0)-IF(AND($U11=1,'calcA'!CG$117=1,GF11=0),300,0))),1000000000))</f>
        <v/>
      </c>
      <c r="RJ11">
        <f>IF($B11=0,1000000000,IF(INDEX('calcA'!$D$60:$EQ$99,$B11,83)*IF($W11=1,GF11+ACU11,GF11)=1,IF(AND($E11=2,IF($W11=1,AIJ11,LU11)=0),1000000000,IF($V11=1,INDEX('calcA'!$D$130:$EQ$169,$B11,83)+IF(AND($E11=1,LU11=0),25,0),INDEX('calcA'!CH$110:CH$114,$F11+1)+IF(AND($E11=1,LU11=0),1000,0)+IF($H11=1,INDEX('calcA'!$D$180:$EQ$219,$B11,83)*500,0)-IF(AND('calcA'!CG$117=1,XE11&gt;0),300,0)-IF(AND($U11=1,'calcA'!CH$117=1,GG11=0),300,0))),1000000000))</f>
        <v/>
      </c>
      <c r="RK11">
        <f>IF($B11=0,1000000000,IF(INDEX('calcA'!$D$60:$EQ$99,$B11,84)*IF($W11=1,GG11+ACV11,GG11)=1,IF(AND($E11=2,IF($W11=1,AIK11,LV11)=0),1000000000,IF($V11=1,INDEX('calcA'!$D$130:$EQ$169,$B11,84)+IF(AND($E11=1,LV11=0),25,0),INDEX('calcA'!CI$110:CI$114,$F11+1)+IF(AND($E11=1,LV11=0),1000,0)+IF($H11=1,INDEX('calcA'!$D$180:$EQ$219,$B11,84)*500,0)-IF(AND('calcA'!CH$117=1,XF11&gt;0),300,0)-IF(AND($U11=1,'calcA'!CI$117=1,GH11=0),300,0))),1000000000))</f>
        <v/>
      </c>
      <c r="RL11">
        <f>IF($B11=0,1000000000,IF(INDEX('calcA'!$D$60:$EQ$99,$B11,85)*IF($W11=1,GH11+ACW11,GH11)=1,IF(AND($E11=2,IF($W11=1,AIL11,LW11)=0),1000000000,IF($V11=1,INDEX('calcA'!$D$130:$EQ$169,$B11,85)+IF(AND($E11=1,LW11=0),25,0),INDEX('calcA'!CJ$110:CJ$114,$F11+1)+IF(AND($E11=1,LW11=0),1000,0)+IF($H11=1,INDEX('calcA'!$D$180:$EQ$219,$B11,85)*500,0)-IF(AND('calcA'!CI$117=1,XG11&gt;0),300,0)-IF(AND($U11=1,'calcA'!CJ$117=1,GI11=0),300,0))),1000000000))</f>
        <v/>
      </c>
      <c r="RM11">
        <f>IF($B11=0,1000000000,IF(INDEX('calcA'!$D$60:$EQ$99,$B11,86)*IF($W11=1,GI11+ACX11,GI11)=1,IF(AND($E11=2,IF($W11=1,AIM11,LX11)=0),1000000000,IF($V11=1,INDEX('calcA'!$D$130:$EQ$169,$B11,86)+IF(AND($E11=1,LX11=0),25,0),INDEX('calcA'!CK$110:CK$114,$F11+1)+IF(AND($E11=1,LX11=0),1000,0)+IF($H11=1,INDEX('calcA'!$D$180:$EQ$219,$B11,86)*500,0)-IF(AND('calcA'!CJ$117=1,XH11&gt;0),300,0)-IF(AND($U11=1,'calcA'!CK$117=1,GJ11=0),300,0))),1000000000))</f>
        <v/>
      </c>
      <c r="RN11">
        <f>IF($B11=0,1000000000,IF(INDEX('calcA'!$D$60:$EQ$99,$B11,87)*IF($W11=1,GJ11+ACY11,GJ11)=1,IF(AND($E11=2,IF($W11=1,AIN11,LY11)=0),1000000000,IF($V11=1,INDEX('calcA'!$D$130:$EQ$169,$B11,87)+IF(AND($E11=1,LY11=0),25,0),INDEX('calcA'!CL$110:CL$114,$F11+1)+IF(AND($E11=1,LY11=0),1000,0)+IF($H11=1,INDEX('calcA'!$D$180:$EQ$219,$B11,87)*500,0)-IF(AND('calcA'!CK$117=1,XI11&gt;0),300,0)-IF(AND($U11=1,'calcA'!CL$117=1,GK11=0),300,0))),1000000000))</f>
        <v/>
      </c>
      <c r="RO11">
        <f>IF($B11=0,1000000000,IF(INDEX('calcA'!$D$60:$EQ$99,$B11,88)*IF($W11=1,GK11+ACZ11,GK11)=1,IF(AND($E11=2,IF($W11=1,AIO11,LZ11)=0),1000000000,IF($V11=1,INDEX('calcA'!$D$130:$EQ$169,$B11,88)+IF(AND($E11=1,LZ11=0),25,0),INDEX('calcA'!CM$110:CM$114,$F11+1)+IF(AND($E11=1,LZ11=0),1000,0)+IF($H11=1,INDEX('calcA'!$D$180:$EQ$219,$B11,88)*500,0)-IF(AND('calcA'!CL$117=1,XJ11&gt;0),300,0)-IF(AND($U11=1,'calcA'!CM$117=1,GL11=0),300,0))),1000000000))</f>
        <v/>
      </c>
      <c r="RP11">
        <f>IF($B11=0,1000000000,IF(INDEX('calcA'!$D$60:$EQ$99,$B11,89)*IF($W11=1,GL11+ADA11,GL11)=1,IF(AND($E11=2,IF($W11=1,AIP11,MA11)=0),1000000000,IF($V11=1,INDEX('calcA'!$D$130:$EQ$169,$B11,89)+IF(AND($E11=1,MA11=0),25,0),INDEX('calcA'!CN$110:CN$114,$F11+1)+IF(AND($E11=1,MA11=0),1000,0)+IF($H11=1,INDEX('calcA'!$D$180:$EQ$219,$B11,89)*500,0)-IF(AND('calcA'!CM$117=1,XK11&gt;0),300,0)-IF(AND($U11=1,'calcA'!CN$117=1,GM11=0),300,0))),1000000000))</f>
        <v/>
      </c>
      <c r="RQ11">
        <f>IF($B11=0,1000000000,IF(INDEX('calcA'!$D$60:$EQ$99,$B11,90)*IF($W11=1,GM11+ADB11,GM11)=1,IF(AND($E11=2,IF($W11=1,AIQ11,MB11)=0),1000000000,IF($V11=1,INDEX('calcA'!$D$130:$EQ$169,$B11,90)+IF(AND($E11=1,MB11=0),25,0),INDEX('calcA'!CO$110:CO$114,$F11+1)+IF(AND($E11=1,MB11=0),1000,0)+IF($H11=1,INDEX('calcA'!$D$180:$EQ$219,$B11,90)*500,0)-IF(AND('calcA'!CN$117=1,XL11&gt;0),300,0)-IF(AND($U11=1,'calcA'!CO$117=1,GN11=0),300,0))),1000000000))</f>
        <v/>
      </c>
      <c r="RR11">
        <f>IF($B11=0,1000000000,IF(INDEX('calcA'!$D$60:$EQ$99,$B11,91)*IF($W11=1,GN11+ADC11,GN11)=1,IF(AND($E11=2,IF($W11=1,AIR11,MC11)=0),1000000000,IF($V11=1,INDEX('calcA'!$D$130:$EQ$169,$B11,91)+IF(AND($E11=1,MC11=0),25,0),INDEX('calcA'!CP$110:CP$114,$F11+1)+IF(AND($E11=1,MC11=0),1000,0)+IF($H11=1,INDEX('calcA'!$D$180:$EQ$219,$B11,91)*500,0)-IF(AND('calcA'!CO$117=1,XM11&gt;0),300,0)-IF(AND($U11=1,'calcA'!CP$117=1,GO11=0),300,0))),1000000000))</f>
        <v/>
      </c>
      <c r="RS11">
        <f>IF($B11=0,1000000000,IF(INDEX('calcA'!$D$60:$EQ$99,$B11,92)*IF($W11=1,GO11+ADD11,GO11)=1,IF(AND($E11=2,IF($W11=1,AIS11,MD11)=0),1000000000,IF($V11=1,INDEX('calcA'!$D$130:$EQ$169,$B11,92)+IF(AND($E11=1,MD11=0),25,0),INDEX('calcA'!CQ$110:CQ$114,$F11+1)+IF(AND($E11=1,MD11=0),1000,0)+IF($H11=1,INDEX('calcA'!$D$180:$EQ$219,$B11,92)*500,0)-IF(AND('calcA'!CP$117=1,XN11&gt;0),300,0)-IF(AND($U11=1,'calcA'!CQ$117=1,GP11=0),300,0))),1000000000))</f>
        <v/>
      </c>
      <c r="RT11">
        <f>IF($B11=0,1000000000,IF(INDEX('calcA'!$D$60:$EQ$99,$B11,93)*IF($W11=1,GP11+ADE11,GP11)=1,IF(AND($E11=2,IF($W11=1,AIT11,ME11)=0),1000000000,IF($V11=1,INDEX('calcA'!$D$130:$EQ$169,$B11,93)+IF(AND($E11=1,ME11=0),25,0),INDEX('calcA'!CR$110:CR$114,$F11+1)+IF(AND($E11=1,ME11=0),1000,0)+IF($H11=1,INDEX('calcA'!$D$180:$EQ$219,$B11,93)*500,0)-IF(AND('calcA'!CQ$117=1,XO11&gt;0),300,0)-IF(AND($U11=1,'calcA'!CR$117=1,GQ11=0),300,0))),1000000000))</f>
        <v/>
      </c>
      <c r="RU11">
        <f>IF($B11=0,1000000000,IF(INDEX('calcA'!$D$60:$EQ$99,$B11,94)*IF($W11=1,GQ11+ADF11,GQ11)=1,IF(AND($E11=2,IF($W11=1,AIU11,MF11)=0),1000000000,IF($V11=1,INDEX('calcA'!$D$130:$EQ$169,$B11,94)+IF(AND($E11=1,MF11=0),25,0),INDEX('calcA'!CS$110:CS$114,$F11+1)+IF(AND($E11=1,MF11=0),1000,0)+IF($H11=1,INDEX('calcA'!$D$180:$EQ$219,$B11,94)*500,0)-IF(AND('calcA'!CR$117=1,XP11&gt;0),300,0)-IF(AND($U11=1,'calcA'!CS$117=1,GR11=0),300,0))),1000000000))</f>
        <v/>
      </c>
      <c r="RV11">
        <f>IF($B11=0,1000000000,IF(INDEX('calcA'!$D$60:$EQ$99,$B11,95)*IF($W11=1,GR11+ADG11,GR11)=1,IF(AND($E11=2,IF($W11=1,AIV11,MG11)=0),1000000000,IF($V11=1,INDEX('calcA'!$D$130:$EQ$169,$B11,95)+IF(AND($E11=1,MG11=0),25,0),INDEX('calcA'!CT$110:CT$114,$F11+1)+IF(AND($E11=1,MG11=0),1000,0)+IF($H11=1,INDEX('calcA'!$D$180:$EQ$219,$B11,95)*500,0)-IF(AND('calcA'!CS$117=1,XQ11&gt;0),300,0)-IF(AND($U11=1,'calcA'!CT$117=1,GS11=0),300,0))),1000000000))</f>
        <v/>
      </c>
      <c r="RW11">
        <f>IF($B11=0,1000000000,IF(INDEX('calcA'!$D$60:$EQ$99,$B11,96)*IF($W11=1,GS11+ADH11,GS11)=1,IF(AND($E11=2,IF($W11=1,AIW11,MH11)=0),1000000000,IF($V11=1,INDEX('calcA'!$D$130:$EQ$169,$B11,96)+IF(AND($E11=1,MH11=0),25,0),INDEX('calcA'!CU$110:CU$114,$F11+1)+IF(AND($E11=1,MH11=0),1000,0)+IF($H11=1,INDEX('calcA'!$D$180:$EQ$219,$B11,96)*500,0)-IF(AND('calcA'!CT$117=1,XR11&gt;0),300,0))),1000000000))</f>
        <v/>
      </c>
      <c r="RX11">
        <f>IF($B11=0,1000000000,IF(INDEX('calcA'!$D$60:$EQ$99,$B11,97)*IF($W11=1,GT11+ADI11,GT11)=1,IF(AND($E11=2,IF($W11=1,AIX11,MI11)=0),1000000000,IF($V11=1,INDEX('calcA'!$D$130:$EQ$169,$B11,97)+IF(AND($E11=1,MI11=0),25,0),INDEX('calcA'!CV$110:CV$114,$F11+1)+IF(AND($E11=1,MI11=0),1000,0)+IF($H11=1,INDEX('calcA'!$D$180:$EQ$219,$B11,97)*500,0)-IF(AND($U11=1,'calcA'!CV$117=1,GU11=0),300,0))),1000000000))</f>
        <v/>
      </c>
      <c r="RY11">
        <f>IF($B11=0,1000000000,IF(INDEX('calcA'!$D$60:$EQ$99,$B11,98)*IF($W11=1,GU11+ADJ11,GU11)=1,IF(AND($E11=2,IF($W11=1,AIY11,MJ11)=0),1000000000,IF($V11=1,INDEX('calcA'!$D$130:$EQ$169,$B11,98)+IF(AND($E11=1,MJ11=0),25,0),INDEX('calcA'!CW$110:CW$114,$F11+1)+IF(AND($E11=1,MJ11=0),1000,0)+IF($H11=1,INDEX('calcA'!$D$180:$EQ$219,$B11,98)*500,0)-IF(AND('calcA'!CV$117=1,XT11&gt;0),300,0)-IF(AND($U11=1,'calcA'!CW$117=1,GV11=0),300,0))),1000000000))</f>
        <v/>
      </c>
      <c r="RZ11">
        <f>IF($B11=0,1000000000,IF(INDEX('calcA'!$D$60:$EQ$99,$B11,99)*IF($W11=1,GV11+ADK11,GV11)=1,IF(AND($E11=2,IF($W11=1,AIZ11,MK11)=0),1000000000,IF($V11=1,INDEX('calcA'!$D$130:$EQ$169,$B11,99)+IF(AND($E11=1,MK11=0),25,0),INDEX('calcA'!CX$110:CX$114,$F11+1)+IF(AND($E11=1,MK11=0),1000,0)+IF($H11=1,INDEX('calcA'!$D$180:$EQ$219,$B11,99)*500,0)-IF(AND('calcA'!CW$117=1,XU11&gt;0),300,0)-IF(AND($U11=1,'calcA'!CX$117=1,GW11=0),300,0))),1000000000))</f>
        <v/>
      </c>
      <c r="SA11">
        <f>IF($B11=0,1000000000,IF(INDEX('calcA'!$D$60:$EQ$99,$B11,100)*IF($W11=1,GW11+ADL11,GW11)=1,IF(AND($E11=2,IF($W11=1,AJA11,ML11)=0),1000000000,IF($V11=1,INDEX('calcA'!$D$130:$EQ$169,$B11,100)+IF(AND($E11=1,ML11=0),25,0),INDEX('calcA'!CY$110:CY$114,$F11+1)+IF(AND($E11=1,ML11=0),1000,0)+IF($H11=1,INDEX('calcA'!$D$180:$EQ$219,$B11,100)*500,0)-IF(AND('calcA'!CX$117=1,XV11&gt;0),300,0)-IF(AND($U11=1,'calcA'!CY$117=1,GX11=0),300,0))),1000000000))</f>
        <v/>
      </c>
      <c r="SB11">
        <f>IF($B11=0,1000000000,IF(INDEX('calcA'!$D$60:$EQ$99,$B11,101)*IF($W11=1,GX11+ADM11,GX11)=1,IF(AND($E11=2,IF($W11=1,AJB11,MM11)=0),1000000000,IF($V11=1,INDEX('calcA'!$D$130:$EQ$169,$B11,101)+IF(AND($E11=1,MM11=0),25,0),INDEX('calcA'!CZ$110:CZ$114,$F11+1)+IF(AND($E11=1,MM11=0),1000,0)+IF($H11=1,INDEX('calcA'!$D$180:$EQ$219,$B11,101)*500,0)-IF(AND('calcA'!CY$117=1,XW11&gt;0),300,0)-IF(AND($U11=1,'calcA'!CZ$117=1,GY11=0),300,0))),1000000000))</f>
        <v/>
      </c>
      <c r="SC11">
        <f>IF($B11=0,1000000000,IF(INDEX('calcA'!$D$60:$EQ$99,$B11,102)*IF($W11=1,GY11+ADN11,GY11)=1,IF(AND($E11=2,IF($W11=1,AJC11,MN11)=0),1000000000,IF($V11=1,INDEX('calcA'!$D$130:$EQ$169,$B11,102)+IF(AND($E11=1,MN11=0),25,0),INDEX('calcA'!DA$110:DA$114,$F11+1)+IF(AND($E11=1,MN11=0),1000,0)+IF($H11=1,INDEX('calcA'!$D$180:$EQ$219,$B11,102)*500,0)-IF(AND('calcA'!CZ$117=1,XX11&gt;0),300,0)-IF(AND($U11=1,'calcA'!DA$117=1,GZ11=0),300,0))),1000000000))</f>
        <v/>
      </c>
      <c r="SD11">
        <f>IF($B11=0,1000000000,IF(INDEX('calcA'!$D$60:$EQ$99,$B11,103)*IF($W11=1,GZ11+ADO11,GZ11)=1,IF(AND($E11=2,IF($W11=1,AJD11,MO11)=0),1000000000,IF($V11=1,INDEX('calcA'!$D$130:$EQ$169,$B11,103)+IF(AND($E11=1,MO11=0),25,0),INDEX('calcA'!DB$110:DB$114,$F11+1)+IF(AND($E11=1,MO11=0),1000,0)+IF($H11=1,INDEX('calcA'!$D$180:$EQ$219,$B11,103)*500,0)-IF(AND('calcA'!DA$117=1,XY11&gt;0),300,0)-IF(AND($U11=1,'calcA'!DB$117=1,HA11=0),300,0))),1000000000))</f>
        <v/>
      </c>
      <c r="SE11">
        <f>IF($B11=0,1000000000,IF(INDEX('calcA'!$D$60:$EQ$99,$B11,104)*IF($W11=1,HA11+ADP11,HA11)=1,IF(AND($E11=2,IF($W11=1,AJE11,MP11)=0),1000000000,IF($V11=1,INDEX('calcA'!$D$130:$EQ$169,$B11,104)+IF(AND($E11=1,MP11=0),25,0),INDEX('calcA'!DC$110:DC$114,$F11+1)+IF(AND($E11=1,MP11=0),1000,0)+IF($H11=1,INDEX('calcA'!$D$180:$EQ$219,$B11,104)*500,0)-IF(AND('calcA'!DB$117=1,XZ11&gt;0),300,0)-IF(AND($U11=1,'calcA'!DC$117=1,HB11=0),300,0))),1000000000))</f>
        <v/>
      </c>
      <c r="SF11">
        <f>IF($B11=0,1000000000,IF(INDEX('calcA'!$D$60:$EQ$99,$B11,105)*IF($W11=1,HB11+ADQ11,HB11)=1,IF(AND($E11=2,IF($W11=1,AJF11,MQ11)=0),1000000000,IF($V11=1,INDEX('calcA'!$D$130:$EQ$169,$B11,105)+IF(AND($E11=1,MQ11=0),25,0),INDEX('calcA'!DD$110:DD$114,$F11+1)+IF(AND($E11=1,MQ11=0),1000,0)+IF($H11=1,INDEX('calcA'!$D$180:$EQ$219,$B11,105)*500,0)-IF(AND('calcA'!DC$117=1,YA11&gt;0),300,0)-IF(AND($U11=1,'calcA'!DD$117=1,HC11=0),300,0))),1000000000))</f>
        <v/>
      </c>
      <c r="SG11">
        <f>IF($B11=0,1000000000,IF(INDEX('calcA'!$D$60:$EQ$99,$B11,106)*IF($W11=1,HC11+ADR11,HC11)=1,IF(AND($E11=2,IF($W11=1,AJG11,MR11)=0),1000000000,IF($V11=1,INDEX('calcA'!$D$130:$EQ$169,$B11,106)+IF(AND($E11=1,MR11=0),25,0),INDEX('calcA'!DE$110:DE$114,$F11+1)+IF(AND($E11=1,MR11=0),1000,0)+IF($H11=1,INDEX('calcA'!$D$180:$EQ$219,$B11,106)*500,0)-IF(AND('calcA'!DD$117=1,YB11&gt;0),300,0)-IF(AND($U11=1,'calcA'!DE$117=1,HD11=0),300,0))),1000000000))</f>
        <v/>
      </c>
      <c r="SH11">
        <f>IF($B11=0,1000000000,IF(INDEX('calcA'!$D$60:$EQ$99,$B11,107)*IF($W11=1,HD11+ADS11,HD11)=1,IF(AND($E11=2,IF($W11=1,AJH11,MS11)=0),1000000000,IF($V11=1,INDEX('calcA'!$D$130:$EQ$169,$B11,107)+IF(AND($E11=1,MS11=0),25,0),INDEX('calcA'!DF$110:DF$114,$F11+1)+IF(AND($E11=1,MS11=0),1000,0)+IF($H11=1,INDEX('calcA'!$D$180:$EQ$219,$B11,107)*500,0)-IF(AND('calcA'!DE$117=1,YC11&gt;0),300,0)-IF(AND($U11=1,'calcA'!DF$117=1,HE11=0),300,0))),1000000000))</f>
        <v/>
      </c>
      <c r="SI11">
        <f>IF($B11=0,1000000000,IF(INDEX('calcA'!$D$60:$EQ$99,$B11,108)*IF($W11=1,HE11+ADT11,HE11)=1,IF(AND($E11=2,IF($W11=1,AJI11,MT11)=0),1000000000,IF($V11=1,INDEX('calcA'!$D$130:$EQ$169,$B11,108)+IF(AND($E11=1,MT11=0),25,0),INDEX('calcA'!DG$110:DG$114,$F11+1)+IF(AND($E11=1,MT11=0),1000,0)+IF($H11=1,INDEX('calcA'!$D$180:$EQ$219,$B11,108)*500,0)-IF(AND('calcA'!DF$117=1,YD11&gt;0),300,0)-IF(AND($U11=1,'calcA'!DG$117=1,HF11=0),300,0))),1000000000))</f>
        <v/>
      </c>
      <c r="SJ11">
        <f>IF($B11=0,1000000000,IF(INDEX('calcA'!$D$60:$EQ$99,$B11,109)*IF($W11=1,HF11+ADU11,HF11)=1,IF(AND($E11=2,IF($W11=1,AJJ11,MU11)=0),1000000000,IF($V11=1,INDEX('calcA'!$D$130:$EQ$169,$B11,109)+IF(AND($E11=1,MU11=0),25,0),INDEX('calcA'!DH$110:DH$114,$F11+1)+IF(AND($E11=1,MU11=0),1000,0)+IF($H11=1,INDEX('calcA'!$D$180:$EQ$219,$B11,109)*500,0)-IF(AND('calcA'!DG$117=1,YE11&gt;0),300,0)-IF(AND($U11=1,'calcA'!DH$117=1,HG11=0),300,0))),1000000000))</f>
        <v/>
      </c>
      <c r="SK11">
        <f>IF($B11=0,1000000000,IF(INDEX('calcA'!$D$60:$EQ$99,$B11,110)*IF($W11=1,HG11+ADV11,HG11)=1,IF(AND($E11=2,IF($W11=1,AJK11,MV11)=0),1000000000,IF($V11=1,INDEX('calcA'!$D$130:$EQ$169,$B11,110)+IF(AND($E11=1,MV11=0),25,0),INDEX('calcA'!DI$110:DI$114,$F11+1)+IF(AND($E11=1,MV11=0),1000,0)+IF($H11=1,INDEX('calcA'!$D$180:$EQ$219,$B11,110)*500,0)-IF(AND('calcA'!DH$117=1,YF11&gt;0),300,0)-IF(AND($U11=1,'calcA'!DI$117=1,HH11=0),300,0))),1000000000))</f>
        <v/>
      </c>
      <c r="SL11">
        <f>IF($B11=0,1000000000,IF(INDEX('calcA'!$D$60:$EQ$99,$B11,111)*IF($W11=1,HH11+ADW11,HH11)=1,IF(AND($E11=2,IF($W11=1,AJL11,MW11)=0),1000000000,IF($V11=1,INDEX('calcA'!$D$130:$EQ$169,$B11,111)+IF(AND($E11=1,MW11=0),25,0),INDEX('calcA'!DJ$110:DJ$114,$F11+1)+IF(AND($E11=1,MW11=0),1000,0)+IF($H11=1,INDEX('calcA'!$D$180:$EQ$219,$B11,111)*500,0)-IF(AND('calcA'!DI$117=1,YG11&gt;0),300,0)-IF(AND($U11=1,'calcA'!DJ$117=1,HI11=0),300,0))),1000000000))</f>
        <v/>
      </c>
      <c r="SM11">
        <f>IF($B11=0,1000000000,IF(INDEX('calcA'!$D$60:$EQ$99,$B11,112)*IF($W11=1,HI11+ADX11,HI11)=1,IF(AND($E11=2,IF($W11=1,AJM11,MX11)=0),1000000000,IF($V11=1,INDEX('calcA'!$D$130:$EQ$169,$B11,112)+IF(AND($E11=1,MX11=0),25,0),INDEX('calcA'!DK$110:DK$114,$F11+1)+IF(AND($E11=1,MX11=0),1000,0)+IF($H11=1,INDEX('calcA'!$D$180:$EQ$219,$B11,112)*500,0)-IF(AND('calcA'!DJ$117=1,YH11&gt;0),300,0)-IF(AND($U11=1,'calcA'!DK$117=1,HJ11=0),300,0))),1000000000))</f>
        <v/>
      </c>
      <c r="SN11">
        <f>IF($B11=0,1000000000,IF(INDEX('calcA'!$D$60:$EQ$99,$B11,113)*IF($W11=1,HJ11+ADY11,HJ11)=1,IF(AND($E11=2,IF($W11=1,AJN11,MY11)=0),1000000000,IF($V11=1,INDEX('calcA'!$D$130:$EQ$169,$B11,113)+IF(AND($E11=1,MY11=0),25,0),INDEX('calcA'!DL$110:DL$114,$F11+1)+IF(AND($E11=1,MY11=0),1000,0)+IF($H11=1,INDEX('calcA'!$D$180:$EQ$219,$B11,113)*500,0)-IF(AND('calcA'!DK$117=1,YI11&gt;0),300,0)-IF(AND($U11=1,'calcA'!DL$117=1,HK11=0),300,0))),1000000000))</f>
        <v/>
      </c>
      <c r="SO11">
        <f>IF($B11=0,1000000000,IF(INDEX('calcA'!$D$60:$EQ$99,$B11,114)*IF($W11=1,HK11+ADZ11,HK11)=1,IF(AND($E11=2,IF($W11=1,AJO11,MZ11)=0),1000000000,IF($V11=1,INDEX('calcA'!$D$130:$EQ$169,$B11,114)+IF(AND($E11=1,MZ11=0),25,0),INDEX('calcA'!DM$110:DM$114,$F11+1)+IF(AND($E11=1,MZ11=0),1000,0)+IF($H11=1,INDEX('calcA'!$D$180:$EQ$219,$B11,114)*500,0)-IF(AND('calcA'!DL$117=1,YJ11&gt;0),300,0)-IF(AND($U11=1,'calcA'!DM$117=1,HL11=0),300,0))),1000000000))</f>
        <v/>
      </c>
      <c r="SP11">
        <f>IF($B11=0,1000000000,IF(INDEX('calcA'!$D$60:$EQ$99,$B11,115)*IF($W11=1,HL11+AEA11,HL11)=1,IF(AND($E11=2,IF($W11=1,AJP11,NA11)=0),1000000000,IF($V11=1,INDEX('calcA'!$D$130:$EQ$169,$B11,115)+IF(AND($E11=1,NA11=0),25,0),INDEX('calcA'!DN$110:DN$114,$F11+1)+IF(AND($E11=1,NA11=0),1000,0)+IF($H11=1,INDEX('calcA'!$D$180:$EQ$219,$B11,115)*500,0)-IF(AND('calcA'!DM$117=1,YK11&gt;0),300,0)-IF(AND($U11=1,'calcA'!DN$117=1,HM11=0),300,0))),1000000000))</f>
        <v/>
      </c>
      <c r="SQ11">
        <f>IF($B11=0,1000000000,IF(INDEX('calcA'!$D$60:$EQ$99,$B11,116)*IF($W11=1,HM11+AEB11,HM11)=1,IF(AND($E11=2,IF($W11=1,AJQ11,NB11)=0),1000000000,IF($V11=1,INDEX('calcA'!$D$130:$EQ$169,$B11,116)+IF(AND($E11=1,NB11=0),25,0),INDEX('calcA'!DO$110:DO$114,$F11+1)+IF(AND($E11=1,NB11=0),1000,0)+IF($H11=1,INDEX('calcA'!$D$180:$EQ$219,$B11,116)*500,0)-IF(AND('calcA'!DN$117=1,YL11&gt;0),300,0)-IF(AND($U11=1,'calcA'!DO$117=1,HN11=0),300,0))),1000000000))</f>
        <v/>
      </c>
      <c r="SR11">
        <f>IF($B11=0,1000000000,IF(INDEX('calcA'!$D$60:$EQ$99,$B11,117)*IF($W11=1,HN11+AEC11,HN11)=1,IF(AND($E11=2,IF($W11=1,AJR11,NC11)=0),1000000000,IF($V11=1,INDEX('calcA'!$D$130:$EQ$169,$B11,117)+IF(AND($E11=1,NC11=0),25,0),INDEX('calcA'!DP$110:DP$114,$F11+1)+IF(AND($E11=1,NC11=0),1000,0)+IF($H11=1,INDEX('calcA'!$D$180:$EQ$219,$B11,117)*500,0)-IF(AND('calcA'!DO$117=1,YM11&gt;0),300,0)-IF(AND($U11=1,'calcA'!DP$117=1,HO11=0),300,0))),1000000000))</f>
        <v/>
      </c>
      <c r="SS11">
        <f>IF($B11=0,1000000000,IF(INDEX('calcA'!$D$60:$EQ$99,$B11,118)*IF($W11=1,HO11+AED11,HO11)=1,IF(AND($E11=2,IF($W11=1,AJS11,ND11)=0),1000000000,IF($V11=1,INDEX('calcA'!$D$130:$EQ$169,$B11,118)+IF(AND($E11=1,ND11=0),25,0),INDEX('calcA'!DQ$110:DQ$114,$F11+1)+IF(AND($E11=1,ND11=0),1000,0)+IF($H11=1,INDEX('calcA'!$D$180:$EQ$219,$B11,118)*500,0)-IF(AND('calcA'!DP$117=1,YN11&gt;0),300,0)-IF(AND($U11=1,'calcA'!DQ$117=1,HP11=0),300,0))),1000000000))</f>
        <v/>
      </c>
      <c r="ST11">
        <f>IF($B11=0,1000000000,IF(INDEX('calcA'!$D$60:$EQ$99,$B11,119)*IF($W11=1,HP11+AEE11,HP11)=1,IF(AND($E11=2,IF($W11=1,AJT11,NE11)=0),1000000000,IF($V11=1,INDEX('calcA'!$D$130:$EQ$169,$B11,119)+IF(AND($E11=1,NE11=0),25,0),INDEX('calcA'!DR$110:DR$114,$F11+1)+IF(AND($E11=1,NE11=0),1000,0)+IF($H11=1,INDEX('calcA'!$D$180:$EQ$219,$B11,119)*500,0)-IF(AND('calcA'!DQ$117=1,YO11&gt;0),300,0)-IF(AND($U11=1,'calcA'!DR$117=1,HQ11=0),300,0))),1000000000))</f>
        <v/>
      </c>
      <c r="SU11">
        <f>IF($B11=0,1000000000,IF(INDEX('calcA'!$D$60:$EQ$99,$B11,120)*IF($W11=1,HQ11+AEF11,HQ11)=1,IF(AND($E11=2,IF($W11=1,AJU11,NF11)=0),1000000000,IF($V11=1,INDEX('calcA'!$D$130:$EQ$169,$B11,120)+IF(AND($E11=1,NF11=0),25,0),INDEX('calcA'!DS$110:DS$114,$F11+1)+IF(AND($E11=1,NF11=0),1000,0)+IF($H11=1,INDEX('calcA'!$D$180:$EQ$219,$B11,120)*500,0)-IF(AND('calcA'!DR$117=1,YP11&gt;0),300,0))),1000000000))</f>
        <v/>
      </c>
      <c r="SV11">
        <f>IF($B11=0,1000000000,IF(INDEX('calcA'!$D$60:$EQ$99,$B11,121)*IF($W11=1,HR11+AEG11,HR11)=1,IF(AND($E11=2,IF($W11=1,AJV11,NG11)=0),1000000000,IF($V11=1,INDEX('calcA'!$D$130:$EQ$169,$B11,121)+IF(AND($E11=1,NG11=0),25,0),INDEX('calcA'!DT$110:DT$114,$F11+1)+IF(AND($E11=1,NG11=0),1000,0)+IF($H11=1,INDEX('calcA'!$D$180:$EQ$219,$B11,121)*500,0)-IF(AND($U11=1,'calcA'!DT$117=1,HS11=0),300,0))),1000000000))</f>
        <v/>
      </c>
      <c r="SW11">
        <f>IF($B11=0,1000000000,IF(INDEX('calcA'!$D$60:$EQ$99,$B11,122)*IF($W11=1,HS11+AEH11,HS11)=1,IF(AND($E11=2,IF($W11=1,AJW11,NH11)=0),1000000000,IF($V11=1,INDEX('calcA'!$D$130:$EQ$169,$B11,122)+IF(AND($E11=1,NH11=0),25,0),INDEX('calcA'!DU$110:DU$114,$F11+1)+IF(AND($E11=1,NH11=0),1000,0)+IF($H11=1,INDEX('calcA'!$D$180:$EQ$219,$B11,122)*500,0)-IF(AND('calcA'!DT$117=1,YR11&gt;0),300,0)-IF(AND($U11=1,'calcA'!DU$117=1,HT11=0),300,0))),1000000000))</f>
        <v/>
      </c>
      <c r="SX11">
        <f>IF($B11=0,1000000000,IF(INDEX('calcA'!$D$60:$EQ$99,$B11,123)*IF($W11=1,HT11+AEI11,HT11)=1,IF(AND($E11=2,IF($W11=1,AJX11,NI11)=0),1000000000,IF($V11=1,INDEX('calcA'!$D$130:$EQ$169,$B11,123)+IF(AND($E11=1,NI11=0),25,0),INDEX('calcA'!DV$110:DV$114,$F11+1)+IF(AND($E11=1,NI11=0),1000,0)+IF($H11=1,INDEX('calcA'!$D$180:$EQ$219,$B11,123)*500,0)-IF(AND('calcA'!DU$117=1,YS11&gt;0),300,0)-IF(AND($U11=1,'calcA'!DV$117=1,HU11=0),300,0))),1000000000))</f>
        <v/>
      </c>
      <c r="SY11">
        <f>IF($B11=0,1000000000,IF(INDEX('calcA'!$D$60:$EQ$99,$B11,124)*IF($W11=1,HU11+AEJ11,HU11)=1,IF(AND($E11=2,IF($W11=1,AJY11,NJ11)=0),1000000000,IF($V11=1,INDEX('calcA'!$D$130:$EQ$169,$B11,124)+IF(AND($E11=1,NJ11=0),25,0),INDEX('calcA'!DW$110:DW$114,$F11+1)+IF(AND($E11=1,NJ11=0),1000,0)+IF($H11=1,INDEX('calcA'!$D$180:$EQ$219,$B11,124)*500,0)-IF(AND('calcA'!DV$117=1,YT11&gt;0),300,0)-IF(AND($U11=1,'calcA'!DW$117=1,HV11=0),300,0))),1000000000))</f>
        <v/>
      </c>
      <c r="SZ11">
        <f>IF($B11=0,1000000000,IF(INDEX('calcA'!$D$60:$EQ$99,$B11,125)*IF($W11=1,HV11+AEK11,HV11)=1,IF(AND($E11=2,IF($W11=1,AJZ11,NK11)=0),1000000000,IF($V11=1,INDEX('calcA'!$D$130:$EQ$169,$B11,125)+IF(AND($E11=1,NK11=0),25,0),INDEX('calcA'!DX$110:DX$114,$F11+1)+IF(AND($E11=1,NK11=0),1000,0)+IF($H11=1,INDEX('calcA'!$D$180:$EQ$219,$B11,125)*500,0)-IF(AND('calcA'!DW$117=1,YU11&gt;0),300,0)-IF(AND($U11=1,'calcA'!DX$117=1,HW11=0),300,0))),1000000000))</f>
        <v/>
      </c>
      <c r="TA11">
        <f>IF($B11=0,1000000000,IF(INDEX('calcA'!$D$60:$EQ$99,$B11,126)*IF($W11=1,HW11+AEL11,HW11)=1,IF(AND($E11=2,IF($W11=1,AKA11,NL11)=0),1000000000,IF($V11=1,INDEX('calcA'!$D$130:$EQ$169,$B11,126)+IF(AND($E11=1,NL11=0),25,0),INDEX('calcA'!DY$110:DY$114,$F11+1)+IF(AND($E11=1,NL11=0),1000,0)+IF($H11=1,INDEX('calcA'!$D$180:$EQ$219,$B11,126)*500,0)-IF(AND('calcA'!DX$117=1,YV11&gt;0),300,0)-IF(AND($U11=1,'calcA'!DY$117=1,HX11=0),300,0))),1000000000))</f>
        <v/>
      </c>
      <c r="TB11">
        <f>IF($B11=0,1000000000,IF(INDEX('calcA'!$D$60:$EQ$99,$B11,127)*IF($W11=1,HX11+AEM11,HX11)=1,IF(AND($E11=2,IF($W11=1,AKB11,NM11)=0),1000000000,IF($V11=1,INDEX('calcA'!$D$130:$EQ$169,$B11,127)+IF(AND($E11=1,NM11=0),25,0),INDEX('calcA'!DZ$110:DZ$114,$F11+1)+IF(AND($E11=1,NM11=0),1000,0)+IF($H11=1,INDEX('calcA'!$D$180:$EQ$219,$B11,127)*500,0)-IF(AND('calcA'!DY$117=1,YW11&gt;0),300,0)-IF(AND($U11=1,'calcA'!DZ$117=1,HY11=0),300,0))),1000000000))</f>
        <v/>
      </c>
      <c r="TC11">
        <f>IF($B11=0,1000000000,IF(INDEX('calcA'!$D$60:$EQ$99,$B11,128)*IF($W11=1,HY11+AEN11,HY11)=1,IF(AND($E11=2,IF($W11=1,AKC11,NN11)=0),1000000000,IF($V11=1,INDEX('calcA'!$D$130:$EQ$169,$B11,128)+IF(AND($E11=1,NN11=0),25,0),INDEX('calcA'!EA$110:EA$114,$F11+1)+IF(AND($E11=1,NN11=0),1000,0)+IF($H11=1,INDEX('calcA'!$D$180:$EQ$219,$B11,128)*500,0)-IF(AND('calcA'!DZ$117=1,YX11&gt;0),300,0)-IF(AND($U11=1,'calcA'!EA$117=1,HZ11=0),300,0))),1000000000))</f>
        <v/>
      </c>
      <c r="TD11">
        <f>IF($B11=0,1000000000,IF(INDEX('calcA'!$D$60:$EQ$99,$B11,129)*IF($W11=1,HZ11+AEO11,HZ11)=1,IF(AND($E11=2,IF($W11=1,AKD11,NO11)=0),1000000000,IF($V11=1,INDEX('calcA'!$D$130:$EQ$169,$B11,129)+IF(AND($E11=1,NO11=0),25,0),INDEX('calcA'!EB$110:EB$114,$F11+1)+IF(AND($E11=1,NO11=0),1000,0)+IF($H11=1,INDEX('calcA'!$D$180:$EQ$219,$B11,129)*500,0)-IF(AND('calcA'!EA$117=1,YY11&gt;0),300,0)-IF(AND($U11=1,'calcA'!EB$117=1,IA11=0),300,0))),1000000000))</f>
        <v/>
      </c>
      <c r="TE11">
        <f>IF($B11=0,1000000000,IF(INDEX('calcA'!$D$60:$EQ$99,$B11,130)*IF($W11=1,IA11+AEP11,IA11)=1,IF(AND($E11=2,IF($W11=1,AKE11,NP11)=0),1000000000,IF($V11=1,INDEX('calcA'!$D$130:$EQ$169,$B11,130)+IF(AND($E11=1,NP11=0),25,0),INDEX('calcA'!EC$110:EC$114,$F11+1)+IF(AND($E11=1,NP11=0),1000,0)+IF($H11=1,INDEX('calcA'!$D$180:$EQ$219,$B11,130)*500,0)-IF(AND('calcA'!EB$117=1,YZ11&gt;0),300,0)-IF(AND($U11=1,'calcA'!EC$117=1,IB11=0),300,0))),1000000000))</f>
        <v/>
      </c>
      <c r="TF11">
        <f>IF($B11=0,1000000000,IF(INDEX('calcA'!$D$60:$EQ$99,$B11,131)*IF($W11=1,IB11+AEQ11,IB11)=1,IF(AND($E11=2,IF($W11=1,AKF11,NQ11)=0),1000000000,IF($V11=1,INDEX('calcA'!$D$130:$EQ$169,$B11,131)+IF(AND($E11=1,NQ11=0),25,0),INDEX('calcA'!ED$110:ED$114,$F11+1)+IF(AND($E11=1,NQ11=0),1000,0)+IF($H11=1,INDEX('calcA'!$D$180:$EQ$219,$B11,131)*500,0)-IF(AND('calcA'!EC$117=1,ZA11&gt;0),300,0)-IF(AND($U11=1,'calcA'!ED$117=1,IC11=0),300,0))),1000000000))</f>
        <v/>
      </c>
      <c r="TG11">
        <f>IF($B11=0,1000000000,IF(INDEX('calcA'!$D$60:$EQ$99,$B11,132)*IF($W11=1,IC11+AER11,IC11)=1,IF(AND($E11=2,IF($W11=1,AKG11,NR11)=0),1000000000,IF($V11=1,INDEX('calcA'!$D$130:$EQ$169,$B11,132)+IF(AND($E11=1,NR11=0),25,0),INDEX('calcA'!EE$110:EE$114,$F11+1)+IF(AND($E11=1,NR11=0),1000,0)+IF($H11=1,INDEX('calcA'!$D$180:$EQ$219,$B11,132)*500,0)-IF(AND('calcA'!ED$117=1,ZB11&gt;0),300,0)-IF(AND($U11=1,'calcA'!EE$117=1,ID11=0),300,0))),1000000000))</f>
        <v/>
      </c>
      <c r="TH11">
        <f>IF($B11=0,1000000000,IF(INDEX('calcA'!$D$60:$EQ$99,$B11,133)*IF($W11=1,ID11+AES11,ID11)=1,IF(AND($E11=2,IF($W11=1,AKH11,NS11)=0),1000000000,IF($V11=1,INDEX('calcA'!$D$130:$EQ$169,$B11,133)+IF(AND($E11=1,NS11=0),25,0),INDEX('calcA'!EF$110:EF$114,$F11+1)+IF(AND($E11=1,NS11=0),1000,0)+IF($H11=1,INDEX('calcA'!$D$180:$EQ$219,$B11,133)*500,0)-IF(AND('calcA'!EE$117=1,ZC11&gt;0),300,0)-IF(AND($U11=1,'calcA'!EF$117=1,IE11=0),300,0))),1000000000))</f>
        <v/>
      </c>
      <c r="TI11">
        <f>IF($B11=0,1000000000,IF(INDEX('calcA'!$D$60:$EQ$99,$B11,134)*IF($W11=1,IE11+AET11,IE11)=1,IF(AND($E11=2,IF($W11=1,AKI11,NT11)=0),1000000000,IF($V11=1,INDEX('calcA'!$D$130:$EQ$169,$B11,134)+IF(AND($E11=1,NT11=0),25,0),INDEX('calcA'!EG$110:EG$114,$F11+1)+IF(AND($E11=1,NT11=0),1000,0)+IF($H11=1,INDEX('calcA'!$D$180:$EQ$219,$B11,134)*500,0)-IF(AND('calcA'!EF$117=1,ZD11&gt;0),300,0)-IF(AND($U11=1,'calcA'!EG$117=1,IF11=0),300,0))),1000000000))</f>
        <v/>
      </c>
      <c r="TJ11">
        <f>IF($B11=0,1000000000,IF(INDEX('calcA'!$D$60:$EQ$99,$B11,135)*IF($W11=1,IF11+AEU11,IF11)=1,IF(AND($E11=2,IF($W11=1,AKJ11,NU11)=0),1000000000,IF($V11=1,INDEX('calcA'!$D$130:$EQ$169,$B11,135)+IF(AND($E11=1,NU11=0),25,0),INDEX('calcA'!EH$110:EH$114,$F11+1)+IF(AND($E11=1,NU11=0),1000,0)+IF($H11=1,INDEX('calcA'!$D$180:$EQ$219,$B11,135)*500,0)-IF(AND('calcA'!EG$117=1,ZE11&gt;0),300,0)-IF(AND($U11=1,'calcA'!EH$117=1,IG11=0),300,0))),1000000000))</f>
        <v/>
      </c>
      <c r="TK11">
        <f>IF($B11=0,1000000000,IF(INDEX('calcA'!$D$60:$EQ$99,$B11,136)*IF($W11=1,IG11+AEV11,IG11)=1,IF(AND($E11=2,IF($W11=1,AKK11,NV11)=0),1000000000,IF($V11=1,INDEX('calcA'!$D$130:$EQ$169,$B11,136)+IF(AND($E11=1,NV11=0),25,0),INDEX('calcA'!EI$110:EI$114,$F11+1)+IF(AND($E11=1,NV11=0),1000,0)+IF($H11=1,INDEX('calcA'!$D$180:$EQ$219,$B11,136)*500,0)-IF(AND('calcA'!EH$117=1,ZF11&gt;0),300,0)-IF(AND($U11=1,'calcA'!EI$117=1,IH11=0),300,0))),1000000000))</f>
        <v/>
      </c>
      <c r="TL11">
        <f>IF($B11=0,1000000000,IF(INDEX('calcA'!$D$60:$EQ$99,$B11,137)*IF($W11=1,IH11+AEW11,IH11)=1,IF(AND($E11=2,IF($W11=1,AKL11,NW11)=0),1000000000,IF($V11=1,INDEX('calcA'!$D$130:$EQ$169,$B11,137)+IF(AND($E11=1,NW11=0),25,0),INDEX('calcA'!EJ$110:EJ$114,$F11+1)+IF(AND($E11=1,NW11=0),1000,0)+IF($H11=1,INDEX('calcA'!$D$180:$EQ$219,$B11,137)*500,0)-IF(AND('calcA'!EI$117=1,ZG11&gt;0),300,0)-IF(AND($U11=1,'calcA'!EJ$117=1,II11=0),300,0))),1000000000))</f>
        <v/>
      </c>
      <c r="TM11">
        <f>IF($B11=0,1000000000,IF(INDEX('calcA'!$D$60:$EQ$99,$B11,138)*IF($W11=1,II11+AEX11,II11)=1,IF(AND($E11=2,IF($W11=1,AKM11,NX11)=0),1000000000,IF($V11=1,INDEX('calcA'!$D$130:$EQ$169,$B11,138)+IF(AND($E11=1,NX11=0),25,0),INDEX('calcA'!EK$110:EK$114,$F11+1)+IF(AND($E11=1,NX11=0),1000,0)+IF($H11=1,INDEX('calcA'!$D$180:$EQ$219,$B11,138)*500,0)-IF(AND('calcA'!EJ$117=1,ZH11&gt;0),300,0)-IF(AND($U11=1,'calcA'!EK$117=1,IJ11=0),300,0))),1000000000))</f>
        <v/>
      </c>
      <c r="TN11">
        <f>IF($B11=0,1000000000,IF(INDEX('calcA'!$D$60:$EQ$99,$B11,139)*IF($W11=1,IJ11+AEY11,IJ11)=1,IF(AND($E11=2,IF($W11=1,AKN11,NY11)=0),1000000000,IF($V11=1,INDEX('calcA'!$D$130:$EQ$169,$B11,139)+IF(AND($E11=1,NY11=0),25,0),INDEX('calcA'!EL$110:EL$114,$F11+1)+IF(AND($E11=1,NY11=0),1000,0)+IF($H11=1,INDEX('calcA'!$D$180:$EQ$219,$B11,139)*500,0)-IF(AND('calcA'!EK$117=1,ZI11&gt;0),300,0)-IF(AND($U11=1,'calcA'!EL$117=1,IK11=0),300,0))),1000000000))</f>
        <v/>
      </c>
      <c r="TO11">
        <f>IF($B11=0,1000000000,IF(INDEX('calcA'!$D$60:$EQ$99,$B11,140)*IF($W11=1,IK11+AEZ11,IK11)=1,IF(AND($E11=2,IF($W11=1,AKO11,NZ11)=0),1000000000,IF($V11=1,INDEX('calcA'!$D$130:$EQ$169,$B11,140)+IF(AND($E11=1,NZ11=0),25,0),INDEX('calcA'!EM$110:EM$114,$F11+1)+IF(AND($E11=1,NZ11=0),1000,0)+IF($H11=1,INDEX('calcA'!$D$180:$EQ$219,$B11,140)*500,0)-IF(AND('calcA'!EL$117=1,ZJ11&gt;0),300,0)-IF(AND($U11=1,'calcA'!EM$117=1,IL11=0),300,0))),1000000000))</f>
        <v/>
      </c>
      <c r="TP11">
        <f>IF($B11=0,1000000000,IF(INDEX('calcA'!$D$60:$EQ$99,$B11,141)*IF($W11=1,IL11+AFA11,IL11)=1,IF(AND($E11=2,IF($W11=1,AKP11,OA11)=0),1000000000,IF($V11=1,INDEX('calcA'!$D$130:$EQ$169,$B11,141)+IF(AND($E11=1,OA11=0),25,0),INDEX('calcA'!EN$110:EN$114,$F11+1)+IF(AND($E11=1,OA11=0),1000,0)+IF($H11=1,INDEX('calcA'!$D$180:$EQ$219,$B11,141)*500,0)-IF(AND('calcA'!EM$117=1,ZK11&gt;0),300,0)-IF(AND($U11=1,'calcA'!EN$117=1,IM11=0),300,0))),1000000000))</f>
        <v/>
      </c>
      <c r="TQ11">
        <f>IF($B11=0,1000000000,IF(INDEX('calcA'!$D$60:$EQ$99,$B11,142)*IF($W11=1,IM11+AFB11,IM11)=1,IF(AND($E11=2,IF($W11=1,AKQ11,OB11)=0),1000000000,IF($V11=1,INDEX('calcA'!$D$130:$EQ$169,$B11,142)+IF(AND($E11=1,OB11=0),25,0),INDEX('calcA'!EO$110:EO$114,$F11+1)+IF(AND($E11=1,OB11=0),1000,0)+IF($H11=1,INDEX('calcA'!$D$180:$EQ$219,$B11,142)*500,0)-IF(AND('calcA'!EN$117=1,ZL11&gt;0),300,0)-IF(AND($U11=1,'calcA'!EO$117=1,IN11=0),300,0))),1000000000))</f>
        <v/>
      </c>
      <c r="TR11">
        <f>IF($B11=0,1000000000,IF(INDEX('calcA'!$D$60:$EQ$99,$B11,143)*IF($W11=1,IN11+AFC11,IN11)=1,IF(AND($E11=2,IF($W11=1,AKR11,OC11)=0),1000000000,IF($V11=1,INDEX('calcA'!$D$130:$EQ$169,$B11,143)+IF(AND($E11=1,OC11=0),25,0),INDEX('calcA'!EP$110:EP$114,$F11+1)+IF(AND($E11=1,OC11=0),1000,0)+IF($H11=1,INDEX('calcA'!$D$180:$EQ$219,$B11,143)*500,0)-IF(AND('calcA'!EO$117=1,ZM11&gt;0),300,0)-IF(AND($U11=1,'calcA'!EP$117=1,IO11=0),300,0))),1000000000))</f>
        <v/>
      </c>
      <c r="TS11">
        <f>IF($B11=0,1000000000,IF(INDEX('calcA'!$D$60:$EQ$99,$B11,144)*IF($W11=1,IO11+AFD11,IO11)=1,IF(AND($E11=2,IF($W11=1,AKS11,OD11)=0),1000000000,IF($V11=1,INDEX('calcA'!$D$130:$EQ$169,$B11,144)+IF(AND($E11=1,OD11=0),25,0),INDEX('calcA'!EQ$110:EQ$114,$F11+1)+IF(AND($E11=1,OD11=0),1000,0)+IF($H11=1,INDEX('calcA'!$D$180:$EQ$219,$B11,144)*500,0)-IF(AND('calcA'!EP$117=1,ZN11&gt;0),300,0))),1000000000))</f>
        <v/>
      </c>
      <c r="UB11">
        <f>UB10+IF(AND($C10=1,$U10=1),1,0)</f>
        <v/>
      </c>
      <c r="UC11">
        <f>UC10+IF(AND($C10=2,$U10=1),1,0)</f>
        <v/>
      </c>
      <c r="UD11">
        <f>UD10+IF(AND($C10=3,$U10=1),1,0)</f>
        <v/>
      </c>
      <c r="UE11">
        <f>UE10+IF(AND($C10=4,$U10=1),1,0)</f>
        <v/>
      </c>
      <c r="UF11">
        <f>UF10+IF(AND($C10=5,$U10=1),1,0)</f>
        <v/>
      </c>
      <c r="UG11">
        <f>UG10+IF(AND($C10=6,$U10=1),1,0)</f>
        <v/>
      </c>
      <c r="UH11">
        <f>UH10+IF(AND($C10=7,$U10=1),1,0)</f>
        <v/>
      </c>
      <c r="UI11">
        <f>UI10+IF(AND($C10=8,$U10=1),1,0)</f>
        <v/>
      </c>
      <c r="UJ11">
        <f>UJ10+IF(AND($C10=9,$U10=1),1,0)</f>
        <v/>
      </c>
      <c r="UK11">
        <f>UK10+IF(AND($C10=10,$U10=1),1,0)</f>
        <v/>
      </c>
      <c r="UL11">
        <f>UL10+IF(AND($C10=11,$U10=1),1,0)</f>
        <v/>
      </c>
      <c r="UM11">
        <f>UM10+IF(AND($C10=12,$U10=1),1,0)</f>
        <v/>
      </c>
      <c r="UN11">
        <f>UN10+IF(AND($C10=13,$U10=1),1,0)</f>
        <v/>
      </c>
      <c r="UO11">
        <f>UO10+IF(AND($C10=14,$U10=1),1,0)</f>
        <v/>
      </c>
      <c r="UP11">
        <f>UP10+IF(AND($C10=15,$U10=1),1,0)</f>
        <v/>
      </c>
      <c r="UQ11">
        <f>UQ10+IF(AND($C10=16,$U10=1),1,0)</f>
        <v/>
      </c>
      <c r="UR11">
        <f>UR10+IF(AND($C10=17,$U10=1),1,0)</f>
        <v/>
      </c>
      <c r="US11">
        <f>US10+IF(AND($C10=18,$U10=1),1,0)</f>
        <v/>
      </c>
      <c r="UT11">
        <f>UT10+IF(AND($C10=19,$U10=1),1,0)</f>
        <v/>
      </c>
      <c r="UU11">
        <f>UU10+IF(AND($C10=20,$U10=1),1,0)</f>
        <v/>
      </c>
      <c r="UV11">
        <f>UV10+IF(AND($C10=21,$U10=1),1,0)</f>
        <v/>
      </c>
      <c r="UW11">
        <f>UW10+IF(AND($C10=22,$U10=1),1,0)</f>
        <v/>
      </c>
      <c r="UX11">
        <f>UX10+IF(AND($C10=23,$U10=1),1,0)</f>
        <v/>
      </c>
      <c r="UY11">
        <f>UY10+IF(AND($C10=24,$U10=1),1,0)</f>
        <v/>
      </c>
      <c r="UZ11">
        <f>UZ10+IF(AND($C10=25,$U10=1),1,0)</f>
        <v/>
      </c>
      <c r="VA11">
        <f>VA10+IF(AND($C10=26,$U10=1),1,0)</f>
        <v/>
      </c>
      <c r="VB11">
        <f>VB10+IF(AND($C10=27,$U10=1),1,0)</f>
        <v/>
      </c>
      <c r="VC11">
        <f>VC10+IF(AND($C10=28,$U10=1),1,0)</f>
        <v/>
      </c>
      <c r="VD11">
        <f>VD10+IF(AND($C10=29,$U10=1),1,0)</f>
        <v/>
      </c>
      <c r="VE11">
        <f>VE10+IF(AND($C10=30,$U10=1),1,0)</f>
        <v/>
      </c>
      <c r="VF11">
        <f>VF10+IF(AND($C10=31,$U10=1),1,0)</f>
        <v/>
      </c>
      <c r="VG11">
        <f>VG10+IF(AND($C10=32,$U10=1),1,0)</f>
        <v/>
      </c>
      <c r="VH11">
        <f>VH10+IF(AND($C10=33,$U10=1),1,0)</f>
        <v/>
      </c>
      <c r="VI11">
        <f>VI10+IF(AND($C10=34,$U10=1),1,0)</f>
        <v/>
      </c>
      <c r="VJ11">
        <f>VJ10+IF(AND($C10=35,$U10=1),1,0)</f>
        <v/>
      </c>
      <c r="VK11">
        <f>VK10+IF(AND($C10=36,$U10=1),1,0)</f>
        <v/>
      </c>
      <c r="VL11">
        <f>VL10+IF(AND($C10=37,$U10=1),1,0)</f>
        <v/>
      </c>
      <c r="VM11">
        <f>VM10+IF(AND($C10=38,$U10=1),1,0)</f>
        <v/>
      </c>
      <c r="VN11">
        <f>VN10+IF(AND($C10=39,$U10=1),1,0)</f>
        <v/>
      </c>
      <c r="VO11">
        <f>VO10+IF(AND($C10=40,$U10=1),1,0)</f>
        <v/>
      </c>
      <c r="VP11">
        <f>VP10+IF(AND($C10=41,$U10=1),1,0)</f>
        <v/>
      </c>
      <c r="VQ11">
        <f>VQ10+IF(AND($C10=42,$U10=1),1,0)</f>
        <v/>
      </c>
      <c r="VR11">
        <f>VR10+IF(AND($C10=43,$U10=1),1,0)</f>
        <v/>
      </c>
      <c r="VS11">
        <f>VS10+IF(AND($C10=44,$U10=1),1,0)</f>
        <v/>
      </c>
      <c r="VT11">
        <f>VT10+IF(AND($C10=45,$U10=1),1,0)</f>
        <v/>
      </c>
      <c r="VU11">
        <f>VU10+IF(AND($C10=46,$U10=1),1,0)</f>
        <v/>
      </c>
      <c r="VV11">
        <f>VV10+IF(AND($C10=47,$U10=1),1,0)</f>
        <v/>
      </c>
      <c r="VW11">
        <f>VW10+IF(AND($C10=48,$U10=1),1,0)</f>
        <v/>
      </c>
      <c r="VX11">
        <f>VX10+IF(AND($C10=49,$U10=1),1,0)</f>
        <v/>
      </c>
      <c r="VY11">
        <f>VY10+IF(AND($C10=50,$U10=1),1,0)</f>
        <v/>
      </c>
      <c r="VZ11">
        <f>VZ10+IF(AND($C10=51,$U10=1),1,0)</f>
        <v/>
      </c>
      <c r="WA11">
        <f>WA10+IF(AND($C10=52,$U10=1),1,0)</f>
        <v/>
      </c>
      <c r="WB11">
        <f>WB10+IF(AND($C10=53,$U10=1),1,0)</f>
        <v/>
      </c>
      <c r="WC11">
        <f>WC10+IF(AND($C10=54,$U10=1),1,0)</f>
        <v/>
      </c>
      <c r="WD11">
        <f>WD10+IF(AND($C10=55,$U10=1),1,0)</f>
        <v/>
      </c>
      <c r="WE11">
        <f>WE10+IF(AND($C10=56,$U10=1),1,0)</f>
        <v/>
      </c>
      <c r="WF11">
        <f>WF10+IF(AND($C10=57,$U10=1),1,0)</f>
        <v/>
      </c>
      <c r="WG11">
        <f>WG10+IF(AND($C10=58,$U10=1),1,0)</f>
        <v/>
      </c>
      <c r="WH11">
        <f>WH10+IF(AND($C10=59,$U10=1),1,0)</f>
        <v/>
      </c>
      <c r="WI11">
        <f>WI10+IF(AND($C10=60,$U10=1),1,0)</f>
        <v/>
      </c>
      <c r="WJ11">
        <f>WJ10+IF(AND($C10=61,$U10=1),1,0)</f>
        <v/>
      </c>
      <c r="WK11">
        <f>WK10+IF(AND($C10=62,$U10=1),1,0)</f>
        <v/>
      </c>
      <c r="WL11">
        <f>WL10+IF(AND($C10=63,$U10=1),1,0)</f>
        <v/>
      </c>
      <c r="WM11">
        <f>WM10+IF(AND($C10=64,$U10=1),1,0)</f>
        <v/>
      </c>
      <c r="WN11">
        <f>WN10+IF(AND($C10=65,$U10=1),1,0)</f>
        <v/>
      </c>
      <c r="WO11">
        <f>WO10+IF(AND($C10=66,$U10=1),1,0)</f>
        <v/>
      </c>
      <c r="WP11">
        <f>WP10+IF(AND($C10=67,$U10=1),1,0)</f>
        <v/>
      </c>
      <c r="WQ11">
        <f>WQ10+IF(AND($C10=68,$U10=1),1,0)</f>
        <v/>
      </c>
      <c r="WR11">
        <f>WR10+IF(AND($C10=69,$U10=1),1,0)</f>
        <v/>
      </c>
      <c r="WS11">
        <f>WS10+IF(AND($C10=70,$U10=1),1,0)</f>
        <v/>
      </c>
      <c r="WT11">
        <f>WT10+IF(AND($C10=71,$U10=1),1,0)</f>
        <v/>
      </c>
      <c r="WU11">
        <f>WU10+IF(AND($C10=72,$U10=1),1,0)</f>
        <v/>
      </c>
      <c r="WV11">
        <f>WV10+IF(AND($C10=73,$U10=1),1,0)</f>
        <v/>
      </c>
      <c r="WW11">
        <f>WW10+IF(AND($C10=74,$U10=1),1,0)</f>
        <v/>
      </c>
      <c r="WX11">
        <f>WX10+IF(AND($C10=75,$U10=1),1,0)</f>
        <v/>
      </c>
      <c r="WY11">
        <f>WY10+IF(AND($C10=76,$U10=1),1,0)</f>
        <v/>
      </c>
      <c r="WZ11">
        <f>WZ10+IF(AND($C10=77,$U10=1),1,0)</f>
        <v/>
      </c>
      <c r="XA11">
        <f>XA10+IF(AND($C10=78,$U10=1),1,0)</f>
        <v/>
      </c>
      <c r="XB11">
        <f>XB10+IF(AND($C10=79,$U10=1),1,0)</f>
        <v/>
      </c>
      <c r="XC11">
        <f>XC10+IF(AND($C10=80,$U10=1),1,0)</f>
        <v/>
      </c>
      <c r="XD11">
        <f>XD10+IF(AND($C10=81,$U10=1),1,0)</f>
        <v/>
      </c>
      <c r="XE11">
        <f>XE10+IF(AND($C10=82,$U10=1),1,0)</f>
        <v/>
      </c>
      <c r="XF11">
        <f>XF10+IF(AND($C10=83,$U10=1),1,0)</f>
        <v/>
      </c>
      <c r="XG11">
        <f>XG10+IF(AND($C10=84,$U10=1),1,0)</f>
        <v/>
      </c>
      <c r="XH11">
        <f>XH10+IF(AND($C10=85,$U10=1),1,0)</f>
        <v/>
      </c>
      <c r="XI11">
        <f>XI10+IF(AND($C10=86,$U10=1),1,0)</f>
        <v/>
      </c>
      <c r="XJ11">
        <f>XJ10+IF(AND($C10=87,$U10=1),1,0)</f>
        <v/>
      </c>
      <c r="XK11">
        <f>XK10+IF(AND($C10=88,$U10=1),1,0)</f>
        <v/>
      </c>
      <c r="XL11">
        <f>XL10+IF(AND($C10=89,$U10=1),1,0)</f>
        <v/>
      </c>
      <c r="XM11">
        <f>XM10+IF(AND($C10=90,$U10=1),1,0)</f>
        <v/>
      </c>
      <c r="XN11">
        <f>XN10+IF(AND($C10=91,$U10=1),1,0)</f>
        <v/>
      </c>
      <c r="XO11">
        <f>XO10+IF(AND($C10=92,$U10=1),1,0)</f>
        <v/>
      </c>
      <c r="XP11">
        <f>XP10+IF(AND($C10=93,$U10=1),1,0)</f>
        <v/>
      </c>
      <c r="XQ11">
        <f>XQ10+IF(AND($C10=94,$U10=1),1,0)</f>
        <v/>
      </c>
      <c r="XR11">
        <f>XR10+IF(AND($C10=95,$U10=1),1,0)</f>
        <v/>
      </c>
      <c r="XS11">
        <f>XS10+IF(AND($C10=96,$U10=1),1,0)</f>
        <v/>
      </c>
      <c r="XT11">
        <f>XT10+IF(AND($C10=97,$U10=1),1,0)</f>
        <v/>
      </c>
      <c r="XU11">
        <f>XU10+IF(AND($C10=98,$U10=1),1,0)</f>
        <v/>
      </c>
      <c r="XV11">
        <f>XV10+IF(AND($C10=99,$U10=1),1,0)</f>
        <v/>
      </c>
      <c r="XW11">
        <f>XW10+IF(AND($C10=100,$U10=1),1,0)</f>
        <v/>
      </c>
      <c r="XX11">
        <f>XX10+IF(AND($C10=101,$U10=1),1,0)</f>
        <v/>
      </c>
      <c r="XY11">
        <f>XY10+IF(AND($C10=102,$U10=1),1,0)</f>
        <v/>
      </c>
      <c r="XZ11">
        <f>XZ10+IF(AND($C10=103,$U10=1),1,0)</f>
        <v/>
      </c>
      <c r="YA11">
        <f>YA10+IF(AND($C10=104,$U10=1),1,0)</f>
        <v/>
      </c>
      <c r="YB11">
        <f>YB10+IF(AND($C10=105,$U10=1),1,0)</f>
        <v/>
      </c>
      <c r="YC11">
        <f>YC10+IF(AND($C10=106,$U10=1),1,0)</f>
        <v/>
      </c>
      <c r="YD11">
        <f>YD10+IF(AND($C10=107,$U10=1),1,0)</f>
        <v/>
      </c>
      <c r="YE11">
        <f>YE10+IF(AND($C10=108,$U10=1),1,0)</f>
        <v/>
      </c>
      <c r="YF11">
        <f>YF10+IF(AND($C10=109,$U10=1),1,0)</f>
        <v/>
      </c>
      <c r="YG11">
        <f>YG10+IF(AND($C10=110,$U10=1),1,0)</f>
        <v/>
      </c>
      <c r="YH11">
        <f>YH10+IF(AND($C10=111,$U10=1),1,0)</f>
        <v/>
      </c>
      <c r="YI11">
        <f>YI10+IF(AND($C10=112,$U10=1),1,0)</f>
        <v/>
      </c>
      <c r="YJ11">
        <f>YJ10+IF(AND($C10=113,$U10=1),1,0)</f>
        <v/>
      </c>
      <c r="YK11">
        <f>YK10+IF(AND($C10=114,$U10=1),1,0)</f>
        <v/>
      </c>
      <c r="YL11">
        <f>YL10+IF(AND($C10=115,$U10=1),1,0)</f>
        <v/>
      </c>
      <c r="YM11">
        <f>YM10+IF(AND($C10=116,$U10=1),1,0)</f>
        <v/>
      </c>
      <c r="YN11">
        <f>YN10+IF(AND($C10=117,$U10=1),1,0)</f>
        <v/>
      </c>
      <c r="YO11">
        <f>YO10+IF(AND($C10=118,$U10=1),1,0)</f>
        <v/>
      </c>
      <c r="YP11">
        <f>YP10+IF(AND($C10=119,$U10=1),1,0)</f>
        <v/>
      </c>
      <c r="YQ11">
        <f>YQ10+IF(AND($C10=120,$U10=1),1,0)</f>
        <v/>
      </c>
      <c r="YR11">
        <f>YR10+IF(AND($C10=121,$U10=1),1,0)</f>
        <v/>
      </c>
      <c r="YS11">
        <f>YS10+IF(AND($C10=122,$U10=1),1,0)</f>
        <v/>
      </c>
      <c r="YT11">
        <f>YT10+IF(AND($C10=123,$U10=1),1,0)</f>
        <v/>
      </c>
      <c r="YU11">
        <f>YU10+IF(AND($C10=124,$U10=1),1,0)</f>
        <v/>
      </c>
      <c r="YV11">
        <f>YV10+IF(AND($C10=125,$U10=1),1,0)</f>
        <v/>
      </c>
      <c r="YW11">
        <f>YW10+IF(AND($C10=126,$U10=1),1,0)</f>
        <v/>
      </c>
      <c r="YX11">
        <f>YX10+IF(AND($C10=127,$U10=1),1,0)</f>
        <v/>
      </c>
      <c r="YY11">
        <f>YY10+IF(AND($C10=128,$U10=1),1,0)</f>
        <v/>
      </c>
      <c r="YZ11">
        <f>YZ10+IF(AND($C10=129,$U10=1),1,0)</f>
        <v/>
      </c>
      <c r="ZA11">
        <f>ZA10+IF(AND($C10=130,$U10=1),1,0)</f>
        <v/>
      </c>
      <c r="ZB11">
        <f>ZB10+IF(AND($C10=131,$U10=1),1,0)</f>
        <v/>
      </c>
      <c r="ZC11">
        <f>ZC10+IF(AND($C10=132,$U10=1),1,0)</f>
        <v/>
      </c>
      <c r="ZD11">
        <f>ZD10+IF(AND($C10=133,$U10=1),1,0)</f>
        <v/>
      </c>
      <c r="ZE11">
        <f>ZE10+IF(AND($C10=134,$U10=1),1,0)</f>
        <v/>
      </c>
      <c r="ZF11">
        <f>ZF10+IF(AND($C10=135,$U10=1),1,0)</f>
        <v/>
      </c>
      <c r="ZG11">
        <f>ZG10+IF(AND($C10=136,$U10=1),1,0)</f>
        <v/>
      </c>
      <c r="ZH11">
        <f>ZH10+IF(AND($C10=137,$U10=1),1,0)</f>
        <v/>
      </c>
      <c r="ZI11">
        <f>ZI10+IF(AND($C10=138,$U10=1),1,0)</f>
        <v/>
      </c>
      <c r="ZJ11">
        <f>ZJ10+IF(AND($C10=139,$U10=1),1,0)</f>
        <v/>
      </c>
      <c r="ZK11">
        <f>ZK10+IF(AND($C10=140,$U10=1),1,0)</f>
        <v/>
      </c>
      <c r="ZL11">
        <f>ZL10+IF(AND($C10=141,$U10=1),1,0)</f>
        <v/>
      </c>
      <c r="ZM11">
        <f>ZM10+IF(AND($C10=142,$U10=1),1,0)</f>
        <v/>
      </c>
      <c r="ZN11">
        <f>ZN10+IF(AND($C10=143,$U10=1),1,0)</f>
        <v/>
      </c>
      <c r="ZO11">
        <f>ZO10+IF(AND($C10=144,$U10=1),1,0)</f>
        <v/>
      </c>
      <c r="ZQ11">
        <f>IF($C10=1,0,ZQ10+IF(AND($G10=1,$E10=1),1,0))</f>
        <v/>
      </c>
      <c r="ZR11">
        <f>IF($C10=2,0,ZR10+IF(AND($G10=2,$E10=1),1,0))</f>
        <v/>
      </c>
      <c r="ZS11">
        <f>IF($C10=3,0,ZS10+IF(AND($G10=3,$E10=1),1,0))</f>
        <v/>
      </c>
      <c r="ZT11">
        <f>IF($C10=4,0,ZT10+IF(AND($G10=4,$E10=1),1,0))</f>
        <v/>
      </c>
      <c r="ZU11">
        <f>IF($C10=5,0,ZU10+IF(AND($G10=5,$E10=1),1,0))</f>
        <v/>
      </c>
      <c r="ZV11">
        <f>IF($C10=6,0,ZV10+IF(AND($G10=6,$E10=1),1,0))</f>
        <v/>
      </c>
      <c r="ZW11">
        <f>IF($C10=7,0,ZW10+IF(AND($G10=7,$E10=1),1,0))</f>
        <v/>
      </c>
      <c r="ZX11">
        <f>IF($C10=8,0,ZX10+IF(AND($G10=8,$E10=1),1,0))</f>
        <v/>
      </c>
      <c r="ZY11">
        <f>IF($C10=9,0,ZY10+IF(AND($G10=9,$E10=1),1,0))</f>
        <v/>
      </c>
      <c r="ZZ11">
        <f>IF($C10=10,0,ZZ10+IF(AND($G10=10,$E10=1),1,0))</f>
        <v/>
      </c>
      <c r="AAA11">
        <f>IF($C10=11,0,AAA10+IF(AND($G10=11,$E10=1),1,0))</f>
        <v/>
      </c>
      <c r="AAB11">
        <f>IF($C10=12,0,AAB10+IF(AND($G10=12,$E10=1),1,0))</f>
        <v/>
      </c>
      <c r="AAC11">
        <f>IF($C10=13,0,AAC10+IF(AND($G10=13,$E10=1),1,0))</f>
        <v/>
      </c>
      <c r="AAD11">
        <f>IF($C10=14,0,AAD10+IF(AND($G10=14,$E10=1),1,0))</f>
        <v/>
      </c>
      <c r="AAE11">
        <f>IF($C10=15,0,AAE10+IF(AND($G10=15,$E10=1),1,0))</f>
        <v/>
      </c>
      <c r="AAF11">
        <f>IF($C10=16,0,AAF10+IF(AND($G10=16,$E10=1),1,0))</f>
        <v/>
      </c>
      <c r="AAG11">
        <f>IF($C10=17,0,AAG10+IF(AND($G10=17,$E10=1),1,0))</f>
        <v/>
      </c>
      <c r="AAH11">
        <f>IF($C10=18,0,AAH10+IF(AND($G10=18,$E10=1),1,0))</f>
        <v/>
      </c>
      <c r="AAI11">
        <f>IF($C10=19,0,AAI10+IF(AND($G10=19,$E10=1),1,0))</f>
        <v/>
      </c>
      <c r="AAJ11">
        <f>IF($C10=20,0,AAJ10+IF(AND($G10=20,$E10=1),1,0))</f>
        <v/>
      </c>
      <c r="AAK11">
        <f>IF($C10=21,0,AAK10+IF(AND($G10=21,$E10=1),1,0))</f>
        <v/>
      </c>
      <c r="AAL11">
        <f>IF($C10=22,0,AAL10+IF(AND($G10=22,$E10=1),1,0))</f>
        <v/>
      </c>
      <c r="AAM11">
        <f>IF($C10=23,0,AAM10+IF(AND($G10=23,$E10=1),1,0))</f>
        <v/>
      </c>
      <c r="AAN11">
        <f>IF($C10=24,0,AAN10+IF(AND($G10=24,$E10=1),1,0))</f>
        <v/>
      </c>
      <c r="AAO11">
        <f>IF($C10=25,0,AAO10+IF(AND($G10=25,$E10=1),1,0))</f>
        <v/>
      </c>
      <c r="AAP11">
        <f>IF($C10=26,0,AAP10+IF(AND($G10=26,$E10=1),1,0))</f>
        <v/>
      </c>
      <c r="AAQ11">
        <f>IF($C10=27,0,AAQ10+IF(AND($G10=27,$E10=1),1,0))</f>
        <v/>
      </c>
      <c r="AAR11">
        <f>IF($C10=28,0,AAR10+IF(AND($G10=28,$E10=1),1,0))</f>
        <v/>
      </c>
      <c r="AAS11">
        <f>IF($C10=29,0,AAS10+IF(AND($G10=29,$E10=1),1,0))</f>
        <v/>
      </c>
      <c r="AAT11">
        <f>IF($C10=30,0,AAT10+IF(AND($G10=30,$E10=1),1,0))</f>
        <v/>
      </c>
      <c r="AAU11">
        <f>IF($C10=31,0,AAU10+IF(AND($G10=31,$E10=1),1,0))</f>
        <v/>
      </c>
      <c r="AAV11">
        <f>IF($C10=32,0,AAV10+IF(AND($G10=32,$E10=1),1,0))</f>
        <v/>
      </c>
      <c r="AAW11">
        <f>IF($C10=33,0,AAW10+IF(AND($G10=33,$E10=1),1,0))</f>
        <v/>
      </c>
      <c r="AAX11">
        <f>IF($C10=34,0,AAX10+IF(AND($G10=34,$E10=1),1,0))</f>
        <v/>
      </c>
      <c r="AAY11">
        <f>IF($C10=35,0,AAY10+IF(AND($G10=35,$E10=1),1,0))</f>
        <v/>
      </c>
      <c r="AAZ11">
        <f>IF($C10=36,0,AAZ10+IF(AND($G10=36,$E10=1),1,0))</f>
        <v/>
      </c>
      <c r="ABA11">
        <f>IF($C10=37,0,ABA10+IF(AND($G10=37,$E10=1),1,0))</f>
        <v/>
      </c>
      <c r="ABB11">
        <f>IF($C10=38,0,ABB10+IF(AND($G10=38,$E10=1),1,0))</f>
        <v/>
      </c>
      <c r="ABC11">
        <f>IF($C10=39,0,ABC10+IF(AND($G10=39,$E10=1),1,0))</f>
        <v/>
      </c>
      <c r="ABD11">
        <f>IF($C10=40,0,ABD10+IF(AND($G10=40,$E10=1),1,0))</f>
        <v/>
      </c>
      <c r="ABE11">
        <f>IF($C10=41,0,ABE10+IF(AND($G10=41,$E10=1),1,0))</f>
        <v/>
      </c>
      <c r="ABF11">
        <f>IF($C10=42,0,ABF10+IF(AND($G10=42,$E10=1),1,0))</f>
        <v/>
      </c>
      <c r="ABG11">
        <f>IF($C10=43,0,ABG10+IF(AND($G10=43,$E10=1),1,0))</f>
        <v/>
      </c>
      <c r="ABH11">
        <f>IF($C10=44,0,ABH10+IF(AND($G10=44,$E10=1),1,0))</f>
        <v/>
      </c>
      <c r="ABI11">
        <f>IF($C10=45,0,ABI10+IF(AND($G10=45,$E10=1),1,0))</f>
        <v/>
      </c>
      <c r="ABJ11">
        <f>IF($C10=46,0,ABJ10+IF(AND($G10=46,$E10=1),1,0))</f>
        <v/>
      </c>
      <c r="ABK11">
        <f>IF($C10=47,0,ABK10+IF(AND($G10=47,$E10=1),1,0))</f>
        <v/>
      </c>
      <c r="ABL11">
        <f>IF($C10=48,0,ABL10+IF(AND($G10=48,$E10=1),1,0))</f>
        <v/>
      </c>
      <c r="ABM11">
        <f>IF($C10=49,0,ABM10+IF(AND($G10=49,$E10=1),1,0))</f>
        <v/>
      </c>
      <c r="ABN11">
        <f>IF($C10=50,0,ABN10+IF(AND($G10=50,$E10=1),1,0))</f>
        <v/>
      </c>
      <c r="ABO11">
        <f>IF($C10=51,0,ABO10+IF(AND($G10=51,$E10=1),1,0))</f>
        <v/>
      </c>
      <c r="ABP11">
        <f>IF($C10=52,0,ABP10+IF(AND($G10=52,$E10=1),1,0))</f>
        <v/>
      </c>
      <c r="ABQ11">
        <f>IF($C10=53,0,ABQ10+IF(AND($G10=53,$E10=1),1,0))</f>
        <v/>
      </c>
      <c r="ABR11">
        <f>IF($C10=54,0,ABR10+IF(AND($G10=54,$E10=1),1,0))</f>
        <v/>
      </c>
      <c r="ABS11">
        <f>IF($C10=55,0,ABS10+IF(AND($G10=55,$E10=1),1,0))</f>
        <v/>
      </c>
      <c r="ABT11">
        <f>IF($C10=56,0,ABT10+IF(AND($G10=56,$E10=1),1,0))</f>
        <v/>
      </c>
      <c r="ABU11">
        <f>IF($C10=57,0,ABU10+IF(AND($G10=57,$E10=1),1,0))</f>
        <v/>
      </c>
      <c r="ABV11">
        <f>IF($C10=58,0,ABV10+IF(AND($G10=58,$E10=1),1,0))</f>
        <v/>
      </c>
      <c r="ABW11">
        <f>IF($C10=59,0,ABW10+IF(AND($G10=59,$E10=1),1,0))</f>
        <v/>
      </c>
      <c r="ABX11">
        <f>IF($C10=60,0,ABX10+IF(AND($G10=60,$E10=1),1,0))</f>
        <v/>
      </c>
      <c r="ABY11">
        <f>IF($C10=61,0,ABY10+IF(AND($G10=61,$E10=1),1,0))</f>
        <v/>
      </c>
      <c r="ABZ11">
        <f>IF($C10=62,0,ABZ10+IF(AND($G10=62,$E10=1),1,0))</f>
        <v/>
      </c>
      <c r="ACA11">
        <f>IF($C10=63,0,ACA10+IF(AND($G10=63,$E10=1),1,0))</f>
        <v/>
      </c>
      <c r="ACB11">
        <f>IF($C10=64,0,ACB10+IF(AND($G10=64,$E10=1),1,0))</f>
        <v/>
      </c>
      <c r="ACC11">
        <f>IF($C10=65,0,ACC10+IF(AND($G10=65,$E10=1),1,0))</f>
        <v/>
      </c>
      <c r="ACD11">
        <f>IF($C10=66,0,ACD10+IF(AND($G10=66,$E10=1),1,0))</f>
        <v/>
      </c>
      <c r="ACE11">
        <f>IF($C10=67,0,ACE10+IF(AND($G10=67,$E10=1),1,0))</f>
        <v/>
      </c>
      <c r="ACF11">
        <f>IF($C10=68,0,ACF10+IF(AND($G10=68,$E10=1),1,0))</f>
        <v/>
      </c>
      <c r="ACG11">
        <f>IF($C10=69,0,ACG10+IF(AND($G10=69,$E10=1),1,0))</f>
        <v/>
      </c>
      <c r="ACH11">
        <f>IF($C10=70,0,ACH10+IF(AND($G10=70,$E10=1),1,0))</f>
        <v/>
      </c>
      <c r="ACI11">
        <f>IF($C10=71,0,ACI10+IF(AND($G10=71,$E10=1),1,0))</f>
        <v/>
      </c>
      <c r="ACJ11">
        <f>IF($C10=72,0,ACJ10+IF(AND($G10=72,$E10=1),1,0))</f>
        <v/>
      </c>
      <c r="ACK11">
        <f>IF($C10=73,0,ACK10+IF(AND($G10=73,$E10=1),1,0))</f>
        <v/>
      </c>
      <c r="ACL11">
        <f>IF($C10=74,0,ACL10+IF(AND($G10=74,$E10=1),1,0))</f>
        <v/>
      </c>
      <c r="ACM11">
        <f>IF($C10=75,0,ACM10+IF(AND($G10=75,$E10=1),1,0))</f>
        <v/>
      </c>
      <c r="ACN11">
        <f>IF($C10=76,0,ACN10+IF(AND($G10=76,$E10=1),1,0))</f>
        <v/>
      </c>
      <c r="ACO11">
        <f>IF($C10=77,0,ACO10+IF(AND($G10=77,$E10=1),1,0))</f>
        <v/>
      </c>
      <c r="ACP11">
        <f>IF($C10=78,0,ACP10+IF(AND($G10=78,$E10=1),1,0))</f>
        <v/>
      </c>
      <c r="ACQ11">
        <f>IF($C10=79,0,ACQ10+IF(AND($G10=79,$E10=1),1,0))</f>
        <v/>
      </c>
      <c r="ACR11">
        <f>IF($C10=80,0,ACR10+IF(AND($G10=80,$E10=1),1,0))</f>
        <v/>
      </c>
      <c r="ACS11">
        <f>IF($C10=81,0,ACS10+IF(AND($G10=81,$E10=1),1,0))</f>
        <v/>
      </c>
      <c r="ACT11">
        <f>IF($C10=82,0,ACT10+IF(AND($G10=82,$E10=1),1,0))</f>
        <v/>
      </c>
      <c r="ACU11">
        <f>IF($C10=83,0,ACU10+IF(AND($G10=83,$E10=1),1,0))</f>
        <v/>
      </c>
      <c r="ACV11">
        <f>IF($C10=84,0,ACV10+IF(AND($G10=84,$E10=1),1,0))</f>
        <v/>
      </c>
      <c r="ACW11">
        <f>IF($C10=85,0,ACW10+IF(AND($G10=85,$E10=1),1,0))</f>
        <v/>
      </c>
      <c r="ACX11">
        <f>IF($C10=86,0,ACX10+IF(AND($G10=86,$E10=1),1,0))</f>
        <v/>
      </c>
      <c r="ACY11">
        <f>IF($C10=87,0,ACY10+IF(AND($G10=87,$E10=1),1,0))</f>
        <v/>
      </c>
      <c r="ACZ11">
        <f>IF($C10=88,0,ACZ10+IF(AND($G10=88,$E10=1),1,0))</f>
        <v/>
      </c>
      <c r="ADA11">
        <f>IF($C10=89,0,ADA10+IF(AND($G10=89,$E10=1),1,0))</f>
        <v/>
      </c>
      <c r="ADB11">
        <f>IF($C10=90,0,ADB10+IF(AND($G10=90,$E10=1),1,0))</f>
        <v/>
      </c>
      <c r="ADC11">
        <f>IF($C10=91,0,ADC10+IF(AND($G10=91,$E10=1),1,0))</f>
        <v/>
      </c>
      <c r="ADD11">
        <f>IF($C10=92,0,ADD10+IF(AND($G10=92,$E10=1),1,0))</f>
        <v/>
      </c>
      <c r="ADE11">
        <f>IF($C10=93,0,ADE10+IF(AND($G10=93,$E10=1),1,0))</f>
        <v/>
      </c>
      <c r="ADF11">
        <f>IF($C10=94,0,ADF10+IF(AND($G10=94,$E10=1),1,0))</f>
        <v/>
      </c>
      <c r="ADG11">
        <f>IF($C10=95,0,ADG10+IF(AND($G10=95,$E10=1),1,0))</f>
        <v/>
      </c>
      <c r="ADH11">
        <f>IF($C10=96,0,ADH10+IF(AND($G10=96,$E10=1),1,0))</f>
        <v/>
      </c>
      <c r="ADI11">
        <f>IF($C10=97,0,ADI10+IF(AND($G10=97,$E10=1),1,0))</f>
        <v/>
      </c>
      <c r="ADJ11">
        <f>IF($C10=98,0,ADJ10+IF(AND($G10=98,$E10=1),1,0))</f>
        <v/>
      </c>
      <c r="ADK11">
        <f>IF($C10=99,0,ADK10+IF(AND($G10=99,$E10=1),1,0))</f>
        <v/>
      </c>
      <c r="ADL11">
        <f>IF($C10=100,0,ADL10+IF(AND($G10=100,$E10=1),1,0))</f>
        <v/>
      </c>
      <c r="ADM11">
        <f>IF($C10=101,0,ADM10+IF(AND($G10=101,$E10=1),1,0))</f>
        <v/>
      </c>
      <c r="ADN11">
        <f>IF($C10=102,0,ADN10+IF(AND($G10=102,$E10=1),1,0))</f>
        <v/>
      </c>
      <c r="ADO11">
        <f>IF($C10=103,0,ADO10+IF(AND($G10=103,$E10=1),1,0))</f>
        <v/>
      </c>
      <c r="ADP11">
        <f>IF($C10=104,0,ADP10+IF(AND($G10=104,$E10=1),1,0))</f>
        <v/>
      </c>
      <c r="ADQ11">
        <f>IF($C10=105,0,ADQ10+IF(AND($G10=105,$E10=1),1,0))</f>
        <v/>
      </c>
      <c r="ADR11">
        <f>IF($C10=106,0,ADR10+IF(AND($G10=106,$E10=1),1,0))</f>
        <v/>
      </c>
      <c r="ADS11">
        <f>IF($C10=107,0,ADS10+IF(AND($G10=107,$E10=1),1,0))</f>
        <v/>
      </c>
      <c r="ADT11">
        <f>IF($C10=108,0,ADT10+IF(AND($G10=108,$E10=1),1,0))</f>
        <v/>
      </c>
      <c r="ADU11">
        <f>IF($C10=109,0,ADU10+IF(AND($G10=109,$E10=1),1,0))</f>
        <v/>
      </c>
      <c r="ADV11">
        <f>IF($C10=110,0,ADV10+IF(AND($G10=110,$E10=1),1,0))</f>
        <v/>
      </c>
      <c r="ADW11">
        <f>IF($C10=111,0,ADW10+IF(AND($G10=111,$E10=1),1,0))</f>
        <v/>
      </c>
      <c r="ADX11">
        <f>IF($C10=112,0,ADX10+IF(AND($G10=112,$E10=1),1,0))</f>
        <v/>
      </c>
      <c r="ADY11">
        <f>IF($C10=113,0,ADY10+IF(AND($G10=113,$E10=1),1,0))</f>
        <v/>
      </c>
      <c r="ADZ11">
        <f>IF($C10=114,0,ADZ10+IF(AND($G10=114,$E10=1),1,0))</f>
        <v/>
      </c>
      <c r="AEA11">
        <f>IF($C10=115,0,AEA10+IF(AND($G10=115,$E10=1),1,0))</f>
        <v/>
      </c>
      <c r="AEB11">
        <f>IF($C10=116,0,AEB10+IF(AND($G10=116,$E10=1),1,0))</f>
        <v/>
      </c>
      <c r="AEC11">
        <f>IF($C10=117,0,AEC10+IF(AND($G10=117,$E10=1),1,0))</f>
        <v/>
      </c>
      <c r="AED11">
        <f>IF($C10=118,0,AED10+IF(AND($G10=118,$E10=1),1,0))</f>
        <v/>
      </c>
      <c r="AEE11">
        <f>IF($C10=119,0,AEE10+IF(AND($G10=119,$E10=1),1,0))</f>
        <v/>
      </c>
      <c r="AEF11">
        <f>IF($C10=120,0,AEF10+IF(AND($G10=120,$E10=1),1,0))</f>
        <v/>
      </c>
      <c r="AEG11">
        <f>IF($C10=121,0,AEG10+IF(AND($G10=121,$E10=1),1,0))</f>
        <v/>
      </c>
      <c r="AEH11">
        <f>IF($C10=122,0,AEH10+IF(AND($G10=122,$E10=1),1,0))</f>
        <v/>
      </c>
      <c r="AEI11">
        <f>IF($C10=123,0,AEI10+IF(AND($G10=123,$E10=1),1,0))</f>
        <v/>
      </c>
      <c r="AEJ11">
        <f>IF($C10=124,0,AEJ10+IF(AND($G10=124,$E10=1),1,0))</f>
        <v/>
      </c>
      <c r="AEK11">
        <f>IF($C10=125,0,AEK10+IF(AND($G10=125,$E10=1),1,0))</f>
        <v/>
      </c>
      <c r="AEL11">
        <f>IF($C10=126,0,AEL10+IF(AND($G10=126,$E10=1),1,0))</f>
        <v/>
      </c>
      <c r="AEM11">
        <f>IF($C10=127,0,AEM10+IF(AND($G10=127,$E10=1),1,0))</f>
        <v/>
      </c>
      <c r="AEN11">
        <f>IF($C10=128,0,AEN10+IF(AND($G10=128,$E10=1),1,0))</f>
        <v/>
      </c>
      <c r="AEO11">
        <f>IF($C10=129,0,AEO10+IF(AND($G10=129,$E10=1),1,0))</f>
        <v/>
      </c>
      <c r="AEP11">
        <f>IF($C10=130,0,AEP10+IF(AND($G10=130,$E10=1),1,0))</f>
        <v/>
      </c>
      <c r="AEQ11">
        <f>IF($C10=131,0,AEQ10+IF(AND($G10=131,$E10=1),1,0))</f>
        <v/>
      </c>
      <c r="AER11">
        <f>IF($C10=132,0,AER10+IF(AND($G10=132,$E10=1),1,0))</f>
        <v/>
      </c>
      <c r="AES11">
        <f>IF($C10=133,0,AES10+IF(AND($G10=133,$E10=1),1,0))</f>
        <v/>
      </c>
      <c r="AET11">
        <f>IF($C10=134,0,AET10+IF(AND($G10=134,$E10=1),1,0))</f>
        <v/>
      </c>
      <c r="AEU11">
        <f>IF($C10=135,0,AEU10+IF(AND($G10=135,$E10=1),1,0))</f>
        <v/>
      </c>
      <c r="AEV11">
        <f>IF($C10=136,0,AEV10+IF(AND($G10=136,$E10=1),1,0))</f>
        <v/>
      </c>
      <c r="AEW11">
        <f>IF($C10=137,0,AEW10+IF(AND($G10=137,$E10=1),1,0))</f>
        <v/>
      </c>
      <c r="AEX11">
        <f>IF($C10=138,0,AEX10+IF(AND($G10=138,$E10=1),1,0))</f>
        <v/>
      </c>
      <c r="AEY11">
        <f>IF($C10=139,0,AEY10+IF(AND($G10=139,$E10=1),1,0))</f>
        <v/>
      </c>
      <c r="AEZ11">
        <f>IF($C10=140,0,AEZ10+IF(AND($G10=140,$E10=1),1,0))</f>
        <v/>
      </c>
      <c r="AFA11">
        <f>IF($C10=141,0,AFA10+IF(AND($G10=141,$E10=1),1,0))</f>
        <v/>
      </c>
      <c r="AFB11">
        <f>IF($C10=142,0,AFB10+IF(AND($G10=142,$E10=1),1,0))</f>
        <v/>
      </c>
      <c r="AFC11">
        <f>IF($C10=143,0,AFC10+IF(AND($G10=143,$E10=1),1,0))</f>
        <v/>
      </c>
      <c r="AFD11">
        <f>IF($C10=144,0,AFD10+IF(AND($G10=144,$E10=1),1,0))</f>
        <v/>
      </c>
      <c r="AFF11">
        <f>IF('calcA'!D$106=1,DC11+ZR11,1)</f>
        <v/>
      </c>
      <c r="AFG11">
        <f>IF('calcA'!E$106=1,DD11+ZS11,1)</f>
        <v/>
      </c>
      <c r="AFH11">
        <f>IF('calcA'!F$106=1,DE11+ZT11,1)</f>
        <v/>
      </c>
      <c r="AFI11">
        <f>IF('calcA'!G$106=1,DF11+ZU11,1)</f>
        <v/>
      </c>
      <c r="AFJ11">
        <f>IF('calcA'!H$106=1,DG11+ZV11,1)</f>
        <v/>
      </c>
      <c r="AFK11">
        <f>IF('calcA'!I$106=1,DH11+ZW11,1)</f>
        <v/>
      </c>
      <c r="AFL11">
        <f>IF('calcA'!J$106=1,DI11+ZX11,1)</f>
        <v/>
      </c>
      <c r="AFM11">
        <f>IF('calcA'!K$106=1,DJ11+ZY11,1)</f>
        <v/>
      </c>
      <c r="AFN11">
        <f>IF('calcA'!L$106=1,DK11+ZZ11,1)</f>
        <v/>
      </c>
      <c r="AFO11">
        <f>IF('calcA'!M$106=1,DL11+AAA11,1)</f>
        <v/>
      </c>
      <c r="AFP11">
        <f>IF('calcA'!N$106=1,DM11+AAB11,1)</f>
        <v/>
      </c>
      <c r="AFQ11">
        <f>IF('calcA'!O$106=1,DN11+AAC11,1)</f>
        <v/>
      </c>
      <c r="AFR11">
        <f>IF('calcA'!P$106=1,DO11+AAD11,1)</f>
        <v/>
      </c>
      <c r="AFS11">
        <f>IF('calcA'!Q$106=1,DP11+AAE11,1)</f>
        <v/>
      </c>
      <c r="AFT11">
        <f>IF('calcA'!R$106=1,DQ11+AAF11,1)</f>
        <v/>
      </c>
      <c r="AFU11">
        <f>IF('calcA'!S$106=1,DR11+AAG11,1)</f>
        <v/>
      </c>
      <c r="AFV11">
        <f>IF('calcA'!T$106=1,DS11+AAH11,1)</f>
        <v/>
      </c>
      <c r="AFW11">
        <f>IF('calcA'!U$106=1,DT11+AAI11,1)</f>
        <v/>
      </c>
      <c r="AFX11">
        <f>IF('calcA'!V$106=1,DU11+AAJ11,1)</f>
        <v/>
      </c>
      <c r="AFY11">
        <f>IF('calcA'!W$106=1,DV11+AAK11,1)</f>
        <v/>
      </c>
      <c r="AFZ11">
        <f>IF('calcA'!X$106=1,DW11+AAL11,1)</f>
        <v/>
      </c>
      <c r="AGA11">
        <f>IF('calcA'!Y$106=1,DX11+AAM11,1)</f>
        <v/>
      </c>
      <c r="AGB11">
        <f>IF('calcA'!Z$106=1,DY11+AAN11,1)</f>
        <v/>
      </c>
      <c r="AGC11">
        <f>IF('calcA'!AA$106=1,DZ11+AAO11,1)</f>
        <v/>
      </c>
      <c r="AGD11">
        <f>IF('calcA'!AB$106=1,EA11+AAP11,1)</f>
        <v/>
      </c>
      <c r="AGE11">
        <f>IF('calcA'!AC$106=1,EB11+AAQ11,1)</f>
        <v/>
      </c>
      <c r="AGF11">
        <f>IF('calcA'!AD$106=1,EC11+AAR11,1)</f>
        <v/>
      </c>
      <c r="AGG11">
        <f>IF('calcA'!AE$106=1,ED11+AAS11,1)</f>
        <v/>
      </c>
      <c r="AGH11">
        <f>IF('calcA'!AF$106=1,EE11+AAT11,1)</f>
        <v/>
      </c>
      <c r="AGI11">
        <f>IF('calcA'!AG$106=1,EF11+AAU11,1)</f>
        <v/>
      </c>
      <c r="AGJ11">
        <f>IF('calcA'!AH$106=1,EG11+AAV11,1)</f>
        <v/>
      </c>
      <c r="AGK11">
        <f>IF('calcA'!AI$106=1,EH11+AAW11,1)</f>
        <v/>
      </c>
      <c r="AGL11">
        <f>IF('calcA'!AJ$106=1,EI11+AAX11,1)</f>
        <v/>
      </c>
      <c r="AGM11">
        <f>IF('calcA'!AK$106=1,EJ11+AAY11,1)</f>
        <v/>
      </c>
      <c r="AGN11">
        <f>IF('calcA'!AL$106=1,EK11+AAZ11,1)</f>
        <v/>
      </c>
      <c r="AGO11">
        <f>IF('calcA'!AM$106=1,EL11+ABA11,1)</f>
        <v/>
      </c>
      <c r="AGP11">
        <f>IF('calcA'!AN$106=1,EM11+ABB11,1)</f>
        <v/>
      </c>
      <c r="AGQ11">
        <f>IF('calcA'!AO$106=1,EN11+ABC11,1)</f>
        <v/>
      </c>
      <c r="AGR11">
        <f>IF('calcA'!AP$106=1,EO11+ABD11,1)</f>
        <v/>
      </c>
      <c r="AGS11">
        <f>IF('calcA'!AQ$106=1,EP11+ABE11,1)</f>
        <v/>
      </c>
      <c r="AGT11">
        <f>IF('calcA'!AR$106=1,EQ11+ABF11,1)</f>
        <v/>
      </c>
      <c r="AGU11">
        <f>IF('calcA'!AS$106=1,ER11+ABG11,1)</f>
        <v/>
      </c>
      <c r="AGV11">
        <f>IF('calcA'!AT$106=1,ES11+ABH11,1)</f>
        <v/>
      </c>
      <c r="AGW11">
        <f>IF('calcA'!AU$106=1,ET11+ABI11,1)</f>
        <v/>
      </c>
      <c r="AGX11">
        <f>IF('calcA'!AV$106=1,EU11+ABJ11,1)</f>
        <v/>
      </c>
      <c r="AGY11">
        <f>IF('calcA'!AW$106=1,EV11+ABK11,1)</f>
        <v/>
      </c>
      <c r="AGZ11">
        <f>IF('calcA'!AX$106=1,EW11+ABL11,1)</f>
        <v/>
      </c>
      <c r="AHA11">
        <f>IF('calcA'!AY$106=1,EX11+ABM11,1)</f>
        <v/>
      </c>
      <c r="AHB11">
        <f>IF('calcA'!AZ$106=1,EY11+ABN11,1)</f>
        <v/>
      </c>
      <c r="AHC11">
        <f>IF('calcA'!BA$106=1,EZ11+ABO11,1)</f>
        <v/>
      </c>
      <c r="AHD11">
        <f>IF('calcA'!BB$106=1,FA11+ABP11,1)</f>
        <v/>
      </c>
      <c r="AHE11">
        <f>IF('calcA'!BC$106=1,FB11+ABQ11,1)</f>
        <v/>
      </c>
      <c r="AHF11">
        <f>IF('calcA'!BD$106=1,FC11+ABR11,1)</f>
        <v/>
      </c>
      <c r="AHG11">
        <f>IF('calcA'!BE$106=1,FD11+ABS11,1)</f>
        <v/>
      </c>
      <c r="AHH11">
        <f>IF('calcA'!BF$106=1,FE11+ABT11,1)</f>
        <v/>
      </c>
      <c r="AHI11">
        <f>IF('calcA'!BG$106=1,FF11+ABU11,1)</f>
        <v/>
      </c>
      <c r="AHJ11">
        <f>IF('calcA'!BH$106=1,FG11+ABV11,1)</f>
        <v/>
      </c>
      <c r="AHK11">
        <f>IF('calcA'!BI$106=1,FH11+ABW11,1)</f>
        <v/>
      </c>
      <c r="AHL11">
        <f>IF('calcA'!BJ$106=1,FI11+ABX11,1)</f>
        <v/>
      </c>
      <c r="AHM11">
        <f>IF('calcA'!BK$106=1,FJ11+ABY11,1)</f>
        <v/>
      </c>
      <c r="AHN11">
        <f>IF('calcA'!BL$106=1,FK11+ABZ11,1)</f>
        <v/>
      </c>
      <c r="AHO11">
        <f>IF('calcA'!BM$106=1,FL11+ACA11,1)</f>
        <v/>
      </c>
      <c r="AHP11">
        <f>IF('calcA'!BN$106=1,FM11+ACB11,1)</f>
        <v/>
      </c>
      <c r="AHQ11">
        <f>IF('calcA'!BO$106=1,FN11+ACC11,1)</f>
        <v/>
      </c>
      <c r="AHR11">
        <f>IF('calcA'!BP$106=1,FO11+ACD11,1)</f>
        <v/>
      </c>
      <c r="AHS11">
        <f>IF('calcA'!BQ$106=1,FP11+ACE11,1)</f>
        <v/>
      </c>
      <c r="AHT11">
        <f>IF('calcA'!BR$106=1,FQ11+ACF11,1)</f>
        <v/>
      </c>
      <c r="AHU11">
        <f>IF('calcA'!BS$106=1,FR11+ACG11,1)</f>
        <v/>
      </c>
      <c r="AHV11">
        <f>IF('calcA'!BT$106=1,FS11+ACH11,1)</f>
        <v/>
      </c>
      <c r="AHW11">
        <f>IF('calcA'!BU$106=1,FT11+ACI11,1)</f>
        <v/>
      </c>
      <c r="AHX11">
        <f>IF('calcA'!BV$106=1,FU11+ACJ11,1)</f>
        <v/>
      </c>
      <c r="AHY11">
        <f>IF('calcA'!BW$106=1,FV11+ACK11,1)</f>
        <v/>
      </c>
      <c r="AHZ11">
        <f>IF('calcA'!BX$106=1,FW11+ACL11,1)</f>
        <v/>
      </c>
      <c r="AIA11">
        <f>IF('calcA'!BY$106=1,FX11+ACM11,1)</f>
        <v/>
      </c>
      <c r="AIB11">
        <f>IF('calcA'!BZ$106=1,FY11+ACN11,1)</f>
        <v/>
      </c>
      <c r="AIC11">
        <f>IF('calcA'!CA$106=1,FZ11+ACO11,1)</f>
        <v/>
      </c>
      <c r="AID11">
        <f>IF('calcA'!CB$106=1,GA11+ACP11,1)</f>
        <v/>
      </c>
      <c r="AIE11">
        <f>IF('calcA'!CC$106=1,GB11+ACQ11,1)</f>
        <v/>
      </c>
      <c r="AIF11">
        <f>IF('calcA'!CD$106=1,GC11+ACR11,1)</f>
        <v/>
      </c>
      <c r="AIG11">
        <f>IF('calcA'!CE$106=1,GD11+ACS11,1)</f>
        <v/>
      </c>
      <c r="AIH11">
        <f>IF('calcA'!CF$106=1,GE11+ACT11,1)</f>
        <v/>
      </c>
      <c r="AII11">
        <f>IF('calcA'!CG$106=1,GF11+ACU11,1)</f>
        <v/>
      </c>
      <c r="AIJ11">
        <f>IF('calcA'!CH$106=1,GG11+ACV11,1)</f>
        <v/>
      </c>
      <c r="AIK11">
        <f>IF('calcA'!CI$106=1,GH11+ACW11,1)</f>
        <v/>
      </c>
      <c r="AIL11">
        <f>IF('calcA'!CJ$106=1,GI11+ACX11,1)</f>
        <v/>
      </c>
      <c r="AIM11">
        <f>IF('calcA'!CK$106=1,GJ11+ACY11,1)</f>
        <v/>
      </c>
      <c r="AIN11">
        <f>IF('calcA'!CL$106=1,GK11+ACZ11,1)</f>
        <v/>
      </c>
      <c r="AIO11">
        <f>IF('calcA'!CM$106=1,GL11+ADA11,1)</f>
        <v/>
      </c>
      <c r="AIP11">
        <f>IF('calcA'!CN$106=1,GM11+ADB11,1)</f>
        <v/>
      </c>
      <c r="AIQ11">
        <f>IF('calcA'!CO$106=1,GN11+ADC11,1)</f>
        <v/>
      </c>
      <c r="AIR11">
        <f>IF('calcA'!CP$106=1,GO11+ADD11,1)</f>
        <v/>
      </c>
      <c r="AIS11">
        <f>IF('calcA'!CQ$106=1,GP11+ADE11,1)</f>
        <v/>
      </c>
      <c r="AIT11">
        <f>IF('calcA'!CR$106=1,GQ11+ADF11,1)</f>
        <v/>
      </c>
      <c r="AIU11">
        <f>IF('calcA'!CS$106=1,GR11+ADG11,1)</f>
        <v/>
      </c>
      <c r="AIV11">
        <f>IF('calcA'!CT$106=1,GS11+ADH11,1)</f>
        <v/>
      </c>
      <c r="AIW11">
        <f>IF('calcA'!CU$106=1,GT11+ADI11,1)</f>
        <v/>
      </c>
      <c r="AIX11">
        <f>IF('calcA'!CV$106=1,GU11+ADJ11,1)</f>
        <v/>
      </c>
      <c r="AIY11">
        <f>IF('calcA'!CW$106=1,GV11+ADK11,1)</f>
        <v/>
      </c>
      <c r="AIZ11">
        <f>IF('calcA'!CX$106=1,GW11+ADL11,1)</f>
        <v/>
      </c>
      <c r="AJA11">
        <f>IF('calcA'!CY$106=1,GX11+ADM11,1)</f>
        <v/>
      </c>
      <c r="AJB11">
        <f>IF('calcA'!CZ$106=1,GY11+ADN11,1)</f>
        <v/>
      </c>
      <c r="AJC11">
        <f>IF('calcA'!DA$106=1,GZ11+ADO11,1)</f>
        <v/>
      </c>
      <c r="AJD11">
        <f>IF('calcA'!DB$106=1,HA11+ADP11,1)</f>
        <v/>
      </c>
      <c r="AJE11">
        <f>IF('calcA'!DC$106=1,HB11+ADQ11,1)</f>
        <v/>
      </c>
      <c r="AJF11">
        <f>IF('calcA'!DD$106=1,HC11+ADR11,1)</f>
        <v/>
      </c>
      <c r="AJG11">
        <f>IF('calcA'!DE$106=1,HD11+ADS11,1)</f>
        <v/>
      </c>
      <c r="AJH11">
        <f>IF('calcA'!DF$106=1,HE11+ADT11,1)</f>
        <v/>
      </c>
      <c r="AJI11">
        <f>IF('calcA'!DG$106=1,HF11+ADU11,1)</f>
        <v/>
      </c>
      <c r="AJJ11">
        <f>IF('calcA'!DH$106=1,HG11+ADV11,1)</f>
        <v/>
      </c>
      <c r="AJK11">
        <f>IF('calcA'!DI$106=1,HH11+ADW11,1)</f>
        <v/>
      </c>
      <c r="AJL11">
        <f>IF('calcA'!DJ$106=1,HI11+ADX11,1)</f>
        <v/>
      </c>
      <c r="AJM11">
        <f>IF('calcA'!DK$106=1,HJ11+ADY11,1)</f>
        <v/>
      </c>
      <c r="AJN11">
        <f>IF('calcA'!DL$106=1,HK11+ADZ11,1)</f>
        <v/>
      </c>
      <c r="AJO11">
        <f>IF('calcA'!DM$106=1,HL11+AEA11,1)</f>
        <v/>
      </c>
      <c r="AJP11">
        <f>IF('calcA'!DN$106=1,HM11+AEB11,1)</f>
        <v/>
      </c>
      <c r="AJQ11">
        <f>IF('calcA'!DO$106=1,HN11+AEC11,1)</f>
        <v/>
      </c>
      <c r="AJR11">
        <f>IF('calcA'!DP$106=1,HO11+AED11,1)</f>
        <v/>
      </c>
      <c r="AJS11">
        <f>IF('calcA'!DQ$106=1,HP11+AEE11,1)</f>
        <v/>
      </c>
      <c r="AJT11">
        <f>IF('calcA'!DR$106=1,HQ11+AEF11,1)</f>
        <v/>
      </c>
      <c r="AJU11">
        <f>IF('calcA'!DS$106=1,HR11+AEG11,1)</f>
        <v/>
      </c>
      <c r="AJV11">
        <f>IF('calcA'!DT$106=1,HS11+AEH11,1)</f>
        <v/>
      </c>
      <c r="AJW11">
        <f>IF('calcA'!DU$106=1,HT11+AEI11,1)</f>
        <v/>
      </c>
      <c r="AJX11">
        <f>IF('calcA'!DV$106=1,HU11+AEJ11,1)</f>
        <v/>
      </c>
      <c r="AJY11">
        <f>IF('calcA'!DW$106=1,HV11+AEK11,1)</f>
        <v/>
      </c>
      <c r="AJZ11">
        <f>IF('calcA'!DX$106=1,HW11+AEL11,1)</f>
        <v/>
      </c>
      <c r="AKA11">
        <f>IF('calcA'!DY$106=1,HX11+AEM11,1)</f>
        <v/>
      </c>
      <c r="AKB11">
        <f>IF('calcA'!DZ$106=1,HY11+AEN11,1)</f>
        <v/>
      </c>
      <c r="AKC11">
        <f>IF('calcA'!EA$106=1,HZ11+AEO11,1)</f>
        <v/>
      </c>
      <c r="AKD11">
        <f>IF('calcA'!EB$106=1,IA11+AEP11,1)</f>
        <v/>
      </c>
      <c r="AKE11">
        <f>IF('calcA'!EC$106=1,IB11+AEQ11,1)</f>
        <v/>
      </c>
      <c r="AKF11">
        <f>IF('calcA'!ED$106=1,IC11+AER11,1)</f>
        <v/>
      </c>
      <c r="AKG11">
        <f>IF('calcA'!EE$106=1,ID11+AES11,1)</f>
        <v/>
      </c>
      <c r="AKH11">
        <f>IF('calcA'!EF$106=1,IE11+AET11,1)</f>
        <v/>
      </c>
      <c r="AKI11">
        <f>IF('calcA'!EG$106=1,IF11+AEU11,1)</f>
        <v/>
      </c>
      <c r="AKJ11">
        <f>IF('calcA'!EH$106=1,IG11+AEV11,1)</f>
        <v/>
      </c>
      <c r="AKK11">
        <f>IF('calcA'!EI$106=1,IH11+AEW11,1)</f>
        <v/>
      </c>
      <c r="AKL11">
        <f>IF('calcA'!EJ$106=1,II11+AEX11,1)</f>
        <v/>
      </c>
      <c r="AKM11">
        <f>IF('calcA'!EK$106=1,IJ11+AEY11,1)</f>
        <v/>
      </c>
      <c r="AKN11">
        <f>IF('calcA'!EL$106=1,IK11+AEZ11,1)</f>
        <v/>
      </c>
      <c r="AKO11">
        <f>IF('calcA'!EM$106=1,IL11+AFA11,1)</f>
        <v/>
      </c>
      <c r="AKP11">
        <f>IF('calcA'!EN$106=1,IM11+AFB11,1)</f>
        <v/>
      </c>
      <c r="AKQ11">
        <f>IF('calcA'!EO$106=1,IN11+AFC11,1)</f>
        <v/>
      </c>
      <c r="AKR11">
        <f>IF('calcA'!EP$106=1,IO11+AFD11,1)</f>
        <v/>
      </c>
      <c r="AKS11" t="n">
        <v>1</v>
      </c>
    </row>
    <row r="12">
      <c r="A12" t="n">
        <v>10</v>
      </c>
      <c r="B12">
        <f>IF(MIN(BM12:CZ12)&gt;=1000000000,0,MATCH(MIN(BM12:CZ12),BM12:CZ12,0))</f>
        <v/>
      </c>
      <c r="C12">
        <f>IF(MIN(OF12:TS12)&gt;=1000000000,0,MATCH(MIN(OF12:TS12),OF12:TS12,0))</f>
        <v/>
      </c>
      <c r="D12">
        <f>IF(C12&gt;0,INDEX('calcA'!$D$5:$EQ$5,C12),0)</f>
        <v/>
      </c>
      <c r="E12">
        <f>IF(B12=0,0,INDEX('calcA'!$IQ$10:$IQ$54,B12))</f>
        <v/>
      </c>
      <c r="F12">
        <f>IF(B12=0,0,INDEX('calcA'!$IP$10:$IP$54,B12))</f>
        <v/>
      </c>
      <c r="G12">
        <f>IF(AND(C12&gt;0,E12&gt;0),IF(AND(INDEX('calcA'!$D$106:$EQ$106,C12)=1,INDEX($IQ12:$OD12,C12)=1),C12+1,0),0)</f>
        <v/>
      </c>
      <c r="H12">
        <f>IF(B12=0,0,INDEX('calcA'!$IW$10:$IW$54,B12))</f>
        <v/>
      </c>
      <c r="U12">
        <f>IF(B12=0,0,INDEX('calcA'!$IX$10:$IX$54,B12))</f>
        <v/>
      </c>
      <c r="V12">
        <f>IF(B12=0,0,INDEX('calcA'!$JF$10:$JF$54,B12))</f>
        <v/>
      </c>
      <c r="W12">
        <f>IF(B12=0,0,IF(IF(E12=2,SUMPRODUCT(INDEX('calcA'!$D$60:$EQ$99,B12,0),$DB12:$IO12,$IQ12:$OD12),SUMPRODUCT(INDEX('calcA'!$D$60:$EQ$99,B12,0),$DB12:$IO12))=0,1,0))</f>
        <v/>
      </c>
      <c r="X12">
        <f>MAX(X11,IF($B11=1,1,0))</f>
        <v/>
      </c>
      <c r="Y12">
        <f>MAX(Y11,IF($B11=2,1,0))</f>
        <v/>
      </c>
      <c r="Z12">
        <f>MAX(Z11,IF($B11=3,1,0))</f>
        <v/>
      </c>
      <c r="AA12">
        <f>MAX(AA11,IF($B11=4,1,0))</f>
        <v/>
      </c>
      <c r="AB12">
        <f>MAX(AB11,IF($B11=5,1,0))</f>
        <v/>
      </c>
      <c r="AC12">
        <f>MAX(AC11,IF($B11=6,1,0))</f>
        <v/>
      </c>
      <c r="AD12">
        <f>MAX(AD11,IF($B11=7,1,0))</f>
        <v/>
      </c>
      <c r="AE12">
        <f>MAX(AE11,IF($B11=8,1,0))</f>
        <v/>
      </c>
      <c r="AF12">
        <f>MAX(AF11,IF($B11=9,1,0))</f>
        <v/>
      </c>
      <c r="AG12">
        <f>MAX(AG11,IF($B11=10,1,0))</f>
        <v/>
      </c>
      <c r="AH12">
        <f>MAX(AH11,IF($B11=11,1,0))</f>
        <v/>
      </c>
      <c r="AI12">
        <f>MAX(AI11,IF($B11=12,1,0))</f>
        <v/>
      </c>
      <c r="AJ12">
        <f>MAX(AJ11,IF($B11=13,1,0))</f>
        <v/>
      </c>
      <c r="AK12">
        <f>MAX(AK11,IF($B11=14,1,0))</f>
        <v/>
      </c>
      <c r="AL12">
        <f>MAX(AL11,IF($B11=15,1,0))</f>
        <v/>
      </c>
      <c r="AM12">
        <f>MAX(AM11,IF($B11=16,1,0))</f>
        <v/>
      </c>
      <c r="AN12">
        <f>MAX(AN11,IF($B11=17,1,0))</f>
        <v/>
      </c>
      <c r="AO12">
        <f>MAX(AO11,IF($B11=18,1,0))</f>
        <v/>
      </c>
      <c r="AP12">
        <f>MAX(AP11,IF($B11=19,1,0))</f>
        <v/>
      </c>
      <c r="AQ12">
        <f>MAX(AQ11,IF($B11=20,1,0))</f>
        <v/>
      </c>
      <c r="AR12">
        <f>MAX(AR11,IF($B11=21,1,0))</f>
        <v/>
      </c>
      <c r="AS12">
        <f>MAX(AS11,IF($B11=22,1,0))</f>
        <v/>
      </c>
      <c r="AT12">
        <f>MAX(AT11,IF($B11=23,1,0))</f>
        <v/>
      </c>
      <c r="AU12">
        <f>MAX(AU11,IF($B11=24,1,0))</f>
        <v/>
      </c>
      <c r="AV12">
        <f>MAX(AV11,IF($B11=25,1,0))</f>
        <v/>
      </c>
      <c r="AW12">
        <f>MAX(AW11,IF($B11=26,1,0))</f>
        <v/>
      </c>
      <c r="AX12">
        <f>MAX(AX11,IF($B11=27,1,0))</f>
        <v/>
      </c>
      <c r="AY12">
        <f>MAX(AY11,IF($B11=28,1,0))</f>
        <v/>
      </c>
      <c r="AZ12">
        <f>MAX(AZ11,IF($B11=29,1,0))</f>
        <v/>
      </c>
      <c r="BA12">
        <f>MAX(BA11,IF($B11=30,1,0))</f>
        <v/>
      </c>
      <c r="BB12">
        <f>MAX(BB11,IF($B11=31,1,0))</f>
        <v/>
      </c>
      <c r="BC12">
        <f>MAX(BC11,IF($B11=32,1,0))</f>
        <v/>
      </c>
      <c r="BD12">
        <f>MAX(BD11,IF($B11=33,1,0))</f>
        <v/>
      </c>
      <c r="BE12">
        <f>MAX(BE11,IF($B11=34,1,0))</f>
        <v/>
      </c>
      <c r="BF12">
        <f>MAX(BF11,IF($B11=35,1,0))</f>
        <v/>
      </c>
      <c r="BG12">
        <f>MAX(BG11,IF($B11=36,1,0))</f>
        <v/>
      </c>
      <c r="BH12">
        <f>MAX(BH11,IF($B11=37,1,0))</f>
        <v/>
      </c>
      <c r="BI12">
        <f>MAX(BI11,IF($B11=38,1,0))</f>
        <v/>
      </c>
      <c r="BJ12">
        <f>MAX(BJ11,IF($B11=39,1,0))</f>
        <v/>
      </c>
      <c r="BK12">
        <f>MAX(BK11,IF($B11=40,1,0))</f>
        <v/>
      </c>
      <c r="BM12">
        <f>IF(OR(X12=1,calcA!$A$6=0),1000000000,IF('calcA'!$JF$10=1,0,100000000)+IF('calcA'!$IQ$10=2,SUMPRODUCT('calcA'!$D$60:$EQ$60,$DB12:$IO12,$IQ12:$OD12)*1000+SUMPRODUCT('calcA'!$D$60:$EQ$60,$DB12:$IO12+$ZQ12:$AFD12,$AFF12:$AKS12),SUMPRODUCT('calcA'!$D$60:$EQ$60,$DB12:$IO12*1001+$ZQ12:$AFD12))*100+1)</f>
        <v/>
      </c>
      <c r="BN12">
        <f>IF(OR(Y12=1,calcA!$A$6=0),1000000000,IF('calcA'!$JF$11=1,0,100000000)+IF('calcA'!$IQ$11=2,SUMPRODUCT('calcA'!$D$61:$EQ$61,$DB12:$IO12,$IQ12:$OD12)*1000+SUMPRODUCT('calcA'!$D$61:$EQ$61,$DB12:$IO12+$ZQ12:$AFD12,$AFF12:$AKS12),SUMPRODUCT('calcA'!$D$61:$EQ$61,$DB12:$IO12*1001+$ZQ12:$AFD12))*100+2)</f>
        <v/>
      </c>
      <c r="BO12">
        <f>IF(OR(Z12=1,calcA!$A$6=0),1000000000,IF('calcA'!$JF$12=1,0,100000000)+IF('calcA'!$IQ$12=2,SUMPRODUCT('calcA'!$D$62:$EQ$62,$DB12:$IO12,$IQ12:$OD12)*1000+SUMPRODUCT('calcA'!$D$62:$EQ$62,$DB12:$IO12+$ZQ12:$AFD12,$AFF12:$AKS12),SUMPRODUCT('calcA'!$D$62:$EQ$62,$DB12:$IO12*1001+$ZQ12:$AFD12))*100+3)</f>
        <v/>
      </c>
      <c r="BP12">
        <f>IF(OR(AA12=1,calcA!$A$6=0),1000000000,IF('calcA'!$JF$13=1,0,100000000)+IF('calcA'!$IQ$13=2,SUMPRODUCT('calcA'!$D$63:$EQ$63,$DB12:$IO12,$IQ12:$OD12)*1000+SUMPRODUCT('calcA'!$D$63:$EQ$63,$DB12:$IO12+$ZQ12:$AFD12,$AFF12:$AKS12),SUMPRODUCT('calcA'!$D$63:$EQ$63,$DB12:$IO12*1001+$ZQ12:$AFD12))*100+4)</f>
        <v/>
      </c>
      <c r="BQ12">
        <f>IF(OR(AB12=1,calcA!$A$6=0),1000000000,IF('calcA'!$JF$14=1,0,100000000)+IF('calcA'!$IQ$14=2,SUMPRODUCT('calcA'!$D$64:$EQ$64,$DB12:$IO12,$IQ12:$OD12)*1000+SUMPRODUCT('calcA'!$D$64:$EQ$64,$DB12:$IO12+$ZQ12:$AFD12,$AFF12:$AKS12),SUMPRODUCT('calcA'!$D$64:$EQ$64,$DB12:$IO12*1001+$ZQ12:$AFD12))*100+5)</f>
        <v/>
      </c>
      <c r="BR12">
        <f>IF(OR(AC12=1,calcA!$A$6=0),1000000000,IF('calcA'!$JF$15=1,0,100000000)+IF('calcA'!$IQ$15=2,SUMPRODUCT('calcA'!$D$65:$EQ$65,$DB12:$IO12,$IQ12:$OD12)*1000+SUMPRODUCT('calcA'!$D$65:$EQ$65,$DB12:$IO12+$ZQ12:$AFD12,$AFF12:$AKS12),SUMPRODUCT('calcA'!$D$65:$EQ$65,$DB12:$IO12*1001+$ZQ12:$AFD12))*100+6)</f>
        <v/>
      </c>
      <c r="BS12">
        <f>IF(OR(AD12=1,calcA!$A$6=0),1000000000,IF('calcA'!$JF$16=1,0,100000000)+IF('calcA'!$IQ$16=2,SUMPRODUCT('calcA'!$D$66:$EQ$66,$DB12:$IO12,$IQ12:$OD12)*1000+SUMPRODUCT('calcA'!$D$66:$EQ$66,$DB12:$IO12+$ZQ12:$AFD12,$AFF12:$AKS12),SUMPRODUCT('calcA'!$D$66:$EQ$66,$DB12:$IO12*1001+$ZQ12:$AFD12))*100+7)</f>
        <v/>
      </c>
      <c r="BT12">
        <f>IF(OR(AE12=1,calcA!$A$6=0),1000000000,IF('calcA'!$JF$17=1,0,100000000)+IF('calcA'!$IQ$17=2,SUMPRODUCT('calcA'!$D$67:$EQ$67,$DB12:$IO12,$IQ12:$OD12)*1000+SUMPRODUCT('calcA'!$D$67:$EQ$67,$DB12:$IO12+$ZQ12:$AFD12,$AFF12:$AKS12),SUMPRODUCT('calcA'!$D$67:$EQ$67,$DB12:$IO12*1001+$ZQ12:$AFD12))*100+8)</f>
        <v/>
      </c>
      <c r="BU12">
        <f>IF(OR(AF12=1,calcA!$A$6=0),1000000000,IF('calcA'!$JF$18=1,0,100000000)+IF('calcA'!$IQ$18=2,SUMPRODUCT('calcA'!$D$68:$EQ$68,$DB12:$IO12,$IQ12:$OD12)*1000+SUMPRODUCT('calcA'!$D$68:$EQ$68,$DB12:$IO12+$ZQ12:$AFD12,$AFF12:$AKS12),SUMPRODUCT('calcA'!$D$68:$EQ$68,$DB12:$IO12*1001+$ZQ12:$AFD12))*100+9)</f>
        <v/>
      </c>
      <c r="BV12">
        <f>IF(OR(AG12=1,calcA!$A$6=0),1000000000,IF('calcA'!$JF$19=1,0,100000000)+IF('calcA'!$IQ$19=2,SUMPRODUCT('calcA'!$D$69:$EQ$69,$DB12:$IO12,$IQ12:$OD12)*1000+SUMPRODUCT('calcA'!$D$69:$EQ$69,$DB12:$IO12+$ZQ12:$AFD12,$AFF12:$AKS12),SUMPRODUCT('calcA'!$D$69:$EQ$69,$DB12:$IO12*1001+$ZQ12:$AFD12))*100+10)</f>
        <v/>
      </c>
      <c r="BW12">
        <f>IF(OR(AH12=1,calcA!$A$6=0),1000000000,IF('calcA'!$JF$20=1,0,100000000)+IF('calcA'!$IQ$20=2,SUMPRODUCT('calcA'!$D$70:$EQ$70,$DB12:$IO12,$IQ12:$OD12)*1000+SUMPRODUCT('calcA'!$D$70:$EQ$70,$DB12:$IO12+$ZQ12:$AFD12,$AFF12:$AKS12),SUMPRODUCT('calcA'!$D$70:$EQ$70,$DB12:$IO12*1001+$ZQ12:$AFD12))*100+11)</f>
        <v/>
      </c>
      <c r="BX12">
        <f>IF(OR(AI12=1,calcA!$A$6=0),1000000000,IF('calcA'!$JF$21=1,0,100000000)+IF('calcA'!$IQ$21=2,SUMPRODUCT('calcA'!$D$71:$EQ$71,$DB12:$IO12,$IQ12:$OD12)*1000+SUMPRODUCT('calcA'!$D$71:$EQ$71,$DB12:$IO12+$ZQ12:$AFD12,$AFF12:$AKS12),SUMPRODUCT('calcA'!$D$71:$EQ$71,$DB12:$IO12*1001+$ZQ12:$AFD12))*100+12)</f>
        <v/>
      </c>
      <c r="BY12">
        <f>IF(OR(AJ12=1,calcA!$A$6=0),1000000000,IF('calcA'!$JF$22=1,0,100000000)+IF('calcA'!$IQ$22=2,SUMPRODUCT('calcA'!$D$72:$EQ$72,$DB12:$IO12,$IQ12:$OD12)*1000+SUMPRODUCT('calcA'!$D$72:$EQ$72,$DB12:$IO12+$ZQ12:$AFD12,$AFF12:$AKS12),SUMPRODUCT('calcA'!$D$72:$EQ$72,$DB12:$IO12*1001+$ZQ12:$AFD12))*100+13)</f>
        <v/>
      </c>
      <c r="BZ12">
        <f>IF(OR(AK12=1,calcA!$A$6=0),1000000000,IF('calcA'!$JF$23=1,0,100000000)+IF('calcA'!$IQ$23=2,SUMPRODUCT('calcA'!$D$73:$EQ$73,$DB12:$IO12,$IQ12:$OD12)*1000+SUMPRODUCT('calcA'!$D$73:$EQ$73,$DB12:$IO12+$ZQ12:$AFD12,$AFF12:$AKS12),SUMPRODUCT('calcA'!$D$73:$EQ$73,$DB12:$IO12*1001+$ZQ12:$AFD12))*100+14)</f>
        <v/>
      </c>
      <c r="CA12">
        <f>IF(OR(AL12=1,calcA!$A$6=0),1000000000,IF('calcA'!$JF$24=1,0,100000000)+IF('calcA'!$IQ$24=2,SUMPRODUCT('calcA'!$D$74:$EQ$74,$DB12:$IO12,$IQ12:$OD12)*1000+SUMPRODUCT('calcA'!$D$74:$EQ$74,$DB12:$IO12+$ZQ12:$AFD12,$AFF12:$AKS12),SUMPRODUCT('calcA'!$D$74:$EQ$74,$DB12:$IO12*1001+$ZQ12:$AFD12))*100+15)</f>
        <v/>
      </c>
      <c r="CB12">
        <f>IF(OR(AM12=1,calcA!$A$6=0),1000000000,IF('calcA'!$JF$25=1,0,100000000)+IF('calcA'!$IQ$25=2,SUMPRODUCT('calcA'!$D$75:$EQ$75,$DB12:$IO12,$IQ12:$OD12)*1000+SUMPRODUCT('calcA'!$D$75:$EQ$75,$DB12:$IO12+$ZQ12:$AFD12,$AFF12:$AKS12),SUMPRODUCT('calcA'!$D$75:$EQ$75,$DB12:$IO12*1001+$ZQ12:$AFD12))*100+16)</f>
        <v/>
      </c>
      <c r="CC12">
        <f>IF(OR(AN12=1,calcA!$A$6=0),1000000000,IF('calcA'!$JF$26=1,0,100000000)+IF('calcA'!$IQ$26=2,SUMPRODUCT('calcA'!$D$76:$EQ$76,$DB12:$IO12,$IQ12:$OD12)*1000+SUMPRODUCT('calcA'!$D$76:$EQ$76,$DB12:$IO12+$ZQ12:$AFD12,$AFF12:$AKS12),SUMPRODUCT('calcA'!$D$76:$EQ$76,$DB12:$IO12*1001+$ZQ12:$AFD12))*100+17)</f>
        <v/>
      </c>
      <c r="CD12">
        <f>IF(OR(AO12=1,calcA!$A$6=0),1000000000,IF('calcA'!$JF$27=1,0,100000000)+IF('calcA'!$IQ$27=2,SUMPRODUCT('calcA'!$D$77:$EQ$77,$DB12:$IO12,$IQ12:$OD12)*1000+SUMPRODUCT('calcA'!$D$77:$EQ$77,$DB12:$IO12+$ZQ12:$AFD12,$AFF12:$AKS12),SUMPRODUCT('calcA'!$D$77:$EQ$77,$DB12:$IO12*1001+$ZQ12:$AFD12))*100+18)</f>
        <v/>
      </c>
      <c r="CE12">
        <f>IF(OR(AP12=1,calcA!$A$6=0),1000000000,IF('calcA'!$JF$28=1,0,100000000)+IF('calcA'!$IQ$28=2,SUMPRODUCT('calcA'!$D$78:$EQ$78,$DB12:$IO12,$IQ12:$OD12)*1000+SUMPRODUCT('calcA'!$D$78:$EQ$78,$DB12:$IO12+$ZQ12:$AFD12,$AFF12:$AKS12),SUMPRODUCT('calcA'!$D$78:$EQ$78,$DB12:$IO12*1001+$ZQ12:$AFD12))*100+19)</f>
        <v/>
      </c>
      <c r="CF12">
        <f>IF(OR(AQ12=1,calcA!$A$6=0),1000000000,IF('calcA'!$JF$29=1,0,100000000)+IF('calcA'!$IQ$29=2,SUMPRODUCT('calcA'!$D$79:$EQ$79,$DB12:$IO12,$IQ12:$OD12)*1000+SUMPRODUCT('calcA'!$D$79:$EQ$79,$DB12:$IO12+$ZQ12:$AFD12,$AFF12:$AKS12),SUMPRODUCT('calcA'!$D$79:$EQ$79,$DB12:$IO12*1001+$ZQ12:$AFD12))*100+20)</f>
        <v/>
      </c>
      <c r="CG12">
        <f>IF(OR(AR12=1,calcA!$A$6=0),1000000000,IF('calcA'!$JF$30=1,0,100000000)+IF('calcA'!$IQ$30=2,SUMPRODUCT('calcA'!$D$80:$EQ$80,$DB12:$IO12,$IQ12:$OD12)*1000+SUMPRODUCT('calcA'!$D$80:$EQ$80,$DB12:$IO12+$ZQ12:$AFD12,$AFF12:$AKS12),SUMPRODUCT('calcA'!$D$80:$EQ$80,$DB12:$IO12*1001+$ZQ12:$AFD12))*100+21)</f>
        <v/>
      </c>
      <c r="CH12">
        <f>IF(OR(AS12=1,calcA!$A$6=0),1000000000,IF('calcA'!$JF$31=1,0,100000000)+IF('calcA'!$IQ$31=2,SUMPRODUCT('calcA'!$D$81:$EQ$81,$DB12:$IO12,$IQ12:$OD12)*1000+SUMPRODUCT('calcA'!$D$81:$EQ$81,$DB12:$IO12+$ZQ12:$AFD12,$AFF12:$AKS12),SUMPRODUCT('calcA'!$D$81:$EQ$81,$DB12:$IO12*1001+$ZQ12:$AFD12))*100+22)</f>
        <v/>
      </c>
      <c r="CI12">
        <f>IF(OR(AT12=1,calcA!$A$6=0),1000000000,IF('calcA'!$JF$32=1,0,100000000)+IF('calcA'!$IQ$32=2,SUMPRODUCT('calcA'!$D$82:$EQ$82,$DB12:$IO12,$IQ12:$OD12)*1000+SUMPRODUCT('calcA'!$D$82:$EQ$82,$DB12:$IO12+$ZQ12:$AFD12,$AFF12:$AKS12),SUMPRODUCT('calcA'!$D$82:$EQ$82,$DB12:$IO12*1001+$ZQ12:$AFD12))*100+23)</f>
        <v/>
      </c>
      <c r="CJ12">
        <f>IF(OR(AU12=1,calcA!$A$6=0),1000000000,IF('calcA'!$JF$33=1,0,100000000)+IF('calcA'!$IQ$33=2,SUMPRODUCT('calcA'!$D$83:$EQ$83,$DB12:$IO12,$IQ12:$OD12)*1000+SUMPRODUCT('calcA'!$D$83:$EQ$83,$DB12:$IO12+$ZQ12:$AFD12,$AFF12:$AKS12),SUMPRODUCT('calcA'!$D$83:$EQ$83,$DB12:$IO12*1001+$ZQ12:$AFD12))*100+24)</f>
        <v/>
      </c>
      <c r="CK12">
        <f>IF(OR(AV12=1,calcA!$A$6=0),1000000000,IF('calcA'!$JF$34=1,0,100000000)+IF('calcA'!$IQ$34=2,SUMPRODUCT('calcA'!$D$84:$EQ$84,$DB12:$IO12,$IQ12:$OD12)*1000+SUMPRODUCT('calcA'!$D$84:$EQ$84,$DB12:$IO12+$ZQ12:$AFD12,$AFF12:$AKS12),SUMPRODUCT('calcA'!$D$84:$EQ$84,$DB12:$IO12*1001+$ZQ12:$AFD12))*100+25)</f>
        <v/>
      </c>
      <c r="CL12">
        <f>IF(OR(AW12=1,calcA!$A$6=0),1000000000,IF('calcA'!$JF$35=1,0,100000000)+IF('calcA'!$IQ$35=2,SUMPRODUCT('calcA'!$D$85:$EQ$85,$DB12:$IO12,$IQ12:$OD12)*1000+SUMPRODUCT('calcA'!$D$85:$EQ$85,$DB12:$IO12+$ZQ12:$AFD12,$AFF12:$AKS12),SUMPRODUCT('calcA'!$D$85:$EQ$85,$DB12:$IO12*1001+$ZQ12:$AFD12))*100+26)</f>
        <v/>
      </c>
      <c r="CM12">
        <f>IF(OR(AX12=1,calcA!$A$6=0),1000000000,IF('calcA'!$JF$36=1,0,100000000)+IF('calcA'!$IQ$36=2,SUMPRODUCT('calcA'!$D$86:$EQ$86,$DB12:$IO12,$IQ12:$OD12)*1000+SUMPRODUCT('calcA'!$D$86:$EQ$86,$DB12:$IO12+$ZQ12:$AFD12,$AFF12:$AKS12),SUMPRODUCT('calcA'!$D$86:$EQ$86,$DB12:$IO12*1001+$ZQ12:$AFD12))*100+27)</f>
        <v/>
      </c>
      <c r="CN12">
        <f>IF(OR(AY12=1,calcA!$A$6=0),1000000000,IF('calcA'!$JF$37=1,0,100000000)+IF('calcA'!$IQ$37=2,SUMPRODUCT('calcA'!$D$87:$EQ$87,$DB12:$IO12,$IQ12:$OD12)*1000+SUMPRODUCT('calcA'!$D$87:$EQ$87,$DB12:$IO12+$ZQ12:$AFD12,$AFF12:$AKS12),SUMPRODUCT('calcA'!$D$87:$EQ$87,$DB12:$IO12*1001+$ZQ12:$AFD12))*100+28)</f>
        <v/>
      </c>
      <c r="CO12">
        <f>IF(OR(AZ12=1,calcA!$A$6=0),1000000000,IF('calcA'!$JF$38=1,0,100000000)+IF('calcA'!$IQ$38=2,SUMPRODUCT('calcA'!$D$88:$EQ$88,$DB12:$IO12,$IQ12:$OD12)*1000+SUMPRODUCT('calcA'!$D$88:$EQ$88,$DB12:$IO12+$ZQ12:$AFD12,$AFF12:$AKS12),SUMPRODUCT('calcA'!$D$88:$EQ$88,$DB12:$IO12*1001+$ZQ12:$AFD12))*100+29)</f>
        <v/>
      </c>
      <c r="CP12">
        <f>IF(OR(BA12=1,calcA!$A$6=0),1000000000,IF('calcA'!$JF$39=1,0,100000000)+IF('calcA'!$IQ$39=2,SUMPRODUCT('calcA'!$D$89:$EQ$89,$DB12:$IO12,$IQ12:$OD12)*1000+SUMPRODUCT('calcA'!$D$89:$EQ$89,$DB12:$IO12+$ZQ12:$AFD12,$AFF12:$AKS12),SUMPRODUCT('calcA'!$D$89:$EQ$89,$DB12:$IO12*1001+$ZQ12:$AFD12))*100+30)</f>
        <v/>
      </c>
      <c r="CQ12">
        <f>IF(OR(BB12=1,calcA!$A$6=0),1000000000,IF('calcA'!$JF$40=1,0,100000000)+IF('calcA'!$IQ$40=2,SUMPRODUCT('calcA'!$D$90:$EQ$90,$DB12:$IO12,$IQ12:$OD12)*1000+SUMPRODUCT('calcA'!$D$90:$EQ$90,$DB12:$IO12+$ZQ12:$AFD12,$AFF12:$AKS12),SUMPRODUCT('calcA'!$D$90:$EQ$90,$DB12:$IO12*1001+$ZQ12:$AFD12))*100+31)</f>
        <v/>
      </c>
      <c r="CR12">
        <f>IF(OR(BC12=1,calcA!$A$6=0),1000000000,IF('calcA'!$JF$41=1,0,100000000)+IF('calcA'!$IQ$41=2,SUMPRODUCT('calcA'!$D$91:$EQ$91,$DB12:$IO12,$IQ12:$OD12)*1000+SUMPRODUCT('calcA'!$D$91:$EQ$91,$DB12:$IO12+$ZQ12:$AFD12,$AFF12:$AKS12),SUMPRODUCT('calcA'!$D$91:$EQ$91,$DB12:$IO12*1001+$ZQ12:$AFD12))*100+32)</f>
        <v/>
      </c>
      <c r="CS12">
        <f>IF(OR(BD12=1,calcA!$A$6=0),1000000000,IF('calcA'!$JF$42=1,0,100000000)+IF('calcA'!$IQ$42=2,SUMPRODUCT('calcA'!$D$92:$EQ$92,$DB12:$IO12,$IQ12:$OD12)*1000+SUMPRODUCT('calcA'!$D$92:$EQ$92,$DB12:$IO12+$ZQ12:$AFD12,$AFF12:$AKS12),SUMPRODUCT('calcA'!$D$92:$EQ$92,$DB12:$IO12*1001+$ZQ12:$AFD12))*100+33)</f>
        <v/>
      </c>
      <c r="CT12">
        <f>IF(OR(BE12=1,calcA!$A$6=0),1000000000,IF('calcA'!$JF$43=1,0,100000000)+IF('calcA'!$IQ$43=2,SUMPRODUCT('calcA'!$D$93:$EQ$93,$DB12:$IO12,$IQ12:$OD12)*1000+SUMPRODUCT('calcA'!$D$93:$EQ$93,$DB12:$IO12+$ZQ12:$AFD12,$AFF12:$AKS12),SUMPRODUCT('calcA'!$D$93:$EQ$93,$DB12:$IO12*1001+$ZQ12:$AFD12))*100+34)</f>
        <v/>
      </c>
      <c r="CU12">
        <f>IF(OR(BF12=1,calcA!$A$6=0),1000000000,IF('calcA'!$JF$44=1,0,100000000)+IF('calcA'!$IQ$44=2,SUMPRODUCT('calcA'!$D$94:$EQ$94,$DB12:$IO12,$IQ12:$OD12)*1000+SUMPRODUCT('calcA'!$D$94:$EQ$94,$DB12:$IO12+$ZQ12:$AFD12,$AFF12:$AKS12),SUMPRODUCT('calcA'!$D$94:$EQ$94,$DB12:$IO12*1001+$ZQ12:$AFD12))*100+35)</f>
        <v/>
      </c>
      <c r="CV12">
        <f>IF(OR(BG12=1,calcA!$A$6=0),1000000000,IF('calcA'!$JF$45=1,0,100000000)+IF('calcA'!$IQ$45=2,SUMPRODUCT('calcA'!$D$95:$EQ$95,$DB12:$IO12,$IQ12:$OD12)*1000+SUMPRODUCT('calcA'!$D$95:$EQ$95,$DB12:$IO12+$ZQ12:$AFD12,$AFF12:$AKS12),SUMPRODUCT('calcA'!$D$95:$EQ$95,$DB12:$IO12*1001+$ZQ12:$AFD12))*100+36)</f>
        <v/>
      </c>
      <c r="CW12">
        <f>IF(OR(BH12=1,calcA!$A$6=0),1000000000,IF('calcA'!$JF$46=1,0,100000000)+IF('calcA'!$IQ$46=2,SUMPRODUCT('calcA'!$D$96:$EQ$96,$DB12:$IO12,$IQ12:$OD12)*1000+SUMPRODUCT('calcA'!$D$96:$EQ$96,$DB12:$IO12+$ZQ12:$AFD12,$AFF12:$AKS12),SUMPRODUCT('calcA'!$D$96:$EQ$96,$DB12:$IO12*1001+$ZQ12:$AFD12))*100+37)</f>
        <v/>
      </c>
      <c r="CX12">
        <f>IF(OR(BI12=1,calcA!$A$6=0),1000000000,IF('calcA'!$JF$47=1,0,100000000)+IF('calcA'!$IQ$47=2,SUMPRODUCT('calcA'!$D$97:$EQ$97,$DB12:$IO12,$IQ12:$OD12)*1000+SUMPRODUCT('calcA'!$D$97:$EQ$97,$DB12:$IO12+$ZQ12:$AFD12,$AFF12:$AKS12),SUMPRODUCT('calcA'!$D$97:$EQ$97,$DB12:$IO12*1001+$ZQ12:$AFD12))*100+38)</f>
        <v/>
      </c>
      <c r="CY12">
        <f>IF(OR(BJ12=1,calcA!$A$6=0),1000000000,IF('calcA'!$JF$48=1,0,100000000)+IF('calcA'!$IQ$48=2,SUMPRODUCT('calcA'!$D$98:$EQ$98,$DB12:$IO12,$IQ12:$OD12)*1000+SUMPRODUCT('calcA'!$D$98:$EQ$98,$DB12:$IO12+$ZQ12:$AFD12,$AFF12:$AKS12),SUMPRODUCT('calcA'!$D$98:$EQ$98,$DB12:$IO12*1001+$ZQ12:$AFD12))*100+39)</f>
        <v/>
      </c>
      <c r="CZ12">
        <f>IF(OR(BK12=1,calcA!$A$6=0),1000000000,IF('calcA'!$JF$49=1,0,100000000)+IF('calcA'!$IQ$49=2,SUMPRODUCT('calcA'!$D$99:$EQ$99,$DB12:$IO12,$IQ12:$OD12)*1000+SUMPRODUCT('calcA'!$D$99:$EQ$99,$DB12:$IO12+$ZQ12:$AFD12,$AFF12:$AKS12),SUMPRODUCT('calcA'!$D$99:$EQ$99,$DB12:$IO12*1001+$ZQ12:$AFD12))*100+40)</f>
        <v/>
      </c>
      <c r="DB12">
        <f>DB11*IF(OR($C11=1,$G11=1),0,1)</f>
        <v/>
      </c>
      <c r="DC12">
        <f>DC11*IF(OR($C11=2,$G11=2),0,1)</f>
        <v/>
      </c>
      <c r="DD12">
        <f>DD11*IF(OR($C11=3,$G11=3),0,1)</f>
        <v/>
      </c>
      <c r="DE12">
        <f>DE11*IF(OR($C11=4,$G11=4),0,1)</f>
        <v/>
      </c>
      <c r="DF12">
        <f>DF11*IF(OR($C11=5,$G11=5),0,1)</f>
        <v/>
      </c>
      <c r="DG12">
        <f>DG11*IF(OR($C11=6,$G11=6),0,1)</f>
        <v/>
      </c>
      <c r="DH12">
        <f>DH11*IF(OR($C11=7,$G11=7),0,1)</f>
        <v/>
      </c>
      <c r="DI12">
        <f>DI11*IF(OR($C11=8,$G11=8),0,1)</f>
        <v/>
      </c>
      <c r="DJ12">
        <f>DJ11*IF(OR($C11=9,$G11=9),0,1)</f>
        <v/>
      </c>
      <c r="DK12">
        <f>DK11*IF(OR($C11=10,$G11=10),0,1)</f>
        <v/>
      </c>
      <c r="DL12">
        <f>DL11*IF(OR($C11=11,$G11=11),0,1)</f>
        <v/>
      </c>
      <c r="DM12">
        <f>DM11*IF(OR($C11=12,$G11=12),0,1)</f>
        <v/>
      </c>
      <c r="DN12">
        <f>DN11*IF(OR($C11=13,$G11=13),0,1)</f>
        <v/>
      </c>
      <c r="DO12">
        <f>DO11*IF(OR($C11=14,$G11=14),0,1)</f>
        <v/>
      </c>
      <c r="DP12">
        <f>DP11*IF(OR($C11=15,$G11=15),0,1)</f>
        <v/>
      </c>
      <c r="DQ12">
        <f>DQ11*IF(OR($C11=16,$G11=16),0,1)</f>
        <v/>
      </c>
      <c r="DR12">
        <f>DR11*IF(OR($C11=17,$G11=17),0,1)</f>
        <v/>
      </c>
      <c r="DS12">
        <f>DS11*IF(OR($C11=18,$G11=18),0,1)</f>
        <v/>
      </c>
      <c r="DT12">
        <f>DT11*IF(OR($C11=19,$G11=19),0,1)</f>
        <v/>
      </c>
      <c r="DU12">
        <f>DU11*IF(OR($C11=20,$G11=20),0,1)</f>
        <v/>
      </c>
      <c r="DV12">
        <f>DV11*IF(OR($C11=21,$G11=21),0,1)</f>
        <v/>
      </c>
      <c r="DW12">
        <f>DW11*IF(OR($C11=22,$G11=22),0,1)</f>
        <v/>
      </c>
      <c r="DX12">
        <f>DX11*IF(OR($C11=23,$G11=23),0,1)</f>
        <v/>
      </c>
      <c r="DY12">
        <f>DY11*IF(OR($C11=24,$G11=24),0,1)</f>
        <v/>
      </c>
      <c r="DZ12">
        <f>DZ11*IF(OR($C11=25,$G11=25),0,1)</f>
        <v/>
      </c>
      <c r="EA12">
        <f>EA11*IF(OR($C11=26,$G11=26),0,1)</f>
        <v/>
      </c>
      <c r="EB12">
        <f>EB11*IF(OR($C11=27,$G11=27),0,1)</f>
        <v/>
      </c>
      <c r="EC12">
        <f>EC11*IF(OR($C11=28,$G11=28),0,1)</f>
        <v/>
      </c>
      <c r="ED12">
        <f>ED11*IF(OR($C11=29,$G11=29),0,1)</f>
        <v/>
      </c>
      <c r="EE12">
        <f>EE11*IF(OR($C11=30,$G11=30),0,1)</f>
        <v/>
      </c>
      <c r="EF12">
        <f>EF11*IF(OR($C11=31,$G11=31),0,1)</f>
        <v/>
      </c>
      <c r="EG12">
        <f>EG11*IF(OR($C11=32,$G11=32),0,1)</f>
        <v/>
      </c>
      <c r="EH12">
        <f>EH11*IF(OR($C11=33,$G11=33),0,1)</f>
        <v/>
      </c>
      <c r="EI12">
        <f>EI11*IF(OR($C11=34,$G11=34),0,1)</f>
        <v/>
      </c>
      <c r="EJ12">
        <f>EJ11*IF(OR($C11=35,$G11=35),0,1)</f>
        <v/>
      </c>
      <c r="EK12">
        <f>EK11*IF(OR($C11=36,$G11=36),0,1)</f>
        <v/>
      </c>
      <c r="EL12">
        <f>EL11*IF(OR($C11=37,$G11=37),0,1)</f>
        <v/>
      </c>
      <c r="EM12">
        <f>EM11*IF(OR($C11=38,$G11=38),0,1)</f>
        <v/>
      </c>
      <c r="EN12">
        <f>EN11*IF(OR($C11=39,$G11=39),0,1)</f>
        <v/>
      </c>
      <c r="EO12">
        <f>EO11*IF(OR($C11=40,$G11=40),0,1)</f>
        <v/>
      </c>
      <c r="EP12">
        <f>EP11*IF(OR($C11=41,$G11=41),0,1)</f>
        <v/>
      </c>
      <c r="EQ12">
        <f>EQ11*IF(OR($C11=42,$G11=42),0,1)</f>
        <v/>
      </c>
      <c r="ER12">
        <f>ER11*IF(OR($C11=43,$G11=43),0,1)</f>
        <v/>
      </c>
      <c r="ES12">
        <f>ES11*IF(OR($C11=44,$G11=44),0,1)</f>
        <v/>
      </c>
      <c r="ET12">
        <f>ET11*IF(OR($C11=45,$G11=45),0,1)</f>
        <v/>
      </c>
      <c r="EU12">
        <f>EU11*IF(OR($C11=46,$G11=46),0,1)</f>
        <v/>
      </c>
      <c r="EV12">
        <f>EV11*IF(OR($C11=47,$G11=47),0,1)</f>
        <v/>
      </c>
      <c r="EW12">
        <f>EW11*IF(OR($C11=48,$G11=48),0,1)</f>
        <v/>
      </c>
      <c r="EX12">
        <f>EX11*IF(OR($C11=49,$G11=49),0,1)</f>
        <v/>
      </c>
      <c r="EY12">
        <f>EY11*IF(OR($C11=50,$G11=50),0,1)</f>
        <v/>
      </c>
      <c r="EZ12">
        <f>EZ11*IF(OR($C11=51,$G11=51),0,1)</f>
        <v/>
      </c>
      <c r="FA12">
        <f>FA11*IF(OR($C11=52,$G11=52),0,1)</f>
        <v/>
      </c>
      <c r="FB12">
        <f>FB11*IF(OR($C11=53,$G11=53),0,1)</f>
        <v/>
      </c>
      <c r="FC12">
        <f>FC11*IF(OR($C11=54,$G11=54),0,1)</f>
        <v/>
      </c>
      <c r="FD12">
        <f>FD11*IF(OR($C11=55,$G11=55),0,1)</f>
        <v/>
      </c>
      <c r="FE12">
        <f>FE11*IF(OR($C11=56,$G11=56),0,1)</f>
        <v/>
      </c>
      <c r="FF12">
        <f>FF11*IF(OR($C11=57,$G11=57),0,1)</f>
        <v/>
      </c>
      <c r="FG12">
        <f>FG11*IF(OR($C11=58,$G11=58),0,1)</f>
        <v/>
      </c>
      <c r="FH12">
        <f>FH11*IF(OR($C11=59,$G11=59),0,1)</f>
        <v/>
      </c>
      <c r="FI12">
        <f>FI11*IF(OR($C11=60,$G11=60),0,1)</f>
        <v/>
      </c>
      <c r="FJ12">
        <f>FJ11*IF(OR($C11=61,$G11=61),0,1)</f>
        <v/>
      </c>
      <c r="FK12">
        <f>FK11*IF(OR($C11=62,$G11=62),0,1)</f>
        <v/>
      </c>
      <c r="FL12">
        <f>FL11*IF(OR($C11=63,$G11=63),0,1)</f>
        <v/>
      </c>
      <c r="FM12">
        <f>FM11*IF(OR($C11=64,$G11=64),0,1)</f>
        <v/>
      </c>
      <c r="FN12">
        <f>FN11*IF(OR($C11=65,$G11=65),0,1)</f>
        <v/>
      </c>
      <c r="FO12">
        <f>FO11*IF(OR($C11=66,$G11=66),0,1)</f>
        <v/>
      </c>
      <c r="FP12">
        <f>FP11*IF(OR($C11=67,$G11=67),0,1)</f>
        <v/>
      </c>
      <c r="FQ12">
        <f>FQ11*IF(OR($C11=68,$G11=68),0,1)</f>
        <v/>
      </c>
      <c r="FR12">
        <f>FR11*IF(OR($C11=69,$G11=69),0,1)</f>
        <v/>
      </c>
      <c r="FS12">
        <f>FS11*IF(OR($C11=70,$G11=70),0,1)</f>
        <v/>
      </c>
      <c r="FT12">
        <f>FT11*IF(OR($C11=71,$G11=71),0,1)</f>
        <v/>
      </c>
      <c r="FU12">
        <f>FU11*IF(OR($C11=72,$G11=72),0,1)</f>
        <v/>
      </c>
      <c r="FV12">
        <f>FV11*IF(OR($C11=73,$G11=73),0,1)</f>
        <v/>
      </c>
      <c r="FW12">
        <f>FW11*IF(OR($C11=74,$G11=74),0,1)</f>
        <v/>
      </c>
      <c r="FX12">
        <f>FX11*IF(OR($C11=75,$G11=75),0,1)</f>
        <v/>
      </c>
      <c r="FY12">
        <f>FY11*IF(OR($C11=76,$G11=76),0,1)</f>
        <v/>
      </c>
      <c r="FZ12">
        <f>FZ11*IF(OR($C11=77,$G11=77),0,1)</f>
        <v/>
      </c>
      <c r="GA12">
        <f>GA11*IF(OR($C11=78,$G11=78),0,1)</f>
        <v/>
      </c>
      <c r="GB12">
        <f>GB11*IF(OR($C11=79,$G11=79),0,1)</f>
        <v/>
      </c>
      <c r="GC12">
        <f>GC11*IF(OR($C11=80,$G11=80),0,1)</f>
        <v/>
      </c>
      <c r="GD12">
        <f>GD11*IF(OR($C11=81,$G11=81),0,1)</f>
        <v/>
      </c>
      <c r="GE12">
        <f>GE11*IF(OR($C11=82,$G11=82),0,1)</f>
        <v/>
      </c>
      <c r="GF12">
        <f>GF11*IF(OR($C11=83,$G11=83),0,1)</f>
        <v/>
      </c>
      <c r="GG12">
        <f>GG11*IF(OR($C11=84,$G11=84),0,1)</f>
        <v/>
      </c>
      <c r="GH12">
        <f>GH11*IF(OR($C11=85,$G11=85),0,1)</f>
        <v/>
      </c>
      <c r="GI12">
        <f>GI11*IF(OR($C11=86,$G11=86),0,1)</f>
        <v/>
      </c>
      <c r="GJ12">
        <f>GJ11*IF(OR($C11=87,$G11=87),0,1)</f>
        <v/>
      </c>
      <c r="GK12">
        <f>GK11*IF(OR($C11=88,$G11=88),0,1)</f>
        <v/>
      </c>
      <c r="GL12">
        <f>GL11*IF(OR($C11=89,$G11=89),0,1)</f>
        <v/>
      </c>
      <c r="GM12">
        <f>GM11*IF(OR($C11=90,$G11=90),0,1)</f>
        <v/>
      </c>
      <c r="GN12">
        <f>GN11*IF(OR($C11=91,$G11=91),0,1)</f>
        <v/>
      </c>
      <c r="GO12">
        <f>GO11*IF(OR($C11=92,$G11=92),0,1)</f>
        <v/>
      </c>
      <c r="GP12">
        <f>GP11*IF(OR($C11=93,$G11=93),0,1)</f>
        <v/>
      </c>
      <c r="GQ12">
        <f>GQ11*IF(OR($C11=94,$G11=94),0,1)</f>
        <v/>
      </c>
      <c r="GR12">
        <f>GR11*IF(OR($C11=95,$G11=95),0,1)</f>
        <v/>
      </c>
      <c r="GS12">
        <f>GS11*IF(OR($C11=96,$G11=96),0,1)</f>
        <v/>
      </c>
      <c r="GT12">
        <f>GT11*IF(OR($C11=97,$G11=97),0,1)</f>
        <v/>
      </c>
      <c r="GU12">
        <f>GU11*IF(OR($C11=98,$G11=98),0,1)</f>
        <v/>
      </c>
      <c r="GV12">
        <f>GV11*IF(OR($C11=99,$G11=99),0,1)</f>
        <v/>
      </c>
      <c r="GW12">
        <f>GW11*IF(OR($C11=100,$G11=100),0,1)</f>
        <v/>
      </c>
      <c r="GX12">
        <f>GX11*IF(OR($C11=101,$G11=101),0,1)</f>
        <v/>
      </c>
      <c r="GY12">
        <f>GY11*IF(OR($C11=102,$G11=102),0,1)</f>
        <v/>
      </c>
      <c r="GZ12">
        <f>GZ11*IF(OR($C11=103,$G11=103),0,1)</f>
        <v/>
      </c>
      <c r="HA12">
        <f>HA11*IF(OR($C11=104,$G11=104),0,1)</f>
        <v/>
      </c>
      <c r="HB12">
        <f>HB11*IF(OR($C11=105,$G11=105),0,1)</f>
        <v/>
      </c>
      <c r="HC12">
        <f>HC11*IF(OR($C11=106,$G11=106),0,1)</f>
        <v/>
      </c>
      <c r="HD12">
        <f>HD11*IF(OR($C11=107,$G11=107),0,1)</f>
        <v/>
      </c>
      <c r="HE12">
        <f>HE11*IF(OR($C11=108,$G11=108),0,1)</f>
        <v/>
      </c>
      <c r="HF12">
        <f>HF11*IF(OR($C11=109,$G11=109),0,1)</f>
        <v/>
      </c>
      <c r="HG12">
        <f>HG11*IF(OR($C11=110,$G11=110),0,1)</f>
        <v/>
      </c>
      <c r="HH12">
        <f>HH11*IF(OR($C11=111,$G11=111),0,1)</f>
        <v/>
      </c>
      <c r="HI12">
        <f>HI11*IF(OR($C11=112,$G11=112),0,1)</f>
        <v/>
      </c>
      <c r="HJ12">
        <f>HJ11*IF(OR($C11=113,$G11=113),0,1)</f>
        <v/>
      </c>
      <c r="HK12">
        <f>HK11*IF(OR($C11=114,$G11=114),0,1)</f>
        <v/>
      </c>
      <c r="HL12">
        <f>HL11*IF(OR($C11=115,$G11=115),0,1)</f>
        <v/>
      </c>
      <c r="HM12">
        <f>HM11*IF(OR($C11=116,$G11=116),0,1)</f>
        <v/>
      </c>
      <c r="HN12">
        <f>HN11*IF(OR($C11=117,$G11=117),0,1)</f>
        <v/>
      </c>
      <c r="HO12">
        <f>HO11*IF(OR($C11=118,$G11=118),0,1)</f>
        <v/>
      </c>
      <c r="HP12">
        <f>HP11*IF(OR($C11=119,$G11=119),0,1)</f>
        <v/>
      </c>
      <c r="HQ12">
        <f>HQ11*IF(OR($C11=120,$G11=120),0,1)</f>
        <v/>
      </c>
      <c r="HR12">
        <f>HR11*IF(OR($C11=121,$G11=121),0,1)</f>
        <v/>
      </c>
      <c r="HS12">
        <f>HS11*IF(OR($C11=122,$G11=122),0,1)</f>
        <v/>
      </c>
      <c r="HT12">
        <f>HT11*IF(OR($C11=123,$G11=123),0,1)</f>
        <v/>
      </c>
      <c r="HU12">
        <f>HU11*IF(OR($C11=124,$G11=124),0,1)</f>
        <v/>
      </c>
      <c r="HV12">
        <f>HV11*IF(OR($C11=125,$G11=125),0,1)</f>
        <v/>
      </c>
      <c r="HW12">
        <f>HW11*IF(OR($C11=126,$G11=126),0,1)</f>
        <v/>
      </c>
      <c r="HX12">
        <f>HX11*IF(OR($C11=127,$G11=127),0,1)</f>
        <v/>
      </c>
      <c r="HY12">
        <f>HY11*IF(OR($C11=128,$G11=128),0,1)</f>
        <v/>
      </c>
      <c r="HZ12">
        <f>HZ11*IF(OR($C11=129,$G11=129),0,1)</f>
        <v/>
      </c>
      <c r="IA12">
        <f>IA11*IF(OR($C11=130,$G11=130),0,1)</f>
        <v/>
      </c>
      <c r="IB12">
        <f>IB11*IF(OR($C11=131,$G11=131),0,1)</f>
        <v/>
      </c>
      <c r="IC12">
        <f>IC11*IF(OR($C11=132,$G11=132),0,1)</f>
        <v/>
      </c>
      <c r="ID12">
        <f>ID11*IF(OR($C11=133,$G11=133),0,1)</f>
        <v/>
      </c>
      <c r="IE12">
        <f>IE11*IF(OR($C11=134,$G11=134),0,1)</f>
        <v/>
      </c>
      <c r="IF12">
        <f>IF11*IF(OR($C11=135,$G11=135),0,1)</f>
        <v/>
      </c>
      <c r="IG12">
        <f>IG11*IF(OR($C11=136,$G11=136),0,1)</f>
        <v/>
      </c>
      <c r="IH12">
        <f>IH11*IF(OR($C11=137,$G11=137),0,1)</f>
        <v/>
      </c>
      <c r="II12">
        <f>II11*IF(OR($C11=138,$G11=138),0,1)</f>
        <v/>
      </c>
      <c r="IJ12">
        <f>IJ11*IF(OR($C11=139,$G11=139),0,1)</f>
        <v/>
      </c>
      <c r="IK12">
        <f>IK11*IF(OR($C11=140,$G11=140),0,1)</f>
        <v/>
      </c>
      <c r="IL12">
        <f>IL11*IF(OR($C11=141,$G11=141),0,1)</f>
        <v/>
      </c>
      <c r="IM12">
        <f>IM11*IF(OR($C11=142,$G11=142),0,1)</f>
        <v/>
      </c>
      <c r="IN12">
        <f>IN11*IF(OR($C11=143,$G11=143),0,1)</f>
        <v/>
      </c>
      <c r="IO12">
        <f>IO11*IF(OR($C11=144,$G11=144),0,1)</f>
        <v/>
      </c>
      <c r="IQ12">
        <f>IF('calcA'!D$106=1,DC12,1)</f>
        <v/>
      </c>
      <c r="IR12">
        <f>IF('calcA'!E$106=1,DD12,1)</f>
        <v/>
      </c>
      <c r="IS12">
        <f>IF('calcA'!F$106=1,DE12,1)</f>
        <v/>
      </c>
      <c r="IT12">
        <f>IF('calcA'!G$106=1,DF12,1)</f>
        <v/>
      </c>
      <c r="IU12">
        <f>IF('calcA'!H$106=1,DG12,1)</f>
        <v/>
      </c>
      <c r="IV12">
        <f>IF('calcA'!I$106=1,DH12,1)</f>
        <v/>
      </c>
      <c r="IW12">
        <f>IF('calcA'!J$106=1,DI12,1)</f>
        <v/>
      </c>
      <c r="IX12">
        <f>IF('calcA'!K$106=1,DJ12,1)</f>
        <v/>
      </c>
      <c r="IY12">
        <f>IF('calcA'!L$106=1,DK12,1)</f>
        <v/>
      </c>
      <c r="IZ12">
        <f>IF('calcA'!M$106=1,DL12,1)</f>
        <v/>
      </c>
      <c r="JA12">
        <f>IF('calcA'!N$106=1,DM12,1)</f>
        <v/>
      </c>
      <c r="JB12">
        <f>IF('calcA'!O$106=1,DN12,1)</f>
        <v/>
      </c>
      <c r="JC12">
        <f>IF('calcA'!P$106=1,DO12,1)</f>
        <v/>
      </c>
      <c r="JD12">
        <f>IF('calcA'!Q$106=1,DP12,1)</f>
        <v/>
      </c>
      <c r="JE12">
        <f>IF('calcA'!R$106=1,DQ12,1)</f>
        <v/>
      </c>
      <c r="JF12">
        <f>IF('calcA'!S$106=1,DR12,1)</f>
        <v/>
      </c>
      <c r="JG12">
        <f>IF('calcA'!T$106=1,DS12,1)</f>
        <v/>
      </c>
      <c r="JH12">
        <f>IF('calcA'!U$106=1,DT12,1)</f>
        <v/>
      </c>
      <c r="JI12">
        <f>IF('calcA'!V$106=1,DU12,1)</f>
        <v/>
      </c>
      <c r="JJ12">
        <f>IF('calcA'!W$106=1,DV12,1)</f>
        <v/>
      </c>
      <c r="JK12">
        <f>IF('calcA'!X$106=1,DW12,1)</f>
        <v/>
      </c>
      <c r="JL12">
        <f>IF('calcA'!Y$106=1,DX12,1)</f>
        <v/>
      </c>
      <c r="JM12">
        <f>IF('calcA'!Z$106=1,DY12,1)</f>
        <v/>
      </c>
      <c r="JN12">
        <f>IF('calcA'!AA$106=1,DZ12,1)</f>
        <v/>
      </c>
      <c r="JO12">
        <f>IF('calcA'!AB$106=1,EA12,1)</f>
        <v/>
      </c>
      <c r="JP12">
        <f>IF('calcA'!AC$106=1,EB12,1)</f>
        <v/>
      </c>
      <c r="JQ12">
        <f>IF('calcA'!AD$106=1,EC12,1)</f>
        <v/>
      </c>
      <c r="JR12">
        <f>IF('calcA'!AE$106=1,ED12,1)</f>
        <v/>
      </c>
      <c r="JS12">
        <f>IF('calcA'!AF$106=1,EE12,1)</f>
        <v/>
      </c>
      <c r="JT12">
        <f>IF('calcA'!AG$106=1,EF12,1)</f>
        <v/>
      </c>
      <c r="JU12">
        <f>IF('calcA'!AH$106=1,EG12,1)</f>
        <v/>
      </c>
      <c r="JV12">
        <f>IF('calcA'!AI$106=1,EH12,1)</f>
        <v/>
      </c>
      <c r="JW12">
        <f>IF('calcA'!AJ$106=1,EI12,1)</f>
        <v/>
      </c>
      <c r="JX12">
        <f>IF('calcA'!AK$106=1,EJ12,1)</f>
        <v/>
      </c>
      <c r="JY12">
        <f>IF('calcA'!AL$106=1,EK12,1)</f>
        <v/>
      </c>
      <c r="JZ12">
        <f>IF('calcA'!AM$106=1,EL12,1)</f>
        <v/>
      </c>
      <c r="KA12">
        <f>IF('calcA'!AN$106=1,EM12,1)</f>
        <v/>
      </c>
      <c r="KB12">
        <f>IF('calcA'!AO$106=1,EN12,1)</f>
        <v/>
      </c>
      <c r="KC12">
        <f>IF('calcA'!AP$106=1,EO12,1)</f>
        <v/>
      </c>
      <c r="KD12">
        <f>IF('calcA'!AQ$106=1,EP12,1)</f>
        <v/>
      </c>
      <c r="KE12">
        <f>IF('calcA'!AR$106=1,EQ12,1)</f>
        <v/>
      </c>
      <c r="KF12">
        <f>IF('calcA'!AS$106=1,ER12,1)</f>
        <v/>
      </c>
      <c r="KG12">
        <f>IF('calcA'!AT$106=1,ES12,1)</f>
        <v/>
      </c>
      <c r="KH12">
        <f>IF('calcA'!AU$106=1,ET12,1)</f>
        <v/>
      </c>
      <c r="KI12">
        <f>IF('calcA'!AV$106=1,EU12,1)</f>
        <v/>
      </c>
      <c r="KJ12">
        <f>IF('calcA'!AW$106=1,EV12,1)</f>
        <v/>
      </c>
      <c r="KK12">
        <f>IF('calcA'!AX$106=1,EW12,1)</f>
        <v/>
      </c>
      <c r="KL12">
        <f>IF('calcA'!AY$106=1,EX12,1)</f>
        <v/>
      </c>
      <c r="KM12">
        <f>IF('calcA'!AZ$106=1,EY12,1)</f>
        <v/>
      </c>
      <c r="KN12">
        <f>IF('calcA'!BA$106=1,EZ12,1)</f>
        <v/>
      </c>
      <c r="KO12">
        <f>IF('calcA'!BB$106=1,FA12,1)</f>
        <v/>
      </c>
      <c r="KP12">
        <f>IF('calcA'!BC$106=1,FB12,1)</f>
        <v/>
      </c>
      <c r="KQ12">
        <f>IF('calcA'!BD$106=1,FC12,1)</f>
        <v/>
      </c>
      <c r="KR12">
        <f>IF('calcA'!BE$106=1,FD12,1)</f>
        <v/>
      </c>
      <c r="KS12">
        <f>IF('calcA'!BF$106=1,FE12,1)</f>
        <v/>
      </c>
      <c r="KT12">
        <f>IF('calcA'!BG$106=1,FF12,1)</f>
        <v/>
      </c>
      <c r="KU12">
        <f>IF('calcA'!BH$106=1,FG12,1)</f>
        <v/>
      </c>
      <c r="KV12">
        <f>IF('calcA'!BI$106=1,FH12,1)</f>
        <v/>
      </c>
      <c r="KW12">
        <f>IF('calcA'!BJ$106=1,FI12,1)</f>
        <v/>
      </c>
      <c r="KX12">
        <f>IF('calcA'!BK$106=1,FJ12,1)</f>
        <v/>
      </c>
      <c r="KY12">
        <f>IF('calcA'!BL$106=1,FK12,1)</f>
        <v/>
      </c>
      <c r="KZ12">
        <f>IF('calcA'!BM$106=1,FL12,1)</f>
        <v/>
      </c>
      <c r="LA12">
        <f>IF('calcA'!BN$106=1,FM12,1)</f>
        <v/>
      </c>
      <c r="LB12">
        <f>IF('calcA'!BO$106=1,FN12,1)</f>
        <v/>
      </c>
      <c r="LC12">
        <f>IF('calcA'!BP$106=1,FO12,1)</f>
        <v/>
      </c>
      <c r="LD12">
        <f>IF('calcA'!BQ$106=1,FP12,1)</f>
        <v/>
      </c>
      <c r="LE12">
        <f>IF('calcA'!BR$106=1,FQ12,1)</f>
        <v/>
      </c>
      <c r="LF12">
        <f>IF('calcA'!BS$106=1,FR12,1)</f>
        <v/>
      </c>
      <c r="LG12">
        <f>IF('calcA'!BT$106=1,FS12,1)</f>
        <v/>
      </c>
      <c r="LH12">
        <f>IF('calcA'!BU$106=1,FT12,1)</f>
        <v/>
      </c>
      <c r="LI12">
        <f>IF('calcA'!BV$106=1,FU12,1)</f>
        <v/>
      </c>
      <c r="LJ12">
        <f>IF('calcA'!BW$106=1,FV12,1)</f>
        <v/>
      </c>
      <c r="LK12">
        <f>IF('calcA'!BX$106=1,FW12,1)</f>
        <v/>
      </c>
      <c r="LL12">
        <f>IF('calcA'!BY$106=1,FX12,1)</f>
        <v/>
      </c>
      <c r="LM12">
        <f>IF('calcA'!BZ$106=1,FY12,1)</f>
        <v/>
      </c>
      <c r="LN12">
        <f>IF('calcA'!CA$106=1,FZ12,1)</f>
        <v/>
      </c>
      <c r="LO12">
        <f>IF('calcA'!CB$106=1,GA12,1)</f>
        <v/>
      </c>
      <c r="LP12">
        <f>IF('calcA'!CC$106=1,GB12,1)</f>
        <v/>
      </c>
      <c r="LQ12">
        <f>IF('calcA'!CD$106=1,GC12,1)</f>
        <v/>
      </c>
      <c r="LR12">
        <f>IF('calcA'!CE$106=1,GD12,1)</f>
        <v/>
      </c>
      <c r="LS12">
        <f>IF('calcA'!CF$106=1,GE12,1)</f>
        <v/>
      </c>
      <c r="LT12">
        <f>IF('calcA'!CG$106=1,GF12,1)</f>
        <v/>
      </c>
      <c r="LU12">
        <f>IF('calcA'!CH$106=1,GG12,1)</f>
        <v/>
      </c>
      <c r="LV12">
        <f>IF('calcA'!CI$106=1,GH12,1)</f>
        <v/>
      </c>
      <c r="LW12">
        <f>IF('calcA'!CJ$106=1,GI12,1)</f>
        <v/>
      </c>
      <c r="LX12">
        <f>IF('calcA'!CK$106=1,GJ12,1)</f>
        <v/>
      </c>
      <c r="LY12">
        <f>IF('calcA'!CL$106=1,GK12,1)</f>
        <v/>
      </c>
      <c r="LZ12">
        <f>IF('calcA'!CM$106=1,GL12,1)</f>
        <v/>
      </c>
      <c r="MA12">
        <f>IF('calcA'!CN$106=1,GM12,1)</f>
        <v/>
      </c>
      <c r="MB12">
        <f>IF('calcA'!CO$106=1,GN12,1)</f>
        <v/>
      </c>
      <c r="MC12">
        <f>IF('calcA'!CP$106=1,GO12,1)</f>
        <v/>
      </c>
      <c r="MD12">
        <f>IF('calcA'!CQ$106=1,GP12,1)</f>
        <v/>
      </c>
      <c r="ME12">
        <f>IF('calcA'!CR$106=1,GQ12,1)</f>
        <v/>
      </c>
      <c r="MF12">
        <f>IF('calcA'!CS$106=1,GR12,1)</f>
        <v/>
      </c>
      <c r="MG12">
        <f>IF('calcA'!CT$106=1,GS12,1)</f>
        <v/>
      </c>
      <c r="MH12">
        <f>IF('calcA'!CU$106=1,GT12,1)</f>
        <v/>
      </c>
      <c r="MI12">
        <f>IF('calcA'!CV$106=1,GU12,1)</f>
        <v/>
      </c>
      <c r="MJ12">
        <f>IF('calcA'!CW$106=1,GV12,1)</f>
        <v/>
      </c>
      <c r="MK12">
        <f>IF('calcA'!CX$106=1,GW12,1)</f>
        <v/>
      </c>
      <c r="ML12">
        <f>IF('calcA'!CY$106=1,GX12,1)</f>
        <v/>
      </c>
      <c r="MM12">
        <f>IF('calcA'!CZ$106=1,GY12,1)</f>
        <v/>
      </c>
      <c r="MN12">
        <f>IF('calcA'!DA$106=1,GZ12,1)</f>
        <v/>
      </c>
      <c r="MO12">
        <f>IF('calcA'!DB$106=1,HA12,1)</f>
        <v/>
      </c>
      <c r="MP12">
        <f>IF('calcA'!DC$106=1,HB12,1)</f>
        <v/>
      </c>
      <c r="MQ12">
        <f>IF('calcA'!DD$106=1,HC12,1)</f>
        <v/>
      </c>
      <c r="MR12">
        <f>IF('calcA'!DE$106=1,HD12,1)</f>
        <v/>
      </c>
      <c r="MS12">
        <f>IF('calcA'!DF$106=1,HE12,1)</f>
        <v/>
      </c>
      <c r="MT12">
        <f>IF('calcA'!DG$106=1,HF12,1)</f>
        <v/>
      </c>
      <c r="MU12">
        <f>IF('calcA'!DH$106=1,HG12,1)</f>
        <v/>
      </c>
      <c r="MV12">
        <f>IF('calcA'!DI$106=1,HH12,1)</f>
        <v/>
      </c>
      <c r="MW12">
        <f>IF('calcA'!DJ$106=1,HI12,1)</f>
        <v/>
      </c>
      <c r="MX12">
        <f>IF('calcA'!DK$106=1,HJ12,1)</f>
        <v/>
      </c>
      <c r="MY12">
        <f>IF('calcA'!DL$106=1,HK12,1)</f>
        <v/>
      </c>
      <c r="MZ12">
        <f>IF('calcA'!DM$106=1,HL12,1)</f>
        <v/>
      </c>
      <c r="NA12">
        <f>IF('calcA'!DN$106=1,HM12,1)</f>
        <v/>
      </c>
      <c r="NB12">
        <f>IF('calcA'!DO$106=1,HN12,1)</f>
        <v/>
      </c>
      <c r="NC12">
        <f>IF('calcA'!DP$106=1,HO12,1)</f>
        <v/>
      </c>
      <c r="ND12">
        <f>IF('calcA'!DQ$106=1,HP12,1)</f>
        <v/>
      </c>
      <c r="NE12">
        <f>IF('calcA'!DR$106=1,HQ12,1)</f>
        <v/>
      </c>
      <c r="NF12">
        <f>IF('calcA'!DS$106=1,HR12,1)</f>
        <v/>
      </c>
      <c r="NG12">
        <f>IF('calcA'!DT$106=1,HS12,1)</f>
        <v/>
      </c>
      <c r="NH12">
        <f>IF('calcA'!DU$106=1,HT12,1)</f>
        <v/>
      </c>
      <c r="NI12">
        <f>IF('calcA'!DV$106=1,HU12,1)</f>
        <v/>
      </c>
      <c r="NJ12">
        <f>IF('calcA'!DW$106=1,HV12,1)</f>
        <v/>
      </c>
      <c r="NK12">
        <f>IF('calcA'!DX$106=1,HW12,1)</f>
        <v/>
      </c>
      <c r="NL12">
        <f>IF('calcA'!DY$106=1,HX12,1)</f>
        <v/>
      </c>
      <c r="NM12">
        <f>IF('calcA'!DZ$106=1,HY12,1)</f>
        <v/>
      </c>
      <c r="NN12">
        <f>IF('calcA'!EA$106=1,HZ12,1)</f>
        <v/>
      </c>
      <c r="NO12">
        <f>IF('calcA'!EB$106=1,IA12,1)</f>
        <v/>
      </c>
      <c r="NP12">
        <f>IF('calcA'!EC$106=1,IB12,1)</f>
        <v/>
      </c>
      <c r="NQ12">
        <f>IF('calcA'!ED$106=1,IC12,1)</f>
        <v/>
      </c>
      <c r="NR12">
        <f>IF('calcA'!EE$106=1,ID12,1)</f>
        <v/>
      </c>
      <c r="NS12">
        <f>IF('calcA'!EF$106=1,IE12,1)</f>
        <v/>
      </c>
      <c r="NT12">
        <f>IF('calcA'!EG$106=1,IF12,1)</f>
        <v/>
      </c>
      <c r="NU12">
        <f>IF('calcA'!EH$106=1,IG12,1)</f>
        <v/>
      </c>
      <c r="NV12">
        <f>IF('calcA'!EI$106=1,IH12,1)</f>
        <v/>
      </c>
      <c r="NW12">
        <f>IF('calcA'!EJ$106=1,II12,1)</f>
        <v/>
      </c>
      <c r="NX12">
        <f>IF('calcA'!EK$106=1,IJ12,1)</f>
        <v/>
      </c>
      <c r="NY12">
        <f>IF('calcA'!EL$106=1,IK12,1)</f>
        <v/>
      </c>
      <c r="NZ12">
        <f>IF('calcA'!EM$106=1,IL12,1)</f>
        <v/>
      </c>
      <c r="OA12">
        <f>IF('calcA'!EN$106=1,IM12,1)</f>
        <v/>
      </c>
      <c r="OB12">
        <f>IF('calcA'!EO$106=1,IN12,1)</f>
        <v/>
      </c>
      <c r="OC12">
        <f>IF('calcA'!EP$106=1,IO12,1)</f>
        <v/>
      </c>
      <c r="OD12" t="n">
        <v>1</v>
      </c>
      <c r="OF12">
        <f>IF($B12=0,1000000000,IF(INDEX('calcA'!$D$60:$EQ$99,$B12,1)*IF($W12=1,DB12+ZQ12,DB12)=1,IF(AND($E12=2,IF($W12=1,AFF12,IQ12)=0),1000000000,IF($V12=1,INDEX('calcA'!$D$130:$EQ$169,$B12,1)+IF(AND($E12=1,IQ12=0),25,0),INDEX('calcA'!D$110:D$114,$F12+1)+IF(AND($E12=1,IQ12=0),1000,0)+IF($H12=1,INDEX('calcA'!$D$180:$EQ$219,$B12,1)*500,0)-IF(AND($U12=1,'calcA'!D$117=1,DC12=0),300,0))),1000000000))</f>
        <v/>
      </c>
      <c r="OG12">
        <f>IF($B12=0,1000000000,IF(INDEX('calcA'!$D$60:$EQ$99,$B12,2)*IF($W12=1,DC12+ZR12,DC12)=1,IF(AND($E12=2,IF($W12=1,AFG12,IR12)=0),1000000000,IF($V12=1,INDEX('calcA'!$D$130:$EQ$169,$B12,2)+IF(AND($E12=1,IR12=0),25,0),INDEX('calcA'!E$110:E$114,$F12+1)+IF(AND($E12=1,IR12=0),1000,0)+IF($H12=1,INDEX('calcA'!$D$180:$EQ$219,$B12,2)*500,0)-IF(AND('calcA'!D$117=1,UB12&gt;0),300,0)-IF(AND($U12=1,'calcA'!E$117=1,DD12=0),300,0))),1000000000))</f>
        <v/>
      </c>
      <c r="OH12">
        <f>IF($B12=0,1000000000,IF(INDEX('calcA'!$D$60:$EQ$99,$B12,3)*IF($W12=1,DD12+ZS12,DD12)=1,IF(AND($E12=2,IF($W12=1,AFH12,IS12)=0),1000000000,IF($V12=1,INDEX('calcA'!$D$130:$EQ$169,$B12,3)+IF(AND($E12=1,IS12=0),25,0),INDEX('calcA'!F$110:F$114,$F12+1)+IF(AND($E12=1,IS12=0),1000,0)+IF($H12=1,INDEX('calcA'!$D$180:$EQ$219,$B12,3)*500,0)-IF(AND('calcA'!E$117=1,UC12&gt;0),300,0)-IF(AND($U12=1,'calcA'!F$117=1,DE12=0),300,0))),1000000000))</f>
        <v/>
      </c>
      <c r="OI12">
        <f>IF($B12=0,1000000000,IF(INDEX('calcA'!$D$60:$EQ$99,$B12,4)*IF($W12=1,DE12+ZT12,DE12)=1,IF(AND($E12=2,IF($W12=1,AFI12,IT12)=0),1000000000,IF($V12=1,INDEX('calcA'!$D$130:$EQ$169,$B12,4)+IF(AND($E12=1,IT12=0),25,0),INDEX('calcA'!G$110:G$114,$F12+1)+IF(AND($E12=1,IT12=0),1000,0)+IF($H12=1,INDEX('calcA'!$D$180:$EQ$219,$B12,4)*500,0)-IF(AND('calcA'!F$117=1,UD12&gt;0),300,0)-IF(AND($U12=1,'calcA'!G$117=1,DF12=0),300,0))),1000000000))</f>
        <v/>
      </c>
      <c r="OJ12">
        <f>IF($B12=0,1000000000,IF(INDEX('calcA'!$D$60:$EQ$99,$B12,5)*IF($W12=1,DF12+ZU12,DF12)=1,IF(AND($E12=2,IF($W12=1,AFJ12,IU12)=0),1000000000,IF($V12=1,INDEX('calcA'!$D$130:$EQ$169,$B12,5)+IF(AND($E12=1,IU12=0),25,0),INDEX('calcA'!H$110:H$114,$F12+1)+IF(AND($E12=1,IU12=0),1000,0)+IF($H12=1,INDEX('calcA'!$D$180:$EQ$219,$B12,5)*500,0)-IF(AND('calcA'!G$117=1,UE12&gt;0),300,0)-IF(AND($U12=1,'calcA'!H$117=1,DG12=0),300,0))),1000000000))</f>
        <v/>
      </c>
      <c r="OK12">
        <f>IF($B12=0,1000000000,IF(INDEX('calcA'!$D$60:$EQ$99,$B12,6)*IF($W12=1,DG12+ZV12,DG12)=1,IF(AND($E12=2,IF($W12=1,AFK12,IV12)=0),1000000000,IF($V12=1,INDEX('calcA'!$D$130:$EQ$169,$B12,6)+IF(AND($E12=1,IV12=0),25,0),INDEX('calcA'!I$110:I$114,$F12+1)+IF(AND($E12=1,IV12=0),1000,0)+IF($H12=1,INDEX('calcA'!$D$180:$EQ$219,$B12,6)*500,0)-IF(AND('calcA'!H$117=1,UF12&gt;0),300,0)-IF(AND($U12=1,'calcA'!I$117=1,DH12=0),300,0))),1000000000))</f>
        <v/>
      </c>
      <c r="OL12">
        <f>IF($B12=0,1000000000,IF(INDEX('calcA'!$D$60:$EQ$99,$B12,7)*IF($W12=1,DH12+ZW12,DH12)=1,IF(AND($E12=2,IF($W12=1,AFL12,IW12)=0),1000000000,IF($V12=1,INDEX('calcA'!$D$130:$EQ$169,$B12,7)+IF(AND($E12=1,IW12=0),25,0),INDEX('calcA'!J$110:J$114,$F12+1)+IF(AND($E12=1,IW12=0),1000,0)+IF($H12=1,INDEX('calcA'!$D$180:$EQ$219,$B12,7)*500,0)-IF(AND('calcA'!I$117=1,UG12&gt;0),300,0)-IF(AND($U12=1,'calcA'!J$117=1,DI12=0),300,0))),1000000000))</f>
        <v/>
      </c>
      <c r="OM12">
        <f>IF($B12=0,1000000000,IF(INDEX('calcA'!$D$60:$EQ$99,$B12,8)*IF($W12=1,DI12+ZX12,DI12)=1,IF(AND($E12=2,IF($W12=1,AFM12,IX12)=0),1000000000,IF($V12=1,INDEX('calcA'!$D$130:$EQ$169,$B12,8)+IF(AND($E12=1,IX12=0),25,0),INDEX('calcA'!K$110:K$114,$F12+1)+IF(AND($E12=1,IX12=0),1000,0)+IF($H12=1,INDEX('calcA'!$D$180:$EQ$219,$B12,8)*500,0)-IF(AND('calcA'!J$117=1,UH12&gt;0),300,0)-IF(AND($U12=1,'calcA'!K$117=1,DJ12=0),300,0))),1000000000))</f>
        <v/>
      </c>
      <c r="ON12">
        <f>IF($B12=0,1000000000,IF(INDEX('calcA'!$D$60:$EQ$99,$B12,9)*IF($W12=1,DJ12+ZY12,DJ12)=1,IF(AND($E12=2,IF($W12=1,AFN12,IY12)=0),1000000000,IF($V12=1,INDEX('calcA'!$D$130:$EQ$169,$B12,9)+IF(AND($E12=1,IY12=0),25,0),INDEX('calcA'!L$110:L$114,$F12+1)+IF(AND($E12=1,IY12=0),1000,0)+IF($H12=1,INDEX('calcA'!$D$180:$EQ$219,$B12,9)*500,0)-IF(AND('calcA'!K$117=1,UI12&gt;0),300,0)-IF(AND($U12=1,'calcA'!L$117=1,DK12=0),300,0))),1000000000))</f>
        <v/>
      </c>
      <c r="OO12">
        <f>IF($B12=0,1000000000,IF(INDEX('calcA'!$D$60:$EQ$99,$B12,10)*IF($W12=1,DK12+ZZ12,DK12)=1,IF(AND($E12=2,IF($W12=1,AFO12,IZ12)=0),1000000000,IF($V12=1,INDEX('calcA'!$D$130:$EQ$169,$B12,10)+IF(AND($E12=1,IZ12=0),25,0),INDEX('calcA'!M$110:M$114,$F12+1)+IF(AND($E12=1,IZ12=0),1000,0)+IF($H12=1,INDEX('calcA'!$D$180:$EQ$219,$B12,10)*500,0)-IF(AND('calcA'!L$117=1,UJ12&gt;0),300,0)-IF(AND($U12=1,'calcA'!M$117=1,DL12=0),300,0))),1000000000))</f>
        <v/>
      </c>
      <c r="OP12">
        <f>IF($B12=0,1000000000,IF(INDEX('calcA'!$D$60:$EQ$99,$B12,11)*IF($W12=1,DL12+AAA12,DL12)=1,IF(AND($E12=2,IF($W12=1,AFP12,JA12)=0),1000000000,IF($V12=1,INDEX('calcA'!$D$130:$EQ$169,$B12,11)+IF(AND($E12=1,JA12=0),25,0),INDEX('calcA'!N$110:N$114,$F12+1)+IF(AND($E12=1,JA12=0),1000,0)+IF($H12=1,INDEX('calcA'!$D$180:$EQ$219,$B12,11)*500,0)-IF(AND('calcA'!M$117=1,UK12&gt;0),300,0)-IF(AND($U12=1,'calcA'!N$117=1,DM12=0),300,0))),1000000000))</f>
        <v/>
      </c>
      <c r="OQ12">
        <f>IF($B12=0,1000000000,IF(INDEX('calcA'!$D$60:$EQ$99,$B12,12)*IF($W12=1,DM12+AAB12,DM12)=1,IF(AND($E12=2,IF($W12=1,AFQ12,JB12)=0),1000000000,IF($V12=1,INDEX('calcA'!$D$130:$EQ$169,$B12,12)+IF(AND($E12=1,JB12=0),25,0),INDEX('calcA'!O$110:O$114,$F12+1)+IF(AND($E12=1,JB12=0),1000,0)+IF($H12=1,INDEX('calcA'!$D$180:$EQ$219,$B12,12)*500,0)-IF(AND('calcA'!N$117=1,UL12&gt;0),300,0)-IF(AND($U12=1,'calcA'!O$117=1,DN12=0),300,0))),1000000000))</f>
        <v/>
      </c>
      <c r="OR12">
        <f>IF($B12=0,1000000000,IF(INDEX('calcA'!$D$60:$EQ$99,$B12,13)*IF($W12=1,DN12+AAC12,DN12)=1,IF(AND($E12=2,IF($W12=1,AFR12,JC12)=0),1000000000,IF($V12=1,INDEX('calcA'!$D$130:$EQ$169,$B12,13)+IF(AND($E12=1,JC12=0),25,0),INDEX('calcA'!P$110:P$114,$F12+1)+IF(AND($E12=1,JC12=0),1000,0)+IF($H12=1,INDEX('calcA'!$D$180:$EQ$219,$B12,13)*500,0)-IF(AND('calcA'!O$117=1,UM12&gt;0),300,0)-IF(AND($U12=1,'calcA'!P$117=1,DO12=0),300,0))),1000000000))</f>
        <v/>
      </c>
      <c r="OS12">
        <f>IF($B12=0,1000000000,IF(INDEX('calcA'!$D$60:$EQ$99,$B12,14)*IF($W12=1,DO12+AAD12,DO12)=1,IF(AND($E12=2,IF($W12=1,AFS12,JD12)=0),1000000000,IF($V12=1,INDEX('calcA'!$D$130:$EQ$169,$B12,14)+IF(AND($E12=1,JD12=0),25,0),INDEX('calcA'!Q$110:Q$114,$F12+1)+IF(AND($E12=1,JD12=0),1000,0)+IF($H12=1,INDEX('calcA'!$D$180:$EQ$219,$B12,14)*500,0)-IF(AND('calcA'!P$117=1,UN12&gt;0),300,0)-IF(AND($U12=1,'calcA'!Q$117=1,DP12=0),300,0))),1000000000))</f>
        <v/>
      </c>
      <c r="OT12">
        <f>IF($B12=0,1000000000,IF(INDEX('calcA'!$D$60:$EQ$99,$B12,15)*IF($W12=1,DP12+AAE12,DP12)=1,IF(AND($E12=2,IF($W12=1,AFT12,JE12)=0),1000000000,IF($V12=1,INDEX('calcA'!$D$130:$EQ$169,$B12,15)+IF(AND($E12=1,JE12=0),25,0),INDEX('calcA'!R$110:R$114,$F12+1)+IF(AND($E12=1,JE12=0),1000,0)+IF($H12=1,INDEX('calcA'!$D$180:$EQ$219,$B12,15)*500,0)-IF(AND('calcA'!Q$117=1,UO12&gt;0),300,0)-IF(AND($U12=1,'calcA'!R$117=1,DQ12=0),300,0))),1000000000))</f>
        <v/>
      </c>
      <c r="OU12">
        <f>IF($B12=0,1000000000,IF(INDEX('calcA'!$D$60:$EQ$99,$B12,16)*IF($W12=1,DQ12+AAF12,DQ12)=1,IF(AND($E12=2,IF($W12=1,AFU12,JF12)=0),1000000000,IF($V12=1,INDEX('calcA'!$D$130:$EQ$169,$B12,16)+IF(AND($E12=1,JF12=0),25,0),INDEX('calcA'!S$110:S$114,$F12+1)+IF(AND($E12=1,JF12=0),1000,0)+IF($H12=1,INDEX('calcA'!$D$180:$EQ$219,$B12,16)*500,0)-IF(AND('calcA'!R$117=1,UP12&gt;0),300,0)-IF(AND($U12=1,'calcA'!S$117=1,DR12=0),300,0))),1000000000))</f>
        <v/>
      </c>
      <c r="OV12">
        <f>IF($B12=0,1000000000,IF(INDEX('calcA'!$D$60:$EQ$99,$B12,17)*IF($W12=1,DR12+AAG12,DR12)=1,IF(AND($E12=2,IF($W12=1,AFV12,JG12)=0),1000000000,IF($V12=1,INDEX('calcA'!$D$130:$EQ$169,$B12,17)+IF(AND($E12=1,JG12=0),25,0),INDEX('calcA'!T$110:T$114,$F12+1)+IF(AND($E12=1,JG12=0),1000,0)+IF($H12=1,INDEX('calcA'!$D$180:$EQ$219,$B12,17)*500,0)-IF(AND('calcA'!S$117=1,UQ12&gt;0),300,0)-IF(AND($U12=1,'calcA'!T$117=1,DS12=0),300,0))),1000000000))</f>
        <v/>
      </c>
      <c r="OW12">
        <f>IF($B12=0,1000000000,IF(INDEX('calcA'!$D$60:$EQ$99,$B12,18)*IF($W12=1,DS12+AAH12,DS12)=1,IF(AND($E12=2,IF($W12=1,AFW12,JH12)=0),1000000000,IF($V12=1,INDEX('calcA'!$D$130:$EQ$169,$B12,18)+IF(AND($E12=1,JH12=0),25,0),INDEX('calcA'!U$110:U$114,$F12+1)+IF(AND($E12=1,JH12=0),1000,0)+IF($H12=1,INDEX('calcA'!$D$180:$EQ$219,$B12,18)*500,0)-IF(AND('calcA'!T$117=1,UR12&gt;0),300,0)-IF(AND($U12=1,'calcA'!U$117=1,DT12=0),300,0))),1000000000))</f>
        <v/>
      </c>
      <c r="OX12">
        <f>IF($B12=0,1000000000,IF(INDEX('calcA'!$D$60:$EQ$99,$B12,19)*IF($W12=1,DT12+AAI12,DT12)=1,IF(AND($E12=2,IF($W12=1,AFX12,JI12)=0),1000000000,IF($V12=1,INDEX('calcA'!$D$130:$EQ$169,$B12,19)+IF(AND($E12=1,JI12=0),25,0),INDEX('calcA'!V$110:V$114,$F12+1)+IF(AND($E12=1,JI12=0),1000,0)+IF($H12=1,INDEX('calcA'!$D$180:$EQ$219,$B12,19)*500,0)-IF(AND('calcA'!U$117=1,US12&gt;0),300,0)-IF(AND($U12=1,'calcA'!V$117=1,DU12=0),300,0))),1000000000))</f>
        <v/>
      </c>
      <c r="OY12">
        <f>IF($B12=0,1000000000,IF(INDEX('calcA'!$D$60:$EQ$99,$B12,20)*IF($W12=1,DU12+AAJ12,DU12)=1,IF(AND($E12=2,IF($W12=1,AFY12,JJ12)=0),1000000000,IF($V12=1,INDEX('calcA'!$D$130:$EQ$169,$B12,20)+IF(AND($E12=1,JJ12=0),25,0),INDEX('calcA'!W$110:W$114,$F12+1)+IF(AND($E12=1,JJ12=0),1000,0)+IF($H12=1,INDEX('calcA'!$D$180:$EQ$219,$B12,20)*500,0)-IF(AND('calcA'!V$117=1,UT12&gt;0),300,0)-IF(AND($U12=1,'calcA'!W$117=1,DV12=0),300,0))),1000000000))</f>
        <v/>
      </c>
      <c r="OZ12">
        <f>IF($B12=0,1000000000,IF(INDEX('calcA'!$D$60:$EQ$99,$B12,21)*IF($W12=1,DV12+AAK12,DV12)=1,IF(AND($E12=2,IF($W12=1,AFZ12,JK12)=0),1000000000,IF($V12=1,INDEX('calcA'!$D$130:$EQ$169,$B12,21)+IF(AND($E12=1,JK12=0),25,0),INDEX('calcA'!X$110:X$114,$F12+1)+IF(AND($E12=1,JK12=0),1000,0)+IF($H12=1,INDEX('calcA'!$D$180:$EQ$219,$B12,21)*500,0)-IF(AND('calcA'!W$117=1,UU12&gt;0),300,0)-IF(AND($U12=1,'calcA'!X$117=1,DW12=0),300,0))),1000000000))</f>
        <v/>
      </c>
      <c r="PA12">
        <f>IF($B12=0,1000000000,IF(INDEX('calcA'!$D$60:$EQ$99,$B12,22)*IF($W12=1,DW12+AAL12,DW12)=1,IF(AND($E12=2,IF($W12=1,AGA12,JL12)=0),1000000000,IF($V12=1,INDEX('calcA'!$D$130:$EQ$169,$B12,22)+IF(AND($E12=1,JL12=0),25,0),INDEX('calcA'!Y$110:Y$114,$F12+1)+IF(AND($E12=1,JL12=0),1000,0)+IF($H12=1,INDEX('calcA'!$D$180:$EQ$219,$B12,22)*500,0)-IF(AND('calcA'!X$117=1,UV12&gt;0),300,0)-IF(AND($U12=1,'calcA'!Y$117=1,DX12=0),300,0))),1000000000))</f>
        <v/>
      </c>
      <c r="PB12">
        <f>IF($B12=0,1000000000,IF(INDEX('calcA'!$D$60:$EQ$99,$B12,23)*IF($W12=1,DX12+AAM12,DX12)=1,IF(AND($E12=2,IF($W12=1,AGB12,JM12)=0),1000000000,IF($V12=1,INDEX('calcA'!$D$130:$EQ$169,$B12,23)+IF(AND($E12=1,JM12=0),25,0),INDEX('calcA'!Z$110:Z$114,$F12+1)+IF(AND($E12=1,JM12=0),1000,0)+IF($H12=1,INDEX('calcA'!$D$180:$EQ$219,$B12,23)*500,0)-IF(AND('calcA'!Y$117=1,UW12&gt;0),300,0)-IF(AND($U12=1,'calcA'!Z$117=1,DY12=0),300,0))),1000000000))</f>
        <v/>
      </c>
      <c r="PC12">
        <f>IF($B12=0,1000000000,IF(INDEX('calcA'!$D$60:$EQ$99,$B12,24)*IF($W12=1,DY12+AAN12,DY12)=1,IF(AND($E12=2,IF($W12=1,AGC12,JN12)=0),1000000000,IF($V12=1,INDEX('calcA'!$D$130:$EQ$169,$B12,24)+IF(AND($E12=1,JN12=0),25,0),INDEX('calcA'!AA$110:AA$114,$F12+1)+IF(AND($E12=1,JN12=0),1000,0)+IF($H12=1,INDEX('calcA'!$D$180:$EQ$219,$B12,24)*500,0)-IF(AND('calcA'!Z$117=1,UX12&gt;0),300,0))),1000000000))</f>
        <v/>
      </c>
      <c r="PD12">
        <f>IF($B12=0,1000000000,IF(INDEX('calcA'!$D$60:$EQ$99,$B12,25)*IF($W12=1,DZ12+AAO12,DZ12)=1,IF(AND($E12=2,IF($W12=1,AGD12,JO12)=0),1000000000,IF($V12=1,INDEX('calcA'!$D$130:$EQ$169,$B12,25)+IF(AND($E12=1,JO12=0),25,0),INDEX('calcA'!AB$110:AB$114,$F12+1)+IF(AND($E12=1,JO12=0),1000,0)+IF($H12=1,INDEX('calcA'!$D$180:$EQ$219,$B12,25)*500,0)-IF(AND($U12=1,'calcA'!AB$117=1,EA12=0),300,0))),1000000000))</f>
        <v/>
      </c>
      <c r="PE12">
        <f>IF($B12=0,1000000000,IF(INDEX('calcA'!$D$60:$EQ$99,$B12,26)*IF($W12=1,EA12+AAP12,EA12)=1,IF(AND($E12=2,IF($W12=1,AGE12,JP12)=0),1000000000,IF($V12=1,INDEX('calcA'!$D$130:$EQ$169,$B12,26)+IF(AND($E12=1,JP12=0),25,0),INDEX('calcA'!AC$110:AC$114,$F12+1)+IF(AND($E12=1,JP12=0),1000,0)+IF($H12=1,INDEX('calcA'!$D$180:$EQ$219,$B12,26)*500,0)-IF(AND('calcA'!AB$117=1,UZ12&gt;0),300,0)-IF(AND($U12=1,'calcA'!AC$117=1,EB12=0),300,0))),1000000000))</f>
        <v/>
      </c>
      <c r="PF12">
        <f>IF($B12=0,1000000000,IF(INDEX('calcA'!$D$60:$EQ$99,$B12,27)*IF($W12=1,EB12+AAQ12,EB12)=1,IF(AND($E12=2,IF($W12=1,AGF12,JQ12)=0),1000000000,IF($V12=1,INDEX('calcA'!$D$130:$EQ$169,$B12,27)+IF(AND($E12=1,JQ12=0),25,0),INDEX('calcA'!AD$110:AD$114,$F12+1)+IF(AND($E12=1,JQ12=0),1000,0)+IF($H12=1,INDEX('calcA'!$D$180:$EQ$219,$B12,27)*500,0)-IF(AND('calcA'!AC$117=1,VA12&gt;0),300,0)-IF(AND($U12=1,'calcA'!AD$117=1,EC12=0),300,0))),1000000000))</f>
        <v/>
      </c>
      <c r="PG12">
        <f>IF($B12=0,1000000000,IF(INDEX('calcA'!$D$60:$EQ$99,$B12,28)*IF($W12=1,EC12+AAR12,EC12)=1,IF(AND($E12=2,IF($W12=1,AGG12,JR12)=0),1000000000,IF($V12=1,INDEX('calcA'!$D$130:$EQ$169,$B12,28)+IF(AND($E12=1,JR12=0),25,0),INDEX('calcA'!AE$110:AE$114,$F12+1)+IF(AND($E12=1,JR12=0),1000,0)+IF($H12=1,INDEX('calcA'!$D$180:$EQ$219,$B12,28)*500,0)-IF(AND('calcA'!AD$117=1,VB12&gt;0),300,0)-IF(AND($U12=1,'calcA'!AE$117=1,ED12=0),300,0))),1000000000))</f>
        <v/>
      </c>
      <c r="PH12">
        <f>IF($B12=0,1000000000,IF(INDEX('calcA'!$D$60:$EQ$99,$B12,29)*IF($W12=1,ED12+AAS12,ED12)=1,IF(AND($E12=2,IF($W12=1,AGH12,JS12)=0),1000000000,IF($V12=1,INDEX('calcA'!$D$130:$EQ$169,$B12,29)+IF(AND($E12=1,JS12=0),25,0),INDEX('calcA'!AF$110:AF$114,$F12+1)+IF(AND($E12=1,JS12=0),1000,0)+IF($H12=1,INDEX('calcA'!$D$180:$EQ$219,$B12,29)*500,0)-IF(AND('calcA'!AE$117=1,VC12&gt;0),300,0)-IF(AND($U12=1,'calcA'!AF$117=1,EE12=0),300,0))),1000000000))</f>
        <v/>
      </c>
      <c r="PI12">
        <f>IF($B12=0,1000000000,IF(INDEX('calcA'!$D$60:$EQ$99,$B12,30)*IF($W12=1,EE12+AAT12,EE12)=1,IF(AND($E12=2,IF($W12=1,AGI12,JT12)=0),1000000000,IF($V12=1,INDEX('calcA'!$D$130:$EQ$169,$B12,30)+IF(AND($E12=1,JT12=0),25,0),INDEX('calcA'!AG$110:AG$114,$F12+1)+IF(AND($E12=1,JT12=0),1000,0)+IF($H12=1,INDEX('calcA'!$D$180:$EQ$219,$B12,30)*500,0)-IF(AND('calcA'!AF$117=1,VD12&gt;0),300,0)-IF(AND($U12=1,'calcA'!AG$117=1,EF12=0),300,0))),1000000000))</f>
        <v/>
      </c>
      <c r="PJ12">
        <f>IF($B12=0,1000000000,IF(INDEX('calcA'!$D$60:$EQ$99,$B12,31)*IF($W12=1,EF12+AAU12,EF12)=1,IF(AND($E12=2,IF($W12=1,AGJ12,JU12)=0),1000000000,IF($V12=1,INDEX('calcA'!$D$130:$EQ$169,$B12,31)+IF(AND($E12=1,JU12=0),25,0),INDEX('calcA'!AH$110:AH$114,$F12+1)+IF(AND($E12=1,JU12=0),1000,0)+IF($H12=1,INDEX('calcA'!$D$180:$EQ$219,$B12,31)*500,0)-IF(AND('calcA'!AG$117=1,VE12&gt;0),300,0)-IF(AND($U12=1,'calcA'!AH$117=1,EG12=0),300,0))),1000000000))</f>
        <v/>
      </c>
      <c r="PK12">
        <f>IF($B12=0,1000000000,IF(INDEX('calcA'!$D$60:$EQ$99,$B12,32)*IF($W12=1,EG12+AAV12,EG12)=1,IF(AND($E12=2,IF($W12=1,AGK12,JV12)=0),1000000000,IF($V12=1,INDEX('calcA'!$D$130:$EQ$169,$B12,32)+IF(AND($E12=1,JV12=0),25,0),INDEX('calcA'!AI$110:AI$114,$F12+1)+IF(AND($E12=1,JV12=0),1000,0)+IF($H12=1,INDEX('calcA'!$D$180:$EQ$219,$B12,32)*500,0)-IF(AND('calcA'!AH$117=1,VF12&gt;0),300,0)-IF(AND($U12=1,'calcA'!AI$117=1,EH12=0),300,0))),1000000000))</f>
        <v/>
      </c>
      <c r="PL12">
        <f>IF($B12=0,1000000000,IF(INDEX('calcA'!$D$60:$EQ$99,$B12,33)*IF($W12=1,EH12+AAW12,EH12)=1,IF(AND($E12=2,IF($W12=1,AGL12,JW12)=0),1000000000,IF($V12=1,INDEX('calcA'!$D$130:$EQ$169,$B12,33)+IF(AND($E12=1,JW12=0),25,0),INDEX('calcA'!AJ$110:AJ$114,$F12+1)+IF(AND($E12=1,JW12=0),1000,0)+IF($H12=1,INDEX('calcA'!$D$180:$EQ$219,$B12,33)*500,0)-IF(AND('calcA'!AI$117=1,VG12&gt;0),300,0)-IF(AND($U12=1,'calcA'!AJ$117=1,EI12=0),300,0))),1000000000))</f>
        <v/>
      </c>
      <c r="PM12">
        <f>IF($B12=0,1000000000,IF(INDEX('calcA'!$D$60:$EQ$99,$B12,34)*IF($W12=1,EI12+AAX12,EI12)=1,IF(AND($E12=2,IF($W12=1,AGM12,JX12)=0),1000000000,IF($V12=1,INDEX('calcA'!$D$130:$EQ$169,$B12,34)+IF(AND($E12=1,JX12=0),25,0),INDEX('calcA'!AK$110:AK$114,$F12+1)+IF(AND($E12=1,JX12=0),1000,0)+IF($H12=1,INDEX('calcA'!$D$180:$EQ$219,$B12,34)*500,0)-IF(AND('calcA'!AJ$117=1,VH12&gt;0),300,0)-IF(AND($U12=1,'calcA'!AK$117=1,EJ12=0),300,0))),1000000000))</f>
        <v/>
      </c>
      <c r="PN12">
        <f>IF($B12=0,1000000000,IF(INDEX('calcA'!$D$60:$EQ$99,$B12,35)*IF($W12=1,EJ12+AAY12,EJ12)=1,IF(AND($E12=2,IF($W12=1,AGN12,JY12)=0),1000000000,IF($V12=1,INDEX('calcA'!$D$130:$EQ$169,$B12,35)+IF(AND($E12=1,JY12=0),25,0),INDEX('calcA'!AL$110:AL$114,$F12+1)+IF(AND($E12=1,JY12=0),1000,0)+IF($H12=1,INDEX('calcA'!$D$180:$EQ$219,$B12,35)*500,0)-IF(AND('calcA'!AK$117=1,VI12&gt;0),300,0)-IF(AND($U12=1,'calcA'!AL$117=1,EK12=0),300,0))),1000000000))</f>
        <v/>
      </c>
      <c r="PO12">
        <f>IF($B12=0,1000000000,IF(INDEX('calcA'!$D$60:$EQ$99,$B12,36)*IF($W12=1,EK12+AAZ12,EK12)=1,IF(AND($E12=2,IF($W12=1,AGO12,JZ12)=0),1000000000,IF($V12=1,INDEX('calcA'!$D$130:$EQ$169,$B12,36)+IF(AND($E12=1,JZ12=0),25,0),INDEX('calcA'!AM$110:AM$114,$F12+1)+IF(AND($E12=1,JZ12=0),1000,0)+IF($H12=1,INDEX('calcA'!$D$180:$EQ$219,$B12,36)*500,0)-IF(AND('calcA'!AL$117=1,VJ12&gt;0),300,0)-IF(AND($U12=1,'calcA'!AM$117=1,EL12=0),300,0))),1000000000))</f>
        <v/>
      </c>
      <c r="PP12">
        <f>IF($B12=0,1000000000,IF(INDEX('calcA'!$D$60:$EQ$99,$B12,37)*IF($W12=1,EL12+ABA12,EL12)=1,IF(AND($E12=2,IF($W12=1,AGP12,KA12)=0),1000000000,IF($V12=1,INDEX('calcA'!$D$130:$EQ$169,$B12,37)+IF(AND($E12=1,KA12=0),25,0),INDEX('calcA'!AN$110:AN$114,$F12+1)+IF(AND($E12=1,KA12=0),1000,0)+IF($H12=1,INDEX('calcA'!$D$180:$EQ$219,$B12,37)*500,0)-IF(AND('calcA'!AM$117=1,VK12&gt;0),300,0)-IF(AND($U12=1,'calcA'!AN$117=1,EM12=0),300,0))),1000000000))</f>
        <v/>
      </c>
      <c r="PQ12">
        <f>IF($B12=0,1000000000,IF(INDEX('calcA'!$D$60:$EQ$99,$B12,38)*IF($W12=1,EM12+ABB12,EM12)=1,IF(AND($E12=2,IF($W12=1,AGQ12,KB12)=0),1000000000,IF($V12=1,INDEX('calcA'!$D$130:$EQ$169,$B12,38)+IF(AND($E12=1,KB12=0),25,0),INDEX('calcA'!AO$110:AO$114,$F12+1)+IF(AND($E12=1,KB12=0),1000,0)+IF($H12=1,INDEX('calcA'!$D$180:$EQ$219,$B12,38)*500,0)-IF(AND('calcA'!AN$117=1,VL12&gt;0),300,0)-IF(AND($U12=1,'calcA'!AO$117=1,EN12=0),300,0))),1000000000))</f>
        <v/>
      </c>
      <c r="PR12">
        <f>IF($B12=0,1000000000,IF(INDEX('calcA'!$D$60:$EQ$99,$B12,39)*IF($W12=1,EN12+ABC12,EN12)=1,IF(AND($E12=2,IF($W12=1,AGR12,KC12)=0),1000000000,IF($V12=1,INDEX('calcA'!$D$130:$EQ$169,$B12,39)+IF(AND($E12=1,KC12=0),25,0),INDEX('calcA'!AP$110:AP$114,$F12+1)+IF(AND($E12=1,KC12=0),1000,0)+IF($H12=1,INDEX('calcA'!$D$180:$EQ$219,$B12,39)*500,0)-IF(AND('calcA'!AO$117=1,VM12&gt;0),300,0)-IF(AND($U12=1,'calcA'!AP$117=1,EO12=0),300,0))),1000000000))</f>
        <v/>
      </c>
      <c r="PS12">
        <f>IF($B12=0,1000000000,IF(INDEX('calcA'!$D$60:$EQ$99,$B12,40)*IF($W12=1,EO12+ABD12,EO12)=1,IF(AND($E12=2,IF($W12=1,AGS12,KD12)=0),1000000000,IF($V12=1,INDEX('calcA'!$D$130:$EQ$169,$B12,40)+IF(AND($E12=1,KD12=0),25,0),INDEX('calcA'!AQ$110:AQ$114,$F12+1)+IF(AND($E12=1,KD12=0),1000,0)+IF($H12=1,INDEX('calcA'!$D$180:$EQ$219,$B12,40)*500,0)-IF(AND('calcA'!AP$117=1,VN12&gt;0),300,0)-IF(AND($U12=1,'calcA'!AQ$117=1,EP12=0),300,0))),1000000000))</f>
        <v/>
      </c>
      <c r="PT12">
        <f>IF($B12=0,1000000000,IF(INDEX('calcA'!$D$60:$EQ$99,$B12,41)*IF($W12=1,EP12+ABE12,EP12)=1,IF(AND($E12=2,IF($W12=1,AGT12,KE12)=0),1000000000,IF($V12=1,INDEX('calcA'!$D$130:$EQ$169,$B12,41)+IF(AND($E12=1,KE12=0),25,0),INDEX('calcA'!AR$110:AR$114,$F12+1)+IF(AND($E12=1,KE12=0),1000,0)+IF($H12=1,INDEX('calcA'!$D$180:$EQ$219,$B12,41)*500,0)-IF(AND('calcA'!AQ$117=1,VO12&gt;0),300,0)-IF(AND($U12=1,'calcA'!AR$117=1,EQ12=0),300,0))),1000000000))</f>
        <v/>
      </c>
      <c r="PU12">
        <f>IF($B12=0,1000000000,IF(INDEX('calcA'!$D$60:$EQ$99,$B12,42)*IF($W12=1,EQ12+ABF12,EQ12)=1,IF(AND($E12=2,IF($W12=1,AGU12,KF12)=0),1000000000,IF($V12=1,INDEX('calcA'!$D$130:$EQ$169,$B12,42)+IF(AND($E12=1,KF12=0),25,0),INDEX('calcA'!AS$110:AS$114,$F12+1)+IF(AND($E12=1,KF12=0),1000,0)+IF($H12=1,INDEX('calcA'!$D$180:$EQ$219,$B12,42)*500,0)-IF(AND('calcA'!AR$117=1,VP12&gt;0),300,0)-IF(AND($U12=1,'calcA'!AS$117=1,ER12=0),300,0))),1000000000))</f>
        <v/>
      </c>
      <c r="PV12">
        <f>IF($B12=0,1000000000,IF(INDEX('calcA'!$D$60:$EQ$99,$B12,43)*IF($W12=1,ER12+ABG12,ER12)=1,IF(AND($E12=2,IF($W12=1,AGV12,KG12)=0),1000000000,IF($V12=1,INDEX('calcA'!$D$130:$EQ$169,$B12,43)+IF(AND($E12=1,KG12=0),25,0),INDEX('calcA'!AT$110:AT$114,$F12+1)+IF(AND($E12=1,KG12=0),1000,0)+IF($H12=1,INDEX('calcA'!$D$180:$EQ$219,$B12,43)*500,0)-IF(AND('calcA'!AS$117=1,VQ12&gt;0),300,0)-IF(AND($U12=1,'calcA'!AT$117=1,ES12=0),300,0))),1000000000))</f>
        <v/>
      </c>
      <c r="PW12">
        <f>IF($B12=0,1000000000,IF(INDEX('calcA'!$D$60:$EQ$99,$B12,44)*IF($W12=1,ES12+ABH12,ES12)=1,IF(AND($E12=2,IF($W12=1,AGW12,KH12)=0),1000000000,IF($V12=1,INDEX('calcA'!$D$130:$EQ$169,$B12,44)+IF(AND($E12=1,KH12=0),25,0),INDEX('calcA'!AU$110:AU$114,$F12+1)+IF(AND($E12=1,KH12=0),1000,0)+IF($H12=1,INDEX('calcA'!$D$180:$EQ$219,$B12,44)*500,0)-IF(AND('calcA'!AT$117=1,VR12&gt;0),300,0)-IF(AND($U12=1,'calcA'!AU$117=1,ET12=0),300,0))),1000000000))</f>
        <v/>
      </c>
      <c r="PX12">
        <f>IF($B12=0,1000000000,IF(INDEX('calcA'!$D$60:$EQ$99,$B12,45)*IF($W12=1,ET12+ABI12,ET12)=1,IF(AND($E12=2,IF($W12=1,AGX12,KI12)=0),1000000000,IF($V12=1,INDEX('calcA'!$D$130:$EQ$169,$B12,45)+IF(AND($E12=1,KI12=0),25,0),INDEX('calcA'!AV$110:AV$114,$F12+1)+IF(AND($E12=1,KI12=0),1000,0)+IF($H12=1,INDEX('calcA'!$D$180:$EQ$219,$B12,45)*500,0)-IF(AND('calcA'!AU$117=1,VS12&gt;0),300,0)-IF(AND($U12=1,'calcA'!AV$117=1,EU12=0),300,0))),1000000000))</f>
        <v/>
      </c>
      <c r="PY12">
        <f>IF($B12=0,1000000000,IF(INDEX('calcA'!$D$60:$EQ$99,$B12,46)*IF($W12=1,EU12+ABJ12,EU12)=1,IF(AND($E12=2,IF($W12=1,AGY12,KJ12)=0),1000000000,IF($V12=1,INDEX('calcA'!$D$130:$EQ$169,$B12,46)+IF(AND($E12=1,KJ12=0),25,0),INDEX('calcA'!AW$110:AW$114,$F12+1)+IF(AND($E12=1,KJ12=0),1000,0)+IF($H12=1,INDEX('calcA'!$D$180:$EQ$219,$B12,46)*500,0)-IF(AND('calcA'!AV$117=1,VT12&gt;0),300,0)-IF(AND($U12=1,'calcA'!AW$117=1,EV12=0),300,0))),1000000000))</f>
        <v/>
      </c>
      <c r="PZ12">
        <f>IF($B12=0,1000000000,IF(INDEX('calcA'!$D$60:$EQ$99,$B12,47)*IF($W12=1,EV12+ABK12,EV12)=1,IF(AND($E12=2,IF($W12=1,AGZ12,KK12)=0),1000000000,IF($V12=1,INDEX('calcA'!$D$130:$EQ$169,$B12,47)+IF(AND($E12=1,KK12=0),25,0),INDEX('calcA'!AX$110:AX$114,$F12+1)+IF(AND($E12=1,KK12=0),1000,0)+IF($H12=1,INDEX('calcA'!$D$180:$EQ$219,$B12,47)*500,0)-IF(AND('calcA'!AW$117=1,VU12&gt;0),300,0)-IF(AND($U12=1,'calcA'!AX$117=1,EW12=0),300,0))),1000000000))</f>
        <v/>
      </c>
      <c r="QA12">
        <f>IF($B12=0,1000000000,IF(INDEX('calcA'!$D$60:$EQ$99,$B12,48)*IF($W12=1,EW12+ABL12,EW12)=1,IF(AND($E12=2,IF($W12=1,AHA12,KL12)=0),1000000000,IF($V12=1,INDEX('calcA'!$D$130:$EQ$169,$B12,48)+IF(AND($E12=1,KL12=0),25,0),INDEX('calcA'!AY$110:AY$114,$F12+1)+IF(AND($E12=1,KL12=0),1000,0)+IF($H12=1,INDEX('calcA'!$D$180:$EQ$219,$B12,48)*500,0)-IF(AND('calcA'!AX$117=1,VV12&gt;0),300,0))),1000000000))</f>
        <v/>
      </c>
      <c r="QB12">
        <f>IF($B12=0,1000000000,IF(INDEX('calcA'!$D$60:$EQ$99,$B12,49)*IF($W12=1,EX12+ABM12,EX12)=1,IF(AND($E12=2,IF($W12=1,AHB12,KM12)=0),1000000000,IF($V12=1,INDEX('calcA'!$D$130:$EQ$169,$B12,49)+IF(AND($E12=1,KM12=0),25,0),INDEX('calcA'!AZ$110:AZ$114,$F12+1)+IF(AND($E12=1,KM12=0),1000,0)+IF($H12=1,INDEX('calcA'!$D$180:$EQ$219,$B12,49)*500,0)-IF(AND($U12=1,'calcA'!AZ$117=1,EY12=0),300,0))),1000000000))</f>
        <v/>
      </c>
      <c r="QC12">
        <f>IF($B12=0,1000000000,IF(INDEX('calcA'!$D$60:$EQ$99,$B12,50)*IF($W12=1,EY12+ABN12,EY12)=1,IF(AND($E12=2,IF($W12=1,AHC12,KN12)=0),1000000000,IF($V12=1,INDEX('calcA'!$D$130:$EQ$169,$B12,50)+IF(AND($E12=1,KN12=0),25,0),INDEX('calcA'!BA$110:BA$114,$F12+1)+IF(AND($E12=1,KN12=0),1000,0)+IF($H12=1,INDEX('calcA'!$D$180:$EQ$219,$B12,50)*500,0)-IF(AND('calcA'!AZ$117=1,VX12&gt;0),300,0)-IF(AND($U12=1,'calcA'!BA$117=1,EZ12=0),300,0))),1000000000))</f>
        <v/>
      </c>
      <c r="QD12">
        <f>IF($B12=0,1000000000,IF(INDEX('calcA'!$D$60:$EQ$99,$B12,51)*IF($W12=1,EZ12+ABO12,EZ12)=1,IF(AND($E12=2,IF($W12=1,AHD12,KO12)=0),1000000000,IF($V12=1,INDEX('calcA'!$D$130:$EQ$169,$B12,51)+IF(AND($E12=1,KO12=0),25,0),INDEX('calcA'!BB$110:BB$114,$F12+1)+IF(AND($E12=1,KO12=0),1000,0)+IF($H12=1,INDEX('calcA'!$D$180:$EQ$219,$B12,51)*500,0)-IF(AND('calcA'!BA$117=1,VY12&gt;0),300,0)-IF(AND($U12=1,'calcA'!BB$117=1,FA12=0),300,0))),1000000000))</f>
        <v/>
      </c>
      <c r="QE12">
        <f>IF($B12=0,1000000000,IF(INDEX('calcA'!$D$60:$EQ$99,$B12,52)*IF($W12=1,FA12+ABP12,FA12)=1,IF(AND($E12=2,IF($W12=1,AHE12,KP12)=0),1000000000,IF($V12=1,INDEX('calcA'!$D$130:$EQ$169,$B12,52)+IF(AND($E12=1,KP12=0),25,0),INDEX('calcA'!BC$110:BC$114,$F12+1)+IF(AND($E12=1,KP12=0),1000,0)+IF($H12=1,INDEX('calcA'!$D$180:$EQ$219,$B12,52)*500,0)-IF(AND('calcA'!BB$117=1,VZ12&gt;0),300,0)-IF(AND($U12=1,'calcA'!BC$117=1,FB12=0),300,0))),1000000000))</f>
        <v/>
      </c>
      <c r="QF12">
        <f>IF($B12=0,1000000000,IF(INDEX('calcA'!$D$60:$EQ$99,$B12,53)*IF($W12=1,FB12+ABQ12,FB12)=1,IF(AND($E12=2,IF($W12=1,AHF12,KQ12)=0),1000000000,IF($V12=1,INDEX('calcA'!$D$130:$EQ$169,$B12,53)+IF(AND($E12=1,KQ12=0),25,0),INDEX('calcA'!BD$110:BD$114,$F12+1)+IF(AND($E12=1,KQ12=0),1000,0)+IF($H12=1,INDEX('calcA'!$D$180:$EQ$219,$B12,53)*500,0)-IF(AND('calcA'!BC$117=1,WA12&gt;0),300,0)-IF(AND($U12=1,'calcA'!BD$117=1,FC12=0),300,0))),1000000000))</f>
        <v/>
      </c>
      <c r="QG12">
        <f>IF($B12=0,1000000000,IF(INDEX('calcA'!$D$60:$EQ$99,$B12,54)*IF($W12=1,FC12+ABR12,FC12)=1,IF(AND($E12=2,IF($W12=1,AHG12,KR12)=0),1000000000,IF($V12=1,INDEX('calcA'!$D$130:$EQ$169,$B12,54)+IF(AND($E12=1,KR12=0),25,0),INDEX('calcA'!BE$110:BE$114,$F12+1)+IF(AND($E12=1,KR12=0),1000,0)+IF($H12=1,INDEX('calcA'!$D$180:$EQ$219,$B12,54)*500,0)-IF(AND('calcA'!BD$117=1,WB12&gt;0),300,0)-IF(AND($U12=1,'calcA'!BE$117=1,FD12=0),300,0))),1000000000))</f>
        <v/>
      </c>
      <c r="QH12">
        <f>IF($B12=0,1000000000,IF(INDEX('calcA'!$D$60:$EQ$99,$B12,55)*IF($W12=1,FD12+ABS12,FD12)=1,IF(AND($E12=2,IF($W12=1,AHH12,KS12)=0),1000000000,IF($V12=1,INDEX('calcA'!$D$130:$EQ$169,$B12,55)+IF(AND($E12=1,KS12=0),25,0),INDEX('calcA'!BF$110:BF$114,$F12+1)+IF(AND($E12=1,KS12=0),1000,0)+IF($H12=1,INDEX('calcA'!$D$180:$EQ$219,$B12,55)*500,0)-IF(AND('calcA'!BE$117=1,WC12&gt;0),300,0)-IF(AND($U12=1,'calcA'!BF$117=1,FE12=0),300,0))),1000000000))</f>
        <v/>
      </c>
      <c r="QI12">
        <f>IF($B12=0,1000000000,IF(INDEX('calcA'!$D$60:$EQ$99,$B12,56)*IF($W12=1,FE12+ABT12,FE12)=1,IF(AND($E12=2,IF($W12=1,AHI12,KT12)=0),1000000000,IF($V12=1,INDEX('calcA'!$D$130:$EQ$169,$B12,56)+IF(AND($E12=1,KT12=0),25,0),INDEX('calcA'!BG$110:BG$114,$F12+1)+IF(AND($E12=1,KT12=0),1000,0)+IF($H12=1,INDEX('calcA'!$D$180:$EQ$219,$B12,56)*500,0)-IF(AND('calcA'!BF$117=1,WD12&gt;0),300,0)-IF(AND($U12=1,'calcA'!BG$117=1,FF12=0),300,0))),1000000000))</f>
        <v/>
      </c>
      <c r="QJ12">
        <f>IF($B12=0,1000000000,IF(INDEX('calcA'!$D$60:$EQ$99,$B12,57)*IF($W12=1,FF12+ABU12,FF12)=1,IF(AND($E12=2,IF($W12=1,AHJ12,KU12)=0),1000000000,IF($V12=1,INDEX('calcA'!$D$130:$EQ$169,$B12,57)+IF(AND($E12=1,KU12=0),25,0),INDEX('calcA'!BH$110:BH$114,$F12+1)+IF(AND($E12=1,KU12=0),1000,0)+IF($H12=1,INDEX('calcA'!$D$180:$EQ$219,$B12,57)*500,0)-IF(AND('calcA'!BG$117=1,WE12&gt;0),300,0)-IF(AND($U12=1,'calcA'!BH$117=1,FG12=0),300,0))),1000000000))</f>
        <v/>
      </c>
      <c r="QK12">
        <f>IF($B12=0,1000000000,IF(INDEX('calcA'!$D$60:$EQ$99,$B12,58)*IF($W12=1,FG12+ABV12,FG12)=1,IF(AND($E12=2,IF($W12=1,AHK12,KV12)=0),1000000000,IF($V12=1,INDEX('calcA'!$D$130:$EQ$169,$B12,58)+IF(AND($E12=1,KV12=0),25,0),INDEX('calcA'!BI$110:BI$114,$F12+1)+IF(AND($E12=1,KV12=0),1000,0)+IF($H12=1,INDEX('calcA'!$D$180:$EQ$219,$B12,58)*500,0)-IF(AND('calcA'!BH$117=1,WF12&gt;0),300,0)-IF(AND($U12=1,'calcA'!BI$117=1,FH12=0),300,0))),1000000000))</f>
        <v/>
      </c>
      <c r="QL12">
        <f>IF($B12=0,1000000000,IF(INDEX('calcA'!$D$60:$EQ$99,$B12,59)*IF($W12=1,FH12+ABW12,FH12)=1,IF(AND($E12=2,IF($W12=1,AHL12,KW12)=0),1000000000,IF($V12=1,INDEX('calcA'!$D$130:$EQ$169,$B12,59)+IF(AND($E12=1,KW12=0),25,0),INDEX('calcA'!BJ$110:BJ$114,$F12+1)+IF(AND($E12=1,KW12=0),1000,0)+IF($H12=1,INDEX('calcA'!$D$180:$EQ$219,$B12,59)*500,0)-IF(AND('calcA'!BI$117=1,WG12&gt;0),300,0)-IF(AND($U12=1,'calcA'!BJ$117=1,FI12=0),300,0))),1000000000))</f>
        <v/>
      </c>
      <c r="QM12">
        <f>IF($B12=0,1000000000,IF(INDEX('calcA'!$D$60:$EQ$99,$B12,60)*IF($W12=1,FI12+ABX12,FI12)=1,IF(AND($E12=2,IF($W12=1,AHM12,KX12)=0),1000000000,IF($V12=1,INDEX('calcA'!$D$130:$EQ$169,$B12,60)+IF(AND($E12=1,KX12=0),25,0),INDEX('calcA'!BK$110:BK$114,$F12+1)+IF(AND($E12=1,KX12=0),1000,0)+IF($H12=1,INDEX('calcA'!$D$180:$EQ$219,$B12,60)*500,0)-IF(AND('calcA'!BJ$117=1,WH12&gt;0),300,0)-IF(AND($U12=1,'calcA'!BK$117=1,FJ12=0),300,0))),1000000000))</f>
        <v/>
      </c>
      <c r="QN12">
        <f>IF($B12=0,1000000000,IF(INDEX('calcA'!$D$60:$EQ$99,$B12,61)*IF($W12=1,FJ12+ABY12,FJ12)=1,IF(AND($E12=2,IF($W12=1,AHN12,KY12)=0),1000000000,IF($V12=1,INDEX('calcA'!$D$130:$EQ$169,$B12,61)+IF(AND($E12=1,KY12=0),25,0),INDEX('calcA'!BL$110:BL$114,$F12+1)+IF(AND($E12=1,KY12=0),1000,0)+IF($H12=1,INDEX('calcA'!$D$180:$EQ$219,$B12,61)*500,0)-IF(AND('calcA'!BK$117=1,WI12&gt;0),300,0)-IF(AND($U12=1,'calcA'!BL$117=1,FK12=0),300,0))),1000000000))</f>
        <v/>
      </c>
      <c r="QO12">
        <f>IF($B12=0,1000000000,IF(INDEX('calcA'!$D$60:$EQ$99,$B12,62)*IF($W12=1,FK12+ABZ12,FK12)=1,IF(AND($E12=2,IF($W12=1,AHO12,KZ12)=0),1000000000,IF($V12=1,INDEX('calcA'!$D$130:$EQ$169,$B12,62)+IF(AND($E12=1,KZ12=0),25,0),INDEX('calcA'!BM$110:BM$114,$F12+1)+IF(AND($E12=1,KZ12=0),1000,0)+IF($H12=1,INDEX('calcA'!$D$180:$EQ$219,$B12,62)*500,0)-IF(AND('calcA'!BL$117=1,WJ12&gt;0),300,0)-IF(AND($U12=1,'calcA'!BM$117=1,FL12=0),300,0))),1000000000))</f>
        <v/>
      </c>
      <c r="QP12">
        <f>IF($B12=0,1000000000,IF(INDEX('calcA'!$D$60:$EQ$99,$B12,63)*IF($W12=1,FL12+ACA12,FL12)=1,IF(AND($E12=2,IF($W12=1,AHP12,LA12)=0),1000000000,IF($V12=1,INDEX('calcA'!$D$130:$EQ$169,$B12,63)+IF(AND($E12=1,LA12=0),25,0),INDEX('calcA'!BN$110:BN$114,$F12+1)+IF(AND($E12=1,LA12=0),1000,0)+IF($H12=1,INDEX('calcA'!$D$180:$EQ$219,$B12,63)*500,0)-IF(AND('calcA'!BM$117=1,WK12&gt;0),300,0)-IF(AND($U12=1,'calcA'!BN$117=1,FM12=0),300,0))),1000000000))</f>
        <v/>
      </c>
      <c r="QQ12">
        <f>IF($B12=0,1000000000,IF(INDEX('calcA'!$D$60:$EQ$99,$B12,64)*IF($W12=1,FM12+ACB12,FM12)=1,IF(AND($E12=2,IF($W12=1,AHQ12,LB12)=0),1000000000,IF($V12=1,INDEX('calcA'!$D$130:$EQ$169,$B12,64)+IF(AND($E12=1,LB12=0),25,0),INDEX('calcA'!BO$110:BO$114,$F12+1)+IF(AND($E12=1,LB12=0),1000,0)+IF($H12=1,INDEX('calcA'!$D$180:$EQ$219,$B12,64)*500,0)-IF(AND('calcA'!BN$117=1,WL12&gt;0),300,0)-IF(AND($U12=1,'calcA'!BO$117=1,FN12=0),300,0))),1000000000))</f>
        <v/>
      </c>
      <c r="QR12">
        <f>IF($B12=0,1000000000,IF(INDEX('calcA'!$D$60:$EQ$99,$B12,65)*IF($W12=1,FN12+ACC12,FN12)=1,IF(AND($E12=2,IF($W12=1,AHR12,LC12)=0),1000000000,IF($V12=1,INDEX('calcA'!$D$130:$EQ$169,$B12,65)+IF(AND($E12=1,LC12=0),25,0),INDEX('calcA'!BP$110:BP$114,$F12+1)+IF(AND($E12=1,LC12=0),1000,0)+IF($H12=1,INDEX('calcA'!$D$180:$EQ$219,$B12,65)*500,0)-IF(AND('calcA'!BO$117=1,WM12&gt;0),300,0)-IF(AND($U12=1,'calcA'!BP$117=1,FO12=0),300,0))),1000000000))</f>
        <v/>
      </c>
      <c r="QS12">
        <f>IF($B12=0,1000000000,IF(INDEX('calcA'!$D$60:$EQ$99,$B12,66)*IF($W12=1,FO12+ACD12,FO12)=1,IF(AND($E12=2,IF($W12=1,AHS12,LD12)=0),1000000000,IF($V12=1,INDEX('calcA'!$D$130:$EQ$169,$B12,66)+IF(AND($E12=1,LD12=0),25,0),INDEX('calcA'!BQ$110:BQ$114,$F12+1)+IF(AND($E12=1,LD12=0),1000,0)+IF($H12=1,INDEX('calcA'!$D$180:$EQ$219,$B12,66)*500,0)-IF(AND('calcA'!BP$117=1,WN12&gt;0),300,0)-IF(AND($U12=1,'calcA'!BQ$117=1,FP12=0),300,0))),1000000000))</f>
        <v/>
      </c>
      <c r="QT12">
        <f>IF($B12=0,1000000000,IF(INDEX('calcA'!$D$60:$EQ$99,$B12,67)*IF($W12=1,FP12+ACE12,FP12)=1,IF(AND($E12=2,IF($W12=1,AHT12,LE12)=0),1000000000,IF($V12=1,INDEX('calcA'!$D$130:$EQ$169,$B12,67)+IF(AND($E12=1,LE12=0),25,0),INDEX('calcA'!BR$110:BR$114,$F12+1)+IF(AND($E12=1,LE12=0),1000,0)+IF($H12=1,INDEX('calcA'!$D$180:$EQ$219,$B12,67)*500,0)-IF(AND('calcA'!BQ$117=1,WO12&gt;0),300,0)-IF(AND($U12=1,'calcA'!BR$117=1,FQ12=0),300,0))),1000000000))</f>
        <v/>
      </c>
      <c r="QU12">
        <f>IF($B12=0,1000000000,IF(INDEX('calcA'!$D$60:$EQ$99,$B12,68)*IF($W12=1,FQ12+ACF12,FQ12)=1,IF(AND($E12=2,IF($W12=1,AHU12,LF12)=0),1000000000,IF($V12=1,INDEX('calcA'!$D$130:$EQ$169,$B12,68)+IF(AND($E12=1,LF12=0),25,0),INDEX('calcA'!BS$110:BS$114,$F12+1)+IF(AND($E12=1,LF12=0),1000,0)+IF($H12=1,INDEX('calcA'!$D$180:$EQ$219,$B12,68)*500,0)-IF(AND('calcA'!BR$117=1,WP12&gt;0),300,0)-IF(AND($U12=1,'calcA'!BS$117=1,FR12=0),300,0))),1000000000))</f>
        <v/>
      </c>
      <c r="QV12">
        <f>IF($B12=0,1000000000,IF(INDEX('calcA'!$D$60:$EQ$99,$B12,69)*IF($W12=1,FR12+ACG12,FR12)=1,IF(AND($E12=2,IF($W12=1,AHV12,LG12)=0),1000000000,IF($V12=1,INDEX('calcA'!$D$130:$EQ$169,$B12,69)+IF(AND($E12=1,LG12=0),25,0),INDEX('calcA'!BT$110:BT$114,$F12+1)+IF(AND($E12=1,LG12=0),1000,0)+IF($H12=1,INDEX('calcA'!$D$180:$EQ$219,$B12,69)*500,0)-IF(AND('calcA'!BS$117=1,WQ12&gt;0),300,0)-IF(AND($U12=1,'calcA'!BT$117=1,FS12=0),300,0))),1000000000))</f>
        <v/>
      </c>
      <c r="QW12">
        <f>IF($B12=0,1000000000,IF(INDEX('calcA'!$D$60:$EQ$99,$B12,70)*IF($W12=1,FS12+ACH12,FS12)=1,IF(AND($E12=2,IF($W12=1,AHW12,LH12)=0),1000000000,IF($V12=1,INDEX('calcA'!$D$130:$EQ$169,$B12,70)+IF(AND($E12=1,LH12=0),25,0),INDEX('calcA'!BU$110:BU$114,$F12+1)+IF(AND($E12=1,LH12=0),1000,0)+IF($H12=1,INDEX('calcA'!$D$180:$EQ$219,$B12,70)*500,0)-IF(AND('calcA'!BT$117=1,WR12&gt;0),300,0)-IF(AND($U12=1,'calcA'!BU$117=1,FT12=0),300,0))),1000000000))</f>
        <v/>
      </c>
      <c r="QX12">
        <f>IF($B12=0,1000000000,IF(INDEX('calcA'!$D$60:$EQ$99,$B12,71)*IF($W12=1,FT12+ACI12,FT12)=1,IF(AND($E12=2,IF($W12=1,AHX12,LI12)=0),1000000000,IF($V12=1,INDEX('calcA'!$D$130:$EQ$169,$B12,71)+IF(AND($E12=1,LI12=0),25,0),INDEX('calcA'!BV$110:BV$114,$F12+1)+IF(AND($E12=1,LI12=0),1000,0)+IF($H12=1,INDEX('calcA'!$D$180:$EQ$219,$B12,71)*500,0)-IF(AND('calcA'!BU$117=1,WS12&gt;0),300,0)-IF(AND($U12=1,'calcA'!BV$117=1,FU12=0),300,0))),1000000000))</f>
        <v/>
      </c>
      <c r="QY12">
        <f>IF($B12=0,1000000000,IF(INDEX('calcA'!$D$60:$EQ$99,$B12,72)*IF($W12=1,FU12+ACJ12,FU12)=1,IF(AND($E12=2,IF($W12=1,AHY12,LJ12)=0),1000000000,IF($V12=1,INDEX('calcA'!$D$130:$EQ$169,$B12,72)+IF(AND($E12=1,LJ12=0),25,0),INDEX('calcA'!BW$110:BW$114,$F12+1)+IF(AND($E12=1,LJ12=0),1000,0)+IF($H12=1,INDEX('calcA'!$D$180:$EQ$219,$B12,72)*500,0)-IF(AND('calcA'!BV$117=1,WT12&gt;0),300,0))),1000000000))</f>
        <v/>
      </c>
      <c r="QZ12">
        <f>IF($B12=0,1000000000,IF(INDEX('calcA'!$D$60:$EQ$99,$B12,73)*IF($W12=1,FV12+ACK12,FV12)=1,IF(AND($E12=2,IF($W12=1,AHZ12,LK12)=0),1000000000,IF($V12=1,INDEX('calcA'!$D$130:$EQ$169,$B12,73)+IF(AND($E12=1,LK12=0),25,0),INDEX('calcA'!BX$110:BX$114,$F12+1)+IF(AND($E12=1,LK12=0),1000,0)+IF($H12=1,INDEX('calcA'!$D$180:$EQ$219,$B12,73)*500,0)-IF(AND($U12=1,'calcA'!BX$117=1,FW12=0),300,0))),1000000000))</f>
        <v/>
      </c>
      <c r="RA12">
        <f>IF($B12=0,1000000000,IF(INDEX('calcA'!$D$60:$EQ$99,$B12,74)*IF($W12=1,FW12+ACL12,FW12)=1,IF(AND($E12=2,IF($W12=1,AIA12,LL12)=0),1000000000,IF($V12=1,INDEX('calcA'!$D$130:$EQ$169,$B12,74)+IF(AND($E12=1,LL12=0),25,0),INDEX('calcA'!BY$110:BY$114,$F12+1)+IF(AND($E12=1,LL12=0),1000,0)+IF($H12=1,INDEX('calcA'!$D$180:$EQ$219,$B12,74)*500,0)-IF(AND('calcA'!BX$117=1,WV12&gt;0),300,0)-IF(AND($U12=1,'calcA'!BY$117=1,FX12=0),300,0))),1000000000))</f>
        <v/>
      </c>
      <c r="RB12">
        <f>IF($B12=0,1000000000,IF(INDEX('calcA'!$D$60:$EQ$99,$B12,75)*IF($W12=1,FX12+ACM12,FX12)=1,IF(AND($E12=2,IF($W12=1,AIB12,LM12)=0),1000000000,IF($V12=1,INDEX('calcA'!$D$130:$EQ$169,$B12,75)+IF(AND($E12=1,LM12=0),25,0),INDEX('calcA'!BZ$110:BZ$114,$F12+1)+IF(AND($E12=1,LM12=0),1000,0)+IF($H12=1,INDEX('calcA'!$D$180:$EQ$219,$B12,75)*500,0)-IF(AND('calcA'!BY$117=1,WW12&gt;0),300,0)-IF(AND($U12=1,'calcA'!BZ$117=1,FY12=0),300,0))),1000000000))</f>
        <v/>
      </c>
      <c r="RC12">
        <f>IF($B12=0,1000000000,IF(INDEX('calcA'!$D$60:$EQ$99,$B12,76)*IF($W12=1,FY12+ACN12,FY12)=1,IF(AND($E12=2,IF($W12=1,AIC12,LN12)=0),1000000000,IF($V12=1,INDEX('calcA'!$D$130:$EQ$169,$B12,76)+IF(AND($E12=1,LN12=0),25,0),INDEX('calcA'!CA$110:CA$114,$F12+1)+IF(AND($E12=1,LN12=0),1000,0)+IF($H12=1,INDEX('calcA'!$D$180:$EQ$219,$B12,76)*500,0)-IF(AND('calcA'!BZ$117=1,WX12&gt;0),300,0)-IF(AND($U12=1,'calcA'!CA$117=1,FZ12=0),300,0))),1000000000))</f>
        <v/>
      </c>
      <c r="RD12">
        <f>IF($B12=0,1000000000,IF(INDEX('calcA'!$D$60:$EQ$99,$B12,77)*IF($W12=1,FZ12+ACO12,FZ12)=1,IF(AND($E12=2,IF($W12=1,AID12,LO12)=0),1000000000,IF($V12=1,INDEX('calcA'!$D$130:$EQ$169,$B12,77)+IF(AND($E12=1,LO12=0),25,0),INDEX('calcA'!CB$110:CB$114,$F12+1)+IF(AND($E12=1,LO12=0),1000,0)+IF($H12=1,INDEX('calcA'!$D$180:$EQ$219,$B12,77)*500,0)-IF(AND('calcA'!CA$117=1,WY12&gt;0),300,0)-IF(AND($U12=1,'calcA'!CB$117=1,GA12=0),300,0))),1000000000))</f>
        <v/>
      </c>
      <c r="RE12">
        <f>IF($B12=0,1000000000,IF(INDEX('calcA'!$D$60:$EQ$99,$B12,78)*IF($W12=1,GA12+ACP12,GA12)=1,IF(AND($E12=2,IF($W12=1,AIE12,LP12)=0),1000000000,IF($V12=1,INDEX('calcA'!$D$130:$EQ$169,$B12,78)+IF(AND($E12=1,LP12=0),25,0),INDEX('calcA'!CC$110:CC$114,$F12+1)+IF(AND($E12=1,LP12=0),1000,0)+IF($H12=1,INDEX('calcA'!$D$180:$EQ$219,$B12,78)*500,0)-IF(AND('calcA'!CB$117=1,WZ12&gt;0),300,0)-IF(AND($U12=1,'calcA'!CC$117=1,GB12=0),300,0))),1000000000))</f>
        <v/>
      </c>
      <c r="RF12">
        <f>IF($B12=0,1000000000,IF(INDEX('calcA'!$D$60:$EQ$99,$B12,79)*IF($W12=1,GB12+ACQ12,GB12)=1,IF(AND($E12=2,IF($W12=1,AIF12,LQ12)=0),1000000000,IF($V12=1,INDEX('calcA'!$D$130:$EQ$169,$B12,79)+IF(AND($E12=1,LQ12=0),25,0),INDEX('calcA'!CD$110:CD$114,$F12+1)+IF(AND($E12=1,LQ12=0),1000,0)+IF($H12=1,INDEX('calcA'!$D$180:$EQ$219,$B12,79)*500,0)-IF(AND('calcA'!CC$117=1,XA12&gt;0),300,0)-IF(AND($U12=1,'calcA'!CD$117=1,GC12=0),300,0))),1000000000))</f>
        <v/>
      </c>
      <c r="RG12">
        <f>IF($B12=0,1000000000,IF(INDEX('calcA'!$D$60:$EQ$99,$B12,80)*IF($W12=1,GC12+ACR12,GC12)=1,IF(AND($E12=2,IF($W12=1,AIG12,LR12)=0),1000000000,IF($V12=1,INDEX('calcA'!$D$130:$EQ$169,$B12,80)+IF(AND($E12=1,LR12=0),25,0),INDEX('calcA'!CE$110:CE$114,$F12+1)+IF(AND($E12=1,LR12=0),1000,0)+IF($H12=1,INDEX('calcA'!$D$180:$EQ$219,$B12,80)*500,0)-IF(AND('calcA'!CD$117=1,XB12&gt;0),300,0)-IF(AND($U12=1,'calcA'!CE$117=1,GD12=0),300,0))),1000000000))</f>
        <v/>
      </c>
      <c r="RH12">
        <f>IF($B12=0,1000000000,IF(INDEX('calcA'!$D$60:$EQ$99,$B12,81)*IF($W12=1,GD12+ACS12,GD12)=1,IF(AND($E12=2,IF($W12=1,AIH12,LS12)=0),1000000000,IF($V12=1,INDEX('calcA'!$D$130:$EQ$169,$B12,81)+IF(AND($E12=1,LS12=0),25,0),INDEX('calcA'!CF$110:CF$114,$F12+1)+IF(AND($E12=1,LS12=0),1000,0)+IF($H12=1,INDEX('calcA'!$D$180:$EQ$219,$B12,81)*500,0)-IF(AND('calcA'!CE$117=1,XC12&gt;0),300,0)-IF(AND($U12=1,'calcA'!CF$117=1,GE12=0),300,0))),1000000000))</f>
        <v/>
      </c>
      <c r="RI12">
        <f>IF($B12=0,1000000000,IF(INDEX('calcA'!$D$60:$EQ$99,$B12,82)*IF($W12=1,GE12+ACT12,GE12)=1,IF(AND($E12=2,IF($W12=1,AII12,LT12)=0),1000000000,IF($V12=1,INDEX('calcA'!$D$130:$EQ$169,$B12,82)+IF(AND($E12=1,LT12=0),25,0),INDEX('calcA'!CG$110:CG$114,$F12+1)+IF(AND($E12=1,LT12=0),1000,0)+IF($H12=1,INDEX('calcA'!$D$180:$EQ$219,$B12,82)*500,0)-IF(AND('calcA'!CF$117=1,XD12&gt;0),300,0)-IF(AND($U12=1,'calcA'!CG$117=1,GF12=0),300,0))),1000000000))</f>
        <v/>
      </c>
      <c r="RJ12">
        <f>IF($B12=0,1000000000,IF(INDEX('calcA'!$D$60:$EQ$99,$B12,83)*IF($W12=1,GF12+ACU12,GF12)=1,IF(AND($E12=2,IF($W12=1,AIJ12,LU12)=0),1000000000,IF($V12=1,INDEX('calcA'!$D$130:$EQ$169,$B12,83)+IF(AND($E12=1,LU12=0),25,0),INDEX('calcA'!CH$110:CH$114,$F12+1)+IF(AND($E12=1,LU12=0),1000,0)+IF($H12=1,INDEX('calcA'!$D$180:$EQ$219,$B12,83)*500,0)-IF(AND('calcA'!CG$117=1,XE12&gt;0),300,0)-IF(AND($U12=1,'calcA'!CH$117=1,GG12=0),300,0))),1000000000))</f>
        <v/>
      </c>
      <c r="RK12">
        <f>IF($B12=0,1000000000,IF(INDEX('calcA'!$D$60:$EQ$99,$B12,84)*IF($W12=1,GG12+ACV12,GG12)=1,IF(AND($E12=2,IF($W12=1,AIK12,LV12)=0),1000000000,IF($V12=1,INDEX('calcA'!$D$130:$EQ$169,$B12,84)+IF(AND($E12=1,LV12=0),25,0),INDEX('calcA'!CI$110:CI$114,$F12+1)+IF(AND($E12=1,LV12=0),1000,0)+IF($H12=1,INDEX('calcA'!$D$180:$EQ$219,$B12,84)*500,0)-IF(AND('calcA'!CH$117=1,XF12&gt;0),300,0)-IF(AND($U12=1,'calcA'!CI$117=1,GH12=0),300,0))),1000000000))</f>
        <v/>
      </c>
      <c r="RL12">
        <f>IF($B12=0,1000000000,IF(INDEX('calcA'!$D$60:$EQ$99,$B12,85)*IF($W12=1,GH12+ACW12,GH12)=1,IF(AND($E12=2,IF($W12=1,AIL12,LW12)=0),1000000000,IF($V12=1,INDEX('calcA'!$D$130:$EQ$169,$B12,85)+IF(AND($E12=1,LW12=0),25,0),INDEX('calcA'!CJ$110:CJ$114,$F12+1)+IF(AND($E12=1,LW12=0),1000,0)+IF($H12=1,INDEX('calcA'!$D$180:$EQ$219,$B12,85)*500,0)-IF(AND('calcA'!CI$117=1,XG12&gt;0),300,0)-IF(AND($U12=1,'calcA'!CJ$117=1,GI12=0),300,0))),1000000000))</f>
        <v/>
      </c>
      <c r="RM12">
        <f>IF($B12=0,1000000000,IF(INDEX('calcA'!$D$60:$EQ$99,$B12,86)*IF($W12=1,GI12+ACX12,GI12)=1,IF(AND($E12=2,IF($W12=1,AIM12,LX12)=0),1000000000,IF($V12=1,INDEX('calcA'!$D$130:$EQ$169,$B12,86)+IF(AND($E12=1,LX12=0),25,0),INDEX('calcA'!CK$110:CK$114,$F12+1)+IF(AND($E12=1,LX12=0),1000,0)+IF($H12=1,INDEX('calcA'!$D$180:$EQ$219,$B12,86)*500,0)-IF(AND('calcA'!CJ$117=1,XH12&gt;0),300,0)-IF(AND($U12=1,'calcA'!CK$117=1,GJ12=0),300,0))),1000000000))</f>
        <v/>
      </c>
      <c r="RN12">
        <f>IF($B12=0,1000000000,IF(INDEX('calcA'!$D$60:$EQ$99,$B12,87)*IF($W12=1,GJ12+ACY12,GJ12)=1,IF(AND($E12=2,IF($W12=1,AIN12,LY12)=0),1000000000,IF($V12=1,INDEX('calcA'!$D$130:$EQ$169,$B12,87)+IF(AND($E12=1,LY12=0),25,0),INDEX('calcA'!CL$110:CL$114,$F12+1)+IF(AND($E12=1,LY12=0),1000,0)+IF($H12=1,INDEX('calcA'!$D$180:$EQ$219,$B12,87)*500,0)-IF(AND('calcA'!CK$117=1,XI12&gt;0),300,0)-IF(AND($U12=1,'calcA'!CL$117=1,GK12=0),300,0))),1000000000))</f>
        <v/>
      </c>
      <c r="RO12">
        <f>IF($B12=0,1000000000,IF(INDEX('calcA'!$D$60:$EQ$99,$B12,88)*IF($W12=1,GK12+ACZ12,GK12)=1,IF(AND($E12=2,IF($W12=1,AIO12,LZ12)=0),1000000000,IF($V12=1,INDEX('calcA'!$D$130:$EQ$169,$B12,88)+IF(AND($E12=1,LZ12=0),25,0),INDEX('calcA'!CM$110:CM$114,$F12+1)+IF(AND($E12=1,LZ12=0),1000,0)+IF($H12=1,INDEX('calcA'!$D$180:$EQ$219,$B12,88)*500,0)-IF(AND('calcA'!CL$117=1,XJ12&gt;0),300,0)-IF(AND($U12=1,'calcA'!CM$117=1,GL12=0),300,0))),1000000000))</f>
        <v/>
      </c>
      <c r="RP12">
        <f>IF($B12=0,1000000000,IF(INDEX('calcA'!$D$60:$EQ$99,$B12,89)*IF($W12=1,GL12+ADA12,GL12)=1,IF(AND($E12=2,IF($W12=1,AIP12,MA12)=0),1000000000,IF($V12=1,INDEX('calcA'!$D$130:$EQ$169,$B12,89)+IF(AND($E12=1,MA12=0),25,0),INDEX('calcA'!CN$110:CN$114,$F12+1)+IF(AND($E12=1,MA12=0),1000,0)+IF($H12=1,INDEX('calcA'!$D$180:$EQ$219,$B12,89)*500,0)-IF(AND('calcA'!CM$117=1,XK12&gt;0),300,0)-IF(AND($U12=1,'calcA'!CN$117=1,GM12=0),300,0))),1000000000))</f>
        <v/>
      </c>
      <c r="RQ12">
        <f>IF($B12=0,1000000000,IF(INDEX('calcA'!$D$60:$EQ$99,$B12,90)*IF($W12=1,GM12+ADB12,GM12)=1,IF(AND($E12=2,IF($W12=1,AIQ12,MB12)=0),1000000000,IF($V12=1,INDEX('calcA'!$D$130:$EQ$169,$B12,90)+IF(AND($E12=1,MB12=0),25,0),INDEX('calcA'!CO$110:CO$114,$F12+1)+IF(AND($E12=1,MB12=0),1000,0)+IF($H12=1,INDEX('calcA'!$D$180:$EQ$219,$B12,90)*500,0)-IF(AND('calcA'!CN$117=1,XL12&gt;0),300,0)-IF(AND($U12=1,'calcA'!CO$117=1,GN12=0),300,0))),1000000000))</f>
        <v/>
      </c>
      <c r="RR12">
        <f>IF($B12=0,1000000000,IF(INDEX('calcA'!$D$60:$EQ$99,$B12,91)*IF($W12=1,GN12+ADC12,GN12)=1,IF(AND($E12=2,IF($W12=1,AIR12,MC12)=0),1000000000,IF($V12=1,INDEX('calcA'!$D$130:$EQ$169,$B12,91)+IF(AND($E12=1,MC12=0),25,0),INDEX('calcA'!CP$110:CP$114,$F12+1)+IF(AND($E12=1,MC12=0),1000,0)+IF($H12=1,INDEX('calcA'!$D$180:$EQ$219,$B12,91)*500,0)-IF(AND('calcA'!CO$117=1,XM12&gt;0),300,0)-IF(AND($U12=1,'calcA'!CP$117=1,GO12=0),300,0))),1000000000))</f>
        <v/>
      </c>
      <c r="RS12">
        <f>IF($B12=0,1000000000,IF(INDEX('calcA'!$D$60:$EQ$99,$B12,92)*IF($W12=1,GO12+ADD12,GO12)=1,IF(AND($E12=2,IF($W12=1,AIS12,MD12)=0),1000000000,IF($V12=1,INDEX('calcA'!$D$130:$EQ$169,$B12,92)+IF(AND($E12=1,MD12=0),25,0),INDEX('calcA'!CQ$110:CQ$114,$F12+1)+IF(AND($E12=1,MD12=0),1000,0)+IF($H12=1,INDEX('calcA'!$D$180:$EQ$219,$B12,92)*500,0)-IF(AND('calcA'!CP$117=1,XN12&gt;0),300,0)-IF(AND($U12=1,'calcA'!CQ$117=1,GP12=0),300,0))),1000000000))</f>
        <v/>
      </c>
      <c r="RT12">
        <f>IF($B12=0,1000000000,IF(INDEX('calcA'!$D$60:$EQ$99,$B12,93)*IF($W12=1,GP12+ADE12,GP12)=1,IF(AND($E12=2,IF($W12=1,AIT12,ME12)=0),1000000000,IF($V12=1,INDEX('calcA'!$D$130:$EQ$169,$B12,93)+IF(AND($E12=1,ME12=0),25,0),INDEX('calcA'!CR$110:CR$114,$F12+1)+IF(AND($E12=1,ME12=0),1000,0)+IF($H12=1,INDEX('calcA'!$D$180:$EQ$219,$B12,93)*500,0)-IF(AND('calcA'!CQ$117=1,XO12&gt;0),300,0)-IF(AND($U12=1,'calcA'!CR$117=1,GQ12=0),300,0))),1000000000))</f>
        <v/>
      </c>
      <c r="RU12">
        <f>IF($B12=0,1000000000,IF(INDEX('calcA'!$D$60:$EQ$99,$B12,94)*IF($W12=1,GQ12+ADF12,GQ12)=1,IF(AND($E12=2,IF($W12=1,AIU12,MF12)=0),1000000000,IF($V12=1,INDEX('calcA'!$D$130:$EQ$169,$B12,94)+IF(AND($E12=1,MF12=0),25,0),INDEX('calcA'!CS$110:CS$114,$F12+1)+IF(AND($E12=1,MF12=0),1000,0)+IF($H12=1,INDEX('calcA'!$D$180:$EQ$219,$B12,94)*500,0)-IF(AND('calcA'!CR$117=1,XP12&gt;0),300,0)-IF(AND($U12=1,'calcA'!CS$117=1,GR12=0),300,0))),1000000000))</f>
        <v/>
      </c>
      <c r="RV12">
        <f>IF($B12=0,1000000000,IF(INDEX('calcA'!$D$60:$EQ$99,$B12,95)*IF($W12=1,GR12+ADG12,GR12)=1,IF(AND($E12=2,IF($W12=1,AIV12,MG12)=0),1000000000,IF($V12=1,INDEX('calcA'!$D$130:$EQ$169,$B12,95)+IF(AND($E12=1,MG12=0),25,0),INDEX('calcA'!CT$110:CT$114,$F12+1)+IF(AND($E12=1,MG12=0),1000,0)+IF($H12=1,INDEX('calcA'!$D$180:$EQ$219,$B12,95)*500,0)-IF(AND('calcA'!CS$117=1,XQ12&gt;0),300,0)-IF(AND($U12=1,'calcA'!CT$117=1,GS12=0),300,0))),1000000000))</f>
        <v/>
      </c>
      <c r="RW12">
        <f>IF($B12=0,1000000000,IF(INDEX('calcA'!$D$60:$EQ$99,$B12,96)*IF($W12=1,GS12+ADH12,GS12)=1,IF(AND($E12=2,IF($W12=1,AIW12,MH12)=0),1000000000,IF($V12=1,INDEX('calcA'!$D$130:$EQ$169,$B12,96)+IF(AND($E12=1,MH12=0),25,0),INDEX('calcA'!CU$110:CU$114,$F12+1)+IF(AND($E12=1,MH12=0),1000,0)+IF($H12=1,INDEX('calcA'!$D$180:$EQ$219,$B12,96)*500,0)-IF(AND('calcA'!CT$117=1,XR12&gt;0),300,0))),1000000000))</f>
        <v/>
      </c>
      <c r="RX12">
        <f>IF($B12=0,1000000000,IF(INDEX('calcA'!$D$60:$EQ$99,$B12,97)*IF($W12=1,GT12+ADI12,GT12)=1,IF(AND($E12=2,IF($W12=1,AIX12,MI12)=0),1000000000,IF($V12=1,INDEX('calcA'!$D$130:$EQ$169,$B12,97)+IF(AND($E12=1,MI12=0),25,0),INDEX('calcA'!CV$110:CV$114,$F12+1)+IF(AND($E12=1,MI12=0),1000,0)+IF($H12=1,INDEX('calcA'!$D$180:$EQ$219,$B12,97)*500,0)-IF(AND($U12=1,'calcA'!CV$117=1,GU12=0),300,0))),1000000000))</f>
        <v/>
      </c>
      <c r="RY12">
        <f>IF($B12=0,1000000000,IF(INDEX('calcA'!$D$60:$EQ$99,$B12,98)*IF($W12=1,GU12+ADJ12,GU12)=1,IF(AND($E12=2,IF($W12=1,AIY12,MJ12)=0),1000000000,IF($V12=1,INDEX('calcA'!$D$130:$EQ$169,$B12,98)+IF(AND($E12=1,MJ12=0),25,0),INDEX('calcA'!CW$110:CW$114,$F12+1)+IF(AND($E12=1,MJ12=0),1000,0)+IF($H12=1,INDEX('calcA'!$D$180:$EQ$219,$B12,98)*500,0)-IF(AND('calcA'!CV$117=1,XT12&gt;0),300,0)-IF(AND($U12=1,'calcA'!CW$117=1,GV12=0),300,0))),1000000000))</f>
        <v/>
      </c>
      <c r="RZ12">
        <f>IF($B12=0,1000000000,IF(INDEX('calcA'!$D$60:$EQ$99,$B12,99)*IF($W12=1,GV12+ADK12,GV12)=1,IF(AND($E12=2,IF($W12=1,AIZ12,MK12)=0),1000000000,IF($V12=1,INDEX('calcA'!$D$130:$EQ$169,$B12,99)+IF(AND($E12=1,MK12=0),25,0),INDEX('calcA'!CX$110:CX$114,$F12+1)+IF(AND($E12=1,MK12=0),1000,0)+IF($H12=1,INDEX('calcA'!$D$180:$EQ$219,$B12,99)*500,0)-IF(AND('calcA'!CW$117=1,XU12&gt;0),300,0)-IF(AND($U12=1,'calcA'!CX$117=1,GW12=0),300,0))),1000000000))</f>
        <v/>
      </c>
      <c r="SA12">
        <f>IF($B12=0,1000000000,IF(INDEX('calcA'!$D$60:$EQ$99,$B12,100)*IF($W12=1,GW12+ADL12,GW12)=1,IF(AND($E12=2,IF($W12=1,AJA12,ML12)=0),1000000000,IF($V12=1,INDEX('calcA'!$D$130:$EQ$169,$B12,100)+IF(AND($E12=1,ML12=0),25,0),INDEX('calcA'!CY$110:CY$114,$F12+1)+IF(AND($E12=1,ML12=0),1000,0)+IF($H12=1,INDEX('calcA'!$D$180:$EQ$219,$B12,100)*500,0)-IF(AND('calcA'!CX$117=1,XV12&gt;0),300,0)-IF(AND($U12=1,'calcA'!CY$117=1,GX12=0),300,0))),1000000000))</f>
        <v/>
      </c>
      <c r="SB12">
        <f>IF($B12=0,1000000000,IF(INDEX('calcA'!$D$60:$EQ$99,$B12,101)*IF($W12=1,GX12+ADM12,GX12)=1,IF(AND($E12=2,IF($W12=1,AJB12,MM12)=0),1000000000,IF($V12=1,INDEX('calcA'!$D$130:$EQ$169,$B12,101)+IF(AND($E12=1,MM12=0),25,0),INDEX('calcA'!CZ$110:CZ$114,$F12+1)+IF(AND($E12=1,MM12=0),1000,0)+IF($H12=1,INDEX('calcA'!$D$180:$EQ$219,$B12,101)*500,0)-IF(AND('calcA'!CY$117=1,XW12&gt;0),300,0)-IF(AND($U12=1,'calcA'!CZ$117=1,GY12=0),300,0))),1000000000))</f>
        <v/>
      </c>
      <c r="SC12">
        <f>IF($B12=0,1000000000,IF(INDEX('calcA'!$D$60:$EQ$99,$B12,102)*IF($W12=1,GY12+ADN12,GY12)=1,IF(AND($E12=2,IF($W12=1,AJC12,MN12)=0),1000000000,IF($V12=1,INDEX('calcA'!$D$130:$EQ$169,$B12,102)+IF(AND($E12=1,MN12=0),25,0),INDEX('calcA'!DA$110:DA$114,$F12+1)+IF(AND($E12=1,MN12=0),1000,0)+IF($H12=1,INDEX('calcA'!$D$180:$EQ$219,$B12,102)*500,0)-IF(AND('calcA'!CZ$117=1,XX12&gt;0),300,0)-IF(AND($U12=1,'calcA'!DA$117=1,GZ12=0),300,0))),1000000000))</f>
        <v/>
      </c>
      <c r="SD12">
        <f>IF($B12=0,1000000000,IF(INDEX('calcA'!$D$60:$EQ$99,$B12,103)*IF($W12=1,GZ12+ADO12,GZ12)=1,IF(AND($E12=2,IF($W12=1,AJD12,MO12)=0),1000000000,IF($V12=1,INDEX('calcA'!$D$130:$EQ$169,$B12,103)+IF(AND($E12=1,MO12=0),25,0),INDEX('calcA'!DB$110:DB$114,$F12+1)+IF(AND($E12=1,MO12=0),1000,0)+IF($H12=1,INDEX('calcA'!$D$180:$EQ$219,$B12,103)*500,0)-IF(AND('calcA'!DA$117=1,XY12&gt;0),300,0)-IF(AND($U12=1,'calcA'!DB$117=1,HA12=0),300,0))),1000000000))</f>
        <v/>
      </c>
      <c r="SE12">
        <f>IF($B12=0,1000000000,IF(INDEX('calcA'!$D$60:$EQ$99,$B12,104)*IF($W12=1,HA12+ADP12,HA12)=1,IF(AND($E12=2,IF($W12=1,AJE12,MP12)=0),1000000000,IF($V12=1,INDEX('calcA'!$D$130:$EQ$169,$B12,104)+IF(AND($E12=1,MP12=0),25,0),INDEX('calcA'!DC$110:DC$114,$F12+1)+IF(AND($E12=1,MP12=0),1000,0)+IF($H12=1,INDEX('calcA'!$D$180:$EQ$219,$B12,104)*500,0)-IF(AND('calcA'!DB$117=1,XZ12&gt;0),300,0)-IF(AND($U12=1,'calcA'!DC$117=1,HB12=0),300,0))),1000000000))</f>
        <v/>
      </c>
      <c r="SF12">
        <f>IF($B12=0,1000000000,IF(INDEX('calcA'!$D$60:$EQ$99,$B12,105)*IF($W12=1,HB12+ADQ12,HB12)=1,IF(AND($E12=2,IF($W12=1,AJF12,MQ12)=0),1000000000,IF($V12=1,INDEX('calcA'!$D$130:$EQ$169,$B12,105)+IF(AND($E12=1,MQ12=0),25,0),INDEX('calcA'!DD$110:DD$114,$F12+1)+IF(AND($E12=1,MQ12=0),1000,0)+IF($H12=1,INDEX('calcA'!$D$180:$EQ$219,$B12,105)*500,0)-IF(AND('calcA'!DC$117=1,YA12&gt;0),300,0)-IF(AND($U12=1,'calcA'!DD$117=1,HC12=0),300,0))),1000000000))</f>
        <v/>
      </c>
      <c r="SG12">
        <f>IF($B12=0,1000000000,IF(INDEX('calcA'!$D$60:$EQ$99,$B12,106)*IF($W12=1,HC12+ADR12,HC12)=1,IF(AND($E12=2,IF($W12=1,AJG12,MR12)=0),1000000000,IF($V12=1,INDEX('calcA'!$D$130:$EQ$169,$B12,106)+IF(AND($E12=1,MR12=0),25,0),INDEX('calcA'!DE$110:DE$114,$F12+1)+IF(AND($E12=1,MR12=0),1000,0)+IF($H12=1,INDEX('calcA'!$D$180:$EQ$219,$B12,106)*500,0)-IF(AND('calcA'!DD$117=1,YB12&gt;0),300,0)-IF(AND($U12=1,'calcA'!DE$117=1,HD12=0),300,0))),1000000000))</f>
        <v/>
      </c>
      <c r="SH12">
        <f>IF($B12=0,1000000000,IF(INDEX('calcA'!$D$60:$EQ$99,$B12,107)*IF($W12=1,HD12+ADS12,HD12)=1,IF(AND($E12=2,IF($W12=1,AJH12,MS12)=0),1000000000,IF($V12=1,INDEX('calcA'!$D$130:$EQ$169,$B12,107)+IF(AND($E12=1,MS12=0),25,0),INDEX('calcA'!DF$110:DF$114,$F12+1)+IF(AND($E12=1,MS12=0),1000,0)+IF($H12=1,INDEX('calcA'!$D$180:$EQ$219,$B12,107)*500,0)-IF(AND('calcA'!DE$117=1,YC12&gt;0),300,0)-IF(AND($U12=1,'calcA'!DF$117=1,HE12=0),300,0))),1000000000))</f>
        <v/>
      </c>
      <c r="SI12">
        <f>IF($B12=0,1000000000,IF(INDEX('calcA'!$D$60:$EQ$99,$B12,108)*IF($W12=1,HE12+ADT12,HE12)=1,IF(AND($E12=2,IF($W12=1,AJI12,MT12)=0),1000000000,IF($V12=1,INDEX('calcA'!$D$130:$EQ$169,$B12,108)+IF(AND($E12=1,MT12=0),25,0),INDEX('calcA'!DG$110:DG$114,$F12+1)+IF(AND($E12=1,MT12=0),1000,0)+IF($H12=1,INDEX('calcA'!$D$180:$EQ$219,$B12,108)*500,0)-IF(AND('calcA'!DF$117=1,YD12&gt;0),300,0)-IF(AND($U12=1,'calcA'!DG$117=1,HF12=0),300,0))),1000000000))</f>
        <v/>
      </c>
      <c r="SJ12">
        <f>IF($B12=0,1000000000,IF(INDEX('calcA'!$D$60:$EQ$99,$B12,109)*IF($W12=1,HF12+ADU12,HF12)=1,IF(AND($E12=2,IF($W12=1,AJJ12,MU12)=0),1000000000,IF($V12=1,INDEX('calcA'!$D$130:$EQ$169,$B12,109)+IF(AND($E12=1,MU12=0),25,0),INDEX('calcA'!DH$110:DH$114,$F12+1)+IF(AND($E12=1,MU12=0),1000,0)+IF($H12=1,INDEX('calcA'!$D$180:$EQ$219,$B12,109)*500,0)-IF(AND('calcA'!DG$117=1,YE12&gt;0),300,0)-IF(AND($U12=1,'calcA'!DH$117=1,HG12=0),300,0))),1000000000))</f>
        <v/>
      </c>
      <c r="SK12">
        <f>IF($B12=0,1000000000,IF(INDEX('calcA'!$D$60:$EQ$99,$B12,110)*IF($W12=1,HG12+ADV12,HG12)=1,IF(AND($E12=2,IF($W12=1,AJK12,MV12)=0),1000000000,IF($V12=1,INDEX('calcA'!$D$130:$EQ$169,$B12,110)+IF(AND($E12=1,MV12=0),25,0),INDEX('calcA'!DI$110:DI$114,$F12+1)+IF(AND($E12=1,MV12=0),1000,0)+IF($H12=1,INDEX('calcA'!$D$180:$EQ$219,$B12,110)*500,0)-IF(AND('calcA'!DH$117=1,YF12&gt;0),300,0)-IF(AND($U12=1,'calcA'!DI$117=1,HH12=0),300,0))),1000000000))</f>
        <v/>
      </c>
      <c r="SL12">
        <f>IF($B12=0,1000000000,IF(INDEX('calcA'!$D$60:$EQ$99,$B12,111)*IF($W12=1,HH12+ADW12,HH12)=1,IF(AND($E12=2,IF($W12=1,AJL12,MW12)=0),1000000000,IF($V12=1,INDEX('calcA'!$D$130:$EQ$169,$B12,111)+IF(AND($E12=1,MW12=0),25,0),INDEX('calcA'!DJ$110:DJ$114,$F12+1)+IF(AND($E12=1,MW12=0),1000,0)+IF($H12=1,INDEX('calcA'!$D$180:$EQ$219,$B12,111)*500,0)-IF(AND('calcA'!DI$117=1,YG12&gt;0),300,0)-IF(AND($U12=1,'calcA'!DJ$117=1,HI12=0),300,0))),1000000000))</f>
        <v/>
      </c>
      <c r="SM12">
        <f>IF($B12=0,1000000000,IF(INDEX('calcA'!$D$60:$EQ$99,$B12,112)*IF($W12=1,HI12+ADX12,HI12)=1,IF(AND($E12=2,IF($W12=1,AJM12,MX12)=0),1000000000,IF($V12=1,INDEX('calcA'!$D$130:$EQ$169,$B12,112)+IF(AND($E12=1,MX12=0),25,0),INDEX('calcA'!DK$110:DK$114,$F12+1)+IF(AND($E12=1,MX12=0),1000,0)+IF($H12=1,INDEX('calcA'!$D$180:$EQ$219,$B12,112)*500,0)-IF(AND('calcA'!DJ$117=1,YH12&gt;0),300,0)-IF(AND($U12=1,'calcA'!DK$117=1,HJ12=0),300,0))),1000000000))</f>
        <v/>
      </c>
      <c r="SN12">
        <f>IF($B12=0,1000000000,IF(INDEX('calcA'!$D$60:$EQ$99,$B12,113)*IF($W12=1,HJ12+ADY12,HJ12)=1,IF(AND($E12=2,IF($W12=1,AJN12,MY12)=0),1000000000,IF($V12=1,INDEX('calcA'!$D$130:$EQ$169,$B12,113)+IF(AND($E12=1,MY12=0),25,0),INDEX('calcA'!DL$110:DL$114,$F12+1)+IF(AND($E12=1,MY12=0),1000,0)+IF($H12=1,INDEX('calcA'!$D$180:$EQ$219,$B12,113)*500,0)-IF(AND('calcA'!DK$117=1,YI12&gt;0),300,0)-IF(AND($U12=1,'calcA'!DL$117=1,HK12=0),300,0))),1000000000))</f>
        <v/>
      </c>
      <c r="SO12">
        <f>IF($B12=0,1000000000,IF(INDEX('calcA'!$D$60:$EQ$99,$B12,114)*IF($W12=1,HK12+ADZ12,HK12)=1,IF(AND($E12=2,IF($W12=1,AJO12,MZ12)=0),1000000000,IF($V12=1,INDEX('calcA'!$D$130:$EQ$169,$B12,114)+IF(AND($E12=1,MZ12=0),25,0),INDEX('calcA'!DM$110:DM$114,$F12+1)+IF(AND($E12=1,MZ12=0),1000,0)+IF($H12=1,INDEX('calcA'!$D$180:$EQ$219,$B12,114)*500,0)-IF(AND('calcA'!DL$117=1,YJ12&gt;0),300,0)-IF(AND($U12=1,'calcA'!DM$117=1,HL12=0),300,0))),1000000000))</f>
        <v/>
      </c>
      <c r="SP12">
        <f>IF($B12=0,1000000000,IF(INDEX('calcA'!$D$60:$EQ$99,$B12,115)*IF($W12=1,HL12+AEA12,HL12)=1,IF(AND($E12=2,IF($W12=1,AJP12,NA12)=0),1000000000,IF($V12=1,INDEX('calcA'!$D$130:$EQ$169,$B12,115)+IF(AND($E12=1,NA12=0),25,0),INDEX('calcA'!DN$110:DN$114,$F12+1)+IF(AND($E12=1,NA12=0),1000,0)+IF($H12=1,INDEX('calcA'!$D$180:$EQ$219,$B12,115)*500,0)-IF(AND('calcA'!DM$117=1,YK12&gt;0),300,0)-IF(AND($U12=1,'calcA'!DN$117=1,HM12=0),300,0))),1000000000))</f>
        <v/>
      </c>
      <c r="SQ12">
        <f>IF($B12=0,1000000000,IF(INDEX('calcA'!$D$60:$EQ$99,$B12,116)*IF($W12=1,HM12+AEB12,HM12)=1,IF(AND($E12=2,IF($W12=1,AJQ12,NB12)=0),1000000000,IF($V12=1,INDEX('calcA'!$D$130:$EQ$169,$B12,116)+IF(AND($E12=1,NB12=0),25,0),INDEX('calcA'!DO$110:DO$114,$F12+1)+IF(AND($E12=1,NB12=0),1000,0)+IF($H12=1,INDEX('calcA'!$D$180:$EQ$219,$B12,116)*500,0)-IF(AND('calcA'!DN$117=1,YL12&gt;0),300,0)-IF(AND($U12=1,'calcA'!DO$117=1,HN12=0),300,0))),1000000000))</f>
        <v/>
      </c>
      <c r="SR12">
        <f>IF($B12=0,1000000000,IF(INDEX('calcA'!$D$60:$EQ$99,$B12,117)*IF($W12=1,HN12+AEC12,HN12)=1,IF(AND($E12=2,IF($W12=1,AJR12,NC12)=0),1000000000,IF($V12=1,INDEX('calcA'!$D$130:$EQ$169,$B12,117)+IF(AND($E12=1,NC12=0),25,0),INDEX('calcA'!DP$110:DP$114,$F12+1)+IF(AND($E12=1,NC12=0),1000,0)+IF($H12=1,INDEX('calcA'!$D$180:$EQ$219,$B12,117)*500,0)-IF(AND('calcA'!DO$117=1,YM12&gt;0),300,0)-IF(AND($U12=1,'calcA'!DP$117=1,HO12=0),300,0))),1000000000))</f>
        <v/>
      </c>
      <c r="SS12">
        <f>IF($B12=0,1000000000,IF(INDEX('calcA'!$D$60:$EQ$99,$B12,118)*IF($W12=1,HO12+AED12,HO12)=1,IF(AND($E12=2,IF($W12=1,AJS12,ND12)=0),1000000000,IF($V12=1,INDEX('calcA'!$D$130:$EQ$169,$B12,118)+IF(AND($E12=1,ND12=0),25,0),INDEX('calcA'!DQ$110:DQ$114,$F12+1)+IF(AND($E12=1,ND12=0),1000,0)+IF($H12=1,INDEX('calcA'!$D$180:$EQ$219,$B12,118)*500,0)-IF(AND('calcA'!DP$117=1,YN12&gt;0),300,0)-IF(AND($U12=1,'calcA'!DQ$117=1,HP12=0),300,0))),1000000000))</f>
        <v/>
      </c>
      <c r="ST12">
        <f>IF($B12=0,1000000000,IF(INDEX('calcA'!$D$60:$EQ$99,$B12,119)*IF($W12=1,HP12+AEE12,HP12)=1,IF(AND($E12=2,IF($W12=1,AJT12,NE12)=0),1000000000,IF($V12=1,INDEX('calcA'!$D$130:$EQ$169,$B12,119)+IF(AND($E12=1,NE12=0),25,0),INDEX('calcA'!DR$110:DR$114,$F12+1)+IF(AND($E12=1,NE12=0),1000,0)+IF($H12=1,INDEX('calcA'!$D$180:$EQ$219,$B12,119)*500,0)-IF(AND('calcA'!DQ$117=1,YO12&gt;0),300,0)-IF(AND($U12=1,'calcA'!DR$117=1,HQ12=0),300,0))),1000000000))</f>
        <v/>
      </c>
      <c r="SU12">
        <f>IF($B12=0,1000000000,IF(INDEX('calcA'!$D$60:$EQ$99,$B12,120)*IF($W12=1,HQ12+AEF12,HQ12)=1,IF(AND($E12=2,IF($W12=1,AJU12,NF12)=0),1000000000,IF($V12=1,INDEX('calcA'!$D$130:$EQ$169,$B12,120)+IF(AND($E12=1,NF12=0),25,0),INDEX('calcA'!DS$110:DS$114,$F12+1)+IF(AND($E12=1,NF12=0),1000,0)+IF($H12=1,INDEX('calcA'!$D$180:$EQ$219,$B12,120)*500,0)-IF(AND('calcA'!DR$117=1,YP12&gt;0),300,0))),1000000000))</f>
        <v/>
      </c>
      <c r="SV12">
        <f>IF($B12=0,1000000000,IF(INDEX('calcA'!$D$60:$EQ$99,$B12,121)*IF($W12=1,HR12+AEG12,HR12)=1,IF(AND($E12=2,IF($W12=1,AJV12,NG12)=0),1000000000,IF($V12=1,INDEX('calcA'!$D$130:$EQ$169,$B12,121)+IF(AND($E12=1,NG12=0),25,0),INDEX('calcA'!DT$110:DT$114,$F12+1)+IF(AND($E12=1,NG12=0),1000,0)+IF($H12=1,INDEX('calcA'!$D$180:$EQ$219,$B12,121)*500,0)-IF(AND($U12=1,'calcA'!DT$117=1,HS12=0),300,0))),1000000000))</f>
        <v/>
      </c>
      <c r="SW12">
        <f>IF($B12=0,1000000000,IF(INDEX('calcA'!$D$60:$EQ$99,$B12,122)*IF($W12=1,HS12+AEH12,HS12)=1,IF(AND($E12=2,IF($W12=1,AJW12,NH12)=0),1000000000,IF($V12=1,INDEX('calcA'!$D$130:$EQ$169,$B12,122)+IF(AND($E12=1,NH12=0),25,0),INDEX('calcA'!DU$110:DU$114,$F12+1)+IF(AND($E12=1,NH12=0),1000,0)+IF($H12=1,INDEX('calcA'!$D$180:$EQ$219,$B12,122)*500,0)-IF(AND('calcA'!DT$117=1,YR12&gt;0),300,0)-IF(AND($U12=1,'calcA'!DU$117=1,HT12=0),300,0))),1000000000))</f>
        <v/>
      </c>
      <c r="SX12">
        <f>IF($B12=0,1000000000,IF(INDEX('calcA'!$D$60:$EQ$99,$B12,123)*IF($W12=1,HT12+AEI12,HT12)=1,IF(AND($E12=2,IF($W12=1,AJX12,NI12)=0),1000000000,IF($V12=1,INDEX('calcA'!$D$130:$EQ$169,$B12,123)+IF(AND($E12=1,NI12=0),25,0),INDEX('calcA'!DV$110:DV$114,$F12+1)+IF(AND($E12=1,NI12=0),1000,0)+IF($H12=1,INDEX('calcA'!$D$180:$EQ$219,$B12,123)*500,0)-IF(AND('calcA'!DU$117=1,YS12&gt;0),300,0)-IF(AND($U12=1,'calcA'!DV$117=1,HU12=0),300,0))),1000000000))</f>
        <v/>
      </c>
      <c r="SY12">
        <f>IF($B12=0,1000000000,IF(INDEX('calcA'!$D$60:$EQ$99,$B12,124)*IF($W12=1,HU12+AEJ12,HU12)=1,IF(AND($E12=2,IF($W12=1,AJY12,NJ12)=0),1000000000,IF($V12=1,INDEX('calcA'!$D$130:$EQ$169,$B12,124)+IF(AND($E12=1,NJ12=0),25,0),INDEX('calcA'!DW$110:DW$114,$F12+1)+IF(AND($E12=1,NJ12=0),1000,0)+IF($H12=1,INDEX('calcA'!$D$180:$EQ$219,$B12,124)*500,0)-IF(AND('calcA'!DV$117=1,YT12&gt;0),300,0)-IF(AND($U12=1,'calcA'!DW$117=1,HV12=0),300,0))),1000000000))</f>
        <v/>
      </c>
      <c r="SZ12">
        <f>IF($B12=0,1000000000,IF(INDEX('calcA'!$D$60:$EQ$99,$B12,125)*IF($W12=1,HV12+AEK12,HV12)=1,IF(AND($E12=2,IF($W12=1,AJZ12,NK12)=0),1000000000,IF($V12=1,INDEX('calcA'!$D$130:$EQ$169,$B12,125)+IF(AND($E12=1,NK12=0),25,0),INDEX('calcA'!DX$110:DX$114,$F12+1)+IF(AND($E12=1,NK12=0),1000,0)+IF($H12=1,INDEX('calcA'!$D$180:$EQ$219,$B12,125)*500,0)-IF(AND('calcA'!DW$117=1,YU12&gt;0),300,0)-IF(AND($U12=1,'calcA'!DX$117=1,HW12=0),300,0))),1000000000))</f>
        <v/>
      </c>
      <c r="TA12">
        <f>IF($B12=0,1000000000,IF(INDEX('calcA'!$D$60:$EQ$99,$B12,126)*IF($W12=1,HW12+AEL12,HW12)=1,IF(AND($E12=2,IF($W12=1,AKA12,NL12)=0),1000000000,IF($V12=1,INDEX('calcA'!$D$130:$EQ$169,$B12,126)+IF(AND($E12=1,NL12=0),25,0),INDEX('calcA'!DY$110:DY$114,$F12+1)+IF(AND($E12=1,NL12=0),1000,0)+IF($H12=1,INDEX('calcA'!$D$180:$EQ$219,$B12,126)*500,0)-IF(AND('calcA'!DX$117=1,YV12&gt;0),300,0)-IF(AND($U12=1,'calcA'!DY$117=1,HX12=0),300,0))),1000000000))</f>
        <v/>
      </c>
      <c r="TB12">
        <f>IF($B12=0,1000000000,IF(INDEX('calcA'!$D$60:$EQ$99,$B12,127)*IF($W12=1,HX12+AEM12,HX12)=1,IF(AND($E12=2,IF($W12=1,AKB12,NM12)=0),1000000000,IF($V12=1,INDEX('calcA'!$D$130:$EQ$169,$B12,127)+IF(AND($E12=1,NM12=0),25,0),INDEX('calcA'!DZ$110:DZ$114,$F12+1)+IF(AND($E12=1,NM12=0),1000,0)+IF($H12=1,INDEX('calcA'!$D$180:$EQ$219,$B12,127)*500,0)-IF(AND('calcA'!DY$117=1,YW12&gt;0),300,0)-IF(AND($U12=1,'calcA'!DZ$117=1,HY12=0),300,0))),1000000000))</f>
        <v/>
      </c>
      <c r="TC12">
        <f>IF($B12=0,1000000000,IF(INDEX('calcA'!$D$60:$EQ$99,$B12,128)*IF($W12=1,HY12+AEN12,HY12)=1,IF(AND($E12=2,IF($W12=1,AKC12,NN12)=0),1000000000,IF($V12=1,INDEX('calcA'!$D$130:$EQ$169,$B12,128)+IF(AND($E12=1,NN12=0),25,0),INDEX('calcA'!EA$110:EA$114,$F12+1)+IF(AND($E12=1,NN12=0),1000,0)+IF($H12=1,INDEX('calcA'!$D$180:$EQ$219,$B12,128)*500,0)-IF(AND('calcA'!DZ$117=1,YX12&gt;0),300,0)-IF(AND($U12=1,'calcA'!EA$117=1,HZ12=0),300,0))),1000000000))</f>
        <v/>
      </c>
      <c r="TD12">
        <f>IF($B12=0,1000000000,IF(INDEX('calcA'!$D$60:$EQ$99,$B12,129)*IF($W12=1,HZ12+AEO12,HZ12)=1,IF(AND($E12=2,IF($W12=1,AKD12,NO12)=0),1000000000,IF($V12=1,INDEX('calcA'!$D$130:$EQ$169,$B12,129)+IF(AND($E12=1,NO12=0),25,0),INDEX('calcA'!EB$110:EB$114,$F12+1)+IF(AND($E12=1,NO12=0),1000,0)+IF($H12=1,INDEX('calcA'!$D$180:$EQ$219,$B12,129)*500,0)-IF(AND('calcA'!EA$117=1,YY12&gt;0),300,0)-IF(AND($U12=1,'calcA'!EB$117=1,IA12=0),300,0))),1000000000))</f>
        <v/>
      </c>
      <c r="TE12">
        <f>IF($B12=0,1000000000,IF(INDEX('calcA'!$D$60:$EQ$99,$B12,130)*IF($W12=1,IA12+AEP12,IA12)=1,IF(AND($E12=2,IF($W12=1,AKE12,NP12)=0),1000000000,IF($V12=1,INDEX('calcA'!$D$130:$EQ$169,$B12,130)+IF(AND($E12=1,NP12=0),25,0),INDEX('calcA'!EC$110:EC$114,$F12+1)+IF(AND($E12=1,NP12=0),1000,0)+IF($H12=1,INDEX('calcA'!$D$180:$EQ$219,$B12,130)*500,0)-IF(AND('calcA'!EB$117=1,YZ12&gt;0),300,0)-IF(AND($U12=1,'calcA'!EC$117=1,IB12=0),300,0))),1000000000))</f>
        <v/>
      </c>
      <c r="TF12">
        <f>IF($B12=0,1000000000,IF(INDEX('calcA'!$D$60:$EQ$99,$B12,131)*IF($W12=1,IB12+AEQ12,IB12)=1,IF(AND($E12=2,IF($W12=1,AKF12,NQ12)=0),1000000000,IF($V12=1,INDEX('calcA'!$D$130:$EQ$169,$B12,131)+IF(AND($E12=1,NQ12=0),25,0),INDEX('calcA'!ED$110:ED$114,$F12+1)+IF(AND($E12=1,NQ12=0),1000,0)+IF($H12=1,INDEX('calcA'!$D$180:$EQ$219,$B12,131)*500,0)-IF(AND('calcA'!EC$117=1,ZA12&gt;0),300,0)-IF(AND($U12=1,'calcA'!ED$117=1,IC12=0),300,0))),1000000000))</f>
        <v/>
      </c>
      <c r="TG12">
        <f>IF($B12=0,1000000000,IF(INDEX('calcA'!$D$60:$EQ$99,$B12,132)*IF($W12=1,IC12+AER12,IC12)=1,IF(AND($E12=2,IF($W12=1,AKG12,NR12)=0),1000000000,IF($V12=1,INDEX('calcA'!$D$130:$EQ$169,$B12,132)+IF(AND($E12=1,NR12=0),25,0),INDEX('calcA'!EE$110:EE$114,$F12+1)+IF(AND($E12=1,NR12=0),1000,0)+IF($H12=1,INDEX('calcA'!$D$180:$EQ$219,$B12,132)*500,0)-IF(AND('calcA'!ED$117=1,ZB12&gt;0),300,0)-IF(AND($U12=1,'calcA'!EE$117=1,ID12=0),300,0))),1000000000))</f>
        <v/>
      </c>
      <c r="TH12">
        <f>IF($B12=0,1000000000,IF(INDEX('calcA'!$D$60:$EQ$99,$B12,133)*IF($W12=1,ID12+AES12,ID12)=1,IF(AND($E12=2,IF($W12=1,AKH12,NS12)=0),1000000000,IF($V12=1,INDEX('calcA'!$D$130:$EQ$169,$B12,133)+IF(AND($E12=1,NS12=0),25,0),INDEX('calcA'!EF$110:EF$114,$F12+1)+IF(AND($E12=1,NS12=0),1000,0)+IF($H12=1,INDEX('calcA'!$D$180:$EQ$219,$B12,133)*500,0)-IF(AND('calcA'!EE$117=1,ZC12&gt;0),300,0)-IF(AND($U12=1,'calcA'!EF$117=1,IE12=0),300,0))),1000000000))</f>
        <v/>
      </c>
      <c r="TI12">
        <f>IF($B12=0,1000000000,IF(INDEX('calcA'!$D$60:$EQ$99,$B12,134)*IF($W12=1,IE12+AET12,IE12)=1,IF(AND($E12=2,IF($W12=1,AKI12,NT12)=0),1000000000,IF($V12=1,INDEX('calcA'!$D$130:$EQ$169,$B12,134)+IF(AND($E12=1,NT12=0),25,0),INDEX('calcA'!EG$110:EG$114,$F12+1)+IF(AND($E12=1,NT12=0),1000,0)+IF($H12=1,INDEX('calcA'!$D$180:$EQ$219,$B12,134)*500,0)-IF(AND('calcA'!EF$117=1,ZD12&gt;0),300,0)-IF(AND($U12=1,'calcA'!EG$117=1,IF12=0),300,0))),1000000000))</f>
        <v/>
      </c>
      <c r="TJ12">
        <f>IF($B12=0,1000000000,IF(INDEX('calcA'!$D$60:$EQ$99,$B12,135)*IF($W12=1,IF12+AEU12,IF12)=1,IF(AND($E12=2,IF($W12=1,AKJ12,NU12)=0),1000000000,IF($V12=1,INDEX('calcA'!$D$130:$EQ$169,$B12,135)+IF(AND($E12=1,NU12=0),25,0),INDEX('calcA'!EH$110:EH$114,$F12+1)+IF(AND($E12=1,NU12=0),1000,0)+IF($H12=1,INDEX('calcA'!$D$180:$EQ$219,$B12,135)*500,0)-IF(AND('calcA'!EG$117=1,ZE12&gt;0),300,0)-IF(AND($U12=1,'calcA'!EH$117=1,IG12=0),300,0))),1000000000))</f>
        <v/>
      </c>
      <c r="TK12">
        <f>IF($B12=0,1000000000,IF(INDEX('calcA'!$D$60:$EQ$99,$B12,136)*IF($W12=1,IG12+AEV12,IG12)=1,IF(AND($E12=2,IF($W12=1,AKK12,NV12)=0),1000000000,IF($V12=1,INDEX('calcA'!$D$130:$EQ$169,$B12,136)+IF(AND($E12=1,NV12=0),25,0),INDEX('calcA'!EI$110:EI$114,$F12+1)+IF(AND($E12=1,NV12=0),1000,0)+IF($H12=1,INDEX('calcA'!$D$180:$EQ$219,$B12,136)*500,0)-IF(AND('calcA'!EH$117=1,ZF12&gt;0),300,0)-IF(AND($U12=1,'calcA'!EI$117=1,IH12=0),300,0))),1000000000))</f>
        <v/>
      </c>
      <c r="TL12">
        <f>IF($B12=0,1000000000,IF(INDEX('calcA'!$D$60:$EQ$99,$B12,137)*IF($W12=1,IH12+AEW12,IH12)=1,IF(AND($E12=2,IF($W12=1,AKL12,NW12)=0),1000000000,IF($V12=1,INDEX('calcA'!$D$130:$EQ$169,$B12,137)+IF(AND($E12=1,NW12=0),25,0),INDEX('calcA'!EJ$110:EJ$114,$F12+1)+IF(AND($E12=1,NW12=0),1000,0)+IF($H12=1,INDEX('calcA'!$D$180:$EQ$219,$B12,137)*500,0)-IF(AND('calcA'!EI$117=1,ZG12&gt;0),300,0)-IF(AND($U12=1,'calcA'!EJ$117=1,II12=0),300,0))),1000000000))</f>
        <v/>
      </c>
      <c r="TM12">
        <f>IF($B12=0,1000000000,IF(INDEX('calcA'!$D$60:$EQ$99,$B12,138)*IF($W12=1,II12+AEX12,II12)=1,IF(AND($E12=2,IF($W12=1,AKM12,NX12)=0),1000000000,IF($V12=1,INDEX('calcA'!$D$130:$EQ$169,$B12,138)+IF(AND($E12=1,NX12=0),25,0),INDEX('calcA'!EK$110:EK$114,$F12+1)+IF(AND($E12=1,NX12=0),1000,0)+IF($H12=1,INDEX('calcA'!$D$180:$EQ$219,$B12,138)*500,0)-IF(AND('calcA'!EJ$117=1,ZH12&gt;0),300,0)-IF(AND($U12=1,'calcA'!EK$117=1,IJ12=0),300,0))),1000000000))</f>
        <v/>
      </c>
      <c r="TN12">
        <f>IF($B12=0,1000000000,IF(INDEX('calcA'!$D$60:$EQ$99,$B12,139)*IF($W12=1,IJ12+AEY12,IJ12)=1,IF(AND($E12=2,IF($W12=1,AKN12,NY12)=0),1000000000,IF($V12=1,INDEX('calcA'!$D$130:$EQ$169,$B12,139)+IF(AND($E12=1,NY12=0),25,0),INDEX('calcA'!EL$110:EL$114,$F12+1)+IF(AND($E12=1,NY12=0),1000,0)+IF($H12=1,INDEX('calcA'!$D$180:$EQ$219,$B12,139)*500,0)-IF(AND('calcA'!EK$117=1,ZI12&gt;0),300,0)-IF(AND($U12=1,'calcA'!EL$117=1,IK12=0),300,0))),1000000000))</f>
        <v/>
      </c>
      <c r="TO12">
        <f>IF($B12=0,1000000000,IF(INDEX('calcA'!$D$60:$EQ$99,$B12,140)*IF($W12=1,IK12+AEZ12,IK12)=1,IF(AND($E12=2,IF($W12=1,AKO12,NZ12)=0),1000000000,IF($V12=1,INDEX('calcA'!$D$130:$EQ$169,$B12,140)+IF(AND($E12=1,NZ12=0),25,0),INDEX('calcA'!EM$110:EM$114,$F12+1)+IF(AND($E12=1,NZ12=0),1000,0)+IF($H12=1,INDEX('calcA'!$D$180:$EQ$219,$B12,140)*500,0)-IF(AND('calcA'!EL$117=1,ZJ12&gt;0),300,0)-IF(AND($U12=1,'calcA'!EM$117=1,IL12=0),300,0))),1000000000))</f>
        <v/>
      </c>
      <c r="TP12">
        <f>IF($B12=0,1000000000,IF(INDEX('calcA'!$D$60:$EQ$99,$B12,141)*IF($W12=1,IL12+AFA12,IL12)=1,IF(AND($E12=2,IF($W12=1,AKP12,OA12)=0),1000000000,IF($V12=1,INDEX('calcA'!$D$130:$EQ$169,$B12,141)+IF(AND($E12=1,OA12=0),25,0),INDEX('calcA'!EN$110:EN$114,$F12+1)+IF(AND($E12=1,OA12=0),1000,0)+IF($H12=1,INDEX('calcA'!$D$180:$EQ$219,$B12,141)*500,0)-IF(AND('calcA'!EM$117=1,ZK12&gt;0),300,0)-IF(AND($U12=1,'calcA'!EN$117=1,IM12=0),300,0))),1000000000))</f>
        <v/>
      </c>
      <c r="TQ12">
        <f>IF($B12=0,1000000000,IF(INDEX('calcA'!$D$60:$EQ$99,$B12,142)*IF($W12=1,IM12+AFB12,IM12)=1,IF(AND($E12=2,IF($W12=1,AKQ12,OB12)=0),1000000000,IF($V12=1,INDEX('calcA'!$D$130:$EQ$169,$B12,142)+IF(AND($E12=1,OB12=0),25,0),INDEX('calcA'!EO$110:EO$114,$F12+1)+IF(AND($E12=1,OB12=0),1000,0)+IF($H12=1,INDEX('calcA'!$D$180:$EQ$219,$B12,142)*500,0)-IF(AND('calcA'!EN$117=1,ZL12&gt;0),300,0)-IF(AND($U12=1,'calcA'!EO$117=1,IN12=0),300,0))),1000000000))</f>
        <v/>
      </c>
      <c r="TR12">
        <f>IF($B12=0,1000000000,IF(INDEX('calcA'!$D$60:$EQ$99,$B12,143)*IF($W12=1,IN12+AFC12,IN12)=1,IF(AND($E12=2,IF($W12=1,AKR12,OC12)=0),1000000000,IF($V12=1,INDEX('calcA'!$D$130:$EQ$169,$B12,143)+IF(AND($E12=1,OC12=0),25,0),INDEX('calcA'!EP$110:EP$114,$F12+1)+IF(AND($E12=1,OC12=0),1000,0)+IF($H12=1,INDEX('calcA'!$D$180:$EQ$219,$B12,143)*500,0)-IF(AND('calcA'!EO$117=1,ZM12&gt;0),300,0)-IF(AND($U12=1,'calcA'!EP$117=1,IO12=0),300,0))),1000000000))</f>
        <v/>
      </c>
      <c r="TS12">
        <f>IF($B12=0,1000000000,IF(INDEX('calcA'!$D$60:$EQ$99,$B12,144)*IF($W12=1,IO12+AFD12,IO12)=1,IF(AND($E12=2,IF($W12=1,AKS12,OD12)=0),1000000000,IF($V12=1,INDEX('calcA'!$D$130:$EQ$169,$B12,144)+IF(AND($E12=1,OD12=0),25,0),INDEX('calcA'!EQ$110:EQ$114,$F12+1)+IF(AND($E12=1,OD12=0),1000,0)+IF($H12=1,INDEX('calcA'!$D$180:$EQ$219,$B12,144)*500,0)-IF(AND('calcA'!EP$117=1,ZN12&gt;0),300,0))),1000000000))</f>
        <v/>
      </c>
      <c r="UB12">
        <f>UB11+IF(AND($C11=1,$U11=1),1,0)</f>
        <v/>
      </c>
      <c r="UC12">
        <f>UC11+IF(AND($C11=2,$U11=1),1,0)</f>
        <v/>
      </c>
      <c r="UD12">
        <f>UD11+IF(AND($C11=3,$U11=1),1,0)</f>
        <v/>
      </c>
      <c r="UE12">
        <f>UE11+IF(AND($C11=4,$U11=1),1,0)</f>
        <v/>
      </c>
      <c r="UF12">
        <f>UF11+IF(AND($C11=5,$U11=1),1,0)</f>
        <v/>
      </c>
      <c r="UG12">
        <f>UG11+IF(AND($C11=6,$U11=1),1,0)</f>
        <v/>
      </c>
      <c r="UH12">
        <f>UH11+IF(AND($C11=7,$U11=1),1,0)</f>
        <v/>
      </c>
      <c r="UI12">
        <f>UI11+IF(AND($C11=8,$U11=1),1,0)</f>
        <v/>
      </c>
      <c r="UJ12">
        <f>UJ11+IF(AND($C11=9,$U11=1),1,0)</f>
        <v/>
      </c>
      <c r="UK12">
        <f>UK11+IF(AND($C11=10,$U11=1),1,0)</f>
        <v/>
      </c>
      <c r="UL12">
        <f>UL11+IF(AND($C11=11,$U11=1),1,0)</f>
        <v/>
      </c>
      <c r="UM12">
        <f>UM11+IF(AND($C11=12,$U11=1),1,0)</f>
        <v/>
      </c>
      <c r="UN12">
        <f>UN11+IF(AND($C11=13,$U11=1),1,0)</f>
        <v/>
      </c>
      <c r="UO12">
        <f>UO11+IF(AND($C11=14,$U11=1),1,0)</f>
        <v/>
      </c>
      <c r="UP12">
        <f>UP11+IF(AND($C11=15,$U11=1),1,0)</f>
        <v/>
      </c>
      <c r="UQ12">
        <f>UQ11+IF(AND($C11=16,$U11=1),1,0)</f>
        <v/>
      </c>
      <c r="UR12">
        <f>UR11+IF(AND($C11=17,$U11=1),1,0)</f>
        <v/>
      </c>
      <c r="US12">
        <f>US11+IF(AND($C11=18,$U11=1),1,0)</f>
        <v/>
      </c>
      <c r="UT12">
        <f>UT11+IF(AND($C11=19,$U11=1),1,0)</f>
        <v/>
      </c>
      <c r="UU12">
        <f>UU11+IF(AND($C11=20,$U11=1),1,0)</f>
        <v/>
      </c>
      <c r="UV12">
        <f>UV11+IF(AND($C11=21,$U11=1),1,0)</f>
        <v/>
      </c>
      <c r="UW12">
        <f>UW11+IF(AND($C11=22,$U11=1),1,0)</f>
        <v/>
      </c>
      <c r="UX12">
        <f>UX11+IF(AND($C11=23,$U11=1),1,0)</f>
        <v/>
      </c>
      <c r="UY12">
        <f>UY11+IF(AND($C11=24,$U11=1),1,0)</f>
        <v/>
      </c>
      <c r="UZ12">
        <f>UZ11+IF(AND($C11=25,$U11=1),1,0)</f>
        <v/>
      </c>
      <c r="VA12">
        <f>VA11+IF(AND($C11=26,$U11=1),1,0)</f>
        <v/>
      </c>
      <c r="VB12">
        <f>VB11+IF(AND($C11=27,$U11=1),1,0)</f>
        <v/>
      </c>
      <c r="VC12">
        <f>VC11+IF(AND($C11=28,$U11=1),1,0)</f>
        <v/>
      </c>
      <c r="VD12">
        <f>VD11+IF(AND($C11=29,$U11=1),1,0)</f>
        <v/>
      </c>
      <c r="VE12">
        <f>VE11+IF(AND($C11=30,$U11=1),1,0)</f>
        <v/>
      </c>
      <c r="VF12">
        <f>VF11+IF(AND($C11=31,$U11=1),1,0)</f>
        <v/>
      </c>
      <c r="VG12">
        <f>VG11+IF(AND($C11=32,$U11=1),1,0)</f>
        <v/>
      </c>
      <c r="VH12">
        <f>VH11+IF(AND($C11=33,$U11=1),1,0)</f>
        <v/>
      </c>
      <c r="VI12">
        <f>VI11+IF(AND($C11=34,$U11=1),1,0)</f>
        <v/>
      </c>
      <c r="VJ12">
        <f>VJ11+IF(AND($C11=35,$U11=1),1,0)</f>
        <v/>
      </c>
      <c r="VK12">
        <f>VK11+IF(AND($C11=36,$U11=1),1,0)</f>
        <v/>
      </c>
      <c r="VL12">
        <f>VL11+IF(AND($C11=37,$U11=1),1,0)</f>
        <v/>
      </c>
      <c r="VM12">
        <f>VM11+IF(AND($C11=38,$U11=1),1,0)</f>
        <v/>
      </c>
      <c r="VN12">
        <f>VN11+IF(AND($C11=39,$U11=1),1,0)</f>
        <v/>
      </c>
      <c r="VO12">
        <f>VO11+IF(AND($C11=40,$U11=1),1,0)</f>
        <v/>
      </c>
      <c r="VP12">
        <f>VP11+IF(AND($C11=41,$U11=1),1,0)</f>
        <v/>
      </c>
      <c r="VQ12">
        <f>VQ11+IF(AND($C11=42,$U11=1),1,0)</f>
        <v/>
      </c>
      <c r="VR12">
        <f>VR11+IF(AND($C11=43,$U11=1),1,0)</f>
        <v/>
      </c>
      <c r="VS12">
        <f>VS11+IF(AND($C11=44,$U11=1),1,0)</f>
        <v/>
      </c>
      <c r="VT12">
        <f>VT11+IF(AND($C11=45,$U11=1),1,0)</f>
        <v/>
      </c>
      <c r="VU12">
        <f>VU11+IF(AND($C11=46,$U11=1),1,0)</f>
        <v/>
      </c>
      <c r="VV12">
        <f>VV11+IF(AND($C11=47,$U11=1),1,0)</f>
        <v/>
      </c>
      <c r="VW12">
        <f>VW11+IF(AND($C11=48,$U11=1),1,0)</f>
        <v/>
      </c>
      <c r="VX12">
        <f>VX11+IF(AND($C11=49,$U11=1),1,0)</f>
        <v/>
      </c>
      <c r="VY12">
        <f>VY11+IF(AND($C11=50,$U11=1),1,0)</f>
        <v/>
      </c>
      <c r="VZ12">
        <f>VZ11+IF(AND($C11=51,$U11=1),1,0)</f>
        <v/>
      </c>
      <c r="WA12">
        <f>WA11+IF(AND($C11=52,$U11=1),1,0)</f>
        <v/>
      </c>
      <c r="WB12">
        <f>WB11+IF(AND($C11=53,$U11=1),1,0)</f>
        <v/>
      </c>
      <c r="WC12">
        <f>WC11+IF(AND($C11=54,$U11=1),1,0)</f>
        <v/>
      </c>
      <c r="WD12">
        <f>WD11+IF(AND($C11=55,$U11=1),1,0)</f>
        <v/>
      </c>
      <c r="WE12">
        <f>WE11+IF(AND($C11=56,$U11=1),1,0)</f>
        <v/>
      </c>
      <c r="WF12">
        <f>WF11+IF(AND($C11=57,$U11=1),1,0)</f>
        <v/>
      </c>
      <c r="WG12">
        <f>WG11+IF(AND($C11=58,$U11=1),1,0)</f>
        <v/>
      </c>
      <c r="WH12">
        <f>WH11+IF(AND($C11=59,$U11=1),1,0)</f>
        <v/>
      </c>
      <c r="WI12">
        <f>WI11+IF(AND($C11=60,$U11=1),1,0)</f>
        <v/>
      </c>
      <c r="WJ12">
        <f>WJ11+IF(AND($C11=61,$U11=1),1,0)</f>
        <v/>
      </c>
      <c r="WK12">
        <f>WK11+IF(AND($C11=62,$U11=1),1,0)</f>
        <v/>
      </c>
      <c r="WL12">
        <f>WL11+IF(AND($C11=63,$U11=1),1,0)</f>
        <v/>
      </c>
      <c r="WM12">
        <f>WM11+IF(AND($C11=64,$U11=1),1,0)</f>
        <v/>
      </c>
      <c r="WN12">
        <f>WN11+IF(AND($C11=65,$U11=1),1,0)</f>
        <v/>
      </c>
      <c r="WO12">
        <f>WO11+IF(AND($C11=66,$U11=1),1,0)</f>
        <v/>
      </c>
      <c r="WP12">
        <f>WP11+IF(AND($C11=67,$U11=1),1,0)</f>
        <v/>
      </c>
      <c r="WQ12">
        <f>WQ11+IF(AND($C11=68,$U11=1),1,0)</f>
        <v/>
      </c>
      <c r="WR12">
        <f>WR11+IF(AND($C11=69,$U11=1),1,0)</f>
        <v/>
      </c>
      <c r="WS12">
        <f>WS11+IF(AND($C11=70,$U11=1),1,0)</f>
        <v/>
      </c>
      <c r="WT12">
        <f>WT11+IF(AND($C11=71,$U11=1),1,0)</f>
        <v/>
      </c>
      <c r="WU12">
        <f>WU11+IF(AND($C11=72,$U11=1),1,0)</f>
        <v/>
      </c>
      <c r="WV12">
        <f>WV11+IF(AND($C11=73,$U11=1),1,0)</f>
        <v/>
      </c>
      <c r="WW12">
        <f>WW11+IF(AND($C11=74,$U11=1),1,0)</f>
        <v/>
      </c>
      <c r="WX12">
        <f>WX11+IF(AND($C11=75,$U11=1),1,0)</f>
        <v/>
      </c>
      <c r="WY12">
        <f>WY11+IF(AND($C11=76,$U11=1),1,0)</f>
        <v/>
      </c>
      <c r="WZ12">
        <f>WZ11+IF(AND($C11=77,$U11=1),1,0)</f>
        <v/>
      </c>
      <c r="XA12">
        <f>XA11+IF(AND($C11=78,$U11=1),1,0)</f>
        <v/>
      </c>
      <c r="XB12">
        <f>XB11+IF(AND($C11=79,$U11=1),1,0)</f>
        <v/>
      </c>
      <c r="XC12">
        <f>XC11+IF(AND($C11=80,$U11=1),1,0)</f>
        <v/>
      </c>
      <c r="XD12">
        <f>XD11+IF(AND($C11=81,$U11=1),1,0)</f>
        <v/>
      </c>
      <c r="XE12">
        <f>XE11+IF(AND($C11=82,$U11=1),1,0)</f>
        <v/>
      </c>
      <c r="XF12">
        <f>XF11+IF(AND($C11=83,$U11=1),1,0)</f>
        <v/>
      </c>
      <c r="XG12">
        <f>XG11+IF(AND($C11=84,$U11=1),1,0)</f>
        <v/>
      </c>
      <c r="XH12">
        <f>XH11+IF(AND($C11=85,$U11=1),1,0)</f>
        <v/>
      </c>
      <c r="XI12">
        <f>XI11+IF(AND($C11=86,$U11=1),1,0)</f>
        <v/>
      </c>
      <c r="XJ12">
        <f>XJ11+IF(AND($C11=87,$U11=1),1,0)</f>
        <v/>
      </c>
      <c r="XK12">
        <f>XK11+IF(AND($C11=88,$U11=1),1,0)</f>
        <v/>
      </c>
      <c r="XL12">
        <f>XL11+IF(AND($C11=89,$U11=1),1,0)</f>
        <v/>
      </c>
      <c r="XM12">
        <f>XM11+IF(AND($C11=90,$U11=1),1,0)</f>
        <v/>
      </c>
      <c r="XN12">
        <f>XN11+IF(AND($C11=91,$U11=1),1,0)</f>
        <v/>
      </c>
      <c r="XO12">
        <f>XO11+IF(AND($C11=92,$U11=1),1,0)</f>
        <v/>
      </c>
      <c r="XP12">
        <f>XP11+IF(AND($C11=93,$U11=1),1,0)</f>
        <v/>
      </c>
      <c r="XQ12">
        <f>XQ11+IF(AND($C11=94,$U11=1),1,0)</f>
        <v/>
      </c>
      <c r="XR12">
        <f>XR11+IF(AND($C11=95,$U11=1),1,0)</f>
        <v/>
      </c>
      <c r="XS12">
        <f>XS11+IF(AND($C11=96,$U11=1),1,0)</f>
        <v/>
      </c>
      <c r="XT12">
        <f>XT11+IF(AND($C11=97,$U11=1),1,0)</f>
        <v/>
      </c>
      <c r="XU12">
        <f>XU11+IF(AND($C11=98,$U11=1),1,0)</f>
        <v/>
      </c>
      <c r="XV12">
        <f>XV11+IF(AND($C11=99,$U11=1),1,0)</f>
        <v/>
      </c>
      <c r="XW12">
        <f>XW11+IF(AND($C11=100,$U11=1),1,0)</f>
        <v/>
      </c>
      <c r="XX12">
        <f>XX11+IF(AND($C11=101,$U11=1),1,0)</f>
        <v/>
      </c>
      <c r="XY12">
        <f>XY11+IF(AND($C11=102,$U11=1),1,0)</f>
        <v/>
      </c>
      <c r="XZ12">
        <f>XZ11+IF(AND($C11=103,$U11=1),1,0)</f>
        <v/>
      </c>
      <c r="YA12">
        <f>YA11+IF(AND($C11=104,$U11=1),1,0)</f>
        <v/>
      </c>
      <c r="YB12">
        <f>YB11+IF(AND($C11=105,$U11=1),1,0)</f>
        <v/>
      </c>
      <c r="YC12">
        <f>YC11+IF(AND($C11=106,$U11=1),1,0)</f>
        <v/>
      </c>
      <c r="YD12">
        <f>YD11+IF(AND($C11=107,$U11=1),1,0)</f>
        <v/>
      </c>
      <c r="YE12">
        <f>YE11+IF(AND($C11=108,$U11=1),1,0)</f>
        <v/>
      </c>
      <c r="YF12">
        <f>YF11+IF(AND($C11=109,$U11=1),1,0)</f>
        <v/>
      </c>
      <c r="YG12">
        <f>YG11+IF(AND($C11=110,$U11=1),1,0)</f>
        <v/>
      </c>
      <c r="YH12">
        <f>YH11+IF(AND($C11=111,$U11=1),1,0)</f>
        <v/>
      </c>
      <c r="YI12">
        <f>YI11+IF(AND($C11=112,$U11=1),1,0)</f>
        <v/>
      </c>
      <c r="YJ12">
        <f>YJ11+IF(AND($C11=113,$U11=1),1,0)</f>
        <v/>
      </c>
      <c r="YK12">
        <f>YK11+IF(AND($C11=114,$U11=1),1,0)</f>
        <v/>
      </c>
      <c r="YL12">
        <f>YL11+IF(AND($C11=115,$U11=1),1,0)</f>
        <v/>
      </c>
      <c r="YM12">
        <f>YM11+IF(AND($C11=116,$U11=1),1,0)</f>
        <v/>
      </c>
      <c r="YN12">
        <f>YN11+IF(AND($C11=117,$U11=1),1,0)</f>
        <v/>
      </c>
      <c r="YO12">
        <f>YO11+IF(AND($C11=118,$U11=1),1,0)</f>
        <v/>
      </c>
      <c r="YP12">
        <f>YP11+IF(AND($C11=119,$U11=1),1,0)</f>
        <v/>
      </c>
      <c r="YQ12">
        <f>YQ11+IF(AND($C11=120,$U11=1),1,0)</f>
        <v/>
      </c>
      <c r="YR12">
        <f>YR11+IF(AND($C11=121,$U11=1),1,0)</f>
        <v/>
      </c>
      <c r="YS12">
        <f>YS11+IF(AND($C11=122,$U11=1),1,0)</f>
        <v/>
      </c>
      <c r="YT12">
        <f>YT11+IF(AND($C11=123,$U11=1),1,0)</f>
        <v/>
      </c>
      <c r="YU12">
        <f>YU11+IF(AND($C11=124,$U11=1),1,0)</f>
        <v/>
      </c>
      <c r="YV12">
        <f>YV11+IF(AND($C11=125,$U11=1),1,0)</f>
        <v/>
      </c>
      <c r="YW12">
        <f>YW11+IF(AND($C11=126,$U11=1),1,0)</f>
        <v/>
      </c>
      <c r="YX12">
        <f>YX11+IF(AND($C11=127,$U11=1),1,0)</f>
        <v/>
      </c>
      <c r="YY12">
        <f>YY11+IF(AND($C11=128,$U11=1),1,0)</f>
        <v/>
      </c>
      <c r="YZ12">
        <f>YZ11+IF(AND($C11=129,$U11=1),1,0)</f>
        <v/>
      </c>
      <c r="ZA12">
        <f>ZA11+IF(AND($C11=130,$U11=1),1,0)</f>
        <v/>
      </c>
      <c r="ZB12">
        <f>ZB11+IF(AND($C11=131,$U11=1),1,0)</f>
        <v/>
      </c>
      <c r="ZC12">
        <f>ZC11+IF(AND($C11=132,$U11=1),1,0)</f>
        <v/>
      </c>
      <c r="ZD12">
        <f>ZD11+IF(AND($C11=133,$U11=1),1,0)</f>
        <v/>
      </c>
      <c r="ZE12">
        <f>ZE11+IF(AND($C11=134,$U11=1),1,0)</f>
        <v/>
      </c>
      <c r="ZF12">
        <f>ZF11+IF(AND($C11=135,$U11=1),1,0)</f>
        <v/>
      </c>
      <c r="ZG12">
        <f>ZG11+IF(AND($C11=136,$U11=1),1,0)</f>
        <v/>
      </c>
      <c r="ZH12">
        <f>ZH11+IF(AND($C11=137,$U11=1),1,0)</f>
        <v/>
      </c>
      <c r="ZI12">
        <f>ZI11+IF(AND($C11=138,$U11=1),1,0)</f>
        <v/>
      </c>
      <c r="ZJ12">
        <f>ZJ11+IF(AND($C11=139,$U11=1),1,0)</f>
        <v/>
      </c>
      <c r="ZK12">
        <f>ZK11+IF(AND($C11=140,$U11=1),1,0)</f>
        <v/>
      </c>
      <c r="ZL12">
        <f>ZL11+IF(AND($C11=141,$U11=1),1,0)</f>
        <v/>
      </c>
      <c r="ZM12">
        <f>ZM11+IF(AND($C11=142,$U11=1),1,0)</f>
        <v/>
      </c>
      <c r="ZN12">
        <f>ZN11+IF(AND($C11=143,$U11=1),1,0)</f>
        <v/>
      </c>
      <c r="ZO12">
        <f>ZO11+IF(AND($C11=144,$U11=1),1,0)</f>
        <v/>
      </c>
      <c r="ZQ12">
        <f>IF($C11=1,0,ZQ11+IF(AND($G11=1,$E11=1),1,0))</f>
        <v/>
      </c>
      <c r="ZR12">
        <f>IF($C11=2,0,ZR11+IF(AND($G11=2,$E11=1),1,0))</f>
        <v/>
      </c>
      <c r="ZS12">
        <f>IF($C11=3,0,ZS11+IF(AND($G11=3,$E11=1),1,0))</f>
        <v/>
      </c>
      <c r="ZT12">
        <f>IF($C11=4,0,ZT11+IF(AND($G11=4,$E11=1),1,0))</f>
        <v/>
      </c>
      <c r="ZU12">
        <f>IF($C11=5,0,ZU11+IF(AND($G11=5,$E11=1),1,0))</f>
        <v/>
      </c>
      <c r="ZV12">
        <f>IF($C11=6,0,ZV11+IF(AND($G11=6,$E11=1),1,0))</f>
        <v/>
      </c>
      <c r="ZW12">
        <f>IF($C11=7,0,ZW11+IF(AND($G11=7,$E11=1),1,0))</f>
        <v/>
      </c>
      <c r="ZX12">
        <f>IF($C11=8,0,ZX11+IF(AND($G11=8,$E11=1),1,0))</f>
        <v/>
      </c>
      <c r="ZY12">
        <f>IF($C11=9,0,ZY11+IF(AND($G11=9,$E11=1),1,0))</f>
        <v/>
      </c>
      <c r="ZZ12">
        <f>IF($C11=10,0,ZZ11+IF(AND($G11=10,$E11=1),1,0))</f>
        <v/>
      </c>
      <c r="AAA12">
        <f>IF($C11=11,0,AAA11+IF(AND($G11=11,$E11=1),1,0))</f>
        <v/>
      </c>
      <c r="AAB12">
        <f>IF($C11=12,0,AAB11+IF(AND($G11=12,$E11=1),1,0))</f>
        <v/>
      </c>
      <c r="AAC12">
        <f>IF($C11=13,0,AAC11+IF(AND($G11=13,$E11=1),1,0))</f>
        <v/>
      </c>
      <c r="AAD12">
        <f>IF($C11=14,0,AAD11+IF(AND($G11=14,$E11=1),1,0))</f>
        <v/>
      </c>
      <c r="AAE12">
        <f>IF($C11=15,0,AAE11+IF(AND($G11=15,$E11=1),1,0))</f>
        <v/>
      </c>
      <c r="AAF12">
        <f>IF($C11=16,0,AAF11+IF(AND($G11=16,$E11=1),1,0))</f>
        <v/>
      </c>
      <c r="AAG12">
        <f>IF($C11=17,0,AAG11+IF(AND($G11=17,$E11=1),1,0))</f>
        <v/>
      </c>
      <c r="AAH12">
        <f>IF($C11=18,0,AAH11+IF(AND($G11=18,$E11=1),1,0))</f>
        <v/>
      </c>
      <c r="AAI12">
        <f>IF($C11=19,0,AAI11+IF(AND($G11=19,$E11=1),1,0))</f>
        <v/>
      </c>
      <c r="AAJ12">
        <f>IF($C11=20,0,AAJ11+IF(AND($G11=20,$E11=1),1,0))</f>
        <v/>
      </c>
      <c r="AAK12">
        <f>IF($C11=21,0,AAK11+IF(AND($G11=21,$E11=1),1,0))</f>
        <v/>
      </c>
      <c r="AAL12">
        <f>IF($C11=22,0,AAL11+IF(AND($G11=22,$E11=1),1,0))</f>
        <v/>
      </c>
      <c r="AAM12">
        <f>IF($C11=23,0,AAM11+IF(AND($G11=23,$E11=1),1,0))</f>
        <v/>
      </c>
      <c r="AAN12">
        <f>IF($C11=24,0,AAN11+IF(AND($G11=24,$E11=1),1,0))</f>
        <v/>
      </c>
      <c r="AAO12">
        <f>IF($C11=25,0,AAO11+IF(AND($G11=25,$E11=1),1,0))</f>
        <v/>
      </c>
      <c r="AAP12">
        <f>IF($C11=26,0,AAP11+IF(AND($G11=26,$E11=1),1,0))</f>
        <v/>
      </c>
      <c r="AAQ12">
        <f>IF($C11=27,0,AAQ11+IF(AND($G11=27,$E11=1),1,0))</f>
        <v/>
      </c>
      <c r="AAR12">
        <f>IF($C11=28,0,AAR11+IF(AND($G11=28,$E11=1),1,0))</f>
        <v/>
      </c>
      <c r="AAS12">
        <f>IF($C11=29,0,AAS11+IF(AND($G11=29,$E11=1),1,0))</f>
        <v/>
      </c>
      <c r="AAT12">
        <f>IF($C11=30,0,AAT11+IF(AND($G11=30,$E11=1),1,0))</f>
        <v/>
      </c>
      <c r="AAU12">
        <f>IF($C11=31,0,AAU11+IF(AND($G11=31,$E11=1),1,0))</f>
        <v/>
      </c>
      <c r="AAV12">
        <f>IF($C11=32,0,AAV11+IF(AND($G11=32,$E11=1),1,0))</f>
        <v/>
      </c>
      <c r="AAW12">
        <f>IF($C11=33,0,AAW11+IF(AND($G11=33,$E11=1),1,0))</f>
        <v/>
      </c>
      <c r="AAX12">
        <f>IF($C11=34,0,AAX11+IF(AND($G11=34,$E11=1),1,0))</f>
        <v/>
      </c>
      <c r="AAY12">
        <f>IF($C11=35,0,AAY11+IF(AND($G11=35,$E11=1),1,0))</f>
        <v/>
      </c>
      <c r="AAZ12">
        <f>IF($C11=36,0,AAZ11+IF(AND($G11=36,$E11=1),1,0))</f>
        <v/>
      </c>
      <c r="ABA12">
        <f>IF($C11=37,0,ABA11+IF(AND($G11=37,$E11=1),1,0))</f>
        <v/>
      </c>
      <c r="ABB12">
        <f>IF($C11=38,0,ABB11+IF(AND($G11=38,$E11=1),1,0))</f>
        <v/>
      </c>
      <c r="ABC12">
        <f>IF($C11=39,0,ABC11+IF(AND($G11=39,$E11=1),1,0))</f>
        <v/>
      </c>
      <c r="ABD12">
        <f>IF($C11=40,0,ABD11+IF(AND($G11=40,$E11=1),1,0))</f>
        <v/>
      </c>
      <c r="ABE12">
        <f>IF($C11=41,0,ABE11+IF(AND($G11=41,$E11=1),1,0))</f>
        <v/>
      </c>
      <c r="ABF12">
        <f>IF($C11=42,0,ABF11+IF(AND($G11=42,$E11=1),1,0))</f>
        <v/>
      </c>
      <c r="ABG12">
        <f>IF($C11=43,0,ABG11+IF(AND($G11=43,$E11=1),1,0))</f>
        <v/>
      </c>
      <c r="ABH12">
        <f>IF($C11=44,0,ABH11+IF(AND($G11=44,$E11=1),1,0))</f>
        <v/>
      </c>
      <c r="ABI12">
        <f>IF($C11=45,0,ABI11+IF(AND($G11=45,$E11=1),1,0))</f>
        <v/>
      </c>
      <c r="ABJ12">
        <f>IF($C11=46,0,ABJ11+IF(AND($G11=46,$E11=1),1,0))</f>
        <v/>
      </c>
      <c r="ABK12">
        <f>IF($C11=47,0,ABK11+IF(AND($G11=47,$E11=1),1,0))</f>
        <v/>
      </c>
      <c r="ABL12">
        <f>IF($C11=48,0,ABL11+IF(AND($G11=48,$E11=1),1,0))</f>
        <v/>
      </c>
      <c r="ABM12">
        <f>IF($C11=49,0,ABM11+IF(AND($G11=49,$E11=1),1,0))</f>
        <v/>
      </c>
      <c r="ABN12">
        <f>IF($C11=50,0,ABN11+IF(AND($G11=50,$E11=1),1,0))</f>
        <v/>
      </c>
      <c r="ABO12">
        <f>IF($C11=51,0,ABO11+IF(AND($G11=51,$E11=1),1,0))</f>
        <v/>
      </c>
      <c r="ABP12">
        <f>IF($C11=52,0,ABP11+IF(AND($G11=52,$E11=1),1,0))</f>
        <v/>
      </c>
      <c r="ABQ12">
        <f>IF($C11=53,0,ABQ11+IF(AND($G11=53,$E11=1),1,0))</f>
        <v/>
      </c>
      <c r="ABR12">
        <f>IF($C11=54,0,ABR11+IF(AND($G11=54,$E11=1),1,0))</f>
        <v/>
      </c>
      <c r="ABS12">
        <f>IF($C11=55,0,ABS11+IF(AND($G11=55,$E11=1),1,0))</f>
        <v/>
      </c>
      <c r="ABT12">
        <f>IF($C11=56,0,ABT11+IF(AND($G11=56,$E11=1),1,0))</f>
        <v/>
      </c>
      <c r="ABU12">
        <f>IF($C11=57,0,ABU11+IF(AND($G11=57,$E11=1),1,0))</f>
        <v/>
      </c>
      <c r="ABV12">
        <f>IF($C11=58,0,ABV11+IF(AND($G11=58,$E11=1),1,0))</f>
        <v/>
      </c>
      <c r="ABW12">
        <f>IF($C11=59,0,ABW11+IF(AND($G11=59,$E11=1),1,0))</f>
        <v/>
      </c>
      <c r="ABX12">
        <f>IF($C11=60,0,ABX11+IF(AND($G11=60,$E11=1),1,0))</f>
        <v/>
      </c>
      <c r="ABY12">
        <f>IF($C11=61,0,ABY11+IF(AND($G11=61,$E11=1),1,0))</f>
        <v/>
      </c>
      <c r="ABZ12">
        <f>IF($C11=62,0,ABZ11+IF(AND($G11=62,$E11=1),1,0))</f>
        <v/>
      </c>
      <c r="ACA12">
        <f>IF($C11=63,0,ACA11+IF(AND($G11=63,$E11=1),1,0))</f>
        <v/>
      </c>
      <c r="ACB12">
        <f>IF($C11=64,0,ACB11+IF(AND($G11=64,$E11=1),1,0))</f>
        <v/>
      </c>
      <c r="ACC12">
        <f>IF($C11=65,0,ACC11+IF(AND($G11=65,$E11=1),1,0))</f>
        <v/>
      </c>
      <c r="ACD12">
        <f>IF($C11=66,0,ACD11+IF(AND($G11=66,$E11=1),1,0))</f>
        <v/>
      </c>
      <c r="ACE12">
        <f>IF($C11=67,0,ACE11+IF(AND($G11=67,$E11=1),1,0))</f>
        <v/>
      </c>
      <c r="ACF12">
        <f>IF($C11=68,0,ACF11+IF(AND($G11=68,$E11=1),1,0))</f>
        <v/>
      </c>
      <c r="ACG12">
        <f>IF($C11=69,0,ACG11+IF(AND($G11=69,$E11=1),1,0))</f>
        <v/>
      </c>
      <c r="ACH12">
        <f>IF($C11=70,0,ACH11+IF(AND($G11=70,$E11=1),1,0))</f>
        <v/>
      </c>
      <c r="ACI12">
        <f>IF($C11=71,0,ACI11+IF(AND($G11=71,$E11=1),1,0))</f>
        <v/>
      </c>
      <c r="ACJ12">
        <f>IF($C11=72,0,ACJ11+IF(AND($G11=72,$E11=1),1,0))</f>
        <v/>
      </c>
      <c r="ACK12">
        <f>IF($C11=73,0,ACK11+IF(AND($G11=73,$E11=1),1,0))</f>
        <v/>
      </c>
      <c r="ACL12">
        <f>IF($C11=74,0,ACL11+IF(AND($G11=74,$E11=1),1,0))</f>
        <v/>
      </c>
      <c r="ACM12">
        <f>IF($C11=75,0,ACM11+IF(AND($G11=75,$E11=1),1,0))</f>
        <v/>
      </c>
      <c r="ACN12">
        <f>IF($C11=76,0,ACN11+IF(AND($G11=76,$E11=1),1,0))</f>
        <v/>
      </c>
      <c r="ACO12">
        <f>IF($C11=77,0,ACO11+IF(AND($G11=77,$E11=1),1,0))</f>
        <v/>
      </c>
      <c r="ACP12">
        <f>IF($C11=78,0,ACP11+IF(AND($G11=78,$E11=1),1,0))</f>
        <v/>
      </c>
      <c r="ACQ12">
        <f>IF($C11=79,0,ACQ11+IF(AND($G11=79,$E11=1),1,0))</f>
        <v/>
      </c>
      <c r="ACR12">
        <f>IF($C11=80,0,ACR11+IF(AND($G11=80,$E11=1),1,0))</f>
        <v/>
      </c>
      <c r="ACS12">
        <f>IF($C11=81,0,ACS11+IF(AND($G11=81,$E11=1),1,0))</f>
        <v/>
      </c>
      <c r="ACT12">
        <f>IF($C11=82,0,ACT11+IF(AND($G11=82,$E11=1),1,0))</f>
        <v/>
      </c>
      <c r="ACU12">
        <f>IF($C11=83,0,ACU11+IF(AND($G11=83,$E11=1),1,0))</f>
        <v/>
      </c>
      <c r="ACV12">
        <f>IF($C11=84,0,ACV11+IF(AND($G11=84,$E11=1),1,0))</f>
        <v/>
      </c>
      <c r="ACW12">
        <f>IF($C11=85,0,ACW11+IF(AND($G11=85,$E11=1),1,0))</f>
        <v/>
      </c>
      <c r="ACX12">
        <f>IF($C11=86,0,ACX11+IF(AND($G11=86,$E11=1),1,0))</f>
        <v/>
      </c>
      <c r="ACY12">
        <f>IF($C11=87,0,ACY11+IF(AND($G11=87,$E11=1),1,0))</f>
        <v/>
      </c>
      <c r="ACZ12">
        <f>IF($C11=88,0,ACZ11+IF(AND($G11=88,$E11=1),1,0))</f>
        <v/>
      </c>
      <c r="ADA12">
        <f>IF($C11=89,0,ADA11+IF(AND($G11=89,$E11=1),1,0))</f>
        <v/>
      </c>
      <c r="ADB12">
        <f>IF($C11=90,0,ADB11+IF(AND($G11=90,$E11=1),1,0))</f>
        <v/>
      </c>
      <c r="ADC12">
        <f>IF($C11=91,0,ADC11+IF(AND($G11=91,$E11=1),1,0))</f>
        <v/>
      </c>
      <c r="ADD12">
        <f>IF($C11=92,0,ADD11+IF(AND($G11=92,$E11=1),1,0))</f>
        <v/>
      </c>
      <c r="ADE12">
        <f>IF($C11=93,0,ADE11+IF(AND($G11=93,$E11=1),1,0))</f>
        <v/>
      </c>
      <c r="ADF12">
        <f>IF($C11=94,0,ADF11+IF(AND($G11=94,$E11=1),1,0))</f>
        <v/>
      </c>
      <c r="ADG12">
        <f>IF($C11=95,0,ADG11+IF(AND($G11=95,$E11=1),1,0))</f>
        <v/>
      </c>
      <c r="ADH12">
        <f>IF($C11=96,0,ADH11+IF(AND($G11=96,$E11=1),1,0))</f>
        <v/>
      </c>
      <c r="ADI12">
        <f>IF($C11=97,0,ADI11+IF(AND($G11=97,$E11=1),1,0))</f>
        <v/>
      </c>
      <c r="ADJ12">
        <f>IF($C11=98,0,ADJ11+IF(AND($G11=98,$E11=1),1,0))</f>
        <v/>
      </c>
      <c r="ADK12">
        <f>IF($C11=99,0,ADK11+IF(AND($G11=99,$E11=1),1,0))</f>
        <v/>
      </c>
      <c r="ADL12">
        <f>IF($C11=100,0,ADL11+IF(AND($G11=100,$E11=1),1,0))</f>
        <v/>
      </c>
      <c r="ADM12">
        <f>IF($C11=101,0,ADM11+IF(AND($G11=101,$E11=1),1,0))</f>
        <v/>
      </c>
      <c r="ADN12">
        <f>IF($C11=102,0,ADN11+IF(AND($G11=102,$E11=1),1,0))</f>
        <v/>
      </c>
      <c r="ADO12">
        <f>IF($C11=103,0,ADO11+IF(AND($G11=103,$E11=1),1,0))</f>
        <v/>
      </c>
      <c r="ADP12">
        <f>IF($C11=104,0,ADP11+IF(AND($G11=104,$E11=1),1,0))</f>
        <v/>
      </c>
      <c r="ADQ12">
        <f>IF($C11=105,0,ADQ11+IF(AND($G11=105,$E11=1),1,0))</f>
        <v/>
      </c>
      <c r="ADR12">
        <f>IF($C11=106,0,ADR11+IF(AND($G11=106,$E11=1),1,0))</f>
        <v/>
      </c>
      <c r="ADS12">
        <f>IF($C11=107,0,ADS11+IF(AND($G11=107,$E11=1),1,0))</f>
        <v/>
      </c>
      <c r="ADT12">
        <f>IF($C11=108,0,ADT11+IF(AND($G11=108,$E11=1),1,0))</f>
        <v/>
      </c>
      <c r="ADU12">
        <f>IF($C11=109,0,ADU11+IF(AND($G11=109,$E11=1),1,0))</f>
        <v/>
      </c>
      <c r="ADV12">
        <f>IF($C11=110,0,ADV11+IF(AND($G11=110,$E11=1),1,0))</f>
        <v/>
      </c>
      <c r="ADW12">
        <f>IF($C11=111,0,ADW11+IF(AND($G11=111,$E11=1),1,0))</f>
        <v/>
      </c>
      <c r="ADX12">
        <f>IF($C11=112,0,ADX11+IF(AND($G11=112,$E11=1),1,0))</f>
        <v/>
      </c>
      <c r="ADY12">
        <f>IF($C11=113,0,ADY11+IF(AND($G11=113,$E11=1),1,0))</f>
        <v/>
      </c>
      <c r="ADZ12">
        <f>IF($C11=114,0,ADZ11+IF(AND($G11=114,$E11=1),1,0))</f>
        <v/>
      </c>
      <c r="AEA12">
        <f>IF($C11=115,0,AEA11+IF(AND($G11=115,$E11=1),1,0))</f>
        <v/>
      </c>
      <c r="AEB12">
        <f>IF($C11=116,0,AEB11+IF(AND($G11=116,$E11=1),1,0))</f>
        <v/>
      </c>
      <c r="AEC12">
        <f>IF($C11=117,0,AEC11+IF(AND($G11=117,$E11=1),1,0))</f>
        <v/>
      </c>
      <c r="AED12">
        <f>IF($C11=118,0,AED11+IF(AND($G11=118,$E11=1),1,0))</f>
        <v/>
      </c>
      <c r="AEE12">
        <f>IF($C11=119,0,AEE11+IF(AND($G11=119,$E11=1),1,0))</f>
        <v/>
      </c>
      <c r="AEF12">
        <f>IF($C11=120,0,AEF11+IF(AND($G11=120,$E11=1),1,0))</f>
        <v/>
      </c>
      <c r="AEG12">
        <f>IF($C11=121,0,AEG11+IF(AND($G11=121,$E11=1),1,0))</f>
        <v/>
      </c>
      <c r="AEH12">
        <f>IF($C11=122,0,AEH11+IF(AND($G11=122,$E11=1),1,0))</f>
        <v/>
      </c>
      <c r="AEI12">
        <f>IF($C11=123,0,AEI11+IF(AND($G11=123,$E11=1),1,0))</f>
        <v/>
      </c>
      <c r="AEJ12">
        <f>IF($C11=124,0,AEJ11+IF(AND($G11=124,$E11=1),1,0))</f>
        <v/>
      </c>
      <c r="AEK12">
        <f>IF($C11=125,0,AEK11+IF(AND($G11=125,$E11=1),1,0))</f>
        <v/>
      </c>
      <c r="AEL12">
        <f>IF($C11=126,0,AEL11+IF(AND($G11=126,$E11=1),1,0))</f>
        <v/>
      </c>
      <c r="AEM12">
        <f>IF($C11=127,0,AEM11+IF(AND($G11=127,$E11=1),1,0))</f>
        <v/>
      </c>
      <c r="AEN12">
        <f>IF($C11=128,0,AEN11+IF(AND($G11=128,$E11=1),1,0))</f>
        <v/>
      </c>
      <c r="AEO12">
        <f>IF($C11=129,0,AEO11+IF(AND($G11=129,$E11=1),1,0))</f>
        <v/>
      </c>
      <c r="AEP12">
        <f>IF($C11=130,0,AEP11+IF(AND($G11=130,$E11=1),1,0))</f>
        <v/>
      </c>
      <c r="AEQ12">
        <f>IF($C11=131,0,AEQ11+IF(AND($G11=131,$E11=1),1,0))</f>
        <v/>
      </c>
      <c r="AER12">
        <f>IF($C11=132,0,AER11+IF(AND($G11=132,$E11=1),1,0))</f>
        <v/>
      </c>
      <c r="AES12">
        <f>IF($C11=133,0,AES11+IF(AND($G11=133,$E11=1),1,0))</f>
        <v/>
      </c>
      <c r="AET12">
        <f>IF($C11=134,0,AET11+IF(AND($G11=134,$E11=1),1,0))</f>
        <v/>
      </c>
      <c r="AEU12">
        <f>IF($C11=135,0,AEU11+IF(AND($G11=135,$E11=1),1,0))</f>
        <v/>
      </c>
      <c r="AEV12">
        <f>IF($C11=136,0,AEV11+IF(AND($G11=136,$E11=1),1,0))</f>
        <v/>
      </c>
      <c r="AEW12">
        <f>IF($C11=137,0,AEW11+IF(AND($G11=137,$E11=1),1,0))</f>
        <v/>
      </c>
      <c r="AEX12">
        <f>IF($C11=138,0,AEX11+IF(AND($G11=138,$E11=1),1,0))</f>
        <v/>
      </c>
      <c r="AEY12">
        <f>IF($C11=139,0,AEY11+IF(AND($G11=139,$E11=1),1,0))</f>
        <v/>
      </c>
      <c r="AEZ12">
        <f>IF($C11=140,0,AEZ11+IF(AND($G11=140,$E11=1),1,0))</f>
        <v/>
      </c>
      <c r="AFA12">
        <f>IF($C11=141,0,AFA11+IF(AND($G11=141,$E11=1),1,0))</f>
        <v/>
      </c>
      <c r="AFB12">
        <f>IF($C11=142,0,AFB11+IF(AND($G11=142,$E11=1),1,0))</f>
        <v/>
      </c>
      <c r="AFC12">
        <f>IF($C11=143,0,AFC11+IF(AND($G11=143,$E11=1),1,0))</f>
        <v/>
      </c>
      <c r="AFD12">
        <f>IF($C11=144,0,AFD11+IF(AND($G11=144,$E11=1),1,0))</f>
        <v/>
      </c>
      <c r="AFF12">
        <f>IF('calcA'!D$106=1,DC12+ZR12,1)</f>
        <v/>
      </c>
      <c r="AFG12">
        <f>IF('calcA'!E$106=1,DD12+ZS12,1)</f>
        <v/>
      </c>
      <c r="AFH12">
        <f>IF('calcA'!F$106=1,DE12+ZT12,1)</f>
        <v/>
      </c>
      <c r="AFI12">
        <f>IF('calcA'!G$106=1,DF12+ZU12,1)</f>
        <v/>
      </c>
      <c r="AFJ12">
        <f>IF('calcA'!H$106=1,DG12+ZV12,1)</f>
        <v/>
      </c>
      <c r="AFK12">
        <f>IF('calcA'!I$106=1,DH12+ZW12,1)</f>
        <v/>
      </c>
      <c r="AFL12">
        <f>IF('calcA'!J$106=1,DI12+ZX12,1)</f>
        <v/>
      </c>
      <c r="AFM12">
        <f>IF('calcA'!K$106=1,DJ12+ZY12,1)</f>
        <v/>
      </c>
      <c r="AFN12">
        <f>IF('calcA'!L$106=1,DK12+ZZ12,1)</f>
        <v/>
      </c>
      <c r="AFO12">
        <f>IF('calcA'!M$106=1,DL12+AAA12,1)</f>
        <v/>
      </c>
      <c r="AFP12">
        <f>IF('calcA'!N$106=1,DM12+AAB12,1)</f>
        <v/>
      </c>
      <c r="AFQ12">
        <f>IF('calcA'!O$106=1,DN12+AAC12,1)</f>
        <v/>
      </c>
      <c r="AFR12">
        <f>IF('calcA'!P$106=1,DO12+AAD12,1)</f>
        <v/>
      </c>
      <c r="AFS12">
        <f>IF('calcA'!Q$106=1,DP12+AAE12,1)</f>
        <v/>
      </c>
      <c r="AFT12">
        <f>IF('calcA'!R$106=1,DQ12+AAF12,1)</f>
        <v/>
      </c>
      <c r="AFU12">
        <f>IF('calcA'!S$106=1,DR12+AAG12,1)</f>
        <v/>
      </c>
      <c r="AFV12">
        <f>IF('calcA'!T$106=1,DS12+AAH12,1)</f>
        <v/>
      </c>
      <c r="AFW12">
        <f>IF('calcA'!U$106=1,DT12+AAI12,1)</f>
        <v/>
      </c>
      <c r="AFX12">
        <f>IF('calcA'!V$106=1,DU12+AAJ12,1)</f>
        <v/>
      </c>
      <c r="AFY12">
        <f>IF('calcA'!W$106=1,DV12+AAK12,1)</f>
        <v/>
      </c>
      <c r="AFZ12">
        <f>IF('calcA'!X$106=1,DW12+AAL12,1)</f>
        <v/>
      </c>
      <c r="AGA12">
        <f>IF('calcA'!Y$106=1,DX12+AAM12,1)</f>
        <v/>
      </c>
      <c r="AGB12">
        <f>IF('calcA'!Z$106=1,DY12+AAN12,1)</f>
        <v/>
      </c>
      <c r="AGC12">
        <f>IF('calcA'!AA$106=1,DZ12+AAO12,1)</f>
        <v/>
      </c>
      <c r="AGD12">
        <f>IF('calcA'!AB$106=1,EA12+AAP12,1)</f>
        <v/>
      </c>
      <c r="AGE12">
        <f>IF('calcA'!AC$106=1,EB12+AAQ12,1)</f>
        <v/>
      </c>
      <c r="AGF12">
        <f>IF('calcA'!AD$106=1,EC12+AAR12,1)</f>
        <v/>
      </c>
      <c r="AGG12">
        <f>IF('calcA'!AE$106=1,ED12+AAS12,1)</f>
        <v/>
      </c>
      <c r="AGH12">
        <f>IF('calcA'!AF$106=1,EE12+AAT12,1)</f>
        <v/>
      </c>
      <c r="AGI12">
        <f>IF('calcA'!AG$106=1,EF12+AAU12,1)</f>
        <v/>
      </c>
      <c r="AGJ12">
        <f>IF('calcA'!AH$106=1,EG12+AAV12,1)</f>
        <v/>
      </c>
      <c r="AGK12">
        <f>IF('calcA'!AI$106=1,EH12+AAW12,1)</f>
        <v/>
      </c>
      <c r="AGL12">
        <f>IF('calcA'!AJ$106=1,EI12+AAX12,1)</f>
        <v/>
      </c>
      <c r="AGM12">
        <f>IF('calcA'!AK$106=1,EJ12+AAY12,1)</f>
        <v/>
      </c>
      <c r="AGN12">
        <f>IF('calcA'!AL$106=1,EK12+AAZ12,1)</f>
        <v/>
      </c>
      <c r="AGO12">
        <f>IF('calcA'!AM$106=1,EL12+ABA12,1)</f>
        <v/>
      </c>
      <c r="AGP12">
        <f>IF('calcA'!AN$106=1,EM12+ABB12,1)</f>
        <v/>
      </c>
      <c r="AGQ12">
        <f>IF('calcA'!AO$106=1,EN12+ABC12,1)</f>
        <v/>
      </c>
      <c r="AGR12">
        <f>IF('calcA'!AP$106=1,EO12+ABD12,1)</f>
        <v/>
      </c>
      <c r="AGS12">
        <f>IF('calcA'!AQ$106=1,EP12+ABE12,1)</f>
        <v/>
      </c>
      <c r="AGT12">
        <f>IF('calcA'!AR$106=1,EQ12+ABF12,1)</f>
        <v/>
      </c>
      <c r="AGU12">
        <f>IF('calcA'!AS$106=1,ER12+ABG12,1)</f>
        <v/>
      </c>
      <c r="AGV12">
        <f>IF('calcA'!AT$106=1,ES12+ABH12,1)</f>
        <v/>
      </c>
      <c r="AGW12">
        <f>IF('calcA'!AU$106=1,ET12+ABI12,1)</f>
        <v/>
      </c>
      <c r="AGX12">
        <f>IF('calcA'!AV$106=1,EU12+ABJ12,1)</f>
        <v/>
      </c>
      <c r="AGY12">
        <f>IF('calcA'!AW$106=1,EV12+ABK12,1)</f>
        <v/>
      </c>
      <c r="AGZ12">
        <f>IF('calcA'!AX$106=1,EW12+ABL12,1)</f>
        <v/>
      </c>
      <c r="AHA12">
        <f>IF('calcA'!AY$106=1,EX12+ABM12,1)</f>
        <v/>
      </c>
      <c r="AHB12">
        <f>IF('calcA'!AZ$106=1,EY12+ABN12,1)</f>
        <v/>
      </c>
      <c r="AHC12">
        <f>IF('calcA'!BA$106=1,EZ12+ABO12,1)</f>
        <v/>
      </c>
      <c r="AHD12">
        <f>IF('calcA'!BB$106=1,FA12+ABP12,1)</f>
        <v/>
      </c>
      <c r="AHE12">
        <f>IF('calcA'!BC$106=1,FB12+ABQ12,1)</f>
        <v/>
      </c>
      <c r="AHF12">
        <f>IF('calcA'!BD$106=1,FC12+ABR12,1)</f>
        <v/>
      </c>
      <c r="AHG12">
        <f>IF('calcA'!BE$106=1,FD12+ABS12,1)</f>
        <v/>
      </c>
      <c r="AHH12">
        <f>IF('calcA'!BF$106=1,FE12+ABT12,1)</f>
        <v/>
      </c>
      <c r="AHI12">
        <f>IF('calcA'!BG$106=1,FF12+ABU12,1)</f>
        <v/>
      </c>
      <c r="AHJ12">
        <f>IF('calcA'!BH$106=1,FG12+ABV12,1)</f>
        <v/>
      </c>
      <c r="AHK12">
        <f>IF('calcA'!BI$106=1,FH12+ABW12,1)</f>
        <v/>
      </c>
      <c r="AHL12">
        <f>IF('calcA'!BJ$106=1,FI12+ABX12,1)</f>
        <v/>
      </c>
      <c r="AHM12">
        <f>IF('calcA'!BK$106=1,FJ12+ABY12,1)</f>
        <v/>
      </c>
      <c r="AHN12">
        <f>IF('calcA'!BL$106=1,FK12+ABZ12,1)</f>
        <v/>
      </c>
      <c r="AHO12">
        <f>IF('calcA'!BM$106=1,FL12+ACA12,1)</f>
        <v/>
      </c>
      <c r="AHP12">
        <f>IF('calcA'!BN$106=1,FM12+ACB12,1)</f>
        <v/>
      </c>
      <c r="AHQ12">
        <f>IF('calcA'!BO$106=1,FN12+ACC12,1)</f>
        <v/>
      </c>
      <c r="AHR12">
        <f>IF('calcA'!BP$106=1,FO12+ACD12,1)</f>
        <v/>
      </c>
      <c r="AHS12">
        <f>IF('calcA'!BQ$106=1,FP12+ACE12,1)</f>
        <v/>
      </c>
      <c r="AHT12">
        <f>IF('calcA'!BR$106=1,FQ12+ACF12,1)</f>
        <v/>
      </c>
      <c r="AHU12">
        <f>IF('calcA'!BS$106=1,FR12+ACG12,1)</f>
        <v/>
      </c>
      <c r="AHV12">
        <f>IF('calcA'!BT$106=1,FS12+ACH12,1)</f>
        <v/>
      </c>
      <c r="AHW12">
        <f>IF('calcA'!BU$106=1,FT12+ACI12,1)</f>
        <v/>
      </c>
      <c r="AHX12">
        <f>IF('calcA'!BV$106=1,FU12+ACJ12,1)</f>
        <v/>
      </c>
      <c r="AHY12">
        <f>IF('calcA'!BW$106=1,FV12+ACK12,1)</f>
        <v/>
      </c>
      <c r="AHZ12">
        <f>IF('calcA'!BX$106=1,FW12+ACL12,1)</f>
        <v/>
      </c>
      <c r="AIA12">
        <f>IF('calcA'!BY$106=1,FX12+ACM12,1)</f>
        <v/>
      </c>
      <c r="AIB12">
        <f>IF('calcA'!BZ$106=1,FY12+ACN12,1)</f>
        <v/>
      </c>
      <c r="AIC12">
        <f>IF('calcA'!CA$106=1,FZ12+ACO12,1)</f>
        <v/>
      </c>
      <c r="AID12">
        <f>IF('calcA'!CB$106=1,GA12+ACP12,1)</f>
        <v/>
      </c>
      <c r="AIE12">
        <f>IF('calcA'!CC$106=1,GB12+ACQ12,1)</f>
        <v/>
      </c>
      <c r="AIF12">
        <f>IF('calcA'!CD$106=1,GC12+ACR12,1)</f>
        <v/>
      </c>
      <c r="AIG12">
        <f>IF('calcA'!CE$106=1,GD12+ACS12,1)</f>
        <v/>
      </c>
      <c r="AIH12">
        <f>IF('calcA'!CF$106=1,GE12+ACT12,1)</f>
        <v/>
      </c>
      <c r="AII12">
        <f>IF('calcA'!CG$106=1,GF12+ACU12,1)</f>
        <v/>
      </c>
      <c r="AIJ12">
        <f>IF('calcA'!CH$106=1,GG12+ACV12,1)</f>
        <v/>
      </c>
      <c r="AIK12">
        <f>IF('calcA'!CI$106=1,GH12+ACW12,1)</f>
        <v/>
      </c>
      <c r="AIL12">
        <f>IF('calcA'!CJ$106=1,GI12+ACX12,1)</f>
        <v/>
      </c>
      <c r="AIM12">
        <f>IF('calcA'!CK$106=1,GJ12+ACY12,1)</f>
        <v/>
      </c>
      <c r="AIN12">
        <f>IF('calcA'!CL$106=1,GK12+ACZ12,1)</f>
        <v/>
      </c>
      <c r="AIO12">
        <f>IF('calcA'!CM$106=1,GL12+ADA12,1)</f>
        <v/>
      </c>
      <c r="AIP12">
        <f>IF('calcA'!CN$106=1,GM12+ADB12,1)</f>
        <v/>
      </c>
      <c r="AIQ12">
        <f>IF('calcA'!CO$106=1,GN12+ADC12,1)</f>
        <v/>
      </c>
      <c r="AIR12">
        <f>IF('calcA'!CP$106=1,GO12+ADD12,1)</f>
        <v/>
      </c>
      <c r="AIS12">
        <f>IF('calcA'!CQ$106=1,GP12+ADE12,1)</f>
        <v/>
      </c>
      <c r="AIT12">
        <f>IF('calcA'!CR$106=1,GQ12+ADF12,1)</f>
        <v/>
      </c>
      <c r="AIU12">
        <f>IF('calcA'!CS$106=1,GR12+ADG12,1)</f>
        <v/>
      </c>
      <c r="AIV12">
        <f>IF('calcA'!CT$106=1,GS12+ADH12,1)</f>
        <v/>
      </c>
      <c r="AIW12">
        <f>IF('calcA'!CU$106=1,GT12+ADI12,1)</f>
        <v/>
      </c>
      <c r="AIX12">
        <f>IF('calcA'!CV$106=1,GU12+ADJ12,1)</f>
        <v/>
      </c>
      <c r="AIY12">
        <f>IF('calcA'!CW$106=1,GV12+ADK12,1)</f>
        <v/>
      </c>
      <c r="AIZ12">
        <f>IF('calcA'!CX$106=1,GW12+ADL12,1)</f>
        <v/>
      </c>
      <c r="AJA12">
        <f>IF('calcA'!CY$106=1,GX12+ADM12,1)</f>
        <v/>
      </c>
      <c r="AJB12">
        <f>IF('calcA'!CZ$106=1,GY12+ADN12,1)</f>
        <v/>
      </c>
      <c r="AJC12">
        <f>IF('calcA'!DA$106=1,GZ12+ADO12,1)</f>
        <v/>
      </c>
      <c r="AJD12">
        <f>IF('calcA'!DB$106=1,HA12+ADP12,1)</f>
        <v/>
      </c>
      <c r="AJE12">
        <f>IF('calcA'!DC$106=1,HB12+ADQ12,1)</f>
        <v/>
      </c>
      <c r="AJF12">
        <f>IF('calcA'!DD$106=1,HC12+ADR12,1)</f>
        <v/>
      </c>
      <c r="AJG12">
        <f>IF('calcA'!DE$106=1,HD12+ADS12,1)</f>
        <v/>
      </c>
      <c r="AJH12">
        <f>IF('calcA'!DF$106=1,HE12+ADT12,1)</f>
        <v/>
      </c>
      <c r="AJI12">
        <f>IF('calcA'!DG$106=1,HF12+ADU12,1)</f>
        <v/>
      </c>
      <c r="AJJ12">
        <f>IF('calcA'!DH$106=1,HG12+ADV12,1)</f>
        <v/>
      </c>
      <c r="AJK12">
        <f>IF('calcA'!DI$106=1,HH12+ADW12,1)</f>
        <v/>
      </c>
      <c r="AJL12">
        <f>IF('calcA'!DJ$106=1,HI12+ADX12,1)</f>
        <v/>
      </c>
      <c r="AJM12">
        <f>IF('calcA'!DK$106=1,HJ12+ADY12,1)</f>
        <v/>
      </c>
      <c r="AJN12">
        <f>IF('calcA'!DL$106=1,HK12+ADZ12,1)</f>
        <v/>
      </c>
      <c r="AJO12">
        <f>IF('calcA'!DM$106=1,HL12+AEA12,1)</f>
        <v/>
      </c>
      <c r="AJP12">
        <f>IF('calcA'!DN$106=1,HM12+AEB12,1)</f>
        <v/>
      </c>
      <c r="AJQ12">
        <f>IF('calcA'!DO$106=1,HN12+AEC12,1)</f>
        <v/>
      </c>
      <c r="AJR12">
        <f>IF('calcA'!DP$106=1,HO12+AED12,1)</f>
        <v/>
      </c>
      <c r="AJS12">
        <f>IF('calcA'!DQ$106=1,HP12+AEE12,1)</f>
        <v/>
      </c>
      <c r="AJT12">
        <f>IF('calcA'!DR$106=1,HQ12+AEF12,1)</f>
        <v/>
      </c>
      <c r="AJU12">
        <f>IF('calcA'!DS$106=1,HR12+AEG12,1)</f>
        <v/>
      </c>
      <c r="AJV12">
        <f>IF('calcA'!DT$106=1,HS12+AEH12,1)</f>
        <v/>
      </c>
      <c r="AJW12">
        <f>IF('calcA'!DU$106=1,HT12+AEI12,1)</f>
        <v/>
      </c>
      <c r="AJX12">
        <f>IF('calcA'!DV$106=1,HU12+AEJ12,1)</f>
        <v/>
      </c>
      <c r="AJY12">
        <f>IF('calcA'!DW$106=1,HV12+AEK12,1)</f>
        <v/>
      </c>
      <c r="AJZ12">
        <f>IF('calcA'!DX$106=1,HW12+AEL12,1)</f>
        <v/>
      </c>
      <c r="AKA12">
        <f>IF('calcA'!DY$106=1,HX12+AEM12,1)</f>
        <v/>
      </c>
      <c r="AKB12">
        <f>IF('calcA'!DZ$106=1,HY12+AEN12,1)</f>
        <v/>
      </c>
      <c r="AKC12">
        <f>IF('calcA'!EA$106=1,HZ12+AEO12,1)</f>
        <v/>
      </c>
      <c r="AKD12">
        <f>IF('calcA'!EB$106=1,IA12+AEP12,1)</f>
        <v/>
      </c>
      <c r="AKE12">
        <f>IF('calcA'!EC$106=1,IB12+AEQ12,1)</f>
        <v/>
      </c>
      <c r="AKF12">
        <f>IF('calcA'!ED$106=1,IC12+AER12,1)</f>
        <v/>
      </c>
      <c r="AKG12">
        <f>IF('calcA'!EE$106=1,ID12+AES12,1)</f>
        <v/>
      </c>
      <c r="AKH12">
        <f>IF('calcA'!EF$106=1,IE12+AET12,1)</f>
        <v/>
      </c>
      <c r="AKI12">
        <f>IF('calcA'!EG$106=1,IF12+AEU12,1)</f>
        <v/>
      </c>
      <c r="AKJ12">
        <f>IF('calcA'!EH$106=1,IG12+AEV12,1)</f>
        <v/>
      </c>
      <c r="AKK12">
        <f>IF('calcA'!EI$106=1,IH12+AEW12,1)</f>
        <v/>
      </c>
      <c r="AKL12">
        <f>IF('calcA'!EJ$106=1,II12+AEX12,1)</f>
        <v/>
      </c>
      <c r="AKM12">
        <f>IF('calcA'!EK$106=1,IJ12+AEY12,1)</f>
        <v/>
      </c>
      <c r="AKN12">
        <f>IF('calcA'!EL$106=1,IK12+AEZ12,1)</f>
        <v/>
      </c>
      <c r="AKO12">
        <f>IF('calcA'!EM$106=1,IL12+AFA12,1)</f>
        <v/>
      </c>
      <c r="AKP12">
        <f>IF('calcA'!EN$106=1,IM12+AFB12,1)</f>
        <v/>
      </c>
      <c r="AKQ12">
        <f>IF('calcA'!EO$106=1,IN12+AFC12,1)</f>
        <v/>
      </c>
      <c r="AKR12">
        <f>IF('calcA'!EP$106=1,IO12+AFD12,1)</f>
        <v/>
      </c>
      <c r="AKS12" t="n">
        <v>1</v>
      </c>
    </row>
    <row r="13">
      <c r="A13" t="n">
        <v>11</v>
      </c>
      <c r="B13">
        <f>IF(MIN(BM13:CZ13)&gt;=1000000000,0,MATCH(MIN(BM13:CZ13),BM13:CZ13,0))</f>
        <v/>
      </c>
      <c r="C13">
        <f>IF(MIN(OF13:TS13)&gt;=1000000000,0,MATCH(MIN(OF13:TS13),OF13:TS13,0))</f>
        <v/>
      </c>
      <c r="D13">
        <f>IF(C13&gt;0,INDEX('calcA'!$D$5:$EQ$5,C13),0)</f>
        <v/>
      </c>
      <c r="E13">
        <f>IF(B13=0,0,INDEX('calcA'!$IQ$10:$IQ$54,B13))</f>
        <v/>
      </c>
      <c r="F13">
        <f>IF(B13=0,0,INDEX('calcA'!$IP$10:$IP$54,B13))</f>
        <v/>
      </c>
      <c r="G13">
        <f>IF(AND(C13&gt;0,E13&gt;0),IF(AND(INDEX('calcA'!$D$106:$EQ$106,C13)=1,INDEX($IQ13:$OD13,C13)=1),C13+1,0),0)</f>
        <v/>
      </c>
      <c r="H13">
        <f>IF(B13=0,0,INDEX('calcA'!$IW$10:$IW$54,B13))</f>
        <v/>
      </c>
      <c r="U13">
        <f>IF(B13=0,0,INDEX('calcA'!$IX$10:$IX$54,B13))</f>
        <v/>
      </c>
      <c r="V13">
        <f>IF(B13=0,0,INDEX('calcA'!$JF$10:$JF$54,B13))</f>
        <v/>
      </c>
      <c r="W13">
        <f>IF(B13=0,0,IF(IF(E13=2,SUMPRODUCT(INDEX('calcA'!$D$60:$EQ$99,B13,0),$DB13:$IO13,$IQ13:$OD13),SUMPRODUCT(INDEX('calcA'!$D$60:$EQ$99,B13,0),$DB13:$IO13))=0,1,0))</f>
        <v/>
      </c>
      <c r="X13">
        <f>MAX(X12,IF($B12=1,1,0))</f>
        <v/>
      </c>
      <c r="Y13">
        <f>MAX(Y12,IF($B12=2,1,0))</f>
        <v/>
      </c>
      <c r="Z13">
        <f>MAX(Z12,IF($B12=3,1,0))</f>
        <v/>
      </c>
      <c r="AA13">
        <f>MAX(AA12,IF($B12=4,1,0))</f>
        <v/>
      </c>
      <c r="AB13">
        <f>MAX(AB12,IF($B12=5,1,0))</f>
        <v/>
      </c>
      <c r="AC13">
        <f>MAX(AC12,IF($B12=6,1,0))</f>
        <v/>
      </c>
      <c r="AD13">
        <f>MAX(AD12,IF($B12=7,1,0))</f>
        <v/>
      </c>
      <c r="AE13">
        <f>MAX(AE12,IF($B12=8,1,0))</f>
        <v/>
      </c>
      <c r="AF13">
        <f>MAX(AF12,IF($B12=9,1,0))</f>
        <v/>
      </c>
      <c r="AG13">
        <f>MAX(AG12,IF($B12=10,1,0))</f>
        <v/>
      </c>
      <c r="AH13">
        <f>MAX(AH12,IF($B12=11,1,0))</f>
        <v/>
      </c>
      <c r="AI13">
        <f>MAX(AI12,IF($B12=12,1,0))</f>
        <v/>
      </c>
      <c r="AJ13">
        <f>MAX(AJ12,IF($B12=13,1,0))</f>
        <v/>
      </c>
      <c r="AK13">
        <f>MAX(AK12,IF($B12=14,1,0))</f>
        <v/>
      </c>
      <c r="AL13">
        <f>MAX(AL12,IF($B12=15,1,0))</f>
        <v/>
      </c>
      <c r="AM13">
        <f>MAX(AM12,IF($B12=16,1,0))</f>
        <v/>
      </c>
      <c r="AN13">
        <f>MAX(AN12,IF($B12=17,1,0))</f>
        <v/>
      </c>
      <c r="AO13">
        <f>MAX(AO12,IF($B12=18,1,0))</f>
        <v/>
      </c>
      <c r="AP13">
        <f>MAX(AP12,IF($B12=19,1,0))</f>
        <v/>
      </c>
      <c r="AQ13">
        <f>MAX(AQ12,IF($B12=20,1,0))</f>
        <v/>
      </c>
      <c r="AR13">
        <f>MAX(AR12,IF($B12=21,1,0))</f>
        <v/>
      </c>
      <c r="AS13">
        <f>MAX(AS12,IF($B12=22,1,0))</f>
        <v/>
      </c>
      <c r="AT13">
        <f>MAX(AT12,IF($B12=23,1,0))</f>
        <v/>
      </c>
      <c r="AU13">
        <f>MAX(AU12,IF($B12=24,1,0))</f>
        <v/>
      </c>
      <c r="AV13">
        <f>MAX(AV12,IF($B12=25,1,0))</f>
        <v/>
      </c>
      <c r="AW13">
        <f>MAX(AW12,IF($B12=26,1,0))</f>
        <v/>
      </c>
      <c r="AX13">
        <f>MAX(AX12,IF($B12=27,1,0))</f>
        <v/>
      </c>
      <c r="AY13">
        <f>MAX(AY12,IF($B12=28,1,0))</f>
        <v/>
      </c>
      <c r="AZ13">
        <f>MAX(AZ12,IF($B12=29,1,0))</f>
        <v/>
      </c>
      <c r="BA13">
        <f>MAX(BA12,IF($B12=30,1,0))</f>
        <v/>
      </c>
      <c r="BB13">
        <f>MAX(BB12,IF($B12=31,1,0))</f>
        <v/>
      </c>
      <c r="BC13">
        <f>MAX(BC12,IF($B12=32,1,0))</f>
        <v/>
      </c>
      <c r="BD13">
        <f>MAX(BD12,IF($B12=33,1,0))</f>
        <v/>
      </c>
      <c r="BE13">
        <f>MAX(BE12,IF($B12=34,1,0))</f>
        <v/>
      </c>
      <c r="BF13">
        <f>MAX(BF12,IF($B12=35,1,0))</f>
        <v/>
      </c>
      <c r="BG13">
        <f>MAX(BG12,IF($B12=36,1,0))</f>
        <v/>
      </c>
      <c r="BH13">
        <f>MAX(BH12,IF($B12=37,1,0))</f>
        <v/>
      </c>
      <c r="BI13">
        <f>MAX(BI12,IF($B12=38,1,0))</f>
        <v/>
      </c>
      <c r="BJ13">
        <f>MAX(BJ12,IF($B12=39,1,0))</f>
        <v/>
      </c>
      <c r="BK13">
        <f>MAX(BK12,IF($B12=40,1,0))</f>
        <v/>
      </c>
      <c r="BM13">
        <f>IF(OR(X13=1,calcA!$A$6=0),1000000000,IF('calcA'!$JF$10=1,0,100000000)+IF('calcA'!$IQ$10=2,SUMPRODUCT('calcA'!$D$60:$EQ$60,$DB13:$IO13,$IQ13:$OD13)*1000+SUMPRODUCT('calcA'!$D$60:$EQ$60,$DB13:$IO13+$ZQ13:$AFD13,$AFF13:$AKS13),SUMPRODUCT('calcA'!$D$60:$EQ$60,$DB13:$IO13*1001+$ZQ13:$AFD13))*100+1)</f>
        <v/>
      </c>
      <c r="BN13">
        <f>IF(OR(Y13=1,calcA!$A$6=0),1000000000,IF('calcA'!$JF$11=1,0,100000000)+IF('calcA'!$IQ$11=2,SUMPRODUCT('calcA'!$D$61:$EQ$61,$DB13:$IO13,$IQ13:$OD13)*1000+SUMPRODUCT('calcA'!$D$61:$EQ$61,$DB13:$IO13+$ZQ13:$AFD13,$AFF13:$AKS13),SUMPRODUCT('calcA'!$D$61:$EQ$61,$DB13:$IO13*1001+$ZQ13:$AFD13))*100+2)</f>
        <v/>
      </c>
      <c r="BO13">
        <f>IF(OR(Z13=1,calcA!$A$6=0),1000000000,IF('calcA'!$JF$12=1,0,100000000)+IF('calcA'!$IQ$12=2,SUMPRODUCT('calcA'!$D$62:$EQ$62,$DB13:$IO13,$IQ13:$OD13)*1000+SUMPRODUCT('calcA'!$D$62:$EQ$62,$DB13:$IO13+$ZQ13:$AFD13,$AFF13:$AKS13),SUMPRODUCT('calcA'!$D$62:$EQ$62,$DB13:$IO13*1001+$ZQ13:$AFD13))*100+3)</f>
        <v/>
      </c>
      <c r="BP13">
        <f>IF(OR(AA13=1,calcA!$A$6=0),1000000000,IF('calcA'!$JF$13=1,0,100000000)+IF('calcA'!$IQ$13=2,SUMPRODUCT('calcA'!$D$63:$EQ$63,$DB13:$IO13,$IQ13:$OD13)*1000+SUMPRODUCT('calcA'!$D$63:$EQ$63,$DB13:$IO13+$ZQ13:$AFD13,$AFF13:$AKS13),SUMPRODUCT('calcA'!$D$63:$EQ$63,$DB13:$IO13*1001+$ZQ13:$AFD13))*100+4)</f>
        <v/>
      </c>
      <c r="BQ13">
        <f>IF(OR(AB13=1,calcA!$A$6=0),1000000000,IF('calcA'!$JF$14=1,0,100000000)+IF('calcA'!$IQ$14=2,SUMPRODUCT('calcA'!$D$64:$EQ$64,$DB13:$IO13,$IQ13:$OD13)*1000+SUMPRODUCT('calcA'!$D$64:$EQ$64,$DB13:$IO13+$ZQ13:$AFD13,$AFF13:$AKS13),SUMPRODUCT('calcA'!$D$64:$EQ$64,$DB13:$IO13*1001+$ZQ13:$AFD13))*100+5)</f>
        <v/>
      </c>
      <c r="BR13">
        <f>IF(OR(AC13=1,calcA!$A$6=0),1000000000,IF('calcA'!$JF$15=1,0,100000000)+IF('calcA'!$IQ$15=2,SUMPRODUCT('calcA'!$D$65:$EQ$65,$DB13:$IO13,$IQ13:$OD13)*1000+SUMPRODUCT('calcA'!$D$65:$EQ$65,$DB13:$IO13+$ZQ13:$AFD13,$AFF13:$AKS13),SUMPRODUCT('calcA'!$D$65:$EQ$65,$DB13:$IO13*1001+$ZQ13:$AFD13))*100+6)</f>
        <v/>
      </c>
      <c r="BS13">
        <f>IF(OR(AD13=1,calcA!$A$6=0),1000000000,IF('calcA'!$JF$16=1,0,100000000)+IF('calcA'!$IQ$16=2,SUMPRODUCT('calcA'!$D$66:$EQ$66,$DB13:$IO13,$IQ13:$OD13)*1000+SUMPRODUCT('calcA'!$D$66:$EQ$66,$DB13:$IO13+$ZQ13:$AFD13,$AFF13:$AKS13),SUMPRODUCT('calcA'!$D$66:$EQ$66,$DB13:$IO13*1001+$ZQ13:$AFD13))*100+7)</f>
        <v/>
      </c>
      <c r="BT13">
        <f>IF(OR(AE13=1,calcA!$A$6=0),1000000000,IF('calcA'!$JF$17=1,0,100000000)+IF('calcA'!$IQ$17=2,SUMPRODUCT('calcA'!$D$67:$EQ$67,$DB13:$IO13,$IQ13:$OD13)*1000+SUMPRODUCT('calcA'!$D$67:$EQ$67,$DB13:$IO13+$ZQ13:$AFD13,$AFF13:$AKS13),SUMPRODUCT('calcA'!$D$67:$EQ$67,$DB13:$IO13*1001+$ZQ13:$AFD13))*100+8)</f>
        <v/>
      </c>
      <c r="BU13">
        <f>IF(OR(AF13=1,calcA!$A$6=0),1000000000,IF('calcA'!$JF$18=1,0,100000000)+IF('calcA'!$IQ$18=2,SUMPRODUCT('calcA'!$D$68:$EQ$68,$DB13:$IO13,$IQ13:$OD13)*1000+SUMPRODUCT('calcA'!$D$68:$EQ$68,$DB13:$IO13+$ZQ13:$AFD13,$AFF13:$AKS13),SUMPRODUCT('calcA'!$D$68:$EQ$68,$DB13:$IO13*1001+$ZQ13:$AFD13))*100+9)</f>
        <v/>
      </c>
      <c r="BV13">
        <f>IF(OR(AG13=1,calcA!$A$6=0),1000000000,IF('calcA'!$JF$19=1,0,100000000)+IF('calcA'!$IQ$19=2,SUMPRODUCT('calcA'!$D$69:$EQ$69,$DB13:$IO13,$IQ13:$OD13)*1000+SUMPRODUCT('calcA'!$D$69:$EQ$69,$DB13:$IO13+$ZQ13:$AFD13,$AFF13:$AKS13),SUMPRODUCT('calcA'!$D$69:$EQ$69,$DB13:$IO13*1001+$ZQ13:$AFD13))*100+10)</f>
        <v/>
      </c>
      <c r="BW13">
        <f>IF(OR(AH13=1,calcA!$A$6=0),1000000000,IF('calcA'!$JF$20=1,0,100000000)+IF('calcA'!$IQ$20=2,SUMPRODUCT('calcA'!$D$70:$EQ$70,$DB13:$IO13,$IQ13:$OD13)*1000+SUMPRODUCT('calcA'!$D$70:$EQ$70,$DB13:$IO13+$ZQ13:$AFD13,$AFF13:$AKS13),SUMPRODUCT('calcA'!$D$70:$EQ$70,$DB13:$IO13*1001+$ZQ13:$AFD13))*100+11)</f>
        <v/>
      </c>
      <c r="BX13">
        <f>IF(OR(AI13=1,calcA!$A$6=0),1000000000,IF('calcA'!$JF$21=1,0,100000000)+IF('calcA'!$IQ$21=2,SUMPRODUCT('calcA'!$D$71:$EQ$71,$DB13:$IO13,$IQ13:$OD13)*1000+SUMPRODUCT('calcA'!$D$71:$EQ$71,$DB13:$IO13+$ZQ13:$AFD13,$AFF13:$AKS13),SUMPRODUCT('calcA'!$D$71:$EQ$71,$DB13:$IO13*1001+$ZQ13:$AFD13))*100+12)</f>
        <v/>
      </c>
      <c r="BY13">
        <f>IF(OR(AJ13=1,calcA!$A$6=0),1000000000,IF('calcA'!$JF$22=1,0,100000000)+IF('calcA'!$IQ$22=2,SUMPRODUCT('calcA'!$D$72:$EQ$72,$DB13:$IO13,$IQ13:$OD13)*1000+SUMPRODUCT('calcA'!$D$72:$EQ$72,$DB13:$IO13+$ZQ13:$AFD13,$AFF13:$AKS13),SUMPRODUCT('calcA'!$D$72:$EQ$72,$DB13:$IO13*1001+$ZQ13:$AFD13))*100+13)</f>
        <v/>
      </c>
      <c r="BZ13">
        <f>IF(OR(AK13=1,calcA!$A$6=0),1000000000,IF('calcA'!$JF$23=1,0,100000000)+IF('calcA'!$IQ$23=2,SUMPRODUCT('calcA'!$D$73:$EQ$73,$DB13:$IO13,$IQ13:$OD13)*1000+SUMPRODUCT('calcA'!$D$73:$EQ$73,$DB13:$IO13+$ZQ13:$AFD13,$AFF13:$AKS13),SUMPRODUCT('calcA'!$D$73:$EQ$73,$DB13:$IO13*1001+$ZQ13:$AFD13))*100+14)</f>
        <v/>
      </c>
      <c r="CA13">
        <f>IF(OR(AL13=1,calcA!$A$6=0),1000000000,IF('calcA'!$JF$24=1,0,100000000)+IF('calcA'!$IQ$24=2,SUMPRODUCT('calcA'!$D$74:$EQ$74,$DB13:$IO13,$IQ13:$OD13)*1000+SUMPRODUCT('calcA'!$D$74:$EQ$74,$DB13:$IO13+$ZQ13:$AFD13,$AFF13:$AKS13),SUMPRODUCT('calcA'!$D$74:$EQ$74,$DB13:$IO13*1001+$ZQ13:$AFD13))*100+15)</f>
        <v/>
      </c>
      <c r="CB13">
        <f>IF(OR(AM13=1,calcA!$A$6=0),1000000000,IF('calcA'!$JF$25=1,0,100000000)+IF('calcA'!$IQ$25=2,SUMPRODUCT('calcA'!$D$75:$EQ$75,$DB13:$IO13,$IQ13:$OD13)*1000+SUMPRODUCT('calcA'!$D$75:$EQ$75,$DB13:$IO13+$ZQ13:$AFD13,$AFF13:$AKS13),SUMPRODUCT('calcA'!$D$75:$EQ$75,$DB13:$IO13*1001+$ZQ13:$AFD13))*100+16)</f>
        <v/>
      </c>
      <c r="CC13">
        <f>IF(OR(AN13=1,calcA!$A$6=0),1000000000,IF('calcA'!$JF$26=1,0,100000000)+IF('calcA'!$IQ$26=2,SUMPRODUCT('calcA'!$D$76:$EQ$76,$DB13:$IO13,$IQ13:$OD13)*1000+SUMPRODUCT('calcA'!$D$76:$EQ$76,$DB13:$IO13+$ZQ13:$AFD13,$AFF13:$AKS13),SUMPRODUCT('calcA'!$D$76:$EQ$76,$DB13:$IO13*1001+$ZQ13:$AFD13))*100+17)</f>
        <v/>
      </c>
      <c r="CD13">
        <f>IF(OR(AO13=1,calcA!$A$6=0),1000000000,IF('calcA'!$JF$27=1,0,100000000)+IF('calcA'!$IQ$27=2,SUMPRODUCT('calcA'!$D$77:$EQ$77,$DB13:$IO13,$IQ13:$OD13)*1000+SUMPRODUCT('calcA'!$D$77:$EQ$77,$DB13:$IO13+$ZQ13:$AFD13,$AFF13:$AKS13),SUMPRODUCT('calcA'!$D$77:$EQ$77,$DB13:$IO13*1001+$ZQ13:$AFD13))*100+18)</f>
        <v/>
      </c>
      <c r="CE13">
        <f>IF(OR(AP13=1,calcA!$A$6=0),1000000000,IF('calcA'!$JF$28=1,0,100000000)+IF('calcA'!$IQ$28=2,SUMPRODUCT('calcA'!$D$78:$EQ$78,$DB13:$IO13,$IQ13:$OD13)*1000+SUMPRODUCT('calcA'!$D$78:$EQ$78,$DB13:$IO13+$ZQ13:$AFD13,$AFF13:$AKS13),SUMPRODUCT('calcA'!$D$78:$EQ$78,$DB13:$IO13*1001+$ZQ13:$AFD13))*100+19)</f>
        <v/>
      </c>
      <c r="CF13">
        <f>IF(OR(AQ13=1,calcA!$A$6=0),1000000000,IF('calcA'!$JF$29=1,0,100000000)+IF('calcA'!$IQ$29=2,SUMPRODUCT('calcA'!$D$79:$EQ$79,$DB13:$IO13,$IQ13:$OD13)*1000+SUMPRODUCT('calcA'!$D$79:$EQ$79,$DB13:$IO13+$ZQ13:$AFD13,$AFF13:$AKS13),SUMPRODUCT('calcA'!$D$79:$EQ$79,$DB13:$IO13*1001+$ZQ13:$AFD13))*100+20)</f>
        <v/>
      </c>
      <c r="CG13">
        <f>IF(OR(AR13=1,calcA!$A$6=0),1000000000,IF('calcA'!$JF$30=1,0,100000000)+IF('calcA'!$IQ$30=2,SUMPRODUCT('calcA'!$D$80:$EQ$80,$DB13:$IO13,$IQ13:$OD13)*1000+SUMPRODUCT('calcA'!$D$80:$EQ$80,$DB13:$IO13+$ZQ13:$AFD13,$AFF13:$AKS13),SUMPRODUCT('calcA'!$D$80:$EQ$80,$DB13:$IO13*1001+$ZQ13:$AFD13))*100+21)</f>
        <v/>
      </c>
      <c r="CH13">
        <f>IF(OR(AS13=1,calcA!$A$6=0),1000000000,IF('calcA'!$JF$31=1,0,100000000)+IF('calcA'!$IQ$31=2,SUMPRODUCT('calcA'!$D$81:$EQ$81,$DB13:$IO13,$IQ13:$OD13)*1000+SUMPRODUCT('calcA'!$D$81:$EQ$81,$DB13:$IO13+$ZQ13:$AFD13,$AFF13:$AKS13),SUMPRODUCT('calcA'!$D$81:$EQ$81,$DB13:$IO13*1001+$ZQ13:$AFD13))*100+22)</f>
        <v/>
      </c>
      <c r="CI13">
        <f>IF(OR(AT13=1,calcA!$A$6=0),1000000000,IF('calcA'!$JF$32=1,0,100000000)+IF('calcA'!$IQ$32=2,SUMPRODUCT('calcA'!$D$82:$EQ$82,$DB13:$IO13,$IQ13:$OD13)*1000+SUMPRODUCT('calcA'!$D$82:$EQ$82,$DB13:$IO13+$ZQ13:$AFD13,$AFF13:$AKS13),SUMPRODUCT('calcA'!$D$82:$EQ$82,$DB13:$IO13*1001+$ZQ13:$AFD13))*100+23)</f>
        <v/>
      </c>
      <c r="CJ13">
        <f>IF(OR(AU13=1,calcA!$A$6=0),1000000000,IF('calcA'!$JF$33=1,0,100000000)+IF('calcA'!$IQ$33=2,SUMPRODUCT('calcA'!$D$83:$EQ$83,$DB13:$IO13,$IQ13:$OD13)*1000+SUMPRODUCT('calcA'!$D$83:$EQ$83,$DB13:$IO13+$ZQ13:$AFD13,$AFF13:$AKS13),SUMPRODUCT('calcA'!$D$83:$EQ$83,$DB13:$IO13*1001+$ZQ13:$AFD13))*100+24)</f>
        <v/>
      </c>
      <c r="CK13">
        <f>IF(OR(AV13=1,calcA!$A$6=0),1000000000,IF('calcA'!$JF$34=1,0,100000000)+IF('calcA'!$IQ$34=2,SUMPRODUCT('calcA'!$D$84:$EQ$84,$DB13:$IO13,$IQ13:$OD13)*1000+SUMPRODUCT('calcA'!$D$84:$EQ$84,$DB13:$IO13+$ZQ13:$AFD13,$AFF13:$AKS13),SUMPRODUCT('calcA'!$D$84:$EQ$84,$DB13:$IO13*1001+$ZQ13:$AFD13))*100+25)</f>
        <v/>
      </c>
      <c r="CL13">
        <f>IF(OR(AW13=1,calcA!$A$6=0),1000000000,IF('calcA'!$JF$35=1,0,100000000)+IF('calcA'!$IQ$35=2,SUMPRODUCT('calcA'!$D$85:$EQ$85,$DB13:$IO13,$IQ13:$OD13)*1000+SUMPRODUCT('calcA'!$D$85:$EQ$85,$DB13:$IO13+$ZQ13:$AFD13,$AFF13:$AKS13),SUMPRODUCT('calcA'!$D$85:$EQ$85,$DB13:$IO13*1001+$ZQ13:$AFD13))*100+26)</f>
        <v/>
      </c>
      <c r="CM13">
        <f>IF(OR(AX13=1,calcA!$A$6=0),1000000000,IF('calcA'!$JF$36=1,0,100000000)+IF('calcA'!$IQ$36=2,SUMPRODUCT('calcA'!$D$86:$EQ$86,$DB13:$IO13,$IQ13:$OD13)*1000+SUMPRODUCT('calcA'!$D$86:$EQ$86,$DB13:$IO13+$ZQ13:$AFD13,$AFF13:$AKS13),SUMPRODUCT('calcA'!$D$86:$EQ$86,$DB13:$IO13*1001+$ZQ13:$AFD13))*100+27)</f>
        <v/>
      </c>
      <c r="CN13">
        <f>IF(OR(AY13=1,calcA!$A$6=0),1000000000,IF('calcA'!$JF$37=1,0,100000000)+IF('calcA'!$IQ$37=2,SUMPRODUCT('calcA'!$D$87:$EQ$87,$DB13:$IO13,$IQ13:$OD13)*1000+SUMPRODUCT('calcA'!$D$87:$EQ$87,$DB13:$IO13+$ZQ13:$AFD13,$AFF13:$AKS13),SUMPRODUCT('calcA'!$D$87:$EQ$87,$DB13:$IO13*1001+$ZQ13:$AFD13))*100+28)</f>
        <v/>
      </c>
      <c r="CO13">
        <f>IF(OR(AZ13=1,calcA!$A$6=0),1000000000,IF('calcA'!$JF$38=1,0,100000000)+IF('calcA'!$IQ$38=2,SUMPRODUCT('calcA'!$D$88:$EQ$88,$DB13:$IO13,$IQ13:$OD13)*1000+SUMPRODUCT('calcA'!$D$88:$EQ$88,$DB13:$IO13+$ZQ13:$AFD13,$AFF13:$AKS13),SUMPRODUCT('calcA'!$D$88:$EQ$88,$DB13:$IO13*1001+$ZQ13:$AFD13))*100+29)</f>
        <v/>
      </c>
      <c r="CP13">
        <f>IF(OR(BA13=1,calcA!$A$6=0),1000000000,IF('calcA'!$JF$39=1,0,100000000)+IF('calcA'!$IQ$39=2,SUMPRODUCT('calcA'!$D$89:$EQ$89,$DB13:$IO13,$IQ13:$OD13)*1000+SUMPRODUCT('calcA'!$D$89:$EQ$89,$DB13:$IO13+$ZQ13:$AFD13,$AFF13:$AKS13),SUMPRODUCT('calcA'!$D$89:$EQ$89,$DB13:$IO13*1001+$ZQ13:$AFD13))*100+30)</f>
        <v/>
      </c>
      <c r="CQ13">
        <f>IF(OR(BB13=1,calcA!$A$6=0),1000000000,IF('calcA'!$JF$40=1,0,100000000)+IF('calcA'!$IQ$40=2,SUMPRODUCT('calcA'!$D$90:$EQ$90,$DB13:$IO13,$IQ13:$OD13)*1000+SUMPRODUCT('calcA'!$D$90:$EQ$90,$DB13:$IO13+$ZQ13:$AFD13,$AFF13:$AKS13),SUMPRODUCT('calcA'!$D$90:$EQ$90,$DB13:$IO13*1001+$ZQ13:$AFD13))*100+31)</f>
        <v/>
      </c>
      <c r="CR13">
        <f>IF(OR(BC13=1,calcA!$A$6=0),1000000000,IF('calcA'!$JF$41=1,0,100000000)+IF('calcA'!$IQ$41=2,SUMPRODUCT('calcA'!$D$91:$EQ$91,$DB13:$IO13,$IQ13:$OD13)*1000+SUMPRODUCT('calcA'!$D$91:$EQ$91,$DB13:$IO13+$ZQ13:$AFD13,$AFF13:$AKS13),SUMPRODUCT('calcA'!$D$91:$EQ$91,$DB13:$IO13*1001+$ZQ13:$AFD13))*100+32)</f>
        <v/>
      </c>
      <c r="CS13">
        <f>IF(OR(BD13=1,calcA!$A$6=0),1000000000,IF('calcA'!$JF$42=1,0,100000000)+IF('calcA'!$IQ$42=2,SUMPRODUCT('calcA'!$D$92:$EQ$92,$DB13:$IO13,$IQ13:$OD13)*1000+SUMPRODUCT('calcA'!$D$92:$EQ$92,$DB13:$IO13+$ZQ13:$AFD13,$AFF13:$AKS13),SUMPRODUCT('calcA'!$D$92:$EQ$92,$DB13:$IO13*1001+$ZQ13:$AFD13))*100+33)</f>
        <v/>
      </c>
      <c r="CT13">
        <f>IF(OR(BE13=1,calcA!$A$6=0),1000000000,IF('calcA'!$JF$43=1,0,100000000)+IF('calcA'!$IQ$43=2,SUMPRODUCT('calcA'!$D$93:$EQ$93,$DB13:$IO13,$IQ13:$OD13)*1000+SUMPRODUCT('calcA'!$D$93:$EQ$93,$DB13:$IO13+$ZQ13:$AFD13,$AFF13:$AKS13),SUMPRODUCT('calcA'!$D$93:$EQ$93,$DB13:$IO13*1001+$ZQ13:$AFD13))*100+34)</f>
        <v/>
      </c>
      <c r="CU13">
        <f>IF(OR(BF13=1,calcA!$A$6=0),1000000000,IF('calcA'!$JF$44=1,0,100000000)+IF('calcA'!$IQ$44=2,SUMPRODUCT('calcA'!$D$94:$EQ$94,$DB13:$IO13,$IQ13:$OD13)*1000+SUMPRODUCT('calcA'!$D$94:$EQ$94,$DB13:$IO13+$ZQ13:$AFD13,$AFF13:$AKS13),SUMPRODUCT('calcA'!$D$94:$EQ$94,$DB13:$IO13*1001+$ZQ13:$AFD13))*100+35)</f>
        <v/>
      </c>
      <c r="CV13">
        <f>IF(OR(BG13=1,calcA!$A$6=0),1000000000,IF('calcA'!$JF$45=1,0,100000000)+IF('calcA'!$IQ$45=2,SUMPRODUCT('calcA'!$D$95:$EQ$95,$DB13:$IO13,$IQ13:$OD13)*1000+SUMPRODUCT('calcA'!$D$95:$EQ$95,$DB13:$IO13+$ZQ13:$AFD13,$AFF13:$AKS13),SUMPRODUCT('calcA'!$D$95:$EQ$95,$DB13:$IO13*1001+$ZQ13:$AFD13))*100+36)</f>
        <v/>
      </c>
      <c r="CW13">
        <f>IF(OR(BH13=1,calcA!$A$6=0),1000000000,IF('calcA'!$JF$46=1,0,100000000)+IF('calcA'!$IQ$46=2,SUMPRODUCT('calcA'!$D$96:$EQ$96,$DB13:$IO13,$IQ13:$OD13)*1000+SUMPRODUCT('calcA'!$D$96:$EQ$96,$DB13:$IO13+$ZQ13:$AFD13,$AFF13:$AKS13),SUMPRODUCT('calcA'!$D$96:$EQ$96,$DB13:$IO13*1001+$ZQ13:$AFD13))*100+37)</f>
        <v/>
      </c>
      <c r="CX13">
        <f>IF(OR(BI13=1,calcA!$A$6=0),1000000000,IF('calcA'!$JF$47=1,0,100000000)+IF('calcA'!$IQ$47=2,SUMPRODUCT('calcA'!$D$97:$EQ$97,$DB13:$IO13,$IQ13:$OD13)*1000+SUMPRODUCT('calcA'!$D$97:$EQ$97,$DB13:$IO13+$ZQ13:$AFD13,$AFF13:$AKS13),SUMPRODUCT('calcA'!$D$97:$EQ$97,$DB13:$IO13*1001+$ZQ13:$AFD13))*100+38)</f>
        <v/>
      </c>
      <c r="CY13">
        <f>IF(OR(BJ13=1,calcA!$A$6=0),1000000000,IF('calcA'!$JF$48=1,0,100000000)+IF('calcA'!$IQ$48=2,SUMPRODUCT('calcA'!$D$98:$EQ$98,$DB13:$IO13,$IQ13:$OD13)*1000+SUMPRODUCT('calcA'!$D$98:$EQ$98,$DB13:$IO13+$ZQ13:$AFD13,$AFF13:$AKS13),SUMPRODUCT('calcA'!$D$98:$EQ$98,$DB13:$IO13*1001+$ZQ13:$AFD13))*100+39)</f>
        <v/>
      </c>
      <c r="CZ13">
        <f>IF(OR(BK13=1,calcA!$A$6=0),1000000000,IF('calcA'!$JF$49=1,0,100000000)+IF('calcA'!$IQ$49=2,SUMPRODUCT('calcA'!$D$99:$EQ$99,$DB13:$IO13,$IQ13:$OD13)*1000+SUMPRODUCT('calcA'!$D$99:$EQ$99,$DB13:$IO13+$ZQ13:$AFD13,$AFF13:$AKS13),SUMPRODUCT('calcA'!$D$99:$EQ$99,$DB13:$IO13*1001+$ZQ13:$AFD13))*100+40)</f>
        <v/>
      </c>
      <c r="DB13">
        <f>DB12*IF(OR($C12=1,$G12=1),0,1)</f>
        <v/>
      </c>
      <c r="DC13">
        <f>DC12*IF(OR($C12=2,$G12=2),0,1)</f>
        <v/>
      </c>
      <c r="DD13">
        <f>DD12*IF(OR($C12=3,$G12=3),0,1)</f>
        <v/>
      </c>
      <c r="DE13">
        <f>DE12*IF(OR($C12=4,$G12=4),0,1)</f>
        <v/>
      </c>
      <c r="DF13">
        <f>DF12*IF(OR($C12=5,$G12=5),0,1)</f>
        <v/>
      </c>
      <c r="DG13">
        <f>DG12*IF(OR($C12=6,$G12=6),0,1)</f>
        <v/>
      </c>
      <c r="DH13">
        <f>DH12*IF(OR($C12=7,$G12=7),0,1)</f>
        <v/>
      </c>
      <c r="DI13">
        <f>DI12*IF(OR($C12=8,$G12=8),0,1)</f>
        <v/>
      </c>
      <c r="DJ13">
        <f>DJ12*IF(OR($C12=9,$G12=9),0,1)</f>
        <v/>
      </c>
      <c r="DK13">
        <f>DK12*IF(OR($C12=10,$G12=10),0,1)</f>
        <v/>
      </c>
      <c r="DL13">
        <f>DL12*IF(OR($C12=11,$G12=11),0,1)</f>
        <v/>
      </c>
      <c r="DM13">
        <f>DM12*IF(OR($C12=12,$G12=12),0,1)</f>
        <v/>
      </c>
      <c r="DN13">
        <f>DN12*IF(OR($C12=13,$G12=13),0,1)</f>
        <v/>
      </c>
      <c r="DO13">
        <f>DO12*IF(OR($C12=14,$G12=14),0,1)</f>
        <v/>
      </c>
      <c r="DP13">
        <f>DP12*IF(OR($C12=15,$G12=15),0,1)</f>
        <v/>
      </c>
      <c r="DQ13">
        <f>DQ12*IF(OR($C12=16,$G12=16),0,1)</f>
        <v/>
      </c>
      <c r="DR13">
        <f>DR12*IF(OR($C12=17,$G12=17),0,1)</f>
        <v/>
      </c>
      <c r="DS13">
        <f>DS12*IF(OR($C12=18,$G12=18),0,1)</f>
        <v/>
      </c>
      <c r="DT13">
        <f>DT12*IF(OR($C12=19,$G12=19),0,1)</f>
        <v/>
      </c>
      <c r="DU13">
        <f>DU12*IF(OR($C12=20,$G12=20),0,1)</f>
        <v/>
      </c>
      <c r="DV13">
        <f>DV12*IF(OR($C12=21,$G12=21),0,1)</f>
        <v/>
      </c>
      <c r="DW13">
        <f>DW12*IF(OR($C12=22,$G12=22),0,1)</f>
        <v/>
      </c>
      <c r="DX13">
        <f>DX12*IF(OR($C12=23,$G12=23),0,1)</f>
        <v/>
      </c>
      <c r="DY13">
        <f>DY12*IF(OR($C12=24,$G12=24),0,1)</f>
        <v/>
      </c>
      <c r="DZ13">
        <f>DZ12*IF(OR($C12=25,$G12=25),0,1)</f>
        <v/>
      </c>
      <c r="EA13">
        <f>EA12*IF(OR($C12=26,$G12=26),0,1)</f>
        <v/>
      </c>
      <c r="EB13">
        <f>EB12*IF(OR($C12=27,$G12=27),0,1)</f>
        <v/>
      </c>
      <c r="EC13">
        <f>EC12*IF(OR($C12=28,$G12=28),0,1)</f>
        <v/>
      </c>
      <c r="ED13">
        <f>ED12*IF(OR($C12=29,$G12=29),0,1)</f>
        <v/>
      </c>
      <c r="EE13">
        <f>EE12*IF(OR($C12=30,$G12=30),0,1)</f>
        <v/>
      </c>
      <c r="EF13">
        <f>EF12*IF(OR($C12=31,$G12=31),0,1)</f>
        <v/>
      </c>
      <c r="EG13">
        <f>EG12*IF(OR($C12=32,$G12=32),0,1)</f>
        <v/>
      </c>
      <c r="EH13">
        <f>EH12*IF(OR($C12=33,$G12=33),0,1)</f>
        <v/>
      </c>
      <c r="EI13">
        <f>EI12*IF(OR($C12=34,$G12=34),0,1)</f>
        <v/>
      </c>
      <c r="EJ13">
        <f>EJ12*IF(OR($C12=35,$G12=35),0,1)</f>
        <v/>
      </c>
      <c r="EK13">
        <f>EK12*IF(OR($C12=36,$G12=36),0,1)</f>
        <v/>
      </c>
      <c r="EL13">
        <f>EL12*IF(OR($C12=37,$G12=37),0,1)</f>
        <v/>
      </c>
      <c r="EM13">
        <f>EM12*IF(OR($C12=38,$G12=38),0,1)</f>
        <v/>
      </c>
      <c r="EN13">
        <f>EN12*IF(OR($C12=39,$G12=39),0,1)</f>
        <v/>
      </c>
      <c r="EO13">
        <f>EO12*IF(OR($C12=40,$G12=40),0,1)</f>
        <v/>
      </c>
      <c r="EP13">
        <f>EP12*IF(OR($C12=41,$G12=41),0,1)</f>
        <v/>
      </c>
      <c r="EQ13">
        <f>EQ12*IF(OR($C12=42,$G12=42),0,1)</f>
        <v/>
      </c>
      <c r="ER13">
        <f>ER12*IF(OR($C12=43,$G12=43),0,1)</f>
        <v/>
      </c>
      <c r="ES13">
        <f>ES12*IF(OR($C12=44,$G12=44),0,1)</f>
        <v/>
      </c>
      <c r="ET13">
        <f>ET12*IF(OR($C12=45,$G12=45),0,1)</f>
        <v/>
      </c>
      <c r="EU13">
        <f>EU12*IF(OR($C12=46,$G12=46),0,1)</f>
        <v/>
      </c>
      <c r="EV13">
        <f>EV12*IF(OR($C12=47,$G12=47),0,1)</f>
        <v/>
      </c>
      <c r="EW13">
        <f>EW12*IF(OR($C12=48,$G12=48),0,1)</f>
        <v/>
      </c>
      <c r="EX13">
        <f>EX12*IF(OR($C12=49,$G12=49),0,1)</f>
        <v/>
      </c>
      <c r="EY13">
        <f>EY12*IF(OR($C12=50,$G12=50),0,1)</f>
        <v/>
      </c>
      <c r="EZ13">
        <f>EZ12*IF(OR($C12=51,$G12=51),0,1)</f>
        <v/>
      </c>
      <c r="FA13">
        <f>FA12*IF(OR($C12=52,$G12=52),0,1)</f>
        <v/>
      </c>
      <c r="FB13">
        <f>FB12*IF(OR($C12=53,$G12=53),0,1)</f>
        <v/>
      </c>
      <c r="FC13">
        <f>FC12*IF(OR($C12=54,$G12=54),0,1)</f>
        <v/>
      </c>
      <c r="FD13">
        <f>FD12*IF(OR($C12=55,$G12=55),0,1)</f>
        <v/>
      </c>
      <c r="FE13">
        <f>FE12*IF(OR($C12=56,$G12=56),0,1)</f>
        <v/>
      </c>
      <c r="FF13">
        <f>FF12*IF(OR($C12=57,$G12=57),0,1)</f>
        <v/>
      </c>
      <c r="FG13">
        <f>FG12*IF(OR($C12=58,$G12=58),0,1)</f>
        <v/>
      </c>
      <c r="FH13">
        <f>FH12*IF(OR($C12=59,$G12=59),0,1)</f>
        <v/>
      </c>
      <c r="FI13">
        <f>FI12*IF(OR($C12=60,$G12=60),0,1)</f>
        <v/>
      </c>
      <c r="FJ13">
        <f>FJ12*IF(OR($C12=61,$G12=61),0,1)</f>
        <v/>
      </c>
      <c r="FK13">
        <f>FK12*IF(OR($C12=62,$G12=62),0,1)</f>
        <v/>
      </c>
      <c r="FL13">
        <f>FL12*IF(OR($C12=63,$G12=63),0,1)</f>
        <v/>
      </c>
      <c r="FM13">
        <f>FM12*IF(OR($C12=64,$G12=64),0,1)</f>
        <v/>
      </c>
      <c r="FN13">
        <f>FN12*IF(OR($C12=65,$G12=65),0,1)</f>
        <v/>
      </c>
      <c r="FO13">
        <f>FO12*IF(OR($C12=66,$G12=66),0,1)</f>
        <v/>
      </c>
      <c r="FP13">
        <f>FP12*IF(OR($C12=67,$G12=67),0,1)</f>
        <v/>
      </c>
      <c r="FQ13">
        <f>FQ12*IF(OR($C12=68,$G12=68),0,1)</f>
        <v/>
      </c>
      <c r="FR13">
        <f>FR12*IF(OR($C12=69,$G12=69),0,1)</f>
        <v/>
      </c>
      <c r="FS13">
        <f>FS12*IF(OR($C12=70,$G12=70),0,1)</f>
        <v/>
      </c>
      <c r="FT13">
        <f>FT12*IF(OR($C12=71,$G12=71),0,1)</f>
        <v/>
      </c>
      <c r="FU13">
        <f>FU12*IF(OR($C12=72,$G12=72),0,1)</f>
        <v/>
      </c>
      <c r="FV13">
        <f>FV12*IF(OR($C12=73,$G12=73),0,1)</f>
        <v/>
      </c>
      <c r="FW13">
        <f>FW12*IF(OR($C12=74,$G12=74),0,1)</f>
        <v/>
      </c>
      <c r="FX13">
        <f>FX12*IF(OR($C12=75,$G12=75),0,1)</f>
        <v/>
      </c>
      <c r="FY13">
        <f>FY12*IF(OR($C12=76,$G12=76),0,1)</f>
        <v/>
      </c>
      <c r="FZ13">
        <f>FZ12*IF(OR($C12=77,$G12=77),0,1)</f>
        <v/>
      </c>
      <c r="GA13">
        <f>GA12*IF(OR($C12=78,$G12=78),0,1)</f>
        <v/>
      </c>
      <c r="GB13">
        <f>GB12*IF(OR($C12=79,$G12=79),0,1)</f>
        <v/>
      </c>
      <c r="GC13">
        <f>GC12*IF(OR($C12=80,$G12=80),0,1)</f>
        <v/>
      </c>
      <c r="GD13">
        <f>GD12*IF(OR($C12=81,$G12=81),0,1)</f>
        <v/>
      </c>
      <c r="GE13">
        <f>GE12*IF(OR($C12=82,$G12=82),0,1)</f>
        <v/>
      </c>
      <c r="GF13">
        <f>GF12*IF(OR($C12=83,$G12=83),0,1)</f>
        <v/>
      </c>
      <c r="GG13">
        <f>GG12*IF(OR($C12=84,$G12=84),0,1)</f>
        <v/>
      </c>
      <c r="GH13">
        <f>GH12*IF(OR($C12=85,$G12=85),0,1)</f>
        <v/>
      </c>
      <c r="GI13">
        <f>GI12*IF(OR($C12=86,$G12=86),0,1)</f>
        <v/>
      </c>
      <c r="GJ13">
        <f>GJ12*IF(OR($C12=87,$G12=87),0,1)</f>
        <v/>
      </c>
      <c r="GK13">
        <f>GK12*IF(OR($C12=88,$G12=88),0,1)</f>
        <v/>
      </c>
      <c r="GL13">
        <f>GL12*IF(OR($C12=89,$G12=89),0,1)</f>
        <v/>
      </c>
      <c r="GM13">
        <f>GM12*IF(OR($C12=90,$G12=90),0,1)</f>
        <v/>
      </c>
      <c r="GN13">
        <f>GN12*IF(OR($C12=91,$G12=91),0,1)</f>
        <v/>
      </c>
      <c r="GO13">
        <f>GO12*IF(OR($C12=92,$G12=92),0,1)</f>
        <v/>
      </c>
      <c r="GP13">
        <f>GP12*IF(OR($C12=93,$G12=93),0,1)</f>
        <v/>
      </c>
      <c r="GQ13">
        <f>GQ12*IF(OR($C12=94,$G12=94),0,1)</f>
        <v/>
      </c>
      <c r="GR13">
        <f>GR12*IF(OR($C12=95,$G12=95),0,1)</f>
        <v/>
      </c>
      <c r="GS13">
        <f>GS12*IF(OR($C12=96,$G12=96),0,1)</f>
        <v/>
      </c>
      <c r="GT13">
        <f>GT12*IF(OR($C12=97,$G12=97),0,1)</f>
        <v/>
      </c>
      <c r="GU13">
        <f>GU12*IF(OR($C12=98,$G12=98),0,1)</f>
        <v/>
      </c>
      <c r="GV13">
        <f>GV12*IF(OR($C12=99,$G12=99),0,1)</f>
        <v/>
      </c>
      <c r="GW13">
        <f>GW12*IF(OR($C12=100,$G12=100),0,1)</f>
        <v/>
      </c>
      <c r="GX13">
        <f>GX12*IF(OR($C12=101,$G12=101),0,1)</f>
        <v/>
      </c>
      <c r="GY13">
        <f>GY12*IF(OR($C12=102,$G12=102),0,1)</f>
        <v/>
      </c>
      <c r="GZ13">
        <f>GZ12*IF(OR($C12=103,$G12=103),0,1)</f>
        <v/>
      </c>
      <c r="HA13">
        <f>HA12*IF(OR($C12=104,$G12=104),0,1)</f>
        <v/>
      </c>
      <c r="HB13">
        <f>HB12*IF(OR($C12=105,$G12=105),0,1)</f>
        <v/>
      </c>
      <c r="HC13">
        <f>HC12*IF(OR($C12=106,$G12=106),0,1)</f>
        <v/>
      </c>
      <c r="HD13">
        <f>HD12*IF(OR($C12=107,$G12=107),0,1)</f>
        <v/>
      </c>
      <c r="HE13">
        <f>HE12*IF(OR($C12=108,$G12=108),0,1)</f>
        <v/>
      </c>
      <c r="HF13">
        <f>HF12*IF(OR($C12=109,$G12=109),0,1)</f>
        <v/>
      </c>
      <c r="HG13">
        <f>HG12*IF(OR($C12=110,$G12=110),0,1)</f>
        <v/>
      </c>
      <c r="HH13">
        <f>HH12*IF(OR($C12=111,$G12=111),0,1)</f>
        <v/>
      </c>
      <c r="HI13">
        <f>HI12*IF(OR($C12=112,$G12=112),0,1)</f>
        <v/>
      </c>
      <c r="HJ13">
        <f>HJ12*IF(OR($C12=113,$G12=113),0,1)</f>
        <v/>
      </c>
      <c r="HK13">
        <f>HK12*IF(OR($C12=114,$G12=114),0,1)</f>
        <v/>
      </c>
      <c r="HL13">
        <f>HL12*IF(OR($C12=115,$G12=115),0,1)</f>
        <v/>
      </c>
      <c r="HM13">
        <f>HM12*IF(OR($C12=116,$G12=116),0,1)</f>
        <v/>
      </c>
      <c r="HN13">
        <f>HN12*IF(OR($C12=117,$G12=117),0,1)</f>
        <v/>
      </c>
      <c r="HO13">
        <f>HO12*IF(OR($C12=118,$G12=118),0,1)</f>
        <v/>
      </c>
      <c r="HP13">
        <f>HP12*IF(OR($C12=119,$G12=119),0,1)</f>
        <v/>
      </c>
      <c r="HQ13">
        <f>HQ12*IF(OR($C12=120,$G12=120),0,1)</f>
        <v/>
      </c>
      <c r="HR13">
        <f>HR12*IF(OR($C12=121,$G12=121),0,1)</f>
        <v/>
      </c>
      <c r="HS13">
        <f>HS12*IF(OR($C12=122,$G12=122),0,1)</f>
        <v/>
      </c>
      <c r="HT13">
        <f>HT12*IF(OR($C12=123,$G12=123),0,1)</f>
        <v/>
      </c>
      <c r="HU13">
        <f>HU12*IF(OR($C12=124,$G12=124),0,1)</f>
        <v/>
      </c>
      <c r="HV13">
        <f>HV12*IF(OR($C12=125,$G12=125),0,1)</f>
        <v/>
      </c>
      <c r="HW13">
        <f>HW12*IF(OR($C12=126,$G12=126),0,1)</f>
        <v/>
      </c>
      <c r="HX13">
        <f>HX12*IF(OR($C12=127,$G12=127),0,1)</f>
        <v/>
      </c>
      <c r="HY13">
        <f>HY12*IF(OR($C12=128,$G12=128),0,1)</f>
        <v/>
      </c>
      <c r="HZ13">
        <f>HZ12*IF(OR($C12=129,$G12=129),0,1)</f>
        <v/>
      </c>
      <c r="IA13">
        <f>IA12*IF(OR($C12=130,$G12=130),0,1)</f>
        <v/>
      </c>
      <c r="IB13">
        <f>IB12*IF(OR($C12=131,$G12=131),0,1)</f>
        <v/>
      </c>
      <c r="IC13">
        <f>IC12*IF(OR($C12=132,$G12=132),0,1)</f>
        <v/>
      </c>
      <c r="ID13">
        <f>ID12*IF(OR($C12=133,$G12=133),0,1)</f>
        <v/>
      </c>
      <c r="IE13">
        <f>IE12*IF(OR($C12=134,$G12=134),0,1)</f>
        <v/>
      </c>
      <c r="IF13">
        <f>IF12*IF(OR($C12=135,$G12=135),0,1)</f>
        <v/>
      </c>
      <c r="IG13">
        <f>IG12*IF(OR($C12=136,$G12=136),0,1)</f>
        <v/>
      </c>
      <c r="IH13">
        <f>IH12*IF(OR($C12=137,$G12=137),0,1)</f>
        <v/>
      </c>
      <c r="II13">
        <f>II12*IF(OR($C12=138,$G12=138),0,1)</f>
        <v/>
      </c>
      <c r="IJ13">
        <f>IJ12*IF(OR($C12=139,$G12=139),0,1)</f>
        <v/>
      </c>
      <c r="IK13">
        <f>IK12*IF(OR($C12=140,$G12=140),0,1)</f>
        <v/>
      </c>
      <c r="IL13">
        <f>IL12*IF(OR($C12=141,$G12=141),0,1)</f>
        <v/>
      </c>
      <c r="IM13">
        <f>IM12*IF(OR($C12=142,$G12=142),0,1)</f>
        <v/>
      </c>
      <c r="IN13">
        <f>IN12*IF(OR($C12=143,$G12=143),0,1)</f>
        <v/>
      </c>
      <c r="IO13">
        <f>IO12*IF(OR($C12=144,$G12=144),0,1)</f>
        <v/>
      </c>
      <c r="IQ13">
        <f>IF('calcA'!D$106=1,DC13,1)</f>
        <v/>
      </c>
      <c r="IR13">
        <f>IF('calcA'!E$106=1,DD13,1)</f>
        <v/>
      </c>
      <c r="IS13">
        <f>IF('calcA'!F$106=1,DE13,1)</f>
        <v/>
      </c>
      <c r="IT13">
        <f>IF('calcA'!G$106=1,DF13,1)</f>
        <v/>
      </c>
      <c r="IU13">
        <f>IF('calcA'!H$106=1,DG13,1)</f>
        <v/>
      </c>
      <c r="IV13">
        <f>IF('calcA'!I$106=1,DH13,1)</f>
        <v/>
      </c>
      <c r="IW13">
        <f>IF('calcA'!J$106=1,DI13,1)</f>
        <v/>
      </c>
      <c r="IX13">
        <f>IF('calcA'!K$106=1,DJ13,1)</f>
        <v/>
      </c>
      <c r="IY13">
        <f>IF('calcA'!L$106=1,DK13,1)</f>
        <v/>
      </c>
      <c r="IZ13">
        <f>IF('calcA'!M$106=1,DL13,1)</f>
        <v/>
      </c>
      <c r="JA13">
        <f>IF('calcA'!N$106=1,DM13,1)</f>
        <v/>
      </c>
      <c r="JB13">
        <f>IF('calcA'!O$106=1,DN13,1)</f>
        <v/>
      </c>
      <c r="JC13">
        <f>IF('calcA'!P$106=1,DO13,1)</f>
        <v/>
      </c>
      <c r="JD13">
        <f>IF('calcA'!Q$106=1,DP13,1)</f>
        <v/>
      </c>
      <c r="JE13">
        <f>IF('calcA'!R$106=1,DQ13,1)</f>
        <v/>
      </c>
      <c r="JF13">
        <f>IF('calcA'!S$106=1,DR13,1)</f>
        <v/>
      </c>
      <c r="JG13">
        <f>IF('calcA'!T$106=1,DS13,1)</f>
        <v/>
      </c>
      <c r="JH13">
        <f>IF('calcA'!U$106=1,DT13,1)</f>
        <v/>
      </c>
      <c r="JI13">
        <f>IF('calcA'!V$106=1,DU13,1)</f>
        <v/>
      </c>
      <c r="JJ13">
        <f>IF('calcA'!W$106=1,DV13,1)</f>
        <v/>
      </c>
      <c r="JK13">
        <f>IF('calcA'!X$106=1,DW13,1)</f>
        <v/>
      </c>
      <c r="JL13">
        <f>IF('calcA'!Y$106=1,DX13,1)</f>
        <v/>
      </c>
      <c r="JM13">
        <f>IF('calcA'!Z$106=1,DY13,1)</f>
        <v/>
      </c>
      <c r="JN13">
        <f>IF('calcA'!AA$106=1,DZ13,1)</f>
        <v/>
      </c>
      <c r="JO13">
        <f>IF('calcA'!AB$106=1,EA13,1)</f>
        <v/>
      </c>
      <c r="JP13">
        <f>IF('calcA'!AC$106=1,EB13,1)</f>
        <v/>
      </c>
      <c r="JQ13">
        <f>IF('calcA'!AD$106=1,EC13,1)</f>
        <v/>
      </c>
      <c r="JR13">
        <f>IF('calcA'!AE$106=1,ED13,1)</f>
        <v/>
      </c>
      <c r="JS13">
        <f>IF('calcA'!AF$106=1,EE13,1)</f>
        <v/>
      </c>
      <c r="JT13">
        <f>IF('calcA'!AG$106=1,EF13,1)</f>
        <v/>
      </c>
      <c r="JU13">
        <f>IF('calcA'!AH$106=1,EG13,1)</f>
        <v/>
      </c>
      <c r="JV13">
        <f>IF('calcA'!AI$106=1,EH13,1)</f>
        <v/>
      </c>
      <c r="JW13">
        <f>IF('calcA'!AJ$106=1,EI13,1)</f>
        <v/>
      </c>
      <c r="JX13">
        <f>IF('calcA'!AK$106=1,EJ13,1)</f>
        <v/>
      </c>
      <c r="JY13">
        <f>IF('calcA'!AL$106=1,EK13,1)</f>
        <v/>
      </c>
      <c r="JZ13">
        <f>IF('calcA'!AM$106=1,EL13,1)</f>
        <v/>
      </c>
      <c r="KA13">
        <f>IF('calcA'!AN$106=1,EM13,1)</f>
        <v/>
      </c>
      <c r="KB13">
        <f>IF('calcA'!AO$106=1,EN13,1)</f>
        <v/>
      </c>
      <c r="KC13">
        <f>IF('calcA'!AP$106=1,EO13,1)</f>
        <v/>
      </c>
      <c r="KD13">
        <f>IF('calcA'!AQ$106=1,EP13,1)</f>
        <v/>
      </c>
      <c r="KE13">
        <f>IF('calcA'!AR$106=1,EQ13,1)</f>
        <v/>
      </c>
      <c r="KF13">
        <f>IF('calcA'!AS$106=1,ER13,1)</f>
        <v/>
      </c>
      <c r="KG13">
        <f>IF('calcA'!AT$106=1,ES13,1)</f>
        <v/>
      </c>
      <c r="KH13">
        <f>IF('calcA'!AU$106=1,ET13,1)</f>
        <v/>
      </c>
      <c r="KI13">
        <f>IF('calcA'!AV$106=1,EU13,1)</f>
        <v/>
      </c>
      <c r="KJ13">
        <f>IF('calcA'!AW$106=1,EV13,1)</f>
        <v/>
      </c>
      <c r="KK13">
        <f>IF('calcA'!AX$106=1,EW13,1)</f>
        <v/>
      </c>
      <c r="KL13">
        <f>IF('calcA'!AY$106=1,EX13,1)</f>
        <v/>
      </c>
      <c r="KM13">
        <f>IF('calcA'!AZ$106=1,EY13,1)</f>
        <v/>
      </c>
      <c r="KN13">
        <f>IF('calcA'!BA$106=1,EZ13,1)</f>
        <v/>
      </c>
      <c r="KO13">
        <f>IF('calcA'!BB$106=1,FA13,1)</f>
        <v/>
      </c>
      <c r="KP13">
        <f>IF('calcA'!BC$106=1,FB13,1)</f>
        <v/>
      </c>
      <c r="KQ13">
        <f>IF('calcA'!BD$106=1,FC13,1)</f>
        <v/>
      </c>
      <c r="KR13">
        <f>IF('calcA'!BE$106=1,FD13,1)</f>
        <v/>
      </c>
      <c r="KS13">
        <f>IF('calcA'!BF$106=1,FE13,1)</f>
        <v/>
      </c>
      <c r="KT13">
        <f>IF('calcA'!BG$106=1,FF13,1)</f>
        <v/>
      </c>
      <c r="KU13">
        <f>IF('calcA'!BH$106=1,FG13,1)</f>
        <v/>
      </c>
      <c r="KV13">
        <f>IF('calcA'!BI$106=1,FH13,1)</f>
        <v/>
      </c>
      <c r="KW13">
        <f>IF('calcA'!BJ$106=1,FI13,1)</f>
        <v/>
      </c>
      <c r="KX13">
        <f>IF('calcA'!BK$106=1,FJ13,1)</f>
        <v/>
      </c>
      <c r="KY13">
        <f>IF('calcA'!BL$106=1,FK13,1)</f>
        <v/>
      </c>
      <c r="KZ13">
        <f>IF('calcA'!BM$106=1,FL13,1)</f>
        <v/>
      </c>
      <c r="LA13">
        <f>IF('calcA'!BN$106=1,FM13,1)</f>
        <v/>
      </c>
      <c r="LB13">
        <f>IF('calcA'!BO$106=1,FN13,1)</f>
        <v/>
      </c>
      <c r="LC13">
        <f>IF('calcA'!BP$106=1,FO13,1)</f>
        <v/>
      </c>
      <c r="LD13">
        <f>IF('calcA'!BQ$106=1,FP13,1)</f>
        <v/>
      </c>
      <c r="LE13">
        <f>IF('calcA'!BR$106=1,FQ13,1)</f>
        <v/>
      </c>
      <c r="LF13">
        <f>IF('calcA'!BS$106=1,FR13,1)</f>
        <v/>
      </c>
      <c r="LG13">
        <f>IF('calcA'!BT$106=1,FS13,1)</f>
        <v/>
      </c>
      <c r="LH13">
        <f>IF('calcA'!BU$106=1,FT13,1)</f>
        <v/>
      </c>
      <c r="LI13">
        <f>IF('calcA'!BV$106=1,FU13,1)</f>
        <v/>
      </c>
      <c r="LJ13">
        <f>IF('calcA'!BW$106=1,FV13,1)</f>
        <v/>
      </c>
      <c r="LK13">
        <f>IF('calcA'!BX$106=1,FW13,1)</f>
        <v/>
      </c>
      <c r="LL13">
        <f>IF('calcA'!BY$106=1,FX13,1)</f>
        <v/>
      </c>
      <c r="LM13">
        <f>IF('calcA'!BZ$106=1,FY13,1)</f>
        <v/>
      </c>
      <c r="LN13">
        <f>IF('calcA'!CA$106=1,FZ13,1)</f>
        <v/>
      </c>
      <c r="LO13">
        <f>IF('calcA'!CB$106=1,GA13,1)</f>
        <v/>
      </c>
      <c r="LP13">
        <f>IF('calcA'!CC$106=1,GB13,1)</f>
        <v/>
      </c>
      <c r="LQ13">
        <f>IF('calcA'!CD$106=1,GC13,1)</f>
        <v/>
      </c>
      <c r="LR13">
        <f>IF('calcA'!CE$106=1,GD13,1)</f>
        <v/>
      </c>
      <c r="LS13">
        <f>IF('calcA'!CF$106=1,GE13,1)</f>
        <v/>
      </c>
      <c r="LT13">
        <f>IF('calcA'!CG$106=1,GF13,1)</f>
        <v/>
      </c>
      <c r="LU13">
        <f>IF('calcA'!CH$106=1,GG13,1)</f>
        <v/>
      </c>
      <c r="LV13">
        <f>IF('calcA'!CI$106=1,GH13,1)</f>
        <v/>
      </c>
      <c r="LW13">
        <f>IF('calcA'!CJ$106=1,GI13,1)</f>
        <v/>
      </c>
      <c r="LX13">
        <f>IF('calcA'!CK$106=1,GJ13,1)</f>
        <v/>
      </c>
      <c r="LY13">
        <f>IF('calcA'!CL$106=1,GK13,1)</f>
        <v/>
      </c>
      <c r="LZ13">
        <f>IF('calcA'!CM$106=1,GL13,1)</f>
        <v/>
      </c>
      <c r="MA13">
        <f>IF('calcA'!CN$106=1,GM13,1)</f>
        <v/>
      </c>
      <c r="MB13">
        <f>IF('calcA'!CO$106=1,GN13,1)</f>
        <v/>
      </c>
      <c r="MC13">
        <f>IF('calcA'!CP$106=1,GO13,1)</f>
        <v/>
      </c>
      <c r="MD13">
        <f>IF('calcA'!CQ$106=1,GP13,1)</f>
        <v/>
      </c>
      <c r="ME13">
        <f>IF('calcA'!CR$106=1,GQ13,1)</f>
        <v/>
      </c>
      <c r="MF13">
        <f>IF('calcA'!CS$106=1,GR13,1)</f>
        <v/>
      </c>
      <c r="MG13">
        <f>IF('calcA'!CT$106=1,GS13,1)</f>
        <v/>
      </c>
      <c r="MH13">
        <f>IF('calcA'!CU$106=1,GT13,1)</f>
        <v/>
      </c>
      <c r="MI13">
        <f>IF('calcA'!CV$106=1,GU13,1)</f>
        <v/>
      </c>
      <c r="MJ13">
        <f>IF('calcA'!CW$106=1,GV13,1)</f>
        <v/>
      </c>
      <c r="MK13">
        <f>IF('calcA'!CX$106=1,GW13,1)</f>
        <v/>
      </c>
      <c r="ML13">
        <f>IF('calcA'!CY$106=1,GX13,1)</f>
        <v/>
      </c>
      <c r="MM13">
        <f>IF('calcA'!CZ$106=1,GY13,1)</f>
        <v/>
      </c>
      <c r="MN13">
        <f>IF('calcA'!DA$106=1,GZ13,1)</f>
        <v/>
      </c>
      <c r="MO13">
        <f>IF('calcA'!DB$106=1,HA13,1)</f>
        <v/>
      </c>
      <c r="MP13">
        <f>IF('calcA'!DC$106=1,HB13,1)</f>
        <v/>
      </c>
      <c r="MQ13">
        <f>IF('calcA'!DD$106=1,HC13,1)</f>
        <v/>
      </c>
      <c r="MR13">
        <f>IF('calcA'!DE$106=1,HD13,1)</f>
        <v/>
      </c>
      <c r="MS13">
        <f>IF('calcA'!DF$106=1,HE13,1)</f>
        <v/>
      </c>
      <c r="MT13">
        <f>IF('calcA'!DG$106=1,HF13,1)</f>
        <v/>
      </c>
      <c r="MU13">
        <f>IF('calcA'!DH$106=1,HG13,1)</f>
        <v/>
      </c>
      <c r="MV13">
        <f>IF('calcA'!DI$106=1,HH13,1)</f>
        <v/>
      </c>
      <c r="MW13">
        <f>IF('calcA'!DJ$106=1,HI13,1)</f>
        <v/>
      </c>
      <c r="MX13">
        <f>IF('calcA'!DK$106=1,HJ13,1)</f>
        <v/>
      </c>
      <c r="MY13">
        <f>IF('calcA'!DL$106=1,HK13,1)</f>
        <v/>
      </c>
      <c r="MZ13">
        <f>IF('calcA'!DM$106=1,HL13,1)</f>
        <v/>
      </c>
      <c r="NA13">
        <f>IF('calcA'!DN$106=1,HM13,1)</f>
        <v/>
      </c>
      <c r="NB13">
        <f>IF('calcA'!DO$106=1,HN13,1)</f>
        <v/>
      </c>
      <c r="NC13">
        <f>IF('calcA'!DP$106=1,HO13,1)</f>
        <v/>
      </c>
      <c r="ND13">
        <f>IF('calcA'!DQ$106=1,HP13,1)</f>
        <v/>
      </c>
      <c r="NE13">
        <f>IF('calcA'!DR$106=1,HQ13,1)</f>
        <v/>
      </c>
      <c r="NF13">
        <f>IF('calcA'!DS$106=1,HR13,1)</f>
        <v/>
      </c>
      <c r="NG13">
        <f>IF('calcA'!DT$106=1,HS13,1)</f>
        <v/>
      </c>
      <c r="NH13">
        <f>IF('calcA'!DU$106=1,HT13,1)</f>
        <v/>
      </c>
      <c r="NI13">
        <f>IF('calcA'!DV$106=1,HU13,1)</f>
        <v/>
      </c>
      <c r="NJ13">
        <f>IF('calcA'!DW$106=1,HV13,1)</f>
        <v/>
      </c>
      <c r="NK13">
        <f>IF('calcA'!DX$106=1,HW13,1)</f>
        <v/>
      </c>
      <c r="NL13">
        <f>IF('calcA'!DY$106=1,HX13,1)</f>
        <v/>
      </c>
      <c r="NM13">
        <f>IF('calcA'!DZ$106=1,HY13,1)</f>
        <v/>
      </c>
      <c r="NN13">
        <f>IF('calcA'!EA$106=1,HZ13,1)</f>
        <v/>
      </c>
      <c r="NO13">
        <f>IF('calcA'!EB$106=1,IA13,1)</f>
        <v/>
      </c>
      <c r="NP13">
        <f>IF('calcA'!EC$106=1,IB13,1)</f>
        <v/>
      </c>
      <c r="NQ13">
        <f>IF('calcA'!ED$106=1,IC13,1)</f>
        <v/>
      </c>
      <c r="NR13">
        <f>IF('calcA'!EE$106=1,ID13,1)</f>
        <v/>
      </c>
      <c r="NS13">
        <f>IF('calcA'!EF$106=1,IE13,1)</f>
        <v/>
      </c>
      <c r="NT13">
        <f>IF('calcA'!EG$106=1,IF13,1)</f>
        <v/>
      </c>
      <c r="NU13">
        <f>IF('calcA'!EH$106=1,IG13,1)</f>
        <v/>
      </c>
      <c r="NV13">
        <f>IF('calcA'!EI$106=1,IH13,1)</f>
        <v/>
      </c>
      <c r="NW13">
        <f>IF('calcA'!EJ$106=1,II13,1)</f>
        <v/>
      </c>
      <c r="NX13">
        <f>IF('calcA'!EK$106=1,IJ13,1)</f>
        <v/>
      </c>
      <c r="NY13">
        <f>IF('calcA'!EL$106=1,IK13,1)</f>
        <v/>
      </c>
      <c r="NZ13">
        <f>IF('calcA'!EM$106=1,IL13,1)</f>
        <v/>
      </c>
      <c r="OA13">
        <f>IF('calcA'!EN$106=1,IM13,1)</f>
        <v/>
      </c>
      <c r="OB13">
        <f>IF('calcA'!EO$106=1,IN13,1)</f>
        <v/>
      </c>
      <c r="OC13">
        <f>IF('calcA'!EP$106=1,IO13,1)</f>
        <v/>
      </c>
      <c r="OD13" t="n">
        <v>1</v>
      </c>
      <c r="OF13">
        <f>IF($B13=0,1000000000,IF(INDEX('calcA'!$D$60:$EQ$99,$B13,1)*IF($W13=1,DB13+ZQ13,DB13)=1,IF(AND($E13=2,IF($W13=1,AFF13,IQ13)=0),1000000000,IF($V13=1,INDEX('calcA'!$D$130:$EQ$169,$B13,1)+IF(AND($E13=1,IQ13=0),25,0),INDEX('calcA'!D$110:D$114,$F13+1)+IF(AND($E13=1,IQ13=0),1000,0)+IF($H13=1,INDEX('calcA'!$D$180:$EQ$219,$B13,1)*500,0)-IF(AND($U13=1,'calcA'!D$117=1,DC13=0),300,0))),1000000000))</f>
        <v/>
      </c>
      <c r="OG13">
        <f>IF($B13=0,1000000000,IF(INDEX('calcA'!$D$60:$EQ$99,$B13,2)*IF($W13=1,DC13+ZR13,DC13)=1,IF(AND($E13=2,IF($W13=1,AFG13,IR13)=0),1000000000,IF($V13=1,INDEX('calcA'!$D$130:$EQ$169,$B13,2)+IF(AND($E13=1,IR13=0),25,0),INDEX('calcA'!E$110:E$114,$F13+1)+IF(AND($E13=1,IR13=0),1000,0)+IF($H13=1,INDEX('calcA'!$D$180:$EQ$219,$B13,2)*500,0)-IF(AND('calcA'!D$117=1,UB13&gt;0),300,0)-IF(AND($U13=1,'calcA'!E$117=1,DD13=0),300,0))),1000000000))</f>
        <v/>
      </c>
      <c r="OH13">
        <f>IF($B13=0,1000000000,IF(INDEX('calcA'!$D$60:$EQ$99,$B13,3)*IF($W13=1,DD13+ZS13,DD13)=1,IF(AND($E13=2,IF($W13=1,AFH13,IS13)=0),1000000000,IF($V13=1,INDEX('calcA'!$D$130:$EQ$169,$B13,3)+IF(AND($E13=1,IS13=0),25,0),INDEX('calcA'!F$110:F$114,$F13+1)+IF(AND($E13=1,IS13=0),1000,0)+IF($H13=1,INDEX('calcA'!$D$180:$EQ$219,$B13,3)*500,0)-IF(AND('calcA'!E$117=1,UC13&gt;0),300,0)-IF(AND($U13=1,'calcA'!F$117=1,DE13=0),300,0))),1000000000))</f>
        <v/>
      </c>
      <c r="OI13">
        <f>IF($B13=0,1000000000,IF(INDEX('calcA'!$D$60:$EQ$99,$B13,4)*IF($W13=1,DE13+ZT13,DE13)=1,IF(AND($E13=2,IF($W13=1,AFI13,IT13)=0),1000000000,IF($V13=1,INDEX('calcA'!$D$130:$EQ$169,$B13,4)+IF(AND($E13=1,IT13=0),25,0),INDEX('calcA'!G$110:G$114,$F13+1)+IF(AND($E13=1,IT13=0),1000,0)+IF($H13=1,INDEX('calcA'!$D$180:$EQ$219,$B13,4)*500,0)-IF(AND('calcA'!F$117=1,UD13&gt;0),300,0)-IF(AND($U13=1,'calcA'!G$117=1,DF13=0),300,0))),1000000000))</f>
        <v/>
      </c>
      <c r="OJ13">
        <f>IF($B13=0,1000000000,IF(INDEX('calcA'!$D$60:$EQ$99,$B13,5)*IF($W13=1,DF13+ZU13,DF13)=1,IF(AND($E13=2,IF($W13=1,AFJ13,IU13)=0),1000000000,IF($V13=1,INDEX('calcA'!$D$130:$EQ$169,$B13,5)+IF(AND($E13=1,IU13=0),25,0),INDEX('calcA'!H$110:H$114,$F13+1)+IF(AND($E13=1,IU13=0),1000,0)+IF($H13=1,INDEX('calcA'!$D$180:$EQ$219,$B13,5)*500,0)-IF(AND('calcA'!G$117=1,UE13&gt;0),300,0)-IF(AND($U13=1,'calcA'!H$117=1,DG13=0),300,0))),1000000000))</f>
        <v/>
      </c>
      <c r="OK13">
        <f>IF($B13=0,1000000000,IF(INDEX('calcA'!$D$60:$EQ$99,$B13,6)*IF($W13=1,DG13+ZV13,DG13)=1,IF(AND($E13=2,IF($W13=1,AFK13,IV13)=0),1000000000,IF($V13=1,INDEX('calcA'!$D$130:$EQ$169,$B13,6)+IF(AND($E13=1,IV13=0),25,0),INDEX('calcA'!I$110:I$114,$F13+1)+IF(AND($E13=1,IV13=0),1000,0)+IF($H13=1,INDEX('calcA'!$D$180:$EQ$219,$B13,6)*500,0)-IF(AND('calcA'!H$117=1,UF13&gt;0),300,0)-IF(AND($U13=1,'calcA'!I$117=1,DH13=0),300,0))),1000000000))</f>
        <v/>
      </c>
      <c r="OL13">
        <f>IF($B13=0,1000000000,IF(INDEX('calcA'!$D$60:$EQ$99,$B13,7)*IF($W13=1,DH13+ZW13,DH13)=1,IF(AND($E13=2,IF($W13=1,AFL13,IW13)=0),1000000000,IF($V13=1,INDEX('calcA'!$D$130:$EQ$169,$B13,7)+IF(AND($E13=1,IW13=0),25,0),INDEX('calcA'!J$110:J$114,$F13+1)+IF(AND($E13=1,IW13=0),1000,0)+IF($H13=1,INDEX('calcA'!$D$180:$EQ$219,$B13,7)*500,0)-IF(AND('calcA'!I$117=1,UG13&gt;0),300,0)-IF(AND($U13=1,'calcA'!J$117=1,DI13=0),300,0))),1000000000))</f>
        <v/>
      </c>
      <c r="OM13">
        <f>IF($B13=0,1000000000,IF(INDEX('calcA'!$D$60:$EQ$99,$B13,8)*IF($W13=1,DI13+ZX13,DI13)=1,IF(AND($E13=2,IF($W13=1,AFM13,IX13)=0),1000000000,IF($V13=1,INDEX('calcA'!$D$130:$EQ$169,$B13,8)+IF(AND($E13=1,IX13=0),25,0),INDEX('calcA'!K$110:K$114,$F13+1)+IF(AND($E13=1,IX13=0),1000,0)+IF($H13=1,INDEX('calcA'!$D$180:$EQ$219,$B13,8)*500,0)-IF(AND('calcA'!J$117=1,UH13&gt;0),300,0)-IF(AND($U13=1,'calcA'!K$117=1,DJ13=0),300,0))),1000000000))</f>
        <v/>
      </c>
      <c r="ON13">
        <f>IF($B13=0,1000000000,IF(INDEX('calcA'!$D$60:$EQ$99,$B13,9)*IF($W13=1,DJ13+ZY13,DJ13)=1,IF(AND($E13=2,IF($W13=1,AFN13,IY13)=0),1000000000,IF($V13=1,INDEX('calcA'!$D$130:$EQ$169,$B13,9)+IF(AND($E13=1,IY13=0),25,0),INDEX('calcA'!L$110:L$114,$F13+1)+IF(AND($E13=1,IY13=0),1000,0)+IF($H13=1,INDEX('calcA'!$D$180:$EQ$219,$B13,9)*500,0)-IF(AND('calcA'!K$117=1,UI13&gt;0),300,0)-IF(AND($U13=1,'calcA'!L$117=1,DK13=0),300,0))),1000000000))</f>
        <v/>
      </c>
      <c r="OO13">
        <f>IF($B13=0,1000000000,IF(INDEX('calcA'!$D$60:$EQ$99,$B13,10)*IF($W13=1,DK13+ZZ13,DK13)=1,IF(AND($E13=2,IF($W13=1,AFO13,IZ13)=0),1000000000,IF($V13=1,INDEX('calcA'!$D$130:$EQ$169,$B13,10)+IF(AND($E13=1,IZ13=0),25,0),INDEX('calcA'!M$110:M$114,$F13+1)+IF(AND($E13=1,IZ13=0),1000,0)+IF($H13=1,INDEX('calcA'!$D$180:$EQ$219,$B13,10)*500,0)-IF(AND('calcA'!L$117=1,UJ13&gt;0),300,0)-IF(AND($U13=1,'calcA'!M$117=1,DL13=0),300,0))),1000000000))</f>
        <v/>
      </c>
      <c r="OP13">
        <f>IF($B13=0,1000000000,IF(INDEX('calcA'!$D$60:$EQ$99,$B13,11)*IF($W13=1,DL13+AAA13,DL13)=1,IF(AND($E13=2,IF($W13=1,AFP13,JA13)=0),1000000000,IF($V13=1,INDEX('calcA'!$D$130:$EQ$169,$B13,11)+IF(AND($E13=1,JA13=0),25,0),INDEX('calcA'!N$110:N$114,$F13+1)+IF(AND($E13=1,JA13=0),1000,0)+IF($H13=1,INDEX('calcA'!$D$180:$EQ$219,$B13,11)*500,0)-IF(AND('calcA'!M$117=1,UK13&gt;0),300,0)-IF(AND($U13=1,'calcA'!N$117=1,DM13=0),300,0))),1000000000))</f>
        <v/>
      </c>
      <c r="OQ13">
        <f>IF($B13=0,1000000000,IF(INDEX('calcA'!$D$60:$EQ$99,$B13,12)*IF($W13=1,DM13+AAB13,DM13)=1,IF(AND($E13=2,IF($W13=1,AFQ13,JB13)=0),1000000000,IF($V13=1,INDEX('calcA'!$D$130:$EQ$169,$B13,12)+IF(AND($E13=1,JB13=0),25,0),INDEX('calcA'!O$110:O$114,$F13+1)+IF(AND($E13=1,JB13=0),1000,0)+IF($H13=1,INDEX('calcA'!$D$180:$EQ$219,$B13,12)*500,0)-IF(AND('calcA'!N$117=1,UL13&gt;0),300,0)-IF(AND($U13=1,'calcA'!O$117=1,DN13=0),300,0))),1000000000))</f>
        <v/>
      </c>
      <c r="OR13">
        <f>IF($B13=0,1000000000,IF(INDEX('calcA'!$D$60:$EQ$99,$B13,13)*IF($W13=1,DN13+AAC13,DN13)=1,IF(AND($E13=2,IF($W13=1,AFR13,JC13)=0),1000000000,IF($V13=1,INDEX('calcA'!$D$130:$EQ$169,$B13,13)+IF(AND($E13=1,JC13=0),25,0),INDEX('calcA'!P$110:P$114,$F13+1)+IF(AND($E13=1,JC13=0),1000,0)+IF($H13=1,INDEX('calcA'!$D$180:$EQ$219,$B13,13)*500,0)-IF(AND('calcA'!O$117=1,UM13&gt;0),300,0)-IF(AND($U13=1,'calcA'!P$117=1,DO13=0),300,0))),1000000000))</f>
        <v/>
      </c>
      <c r="OS13">
        <f>IF($B13=0,1000000000,IF(INDEX('calcA'!$D$60:$EQ$99,$B13,14)*IF($W13=1,DO13+AAD13,DO13)=1,IF(AND($E13=2,IF($W13=1,AFS13,JD13)=0),1000000000,IF($V13=1,INDEX('calcA'!$D$130:$EQ$169,$B13,14)+IF(AND($E13=1,JD13=0),25,0),INDEX('calcA'!Q$110:Q$114,$F13+1)+IF(AND($E13=1,JD13=0),1000,0)+IF($H13=1,INDEX('calcA'!$D$180:$EQ$219,$B13,14)*500,0)-IF(AND('calcA'!P$117=1,UN13&gt;0),300,0)-IF(AND($U13=1,'calcA'!Q$117=1,DP13=0),300,0))),1000000000))</f>
        <v/>
      </c>
      <c r="OT13">
        <f>IF($B13=0,1000000000,IF(INDEX('calcA'!$D$60:$EQ$99,$B13,15)*IF($W13=1,DP13+AAE13,DP13)=1,IF(AND($E13=2,IF($W13=1,AFT13,JE13)=0),1000000000,IF($V13=1,INDEX('calcA'!$D$130:$EQ$169,$B13,15)+IF(AND($E13=1,JE13=0),25,0),INDEX('calcA'!R$110:R$114,$F13+1)+IF(AND($E13=1,JE13=0),1000,0)+IF($H13=1,INDEX('calcA'!$D$180:$EQ$219,$B13,15)*500,0)-IF(AND('calcA'!Q$117=1,UO13&gt;0),300,0)-IF(AND($U13=1,'calcA'!R$117=1,DQ13=0),300,0))),1000000000))</f>
        <v/>
      </c>
      <c r="OU13">
        <f>IF($B13=0,1000000000,IF(INDEX('calcA'!$D$60:$EQ$99,$B13,16)*IF($W13=1,DQ13+AAF13,DQ13)=1,IF(AND($E13=2,IF($W13=1,AFU13,JF13)=0),1000000000,IF($V13=1,INDEX('calcA'!$D$130:$EQ$169,$B13,16)+IF(AND($E13=1,JF13=0),25,0),INDEX('calcA'!S$110:S$114,$F13+1)+IF(AND($E13=1,JF13=0),1000,0)+IF($H13=1,INDEX('calcA'!$D$180:$EQ$219,$B13,16)*500,0)-IF(AND('calcA'!R$117=1,UP13&gt;0),300,0)-IF(AND($U13=1,'calcA'!S$117=1,DR13=0),300,0))),1000000000))</f>
        <v/>
      </c>
      <c r="OV13">
        <f>IF($B13=0,1000000000,IF(INDEX('calcA'!$D$60:$EQ$99,$B13,17)*IF($W13=1,DR13+AAG13,DR13)=1,IF(AND($E13=2,IF($W13=1,AFV13,JG13)=0),1000000000,IF($V13=1,INDEX('calcA'!$D$130:$EQ$169,$B13,17)+IF(AND($E13=1,JG13=0),25,0),INDEX('calcA'!T$110:T$114,$F13+1)+IF(AND($E13=1,JG13=0),1000,0)+IF($H13=1,INDEX('calcA'!$D$180:$EQ$219,$B13,17)*500,0)-IF(AND('calcA'!S$117=1,UQ13&gt;0),300,0)-IF(AND($U13=1,'calcA'!T$117=1,DS13=0),300,0))),1000000000))</f>
        <v/>
      </c>
      <c r="OW13">
        <f>IF($B13=0,1000000000,IF(INDEX('calcA'!$D$60:$EQ$99,$B13,18)*IF($W13=1,DS13+AAH13,DS13)=1,IF(AND($E13=2,IF($W13=1,AFW13,JH13)=0),1000000000,IF($V13=1,INDEX('calcA'!$D$130:$EQ$169,$B13,18)+IF(AND($E13=1,JH13=0),25,0),INDEX('calcA'!U$110:U$114,$F13+1)+IF(AND($E13=1,JH13=0),1000,0)+IF($H13=1,INDEX('calcA'!$D$180:$EQ$219,$B13,18)*500,0)-IF(AND('calcA'!T$117=1,UR13&gt;0),300,0)-IF(AND($U13=1,'calcA'!U$117=1,DT13=0),300,0))),1000000000))</f>
        <v/>
      </c>
      <c r="OX13">
        <f>IF($B13=0,1000000000,IF(INDEX('calcA'!$D$60:$EQ$99,$B13,19)*IF($W13=1,DT13+AAI13,DT13)=1,IF(AND($E13=2,IF($W13=1,AFX13,JI13)=0),1000000000,IF($V13=1,INDEX('calcA'!$D$130:$EQ$169,$B13,19)+IF(AND($E13=1,JI13=0),25,0),INDEX('calcA'!V$110:V$114,$F13+1)+IF(AND($E13=1,JI13=0),1000,0)+IF($H13=1,INDEX('calcA'!$D$180:$EQ$219,$B13,19)*500,0)-IF(AND('calcA'!U$117=1,US13&gt;0),300,0)-IF(AND($U13=1,'calcA'!V$117=1,DU13=0),300,0))),1000000000))</f>
        <v/>
      </c>
      <c r="OY13">
        <f>IF($B13=0,1000000000,IF(INDEX('calcA'!$D$60:$EQ$99,$B13,20)*IF($W13=1,DU13+AAJ13,DU13)=1,IF(AND($E13=2,IF($W13=1,AFY13,JJ13)=0),1000000000,IF($V13=1,INDEX('calcA'!$D$130:$EQ$169,$B13,20)+IF(AND($E13=1,JJ13=0),25,0),INDEX('calcA'!W$110:W$114,$F13+1)+IF(AND($E13=1,JJ13=0),1000,0)+IF($H13=1,INDEX('calcA'!$D$180:$EQ$219,$B13,20)*500,0)-IF(AND('calcA'!V$117=1,UT13&gt;0),300,0)-IF(AND($U13=1,'calcA'!W$117=1,DV13=0),300,0))),1000000000))</f>
        <v/>
      </c>
      <c r="OZ13">
        <f>IF($B13=0,1000000000,IF(INDEX('calcA'!$D$60:$EQ$99,$B13,21)*IF($W13=1,DV13+AAK13,DV13)=1,IF(AND($E13=2,IF($W13=1,AFZ13,JK13)=0),1000000000,IF($V13=1,INDEX('calcA'!$D$130:$EQ$169,$B13,21)+IF(AND($E13=1,JK13=0),25,0),INDEX('calcA'!X$110:X$114,$F13+1)+IF(AND($E13=1,JK13=0),1000,0)+IF($H13=1,INDEX('calcA'!$D$180:$EQ$219,$B13,21)*500,0)-IF(AND('calcA'!W$117=1,UU13&gt;0),300,0)-IF(AND($U13=1,'calcA'!X$117=1,DW13=0),300,0))),1000000000))</f>
        <v/>
      </c>
      <c r="PA13">
        <f>IF($B13=0,1000000000,IF(INDEX('calcA'!$D$60:$EQ$99,$B13,22)*IF($W13=1,DW13+AAL13,DW13)=1,IF(AND($E13=2,IF($W13=1,AGA13,JL13)=0),1000000000,IF($V13=1,INDEX('calcA'!$D$130:$EQ$169,$B13,22)+IF(AND($E13=1,JL13=0),25,0),INDEX('calcA'!Y$110:Y$114,$F13+1)+IF(AND($E13=1,JL13=0),1000,0)+IF($H13=1,INDEX('calcA'!$D$180:$EQ$219,$B13,22)*500,0)-IF(AND('calcA'!X$117=1,UV13&gt;0),300,0)-IF(AND($U13=1,'calcA'!Y$117=1,DX13=0),300,0))),1000000000))</f>
        <v/>
      </c>
      <c r="PB13">
        <f>IF($B13=0,1000000000,IF(INDEX('calcA'!$D$60:$EQ$99,$B13,23)*IF($W13=1,DX13+AAM13,DX13)=1,IF(AND($E13=2,IF($W13=1,AGB13,JM13)=0),1000000000,IF($V13=1,INDEX('calcA'!$D$130:$EQ$169,$B13,23)+IF(AND($E13=1,JM13=0),25,0),INDEX('calcA'!Z$110:Z$114,$F13+1)+IF(AND($E13=1,JM13=0),1000,0)+IF($H13=1,INDEX('calcA'!$D$180:$EQ$219,$B13,23)*500,0)-IF(AND('calcA'!Y$117=1,UW13&gt;0),300,0)-IF(AND($U13=1,'calcA'!Z$117=1,DY13=0),300,0))),1000000000))</f>
        <v/>
      </c>
      <c r="PC13">
        <f>IF($B13=0,1000000000,IF(INDEX('calcA'!$D$60:$EQ$99,$B13,24)*IF($W13=1,DY13+AAN13,DY13)=1,IF(AND($E13=2,IF($W13=1,AGC13,JN13)=0),1000000000,IF($V13=1,INDEX('calcA'!$D$130:$EQ$169,$B13,24)+IF(AND($E13=1,JN13=0),25,0),INDEX('calcA'!AA$110:AA$114,$F13+1)+IF(AND($E13=1,JN13=0),1000,0)+IF($H13=1,INDEX('calcA'!$D$180:$EQ$219,$B13,24)*500,0)-IF(AND('calcA'!Z$117=1,UX13&gt;0),300,0))),1000000000))</f>
        <v/>
      </c>
      <c r="PD13">
        <f>IF($B13=0,1000000000,IF(INDEX('calcA'!$D$60:$EQ$99,$B13,25)*IF($W13=1,DZ13+AAO13,DZ13)=1,IF(AND($E13=2,IF($W13=1,AGD13,JO13)=0),1000000000,IF($V13=1,INDEX('calcA'!$D$130:$EQ$169,$B13,25)+IF(AND($E13=1,JO13=0),25,0),INDEX('calcA'!AB$110:AB$114,$F13+1)+IF(AND($E13=1,JO13=0),1000,0)+IF($H13=1,INDEX('calcA'!$D$180:$EQ$219,$B13,25)*500,0)-IF(AND($U13=1,'calcA'!AB$117=1,EA13=0),300,0))),1000000000))</f>
        <v/>
      </c>
      <c r="PE13">
        <f>IF($B13=0,1000000000,IF(INDEX('calcA'!$D$60:$EQ$99,$B13,26)*IF($W13=1,EA13+AAP13,EA13)=1,IF(AND($E13=2,IF($W13=1,AGE13,JP13)=0),1000000000,IF($V13=1,INDEX('calcA'!$D$130:$EQ$169,$B13,26)+IF(AND($E13=1,JP13=0),25,0),INDEX('calcA'!AC$110:AC$114,$F13+1)+IF(AND($E13=1,JP13=0),1000,0)+IF($H13=1,INDEX('calcA'!$D$180:$EQ$219,$B13,26)*500,0)-IF(AND('calcA'!AB$117=1,UZ13&gt;0),300,0)-IF(AND($U13=1,'calcA'!AC$117=1,EB13=0),300,0))),1000000000))</f>
        <v/>
      </c>
      <c r="PF13">
        <f>IF($B13=0,1000000000,IF(INDEX('calcA'!$D$60:$EQ$99,$B13,27)*IF($W13=1,EB13+AAQ13,EB13)=1,IF(AND($E13=2,IF($W13=1,AGF13,JQ13)=0),1000000000,IF($V13=1,INDEX('calcA'!$D$130:$EQ$169,$B13,27)+IF(AND($E13=1,JQ13=0),25,0),INDEX('calcA'!AD$110:AD$114,$F13+1)+IF(AND($E13=1,JQ13=0),1000,0)+IF($H13=1,INDEX('calcA'!$D$180:$EQ$219,$B13,27)*500,0)-IF(AND('calcA'!AC$117=1,VA13&gt;0),300,0)-IF(AND($U13=1,'calcA'!AD$117=1,EC13=0),300,0))),1000000000))</f>
        <v/>
      </c>
      <c r="PG13">
        <f>IF($B13=0,1000000000,IF(INDEX('calcA'!$D$60:$EQ$99,$B13,28)*IF($W13=1,EC13+AAR13,EC13)=1,IF(AND($E13=2,IF($W13=1,AGG13,JR13)=0),1000000000,IF($V13=1,INDEX('calcA'!$D$130:$EQ$169,$B13,28)+IF(AND($E13=1,JR13=0),25,0),INDEX('calcA'!AE$110:AE$114,$F13+1)+IF(AND($E13=1,JR13=0),1000,0)+IF($H13=1,INDEX('calcA'!$D$180:$EQ$219,$B13,28)*500,0)-IF(AND('calcA'!AD$117=1,VB13&gt;0),300,0)-IF(AND($U13=1,'calcA'!AE$117=1,ED13=0),300,0))),1000000000))</f>
        <v/>
      </c>
      <c r="PH13">
        <f>IF($B13=0,1000000000,IF(INDEX('calcA'!$D$60:$EQ$99,$B13,29)*IF($W13=1,ED13+AAS13,ED13)=1,IF(AND($E13=2,IF($W13=1,AGH13,JS13)=0),1000000000,IF($V13=1,INDEX('calcA'!$D$130:$EQ$169,$B13,29)+IF(AND($E13=1,JS13=0),25,0),INDEX('calcA'!AF$110:AF$114,$F13+1)+IF(AND($E13=1,JS13=0),1000,0)+IF($H13=1,INDEX('calcA'!$D$180:$EQ$219,$B13,29)*500,0)-IF(AND('calcA'!AE$117=1,VC13&gt;0),300,0)-IF(AND($U13=1,'calcA'!AF$117=1,EE13=0),300,0))),1000000000))</f>
        <v/>
      </c>
      <c r="PI13">
        <f>IF($B13=0,1000000000,IF(INDEX('calcA'!$D$60:$EQ$99,$B13,30)*IF($W13=1,EE13+AAT13,EE13)=1,IF(AND($E13=2,IF($W13=1,AGI13,JT13)=0),1000000000,IF($V13=1,INDEX('calcA'!$D$130:$EQ$169,$B13,30)+IF(AND($E13=1,JT13=0),25,0),INDEX('calcA'!AG$110:AG$114,$F13+1)+IF(AND($E13=1,JT13=0),1000,0)+IF($H13=1,INDEX('calcA'!$D$180:$EQ$219,$B13,30)*500,0)-IF(AND('calcA'!AF$117=1,VD13&gt;0),300,0)-IF(AND($U13=1,'calcA'!AG$117=1,EF13=0),300,0))),1000000000))</f>
        <v/>
      </c>
      <c r="PJ13">
        <f>IF($B13=0,1000000000,IF(INDEX('calcA'!$D$60:$EQ$99,$B13,31)*IF($W13=1,EF13+AAU13,EF13)=1,IF(AND($E13=2,IF($W13=1,AGJ13,JU13)=0),1000000000,IF($V13=1,INDEX('calcA'!$D$130:$EQ$169,$B13,31)+IF(AND($E13=1,JU13=0),25,0),INDEX('calcA'!AH$110:AH$114,$F13+1)+IF(AND($E13=1,JU13=0),1000,0)+IF($H13=1,INDEX('calcA'!$D$180:$EQ$219,$B13,31)*500,0)-IF(AND('calcA'!AG$117=1,VE13&gt;0),300,0)-IF(AND($U13=1,'calcA'!AH$117=1,EG13=0),300,0))),1000000000))</f>
        <v/>
      </c>
      <c r="PK13">
        <f>IF($B13=0,1000000000,IF(INDEX('calcA'!$D$60:$EQ$99,$B13,32)*IF($W13=1,EG13+AAV13,EG13)=1,IF(AND($E13=2,IF($W13=1,AGK13,JV13)=0),1000000000,IF($V13=1,INDEX('calcA'!$D$130:$EQ$169,$B13,32)+IF(AND($E13=1,JV13=0),25,0),INDEX('calcA'!AI$110:AI$114,$F13+1)+IF(AND($E13=1,JV13=0),1000,0)+IF($H13=1,INDEX('calcA'!$D$180:$EQ$219,$B13,32)*500,0)-IF(AND('calcA'!AH$117=1,VF13&gt;0),300,0)-IF(AND($U13=1,'calcA'!AI$117=1,EH13=0),300,0))),1000000000))</f>
        <v/>
      </c>
      <c r="PL13">
        <f>IF($B13=0,1000000000,IF(INDEX('calcA'!$D$60:$EQ$99,$B13,33)*IF($W13=1,EH13+AAW13,EH13)=1,IF(AND($E13=2,IF($W13=1,AGL13,JW13)=0),1000000000,IF($V13=1,INDEX('calcA'!$D$130:$EQ$169,$B13,33)+IF(AND($E13=1,JW13=0),25,0),INDEX('calcA'!AJ$110:AJ$114,$F13+1)+IF(AND($E13=1,JW13=0),1000,0)+IF($H13=1,INDEX('calcA'!$D$180:$EQ$219,$B13,33)*500,0)-IF(AND('calcA'!AI$117=1,VG13&gt;0),300,0)-IF(AND($U13=1,'calcA'!AJ$117=1,EI13=0),300,0))),1000000000))</f>
        <v/>
      </c>
      <c r="PM13">
        <f>IF($B13=0,1000000000,IF(INDEX('calcA'!$D$60:$EQ$99,$B13,34)*IF($W13=1,EI13+AAX13,EI13)=1,IF(AND($E13=2,IF($W13=1,AGM13,JX13)=0),1000000000,IF($V13=1,INDEX('calcA'!$D$130:$EQ$169,$B13,34)+IF(AND($E13=1,JX13=0),25,0),INDEX('calcA'!AK$110:AK$114,$F13+1)+IF(AND($E13=1,JX13=0),1000,0)+IF($H13=1,INDEX('calcA'!$D$180:$EQ$219,$B13,34)*500,0)-IF(AND('calcA'!AJ$117=1,VH13&gt;0),300,0)-IF(AND($U13=1,'calcA'!AK$117=1,EJ13=0),300,0))),1000000000))</f>
        <v/>
      </c>
      <c r="PN13">
        <f>IF($B13=0,1000000000,IF(INDEX('calcA'!$D$60:$EQ$99,$B13,35)*IF($W13=1,EJ13+AAY13,EJ13)=1,IF(AND($E13=2,IF($W13=1,AGN13,JY13)=0),1000000000,IF($V13=1,INDEX('calcA'!$D$130:$EQ$169,$B13,35)+IF(AND($E13=1,JY13=0),25,0),INDEX('calcA'!AL$110:AL$114,$F13+1)+IF(AND($E13=1,JY13=0),1000,0)+IF($H13=1,INDEX('calcA'!$D$180:$EQ$219,$B13,35)*500,0)-IF(AND('calcA'!AK$117=1,VI13&gt;0),300,0)-IF(AND($U13=1,'calcA'!AL$117=1,EK13=0),300,0))),1000000000))</f>
        <v/>
      </c>
      <c r="PO13">
        <f>IF($B13=0,1000000000,IF(INDEX('calcA'!$D$60:$EQ$99,$B13,36)*IF($W13=1,EK13+AAZ13,EK13)=1,IF(AND($E13=2,IF($W13=1,AGO13,JZ13)=0),1000000000,IF($V13=1,INDEX('calcA'!$D$130:$EQ$169,$B13,36)+IF(AND($E13=1,JZ13=0),25,0),INDEX('calcA'!AM$110:AM$114,$F13+1)+IF(AND($E13=1,JZ13=0),1000,0)+IF($H13=1,INDEX('calcA'!$D$180:$EQ$219,$B13,36)*500,0)-IF(AND('calcA'!AL$117=1,VJ13&gt;0),300,0)-IF(AND($U13=1,'calcA'!AM$117=1,EL13=0),300,0))),1000000000))</f>
        <v/>
      </c>
      <c r="PP13">
        <f>IF($B13=0,1000000000,IF(INDEX('calcA'!$D$60:$EQ$99,$B13,37)*IF($W13=1,EL13+ABA13,EL13)=1,IF(AND($E13=2,IF($W13=1,AGP13,KA13)=0),1000000000,IF($V13=1,INDEX('calcA'!$D$130:$EQ$169,$B13,37)+IF(AND($E13=1,KA13=0),25,0),INDEX('calcA'!AN$110:AN$114,$F13+1)+IF(AND($E13=1,KA13=0),1000,0)+IF($H13=1,INDEX('calcA'!$D$180:$EQ$219,$B13,37)*500,0)-IF(AND('calcA'!AM$117=1,VK13&gt;0),300,0)-IF(AND($U13=1,'calcA'!AN$117=1,EM13=0),300,0))),1000000000))</f>
        <v/>
      </c>
      <c r="PQ13">
        <f>IF($B13=0,1000000000,IF(INDEX('calcA'!$D$60:$EQ$99,$B13,38)*IF($W13=1,EM13+ABB13,EM13)=1,IF(AND($E13=2,IF($W13=1,AGQ13,KB13)=0),1000000000,IF($V13=1,INDEX('calcA'!$D$130:$EQ$169,$B13,38)+IF(AND($E13=1,KB13=0),25,0),INDEX('calcA'!AO$110:AO$114,$F13+1)+IF(AND($E13=1,KB13=0),1000,0)+IF($H13=1,INDEX('calcA'!$D$180:$EQ$219,$B13,38)*500,0)-IF(AND('calcA'!AN$117=1,VL13&gt;0),300,0)-IF(AND($U13=1,'calcA'!AO$117=1,EN13=0),300,0))),1000000000))</f>
        <v/>
      </c>
      <c r="PR13">
        <f>IF($B13=0,1000000000,IF(INDEX('calcA'!$D$60:$EQ$99,$B13,39)*IF($W13=1,EN13+ABC13,EN13)=1,IF(AND($E13=2,IF($W13=1,AGR13,KC13)=0),1000000000,IF($V13=1,INDEX('calcA'!$D$130:$EQ$169,$B13,39)+IF(AND($E13=1,KC13=0),25,0),INDEX('calcA'!AP$110:AP$114,$F13+1)+IF(AND($E13=1,KC13=0),1000,0)+IF($H13=1,INDEX('calcA'!$D$180:$EQ$219,$B13,39)*500,0)-IF(AND('calcA'!AO$117=1,VM13&gt;0),300,0)-IF(AND($U13=1,'calcA'!AP$117=1,EO13=0),300,0))),1000000000))</f>
        <v/>
      </c>
      <c r="PS13">
        <f>IF($B13=0,1000000000,IF(INDEX('calcA'!$D$60:$EQ$99,$B13,40)*IF($W13=1,EO13+ABD13,EO13)=1,IF(AND($E13=2,IF($W13=1,AGS13,KD13)=0),1000000000,IF($V13=1,INDEX('calcA'!$D$130:$EQ$169,$B13,40)+IF(AND($E13=1,KD13=0),25,0),INDEX('calcA'!AQ$110:AQ$114,$F13+1)+IF(AND($E13=1,KD13=0),1000,0)+IF($H13=1,INDEX('calcA'!$D$180:$EQ$219,$B13,40)*500,0)-IF(AND('calcA'!AP$117=1,VN13&gt;0),300,0)-IF(AND($U13=1,'calcA'!AQ$117=1,EP13=0),300,0))),1000000000))</f>
        <v/>
      </c>
      <c r="PT13">
        <f>IF($B13=0,1000000000,IF(INDEX('calcA'!$D$60:$EQ$99,$B13,41)*IF($W13=1,EP13+ABE13,EP13)=1,IF(AND($E13=2,IF($W13=1,AGT13,KE13)=0),1000000000,IF($V13=1,INDEX('calcA'!$D$130:$EQ$169,$B13,41)+IF(AND($E13=1,KE13=0),25,0),INDEX('calcA'!AR$110:AR$114,$F13+1)+IF(AND($E13=1,KE13=0),1000,0)+IF($H13=1,INDEX('calcA'!$D$180:$EQ$219,$B13,41)*500,0)-IF(AND('calcA'!AQ$117=1,VO13&gt;0),300,0)-IF(AND($U13=1,'calcA'!AR$117=1,EQ13=0),300,0))),1000000000))</f>
        <v/>
      </c>
      <c r="PU13">
        <f>IF($B13=0,1000000000,IF(INDEX('calcA'!$D$60:$EQ$99,$B13,42)*IF($W13=1,EQ13+ABF13,EQ13)=1,IF(AND($E13=2,IF($W13=1,AGU13,KF13)=0),1000000000,IF($V13=1,INDEX('calcA'!$D$130:$EQ$169,$B13,42)+IF(AND($E13=1,KF13=0),25,0),INDEX('calcA'!AS$110:AS$114,$F13+1)+IF(AND($E13=1,KF13=0),1000,0)+IF($H13=1,INDEX('calcA'!$D$180:$EQ$219,$B13,42)*500,0)-IF(AND('calcA'!AR$117=1,VP13&gt;0),300,0)-IF(AND($U13=1,'calcA'!AS$117=1,ER13=0),300,0))),1000000000))</f>
        <v/>
      </c>
      <c r="PV13">
        <f>IF($B13=0,1000000000,IF(INDEX('calcA'!$D$60:$EQ$99,$B13,43)*IF($W13=1,ER13+ABG13,ER13)=1,IF(AND($E13=2,IF($W13=1,AGV13,KG13)=0),1000000000,IF($V13=1,INDEX('calcA'!$D$130:$EQ$169,$B13,43)+IF(AND($E13=1,KG13=0),25,0),INDEX('calcA'!AT$110:AT$114,$F13+1)+IF(AND($E13=1,KG13=0),1000,0)+IF($H13=1,INDEX('calcA'!$D$180:$EQ$219,$B13,43)*500,0)-IF(AND('calcA'!AS$117=1,VQ13&gt;0),300,0)-IF(AND($U13=1,'calcA'!AT$117=1,ES13=0),300,0))),1000000000))</f>
        <v/>
      </c>
      <c r="PW13">
        <f>IF($B13=0,1000000000,IF(INDEX('calcA'!$D$60:$EQ$99,$B13,44)*IF($W13=1,ES13+ABH13,ES13)=1,IF(AND($E13=2,IF($W13=1,AGW13,KH13)=0),1000000000,IF($V13=1,INDEX('calcA'!$D$130:$EQ$169,$B13,44)+IF(AND($E13=1,KH13=0),25,0),INDEX('calcA'!AU$110:AU$114,$F13+1)+IF(AND($E13=1,KH13=0),1000,0)+IF($H13=1,INDEX('calcA'!$D$180:$EQ$219,$B13,44)*500,0)-IF(AND('calcA'!AT$117=1,VR13&gt;0),300,0)-IF(AND($U13=1,'calcA'!AU$117=1,ET13=0),300,0))),1000000000))</f>
        <v/>
      </c>
      <c r="PX13">
        <f>IF($B13=0,1000000000,IF(INDEX('calcA'!$D$60:$EQ$99,$B13,45)*IF($W13=1,ET13+ABI13,ET13)=1,IF(AND($E13=2,IF($W13=1,AGX13,KI13)=0),1000000000,IF($V13=1,INDEX('calcA'!$D$130:$EQ$169,$B13,45)+IF(AND($E13=1,KI13=0),25,0),INDEX('calcA'!AV$110:AV$114,$F13+1)+IF(AND($E13=1,KI13=0),1000,0)+IF($H13=1,INDEX('calcA'!$D$180:$EQ$219,$B13,45)*500,0)-IF(AND('calcA'!AU$117=1,VS13&gt;0),300,0)-IF(AND($U13=1,'calcA'!AV$117=1,EU13=0),300,0))),1000000000))</f>
        <v/>
      </c>
      <c r="PY13">
        <f>IF($B13=0,1000000000,IF(INDEX('calcA'!$D$60:$EQ$99,$B13,46)*IF($W13=1,EU13+ABJ13,EU13)=1,IF(AND($E13=2,IF($W13=1,AGY13,KJ13)=0),1000000000,IF($V13=1,INDEX('calcA'!$D$130:$EQ$169,$B13,46)+IF(AND($E13=1,KJ13=0),25,0),INDEX('calcA'!AW$110:AW$114,$F13+1)+IF(AND($E13=1,KJ13=0),1000,0)+IF($H13=1,INDEX('calcA'!$D$180:$EQ$219,$B13,46)*500,0)-IF(AND('calcA'!AV$117=1,VT13&gt;0),300,0)-IF(AND($U13=1,'calcA'!AW$117=1,EV13=0),300,0))),1000000000))</f>
        <v/>
      </c>
      <c r="PZ13">
        <f>IF($B13=0,1000000000,IF(INDEX('calcA'!$D$60:$EQ$99,$B13,47)*IF($W13=1,EV13+ABK13,EV13)=1,IF(AND($E13=2,IF($W13=1,AGZ13,KK13)=0),1000000000,IF($V13=1,INDEX('calcA'!$D$130:$EQ$169,$B13,47)+IF(AND($E13=1,KK13=0),25,0),INDEX('calcA'!AX$110:AX$114,$F13+1)+IF(AND($E13=1,KK13=0),1000,0)+IF($H13=1,INDEX('calcA'!$D$180:$EQ$219,$B13,47)*500,0)-IF(AND('calcA'!AW$117=1,VU13&gt;0),300,0)-IF(AND($U13=1,'calcA'!AX$117=1,EW13=0),300,0))),1000000000))</f>
        <v/>
      </c>
      <c r="QA13">
        <f>IF($B13=0,1000000000,IF(INDEX('calcA'!$D$60:$EQ$99,$B13,48)*IF($W13=1,EW13+ABL13,EW13)=1,IF(AND($E13=2,IF($W13=1,AHA13,KL13)=0),1000000000,IF($V13=1,INDEX('calcA'!$D$130:$EQ$169,$B13,48)+IF(AND($E13=1,KL13=0),25,0),INDEX('calcA'!AY$110:AY$114,$F13+1)+IF(AND($E13=1,KL13=0),1000,0)+IF($H13=1,INDEX('calcA'!$D$180:$EQ$219,$B13,48)*500,0)-IF(AND('calcA'!AX$117=1,VV13&gt;0),300,0))),1000000000))</f>
        <v/>
      </c>
      <c r="QB13">
        <f>IF($B13=0,1000000000,IF(INDEX('calcA'!$D$60:$EQ$99,$B13,49)*IF($W13=1,EX13+ABM13,EX13)=1,IF(AND($E13=2,IF($W13=1,AHB13,KM13)=0),1000000000,IF($V13=1,INDEX('calcA'!$D$130:$EQ$169,$B13,49)+IF(AND($E13=1,KM13=0),25,0),INDEX('calcA'!AZ$110:AZ$114,$F13+1)+IF(AND($E13=1,KM13=0),1000,0)+IF($H13=1,INDEX('calcA'!$D$180:$EQ$219,$B13,49)*500,0)-IF(AND($U13=1,'calcA'!AZ$117=1,EY13=0),300,0))),1000000000))</f>
        <v/>
      </c>
      <c r="QC13">
        <f>IF($B13=0,1000000000,IF(INDEX('calcA'!$D$60:$EQ$99,$B13,50)*IF($W13=1,EY13+ABN13,EY13)=1,IF(AND($E13=2,IF($W13=1,AHC13,KN13)=0),1000000000,IF($V13=1,INDEX('calcA'!$D$130:$EQ$169,$B13,50)+IF(AND($E13=1,KN13=0),25,0),INDEX('calcA'!BA$110:BA$114,$F13+1)+IF(AND($E13=1,KN13=0),1000,0)+IF($H13=1,INDEX('calcA'!$D$180:$EQ$219,$B13,50)*500,0)-IF(AND('calcA'!AZ$117=1,VX13&gt;0),300,0)-IF(AND($U13=1,'calcA'!BA$117=1,EZ13=0),300,0))),1000000000))</f>
        <v/>
      </c>
      <c r="QD13">
        <f>IF($B13=0,1000000000,IF(INDEX('calcA'!$D$60:$EQ$99,$B13,51)*IF($W13=1,EZ13+ABO13,EZ13)=1,IF(AND($E13=2,IF($W13=1,AHD13,KO13)=0),1000000000,IF($V13=1,INDEX('calcA'!$D$130:$EQ$169,$B13,51)+IF(AND($E13=1,KO13=0),25,0),INDEX('calcA'!BB$110:BB$114,$F13+1)+IF(AND($E13=1,KO13=0),1000,0)+IF($H13=1,INDEX('calcA'!$D$180:$EQ$219,$B13,51)*500,0)-IF(AND('calcA'!BA$117=1,VY13&gt;0),300,0)-IF(AND($U13=1,'calcA'!BB$117=1,FA13=0),300,0))),1000000000))</f>
        <v/>
      </c>
      <c r="QE13">
        <f>IF($B13=0,1000000000,IF(INDEX('calcA'!$D$60:$EQ$99,$B13,52)*IF($W13=1,FA13+ABP13,FA13)=1,IF(AND($E13=2,IF($W13=1,AHE13,KP13)=0),1000000000,IF($V13=1,INDEX('calcA'!$D$130:$EQ$169,$B13,52)+IF(AND($E13=1,KP13=0),25,0),INDEX('calcA'!BC$110:BC$114,$F13+1)+IF(AND($E13=1,KP13=0),1000,0)+IF($H13=1,INDEX('calcA'!$D$180:$EQ$219,$B13,52)*500,0)-IF(AND('calcA'!BB$117=1,VZ13&gt;0),300,0)-IF(AND($U13=1,'calcA'!BC$117=1,FB13=0),300,0))),1000000000))</f>
        <v/>
      </c>
      <c r="QF13">
        <f>IF($B13=0,1000000000,IF(INDEX('calcA'!$D$60:$EQ$99,$B13,53)*IF($W13=1,FB13+ABQ13,FB13)=1,IF(AND($E13=2,IF($W13=1,AHF13,KQ13)=0),1000000000,IF($V13=1,INDEX('calcA'!$D$130:$EQ$169,$B13,53)+IF(AND($E13=1,KQ13=0),25,0),INDEX('calcA'!BD$110:BD$114,$F13+1)+IF(AND($E13=1,KQ13=0),1000,0)+IF($H13=1,INDEX('calcA'!$D$180:$EQ$219,$B13,53)*500,0)-IF(AND('calcA'!BC$117=1,WA13&gt;0),300,0)-IF(AND($U13=1,'calcA'!BD$117=1,FC13=0),300,0))),1000000000))</f>
        <v/>
      </c>
      <c r="QG13">
        <f>IF($B13=0,1000000000,IF(INDEX('calcA'!$D$60:$EQ$99,$B13,54)*IF($W13=1,FC13+ABR13,FC13)=1,IF(AND($E13=2,IF($W13=1,AHG13,KR13)=0),1000000000,IF($V13=1,INDEX('calcA'!$D$130:$EQ$169,$B13,54)+IF(AND($E13=1,KR13=0),25,0),INDEX('calcA'!BE$110:BE$114,$F13+1)+IF(AND($E13=1,KR13=0),1000,0)+IF($H13=1,INDEX('calcA'!$D$180:$EQ$219,$B13,54)*500,0)-IF(AND('calcA'!BD$117=1,WB13&gt;0),300,0)-IF(AND($U13=1,'calcA'!BE$117=1,FD13=0),300,0))),1000000000))</f>
        <v/>
      </c>
      <c r="QH13">
        <f>IF($B13=0,1000000000,IF(INDEX('calcA'!$D$60:$EQ$99,$B13,55)*IF($W13=1,FD13+ABS13,FD13)=1,IF(AND($E13=2,IF($W13=1,AHH13,KS13)=0),1000000000,IF($V13=1,INDEX('calcA'!$D$130:$EQ$169,$B13,55)+IF(AND($E13=1,KS13=0),25,0),INDEX('calcA'!BF$110:BF$114,$F13+1)+IF(AND($E13=1,KS13=0),1000,0)+IF($H13=1,INDEX('calcA'!$D$180:$EQ$219,$B13,55)*500,0)-IF(AND('calcA'!BE$117=1,WC13&gt;0),300,0)-IF(AND($U13=1,'calcA'!BF$117=1,FE13=0),300,0))),1000000000))</f>
        <v/>
      </c>
      <c r="QI13">
        <f>IF($B13=0,1000000000,IF(INDEX('calcA'!$D$60:$EQ$99,$B13,56)*IF($W13=1,FE13+ABT13,FE13)=1,IF(AND($E13=2,IF($W13=1,AHI13,KT13)=0),1000000000,IF($V13=1,INDEX('calcA'!$D$130:$EQ$169,$B13,56)+IF(AND($E13=1,KT13=0),25,0),INDEX('calcA'!BG$110:BG$114,$F13+1)+IF(AND($E13=1,KT13=0),1000,0)+IF($H13=1,INDEX('calcA'!$D$180:$EQ$219,$B13,56)*500,0)-IF(AND('calcA'!BF$117=1,WD13&gt;0),300,0)-IF(AND($U13=1,'calcA'!BG$117=1,FF13=0),300,0))),1000000000))</f>
        <v/>
      </c>
      <c r="QJ13">
        <f>IF($B13=0,1000000000,IF(INDEX('calcA'!$D$60:$EQ$99,$B13,57)*IF($W13=1,FF13+ABU13,FF13)=1,IF(AND($E13=2,IF($W13=1,AHJ13,KU13)=0),1000000000,IF($V13=1,INDEX('calcA'!$D$130:$EQ$169,$B13,57)+IF(AND($E13=1,KU13=0),25,0),INDEX('calcA'!BH$110:BH$114,$F13+1)+IF(AND($E13=1,KU13=0),1000,0)+IF($H13=1,INDEX('calcA'!$D$180:$EQ$219,$B13,57)*500,0)-IF(AND('calcA'!BG$117=1,WE13&gt;0),300,0)-IF(AND($U13=1,'calcA'!BH$117=1,FG13=0),300,0))),1000000000))</f>
        <v/>
      </c>
      <c r="QK13">
        <f>IF($B13=0,1000000000,IF(INDEX('calcA'!$D$60:$EQ$99,$B13,58)*IF($W13=1,FG13+ABV13,FG13)=1,IF(AND($E13=2,IF($W13=1,AHK13,KV13)=0),1000000000,IF($V13=1,INDEX('calcA'!$D$130:$EQ$169,$B13,58)+IF(AND($E13=1,KV13=0),25,0),INDEX('calcA'!BI$110:BI$114,$F13+1)+IF(AND($E13=1,KV13=0),1000,0)+IF($H13=1,INDEX('calcA'!$D$180:$EQ$219,$B13,58)*500,0)-IF(AND('calcA'!BH$117=1,WF13&gt;0),300,0)-IF(AND($U13=1,'calcA'!BI$117=1,FH13=0),300,0))),1000000000))</f>
        <v/>
      </c>
      <c r="QL13">
        <f>IF($B13=0,1000000000,IF(INDEX('calcA'!$D$60:$EQ$99,$B13,59)*IF($W13=1,FH13+ABW13,FH13)=1,IF(AND($E13=2,IF($W13=1,AHL13,KW13)=0),1000000000,IF($V13=1,INDEX('calcA'!$D$130:$EQ$169,$B13,59)+IF(AND($E13=1,KW13=0),25,0),INDEX('calcA'!BJ$110:BJ$114,$F13+1)+IF(AND($E13=1,KW13=0),1000,0)+IF($H13=1,INDEX('calcA'!$D$180:$EQ$219,$B13,59)*500,0)-IF(AND('calcA'!BI$117=1,WG13&gt;0),300,0)-IF(AND($U13=1,'calcA'!BJ$117=1,FI13=0),300,0))),1000000000))</f>
        <v/>
      </c>
      <c r="QM13">
        <f>IF($B13=0,1000000000,IF(INDEX('calcA'!$D$60:$EQ$99,$B13,60)*IF($W13=1,FI13+ABX13,FI13)=1,IF(AND($E13=2,IF($W13=1,AHM13,KX13)=0),1000000000,IF($V13=1,INDEX('calcA'!$D$130:$EQ$169,$B13,60)+IF(AND($E13=1,KX13=0),25,0),INDEX('calcA'!BK$110:BK$114,$F13+1)+IF(AND($E13=1,KX13=0),1000,0)+IF($H13=1,INDEX('calcA'!$D$180:$EQ$219,$B13,60)*500,0)-IF(AND('calcA'!BJ$117=1,WH13&gt;0),300,0)-IF(AND($U13=1,'calcA'!BK$117=1,FJ13=0),300,0))),1000000000))</f>
        <v/>
      </c>
      <c r="QN13">
        <f>IF($B13=0,1000000000,IF(INDEX('calcA'!$D$60:$EQ$99,$B13,61)*IF($W13=1,FJ13+ABY13,FJ13)=1,IF(AND($E13=2,IF($W13=1,AHN13,KY13)=0),1000000000,IF($V13=1,INDEX('calcA'!$D$130:$EQ$169,$B13,61)+IF(AND($E13=1,KY13=0),25,0),INDEX('calcA'!BL$110:BL$114,$F13+1)+IF(AND($E13=1,KY13=0),1000,0)+IF($H13=1,INDEX('calcA'!$D$180:$EQ$219,$B13,61)*500,0)-IF(AND('calcA'!BK$117=1,WI13&gt;0),300,0)-IF(AND($U13=1,'calcA'!BL$117=1,FK13=0),300,0))),1000000000))</f>
        <v/>
      </c>
      <c r="QO13">
        <f>IF($B13=0,1000000000,IF(INDEX('calcA'!$D$60:$EQ$99,$B13,62)*IF($W13=1,FK13+ABZ13,FK13)=1,IF(AND($E13=2,IF($W13=1,AHO13,KZ13)=0),1000000000,IF($V13=1,INDEX('calcA'!$D$130:$EQ$169,$B13,62)+IF(AND($E13=1,KZ13=0),25,0),INDEX('calcA'!BM$110:BM$114,$F13+1)+IF(AND($E13=1,KZ13=0),1000,0)+IF($H13=1,INDEX('calcA'!$D$180:$EQ$219,$B13,62)*500,0)-IF(AND('calcA'!BL$117=1,WJ13&gt;0),300,0)-IF(AND($U13=1,'calcA'!BM$117=1,FL13=0),300,0))),1000000000))</f>
        <v/>
      </c>
      <c r="QP13">
        <f>IF($B13=0,1000000000,IF(INDEX('calcA'!$D$60:$EQ$99,$B13,63)*IF($W13=1,FL13+ACA13,FL13)=1,IF(AND($E13=2,IF($W13=1,AHP13,LA13)=0),1000000000,IF($V13=1,INDEX('calcA'!$D$130:$EQ$169,$B13,63)+IF(AND($E13=1,LA13=0),25,0),INDEX('calcA'!BN$110:BN$114,$F13+1)+IF(AND($E13=1,LA13=0),1000,0)+IF($H13=1,INDEX('calcA'!$D$180:$EQ$219,$B13,63)*500,0)-IF(AND('calcA'!BM$117=1,WK13&gt;0),300,0)-IF(AND($U13=1,'calcA'!BN$117=1,FM13=0),300,0))),1000000000))</f>
        <v/>
      </c>
      <c r="QQ13">
        <f>IF($B13=0,1000000000,IF(INDEX('calcA'!$D$60:$EQ$99,$B13,64)*IF($W13=1,FM13+ACB13,FM13)=1,IF(AND($E13=2,IF($W13=1,AHQ13,LB13)=0),1000000000,IF($V13=1,INDEX('calcA'!$D$130:$EQ$169,$B13,64)+IF(AND($E13=1,LB13=0),25,0),INDEX('calcA'!BO$110:BO$114,$F13+1)+IF(AND($E13=1,LB13=0),1000,0)+IF($H13=1,INDEX('calcA'!$D$180:$EQ$219,$B13,64)*500,0)-IF(AND('calcA'!BN$117=1,WL13&gt;0),300,0)-IF(AND($U13=1,'calcA'!BO$117=1,FN13=0),300,0))),1000000000))</f>
        <v/>
      </c>
      <c r="QR13">
        <f>IF($B13=0,1000000000,IF(INDEX('calcA'!$D$60:$EQ$99,$B13,65)*IF($W13=1,FN13+ACC13,FN13)=1,IF(AND($E13=2,IF($W13=1,AHR13,LC13)=0),1000000000,IF($V13=1,INDEX('calcA'!$D$130:$EQ$169,$B13,65)+IF(AND($E13=1,LC13=0),25,0),INDEX('calcA'!BP$110:BP$114,$F13+1)+IF(AND($E13=1,LC13=0),1000,0)+IF($H13=1,INDEX('calcA'!$D$180:$EQ$219,$B13,65)*500,0)-IF(AND('calcA'!BO$117=1,WM13&gt;0),300,0)-IF(AND($U13=1,'calcA'!BP$117=1,FO13=0),300,0))),1000000000))</f>
        <v/>
      </c>
      <c r="QS13">
        <f>IF($B13=0,1000000000,IF(INDEX('calcA'!$D$60:$EQ$99,$B13,66)*IF($W13=1,FO13+ACD13,FO13)=1,IF(AND($E13=2,IF($W13=1,AHS13,LD13)=0),1000000000,IF($V13=1,INDEX('calcA'!$D$130:$EQ$169,$B13,66)+IF(AND($E13=1,LD13=0),25,0),INDEX('calcA'!BQ$110:BQ$114,$F13+1)+IF(AND($E13=1,LD13=0),1000,0)+IF($H13=1,INDEX('calcA'!$D$180:$EQ$219,$B13,66)*500,0)-IF(AND('calcA'!BP$117=1,WN13&gt;0),300,0)-IF(AND($U13=1,'calcA'!BQ$117=1,FP13=0),300,0))),1000000000))</f>
        <v/>
      </c>
      <c r="QT13">
        <f>IF($B13=0,1000000000,IF(INDEX('calcA'!$D$60:$EQ$99,$B13,67)*IF($W13=1,FP13+ACE13,FP13)=1,IF(AND($E13=2,IF($W13=1,AHT13,LE13)=0),1000000000,IF($V13=1,INDEX('calcA'!$D$130:$EQ$169,$B13,67)+IF(AND($E13=1,LE13=0),25,0),INDEX('calcA'!BR$110:BR$114,$F13+1)+IF(AND($E13=1,LE13=0),1000,0)+IF($H13=1,INDEX('calcA'!$D$180:$EQ$219,$B13,67)*500,0)-IF(AND('calcA'!BQ$117=1,WO13&gt;0),300,0)-IF(AND($U13=1,'calcA'!BR$117=1,FQ13=0),300,0))),1000000000))</f>
        <v/>
      </c>
      <c r="QU13">
        <f>IF($B13=0,1000000000,IF(INDEX('calcA'!$D$60:$EQ$99,$B13,68)*IF($W13=1,FQ13+ACF13,FQ13)=1,IF(AND($E13=2,IF($W13=1,AHU13,LF13)=0),1000000000,IF($V13=1,INDEX('calcA'!$D$130:$EQ$169,$B13,68)+IF(AND($E13=1,LF13=0),25,0),INDEX('calcA'!BS$110:BS$114,$F13+1)+IF(AND($E13=1,LF13=0),1000,0)+IF($H13=1,INDEX('calcA'!$D$180:$EQ$219,$B13,68)*500,0)-IF(AND('calcA'!BR$117=1,WP13&gt;0),300,0)-IF(AND($U13=1,'calcA'!BS$117=1,FR13=0),300,0))),1000000000))</f>
        <v/>
      </c>
      <c r="QV13">
        <f>IF($B13=0,1000000000,IF(INDEX('calcA'!$D$60:$EQ$99,$B13,69)*IF($W13=1,FR13+ACG13,FR13)=1,IF(AND($E13=2,IF($W13=1,AHV13,LG13)=0),1000000000,IF($V13=1,INDEX('calcA'!$D$130:$EQ$169,$B13,69)+IF(AND($E13=1,LG13=0),25,0),INDEX('calcA'!BT$110:BT$114,$F13+1)+IF(AND($E13=1,LG13=0),1000,0)+IF($H13=1,INDEX('calcA'!$D$180:$EQ$219,$B13,69)*500,0)-IF(AND('calcA'!BS$117=1,WQ13&gt;0),300,0)-IF(AND($U13=1,'calcA'!BT$117=1,FS13=0),300,0))),1000000000))</f>
        <v/>
      </c>
      <c r="QW13">
        <f>IF($B13=0,1000000000,IF(INDEX('calcA'!$D$60:$EQ$99,$B13,70)*IF($W13=1,FS13+ACH13,FS13)=1,IF(AND($E13=2,IF($W13=1,AHW13,LH13)=0),1000000000,IF($V13=1,INDEX('calcA'!$D$130:$EQ$169,$B13,70)+IF(AND($E13=1,LH13=0),25,0),INDEX('calcA'!BU$110:BU$114,$F13+1)+IF(AND($E13=1,LH13=0),1000,0)+IF($H13=1,INDEX('calcA'!$D$180:$EQ$219,$B13,70)*500,0)-IF(AND('calcA'!BT$117=1,WR13&gt;0),300,0)-IF(AND($U13=1,'calcA'!BU$117=1,FT13=0),300,0))),1000000000))</f>
        <v/>
      </c>
      <c r="QX13">
        <f>IF($B13=0,1000000000,IF(INDEX('calcA'!$D$60:$EQ$99,$B13,71)*IF($W13=1,FT13+ACI13,FT13)=1,IF(AND($E13=2,IF($W13=1,AHX13,LI13)=0),1000000000,IF($V13=1,INDEX('calcA'!$D$130:$EQ$169,$B13,71)+IF(AND($E13=1,LI13=0),25,0),INDEX('calcA'!BV$110:BV$114,$F13+1)+IF(AND($E13=1,LI13=0),1000,0)+IF($H13=1,INDEX('calcA'!$D$180:$EQ$219,$B13,71)*500,0)-IF(AND('calcA'!BU$117=1,WS13&gt;0),300,0)-IF(AND($U13=1,'calcA'!BV$117=1,FU13=0),300,0))),1000000000))</f>
        <v/>
      </c>
      <c r="QY13">
        <f>IF($B13=0,1000000000,IF(INDEX('calcA'!$D$60:$EQ$99,$B13,72)*IF($W13=1,FU13+ACJ13,FU13)=1,IF(AND($E13=2,IF($W13=1,AHY13,LJ13)=0),1000000000,IF($V13=1,INDEX('calcA'!$D$130:$EQ$169,$B13,72)+IF(AND($E13=1,LJ13=0),25,0),INDEX('calcA'!BW$110:BW$114,$F13+1)+IF(AND($E13=1,LJ13=0),1000,0)+IF($H13=1,INDEX('calcA'!$D$180:$EQ$219,$B13,72)*500,0)-IF(AND('calcA'!BV$117=1,WT13&gt;0),300,0))),1000000000))</f>
        <v/>
      </c>
      <c r="QZ13">
        <f>IF($B13=0,1000000000,IF(INDEX('calcA'!$D$60:$EQ$99,$B13,73)*IF($W13=1,FV13+ACK13,FV13)=1,IF(AND($E13=2,IF($W13=1,AHZ13,LK13)=0),1000000000,IF($V13=1,INDEX('calcA'!$D$130:$EQ$169,$B13,73)+IF(AND($E13=1,LK13=0),25,0),INDEX('calcA'!BX$110:BX$114,$F13+1)+IF(AND($E13=1,LK13=0),1000,0)+IF($H13=1,INDEX('calcA'!$D$180:$EQ$219,$B13,73)*500,0)-IF(AND($U13=1,'calcA'!BX$117=1,FW13=0),300,0))),1000000000))</f>
        <v/>
      </c>
      <c r="RA13">
        <f>IF($B13=0,1000000000,IF(INDEX('calcA'!$D$60:$EQ$99,$B13,74)*IF($W13=1,FW13+ACL13,FW13)=1,IF(AND($E13=2,IF($W13=1,AIA13,LL13)=0),1000000000,IF($V13=1,INDEX('calcA'!$D$130:$EQ$169,$B13,74)+IF(AND($E13=1,LL13=0),25,0),INDEX('calcA'!BY$110:BY$114,$F13+1)+IF(AND($E13=1,LL13=0),1000,0)+IF($H13=1,INDEX('calcA'!$D$180:$EQ$219,$B13,74)*500,0)-IF(AND('calcA'!BX$117=1,WV13&gt;0),300,0)-IF(AND($U13=1,'calcA'!BY$117=1,FX13=0),300,0))),1000000000))</f>
        <v/>
      </c>
      <c r="RB13">
        <f>IF($B13=0,1000000000,IF(INDEX('calcA'!$D$60:$EQ$99,$B13,75)*IF($W13=1,FX13+ACM13,FX13)=1,IF(AND($E13=2,IF($W13=1,AIB13,LM13)=0),1000000000,IF($V13=1,INDEX('calcA'!$D$130:$EQ$169,$B13,75)+IF(AND($E13=1,LM13=0),25,0),INDEX('calcA'!BZ$110:BZ$114,$F13+1)+IF(AND($E13=1,LM13=0),1000,0)+IF($H13=1,INDEX('calcA'!$D$180:$EQ$219,$B13,75)*500,0)-IF(AND('calcA'!BY$117=1,WW13&gt;0),300,0)-IF(AND($U13=1,'calcA'!BZ$117=1,FY13=0),300,0))),1000000000))</f>
        <v/>
      </c>
      <c r="RC13">
        <f>IF($B13=0,1000000000,IF(INDEX('calcA'!$D$60:$EQ$99,$B13,76)*IF($W13=1,FY13+ACN13,FY13)=1,IF(AND($E13=2,IF($W13=1,AIC13,LN13)=0),1000000000,IF($V13=1,INDEX('calcA'!$D$130:$EQ$169,$B13,76)+IF(AND($E13=1,LN13=0),25,0),INDEX('calcA'!CA$110:CA$114,$F13+1)+IF(AND($E13=1,LN13=0),1000,0)+IF($H13=1,INDEX('calcA'!$D$180:$EQ$219,$B13,76)*500,0)-IF(AND('calcA'!BZ$117=1,WX13&gt;0),300,0)-IF(AND($U13=1,'calcA'!CA$117=1,FZ13=0),300,0))),1000000000))</f>
        <v/>
      </c>
      <c r="RD13">
        <f>IF($B13=0,1000000000,IF(INDEX('calcA'!$D$60:$EQ$99,$B13,77)*IF($W13=1,FZ13+ACO13,FZ13)=1,IF(AND($E13=2,IF($W13=1,AID13,LO13)=0),1000000000,IF($V13=1,INDEX('calcA'!$D$130:$EQ$169,$B13,77)+IF(AND($E13=1,LO13=0),25,0),INDEX('calcA'!CB$110:CB$114,$F13+1)+IF(AND($E13=1,LO13=0),1000,0)+IF($H13=1,INDEX('calcA'!$D$180:$EQ$219,$B13,77)*500,0)-IF(AND('calcA'!CA$117=1,WY13&gt;0),300,0)-IF(AND($U13=1,'calcA'!CB$117=1,GA13=0),300,0))),1000000000))</f>
        <v/>
      </c>
      <c r="RE13">
        <f>IF($B13=0,1000000000,IF(INDEX('calcA'!$D$60:$EQ$99,$B13,78)*IF($W13=1,GA13+ACP13,GA13)=1,IF(AND($E13=2,IF($W13=1,AIE13,LP13)=0),1000000000,IF($V13=1,INDEX('calcA'!$D$130:$EQ$169,$B13,78)+IF(AND($E13=1,LP13=0),25,0),INDEX('calcA'!CC$110:CC$114,$F13+1)+IF(AND($E13=1,LP13=0),1000,0)+IF($H13=1,INDEX('calcA'!$D$180:$EQ$219,$B13,78)*500,0)-IF(AND('calcA'!CB$117=1,WZ13&gt;0),300,0)-IF(AND($U13=1,'calcA'!CC$117=1,GB13=0),300,0))),1000000000))</f>
        <v/>
      </c>
      <c r="RF13">
        <f>IF($B13=0,1000000000,IF(INDEX('calcA'!$D$60:$EQ$99,$B13,79)*IF($W13=1,GB13+ACQ13,GB13)=1,IF(AND($E13=2,IF($W13=1,AIF13,LQ13)=0),1000000000,IF($V13=1,INDEX('calcA'!$D$130:$EQ$169,$B13,79)+IF(AND($E13=1,LQ13=0),25,0),INDEX('calcA'!CD$110:CD$114,$F13+1)+IF(AND($E13=1,LQ13=0),1000,0)+IF($H13=1,INDEX('calcA'!$D$180:$EQ$219,$B13,79)*500,0)-IF(AND('calcA'!CC$117=1,XA13&gt;0),300,0)-IF(AND($U13=1,'calcA'!CD$117=1,GC13=0),300,0))),1000000000))</f>
        <v/>
      </c>
      <c r="RG13">
        <f>IF($B13=0,1000000000,IF(INDEX('calcA'!$D$60:$EQ$99,$B13,80)*IF($W13=1,GC13+ACR13,GC13)=1,IF(AND($E13=2,IF($W13=1,AIG13,LR13)=0),1000000000,IF($V13=1,INDEX('calcA'!$D$130:$EQ$169,$B13,80)+IF(AND($E13=1,LR13=0),25,0),INDEX('calcA'!CE$110:CE$114,$F13+1)+IF(AND($E13=1,LR13=0),1000,0)+IF($H13=1,INDEX('calcA'!$D$180:$EQ$219,$B13,80)*500,0)-IF(AND('calcA'!CD$117=1,XB13&gt;0),300,0)-IF(AND($U13=1,'calcA'!CE$117=1,GD13=0),300,0))),1000000000))</f>
        <v/>
      </c>
      <c r="RH13">
        <f>IF($B13=0,1000000000,IF(INDEX('calcA'!$D$60:$EQ$99,$B13,81)*IF($W13=1,GD13+ACS13,GD13)=1,IF(AND($E13=2,IF($W13=1,AIH13,LS13)=0),1000000000,IF($V13=1,INDEX('calcA'!$D$130:$EQ$169,$B13,81)+IF(AND($E13=1,LS13=0),25,0),INDEX('calcA'!CF$110:CF$114,$F13+1)+IF(AND($E13=1,LS13=0),1000,0)+IF($H13=1,INDEX('calcA'!$D$180:$EQ$219,$B13,81)*500,0)-IF(AND('calcA'!CE$117=1,XC13&gt;0),300,0)-IF(AND($U13=1,'calcA'!CF$117=1,GE13=0),300,0))),1000000000))</f>
        <v/>
      </c>
      <c r="RI13">
        <f>IF($B13=0,1000000000,IF(INDEX('calcA'!$D$60:$EQ$99,$B13,82)*IF($W13=1,GE13+ACT13,GE13)=1,IF(AND($E13=2,IF($W13=1,AII13,LT13)=0),1000000000,IF($V13=1,INDEX('calcA'!$D$130:$EQ$169,$B13,82)+IF(AND($E13=1,LT13=0),25,0),INDEX('calcA'!CG$110:CG$114,$F13+1)+IF(AND($E13=1,LT13=0),1000,0)+IF($H13=1,INDEX('calcA'!$D$180:$EQ$219,$B13,82)*500,0)-IF(AND('calcA'!CF$117=1,XD13&gt;0),300,0)-IF(AND($U13=1,'calcA'!CG$117=1,GF13=0),300,0))),1000000000))</f>
        <v/>
      </c>
      <c r="RJ13">
        <f>IF($B13=0,1000000000,IF(INDEX('calcA'!$D$60:$EQ$99,$B13,83)*IF($W13=1,GF13+ACU13,GF13)=1,IF(AND($E13=2,IF($W13=1,AIJ13,LU13)=0),1000000000,IF($V13=1,INDEX('calcA'!$D$130:$EQ$169,$B13,83)+IF(AND($E13=1,LU13=0),25,0),INDEX('calcA'!CH$110:CH$114,$F13+1)+IF(AND($E13=1,LU13=0),1000,0)+IF($H13=1,INDEX('calcA'!$D$180:$EQ$219,$B13,83)*500,0)-IF(AND('calcA'!CG$117=1,XE13&gt;0),300,0)-IF(AND($U13=1,'calcA'!CH$117=1,GG13=0),300,0))),1000000000))</f>
        <v/>
      </c>
      <c r="RK13">
        <f>IF($B13=0,1000000000,IF(INDEX('calcA'!$D$60:$EQ$99,$B13,84)*IF($W13=1,GG13+ACV13,GG13)=1,IF(AND($E13=2,IF($W13=1,AIK13,LV13)=0),1000000000,IF($V13=1,INDEX('calcA'!$D$130:$EQ$169,$B13,84)+IF(AND($E13=1,LV13=0),25,0),INDEX('calcA'!CI$110:CI$114,$F13+1)+IF(AND($E13=1,LV13=0),1000,0)+IF($H13=1,INDEX('calcA'!$D$180:$EQ$219,$B13,84)*500,0)-IF(AND('calcA'!CH$117=1,XF13&gt;0),300,0)-IF(AND($U13=1,'calcA'!CI$117=1,GH13=0),300,0))),1000000000))</f>
        <v/>
      </c>
      <c r="RL13">
        <f>IF($B13=0,1000000000,IF(INDEX('calcA'!$D$60:$EQ$99,$B13,85)*IF($W13=1,GH13+ACW13,GH13)=1,IF(AND($E13=2,IF($W13=1,AIL13,LW13)=0),1000000000,IF($V13=1,INDEX('calcA'!$D$130:$EQ$169,$B13,85)+IF(AND($E13=1,LW13=0),25,0),INDEX('calcA'!CJ$110:CJ$114,$F13+1)+IF(AND($E13=1,LW13=0),1000,0)+IF($H13=1,INDEX('calcA'!$D$180:$EQ$219,$B13,85)*500,0)-IF(AND('calcA'!CI$117=1,XG13&gt;0),300,0)-IF(AND($U13=1,'calcA'!CJ$117=1,GI13=0),300,0))),1000000000))</f>
        <v/>
      </c>
      <c r="RM13">
        <f>IF($B13=0,1000000000,IF(INDEX('calcA'!$D$60:$EQ$99,$B13,86)*IF($W13=1,GI13+ACX13,GI13)=1,IF(AND($E13=2,IF($W13=1,AIM13,LX13)=0),1000000000,IF($V13=1,INDEX('calcA'!$D$130:$EQ$169,$B13,86)+IF(AND($E13=1,LX13=0),25,0),INDEX('calcA'!CK$110:CK$114,$F13+1)+IF(AND($E13=1,LX13=0),1000,0)+IF($H13=1,INDEX('calcA'!$D$180:$EQ$219,$B13,86)*500,0)-IF(AND('calcA'!CJ$117=1,XH13&gt;0),300,0)-IF(AND($U13=1,'calcA'!CK$117=1,GJ13=0),300,0))),1000000000))</f>
        <v/>
      </c>
      <c r="RN13">
        <f>IF($B13=0,1000000000,IF(INDEX('calcA'!$D$60:$EQ$99,$B13,87)*IF($W13=1,GJ13+ACY13,GJ13)=1,IF(AND($E13=2,IF($W13=1,AIN13,LY13)=0),1000000000,IF($V13=1,INDEX('calcA'!$D$130:$EQ$169,$B13,87)+IF(AND($E13=1,LY13=0),25,0),INDEX('calcA'!CL$110:CL$114,$F13+1)+IF(AND($E13=1,LY13=0),1000,0)+IF($H13=1,INDEX('calcA'!$D$180:$EQ$219,$B13,87)*500,0)-IF(AND('calcA'!CK$117=1,XI13&gt;0),300,0)-IF(AND($U13=1,'calcA'!CL$117=1,GK13=0),300,0))),1000000000))</f>
        <v/>
      </c>
      <c r="RO13">
        <f>IF($B13=0,1000000000,IF(INDEX('calcA'!$D$60:$EQ$99,$B13,88)*IF($W13=1,GK13+ACZ13,GK13)=1,IF(AND($E13=2,IF($W13=1,AIO13,LZ13)=0),1000000000,IF($V13=1,INDEX('calcA'!$D$130:$EQ$169,$B13,88)+IF(AND($E13=1,LZ13=0),25,0),INDEX('calcA'!CM$110:CM$114,$F13+1)+IF(AND($E13=1,LZ13=0),1000,0)+IF($H13=1,INDEX('calcA'!$D$180:$EQ$219,$B13,88)*500,0)-IF(AND('calcA'!CL$117=1,XJ13&gt;0),300,0)-IF(AND($U13=1,'calcA'!CM$117=1,GL13=0),300,0))),1000000000))</f>
        <v/>
      </c>
      <c r="RP13">
        <f>IF($B13=0,1000000000,IF(INDEX('calcA'!$D$60:$EQ$99,$B13,89)*IF($W13=1,GL13+ADA13,GL13)=1,IF(AND($E13=2,IF($W13=1,AIP13,MA13)=0),1000000000,IF($V13=1,INDEX('calcA'!$D$130:$EQ$169,$B13,89)+IF(AND($E13=1,MA13=0),25,0),INDEX('calcA'!CN$110:CN$114,$F13+1)+IF(AND($E13=1,MA13=0),1000,0)+IF($H13=1,INDEX('calcA'!$D$180:$EQ$219,$B13,89)*500,0)-IF(AND('calcA'!CM$117=1,XK13&gt;0),300,0)-IF(AND($U13=1,'calcA'!CN$117=1,GM13=0),300,0))),1000000000))</f>
        <v/>
      </c>
      <c r="RQ13">
        <f>IF($B13=0,1000000000,IF(INDEX('calcA'!$D$60:$EQ$99,$B13,90)*IF($W13=1,GM13+ADB13,GM13)=1,IF(AND($E13=2,IF($W13=1,AIQ13,MB13)=0),1000000000,IF($V13=1,INDEX('calcA'!$D$130:$EQ$169,$B13,90)+IF(AND($E13=1,MB13=0),25,0),INDEX('calcA'!CO$110:CO$114,$F13+1)+IF(AND($E13=1,MB13=0),1000,0)+IF($H13=1,INDEX('calcA'!$D$180:$EQ$219,$B13,90)*500,0)-IF(AND('calcA'!CN$117=1,XL13&gt;0),300,0)-IF(AND($U13=1,'calcA'!CO$117=1,GN13=0),300,0))),1000000000))</f>
        <v/>
      </c>
      <c r="RR13">
        <f>IF($B13=0,1000000000,IF(INDEX('calcA'!$D$60:$EQ$99,$B13,91)*IF($W13=1,GN13+ADC13,GN13)=1,IF(AND($E13=2,IF($W13=1,AIR13,MC13)=0),1000000000,IF($V13=1,INDEX('calcA'!$D$130:$EQ$169,$B13,91)+IF(AND($E13=1,MC13=0),25,0),INDEX('calcA'!CP$110:CP$114,$F13+1)+IF(AND($E13=1,MC13=0),1000,0)+IF($H13=1,INDEX('calcA'!$D$180:$EQ$219,$B13,91)*500,0)-IF(AND('calcA'!CO$117=1,XM13&gt;0),300,0)-IF(AND($U13=1,'calcA'!CP$117=1,GO13=0),300,0))),1000000000))</f>
        <v/>
      </c>
      <c r="RS13">
        <f>IF($B13=0,1000000000,IF(INDEX('calcA'!$D$60:$EQ$99,$B13,92)*IF($W13=1,GO13+ADD13,GO13)=1,IF(AND($E13=2,IF($W13=1,AIS13,MD13)=0),1000000000,IF($V13=1,INDEX('calcA'!$D$130:$EQ$169,$B13,92)+IF(AND($E13=1,MD13=0),25,0),INDEX('calcA'!CQ$110:CQ$114,$F13+1)+IF(AND($E13=1,MD13=0),1000,0)+IF($H13=1,INDEX('calcA'!$D$180:$EQ$219,$B13,92)*500,0)-IF(AND('calcA'!CP$117=1,XN13&gt;0),300,0)-IF(AND($U13=1,'calcA'!CQ$117=1,GP13=0),300,0))),1000000000))</f>
        <v/>
      </c>
      <c r="RT13">
        <f>IF($B13=0,1000000000,IF(INDEX('calcA'!$D$60:$EQ$99,$B13,93)*IF($W13=1,GP13+ADE13,GP13)=1,IF(AND($E13=2,IF($W13=1,AIT13,ME13)=0),1000000000,IF($V13=1,INDEX('calcA'!$D$130:$EQ$169,$B13,93)+IF(AND($E13=1,ME13=0),25,0),INDEX('calcA'!CR$110:CR$114,$F13+1)+IF(AND($E13=1,ME13=0),1000,0)+IF($H13=1,INDEX('calcA'!$D$180:$EQ$219,$B13,93)*500,0)-IF(AND('calcA'!CQ$117=1,XO13&gt;0),300,0)-IF(AND($U13=1,'calcA'!CR$117=1,GQ13=0),300,0))),1000000000))</f>
        <v/>
      </c>
      <c r="RU13">
        <f>IF($B13=0,1000000000,IF(INDEX('calcA'!$D$60:$EQ$99,$B13,94)*IF($W13=1,GQ13+ADF13,GQ13)=1,IF(AND($E13=2,IF($W13=1,AIU13,MF13)=0),1000000000,IF($V13=1,INDEX('calcA'!$D$130:$EQ$169,$B13,94)+IF(AND($E13=1,MF13=0),25,0),INDEX('calcA'!CS$110:CS$114,$F13+1)+IF(AND($E13=1,MF13=0),1000,0)+IF($H13=1,INDEX('calcA'!$D$180:$EQ$219,$B13,94)*500,0)-IF(AND('calcA'!CR$117=1,XP13&gt;0),300,0)-IF(AND($U13=1,'calcA'!CS$117=1,GR13=0),300,0))),1000000000))</f>
        <v/>
      </c>
      <c r="RV13">
        <f>IF($B13=0,1000000000,IF(INDEX('calcA'!$D$60:$EQ$99,$B13,95)*IF($W13=1,GR13+ADG13,GR13)=1,IF(AND($E13=2,IF($W13=1,AIV13,MG13)=0),1000000000,IF($V13=1,INDEX('calcA'!$D$130:$EQ$169,$B13,95)+IF(AND($E13=1,MG13=0),25,0),INDEX('calcA'!CT$110:CT$114,$F13+1)+IF(AND($E13=1,MG13=0),1000,0)+IF($H13=1,INDEX('calcA'!$D$180:$EQ$219,$B13,95)*500,0)-IF(AND('calcA'!CS$117=1,XQ13&gt;0),300,0)-IF(AND($U13=1,'calcA'!CT$117=1,GS13=0),300,0))),1000000000))</f>
        <v/>
      </c>
      <c r="RW13">
        <f>IF($B13=0,1000000000,IF(INDEX('calcA'!$D$60:$EQ$99,$B13,96)*IF($W13=1,GS13+ADH13,GS13)=1,IF(AND($E13=2,IF($W13=1,AIW13,MH13)=0),1000000000,IF($V13=1,INDEX('calcA'!$D$130:$EQ$169,$B13,96)+IF(AND($E13=1,MH13=0),25,0),INDEX('calcA'!CU$110:CU$114,$F13+1)+IF(AND($E13=1,MH13=0),1000,0)+IF($H13=1,INDEX('calcA'!$D$180:$EQ$219,$B13,96)*500,0)-IF(AND('calcA'!CT$117=1,XR13&gt;0),300,0))),1000000000))</f>
        <v/>
      </c>
      <c r="RX13">
        <f>IF($B13=0,1000000000,IF(INDEX('calcA'!$D$60:$EQ$99,$B13,97)*IF($W13=1,GT13+ADI13,GT13)=1,IF(AND($E13=2,IF($W13=1,AIX13,MI13)=0),1000000000,IF($V13=1,INDEX('calcA'!$D$130:$EQ$169,$B13,97)+IF(AND($E13=1,MI13=0),25,0),INDEX('calcA'!CV$110:CV$114,$F13+1)+IF(AND($E13=1,MI13=0),1000,0)+IF($H13=1,INDEX('calcA'!$D$180:$EQ$219,$B13,97)*500,0)-IF(AND($U13=1,'calcA'!CV$117=1,GU13=0),300,0))),1000000000))</f>
        <v/>
      </c>
      <c r="RY13">
        <f>IF($B13=0,1000000000,IF(INDEX('calcA'!$D$60:$EQ$99,$B13,98)*IF($W13=1,GU13+ADJ13,GU13)=1,IF(AND($E13=2,IF($W13=1,AIY13,MJ13)=0),1000000000,IF($V13=1,INDEX('calcA'!$D$130:$EQ$169,$B13,98)+IF(AND($E13=1,MJ13=0),25,0),INDEX('calcA'!CW$110:CW$114,$F13+1)+IF(AND($E13=1,MJ13=0),1000,0)+IF($H13=1,INDEX('calcA'!$D$180:$EQ$219,$B13,98)*500,0)-IF(AND('calcA'!CV$117=1,XT13&gt;0),300,0)-IF(AND($U13=1,'calcA'!CW$117=1,GV13=0),300,0))),1000000000))</f>
        <v/>
      </c>
      <c r="RZ13">
        <f>IF($B13=0,1000000000,IF(INDEX('calcA'!$D$60:$EQ$99,$B13,99)*IF($W13=1,GV13+ADK13,GV13)=1,IF(AND($E13=2,IF($W13=1,AIZ13,MK13)=0),1000000000,IF($V13=1,INDEX('calcA'!$D$130:$EQ$169,$B13,99)+IF(AND($E13=1,MK13=0),25,0),INDEX('calcA'!CX$110:CX$114,$F13+1)+IF(AND($E13=1,MK13=0),1000,0)+IF($H13=1,INDEX('calcA'!$D$180:$EQ$219,$B13,99)*500,0)-IF(AND('calcA'!CW$117=1,XU13&gt;0),300,0)-IF(AND($U13=1,'calcA'!CX$117=1,GW13=0),300,0))),1000000000))</f>
        <v/>
      </c>
      <c r="SA13">
        <f>IF($B13=0,1000000000,IF(INDEX('calcA'!$D$60:$EQ$99,$B13,100)*IF($W13=1,GW13+ADL13,GW13)=1,IF(AND($E13=2,IF($W13=1,AJA13,ML13)=0),1000000000,IF($V13=1,INDEX('calcA'!$D$130:$EQ$169,$B13,100)+IF(AND($E13=1,ML13=0),25,0),INDEX('calcA'!CY$110:CY$114,$F13+1)+IF(AND($E13=1,ML13=0),1000,0)+IF($H13=1,INDEX('calcA'!$D$180:$EQ$219,$B13,100)*500,0)-IF(AND('calcA'!CX$117=1,XV13&gt;0),300,0)-IF(AND($U13=1,'calcA'!CY$117=1,GX13=0),300,0))),1000000000))</f>
        <v/>
      </c>
      <c r="SB13">
        <f>IF($B13=0,1000000000,IF(INDEX('calcA'!$D$60:$EQ$99,$B13,101)*IF($W13=1,GX13+ADM13,GX13)=1,IF(AND($E13=2,IF($W13=1,AJB13,MM13)=0),1000000000,IF($V13=1,INDEX('calcA'!$D$130:$EQ$169,$B13,101)+IF(AND($E13=1,MM13=0),25,0),INDEX('calcA'!CZ$110:CZ$114,$F13+1)+IF(AND($E13=1,MM13=0),1000,0)+IF($H13=1,INDEX('calcA'!$D$180:$EQ$219,$B13,101)*500,0)-IF(AND('calcA'!CY$117=1,XW13&gt;0),300,0)-IF(AND($U13=1,'calcA'!CZ$117=1,GY13=0),300,0))),1000000000))</f>
        <v/>
      </c>
      <c r="SC13">
        <f>IF($B13=0,1000000000,IF(INDEX('calcA'!$D$60:$EQ$99,$B13,102)*IF($W13=1,GY13+ADN13,GY13)=1,IF(AND($E13=2,IF($W13=1,AJC13,MN13)=0),1000000000,IF($V13=1,INDEX('calcA'!$D$130:$EQ$169,$B13,102)+IF(AND($E13=1,MN13=0),25,0),INDEX('calcA'!DA$110:DA$114,$F13+1)+IF(AND($E13=1,MN13=0),1000,0)+IF($H13=1,INDEX('calcA'!$D$180:$EQ$219,$B13,102)*500,0)-IF(AND('calcA'!CZ$117=1,XX13&gt;0),300,0)-IF(AND($U13=1,'calcA'!DA$117=1,GZ13=0),300,0))),1000000000))</f>
        <v/>
      </c>
      <c r="SD13">
        <f>IF($B13=0,1000000000,IF(INDEX('calcA'!$D$60:$EQ$99,$B13,103)*IF($W13=1,GZ13+ADO13,GZ13)=1,IF(AND($E13=2,IF($W13=1,AJD13,MO13)=0),1000000000,IF($V13=1,INDEX('calcA'!$D$130:$EQ$169,$B13,103)+IF(AND($E13=1,MO13=0),25,0),INDEX('calcA'!DB$110:DB$114,$F13+1)+IF(AND($E13=1,MO13=0),1000,0)+IF($H13=1,INDEX('calcA'!$D$180:$EQ$219,$B13,103)*500,0)-IF(AND('calcA'!DA$117=1,XY13&gt;0),300,0)-IF(AND($U13=1,'calcA'!DB$117=1,HA13=0),300,0))),1000000000))</f>
        <v/>
      </c>
      <c r="SE13">
        <f>IF($B13=0,1000000000,IF(INDEX('calcA'!$D$60:$EQ$99,$B13,104)*IF($W13=1,HA13+ADP13,HA13)=1,IF(AND($E13=2,IF($W13=1,AJE13,MP13)=0),1000000000,IF($V13=1,INDEX('calcA'!$D$130:$EQ$169,$B13,104)+IF(AND($E13=1,MP13=0),25,0),INDEX('calcA'!DC$110:DC$114,$F13+1)+IF(AND($E13=1,MP13=0),1000,0)+IF($H13=1,INDEX('calcA'!$D$180:$EQ$219,$B13,104)*500,0)-IF(AND('calcA'!DB$117=1,XZ13&gt;0),300,0)-IF(AND($U13=1,'calcA'!DC$117=1,HB13=0),300,0))),1000000000))</f>
        <v/>
      </c>
      <c r="SF13">
        <f>IF($B13=0,1000000000,IF(INDEX('calcA'!$D$60:$EQ$99,$B13,105)*IF($W13=1,HB13+ADQ13,HB13)=1,IF(AND($E13=2,IF($W13=1,AJF13,MQ13)=0),1000000000,IF($V13=1,INDEX('calcA'!$D$130:$EQ$169,$B13,105)+IF(AND($E13=1,MQ13=0),25,0),INDEX('calcA'!DD$110:DD$114,$F13+1)+IF(AND($E13=1,MQ13=0),1000,0)+IF($H13=1,INDEX('calcA'!$D$180:$EQ$219,$B13,105)*500,0)-IF(AND('calcA'!DC$117=1,YA13&gt;0),300,0)-IF(AND($U13=1,'calcA'!DD$117=1,HC13=0),300,0))),1000000000))</f>
        <v/>
      </c>
      <c r="SG13">
        <f>IF($B13=0,1000000000,IF(INDEX('calcA'!$D$60:$EQ$99,$B13,106)*IF($W13=1,HC13+ADR13,HC13)=1,IF(AND($E13=2,IF($W13=1,AJG13,MR13)=0),1000000000,IF($V13=1,INDEX('calcA'!$D$130:$EQ$169,$B13,106)+IF(AND($E13=1,MR13=0),25,0),INDEX('calcA'!DE$110:DE$114,$F13+1)+IF(AND($E13=1,MR13=0),1000,0)+IF($H13=1,INDEX('calcA'!$D$180:$EQ$219,$B13,106)*500,0)-IF(AND('calcA'!DD$117=1,YB13&gt;0),300,0)-IF(AND($U13=1,'calcA'!DE$117=1,HD13=0),300,0))),1000000000))</f>
        <v/>
      </c>
      <c r="SH13">
        <f>IF($B13=0,1000000000,IF(INDEX('calcA'!$D$60:$EQ$99,$B13,107)*IF($W13=1,HD13+ADS13,HD13)=1,IF(AND($E13=2,IF($W13=1,AJH13,MS13)=0),1000000000,IF($V13=1,INDEX('calcA'!$D$130:$EQ$169,$B13,107)+IF(AND($E13=1,MS13=0),25,0),INDEX('calcA'!DF$110:DF$114,$F13+1)+IF(AND($E13=1,MS13=0),1000,0)+IF($H13=1,INDEX('calcA'!$D$180:$EQ$219,$B13,107)*500,0)-IF(AND('calcA'!DE$117=1,YC13&gt;0),300,0)-IF(AND($U13=1,'calcA'!DF$117=1,HE13=0),300,0))),1000000000))</f>
        <v/>
      </c>
      <c r="SI13">
        <f>IF($B13=0,1000000000,IF(INDEX('calcA'!$D$60:$EQ$99,$B13,108)*IF($W13=1,HE13+ADT13,HE13)=1,IF(AND($E13=2,IF($W13=1,AJI13,MT13)=0),1000000000,IF($V13=1,INDEX('calcA'!$D$130:$EQ$169,$B13,108)+IF(AND($E13=1,MT13=0),25,0),INDEX('calcA'!DG$110:DG$114,$F13+1)+IF(AND($E13=1,MT13=0),1000,0)+IF($H13=1,INDEX('calcA'!$D$180:$EQ$219,$B13,108)*500,0)-IF(AND('calcA'!DF$117=1,YD13&gt;0),300,0)-IF(AND($U13=1,'calcA'!DG$117=1,HF13=0),300,0))),1000000000))</f>
        <v/>
      </c>
      <c r="SJ13">
        <f>IF($B13=0,1000000000,IF(INDEX('calcA'!$D$60:$EQ$99,$B13,109)*IF($W13=1,HF13+ADU13,HF13)=1,IF(AND($E13=2,IF($W13=1,AJJ13,MU13)=0),1000000000,IF($V13=1,INDEX('calcA'!$D$130:$EQ$169,$B13,109)+IF(AND($E13=1,MU13=0),25,0),INDEX('calcA'!DH$110:DH$114,$F13+1)+IF(AND($E13=1,MU13=0),1000,0)+IF($H13=1,INDEX('calcA'!$D$180:$EQ$219,$B13,109)*500,0)-IF(AND('calcA'!DG$117=1,YE13&gt;0),300,0)-IF(AND($U13=1,'calcA'!DH$117=1,HG13=0),300,0))),1000000000))</f>
        <v/>
      </c>
      <c r="SK13">
        <f>IF($B13=0,1000000000,IF(INDEX('calcA'!$D$60:$EQ$99,$B13,110)*IF($W13=1,HG13+ADV13,HG13)=1,IF(AND($E13=2,IF($W13=1,AJK13,MV13)=0),1000000000,IF($V13=1,INDEX('calcA'!$D$130:$EQ$169,$B13,110)+IF(AND($E13=1,MV13=0),25,0),INDEX('calcA'!DI$110:DI$114,$F13+1)+IF(AND($E13=1,MV13=0),1000,0)+IF($H13=1,INDEX('calcA'!$D$180:$EQ$219,$B13,110)*500,0)-IF(AND('calcA'!DH$117=1,YF13&gt;0),300,0)-IF(AND($U13=1,'calcA'!DI$117=1,HH13=0),300,0))),1000000000))</f>
        <v/>
      </c>
      <c r="SL13">
        <f>IF($B13=0,1000000000,IF(INDEX('calcA'!$D$60:$EQ$99,$B13,111)*IF($W13=1,HH13+ADW13,HH13)=1,IF(AND($E13=2,IF($W13=1,AJL13,MW13)=0),1000000000,IF($V13=1,INDEX('calcA'!$D$130:$EQ$169,$B13,111)+IF(AND($E13=1,MW13=0),25,0),INDEX('calcA'!DJ$110:DJ$114,$F13+1)+IF(AND($E13=1,MW13=0),1000,0)+IF($H13=1,INDEX('calcA'!$D$180:$EQ$219,$B13,111)*500,0)-IF(AND('calcA'!DI$117=1,YG13&gt;0),300,0)-IF(AND($U13=1,'calcA'!DJ$117=1,HI13=0),300,0))),1000000000))</f>
        <v/>
      </c>
      <c r="SM13">
        <f>IF($B13=0,1000000000,IF(INDEX('calcA'!$D$60:$EQ$99,$B13,112)*IF($W13=1,HI13+ADX13,HI13)=1,IF(AND($E13=2,IF($W13=1,AJM13,MX13)=0),1000000000,IF($V13=1,INDEX('calcA'!$D$130:$EQ$169,$B13,112)+IF(AND($E13=1,MX13=0),25,0),INDEX('calcA'!DK$110:DK$114,$F13+1)+IF(AND($E13=1,MX13=0),1000,0)+IF($H13=1,INDEX('calcA'!$D$180:$EQ$219,$B13,112)*500,0)-IF(AND('calcA'!DJ$117=1,YH13&gt;0),300,0)-IF(AND($U13=1,'calcA'!DK$117=1,HJ13=0),300,0))),1000000000))</f>
        <v/>
      </c>
      <c r="SN13">
        <f>IF($B13=0,1000000000,IF(INDEX('calcA'!$D$60:$EQ$99,$B13,113)*IF($W13=1,HJ13+ADY13,HJ13)=1,IF(AND($E13=2,IF($W13=1,AJN13,MY13)=0),1000000000,IF($V13=1,INDEX('calcA'!$D$130:$EQ$169,$B13,113)+IF(AND($E13=1,MY13=0),25,0),INDEX('calcA'!DL$110:DL$114,$F13+1)+IF(AND($E13=1,MY13=0),1000,0)+IF($H13=1,INDEX('calcA'!$D$180:$EQ$219,$B13,113)*500,0)-IF(AND('calcA'!DK$117=1,YI13&gt;0),300,0)-IF(AND($U13=1,'calcA'!DL$117=1,HK13=0),300,0))),1000000000))</f>
        <v/>
      </c>
      <c r="SO13">
        <f>IF($B13=0,1000000000,IF(INDEX('calcA'!$D$60:$EQ$99,$B13,114)*IF($W13=1,HK13+ADZ13,HK13)=1,IF(AND($E13=2,IF($W13=1,AJO13,MZ13)=0),1000000000,IF($V13=1,INDEX('calcA'!$D$130:$EQ$169,$B13,114)+IF(AND($E13=1,MZ13=0),25,0),INDEX('calcA'!DM$110:DM$114,$F13+1)+IF(AND($E13=1,MZ13=0),1000,0)+IF($H13=1,INDEX('calcA'!$D$180:$EQ$219,$B13,114)*500,0)-IF(AND('calcA'!DL$117=1,YJ13&gt;0),300,0)-IF(AND($U13=1,'calcA'!DM$117=1,HL13=0),300,0))),1000000000))</f>
        <v/>
      </c>
      <c r="SP13">
        <f>IF($B13=0,1000000000,IF(INDEX('calcA'!$D$60:$EQ$99,$B13,115)*IF($W13=1,HL13+AEA13,HL13)=1,IF(AND($E13=2,IF($W13=1,AJP13,NA13)=0),1000000000,IF($V13=1,INDEX('calcA'!$D$130:$EQ$169,$B13,115)+IF(AND($E13=1,NA13=0),25,0),INDEX('calcA'!DN$110:DN$114,$F13+1)+IF(AND($E13=1,NA13=0),1000,0)+IF($H13=1,INDEX('calcA'!$D$180:$EQ$219,$B13,115)*500,0)-IF(AND('calcA'!DM$117=1,YK13&gt;0),300,0)-IF(AND($U13=1,'calcA'!DN$117=1,HM13=0),300,0))),1000000000))</f>
        <v/>
      </c>
      <c r="SQ13">
        <f>IF($B13=0,1000000000,IF(INDEX('calcA'!$D$60:$EQ$99,$B13,116)*IF($W13=1,HM13+AEB13,HM13)=1,IF(AND($E13=2,IF($W13=1,AJQ13,NB13)=0),1000000000,IF($V13=1,INDEX('calcA'!$D$130:$EQ$169,$B13,116)+IF(AND($E13=1,NB13=0),25,0),INDEX('calcA'!DO$110:DO$114,$F13+1)+IF(AND($E13=1,NB13=0),1000,0)+IF($H13=1,INDEX('calcA'!$D$180:$EQ$219,$B13,116)*500,0)-IF(AND('calcA'!DN$117=1,YL13&gt;0),300,0)-IF(AND($U13=1,'calcA'!DO$117=1,HN13=0),300,0))),1000000000))</f>
        <v/>
      </c>
      <c r="SR13">
        <f>IF($B13=0,1000000000,IF(INDEX('calcA'!$D$60:$EQ$99,$B13,117)*IF($W13=1,HN13+AEC13,HN13)=1,IF(AND($E13=2,IF($W13=1,AJR13,NC13)=0),1000000000,IF($V13=1,INDEX('calcA'!$D$130:$EQ$169,$B13,117)+IF(AND($E13=1,NC13=0),25,0),INDEX('calcA'!DP$110:DP$114,$F13+1)+IF(AND($E13=1,NC13=0),1000,0)+IF($H13=1,INDEX('calcA'!$D$180:$EQ$219,$B13,117)*500,0)-IF(AND('calcA'!DO$117=1,YM13&gt;0),300,0)-IF(AND($U13=1,'calcA'!DP$117=1,HO13=0),300,0))),1000000000))</f>
        <v/>
      </c>
      <c r="SS13">
        <f>IF($B13=0,1000000000,IF(INDEX('calcA'!$D$60:$EQ$99,$B13,118)*IF($W13=1,HO13+AED13,HO13)=1,IF(AND($E13=2,IF($W13=1,AJS13,ND13)=0),1000000000,IF($V13=1,INDEX('calcA'!$D$130:$EQ$169,$B13,118)+IF(AND($E13=1,ND13=0),25,0),INDEX('calcA'!DQ$110:DQ$114,$F13+1)+IF(AND($E13=1,ND13=0),1000,0)+IF($H13=1,INDEX('calcA'!$D$180:$EQ$219,$B13,118)*500,0)-IF(AND('calcA'!DP$117=1,YN13&gt;0),300,0)-IF(AND($U13=1,'calcA'!DQ$117=1,HP13=0),300,0))),1000000000))</f>
        <v/>
      </c>
      <c r="ST13">
        <f>IF($B13=0,1000000000,IF(INDEX('calcA'!$D$60:$EQ$99,$B13,119)*IF($W13=1,HP13+AEE13,HP13)=1,IF(AND($E13=2,IF($W13=1,AJT13,NE13)=0),1000000000,IF($V13=1,INDEX('calcA'!$D$130:$EQ$169,$B13,119)+IF(AND($E13=1,NE13=0),25,0),INDEX('calcA'!DR$110:DR$114,$F13+1)+IF(AND($E13=1,NE13=0),1000,0)+IF($H13=1,INDEX('calcA'!$D$180:$EQ$219,$B13,119)*500,0)-IF(AND('calcA'!DQ$117=1,YO13&gt;0),300,0)-IF(AND($U13=1,'calcA'!DR$117=1,HQ13=0),300,0))),1000000000))</f>
        <v/>
      </c>
      <c r="SU13">
        <f>IF($B13=0,1000000000,IF(INDEX('calcA'!$D$60:$EQ$99,$B13,120)*IF($W13=1,HQ13+AEF13,HQ13)=1,IF(AND($E13=2,IF($W13=1,AJU13,NF13)=0),1000000000,IF($V13=1,INDEX('calcA'!$D$130:$EQ$169,$B13,120)+IF(AND($E13=1,NF13=0),25,0),INDEX('calcA'!DS$110:DS$114,$F13+1)+IF(AND($E13=1,NF13=0),1000,0)+IF($H13=1,INDEX('calcA'!$D$180:$EQ$219,$B13,120)*500,0)-IF(AND('calcA'!DR$117=1,YP13&gt;0),300,0))),1000000000))</f>
        <v/>
      </c>
      <c r="SV13">
        <f>IF($B13=0,1000000000,IF(INDEX('calcA'!$D$60:$EQ$99,$B13,121)*IF($W13=1,HR13+AEG13,HR13)=1,IF(AND($E13=2,IF($W13=1,AJV13,NG13)=0),1000000000,IF($V13=1,INDEX('calcA'!$D$130:$EQ$169,$B13,121)+IF(AND($E13=1,NG13=0),25,0),INDEX('calcA'!DT$110:DT$114,$F13+1)+IF(AND($E13=1,NG13=0),1000,0)+IF($H13=1,INDEX('calcA'!$D$180:$EQ$219,$B13,121)*500,0)-IF(AND($U13=1,'calcA'!DT$117=1,HS13=0),300,0))),1000000000))</f>
        <v/>
      </c>
      <c r="SW13">
        <f>IF($B13=0,1000000000,IF(INDEX('calcA'!$D$60:$EQ$99,$B13,122)*IF($W13=1,HS13+AEH13,HS13)=1,IF(AND($E13=2,IF($W13=1,AJW13,NH13)=0),1000000000,IF($V13=1,INDEX('calcA'!$D$130:$EQ$169,$B13,122)+IF(AND($E13=1,NH13=0),25,0),INDEX('calcA'!DU$110:DU$114,$F13+1)+IF(AND($E13=1,NH13=0),1000,0)+IF($H13=1,INDEX('calcA'!$D$180:$EQ$219,$B13,122)*500,0)-IF(AND('calcA'!DT$117=1,YR13&gt;0),300,0)-IF(AND($U13=1,'calcA'!DU$117=1,HT13=0),300,0))),1000000000))</f>
        <v/>
      </c>
      <c r="SX13">
        <f>IF($B13=0,1000000000,IF(INDEX('calcA'!$D$60:$EQ$99,$B13,123)*IF($W13=1,HT13+AEI13,HT13)=1,IF(AND($E13=2,IF($W13=1,AJX13,NI13)=0),1000000000,IF($V13=1,INDEX('calcA'!$D$130:$EQ$169,$B13,123)+IF(AND($E13=1,NI13=0),25,0),INDEX('calcA'!DV$110:DV$114,$F13+1)+IF(AND($E13=1,NI13=0),1000,0)+IF($H13=1,INDEX('calcA'!$D$180:$EQ$219,$B13,123)*500,0)-IF(AND('calcA'!DU$117=1,YS13&gt;0),300,0)-IF(AND($U13=1,'calcA'!DV$117=1,HU13=0),300,0))),1000000000))</f>
        <v/>
      </c>
      <c r="SY13">
        <f>IF($B13=0,1000000000,IF(INDEX('calcA'!$D$60:$EQ$99,$B13,124)*IF($W13=1,HU13+AEJ13,HU13)=1,IF(AND($E13=2,IF($W13=1,AJY13,NJ13)=0),1000000000,IF($V13=1,INDEX('calcA'!$D$130:$EQ$169,$B13,124)+IF(AND($E13=1,NJ13=0),25,0),INDEX('calcA'!DW$110:DW$114,$F13+1)+IF(AND($E13=1,NJ13=0),1000,0)+IF($H13=1,INDEX('calcA'!$D$180:$EQ$219,$B13,124)*500,0)-IF(AND('calcA'!DV$117=1,YT13&gt;0),300,0)-IF(AND($U13=1,'calcA'!DW$117=1,HV13=0),300,0))),1000000000))</f>
        <v/>
      </c>
      <c r="SZ13">
        <f>IF($B13=0,1000000000,IF(INDEX('calcA'!$D$60:$EQ$99,$B13,125)*IF($W13=1,HV13+AEK13,HV13)=1,IF(AND($E13=2,IF($W13=1,AJZ13,NK13)=0),1000000000,IF($V13=1,INDEX('calcA'!$D$130:$EQ$169,$B13,125)+IF(AND($E13=1,NK13=0),25,0),INDEX('calcA'!DX$110:DX$114,$F13+1)+IF(AND($E13=1,NK13=0),1000,0)+IF($H13=1,INDEX('calcA'!$D$180:$EQ$219,$B13,125)*500,0)-IF(AND('calcA'!DW$117=1,YU13&gt;0),300,0)-IF(AND($U13=1,'calcA'!DX$117=1,HW13=0),300,0))),1000000000))</f>
        <v/>
      </c>
      <c r="TA13">
        <f>IF($B13=0,1000000000,IF(INDEX('calcA'!$D$60:$EQ$99,$B13,126)*IF($W13=1,HW13+AEL13,HW13)=1,IF(AND($E13=2,IF($W13=1,AKA13,NL13)=0),1000000000,IF($V13=1,INDEX('calcA'!$D$130:$EQ$169,$B13,126)+IF(AND($E13=1,NL13=0),25,0),INDEX('calcA'!DY$110:DY$114,$F13+1)+IF(AND($E13=1,NL13=0),1000,0)+IF($H13=1,INDEX('calcA'!$D$180:$EQ$219,$B13,126)*500,0)-IF(AND('calcA'!DX$117=1,YV13&gt;0),300,0)-IF(AND($U13=1,'calcA'!DY$117=1,HX13=0),300,0))),1000000000))</f>
        <v/>
      </c>
      <c r="TB13">
        <f>IF($B13=0,1000000000,IF(INDEX('calcA'!$D$60:$EQ$99,$B13,127)*IF($W13=1,HX13+AEM13,HX13)=1,IF(AND($E13=2,IF($W13=1,AKB13,NM13)=0),1000000000,IF($V13=1,INDEX('calcA'!$D$130:$EQ$169,$B13,127)+IF(AND($E13=1,NM13=0),25,0),INDEX('calcA'!DZ$110:DZ$114,$F13+1)+IF(AND($E13=1,NM13=0),1000,0)+IF($H13=1,INDEX('calcA'!$D$180:$EQ$219,$B13,127)*500,0)-IF(AND('calcA'!DY$117=1,YW13&gt;0),300,0)-IF(AND($U13=1,'calcA'!DZ$117=1,HY13=0),300,0))),1000000000))</f>
        <v/>
      </c>
      <c r="TC13">
        <f>IF($B13=0,1000000000,IF(INDEX('calcA'!$D$60:$EQ$99,$B13,128)*IF($W13=1,HY13+AEN13,HY13)=1,IF(AND($E13=2,IF($W13=1,AKC13,NN13)=0),1000000000,IF($V13=1,INDEX('calcA'!$D$130:$EQ$169,$B13,128)+IF(AND($E13=1,NN13=0),25,0),INDEX('calcA'!EA$110:EA$114,$F13+1)+IF(AND($E13=1,NN13=0),1000,0)+IF($H13=1,INDEX('calcA'!$D$180:$EQ$219,$B13,128)*500,0)-IF(AND('calcA'!DZ$117=1,YX13&gt;0),300,0)-IF(AND($U13=1,'calcA'!EA$117=1,HZ13=0),300,0))),1000000000))</f>
        <v/>
      </c>
      <c r="TD13">
        <f>IF($B13=0,1000000000,IF(INDEX('calcA'!$D$60:$EQ$99,$B13,129)*IF($W13=1,HZ13+AEO13,HZ13)=1,IF(AND($E13=2,IF($W13=1,AKD13,NO13)=0),1000000000,IF($V13=1,INDEX('calcA'!$D$130:$EQ$169,$B13,129)+IF(AND($E13=1,NO13=0),25,0),INDEX('calcA'!EB$110:EB$114,$F13+1)+IF(AND($E13=1,NO13=0),1000,0)+IF($H13=1,INDEX('calcA'!$D$180:$EQ$219,$B13,129)*500,0)-IF(AND('calcA'!EA$117=1,YY13&gt;0),300,0)-IF(AND($U13=1,'calcA'!EB$117=1,IA13=0),300,0))),1000000000))</f>
        <v/>
      </c>
      <c r="TE13">
        <f>IF($B13=0,1000000000,IF(INDEX('calcA'!$D$60:$EQ$99,$B13,130)*IF($W13=1,IA13+AEP13,IA13)=1,IF(AND($E13=2,IF($W13=1,AKE13,NP13)=0),1000000000,IF($V13=1,INDEX('calcA'!$D$130:$EQ$169,$B13,130)+IF(AND($E13=1,NP13=0),25,0),INDEX('calcA'!EC$110:EC$114,$F13+1)+IF(AND($E13=1,NP13=0),1000,0)+IF($H13=1,INDEX('calcA'!$D$180:$EQ$219,$B13,130)*500,0)-IF(AND('calcA'!EB$117=1,YZ13&gt;0),300,0)-IF(AND($U13=1,'calcA'!EC$117=1,IB13=0),300,0))),1000000000))</f>
        <v/>
      </c>
      <c r="TF13">
        <f>IF($B13=0,1000000000,IF(INDEX('calcA'!$D$60:$EQ$99,$B13,131)*IF($W13=1,IB13+AEQ13,IB13)=1,IF(AND($E13=2,IF($W13=1,AKF13,NQ13)=0),1000000000,IF($V13=1,INDEX('calcA'!$D$130:$EQ$169,$B13,131)+IF(AND($E13=1,NQ13=0),25,0),INDEX('calcA'!ED$110:ED$114,$F13+1)+IF(AND($E13=1,NQ13=0),1000,0)+IF($H13=1,INDEX('calcA'!$D$180:$EQ$219,$B13,131)*500,0)-IF(AND('calcA'!EC$117=1,ZA13&gt;0),300,0)-IF(AND($U13=1,'calcA'!ED$117=1,IC13=0),300,0))),1000000000))</f>
        <v/>
      </c>
      <c r="TG13">
        <f>IF($B13=0,1000000000,IF(INDEX('calcA'!$D$60:$EQ$99,$B13,132)*IF($W13=1,IC13+AER13,IC13)=1,IF(AND($E13=2,IF($W13=1,AKG13,NR13)=0),1000000000,IF($V13=1,INDEX('calcA'!$D$130:$EQ$169,$B13,132)+IF(AND($E13=1,NR13=0),25,0),INDEX('calcA'!EE$110:EE$114,$F13+1)+IF(AND($E13=1,NR13=0),1000,0)+IF($H13=1,INDEX('calcA'!$D$180:$EQ$219,$B13,132)*500,0)-IF(AND('calcA'!ED$117=1,ZB13&gt;0),300,0)-IF(AND($U13=1,'calcA'!EE$117=1,ID13=0),300,0))),1000000000))</f>
        <v/>
      </c>
      <c r="TH13">
        <f>IF($B13=0,1000000000,IF(INDEX('calcA'!$D$60:$EQ$99,$B13,133)*IF($W13=1,ID13+AES13,ID13)=1,IF(AND($E13=2,IF($W13=1,AKH13,NS13)=0),1000000000,IF($V13=1,INDEX('calcA'!$D$130:$EQ$169,$B13,133)+IF(AND($E13=1,NS13=0),25,0),INDEX('calcA'!EF$110:EF$114,$F13+1)+IF(AND($E13=1,NS13=0),1000,0)+IF($H13=1,INDEX('calcA'!$D$180:$EQ$219,$B13,133)*500,0)-IF(AND('calcA'!EE$117=1,ZC13&gt;0),300,0)-IF(AND($U13=1,'calcA'!EF$117=1,IE13=0),300,0))),1000000000))</f>
        <v/>
      </c>
      <c r="TI13">
        <f>IF($B13=0,1000000000,IF(INDEX('calcA'!$D$60:$EQ$99,$B13,134)*IF($W13=1,IE13+AET13,IE13)=1,IF(AND($E13=2,IF($W13=1,AKI13,NT13)=0),1000000000,IF($V13=1,INDEX('calcA'!$D$130:$EQ$169,$B13,134)+IF(AND($E13=1,NT13=0),25,0),INDEX('calcA'!EG$110:EG$114,$F13+1)+IF(AND($E13=1,NT13=0),1000,0)+IF($H13=1,INDEX('calcA'!$D$180:$EQ$219,$B13,134)*500,0)-IF(AND('calcA'!EF$117=1,ZD13&gt;0),300,0)-IF(AND($U13=1,'calcA'!EG$117=1,IF13=0),300,0))),1000000000))</f>
        <v/>
      </c>
      <c r="TJ13">
        <f>IF($B13=0,1000000000,IF(INDEX('calcA'!$D$60:$EQ$99,$B13,135)*IF($W13=1,IF13+AEU13,IF13)=1,IF(AND($E13=2,IF($W13=1,AKJ13,NU13)=0),1000000000,IF($V13=1,INDEX('calcA'!$D$130:$EQ$169,$B13,135)+IF(AND($E13=1,NU13=0),25,0),INDEX('calcA'!EH$110:EH$114,$F13+1)+IF(AND($E13=1,NU13=0),1000,0)+IF($H13=1,INDEX('calcA'!$D$180:$EQ$219,$B13,135)*500,0)-IF(AND('calcA'!EG$117=1,ZE13&gt;0),300,0)-IF(AND($U13=1,'calcA'!EH$117=1,IG13=0),300,0))),1000000000))</f>
        <v/>
      </c>
      <c r="TK13">
        <f>IF($B13=0,1000000000,IF(INDEX('calcA'!$D$60:$EQ$99,$B13,136)*IF($W13=1,IG13+AEV13,IG13)=1,IF(AND($E13=2,IF($W13=1,AKK13,NV13)=0),1000000000,IF($V13=1,INDEX('calcA'!$D$130:$EQ$169,$B13,136)+IF(AND($E13=1,NV13=0),25,0),INDEX('calcA'!EI$110:EI$114,$F13+1)+IF(AND($E13=1,NV13=0),1000,0)+IF($H13=1,INDEX('calcA'!$D$180:$EQ$219,$B13,136)*500,0)-IF(AND('calcA'!EH$117=1,ZF13&gt;0),300,0)-IF(AND($U13=1,'calcA'!EI$117=1,IH13=0),300,0))),1000000000))</f>
        <v/>
      </c>
      <c r="TL13">
        <f>IF($B13=0,1000000000,IF(INDEX('calcA'!$D$60:$EQ$99,$B13,137)*IF($W13=1,IH13+AEW13,IH13)=1,IF(AND($E13=2,IF($W13=1,AKL13,NW13)=0),1000000000,IF($V13=1,INDEX('calcA'!$D$130:$EQ$169,$B13,137)+IF(AND($E13=1,NW13=0),25,0),INDEX('calcA'!EJ$110:EJ$114,$F13+1)+IF(AND($E13=1,NW13=0),1000,0)+IF($H13=1,INDEX('calcA'!$D$180:$EQ$219,$B13,137)*500,0)-IF(AND('calcA'!EI$117=1,ZG13&gt;0),300,0)-IF(AND($U13=1,'calcA'!EJ$117=1,II13=0),300,0))),1000000000))</f>
        <v/>
      </c>
      <c r="TM13">
        <f>IF($B13=0,1000000000,IF(INDEX('calcA'!$D$60:$EQ$99,$B13,138)*IF($W13=1,II13+AEX13,II13)=1,IF(AND($E13=2,IF($W13=1,AKM13,NX13)=0),1000000000,IF($V13=1,INDEX('calcA'!$D$130:$EQ$169,$B13,138)+IF(AND($E13=1,NX13=0),25,0),INDEX('calcA'!EK$110:EK$114,$F13+1)+IF(AND($E13=1,NX13=0),1000,0)+IF($H13=1,INDEX('calcA'!$D$180:$EQ$219,$B13,138)*500,0)-IF(AND('calcA'!EJ$117=1,ZH13&gt;0),300,0)-IF(AND($U13=1,'calcA'!EK$117=1,IJ13=0),300,0))),1000000000))</f>
        <v/>
      </c>
      <c r="TN13">
        <f>IF($B13=0,1000000000,IF(INDEX('calcA'!$D$60:$EQ$99,$B13,139)*IF($W13=1,IJ13+AEY13,IJ13)=1,IF(AND($E13=2,IF($W13=1,AKN13,NY13)=0),1000000000,IF($V13=1,INDEX('calcA'!$D$130:$EQ$169,$B13,139)+IF(AND($E13=1,NY13=0),25,0),INDEX('calcA'!EL$110:EL$114,$F13+1)+IF(AND($E13=1,NY13=0),1000,0)+IF($H13=1,INDEX('calcA'!$D$180:$EQ$219,$B13,139)*500,0)-IF(AND('calcA'!EK$117=1,ZI13&gt;0),300,0)-IF(AND($U13=1,'calcA'!EL$117=1,IK13=0),300,0))),1000000000))</f>
        <v/>
      </c>
      <c r="TO13">
        <f>IF($B13=0,1000000000,IF(INDEX('calcA'!$D$60:$EQ$99,$B13,140)*IF($W13=1,IK13+AEZ13,IK13)=1,IF(AND($E13=2,IF($W13=1,AKO13,NZ13)=0),1000000000,IF($V13=1,INDEX('calcA'!$D$130:$EQ$169,$B13,140)+IF(AND($E13=1,NZ13=0),25,0),INDEX('calcA'!EM$110:EM$114,$F13+1)+IF(AND($E13=1,NZ13=0),1000,0)+IF($H13=1,INDEX('calcA'!$D$180:$EQ$219,$B13,140)*500,0)-IF(AND('calcA'!EL$117=1,ZJ13&gt;0),300,0)-IF(AND($U13=1,'calcA'!EM$117=1,IL13=0),300,0))),1000000000))</f>
        <v/>
      </c>
      <c r="TP13">
        <f>IF($B13=0,1000000000,IF(INDEX('calcA'!$D$60:$EQ$99,$B13,141)*IF($W13=1,IL13+AFA13,IL13)=1,IF(AND($E13=2,IF($W13=1,AKP13,OA13)=0),1000000000,IF($V13=1,INDEX('calcA'!$D$130:$EQ$169,$B13,141)+IF(AND($E13=1,OA13=0),25,0),INDEX('calcA'!EN$110:EN$114,$F13+1)+IF(AND($E13=1,OA13=0),1000,0)+IF($H13=1,INDEX('calcA'!$D$180:$EQ$219,$B13,141)*500,0)-IF(AND('calcA'!EM$117=1,ZK13&gt;0),300,0)-IF(AND($U13=1,'calcA'!EN$117=1,IM13=0),300,0))),1000000000))</f>
        <v/>
      </c>
      <c r="TQ13">
        <f>IF($B13=0,1000000000,IF(INDEX('calcA'!$D$60:$EQ$99,$B13,142)*IF($W13=1,IM13+AFB13,IM13)=1,IF(AND($E13=2,IF($W13=1,AKQ13,OB13)=0),1000000000,IF($V13=1,INDEX('calcA'!$D$130:$EQ$169,$B13,142)+IF(AND($E13=1,OB13=0),25,0),INDEX('calcA'!EO$110:EO$114,$F13+1)+IF(AND($E13=1,OB13=0),1000,0)+IF($H13=1,INDEX('calcA'!$D$180:$EQ$219,$B13,142)*500,0)-IF(AND('calcA'!EN$117=1,ZL13&gt;0),300,0)-IF(AND($U13=1,'calcA'!EO$117=1,IN13=0),300,0))),1000000000))</f>
        <v/>
      </c>
      <c r="TR13">
        <f>IF($B13=0,1000000000,IF(INDEX('calcA'!$D$60:$EQ$99,$B13,143)*IF($W13=1,IN13+AFC13,IN13)=1,IF(AND($E13=2,IF($W13=1,AKR13,OC13)=0),1000000000,IF($V13=1,INDEX('calcA'!$D$130:$EQ$169,$B13,143)+IF(AND($E13=1,OC13=0),25,0),INDEX('calcA'!EP$110:EP$114,$F13+1)+IF(AND($E13=1,OC13=0),1000,0)+IF($H13=1,INDEX('calcA'!$D$180:$EQ$219,$B13,143)*500,0)-IF(AND('calcA'!EO$117=1,ZM13&gt;0),300,0)-IF(AND($U13=1,'calcA'!EP$117=1,IO13=0),300,0))),1000000000))</f>
        <v/>
      </c>
      <c r="TS13">
        <f>IF($B13=0,1000000000,IF(INDEX('calcA'!$D$60:$EQ$99,$B13,144)*IF($W13=1,IO13+AFD13,IO13)=1,IF(AND($E13=2,IF($W13=1,AKS13,OD13)=0),1000000000,IF($V13=1,INDEX('calcA'!$D$130:$EQ$169,$B13,144)+IF(AND($E13=1,OD13=0),25,0),INDEX('calcA'!EQ$110:EQ$114,$F13+1)+IF(AND($E13=1,OD13=0),1000,0)+IF($H13=1,INDEX('calcA'!$D$180:$EQ$219,$B13,144)*500,0)-IF(AND('calcA'!EP$117=1,ZN13&gt;0),300,0))),1000000000))</f>
        <v/>
      </c>
      <c r="UB13">
        <f>UB12+IF(AND($C12=1,$U12=1),1,0)</f>
        <v/>
      </c>
      <c r="UC13">
        <f>UC12+IF(AND($C12=2,$U12=1),1,0)</f>
        <v/>
      </c>
      <c r="UD13">
        <f>UD12+IF(AND($C12=3,$U12=1),1,0)</f>
        <v/>
      </c>
      <c r="UE13">
        <f>UE12+IF(AND($C12=4,$U12=1),1,0)</f>
        <v/>
      </c>
      <c r="UF13">
        <f>UF12+IF(AND($C12=5,$U12=1),1,0)</f>
        <v/>
      </c>
      <c r="UG13">
        <f>UG12+IF(AND($C12=6,$U12=1),1,0)</f>
        <v/>
      </c>
      <c r="UH13">
        <f>UH12+IF(AND($C12=7,$U12=1),1,0)</f>
        <v/>
      </c>
      <c r="UI13">
        <f>UI12+IF(AND($C12=8,$U12=1),1,0)</f>
        <v/>
      </c>
      <c r="UJ13">
        <f>UJ12+IF(AND($C12=9,$U12=1),1,0)</f>
        <v/>
      </c>
      <c r="UK13">
        <f>UK12+IF(AND($C12=10,$U12=1),1,0)</f>
        <v/>
      </c>
      <c r="UL13">
        <f>UL12+IF(AND($C12=11,$U12=1),1,0)</f>
        <v/>
      </c>
      <c r="UM13">
        <f>UM12+IF(AND($C12=12,$U12=1),1,0)</f>
        <v/>
      </c>
      <c r="UN13">
        <f>UN12+IF(AND($C12=13,$U12=1),1,0)</f>
        <v/>
      </c>
      <c r="UO13">
        <f>UO12+IF(AND($C12=14,$U12=1),1,0)</f>
        <v/>
      </c>
      <c r="UP13">
        <f>UP12+IF(AND($C12=15,$U12=1),1,0)</f>
        <v/>
      </c>
      <c r="UQ13">
        <f>UQ12+IF(AND($C12=16,$U12=1),1,0)</f>
        <v/>
      </c>
      <c r="UR13">
        <f>UR12+IF(AND($C12=17,$U12=1),1,0)</f>
        <v/>
      </c>
      <c r="US13">
        <f>US12+IF(AND($C12=18,$U12=1),1,0)</f>
        <v/>
      </c>
      <c r="UT13">
        <f>UT12+IF(AND($C12=19,$U12=1),1,0)</f>
        <v/>
      </c>
      <c r="UU13">
        <f>UU12+IF(AND($C12=20,$U12=1),1,0)</f>
        <v/>
      </c>
      <c r="UV13">
        <f>UV12+IF(AND($C12=21,$U12=1),1,0)</f>
        <v/>
      </c>
      <c r="UW13">
        <f>UW12+IF(AND($C12=22,$U12=1),1,0)</f>
        <v/>
      </c>
      <c r="UX13">
        <f>UX12+IF(AND($C12=23,$U12=1),1,0)</f>
        <v/>
      </c>
      <c r="UY13">
        <f>UY12+IF(AND($C12=24,$U12=1),1,0)</f>
        <v/>
      </c>
      <c r="UZ13">
        <f>UZ12+IF(AND($C12=25,$U12=1),1,0)</f>
        <v/>
      </c>
      <c r="VA13">
        <f>VA12+IF(AND($C12=26,$U12=1),1,0)</f>
        <v/>
      </c>
      <c r="VB13">
        <f>VB12+IF(AND($C12=27,$U12=1),1,0)</f>
        <v/>
      </c>
      <c r="VC13">
        <f>VC12+IF(AND($C12=28,$U12=1),1,0)</f>
        <v/>
      </c>
      <c r="VD13">
        <f>VD12+IF(AND($C12=29,$U12=1),1,0)</f>
        <v/>
      </c>
      <c r="VE13">
        <f>VE12+IF(AND($C12=30,$U12=1),1,0)</f>
        <v/>
      </c>
      <c r="VF13">
        <f>VF12+IF(AND($C12=31,$U12=1),1,0)</f>
        <v/>
      </c>
      <c r="VG13">
        <f>VG12+IF(AND($C12=32,$U12=1),1,0)</f>
        <v/>
      </c>
      <c r="VH13">
        <f>VH12+IF(AND($C12=33,$U12=1),1,0)</f>
        <v/>
      </c>
      <c r="VI13">
        <f>VI12+IF(AND($C12=34,$U12=1),1,0)</f>
        <v/>
      </c>
      <c r="VJ13">
        <f>VJ12+IF(AND($C12=35,$U12=1),1,0)</f>
        <v/>
      </c>
      <c r="VK13">
        <f>VK12+IF(AND($C12=36,$U12=1),1,0)</f>
        <v/>
      </c>
      <c r="VL13">
        <f>VL12+IF(AND($C12=37,$U12=1),1,0)</f>
        <v/>
      </c>
      <c r="VM13">
        <f>VM12+IF(AND($C12=38,$U12=1),1,0)</f>
        <v/>
      </c>
      <c r="VN13">
        <f>VN12+IF(AND($C12=39,$U12=1),1,0)</f>
        <v/>
      </c>
      <c r="VO13">
        <f>VO12+IF(AND($C12=40,$U12=1),1,0)</f>
        <v/>
      </c>
      <c r="VP13">
        <f>VP12+IF(AND($C12=41,$U12=1),1,0)</f>
        <v/>
      </c>
      <c r="VQ13">
        <f>VQ12+IF(AND($C12=42,$U12=1),1,0)</f>
        <v/>
      </c>
      <c r="VR13">
        <f>VR12+IF(AND($C12=43,$U12=1),1,0)</f>
        <v/>
      </c>
      <c r="VS13">
        <f>VS12+IF(AND($C12=44,$U12=1),1,0)</f>
        <v/>
      </c>
      <c r="VT13">
        <f>VT12+IF(AND($C12=45,$U12=1),1,0)</f>
        <v/>
      </c>
      <c r="VU13">
        <f>VU12+IF(AND($C12=46,$U12=1),1,0)</f>
        <v/>
      </c>
      <c r="VV13">
        <f>VV12+IF(AND($C12=47,$U12=1),1,0)</f>
        <v/>
      </c>
      <c r="VW13">
        <f>VW12+IF(AND($C12=48,$U12=1),1,0)</f>
        <v/>
      </c>
      <c r="VX13">
        <f>VX12+IF(AND($C12=49,$U12=1),1,0)</f>
        <v/>
      </c>
      <c r="VY13">
        <f>VY12+IF(AND($C12=50,$U12=1),1,0)</f>
        <v/>
      </c>
      <c r="VZ13">
        <f>VZ12+IF(AND($C12=51,$U12=1),1,0)</f>
        <v/>
      </c>
      <c r="WA13">
        <f>WA12+IF(AND($C12=52,$U12=1),1,0)</f>
        <v/>
      </c>
      <c r="WB13">
        <f>WB12+IF(AND($C12=53,$U12=1),1,0)</f>
        <v/>
      </c>
      <c r="WC13">
        <f>WC12+IF(AND($C12=54,$U12=1),1,0)</f>
        <v/>
      </c>
      <c r="WD13">
        <f>WD12+IF(AND($C12=55,$U12=1),1,0)</f>
        <v/>
      </c>
      <c r="WE13">
        <f>WE12+IF(AND($C12=56,$U12=1),1,0)</f>
        <v/>
      </c>
      <c r="WF13">
        <f>WF12+IF(AND($C12=57,$U12=1),1,0)</f>
        <v/>
      </c>
      <c r="WG13">
        <f>WG12+IF(AND($C12=58,$U12=1),1,0)</f>
        <v/>
      </c>
      <c r="WH13">
        <f>WH12+IF(AND($C12=59,$U12=1),1,0)</f>
        <v/>
      </c>
      <c r="WI13">
        <f>WI12+IF(AND($C12=60,$U12=1),1,0)</f>
        <v/>
      </c>
      <c r="WJ13">
        <f>WJ12+IF(AND($C12=61,$U12=1),1,0)</f>
        <v/>
      </c>
      <c r="WK13">
        <f>WK12+IF(AND($C12=62,$U12=1),1,0)</f>
        <v/>
      </c>
      <c r="WL13">
        <f>WL12+IF(AND($C12=63,$U12=1),1,0)</f>
        <v/>
      </c>
      <c r="WM13">
        <f>WM12+IF(AND($C12=64,$U12=1),1,0)</f>
        <v/>
      </c>
      <c r="WN13">
        <f>WN12+IF(AND($C12=65,$U12=1),1,0)</f>
        <v/>
      </c>
      <c r="WO13">
        <f>WO12+IF(AND($C12=66,$U12=1),1,0)</f>
        <v/>
      </c>
      <c r="WP13">
        <f>WP12+IF(AND($C12=67,$U12=1),1,0)</f>
        <v/>
      </c>
      <c r="WQ13">
        <f>WQ12+IF(AND($C12=68,$U12=1),1,0)</f>
        <v/>
      </c>
      <c r="WR13">
        <f>WR12+IF(AND($C12=69,$U12=1),1,0)</f>
        <v/>
      </c>
      <c r="WS13">
        <f>WS12+IF(AND($C12=70,$U12=1),1,0)</f>
        <v/>
      </c>
      <c r="WT13">
        <f>WT12+IF(AND($C12=71,$U12=1),1,0)</f>
        <v/>
      </c>
      <c r="WU13">
        <f>WU12+IF(AND($C12=72,$U12=1),1,0)</f>
        <v/>
      </c>
      <c r="WV13">
        <f>WV12+IF(AND($C12=73,$U12=1),1,0)</f>
        <v/>
      </c>
      <c r="WW13">
        <f>WW12+IF(AND($C12=74,$U12=1),1,0)</f>
        <v/>
      </c>
      <c r="WX13">
        <f>WX12+IF(AND($C12=75,$U12=1),1,0)</f>
        <v/>
      </c>
      <c r="WY13">
        <f>WY12+IF(AND($C12=76,$U12=1),1,0)</f>
        <v/>
      </c>
      <c r="WZ13">
        <f>WZ12+IF(AND($C12=77,$U12=1),1,0)</f>
        <v/>
      </c>
      <c r="XA13">
        <f>XA12+IF(AND($C12=78,$U12=1),1,0)</f>
        <v/>
      </c>
      <c r="XB13">
        <f>XB12+IF(AND($C12=79,$U12=1),1,0)</f>
        <v/>
      </c>
      <c r="XC13">
        <f>XC12+IF(AND($C12=80,$U12=1),1,0)</f>
        <v/>
      </c>
      <c r="XD13">
        <f>XD12+IF(AND($C12=81,$U12=1),1,0)</f>
        <v/>
      </c>
      <c r="XE13">
        <f>XE12+IF(AND($C12=82,$U12=1),1,0)</f>
        <v/>
      </c>
      <c r="XF13">
        <f>XF12+IF(AND($C12=83,$U12=1),1,0)</f>
        <v/>
      </c>
      <c r="XG13">
        <f>XG12+IF(AND($C12=84,$U12=1),1,0)</f>
        <v/>
      </c>
      <c r="XH13">
        <f>XH12+IF(AND($C12=85,$U12=1),1,0)</f>
        <v/>
      </c>
      <c r="XI13">
        <f>XI12+IF(AND($C12=86,$U12=1),1,0)</f>
        <v/>
      </c>
      <c r="XJ13">
        <f>XJ12+IF(AND($C12=87,$U12=1),1,0)</f>
        <v/>
      </c>
      <c r="XK13">
        <f>XK12+IF(AND($C12=88,$U12=1),1,0)</f>
        <v/>
      </c>
      <c r="XL13">
        <f>XL12+IF(AND($C12=89,$U12=1),1,0)</f>
        <v/>
      </c>
      <c r="XM13">
        <f>XM12+IF(AND($C12=90,$U12=1),1,0)</f>
        <v/>
      </c>
      <c r="XN13">
        <f>XN12+IF(AND($C12=91,$U12=1),1,0)</f>
        <v/>
      </c>
      <c r="XO13">
        <f>XO12+IF(AND($C12=92,$U12=1),1,0)</f>
        <v/>
      </c>
      <c r="XP13">
        <f>XP12+IF(AND($C12=93,$U12=1),1,0)</f>
        <v/>
      </c>
      <c r="XQ13">
        <f>XQ12+IF(AND($C12=94,$U12=1),1,0)</f>
        <v/>
      </c>
      <c r="XR13">
        <f>XR12+IF(AND($C12=95,$U12=1),1,0)</f>
        <v/>
      </c>
      <c r="XS13">
        <f>XS12+IF(AND($C12=96,$U12=1),1,0)</f>
        <v/>
      </c>
      <c r="XT13">
        <f>XT12+IF(AND($C12=97,$U12=1),1,0)</f>
        <v/>
      </c>
      <c r="XU13">
        <f>XU12+IF(AND($C12=98,$U12=1),1,0)</f>
        <v/>
      </c>
      <c r="XV13">
        <f>XV12+IF(AND($C12=99,$U12=1),1,0)</f>
        <v/>
      </c>
      <c r="XW13">
        <f>XW12+IF(AND($C12=100,$U12=1),1,0)</f>
        <v/>
      </c>
      <c r="XX13">
        <f>XX12+IF(AND($C12=101,$U12=1),1,0)</f>
        <v/>
      </c>
      <c r="XY13">
        <f>XY12+IF(AND($C12=102,$U12=1),1,0)</f>
        <v/>
      </c>
      <c r="XZ13">
        <f>XZ12+IF(AND($C12=103,$U12=1),1,0)</f>
        <v/>
      </c>
      <c r="YA13">
        <f>YA12+IF(AND($C12=104,$U12=1),1,0)</f>
        <v/>
      </c>
      <c r="YB13">
        <f>YB12+IF(AND($C12=105,$U12=1),1,0)</f>
        <v/>
      </c>
      <c r="YC13">
        <f>YC12+IF(AND($C12=106,$U12=1),1,0)</f>
        <v/>
      </c>
      <c r="YD13">
        <f>YD12+IF(AND($C12=107,$U12=1),1,0)</f>
        <v/>
      </c>
      <c r="YE13">
        <f>YE12+IF(AND($C12=108,$U12=1),1,0)</f>
        <v/>
      </c>
      <c r="YF13">
        <f>YF12+IF(AND($C12=109,$U12=1),1,0)</f>
        <v/>
      </c>
      <c r="YG13">
        <f>YG12+IF(AND($C12=110,$U12=1),1,0)</f>
        <v/>
      </c>
      <c r="YH13">
        <f>YH12+IF(AND($C12=111,$U12=1),1,0)</f>
        <v/>
      </c>
      <c r="YI13">
        <f>YI12+IF(AND($C12=112,$U12=1),1,0)</f>
        <v/>
      </c>
      <c r="YJ13">
        <f>YJ12+IF(AND($C12=113,$U12=1),1,0)</f>
        <v/>
      </c>
      <c r="YK13">
        <f>YK12+IF(AND($C12=114,$U12=1),1,0)</f>
        <v/>
      </c>
      <c r="YL13">
        <f>YL12+IF(AND($C12=115,$U12=1),1,0)</f>
        <v/>
      </c>
      <c r="YM13">
        <f>YM12+IF(AND($C12=116,$U12=1),1,0)</f>
        <v/>
      </c>
      <c r="YN13">
        <f>YN12+IF(AND($C12=117,$U12=1),1,0)</f>
        <v/>
      </c>
      <c r="YO13">
        <f>YO12+IF(AND($C12=118,$U12=1),1,0)</f>
        <v/>
      </c>
      <c r="YP13">
        <f>YP12+IF(AND($C12=119,$U12=1),1,0)</f>
        <v/>
      </c>
      <c r="YQ13">
        <f>YQ12+IF(AND($C12=120,$U12=1),1,0)</f>
        <v/>
      </c>
      <c r="YR13">
        <f>YR12+IF(AND($C12=121,$U12=1),1,0)</f>
        <v/>
      </c>
      <c r="YS13">
        <f>YS12+IF(AND($C12=122,$U12=1),1,0)</f>
        <v/>
      </c>
      <c r="YT13">
        <f>YT12+IF(AND($C12=123,$U12=1),1,0)</f>
        <v/>
      </c>
      <c r="YU13">
        <f>YU12+IF(AND($C12=124,$U12=1),1,0)</f>
        <v/>
      </c>
      <c r="YV13">
        <f>YV12+IF(AND($C12=125,$U12=1),1,0)</f>
        <v/>
      </c>
      <c r="YW13">
        <f>YW12+IF(AND($C12=126,$U12=1),1,0)</f>
        <v/>
      </c>
      <c r="YX13">
        <f>YX12+IF(AND($C12=127,$U12=1),1,0)</f>
        <v/>
      </c>
      <c r="YY13">
        <f>YY12+IF(AND($C12=128,$U12=1),1,0)</f>
        <v/>
      </c>
      <c r="YZ13">
        <f>YZ12+IF(AND($C12=129,$U12=1),1,0)</f>
        <v/>
      </c>
      <c r="ZA13">
        <f>ZA12+IF(AND($C12=130,$U12=1),1,0)</f>
        <v/>
      </c>
      <c r="ZB13">
        <f>ZB12+IF(AND($C12=131,$U12=1),1,0)</f>
        <v/>
      </c>
      <c r="ZC13">
        <f>ZC12+IF(AND($C12=132,$U12=1),1,0)</f>
        <v/>
      </c>
      <c r="ZD13">
        <f>ZD12+IF(AND($C12=133,$U12=1),1,0)</f>
        <v/>
      </c>
      <c r="ZE13">
        <f>ZE12+IF(AND($C12=134,$U12=1),1,0)</f>
        <v/>
      </c>
      <c r="ZF13">
        <f>ZF12+IF(AND($C12=135,$U12=1),1,0)</f>
        <v/>
      </c>
      <c r="ZG13">
        <f>ZG12+IF(AND($C12=136,$U12=1),1,0)</f>
        <v/>
      </c>
      <c r="ZH13">
        <f>ZH12+IF(AND($C12=137,$U12=1),1,0)</f>
        <v/>
      </c>
      <c r="ZI13">
        <f>ZI12+IF(AND($C12=138,$U12=1),1,0)</f>
        <v/>
      </c>
      <c r="ZJ13">
        <f>ZJ12+IF(AND($C12=139,$U12=1),1,0)</f>
        <v/>
      </c>
      <c r="ZK13">
        <f>ZK12+IF(AND($C12=140,$U12=1),1,0)</f>
        <v/>
      </c>
      <c r="ZL13">
        <f>ZL12+IF(AND($C12=141,$U12=1),1,0)</f>
        <v/>
      </c>
      <c r="ZM13">
        <f>ZM12+IF(AND($C12=142,$U12=1),1,0)</f>
        <v/>
      </c>
      <c r="ZN13">
        <f>ZN12+IF(AND($C12=143,$U12=1),1,0)</f>
        <v/>
      </c>
      <c r="ZO13">
        <f>ZO12+IF(AND($C12=144,$U12=1),1,0)</f>
        <v/>
      </c>
      <c r="ZQ13">
        <f>IF($C12=1,0,ZQ12+IF(AND($G12=1,$E12=1),1,0))</f>
        <v/>
      </c>
      <c r="ZR13">
        <f>IF($C12=2,0,ZR12+IF(AND($G12=2,$E12=1),1,0))</f>
        <v/>
      </c>
      <c r="ZS13">
        <f>IF($C12=3,0,ZS12+IF(AND($G12=3,$E12=1),1,0))</f>
        <v/>
      </c>
      <c r="ZT13">
        <f>IF($C12=4,0,ZT12+IF(AND($G12=4,$E12=1),1,0))</f>
        <v/>
      </c>
      <c r="ZU13">
        <f>IF($C12=5,0,ZU12+IF(AND($G12=5,$E12=1),1,0))</f>
        <v/>
      </c>
      <c r="ZV13">
        <f>IF($C12=6,0,ZV12+IF(AND($G12=6,$E12=1),1,0))</f>
        <v/>
      </c>
      <c r="ZW13">
        <f>IF($C12=7,0,ZW12+IF(AND($G12=7,$E12=1),1,0))</f>
        <v/>
      </c>
      <c r="ZX13">
        <f>IF($C12=8,0,ZX12+IF(AND($G12=8,$E12=1),1,0))</f>
        <v/>
      </c>
      <c r="ZY13">
        <f>IF($C12=9,0,ZY12+IF(AND($G12=9,$E12=1),1,0))</f>
        <v/>
      </c>
      <c r="ZZ13">
        <f>IF($C12=10,0,ZZ12+IF(AND($G12=10,$E12=1),1,0))</f>
        <v/>
      </c>
      <c r="AAA13">
        <f>IF($C12=11,0,AAA12+IF(AND($G12=11,$E12=1),1,0))</f>
        <v/>
      </c>
      <c r="AAB13">
        <f>IF($C12=12,0,AAB12+IF(AND($G12=12,$E12=1),1,0))</f>
        <v/>
      </c>
      <c r="AAC13">
        <f>IF($C12=13,0,AAC12+IF(AND($G12=13,$E12=1),1,0))</f>
        <v/>
      </c>
      <c r="AAD13">
        <f>IF($C12=14,0,AAD12+IF(AND($G12=14,$E12=1),1,0))</f>
        <v/>
      </c>
      <c r="AAE13">
        <f>IF($C12=15,0,AAE12+IF(AND($G12=15,$E12=1),1,0))</f>
        <v/>
      </c>
      <c r="AAF13">
        <f>IF($C12=16,0,AAF12+IF(AND($G12=16,$E12=1),1,0))</f>
        <v/>
      </c>
      <c r="AAG13">
        <f>IF($C12=17,0,AAG12+IF(AND($G12=17,$E12=1),1,0))</f>
        <v/>
      </c>
      <c r="AAH13">
        <f>IF($C12=18,0,AAH12+IF(AND($G12=18,$E12=1),1,0))</f>
        <v/>
      </c>
      <c r="AAI13">
        <f>IF($C12=19,0,AAI12+IF(AND($G12=19,$E12=1),1,0))</f>
        <v/>
      </c>
      <c r="AAJ13">
        <f>IF($C12=20,0,AAJ12+IF(AND($G12=20,$E12=1),1,0))</f>
        <v/>
      </c>
      <c r="AAK13">
        <f>IF($C12=21,0,AAK12+IF(AND($G12=21,$E12=1),1,0))</f>
        <v/>
      </c>
      <c r="AAL13">
        <f>IF($C12=22,0,AAL12+IF(AND($G12=22,$E12=1),1,0))</f>
        <v/>
      </c>
      <c r="AAM13">
        <f>IF($C12=23,0,AAM12+IF(AND($G12=23,$E12=1),1,0))</f>
        <v/>
      </c>
      <c r="AAN13">
        <f>IF($C12=24,0,AAN12+IF(AND($G12=24,$E12=1),1,0))</f>
        <v/>
      </c>
      <c r="AAO13">
        <f>IF($C12=25,0,AAO12+IF(AND($G12=25,$E12=1),1,0))</f>
        <v/>
      </c>
      <c r="AAP13">
        <f>IF($C12=26,0,AAP12+IF(AND($G12=26,$E12=1),1,0))</f>
        <v/>
      </c>
      <c r="AAQ13">
        <f>IF($C12=27,0,AAQ12+IF(AND($G12=27,$E12=1),1,0))</f>
        <v/>
      </c>
      <c r="AAR13">
        <f>IF($C12=28,0,AAR12+IF(AND($G12=28,$E12=1),1,0))</f>
        <v/>
      </c>
      <c r="AAS13">
        <f>IF($C12=29,0,AAS12+IF(AND($G12=29,$E12=1),1,0))</f>
        <v/>
      </c>
      <c r="AAT13">
        <f>IF($C12=30,0,AAT12+IF(AND($G12=30,$E12=1),1,0))</f>
        <v/>
      </c>
      <c r="AAU13">
        <f>IF($C12=31,0,AAU12+IF(AND($G12=31,$E12=1),1,0))</f>
        <v/>
      </c>
      <c r="AAV13">
        <f>IF($C12=32,0,AAV12+IF(AND($G12=32,$E12=1),1,0))</f>
        <v/>
      </c>
      <c r="AAW13">
        <f>IF($C12=33,0,AAW12+IF(AND($G12=33,$E12=1),1,0))</f>
        <v/>
      </c>
      <c r="AAX13">
        <f>IF($C12=34,0,AAX12+IF(AND($G12=34,$E12=1),1,0))</f>
        <v/>
      </c>
      <c r="AAY13">
        <f>IF($C12=35,0,AAY12+IF(AND($G12=35,$E12=1),1,0))</f>
        <v/>
      </c>
      <c r="AAZ13">
        <f>IF($C12=36,0,AAZ12+IF(AND($G12=36,$E12=1),1,0))</f>
        <v/>
      </c>
      <c r="ABA13">
        <f>IF($C12=37,0,ABA12+IF(AND($G12=37,$E12=1),1,0))</f>
        <v/>
      </c>
      <c r="ABB13">
        <f>IF($C12=38,0,ABB12+IF(AND($G12=38,$E12=1),1,0))</f>
        <v/>
      </c>
      <c r="ABC13">
        <f>IF($C12=39,0,ABC12+IF(AND($G12=39,$E12=1),1,0))</f>
        <v/>
      </c>
      <c r="ABD13">
        <f>IF($C12=40,0,ABD12+IF(AND($G12=40,$E12=1),1,0))</f>
        <v/>
      </c>
      <c r="ABE13">
        <f>IF($C12=41,0,ABE12+IF(AND($G12=41,$E12=1),1,0))</f>
        <v/>
      </c>
      <c r="ABF13">
        <f>IF($C12=42,0,ABF12+IF(AND($G12=42,$E12=1),1,0))</f>
        <v/>
      </c>
      <c r="ABG13">
        <f>IF($C12=43,0,ABG12+IF(AND($G12=43,$E12=1),1,0))</f>
        <v/>
      </c>
      <c r="ABH13">
        <f>IF($C12=44,0,ABH12+IF(AND($G12=44,$E12=1),1,0))</f>
        <v/>
      </c>
      <c r="ABI13">
        <f>IF($C12=45,0,ABI12+IF(AND($G12=45,$E12=1),1,0))</f>
        <v/>
      </c>
      <c r="ABJ13">
        <f>IF($C12=46,0,ABJ12+IF(AND($G12=46,$E12=1),1,0))</f>
        <v/>
      </c>
      <c r="ABK13">
        <f>IF($C12=47,0,ABK12+IF(AND($G12=47,$E12=1),1,0))</f>
        <v/>
      </c>
      <c r="ABL13">
        <f>IF($C12=48,0,ABL12+IF(AND($G12=48,$E12=1),1,0))</f>
        <v/>
      </c>
      <c r="ABM13">
        <f>IF($C12=49,0,ABM12+IF(AND($G12=49,$E12=1),1,0))</f>
        <v/>
      </c>
      <c r="ABN13">
        <f>IF($C12=50,0,ABN12+IF(AND($G12=50,$E12=1),1,0))</f>
        <v/>
      </c>
      <c r="ABO13">
        <f>IF($C12=51,0,ABO12+IF(AND($G12=51,$E12=1),1,0))</f>
        <v/>
      </c>
      <c r="ABP13">
        <f>IF($C12=52,0,ABP12+IF(AND($G12=52,$E12=1),1,0))</f>
        <v/>
      </c>
      <c r="ABQ13">
        <f>IF($C12=53,0,ABQ12+IF(AND($G12=53,$E12=1),1,0))</f>
        <v/>
      </c>
      <c r="ABR13">
        <f>IF($C12=54,0,ABR12+IF(AND($G12=54,$E12=1),1,0))</f>
        <v/>
      </c>
      <c r="ABS13">
        <f>IF($C12=55,0,ABS12+IF(AND($G12=55,$E12=1),1,0))</f>
        <v/>
      </c>
      <c r="ABT13">
        <f>IF($C12=56,0,ABT12+IF(AND($G12=56,$E12=1),1,0))</f>
        <v/>
      </c>
      <c r="ABU13">
        <f>IF($C12=57,0,ABU12+IF(AND($G12=57,$E12=1),1,0))</f>
        <v/>
      </c>
      <c r="ABV13">
        <f>IF($C12=58,0,ABV12+IF(AND($G12=58,$E12=1),1,0))</f>
        <v/>
      </c>
      <c r="ABW13">
        <f>IF($C12=59,0,ABW12+IF(AND($G12=59,$E12=1),1,0))</f>
        <v/>
      </c>
      <c r="ABX13">
        <f>IF($C12=60,0,ABX12+IF(AND($G12=60,$E12=1),1,0))</f>
        <v/>
      </c>
      <c r="ABY13">
        <f>IF($C12=61,0,ABY12+IF(AND($G12=61,$E12=1),1,0))</f>
        <v/>
      </c>
      <c r="ABZ13">
        <f>IF($C12=62,0,ABZ12+IF(AND($G12=62,$E12=1),1,0))</f>
        <v/>
      </c>
      <c r="ACA13">
        <f>IF($C12=63,0,ACA12+IF(AND($G12=63,$E12=1),1,0))</f>
        <v/>
      </c>
      <c r="ACB13">
        <f>IF($C12=64,0,ACB12+IF(AND($G12=64,$E12=1),1,0))</f>
        <v/>
      </c>
      <c r="ACC13">
        <f>IF($C12=65,0,ACC12+IF(AND($G12=65,$E12=1),1,0))</f>
        <v/>
      </c>
      <c r="ACD13">
        <f>IF($C12=66,0,ACD12+IF(AND($G12=66,$E12=1),1,0))</f>
        <v/>
      </c>
      <c r="ACE13">
        <f>IF($C12=67,0,ACE12+IF(AND($G12=67,$E12=1),1,0))</f>
        <v/>
      </c>
      <c r="ACF13">
        <f>IF($C12=68,0,ACF12+IF(AND($G12=68,$E12=1),1,0))</f>
        <v/>
      </c>
      <c r="ACG13">
        <f>IF($C12=69,0,ACG12+IF(AND($G12=69,$E12=1),1,0))</f>
        <v/>
      </c>
      <c r="ACH13">
        <f>IF($C12=70,0,ACH12+IF(AND($G12=70,$E12=1),1,0))</f>
        <v/>
      </c>
      <c r="ACI13">
        <f>IF($C12=71,0,ACI12+IF(AND($G12=71,$E12=1),1,0))</f>
        <v/>
      </c>
      <c r="ACJ13">
        <f>IF($C12=72,0,ACJ12+IF(AND($G12=72,$E12=1),1,0))</f>
        <v/>
      </c>
      <c r="ACK13">
        <f>IF($C12=73,0,ACK12+IF(AND($G12=73,$E12=1),1,0))</f>
        <v/>
      </c>
      <c r="ACL13">
        <f>IF($C12=74,0,ACL12+IF(AND($G12=74,$E12=1),1,0))</f>
        <v/>
      </c>
      <c r="ACM13">
        <f>IF($C12=75,0,ACM12+IF(AND($G12=75,$E12=1),1,0))</f>
        <v/>
      </c>
      <c r="ACN13">
        <f>IF($C12=76,0,ACN12+IF(AND($G12=76,$E12=1),1,0))</f>
        <v/>
      </c>
      <c r="ACO13">
        <f>IF($C12=77,0,ACO12+IF(AND($G12=77,$E12=1),1,0))</f>
        <v/>
      </c>
      <c r="ACP13">
        <f>IF($C12=78,0,ACP12+IF(AND($G12=78,$E12=1),1,0))</f>
        <v/>
      </c>
      <c r="ACQ13">
        <f>IF($C12=79,0,ACQ12+IF(AND($G12=79,$E12=1),1,0))</f>
        <v/>
      </c>
      <c r="ACR13">
        <f>IF($C12=80,0,ACR12+IF(AND($G12=80,$E12=1),1,0))</f>
        <v/>
      </c>
      <c r="ACS13">
        <f>IF($C12=81,0,ACS12+IF(AND($G12=81,$E12=1),1,0))</f>
        <v/>
      </c>
      <c r="ACT13">
        <f>IF($C12=82,0,ACT12+IF(AND($G12=82,$E12=1),1,0))</f>
        <v/>
      </c>
      <c r="ACU13">
        <f>IF($C12=83,0,ACU12+IF(AND($G12=83,$E12=1),1,0))</f>
        <v/>
      </c>
      <c r="ACV13">
        <f>IF($C12=84,0,ACV12+IF(AND($G12=84,$E12=1),1,0))</f>
        <v/>
      </c>
      <c r="ACW13">
        <f>IF($C12=85,0,ACW12+IF(AND($G12=85,$E12=1),1,0))</f>
        <v/>
      </c>
      <c r="ACX13">
        <f>IF($C12=86,0,ACX12+IF(AND($G12=86,$E12=1),1,0))</f>
        <v/>
      </c>
      <c r="ACY13">
        <f>IF($C12=87,0,ACY12+IF(AND($G12=87,$E12=1),1,0))</f>
        <v/>
      </c>
      <c r="ACZ13">
        <f>IF($C12=88,0,ACZ12+IF(AND($G12=88,$E12=1),1,0))</f>
        <v/>
      </c>
      <c r="ADA13">
        <f>IF($C12=89,0,ADA12+IF(AND($G12=89,$E12=1),1,0))</f>
        <v/>
      </c>
      <c r="ADB13">
        <f>IF($C12=90,0,ADB12+IF(AND($G12=90,$E12=1),1,0))</f>
        <v/>
      </c>
      <c r="ADC13">
        <f>IF($C12=91,0,ADC12+IF(AND($G12=91,$E12=1),1,0))</f>
        <v/>
      </c>
      <c r="ADD13">
        <f>IF($C12=92,0,ADD12+IF(AND($G12=92,$E12=1),1,0))</f>
        <v/>
      </c>
      <c r="ADE13">
        <f>IF($C12=93,0,ADE12+IF(AND($G12=93,$E12=1),1,0))</f>
        <v/>
      </c>
      <c r="ADF13">
        <f>IF($C12=94,0,ADF12+IF(AND($G12=94,$E12=1),1,0))</f>
        <v/>
      </c>
      <c r="ADG13">
        <f>IF($C12=95,0,ADG12+IF(AND($G12=95,$E12=1),1,0))</f>
        <v/>
      </c>
      <c r="ADH13">
        <f>IF($C12=96,0,ADH12+IF(AND($G12=96,$E12=1),1,0))</f>
        <v/>
      </c>
      <c r="ADI13">
        <f>IF($C12=97,0,ADI12+IF(AND($G12=97,$E12=1),1,0))</f>
        <v/>
      </c>
      <c r="ADJ13">
        <f>IF($C12=98,0,ADJ12+IF(AND($G12=98,$E12=1),1,0))</f>
        <v/>
      </c>
      <c r="ADK13">
        <f>IF($C12=99,0,ADK12+IF(AND($G12=99,$E12=1),1,0))</f>
        <v/>
      </c>
      <c r="ADL13">
        <f>IF($C12=100,0,ADL12+IF(AND($G12=100,$E12=1),1,0))</f>
        <v/>
      </c>
      <c r="ADM13">
        <f>IF($C12=101,0,ADM12+IF(AND($G12=101,$E12=1),1,0))</f>
        <v/>
      </c>
      <c r="ADN13">
        <f>IF($C12=102,0,ADN12+IF(AND($G12=102,$E12=1),1,0))</f>
        <v/>
      </c>
      <c r="ADO13">
        <f>IF($C12=103,0,ADO12+IF(AND($G12=103,$E12=1),1,0))</f>
        <v/>
      </c>
      <c r="ADP13">
        <f>IF($C12=104,0,ADP12+IF(AND($G12=104,$E12=1),1,0))</f>
        <v/>
      </c>
      <c r="ADQ13">
        <f>IF($C12=105,0,ADQ12+IF(AND($G12=105,$E12=1),1,0))</f>
        <v/>
      </c>
      <c r="ADR13">
        <f>IF($C12=106,0,ADR12+IF(AND($G12=106,$E12=1),1,0))</f>
        <v/>
      </c>
      <c r="ADS13">
        <f>IF($C12=107,0,ADS12+IF(AND($G12=107,$E12=1),1,0))</f>
        <v/>
      </c>
      <c r="ADT13">
        <f>IF($C12=108,0,ADT12+IF(AND($G12=108,$E12=1),1,0))</f>
        <v/>
      </c>
      <c r="ADU13">
        <f>IF($C12=109,0,ADU12+IF(AND($G12=109,$E12=1),1,0))</f>
        <v/>
      </c>
      <c r="ADV13">
        <f>IF($C12=110,0,ADV12+IF(AND($G12=110,$E12=1),1,0))</f>
        <v/>
      </c>
      <c r="ADW13">
        <f>IF($C12=111,0,ADW12+IF(AND($G12=111,$E12=1),1,0))</f>
        <v/>
      </c>
      <c r="ADX13">
        <f>IF($C12=112,0,ADX12+IF(AND($G12=112,$E12=1),1,0))</f>
        <v/>
      </c>
      <c r="ADY13">
        <f>IF($C12=113,0,ADY12+IF(AND($G12=113,$E12=1),1,0))</f>
        <v/>
      </c>
      <c r="ADZ13">
        <f>IF($C12=114,0,ADZ12+IF(AND($G12=114,$E12=1),1,0))</f>
        <v/>
      </c>
      <c r="AEA13">
        <f>IF($C12=115,0,AEA12+IF(AND($G12=115,$E12=1),1,0))</f>
        <v/>
      </c>
      <c r="AEB13">
        <f>IF($C12=116,0,AEB12+IF(AND($G12=116,$E12=1),1,0))</f>
        <v/>
      </c>
      <c r="AEC13">
        <f>IF($C12=117,0,AEC12+IF(AND($G12=117,$E12=1),1,0))</f>
        <v/>
      </c>
      <c r="AED13">
        <f>IF($C12=118,0,AED12+IF(AND($G12=118,$E12=1),1,0))</f>
        <v/>
      </c>
      <c r="AEE13">
        <f>IF($C12=119,0,AEE12+IF(AND($G12=119,$E12=1),1,0))</f>
        <v/>
      </c>
      <c r="AEF13">
        <f>IF($C12=120,0,AEF12+IF(AND($G12=120,$E12=1),1,0))</f>
        <v/>
      </c>
      <c r="AEG13">
        <f>IF($C12=121,0,AEG12+IF(AND($G12=121,$E12=1),1,0))</f>
        <v/>
      </c>
      <c r="AEH13">
        <f>IF($C12=122,0,AEH12+IF(AND($G12=122,$E12=1),1,0))</f>
        <v/>
      </c>
      <c r="AEI13">
        <f>IF($C12=123,0,AEI12+IF(AND($G12=123,$E12=1),1,0))</f>
        <v/>
      </c>
      <c r="AEJ13">
        <f>IF($C12=124,0,AEJ12+IF(AND($G12=124,$E12=1),1,0))</f>
        <v/>
      </c>
      <c r="AEK13">
        <f>IF($C12=125,0,AEK12+IF(AND($G12=125,$E12=1),1,0))</f>
        <v/>
      </c>
      <c r="AEL13">
        <f>IF($C12=126,0,AEL12+IF(AND($G12=126,$E12=1),1,0))</f>
        <v/>
      </c>
      <c r="AEM13">
        <f>IF($C12=127,0,AEM12+IF(AND($G12=127,$E12=1),1,0))</f>
        <v/>
      </c>
      <c r="AEN13">
        <f>IF($C12=128,0,AEN12+IF(AND($G12=128,$E12=1),1,0))</f>
        <v/>
      </c>
      <c r="AEO13">
        <f>IF($C12=129,0,AEO12+IF(AND($G12=129,$E12=1),1,0))</f>
        <v/>
      </c>
      <c r="AEP13">
        <f>IF($C12=130,0,AEP12+IF(AND($G12=130,$E12=1),1,0))</f>
        <v/>
      </c>
      <c r="AEQ13">
        <f>IF($C12=131,0,AEQ12+IF(AND($G12=131,$E12=1),1,0))</f>
        <v/>
      </c>
      <c r="AER13">
        <f>IF($C12=132,0,AER12+IF(AND($G12=132,$E12=1),1,0))</f>
        <v/>
      </c>
      <c r="AES13">
        <f>IF($C12=133,0,AES12+IF(AND($G12=133,$E12=1),1,0))</f>
        <v/>
      </c>
      <c r="AET13">
        <f>IF($C12=134,0,AET12+IF(AND($G12=134,$E12=1),1,0))</f>
        <v/>
      </c>
      <c r="AEU13">
        <f>IF($C12=135,0,AEU12+IF(AND($G12=135,$E12=1),1,0))</f>
        <v/>
      </c>
      <c r="AEV13">
        <f>IF($C12=136,0,AEV12+IF(AND($G12=136,$E12=1),1,0))</f>
        <v/>
      </c>
      <c r="AEW13">
        <f>IF($C12=137,0,AEW12+IF(AND($G12=137,$E12=1),1,0))</f>
        <v/>
      </c>
      <c r="AEX13">
        <f>IF($C12=138,0,AEX12+IF(AND($G12=138,$E12=1),1,0))</f>
        <v/>
      </c>
      <c r="AEY13">
        <f>IF($C12=139,0,AEY12+IF(AND($G12=139,$E12=1),1,0))</f>
        <v/>
      </c>
      <c r="AEZ13">
        <f>IF($C12=140,0,AEZ12+IF(AND($G12=140,$E12=1),1,0))</f>
        <v/>
      </c>
      <c r="AFA13">
        <f>IF($C12=141,0,AFA12+IF(AND($G12=141,$E12=1),1,0))</f>
        <v/>
      </c>
      <c r="AFB13">
        <f>IF($C12=142,0,AFB12+IF(AND($G12=142,$E12=1),1,0))</f>
        <v/>
      </c>
      <c r="AFC13">
        <f>IF($C12=143,0,AFC12+IF(AND($G12=143,$E12=1),1,0))</f>
        <v/>
      </c>
      <c r="AFD13">
        <f>IF($C12=144,0,AFD12+IF(AND($G12=144,$E12=1),1,0))</f>
        <v/>
      </c>
      <c r="AFF13">
        <f>IF('calcA'!D$106=1,DC13+ZR13,1)</f>
        <v/>
      </c>
      <c r="AFG13">
        <f>IF('calcA'!E$106=1,DD13+ZS13,1)</f>
        <v/>
      </c>
      <c r="AFH13">
        <f>IF('calcA'!F$106=1,DE13+ZT13,1)</f>
        <v/>
      </c>
      <c r="AFI13">
        <f>IF('calcA'!G$106=1,DF13+ZU13,1)</f>
        <v/>
      </c>
      <c r="AFJ13">
        <f>IF('calcA'!H$106=1,DG13+ZV13,1)</f>
        <v/>
      </c>
      <c r="AFK13">
        <f>IF('calcA'!I$106=1,DH13+ZW13,1)</f>
        <v/>
      </c>
      <c r="AFL13">
        <f>IF('calcA'!J$106=1,DI13+ZX13,1)</f>
        <v/>
      </c>
      <c r="AFM13">
        <f>IF('calcA'!K$106=1,DJ13+ZY13,1)</f>
        <v/>
      </c>
      <c r="AFN13">
        <f>IF('calcA'!L$106=1,DK13+ZZ13,1)</f>
        <v/>
      </c>
      <c r="AFO13">
        <f>IF('calcA'!M$106=1,DL13+AAA13,1)</f>
        <v/>
      </c>
      <c r="AFP13">
        <f>IF('calcA'!N$106=1,DM13+AAB13,1)</f>
        <v/>
      </c>
      <c r="AFQ13">
        <f>IF('calcA'!O$106=1,DN13+AAC13,1)</f>
        <v/>
      </c>
      <c r="AFR13">
        <f>IF('calcA'!P$106=1,DO13+AAD13,1)</f>
        <v/>
      </c>
      <c r="AFS13">
        <f>IF('calcA'!Q$106=1,DP13+AAE13,1)</f>
        <v/>
      </c>
      <c r="AFT13">
        <f>IF('calcA'!R$106=1,DQ13+AAF13,1)</f>
        <v/>
      </c>
      <c r="AFU13">
        <f>IF('calcA'!S$106=1,DR13+AAG13,1)</f>
        <v/>
      </c>
      <c r="AFV13">
        <f>IF('calcA'!T$106=1,DS13+AAH13,1)</f>
        <v/>
      </c>
      <c r="AFW13">
        <f>IF('calcA'!U$106=1,DT13+AAI13,1)</f>
        <v/>
      </c>
      <c r="AFX13">
        <f>IF('calcA'!V$106=1,DU13+AAJ13,1)</f>
        <v/>
      </c>
      <c r="AFY13">
        <f>IF('calcA'!W$106=1,DV13+AAK13,1)</f>
        <v/>
      </c>
      <c r="AFZ13">
        <f>IF('calcA'!X$106=1,DW13+AAL13,1)</f>
        <v/>
      </c>
      <c r="AGA13">
        <f>IF('calcA'!Y$106=1,DX13+AAM13,1)</f>
        <v/>
      </c>
      <c r="AGB13">
        <f>IF('calcA'!Z$106=1,DY13+AAN13,1)</f>
        <v/>
      </c>
      <c r="AGC13">
        <f>IF('calcA'!AA$106=1,DZ13+AAO13,1)</f>
        <v/>
      </c>
      <c r="AGD13">
        <f>IF('calcA'!AB$106=1,EA13+AAP13,1)</f>
        <v/>
      </c>
      <c r="AGE13">
        <f>IF('calcA'!AC$106=1,EB13+AAQ13,1)</f>
        <v/>
      </c>
      <c r="AGF13">
        <f>IF('calcA'!AD$106=1,EC13+AAR13,1)</f>
        <v/>
      </c>
      <c r="AGG13">
        <f>IF('calcA'!AE$106=1,ED13+AAS13,1)</f>
        <v/>
      </c>
      <c r="AGH13">
        <f>IF('calcA'!AF$106=1,EE13+AAT13,1)</f>
        <v/>
      </c>
      <c r="AGI13">
        <f>IF('calcA'!AG$106=1,EF13+AAU13,1)</f>
        <v/>
      </c>
      <c r="AGJ13">
        <f>IF('calcA'!AH$106=1,EG13+AAV13,1)</f>
        <v/>
      </c>
      <c r="AGK13">
        <f>IF('calcA'!AI$106=1,EH13+AAW13,1)</f>
        <v/>
      </c>
      <c r="AGL13">
        <f>IF('calcA'!AJ$106=1,EI13+AAX13,1)</f>
        <v/>
      </c>
      <c r="AGM13">
        <f>IF('calcA'!AK$106=1,EJ13+AAY13,1)</f>
        <v/>
      </c>
      <c r="AGN13">
        <f>IF('calcA'!AL$106=1,EK13+AAZ13,1)</f>
        <v/>
      </c>
      <c r="AGO13">
        <f>IF('calcA'!AM$106=1,EL13+ABA13,1)</f>
        <v/>
      </c>
      <c r="AGP13">
        <f>IF('calcA'!AN$106=1,EM13+ABB13,1)</f>
        <v/>
      </c>
      <c r="AGQ13">
        <f>IF('calcA'!AO$106=1,EN13+ABC13,1)</f>
        <v/>
      </c>
      <c r="AGR13">
        <f>IF('calcA'!AP$106=1,EO13+ABD13,1)</f>
        <v/>
      </c>
      <c r="AGS13">
        <f>IF('calcA'!AQ$106=1,EP13+ABE13,1)</f>
        <v/>
      </c>
      <c r="AGT13">
        <f>IF('calcA'!AR$106=1,EQ13+ABF13,1)</f>
        <v/>
      </c>
      <c r="AGU13">
        <f>IF('calcA'!AS$106=1,ER13+ABG13,1)</f>
        <v/>
      </c>
      <c r="AGV13">
        <f>IF('calcA'!AT$106=1,ES13+ABH13,1)</f>
        <v/>
      </c>
      <c r="AGW13">
        <f>IF('calcA'!AU$106=1,ET13+ABI13,1)</f>
        <v/>
      </c>
      <c r="AGX13">
        <f>IF('calcA'!AV$106=1,EU13+ABJ13,1)</f>
        <v/>
      </c>
      <c r="AGY13">
        <f>IF('calcA'!AW$106=1,EV13+ABK13,1)</f>
        <v/>
      </c>
      <c r="AGZ13">
        <f>IF('calcA'!AX$106=1,EW13+ABL13,1)</f>
        <v/>
      </c>
      <c r="AHA13">
        <f>IF('calcA'!AY$106=1,EX13+ABM13,1)</f>
        <v/>
      </c>
      <c r="AHB13">
        <f>IF('calcA'!AZ$106=1,EY13+ABN13,1)</f>
        <v/>
      </c>
      <c r="AHC13">
        <f>IF('calcA'!BA$106=1,EZ13+ABO13,1)</f>
        <v/>
      </c>
      <c r="AHD13">
        <f>IF('calcA'!BB$106=1,FA13+ABP13,1)</f>
        <v/>
      </c>
      <c r="AHE13">
        <f>IF('calcA'!BC$106=1,FB13+ABQ13,1)</f>
        <v/>
      </c>
      <c r="AHF13">
        <f>IF('calcA'!BD$106=1,FC13+ABR13,1)</f>
        <v/>
      </c>
      <c r="AHG13">
        <f>IF('calcA'!BE$106=1,FD13+ABS13,1)</f>
        <v/>
      </c>
      <c r="AHH13">
        <f>IF('calcA'!BF$106=1,FE13+ABT13,1)</f>
        <v/>
      </c>
      <c r="AHI13">
        <f>IF('calcA'!BG$106=1,FF13+ABU13,1)</f>
        <v/>
      </c>
      <c r="AHJ13">
        <f>IF('calcA'!BH$106=1,FG13+ABV13,1)</f>
        <v/>
      </c>
      <c r="AHK13">
        <f>IF('calcA'!BI$106=1,FH13+ABW13,1)</f>
        <v/>
      </c>
      <c r="AHL13">
        <f>IF('calcA'!BJ$106=1,FI13+ABX13,1)</f>
        <v/>
      </c>
      <c r="AHM13">
        <f>IF('calcA'!BK$106=1,FJ13+ABY13,1)</f>
        <v/>
      </c>
      <c r="AHN13">
        <f>IF('calcA'!BL$106=1,FK13+ABZ13,1)</f>
        <v/>
      </c>
      <c r="AHO13">
        <f>IF('calcA'!BM$106=1,FL13+ACA13,1)</f>
        <v/>
      </c>
      <c r="AHP13">
        <f>IF('calcA'!BN$106=1,FM13+ACB13,1)</f>
        <v/>
      </c>
      <c r="AHQ13">
        <f>IF('calcA'!BO$106=1,FN13+ACC13,1)</f>
        <v/>
      </c>
      <c r="AHR13">
        <f>IF('calcA'!BP$106=1,FO13+ACD13,1)</f>
        <v/>
      </c>
      <c r="AHS13">
        <f>IF('calcA'!BQ$106=1,FP13+ACE13,1)</f>
        <v/>
      </c>
      <c r="AHT13">
        <f>IF('calcA'!BR$106=1,FQ13+ACF13,1)</f>
        <v/>
      </c>
      <c r="AHU13">
        <f>IF('calcA'!BS$106=1,FR13+ACG13,1)</f>
        <v/>
      </c>
      <c r="AHV13">
        <f>IF('calcA'!BT$106=1,FS13+ACH13,1)</f>
        <v/>
      </c>
      <c r="AHW13">
        <f>IF('calcA'!BU$106=1,FT13+ACI13,1)</f>
        <v/>
      </c>
      <c r="AHX13">
        <f>IF('calcA'!BV$106=1,FU13+ACJ13,1)</f>
        <v/>
      </c>
      <c r="AHY13">
        <f>IF('calcA'!BW$106=1,FV13+ACK13,1)</f>
        <v/>
      </c>
      <c r="AHZ13">
        <f>IF('calcA'!BX$106=1,FW13+ACL13,1)</f>
        <v/>
      </c>
      <c r="AIA13">
        <f>IF('calcA'!BY$106=1,FX13+ACM13,1)</f>
        <v/>
      </c>
      <c r="AIB13">
        <f>IF('calcA'!BZ$106=1,FY13+ACN13,1)</f>
        <v/>
      </c>
      <c r="AIC13">
        <f>IF('calcA'!CA$106=1,FZ13+ACO13,1)</f>
        <v/>
      </c>
      <c r="AID13">
        <f>IF('calcA'!CB$106=1,GA13+ACP13,1)</f>
        <v/>
      </c>
      <c r="AIE13">
        <f>IF('calcA'!CC$106=1,GB13+ACQ13,1)</f>
        <v/>
      </c>
      <c r="AIF13">
        <f>IF('calcA'!CD$106=1,GC13+ACR13,1)</f>
        <v/>
      </c>
      <c r="AIG13">
        <f>IF('calcA'!CE$106=1,GD13+ACS13,1)</f>
        <v/>
      </c>
      <c r="AIH13">
        <f>IF('calcA'!CF$106=1,GE13+ACT13,1)</f>
        <v/>
      </c>
      <c r="AII13">
        <f>IF('calcA'!CG$106=1,GF13+ACU13,1)</f>
        <v/>
      </c>
      <c r="AIJ13">
        <f>IF('calcA'!CH$106=1,GG13+ACV13,1)</f>
        <v/>
      </c>
      <c r="AIK13">
        <f>IF('calcA'!CI$106=1,GH13+ACW13,1)</f>
        <v/>
      </c>
      <c r="AIL13">
        <f>IF('calcA'!CJ$106=1,GI13+ACX13,1)</f>
        <v/>
      </c>
      <c r="AIM13">
        <f>IF('calcA'!CK$106=1,GJ13+ACY13,1)</f>
        <v/>
      </c>
      <c r="AIN13">
        <f>IF('calcA'!CL$106=1,GK13+ACZ13,1)</f>
        <v/>
      </c>
      <c r="AIO13">
        <f>IF('calcA'!CM$106=1,GL13+ADA13,1)</f>
        <v/>
      </c>
      <c r="AIP13">
        <f>IF('calcA'!CN$106=1,GM13+ADB13,1)</f>
        <v/>
      </c>
      <c r="AIQ13">
        <f>IF('calcA'!CO$106=1,GN13+ADC13,1)</f>
        <v/>
      </c>
      <c r="AIR13">
        <f>IF('calcA'!CP$106=1,GO13+ADD13,1)</f>
        <v/>
      </c>
      <c r="AIS13">
        <f>IF('calcA'!CQ$106=1,GP13+ADE13,1)</f>
        <v/>
      </c>
      <c r="AIT13">
        <f>IF('calcA'!CR$106=1,GQ13+ADF13,1)</f>
        <v/>
      </c>
      <c r="AIU13">
        <f>IF('calcA'!CS$106=1,GR13+ADG13,1)</f>
        <v/>
      </c>
      <c r="AIV13">
        <f>IF('calcA'!CT$106=1,GS13+ADH13,1)</f>
        <v/>
      </c>
      <c r="AIW13">
        <f>IF('calcA'!CU$106=1,GT13+ADI13,1)</f>
        <v/>
      </c>
      <c r="AIX13">
        <f>IF('calcA'!CV$106=1,GU13+ADJ13,1)</f>
        <v/>
      </c>
      <c r="AIY13">
        <f>IF('calcA'!CW$106=1,GV13+ADK13,1)</f>
        <v/>
      </c>
      <c r="AIZ13">
        <f>IF('calcA'!CX$106=1,GW13+ADL13,1)</f>
        <v/>
      </c>
      <c r="AJA13">
        <f>IF('calcA'!CY$106=1,GX13+ADM13,1)</f>
        <v/>
      </c>
      <c r="AJB13">
        <f>IF('calcA'!CZ$106=1,GY13+ADN13,1)</f>
        <v/>
      </c>
      <c r="AJC13">
        <f>IF('calcA'!DA$106=1,GZ13+ADO13,1)</f>
        <v/>
      </c>
      <c r="AJD13">
        <f>IF('calcA'!DB$106=1,HA13+ADP13,1)</f>
        <v/>
      </c>
      <c r="AJE13">
        <f>IF('calcA'!DC$106=1,HB13+ADQ13,1)</f>
        <v/>
      </c>
      <c r="AJF13">
        <f>IF('calcA'!DD$106=1,HC13+ADR13,1)</f>
        <v/>
      </c>
      <c r="AJG13">
        <f>IF('calcA'!DE$106=1,HD13+ADS13,1)</f>
        <v/>
      </c>
      <c r="AJH13">
        <f>IF('calcA'!DF$106=1,HE13+ADT13,1)</f>
        <v/>
      </c>
      <c r="AJI13">
        <f>IF('calcA'!DG$106=1,HF13+ADU13,1)</f>
        <v/>
      </c>
      <c r="AJJ13">
        <f>IF('calcA'!DH$106=1,HG13+ADV13,1)</f>
        <v/>
      </c>
      <c r="AJK13">
        <f>IF('calcA'!DI$106=1,HH13+ADW13,1)</f>
        <v/>
      </c>
      <c r="AJL13">
        <f>IF('calcA'!DJ$106=1,HI13+ADX13,1)</f>
        <v/>
      </c>
      <c r="AJM13">
        <f>IF('calcA'!DK$106=1,HJ13+ADY13,1)</f>
        <v/>
      </c>
      <c r="AJN13">
        <f>IF('calcA'!DL$106=1,HK13+ADZ13,1)</f>
        <v/>
      </c>
      <c r="AJO13">
        <f>IF('calcA'!DM$106=1,HL13+AEA13,1)</f>
        <v/>
      </c>
      <c r="AJP13">
        <f>IF('calcA'!DN$106=1,HM13+AEB13,1)</f>
        <v/>
      </c>
      <c r="AJQ13">
        <f>IF('calcA'!DO$106=1,HN13+AEC13,1)</f>
        <v/>
      </c>
      <c r="AJR13">
        <f>IF('calcA'!DP$106=1,HO13+AED13,1)</f>
        <v/>
      </c>
      <c r="AJS13">
        <f>IF('calcA'!DQ$106=1,HP13+AEE13,1)</f>
        <v/>
      </c>
      <c r="AJT13">
        <f>IF('calcA'!DR$106=1,HQ13+AEF13,1)</f>
        <v/>
      </c>
      <c r="AJU13">
        <f>IF('calcA'!DS$106=1,HR13+AEG13,1)</f>
        <v/>
      </c>
      <c r="AJV13">
        <f>IF('calcA'!DT$106=1,HS13+AEH13,1)</f>
        <v/>
      </c>
      <c r="AJW13">
        <f>IF('calcA'!DU$106=1,HT13+AEI13,1)</f>
        <v/>
      </c>
      <c r="AJX13">
        <f>IF('calcA'!DV$106=1,HU13+AEJ13,1)</f>
        <v/>
      </c>
      <c r="AJY13">
        <f>IF('calcA'!DW$106=1,HV13+AEK13,1)</f>
        <v/>
      </c>
      <c r="AJZ13">
        <f>IF('calcA'!DX$106=1,HW13+AEL13,1)</f>
        <v/>
      </c>
      <c r="AKA13">
        <f>IF('calcA'!DY$106=1,HX13+AEM13,1)</f>
        <v/>
      </c>
      <c r="AKB13">
        <f>IF('calcA'!DZ$106=1,HY13+AEN13,1)</f>
        <v/>
      </c>
      <c r="AKC13">
        <f>IF('calcA'!EA$106=1,HZ13+AEO13,1)</f>
        <v/>
      </c>
      <c r="AKD13">
        <f>IF('calcA'!EB$106=1,IA13+AEP13,1)</f>
        <v/>
      </c>
      <c r="AKE13">
        <f>IF('calcA'!EC$106=1,IB13+AEQ13,1)</f>
        <v/>
      </c>
      <c r="AKF13">
        <f>IF('calcA'!ED$106=1,IC13+AER13,1)</f>
        <v/>
      </c>
      <c r="AKG13">
        <f>IF('calcA'!EE$106=1,ID13+AES13,1)</f>
        <v/>
      </c>
      <c r="AKH13">
        <f>IF('calcA'!EF$106=1,IE13+AET13,1)</f>
        <v/>
      </c>
      <c r="AKI13">
        <f>IF('calcA'!EG$106=1,IF13+AEU13,1)</f>
        <v/>
      </c>
      <c r="AKJ13">
        <f>IF('calcA'!EH$106=1,IG13+AEV13,1)</f>
        <v/>
      </c>
      <c r="AKK13">
        <f>IF('calcA'!EI$106=1,IH13+AEW13,1)</f>
        <v/>
      </c>
      <c r="AKL13">
        <f>IF('calcA'!EJ$106=1,II13+AEX13,1)</f>
        <v/>
      </c>
      <c r="AKM13">
        <f>IF('calcA'!EK$106=1,IJ13+AEY13,1)</f>
        <v/>
      </c>
      <c r="AKN13">
        <f>IF('calcA'!EL$106=1,IK13+AEZ13,1)</f>
        <v/>
      </c>
      <c r="AKO13">
        <f>IF('calcA'!EM$106=1,IL13+AFA13,1)</f>
        <v/>
      </c>
      <c r="AKP13">
        <f>IF('calcA'!EN$106=1,IM13+AFB13,1)</f>
        <v/>
      </c>
      <c r="AKQ13">
        <f>IF('calcA'!EO$106=1,IN13+AFC13,1)</f>
        <v/>
      </c>
      <c r="AKR13">
        <f>IF('calcA'!EP$106=1,IO13+AFD13,1)</f>
        <v/>
      </c>
      <c r="AKS13" t="n">
        <v>1</v>
      </c>
    </row>
    <row r="14">
      <c r="A14" t="n">
        <v>12</v>
      </c>
      <c r="B14">
        <f>IF(MIN(BM14:CZ14)&gt;=1000000000,0,MATCH(MIN(BM14:CZ14),BM14:CZ14,0))</f>
        <v/>
      </c>
      <c r="C14">
        <f>IF(MIN(OF14:TS14)&gt;=1000000000,0,MATCH(MIN(OF14:TS14),OF14:TS14,0))</f>
        <v/>
      </c>
      <c r="D14">
        <f>IF(C14&gt;0,INDEX('calcA'!$D$5:$EQ$5,C14),0)</f>
        <v/>
      </c>
      <c r="E14">
        <f>IF(B14=0,0,INDEX('calcA'!$IQ$10:$IQ$54,B14))</f>
        <v/>
      </c>
      <c r="F14">
        <f>IF(B14=0,0,INDEX('calcA'!$IP$10:$IP$54,B14))</f>
        <v/>
      </c>
      <c r="G14">
        <f>IF(AND(C14&gt;0,E14&gt;0),IF(AND(INDEX('calcA'!$D$106:$EQ$106,C14)=1,INDEX($IQ14:$OD14,C14)=1),C14+1,0),0)</f>
        <v/>
      </c>
      <c r="H14">
        <f>IF(B14=0,0,INDEX('calcA'!$IW$10:$IW$54,B14))</f>
        <v/>
      </c>
      <c r="U14">
        <f>IF(B14=0,0,INDEX('calcA'!$IX$10:$IX$54,B14))</f>
        <v/>
      </c>
      <c r="V14">
        <f>IF(B14=0,0,INDEX('calcA'!$JF$10:$JF$54,B14))</f>
        <v/>
      </c>
      <c r="W14">
        <f>IF(B14=0,0,IF(IF(E14=2,SUMPRODUCT(INDEX('calcA'!$D$60:$EQ$99,B14,0),$DB14:$IO14,$IQ14:$OD14),SUMPRODUCT(INDEX('calcA'!$D$60:$EQ$99,B14,0),$DB14:$IO14))=0,1,0))</f>
        <v/>
      </c>
      <c r="X14">
        <f>MAX(X13,IF($B13=1,1,0))</f>
        <v/>
      </c>
      <c r="Y14">
        <f>MAX(Y13,IF($B13=2,1,0))</f>
        <v/>
      </c>
      <c r="Z14">
        <f>MAX(Z13,IF($B13=3,1,0))</f>
        <v/>
      </c>
      <c r="AA14">
        <f>MAX(AA13,IF($B13=4,1,0))</f>
        <v/>
      </c>
      <c r="AB14">
        <f>MAX(AB13,IF($B13=5,1,0))</f>
        <v/>
      </c>
      <c r="AC14">
        <f>MAX(AC13,IF($B13=6,1,0))</f>
        <v/>
      </c>
      <c r="AD14">
        <f>MAX(AD13,IF($B13=7,1,0))</f>
        <v/>
      </c>
      <c r="AE14">
        <f>MAX(AE13,IF($B13=8,1,0))</f>
        <v/>
      </c>
      <c r="AF14">
        <f>MAX(AF13,IF($B13=9,1,0))</f>
        <v/>
      </c>
      <c r="AG14">
        <f>MAX(AG13,IF($B13=10,1,0))</f>
        <v/>
      </c>
      <c r="AH14">
        <f>MAX(AH13,IF($B13=11,1,0))</f>
        <v/>
      </c>
      <c r="AI14">
        <f>MAX(AI13,IF($B13=12,1,0))</f>
        <v/>
      </c>
      <c r="AJ14">
        <f>MAX(AJ13,IF($B13=13,1,0))</f>
        <v/>
      </c>
      <c r="AK14">
        <f>MAX(AK13,IF($B13=14,1,0))</f>
        <v/>
      </c>
      <c r="AL14">
        <f>MAX(AL13,IF($B13=15,1,0))</f>
        <v/>
      </c>
      <c r="AM14">
        <f>MAX(AM13,IF($B13=16,1,0))</f>
        <v/>
      </c>
      <c r="AN14">
        <f>MAX(AN13,IF($B13=17,1,0))</f>
        <v/>
      </c>
      <c r="AO14">
        <f>MAX(AO13,IF($B13=18,1,0))</f>
        <v/>
      </c>
      <c r="AP14">
        <f>MAX(AP13,IF($B13=19,1,0))</f>
        <v/>
      </c>
      <c r="AQ14">
        <f>MAX(AQ13,IF($B13=20,1,0))</f>
        <v/>
      </c>
      <c r="AR14">
        <f>MAX(AR13,IF($B13=21,1,0))</f>
        <v/>
      </c>
      <c r="AS14">
        <f>MAX(AS13,IF($B13=22,1,0))</f>
        <v/>
      </c>
      <c r="AT14">
        <f>MAX(AT13,IF($B13=23,1,0))</f>
        <v/>
      </c>
      <c r="AU14">
        <f>MAX(AU13,IF($B13=24,1,0))</f>
        <v/>
      </c>
      <c r="AV14">
        <f>MAX(AV13,IF($B13=25,1,0))</f>
        <v/>
      </c>
      <c r="AW14">
        <f>MAX(AW13,IF($B13=26,1,0))</f>
        <v/>
      </c>
      <c r="AX14">
        <f>MAX(AX13,IF($B13=27,1,0))</f>
        <v/>
      </c>
      <c r="AY14">
        <f>MAX(AY13,IF($B13=28,1,0))</f>
        <v/>
      </c>
      <c r="AZ14">
        <f>MAX(AZ13,IF($B13=29,1,0))</f>
        <v/>
      </c>
      <c r="BA14">
        <f>MAX(BA13,IF($B13=30,1,0))</f>
        <v/>
      </c>
      <c r="BB14">
        <f>MAX(BB13,IF($B13=31,1,0))</f>
        <v/>
      </c>
      <c r="BC14">
        <f>MAX(BC13,IF($B13=32,1,0))</f>
        <v/>
      </c>
      <c r="BD14">
        <f>MAX(BD13,IF($B13=33,1,0))</f>
        <v/>
      </c>
      <c r="BE14">
        <f>MAX(BE13,IF($B13=34,1,0))</f>
        <v/>
      </c>
      <c r="BF14">
        <f>MAX(BF13,IF($B13=35,1,0))</f>
        <v/>
      </c>
      <c r="BG14">
        <f>MAX(BG13,IF($B13=36,1,0))</f>
        <v/>
      </c>
      <c r="BH14">
        <f>MAX(BH13,IF($B13=37,1,0))</f>
        <v/>
      </c>
      <c r="BI14">
        <f>MAX(BI13,IF($B13=38,1,0))</f>
        <v/>
      </c>
      <c r="BJ14">
        <f>MAX(BJ13,IF($B13=39,1,0))</f>
        <v/>
      </c>
      <c r="BK14">
        <f>MAX(BK13,IF($B13=40,1,0))</f>
        <v/>
      </c>
      <c r="BM14">
        <f>IF(OR(X14=1,calcA!$A$6=0),1000000000,IF('calcA'!$JF$10=1,0,100000000)+IF('calcA'!$IQ$10=2,SUMPRODUCT('calcA'!$D$60:$EQ$60,$DB14:$IO14,$IQ14:$OD14)*1000+SUMPRODUCT('calcA'!$D$60:$EQ$60,$DB14:$IO14+$ZQ14:$AFD14,$AFF14:$AKS14),SUMPRODUCT('calcA'!$D$60:$EQ$60,$DB14:$IO14*1001+$ZQ14:$AFD14))*100+1)</f>
        <v/>
      </c>
      <c r="BN14">
        <f>IF(OR(Y14=1,calcA!$A$6=0),1000000000,IF('calcA'!$JF$11=1,0,100000000)+IF('calcA'!$IQ$11=2,SUMPRODUCT('calcA'!$D$61:$EQ$61,$DB14:$IO14,$IQ14:$OD14)*1000+SUMPRODUCT('calcA'!$D$61:$EQ$61,$DB14:$IO14+$ZQ14:$AFD14,$AFF14:$AKS14),SUMPRODUCT('calcA'!$D$61:$EQ$61,$DB14:$IO14*1001+$ZQ14:$AFD14))*100+2)</f>
        <v/>
      </c>
      <c r="BO14">
        <f>IF(OR(Z14=1,calcA!$A$6=0),1000000000,IF('calcA'!$JF$12=1,0,100000000)+IF('calcA'!$IQ$12=2,SUMPRODUCT('calcA'!$D$62:$EQ$62,$DB14:$IO14,$IQ14:$OD14)*1000+SUMPRODUCT('calcA'!$D$62:$EQ$62,$DB14:$IO14+$ZQ14:$AFD14,$AFF14:$AKS14),SUMPRODUCT('calcA'!$D$62:$EQ$62,$DB14:$IO14*1001+$ZQ14:$AFD14))*100+3)</f>
        <v/>
      </c>
      <c r="BP14">
        <f>IF(OR(AA14=1,calcA!$A$6=0),1000000000,IF('calcA'!$JF$13=1,0,100000000)+IF('calcA'!$IQ$13=2,SUMPRODUCT('calcA'!$D$63:$EQ$63,$DB14:$IO14,$IQ14:$OD14)*1000+SUMPRODUCT('calcA'!$D$63:$EQ$63,$DB14:$IO14+$ZQ14:$AFD14,$AFF14:$AKS14),SUMPRODUCT('calcA'!$D$63:$EQ$63,$DB14:$IO14*1001+$ZQ14:$AFD14))*100+4)</f>
        <v/>
      </c>
      <c r="BQ14">
        <f>IF(OR(AB14=1,calcA!$A$6=0),1000000000,IF('calcA'!$JF$14=1,0,100000000)+IF('calcA'!$IQ$14=2,SUMPRODUCT('calcA'!$D$64:$EQ$64,$DB14:$IO14,$IQ14:$OD14)*1000+SUMPRODUCT('calcA'!$D$64:$EQ$64,$DB14:$IO14+$ZQ14:$AFD14,$AFF14:$AKS14),SUMPRODUCT('calcA'!$D$64:$EQ$64,$DB14:$IO14*1001+$ZQ14:$AFD14))*100+5)</f>
        <v/>
      </c>
      <c r="BR14">
        <f>IF(OR(AC14=1,calcA!$A$6=0),1000000000,IF('calcA'!$JF$15=1,0,100000000)+IF('calcA'!$IQ$15=2,SUMPRODUCT('calcA'!$D$65:$EQ$65,$DB14:$IO14,$IQ14:$OD14)*1000+SUMPRODUCT('calcA'!$D$65:$EQ$65,$DB14:$IO14+$ZQ14:$AFD14,$AFF14:$AKS14),SUMPRODUCT('calcA'!$D$65:$EQ$65,$DB14:$IO14*1001+$ZQ14:$AFD14))*100+6)</f>
        <v/>
      </c>
      <c r="BS14">
        <f>IF(OR(AD14=1,calcA!$A$6=0),1000000000,IF('calcA'!$JF$16=1,0,100000000)+IF('calcA'!$IQ$16=2,SUMPRODUCT('calcA'!$D$66:$EQ$66,$DB14:$IO14,$IQ14:$OD14)*1000+SUMPRODUCT('calcA'!$D$66:$EQ$66,$DB14:$IO14+$ZQ14:$AFD14,$AFF14:$AKS14),SUMPRODUCT('calcA'!$D$66:$EQ$66,$DB14:$IO14*1001+$ZQ14:$AFD14))*100+7)</f>
        <v/>
      </c>
      <c r="BT14">
        <f>IF(OR(AE14=1,calcA!$A$6=0),1000000000,IF('calcA'!$JF$17=1,0,100000000)+IF('calcA'!$IQ$17=2,SUMPRODUCT('calcA'!$D$67:$EQ$67,$DB14:$IO14,$IQ14:$OD14)*1000+SUMPRODUCT('calcA'!$D$67:$EQ$67,$DB14:$IO14+$ZQ14:$AFD14,$AFF14:$AKS14),SUMPRODUCT('calcA'!$D$67:$EQ$67,$DB14:$IO14*1001+$ZQ14:$AFD14))*100+8)</f>
        <v/>
      </c>
      <c r="BU14">
        <f>IF(OR(AF14=1,calcA!$A$6=0),1000000000,IF('calcA'!$JF$18=1,0,100000000)+IF('calcA'!$IQ$18=2,SUMPRODUCT('calcA'!$D$68:$EQ$68,$DB14:$IO14,$IQ14:$OD14)*1000+SUMPRODUCT('calcA'!$D$68:$EQ$68,$DB14:$IO14+$ZQ14:$AFD14,$AFF14:$AKS14),SUMPRODUCT('calcA'!$D$68:$EQ$68,$DB14:$IO14*1001+$ZQ14:$AFD14))*100+9)</f>
        <v/>
      </c>
      <c r="BV14">
        <f>IF(OR(AG14=1,calcA!$A$6=0),1000000000,IF('calcA'!$JF$19=1,0,100000000)+IF('calcA'!$IQ$19=2,SUMPRODUCT('calcA'!$D$69:$EQ$69,$DB14:$IO14,$IQ14:$OD14)*1000+SUMPRODUCT('calcA'!$D$69:$EQ$69,$DB14:$IO14+$ZQ14:$AFD14,$AFF14:$AKS14),SUMPRODUCT('calcA'!$D$69:$EQ$69,$DB14:$IO14*1001+$ZQ14:$AFD14))*100+10)</f>
        <v/>
      </c>
      <c r="BW14">
        <f>IF(OR(AH14=1,calcA!$A$6=0),1000000000,IF('calcA'!$JF$20=1,0,100000000)+IF('calcA'!$IQ$20=2,SUMPRODUCT('calcA'!$D$70:$EQ$70,$DB14:$IO14,$IQ14:$OD14)*1000+SUMPRODUCT('calcA'!$D$70:$EQ$70,$DB14:$IO14+$ZQ14:$AFD14,$AFF14:$AKS14),SUMPRODUCT('calcA'!$D$70:$EQ$70,$DB14:$IO14*1001+$ZQ14:$AFD14))*100+11)</f>
        <v/>
      </c>
      <c r="BX14">
        <f>IF(OR(AI14=1,calcA!$A$6=0),1000000000,IF('calcA'!$JF$21=1,0,100000000)+IF('calcA'!$IQ$21=2,SUMPRODUCT('calcA'!$D$71:$EQ$71,$DB14:$IO14,$IQ14:$OD14)*1000+SUMPRODUCT('calcA'!$D$71:$EQ$71,$DB14:$IO14+$ZQ14:$AFD14,$AFF14:$AKS14),SUMPRODUCT('calcA'!$D$71:$EQ$71,$DB14:$IO14*1001+$ZQ14:$AFD14))*100+12)</f>
        <v/>
      </c>
      <c r="BY14">
        <f>IF(OR(AJ14=1,calcA!$A$6=0),1000000000,IF('calcA'!$JF$22=1,0,100000000)+IF('calcA'!$IQ$22=2,SUMPRODUCT('calcA'!$D$72:$EQ$72,$DB14:$IO14,$IQ14:$OD14)*1000+SUMPRODUCT('calcA'!$D$72:$EQ$72,$DB14:$IO14+$ZQ14:$AFD14,$AFF14:$AKS14),SUMPRODUCT('calcA'!$D$72:$EQ$72,$DB14:$IO14*1001+$ZQ14:$AFD14))*100+13)</f>
        <v/>
      </c>
      <c r="BZ14">
        <f>IF(OR(AK14=1,calcA!$A$6=0),1000000000,IF('calcA'!$JF$23=1,0,100000000)+IF('calcA'!$IQ$23=2,SUMPRODUCT('calcA'!$D$73:$EQ$73,$DB14:$IO14,$IQ14:$OD14)*1000+SUMPRODUCT('calcA'!$D$73:$EQ$73,$DB14:$IO14+$ZQ14:$AFD14,$AFF14:$AKS14),SUMPRODUCT('calcA'!$D$73:$EQ$73,$DB14:$IO14*1001+$ZQ14:$AFD14))*100+14)</f>
        <v/>
      </c>
      <c r="CA14">
        <f>IF(OR(AL14=1,calcA!$A$6=0),1000000000,IF('calcA'!$JF$24=1,0,100000000)+IF('calcA'!$IQ$24=2,SUMPRODUCT('calcA'!$D$74:$EQ$74,$DB14:$IO14,$IQ14:$OD14)*1000+SUMPRODUCT('calcA'!$D$74:$EQ$74,$DB14:$IO14+$ZQ14:$AFD14,$AFF14:$AKS14),SUMPRODUCT('calcA'!$D$74:$EQ$74,$DB14:$IO14*1001+$ZQ14:$AFD14))*100+15)</f>
        <v/>
      </c>
      <c r="CB14">
        <f>IF(OR(AM14=1,calcA!$A$6=0),1000000000,IF('calcA'!$JF$25=1,0,100000000)+IF('calcA'!$IQ$25=2,SUMPRODUCT('calcA'!$D$75:$EQ$75,$DB14:$IO14,$IQ14:$OD14)*1000+SUMPRODUCT('calcA'!$D$75:$EQ$75,$DB14:$IO14+$ZQ14:$AFD14,$AFF14:$AKS14),SUMPRODUCT('calcA'!$D$75:$EQ$75,$DB14:$IO14*1001+$ZQ14:$AFD14))*100+16)</f>
        <v/>
      </c>
      <c r="CC14">
        <f>IF(OR(AN14=1,calcA!$A$6=0),1000000000,IF('calcA'!$JF$26=1,0,100000000)+IF('calcA'!$IQ$26=2,SUMPRODUCT('calcA'!$D$76:$EQ$76,$DB14:$IO14,$IQ14:$OD14)*1000+SUMPRODUCT('calcA'!$D$76:$EQ$76,$DB14:$IO14+$ZQ14:$AFD14,$AFF14:$AKS14),SUMPRODUCT('calcA'!$D$76:$EQ$76,$DB14:$IO14*1001+$ZQ14:$AFD14))*100+17)</f>
        <v/>
      </c>
      <c r="CD14">
        <f>IF(OR(AO14=1,calcA!$A$6=0),1000000000,IF('calcA'!$JF$27=1,0,100000000)+IF('calcA'!$IQ$27=2,SUMPRODUCT('calcA'!$D$77:$EQ$77,$DB14:$IO14,$IQ14:$OD14)*1000+SUMPRODUCT('calcA'!$D$77:$EQ$77,$DB14:$IO14+$ZQ14:$AFD14,$AFF14:$AKS14),SUMPRODUCT('calcA'!$D$77:$EQ$77,$DB14:$IO14*1001+$ZQ14:$AFD14))*100+18)</f>
        <v/>
      </c>
      <c r="CE14">
        <f>IF(OR(AP14=1,calcA!$A$6=0),1000000000,IF('calcA'!$JF$28=1,0,100000000)+IF('calcA'!$IQ$28=2,SUMPRODUCT('calcA'!$D$78:$EQ$78,$DB14:$IO14,$IQ14:$OD14)*1000+SUMPRODUCT('calcA'!$D$78:$EQ$78,$DB14:$IO14+$ZQ14:$AFD14,$AFF14:$AKS14),SUMPRODUCT('calcA'!$D$78:$EQ$78,$DB14:$IO14*1001+$ZQ14:$AFD14))*100+19)</f>
        <v/>
      </c>
      <c r="CF14">
        <f>IF(OR(AQ14=1,calcA!$A$6=0),1000000000,IF('calcA'!$JF$29=1,0,100000000)+IF('calcA'!$IQ$29=2,SUMPRODUCT('calcA'!$D$79:$EQ$79,$DB14:$IO14,$IQ14:$OD14)*1000+SUMPRODUCT('calcA'!$D$79:$EQ$79,$DB14:$IO14+$ZQ14:$AFD14,$AFF14:$AKS14),SUMPRODUCT('calcA'!$D$79:$EQ$79,$DB14:$IO14*1001+$ZQ14:$AFD14))*100+20)</f>
        <v/>
      </c>
      <c r="CG14">
        <f>IF(OR(AR14=1,calcA!$A$6=0),1000000000,IF('calcA'!$JF$30=1,0,100000000)+IF('calcA'!$IQ$30=2,SUMPRODUCT('calcA'!$D$80:$EQ$80,$DB14:$IO14,$IQ14:$OD14)*1000+SUMPRODUCT('calcA'!$D$80:$EQ$80,$DB14:$IO14+$ZQ14:$AFD14,$AFF14:$AKS14),SUMPRODUCT('calcA'!$D$80:$EQ$80,$DB14:$IO14*1001+$ZQ14:$AFD14))*100+21)</f>
        <v/>
      </c>
      <c r="CH14">
        <f>IF(OR(AS14=1,calcA!$A$6=0),1000000000,IF('calcA'!$JF$31=1,0,100000000)+IF('calcA'!$IQ$31=2,SUMPRODUCT('calcA'!$D$81:$EQ$81,$DB14:$IO14,$IQ14:$OD14)*1000+SUMPRODUCT('calcA'!$D$81:$EQ$81,$DB14:$IO14+$ZQ14:$AFD14,$AFF14:$AKS14),SUMPRODUCT('calcA'!$D$81:$EQ$81,$DB14:$IO14*1001+$ZQ14:$AFD14))*100+22)</f>
        <v/>
      </c>
      <c r="CI14">
        <f>IF(OR(AT14=1,calcA!$A$6=0),1000000000,IF('calcA'!$JF$32=1,0,100000000)+IF('calcA'!$IQ$32=2,SUMPRODUCT('calcA'!$D$82:$EQ$82,$DB14:$IO14,$IQ14:$OD14)*1000+SUMPRODUCT('calcA'!$D$82:$EQ$82,$DB14:$IO14+$ZQ14:$AFD14,$AFF14:$AKS14),SUMPRODUCT('calcA'!$D$82:$EQ$82,$DB14:$IO14*1001+$ZQ14:$AFD14))*100+23)</f>
        <v/>
      </c>
      <c r="CJ14">
        <f>IF(OR(AU14=1,calcA!$A$6=0),1000000000,IF('calcA'!$JF$33=1,0,100000000)+IF('calcA'!$IQ$33=2,SUMPRODUCT('calcA'!$D$83:$EQ$83,$DB14:$IO14,$IQ14:$OD14)*1000+SUMPRODUCT('calcA'!$D$83:$EQ$83,$DB14:$IO14+$ZQ14:$AFD14,$AFF14:$AKS14),SUMPRODUCT('calcA'!$D$83:$EQ$83,$DB14:$IO14*1001+$ZQ14:$AFD14))*100+24)</f>
        <v/>
      </c>
      <c r="CK14">
        <f>IF(OR(AV14=1,calcA!$A$6=0),1000000000,IF('calcA'!$JF$34=1,0,100000000)+IF('calcA'!$IQ$34=2,SUMPRODUCT('calcA'!$D$84:$EQ$84,$DB14:$IO14,$IQ14:$OD14)*1000+SUMPRODUCT('calcA'!$D$84:$EQ$84,$DB14:$IO14+$ZQ14:$AFD14,$AFF14:$AKS14),SUMPRODUCT('calcA'!$D$84:$EQ$84,$DB14:$IO14*1001+$ZQ14:$AFD14))*100+25)</f>
        <v/>
      </c>
      <c r="CL14">
        <f>IF(OR(AW14=1,calcA!$A$6=0),1000000000,IF('calcA'!$JF$35=1,0,100000000)+IF('calcA'!$IQ$35=2,SUMPRODUCT('calcA'!$D$85:$EQ$85,$DB14:$IO14,$IQ14:$OD14)*1000+SUMPRODUCT('calcA'!$D$85:$EQ$85,$DB14:$IO14+$ZQ14:$AFD14,$AFF14:$AKS14),SUMPRODUCT('calcA'!$D$85:$EQ$85,$DB14:$IO14*1001+$ZQ14:$AFD14))*100+26)</f>
        <v/>
      </c>
      <c r="CM14">
        <f>IF(OR(AX14=1,calcA!$A$6=0),1000000000,IF('calcA'!$JF$36=1,0,100000000)+IF('calcA'!$IQ$36=2,SUMPRODUCT('calcA'!$D$86:$EQ$86,$DB14:$IO14,$IQ14:$OD14)*1000+SUMPRODUCT('calcA'!$D$86:$EQ$86,$DB14:$IO14+$ZQ14:$AFD14,$AFF14:$AKS14),SUMPRODUCT('calcA'!$D$86:$EQ$86,$DB14:$IO14*1001+$ZQ14:$AFD14))*100+27)</f>
        <v/>
      </c>
      <c r="CN14">
        <f>IF(OR(AY14=1,calcA!$A$6=0),1000000000,IF('calcA'!$JF$37=1,0,100000000)+IF('calcA'!$IQ$37=2,SUMPRODUCT('calcA'!$D$87:$EQ$87,$DB14:$IO14,$IQ14:$OD14)*1000+SUMPRODUCT('calcA'!$D$87:$EQ$87,$DB14:$IO14+$ZQ14:$AFD14,$AFF14:$AKS14),SUMPRODUCT('calcA'!$D$87:$EQ$87,$DB14:$IO14*1001+$ZQ14:$AFD14))*100+28)</f>
        <v/>
      </c>
      <c r="CO14">
        <f>IF(OR(AZ14=1,calcA!$A$6=0),1000000000,IF('calcA'!$JF$38=1,0,100000000)+IF('calcA'!$IQ$38=2,SUMPRODUCT('calcA'!$D$88:$EQ$88,$DB14:$IO14,$IQ14:$OD14)*1000+SUMPRODUCT('calcA'!$D$88:$EQ$88,$DB14:$IO14+$ZQ14:$AFD14,$AFF14:$AKS14),SUMPRODUCT('calcA'!$D$88:$EQ$88,$DB14:$IO14*1001+$ZQ14:$AFD14))*100+29)</f>
        <v/>
      </c>
      <c r="CP14">
        <f>IF(OR(BA14=1,calcA!$A$6=0),1000000000,IF('calcA'!$JF$39=1,0,100000000)+IF('calcA'!$IQ$39=2,SUMPRODUCT('calcA'!$D$89:$EQ$89,$DB14:$IO14,$IQ14:$OD14)*1000+SUMPRODUCT('calcA'!$D$89:$EQ$89,$DB14:$IO14+$ZQ14:$AFD14,$AFF14:$AKS14),SUMPRODUCT('calcA'!$D$89:$EQ$89,$DB14:$IO14*1001+$ZQ14:$AFD14))*100+30)</f>
        <v/>
      </c>
      <c r="CQ14">
        <f>IF(OR(BB14=1,calcA!$A$6=0),1000000000,IF('calcA'!$JF$40=1,0,100000000)+IF('calcA'!$IQ$40=2,SUMPRODUCT('calcA'!$D$90:$EQ$90,$DB14:$IO14,$IQ14:$OD14)*1000+SUMPRODUCT('calcA'!$D$90:$EQ$90,$DB14:$IO14+$ZQ14:$AFD14,$AFF14:$AKS14),SUMPRODUCT('calcA'!$D$90:$EQ$90,$DB14:$IO14*1001+$ZQ14:$AFD14))*100+31)</f>
        <v/>
      </c>
      <c r="CR14">
        <f>IF(OR(BC14=1,calcA!$A$6=0),1000000000,IF('calcA'!$JF$41=1,0,100000000)+IF('calcA'!$IQ$41=2,SUMPRODUCT('calcA'!$D$91:$EQ$91,$DB14:$IO14,$IQ14:$OD14)*1000+SUMPRODUCT('calcA'!$D$91:$EQ$91,$DB14:$IO14+$ZQ14:$AFD14,$AFF14:$AKS14),SUMPRODUCT('calcA'!$D$91:$EQ$91,$DB14:$IO14*1001+$ZQ14:$AFD14))*100+32)</f>
        <v/>
      </c>
      <c r="CS14">
        <f>IF(OR(BD14=1,calcA!$A$6=0),1000000000,IF('calcA'!$JF$42=1,0,100000000)+IF('calcA'!$IQ$42=2,SUMPRODUCT('calcA'!$D$92:$EQ$92,$DB14:$IO14,$IQ14:$OD14)*1000+SUMPRODUCT('calcA'!$D$92:$EQ$92,$DB14:$IO14+$ZQ14:$AFD14,$AFF14:$AKS14),SUMPRODUCT('calcA'!$D$92:$EQ$92,$DB14:$IO14*1001+$ZQ14:$AFD14))*100+33)</f>
        <v/>
      </c>
      <c r="CT14">
        <f>IF(OR(BE14=1,calcA!$A$6=0),1000000000,IF('calcA'!$JF$43=1,0,100000000)+IF('calcA'!$IQ$43=2,SUMPRODUCT('calcA'!$D$93:$EQ$93,$DB14:$IO14,$IQ14:$OD14)*1000+SUMPRODUCT('calcA'!$D$93:$EQ$93,$DB14:$IO14+$ZQ14:$AFD14,$AFF14:$AKS14),SUMPRODUCT('calcA'!$D$93:$EQ$93,$DB14:$IO14*1001+$ZQ14:$AFD14))*100+34)</f>
        <v/>
      </c>
      <c r="CU14">
        <f>IF(OR(BF14=1,calcA!$A$6=0),1000000000,IF('calcA'!$JF$44=1,0,100000000)+IF('calcA'!$IQ$44=2,SUMPRODUCT('calcA'!$D$94:$EQ$94,$DB14:$IO14,$IQ14:$OD14)*1000+SUMPRODUCT('calcA'!$D$94:$EQ$94,$DB14:$IO14+$ZQ14:$AFD14,$AFF14:$AKS14),SUMPRODUCT('calcA'!$D$94:$EQ$94,$DB14:$IO14*1001+$ZQ14:$AFD14))*100+35)</f>
        <v/>
      </c>
      <c r="CV14">
        <f>IF(OR(BG14=1,calcA!$A$6=0),1000000000,IF('calcA'!$JF$45=1,0,100000000)+IF('calcA'!$IQ$45=2,SUMPRODUCT('calcA'!$D$95:$EQ$95,$DB14:$IO14,$IQ14:$OD14)*1000+SUMPRODUCT('calcA'!$D$95:$EQ$95,$DB14:$IO14+$ZQ14:$AFD14,$AFF14:$AKS14),SUMPRODUCT('calcA'!$D$95:$EQ$95,$DB14:$IO14*1001+$ZQ14:$AFD14))*100+36)</f>
        <v/>
      </c>
      <c r="CW14">
        <f>IF(OR(BH14=1,calcA!$A$6=0),1000000000,IF('calcA'!$JF$46=1,0,100000000)+IF('calcA'!$IQ$46=2,SUMPRODUCT('calcA'!$D$96:$EQ$96,$DB14:$IO14,$IQ14:$OD14)*1000+SUMPRODUCT('calcA'!$D$96:$EQ$96,$DB14:$IO14+$ZQ14:$AFD14,$AFF14:$AKS14),SUMPRODUCT('calcA'!$D$96:$EQ$96,$DB14:$IO14*1001+$ZQ14:$AFD14))*100+37)</f>
        <v/>
      </c>
      <c r="CX14">
        <f>IF(OR(BI14=1,calcA!$A$6=0),1000000000,IF('calcA'!$JF$47=1,0,100000000)+IF('calcA'!$IQ$47=2,SUMPRODUCT('calcA'!$D$97:$EQ$97,$DB14:$IO14,$IQ14:$OD14)*1000+SUMPRODUCT('calcA'!$D$97:$EQ$97,$DB14:$IO14+$ZQ14:$AFD14,$AFF14:$AKS14),SUMPRODUCT('calcA'!$D$97:$EQ$97,$DB14:$IO14*1001+$ZQ14:$AFD14))*100+38)</f>
        <v/>
      </c>
      <c r="CY14">
        <f>IF(OR(BJ14=1,calcA!$A$6=0),1000000000,IF('calcA'!$JF$48=1,0,100000000)+IF('calcA'!$IQ$48=2,SUMPRODUCT('calcA'!$D$98:$EQ$98,$DB14:$IO14,$IQ14:$OD14)*1000+SUMPRODUCT('calcA'!$D$98:$EQ$98,$DB14:$IO14+$ZQ14:$AFD14,$AFF14:$AKS14),SUMPRODUCT('calcA'!$D$98:$EQ$98,$DB14:$IO14*1001+$ZQ14:$AFD14))*100+39)</f>
        <v/>
      </c>
      <c r="CZ14">
        <f>IF(OR(BK14=1,calcA!$A$6=0),1000000000,IF('calcA'!$JF$49=1,0,100000000)+IF('calcA'!$IQ$49=2,SUMPRODUCT('calcA'!$D$99:$EQ$99,$DB14:$IO14,$IQ14:$OD14)*1000+SUMPRODUCT('calcA'!$D$99:$EQ$99,$DB14:$IO14+$ZQ14:$AFD14,$AFF14:$AKS14),SUMPRODUCT('calcA'!$D$99:$EQ$99,$DB14:$IO14*1001+$ZQ14:$AFD14))*100+40)</f>
        <v/>
      </c>
      <c r="DB14">
        <f>DB13*IF(OR($C13=1,$G13=1),0,1)</f>
        <v/>
      </c>
      <c r="DC14">
        <f>DC13*IF(OR($C13=2,$G13=2),0,1)</f>
        <v/>
      </c>
      <c r="DD14">
        <f>DD13*IF(OR($C13=3,$G13=3),0,1)</f>
        <v/>
      </c>
      <c r="DE14">
        <f>DE13*IF(OR($C13=4,$G13=4),0,1)</f>
        <v/>
      </c>
      <c r="DF14">
        <f>DF13*IF(OR($C13=5,$G13=5),0,1)</f>
        <v/>
      </c>
      <c r="DG14">
        <f>DG13*IF(OR($C13=6,$G13=6),0,1)</f>
        <v/>
      </c>
      <c r="DH14">
        <f>DH13*IF(OR($C13=7,$G13=7),0,1)</f>
        <v/>
      </c>
      <c r="DI14">
        <f>DI13*IF(OR($C13=8,$G13=8),0,1)</f>
        <v/>
      </c>
      <c r="DJ14">
        <f>DJ13*IF(OR($C13=9,$G13=9),0,1)</f>
        <v/>
      </c>
      <c r="DK14">
        <f>DK13*IF(OR($C13=10,$G13=10),0,1)</f>
        <v/>
      </c>
      <c r="DL14">
        <f>DL13*IF(OR($C13=11,$G13=11),0,1)</f>
        <v/>
      </c>
      <c r="DM14">
        <f>DM13*IF(OR($C13=12,$G13=12),0,1)</f>
        <v/>
      </c>
      <c r="DN14">
        <f>DN13*IF(OR($C13=13,$G13=13),0,1)</f>
        <v/>
      </c>
      <c r="DO14">
        <f>DO13*IF(OR($C13=14,$G13=14),0,1)</f>
        <v/>
      </c>
      <c r="DP14">
        <f>DP13*IF(OR($C13=15,$G13=15),0,1)</f>
        <v/>
      </c>
      <c r="DQ14">
        <f>DQ13*IF(OR($C13=16,$G13=16),0,1)</f>
        <v/>
      </c>
      <c r="DR14">
        <f>DR13*IF(OR($C13=17,$G13=17),0,1)</f>
        <v/>
      </c>
      <c r="DS14">
        <f>DS13*IF(OR($C13=18,$G13=18),0,1)</f>
        <v/>
      </c>
      <c r="DT14">
        <f>DT13*IF(OR($C13=19,$G13=19),0,1)</f>
        <v/>
      </c>
      <c r="DU14">
        <f>DU13*IF(OR($C13=20,$G13=20),0,1)</f>
        <v/>
      </c>
      <c r="DV14">
        <f>DV13*IF(OR($C13=21,$G13=21),0,1)</f>
        <v/>
      </c>
      <c r="DW14">
        <f>DW13*IF(OR($C13=22,$G13=22),0,1)</f>
        <v/>
      </c>
      <c r="DX14">
        <f>DX13*IF(OR($C13=23,$G13=23),0,1)</f>
        <v/>
      </c>
      <c r="DY14">
        <f>DY13*IF(OR($C13=24,$G13=24),0,1)</f>
        <v/>
      </c>
      <c r="DZ14">
        <f>DZ13*IF(OR($C13=25,$G13=25),0,1)</f>
        <v/>
      </c>
      <c r="EA14">
        <f>EA13*IF(OR($C13=26,$G13=26),0,1)</f>
        <v/>
      </c>
      <c r="EB14">
        <f>EB13*IF(OR($C13=27,$G13=27),0,1)</f>
        <v/>
      </c>
      <c r="EC14">
        <f>EC13*IF(OR($C13=28,$G13=28),0,1)</f>
        <v/>
      </c>
      <c r="ED14">
        <f>ED13*IF(OR($C13=29,$G13=29),0,1)</f>
        <v/>
      </c>
      <c r="EE14">
        <f>EE13*IF(OR($C13=30,$G13=30),0,1)</f>
        <v/>
      </c>
      <c r="EF14">
        <f>EF13*IF(OR($C13=31,$G13=31),0,1)</f>
        <v/>
      </c>
      <c r="EG14">
        <f>EG13*IF(OR($C13=32,$G13=32),0,1)</f>
        <v/>
      </c>
      <c r="EH14">
        <f>EH13*IF(OR($C13=33,$G13=33),0,1)</f>
        <v/>
      </c>
      <c r="EI14">
        <f>EI13*IF(OR($C13=34,$G13=34),0,1)</f>
        <v/>
      </c>
      <c r="EJ14">
        <f>EJ13*IF(OR($C13=35,$G13=35),0,1)</f>
        <v/>
      </c>
      <c r="EK14">
        <f>EK13*IF(OR($C13=36,$G13=36),0,1)</f>
        <v/>
      </c>
      <c r="EL14">
        <f>EL13*IF(OR($C13=37,$G13=37),0,1)</f>
        <v/>
      </c>
      <c r="EM14">
        <f>EM13*IF(OR($C13=38,$G13=38),0,1)</f>
        <v/>
      </c>
      <c r="EN14">
        <f>EN13*IF(OR($C13=39,$G13=39),0,1)</f>
        <v/>
      </c>
      <c r="EO14">
        <f>EO13*IF(OR($C13=40,$G13=40),0,1)</f>
        <v/>
      </c>
      <c r="EP14">
        <f>EP13*IF(OR($C13=41,$G13=41),0,1)</f>
        <v/>
      </c>
      <c r="EQ14">
        <f>EQ13*IF(OR($C13=42,$G13=42),0,1)</f>
        <v/>
      </c>
      <c r="ER14">
        <f>ER13*IF(OR($C13=43,$G13=43),0,1)</f>
        <v/>
      </c>
      <c r="ES14">
        <f>ES13*IF(OR($C13=44,$G13=44),0,1)</f>
        <v/>
      </c>
      <c r="ET14">
        <f>ET13*IF(OR($C13=45,$G13=45),0,1)</f>
        <v/>
      </c>
      <c r="EU14">
        <f>EU13*IF(OR($C13=46,$G13=46),0,1)</f>
        <v/>
      </c>
      <c r="EV14">
        <f>EV13*IF(OR($C13=47,$G13=47),0,1)</f>
        <v/>
      </c>
      <c r="EW14">
        <f>EW13*IF(OR($C13=48,$G13=48),0,1)</f>
        <v/>
      </c>
      <c r="EX14">
        <f>EX13*IF(OR($C13=49,$G13=49),0,1)</f>
        <v/>
      </c>
      <c r="EY14">
        <f>EY13*IF(OR($C13=50,$G13=50),0,1)</f>
        <v/>
      </c>
      <c r="EZ14">
        <f>EZ13*IF(OR($C13=51,$G13=51),0,1)</f>
        <v/>
      </c>
      <c r="FA14">
        <f>FA13*IF(OR($C13=52,$G13=52),0,1)</f>
        <v/>
      </c>
      <c r="FB14">
        <f>FB13*IF(OR($C13=53,$G13=53),0,1)</f>
        <v/>
      </c>
      <c r="FC14">
        <f>FC13*IF(OR($C13=54,$G13=54),0,1)</f>
        <v/>
      </c>
      <c r="FD14">
        <f>FD13*IF(OR($C13=55,$G13=55),0,1)</f>
        <v/>
      </c>
      <c r="FE14">
        <f>FE13*IF(OR($C13=56,$G13=56),0,1)</f>
        <v/>
      </c>
      <c r="FF14">
        <f>FF13*IF(OR($C13=57,$G13=57),0,1)</f>
        <v/>
      </c>
      <c r="FG14">
        <f>FG13*IF(OR($C13=58,$G13=58),0,1)</f>
        <v/>
      </c>
      <c r="FH14">
        <f>FH13*IF(OR($C13=59,$G13=59),0,1)</f>
        <v/>
      </c>
      <c r="FI14">
        <f>FI13*IF(OR($C13=60,$G13=60),0,1)</f>
        <v/>
      </c>
      <c r="FJ14">
        <f>FJ13*IF(OR($C13=61,$G13=61),0,1)</f>
        <v/>
      </c>
      <c r="FK14">
        <f>FK13*IF(OR($C13=62,$G13=62),0,1)</f>
        <v/>
      </c>
      <c r="FL14">
        <f>FL13*IF(OR($C13=63,$G13=63),0,1)</f>
        <v/>
      </c>
      <c r="FM14">
        <f>FM13*IF(OR($C13=64,$G13=64),0,1)</f>
        <v/>
      </c>
      <c r="FN14">
        <f>FN13*IF(OR($C13=65,$G13=65),0,1)</f>
        <v/>
      </c>
      <c r="FO14">
        <f>FO13*IF(OR($C13=66,$G13=66),0,1)</f>
        <v/>
      </c>
      <c r="FP14">
        <f>FP13*IF(OR($C13=67,$G13=67),0,1)</f>
        <v/>
      </c>
      <c r="FQ14">
        <f>FQ13*IF(OR($C13=68,$G13=68),0,1)</f>
        <v/>
      </c>
      <c r="FR14">
        <f>FR13*IF(OR($C13=69,$G13=69),0,1)</f>
        <v/>
      </c>
      <c r="FS14">
        <f>FS13*IF(OR($C13=70,$G13=70),0,1)</f>
        <v/>
      </c>
      <c r="FT14">
        <f>FT13*IF(OR($C13=71,$G13=71),0,1)</f>
        <v/>
      </c>
      <c r="FU14">
        <f>FU13*IF(OR($C13=72,$G13=72),0,1)</f>
        <v/>
      </c>
      <c r="FV14">
        <f>FV13*IF(OR($C13=73,$G13=73),0,1)</f>
        <v/>
      </c>
      <c r="FW14">
        <f>FW13*IF(OR($C13=74,$G13=74),0,1)</f>
        <v/>
      </c>
      <c r="FX14">
        <f>FX13*IF(OR($C13=75,$G13=75),0,1)</f>
        <v/>
      </c>
      <c r="FY14">
        <f>FY13*IF(OR($C13=76,$G13=76),0,1)</f>
        <v/>
      </c>
      <c r="FZ14">
        <f>FZ13*IF(OR($C13=77,$G13=77),0,1)</f>
        <v/>
      </c>
      <c r="GA14">
        <f>GA13*IF(OR($C13=78,$G13=78),0,1)</f>
        <v/>
      </c>
      <c r="GB14">
        <f>GB13*IF(OR($C13=79,$G13=79),0,1)</f>
        <v/>
      </c>
      <c r="GC14">
        <f>GC13*IF(OR($C13=80,$G13=80),0,1)</f>
        <v/>
      </c>
      <c r="GD14">
        <f>GD13*IF(OR($C13=81,$G13=81),0,1)</f>
        <v/>
      </c>
      <c r="GE14">
        <f>GE13*IF(OR($C13=82,$G13=82),0,1)</f>
        <v/>
      </c>
      <c r="GF14">
        <f>GF13*IF(OR($C13=83,$G13=83),0,1)</f>
        <v/>
      </c>
      <c r="GG14">
        <f>GG13*IF(OR($C13=84,$G13=84),0,1)</f>
        <v/>
      </c>
      <c r="GH14">
        <f>GH13*IF(OR($C13=85,$G13=85),0,1)</f>
        <v/>
      </c>
      <c r="GI14">
        <f>GI13*IF(OR($C13=86,$G13=86),0,1)</f>
        <v/>
      </c>
      <c r="GJ14">
        <f>GJ13*IF(OR($C13=87,$G13=87),0,1)</f>
        <v/>
      </c>
      <c r="GK14">
        <f>GK13*IF(OR($C13=88,$G13=88),0,1)</f>
        <v/>
      </c>
      <c r="GL14">
        <f>GL13*IF(OR($C13=89,$G13=89),0,1)</f>
        <v/>
      </c>
      <c r="GM14">
        <f>GM13*IF(OR($C13=90,$G13=90),0,1)</f>
        <v/>
      </c>
      <c r="GN14">
        <f>GN13*IF(OR($C13=91,$G13=91),0,1)</f>
        <v/>
      </c>
      <c r="GO14">
        <f>GO13*IF(OR($C13=92,$G13=92),0,1)</f>
        <v/>
      </c>
      <c r="GP14">
        <f>GP13*IF(OR($C13=93,$G13=93),0,1)</f>
        <v/>
      </c>
      <c r="GQ14">
        <f>GQ13*IF(OR($C13=94,$G13=94),0,1)</f>
        <v/>
      </c>
      <c r="GR14">
        <f>GR13*IF(OR($C13=95,$G13=95),0,1)</f>
        <v/>
      </c>
      <c r="GS14">
        <f>GS13*IF(OR($C13=96,$G13=96),0,1)</f>
        <v/>
      </c>
      <c r="GT14">
        <f>GT13*IF(OR($C13=97,$G13=97),0,1)</f>
        <v/>
      </c>
      <c r="GU14">
        <f>GU13*IF(OR($C13=98,$G13=98),0,1)</f>
        <v/>
      </c>
      <c r="GV14">
        <f>GV13*IF(OR($C13=99,$G13=99),0,1)</f>
        <v/>
      </c>
      <c r="GW14">
        <f>GW13*IF(OR($C13=100,$G13=100),0,1)</f>
        <v/>
      </c>
      <c r="GX14">
        <f>GX13*IF(OR($C13=101,$G13=101),0,1)</f>
        <v/>
      </c>
      <c r="GY14">
        <f>GY13*IF(OR($C13=102,$G13=102),0,1)</f>
        <v/>
      </c>
      <c r="GZ14">
        <f>GZ13*IF(OR($C13=103,$G13=103),0,1)</f>
        <v/>
      </c>
      <c r="HA14">
        <f>HA13*IF(OR($C13=104,$G13=104),0,1)</f>
        <v/>
      </c>
      <c r="HB14">
        <f>HB13*IF(OR($C13=105,$G13=105),0,1)</f>
        <v/>
      </c>
      <c r="HC14">
        <f>HC13*IF(OR($C13=106,$G13=106),0,1)</f>
        <v/>
      </c>
      <c r="HD14">
        <f>HD13*IF(OR($C13=107,$G13=107),0,1)</f>
        <v/>
      </c>
      <c r="HE14">
        <f>HE13*IF(OR($C13=108,$G13=108),0,1)</f>
        <v/>
      </c>
      <c r="HF14">
        <f>HF13*IF(OR($C13=109,$G13=109),0,1)</f>
        <v/>
      </c>
      <c r="HG14">
        <f>HG13*IF(OR($C13=110,$G13=110),0,1)</f>
        <v/>
      </c>
      <c r="HH14">
        <f>HH13*IF(OR($C13=111,$G13=111),0,1)</f>
        <v/>
      </c>
      <c r="HI14">
        <f>HI13*IF(OR($C13=112,$G13=112),0,1)</f>
        <v/>
      </c>
      <c r="HJ14">
        <f>HJ13*IF(OR($C13=113,$G13=113),0,1)</f>
        <v/>
      </c>
      <c r="HK14">
        <f>HK13*IF(OR($C13=114,$G13=114),0,1)</f>
        <v/>
      </c>
      <c r="HL14">
        <f>HL13*IF(OR($C13=115,$G13=115),0,1)</f>
        <v/>
      </c>
      <c r="HM14">
        <f>HM13*IF(OR($C13=116,$G13=116),0,1)</f>
        <v/>
      </c>
      <c r="HN14">
        <f>HN13*IF(OR($C13=117,$G13=117),0,1)</f>
        <v/>
      </c>
      <c r="HO14">
        <f>HO13*IF(OR($C13=118,$G13=118),0,1)</f>
        <v/>
      </c>
      <c r="HP14">
        <f>HP13*IF(OR($C13=119,$G13=119),0,1)</f>
        <v/>
      </c>
      <c r="HQ14">
        <f>HQ13*IF(OR($C13=120,$G13=120),0,1)</f>
        <v/>
      </c>
      <c r="HR14">
        <f>HR13*IF(OR($C13=121,$G13=121),0,1)</f>
        <v/>
      </c>
      <c r="HS14">
        <f>HS13*IF(OR($C13=122,$G13=122),0,1)</f>
        <v/>
      </c>
      <c r="HT14">
        <f>HT13*IF(OR($C13=123,$G13=123),0,1)</f>
        <v/>
      </c>
      <c r="HU14">
        <f>HU13*IF(OR($C13=124,$G13=124),0,1)</f>
        <v/>
      </c>
      <c r="HV14">
        <f>HV13*IF(OR($C13=125,$G13=125),0,1)</f>
        <v/>
      </c>
      <c r="HW14">
        <f>HW13*IF(OR($C13=126,$G13=126),0,1)</f>
        <v/>
      </c>
      <c r="HX14">
        <f>HX13*IF(OR($C13=127,$G13=127),0,1)</f>
        <v/>
      </c>
      <c r="HY14">
        <f>HY13*IF(OR($C13=128,$G13=128),0,1)</f>
        <v/>
      </c>
      <c r="HZ14">
        <f>HZ13*IF(OR($C13=129,$G13=129),0,1)</f>
        <v/>
      </c>
      <c r="IA14">
        <f>IA13*IF(OR($C13=130,$G13=130),0,1)</f>
        <v/>
      </c>
      <c r="IB14">
        <f>IB13*IF(OR($C13=131,$G13=131),0,1)</f>
        <v/>
      </c>
      <c r="IC14">
        <f>IC13*IF(OR($C13=132,$G13=132),0,1)</f>
        <v/>
      </c>
      <c r="ID14">
        <f>ID13*IF(OR($C13=133,$G13=133),0,1)</f>
        <v/>
      </c>
      <c r="IE14">
        <f>IE13*IF(OR($C13=134,$G13=134),0,1)</f>
        <v/>
      </c>
      <c r="IF14">
        <f>IF13*IF(OR($C13=135,$G13=135),0,1)</f>
        <v/>
      </c>
      <c r="IG14">
        <f>IG13*IF(OR($C13=136,$G13=136),0,1)</f>
        <v/>
      </c>
      <c r="IH14">
        <f>IH13*IF(OR($C13=137,$G13=137),0,1)</f>
        <v/>
      </c>
      <c r="II14">
        <f>II13*IF(OR($C13=138,$G13=138),0,1)</f>
        <v/>
      </c>
      <c r="IJ14">
        <f>IJ13*IF(OR($C13=139,$G13=139),0,1)</f>
        <v/>
      </c>
      <c r="IK14">
        <f>IK13*IF(OR($C13=140,$G13=140),0,1)</f>
        <v/>
      </c>
      <c r="IL14">
        <f>IL13*IF(OR($C13=141,$G13=141),0,1)</f>
        <v/>
      </c>
      <c r="IM14">
        <f>IM13*IF(OR($C13=142,$G13=142),0,1)</f>
        <v/>
      </c>
      <c r="IN14">
        <f>IN13*IF(OR($C13=143,$G13=143),0,1)</f>
        <v/>
      </c>
      <c r="IO14">
        <f>IO13*IF(OR($C13=144,$G13=144),0,1)</f>
        <v/>
      </c>
      <c r="IQ14">
        <f>IF('calcA'!D$106=1,DC14,1)</f>
        <v/>
      </c>
      <c r="IR14">
        <f>IF('calcA'!E$106=1,DD14,1)</f>
        <v/>
      </c>
      <c r="IS14">
        <f>IF('calcA'!F$106=1,DE14,1)</f>
        <v/>
      </c>
      <c r="IT14">
        <f>IF('calcA'!G$106=1,DF14,1)</f>
        <v/>
      </c>
      <c r="IU14">
        <f>IF('calcA'!H$106=1,DG14,1)</f>
        <v/>
      </c>
      <c r="IV14">
        <f>IF('calcA'!I$106=1,DH14,1)</f>
        <v/>
      </c>
      <c r="IW14">
        <f>IF('calcA'!J$106=1,DI14,1)</f>
        <v/>
      </c>
      <c r="IX14">
        <f>IF('calcA'!K$106=1,DJ14,1)</f>
        <v/>
      </c>
      <c r="IY14">
        <f>IF('calcA'!L$106=1,DK14,1)</f>
        <v/>
      </c>
      <c r="IZ14">
        <f>IF('calcA'!M$106=1,DL14,1)</f>
        <v/>
      </c>
      <c r="JA14">
        <f>IF('calcA'!N$106=1,DM14,1)</f>
        <v/>
      </c>
      <c r="JB14">
        <f>IF('calcA'!O$106=1,DN14,1)</f>
        <v/>
      </c>
      <c r="JC14">
        <f>IF('calcA'!P$106=1,DO14,1)</f>
        <v/>
      </c>
      <c r="JD14">
        <f>IF('calcA'!Q$106=1,DP14,1)</f>
        <v/>
      </c>
      <c r="JE14">
        <f>IF('calcA'!R$106=1,DQ14,1)</f>
        <v/>
      </c>
      <c r="JF14">
        <f>IF('calcA'!S$106=1,DR14,1)</f>
        <v/>
      </c>
      <c r="JG14">
        <f>IF('calcA'!T$106=1,DS14,1)</f>
        <v/>
      </c>
      <c r="JH14">
        <f>IF('calcA'!U$106=1,DT14,1)</f>
        <v/>
      </c>
      <c r="JI14">
        <f>IF('calcA'!V$106=1,DU14,1)</f>
        <v/>
      </c>
      <c r="JJ14">
        <f>IF('calcA'!W$106=1,DV14,1)</f>
        <v/>
      </c>
      <c r="JK14">
        <f>IF('calcA'!X$106=1,DW14,1)</f>
        <v/>
      </c>
      <c r="JL14">
        <f>IF('calcA'!Y$106=1,DX14,1)</f>
        <v/>
      </c>
      <c r="JM14">
        <f>IF('calcA'!Z$106=1,DY14,1)</f>
        <v/>
      </c>
      <c r="JN14">
        <f>IF('calcA'!AA$106=1,DZ14,1)</f>
        <v/>
      </c>
      <c r="JO14">
        <f>IF('calcA'!AB$106=1,EA14,1)</f>
        <v/>
      </c>
      <c r="JP14">
        <f>IF('calcA'!AC$106=1,EB14,1)</f>
        <v/>
      </c>
      <c r="JQ14">
        <f>IF('calcA'!AD$106=1,EC14,1)</f>
        <v/>
      </c>
      <c r="JR14">
        <f>IF('calcA'!AE$106=1,ED14,1)</f>
        <v/>
      </c>
      <c r="JS14">
        <f>IF('calcA'!AF$106=1,EE14,1)</f>
        <v/>
      </c>
      <c r="JT14">
        <f>IF('calcA'!AG$106=1,EF14,1)</f>
        <v/>
      </c>
      <c r="JU14">
        <f>IF('calcA'!AH$106=1,EG14,1)</f>
        <v/>
      </c>
      <c r="JV14">
        <f>IF('calcA'!AI$106=1,EH14,1)</f>
        <v/>
      </c>
      <c r="JW14">
        <f>IF('calcA'!AJ$106=1,EI14,1)</f>
        <v/>
      </c>
      <c r="JX14">
        <f>IF('calcA'!AK$106=1,EJ14,1)</f>
        <v/>
      </c>
      <c r="JY14">
        <f>IF('calcA'!AL$106=1,EK14,1)</f>
        <v/>
      </c>
      <c r="JZ14">
        <f>IF('calcA'!AM$106=1,EL14,1)</f>
        <v/>
      </c>
      <c r="KA14">
        <f>IF('calcA'!AN$106=1,EM14,1)</f>
        <v/>
      </c>
      <c r="KB14">
        <f>IF('calcA'!AO$106=1,EN14,1)</f>
        <v/>
      </c>
      <c r="KC14">
        <f>IF('calcA'!AP$106=1,EO14,1)</f>
        <v/>
      </c>
      <c r="KD14">
        <f>IF('calcA'!AQ$106=1,EP14,1)</f>
        <v/>
      </c>
      <c r="KE14">
        <f>IF('calcA'!AR$106=1,EQ14,1)</f>
        <v/>
      </c>
      <c r="KF14">
        <f>IF('calcA'!AS$106=1,ER14,1)</f>
        <v/>
      </c>
      <c r="KG14">
        <f>IF('calcA'!AT$106=1,ES14,1)</f>
        <v/>
      </c>
      <c r="KH14">
        <f>IF('calcA'!AU$106=1,ET14,1)</f>
        <v/>
      </c>
      <c r="KI14">
        <f>IF('calcA'!AV$106=1,EU14,1)</f>
        <v/>
      </c>
      <c r="KJ14">
        <f>IF('calcA'!AW$106=1,EV14,1)</f>
        <v/>
      </c>
      <c r="KK14">
        <f>IF('calcA'!AX$106=1,EW14,1)</f>
        <v/>
      </c>
      <c r="KL14">
        <f>IF('calcA'!AY$106=1,EX14,1)</f>
        <v/>
      </c>
      <c r="KM14">
        <f>IF('calcA'!AZ$106=1,EY14,1)</f>
        <v/>
      </c>
      <c r="KN14">
        <f>IF('calcA'!BA$106=1,EZ14,1)</f>
        <v/>
      </c>
      <c r="KO14">
        <f>IF('calcA'!BB$106=1,FA14,1)</f>
        <v/>
      </c>
      <c r="KP14">
        <f>IF('calcA'!BC$106=1,FB14,1)</f>
        <v/>
      </c>
      <c r="KQ14">
        <f>IF('calcA'!BD$106=1,FC14,1)</f>
        <v/>
      </c>
      <c r="KR14">
        <f>IF('calcA'!BE$106=1,FD14,1)</f>
        <v/>
      </c>
      <c r="KS14">
        <f>IF('calcA'!BF$106=1,FE14,1)</f>
        <v/>
      </c>
      <c r="KT14">
        <f>IF('calcA'!BG$106=1,FF14,1)</f>
        <v/>
      </c>
      <c r="KU14">
        <f>IF('calcA'!BH$106=1,FG14,1)</f>
        <v/>
      </c>
      <c r="KV14">
        <f>IF('calcA'!BI$106=1,FH14,1)</f>
        <v/>
      </c>
      <c r="KW14">
        <f>IF('calcA'!BJ$106=1,FI14,1)</f>
        <v/>
      </c>
      <c r="KX14">
        <f>IF('calcA'!BK$106=1,FJ14,1)</f>
        <v/>
      </c>
      <c r="KY14">
        <f>IF('calcA'!BL$106=1,FK14,1)</f>
        <v/>
      </c>
      <c r="KZ14">
        <f>IF('calcA'!BM$106=1,FL14,1)</f>
        <v/>
      </c>
      <c r="LA14">
        <f>IF('calcA'!BN$106=1,FM14,1)</f>
        <v/>
      </c>
      <c r="LB14">
        <f>IF('calcA'!BO$106=1,FN14,1)</f>
        <v/>
      </c>
      <c r="LC14">
        <f>IF('calcA'!BP$106=1,FO14,1)</f>
        <v/>
      </c>
      <c r="LD14">
        <f>IF('calcA'!BQ$106=1,FP14,1)</f>
        <v/>
      </c>
      <c r="LE14">
        <f>IF('calcA'!BR$106=1,FQ14,1)</f>
        <v/>
      </c>
      <c r="LF14">
        <f>IF('calcA'!BS$106=1,FR14,1)</f>
        <v/>
      </c>
      <c r="LG14">
        <f>IF('calcA'!BT$106=1,FS14,1)</f>
        <v/>
      </c>
      <c r="LH14">
        <f>IF('calcA'!BU$106=1,FT14,1)</f>
        <v/>
      </c>
      <c r="LI14">
        <f>IF('calcA'!BV$106=1,FU14,1)</f>
        <v/>
      </c>
      <c r="LJ14">
        <f>IF('calcA'!BW$106=1,FV14,1)</f>
        <v/>
      </c>
      <c r="LK14">
        <f>IF('calcA'!BX$106=1,FW14,1)</f>
        <v/>
      </c>
      <c r="LL14">
        <f>IF('calcA'!BY$106=1,FX14,1)</f>
        <v/>
      </c>
      <c r="LM14">
        <f>IF('calcA'!BZ$106=1,FY14,1)</f>
        <v/>
      </c>
      <c r="LN14">
        <f>IF('calcA'!CA$106=1,FZ14,1)</f>
        <v/>
      </c>
      <c r="LO14">
        <f>IF('calcA'!CB$106=1,GA14,1)</f>
        <v/>
      </c>
      <c r="LP14">
        <f>IF('calcA'!CC$106=1,GB14,1)</f>
        <v/>
      </c>
      <c r="LQ14">
        <f>IF('calcA'!CD$106=1,GC14,1)</f>
        <v/>
      </c>
      <c r="LR14">
        <f>IF('calcA'!CE$106=1,GD14,1)</f>
        <v/>
      </c>
      <c r="LS14">
        <f>IF('calcA'!CF$106=1,GE14,1)</f>
        <v/>
      </c>
      <c r="LT14">
        <f>IF('calcA'!CG$106=1,GF14,1)</f>
        <v/>
      </c>
      <c r="LU14">
        <f>IF('calcA'!CH$106=1,GG14,1)</f>
        <v/>
      </c>
      <c r="LV14">
        <f>IF('calcA'!CI$106=1,GH14,1)</f>
        <v/>
      </c>
      <c r="LW14">
        <f>IF('calcA'!CJ$106=1,GI14,1)</f>
        <v/>
      </c>
      <c r="LX14">
        <f>IF('calcA'!CK$106=1,GJ14,1)</f>
        <v/>
      </c>
      <c r="LY14">
        <f>IF('calcA'!CL$106=1,GK14,1)</f>
        <v/>
      </c>
      <c r="LZ14">
        <f>IF('calcA'!CM$106=1,GL14,1)</f>
        <v/>
      </c>
      <c r="MA14">
        <f>IF('calcA'!CN$106=1,GM14,1)</f>
        <v/>
      </c>
      <c r="MB14">
        <f>IF('calcA'!CO$106=1,GN14,1)</f>
        <v/>
      </c>
      <c r="MC14">
        <f>IF('calcA'!CP$106=1,GO14,1)</f>
        <v/>
      </c>
      <c r="MD14">
        <f>IF('calcA'!CQ$106=1,GP14,1)</f>
        <v/>
      </c>
      <c r="ME14">
        <f>IF('calcA'!CR$106=1,GQ14,1)</f>
        <v/>
      </c>
      <c r="MF14">
        <f>IF('calcA'!CS$106=1,GR14,1)</f>
        <v/>
      </c>
      <c r="MG14">
        <f>IF('calcA'!CT$106=1,GS14,1)</f>
        <v/>
      </c>
      <c r="MH14">
        <f>IF('calcA'!CU$106=1,GT14,1)</f>
        <v/>
      </c>
      <c r="MI14">
        <f>IF('calcA'!CV$106=1,GU14,1)</f>
        <v/>
      </c>
      <c r="MJ14">
        <f>IF('calcA'!CW$106=1,GV14,1)</f>
        <v/>
      </c>
      <c r="MK14">
        <f>IF('calcA'!CX$106=1,GW14,1)</f>
        <v/>
      </c>
      <c r="ML14">
        <f>IF('calcA'!CY$106=1,GX14,1)</f>
        <v/>
      </c>
      <c r="MM14">
        <f>IF('calcA'!CZ$106=1,GY14,1)</f>
        <v/>
      </c>
      <c r="MN14">
        <f>IF('calcA'!DA$106=1,GZ14,1)</f>
        <v/>
      </c>
      <c r="MO14">
        <f>IF('calcA'!DB$106=1,HA14,1)</f>
        <v/>
      </c>
      <c r="MP14">
        <f>IF('calcA'!DC$106=1,HB14,1)</f>
        <v/>
      </c>
      <c r="MQ14">
        <f>IF('calcA'!DD$106=1,HC14,1)</f>
        <v/>
      </c>
      <c r="MR14">
        <f>IF('calcA'!DE$106=1,HD14,1)</f>
        <v/>
      </c>
      <c r="MS14">
        <f>IF('calcA'!DF$106=1,HE14,1)</f>
        <v/>
      </c>
      <c r="MT14">
        <f>IF('calcA'!DG$106=1,HF14,1)</f>
        <v/>
      </c>
      <c r="MU14">
        <f>IF('calcA'!DH$106=1,HG14,1)</f>
        <v/>
      </c>
      <c r="MV14">
        <f>IF('calcA'!DI$106=1,HH14,1)</f>
        <v/>
      </c>
      <c r="MW14">
        <f>IF('calcA'!DJ$106=1,HI14,1)</f>
        <v/>
      </c>
      <c r="MX14">
        <f>IF('calcA'!DK$106=1,HJ14,1)</f>
        <v/>
      </c>
      <c r="MY14">
        <f>IF('calcA'!DL$106=1,HK14,1)</f>
        <v/>
      </c>
      <c r="MZ14">
        <f>IF('calcA'!DM$106=1,HL14,1)</f>
        <v/>
      </c>
      <c r="NA14">
        <f>IF('calcA'!DN$106=1,HM14,1)</f>
        <v/>
      </c>
      <c r="NB14">
        <f>IF('calcA'!DO$106=1,HN14,1)</f>
        <v/>
      </c>
      <c r="NC14">
        <f>IF('calcA'!DP$106=1,HO14,1)</f>
        <v/>
      </c>
      <c r="ND14">
        <f>IF('calcA'!DQ$106=1,HP14,1)</f>
        <v/>
      </c>
      <c r="NE14">
        <f>IF('calcA'!DR$106=1,HQ14,1)</f>
        <v/>
      </c>
      <c r="NF14">
        <f>IF('calcA'!DS$106=1,HR14,1)</f>
        <v/>
      </c>
      <c r="NG14">
        <f>IF('calcA'!DT$106=1,HS14,1)</f>
        <v/>
      </c>
      <c r="NH14">
        <f>IF('calcA'!DU$106=1,HT14,1)</f>
        <v/>
      </c>
      <c r="NI14">
        <f>IF('calcA'!DV$106=1,HU14,1)</f>
        <v/>
      </c>
      <c r="NJ14">
        <f>IF('calcA'!DW$106=1,HV14,1)</f>
        <v/>
      </c>
      <c r="NK14">
        <f>IF('calcA'!DX$106=1,HW14,1)</f>
        <v/>
      </c>
      <c r="NL14">
        <f>IF('calcA'!DY$106=1,HX14,1)</f>
        <v/>
      </c>
      <c r="NM14">
        <f>IF('calcA'!DZ$106=1,HY14,1)</f>
        <v/>
      </c>
      <c r="NN14">
        <f>IF('calcA'!EA$106=1,HZ14,1)</f>
        <v/>
      </c>
      <c r="NO14">
        <f>IF('calcA'!EB$106=1,IA14,1)</f>
        <v/>
      </c>
      <c r="NP14">
        <f>IF('calcA'!EC$106=1,IB14,1)</f>
        <v/>
      </c>
      <c r="NQ14">
        <f>IF('calcA'!ED$106=1,IC14,1)</f>
        <v/>
      </c>
      <c r="NR14">
        <f>IF('calcA'!EE$106=1,ID14,1)</f>
        <v/>
      </c>
      <c r="NS14">
        <f>IF('calcA'!EF$106=1,IE14,1)</f>
        <v/>
      </c>
      <c r="NT14">
        <f>IF('calcA'!EG$106=1,IF14,1)</f>
        <v/>
      </c>
      <c r="NU14">
        <f>IF('calcA'!EH$106=1,IG14,1)</f>
        <v/>
      </c>
      <c r="NV14">
        <f>IF('calcA'!EI$106=1,IH14,1)</f>
        <v/>
      </c>
      <c r="NW14">
        <f>IF('calcA'!EJ$106=1,II14,1)</f>
        <v/>
      </c>
      <c r="NX14">
        <f>IF('calcA'!EK$106=1,IJ14,1)</f>
        <v/>
      </c>
      <c r="NY14">
        <f>IF('calcA'!EL$106=1,IK14,1)</f>
        <v/>
      </c>
      <c r="NZ14">
        <f>IF('calcA'!EM$106=1,IL14,1)</f>
        <v/>
      </c>
      <c r="OA14">
        <f>IF('calcA'!EN$106=1,IM14,1)</f>
        <v/>
      </c>
      <c r="OB14">
        <f>IF('calcA'!EO$106=1,IN14,1)</f>
        <v/>
      </c>
      <c r="OC14">
        <f>IF('calcA'!EP$106=1,IO14,1)</f>
        <v/>
      </c>
      <c r="OD14" t="n">
        <v>1</v>
      </c>
      <c r="OF14">
        <f>IF($B14=0,1000000000,IF(INDEX('calcA'!$D$60:$EQ$99,$B14,1)*IF($W14=1,DB14+ZQ14,DB14)=1,IF(AND($E14=2,IF($W14=1,AFF14,IQ14)=0),1000000000,IF($V14=1,INDEX('calcA'!$D$130:$EQ$169,$B14,1)+IF(AND($E14=1,IQ14=0),25,0),INDEX('calcA'!D$110:D$114,$F14+1)+IF(AND($E14=1,IQ14=0),1000,0)+IF($H14=1,INDEX('calcA'!$D$180:$EQ$219,$B14,1)*500,0)-IF(AND($U14=1,'calcA'!D$117=1,DC14=0),300,0))),1000000000))</f>
        <v/>
      </c>
      <c r="OG14">
        <f>IF($B14=0,1000000000,IF(INDEX('calcA'!$D$60:$EQ$99,$B14,2)*IF($W14=1,DC14+ZR14,DC14)=1,IF(AND($E14=2,IF($W14=1,AFG14,IR14)=0),1000000000,IF($V14=1,INDEX('calcA'!$D$130:$EQ$169,$B14,2)+IF(AND($E14=1,IR14=0),25,0),INDEX('calcA'!E$110:E$114,$F14+1)+IF(AND($E14=1,IR14=0),1000,0)+IF($H14=1,INDEX('calcA'!$D$180:$EQ$219,$B14,2)*500,0)-IF(AND('calcA'!D$117=1,UB14&gt;0),300,0)-IF(AND($U14=1,'calcA'!E$117=1,DD14=0),300,0))),1000000000))</f>
        <v/>
      </c>
      <c r="OH14">
        <f>IF($B14=0,1000000000,IF(INDEX('calcA'!$D$60:$EQ$99,$B14,3)*IF($W14=1,DD14+ZS14,DD14)=1,IF(AND($E14=2,IF($W14=1,AFH14,IS14)=0),1000000000,IF($V14=1,INDEX('calcA'!$D$130:$EQ$169,$B14,3)+IF(AND($E14=1,IS14=0),25,0),INDEX('calcA'!F$110:F$114,$F14+1)+IF(AND($E14=1,IS14=0),1000,0)+IF($H14=1,INDEX('calcA'!$D$180:$EQ$219,$B14,3)*500,0)-IF(AND('calcA'!E$117=1,UC14&gt;0),300,0)-IF(AND($U14=1,'calcA'!F$117=1,DE14=0),300,0))),1000000000))</f>
        <v/>
      </c>
      <c r="OI14">
        <f>IF($B14=0,1000000000,IF(INDEX('calcA'!$D$60:$EQ$99,$B14,4)*IF($W14=1,DE14+ZT14,DE14)=1,IF(AND($E14=2,IF($W14=1,AFI14,IT14)=0),1000000000,IF($V14=1,INDEX('calcA'!$D$130:$EQ$169,$B14,4)+IF(AND($E14=1,IT14=0),25,0),INDEX('calcA'!G$110:G$114,$F14+1)+IF(AND($E14=1,IT14=0),1000,0)+IF($H14=1,INDEX('calcA'!$D$180:$EQ$219,$B14,4)*500,0)-IF(AND('calcA'!F$117=1,UD14&gt;0),300,0)-IF(AND($U14=1,'calcA'!G$117=1,DF14=0),300,0))),1000000000))</f>
        <v/>
      </c>
      <c r="OJ14">
        <f>IF($B14=0,1000000000,IF(INDEX('calcA'!$D$60:$EQ$99,$B14,5)*IF($W14=1,DF14+ZU14,DF14)=1,IF(AND($E14=2,IF($W14=1,AFJ14,IU14)=0),1000000000,IF($V14=1,INDEX('calcA'!$D$130:$EQ$169,$B14,5)+IF(AND($E14=1,IU14=0),25,0),INDEX('calcA'!H$110:H$114,$F14+1)+IF(AND($E14=1,IU14=0),1000,0)+IF($H14=1,INDEX('calcA'!$D$180:$EQ$219,$B14,5)*500,0)-IF(AND('calcA'!G$117=1,UE14&gt;0),300,0)-IF(AND($U14=1,'calcA'!H$117=1,DG14=0),300,0))),1000000000))</f>
        <v/>
      </c>
      <c r="OK14">
        <f>IF($B14=0,1000000000,IF(INDEX('calcA'!$D$60:$EQ$99,$B14,6)*IF($W14=1,DG14+ZV14,DG14)=1,IF(AND($E14=2,IF($W14=1,AFK14,IV14)=0),1000000000,IF($V14=1,INDEX('calcA'!$D$130:$EQ$169,$B14,6)+IF(AND($E14=1,IV14=0),25,0),INDEX('calcA'!I$110:I$114,$F14+1)+IF(AND($E14=1,IV14=0),1000,0)+IF($H14=1,INDEX('calcA'!$D$180:$EQ$219,$B14,6)*500,0)-IF(AND('calcA'!H$117=1,UF14&gt;0),300,0)-IF(AND($U14=1,'calcA'!I$117=1,DH14=0),300,0))),1000000000))</f>
        <v/>
      </c>
      <c r="OL14">
        <f>IF($B14=0,1000000000,IF(INDEX('calcA'!$D$60:$EQ$99,$B14,7)*IF($W14=1,DH14+ZW14,DH14)=1,IF(AND($E14=2,IF($W14=1,AFL14,IW14)=0),1000000000,IF($V14=1,INDEX('calcA'!$D$130:$EQ$169,$B14,7)+IF(AND($E14=1,IW14=0),25,0),INDEX('calcA'!J$110:J$114,$F14+1)+IF(AND($E14=1,IW14=0),1000,0)+IF($H14=1,INDEX('calcA'!$D$180:$EQ$219,$B14,7)*500,0)-IF(AND('calcA'!I$117=1,UG14&gt;0),300,0)-IF(AND($U14=1,'calcA'!J$117=1,DI14=0),300,0))),1000000000))</f>
        <v/>
      </c>
      <c r="OM14">
        <f>IF($B14=0,1000000000,IF(INDEX('calcA'!$D$60:$EQ$99,$B14,8)*IF($W14=1,DI14+ZX14,DI14)=1,IF(AND($E14=2,IF($W14=1,AFM14,IX14)=0),1000000000,IF($V14=1,INDEX('calcA'!$D$130:$EQ$169,$B14,8)+IF(AND($E14=1,IX14=0),25,0),INDEX('calcA'!K$110:K$114,$F14+1)+IF(AND($E14=1,IX14=0),1000,0)+IF($H14=1,INDEX('calcA'!$D$180:$EQ$219,$B14,8)*500,0)-IF(AND('calcA'!J$117=1,UH14&gt;0),300,0)-IF(AND($U14=1,'calcA'!K$117=1,DJ14=0),300,0))),1000000000))</f>
        <v/>
      </c>
      <c r="ON14">
        <f>IF($B14=0,1000000000,IF(INDEX('calcA'!$D$60:$EQ$99,$B14,9)*IF($W14=1,DJ14+ZY14,DJ14)=1,IF(AND($E14=2,IF($W14=1,AFN14,IY14)=0),1000000000,IF($V14=1,INDEX('calcA'!$D$130:$EQ$169,$B14,9)+IF(AND($E14=1,IY14=0),25,0),INDEX('calcA'!L$110:L$114,$F14+1)+IF(AND($E14=1,IY14=0),1000,0)+IF($H14=1,INDEX('calcA'!$D$180:$EQ$219,$B14,9)*500,0)-IF(AND('calcA'!K$117=1,UI14&gt;0),300,0)-IF(AND($U14=1,'calcA'!L$117=1,DK14=0),300,0))),1000000000))</f>
        <v/>
      </c>
      <c r="OO14">
        <f>IF($B14=0,1000000000,IF(INDEX('calcA'!$D$60:$EQ$99,$B14,10)*IF($W14=1,DK14+ZZ14,DK14)=1,IF(AND($E14=2,IF($W14=1,AFO14,IZ14)=0),1000000000,IF($V14=1,INDEX('calcA'!$D$130:$EQ$169,$B14,10)+IF(AND($E14=1,IZ14=0),25,0),INDEX('calcA'!M$110:M$114,$F14+1)+IF(AND($E14=1,IZ14=0),1000,0)+IF($H14=1,INDEX('calcA'!$D$180:$EQ$219,$B14,10)*500,0)-IF(AND('calcA'!L$117=1,UJ14&gt;0),300,0)-IF(AND($U14=1,'calcA'!M$117=1,DL14=0),300,0))),1000000000))</f>
        <v/>
      </c>
      <c r="OP14">
        <f>IF($B14=0,1000000000,IF(INDEX('calcA'!$D$60:$EQ$99,$B14,11)*IF($W14=1,DL14+AAA14,DL14)=1,IF(AND($E14=2,IF($W14=1,AFP14,JA14)=0),1000000000,IF($V14=1,INDEX('calcA'!$D$130:$EQ$169,$B14,11)+IF(AND($E14=1,JA14=0),25,0),INDEX('calcA'!N$110:N$114,$F14+1)+IF(AND($E14=1,JA14=0),1000,0)+IF($H14=1,INDEX('calcA'!$D$180:$EQ$219,$B14,11)*500,0)-IF(AND('calcA'!M$117=1,UK14&gt;0),300,0)-IF(AND($U14=1,'calcA'!N$117=1,DM14=0),300,0))),1000000000))</f>
        <v/>
      </c>
      <c r="OQ14">
        <f>IF($B14=0,1000000000,IF(INDEX('calcA'!$D$60:$EQ$99,$B14,12)*IF($W14=1,DM14+AAB14,DM14)=1,IF(AND($E14=2,IF($W14=1,AFQ14,JB14)=0),1000000000,IF($V14=1,INDEX('calcA'!$D$130:$EQ$169,$B14,12)+IF(AND($E14=1,JB14=0),25,0),INDEX('calcA'!O$110:O$114,$F14+1)+IF(AND($E14=1,JB14=0),1000,0)+IF($H14=1,INDEX('calcA'!$D$180:$EQ$219,$B14,12)*500,0)-IF(AND('calcA'!N$117=1,UL14&gt;0),300,0)-IF(AND($U14=1,'calcA'!O$117=1,DN14=0),300,0))),1000000000))</f>
        <v/>
      </c>
      <c r="OR14">
        <f>IF($B14=0,1000000000,IF(INDEX('calcA'!$D$60:$EQ$99,$B14,13)*IF($W14=1,DN14+AAC14,DN14)=1,IF(AND($E14=2,IF($W14=1,AFR14,JC14)=0),1000000000,IF($V14=1,INDEX('calcA'!$D$130:$EQ$169,$B14,13)+IF(AND($E14=1,JC14=0),25,0),INDEX('calcA'!P$110:P$114,$F14+1)+IF(AND($E14=1,JC14=0),1000,0)+IF($H14=1,INDEX('calcA'!$D$180:$EQ$219,$B14,13)*500,0)-IF(AND('calcA'!O$117=1,UM14&gt;0),300,0)-IF(AND($U14=1,'calcA'!P$117=1,DO14=0),300,0))),1000000000))</f>
        <v/>
      </c>
      <c r="OS14">
        <f>IF($B14=0,1000000000,IF(INDEX('calcA'!$D$60:$EQ$99,$B14,14)*IF($W14=1,DO14+AAD14,DO14)=1,IF(AND($E14=2,IF($W14=1,AFS14,JD14)=0),1000000000,IF($V14=1,INDEX('calcA'!$D$130:$EQ$169,$B14,14)+IF(AND($E14=1,JD14=0),25,0),INDEX('calcA'!Q$110:Q$114,$F14+1)+IF(AND($E14=1,JD14=0),1000,0)+IF($H14=1,INDEX('calcA'!$D$180:$EQ$219,$B14,14)*500,0)-IF(AND('calcA'!P$117=1,UN14&gt;0),300,0)-IF(AND($U14=1,'calcA'!Q$117=1,DP14=0),300,0))),1000000000))</f>
        <v/>
      </c>
      <c r="OT14">
        <f>IF($B14=0,1000000000,IF(INDEX('calcA'!$D$60:$EQ$99,$B14,15)*IF($W14=1,DP14+AAE14,DP14)=1,IF(AND($E14=2,IF($W14=1,AFT14,JE14)=0),1000000000,IF($V14=1,INDEX('calcA'!$D$130:$EQ$169,$B14,15)+IF(AND($E14=1,JE14=0),25,0),INDEX('calcA'!R$110:R$114,$F14+1)+IF(AND($E14=1,JE14=0),1000,0)+IF($H14=1,INDEX('calcA'!$D$180:$EQ$219,$B14,15)*500,0)-IF(AND('calcA'!Q$117=1,UO14&gt;0),300,0)-IF(AND($U14=1,'calcA'!R$117=1,DQ14=0),300,0))),1000000000))</f>
        <v/>
      </c>
      <c r="OU14">
        <f>IF($B14=0,1000000000,IF(INDEX('calcA'!$D$60:$EQ$99,$B14,16)*IF($W14=1,DQ14+AAF14,DQ14)=1,IF(AND($E14=2,IF($W14=1,AFU14,JF14)=0),1000000000,IF($V14=1,INDEX('calcA'!$D$130:$EQ$169,$B14,16)+IF(AND($E14=1,JF14=0),25,0),INDEX('calcA'!S$110:S$114,$F14+1)+IF(AND($E14=1,JF14=0),1000,0)+IF($H14=1,INDEX('calcA'!$D$180:$EQ$219,$B14,16)*500,0)-IF(AND('calcA'!R$117=1,UP14&gt;0),300,0)-IF(AND($U14=1,'calcA'!S$117=1,DR14=0),300,0))),1000000000))</f>
        <v/>
      </c>
      <c r="OV14">
        <f>IF($B14=0,1000000000,IF(INDEX('calcA'!$D$60:$EQ$99,$B14,17)*IF($W14=1,DR14+AAG14,DR14)=1,IF(AND($E14=2,IF($W14=1,AFV14,JG14)=0),1000000000,IF($V14=1,INDEX('calcA'!$D$130:$EQ$169,$B14,17)+IF(AND($E14=1,JG14=0),25,0),INDEX('calcA'!T$110:T$114,$F14+1)+IF(AND($E14=1,JG14=0),1000,0)+IF($H14=1,INDEX('calcA'!$D$180:$EQ$219,$B14,17)*500,0)-IF(AND('calcA'!S$117=1,UQ14&gt;0),300,0)-IF(AND($U14=1,'calcA'!T$117=1,DS14=0),300,0))),1000000000))</f>
        <v/>
      </c>
      <c r="OW14">
        <f>IF($B14=0,1000000000,IF(INDEX('calcA'!$D$60:$EQ$99,$B14,18)*IF($W14=1,DS14+AAH14,DS14)=1,IF(AND($E14=2,IF($W14=1,AFW14,JH14)=0),1000000000,IF($V14=1,INDEX('calcA'!$D$130:$EQ$169,$B14,18)+IF(AND($E14=1,JH14=0),25,0),INDEX('calcA'!U$110:U$114,$F14+1)+IF(AND($E14=1,JH14=0),1000,0)+IF($H14=1,INDEX('calcA'!$D$180:$EQ$219,$B14,18)*500,0)-IF(AND('calcA'!T$117=1,UR14&gt;0),300,0)-IF(AND($U14=1,'calcA'!U$117=1,DT14=0),300,0))),1000000000))</f>
        <v/>
      </c>
      <c r="OX14">
        <f>IF($B14=0,1000000000,IF(INDEX('calcA'!$D$60:$EQ$99,$B14,19)*IF($W14=1,DT14+AAI14,DT14)=1,IF(AND($E14=2,IF($W14=1,AFX14,JI14)=0),1000000000,IF($V14=1,INDEX('calcA'!$D$130:$EQ$169,$B14,19)+IF(AND($E14=1,JI14=0),25,0),INDEX('calcA'!V$110:V$114,$F14+1)+IF(AND($E14=1,JI14=0),1000,0)+IF($H14=1,INDEX('calcA'!$D$180:$EQ$219,$B14,19)*500,0)-IF(AND('calcA'!U$117=1,US14&gt;0),300,0)-IF(AND($U14=1,'calcA'!V$117=1,DU14=0),300,0))),1000000000))</f>
        <v/>
      </c>
      <c r="OY14">
        <f>IF($B14=0,1000000000,IF(INDEX('calcA'!$D$60:$EQ$99,$B14,20)*IF($W14=1,DU14+AAJ14,DU14)=1,IF(AND($E14=2,IF($W14=1,AFY14,JJ14)=0),1000000000,IF($V14=1,INDEX('calcA'!$D$130:$EQ$169,$B14,20)+IF(AND($E14=1,JJ14=0),25,0),INDEX('calcA'!W$110:W$114,$F14+1)+IF(AND($E14=1,JJ14=0),1000,0)+IF($H14=1,INDEX('calcA'!$D$180:$EQ$219,$B14,20)*500,0)-IF(AND('calcA'!V$117=1,UT14&gt;0),300,0)-IF(AND($U14=1,'calcA'!W$117=1,DV14=0),300,0))),1000000000))</f>
        <v/>
      </c>
      <c r="OZ14">
        <f>IF($B14=0,1000000000,IF(INDEX('calcA'!$D$60:$EQ$99,$B14,21)*IF($W14=1,DV14+AAK14,DV14)=1,IF(AND($E14=2,IF($W14=1,AFZ14,JK14)=0),1000000000,IF($V14=1,INDEX('calcA'!$D$130:$EQ$169,$B14,21)+IF(AND($E14=1,JK14=0),25,0),INDEX('calcA'!X$110:X$114,$F14+1)+IF(AND($E14=1,JK14=0),1000,0)+IF($H14=1,INDEX('calcA'!$D$180:$EQ$219,$B14,21)*500,0)-IF(AND('calcA'!W$117=1,UU14&gt;0),300,0)-IF(AND($U14=1,'calcA'!X$117=1,DW14=0),300,0))),1000000000))</f>
        <v/>
      </c>
      <c r="PA14">
        <f>IF($B14=0,1000000000,IF(INDEX('calcA'!$D$60:$EQ$99,$B14,22)*IF($W14=1,DW14+AAL14,DW14)=1,IF(AND($E14=2,IF($W14=1,AGA14,JL14)=0),1000000000,IF($V14=1,INDEX('calcA'!$D$130:$EQ$169,$B14,22)+IF(AND($E14=1,JL14=0),25,0),INDEX('calcA'!Y$110:Y$114,$F14+1)+IF(AND($E14=1,JL14=0),1000,0)+IF($H14=1,INDEX('calcA'!$D$180:$EQ$219,$B14,22)*500,0)-IF(AND('calcA'!X$117=1,UV14&gt;0),300,0)-IF(AND($U14=1,'calcA'!Y$117=1,DX14=0),300,0))),1000000000))</f>
        <v/>
      </c>
      <c r="PB14">
        <f>IF($B14=0,1000000000,IF(INDEX('calcA'!$D$60:$EQ$99,$B14,23)*IF($W14=1,DX14+AAM14,DX14)=1,IF(AND($E14=2,IF($W14=1,AGB14,JM14)=0),1000000000,IF($V14=1,INDEX('calcA'!$D$130:$EQ$169,$B14,23)+IF(AND($E14=1,JM14=0),25,0),INDEX('calcA'!Z$110:Z$114,$F14+1)+IF(AND($E14=1,JM14=0),1000,0)+IF($H14=1,INDEX('calcA'!$D$180:$EQ$219,$B14,23)*500,0)-IF(AND('calcA'!Y$117=1,UW14&gt;0),300,0)-IF(AND($U14=1,'calcA'!Z$117=1,DY14=0),300,0))),1000000000))</f>
        <v/>
      </c>
      <c r="PC14">
        <f>IF($B14=0,1000000000,IF(INDEX('calcA'!$D$60:$EQ$99,$B14,24)*IF($W14=1,DY14+AAN14,DY14)=1,IF(AND($E14=2,IF($W14=1,AGC14,JN14)=0),1000000000,IF($V14=1,INDEX('calcA'!$D$130:$EQ$169,$B14,24)+IF(AND($E14=1,JN14=0),25,0),INDEX('calcA'!AA$110:AA$114,$F14+1)+IF(AND($E14=1,JN14=0),1000,0)+IF($H14=1,INDEX('calcA'!$D$180:$EQ$219,$B14,24)*500,0)-IF(AND('calcA'!Z$117=1,UX14&gt;0),300,0))),1000000000))</f>
        <v/>
      </c>
      <c r="PD14">
        <f>IF($B14=0,1000000000,IF(INDEX('calcA'!$D$60:$EQ$99,$B14,25)*IF($W14=1,DZ14+AAO14,DZ14)=1,IF(AND($E14=2,IF($W14=1,AGD14,JO14)=0),1000000000,IF($V14=1,INDEX('calcA'!$D$130:$EQ$169,$B14,25)+IF(AND($E14=1,JO14=0),25,0),INDEX('calcA'!AB$110:AB$114,$F14+1)+IF(AND($E14=1,JO14=0),1000,0)+IF($H14=1,INDEX('calcA'!$D$180:$EQ$219,$B14,25)*500,0)-IF(AND($U14=1,'calcA'!AB$117=1,EA14=0),300,0))),1000000000))</f>
        <v/>
      </c>
      <c r="PE14">
        <f>IF($B14=0,1000000000,IF(INDEX('calcA'!$D$60:$EQ$99,$B14,26)*IF($W14=1,EA14+AAP14,EA14)=1,IF(AND($E14=2,IF($W14=1,AGE14,JP14)=0),1000000000,IF($V14=1,INDEX('calcA'!$D$130:$EQ$169,$B14,26)+IF(AND($E14=1,JP14=0),25,0),INDEX('calcA'!AC$110:AC$114,$F14+1)+IF(AND($E14=1,JP14=0),1000,0)+IF($H14=1,INDEX('calcA'!$D$180:$EQ$219,$B14,26)*500,0)-IF(AND('calcA'!AB$117=1,UZ14&gt;0),300,0)-IF(AND($U14=1,'calcA'!AC$117=1,EB14=0),300,0))),1000000000))</f>
        <v/>
      </c>
      <c r="PF14">
        <f>IF($B14=0,1000000000,IF(INDEX('calcA'!$D$60:$EQ$99,$B14,27)*IF($W14=1,EB14+AAQ14,EB14)=1,IF(AND($E14=2,IF($W14=1,AGF14,JQ14)=0),1000000000,IF($V14=1,INDEX('calcA'!$D$130:$EQ$169,$B14,27)+IF(AND($E14=1,JQ14=0),25,0),INDEX('calcA'!AD$110:AD$114,$F14+1)+IF(AND($E14=1,JQ14=0),1000,0)+IF($H14=1,INDEX('calcA'!$D$180:$EQ$219,$B14,27)*500,0)-IF(AND('calcA'!AC$117=1,VA14&gt;0),300,0)-IF(AND($U14=1,'calcA'!AD$117=1,EC14=0),300,0))),1000000000))</f>
        <v/>
      </c>
      <c r="PG14">
        <f>IF($B14=0,1000000000,IF(INDEX('calcA'!$D$60:$EQ$99,$B14,28)*IF($W14=1,EC14+AAR14,EC14)=1,IF(AND($E14=2,IF($W14=1,AGG14,JR14)=0),1000000000,IF($V14=1,INDEX('calcA'!$D$130:$EQ$169,$B14,28)+IF(AND($E14=1,JR14=0),25,0),INDEX('calcA'!AE$110:AE$114,$F14+1)+IF(AND($E14=1,JR14=0),1000,0)+IF($H14=1,INDEX('calcA'!$D$180:$EQ$219,$B14,28)*500,0)-IF(AND('calcA'!AD$117=1,VB14&gt;0),300,0)-IF(AND($U14=1,'calcA'!AE$117=1,ED14=0),300,0))),1000000000))</f>
        <v/>
      </c>
      <c r="PH14">
        <f>IF($B14=0,1000000000,IF(INDEX('calcA'!$D$60:$EQ$99,$B14,29)*IF($W14=1,ED14+AAS14,ED14)=1,IF(AND($E14=2,IF($W14=1,AGH14,JS14)=0),1000000000,IF($V14=1,INDEX('calcA'!$D$130:$EQ$169,$B14,29)+IF(AND($E14=1,JS14=0),25,0),INDEX('calcA'!AF$110:AF$114,$F14+1)+IF(AND($E14=1,JS14=0),1000,0)+IF($H14=1,INDEX('calcA'!$D$180:$EQ$219,$B14,29)*500,0)-IF(AND('calcA'!AE$117=1,VC14&gt;0),300,0)-IF(AND($U14=1,'calcA'!AF$117=1,EE14=0),300,0))),1000000000))</f>
        <v/>
      </c>
      <c r="PI14">
        <f>IF($B14=0,1000000000,IF(INDEX('calcA'!$D$60:$EQ$99,$B14,30)*IF($W14=1,EE14+AAT14,EE14)=1,IF(AND($E14=2,IF($W14=1,AGI14,JT14)=0),1000000000,IF($V14=1,INDEX('calcA'!$D$130:$EQ$169,$B14,30)+IF(AND($E14=1,JT14=0),25,0),INDEX('calcA'!AG$110:AG$114,$F14+1)+IF(AND($E14=1,JT14=0),1000,0)+IF($H14=1,INDEX('calcA'!$D$180:$EQ$219,$B14,30)*500,0)-IF(AND('calcA'!AF$117=1,VD14&gt;0),300,0)-IF(AND($U14=1,'calcA'!AG$117=1,EF14=0),300,0))),1000000000))</f>
        <v/>
      </c>
      <c r="PJ14">
        <f>IF($B14=0,1000000000,IF(INDEX('calcA'!$D$60:$EQ$99,$B14,31)*IF($W14=1,EF14+AAU14,EF14)=1,IF(AND($E14=2,IF($W14=1,AGJ14,JU14)=0),1000000000,IF($V14=1,INDEX('calcA'!$D$130:$EQ$169,$B14,31)+IF(AND($E14=1,JU14=0),25,0),INDEX('calcA'!AH$110:AH$114,$F14+1)+IF(AND($E14=1,JU14=0),1000,0)+IF($H14=1,INDEX('calcA'!$D$180:$EQ$219,$B14,31)*500,0)-IF(AND('calcA'!AG$117=1,VE14&gt;0),300,0)-IF(AND($U14=1,'calcA'!AH$117=1,EG14=0),300,0))),1000000000))</f>
        <v/>
      </c>
      <c r="PK14">
        <f>IF($B14=0,1000000000,IF(INDEX('calcA'!$D$60:$EQ$99,$B14,32)*IF($W14=1,EG14+AAV14,EG14)=1,IF(AND($E14=2,IF($W14=1,AGK14,JV14)=0),1000000000,IF($V14=1,INDEX('calcA'!$D$130:$EQ$169,$B14,32)+IF(AND($E14=1,JV14=0),25,0),INDEX('calcA'!AI$110:AI$114,$F14+1)+IF(AND($E14=1,JV14=0),1000,0)+IF($H14=1,INDEX('calcA'!$D$180:$EQ$219,$B14,32)*500,0)-IF(AND('calcA'!AH$117=1,VF14&gt;0),300,0)-IF(AND($U14=1,'calcA'!AI$117=1,EH14=0),300,0))),1000000000))</f>
        <v/>
      </c>
      <c r="PL14">
        <f>IF($B14=0,1000000000,IF(INDEX('calcA'!$D$60:$EQ$99,$B14,33)*IF($W14=1,EH14+AAW14,EH14)=1,IF(AND($E14=2,IF($W14=1,AGL14,JW14)=0),1000000000,IF($V14=1,INDEX('calcA'!$D$130:$EQ$169,$B14,33)+IF(AND($E14=1,JW14=0),25,0),INDEX('calcA'!AJ$110:AJ$114,$F14+1)+IF(AND($E14=1,JW14=0),1000,0)+IF($H14=1,INDEX('calcA'!$D$180:$EQ$219,$B14,33)*500,0)-IF(AND('calcA'!AI$117=1,VG14&gt;0),300,0)-IF(AND($U14=1,'calcA'!AJ$117=1,EI14=0),300,0))),1000000000))</f>
        <v/>
      </c>
      <c r="PM14">
        <f>IF($B14=0,1000000000,IF(INDEX('calcA'!$D$60:$EQ$99,$B14,34)*IF($W14=1,EI14+AAX14,EI14)=1,IF(AND($E14=2,IF($W14=1,AGM14,JX14)=0),1000000000,IF($V14=1,INDEX('calcA'!$D$130:$EQ$169,$B14,34)+IF(AND($E14=1,JX14=0),25,0),INDEX('calcA'!AK$110:AK$114,$F14+1)+IF(AND($E14=1,JX14=0),1000,0)+IF($H14=1,INDEX('calcA'!$D$180:$EQ$219,$B14,34)*500,0)-IF(AND('calcA'!AJ$117=1,VH14&gt;0),300,0)-IF(AND($U14=1,'calcA'!AK$117=1,EJ14=0),300,0))),1000000000))</f>
        <v/>
      </c>
      <c r="PN14">
        <f>IF($B14=0,1000000000,IF(INDEX('calcA'!$D$60:$EQ$99,$B14,35)*IF($W14=1,EJ14+AAY14,EJ14)=1,IF(AND($E14=2,IF($W14=1,AGN14,JY14)=0),1000000000,IF($V14=1,INDEX('calcA'!$D$130:$EQ$169,$B14,35)+IF(AND($E14=1,JY14=0),25,0),INDEX('calcA'!AL$110:AL$114,$F14+1)+IF(AND($E14=1,JY14=0),1000,0)+IF($H14=1,INDEX('calcA'!$D$180:$EQ$219,$B14,35)*500,0)-IF(AND('calcA'!AK$117=1,VI14&gt;0),300,0)-IF(AND($U14=1,'calcA'!AL$117=1,EK14=0),300,0))),1000000000))</f>
        <v/>
      </c>
      <c r="PO14">
        <f>IF($B14=0,1000000000,IF(INDEX('calcA'!$D$60:$EQ$99,$B14,36)*IF($W14=1,EK14+AAZ14,EK14)=1,IF(AND($E14=2,IF($W14=1,AGO14,JZ14)=0),1000000000,IF($V14=1,INDEX('calcA'!$D$130:$EQ$169,$B14,36)+IF(AND($E14=1,JZ14=0),25,0),INDEX('calcA'!AM$110:AM$114,$F14+1)+IF(AND($E14=1,JZ14=0),1000,0)+IF($H14=1,INDEX('calcA'!$D$180:$EQ$219,$B14,36)*500,0)-IF(AND('calcA'!AL$117=1,VJ14&gt;0),300,0)-IF(AND($U14=1,'calcA'!AM$117=1,EL14=0),300,0))),1000000000))</f>
        <v/>
      </c>
      <c r="PP14">
        <f>IF($B14=0,1000000000,IF(INDEX('calcA'!$D$60:$EQ$99,$B14,37)*IF($W14=1,EL14+ABA14,EL14)=1,IF(AND($E14=2,IF($W14=1,AGP14,KA14)=0),1000000000,IF($V14=1,INDEX('calcA'!$D$130:$EQ$169,$B14,37)+IF(AND($E14=1,KA14=0),25,0),INDEX('calcA'!AN$110:AN$114,$F14+1)+IF(AND($E14=1,KA14=0),1000,0)+IF($H14=1,INDEX('calcA'!$D$180:$EQ$219,$B14,37)*500,0)-IF(AND('calcA'!AM$117=1,VK14&gt;0),300,0)-IF(AND($U14=1,'calcA'!AN$117=1,EM14=0),300,0))),1000000000))</f>
        <v/>
      </c>
      <c r="PQ14">
        <f>IF($B14=0,1000000000,IF(INDEX('calcA'!$D$60:$EQ$99,$B14,38)*IF($W14=1,EM14+ABB14,EM14)=1,IF(AND($E14=2,IF($W14=1,AGQ14,KB14)=0),1000000000,IF($V14=1,INDEX('calcA'!$D$130:$EQ$169,$B14,38)+IF(AND($E14=1,KB14=0),25,0),INDEX('calcA'!AO$110:AO$114,$F14+1)+IF(AND($E14=1,KB14=0),1000,0)+IF($H14=1,INDEX('calcA'!$D$180:$EQ$219,$B14,38)*500,0)-IF(AND('calcA'!AN$117=1,VL14&gt;0),300,0)-IF(AND($U14=1,'calcA'!AO$117=1,EN14=0),300,0))),1000000000))</f>
        <v/>
      </c>
      <c r="PR14">
        <f>IF($B14=0,1000000000,IF(INDEX('calcA'!$D$60:$EQ$99,$B14,39)*IF($W14=1,EN14+ABC14,EN14)=1,IF(AND($E14=2,IF($W14=1,AGR14,KC14)=0),1000000000,IF($V14=1,INDEX('calcA'!$D$130:$EQ$169,$B14,39)+IF(AND($E14=1,KC14=0),25,0),INDEX('calcA'!AP$110:AP$114,$F14+1)+IF(AND($E14=1,KC14=0),1000,0)+IF($H14=1,INDEX('calcA'!$D$180:$EQ$219,$B14,39)*500,0)-IF(AND('calcA'!AO$117=1,VM14&gt;0),300,0)-IF(AND($U14=1,'calcA'!AP$117=1,EO14=0),300,0))),1000000000))</f>
        <v/>
      </c>
      <c r="PS14">
        <f>IF($B14=0,1000000000,IF(INDEX('calcA'!$D$60:$EQ$99,$B14,40)*IF($W14=1,EO14+ABD14,EO14)=1,IF(AND($E14=2,IF($W14=1,AGS14,KD14)=0),1000000000,IF($V14=1,INDEX('calcA'!$D$130:$EQ$169,$B14,40)+IF(AND($E14=1,KD14=0),25,0),INDEX('calcA'!AQ$110:AQ$114,$F14+1)+IF(AND($E14=1,KD14=0),1000,0)+IF($H14=1,INDEX('calcA'!$D$180:$EQ$219,$B14,40)*500,0)-IF(AND('calcA'!AP$117=1,VN14&gt;0),300,0)-IF(AND($U14=1,'calcA'!AQ$117=1,EP14=0),300,0))),1000000000))</f>
        <v/>
      </c>
      <c r="PT14">
        <f>IF($B14=0,1000000000,IF(INDEX('calcA'!$D$60:$EQ$99,$B14,41)*IF($W14=1,EP14+ABE14,EP14)=1,IF(AND($E14=2,IF($W14=1,AGT14,KE14)=0),1000000000,IF($V14=1,INDEX('calcA'!$D$130:$EQ$169,$B14,41)+IF(AND($E14=1,KE14=0),25,0),INDEX('calcA'!AR$110:AR$114,$F14+1)+IF(AND($E14=1,KE14=0),1000,0)+IF($H14=1,INDEX('calcA'!$D$180:$EQ$219,$B14,41)*500,0)-IF(AND('calcA'!AQ$117=1,VO14&gt;0),300,0)-IF(AND($U14=1,'calcA'!AR$117=1,EQ14=0),300,0))),1000000000))</f>
        <v/>
      </c>
      <c r="PU14">
        <f>IF($B14=0,1000000000,IF(INDEX('calcA'!$D$60:$EQ$99,$B14,42)*IF($W14=1,EQ14+ABF14,EQ14)=1,IF(AND($E14=2,IF($W14=1,AGU14,KF14)=0),1000000000,IF($V14=1,INDEX('calcA'!$D$130:$EQ$169,$B14,42)+IF(AND($E14=1,KF14=0),25,0),INDEX('calcA'!AS$110:AS$114,$F14+1)+IF(AND($E14=1,KF14=0),1000,0)+IF($H14=1,INDEX('calcA'!$D$180:$EQ$219,$B14,42)*500,0)-IF(AND('calcA'!AR$117=1,VP14&gt;0),300,0)-IF(AND($U14=1,'calcA'!AS$117=1,ER14=0),300,0))),1000000000))</f>
        <v/>
      </c>
      <c r="PV14">
        <f>IF($B14=0,1000000000,IF(INDEX('calcA'!$D$60:$EQ$99,$B14,43)*IF($W14=1,ER14+ABG14,ER14)=1,IF(AND($E14=2,IF($W14=1,AGV14,KG14)=0),1000000000,IF($V14=1,INDEX('calcA'!$D$130:$EQ$169,$B14,43)+IF(AND($E14=1,KG14=0),25,0),INDEX('calcA'!AT$110:AT$114,$F14+1)+IF(AND($E14=1,KG14=0),1000,0)+IF($H14=1,INDEX('calcA'!$D$180:$EQ$219,$B14,43)*500,0)-IF(AND('calcA'!AS$117=1,VQ14&gt;0),300,0)-IF(AND($U14=1,'calcA'!AT$117=1,ES14=0),300,0))),1000000000))</f>
        <v/>
      </c>
      <c r="PW14">
        <f>IF($B14=0,1000000000,IF(INDEX('calcA'!$D$60:$EQ$99,$B14,44)*IF($W14=1,ES14+ABH14,ES14)=1,IF(AND($E14=2,IF($W14=1,AGW14,KH14)=0),1000000000,IF($V14=1,INDEX('calcA'!$D$130:$EQ$169,$B14,44)+IF(AND($E14=1,KH14=0),25,0),INDEX('calcA'!AU$110:AU$114,$F14+1)+IF(AND($E14=1,KH14=0),1000,0)+IF($H14=1,INDEX('calcA'!$D$180:$EQ$219,$B14,44)*500,0)-IF(AND('calcA'!AT$117=1,VR14&gt;0),300,0)-IF(AND($U14=1,'calcA'!AU$117=1,ET14=0),300,0))),1000000000))</f>
        <v/>
      </c>
      <c r="PX14">
        <f>IF($B14=0,1000000000,IF(INDEX('calcA'!$D$60:$EQ$99,$B14,45)*IF($W14=1,ET14+ABI14,ET14)=1,IF(AND($E14=2,IF($W14=1,AGX14,KI14)=0),1000000000,IF($V14=1,INDEX('calcA'!$D$130:$EQ$169,$B14,45)+IF(AND($E14=1,KI14=0),25,0),INDEX('calcA'!AV$110:AV$114,$F14+1)+IF(AND($E14=1,KI14=0),1000,0)+IF($H14=1,INDEX('calcA'!$D$180:$EQ$219,$B14,45)*500,0)-IF(AND('calcA'!AU$117=1,VS14&gt;0),300,0)-IF(AND($U14=1,'calcA'!AV$117=1,EU14=0),300,0))),1000000000))</f>
        <v/>
      </c>
      <c r="PY14">
        <f>IF($B14=0,1000000000,IF(INDEX('calcA'!$D$60:$EQ$99,$B14,46)*IF($W14=1,EU14+ABJ14,EU14)=1,IF(AND($E14=2,IF($W14=1,AGY14,KJ14)=0),1000000000,IF($V14=1,INDEX('calcA'!$D$130:$EQ$169,$B14,46)+IF(AND($E14=1,KJ14=0),25,0),INDEX('calcA'!AW$110:AW$114,$F14+1)+IF(AND($E14=1,KJ14=0),1000,0)+IF($H14=1,INDEX('calcA'!$D$180:$EQ$219,$B14,46)*500,0)-IF(AND('calcA'!AV$117=1,VT14&gt;0),300,0)-IF(AND($U14=1,'calcA'!AW$117=1,EV14=0),300,0))),1000000000))</f>
        <v/>
      </c>
      <c r="PZ14">
        <f>IF($B14=0,1000000000,IF(INDEX('calcA'!$D$60:$EQ$99,$B14,47)*IF($W14=1,EV14+ABK14,EV14)=1,IF(AND($E14=2,IF($W14=1,AGZ14,KK14)=0),1000000000,IF($V14=1,INDEX('calcA'!$D$130:$EQ$169,$B14,47)+IF(AND($E14=1,KK14=0),25,0),INDEX('calcA'!AX$110:AX$114,$F14+1)+IF(AND($E14=1,KK14=0),1000,0)+IF($H14=1,INDEX('calcA'!$D$180:$EQ$219,$B14,47)*500,0)-IF(AND('calcA'!AW$117=1,VU14&gt;0),300,0)-IF(AND($U14=1,'calcA'!AX$117=1,EW14=0),300,0))),1000000000))</f>
        <v/>
      </c>
      <c r="QA14">
        <f>IF($B14=0,1000000000,IF(INDEX('calcA'!$D$60:$EQ$99,$B14,48)*IF($W14=1,EW14+ABL14,EW14)=1,IF(AND($E14=2,IF($W14=1,AHA14,KL14)=0),1000000000,IF($V14=1,INDEX('calcA'!$D$130:$EQ$169,$B14,48)+IF(AND($E14=1,KL14=0),25,0),INDEX('calcA'!AY$110:AY$114,$F14+1)+IF(AND($E14=1,KL14=0),1000,0)+IF($H14=1,INDEX('calcA'!$D$180:$EQ$219,$B14,48)*500,0)-IF(AND('calcA'!AX$117=1,VV14&gt;0),300,0))),1000000000))</f>
        <v/>
      </c>
      <c r="QB14">
        <f>IF($B14=0,1000000000,IF(INDEX('calcA'!$D$60:$EQ$99,$B14,49)*IF($W14=1,EX14+ABM14,EX14)=1,IF(AND($E14=2,IF($W14=1,AHB14,KM14)=0),1000000000,IF($V14=1,INDEX('calcA'!$D$130:$EQ$169,$B14,49)+IF(AND($E14=1,KM14=0),25,0),INDEX('calcA'!AZ$110:AZ$114,$F14+1)+IF(AND($E14=1,KM14=0),1000,0)+IF($H14=1,INDEX('calcA'!$D$180:$EQ$219,$B14,49)*500,0)-IF(AND($U14=1,'calcA'!AZ$117=1,EY14=0),300,0))),1000000000))</f>
        <v/>
      </c>
      <c r="QC14">
        <f>IF($B14=0,1000000000,IF(INDEX('calcA'!$D$60:$EQ$99,$B14,50)*IF($W14=1,EY14+ABN14,EY14)=1,IF(AND($E14=2,IF($W14=1,AHC14,KN14)=0),1000000000,IF($V14=1,INDEX('calcA'!$D$130:$EQ$169,$B14,50)+IF(AND($E14=1,KN14=0),25,0),INDEX('calcA'!BA$110:BA$114,$F14+1)+IF(AND($E14=1,KN14=0),1000,0)+IF($H14=1,INDEX('calcA'!$D$180:$EQ$219,$B14,50)*500,0)-IF(AND('calcA'!AZ$117=1,VX14&gt;0),300,0)-IF(AND($U14=1,'calcA'!BA$117=1,EZ14=0),300,0))),1000000000))</f>
        <v/>
      </c>
      <c r="QD14">
        <f>IF($B14=0,1000000000,IF(INDEX('calcA'!$D$60:$EQ$99,$B14,51)*IF($W14=1,EZ14+ABO14,EZ14)=1,IF(AND($E14=2,IF($W14=1,AHD14,KO14)=0),1000000000,IF($V14=1,INDEX('calcA'!$D$130:$EQ$169,$B14,51)+IF(AND($E14=1,KO14=0),25,0),INDEX('calcA'!BB$110:BB$114,$F14+1)+IF(AND($E14=1,KO14=0),1000,0)+IF($H14=1,INDEX('calcA'!$D$180:$EQ$219,$B14,51)*500,0)-IF(AND('calcA'!BA$117=1,VY14&gt;0),300,0)-IF(AND($U14=1,'calcA'!BB$117=1,FA14=0),300,0))),1000000000))</f>
        <v/>
      </c>
      <c r="QE14">
        <f>IF($B14=0,1000000000,IF(INDEX('calcA'!$D$60:$EQ$99,$B14,52)*IF($W14=1,FA14+ABP14,FA14)=1,IF(AND($E14=2,IF($W14=1,AHE14,KP14)=0),1000000000,IF($V14=1,INDEX('calcA'!$D$130:$EQ$169,$B14,52)+IF(AND($E14=1,KP14=0),25,0),INDEX('calcA'!BC$110:BC$114,$F14+1)+IF(AND($E14=1,KP14=0),1000,0)+IF($H14=1,INDEX('calcA'!$D$180:$EQ$219,$B14,52)*500,0)-IF(AND('calcA'!BB$117=1,VZ14&gt;0),300,0)-IF(AND($U14=1,'calcA'!BC$117=1,FB14=0),300,0))),1000000000))</f>
        <v/>
      </c>
      <c r="QF14">
        <f>IF($B14=0,1000000000,IF(INDEX('calcA'!$D$60:$EQ$99,$B14,53)*IF($W14=1,FB14+ABQ14,FB14)=1,IF(AND($E14=2,IF($W14=1,AHF14,KQ14)=0),1000000000,IF($V14=1,INDEX('calcA'!$D$130:$EQ$169,$B14,53)+IF(AND($E14=1,KQ14=0),25,0),INDEX('calcA'!BD$110:BD$114,$F14+1)+IF(AND($E14=1,KQ14=0),1000,0)+IF($H14=1,INDEX('calcA'!$D$180:$EQ$219,$B14,53)*500,0)-IF(AND('calcA'!BC$117=1,WA14&gt;0),300,0)-IF(AND($U14=1,'calcA'!BD$117=1,FC14=0),300,0))),1000000000))</f>
        <v/>
      </c>
      <c r="QG14">
        <f>IF($B14=0,1000000000,IF(INDEX('calcA'!$D$60:$EQ$99,$B14,54)*IF($W14=1,FC14+ABR14,FC14)=1,IF(AND($E14=2,IF($W14=1,AHG14,KR14)=0),1000000000,IF($V14=1,INDEX('calcA'!$D$130:$EQ$169,$B14,54)+IF(AND($E14=1,KR14=0),25,0),INDEX('calcA'!BE$110:BE$114,$F14+1)+IF(AND($E14=1,KR14=0),1000,0)+IF($H14=1,INDEX('calcA'!$D$180:$EQ$219,$B14,54)*500,0)-IF(AND('calcA'!BD$117=1,WB14&gt;0),300,0)-IF(AND($U14=1,'calcA'!BE$117=1,FD14=0),300,0))),1000000000))</f>
        <v/>
      </c>
      <c r="QH14">
        <f>IF($B14=0,1000000000,IF(INDEX('calcA'!$D$60:$EQ$99,$B14,55)*IF($W14=1,FD14+ABS14,FD14)=1,IF(AND($E14=2,IF($W14=1,AHH14,KS14)=0),1000000000,IF($V14=1,INDEX('calcA'!$D$130:$EQ$169,$B14,55)+IF(AND($E14=1,KS14=0),25,0),INDEX('calcA'!BF$110:BF$114,$F14+1)+IF(AND($E14=1,KS14=0),1000,0)+IF($H14=1,INDEX('calcA'!$D$180:$EQ$219,$B14,55)*500,0)-IF(AND('calcA'!BE$117=1,WC14&gt;0),300,0)-IF(AND($U14=1,'calcA'!BF$117=1,FE14=0),300,0))),1000000000))</f>
        <v/>
      </c>
      <c r="QI14">
        <f>IF($B14=0,1000000000,IF(INDEX('calcA'!$D$60:$EQ$99,$B14,56)*IF($W14=1,FE14+ABT14,FE14)=1,IF(AND($E14=2,IF($W14=1,AHI14,KT14)=0),1000000000,IF($V14=1,INDEX('calcA'!$D$130:$EQ$169,$B14,56)+IF(AND($E14=1,KT14=0),25,0),INDEX('calcA'!BG$110:BG$114,$F14+1)+IF(AND($E14=1,KT14=0),1000,0)+IF($H14=1,INDEX('calcA'!$D$180:$EQ$219,$B14,56)*500,0)-IF(AND('calcA'!BF$117=1,WD14&gt;0),300,0)-IF(AND($U14=1,'calcA'!BG$117=1,FF14=0),300,0))),1000000000))</f>
        <v/>
      </c>
      <c r="QJ14">
        <f>IF($B14=0,1000000000,IF(INDEX('calcA'!$D$60:$EQ$99,$B14,57)*IF($W14=1,FF14+ABU14,FF14)=1,IF(AND($E14=2,IF($W14=1,AHJ14,KU14)=0),1000000000,IF($V14=1,INDEX('calcA'!$D$130:$EQ$169,$B14,57)+IF(AND($E14=1,KU14=0),25,0),INDEX('calcA'!BH$110:BH$114,$F14+1)+IF(AND($E14=1,KU14=0),1000,0)+IF($H14=1,INDEX('calcA'!$D$180:$EQ$219,$B14,57)*500,0)-IF(AND('calcA'!BG$117=1,WE14&gt;0),300,0)-IF(AND($U14=1,'calcA'!BH$117=1,FG14=0),300,0))),1000000000))</f>
        <v/>
      </c>
      <c r="QK14">
        <f>IF($B14=0,1000000000,IF(INDEX('calcA'!$D$60:$EQ$99,$B14,58)*IF($W14=1,FG14+ABV14,FG14)=1,IF(AND($E14=2,IF($W14=1,AHK14,KV14)=0),1000000000,IF($V14=1,INDEX('calcA'!$D$130:$EQ$169,$B14,58)+IF(AND($E14=1,KV14=0),25,0),INDEX('calcA'!BI$110:BI$114,$F14+1)+IF(AND($E14=1,KV14=0),1000,0)+IF($H14=1,INDEX('calcA'!$D$180:$EQ$219,$B14,58)*500,0)-IF(AND('calcA'!BH$117=1,WF14&gt;0),300,0)-IF(AND($U14=1,'calcA'!BI$117=1,FH14=0),300,0))),1000000000))</f>
        <v/>
      </c>
      <c r="QL14">
        <f>IF($B14=0,1000000000,IF(INDEX('calcA'!$D$60:$EQ$99,$B14,59)*IF($W14=1,FH14+ABW14,FH14)=1,IF(AND($E14=2,IF($W14=1,AHL14,KW14)=0),1000000000,IF($V14=1,INDEX('calcA'!$D$130:$EQ$169,$B14,59)+IF(AND($E14=1,KW14=0),25,0),INDEX('calcA'!BJ$110:BJ$114,$F14+1)+IF(AND($E14=1,KW14=0),1000,0)+IF($H14=1,INDEX('calcA'!$D$180:$EQ$219,$B14,59)*500,0)-IF(AND('calcA'!BI$117=1,WG14&gt;0),300,0)-IF(AND($U14=1,'calcA'!BJ$117=1,FI14=0),300,0))),1000000000))</f>
        <v/>
      </c>
      <c r="QM14">
        <f>IF($B14=0,1000000000,IF(INDEX('calcA'!$D$60:$EQ$99,$B14,60)*IF($W14=1,FI14+ABX14,FI14)=1,IF(AND($E14=2,IF($W14=1,AHM14,KX14)=0),1000000000,IF($V14=1,INDEX('calcA'!$D$130:$EQ$169,$B14,60)+IF(AND($E14=1,KX14=0),25,0),INDEX('calcA'!BK$110:BK$114,$F14+1)+IF(AND($E14=1,KX14=0),1000,0)+IF($H14=1,INDEX('calcA'!$D$180:$EQ$219,$B14,60)*500,0)-IF(AND('calcA'!BJ$117=1,WH14&gt;0),300,0)-IF(AND($U14=1,'calcA'!BK$117=1,FJ14=0),300,0))),1000000000))</f>
        <v/>
      </c>
      <c r="QN14">
        <f>IF($B14=0,1000000000,IF(INDEX('calcA'!$D$60:$EQ$99,$B14,61)*IF($W14=1,FJ14+ABY14,FJ14)=1,IF(AND($E14=2,IF($W14=1,AHN14,KY14)=0),1000000000,IF($V14=1,INDEX('calcA'!$D$130:$EQ$169,$B14,61)+IF(AND($E14=1,KY14=0),25,0),INDEX('calcA'!BL$110:BL$114,$F14+1)+IF(AND($E14=1,KY14=0),1000,0)+IF($H14=1,INDEX('calcA'!$D$180:$EQ$219,$B14,61)*500,0)-IF(AND('calcA'!BK$117=1,WI14&gt;0),300,0)-IF(AND($U14=1,'calcA'!BL$117=1,FK14=0),300,0))),1000000000))</f>
        <v/>
      </c>
      <c r="QO14">
        <f>IF($B14=0,1000000000,IF(INDEX('calcA'!$D$60:$EQ$99,$B14,62)*IF($W14=1,FK14+ABZ14,FK14)=1,IF(AND($E14=2,IF($W14=1,AHO14,KZ14)=0),1000000000,IF($V14=1,INDEX('calcA'!$D$130:$EQ$169,$B14,62)+IF(AND($E14=1,KZ14=0),25,0),INDEX('calcA'!BM$110:BM$114,$F14+1)+IF(AND($E14=1,KZ14=0),1000,0)+IF($H14=1,INDEX('calcA'!$D$180:$EQ$219,$B14,62)*500,0)-IF(AND('calcA'!BL$117=1,WJ14&gt;0),300,0)-IF(AND($U14=1,'calcA'!BM$117=1,FL14=0),300,0))),1000000000))</f>
        <v/>
      </c>
      <c r="QP14">
        <f>IF($B14=0,1000000000,IF(INDEX('calcA'!$D$60:$EQ$99,$B14,63)*IF($W14=1,FL14+ACA14,FL14)=1,IF(AND($E14=2,IF($W14=1,AHP14,LA14)=0),1000000000,IF($V14=1,INDEX('calcA'!$D$130:$EQ$169,$B14,63)+IF(AND($E14=1,LA14=0),25,0),INDEX('calcA'!BN$110:BN$114,$F14+1)+IF(AND($E14=1,LA14=0),1000,0)+IF($H14=1,INDEX('calcA'!$D$180:$EQ$219,$B14,63)*500,0)-IF(AND('calcA'!BM$117=1,WK14&gt;0),300,0)-IF(AND($U14=1,'calcA'!BN$117=1,FM14=0),300,0))),1000000000))</f>
        <v/>
      </c>
      <c r="QQ14">
        <f>IF($B14=0,1000000000,IF(INDEX('calcA'!$D$60:$EQ$99,$B14,64)*IF($W14=1,FM14+ACB14,FM14)=1,IF(AND($E14=2,IF($W14=1,AHQ14,LB14)=0),1000000000,IF($V14=1,INDEX('calcA'!$D$130:$EQ$169,$B14,64)+IF(AND($E14=1,LB14=0),25,0),INDEX('calcA'!BO$110:BO$114,$F14+1)+IF(AND($E14=1,LB14=0),1000,0)+IF($H14=1,INDEX('calcA'!$D$180:$EQ$219,$B14,64)*500,0)-IF(AND('calcA'!BN$117=1,WL14&gt;0),300,0)-IF(AND($U14=1,'calcA'!BO$117=1,FN14=0),300,0))),1000000000))</f>
        <v/>
      </c>
      <c r="QR14">
        <f>IF($B14=0,1000000000,IF(INDEX('calcA'!$D$60:$EQ$99,$B14,65)*IF($W14=1,FN14+ACC14,FN14)=1,IF(AND($E14=2,IF($W14=1,AHR14,LC14)=0),1000000000,IF($V14=1,INDEX('calcA'!$D$130:$EQ$169,$B14,65)+IF(AND($E14=1,LC14=0),25,0),INDEX('calcA'!BP$110:BP$114,$F14+1)+IF(AND($E14=1,LC14=0),1000,0)+IF($H14=1,INDEX('calcA'!$D$180:$EQ$219,$B14,65)*500,0)-IF(AND('calcA'!BO$117=1,WM14&gt;0),300,0)-IF(AND($U14=1,'calcA'!BP$117=1,FO14=0),300,0))),1000000000))</f>
        <v/>
      </c>
      <c r="QS14">
        <f>IF($B14=0,1000000000,IF(INDEX('calcA'!$D$60:$EQ$99,$B14,66)*IF($W14=1,FO14+ACD14,FO14)=1,IF(AND($E14=2,IF($W14=1,AHS14,LD14)=0),1000000000,IF($V14=1,INDEX('calcA'!$D$130:$EQ$169,$B14,66)+IF(AND($E14=1,LD14=0),25,0),INDEX('calcA'!BQ$110:BQ$114,$F14+1)+IF(AND($E14=1,LD14=0),1000,0)+IF($H14=1,INDEX('calcA'!$D$180:$EQ$219,$B14,66)*500,0)-IF(AND('calcA'!BP$117=1,WN14&gt;0),300,0)-IF(AND($U14=1,'calcA'!BQ$117=1,FP14=0),300,0))),1000000000))</f>
        <v/>
      </c>
      <c r="QT14">
        <f>IF($B14=0,1000000000,IF(INDEX('calcA'!$D$60:$EQ$99,$B14,67)*IF($W14=1,FP14+ACE14,FP14)=1,IF(AND($E14=2,IF($W14=1,AHT14,LE14)=0),1000000000,IF($V14=1,INDEX('calcA'!$D$130:$EQ$169,$B14,67)+IF(AND($E14=1,LE14=0),25,0),INDEX('calcA'!BR$110:BR$114,$F14+1)+IF(AND($E14=1,LE14=0),1000,0)+IF($H14=1,INDEX('calcA'!$D$180:$EQ$219,$B14,67)*500,0)-IF(AND('calcA'!BQ$117=1,WO14&gt;0),300,0)-IF(AND($U14=1,'calcA'!BR$117=1,FQ14=0),300,0))),1000000000))</f>
        <v/>
      </c>
      <c r="QU14">
        <f>IF($B14=0,1000000000,IF(INDEX('calcA'!$D$60:$EQ$99,$B14,68)*IF($W14=1,FQ14+ACF14,FQ14)=1,IF(AND($E14=2,IF($W14=1,AHU14,LF14)=0),1000000000,IF($V14=1,INDEX('calcA'!$D$130:$EQ$169,$B14,68)+IF(AND($E14=1,LF14=0),25,0),INDEX('calcA'!BS$110:BS$114,$F14+1)+IF(AND($E14=1,LF14=0),1000,0)+IF($H14=1,INDEX('calcA'!$D$180:$EQ$219,$B14,68)*500,0)-IF(AND('calcA'!BR$117=1,WP14&gt;0),300,0)-IF(AND($U14=1,'calcA'!BS$117=1,FR14=0),300,0))),1000000000))</f>
        <v/>
      </c>
      <c r="QV14">
        <f>IF($B14=0,1000000000,IF(INDEX('calcA'!$D$60:$EQ$99,$B14,69)*IF($W14=1,FR14+ACG14,FR14)=1,IF(AND($E14=2,IF($W14=1,AHV14,LG14)=0),1000000000,IF($V14=1,INDEX('calcA'!$D$130:$EQ$169,$B14,69)+IF(AND($E14=1,LG14=0),25,0),INDEX('calcA'!BT$110:BT$114,$F14+1)+IF(AND($E14=1,LG14=0),1000,0)+IF($H14=1,INDEX('calcA'!$D$180:$EQ$219,$B14,69)*500,0)-IF(AND('calcA'!BS$117=1,WQ14&gt;0),300,0)-IF(AND($U14=1,'calcA'!BT$117=1,FS14=0),300,0))),1000000000))</f>
        <v/>
      </c>
      <c r="QW14">
        <f>IF($B14=0,1000000000,IF(INDEX('calcA'!$D$60:$EQ$99,$B14,70)*IF($W14=1,FS14+ACH14,FS14)=1,IF(AND($E14=2,IF($W14=1,AHW14,LH14)=0),1000000000,IF($V14=1,INDEX('calcA'!$D$130:$EQ$169,$B14,70)+IF(AND($E14=1,LH14=0),25,0),INDEX('calcA'!BU$110:BU$114,$F14+1)+IF(AND($E14=1,LH14=0),1000,0)+IF($H14=1,INDEX('calcA'!$D$180:$EQ$219,$B14,70)*500,0)-IF(AND('calcA'!BT$117=1,WR14&gt;0),300,0)-IF(AND($U14=1,'calcA'!BU$117=1,FT14=0),300,0))),1000000000))</f>
        <v/>
      </c>
      <c r="QX14">
        <f>IF($B14=0,1000000000,IF(INDEX('calcA'!$D$60:$EQ$99,$B14,71)*IF($W14=1,FT14+ACI14,FT14)=1,IF(AND($E14=2,IF($W14=1,AHX14,LI14)=0),1000000000,IF($V14=1,INDEX('calcA'!$D$130:$EQ$169,$B14,71)+IF(AND($E14=1,LI14=0),25,0),INDEX('calcA'!BV$110:BV$114,$F14+1)+IF(AND($E14=1,LI14=0),1000,0)+IF($H14=1,INDEX('calcA'!$D$180:$EQ$219,$B14,71)*500,0)-IF(AND('calcA'!BU$117=1,WS14&gt;0),300,0)-IF(AND($U14=1,'calcA'!BV$117=1,FU14=0),300,0))),1000000000))</f>
        <v/>
      </c>
      <c r="QY14">
        <f>IF($B14=0,1000000000,IF(INDEX('calcA'!$D$60:$EQ$99,$B14,72)*IF($W14=1,FU14+ACJ14,FU14)=1,IF(AND($E14=2,IF($W14=1,AHY14,LJ14)=0),1000000000,IF($V14=1,INDEX('calcA'!$D$130:$EQ$169,$B14,72)+IF(AND($E14=1,LJ14=0),25,0),INDEX('calcA'!BW$110:BW$114,$F14+1)+IF(AND($E14=1,LJ14=0),1000,0)+IF($H14=1,INDEX('calcA'!$D$180:$EQ$219,$B14,72)*500,0)-IF(AND('calcA'!BV$117=1,WT14&gt;0),300,0))),1000000000))</f>
        <v/>
      </c>
      <c r="QZ14">
        <f>IF($B14=0,1000000000,IF(INDEX('calcA'!$D$60:$EQ$99,$B14,73)*IF($W14=1,FV14+ACK14,FV14)=1,IF(AND($E14=2,IF($W14=1,AHZ14,LK14)=0),1000000000,IF($V14=1,INDEX('calcA'!$D$130:$EQ$169,$B14,73)+IF(AND($E14=1,LK14=0),25,0),INDEX('calcA'!BX$110:BX$114,$F14+1)+IF(AND($E14=1,LK14=0),1000,0)+IF($H14=1,INDEX('calcA'!$D$180:$EQ$219,$B14,73)*500,0)-IF(AND($U14=1,'calcA'!BX$117=1,FW14=0),300,0))),1000000000))</f>
        <v/>
      </c>
      <c r="RA14">
        <f>IF($B14=0,1000000000,IF(INDEX('calcA'!$D$60:$EQ$99,$B14,74)*IF($W14=1,FW14+ACL14,FW14)=1,IF(AND($E14=2,IF($W14=1,AIA14,LL14)=0),1000000000,IF($V14=1,INDEX('calcA'!$D$130:$EQ$169,$B14,74)+IF(AND($E14=1,LL14=0),25,0),INDEX('calcA'!BY$110:BY$114,$F14+1)+IF(AND($E14=1,LL14=0),1000,0)+IF($H14=1,INDEX('calcA'!$D$180:$EQ$219,$B14,74)*500,0)-IF(AND('calcA'!BX$117=1,WV14&gt;0),300,0)-IF(AND($U14=1,'calcA'!BY$117=1,FX14=0),300,0))),1000000000))</f>
        <v/>
      </c>
      <c r="RB14">
        <f>IF($B14=0,1000000000,IF(INDEX('calcA'!$D$60:$EQ$99,$B14,75)*IF($W14=1,FX14+ACM14,FX14)=1,IF(AND($E14=2,IF($W14=1,AIB14,LM14)=0),1000000000,IF($V14=1,INDEX('calcA'!$D$130:$EQ$169,$B14,75)+IF(AND($E14=1,LM14=0),25,0),INDEX('calcA'!BZ$110:BZ$114,$F14+1)+IF(AND($E14=1,LM14=0),1000,0)+IF($H14=1,INDEX('calcA'!$D$180:$EQ$219,$B14,75)*500,0)-IF(AND('calcA'!BY$117=1,WW14&gt;0),300,0)-IF(AND($U14=1,'calcA'!BZ$117=1,FY14=0),300,0))),1000000000))</f>
        <v/>
      </c>
      <c r="RC14">
        <f>IF($B14=0,1000000000,IF(INDEX('calcA'!$D$60:$EQ$99,$B14,76)*IF($W14=1,FY14+ACN14,FY14)=1,IF(AND($E14=2,IF($W14=1,AIC14,LN14)=0),1000000000,IF($V14=1,INDEX('calcA'!$D$130:$EQ$169,$B14,76)+IF(AND($E14=1,LN14=0),25,0),INDEX('calcA'!CA$110:CA$114,$F14+1)+IF(AND($E14=1,LN14=0),1000,0)+IF($H14=1,INDEX('calcA'!$D$180:$EQ$219,$B14,76)*500,0)-IF(AND('calcA'!BZ$117=1,WX14&gt;0),300,0)-IF(AND($U14=1,'calcA'!CA$117=1,FZ14=0),300,0))),1000000000))</f>
        <v/>
      </c>
      <c r="RD14">
        <f>IF($B14=0,1000000000,IF(INDEX('calcA'!$D$60:$EQ$99,$B14,77)*IF($W14=1,FZ14+ACO14,FZ14)=1,IF(AND($E14=2,IF($W14=1,AID14,LO14)=0),1000000000,IF($V14=1,INDEX('calcA'!$D$130:$EQ$169,$B14,77)+IF(AND($E14=1,LO14=0),25,0),INDEX('calcA'!CB$110:CB$114,$F14+1)+IF(AND($E14=1,LO14=0),1000,0)+IF($H14=1,INDEX('calcA'!$D$180:$EQ$219,$B14,77)*500,0)-IF(AND('calcA'!CA$117=1,WY14&gt;0),300,0)-IF(AND($U14=1,'calcA'!CB$117=1,GA14=0),300,0))),1000000000))</f>
        <v/>
      </c>
      <c r="RE14">
        <f>IF($B14=0,1000000000,IF(INDEX('calcA'!$D$60:$EQ$99,$B14,78)*IF($W14=1,GA14+ACP14,GA14)=1,IF(AND($E14=2,IF($W14=1,AIE14,LP14)=0),1000000000,IF($V14=1,INDEX('calcA'!$D$130:$EQ$169,$B14,78)+IF(AND($E14=1,LP14=0),25,0),INDEX('calcA'!CC$110:CC$114,$F14+1)+IF(AND($E14=1,LP14=0),1000,0)+IF($H14=1,INDEX('calcA'!$D$180:$EQ$219,$B14,78)*500,0)-IF(AND('calcA'!CB$117=1,WZ14&gt;0),300,0)-IF(AND($U14=1,'calcA'!CC$117=1,GB14=0),300,0))),1000000000))</f>
        <v/>
      </c>
      <c r="RF14">
        <f>IF($B14=0,1000000000,IF(INDEX('calcA'!$D$60:$EQ$99,$B14,79)*IF($W14=1,GB14+ACQ14,GB14)=1,IF(AND($E14=2,IF($W14=1,AIF14,LQ14)=0),1000000000,IF($V14=1,INDEX('calcA'!$D$130:$EQ$169,$B14,79)+IF(AND($E14=1,LQ14=0),25,0),INDEX('calcA'!CD$110:CD$114,$F14+1)+IF(AND($E14=1,LQ14=0),1000,0)+IF($H14=1,INDEX('calcA'!$D$180:$EQ$219,$B14,79)*500,0)-IF(AND('calcA'!CC$117=1,XA14&gt;0),300,0)-IF(AND($U14=1,'calcA'!CD$117=1,GC14=0),300,0))),1000000000))</f>
        <v/>
      </c>
      <c r="RG14">
        <f>IF($B14=0,1000000000,IF(INDEX('calcA'!$D$60:$EQ$99,$B14,80)*IF($W14=1,GC14+ACR14,GC14)=1,IF(AND($E14=2,IF($W14=1,AIG14,LR14)=0),1000000000,IF($V14=1,INDEX('calcA'!$D$130:$EQ$169,$B14,80)+IF(AND($E14=1,LR14=0),25,0),INDEX('calcA'!CE$110:CE$114,$F14+1)+IF(AND($E14=1,LR14=0),1000,0)+IF($H14=1,INDEX('calcA'!$D$180:$EQ$219,$B14,80)*500,0)-IF(AND('calcA'!CD$117=1,XB14&gt;0),300,0)-IF(AND($U14=1,'calcA'!CE$117=1,GD14=0),300,0))),1000000000))</f>
        <v/>
      </c>
      <c r="RH14">
        <f>IF($B14=0,1000000000,IF(INDEX('calcA'!$D$60:$EQ$99,$B14,81)*IF($W14=1,GD14+ACS14,GD14)=1,IF(AND($E14=2,IF($W14=1,AIH14,LS14)=0),1000000000,IF($V14=1,INDEX('calcA'!$D$130:$EQ$169,$B14,81)+IF(AND($E14=1,LS14=0),25,0),INDEX('calcA'!CF$110:CF$114,$F14+1)+IF(AND($E14=1,LS14=0),1000,0)+IF($H14=1,INDEX('calcA'!$D$180:$EQ$219,$B14,81)*500,0)-IF(AND('calcA'!CE$117=1,XC14&gt;0),300,0)-IF(AND($U14=1,'calcA'!CF$117=1,GE14=0),300,0))),1000000000))</f>
        <v/>
      </c>
      <c r="RI14">
        <f>IF($B14=0,1000000000,IF(INDEX('calcA'!$D$60:$EQ$99,$B14,82)*IF($W14=1,GE14+ACT14,GE14)=1,IF(AND($E14=2,IF($W14=1,AII14,LT14)=0),1000000000,IF($V14=1,INDEX('calcA'!$D$130:$EQ$169,$B14,82)+IF(AND($E14=1,LT14=0),25,0),INDEX('calcA'!CG$110:CG$114,$F14+1)+IF(AND($E14=1,LT14=0),1000,0)+IF($H14=1,INDEX('calcA'!$D$180:$EQ$219,$B14,82)*500,0)-IF(AND('calcA'!CF$117=1,XD14&gt;0),300,0)-IF(AND($U14=1,'calcA'!CG$117=1,GF14=0),300,0))),1000000000))</f>
        <v/>
      </c>
      <c r="RJ14">
        <f>IF($B14=0,1000000000,IF(INDEX('calcA'!$D$60:$EQ$99,$B14,83)*IF($W14=1,GF14+ACU14,GF14)=1,IF(AND($E14=2,IF($W14=1,AIJ14,LU14)=0),1000000000,IF($V14=1,INDEX('calcA'!$D$130:$EQ$169,$B14,83)+IF(AND($E14=1,LU14=0),25,0),INDEX('calcA'!CH$110:CH$114,$F14+1)+IF(AND($E14=1,LU14=0),1000,0)+IF($H14=1,INDEX('calcA'!$D$180:$EQ$219,$B14,83)*500,0)-IF(AND('calcA'!CG$117=1,XE14&gt;0),300,0)-IF(AND($U14=1,'calcA'!CH$117=1,GG14=0),300,0))),1000000000))</f>
        <v/>
      </c>
      <c r="RK14">
        <f>IF($B14=0,1000000000,IF(INDEX('calcA'!$D$60:$EQ$99,$B14,84)*IF($W14=1,GG14+ACV14,GG14)=1,IF(AND($E14=2,IF($W14=1,AIK14,LV14)=0),1000000000,IF($V14=1,INDEX('calcA'!$D$130:$EQ$169,$B14,84)+IF(AND($E14=1,LV14=0),25,0),INDEX('calcA'!CI$110:CI$114,$F14+1)+IF(AND($E14=1,LV14=0),1000,0)+IF($H14=1,INDEX('calcA'!$D$180:$EQ$219,$B14,84)*500,0)-IF(AND('calcA'!CH$117=1,XF14&gt;0),300,0)-IF(AND($U14=1,'calcA'!CI$117=1,GH14=0),300,0))),1000000000))</f>
        <v/>
      </c>
      <c r="RL14">
        <f>IF($B14=0,1000000000,IF(INDEX('calcA'!$D$60:$EQ$99,$B14,85)*IF($W14=1,GH14+ACW14,GH14)=1,IF(AND($E14=2,IF($W14=1,AIL14,LW14)=0),1000000000,IF($V14=1,INDEX('calcA'!$D$130:$EQ$169,$B14,85)+IF(AND($E14=1,LW14=0),25,0),INDEX('calcA'!CJ$110:CJ$114,$F14+1)+IF(AND($E14=1,LW14=0),1000,0)+IF($H14=1,INDEX('calcA'!$D$180:$EQ$219,$B14,85)*500,0)-IF(AND('calcA'!CI$117=1,XG14&gt;0),300,0)-IF(AND($U14=1,'calcA'!CJ$117=1,GI14=0),300,0))),1000000000))</f>
        <v/>
      </c>
      <c r="RM14">
        <f>IF($B14=0,1000000000,IF(INDEX('calcA'!$D$60:$EQ$99,$B14,86)*IF($W14=1,GI14+ACX14,GI14)=1,IF(AND($E14=2,IF($W14=1,AIM14,LX14)=0),1000000000,IF($V14=1,INDEX('calcA'!$D$130:$EQ$169,$B14,86)+IF(AND($E14=1,LX14=0),25,0),INDEX('calcA'!CK$110:CK$114,$F14+1)+IF(AND($E14=1,LX14=0),1000,0)+IF($H14=1,INDEX('calcA'!$D$180:$EQ$219,$B14,86)*500,0)-IF(AND('calcA'!CJ$117=1,XH14&gt;0),300,0)-IF(AND($U14=1,'calcA'!CK$117=1,GJ14=0),300,0))),1000000000))</f>
        <v/>
      </c>
      <c r="RN14">
        <f>IF($B14=0,1000000000,IF(INDEX('calcA'!$D$60:$EQ$99,$B14,87)*IF($W14=1,GJ14+ACY14,GJ14)=1,IF(AND($E14=2,IF($W14=1,AIN14,LY14)=0),1000000000,IF($V14=1,INDEX('calcA'!$D$130:$EQ$169,$B14,87)+IF(AND($E14=1,LY14=0),25,0),INDEX('calcA'!CL$110:CL$114,$F14+1)+IF(AND($E14=1,LY14=0),1000,0)+IF($H14=1,INDEX('calcA'!$D$180:$EQ$219,$B14,87)*500,0)-IF(AND('calcA'!CK$117=1,XI14&gt;0),300,0)-IF(AND($U14=1,'calcA'!CL$117=1,GK14=0),300,0))),1000000000))</f>
        <v/>
      </c>
      <c r="RO14">
        <f>IF($B14=0,1000000000,IF(INDEX('calcA'!$D$60:$EQ$99,$B14,88)*IF($W14=1,GK14+ACZ14,GK14)=1,IF(AND($E14=2,IF($W14=1,AIO14,LZ14)=0),1000000000,IF($V14=1,INDEX('calcA'!$D$130:$EQ$169,$B14,88)+IF(AND($E14=1,LZ14=0),25,0),INDEX('calcA'!CM$110:CM$114,$F14+1)+IF(AND($E14=1,LZ14=0),1000,0)+IF($H14=1,INDEX('calcA'!$D$180:$EQ$219,$B14,88)*500,0)-IF(AND('calcA'!CL$117=1,XJ14&gt;0),300,0)-IF(AND($U14=1,'calcA'!CM$117=1,GL14=0),300,0))),1000000000))</f>
        <v/>
      </c>
      <c r="RP14">
        <f>IF($B14=0,1000000000,IF(INDEX('calcA'!$D$60:$EQ$99,$B14,89)*IF($W14=1,GL14+ADA14,GL14)=1,IF(AND($E14=2,IF($W14=1,AIP14,MA14)=0),1000000000,IF($V14=1,INDEX('calcA'!$D$130:$EQ$169,$B14,89)+IF(AND($E14=1,MA14=0),25,0),INDEX('calcA'!CN$110:CN$114,$F14+1)+IF(AND($E14=1,MA14=0),1000,0)+IF($H14=1,INDEX('calcA'!$D$180:$EQ$219,$B14,89)*500,0)-IF(AND('calcA'!CM$117=1,XK14&gt;0),300,0)-IF(AND($U14=1,'calcA'!CN$117=1,GM14=0),300,0))),1000000000))</f>
        <v/>
      </c>
      <c r="RQ14">
        <f>IF($B14=0,1000000000,IF(INDEX('calcA'!$D$60:$EQ$99,$B14,90)*IF($W14=1,GM14+ADB14,GM14)=1,IF(AND($E14=2,IF($W14=1,AIQ14,MB14)=0),1000000000,IF($V14=1,INDEX('calcA'!$D$130:$EQ$169,$B14,90)+IF(AND($E14=1,MB14=0),25,0),INDEX('calcA'!CO$110:CO$114,$F14+1)+IF(AND($E14=1,MB14=0),1000,0)+IF($H14=1,INDEX('calcA'!$D$180:$EQ$219,$B14,90)*500,0)-IF(AND('calcA'!CN$117=1,XL14&gt;0),300,0)-IF(AND($U14=1,'calcA'!CO$117=1,GN14=0),300,0))),1000000000))</f>
        <v/>
      </c>
      <c r="RR14">
        <f>IF($B14=0,1000000000,IF(INDEX('calcA'!$D$60:$EQ$99,$B14,91)*IF($W14=1,GN14+ADC14,GN14)=1,IF(AND($E14=2,IF($W14=1,AIR14,MC14)=0),1000000000,IF($V14=1,INDEX('calcA'!$D$130:$EQ$169,$B14,91)+IF(AND($E14=1,MC14=0),25,0),INDEX('calcA'!CP$110:CP$114,$F14+1)+IF(AND($E14=1,MC14=0),1000,0)+IF($H14=1,INDEX('calcA'!$D$180:$EQ$219,$B14,91)*500,0)-IF(AND('calcA'!CO$117=1,XM14&gt;0),300,0)-IF(AND($U14=1,'calcA'!CP$117=1,GO14=0),300,0))),1000000000))</f>
        <v/>
      </c>
      <c r="RS14">
        <f>IF($B14=0,1000000000,IF(INDEX('calcA'!$D$60:$EQ$99,$B14,92)*IF($W14=1,GO14+ADD14,GO14)=1,IF(AND($E14=2,IF($W14=1,AIS14,MD14)=0),1000000000,IF($V14=1,INDEX('calcA'!$D$130:$EQ$169,$B14,92)+IF(AND($E14=1,MD14=0),25,0),INDEX('calcA'!CQ$110:CQ$114,$F14+1)+IF(AND($E14=1,MD14=0),1000,0)+IF($H14=1,INDEX('calcA'!$D$180:$EQ$219,$B14,92)*500,0)-IF(AND('calcA'!CP$117=1,XN14&gt;0),300,0)-IF(AND($U14=1,'calcA'!CQ$117=1,GP14=0),300,0))),1000000000))</f>
        <v/>
      </c>
      <c r="RT14">
        <f>IF($B14=0,1000000000,IF(INDEX('calcA'!$D$60:$EQ$99,$B14,93)*IF($W14=1,GP14+ADE14,GP14)=1,IF(AND($E14=2,IF($W14=1,AIT14,ME14)=0),1000000000,IF($V14=1,INDEX('calcA'!$D$130:$EQ$169,$B14,93)+IF(AND($E14=1,ME14=0),25,0),INDEX('calcA'!CR$110:CR$114,$F14+1)+IF(AND($E14=1,ME14=0),1000,0)+IF($H14=1,INDEX('calcA'!$D$180:$EQ$219,$B14,93)*500,0)-IF(AND('calcA'!CQ$117=1,XO14&gt;0),300,0)-IF(AND($U14=1,'calcA'!CR$117=1,GQ14=0),300,0))),1000000000))</f>
        <v/>
      </c>
      <c r="RU14">
        <f>IF($B14=0,1000000000,IF(INDEX('calcA'!$D$60:$EQ$99,$B14,94)*IF($W14=1,GQ14+ADF14,GQ14)=1,IF(AND($E14=2,IF($W14=1,AIU14,MF14)=0),1000000000,IF($V14=1,INDEX('calcA'!$D$130:$EQ$169,$B14,94)+IF(AND($E14=1,MF14=0),25,0),INDEX('calcA'!CS$110:CS$114,$F14+1)+IF(AND($E14=1,MF14=0),1000,0)+IF($H14=1,INDEX('calcA'!$D$180:$EQ$219,$B14,94)*500,0)-IF(AND('calcA'!CR$117=1,XP14&gt;0),300,0)-IF(AND($U14=1,'calcA'!CS$117=1,GR14=0),300,0))),1000000000))</f>
        <v/>
      </c>
      <c r="RV14">
        <f>IF($B14=0,1000000000,IF(INDEX('calcA'!$D$60:$EQ$99,$B14,95)*IF($W14=1,GR14+ADG14,GR14)=1,IF(AND($E14=2,IF($W14=1,AIV14,MG14)=0),1000000000,IF($V14=1,INDEX('calcA'!$D$130:$EQ$169,$B14,95)+IF(AND($E14=1,MG14=0),25,0),INDEX('calcA'!CT$110:CT$114,$F14+1)+IF(AND($E14=1,MG14=0),1000,0)+IF($H14=1,INDEX('calcA'!$D$180:$EQ$219,$B14,95)*500,0)-IF(AND('calcA'!CS$117=1,XQ14&gt;0),300,0)-IF(AND($U14=1,'calcA'!CT$117=1,GS14=0),300,0))),1000000000))</f>
        <v/>
      </c>
      <c r="RW14">
        <f>IF($B14=0,1000000000,IF(INDEX('calcA'!$D$60:$EQ$99,$B14,96)*IF($W14=1,GS14+ADH14,GS14)=1,IF(AND($E14=2,IF($W14=1,AIW14,MH14)=0),1000000000,IF($V14=1,INDEX('calcA'!$D$130:$EQ$169,$B14,96)+IF(AND($E14=1,MH14=0),25,0),INDEX('calcA'!CU$110:CU$114,$F14+1)+IF(AND($E14=1,MH14=0),1000,0)+IF($H14=1,INDEX('calcA'!$D$180:$EQ$219,$B14,96)*500,0)-IF(AND('calcA'!CT$117=1,XR14&gt;0),300,0))),1000000000))</f>
        <v/>
      </c>
      <c r="RX14">
        <f>IF($B14=0,1000000000,IF(INDEX('calcA'!$D$60:$EQ$99,$B14,97)*IF($W14=1,GT14+ADI14,GT14)=1,IF(AND($E14=2,IF($W14=1,AIX14,MI14)=0),1000000000,IF($V14=1,INDEX('calcA'!$D$130:$EQ$169,$B14,97)+IF(AND($E14=1,MI14=0),25,0),INDEX('calcA'!CV$110:CV$114,$F14+1)+IF(AND($E14=1,MI14=0),1000,0)+IF($H14=1,INDEX('calcA'!$D$180:$EQ$219,$B14,97)*500,0)-IF(AND($U14=1,'calcA'!CV$117=1,GU14=0),300,0))),1000000000))</f>
        <v/>
      </c>
      <c r="RY14">
        <f>IF($B14=0,1000000000,IF(INDEX('calcA'!$D$60:$EQ$99,$B14,98)*IF($W14=1,GU14+ADJ14,GU14)=1,IF(AND($E14=2,IF($W14=1,AIY14,MJ14)=0),1000000000,IF($V14=1,INDEX('calcA'!$D$130:$EQ$169,$B14,98)+IF(AND($E14=1,MJ14=0),25,0),INDEX('calcA'!CW$110:CW$114,$F14+1)+IF(AND($E14=1,MJ14=0),1000,0)+IF($H14=1,INDEX('calcA'!$D$180:$EQ$219,$B14,98)*500,0)-IF(AND('calcA'!CV$117=1,XT14&gt;0),300,0)-IF(AND($U14=1,'calcA'!CW$117=1,GV14=0),300,0))),1000000000))</f>
        <v/>
      </c>
      <c r="RZ14">
        <f>IF($B14=0,1000000000,IF(INDEX('calcA'!$D$60:$EQ$99,$B14,99)*IF($W14=1,GV14+ADK14,GV14)=1,IF(AND($E14=2,IF($W14=1,AIZ14,MK14)=0),1000000000,IF($V14=1,INDEX('calcA'!$D$130:$EQ$169,$B14,99)+IF(AND($E14=1,MK14=0),25,0),INDEX('calcA'!CX$110:CX$114,$F14+1)+IF(AND($E14=1,MK14=0),1000,0)+IF($H14=1,INDEX('calcA'!$D$180:$EQ$219,$B14,99)*500,0)-IF(AND('calcA'!CW$117=1,XU14&gt;0),300,0)-IF(AND($U14=1,'calcA'!CX$117=1,GW14=0),300,0))),1000000000))</f>
        <v/>
      </c>
      <c r="SA14">
        <f>IF($B14=0,1000000000,IF(INDEX('calcA'!$D$60:$EQ$99,$B14,100)*IF($W14=1,GW14+ADL14,GW14)=1,IF(AND($E14=2,IF($W14=1,AJA14,ML14)=0),1000000000,IF($V14=1,INDEX('calcA'!$D$130:$EQ$169,$B14,100)+IF(AND($E14=1,ML14=0),25,0),INDEX('calcA'!CY$110:CY$114,$F14+1)+IF(AND($E14=1,ML14=0),1000,0)+IF($H14=1,INDEX('calcA'!$D$180:$EQ$219,$B14,100)*500,0)-IF(AND('calcA'!CX$117=1,XV14&gt;0),300,0)-IF(AND($U14=1,'calcA'!CY$117=1,GX14=0),300,0))),1000000000))</f>
        <v/>
      </c>
      <c r="SB14">
        <f>IF($B14=0,1000000000,IF(INDEX('calcA'!$D$60:$EQ$99,$B14,101)*IF($W14=1,GX14+ADM14,GX14)=1,IF(AND($E14=2,IF($W14=1,AJB14,MM14)=0),1000000000,IF($V14=1,INDEX('calcA'!$D$130:$EQ$169,$B14,101)+IF(AND($E14=1,MM14=0),25,0),INDEX('calcA'!CZ$110:CZ$114,$F14+1)+IF(AND($E14=1,MM14=0),1000,0)+IF($H14=1,INDEX('calcA'!$D$180:$EQ$219,$B14,101)*500,0)-IF(AND('calcA'!CY$117=1,XW14&gt;0),300,0)-IF(AND($U14=1,'calcA'!CZ$117=1,GY14=0),300,0))),1000000000))</f>
        <v/>
      </c>
      <c r="SC14">
        <f>IF($B14=0,1000000000,IF(INDEX('calcA'!$D$60:$EQ$99,$B14,102)*IF($W14=1,GY14+ADN14,GY14)=1,IF(AND($E14=2,IF($W14=1,AJC14,MN14)=0),1000000000,IF($V14=1,INDEX('calcA'!$D$130:$EQ$169,$B14,102)+IF(AND($E14=1,MN14=0),25,0),INDEX('calcA'!DA$110:DA$114,$F14+1)+IF(AND($E14=1,MN14=0),1000,0)+IF($H14=1,INDEX('calcA'!$D$180:$EQ$219,$B14,102)*500,0)-IF(AND('calcA'!CZ$117=1,XX14&gt;0),300,0)-IF(AND($U14=1,'calcA'!DA$117=1,GZ14=0),300,0))),1000000000))</f>
        <v/>
      </c>
      <c r="SD14">
        <f>IF($B14=0,1000000000,IF(INDEX('calcA'!$D$60:$EQ$99,$B14,103)*IF($W14=1,GZ14+ADO14,GZ14)=1,IF(AND($E14=2,IF($W14=1,AJD14,MO14)=0),1000000000,IF($V14=1,INDEX('calcA'!$D$130:$EQ$169,$B14,103)+IF(AND($E14=1,MO14=0),25,0),INDEX('calcA'!DB$110:DB$114,$F14+1)+IF(AND($E14=1,MO14=0),1000,0)+IF($H14=1,INDEX('calcA'!$D$180:$EQ$219,$B14,103)*500,0)-IF(AND('calcA'!DA$117=1,XY14&gt;0),300,0)-IF(AND($U14=1,'calcA'!DB$117=1,HA14=0),300,0))),1000000000))</f>
        <v/>
      </c>
      <c r="SE14">
        <f>IF($B14=0,1000000000,IF(INDEX('calcA'!$D$60:$EQ$99,$B14,104)*IF($W14=1,HA14+ADP14,HA14)=1,IF(AND($E14=2,IF($W14=1,AJE14,MP14)=0),1000000000,IF($V14=1,INDEX('calcA'!$D$130:$EQ$169,$B14,104)+IF(AND($E14=1,MP14=0),25,0),INDEX('calcA'!DC$110:DC$114,$F14+1)+IF(AND($E14=1,MP14=0),1000,0)+IF($H14=1,INDEX('calcA'!$D$180:$EQ$219,$B14,104)*500,0)-IF(AND('calcA'!DB$117=1,XZ14&gt;0),300,0)-IF(AND($U14=1,'calcA'!DC$117=1,HB14=0),300,0))),1000000000))</f>
        <v/>
      </c>
      <c r="SF14">
        <f>IF($B14=0,1000000000,IF(INDEX('calcA'!$D$60:$EQ$99,$B14,105)*IF($W14=1,HB14+ADQ14,HB14)=1,IF(AND($E14=2,IF($W14=1,AJF14,MQ14)=0),1000000000,IF($V14=1,INDEX('calcA'!$D$130:$EQ$169,$B14,105)+IF(AND($E14=1,MQ14=0),25,0),INDEX('calcA'!DD$110:DD$114,$F14+1)+IF(AND($E14=1,MQ14=0),1000,0)+IF($H14=1,INDEX('calcA'!$D$180:$EQ$219,$B14,105)*500,0)-IF(AND('calcA'!DC$117=1,YA14&gt;0),300,0)-IF(AND($U14=1,'calcA'!DD$117=1,HC14=0),300,0))),1000000000))</f>
        <v/>
      </c>
      <c r="SG14">
        <f>IF($B14=0,1000000000,IF(INDEX('calcA'!$D$60:$EQ$99,$B14,106)*IF($W14=1,HC14+ADR14,HC14)=1,IF(AND($E14=2,IF($W14=1,AJG14,MR14)=0),1000000000,IF($V14=1,INDEX('calcA'!$D$130:$EQ$169,$B14,106)+IF(AND($E14=1,MR14=0),25,0),INDEX('calcA'!DE$110:DE$114,$F14+1)+IF(AND($E14=1,MR14=0),1000,0)+IF($H14=1,INDEX('calcA'!$D$180:$EQ$219,$B14,106)*500,0)-IF(AND('calcA'!DD$117=1,YB14&gt;0),300,0)-IF(AND($U14=1,'calcA'!DE$117=1,HD14=0),300,0))),1000000000))</f>
        <v/>
      </c>
      <c r="SH14">
        <f>IF($B14=0,1000000000,IF(INDEX('calcA'!$D$60:$EQ$99,$B14,107)*IF($W14=1,HD14+ADS14,HD14)=1,IF(AND($E14=2,IF($W14=1,AJH14,MS14)=0),1000000000,IF($V14=1,INDEX('calcA'!$D$130:$EQ$169,$B14,107)+IF(AND($E14=1,MS14=0),25,0),INDEX('calcA'!DF$110:DF$114,$F14+1)+IF(AND($E14=1,MS14=0),1000,0)+IF($H14=1,INDEX('calcA'!$D$180:$EQ$219,$B14,107)*500,0)-IF(AND('calcA'!DE$117=1,YC14&gt;0),300,0)-IF(AND($U14=1,'calcA'!DF$117=1,HE14=0),300,0))),1000000000))</f>
        <v/>
      </c>
      <c r="SI14">
        <f>IF($B14=0,1000000000,IF(INDEX('calcA'!$D$60:$EQ$99,$B14,108)*IF($W14=1,HE14+ADT14,HE14)=1,IF(AND($E14=2,IF($W14=1,AJI14,MT14)=0),1000000000,IF($V14=1,INDEX('calcA'!$D$130:$EQ$169,$B14,108)+IF(AND($E14=1,MT14=0),25,0),INDEX('calcA'!DG$110:DG$114,$F14+1)+IF(AND($E14=1,MT14=0),1000,0)+IF($H14=1,INDEX('calcA'!$D$180:$EQ$219,$B14,108)*500,0)-IF(AND('calcA'!DF$117=1,YD14&gt;0),300,0)-IF(AND($U14=1,'calcA'!DG$117=1,HF14=0),300,0))),1000000000))</f>
        <v/>
      </c>
      <c r="SJ14">
        <f>IF($B14=0,1000000000,IF(INDEX('calcA'!$D$60:$EQ$99,$B14,109)*IF($W14=1,HF14+ADU14,HF14)=1,IF(AND($E14=2,IF($W14=1,AJJ14,MU14)=0),1000000000,IF($V14=1,INDEX('calcA'!$D$130:$EQ$169,$B14,109)+IF(AND($E14=1,MU14=0),25,0),INDEX('calcA'!DH$110:DH$114,$F14+1)+IF(AND($E14=1,MU14=0),1000,0)+IF($H14=1,INDEX('calcA'!$D$180:$EQ$219,$B14,109)*500,0)-IF(AND('calcA'!DG$117=1,YE14&gt;0),300,0)-IF(AND($U14=1,'calcA'!DH$117=1,HG14=0),300,0))),1000000000))</f>
        <v/>
      </c>
      <c r="SK14">
        <f>IF($B14=0,1000000000,IF(INDEX('calcA'!$D$60:$EQ$99,$B14,110)*IF($W14=1,HG14+ADV14,HG14)=1,IF(AND($E14=2,IF($W14=1,AJK14,MV14)=0),1000000000,IF($V14=1,INDEX('calcA'!$D$130:$EQ$169,$B14,110)+IF(AND($E14=1,MV14=0),25,0),INDEX('calcA'!DI$110:DI$114,$F14+1)+IF(AND($E14=1,MV14=0),1000,0)+IF($H14=1,INDEX('calcA'!$D$180:$EQ$219,$B14,110)*500,0)-IF(AND('calcA'!DH$117=1,YF14&gt;0),300,0)-IF(AND($U14=1,'calcA'!DI$117=1,HH14=0),300,0))),1000000000))</f>
        <v/>
      </c>
      <c r="SL14">
        <f>IF($B14=0,1000000000,IF(INDEX('calcA'!$D$60:$EQ$99,$B14,111)*IF($W14=1,HH14+ADW14,HH14)=1,IF(AND($E14=2,IF($W14=1,AJL14,MW14)=0),1000000000,IF($V14=1,INDEX('calcA'!$D$130:$EQ$169,$B14,111)+IF(AND($E14=1,MW14=0),25,0),INDEX('calcA'!DJ$110:DJ$114,$F14+1)+IF(AND($E14=1,MW14=0),1000,0)+IF($H14=1,INDEX('calcA'!$D$180:$EQ$219,$B14,111)*500,0)-IF(AND('calcA'!DI$117=1,YG14&gt;0),300,0)-IF(AND($U14=1,'calcA'!DJ$117=1,HI14=0),300,0))),1000000000))</f>
        <v/>
      </c>
      <c r="SM14">
        <f>IF($B14=0,1000000000,IF(INDEX('calcA'!$D$60:$EQ$99,$B14,112)*IF($W14=1,HI14+ADX14,HI14)=1,IF(AND($E14=2,IF($W14=1,AJM14,MX14)=0),1000000000,IF($V14=1,INDEX('calcA'!$D$130:$EQ$169,$B14,112)+IF(AND($E14=1,MX14=0),25,0),INDEX('calcA'!DK$110:DK$114,$F14+1)+IF(AND($E14=1,MX14=0),1000,0)+IF($H14=1,INDEX('calcA'!$D$180:$EQ$219,$B14,112)*500,0)-IF(AND('calcA'!DJ$117=1,YH14&gt;0),300,0)-IF(AND($U14=1,'calcA'!DK$117=1,HJ14=0),300,0))),1000000000))</f>
        <v/>
      </c>
      <c r="SN14">
        <f>IF($B14=0,1000000000,IF(INDEX('calcA'!$D$60:$EQ$99,$B14,113)*IF($W14=1,HJ14+ADY14,HJ14)=1,IF(AND($E14=2,IF($W14=1,AJN14,MY14)=0),1000000000,IF($V14=1,INDEX('calcA'!$D$130:$EQ$169,$B14,113)+IF(AND($E14=1,MY14=0),25,0),INDEX('calcA'!DL$110:DL$114,$F14+1)+IF(AND($E14=1,MY14=0),1000,0)+IF($H14=1,INDEX('calcA'!$D$180:$EQ$219,$B14,113)*500,0)-IF(AND('calcA'!DK$117=1,YI14&gt;0),300,0)-IF(AND($U14=1,'calcA'!DL$117=1,HK14=0),300,0))),1000000000))</f>
        <v/>
      </c>
      <c r="SO14">
        <f>IF($B14=0,1000000000,IF(INDEX('calcA'!$D$60:$EQ$99,$B14,114)*IF($W14=1,HK14+ADZ14,HK14)=1,IF(AND($E14=2,IF($W14=1,AJO14,MZ14)=0),1000000000,IF($V14=1,INDEX('calcA'!$D$130:$EQ$169,$B14,114)+IF(AND($E14=1,MZ14=0),25,0),INDEX('calcA'!DM$110:DM$114,$F14+1)+IF(AND($E14=1,MZ14=0),1000,0)+IF($H14=1,INDEX('calcA'!$D$180:$EQ$219,$B14,114)*500,0)-IF(AND('calcA'!DL$117=1,YJ14&gt;0),300,0)-IF(AND($U14=1,'calcA'!DM$117=1,HL14=0),300,0))),1000000000))</f>
        <v/>
      </c>
      <c r="SP14">
        <f>IF($B14=0,1000000000,IF(INDEX('calcA'!$D$60:$EQ$99,$B14,115)*IF($W14=1,HL14+AEA14,HL14)=1,IF(AND($E14=2,IF($W14=1,AJP14,NA14)=0),1000000000,IF($V14=1,INDEX('calcA'!$D$130:$EQ$169,$B14,115)+IF(AND($E14=1,NA14=0),25,0),INDEX('calcA'!DN$110:DN$114,$F14+1)+IF(AND($E14=1,NA14=0),1000,0)+IF($H14=1,INDEX('calcA'!$D$180:$EQ$219,$B14,115)*500,0)-IF(AND('calcA'!DM$117=1,YK14&gt;0),300,0)-IF(AND($U14=1,'calcA'!DN$117=1,HM14=0),300,0))),1000000000))</f>
        <v/>
      </c>
      <c r="SQ14">
        <f>IF($B14=0,1000000000,IF(INDEX('calcA'!$D$60:$EQ$99,$B14,116)*IF($W14=1,HM14+AEB14,HM14)=1,IF(AND($E14=2,IF($W14=1,AJQ14,NB14)=0),1000000000,IF($V14=1,INDEX('calcA'!$D$130:$EQ$169,$B14,116)+IF(AND($E14=1,NB14=0),25,0),INDEX('calcA'!DO$110:DO$114,$F14+1)+IF(AND($E14=1,NB14=0),1000,0)+IF($H14=1,INDEX('calcA'!$D$180:$EQ$219,$B14,116)*500,0)-IF(AND('calcA'!DN$117=1,YL14&gt;0),300,0)-IF(AND($U14=1,'calcA'!DO$117=1,HN14=0),300,0))),1000000000))</f>
        <v/>
      </c>
      <c r="SR14">
        <f>IF($B14=0,1000000000,IF(INDEX('calcA'!$D$60:$EQ$99,$B14,117)*IF($W14=1,HN14+AEC14,HN14)=1,IF(AND($E14=2,IF($W14=1,AJR14,NC14)=0),1000000000,IF($V14=1,INDEX('calcA'!$D$130:$EQ$169,$B14,117)+IF(AND($E14=1,NC14=0),25,0),INDEX('calcA'!DP$110:DP$114,$F14+1)+IF(AND($E14=1,NC14=0),1000,0)+IF($H14=1,INDEX('calcA'!$D$180:$EQ$219,$B14,117)*500,0)-IF(AND('calcA'!DO$117=1,YM14&gt;0),300,0)-IF(AND($U14=1,'calcA'!DP$117=1,HO14=0),300,0))),1000000000))</f>
        <v/>
      </c>
      <c r="SS14">
        <f>IF($B14=0,1000000000,IF(INDEX('calcA'!$D$60:$EQ$99,$B14,118)*IF($W14=1,HO14+AED14,HO14)=1,IF(AND($E14=2,IF($W14=1,AJS14,ND14)=0),1000000000,IF($V14=1,INDEX('calcA'!$D$130:$EQ$169,$B14,118)+IF(AND($E14=1,ND14=0),25,0),INDEX('calcA'!DQ$110:DQ$114,$F14+1)+IF(AND($E14=1,ND14=0),1000,0)+IF($H14=1,INDEX('calcA'!$D$180:$EQ$219,$B14,118)*500,0)-IF(AND('calcA'!DP$117=1,YN14&gt;0),300,0)-IF(AND($U14=1,'calcA'!DQ$117=1,HP14=0),300,0))),1000000000))</f>
        <v/>
      </c>
      <c r="ST14">
        <f>IF($B14=0,1000000000,IF(INDEX('calcA'!$D$60:$EQ$99,$B14,119)*IF($W14=1,HP14+AEE14,HP14)=1,IF(AND($E14=2,IF($W14=1,AJT14,NE14)=0),1000000000,IF($V14=1,INDEX('calcA'!$D$130:$EQ$169,$B14,119)+IF(AND($E14=1,NE14=0),25,0),INDEX('calcA'!DR$110:DR$114,$F14+1)+IF(AND($E14=1,NE14=0),1000,0)+IF($H14=1,INDEX('calcA'!$D$180:$EQ$219,$B14,119)*500,0)-IF(AND('calcA'!DQ$117=1,YO14&gt;0),300,0)-IF(AND($U14=1,'calcA'!DR$117=1,HQ14=0),300,0))),1000000000))</f>
        <v/>
      </c>
      <c r="SU14">
        <f>IF($B14=0,1000000000,IF(INDEX('calcA'!$D$60:$EQ$99,$B14,120)*IF($W14=1,HQ14+AEF14,HQ14)=1,IF(AND($E14=2,IF($W14=1,AJU14,NF14)=0),1000000000,IF($V14=1,INDEX('calcA'!$D$130:$EQ$169,$B14,120)+IF(AND($E14=1,NF14=0),25,0),INDEX('calcA'!DS$110:DS$114,$F14+1)+IF(AND($E14=1,NF14=0),1000,0)+IF($H14=1,INDEX('calcA'!$D$180:$EQ$219,$B14,120)*500,0)-IF(AND('calcA'!DR$117=1,YP14&gt;0),300,0))),1000000000))</f>
        <v/>
      </c>
      <c r="SV14">
        <f>IF($B14=0,1000000000,IF(INDEX('calcA'!$D$60:$EQ$99,$B14,121)*IF($W14=1,HR14+AEG14,HR14)=1,IF(AND($E14=2,IF($W14=1,AJV14,NG14)=0),1000000000,IF($V14=1,INDEX('calcA'!$D$130:$EQ$169,$B14,121)+IF(AND($E14=1,NG14=0),25,0),INDEX('calcA'!DT$110:DT$114,$F14+1)+IF(AND($E14=1,NG14=0),1000,0)+IF($H14=1,INDEX('calcA'!$D$180:$EQ$219,$B14,121)*500,0)-IF(AND($U14=1,'calcA'!DT$117=1,HS14=0),300,0))),1000000000))</f>
        <v/>
      </c>
      <c r="SW14">
        <f>IF($B14=0,1000000000,IF(INDEX('calcA'!$D$60:$EQ$99,$B14,122)*IF($W14=1,HS14+AEH14,HS14)=1,IF(AND($E14=2,IF($W14=1,AJW14,NH14)=0),1000000000,IF($V14=1,INDEX('calcA'!$D$130:$EQ$169,$B14,122)+IF(AND($E14=1,NH14=0),25,0),INDEX('calcA'!DU$110:DU$114,$F14+1)+IF(AND($E14=1,NH14=0),1000,0)+IF($H14=1,INDEX('calcA'!$D$180:$EQ$219,$B14,122)*500,0)-IF(AND('calcA'!DT$117=1,YR14&gt;0),300,0)-IF(AND($U14=1,'calcA'!DU$117=1,HT14=0),300,0))),1000000000))</f>
        <v/>
      </c>
      <c r="SX14">
        <f>IF($B14=0,1000000000,IF(INDEX('calcA'!$D$60:$EQ$99,$B14,123)*IF($W14=1,HT14+AEI14,HT14)=1,IF(AND($E14=2,IF($W14=1,AJX14,NI14)=0),1000000000,IF($V14=1,INDEX('calcA'!$D$130:$EQ$169,$B14,123)+IF(AND($E14=1,NI14=0),25,0),INDEX('calcA'!DV$110:DV$114,$F14+1)+IF(AND($E14=1,NI14=0),1000,0)+IF($H14=1,INDEX('calcA'!$D$180:$EQ$219,$B14,123)*500,0)-IF(AND('calcA'!DU$117=1,YS14&gt;0),300,0)-IF(AND($U14=1,'calcA'!DV$117=1,HU14=0),300,0))),1000000000))</f>
        <v/>
      </c>
      <c r="SY14">
        <f>IF($B14=0,1000000000,IF(INDEX('calcA'!$D$60:$EQ$99,$B14,124)*IF($W14=1,HU14+AEJ14,HU14)=1,IF(AND($E14=2,IF($W14=1,AJY14,NJ14)=0),1000000000,IF($V14=1,INDEX('calcA'!$D$130:$EQ$169,$B14,124)+IF(AND($E14=1,NJ14=0),25,0),INDEX('calcA'!DW$110:DW$114,$F14+1)+IF(AND($E14=1,NJ14=0),1000,0)+IF($H14=1,INDEX('calcA'!$D$180:$EQ$219,$B14,124)*500,0)-IF(AND('calcA'!DV$117=1,YT14&gt;0),300,0)-IF(AND($U14=1,'calcA'!DW$117=1,HV14=0),300,0))),1000000000))</f>
        <v/>
      </c>
      <c r="SZ14">
        <f>IF($B14=0,1000000000,IF(INDEX('calcA'!$D$60:$EQ$99,$B14,125)*IF($W14=1,HV14+AEK14,HV14)=1,IF(AND($E14=2,IF($W14=1,AJZ14,NK14)=0),1000000000,IF($V14=1,INDEX('calcA'!$D$130:$EQ$169,$B14,125)+IF(AND($E14=1,NK14=0),25,0),INDEX('calcA'!DX$110:DX$114,$F14+1)+IF(AND($E14=1,NK14=0),1000,0)+IF($H14=1,INDEX('calcA'!$D$180:$EQ$219,$B14,125)*500,0)-IF(AND('calcA'!DW$117=1,YU14&gt;0),300,0)-IF(AND($U14=1,'calcA'!DX$117=1,HW14=0),300,0))),1000000000))</f>
        <v/>
      </c>
      <c r="TA14">
        <f>IF($B14=0,1000000000,IF(INDEX('calcA'!$D$60:$EQ$99,$B14,126)*IF($W14=1,HW14+AEL14,HW14)=1,IF(AND($E14=2,IF($W14=1,AKA14,NL14)=0),1000000000,IF($V14=1,INDEX('calcA'!$D$130:$EQ$169,$B14,126)+IF(AND($E14=1,NL14=0),25,0),INDEX('calcA'!DY$110:DY$114,$F14+1)+IF(AND($E14=1,NL14=0),1000,0)+IF($H14=1,INDEX('calcA'!$D$180:$EQ$219,$B14,126)*500,0)-IF(AND('calcA'!DX$117=1,YV14&gt;0),300,0)-IF(AND($U14=1,'calcA'!DY$117=1,HX14=0),300,0))),1000000000))</f>
        <v/>
      </c>
      <c r="TB14">
        <f>IF($B14=0,1000000000,IF(INDEX('calcA'!$D$60:$EQ$99,$B14,127)*IF($W14=1,HX14+AEM14,HX14)=1,IF(AND($E14=2,IF($W14=1,AKB14,NM14)=0),1000000000,IF($V14=1,INDEX('calcA'!$D$130:$EQ$169,$B14,127)+IF(AND($E14=1,NM14=0),25,0),INDEX('calcA'!DZ$110:DZ$114,$F14+1)+IF(AND($E14=1,NM14=0),1000,0)+IF($H14=1,INDEX('calcA'!$D$180:$EQ$219,$B14,127)*500,0)-IF(AND('calcA'!DY$117=1,YW14&gt;0),300,0)-IF(AND($U14=1,'calcA'!DZ$117=1,HY14=0),300,0))),1000000000))</f>
        <v/>
      </c>
      <c r="TC14">
        <f>IF($B14=0,1000000000,IF(INDEX('calcA'!$D$60:$EQ$99,$B14,128)*IF($W14=1,HY14+AEN14,HY14)=1,IF(AND($E14=2,IF($W14=1,AKC14,NN14)=0),1000000000,IF($V14=1,INDEX('calcA'!$D$130:$EQ$169,$B14,128)+IF(AND($E14=1,NN14=0),25,0),INDEX('calcA'!EA$110:EA$114,$F14+1)+IF(AND($E14=1,NN14=0),1000,0)+IF($H14=1,INDEX('calcA'!$D$180:$EQ$219,$B14,128)*500,0)-IF(AND('calcA'!DZ$117=1,YX14&gt;0),300,0)-IF(AND($U14=1,'calcA'!EA$117=1,HZ14=0),300,0))),1000000000))</f>
        <v/>
      </c>
      <c r="TD14">
        <f>IF($B14=0,1000000000,IF(INDEX('calcA'!$D$60:$EQ$99,$B14,129)*IF($W14=1,HZ14+AEO14,HZ14)=1,IF(AND($E14=2,IF($W14=1,AKD14,NO14)=0),1000000000,IF($V14=1,INDEX('calcA'!$D$130:$EQ$169,$B14,129)+IF(AND($E14=1,NO14=0),25,0),INDEX('calcA'!EB$110:EB$114,$F14+1)+IF(AND($E14=1,NO14=0),1000,0)+IF($H14=1,INDEX('calcA'!$D$180:$EQ$219,$B14,129)*500,0)-IF(AND('calcA'!EA$117=1,YY14&gt;0),300,0)-IF(AND($U14=1,'calcA'!EB$117=1,IA14=0),300,0))),1000000000))</f>
        <v/>
      </c>
      <c r="TE14">
        <f>IF($B14=0,1000000000,IF(INDEX('calcA'!$D$60:$EQ$99,$B14,130)*IF($W14=1,IA14+AEP14,IA14)=1,IF(AND($E14=2,IF($W14=1,AKE14,NP14)=0),1000000000,IF($V14=1,INDEX('calcA'!$D$130:$EQ$169,$B14,130)+IF(AND($E14=1,NP14=0),25,0),INDEX('calcA'!EC$110:EC$114,$F14+1)+IF(AND($E14=1,NP14=0),1000,0)+IF($H14=1,INDEX('calcA'!$D$180:$EQ$219,$B14,130)*500,0)-IF(AND('calcA'!EB$117=1,YZ14&gt;0),300,0)-IF(AND($U14=1,'calcA'!EC$117=1,IB14=0),300,0))),1000000000))</f>
        <v/>
      </c>
      <c r="TF14">
        <f>IF($B14=0,1000000000,IF(INDEX('calcA'!$D$60:$EQ$99,$B14,131)*IF($W14=1,IB14+AEQ14,IB14)=1,IF(AND($E14=2,IF($W14=1,AKF14,NQ14)=0),1000000000,IF($V14=1,INDEX('calcA'!$D$130:$EQ$169,$B14,131)+IF(AND($E14=1,NQ14=0),25,0),INDEX('calcA'!ED$110:ED$114,$F14+1)+IF(AND($E14=1,NQ14=0),1000,0)+IF($H14=1,INDEX('calcA'!$D$180:$EQ$219,$B14,131)*500,0)-IF(AND('calcA'!EC$117=1,ZA14&gt;0),300,0)-IF(AND($U14=1,'calcA'!ED$117=1,IC14=0),300,0))),1000000000))</f>
        <v/>
      </c>
      <c r="TG14">
        <f>IF($B14=0,1000000000,IF(INDEX('calcA'!$D$60:$EQ$99,$B14,132)*IF($W14=1,IC14+AER14,IC14)=1,IF(AND($E14=2,IF($W14=1,AKG14,NR14)=0),1000000000,IF($V14=1,INDEX('calcA'!$D$130:$EQ$169,$B14,132)+IF(AND($E14=1,NR14=0),25,0),INDEX('calcA'!EE$110:EE$114,$F14+1)+IF(AND($E14=1,NR14=0),1000,0)+IF($H14=1,INDEX('calcA'!$D$180:$EQ$219,$B14,132)*500,0)-IF(AND('calcA'!ED$117=1,ZB14&gt;0),300,0)-IF(AND($U14=1,'calcA'!EE$117=1,ID14=0),300,0))),1000000000))</f>
        <v/>
      </c>
      <c r="TH14">
        <f>IF($B14=0,1000000000,IF(INDEX('calcA'!$D$60:$EQ$99,$B14,133)*IF($W14=1,ID14+AES14,ID14)=1,IF(AND($E14=2,IF($W14=1,AKH14,NS14)=0),1000000000,IF($V14=1,INDEX('calcA'!$D$130:$EQ$169,$B14,133)+IF(AND($E14=1,NS14=0),25,0),INDEX('calcA'!EF$110:EF$114,$F14+1)+IF(AND($E14=1,NS14=0),1000,0)+IF($H14=1,INDEX('calcA'!$D$180:$EQ$219,$B14,133)*500,0)-IF(AND('calcA'!EE$117=1,ZC14&gt;0),300,0)-IF(AND($U14=1,'calcA'!EF$117=1,IE14=0),300,0))),1000000000))</f>
        <v/>
      </c>
      <c r="TI14">
        <f>IF($B14=0,1000000000,IF(INDEX('calcA'!$D$60:$EQ$99,$B14,134)*IF($W14=1,IE14+AET14,IE14)=1,IF(AND($E14=2,IF($W14=1,AKI14,NT14)=0),1000000000,IF($V14=1,INDEX('calcA'!$D$130:$EQ$169,$B14,134)+IF(AND($E14=1,NT14=0),25,0),INDEX('calcA'!EG$110:EG$114,$F14+1)+IF(AND($E14=1,NT14=0),1000,0)+IF($H14=1,INDEX('calcA'!$D$180:$EQ$219,$B14,134)*500,0)-IF(AND('calcA'!EF$117=1,ZD14&gt;0),300,0)-IF(AND($U14=1,'calcA'!EG$117=1,IF14=0),300,0))),1000000000))</f>
        <v/>
      </c>
      <c r="TJ14">
        <f>IF($B14=0,1000000000,IF(INDEX('calcA'!$D$60:$EQ$99,$B14,135)*IF($W14=1,IF14+AEU14,IF14)=1,IF(AND($E14=2,IF($W14=1,AKJ14,NU14)=0),1000000000,IF($V14=1,INDEX('calcA'!$D$130:$EQ$169,$B14,135)+IF(AND($E14=1,NU14=0),25,0),INDEX('calcA'!EH$110:EH$114,$F14+1)+IF(AND($E14=1,NU14=0),1000,0)+IF($H14=1,INDEX('calcA'!$D$180:$EQ$219,$B14,135)*500,0)-IF(AND('calcA'!EG$117=1,ZE14&gt;0),300,0)-IF(AND($U14=1,'calcA'!EH$117=1,IG14=0),300,0))),1000000000))</f>
        <v/>
      </c>
      <c r="TK14">
        <f>IF($B14=0,1000000000,IF(INDEX('calcA'!$D$60:$EQ$99,$B14,136)*IF($W14=1,IG14+AEV14,IG14)=1,IF(AND($E14=2,IF($W14=1,AKK14,NV14)=0),1000000000,IF($V14=1,INDEX('calcA'!$D$130:$EQ$169,$B14,136)+IF(AND($E14=1,NV14=0),25,0),INDEX('calcA'!EI$110:EI$114,$F14+1)+IF(AND($E14=1,NV14=0),1000,0)+IF($H14=1,INDEX('calcA'!$D$180:$EQ$219,$B14,136)*500,0)-IF(AND('calcA'!EH$117=1,ZF14&gt;0),300,0)-IF(AND($U14=1,'calcA'!EI$117=1,IH14=0),300,0))),1000000000))</f>
        <v/>
      </c>
      <c r="TL14">
        <f>IF($B14=0,1000000000,IF(INDEX('calcA'!$D$60:$EQ$99,$B14,137)*IF($W14=1,IH14+AEW14,IH14)=1,IF(AND($E14=2,IF($W14=1,AKL14,NW14)=0),1000000000,IF($V14=1,INDEX('calcA'!$D$130:$EQ$169,$B14,137)+IF(AND($E14=1,NW14=0),25,0),INDEX('calcA'!EJ$110:EJ$114,$F14+1)+IF(AND($E14=1,NW14=0),1000,0)+IF($H14=1,INDEX('calcA'!$D$180:$EQ$219,$B14,137)*500,0)-IF(AND('calcA'!EI$117=1,ZG14&gt;0),300,0)-IF(AND($U14=1,'calcA'!EJ$117=1,II14=0),300,0))),1000000000))</f>
        <v/>
      </c>
      <c r="TM14">
        <f>IF($B14=0,1000000000,IF(INDEX('calcA'!$D$60:$EQ$99,$B14,138)*IF($W14=1,II14+AEX14,II14)=1,IF(AND($E14=2,IF($W14=1,AKM14,NX14)=0),1000000000,IF($V14=1,INDEX('calcA'!$D$130:$EQ$169,$B14,138)+IF(AND($E14=1,NX14=0),25,0),INDEX('calcA'!EK$110:EK$114,$F14+1)+IF(AND($E14=1,NX14=0),1000,0)+IF($H14=1,INDEX('calcA'!$D$180:$EQ$219,$B14,138)*500,0)-IF(AND('calcA'!EJ$117=1,ZH14&gt;0),300,0)-IF(AND($U14=1,'calcA'!EK$117=1,IJ14=0),300,0))),1000000000))</f>
        <v/>
      </c>
      <c r="TN14">
        <f>IF($B14=0,1000000000,IF(INDEX('calcA'!$D$60:$EQ$99,$B14,139)*IF($W14=1,IJ14+AEY14,IJ14)=1,IF(AND($E14=2,IF($W14=1,AKN14,NY14)=0),1000000000,IF($V14=1,INDEX('calcA'!$D$130:$EQ$169,$B14,139)+IF(AND($E14=1,NY14=0),25,0),INDEX('calcA'!EL$110:EL$114,$F14+1)+IF(AND($E14=1,NY14=0),1000,0)+IF($H14=1,INDEX('calcA'!$D$180:$EQ$219,$B14,139)*500,0)-IF(AND('calcA'!EK$117=1,ZI14&gt;0),300,0)-IF(AND($U14=1,'calcA'!EL$117=1,IK14=0),300,0))),1000000000))</f>
        <v/>
      </c>
      <c r="TO14">
        <f>IF($B14=0,1000000000,IF(INDEX('calcA'!$D$60:$EQ$99,$B14,140)*IF($W14=1,IK14+AEZ14,IK14)=1,IF(AND($E14=2,IF($W14=1,AKO14,NZ14)=0),1000000000,IF($V14=1,INDEX('calcA'!$D$130:$EQ$169,$B14,140)+IF(AND($E14=1,NZ14=0),25,0),INDEX('calcA'!EM$110:EM$114,$F14+1)+IF(AND($E14=1,NZ14=0),1000,0)+IF($H14=1,INDEX('calcA'!$D$180:$EQ$219,$B14,140)*500,0)-IF(AND('calcA'!EL$117=1,ZJ14&gt;0),300,0)-IF(AND($U14=1,'calcA'!EM$117=1,IL14=0),300,0))),1000000000))</f>
        <v/>
      </c>
      <c r="TP14">
        <f>IF($B14=0,1000000000,IF(INDEX('calcA'!$D$60:$EQ$99,$B14,141)*IF($W14=1,IL14+AFA14,IL14)=1,IF(AND($E14=2,IF($W14=1,AKP14,OA14)=0),1000000000,IF($V14=1,INDEX('calcA'!$D$130:$EQ$169,$B14,141)+IF(AND($E14=1,OA14=0),25,0),INDEX('calcA'!EN$110:EN$114,$F14+1)+IF(AND($E14=1,OA14=0),1000,0)+IF($H14=1,INDEX('calcA'!$D$180:$EQ$219,$B14,141)*500,0)-IF(AND('calcA'!EM$117=1,ZK14&gt;0),300,0)-IF(AND($U14=1,'calcA'!EN$117=1,IM14=0),300,0))),1000000000))</f>
        <v/>
      </c>
      <c r="TQ14">
        <f>IF($B14=0,1000000000,IF(INDEX('calcA'!$D$60:$EQ$99,$B14,142)*IF($W14=1,IM14+AFB14,IM14)=1,IF(AND($E14=2,IF($W14=1,AKQ14,OB14)=0),1000000000,IF($V14=1,INDEX('calcA'!$D$130:$EQ$169,$B14,142)+IF(AND($E14=1,OB14=0),25,0),INDEX('calcA'!EO$110:EO$114,$F14+1)+IF(AND($E14=1,OB14=0),1000,0)+IF($H14=1,INDEX('calcA'!$D$180:$EQ$219,$B14,142)*500,0)-IF(AND('calcA'!EN$117=1,ZL14&gt;0),300,0)-IF(AND($U14=1,'calcA'!EO$117=1,IN14=0),300,0))),1000000000))</f>
        <v/>
      </c>
      <c r="TR14">
        <f>IF($B14=0,1000000000,IF(INDEX('calcA'!$D$60:$EQ$99,$B14,143)*IF($W14=1,IN14+AFC14,IN14)=1,IF(AND($E14=2,IF($W14=1,AKR14,OC14)=0),1000000000,IF($V14=1,INDEX('calcA'!$D$130:$EQ$169,$B14,143)+IF(AND($E14=1,OC14=0),25,0),INDEX('calcA'!EP$110:EP$114,$F14+1)+IF(AND($E14=1,OC14=0),1000,0)+IF($H14=1,INDEX('calcA'!$D$180:$EQ$219,$B14,143)*500,0)-IF(AND('calcA'!EO$117=1,ZM14&gt;0),300,0)-IF(AND($U14=1,'calcA'!EP$117=1,IO14=0),300,0))),1000000000))</f>
        <v/>
      </c>
      <c r="TS14">
        <f>IF($B14=0,1000000000,IF(INDEX('calcA'!$D$60:$EQ$99,$B14,144)*IF($W14=1,IO14+AFD14,IO14)=1,IF(AND($E14=2,IF($W14=1,AKS14,OD14)=0),1000000000,IF($V14=1,INDEX('calcA'!$D$130:$EQ$169,$B14,144)+IF(AND($E14=1,OD14=0),25,0),INDEX('calcA'!EQ$110:EQ$114,$F14+1)+IF(AND($E14=1,OD14=0),1000,0)+IF($H14=1,INDEX('calcA'!$D$180:$EQ$219,$B14,144)*500,0)-IF(AND('calcA'!EP$117=1,ZN14&gt;0),300,0))),1000000000))</f>
        <v/>
      </c>
      <c r="UB14">
        <f>UB13+IF(AND($C13=1,$U13=1),1,0)</f>
        <v/>
      </c>
      <c r="UC14">
        <f>UC13+IF(AND($C13=2,$U13=1),1,0)</f>
        <v/>
      </c>
      <c r="UD14">
        <f>UD13+IF(AND($C13=3,$U13=1),1,0)</f>
        <v/>
      </c>
      <c r="UE14">
        <f>UE13+IF(AND($C13=4,$U13=1),1,0)</f>
        <v/>
      </c>
      <c r="UF14">
        <f>UF13+IF(AND($C13=5,$U13=1),1,0)</f>
        <v/>
      </c>
      <c r="UG14">
        <f>UG13+IF(AND($C13=6,$U13=1),1,0)</f>
        <v/>
      </c>
      <c r="UH14">
        <f>UH13+IF(AND($C13=7,$U13=1),1,0)</f>
        <v/>
      </c>
      <c r="UI14">
        <f>UI13+IF(AND($C13=8,$U13=1),1,0)</f>
        <v/>
      </c>
      <c r="UJ14">
        <f>UJ13+IF(AND($C13=9,$U13=1),1,0)</f>
        <v/>
      </c>
      <c r="UK14">
        <f>UK13+IF(AND($C13=10,$U13=1),1,0)</f>
        <v/>
      </c>
      <c r="UL14">
        <f>UL13+IF(AND($C13=11,$U13=1),1,0)</f>
        <v/>
      </c>
      <c r="UM14">
        <f>UM13+IF(AND($C13=12,$U13=1),1,0)</f>
        <v/>
      </c>
      <c r="UN14">
        <f>UN13+IF(AND($C13=13,$U13=1),1,0)</f>
        <v/>
      </c>
      <c r="UO14">
        <f>UO13+IF(AND($C13=14,$U13=1),1,0)</f>
        <v/>
      </c>
      <c r="UP14">
        <f>UP13+IF(AND($C13=15,$U13=1),1,0)</f>
        <v/>
      </c>
      <c r="UQ14">
        <f>UQ13+IF(AND($C13=16,$U13=1),1,0)</f>
        <v/>
      </c>
      <c r="UR14">
        <f>UR13+IF(AND($C13=17,$U13=1),1,0)</f>
        <v/>
      </c>
      <c r="US14">
        <f>US13+IF(AND($C13=18,$U13=1),1,0)</f>
        <v/>
      </c>
      <c r="UT14">
        <f>UT13+IF(AND($C13=19,$U13=1),1,0)</f>
        <v/>
      </c>
      <c r="UU14">
        <f>UU13+IF(AND($C13=20,$U13=1),1,0)</f>
        <v/>
      </c>
      <c r="UV14">
        <f>UV13+IF(AND($C13=21,$U13=1),1,0)</f>
        <v/>
      </c>
      <c r="UW14">
        <f>UW13+IF(AND($C13=22,$U13=1),1,0)</f>
        <v/>
      </c>
      <c r="UX14">
        <f>UX13+IF(AND($C13=23,$U13=1),1,0)</f>
        <v/>
      </c>
      <c r="UY14">
        <f>UY13+IF(AND($C13=24,$U13=1),1,0)</f>
        <v/>
      </c>
      <c r="UZ14">
        <f>UZ13+IF(AND($C13=25,$U13=1),1,0)</f>
        <v/>
      </c>
      <c r="VA14">
        <f>VA13+IF(AND($C13=26,$U13=1),1,0)</f>
        <v/>
      </c>
      <c r="VB14">
        <f>VB13+IF(AND($C13=27,$U13=1),1,0)</f>
        <v/>
      </c>
      <c r="VC14">
        <f>VC13+IF(AND($C13=28,$U13=1),1,0)</f>
        <v/>
      </c>
      <c r="VD14">
        <f>VD13+IF(AND($C13=29,$U13=1),1,0)</f>
        <v/>
      </c>
      <c r="VE14">
        <f>VE13+IF(AND($C13=30,$U13=1),1,0)</f>
        <v/>
      </c>
      <c r="VF14">
        <f>VF13+IF(AND($C13=31,$U13=1),1,0)</f>
        <v/>
      </c>
      <c r="VG14">
        <f>VG13+IF(AND($C13=32,$U13=1),1,0)</f>
        <v/>
      </c>
      <c r="VH14">
        <f>VH13+IF(AND($C13=33,$U13=1),1,0)</f>
        <v/>
      </c>
      <c r="VI14">
        <f>VI13+IF(AND($C13=34,$U13=1),1,0)</f>
        <v/>
      </c>
      <c r="VJ14">
        <f>VJ13+IF(AND($C13=35,$U13=1),1,0)</f>
        <v/>
      </c>
      <c r="VK14">
        <f>VK13+IF(AND($C13=36,$U13=1),1,0)</f>
        <v/>
      </c>
      <c r="VL14">
        <f>VL13+IF(AND($C13=37,$U13=1),1,0)</f>
        <v/>
      </c>
      <c r="VM14">
        <f>VM13+IF(AND($C13=38,$U13=1),1,0)</f>
        <v/>
      </c>
      <c r="VN14">
        <f>VN13+IF(AND($C13=39,$U13=1),1,0)</f>
        <v/>
      </c>
      <c r="VO14">
        <f>VO13+IF(AND($C13=40,$U13=1),1,0)</f>
        <v/>
      </c>
      <c r="VP14">
        <f>VP13+IF(AND($C13=41,$U13=1),1,0)</f>
        <v/>
      </c>
      <c r="VQ14">
        <f>VQ13+IF(AND($C13=42,$U13=1),1,0)</f>
        <v/>
      </c>
      <c r="VR14">
        <f>VR13+IF(AND($C13=43,$U13=1),1,0)</f>
        <v/>
      </c>
      <c r="VS14">
        <f>VS13+IF(AND($C13=44,$U13=1),1,0)</f>
        <v/>
      </c>
      <c r="VT14">
        <f>VT13+IF(AND($C13=45,$U13=1),1,0)</f>
        <v/>
      </c>
      <c r="VU14">
        <f>VU13+IF(AND($C13=46,$U13=1),1,0)</f>
        <v/>
      </c>
      <c r="VV14">
        <f>VV13+IF(AND($C13=47,$U13=1),1,0)</f>
        <v/>
      </c>
      <c r="VW14">
        <f>VW13+IF(AND($C13=48,$U13=1),1,0)</f>
        <v/>
      </c>
      <c r="VX14">
        <f>VX13+IF(AND($C13=49,$U13=1),1,0)</f>
        <v/>
      </c>
      <c r="VY14">
        <f>VY13+IF(AND($C13=50,$U13=1),1,0)</f>
        <v/>
      </c>
      <c r="VZ14">
        <f>VZ13+IF(AND($C13=51,$U13=1),1,0)</f>
        <v/>
      </c>
      <c r="WA14">
        <f>WA13+IF(AND($C13=52,$U13=1),1,0)</f>
        <v/>
      </c>
      <c r="WB14">
        <f>WB13+IF(AND($C13=53,$U13=1),1,0)</f>
        <v/>
      </c>
      <c r="WC14">
        <f>WC13+IF(AND($C13=54,$U13=1),1,0)</f>
        <v/>
      </c>
      <c r="WD14">
        <f>WD13+IF(AND($C13=55,$U13=1),1,0)</f>
        <v/>
      </c>
      <c r="WE14">
        <f>WE13+IF(AND($C13=56,$U13=1),1,0)</f>
        <v/>
      </c>
      <c r="WF14">
        <f>WF13+IF(AND($C13=57,$U13=1),1,0)</f>
        <v/>
      </c>
      <c r="WG14">
        <f>WG13+IF(AND($C13=58,$U13=1),1,0)</f>
        <v/>
      </c>
      <c r="WH14">
        <f>WH13+IF(AND($C13=59,$U13=1),1,0)</f>
        <v/>
      </c>
      <c r="WI14">
        <f>WI13+IF(AND($C13=60,$U13=1),1,0)</f>
        <v/>
      </c>
      <c r="WJ14">
        <f>WJ13+IF(AND($C13=61,$U13=1),1,0)</f>
        <v/>
      </c>
      <c r="WK14">
        <f>WK13+IF(AND($C13=62,$U13=1),1,0)</f>
        <v/>
      </c>
      <c r="WL14">
        <f>WL13+IF(AND($C13=63,$U13=1),1,0)</f>
        <v/>
      </c>
      <c r="WM14">
        <f>WM13+IF(AND($C13=64,$U13=1),1,0)</f>
        <v/>
      </c>
      <c r="WN14">
        <f>WN13+IF(AND($C13=65,$U13=1),1,0)</f>
        <v/>
      </c>
      <c r="WO14">
        <f>WO13+IF(AND($C13=66,$U13=1),1,0)</f>
        <v/>
      </c>
      <c r="WP14">
        <f>WP13+IF(AND($C13=67,$U13=1),1,0)</f>
        <v/>
      </c>
      <c r="WQ14">
        <f>WQ13+IF(AND($C13=68,$U13=1),1,0)</f>
        <v/>
      </c>
      <c r="WR14">
        <f>WR13+IF(AND($C13=69,$U13=1),1,0)</f>
        <v/>
      </c>
      <c r="WS14">
        <f>WS13+IF(AND($C13=70,$U13=1),1,0)</f>
        <v/>
      </c>
      <c r="WT14">
        <f>WT13+IF(AND($C13=71,$U13=1),1,0)</f>
        <v/>
      </c>
      <c r="WU14">
        <f>WU13+IF(AND($C13=72,$U13=1),1,0)</f>
        <v/>
      </c>
      <c r="WV14">
        <f>WV13+IF(AND($C13=73,$U13=1),1,0)</f>
        <v/>
      </c>
      <c r="WW14">
        <f>WW13+IF(AND($C13=74,$U13=1),1,0)</f>
        <v/>
      </c>
      <c r="WX14">
        <f>WX13+IF(AND($C13=75,$U13=1),1,0)</f>
        <v/>
      </c>
      <c r="WY14">
        <f>WY13+IF(AND($C13=76,$U13=1),1,0)</f>
        <v/>
      </c>
      <c r="WZ14">
        <f>WZ13+IF(AND($C13=77,$U13=1),1,0)</f>
        <v/>
      </c>
      <c r="XA14">
        <f>XA13+IF(AND($C13=78,$U13=1),1,0)</f>
        <v/>
      </c>
      <c r="XB14">
        <f>XB13+IF(AND($C13=79,$U13=1),1,0)</f>
        <v/>
      </c>
      <c r="XC14">
        <f>XC13+IF(AND($C13=80,$U13=1),1,0)</f>
        <v/>
      </c>
      <c r="XD14">
        <f>XD13+IF(AND($C13=81,$U13=1),1,0)</f>
        <v/>
      </c>
      <c r="XE14">
        <f>XE13+IF(AND($C13=82,$U13=1),1,0)</f>
        <v/>
      </c>
      <c r="XF14">
        <f>XF13+IF(AND($C13=83,$U13=1),1,0)</f>
        <v/>
      </c>
      <c r="XG14">
        <f>XG13+IF(AND($C13=84,$U13=1),1,0)</f>
        <v/>
      </c>
      <c r="XH14">
        <f>XH13+IF(AND($C13=85,$U13=1),1,0)</f>
        <v/>
      </c>
      <c r="XI14">
        <f>XI13+IF(AND($C13=86,$U13=1),1,0)</f>
        <v/>
      </c>
      <c r="XJ14">
        <f>XJ13+IF(AND($C13=87,$U13=1),1,0)</f>
        <v/>
      </c>
      <c r="XK14">
        <f>XK13+IF(AND($C13=88,$U13=1),1,0)</f>
        <v/>
      </c>
      <c r="XL14">
        <f>XL13+IF(AND($C13=89,$U13=1),1,0)</f>
        <v/>
      </c>
      <c r="XM14">
        <f>XM13+IF(AND($C13=90,$U13=1),1,0)</f>
        <v/>
      </c>
      <c r="XN14">
        <f>XN13+IF(AND($C13=91,$U13=1),1,0)</f>
        <v/>
      </c>
      <c r="XO14">
        <f>XO13+IF(AND($C13=92,$U13=1),1,0)</f>
        <v/>
      </c>
      <c r="XP14">
        <f>XP13+IF(AND($C13=93,$U13=1),1,0)</f>
        <v/>
      </c>
      <c r="XQ14">
        <f>XQ13+IF(AND($C13=94,$U13=1),1,0)</f>
        <v/>
      </c>
      <c r="XR14">
        <f>XR13+IF(AND($C13=95,$U13=1),1,0)</f>
        <v/>
      </c>
      <c r="XS14">
        <f>XS13+IF(AND($C13=96,$U13=1),1,0)</f>
        <v/>
      </c>
      <c r="XT14">
        <f>XT13+IF(AND($C13=97,$U13=1),1,0)</f>
        <v/>
      </c>
      <c r="XU14">
        <f>XU13+IF(AND($C13=98,$U13=1),1,0)</f>
        <v/>
      </c>
      <c r="XV14">
        <f>XV13+IF(AND($C13=99,$U13=1),1,0)</f>
        <v/>
      </c>
      <c r="XW14">
        <f>XW13+IF(AND($C13=100,$U13=1),1,0)</f>
        <v/>
      </c>
      <c r="XX14">
        <f>XX13+IF(AND($C13=101,$U13=1),1,0)</f>
        <v/>
      </c>
      <c r="XY14">
        <f>XY13+IF(AND($C13=102,$U13=1),1,0)</f>
        <v/>
      </c>
      <c r="XZ14">
        <f>XZ13+IF(AND($C13=103,$U13=1),1,0)</f>
        <v/>
      </c>
      <c r="YA14">
        <f>YA13+IF(AND($C13=104,$U13=1),1,0)</f>
        <v/>
      </c>
      <c r="YB14">
        <f>YB13+IF(AND($C13=105,$U13=1),1,0)</f>
        <v/>
      </c>
      <c r="YC14">
        <f>YC13+IF(AND($C13=106,$U13=1),1,0)</f>
        <v/>
      </c>
      <c r="YD14">
        <f>YD13+IF(AND($C13=107,$U13=1),1,0)</f>
        <v/>
      </c>
      <c r="YE14">
        <f>YE13+IF(AND($C13=108,$U13=1),1,0)</f>
        <v/>
      </c>
      <c r="YF14">
        <f>YF13+IF(AND($C13=109,$U13=1),1,0)</f>
        <v/>
      </c>
      <c r="YG14">
        <f>YG13+IF(AND($C13=110,$U13=1),1,0)</f>
        <v/>
      </c>
      <c r="YH14">
        <f>YH13+IF(AND($C13=111,$U13=1),1,0)</f>
        <v/>
      </c>
      <c r="YI14">
        <f>YI13+IF(AND($C13=112,$U13=1),1,0)</f>
        <v/>
      </c>
      <c r="YJ14">
        <f>YJ13+IF(AND($C13=113,$U13=1),1,0)</f>
        <v/>
      </c>
      <c r="YK14">
        <f>YK13+IF(AND($C13=114,$U13=1),1,0)</f>
        <v/>
      </c>
      <c r="YL14">
        <f>YL13+IF(AND($C13=115,$U13=1),1,0)</f>
        <v/>
      </c>
      <c r="YM14">
        <f>YM13+IF(AND($C13=116,$U13=1),1,0)</f>
        <v/>
      </c>
      <c r="YN14">
        <f>YN13+IF(AND($C13=117,$U13=1),1,0)</f>
        <v/>
      </c>
      <c r="YO14">
        <f>YO13+IF(AND($C13=118,$U13=1),1,0)</f>
        <v/>
      </c>
      <c r="YP14">
        <f>YP13+IF(AND($C13=119,$U13=1),1,0)</f>
        <v/>
      </c>
      <c r="YQ14">
        <f>YQ13+IF(AND($C13=120,$U13=1),1,0)</f>
        <v/>
      </c>
      <c r="YR14">
        <f>YR13+IF(AND($C13=121,$U13=1),1,0)</f>
        <v/>
      </c>
      <c r="YS14">
        <f>YS13+IF(AND($C13=122,$U13=1),1,0)</f>
        <v/>
      </c>
      <c r="YT14">
        <f>YT13+IF(AND($C13=123,$U13=1),1,0)</f>
        <v/>
      </c>
      <c r="YU14">
        <f>YU13+IF(AND($C13=124,$U13=1),1,0)</f>
        <v/>
      </c>
      <c r="YV14">
        <f>YV13+IF(AND($C13=125,$U13=1),1,0)</f>
        <v/>
      </c>
      <c r="YW14">
        <f>YW13+IF(AND($C13=126,$U13=1),1,0)</f>
        <v/>
      </c>
      <c r="YX14">
        <f>YX13+IF(AND($C13=127,$U13=1),1,0)</f>
        <v/>
      </c>
      <c r="YY14">
        <f>YY13+IF(AND($C13=128,$U13=1),1,0)</f>
        <v/>
      </c>
      <c r="YZ14">
        <f>YZ13+IF(AND($C13=129,$U13=1),1,0)</f>
        <v/>
      </c>
      <c r="ZA14">
        <f>ZA13+IF(AND($C13=130,$U13=1),1,0)</f>
        <v/>
      </c>
      <c r="ZB14">
        <f>ZB13+IF(AND($C13=131,$U13=1),1,0)</f>
        <v/>
      </c>
      <c r="ZC14">
        <f>ZC13+IF(AND($C13=132,$U13=1),1,0)</f>
        <v/>
      </c>
      <c r="ZD14">
        <f>ZD13+IF(AND($C13=133,$U13=1),1,0)</f>
        <v/>
      </c>
      <c r="ZE14">
        <f>ZE13+IF(AND($C13=134,$U13=1),1,0)</f>
        <v/>
      </c>
      <c r="ZF14">
        <f>ZF13+IF(AND($C13=135,$U13=1),1,0)</f>
        <v/>
      </c>
      <c r="ZG14">
        <f>ZG13+IF(AND($C13=136,$U13=1),1,0)</f>
        <v/>
      </c>
      <c r="ZH14">
        <f>ZH13+IF(AND($C13=137,$U13=1),1,0)</f>
        <v/>
      </c>
      <c r="ZI14">
        <f>ZI13+IF(AND($C13=138,$U13=1),1,0)</f>
        <v/>
      </c>
      <c r="ZJ14">
        <f>ZJ13+IF(AND($C13=139,$U13=1),1,0)</f>
        <v/>
      </c>
      <c r="ZK14">
        <f>ZK13+IF(AND($C13=140,$U13=1),1,0)</f>
        <v/>
      </c>
      <c r="ZL14">
        <f>ZL13+IF(AND($C13=141,$U13=1),1,0)</f>
        <v/>
      </c>
      <c r="ZM14">
        <f>ZM13+IF(AND($C13=142,$U13=1),1,0)</f>
        <v/>
      </c>
      <c r="ZN14">
        <f>ZN13+IF(AND($C13=143,$U13=1),1,0)</f>
        <v/>
      </c>
      <c r="ZO14">
        <f>ZO13+IF(AND($C13=144,$U13=1),1,0)</f>
        <v/>
      </c>
      <c r="ZQ14">
        <f>IF($C13=1,0,ZQ13+IF(AND($G13=1,$E13=1),1,0))</f>
        <v/>
      </c>
      <c r="ZR14">
        <f>IF($C13=2,0,ZR13+IF(AND($G13=2,$E13=1),1,0))</f>
        <v/>
      </c>
      <c r="ZS14">
        <f>IF($C13=3,0,ZS13+IF(AND($G13=3,$E13=1),1,0))</f>
        <v/>
      </c>
      <c r="ZT14">
        <f>IF($C13=4,0,ZT13+IF(AND($G13=4,$E13=1),1,0))</f>
        <v/>
      </c>
      <c r="ZU14">
        <f>IF($C13=5,0,ZU13+IF(AND($G13=5,$E13=1),1,0))</f>
        <v/>
      </c>
      <c r="ZV14">
        <f>IF($C13=6,0,ZV13+IF(AND($G13=6,$E13=1),1,0))</f>
        <v/>
      </c>
      <c r="ZW14">
        <f>IF($C13=7,0,ZW13+IF(AND($G13=7,$E13=1),1,0))</f>
        <v/>
      </c>
      <c r="ZX14">
        <f>IF($C13=8,0,ZX13+IF(AND($G13=8,$E13=1),1,0))</f>
        <v/>
      </c>
      <c r="ZY14">
        <f>IF($C13=9,0,ZY13+IF(AND($G13=9,$E13=1),1,0))</f>
        <v/>
      </c>
      <c r="ZZ14">
        <f>IF($C13=10,0,ZZ13+IF(AND($G13=10,$E13=1),1,0))</f>
        <v/>
      </c>
      <c r="AAA14">
        <f>IF($C13=11,0,AAA13+IF(AND($G13=11,$E13=1),1,0))</f>
        <v/>
      </c>
      <c r="AAB14">
        <f>IF($C13=12,0,AAB13+IF(AND($G13=12,$E13=1),1,0))</f>
        <v/>
      </c>
      <c r="AAC14">
        <f>IF($C13=13,0,AAC13+IF(AND($G13=13,$E13=1),1,0))</f>
        <v/>
      </c>
      <c r="AAD14">
        <f>IF($C13=14,0,AAD13+IF(AND($G13=14,$E13=1),1,0))</f>
        <v/>
      </c>
      <c r="AAE14">
        <f>IF($C13=15,0,AAE13+IF(AND($G13=15,$E13=1),1,0))</f>
        <v/>
      </c>
      <c r="AAF14">
        <f>IF($C13=16,0,AAF13+IF(AND($G13=16,$E13=1),1,0))</f>
        <v/>
      </c>
      <c r="AAG14">
        <f>IF($C13=17,0,AAG13+IF(AND($G13=17,$E13=1),1,0))</f>
        <v/>
      </c>
      <c r="AAH14">
        <f>IF($C13=18,0,AAH13+IF(AND($G13=18,$E13=1),1,0))</f>
        <v/>
      </c>
      <c r="AAI14">
        <f>IF($C13=19,0,AAI13+IF(AND($G13=19,$E13=1),1,0))</f>
        <v/>
      </c>
      <c r="AAJ14">
        <f>IF($C13=20,0,AAJ13+IF(AND($G13=20,$E13=1),1,0))</f>
        <v/>
      </c>
      <c r="AAK14">
        <f>IF($C13=21,0,AAK13+IF(AND($G13=21,$E13=1),1,0))</f>
        <v/>
      </c>
      <c r="AAL14">
        <f>IF($C13=22,0,AAL13+IF(AND($G13=22,$E13=1),1,0))</f>
        <v/>
      </c>
      <c r="AAM14">
        <f>IF($C13=23,0,AAM13+IF(AND($G13=23,$E13=1),1,0))</f>
        <v/>
      </c>
      <c r="AAN14">
        <f>IF($C13=24,0,AAN13+IF(AND($G13=24,$E13=1),1,0))</f>
        <v/>
      </c>
      <c r="AAO14">
        <f>IF($C13=25,0,AAO13+IF(AND($G13=25,$E13=1),1,0))</f>
        <v/>
      </c>
      <c r="AAP14">
        <f>IF($C13=26,0,AAP13+IF(AND($G13=26,$E13=1),1,0))</f>
        <v/>
      </c>
      <c r="AAQ14">
        <f>IF($C13=27,0,AAQ13+IF(AND($G13=27,$E13=1),1,0))</f>
        <v/>
      </c>
      <c r="AAR14">
        <f>IF($C13=28,0,AAR13+IF(AND($G13=28,$E13=1),1,0))</f>
        <v/>
      </c>
      <c r="AAS14">
        <f>IF($C13=29,0,AAS13+IF(AND($G13=29,$E13=1),1,0))</f>
        <v/>
      </c>
      <c r="AAT14">
        <f>IF($C13=30,0,AAT13+IF(AND($G13=30,$E13=1),1,0))</f>
        <v/>
      </c>
      <c r="AAU14">
        <f>IF($C13=31,0,AAU13+IF(AND($G13=31,$E13=1),1,0))</f>
        <v/>
      </c>
      <c r="AAV14">
        <f>IF($C13=32,0,AAV13+IF(AND($G13=32,$E13=1),1,0))</f>
        <v/>
      </c>
      <c r="AAW14">
        <f>IF($C13=33,0,AAW13+IF(AND($G13=33,$E13=1),1,0))</f>
        <v/>
      </c>
      <c r="AAX14">
        <f>IF($C13=34,0,AAX13+IF(AND($G13=34,$E13=1),1,0))</f>
        <v/>
      </c>
      <c r="AAY14">
        <f>IF($C13=35,0,AAY13+IF(AND($G13=35,$E13=1),1,0))</f>
        <v/>
      </c>
      <c r="AAZ14">
        <f>IF($C13=36,0,AAZ13+IF(AND($G13=36,$E13=1),1,0))</f>
        <v/>
      </c>
      <c r="ABA14">
        <f>IF($C13=37,0,ABA13+IF(AND($G13=37,$E13=1),1,0))</f>
        <v/>
      </c>
      <c r="ABB14">
        <f>IF($C13=38,0,ABB13+IF(AND($G13=38,$E13=1),1,0))</f>
        <v/>
      </c>
      <c r="ABC14">
        <f>IF($C13=39,0,ABC13+IF(AND($G13=39,$E13=1),1,0))</f>
        <v/>
      </c>
      <c r="ABD14">
        <f>IF($C13=40,0,ABD13+IF(AND($G13=40,$E13=1),1,0))</f>
        <v/>
      </c>
      <c r="ABE14">
        <f>IF($C13=41,0,ABE13+IF(AND($G13=41,$E13=1),1,0))</f>
        <v/>
      </c>
      <c r="ABF14">
        <f>IF($C13=42,0,ABF13+IF(AND($G13=42,$E13=1),1,0))</f>
        <v/>
      </c>
      <c r="ABG14">
        <f>IF($C13=43,0,ABG13+IF(AND($G13=43,$E13=1),1,0))</f>
        <v/>
      </c>
      <c r="ABH14">
        <f>IF($C13=44,0,ABH13+IF(AND($G13=44,$E13=1),1,0))</f>
        <v/>
      </c>
      <c r="ABI14">
        <f>IF($C13=45,0,ABI13+IF(AND($G13=45,$E13=1),1,0))</f>
        <v/>
      </c>
      <c r="ABJ14">
        <f>IF($C13=46,0,ABJ13+IF(AND($G13=46,$E13=1),1,0))</f>
        <v/>
      </c>
      <c r="ABK14">
        <f>IF($C13=47,0,ABK13+IF(AND($G13=47,$E13=1),1,0))</f>
        <v/>
      </c>
      <c r="ABL14">
        <f>IF($C13=48,0,ABL13+IF(AND($G13=48,$E13=1),1,0))</f>
        <v/>
      </c>
      <c r="ABM14">
        <f>IF($C13=49,0,ABM13+IF(AND($G13=49,$E13=1),1,0))</f>
        <v/>
      </c>
      <c r="ABN14">
        <f>IF($C13=50,0,ABN13+IF(AND($G13=50,$E13=1),1,0))</f>
        <v/>
      </c>
      <c r="ABO14">
        <f>IF($C13=51,0,ABO13+IF(AND($G13=51,$E13=1),1,0))</f>
        <v/>
      </c>
      <c r="ABP14">
        <f>IF($C13=52,0,ABP13+IF(AND($G13=52,$E13=1),1,0))</f>
        <v/>
      </c>
      <c r="ABQ14">
        <f>IF($C13=53,0,ABQ13+IF(AND($G13=53,$E13=1),1,0))</f>
        <v/>
      </c>
      <c r="ABR14">
        <f>IF($C13=54,0,ABR13+IF(AND($G13=54,$E13=1),1,0))</f>
        <v/>
      </c>
      <c r="ABS14">
        <f>IF($C13=55,0,ABS13+IF(AND($G13=55,$E13=1),1,0))</f>
        <v/>
      </c>
      <c r="ABT14">
        <f>IF($C13=56,0,ABT13+IF(AND($G13=56,$E13=1),1,0))</f>
        <v/>
      </c>
      <c r="ABU14">
        <f>IF($C13=57,0,ABU13+IF(AND($G13=57,$E13=1),1,0))</f>
        <v/>
      </c>
      <c r="ABV14">
        <f>IF($C13=58,0,ABV13+IF(AND($G13=58,$E13=1),1,0))</f>
        <v/>
      </c>
      <c r="ABW14">
        <f>IF($C13=59,0,ABW13+IF(AND($G13=59,$E13=1),1,0))</f>
        <v/>
      </c>
      <c r="ABX14">
        <f>IF($C13=60,0,ABX13+IF(AND($G13=60,$E13=1),1,0))</f>
        <v/>
      </c>
      <c r="ABY14">
        <f>IF($C13=61,0,ABY13+IF(AND($G13=61,$E13=1),1,0))</f>
        <v/>
      </c>
      <c r="ABZ14">
        <f>IF($C13=62,0,ABZ13+IF(AND($G13=62,$E13=1),1,0))</f>
        <v/>
      </c>
      <c r="ACA14">
        <f>IF($C13=63,0,ACA13+IF(AND($G13=63,$E13=1),1,0))</f>
        <v/>
      </c>
      <c r="ACB14">
        <f>IF($C13=64,0,ACB13+IF(AND($G13=64,$E13=1),1,0))</f>
        <v/>
      </c>
      <c r="ACC14">
        <f>IF($C13=65,0,ACC13+IF(AND($G13=65,$E13=1),1,0))</f>
        <v/>
      </c>
      <c r="ACD14">
        <f>IF($C13=66,0,ACD13+IF(AND($G13=66,$E13=1),1,0))</f>
        <v/>
      </c>
      <c r="ACE14">
        <f>IF($C13=67,0,ACE13+IF(AND($G13=67,$E13=1),1,0))</f>
        <v/>
      </c>
      <c r="ACF14">
        <f>IF($C13=68,0,ACF13+IF(AND($G13=68,$E13=1),1,0))</f>
        <v/>
      </c>
      <c r="ACG14">
        <f>IF($C13=69,0,ACG13+IF(AND($G13=69,$E13=1),1,0))</f>
        <v/>
      </c>
      <c r="ACH14">
        <f>IF($C13=70,0,ACH13+IF(AND($G13=70,$E13=1),1,0))</f>
        <v/>
      </c>
      <c r="ACI14">
        <f>IF($C13=71,0,ACI13+IF(AND($G13=71,$E13=1),1,0))</f>
        <v/>
      </c>
      <c r="ACJ14">
        <f>IF($C13=72,0,ACJ13+IF(AND($G13=72,$E13=1),1,0))</f>
        <v/>
      </c>
      <c r="ACK14">
        <f>IF($C13=73,0,ACK13+IF(AND($G13=73,$E13=1),1,0))</f>
        <v/>
      </c>
      <c r="ACL14">
        <f>IF($C13=74,0,ACL13+IF(AND($G13=74,$E13=1),1,0))</f>
        <v/>
      </c>
      <c r="ACM14">
        <f>IF($C13=75,0,ACM13+IF(AND($G13=75,$E13=1),1,0))</f>
        <v/>
      </c>
      <c r="ACN14">
        <f>IF($C13=76,0,ACN13+IF(AND($G13=76,$E13=1),1,0))</f>
        <v/>
      </c>
      <c r="ACO14">
        <f>IF($C13=77,0,ACO13+IF(AND($G13=77,$E13=1),1,0))</f>
        <v/>
      </c>
      <c r="ACP14">
        <f>IF($C13=78,0,ACP13+IF(AND($G13=78,$E13=1),1,0))</f>
        <v/>
      </c>
      <c r="ACQ14">
        <f>IF($C13=79,0,ACQ13+IF(AND($G13=79,$E13=1),1,0))</f>
        <v/>
      </c>
      <c r="ACR14">
        <f>IF($C13=80,0,ACR13+IF(AND($G13=80,$E13=1),1,0))</f>
        <v/>
      </c>
      <c r="ACS14">
        <f>IF($C13=81,0,ACS13+IF(AND($G13=81,$E13=1),1,0))</f>
        <v/>
      </c>
      <c r="ACT14">
        <f>IF($C13=82,0,ACT13+IF(AND($G13=82,$E13=1),1,0))</f>
        <v/>
      </c>
      <c r="ACU14">
        <f>IF($C13=83,0,ACU13+IF(AND($G13=83,$E13=1),1,0))</f>
        <v/>
      </c>
      <c r="ACV14">
        <f>IF($C13=84,0,ACV13+IF(AND($G13=84,$E13=1),1,0))</f>
        <v/>
      </c>
      <c r="ACW14">
        <f>IF($C13=85,0,ACW13+IF(AND($G13=85,$E13=1),1,0))</f>
        <v/>
      </c>
      <c r="ACX14">
        <f>IF($C13=86,0,ACX13+IF(AND($G13=86,$E13=1),1,0))</f>
        <v/>
      </c>
      <c r="ACY14">
        <f>IF($C13=87,0,ACY13+IF(AND($G13=87,$E13=1),1,0))</f>
        <v/>
      </c>
      <c r="ACZ14">
        <f>IF($C13=88,0,ACZ13+IF(AND($G13=88,$E13=1),1,0))</f>
        <v/>
      </c>
      <c r="ADA14">
        <f>IF($C13=89,0,ADA13+IF(AND($G13=89,$E13=1),1,0))</f>
        <v/>
      </c>
      <c r="ADB14">
        <f>IF($C13=90,0,ADB13+IF(AND($G13=90,$E13=1),1,0))</f>
        <v/>
      </c>
      <c r="ADC14">
        <f>IF($C13=91,0,ADC13+IF(AND($G13=91,$E13=1),1,0))</f>
        <v/>
      </c>
      <c r="ADD14">
        <f>IF($C13=92,0,ADD13+IF(AND($G13=92,$E13=1),1,0))</f>
        <v/>
      </c>
      <c r="ADE14">
        <f>IF($C13=93,0,ADE13+IF(AND($G13=93,$E13=1),1,0))</f>
        <v/>
      </c>
      <c r="ADF14">
        <f>IF($C13=94,0,ADF13+IF(AND($G13=94,$E13=1),1,0))</f>
        <v/>
      </c>
      <c r="ADG14">
        <f>IF($C13=95,0,ADG13+IF(AND($G13=95,$E13=1),1,0))</f>
        <v/>
      </c>
      <c r="ADH14">
        <f>IF($C13=96,0,ADH13+IF(AND($G13=96,$E13=1),1,0))</f>
        <v/>
      </c>
      <c r="ADI14">
        <f>IF($C13=97,0,ADI13+IF(AND($G13=97,$E13=1),1,0))</f>
        <v/>
      </c>
      <c r="ADJ14">
        <f>IF($C13=98,0,ADJ13+IF(AND($G13=98,$E13=1),1,0))</f>
        <v/>
      </c>
      <c r="ADK14">
        <f>IF($C13=99,0,ADK13+IF(AND($G13=99,$E13=1),1,0))</f>
        <v/>
      </c>
      <c r="ADL14">
        <f>IF($C13=100,0,ADL13+IF(AND($G13=100,$E13=1),1,0))</f>
        <v/>
      </c>
      <c r="ADM14">
        <f>IF($C13=101,0,ADM13+IF(AND($G13=101,$E13=1),1,0))</f>
        <v/>
      </c>
      <c r="ADN14">
        <f>IF($C13=102,0,ADN13+IF(AND($G13=102,$E13=1),1,0))</f>
        <v/>
      </c>
      <c r="ADO14">
        <f>IF($C13=103,0,ADO13+IF(AND($G13=103,$E13=1),1,0))</f>
        <v/>
      </c>
      <c r="ADP14">
        <f>IF($C13=104,0,ADP13+IF(AND($G13=104,$E13=1),1,0))</f>
        <v/>
      </c>
      <c r="ADQ14">
        <f>IF($C13=105,0,ADQ13+IF(AND($G13=105,$E13=1),1,0))</f>
        <v/>
      </c>
      <c r="ADR14">
        <f>IF($C13=106,0,ADR13+IF(AND($G13=106,$E13=1),1,0))</f>
        <v/>
      </c>
      <c r="ADS14">
        <f>IF($C13=107,0,ADS13+IF(AND($G13=107,$E13=1),1,0))</f>
        <v/>
      </c>
      <c r="ADT14">
        <f>IF($C13=108,0,ADT13+IF(AND($G13=108,$E13=1),1,0))</f>
        <v/>
      </c>
      <c r="ADU14">
        <f>IF($C13=109,0,ADU13+IF(AND($G13=109,$E13=1),1,0))</f>
        <v/>
      </c>
      <c r="ADV14">
        <f>IF($C13=110,0,ADV13+IF(AND($G13=110,$E13=1),1,0))</f>
        <v/>
      </c>
      <c r="ADW14">
        <f>IF($C13=111,0,ADW13+IF(AND($G13=111,$E13=1),1,0))</f>
        <v/>
      </c>
      <c r="ADX14">
        <f>IF($C13=112,0,ADX13+IF(AND($G13=112,$E13=1),1,0))</f>
        <v/>
      </c>
      <c r="ADY14">
        <f>IF($C13=113,0,ADY13+IF(AND($G13=113,$E13=1),1,0))</f>
        <v/>
      </c>
      <c r="ADZ14">
        <f>IF($C13=114,0,ADZ13+IF(AND($G13=114,$E13=1),1,0))</f>
        <v/>
      </c>
      <c r="AEA14">
        <f>IF($C13=115,0,AEA13+IF(AND($G13=115,$E13=1),1,0))</f>
        <v/>
      </c>
      <c r="AEB14">
        <f>IF($C13=116,0,AEB13+IF(AND($G13=116,$E13=1),1,0))</f>
        <v/>
      </c>
      <c r="AEC14">
        <f>IF($C13=117,0,AEC13+IF(AND($G13=117,$E13=1),1,0))</f>
        <v/>
      </c>
      <c r="AED14">
        <f>IF($C13=118,0,AED13+IF(AND($G13=118,$E13=1),1,0))</f>
        <v/>
      </c>
      <c r="AEE14">
        <f>IF($C13=119,0,AEE13+IF(AND($G13=119,$E13=1),1,0))</f>
        <v/>
      </c>
      <c r="AEF14">
        <f>IF($C13=120,0,AEF13+IF(AND($G13=120,$E13=1),1,0))</f>
        <v/>
      </c>
      <c r="AEG14">
        <f>IF($C13=121,0,AEG13+IF(AND($G13=121,$E13=1),1,0))</f>
        <v/>
      </c>
      <c r="AEH14">
        <f>IF($C13=122,0,AEH13+IF(AND($G13=122,$E13=1),1,0))</f>
        <v/>
      </c>
      <c r="AEI14">
        <f>IF($C13=123,0,AEI13+IF(AND($G13=123,$E13=1),1,0))</f>
        <v/>
      </c>
      <c r="AEJ14">
        <f>IF($C13=124,0,AEJ13+IF(AND($G13=124,$E13=1),1,0))</f>
        <v/>
      </c>
      <c r="AEK14">
        <f>IF($C13=125,0,AEK13+IF(AND($G13=125,$E13=1),1,0))</f>
        <v/>
      </c>
      <c r="AEL14">
        <f>IF($C13=126,0,AEL13+IF(AND($G13=126,$E13=1),1,0))</f>
        <v/>
      </c>
      <c r="AEM14">
        <f>IF($C13=127,0,AEM13+IF(AND($G13=127,$E13=1),1,0))</f>
        <v/>
      </c>
      <c r="AEN14">
        <f>IF($C13=128,0,AEN13+IF(AND($G13=128,$E13=1),1,0))</f>
        <v/>
      </c>
      <c r="AEO14">
        <f>IF($C13=129,0,AEO13+IF(AND($G13=129,$E13=1),1,0))</f>
        <v/>
      </c>
      <c r="AEP14">
        <f>IF($C13=130,0,AEP13+IF(AND($G13=130,$E13=1),1,0))</f>
        <v/>
      </c>
      <c r="AEQ14">
        <f>IF($C13=131,0,AEQ13+IF(AND($G13=131,$E13=1),1,0))</f>
        <v/>
      </c>
      <c r="AER14">
        <f>IF($C13=132,0,AER13+IF(AND($G13=132,$E13=1),1,0))</f>
        <v/>
      </c>
      <c r="AES14">
        <f>IF($C13=133,0,AES13+IF(AND($G13=133,$E13=1),1,0))</f>
        <v/>
      </c>
      <c r="AET14">
        <f>IF($C13=134,0,AET13+IF(AND($G13=134,$E13=1),1,0))</f>
        <v/>
      </c>
      <c r="AEU14">
        <f>IF($C13=135,0,AEU13+IF(AND($G13=135,$E13=1),1,0))</f>
        <v/>
      </c>
      <c r="AEV14">
        <f>IF($C13=136,0,AEV13+IF(AND($G13=136,$E13=1),1,0))</f>
        <v/>
      </c>
      <c r="AEW14">
        <f>IF($C13=137,0,AEW13+IF(AND($G13=137,$E13=1),1,0))</f>
        <v/>
      </c>
      <c r="AEX14">
        <f>IF($C13=138,0,AEX13+IF(AND($G13=138,$E13=1),1,0))</f>
        <v/>
      </c>
      <c r="AEY14">
        <f>IF($C13=139,0,AEY13+IF(AND($G13=139,$E13=1),1,0))</f>
        <v/>
      </c>
      <c r="AEZ14">
        <f>IF($C13=140,0,AEZ13+IF(AND($G13=140,$E13=1),1,0))</f>
        <v/>
      </c>
      <c r="AFA14">
        <f>IF($C13=141,0,AFA13+IF(AND($G13=141,$E13=1),1,0))</f>
        <v/>
      </c>
      <c r="AFB14">
        <f>IF($C13=142,0,AFB13+IF(AND($G13=142,$E13=1),1,0))</f>
        <v/>
      </c>
      <c r="AFC14">
        <f>IF($C13=143,0,AFC13+IF(AND($G13=143,$E13=1),1,0))</f>
        <v/>
      </c>
      <c r="AFD14">
        <f>IF($C13=144,0,AFD13+IF(AND($G13=144,$E13=1),1,0))</f>
        <v/>
      </c>
      <c r="AFF14">
        <f>IF('calcA'!D$106=1,DC14+ZR14,1)</f>
        <v/>
      </c>
      <c r="AFG14">
        <f>IF('calcA'!E$106=1,DD14+ZS14,1)</f>
        <v/>
      </c>
      <c r="AFH14">
        <f>IF('calcA'!F$106=1,DE14+ZT14,1)</f>
        <v/>
      </c>
      <c r="AFI14">
        <f>IF('calcA'!G$106=1,DF14+ZU14,1)</f>
        <v/>
      </c>
      <c r="AFJ14">
        <f>IF('calcA'!H$106=1,DG14+ZV14,1)</f>
        <v/>
      </c>
      <c r="AFK14">
        <f>IF('calcA'!I$106=1,DH14+ZW14,1)</f>
        <v/>
      </c>
      <c r="AFL14">
        <f>IF('calcA'!J$106=1,DI14+ZX14,1)</f>
        <v/>
      </c>
      <c r="AFM14">
        <f>IF('calcA'!K$106=1,DJ14+ZY14,1)</f>
        <v/>
      </c>
      <c r="AFN14">
        <f>IF('calcA'!L$106=1,DK14+ZZ14,1)</f>
        <v/>
      </c>
      <c r="AFO14">
        <f>IF('calcA'!M$106=1,DL14+AAA14,1)</f>
        <v/>
      </c>
      <c r="AFP14">
        <f>IF('calcA'!N$106=1,DM14+AAB14,1)</f>
        <v/>
      </c>
      <c r="AFQ14">
        <f>IF('calcA'!O$106=1,DN14+AAC14,1)</f>
        <v/>
      </c>
      <c r="AFR14">
        <f>IF('calcA'!P$106=1,DO14+AAD14,1)</f>
        <v/>
      </c>
      <c r="AFS14">
        <f>IF('calcA'!Q$106=1,DP14+AAE14,1)</f>
        <v/>
      </c>
      <c r="AFT14">
        <f>IF('calcA'!R$106=1,DQ14+AAF14,1)</f>
        <v/>
      </c>
      <c r="AFU14">
        <f>IF('calcA'!S$106=1,DR14+AAG14,1)</f>
        <v/>
      </c>
      <c r="AFV14">
        <f>IF('calcA'!T$106=1,DS14+AAH14,1)</f>
        <v/>
      </c>
      <c r="AFW14">
        <f>IF('calcA'!U$106=1,DT14+AAI14,1)</f>
        <v/>
      </c>
      <c r="AFX14">
        <f>IF('calcA'!V$106=1,DU14+AAJ14,1)</f>
        <v/>
      </c>
      <c r="AFY14">
        <f>IF('calcA'!W$106=1,DV14+AAK14,1)</f>
        <v/>
      </c>
      <c r="AFZ14">
        <f>IF('calcA'!X$106=1,DW14+AAL14,1)</f>
        <v/>
      </c>
      <c r="AGA14">
        <f>IF('calcA'!Y$106=1,DX14+AAM14,1)</f>
        <v/>
      </c>
      <c r="AGB14">
        <f>IF('calcA'!Z$106=1,DY14+AAN14,1)</f>
        <v/>
      </c>
      <c r="AGC14">
        <f>IF('calcA'!AA$106=1,DZ14+AAO14,1)</f>
        <v/>
      </c>
      <c r="AGD14">
        <f>IF('calcA'!AB$106=1,EA14+AAP14,1)</f>
        <v/>
      </c>
      <c r="AGE14">
        <f>IF('calcA'!AC$106=1,EB14+AAQ14,1)</f>
        <v/>
      </c>
      <c r="AGF14">
        <f>IF('calcA'!AD$106=1,EC14+AAR14,1)</f>
        <v/>
      </c>
      <c r="AGG14">
        <f>IF('calcA'!AE$106=1,ED14+AAS14,1)</f>
        <v/>
      </c>
      <c r="AGH14">
        <f>IF('calcA'!AF$106=1,EE14+AAT14,1)</f>
        <v/>
      </c>
      <c r="AGI14">
        <f>IF('calcA'!AG$106=1,EF14+AAU14,1)</f>
        <v/>
      </c>
      <c r="AGJ14">
        <f>IF('calcA'!AH$106=1,EG14+AAV14,1)</f>
        <v/>
      </c>
      <c r="AGK14">
        <f>IF('calcA'!AI$106=1,EH14+AAW14,1)</f>
        <v/>
      </c>
      <c r="AGL14">
        <f>IF('calcA'!AJ$106=1,EI14+AAX14,1)</f>
        <v/>
      </c>
      <c r="AGM14">
        <f>IF('calcA'!AK$106=1,EJ14+AAY14,1)</f>
        <v/>
      </c>
      <c r="AGN14">
        <f>IF('calcA'!AL$106=1,EK14+AAZ14,1)</f>
        <v/>
      </c>
      <c r="AGO14">
        <f>IF('calcA'!AM$106=1,EL14+ABA14,1)</f>
        <v/>
      </c>
      <c r="AGP14">
        <f>IF('calcA'!AN$106=1,EM14+ABB14,1)</f>
        <v/>
      </c>
      <c r="AGQ14">
        <f>IF('calcA'!AO$106=1,EN14+ABC14,1)</f>
        <v/>
      </c>
      <c r="AGR14">
        <f>IF('calcA'!AP$106=1,EO14+ABD14,1)</f>
        <v/>
      </c>
      <c r="AGS14">
        <f>IF('calcA'!AQ$106=1,EP14+ABE14,1)</f>
        <v/>
      </c>
      <c r="AGT14">
        <f>IF('calcA'!AR$106=1,EQ14+ABF14,1)</f>
        <v/>
      </c>
      <c r="AGU14">
        <f>IF('calcA'!AS$106=1,ER14+ABG14,1)</f>
        <v/>
      </c>
      <c r="AGV14">
        <f>IF('calcA'!AT$106=1,ES14+ABH14,1)</f>
        <v/>
      </c>
      <c r="AGW14">
        <f>IF('calcA'!AU$106=1,ET14+ABI14,1)</f>
        <v/>
      </c>
      <c r="AGX14">
        <f>IF('calcA'!AV$106=1,EU14+ABJ14,1)</f>
        <v/>
      </c>
      <c r="AGY14">
        <f>IF('calcA'!AW$106=1,EV14+ABK14,1)</f>
        <v/>
      </c>
      <c r="AGZ14">
        <f>IF('calcA'!AX$106=1,EW14+ABL14,1)</f>
        <v/>
      </c>
      <c r="AHA14">
        <f>IF('calcA'!AY$106=1,EX14+ABM14,1)</f>
        <v/>
      </c>
      <c r="AHB14">
        <f>IF('calcA'!AZ$106=1,EY14+ABN14,1)</f>
        <v/>
      </c>
      <c r="AHC14">
        <f>IF('calcA'!BA$106=1,EZ14+ABO14,1)</f>
        <v/>
      </c>
      <c r="AHD14">
        <f>IF('calcA'!BB$106=1,FA14+ABP14,1)</f>
        <v/>
      </c>
      <c r="AHE14">
        <f>IF('calcA'!BC$106=1,FB14+ABQ14,1)</f>
        <v/>
      </c>
      <c r="AHF14">
        <f>IF('calcA'!BD$106=1,FC14+ABR14,1)</f>
        <v/>
      </c>
      <c r="AHG14">
        <f>IF('calcA'!BE$106=1,FD14+ABS14,1)</f>
        <v/>
      </c>
      <c r="AHH14">
        <f>IF('calcA'!BF$106=1,FE14+ABT14,1)</f>
        <v/>
      </c>
      <c r="AHI14">
        <f>IF('calcA'!BG$106=1,FF14+ABU14,1)</f>
        <v/>
      </c>
      <c r="AHJ14">
        <f>IF('calcA'!BH$106=1,FG14+ABV14,1)</f>
        <v/>
      </c>
      <c r="AHK14">
        <f>IF('calcA'!BI$106=1,FH14+ABW14,1)</f>
        <v/>
      </c>
      <c r="AHL14">
        <f>IF('calcA'!BJ$106=1,FI14+ABX14,1)</f>
        <v/>
      </c>
      <c r="AHM14">
        <f>IF('calcA'!BK$106=1,FJ14+ABY14,1)</f>
        <v/>
      </c>
      <c r="AHN14">
        <f>IF('calcA'!BL$106=1,FK14+ABZ14,1)</f>
        <v/>
      </c>
      <c r="AHO14">
        <f>IF('calcA'!BM$106=1,FL14+ACA14,1)</f>
        <v/>
      </c>
      <c r="AHP14">
        <f>IF('calcA'!BN$106=1,FM14+ACB14,1)</f>
        <v/>
      </c>
      <c r="AHQ14">
        <f>IF('calcA'!BO$106=1,FN14+ACC14,1)</f>
        <v/>
      </c>
      <c r="AHR14">
        <f>IF('calcA'!BP$106=1,FO14+ACD14,1)</f>
        <v/>
      </c>
      <c r="AHS14">
        <f>IF('calcA'!BQ$106=1,FP14+ACE14,1)</f>
        <v/>
      </c>
      <c r="AHT14">
        <f>IF('calcA'!BR$106=1,FQ14+ACF14,1)</f>
        <v/>
      </c>
      <c r="AHU14">
        <f>IF('calcA'!BS$106=1,FR14+ACG14,1)</f>
        <v/>
      </c>
      <c r="AHV14">
        <f>IF('calcA'!BT$106=1,FS14+ACH14,1)</f>
        <v/>
      </c>
      <c r="AHW14">
        <f>IF('calcA'!BU$106=1,FT14+ACI14,1)</f>
        <v/>
      </c>
      <c r="AHX14">
        <f>IF('calcA'!BV$106=1,FU14+ACJ14,1)</f>
        <v/>
      </c>
      <c r="AHY14">
        <f>IF('calcA'!BW$106=1,FV14+ACK14,1)</f>
        <v/>
      </c>
      <c r="AHZ14">
        <f>IF('calcA'!BX$106=1,FW14+ACL14,1)</f>
        <v/>
      </c>
      <c r="AIA14">
        <f>IF('calcA'!BY$106=1,FX14+ACM14,1)</f>
        <v/>
      </c>
      <c r="AIB14">
        <f>IF('calcA'!BZ$106=1,FY14+ACN14,1)</f>
        <v/>
      </c>
      <c r="AIC14">
        <f>IF('calcA'!CA$106=1,FZ14+ACO14,1)</f>
        <v/>
      </c>
      <c r="AID14">
        <f>IF('calcA'!CB$106=1,GA14+ACP14,1)</f>
        <v/>
      </c>
      <c r="AIE14">
        <f>IF('calcA'!CC$106=1,GB14+ACQ14,1)</f>
        <v/>
      </c>
      <c r="AIF14">
        <f>IF('calcA'!CD$106=1,GC14+ACR14,1)</f>
        <v/>
      </c>
      <c r="AIG14">
        <f>IF('calcA'!CE$106=1,GD14+ACS14,1)</f>
        <v/>
      </c>
      <c r="AIH14">
        <f>IF('calcA'!CF$106=1,GE14+ACT14,1)</f>
        <v/>
      </c>
      <c r="AII14">
        <f>IF('calcA'!CG$106=1,GF14+ACU14,1)</f>
        <v/>
      </c>
      <c r="AIJ14">
        <f>IF('calcA'!CH$106=1,GG14+ACV14,1)</f>
        <v/>
      </c>
      <c r="AIK14">
        <f>IF('calcA'!CI$106=1,GH14+ACW14,1)</f>
        <v/>
      </c>
      <c r="AIL14">
        <f>IF('calcA'!CJ$106=1,GI14+ACX14,1)</f>
        <v/>
      </c>
      <c r="AIM14">
        <f>IF('calcA'!CK$106=1,GJ14+ACY14,1)</f>
        <v/>
      </c>
      <c r="AIN14">
        <f>IF('calcA'!CL$106=1,GK14+ACZ14,1)</f>
        <v/>
      </c>
      <c r="AIO14">
        <f>IF('calcA'!CM$106=1,GL14+ADA14,1)</f>
        <v/>
      </c>
      <c r="AIP14">
        <f>IF('calcA'!CN$106=1,GM14+ADB14,1)</f>
        <v/>
      </c>
      <c r="AIQ14">
        <f>IF('calcA'!CO$106=1,GN14+ADC14,1)</f>
        <v/>
      </c>
      <c r="AIR14">
        <f>IF('calcA'!CP$106=1,GO14+ADD14,1)</f>
        <v/>
      </c>
      <c r="AIS14">
        <f>IF('calcA'!CQ$106=1,GP14+ADE14,1)</f>
        <v/>
      </c>
      <c r="AIT14">
        <f>IF('calcA'!CR$106=1,GQ14+ADF14,1)</f>
        <v/>
      </c>
      <c r="AIU14">
        <f>IF('calcA'!CS$106=1,GR14+ADG14,1)</f>
        <v/>
      </c>
      <c r="AIV14">
        <f>IF('calcA'!CT$106=1,GS14+ADH14,1)</f>
        <v/>
      </c>
      <c r="AIW14">
        <f>IF('calcA'!CU$106=1,GT14+ADI14,1)</f>
        <v/>
      </c>
      <c r="AIX14">
        <f>IF('calcA'!CV$106=1,GU14+ADJ14,1)</f>
        <v/>
      </c>
      <c r="AIY14">
        <f>IF('calcA'!CW$106=1,GV14+ADK14,1)</f>
        <v/>
      </c>
      <c r="AIZ14">
        <f>IF('calcA'!CX$106=1,GW14+ADL14,1)</f>
        <v/>
      </c>
      <c r="AJA14">
        <f>IF('calcA'!CY$106=1,GX14+ADM14,1)</f>
        <v/>
      </c>
      <c r="AJB14">
        <f>IF('calcA'!CZ$106=1,GY14+ADN14,1)</f>
        <v/>
      </c>
      <c r="AJC14">
        <f>IF('calcA'!DA$106=1,GZ14+ADO14,1)</f>
        <v/>
      </c>
      <c r="AJD14">
        <f>IF('calcA'!DB$106=1,HA14+ADP14,1)</f>
        <v/>
      </c>
      <c r="AJE14">
        <f>IF('calcA'!DC$106=1,HB14+ADQ14,1)</f>
        <v/>
      </c>
      <c r="AJF14">
        <f>IF('calcA'!DD$106=1,HC14+ADR14,1)</f>
        <v/>
      </c>
      <c r="AJG14">
        <f>IF('calcA'!DE$106=1,HD14+ADS14,1)</f>
        <v/>
      </c>
      <c r="AJH14">
        <f>IF('calcA'!DF$106=1,HE14+ADT14,1)</f>
        <v/>
      </c>
      <c r="AJI14">
        <f>IF('calcA'!DG$106=1,HF14+ADU14,1)</f>
        <v/>
      </c>
      <c r="AJJ14">
        <f>IF('calcA'!DH$106=1,HG14+ADV14,1)</f>
        <v/>
      </c>
      <c r="AJK14">
        <f>IF('calcA'!DI$106=1,HH14+ADW14,1)</f>
        <v/>
      </c>
      <c r="AJL14">
        <f>IF('calcA'!DJ$106=1,HI14+ADX14,1)</f>
        <v/>
      </c>
      <c r="AJM14">
        <f>IF('calcA'!DK$106=1,HJ14+ADY14,1)</f>
        <v/>
      </c>
      <c r="AJN14">
        <f>IF('calcA'!DL$106=1,HK14+ADZ14,1)</f>
        <v/>
      </c>
      <c r="AJO14">
        <f>IF('calcA'!DM$106=1,HL14+AEA14,1)</f>
        <v/>
      </c>
      <c r="AJP14">
        <f>IF('calcA'!DN$106=1,HM14+AEB14,1)</f>
        <v/>
      </c>
      <c r="AJQ14">
        <f>IF('calcA'!DO$106=1,HN14+AEC14,1)</f>
        <v/>
      </c>
      <c r="AJR14">
        <f>IF('calcA'!DP$106=1,HO14+AED14,1)</f>
        <v/>
      </c>
      <c r="AJS14">
        <f>IF('calcA'!DQ$106=1,HP14+AEE14,1)</f>
        <v/>
      </c>
      <c r="AJT14">
        <f>IF('calcA'!DR$106=1,HQ14+AEF14,1)</f>
        <v/>
      </c>
      <c r="AJU14">
        <f>IF('calcA'!DS$106=1,HR14+AEG14,1)</f>
        <v/>
      </c>
      <c r="AJV14">
        <f>IF('calcA'!DT$106=1,HS14+AEH14,1)</f>
        <v/>
      </c>
      <c r="AJW14">
        <f>IF('calcA'!DU$106=1,HT14+AEI14,1)</f>
        <v/>
      </c>
      <c r="AJX14">
        <f>IF('calcA'!DV$106=1,HU14+AEJ14,1)</f>
        <v/>
      </c>
      <c r="AJY14">
        <f>IF('calcA'!DW$106=1,HV14+AEK14,1)</f>
        <v/>
      </c>
      <c r="AJZ14">
        <f>IF('calcA'!DX$106=1,HW14+AEL14,1)</f>
        <v/>
      </c>
      <c r="AKA14">
        <f>IF('calcA'!DY$106=1,HX14+AEM14,1)</f>
        <v/>
      </c>
      <c r="AKB14">
        <f>IF('calcA'!DZ$106=1,HY14+AEN14,1)</f>
        <v/>
      </c>
      <c r="AKC14">
        <f>IF('calcA'!EA$106=1,HZ14+AEO14,1)</f>
        <v/>
      </c>
      <c r="AKD14">
        <f>IF('calcA'!EB$106=1,IA14+AEP14,1)</f>
        <v/>
      </c>
      <c r="AKE14">
        <f>IF('calcA'!EC$106=1,IB14+AEQ14,1)</f>
        <v/>
      </c>
      <c r="AKF14">
        <f>IF('calcA'!ED$106=1,IC14+AER14,1)</f>
        <v/>
      </c>
      <c r="AKG14">
        <f>IF('calcA'!EE$106=1,ID14+AES14,1)</f>
        <v/>
      </c>
      <c r="AKH14">
        <f>IF('calcA'!EF$106=1,IE14+AET14,1)</f>
        <v/>
      </c>
      <c r="AKI14">
        <f>IF('calcA'!EG$106=1,IF14+AEU14,1)</f>
        <v/>
      </c>
      <c r="AKJ14">
        <f>IF('calcA'!EH$106=1,IG14+AEV14,1)</f>
        <v/>
      </c>
      <c r="AKK14">
        <f>IF('calcA'!EI$106=1,IH14+AEW14,1)</f>
        <v/>
      </c>
      <c r="AKL14">
        <f>IF('calcA'!EJ$106=1,II14+AEX14,1)</f>
        <v/>
      </c>
      <c r="AKM14">
        <f>IF('calcA'!EK$106=1,IJ14+AEY14,1)</f>
        <v/>
      </c>
      <c r="AKN14">
        <f>IF('calcA'!EL$106=1,IK14+AEZ14,1)</f>
        <v/>
      </c>
      <c r="AKO14">
        <f>IF('calcA'!EM$106=1,IL14+AFA14,1)</f>
        <v/>
      </c>
      <c r="AKP14">
        <f>IF('calcA'!EN$106=1,IM14+AFB14,1)</f>
        <v/>
      </c>
      <c r="AKQ14">
        <f>IF('calcA'!EO$106=1,IN14+AFC14,1)</f>
        <v/>
      </c>
      <c r="AKR14">
        <f>IF('calcA'!EP$106=1,IO14+AFD14,1)</f>
        <v/>
      </c>
      <c r="AKS14" t="n">
        <v>1</v>
      </c>
    </row>
    <row r="15">
      <c r="A15" t="n">
        <v>13</v>
      </c>
      <c r="B15">
        <f>IF(MIN(BM15:CZ15)&gt;=1000000000,0,MATCH(MIN(BM15:CZ15),BM15:CZ15,0))</f>
        <v/>
      </c>
      <c r="C15">
        <f>IF(MIN(OF15:TS15)&gt;=1000000000,0,MATCH(MIN(OF15:TS15),OF15:TS15,0))</f>
        <v/>
      </c>
      <c r="D15">
        <f>IF(C15&gt;0,INDEX('calcA'!$D$5:$EQ$5,C15),0)</f>
        <v/>
      </c>
      <c r="E15">
        <f>IF(B15=0,0,INDEX('calcA'!$IQ$10:$IQ$54,B15))</f>
        <v/>
      </c>
      <c r="F15">
        <f>IF(B15=0,0,INDEX('calcA'!$IP$10:$IP$54,B15))</f>
        <v/>
      </c>
      <c r="G15">
        <f>IF(AND(C15&gt;0,E15&gt;0),IF(AND(INDEX('calcA'!$D$106:$EQ$106,C15)=1,INDEX($IQ15:$OD15,C15)=1),C15+1,0),0)</f>
        <v/>
      </c>
      <c r="H15">
        <f>IF(B15=0,0,INDEX('calcA'!$IW$10:$IW$54,B15))</f>
        <v/>
      </c>
      <c r="U15">
        <f>IF(B15=0,0,INDEX('calcA'!$IX$10:$IX$54,B15))</f>
        <v/>
      </c>
      <c r="V15">
        <f>IF(B15=0,0,INDEX('calcA'!$JF$10:$JF$54,B15))</f>
        <v/>
      </c>
      <c r="W15">
        <f>IF(B15=0,0,IF(IF(E15=2,SUMPRODUCT(INDEX('calcA'!$D$60:$EQ$99,B15,0),$DB15:$IO15,$IQ15:$OD15),SUMPRODUCT(INDEX('calcA'!$D$60:$EQ$99,B15,0),$DB15:$IO15))=0,1,0))</f>
        <v/>
      </c>
      <c r="X15">
        <f>MAX(X14,IF($B14=1,1,0))</f>
        <v/>
      </c>
      <c r="Y15">
        <f>MAX(Y14,IF($B14=2,1,0))</f>
        <v/>
      </c>
      <c r="Z15">
        <f>MAX(Z14,IF($B14=3,1,0))</f>
        <v/>
      </c>
      <c r="AA15">
        <f>MAX(AA14,IF($B14=4,1,0))</f>
        <v/>
      </c>
      <c r="AB15">
        <f>MAX(AB14,IF($B14=5,1,0))</f>
        <v/>
      </c>
      <c r="AC15">
        <f>MAX(AC14,IF($B14=6,1,0))</f>
        <v/>
      </c>
      <c r="AD15">
        <f>MAX(AD14,IF($B14=7,1,0))</f>
        <v/>
      </c>
      <c r="AE15">
        <f>MAX(AE14,IF($B14=8,1,0))</f>
        <v/>
      </c>
      <c r="AF15">
        <f>MAX(AF14,IF($B14=9,1,0))</f>
        <v/>
      </c>
      <c r="AG15">
        <f>MAX(AG14,IF($B14=10,1,0))</f>
        <v/>
      </c>
      <c r="AH15">
        <f>MAX(AH14,IF($B14=11,1,0))</f>
        <v/>
      </c>
      <c r="AI15">
        <f>MAX(AI14,IF($B14=12,1,0))</f>
        <v/>
      </c>
      <c r="AJ15">
        <f>MAX(AJ14,IF($B14=13,1,0))</f>
        <v/>
      </c>
      <c r="AK15">
        <f>MAX(AK14,IF($B14=14,1,0))</f>
        <v/>
      </c>
      <c r="AL15">
        <f>MAX(AL14,IF($B14=15,1,0))</f>
        <v/>
      </c>
      <c r="AM15">
        <f>MAX(AM14,IF($B14=16,1,0))</f>
        <v/>
      </c>
      <c r="AN15">
        <f>MAX(AN14,IF($B14=17,1,0))</f>
        <v/>
      </c>
      <c r="AO15">
        <f>MAX(AO14,IF($B14=18,1,0))</f>
        <v/>
      </c>
      <c r="AP15">
        <f>MAX(AP14,IF($B14=19,1,0))</f>
        <v/>
      </c>
      <c r="AQ15">
        <f>MAX(AQ14,IF($B14=20,1,0))</f>
        <v/>
      </c>
      <c r="AR15">
        <f>MAX(AR14,IF($B14=21,1,0))</f>
        <v/>
      </c>
      <c r="AS15">
        <f>MAX(AS14,IF($B14=22,1,0))</f>
        <v/>
      </c>
      <c r="AT15">
        <f>MAX(AT14,IF($B14=23,1,0))</f>
        <v/>
      </c>
      <c r="AU15">
        <f>MAX(AU14,IF($B14=24,1,0))</f>
        <v/>
      </c>
      <c r="AV15">
        <f>MAX(AV14,IF($B14=25,1,0))</f>
        <v/>
      </c>
      <c r="AW15">
        <f>MAX(AW14,IF($B14=26,1,0))</f>
        <v/>
      </c>
      <c r="AX15">
        <f>MAX(AX14,IF($B14=27,1,0))</f>
        <v/>
      </c>
      <c r="AY15">
        <f>MAX(AY14,IF($B14=28,1,0))</f>
        <v/>
      </c>
      <c r="AZ15">
        <f>MAX(AZ14,IF($B14=29,1,0))</f>
        <v/>
      </c>
      <c r="BA15">
        <f>MAX(BA14,IF($B14=30,1,0))</f>
        <v/>
      </c>
      <c r="BB15">
        <f>MAX(BB14,IF($B14=31,1,0))</f>
        <v/>
      </c>
      <c r="BC15">
        <f>MAX(BC14,IF($B14=32,1,0))</f>
        <v/>
      </c>
      <c r="BD15">
        <f>MAX(BD14,IF($B14=33,1,0))</f>
        <v/>
      </c>
      <c r="BE15">
        <f>MAX(BE14,IF($B14=34,1,0))</f>
        <v/>
      </c>
      <c r="BF15">
        <f>MAX(BF14,IF($B14=35,1,0))</f>
        <v/>
      </c>
      <c r="BG15">
        <f>MAX(BG14,IF($B14=36,1,0))</f>
        <v/>
      </c>
      <c r="BH15">
        <f>MAX(BH14,IF($B14=37,1,0))</f>
        <v/>
      </c>
      <c r="BI15">
        <f>MAX(BI14,IF($B14=38,1,0))</f>
        <v/>
      </c>
      <c r="BJ15">
        <f>MAX(BJ14,IF($B14=39,1,0))</f>
        <v/>
      </c>
      <c r="BK15">
        <f>MAX(BK14,IF($B14=40,1,0))</f>
        <v/>
      </c>
      <c r="BM15">
        <f>IF(OR(X15=1,calcA!$A$6=0),1000000000,IF('calcA'!$JF$10=1,0,100000000)+IF('calcA'!$IQ$10=2,SUMPRODUCT('calcA'!$D$60:$EQ$60,$DB15:$IO15,$IQ15:$OD15)*1000+SUMPRODUCT('calcA'!$D$60:$EQ$60,$DB15:$IO15+$ZQ15:$AFD15,$AFF15:$AKS15),SUMPRODUCT('calcA'!$D$60:$EQ$60,$DB15:$IO15*1001+$ZQ15:$AFD15))*100+1)</f>
        <v/>
      </c>
      <c r="BN15">
        <f>IF(OR(Y15=1,calcA!$A$6=0),1000000000,IF('calcA'!$JF$11=1,0,100000000)+IF('calcA'!$IQ$11=2,SUMPRODUCT('calcA'!$D$61:$EQ$61,$DB15:$IO15,$IQ15:$OD15)*1000+SUMPRODUCT('calcA'!$D$61:$EQ$61,$DB15:$IO15+$ZQ15:$AFD15,$AFF15:$AKS15),SUMPRODUCT('calcA'!$D$61:$EQ$61,$DB15:$IO15*1001+$ZQ15:$AFD15))*100+2)</f>
        <v/>
      </c>
      <c r="BO15">
        <f>IF(OR(Z15=1,calcA!$A$6=0),1000000000,IF('calcA'!$JF$12=1,0,100000000)+IF('calcA'!$IQ$12=2,SUMPRODUCT('calcA'!$D$62:$EQ$62,$DB15:$IO15,$IQ15:$OD15)*1000+SUMPRODUCT('calcA'!$D$62:$EQ$62,$DB15:$IO15+$ZQ15:$AFD15,$AFF15:$AKS15),SUMPRODUCT('calcA'!$D$62:$EQ$62,$DB15:$IO15*1001+$ZQ15:$AFD15))*100+3)</f>
        <v/>
      </c>
      <c r="BP15">
        <f>IF(OR(AA15=1,calcA!$A$6=0),1000000000,IF('calcA'!$JF$13=1,0,100000000)+IF('calcA'!$IQ$13=2,SUMPRODUCT('calcA'!$D$63:$EQ$63,$DB15:$IO15,$IQ15:$OD15)*1000+SUMPRODUCT('calcA'!$D$63:$EQ$63,$DB15:$IO15+$ZQ15:$AFD15,$AFF15:$AKS15),SUMPRODUCT('calcA'!$D$63:$EQ$63,$DB15:$IO15*1001+$ZQ15:$AFD15))*100+4)</f>
        <v/>
      </c>
      <c r="BQ15">
        <f>IF(OR(AB15=1,calcA!$A$6=0),1000000000,IF('calcA'!$JF$14=1,0,100000000)+IF('calcA'!$IQ$14=2,SUMPRODUCT('calcA'!$D$64:$EQ$64,$DB15:$IO15,$IQ15:$OD15)*1000+SUMPRODUCT('calcA'!$D$64:$EQ$64,$DB15:$IO15+$ZQ15:$AFD15,$AFF15:$AKS15),SUMPRODUCT('calcA'!$D$64:$EQ$64,$DB15:$IO15*1001+$ZQ15:$AFD15))*100+5)</f>
        <v/>
      </c>
      <c r="BR15">
        <f>IF(OR(AC15=1,calcA!$A$6=0),1000000000,IF('calcA'!$JF$15=1,0,100000000)+IF('calcA'!$IQ$15=2,SUMPRODUCT('calcA'!$D$65:$EQ$65,$DB15:$IO15,$IQ15:$OD15)*1000+SUMPRODUCT('calcA'!$D$65:$EQ$65,$DB15:$IO15+$ZQ15:$AFD15,$AFF15:$AKS15),SUMPRODUCT('calcA'!$D$65:$EQ$65,$DB15:$IO15*1001+$ZQ15:$AFD15))*100+6)</f>
        <v/>
      </c>
      <c r="BS15">
        <f>IF(OR(AD15=1,calcA!$A$6=0),1000000000,IF('calcA'!$JF$16=1,0,100000000)+IF('calcA'!$IQ$16=2,SUMPRODUCT('calcA'!$D$66:$EQ$66,$DB15:$IO15,$IQ15:$OD15)*1000+SUMPRODUCT('calcA'!$D$66:$EQ$66,$DB15:$IO15+$ZQ15:$AFD15,$AFF15:$AKS15),SUMPRODUCT('calcA'!$D$66:$EQ$66,$DB15:$IO15*1001+$ZQ15:$AFD15))*100+7)</f>
        <v/>
      </c>
      <c r="BT15">
        <f>IF(OR(AE15=1,calcA!$A$6=0),1000000000,IF('calcA'!$JF$17=1,0,100000000)+IF('calcA'!$IQ$17=2,SUMPRODUCT('calcA'!$D$67:$EQ$67,$DB15:$IO15,$IQ15:$OD15)*1000+SUMPRODUCT('calcA'!$D$67:$EQ$67,$DB15:$IO15+$ZQ15:$AFD15,$AFF15:$AKS15),SUMPRODUCT('calcA'!$D$67:$EQ$67,$DB15:$IO15*1001+$ZQ15:$AFD15))*100+8)</f>
        <v/>
      </c>
      <c r="BU15">
        <f>IF(OR(AF15=1,calcA!$A$6=0),1000000000,IF('calcA'!$JF$18=1,0,100000000)+IF('calcA'!$IQ$18=2,SUMPRODUCT('calcA'!$D$68:$EQ$68,$DB15:$IO15,$IQ15:$OD15)*1000+SUMPRODUCT('calcA'!$D$68:$EQ$68,$DB15:$IO15+$ZQ15:$AFD15,$AFF15:$AKS15),SUMPRODUCT('calcA'!$D$68:$EQ$68,$DB15:$IO15*1001+$ZQ15:$AFD15))*100+9)</f>
        <v/>
      </c>
      <c r="BV15">
        <f>IF(OR(AG15=1,calcA!$A$6=0),1000000000,IF('calcA'!$JF$19=1,0,100000000)+IF('calcA'!$IQ$19=2,SUMPRODUCT('calcA'!$D$69:$EQ$69,$DB15:$IO15,$IQ15:$OD15)*1000+SUMPRODUCT('calcA'!$D$69:$EQ$69,$DB15:$IO15+$ZQ15:$AFD15,$AFF15:$AKS15),SUMPRODUCT('calcA'!$D$69:$EQ$69,$DB15:$IO15*1001+$ZQ15:$AFD15))*100+10)</f>
        <v/>
      </c>
      <c r="BW15">
        <f>IF(OR(AH15=1,calcA!$A$6=0),1000000000,IF('calcA'!$JF$20=1,0,100000000)+IF('calcA'!$IQ$20=2,SUMPRODUCT('calcA'!$D$70:$EQ$70,$DB15:$IO15,$IQ15:$OD15)*1000+SUMPRODUCT('calcA'!$D$70:$EQ$70,$DB15:$IO15+$ZQ15:$AFD15,$AFF15:$AKS15),SUMPRODUCT('calcA'!$D$70:$EQ$70,$DB15:$IO15*1001+$ZQ15:$AFD15))*100+11)</f>
        <v/>
      </c>
      <c r="BX15">
        <f>IF(OR(AI15=1,calcA!$A$6=0),1000000000,IF('calcA'!$JF$21=1,0,100000000)+IF('calcA'!$IQ$21=2,SUMPRODUCT('calcA'!$D$71:$EQ$71,$DB15:$IO15,$IQ15:$OD15)*1000+SUMPRODUCT('calcA'!$D$71:$EQ$71,$DB15:$IO15+$ZQ15:$AFD15,$AFF15:$AKS15),SUMPRODUCT('calcA'!$D$71:$EQ$71,$DB15:$IO15*1001+$ZQ15:$AFD15))*100+12)</f>
        <v/>
      </c>
      <c r="BY15">
        <f>IF(OR(AJ15=1,calcA!$A$6=0),1000000000,IF('calcA'!$JF$22=1,0,100000000)+IF('calcA'!$IQ$22=2,SUMPRODUCT('calcA'!$D$72:$EQ$72,$DB15:$IO15,$IQ15:$OD15)*1000+SUMPRODUCT('calcA'!$D$72:$EQ$72,$DB15:$IO15+$ZQ15:$AFD15,$AFF15:$AKS15),SUMPRODUCT('calcA'!$D$72:$EQ$72,$DB15:$IO15*1001+$ZQ15:$AFD15))*100+13)</f>
        <v/>
      </c>
      <c r="BZ15">
        <f>IF(OR(AK15=1,calcA!$A$6=0),1000000000,IF('calcA'!$JF$23=1,0,100000000)+IF('calcA'!$IQ$23=2,SUMPRODUCT('calcA'!$D$73:$EQ$73,$DB15:$IO15,$IQ15:$OD15)*1000+SUMPRODUCT('calcA'!$D$73:$EQ$73,$DB15:$IO15+$ZQ15:$AFD15,$AFF15:$AKS15),SUMPRODUCT('calcA'!$D$73:$EQ$73,$DB15:$IO15*1001+$ZQ15:$AFD15))*100+14)</f>
        <v/>
      </c>
      <c r="CA15">
        <f>IF(OR(AL15=1,calcA!$A$6=0),1000000000,IF('calcA'!$JF$24=1,0,100000000)+IF('calcA'!$IQ$24=2,SUMPRODUCT('calcA'!$D$74:$EQ$74,$DB15:$IO15,$IQ15:$OD15)*1000+SUMPRODUCT('calcA'!$D$74:$EQ$74,$DB15:$IO15+$ZQ15:$AFD15,$AFF15:$AKS15),SUMPRODUCT('calcA'!$D$74:$EQ$74,$DB15:$IO15*1001+$ZQ15:$AFD15))*100+15)</f>
        <v/>
      </c>
      <c r="CB15">
        <f>IF(OR(AM15=1,calcA!$A$6=0),1000000000,IF('calcA'!$JF$25=1,0,100000000)+IF('calcA'!$IQ$25=2,SUMPRODUCT('calcA'!$D$75:$EQ$75,$DB15:$IO15,$IQ15:$OD15)*1000+SUMPRODUCT('calcA'!$D$75:$EQ$75,$DB15:$IO15+$ZQ15:$AFD15,$AFF15:$AKS15),SUMPRODUCT('calcA'!$D$75:$EQ$75,$DB15:$IO15*1001+$ZQ15:$AFD15))*100+16)</f>
        <v/>
      </c>
      <c r="CC15">
        <f>IF(OR(AN15=1,calcA!$A$6=0),1000000000,IF('calcA'!$JF$26=1,0,100000000)+IF('calcA'!$IQ$26=2,SUMPRODUCT('calcA'!$D$76:$EQ$76,$DB15:$IO15,$IQ15:$OD15)*1000+SUMPRODUCT('calcA'!$D$76:$EQ$76,$DB15:$IO15+$ZQ15:$AFD15,$AFF15:$AKS15),SUMPRODUCT('calcA'!$D$76:$EQ$76,$DB15:$IO15*1001+$ZQ15:$AFD15))*100+17)</f>
        <v/>
      </c>
      <c r="CD15">
        <f>IF(OR(AO15=1,calcA!$A$6=0),1000000000,IF('calcA'!$JF$27=1,0,100000000)+IF('calcA'!$IQ$27=2,SUMPRODUCT('calcA'!$D$77:$EQ$77,$DB15:$IO15,$IQ15:$OD15)*1000+SUMPRODUCT('calcA'!$D$77:$EQ$77,$DB15:$IO15+$ZQ15:$AFD15,$AFF15:$AKS15),SUMPRODUCT('calcA'!$D$77:$EQ$77,$DB15:$IO15*1001+$ZQ15:$AFD15))*100+18)</f>
        <v/>
      </c>
      <c r="CE15">
        <f>IF(OR(AP15=1,calcA!$A$6=0),1000000000,IF('calcA'!$JF$28=1,0,100000000)+IF('calcA'!$IQ$28=2,SUMPRODUCT('calcA'!$D$78:$EQ$78,$DB15:$IO15,$IQ15:$OD15)*1000+SUMPRODUCT('calcA'!$D$78:$EQ$78,$DB15:$IO15+$ZQ15:$AFD15,$AFF15:$AKS15),SUMPRODUCT('calcA'!$D$78:$EQ$78,$DB15:$IO15*1001+$ZQ15:$AFD15))*100+19)</f>
        <v/>
      </c>
      <c r="CF15">
        <f>IF(OR(AQ15=1,calcA!$A$6=0),1000000000,IF('calcA'!$JF$29=1,0,100000000)+IF('calcA'!$IQ$29=2,SUMPRODUCT('calcA'!$D$79:$EQ$79,$DB15:$IO15,$IQ15:$OD15)*1000+SUMPRODUCT('calcA'!$D$79:$EQ$79,$DB15:$IO15+$ZQ15:$AFD15,$AFF15:$AKS15),SUMPRODUCT('calcA'!$D$79:$EQ$79,$DB15:$IO15*1001+$ZQ15:$AFD15))*100+20)</f>
        <v/>
      </c>
      <c r="CG15">
        <f>IF(OR(AR15=1,calcA!$A$6=0),1000000000,IF('calcA'!$JF$30=1,0,100000000)+IF('calcA'!$IQ$30=2,SUMPRODUCT('calcA'!$D$80:$EQ$80,$DB15:$IO15,$IQ15:$OD15)*1000+SUMPRODUCT('calcA'!$D$80:$EQ$80,$DB15:$IO15+$ZQ15:$AFD15,$AFF15:$AKS15),SUMPRODUCT('calcA'!$D$80:$EQ$80,$DB15:$IO15*1001+$ZQ15:$AFD15))*100+21)</f>
        <v/>
      </c>
      <c r="CH15">
        <f>IF(OR(AS15=1,calcA!$A$6=0),1000000000,IF('calcA'!$JF$31=1,0,100000000)+IF('calcA'!$IQ$31=2,SUMPRODUCT('calcA'!$D$81:$EQ$81,$DB15:$IO15,$IQ15:$OD15)*1000+SUMPRODUCT('calcA'!$D$81:$EQ$81,$DB15:$IO15+$ZQ15:$AFD15,$AFF15:$AKS15),SUMPRODUCT('calcA'!$D$81:$EQ$81,$DB15:$IO15*1001+$ZQ15:$AFD15))*100+22)</f>
        <v/>
      </c>
      <c r="CI15">
        <f>IF(OR(AT15=1,calcA!$A$6=0),1000000000,IF('calcA'!$JF$32=1,0,100000000)+IF('calcA'!$IQ$32=2,SUMPRODUCT('calcA'!$D$82:$EQ$82,$DB15:$IO15,$IQ15:$OD15)*1000+SUMPRODUCT('calcA'!$D$82:$EQ$82,$DB15:$IO15+$ZQ15:$AFD15,$AFF15:$AKS15),SUMPRODUCT('calcA'!$D$82:$EQ$82,$DB15:$IO15*1001+$ZQ15:$AFD15))*100+23)</f>
        <v/>
      </c>
      <c r="CJ15">
        <f>IF(OR(AU15=1,calcA!$A$6=0),1000000000,IF('calcA'!$JF$33=1,0,100000000)+IF('calcA'!$IQ$33=2,SUMPRODUCT('calcA'!$D$83:$EQ$83,$DB15:$IO15,$IQ15:$OD15)*1000+SUMPRODUCT('calcA'!$D$83:$EQ$83,$DB15:$IO15+$ZQ15:$AFD15,$AFF15:$AKS15),SUMPRODUCT('calcA'!$D$83:$EQ$83,$DB15:$IO15*1001+$ZQ15:$AFD15))*100+24)</f>
        <v/>
      </c>
      <c r="CK15">
        <f>IF(OR(AV15=1,calcA!$A$6=0),1000000000,IF('calcA'!$JF$34=1,0,100000000)+IF('calcA'!$IQ$34=2,SUMPRODUCT('calcA'!$D$84:$EQ$84,$DB15:$IO15,$IQ15:$OD15)*1000+SUMPRODUCT('calcA'!$D$84:$EQ$84,$DB15:$IO15+$ZQ15:$AFD15,$AFF15:$AKS15),SUMPRODUCT('calcA'!$D$84:$EQ$84,$DB15:$IO15*1001+$ZQ15:$AFD15))*100+25)</f>
        <v/>
      </c>
      <c r="CL15">
        <f>IF(OR(AW15=1,calcA!$A$6=0),1000000000,IF('calcA'!$JF$35=1,0,100000000)+IF('calcA'!$IQ$35=2,SUMPRODUCT('calcA'!$D$85:$EQ$85,$DB15:$IO15,$IQ15:$OD15)*1000+SUMPRODUCT('calcA'!$D$85:$EQ$85,$DB15:$IO15+$ZQ15:$AFD15,$AFF15:$AKS15),SUMPRODUCT('calcA'!$D$85:$EQ$85,$DB15:$IO15*1001+$ZQ15:$AFD15))*100+26)</f>
        <v/>
      </c>
      <c r="CM15">
        <f>IF(OR(AX15=1,calcA!$A$6=0),1000000000,IF('calcA'!$JF$36=1,0,100000000)+IF('calcA'!$IQ$36=2,SUMPRODUCT('calcA'!$D$86:$EQ$86,$DB15:$IO15,$IQ15:$OD15)*1000+SUMPRODUCT('calcA'!$D$86:$EQ$86,$DB15:$IO15+$ZQ15:$AFD15,$AFF15:$AKS15),SUMPRODUCT('calcA'!$D$86:$EQ$86,$DB15:$IO15*1001+$ZQ15:$AFD15))*100+27)</f>
        <v/>
      </c>
      <c r="CN15">
        <f>IF(OR(AY15=1,calcA!$A$6=0),1000000000,IF('calcA'!$JF$37=1,0,100000000)+IF('calcA'!$IQ$37=2,SUMPRODUCT('calcA'!$D$87:$EQ$87,$DB15:$IO15,$IQ15:$OD15)*1000+SUMPRODUCT('calcA'!$D$87:$EQ$87,$DB15:$IO15+$ZQ15:$AFD15,$AFF15:$AKS15),SUMPRODUCT('calcA'!$D$87:$EQ$87,$DB15:$IO15*1001+$ZQ15:$AFD15))*100+28)</f>
        <v/>
      </c>
      <c r="CO15">
        <f>IF(OR(AZ15=1,calcA!$A$6=0),1000000000,IF('calcA'!$JF$38=1,0,100000000)+IF('calcA'!$IQ$38=2,SUMPRODUCT('calcA'!$D$88:$EQ$88,$DB15:$IO15,$IQ15:$OD15)*1000+SUMPRODUCT('calcA'!$D$88:$EQ$88,$DB15:$IO15+$ZQ15:$AFD15,$AFF15:$AKS15),SUMPRODUCT('calcA'!$D$88:$EQ$88,$DB15:$IO15*1001+$ZQ15:$AFD15))*100+29)</f>
        <v/>
      </c>
      <c r="CP15">
        <f>IF(OR(BA15=1,calcA!$A$6=0),1000000000,IF('calcA'!$JF$39=1,0,100000000)+IF('calcA'!$IQ$39=2,SUMPRODUCT('calcA'!$D$89:$EQ$89,$DB15:$IO15,$IQ15:$OD15)*1000+SUMPRODUCT('calcA'!$D$89:$EQ$89,$DB15:$IO15+$ZQ15:$AFD15,$AFF15:$AKS15),SUMPRODUCT('calcA'!$D$89:$EQ$89,$DB15:$IO15*1001+$ZQ15:$AFD15))*100+30)</f>
        <v/>
      </c>
      <c r="CQ15">
        <f>IF(OR(BB15=1,calcA!$A$6=0),1000000000,IF('calcA'!$JF$40=1,0,100000000)+IF('calcA'!$IQ$40=2,SUMPRODUCT('calcA'!$D$90:$EQ$90,$DB15:$IO15,$IQ15:$OD15)*1000+SUMPRODUCT('calcA'!$D$90:$EQ$90,$DB15:$IO15+$ZQ15:$AFD15,$AFF15:$AKS15),SUMPRODUCT('calcA'!$D$90:$EQ$90,$DB15:$IO15*1001+$ZQ15:$AFD15))*100+31)</f>
        <v/>
      </c>
      <c r="CR15">
        <f>IF(OR(BC15=1,calcA!$A$6=0),1000000000,IF('calcA'!$JF$41=1,0,100000000)+IF('calcA'!$IQ$41=2,SUMPRODUCT('calcA'!$D$91:$EQ$91,$DB15:$IO15,$IQ15:$OD15)*1000+SUMPRODUCT('calcA'!$D$91:$EQ$91,$DB15:$IO15+$ZQ15:$AFD15,$AFF15:$AKS15),SUMPRODUCT('calcA'!$D$91:$EQ$91,$DB15:$IO15*1001+$ZQ15:$AFD15))*100+32)</f>
        <v/>
      </c>
      <c r="CS15">
        <f>IF(OR(BD15=1,calcA!$A$6=0),1000000000,IF('calcA'!$JF$42=1,0,100000000)+IF('calcA'!$IQ$42=2,SUMPRODUCT('calcA'!$D$92:$EQ$92,$DB15:$IO15,$IQ15:$OD15)*1000+SUMPRODUCT('calcA'!$D$92:$EQ$92,$DB15:$IO15+$ZQ15:$AFD15,$AFF15:$AKS15),SUMPRODUCT('calcA'!$D$92:$EQ$92,$DB15:$IO15*1001+$ZQ15:$AFD15))*100+33)</f>
        <v/>
      </c>
      <c r="CT15">
        <f>IF(OR(BE15=1,calcA!$A$6=0),1000000000,IF('calcA'!$JF$43=1,0,100000000)+IF('calcA'!$IQ$43=2,SUMPRODUCT('calcA'!$D$93:$EQ$93,$DB15:$IO15,$IQ15:$OD15)*1000+SUMPRODUCT('calcA'!$D$93:$EQ$93,$DB15:$IO15+$ZQ15:$AFD15,$AFF15:$AKS15),SUMPRODUCT('calcA'!$D$93:$EQ$93,$DB15:$IO15*1001+$ZQ15:$AFD15))*100+34)</f>
        <v/>
      </c>
      <c r="CU15">
        <f>IF(OR(BF15=1,calcA!$A$6=0),1000000000,IF('calcA'!$JF$44=1,0,100000000)+IF('calcA'!$IQ$44=2,SUMPRODUCT('calcA'!$D$94:$EQ$94,$DB15:$IO15,$IQ15:$OD15)*1000+SUMPRODUCT('calcA'!$D$94:$EQ$94,$DB15:$IO15+$ZQ15:$AFD15,$AFF15:$AKS15),SUMPRODUCT('calcA'!$D$94:$EQ$94,$DB15:$IO15*1001+$ZQ15:$AFD15))*100+35)</f>
        <v/>
      </c>
      <c r="CV15">
        <f>IF(OR(BG15=1,calcA!$A$6=0),1000000000,IF('calcA'!$JF$45=1,0,100000000)+IF('calcA'!$IQ$45=2,SUMPRODUCT('calcA'!$D$95:$EQ$95,$DB15:$IO15,$IQ15:$OD15)*1000+SUMPRODUCT('calcA'!$D$95:$EQ$95,$DB15:$IO15+$ZQ15:$AFD15,$AFF15:$AKS15),SUMPRODUCT('calcA'!$D$95:$EQ$95,$DB15:$IO15*1001+$ZQ15:$AFD15))*100+36)</f>
        <v/>
      </c>
      <c r="CW15">
        <f>IF(OR(BH15=1,calcA!$A$6=0),1000000000,IF('calcA'!$JF$46=1,0,100000000)+IF('calcA'!$IQ$46=2,SUMPRODUCT('calcA'!$D$96:$EQ$96,$DB15:$IO15,$IQ15:$OD15)*1000+SUMPRODUCT('calcA'!$D$96:$EQ$96,$DB15:$IO15+$ZQ15:$AFD15,$AFF15:$AKS15),SUMPRODUCT('calcA'!$D$96:$EQ$96,$DB15:$IO15*1001+$ZQ15:$AFD15))*100+37)</f>
        <v/>
      </c>
      <c r="CX15">
        <f>IF(OR(BI15=1,calcA!$A$6=0),1000000000,IF('calcA'!$JF$47=1,0,100000000)+IF('calcA'!$IQ$47=2,SUMPRODUCT('calcA'!$D$97:$EQ$97,$DB15:$IO15,$IQ15:$OD15)*1000+SUMPRODUCT('calcA'!$D$97:$EQ$97,$DB15:$IO15+$ZQ15:$AFD15,$AFF15:$AKS15),SUMPRODUCT('calcA'!$D$97:$EQ$97,$DB15:$IO15*1001+$ZQ15:$AFD15))*100+38)</f>
        <v/>
      </c>
      <c r="CY15">
        <f>IF(OR(BJ15=1,calcA!$A$6=0),1000000000,IF('calcA'!$JF$48=1,0,100000000)+IF('calcA'!$IQ$48=2,SUMPRODUCT('calcA'!$D$98:$EQ$98,$DB15:$IO15,$IQ15:$OD15)*1000+SUMPRODUCT('calcA'!$D$98:$EQ$98,$DB15:$IO15+$ZQ15:$AFD15,$AFF15:$AKS15),SUMPRODUCT('calcA'!$D$98:$EQ$98,$DB15:$IO15*1001+$ZQ15:$AFD15))*100+39)</f>
        <v/>
      </c>
      <c r="CZ15">
        <f>IF(OR(BK15=1,calcA!$A$6=0),1000000000,IF('calcA'!$JF$49=1,0,100000000)+IF('calcA'!$IQ$49=2,SUMPRODUCT('calcA'!$D$99:$EQ$99,$DB15:$IO15,$IQ15:$OD15)*1000+SUMPRODUCT('calcA'!$D$99:$EQ$99,$DB15:$IO15+$ZQ15:$AFD15,$AFF15:$AKS15),SUMPRODUCT('calcA'!$D$99:$EQ$99,$DB15:$IO15*1001+$ZQ15:$AFD15))*100+40)</f>
        <v/>
      </c>
      <c r="DB15">
        <f>DB14*IF(OR($C14=1,$G14=1),0,1)</f>
        <v/>
      </c>
      <c r="DC15">
        <f>DC14*IF(OR($C14=2,$G14=2),0,1)</f>
        <v/>
      </c>
      <c r="DD15">
        <f>DD14*IF(OR($C14=3,$G14=3),0,1)</f>
        <v/>
      </c>
      <c r="DE15">
        <f>DE14*IF(OR($C14=4,$G14=4),0,1)</f>
        <v/>
      </c>
      <c r="DF15">
        <f>DF14*IF(OR($C14=5,$G14=5),0,1)</f>
        <v/>
      </c>
      <c r="DG15">
        <f>DG14*IF(OR($C14=6,$G14=6),0,1)</f>
        <v/>
      </c>
      <c r="DH15">
        <f>DH14*IF(OR($C14=7,$G14=7),0,1)</f>
        <v/>
      </c>
      <c r="DI15">
        <f>DI14*IF(OR($C14=8,$G14=8),0,1)</f>
        <v/>
      </c>
      <c r="DJ15">
        <f>DJ14*IF(OR($C14=9,$G14=9),0,1)</f>
        <v/>
      </c>
      <c r="DK15">
        <f>DK14*IF(OR($C14=10,$G14=10),0,1)</f>
        <v/>
      </c>
      <c r="DL15">
        <f>DL14*IF(OR($C14=11,$G14=11),0,1)</f>
        <v/>
      </c>
      <c r="DM15">
        <f>DM14*IF(OR($C14=12,$G14=12),0,1)</f>
        <v/>
      </c>
      <c r="DN15">
        <f>DN14*IF(OR($C14=13,$G14=13),0,1)</f>
        <v/>
      </c>
      <c r="DO15">
        <f>DO14*IF(OR($C14=14,$G14=14),0,1)</f>
        <v/>
      </c>
      <c r="DP15">
        <f>DP14*IF(OR($C14=15,$G14=15),0,1)</f>
        <v/>
      </c>
      <c r="DQ15">
        <f>DQ14*IF(OR($C14=16,$G14=16),0,1)</f>
        <v/>
      </c>
      <c r="DR15">
        <f>DR14*IF(OR($C14=17,$G14=17),0,1)</f>
        <v/>
      </c>
      <c r="DS15">
        <f>DS14*IF(OR($C14=18,$G14=18),0,1)</f>
        <v/>
      </c>
      <c r="DT15">
        <f>DT14*IF(OR($C14=19,$G14=19),0,1)</f>
        <v/>
      </c>
      <c r="DU15">
        <f>DU14*IF(OR($C14=20,$G14=20),0,1)</f>
        <v/>
      </c>
      <c r="DV15">
        <f>DV14*IF(OR($C14=21,$G14=21),0,1)</f>
        <v/>
      </c>
      <c r="DW15">
        <f>DW14*IF(OR($C14=22,$G14=22),0,1)</f>
        <v/>
      </c>
      <c r="DX15">
        <f>DX14*IF(OR($C14=23,$G14=23),0,1)</f>
        <v/>
      </c>
      <c r="DY15">
        <f>DY14*IF(OR($C14=24,$G14=24),0,1)</f>
        <v/>
      </c>
      <c r="DZ15">
        <f>DZ14*IF(OR($C14=25,$G14=25),0,1)</f>
        <v/>
      </c>
      <c r="EA15">
        <f>EA14*IF(OR($C14=26,$G14=26),0,1)</f>
        <v/>
      </c>
      <c r="EB15">
        <f>EB14*IF(OR($C14=27,$G14=27),0,1)</f>
        <v/>
      </c>
      <c r="EC15">
        <f>EC14*IF(OR($C14=28,$G14=28),0,1)</f>
        <v/>
      </c>
      <c r="ED15">
        <f>ED14*IF(OR($C14=29,$G14=29),0,1)</f>
        <v/>
      </c>
      <c r="EE15">
        <f>EE14*IF(OR($C14=30,$G14=30),0,1)</f>
        <v/>
      </c>
      <c r="EF15">
        <f>EF14*IF(OR($C14=31,$G14=31),0,1)</f>
        <v/>
      </c>
      <c r="EG15">
        <f>EG14*IF(OR($C14=32,$G14=32),0,1)</f>
        <v/>
      </c>
      <c r="EH15">
        <f>EH14*IF(OR($C14=33,$G14=33),0,1)</f>
        <v/>
      </c>
      <c r="EI15">
        <f>EI14*IF(OR($C14=34,$G14=34),0,1)</f>
        <v/>
      </c>
      <c r="EJ15">
        <f>EJ14*IF(OR($C14=35,$G14=35),0,1)</f>
        <v/>
      </c>
      <c r="EK15">
        <f>EK14*IF(OR($C14=36,$G14=36),0,1)</f>
        <v/>
      </c>
      <c r="EL15">
        <f>EL14*IF(OR($C14=37,$G14=37),0,1)</f>
        <v/>
      </c>
      <c r="EM15">
        <f>EM14*IF(OR($C14=38,$G14=38),0,1)</f>
        <v/>
      </c>
      <c r="EN15">
        <f>EN14*IF(OR($C14=39,$G14=39),0,1)</f>
        <v/>
      </c>
      <c r="EO15">
        <f>EO14*IF(OR($C14=40,$G14=40),0,1)</f>
        <v/>
      </c>
      <c r="EP15">
        <f>EP14*IF(OR($C14=41,$G14=41),0,1)</f>
        <v/>
      </c>
      <c r="EQ15">
        <f>EQ14*IF(OR($C14=42,$G14=42),0,1)</f>
        <v/>
      </c>
      <c r="ER15">
        <f>ER14*IF(OR($C14=43,$G14=43),0,1)</f>
        <v/>
      </c>
      <c r="ES15">
        <f>ES14*IF(OR($C14=44,$G14=44),0,1)</f>
        <v/>
      </c>
      <c r="ET15">
        <f>ET14*IF(OR($C14=45,$G14=45),0,1)</f>
        <v/>
      </c>
      <c r="EU15">
        <f>EU14*IF(OR($C14=46,$G14=46),0,1)</f>
        <v/>
      </c>
      <c r="EV15">
        <f>EV14*IF(OR($C14=47,$G14=47),0,1)</f>
        <v/>
      </c>
      <c r="EW15">
        <f>EW14*IF(OR($C14=48,$G14=48),0,1)</f>
        <v/>
      </c>
      <c r="EX15">
        <f>EX14*IF(OR($C14=49,$G14=49),0,1)</f>
        <v/>
      </c>
      <c r="EY15">
        <f>EY14*IF(OR($C14=50,$G14=50),0,1)</f>
        <v/>
      </c>
      <c r="EZ15">
        <f>EZ14*IF(OR($C14=51,$G14=51),0,1)</f>
        <v/>
      </c>
      <c r="FA15">
        <f>FA14*IF(OR($C14=52,$G14=52),0,1)</f>
        <v/>
      </c>
      <c r="FB15">
        <f>FB14*IF(OR($C14=53,$G14=53),0,1)</f>
        <v/>
      </c>
      <c r="FC15">
        <f>FC14*IF(OR($C14=54,$G14=54),0,1)</f>
        <v/>
      </c>
      <c r="FD15">
        <f>FD14*IF(OR($C14=55,$G14=55),0,1)</f>
        <v/>
      </c>
      <c r="FE15">
        <f>FE14*IF(OR($C14=56,$G14=56),0,1)</f>
        <v/>
      </c>
      <c r="FF15">
        <f>FF14*IF(OR($C14=57,$G14=57),0,1)</f>
        <v/>
      </c>
      <c r="FG15">
        <f>FG14*IF(OR($C14=58,$G14=58),0,1)</f>
        <v/>
      </c>
      <c r="FH15">
        <f>FH14*IF(OR($C14=59,$G14=59),0,1)</f>
        <v/>
      </c>
      <c r="FI15">
        <f>FI14*IF(OR($C14=60,$G14=60),0,1)</f>
        <v/>
      </c>
      <c r="FJ15">
        <f>FJ14*IF(OR($C14=61,$G14=61),0,1)</f>
        <v/>
      </c>
      <c r="FK15">
        <f>FK14*IF(OR($C14=62,$G14=62),0,1)</f>
        <v/>
      </c>
      <c r="FL15">
        <f>FL14*IF(OR($C14=63,$G14=63),0,1)</f>
        <v/>
      </c>
      <c r="FM15">
        <f>FM14*IF(OR($C14=64,$G14=64),0,1)</f>
        <v/>
      </c>
      <c r="FN15">
        <f>FN14*IF(OR($C14=65,$G14=65),0,1)</f>
        <v/>
      </c>
      <c r="FO15">
        <f>FO14*IF(OR($C14=66,$G14=66),0,1)</f>
        <v/>
      </c>
      <c r="FP15">
        <f>FP14*IF(OR($C14=67,$G14=67),0,1)</f>
        <v/>
      </c>
      <c r="FQ15">
        <f>FQ14*IF(OR($C14=68,$G14=68),0,1)</f>
        <v/>
      </c>
      <c r="FR15">
        <f>FR14*IF(OR($C14=69,$G14=69),0,1)</f>
        <v/>
      </c>
      <c r="FS15">
        <f>FS14*IF(OR($C14=70,$G14=70),0,1)</f>
        <v/>
      </c>
      <c r="FT15">
        <f>FT14*IF(OR($C14=71,$G14=71),0,1)</f>
        <v/>
      </c>
      <c r="FU15">
        <f>FU14*IF(OR($C14=72,$G14=72),0,1)</f>
        <v/>
      </c>
      <c r="FV15">
        <f>FV14*IF(OR($C14=73,$G14=73),0,1)</f>
        <v/>
      </c>
      <c r="FW15">
        <f>FW14*IF(OR($C14=74,$G14=74),0,1)</f>
        <v/>
      </c>
      <c r="FX15">
        <f>FX14*IF(OR($C14=75,$G14=75),0,1)</f>
        <v/>
      </c>
      <c r="FY15">
        <f>FY14*IF(OR($C14=76,$G14=76),0,1)</f>
        <v/>
      </c>
      <c r="FZ15">
        <f>FZ14*IF(OR($C14=77,$G14=77),0,1)</f>
        <v/>
      </c>
      <c r="GA15">
        <f>GA14*IF(OR($C14=78,$G14=78),0,1)</f>
        <v/>
      </c>
      <c r="GB15">
        <f>GB14*IF(OR($C14=79,$G14=79),0,1)</f>
        <v/>
      </c>
      <c r="GC15">
        <f>GC14*IF(OR($C14=80,$G14=80),0,1)</f>
        <v/>
      </c>
      <c r="GD15">
        <f>GD14*IF(OR($C14=81,$G14=81),0,1)</f>
        <v/>
      </c>
      <c r="GE15">
        <f>GE14*IF(OR($C14=82,$G14=82),0,1)</f>
        <v/>
      </c>
      <c r="GF15">
        <f>GF14*IF(OR($C14=83,$G14=83),0,1)</f>
        <v/>
      </c>
      <c r="GG15">
        <f>GG14*IF(OR($C14=84,$G14=84),0,1)</f>
        <v/>
      </c>
      <c r="GH15">
        <f>GH14*IF(OR($C14=85,$G14=85),0,1)</f>
        <v/>
      </c>
      <c r="GI15">
        <f>GI14*IF(OR($C14=86,$G14=86),0,1)</f>
        <v/>
      </c>
      <c r="GJ15">
        <f>GJ14*IF(OR($C14=87,$G14=87),0,1)</f>
        <v/>
      </c>
      <c r="GK15">
        <f>GK14*IF(OR($C14=88,$G14=88),0,1)</f>
        <v/>
      </c>
      <c r="GL15">
        <f>GL14*IF(OR($C14=89,$G14=89),0,1)</f>
        <v/>
      </c>
      <c r="GM15">
        <f>GM14*IF(OR($C14=90,$G14=90),0,1)</f>
        <v/>
      </c>
      <c r="GN15">
        <f>GN14*IF(OR($C14=91,$G14=91),0,1)</f>
        <v/>
      </c>
      <c r="GO15">
        <f>GO14*IF(OR($C14=92,$G14=92),0,1)</f>
        <v/>
      </c>
      <c r="GP15">
        <f>GP14*IF(OR($C14=93,$G14=93),0,1)</f>
        <v/>
      </c>
      <c r="GQ15">
        <f>GQ14*IF(OR($C14=94,$G14=94),0,1)</f>
        <v/>
      </c>
      <c r="GR15">
        <f>GR14*IF(OR($C14=95,$G14=95),0,1)</f>
        <v/>
      </c>
      <c r="GS15">
        <f>GS14*IF(OR($C14=96,$G14=96),0,1)</f>
        <v/>
      </c>
      <c r="GT15">
        <f>GT14*IF(OR($C14=97,$G14=97),0,1)</f>
        <v/>
      </c>
      <c r="GU15">
        <f>GU14*IF(OR($C14=98,$G14=98),0,1)</f>
        <v/>
      </c>
      <c r="GV15">
        <f>GV14*IF(OR($C14=99,$G14=99),0,1)</f>
        <v/>
      </c>
      <c r="GW15">
        <f>GW14*IF(OR($C14=100,$G14=100),0,1)</f>
        <v/>
      </c>
      <c r="GX15">
        <f>GX14*IF(OR($C14=101,$G14=101),0,1)</f>
        <v/>
      </c>
      <c r="GY15">
        <f>GY14*IF(OR($C14=102,$G14=102),0,1)</f>
        <v/>
      </c>
      <c r="GZ15">
        <f>GZ14*IF(OR($C14=103,$G14=103),0,1)</f>
        <v/>
      </c>
      <c r="HA15">
        <f>HA14*IF(OR($C14=104,$G14=104),0,1)</f>
        <v/>
      </c>
      <c r="HB15">
        <f>HB14*IF(OR($C14=105,$G14=105),0,1)</f>
        <v/>
      </c>
      <c r="HC15">
        <f>HC14*IF(OR($C14=106,$G14=106),0,1)</f>
        <v/>
      </c>
      <c r="HD15">
        <f>HD14*IF(OR($C14=107,$G14=107),0,1)</f>
        <v/>
      </c>
      <c r="HE15">
        <f>HE14*IF(OR($C14=108,$G14=108),0,1)</f>
        <v/>
      </c>
      <c r="HF15">
        <f>HF14*IF(OR($C14=109,$G14=109),0,1)</f>
        <v/>
      </c>
      <c r="HG15">
        <f>HG14*IF(OR($C14=110,$G14=110),0,1)</f>
        <v/>
      </c>
      <c r="HH15">
        <f>HH14*IF(OR($C14=111,$G14=111),0,1)</f>
        <v/>
      </c>
      <c r="HI15">
        <f>HI14*IF(OR($C14=112,$G14=112),0,1)</f>
        <v/>
      </c>
      <c r="HJ15">
        <f>HJ14*IF(OR($C14=113,$G14=113),0,1)</f>
        <v/>
      </c>
      <c r="HK15">
        <f>HK14*IF(OR($C14=114,$G14=114),0,1)</f>
        <v/>
      </c>
      <c r="HL15">
        <f>HL14*IF(OR($C14=115,$G14=115),0,1)</f>
        <v/>
      </c>
      <c r="HM15">
        <f>HM14*IF(OR($C14=116,$G14=116),0,1)</f>
        <v/>
      </c>
      <c r="HN15">
        <f>HN14*IF(OR($C14=117,$G14=117),0,1)</f>
        <v/>
      </c>
      <c r="HO15">
        <f>HO14*IF(OR($C14=118,$G14=118),0,1)</f>
        <v/>
      </c>
      <c r="HP15">
        <f>HP14*IF(OR($C14=119,$G14=119),0,1)</f>
        <v/>
      </c>
      <c r="HQ15">
        <f>HQ14*IF(OR($C14=120,$G14=120),0,1)</f>
        <v/>
      </c>
      <c r="HR15">
        <f>HR14*IF(OR($C14=121,$G14=121),0,1)</f>
        <v/>
      </c>
      <c r="HS15">
        <f>HS14*IF(OR($C14=122,$G14=122),0,1)</f>
        <v/>
      </c>
      <c r="HT15">
        <f>HT14*IF(OR($C14=123,$G14=123),0,1)</f>
        <v/>
      </c>
      <c r="HU15">
        <f>HU14*IF(OR($C14=124,$G14=124),0,1)</f>
        <v/>
      </c>
      <c r="HV15">
        <f>HV14*IF(OR($C14=125,$G14=125),0,1)</f>
        <v/>
      </c>
      <c r="HW15">
        <f>HW14*IF(OR($C14=126,$G14=126),0,1)</f>
        <v/>
      </c>
      <c r="HX15">
        <f>HX14*IF(OR($C14=127,$G14=127),0,1)</f>
        <v/>
      </c>
      <c r="HY15">
        <f>HY14*IF(OR($C14=128,$G14=128),0,1)</f>
        <v/>
      </c>
      <c r="HZ15">
        <f>HZ14*IF(OR($C14=129,$G14=129),0,1)</f>
        <v/>
      </c>
      <c r="IA15">
        <f>IA14*IF(OR($C14=130,$G14=130),0,1)</f>
        <v/>
      </c>
      <c r="IB15">
        <f>IB14*IF(OR($C14=131,$G14=131),0,1)</f>
        <v/>
      </c>
      <c r="IC15">
        <f>IC14*IF(OR($C14=132,$G14=132),0,1)</f>
        <v/>
      </c>
      <c r="ID15">
        <f>ID14*IF(OR($C14=133,$G14=133),0,1)</f>
        <v/>
      </c>
      <c r="IE15">
        <f>IE14*IF(OR($C14=134,$G14=134),0,1)</f>
        <v/>
      </c>
      <c r="IF15">
        <f>IF14*IF(OR($C14=135,$G14=135),0,1)</f>
        <v/>
      </c>
      <c r="IG15">
        <f>IG14*IF(OR($C14=136,$G14=136),0,1)</f>
        <v/>
      </c>
      <c r="IH15">
        <f>IH14*IF(OR($C14=137,$G14=137),0,1)</f>
        <v/>
      </c>
      <c r="II15">
        <f>II14*IF(OR($C14=138,$G14=138),0,1)</f>
        <v/>
      </c>
      <c r="IJ15">
        <f>IJ14*IF(OR($C14=139,$G14=139),0,1)</f>
        <v/>
      </c>
      <c r="IK15">
        <f>IK14*IF(OR($C14=140,$G14=140),0,1)</f>
        <v/>
      </c>
      <c r="IL15">
        <f>IL14*IF(OR($C14=141,$G14=141),0,1)</f>
        <v/>
      </c>
      <c r="IM15">
        <f>IM14*IF(OR($C14=142,$G14=142),0,1)</f>
        <v/>
      </c>
      <c r="IN15">
        <f>IN14*IF(OR($C14=143,$G14=143),0,1)</f>
        <v/>
      </c>
      <c r="IO15">
        <f>IO14*IF(OR($C14=144,$G14=144),0,1)</f>
        <v/>
      </c>
      <c r="IQ15">
        <f>IF('calcA'!D$106=1,DC15,1)</f>
        <v/>
      </c>
      <c r="IR15">
        <f>IF('calcA'!E$106=1,DD15,1)</f>
        <v/>
      </c>
      <c r="IS15">
        <f>IF('calcA'!F$106=1,DE15,1)</f>
        <v/>
      </c>
      <c r="IT15">
        <f>IF('calcA'!G$106=1,DF15,1)</f>
        <v/>
      </c>
      <c r="IU15">
        <f>IF('calcA'!H$106=1,DG15,1)</f>
        <v/>
      </c>
      <c r="IV15">
        <f>IF('calcA'!I$106=1,DH15,1)</f>
        <v/>
      </c>
      <c r="IW15">
        <f>IF('calcA'!J$106=1,DI15,1)</f>
        <v/>
      </c>
      <c r="IX15">
        <f>IF('calcA'!K$106=1,DJ15,1)</f>
        <v/>
      </c>
      <c r="IY15">
        <f>IF('calcA'!L$106=1,DK15,1)</f>
        <v/>
      </c>
      <c r="IZ15">
        <f>IF('calcA'!M$106=1,DL15,1)</f>
        <v/>
      </c>
      <c r="JA15">
        <f>IF('calcA'!N$106=1,DM15,1)</f>
        <v/>
      </c>
      <c r="JB15">
        <f>IF('calcA'!O$106=1,DN15,1)</f>
        <v/>
      </c>
      <c r="JC15">
        <f>IF('calcA'!P$106=1,DO15,1)</f>
        <v/>
      </c>
      <c r="JD15">
        <f>IF('calcA'!Q$106=1,DP15,1)</f>
        <v/>
      </c>
      <c r="JE15">
        <f>IF('calcA'!R$106=1,DQ15,1)</f>
        <v/>
      </c>
      <c r="JF15">
        <f>IF('calcA'!S$106=1,DR15,1)</f>
        <v/>
      </c>
      <c r="JG15">
        <f>IF('calcA'!T$106=1,DS15,1)</f>
        <v/>
      </c>
      <c r="JH15">
        <f>IF('calcA'!U$106=1,DT15,1)</f>
        <v/>
      </c>
      <c r="JI15">
        <f>IF('calcA'!V$106=1,DU15,1)</f>
        <v/>
      </c>
      <c r="JJ15">
        <f>IF('calcA'!W$106=1,DV15,1)</f>
        <v/>
      </c>
      <c r="JK15">
        <f>IF('calcA'!X$106=1,DW15,1)</f>
        <v/>
      </c>
      <c r="JL15">
        <f>IF('calcA'!Y$106=1,DX15,1)</f>
        <v/>
      </c>
      <c r="JM15">
        <f>IF('calcA'!Z$106=1,DY15,1)</f>
        <v/>
      </c>
      <c r="JN15">
        <f>IF('calcA'!AA$106=1,DZ15,1)</f>
        <v/>
      </c>
      <c r="JO15">
        <f>IF('calcA'!AB$106=1,EA15,1)</f>
        <v/>
      </c>
      <c r="JP15">
        <f>IF('calcA'!AC$106=1,EB15,1)</f>
        <v/>
      </c>
      <c r="JQ15">
        <f>IF('calcA'!AD$106=1,EC15,1)</f>
        <v/>
      </c>
      <c r="JR15">
        <f>IF('calcA'!AE$106=1,ED15,1)</f>
        <v/>
      </c>
      <c r="JS15">
        <f>IF('calcA'!AF$106=1,EE15,1)</f>
        <v/>
      </c>
      <c r="JT15">
        <f>IF('calcA'!AG$106=1,EF15,1)</f>
        <v/>
      </c>
      <c r="JU15">
        <f>IF('calcA'!AH$106=1,EG15,1)</f>
        <v/>
      </c>
      <c r="JV15">
        <f>IF('calcA'!AI$106=1,EH15,1)</f>
        <v/>
      </c>
      <c r="JW15">
        <f>IF('calcA'!AJ$106=1,EI15,1)</f>
        <v/>
      </c>
      <c r="JX15">
        <f>IF('calcA'!AK$106=1,EJ15,1)</f>
        <v/>
      </c>
      <c r="JY15">
        <f>IF('calcA'!AL$106=1,EK15,1)</f>
        <v/>
      </c>
      <c r="JZ15">
        <f>IF('calcA'!AM$106=1,EL15,1)</f>
        <v/>
      </c>
      <c r="KA15">
        <f>IF('calcA'!AN$106=1,EM15,1)</f>
        <v/>
      </c>
      <c r="KB15">
        <f>IF('calcA'!AO$106=1,EN15,1)</f>
        <v/>
      </c>
      <c r="KC15">
        <f>IF('calcA'!AP$106=1,EO15,1)</f>
        <v/>
      </c>
      <c r="KD15">
        <f>IF('calcA'!AQ$106=1,EP15,1)</f>
        <v/>
      </c>
      <c r="KE15">
        <f>IF('calcA'!AR$106=1,EQ15,1)</f>
        <v/>
      </c>
      <c r="KF15">
        <f>IF('calcA'!AS$106=1,ER15,1)</f>
        <v/>
      </c>
      <c r="KG15">
        <f>IF('calcA'!AT$106=1,ES15,1)</f>
        <v/>
      </c>
      <c r="KH15">
        <f>IF('calcA'!AU$106=1,ET15,1)</f>
        <v/>
      </c>
      <c r="KI15">
        <f>IF('calcA'!AV$106=1,EU15,1)</f>
        <v/>
      </c>
      <c r="KJ15">
        <f>IF('calcA'!AW$106=1,EV15,1)</f>
        <v/>
      </c>
      <c r="KK15">
        <f>IF('calcA'!AX$106=1,EW15,1)</f>
        <v/>
      </c>
      <c r="KL15">
        <f>IF('calcA'!AY$106=1,EX15,1)</f>
        <v/>
      </c>
      <c r="KM15">
        <f>IF('calcA'!AZ$106=1,EY15,1)</f>
        <v/>
      </c>
      <c r="KN15">
        <f>IF('calcA'!BA$106=1,EZ15,1)</f>
        <v/>
      </c>
      <c r="KO15">
        <f>IF('calcA'!BB$106=1,FA15,1)</f>
        <v/>
      </c>
      <c r="KP15">
        <f>IF('calcA'!BC$106=1,FB15,1)</f>
        <v/>
      </c>
      <c r="KQ15">
        <f>IF('calcA'!BD$106=1,FC15,1)</f>
        <v/>
      </c>
      <c r="KR15">
        <f>IF('calcA'!BE$106=1,FD15,1)</f>
        <v/>
      </c>
      <c r="KS15">
        <f>IF('calcA'!BF$106=1,FE15,1)</f>
        <v/>
      </c>
      <c r="KT15">
        <f>IF('calcA'!BG$106=1,FF15,1)</f>
        <v/>
      </c>
      <c r="KU15">
        <f>IF('calcA'!BH$106=1,FG15,1)</f>
        <v/>
      </c>
      <c r="KV15">
        <f>IF('calcA'!BI$106=1,FH15,1)</f>
        <v/>
      </c>
      <c r="KW15">
        <f>IF('calcA'!BJ$106=1,FI15,1)</f>
        <v/>
      </c>
      <c r="KX15">
        <f>IF('calcA'!BK$106=1,FJ15,1)</f>
        <v/>
      </c>
      <c r="KY15">
        <f>IF('calcA'!BL$106=1,FK15,1)</f>
        <v/>
      </c>
      <c r="KZ15">
        <f>IF('calcA'!BM$106=1,FL15,1)</f>
        <v/>
      </c>
      <c r="LA15">
        <f>IF('calcA'!BN$106=1,FM15,1)</f>
        <v/>
      </c>
      <c r="LB15">
        <f>IF('calcA'!BO$106=1,FN15,1)</f>
        <v/>
      </c>
      <c r="LC15">
        <f>IF('calcA'!BP$106=1,FO15,1)</f>
        <v/>
      </c>
      <c r="LD15">
        <f>IF('calcA'!BQ$106=1,FP15,1)</f>
        <v/>
      </c>
      <c r="LE15">
        <f>IF('calcA'!BR$106=1,FQ15,1)</f>
        <v/>
      </c>
      <c r="LF15">
        <f>IF('calcA'!BS$106=1,FR15,1)</f>
        <v/>
      </c>
      <c r="LG15">
        <f>IF('calcA'!BT$106=1,FS15,1)</f>
        <v/>
      </c>
      <c r="LH15">
        <f>IF('calcA'!BU$106=1,FT15,1)</f>
        <v/>
      </c>
      <c r="LI15">
        <f>IF('calcA'!BV$106=1,FU15,1)</f>
        <v/>
      </c>
      <c r="LJ15">
        <f>IF('calcA'!BW$106=1,FV15,1)</f>
        <v/>
      </c>
      <c r="LK15">
        <f>IF('calcA'!BX$106=1,FW15,1)</f>
        <v/>
      </c>
      <c r="LL15">
        <f>IF('calcA'!BY$106=1,FX15,1)</f>
        <v/>
      </c>
      <c r="LM15">
        <f>IF('calcA'!BZ$106=1,FY15,1)</f>
        <v/>
      </c>
      <c r="LN15">
        <f>IF('calcA'!CA$106=1,FZ15,1)</f>
        <v/>
      </c>
      <c r="LO15">
        <f>IF('calcA'!CB$106=1,GA15,1)</f>
        <v/>
      </c>
      <c r="LP15">
        <f>IF('calcA'!CC$106=1,GB15,1)</f>
        <v/>
      </c>
      <c r="LQ15">
        <f>IF('calcA'!CD$106=1,GC15,1)</f>
        <v/>
      </c>
      <c r="LR15">
        <f>IF('calcA'!CE$106=1,GD15,1)</f>
        <v/>
      </c>
      <c r="LS15">
        <f>IF('calcA'!CF$106=1,GE15,1)</f>
        <v/>
      </c>
      <c r="LT15">
        <f>IF('calcA'!CG$106=1,GF15,1)</f>
        <v/>
      </c>
      <c r="LU15">
        <f>IF('calcA'!CH$106=1,GG15,1)</f>
        <v/>
      </c>
      <c r="LV15">
        <f>IF('calcA'!CI$106=1,GH15,1)</f>
        <v/>
      </c>
      <c r="LW15">
        <f>IF('calcA'!CJ$106=1,GI15,1)</f>
        <v/>
      </c>
      <c r="LX15">
        <f>IF('calcA'!CK$106=1,GJ15,1)</f>
        <v/>
      </c>
      <c r="LY15">
        <f>IF('calcA'!CL$106=1,GK15,1)</f>
        <v/>
      </c>
      <c r="LZ15">
        <f>IF('calcA'!CM$106=1,GL15,1)</f>
        <v/>
      </c>
      <c r="MA15">
        <f>IF('calcA'!CN$106=1,GM15,1)</f>
        <v/>
      </c>
      <c r="MB15">
        <f>IF('calcA'!CO$106=1,GN15,1)</f>
        <v/>
      </c>
      <c r="MC15">
        <f>IF('calcA'!CP$106=1,GO15,1)</f>
        <v/>
      </c>
      <c r="MD15">
        <f>IF('calcA'!CQ$106=1,GP15,1)</f>
        <v/>
      </c>
      <c r="ME15">
        <f>IF('calcA'!CR$106=1,GQ15,1)</f>
        <v/>
      </c>
      <c r="MF15">
        <f>IF('calcA'!CS$106=1,GR15,1)</f>
        <v/>
      </c>
      <c r="MG15">
        <f>IF('calcA'!CT$106=1,GS15,1)</f>
        <v/>
      </c>
      <c r="MH15">
        <f>IF('calcA'!CU$106=1,GT15,1)</f>
        <v/>
      </c>
      <c r="MI15">
        <f>IF('calcA'!CV$106=1,GU15,1)</f>
        <v/>
      </c>
      <c r="MJ15">
        <f>IF('calcA'!CW$106=1,GV15,1)</f>
        <v/>
      </c>
      <c r="MK15">
        <f>IF('calcA'!CX$106=1,GW15,1)</f>
        <v/>
      </c>
      <c r="ML15">
        <f>IF('calcA'!CY$106=1,GX15,1)</f>
        <v/>
      </c>
      <c r="MM15">
        <f>IF('calcA'!CZ$106=1,GY15,1)</f>
        <v/>
      </c>
      <c r="MN15">
        <f>IF('calcA'!DA$106=1,GZ15,1)</f>
        <v/>
      </c>
      <c r="MO15">
        <f>IF('calcA'!DB$106=1,HA15,1)</f>
        <v/>
      </c>
      <c r="MP15">
        <f>IF('calcA'!DC$106=1,HB15,1)</f>
        <v/>
      </c>
      <c r="MQ15">
        <f>IF('calcA'!DD$106=1,HC15,1)</f>
        <v/>
      </c>
      <c r="MR15">
        <f>IF('calcA'!DE$106=1,HD15,1)</f>
        <v/>
      </c>
      <c r="MS15">
        <f>IF('calcA'!DF$106=1,HE15,1)</f>
        <v/>
      </c>
      <c r="MT15">
        <f>IF('calcA'!DG$106=1,HF15,1)</f>
        <v/>
      </c>
      <c r="MU15">
        <f>IF('calcA'!DH$106=1,HG15,1)</f>
        <v/>
      </c>
      <c r="MV15">
        <f>IF('calcA'!DI$106=1,HH15,1)</f>
        <v/>
      </c>
      <c r="MW15">
        <f>IF('calcA'!DJ$106=1,HI15,1)</f>
        <v/>
      </c>
      <c r="MX15">
        <f>IF('calcA'!DK$106=1,HJ15,1)</f>
        <v/>
      </c>
      <c r="MY15">
        <f>IF('calcA'!DL$106=1,HK15,1)</f>
        <v/>
      </c>
      <c r="MZ15">
        <f>IF('calcA'!DM$106=1,HL15,1)</f>
        <v/>
      </c>
      <c r="NA15">
        <f>IF('calcA'!DN$106=1,HM15,1)</f>
        <v/>
      </c>
      <c r="NB15">
        <f>IF('calcA'!DO$106=1,HN15,1)</f>
        <v/>
      </c>
      <c r="NC15">
        <f>IF('calcA'!DP$106=1,HO15,1)</f>
        <v/>
      </c>
      <c r="ND15">
        <f>IF('calcA'!DQ$106=1,HP15,1)</f>
        <v/>
      </c>
      <c r="NE15">
        <f>IF('calcA'!DR$106=1,HQ15,1)</f>
        <v/>
      </c>
      <c r="NF15">
        <f>IF('calcA'!DS$106=1,HR15,1)</f>
        <v/>
      </c>
      <c r="NG15">
        <f>IF('calcA'!DT$106=1,HS15,1)</f>
        <v/>
      </c>
      <c r="NH15">
        <f>IF('calcA'!DU$106=1,HT15,1)</f>
        <v/>
      </c>
      <c r="NI15">
        <f>IF('calcA'!DV$106=1,HU15,1)</f>
        <v/>
      </c>
      <c r="NJ15">
        <f>IF('calcA'!DW$106=1,HV15,1)</f>
        <v/>
      </c>
      <c r="NK15">
        <f>IF('calcA'!DX$106=1,HW15,1)</f>
        <v/>
      </c>
      <c r="NL15">
        <f>IF('calcA'!DY$106=1,HX15,1)</f>
        <v/>
      </c>
      <c r="NM15">
        <f>IF('calcA'!DZ$106=1,HY15,1)</f>
        <v/>
      </c>
      <c r="NN15">
        <f>IF('calcA'!EA$106=1,HZ15,1)</f>
        <v/>
      </c>
      <c r="NO15">
        <f>IF('calcA'!EB$106=1,IA15,1)</f>
        <v/>
      </c>
      <c r="NP15">
        <f>IF('calcA'!EC$106=1,IB15,1)</f>
        <v/>
      </c>
      <c r="NQ15">
        <f>IF('calcA'!ED$106=1,IC15,1)</f>
        <v/>
      </c>
      <c r="NR15">
        <f>IF('calcA'!EE$106=1,ID15,1)</f>
        <v/>
      </c>
      <c r="NS15">
        <f>IF('calcA'!EF$106=1,IE15,1)</f>
        <v/>
      </c>
      <c r="NT15">
        <f>IF('calcA'!EG$106=1,IF15,1)</f>
        <v/>
      </c>
      <c r="NU15">
        <f>IF('calcA'!EH$106=1,IG15,1)</f>
        <v/>
      </c>
      <c r="NV15">
        <f>IF('calcA'!EI$106=1,IH15,1)</f>
        <v/>
      </c>
      <c r="NW15">
        <f>IF('calcA'!EJ$106=1,II15,1)</f>
        <v/>
      </c>
      <c r="NX15">
        <f>IF('calcA'!EK$106=1,IJ15,1)</f>
        <v/>
      </c>
      <c r="NY15">
        <f>IF('calcA'!EL$106=1,IK15,1)</f>
        <v/>
      </c>
      <c r="NZ15">
        <f>IF('calcA'!EM$106=1,IL15,1)</f>
        <v/>
      </c>
      <c r="OA15">
        <f>IF('calcA'!EN$106=1,IM15,1)</f>
        <v/>
      </c>
      <c r="OB15">
        <f>IF('calcA'!EO$106=1,IN15,1)</f>
        <v/>
      </c>
      <c r="OC15">
        <f>IF('calcA'!EP$106=1,IO15,1)</f>
        <v/>
      </c>
      <c r="OD15" t="n">
        <v>1</v>
      </c>
      <c r="OF15">
        <f>IF($B15=0,1000000000,IF(INDEX('calcA'!$D$60:$EQ$99,$B15,1)*IF($W15=1,DB15+ZQ15,DB15)=1,IF(AND($E15=2,IF($W15=1,AFF15,IQ15)=0),1000000000,IF($V15=1,INDEX('calcA'!$D$130:$EQ$169,$B15,1)+IF(AND($E15=1,IQ15=0),25,0),INDEX('calcA'!D$110:D$114,$F15+1)+IF(AND($E15=1,IQ15=0),1000,0)+IF($H15=1,INDEX('calcA'!$D$180:$EQ$219,$B15,1)*500,0)-IF(AND($U15=1,'calcA'!D$117=1,DC15=0),300,0))),1000000000))</f>
        <v/>
      </c>
      <c r="OG15">
        <f>IF($B15=0,1000000000,IF(INDEX('calcA'!$D$60:$EQ$99,$B15,2)*IF($W15=1,DC15+ZR15,DC15)=1,IF(AND($E15=2,IF($W15=1,AFG15,IR15)=0),1000000000,IF($V15=1,INDEX('calcA'!$D$130:$EQ$169,$B15,2)+IF(AND($E15=1,IR15=0),25,0),INDEX('calcA'!E$110:E$114,$F15+1)+IF(AND($E15=1,IR15=0),1000,0)+IF($H15=1,INDEX('calcA'!$D$180:$EQ$219,$B15,2)*500,0)-IF(AND('calcA'!D$117=1,UB15&gt;0),300,0)-IF(AND($U15=1,'calcA'!E$117=1,DD15=0),300,0))),1000000000))</f>
        <v/>
      </c>
      <c r="OH15">
        <f>IF($B15=0,1000000000,IF(INDEX('calcA'!$D$60:$EQ$99,$B15,3)*IF($W15=1,DD15+ZS15,DD15)=1,IF(AND($E15=2,IF($W15=1,AFH15,IS15)=0),1000000000,IF($V15=1,INDEX('calcA'!$D$130:$EQ$169,$B15,3)+IF(AND($E15=1,IS15=0),25,0),INDEX('calcA'!F$110:F$114,$F15+1)+IF(AND($E15=1,IS15=0),1000,0)+IF($H15=1,INDEX('calcA'!$D$180:$EQ$219,$B15,3)*500,0)-IF(AND('calcA'!E$117=1,UC15&gt;0),300,0)-IF(AND($U15=1,'calcA'!F$117=1,DE15=0),300,0))),1000000000))</f>
        <v/>
      </c>
      <c r="OI15">
        <f>IF($B15=0,1000000000,IF(INDEX('calcA'!$D$60:$EQ$99,$B15,4)*IF($W15=1,DE15+ZT15,DE15)=1,IF(AND($E15=2,IF($W15=1,AFI15,IT15)=0),1000000000,IF($V15=1,INDEX('calcA'!$D$130:$EQ$169,$B15,4)+IF(AND($E15=1,IT15=0),25,0),INDEX('calcA'!G$110:G$114,$F15+1)+IF(AND($E15=1,IT15=0),1000,0)+IF($H15=1,INDEX('calcA'!$D$180:$EQ$219,$B15,4)*500,0)-IF(AND('calcA'!F$117=1,UD15&gt;0),300,0)-IF(AND($U15=1,'calcA'!G$117=1,DF15=0),300,0))),1000000000))</f>
        <v/>
      </c>
      <c r="OJ15">
        <f>IF($B15=0,1000000000,IF(INDEX('calcA'!$D$60:$EQ$99,$B15,5)*IF($W15=1,DF15+ZU15,DF15)=1,IF(AND($E15=2,IF($W15=1,AFJ15,IU15)=0),1000000000,IF($V15=1,INDEX('calcA'!$D$130:$EQ$169,$B15,5)+IF(AND($E15=1,IU15=0),25,0),INDEX('calcA'!H$110:H$114,$F15+1)+IF(AND($E15=1,IU15=0),1000,0)+IF($H15=1,INDEX('calcA'!$D$180:$EQ$219,$B15,5)*500,0)-IF(AND('calcA'!G$117=1,UE15&gt;0),300,0)-IF(AND($U15=1,'calcA'!H$117=1,DG15=0),300,0))),1000000000))</f>
        <v/>
      </c>
      <c r="OK15">
        <f>IF($B15=0,1000000000,IF(INDEX('calcA'!$D$60:$EQ$99,$B15,6)*IF($W15=1,DG15+ZV15,DG15)=1,IF(AND($E15=2,IF($W15=1,AFK15,IV15)=0),1000000000,IF($V15=1,INDEX('calcA'!$D$130:$EQ$169,$B15,6)+IF(AND($E15=1,IV15=0),25,0),INDEX('calcA'!I$110:I$114,$F15+1)+IF(AND($E15=1,IV15=0),1000,0)+IF($H15=1,INDEX('calcA'!$D$180:$EQ$219,$B15,6)*500,0)-IF(AND('calcA'!H$117=1,UF15&gt;0),300,0)-IF(AND($U15=1,'calcA'!I$117=1,DH15=0),300,0))),1000000000))</f>
        <v/>
      </c>
      <c r="OL15">
        <f>IF($B15=0,1000000000,IF(INDEX('calcA'!$D$60:$EQ$99,$B15,7)*IF($W15=1,DH15+ZW15,DH15)=1,IF(AND($E15=2,IF($W15=1,AFL15,IW15)=0),1000000000,IF($V15=1,INDEX('calcA'!$D$130:$EQ$169,$B15,7)+IF(AND($E15=1,IW15=0),25,0),INDEX('calcA'!J$110:J$114,$F15+1)+IF(AND($E15=1,IW15=0),1000,0)+IF($H15=1,INDEX('calcA'!$D$180:$EQ$219,$B15,7)*500,0)-IF(AND('calcA'!I$117=1,UG15&gt;0),300,0)-IF(AND($U15=1,'calcA'!J$117=1,DI15=0),300,0))),1000000000))</f>
        <v/>
      </c>
      <c r="OM15">
        <f>IF($B15=0,1000000000,IF(INDEX('calcA'!$D$60:$EQ$99,$B15,8)*IF($W15=1,DI15+ZX15,DI15)=1,IF(AND($E15=2,IF($W15=1,AFM15,IX15)=0),1000000000,IF($V15=1,INDEX('calcA'!$D$130:$EQ$169,$B15,8)+IF(AND($E15=1,IX15=0),25,0),INDEX('calcA'!K$110:K$114,$F15+1)+IF(AND($E15=1,IX15=0),1000,0)+IF($H15=1,INDEX('calcA'!$D$180:$EQ$219,$B15,8)*500,0)-IF(AND('calcA'!J$117=1,UH15&gt;0),300,0)-IF(AND($U15=1,'calcA'!K$117=1,DJ15=0),300,0))),1000000000))</f>
        <v/>
      </c>
      <c r="ON15">
        <f>IF($B15=0,1000000000,IF(INDEX('calcA'!$D$60:$EQ$99,$B15,9)*IF($W15=1,DJ15+ZY15,DJ15)=1,IF(AND($E15=2,IF($W15=1,AFN15,IY15)=0),1000000000,IF($V15=1,INDEX('calcA'!$D$130:$EQ$169,$B15,9)+IF(AND($E15=1,IY15=0),25,0),INDEX('calcA'!L$110:L$114,$F15+1)+IF(AND($E15=1,IY15=0),1000,0)+IF($H15=1,INDEX('calcA'!$D$180:$EQ$219,$B15,9)*500,0)-IF(AND('calcA'!K$117=1,UI15&gt;0),300,0)-IF(AND($U15=1,'calcA'!L$117=1,DK15=0),300,0))),1000000000))</f>
        <v/>
      </c>
      <c r="OO15">
        <f>IF($B15=0,1000000000,IF(INDEX('calcA'!$D$60:$EQ$99,$B15,10)*IF($W15=1,DK15+ZZ15,DK15)=1,IF(AND($E15=2,IF($W15=1,AFO15,IZ15)=0),1000000000,IF($V15=1,INDEX('calcA'!$D$130:$EQ$169,$B15,10)+IF(AND($E15=1,IZ15=0),25,0),INDEX('calcA'!M$110:M$114,$F15+1)+IF(AND($E15=1,IZ15=0),1000,0)+IF($H15=1,INDEX('calcA'!$D$180:$EQ$219,$B15,10)*500,0)-IF(AND('calcA'!L$117=1,UJ15&gt;0),300,0)-IF(AND($U15=1,'calcA'!M$117=1,DL15=0),300,0))),1000000000))</f>
        <v/>
      </c>
      <c r="OP15">
        <f>IF($B15=0,1000000000,IF(INDEX('calcA'!$D$60:$EQ$99,$B15,11)*IF($W15=1,DL15+AAA15,DL15)=1,IF(AND($E15=2,IF($W15=1,AFP15,JA15)=0),1000000000,IF($V15=1,INDEX('calcA'!$D$130:$EQ$169,$B15,11)+IF(AND($E15=1,JA15=0),25,0),INDEX('calcA'!N$110:N$114,$F15+1)+IF(AND($E15=1,JA15=0),1000,0)+IF($H15=1,INDEX('calcA'!$D$180:$EQ$219,$B15,11)*500,0)-IF(AND('calcA'!M$117=1,UK15&gt;0),300,0)-IF(AND($U15=1,'calcA'!N$117=1,DM15=0),300,0))),1000000000))</f>
        <v/>
      </c>
      <c r="OQ15">
        <f>IF($B15=0,1000000000,IF(INDEX('calcA'!$D$60:$EQ$99,$B15,12)*IF($W15=1,DM15+AAB15,DM15)=1,IF(AND($E15=2,IF($W15=1,AFQ15,JB15)=0),1000000000,IF($V15=1,INDEX('calcA'!$D$130:$EQ$169,$B15,12)+IF(AND($E15=1,JB15=0),25,0),INDEX('calcA'!O$110:O$114,$F15+1)+IF(AND($E15=1,JB15=0),1000,0)+IF($H15=1,INDEX('calcA'!$D$180:$EQ$219,$B15,12)*500,0)-IF(AND('calcA'!N$117=1,UL15&gt;0),300,0)-IF(AND($U15=1,'calcA'!O$117=1,DN15=0),300,0))),1000000000))</f>
        <v/>
      </c>
      <c r="OR15">
        <f>IF($B15=0,1000000000,IF(INDEX('calcA'!$D$60:$EQ$99,$B15,13)*IF($W15=1,DN15+AAC15,DN15)=1,IF(AND($E15=2,IF($W15=1,AFR15,JC15)=0),1000000000,IF($V15=1,INDEX('calcA'!$D$130:$EQ$169,$B15,13)+IF(AND($E15=1,JC15=0),25,0),INDEX('calcA'!P$110:P$114,$F15+1)+IF(AND($E15=1,JC15=0),1000,0)+IF($H15=1,INDEX('calcA'!$D$180:$EQ$219,$B15,13)*500,0)-IF(AND('calcA'!O$117=1,UM15&gt;0),300,0)-IF(AND($U15=1,'calcA'!P$117=1,DO15=0),300,0))),1000000000))</f>
        <v/>
      </c>
      <c r="OS15">
        <f>IF($B15=0,1000000000,IF(INDEX('calcA'!$D$60:$EQ$99,$B15,14)*IF($W15=1,DO15+AAD15,DO15)=1,IF(AND($E15=2,IF($W15=1,AFS15,JD15)=0),1000000000,IF($V15=1,INDEX('calcA'!$D$130:$EQ$169,$B15,14)+IF(AND($E15=1,JD15=0),25,0),INDEX('calcA'!Q$110:Q$114,$F15+1)+IF(AND($E15=1,JD15=0),1000,0)+IF($H15=1,INDEX('calcA'!$D$180:$EQ$219,$B15,14)*500,0)-IF(AND('calcA'!P$117=1,UN15&gt;0),300,0)-IF(AND($U15=1,'calcA'!Q$117=1,DP15=0),300,0))),1000000000))</f>
        <v/>
      </c>
      <c r="OT15">
        <f>IF($B15=0,1000000000,IF(INDEX('calcA'!$D$60:$EQ$99,$B15,15)*IF($W15=1,DP15+AAE15,DP15)=1,IF(AND($E15=2,IF($W15=1,AFT15,JE15)=0),1000000000,IF($V15=1,INDEX('calcA'!$D$130:$EQ$169,$B15,15)+IF(AND($E15=1,JE15=0),25,0),INDEX('calcA'!R$110:R$114,$F15+1)+IF(AND($E15=1,JE15=0),1000,0)+IF($H15=1,INDEX('calcA'!$D$180:$EQ$219,$B15,15)*500,0)-IF(AND('calcA'!Q$117=1,UO15&gt;0),300,0)-IF(AND($U15=1,'calcA'!R$117=1,DQ15=0),300,0))),1000000000))</f>
        <v/>
      </c>
      <c r="OU15">
        <f>IF($B15=0,1000000000,IF(INDEX('calcA'!$D$60:$EQ$99,$B15,16)*IF($W15=1,DQ15+AAF15,DQ15)=1,IF(AND($E15=2,IF($W15=1,AFU15,JF15)=0),1000000000,IF($V15=1,INDEX('calcA'!$D$130:$EQ$169,$B15,16)+IF(AND($E15=1,JF15=0),25,0),INDEX('calcA'!S$110:S$114,$F15+1)+IF(AND($E15=1,JF15=0),1000,0)+IF($H15=1,INDEX('calcA'!$D$180:$EQ$219,$B15,16)*500,0)-IF(AND('calcA'!R$117=1,UP15&gt;0),300,0)-IF(AND($U15=1,'calcA'!S$117=1,DR15=0),300,0))),1000000000))</f>
        <v/>
      </c>
      <c r="OV15">
        <f>IF($B15=0,1000000000,IF(INDEX('calcA'!$D$60:$EQ$99,$B15,17)*IF($W15=1,DR15+AAG15,DR15)=1,IF(AND($E15=2,IF($W15=1,AFV15,JG15)=0),1000000000,IF($V15=1,INDEX('calcA'!$D$130:$EQ$169,$B15,17)+IF(AND($E15=1,JG15=0),25,0),INDEX('calcA'!T$110:T$114,$F15+1)+IF(AND($E15=1,JG15=0),1000,0)+IF($H15=1,INDEX('calcA'!$D$180:$EQ$219,$B15,17)*500,0)-IF(AND('calcA'!S$117=1,UQ15&gt;0),300,0)-IF(AND($U15=1,'calcA'!T$117=1,DS15=0),300,0))),1000000000))</f>
        <v/>
      </c>
      <c r="OW15">
        <f>IF($B15=0,1000000000,IF(INDEX('calcA'!$D$60:$EQ$99,$B15,18)*IF($W15=1,DS15+AAH15,DS15)=1,IF(AND($E15=2,IF($W15=1,AFW15,JH15)=0),1000000000,IF($V15=1,INDEX('calcA'!$D$130:$EQ$169,$B15,18)+IF(AND($E15=1,JH15=0),25,0),INDEX('calcA'!U$110:U$114,$F15+1)+IF(AND($E15=1,JH15=0),1000,0)+IF($H15=1,INDEX('calcA'!$D$180:$EQ$219,$B15,18)*500,0)-IF(AND('calcA'!T$117=1,UR15&gt;0),300,0)-IF(AND($U15=1,'calcA'!U$117=1,DT15=0),300,0))),1000000000))</f>
        <v/>
      </c>
      <c r="OX15">
        <f>IF($B15=0,1000000000,IF(INDEX('calcA'!$D$60:$EQ$99,$B15,19)*IF($W15=1,DT15+AAI15,DT15)=1,IF(AND($E15=2,IF($W15=1,AFX15,JI15)=0),1000000000,IF($V15=1,INDEX('calcA'!$D$130:$EQ$169,$B15,19)+IF(AND($E15=1,JI15=0),25,0),INDEX('calcA'!V$110:V$114,$F15+1)+IF(AND($E15=1,JI15=0),1000,0)+IF($H15=1,INDEX('calcA'!$D$180:$EQ$219,$B15,19)*500,0)-IF(AND('calcA'!U$117=1,US15&gt;0),300,0)-IF(AND($U15=1,'calcA'!V$117=1,DU15=0),300,0))),1000000000))</f>
        <v/>
      </c>
      <c r="OY15">
        <f>IF($B15=0,1000000000,IF(INDEX('calcA'!$D$60:$EQ$99,$B15,20)*IF($W15=1,DU15+AAJ15,DU15)=1,IF(AND($E15=2,IF($W15=1,AFY15,JJ15)=0),1000000000,IF($V15=1,INDEX('calcA'!$D$130:$EQ$169,$B15,20)+IF(AND($E15=1,JJ15=0),25,0),INDEX('calcA'!W$110:W$114,$F15+1)+IF(AND($E15=1,JJ15=0),1000,0)+IF($H15=1,INDEX('calcA'!$D$180:$EQ$219,$B15,20)*500,0)-IF(AND('calcA'!V$117=1,UT15&gt;0),300,0)-IF(AND($U15=1,'calcA'!W$117=1,DV15=0),300,0))),1000000000))</f>
        <v/>
      </c>
      <c r="OZ15">
        <f>IF($B15=0,1000000000,IF(INDEX('calcA'!$D$60:$EQ$99,$B15,21)*IF($W15=1,DV15+AAK15,DV15)=1,IF(AND($E15=2,IF($W15=1,AFZ15,JK15)=0),1000000000,IF($V15=1,INDEX('calcA'!$D$130:$EQ$169,$B15,21)+IF(AND($E15=1,JK15=0),25,0),INDEX('calcA'!X$110:X$114,$F15+1)+IF(AND($E15=1,JK15=0),1000,0)+IF($H15=1,INDEX('calcA'!$D$180:$EQ$219,$B15,21)*500,0)-IF(AND('calcA'!W$117=1,UU15&gt;0),300,0)-IF(AND($U15=1,'calcA'!X$117=1,DW15=0),300,0))),1000000000))</f>
        <v/>
      </c>
      <c r="PA15">
        <f>IF($B15=0,1000000000,IF(INDEX('calcA'!$D$60:$EQ$99,$B15,22)*IF($W15=1,DW15+AAL15,DW15)=1,IF(AND($E15=2,IF($W15=1,AGA15,JL15)=0),1000000000,IF($V15=1,INDEX('calcA'!$D$130:$EQ$169,$B15,22)+IF(AND($E15=1,JL15=0),25,0),INDEX('calcA'!Y$110:Y$114,$F15+1)+IF(AND($E15=1,JL15=0),1000,0)+IF($H15=1,INDEX('calcA'!$D$180:$EQ$219,$B15,22)*500,0)-IF(AND('calcA'!X$117=1,UV15&gt;0),300,0)-IF(AND($U15=1,'calcA'!Y$117=1,DX15=0),300,0))),1000000000))</f>
        <v/>
      </c>
      <c r="PB15">
        <f>IF($B15=0,1000000000,IF(INDEX('calcA'!$D$60:$EQ$99,$B15,23)*IF($W15=1,DX15+AAM15,DX15)=1,IF(AND($E15=2,IF($W15=1,AGB15,JM15)=0),1000000000,IF($V15=1,INDEX('calcA'!$D$130:$EQ$169,$B15,23)+IF(AND($E15=1,JM15=0),25,0),INDEX('calcA'!Z$110:Z$114,$F15+1)+IF(AND($E15=1,JM15=0),1000,0)+IF($H15=1,INDEX('calcA'!$D$180:$EQ$219,$B15,23)*500,0)-IF(AND('calcA'!Y$117=1,UW15&gt;0),300,0)-IF(AND($U15=1,'calcA'!Z$117=1,DY15=0),300,0))),1000000000))</f>
        <v/>
      </c>
      <c r="PC15">
        <f>IF($B15=0,1000000000,IF(INDEX('calcA'!$D$60:$EQ$99,$B15,24)*IF($W15=1,DY15+AAN15,DY15)=1,IF(AND($E15=2,IF($W15=1,AGC15,JN15)=0),1000000000,IF($V15=1,INDEX('calcA'!$D$130:$EQ$169,$B15,24)+IF(AND($E15=1,JN15=0),25,0),INDEX('calcA'!AA$110:AA$114,$F15+1)+IF(AND($E15=1,JN15=0),1000,0)+IF($H15=1,INDEX('calcA'!$D$180:$EQ$219,$B15,24)*500,0)-IF(AND('calcA'!Z$117=1,UX15&gt;0),300,0))),1000000000))</f>
        <v/>
      </c>
      <c r="PD15">
        <f>IF($B15=0,1000000000,IF(INDEX('calcA'!$D$60:$EQ$99,$B15,25)*IF($W15=1,DZ15+AAO15,DZ15)=1,IF(AND($E15=2,IF($W15=1,AGD15,JO15)=0),1000000000,IF($V15=1,INDEX('calcA'!$D$130:$EQ$169,$B15,25)+IF(AND($E15=1,JO15=0),25,0),INDEX('calcA'!AB$110:AB$114,$F15+1)+IF(AND($E15=1,JO15=0),1000,0)+IF($H15=1,INDEX('calcA'!$D$180:$EQ$219,$B15,25)*500,0)-IF(AND($U15=1,'calcA'!AB$117=1,EA15=0),300,0))),1000000000))</f>
        <v/>
      </c>
      <c r="PE15">
        <f>IF($B15=0,1000000000,IF(INDEX('calcA'!$D$60:$EQ$99,$B15,26)*IF($W15=1,EA15+AAP15,EA15)=1,IF(AND($E15=2,IF($W15=1,AGE15,JP15)=0),1000000000,IF($V15=1,INDEX('calcA'!$D$130:$EQ$169,$B15,26)+IF(AND($E15=1,JP15=0),25,0),INDEX('calcA'!AC$110:AC$114,$F15+1)+IF(AND($E15=1,JP15=0),1000,0)+IF($H15=1,INDEX('calcA'!$D$180:$EQ$219,$B15,26)*500,0)-IF(AND('calcA'!AB$117=1,UZ15&gt;0),300,0)-IF(AND($U15=1,'calcA'!AC$117=1,EB15=0),300,0))),1000000000))</f>
        <v/>
      </c>
      <c r="PF15">
        <f>IF($B15=0,1000000000,IF(INDEX('calcA'!$D$60:$EQ$99,$B15,27)*IF($W15=1,EB15+AAQ15,EB15)=1,IF(AND($E15=2,IF($W15=1,AGF15,JQ15)=0),1000000000,IF($V15=1,INDEX('calcA'!$D$130:$EQ$169,$B15,27)+IF(AND($E15=1,JQ15=0),25,0),INDEX('calcA'!AD$110:AD$114,$F15+1)+IF(AND($E15=1,JQ15=0),1000,0)+IF($H15=1,INDEX('calcA'!$D$180:$EQ$219,$B15,27)*500,0)-IF(AND('calcA'!AC$117=1,VA15&gt;0),300,0)-IF(AND($U15=1,'calcA'!AD$117=1,EC15=0),300,0))),1000000000))</f>
        <v/>
      </c>
      <c r="PG15">
        <f>IF($B15=0,1000000000,IF(INDEX('calcA'!$D$60:$EQ$99,$B15,28)*IF($W15=1,EC15+AAR15,EC15)=1,IF(AND($E15=2,IF($W15=1,AGG15,JR15)=0),1000000000,IF($V15=1,INDEX('calcA'!$D$130:$EQ$169,$B15,28)+IF(AND($E15=1,JR15=0),25,0),INDEX('calcA'!AE$110:AE$114,$F15+1)+IF(AND($E15=1,JR15=0),1000,0)+IF($H15=1,INDEX('calcA'!$D$180:$EQ$219,$B15,28)*500,0)-IF(AND('calcA'!AD$117=1,VB15&gt;0),300,0)-IF(AND($U15=1,'calcA'!AE$117=1,ED15=0),300,0))),1000000000))</f>
        <v/>
      </c>
      <c r="PH15">
        <f>IF($B15=0,1000000000,IF(INDEX('calcA'!$D$60:$EQ$99,$B15,29)*IF($W15=1,ED15+AAS15,ED15)=1,IF(AND($E15=2,IF($W15=1,AGH15,JS15)=0),1000000000,IF($V15=1,INDEX('calcA'!$D$130:$EQ$169,$B15,29)+IF(AND($E15=1,JS15=0),25,0),INDEX('calcA'!AF$110:AF$114,$F15+1)+IF(AND($E15=1,JS15=0),1000,0)+IF($H15=1,INDEX('calcA'!$D$180:$EQ$219,$B15,29)*500,0)-IF(AND('calcA'!AE$117=1,VC15&gt;0),300,0)-IF(AND($U15=1,'calcA'!AF$117=1,EE15=0),300,0))),1000000000))</f>
        <v/>
      </c>
      <c r="PI15">
        <f>IF($B15=0,1000000000,IF(INDEX('calcA'!$D$60:$EQ$99,$B15,30)*IF($W15=1,EE15+AAT15,EE15)=1,IF(AND($E15=2,IF($W15=1,AGI15,JT15)=0),1000000000,IF($V15=1,INDEX('calcA'!$D$130:$EQ$169,$B15,30)+IF(AND($E15=1,JT15=0),25,0),INDEX('calcA'!AG$110:AG$114,$F15+1)+IF(AND($E15=1,JT15=0),1000,0)+IF($H15=1,INDEX('calcA'!$D$180:$EQ$219,$B15,30)*500,0)-IF(AND('calcA'!AF$117=1,VD15&gt;0),300,0)-IF(AND($U15=1,'calcA'!AG$117=1,EF15=0),300,0))),1000000000))</f>
        <v/>
      </c>
      <c r="PJ15">
        <f>IF($B15=0,1000000000,IF(INDEX('calcA'!$D$60:$EQ$99,$B15,31)*IF($W15=1,EF15+AAU15,EF15)=1,IF(AND($E15=2,IF($W15=1,AGJ15,JU15)=0),1000000000,IF($V15=1,INDEX('calcA'!$D$130:$EQ$169,$B15,31)+IF(AND($E15=1,JU15=0),25,0),INDEX('calcA'!AH$110:AH$114,$F15+1)+IF(AND($E15=1,JU15=0),1000,0)+IF($H15=1,INDEX('calcA'!$D$180:$EQ$219,$B15,31)*500,0)-IF(AND('calcA'!AG$117=1,VE15&gt;0),300,0)-IF(AND($U15=1,'calcA'!AH$117=1,EG15=0),300,0))),1000000000))</f>
        <v/>
      </c>
      <c r="PK15">
        <f>IF($B15=0,1000000000,IF(INDEX('calcA'!$D$60:$EQ$99,$B15,32)*IF($W15=1,EG15+AAV15,EG15)=1,IF(AND($E15=2,IF($W15=1,AGK15,JV15)=0),1000000000,IF($V15=1,INDEX('calcA'!$D$130:$EQ$169,$B15,32)+IF(AND($E15=1,JV15=0),25,0),INDEX('calcA'!AI$110:AI$114,$F15+1)+IF(AND($E15=1,JV15=0),1000,0)+IF($H15=1,INDEX('calcA'!$D$180:$EQ$219,$B15,32)*500,0)-IF(AND('calcA'!AH$117=1,VF15&gt;0),300,0)-IF(AND($U15=1,'calcA'!AI$117=1,EH15=0),300,0))),1000000000))</f>
        <v/>
      </c>
      <c r="PL15">
        <f>IF($B15=0,1000000000,IF(INDEX('calcA'!$D$60:$EQ$99,$B15,33)*IF($W15=1,EH15+AAW15,EH15)=1,IF(AND($E15=2,IF($W15=1,AGL15,JW15)=0),1000000000,IF($V15=1,INDEX('calcA'!$D$130:$EQ$169,$B15,33)+IF(AND($E15=1,JW15=0),25,0),INDEX('calcA'!AJ$110:AJ$114,$F15+1)+IF(AND($E15=1,JW15=0),1000,0)+IF($H15=1,INDEX('calcA'!$D$180:$EQ$219,$B15,33)*500,0)-IF(AND('calcA'!AI$117=1,VG15&gt;0),300,0)-IF(AND($U15=1,'calcA'!AJ$117=1,EI15=0),300,0))),1000000000))</f>
        <v/>
      </c>
      <c r="PM15">
        <f>IF($B15=0,1000000000,IF(INDEX('calcA'!$D$60:$EQ$99,$B15,34)*IF($W15=1,EI15+AAX15,EI15)=1,IF(AND($E15=2,IF($W15=1,AGM15,JX15)=0),1000000000,IF($V15=1,INDEX('calcA'!$D$130:$EQ$169,$B15,34)+IF(AND($E15=1,JX15=0),25,0),INDEX('calcA'!AK$110:AK$114,$F15+1)+IF(AND($E15=1,JX15=0),1000,0)+IF($H15=1,INDEX('calcA'!$D$180:$EQ$219,$B15,34)*500,0)-IF(AND('calcA'!AJ$117=1,VH15&gt;0),300,0)-IF(AND($U15=1,'calcA'!AK$117=1,EJ15=0),300,0))),1000000000))</f>
        <v/>
      </c>
      <c r="PN15">
        <f>IF($B15=0,1000000000,IF(INDEX('calcA'!$D$60:$EQ$99,$B15,35)*IF($W15=1,EJ15+AAY15,EJ15)=1,IF(AND($E15=2,IF($W15=1,AGN15,JY15)=0),1000000000,IF($V15=1,INDEX('calcA'!$D$130:$EQ$169,$B15,35)+IF(AND($E15=1,JY15=0),25,0),INDEX('calcA'!AL$110:AL$114,$F15+1)+IF(AND($E15=1,JY15=0),1000,0)+IF($H15=1,INDEX('calcA'!$D$180:$EQ$219,$B15,35)*500,0)-IF(AND('calcA'!AK$117=1,VI15&gt;0),300,0)-IF(AND($U15=1,'calcA'!AL$117=1,EK15=0),300,0))),1000000000))</f>
        <v/>
      </c>
      <c r="PO15">
        <f>IF($B15=0,1000000000,IF(INDEX('calcA'!$D$60:$EQ$99,$B15,36)*IF($W15=1,EK15+AAZ15,EK15)=1,IF(AND($E15=2,IF($W15=1,AGO15,JZ15)=0),1000000000,IF($V15=1,INDEX('calcA'!$D$130:$EQ$169,$B15,36)+IF(AND($E15=1,JZ15=0),25,0),INDEX('calcA'!AM$110:AM$114,$F15+1)+IF(AND($E15=1,JZ15=0),1000,0)+IF($H15=1,INDEX('calcA'!$D$180:$EQ$219,$B15,36)*500,0)-IF(AND('calcA'!AL$117=1,VJ15&gt;0),300,0)-IF(AND($U15=1,'calcA'!AM$117=1,EL15=0),300,0))),1000000000))</f>
        <v/>
      </c>
      <c r="PP15">
        <f>IF($B15=0,1000000000,IF(INDEX('calcA'!$D$60:$EQ$99,$B15,37)*IF($W15=1,EL15+ABA15,EL15)=1,IF(AND($E15=2,IF($W15=1,AGP15,KA15)=0),1000000000,IF($V15=1,INDEX('calcA'!$D$130:$EQ$169,$B15,37)+IF(AND($E15=1,KA15=0),25,0),INDEX('calcA'!AN$110:AN$114,$F15+1)+IF(AND($E15=1,KA15=0),1000,0)+IF($H15=1,INDEX('calcA'!$D$180:$EQ$219,$B15,37)*500,0)-IF(AND('calcA'!AM$117=1,VK15&gt;0),300,0)-IF(AND($U15=1,'calcA'!AN$117=1,EM15=0),300,0))),1000000000))</f>
        <v/>
      </c>
      <c r="PQ15">
        <f>IF($B15=0,1000000000,IF(INDEX('calcA'!$D$60:$EQ$99,$B15,38)*IF($W15=1,EM15+ABB15,EM15)=1,IF(AND($E15=2,IF($W15=1,AGQ15,KB15)=0),1000000000,IF($V15=1,INDEX('calcA'!$D$130:$EQ$169,$B15,38)+IF(AND($E15=1,KB15=0),25,0),INDEX('calcA'!AO$110:AO$114,$F15+1)+IF(AND($E15=1,KB15=0),1000,0)+IF($H15=1,INDEX('calcA'!$D$180:$EQ$219,$B15,38)*500,0)-IF(AND('calcA'!AN$117=1,VL15&gt;0),300,0)-IF(AND($U15=1,'calcA'!AO$117=1,EN15=0),300,0))),1000000000))</f>
        <v/>
      </c>
      <c r="PR15">
        <f>IF($B15=0,1000000000,IF(INDEX('calcA'!$D$60:$EQ$99,$B15,39)*IF($W15=1,EN15+ABC15,EN15)=1,IF(AND($E15=2,IF($W15=1,AGR15,KC15)=0),1000000000,IF($V15=1,INDEX('calcA'!$D$130:$EQ$169,$B15,39)+IF(AND($E15=1,KC15=0),25,0),INDEX('calcA'!AP$110:AP$114,$F15+1)+IF(AND($E15=1,KC15=0),1000,0)+IF($H15=1,INDEX('calcA'!$D$180:$EQ$219,$B15,39)*500,0)-IF(AND('calcA'!AO$117=1,VM15&gt;0),300,0)-IF(AND($U15=1,'calcA'!AP$117=1,EO15=0),300,0))),1000000000))</f>
        <v/>
      </c>
      <c r="PS15">
        <f>IF($B15=0,1000000000,IF(INDEX('calcA'!$D$60:$EQ$99,$B15,40)*IF($W15=1,EO15+ABD15,EO15)=1,IF(AND($E15=2,IF($W15=1,AGS15,KD15)=0),1000000000,IF($V15=1,INDEX('calcA'!$D$130:$EQ$169,$B15,40)+IF(AND($E15=1,KD15=0),25,0),INDEX('calcA'!AQ$110:AQ$114,$F15+1)+IF(AND($E15=1,KD15=0),1000,0)+IF($H15=1,INDEX('calcA'!$D$180:$EQ$219,$B15,40)*500,0)-IF(AND('calcA'!AP$117=1,VN15&gt;0),300,0)-IF(AND($U15=1,'calcA'!AQ$117=1,EP15=0),300,0))),1000000000))</f>
        <v/>
      </c>
      <c r="PT15">
        <f>IF($B15=0,1000000000,IF(INDEX('calcA'!$D$60:$EQ$99,$B15,41)*IF($W15=1,EP15+ABE15,EP15)=1,IF(AND($E15=2,IF($W15=1,AGT15,KE15)=0),1000000000,IF($V15=1,INDEX('calcA'!$D$130:$EQ$169,$B15,41)+IF(AND($E15=1,KE15=0),25,0),INDEX('calcA'!AR$110:AR$114,$F15+1)+IF(AND($E15=1,KE15=0),1000,0)+IF($H15=1,INDEX('calcA'!$D$180:$EQ$219,$B15,41)*500,0)-IF(AND('calcA'!AQ$117=1,VO15&gt;0),300,0)-IF(AND($U15=1,'calcA'!AR$117=1,EQ15=0),300,0))),1000000000))</f>
        <v/>
      </c>
      <c r="PU15">
        <f>IF($B15=0,1000000000,IF(INDEX('calcA'!$D$60:$EQ$99,$B15,42)*IF($W15=1,EQ15+ABF15,EQ15)=1,IF(AND($E15=2,IF($W15=1,AGU15,KF15)=0),1000000000,IF($V15=1,INDEX('calcA'!$D$130:$EQ$169,$B15,42)+IF(AND($E15=1,KF15=0),25,0),INDEX('calcA'!AS$110:AS$114,$F15+1)+IF(AND($E15=1,KF15=0),1000,0)+IF($H15=1,INDEX('calcA'!$D$180:$EQ$219,$B15,42)*500,0)-IF(AND('calcA'!AR$117=1,VP15&gt;0),300,0)-IF(AND($U15=1,'calcA'!AS$117=1,ER15=0),300,0))),1000000000))</f>
        <v/>
      </c>
      <c r="PV15">
        <f>IF($B15=0,1000000000,IF(INDEX('calcA'!$D$60:$EQ$99,$B15,43)*IF($W15=1,ER15+ABG15,ER15)=1,IF(AND($E15=2,IF($W15=1,AGV15,KG15)=0),1000000000,IF($V15=1,INDEX('calcA'!$D$130:$EQ$169,$B15,43)+IF(AND($E15=1,KG15=0),25,0),INDEX('calcA'!AT$110:AT$114,$F15+1)+IF(AND($E15=1,KG15=0),1000,0)+IF($H15=1,INDEX('calcA'!$D$180:$EQ$219,$B15,43)*500,0)-IF(AND('calcA'!AS$117=1,VQ15&gt;0),300,0)-IF(AND($U15=1,'calcA'!AT$117=1,ES15=0),300,0))),1000000000))</f>
        <v/>
      </c>
      <c r="PW15">
        <f>IF($B15=0,1000000000,IF(INDEX('calcA'!$D$60:$EQ$99,$B15,44)*IF($W15=1,ES15+ABH15,ES15)=1,IF(AND($E15=2,IF($W15=1,AGW15,KH15)=0),1000000000,IF($V15=1,INDEX('calcA'!$D$130:$EQ$169,$B15,44)+IF(AND($E15=1,KH15=0),25,0),INDEX('calcA'!AU$110:AU$114,$F15+1)+IF(AND($E15=1,KH15=0),1000,0)+IF($H15=1,INDEX('calcA'!$D$180:$EQ$219,$B15,44)*500,0)-IF(AND('calcA'!AT$117=1,VR15&gt;0),300,0)-IF(AND($U15=1,'calcA'!AU$117=1,ET15=0),300,0))),1000000000))</f>
        <v/>
      </c>
      <c r="PX15">
        <f>IF($B15=0,1000000000,IF(INDEX('calcA'!$D$60:$EQ$99,$B15,45)*IF($W15=1,ET15+ABI15,ET15)=1,IF(AND($E15=2,IF($W15=1,AGX15,KI15)=0),1000000000,IF($V15=1,INDEX('calcA'!$D$130:$EQ$169,$B15,45)+IF(AND($E15=1,KI15=0),25,0),INDEX('calcA'!AV$110:AV$114,$F15+1)+IF(AND($E15=1,KI15=0),1000,0)+IF($H15=1,INDEX('calcA'!$D$180:$EQ$219,$B15,45)*500,0)-IF(AND('calcA'!AU$117=1,VS15&gt;0),300,0)-IF(AND($U15=1,'calcA'!AV$117=1,EU15=0),300,0))),1000000000))</f>
        <v/>
      </c>
      <c r="PY15">
        <f>IF($B15=0,1000000000,IF(INDEX('calcA'!$D$60:$EQ$99,$B15,46)*IF($W15=1,EU15+ABJ15,EU15)=1,IF(AND($E15=2,IF($W15=1,AGY15,KJ15)=0),1000000000,IF($V15=1,INDEX('calcA'!$D$130:$EQ$169,$B15,46)+IF(AND($E15=1,KJ15=0),25,0),INDEX('calcA'!AW$110:AW$114,$F15+1)+IF(AND($E15=1,KJ15=0),1000,0)+IF($H15=1,INDEX('calcA'!$D$180:$EQ$219,$B15,46)*500,0)-IF(AND('calcA'!AV$117=1,VT15&gt;0),300,0)-IF(AND($U15=1,'calcA'!AW$117=1,EV15=0),300,0))),1000000000))</f>
        <v/>
      </c>
      <c r="PZ15">
        <f>IF($B15=0,1000000000,IF(INDEX('calcA'!$D$60:$EQ$99,$B15,47)*IF($W15=1,EV15+ABK15,EV15)=1,IF(AND($E15=2,IF($W15=1,AGZ15,KK15)=0),1000000000,IF($V15=1,INDEX('calcA'!$D$130:$EQ$169,$B15,47)+IF(AND($E15=1,KK15=0),25,0),INDEX('calcA'!AX$110:AX$114,$F15+1)+IF(AND($E15=1,KK15=0),1000,0)+IF($H15=1,INDEX('calcA'!$D$180:$EQ$219,$B15,47)*500,0)-IF(AND('calcA'!AW$117=1,VU15&gt;0),300,0)-IF(AND($U15=1,'calcA'!AX$117=1,EW15=0),300,0))),1000000000))</f>
        <v/>
      </c>
      <c r="QA15">
        <f>IF($B15=0,1000000000,IF(INDEX('calcA'!$D$60:$EQ$99,$B15,48)*IF($W15=1,EW15+ABL15,EW15)=1,IF(AND($E15=2,IF($W15=1,AHA15,KL15)=0),1000000000,IF($V15=1,INDEX('calcA'!$D$130:$EQ$169,$B15,48)+IF(AND($E15=1,KL15=0),25,0),INDEX('calcA'!AY$110:AY$114,$F15+1)+IF(AND($E15=1,KL15=0),1000,0)+IF($H15=1,INDEX('calcA'!$D$180:$EQ$219,$B15,48)*500,0)-IF(AND('calcA'!AX$117=1,VV15&gt;0),300,0))),1000000000))</f>
        <v/>
      </c>
      <c r="QB15">
        <f>IF($B15=0,1000000000,IF(INDEX('calcA'!$D$60:$EQ$99,$B15,49)*IF($W15=1,EX15+ABM15,EX15)=1,IF(AND($E15=2,IF($W15=1,AHB15,KM15)=0),1000000000,IF($V15=1,INDEX('calcA'!$D$130:$EQ$169,$B15,49)+IF(AND($E15=1,KM15=0),25,0),INDEX('calcA'!AZ$110:AZ$114,$F15+1)+IF(AND($E15=1,KM15=0),1000,0)+IF($H15=1,INDEX('calcA'!$D$180:$EQ$219,$B15,49)*500,0)-IF(AND($U15=1,'calcA'!AZ$117=1,EY15=0),300,0))),1000000000))</f>
        <v/>
      </c>
      <c r="QC15">
        <f>IF($B15=0,1000000000,IF(INDEX('calcA'!$D$60:$EQ$99,$B15,50)*IF($W15=1,EY15+ABN15,EY15)=1,IF(AND($E15=2,IF($W15=1,AHC15,KN15)=0),1000000000,IF($V15=1,INDEX('calcA'!$D$130:$EQ$169,$B15,50)+IF(AND($E15=1,KN15=0),25,0),INDEX('calcA'!BA$110:BA$114,$F15+1)+IF(AND($E15=1,KN15=0),1000,0)+IF($H15=1,INDEX('calcA'!$D$180:$EQ$219,$B15,50)*500,0)-IF(AND('calcA'!AZ$117=1,VX15&gt;0),300,0)-IF(AND($U15=1,'calcA'!BA$117=1,EZ15=0),300,0))),1000000000))</f>
        <v/>
      </c>
      <c r="QD15">
        <f>IF($B15=0,1000000000,IF(INDEX('calcA'!$D$60:$EQ$99,$B15,51)*IF($W15=1,EZ15+ABO15,EZ15)=1,IF(AND($E15=2,IF($W15=1,AHD15,KO15)=0),1000000000,IF($V15=1,INDEX('calcA'!$D$130:$EQ$169,$B15,51)+IF(AND($E15=1,KO15=0),25,0),INDEX('calcA'!BB$110:BB$114,$F15+1)+IF(AND($E15=1,KO15=0),1000,0)+IF($H15=1,INDEX('calcA'!$D$180:$EQ$219,$B15,51)*500,0)-IF(AND('calcA'!BA$117=1,VY15&gt;0),300,0)-IF(AND($U15=1,'calcA'!BB$117=1,FA15=0),300,0))),1000000000))</f>
        <v/>
      </c>
      <c r="QE15">
        <f>IF($B15=0,1000000000,IF(INDEX('calcA'!$D$60:$EQ$99,$B15,52)*IF($W15=1,FA15+ABP15,FA15)=1,IF(AND($E15=2,IF($W15=1,AHE15,KP15)=0),1000000000,IF($V15=1,INDEX('calcA'!$D$130:$EQ$169,$B15,52)+IF(AND($E15=1,KP15=0),25,0),INDEX('calcA'!BC$110:BC$114,$F15+1)+IF(AND($E15=1,KP15=0),1000,0)+IF($H15=1,INDEX('calcA'!$D$180:$EQ$219,$B15,52)*500,0)-IF(AND('calcA'!BB$117=1,VZ15&gt;0),300,0)-IF(AND($U15=1,'calcA'!BC$117=1,FB15=0),300,0))),1000000000))</f>
        <v/>
      </c>
      <c r="QF15">
        <f>IF($B15=0,1000000000,IF(INDEX('calcA'!$D$60:$EQ$99,$B15,53)*IF($W15=1,FB15+ABQ15,FB15)=1,IF(AND($E15=2,IF($W15=1,AHF15,KQ15)=0),1000000000,IF($V15=1,INDEX('calcA'!$D$130:$EQ$169,$B15,53)+IF(AND($E15=1,KQ15=0),25,0),INDEX('calcA'!BD$110:BD$114,$F15+1)+IF(AND($E15=1,KQ15=0),1000,0)+IF($H15=1,INDEX('calcA'!$D$180:$EQ$219,$B15,53)*500,0)-IF(AND('calcA'!BC$117=1,WA15&gt;0),300,0)-IF(AND($U15=1,'calcA'!BD$117=1,FC15=0),300,0))),1000000000))</f>
        <v/>
      </c>
      <c r="QG15">
        <f>IF($B15=0,1000000000,IF(INDEX('calcA'!$D$60:$EQ$99,$B15,54)*IF($W15=1,FC15+ABR15,FC15)=1,IF(AND($E15=2,IF($W15=1,AHG15,KR15)=0),1000000000,IF($V15=1,INDEX('calcA'!$D$130:$EQ$169,$B15,54)+IF(AND($E15=1,KR15=0),25,0),INDEX('calcA'!BE$110:BE$114,$F15+1)+IF(AND($E15=1,KR15=0),1000,0)+IF($H15=1,INDEX('calcA'!$D$180:$EQ$219,$B15,54)*500,0)-IF(AND('calcA'!BD$117=1,WB15&gt;0),300,0)-IF(AND($U15=1,'calcA'!BE$117=1,FD15=0),300,0))),1000000000))</f>
        <v/>
      </c>
      <c r="QH15">
        <f>IF($B15=0,1000000000,IF(INDEX('calcA'!$D$60:$EQ$99,$B15,55)*IF($W15=1,FD15+ABS15,FD15)=1,IF(AND($E15=2,IF($W15=1,AHH15,KS15)=0),1000000000,IF($V15=1,INDEX('calcA'!$D$130:$EQ$169,$B15,55)+IF(AND($E15=1,KS15=0),25,0),INDEX('calcA'!BF$110:BF$114,$F15+1)+IF(AND($E15=1,KS15=0),1000,0)+IF($H15=1,INDEX('calcA'!$D$180:$EQ$219,$B15,55)*500,0)-IF(AND('calcA'!BE$117=1,WC15&gt;0),300,0)-IF(AND($U15=1,'calcA'!BF$117=1,FE15=0),300,0))),1000000000))</f>
        <v/>
      </c>
      <c r="QI15">
        <f>IF($B15=0,1000000000,IF(INDEX('calcA'!$D$60:$EQ$99,$B15,56)*IF($W15=1,FE15+ABT15,FE15)=1,IF(AND($E15=2,IF($W15=1,AHI15,KT15)=0),1000000000,IF($V15=1,INDEX('calcA'!$D$130:$EQ$169,$B15,56)+IF(AND($E15=1,KT15=0),25,0),INDEX('calcA'!BG$110:BG$114,$F15+1)+IF(AND($E15=1,KT15=0),1000,0)+IF($H15=1,INDEX('calcA'!$D$180:$EQ$219,$B15,56)*500,0)-IF(AND('calcA'!BF$117=1,WD15&gt;0),300,0)-IF(AND($U15=1,'calcA'!BG$117=1,FF15=0),300,0))),1000000000))</f>
        <v/>
      </c>
      <c r="QJ15">
        <f>IF($B15=0,1000000000,IF(INDEX('calcA'!$D$60:$EQ$99,$B15,57)*IF($W15=1,FF15+ABU15,FF15)=1,IF(AND($E15=2,IF($W15=1,AHJ15,KU15)=0),1000000000,IF($V15=1,INDEX('calcA'!$D$130:$EQ$169,$B15,57)+IF(AND($E15=1,KU15=0),25,0),INDEX('calcA'!BH$110:BH$114,$F15+1)+IF(AND($E15=1,KU15=0),1000,0)+IF($H15=1,INDEX('calcA'!$D$180:$EQ$219,$B15,57)*500,0)-IF(AND('calcA'!BG$117=1,WE15&gt;0),300,0)-IF(AND($U15=1,'calcA'!BH$117=1,FG15=0),300,0))),1000000000))</f>
        <v/>
      </c>
      <c r="QK15">
        <f>IF($B15=0,1000000000,IF(INDEX('calcA'!$D$60:$EQ$99,$B15,58)*IF($W15=1,FG15+ABV15,FG15)=1,IF(AND($E15=2,IF($W15=1,AHK15,KV15)=0),1000000000,IF($V15=1,INDEX('calcA'!$D$130:$EQ$169,$B15,58)+IF(AND($E15=1,KV15=0),25,0),INDEX('calcA'!BI$110:BI$114,$F15+1)+IF(AND($E15=1,KV15=0),1000,0)+IF($H15=1,INDEX('calcA'!$D$180:$EQ$219,$B15,58)*500,0)-IF(AND('calcA'!BH$117=1,WF15&gt;0),300,0)-IF(AND($U15=1,'calcA'!BI$117=1,FH15=0),300,0))),1000000000))</f>
        <v/>
      </c>
      <c r="QL15">
        <f>IF($B15=0,1000000000,IF(INDEX('calcA'!$D$60:$EQ$99,$B15,59)*IF($W15=1,FH15+ABW15,FH15)=1,IF(AND($E15=2,IF($W15=1,AHL15,KW15)=0),1000000000,IF($V15=1,INDEX('calcA'!$D$130:$EQ$169,$B15,59)+IF(AND($E15=1,KW15=0),25,0),INDEX('calcA'!BJ$110:BJ$114,$F15+1)+IF(AND($E15=1,KW15=0),1000,0)+IF($H15=1,INDEX('calcA'!$D$180:$EQ$219,$B15,59)*500,0)-IF(AND('calcA'!BI$117=1,WG15&gt;0),300,0)-IF(AND($U15=1,'calcA'!BJ$117=1,FI15=0),300,0))),1000000000))</f>
        <v/>
      </c>
      <c r="QM15">
        <f>IF($B15=0,1000000000,IF(INDEX('calcA'!$D$60:$EQ$99,$B15,60)*IF($W15=1,FI15+ABX15,FI15)=1,IF(AND($E15=2,IF($W15=1,AHM15,KX15)=0),1000000000,IF($V15=1,INDEX('calcA'!$D$130:$EQ$169,$B15,60)+IF(AND($E15=1,KX15=0),25,0),INDEX('calcA'!BK$110:BK$114,$F15+1)+IF(AND($E15=1,KX15=0),1000,0)+IF($H15=1,INDEX('calcA'!$D$180:$EQ$219,$B15,60)*500,0)-IF(AND('calcA'!BJ$117=1,WH15&gt;0),300,0)-IF(AND($U15=1,'calcA'!BK$117=1,FJ15=0),300,0))),1000000000))</f>
        <v/>
      </c>
      <c r="QN15">
        <f>IF($B15=0,1000000000,IF(INDEX('calcA'!$D$60:$EQ$99,$B15,61)*IF($W15=1,FJ15+ABY15,FJ15)=1,IF(AND($E15=2,IF($W15=1,AHN15,KY15)=0),1000000000,IF($V15=1,INDEX('calcA'!$D$130:$EQ$169,$B15,61)+IF(AND($E15=1,KY15=0),25,0),INDEX('calcA'!BL$110:BL$114,$F15+1)+IF(AND($E15=1,KY15=0),1000,0)+IF($H15=1,INDEX('calcA'!$D$180:$EQ$219,$B15,61)*500,0)-IF(AND('calcA'!BK$117=1,WI15&gt;0),300,0)-IF(AND($U15=1,'calcA'!BL$117=1,FK15=0),300,0))),1000000000))</f>
        <v/>
      </c>
      <c r="QO15">
        <f>IF($B15=0,1000000000,IF(INDEX('calcA'!$D$60:$EQ$99,$B15,62)*IF($W15=1,FK15+ABZ15,FK15)=1,IF(AND($E15=2,IF($W15=1,AHO15,KZ15)=0),1000000000,IF($V15=1,INDEX('calcA'!$D$130:$EQ$169,$B15,62)+IF(AND($E15=1,KZ15=0),25,0),INDEX('calcA'!BM$110:BM$114,$F15+1)+IF(AND($E15=1,KZ15=0),1000,0)+IF($H15=1,INDEX('calcA'!$D$180:$EQ$219,$B15,62)*500,0)-IF(AND('calcA'!BL$117=1,WJ15&gt;0),300,0)-IF(AND($U15=1,'calcA'!BM$117=1,FL15=0),300,0))),1000000000))</f>
        <v/>
      </c>
      <c r="QP15">
        <f>IF($B15=0,1000000000,IF(INDEX('calcA'!$D$60:$EQ$99,$B15,63)*IF($W15=1,FL15+ACA15,FL15)=1,IF(AND($E15=2,IF($W15=1,AHP15,LA15)=0),1000000000,IF($V15=1,INDEX('calcA'!$D$130:$EQ$169,$B15,63)+IF(AND($E15=1,LA15=0),25,0),INDEX('calcA'!BN$110:BN$114,$F15+1)+IF(AND($E15=1,LA15=0),1000,0)+IF($H15=1,INDEX('calcA'!$D$180:$EQ$219,$B15,63)*500,0)-IF(AND('calcA'!BM$117=1,WK15&gt;0),300,0)-IF(AND($U15=1,'calcA'!BN$117=1,FM15=0),300,0))),1000000000))</f>
        <v/>
      </c>
      <c r="QQ15">
        <f>IF($B15=0,1000000000,IF(INDEX('calcA'!$D$60:$EQ$99,$B15,64)*IF($W15=1,FM15+ACB15,FM15)=1,IF(AND($E15=2,IF($W15=1,AHQ15,LB15)=0),1000000000,IF($V15=1,INDEX('calcA'!$D$130:$EQ$169,$B15,64)+IF(AND($E15=1,LB15=0),25,0),INDEX('calcA'!BO$110:BO$114,$F15+1)+IF(AND($E15=1,LB15=0),1000,0)+IF($H15=1,INDEX('calcA'!$D$180:$EQ$219,$B15,64)*500,0)-IF(AND('calcA'!BN$117=1,WL15&gt;0),300,0)-IF(AND($U15=1,'calcA'!BO$117=1,FN15=0),300,0))),1000000000))</f>
        <v/>
      </c>
      <c r="QR15">
        <f>IF($B15=0,1000000000,IF(INDEX('calcA'!$D$60:$EQ$99,$B15,65)*IF($W15=1,FN15+ACC15,FN15)=1,IF(AND($E15=2,IF($W15=1,AHR15,LC15)=0),1000000000,IF($V15=1,INDEX('calcA'!$D$130:$EQ$169,$B15,65)+IF(AND($E15=1,LC15=0),25,0),INDEX('calcA'!BP$110:BP$114,$F15+1)+IF(AND($E15=1,LC15=0),1000,0)+IF($H15=1,INDEX('calcA'!$D$180:$EQ$219,$B15,65)*500,0)-IF(AND('calcA'!BO$117=1,WM15&gt;0),300,0)-IF(AND($U15=1,'calcA'!BP$117=1,FO15=0),300,0))),1000000000))</f>
        <v/>
      </c>
      <c r="QS15">
        <f>IF($B15=0,1000000000,IF(INDEX('calcA'!$D$60:$EQ$99,$B15,66)*IF($W15=1,FO15+ACD15,FO15)=1,IF(AND($E15=2,IF($W15=1,AHS15,LD15)=0),1000000000,IF($V15=1,INDEX('calcA'!$D$130:$EQ$169,$B15,66)+IF(AND($E15=1,LD15=0),25,0),INDEX('calcA'!BQ$110:BQ$114,$F15+1)+IF(AND($E15=1,LD15=0),1000,0)+IF($H15=1,INDEX('calcA'!$D$180:$EQ$219,$B15,66)*500,0)-IF(AND('calcA'!BP$117=1,WN15&gt;0),300,0)-IF(AND($U15=1,'calcA'!BQ$117=1,FP15=0),300,0))),1000000000))</f>
        <v/>
      </c>
      <c r="QT15">
        <f>IF($B15=0,1000000000,IF(INDEX('calcA'!$D$60:$EQ$99,$B15,67)*IF($W15=1,FP15+ACE15,FP15)=1,IF(AND($E15=2,IF($W15=1,AHT15,LE15)=0),1000000000,IF($V15=1,INDEX('calcA'!$D$130:$EQ$169,$B15,67)+IF(AND($E15=1,LE15=0),25,0),INDEX('calcA'!BR$110:BR$114,$F15+1)+IF(AND($E15=1,LE15=0),1000,0)+IF($H15=1,INDEX('calcA'!$D$180:$EQ$219,$B15,67)*500,0)-IF(AND('calcA'!BQ$117=1,WO15&gt;0),300,0)-IF(AND($U15=1,'calcA'!BR$117=1,FQ15=0),300,0))),1000000000))</f>
        <v/>
      </c>
      <c r="QU15">
        <f>IF($B15=0,1000000000,IF(INDEX('calcA'!$D$60:$EQ$99,$B15,68)*IF($W15=1,FQ15+ACF15,FQ15)=1,IF(AND($E15=2,IF($W15=1,AHU15,LF15)=0),1000000000,IF($V15=1,INDEX('calcA'!$D$130:$EQ$169,$B15,68)+IF(AND($E15=1,LF15=0),25,0),INDEX('calcA'!BS$110:BS$114,$F15+1)+IF(AND($E15=1,LF15=0),1000,0)+IF($H15=1,INDEX('calcA'!$D$180:$EQ$219,$B15,68)*500,0)-IF(AND('calcA'!BR$117=1,WP15&gt;0),300,0)-IF(AND($U15=1,'calcA'!BS$117=1,FR15=0),300,0))),1000000000))</f>
        <v/>
      </c>
      <c r="QV15">
        <f>IF($B15=0,1000000000,IF(INDEX('calcA'!$D$60:$EQ$99,$B15,69)*IF($W15=1,FR15+ACG15,FR15)=1,IF(AND($E15=2,IF($W15=1,AHV15,LG15)=0),1000000000,IF($V15=1,INDEX('calcA'!$D$130:$EQ$169,$B15,69)+IF(AND($E15=1,LG15=0),25,0),INDEX('calcA'!BT$110:BT$114,$F15+1)+IF(AND($E15=1,LG15=0),1000,0)+IF($H15=1,INDEX('calcA'!$D$180:$EQ$219,$B15,69)*500,0)-IF(AND('calcA'!BS$117=1,WQ15&gt;0),300,0)-IF(AND($U15=1,'calcA'!BT$117=1,FS15=0),300,0))),1000000000))</f>
        <v/>
      </c>
      <c r="QW15">
        <f>IF($B15=0,1000000000,IF(INDEX('calcA'!$D$60:$EQ$99,$B15,70)*IF($W15=1,FS15+ACH15,FS15)=1,IF(AND($E15=2,IF($W15=1,AHW15,LH15)=0),1000000000,IF($V15=1,INDEX('calcA'!$D$130:$EQ$169,$B15,70)+IF(AND($E15=1,LH15=0),25,0),INDEX('calcA'!BU$110:BU$114,$F15+1)+IF(AND($E15=1,LH15=0),1000,0)+IF($H15=1,INDEX('calcA'!$D$180:$EQ$219,$B15,70)*500,0)-IF(AND('calcA'!BT$117=1,WR15&gt;0),300,0)-IF(AND($U15=1,'calcA'!BU$117=1,FT15=0),300,0))),1000000000))</f>
        <v/>
      </c>
      <c r="QX15">
        <f>IF($B15=0,1000000000,IF(INDEX('calcA'!$D$60:$EQ$99,$B15,71)*IF($W15=1,FT15+ACI15,FT15)=1,IF(AND($E15=2,IF($W15=1,AHX15,LI15)=0),1000000000,IF($V15=1,INDEX('calcA'!$D$130:$EQ$169,$B15,71)+IF(AND($E15=1,LI15=0),25,0),INDEX('calcA'!BV$110:BV$114,$F15+1)+IF(AND($E15=1,LI15=0),1000,0)+IF($H15=1,INDEX('calcA'!$D$180:$EQ$219,$B15,71)*500,0)-IF(AND('calcA'!BU$117=1,WS15&gt;0),300,0)-IF(AND($U15=1,'calcA'!BV$117=1,FU15=0),300,0))),1000000000))</f>
        <v/>
      </c>
      <c r="QY15">
        <f>IF($B15=0,1000000000,IF(INDEX('calcA'!$D$60:$EQ$99,$B15,72)*IF($W15=1,FU15+ACJ15,FU15)=1,IF(AND($E15=2,IF($W15=1,AHY15,LJ15)=0),1000000000,IF($V15=1,INDEX('calcA'!$D$130:$EQ$169,$B15,72)+IF(AND($E15=1,LJ15=0),25,0),INDEX('calcA'!BW$110:BW$114,$F15+1)+IF(AND($E15=1,LJ15=0),1000,0)+IF($H15=1,INDEX('calcA'!$D$180:$EQ$219,$B15,72)*500,0)-IF(AND('calcA'!BV$117=1,WT15&gt;0),300,0))),1000000000))</f>
        <v/>
      </c>
      <c r="QZ15">
        <f>IF($B15=0,1000000000,IF(INDEX('calcA'!$D$60:$EQ$99,$B15,73)*IF($W15=1,FV15+ACK15,FV15)=1,IF(AND($E15=2,IF($W15=1,AHZ15,LK15)=0),1000000000,IF($V15=1,INDEX('calcA'!$D$130:$EQ$169,$B15,73)+IF(AND($E15=1,LK15=0),25,0),INDEX('calcA'!BX$110:BX$114,$F15+1)+IF(AND($E15=1,LK15=0),1000,0)+IF($H15=1,INDEX('calcA'!$D$180:$EQ$219,$B15,73)*500,0)-IF(AND($U15=1,'calcA'!BX$117=1,FW15=0),300,0))),1000000000))</f>
        <v/>
      </c>
      <c r="RA15">
        <f>IF($B15=0,1000000000,IF(INDEX('calcA'!$D$60:$EQ$99,$B15,74)*IF($W15=1,FW15+ACL15,FW15)=1,IF(AND($E15=2,IF($W15=1,AIA15,LL15)=0),1000000000,IF($V15=1,INDEX('calcA'!$D$130:$EQ$169,$B15,74)+IF(AND($E15=1,LL15=0),25,0),INDEX('calcA'!BY$110:BY$114,$F15+1)+IF(AND($E15=1,LL15=0),1000,0)+IF($H15=1,INDEX('calcA'!$D$180:$EQ$219,$B15,74)*500,0)-IF(AND('calcA'!BX$117=1,WV15&gt;0),300,0)-IF(AND($U15=1,'calcA'!BY$117=1,FX15=0),300,0))),1000000000))</f>
        <v/>
      </c>
      <c r="RB15">
        <f>IF($B15=0,1000000000,IF(INDEX('calcA'!$D$60:$EQ$99,$B15,75)*IF($W15=1,FX15+ACM15,FX15)=1,IF(AND($E15=2,IF($W15=1,AIB15,LM15)=0),1000000000,IF($V15=1,INDEX('calcA'!$D$130:$EQ$169,$B15,75)+IF(AND($E15=1,LM15=0),25,0),INDEX('calcA'!BZ$110:BZ$114,$F15+1)+IF(AND($E15=1,LM15=0),1000,0)+IF($H15=1,INDEX('calcA'!$D$180:$EQ$219,$B15,75)*500,0)-IF(AND('calcA'!BY$117=1,WW15&gt;0),300,0)-IF(AND($U15=1,'calcA'!BZ$117=1,FY15=0),300,0))),1000000000))</f>
        <v/>
      </c>
      <c r="RC15">
        <f>IF($B15=0,1000000000,IF(INDEX('calcA'!$D$60:$EQ$99,$B15,76)*IF($W15=1,FY15+ACN15,FY15)=1,IF(AND($E15=2,IF($W15=1,AIC15,LN15)=0),1000000000,IF($V15=1,INDEX('calcA'!$D$130:$EQ$169,$B15,76)+IF(AND($E15=1,LN15=0),25,0),INDEX('calcA'!CA$110:CA$114,$F15+1)+IF(AND($E15=1,LN15=0),1000,0)+IF($H15=1,INDEX('calcA'!$D$180:$EQ$219,$B15,76)*500,0)-IF(AND('calcA'!BZ$117=1,WX15&gt;0),300,0)-IF(AND($U15=1,'calcA'!CA$117=1,FZ15=0),300,0))),1000000000))</f>
        <v/>
      </c>
      <c r="RD15">
        <f>IF($B15=0,1000000000,IF(INDEX('calcA'!$D$60:$EQ$99,$B15,77)*IF($W15=1,FZ15+ACO15,FZ15)=1,IF(AND($E15=2,IF($W15=1,AID15,LO15)=0),1000000000,IF($V15=1,INDEX('calcA'!$D$130:$EQ$169,$B15,77)+IF(AND($E15=1,LO15=0),25,0),INDEX('calcA'!CB$110:CB$114,$F15+1)+IF(AND($E15=1,LO15=0),1000,0)+IF($H15=1,INDEX('calcA'!$D$180:$EQ$219,$B15,77)*500,0)-IF(AND('calcA'!CA$117=1,WY15&gt;0),300,0)-IF(AND($U15=1,'calcA'!CB$117=1,GA15=0),300,0))),1000000000))</f>
        <v/>
      </c>
      <c r="RE15">
        <f>IF($B15=0,1000000000,IF(INDEX('calcA'!$D$60:$EQ$99,$B15,78)*IF($W15=1,GA15+ACP15,GA15)=1,IF(AND($E15=2,IF($W15=1,AIE15,LP15)=0),1000000000,IF($V15=1,INDEX('calcA'!$D$130:$EQ$169,$B15,78)+IF(AND($E15=1,LP15=0),25,0),INDEX('calcA'!CC$110:CC$114,$F15+1)+IF(AND($E15=1,LP15=0),1000,0)+IF($H15=1,INDEX('calcA'!$D$180:$EQ$219,$B15,78)*500,0)-IF(AND('calcA'!CB$117=1,WZ15&gt;0),300,0)-IF(AND($U15=1,'calcA'!CC$117=1,GB15=0),300,0))),1000000000))</f>
        <v/>
      </c>
      <c r="RF15">
        <f>IF($B15=0,1000000000,IF(INDEX('calcA'!$D$60:$EQ$99,$B15,79)*IF($W15=1,GB15+ACQ15,GB15)=1,IF(AND($E15=2,IF($W15=1,AIF15,LQ15)=0),1000000000,IF($V15=1,INDEX('calcA'!$D$130:$EQ$169,$B15,79)+IF(AND($E15=1,LQ15=0),25,0),INDEX('calcA'!CD$110:CD$114,$F15+1)+IF(AND($E15=1,LQ15=0),1000,0)+IF($H15=1,INDEX('calcA'!$D$180:$EQ$219,$B15,79)*500,0)-IF(AND('calcA'!CC$117=1,XA15&gt;0),300,0)-IF(AND($U15=1,'calcA'!CD$117=1,GC15=0),300,0))),1000000000))</f>
        <v/>
      </c>
      <c r="RG15">
        <f>IF($B15=0,1000000000,IF(INDEX('calcA'!$D$60:$EQ$99,$B15,80)*IF($W15=1,GC15+ACR15,GC15)=1,IF(AND($E15=2,IF($W15=1,AIG15,LR15)=0),1000000000,IF($V15=1,INDEX('calcA'!$D$130:$EQ$169,$B15,80)+IF(AND($E15=1,LR15=0),25,0),INDEX('calcA'!CE$110:CE$114,$F15+1)+IF(AND($E15=1,LR15=0),1000,0)+IF($H15=1,INDEX('calcA'!$D$180:$EQ$219,$B15,80)*500,0)-IF(AND('calcA'!CD$117=1,XB15&gt;0),300,0)-IF(AND($U15=1,'calcA'!CE$117=1,GD15=0),300,0))),1000000000))</f>
        <v/>
      </c>
      <c r="RH15">
        <f>IF($B15=0,1000000000,IF(INDEX('calcA'!$D$60:$EQ$99,$B15,81)*IF($W15=1,GD15+ACS15,GD15)=1,IF(AND($E15=2,IF($W15=1,AIH15,LS15)=0),1000000000,IF($V15=1,INDEX('calcA'!$D$130:$EQ$169,$B15,81)+IF(AND($E15=1,LS15=0),25,0),INDEX('calcA'!CF$110:CF$114,$F15+1)+IF(AND($E15=1,LS15=0),1000,0)+IF($H15=1,INDEX('calcA'!$D$180:$EQ$219,$B15,81)*500,0)-IF(AND('calcA'!CE$117=1,XC15&gt;0),300,0)-IF(AND($U15=1,'calcA'!CF$117=1,GE15=0),300,0))),1000000000))</f>
        <v/>
      </c>
      <c r="RI15">
        <f>IF($B15=0,1000000000,IF(INDEX('calcA'!$D$60:$EQ$99,$B15,82)*IF($W15=1,GE15+ACT15,GE15)=1,IF(AND($E15=2,IF($W15=1,AII15,LT15)=0),1000000000,IF($V15=1,INDEX('calcA'!$D$130:$EQ$169,$B15,82)+IF(AND($E15=1,LT15=0),25,0),INDEX('calcA'!CG$110:CG$114,$F15+1)+IF(AND($E15=1,LT15=0),1000,0)+IF($H15=1,INDEX('calcA'!$D$180:$EQ$219,$B15,82)*500,0)-IF(AND('calcA'!CF$117=1,XD15&gt;0),300,0)-IF(AND($U15=1,'calcA'!CG$117=1,GF15=0),300,0))),1000000000))</f>
        <v/>
      </c>
      <c r="RJ15">
        <f>IF($B15=0,1000000000,IF(INDEX('calcA'!$D$60:$EQ$99,$B15,83)*IF($W15=1,GF15+ACU15,GF15)=1,IF(AND($E15=2,IF($W15=1,AIJ15,LU15)=0),1000000000,IF($V15=1,INDEX('calcA'!$D$130:$EQ$169,$B15,83)+IF(AND($E15=1,LU15=0),25,0),INDEX('calcA'!CH$110:CH$114,$F15+1)+IF(AND($E15=1,LU15=0),1000,0)+IF($H15=1,INDEX('calcA'!$D$180:$EQ$219,$B15,83)*500,0)-IF(AND('calcA'!CG$117=1,XE15&gt;0),300,0)-IF(AND($U15=1,'calcA'!CH$117=1,GG15=0),300,0))),1000000000))</f>
        <v/>
      </c>
      <c r="RK15">
        <f>IF($B15=0,1000000000,IF(INDEX('calcA'!$D$60:$EQ$99,$B15,84)*IF($W15=1,GG15+ACV15,GG15)=1,IF(AND($E15=2,IF($W15=1,AIK15,LV15)=0),1000000000,IF($V15=1,INDEX('calcA'!$D$130:$EQ$169,$B15,84)+IF(AND($E15=1,LV15=0),25,0),INDEX('calcA'!CI$110:CI$114,$F15+1)+IF(AND($E15=1,LV15=0),1000,0)+IF($H15=1,INDEX('calcA'!$D$180:$EQ$219,$B15,84)*500,0)-IF(AND('calcA'!CH$117=1,XF15&gt;0),300,0)-IF(AND($U15=1,'calcA'!CI$117=1,GH15=0),300,0))),1000000000))</f>
        <v/>
      </c>
      <c r="RL15">
        <f>IF($B15=0,1000000000,IF(INDEX('calcA'!$D$60:$EQ$99,$B15,85)*IF($W15=1,GH15+ACW15,GH15)=1,IF(AND($E15=2,IF($W15=1,AIL15,LW15)=0),1000000000,IF($V15=1,INDEX('calcA'!$D$130:$EQ$169,$B15,85)+IF(AND($E15=1,LW15=0),25,0),INDEX('calcA'!CJ$110:CJ$114,$F15+1)+IF(AND($E15=1,LW15=0),1000,0)+IF($H15=1,INDEX('calcA'!$D$180:$EQ$219,$B15,85)*500,0)-IF(AND('calcA'!CI$117=1,XG15&gt;0),300,0)-IF(AND($U15=1,'calcA'!CJ$117=1,GI15=0),300,0))),1000000000))</f>
        <v/>
      </c>
      <c r="RM15">
        <f>IF($B15=0,1000000000,IF(INDEX('calcA'!$D$60:$EQ$99,$B15,86)*IF($W15=1,GI15+ACX15,GI15)=1,IF(AND($E15=2,IF($W15=1,AIM15,LX15)=0),1000000000,IF($V15=1,INDEX('calcA'!$D$130:$EQ$169,$B15,86)+IF(AND($E15=1,LX15=0),25,0),INDEX('calcA'!CK$110:CK$114,$F15+1)+IF(AND($E15=1,LX15=0),1000,0)+IF($H15=1,INDEX('calcA'!$D$180:$EQ$219,$B15,86)*500,0)-IF(AND('calcA'!CJ$117=1,XH15&gt;0),300,0)-IF(AND($U15=1,'calcA'!CK$117=1,GJ15=0),300,0))),1000000000))</f>
        <v/>
      </c>
      <c r="RN15">
        <f>IF($B15=0,1000000000,IF(INDEX('calcA'!$D$60:$EQ$99,$B15,87)*IF($W15=1,GJ15+ACY15,GJ15)=1,IF(AND($E15=2,IF($W15=1,AIN15,LY15)=0),1000000000,IF($V15=1,INDEX('calcA'!$D$130:$EQ$169,$B15,87)+IF(AND($E15=1,LY15=0),25,0),INDEX('calcA'!CL$110:CL$114,$F15+1)+IF(AND($E15=1,LY15=0),1000,0)+IF($H15=1,INDEX('calcA'!$D$180:$EQ$219,$B15,87)*500,0)-IF(AND('calcA'!CK$117=1,XI15&gt;0),300,0)-IF(AND($U15=1,'calcA'!CL$117=1,GK15=0),300,0))),1000000000))</f>
        <v/>
      </c>
      <c r="RO15">
        <f>IF($B15=0,1000000000,IF(INDEX('calcA'!$D$60:$EQ$99,$B15,88)*IF($W15=1,GK15+ACZ15,GK15)=1,IF(AND($E15=2,IF($W15=1,AIO15,LZ15)=0),1000000000,IF($V15=1,INDEX('calcA'!$D$130:$EQ$169,$B15,88)+IF(AND($E15=1,LZ15=0),25,0),INDEX('calcA'!CM$110:CM$114,$F15+1)+IF(AND($E15=1,LZ15=0),1000,0)+IF($H15=1,INDEX('calcA'!$D$180:$EQ$219,$B15,88)*500,0)-IF(AND('calcA'!CL$117=1,XJ15&gt;0),300,0)-IF(AND($U15=1,'calcA'!CM$117=1,GL15=0),300,0))),1000000000))</f>
        <v/>
      </c>
      <c r="RP15">
        <f>IF($B15=0,1000000000,IF(INDEX('calcA'!$D$60:$EQ$99,$B15,89)*IF($W15=1,GL15+ADA15,GL15)=1,IF(AND($E15=2,IF($W15=1,AIP15,MA15)=0),1000000000,IF($V15=1,INDEX('calcA'!$D$130:$EQ$169,$B15,89)+IF(AND($E15=1,MA15=0),25,0),INDEX('calcA'!CN$110:CN$114,$F15+1)+IF(AND($E15=1,MA15=0),1000,0)+IF($H15=1,INDEX('calcA'!$D$180:$EQ$219,$B15,89)*500,0)-IF(AND('calcA'!CM$117=1,XK15&gt;0),300,0)-IF(AND($U15=1,'calcA'!CN$117=1,GM15=0),300,0))),1000000000))</f>
        <v/>
      </c>
      <c r="RQ15">
        <f>IF($B15=0,1000000000,IF(INDEX('calcA'!$D$60:$EQ$99,$B15,90)*IF($W15=1,GM15+ADB15,GM15)=1,IF(AND($E15=2,IF($W15=1,AIQ15,MB15)=0),1000000000,IF($V15=1,INDEX('calcA'!$D$130:$EQ$169,$B15,90)+IF(AND($E15=1,MB15=0),25,0),INDEX('calcA'!CO$110:CO$114,$F15+1)+IF(AND($E15=1,MB15=0),1000,0)+IF($H15=1,INDEX('calcA'!$D$180:$EQ$219,$B15,90)*500,0)-IF(AND('calcA'!CN$117=1,XL15&gt;0),300,0)-IF(AND($U15=1,'calcA'!CO$117=1,GN15=0),300,0))),1000000000))</f>
        <v/>
      </c>
      <c r="RR15">
        <f>IF($B15=0,1000000000,IF(INDEX('calcA'!$D$60:$EQ$99,$B15,91)*IF($W15=1,GN15+ADC15,GN15)=1,IF(AND($E15=2,IF($W15=1,AIR15,MC15)=0),1000000000,IF($V15=1,INDEX('calcA'!$D$130:$EQ$169,$B15,91)+IF(AND($E15=1,MC15=0),25,0),INDEX('calcA'!CP$110:CP$114,$F15+1)+IF(AND($E15=1,MC15=0),1000,0)+IF($H15=1,INDEX('calcA'!$D$180:$EQ$219,$B15,91)*500,0)-IF(AND('calcA'!CO$117=1,XM15&gt;0),300,0)-IF(AND($U15=1,'calcA'!CP$117=1,GO15=0),300,0))),1000000000))</f>
        <v/>
      </c>
      <c r="RS15">
        <f>IF($B15=0,1000000000,IF(INDEX('calcA'!$D$60:$EQ$99,$B15,92)*IF($W15=1,GO15+ADD15,GO15)=1,IF(AND($E15=2,IF($W15=1,AIS15,MD15)=0),1000000000,IF($V15=1,INDEX('calcA'!$D$130:$EQ$169,$B15,92)+IF(AND($E15=1,MD15=0),25,0),INDEX('calcA'!CQ$110:CQ$114,$F15+1)+IF(AND($E15=1,MD15=0),1000,0)+IF($H15=1,INDEX('calcA'!$D$180:$EQ$219,$B15,92)*500,0)-IF(AND('calcA'!CP$117=1,XN15&gt;0),300,0)-IF(AND($U15=1,'calcA'!CQ$117=1,GP15=0),300,0))),1000000000))</f>
        <v/>
      </c>
      <c r="RT15">
        <f>IF($B15=0,1000000000,IF(INDEX('calcA'!$D$60:$EQ$99,$B15,93)*IF($W15=1,GP15+ADE15,GP15)=1,IF(AND($E15=2,IF($W15=1,AIT15,ME15)=0),1000000000,IF($V15=1,INDEX('calcA'!$D$130:$EQ$169,$B15,93)+IF(AND($E15=1,ME15=0),25,0),INDEX('calcA'!CR$110:CR$114,$F15+1)+IF(AND($E15=1,ME15=0),1000,0)+IF($H15=1,INDEX('calcA'!$D$180:$EQ$219,$B15,93)*500,0)-IF(AND('calcA'!CQ$117=1,XO15&gt;0),300,0)-IF(AND($U15=1,'calcA'!CR$117=1,GQ15=0),300,0))),1000000000))</f>
        <v/>
      </c>
      <c r="RU15">
        <f>IF($B15=0,1000000000,IF(INDEX('calcA'!$D$60:$EQ$99,$B15,94)*IF($W15=1,GQ15+ADF15,GQ15)=1,IF(AND($E15=2,IF($W15=1,AIU15,MF15)=0),1000000000,IF($V15=1,INDEX('calcA'!$D$130:$EQ$169,$B15,94)+IF(AND($E15=1,MF15=0),25,0),INDEX('calcA'!CS$110:CS$114,$F15+1)+IF(AND($E15=1,MF15=0),1000,0)+IF($H15=1,INDEX('calcA'!$D$180:$EQ$219,$B15,94)*500,0)-IF(AND('calcA'!CR$117=1,XP15&gt;0),300,0)-IF(AND($U15=1,'calcA'!CS$117=1,GR15=0),300,0))),1000000000))</f>
        <v/>
      </c>
      <c r="RV15">
        <f>IF($B15=0,1000000000,IF(INDEX('calcA'!$D$60:$EQ$99,$B15,95)*IF($W15=1,GR15+ADG15,GR15)=1,IF(AND($E15=2,IF($W15=1,AIV15,MG15)=0),1000000000,IF($V15=1,INDEX('calcA'!$D$130:$EQ$169,$B15,95)+IF(AND($E15=1,MG15=0),25,0),INDEX('calcA'!CT$110:CT$114,$F15+1)+IF(AND($E15=1,MG15=0),1000,0)+IF($H15=1,INDEX('calcA'!$D$180:$EQ$219,$B15,95)*500,0)-IF(AND('calcA'!CS$117=1,XQ15&gt;0),300,0)-IF(AND($U15=1,'calcA'!CT$117=1,GS15=0),300,0))),1000000000))</f>
        <v/>
      </c>
      <c r="RW15">
        <f>IF($B15=0,1000000000,IF(INDEX('calcA'!$D$60:$EQ$99,$B15,96)*IF($W15=1,GS15+ADH15,GS15)=1,IF(AND($E15=2,IF($W15=1,AIW15,MH15)=0),1000000000,IF($V15=1,INDEX('calcA'!$D$130:$EQ$169,$B15,96)+IF(AND($E15=1,MH15=0),25,0),INDEX('calcA'!CU$110:CU$114,$F15+1)+IF(AND($E15=1,MH15=0),1000,0)+IF($H15=1,INDEX('calcA'!$D$180:$EQ$219,$B15,96)*500,0)-IF(AND('calcA'!CT$117=1,XR15&gt;0),300,0))),1000000000))</f>
        <v/>
      </c>
      <c r="RX15">
        <f>IF($B15=0,1000000000,IF(INDEX('calcA'!$D$60:$EQ$99,$B15,97)*IF($W15=1,GT15+ADI15,GT15)=1,IF(AND($E15=2,IF($W15=1,AIX15,MI15)=0),1000000000,IF($V15=1,INDEX('calcA'!$D$130:$EQ$169,$B15,97)+IF(AND($E15=1,MI15=0),25,0),INDEX('calcA'!CV$110:CV$114,$F15+1)+IF(AND($E15=1,MI15=0),1000,0)+IF($H15=1,INDEX('calcA'!$D$180:$EQ$219,$B15,97)*500,0)-IF(AND($U15=1,'calcA'!CV$117=1,GU15=0),300,0))),1000000000))</f>
        <v/>
      </c>
      <c r="RY15">
        <f>IF($B15=0,1000000000,IF(INDEX('calcA'!$D$60:$EQ$99,$B15,98)*IF($W15=1,GU15+ADJ15,GU15)=1,IF(AND($E15=2,IF($W15=1,AIY15,MJ15)=0),1000000000,IF($V15=1,INDEX('calcA'!$D$130:$EQ$169,$B15,98)+IF(AND($E15=1,MJ15=0),25,0),INDEX('calcA'!CW$110:CW$114,$F15+1)+IF(AND($E15=1,MJ15=0),1000,0)+IF($H15=1,INDEX('calcA'!$D$180:$EQ$219,$B15,98)*500,0)-IF(AND('calcA'!CV$117=1,XT15&gt;0),300,0)-IF(AND($U15=1,'calcA'!CW$117=1,GV15=0),300,0))),1000000000))</f>
        <v/>
      </c>
      <c r="RZ15">
        <f>IF($B15=0,1000000000,IF(INDEX('calcA'!$D$60:$EQ$99,$B15,99)*IF($W15=1,GV15+ADK15,GV15)=1,IF(AND($E15=2,IF($W15=1,AIZ15,MK15)=0),1000000000,IF($V15=1,INDEX('calcA'!$D$130:$EQ$169,$B15,99)+IF(AND($E15=1,MK15=0),25,0),INDEX('calcA'!CX$110:CX$114,$F15+1)+IF(AND($E15=1,MK15=0),1000,0)+IF($H15=1,INDEX('calcA'!$D$180:$EQ$219,$B15,99)*500,0)-IF(AND('calcA'!CW$117=1,XU15&gt;0),300,0)-IF(AND($U15=1,'calcA'!CX$117=1,GW15=0),300,0))),1000000000))</f>
        <v/>
      </c>
      <c r="SA15">
        <f>IF($B15=0,1000000000,IF(INDEX('calcA'!$D$60:$EQ$99,$B15,100)*IF($W15=1,GW15+ADL15,GW15)=1,IF(AND($E15=2,IF($W15=1,AJA15,ML15)=0),1000000000,IF($V15=1,INDEX('calcA'!$D$130:$EQ$169,$B15,100)+IF(AND($E15=1,ML15=0),25,0),INDEX('calcA'!CY$110:CY$114,$F15+1)+IF(AND($E15=1,ML15=0),1000,0)+IF($H15=1,INDEX('calcA'!$D$180:$EQ$219,$B15,100)*500,0)-IF(AND('calcA'!CX$117=1,XV15&gt;0),300,0)-IF(AND($U15=1,'calcA'!CY$117=1,GX15=0),300,0))),1000000000))</f>
        <v/>
      </c>
      <c r="SB15">
        <f>IF($B15=0,1000000000,IF(INDEX('calcA'!$D$60:$EQ$99,$B15,101)*IF($W15=1,GX15+ADM15,GX15)=1,IF(AND($E15=2,IF($W15=1,AJB15,MM15)=0),1000000000,IF($V15=1,INDEX('calcA'!$D$130:$EQ$169,$B15,101)+IF(AND($E15=1,MM15=0),25,0),INDEX('calcA'!CZ$110:CZ$114,$F15+1)+IF(AND($E15=1,MM15=0),1000,0)+IF($H15=1,INDEX('calcA'!$D$180:$EQ$219,$B15,101)*500,0)-IF(AND('calcA'!CY$117=1,XW15&gt;0),300,0)-IF(AND($U15=1,'calcA'!CZ$117=1,GY15=0),300,0))),1000000000))</f>
        <v/>
      </c>
      <c r="SC15">
        <f>IF($B15=0,1000000000,IF(INDEX('calcA'!$D$60:$EQ$99,$B15,102)*IF($W15=1,GY15+ADN15,GY15)=1,IF(AND($E15=2,IF($W15=1,AJC15,MN15)=0),1000000000,IF($V15=1,INDEX('calcA'!$D$130:$EQ$169,$B15,102)+IF(AND($E15=1,MN15=0),25,0),INDEX('calcA'!DA$110:DA$114,$F15+1)+IF(AND($E15=1,MN15=0),1000,0)+IF($H15=1,INDEX('calcA'!$D$180:$EQ$219,$B15,102)*500,0)-IF(AND('calcA'!CZ$117=1,XX15&gt;0),300,0)-IF(AND($U15=1,'calcA'!DA$117=1,GZ15=0),300,0))),1000000000))</f>
        <v/>
      </c>
      <c r="SD15">
        <f>IF($B15=0,1000000000,IF(INDEX('calcA'!$D$60:$EQ$99,$B15,103)*IF($W15=1,GZ15+ADO15,GZ15)=1,IF(AND($E15=2,IF($W15=1,AJD15,MO15)=0),1000000000,IF($V15=1,INDEX('calcA'!$D$130:$EQ$169,$B15,103)+IF(AND($E15=1,MO15=0),25,0),INDEX('calcA'!DB$110:DB$114,$F15+1)+IF(AND($E15=1,MO15=0),1000,0)+IF($H15=1,INDEX('calcA'!$D$180:$EQ$219,$B15,103)*500,0)-IF(AND('calcA'!DA$117=1,XY15&gt;0),300,0)-IF(AND($U15=1,'calcA'!DB$117=1,HA15=0),300,0))),1000000000))</f>
        <v/>
      </c>
      <c r="SE15">
        <f>IF($B15=0,1000000000,IF(INDEX('calcA'!$D$60:$EQ$99,$B15,104)*IF($W15=1,HA15+ADP15,HA15)=1,IF(AND($E15=2,IF($W15=1,AJE15,MP15)=0),1000000000,IF($V15=1,INDEX('calcA'!$D$130:$EQ$169,$B15,104)+IF(AND($E15=1,MP15=0),25,0),INDEX('calcA'!DC$110:DC$114,$F15+1)+IF(AND($E15=1,MP15=0),1000,0)+IF($H15=1,INDEX('calcA'!$D$180:$EQ$219,$B15,104)*500,0)-IF(AND('calcA'!DB$117=1,XZ15&gt;0),300,0)-IF(AND($U15=1,'calcA'!DC$117=1,HB15=0),300,0))),1000000000))</f>
        <v/>
      </c>
      <c r="SF15">
        <f>IF($B15=0,1000000000,IF(INDEX('calcA'!$D$60:$EQ$99,$B15,105)*IF($W15=1,HB15+ADQ15,HB15)=1,IF(AND($E15=2,IF($W15=1,AJF15,MQ15)=0),1000000000,IF($V15=1,INDEX('calcA'!$D$130:$EQ$169,$B15,105)+IF(AND($E15=1,MQ15=0),25,0),INDEX('calcA'!DD$110:DD$114,$F15+1)+IF(AND($E15=1,MQ15=0),1000,0)+IF($H15=1,INDEX('calcA'!$D$180:$EQ$219,$B15,105)*500,0)-IF(AND('calcA'!DC$117=1,YA15&gt;0),300,0)-IF(AND($U15=1,'calcA'!DD$117=1,HC15=0),300,0))),1000000000))</f>
        <v/>
      </c>
      <c r="SG15">
        <f>IF($B15=0,1000000000,IF(INDEX('calcA'!$D$60:$EQ$99,$B15,106)*IF($W15=1,HC15+ADR15,HC15)=1,IF(AND($E15=2,IF($W15=1,AJG15,MR15)=0),1000000000,IF($V15=1,INDEX('calcA'!$D$130:$EQ$169,$B15,106)+IF(AND($E15=1,MR15=0),25,0),INDEX('calcA'!DE$110:DE$114,$F15+1)+IF(AND($E15=1,MR15=0),1000,0)+IF($H15=1,INDEX('calcA'!$D$180:$EQ$219,$B15,106)*500,0)-IF(AND('calcA'!DD$117=1,YB15&gt;0),300,0)-IF(AND($U15=1,'calcA'!DE$117=1,HD15=0),300,0))),1000000000))</f>
        <v/>
      </c>
      <c r="SH15">
        <f>IF($B15=0,1000000000,IF(INDEX('calcA'!$D$60:$EQ$99,$B15,107)*IF($W15=1,HD15+ADS15,HD15)=1,IF(AND($E15=2,IF($W15=1,AJH15,MS15)=0),1000000000,IF($V15=1,INDEX('calcA'!$D$130:$EQ$169,$B15,107)+IF(AND($E15=1,MS15=0),25,0),INDEX('calcA'!DF$110:DF$114,$F15+1)+IF(AND($E15=1,MS15=0),1000,0)+IF($H15=1,INDEX('calcA'!$D$180:$EQ$219,$B15,107)*500,0)-IF(AND('calcA'!DE$117=1,YC15&gt;0),300,0)-IF(AND($U15=1,'calcA'!DF$117=1,HE15=0),300,0))),1000000000))</f>
        <v/>
      </c>
      <c r="SI15">
        <f>IF($B15=0,1000000000,IF(INDEX('calcA'!$D$60:$EQ$99,$B15,108)*IF($W15=1,HE15+ADT15,HE15)=1,IF(AND($E15=2,IF($W15=1,AJI15,MT15)=0),1000000000,IF($V15=1,INDEX('calcA'!$D$130:$EQ$169,$B15,108)+IF(AND($E15=1,MT15=0),25,0),INDEX('calcA'!DG$110:DG$114,$F15+1)+IF(AND($E15=1,MT15=0),1000,0)+IF($H15=1,INDEX('calcA'!$D$180:$EQ$219,$B15,108)*500,0)-IF(AND('calcA'!DF$117=1,YD15&gt;0),300,0)-IF(AND($U15=1,'calcA'!DG$117=1,HF15=0),300,0))),1000000000))</f>
        <v/>
      </c>
      <c r="SJ15">
        <f>IF($B15=0,1000000000,IF(INDEX('calcA'!$D$60:$EQ$99,$B15,109)*IF($W15=1,HF15+ADU15,HF15)=1,IF(AND($E15=2,IF($W15=1,AJJ15,MU15)=0),1000000000,IF($V15=1,INDEX('calcA'!$D$130:$EQ$169,$B15,109)+IF(AND($E15=1,MU15=0),25,0),INDEX('calcA'!DH$110:DH$114,$F15+1)+IF(AND($E15=1,MU15=0),1000,0)+IF($H15=1,INDEX('calcA'!$D$180:$EQ$219,$B15,109)*500,0)-IF(AND('calcA'!DG$117=1,YE15&gt;0),300,0)-IF(AND($U15=1,'calcA'!DH$117=1,HG15=0),300,0))),1000000000))</f>
        <v/>
      </c>
      <c r="SK15">
        <f>IF($B15=0,1000000000,IF(INDEX('calcA'!$D$60:$EQ$99,$B15,110)*IF($W15=1,HG15+ADV15,HG15)=1,IF(AND($E15=2,IF($W15=1,AJK15,MV15)=0),1000000000,IF($V15=1,INDEX('calcA'!$D$130:$EQ$169,$B15,110)+IF(AND($E15=1,MV15=0),25,0),INDEX('calcA'!DI$110:DI$114,$F15+1)+IF(AND($E15=1,MV15=0),1000,0)+IF($H15=1,INDEX('calcA'!$D$180:$EQ$219,$B15,110)*500,0)-IF(AND('calcA'!DH$117=1,YF15&gt;0),300,0)-IF(AND($U15=1,'calcA'!DI$117=1,HH15=0),300,0))),1000000000))</f>
        <v/>
      </c>
      <c r="SL15">
        <f>IF($B15=0,1000000000,IF(INDEX('calcA'!$D$60:$EQ$99,$B15,111)*IF($W15=1,HH15+ADW15,HH15)=1,IF(AND($E15=2,IF($W15=1,AJL15,MW15)=0),1000000000,IF($V15=1,INDEX('calcA'!$D$130:$EQ$169,$B15,111)+IF(AND($E15=1,MW15=0),25,0),INDEX('calcA'!DJ$110:DJ$114,$F15+1)+IF(AND($E15=1,MW15=0),1000,0)+IF($H15=1,INDEX('calcA'!$D$180:$EQ$219,$B15,111)*500,0)-IF(AND('calcA'!DI$117=1,YG15&gt;0),300,0)-IF(AND($U15=1,'calcA'!DJ$117=1,HI15=0),300,0))),1000000000))</f>
        <v/>
      </c>
      <c r="SM15">
        <f>IF($B15=0,1000000000,IF(INDEX('calcA'!$D$60:$EQ$99,$B15,112)*IF($W15=1,HI15+ADX15,HI15)=1,IF(AND($E15=2,IF($W15=1,AJM15,MX15)=0),1000000000,IF($V15=1,INDEX('calcA'!$D$130:$EQ$169,$B15,112)+IF(AND($E15=1,MX15=0),25,0),INDEX('calcA'!DK$110:DK$114,$F15+1)+IF(AND($E15=1,MX15=0),1000,0)+IF($H15=1,INDEX('calcA'!$D$180:$EQ$219,$B15,112)*500,0)-IF(AND('calcA'!DJ$117=1,YH15&gt;0),300,0)-IF(AND($U15=1,'calcA'!DK$117=1,HJ15=0),300,0))),1000000000))</f>
        <v/>
      </c>
      <c r="SN15">
        <f>IF($B15=0,1000000000,IF(INDEX('calcA'!$D$60:$EQ$99,$B15,113)*IF($W15=1,HJ15+ADY15,HJ15)=1,IF(AND($E15=2,IF($W15=1,AJN15,MY15)=0),1000000000,IF($V15=1,INDEX('calcA'!$D$130:$EQ$169,$B15,113)+IF(AND($E15=1,MY15=0),25,0),INDEX('calcA'!DL$110:DL$114,$F15+1)+IF(AND($E15=1,MY15=0),1000,0)+IF($H15=1,INDEX('calcA'!$D$180:$EQ$219,$B15,113)*500,0)-IF(AND('calcA'!DK$117=1,YI15&gt;0),300,0)-IF(AND($U15=1,'calcA'!DL$117=1,HK15=0),300,0))),1000000000))</f>
        <v/>
      </c>
      <c r="SO15">
        <f>IF($B15=0,1000000000,IF(INDEX('calcA'!$D$60:$EQ$99,$B15,114)*IF($W15=1,HK15+ADZ15,HK15)=1,IF(AND($E15=2,IF($W15=1,AJO15,MZ15)=0),1000000000,IF($V15=1,INDEX('calcA'!$D$130:$EQ$169,$B15,114)+IF(AND($E15=1,MZ15=0),25,0),INDEX('calcA'!DM$110:DM$114,$F15+1)+IF(AND($E15=1,MZ15=0),1000,0)+IF($H15=1,INDEX('calcA'!$D$180:$EQ$219,$B15,114)*500,0)-IF(AND('calcA'!DL$117=1,YJ15&gt;0),300,0)-IF(AND($U15=1,'calcA'!DM$117=1,HL15=0),300,0))),1000000000))</f>
        <v/>
      </c>
      <c r="SP15">
        <f>IF($B15=0,1000000000,IF(INDEX('calcA'!$D$60:$EQ$99,$B15,115)*IF($W15=1,HL15+AEA15,HL15)=1,IF(AND($E15=2,IF($W15=1,AJP15,NA15)=0),1000000000,IF($V15=1,INDEX('calcA'!$D$130:$EQ$169,$B15,115)+IF(AND($E15=1,NA15=0),25,0),INDEX('calcA'!DN$110:DN$114,$F15+1)+IF(AND($E15=1,NA15=0),1000,0)+IF($H15=1,INDEX('calcA'!$D$180:$EQ$219,$B15,115)*500,0)-IF(AND('calcA'!DM$117=1,YK15&gt;0),300,0)-IF(AND($U15=1,'calcA'!DN$117=1,HM15=0),300,0))),1000000000))</f>
        <v/>
      </c>
      <c r="SQ15">
        <f>IF($B15=0,1000000000,IF(INDEX('calcA'!$D$60:$EQ$99,$B15,116)*IF($W15=1,HM15+AEB15,HM15)=1,IF(AND($E15=2,IF($W15=1,AJQ15,NB15)=0),1000000000,IF($V15=1,INDEX('calcA'!$D$130:$EQ$169,$B15,116)+IF(AND($E15=1,NB15=0),25,0),INDEX('calcA'!DO$110:DO$114,$F15+1)+IF(AND($E15=1,NB15=0),1000,0)+IF($H15=1,INDEX('calcA'!$D$180:$EQ$219,$B15,116)*500,0)-IF(AND('calcA'!DN$117=1,YL15&gt;0),300,0)-IF(AND($U15=1,'calcA'!DO$117=1,HN15=0),300,0))),1000000000))</f>
        <v/>
      </c>
      <c r="SR15">
        <f>IF($B15=0,1000000000,IF(INDEX('calcA'!$D$60:$EQ$99,$B15,117)*IF($W15=1,HN15+AEC15,HN15)=1,IF(AND($E15=2,IF($W15=1,AJR15,NC15)=0),1000000000,IF($V15=1,INDEX('calcA'!$D$130:$EQ$169,$B15,117)+IF(AND($E15=1,NC15=0),25,0),INDEX('calcA'!DP$110:DP$114,$F15+1)+IF(AND($E15=1,NC15=0),1000,0)+IF($H15=1,INDEX('calcA'!$D$180:$EQ$219,$B15,117)*500,0)-IF(AND('calcA'!DO$117=1,YM15&gt;0),300,0)-IF(AND($U15=1,'calcA'!DP$117=1,HO15=0),300,0))),1000000000))</f>
        <v/>
      </c>
      <c r="SS15">
        <f>IF($B15=0,1000000000,IF(INDEX('calcA'!$D$60:$EQ$99,$B15,118)*IF($W15=1,HO15+AED15,HO15)=1,IF(AND($E15=2,IF($W15=1,AJS15,ND15)=0),1000000000,IF($V15=1,INDEX('calcA'!$D$130:$EQ$169,$B15,118)+IF(AND($E15=1,ND15=0),25,0),INDEX('calcA'!DQ$110:DQ$114,$F15+1)+IF(AND($E15=1,ND15=0),1000,0)+IF($H15=1,INDEX('calcA'!$D$180:$EQ$219,$B15,118)*500,0)-IF(AND('calcA'!DP$117=1,YN15&gt;0),300,0)-IF(AND($U15=1,'calcA'!DQ$117=1,HP15=0),300,0))),1000000000))</f>
        <v/>
      </c>
      <c r="ST15">
        <f>IF($B15=0,1000000000,IF(INDEX('calcA'!$D$60:$EQ$99,$B15,119)*IF($W15=1,HP15+AEE15,HP15)=1,IF(AND($E15=2,IF($W15=1,AJT15,NE15)=0),1000000000,IF($V15=1,INDEX('calcA'!$D$130:$EQ$169,$B15,119)+IF(AND($E15=1,NE15=0),25,0),INDEX('calcA'!DR$110:DR$114,$F15+1)+IF(AND($E15=1,NE15=0),1000,0)+IF($H15=1,INDEX('calcA'!$D$180:$EQ$219,$B15,119)*500,0)-IF(AND('calcA'!DQ$117=1,YO15&gt;0),300,0)-IF(AND($U15=1,'calcA'!DR$117=1,HQ15=0),300,0))),1000000000))</f>
        <v/>
      </c>
      <c r="SU15">
        <f>IF($B15=0,1000000000,IF(INDEX('calcA'!$D$60:$EQ$99,$B15,120)*IF($W15=1,HQ15+AEF15,HQ15)=1,IF(AND($E15=2,IF($W15=1,AJU15,NF15)=0),1000000000,IF($V15=1,INDEX('calcA'!$D$130:$EQ$169,$B15,120)+IF(AND($E15=1,NF15=0),25,0),INDEX('calcA'!DS$110:DS$114,$F15+1)+IF(AND($E15=1,NF15=0),1000,0)+IF($H15=1,INDEX('calcA'!$D$180:$EQ$219,$B15,120)*500,0)-IF(AND('calcA'!DR$117=1,YP15&gt;0),300,0))),1000000000))</f>
        <v/>
      </c>
      <c r="SV15">
        <f>IF($B15=0,1000000000,IF(INDEX('calcA'!$D$60:$EQ$99,$B15,121)*IF($W15=1,HR15+AEG15,HR15)=1,IF(AND($E15=2,IF($W15=1,AJV15,NG15)=0),1000000000,IF($V15=1,INDEX('calcA'!$D$130:$EQ$169,$B15,121)+IF(AND($E15=1,NG15=0),25,0),INDEX('calcA'!DT$110:DT$114,$F15+1)+IF(AND($E15=1,NG15=0),1000,0)+IF($H15=1,INDEX('calcA'!$D$180:$EQ$219,$B15,121)*500,0)-IF(AND($U15=1,'calcA'!DT$117=1,HS15=0),300,0))),1000000000))</f>
        <v/>
      </c>
      <c r="SW15">
        <f>IF($B15=0,1000000000,IF(INDEX('calcA'!$D$60:$EQ$99,$B15,122)*IF($W15=1,HS15+AEH15,HS15)=1,IF(AND($E15=2,IF($W15=1,AJW15,NH15)=0),1000000000,IF($V15=1,INDEX('calcA'!$D$130:$EQ$169,$B15,122)+IF(AND($E15=1,NH15=0),25,0),INDEX('calcA'!DU$110:DU$114,$F15+1)+IF(AND($E15=1,NH15=0),1000,0)+IF($H15=1,INDEX('calcA'!$D$180:$EQ$219,$B15,122)*500,0)-IF(AND('calcA'!DT$117=1,YR15&gt;0),300,0)-IF(AND($U15=1,'calcA'!DU$117=1,HT15=0),300,0))),1000000000))</f>
        <v/>
      </c>
      <c r="SX15">
        <f>IF($B15=0,1000000000,IF(INDEX('calcA'!$D$60:$EQ$99,$B15,123)*IF($W15=1,HT15+AEI15,HT15)=1,IF(AND($E15=2,IF($W15=1,AJX15,NI15)=0),1000000000,IF($V15=1,INDEX('calcA'!$D$130:$EQ$169,$B15,123)+IF(AND($E15=1,NI15=0),25,0),INDEX('calcA'!DV$110:DV$114,$F15+1)+IF(AND($E15=1,NI15=0),1000,0)+IF($H15=1,INDEX('calcA'!$D$180:$EQ$219,$B15,123)*500,0)-IF(AND('calcA'!DU$117=1,YS15&gt;0),300,0)-IF(AND($U15=1,'calcA'!DV$117=1,HU15=0),300,0))),1000000000))</f>
        <v/>
      </c>
      <c r="SY15">
        <f>IF($B15=0,1000000000,IF(INDEX('calcA'!$D$60:$EQ$99,$B15,124)*IF($W15=1,HU15+AEJ15,HU15)=1,IF(AND($E15=2,IF($W15=1,AJY15,NJ15)=0),1000000000,IF($V15=1,INDEX('calcA'!$D$130:$EQ$169,$B15,124)+IF(AND($E15=1,NJ15=0),25,0),INDEX('calcA'!DW$110:DW$114,$F15+1)+IF(AND($E15=1,NJ15=0),1000,0)+IF($H15=1,INDEX('calcA'!$D$180:$EQ$219,$B15,124)*500,0)-IF(AND('calcA'!DV$117=1,YT15&gt;0),300,0)-IF(AND($U15=1,'calcA'!DW$117=1,HV15=0),300,0))),1000000000))</f>
        <v/>
      </c>
      <c r="SZ15">
        <f>IF($B15=0,1000000000,IF(INDEX('calcA'!$D$60:$EQ$99,$B15,125)*IF($W15=1,HV15+AEK15,HV15)=1,IF(AND($E15=2,IF($W15=1,AJZ15,NK15)=0),1000000000,IF($V15=1,INDEX('calcA'!$D$130:$EQ$169,$B15,125)+IF(AND($E15=1,NK15=0),25,0),INDEX('calcA'!DX$110:DX$114,$F15+1)+IF(AND($E15=1,NK15=0),1000,0)+IF($H15=1,INDEX('calcA'!$D$180:$EQ$219,$B15,125)*500,0)-IF(AND('calcA'!DW$117=1,YU15&gt;0),300,0)-IF(AND($U15=1,'calcA'!DX$117=1,HW15=0),300,0))),1000000000))</f>
        <v/>
      </c>
      <c r="TA15">
        <f>IF($B15=0,1000000000,IF(INDEX('calcA'!$D$60:$EQ$99,$B15,126)*IF($W15=1,HW15+AEL15,HW15)=1,IF(AND($E15=2,IF($W15=1,AKA15,NL15)=0),1000000000,IF($V15=1,INDEX('calcA'!$D$130:$EQ$169,$B15,126)+IF(AND($E15=1,NL15=0),25,0),INDEX('calcA'!DY$110:DY$114,$F15+1)+IF(AND($E15=1,NL15=0),1000,0)+IF($H15=1,INDEX('calcA'!$D$180:$EQ$219,$B15,126)*500,0)-IF(AND('calcA'!DX$117=1,YV15&gt;0),300,0)-IF(AND($U15=1,'calcA'!DY$117=1,HX15=0),300,0))),1000000000))</f>
        <v/>
      </c>
      <c r="TB15">
        <f>IF($B15=0,1000000000,IF(INDEX('calcA'!$D$60:$EQ$99,$B15,127)*IF($W15=1,HX15+AEM15,HX15)=1,IF(AND($E15=2,IF($W15=1,AKB15,NM15)=0),1000000000,IF($V15=1,INDEX('calcA'!$D$130:$EQ$169,$B15,127)+IF(AND($E15=1,NM15=0),25,0),INDEX('calcA'!DZ$110:DZ$114,$F15+1)+IF(AND($E15=1,NM15=0),1000,0)+IF($H15=1,INDEX('calcA'!$D$180:$EQ$219,$B15,127)*500,0)-IF(AND('calcA'!DY$117=1,YW15&gt;0),300,0)-IF(AND($U15=1,'calcA'!DZ$117=1,HY15=0),300,0))),1000000000))</f>
        <v/>
      </c>
      <c r="TC15">
        <f>IF($B15=0,1000000000,IF(INDEX('calcA'!$D$60:$EQ$99,$B15,128)*IF($W15=1,HY15+AEN15,HY15)=1,IF(AND($E15=2,IF($W15=1,AKC15,NN15)=0),1000000000,IF($V15=1,INDEX('calcA'!$D$130:$EQ$169,$B15,128)+IF(AND($E15=1,NN15=0),25,0),INDEX('calcA'!EA$110:EA$114,$F15+1)+IF(AND($E15=1,NN15=0),1000,0)+IF($H15=1,INDEX('calcA'!$D$180:$EQ$219,$B15,128)*500,0)-IF(AND('calcA'!DZ$117=1,YX15&gt;0),300,0)-IF(AND($U15=1,'calcA'!EA$117=1,HZ15=0),300,0))),1000000000))</f>
        <v/>
      </c>
      <c r="TD15">
        <f>IF($B15=0,1000000000,IF(INDEX('calcA'!$D$60:$EQ$99,$B15,129)*IF($W15=1,HZ15+AEO15,HZ15)=1,IF(AND($E15=2,IF($W15=1,AKD15,NO15)=0),1000000000,IF($V15=1,INDEX('calcA'!$D$130:$EQ$169,$B15,129)+IF(AND($E15=1,NO15=0),25,0),INDEX('calcA'!EB$110:EB$114,$F15+1)+IF(AND($E15=1,NO15=0),1000,0)+IF($H15=1,INDEX('calcA'!$D$180:$EQ$219,$B15,129)*500,0)-IF(AND('calcA'!EA$117=1,YY15&gt;0),300,0)-IF(AND($U15=1,'calcA'!EB$117=1,IA15=0),300,0))),1000000000))</f>
        <v/>
      </c>
      <c r="TE15">
        <f>IF($B15=0,1000000000,IF(INDEX('calcA'!$D$60:$EQ$99,$B15,130)*IF($W15=1,IA15+AEP15,IA15)=1,IF(AND($E15=2,IF($W15=1,AKE15,NP15)=0),1000000000,IF($V15=1,INDEX('calcA'!$D$130:$EQ$169,$B15,130)+IF(AND($E15=1,NP15=0),25,0),INDEX('calcA'!EC$110:EC$114,$F15+1)+IF(AND($E15=1,NP15=0),1000,0)+IF($H15=1,INDEX('calcA'!$D$180:$EQ$219,$B15,130)*500,0)-IF(AND('calcA'!EB$117=1,YZ15&gt;0),300,0)-IF(AND($U15=1,'calcA'!EC$117=1,IB15=0),300,0))),1000000000))</f>
        <v/>
      </c>
      <c r="TF15">
        <f>IF($B15=0,1000000000,IF(INDEX('calcA'!$D$60:$EQ$99,$B15,131)*IF($W15=1,IB15+AEQ15,IB15)=1,IF(AND($E15=2,IF($W15=1,AKF15,NQ15)=0),1000000000,IF($V15=1,INDEX('calcA'!$D$130:$EQ$169,$B15,131)+IF(AND($E15=1,NQ15=0),25,0),INDEX('calcA'!ED$110:ED$114,$F15+1)+IF(AND($E15=1,NQ15=0),1000,0)+IF($H15=1,INDEX('calcA'!$D$180:$EQ$219,$B15,131)*500,0)-IF(AND('calcA'!EC$117=1,ZA15&gt;0),300,0)-IF(AND($U15=1,'calcA'!ED$117=1,IC15=0),300,0))),1000000000))</f>
        <v/>
      </c>
      <c r="TG15">
        <f>IF($B15=0,1000000000,IF(INDEX('calcA'!$D$60:$EQ$99,$B15,132)*IF($W15=1,IC15+AER15,IC15)=1,IF(AND($E15=2,IF($W15=1,AKG15,NR15)=0),1000000000,IF($V15=1,INDEX('calcA'!$D$130:$EQ$169,$B15,132)+IF(AND($E15=1,NR15=0),25,0),INDEX('calcA'!EE$110:EE$114,$F15+1)+IF(AND($E15=1,NR15=0),1000,0)+IF($H15=1,INDEX('calcA'!$D$180:$EQ$219,$B15,132)*500,0)-IF(AND('calcA'!ED$117=1,ZB15&gt;0),300,0)-IF(AND($U15=1,'calcA'!EE$117=1,ID15=0),300,0))),1000000000))</f>
        <v/>
      </c>
      <c r="TH15">
        <f>IF($B15=0,1000000000,IF(INDEX('calcA'!$D$60:$EQ$99,$B15,133)*IF($W15=1,ID15+AES15,ID15)=1,IF(AND($E15=2,IF($W15=1,AKH15,NS15)=0),1000000000,IF($V15=1,INDEX('calcA'!$D$130:$EQ$169,$B15,133)+IF(AND($E15=1,NS15=0),25,0),INDEX('calcA'!EF$110:EF$114,$F15+1)+IF(AND($E15=1,NS15=0),1000,0)+IF($H15=1,INDEX('calcA'!$D$180:$EQ$219,$B15,133)*500,0)-IF(AND('calcA'!EE$117=1,ZC15&gt;0),300,0)-IF(AND($U15=1,'calcA'!EF$117=1,IE15=0),300,0))),1000000000))</f>
        <v/>
      </c>
      <c r="TI15">
        <f>IF($B15=0,1000000000,IF(INDEX('calcA'!$D$60:$EQ$99,$B15,134)*IF($W15=1,IE15+AET15,IE15)=1,IF(AND($E15=2,IF($W15=1,AKI15,NT15)=0),1000000000,IF($V15=1,INDEX('calcA'!$D$130:$EQ$169,$B15,134)+IF(AND($E15=1,NT15=0),25,0),INDEX('calcA'!EG$110:EG$114,$F15+1)+IF(AND($E15=1,NT15=0),1000,0)+IF($H15=1,INDEX('calcA'!$D$180:$EQ$219,$B15,134)*500,0)-IF(AND('calcA'!EF$117=1,ZD15&gt;0),300,0)-IF(AND($U15=1,'calcA'!EG$117=1,IF15=0),300,0))),1000000000))</f>
        <v/>
      </c>
      <c r="TJ15">
        <f>IF($B15=0,1000000000,IF(INDEX('calcA'!$D$60:$EQ$99,$B15,135)*IF($W15=1,IF15+AEU15,IF15)=1,IF(AND($E15=2,IF($W15=1,AKJ15,NU15)=0),1000000000,IF($V15=1,INDEX('calcA'!$D$130:$EQ$169,$B15,135)+IF(AND($E15=1,NU15=0),25,0),INDEX('calcA'!EH$110:EH$114,$F15+1)+IF(AND($E15=1,NU15=0),1000,0)+IF($H15=1,INDEX('calcA'!$D$180:$EQ$219,$B15,135)*500,0)-IF(AND('calcA'!EG$117=1,ZE15&gt;0),300,0)-IF(AND($U15=1,'calcA'!EH$117=1,IG15=0),300,0))),1000000000))</f>
        <v/>
      </c>
      <c r="TK15">
        <f>IF($B15=0,1000000000,IF(INDEX('calcA'!$D$60:$EQ$99,$B15,136)*IF($W15=1,IG15+AEV15,IG15)=1,IF(AND($E15=2,IF($W15=1,AKK15,NV15)=0),1000000000,IF($V15=1,INDEX('calcA'!$D$130:$EQ$169,$B15,136)+IF(AND($E15=1,NV15=0),25,0),INDEX('calcA'!EI$110:EI$114,$F15+1)+IF(AND($E15=1,NV15=0),1000,0)+IF($H15=1,INDEX('calcA'!$D$180:$EQ$219,$B15,136)*500,0)-IF(AND('calcA'!EH$117=1,ZF15&gt;0),300,0)-IF(AND($U15=1,'calcA'!EI$117=1,IH15=0),300,0))),1000000000))</f>
        <v/>
      </c>
      <c r="TL15">
        <f>IF($B15=0,1000000000,IF(INDEX('calcA'!$D$60:$EQ$99,$B15,137)*IF($W15=1,IH15+AEW15,IH15)=1,IF(AND($E15=2,IF($W15=1,AKL15,NW15)=0),1000000000,IF($V15=1,INDEX('calcA'!$D$130:$EQ$169,$B15,137)+IF(AND($E15=1,NW15=0),25,0),INDEX('calcA'!EJ$110:EJ$114,$F15+1)+IF(AND($E15=1,NW15=0),1000,0)+IF($H15=1,INDEX('calcA'!$D$180:$EQ$219,$B15,137)*500,0)-IF(AND('calcA'!EI$117=1,ZG15&gt;0),300,0)-IF(AND($U15=1,'calcA'!EJ$117=1,II15=0),300,0))),1000000000))</f>
        <v/>
      </c>
      <c r="TM15">
        <f>IF($B15=0,1000000000,IF(INDEX('calcA'!$D$60:$EQ$99,$B15,138)*IF($W15=1,II15+AEX15,II15)=1,IF(AND($E15=2,IF($W15=1,AKM15,NX15)=0),1000000000,IF($V15=1,INDEX('calcA'!$D$130:$EQ$169,$B15,138)+IF(AND($E15=1,NX15=0),25,0),INDEX('calcA'!EK$110:EK$114,$F15+1)+IF(AND($E15=1,NX15=0),1000,0)+IF($H15=1,INDEX('calcA'!$D$180:$EQ$219,$B15,138)*500,0)-IF(AND('calcA'!EJ$117=1,ZH15&gt;0),300,0)-IF(AND($U15=1,'calcA'!EK$117=1,IJ15=0),300,0))),1000000000))</f>
        <v/>
      </c>
      <c r="TN15">
        <f>IF($B15=0,1000000000,IF(INDEX('calcA'!$D$60:$EQ$99,$B15,139)*IF($W15=1,IJ15+AEY15,IJ15)=1,IF(AND($E15=2,IF($W15=1,AKN15,NY15)=0),1000000000,IF($V15=1,INDEX('calcA'!$D$130:$EQ$169,$B15,139)+IF(AND($E15=1,NY15=0),25,0),INDEX('calcA'!EL$110:EL$114,$F15+1)+IF(AND($E15=1,NY15=0),1000,0)+IF($H15=1,INDEX('calcA'!$D$180:$EQ$219,$B15,139)*500,0)-IF(AND('calcA'!EK$117=1,ZI15&gt;0),300,0)-IF(AND($U15=1,'calcA'!EL$117=1,IK15=0),300,0))),1000000000))</f>
        <v/>
      </c>
      <c r="TO15">
        <f>IF($B15=0,1000000000,IF(INDEX('calcA'!$D$60:$EQ$99,$B15,140)*IF($W15=1,IK15+AEZ15,IK15)=1,IF(AND($E15=2,IF($W15=1,AKO15,NZ15)=0),1000000000,IF($V15=1,INDEX('calcA'!$D$130:$EQ$169,$B15,140)+IF(AND($E15=1,NZ15=0),25,0),INDEX('calcA'!EM$110:EM$114,$F15+1)+IF(AND($E15=1,NZ15=0),1000,0)+IF($H15=1,INDEX('calcA'!$D$180:$EQ$219,$B15,140)*500,0)-IF(AND('calcA'!EL$117=1,ZJ15&gt;0),300,0)-IF(AND($U15=1,'calcA'!EM$117=1,IL15=0),300,0))),1000000000))</f>
        <v/>
      </c>
      <c r="TP15">
        <f>IF($B15=0,1000000000,IF(INDEX('calcA'!$D$60:$EQ$99,$B15,141)*IF($W15=1,IL15+AFA15,IL15)=1,IF(AND($E15=2,IF($W15=1,AKP15,OA15)=0),1000000000,IF($V15=1,INDEX('calcA'!$D$130:$EQ$169,$B15,141)+IF(AND($E15=1,OA15=0),25,0),INDEX('calcA'!EN$110:EN$114,$F15+1)+IF(AND($E15=1,OA15=0),1000,0)+IF($H15=1,INDEX('calcA'!$D$180:$EQ$219,$B15,141)*500,0)-IF(AND('calcA'!EM$117=1,ZK15&gt;0),300,0)-IF(AND($U15=1,'calcA'!EN$117=1,IM15=0),300,0))),1000000000))</f>
        <v/>
      </c>
      <c r="TQ15">
        <f>IF($B15=0,1000000000,IF(INDEX('calcA'!$D$60:$EQ$99,$B15,142)*IF($W15=1,IM15+AFB15,IM15)=1,IF(AND($E15=2,IF($W15=1,AKQ15,OB15)=0),1000000000,IF($V15=1,INDEX('calcA'!$D$130:$EQ$169,$B15,142)+IF(AND($E15=1,OB15=0),25,0),INDEX('calcA'!EO$110:EO$114,$F15+1)+IF(AND($E15=1,OB15=0),1000,0)+IF($H15=1,INDEX('calcA'!$D$180:$EQ$219,$B15,142)*500,0)-IF(AND('calcA'!EN$117=1,ZL15&gt;0),300,0)-IF(AND($U15=1,'calcA'!EO$117=1,IN15=0),300,0))),1000000000))</f>
        <v/>
      </c>
      <c r="TR15">
        <f>IF($B15=0,1000000000,IF(INDEX('calcA'!$D$60:$EQ$99,$B15,143)*IF($W15=1,IN15+AFC15,IN15)=1,IF(AND($E15=2,IF($W15=1,AKR15,OC15)=0),1000000000,IF($V15=1,INDEX('calcA'!$D$130:$EQ$169,$B15,143)+IF(AND($E15=1,OC15=0),25,0),INDEX('calcA'!EP$110:EP$114,$F15+1)+IF(AND($E15=1,OC15=0),1000,0)+IF($H15=1,INDEX('calcA'!$D$180:$EQ$219,$B15,143)*500,0)-IF(AND('calcA'!EO$117=1,ZM15&gt;0),300,0)-IF(AND($U15=1,'calcA'!EP$117=1,IO15=0),300,0))),1000000000))</f>
        <v/>
      </c>
      <c r="TS15">
        <f>IF($B15=0,1000000000,IF(INDEX('calcA'!$D$60:$EQ$99,$B15,144)*IF($W15=1,IO15+AFD15,IO15)=1,IF(AND($E15=2,IF($W15=1,AKS15,OD15)=0),1000000000,IF($V15=1,INDEX('calcA'!$D$130:$EQ$169,$B15,144)+IF(AND($E15=1,OD15=0),25,0),INDEX('calcA'!EQ$110:EQ$114,$F15+1)+IF(AND($E15=1,OD15=0),1000,0)+IF($H15=1,INDEX('calcA'!$D$180:$EQ$219,$B15,144)*500,0)-IF(AND('calcA'!EP$117=1,ZN15&gt;0),300,0))),1000000000))</f>
        <v/>
      </c>
      <c r="UB15">
        <f>UB14+IF(AND($C14=1,$U14=1),1,0)</f>
        <v/>
      </c>
      <c r="UC15">
        <f>UC14+IF(AND($C14=2,$U14=1),1,0)</f>
        <v/>
      </c>
      <c r="UD15">
        <f>UD14+IF(AND($C14=3,$U14=1),1,0)</f>
        <v/>
      </c>
      <c r="UE15">
        <f>UE14+IF(AND($C14=4,$U14=1),1,0)</f>
        <v/>
      </c>
      <c r="UF15">
        <f>UF14+IF(AND($C14=5,$U14=1),1,0)</f>
        <v/>
      </c>
      <c r="UG15">
        <f>UG14+IF(AND($C14=6,$U14=1),1,0)</f>
        <v/>
      </c>
      <c r="UH15">
        <f>UH14+IF(AND($C14=7,$U14=1),1,0)</f>
        <v/>
      </c>
      <c r="UI15">
        <f>UI14+IF(AND($C14=8,$U14=1),1,0)</f>
        <v/>
      </c>
      <c r="UJ15">
        <f>UJ14+IF(AND($C14=9,$U14=1),1,0)</f>
        <v/>
      </c>
      <c r="UK15">
        <f>UK14+IF(AND($C14=10,$U14=1),1,0)</f>
        <v/>
      </c>
      <c r="UL15">
        <f>UL14+IF(AND($C14=11,$U14=1),1,0)</f>
        <v/>
      </c>
      <c r="UM15">
        <f>UM14+IF(AND($C14=12,$U14=1),1,0)</f>
        <v/>
      </c>
      <c r="UN15">
        <f>UN14+IF(AND($C14=13,$U14=1),1,0)</f>
        <v/>
      </c>
      <c r="UO15">
        <f>UO14+IF(AND($C14=14,$U14=1),1,0)</f>
        <v/>
      </c>
      <c r="UP15">
        <f>UP14+IF(AND($C14=15,$U14=1),1,0)</f>
        <v/>
      </c>
      <c r="UQ15">
        <f>UQ14+IF(AND($C14=16,$U14=1),1,0)</f>
        <v/>
      </c>
      <c r="UR15">
        <f>UR14+IF(AND($C14=17,$U14=1),1,0)</f>
        <v/>
      </c>
      <c r="US15">
        <f>US14+IF(AND($C14=18,$U14=1),1,0)</f>
        <v/>
      </c>
      <c r="UT15">
        <f>UT14+IF(AND($C14=19,$U14=1),1,0)</f>
        <v/>
      </c>
      <c r="UU15">
        <f>UU14+IF(AND($C14=20,$U14=1),1,0)</f>
        <v/>
      </c>
      <c r="UV15">
        <f>UV14+IF(AND($C14=21,$U14=1),1,0)</f>
        <v/>
      </c>
      <c r="UW15">
        <f>UW14+IF(AND($C14=22,$U14=1),1,0)</f>
        <v/>
      </c>
      <c r="UX15">
        <f>UX14+IF(AND($C14=23,$U14=1),1,0)</f>
        <v/>
      </c>
      <c r="UY15">
        <f>UY14+IF(AND($C14=24,$U14=1),1,0)</f>
        <v/>
      </c>
      <c r="UZ15">
        <f>UZ14+IF(AND($C14=25,$U14=1),1,0)</f>
        <v/>
      </c>
      <c r="VA15">
        <f>VA14+IF(AND($C14=26,$U14=1),1,0)</f>
        <v/>
      </c>
      <c r="VB15">
        <f>VB14+IF(AND($C14=27,$U14=1),1,0)</f>
        <v/>
      </c>
      <c r="VC15">
        <f>VC14+IF(AND($C14=28,$U14=1),1,0)</f>
        <v/>
      </c>
      <c r="VD15">
        <f>VD14+IF(AND($C14=29,$U14=1),1,0)</f>
        <v/>
      </c>
      <c r="VE15">
        <f>VE14+IF(AND($C14=30,$U14=1),1,0)</f>
        <v/>
      </c>
      <c r="VF15">
        <f>VF14+IF(AND($C14=31,$U14=1),1,0)</f>
        <v/>
      </c>
      <c r="VG15">
        <f>VG14+IF(AND($C14=32,$U14=1),1,0)</f>
        <v/>
      </c>
      <c r="VH15">
        <f>VH14+IF(AND($C14=33,$U14=1),1,0)</f>
        <v/>
      </c>
      <c r="VI15">
        <f>VI14+IF(AND($C14=34,$U14=1),1,0)</f>
        <v/>
      </c>
      <c r="VJ15">
        <f>VJ14+IF(AND($C14=35,$U14=1),1,0)</f>
        <v/>
      </c>
      <c r="VK15">
        <f>VK14+IF(AND($C14=36,$U14=1),1,0)</f>
        <v/>
      </c>
      <c r="VL15">
        <f>VL14+IF(AND($C14=37,$U14=1),1,0)</f>
        <v/>
      </c>
      <c r="VM15">
        <f>VM14+IF(AND($C14=38,$U14=1),1,0)</f>
        <v/>
      </c>
      <c r="VN15">
        <f>VN14+IF(AND($C14=39,$U14=1),1,0)</f>
        <v/>
      </c>
      <c r="VO15">
        <f>VO14+IF(AND($C14=40,$U14=1),1,0)</f>
        <v/>
      </c>
      <c r="VP15">
        <f>VP14+IF(AND($C14=41,$U14=1),1,0)</f>
        <v/>
      </c>
      <c r="VQ15">
        <f>VQ14+IF(AND($C14=42,$U14=1),1,0)</f>
        <v/>
      </c>
      <c r="VR15">
        <f>VR14+IF(AND($C14=43,$U14=1),1,0)</f>
        <v/>
      </c>
      <c r="VS15">
        <f>VS14+IF(AND($C14=44,$U14=1),1,0)</f>
        <v/>
      </c>
      <c r="VT15">
        <f>VT14+IF(AND($C14=45,$U14=1),1,0)</f>
        <v/>
      </c>
      <c r="VU15">
        <f>VU14+IF(AND($C14=46,$U14=1),1,0)</f>
        <v/>
      </c>
      <c r="VV15">
        <f>VV14+IF(AND($C14=47,$U14=1),1,0)</f>
        <v/>
      </c>
      <c r="VW15">
        <f>VW14+IF(AND($C14=48,$U14=1),1,0)</f>
        <v/>
      </c>
      <c r="VX15">
        <f>VX14+IF(AND($C14=49,$U14=1),1,0)</f>
        <v/>
      </c>
      <c r="VY15">
        <f>VY14+IF(AND($C14=50,$U14=1),1,0)</f>
        <v/>
      </c>
      <c r="VZ15">
        <f>VZ14+IF(AND($C14=51,$U14=1),1,0)</f>
        <v/>
      </c>
      <c r="WA15">
        <f>WA14+IF(AND($C14=52,$U14=1),1,0)</f>
        <v/>
      </c>
      <c r="WB15">
        <f>WB14+IF(AND($C14=53,$U14=1),1,0)</f>
        <v/>
      </c>
      <c r="WC15">
        <f>WC14+IF(AND($C14=54,$U14=1),1,0)</f>
        <v/>
      </c>
      <c r="WD15">
        <f>WD14+IF(AND($C14=55,$U14=1),1,0)</f>
        <v/>
      </c>
      <c r="WE15">
        <f>WE14+IF(AND($C14=56,$U14=1),1,0)</f>
        <v/>
      </c>
      <c r="WF15">
        <f>WF14+IF(AND($C14=57,$U14=1),1,0)</f>
        <v/>
      </c>
      <c r="WG15">
        <f>WG14+IF(AND($C14=58,$U14=1),1,0)</f>
        <v/>
      </c>
      <c r="WH15">
        <f>WH14+IF(AND($C14=59,$U14=1),1,0)</f>
        <v/>
      </c>
      <c r="WI15">
        <f>WI14+IF(AND($C14=60,$U14=1),1,0)</f>
        <v/>
      </c>
      <c r="WJ15">
        <f>WJ14+IF(AND($C14=61,$U14=1),1,0)</f>
        <v/>
      </c>
      <c r="WK15">
        <f>WK14+IF(AND($C14=62,$U14=1),1,0)</f>
        <v/>
      </c>
      <c r="WL15">
        <f>WL14+IF(AND($C14=63,$U14=1),1,0)</f>
        <v/>
      </c>
      <c r="WM15">
        <f>WM14+IF(AND($C14=64,$U14=1),1,0)</f>
        <v/>
      </c>
      <c r="WN15">
        <f>WN14+IF(AND($C14=65,$U14=1),1,0)</f>
        <v/>
      </c>
      <c r="WO15">
        <f>WO14+IF(AND($C14=66,$U14=1),1,0)</f>
        <v/>
      </c>
      <c r="WP15">
        <f>WP14+IF(AND($C14=67,$U14=1),1,0)</f>
        <v/>
      </c>
      <c r="WQ15">
        <f>WQ14+IF(AND($C14=68,$U14=1),1,0)</f>
        <v/>
      </c>
      <c r="WR15">
        <f>WR14+IF(AND($C14=69,$U14=1),1,0)</f>
        <v/>
      </c>
      <c r="WS15">
        <f>WS14+IF(AND($C14=70,$U14=1),1,0)</f>
        <v/>
      </c>
      <c r="WT15">
        <f>WT14+IF(AND($C14=71,$U14=1),1,0)</f>
        <v/>
      </c>
      <c r="WU15">
        <f>WU14+IF(AND($C14=72,$U14=1),1,0)</f>
        <v/>
      </c>
      <c r="WV15">
        <f>WV14+IF(AND($C14=73,$U14=1),1,0)</f>
        <v/>
      </c>
      <c r="WW15">
        <f>WW14+IF(AND($C14=74,$U14=1),1,0)</f>
        <v/>
      </c>
      <c r="WX15">
        <f>WX14+IF(AND($C14=75,$U14=1),1,0)</f>
        <v/>
      </c>
      <c r="WY15">
        <f>WY14+IF(AND($C14=76,$U14=1),1,0)</f>
        <v/>
      </c>
      <c r="WZ15">
        <f>WZ14+IF(AND($C14=77,$U14=1),1,0)</f>
        <v/>
      </c>
      <c r="XA15">
        <f>XA14+IF(AND($C14=78,$U14=1),1,0)</f>
        <v/>
      </c>
      <c r="XB15">
        <f>XB14+IF(AND($C14=79,$U14=1),1,0)</f>
        <v/>
      </c>
      <c r="XC15">
        <f>XC14+IF(AND($C14=80,$U14=1),1,0)</f>
        <v/>
      </c>
      <c r="XD15">
        <f>XD14+IF(AND($C14=81,$U14=1),1,0)</f>
        <v/>
      </c>
      <c r="XE15">
        <f>XE14+IF(AND($C14=82,$U14=1),1,0)</f>
        <v/>
      </c>
      <c r="XF15">
        <f>XF14+IF(AND($C14=83,$U14=1),1,0)</f>
        <v/>
      </c>
      <c r="XG15">
        <f>XG14+IF(AND($C14=84,$U14=1),1,0)</f>
        <v/>
      </c>
      <c r="XH15">
        <f>XH14+IF(AND($C14=85,$U14=1),1,0)</f>
        <v/>
      </c>
      <c r="XI15">
        <f>XI14+IF(AND($C14=86,$U14=1),1,0)</f>
        <v/>
      </c>
      <c r="XJ15">
        <f>XJ14+IF(AND($C14=87,$U14=1),1,0)</f>
        <v/>
      </c>
      <c r="XK15">
        <f>XK14+IF(AND($C14=88,$U14=1),1,0)</f>
        <v/>
      </c>
      <c r="XL15">
        <f>XL14+IF(AND($C14=89,$U14=1),1,0)</f>
        <v/>
      </c>
      <c r="XM15">
        <f>XM14+IF(AND($C14=90,$U14=1),1,0)</f>
        <v/>
      </c>
      <c r="XN15">
        <f>XN14+IF(AND($C14=91,$U14=1),1,0)</f>
        <v/>
      </c>
      <c r="XO15">
        <f>XO14+IF(AND($C14=92,$U14=1),1,0)</f>
        <v/>
      </c>
      <c r="XP15">
        <f>XP14+IF(AND($C14=93,$U14=1),1,0)</f>
        <v/>
      </c>
      <c r="XQ15">
        <f>XQ14+IF(AND($C14=94,$U14=1),1,0)</f>
        <v/>
      </c>
      <c r="XR15">
        <f>XR14+IF(AND($C14=95,$U14=1),1,0)</f>
        <v/>
      </c>
      <c r="XS15">
        <f>XS14+IF(AND($C14=96,$U14=1),1,0)</f>
        <v/>
      </c>
      <c r="XT15">
        <f>XT14+IF(AND($C14=97,$U14=1),1,0)</f>
        <v/>
      </c>
      <c r="XU15">
        <f>XU14+IF(AND($C14=98,$U14=1),1,0)</f>
        <v/>
      </c>
      <c r="XV15">
        <f>XV14+IF(AND($C14=99,$U14=1),1,0)</f>
        <v/>
      </c>
      <c r="XW15">
        <f>XW14+IF(AND($C14=100,$U14=1),1,0)</f>
        <v/>
      </c>
      <c r="XX15">
        <f>XX14+IF(AND($C14=101,$U14=1),1,0)</f>
        <v/>
      </c>
      <c r="XY15">
        <f>XY14+IF(AND($C14=102,$U14=1),1,0)</f>
        <v/>
      </c>
      <c r="XZ15">
        <f>XZ14+IF(AND($C14=103,$U14=1),1,0)</f>
        <v/>
      </c>
      <c r="YA15">
        <f>YA14+IF(AND($C14=104,$U14=1),1,0)</f>
        <v/>
      </c>
      <c r="YB15">
        <f>YB14+IF(AND($C14=105,$U14=1),1,0)</f>
        <v/>
      </c>
      <c r="YC15">
        <f>YC14+IF(AND($C14=106,$U14=1),1,0)</f>
        <v/>
      </c>
      <c r="YD15">
        <f>YD14+IF(AND($C14=107,$U14=1),1,0)</f>
        <v/>
      </c>
      <c r="YE15">
        <f>YE14+IF(AND($C14=108,$U14=1),1,0)</f>
        <v/>
      </c>
      <c r="YF15">
        <f>YF14+IF(AND($C14=109,$U14=1),1,0)</f>
        <v/>
      </c>
      <c r="YG15">
        <f>YG14+IF(AND($C14=110,$U14=1),1,0)</f>
        <v/>
      </c>
      <c r="YH15">
        <f>YH14+IF(AND($C14=111,$U14=1),1,0)</f>
        <v/>
      </c>
      <c r="YI15">
        <f>YI14+IF(AND($C14=112,$U14=1),1,0)</f>
        <v/>
      </c>
      <c r="YJ15">
        <f>YJ14+IF(AND($C14=113,$U14=1),1,0)</f>
        <v/>
      </c>
      <c r="YK15">
        <f>YK14+IF(AND($C14=114,$U14=1),1,0)</f>
        <v/>
      </c>
      <c r="YL15">
        <f>YL14+IF(AND($C14=115,$U14=1),1,0)</f>
        <v/>
      </c>
      <c r="YM15">
        <f>YM14+IF(AND($C14=116,$U14=1),1,0)</f>
        <v/>
      </c>
      <c r="YN15">
        <f>YN14+IF(AND($C14=117,$U14=1),1,0)</f>
        <v/>
      </c>
      <c r="YO15">
        <f>YO14+IF(AND($C14=118,$U14=1),1,0)</f>
        <v/>
      </c>
      <c r="YP15">
        <f>YP14+IF(AND($C14=119,$U14=1),1,0)</f>
        <v/>
      </c>
      <c r="YQ15">
        <f>YQ14+IF(AND($C14=120,$U14=1),1,0)</f>
        <v/>
      </c>
      <c r="YR15">
        <f>YR14+IF(AND($C14=121,$U14=1),1,0)</f>
        <v/>
      </c>
      <c r="YS15">
        <f>YS14+IF(AND($C14=122,$U14=1),1,0)</f>
        <v/>
      </c>
      <c r="YT15">
        <f>YT14+IF(AND($C14=123,$U14=1),1,0)</f>
        <v/>
      </c>
      <c r="YU15">
        <f>YU14+IF(AND($C14=124,$U14=1),1,0)</f>
        <v/>
      </c>
      <c r="YV15">
        <f>YV14+IF(AND($C14=125,$U14=1),1,0)</f>
        <v/>
      </c>
      <c r="YW15">
        <f>YW14+IF(AND($C14=126,$U14=1),1,0)</f>
        <v/>
      </c>
      <c r="YX15">
        <f>YX14+IF(AND($C14=127,$U14=1),1,0)</f>
        <v/>
      </c>
      <c r="YY15">
        <f>YY14+IF(AND($C14=128,$U14=1),1,0)</f>
        <v/>
      </c>
      <c r="YZ15">
        <f>YZ14+IF(AND($C14=129,$U14=1),1,0)</f>
        <v/>
      </c>
      <c r="ZA15">
        <f>ZA14+IF(AND($C14=130,$U14=1),1,0)</f>
        <v/>
      </c>
      <c r="ZB15">
        <f>ZB14+IF(AND($C14=131,$U14=1),1,0)</f>
        <v/>
      </c>
      <c r="ZC15">
        <f>ZC14+IF(AND($C14=132,$U14=1),1,0)</f>
        <v/>
      </c>
      <c r="ZD15">
        <f>ZD14+IF(AND($C14=133,$U14=1),1,0)</f>
        <v/>
      </c>
      <c r="ZE15">
        <f>ZE14+IF(AND($C14=134,$U14=1),1,0)</f>
        <v/>
      </c>
      <c r="ZF15">
        <f>ZF14+IF(AND($C14=135,$U14=1),1,0)</f>
        <v/>
      </c>
      <c r="ZG15">
        <f>ZG14+IF(AND($C14=136,$U14=1),1,0)</f>
        <v/>
      </c>
      <c r="ZH15">
        <f>ZH14+IF(AND($C14=137,$U14=1),1,0)</f>
        <v/>
      </c>
      <c r="ZI15">
        <f>ZI14+IF(AND($C14=138,$U14=1),1,0)</f>
        <v/>
      </c>
      <c r="ZJ15">
        <f>ZJ14+IF(AND($C14=139,$U14=1),1,0)</f>
        <v/>
      </c>
      <c r="ZK15">
        <f>ZK14+IF(AND($C14=140,$U14=1),1,0)</f>
        <v/>
      </c>
      <c r="ZL15">
        <f>ZL14+IF(AND($C14=141,$U14=1),1,0)</f>
        <v/>
      </c>
      <c r="ZM15">
        <f>ZM14+IF(AND($C14=142,$U14=1),1,0)</f>
        <v/>
      </c>
      <c r="ZN15">
        <f>ZN14+IF(AND($C14=143,$U14=1),1,0)</f>
        <v/>
      </c>
      <c r="ZO15">
        <f>ZO14+IF(AND($C14=144,$U14=1),1,0)</f>
        <v/>
      </c>
      <c r="ZQ15">
        <f>IF($C14=1,0,ZQ14+IF(AND($G14=1,$E14=1),1,0))</f>
        <v/>
      </c>
      <c r="ZR15">
        <f>IF($C14=2,0,ZR14+IF(AND($G14=2,$E14=1),1,0))</f>
        <v/>
      </c>
      <c r="ZS15">
        <f>IF($C14=3,0,ZS14+IF(AND($G14=3,$E14=1),1,0))</f>
        <v/>
      </c>
      <c r="ZT15">
        <f>IF($C14=4,0,ZT14+IF(AND($G14=4,$E14=1),1,0))</f>
        <v/>
      </c>
      <c r="ZU15">
        <f>IF($C14=5,0,ZU14+IF(AND($G14=5,$E14=1),1,0))</f>
        <v/>
      </c>
      <c r="ZV15">
        <f>IF($C14=6,0,ZV14+IF(AND($G14=6,$E14=1),1,0))</f>
        <v/>
      </c>
      <c r="ZW15">
        <f>IF($C14=7,0,ZW14+IF(AND($G14=7,$E14=1),1,0))</f>
        <v/>
      </c>
      <c r="ZX15">
        <f>IF($C14=8,0,ZX14+IF(AND($G14=8,$E14=1),1,0))</f>
        <v/>
      </c>
      <c r="ZY15">
        <f>IF($C14=9,0,ZY14+IF(AND($G14=9,$E14=1),1,0))</f>
        <v/>
      </c>
      <c r="ZZ15">
        <f>IF($C14=10,0,ZZ14+IF(AND($G14=10,$E14=1),1,0))</f>
        <v/>
      </c>
      <c r="AAA15">
        <f>IF($C14=11,0,AAA14+IF(AND($G14=11,$E14=1),1,0))</f>
        <v/>
      </c>
      <c r="AAB15">
        <f>IF($C14=12,0,AAB14+IF(AND($G14=12,$E14=1),1,0))</f>
        <v/>
      </c>
      <c r="AAC15">
        <f>IF($C14=13,0,AAC14+IF(AND($G14=13,$E14=1),1,0))</f>
        <v/>
      </c>
      <c r="AAD15">
        <f>IF($C14=14,0,AAD14+IF(AND($G14=14,$E14=1),1,0))</f>
        <v/>
      </c>
      <c r="AAE15">
        <f>IF($C14=15,0,AAE14+IF(AND($G14=15,$E14=1),1,0))</f>
        <v/>
      </c>
      <c r="AAF15">
        <f>IF($C14=16,0,AAF14+IF(AND($G14=16,$E14=1),1,0))</f>
        <v/>
      </c>
      <c r="AAG15">
        <f>IF($C14=17,0,AAG14+IF(AND($G14=17,$E14=1),1,0))</f>
        <v/>
      </c>
      <c r="AAH15">
        <f>IF($C14=18,0,AAH14+IF(AND($G14=18,$E14=1),1,0))</f>
        <v/>
      </c>
      <c r="AAI15">
        <f>IF($C14=19,0,AAI14+IF(AND($G14=19,$E14=1),1,0))</f>
        <v/>
      </c>
      <c r="AAJ15">
        <f>IF($C14=20,0,AAJ14+IF(AND($G14=20,$E14=1),1,0))</f>
        <v/>
      </c>
      <c r="AAK15">
        <f>IF($C14=21,0,AAK14+IF(AND($G14=21,$E14=1),1,0))</f>
        <v/>
      </c>
      <c r="AAL15">
        <f>IF($C14=22,0,AAL14+IF(AND($G14=22,$E14=1),1,0))</f>
        <v/>
      </c>
      <c r="AAM15">
        <f>IF($C14=23,0,AAM14+IF(AND($G14=23,$E14=1),1,0))</f>
        <v/>
      </c>
      <c r="AAN15">
        <f>IF($C14=24,0,AAN14+IF(AND($G14=24,$E14=1),1,0))</f>
        <v/>
      </c>
      <c r="AAO15">
        <f>IF($C14=25,0,AAO14+IF(AND($G14=25,$E14=1),1,0))</f>
        <v/>
      </c>
      <c r="AAP15">
        <f>IF($C14=26,0,AAP14+IF(AND($G14=26,$E14=1),1,0))</f>
        <v/>
      </c>
      <c r="AAQ15">
        <f>IF($C14=27,0,AAQ14+IF(AND($G14=27,$E14=1),1,0))</f>
        <v/>
      </c>
      <c r="AAR15">
        <f>IF($C14=28,0,AAR14+IF(AND($G14=28,$E14=1),1,0))</f>
        <v/>
      </c>
      <c r="AAS15">
        <f>IF($C14=29,0,AAS14+IF(AND($G14=29,$E14=1),1,0))</f>
        <v/>
      </c>
      <c r="AAT15">
        <f>IF($C14=30,0,AAT14+IF(AND($G14=30,$E14=1),1,0))</f>
        <v/>
      </c>
      <c r="AAU15">
        <f>IF($C14=31,0,AAU14+IF(AND($G14=31,$E14=1),1,0))</f>
        <v/>
      </c>
      <c r="AAV15">
        <f>IF($C14=32,0,AAV14+IF(AND($G14=32,$E14=1),1,0))</f>
        <v/>
      </c>
      <c r="AAW15">
        <f>IF($C14=33,0,AAW14+IF(AND($G14=33,$E14=1),1,0))</f>
        <v/>
      </c>
      <c r="AAX15">
        <f>IF($C14=34,0,AAX14+IF(AND($G14=34,$E14=1),1,0))</f>
        <v/>
      </c>
      <c r="AAY15">
        <f>IF($C14=35,0,AAY14+IF(AND($G14=35,$E14=1),1,0))</f>
        <v/>
      </c>
      <c r="AAZ15">
        <f>IF($C14=36,0,AAZ14+IF(AND($G14=36,$E14=1),1,0))</f>
        <v/>
      </c>
      <c r="ABA15">
        <f>IF($C14=37,0,ABA14+IF(AND($G14=37,$E14=1),1,0))</f>
        <v/>
      </c>
      <c r="ABB15">
        <f>IF($C14=38,0,ABB14+IF(AND($G14=38,$E14=1),1,0))</f>
        <v/>
      </c>
      <c r="ABC15">
        <f>IF($C14=39,0,ABC14+IF(AND($G14=39,$E14=1),1,0))</f>
        <v/>
      </c>
      <c r="ABD15">
        <f>IF($C14=40,0,ABD14+IF(AND($G14=40,$E14=1),1,0))</f>
        <v/>
      </c>
      <c r="ABE15">
        <f>IF($C14=41,0,ABE14+IF(AND($G14=41,$E14=1),1,0))</f>
        <v/>
      </c>
      <c r="ABF15">
        <f>IF($C14=42,0,ABF14+IF(AND($G14=42,$E14=1),1,0))</f>
        <v/>
      </c>
      <c r="ABG15">
        <f>IF($C14=43,0,ABG14+IF(AND($G14=43,$E14=1),1,0))</f>
        <v/>
      </c>
      <c r="ABH15">
        <f>IF($C14=44,0,ABH14+IF(AND($G14=44,$E14=1),1,0))</f>
        <v/>
      </c>
      <c r="ABI15">
        <f>IF($C14=45,0,ABI14+IF(AND($G14=45,$E14=1),1,0))</f>
        <v/>
      </c>
      <c r="ABJ15">
        <f>IF($C14=46,0,ABJ14+IF(AND($G14=46,$E14=1),1,0))</f>
        <v/>
      </c>
      <c r="ABK15">
        <f>IF($C14=47,0,ABK14+IF(AND($G14=47,$E14=1),1,0))</f>
        <v/>
      </c>
      <c r="ABL15">
        <f>IF($C14=48,0,ABL14+IF(AND($G14=48,$E14=1),1,0))</f>
        <v/>
      </c>
      <c r="ABM15">
        <f>IF($C14=49,0,ABM14+IF(AND($G14=49,$E14=1),1,0))</f>
        <v/>
      </c>
      <c r="ABN15">
        <f>IF($C14=50,0,ABN14+IF(AND($G14=50,$E14=1),1,0))</f>
        <v/>
      </c>
      <c r="ABO15">
        <f>IF($C14=51,0,ABO14+IF(AND($G14=51,$E14=1),1,0))</f>
        <v/>
      </c>
      <c r="ABP15">
        <f>IF($C14=52,0,ABP14+IF(AND($G14=52,$E14=1),1,0))</f>
        <v/>
      </c>
      <c r="ABQ15">
        <f>IF($C14=53,0,ABQ14+IF(AND($G14=53,$E14=1),1,0))</f>
        <v/>
      </c>
      <c r="ABR15">
        <f>IF($C14=54,0,ABR14+IF(AND($G14=54,$E14=1),1,0))</f>
        <v/>
      </c>
      <c r="ABS15">
        <f>IF($C14=55,0,ABS14+IF(AND($G14=55,$E14=1),1,0))</f>
        <v/>
      </c>
      <c r="ABT15">
        <f>IF($C14=56,0,ABT14+IF(AND($G14=56,$E14=1),1,0))</f>
        <v/>
      </c>
      <c r="ABU15">
        <f>IF($C14=57,0,ABU14+IF(AND($G14=57,$E14=1),1,0))</f>
        <v/>
      </c>
      <c r="ABV15">
        <f>IF($C14=58,0,ABV14+IF(AND($G14=58,$E14=1),1,0))</f>
        <v/>
      </c>
      <c r="ABW15">
        <f>IF($C14=59,0,ABW14+IF(AND($G14=59,$E14=1),1,0))</f>
        <v/>
      </c>
      <c r="ABX15">
        <f>IF($C14=60,0,ABX14+IF(AND($G14=60,$E14=1),1,0))</f>
        <v/>
      </c>
      <c r="ABY15">
        <f>IF($C14=61,0,ABY14+IF(AND($G14=61,$E14=1),1,0))</f>
        <v/>
      </c>
      <c r="ABZ15">
        <f>IF($C14=62,0,ABZ14+IF(AND($G14=62,$E14=1),1,0))</f>
        <v/>
      </c>
      <c r="ACA15">
        <f>IF($C14=63,0,ACA14+IF(AND($G14=63,$E14=1),1,0))</f>
        <v/>
      </c>
      <c r="ACB15">
        <f>IF($C14=64,0,ACB14+IF(AND($G14=64,$E14=1),1,0))</f>
        <v/>
      </c>
      <c r="ACC15">
        <f>IF($C14=65,0,ACC14+IF(AND($G14=65,$E14=1),1,0))</f>
        <v/>
      </c>
      <c r="ACD15">
        <f>IF($C14=66,0,ACD14+IF(AND($G14=66,$E14=1),1,0))</f>
        <v/>
      </c>
      <c r="ACE15">
        <f>IF($C14=67,0,ACE14+IF(AND($G14=67,$E14=1),1,0))</f>
        <v/>
      </c>
      <c r="ACF15">
        <f>IF($C14=68,0,ACF14+IF(AND($G14=68,$E14=1),1,0))</f>
        <v/>
      </c>
      <c r="ACG15">
        <f>IF($C14=69,0,ACG14+IF(AND($G14=69,$E14=1),1,0))</f>
        <v/>
      </c>
      <c r="ACH15">
        <f>IF($C14=70,0,ACH14+IF(AND($G14=70,$E14=1),1,0))</f>
        <v/>
      </c>
      <c r="ACI15">
        <f>IF($C14=71,0,ACI14+IF(AND($G14=71,$E14=1),1,0))</f>
        <v/>
      </c>
      <c r="ACJ15">
        <f>IF($C14=72,0,ACJ14+IF(AND($G14=72,$E14=1),1,0))</f>
        <v/>
      </c>
      <c r="ACK15">
        <f>IF($C14=73,0,ACK14+IF(AND($G14=73,$E14=1),1,0))</f>
        <v/>
      </c>
      <c r="ACL15">
        <f>IF($C14=74,0,ACL14+IF(AND($G14=74,$E14=1),1,0))</f>
        <v/>
      </c>
      <c r="ACM15">
        <f>IF($C14=75,0,ACM14+IF(AND($G14=75,$E14=1),1,0))</f>
        <v/>
      </c>
      <c r="ACN15">
        <f>IF($C14=76,0,ACN14+IF(AND($G14=76,$E14=1),1,0))</f>
        <v/>
      </c>
      <c r="ACO15">
        <f>IF($C14=77,0,ACO14+IF(AND($G14=77,$E14=1),1,0))</f>
        <v/>
      </c>
      <c r="ACP15">
        <f>IF($C14=78,0,ACP14+IF(AND($G14=78,$E14=1),1,0))</f>
        <v/>
      </c>
      <c r="ACQ15">
        <f>IF($C14=79,0,ACQ14+IF(AND($G14=79,$E14=1),1,0))</f>
        <v/>
      </c>
      <c r="ACR15">
        <f>IF($C14=80,0,ACR14+IF(AND($G14=80,$E14=1),1,0))</f>
        <v/>
      </c>
      <c r="ACS15">
        <f>IF($C14=81,0,ACS14+IF(AND($G14=81,$E14=1),1,0))</f>
        <v/>
      </c>
      <c r="ACT15">
        <f>IF($C14=82,0,ACT14+IF(AND($G14=82,$E14=1),1,0))</f>
        <v/>
      </c>
      <c r="ACU15">
        <f>IF($C14=83,0,ACU14+IF(AND($G14=83,$E14=1),1,0))</f>
        <v/>
      </c>
      <c r="ACV15">
        <f>IF($C14=84,0,ACV14+IF(AND($G14=84,$E14=1),1,0))</f>
        <v/>
      </c>
      <c r="ACW15">
        <f>IF($C14=85,0,ACW14+IF(AND($G14=85,$E14=1),1,0))</f>
        <v/>
      </c>
      <c r="ACX15">
        <f>IF($C14=86,0,ACX14+IF(AND($G14=86,$E14=1),1,0))</f>
        <v/>
      </c>
      <c r="ACY15">
        <f>IF($C14=87,0,ACY14+IF(AND($G14=87,$E14=1),1,0))</f>
        <v/>
      </c>
      <c r="ACZ15">
        <f>IF($C14=88,0,ACZ14+IF(AND($G14=88,$E14=1),1,0))</f>
        <v/>
      </c>
      <c r="ADA15">
        <f>IF($C14=89,0,ADA14+IF(AND($G14=89,$E14=1),1,0))</f>
        <v/>
      </c>
      <c r="ADB15">
        <f>IF($C14=90,0,ADB14+IF(AND($G14=90,$E14=1),1,0))</f>
        <v/>
      </c>
      <c r="ADC15">
        <f>IF($C14=91,0,ADC14+IF(AND($G14=91,$E14=1),1,0))</f>
        <v/>
      </c>
      <c r="ADD15">
        <f>IF($C14=92,0,ADD14+IF(AND($G14=92,$E14=1),1,0))</f>
        <v/>
      </c>
      <c r="ADE15">
        <f>IF($C14=93,0,ADE14+IF(AND($G14=93,$E14=1),1,0))</f>
        <v/>
      </c>
      <c r="ADF15">
        <f>IF($C14=94,0,ADF14+IF(AND($G14=94,$E14=1),1,0))</f>
        <v/>
      </c>
      <c r="ADG15">
        <f>IF($C14=95,0,ADG14+IF(AND($G14=95,$E14=1),1,0))</f>
        <v/>
      </c>
      <c r="ADH15">
        <f>IF($C14=96,0,ADH14+IF(AND($G14=96,$E14=1),1,0))</f>
        <v/>
      </c>
      <c r="ADI15">
        <f>IF($C14=97,0,ADI14+IF(AND($G14=97,$E14=1),1,0))</f>
        <v/>
      </c>
      <c r="ADJ15">
        <f>IF($C14=98,0,ADJ14+IF(AND($G14=98,$E14=1),1,0))</f>
        <v/>
      </c>
      <c r="ADK15">
        <f>IF($C14=99,0,ADK14+IF(AND($G14=99,$E14=1),1,0))</f>
        <v/>
      </c>
      <c r="ADL15">
        <f>IF($C14=100,0,ADL14+IF(AND($G14=100,$E14=1),1,0))</f>
        <v/>
      </c>
      <c r="ADM15">
        <f>IF($C14=101,0,ADM14+IF(AND($G14=101,$E14=1),1,0))</f>
        <v/>
      </c>
      <c r="ADN15">
        <f>IF($C14=102,0,ADN14+IF(AND($G14=102,$E14=1),1,0))</f>
        <v/>
      </c>
      <c r="ADO15">
        <f>IF($C14=103,0,ADO14+IF(AND($G14=103,$E14=1),1,0))</f>
        <v/>
      </c>
      <c r="ADP15">
        <f>IF($C14=104,0,ADP14+IF(AND($G14=104,$E14=1),1,0))</f>
        <v/>
      </c>
      <c r="ADQ15">
        <f>IF($C14=105,0,ADQ14+IF(AND($G14=105,$E14=1),1,0))</f>
        <v/>
      </c>
      <c r="ADR15">
        <f>IF($C14=106,0,ADR14+IF(AND($G14=106,$E14=1),1,0))</f>
        <v/>
      </c>
      <c r="ADS15">
        <f>IF($C14=107,0,ADS14+IF(AND($G14=107,$E14=1),1,0))</f>
        <v/>
      </c>
      <c r="ADT15">
        <f>IF($C14=108,0,ADT14+IF(AND($G14=108,$E14=1),1,0))</f>
        <v/>
      </c>
      <c r="ADU15">
        <f>IF($C14=109,0,ADU14+IF(AND($G14=109,$E14=1),1,0))</f>
        <v/>
      </c>
      <c r="ADV15">
        <f>IF($C14=110,0,ADV14+IF(AND($G14=110,$E14=1),1,0))</f>
        <v/>
      </c>
      <c r="ADW15">
        <f>IF($C14=111,0,ADW14+IF(AND($G14=111,$E14=1),1,0))</f>
        <v/>
      </c>
      <c r="ADX15">
        <f>IF($C14=112,0,ADX14+IF(AND($G14=112,$E14=1),1,0))</f>
        <v/>
      </c>
      <c r="ADY15">
        <f>IF($C14=113,0,ADY14+IF(AND($G14=113,$E14=1),1,0))</f>
        <v/>
      </c>
      <c r="ADZ15">
        <f>IF($C14=114,0,ADZ14+IF(AND($G14=114,$E14=1),1,0))</f>
        <v/>
      </c>
      <c r="AEA15">
        <f>IF($C14=115,0,AEA14+IF(AND($G14=115,$E14=1),1,0))</f>
        <v/>
      </c>
      <c r="AEB15">
        <f>IF($C14=116,0,AEB14+IF(AND($G14=116,$E14=1),1,0))</f>
        <v/>
      </c>
      <c r="AEC15">
        <f>IF($C14=117,0,AEC14+IF(AND($G14=117,$E14=1),1,0))</f>
        <v/>
      </c>
      <c r="AED15">
        <f>IF($C14=118,0,AED14+IF(AND($G14=118,$E14=1),1,0))</f>
        <v/>
      </c>
      <c r="AEE15">
        <f>IF($C14=119,0,AEE14+IF(AND($G14=119,$E14=1),1,0))</f>
        <v/>
      </c>
      <c r="AEF15">
        <f>IF($C14=120,0,AEF14+IF(AND($G14=120,$E14=1),1,0))</f>
        <v/>
      </c>
      <c r="AEG15">
        <f>IF($C14=121,0,AEG14+IF(AND($G14=121,$E14=1),1,0))</f>
        <v/>
      </c>
      <c r="AEH15">
        <f>IF($C14=122,0,AEH14+IF(AND($G14=122,$E14=1),1,0))</f>
        <v/>
      </c>
      <c r="AEI15">
        <f>IF($C14=123,0,AEI14+IF(AND($G14=123,$E14=1),1,0))</f>
        <v/>
      </c>
      <c r="AEJ15">
        <f>IF($C14=124,0,AEJ14+IF(AND($G14=124,$E14=1),1,0))</f>
        <v/>
      </c>
      <c r="AEK15">
        <f>IF($C14=125,0,AEK14+IF(AND($G14=125,$E14=1),1,0))</f>
        <v/>
      </c>
      <c r="AEL15">
        <f>IF($C14=126,0,AEL14+IF(AND($G14=126,$E14=1),1,0))</f>
        <v/>
      </c>
      <c r="AEM15">
        <f>IF($C14=127,0,AEM14+IF(AND($G14=127,$E14=1),1,0))</f>
        <v/>
      </c>
      <c r="AEN15">
        <f>IF($C14=128,0,AEN14+IF(AND($G14=128,$E14=1),1,0))</f>
        <v/>
      </c>
      <c r="AEO15">
        <f>IF($C14=129,0,AEO14+IF(AND($G14=129,$E14=1),1,0))</f>
        <v/>
      </c>
      <c r="AEP15">
        <f>IF($C14=130,0,AEP14+IF(AND($G14=130,$E14=1),1,0))</f>
        <v/>
      </c>
      <c r="AEQ15">
        <f>IF($C14=131,0,AEQ14+IF(AND($G14=131,$E14=1),1,0))</f>
        <v/>
      </c>
      <c r="AER15">
        <f>IF($C14=132,0,AER14+IF(AND($G14=132,$E14=1),1,0))</f>
        <v/>
      </c>
      <c r="AES15">
        <f>IF($C14=133,0,AES14+IF(AND($G14=133,$E14=1),1,0))</f>
        <v/>
      </c>
      <c r="AET15">
        <f>IF($C14=134,0,AET14+IF(AND($G14=134,$E14=1),1,0))</f>
        <v/>
      </c>
      <c r="AEU15">
        <f>IF($C14=135,0,AEU14+IF(AND($G14=135,$E14=1),1,0))</f>
        <v/>
      </c>
      <c r="AEV15">
        <f>IF($C14=136,0,AEV14+IF(AND($G14=136,$E14=1),1,0))</f>
        <v/>
      </c>
      <c r="AEW15">
        <f>IF($C14=137,0,AEW14+IF(AND($G14=137,$E14=1),1,0))</f>
        <v/>
      </c>
      <c r="AEX15">
        <f>IF($C14=138,0,AEX14+IF(AND($G14=138,$E14=1),1,0))</f>
        <v/>
      </c>
      <c r="AEY15">
        <f>IF($C14=139,0,AEY14+IF(AND($G14=139,$E14=1),1,0))</f>
        <v/>
      </c>
      <c r="AEZ15">
        <f>IF($C14=140,0,AEZ14+IF(AND($G14=140,$E14=1),1,0))</f>
        <v/>
      </c>
      <c r="AFA15">
        <f>IF($C14=141,0,AFA14+IF(AND($G14=141,$E14=1),1,0))</f>
        <v/>
      </c>
      <c r="AFB15">
        <f>IF($C14=142,0,AFB14+IF(AND($G14=142,$E14=1),1,0))</f>
        <v/>
      </c>
      <c r="AFC15">
        <f>IF($C14=143,0,AFC14+IF(AND($G14=143,$E14=1),1,0))</f>
        <v/>
      </c>
      <c r="AFD15">
        <f>IF($C14=144,0,AFD14+IF(AND($G14=144,$E14=1),1,0))</f>
        <v/>
      </c>
      <c r="AFF15">
        <f>IF('calcA'!D$106=1,DC15+ZR15,1)</f>
        <v/>
      </c>
      <c r="AFG15">
        <f>IF('calcA'!E$106=1,DD15+ZS15,1)</f>
        <v/>
      </c>
      <c r="AFH15">
        <f>IF('calcA'!F$106=1,DE15+ZT15,1)</f>
        <v/>
      </c>
      <c r="AFI15">
        <f>IF('calcA'!G$106=1,DF15+ZU15,1)</f>
        <v/>
      </c>
      <c r="AFJ15">
        <f>IF('calcA'!H$106=1,DG15+ZV15,1)</f>
        <v/>
      </c>
      <c r="AFK15">
        <f>IF('calcA'!I$106=1,DH15+ZW15,1)</f>
        <v/>
      </c>
      <c r="AFL15">
        <f>IF('calcA'!J$106=1,DI15+ZX15,1)</f>
        <v/>
      </c>
      <c r="AFM15">
        <f>IF('calcA'!K$106=1,DJ15+ZY15,1)</f>
        <v/>
      </c>
      <c r="AFN15">
        <f>IF('calcA'!L$106=1,DK15+ZZ15,1)</f>
        <v/>
      </c>
      <c r="AFO15">
        <f>IF('calcA'!M$106=1,DL15+AAA15,1)</f>
        <v/>
      </c>
      <c r="AFP15">
        <f>IF('calcA'!N$106=1,DM15+AAB15,1)</f>
        <v/>
      </c>
      <c r="AFQ15">
        <f>IF('calcA'!O$106=1,DN15+AAC15,1)</f>
        <v/>
      </c>
      <c r="AFR15">
        <f>IF('calcA'!P$106=1,DO15+AAD15,1)</f>
        <v/>
      </c>
      <c r="AFS15">
        <f>IF('calcA'!Q$106=1,DP15+AAE15,1)</f>
        <v/>
      </c>
      <c r="AFT15">
        <f>IF('calcA'!R$106=1,DQ15+AAF15,1)</f>
        <v/>
      </c>
      <c r="AFU15">
        <f>IF('calcA'!S$106=1,DR15+AAG15,1)</f>
        <v/>
      </c>
      <c r="AFV15">
        <f>IF('calcA'!T$106=1,DS15+AAH15,1)</f>
        <v/>
      </c>
      <c r="AFW15">
        <f>IF('calcA'!U$106=1,DT15+AAI15,1)</f>
        <v/>
      </c>
      <c r="AFX15">
        <f>IF('calcA'!V$106=1,DU15+AAJ15,1)</f>
        <v/>
      </c>
      <c r="AFY15">
        <f>IF('calcA'!W$106=1,DV15+AAK15,1)</f>
        <v/>
      </c>
      <c r="AFZ15">
        <f>IF('calcA'!X$106=1,DW15+AAL15,1)</f>
        <v/>
      </c>
      <c r="AGA15">
        <f>IF('calcA'!Y$106=1,DX15+AAM15,1)</f>
        <v/>
      </c>
      <c r="AGB15">
        <f>IF('calcA'!Z$106=1,DY15+AAN15,1)</f>
        <v/>
      </c>
      <c r="AGC15">
        <f>IF('calcA'!AA$106=1,DZ15+AAO15,1)</f>
        <v/>
      </c>
      <c r="AGD15">
        <f>IF('calcA'!AB$106=1,EA15+AAP15,1)</f>
        <v/>
      </c>
      <c r="AGE15">
        <f>IF('calcA'!AC$106=1,EB15+AAQ15,1)</f>
        <v/>
      </c>
      <c r="AGF15">
        <f>IF('calcA'!AD$106=1,EC15+AAR15,1)</f>
        <v/>
      </c>
      <c r="AGG15">
        <f>IF('calcA'!AE$106=1,ED15+AAS15,1)</f>
        <v/>
      </c>
      <c r="AGH15">
        <f>IF('calcA'!AF$106=1,EE15+AAT15,1)</f>
        <v/>
      </c>
      <c r="AGI15">
        <f>IF('calcA'!AG$106=1,EF15+AAU15,1)</f>
        <v/>
      </c>
      <c r="AGJ15">
        <f>IF('calcA'!AH$106=1,EG15+AAV15,1)</f>
        <v/>
      </c>
      <c r="AGK15">
        <f>IF('calcA'!AI$106=1,EH15+AAW15,1)</f>
        <v/>
      </c>
      <c r="AGL15">
        <f>IF('calcA'!AJ$106=1,EI15+AAX15,1)</f>
        <v/>
      </c>
      <c r="AGM15">
        <f>IF('calcA'!AK$106=1,EJ15+AAY15,1)</f>
        <v/>
      </c>
      <c r="AGN15">
        <f>IF('calcA'!AL$106=1,EK15+AAZ15,1)</f>
        <v/>
      </c>
      <c r="AGO15">
        <f>IF('calcA'!AM$106=1,EL15+ABA15,1)</f>
        <v/>
      </c>
      <c r="AGP15">
        <f>IF('calcA'!AN$106=1,EM15+ABB15,1)</f>
        <v/>
      </c>
      <c r="AGQ15">
        <f>IF('calcA'!AO$106=1,EN15+ABC15,1)</f>
        <v/>
      </c>
      <c r="AGR15">
        <f>IF('calcA'!AP$106=1,EO15+ABD15,1)</f>
        <v/>
      </c>
      <c r="AGS15">
        <f>IF('calcA'!AQ$106=1,EP15+ABE15,1)</f>
        <v/>
      </c>
      <c r="AGT15">
        <f>IF('calcA'!AR$106=1,EQ15+ABF15,1)</f>
        <v/>
      </c>
      <c r="AGU15">
        <f>IF('calcA'!AS$106=1,ER15+ABG15,1)</f>
        <v/>
      </c>
      <c r="AGV15">
        <f>IF('calcA'!AT$106=1,ES15+ABH15,1)</f>
        <v/>
      </c>
      <c r="AGW15">
        <f>IF('calcA'!AU$106=1,ET15+ABI15,1)</f>
        <v/>
      </c>
      <c r="AGX15">
        <f>IF('calcA'!AV$106=1,EU15+ABJ15,1)</f>
        <v/>
      </c>
      <c r="AGY15">
        <f>IF('calcA'!AW$106=1,EV15+ABK15,1)</f>
        <v/>
      </c>
      <c r="AGZ15">
        <f>IF('calcA'!AX$106=1,EW15+ABL15,1)</f>
        <v/>
      </c>
      <c r="AHA15">
        <f>IF('calcA'!AY$106=1,EX15+ABM15,1)</f>
        <v/>
      </c>
      <c r="AHB15">
        <f>IF('calcA'!AZ$106=1,EY15+ABN15,1)</f>
        <v/>
      </c>
      <c r="AHC15">
        <f>IF('calcA'!BA$106=1,EZ15+ABO15,1)</f>
        <v/>
      </c>
      <c r="AHD15">
        <f>IF('calcA'!BB$106=1,FA15+ABP15,1)</f>
        <v/>
      </c>
      <c r="AHE15">
        <f>IF('calcA'!BC$106=1,FB15+ABQ15,1)</f>
        <v/>
      </c>
      <c r="AHF15">
        <f>IF('calcA'!BD$106=1,FC15+ABR15,1)</f>
        <v/>
      </c>
      <c r="AHG15">
        <f>IF('calcA'!BE$106=1,FD15+ABS15,1)</f>
        <v/>
      </c>
      <c r="AHH15">
        <f>IF('calcA'!BF$106=1,FE15+ABT15,1)</f>
        <v/>
      </c>
      <c r="AHI15">
        <f>IF('calcA'!BG$106=1,FF15+ABU15,1)</f>
        <v/>
      </c>
      <c r="AHJ15">
        <f>IF('calcA'!BH$106=1,FG15+ABV15,1)</f>
        <v/>
      </c>
      <c r="AHK15">
        <f>IF('calcA'!BI$106=1,FH15+ABW15,1)</f>
        <v/>
      </c>
      <c r="AHL15">
        <f>IF('calcA'!BJ$106=1,FI15+ABX15,1)</f>
        <v/>
      </c>
      <c r="AHM15">
        <f>IF('calcA'!BK$106=1,FJ15+ABY15,1)</f>
        <v/>
      </c>
      <c r="AHN15">
        <f>IF('calcA'!BL$106=1,FK15+ABZ15,1)</f>
        <v/>
      </c>
      <c r="AHO15">
        <f>IF('calcA'!BM$106=1,FL15+ACA15,1)</f>
        <v/>
      </c>
      <c r="AHP15">
        <f>IF('calcA'!BN$106=1,FM15+ACB15,1)</f>
        <v/>
      </c>
      <c r="AHQ15">
        <f>IF('calcA'!BO$106=1,FN15+ACC15,1)</f>
        <v/>
      </c>
      <c r="AHR15">
        <f>IF('calcA'!BP$106=1,FO15+ACD15,1)</f>
        <v/>
      </c>
      <c r="AHS15">
        <f>IF('calcA'!BQ$106=1,FP15+ACE15,1)</f>
        <v/>
      </c>
      <c r="AHT15">
        <f>IF('calcA'!BR$106=1,FQ15+ACF15,1)</f>
        <v/>
      </c>
      <c r="AHU15">
        <f>IF('calcA'!BS$106=1,FR15+ACG15,1)</f>
        <v/>
      </c>
      <c r="AHV15">
        <f>IF('calcA'!BT$106=1,FS15+ACH15,1)</f>
        <v/>
      </c>
      <c r="AHW15">
        <f>IF('calcA'!BU$106=1,FT15+ACI15,1)</f>
        <v/>
      </c>
      <c r="AHX15">
        <f>IF('calcA'!BV$106=1,FU15+ACJ15,1)</f>
        <v/>
      </c>
      <c r="AHY15">
        <f>IF('calcA'!BW$106=1,FV15+ACK15,1)</f>
        <v/>
      </c>
      <c r="AHZ15">
        <f>IF('calcA'!BX$106=1,FW15+ACL15,1)</f>
        <v/>
      </c>
      <c r="AIA15">
        <f>IF('calcA'!BY$106=1,FX15+ACM15,1)</f>
        <v/>
      </c>
      <c r="AIB15">
        <f>IF('calcA'!BZ$106=1,FY15+ACN15,1)</f>
        <v/>
      </c>
      <c r="AIC15">
        <f>IF('calcA'!CA$106=1,FZ15+ACO15,1)</f>
        <v/>
      </c>
      <c r="AID15">
        <f>IF('calcA'!CB$106=1,GA15+ACP15,1)</f>
        <v/>
      </c>
      <c r="AIE15">
        <f>IF('calcA'!CC$106=1,GB15+ACQ15,1)</f>
        <v/>
      </c>
      <c r="AIF15">
        <f>IF('calcA'!CD$106=1,GC15+ACR15,1)</f>
        <v/>
      </c>
      <c r="AIG15">
        <f>IF('calcA'!CE$106=1,GD15+ACS15,1)</f>
        <v/>
      </c>
      <c r="AIH15">
        <f>IF('calcA'!CF$106=1,GE15+ACT15,1)</f>
        <v/>
      </c>
      <c r="AII15">
        <f>IF('calcA'!CG$106=1,GF15+ACU15,1)</f>
        <v/>
      </c>
      <c r="AIJ15">
        <f>IF('calcA'!CH$106=1,GG15+ACV15,1)</f>
        <v/>
      </c>
      <c r="AIK15">
        <f>IF('calcA'!CI$106=1,GH15+ACW15,1)</f>
        <v/>
      </c>
      <c r="AIL15">
        <f>IF('calcA'!CJ$106=1,GI15+ACX15,1)</f>
        <v/>
      </c>
      <c r="AIM15">
        <f>IF('calcA'!CK$106=1,GJ15+ACY15,1)</f>
        <v/>
      </c>
      <c r="AIN15">
        <f>IF('calcA'!CL$106=1,GK15+ACZ15,1)</f>
        <v/>
      </c>
      <c r="AIO15">
        <f>IF('calcA'!CM$106=1,GL15+ADA15,1)</f>
        <v/>
      </c>
      <c r="AIP15">
        <f>IF('calcA'!CN$106=1,GM15+ADB15,1)</f>
        <v/>
      </c>
      <c r="AIQ15">
        <f>IF('calcA'!CO$106=1,GN15+ADC15,1)</f>
        <v/>
      </c>
      <c r="AIR15">
        <f>IF('calcA'!CP$106=1,GO15+ADD15,1)</f>
        <v/>
      </c>
      <c r="AIS15">
        <f>IF('calcA'!CQ$106=1,GP15+ADE15,1)</f>
        <v/>
      </c>
      <c r="AIT15">
        <f>IF('calcA'!CR$106=1,GQ15+ADF15,1)</f>
        <v/>
      </c>
      <c r="AIU15">
        <f>IF('calcA'!CS$106=1,GR15+ADG15,1)</f>
        <v/>
      </c>
      <c r="AIV15">
        <f>IF('calcA'!CT$106=1,GS15+ADH15,1)</f>
        <v/>
      </c>
      <c r="AIW15">
        <f>IF('calcA'!CU$106=1,GT15+ADI15,1)</f>
        <v/>
      </c>
      <c r="AIX15">
        <f>IF('calcA'!CV$106=1,GU15+ADJ15,1)</f>
        <v/>
      </c>
      <c r="AIY15">
        <f>IF('calcA'!CW$106=1,GV15+ADK15,1)</f>
        <v/>
      </c>
      <c r="AIZ15">
        <f>IF('calcA'!CX$106=1,GW15+ADL15,1)</f>
        <v/>
      </c>
      <c r="AJA15">
        <f>IF('calcA'!CY$106=1,GX15+ADM15,1)</f>
        <v/>
      </c>
      <c r="AJB15">
        <f>IF('calcA'!CZ$106=1,GY15+ADN15,1)</f>
        <v/>
      </c>
      <c r="AJC15">
        <f>IF('calcA'!DA$106=1,GZ15+ADO15,1)</f>
        <v/>
      </c>
      <c r="AJD15">
        <f>IF('calcA'!DB$106=1,HA15+ADP15,1)</f>
        <v/>
      </c>
      <c r="AJE15">
        <f>IF('calcA'!DC$106=1,HB15+ADQ15,1)</f>
        <v/>
      </c>
      <c r="AJF15">
        <f>IF('calcA'!DD$106=1,HC15+ADR15,1)</f>
        <v/>
      </c>
      <c r="AJG15">
        <f>IF('calcA'!DE$106=1,HD15+ADS15,1)</f>
        <v/>
      </c>
      <c r="AJH15">
        <f>IF('calcA'!DF$106=1,HE15+ADT15,1)</f>
        <v/>
      </c>
      <c r="AJI15">
        <f>IF('calcA'!DG$106=1,HF15+ADU15,1)</f>
        <v/>
      </c>
      <c r="AJJ15">
        <f>IF('calcA'!DH$106=1,HG15+ADV15,1)</f>
        <v/>
      </c>
      <c r="AJK15">
        <f>IF('calcA'!DI$106=1,HH15+ADW15,1)</f>
        <v/>
      </c>
      <c r="AJL15">
        <f>IF('calcA'!DJ$106=1,HI15+ADX15,1)</f>
        <v/>
      </c>
      <c r="AJM15">
        <f>IF('calcA'!DK$106=1,HJ15+ADY15,1)</f>
        <v/>
      </c>
      <c r="AJN15">
        <f>IF('calcA'!DL$106=1,HK15+ADZ15,1)</f>
        <v/>
      </c>
      <c r="AJO15">
        <f>IF('calcA'!DM$106=1,HL15+AEA15,1)</f>
        <v/>
      </c>
      <c r="AJP15">
        <f>IF('calcA'!DN$106=1,HM15+AEB15,1)</f>
        <v/>
      </c>
      <c r="AJQ15">
        <f>IF('calcA'!DO$106=1,HN15+AEC15,1)</f>
        <v/>
      </c>
      <c r="AJR15">
        <f>IF('calcA'!DP$106=1,HO15+AED15,1)</f>
        <v/>
      </c>
      <c r="AJS15">
        <f>IF('calcA'!DQ$106=1,HP15+AEE15,1)</f>
        <v/>
      </c>
      <c r="AJT15">
        <f>IF('calcA'!DR$106=1,HQ15+AEF15,1)</f>
        <v/>
      </c>
      <c r="AJU15">
        <f>IF('calcA'!DS$106=1,HR15+AEG15,1)</f>
        <v/>
      </c>
      <c r="AJV15">
        <f>IF('calcA'!DT$106=1,HS15+AEH15,1)</f>
        <v/>
      </c>
      <c r="AJW15">
        <f>IF('calcA'!DU$106=1,HT15+AEI15,1)</f>
        <v/>
      </c>
      <c r="AJX15">
        <f>IF('calcA'!DV$106=1,HU15+AEJ15,1)</f>
        <v/>
      </c>
      <c r="AJY15">
        <f>IF('calcA'!DW$106=1,HV15+AEK15,1)</f>
        <v/>
      </c>
      <c r="AJZ15">
        <f>IF('calcA'!DX$106=1,HW15+AEL15,1)</f>
        <v/>
      </c>
      <c r="AKA15">
        <f>IF('calcA'!DY$106=1,HX15+AEM15,1)</f>
        <v/>
      </c>
      <c r="AKB15">
        <f>IF('calcA'!DZ$106=1,HY15+AEN15,1)</f>
        <v/>
      </c>
      <c r="AKC15">
        <f>IF('calcA'!EA$106=1,HZ15+AEO15,1)</f>
        <v/>
      </c>
      <c r="AKD15">
        <f>IF('calcA'!EB$106=1,IA15+AEP15,1)</f>
        <v/>
      </c>
      <c r="AKE15">
        <f>IF('calcA'!EC$106=1,IB15+AEQ15,1)</f>
        <v/>
      </c>
      <c r="AKF15">
        <f>IF('calcA'!ED$106=1,IC15+AER15,1)</f>
        <v/>
      </c>
      <c r="AKG15">
        <f>IF('calcA'!EE$106=1,ID15+AES15,1)</f>
        <v/>
      </c>
      <c r="AKH15">
        <f>IF('calcA'!EF$106=1,IE15+AET15,1)</f>
        <v/>
      </c>
      <c r="AKI15">
        <f>IF('calcA'!EG$106=1,IF15+AEU15,1)</f>
        <v/>
      </c>
      <c r="AKJ15">
        <f>IF('calcA'!EH$106=1,IG15+AEV15,1)</f>
        <v/>
      </c>
      <c r="AKK15">
        <f>IF('calcA'!EI$106=1,IH15+AEW15,1)</f>
        <v/>
      </c>
      <c r="AKL15">
        <f>IF('calcA'!EJ$106=1,II15+AEX15,1)</f>
        <v/>
      </c>
      <c r="AKM15">
        <f>IF('calcA'!EK$106=1,IJ15+AEY15,1)</f>
        <v/>
      </c>
      <c r="AKN15">
        <f>IF('calcA'!EL$106=1,IK15+AEZ15,1)</f>
        <v/>
      </c>
      <c r="AKO15">
        <f>IF('calcA'!EM$106=1,IL15+AFA15,1)</f>
        <v/>
      </c>
      <c r="AKP15">
        <f>IF('calcA'!EN$106=1,IM15+AFB15,1)</f>
        <v/>
      </c>
      <c r="AKQ15">
        <f>IF('calcA'!EO$106=1,IN15+AFC15,1)</f>
        <v/>
      </c>
      <c r="AKR15">
        <f>IF('calcA'!EP$106=1,IO15+AFD15,1)</f>
        <v/>
      </c>
      <c r="AKS15" t="n">
        <v>1</v>
      </c>
    </row>
    <row r="16">
      <c r="A16" t="n">
        <v>14</v>
      </c>
      <c r="B16">
        <f>IF(MIN(BM16:CZ16)&gt;=1000000000,0,MATCH(MIN(BM16:CZ16),BM16:CZ16,0))</f>
        <v/>
      </c>
      <c r="C16">
        <f>IF(MIN(OF16:TS16)&gt;=1000000000,0,MATCH(MIN(OF16:TS16),OF16:TS16,0))</f>
        <v/>
      </c>
      <c r="D16">
        <f>IF(C16&gt;0,INDEX('calcA'!$D$5:$EQ$5,C16),0)</f>
        <v/>
      </c>
      <c r="E16">
        <f>IF(B16=0,0,INDEX('calcA'!$IQ$10:$IQ$54,B16))</f>
        <v/>
      </c>
      <c r="F16">
        <f>IF(B16=0,0,INDEX('calcA'!$IP$10:$IP$54,B16))</f>
        <v/>
      </c>
      <c r="G16">
        <f>IF(AND(C16&gt;0,E16&gt;0),IF(AND(INDEX('calcA'!$D$106:$EQ$106,C16)=1,INDEX($IQ16:$OD16,C16)=1),C16+1,0),0)</f>
        <v/>
      </c>
      <c r="H16">
        <f>IF(B16=0,0,INDEX('calcA'!$IW$10:$IW$54,B16))</f>
        <v/>
      </c>
      <c r="U16">
        <f>IF(B16=0,0,INDEX('calcA'!$IX$10:$IX$54,B16))</f>
        <v/>
      </c>
      <c r="V16">
        <f>IF(B16=0,0,INDEX('calcA'!$JF$10:$JF$54,B16))</f>
        <v/>
      </c>
      <c r="W16">
        <f>IF(B16=0,0,IF(IF(E16=2,SUMPRODUCT(INDEX('calcA'!$D$60:$EQ$99,B16,0),$DB16:$IO16,$IQ16:$OD16),SUMPRODUCT(INDEX('calcA'!$D$60:$EQ$99,B16,0),$DB16:$IO16))=0,1,0))</f>
        <v/>
      </c>
      <c r="X16">
        <f>MAX(X15,IF($B15=1,1,0))</f>
        <v/>
      </c>
      <c r="Y16">
        <f>MAX(Y15,IF($B15=2,1,0))</f>
        <v/>
      </c>
      <c r="Z16">
        <f>MAX(Z15,IF($B15=3,1,0))</f>
        <v/>
      </c>
      <c r="AA16">
        <f>MAX(AA15,IF($B15=4,1,0))</f>
        <v/>
      </c>
      <c r="AB16">
        <f>MAX(AB15,IF($B15=5,1,0))</f>
        <v/>
      </c>
      <c r="AC16">
        <f>MAX(AC15,IF($B15=6,1,0))</f>
        <v/>
      </c>
      <c r="AD16">
        <f>MAX(AD15,IF($B15=7,1,0))</f>
        <v/>
      </c>
      <c r="AE16">
        <f>MAX(AE15,IF($B15=8,1,0))</f>
        <v/>
      </c>
      <c r="AF16">
        <f>MAX(AF15,IF($B15=9,1,0))</f>
        <v/>
      </c>
      <c r="AG16">
        <f>MAX(AG15,IF($B15=10,1,0))</f>
        <v/>
      </c>
      <c r="AH16">
        <f>MAX(AH15,IF($B15=11,1,0))</f>
        <v/>
      </c>
      <c r="AI16">
        <f>MAX(AI15,IF($B15=12,1,0))</f>
        <v/>
      </c>
      <c r="AJ16">
        <f>MAX(AJ15,IF($B15=13,1,0))</f>
        <v/>
      </c>
      <c r="AK16">
        <f>MAX(AK15,IF($B15=14,1,0))</f>
        <v/>
      </c>
      <c r="AL16">
        <f>MAX(AL15,IF($B15=15,1,0))</f>
        <v/>
      </c>
      <c r="AM16">
        <f>MAX(AM15,IF($B15=16,1,0))</f>
        <v/>
      </c>
      <c r="AN16">
        <f>MAX(AN15,IF($B15=17,1,0))</f>
        <v/>
      </c>
      <c r="AO16">
        <f>MAX(AO15,IF($B15=18,1,0))</f>
        <v/>
      </c>
      <c r="AP16">
        <f>MAX(AP15,IF($B15=19,1,0))</f>
        <v/>
      </c>
      <c r="AQ16">
        <f>MAX(AQ15,IF($B15=20,1,0))</f>
        <v/>
      </c>
      <c r="AR16">
        <f>MAX(AR15,IF($B15=21,1,0))</f>
        <v/>
      </c>
      <c r="AS16">
        <f>MAX(AS15,IF($B15=22,1,0))</f>
        <v/>
      </c>
      <c r="AT16">
        <f>MAX(AT15,IF($B15=23,1,0))</f>
        <v/>
      </c>
      <c r="AU16">
        <f>MAX(AU15,IF($B15=24,1,0))</f>
        <v/>
      </c>
      <c r="AV16">
        <f>MAX(AV15,IF($B15=25,1,0))</f>
        <v/>
      </c>
      <c r="AW16">
        <f>MAX(AW15,IF($B15=26,1,0))</f>
        <v/>
      </c>
      <c r="AX16">
        <f>MAX(AX15,IF($B15=27,1,0))</f>
        <v/>
      </c>
      <c r="AY16">
        <f>MAX(AY15,IF($B15=28,1,0))</f>
        <v/>
      </c>
      <c r="AZ16">
        <f>MAX(AZ15,IF($B15=29,1,0))</f>
        <v/>
      </c>
      <c r="BA16">
        <f>MAX(BA15,IF($B15=30,1,0))</f>
        <v/>
      </c>
      <c r="BB16">
        <f>MAX(BB15,IF($B15=31,1,0))</f>
        <v/>
      </c>
      <c r="BC16">
        <f>MAX(BC15,IF($B15=32,1,0))</f>
        <v/>
      </c>
      <c r="BD16">
        <f>MAX(BD15,IF($B15=33,1,0))</f>
        <v/>
      </c>
      <c r="BE16">
        <f>MAX(BE15,IF($B15=34,1,0))</f>
        <v/>
      </c>
      <c r="BF16">
        <f>MAX(BF15,IF($B15=35,1,0))</f>
        <v/>
      </c>
      <c r="BG16">
        <f>MAX(BG15,IF($B15=36,1,0))</f>
        <v/>
      </c>
      <c r="BH16">
        <f>MAX(BH15,IF($B15=37,1,0))</f>
        <v/>
      </c>
      <c r="BI16">
        <f>MAX(BI15,IF($B15=38,1,0))</f>
        <v/>
      </c>
      <c r="BJ16">
        <f>MAX(BJ15,IF($B15=39,1,0))</f>
        <v/>
      </c>
      <c r="BK16">
        <f>MAX(BK15,IF($B15=40,1,0))</f>
        <v/>
      </c>
      <c r="BM16">
        <f>IF(OR(X16=1,calcA!$A$6=0),1000000000,IF('calcA'!$JF$10=1,0,100000000)+IF('calcA'!$IQ$10=2,SUMPRODUCT('calcA'!$D$60:$EQ$60,$DB16:$IO16,$IQ16:$OD16)*1000+SUMPRODUCT('calcA'!$D$60:$EQ$60,$DB16:$IO16+$ZQ16:$AFD16,$AFF16:$AKS16),SUMPRODUCT('calcA'!$D$60:$EQ$60,$DB16:$IO16*1001+$ZQ16:$AFD16))*100+1)</f>
        <v/>
      </c>
      <c r="BN16">
        <f>IF(OR(Y16=1,calcA!$A$6=0),1000000000,IF('calcA'!$JF$11=1,0,100000000)+IF('calcA'!$IQ$11=2,SUMPRODUCT('calcA'!$D$61:$EQ$61,$DB16:$IO16,$IQ16:$OD16)*1000+SUMPRODUCT('calcA'!$D$61:$EQ$61,$DB16:$IO16+$ZQ16:$AFD16,$AFF16:$AKS16),SUMPRODUCT('calcA'!$D$61:$EQ$61,$DB16:$IO16*1001+$ZQ16:$AFD16))*100+2)</f>
        <v/>
      </c>
      <c r="BO16">
        <f>IF(OR(Z16=1,calcA!$A$6=0),1000000000,IF('calcA'!$JF$12=1,0,100000000)+IF('calcA'!$IQ$12=2,SUMPRODUCT('calcA'!$D$62:$EQ$62,$DB16:$IO16,$IQ16:$OD16)*1000+SUMPRODUCT('calcA'!$D$62:$EQ$62,$DB16:$IO16+$ZQ16:$AFD16,$AFF16:$AKS16),SUMPRODUCT('calcA'!$D$62:$EQ$62,$DB16:$IO16*1001+$ZQ16:$AFD16))*100+3)</f>
        <v/>
      </c>
      <c r="BP16">
        <f>IF(OR(AA16=1,calcA!$A$6=0),1000000000,IF('calcA'!$JF$13=1,0,100000000)+IF('calcA'!$IQ$13=2,SUMPRODUCT('calcA'!$D$63:$EQ$63,$DB16:$IO16,$IQ16:$OD16)*1000+SUMPRODUCT('calcA'!$D$63:$EQ$63,$DB16:$IO16+$ZQ16:$AFD16,$AFF16:$AKS16),SUMPRODUCT('calcA'!$D$63:$EQ$63,$DB16:$IO16*1001+$ZQ16:$AFD16))*100+4)</f>
        <v/>
      </c>
      <c r="BQ16">
        <f>IF(OR(AB16=1,calcA!$A$6=0),1000000000,IF('calcA'!$JF$14=1,0,100000000)+IF('calcA'!$IQ$14=2,SUMPRODUCT('calcA'!$D$64:$EQ$64,$DB16:$IO16,$IQ16:$OD16)*1000+SUMPRODUCT('calcA'!$D$64:$EQ$64,$DB16:$IO16+$ZQ16:$AFD16,$AFF16:$AKS16),SUMPRODUCT('calcA'!$D$64:$EQ$64,$DB16:$IO16*1001+$ZQ16:$AFD16))*100+5)</f>
        <v/>
      </c>
      <c r="BR16">
        <f>IF(OR(AC16=1,calcA!$A$6=0),1000000000,IF('calcA'!$JF$15=1,0,100000000)+IF('calcA'!$IQ$15=2,SUMPRODUCT('calcA'!$D$65:$EQ$65,$DB16:$IO16,$IQ16:$OD16)*1000+SUMPRODUCT('calcA'!$D$65:$EQ$65,$DB16:$IO16+$ZQ16:$AFD16,$AFF16:$AKS16),SUMPRODUCT('calcA'!$D$65:$EQ$65,$DB16:$IO16*1001+$ZQ16:$AFD16))*100+6)</f>
        <v/>
      </c>
      <c r="BS16">
        <f>IF(OR(AD16=1,calcA!$A$6=0),1000000000,IF('calcA'!$JF$16=1,0,100000000)+IF('calcA'!$IQ$16=2,SUMPRODUCT('calcA'!$D$66:$EQ$66,$DB16:$IO16,$IQ16:$OD16)*1000+SUMPRODUCT('calcA'!$D$66:$EQ$66,$DB16:$IO16+$ZQ16:$AFD16,$AFF16:$AKS16),SUMPRODUCT('calcA'!$D$66:$EQ$66,$DB16:$IO16*1001+$ZQ16:$AFD16))*100+7)</f>
        <v/>
      </c>
      <c r="BT16">
        <f>IF(OR(AE16=1,calcA!$A$6=0),1000000000,IF('calcA'!$JF$17=1,0,100000000)+IF('calcA'!$IQ$17=2,SUMPRODUCT('calcA'!$D$67:$EQ$67,$DB16:$IO16,$IQ16:$OD16)*1000+SUMPRODUCT('calcA'!$D$67:$EQ$67,$DB16:$IO16+$ZQ16:$AFD16,$AFF16:$AKS16),SUMPRODUCT('calcA'!$D$67:$EQ$67,$DB16:$IO16*1001+$ZQ16:$AFD16))*100+8)</f>
        <v/>
      </c>
      <c r="BU16">
        <f>IF(OR(AF16=1,calcA!$A$6=0),1000000000,IF('calcA'!$JF$18=1,0,100000000)+IF('calcA'!$IQ$18=2,SUMPRODUCT('calcA'!$D$68:$EQ$68,$DB16:$IO16,$IQ16:$OD16)*1000+SUMPRODUCT('calcA'!$D$68:$EQ$68,$DB16:$IO16+$ZQ16:$AFD16,$AFF16:$AKS16),SUMPRODUCT('calcA'!$D$68:$EQ$68,$DB16:$IO16*1001+$ZQ16:$AFD16))*100+9)</f>
        <v/>
      </c>
      <c r="BV16">
        <f>IF(OR(AG16=1,calcA!$A$6=0),1000000000,IF('calcA'!$JF$19=1,0,100000000)+IF('calcA'!$IQ$19=2,SUMPRODUCT('calcA'!$D$69:$EQ$69,$DB16:$IO16,$IQ16:$OD16)*1000+SUMPRODUCT('calcA'!$D$69:$EQ$69,$DB16:$IO16+$ZQ16:$AFD16,$AFF16:$AKS16),SUMPRODUCT('calcA'!$D$69:$EQ$69,$DB16:$IO16*1001+$ZQ16:$AFD16))*100+10)</f>
        <v/>
      </c>
      <c r="BW16">
        <f>IF(OR(AH16=1,calcA!$A$6=0),1000000000,IF('calcA'!$JF$20=1,0,100000000)+IF('calcA'!$IQ$20=2,SUMPRODUCT('calcA'!$D$70:$EQ$70,$DB16:$IO16,$IQ16:$OD16)*1000+SUMPRODUCT('calcA'!$D$70:$EQ$70,$DB16:$IO16+$ZQ16:$AFD16,$AFF16:$AKS16),SUMPRODUCT('calcA'!$D$70:$EQ$70,$DB16:$IO16*1001+$ZQ16:$AFD16))*100+11)</f>
        <v/>
      </c>
      <c r="BX16">
        <f>IF(OR(AI16=1,calcA!$A$6=0),1000000000,IF('calcA'!$JF$21=1,0,100000000)+IF('calcA'!$IQ$21=2,SUMPRODUCT('calcA'!$D$71:$EQ$71,$DB16:$IO16,$IQ16:$OD16)*1000+SUMPRODUCT('calcA'!$D$71:$EQ$71,$DB16:$IO16+$ZQ16:$AFD16,$AFF16:$AKS16),SUMPRODUCT('calcA'!$D$71:$EQ$71,$DB16:$IO16*1001+$ZQ16:$AFD16))*100+12)</f>
        <v/>
      </c>
      <c r="BY16">
        <f>IF(OR(AJ16=1,calcA!$A$6=0),1000000000,IF('calcA'!$JF$22=1,0,100000000)+IF('calcA'!$IQ$22=2,SUMPRODUCT('calcA'!$D$72:$EQ$72,$DB16:$IO16,$IQ16:$OD16)*1000+SUMPRODUCT('calcA'!$D$72:$EQ$72,$DB16:$IO16+$ZQ16:$AFD16,$AFF16:$AKS16),SUMPRODUCT('calcA'!$D$72:$EQ$72,$DB16:$IO16*1001+$ZQ16:$AFD16))*100+13)</f>
        <v/>
      </c>
      <c r="BZ16">
        <f>IF(OR(AK16=1,calcA!$A$6=0),1000000000,IF('calcA'!$JF$23=1,0,100000000)+IF('calcA'!$IQ$23=2,SUMPRODUCT('calcA'!$D$73:$EQ$73,$DB16:$IO16,$IQ16:$OD16)*1000+SUMPRODUCT('calcA'!$D$73:$EQ$73,$DB16:$IO16+$ZQ16:$AFD16,$AFF16:$AKS16),SUMPRODUCT('calcA'!$D$73:$EQ$73,$DB16:$IO16*1001+$ZQ16:$AFD16))*100+14)</f>
        <v/>
      </c>
      <c r="CA16">
        <f>IF(OR(AL16=1,calcA!$A$6=0),1000000000,IF('calcA'!$JF$24=1,0,100000000)+IF('calcA'!$IQ$24=2,SUMPRODUCT('calcA'!$D$74:$EQ$74,$DB16:$IO16,$IQ16:$OD16)*1000+SUMPRODUCT('calcA'!$D$74:$EQ$74,$DB16:$IO16+$ZQ16:$AFD16,$AFF16:$AKS16),SUMPRODUCT('calcA'!$D$74:$EQ$74,$DB16:$IO16*1001+$ZQ16:$AFD16))*100+15)</f>
        <v/>
      </c>
      <c r="CB16">
        <f>IF(OR(AM16=1,calcA!$A$6=0),1000000000,IF('calcA'!$JF$25=1,0,100000000)+IF('calcA'!$IQ$25=2,SUMPRODUCT('calcA'!$D$75:$EQ$75,$DB16:$IO16,$IQ16:$OD16)*1000+SUMPRODUCT('calcA'!$D$75:$EQ$75,$DB16:$IO16+$ZQ16:$AFD16,$AFF16:$AKS16),SUMPRODUCT('calcA'!$D$75:$EQ$75,$DB16:$IO16*1001+$ZQ16:$AFD16))*100+16)</f>
        <v/>
      </c>
      <c r="CC16">
        <f>IF(OR(AN16=1,calcA!$A$6=0),1000000000,IF('calcA'!$JF$26=1,0,100000000)+IF('calcA'!$IQ$26=2,SUMPRODUCT('calcA'!$D$76:$EQ$76,$DB16:$IO16,$IQ16:$OD16)*1000+SUMPRODUCT('calcA'!$D$76:$EQ$76,$DB16:$IO16+$ZQ16:$AFD16,$AFF16:$AKS16),SUMPRODUCT('calcA'!$D$76:$EQ$76,$DB16:$IO16*1001+$ZQ16:$AFD16))*100+17)</f>
        <v/>
      </c>
      <c r="CD16">
        <f>IF(OR(AO16=1,calcA!$A$6=0),1000000000,IF('calcA'!$JF$27=1,0,100000000)+IF('calcA'!$IQ$27=2,SUMPRODUCT('calcA'!$D$77:$EQ$77,$DB16:$IO16,$IQ16:$OD16)*1000+SUMPRODUCT('calcA'!$D$77:$EQ$77,$DB16:$IO16+$ZQ16:$AFD16,$AFF16:$AKS16),SUMPRODUCT('calcA'!$D$77:$EQ$77,$DB16:$IO16*1001+$ZQ16:$AFD16))*100+18)</f>
        <v/>
      </c>
      <c r="CE16">
        <f>IF(OR(AP16=1,calcA!$A$6=0),1000000000,IF('calcA'!$JF$28=1,0,100000000)+IF('calcA'!$IQ$28=2,SUMPRODUCT('calcA'!$D$78:$EQ$78,$DB16:$IO16,$IQ16:$OD16)*1000+SUMPRODUCT('calcA'!$D$78:$EQ$78,$DB16:$IO16+$ZQ16:$AFD16,$AFF16:$AKS16),SUMPRODUCT('calcA'!$D$78:$EQ$78,$DB16:$IO16*1001+$ZQ16:$AFD16))*100+19)</f>
        <v/>
      </c>
      <c r="CF16">
        <f>IF(OR(AQ16=1,calcA!$A$6=0),1000000000,IF('calcA'!$JF$29=1,0,100000000)+IF('calcA'!$IQ$29=2,SUMPRODUCT('calcA'!$D$79:$EQ$79,$DB16:$IO16,$IQ16:$OD16)*1000+SUMPRODUCT('calcA'!$D$79:$EQ$79,$DB16:$IO16+$ZQ16:$AFD16,$AFF16:$AKS16),SUMPRODUCT('calcA'!$D$79:$EQ$79,$DB16:$IO16*1001+$ZQ16:$AFD16))*100+20)</f>
        <v/>
      </c>
      <c r="CG16">
        <f>IF(OR(AR16=1,calcA!$A$6=0),1000000000,IF('calcA'!$JF$30=1,0,100000000)+IF('calcA'!$IQ$30=2,SUMPRODUCT('calcA'!$D$80:$EQ$80,$DB16:$IO16,$IQ16:$OD16)*1000+SUMPRODUCT('calcA'!$D$80:$EQ$80,$DB16:$IO16+$ZQ16:$AFD16,$AFF16:$AKS16),SUMPRODUCT('calcA'!$D$80:$EQ$80,$DB16:$IO16*1001+$ZQ16:$AFD16))*100+21)</f>
        <v/>
      </c>
      <c r="CH16">
        <f>IF(OR(AS16=1,calcA!$A$6=0),1000000000,IF('calcA'!$JF$31=1,0,100000000)+IF('calcA'!$IQ$31=2,SUMPRODUCT('calcA'!$D$81:$EQ$81,$DB16:$IO16,$IQ16:$OD16)*1000+SUMPRODUCT('calcA'!$D$81:$EQ$81,$DB16:$IO16+$ZQ16:$AFD16,$AFF16:$AKS16),SUMPRODUCT('calcA'!$D$81:$EQ$81,$DB16:$IO16*1001+$ZQ16:$AFD16))*100+22)</f>
        <v/>
      </c>
      <c r="CI16">
        <f>IF(OR(AT16=1,calcA!$A$6=0),1000000000,IF('calcA'!$JF$32=1,0,100000000)+IF('calcA'!$IQ$32=2,SUMPRODUCT('calcA'!$D$82:$EQ$82,$DB16:$IO16,$IQ16:$OD16)*1000+SUMPRODUCT('calcA'!$D$82:$EQ$82,$DB16:$IO16+$ZQ16:$AFD16,$AFF16:$AKS16),SUMPRODUCT('calcA'!$D$82:$EQ$82,$DB16:$IO16*1001+$ZQ16:$AFD16))*100+23)</f>
        <v/>
      </c>
      <c r="CJ16">
        <f>IF(OR(AU16=1,calcA!$A$6=0),1000000000,IF('calcA'!$JF$33=1,0,100000000)+IF('calcA'!$IQ$33=2,SUMPRODUCT('calcA'!$D$83:$EQ$83,$DB16:$IO16,$IQ16:$OD16)*1000+SUMPRODUCT('calcA'!$D$83:$EQ$83,$DB16:$IO16+$ZQ16:$AFD16,$AFF16:$AKS16),SUMPRODUCT('calcA'!$D$83:$EQ$83,$DB16:$IO16*1001+$ZQ16:$AFD16))*100+24)</f>
        <v/>
      </c>
      <c r="CK16">
        <f>IF(OR(AV16=1,calcA!$A$6=0),1000000000,IF('calcA'!$JF$34=1,0,100000000)+IF('calcA'!$IQ$34=2,SUMPRODUCT('calcA'!$D$84:$EQ$84,$DB16:$IO16,$IQ16:$OD16)*1000+SUMPRODUCT('calcA'!$D$84:$EQ$84,$DB16:$IO16+$ZQ16:$AFD16,$AFF16:$AKS16),SUMPRODUCT('calcA'!$D$84:$EQ$84,$DB16:$IO16*1001+$ZQ16:$AFD16))*100+25)</f>
        <v/>
      </c>
      <c r="CL16">
        <f>IF(OR(AW16=1,calcA!$A$6=0),1000000000,IF('calcA'!$JF$35=1,0,100000000)+IF('calcA'!$IQ$35=2,SUMPRODUCT('calcA'!$D$85:$EQ$85,$DB16:$IO16,$IQ16:$OD16)*1000+SUMPRODUCT('calcA'!$D$85:$EQ$85,$DB16:$IO16+$ZQ16:$AFD16,$AFF16:$AKS16),SUMPRODUCT('calcA'!$D$85:$EQ$85,$DB16:$IO16*1001+$ZQ16:$AFD16))*100+26)</f>
        <v/>
      </c>
      <c r="CM16">
        <f>IF(OR(AX16=1,calcA!$A$6=0),1000000000,IF('calcA'!$JF$36=1,0,100000000)+IF('calcA'!$IQ$36=2,SUMPRODUCT('calcA'!$D$86:$EQ$86,$DB16:$IO16,$IQ16:$OD16)*1000+SUMPRODUCT('calcA'!$D$86:$EQ$86,$DB16:$IO16+$ZQ16:$AFD16,$AFF16:$AKS16),SUMPRODUCT('calcA'!$D$86:$EQ$86,$DB16:$IO16*1001+$ZQ16:$AFD16))*100+27)</f>
        <v/>
      </c>
      <c r="CN16">
        <f>IF(OR(AY16=1,calcA!$A$6=0),1000000000,IF('calcA'!$JF$37=1,0,100000000)+IF('calcA'!$IQ$37=2,SUMPRODUCT('calcA'!$D$87:$EQ$87,$DB16:$IO16,$IQ16:$OD16)*1000+SUMPRODUCT('calcA'!$D$87:$EQ$87,$DB16:$IO16+$ZQ16:$AFD16,$AFF16:$AKS16),SUMPRODUCT('calcA'!$D$87:$EQ$87,$DB16:$IO16*1001+$ZQ16:$AFD16))*100+28)</f>
        <v/>
      </c>
      <c r="CO16">
        <f>IF(OR(AZ16=1,calcA!$A$6=0),1000000000,IF('calcA'!$JF$38=1,0,100000000)+IF('calcA'!$IQ$38=2,SUMPRODUCT('calcA'!$D$88:$EQ$88,$DB16:$IO16,$IQ16:$OD16)*1000+SUMPRODUCT('calcA'!$D$88:$EQ$88,$DB16:$IO16+$ZQ16:$AFD16,$AFF16:$AKS16),SUMPRODUCT('calcA'!$D$88:$EQ$88,$DB16:$IO16*1001+$ZQ16:$AFD16))*100+29)</f>
        <v/>
      </c>
      <c r="CP16">
        <f>IF(OR(BA16=1,calcA!$A$6=0),1000000000,IF('calcA'!$JF$39=1,0,100000000)+IF('calcA'!$IQ$39=2,SUMPRODUCT('calcA'!$D$89:$EQ$89,$DB16:$IO16,$IQ16:$OD16)*1000+SUMPRODUCT('calcA'!$D$89:$EQ$89,$DB16:$IO16+$ZQ16:$AFD16,$AFF16:$AKS16),SUMPRODUCT('calcA'!$D$89:$EQ$89,$DB16:$IO16*1001+$ZQ16:$AFD16))*100+30)</f>
        <v/>
      </c>
      <c r="CQ16">
        <f>IF(OR(BB16=1,calcA!$A$6=0),1000000000,IF('calcA'!$JF$40=1,0,100000000)+IF('calcA'!$IQ$40=2,SUMPRODUCT('calcA'!$D$90:$EQ$90,$DB16:$IO16,$IQ16:$OD16)*1000+SUMPRODUCT('calcA'!$D$90:$EQ$90,$DB16:$IO16+$ZQ16:$AFD16,$AFF16:$AKS16),SUMPRODUCT('calcA'!$D$90:$EQ$90,$DB16:$IO16*1001+$ZQ16:$AFD16))*100+31)</f>
        <v/>
      </c>
      <c r="CR16">
        <f>IF(OR(BC16=1,calcA!$A$6=0),1000000000,IF('calcA'!$JF$41=1,0,100000000)+IF('calcA'!$IQ$41=2,SUMPRODUCT('calcA'!$D$91:$EQ$91,$DB16:$IO16,$IQ16:$OD16)*1000+SUMPRODUCT('calcA'!$D$91:$EQ$91,$DB16:$IO16+$ZQ16:$AFD16,$AFF16:$AKS16),SUMPRODUCT('calcA'!$D$91:$EQ$91,$DB16:$IO16*1001+$ZQ16:$AFD16))*100+32)</f>
        <v/>
      </c>
      <c r="CS16">
        <f>IF(OR(BD16=1,calcA!$A$6=0),1000000000,IF('calcA'!$JF$42=1,0,100000000)+IF('calcA'!$IQ$42=2,SUMPRODUCT('calcA'!$D$92:$EQ$92,$DB16:$IO16,$IQ16:$OD16)*1000+SUMPRODUCT('calcA'!$D$92:$EQ$92,$DB16:$IO16+$ZQ16:$AFD16,$AFF16:$AKS16),SUMPRODUCT('calcA'!$D$92:$EQ$92,$DB16:$IO16*1001+$ZQ16:$AFD16))*100+33)</f>
        <v/>
      </c>
      <c r="CT16">
        <f>IF(OR(BE16=1,calcA!$A$6=0),1000000000,IF('calcA'!$JF$43=1,0,100000000)+IF('calcA'!$IQ$43=2,SUMPRODUCT('calcA'!$D$93:$EQ$93,$DB16:$IO16,$IQ16:$OD16)*1000+SUMPRODUCT('calcA'!$D$93:$EQ$93,$DB16:$IO16+$ZQ16:$AFD16,$AFF16:$AKS16),SUMPRODUCT('calcA'!$D$93:$EQ$93,$DB16:$IO16*1001+$ZQ16:$AFD16))*100+34)</f>
        <v/>
      </c>
      <c r="CU16">
        <f>IF(OR(BF16=1,calcA!$A$6=0),1000000000,IF('calcA'!$JF$44=1,0,100000000)+IF('calcA'!$IQ$44=2,SUMPRODUCT('calcA'!$D$94:$EQ$94,$DB16:$IO16,$IQ16:$OD16)*1000+SUMPRODUCT('calcA'!$D$94:$EQ$94,$DB16:$IO16+$ZQ16:$AFD16,$AFF16:$AKS16),SUMPRODUCT('calcA'!$D$94:$EQ$94,$DB16:$IO16*1001+$ZQ16:$AFD16))*100+35)</f>
        <v/>
      </c>
      <c r="CV16">
        <f>IF(OR(BG16=1,calcA!$A$6=0),1000000000,IF('calcA'!$JF$45=1,0,100000000)+IF('calcA'!$IQ$45=2,SUMPRODUCT('calcA'!$D$95:$EQ$95,$DB16:$IO16,$IQ16:$OD16)*1000+SUMPRODUCT('calcA'!$D$95:$EQ$95,$DB16:$IO16+$ZQ16:$AFD16,$AFF16:$AKS16),SUMPRODUCT('calcA'!$D$95:$EQ$95,$DB16:$IO16*1001+$ZQ16:$AFD16))*100+36)</f>
        <v/>
      </c>
      <c r="CW16">
        <f>IF(OR(BH16=1,calcA!$A$6=0),1000000000,IF('calcA'!$JF$46=1,0,100000000)+IF('calcA'!$IQ$46=2,SUMPRODUCT('calcA'!$D$96:$EQ$96,$DB16:$IO16,$IQ16:$OD16)*1000+SUMPRODUCT('calcA'!$D$96:$EQ$96,$DB16:$IO16+$ZQ16:$AFD16,$AFF16:$AKS16),SUMPRODUCT('calcA'!$D$96:$EQ$96,$DB16:$IO16*1001+$ZQ16:$AFD16))*100+37)</f>
        <v/>
      </c>
      <c r="CX16">
        <f>IF(OR(BI16=1,calcA!$A$6=0),1000000000,IF('calcA'!$JF$47=1,0,100000000)+IF('calcA'!$IQ$47=2,SUMPRODUCT('calcA'!$D$97:$EQ$97,$DB16:$IO16,$IQ16:$OD16)*1000+SUMPRODUCT('calcA'!$D$97:$EQ$97,$DB16:$IO16+$ZQ16:$AFD16,$AFF16:$AKS16),SUMPRODUCT('calcA'!$D$97:$EQ$97,$DB16:$IO16*1001+$ZQ16:$AFD16))*100+38)</f>
        <v/>
      </c>
      <c r="CY16">
        <f>IF(OR(BJ16=1,calcA!$A$6=0),1000000000,IF('calcA'!$JF$48=1,0,100000000)+IF('calcA'!$IQ$48=2,SUMPRODUCT('calcA'!$D$98:$EQ$98,$DB16:$IO16,$IQ16:$OD16)*1000+SUMPRODUCT('calcA'!$D$98:$EQ$98,$DB16:$IO16+$ZQ16:$AFD16,$AFF16:$AKS16),SUMPRODUCT('calcA'!$D$98:$EQ$98,$DB16:$IO16*1001+$ZQ16:$AFD16))*100+39)</f>
        <v/>
      </c>
      <c r="CZ16">
        <f>IF(OR(BK16=1,calcA!$A$6=0),1000000000,IF('calcA'!$JF$49=1,0,100000000)+IF('calcA'!$IQ$49=2,SUMPRODUCT('calcA'!$D$99:$EQ$99,$DB16:$IO16,$IQ16:$OD16)*1000+SUMPRODUCT('calcA'!$D$99:$EQ$99,$DB16:$IO16+$ZQ16:$AFD16,$AFF16:$AKS16),SUMPRODUCT('calcA'!$D$99:$EQ$99,$DB16:$IO16*1001+$ZQ16:$AFD16))*100+40)</f>
        <v/>
      </c>
      <c r="DB16">
        <f>DB15*IF(OR($C15=1,$G15=1),0,1)</f>
        <v/>
      </c>
      <c r="DC16">
        <f>DC15*IF(OR($C15=2,$G15=2),0,1)</f>
        <v/>
      </c>
      <c r="DD16">
        <f>DD15*IF(OR($C15=3,$G15=3),0,1)</f>
        <v/>
      </c>
      <c r="DE16">
        <f>DE15*IF(OR($C15=4,$G15=4),0,1)</f>
        <v/>
      </c>
      <c r="DF16">
        <f>DF15*IF(OR($C15=5,$G15=5),0,1)</f>
        <v/>
      </c>
      <c r="DG16">
        <f>DG15*IF(OR($C15=6,$G15=6),0,1)</f>
        <v/>
      </c>
      <c r="DH16">
        <f>DH15*IF(OR($C15=7,$G15=7),0,1)</f>
        <v/>
      </c>
      <c r="DI16">
        <f>DI15*IF(OR($C15=8,$G15=8),0,1)</f>
        <v/>
      </c>
      <c r="DJ16">
        <f>DJ15*IF(OR($C15=9,$G15=9),0,1)</f>
        <v/>
      </c>
      <c r="DK16">
        <f>DK15*IF(OR($C15=10,$G15=10),0,1)</f>
        <v/>
      </c>
      <c r="DL16">
        <f>DL15*IF(OR($C15=11,$G15=11),0,1)</f>
        <v/>
      </c>
      <c r="DM16">
        <f>DM15*IF(OR($C15=12,$G15=12),0,1)</f>
        <v/>
      </c>
      <c r="DN16">
        <f>DN15*IF(OR($C15=13,$G15=13),0,1)</f>
        <v/>
      </c>
      <c r="DO16">
        <f>DO15*IF(OR($C15=14,$G15=14),0,1)</f>
        <v/>
      </c>
      <c r="DP16">
        <f>DP15*IF(OR($C15=15,$G15=15),0,1)</f>
        <v/>
      </c>
      <c r="DQ16">
        <f>DQ15*IF(OR($C15=16,$G15=16),0,1)</f>
        <v/>
      </c>
      <c r="DR16">
        <f>DR15*IF(OR($C15=17,$G15=17),0,1)</f>
        <v/>
      </c>
      <c r="DS16">
        <f>DS15*IF(OR($C15=18,$G15=18),0,1)</f>
        <v/>
      </c>
      <c r="DT16">
        <f>DT15*IF(OR($C15=19,$G15=19),0,1)</f>
        <v/>
      </c>
      <c r="DU16">
        <f>DU15*IF(OR($C15=20,$G15=20),0,1)</f>
        <v/>
      </c>
      <c r="DV16">
        <f>DV15*IF(OR($C15=21,$G15=21),0,1)</f>
        <v/>
      </c>
      <c r="DW16">
        <f>DW15*IF(OR($C15=22,$G15=22),0,1)</f>
        <v/>
      </c>
      <c r="DX16">
        <f>DX15*IF(OR($C15=23,$G15=23),0,1)</f>
        <v/>
      </c>
      <c r="DY16">
        <f>DY15*IF(OR($C15=24,$G15=24),0,1)</f>
        <v/>
      </c>
      <c r="DZ16">
        <f>DZ15*IF(OR($C15=25,$G15=25),0,1)</f>
        <v/>
      </c>
      <c r="EA16">
        <f>EA15*IF(OR($C15=26,$G15=26),0,1)</f>
        <v/>
      </c>
      <c r="EB16">
        <f>EB15*IF(OR($C15=27,$G15=27),0,1)</f>
        <v/>
      </c>
      <c r="EC16">
        <f>EC15*IF(OR($C15=28,$G15=28),0,1)</f>
        <v/>
      </c>
      <c r="ED16">
        <f>ED15*IF(OR($C15=29,$G15=29),0,1)</f>
        <v/>
      </c>
      <c r="EE16">
        <f>EE15*IF(OR($C15=30,$G15=30),0,1)</f>
        <v/>
      </c>
      <c r="EF16">
        <f>EF15*IF(OR($C15=31,$G15=31),0,1)</f>
        <v/>
      </c>
      <c r="EG16">
        <f>EG15*IF(OR($C15=32,$G15=32),0,1)</f>
        <v/>
      </c>
      <c r="EH16">
        <f>EH15*IF(OR($C15=33,$G15=33),0,1)</f>
        <v/>
      </c>
      <c r="EI16">
        <f>EI15*IF(OR($C15=34,$G15=34),0,1)</f>
        <v/>
      </c>
      <c r="EJ16">
        <f>EJ15*IF(OR($C15=35,$G15=35),0,1)</f>
        <v/>
      </c>
      <c r="EK16">
        <f>EK15*IF(OR($C15=36,$G15=36),0,1)</f>
        <v/>
      </c>
      <c r="EL16">
        <f>EL15*IF(OR($C15=37,$G15=37),0,1)</f>
        <v/>
      </c>
      <c r="EM16">
        <f>EM15*IF(OR($C15=38,$G15=38),0,1)</f>
        <v/>
      </c>
      <c r="EN16">
        <f>EN15*IF(OR($C15=39,$G15=39),0,1)</f>
        <v/>
      </c>
      <c r="EO16">
        <f>EO15*IF(OR($C15=40,$G15=40),0,1)</f>
        <v/>
      </c>
      <c r="EP16">
        <f>EP15*IF(OR($C15=41,$G15=41),0,1)</f>
        <v/>
      </c>
      <c r="EQ16">
        <f>EQ15*IF(OR($C15=42,$G15=42),0,1)</f>
        <v/>
      </c>
      <c r="ER16">
        <f>ER15*IF(OR($C15=43,$G15=43),0,1)</f>
        <v/>
      </c>
      <c r="ES16">
        <f>ES15*IF(OR($C15=44,$G15=44),0,1)</f>
        <v/>
      </c>
      <c r="ET16">
        <f>ET15*IF(OR($C15=45,$G15=45),0,1)</f>
        <v/>
      </c>
      <c r="EU16">
        <f>EU15*IF(OR($C15=46,$G15=46),0,1)</f>
        <v/>
      </c>
      <c r="EV16">
        <f>EV15*IF(OR($C15=47,$G15=47),0,1)</f>
        <v/>
      </c>
      <c r="EW16">
        <f>EW15*IF(OR($C15=48,$G15=48),0,1)</f>
        <v/>
      </c>
      <c r="EX16">
        <f>EX15*IF(OR($C15=49,$G15=49),0,1)</f>
        <v/>
      </c>
      <c r="EY16">
        <f>EY15*IF(OR($C15=50,$G15=50),0,1)</f>
        <v/>
      </c>
      <c r="EZ16">
        <f>EZ15*IF(OR($C15=51,$G15=51),0,1)</f>
        <v/>
      </c>
      <c r="FA16">
        <f>FA15*IF(OR($C15=52,$G15=52),0,1)</f>
        <v/>
      </c>
      <c r="FB16">
        <f>FB15*IF(OR($C15=53,$G15=53),0,1)</f>
        <v/>
      </c>
      <c r="FC16">
        <f>FC15*IF(OR($C15=54,$G15=54),0,1)</f>
        <v/>
      </c>
      <c r="FD16">
        <f>FD15*IF(OR($C15=55,$G15=55),0,1)</f>
        <v/>
      </c>
      <c r="FE16">
        <f>FE15*IF(OR($C15=56,$G15=56),0,1)</f>
        <v/>
      </c>
      <c r="FF16">
        <f>FF15*IF(OR($C15=57,$G15=57),0,1)</f>
        <v/>
      </c>
      <c r="FG16">
        <f>FG15*IF(OR($C15=58,$G15=58),0,1)</f>
        <v/>
      </c>
      <c r="FH16">
        <f>FH15*IF(OR($C15=59,$G15=59),0,1)</f>
        <v/>
      </c>
      <c r="FI16">
        <f>FI15*IF(OR($C15=60,$G15=60),0,1)</f>
        <v/>
      </c>
      <c r="FJ16">
        <f>FJ15*IF(OR($C15=61,$G15=61),0,1)</f>
        <v/>
      </c>
      <c r="FK16">
        <f>FK15*IF(OR($C15=62,$G15=62),0,1)</f>
        <v/>
      </c>
      <c r="FL16">
        <f>FL15*IF(OR($C15=63,$G15=63),0,1)</f>
        <v/>
      </c>
      <c r="FM16">
        <f>FM15*IF(OR($C15=64,$G15=64),0,1)</f>
        <v/>
      </c>
      <c r="FN16">
        <f>FN15*IF(OR($C15=65,$G15=65),0,1)</f>
        <v/>
      </c>
      <c r="FO16">
        <f>FO15*IF(OR($C15=66,$G15=66),0,1)</f>
        <v/>
      </c>
      <c r="FP16">
        <f>FP15*IF(OR($C15=67,$G15=67),0,1)</f>
        <v/>
      </c>
      <c r="FQ16">
        <f>FQ15*IF(OR($C15=68,$G15=68),0,1)</f>
        <v/>
      </c>
      <c r="FR16">
        <f>FR15*IF(OR($C15=69,$G15=69),0,1)</f>
        <v/>
      </c>
      <c r="FS16">
        <f>FS15*IF(OR($C15=70,$G15=70),0,1)</f>
        <v/>
      </c>
      <c r="FT16">
        <f>FT15*IF(OR($C15=71,$G15=71),0,1)</f>
        <v/>
      </c>
      <c r="FU16">
        <f>FU15*IF(OR($C15=72,$G15=72),0,1)</f>
        <v/>
      </c>
      <c r="FV16">
        <f>FV15*IF(OR($C15=73,$G15=73),0,1)</f>
        <v/>
      </c>
      <c r="FW16">
        <f>FW15*IF(OR($C15=74,$G15=74),0,1)</f>
        <v/>
      </c>
      <c r="FX16">
        <f>FX15*IF(OR($C15=75,$G15=75),0,1)</f>
        <v/>
      </c>
      <c r="FY16">
        <f>FY15*IF(OR($C15=76,$G15=76),0,1)</f>
        <v/>
      </c>
      <c r="FZ16">
        <f>FZ15*IF(OR($C15=77,$G15=77),0,1)</f>
        <v/>
      </c>
      <c r="GA16">
        <f>GA15*IF(OR($C15=78,$G15=78),0,1)</f>
        <v/>
      </c>
      <c r="GB16">
        <f>GB15*IF(OR($C15=79,$G15=79),0,1)</f>
        <v/>
      </c>
      <c r="GC16">
        <f>GC15*IF(OR($C15=80,$G15=80),0,1)</f>
        <v/>
      </c>
      <c r="GD16">
        <f>GD15*IF(OR($C15=81,$G15=81),0,1)</f>
        <v/>
      </c>
      <c r="GE16">
        <f>GE15*IF(OR($C15=82,$G15=82),0,1)</f>
        <v/>
      </c>
      <c r="GF16">
        <f>GF15*IF(OR($C15=83,$G15=83),0,1)</f>
        <v/>
      </c>
      <c r="GG16">
        <f>GG15*IF(OR($C15=84,$G15=84),0,1)</f>
        <v/>
      </c>
      <c r="GH16">
        <f>GH15*IF(OR($C15=85,$G15=85),0,1)</f>
        <v/>
      </c>
      <c r="GI16">
        <f>GI15*IF(OR($C15=86,$G15=86),0,1)</f>
        <v/>
      </c>
      <c r="GJ16">
        <f>GJ15*IF(OR($C15=87,$G15=87),0,1)</f>
        <v/>
      </c>
      <c r="GK16">
        <f>GK15*IF(OR($C15=88,$G15=88),0,1)</f>
        <v/>
      </c>
      <c r="GL16">
        <f>GL15*IF(OR($C15=89,$G15=89),0,1)</f>
        <v/>
      </c>
      <c r="GM16">
        <f>GM15*IF(OR($C15=90,$G15=90),0,1)</f>
        <v/>
      </c>
      <c r="GN16">
        <f>GN15*IF(OR($C15=91,$G15=91),0,1)</f>
        <v/>
      </c>
      <c r="GO16">
        <f>GO15*IF(OR($C15=92,$G15=92),0,1)</f>
        <v/>
      </c>
      <c r="GP16">
        <f>GP15*IF(OR($C15=93,$G15=93),0,1)</f>
        <v/>
      </c>
      <c r="GQ16">
        <f>GQ15*IF(OR($C15=94,$G15=94),0,1)</f>
        <v/>
      </c>
      <c r="GR16">
        <f>GR15*IF(OR($C15=95,$G15=95),0,1)</f>
        <v/>
      </c>
      <c r="GS16">
        <f>GS15*IF(OR($C15=96,$G15=96),0,1)</f>
        <v/>
      </c>
      <c r="GT16">
        <f>GT15*IF(OR($C15=97,$G15=97),0,1)</f>
        <v/>
      </c>
      <c r="GU16">
        <f>GU15*IF(OR($C15=98,$G15=98),0,1)</f>
        <v/>
      </c>
      <c r="GV16">
        <f>GV15*IF(OR($C15=99,$G15=99),0,1)</f>
        <v/>
      </c>
      <c r="GW16">
        <f>GW15*IF(OR($C15=100,$G15=100),0,1)</f>
        <v/>
      </c>
      <c r="GX16">
        <f>GX15*IF(OR($C15=101,$G15=101),0,1)</f>
        <v/>
      </c>
      <c r="GY16">
        <f>GY15*IF(OR($C15=102,$G15=102),0,1)</f>
        <v/>
      </c>
      <c r="GZ16">
        <f>GZ15*IF(OR($C15=103,$G15=103),0,1)</f>
        <v/>
      </c>
      <c r="HA16">
        <f>HA15*IF(OR($C15=104,$G15=104),0,1)</f>
        <v/>
      </c>
      <c r="HB16">
        <f>HB15*IF(OR($C15=105,$G15=105),0,1)</f>
        <v/>
      </c>
      <c r="HC16">
        <f>HC15*IF(OR($C15=106,$G15=106),0,1)</f>
        <v/>
      </c>
      <c r="HD16">
        <f>HD15*IF(OR($C15=107,$G15=107),0,1)</f>
        <v/>
      </c>
      <c r="HE16">
        <f>HE15*IF(OR($C15=108,$G15=108),0,1)</f>
        <v/>
      </c>
      <c r="HF16">
        <f>HF15*IF(OR($C15=109,$G15=109),0,1)</f>
        <v/>
      </c>
      <c r="HG16">
        <f>HG15*IF(OR($C15=110,$G15=110),0,1)</f>
        <v/>
      </c>
      <c r="HH16">
        <f>HH15*IF(OR($C15=111,$G15=111),0,1)</f>
        <v/>
      </c>
      <c r="HI16">
        <f>HI15*IF(OR($C15=112,$G15=112),0,1)</f>
        <v/>
      </c>
      <c r="HJ16">
        <f>HJ15*IF(OR($C15=113,$G15=113),0,1)</f>
        <v/>
      </c>
      <c r="HK16">
        <f>HK15*IF(OR($C15=114,$G15=114),0,1)</f>
        <v/>
      </c>
      <c r="HL16">
        <f>HL15*IF(OR($C15=115,$G15=115),0,1)</f>
        <v/>
      </c>
      <c r="HM16">
        <f>HM15*IF(OR($C15=116,$G15=116),0,1)</f>
        <v/>
      </c>
      <c r="HN16">
        <f>HN15*IF(OR($C15=117,$G15=117),0,1)</f>
        <v/>
      </c>
      <c r="HO16">
        <f>HO15*IF(OR($C15=118,$G15=118),0,1)</f>
        <v/>
      </c>
      <c r="HP16">
        <f>HP15*IF(OR($C15=119,$G15=119),0,1)</f>
        <v/>
      </c>
      <c r="HQ16">
        <f>HQ15*IF(OR($C15=120,$G15=120),0,1)</f>
        <v/>
      </c>
      <c r="HR16">
        <f>HR15*IF(OR($C15=121,$G15=121),0,1)</f>
        <v/>
      </c>
      <c r="HS16">
        <f>HS15*IF(OR($C15=122,$G15=122),0,1)</f>
        <v/>
      </c>
      <c r="HT16">
        <f>HT15*IF(OR($C15=123,$G15=123),0,1)</f>
        <v/>
      </c>
      <c r="HU16">
        <f>HU15*IF(OR($C15=124,$G15=124),0,1)</f>
        <v/>
      </c>
      <c r="HV16">
        <f>HV15*IF(OR($C15=125,$G15=125),0,1)</f>
        <v/>
      </c>
      <c r="HW16">
        <f>HW15*IF(OR($C15=126,$G15=126),0,1)</f>
        <v/>
      </c>
      <c r="HX16">
        <f>HX15*IF(OR($C15=127,$G15=127),0,1)</f>
        <v/>
      </c>
      <c r="HY16">
        <f>HY15*IF(OR($C15=128,$G15=128),0,1)</f>
        <v/>
      </c>
      <c r="HZ16">
        <f>HZ15*IF(OR($C15=129,$G15=129),0,1)</f>
        <v/>
      </c>
      <c r="IA16">
        <f>IA15*IF(OR($C15=130,$G15=130),0,1)</f>
        <v/>
      </c>
      <c r="IB16">
        <f>IB15*IF(OR($C15=131,$G15=131),0,1)</f>
        <v/>
      </c>
      <c r="IC16">
        <f>IC15*IF(OR($C15=132,$G15=132),0,1)</f>
        <v/>
      </c>
      <c r="ID16">
        <f>ID15*IF(OR($C15=133,$G15=133),0,1)</f>
        <v/>
      </c>
      <c r="IE16">
        <f>IE15*IF(OR($C15=134,$G15=134),0,1)</f>
        <v/>
      </c>
      <c r="IF16">
        <f>IF15*IF(OR($C15=135,$G15=135),0,1)</f>
        <v/>
      </c>
      <c r="IG16">
        <f>IG15*IF(OR($C15=136,$G15=136),0,1)</f>
        <v/>
      </c>
      <c r="IH16">
        <f>IH15*IF(OR($C15=137,$G15=137),0,1)</f>
        <v/>
      </c>
      <c r="II16">
        <f>II15*IF(OR($C15=138,$G15=138),0,1)</f>
        <v/>
      </c>
      <c r="IJ16">
        <f>IJ15*IF(OR($C15=139,$G15=139),0,1)</f>
        <v/>
      </c>
      <c r="IK16">
        <f>IK15*IF(OR($C15=140,$G15=140),0,1)</f>
        <v/>
      </c>
      <c r="IL16">
        <f>IL15*IF(OR($C15=141,$G15=141),0,1)</f>
        <v/>
      </c>
      <c r="IM16">
        <f>IM15*IF(OR($C15=142,$G15=142),0,1)</f>
        <v/>
      </c>
      <c r="IN16">
        <f>IN15*IF(OR($C15=143,$G15=143),0,1)</f>
        <v/>
      </c>
      <c r="IO16">
        <f>IO15*IF(OR($C15=144,$G15=144),0,1)</f>
        <v/>
      </c>
      <c r="IQ16">
        <f>IF('calcA'!D$106=1,DC16,1)</f>
        <v/>
      </c>
      <c r="IR16">
        <f>IF('calcA'!E$106=1,DD16,1)</f>
        <v/>
      </c>
      <c r="IS16">
        <f>IF('calcA'!F$106=1,DE16,1)</f>
        <v/>
      </c>
      <c r="IT16">
        <f>IF('calcA'!G$106=1,DF16,1)</f>
        <v/>
      </c>
      <c r="IU16">
        <f>IF('calcA'!H$106=1,DG16,1)</f>
        <v/>
      </c>
      <c r="IV16">
        <f>IF('calcA'!I$106=1,DH16,1)</f>
        <v/>
      </c>
      <c r="IW16">
        <f>IF('calcA'!J$106=1,DI16,1)</f>
        <v/>
      </c>
      <c r="IX16">
        <f>IF('calcA'!K$106=1,DJ16,1)</f>
        <v/>
      </c>
      <c r="IY16">
        <f>IF('calcA'!L$106=1,DK16,1)</f>
        <v/>
      </c>
      <c r="IZ16">
        <f>IF('calcA'!M$106=1,DL16,1)</f>
        <v/>
      </c>
      <c r="JA16">
        <f>IF('calcA'!N$106=1,DM16,1)</f>
        <v/>
      </c>
      <c r="JB16">
        <f>IF('calcA'!O$106=1,DN16,1)</f>
        <v/>
      </c>
      <c r="JC16">
        <f>IF('calcA'!P$106=1,DO16,1)</f>
        <v/>
      </c>
      <c r="JD16">
        <f>IF('calcA'!Q$106=1,DP16,1)</f>
        <v/>
      </c>
      <c r="JE16">
        <f>IF('calcA'!R$106=1,DQ16,1)</f>
        <v/>
      </c>
      <c r="JF16">
        <f>IF('calcA'!S$106=1,DR16,1)</f>
        <v/>
      </c>
      <c r="JG16">
        <f>IF('calcA'!T$106=1,DS16,1)</f>
        <v/>
      </c>
      <c r="JH16">
        <f>IF('calcA'!U$106=1,DT16,1)</f>
        <v/>
      </c>
      <c r="JI16">
        <f>IF('calcA'!V$106=1,DU16,1)</f>
        <v/>
      </c>
      <c r="JJ16">
        <f>IF('calcA'!W$106=1,DV16,1)</f>
        <v/>
      </c>
      <c r="JK16">
        <f>IF('calcA'!X$106=1,DW16,1)</f>
        <v/>
      </c>
      <c r="JL16">
        <f>IF('calcA'!Y$106=1,DX16,1)</f>
        <v/>
      </c>
      <c r="JM16">
        <f>IF('calcA'!Z$106=1,DY16,1)</f>
        <v/>
      </c>
      <c r="JN16">
        <f>IF('calcA'!AA$106=1,DZ16,1)</f>
        <v/>
      </c>
      <c r="JO16">
        <f>IF('calcA'!AB$106=1,EA16,1)</f>
        <v/>
      </c>
      <c r="JP16">
        <f>IF('calcA'!AC$106=1,EB16,1)</f>
        <v/>
      </c>
      <c r="JQ16">
        <f>IF('calcA'!AD$106=1,EC16,1)</f>
        <v/>
      </c>
      <c r="JR16">
        <f>IF('calcA'!AE$106=1,ED16,1)</f>
        <v/>
      </c>
      <c r="JS16">
        <f>IF('calcA'!AF$106=1,EE16,1)</f>
        <v/>
      </c>
      <c r="JT16">
        <f>IF('calcA'!AG$106=1,EF16,1)</f>
        <v/>
      </c>
      <c r="JU16">
        <f>IF('calcA'!AH$106=1,EG16,1)</f>
        <v/>
      </c>
      <c r="JV16">
        <f>IF('calcA'!AI$106=1,EH16,1)</f>
        <v/>
      </c>
      <c r="JW16">
        <f>IF('calcA'!AJ$106=1,EI16,1)</f>
        <v/>
      </c>
      <c r="JX16">
        <f>IF('calcA'!AK$106=1,EJ16,1)</f>
        <v/>
      </c>
      <c r="JY16">
        <f>IF('calcA'!AL$106=1,EK16,1)</f>
        <v/>
      </c>
      <c r="JZ16">
        <f>IF('calcA'!AM$106=1,EL16,1)</f>
        <v/>
      </c>
      <c r="KA16">
        <f>IF('calcA'!AN$106=1,EM16,1)</f>
        <v/>
      </c>
      <c r="KB16">
        <f>IF('calcA'!AO$106=1,EN16,1)</f>
        <v/>
      </c>
      <c r="KC16">
        <f>IF('calcA'!AP$106=1,EO16,1)</f>
        <v/>
      </c>
      <c r="KD16">
        <f>IF('calcA'!AQ$106=1,EP16,1)</f>
        <v/>
      </c>
      <c r="KE16">
        <f>IF('calcA'!AR$106=1,EQ16,1)</f>
        <v/>
      </c>
      <c r="KF16">
        <f>IF('calcA'!AS$106=1,ER16,1)</f>
        <v/>
      </c>
      <c r="KG16">
        <f>IF('calcA'!AT$106=1,ES16,1)</f>
        <v/>
      </c>
      <c r="KH16">
        <f>IF('calcA'!AU$106=1,ET16,1)</f>
        <v/>
      </c>
      <c r="KI16">
        <f>IF('calcA'!AV$106=1,EU16,1)</f>
        <v/>
      </c>
      <c r="KJ16">
        <f>IF('calcA'!AW$106=1,EV16,1)</f>
        <v/>
      </c>
      <c r="KK16">
        <f>IF('calcA'!AX$106=1,EW16,1)</f>
        <v/>
      </c>
      <c r="KL16">
        <f>IF('calcA'!AY$106=1,EX16,1)</f>
        <v/>
      </c>
      <c r="KM16">
        <f>IF('calcA'!AZ$106=1,EY16,1)</f>
        <v/>
      </c>
      <c r="KN16">
        <f>IF('calcA'!BA$106=1,EZ16,1)</f>
        <v/>
      </c>
      <c r="KO16">
        <f>IF('calcA'!BB$106=1,FA16,1)</f>
        <v/>
      </c>
      <c r="KP16">
        <f>IF('calcA'!BC$106=1,FB16,1)</f>
        <v/>
      </c>
      <c r="KQ16">
        <f>IF('calcA'!BD$106=1,FC16,1)</f>
        <v/>
      </c>
      <c r="KR16">
        <f>IF('calcA'!BE$106=1,FD16,1)</f>
        <v/>
      </c>
      <c r="KS16">
        <f>IF('calcA'!BF$106=1,FE16,1)</f>
        <v/>
      </c>
      <c r="KT16">
        <f>IF('calcA'!BG$106=1,FF16,1)</f>
        <v/>
      </c>
      <c r="KU16">
        <f>IF('calcA'!BH$106=1,FG16,1)</f>
        <v/>
      </c>
      <c r="KV16">
        <f>IF('calcA'!BI$106=1,FH16,1)</f>
        <v/>
      </c>
      <c r="KW16">
        <f>IF('calcA'!BJ$106=1,FI16,1)</f>
        <v/>
      </c>
      <c r="KX16">
        <f>IF('calcA'!BK$106=1,FJ16,1)</f>
        <v/>
      </c>
      <c r="KY16">
        <f>IF('calcA'!BL$106=1,FK16,1)</f>
        <v/>
      </c>
      <c r="KZ16">
        <f>IF('calcA'!BM$106=1,FL16,1)</f>
        <v/>
      </c>
      <c r="LA16">
        <f>IF('calcA'!BN$106=1,FM16,1)</f>
        <v/>
      </c>
      <c r="LB16">
        <f>IF('calcA'!BO$106=1,FN16,1)</f>
        <v/>
      </c>
      <c r="LC16">
        <f>IF('calcA'!BP$106=1,FO16,1)</f>
        <v/>
      </c>
      <c r="LD16">
        <f>IF('calcA'!BQ$106=1,FP16,1)</f>
        <v/>
      </c>
      <c r="LE16">
        <f>IF('calcA'!BR$106=1,FQ16,1)</f>
        <v/>
      </c>
      <c r="LF16">
        <f>IF('calcA'!BS$106=1,FR16,1)</f>
        <v/>
      </c>
      <c r="LG16">
        <f>IF('calcA'!BT$106=1,FS16,1)</f>
        <v/>
      </c>
      <c r="LH16">
        <f>IF('calcA'!BU$106=1,FT16,1)</f>
        <v/>
      </c>
      <c r="LI16">
        <f>IF('calcA'!BV$106=1,FU16,1)</f>
        <v/>
      </c>
      <c r="LJ16">
        <f>IF('calcA'!BW$106=1,FV16,1)</f>
        <v/>
      </c>
      <c r="LK16">
        <f>IF('calcA'!BX$106=1,FW16,1)</f>
        <v/>
      </c>
      <c r="LL16">
        <f>IF('calcA'!BY$106=1,FX16,1)</f>
        <v/>
      </c>
      <c r="LM16">
        <f>IF('calcA'!BZ$106=1,FY16,1)</f>
        <v/>
      </c>
      <c r="LN16">
        <f>IF('calcA'!CA$106=1,FZ16,1)</f>
        <v/>
      </c>
      <c r="LO16">
        <f>IF('calcA'!CB$106=1,GA16,1)</f>
        <v/>
      </c>
      <c r="LP16">
        <f>IF('calcA'!CC$106=1,GB16,1)</f>
        <v/>
      </c>
      <c r="LQ16">
        <f>IF('calcA'!CD$106=1,GC16,1)</f>
        <v/>
      </c>
      <c r="LR16">
        <f>IF('calcA'!CE$106=1,GD16,1)</f>
        <v/>
      </c>
      <c r="LS16">
        <f>IF('calcA'!CF$106=1,GE16,1)</f>
        <v/>
      </c>
      <c r="LT16">
        <f>IF('calcA'!CG$106=1,GF16,1)</f>
        <v/>
      </c>
      <c r="LU16">
        <f>IF('calcA'!CH$106=1,GG16,1)</f>
        <v/>
      </c>
      <c r="LV16">
        <f>IF('calcA'!CI$106=1,GH16,1)</f>
        <v/>
      </c>
      <c r="LW16">
        <f>IF('calcA'!CJ$106=1,GI16,1)</f>
        <v/>
      </c>
      <c r="LX16">
        <f>IF('calcA'!CK$106=1,GJ16,1)</f>
        <v/>
      </c>
      <c r="LY16">
        <f>IF('calcA'!CL$106=1,GK16,1)</f>
        <v/>
      </c>
      <c r="LZ16">
        <f>IF('calcA'!CM$106=1,GL16,1)</f>
        <v/>
      </c>
      <c r="MA16">
        <f>IF('calcA'!CN$106=1,GM16,1)</f>
        <v/>
      </c>
      <c r="MB16">
        <f>IF('calcA'!CO$106=1,GN16,1)</f>
        <v/>
      </c>
      <c r="MC16">
        <f>IF('calcA'!CP$106=1,GO16,1)</f>
        <v/>
      </c>
      <c r="MD16">
        <f>IF('calcA'!CQ$106=1,GP16,1)</f>
        <v/>
      </c>
      <c r="ME16">
        <f>IF('calcA'!CR$106=1,GQ16,1)</f>
        <v/>
      </c>
      <c r="MF16">
        <f>IF('calcA'!CS$106=1,GR16,1)</f>
        <v/>
      </c>
      <c r="MG16">
        <f>IF('calcA'!CT$106=1,GS16,1)</f>
        <v/>
      </c>
      <c r="MH16">
        <f>IF('calcA'!CU$106=1,GT16,1)</f>
        <v/>
      </c>
      <c r="MI16">
        <f>IF('calcA'!CV$106=1,GU16,1)</f>
        <v/>
      </c>
      <c r="MJ16">
        <f>IF('calcA'!CW$106=1,GV16,1)</f>
        <v/>
      </c>
      <c r="MK16">
        <f>IF('calcA'!CX$106=1,GW16,1)</f>
        <v/>
      </c>
      <c r="ML16">
        <f>IF('calcA'!CY$106=1,GX16,1)</f>
        <v/>
      </c>
      <c r="MM16">
        <f>IF('calcA'!CZ$106=1,GY16,1)</f>
        <v/>
      </c>
      <c r="MN16">
        <f>IF('calcA'!DA$106=1,GZ16,1)</f>
        <v/>
      </c>
      <c r="MO16">
        <f>IF('calcA'!DB$106=1,HA16,1)</f>
        <v/>
      </c>
      <c r="MP16">
        <f>IF('calcA'!DC$106=1,HB16,1)</f>
        <v/>
      </c>
      <c r="MQ16">
        <f>IF('calcA'!DD$106=1,HC16,1)</f>
        <v/>
      </c>
      <c r="MR16">
        <f>IF('calcA'!DE$106=1,HD16,1)</f>
        <v/>
      </c>
      <c r="MS16">
        <f>IF('calcA'!DF$106=1,HE16,1)</f>
        <v/>
      </c>
      <c r="MT16">
        <f>IF('calcA'!DG$106=1,HF16,1)</f>
        <v/>
      </c>
      <c r="MU16">
        <f>IF('calcA'!DH$106=1,HG16,1)</f>
        <v/>
      </c>
      <c r="MV16">
        <f>IF('calcA'!DI$106=1,HH16,1)</f>
        <v/>
      </c>
      <c r="MW16">
        <f>IF('calcA'!DJ$106=1,HI16,1)</f>
        <v/>
      </c>
      <c r="MX16">
        <f>IF('calcA'!DK$106=1,HJ16,1)</f>
        <v/>
      </c>
      <c r="MY16">
        <f>IF('calcA'!DL$106=1,HK16,1)</f>
        <v/>
      </c>
      <c r="MZ16">
        <f>IF('calcA'!DM$106=1,HL16,1)</f>
        <v/>
      </c>
      <c r="NA16">
        <f>IF('calcA'!DN$106=1,HM16,1)</f>
        <v/>
      </c>
      <c r="NB16">
        <f>IF('calcA'!DO$106=1,HN16,1)</f>
        <v/>
      </c>
      <c r="NC16">
        <f>IF('calcA'!DP$106=1,HO16,1)</f>
        <v/>
      </c>
      <c r="ND16">
        <f>IF('calcA'!DQ$106=1,HP16,1)</f>
        <v/>
      </c>
      <c r="NE16">
        <f>IF('calcA'!DR$106=1,HQ16,1)</f>
        <v/>
      </c>
      <c r="NF16">
        <f>IF('calcA'!DS$106=1,HR16,1)</f>
        <v/>
      </c>
      <c r="NG16">
        <f>IF('calcA'!DT$106=1,HS16,1)</f>
        <v/>
      </c>
      <c r="NH16">
        <f>IF('calcA'!DU$106=1,HT16,1)</f>
        <v/>
      </c>
      <c r="NI16">
        <f>IF('calcA'!DV$106=1,HU16,1)</f>
        <v/>
      </c>
      <c r="NJ16">
        <f>IF('calcA'!DW$106=1,HV16,1)</f>
        <v/>
      </c>
      <c r="NK16">
        <f>IF('calcA'!DX$106=1,HW16,1)</f>
        <v/>
      </c>
      <c r="NL16">
        <f>IF('calcA'!DY$106=1,HX16,1)</f>
        <v/>
      </c>
      <c r="NM16">
        <f>IF('calcA'!DZ$106=1,HY16,1)</f>
        <v/>
      </c>
      <c r="NN16">
        <f>IF('calcA'!EA$106=1,HZ16,1)</f>
        <v/>
      </c>
      <c r="NO16">
        <f>IF('calcA'!EB$106=1,IA16,1)</f>
        <v/>
      </c>
      <c r="NP16">
        <f>IF('calcA'!EC$106=1,IB16,1)</f>
        <v/>
      </c>
      <c r="NQ16">
        <f>IF('calcA'!ED$106=1,IC16,1)</f>
        <v/>
      </c>
      <c r="NR16">
        <f>IF('calcA'!EE$106=1,ID16,1)</f>
        <v/>
      </c>
      <c r="NS16">
        <f>IF('calcA'!EF$106=1,IE16,1)</f>
        <v/>
      </c>
      <c r="NT16">
        <f>IF('calcA'!EG$106=1,IF16,1)</f>
        <v/>
      </c>
      <c r="NU16">
        <f>IF('calcA'!EH$106=1,IG16,1)</f>
        <v/>
      </c>
      <c r="NV16">
        <f>IF('calcA'!EI$106=1,IH16,1)</f>
        <v/>
      </c>
      <c r="NW16">
        <f>IF('calcA'!EJ$106=1,II16,1)</f>
        <v/>
      </c>
      <c r="NX16">
        <f>IF('calcA'!EK$106=1,IJ16,1)</f>
        <v/>
      </c>
      <c r="NY16">
        <f>IF('calcA'!EL$106=1,IK16,1)</f>
        <v/>
      </c>
      <c r="NZ16">
        <f>IF('calcA'!EM$106=1,IL16,1)</f>
        <v/>
      </c>
      <c r="OA16">
        <f>IF('calcA'!EN$106=1,IM16,1)</f>
        <v/>
      </c>
      <c r="OB16">
        <f>IF('calcA'!EO$106=1,IN16,1)</f>
        <v/>
      </c>
      <c r="OC16">
        <f>IF('calcA'!EP$106=1,IO16,1)</f>
        <v/>
      </c>
      <c r="OD16" t="n">
        <v>1</v>
      </c>
      <c r="OF16">
        <f>IF($B16=0,1000000000,IF(INDEX('calcA'!$D$60:$EQ$99,$B16,1)*IF($W16=1,DB16+ZQ16,DB16)=1,IF(AND($E16=2,IF($W16=1,AFF16,IQ16)=0),1000000000,IF($V16=1,INDEX('calcA'!$D$130:$EQ$169,$B16,1)+IF(AND($E16=1,IQ16=0),25,0),INDEX('calcA'!D$110:D$114,$F16+1)+IF(AND($E16=1,IQ16=0),1000,0)+IF($H16=1,INDEX('calcA'!$D$180:$EQ$219,$B16,1)*500,0)-IF(AND($U16=1,'calcA'!D$117=1,DC16=0),300,0))),1000000000))</f>
        <v/>
      </c>
      <c r="OG16">
        <f>IF($B16=0,1000000000,IF(INDEX('calcA'!$D$60:$EQ$99,$B16,2)*IF($W16=1,DC16+ZR16,DC16)=1,IF(AND($E16=2,IF($W16=1,AFG16,IR16)=0),1000000000,IF($V16=1,INDEX('calcA'!$D$130:$EQ$169,$B16,2)+IF(AND($E16=1,IR16=0),25,0),INDEX('calcA'!E$110:E$114,$F16+1)+IF(AND($E16=1,IR16=0),1000,0)+IF($H16=1,INDEX('calcA'!$D$180:$EQ$219,$B16,2)*500,0)-IF(AND('calcA'!D$117=1,UB16&gt;0),300,0)-IF(AND($U16=1,'calcA'!E$117=1,DD16=0),300,0))),1000000000))</f>
        <v/>
      </c>
      <c r="OH16">
        <f>IF($B16=0,1000000000,IF(INDEX('calcA'!$D$60:$EQ$99,$B16,3)*IF($W16=1,DD16+ZS16,DD16)=1,IF(AND($E16=2,IF($W16=1,AFH16,IS16)=0),1000000000,IF($V16=1,INDEX('calcA'!$D$130:$EQ$169,$B16,3)+IF(AND($E16=1,IS16=0),25,0),INDEX('calcA'!F$110:F$114,$F16+1)+IF(AND($E16=1,IS16=0),1000,0)+IF($H16=1,INDEX('calcA'!$D$180:$EQ$219,$B16,3)*500,0)-IF(AND('calcA'!E$117=1,UC16&gt;0),300,0)-IF(AND($U16=1,'calcA'!F$117=1,DE16=0),300,0))),1000000000))</f>
        <v/>
      </c>
      <c r="OI16">
        <f>IF($B16=0,1000000000,IF(INDEX('calcA'!$D$60:$EQ$99,$B16,4)*IF($W16=1,DE16+ZT16,DE16)=1,IF(AND($E16=2,IF($W16=1,AFI16,IT16)=0),1000000000,IF($V16=1,INDEX('calcA'!$D$130:$EQ$169,$B16,4)+IF(AND($E16=1,IT16=0),25,0),INDEX('calcA'!G$110:G$114,$F16+1)+IF(AND($E16=1,IT16=0),1000,0)+IF($H16=1,INDEX('calcA'!$D$180:$EQ$219,$B16,4)*500,0)-IF(AND('calcA'!F$117=1,UD16&gt;0),300,0)-IF(AND($U16=1,'calcA'!G$117=1,DF16=0),300,0))),1000000000))</f>
        <v/>
      </c>
      <c r="OJ16">
        <f>IF($B16=0,1000000000,IF(INDEX('calcA'!$D$60:$EQ$99,$B16,5)*IF($W16=1,DF16+ZU16,DF16)=1,IF(AND($E16=2,IF($W16=1,AFJ16,IU16)=0),1000000000,IF($V16=1,INDEX('calcA'!$D$130:$EQ$169,$B16,5)+IF(AND($E16=1,IU16=0),25,0),INDEX('calcA'!H$110:H$114,$F16+1)+IF(AND($E16=1,IU16=0),1000,0)+IF($H16=1,INDEX('calcA'!$D$180:$EQ$219,$B16,5)*500,0)-IF(AND('calcA'!G$117=1,UE16&gt;0),300,0)-IF(AND($U16=1,'calcA'!H$117=1,DG16=0),300,0))),1000000000))</f>
        <v/>
      </c>
      <c r="OK16">
        <f>IF($B16=0,1000000000,IF(INDEX('calcA'!$D$60:$EQ$99,$B16,6)*IF($W16=1,DG16+ZV16,DG16)=1,IF(AND($E16=2,IF($W16=1,AFK16,IV16)=0),1000000000,IF($V16=1,INDEX('calcA'!$D$130:$EQ$169,$B16,6)+IF(AND($E16=1,IV16=0),25,0),INDEX('calcA'!I$110:I$114,$F16+1)+IF(AND($E16=1,IV16=0),1000,0)+IF($H16=1,INDEX('calcA'!$D$180:$EQ$219,$B16,6)*500,0)-IF(AND('calcA'!H$117=1,UF16&gt;0),300,0)-IF(AND($U16=1,'calcA'!I$117=1,DH16=0),300,0))),1000000000))</f>
        <v/>
      </c>
      <c r="OL16">
        <f>IF($B16=0,1000000000,IF(INDEX('calcA'!$D$60:$EQ$99,$B16,7)*IF($W16=1,DH16+ZW16,DH16)=1,IF(AND($E16=2,IF($W16=1,AFL16,IW16)=0),1000000000,IF($V16=1,INDEX('calcA'!$D$130:$EQ$169,$B16,7)+IF(AND($E16=1,IW16=0),25,0),INDEX('calcA'!J$110:J$114,$F16+1)+IF(AND($E16=1,IW16=0),1000,0)+IF($H16=1,INDEX('calcA'!$D$180:$EQ$219,$B16,7)*500,0)-IF(AND('calcA'!I$117=1,UG16&gt;0),300,0)-IF(AND($U16=1,'calcA'!J$117=1,DI16=0),300,0))),1000000000))</f>
        <v/>
      </c>
      <c r="OM16">
        <f>IF($B16=0,1000000000,IF(INDEX('calcA'!$D$60:$EQ$99,$B16,8)*IF($W16=1,DI16+ZX16,DI16)=1,IF(AND($E16=2,IF($W16=1,AFM16,IX16)=0),1000000000,IF($V16=1,INDEX('calcA'!$D$130:$EQ$169,$B16,8)+IF(AND($E16=1,IX16=0),25,0),INDEX('calcA'!K$110:K$114,$F16+1)+IF(AND($E16=1,IX16=0),1000,0)+IF($H16=1,INDEX('calcA'!$D$180:$EQ$219,$B16,8)*500,0)-IF(AND('calcA'!J$117=1,UH16&gt;0),300,0)-IF(AND($U16=1,'calcA'!K$117=1,DJ16=0),300,0))),1000000000))</f>
        <v/>
      </c>
      <c r="ON16">
        <f>IF($B16=0,1000000000,IF(INDEX('calcA'!$D$60:$EQ$99,$B16,9)*IF($W16=1,DJ16+ZY16,DJ16)=1,IF(AND($E16=2,IF($W16=1,AFN16,IY16)=0),1000000000,IF($V16=1,INDEX('calcA'!$D$130:$EQ$169,$B16,9)+IF(AND($E16=1,IY16=0),25,0),INDEX('calcA'!L$110:L$114,$F16+1)+IF(AND($E16=1,IY16=0),1000,0)+IF($H16=1,INDEX('calcA'!$D$180:$EQ$219,$B16,9)*500,0)-IF(AND('calcA'!K$117=1,UI16&gt;0),300,0)-IF(AND($U16=1,'calcA'!L$117=1,DK16=0),300,0))),1000000000))</f>
        <v/>
      </c>
      <c r="OO16">
        <f>IF($B16=0,1000000000,IF(INDEX('calcA'!$D$60:$EQ$99,$B16,10)*IF($W16=1,DK16+ZZ16,DK16)=1,IF(AND($E16=2,IF($W16=1,AFO16,IZ16)=0),1000000000,IF($V16=1,INDEX('calcA'!$D$130:$EQ$169,$B16,10)+IF(AND($E16=1,IZ16=0),25,0),INDEX('calcA'!M$110:M$114,$F16+1)+IF(AND($E16=1,IZ16=0),1000,0)+IF($H16=1,INDEX('calcA'!$D$180:$EQ$219,$B16,10)*500,0)-IF(AND('calcA'!L$117=1,UJ16&gt;0),300,0)-IF(AND($U16=1,'calcA'!M$117=1,DL16=0),300,0))),1000000000))</f>
        <v/>
      </c>
      <c r="OP16">
        <f>IF($B16=0,1000000000,IF(INDEX('calcA'!$D$60:$EQ$99,$B16,11)*IF($W16=1,DL16+AAA16,DL16)=1,IF(AND($E16=2,IF($W16=1,AFP16,JA16)=0),1000000000,IF($V16=1,INDEX('calcA'!$D$130:$EQ$169,$B16,11)+IF(AND($E16=1,JA16=0),25,0),INDEX('calcA'!N$110:N$114,$F16+1)+IF(AND($E16=1,JA16=0),1000,0)+IF($H16=1,INDEX('calcA'!$D$180:$EQ$219,$B16,11)*500,0)-IF(AND('calcA'!M$117=1,UK16&gt;0),300,0)-IF(AND($U16=1,'calcA'!N$117=1,DM16=0),300,0))),1000000000))</f>
        <v/>
      </c>
      <c r="OQ16">
        <f>IF($B16=0,1000000000,IF(INDEX('calcA'!$D$60:$EQ$99,$B16,12)*IF($W16=1,DM16+AAB16,DM16)=1,IF(AND($E16=2,IF($W16=1,AFQ16,JB16)=0),1000000000,IF($V16=1,INDEX('calcA'!$D$130:$EQ$169,$B16,12)+IF(AND($E16=1,JB16=0),25,0),INDEX('calcA'!O$110:O$114,$F16+1)+IF(AND($E16=1,JB16=0),1000,0)+IF($H16=1,INDEX('calcA'!$D$180:$EQ$219,$B16,12)*500,0)-IF(AND('calcA'!N$117=1,UL16&gt;0),300,0)-IF(AND($U16=1,'calcA'!O$117=1,DN16=0),300,0))),1000000000))</f>
        <v/>
      </c>
      <c r="OR16">
        <f>IF($B16=0,1000000000,IF(INDEX('calcA'!$D$60:$EQ$99,$B16,13)*IF($W16=1,DN16+AAC16,DN16)=1,IF(AND($E16=2,IF($W16=1,AFR16,JC16)=0),1000000000,IF($V16=1,INDEX('calcA'!$D$130:$EQ$169,$B16,13)+IF(AND($E16=1,JC16=0),25,0),INDEX('calcA'!P$110:P$114,$F16+1)+IF(AND($E16=1,JC16=0),1000,0)+IF($H16=1,INDEX('calcA'!$D$180:$EQ$219,$B16,13)*500,0)-IF(AND('calcA'!O$117=1,UM16&gt;0),300,0)-IF(AND($U16=1,'calcA'!P$117=1,DO16=0),300,0))),1000000000))</f>
        <v/>
      </c>
      <c r="OS16">
        <f>IF($B16=0,1000000000,IF(INDEX('calcA'!$D$60:$EQ$99,$B16,14)*IF($W16=1,DO16+AAD16,DO16)=1,IF(AND($E16=2,IF($W16=1,AFS16,JD16)=0),1000000000,IF($V16=1,INDEX('calcA'!$D$130:$EQ$169,$B16,14)+IF(AND($E16=1,JD16=0),25,0),INDEX('calcA'!Q$110:Q$114,$F16+1)+IF(AND($E16=1,JD16=0),1000,0)+IF($H16=1,INDEX('calcA'!$D$180:$EQ$219,$B16,14)*500,0)-IF(AND('calcA'!P$117=1,UN16&gt;0),300,0)-IF(AND($U16=1,'calcA'!Q$117=1,DP16=0),300,0))),1000000000))</f>
        <v/>
      </c>
      <c r="OT16">
        <f>IF($B16=0,1000000000,IF(INDEX('calcA'!$D$60:$EQ$99,$B16,15)*IF($W16=1,DP16+AAE16,DP16)=1,IF(AND($E16=2,IF($W16=1,AFT16,JE16)=0),1000000000,IF($V16=1,INDEX('calcA'!$D$130:$EQ$169,$B16,15)+IF(AND($E16=1,JE16=0),25,0),INDEX('calcA'!R$110:R$114,$F16+1)+IF(AND($E16=1,JE16=0),1000,0)+IF($H16=1,INDEX('calcA'!$D$180:$EQ$219,$B16,15)*500,0)-IF(AND('calcA'!Q$117=1,UO16&gt;0),300,0)-IF(AND($U16=1,'calcA'!R$117=1,DQ16=0),300,0))),1000000000))</f>
        <v/>
      </c>
      <c r="OU16">
        <f>IF($B16=0,1000000000,IF(INDEX('calcA'!$D$60:$EQ$99,$B16,16)*IF($W16=1,DQ16+AAF16,DQ16)=1,IF(AND($E16=2,IF($W16=1,AFU16,JF16)=0),1000000000,IF($V16=1,INDEX('calcA'!$D$130:$EQ$169,$B16,16)+IF(AND($E16=1,JF16=0),25,0),INDEX('calcA'!S$110:S$114,$F16+1)+IF(AND($E16=1,JF16=0),1000,0)+IF($H16=1,INDEX('calcA'!$D$180:$EQ$219,$B16,16)*500,0)-IF(AND('calcA'!R$117=1,UP16&gt;0),300,0)-IF(AND($U16=1,'calcA'!S$117=1,DR16=0),300,0))),1000000000))</f>
        <v/>
      </c>
      <c r="OV16">
        <f>IF($B16=0,1000000000,IF(INDEX('calcA'!$D$60:$EQ$99,$B16,17)*IF($W16=1,DR16+AAG16,DR16)=1,IF(AND($E16=2,IF($W16=1,AFV16,JG16)=0),1000000000,IF($V16=1,INDEX('calcA'!$D$130:$EQ$169,$B16,17)+IF(AND($E16=1,JG16=0),25,0),INDEX('calcA'!T$110:T$114,$F16+1)+IF(AND($E16=1,JG16=0),1000,0)+IF($H16=1,INDEX('calcA'!$D$180:$EQ$219,$B16,17)*500,0)-IF(AND('calcA'!S$117=1,UQ16&gt;0),300,0)-IF(AND($U16=1,'calcA'!T$117=1,DS16=0),300,0))),1000000000))</f>
        <v/>
      </c>
      <c r="OW16">
        <f>IF($B16=0,1000000000,IF(INDEX('calcA'!$D$60:$EQ$99,$B16,18)*IF($W16=1,DS16+AAH16,DS16)=1,IF(AND($E16=2,IF($W16=1,AFW16,JH16)=0),1000000000,IF($V16=1,INDEX('calcA'!$D$130:$EQ$169,$B16,18)+IF(AND($E16=1,JH16=0),25,0),INDEX('calcA'!U$110:U$114,$F16+1)+IF(AND($E16=1,JH16=0),1000,0)+IF($H16=1,INDEX('calcA'!$D$180:$EQ$219,$B16,18)*500,0)-IF(AND('calcA'!T$117=1,UR16&gt;0),300,0)-IF(AND($U16=1,'calcA'!U$117=1,DT16=0),300,0))),1000000000))</f>
        <v/>
      </c>
      <c r="OX16">
        <f>IF($B16=0,1000000000,IF(INDEX('calcA'!$D$60:$EQ$99,$B16,19)*IF($W16=1,DT16+AAI16,DT16)=1,IF(AND($E16=2,IF($W16=1,AFX16,JI16)=0),1000000000,IF($V16=1,INDEX('calcA'!$D$130:$EQ$169,$B16,19)+IF(AND($E16=1,JI16=0),25,0),INDEX('calcA'!V$110:V$114,$F16+1)+IF(AND($E16=1,JI16=0),1000,0)+IF($H16=1,INDEX('calcA'!$D$180:$EQ$219,$B16,19)*500,0)-IF(AND('calcA'!U$117=1,US16&gt;0),300,0)-IF(AND($U16=1,'calcA'!V$117=1,DU16=0),300,0))),1000000000))</f>
        <v/>
      </c>
      <c r="OY16">
        <f>IF($B16=0,1000000000,IF(INDEX('calcA'!$D$60:$EQ$99,$B16,20)*IF($W16=1,DU16+AAJ16,DU16)=1,IF(AND($E16=2,IF($W16=1,AFY16,JJ16)=0),1000000000,IF($V16=1,INDEX('calcA'!$D$130:$EQ$169,$B16,20)+IF(AND($E16=1,JJ16=0),25,0),INDEX('calcA'!W$110:W$114,$F16+1)+IF(AND($E16=1,JJ16=0),1000,0)+IF($H16=1,INDEX('calcA'!$D$180:$EQ$219,$B16,20)*500,0)-IF(AND('calcA'!V$117=1,UT16&gt;0),300,0)-IF(AND($U16=1,'calcA'!W$117=1,DV16=0),300,0))),1000000000))</f>
        <v/>
      </c>
      <c r="OZ16">
        <f>IF($B16=0,1000000000,IF(INDEX('calcA'!$D$60:$EQ$99,$B16,21)*IF($W16=1,DV16+AAK16,DV16)=1,IF(AND($E16=2,IF($W16=1,AFZ16,JK16)=0),1000000000,IF($V16=1,INDEX('calcA'!$D$130:$EQ$169,$B16,21)+IF(AND($E16=1,JK16=0),25,0),INDEX('calcA'!X$110:X$114,$F16+1)+IF(AND($E16=1,JK16=0),1000,0)+IF($H16=1,INDEX('calcA'!$D$180:$EQ$219,$B16,21)*500,0)-IF(AND('calcA'!W$117=1,UU16&gt;0),300,0)-IF(AND($U16=1,'calcA'!X$117=1,DW16=0),300,0))),1000000000))</f>
        <v/>
      </c>
      <c r="PA16">
        <f>IF($B16=0,1000000000,IF(INDEX('calcA'!$D$60:$EQ$99,$B16,22)*IF($W16=1,DW16+AAL16,DW16)=1,IF(AND($E16=2,IF($W16=1,AGA16,JL16)=0),1000000000,IF($V16=1,INDEX('calcA'!$D$130:$EQ$169,$B16,22)+IF(AND($E16=1,JL16=0),25,0),INDEX('calcA'!Y$110:Y$114,$F16+1)+IF(AND($E16=1,JL16=0),1000,0)+IF($H16=1,INDEX('calcA'!$D$180:$EQ$219,$B16,22)*500,0)-IF(AND('calcA'!X$117=1,UV16&gt;0),300,0)-IF(AND($U16=1,'calcA'!Y$117=1,DX16=0),300,0))),1000000000))</f>
        <v/>
      </c>
      <c r="PB16">
        <f>IF($B16=0,1000000000,IF(INDEX('calcA'!$D$60:$EQ$99,$B16,23)*IF($W16=1,DX16+AAM16,DX16)=1,IF(AND($E16=2,IF($W16=1,AGB16,JM16)=0),1000000000,IF($V16=1,INDEX('calcA'!$D$130:$EQ$169,$B16,23)+IF(AND($E16=1,JM16=0),25,0),INDEX('calcA'!Z$110:Z$114,$F16+1)+IF(AND($E16=1,JM16=0),1000,0)+IF($H16=1,INDEX('calcA'!$D$180:$EQ$219,$B16,23)*500,0)-IF(AND('calcA'!Y$117=1,UW16&gt;0),300,0)-IF(AND($U16=1,'calcA'!Z$117=1,DY16=0),300,0))),1000000000))</f>
        <v/>
      </c>
      <c r="PC16">
        <f>IF($B16=0,1000000000,IF(INDEX('calcA'!$D$60:$EQ$99,$B16,24)*IF($W16=1,DY16+AAN16,DY16)=1,IF(AND($E16=2,IF($W16=1,AGC16,JN16)=0),1000000000,IF($V16=1,INDEX('calcA'!$D$130:$EQ$169,$B16,24)+IF(AND($E16=1,JN16=0),25,0),INDEX('calcA'!AA$110:AA$114,$F16+1)+IF(AND($E16=1,JN16=0),1000,0)+IF($H16=1,INDEX('calcA'!$D$180:$EQ$219,$B16,24)*500,0)-IF(AND('calcA'!Z$117=1,UX16&gt;0),300,0))),1000000000))</f>
        <v/>
      </c>
      <c r="PD16">
        <f>IF($B16=0,1000000000,IF(INDEX('calcA'!$D$60:$EQ$99,$B16,25)*IF($W16=1,DZ16+AAO16,DZ16)=1,IF(AND($E16=2,IF($W16=1,AGD16,JO16)=0),1000000000,IF($V16=1,INDEX('calcA'!$D$130:$EQ$169,$B16,25)+IF(AND($E16=1,JO16=0),25,0),INDEX('calcA'!AB$110:AB$114,$F16+1)+IF(AND($E16=1,JO16=0),1000,0)+IF($H16=1,INDEX('calcA'!$D$180:$EQ$219,$B16,25)*500,0)-IF(AND($U16=1,'calcA'!AB$117=1,EA16=0),300,0))),1000000000))</f>
        <v/>
      </c>
      <c r="PE16">
        <f>IF($B16=0,1000000000,IF(INDEX('calcA'!$D$60:$EQ$99,$B16,26)*IF($W16=1,EA16+AAP16,EA16)=1,IF(AND($E16=2,IF($W16=1,AGE16,JP16)=0),1000000000,IF($V16=1,INDEX('calcA'!$D$130:$EQ$169,$B16,26)+IF(AND($E16=1,JP16=0),25,0),INDEX('calcA'!AC$110:AC$114,$F16+1)+IF(AND($E16=1,JP16=0),1000,0)+IF($H16=1,INDEX('calcA'!$D$180:$EQ$219,$B16,26)*500,0)-IF(AND('calcA'!AB$117=1,UZ16&gt;0),300,0)-IF(AND($U16=1,'calcA'!AC$117=1,EB16=0),300,0))),1000000000))</f>
        <v/>
      </c>
      <c r="PF16">
        <f>IF($B16=0,1000000000,IF(INDEX('calcA'!$D$60:$EQ$99,$B16,27)*IF($W16=1,EB16+AAQ16,EB16)=1,IF(AND($E16=2,IF($W16=1,AGF16,JQ16)=0),1000000000,IF($V16=1,INDEX('calcA'!$D$130:$EQ$169,$B16,27)+IF(AND($E16=1,JQ16=0),25,0),INDEX('calcA'!AD$110:AD$114,$F16+1)+IF(AND($E16=1,JQ16=0),1000,0)+IF($H16=1,INDEX('calcA'!$D$180:$EQ$219,$B16,27)*500,0)-IF(AND('calcA'!AC$117=1,VA16&gt;0),300,0)-IF(AND($U16=1,'calcA'!AD$117=1,EC16=0),300,0))),1000000000))</f>
        <v/>
      </c>
      <c r="PG16">
        <f>IF($B16=0,1000000000,IF(INDEX('calcA'!$D$60:$EQ$99,$B16,28)*IF($W16=1,EC16+AAR16,EC16)=1,IF(AND($E16=2,IF($W16=1,AGG16,JR16)=0),1000000000,IF($V16=1,INDEX('calcA'!$D$130:$EQ$169,$B16,28)+IF(AND($E16=1,JR16=0),25,0),INDEX('calcA'!AE$110:AE$114,$F16+1)+IF(AND($E16=1,JR16=0),1000,0)+IF($H16=1,INDEX('calcA'!$D$180:$EQ$219,$B16,28)*500,0)-IF(AND('calcA'!AD$117=1,VB16&gt;0),300,0)-IF(AND($U16=1,'calcA'!AE$117=1,ED16=0),300,0))),1000000000))</f>
        <v/>
      </c>
      <c r="PH16">
        <f>IF($B16=0,1000000000,IF(INDEX('calcA'!$D$60:$EQ$99,$B16,29)*IF($W16=1,ED16+AAS16,ED16)=1,IF(AND($E16=2,IF($W16=1,AGH16,JS16)=0),1000000000,IF($V16=1,INDEX('calcA'!$D$130:$EQ$169,$B16,29)+IF(AND($E16=1,JS16=0),25,0),INDEX('calcA'!AF$110:AF$114,$F16+1)+IF(AND($E16=1,JS16=0),1000,0)+IF($H16=1,INDEX('calcA'!$D$180:$EQ$219,$B16,29)*500,0)-IF(AND('calcA'!AE$117=1,VC16&gt;0),300,0)-IF(AND($U16=1,'calcA'!AF$117=1,EE16=0),300,0))),1000000000))</f>
        <v/>
      </c>
      <c r="PI16">
        <f>IF($B16=0,1000000000,IF(INDEX('calcA'!$D$60:$EQ$99,$B16,30)*IF($W16=1,EE16+AAT16,EE16)=1,IF(AND($E16=2,IF($W16=1,AGI16,JT16)=0),1000000000,IF($V16=1,INDEX('calcA'!$D$130:$EQ$169,$B16,30)+IF(AND($E16=1,JT16=0),25,0),INDEX('calcA'!AG$110:AG$114,$F16+1)+IF(AND($E16=1,JT16=0),1000,0)+IF($H16=1,INDEX('calcA'!$D$180:$EQ$219,$B16,30)*500,0)-IF(AND('calcA'!AF$117=1,VD16&gt;0),300,0)-IF(AND($U16=1,'calcA'!AG$117=1,EF16=0),300,0))),1000000000))</f>
        <v/>
      </c>
      <c r="PJ16">
        <f>IF($B16=0,1000000000,IF(INDEX('calcA'!$D$60:$EQ$99,$B16,31)*IF($W16=1,EF16+AAU16,EF16)=1,IF(AND($E16=2,IF($W16=1,AGJ16,JU16)=0),1000000000,IF($V16=1,INDEX('calcA'!$D$130:$EQ$169,$B16,31)+IF(AND($E16=1,JU16=0),25,0),INDEX('calcA'!AH$110:AH$114,$F16+1)+IF(AND($E16=1,JU16=0),1000,0)+IF($H16=1,INDEX('calcA'!$D$180:$EQ$219,$B16,31)*500,0)-IF(AND('calcA'!AG$117=1,VE16&gt;0),300,0)-IF(AND($U16=1,'calcA'!AH$117=1,EG16=0),300,0))),1000000000))</f>
        <v/>
      </c>
      <c r="PK16">
        <f>IF($B16=0,1000000000,IF(INDEX('calcA'!$D$60:$EQ$99,$B16,32)*IF($W16=1,EG16+AAV16,EG16)=1,IF(AND($E16=2,IF($W16=1,AGK16,JV16)=0),1000000000,IF($V16=1,INDEX('calcA'!$D$130:$EQ$169,$B16,32)+IF(AND($E16=1,JV16=0),25,0),INDEX('calcA'!AI$110:AI$114,$F16+1)+IF(AND($E16=1,JV16=0),1000,0)+IF($H16=1,INDEX('calcA'!$D$180:$EQ$219,$B16,32)*500,0)-IF(AND('calcA'!AH$117=1,VF16&gt;0),300,0)-IF(AND($U16=1,'calcA'!AI$117=1,EH16=0),300,0))),1000000000))</f>
        <v/>
      </c>
      <c r="PL16">
        <f>IF($B16=0,1000000000,IF(INDEX('calcA'!$D$60:$EQ$99,$B16,33)*IF($W16=1,EH16+AAW16,EH16)=1,IF(AND($E16=2,IF($W16=1,AGL16,JW16)=0),1000000000,IF($V16=1,INDEX('calcA'!$D$130:$EQ$169,$B16,33)+IF(AND($E16=1,JW16=0),25,0),INDEX('calcA'!AJ$110:AJ$114,$F16+1)+IF(AND($E16=1,JW16=0),1000,0)+IF($H16=1,INDEX('calcA'!$D$180:$EQ$219,$B16,33)*500,0)-IF(AND('calcA'!AI$117=1,VG16&gt;0),300,0)-IF(AND($U16=1,'calcA'!AJ$117=1,EI16=0),300,0))),1000000000))</f>
        <v/>
      </c>
      <c r="PM16">
        <f>IF($B16=0,1000000000,IF(INDEX('calcA'!$D$60:$EQ$99,$B16,34)*IF($W16=1,EI16+AAX16,EI16)=1,IF(AND($E16=2,IF($W16=1,AGM16,JX16)=0),1000000000,IF($V16=1,INDEX('calcA'!$D$130:$EQ$169,$B16,34)+IF(AND($E16=1,JX16=0),25,0),INDEX('calcA'!AK$110:AK$114,$F16+1)+IF(AND($E16=1,JX16=0),1000,0)+IF($H16=1,INDEX('calcA'!$D$180:$EQ$219,$B16,34)*500,0)-IF(AND('calcA'!AJ$117=1,VH16&gt;0),300,0)-IF(AND($U16=1,'calcA'!AK$117=1,EJ16=0),300,0))),1000000000))</f>
        <v/>
      </c>
      <c r="PN16">
        <f>IF($B16=0,1000000000,IF(INDEX('calcA'!$D$60:$EQ$99,$B16,35)*IF($W16=1,EJ16+AAY16,EJ16)=1,IF(AND($E16=2,IF($W16=1,AGN16,JY16)=0),1000000000,IF($V16=1,INDEX('calcA'!$D$130:$EQ$169,$B16,35)+IF(AND($E16=1,JY16=0),25,0),INDEX('calcA'!AL$110:AL$114,$F16+1)+IF(AND($E16=1,JY16=0),1000,0)+IF($H16=1,INDEX('calcA'!$D$180:$EQ$219,$B16,35)*500,0)-IF(AND('calcA'!AK$117=1,VI16&gt;0),300,0)-IF(AND($U16=1,'calcA'!AL$117=1,EK16=0),300,0))),1000000000))</f>
        <v/>
      </c>
      <c r="PO16">
        <f>IF($B16=0,1000000000,IF(INDEX('calcA'!$D$60:$EQ$99,$B16,36)*IF($W16=1,EK16+AAZ16,EK16)=1,IF(AND($E16=2,IF($W16=1,AGO16,JZ16)=0),1000000000,IF($V16=1,INDEX('calcA'!$D$130:$EQ$169,$B16,36)+IF(AND($E16=1,JZ16=0),25,0),INDEX('calcA'!AM$110:AM$114,$F16+1)+IF(AND($E16=1,JZ16=0),1000,0)+IF($H16=1,INDEX('calcA'!$D$180:$EQ$219,$B16,36)*500,0)-IF(AND('calcA'!AL$117=1,VJ16&gt;0),300,0)-IF(AND($U16=1,'calcA'!AM$117=1,EL16=0),300,0))),1000000000))</f>
        <v/>
      </c>
      <c r="PP16">
        <f>IF($B16=0,1000000000,IF(INDEX('calcA'!$D$60:$EQ$99,$B16,37)*IF($W16=1,EL16+ABA16,EL16)=1,IF(AND($E16=2,IF($W16=1,AGP16,KA16)=0),1000000000,IF($V16=1,INDEX('calcA'!$D$130:$EQ$169,$B16,37)+IF(AND($E16=1,KA16=0),25,0),INDEX('calcA'!AN$110:AN$114,$F16+1)+IF(AND($E16=1,KA16=0),1000,0)+IF($H16=1,INDEX('calcA'!$D$180:$EQ$219,$B16,37)*500,0)-IF(AND('calcA'!AM$117=1,VK16&gt;0),300,0)-IF(AND($U16=1,'calcA'!AN$117=1,EM16=0),300,0))),1000000000))</f>
        <v/>
      </c>
      <c r="PQ16">
        <f>IF($B16=0,1000000000,IF(INDEX('calcA'!$D$60:$EQ$99,$B16,38)*IF($W16=1,EM16+ABB16,EM16)=1,IF(AND($E16=2,IF($W16=1,AGQ16,KB16)=0),1000000000,IF($V16=1,INDEX('calcA'!$D$130:$EQ$169,$B16,38)+IF(AND($E16=1,KB16=0),25,0),INDEX('calcA'!AO$110:AO$114,$F16+1)+IF(AND($E16=1,KB16=0),1000,0)+IF($H16=1,INDEX('calcA'!$D$180:$EQ$219,$B16,38)*500,0)-IF(AND('calcA'!AN$117=1,VL16&gt;0),300,0)-IF(AND($U16=1,'calcA'!AO$117=1,EN16=0),300,0))),1000000000))</f>
        <v/>
      </c>
      <c r="PR16">
        <f>IF($B16=0,1000000000,IF(INDEX('calcA'!$D$60:$EQ$99,$B16,39)*IF($W16=1,EN16+ABC16,EN16)=1,IF(AND($E16=2,IF($W16=1,AGR16,KC16)=0),1000000000,IF($V16=1,INDEX('calcA'!$D$130:$EQ$169,$B16,39)+IF(AND($E16=1,KC16=0),25,0),INDEX('calcA'!AP$110:AP$114,$F16+1)+IF(AND($E16=1,KC16=0),1000,0)+IF($H16=1,INDEX('calcA'!$D$180:$EQ$219,$B16,39)*500,0)-IF(AND('calcA'!AO$117=1,VM16&gt;0),300,0)-IF(AND($U16=1,'calcA'!AP$117=1,EO16=0),300,0))),1000000000))</f>
        <v/>
      </c>
      <c r="PS16">
        <f>IF($B16=0,1000000000,IF(INDEX('calcA'!$D$60:$EQ$99,$B16,40)*IF($W16=1,EO16+ABD16,EO16)=1,IF(AND($E16=2,IF($W16=1,AGS16,KD16)=0),1000000000,IF($V16=1,INDEX('calcA'!$D$130:$EQ$169,$B16,40)+IF(AND($E16=1,KD16=0),25,0),INDEX('calcA'!AQ$110:AQ$114,$F16+1)+IF(AND($E16=1,KD16=0),1000,0)+IF($H16=1,INDEX('calcA'!$D$180:$EQ$219,$B16,40)*500,0)-IF(AND('calcA'!AP$117=1,VN16&gt;0),300,0)-IF(AND($U16=1,'calcA'!AQ$117=1,EP16=0),300,0))),1000000000))</f>
        <v/>
      </c>
      <c r="PT16">
        <f>IF($B16=0,1000000000,IF(INDEX('calcA'!$D$60:$EQ$99,$B16,41)*IF($W16=1,EP16+ABE16,EP16)=1,IF(AND($E16=2,IF($W16=1,AGT16,KE16)=0),1000000000,IF($V16=1,INDEX('calcA'!$D$130:$EQ$169,$B16,41)+IF(AND($E16=1,KE16=0),25,0),INDEX('calcA'!AR$110:AR$114,$F16+1)+IF(AND($E16=1,KE16=0),1000,0)+IF($H16=1,INDEX('calcA'!$D$180:$EQ$219,$B16,41)*500,0)-IF(AND('calcA'!AQ$117=1,VO16&gt;0),300,0)-IF(AND($U16=1,'calcA'!AR$117=1,EQ16=0),300,0))),1000000000))</f>
        <v/>
      </c>
      <c r="PU16">
        <f>IF($B16=0,1000000000,IF(INDEX('calcA'!$D$60:$EQ$99,$B16,42)*IF($W16=1,EQ16+ABF16,EQ16)=1,IF(AND($E16=2,IF($W16=1,AGU16,KF16)=0),1000000000,IF($V16=1,INDEX('calcA'!$D$130:$EQ$169,$B16,42)+IF(AND($E16=1,KF16=0),25,0),INDEX('calcA'!AS$110:AS$114,$F16+1)+IF(AND($E16=1,KF16=0),1000,0)+IF($H16=1,INDEX('calcA'!$D$180:$EQ$219,$B16,42)*500,0)-IF(AND('calcA'!AR$117=1,VP16&gt;0),300,0)-IF(AND($U16=1,'calcA'!AS$117=1,ER16=0),300,0))),1000000000))</f>
        <v/>
      </c>
      <c r="PV16">
        <f>IF($B16=0,1000000000,IF(INDEX('calcA'!$D$60:$EQ$99,$B16,43)*IF($W16=1,ER16+ABG16,ER16)=1,IF(AND($E16=2,IF($W16=1,AGV16,KG16)=0),1000000000,IF($V16=1,INDEX('calcA'!$D$130:$EQ$169,$B16,43)+IF(AND($E16=1,KG16=0),25,0),INDEX('calcA'!AT$110:AT$114,$F16+1)+IF(AND($E16=1,KG16=0),1000,0)+IF($H16=1,INDEX('calcA'!$D$180:$EQ$219,$B16,43)*500,0)-IF(AND('calcA'!AS$117=1,VQ16&gt;0),300,0)-IF(AND($U16=1,'calcA'!AT$117=1,ES16=0),300,0))),1000000000))</f>
        <v/>
      </c>
      <c r="PW16">
        <f>IF($B16=0,1000000000,IF(INDEX('calcA'!$D$60:$EQ$99,$B16,44)*IF($W16=1,ES16+ABH16,ES16)=1,IF(AND($E16=2,IF($W16=1,AGW16,KH16)=0),1000000000,IF($V16=1,INDEX('calcA'!$D$130:$EQ$169,$B16,44)+IF(AND($E16=1,KH16=0),25,0),INDEX('calcA'!AU$110:AU$114,$F16+1)+IF(AND($E16=1,KH16=0),1000,0)+IF($H16=1,INDEX('calcA'!$D$180:$EQ$219,$B16,44)*500,0)-IF(AND('calcA'!AT$117=1,VR16&gt;0),300,0)-IF(AND($U16=1,'calcA'!AU$117=1,ET16=0),300,0))),1000000000))</f>
        <v/>
      </c>
      <c r="PX16">
        <f>IF($B16=0,1000000000,IF(INDEX('calcA'!$D$60:$EQ$99,$B16,45)*IF($W16=1,ET16+ABI16,ET16)=1,IF(AND($E16=2,IF($W16=1,AGX16,KI16)=0),1000000000,IF($V16=1,INDEX('calcA'!$D$130:$EQ$169,$B16,45)+IF(AND($E16=1,KI16=0),25,0),INDEX('calcA'!AV$110:AV$114,$F16+1)+IF(AND($E16=1,KI16=0),1000,0)+IF($H16=1,INDEX('calcA'!$D$180:$EQ$219,$B16,45)*500,0)-IF(AND('calcA'!AU$117=1,VS16&gt;0),300,0)-IF(AND($U16=1,'calcA'!AV$117=1,EU16=0),300,0))),1000000000))</f>
        <v/>
      </c>
      <c r="PY16">
        <f>IF($B16=0,1000000000,IF(INDEX('calcA'!$D$60:$EQ$99,$B16,46)*IF($W16=1,EU16+ABJ16,EU16)=1,IF(AND($E16=2,IF($W16=1,AGY16,KJ16)=0),1000000000,IF($V16=1,INDEX('calcA'!$D$130:$EQ$169,$B16,46)+IF(AND($E16=1,KJ16=0),25,0),INDEX('calcA'!AW$110:AW$114,$F16+1)+IF(AND($E16=1,KJ16=0),1000,0)+IF($H16=1,INDEX('calcA'!$D$180:$EQ$219,$B16,46)*500,0)-IF(AND('calcA'!AV$117=1,VT16&gt;0),300,0)-IF(AND($U16=1,'calcA'!AW$117=1,EV16=0),300,0))),1000000000))</f>
        <v/>
      </c>
      <c r="PZ16">
        <f>IF($B16=0,1000000000,IF(INDEX('calcA'!$D$60:$EQ$99,$B16,47)*IF($W16=1,EV16+ABK16,EV16)=1,IF(AND($E16=2,IF($W16=1,AGZ16,KK16)=0),1000000000,IF($V16=1,INDEX('calcA'!$D$130:$EQ$169,$B16,47)+IF(AND($E16=1,KK16=0),25,0),INDEX('calcA'!AX$110:AX$114,$F16+1)+IF(AND($E16=1,KK16=0),1000,0)+IF($H16=1,INDEX('calcA'!$D$180:$EQ$219,$B16,47)*500,0)-IF(AND('calcA'!AW$117=1,VU16&gt;0),300,0)-IF(AND($U16=1,'calcA'!AX$117=1,EW16=0),300,0))),1000000000))</f>
        <v/>
      </c>
      <c r="QA16">
        <f>IF($B16=0,1000000000,IF(INDEX('calcA'!$D$60:$EQ$99,$B16,48)*IF($W16=1,EW16+ABL16,EW16)=1,IF(AND($E16=2,IF($W16=1,AHA16,KL16)=0),1000000000,IF($V16=1,INDEX('calcA'!$D$130:$EQ$169,$B16,48)+IF(AND($E16=1,KL16=0),25,0),INDEX('calcA'!AY$110:AY$114,$F16+1)+IF(AND($E16=1,KL16=0),1000,0)+IF($H16=1,INDEX('calcA'!$D$180:$EQ$219,$B16,48)*500,0)-IF(AND('calcA'!AX$117=1,VV16&gt;0),300,0))),1000000000))</f>
        <v/>
      </c>
      <c r="QB16">
        <f>IF($B16=0,1000000000,IF(INDEX('calcA'!$D$60:$EQ$99,$B16,49)*IF($W16=1,EX16+ABM16,EX16)=1,IF(AND($E16=2,IF($W16=1,AHB16,KM16)=0),1000000000,IF($V16=1,INDEX('calcA'!$D$130:$EQ$169,$B16,49)+IF(AND($E16=1,KM16=0),25,0),INDEX('calcA'!AZ$110:AZ$114,$F16+1)+IF(AND($E16=1,KM16=0),1000,0)+IF($H16=1,INDEX('calcA'!$D$180:$EQ$219,$B16,49)*500,0)-IF(AND($U16=1,'calcA'!AZ$117=1,EY16=0),300,0))),1000000000))</f>
        <v/>
      </c>
      <c r="QC16">
        <f>IF($B16=0,1000000000,IF(INDEX('calcA'!$D$60:$EQ$99,$B16,50)*IF($W16=1,EY16+ABN16,EY16)=1,IF(AND($E16=2,IF($W16=1,AHC16,KN16)=0),1000000000,IF($V16=1,INDEX('calcA'!$D$130:$EQ$169,$B16,50)+IF(AND($E16=1,KN16=0),25,0),INDEX('calcA'!BA$110:BA$114,$F16+1)+IF(AND($E16=1,KN16=0),1000,0)+IF($H16=1,INDEX('calcA'!$D$180:$EQ$219,$B16,50)*500,0)-IF(AND('calcA'!AZ$117=1,VX16&gt;0),300,0)-IF(AND($U16=1,'calcA'!BA$117=1,EZ16=0),300,0))),1000000000))</f>
        <v/>
      </c>
      <c r="QD16">
        <f>IF($B16=0,1000000000,IF(INDEX('calcA'!$D$60:$EQ$99,$B16,51)*IF($W16=1,EZ16+ABO16,EZ16)=1,IF(AND($E16=2,IF($W16=1,AHD16,KO16)=0),1000000000,IF($V16=1,INDEX('calcA'!$D$130:$EQ$169,$B16,51)+IF(AND($E16=1,KO16=0),25,0),INDEX('calcA'!BB$110:BB$114,$F16+1)+IF(AND($E16=1,KO16=0),1000,0)+IF($H16=1,INDEX('calcA'!$D$180:$EQ$219,$B16,51)*500,0)-IF(AND('calcA'!BA$117=1,VY16&gt;0),300,0)-IF(AND($U16=1,'calcA'!BB$117=1,FA16=0),300,0))),1000000000))</f>
        <v/>
      </c>
      <c r="QE16">
        <f>IF($B16=0,1000000000,IF(INDEX('calcA'!$D$60:$EQ$99,$B16,52)*IF($W16=1,FA16+ABP16,FA16)=1,IF(AND($E16=2,IF($W16=1,AHE16,KP16)=0),1000000000,IF($V16=1,INDEX('calcA'!$D$130:$EQ$169,$B16,52)+IF(AND($E16=1,KP16=0),25,0),INDEX('calcA'!BC$110:BC$114,$F16+1)+IF(AND($E16=1,KP16=0),1000,0)+IF($H16=1,INDEX('calcA'!$D$180:$EQ$219,$B16,52)*500,0)-IF(AND('calcA'!BB$117=1,VZ16&gt;0),300,0)-IF(AND($U16=1,'calcA'!BC$117=1,FB16=0),300,0))),1000000000))</f>
        <v/>
      </c>
      <c r="QF16">
        <f>IF($B16=0,1000000000,IF(INDEX('calcA'!$D$60:$EQ$99,$B16,53)*IF($W16=1,FB16+ABQ16,FB16)=1,IF(AND($E16=2,IF($W16=1,AHF16,KQ16)=0),1000000000,IF($V16=1,INDEX('calcA'!$D$130:$EQ$169,$B16,53)+IF(AND($E16=1,KQ16=0),25,0),INDEX('calcA'!BD$110:BD$114,$F16+1)+IF(AND($E16=1,KQ16=0),1000,0)+IF($H16=1,INDEX('calcA'!$D$180:$EQ$219,$B16,53)*500,0)-IF(AND('calcA'!BC$117=1,WA16&gt;0),300,0)-IF(AND($U16=1,'calcA'!BD$117=1,FC16=0),300,0))),1000000000))</f>
        <v/>
      </c>
      <c r="QG16">
        <f>IF($B16=0,1000000000,IF(INDEX('calcA'!$D$60:$EQ$99,$B16,54)*IF($W16=1,FC16+ABR16,FC16)=1,IF(AND($E16=2,IF($W16=1,AHG16,KR16)=0),1000000000,IF($V16=1,INDEX('calcA'!$D$130:$EQ$169,$B16,54)+IF(AND($E16=1,KR16=0),25,0),INDEX('calcA'!BE$110:BE$114,$F16+1)+IF(AND($E16=1,KR16=0),1000,0)+IF($H16=1,INDEX('calcA'!$D$180:$EQ$219,$B16,54)*500,0)-IF(AND('calcA'!BD$117=1,WB16&gt;0),300,0)-IF(AND($U16=1,'calcA'!BE$117=1,FD16=0),300,0))),1000000000))</f>
        <v/>
      </c>
      <c r="QH16">
        <f>IF($B16=0,1000000000,IF(INDEX('calcA'!$D$60:$EQ$99,$B16,55)*IF($W16=1,FD16+ABS16,FD16)=1,IF(AND($E16=2,IF($W16=1,AHH16,KS16)=0),1000000000,IF($V16=1,INDEX('calcA'!$D$130:$EQ$169,$B16,55)+IF(AND($E16=1,KS16=0),25,0),INDEX('calcA'!BF$110:BF$114,$F16+1)+IF(AND($E16=1,KS16=0),1000,0)+IF($H16=1,INDEX('calcA'!$D$180:$EQ$219,$B16,55)*500,0)-IF(AND('calcA'!BE$117=1,WC16&gt;0),300,0)-IF(AND($U16=1,'calcA'!BF$117=1,FE16=0),300,0))),1000000000))</f>
        <v/>
      </c>
      <c r="QI16">
        <f>IF($B16=0,1000000000,IF(INDEX('calcA'!$D$60:$EQ$99,$B16,56)*IF($W16=1,FE16+ABT16,FE16)=1,IF(AND($E16=2,IF($W16=1,AHI16,KT16)=0),1000000000,IF($V16=1,INDEX('calcA'!$D$130:$EQ$169,$B16,56)+IF(AND($E16=1,KT16=0),25,0),INDEX('calcA'!BG$110:BG$114,$F16+1)+IF(AND($E16=1,KT16=0),1000,0)+IF($H16=1,INDEX('calcA'!$D$180:$EQ$219,$B16,56)*500,0)-IF(AND('calcA'!BF$117=1,WD16&gt;0),300,0)-IF(AND($U16=1,'calcA'!BG$117=1,FF16=0),300,0))),1000000000))</f>
        <v/>
      </c>
      <c r="QJ16">
        <f>IF($B16=0,1000000000,IF(INDEX('calcA'!$D$60:$EQ$99,$B16,57)*IF($W16=1,FF16+ABU16,FF16)=1,IF(AND($E16=2,IF($W16=1,AHJ16,KU16)=0),1000000000,IF($V16=1,INDEX('calcA'!$D$130:$EQ$169,$B16,57)+IF(AND($E16=1,KU16=0),25,0),INDEX('calcA'!BH$110:BH$114,$F16+1)+IF(AND($E16=1,KU16=0),1000,0)+IF($H16=1,INDEX('calcA'!$D$180:$EQ$219,$B16,57)*500,0)-IF(AND('calcA'!BG$117=1,WE16&gt;0),300,0)-IF(AND($U16=1,'calcA'!BH$117=1,FG16=0),300,0))),1000000000))</f>
        <v/>
      </c>
      <c r="QK16">
        <f>IF($B16=0,1000000000,IF(INDEX('calcA'!$D$60:$EQ$99,$B16,58)*IF($W16=1,FG16+ABV16,FG16)=1,IF(AND($E16=2,IF($W16=1,AHK16,KV16)=0),1000000000,IF($V16=1,INDEX('calcA'!$D$130:$EQ$169,$B16,58)+IF(AND($E16=1,KV16=0),25,0),INDEX('calcA'!BI$110:BI$114,$F16+1)+IF(AND($E16=1,KV16=0),1000,0)+IF($H16=1,INDEX('calcA'!$D$180:$EQ$219,$B16,58)*500,0)-IF(AND('calcA'!BH$117=1,WF16&gt;0),300,0)-IF(AND($U16=1,'calcA'!BI$117=1,FH16=0),300,0))),1000000000))</f>
        <v/>
      </c>
      <c r="QL16">
        <f>IF($B16=0,1000000000,IF(INDEX('calcA'!$D$60:$EQ$99,$B16,59)*IF($W16=1,FH16+ABW16,FH16)=1,IF(AND($E16=2,IF($W16=1,AHL16,KW16)=0),1000000000,IF($V16=1,INDEX('calcA'!$D$130:$EQ$169,$B16,59)+IF(AND($E16=1,KW16=0),25,0),INDEX('calcA'!BJ$110:BJ$114,$F16+1)+IF(AND($E16=1,KW16=0),1000,0)+IF($H16=1,INDEX('calcA'!$D$180:$EQ$219,$B16,59)*500,0)-IF(AND('calcA'!BI$117=1,WG16&gt;0),300,0)-IF(AND($U16=1,'calcA'!BJ$117=1,FI16=0),300,0))),1000000000))</f>
        <v/>
      </c>
      <c r="QM16">
        <f>IF($B16=0,1000000000,IF(INDEX('calcA'!$D$60:$EQ$99,$B16,60)*IF($W16=1,FI16+ABX16,FI16)=1,IF(AND($E16=2,IF($W16=1,AHM16,KX16)=0),1000000000,IF($V16=1,INDEX('calcA'!$D$130:$EQ$169,$B16,60)+IF(AND($E16=1,KX16=0),25,0),INDEX('calcA'!BK$110:BK$114,$F16+1)+IF(AND($E16=1,KX16=0),1000,0)+IF($H16=1,INDEX('calcA'!$D$180:$EQ$219,$B16,60)*500,0)-IF(AND('calcA'!BJ$117=1,WH16&gt;0),300,0)-IF(AND($U16=1,'calcA'!BK$117=1,FJ16=0),300,0))),1000000000))</f>
        <v/>
      </c>
      <c r="QN16">
        <f>IF($B16=0,1000000000,IF(INDEX('calcA'!$D$60:$EQ$99,$B16,61)*IF($W16=1,FJ16+ABY16,FJ16)=1,IF(AND($E16=2,IF($W16=1,AHN16,KY16)=0),1000000000,IF($V16=1,INDEX('calcA'!$D$130:$EQ$169,$B16,61)+IF(AND($E16=1,KY16=0),25,0),INDEX('calcA'!BL$110:BL$114,$F16+1)+IF(AND($E16=1,KY16=0),1000,0)+IF($H16=1,INDEX('calcA'!$D$180:$EQ$219,$B16,61)*500,0)-IF(AND('calcA'!BK$117=1,WI16&gt;0),300,0)-IF(AND($U16=1,'calcA'!BL$117=1,FK16=0),300,0))),1000000000))</f>
        <v/>
      </c>
      <c r="QO16">
        <f>IF($B16=0,1000000000,IF(INDEX('calcA'!$D$60:$EQ$99,$B16,62)*IF($W16=1,FK16+ABZ16,FK16)=1,IF(AND($E16=2,IF($W16=1,AHO16,KZ16)=0),1000000000,IF($V16=1,INDEX('calcA'!$D$130:$EQ$169,$B16,62)+IF(AND($E16=1,KZ16=0),25,0),INDEX('calcA'!BM$110:BM$114,$F16+1)+IF(AND($E16=1,KZ16=0),1000,0)+IF($H16=1,INDEX('calcA'!$D$180:$EQ$219,$B16,62)*500,0)-IF(AND('calcA'!BL$117=1,WJ16&gt;0),300,0)-IF(AND($U16=1,'calcA'!BM$117=1,FL16=0),300,0))),1000000000))</f>
        <v/>
      </c>
      <c r="QP16">
        <f>IF($B16=0,1000000000,IF(INDEX('calcA'!$D$60:$EQ$99,$B16,63)*IF($W16=1,FL16+ACA16,FL16)=1,IF(AND($E16=2,IF($W16=1,AHP16,LA16)=0),1000000000,IF($V16=1,INDEX('calcA'!$D$130:$EQ$169,$B16,63)+IF(AND($E16=1,LA16=0),25,0),INDEX('calcA'!BN$110:BN$114,$F16+1)+IF(AND($E16=1,LA16=0),1000,0)+IF($H16=1,INDEX('calcA'!$D$180:$EQ$219,$B16,63)*500,0)-IF(AND('calcA'!BM$117=1,WK16&gt;0),300,0)-IF(AND($U16=1,'calcA'!BN$117=1,FM16=0),300,0))),1000000000))</f>
        <v/>
      </c>
      <c r="QQ16">
        <f>IF($B16=0,1000000000,IF(INDEX('calcA'!$D$60:$EQ$99,$B16,64)*IF($W16=1,FM16+ACB16,FM16)=1,IF(AND($E16=2,IF($W16=1,AHQ16,LB16)=0),1000000000,IF($V16=1,INDEX('calcA'!$D$130:$EQ$169,$B16,64)+IF(AND($E16=1,LB16=0),25,0),INDEX('calcA'!BO$110:BO$114,$F16+1)+IF(AND($E16=1,LB16=0),1000,0)+IF($H16=1,INDEX('calcA'!$D$180:$EQ$219,$B16,64)*500,0)-IF(AND('calcA'!BN$117=1,WL16&gt;0),300,0)-IF(AND($U16=1,'calcA'!BO$117=1,FN16=0),300,0))),1000000000))</f>
        <v/>
      </c>
      <c r="QR16">
        <f>IF($B16=0,1000000000,IF(INDEX('calcA'!$D$60:$EQ$99,$B16,65)*IF($W16=1,FN16+ACC16,FN16)=1,IF(AND($E16=2,IF($W16=1,AHR16,LC16)=0),1000000000,IF($V16=1,INDEX('calcA'!$D$130:$EQ$169,$B16,65)+IF(AND($E16=1,LC16=0),25,0),INDEX('calcA'!BP$110:BP$114,$F16+1)+IF(AND($E16=1,LC16=0),1000,0)+IF($H16=1,INDEX('calcA'!$D$180:$EQ$219,$B16,65)*500,0)-IF(AND('calcA'!BO$117=1,WM16&gt;0),300,0)-IF(AND($U16=1,'calcA'!BP$117=1,FO16=0),300,0))),1000000000))</f>
        <v/>
      </c>
      <c r="QS16">
        <f>IF($B16=0,1000000000,IF(INDEX('calcA'!$D$60:$EQ$99,$B16,66)*IF($W16=1,FO16+ACD16,FO16)=1,IF(AND($E16=2,IF($W16=1,AHS16,LD16)=0),1000000000,IF($V16=1,INDEX('calcA'!$D$130:$EQ$169,$B16,66)+IF(AND($E16=1,LD16=0),25,0),INDEX('calcA'!BQ$110:BQ$114,$F16+1)+IF(AND($E16=1,LD16=0),1000,0)+IF($H16=1,INDEX('calcA'!$D$180:$EQ$219,$B16,66)*500,0)-IF(AND('calcA'!BP$117=1,WN16&gt;0),300,0)-IF(AND($U16=1,'calcA'!BQ$117=1,FP16=0),300,0))),1000000000))</f>
        <v/>
      </c>
      <c r="QT16">
        <f>IF($B16=0,1000000000,IF(INDEX('calcA'!$D$60:$EQ$99,$B16,67)*IF($W16=1,FP16+ACE16,FP16)=1,IF(AND($E16=2,IF($W16=1,AHT16,LE16)=0),1000000000,IF($V16=1,INDEX('calcA'!$D$130:$EQ$169,$B16,67)+IF(AND($E16=1,LE16=0),25,0),INDEX('calcA'!BR$110:BR$114,$F16+1)+IF(AND($E16=1,LE16=0),1000,0)+IF($H16=1,INDEX('calcA'!$D$180:$EQ$219,$B16,67)*500,0)-IF(AND('calcA'!BQ$117=1,WO16&gt;0),300,0)-IF(AND($U16=1,'calcA'!BR$117=1,FQ16=0),300,0))),1000000000))</f>
        <v/>
      </c>
      <c r="QU16">
        <f>IF($B16=0,1000000000,IF(INDEX('calcA'!$D$60:$EQ$99,$B16,68)*IF($W16=1,FQ16+ACF16,FQ16)=1,IF(AND($E16=2,IF($W16=1,AHU16,LF16)=0),1000000000,IF($V16=1,INDEX('calcA'!$D$130:$EQ$169,$B16,68)+IF(AND($E16=1,LF16=0),25,0),INDEX('calcA'!BS$110:BS$114,$F16+1)+IF(AND($E16=1,LF16=0),1000,0)+IF($H16=1,INDEX('calcA'!$D$180:$EQ$219,$B16,68)*500,0)-IF(AND('calcA'!BR$117=1,WP16&gt;0),300,0)-IF(AND($U16=1,'calcA'!BS$117=1,FR16=0),300,0))),1000000000))</f>
        <v/>
      </c>
      <c r="QV16">
        <f>IF($B16=0,1000000000,IF(INDEX('calcA'!$D$60:$EQ$99,$B16,69)*IF($W16=1,FR16+ACG16,FR16)=1,IF(AND($E16=2,IF($W16=1,AHV16,LG16)=0),1000000000,IF($V16=1,INDEX('calcA'!$D$130:$EQ$169,$B16,69)+IF(AND($E16=1,LG16=0),25,0),INDEX('calcA'!BT$110:BT$114,$F16+1)+IF(AND($E16=1,LG16=0),1000,0)+IF($H16=1,INDEX('calcA'!$D$180:$EQ$219,$B16,69)*500,0)-IF(AND('calcA'!BS$117=1,WQ16&gt;0),300,0)-IF(AND($U16=1,'calcA'!BT$117=1,FS16=0),300,0))),1000000000))</f>
        <v/>
      </c>
      <c r="QW16">
        <f>IF($B16=0,1000000000,IF(INDEX('calcA'!$D$60:$EQ$99,$B16,70)*IF($W16=1,FS16+ACH16,FS16)=1,IF(AND($E16=2,IF($W16=1,AHW16,LH16)=0),1000000000,IF($V16=1,INDEX('calcA'!$D$130:$EQ$169,$B16,70)+IF(AND($E16=1,LH16=0),25,0),INDEX('calcA'!BU$110:BU$114,$F16+1)+IF(AND($E16=1,LH16=0),1000,0)+IF($H16=1,INDEX('calcA'!$D$180:$EQ$219,$B16,70)*500,0)-IF(AND('calcA'!BT$117=1,WR16&gt;0),300,0)-IF(AND($U16=1,'calcA'!BU$117=1,FT16=0),300,0))),1000000000))</f>
        <v/>
      </c>
      <c r="QX16">
        <f>IF($B16=0,1000000000,IF(INDEX('calcA'!$D$60:$EQ$99,$B16,71)*IF($W16=1,FT16+ACI16,FT16)=1,IF(AND($E16=2,IF($W16=1,AHX16,LI16)=0),1000000000,IF($V16=1,INDEX('calcA'!$D$130:$EQ$169,$B16,71)+IF(AND($E16=1,LI16=0),25,0),INDEX('calcA'!BV$110:BV$114,$F16+1)+IF(AND($E16=1,LI16=0),1000,0)+IF($H16=1,INDEX('calcA'!$D$180:$EQ$219,$B16,71)*500,0)-IF(AND('calcA'!BU$117=1,WS16&gt;0),300,0)-IF(AND($U16=1,'calcA'!BV$117=1,FU16=0),300,0))),1000000000))</f>
        <v/>
      </c>
      <c r="QY16">
        <f>IF($B16=0,1000000000,IF(INDEX('calcA'!$D$60:$EQ$99,$B16,72)*IF($W16=1,FU16+ACJ16,FU16)=1,IF(AND($E16=2,IF($W16=1,AHY16,LJ16)=0),1000000000,IF($V16=1,INDEX('calcA'!$D$130:$EQ$169,$B16,72)+IF(AND($E16=1,LJ16=0),25,0),INDEX('calcA'!BW$110:BW$114,$F16+1)+IF(AND($E16=1,LJ16=0),1000,0)+IF($H16=1,INDEX('calcA'!$D$180:$EQ$219,$B16,72)*500,0)-IF(AND('calcA'!BV$117=1,WT16&gt;0),300,0))),1000000000))</f>
        <v/>
      </c>
      <c r="QZ16">
        <f>IF($B16=0,1000000000,IF(INDEX('calcA'!$D$60:$EQ$99,$B16,73)*IF($W16=1,FV16+ACK16,FV16)=1,IF(AND($E16=2,IF($W16=1,AHZ16,LK16)=0),1000000000,IF($V16=1,INDEX('calcA'!$D$130:$EQ$169,$B16,73)+IF(AND($E16=1,LK16=0),25,0),INDEX('calcA'!BX$110:BX$114,$F16+1)+IF(AND($E16=1,LK16=0),1000,0)+IF($H16=1,INDEX('calcA'!$D$180:$EQ$219,$B16,73)*500,0)-IF(AND($U16=1,'calcA'!BX$117=1,FW16=0),300,0))),1000000000))</f>
        <v/>
      </c>
      <c r="RA16">
        <f>IF($B16=0,1000000000,IF(INDEX('calcA'!$D$60:$EQ$99,$B16,74)*IF($W16=1,FW16+ACL16,FW16)=1,IF(AND($E16=2,IF($W16=1,AIA16,LL16)=0),1000000000,IF($V16=1,INDEX('calcA'!$D$130:$EQ$169,$B16,74)+IF(AND($E16=1,LL16=0),25,0),INDEX('calcA'!BY$110:BY$114,$F16+1)+IF(AND($E16=1,LL16=0),1000,0)+IF($H16=1,INDEX('calcA'!$D$180:$EQ$219,$B16,74)*500,0)-IF(AND('calcA'!BX$117=1,WV16&gt;0),300,0)-IF(AND($U16=1,'calcA'!BY$117=1,FX16=0),300,0))),1000000000))</f>
        <v/>
      </c>
      <c r="RB16">
        <f>IF($B16=0,1000000000,IF(INDEX('calcA'!$D$60:$EQ$99,$B16,75)*IF($W16=1,FX16+ACM16,FX16)=1,IF(AND($E16=2,IF($W16=1,AIB16,LM16)=0),1000000000,IF($V16=1,INDEX('calcA'!$D$130:$EQ$169,$B16,75)+IF(AND($E16=1,LM16=0),25,0),INDEX('calcA'!BZ$110:BZ$114,$F16+1)+IF(AND($E16=1,LM16=0),1000,0)+IF($H16=1,INDEX('calcA'!$D$180:$EQ$219,$B16,75)*500,0)-IF(AND('calcA'!BY$117=1,WW16&gt;0),300,0)-IF(AND($U16=1,'calcA'!BZ$117=1,FY16=0),300,0))),1000000000))</f>
        <v/>
      </c>
      <c r="RC16">
        <f>IF($B16=0,1000000000,IF(INDEX('calcA'!$D$60:$EQ$99,$B16,76)*IF($W16=1,FY16+ACN16,FY16)=1,IF(AND($E16=2,IF($W16=1,AIC16,LN16)=0),1000000000,IF($V16=1,INDEX('calcA'!$D$130:$EQ$169,$B16,76)+IF(AND($E16=1,LN16=0),25,0),INDEX('calcA'!CA$110:CA$114,$F16+1)+IF(AND($E16=1,LN16=0),1000,0)+IF($H16=1,INDEX('calcA'!$D$180:$EQ$219,$B16,76)*500,0)-IF(AND('calcA'!BZ$117=1,WX16&gt;0),300,0)-IF(AND($U16=1,'calcA'!CA$117=1,FZ16=0),300,0))),1000000000))</f>
        <v/>
      </c>
      <c r="RD16">
        <f>IF($B16=0,1000000000,IF(INDEX('calcA'!$D$60:$EQ$99,$B16,77)*IF($W16=1,FZ16+ACO16,FZ16)=1,IF(AND($E16=2,IF($W16=1,AID16,LO16)=0),1000000000,IF($V16=1,INDEX('calcA'!$D$130:$EQ$169,$B16,77)+IF(AND($E16=1,LO16=0),25,0),INDEX('calcA'!CB$110:CB$114,$F16+1)+IF(AND($E16=1,LO16=0),1000,0)+IF($H16=1,INDEX('calcA'!$D$180:$EQ$219,$B16,77)*500,0)-IF(AND('calcA'!CA$117=1,WY16&gt;0),300,0)-IF(AND($U16=1,'calcA'!CB$117=1,GA16=0),300,0))),1000000000))</f>
        <v/>
      </c>
      <c r="RE16">
        <f>IF($B16=0,1000000000,IF(INDEX('calcA'!$D$60:$EQ$99,$B16,78)*IF($W16=1,GA16+ACP16,GA16)=1,IF(AND($E16=2,IF($W16=1,AIE16,LP16)=0),1000000000,IF($V16=1,INDEX('calcA'!$D$130:$EQ$169,$B16,78)+IF(AND($E16=1,LP16=0),25,0),INDEX('calcA'!CC$110:CC$114,$F16+1)+IF(AND($E16=1,LP16=0),1000,0)+IF($H16=1,INDEX('calcA'!$D$180:$EQ$219,$B16,78)*500,0)-IF(AND('calcA'!CB$117=1,WZ16&gt;0),300,0)-IF(AND($U16=1,'calcA'!CC$117=1,GB16=0),300,0))),1000000000))</f>
        <v/>
      </c>
      <c r="RF16">
        <f>IF($B16=0,1000000000,IF(INDEX('calcA'!$D$60:$EQ$99,$B16,79)*IF($W16=1,GB16+ACQ16,GB16)=1,IF(AND($E16=2,IF($W16=1,AIF16,LQ16)=0),1000000000,IF($V16=1,INDEX('calcA'!$D$130:$EQ$169,$B16,79)+IF(AND($E16=1,LQ16=0),25,0),INDEX('calcA'!CD$110:CD$114,$F16+1)+IF(AND($E16=1,LQ16=0),1000,0)+IF($H16=1,INDEX('calcA'!$D$180:$EQ$219,$B16,79)*500,0)-IF(AND('calcA'!CC$117=1,XA16&gt;0),300,0)-IF(AND($U16=1,'calcA'!CD$117=1,GC16=0),300,0))),1000000000))</f>
        <v/>
      </c>
      <c r="RG16">
        <f>IF($B16=0,1000000000,IF(INDEX('calcA'!$D$60:$EQ$99,$B16,80)*IF($W16=1,GC16+ACR16,GC16)=1,IF(AND($E16=2,IF($W16=1,AIG16,LR16)=0),1000000000,IF($V16=1,INDEX('calcA'!$D$130:$EQ$169,$B16,80)+IF(AND($E16=1,LR16=0),25,0),INDEX('calcA'!CE$110:CE$114,$F16+1)+IF(AND($E16=1,LR16=0),1000,0)+IF($H16=1,INDEX('calcA'!$D$180:$EQ$219,$B16,80)*500,0)-IF(AND('calcA'!CD$117=1,XB16&gt;0),300,0)-IF(AND($U16=1,'calcA'!CE$117=1,GD16=0),300,0))),1000000000))</f>
        <v/>
      </c>
      <c r="RH16">
        <f>IF($B16=0,1000000000,IF(INDEX('calcA'!$D$60:$EQ$99,$B16,81)*IF($W16=1,GD16+ACS16,GD16)=1,IF(AND($E16=2,IF($W16=1,AIH16,LS16)=0),1000000000,IF($V16=1,INDEX('calcA'!$D$130:$EQ$169,$B16,81)+IF(AND($E16=1,LS16=0),25,0),INDEX('calcA'!CF$110:CF$114,$F16+1)+IF(AND($E16=1,LS16=0),1000,0)+IF($H16=1,INDEX('calcA'!$D$180:$EQ$219,$B16,81)*500,0)-IF(AND('calcA'!CE$117=1,XC16&gt;0),300,0)-IF(AND($U16=1,'calcA'!CF$117=1,GE16=0),300,0))),1000000000))</f>
        <v/>
      </c>
      <c r="RI16">
        <f>IF($B16=0,1000000000,IF(INDEX('calcA'!$D$60:$EQ$99,$B16,82)*IF($W16=1,GE16+ACT16,GE16)=1,IF(AND($E16=2,IF($W16=1,AII16,LT16)=0),1000000000,IF($V16=1,INDEX('calcA'!$D$130:$EQ$169,$B16,82)+IF(AND($E16=1,LT16=0),25,0),INDEX('calcA'!CG$110:CG$114,$F16+1)+IF(AND($E16=1,LT16=0),1000,0)+IF($H16=1,INDEX('calcA'!$D$180:$EQ$219,$B16,82)*500,0)-IF(AND('calcA'!CF$117=1,XD16&gt;0),300,0)-IF(AND($U16=1,'calcA'!CG$117=1,GF16=0),300,0))),1000000000))</f>
        <v/>
      </c>
      <c r="RJ16">
        <f>IF($B16=0,1000000000,IF(INDEX('calcA'!$D$60:$EQ$99,$B16,83)*IF($W16=1,GF16+ACU16,GF16)=1,IF(AND($E16=2,IF($W16=1,AIJ16,LU16)=0),1000000000,IF($V16=1,INDEX('calcA'!$D$130:$EQ$169,$B16,83)+IF(AND($E16=1,LU16=0),25,0),INDEX('calcA'!CH$110:CH$114,$F16+1)+IF(AND($E16=1,LU16=0),1000,0)+IF($H16=1,INDEX('calcA'!$D$180:$EQ$219,$B16,83)*500,0)-IF(AND('calcA'!CG$117=1,XE16&gt;0),300,0)-IF(AND($U16=1,'calcA'!CH$117=1,GG16=0),300,0))),1000000000))</f>
        <v/>
      </c>
      <c r="RK16">
        <f>IF($B16=0,1000000000,IF(INDEX('calcA'!$D$60:$EQ$99,$B16,84)*IF($W16=1,GG16+ACV16,GG16)=1,IF(AND($E16=2,IF($W16=1,AIK16,LV16)=0),1000000000,IF($V16=1,INDEX('calcA'!$D$130:$EQ$169,$B16,84)+IF(AND($E16=1,LV16=0),25,0),INDEX('calcA'!CI$110:CI$114,$F16+1)+IF(AND($E16=1,LV16=0),1000,0)+IF($H16=1,INDEX('calcA'!$D$180:$EQ$219,$B16,84)*500,0)-IF(AND('calcA'!CH$117=1,XF16&gt;0),300,0)-IF(AND($U16=1,'calcA'!CI$117=1,GH16=0),300,0))),1000000000))</f>
        <v/>
      </c>
      <c r="RL16">
        <f>IF($B16=0,1000000000,IF(INDEX('calcA'!$D$60:$EQ$99,$B16,85)*IF($W16=1,GH16+ACW16,GH16)=1,IF(AND($E16=2,IF($W16=1,AIL16,LW16)=0),1000000000,IF($V16=1,INDEX('calcA'!$D$130:$EQ$169,$B16,85)+IF(AND($E16=1,LW16=0),25,0),INDEX('calcA'!CJ$110:CJ$114,$F16+1)+IF(AND($E16=1,LW16=0),1000,0)+IF($H16=1,INDEX('calcA'!$D$180:$EQ$219,$B16,85)*500,0)-IF(AND('calcA'!CI$117=1,XG16&gt;0),300,0)-IF(AND($U16=1,'calcA'!CJ$117=1,GI16=0),300,0))),1000000000))</f>
        <v/>
      </c>
      <c r="RM16">
        <f>IF($B16=0,1000000000,IF(INDEX('calcA'!$D$60:$EQ$99,$B16,86)*IF($W16=1,GI16+ACX16,GI16)=1,IF(AND($E16=2,IF($W16=1,AIM16,LX16)=0),1000000000,IF($V16=1,INDEX('calcA'!$D$130:$EQ$169,$B16,86)+IF(AND($E16=1,LX16=0),25,0),INDEX('calcA'!CK$110:CK$114,$F16+1)+IF(AND($E16=1,LX16=0),1000,0)+IF($H16=1,INDEX('calcA'!$D$180:$EQ$219,$B16,86)*500,0)-IF(AND('calcA'!CJ$117=1,XH16&gt;0),300,0)-IF(AND($U16=1,'calcA'!CK$117=1,GJ16=0),300,0))),1000000000))</f>
        <v/>
      </c>
      <c r="RN16">
        <f>IF($B16=0,1000000000,IF(INDEX('calcA'!$D$60:$EQ$99,$B16,87)*IF($W16=1,GJ16+ACY16,GJ16)=1,IF(AND($E16=2,IF($W16=1,AIN16,LY16)=0),1000000000,IF($V16=1,INDEX('calcA'!$D$130:$EQ$169,$B16,87)+IF(AND($E16=1,LY16=0),25,0),INDEX('calcA'!CL$110:CL$114,$F16+1)+IF(AND($E16=1,LY16=0),1000,0)+IF($H16=1,INDEX('calcA'!$D$180:$EQ$219,$B16,87)*500,0)-IF(AND('calcA'!CK$117=1,XI16&gt;0),300,0)-IF(AND($U16=1,'calcA'!CL$117=1,GK16=0),300,0))),1000000000))</f>
        <v/>
      </c>
      <c r="RO16">
        <f>IF($B16=0,1000000000,IF(INDEX('calcA'!$D$60:$EQ$99,$B16,88)*IF($W16=1,GK16+ACZ16,GK16)=1,IF(AND($E16=2,IF($W16=1,AIO16,LZ16)=0),1000000000,IF($V16=1,INDEX('calcA'!$D$130:$EQ$169,$B16,88)+IF(AND($E16=1,LZ16=0),25,0),INDEX('calcA'!CM$110:CM$114,$F16+1)+IF(AND($E16=1,LZ16=0),1000,0)+IF($H16=1,INDEX('calcA'!$D$180:$EQ$219,$B16,88)*500,0)-IF(AND('calcA'!CL$117=1,XJ16&gt;0),300,0)-IF(AND($U16=1,'calcA'!CM$117=1,GL16=0),300,0))),1000000000))</f>
        <v/>
      </c>
      <c r="RP16">
        <f>IF($B16=0,1000000000,IF(INDEX('calcA'!$D$60:$EQ$99,$B16,89)*IF($W16=1,GL16+ADA16,GL16)=1,IF(AND($E16=2,IF($W16=1,AIP16,MA16)=0),1000000000,IF($V16=1,INDEX('calcA'!$D$130:$EQ$169,$B16,89)+IF(AND($E16=1,MA16=0),25,0),INDEX('calcA'!CN$110:CN$114,$F16+1)+IF(AND($E16=1,MA16=0),1000,0)+IF($H16=1,INDEX('calcA'!$D$180:$EQ$219,$B16,89)*500,0)-IF(AND('calcA'!CM$117=1,XK16&gt;0),300,0)-IF(AND($U16=1,'calcA'!CN$117=1,GM16=0),300,0))),1000000000))</f>
        <v/>
      </c>
      <c r="RQ16">
        <f>IF($B16=0,1000000000,IF(INDEX('calcA'!$D$60:$EQ$99,$B16,90)*IF($W16=1,GM16+ADB16,GM16)=1,IF(AND($E16=2,IF($W16=1,AIQ16,MB16)=0),1000000000,IF($V16=1,INDEX('calcA'!$D$130:$EQ$169,$B16,90)+IF(AND($E16=1,MB16=0),25,0),INDEX('calcA'!CO$110:CO$114,$F16+1)+IF(AND($E16=1,MB16=0),1000,0)+IF($H16=1,INDEX('calcA'!$D$180:$EQ$219,$B16,90)*500,0)-IF(AND('calcA'!CN$117=1,XL16&gt;0),300,0)-IF(AND($U16=1,'calcA'!CO$117=1,GN16=0),300,0))),1000000000))</f>
        <v/>
      </c>
      <c r="RR16">
        <f>IF($B16=0,1000000000,IF(INDEX('calcA'!$D$60:$EQ$99,$B16,91)*IF($W16=1,GN16+ADC16,GN16)=1,IF(AND($E16=2,IF($W16=1,AIR16,MC16)=0),1000000000,IF($V16=1,INDEX('calcA'!$D$130:$EQ$169,$B16,91)+IF(AND($E16=1,MC16=0),25,0),INDEX('calcA'!CP$110:CP$114,$F16+1)+IF(AND($E16=1,MC16=0),1000,0)+IF($H16=1,INDEX('calcA'!$D$180:$EQ$219,$B16,91)*500,0)-IF(AND('calcA'!CO$117=1,XM16&gt;0),300,0)-IF(AND($U16=1,'calcA'!CP$117=1,GO16=0),300,0))),1000000000))</f>
        <v/>
      </c>
      <c r="RS16">
        <f>IF($B16=0,1000000000,IF(INDEX('calcA'!$D$60:$EQ$99,$B16,92)*IF($W16=1,GO16+ADD16,GO16)=1,IF(AND($E16=2,IF($W16=1,AIS16,MD16)=0),1000000000,IF($V16=1,INDEX('calcA'!$D$130:$EQ$169,$B16,92)+IF(AND($E16=1,MD16=0),25,0),INDEX('calcA'!CQ$110:CQ$114,$F16+1)+IF(AND($E16=1,MD16=0),1000,0)+IF($H16=1,INDEX('calcA'!$D$180:$EQ$219,$B16,92)*500,0)-IF(AND('calcA'!CP$117=1,XN16&gt;0),300,0)-IF(AND($U16=1,'calcA'!CQ$117=1,GP16=0),300,0))),1000000000))</f>
        <v/>
      </c>
      <c r="RT16">
        <f>IF($B16=0,1000000000,IF(INDEX('calcA'!$D$60:$EQ$99,$B16,93)*IF($W16=1,GP16+ADE16,GP16)=1,IF(AND($E16=2,IF($W16=1,AIT16,ME16)=0),1000000000,IF($V16=1,INDEX('calcA'!$D$130:$EQ$169,$B16,93)+IF(AND($E16=1,ME16=0),25,0),INDEX('calcA'!CR$110:CR$114,$F16+1)+IF(AND($E16=1,ME16=0),1000,0)+IF($H16=1,INDEX('calcA'!$D$180:$EQ$219,$B16,93)*500,0)-IF(AND('calcA'!CQ$117=1,XO16&gt;0),300,0)-IF(AND($U16=1,'calcA'!CR$117=1,GQ16=0),300,0))),1000000000))</f>
        <v/>
      </c>
      <c r="RU16">
        <f>IF($B16=0,1000000000,IF(INDEX('calcA'!$D$60:$EQ$99,$B16,94)*IF($W16=1,GQ16+ADF16,GQ16)=1,IF(AND($E16=2,IF($W16=1,AIU16,MF16)=0),1000000000,IF($V16=1,INDEX('calcA'!$D$130:$EQ$169,$B16,94)+IF(AND($E16=1,MF16=0),25,0),INDEX('calcA'!CS$110:CS$114,$F16+1)+IF(AND($E16=1,MF16=0),1000,0)+IF($H16=1,INDEX('calcA'!$D$180:$EQ$219,$B16,94)*500,0)-IF(AND('calcA'!CR$117=1,XP16&gt;0),300,0)-IF(AND($U16=1,'calcA'!CS$117=1,GR16=0),300,0))),1000000000))</f>
        <v/>
      </c>
      <c r="RV16">
        <f>IF($B16=0,1000000000,IF(INDEX('calcA'!$D$60:$EQ$99,$B16,95)*IF($W16=1,GR16+ADG16,GR16)=1,IF(AND($E16=2,IF($W16=1,AIV16,MG16)=0),1000000000,IF($V16=1,INDEX('calcA'!$D$130:$EQ$169,$B16,95)+IF(AND($E16=1,MG16=0),25,0),INDEX('calcA'!CT$110:CT$114,$F16+1)+IF(AND($E16=1,MG16=0),1000,0)+IF($H16=1,INDEX('calcA'!$D$180:$EQ$219,$B16,95)*500,0)-IF(AND('calcA'!CS$117=1,XQ16&gt;0),300,0)-IF(AND($U16=1,'calcA'!CT$117=1,GS16=0),300,0))),1000000000))</f>
        <v/>
      </c>
      <c r="RW16">
        <f>IF($B16=0,1000000000,IF(INDEX('calcA'!$D$60:$EQ$99,$B16,96)*IF($W16=1,GS16+ADH16,GS16)=1,IF(AND($E16=2,IF($W16=1,AIW16,MH16)=0),1000000000,IF($V16=1,INDEX('calcA'!$D$130:$EQ$169,$B16,96)+IF(AND($E16=1,MH16=0),25,0),INDEX('calcA'!CU$110:CU$114,$F16+1)+IF(AND($E16=1,MH16=0),1000,0)+IF($H16=1,INDEX('calcA'!$D$180:$EQ$219,$B16,96)*500,0)-IF(AND('calcA'!CT$117=1,XR16&gt;0),300,0))),1000000000))</f>
        <v/>
      </c>
      <c r="RX16">
        <f>IF($B16=0,1000000000,IF(INDEX('calcA'!$D$60:$EQ$99,$B16,97)*IF($W16=1,GT16+ADI16,GT16)=1,IF(AND($E16=2,IF($W16=1,AIX16,MI16)=0),1000000000,IF($V16=1,INDEX('calcA'!$D$130:$EQ$169,$B16,97)+IF(AND($E16=1,MI16=0),25,0),INDEX('calcA'!CV$110:CV$114,$F16+1)+IF(AND($E16=1,MI16=0),1000,0)+IF($H16=1,INDEX('calcA'!$D$180:$EQ$219,$B16,97)*500,0)-IF(AND($U16=1,'calcA'!CV$117=1,GU16=0),300,0))),1000000000))</f>
        <v/>
      </c>
      <c r="RY16">
        <f>IF($B16=0,1000000000,IF(INDEX('calcA'!$D$60:$EQ$99,$B16,98)*IF($W16=1,GU16+ADJ16,GU16)=1,IF(AND($E16=2,IF($W16=1,AIY16,MJ16)=0),1000000000,IF($V16=1,INDEX('calcA'!$D$130:$EQ$169,$B16,98)+IF(AND($E16=1,MJ16=0),25,0),INDEX('calcA'!CW$110:CW$114,$F16+1)+IF(AND($E16=1,MJ16=0),1000,0)+IF($H16=1,INDEX('calcA'!$D$180:$EQ$219,$B16,98)*500,0)-IF(AND('calcA'!CV$117=1,XT16&gt;0),300,0)-IF(AND($U16=1,'calcA'!CW$117=1,GV16=0),300,0))),1000000000))</f>
        <v/>
      </c>
      <c r="RZ16">
        <f>IF($B16=0,1000000000,IF(INDEX('calcA'!$D$60:$EQ$99,$B16,99)*IF($W16=1,GV16+ADK16,GV16)=1,IF(AND($E16=2,IF($W16=1,AIZ16,MK16)=0),1000000000,IF($V16=1,INDEX('calcA'!$D$130:$EQ$169,$B16,99)+IF(AND($E16=1,MK16=0),25,0),INDEX('calcA'!CX$110:CX$114,$F16+1)+IF(AND($E16=1,MK16=0),1000,0)+IF($H16=1,INDEX('calcA'!$D$180:$EQ$219,$B16,99)*500,0)-IF(AND('calcA'!CW$117=1,XU16&gt;0),300,0)-IF(AND($U16=1,'calcA'!CX$117=1,GW16=0),300,0))),1000000000))</f>
        <v/>
      </c>
      <c r="SA16">
        <f>IF($B16=0,1000000000,IF(INDEX('calcA'!$D$60:$EQ$99,$B16,100)*IF($W16=1,GW16+ADL16,GW16)=1,IF(AND($E16=2,IF($W16=1,AJA16,ML16)=0),1000000000,IF($V16=1,INDEX('calcA'!$D$130:$EQ$169,$B16,100)+IF(AND($E16=1,ML16=0),25,0),INDEX('calcA'!CY$110:CY$114,$F16+1)+IF(AND($E16=1,ML16=0),1000,0)+IF($H16=1,INDEX('calcA'!$D$180:$EQ$219,$B16,100)*500,0)-IF(AND('calcA'!CX$117=1,XV16&gt;0),300,0)-IF(AND($U16=1,'calcA'!CY$117=1,GX16=0),300,0))),1000000000))</f>
        <v/>
      </c>
      <c r="SB16">
        <f>IF($B16=0,1000000000,IF(INDEX('calcA'!$D$60:$EQ$99,$B16,101)*IF($W16=1,GX16+ADM16,GX16)=1,IF(AND($E16=2,IF($W16=1,AJB16,MM16)=0),1000000000,IF($V16=1,INDEX('calcA'!$D$130:$EQ$169,$B16,101)+IF(AND($E16=1,MM16=0),25,0),INDEX('calcA'!CZ$110:CZ$114,$F16+1)+IF(AND($E16=1,MM16=0),1000,0)+IF($H16=1,INDEX('calcA'!$D$180:$EQ$219,$B16,101)*500,0)-IF(AND('calcA'!CY$117=1,XW16&gt;0),300,0)-IF(AND($U16=1,'calcA'!CZ$117=1,GY16=0),300,0))),1000000000))</f>
        <v/>
      </c>
      <c r="SC16">
        <f>IF($B16=0,1000000000,IF(INDEX('calcA'!$D$60:$EQ$99,$B16,102)*IF($W16=1,GY16+ADN16,GY16)=1,IF(AND($E16=2,IF($W16=1,AJC16,MN16)=0),1000000000,IF($V16=1,INDEX('calcA'!$D$130:$EQ$169,$B16,102)+IF(AND($E16=1,MN16=0),25,0),INDEX('calcA'!DA$110:DA$114,$F16+1)+IF(AND($E16=1,MN16=0),1000,0)+IF($H16=1,INDEX('calcA'!$D$180:$EQ$219,$B16,102)*500,0)-IF(AND('calcA'!CZ$117=1,XX16&gt;0),300,0)-IF(AND($U16=1,'calcA'!DA$117=1,GZ16=0),300,0))),1000000000))</f>
        <v/>
      </c>
      <c r="SD16">
        <f>IF($B16=0,1000000000,IF(INDEX('calcA'!$D$60:$EQ$99,$B16,103)*IF($W16=1,GZ16+ADO16,GZ16)=1,IF(AND($E16=2,IF($W16=1,AJD16,MO16)=0),1000000000,IF($V16=1,INDEX('calcA'!$D$130:$EQ$169,$B16,103)+IF(AND($E16=1,MO16=0),25,0),INDEX('calcA'!DB$110:DB$114,$F16+1)+IF(AND($E16=1,MO16=0),1000,0)+IF($H16=1,INDEX('calcA'!$D$180:$EQ$219,$B16,103)*500,0)-IF(AND('calcA'!DA$117=1,XY16&gt;0),300,0)-IF(AND($U16=1,'calcA'!DB$117=1,HA16=0),300,0))),1000000000))</f>
        <v/>
      </c>
      <c r="SE16">
        <f>IF($B16=0,1000000000,IF(INDEX('calcA'!$D$60:$EQ$99,$B16,104)*IF($W16=1,HA16+ADP16,HA16)=1,IF(AND($E16=2,IF($W16=1,AJE16,MP16)=0),1000000000,IF($V16=1,INDEX('calcA'!$D$130:$EQ$169,$B16,104)+IF(AND($E16=1,MP16=0),25,0),INDEX('calcA'!DC$110:DC$114,$F16+1)+IF(AND($E16=1,MP16=0),1000,0)+IF($H16=1,INDEX('calcA'!$D$180:$EQ$219,$B16,104)*500,0)-IF(AND('calcA'!DB$117=1,XZ16&gt;0),300,0)-IF(AND($U16=1,'calcA'!DC$117=1,HB16=0),300,0))),1000000000))</f>
        <v/>
      </c>
      <c r="SF16">
        <f>IF($B16=0,1000000000,IF(INDEX('calcA'!$D$60:$EQ$99,$B16,105)*IF($W16=1,HB16+ADQ16,HB16)=1,IF(AND($E16=2,IF($W16=1,AJF16,MQ16)=0),1000000000,IF($V16=1,INDEX('calcA'!$D$130:$EQ$169,$B16,105)+IF(AND($E16=1,MQ16=0),25,0),INDEX('calcA'!DD$110:DD$114,$F16+1)+IF(AND($E16=1,MQ16=0),1000,0)+IF($H16=1,INDEX('calcA'!$D$180:$EQ$219,$B16,105)*500,0)-IF(AND('calcA'!DC$117=1,YA16&gt;0),300,0)-IF(AND($U16=1,'calcA'!DD$117=1,HC16=0),300,0))),1000000000))</f>
        <v/>
      </c>
      <c r="SG16">
        <f>IF($B16=0,1000000000,IF(INDEX('calcA'!$D$60:$EQ$99,$B16,106)*IF($W16=1,HC16+ADR16,HC16)=1,IF(AND($E16=2,IF($W16=1,AJG16,MR16)=0),1000000000,IF($V16=1,INDEX('calcA'!$D$130:$EQ$169,$B16,106)+IF(AND($E16=1,MR16=0),25,0),INDEX('calcA'!DE$110:DE$114,$F16+1)+IF(AND($E16=1,MR16=0),1000,0)+IF($H16=1,INDEX('calcA'!$D$180:$EQ$219,$B16,106)*500,0)-IF(AND('calcA'!DD$117=1,YB16&gt;0),300,0)-IF(AND($U16=1,'calcA'!DE$117=1,HD16=0),300,0))),1000000000))</f>
        <v/>
      </c>
      <c r="SH16">
        <f>IF($B16=0,1000000000,IF(INDEX('calcA'!$D$60:$EQ$99,$B16,107)*IF($W16=1,HD16+ADS16,HD16)=1,IF(AND($E16=2,IF($W16=1,AJH16,MS16)=0),1000000000,IF($V16=1,INDEX('calcA'!$D$130:$EQ$169,$B16,107)+IF(AND($E16=1,MS16=0),25,0),INDEX('calcA'!DF$110:DF$114,$F16+1)+IF(AND($E16=1,MS16=0),1000,0)+IF($H16=1,INDEX('calcA'!$D$180:$EQ$219,$B16,107)*500,0)-IF(AND('calcA'!DE$117=1,YC16&gt;0),300,0)-IF(AND($U16=1,'calcA'!DF$117=1,HE16=0),300,0))),1000000000))</f>
        <v/>
      </c>
      <c r="SI16">
        <f>IF($B16=0,1000000000,IF(INDEX('calcA'!$D$60:$EQ$99,$B16,108)*IF($W16=1,HE16+ADT16,HE16)=1,IF(AND($E16=2,IF($W16=1,AJI16,MT16)=0),1000000000,IF($V16=1,INDEX('calcA'!$D$130:$EQ$169,$B16,108)+IF(AND($E16=1,MT16=0),25,0),INDEX('calcA'!DG$110:DG$114,$F16+1)+IF(AND($E16=1,MT16=0),1000,0)+IF($H16=1,INDEX('calcA'!$D$180:$EQ$219,$B16,108)*500,0)-IF(AND('calcA'!DF$117=1,YD16&gt;0),300,0)-IF(AND($U16=1,'calcA'!DG$117=1,HF16=0),300,0))),1000000000))</f>
        <v/>
      </c>
      <c r="SJ16">
        <f>IF($B16=0,1000000000,IF(INDEX('calcA'!$D$60:$EQ$99,$B16,109)*IF($W16=1,HF16+ADU16,HF16)=1,IF(AND($E16=2,IF($W16=1,AJJ16,MU16)=0),1000000000,IF($V16=1,INDEX('calcA'!$D$130:$EQ$169,$B16,109)+IF(AND($E16=1,MU16=0),25,0),INDEX('calcA'!DH$110:DH$114,$F16+1)+IF(AND($E16=1,MU16=0),1000,0)+IF($H16=1,INDEX('calcA'!$D$180:$EQ$219,$B16,109)*500,0)-IF(AND('calcA'!DG$117=1,YE16&gt;0),300,0)-IF(AND($U16=1,'calcA'!DH$117=1,HG16=0),300,0))),1000000000))</f>
        <v/>
      </c>
      <c r="SK16">
        <f>IF($B16=0,1000000000,IF(INDEX('calcA'!$D$60:$EQ$99,$B16,110)*IF($W16=1,HG16+ADV16,HG16)=1,IF(AND($E16=2,IF($W16=1,AJK16,MV16)=0),1000000000,IF($V16=1,INDEX('calcA'!$D$130:$EQ$169,$B16,110)+IF(AND($E16=1,MV16=0),25,0),INDEX('calcA'!DI$110:DI$114,$F16+1)+IF(AND($E16=1,MV16=0),1000,0)+IF($H16=1,INDEX('calcA'!$D$180:$EQ$219,$B16,110)*500,0)-IF(AND('calcA'!DH$117=1,YF16&gt;0),300,0)-IF(AND($U16=1,'calcA'!DI$117=1,HH16=0),300,0))),1000000000))</f>
        <v/>
      </c>
      <c r="SL16">
        <f>IF($B16=0,1000000000,IF(INDEX('calcA'!$D$60:$EQ$99,$B16,111)*IF($W16=1,HH16+ADW16,HH16)=1,IF(AND($E16=2,IF($W16=1,AJL16,MW16)=0),1000000000,IF($V16=1,INDEX('calcA'!$D$130:$EQ$169,$B16,111)+IF(AND($E16=1,MW16=0),25,0),INDEX('calcA'!DJ$110:DJ$114,$F16+1)+IF(AND($E16=1,MW16=0),1000,0)+IF($H16=1,INDEX('calcA'!$D$180:$EQ$219,$B16,111)*500,0)-IF(AND('calcA'!DI$117=1,YG16&gt;0),300,0)-IF(AND($U16=1,'calcA'!DJ$117=1,HI16=0),300,0))),1000000000))</f>
        <v/>
      </c>
      <c r="SM16">
        <f>IF($B16=0,1000000000,IF(INDEX('calcA'!$D$60:$EQ$99,$B16,112)*IF($W16=1,HI16+ADX16,HI16)=1,IF(AND($E16=2,IF($W16=1,AJM16,MX16)=0),1000000000,IF($V16=1,INDEX('calcA'!$D$130:$EQ$169,$B16,112)+IF(AND($E16=1,MX16=0),25,0),INDEX('calcA'!DK$110:DK$114,$F16+1)+IF(AND($E16=1,MX16=0),1000,0)+IF($H16=1,INDEX('calcA'!$D$180:$EQ$219,$B16,112)*500,0)-IF(AND('calcA'!DJ$117=1,YH16&gt;0),300,0)-IF(AND($U16=1,'calcA'!DK$117=1,HJ16=0),300,0))),1000000000))</f>
        <v/>
      </c>
      <c r="SN16">
        <f>IF($B16=0,1000000000,IF(INDEX('calcA'!$D$60:$EQ$99,$B16,113)*IF($W16=1,HJ16+ADY16,HJ16)=1,IF(AND($E16=2,IF($W16=1,AJN16,MY16)=0),1000000000,IF($V16=1,INDEX('calcA'!$D$130:$EQ$169,$B16,113)+IF(AND($E16=1,MY16=0),25,0),INDEX('calcA'!DL$110:DL$114,$F16+1)+IF(AND($E16=1,MY16=0),1000,0)+IF($H16=1,INDEX('calcA'!$D$180:$EQ$219,$B16,113)*500,0)-IF(AND('calcA'!DK$117=1,YI16&gt;0),300,0)-IF(AND($U16=1,'calcA'!DL$117=1,HK16=0),300,0))),1000000000))</f>
        <v/>
      </c>
      <c r="SO16">
        <f>IF($B16=0,1000000000,IF(INDEX('calcA'!$D$60:$EQ$99,$B16,114)*IF($W16=1,HK16+ADZ16,HK16)=1,IF(AND($E16=2,IF($W16=1,AJO16,MZ16)=0),1000000000,IF($V16=1,INDEX('calcA'!$D$130:$EQ$169,$B16,114)+IF(AND($E16=1,MZ16=0),25,0),INDEX('calcA'!DM$110:DM$114,$F16+1)+IF(AND($E16=1,MZ16=0),1000,0)+IF($H16=1,INDEX('calcA'!$D$180:$EQ$219,$B16,114)*500,0)-IF(AND('calcA'!DL$117=1,YJ16&gt;0),300,0)-IF(AND($U16=1,'calcA'!DM$117=1,HL16=0),300,0))),1000000000))</f>
        <v/>
      </c>
      <c r="SP16">
        <f>IF($B16=0,1000000000,IF(INDEX('calcA'!$D$60:$EQ$99,$B16,115)*IF($W16=1,HL16+AEA16,HL16)=1,IF(AND($E16=2,IF($W16=1,AJP16,NA16)=0),1000000000,IF($V16=1,INDEX('calcA'!$D$130:$EQ$169,$B16,115)+IF(AND($E16=1,NA16=0),25,0),INDEX('calcA'!DN$110:DN$114,$F16+1)+IF(AND($E16=1,NA16=0),1000,0)+IF($H16=1,INDEX('calcA'!$D$180:$EQ$219,$B16,115)*500,0)-IF(AND('calcA'!DM$117=1,YK16&gt;0),300,0)-IF(AND($U16=1,'calcA'!DN$117=1,HM16=0),300,0))),1000000000))</f>
        <v/>
      </c>
      <c r="SQ16">
        <f>IF($B16=0,1000000000,IF(INDEX('calcA'!$D$60:$EQ$99,$B16,116)*IF($W16=1,HM16+AEB16,HM16)=1,IF(AND($E16=2,IF($W16=1,AJQ16,NB16)=0),1000000000,IF($V16=1,INDEX('calcA'!$D$130:$EQ$169,$B16,116)+IF(AND($E16=1,NB16=0),25,0),INDEX('calcA'!DO$110:DO$114,$F16+1)+IF(AND($E16=1,NB16=0),1000,0)+IF($H16=1,INDEX('calcA'!$D$180:$EQ$219,$B16,116)*500,0)-IF(AND('calcA'!DN$117=1,YL16&gt;0),300,0)-IF(AND($U16=1,'calcA'!DO$117=1,HN16=0),300,0))),1000000000))</f>
        <v/>
      </c>
      <c r="SR16">
        <f>IF($B16=0,1000000000,IF(INDEX('calcA'!$D$60:$EQ$99,$B16,117)*IF($W16=1,HN16+AEC16,HN16)=1,IF(AND($E16=2,IF($W16=1,AJR16,NC16)=0),1000000000,IF($V16=1,INDEX('calcA'!$D$130:$EQ$169,$B16,117)+IF(AND($E16=1,NC16=0),25,0),INDEX('calcA'!DP$110:DP$114,$F16+1)+IF(AND($E16=1,NC16=0),1000,0)+IF($H16=1,INDEX('calcA'!$D$180:$EQ$219,$B16,117)*500,0)-IF(AND('calcA'!DO$117=1,YM16&gt;0),300,0)-IF(AND($U16=1,'calcA'!DP$117=1,HO16=0),300,0))),1000000000))</f>
        <v/>
      </c>
      <c r="SS16">
        <f>IF($B16=0,1000000000,IF(INDEX('calcA'!$D$60:$EQ$99,$B16,118)*IF($W16=1,HO16+AED16,HO16)=1,IF(AND($E16=2,IF($W16=1,AJS16,ND16)=0),1000000000,IF($V16=1,INDEX('calcA'!$D$130:$EQ$169,$B16,118)+IF(AND($E16=1,ND16=0),25,0),INDEX('calcA'!DQ$110:DQ$114,$F16+1)+IF(AND($E16=1,ND16=0),1000,0)+IF($H16=1,INDEX('calcA'!$D$180:$EQ$219,$B16,118)*500,0)-IF(AND('calcA'!DP$117=1,YN16&gt;0),300,0)-IF(AND($U16=1,'calcA'!DQ$117=1,HP16=0),300,0))),1000000000))</f>
        <v/>
      </c>
      <c r="ST16">
        <f>IF($B16=0,1000000000,IF(INDEX('calcA'!$D$60:$EQ$99,$B16,119)*IF($W16=1,HP16+AEE16,HP16)=1,IF(AND($E16=2,IF($W16=1,AJT16,NE16)=0),1000000000,IF($V16=1,INDEX('calcA'!$D$130:$EQ$169,$B16,119)+IF(AND($E16=1,NE16=0),25,0),INDEX('calcA'!DR$110:DR$114,$F16+1)+IF(AND($E16=1,NE16=0),1000,0)+IF($H16=1,INDEX('calcA'!$D$180:$EQ$219,$B16,119)*500,0)-IF(AND('calcA'!DQ$117=1,YO16&gt;0),300,0)-IF(AND($U16=1,'calcA'!DR$117=1,HQ16=0),300,0))),1000000000))</f>
        <v/>
      </c>
      <c r="SU16">
        <f>IF($B16=0,1000000000,IF(INDEX('calcA'!$D$60:$EQ$99,$B16,120)*IF($W16=1,HQ16+AEF16,HQ16)=1,IF(AND($E16=2,IF($W16=1,AJU16,NF16)=0),1000000000,IF($V16=1,INDEX('calcA'!$D$130:$EQ$169,$B16,120)+IF(AND($E16=1,NF16=0),25,0),INDEX('calcA'!DS$110:DS$114,$F16+1)+IF(AND($E16=1,NF16=0),1000,0)+IF($H16=1,INDEX('calcA'!$D$180:$EQ$219,$B16,120)*500,0)-IF(AND('calcA'!DR$117=1,YP16&gt;0),300,0))),1000000000))</f>
        <v/>
      </c>
      <c r="SV16">
        <f>IF($B16=0,1000000000,IF(INDEX('calcA'!$D$60:$EQ$99,$B16,121)*IF($W16=1,HR16+AEG16,HR16)=1,IF(AND($E16=2,IF($W16=1,AJV16,NG16)=0),1000000000,IF($V16=1,INDEX('calcA'!$D$130:$EQ$169,$B16,121)+IF(AND($E16=1,NG16=0),25,0),INDEX('calcA'!DT$110:DT$114,$F16+1)+IF(AND($E16=1,NG16=0),1000,0)+IF($H16=1,INDEX('calcA'!$D$180:$EQ$219,$B16,121)*500,0)-IF(AND($U16=1,'calcA'!DT$117=1,HS16=0),300,0))),1000000000))</f>
        <v/>
      </c>
      <c r="SW16">
        <f>IF($B16=0,1000000000,IF(INDEX('calcA'!$D$60:$EQ$99,$B16,122)*IF($W16=1,HS16+AEH16,HS16)=1,IF(AND($E16=2,IF($W16=1,AJW16,NH16)=0),1000000000,IF($V16=1,INDEX('calcA'!$D$130:$EQ$169,$B16,122)+IF(AND($E16=1,NH16=0),25,0),INDEX('calcA'!DU$110:DU$114,$F16+1)+IF(AND($E16=1,NH16=0),1000,0)+IF($H16=1,INDEX('calcA'!$D$180:$EQ$219,$B16,122)*500,0)-IF(AND('calcA'!DT$117=1,YR16&gt;0),300,0)-IF(AND($U16=1,'calcA'!DU$117=1,HT16=0),300,0))),1000000000))</f>
        <v/>
      </c>
      <c r="SX16">
        <f>IF($B16=0,1000000000,IF(INDEX('calcA'!$D$60:$EQ$99,$B16,123)*IF($W16=1,HT16+AEI16,HT16)=1,IF(AND($E16=2,IF($W16=1,AJX16,NI16)=0),1000000000,IF($V16=1,INDEX('calcA'!$D$130:$EQ$169,$B16,123)+IF(AND($E16=1,NI16=0),25,0),INDEX('calcA'!DV$110:DV$114,$F16+1)+IF(AND($E16=1,NI16=0),1000,0)+IF($H16=1,INDEX('calcA'!$D$180:$EQ$219,$B16,123)*500,0)-IF(AND('calcA'!DU$117=1,YS16&gt;0),300,0)-IF(AND($U16=1,'calcA'!DV$117=1,HU16=0),300,0))),1000000000))</f>
        <v/>
      </c>
      <c r="SY16">
        <f>IF($B16=0,1000000000,IF(INDEX('calcA'!$D$60:$EQ$99,$B16,124)*IF($W16=1,HU16+AEJ16,HU16)=1,IF(AND($E16=2,IF($W16=1,AJY16,NJ16)=0),1000000000,IF($V16=1,INDEX('calcA'!$D$130:$EQ$169,$B16,124)+IF(AND($E16=1,NJ16=0),25,0),INDEX('calcA'!DW$110:DW$114,$F16+1)+IF(AND($E16=1,NJ16=0),1000,0)+IF($H16=1,INDEX('calcA'!$D$180:$EQ$219,$B16,124)*500,0)-IF(AND('calcA'!DV$117=1,YT16&gt;0),300,0)-IF(AND($U16=1,'calcA'!DW$117=1,HV16=0),300,0))),1000000000))</f>
        <v/>
      </c>
      <c r="SZ16">
        <f>IF($B16=0,1000000000,IF(INDEX('calcA'!$D$60:$EQ$99,$B16,125)*IF($W16=1,HV16+AEK16,HV16)=1,IF(AND($E16=2,IF($W16=1,AJZ16,NK16)=0),1000000000,IF($V16=1,INDEX('calcA'!$D$130:$EQ$169,$B16,125)+IF(AND($E16=1,NK16=0),25,0),INDEX('calcA'!DX$110:DX$114,$F16+1)+IF(AND($E16=1,NK16=0),1000,0)+IF($H16=1,INDEX('calcA'!$D$180:$EQ$219,$B16,125)*500,0)-IF(AND('calcA'!DW$117=1,YU16&gt;0),300,0)-IF(AND($U16=1,'calcA'!DX$117=1,HW16=0),300,0))),1000000000))</f>
        <v/>
      </c>
      <c r="TA16">
        <f>IF($B16=0,1000000000,IF(INDEX('calcA'!$D$60:$EQ$99,$B16,126)*IF($W16=1,HW16+AEL16,HW16)=1,IF(AND($E16=2,IF($W16=1,AKA16,NL16)=0),1000000000,IF($V16=1,INDEX('calcA'!$D$130:$EQ$169,$B16,126)+IF(AND($E16=1,NL16=0),25,0),INDEX('calcA'!DY$110:DY$114,$F16+1)+IF(AND($E16=1,NL16=0),1000,0)+IF($H16=1,INDEX('calcA'!$D$180:$EQ$219,$B16,126)*500,0)-IF(AND('calcA'!DX$117=1,YV16&gt;0),300,0)-IF(AND($U16=1,'calcA'!DY$117=1,HX16=0),300,0))),1000000000))</f>
        <v/>
      </c>
      <c r="TB16">
        <f>IF($B16=0,1000000000,IF(INDEX('calcA'!$D$60:$EQ$99,$B16,127)*IF($W16=1,HX16+AEM16,HX16)=1,IF(AND($E16=2,IF($W16=1,AKB16,NM16)=0),1000000000,IF($V16=1,INDEX('calcA'!$D$130:$EQ$169,$B16,127)+IF(AND($E16=1,NM16=0),25,0),INDEX('calcA'!DZ$110:DZ$114,$F16+1)+IF(AND($E16=1,NM16=0),1000,0)+IF($H16=1,INDEX('calcA'!$D$180:$EQ$219,$B16,127)*500,0)-IF(AND('calcA'!DY$117=1,YW16&gt;0),300,0)-IF(AND($U16=1,'calcA'!DZ$117=1,HY16=0),300,0))),1000000000))</f>
        <v/>
      </c>
      <c r="TC16">
        <f>IF($B16=0,1000000000,IF(INDEX('calcA'!$D$60:$EQ$99,$B16,128)*IF($W16=1,HY16+AEN16,HY16)=1,IF(AND($E16=2,IF($W16=1,AKC16,NN16)=0),1000000000,IF($V16=1,INDEX('calcA'!$D$130:$EQ$169,$B16,128)+IF(AND($E16=1,NN16=0),25,0),INDEX('calcA'!EA$110:EA$114,$F16+1)+IF(AND($E16=1,NN16=0),1000,0)+IF($H16=1,INDEX('calcA'!$D$180:$EQ$219,$B16,128)*500,0)-IF(AND('calcA'!DZ$117=1,YX16&gt;0),300,0)-IF(AND($U16=1,'calcA'!EA$117=1,HZ16=0),300,0))),1000000000))</f>
        <v/>
      </c>
      <c r="TD16">
        <f>IF($B16=0,1000000000,IF(INDEX('calcA'!$D$60:$EQ$99,$B16,129)*IF($W16=1,HZ16+AEO16,HZ16)=1,IF(AND($E16=2,IF($W16=1,AKD16,NO16)=0),1000000000,IF($V16=1,INDEX('calcA'!$D$130:$EQ$169,$B16,129)+IF(AND($E16=1,NO16=0),25,0),INDEX('calcA'!EB$110:EB$114,$F16+1)+IF(AND($E16=1,NO16=0),1000,0)+IF($H16=1,INDEX('calcA'!$D$180:$EQ$219,$B16,129)*500,0)-IF(AND('calcA'!EA$117=1,YY16&gt;0),300,0)-IF(AND($U16=1,'calcA'!EB$117=1,IA16=0),300,0))),1000000000))</f>
        <v/>
      </c>
      <c r="TE16">
        <f>IF($B16=0,1000000000,IF(INDEX('calcA'!$D$60:$EQ$99,$B16,130)*IF($W16=1,IA16+AEP16,IA16)=1,IF(AND($E16=2,IF($W16=1,AKE16,NP16)=0),1000000000,IF($V16=1,INDEX('calcA'!$D$130:$EQ$169,$B16,130)+IF(AND($E16=1,NP16=0),25,0),INDEX('calcA'!EC$110:EC$114,$F16+1)+IF(AND($E16=1,NP16=0),1000,0)+IF($H16=1,INDEX('calcA'!$D$180:$EQ$219,$B16,130)*500,0)-IF(AND('calcA'!EB$117=1,YZ16&gt;0),300,0)-IF(AND($U16=1,'calcA'!EC$117=1,IB16=0),300,0))),1000000000))</f>
        <v/>
      </c>
      <c r="TF16">
        <f>IF($B16=0,1000000000,IF(INDEX('calcA'!$D$60:$EQ$99,$B16,131)*IF($W16=1,IB16+AEQ16,IB16)=1,IF(AND($E16=2,IF($W16=1,AKF16,NQ16)=0),1000000000,IF($V16=1,INDEX('calcA'!$D$130:$EQ$169,$B16,131)+IF(AND($E16=1,NQ16=0),25,0),INDEX('calcA'!ED$110:ED$114,$F16+1)+IF(AND($E16=1,NQ16=0),1000,0)+IF($H16=1,INDEX('calcA'!$D$180:$EQ$219,$B16,131)*500,0)-IF(AND('calcA'!EC$117=1,ZA16&gt;0),300,0)-IF(AND($U16=1,'calcA'!ED$117=1,IC16=0),300,0))),1000000000))</f>
        <v/>
      </c>
      <c r="TG16">
        <f>IF($B16=0,1000000000,IF(INDEX('calcA'!$D$60:$EQ$99,$B16,132)*IF($W16=1,IC16+AER16,IC16)=1,IF(AND($E16=2,IF($W16=1,AKG16,NR16)=0),1000000000,IF($V16=1,INDEX('calcA'!$D$130:$EQ$169,$B16,132)+IF(AND($E16=1,NR16=0),25,0),INDEX('calcA'!EE$110:EE$114,$F16+1)+IF(AND($E16=1,NR16=0),1000,0)+IF($H16=1,INDEX('calcA'!$D$180:$EQ$219,$B16,132)*500,0)-IF(AND('calcA'!ED$117=1,ZB16&gt;0),300,0)-IF(AND($U16=1,'calcA'!EE$117=1,ID16=0),300,0))),1000000000))</f>
        <v/>
      </c>
      <c r="TH16">
        <f>IF($B16=0,1000000000,IF(INDEX('calcA'!$D$60:$EQ$99,$B16,133)*IF($W16=1,ID16+AES16,ID16)=1,IF(AND($E16=2,IF($W16=1,AKH16,NS16)=0),1000000000,IF($V16=1,INDEX('calcA'!$D$130:$EQ$169,$B16,133)+IF(AND($E16=1,NS16=0),25,0),INDEX('calcA'!EF$110:EF$114,$F16+1)+IF(AND($E16=1,NS16=0),1000,0)+IF($H16=1,INDEX('calcA'!$D$180:$EQ$219,$B16,133)*500,0)-IF(AND('calcA'!EE$117=1,ZC16&gt;0),300,0)-IF(AND($U16=1,'calcA'!EF$117=1,IE16=0),300,0))),1000000000))</f>
        <v/>
      </c>
      <c r="TI16">
        <f>IF($B16=0,1000000000,IF(INDEX('calcA'!$D$60:$EQ$99,$B16,134)*IF($W16=1,IE16+AET16,IE16)=1,IF(AND($E16=2,IF($W16=1,AKI16,NT16)=0),1000000000,IF($V16=1,INDEX('calcA'!$D$130:$EQ$169,$B16,134)+IF(AND($E16=1,NT16=0),25,0),INDEX('calcA'!EG$110:EG$114,$F16+1)+IF(AND($E16=1,NT16=0),1000,0)+IF($H16=1,INDEX('calcA'!$D$180:$EQ$219,$B16,134)*500,0)-IF(AND('calcA'!EF$117=1,ZD16&gt;0),300,0)-IF(AND($U16=1,'calcA'!EG$117=1,IF16=0),300,0))),1000000000))</f>
        <v/>
      </c>
      <c r="TJ16">
        <f>IF($B16=0,1000000000,IF(INDEX('calcA'!$D$60:$EQ$99,$B16,135)*IF($W16=1,IF16+AEU16,IF16)=1,IF(AND($E16=2,IF($W16=1,AKJ16,NU16)=0),1000000000,IF($V16=1,INDEX('calcA'!$D$130:$EQ$169,$B16,135)+IF(AND($E16=1,NU16=0),25,0),INDEX('calcA'!EH$110:EH$114,$F16+1)+IF(AND($E16=1,NU16=0),1000,0)+IF($H16=1,INDEX('calcA'!$D$180:$EQ$219,$B16,135)*500,0)-IF(AND('calcA'!EG$117=1,ZE16&gt;0),300,0)-IF(AND($U16=1,'calcA'!EH$117=1,IG16=0),300,0))),1000000000))</f>
        <v/>
      </c>
      <c r="TK16">
        <f>IF($B16=0,1000000000,IF(INDEX('calcA'!$D$60:$EQ$99,$B16,136)*IF($W16=1,IG16+AEV16,IG16)=1,IF(AND($E16=2,IF($W16=1,AKK16,NV16)=0),1000000000,IF($V16=1,INDEX('calcA'!$D$130:$EQ$169,$B16,136)+IF(AND($E16=1,NV16=0),25,0),INDEX('calcA'!EI$110:EI$114,$F16+1)+IF(AND($E16=1,NV16=0),1000,0)+IF($H16=1,INDEX('calcA'!$D$180:$EQ$219,$B16,136)*500,0)-IF(AND('calcA'!EH$117=1,ZF16&gt;0),300,0)-IF(AND($U16=1,'calcA'!EI$117=1,IH16=0),300,0))),1000000000))</f>
        <v/>
      </c>
      <c r="TL16">
        <f>IF($B16=0,1000000000,IF(INDEX('calcA'!$D$60:$EQ$99,$B16,137)*IF($W16=1,IH16+AEW16,IH16)=1,IF(AND($E16=2,IF($W16=1,AKL16,NW16)=0),1000000000,IF($V16=1,INDEX('calcA'!$D$130:$EQ$169,$B16,137)+IF(AND($E16=1,NW16=0),25,0),INDEX('calcA'!EJ$110:EJ$114,$F16+1)+IF(AND($E16=1,NW16=0),1000,0)+IF($H16=1,INDEX('calcA'!$D$180:$EQ$219,$B16,137)*500,0)-IF(AND('calcA'!EI$117=1,ZG16&gt;0),300,0)-IF(AND($U16=1,'calcA'!EJ$117=1,II16=0),300,0))),1000000000))</f>
        <v/>
      </c>
      <c r="TM16">
        <f>IF($B16=0,1000000000,IF(INDEX('calcA'!$D$60:$EQ$99,$B16,138)*IF($W16=1,II16+AEX16,II16)=1,IF(AND($E16=2,IF($W16=1,AKM16,NX16)=0),1000000000,IF($V16=1,INDEX('calcA'!$D$130:$EQ$169,$B16,138)+IF(AND($E16=1,NX16=0),25,0),INDEX('calcA'!EK$110:EK$114,$F16+1)+IF(AND($E16=1,NX16=0),1000,0)+IF($H16=1,INDEX('calcA'!$D$180:$EQ$219,$B16,138)*500,0)-IF(AND('calcA'!EJ$117=1,ZH16&gt;0),300,0)-IF(AND($U16=1,'calcA'!EK$117=1,IJ16=0),300,0))),1000000000))</f>
        <v/>
      </c>
      <c r="TN16">
        <f>IF($B16=0,1000000000,IF(INDEX('calcA'!$D$60:$EQ$99,$B16,139)*IF($W16=1,IJ16+AEY16,IJ16)=1,IF(AND($E16=2,IF($W16=1,AKN16,NY16)=0),1000000000,IF($V16=1,INDEX('calcA'!$D$130:$EQ$169,$B16,139)+IF(AND($E16=1,NY16=0),25,0),INDEX('calcA'!EL$110:EL$114,$F16+1)+IF(AND($E16=1,NY16=0),1000,0)+IF($H16=1,INDEX('calcA'!$D$180:$EQ$219,$B16,139)*500,0)-IF(AND('calcA'!EK$117=1,ZI16&gt;0),300,0)-IF(AND($U16=1,'calcA'!EL$117=1,IK16=0),300,0))),1000000000))</f>
        <v/>
      </c>
      <c r="TO16">
        <f>IF($B16=0,1000000000,IF(INDEX('calcA'!$D$60:$EQ$99,$B16,140)*IF($W16=1,IK16+AEZ16,IK16)=1,IF(AND($E16=2,IF($W16=1,AKO16,NZ16)=0),1000000000,IF($V16=1,INDEX('calcA'!$D$130:$EQ$169,$B16,140)+IF(AND($E16=1,NZ16=0),25,0),INDEX('calcA'!EM$110:EM$114,$F16+1)+IF(AND($E16=1,NZ16=0),1000,0)+IF($H16=1,INDEX('calcA'!$D$180:$EQ$219,$B16,140)*500,0)-IF(AND('calcA'!EL$117=1,ZJ16&gt;0),300,0)-IF(AND($U16=1,'calcA'!EM$117=1,IL16=0),300,0))),1000000000))</f>
        <v/>
      </c>
      <c r="TP16">
        <f>IF($B16=0,1000000000,IF(INDEX('calcA'!$D$60:$EQ$99,$B16,141)*IF($W16=1,IL16+AFA16,IL16)=1,IF(AND($E16=2,IF($W16=1,AKP16,OA16)=0),1000000000,IF($V16=1,INDEX('calcA'!$D$130:$EQ$169,$B16,141)+IF(AND($E16=1,OA16=0),25,0),INDEX('calcA'!EN$110:EN$114,$F16+1)+IF(AND($E16=1,OA16=0),1000,0)+IF($H16=1,INDEX('calcA'!$D$180:$EQ$219,$B16,141)*500,0)-IF(AND('calcA'!EM$117=1,ZK16&gt;0),300,0)-IF(AND($U16=1,'calcA'!EN$117=1,IM16=0),300,0))),1000000000))</f>
        <v/>
      </c>
      <c r="TQ16">
        <f>IF($B16=0,1000000000,IF(INDEX('calcA'!$D$60:$EQ$99,$B16,142)*IF($W16=1,IM16+AFB16,IM16)=1,IF(AND($E16=2,IF($W16=1,AKQ16,OB16)=0),1000000000,IF($V16=1,INDEX('calcA'!$D$130:$EQ$169,$B16,142)+IF(AND($E16=1,OB16=0),25,0),INDEX('calcA'!EO$110:EO$114,$F16+1)+IF(AND($E16=1,OB16=0),1000,0)+IF($H16=1,INDEX('calcA'!$D$180:$EQ$219,$B16,142)*500,0)-IF(AND('calcA'!EN$117=1,ZL16&gt;0),300,0)-IF(AND($U16=1,'calcA'!EO$117=1,IN16=0),300,0))),1000000000))</f>
        <v/>
      </c>
      <c r="TR16">
        <f>IF($B16=0,1000000000,IF(INDEX('calcA'!$D$60:$EQ$99,$B16,143)*IF($W16=1,IN16+AFC16,IN16)=1,IF(AND($E16=2,IF($W16=1,AKR16,OC16)=0),1000000000,IF($V16=1,INDEX('calcA'!$D$130:$EQ$169,$B16,143)+IF(AND($E16=1,OC16=0),25,0),INDEX('calcA'!EP$110:EP$114,$F16+1)+IF(AND($E16=1,OC16=0),1000,0)+IF($H16=1,INDEX('calcA'!$D$180:$EQ$219,$B16,143)*500,0)-IF(AND('calcA'!EO$117=1,ZM16&gt;0),300,0)-IF(AND($U16=1,'calcA'!EP$117=1,IO16=0),300,0))),1000000000))</f>
        <v/>
      </c>
      <c r="TS16">
        <f>IF($B16=0,1000000000,IF(INDEX('calcA'!$D$60:$EQ$99,$B16,144)*IF($W16=1,IO16+AFD16,IO16)=1,IF(AND($E16=2,IF($W16=1,AKS16,OD16)=0),1000000000,IF($V16=1,INDEX('calcA'!$D$130:$EQ$169,$B16,144)+IF(AND($E16=1,OD16=0),25,0),INDEX('calcA'!EQ$110:EQ$114,$F16+1)+IF(AND($E16=1,OD16=0),1000,0)+IF($H16=1,INDEX('calcA'!$D$180:$EQ$219,$B16,144)*500,0)-IF(AND('calcA'!EP$117=1,ZN16&gt;0),300,0))),1000000000))</f>
        <v/>
      </c>
      <c r="UB16">
        <f>UB15+IF(AND($C15=1,$U15=1),1,0)</f>
        <v/>
      </c>
      <c r="UC16">
        <f>UC15+IF(AND($C15=2,$U15=1),1,0)</f>
        <v/>
      </c>
      <c r="UD16">
        <f>UD15+IF(AND($C15=3,$U15=1),1,0)</f>
        <v/>
      </c>
      <c r="UE16">
        <f>UE15+IF(AND($C15=4,$U15=1),1,0)</f>
        <v/>
      </c>
      <c r="UF16">
        <f>UF15+IF(AND($C15=5,$U15=1),1,0)</f>
        <v/>
      </c>
      <c r="UG16">
        <f>UG15+IF(AND($C15=6,$U15=1),1,0)</f>
        <v/>
      </c>
      <c r="UH16">
        <f>UH15+IF(AND($C15=7,$U15=1),1,0)</f>
        <v/>
      </c>
      <c r="UI16">
        <f>UI15+IF(AND($C15=8,$U15=1),1,0)</f>
        <v/>
      </c>
      <c r="UJ16">
        <f>UJ15+IF(AND($C15=9,$U15=1),1,0)</f>
        <v/>
      </c>
      <c r="UK16">
        <f>UK15+IF(AND($C15=10,$U15=1),1,0)</f>
        <v/>
      </c>
      <c r="UL16">
        <f>UL15+IF(AND($C15=11,$U15=1),1,0)</f>
        <v/>
      </c>
      <c r="UM16">
        <f>UM15+IF(AND($C15=12,$U15=1),1,0)</f>
        <v/>
      </c>
      <c r="UN16">
        <f>UN15+IF(AND($C15=13,$U15=1),1,0)</f>
        <v/>
      </c>
      <c r="UO16">
        <f>UO15+IF(AND($C15=14,$U15=1),1,0)</f>
        <v/>
      </c>
      <c r="UP16">
        <f>UP15+IF(AND($C15=15,$U15=1),1,0)</f>
        <v/>
      </c>
      <c r="UQ16">
        <f>UQ15+IF(AND($C15=16,$U15=1),1,0)</f>
        <v/>
      </c>
      <c r="UR16">
        <f>UR15+IF(AND($C15=17,$U15=1),1,0)</f>
        <v/>
      </c>
      <c r="US16">
        <f>US15+IF(AND($C15=18,$U15=1),1,0)</f>
        <v/>
      </c>
      <c r="UT16">
        <f>UT15+IF(AND($C15=19,$U15=1),1,0)</f>
        <v/>
      </c>
      <c r="UU16">
        <f>UU15+IF(AND($C15=20,$U15=1),1,0)</f>
        <v/>
      </c>
      <c r="UV16">
        <f>UV15+IF(AND($C15=21,$U15=1),1,0)</f>
        <v/>
      </c>
      <c r="UW16">
        <f>UW15+IF(AND($C15=22,$U15=1),1,0)</f>
        <v/>
      </c>
      <c r="UX16">
        <f>UX15+IF(AND($C15=23,$U15=1),1,0)</f>
        <v/>
      </c>
      <c r="UY16">
        <f>UY15+IF(AND($C15=24,$U15=1),1,0)</f>
        <v/>
      </c>
      <c r="UZ16">
        <f>UZ15+IF(AND($C15=25,$U15=1),1,0)</f>
        <v/>
      </c>
      <c r="VA16">
        <f>VA15+IF(AND($C15=26,$U15=1),1,0)</f>
        <v/>
      </c>
      <c r="VB16">
        <f>VB15+IF(AND($C15=27,$U15=1),1,0)</f>
        <v/>
      </c>
      <c r="VC16">
        <f>VC15+IF(AND($C15=28,$U15=1),1,0)</f>
        <v/>
      </c>
      <c r="VD16">
        <f>VD15+IF(AND($C15=29,$U15=1),1,0)</f>
        <v/>
      </c>
      <c r="VE16">
        <f>VE15+IF(AND($C15=30,$U15=1),1,0)</f>
        <v/>
      </c>
      <c r="VF16">
        <f>VF15+IF(AND($C15=31,$U15=1),1,0)</f>
        <v/>
      </c>
      <c r="VG16">
        <f>VG15+IF(AND($C15=32,$U15=1),1,0)</f>
        <v/>
      </c>
      <c r="VH16">
        <f>VH15+IF(AND($C15=33,$U15=1),1,0)</f>
        <v/>
      </c>
      <c r="VI16">
        <f>VI15+IF(AND($C15=34,$U15=1),1,0)</f>
        <v/>
      </c>
      <c r="VJ16">
        <f>VJ15+IF(AND($C15=35,$U15=1),1,0)</f>
        <v/>
      </c>
      <c r="VK16">
        <f>VK15+IF(AND($C15=36,$U15=1),1,0)</f>
        <v/>
      </c>
      <c r="VL16">
        <f>VL15+IF(AND($C15=37,$U15=1),1,0)</f>
        <v/>
      </c>
      <c r="VM16">
        <f>VM15+IF(AND($C15=38,$U15=1),1,0)</f>
        <v/>
      </c>
      <c r="VN16">
        <f>VN15+IF(AND($C15=39,$U15=1),1,0)</f>
        <v/>
      </c>
      <c r="VO16">
        <f>VO15+IF(AND($C15=40,$U15=1),1,0)</f>
        <v/>
      </c>
      <c r="VP16">
        <f>VP15+IF(AND($C15=41,$U15=1),1,0)</f>
        <v/>
      </c>
      <c r="VQ16">
        <f>VQ15+IF(AND($C15=42,$U15=1),1,0)</f>
        <v/>
      </c>
      <c r="VR16">
        <f>VR15+IF(AND($C15=43,$U15=1),1,0)</f>
        <v/>
      </c>
      <c r="VS16">
        <f>VS15+IF(AND($C15=44,$U15=1),1,0)</f>
        <v/>
      </c>
      <c r="VT16">
        <f>VT15+IF(AND($C15=45,$U15=1),1,0)</f>
        <v/>
      </c>
      <c r="VU16">
        <f>VU15+IF(AND($C15=46,$U15=1),1,0)</f>
        <v/>
      </c>
      <c r="VV16">
        <f>VV15+IF(AND($C15=47,$U15=1),1,0)</f>
        <v/>
      </c>
      <c r="VW16">
        <f>VW15+IF(AND($C15=48,$U15=1),1,0)</f>
        <v/>
      </c>
      <c r="VX16">
        <f>VX15+IF(AND($C15=49,$U15=1),1,0)</f>
        <v/>
      </c>
      <c r="VY16">
        <f>VY15+IF(AND($C15=50,$U15=1),1,0)</f>
        <v/>
      </c>
      <c r="VZ16">
        <f>VZ15+IF(AND($C15=51,$U15=1),1,0)</f>
        <v/>
      </c>
      <c r="WA16">
        <f>WA15+IF(AND($C15=52,$U15=1),1,0)</f>
        <v/>
      </c>
      <c r="WB16">
        <f>WB15+IF(AND($C15=53,$U15=1),1,0)</f>
        <v/>
      </c>
      <c r="WC16">
        <f>WC15+IF(AND($C15=54,$U15=1),1,0)</f>
        <v/>
      </c>
      <c r="WD16">
        <f>WD15+IF(AND($C15=55,$U15=1),1,0)</f>
        <v/>
      </c>
      <c r="WE16">
        <f>WE15+IF(AND($C15=56,$U15=1),1,0)</f>
        <v/>
      </c>
      <c r="WF16">
        <f>WF15+IF(AND($C15=57,$U15=1),1,0)</f>
        <v/>
      </c>
      <c r="WG16">
        <f>WG15+IF(AND($C15=58,$U15=1),1,0)</f>
        <v/>
      </c>
      <c r="WH16">
        <f>WH15+IF(AND($C15=59,$U15=1),1,0)</f>
        <v/>
      </c>
      <c r="WI16">
        <f>WI15+IF(AND($C15=60,$U15=1),1,0)</f>
        <v/>
      </c>
      <c r="WJ16">
        <f>WJ15+IF(AND($C15=61,$U15=1),1,0)</f>
        <v/>
      </c>
      <c r="WK16">
        <f>WK15+IF(AND($C15=62,$U15=1),1,0)</f>
        <v/>
      </c>
      <c r="WL16">
        <f>WL15+IF(AND($C15=63,$U15=1),1,0)</f>
        <v/>
      </c>
      <c r="WM16">
        <f>WM15+IF(AND($C15=64,$U15=1),1,0)</f>
        <v/>
      </c>
      <c r="WN16">
        <f>WN15+IF(AND($C15=65,$U15=1),1,0)</f>
        <v/>
      </c>
      <c r="WO16">
        <f>WO15+IF(AND($C15=66,$U15=1),1,0)</f>
        <v/>
      </c>
      <c r="WP16">
        <f>WP15+IF(AND($C15=67,$U15=1),1,0)</f>
        <v/>
      </c>
      <c r="WQ16">
        <f>WQ15+IF(AND($C15=68,$U15=1),1,0)</f>
        <v/>
      </c>
      <c r="WR16">
        <f>WR15+IF(AND($C15=69,$U15=1),1,0)</f>
        <v/>
      </c>
      <c r="WS16">
        <f>WS15+IF(AND($C15=70,$U15=1),1,0)</f>
        <v/>
      </c>
      <c r="WT16">
        <f>WT15+IF(AND($C15=71,$U15=1),1,0)</f>
        <v/>
      </c>
      <c r="WU16">
        <f>WU15+IF(AND($C15=72,$U15=1),1,0)</f>
        <v/>
      </c>
      <c r="WV16">
        <f>WV15+IF(AND($C15=73,$U15=1),1,0)</f>
        <v/>
      </c>
      <c r="WW16">
        <f>WW15+IF(AND($C15=74,$U15=1),1,0)</f>
        <v/>
      </c>
      <c r="WX16">
        <f>WX15+IF(AND($C15=75,$U15=1),1,0)</f>
        <v/>
      </c>
      <c r="WY16">
        <f>WY15+IF(AND($C15=76,$U15=1),1,0)</f>
        <v/>
      </c>
      <c r="WZ16">
        <f>WZ15+IF(AND($C15=77,$U15=1),1,0)</f>
        <v/>
      </c>
      <c r="XA16">
        <f>XA15+IF(AND($C15=78,$U15=1),1,0)</f>
        <v/>
      </c>
      <c r="XB16">
        <f>XB15+IF(AND($C15=79,$U15=1),1,0)</f>
        <v/>
      </c>
      <c r="XC16">
        <f>XC15+IF(AND($C15=80,$U15=1),1,0)</f>
        <v/>
      </c>
      <c r="XD16">
        <f>XD15+IF(AND($C15=81,$U15=1),1,0)</f>
        <v/>
      </c>
      <c r="XE16">
        <f>XE15+IF(AND($C15=82,$U15=1),1,0)</f>
        <v/>
      </c>
      <c r="XF16">
        <f>XF15+IF(AND($C15=83,$U15=1),1,0)</f>
        <v/>
      </c>
      <c r="XG16">
        <f>XG15+IF(AND($C15=84,$U15=1),1,0)</f>
        <v/>
      </c>
      <c r="XH16">
        <f>XH15+IF(AND($C15=85,$U15=1),1,0)</f>
        <v/>
      </c>
      <c r="XI16">
        <f>XI15+IF(AND($C15=86,$U15=1),1,0)</f>
        <v/>
      </c>
      <c r="XJ16">
        <f>XJ15+IF(AND($C15=87,$U15=1),1,0)</f>
        <v/>
      </c>
      <c r="XK16">
        <f>XK15+IF(AND($C15=88,$U15=1),1,0)</f>
        <v/>
      </c>
      <c r="XL16">
        <f>XL15+IF(AND($C15=89,$U15=1),1,0)</f>
        <v/>
      </c>
      <c r="XM16">
        <f>XM15+IF(AND($C15=90,$U15=1),1,0)</f>
        <v/>
      </c>
      <c r="XN16">
        <f>XN15+IF(AND($C15=91,$U15=1),1,0)</f>
        <v/>
      </c>
      <c r="XO16">
        <f>XO15+IF(AND($C15=92,$U15=1),1,0)</f>
        <v/>
      </c>
      <c r="XP16">
        <f>XP15+IF(AND($C15=93,$U15=1),1,0)</f>
        <v/>
      </c>
      <c r="XQ16">
        <f>XQ15+IF(AND($C15=94,$U15=1),1,0)</f>
        <v/>
      </c>
      <c r="XR16">
        <f>XR15+IF(AND($C15=95,$U15=1),1,0)</f>
        <v/>
      </c>
      <c r="XS16">
        <f>XS15+IF(AND($C15=96,$U15=1),1,0)</f>
        <v/>
      </c>
      <c r="XT16">
        <f>XT15+IF(AND($C15=97,$U15=1),1,0)</f>
        <v/>
      </c>
      <c r="XU16">
        <f>XU15+IF(AND($C15=98,$U15=1),1,0)</f>
        <v/>
      </c>
      <c r="XV16">
        <f>XV15+IF(AND($C15=99,$U15=1),1,0)</f>
        <v/>
      </c>
      <c r="XW16">
        <f>XW15+IF(AND($C15=100,$U15=1),1,0)</f>
        <v/>
      </c>
      <c r="XX16">
        <f>XX15+IF(AND($C15=101,$U15=1),1,0)</f>
        <v/>
      </c>
      <c r="XY16">
        <f>XY15+IF(AND($C15=102,$U15=1),1,0)</f>
        <v/>
      </c>
      <c r="XZ16">
        <f>XZ15+IF(AND($C15=103,$U15=1),1,0)</f>
        <v/>
      </c>
      <c r="YA16">
        <f>YA15+IF(AND($C15=104,$U15=1),1,0)</f>
        <v/>
      </c>
      <c r="YB16">
        <f>YB15+IF(AND($C15=105,$U15=1),1,0)</f>
        <v/>
      </c>
      <c r="YC16">
        <f>YC15+IF(AND($C15=106,$U15=1),1,0)</f>
        <v/>
      </c>
      <c r="YD16">
        <f>YD15+IF(AND($C15=107,$U15=1),1,0)</f>
        <v/>
      </c>
      <c r="YE16">
        <f>YE15+IF(AND($C15=108,$U15=1),1,0)</f>
        <v/>
      </c>
      <c r="YF16">
        <f>YF15+IF(AND($C15=109,$U15=1),1,0)</f>
        <v/>
      </c>
      <c r="YG16">
        <f>YG15+IF(AND($C15=110,$U15=1),1,0)</f>
        <v/>
      </c>
      <c r="YH16">
        <f>YH15+IF(AND($C15=111,$U15=1),1,0)</f>
        <v/>
      </c>
      <c r="YI16">
        <f>YI15+IF(AND($C15=112,$U15=1),1,0)</f>
        <v/>
      </c>
      <c r="YJ16">
        <f>YJ15+IF(AND($C15=113,$U15=1),1,0)</f>
        <v/>
      </c>
      <c r="YK16">
        <f>YK15+IF(AND($C15=114,$U15=1),1,0)</f>
        <v/>
      </c>
      <c r="YL16">
        <f>YL15+IF(AND($C15=115,$U15=1),1,0)</f>
        <v/>
      </c>
      <c r="YM16">
        <f>YM15+IF(AND($C15=116,$U15=1),1,0)</f>
        <v/>
      </c>
      <c r="YN16">
        <f>YN15+IF(AND($C15=117,$U15=1),1,0)</f>
        <v/>
      </c>
      <c r="YO16">
        <f>YO15+IF(AND($C15=118,$U15=1),1,0)</f>
        <v/>
      </c>
      <c r="YP16">
        <f>YP15+IF(AND($C15=119,$U15=1),1,0)</f>
        <v/>
      </c>
      <c r="YQ16">
        <f>YQ15+IF(AND($C15=120,$U15=1),1,0)</f>
        <v/>
      </c>
      <c r="YR16">
        <f>YR15+IF(AND($C15=121,$U15=1),1,0)</f>
        <v/>
      </c>
      <c r="YS16">
        <f>YS15+IF(AND($C15=122,$U15=1),1,0)</f>
        <v/>
      </c>
      <c r="YT16">
        <f>YT15+IF(AND($C15=123,$U15=1),1,0)</f>
        <v/>
      </c>
      <c r="YU16">
        <f>YU15+IF(AND($C15=124,$U15=1),1,0)</f>
        <v/>
      </c>
      <c r="YV16">
        <f>YV15+IF(AND($C15=125,$U15=1),1,0)</f>
        <v/>
      </c>
      <c r="YW16">
        <f>YW15+IF(AND($C15=126,$U15=1),1,0)</f>
        <v/>
      </c>
      <c r="YX16">
        <f>YX15+IF(AND($C15=127,$U15=1),1,0)</f>
        <v/>
      </c>
      <c r="YY16">
        <f>YY15+IF(AND($C15=128,$U15=1),1,0)</f>
        <v/>
      </c>
      <c r="YZ16">
        <f>YZ15+IF(AND($C15=129,$U15=1),1,0)</f>
        <v/>
      </c>
      <c r="ZA16">
        <f>ZA15+IF(AND($C15=130,$U15=1),1,0)</f>
        <v/>
      </c>
      <c r="ZB16">
        <f>ZB15+IF(AND($C15=131,$U15=1),1,0)</f>
        <v/>
      </c>
      <c r="ZC16">
        <f>ZC15+IF(AND($C15=132,$U15=1),1,0)</f>
        <v/>
      </c>
      <c r="ZD16">
        <f>ZD15+IF(AND($C15=133,$U15=1),1,0)</f>
        <v/>
      </c>
      <c r="ZE16">
        <f>ZE15+IF(AND($C15=134,$U15=1),1,0)</f>
        <v/>
      </c>
      <c r="ZF16">
        <f>ZF15+IF(AND($C15=135,$U15=1),1,0)</f>
        <v/>
      </c>
      <c r="ZG16">
        <f>ZG15+IF(AND($C15=136,$U15=1),1,0)</f>
        <v/>
      </c>
      <c r="ZH16">
        <f>ZH15+IF(AND($C15=137,$U15=1),1,0)</f>
        <v/>
      </c>
      <c r="ZI16">
        <f>ZI15+IF(AND($C15=138,$U15=1),1,0)</f>
        <v/>
      </c>
      <c r="ZJ16">
        <f>ZJ15+IF(AND($C15=139,$U15=1),1,0)</f>
        <v/>
      </c>
      <c r="ZK16">
        <f>ZK15+IF(AND($C15=140,$U15=1),1,0)</f>
        <v/>
      </c>
      <c r="ZL16">
        <f>ZL15+IF(AND($C15=141,$U15=1),1,0)</f>
        <v/>
      </c>
      <c r="ZM16">
        <f>ZM15+IF(AND($C15=142,$U15=1),1,0)</f>
        <v/>
      </c>
      <c r="ZN16">
        <f>ZN15+IF(AND($C15=143,$U15=1),1,0)</f>
        <v/>
      </c>
      <c r="ZO16">
        <f>ZO15+IF(AND($C15=144,$U15=1),1,0)</f>
        <v/>
      </c>
      <c r="ZQ16">
        <f>IF($C15=1,0,ZQ15+IF(AND($G15=1,$E15=1),1,0))</f>
        <v/>
      </c>
      <c r="ZR16">
        <f>IF($C15=2,0,ZR15+IF(AND($G15=2,$E15=1),1,0))</f>
        <v/>
      </c>
      <c r="ZS16">
        <f>IF($C15=3,0,ZS15+IF(AND($G15=3,$E15=1),1,0))</f>
        <v/>
      </c>
      <c r="ZT16">
        <f>IF($C15=4,0,ZT15+IF(AND($G15=4,$E15=1),1,0))</f>
        <v/>
      </c>
      <c r="ZU16">
        <f>IF($C15=5,0,ZU15+IF(AND($G15=5,$E15=1),1,0))</f>
        <v/>
      </c>
      <c r="ZV16">
        <f>IF($C15=6,0,ZV15+IF(AND($G15=6,$E15=1),1,0))</f>
        <v/>
      </c>
      <c r="ZW16">
        <f>IF($C15=7,0,ZW15+IF(AND($G15=7,$E15=1),1,0))</f>
        <v/>
      </c>
      <c r="ZX16">
        <f>IF($C15=8,0,ZX15+IF(AND($G15=8,$E15=1),1,0))</f>
        <v/>
      </c>
      <c r="ZY16">
        <f>IF($C15=9,0,ZY15+IF(AND($G15=9,$E15=1),1,0))</f>
        <v/>
      </c>
      <c r="ZZ16">
        <f>IF($C15=10,0,ZZ15+IF(AND($G15=10,$E15=1),1,0))</f>
        <v/>
      </c>
      <c r="AAA16">
        <f>IF($C15=11,0,AAA15+IF(AND($G15=11,$E15=1),1,0))</f>
        <v/>
      </c>
      <c r="AAB16">
        <f>IF($C15=12,0,AAB15+IF(AND($G15=12,$E15=1),1,0))</f>
        <v/>
      </c>
      <c r="AAC16">
        <f>IF($C15=13,0,AAC15+IF(AND($G15=13,$E15=1),1,0))</f>
        <v/>
      </c>
      <c r="AAD16">
        <f>IF($C15=14,0,AAD15+IF(AND($G15=14,$E15=1),1,0))</f>
        <v/>
      </c>
      <c r="AAE16">
        <f>IF($C15=15,0,AAE15+IF(AND($G15=15,$E15=1),1,0))</f>
        <v/>
      </c>
      <c r="AAF16">
        <f>IF($C15=16,0,AAF15+IF(AND($G15=16,$E15=1),1,0))</f>
        <v/>
      </c>
      <c r="AAG16">
        <f>IF($C15=17,0,AAG15+IF(AND($G15=17,$E15=1),1,0))</f>
        <v/>
      </c>
      <c r="AAH16">
        <f>IF($C15=18,0,AAH15+IF(AND($G15=18,$E15=1),1,0))</f>
        <v/>
      </c>
      <c r="AAI16">
        <f>IF($C15=19,0,AAI15+IF(AND($G15=19,$E15=1),1,0))</f>
        <v/>
      </c>
      <c r="AAJ16">
        <f>IF($C15=20,0,AAJ15+IF(AND($G15=20,$E15=1),1,0))</f>
        <v/>
      </c>
      <c r="AAK16">
        <f>IF($C15=21,0,AAK15+IF(AND($G15=21,$E15=1),1,0))</f>
        <v/>
      </c>
      <c r="AAL16">
        <f>IF($C15=22,0,AAL15+IF(AND($G15=22,$E15=1),1,0))</f>
        <v/>
      </c>
      <c r="AAM16">
        <f>IF($C15=23,0,AAM15+IF(AND($G15=23,$E15=1),1,0))</f>
        <v/>
      </c>
      <c r="AAN16">
        <f>IF($C15=24,0,AAN15+IF(AND($G15=24,$E15=1),1,0))</f>
        <v/>
      </c>
      <c r="AAO16">
        <f>IF($C15=25,0,AAO15+IF(AND($G15=25,$E15=1),1,0))</f>
        <v/>
      </c>
      <c r="AAP16">
        <f>IF($C15=26,0,AAP15+IF(AND($G15=26,$E15=1),1,0))</f>
        <v/>
      </c>
      <c r="AAQ16">
        <f>IF($C15=27,0,AAQ15+IF(AND($G15=27,$E15=1),1,0))</f>
        <v/>
      </c>
      <c r="AAR16">
        <f>IF($C15=28,0,AAR15+IF(AND($G15=28,$E15=1),1,0))</f>
        <v/>
      </c>
      <c r="AAS16">
        <f>IF($C15=29,0,AAS15+IF(AND($G15=29,$E15=1),1,0))</f>
        <v/>
      </c>
      <c r="AAT16">
        <f>IF($C15=30,0,AAT15+IF(AND($G15=30,$E15=1),1,0))</f>
        <v/>
      </c>
      <c r="AAU16">
        <f>IF($C15=31,0,AAU15+IF(AND($G15=31,$E15=1),1,0))</f>
        <v/>
      </c>
      <c r="AAV16">
        <f>IF($C15=32,0,AAV15+IF(AND($G15=32,$E15=1),1,0))</f>
        <v/>
      </c>
      <c r="AAW16">
        <f>IF($C15=33,0,AAW15+IF(AND($G15=33,$E15=1),1,0))</f>
        <v/>
      </c>
      <c r="AAX16">
        <f>IF($C15=34,0,AAX15+IF(AND($G15=34,$E15=1),1,0))</f>
        <v/>
      </c>
      <c r="AAY16">
        <f>IF($C15=35,0,AAY15+IF(AND($G15=35,$E15=1),1,0))</f>
        <v/>
      </c>
      <c r="AAZ16">
        <f>IF($C15=36,0,AAZ15+IF(AND($G15=36,$E15=1),1,0))</f>
        <v/>
      </c>
      <c r="ABA16">
        <f>IF($C15=37,0,ABA15+IF(AND($G15=37,$E15=1),1,0))</f>
        <v/>
      </c>
      <c r="ABB16">
        <f>IF($C15=38,0,ABB15+IF(AND($G15=38,$E15=1),1,0))</f>
        <v/>
      </c>
      <c r="ABC16">
        <f>IF($C15=39,0,ABC15+IF(AND($G15=39,$E15=1),1,0))</f>
        <v/>
      </c>
      <c r="ABD16">
        <f>IF($C15=40,0,ABD15+IF(AND($G15=40,$E15=1),1,0))</f>
        <v/>
      </c>
      <c r="ABE16">
        <f>IF($C15=41,0,ABE15+IF(AND($G15=41,$E15=1),1,0))</f>
        <v/>
      </c>
      <c r="ABF16">
        <f>IF($C15=42,0,ABF15+IF(AND($G15=42,$E15=1),1,0))</f>
        <v/>
      </c>
      <c r="ABG16">
        <f>IF($C15=43,0,ABG15+IF(AND($G15=43,$E15=1),1,0))</f>
        <v/>
      </c>
      <c r="ABH16">
        <f>IF($C15=44,0,ABH15+IF(AND($G15=44,$E15=1),1,0))</f>
        <v/>
      </c>
      <c r="ABI16">
        <f>IF($C15=45,0,ABI15+IF(AND($G15=45,$E15=1),1,0))</f>
        <v/>
      </c>
      <c r="ABJ16">
        <f>IF($C15=46,0,ABJ15+IF(AND($G15=46,$E15=1),1,0))</f>
        <v/>
      </c>
      <c r="ABK16">
        <f>IF($C15=47,0,ABK15+IF(AND($G15=47,$E15=1),1,0))</f>
        <v/>
      </c>
      <c r="ABL16">
        <f>IF($C15=48,0,ABL15+IF(AND($G15=48,$E15=1),1,0))</f>
        <v/>
      </c>
      <c r="ABM16">
        <f>IF($C15=49,0,ABM15+IF(AND($G15=49,$E15=1),1,0))</f>
        <v/>
      </c>
      <c r="ABN16">
        <f>IF($C15=50,0,ABN15+IF(AND($G15=50,$E15=1),1,0))</f>
        <v/>
      </c>
      <c r="ABO16">
        <f>IF($C15=51,0,ABO15+IF(AND($G15=51,$E15=1),1,0))</f>
        <v/>
      </c>
      <c r="ABP16">
        <f>IF($C15=52,0,ABP15+IF(AND($G15=52,$E15=1),1,0))</f>
        <v/>
      </c>
      <c r="ABQ16">
        <f>IF($C15=53,0,ABQ15+IF(AND($G15=53,$E15=1),1,0))</f>
        <v/>
      </c>
      <c r="ABR16">
        <f>IF($C15=54,0,ABR15+IF(AND($G15=54,$E15=1),1,0))</f>
        <v/>
      </c>
      <c r="ABS16">
        <f>IF($C15=55,0,ABS15+IF(AND($G15=55,$E15=1),1,0))</f>
        <v/>
      </c>
      <c r="ABT16">
        <f>IF($C15=56,0,ABT15+IF(AND($G15=56,$E15=1),1,0))</f>
        <v/>
      </c>
      <c r="ABU16">
        <f>IF($C15=57,0,ABU15+IF(AND($G15=57,$E15=1),1,0))</f>
        <v/>
      </c>
      <c r="ABV16">
        <f>IF($C15=58,0,ABV15+IF(AND($G15=58,$E15=1),1,0))</f>
        <v/>
      </c>
      <c r="ABW16">
        <f>IF($C15=59,0,ABW15+IF(AND($G15=59,$E15=1),1,0))</f>
        <v/>
      </c>
      <c r="ABX16">
        <f>IF($C15=60,0,ABX15+IF(AND($G15=60,$E15=1),1,0))</f>
        <v/>
      </c>
      <c r="ABY16">
        <f>IF($C15=61,0,ABY15+IF(AND($G15=61,$E15=1),1,0))</f>
        <v/>
      </c>
      <c r="ABZ16">
        <f>IF($C15=62,0,ABZ15+IF(AND($G15=62,$E15=1),1,0))</f>
        <v/>
      </c>
      <c r="ACA16">
        <f>IF($C15=63,0,ACA15+IF(AND($G15=63,$E15=1),1,0))</f>
        <v/>
      </c>
      <c r="ACB16">
        <f>IF($C15=64,0,ACB15+IF(AND($G15=64,$E15=1),1,0))</f>
        <v/>
      </c>
      <c r="ACC16">
        <f>IF($C15=65,0,ACC15+IF(AND($G15=65,$E15=1),1,0))</f>
        <v/>
      </c>
      <c r="ACD16">
        <f>IF($C15=66,0,ACD15+IF(AND($G15=66,$E15=1),1,0))</f>
        <v/>
      </c>
      <c r="ACE16">
        <f>IF($C15=67,0,ACE15+IF(AND($G15=67,$E15=1),1,0))</f>
        <v/>
      </c>
      <c r="ACF16">
        <f>IF($C15=68,0,ACF15+IF(AND($G15=68,$E15=1),1,0))</f>
        <v/>
      </c>
      <c r="ACG16">
        <f>IF($C15=69,0,ACG15+IF(AND($G15=69,$E15=1),1,0))</f>
        <v/>
      </c>
      <c r="ACH16">
        <f>IF($C15=70,0,ACH15+IF(AND($G15=70,$E15=1),1,0))</f>
        <v/>
      </c>
      <c r="ACI16">
        <f>IF($C15=71,0,ACI15+IF(AND($G15=71,$E15=1),1,0))</f>
        <v/>
      </c>
      <c r="ACJ16">
        <f>IF($C15=72,0,ACJ15+IF(AND($G15=72,$E15=1),1,0))</f>
        <v/>
      </c>
      <c r="ACK16">
        <f>IF($C15=73,0,ACK15+IF(AND($G15=73,$E15=1),1,0))</f>
        <v/>
      </c>
      <c r="ACL16">
        <f>IF($C15=74,0,ACL15+IF(AND($G15=74,$E15=1),1,0))</f>
        <v/>
      </c>
      <c r="ACM16">
        <f>IF($C15=75,0,ACM15+IF(AND($G15=75,$E15=1),1,0))</f>
        <v/>
      </c>
      <c r="ACN16">
        <f>IF($C15=76,0,ACN15+IF(AND($G15=76,$E15=1),1,0))</f>
        <v/>
      </c>
      <c r="ACO16">
        <f>IF($C15=77,0,ACO15+IF(AND($G15=77,$E15=1),1,0))</f>
        <v/>
      </c>
      <c r="ACP16">
        <f>IF($C15=78,0,ACP15+IF(AND($G15=78,$E15=1),1,0))</f>
        <v/>
      </c>
      <c r="ACQ16">
        <f>IF($C15=79,0,ACQ15+IF(AND($G15=79,$E15=1),1,0))</f>
        <v/>
      </c>
      <c r="ACR16">
        <f>IF($C15=80,0,ACR15+IF(AND($G15=80,$E15=1),1,0))</f>
        <v/>
      </c>
      <c r="ACS16">
        <f>IF($C15=81,0,ACS15+IF(AND($G15=81,$E15=1),1,0))</f>
        <v/>
      </c>
      <c r="ACT16">
        <f>IF($C15=82,0,ACT15+IF(AND($G15=82,$E15=1),1,0))</f>
        <v/>
      </c>
      <c r="ACU16">
        <f>IF($C15=83,0,ACU15+IF(AND($G15=83,$E15=1),1,0))</f>
        <v/>
      </c>
      <c r="ACV16">
        <f>IF($C15=84,0,ACV15+IF(AND($G15=84,$E15=1),1,0))</f>
        <v/>
      </c>
      <c r="ACW16">
        <f>IF($C15=85,0,ACW15+IF(AND($G15=85,$E15=1),1,0))</f>
        <v/>
      </c>
      <c r="ACX16">
        <f>IF($C15=86,0,ACX15+IF(AND($G15=86,$E15=1),1,0))</f>
        <v/>
      </c>
      <c r="ACY16">
        <f>IF($C15=87,0,ACY15+IF(AND($G15=87,$E15=1),1,0))</f>
        <v/>
      </c>
      <c r="ACZ16">
        <f>IF($C15=88,0,ACZ15+IF(AND($G15=88,$E15=1),1,0))</f>
        <v/>
      </c>
      <c r="ADA16">
        <f>IF($C15=89,0,ADA15+IF(AND($G15=89,$E15=1),1,0))</f>
        <v/>
      </c>
      <c r="ADB16">
        <f>IF($C15=90,0,ADB15+IF(AND($G15=90,$E15=1),1,0))</f>
        <v/>
      </c>
      <c r="ADC16">
        <f>IF($C15=91,0,ADC15+IF(AND($G15=91,$E15=1),1,0))</f>
        <v/>
      </c>
      <c r="ADD16">
        <f>IF($C15=92,0,ADD15+IF(AND($G15=92,$E15=1),1,0))</f>
        <v/>
      </c>
      <c r="ADE16">
        <f>IF($C15=93,0,ADE15+IF(AND($G15=93,$E15=1),1,0))</f>
        <v/>
      </c>
      <c r="ADF16">
        <f>IF($C15=94,0,ADF15+IF(AND($G15=94,$E15=1),1,0))</f>
        <v/>
      </c>
      <c r="ADG16">
        <f>IF($C15=95,0,ADG15+IF(AND($G15=95,$E15=1),1,0))</f>
        <v/>
      </c>
      <c r="ADH16">
        <f>IF($C15=96,0,ADH15+IF(AND($G15=96,$E15=1),1,0))</f>
        <v/>
      </c>
      <c r="ADI16">
        <f>IF($C15=97,0,ADI15+IF(AND($G15=97,$E15=1),1,0))</f>
        <v/>
      </c>
      <c r="ADJ16">
        <f>IF($C15=98,0,ADJ15+IF(AND($G15=98,$E15=1),1,0))</f>
        <v/>
      </c>
      <c r="ADK16">
        <f>IF($C15=99,0,ADK15+IF(AND($G15=99,$E15=1),1,0))</f>
        <v/>
      </c>
      <c r="ADL16">
        <f>IF($C15=100,0,ADL15+IF(AND($G15=100,$E15=1),1,0))</f>
        <v/>
      </c>
      <c r="ADM16">
        <f>IF($C15=101,0,ADM15+IF(AND($G15=101,$E15=1),1,0))</f>
        <v/>
      </c>
      <c r="ADN16">
        <f>IF($C15=102,0,ADN15+IF(AND($G15=102,$E15=1),1,0))</f>
        <v/>
      </c>
      <c r="ADO16">
        <f>IF($C15=103,0,ADO15+IF(AND($G15=103,$E15=1),1,0))</f>
        <v/>
      </c>
      <c r="ADP16">
        <f>IF($C15=104,0,ADP15+IF(AND($G15=104,$E15=1),1,0))</f>
        <v/>
      </c>
      <c r="ADQ16">
        <f>IF($C15=105,0,ADQ15+IF(AND($G15=105,$E15=1),1,0))</f>
        <v/>
      </c>
      <c r="ADR16">
        <f>IF($C15=106,0,ADR15+IF(AND($G15=106,$E15=1),1,0))</f>
        <v/>
      </c>
      <c r="ADS16">
        <f>IF($C15=107,0,ADS15+IF(AND($G15=107,$E15=1),1,0))</f>
        <v/>
      </c>
      <c r="ADT16">
        <f>IF($C15=108,0,ADT15+IF(AND($G15=108,$E15=1),1,0))</f>
        <v/>
      </c>
      <c r="ADU16">
        <f>IF($C15=109,0,ADU15+IF(AND($G15=109,$E15=1),1,0))</f>
        <v/>
      </c>
      <c r="ADV16">
        <f>IF($C15=110,0,ADV15+IF(AND($G15=110,$E15=1),1,0))</f>
        <v/>
      </c>
      <c r="ADW16">
        <f>IF($C15=111,0,ADW15+IF(AND($G15=111,$E15=1),1,0))</f>
        <v/>
      </c>
      <c r="ADX16">
        <f>IF($C15=112,0,ADX15+IF(AND($G15=112,$E15=1),1,0))</f>
        <v/>
      </c>
      <c r="ADY16">
        <f>IF($C15=113,0,ADY15+IF(AND($G15=113,$E15=1),1,0))</f>
        <v/>
      </c>
      <c r="ADZ16">
        <f>IF($C15=114,0,ADZ15+IF(AND($G15=114,$E15=1),1,0))</f>
        <v/>
      </c>
      <c r="AEA16">
        <f>IF($C15=115,0,AEA15+IF(AND($G15=115,$E15=1),1,0))</f>
        <v/>
      </c>
      <c r="AEB16">
        <f>IF($C15=116,0,AEB15+IF(AND($G15=116,$E15=1),1,0))</f>
        <v/>
      </c>
      <c r="AEC16">
        <f>IF($C15=117,0,AEC15+IF(AND($G15=117,$E15=1),1,0))</f>
        <v/>
      </c>
      <c r="AED16">
        <f>IF($C15=118,0,AED15+IF(AND($G15=118,$E15=1),1,0))</f>
        <v/>
      </c>
      <c r="AEE16">
        <f>IF($C15=119,0,AEE15+IF(AND($G15=119,$E15=1),1,0))</f>
        <v/>
      </c>
      <c r="AEF16">
        <f>IF($C15=120,0,AEF15+IF(AND($G15=120,$E15=1),1,0))</f>
        <v/>
      </c>
      <c r="AEG16">
        <f>IF($C15=121,0,AEG15+IF(AND($G15=121,$E15=1),1,0))</f>
        <v/>
      </c>
      <c r="AEH16">
        <f>IF($C15=122,0,AEH15+IF(AND($G15=122,$E15=1),1,0))</f>
        <v/>
      </c>
      <c r="AEI16">
        <f>IF($C15=123,0,AEI15+IF(AND($G15=123,$E15=1),1,0))</f>
        <v/>
      </c>
      <c r="AEJ16">
        <f>IF($C15=124,0,AEJ15+IF(AND($G15=124,$E15=1),1,0))</f>
        <v/>
      </c>
      <c r="AEK16">
        <f>IF($C15=125,0,AEK15+IF(AND($G15=125,$E15=1),1,0))</f>
        <v/>
      </c>
      <c r="AEL16">
        <f>IF($C15=126,0,AEL15+IF(AND($G15=126,$E15=1),1,0))</f>
        <v/>
      </c>
      <c r="AEM16">
        <f>IF($C15=127,0,AEM15+IF(AND($G15=127,$E15=1),1,0))</f>
        <v/>
      </c>
      <c r="AEN16">
        <f>IF($C15=128,0,AEN15+IF(AND($G15=128,$E15=1),1,0))</f>
        <v/>
      </c>
      <c r="AEO16">
        <f>IF($C15=129,0,AEO15+IF(AND($G15=129,$E15=1),1,0))</f>
        <v/>
      </c>
      <c r="AEP16">
        <f>IF($C15=130,0,AEP15+IF(AND($G15=130,$E15=1),1,0))</f>
        <v/>
      </c>
      <c r="AEQ16">
        <f>IF($C15=131,0,AEQ15+IF(AND($G15=131,$E15=1),1,0))</f>
        <v/>
      </c>
      <c r="AER16">
        <f>IF($C15=132,0,AER15+IF(AND($G15=132,$E15=1),1,0))</f>
        <v/>
      </c>
      <c r="AES16">
        <f>IF($C15=133,0,AES15+IF(AND($G15=133,$E15=1),1,0))</f>
        <v/>
      </c>
      <c r="AET16">
        <f>IF($C15=134,0,AET15+IF(AND($G15=134,$E15=1),1,0))</f>
        <v/>
      </c>
      <c r="AEU16">
        <f>IF($C15=135,0,AEU15+IF(AND($G15=135,$E15=1),1,0))</f>
        <v/>
      </c>
      <c r="AEV16">
        <f>IF($C15=136,0,AEV15+IF(AND($G15=136,$E15=1),1,0))</f>
        <v/>
      </c>
      <c r="AEW16">
        <f>IF($C15=137,0,AEW15+IF(AND($G15=137,$E15=1),1,0))</f>
        <v/>
      </c>
      <c r="AEX16">
        <f>IF($C15=138,0,AEX15+IF(AND($G15=138,$E15=1),1,0))</f>
        <v/>
      </c>
      <c r="AEY16">
        <f>IF($C15=139,0,AEY15+IF(AND($G15=139,$E15=1),1,0))</f>
        <v/>
      </c>
      <c r="AEZ16">
        <f>IF($C15=140,0,AEZ15+IF(AND($G15=140,$E15=1),1,0))</f>
        <v/>
      </c>
      <c r="AFA16">
        <f>IF($C15=141,0,AFA15+IF(AND($G15=141,$E15=1),1,0))</f>
        <v/>
      </c>
      <c r="AFB16">
        <f>IF($C15=142,0,AFB15+IF(AND($G15=142,$E15=1),1,0))</f>
        <v/>
      </c>
      <c r="AFC16">
        <f>IF($C15=143,0,AFC15+IF(AND($G15=143,$E15=1),1,0))</f>
        <v/>
      </c>
      <c r="AFD16">
        <f>IF($C15=144,0,AFD15+IF(AND($G15=144,$E15=1),1,0))</f>
        <v/>
      </c>
      <c r="AFF16">
        <f>IF('calcA'!D$106=1,DC16+ZR16,1)</f>
        <v/>
      </c>
      <c r="AFG16">
        <f>IF('calcA'!E$106=1,DD16+ZS16,1)</f>
        <v/>
      </c>
      <c r="AFH16">
        <f>IF('calcA'!F$106=1,DE16+ZT16,1)</f>
        <v/>
      </c>
      <c r="AFI16">
        <f>IF('calcA'!G$106=1,DF16+ZU16,1)</f>
        <v/>
      </c>
      <c r="AFJ16">
        <f>IF('calcA'!H$106=1,DG16+ZV16,1)</f>
        <v/>
      </c>
      <c r="AFK16">
        <f>IF('calcA'!I$106=1,DH16+ZW16,1)</f>
        <v/>
      </c>
      <c r="AFL16">
        <f>IF('calcA'!J$106=1,DI16+ZX16,1)</f>
        <v/>
      </c>
      <c r="AFM16">
        <f>IF('calcA'!K$106=1,DJ16+ZY16,1)</f>
        <v/>
      </c>
      <c r="AFN16">
        <f>IF('calcA'!L$106=1,DK16+ZZ16,1)</f>
        <v/>
      </c>
      <c r="AFO16">
        <f>IF('calcA'!M$106=1,DL16+AAA16,1)</f>
        <v/>
      </c>
      <c r="AFP16">
        <f>IF('calcA'!N$106=1,DM16+AAB16,1)</f>
        <v/>
      </c>
      <c r="AFQ16">
        <f>IF('calcA'!O$106=1,DN16+AAC16,1)</f>
        <v/>
      </c>
      <c r="AFR16">
        <f>IF('calcA'!P$106=1,DO16+AAD16,1)</f>
        <v/>
      </c>
      <c r="AFS16">
        <f>IF('calcA'!Q$106=1,DP16+AAE16,1)</f>
        <v/>
      </c>
      <c r="AFT16">
        <f>IF('calcA'!R$106=1,DQ16+AAF16,1)</f>
        <v/>
      </c>
      <c r="AFU16">
        <f>IF('calcA'!S$106=1,DR16+AAG16,1)</f>
        <v/>
      </c>
      <c r="AFV16">
        <f>IF('calcA'!T$106=1,DS16+AAH16,1)</f>
        <v/>
      </c>
      <c r="AFW16">
        <f>IF('calcA'!U$106=1,DT16+AAI16,1)</f>
        <v/>
      </c>
      <c r="AFX16">
        <f>IF('calcA'!V$106=1,DU16+AAJ16,1)</f>
        <v/>
      </c>
      <c r="AFY16">
        <f>IF('calcA'!W$106=1,DV16+AAK16,1)</f>
        <v/>
      </c>
      <c r="AFZ16">
        <f>IF('calcA'!X$106=1,DW16+AAL16,1)</f>
        <v/>
      </c>
      <c r="AGA16">
        <f>IF('calcA'!Y$106=1,DX16+AAM16,1)</f>
        <v/>
      </c>
      <c r="AGB16">
        <f>IF('calcA'!Z$106=1,DY16+AAN16,1)</f>
        <v/>
      </c>
      <c r="AGC16">
        <f>IF('calcA'!AA$106=1,DZ16+AAO16,1)</f>
        <v/>
      </c>
      <c r="AGD16">
        <f>IF('calcA'!AB$106=1,EA16+AAP16,1)</f>
        <v/>
      </c>
      <c r="AGE16">
        <f>IF('calcA'!AC$106=1,EB16+AAQ16,1)</f>
        <v/>
      </c>
      <c r="AGF16">
        <f>IF('calcA'!AD$106=1,EC16+AAR16,1)</f>
        <v/>
      </c>
      <c r="AGG16">
        <f>IF('calcA'!AE$106=1,ED16+AAS16,1)</f>
        <v/>
      </c>
      <c r="AGH16">
        <f>IF('calcA'!AF$106=1,EE16+AAT16,1)</f>
        <v/>
      </c>
      <c r="AGI16">
        <f>IF('calcA'!AG$106=1,EF16+AAU16,1)</f>
        <v/>
      </c>
      <c r="AGJ16">
        <f>IF('calcA'!AH$106=1,EG16+AAV16,1)</f>
        <v/>
      </c>
      <c r="AGK16">
        <f>IF('calcA'!AI$106=1,EH16+AAW16,1)</f>
        <v/>
      </c>
      <c r="AGL16">
        <f>IF('calcA'!AJ$106=1,EI16+AAX16,1)</f>
        <v/>
      </c>
      <c r="AGM16">
        <f>IF('calcA'!AK$106=1,EJ16+AAY16,1)</f>
        <v/>
      </c>
      <c r="AGN16">
        <f>IF('calcA'!AL$106=1,EK16+AAZ16,1)</f>
        <v/>
      </c>
      <c r="AGO16">
        <f>IF('calcA'!AM$106=1,EL16+ABA16,1)</f>
        <v/>
      </c>
      <c r="AGP16">
        <f>IF('calcA'!AN$106=1,EM16+ABB16,1)</f>
        <v/>
      </c>
      <c r="AGQ16">
        <f>IF('calcA'!AO$106=1,EN16+ABC16,1)</f>
        <v/>
      </c>
      <c r="AGR16">
        <f>IF('calcA'!AP$106=1,EO16+ABD16,1)</f>
        <v/>
      </c>
      <c r="AGS16">
        <f>IF('calcA'!AQ$106=1,EP16+ABE16,1)</f>
        <v/>
      </c>
      <c r="AGT16">
        <f>IF('calcA'!AR$106=1,EQ16+ABF16,1)</f>
        <v/>
      </c>
      <c r="AGU16">
        <f>IF('calcA'!AS$106=1,ER16+ABG16,1)</f>
        <v/>
      </c>
      <c r="AGV16">
        <f>IF('calcA'!AT$106=1,ES16+ABH16,1)</f>
        <v/>
      </c>
      <c r="AGW16">
        <f>IF('calcA'!AU$106=1,ET16+ABI16,1)</f>
        <v/>
      </c>
      <c r="AGX16">
        <f>IF('calcA'!AV$106=1,EU16+ABJ16,1)</f>
        <v/>
      </c>
      <c r="AGY16">
        <f>IF('calcA'!AW$106=1,EV16+ABK16,1)</f>
        <v/>
      </c>
      <c r="AGZ16">
        <f>IF('calcA'!AX$106=1,EW16+ABL16,1)</f>
        <v/>
      </c>
      <c r="AHA16">
        <f>IF('calcA'!AY$106=1,EX16+ABM16,1)</f>
        <v/>
      </c>
      <c r="AHB16">
        <f>IF('calcA'!AZ$106=1,EY16+ABN16,1)</f>
        <v/>
      </c>
      <c r="AHC16">
        <f>IF('calcA'!BA$106=1,EZ16+ABO16,1)</f>
        <v/>
      </c>
      <c r="AHD16">
        <f>IF('calcA'!BB$106=1,FA16+ABP16,1)</f>
        <v/>
      </c>
      <c r="AHE16">
        <f>IF('calcA'!BC$106=1,FB16+ABQ16,1)</f>
        <v/>
      </c>
      <c r="AHF16">
        <f>IF('calcA'!BD$106=1,FC16+ABR16,1)</f>
        <v/>
      </c>
      <c r="AHG16">
        <f>IF('calcA'!BE$106=1,FD16+ABS16,1)</f>
        <v/>
      </c>
      <c r="AHH16">
        <f>IF('calcA'!BF$106=1,FE16+ABT16,1)</f>
        <v/>
      </c>
      <c r="AHI16">
        <f>IF('calcA'!BG$106=1,FF16+ABU16,1)</f>
        <v/>
      </c>
      <c r="AHJ16">
        <f>IF('calcA'!BH$106=1,FG16+ABV16,1)</f>
        <v/>
      </c>
      <c r="AHK16">
        <f>IF('calcA'!BI$106=1,FH16+ABW16,1)</f>
        <v/>
      </c>
      <c r="AHL16">
        <f>IF('calcA'!BJ$106=1,FI16+ABX16,1)</f>
        <v/>
      </c>
      <c r="AHM16">
        <f>IF('calcA'!BK$106=1,FJ16+ABY16,1)</f>
        <v/>
      </c>
      <c r="AHN16">
        <f>IF('calcA'!BL$106=1,FK16+ABZ16,1)</f>
        <v/>
      </c>
      <c r="AHO16">
        <f>IF('calcA'!BM$106=1,FL16+ACA16,1)</f>
        <v/>
      </c>
      <c r="AHP16">
        <f>IF('calcA'!BN$106=1,FM16+ACB16,1)</f>
        <v/>
      </c>
      <c r="AHQ16">
        <f>IF('calcA'!BO$106=1,FN16+ACC16,1)</f>
        <v/>
      </c>
      <c r="AHR16">
        <f>IF('calcA'!BP$106=1,FO16+ACD16,1)</f>
        <v/>
      </c>
      <c r="AHS16">
        <f>IF('calcA'!BQ$106=1,FP16+ACE16,1)</f>
        <v/>
      </c>
      <c r="AHT16">
        <f>IF('calcA'!BR$106=1,FQ16+ACF16,1)</f>
        <v/>
      </c>
      <c r="AHU16">
        <f>IF('calcA'!BS$106=1,FR16+ACG16,1)</f>
        <v/>
      </c>
      <c r="AHV16">
        <f>IF('calcA'!BT$106=1,FS16+ACH16,1)</f>
        <v/>
      </c>
      <c r="AHW16">
        <f>IF('calcA'!BU$106=1,FT16+ACI16,1)</f>
        <v/>
      </c>
      <c r="AHX16">
        <f>IF('calcA'!BV$106=1,FU16+ACJ16,1)</f>
        <v/>
      </c>
      <c r="AHY16">
        <f>IF('calcA'!BW$106=1,FV16+ACK16,1)</f>
        <v/>
      </c>
      <c r="AHZ16">
        <f>IF('calcA'!BX$106=1,FW16+ACL16,1)</f>
        <v/>
      </c>
      <c r="AIA16">
        <f>IF('calcA'!BY$106=1,FX16+ACM16,1)</f>
        <v/>
      </c>
      <c r="AIB16">
        <f>IF('calcA'!BZ$106=1,FY16+ACN16,1)</f>
        <v/>
      </c>
      <c r="AIC16">
        <f>IF('calcA'!CA$106=1,FZ16+ACO16,1)</f>
        <v/>
      </c>
      <c r="AID16">
        <f>IF('calcA'!CB$106=1,GA16+ACP16,1)</f>
        <v/>
      </c>
      <c r="AIE16">
        <f>IF('calcA'!CC$106=1,GB16+ACQ16,1)</f>
        <v/>
      </c>
      <c r="AIF16">
        <f>IF('calcA'!CD$106=1,GC16+ACR16,1)</f>
        <v/>
      </c>
      <c r="AIG16">
        <f>IF('calcA'!CE$106=1,GD16+ACS16,1)</f>
        <v/>
      </c>
      <c r="AIH16">
        <f>IF('calcA'!CF$106=1,GE16+ACT16,1)</f>
        <v/>
      </c>
      <c r="AII16">
        <f>IF('calcA'!CG$106=1,GF16+ACU16,1)</f>
        <v/>
      </c>
      <c r="AIJ16">
        <f>IF('calcA'!CH$106=1,GG16+ACV16,1)</f>
        <v/>
      </c>
      <c r="AIK16">
        <f>IF('calcA'!CI$106=1,GH16+ACW16,1)</f>
        <v/>
      </c>
      <c r="AIL16">
        <f>IF('calcA'!CJ$106=1,GI16+ACX16,1)</f>
        <v/>
      </c>
      <c r="AIM16">
        <f>IF('calcA'!CK$106=1,GJ16+ACY16,1)</f>
        <v/>
      </c>
      <c r="AIN16">
        <f>IF('calcA'!CL$106=1,GK16+ACZ16,1)</f>
        <v/>
      </c>
      <c r="AIO16">
        <f>IF('calcA'!CM$106=1,GL16+ADA16,1)</f>
        <v/>
      </c>
      <c r="AIP16">
        <f>IF('calcA'!CN$106=1,GM16+ADB16,1)</f>
        <v/>
      </c>
      <c r="AIQ16">
        <f>IF('calcA'!CO$106=1,GN16+ADC16,1)</f>
        <v/>
      </c>
      <c r="AIR16">
        <f>IF('calcA'!CP$106=1,GO16+ADD16,1)</f>
        <v/>
      </c>
      <c r="AIS16">
        <f>IF('calcA'!CQ$106=1,GP16+ADE16,1)</f>
        <v/>
      </c>
      <c r="AIT16">
        <f>IF('calcA'!CR$106=1,GQ16+ADF16,1)</f>
        <v/>
      </c>
      <c r="AIU16">
        <f>IF('calcA'!CS$106=1,GR16+ADG16,1)</f>
        <v/>
      </c>
      <c r="AIV16">
        <f>IF('calcA'!CT$106=1,GS16+ADH16,1)</f>
        <v/>
      </c>
      <c r="AIW16">
        <f>IF('calcA'!CU$106=1,GT16+ADI16,1)</f>
        <v/>
      </c>
      <c r="AIX16">
        <f>IF('calcA'!CV$106=1,GU16+ADJ16,1)</f>
        <v/>
      </c>
      <c r="AIY16">
        <f>IF('calcA'!CW$106=1,GV16+ADK16,1)</f>
        <v/>
      </c>
      <c r="AIZ16">
        <f>IF('calcA'!CX$106=1,GW16+ADL16,1)</f>
        <v/>
      </c>
      <c r="AJA16">
        <f>IF('calcA'!CY$106=1,GX16+ADM16,1)</f>
        <v/>
      </c>
      <c r="AJB16">
        <f>IF('calcA'!CZ$106=1,GY16+ADN16,1)</f>
        <v/>
      </c>
      <c r="AJC16">
        <f>IF('calcA'!DA$106=1,GZ16+ADO16,1)</f>
        <v/>
      </c>
      <c r="AJD16">
        <f>IF('calcA'!DB$106=1,HA16+ADP16,1)</f>
        <v/>
      </c>
      <c r="AJE16">
        <f>IF('calcA'!DC$106=1,HB16+ADQ16,1)</f>
        <v/>
      </c>
      <c r="AJF16">
        <f>IF('calcA'!DD$106=1,HC16+ADR16,1)</f>
        <v/>
      </c>
      <c r="AJG16">
        <f>IF('calcA'!DE$106=1,HD16+ADS16,1)</f>
        <v/>
      </c>
      <c r="AJH16">
        <f>IF('calcA'!DF$106=1,HE16+ADT16,1)</f>
        <v/>
      </c>
      <c r="AJI16">
        <f>IF('calcA'!DG$106=1,HF16+ADU16,1)</f>
        <v/>
      </c>
      <c r="AJJ16">
        <f>IF('calcA'!DH$106=1,HG16+ADV16,1)</f>
        <v/>
      </c>
      <c r="AJK16">
        <f>IF('calcA'!DI$106=1,HH16+ADW16,1)</f>
        <v/>
      </c>
      <c r="AJL16">
        <f>IF('calcA'!DJ$106=1,HI16+ADX16,1)</f>
        <v/>
      </c>
      <c r="AJM16">
        <f>IF('calcA'!DK$106=1,HJ16+ADY16,1)</f>
        <v/>
      </c>
      <c r="AJN16">
        <f>IF('calcA'!DL$106=1,HK16+ADZ16,1)</f>
        <v/>
      </c>
      <c r="AJO16">
        <f>IF('calcA'!DM$106=1,HL16+AEA16,1)</f>
        <v/>
      </c>
      <c r="AJP16">
        <f>IF('calcA'!DN$106=1,HM16+AEB16,1)</f>
        <v/>
      </c>
      <c r="AJQ16">
        <f>IF('calcA'!DO$106=1,HN16+AEC16,1)</f>
        <v/>
      </c>
      <c r="AJR16">
        <f>IF('calcA'!DP$106=1,HO16+AED16,1)</f>
        <v/>
      </c>
      <c r="AJS16">
        <f>IF('calcA'!DQ$106=1,HP16+AEE16,1)</f>
        <v/>
      </c>
      <c r="AJT16">
        <f>IF('calcA'!DR$106=1,HQ16+AEF16,1)</f>
        <v/>
      </c>
      <c r="AJU16">
        <f>IF('calcA'!DS$106=1,HR16+AEG16,1)</f>
        <v/>
      </c>
      <c r="AJV16">
        <f>IF('calcA'!DT$106=1,HS16+AEH16,1)</f>
        <v/>
      </c>
      <c r="AJW16">
        <f>IF('calcA'!DU$106=1,HT16+AEI16,1)</f>
        <v/>
      </c>
      <c r="AJX16">
        <f>IF('calcA'!DV$106=1,HU16+AEJ16,1)</f>
        <v/>
      </c>
      <c r="AJY16">
        <f>IF('calcA'!DW$106=1,HV16+AEK16,1)</f>
        <v/>
      </c>
      <c r="AJZ16">
        <f>IF('calcA'!DX$106=1,HW16+AEL16,1)</f>
        <v/>
      </c>
      <c r="AKA16">
        <f>IF('calcA'!DY$106=1,HX16+AEM16,1)</f>
        <v/>
      </c>
      <c r="AKB16">
        <f>IF('calcA'!DZ$106=1,HY16+AEN16,1)</f>
        <v/>
      </c>
      <c r="AKC16">
        <f>IF('calcA'!EA$106=1,HZ16+AEO16,1)</f>
        <v/>
      </c>
      <c r="AKD16">
        <f>IF('calcA'!EB$106=1,IA16+AEP16,1)</f>
        <v/>
      </c>
      <c r="AKE16">
        <f>IF('calcA'!EC$106=1,IB16+AEQ16,1)</f>
        <v/>
      </c>
      <c r="AKF16">
        <f>IF('calcA'!ED$106=1,IC16+AER16,1)</f>
        <v/>
      </c>
      <c r="AKG16">
        <f>IF('calcA'!EE$106=1,ID16+AES16,1)</f>
        <v/>
      </c>
      <c r="AKH16">
        <f>IF('calcA'!EF$106=1,IE16+AET16,1)</f>
        <v/>
      </c>
      <c r="AKI16">
        <f>IF('calcA'!EG$106=1,IF16+AEU16,1)</f>
        <v/>
      </c>
      <c r="AKJ16">
        <f>IF('calcA'!EH$106=1,IG16+AEV16,1)</f>
        <v/>
      </c>
      <c r="AKK16">
        <f>IF('calcA'!EI$106=1,IH16+AEW16,1)</f>
        <v/>
      </c>
      <c r="AKL16">
        <f>IF('calcA'!EJ$106=1,II16+AEX16,1)</f>
        <v/>
      </c>
      <c r="AKM16">
        <f>IF('calcA'!EK$106=1,IJ16+AEY16,1)</f>
        <v/>
      </c>
      <c r="AKN16">
        <f>IF('calcA'!EL$106=1,IK16+AEZ16,1)</f>
        <v/>
      </c>
      <c r="AKO16">
        <f>IF('calcA'!EM$106=1,IL16+AFA16,1)</f>
        <v/>
      </c>
      <c r="AKP16">
        <f>IF('calcA'!EN$106=1,IM16+AFB16,1)</f>
        <v/>
      </c>
      <c r="AKQ16">
        <f>IF('calcA'!EO$106=1,IN16+AFC16,1)</f>
        <v/>
      </c>
      <c r="AKR16">
        <f>IF('calcA'!EP$106=1,IO16+AFD16,1)</f>
        <v/>
      </c>
      <c r="AKS16" t="n">
        <v>1</v>
      </c>
    </row>
    <row r="17">
      <c r="A17" t="n">
        <v>15</v>
      </c>
      <c r="B17">
        <f>IF(MIN(BM17:CZ17)&gt;=1000000000,0,MATCH(MIN(BM17:CZ17),BM17:CZ17,0))</f>
        <v/>
      </c>
      <c r="C17">
        <f>IF(MIN(OF17:TS17)&gt;=1000000000,0,MATCH(MIN(OF17:TS17),OF17:TS17,0))</f>
        <v/>
      </c>
      <c r="D17">
        <f>IF(C17&gt;0,INDEX('calcA'!$D$5:$EQ$5,C17),0)</f>
        <v/>
      </c>
      <c r="E17">
        <f>IF(B17=0,0,INDEX('calcA'!$IQ$10:$IQ$54,B17))</f>
        <v/>
      </c>
      <c r="F17">
        <f>IF(B17=0,0,INDEX('calcA'!$IP$10:$IP$54,B17))</f>
        <v/>
      </c>
      <c r="G17">
        <f>IF(AND(C17&gt;0,E17&gt;0),IF(AND(INDEX('calcA'!$D$106:$EQ$106,C17)=1,INDEX($IQ17:$OD17,C17)=1),C17+1,0),0)</f>
        <v/>
      </c>
      <c r="H17">
        <f>IF(B17=0,0,INDEX('calcA'!$IW$10:$IW$54,B17))</f>
        <v/>
      </c>
      <c r="U17">
        <f>IF(B17=0,0,INDEX('calcA'!$IX$10:$IX$54,B17))</f>
        <v/>
      </c>
      <c r="V17">
        <f>IF(B17=0,0,INDEX('calcA'!$JF$10:$JF$54,B17))</f>
        <v/>
      </c>
      <c r="W17">
        <f>IF(B17=0,0,IF(IF(E17=2,SUMPRODUCT(INDEX('calcA'!$D$60:$EQ$99,B17,0),$DB17:$IO17,$IQ17:$OD17),SUMPRODUCT(INDEX('calcA'!$D$60:$EQ$99,B17,0),$DB17:$IO17))=0,1,0))</f>
        <v/>
      </c>
      <c r="X17">
        <f>MAX(X16,IF($B16=1,1,0))</f>
        <v/>
      </c>
      <c r="Y17">
        <f>MAX(Y16,IF($B16=2,1,0))</f>
        <v/>
      </c>
      <c r="Z17">
        <f>MAX(Z16,IF($B16=3,1,0))</f>
        <v/>
      </c>
      <c r="AA17">
        <f>MAX(AA16,IF($B16=4,1,0))</f>
        <v/>
      </c>
      <c r="AB17">
        <f>MAX(AB16,IF($B16=5,1,0))</f>
        <v/>
      </c>
      <c r="AC17">
        <f>MAX(AC16,IF($B16=6,1,0))</f>
        <v/>
      </c>
      <c r="AD17">
        <f>MAX(AD16,IF($B16=7,1,0))</f>
        <v/>
      </c>
      <c r="AE17">
        <f>MAX(AE16,IF($B16=8,1,0))</f>
        <v/>
      </c>
      <c r="AF17">
        <f>MAX(AF16,IF($B16=9,1,0))</f>
        <v/>
      </c>
      <c r="AG17">
        <f>MAX(AG16,IF($B16=10,1,0))</f>
        <v/>
      </c>
      <c r="AH17">
        <f>MAX(AH16,IF($B16=11,1,0))</f>
        <v/>
      </c>
      <c r="AI17">
        <f>MAX(AI16,IF($B16=12,1,0))</f>
        <v/>
      </c>
      <c r="AJ17">
        <f>MAX(AJ16,IF($B16=13,1,0))</f>
        <v/>
      </c>
      <c r="AK17">
        <f>MAX(AK16,IF($B16=14,1,0))</f>
        <v/>
      </c>
      <c r="AL17">
        <f>MAX(AL16,IF($B16=15,1,0))</f>
        <v/>
      </c>
      <c r="AM17">
        <f>MAX(AM16,IF($B16=16,1,0))</f>
        <v/>
      </c>
      <c r="AN17">
        <f>MAX(AN16,IF($B16=17,1,0))</f>
        <v/>
      </c>
      <c r="AO17">
        <f>MAX(AO16,IF($B16=18,1,0))</f>
        <v/>
      </c>
      <c r="AP17">
        <f>MAX(AP16,IF($B16=19,1,0))</f>
        <v/>
      </c>
      <c r="AQ17">
        <f>MAX(AQ16,IF($B16=20,1,0))</f>
        <v/>
      </c>
      <c r="AR17">
        <f>MAX(AR16,IF($B16=21,1,0))</f>
        <v/>
      </c>
      <c r="AS17">
        <f>MAX(AS16,IF($B16=22,1,0))</f>
        <v/>
      </c>
      <c r="AT17">
        <f>MAX(AT16,IF($B16=23,1,0))</f>
        <v/>
      </c>
      <c r="AU17">
        <f>MAX(AU16,IF($B16=24,1,0))</f>
        <v/>
      </c>
      <c r="AV17">
        <f>MAX(AV16,IF($B16=25,1,0))</f>
        <v/>
      </c>
      <c r="AW17">
        <f>MAX(AW16,IF($B16=26,1,0))</f>
        <v/>
      </c>
      <c r="AX17">
        <f>MAX(AX16,IF($B16=27,1,0))</f>
        <v/>
      </c>
      <c r="AY17">
        <f>MAX(AY16,IF($B16=28,1,0))</f>
        <v/>
      </c>
      <c r="AZ17">
        <f>MAX(AZ16,IF($B16=29,1,0))</f>
        <v/>
      </c>
      <c r="BA17">
        <f>MAX(BA16,IF($B16=30,1,0))</f>
        <v/>
      </c>
      <c r="BB17">
        <f>MAX(BB16,IF($B16=31,1,0))</f>
        <v/>
      </c>
      <c r="BC17">
        <f>MAX(BC16,IF($B16=32,1,0))</f>
        <v/>
      </c>
      <c r="BD17">
        <f>MAX(BD16,IF($B16=33,1,0))</f>
        <v/>
      </c>
      <c r="BE17">
        <f>MAX(BE16,IF($B16=34,1,0))</f>
        <v/>
      </c>
      <c r="BF17">
        <f>MAX(BF16,IF($B16=35,1,0))</f>
        <v/>
      </c>
      <c r="BG17">
        <f>MAX(BG16,IF($B16=36,1,0))</f>
        <v/>
      </c>
      <c r="BH17">
        <f>MAX(BH16,IF($B16=37,1,0))</f>
        <v/>
      </c>
      <c r="BI17">
        <f>MAX(BI16,IF($B16=38,1,0))</f>
        <v/>
      </c>
      <c r="BJ17">
        <f>MAX(BJ16,IF($B16=39,1,0))</f>
        <v/>
      </c>
      <c r="BK17">
        <f>MAX(BK16,IF($B16=40,1,0))</f>
        <v/>
      </c>
      <c r="BM17">
        <f>IF(OR(X17=1,calcA!$A$6=0),1000000000,IF('calcA'!$JF$10=1,0,100000000)+IF('calcA'!$IQ$10=2,SUMPRODUCT('calcA'!$D$60:$EQ$60,$DB17:$IO17,$IQ17:$OD17)*1000+SUMPRODUCT('calcA'!$D$60:$EQ$60,$DB17:$IO17+$ZQ17:$AFD17,$AFF17:$AKS17),SUMPRODUCT('calcA'!$D$60:$EQ$60,$DB17:$IO17*1001+$ZQ17:$AFD17))*100+1)</f>
        <v/>
      </c>
      <c r="BN17">
        <f>IF(OR(Y17=1,calcA!$A$6=0),1000000000,IF('calcA'!$JF$11=1,0,100000000)+IF('calcA'!$IQ$11=2,SUMPRODUCT('calcA'!$D$61:$EQ$61,$DB17:$IO17,$IQ17:$OD17)*1000+SUMPRODUCT('calcA'!$D$61:$EQ$61,$DB17:$IO17+$ZQ17:$AFD17,$AFF17:$AKS17),SUMPRODUCT('calcA'!$D$61:$EQ$61,$DB17:$IO17*1001+$ZQ17:$AFD17))*100+2)</f>
        <v/>
      </c>
      <c r="BO17">
        <f>IF(OR(Z17=1,calcA!$A$6=0),1000000000,IF('calcA'!$JF$12=1,0,100000000)+IF('calcA'!$IQ$12=2,SUMPRODUCT('calcA'!$D$62:$EQ$62,$DB17:$IO17,$IQ17:$OD17)*1000+SUMPRODUCT('calcA'!$D$62:$EQ$62,$DB17:$IO17+$ZQ17:$AFD17,$AFF17:$AKS17),SUMPRODUCT('calcA'!$D$62:$EQ$62,$DB17:$IO17*1001+$ZQ17:$AFD17))*100+3)</f>
        <v/>
      </c>
      <c r="BP17">
        <f>IF(OR(AA17=1,calcA!$A$6=0),1000000000,IF('calcA'!$JF$13=1,0,100000000)+IF('calcA'!$IQ$13=2,SUMPRODUCT('calcA'!$D$63:$EQ$63,$DB17:$IO17,$IQ17:$OD17)*1000+SUMPRODUCT('calcA'!$D$63:$EQ$63,$DB17:$IO17+$ZQ17:$AFD17,$AFF17:$AKS17),SUMPRODUCT('calcA'!$D$63:$EQ$63,$DB17:$IO17*1001+$ZQ17:$AFD17))*100+4)</f>
        <v/>
      </c>
      <c r="BQ17">
        <f>IF(OR(AB17=1,calcA!$A$6=0),1000000000,IF('calcA'!$JF$14=1,0,100000000)+IF('calcA'!$IQ$14=2,SUMPRODUCT('calcA'!$D$64:$EQ$64,$DB17:$IO17,$IQ17:$OD17)*1000+SUMPRODUCT('calcA'!$D$64:$EQ$64,$DB17:$IO17+$ZQ17:$AFD17,$AFF17:$AKS17),SUMPRODUCT('calcA'!$D$64:$EQ$64,$DB17:$IO17*1001+$ZQ17:$AFD17))*100+5)</f>
        <v/>
      </c>
      <c r="BR17">
        <f>IF(OR(AC17=1,calcA!$A$6=0),1000000000,IF('calcA'!$JF$15=1,0,100000000)+IF('calcA'!$IQ$15=2,SUMPRODUCT('calcA'!$D$65:$EQ$65,$DB17:$IO17,$IQ17:$OD17)*1000+SUMPRODUCT('calcA'!$D$65:$EQ$65,$DB17:$IO17+$ZQ17:$AFD17,$AFF17:$AKS17),SUMPRODUCT('calcA'!$D$65:$EQ$65,$DB17:$IO17*1001+$ZQ17:$AFD17))*100+6)</f>
        <v/>
      </c>
      <c r="BS17">
        <f>IF(OR(AD17=1,calcA!$A$6=0),1000000000,IF('calcA'!$JF$16=1,0,100000000)+IF('calcA'!$IQ$16=2,SUMPRODUCT('calcA'!$D$66:$EQ$66,$DB17:$IO17,$IQ17:$OD17)*1000+SUMPRODUCT('calcA'!$D$66:$EQ$66,$DB17:$IO17+$ZQ17:$AFD17,$AFF17:$AKS17),SUMPRODUCT('calcA'!$D$66:$EQ$66,$DB17:$IO17*1001+$ZQ17:$AFD17))*100+7)</f>
        <v/>
      </c>
      <c r="BT17">
        <f>IF(OR(AE17=1,calcA!$A$6=0),1000000000,IF('calcA'!$JF$17=1,0,100000000)+IF('calcA'!$IQ$17=2,SUMPRODUCT('calcA'!$D$67:$EQ$67,$DB17:$IO17,$IQ17:$OD17)*1000+SUMPRODUCT('calcA'!$D$67:$EQ$67,$DB17:$IO17+$ZQ17:$AFD17,$AFF17:$AKS17),SUMPRODUCT('calcA'!$D$67:$EQ$67,$DB17:$IO17*1001+$ZQ17:$AFD17))*100+8)</f>
        <v/>
      </c>
      <c r="BU17">
        <f>IF(OR(AF17=1,calcA!$A$6=0),1000000000,IF('calcA'!$JF$18=1,0,100000000)+IF('calcA'!$IQ$18=2,SUMPRODUCT('calcA'!$D$68:$EQ$68,$DB17:$IO17,$IQ17:$OD17)*1000+SUMPRODUCT('calcA'!$D$68:$EQ$68,$DB17:$IO17+$ZQ17:$AFD17,$AFF17:$AKS17),SUMPRODUCT('calcA'!$D$68:$EQ$68,$DB17:$IO17*1001+$ZQ17:$AFD17))*100+9)</f>
        <v/>
      </c>
      <c r="BV17">
        <f>IF(OR(AG17=1,calcA!$A$6=0),1000000000,IF('calcA'!$JF$19=1,0,100000000)+IF('calcA'!$IQ$19=2,SUMPRODUCT('calcA'!$D$69:$EQ$69,$DB17:$IO17,$IQ17:$OD17)*1000+SUMPRODUCT('calcA'!$D$69:$EQ$69,$DB17:$IO17+$ZQ17:$AFD17,$AFF17:$AKS17),SUMPRODUCT('calcA'!$D$69:$EQ$69,$DB17:$IO17*1001+$ZQ17:$AFD17))*100+10)</f>
        <v/>
      </c>
      <c r="BW17">
        <f>IF(OR(AH17=1,calcA!$A$6=0),1000000000,IF('calcA'!$JF$20=1,0,100000000)+IF('calcA'!$IQ$20=2,SUMPRODUCT('calcA'!$D$70:$EQ$70,$DB17:$IO17,$IQ17:$OD17)*1000+SUMPRODUCT('calcA'!$D$70:$EQ$70,$DB17:$IO17+$ZQ17:$AFD17,$AFF17:$AKS17),SUMPRODUCT('calcA'!$D$70:$EQ$70,$DB17:$IO17*1001+$ZQ17:$AFD17))*100+11)</f>
        <v/>
      </c>
      <c r="BX17">
        <f>IF(OR(AI17=1,calcA!$A$6=0),1000000000,IF('calcA'!$JF$21=1,0,100000000)+IF('calcA'!$IQ$21=2,SUMPRODUCT('calcA'!$D$71:$EQ$71,$DB17:$IO17,$IQ17:$OD17)*1000+SUMPRODUCT('calcA'!$D$71:$EQ$71,$DB17:$IO17+$ZQ17:$AFD17,$AFF17:$AKS17),SUMPRODUCT('calcA'!$D$71:$EQ$71,$DB17:$IO17*1001+$ZQ17:$AFD17))*100+12)</f>
        <v/>
      </c>
      <c r="BY17">
        <f>IF(OR(AJ17=1,calcA!$A$6=0),1000000000,IF('calcA'!$JF$22=1,0,100000000)+IF('calcA'!$IQ$22=2,SUMPRODUCT('calcA'!$D$72:$EQ$72,$DB17:$IO17,$IQ17:$OD17)*1000+SUMPRODUCT('calcA'!$D$72:$EQ$72,$DB17:$IO17+$ZQ17:$AFD17,$AFF17:$AKS17),SUMPRODUCT('calcA'!$D$72:$EQ$72,$DB17:$IO17*1001+$ZQ17:$AFD17))*100+13)</f>
        <v/>
      </c>
      <c r="BZ17">
        <f>IF(OR(AK17=1,calcA!$A$6=0),1000000000,IF('calcA'!$JF$23=1,0,100000000)+IF('calcA'!$IQ$23=2,SUMPRODUCT('calcA'!$D$73:$EQ$73,$DB17:$IO17,$IQ17:$OD17)*1000+SUMPRODUCT('calcA'!$D$73:$EQ$73,$DB17:$IO17+$ZQ17:$AFD17,$AFF17:$AKS17),SUMPRODUCT('calcA'!$D$73:$EQ$73,$DB17:$IO17*1001+$ZQ17:$AFD17))*100+14)</f>
        <v/>
      </c>
      <c r="CA17">
        <f>IF(OR(AL17=1,calcA!$A$6=0),1000000000,IF('calcA'!$JF$24=1,0,100000000)+IF('calcA'!$IQ$24=2,SUMPRODUCT('calcA'!$D$74:$EQ$74,$DB17:$IO17,$IQ17:$OD17)*1000+SUMPRODUCT('calcA'!$D$74:$EQ$74,$DB17:$IO17+$ZQ17:$AFD17,$AFF17:$AKS17),SUMPRODUCT('calcA'!$D$74:$EQ$74,$DB17:$IO17*1001+$ZQ17:$AFD17))*100+15)</f>
        <v/>
      </c>
      <c r="CB17">
        <f>IF(OR(AM17=1,calcA!$A$6=0),1000000000,IF('calcA'!$JF$25=1,0,100000000)+IF('calcA'!$IQ$25=2,SUMPRODUCT('calcA'!$D$75:$EQ$75,$DB17:$IO17,$IQ17:$OD17)*1000+SUMPRODUCT('calcA'!$D$75:$EQ$75,$DB17:$IO17+$ZQ17:$AFD17,$AFF17:$AKS17),SUMPRODUCT('calcA'!$D$75:$EQ$75,$DB17:$IO17*1001+$ZQ17:$AFD17))*100+16)</f>
        <v/>
      </c>
      <c r="CC17">
        <f>IF(OR(AN17=1,calcA!$A$6=0),1000000000,IF('calcA'!$JF$26=1,0,100000000)+IF('calcA'!$IQ$26=2,SUMPRODUCT('calcA'!$D$76:$EQ$76,$DB17:$IO17,$IQ17:$OD17)*1000+SUMPRODUCT('calcA'!$D$76:$EQ$76,$DB17:$IO17+$ZQ17:$AFD17,$AFF17:$AKS17),SUMPRODUCT('calcA'!$D$76:$EQ$76,$DB17:$IO17*1001+$ZQ17:$AFD17))*100+17)</f>
        <v/>
      </c>
      <c r="CD17">
        <f>IF(OR(AO17=1,calcA!$A$6=0),1000000000,IF('calcA'!$JF$27=1,0,100000000)+IF('calcA'!$IQ$27=2,SUMPRODUCT('calcA'!$D$77:$EQ$77,$DB17:$IO17,$IQ17:$OD17)*1000+SUMPRODUCT('calcA'!$D$77:$EQ$77,$DB17:$IO17+$ZQ17:$AFD17,$AFF17:$AKS17),SUMPRODUCT('calcA'!$D$77:$EQ$77,$DB17:$IO17*1001+$ZQ17:$AFD17))*100+18)</f>
        <v/>
      </c>
      <c r="CE17">
        <f>IF(OR(AP17=1,calcA!$A$6=0),1000000000,IF('calcA'!$JF$28=1,0,100000000)+IF('calcA'!$IQ$28=2,SUMPRODUCT('calcA'!$D$78:$EQ$78,$DB17:$IO17,$IQ17:$OD17)*1000+SUMPRODUCT('calcA'!$D$78:$EQ$78,$DB17:$IO17+$ZQ17:$AFD17,$AFF17:$AKS17),SUMPRODUCT('calcA'!$D$78:$EQ$78,$DB17:$IO17*1001+$ZQ17:$AFD17))*100+19)</f>
        <v/>
      </c>
      <c r="CF17">
        <f>IF(OR(AQ17=1,calcA!$A$6=0),1000000000,IF('calcA'!$JF$29=1,0,100000000)+IF('calcA'!$IQ$29=2,SUMPRODUCT('calcA'!$D$79:$EQ$79,$DB17:$IO17,$IQ17:$OD17)*1000+SUMPRODUCT('calcA'!$D$79:$EQ$79,$DB17:$IO17+$ZQ17:$AFD17,$AFF17:$AKS17),SUMPRODUCT('calcA'!$D$79:$EQ$79,$DB17:$IO17*1001+$ZQ17:$AFD17))*100+20)</f>
        <v/>
      </c>
      <c r="CG17">
        <f>IF(OR(AR17=1,calcA!$A$6=0),1000000000,IF('calcA'!$JF$30=1,0,100000000)+IF('calcA'!$IQ$30=2,SUMPRODUCT('calcA'!$D$80:$EQ$80,$DB17:$IO17,$IQ17:$OD17)*1000+SUMPRODUCT('calcA'!$D$80:$EQ$80,$DB17:$IO17+$ZQ17:$AFD17,$AFF17:$AKS17),SUMPRODUCT('calcA'!$D$80:$EQ$80,$DB17:$IO17*1001+$ZQ17:$AFD17))*100+21)</f>
        <v/>
      </c>
      <c r="CH17">
        <f>IF(OR(AS17=1,calcA!$A$6=0),1000000000,IF('calcA'!$JF$31=1,0,100000000)+IF('calcA'!$IQ$31=2,SUMPRODUCT('calcA'!$D$81:$EQ$81,$DB17:$IO17,$IQ17:$OD17)*1000+SUMPRODUCT('calcA'!$D$81:$EQ$81,$DB17:$IO17+$ZQ17:$AFD17,$AFF17:$AKS17),SUMPRODUCT('calcA'!$D$81:$EQ$81,$DB17:$IO17*1001+$ZQ17:$AFD17))*100+22)</f>
        <v/>
      </c>
      <c r="CI17">
        <f>IF(OR(AT17=1,calcA!$A$6=0),1000000000,IF('calcA'!$JF$32=1,0,100000000)+IF('calcA'!$IQ$32=2,SUMPRODUCT('calcA'!$D$82:$EQ$82,$DB17:$IO17,$IQ17:$OD17)*1000+SUMPRODUCT('calcA'!$D$82:$EQ$82,$DB17:$IO17+$ZQ17:$AFD17,$AFF17:$AKS17),SUMPRODUCT('calcA'!$D$82:$EQ$82,$DB17:$IO17*1001+$ZQ17:$AFD17))*100+23)</f>
        <v/>
      </c>
      <c r="CJ17">
        <f>IF(OR(AU17=1,calcA!$A$6=0),1000000000,IF('calcA'!$JF$33=1,0,100000000)+IF('calcA'!$IQ$33=2,SUMPRODUCT('calcA'!$D$83:$EQ$83,$DB17:$IO17,$IQ17:$OD17)*1000+SUMPRODUCT('calcA'!$D$83:$EQ$83,$DB17:$IO17+$ZQ17:$AFD17,$AFF17:$AKS17),SUMPRODUCT('calcA'!$D$83:$EQ$83,$DB17:$IO17*1001+$ZQ17:$AFD17))*100+24)</f>
        <v/>
      </c>
      <c r="CK17">
        <f>IF(OR(AV17=1,calcA!$A$6=0),1000000000,IF('calcA'!$JF$34=1,0,100000000)+IF('calcA'!$IQ$34=2,SUMPRODUCT('calcA'!$D$84:$EQ$84,$DB17:$IO17,$IQ17:$OD17)*1000+SUMPRODUCT('calcA'!$D$84:$EQ$84,$DB17:$IO17+$ZQ17:$AFD17,$AFF17:$AKS17),SUMPRODUCT('calcA'!$D$84:$EQ$84,$DB17:$IO17*1001+$ZQ17:$AFD17))*100+25)</f>
        <v/>
      </c>
      <c r="CL17">
        <f>IF(OR(AW17=1,calcA!$A$6=0),1000000000,IF('calcA'!$JF$35=1,0,100000000)+IF('calcA'!$IQ$35=2,SUMPRODUCT('calcA'!$D$85:$EQ$85,$DB17:$IO17,$IQ17:$OD17)*1000+SUMPRODUCT('calcA'!$D$85:$EQ$85,$DB17:$IO17+$ZQ17:$AFD17,$AFF17:$AKS17),SUMPRODUCT('calcA'!$D$85:$EQ$85,$DB17:$IO17*1001+$ZQ17:$AFD17))*100+26)</f>
        <v/>
      </c>
      <c r="CM17">
        <f>IF(OR(AX17=1,calcA!$A$6=0),1000000000,IF('calcA'!$JF$36=1,0,100000000)+IF('calcA'!$IQ$36=2,SUMPRODUCT('calcA'!$D$86:$EQ$86,$DB17:$IO17,$IQ17:$OD17)*1000+SUMPRODUCT('calcA'!$D$86:$EQ$86,$DB17:$IO17+$ZQ17:$AFD17,$AFF17:$AKS17),SUMPRODUCT('calcA'!$D$86:$EQ$86,$DB17:$IO17*1001+$ZQ17:$AFD17))*100+27)</f>
        <v/>
      </c>
      <c r="CN17">
        <f>IF(OR(AY17=1,calcA!$A$6=0),1000000000,IF('calcA'!$JF$37=1,0,100000000)+IF('calcA'!$IQ$37=2,SUMPRODUCT('calcA'!$D$87:$EQ$87,$DB17:$IO17,$IQ17:$OD17)*1000+SUMPRODUCT('calcA'!$D$87:$EQ$87,$DB17:$IO17+$ZQ17:$AFD17,$AFF17:$AKS17),SUMPRODUCT('calcA'!$D$87:$EQ$87,$DB17:$IO17*1001+$ZQ17:$AFD17))*100+28)</f>
        <v/>
      </c>
      <c r="CO17">
        <f>IF(OR(AZ17=1,calcA!$A$6=0),1000000000,IF('calcA'!$JF$38=1,0,100000000)+IF('calcA'!$IQ$38=2,SUMPRODUCT('calcA'!$D$88:$EQ$88,$DB17:$IO17,$IQ17:$OD17)*1000+SUMPRODUCT('calcA'!$D$88:$EQ$88,$DB17:$IO17+$ZQ17:$AFD17,$AFF17:$AKS17),SUMPRODUCT('calcA'!$D$88:$EQ$88,$DB17:$IO17*1001+$ZQ17:$AFD17))*100+29)</f>
        <v/>
      </c>
      <c r="CP17">
        <f>IF(OR(BA17=1,calcA!$A$6=0),1000000000,IF('calcA'!$JF$39=1,0,100000000)+IF('calcA'!$IQ$39=2,SUMPRODUCT('calcA'!$D$89:$EQ$89,$DB17:$IO17,$IQ17:$OD17)*1000+SUMPRODUCT('calcA'!$D$89:$EQ$89,$DB17:$IO17+$ZQ17:$AFD17,$AFF17:$AKS17),SUMPRODUCT('calcA'!$D$89:$EQ$89,$DB17:$IO17*1001+$ZQ17:$AFD17))*100+30)</f>
        <v/>
      </c>
      <c r="CQ17">
        <f>IF(OR(BB17=1,calcA!$A$6=0),1000000000,IF('calcA'!$JF$40=1,0,100000000)+IF('calcA'!$IQ$40=2,SUMPRODUCT('calcA'!$D$90:$EQ$90,$DB17:$IO17,$IQ17:$OD17)*1000+SUMPRODUCT('calcA'!$D$90:$EQ$90,$DB17:$IO17+$ZQ17:$AFD17,$AFF17:$AKS17),SUMPRODUCT('calcA'!$D$90:$EQ$90,$DB17:$IO17*1001+$ZQ17:$AFD17))*100+31)</f>
        <v/>
      </c>
      <c r="CR17">
        <f>IF(OR(BC17=1,calcA!$A$6=0),1000000000,IF('calcA'!$JF$41=1,0,100000000)+IF('calcA'!$IQ$41=2,SUMPRODUCT('calcA'!$D$91:$EQ$91,$DB17:$IO17,$IQ17:$OD17)*1000+SUMPRODUCT('calcA'!$D$91:$EQ$91,$DB17:$IO17+$ZQ17:$AFD17,$AFF17:$AKS17),SUMPRODUCT('calcA'!$D$91:$EQ$91,$DB17:$IO17*1001+$ZQ17:$AFD17))*100+32)</f>
        <v/>
      </c>
      <c r="CS17">
        <f>IF(OR(BD17=1,calcA!$A$6=0),1000000000,IF('calcA'!$JF$42=1,0,100000000)+IF('calcA'!$IQ$42=2,SUMPRODUCT('calcA'!$D$92:$EQ$92,$DB17:$IO17,$IQ17:$OD17)*1000+SUMPRODUCT('calcA'!$D$92:$EQ$92,$DB17:$IO17+$ZQ17:$AFD17,$AFF17:$AKS17),SUMPRODUCT('calcA'!$D$92:$EQ$92,$DB17:$IO17*1001+$ZQ17:$AFD17))*100+33)</f>
        <v/>
      </c>
      <c r="CT17">
        <f>IF(OR(BE17=1,calcA!$A$6=0),1000000000,IF('calcA'!$JF$43=1,0,100000000)+IF('calcA'!$IQ$43=2,SUMPRODUCT('calcA'!$D$93:$EQ$93,$DB17:$IO17,$IQ17:$OD17)*1000+SUMPRODUCT('calcA'!$D$93:$EQ$93,$DB17:$IO17+$ZQ17:$AFD17,$AFF17:$AKS17),SUMPRODUCT('calcA'!$D$93:$EQ$93,$DB17:$IO17*1001+$ZQ17:$AFD17))*100+34)</f>
        <v/>
      </c>
      <c r="CU17">
        <f>IF(OR(BF17=1,calcA!$A$6=0),1000000000,IF('calcA'!$JF$44=1,0,100000000)+IF('calcA'!$IQ$44=2,SUMPRODUCT('calcA'!$D$94:$EQ$94,$DB17:$IO17,$IQ17:$OD17)*1000+SUMPRODUCT('calcA'!$D$94:$EQ$94,$DB17:$IO17+$ZQ17:$AFD17,$AFF17:$AKS17),SUMPRODUCT('calcA'!$D$94:$EQ$94,$DB17:$IO17*1001+$ZQ17:$AFD17))*100+35)</f>
        <v/>
      </c>
      <c r="CV17">
        <f>IF(OR(BG17=1,calcA!$A$6=0),1000000000,IF('calcA'!$JF$45=1,0,100000000)+IF('calcA'!$IQ$45=2,SUMPRODUCT('calcA'!$D$95:$EQ$95,$DB17:$IO17,$IQ17:$OD17)*1000+SUMPRODUCT('calcA'!$D$95:$EQ$95,$DB17:$IO17+$ZQ17:$AFD17,$AFF17:$AKS17),SUMPRODUCT('calcA'!$D$95:$EQ$95,$DB17:$IO17*1001+$ZQ17:$AFD17))*100+36)</f>
        <v/>
      </c>
      <c r="CW17">
        <f>IF(OR(BH17=1,calcA!$A$6=0),1000000000,IF('calcA'!$JF$46=1,0,100000000)+IF('calcA'!$IQ$46=2,SUMPRODUCT('calcA'!$D$96:$EQ$96,$DB17:$IO17,$IQ17:$OD17)*1000+SUMPRODUCT('calcA'!$D$96:$EQ$96,$DB17:$IO17+$ZQ17:$AFD17,$AFF17:$AKS17),SUMPRODUCT('calcA'!$D$96:$EQ$96,$DB17:$IO17*1001+$ZQ17:$AFD17))*100+37)</f>
        <v/>
      </c>
      <c r="CX17">
        <f>IF(OR(BI17=1,calcA!$A$6=0),1000000000,IF('calcA'!$JF$47=1,0,100000000)+IF('calcA'!$IQ$47=2,SUMPRODUCT('calcA'!$D$97:$EQ$97,$DB17:$IO17,$IQ17:$OD17)*1000+SUMPRODUCT('calcA'!$D$97:$EQ$97,$DB17:$IO17+$ZQ17:$AFD17,$AFF17:$AKS17),SUMPRODUCT('calcA'!$D$97:$EQ$97,$DB17:$IO17*1001+$ZQ17:$AFD17))*100+38)</f>
        <v/>
      </c>
      <c r="CY17">
        <f>IF(OR(BJ17=1,calcA!$A$6=0),1000000000,IF('calcA'!$JF$48=1,0,100000000)+IF('calcA'!$IQ$48=2,SUMPRODUCT('calcA'!$D$98:$EQ$98,$DB17:$IO17,$IQ17:$OD17)*1000+SUMPRODUCT('calcA'!$D$98:$EQ$98,$DB17:$IO17+$ZQ17:$AFD17,$AFF17:$AKS17),SUMPRODUCT('calcA'!$D$98:$EQ$98,$DB17:$IO17*1001+$ZQ17:$AFD17))*100+39)</f>
        <v/>
      </c>
      <c r="CZ17">
        <f>IF(OR(BK17=1,calcA!$A$6=0),1000000000,IF('calcA'!$JF$49=1,0,100000000)+IF('calcA'!$IQ$49=2,SUMPRODUCT('calcA'!$D$99:$EQ$99,$DB17:$IO17,$IQ17:$OD17)*1000+SUMPRODUCT('calcA'!$D$99:$EQ$99,$DB17:$IO17+$ZQ17:$AFD17,$AFF17:$AKS17),SUMPRODUCT('calcA'!$D$99:$EQ$99,$DB17:$IO17*1001+$ZQ17:$AFD17))*100+40)</f>
        <v/>
      </c>
      <c r="DB17">
        <f>DB16*IF(OR($C16=1,$G16=1),0,1)</f>
        <v/>
      </c>
      <c r="DC17">
        <f>DC16*IF(OR($C16=2,$G16=2),0,1)</f>
        <v/>
      </c>
      <c r="DD17">
        <f>DD16*IF(OR($C16=3,$G16=3),0,1)</f>
        <v/>
      </c>
      <c r="DE17">
        <f>DE16*IF(OR($C16=4,$G16=4),0,1)</f>
        <v/>
      </c>
      <c r="DF17">
        <f>DF16*IF(OR($C16=5,$G16=5),0,1)</f>
        <v/>
      </c>
      <c r="DG17">
        <f>DG16*IF(OR($C16=6,$G16=6),0,1)</f>
        <v/>
      </c>
      <c r="DH17">
        <f>DH16*IF(OR($C16=7,$G16=7),0,1)</f>
        <v/>
      </c>
      <c r="DI17">
        <f>DI16*IF(OR($C16=8,$G16=8),0,1)</f>
        <v/>
      </c>
      <c r="DJ17">
        <f>DJ16*IF(OR($C16=9,$G16=9),0,1)</f>
        <v/>
      </c>
      <c r="DK17">
        <f>DK16*IF(OR($C16=10,$G16=10),0,1)</f>
        <v/>
      </c>
      <c r="DL17">
        <f>DL16*IF(OR($C16=11,$G16=11),0,1)</f>
        <v/>
      </c>
      <c r="DM17">
        <f>DM16*IF(OR($C16=12,$G16=12),0,1)</f>
        <v/>
      </c>
      <c r="DN17">
        <f>DN16*IF(OR($C16=13,$G16=13),0,1)</f>
        <v/>
      </c>
      <c r="DO17">
        <f>DO16*IF(OR($C16=14,$G16=14),0,1)</f>
        <v/>
      </c>
      <c r="DP17">
        <f>DP16*IF(OR($C16=15,$G16=15),0,1)</f>
        <v/>
      </c>
      <c r="DQ17">
        <f>DQ16*IF(OR($C16=16,$G16=16),0,1)</f>
        <v/>
      </c>
      <c r="DR17">
        <f>DR16*IF(OR($C16=17,$G16=17),0,1)</f>
        <v/>
      </c>
      <c r="DS17">
        <f>DS16*IF(OR($C16=18,$G16=18),0,1)</f>
        <v/>
      </c>
      <c r="DT17">
        <f>DT16*IF(OR($C16=19,$G16=19),0,1)</f>
        <v/>
      </c>
      <c r="DU17">
        <f>DU16*IF(OR($C16=20,$G16=20),0,1)</f>
        <v/>
      </c>
      <c r="DV17">
        <f>DV16*IF(OR($C16=21,$G16=21),0,1)</f>
        <v/>
      </c>
      <c r="DW17">
        <f>DW16*IF(OR($C16=22,$G16=22),0,1)</f>
        <v/>
      </c>
      <c r="DX17">
        <f>DX16*IF(OR($C16=23,$G16=23),0,1)</f>
        <v/>
      </c>
      <c r="DY17">
        <f>DY16*IF(OR($C16=24,$G16=24),0,1)</f>
        <v/>
      </c>
      <c r="DZ17">
        <f>DZ16*IF(OR($C16=25,$G16=25),0,1)</f>
        <v/>
      </c>
      <c r="EA17">
        <f>EA16*IF(OR($C16=26,$G16=26),0,1)</f>
        <v/>
      </c>
      <c r="EB17">
        <f>EB16*IF(OR($C16=27,$G16=27),0,1)</f>
        <v/>
      </c>
      <c r="EC17">
        <f>EC16*IF(OR($C16=28,$G16=28),0,1)</f>
        <v/>
      </c>
      <c r="ED17">
        <f>ED16*IF(OR($C16=29,$G16=29),0,1)</f>
        <v/>
      </c>
      <c r="EE17">
        <f>EE16*IF(OR($C16=30,$G16=30),0,1)</f>
        <v/>
      </c>
      <c r="EF17">
        <f>EF16*IF(OR($C16=31,$G16=31),0,1)</f>
        <v/>
      </c>
      <c r="EG17">
        <f>EG16*IF(OR($C16=32,$G16=32),0,1)</f>
        <v/>
      </c>
      <c r="EH17">
        <f>EH16*IF(OR($C16=33,$G16=33),0,1)</f>
        <v/>
      </c>
      <c r="EI17">
        <f>EI16*IF(OR($C16=34,$G16=34),0,1)</f>
        <v/>
      </c>
      <c r="EJ17">
        <f>EJ16*IF(OR($C16=35,$G16=35),0,1)</f>
        <v/>
      </c>
      <c r="EK17">
        <f>EK16*IF(OR($C16=36,$G16=36),0,1)</f>
        <v/>
      </c>
      <c r="EL17">
        <f>EL16*IF(OR($C16=37,$G16=37),0,1)</f>
        <v/>
      </c>
      <c r="EM17">
        <f>EM16*IF(OR($C16=38,$G16=38),0,1)</f>
        <v/>
      </c>
      <c r="EN17">
        <f>EN16*IF(OR($C16=39,$G16=39),0,1)</f>
        <v/>
      </c>
      <c r="EO17">
        <f>EO16*IF(OR($C16=40,$G16=40),0,1)</f>
        <v/>
      </c>
      <c r="EP17">
        <f>EP16*IF(OR($C16=41,$G16=41),0,1)</f>
        <v/>
      </c>
      <c r="EQ17">
        <f>EQ16*IF(OR($C16=42,$G16=42),0,1)</f>
        <v/>
      </c>
      <c r="ER17">
        <f>ER16*IF(OR($C16=43,$G16=43),0,1)</f>
        <v/>
      </c>
      <c r="ES17">
        <f>ES16*IF(OR($C16=44,$G16=44),0,1)</f>
        <v/>
      </c>
      <c r="ET17">
        <f>ET16*IF(OR($C16=45,$G16=45),0,1)</f>
        <v/>
      </c>
      <c r="EU17">
        <f>EU16*IF(OR($C16=46,$G16=46),0,1)</f>
        <v/>
      </c>
      <c r="EV17">
        <f>EV16*IF(OR($C16=47,$G16=47),0,1)</f>
        <v/>
      </c>
      <c r="EW17">
        <f>EW16*IF(OR($C16=48,$G16=48),0,1)</f>
        <v/>
      </c>
      <c r="EX17">
        <f>EX16*IF(OR($C16=49,$G16=49),0,1)</f>
        <v/>
      </c>
      <c r="EY17">
        <f>EY16*IF(OR($C16=50,$G16=50),0,1)</f>
        <v/>
      </c>
      <c r="EZ17">
        <f>EZ16*IF(OR($C16=51,$G16=51),0,1)</f>
        <v/>
      </c>
      <c r="FA17">
        <f>FA16*IF(OR($C16=52,$G16=52),0,1)</f>
        <v/>
      </c>
      <c r="FB17">
        <f>FB16*IF(OR($C16=53,$G16=53),0,1)</f>
        <v/>
      </c>
      <c r="FC17">
        <f>FC16*IF(OR($C16=54,$G16=54),0,1)</f>
        <v/>
      </c>
      <c r="FD17">
        <f>FD16*IF(OR($C16=55,$G16=55),0,1)</f>
        <v/>
      </c>
      <c r="FE17">
        <f>FE16*IF(OR($C16=56,$G16=56),0,1)</f>
        <v/>
      </c>
      <c r="FF17">
        <f>FF16*IF(OR($C16=57,$G16=57),0,1)</f>
        <v/>
      </c>
      <c r="FG17">
        <f>FG16*IF(OR($C16=58,$G16=58),0,1)</f>
        <v/>
      </c>
      <c r="FH17">
        <f>FH16*IF(OR($C16=59,$G16=59),0,1)</f>
        <v/>
      </c>
      <c r="FI17">
        <f>FI16*IF(OR($C16=60,$G16=60),0,1)</f>
        <v/>
      </c>
      <c r="FJ17">
        <f>FJ16*IF(OR($C16=61,$G16=61),0,1)</f>
        <v/>
      </c>
      <c r="FK17">
        <f>FK16*IF(OR($C16=62,$G16=62),0,1)</f>
        <v/>
      </c>
      <c r="FL17">
        <f>FL16*IF(OR($C16=63,$G16=63),0,1)</f>
        <v/>
      </c>
      <c r="FM17">
        <f>FM16*IF(OR($C16=64,$G16=64),0,1)</f>
        <v/>
      </c>
      <c r="FN17">
        <f>FN16*IF(OR($C16=65,$G16=65),0,1)</f>
        <v/>
      </c>
      <c r="FO17">
        <f>FO16*IF(OR($C16=66,$G16=66),0,1)</f>
        <v/>
      </c>
      <c r="FP17">
        <f>FP16*IF(OR($C16=67,$G16=67),0,1)</f>
        <v/>
      </c>
      <c r="FQ17">
        <f>FQ16*IF(OR($C16=68,$G16=68),0,1)</f>
        <v/>
      </c>
      <c r="FR17">
        <f>FR16*IF(OR($C16=69,$G16=69),0,1)</f>
        <v/>
      </c>
      <c r="FS17">
        <f>FS16*IF(OR($C16=70,$G16=70),0,1)</f>
        <v/>
      </c>
      <c r="FT17">
        <f>FT16*IF(OR($C16=71,$G16=71),0,1)</f>
        <v/>
      </c>
      <c r="FU17">
        <f>FU16*IF(OR($C16=72,$G16=72),0,1)</f>
        <v/>
      </c>
      <c r="FV17">
        <f>FV16*IF(OR($C16=73,$G16=73),0,1)</f>
        <v/>
      </c>
      <c r="FW17">
        <f>FW16*IF(OR($C16=74,$G16=74),0,1)</f>
        <v/>
      </c>
      <c r="FX17">
        <f>FX16*IF(OR($C16=75,$G16=75),0,1)</f>
        <v/>
      </c>
      <c r="FY17">
        <f>FY16*IF(OR($C16=76,$G16=76),0,1)</f>
        <v/>
      </c>
      <c r="FZ17">
        <f>FZ16*IF(OR($C16=77,$G16=77),0,1)</f>
        <v/>
      </c>
      <c r="GA17">
        <f>GA16*IF(OR($C16=78,$G16=78),0,1)</f>
        <v/>
      </c>
      <c r="GB17">
        <f>GB16*IF(OR($C16=79,$G16=79),0,1)</f>
        <v/>
      </c>
      <c r="GC17">
        <f>GC16*IF(OR($C16=80,$G16=80),0,1)</f>
        <v/>
      </c>
      <c r="GD17">
        <f>GD16*IF(OR($C16=81,$G16=81),0,1)</f>
        <v/>
      </c>
      <c r="GE17">
        <f>GE16*IF(OR($C16=82,$G16=82),0,1)</f>
        <v/>
      </c>
      <c r="GF17">
        <f>GF16*IF(OR($C16=83,$G16=83),0,1)</f>
        <v/>
      </c>
      <c r="GG17">
        <f>GG16*IF(OR($C16=84,$G16=84),0,1)</f>
        <v/>
      </c>
      <c r="GH17">
        <f>GH16*IF(OR($C16=85,$G16=85),0,1)</f>
        <v/>
      </c>
      <c r="GI17">
        <f>GI16*IF(OR($C16=86,$G16=86),0,1)</f>
        <v/>
      </c>
      <c r="GJ17">
        <f>GJ16*IF(OR($C16=87,$G16=87),0,1)</f>
        <v/>
      </c>
      <c r="GK17">
        <f>GK16*IF(OR($C16=88,$G16=88),0,1)</f>
        <v/>
      </c>
      <c r="GL17">
        <f>GL16*IF(OR($C16=89,$G16=89),0,1)</f>
        <v/>
      </c>
      <c r="GM17">
        <f>GM16*IF(OR($C16=90,$G16=90),0,1)</f>
        <v/>
      </c>
      <c r="GN17">
        <f>GN16*IF(OR($C16=91,$G16=91),0,1)</f>
        <v/>
      </c>
      <c r="GO17">
        <f>GO16*IF(OR($C16=92,$G16=92),0,1)</f>
        <v/>
      </c>
      <c r="GP17">
        <f>GP16*IF(OR($C16=93,$G16=93),0,1)</f>
        <v/>
      </c>
      <c r="GQ17">
        <f>GQ16*IF(OR($C16=94,$G16=94),0,1)</f>
        <v/>
      </c>
      <c r="GR17">
        <f>GR16*IF(OR($C16=95,$G16=95),0,1)</f>
        <v/>
      </c>
      <c r="GS17">
        <f>GS16*IF(OR($C16=96,$G16=96),0,1)</f>
        <v/>
      </c>
      <c r="GT17">
        <f>GT16*IF(OR($C16=97,$G16=97),0,1)</f>
        <v/>
      </c>
      <c r="GU17">
        <f>GU16*IF(OR($C16=98,$G16=98),0,1)</f>
        <v/>
      </c>
      <c r="GV17">
        <f>GV16*IF(OR($C16=99,$G16=99),0,1)</f>
        <v/>
      </c>
      <c r="GW17">
        <f>GW16*IF(OR($C16=100,$G16=100),0,1)</f>
        <v/>
      </c>
      <c r="GX17">
        <f>GX16*IF(OR($C16=101,$G16=101),0,1)</f>
        <v/>
      </c>
      <c r="GY17">
        <f>GY16*IF(OR($C16=102,$G16=102),0,1)</f>
        <v/>
      </c>
      <c r="GZ17">
        <f>GZ16*IF(OR($C16=103,$G16=103),0,1)</f>
        <v/>
      </c>
      <c r="HA17">
        <f>HA16*IF(OR($C16=104,$G16=104),0,1)</f>
        <v/>
      </c>
      <c r="HB17">
        <f>HB16*IF(OR($C16=105,$G16=105),0,1)</f>
        <v/>
      </c>
      <c r="HC17">
        <f>HC16*IF(OR($C16=106,$G16=106),0,1)</f>
        <v/>
      </c>
      <c r="HD17">
        <f>HD16*IF(OR($C16=107,$G16=107),0,1)</f>
        <v/>
      </c>
      <c r="HE17">
        <f>HE16*IF(OR($C16=108,$G16=108),0,1)</f>
        <v/>
      </c>
      <c r="HF17">
        <f>HF16*IF(OR($C16=109,$G16=109),0,1)</f>
        <v/>
      </c>
      <c r="HG17">
        <f>HG16*IF(OR($C16=110,$G16=110),0,1)</f>
        <v/>
      </c>
      <c r="HH17">
        <f>HH16*IF(OR($C16=111,$G16=111),0,1)</f>
        <v/>
      </c>
      <c r="HI17">
        <f>HI16*IF(OR($C16=112,$G16=112),0,1)</f>
        <v/>
      </c>
      <c r="HJ17">
        <f>HJ16*IF(OR($C16=113,$G16=113),0,1)</f>
        <v/>
      </c>
      <c r="HK17">
        <f>HK16*IF(OR($C16=114,$G16=114),0,1)</f>
        <v/>
      </c>
      <c r="HL17">
        <f>HL16*IF(OR($C16=115,$G16=115),0,1)</f>
        <v/>
      </c>
      <c r="HM17">
        <f>HM16*IF(OR($C16=116,$G16=116),0,1)</f>
        <v/>
      </c>
      <c r="HN17">
        <f>HN16*IF(OR($C16=117,$G16=117),0,1)</f>
        <v/>
      </c>
      <c r="HO17">
        <f>HO16*IF(OR($C16=118,$G16=118),0,1)</f>
        <v/>
      </c>
      <c r="HP17">
        <f>HP16*IF(OR($C16=119,$G16=119),0,1)</f>
        <v/>
      </c>
      <c r="HQ17">
        <f>HQ16*IF(OR($C16=120,$G16=120),0,1)</f>
        <v/>
      </c>
      <c r="HR17">
        <f>HR16*IF(OR($C16=121,$G16=121),0,1)</f>
        <v/>
      </c>
      <c r="HS17">
        <f>HS16*IF(OR($C16=122,$G16=122),0,1)</f>
        <v/>
      </c>
      <c r="HT17">
        <f>HT16*IF(OR($C16=123,$G16=123),0,1)</f>
        <v/>
      </c>
      <c r="HU17">
        <f>HU16*IF(OR($C16=124,$G16=124),0,1)</f>
        <v/>
      </c>
      <c r="HV17">
        <f>HV16*IF(OR($C16=125,$G16=125),0,1)</f>
        <v/>
      </c>
      <c r="HW17">
        <f>HW16*IF(OR($C16=126,$G16=126),0,1)</f>
        <v/>
      </c>
      <c r="HX17">
        <f>HX16*IF(OR($C16=127,$G16=127),0,1)</f>
        <v/>
      </c>
      <c r="HY17">
        <f>HY16*IF(OR($C16=128,$G16=128),0,1)</f>
        <v/>
      </c>
      <c r="HZ17">
        <f>HZ16*IF(OR($C16=129,$G16=129),0,1)</f>
        <v/>
      </c>
      <c r="IA17">
        <f>IA16*IF(OR($C16=130,$G16=130),0,1)</f>
        <v/>
      </c>
      <c r="IB17">
        <f>IB16*IF(OR($C16=131,$G16=131),0,1)</f>
        <v/>
      </c>
      <c r="IC17">
        <f>IC16*IF(OR($C16=132,$G16=132),0,1)</f>
        <v/>
      </c>
      <c r="ID17">
        <f>ID16*IF(OR($C16=133,$G16=133),0,1)</f>
        <v/>
      </c>
      <c r="IE17">
        <f>IE16*IF(OR($C16=134,$G16=134),0,1)</f>
        <v/>
      </c>
      <c r="IF17">
        <f>IF16*IF(OR($C16=135,$G16=135),0,1)</f>
        <v/>
      </c>
      <c r="IG17">
        <f>IG16*IF(OR($C16=136,$G16=136),0,1)</f>
        <v/>
      </c>
      <c r="IH17">
        <f>IH16*IF(OR($C16=137,$G16=137),0,1)</f>
        <v/>
      </c>
      <c r="II17">
        <f>II16*IF(OR($C16=138,$G16=138),0,1)</f>
        <v/>
      </c>
      <c r="IJ17">
        <f>IJ16*IF(OR($C16=139,$G16=139),0,1)</f>
        <v/>
      </c>
      <c r="IK17">
        <f>IK16*IF(OR($C16=140,$G16=140),0,1)</f>
        <v/>
      </c>
      <c r="IL17">
        <f>IL16*IF(OR($C16=141,$G16=141),0,1)</f>
        <v/>
      </c>
      <c r="IM17">
        <f>IM16*IF(OR($C16=142,$G16=142),0,1)</f>
        <v/>
      </c>
      <c r="IN17">
        <f>IN16*IF(OR($C16=143,$G16=143),0,1)</f>
        <v/>
      </c>
      <c r="IO17">
        <f>IO16*IF(OR($C16=144,$G16=144),0,1)</f>
        <v/>
      </c>
      <c r="IQ17">
        <f>IF('calcA'!D$106=1,DC17,1)</f>
        <v/>
      </c>
      <c r="IR17">
        <f>IF('calcA'!E$106=1,DD17,1)</f>
        <v/>
      </c>
      <c r="IS17">
        <f>IF('calcA'!F$106=1,DE17,1)</f>
        <v/>
      </c>
      <c r="IT17">
        <f>IF('calcA'!G$106=1,DF17,1)</f>
        <v/>
      </c>
      <c r="IU17">
        <f>IF('calcA'!H$106=1,DG17,1)</f>
        <v/>
      </c>
      <c r="IV17">
        <f>IF('calcA'!I$106=1,DH17,1)</f>
        <v/>
      </c>
      <c r="IW17">
        <f>IF('calcA'!J$106=1,DI17,1)</f>
        <v/>
      </c>
      <c r="IX17">
        <f>IF('calcA'!K$106=1,DJ17,1)</f>
        <v/>
      </c>
      <c r="IY17">
        <f>IF('calcA'!L$106=1,DK17,1)</f>
        <v/>
      </c>
      <c r="IZ17">
        <f>IF('calcA'!M$106=1,DL17,1)</f>
        <v/>
      </c>
      <c r="JA17">
        <f>IF('calcA'!N$106=1,DM17,1)</f>
        <v/>
      </c>
      <c r="JB17">
        <f>IF('calcA'!O$106=1,DN17,1)</f>
        <v/>
      </c>
      <c r="JC17">
        <f>IF('calcA'!P$106=1,DO17,1)</f>
        <v/>
      </c>
      <c r="JD17">
        <f>IF('calcA'!Q$106=1,DP17,1)</f>
        <v/>
      </c>
      <c r="JE17">
        <f>IF('calcA'!R$106=1,DQ17,1)</f>
        <v/>
      </c>
      <c r="JF17">
        <f>IF('calcA'!S$106=1,DR17,1)</f>
        <v/>
      </c>
      <c r="JG17">
        <f>IF('calcA'!T$106=1,DS17,1)</f>
        <v/>
      </c>
      <c r="JH17">
        <f>IF('calcA'!U$106=1,DT17,1)</f>
        <v/>
      </c>
      <c r="JI17">
        <f>IF('calcA'!V$106=1,DU17,1)</f>
        <v/>
      </c>
      <c r="JJ17">
        <f>IF('calcA'!W$106=1,DV17,1)</f>
        <v/>
      </c>
      <c r="JK17">
        <f>IF('calcA'!X$106=1,DW17,1)</f>
        <v/>
      </c>
      <c r="JL17">
        <f>IF('calcA'!Y$106=1,DX17,1)</f>
        <v/>
      </c>
      <c r="JM17">
        <f>IF('calcA'!Z$106=1,DY17,1)</f>
        <v/>
      </c>
      <c r="JN17">
        <f>IF('calcA'!AA$106=1,DZ17,1)</f>
        <v/>
      </c>
      <c r="JO17">
        <f>IF('calcA'!AB$106=1,EA17,1)</f>
        <v/>
      </c>
      <c r="JP17">
        <f>IF('calcA'!AC$106=1,EB17,1)</f>
        <v/>
      </c>
      <c r="JQ17">
        <f>IF('calcA'!AD$106=1,EC17,1)</f>
        <v/>
      </c>
      <c r="JR17">
        <f>IF('calcA'!AE$106=1,ED17,1)</f>
        <v/>
      </c>
      <c r="JS17">
        <f>IF('calcA'!AF$106=1,EE17,1)</f>
        <v/>
      </c>
      <c r="JT17">
        <f>IF('calcA'!AG$106=1,EF17,1)</f>
        <v/>
      </c>
      <c r="JU17">
        <f>IF('calcA'!AH$106=1,EG17,1)</f>
        <v/>
      </c>
      <c r="JV17">
        <f>IF('calcA'!AI$106=1,EH17,1)</f>
        <v/>
      </c>
      <c r="JW17">
        <f>IF('calcA'!AJ$106=1,EI17,1)</f>
        <v/>
      </c>
      <c r="JX17">
        <f>IF('calcA'!AK$106=1,EJ17,1)</f>
        <v/>
      </c>
      <c r="JY17">
        <f>IF('calcA'!AL$106=1,EK17,1)</f>
        <v/>
      </c>
      <c r="JZ17">
        <f>IF('calcA'!AM$106=1,EL17,1)</f>
        <v/>
      </c>
      <c r="KA17">
        <f>IF('calcA'!AN$106=1,EM17,1)</f>
        <v/>
      </c>
      <c r="KB17">
        <f>IF('calcA'!AO$106=1,EN17,1)</f>
        <v/>
      </c>
      <c r="KC17">
        <f>IF('calcA'!AP$106=1,EO17,1)</f>
        <v/>
      </c>
      <c r="KD17">
        <f>IF('calcA'!AQ$106=1,EP17,1)</f>
        <v/>
      </c>
      <c r="KE17">
        <f>IF('calcA'!AR$106=1,EQ17,1)</f>
        <v/>
      </c>
      <c r="KF17">
        <f>IF('calcA'!AS$106=1,ER17,1)</f>
        <v/>
      </c>
      <c r="KG17">
        <f>IF('calcA'!AT$106=1,ES17,1)</f>
        <v/>
      </c>
      <c r="KH17">
        <f>IF('calcA'!AU$106=1,ET17,1)</f>
        <v/>
      </c>
      <c r="KI17">
        <f>IF('calcA'!AV$106=1,EU17,1)</f>
        <v/>
      </c>
      <c r="KJ17">
        <f>IF('calcA'!AW$106=1,EV17,1)</f>
        <v/>
      </c>
      <c r="KK17">
        <f>IF('calcA'!AX$106=1,EW17,1)</f>
        <v/>
      </c>
      <c r="KL17">
        <f>IF('calcA'!AY$106=1,EX17,1)</f>
        <v/>
      </c>
      <c r="KM17">
        <f>IF('calcA'!AZ$106=1,EY17,1)</f>
        <v/>
      </c>
      <c r="KN17">
        <f>IF('calcA'!BA$106=1,EZ17,1)</f>
        <v/>
      </c>
      <c r="KO17">
        <f>IF('calcA'!BB$106=1,FA17,1)</f>
        <v/>
      </c>
      <c r="KP17">
        <f>IF('calcA'!BC$106=1,FB17,1)</f>
        <v/>
      </c>
      <c r="KQ17">
        <f>IF('calcA'!BD$106=1,FC17,1)</f>
        <v/>
      </c>
      <c r="KR17">
        <f>IF('calcA'!BE$106=1,FD17,1)</f>
        <v/>
      </c>
      <c r="KS17">
        <f>IF('calcA'!BF$106=1,FE17,1)</f>
        <v/>
      </c>
      <c r="KT17">
        <f>IF('calcA'!BG$106=1,FF17,1)</f>
        <v/>
      </c>
      <c r="KU17">
        <f>IF('calcA'!BH$106=1,FG17,1)</f>
        <v/>
      </c>
      <c r="KV17">
        <f>IF('calcA'!BI$106=1,FH17,1)</f>
        <v/>
      </c>
      <c r="KW17">
        <f>IF('calcA'!BJ$106=1,FI17,1)</f>
        <v/>
      </c>
      <c r="KX17">
        <f>IF('calcA'!BK$106=1,FJ17,1)</f>
        <v/>
      </c>
      <c r="KY17">
        <f>IF('calcA'!BL$106=1,FK17,1)</f>
        <v/>
      </c>
      <c r="KZ17">
        <f>IF('calcA'!BM$106=1,FL17,1)</f>
        <v/>
      </c>
      <c r="LA17">
        <f>IF('calcA'!BN$106=1,FM17,1)</f>
        <v/>
      </c>
      <c r="LB17">
        <f>IF('calcA'!BO$106=1,FN17,1)</f>
        <v/>
      </c>
      <c r="LC17">
        <f>IF('calcA'!BP$106=1,FO17,1)</f>
        <v/>
      </c>
      <c r="LD17">
        <f>IF('calcA'!BQ$106=1,FP17,1)</f>
        <v/>
      </c>
      <c r="LE17">
        <f>IF('calcA'!BR$106=1,FQ17,1)</f>
        <v/>
      </c>
      <c r="LF17">
        <f>IF('calcA'!BS$106=1,FR17,1)</f>
        <v/>
      </c>
      <c r="LG17">
        <f>IF('calcA'!BT$106=1,FS17,1)</f>
        <v/>
      </c>
      <c r="LH17">
        <f>IF('calcA'!BU$106=1,FT17,1)</f>
        <v/>
      </c>
      <c r="LI17">
        <f>IF('calcA'!BV$106=1,FU17,1)</f>
        <v/>
      </c>
      <c r="LJ17">
        <f>IF('calcA'!BW$106=1,FV17,1)</f>
        <v/>
      </c>
      <c r="LK17">
        <f>IF('calcA'!BX$106=1,FW17,1)</f>
        <v/>
      </c>
      <c r="LL17">
        <f>IF('calcA'!BY$106=1,FX17,1)</f>
        <v/>
      </c>
      <c r="LM17">
        <f>IF('calcA'!BZ$106=1,FY17,1)</f>
        <v/>
      </c>
      <c r="LN17">
        <f>IF('calcA'!CA$106=1,FZ17,1)</f>
        <v/>
      </c>
      <c r="LO17">
        <f>IF('calcA'!CB$106=1,GA17,1)</f>
        <v/>
      </c>
      <c r="LP17">
        <f>IF('calcA'!CC$106=1,GB17,1)</f>
        <v/>
      </c>
      <c r="LQ17">
        <f>IF('calcA'!CD$106=1,GC17,1)</f>
        <v/>
      </c>
      <c r="LR17">
        <f>IF('calcA'!CE$106=1,GD17,1)</f>
        <v/>
      </c>
      <c r="LS17">
        <f>IF('calcA'!CF$106=1,GE17,1)</f>
        <v/>
      </c>
      <c r="LT17">
        <f>IF('calcA'!CG$106=1,GF17,1)</f>
        <v/>
      </c>
      <c r="LU17">
        <f>IF('calcA'!CH$106=1,GG17,1)</f>
        <v/>
      </c>
      <c r="LV17">
        <f>IF('calcA'!CI$106=1,GH17,1)</f>
        <v/>
      </c>
      <c r="LW17">
        <f>IF('calcA'!CJ$106=1,GI17,1)</f>
        <v/>
      </c>
      <c r="LX17">
        <f>IF('calcA'!CK$106=1,GJ17,1)</f>
        <v/>
      </c>
      <c r="LY17">
        <f>IF('calcA'!CL$106=1,GK17,1)</f>
        <v/>
      </c>
      <c r="LZ17">
        <f>IF('calcA'!CM$106=1,GL17,1)</f>
        <v/>
      </c>
      <c r="MA17">
        <f>IF('calcA'!CN$106=1,GM17,1)</f>
        <v/>
      </c>
      <c r="MB17">
        <f>IF('calcA'!CO$106=1,GN17,1)</f>
        <v/>
      </c>
      <c r="MC17">
        <f>IF('calcA'!CP$106=1,GO17,1)</f>
        <v/>
      </c>
      <c r="MD17">
        <f>IF('calcA'!CQ$106=1,GP17,1)</f>
        <v/>
      </c>
      <c r="ME17">
        <f>IF('calcA'!CR$106=1,GQ17,1)</f>
        <v/>
      </c>
      <c r="MF17">
        <f>IF('calcA'!CS$106=1,GR17,1)</f>
        <v/>
      </c>
      <c r="MG17">
        <f>IF('calcA'!CT$106=1,GS17,1)</f>
        <v/>
      </c>
      <c r="MH17">
        <f>IF('calcA'!CU$106=1,GT17,1)</f>
        <v/>
      </c>
      <c r="MI17">
        <f>IF('calcA'!CV$106=1,GU17,1)</f>
        <v/>
      </c>
      <c r="MJ17">
        <f>IF('calcA'!CW$106=1,GV17,1)</f>
        <v/>
      </c>
      <c r="MK17">
        <f>IF('calcA'!CX$106=1,GW17,1)</f>
        <v/>
      </c>
      <c r="ML17">
        <f>IF('calcA'!CY$106=1,GX17,1)</f>
        <v/>
      </c>
      <c r="MM17">
        <f>IF('calcA'!CZ$106=1,GY17,1)</f>
        <v/>
      </c>
      <c r="MN17">
        <f>IF('calcA'!DA$106=1,GZ17,1)</f>
        <v/>
      </c>
      <c r="MO17">
        <f>IF('calcA'!DB$106=1,HA17,1)</f>
        <v/>
      </c>
      <c r="MP17">
        <f>IF('calcA'!DC$106=1,HB17,1)</f>
        <v/>
      </c>
      <c r="MQ17">
        <f>IF('calcA'!DD$106=1,HC17,1)</f>
        <v/>
      </c>
      <c r="MR17">
        <f>IF('calcA'!DE$106=1,HD17,1)</f>
        <v/>
      </c>
      <c r="MS17">
        <f>IF('calcA'!DF$106=1,HE17,1)</f>
        <v/>
      </c>
      <c r="MT17">
        <f>IF('calcA'!DG$106=1,HF17,1)</f>
        <v/>
      </c>
      <c r="MU17">
        <f>IF('calcA'!DH$106=1,HG17,1)</f>
        <v/>
      </c>
      <c r="MV17">
        <f>IF('calcA'!DI$106=1,HH17,1)</f>
        <v/>
      </c>
      <c r="MW17">
        <f>IF('calcA'!DJ$106=1,HI17,1)</f>
        <v/>
      </c>
      <c r="MX17">
        <f>IF('calcA'!DK$106=1,HJ17,1)</f>
        <v/>
      </c>
      <c r="MY17">
        <f>IF('calcA'!DL$106=1,HK17,1)</f>
        <v/>
      </c>
      <c r="MZ17">
        <f>IF('calcA'!DM$106=1,HL17,1)</f>
        <v/>
      </c>
      <c r="NA17">
        <f>IF('calcA'!DN$106=1,HM17,1)</f>
        <v/>
      </c>
      <c r="NB17">
        <f>IF('calcA'!DO$106=1,HN17,1)</f>
        <v/>
      </c>
      <c r="NC17">
        <f>IF('calcA'!DP$106=1,HO17,1)</f>
        <v/>
      </c>
      <c r="ND17">
        <f>IF('calcA'!DQ$106=1,HP17,1)</f>
        <v/>
      </c>
      <c r="NE17">
        <f>IF('calcA'!DR$106=1,HQ17,1)</f>
        <v/>
      </c>
      <c r="NF17">
        <f>IF('calcA'!DS$106=1,HR17,1)</f>
        <v/>
      </c>
      <c r="NG17">
        <f>IF('calcA'!DT$106=1,HS17,1)</f>
        <v/>
      </c>
      <c r="NH17">
        <f>IF('calcA'!DU$106=1,HT17,1)</f>
        <v/>
      </c>
      <c r="NI17">
        <f>IF('calcA'!DV$106=1,HU17,1)</f>
        <v/>
      </c>
      <c r="NJ17">
        <f>IF('calcA'!DW$106=1,HV17,1)</f>
        <v/>
      </c>
      <c r="NK17">
        <f>IF('calcA'!DX$106=1,HW17,1)</f>
        <v/>
      </c>
      <c r="NL17">
        <f>IF('calcA'!DY$106=1,HX17,1)</f>
        <v/>
      </c>
      <c r="NM17">
        <f>IF('calcA'!DZ$106=1,HY17,1)</f>
        <v/>
      </c>
      <c r="NN17">
        <f>IF('calcA'!EA$106=1,HZ17,1)</f>
        <v/>
      </c>
      <c r="NO17">
        <f>IF('calcA'!EB$106=1,IA17,1)</f>
        <v/>
      </c>
      <c r="NP17">
        <f>IF('calcA'!EC$106=1,IB17,1)</f>
        <v/>
      </c>
      <c r="NQ17">
        <f>IF('calcA'!ED$106=1,IC17,1)</f>
        <v/>
      </c>
      <c r="NR17">
        <f>IF('calcA'!EE$106=1,ID17,1)</f>
        <v/>
      </c>
      <c r="NS17">
        <f>IF('calcA'!EF$106=1,IE17,1)</f>
        <v/>
      </c>
      <c r="NT17">
        <f>IF('calcA'!EG$106=1,IF17,1)</f>
        <v/>
      </c>
      <c r="NU17">
        <f>IF('calcA'!EH$106=1,IG17,1)</f>
        <v/>
      </c>
      <c r="NV17">
        <f>IF('calcA'!EI$106=1,IH17,1)</f>
        <v/>
      </c>
      <c r="NW17">
        <f>IF('calcA'!EJ$106=1,II17,1)</f>
        <v/>
      </c>
      <c r="NX17">
        <f>IF('calcA'!EK$106=1,IJ17,1)</f>
        <v/>
      </c>
      <c r="NY17">
        <f>IF('calcA'!EL$106=1,IK17,1)</f>
        <v/>
      </c>
      <c r="NZ17">
        <f>IF('calcA'!EM$106=1,IL17,1)</f>
        <v/>
      </c>
      <c r="OA17">
        <f>IF('calcA'!EN$106=1,IM17,1)</f>
        <v/>
      </c>
      <c r="OB17">
        <f>IF('calcA'!EO$106=1,IN17,1)</f>
        <v/>
      </c>
      <c r="OC17">
        <f>IF('calcA'!EP$106=1,IO17,1)</f>
        <v/>
      </c>
      <c r="OD17" t="n">
        <v>1</v>
      </c>
      <c r="OF17">
        <f>IF($B17=0,1000000000,IF(INDEX('calcA'!$D$60:$EQ$99,$B17,1)*IF($W17=1,DB17+ZQ17,DB17)=1,IF(AND($E17=2,IF($W17=1,AFF17,IQ17)=0),1000000000,IF($V17=1,INDEX('calcA'!$D$130:$EQ$169,$B17,1)+IF(AND($E17=1,IQ17=0),25,0),INDEX('calcA'!D$110:D$114,$F17+1)+IF(AND($E17=1,IQ17=0),1000,0)+IF($H17=1,INDEX('calcA'!$D$180:$EQ$219,$B17,1)*500,0)-IF(AND($U17=1,'calcA'!D$117=1,DC17=0),300,0))),1000000000))</f>
        <v/>
      </c>
      <c r="OG17">
        <f>IF($B17=0,1000000000,IF(INDEX('calcA'!$D$60:$EQ$99,$B17,2)*IF($W17=1,DC17+ZR17,DC17)=1,IF(AND($E17=2,IF($W17=1,AFG17,IR17)=0),1000000000,IF($V17=1,INDEX('calcA'!$D$130:$EQ$169,$B17,2)+IF(AND($E17=1,IR17=0),25,0),INDEX('calcA'!E$110:E$114,$F17+1)+IF(AND($E17=1,IR17=0),1000,0)+IF($H17=1,INDEX('calcA'!$D$180:$EQ$219,$B17,2)*500,0)-IF(AND('calcA'!D$117=1,UB17&gt;0),300,0)-IF(AND($U17=1,'calcA'!E$117=1,DD17=0),300,0))),1000000000))</f>
        <v/>
      </c>
      <c r="OH17">
        <f>IF($B17=0,1000000000,IF(INDEX('calcA'!$D$60:$EQ$99,$B17,3)*IF($W17=1,DD17+ZS17,DD17)=1,IF(AND($E17=2,IF($W17=1,AFH17,IS17)=0),1000000000,IF($V17=1,INDEX('calcA'!$D$130:$EQ$169,$B17,3)+IF(AND($E17=1,IS17=0),25,0),INDEX('calcA'!F$110:F$114,$F17+1)+IF(AND($E17=1,IS17=0),1000,0)+IF($H17=1,INDEX('calcA'!$D$180:$EQ$219,$B17,3)*500,0)-IF(AND('calcA'!E$117=1,UC17&gt;0),300,0)-IF(AND($U17=1,'calcA'!F$117=1,DE17=0),300,0))),1000000000))</f>
        <v/>
      </c>
      <c r="OI17">
        <f>IF($B17=0,1000000000,IF(INDEX('calcA'!$D$60:$EQ$99,$B17,4)*IF($W17=1,DE17+ZT17,DE17)=1,IF(AND($E17=2,IF($W17=1,AFI17,IT17)=0),1000000000,IF($V17=1,INDEX('calcA'!$D$130:$EQ$169,$B17,4)+IF(AND($E17=1,IT17=0),25,0),INDEX('calcA'!G$110:G$114,$F17+1)+IF(AND($E17=1,IT17=0),1000,0)+IF($H17=1,INDEX('calcA'!$D$180:$EQ$219,$B17,4)*500,0)-IF(AND('calcA'!F$117=1,UD17&gt;0),300,0)-IF(AND($U17=1,'calcA'!G$117=1,DF17=0),300,0))),1000000000))</f>
        <v/>
      </c>
      <c r="OJ17">
        <f>IF($B17=0,1000000000,IF(INDEX('calcA'!$D$60:$EQ$99,$B17,5)*IF($W17=1,DF17+ZU17,DF17)=1,IF(AND($E17=2,IF($W17=1,AFJ17,IU17)=0),1000000000,IF($V17=1,INDEX('calcA'!$D$130:$EQ$169,$B17,5)+IF(AND($E17=1,IU17=0),25,0),INDEX('calcA'!H$110:H$114,$F17+1)+IF(AND($E17=1,IU17=0),1000,0)+IF($H17=1,INDEX('calcA'!$D$180:$EQ$219,$B17,5)*500,0)-IF(AND('calcA'!G$117=1,UE17&gt;0),300,0)-IF(AND($U17=1,'calcA'!H$117=1,DG17=0),300,0))),1000000000))</f>
        <v/>
      </c>
      <c r="OK17">
        <f>IF($B17=0,1000000000,IF(INDEX('calcA'!$D$60:$EQ$99,$B17,6)*IF($W17=1,DG17+ZV17,DG17)=1,IF(AND($E17=2,IF($W17=1,AFK17,IV17)=0),1000000000,IF($V17=1,INDEX('calcA'!$D$130:$EQ$169,$B17,6)+IF(AND($E17=1,IV17=0),25,0),INDEX('calcA'!I$110:I$114,$F17+1)+IF(AND($E17=1,IV17=0),1000,0)+IF($H17=1,INDEX('calcA'!$D$180:$EQ$219,$B17,6)*500,0)-IF(AND('calcA'!H$117=1,UF17&gt;0),300,0)-IF(AND($U17=1,'calcA'!I$117=1,DH17=0),300,0))),1000000000))</f>
        <v/>
      </c>
      <c r="OL17">
        <f>IF($B17=0,1000000000,IF(INDEX('calcA'!$D$60:$EQ$99,$B17,7)*IF($W17=1,DH17+ZW17,DH17)=1,IF(AND($E17=2,IF($W17=1,AFL17,IW17)=0),1000000000,IF($V17=1,INDEX('calcA'!$D$130:$EQ$169,$B17,7)+IF(AND($E17=1,IW17=0),25,0),INDEX('calcA'!J$110:J$114,$F17+1)+IF(AND($E17=1,IW17=0),1000,0)+IF($H17=1,INDEX('calcA'!$D$180:$EQ$219,$B17,7)*500,0)-IF(AND('calcA'!I$117=1,UG17&gt;0),300,0)-IF(AND($U17=1,'calcA'!J$117=1,DI17=0),300,0))),1000000000))</f>
        <v/>
      </c>
      <c r="OM17">
        <f>IF($B17=0,1000000000,IF(INDEX('calcA'!$D$60:$EQ$99,$B17,8)*IF($W17=1,DI17+ZX17,DI17)=1,IF(AND($E17=2,IF($W17=1,AFM17,IX17)=0),1000000000,IF($V17=1,INDEX('calcA'!$D$130:$EQ$169,$B17,8)+IF(AND($E17=1,IX17=0),25,0),INDEX('calcA'!K$110:K$114,$F17+1)+IF(AND($E17=1,IX17=0),1000,0)+IF($H17=1,INDEX('calcA'!$D$180:$EQ$219,$B17,8)*500,0)-IF(AND('calcA'!J$117=1,UH17&gt;0),300,0)-IF(AND($U17=1,'calcA'!K$117=1,DJ17=0),300,0))),1000000000))</f>
        <v/>
      </c>
      <c r="ON17">
        <f>IF($B17=0,1000000000,IF(INDEX('calcA'!$D$60:$EQ$99,$B17,9)*IF($W17=1,DJ17+ZY17,DJ17)=1,IF(AND($E17=2,IF($W17=1,AFN17,IY17)=0),1000000000,IF($V17=1,INDEX('calcA'!$D$130:$EQ$169,$B17,9)+IF(AND($E17=1,IY17=0),25,0),INDEX('calcA'!L$110:L$114,$F17+1)+IF(AND($E17=1,IY17=0),1000,0)+IF($H17=1,INDEX('calcA'!$D$180:$EQ$219,$B17,9)*500,0)-IF(AND('calcA'!K$117=1,UI17&gt;0),300,0)-IF(AND($U17=1,'calcA'!L$117=1,DK17=0),300,0))),1000000000))</f>
        <v/>
      </c>
      <c r="OO17">
        <f>IF($B17=0,1000000000,IF(INDEX('calcA'!$D$60:$EQ$99,$B17,10)*IF($W17=1,DK17+ZZ17,DK17)=1,IF(AND($E17=2,IF($W17=1,AFO17,IZ17)=0),1000000000,IF($V17=1,INDEX('calcA'!$D$130:$EQ$169,$B17,10)+IF(AND($E17=1,IZ17=0),25,0),INDEX('calcA'!M$110:M$114,$F17+1)+IF(AND($E17=1,IZ17=0),1000,0)+IF($H17=1,INDEX('calcA'!$D$180:$EQ$219,$B17,10)*500,0)-IF(AND('calcA'!L$117=1,UJ17&gt;0),300,0)-IF(AND($U17=1,'calcA'!M$117=1,DL17=0),300,0))),1000000000))</f>
        <v/>
      </c>
      <c r="OP17">
        <f>IF($B17=0,1000000000,IF(INDEX('calcA'!$D$60:$EQ$99,$B17,11)*IF($W17=1,DL17+AAA17,DL17)=1,IF(AND($E17=2,IF($W17=1,AFP17,JA17)=0),1000000000,IF($V17=1,INDEX('calcA'!$D$130:$EQ$169,$B17,11)+IF(AND($E17=1,JA17=0),25,0),INDEX('calcA'!N$110:N$114,$F17+1)+IF(AND($E17=1,JA17=0),1000,0)+IF($H17=1,INDEX('calcA'!$D$180:$EQ$219,$B17,11)*500,0)-IF(AND('calcA'!M$117=1,UK17&gt;0),300,0)-IF(AND($U17=1,'calcA'!N$117=1,DM17=0),300,0))),1000000000))</f>
        <v/>
      </c>
      <c r="OQ17">
        <f>IF($B17=0,1000000000,IF(INDEX('calcA'!$D$60:$EQ$99,$B17,12)*IF($W17=1,DM17+AAB17,DM17)=1,IF(AND($E17=2,IF($W17=1,AFQ17,JB17)=0),1000000000,IF($V17=1,INDEX('calcA'!$D$130:$EQ$169,$B17,12)+IF(AND($E17=1,JB17=0),25,0),INDEX('calcA'!O$110:O$114,$F17+1)+IF(AND($E17=1,JB17=0),1000,0)+IF($H17=1,INDEX('calcA'!$D$180:$EQ$219,$B17,12)*500,0)-IF(AND('calcA'!N$117=1,UL17&gt;0),300,0)-IF(AND($U17=1,'calcA'!O$117=1,DN17=0),300,0))),1000000000))</f>
        <v/>
      </c>
      <c r="OR17">
        <f>IF($B17=0,1000000000,IF(INDEX('calcA'!$D$60:$EQ$99,$B17,13)*IF($W17=1,DN17+AAC17,DN17)=1,IF(AND($E17=2,IF($W17=1,AFR17,JC17)=0),1000000000,IF($V17=1,INDEX('calcA'!$D$130:$EQ$169,$B17,13)+IF(AND($E17=1,JC17=0),25,0),INDEX('calcA'!P$110:P$114,$F17+1)+IF(AND($E17=1,JC17=0),1000,0)+IF($H17=1,INDEX('calcA'!$D$180:$EQ$219,$B17,13)*500,0)-IF(AND('calcA'!O$117=1,UM17&gt;0),300,0)-IF(AND($U17=1,'calcA'!P$117=1,DO17=0),300,0))),1000000000))</f>
        <v/>
      </c>
      <c r="OS17">
        <f>IF($B17=0,1000000000,IF(INDEX('calcA'!$D$60:$EQ$99,$B17,14)*IF($W17=1,DO17+AAD17,DO17)=1,IF(AND($E17=2,IF($W17=1,AFS17,JD17)=0),1000000000,IF($V17=1,INDEX('calcA'!$D$130:$EQ$169,$B17,14)+IF(AND($E17=1,JD17=0),25,0),INDEX('calcA'!Q$110:Q$114,$F17+1)+IF(AND($E17=1,JD17=0),1000,0)+IF($H17=1,INDEX('calcA'!$D$180:$EQ$219,$B17,14)*500,0)-IF(AND('calcA'!P$117=1,UN17&gt;0),300,0)-IF(AND($U17=1,'calcA'!Q$117=1,DP17=0),300,0))),1000000000))</f>
        <v/>
      </c>
      <c r="OT17">
        <f>IF($B17=0,1000000000,IF(INDEX('calcA'!$D$60:$EQ$99,$B17,15)*IF($W17=1,DP17+AAE17,DP17)=1,IF(AND($E17=2,IF($W17=1,AFT17,JE17)=0),1000000000,IF($V17=1,INDEX('calcA'!$D$130:$EQ$169,$B17,15)+IF(AND($E17=1,JE17=0),25,0),INDEX('calcA'!R$110:R$114,$F17+1)+IF(AND($E17=1,JE17=0),1000,0)+IF($H17=1,INDEX('calcA'!$D$180:$EQ$219,$B17,15)*500,0)-IF(AND('calcA'!Q$117=1,UO17&gt;0),300,0)-IF(AND($U17=1,'calcA'!R$117=1,DQ17=0),300,0))),1000000000))</f>
        <v/>
      </c>
      <c r="OU17">
        <f>IF($B17=0,1000000000,IF(INDEX('calcA'!$D$60:$EQ$99,$B17,16)*IF($W17=1,DQ17+AAF17,DQ17)=1,IF(AND($E17=2,IF($W17=1,AFU17,JF17)=0),1000000000,IF($V17=1,INDEX('calcA'!$D$130:$EQ$169,$B17,16)+IF(AND($E17=1,JF17=0),25,0),INDEX('calcA'!S$110:S$114,$F17+1)+IF(AND($E17=1,JF17=0),1000,0)+IF($H17=1,INDEX('calcA'!$D$180:$EQ$219,$B17,16)*500,0)-IF(AND('calcA'!R$117=1,UP17&gt;0),300,0)-IF(AND($U17=1,'calcA'!S$117=1,DR17=0),300,0))),1000000000))</f>
        <v/>
      </c>
      <c r="OV17">
        <f>IF($B17=0,1000000000,IF(INDEX('calcA'!$D$60:$EQ$99,$B17,17)*IF($W17=1,DR17+AAG17,DR17)=1,IF(AND($E17=2,IF($W17=1,AFV17,JG17)=0),1000000000,IF($V17=1,INDEX('calcA'!$D$130:$EQ$169,$B17,17)+IF(AND($E17=1,JG17=0),25,0),INDEX('calcA'!T$110:T$114,$F17+1)+IF(AND($E17=1,JG17=0),1000,0)+IF($H17=1,INDEX('calcA'!$D$180:$EQ$219,$B17,17)*500,0)-IF(AND('calcA'!S$117=1,UQ17&gt;0),300,0)-IF(AND($U17=1,'calcA'!T$117=1,DS17=0),300,0))),1000000000))</f>
        <v/>
      </c>
      <c r="OW17">
        <f>IF($B17=0,1000000000,IF(INDEX('calcA'!$D$60:$EQ$99,$B17,18)*IF($W17=1,DS17+AAH17,DS17)=1,IF(AND($E17=2,IF($W17=1,AFW17,JH17)=0),1000000000,IF($V17=1,INDEX('calcA'!$D$130:$EQ$169,$B17,18)+IF(AND($E17=1,JH17=0),25,0),INDEX('calcA'!U$110:U$114,$F17+1)+IF(AND($E17=1,JH17=0),1000,0)+IF($H17=1,INDEX('calcA'!$D$180:$EQ$219,$B17,18)*500,0)-IF(AND('calcA'!T$117=1,UR17&gt;0),300,0)-IF(AND($U17=1,'calcA'!U$117=1,DT17=0),300,0))),1000000000))</f>
        <v/>
      </c>
      <c r="OX17">
        <f>IF($B17=0,1000000000,IF(INDEX('calcA'!$D$60:$EQ$99,$B17,19)*IF($W17=1,DT17+AAI17,DT17)=1,IF(AND($E17=2,IF($W17=1,AFX17,JI17)=0),1000000000,IF($V17=1,INDEX('calcA'!$D$130:$EQ$169,$B17,19)+IF(AND($E17=1,JI17=0),25,0),INDEX('calcA'!V$110:V$114,$F17+1)+IF(AND($E17=1,JI17=0),1000,0)+IF($H17=1,INDEX('calcA'!$D$180:$EQ$219,$B17,19)*500,0)-IF(AND('calcA'!U$117=1,US17&gt;0),300,0)-IF(AND($U17=1,'calcA'!V$117=1,DU17=0),300,0))),1000000000))</f>
        <v/>
      </c>
      <c r="OY17">
        <f>IF($B17=0,1000000000,IF(INDEX('calcA'!$D$60:$EQ$99,$B17,20)*IF($W17=1,DU17+AAJ17,DU17)=1,IF(AND($E17=2,IF($W17=1,AFY17,JJ17)=0),1000000000,IF($V17=1,INDEX('calcA'!$D$130:$EQ$169,$B17,20)+IF(AND($E17=1,JJ17=0),25,0),INDEX('calcA'!W$110:W$114,$F17+1)+IF(AND($E17=1,JJ17=0),1000,0)+IF($H17=1,INDEX('calcA'!$D$180:$EQ$219,$B17,20)*500,0)-IF(AND('calcA'!V$117=1,UT17&gt;0),300,0)-IF(AND($U17=1,'calcA'!W$117=1,DV17=0),300,0))),1000000000))</f>
        <v/>
      </c>
      <c r="OZ17">
        <f>IF($B17=0,1000000000,IF(INDEX('calcA'!$D$60:$EQ$99,$B17,21)*IF($W17=1,DV17+AAK17,DV17)=1,IF(AND($E17=2,IF($W17=1,AFZ17,JK17)=0),1000000000,IF($V17=1,INDEX('calcA'!$D$130:$EQ$169,$B17,21)+IF(AND($E17=1,JK17=0),25,0),INDEX('calcA'!X$110:X$114,$F17+1)+IF(AND($E17=1,JK17=0),1000,0)+IF($H17=1,INDEX('calcA'!$D$180:$EQ$219,$B17,21)*500,0)-IF(AND('calcA'!W$117=1,UU17&gt;0),300,0)-IF(AND($U17=1,'calcA'!X$117=1,DW17=0),300,0))),1000000000))</f>
        <v/>
      </c>
      <c r="PA17">
        <f>IF($B17=0,1000000000,IF(INDEX('calcA'!$D$60:$EQ$99,$B17,22)*IF($W17=1,DW17+AAL17,DW17)=1,IF(AND($E17=2,IF($W17=1,AGA17,JL17)=0),1000000000,IF($V17=1,INDEX('calcA'!$D$130:$EQ$169,$B17,22)+IF(AND($E17=1,JL17=0),25,0),INDEX('calcA'!Y$110:Y$114,$F17+1)+IF(AND($E17=1,JL17=0),1000,0)+IF($H17=1,INDEX('calcA'!$D$180:$EQ$219,$B17,22)*500,0)-IF(AND('calcA'!X$117=1,UV17&gt;0),300,0)-IF(AND($U17=1,'calcA'!Y$117=1,DX17=0),300,0))),1000000000))</f>
        <v/>
      </c>
      <c r="PB17">
        <f>IF($B17=0,1000000000,IF(INDEX('calcA'!$D$60:$EQ$99,$B17,23)*IF($W17=1,DX17+AAM17,DX17)=1,IF(AND($E17=2,IF($W17=1,AGB17,JM17)=0),1000000000,IF($V17=1,INDEX('calcA'!$D$130:$EQ$169,$B17,23)+IF(AND($E17=1,JM17=0),25,0),INDEX('calcA'!Z$110:Z$114,$F17+1)+IF(AND($E17=1,JM17=0),1000,0)+IF($H17=1,INDEX('calcA'!$D$180:$EQ$219,$B17,23)*500,0)-IF(AND('calcA'!Y$117=1,UW17&gt;0),300,0)-IF(AND($U17=1,'calcA'!Z$117=1,DY17=0),300,0))),1000000000))</f>
        <v/>
      </c>
      <c r="PC17">
        <f>IF($B17=0,1000000000,IF(INDEX('calcA'!$D$60:$EQ$99,$B17,24)*IF($W17=1,DY17+AAN17,DY17)=1,IF(AND($E17=2,IF($W17=1,AGC17,JN17)=0),1000000000,IF($V17=1,INDEX('calcA'!$D$130:$EQ$169,$B17,24)+IF(AND($E17=1,JN17=0),25,0),INDEX('calcA'!AA$110:AA$114,$F17+1)+IF(AND($E17=1,JN17=0),1000,0)+IF($H17=1,INDEX('calcA'!$D$180:$EQ$219,$B17,24)*500,0)-IF(AND('calcA'!Z$117=1,UX17&gt;0),300,0))),1000000000))</f>
        <v/>
      </c>
      <c r="PD17">
        <f>IF($B17=0,1000000000,IF(INDEX('calcA'!$D$60:$EQ$99,$B17,25)*IF($W17=1,DZ17+AAO17,DZ17)=1,IF(AND($E17=2,IF($W17=1,AGD17,JO17)=0),1000000000,IF($V17=1,INDEX('calcA'!$D$130:$EQ$169,$B17,25)+IF(AND($E17=1,JO17=0),25,0),INDEX('calcA'!AB$110:AB$114,$F17+1)+IF(AND($E17=1,JO17=0),1000,0)+IF($H17=1,INDEX('calcA'!$D$180:$EQ$219,$B17,25)*500,0)-IF(AND($U17=1,'calcA'!AB$117=1,EA17=0),300,0))),1000000000))</f>
        <v/>
      </c>
      <c r="PE17">
        <f>IF($B17=0,1000000000,IF(INDEX('calcA'!$D$60:$EQ$99,$B17,26)*IF($W17=1,EA17+AAP17,EA17)=1,IF(AND($E17=2,IF($W17=1,AGE17,JP17)=0),1000000000,IF($V17=1,INDEX('calcA'!$D$130:$EQ$169,$B17,26)+IF(AND($E17=1,JP17=0),25,0),INDEX('calcA'!AC$110:AC$114,$F17+1)+IF(AND($E17=1,JP17=0),1000,0)+IF($H17=1,INDEX('calcA'!$D$180:$EQ$219,$B17,26)*500,0)-IF(AND('calcA'!AB$117=1,UZ17&gt;0),300,0)-IF(AND($U17=1,'calcA'!AC$117=1,EB17=0),300,0))),1000000000))</f>
        <v/>
      </c>
      <c r="PF17">
        <f>IF($B17=0,1000000000,IF(INDEX('calcA'!$D$60:$EQ$99,$B17,27)*IF($W17=1,EB17+AAQ17,EB17)=1,IF(AND($E17=2,IF($W17=1,AGF17,JQ17)=0),1000000000,IF($V17=1,INDEX('calcA'!$D$130:$EQ$169,$B17,27)+IF(AND($E17=1,JQ17=0),25,0),INDEX('calcA'!AD$110:AD$114,$F17+1)+IF(AND($E17=1,JQ17=0),1000,0)+IF($H17=1,INDEX('calcA'!$D$180:$EQ$219,$B17,27)*500,0)-IF(AND('calcA'!AC$117=1,VA17&gt;0),300,0)-IF(AND($U17=1,'calcA'!AD$117=1,EC17=0),300,0))),1000000000))</f>
        <v/>
      </c>
      <c r="PG17">
        <f>IF($B17=0,1000000000,IF(INDEX('calcA'!$D$60:$EQ$99,$B17,28)*IF($W17=1,EC17+AAR17,EC17)=1,IF(AND($E17=2,IF($W17=1,AGG17,JR17)=0),1000000000,IF($V17=1,INDEX('calcA'!$D$130:$EQ$169,$B17,28)+IF(AND($E17=1,JR17=0),25,0),INDEX('calcA'!AE$110:AE$114,$F17+1)+IF(AND($E17=1,JR17=0),1000,0)+IF($H17=1,INDEX('calcA'!$D$180:$EQ$219,$B17,28)*500,0)-IF(AND('calcA'!AD$117=1,VB17&gt;0),300,0)-IF(AND($U17=1,'calcA'!AE$117=1,ED17=0),300,0))),1000000000))</f>
        <v/>
      </c>
      <c r="PH17">
        <f>IF($B17=0,1000000000,IF(INDEX('calcA'!$D$60:$EQ$99,$B17,29)*IF($W17=1,ED17+AAS17,ED17)=1,IF(AND($E17=2,IF($W17=1,AGH17,JS17)=0),1000000000,IF($V17=1,INDEX('calcA'!$D$130:$EQ$169,$B17,29)+IF(AND($E17=1,JS17=0),25,0),INDEX('calcA'!AF$110:AF$114,$F17+1)+IF(AND($E17=1,JS17=0),1000,0)+IF($H17=1,INDEX('calcA'!$D$180:$EQ$219,$B17,29)*500,0)-IF(AND('calcA'!AE$117=1,VC17&gt;0),300,0)-IF(AND($U17=1,'calcA'!AF$117=1,EE17=0),300,0))),1000000000))</f>
        <v/>
      </c>
      <c r="PI17">
        <f>IF($B17=0,1000000000,IF(INDEX('calcA'!$D$60:$EQ$99,$B17,30)*IF($W17=1,EE17+AAT17,EE17)=1,IF(AND($E17=2,IF($W17=1,AGI17,JT17)=0),1000000000,IF($V17=1,INDEX('calcA'!$D$130:$EQ$169,$B17,30)+IF(AND($E17=1,JT17=0),25,0),INDEX('calcA'!AG$110:AG$114,$F17+1)+IF(AND($E17=1,JT17=0),1000,0)+IF($H17=1,INDEX('calcA'!$D$180:$EQ$219,$B17,30)*500,0)-IF(AND('calcA'!AF$117=1,VD17&gt;0),300,0)-IF(AND($U17=1,'calcA'!AG$117=1,EF17=0),300,0))),1000000000))</f>
        <v/>
      </c>
      <c r="PJ17">
        <f>IF($B17=0,1000000000,IF(INDEX('calcA'!$D$60:$EQ$99,$B17,31)*IF($W17=1,EF17+AAU17,EF17)=1,IF(AND($E17=2,IF($W17=1,AGJ17,JU17)=0),1000000000,IF($V17=1,INDEX('calcA'!$D$130:$EQ$169,$B17,31)+IF(AND($E17=1,JU17=0),25,0),INDEX('calcA'!AH$110:AH$114,$F17+1)+IF(AND($E17=1,JU17=0),1000,0)+IF($H17=1,INDEX('calcA'!$D$180:$EQ$219,$B17,31)*500,0)-IF(AND('calcA'!AG$117=1,VE17&gt;0),300,0)-IF(AND($U17=1,'calcA'!AH$117=1,EG17=0),300,0))),1000000000))</f>
        <v/>
      </c>
      <c r="PK17">
        <f>IF($B17=0,1000000000,IF(INDEX('calcA'!$D$60:$EQ$99,$B17,32)*IF($W17=1,EG17+AAV17,EG17)=1,IF(AND($E17=2,IF($W17=1,AGK17,JV17)=0),1000000000,IF($V17=1,INDEX('calcA'!$D$130:$EQ$169,$B17,32)+IF(AND($E17=1,JV17=0),25,0),INDEX('calcA'!AI$110:AI$114,$F17+1)+IF(AND($E17=1,JV17=0),1000,0)+IF($H17=1,INDEX('calcA'!$D$180:$EQ$219,$B17,32)*500,0)-IF(AND('calcA'!AH$117=1,VF17&gt;0),300,0)-IF(AND($U17=1,'calcA'!AI$117=1,EH17=0),300,0))),1000000000))</f>
        <v/>
      </c>
      <c r="PL17">
        <f>IF($B17=0,1000000000,IF(INDEX('calcA'!$D$60:$EQ$99,$B17,33)*IF($W17=1,EH17+AAW17,EH17)=1,IF(AND($E17=2,IF($W17=1,AGL17,JW17)=0),1000000000,IF($V17=1,INDEX('calcA'!$D$130:$EQ$169,$B17,33)+IF(AND($E17=1,JW17=0),25,0),INDEX('calcA'!AJ$110:AJ$114,$F17+1)+IF(AND($E17=1,JW17=0),1000,0)+IF($H17=1,INDEX('calcA'!$D$180:$EQ$219,$B17,33)*500,0)-IF(AND('calcA'!AI$117=1,VG17&gt;0),300,0)-IF(AND($U17=1,'calcA'!AJ$117=1,EI17=0),300,0))),1000000000))</f>
        <v/>
      </c>
      <c r="PM17">
        <f>IF($B17=0,1000000000,IF(INDEX('calcA'!$D$60:$EQ$99,$B17,34)*IF($W17=1,EI17+AAX17,EI17)=1,IF(AND($E17=2,IF($W17=1,AGM17,JX17)=0),1000000000,IF($V17=1,INDEX('calcA'!$D$130:$EQ$169,$B17,34)+IF(AND($E17=1,JX17=0),25,0),INDEX('calcA'!AK$110:AK$114,$F17+1)+IF(AND($E17=1,JX17=0),1000,0)+IF($H17=1,INDEX('calcA'!$D$180:$EQ$219,$B17,34)*500,0)-IF(AND('calcA'!AJ$117=1,VH17&gt;0),300,0)-IF(AND($U17=1,'calcA'!AK$117=1,EJ17=0),300,0))),1000000000))</f>
        <v/>
      </c>
      <c r="PN17">
        <f>IF($B17=0,1000000000,IF(INDEX('calcA'!$D$60:$EQ$99,$B17,35)*IF($W17=1,EJ17+AAY17,EJ17)=1,IF(AND($E17=2,IF($W17=1,AGN17,JY17)=0),1000000000,IF($V17=1,INDEX('calcA'!$D$130:$EQ$169,$B17,35)+IF(AND($E17=1,JY17=0),25,0),INDEX('calcA'!AL$110:AL$114,$F17+1)+IF(AND($E17=1,JY17=0),1000,0)+IF($H17=1,INDEX('calcA'!$D$180:$EQ$219,$B17,35)*500,0)-IF(AND('calcA'!AK$117=1,VI17&gt;0),300,0)-IF(AND($U17=1,'calcA'!AL$117=1,EK17=0),300,0))),1000000000))</f>
        <v/>
      </c>
      <c r="PO17">
        <f>IF($B17=0,1000000000,IF(INDEX('calcA'!$D$60:$EQ$99,$B17,36)*IF($W17=1,EK17+AAZ17,EK17)=1,IF(AND($E17=2,IF($W17=1,AGO17,JZ17)=0),1000000000,IF($V17=1,INDEX('calcA'!$D$130:$EQ$169,$B17,36)+IF(AND($E17=1,JZ17=0),25,0),INDEX('calcA'!AM$110:AM$114,$F17+1)+IF(AND($E17=1,JZ17=0),1000,0)+IF($H17=1,INDEX('calcA'!$D$180:$EQ$219,$B17,36)*500,0)-IF(AND('calcA'!AL$117=1,VJ17&gt;0),300,0)-IF(AND($U17=1,'calcA'!AM$117=1,EL17=0),300,0))),1000000000))</f>
        <v/>
      </c>
      <c r="PP17">
        <f>IF($B17=0,1000000000,IF(INDEX('calcA'!$D$60:$EQ$99,$B17,37)*IF($W17=1,EL17+ABA17,EL17)=1,IF(AND($E17=2,IF($W17=1,AGP17,KA17)=0),1000000000,IF($V17=1,INDEX('calcA'!$D$130:$EQ$169,$B17,37)+IF(AND($E17=1,KA17=0),25,0),INDEX('calcA'!AN$110:AN$114,$F17+1)+IF(AND($E17=1,KA17=0),1000,0)+IF($H17=1,INDEX('calcA'!$D$180:$EQ$219,$B17,37)*500,0)-IF(AND('calcA'!AM$117=1,VK17&gt;0),300,0)-IF(AND($U17=1,'calcA'!AN$117=1,EM17=0),300,0))),1000000000))</f>
        <v/>
      </c>
      <c r="PQ17">
        <f>IF($B17=0,1000000000,IF(INDEX('calcA'!$D$60:$EQ$99,$B17,38)*IF($W17=1,EM17+ABB17,EM17)=1,IF(AND($E17=2,IF($W17=1,AGQ17,KB17)=0),1000000000,IF($V17=1,INDEX('calcA'!$D$130:$EQ$169,$B17,38)+IF(AND($E17=1,KB17=0),25,0),INDEX('calcA'!AO$110:AO$114,$F17+1)+IF(AND($E17=1,KB17=0),1000,0)+IF($H17=1,INDEX('calcA'!$D$180:$EQ$219,$B17,38)*500,0)-IF(AND('calcA'!AN$117=1,VL17&gt;0),300,0)-IF(AND($U17=1,'calcA'!AO$117=1,EN17=0),300,0))),1000000000))</f>
        <v/>
      </c>
      <c r="PR17">
        <f>IF($B17=0,1000000000,IF(INDEX('calcA'!$D$60:$EQ$99,$B17,39)*IF($W17=1,EN17+ABC17,EN17)=1,IF(AND($E17=2,IF($W17=1,AGR17,KC17)=0),1000000000,IF($V17=1,INDEX('calcA'!$D$130:$EQ$169,$B17,39)+IF(AND($E17=1,KC17=0),25,0),INDEX('calcA'!AP$110:AP$114,$F17+1)+IF(AND($E17=1,KC17=0),1000,0)+IF($H17=1,INDEX('calcA'!$D$180:$EQ$219,$B17,39)*500,0)-IF(AND('calcA'!AO$117=1,VM17&gt;0),300,0)-IF(AND($U17=1,'calcA'!AP$117=1,EO17=0),300,0))),1000000000))</f>
        <v/>
      </c>
      <c r="PS17">
        <f>IF($B17=0,1000000000,IF(INDEX('calcA'!$D$60:$EQ$99,$B17,40)*IF($W17=1,EO17+ABD17,EO17)=1,IF(AND($E17=2,IF($W17=1,AGS17,KD17)=0),1000000000,IF($V17=1,INDEX('calcA'!$D$130:$EQ$169,$B17,40)+IF(AND($E17=1,KD17=0),25,0),INDEX('calcA'!AQ$110:AQ$114,$F17+1)+IF(AND($E17=1,KD17=0),1000,0)+IF($H17=1,INDEX('calcA'!$D$180:$EQ$219,$B17,40)*500,0)-IF(AND('calcA'!AP$117=1,VN17&gt;0),300,0)-IF(AND($U17=1,'calcA'!AQ$117=1,EP17=0),300,0))),1000000000))</f>
        <v/>
      </c>
      <c r="PT17">
        <f>IF($B17=0,1000000000,IF(INDEX('calcA'!$D$60:$EQ$99,$B17,41)*IF($W17=1,EP17+ABE17,EP17)=1,IF(AND($E17=2,IF($W17=1,AGT17,KE17)=0),1000000000,IF($V17=1,INDEX('calcA'!$D$130:$EQ$169,$B17,41)+IF(AND($E17=1,KE17=0),25,0),INDEX('calcA'!AR$110:AR$114,$F17+1)+IF(AND($E17=1,KE17=0),1000,0)+IF($H17=1,INDEX('calcA'!$D$180:$EQ$219,$B17,41)*500,0)-IF(AND('calcA'!AQ$117=1,VO17&gt;0),300,0)-IF(AND($U17=1,'calcA'!AR$117=1,EQ17=0),300,0))),1000000000))</f>
        <v/>
      </c>
      <c r="PU17">
        <f>IF($B17=0,1000000000,IF(INDEX('calcA'!$D$60:$EQ$99,$B17,42)*IF($W17=1,EQ17+ABF17,EQ17)=1,IF(AND($E17=2,IF($W17=1,AGU17,KF17)=0),1000000000,IF($V17=1,INDEX('calcA'!$D$130:$EQ$169,$B17,42)+IF(AND($E17=1,KF17=0),25,0),INDEX('calcA'!AS$110:AS$114,$F17+1)+IF(AND($E17=1,KF17=0),1000,0)+IF($H17=1,INDEX('calcA'!$D$180:$EQ$219,$B17,42)*500,0)-IF(AND('calcA'!AR$117=1,VP17&gt;0),300,0)-IF(AND($U17=1,'calcA'!AS$117=1,ER17=0),300,0))),1000000000))</f>
        <v/>
      </c>
      <c r="PV17">
        <f>IF($B17=0,1000000000,IF(INDEX('calcA'!$D$60:$EQ$99,$B17,43)*IF($W17=1,ER17+ABG17,ER17)=1,IF(AND($E17=2,IF($W17=1,AGV17,KG17)=0),1000000000,IF($V17=1,INDEX('calcA'!$D$130:$EQ$169,$B17,43)+IF(AND($E17=1,KG17=0),25,0),INDEX('calcA'!AT$110:AT$114,$F17+1)+IF(AND($E17=1,KG17=0),1000,0)+IF($H17=1,INDEX('calcA'!$D$180:$EQ$219,$B17,43)*500,0)-IF(AND('calcA'!AS$117=1,VQ17&gt;0),300,0)-IF(AND($U17=1,'calcA'!AT$117=1,ES17=0),300,0))),1000000000))</f>
        <v/>
      </c>
      <c r="PW17">
        <f>IF($B17=0,1000000000,IF(INDEX('calcA'!$D$60:$EQ$99,$B17,44)*IF($W17=1,ES17+ABH17,ES17)=1,IF(AND($E17=2,IF($W17=1,AGW17,KH17)=0),1000000000,IF($V17=1,INDEX('calcA'!$D$130:$EQ$169,$B17,44)+IF(AND($E17=1,KH17=0),25,0),INDEX('calcA'!AU$110:AU$114,$F17+1)+IF(AND($E17=1,KH17=0),1000,0)+IF($H17=1,INDEX('calcA'!$D$180:$EQ$219,$B17,44)*500,0)-IF(AND('calcA'!AT$117=1,VR17&gt;0),300,0)-IF(AND($U17=1,'calcA'!AU$117=1,ET17=0),300,0))),1000000000))</f>
        <v/>
      </c>
      <c r="PX17">
        <f>IF($B17=0,1000000000,IF(INDEX('calcA'!$D$60:$EQ$99,$B17,45)*IF($W17=1,ET17+ABI17,ET17)=1,IF(AND($E17=2,IF($W17=1,AGX17,KI17)=0),1000000000,IF($V17=1,INDEX('calcA'!$D$130:$EQ$169,$B17,45)+IF(AND($E17=1,KI17=0),25,0),INDEX('calcA'!AV$110:AV$114,$F17+1)+IF(AND($E17=1,KI17=0),1000,0)+IF($H17=1,INDEX('calcA'!$D$180:$EQ$219,$B17,45)*500,0)-IF(AND('calcA'!AU$117=1,VS17&gt;0),300,0)-IF(AND($U17=1,'calcA'!AV$117=1,EU17=0),300,0))),1000000000))</f>
        <v/>
      </c>
      <c r="PY17">
        <f>IF($B17=0,1000000000,IF(INDEX('calcA'!$D$60:$EQ$99,$B17,46)*IF($W17=1,EU17+ABJ17,EU17)=1,IF(AND($E17=2,IF($W17=1,AGY17,KJ17)=0),1000000000,IF($V17=1,INDEX('calcA'!$D$130:$EQ$169,$B17,46)+IF(AND($E17=1,KJ17=0),25,0),INDEX('calcA'!AW$110:AW$114,$F17+1)+IF(AND($E17=1,KJ17=0),1000,0)+IF($H17=1,INDEX('calcA'!$D$180:$EQ$219,$B17,46)*500,0)-IF(AND('calcA'!AV$117=1,VT17&gt;0),300,0)-IF(AND($U17=1,'calcA'!AW$117=1,EV17=0),300,0))),1000000000))</f>
        <v/>
      </c>
      <c r="PZ17">
        <f>IF($B17=0,1000000000,IF(INDEX('calcA'!$D$60:$EQ$99,$B17,47)*IF($W17=1,EV17+ABK17,EV17)=1,IF(AND($E17=2,IF($W17=1,AGZ17,KK17)=0),1000000000,IF($V17=1,INDEX('calcA'!$D$130:$EQ$169,$B17,47)+IF(AND($E17=1,KK17=0),25,0),INDEX('calcA'!AX$110:AX$114,$F17+1)+IF(AND($E17=1,KK17=0),1000,0)+IF($H17=1,INDEX('calcA'!$D$180:$EQ$219,$B17,47)*500,0)-IF(AND('calcA'!AW$117=1,VU17&gt;0),300,0)-IF(AND($U17=1,'calcA'!AX$117=1,EW17=0),300,0))),1000000000))</f>
        <v/>
      </c>
      <c r="QA17">
        <f>IF($B17=0,1000000000,IF(INDEX('calcA'!$D$60:$EQ$99,$B17,48)*IF($W17=1,EW17+ABL17,EW17)=1,IF(AND($E17=2,IF($W17=1,AHA17,KL17)=0),1000000000,IF($V17=1,INDEX('calcA'!$D$130:$EQ$169,$B17,48)+IF(AND($E17=1,KL17=0),25,0),INDEX('calcA'!AY$110:AY$114,$F17+1)+IF(AND($E17=1,KL17=0),1000,0)+IF($H17=1,INDEX('calcA'!$D$180:$EQ$219,$B17,48)*500,0)-IF(AND('calcA'!AX$117=1,VV17&gt;0),300,0))),1000000000))</f>
        <v/>
      </c>
      <c r="QB17">
        <f>IF($B17=0,1000000000,IF(INDEX('calcA'!$D$60:$EQ$99,$B17,49)*IF($W17=1,EX17+ABM17,EX17)=1,IF(AND($E17=2,IF($W17=1,AHB17,KM17)=0),1000000000,IF($V17=1,INDEX('calcA'!$D$130:$EQ$169,$B17,49)+IF(AND($E17=1,KM17=0),25,0),INDEX('calcA'!AZ$110:AZ$114,$F17+1)+IF(AND($E17=1,KM17=0),1000,0)+IF($H17=1,INDEX('calcA'!$D$180:$EQ$219,$B17,49)*500,0)-IF(AND($U17=1,'calcA'!AZ$117=1,EY17=0),300,0))),1000000000))</f>
        <v/>
      </c>
      <c r="QC17">
        <f>IF($B17=0,1000000000,IF(INDEX('calcA'!$D$60:$EQ$99,$B17,50)*IF($W17=1,EY17+ABN17,EY17)=1,IF(AND($E17=2,IF($W17=1,AHC17,KN17)=0),1000000000,IF($V17=1,INDEX('calcA'!$D$130:$EQ$169,$B17,50)+IF(AND($E17=1,KN17=0),25,0),INDEX('calcA'!BA$110:BA$114,$F17+1)+IF(AND($E17=1,KN17=0),1000,0)+IF($H17=1,INDEX('calcA'!$D$180:$EQ$219,$B17,50)*500,0)-IF(AND('calcA'!AZ$117=1,VX17&gt;0),300,0)-IF(AND($U17=1,'calcA'!BA$117=1,EZ17=0),300,0))),1000000000))</f>
        <v/>
      </c>
      <c r="QD17">
        <f>IF($B17=0,1000000000,IF(INDEX('calcA'!$D$60:$EQ$99,$B17,51)*IF($W17=1,EZ17+ABO17,EZ17)=1,IF(AND($E17=2,IF($W17=1,AHD17,KO17)=0),1000000000,IF($V17=1,INDEX('calcA'!$D$130:$EQ$169,$B17,51)+IF(AND($E17=1,KO17=0),25,0),INDEX('calcA'!BB$110:BB$114,$F17+1)+IF(AND($E17=1,KO17=0),1000,0)+IF($H17=1,INDEX('calcA'!$D$180:$EQ$219,$B17,51)*500,0)-IF(AND('calcA'!BA$117=1,VY17&gt;0),300,0)-IF(AND($U17=1,'calcA'!BB$117=1,FA17=0),300,0))),1000000000))</f>
        <v/>
      </c>
      <c r="QE17">
        <f>IF($B17=0,1000000000,IF(INDEX('calcA'!$D$60:$EQ$99,$B17,52)*IF($W17=1,FA17+ABP17,FA17)=1,IF(AND($E17=2,IF($W17=1,AHE17,KP17)=0),1000000000,IF($V17=1,INDEX('calcA'!$D$130:$EQ$169,$B17,52)+IF(AND($E17=1,KP17=0),25,0),INDEX('calcA'!BC$110:BC$114,$F17+1)+IF(AND($E17=1,KP17=0),1000,0)+IF($H17=1,INDEX('calcA'!$D$180:$EQ$219,$B17,52)*500,0)-IF(AND('calcA'!BB$117=1,VZ17&gt;0),300,0)-IF(AND($U17=1,'calcA'!BC$117=1,FB17=0),300,0))),1000000000))</f>
        <v/>
      </c>
      <c r="QF17">
        <f>IF($B17=0,1000000000,IF(INDEX('calcA'!$D$60:$EQ$99,$B17,53)*IF($W17=1,FB17+ABQ17,FB17)=1,IF(AND($E17=2,IF($W17=1,AHF17,KQ17)=0),1000000000,IF($V17=1,INDEX('calcA'!$D$130:$EQ$169,$B17,53)+IF(AND($E17=1,KQ17=0),25,0),INDEX('calcA'!BD$110:BD$114,$F17+1)+IF(AND($E17=1,KQ17=0),1000,0)+IF($H17=1,INDEX('calcA'!$D$180:$EQ$219,$B17,53)*500,0)-IF(AND('calcA'!BC$117=1,WA17&gt;0),300,0)-IF(AND($U17=1,'calcA'!BD$117=1,FC17=0),300,0))),1000000000))</f>
        <v/>
      </c>
      <c r="QG17">
        <f>IF($B17=0,1000000000,IF(INDEX('calcA'!$D$60:$EQ$99,$B17,54)*IF($W17=1,FC17+ABR17,FC17)=1,IF(AND($E17=2,IF($W17=1,AHG17,KR17)=0),1000000000,IF($V17=1,INDEX('calcA'!$D$130:$EQ$169,$B17,54)+IF(AND($E17=1,KR17=0),25,0),INDEX('calcA'!BE$110:BE$114,$F17+1)+IF(AND($E17=1,KR17=0),1000,0)+IF($H17=1,INDEX('calcA'!$D$180:$EQ$219,$B17,54)*500,0)-IF(AND('calcA'!BD$117=1,WB17&gt;0),300,0)-IF(AND($U17=1,'calcA'!BE$117=1,FD17=0),300,0))),1000000000))</f>
        <v/>
      </c>
      <c r="QH17">
        <f>IF($B17=0,1000000000,IF(INDEX('calcA'!$D$60:$EQ$99,$B17,55)*IF($W17=1,FD17+ABS17,FD17)=1,IF(AND($E17=2,IF($W17=1,AHH17,KS17)=0),1000000000,IF($V17=1,INDEX('calcA'!$D$130:$EQ$169,$B17,55)+IF(AND($E17=1,KS17=0),25,0),INDEX('calcA'!BF$110:BF$114,$F17+1)+IF(AND($E17=1,KS17=0),1000,0)+IF($H17=1,INDEX('calcA'!$D$180:$EQ$219,$B17,55)*500,0)-IF(AND('calcA'!BE$117=1,WC17&gt;0),300,0)-IF(AND($U17=1,'calcA'!BF$117=1,FE17=0),300,0))),1000000000))</f>
        <v/>
      </c>
      <c r="QI17">
        <f>IF($B17=0,1000000000,IF(INDEX('calcA'!$D$60:$EQ$99,$B17,56)*IF($W17=1,FE17+ABT17,FE17)=1,IF(AND($E17=2,IF($W17=1,AHI17,KT17)=0),1000000000,IF($V17=1,INDEX('calcA'!$D$130:$EQ$169,$B17,56)+IF(AND($E17=1,KT17=0),25,0),INDEX('calcA'!BG$110:BG$114,$F17+1)+IF(AND($E17=1,KT17=0),1000,0)+IF($H17=1,INDEX('calcA'!$D$180:$EQ$219,$B17,56)*500,0)-IF(AND('calcA'!BF$117=1,WD17&gt;0),300,0)-IF(AND($U17=1,'calcA'!BG$117=1,FF17=0),300,0))),1000000000))</f>
        <v/>
      </c>
      <c r="QJ17">
        <f>IF($B17=0,1000000000,IF(INDEX('calcA'!$D$60:$EQ$99,$B17,57)*IF($W17=1,FF17+ABU17,FF17)=1,IF(AND($E17=2,IF($W17=1,AHJ17,KU17)=0),1000000000,IF($V17=1,INDEX('calcA'!$D$130:$EQ$169,$B17,57)+IF(AND($E17=1,KU17=0),25,0),INDEX('calcA'!BH$110:BH$114,$F17+1)+IF(AND($E17=1,KU17=0),1000,0)+IF($H17=1,INDEX('calcA'!$D$180:$EQ$219,$B17,57)*500,0)-IF(AND('calcA'!BG$117=1,WE17&gt;0),300,0)-IF(AND($U17=1,'calcA'!BH$117=1,FG17=0),300,0))),1000000000))</f>
        <v/>
      </c>
      <c r="QK17">
        <f>IF($B17=0,1000000000,IF(INDEX('calcA'!$D$60:$EQ$99,$B17,58)*IF($W17=1,FG17+ABV17,FG17)=1,IF(AND($E17=2,IF($W17=1,AHK17,KV17)=0),1000000000,IF($V17=1,INDEX('calcA'!$D$130:$EQ$169,$B17,58)+IF(AND($E17=1,KV17=0),25,0),INDEX('calcA'!BI$110:BI$114,$F17+1)+IF(AND($E17=1,KV17=0),1000,0)+IF($H17=1,INDEX('calcA'!$D$180:$EQ$219,$B17,58)*500,0)-IF(AND('calcA'!BH$117=1,WF17&gt;0),300,0)-IF(AND($U17=1,'calcA'!BI$117=1,FH17=0),300,0))),1000000000))</f>
        <v/>
      </c>
      <c r="QL17">
        <f>IF($B17=0,1000000000,IF(INDEX('calcA'!$D$60:$EQ$99,$B17,59)*IF($W17=1,FH17+ABW17,FH17)=1,IF(AND($E17=2,IF($W17=1,AHL17,KW17)=0),1000000000,IF($V17=1,INDEX('calcA'!$D$130:$EQ$169,$B17,59)+IF(AND($E17=1,KW17=0),25,0),INDEX('calcA'!BJ$110:BJ$114,$F17+1)+IF(AND($E17=1,KW17=0),1000,0)+IF($H17=1,INDEX('calcA'!$D$180:$EQ$219,$B17,59)*500,0)-IF(AND('calcA'!BI$117=1,WG17&gt;0),300,0)-IF(AND($U17=1,'calcA'!BJ$117=1,FI17=0),300,0))),1000000000))</f>
        <v/>
      </c>
      <c r="QM17">
        <f>IF($B17=0,1000000000,IF(INDEX('calcA'!$D$60:$EQ$99,$B17,60)*IF($W17=1,FI17+ABX17,FI17)=1,IF(AND($E17=2,IF($W17=1,AHM17,KX17)=0),1000000000,IF($V17=1,INDEX('calcA'!$D$130:$EQ$169,$B17,60)+IF(AND($E17=1,KX17=0),25,0),INDEX('calcA'!BK$110:BK$114,$F17+1)+IF(AND($E17=1,KX17=0),1000,0)+IF($H17=1,INDEX('calcA'!$D$180:$EQ$219,$B17,60)*500,0)-IF(AND('calcA'!BJ$117=1,WH17&gt;0),300,0)-IF(AND($U17=1,'calcA'!BK$117=1,FJ17=0),300,0))),1000000000))</f>
        <v/>
      </c>
      <c r="QN17">
        <f>IF($B17=0,1000000000,IF(INDEX('calcA'!$D$60:$EQ$99,$B17,61)*IF($W17=1,FJ17+ABY17,FJ17)=1,IF(AND($E17=2,IF($W17=1,AHN17,KY17)=0),1000000000,IF($V17=1,INDEX('calcA'!$D$130:$EQ$169,$B17,61)+IF(AND($E17=1,KY17=0),25,0),INDEX('calcA'!BL$110:BL$114,$F17+1)+IF(AND($E17=1,KY17=0),1000,0)+IF($H17=1,INDEX('calcA'!$D$180:$EQ$219,$B17,61)*500,0)-IF(AND('calcA'!BK$117=1,WI17&gt;0),300,0)-IF(AND($U17=1,'calcA'!BL$117=1,FK17=0),300,0))),1000000000))</f>
        <v/>
      </c>
      <c r="QO17">
        <f>IF($B17=0,1000000000,IF(INDEX('calcA'!$D$60:$EQ$99,$B17,62)*IF($W17=1,FK17+ABZ17,FK17)=1,IF(AND($E17=2,IF($W17=1,AHO17,KZ17)=0),1000000000,IF($V17=1,INDEX('calcA'!$D$130:$EQ$169,$B17,62)+IF(AND($E17=1,KZ17=0),25,0),INDEX('calcA'!BM$110:BM$114,$F17+1)+IF(AND($E17=1,KZ17=0),1000,0)+IF($H17=1,INDEX('calcA'!$D$180:$EQ$219,$B17,62)*500,0)-IF(AND('calcA'!BL$117=1,WJ17&gt;0),300,0)-IF(AND($U17=1,'calcA'!BM$117=1,FL17=0),300,0))),1000000000))</f>
        <v/>
      </c>
      <c r="QP17">
        <f>IF($B17=0,1000000000,IF(INDEX('calcA'!$D$60:$EQ$99,$B17,63)*IF($W17=1,FL17+ACA17,FL17)=1,IF(AND($E17=2,IF($W17=1,AHP17,LA17)=0),1000000000,IF($V17=1,INDEX('calcA'!$D$130:$EQ$169,$B17,63)+IF(AND($E17=1,LA17=0),25,0),INDEX('calcA'!BN$110:BN$114,$F17+1)+IF(AND($E17=1,LA17=0),1000,0)+IF($H17=1,INDEX('calcA'!$D$180:$EQ$219,$B17,63)*500,0)-IF(AND('calcA'!BM$117=1,WK17&gt;0),300,0)-IF(AND($U17=1,'calcA'!BN$117=1,FM17=0),300,0))),1000000000))</f>
        <v/>
      </c>
      <c r="QQ17">
        <f>IF($B17=0,1000000000,IF(INDEX('calcA'!$D$60:$EQ$99,$B17,64)*IF($W17=1,FM17+ACB17,FM17)=1,IF(AND($E17=2,IF($W17=1,AHQ17,LB17)=0),1000000000,IF($V17=1,INDEX('calcA'!$D$130:$EQ$169,$B17,64)+IF(AND($E17=1,LB17=0),25,0),INDEX('calcA'!BO$110:BO$114,$F17+1)+IF(AND($E17=1,LB17=0),1000,0)+IF($H17=1,INDEX('calcA'!$D$180:$EQ$219,$B17,64)*500,0)-IF(AND('calcA'!BN$117=1,WL17&gt;0),300,0)-IF(AND($U17=1,'calcA'!BO$117=1,FN17=0),300,0))),1000000000))</f>
        <v/>
      </c>
      <c r="QR17">
        <f>IF($B17=0,1000000000,IF(INDEX('calcA'!$D$60:$EQ$99,$B17,65)*IF($W17=1,FN17+ACC17,FN17)=1,IF(AND($E17=2,IF($W17=1,AHR17,LC17)=0),1000000000,IF($V17=1,INDEX('calcA'!$D$130:$EQ$169,$B17,65)+IF(AND($E17=1,LC17=0),25,0),INDEX('calcA'!BP$110:BP$114,$F17+1)+IF(AND($E17=1,LC17=0),1000,0)+IF($H17=1,INDEX('calcA'!$D$180:$EQ$219,$B17,65)*500,0)-IF(AND('calcA'!BO$117=1,WM17&gt;0),300,0)-IF(AND($U17=1,'calcA'!BP$117=1,FO17=0),300,0))),1000000000))</f>
        <v/>
      </c>
      <c r="QS17">
        <f>IF($B17=0,1000000000,IF(INDEX('calcA'!$D$60:$EQ$99,$B17,66)*IF($W17=1,FO17+ACD17,FO17)=1,IF(AND($E17=2,IF($W17=1,AHS17,LD17)=0),1000000000,IF($V17=1,INDEX('calcA'!$D$130:$EQ$169,$B17,66)+IF(AND($E17=1,LD17=0),25,0),INDEX('calcA'!BQ$110:BQ$114,$F17+1)+IF(AND($E17=1,LD17=0),1000,0)+IF($H17=1,INDEX('calcA'!$D$180:$EQ$219,$B17,66)*500,0)-IF(AND('calcA'!BP$117=1,WN17&gt;0),300,0)-IF(AND($U17=1,'calcA'!BQ$117=1,FP17=0),300,0))),1000000000))</f>
        <v/>
      </c>
      <c r="QT17">
        <f>IF($B17=0,1000000000,IF(INDEX('calcA'!$D$60:$EQ$99,$B17,67)*IF($W17=1,FP17+ACE17,FP17)=1,IF(AND($E17=2,IF($W17=1,AHT17,LE17)=0),1000000000,IF($V17=1,INDEX('calcA'!$D$130:$EQ$169,$B17,67)+IF(AND($E17=1,LE17=0),25,0),INDEX('calcA'!BR$110:BR$114,$F17+1)+IF(AND($E17=1,LE17=0),1000,0)+IF($H17=1,INDEX('calcA'!$D$180:$EQ$219,$B17,67)*500,0)-IF(AND('calcA'!BQ$117=1,WO17&gt;0),300,0)-IF(AND($U17=1,'calcA'!BR$117=1,FQ17=0),300,0))),1000000000))</f>
        <v/>
      </c>
      <c r="QU17">
        <f>IF($B17=0,1000000000,IF(INDEX('calcA'!$D$60:$EQ$99,$B17,68)*IF($W17=1,FQ17+ACF17,FQ17)=1,IF(AND($E17=2,IF($W17=1,AHU17,LF17)=0),1000000000,IF($V17=1,INDEX('calcA'!$D$130:$EQ$169,$B17,68)+IF(AND($E17=1,LF17=0),25,0),INDEX('calcA'!BS$110:BS$114,$F17+1)+IF(AND($E17=1,LF17=0),1000,0)+IF($H17=1,INDEX('calcA'!$D$180:$EQ$219,$B17,68)*500,0)-IF(AND('calcA'!BR$117=1,WP17&gt;0),300,0)-IF(AND($U17=1,'calcA'!BS$117=1,FR17=0),300,0))),1000000000))</f>
        <v/>
      </c>
      <c r="QV17">
        <f>IF($B17=0,1000000000,IF(INDEX('calcA'!$D$60:$EQ$99,$B17,69)*IF($W17=1,FR17+ACG17,FR17)=1,IF(AND($E17=2,IF($W17=1,AHV17,LG17)=0),1000000000,IF($V17=1,INDEX('calcA'!$D$130:$EQ$169,$B17,69)+IF(AND($E17=1,LG17=0),25,0),INDEX('calcA'!BT$110:BT$114,$F17+1)+IF(AND($E17=1,LG17=0),1000,0)+IF($H17=1,INDEX('calcA'!$D$180:$EQ$219,$B17,69)*500,0)-IF(AND('calcA'!BS$117=1,WQ17&gt;0),300,0)-IF(AND($U17=1,'calcA'!BT$117=1,FS17=0),300,0))),1000000000))</f>
        <v/>
      </c>
      <c r="QW17">
        <f>IF($B17=0,1000000000,IF(INDEX('calcA'!$D$60:$EQ$99,$B17,70)*IF($W17=1,FS17+ACH17,FS17)=1,IF(AND($E17=2,IF($W17=1,AHW17,LH17)=0),1000000000,IF($V17=1,INDEX('calcA'!$D$130:$EQ$169,$B17,70)+IF(AND($E17=1,LH17=0),25,0),INDEX('calcA'!BU$110:BU$114,$F17+1)+IF(AND($E17=1,LH17=0),1000,0)+IF($H17=1,INDEX('calcA'!$D$180:$EQ$219,$B17,70)*500,0)-IF(AND('calcA'!BT$117=1,WR17&gt;0),300,0)-IF(AND($U17=1,'calcA'!BU$117=1,FT17=0),300,0))),1000000000))</f>
        <v/>
      </c>
      <c r="QX17">
        <f>IF($B17=0,1000000000,IF(INDEX('calcA'!$D$60:$EQ$99,$B17,71)*IF($W17=1,FT17+ACI17,FT17)=1,IF(AND($E17=2,IF($W17=1,AHX17,LI17)=0),1000000000,IF($V17=1,INDEX('calcA'!$D$130:$EQ$169,$B17,71)+IF(AND($E17=1,LI17=0),25,0),INDEX('calcA'!BV$110:BV$114,$F17+1)+IF(AND($E17=1,LI17=0),1000,0)+IF($H17=1,INDEX('calcA'!$D$180:$EQ$219,$B17,71)*500,0)-IF(AND('calcA'!BU$117=1,WS17&gt;0),300,0)-IF(AND($U17=1,'calcA'!BV$117=1,FU17=0),300,0))),1000000000))</f>
        <v/>
      </c>
      <c r="QY17">
        <f>IF($B17=0,1000000000,IF(INDEX('calcA'!$D$60:$EQ$99,$B17,72)*IF($W17=1,FU17+ACJ17,FU17)=1,IF(AND($E17=2,IF($W17=1,AHY17,LJ17)=0),1000000000,IF($V17=1,INDEX('calcA'!$D$130:$EQ$169,$B17,72)+IF(AND($E17=1,LJ17=0),25,0),INDEX('calcA'!BW$110:BW$114,$F17+1)+IF(AND($E17=1,LJ17=0),1000,0)+IF($H17=1,INDEX('calcA'!$D$180:$EQ$219,$B17,72)*500,0)-IF(AND('calcA'!BV$117=1,WT17&gt;0),300,0))),1000000000))</f>
        <v/>
      </c>
      <c r="QZ17">
        <f>IF($B17=0,1000000000,IF(INDEX('calcA'!$D$60:$EQ$99,$B17,73)*IF($W17=1,FV17+ACK17,FV17)=1,IF(AND($E17=2,IF($W17=1,AHZ17,LK17)=0),1000000000,IF($V17=1,INDEX('calcA'!$D$130:$EQ$169,$B17,73)+IF(AND($E17=1,LK17=0),25,0),INDEX('calcA'!BX$110:BX$114,$F17+1)+IF(AND($E17=1,LK17=0),1000,0)+IF($H17=1,INDEX('calcA'!$D$180:$EQ$219,$B17,73)*500,0)-IF(AND($U17=1,'calcA'!BX$117=1,FW17=0),300,0))),1000000000))</f>
        <v/>
      </c>
      <c r="RA17">
        <f>IF($B17=0,1000000000,IF(INDEX('calcA'!$D$60:$EQ$99,$B17,74)*IF($W17=1,FW17+ACL17,FW17)=1,IF(AND($E17=2,IF($W17=1,AIA17,LL17)=0),1000000000,IF($V17=1,INDEX('calcA'!$D$130:$EQ$169,$B17,74)+IF(AND($E17=1,LL17=0),25,0),INDEX('calcA'!BY$110:BY$114,$F17+1)+IF(AND($E17=1,LL17=0),1000,0)+IF($H17=1,INDEX('calcA'!$D$180:$EQ$219,$B17,74)*500,0)-IF(AND('calcA'!BX$117=1,WV17&gt;0),300,0)-IF(AND($U17=1,'calcA'!BY$117=1,FX17=0),300,0))),1000000000))</f>
        <v/>
      </c>
      <c r="RB17">
        <f>IF($B17=0,1000000000,IF(INDEX('calcA'!$D$60:$EQ$99,$B17,75)*IF($W17=1,FX17+ACM17,FX17)=1,IF(AND($E17=2,IF($W17=1,AIB17,LM17)=0),1000000000,IF($V17=1,INDEX('calcA'!$D$130:$EQ$169,$B17,75)+IF(AND($E17=1,LM17=0),25,0),INDEX('calcA'!BZ$110:BZ$114,$F17+1)+IF(AND($E17=1,LM17=0),1000,0)+IF($H17=1,INDEX('calcA'!$D$180:$EQ$219,$B17,75)*500,0)-IF(AND('calcA'!BY$117=1,WW17&gt;0),300,0)-IF(AND($U17=1,'calcA'!BZ$117=1,FY17=0),300,0))),1000000000))</f>
        <v/>
      </c>
      <c r="RC17">
        <f>IF($B17=0,1000000000,IF(INDEX('calcA'!$D$60:$EQ$99,$B17,76)*IF($W17=1,FY17+ACN17,FY17)=1,IF(AND($E17=2,IF($W17=1,AIC17,LN17)=0),1000000000,IF($V17=1,INDEX('calcA'!$D$130:$EQ$169,$B17,76)+IF(AND($E17=1,LN17=0),25,0),INDEX('calcA'!CA$110:CA$114,$F17+1)+IF(AND($E17=1,LN17=0),1000,0)+IF($H17=1,INDEX('calcA'!$D$180:$EQ$219,$B17,76)*500,0)-IF(AND('calcA'!BZ$117=1,WX17&gt;0),300,0)-IF(AND($U17=1,'calcA'!CA$117=1,FZ17=0),300,0))),1000000000))</f>
        <v/>
      </c>
      <c r="RD17">
        <f>IF($B17=0,1000000000,IF(INDEX('calcA'!$D$60:$EQ$99,$B17,77)*IF($W17=1,FZ17+ACO17,FZ17)=1,IF(AND($E17=2,IF($W17=1,AID17,LO17)=0),1000000000,IF($V17=1,INDEX('calcA'!$D$130:$EQ$169,$B17,77)+IF(AND($E17=1,LO17=0),25,0),INDEX('calcA'!CB$110:CB$114,$F17+1)+IF(AND($E17=1,LO17=0),1000,0)+IF($H17=1,INDEX('calcA'!$D$180:$EQ$219,$B17,77)*500,0)-IF(AND('calcA'!CA$117=1,WY17&gt;0),300,0)-IF(AND($U17=1,'calcA'!CB$117=1,GA17=0),300,0))),1000000000))</f>
        <v/>
      </c>
      <c r="RE17">
        <f>IF($B17=0,1000000000,IF(INDEX('calcA'!$D$60:$EQ$99,$B17,78)*IF($W17=1,GA17+ACP17,GA17)=1,IF(AND($E17=2,IF($W17=1,AIE17,LP17)=0),1000000000,IF($V17=1,INDEX('calcA'!$D$130:$EQ$169,$B17,78)+IF(AND($E17=1,LP17=0),25,0),INDEX('calcA'!CC$110:CC$114,$F17+1)+IF(AND($E17=1,LP17=0),1000,0)+IF($H17=1,INDEX('calcA'!$D$180:$EQ$219,$B17,78)*500,0)-IF(AND('calcA'!CB$117=1,WZ17&gt;0),300,0)-IF(AND($U17=1,'calcA'!CC$117=1,GB17=0),300,0))),1000000000))</f>
        <v/>
      </c>
      <c r="RF17">
        <f>IF($B17=0,1000000000,IF(INDEX('calcA'!$D$60:$EQ$99,$B17,79)*IF($W17=1,GB17+ACQ17,GB17)=1,IF(AND($E17=2,IF($W17=1,AIF17,LQ17)=0),1000000000,IF($V17=1,INDEX('calcA'!$D$130:$EQ$169,$B17,79)+IF(AND($E17=1,LQ17=0),25,0),INDEX('calcA'!CD$110:CD$114,$F17+1)+IF(AND($E17=1,LQ17=0),1000,0)+IF($H17=1,INDEX('calcA'!$D$180:$EQ$219,$B17,79)*500,0)-IF(AND('calcA'!CC$117=1,XA17&gt;0),300,0)-IF(AND($U17=1,'calcA'!CD$117=1,GC17=0),300,0))),1000000000))</f>
        <v/>
      </c>
      <c r="RG17">
        <f>IF($B17=0,1000000000,IF(INDEX('calcA'!$D$60:$EQ$99,$B17,80)*IF($W17=1,GC17+ACR17,GC17)=1,IF(AND($E17=2,IF($W17=1,AIG17,LR17)=0),1000000000,IF($V17=1,INDEX('calcA'!$D$130:$EQ$169,$B17,80)+IF(AND($E17=1,LR17=0),25,0),INDEX('calcA'!CE$110:CE$114,$F17+1)+IF(AND($E17=1,LR17=0),1000,0)+IF($H17=1,INDEX('calcA'!$D$180:$EQ$219,$B17,80)*500,0)-IF(AND('calcA'!CD$117=1,XB17&gt;0),300,0)-IF(AND($U17=1,'calcA'!CE$117=1,GD17=0),300,0))),1000000000))</f>
        <v/>
      </c>
      <c r="RH17">
        <f>IF($B17=0,1000000000,IF(INDEX('calcA'!$D$60:$EQ$99,$B17,81)*IF($W17=1,GD17+ACS17,GD17)=1,IF(AND($E17=2,IF($W17=1,AIH17,LS17)=0),1000000000,IF($V17=1,INDEX('calcA'!$D$130:$EQ$169,$B17,81)+IF(AND($E17=1,LS17=0),25,0),INDEX('calcA'!CF$110:CF$114,$F17+1)+IF(AND($E17=1,LS17=0),1000,0)+IF($H17=1,INDEX('calcA'!$D$180:$EQ$219,$B17,81)*500,0)-IF(AND('calcA'!CE$117=1,XC17&gt;0),300,0)-IF(AND($U17=1,'calcA'!CF$117=1,GE17=0),300,0))),1000000000))</f>
        <v/>
      </c>
      <c r="RI17">
        <f>IF($B17=0,1000000000,IF(INDEX('calcA'!$D$60:$EQ$99,$B17,82)*IF($W17=1,GE17+ACT17,GE17)=1,IF(AND($E17=2,IF($W17=1,AII17,LT17)=0),1000000000,IF($V17=1,INDEX('calcA'!$D$130:$EQ$169,$B17,82)+IF(AND($E17=1,LT17=0),25,0),INDEX('calcA'!CG$110:CG$114,$F17+1)+IF(AND($E17=1,LT17=0),1000,0)+IF($H17=1,INDEX('calcA'!$D$180:$EQ$219,$B17,82)*500,0)-IF(AND('calcA'!CF$117=1,XD17&gt;0),300,0)-IF(AND($U17=1,'calcA'!CG$117=1,GF17=0),300,0))),1000000000))</f>
        <v/>
      </c>
      <c r="RJ17">
        <f>IF($B17=0,1000000000,IF(INDEX('calcA'!$D$60:$EQ$99,$B17,83)*IF($W17=1,GF17+ACU17,GF17)=1,IF(AND($E17=2,IF($W17=1,AIJ17,LU17)=0),1000000000,IF($V17=1,INDEX('calcA'!$D$130:$EQ$169,$B17,83)+IF(AND($E17=1,LU17=0),25,0),INDEX('calcA'!CH$110:CH$114,$F17+1)+IF(AND($E17=1,LU17=0),1000,0)+IF($H17=1,INDEX('calcA'!$D$180:$EQ$219,$B17,83)*500,0)-IF(AND('calcA'!CG$117=1,XE17&gt;0),300,0)-IF(AND($U17=1,'calcA'!CH$117=1,GG17=0),300,0))),1000000000))</f>
        <v/>
      </c>
      <c r="RK17">
        <f>IF($B17=0,1000000000,IF(INDEX('calcA'!$D$60:$EQ$99,$B17,84)*IF($W17=1,GG17+ACV17,GG17)=1,IF(AND($E17=2,IF($W17=1,AIK17,LV17)=0),1000000000,IF($V17=1,INDEX('calcA'!$D$130:$EQ$169,$B17,84)+IF(AND($E17=1,LV17=0),25,0),INDEX('calcA'!CI$110:CI$114,$F17+1)+IF(AND($E17=1,LV17=0),1000,0)+IF($H17=1,INDEX('calcA'!$D$180:$EQ$219,$B17,84)*500,0)-IF(AND('calcA'!CH$117=1,XF17&gt;0),300,0)-IF(AND($U17=1,'calcA'!CI$117=1,GH17=0),300,0))),1000000000))</f>
        <v/>
      </c>
      <c r="RL17">
        <f>IF($B17=0,1000000000,IF(INDEX('calcA'!$D$60:$EQ$99,$B17,85)*IF($W17=1,GH17+ACW17,GH17)=1,IF(AND($E17=2,IF($W17=1,AIL17,LW17)=0),1000000000,IF($V17=1,INDEX('calcA'!$D$130:$EQ$169,$B17,85)+IF(AND($E17=1,LW17=0),25,0),INDEX('calcA'!CJ$110:CJ$114,$F17+1)+IF(AND($E17=1,LW17=0),1000,0)+IF($H17=1,INDEX('calcA'!$D$180:$EQ$219,$B17,85)*500,0)-IF(AND('calcA'!CI$117=1,XG17&gt;0),300,0)-IF(AND($U17=1,'calcA'!CJ$117=1,GI17=0),300,0))),1000000000))</f>
        <v/>
      </c>
      <c r="RM17">
        <f>IF($B17=0,1000000000,IF(INDEX('calcA'!$D$60:$EQ$99,$B17,86)*IF($W17=1,GI17+ACX17,GI17)=1,IF(AND($E17=2,IF($W17=1,AIM17,LX17)=0),1000000000,IF($V17=1,INDEX('calcA'!$D$130:$EQ$169,$B17,86)+IF(AND($E17=1,LX17=0),25,0),INDEX('calcA'!CK$110:CK$114,$F17+1)+IF(AND($E17=1,LX17=0),1000,0)+IF($H17=1,INDEX('calcA'!$D$180:$EQ$219,$B17,86)*500,0)-IF(AND('calcA'!CJ$117=1,XH17&gt;0),300,0)-IF(AND($U17=1,'calcA'!CK$117=1,GJ17=0),300,0))),1000000000))</f>
        <v/>
      </c>
      <c r="RN17">
        <f>IF($B17=0,1000000000,IF(INDEX('calcA'!$D$60:$EQ$99,$B17,87)*IF($W17=1,GJ17+ACY17,GJ17)=1,IF(AND($E17=2,IF($W17=1,AIN17,LY17)=0),1000000000,IF($V17=1,INDEX('calcA'!$D$130:$EQ$169,$B17,87)+IF(AND($E17=1,LY17=0),25,0),INDEX('calcA'!CL$110:CL$114,$F17+1)+IF(AND($E17=1,LY17=0),1000,0)+IF($H17=1,INDEX('calcA'!$D$180:$EQ$219,$B17,87)*500,0)-IF(AND('calcA'!CK$117=1,XI17&gt;0),300,0)-IF(AND($U17=1,'calcA'!CL$117=1,GK17=0),300,0))),1000000000))</f>
        <v/>
      </c>
      <c r="RO17">
        <f>IF($B17=0,1000000000,IF(INDEX('calcA'!$D$60:$EQ$99,$B17,88)*IF($W17=1,GK17+ACZ17,GK17)=1,IF(AND($E17=2,IF($W17=1,AIO17,LZ17)=0),1000000000,IF($V17=1,INDEX('calcA'!$D$130:$EQ$169,$B17,88)+IF(AND($E17=1,LZ17=0),25,0),INDEX('calcA'!CM$110:CM$114,$F17+1)+IF(AND($E17=1,LZ17=0),1000,0)+IF($H17=1,INDEX('calcA'!$D$180:$EQ$219,$B17,88)*500,0)-IF(AND('calcA'!CL$117=1,XJ17&gt;0),300,0)-IF(AND($U17=1,'calcA'!CM$117=1,GL17=0),300,0))),1000000000))</f>
        <v/>
      </c>
      <c r="RP17">
        <f>IF($B17=0,1000000000,IF(INDEX('calcA'!$D$60:$EQ$99,$B17,89)*IF($W17=1,GL17+ADA17,GL17)=1,IF(AND($E17=2,IF($W17=1,AIP17,MA17)=0),1000000000,IF($V17=1,INDEX('calcA'!$D$130:$EQ$169,$B17,89)+IF(AND($E17=1,MA17=0),25,0),INDEX('calcA'!CN$110:CN$114,$F17+1)+IF(AND($E17=1,MA17=0),1000,0)+IF($H17=1,INDEX('calcA'!$D$180:$EQ$219,$B17,89)*500,0)-IF(AND('calcA'!CM$117=1,XK17&gt;0),300,0)-IF(AND($U17=1,'calcA'!CN$117=1,GM17=0),300,0))),1000000000))</f>
        <v/>
      </c>
      <c r="RQ17">
        <f>IF($B17=0,1000000000,IF(INDEX('calcA'!$D$60:$EQ$99,$B17,90)*IF($W17=1,GM17+ADB17,GM17)=1,IF(AND($E17=2,IF($W17=1,AIQ17,MB17)=0),1000000000,IF($V17=1,INDEX('calcA'!$D$130:$EQ$169,$B17,90)+IF(AND($E17=1,MB17=0),25,0),INDEX('calcA'!CO$110:CO$114,$F17+1)+IF(AND($E17=1,MB17=0),1000,0)+IF($H17=1,INDEX('calcA'!$D$180:$EQ$219,$B17,90)*500,0)-IF(AND('calcA'!CN$117=1,XL17&gt;0),300,0)-IF(AND($U17=1,'calcA'!CO$117=1,GN17=0),300,0))),1000000000))</f>
        <v/>
      </c>
      <c r="RR17">
        <f>IF($B17=0,1000000000,IF(INDEX('calcA'!$D$60:$EQ$99,$B17,91)*IF($W17=1,GN17+ADC17,GN17)=1,IF(AND($E17=2,IF($W17=1,AIR17,MC17)=0),1000000000,IF($V17=1,INDEX('calcA'!$D$130:$EQ$169,$B17,91)+IF(AND($E17=1,MC17=0),25,0),INDEX('calcA'!CP$110:CP$114,$F17+1)+IF(AND($E17=1,MC17=0),1000,0)+IF($H17=1,INDEX('calcA'!$D$180:$EQ$219,$B17,91)*500,0)-IF(AND('calcA'!CO$117=1,XM17&gt;0),300,0)-IF(AND($U17=1,'calcA'!CP$117=1,GO17=0),300,0))),1000000000))</f>
        <v/>
      </c>
      <c r="RS17">
        <f>IF($B17=0,1000000000,IF(INDEX('calcA'!$D$60:$EQ$99,$B17,92)*IF($W17=1,GO17+ADD17,GO17)=1,IF(AND($E17=2,IF($W17=1,AIS17,MD17)=0),1000000000,IF($V17=1,INDEX('calcA'!$D$130:$EQ$169,$B17,92)+IF(AND($E17=1,MD17=0),25,0),INDEX('calcA'!CQ$110:CQ$114,$F17+1)+IF(AND($E17=1,MD17=0),1000,0)+IF($H17=1,INDEX('calcA'!$D$180:$EQ$219,$B17,92)*500,0)-IF(AND('calcA'!CP$117=1,XN17&gt;0),300,0)-IF(AND($U17=1,'calcA'!CQ$117=1,GP17=0),300,0))),1000000000))</f>
        <v/>
      </c>
      <c r="RT17">
        <f>IF($B17=0,1000000000,IF(INDEX('calcA'!$D$60:$EQ$99,$B17,93)*IF($W17=1,GP17+ADE17,GP17)=1,IF(AND($E17=2,IF($W17=1,AIT17,ME17)=0),1000000000,IF($V17=1,INDEX('calcA'!$D$130:$EQ$169,$B17,93)+IF(AND($E17=1,ME17=0),25,0),INDEX('calcA'!CR$110:CR$114,$F17+1)+IF(AND($E17=1,ME17=0),1000,0)+IF($H17=1,INDEX('calcA'!$D$180:$EQ$219,$B17,93)*500,0)-IF(AND('calcA'!CQ$117=1,XO17&gt;0),300,0)-IF(AND($U17=1,'calcA'!CR$117=1,GQ17=0),300,0))),1000000000))</f>
        <v/>
      </c>
      <c r="RU17">
        <f>IF($B17=0,1000000000,IF(INDEX('calcA'!$D$60:$EQ$99,$B17,94)*IF($W17=1,GQ17+ADF17,GQ17)=1,IF(AND($E17=2,IF($W17=1,AIU17,MF17)=0),1000000000,IF($V17=1,INDEX('calcA'!$D$130:$EQ$169,$B17,94)+IF(AND($E17=1,MF17=0),25,0),INDEX('calcA'!CS$110:CS$114,$F17+1)+IF(AND($E17=1,MF17=0),1000,0)+IF($H17=1,INDEX('calcA'!$D$180:$EQ$219,$B17,94)*500,0)-IF(AND('calcA'!CR$117=1,XP17&gt;0),300,0)-IF(AND($U17=1,'calcA'!CS$117=1,GR17=0),300,0))),1000000000))</f>
        <v/>
      </c>
      <c r="RV17">
        <f>IF($B17=0,1000000000,IF(INDEX('calcA'!$D$60:$EQ$99,$B17,95)*IF($W17=1,GR17+ADG17,GR17)=1,IF(AND($E17=2,IF($W17=1,AIV17,MG17)=0),1000000000,IF($V17=1,INDEX('calcA'!$D$130:$EQ$169,$B17,95)+IF(AND($E17=1,MG17=0),25,0),INDEX('calcA'!CT$110:CT$114,$F17+1)+IF(AND($E17=1,MG17=0),1000,0)+IF($H17=1,INDEX('calcA'!$D$180:$EQ$219,$B17,95)*500,0)-IF(AND('calcA'!CS$117=1,XQ17&gt;0),300,0)-IF(AND($U17=1,'calcA'!CT$117=1,GS17=0),300,0))),1000000000))</f>
        <v/>
      </c>
      <c r="RW17">
        <f>IF($B17=0,1000000000,IF(INDEX('calcA'!$D$60:$EQ$99,$B17,96)*IF($W17=1,GS17+ADH17,GS17)=1,IF(AND($E17=2,IF($W17=1,AIW17,MH17)=0),1000000000,IF($V17=1,INDEX('calcA'!$D$130:$EQ$169,$B17,96)+IF(AND($E17=1,MH17=0),25,0),INDEX('calcA'!CU$110:CU$114,$F17+1)+IF(AND($E17=1,MH17=0),1000,0)+IF($H17=1,INDEX('calcA'!$D$180:$EQ$219,$B17,96)*500,0)-IF(AND('calcA'!CT$117=1,XR17&gt;0),300,0))),1000000000))</f>
        <v/>
      </c>
      <c r="RX17">
        <f>IF($B17=0,1000000000,IF(INDEX('calcA'!$D$60:$EQ$99,$B17,97)*IF($W17=1,GT17+ADI17,GT17)=1,IF(AND($E17=2,IF($W17=1,AIX17,MI17)=0),1000000000,IF($V17=1,INDEX('calcA'!$D$130:$EQ$169,$B17,97)+IF(AND($E17=1,MI17=0),25,0),INDEX('calcA'!CV$110:CV$114,$F17+1)+IF(AND($E17=1,MI17=0),1000,0)+IF($H17=1,INDEX('calcA'!$D$180:$EQ$219,$B17,97)*500,0)-IF(AND($U17=1,'calcA'!CV$117=1,GU17=0),300,0))),1000000000))</f>
        <v/>
      </c>
      <c r="RY17">
        <f>IF($B17=0,1000000000,IF(INDEX('calcA'!$D$60:$EQ$99,$B17,98)*IF($W17=1,GU17+ADJ17,GU17)=1,IF(AND($E17=2,IF($W17=1,AIY17,MJ17)=0),1000000000,IF($V17=1,INDEX('calcA'!$D$130:$EQ$169,$B17,98)+IF(AND($E17=1,MJ17=0),25,0),INDEX('calcA'!CW$110:CW$114,$F17+1)+IF(AND($E17=1,MJ17=0),1000,0)+IF($H17=1,INDEX('calcA'!$D$180:$EQ$219,$B17,98)*500,0)-IF(AND('calcA'!CV$117=1,XT17&gt;0),300,0)-IF(AND($U17=1,'calcA'!CW$117=1,GV17=0),300,0))),1000000000))</f>
        <v/>
      </c>
      <c r="RZ17">
        <f>IF($B17=0,1000000000,IF(INDEX('calcA'!$D$60:$EQ$99,$B17,99)*IF($W17=1,GV17+ADK17,GV17)=1,IF(AND($E17=2,IF($W17=1,AIZ17,MK17)=0),1000000000,IF($V17=1,INDEX('calcA'!$D$130:$EQ$169,$B17,99)+IF(AND($E17=1,MK17=0),25,0),INDEX('calcA'!CX$110:CX$114,$F17+1)+IF(AND($E17=1,MK17=0),1000,0)+IF($H17=1,INDEX('calcA'!$D$180:$EQ$219,$B17,99)*500,0)-IF(AND('calcA'!CW$117=1,XU17&gt;0),300,0)-IF(AND($U17=1,'calcA'!CX$117=1,GW17=0),300,0))),1000000000))</f>
        <v/>
      </c>
      <c r="SA17">
        <f>IF($B17=0,1000000000,IF(INDEX('calcA'!$D$60:$EQ$99,$B17,100)*IF($W17=1,GW17+ADL17,GW17)=1,IF(AND($E17=2,IF($W17=1,AJA17,ML17)=0),1000000000,IF($V17=1,INDEX('calcA'!$D$130:$EQ$169,$B17,100)+IF(AND($E17=1,ML17=0),25,0),INDEX('calcA'!CY$110:CY$114,$F17+1)+IF(AND($E17=1,ML17=0),1000,0)+IF($H17=1,INDEX('calcA'!$D$180:$EQ$219,$B17,100)*500,0)-IF(AND('calcA'!CX$117=1,XV17&gt;0),300,0)-IF(AND($U17=1,'calcA'!CY$117=1,GX17=0),300,0))),1000000000))</f>
        <v/>
      </c>
      <c r="SB17">
        <f>IF($B17=0,1000000000,IF(INDEX('calcA'!$D$60:$EQ$99,$B17,101)*IF($W17=1,GX17+ADM17,GX17)=1,IF(AND($E17=2,IF($W17=1,AJB17,MM17)=0),1000000000,IF($V17=1,INDEX('calcA'!$D$130:$EQ$169,$B17,101)+IF(AND($E17=1,MM17=0),25,0),INDEX('calcA'!CZ$110:CZ$114,$F17+1)+IF(AND($E17=1,MM17=0),1000,0)+IF($H17=1,INDEX('calcA'!$D$180:$EQ$219,$B17,101)*500,0)-IF(AND('calcA'!CY$117=1,XW17&gt;0),300,0)-IF(AND($U17=1,'calcA'!CZ$117=1,GY17=0),300,0))),1000000000))</f>
        <v/>
      </c>
      <c r="SC17">
        <f>IF($B17=0,1000000000,IF(INDEX('calcA'!$D$60:$EQ$99,$B17,102)*IF($W17=1,GY17+ADN17,GY17)=1,IF(AND($E17=2,IF($W17=1,AJC17,MN17)=0),1000000000,IF($V17=1,INDEX('calcA'!$D$130:$EQ$169,$B17,102)+IF(AND($E17=1,MN17=0),25,0),INDEX('calcA'!DA$110:DA$114,$F17+1)+IF(AND($E17=1,MN17=0),1000,0)+IF($H17=1,INDEX('calcA'!$D$180:$EQ$219,$B17,102)*500,0)-IF(AND('calcA'!CZ$117=1,XX17&gt;0),300,0)-IF(AND($U17=1,'calcA'!DA$117=1,GZ17=0),300,0))),1000000000))</f>
        <v/>
      </c>
      <c r="SD17">
        <f>IF($B17=0,1000000000,IF(INDEX('calcA'!$D$60:$EQ$99,$B17,103)*IF($W17=1,GZ17+ADO17,GZ17)=1,IF(AND($E17=2,IF($W17=1,AJD17,MO17)=0),1000000000,IF($V17=1,INDEX('calcA'!$D$130:$EQ$169,$B17,103)+IF(AND($E17=1,MO17=0),25,0),INDEX('calcA'!DB$110:DB$114,$F17+1)+IF(AND($E17=1,MO17=0),1000,0)+IF($H17=1,INDEX('calcA'!$D$180:$EQ$219,$B17,103)*500,0)-IF(AND('calcA'!DA$117=1,XY17&gt;0),300,0)-IF(AND($U17=1,'calcA'!DB$117=1,HA17=0),300,0))),1000000000))</f>
        <v/>
      </c>
      <c r="SE17">
        <f>IF($B17=0,1000000000,IF(INDEX('calcA'!$D$60:$EQ$99,$B17,104)*IF($W17=1,HA17+ADP17,HA17)=1,IF(AND($E17=2,IF($W17=1,AJE17,MP17)=0),1000000000,IF($V17=1,INDEX('calcA'!$D$130:$EQ$169,$B17,104)+IF(AND($E17=1,MP17=0),25,0),INDEX('calcA'!DC$110:DC$114,$F17+1)+IF(AND($E17=1,MP17=0),1000,0)+IF($H17=1,INDEX('calcA'!$D$180:$EQ$219,$B17,104)*500,0)-IF(AND('calcA'!DB$117=1,XZ17&gt;0),300,0)-IF(AND($U17=1,'calcA'!DC$117=1,HB17=0),300,0))),1000000000))</f>
        <v/>
      </c>
      <c r="SF17">
        <f>IF($B17=0,1000000000,IF(INDEX('calcA'!$D$60:$EQ$99,$B17,105)*IF($W17=1,HB17+ADQ17,HB17)=1,IF(AND($E17=2,IF($W17=1,AJF17,MQ17)=0),1000000000,IF($V17=1,INDEX('calcA'!$D$130:$EQ$169,$B17,105)+IF(AND($E17=1,MQ17=0),25,0),INDEX('calcA'!DD$110:DD$114,$F17+1)+IF(AND($E17=1,MQ17=0),1000,0)+IF($H17=1,INDEX('calcA'!$D$180:$EQ$219,$B17,105)*500,0)-IF(AND('calcA'!DC$117=1,YA17&gt;0),300,0)-IF(AND($U17=1,'calcA'!DD$117=1,HC17=0),300,0))),1000000000))</f>
        <v/>
      </c>
      <c r="SG17">
        <f>IF($B17=0,1000000000,IF(INDEX('calcA'!$D$60:$EQ$99,$B17,106)*IF($W17=1,HC17+ADR17,HC17)=1,IF(AND($E17=2,IF($W17=1,AJG17,MR17)=0),1000000000,IF($V17=1,INDEX('calcA'!$D$130:$EQ$169,$B17,106)+IF(AND($E17=1,MR17=0),25,0),INDEX('calcA'!DE$110:DE$114,$F17+1)+IF(AND($E17=1,MR17=0),1000,0)+IF($H17=1,INDEX('calcA'!$D$180:$EQ$219,$B17,106)*500,0)-IF(AND('calcA'!DD$117=1,YB17&gt;0),300,0)-IF(AND($U17=1,'calcA'!DE$117=1,HD17=0),300,0))),1000000000))</f>
        <v/>
      </c>
      <c r="SH17">
        <f>IF($B17=0,1000000000,IF(INDEX('calcA'!$D$60:$EQ$99,$B17,107)*IF($W17=1,HD17+ADS17,HD17)=1,IF(AND($E17=2,IF($W17=1,AJH17,MS17)=0),1000000000,IF($V17=1,INDEX('calcA'!$D$130:$EQ$169,$B17,107)+IF(AND($E17=1,MS17=0),25,0),INDEX('calcA'!DF$110:DF$114,$F17+1)+IF(AND($E17=1,MS17=0),1000,0)+IF($H17=1,INDEX('calcA'!$D$180:$EQ$219,$B17,107)*500,0)-IF(AND('calcA'!DE$117=1,YC17&gt;0),300,0)-IF(AND($U17=1,'calcA'!DF$117=1,HE17=0),300,0))),1000000000))</f>
        <v/>
      </c>
      <c r="SI17">
        <f>IF($B17=0,1000000000,IF(INDEX('calcA'!$D$60:$EQ$99,$B17,108)*IF($W17=1,HE17+ADT17,HE17)=1,IF(AND($E17=2,IF($W17=1,AJI17,MT17)=0),1000000000,IF($V17=1,INDEX('calcA'!$D$130:$EQ$169,$B17,108)+IF(AND($E17=1,MT17=0),25,0),INDEX('calcA'!DG$110:DG$114,$F17+1)+IF(AND($E17=1,MT17=0),1000,0)+IF($H17=1,INDEX('calcA'!$D$180:$EQ$219,$B17,108)*500,0)-IF(AND('calcA'!DF$117=1,YD17&gt;0),300,0)-IF(AND($U17=1,'calcA'!DG$117=1,HF17=0),300,0))),1000000000))</f>
        <v/>
      </c>
      <c r="SJ17">
        <f>IF($B17=0,1000000000,IF(INDEX('calcA'!$D$60:$EQ$99,$B17,109)*IF($W17=1,HF17+ADU17,HF17)=1,IF(AND($E17=2,IF($W17=1,AJJ17,MU17)=0),1000000000,IF($V17=1,INDEX('calcA'!$D$130:$EQ$169,$B17,109)+IF(AND($E17=1,MU17=0),25,0),INDEX('calcA'!DH$110:DH$114,$F17+1)+IF(AND($E17=1,MU17=0),1000,0)+IF($H17=1,INDEX('calcA'!$D$180:$EQ$219,$B17,109)*500,0)-IF(AND('calcA'!DG$117=1,YE17&gt;0),300,0)-IF(AND($U17=1,'calcA'!DH$117=1,HG17=0),300,0))),1000000000))</f>
        <v/>
      </c>
      <c r="SK17">
        <f>IF($B17=0,1000000000,IF(INDEX('calcA'!$D$60:$EQ$99,$B17,110)*IF($W17=1,HG17+ADV17,HG17)=1,IF(AND($E17=2,IF($W17=1,AJK17,MV17)=0),1000000000,IF($V17=1,INDEX('calcA'!$D$130:$EQ$169,$B17,110)+IF(AND($E17=1,MV17=0),25,0),INDEX('calcA'!DI$110:DI$114,$F17+1)+IF(AND($E17=1,MV17=0),1000,0)+IF($H17=1,INDEX('calcA'!$D$180:$EQ$219,$B17,110)*500,0)-IF(AND('calcA'!DH$117=1,YF17&gt;0),300,0)-IF(AND($U17=1,'calcA'!DI$117=1,HH17=0),300,0))),1000000000))</f>
        <v/>
      </c>
      <c r="SL17">
        <f>IF($B17=0,1000000000,IF(INDEX('calcA'!$D$60:$EQ$99,$B17,111)*IF($W17=1,HH17+ADW17,HH17)=1,IF(AND($E17=2,IF($W17=1,AJL17,MW17)=0),1000000000,IF($V17=1,INDEX('calcA'!$D$130:$EQ$169,$B17,111)+IF(AND($E17=1,MW17=0),25,0),INDEX('calcA'!DJ$110:DJ$114,$F17+1)+IF(AND($E17=1,MW17=0),1000,0)+IF($H17=1,INDEX('calcA'!$D$180:$EQ$219,$B17,111)*500,0)-IF(AND('calcA'!DI$117=1,YG17&gt;0),300,0)-IF(AND($U17=1,'calcA'!DJ$117=1,HI17=0),300,0))),1000000000))</f>
        <v/>
      </c>
      <c r="SM17">
        <f>IF($B17=0,1000000000,IF(INDEX('calcA'!$D$60:$EQ$99,$B17,112)*IF($W17=1,HI17+ADX17,HI17)=1,IF(AND($E17=2,IF($W17=1,AJM17,MX17)=0),1000000000,IF($V17=1,INDEX('calcA'!$D$130:$EQ$169,$B17,112)+IF(AND($E17=1,MX17=0),25,0),INDEX('calcA'!DK$110:DK$114,$F17+1)+IF(AND($E17=1,MX17=0),1000,0)+IF($H17=1,INDEX('calcA'!$D$180:$EQ$219,$B17,112)*500,0)-IF(AND('calcA'!DJ$117=1,YH17&gt;0),300,0)-IF(AND($U17=1,'calcA'!DK$117=1,HJ17=0),300,0))),1000000000))</f>
        <v/>
      </c>
      <c r="SN17">
        <f>IF($B17=0,1000000000,IF(INDEX('calcA'!$D$60:$EQ$99,$B17,113)*IF($W17=1,HJ17+ADY17,HJ17)=1,IF(AND($E17=2,IF($W17=1,AJN17,MY17)=0),1000000000,IF($V17=1,INDEX('calcA'!$D$130:$EQ$169,$B17,113)+IF(AND($E17=1,MY17=0),25,0),INDEX('calcA'!DL$110:DL$114,$F17+1)+IF(AND($E17=1,MY17=0),1000,0)+IF($H17=1,INDEX('calcA'!$D$180:$EQ$219,$B17,113)*500,0)-IF(AND('calcA'!DK$117=1,YI17&gt;0),300,0)-IF(AND($U17=1,'calcA'!DL$117=1,HK17=0),300,0))),1000000000))</f>
        <v/>
      </c>
      <c r="SO17">
        <f>IF($B17=0,1000000000,IF(INDEX('calcA'!$D$60:$EQ$99,$B17,114)*IF($W17=1,HK17+ADZ17,HK17)=1,IF(AND($E17=2,IF($W17=1,AJO17,MZ17)=0),1000000000,IF($V17=1,INDEX('calcA'!$D$130:$EQ$169,$B17,114)+IF(AND($E17=1,MZ17=0),25,0),INDEX('calcA'!DM$110:DM$114,$F17+1)+IF(AND($E17=1,MZ17=0),1000,0)+IF($H17=1,INDEX('calcA'!$D$180:$EQ$219,$B17,114)*500,0)-IF(AND('calcA'!DL$117=1,YJ17&gt;0),300,0)-IF(AND($U17=1,'calcA'!DM$117=1,HL17=0),300,0))),1000000000))</f>
        <v/>
      </c>
      <c r="SP17">
        <f>IF($B17=0,1000000000,IF(INDEX('calcA'!$D$60:$EQ$99,$B17,115)*IF($W17=1,HL17+AEA17,HL17)=1,IF(AND($E17=2,IF($W17=1,AJP17,NA17)=0),1000000000,IF($V17=1,INDEX('calcA'!$D$130:$EQ$169,$B17,115)+IF(AND($E17=1,NA17=0),25,0),INDEX('calcA'!DN$110:DN$114,$F17+1)+IF(AND($E17=1,NA17=0),1000,0)+IF($H17=1,INDEX('calcA'!$D$180:$EQ$219,$B17,115)*500,0)-IF(AND('calcA'!DM$117=1,YK17&gt;0),300,0)-IF(AND($U17=1,'calcA'!DN$117=1,HM17=0),300,0))),1000000000))</f>
        <v/>
      </c>
      <c r="SQ17">
        <f>IF($B17=0,1000000000,IF(INDEX('calcA'!$D$60:$EQ$99,$B17,116)*IF($W17=1,HM17+AEB17,HM17)=1,IF(AND($E17=2,IF($W17=1,AJQ17,NB17)=0),1000000000,IF($V17=1,INDEX('calcA'!$D$130:$EQ$169,$B17,116)+IF(AND($E17=1,NB17=0),25,0),INDEX('calcA'!DO$110:DO$114,$F17+1)+IF(AND($E17=1,NB17=0),1000,0)+IF($H17=1,INDEX('calcA'!$D$180:$EQ$219,$B17,116)*500,0)-IF(AND('calcA'!DN$117=1,YL17&gt;0),300,0)-IF(AND($U17=1,'calcA'!DO$117=1,HN17=0),300,0))),1000000000))</f>
        <v/>
      </c>
      <c r="SR17">
        <f>IF($B17=0,1000000000,IF(INDEX('calcA'!$D$60:$EQ$99,$B17,117)*IF($W17=1,HN17+AEC17,HN17)=1,IF(AND($E17=2,IF($W17=1,AJR17,NC17)=0),1000000000,IF($V17=1,INDEX('calcA'!$D$130:$EQ$169,$B17,117)+IF(AND($E17=1,NC17=0),25,0),INDEX('calcA'!DP$110:DP$114,$F17+1)+IF(AND($E17=1,NC17=0),1000,0)+IF($H17=1,INDEX('calcA'!$D$180:$EQ$219,$B17,117)*500,0)-IF(AND('calcA'!DO$117=1,YM17&gt;0),300,0)-IF(AND($U17=1,'calcA'!DP$117=1,HO17=0),300,0))),1000000000))</f>
        <v/>
      </c>
      <c r="SS17">
        <f>IF($B17=0,1000000000,IF(INDEX('calcA'!$D$60:$EQ$99,$B17,118)*IF($W17=1,HO17+AED17,HO17)=1,IF(AND($E17=2,IF($W17=1,AJS17,ND17)=0),1000000000,IF($V17=1,INDEX('calcA'!$D$130:$EQ$169,$B17,118)+IF(AND($E17=1,ND17=0),25,0),INDEX('calcA'!DQ$110:DQ$114,$F17+1)+IF(AND($E17=1,ND17=0),1000,0)+IF($H17=1,INDEX('calcA'!$D$180:$EQ$219,$B17,118)*500,0)-IF(AND('calcA'!DP$117=1,YN17&gt;0),300,0)-IF(AND($U17=1,'calcA'!DQ$117=1,HP17=0),300,0))),1000000000))</f>
        <v/>
      </c>
      <c r="ST17">
        <f>IF($B17=0,1000000000,IF(INDEX('calcA'!$D$60:$EQ$99,$B17,119)*IF($W17=1,HP17+AEE17,HP17)=1,IF(AND($E17=2,IF($W17=1,AJT17,NE17)=0),1000000000,IF($V17=1,INDEX('calcA'!$D$130:$EQ$169,$B17,119)+IF(AND($E17=1,NE17=0),25,0),INDEX('calcA'!DR$110:DR$114,$F17+1)+IF(AND($E17=1,NE17=0),1000,0)+IF($H17=1,INDEX('calcA'!$D$180:$EQ$219,$B17,119)*500,0)-IF(AND('calcA'!DQ$117=1,YO17&gt;0),300,0)-IF(AND($U17=1,'calcA'!DR$117=1,HQ17=0),300,0))),1000000000))</f>
        <v/>
      </c>
      <c r="SU17">
        <f>IF($B17=0,1000000000,IF(INDEX('calcA'!$D$60:$EQ$99,$B17,120)*IF($W17=1,HQ17+AEF17,HQ17)=1,IF(AND($E17=2,IF($W17=1,AJU17,NF17)=0),1000000000,IF($V17=1,INDEX('calcA'!$D$130:$EQ$169,$B17,120)+IF(AND($E17=1,NF17=0),25,0),INDEX('calcA'!DS$110:DS$114,$F17+1)+IF(AND($E17=1,NF17=0),1000,0)+IF($H17=1,INDEX('calcA'!$D$180:$EQ$219,$B17,120)*500,0)-IF(AND('calcA'!DR$117=1,YP17&gt;0),300,0))),1000000000))</f>
        <v/>
      </c>
      <c r="SV17">
        <f>IF($B17=0,1000000000,IF(INDEX('calcA'!$D$60:$EQ$99,$B17,121)*IF($W17=1,HR17+AEG17,HR17)=1,IF(AND($E17=2,IF($W17=1,AJV17,NG17)=0),1000000000,IF($V17=1,INDEX('calcA'!$D$130:$EQ$169,$B17,121)+IF(AND($E17=1,NG17=0),25,0),INDEX('calcA'!DT$110:DT$114,$F17+1)+IF(AND($E17=1,NG17=0),1000,0)+IF($H17=1,INDEX('calcA'!$D$180:$EQ$219,$B17,121)*500,0)-IF(AND($U17=1,'calcA'!DT$117=1,HS17=0),300,0))),1000000000))</f>
        <v/>
      </c>
      <c r="SW17">
        <f>IF($B17=0,1000000000,IF(INDEX('calcA'!$D$60:$EQ$99,$B17,122)*IF($W17=1,HS17+AEH17,HS17)=1,IF(AND($E17=2,IF($W17=1,AJW17,NH17)=0),1000000000,IF($V17=1,INDEX('calcA'!$D$130:$EQ$169,$B17,122)+IF(AND($E17=1,NH17=0),25,0),INDEX('calcA'!DU$110:DU$114,$F17+1)+IF(AND($E17=1,NH17=0),1000,0)+IF($H17=1,INDEX('calcA'!$D$180:$EQ$219,$B17,122)*500,0)-IF(AND('calcA'!DT$117=1,YR17&gt;0),300,0)-IF(AND($U17=1,'calcA'!DU$117=1,HT17=0),300,0))),1000000000))</f>
        <v/>
      </c>
      <c r="SX17">
        <f>IF($B17=0,1000000000,IF(INDEX('calcA'!$D$60:$EQ$99,$B17,123)*IF($W17=1,HT17+AEI17,HT17)=1,IF(AND($E17=2,IF($W17=1,AJX17,NI17)=0),1000000000,IF($V17=1,INDEX('calcA'!$D$130:$EQ$169,$B17,123)+IF(AND($E17=1,NI17=0),25,0),INDEX('calcA'!DV$110:DV$114,$F17+1)+IF(AND($E17=1,NI17=0),1000,0)+IF($H17=1,INDEX('calcA'!$D$180:$EQ$219,$B17,123)*500,0)-IF(AND('calcA'!DU$117=1,YS17&gt;0),300,0)-IF(AND($U17=1,'calcA'!DV$117=1,HU17=0),300,0))),1000000000))</f>
        <v/>
      </c>
      <c r="SY17">
        <f>IF($B17=0,1000000000,IF(INDEX('calcA'!$D$60:$EQ$99,$B17,124)*IF($W17=1,HU17+AEJ17,HU17)=1,IF(AND($E17=2,IF($W17=1,AJY17,NJ17)=0),1000000000,IF($V17=1,INDEX('calcA'!$D$130:$EQ$169,$B17,124)+IF(AND($E17=1,NJ17=0),25,0),INDEX('calcA'!DW$110:DW$114,$F17+1)+IF(AND($E17=1,NJ17=0),1000,0)+IF($H17=1,INDEX('calcA'!$D$180:$EQ$219,$B17,124)*500,0)-IF(AND('calcA'!DV$117=1,YT17&gt;0),300,0)-IF(AND($U17=1,'calcA'!DW$117=1,HV17=0),300,0))),1000000000))</f>
        <v/>
      </c>
      <c r="SZ17">
        <f>IF($B17=0,1000000000,IF(INDEX('calcA'!$D$60:$EQ$99,$B17,125)*IF($W17=1,HV17+AEK17,HV17)=1,IF(AND($E17=2,IF($W17=1,AJZ17,NK17)=0),1000000000,IF($V17=1,INDEX('calcA'!$D$130:$EQ$169,$B17,125)+IF(AND($E17=1,NK17=0),25,0),INDEX('calcA'!DX$110:DX$114,$F17+1)+IF(AND($E17=1,NK17=0),1000,0)+IF($H17=1,INDEX('calcA'!$D$180:$EQ$219,$B17,125)*500,0)-IF(AND('calcA'!DW$117=1,YU17&gt;0),300,0)-IF(AND($U17=1,'calcA'!DX$117=1,HW17=0),300,0))),1000000000))</f>
        <v/>
      </c>
      <c r="TA17">
        <f>IF($B17=0,1000000000,IF(INDEX('calcA'!$D$60:$EQ$99,$B17,126)*IF($W17=1,HW17+AEL17,HW17)=1,IF(AND($E17=2,IF($W17=1,AKA17,NL17)=0),1000000000,IF($V17=1,INDEX('calcA'!$D$130:$EQ$169,$B17,126)+IF(AND($E17=1,NL17=0),25,0),INDEX('calcA'!DY$110:DY$114,$F17+1)+IF(AND($E17=1,NL17=0),1000,0)+IF($H17=1,INDEX('calcA'!$D$180:$EQ$219,$B17,126)*500,0)-IF(AND('calcA'!DX$117=1,YV17&gt;0),300,0)-IF(AND($U17=1,'calcA'!DY$117=1,HX17=0),300,0))),1000000000))</f>
        <v/>
      </c>
      <c r="TB17">
        <f>IF($B17=0,1000000000,IF(INDEX('calcA'!$D$60:$EQ$99,$B17,127)*IF($W17=1,HX17+AEM17,HX17)=1,IF(AND($E17=2,IF($W17=1,AKB17,NM17)=0),1000000000,IF($V17=1,INDEX('calcA'!$D$130:$EQ$169,$B17,127)+IF(AND($E17=1,NM17=0),25,0),INDEX('calcA'!DZ$110:DZ$114,$F17+1)+IF(AND($E17=1,NM17=0),1000,0)+IF($H17=1,INDEX('calcA'!$D$180:$EQ$219,$B17,127)*500,0)-IF(AND('calcA'!DY$117=1,YW17&gt;0),300,0)-IF(AND($U17=1,'calcA'!DZ$117=1,HY17=0),300,0))),1000000000))</f>
        <v/>
      </c>
      <c r="TC17">
        <f>IF($B17=0,1000000000,IF(INDEX('calcA'!$D$60:$EQ$99,$B17,128)*IF($W17=1,HY17+AEN17,HY17)=1,IF(AND($E17=2,IF($W17=1,AKC17,NN17)=0),1000000000,IF($V17=1,INDEX('calcA'!$D$130:$EQ$169,$B17,128)+IF(AND($E17=1,NN17=0),25,0),INDEX('calcA'!EA$110:EA$114,$F17+1)+IF(AND($E17=1,NN17=0),1000,0)+IF($H17=1,INDEX('calcA'!$D$180:$EQ$219,$B17,128)*500,0)-IF(AND('calcA'!DZ$117=1,YX17&gt;0),300,0)-IF(AND($U17=1,'calcA'!EA$117=1,HZ17=0),300,0))),1000000000))</f>
        <v/>
      </c>
      <c r="TD17">
        <f>IF($B17=0,1000000000,IF(INDEX('calcA'!$D$60:$EQ$99,$B17,129)*IF($W17=1,HZ17+AEO17,HZ17)=1,IF(AND($E17=2,IF($W17=1,AKD17,NO17)=0),1000000000,IF($V17=1,INDEX('calcA'!$D$130:$EQ$169,$B17,129)+IF(AND($E17=1,NO17=0),25,0),INDEX('calcA'!EB$110:EB$114,$F17+1)+IF(AND($E17=1,NO17=0),1000,0)+IF($H17=1,INDEX('calcA'!$D$180:$EQ$219,$B17,129)*500,0)-IF(AND('calcA'!EA$117=1,YY17&gt;0),300,0)-IF(AND($U17=1,'calcA'!EB$117=1,IA17=0),300,0))),1000000000))</f>
        <v/>
      </c>
      <c r="TE17">
        <f>IF($B17=0,1000000000,IF(INDEX('calcA'!$D$60:$EQ$99,$B17,130)*IF($W17=1,IA17+AEP17,IA17)=1,IF(AND($E17=2,IF($W17=1,AKE17,NP17)=0),1000000000,IF($V17=1,INDEX('calcA'!$D$130:$EQ$169,$B17,130)+IF(AND($E17=1,NP17=0),25,0),INDEX('calcA'!EC$110:EC$114,$F17+1)+IF(AND($E17=1,NP17=0),1000,0)+IF($H17=1,INDEX('calcA'!$D$180:$EQ$219,$B17,130)*500,0)-IF(AND('calcA'!EB$117=1,YZ17&gt;0),300,0)-IF(AND($U17=1,'calcA'!EC$117=1,IB17=0),300,0))),1000000000))</f>
        <v/>
      </c>
      <c r="TF17">
        <f>IF($B17=0,1000000000,IF(INDEX('calcA'!$D$60:$EQ$99,$B17,131)*IF($W17=1,IB17+AEQ17,IB17)=1,IF(AND($E17=2,IF($W17=1,AKF17,NQ17)=0),1000000000,IF($V17=1,INDEX('calcA'!$D$130:$EQ$169,$B17,131)+IF(AND($E17=1,NQ17=0),25,0),INDEX('calcA'!ED$110:ED$114,$F17+1)+IF(AND($E17=1,NQ17=0),1000,0)+IF($H17=1,INDEX('calcA'!$D$180:$EQ$219,$B17,131)*500,0)-IF(AND('calcA'!EC$117=1,ZA17&gt;0),300,0)-IF(AND($U17=1,'calcA'!ED$117=1,IC17=0),300,0))),1000000000))</f>
        <v/>
      </c>
      <c r="TG17">
        <f>IF($B17=0,1000000000,IF(INDEX('calcA'!$D$60:$EQ$99,$B17,132)*IF($W17=1,IC17+AER17,IC17)=1,IF(AND($E17=2,IF($W17=1,AKG17,NR17)=0),1000000000,IF($V17=1,INDEX('calcA'!$D$130:$EQ$169,$B17,132)+IF(AND($E17=1,NR17=0),25,0),INDEX('calcA'!EE$110:EE$114,$F17+1)+IF(AND($E17=1,NR17=0),1000,0)+IF($H17=1,INDEX('calcA'!$D$180:$EQ$219,$B17,132)*500,0)-IF(AND('calcA'!ED$117=1,ZB17&gt;0),300,0)-IF(AND($U17=1,'calcA'!EE$117=1,ID17=0),300,0))),1000000000))</f>
        <v/>
      </c>
      <c r="TH17">
        <f>IF($B17=0,1000000000,IF(INDEX('calcA'!$D$60:$EQ$99,$B17,133)*IF($W17=1,ID17+AES17,ID17)=1,IF(AND($E17=2,IF($W17=1,AKH17,NS17)=0),1000000000,IF($V17=1,INDEX('calcA'!$D$130:$EQ$169,$B17,133)+IF(AND($E17=1,NS17=0),25,0),INDEX('calcA'!EF$110:EF$114,$F17+1)+IF(AND($E17=1,NS17=0),1000,0)+IF($H17=1,INDEX('calcA'!$D$180:$EQ$219,$B17,133)*500,0)-IF(AND('calcA'!EE$117=1,ZC17&gt;0),300,0)-IF(AND($U17=1,'calcA'!EF$117=1,IE17=0),300,0))),1000000000))</f>
        <v/>
      </c>
      <c r="TI17">
        <f>IF($B17=0,1000000000,IF(INDEX('calcA'!$D$60:$EQ$99,$B17,134)*IF($W17=1,IE17+AET17,IE17)=1,IF(AND($E17=2,IF($W17=1,AKI17,NT17)=0),1000000000,IF($V17=1,INDEX('calcA'!$D$130:$EQ$169,$B17,134)+IF(AND($E17=1,NT17=0),25,0),INDEX('calcA'!EG$110:EG$114,$F17+1)+IF(AND($E17=1,NT17=0),1000,0)+IF($H17=1,INDEX('calcA'!$D$180:$EQ$219,$B17,134)*500,0)-IF(AND('calcA'!EF$117=1,ZD17&gt;0),300,0)-IF(AND($U17=1,'calcA'!EG$117=1,IF17=0),300,0))),1000000000))</f>
        <v/>
      </c>
      <c r="TJ17">
        <f>IF($B17=0,1000000000,IF(INDEX('calcA'!$D$60:$EQ$99,$B17,135)*IF($W17=1,IF17+AEU17,IF17)=1,IF(AND($E17=2,IF($W17=1,AKJ17,NU17)=0),1000000000,IF($V17=1,INDEX('calcA'!$D$130:$EQ$169,$B17,135)+IF(AND($E17=1,NU17=0),25,0),INDEX('calcA'!EH$110:EH$114,$F17+1)+IF(AND($E17=1,NU17=0),1000,0)+IF($H17=1,INDEX('calcA'!$D$180:$EQ$219,$B17,135)*500,0)-IF(AND('calcA'!EG$117=1,ZE17&gt;0),300,0)-IF(AND($U17=1,'calcA'!EH$117=1,IG17=0),300,0))),1000000000))</f>
        <v/>
      </c>
      <c r="TK17">
        <f>IF($B17=0,1000000000,IF(INDEX('calcA'!$D$60:$EQ$99,$B17,136)*IF($W17=1,IG17+AEV17,IG17)=1,IF(AND($E17=2,IF($W17=1,AKK17,NV17)=0),1000000000,IF($V17=1,INDEX('calcA'!$D$130:$EQ$169,$B17,136)+IF(AND($E17=1,NV17=0),25,0),INDEX('calcA'!EI$110:EI$114,$F17+1)+IF(AND($E17=1,NV17=0),1000,0)+IF($H17=1,INDEX('calcA'!$D$180:$EQ$219,$B17,136)*500,0)-IF(AND('calcA'!EH$117=1,ZF17&gt;0),300,0)-IF(AND($U17=1,'calcA'!EI$117=1,IH17=0),300,0))),1000000000))</f>
        <v/>
      </c>
      <c r="TL17">
        <f>IF($B17=0,1000000000,IF(INDEX('calcA'!$D$60:$EQ$99,$B17,137)*IF($W17=1,IH17+AEW17,IH17)=1,IF(AND($E17=2,IF($W17=1,AKL17,NW17)=0),1000000000,IF($V17=1,INDEX('calcA'!$D$130:$EQ$169,$B17,137)+IF(AND($E17=1,NW17=0),25,0),INDEX('calcA'!EJ$110:EJ$114,$F17+1)+IF(AND($E17=1,NW17=0),1000,0)+IF($H17=1,INDEX('calcA'!$D$180:$EQ$219,$B17,137)*500,0)-IF(AND('calcA'!EI$117=1,ZG17&gt;0),300,0)-IF(AND($U17=1,'calcA'!EJ$117=1,II17=0),300,0))),1000000000))</f>
        <v/>
      </c>
      <c r="TM17">
        <f>IF($B17=0,1000000000,IF(INDEX('calcA'!$D$60:$EQ$99,$B17,138)*IF($W17=1,II17+AEX17,II17)=1,IF(AND($E17=2,IF($W17=1,AKM17,NX17)=0),1000000000,IF($V17=1,INDEX('calcA'!$D$130:$EQ$169,$B17,138)+IF(AND($E17=1,NX17=0),25,0),INDEX('calcA'!EK$110:EK$114,$F17+1)+IF(AND($E17=1,NX17=0),1000,0)+IF($H17=1,INDEX('calcA'!$D$180:$EQ$219,$B17,138)*500,0)-IF(AND('calcA'!EJ$117=1,ZH17&gt;0),300,0)-IF(AND($U17=1,'calcA'!EK$117=1,IJ17=0),300,0))),1000000000))</f>
        <v/>
      </c>
      <c r="TN17">
        <f>IF($B17=0,1000000000,IF(INDEX('calcA'!$D$60:$EQ$99,$B17,139)*IF($W17=1,IJ17+AEY17,IJ17)=1,IF(AND($E17=2,IF($W17=1,AKN17,NY17)=0),1000000000,IF($V17=1,INDEX('calcA'!$D$130:$EQ$169,$B17,139)+IF(AND($E17=1,NY17=0),25,0),INDEX('calcA'!EL$110:EL$114,$F17+1)+IF(AND($E17=1,NY17=0),1000,0)+IF($H17=1,INDEX('calcA'!$D$180:$EQ$219,$B17,139)*500,0)-IF(AND('calcA'!EK$117=1,ZI17&gt;0),300,0)-IF(AND($U17=1,'calcA'!EL$117=1,IK17=0),300,0))),1000000000))</f>
        <v/>
      </c>
      <c r="TO17">
        <f>IF($B17=0,1000000000,IF(INDEX('calcA'!$D$60:$EQ$99,$B17,140)*IF($W17=1,IK17+AEZ17,IK17)=1,IF(AND($E17=2,IF($W17=1,AKO17,NZ17)=0),1000000000,IF($V17=1,INDEX('calcA'!$D$130:$EQ$169,$B17,140)+IF(AND($E17=1,NZ17=0),25,0),INDEX('calcA'!EM$110:EM$114,$F17+1)+IF(AND($E17=1,NZ17=0),1000,0)+IF($H17=1,INDEX('calcA'!$D$180:$EQ$219,$B17,140)*500,0)-IF(AND('calcA'!EL$117=1,ZJ17&gt;0),300,0)-IF(AND($U17=1,'calcA'!EM$117=1,IL17=0),300,0))),1000000000))</f>
        <v/>
      </c>
      <c r="TP17">
        <f>IF($B17=0,1000000000,IF(INDEX('calcA'!$D$60:$EQ$99,$B17,141)*IF($W17=1,IL17+AFA17,IL17)=1,IF(AND($E17=2,IF($W17=1,AKP17,OA17)=0),1000000000,IF($V17=1,INDEX('calcA'!$D$130:$EQ$169,$B17,141)+IF(AND($E17=1,OA17=0),25,0),INDEX('calcA'!EN$110:EN$114,$F17+1)+IF(AND($E17=1,OA17=0),1000,0)+IF($H17=1,INDEX('calcA'!$D$180:$EQ$219,$B17,141)*500,0)-IF(AND('calcA'!EM$117=1,ZK17&gt;0),300,0)-IF(AND($U17=1,'calcA'!EN$117=1,IM17=0),300,0))),1000000000))</f>
        <v/>
      </c>
      <c r="TQ17">
        <f>IF($B17=0,1000000000,IF(INDEX('calcA'!$D$60:$EQ$99,$B17,142)*IF($W17=1,IM17+AFB17,IM17)=1,IF(AND($E17=2,IF($W17=1,AKQ17,OB17)=0),1000000000,IF($V17=1,INDEX('calcA'!$D$130:$EQ$169,$B17,142)+IF(AND($E17=1,OB17=0),25,0),INDEX('calcA'!EO$110:EO$114,$F17+1)+IF(AND($E17=1,OB17=0),1000,0)+IF($H17=1,INDEX('calcA'!$D$180:$EQ$219,$B17,142)*500,0)-IF(AND('calcA'!EN$117=1,ZL17&gt;0),300,0)-IF(AND($U17=1,'calcA'!EO$117=1,IN17=0),300,0))),1000000000))</f>
        <v/>
      </c>
      <c r="TR17">
        <f>IF($B17=0,1000000000,IF(INDEX('calcA'!$D$60:$EQ$99,$B17,143)*IF($W17=1,IN17+AFC17,IN17)=1,IF(AND($E17=2,IF($W17=1,AKR17,OC17)=0),1000000000,IF($V17=1,INDEX('calcA'!$D$130:$EQ$169,$B17,143)+IF(AND($E17=1,OC17=0),25,0),INDEX('calcA'!EP$110:EP$114,$F17+1)+IF(AND($E17=1,OC17=0),1000,0)+IF($H17=1,INDEX('calcA'!$D$180:$EQ$219,$B17,143)*500,0)-IF(AND('calcA'!EO$117=1,ZM17&gt;0),300,0)-IF(AND($U17=1,'calcA'!EP$117=1,IO17=0),300,0))),1000000000))</f>
        <v/>
      </c>
      <c r="TS17">
        <f>IF($B17=0,1000000000,IF(INDEX('calcA'!$D$60:$EQ$99,$B17,144)*IF($W17=1,IO17+AFD17,IO17)=1,IF(AND($E17=2,IF($W17=1,AKS17,OD17)=0),1000000000,IF($V17=1,INDEX('calcA'!$D$130:$EQ$169,$B17,144)+IF(AND($E17=1,OD17=0),25,0),INDEX('calcA'!EQ$110:EQ$114,$F17+1)+IF(AND($E17=1,OD17=0),1000,0)+IF($H17=1,INDEX('calcA'!$D$180:$EQ$219,$B17,144)*500,0)-IF(AND('calcA'!EP$117=1,ZN17&gt;0),300,0))),1000000000))</f>
        <v/>
      </c>
      <c r="UB17">
        <f>UB16+IF(AND($C16=1,$U16=1),1,0)</f>
        <v/>
      </c>
      <c r="UC17">
        <f>UC16+IF(AND($C16=2,$U16=1),1,0)</f>
        <v/>
      </c>
      <c r="UD17">
        <f>UD16+IF(AND($C16=3,$U16=1),1,0)</f>
        <v/>
      </c>
      <c r="UE17">
        <f>UE16+IF(AND($C16=4,$U16=1),1,0)</f>
        <v/>
      </c>
      <c r="UF17">
        <f>UF16+IF(AND($C16=5,$U16=1),1,0)</f>
        <v/>
      </c>
      <c r="UG17">
        <f>UG16+IF(AND($C16=6,$U16=1),1,0)</f>
        <v/>
      </c>
      <c r="UH17">
        <f>UH16+IF(AND($C16=7,$U16=1),1,0)</f>
        <v/>
      </c>
      <c r="UI17">
        <f>UI16+IF(AND($C16=8,$U16=1),1,0)</f>
        <v/>
      </c>
      <c r="UJ17">
        <f>UJ16+IF(AND($C16=9,$U16=1),1,0)</f>
        <v/>
      </c>
      <c r="UK17">
        <f>UK16+IF(AND($C16=10,$U16=1),1,0)</f>
        <v/>
      </c>
      <c r="UL17">
        <f>UL16+IF(AND($C16=11,$U16=1),1,0)</f>
        <v/>
      </c>
      <c r="UM17">
        <f>UM16+IF(AND($C16=12,$U16=1),1,0)</f>
        <v/>
      </c>
      <c r="UN17">
        <f>UN16+IF(AND($C16=13,$U16=1),1,0)</f>
        <v/>
      </c>
      <c r="UO17">
        <f>UO16+IF(AND($C16=14,$U16=1),1,0)</f>
        <v/>
      </c>
      <c r="UP17">
        <f>UP16+IF(AND($C16=15,$U16=1),1,0)</f>
        <v/>
      </c>
      <c r="UQ17">
        <f>UQ16+IF(AND($C16=16,$U16=1),1,0)</f>
        <v/>
      </c>
      <c r="UR17">
        <f>UR16+IF(AND($C16=17,$U16=1),1,0)</f>
        <v/>
      </c>
      <c r="US17">
        <f>US16+IF(AND($C16=18,$U16=1),1,0)</f>
        <v/>
      </c>
      <c r="UT17">
        <f>UT16+IF(AND($C16=19,$U16=1),1,0)</f>
        <v/>
      </c>
      <c r="UU17">
        <f>UU16+IF(AND($C16=20,$U16=1),1,0)</f>
        <v/>
      </c>
      <c r="UV17">
        <f>UV16+IF(AND($C16=21,$U16=1),1,0)</f>
        <v/>
      </c>
      <c r="UW17">
        <f>UW16+IF(AND($C16=22,$U16=1),1,0)</f>
        <v/>
      </c>
      <c r="UX17">
        <f>UX16+IF(AND($C16=23,$U16=1),1,0)</f>
        <v/>
      </c>
      <c r="UY17">
        <f>UY16+IF(AND($C16=24,$U16=1),1,0)</f>
        <v/>
      </c>
      <c r="UZ17">
        <f>UZ16+IF(AND($C16=25,$U16=1),1,0)</f>
        <v/>
      </c>
      <c r="VA17">
        <f>VA16+IF(AND($C16=26,$U16=1),1,0)</f>
        <v/>
      </c>
      <c r="VB17">
        <f>VB16+IF(AND($C16=27,$U16=1),1,0)</f>
        <v/>
      </c>
      <c r="VC17">
        <f>VC16+IF(AND($C16=28,$U16=1),1,0)</f>
        <v/>
      </c>
      <c r="VD17">
        <f>VD16+IF(AND($C16=29,$U16=1),1,0)</f>
        <v/>
      </c>
      <c r="VE17">
        <f>VE16+IF(AND($C16=30,$U16=1),1,0)</f>
        <v/>
      </c>
      <c r="VF17">
        <f>VF16+IF(AND($C16=31,$U16=1),1,0)</f>
        <v/>
      </c>
      <c r="VG17">
        <f>VG16+IF(AND($C16=32,$U16=1),1,0)</f>
        <v/>
      </c>
      <c r="VH17">
        <f>VH16+IF(AND($C16=33,$U16=1),1,0)</f>
        <v/>
      </c>
      <c r="VI17">
        <f>VI16+IF(AND($C16=34,$U16=1),1,0)</f>
        <v/>
      </c>
      <c r="VJ17">
        <f>VJ16+IF(AND($C16=35,$U16=1),1,0)</f>
        <v/>
      </c>
      <c r="VK17">
        <f>VK16+IF(AND($C16=36,$U16=1),1,0)</f>
        <v/>
      </c>
      <c r="VL17">
        <f>VL16+IF(AND($C16=37,$U16=1),1,0)</f>
        <v/>
      </c>
      <c r="VM17">
        <f>VM16+IF(AND($C16=38,$U16=1),1,0)</f>
        <v/>
      </c>
      <c r="VN17">
        <f>VN16+IF(AND($C16=39,$U16=1),1,0)</f>
        <v/>
      </c>
      <c r="VO17">
        <f>VO16+IF(AND($C16=40,$U16=1),1,0)</f>
        <v/>
      </c>
      <c r="VP17">
        <f>VP16+IF(AND($C16=41,$U16=1),1,0)</f>
        <v/>
      </c>
      <c r="VQ17">
        <f>VQ16+IF(AND($C16=42,$U16=1),1,0)</f>
        <v/>
      </c>
      <c r="VR17">
        <f>VR16+IF(AND($C16=43,$U16=1),1,0)</f>
        <v/>
      </c>
      <c r="VS17">
        <f>VS16+IF(AND($C16=44,$U16=1),1,0)</f>
        <v/>
      </c>
      <c r="VT17">
        <f>VT16+IF(AND($C16=45,$U16=1),1,0)</f>
        <v/>
      </c>
      <c r="VU17">
        <f>VU16+IF(AND($C16=46,$U16=1),1,0)</f>
        <v/>
      </c>
      <c r="VV17">
        <f>VV16+IF(AND($C16=47,$U16=1),1,0)</f>
        <v/>
      </c>
      <c r="VW17">
        <f>VW16+IF(AND($C16=48,$U16=1),1,0)</f>
        <v/>
      </c>
      <c r="VX17">
        <f>VX16+IF(AND($C16=49,$U16=1),1,0)</f>
        <v/>
      </c>
      <c r="VY17">
        <f>VY16+IF(AND($C16=50,$U16=1),1,0)</f>
        <v/>
      </c>
      <c r="VZ17">
        <f>VZ16+IF(AND($C16=51,$U16=1),1,0)</f>
        <v/>
      </c>
      <c r="WA17">
        <f>WA16+IF(AND($C16=52,$U16=1),1,0)</f>
        <v/>
      </c>
      <c r="WB17">
        <f>WB16+IF(AND($C16=53,$U16=1),1,0)</f>
        <v/>
      </c>
      <c r="WC17">
        <f>WC16+IF(AND($C16=54,$U16=1),1,0)</f>
        <v/>
      </c>
      <c r="WD17">
        <f>WD16+IF(AND($C16=55,$U16=1),1,0)</f>
        <v/>
      </c>
      <c r="WE17">
        <f>WE16+IF(AND($C16=56,$U16=1),1,0)</f>
        <v/>
      </c>
      <c r="WF17">
        <f>WF16+IF(AND($C16=57,$U16=1),1,0)</f>
        <v/>
      </c>
      <c r="WG17">
        <f>WG16+IF(AND($C16=58,$U16=1),1,0)</f>
        <v/>
      </c>
      <c r="WH17">
        <f>WH16+IF(AND($C16=59,$U16=1),1,0)</f>
        <v/>
      </c>
      <c r="WI17">
        <f>WI16+IF(AND($C16=60,$U16=1),1,0)</f>
        <v/>
      </c>
      <c r="WJ17">
        <f>WJ16+IF(AND($C16=61,$U16=1),1,0)</f>
        <v/>
      </c>
      <c r="WK17">
        <f>WK16+IF(AND($C16=62,$U16=1),1,0)</f>
        <v/>
      </c>
      <c r="WL17">
        <f>WL16+IF(AND($C16=63,$U16=1),1,0)</f>
        <v/>
      </c>
      <c r="WM17">
        <f>WM16+IF(AND($C16=64,$U16=1),1,0)</f>
        <v/>
      </c>
      <c r="WN17">
        <f>WN16+IF(AND($C16=65,$U16=1),1,0)</f>
        <v/>
      </c>
      <c r="WO17">
        <f>WO16+IF(AND($C16=66,$U16=1),1,0)</f>
        <v/>
      </c>
      <c r="WP17">
        <f>WP16+IF(AND($C16=67,$U16=1),1,0)</f>
        <v/>
      </c>
      <c r="WQ17">
        <f>WQ16+IF(AND($C16=68,$U16=1),1,0)</f>
        <v/>
      </c>
      <c r="WR17">
        <f>WR16+IF(AND($C16=69,$U16=1),1,0)</f>
        <v/>
      </c>
      <c r="WS17">
        <f>WS16+IF(AND($C16=70,$U16=1),1,0)</f>
        <v/>
      </c>
      <c r="WT17">
        <f>WT16+IF(AND($C16=71,$U16=1),1,0)</f>
        <v/>
      </c>
      <c r="WU17">
        <f>WU16+IF(AND($C16=72,$U16=1),1,0)</f>
        <v/>
      </c>
      <c r="WV17">
        <f>WV16+IF(AND($C16=73,$U16=1),1,0)</f>
        <v/>
      </c>
      <c r="WW17">
        <f>WW16+IF(AND($C16=74,$U16=1),1,0)</f>
        <v/>
      </c>
      <c r="WX17">
        <f>WX16+IF(AND($C16=75,$U16=1),1,0)</f>
        <v/>
      </c>
      <c r="WY17">
        <f>WY16+IF(AND($C16=76,$U16=1),1,0)</f>
        <v/>
      </c>
      <c r="WZ17">
        <f>WZ16+IF(AND($C16=77,$U16=1),1,0)</f>
        <v/>
      </c>
      <c r="XA17">
        <f>XA16+IF(AND($C16=78,$U16=1),1,0)</f>
        <v/>
      </c>
      <c r="XB17">
        <f>XB16+IF(AND($C16=79,$U16=1),1,0)</f>
        <v/>
      </c>
      <c r="XC17">
        <f>XC16+IF(AND($C16=80,$U16=1),1,0)</f>
        <v/>
      </c>
      <c r="XD17">
        <f>XD16+IF(AND($C16=81,$U16=1),1,0)</f>
        <v/>
      </c>
      <c r="XE17">
        <f>XE16+IF(AND($C16=82,$U16=1),1,0)</f>
        <v/>
      </c>
      <c r="XF17">
        <f>XF16+IF(AND($C16=83,$U16=1),1,0)</f>
        <v/>
      </c>
      <c r="XG17">
        <f>XG16+IF(AND($C16=84,$U16=1),1,0)</f>
        <v/>
      </c>
      <c r="XH17">
        <f>XH16+IF(AND($C16=85,$U16=1),1,0)</f>
        <v/>
      </c>
      <c r="XI17">
        <f>XI16+IF(AND($C16=86,$U16=1),1,0)</f>
        <v/>
      </c>
      <c r="XJ17">
        <f>XJ16+IF(AND($C16=87,$U16=1),1,0)</f>
        <v/>
      </c>
      <c r="XK17">
        <f>XK16+IF(AND($C16=88,$U16=1),1,0)</f>
        <v/>
      </c>
      <c r="XL17">
        <f>XL16+IF(AND($C16=89,$U16=1),1,0)</f>
        <v/>
      </c>
      <c r="XM17">
        <f>XM16+IF(AND($C16=90,$U16=1),1,0)</f>
        <v/>
      </c>
      <c r="XN17">
        <f>XN16+IF(AND($C16=91,$U16=1),1,0)</f>
        <v/>
      </c>
      <c r="XO17">
        <f>XO16+IF(AND($C16=92,$U16=1),1,0)</f>
        <v/>
      </c>
      <c r="XP17">
        <f>XP16+IF(AND($C16=93,$U16=1),1,0)</f>
        <v/>
      </c>
      <c r="XQ17">
        <f>XQ16+IF(AND($C16=94,$U16=1),1,0)</f>
        <v/>
      </c>
      <c r="XR17">
        <f>XR16+IF(AND($C16=95,$U16=1),1,0)</f>
        <v/>
      </c>
      <c r="XS17">
        <f>XS16+IF(AND($C16=96,$U16=1),1,0)</f>
        <v/>
      </c>
      <c r="XT17">
        <f>XT16+IF(AND($C16=97,$U16=1),1,0)</f>
        <v/>
      </c>
      <c r="XU17">
        <f>XU16+IF(AND($C16=98,$U16=1),1,0)</f>
        <v/>
      </c>
      <c r="XV17">
        <f>XV16+IF(AND($C16=99,$U16=1),1,0)</f>
        <v/>
      </c>
      <c r="XW17">
        <f>XW16+IF(AND($C16=100,$U16=1),1,0)</f>
        <v/>
      </c>
      <c r="XX17">
        <f>XX16+IF(AND($C16=101,$U16=1),1,0)</f>
        <v/>
      </c>
      <c r="XY17">
        <f>XY16+IF(AND($C16=102,$U16=1),1,0)</f>
        <v/>
      </c>
      <c r="XZ17">
        <f>XZ16+IF(AND($C16=103,$U16=1),1,0)</f>
        <v/>
      </c>
      <c r="YA17">
        <f>YA16+IF(AND($C16=104,$U16=1),1,0)</f>
        <v/>
      </c>
      <c r="YB17">
        <f>YB16+IF(AND($C16=105,$U16=1),1,0)</f>
        <v/>
      </c>
      <c r="YC17">
        <f>YC16+IF(AND($C16=106,$U16=1),1,0)</f>
        <v/>
      </c>
      <c r="YD17">
        <f>YD16+IF(AND($C16=107,$U16=1),1,0)</f>
        <v/>
      </c>
      <c r="YE17">
        <f>YE16+IF(AND($C16=108,$U16=1),1,0)</f>
        <v/>
      </c>
      <c r="YF17">
        <f>YF16+IF(AND($C16=109,$U16=1),1,0)</f>
        <v/>
      </c>
      <c r="YG17">
        <f>YG16+IF(AND($C16=110,$U16=1),1,0)</f>
        <v/>
      </c>
      <c r="YH17">
        <f>YH16+IF(AND($C16=111,$U16=1),1,0)</f>
        <v/>
      </c>
      <c r="YI17">
        <f>YI16+IF(AND($C16=112,$U16=1),1,0)</f>
        <v/>
      </c>
      <c r="YJ17">
        <f>YJ16+IF(AND($C16=113,$U16=1),1,0)</f>
        <v/>
      </c>
      <c r="YK17">
        <f>YK16+IF(AND($C16=114,$U16=1),1,0)</f>
        <v/>
      </c>
      <c r="YL17">
        <f>YL16+IF(AND($C16=115,$U16=1),1,0)</f>
        <v/>
      </c>
      <c r="YM17">
        <f>YM16+IF(AND($C16=116,$U16=1),1,0)</f>
        <v/>
      </c>
      <c r="YN17">
        <f>YN16+IF(AND($C16=117,$U16=1),1,0)</f>
        <v/>
      </c>
      <c r="YO17">
        <f>YO16+IF(AND($C16=118,$U16=1),1,0)</f>
        <v/>
      </c>
      <c r="YP17">
        <f>YP16+IF(AND($C16=119,$U16=1),1,0)</f>
        <v/>
      </c>
      <c r="YQ17">
        <f>YQ16+IF(AND($C16=120,$U16=1),1,0)</f>
        <v/>
      </c>
      <c r="YR17">
        <f>YR16+IF(AND($C16=121,$U16=1),1,0)</f>
        <v/>
      </c>
      <c r="YS17">
        <f>YS16+IF(AND($C16=122,$U16=1),1,0)</f>
        <v/>
      </c>
      <c r="YT17">
        <f>YT16+IF(AND($C16=123,$U16=1),1,0)</f>
        <v/>
      </c>
      <c r="YU17">
        <f>YU16+IF(AND($C16=124,$U16=1),1,0)</f>
        <v/>
      </c>
      <c r="YV17">
        <f>YV16+IF(AND($C16=125,$U16=1),1,0)</f>
        <v/>
      </c>
      <c r="YW17">
        <f>YW16+IF(AND($C16=126,$U16=1),1,0)</f>
        <v/>
      </c>
      <c r="YX17">
        <f>YX16+IF(AND($C16=127,$U16=1),1,0)</f>
        <v/>
      </c>
      <c r="YY17">
        <f>YY16+IF(AND($C16=128,$U16=1),1,0)</f>
        <v/>
      </c>
      <c r="YZ17">
        <f>YZ16+IF(AND($C16=129,$U16=1),1,0)</f>
        <v/>
      </c>
      <c r="ZA17">
        <f>ZA16+IF(AND($C16=130,$U16=1),1,0)</f>
        <v/>
      </c>
      <c r="ZB17">
        <f>ZB16+IF(AND($C16=131,$U16=1),1,0)</f>
        <v/>
      </c>
      <c r="ZC17">
        <f>ZC16+IF(AND($C16=132,$U16=1),1,0)</f>
        <v/>
      </c>
      <c r="ZD17">
        <f>ZD16+IF(AND($C16=133,$U16=1),1,0)</f>
        <v/>
      </c>
      <c r="ZE17">
        <f>ZE16+IF(AND($C16=134,$U16=1),1,0)</f>
        <v/>
      </c>
      <c r="ZF17">
        <f>ZF16+IF(AND($C16=135,$U16=1),1,0)</f>
        <v/>
      </c>
      <c r="ZG17">
        <f>ZG16+IF(AND($C16=136,$U16=1),1,0)</f>
        <v/>
      </c>
      <c r="ZH17">
        <f>ZH16+IF(AND($C16=137,$U16=1),1,0)</f>
        <v/>
      </c>
      <c r="ZI17">
        <f>ZI16+IF(AND($C16=138,$U16=1),1,0)</f>
        <v/>
      </c>
      <c r="ZJ17">
        <f>ZJ16+IF(AND($C16=139,$U16=1),1,0)</f>
        <v/>
      </c>
      <c r="ZK17">
        <f>ZK16+IF(AND($C16=140,$U16=1),1,0)</f>
        <v/>
      </c>
      <c r="ZL17">
        <f>ZL16+IF(AND($C16=141,$U16=1),1,0)</f>
        <v/>
      </c>
      <c r="ZM17">
        <f>ZM16+IF(AND($C16=142,$U16=1),1,0)</f>
        <v/>
      </c>
      <c r="ZN17">
        <f>ZN16+IF(AND($C16=143,$U16=1),1,0)</f>
        <v/>
      </c>
      <c r="ZO17">
        <f>ZO16+IF(AND($C16=144,$U16=1),1,0)</f>
        <v/>
      </c>
      <c r="ZQ17">
        <f>IF($C16=1,0,ZQ16+IF(AND($G16=1,$E16=1),1,0))</f>
        <v/>
      </c>
      <c r="ZR17">
        <f>IF($C16=2,0,ZR16+IF(AND($G16=2,$E16=1),1,0))</f>
        <v/>
      </c>
      <c r="ZS17">
        <f>IF($C16=3,0,ZS16+IF(AND($G16=3,$E16=1),1,0))</f>
        <v/>
      </c>
      <c r="ZT17">
        <f>IF($C16=4,0,ZT16+IF(AND($G16=4,$E16=1),1,0))</f>
        <v/>
      </c>
      <c r="ZU17">
        <f>IF($C16=5,0,ZU16+IF(AND($G16=5,$E16=1),1,0))</f>
        <v/>
      </c>
      <c r="ZV17">
        <f>IF($C16=6,0,ZV16+IF(AND($G16=6,$E16=1),1,0))</f>
        <v/>
      </c>
      <c r="ZW17">
        <f>IF($C16=7,0,ZW16+IF(AND($G16=7,$E16=1),1,0))</f>
        <v/>
      </c>
      <c r="ZX17">
        <f>IF($C16=8,0,ZX16+IF(AND($G16=8,$E16=1),1,0))</f>
        <v/>
      </c>
      <c r="ZY17">
        <f>IF($C16=9,0,ZY16+IF(AND($G16=9,$E16=1),1,0))</f>
        <v/>
      </c>
      <c r="ZZ17">
        <f>IF($C16=10,0,ZZ16+IF(AND($G16=10,$E16=1),1,0))</f>
        <v/>
      </c>
      <c r="AAA17">
        <f>IF($C16=11,0,AAA16+IF(AND($G16=11,$E16=1),1,0))</f>
        <v/>
      </c>
      <c r="AAB17">
        <f>IF($C16=12,0,AAB16+IF(AND($G16=12,$E16=1),1,0))</f>
        <v/>
      </c>
      <c r="AAC17">
        <f>IF($C16=13,0,AAC16+IF(AND($G16=13,$E16=1),1,0))</f>
        <v/>
      </c>
      <c r="AAD17">
        <f>IF($C16=14,0,AAD16+IF(AND($G16=14,$E16=1),1,0))</f>
        <v/>
      </c>
      <c r="AAE17">
        <f>IF($C16=15,0,AAE16+IF(AND($G16=15,$E16=1),1,0))</f>
        <v/>
      </c>
      <c r="AAF17">
        <f>IF($C16=16,0,AAF16+IF(AND($G16=16,$E16=1),1,0))</f>
        <v/>
      </c>
      <c r="AAG17">
        <f>IF($C16=17,0,AAG16+IF(AND($G16=17,$E16=1),1,0))</f>
        <v/>
      </c>
      <c r="AAH17">
        <f>IF($C16=18,0,AAH16+IF(AND($G16=18,$E16=1),1,0))</f>
        <v/>
      </c>
      <c r="AAI17">
        <f>IF($C16=19,0,AAI16+IF(AND($G16=19,$E16=1),1,0))</f>
        <v/>
      </c>
      <c r="AAJ17">
        <f>IF($C16=20,0,AAJ16+IF(AND($G16=20,$E16=1),1,0))</f>
        <v/>
      </c>
      <c r="AAK17">
        <f>IF($C16=21,0,AAK16+IF(AND($G16=21,$E16=1),1,0))</f>
        <v/>
      </c>
      <c r="AAL17">
        <f>IF($C16=22,0,AAL16+IF(AND($G16=22,$E16=1),1,0))</f>
        <v/>
      </c>
      <c r="AAM17">
        <f>IF($C16=23,0,AAM16+IF(AND($G16=23,$E16=1),1,0))</f>
        <v/>
      </c>
      <c r="AAN17">
        <f>IF($C16=24,0,AAN16+IF(AND($G16=24,$E16=1),1,0))</f>
        <v/>
      </c>
      <c r="AAO17">
        <f>IF($C16=25,0,AAO16+IF(AND($G16=25,$E16=1),1,0))</f>
        <v/>
      </c>
      <c r="AAP17">
        <f>IF($C16=26,0,AAP16+IF(AND($G16=26,$E16=1),1,0))</f>
        <v/>
      </c>
      <c r="AAQ17">
        <f>IF($C16=27,0,AAQ16+IF(AND($G16=27,$E16=1),1,0))</f>
        <v/>
      </c>
      <c r="AAR17">
        <f>IF($C16=28,0,AAR16+IF(AND($G16=28,$E16=1),1,0))</f>
        <v/>
      </c>
      <c r="AAS17">
        <f>IF($C16=29,0,AAS16+IF(AND($G16=29,$E16=1),1,0))</f>
        <v/>
      </c>
      <c r="AAT17">
        <f>IF($C16=30,0,AAT16+IF(AND($G16=30,$E16=1),1,0))</f>
        <v/>
      </c>
      <c r="AAU17">
        <f>IF($C16=31,0,AAU16+IF(AND($G16=31,$E16=1),1,0))</f>
        <v/>
      </c>
      <c r="AAV17">
        <f>IF($C16=32,0,AAV16+IF(AND($G16=32,$E16=1),1,0))</f>
        <v/>
      </c>
      <c r="AAW17">
        <f>IF($C16=33,0,AAW16+IF(AND($G16=33,$E16=1),1,0))</f>
        <v/>
      </c>
      <c r="AAX17">
        <f>IF($C16=34,0,AAX16+IF(AND($G16=34,$E16=1),1,0))</f>
        <v/>
      </c>
      <c r="AAY17">
        <f>IF($C16=35,0,AAY16+IF(AND($G16=35,$E16=1),1,0))</f>
        <v/>
      </c>
      <c r="AAZ17">
        <f>IF($C16=36,0,AAZ16+IF(AND($G16=36,$E16=1),1,0))</f>
        <v/>
      </c>
      <c r="ABA17">
        <f>IF($C16=37,0,ABA16+IF(AND($G16=37,$E16=1),1,0))</f>
        <v/>
      </c>
      <c r="ABB17">
        <f>IF($C16=38,0,ABB16+IF(AND($G16=38,$E16=1),1,0))</f>
        <v/>
      </c>
      <c r="ABC17">
        <f>IF($C16=39,0,ABC16+IF(AND($G16=39,$E16=1),1,0))</f>
        <v/>
      </c>
      <c r="ABD17">
        <f>IF($C16=40,0,ABD16+IF(AND($G16=40,$E16=1),1,0))</f>
        <v/>
      </c>
      <c r="ABE17">
        <f>IF($C16=41,0,ABE16+IF(AND($G16=41,$E16=1),1,0))</f>
        <v/>
      </c>
      <c r="ABF17">
        <f>IF($C16=42,0,ABF16+IF(AND($G16=42,$E16=1),1,0))</f>
        <v/>
      </c>
      <c r="ABG17">
        <f>IF($C16=43,0,ABG16+IF(AND($G16=43,$E16=1),1,0))</f>
        <v/>
      </c>
      <c r="ABH17">
        <f>IF($C16=44,0,ABH16+IF(AND($G16=44,$E16=1),1,0))</f>
        <v/>
      </c>
      <c r="ABI17">
        <f>IF($C16=45,0,ABI16+IF(AND($G16=45,$E16=1),1,0))</f>
        <v/>
      </c>
      <c r="ABJ17">
        <f>IF($C16=46,0,ABJ16+IF(AND($G16=46,$E16=1),1,0))</f>
        <v/>
      </c>
      <c r="ABK17">
        <f>IF($C16=47,0,ABK16+IF(AND($G16=47,$E16=1),1,0))</f>
        <v/>
      </c>
      <c r="ABL17">
        <f>IF($C16=48,0,ABL16+IF(AND($G16=48,$E16=1),1,0))</f>
        <v/>
      </c>
      <c r="ABM17">
        <f>IF($C16=49,0,ABM16+IF(AND($G16=49,$E16=1),1,0))</f>
        <v/>
      </c>
      <c r="ABN17">
        <f>IF($C16=50,0,ABN16+IF(AND($G16=50,$E16=1),1,0))</f>
        <v/>
      </c>
      <c r="ABO17">
        <f>IF($C16=51,0,ABO16+IF(AND($G16=51,$E16=1),1,0))</f>
        <v/>
      </c>
      <c r="ABP17">
        <f>IF($C16=52,0,ABP16+IF(AND($G16=52,$E16=1),1,0))</f>
        <v/>
      </c>
      <c r="ABQ17">
        <f>IF($C16=53,0,ABQ16+IF(AND($G16=53,$E16=1),1,0))</f>
        <v/>
      </c>
      <c r="ABR17">
        <f>IF($C16=54,0,ABR16+IF(AND($G16=54,$E16=1),1,0))</f>
        <v/>
      </c>
      <c r="ABS17">
        <f>IF($C16=55,0,ABS16+IF(AND($G16=55,$E16=1),1,0))</f>
        <v/>
      </c>
      <c r="ABT17">
        <f>IF($C16=56,0,ABT16+IF(AND($G16=56,$E16=1),1,0))</f>
        <v/>
      </c>
      <c r="ABU17">
        <f>IF($C16=57,0,ABU16+IF(AND($G16=57,$E16=1),1,0))</f>
        <v/>
      </c>
      <c r="ABV17">
        <f>IF($C16=58,0,ABV16+IF(AND($G16=58,$E16=1),1,0))</f>
        <v/>
      </c>
      <c r="ABW17">
        <f>IF($C16=59,0,ABW16+IF(AND($G16=59,$E16=1),1,0))</f>
        <v/>
      </c>
      <c r="ABX17">
        <f>IF($C16=60,0,ABX16+IF(AND($G16=60,$E16=1),1,0))</f>
        <v/>
      </c>
      <c r="ABY17">
        <f>IF($C16=61,0,ABY16+IF(AND($G16=61,$E16=1),1,0))</f>
        <v/>
      </c>
      <c r="ABZ17">
        <f>IF($C16=62,0,ABZ16+IF(AND($G16=62,$E16=1),1,0))</f>
        <v/>
      </c>
      <c r="ACA17">
        <f>IF($C16=63,0,ACA16+IF(AND($G16=63,$E16=1),1,0))</f>
        <v/>
      </c>
      <c r="ACB17">
        <f>IF($C16=64,0,ACB16+IF(AND($G16=64,$E16=1),1,0))</f>
        <v/>
      </c>
      <c r="ACC17">
        <f>IF($C16=65,0,ACC16+IF(AND($G16=65,$E16=1),1,0))</f>
        <v/>
      </c>
      <c r="ACD17">
        <f>IF($C16=66,0,ACD16+IF(AND($G16=66,$E16=1),1,0))</f>
        <v/>
      </c>
      <c r="ACE17">
        <f>IF($C16=67,0,ACE16+IF(AND($G16=67,$E16=1),1,0))</f>
        <v/>
      </c>
      <c r="ACF17">
        <f>IF($C16=68,0,ACF16+IF(AND($G16=68,$E16=1),1,0))</f>
        <v/>
      </c>
      <c r="ACG17">
        <f>IF($C16=69,0,ACG16+IF(AND($G16=69,$E16=1),1,0))</f>
        <v/>
      </c>
      <c r="ACH17">
        <f>IF($C16=70,0,ACH16+IF(AND($G16=70,$E16=1),1,0))</f>
        <v/>
      </c>
      <c r="ACI17">
        <f>IF($C16=71,0,ACI16+IF(AND($G16=71,$E16=1),1,0))</f>
        <v/>
      </c>
      <c r="ACJ17">
        <f>IF($C16=72,0,ACJ16+IF(AND($G16=72,$E16=1),1,0))</f>
        <v/>
      </c>
      <c r="ACK17">
        <f>IF($C16=73,0,ACK16+IF(AND($G16=73,$E16=1),1,0))</f>
        <v/>
      </c>
      <c r="ACL17">
        <f>IF($C16=74,0,ACL16+IF(AND($G16=74,$E16=1),1,0))</f>
        <v/>
      </c>
      <c r="ACM17">
        <f>IF($C16=75,0,ACM16+IF(AND($G16=75,$E16=1),1,0))</f>
        <v/>
      </c>
      <c r="ACN17">
        <f>IF($C16=76,0,ACN16+IF(AND($G16=76,$E16=1),1,0))</f>
        <v/>
      </c>
      <c r="ACO17">
        <f>IF($C16=77,0,ACO16+IF(AND($G16=77,$E16=1),1,0))</f>
        <v/>
      </c>
      <c r="ACP17">
        <f>IF($C16=78,0,ACP16+IF(AND($G16=78,$E16=1),1,0))</f>
        <v/>
      </c>
      <c r="ACQ17">
        <f>IF($C16=79,0,ACQ16+IF(AND($G16=79,$E16=1),1,0))</f>
        <v/>
      </c>
      <c r="ACR17">
        <f>IF($C16=80,0,ACR16+IF(AND($G16=80,$E16=1),1,0))</f>
        <v/>
      </c>
      <c r="ACS17">
        <f>IF($C16=81,0,ACS16+IF(AND($G16=81,$E16=1),1,0))</f>
        <v/>
      </c>
      <c r="ACT17">
        <f>IF($C16=82,0,ACT16+IF(AND($G16=82,$E16=1),1,0))</f>
        <v/>
      </c>
      <c r="ACU17">
        <f>IF($C16=83,0,ACU16+IF(AND($G16=83,$E16=1),1,0))</f>
        <v/>
      </c>
      <c r="ACV17">
        <f>IF($C16=84,0,ACV16+IF(AND($G16=84,$E16=1),1,0))</f>
        <v/>
      </c>
      <c r="ACW17">
        <f>IF($C16=85,0,ACW16+IF(AND($G16=85,$E16=1),1,0))</f>
        <v/>
      </c>
      <c r="ACX17">
        <f>IF($C16=86,0,ACX16+IF(AND($G16=86,$E16=1),1,0))</f>
        <v/>
      </c>
      <c r="ACY17">
        <f>IF($C16=87,0,ACY16+IF(AND($G16=87,$E16=1),1,0))</f>
        <v/>
      </c>
      <c r="ACZ17">
        <f>IF($C16=88,0,ACZ16+IF(AND($G16=88,$E16=1),1,0))</f>
        <v/>
      </c>
      <c r="ADA17">
        <f>IF($C16=89,0,ADA16+IF(AND($G16=89,$E16=1),1,0))</f>
        <v/>
      </c>
      <c r="ADB17">
        <f>IF($C16=90,0,ADB16+IF(AND($G16=90,$E16=1),1,0))</f>
        <v/>
      </c>
      <c r="ADC17">
        <f>IF($C16=91,0,ADC16+IF(AND($G16=91,$E16=1),1,0))</f>
        <v/>
      </c>
      <c r="ADD17">
        <f>IF($C16=92,0,ADD16+IF(AND($G16=92,$E16=1),1,0))</f>
        <v/>
      </c>
      <c r="ADE17">
        <f>IF($C16=93,0,ADE16+IF(AND($G16=93,$E16=1),1,0))</f>
        <v/>
      </c>
      <c r="ADF17">
        <f>IF($C16=94,0,ADF16+IF(AND($G16=94,$E16=1),1,0))</f>
        <v/>
      </c>
      <c r="ADG17">
        <f>IF($C16=95,0,ADG16+IF(AND($G16=95,$E16=1),1,0))</f>
        <v/>
      </c>
      <c r="ADH17">
        <f>IF($C16=96,0,ADH16+IF(AND($G16=96,$E16=1),1,0))</f>
        <v/>
      </c>
      <c r="ADI17">
        <f>IF($C16=97,0,ADI16+IF(AND($G16=97,$E16=1),1,0))</f>
        <v/>
      </c>
      <c r="ADJ17">
        <f>IF($C16=98,0,ADJ16+IF(AND($G16=98,$E16=1),1,0))</f>
        <v/>
      </c>
      <c r="ADK17">
        <f>IF($C16=99,0,ADK16+IF(AND($G16=99,$E16=1),1,0))</f>
        <v/>
      </c>
      <c r="ADL17">
        <f>IF($C16=100,0,ADL16+IF(AND($G16=100,$E16=1),1,0))</f>
        <v/>
      </c>
      <c r="ADM17">
        <f>IF($C16=101,0,ADM16+IF(AND($G16=101,$E16=1),1,0))</f>
        <v/>
      </c>
      <c r="ADN17">
        <f>IF($C16=102,0,ADN16+IF(AND($G16=102,$E16=1),1,0))</f>
        <v/>
      </c>
      <c r="ADO17">
        <f>IF($C16=103,0,ADO16+IF(AND($G16=103,$E16=1),1,0))</f>
        <v/>
      </c>
      <c r="ADP17">
        <f>IF($C16=104,0,ADP16+IF(AND($G16=104,$E16=1),1,0))</f>
        <v/>
      </c>
      <c r="ADQ17">
        <f>IF($C16=105,0,ADQ16+IF(AND($G16=105,$E16=1),1,0))</f>
        <v/>
      </c>
      <c r="ADR17">
        <f>IF($C16=106,0,ADR16+IF(AND($G16=106,$E16=1),1,0))</f>
        <v/>
      </c>
      <c r="ADS17">
        <f>IF($C16=107,0,ADS16+IF(AND($G16=107,$E16=1),1,0))</f>
        <v/>
      </c>
      <c r="ADT17">
        <f>IF($C16=108,0,ADT16+IF(AND($G16=108,$E16=1),1,0))</f>
        <v/>
      </c>
      <c r="ADU17">
        <f>IF($C16=109,0,ADU16+IF(AND($G16=109,$E16=1),1,0))</f>
        <v/>
      </c>
      <c r="ADV17">
        <f>IF($C16=110,0,ADV16+IF(AND($G16=110,$E16=1),1,0))</f>
        <v/>
      </c>
      <c r="ADW17">
        <f>IF($C16=111,0,ADW16+IF(AND($G16=111,$E16=1),1,0))</f>
        <v/>
      </c>
      <c r="ADX17">
        <f>IF($C16=112,0,ADX16+IF(AND($G16=112,$E16=1),1,0))</f>
        <v/>
      </c>
      <c r="ADY17">
        <f>IF($C16=113,0,ADY16+IF(AND($G16=113,$E16=1),1,0))</f>
        <v/>
      </c>
      <c r="ADZ17">
        <f>IF($C16=114,0,ADZ16+IF(AND($G16=114,$E16=1),1,0))</f>
        <v/>
      </c>
      <c r="AEA17">
        <f>IF($C16=115,0,AEA16+IF(AND($G16=115,$E16=1),1,0))</f>
        <v/>
      </c>
      <c r="AEB17">
        <f>IF($C16=116,0,AEB16+IF(AND($G16=116,$E16=1),1,0))</f>
        <v/>
      </c>
      <c r="AEC17">
        <f>IF($C16=117,0,AEC16+IF(AND($G16=117,$E16=1),1,0))</f>
        <v/>
      </c>
      <c r="AED17">
        <f>IF($C16=118,0,AED16+IF(AND($G16=118,$E16=1),1,0))</f>
        <v/>
      </c>
      <c r="AEE17">
        <f>IF($C16=119,0,AEE16+IF(AND($G16=119,$E16=1),1,0))</f>
        <v/>
      </c>
      <c r="AEF17">
        <f>IF($C16=120,0,AEF16+IF(AND($G16=120,$E16=1),1,0))</f>
        <v/>
      </c>
      <c r="AEG17">
        <f>IF($C16=121,0,AEG16+IF(AND($G16=121,$E16=1),1,0))</f>
        <v/>
      </c>
      <c r="AEH17">
        <f>IF($C16=122,0,AEH16+IF(AND($G16=122,$E16=1),1,0))</f>
        <v/>
      </c>
      <c r="AEI17">
        <f>IF($C16=123,0,AEI16+IF(AND($G16=123,$E16=1),1,0))</f>
        <v/>
      </c>
      <c r="AEJ17">
        <f>IF($C16=124,0,AEJ16+IF(AND($G16=124,$E16=1),1,0))</f>
        <v/>
      </c>
      <c r="AEK17">
        <f>IF($C16=125,0,AEK16+IF(AND($G16=125,$E16=1),1,0))</f>
        <v/>
      </c>
      <c r="AEL17">
        <f>IF($C16=126,0,AEL16+IF(AND($G16=126,$E16=1),1,0))</f>
        <v/>
      </c>
      <c r="AEM17">
        <f>IF($C16=127,0,AEM16+IF(AND($G16=127,$E16=1),1,0))</f>
        <v/>
      </c>
      <c r="AEN17">
        <f>IF($C16=128,0,AEN16+IF(AND($G16=128,$E16=1),1,0))</f>
        <v/>
      </c>
      <c r="AEO17">
        <f>IF($C16=129,0,AEO16+IF(AND($G16=129,$E16=1),1,0))</f>
        <v/>
      </c>
      <c r="AEP17">
        <f>IF($C16=130,0,AEP16+IF(AND($G16=130,$E16=1),1,0))</f>
        <v/>
      </c>
      <c r="AEQ17">
        <f>IF($C16=131,0,AEQ16+IF(AND($G16=131,$E16=1),1,0))</f>
        <v/>
      </c>
      <c r="AER17">
        <f>IF($C16=132,0,AER16+IF(AND($G16=132,$E16=1),1,0))</f>
        <v/>
      </c>
      <c r="AES17">
        <f>IF($C16=133,0,AES16+IF(AND($G16=133,$E16=1),1,0))</f>
        <v/>
      </c>
      <c r="AET17">
        <f>IF($C16=134,0,AET16+IF(AND($G16=134,$E16=1),1,0))</f>
        <v/>
      </c>
      <c r="AEU17">
        <f>IF($C16=135,0,AEU16+IF(AND($G16=135,$E16=1),1,0))</f>
        <v/>
      </c>
      <c r="AEV17">
        <f>IF($C16=136,0,AEV16+IF(AND($G16=136,$E16=1),1,0))</f>
        <v/>
      </c>
      <c r="AEW17">
        <f>IF($C16=137,0,AEW16+IF(AND($G16=137,$E16=1),1,0))</f>
        <v/>
      </c>
      <c r="AEX17">
        <f>IF($C16=138,0,AEX16+IF(AND($G16=138,$E16=1),1,0))</f>
        <v/>
      </c>
      <c r="AEY17">
        <f>IF($C16=139,0,AEY16+IF(AND($G16=139,$E16=1),1,0))</f>
        <v/>
      </c>
      <c r="AEZ17">
        <f>IF($C16=140,0,AEZ16+IF(AND($G16=140,$E16=1),1,0))</f>
        <v/>
      </c>
      <c r="AFA17">
        <f>IF($C16=141,0,AFA16+IF(AND($G16=141,$E16=1),1,0))</f>
        <v/>
      </c>
      <c r="AFB17">
        <f>IF($C16=142,0,AFB16+IF(AND($G16=142,$E16=1),1,0))</f>
        <v/>
      </c>
      <c r="AFC17">
        <f>IF($C16=143,0,AFC16+IF(AND($G16=143,$E16=1),1,0))</f>
        <v/>
      </c>
      <c r="AFD17">
        <f>IF($C16=144,0,AFD16+IF(AND($G16=144,$E16=1),1,0))</f>
        <v/>
      </c>
      <c r="AFF17">
        <f>IF('calcA'!D$106=1,DC17+ZR17,1)</f>
        <v/>
      </c>
      <c r="AFG17">
        <f>IF('calcA'!E$106=1,DD17+ZS17,1)</f>
        <v/>
      </c>
      <c r="AFH17">
        <f>IF('calcA'!F$106=1,DE17+ZT17,1)</f>
        <v/>
      </c>
      <c r="AFI17">
        <f>IF('calcA'!G$106=1,DF17+ZU17,1)</f>
        <v/>
      </c>
      <c r="AFJ17">
        <f>IF('calcA'!H$106=1,DG17+ZV17,1)</f>
        <v/>
      </c>
      <c r="AFK17">
        <f>IF('calcA'!I$106=1,DH17+ZW17,1)</f>
        <v/>
      </c>
      <c r="AFL17">
        <f>IF('calcA'!J$106=1,DI17+ZX17,1)</f>
        <v/>
      </c>
      <c r="AFM17">
        <f>IF('calcA'!K$106=1,DJ17+ZY17,1)</f>
        <v/>
      </c>
      <c r="AFN17">
        <f>IF('calcA'!L$106=1,DK17+ZZ17,1)</f>
        <v/>
      </c>
      <c r="AFO17">
        <f>IF('calcA'!M$106=1,DL17+AAA17,1)</f>
        <v/>
      </c>
      <c r="AFP17">
        <f>IF('calcA'!N$106=1,DM17+AAB17,1)</f>
        <v/>
      </c>
      <c r="AFQ17">
        <f>IF('calcA'!O$106=1,DN17+AAC17,1)</f>
        <v/>
      </c>
      <c r="AFR17">
        <f>IF('calcA'!P$106=1,DO17+AAD17,1)</f>
        <v/>
      </c>
      <c r="AFS17">
        <f>IF('calcA'!Q$106=1,DP17+AAE17,1)</f>
        <v/>
      </c>
      <c r="AFT17">
        <f>IF('calcA'!R$106=1,DQ17+AAF17,1)</f>
        <v/>
      </c>
      <c r="AFU17">
        <f>IF('calcA'!S$106=1,DR17+AAG17,1)</f>
        <v/>
      </c>
      <c r="AFV17">
        <f>IF('calcA'!T$106=1,DS17+AAH17,1)</f>
        <v/>
      </c>
      <c r="AFW17">
        <f>IF('calcA'!U$106=1,DT17+AAI17,1)</f>
        <v/>
      </c>
      <c r="AFX17">
        <f>IF('calcA'!V$106=1,DU17+AAJ17,1)</f>
        <v/>
      </c>
      <c r="AFY17">
        <f>IF('calcA'!W$106=1,DV17+AAK17,1)</f>
        <v/>
      </c>
      <c r="AFZ17">
        <f>IF('calcA'!X$106=1,DW17+AAL17,1)</f>
        <v/>
      </c>
      <c r="AGA17">
        <f>IF('calcA'!Y$106=1,DX17+AAM17,1)</f>
        <v/>
      </c>
      <c r="AGB17">
        <f>IF('calcA'!Z$106=1,DY17+AAN17,1)</f>
        <v/>
      </c>
      <c r="AGC17">
        <f>IF('calcA'!AA$106=1,DZ17+AAO17,1)</f>
        <v/>
      </c>
      <c r="AGD17">
        <f>IF('calcA'!AB$106=1,EA17+AAP17,1)</f>
        <v/>
      </c>
      <c r="AGE17">
        <f>IF('calcA'!AC$106=1,EB17+AAQ17,1)</f>
        <v/>
      </c>
      <c r="AGF17">
        <f>IF('calcA'!AD$106=1,EC17+AAR17,1)</f>
        <v/>
      </c>
      <c r="AGG17">
        <f>IF('calcA'!AE$106=1,ED17+AAS17,1)</f>
        <v/>
      </c>
      <c r="AGH17">
        <f>IF('calcA'!AF$106=1,EE17+AAT17,1)</f>
        <v/>
      </c>
      <c r="AGI17">
        <f>IF('calcA'!AG$106=1,EF17+AAU17,1)</f>
        <v/>
      </c>
      <c r="AGJ17">
        <f>IF('calcA'!AH$106=1,EG17+AAV17,1)</f>
        <v/>
      </c>
      <c r="AGK17">
        <f>IF('calcA'!AI$106=1,EH17+AAW17,1)</f>
        <v/>
      </c>
      <c r="AGL17">
        <f>IF('calcA'!AJ$106=1,EI17+AAX17,1)</f>
        <v/>
      </c>
      <c r="AGM17">
        <f>IF('calcA'!AK$106=1,EJ17+AAY17,1)</f>
        <v/>
      </c>
      <c r="AGN17">
        <f>IF('calcA'!AL$106=1,EK17+AAZ17,1)</f>
        <v/>
      </c>
      <c r="AGO17">
        <f>IF('calcA'!AM$106=1,EL17+ABA17,1)</f>
        <v/>
      </c>
      <c r="AGP17">
        <f>IF('calcA'!AN$106=1,EM17+ABB17,1)</f>
        <v/>
      </c>
      <c r="AGQ17">
        <f>IF('calcA'!AO$106=1,EN17+ABC17,1)</f>
        <v/>
      </c>
      <c r="AGR17">
        <f>IF('calcA'!AP$106=1,EO17+ABD17,1)</f>
        <v/>
      </c>
      <c r="AGS17">
        <f>IF('calcA'!AQ$106=1,EP17+ABE17,1)</f>
        <v/>
      </c>
      <c r="AGT17">
        <f>IF('calcA'!AR$106=1,EQ17+ABF17,1)</f>
        <v/>
      </c>
      <c r="AGU17">
        <f>IF('calcA'!AS$106=1,ER17+ABG17,1)</f>
        <v/>
      </c>
      <c r="AGV17">
        <f>IF('calcA'!AT$106=1,ES17+ABH17,1)</f>
        <v/>
      </c>
      <c r="AGW17">
        <f>IF('calcA'!AU$106=1,ET17+ABI17,1)</f>
        <v/>
      </c>
      <c r="AGX17">
        <f>IF('calcA'!AV$106=1,EU17+ABJ17,1)</f>
        <v/>
      </c>
      <c r="AGY17">
        <f>IF('calcA'!AW$106=1,EV17+ABK17,1)</f>
        <v/>
      </c>
      <c r="AGZ17">
        <f>IF('calcA'!AX$106=1,EW17+ABL17,1)</f>
        <v/>
      </c>
      <c r="AHA17">
        <f>IF('calcA'!AY$106=1,EX17+ABM17,1)</f>
        <v/>
      </c>
      <c r="AHB17">
        <f>IF('calcA'!AZ$106=1,EY17+ABN17,1)</f>
        <v/>
      </c>
      <c r="AHC17">
        <f>IF('calcA'!BA$106=1,EZ17+ABO17,1)</f>
        <v/>
      </c>
      <c r="AHD17">
        <f>IF('calcA'!BB$106=1,FA17+ABP17,1)</f>
        <v/>
      </c>
      <c r="AHE17">
        <f>IF('calcA'!BC$106=1,FB17+ABQ17,1)</f>
        <v/>
      </c>
      <c r="AHF17">
        <f>IF('calcA'!BD$106=1,FC17+ABR17,1)</f>
        <v/>
      </c>
      <c r="AHG17">
        <f>IF('calcA'!BE$106=1,FD17+ABS17,1)</f>
        <v/>
      </c>
      <c r="AHH17">
        <f>IF('calcA'!BF$106=1,FE17+ABT17,1)</f>
        <v/>
      </c>
      <c r="AHI17">
        <f>IF('calcA'!BG$106=1,FF17+ABU17,1)</f>
        <v/>
      </c>
      <c r="AHJ17">
        <f>IF('calcA'!BH$106=1,FG17+ABV17,1)</f>
        <v/>
      </c>
      <c r="AHK17">
        <f>IF('calcA'!BI$106=1,FH17+ABW17,1)</f>
        <v/>
      </c>
      <c r="AHL17">
        <f>IF('calcA'!BJ$106=1,FI17+ABX17,1)</f>
        <v/>
      </c>
      <c r="AHM17">
        <f>IF('calcA'!BK$106=1,FJ17+ABY17,1)</f>
        <v/>
      </c>
      <c r="AHN17">
        <f>IF('calcA'!BL$106=1,FK17+ABZ17,1)</f>
        <v/>
      </c>
      <c r="AHO17">
        <f>IF('calcA'!BM$106=1,FL17+ACA17,1)</f>
        <v/>
      </c>
      <c r="AHP17">
        <f>IF('calcA'!BN$106=1,FM17+ACB17,1)</f>
        <v/>
      </c>
      <c r="AHQ17">
        <f>IF('calcA'!BO$106=1,FN17+ACC17,1)</f>
        <v/>
      </c>
      <c r="AHR17">
        <f>IF('calcA'!BP$106=1,FO17+ACD17,1)</f>
        <v/>
      </c>
      <c r="AHS17">
        <f>IF('calcA'!BQ$106=1,FP17+ACE17,1)</f>
        <v/>
      </c>
      <c r="AHT17">
        <f>IF('calcA'!BR$106=1,FQ17+ACF17,1)</f>
        <v/>
      </c>
      <c r="AHU17">
        <f>IF('calcA'!BS$106=1,FR17+ACG17,1)</f>
        <v/>
      </c>
      <c r="AHV17">
        <f>IF('calcA'!BT$106=1,FS17+ACH17,1)</f>
        <v/>
      </c>
      <c r="AHW17">
        <f>IF('calcA'!BU$106=1,FT17+ACI17,1)</f>
        <v/>
      </c>
      <c r="AHX17">
        <f>IF('calcA'!BV$106=1,FU17+ACJ17,1)</f>
        <v/>
      </c>
      <c r="AHY17">
        <f>IF('calcA'!BW$106=1,FV17+ACK17,1)</f>
        <v/>
      </c>
      <c r="AHZ17">
        <f>IF('calcA'!BX$106=1,FW17+ACL17,1)</f>
        <v/>
      </c>
      <c r="AIA17">
        <f>IF('calcA'!BY$106=1,FX17+ACM17,1)</f>
        <v/>
      </c>
      <c r="AIB17">
        <f>IF('calcA'!BZ$106=1,FY17+ACN17,1)</f>
        <v/>
      </c>
      <c r="AIC17">
        <f>IF('calcA'!CA$106=1,FZ17+ACO17,1)</f>
        <v/>
      </c>
      <c r="AID17">
        <f>IF('calcA'!CB$106=1,GA17+ACP17,1)</f>
        <v/>
      </c>
      <c r="AIE17">
        <f>IF('calcA'!CC$106=1,GB17+ACQ17,1)</f>
        <v/>
      </c>
      <c r="AIF17">
        <f>IF('calcA'!CD$106=1,GC17+ACR17,1)</f>
        <v/>
      </c>
      <c r="AIG17">
        <f>IF('calcA'!CE$106=1,GD17+ACS17,1)</f>
        <v/>
      </c>
      <c r="AIH17">
        <f>IF('calcA'!CF$106=1,GE17+ACT17,1)</f>
        <v/>
      </c>
      <c r="AII17">
        <f>IF('calcA'!CG$106=1,GF17+ACU17,1)</f>
        <v/>
      </c>
      <c r="AIJ17">
        <f>IF('calcA'!CH$106=1,GG17+ACV17,1)</f>
        <v/>
      </c>
      <c r="AIK17">
        <f>IF('calcA'!CI$106=1,GH17+ACW17,1)</f>
        <v/>
      </c>
      <c r="AIL17">
        <f>IF('calcA'!CJ$106=1,GI17+ACX17,1)</f>
        <v/>
      </c>
      <c r="AIM17">
        <f>IF('calcA'!CK$106=1,GJ17+ACY17,1)</f>
        <v/>
      </c>
      <c r="AIN17">
        <f>IF('calcA'!CL$106=1,GK17+ACZ17,1)</f>
        <v/>
      </c>
      <c r="AIO17">
        <f>IF('calcA'!CM$106=1,GL17+ADA17,1)</f>
        <v/>
      </c>
      <c r="AIP17">
        <f>IF('calcA'!CN$106=1,GM17+ADB17,1)</f>
        <v/>
      </c>
      <c r="AIQ17">
        <f>IF('calcA'!CO$106=1,GN17+ADC17,1)</f>
        <v/>
      </c>
      <c r="AIR17">
        <f>IF('calcA'!CP$106=1,GO17+ADD17,1)</f>
        <v/>
      </c>
      <c r="AIS17">
        <f>IF('calcA'!CQ$106=1,GP17+ADE17,1)</f>
        <v/>
      </c>
      <c r="AIT17">
        <f>IF('calcA'!CR$106=1,GQ17+ADF17,1)</f>
        <v/>
      </c>
      <c r="AIU17">
        <f>IF('calcA'!CS$106=1,GR17+ADG17,1)</f>
        <v/>
      </c>
      <c r="AIV17">
        <f>IF('calcA'!CT$106=1,GS17+ADH17,1)</f>
        <v/>
      </c>
      <c r="AIW17">
        <f>IF('calcA'!CU$106=1,GT17+ADI17,1)</f>
        <v/>
      </c>
      <c r="AIX17">
        <f>IF('calcA'!CV$106=1,GU17+ADJ17,1)</f>
        <v/>
      </c>
      <c r="AIY17">
        <f>IF('calcA'!CW$106=1,GV17+ADK17,1)</f>
        <v/>
      </c>
      <c r="AIZ17">
        <f>IF('calcA'!CX$106=1,GW17+ADL17,1)</f>
        <v/>
      </c>
      <c r="AJA17">
        <f>IF('calcA'!CY$106=1,GX17+ADM17,1)</f>
        <v/>
      </c>
      <c r="AJB17">
        <f>IF('calcA'!CZ$106=1,GY17+ADN17,1)</f>
        <v/>
      </c>
      <c r="AJC17">
        <f>IF('calcA'!DA$106=1,GZ17+ADO17,1)</f>
        <v/>
      </c>
      <c r="AJD17">
        <f>IF('calcA'!DB$106=1,HA17+ADP17,1)</f>
        <v/>
      </c>
      <c r="AJE17">
        <f>IF('calcA'!DC$106=1,HB17+ADQ17,1)</f>
        <v/>
      </c>
      <c r="AJF17">
        <f>IF('calcA'!DD$106=1,HC17+ADR17,1)</f>
        <v/>
      </c>
      <c r="AJG17">
        <f>IF('calcA'!DE$106=1,HD17+ADS17,1)</f>
        <v/>
      </c>
      <c r="AJH17">
        <f>IF('calcA'!DF$106=1,HE17+ADT17,1)</f>
        <v/>
      </c>
      <c r="AJI17">
        <f>IF('calcA'!DG$106=1,HF17+ADU17,1)</f>
        <v/>
      </c>
      <c r="AJJ17">
        <f>IF('calcA'!DH$106=1,HG17+ADV17,1)</f>
        <v/>
      </c>
      <c r="AJK17">
        <f>IF('calcA'!DI$106=1,HH17+ADW17,1)</f>
        <v/>
      </c>
      <c r="AJL17">
        <f>IF('calcA'!DJ$106=1,HI17+ADX17,1)</f>
        <v/>
      </c>
      <c r="AJM17">
        <f>IF('calcA'!DK$106=1,HJ17+ADY17,1)</f>
        <v/>
      </c>
      <c r="AJN17">
        <f>IF('calcA'!DL$106=1,HK17+ADZ17,1)</f>
        <v/>
      </c>
      <c r="AJO17">
        <f>IF('calcA'!DM$106=1,HL17+AEA17,1)</f>
        <v/>
      </c>
      <c r="AJP17">
        <f>IF('calcA'!DN$106=1,HM17+AEB17,1)</f>
        <v/>
      </c>
      <c r="AJQ17">
        <f>IF('calcA'!DO$106=1,HN17+AEC17,1)</f>
        <v/>
      </c>
      <c r="AJR17">
        <f>IF('calcA'!DP$106=1,HO17+AED17,1)</f>
        <v/>
      </c>
      <c r="AJS17">
        <f>IF('calcA'!DQ$106=1,HP17+AEE17,1)</f>
        <v/>
      </c>
      <c r="AJT17">
        <f>IF('calcA'!DR$106=1,HQ17+AEF17,1)</f>
        <v/>
      </c>
      <c r="AJU17">
        <f>IF('calcA'!DS$106=1,HR17+AEG17,1)</f>
        <v/>
      </c>
      <c r="AJV17">
        <f>IF('calcA'!DT$106=1,HS17+AEH17,1)</f>
        <v/>
      </c>
      <c r="AJW17">
        <f>IF('calcA'!DU$106=1,HT17+AEI17,1)</f>
        <v/>
      </c>
      <c r="AJX17">
        <f>IF('calcA'!DV$106=1,HU17+AEJ17,1)</f>
        <v/>
      </c>
      <c r="AJY17">
        <f>IF('calcA'!DW$106=1,HV17+AEK17,1)</f>
        <v/>
      </c>
      <c r="AJZ17">
        <f>IF('calcA'!DX$106=1,HW17+AEL17,1)</f>
        <v/>
      </c>
      <c r="AKA17">
        <f>IF('calcA'!DY$106=1,HX17+AEM17,1)</f>
        <v/>
      </c>
      <c r="AKB17">
        <f>IF('calcA'!DZ$106=1,HY17+AEN17,1)</f>
        <v/>
      </c>
      <c r="AKC17">
        <f>IF('calcA'!EA$106=1,HZ17+AEO17,1)</f>
        <v/>
      </c>
      <c r="AKD17">
        <f>IF('calcA'!EB$106=1,IA17+AEP17,1)</f>
        <v/>
      </c>
      <c r="AKE17">
        <f>IF('calcA'!EC$106=1,IB17+AEQ17,1)</f>
        <v/>
      </c>
      <c r="AKF17">
        <f>IF('calcA'!ED$106=1,IC17+AER17,1)</f>
        <v/>
      </c>
      <c r="AKG17">
        <f>IF('calcA'!EE$106=1,ID17+AES17,1)</f>
        <v/>
      </c>
      <c r="AKH17">
        <f>IF('calcA'!EF$106=1,IE17+AET17,1)</f>
        <v/>
      </c>
      <c r="AKI17">
        <f>IF('calcA'!EG$106=1,IF17+AEU17,1)</f>
        <v/>
      </c>
      <c r="AKJ17">
        <f>IF('calcA'!EH$106=1,IG17+AEV17,1)</f>
        <v/>
      </c>
      <c r="AKK17">
        <f>IF('calcA'!EI$106=1,IH17+AEW17,1)</f>
        <v/>
      </c>
      <c r="AKL17">
        <f>IF('calcA'!EJ$106=1,II17+AEX17,1)</f>
        <v/>
      </c>
      <c r="AKM17">
        <f>IF('calcA'!EK$106=1,IJ17+AEY17,1)</f>
        <v/>
      </c>
      <c r="AKN17">
        <f>IF('calcA'!EL$106=1,IK17+AEZ17,1)</f>
        <v/>
      </c>
      <c r="AKO17">
        <f>IF('calcA'!EM$106=1,IL17+AFA17,1)</f>
        <v/>
      </c>
      <c r="AKP17">
        <f>IF('calcA'!EN$106=1,IM17+AFB17,1)</f>
        <v/>
      </c>
      <c r="AKQ17">
        <f>IF('calcA'!EO$106=1,IN17+AFC17,1)</f>
        <v/>
      </c>
      <c r="AKR17">
        <f>IF('calcA'!EP$106=1,IO17+AFD17,1)</f>
        <v/>
      </c>
      <c r="AKS17" t="n">
        <v>1</v>
      </c>
    </row>
    <row r="18">
      <c r="A18" t="n">
        <v>16</v>
      </c>
      <c r="B18">
        <f>IF(MIN(BM18:CZ18)&gt;=1000000000,0,MATCH(MIN(BM18:CZ18),BM18:CZ18,0))</f>
        <v/>
      </c>
      <c r="C18">
        <f>IF(MIN(OF18:TS18)&gt;=1000000000,0,MATCH(MIN(OF18:TS18),OF18:TS18,0))</f>
        <v/>
      </c>
      <c r="D18">
        <f>IF(C18&gt;0,INDEX('calcA'!$D$5:$EQ$5,C18),0)</f>
        <v/>
      </c>
      <c r="E18">
        <f>IF(B18=0,0,INDEX('calcA'!$IQ$10:$IQ$54,B18))</f>
        <v/>
      </c>
      <c r="F18">
        <f>IF(B18=0,0,INDEX('calcA'!$IP$10:$IP$54,B18))</f>
        <v/>
      </c>
      <c r="G18">
        <f>IF(AND(C18&gt;0,E18&gt;0),IF(AND(INDEX('calcA'!$D$106:$EQ$106,C18)=1,INDEX($IQ18:$OD18,C18)=1),C18+1,0),0)</f>
        <v/>
      </c>
      <c r="H18">
        <f>IF(B18=0,0,INDEX('calcA'!$IW$10:$IW$54,B18))</f>
        <v/>
      </c>
      <c r="U18">
        <f>IF(B18=0,0,INDEX('calcA'!$IX$10:$IX$54,B18))</f>
        <v/>
      </c>
      <c r="V18">
        <f>IF(B18=0,0,INDEX('calcA'!$JF$10:$JF$54,B18))</f>
        <v/>
      </c>
      <c r="W18">
        <f>IF(B18=0,0,IF(IF(E18=2,SUMPRODUCT(INDEX('calcA'!$D$60:$EQ$99,B18,0),$DB18:$IO18,$IQ18:$OD18),SUMPRODUCT(INDEX('calcA'!$D$60:$EQ$99,B18,0),$DB18:$IO18))=0,1,0))</f>
        <v/>
      </c>
      <c r="X18">
        <f>MAX(X17,IF($B17=1,1,0))</f>
        <v/>
      </c>
      <c r="Y18">
        <f>MAX(Y17,IF($B17=2,1,0))</f>
        <v/>
      </c>
      <c r="Z18">
        <f>MAX(Z17,IF($B17=3,1,0))</f>
        <v/>
      </c>
      <c r="AA18">
        <f>MAX(AA17,IF($B17=4,1,0))</f>
        <v/>
      </c>
      <c r="AB18">
        <f>MAX(AB17,IF($B17=5,1,0))</f>
        <v/>
      </c>
      <c r="AC18">
        <f>MAX(AC17,IF($B17=6,1,0))</f>
        <v/>
      </c>
      <c r="AD18">
        <f>MAX(AD17,IF($B17=7,1,0))</f>
        <v/>
      </c>
      <c r="AE18">
        <f>MAX(AE17,IF($B17=8,1,0))</f>
        <v/>
      </c>
      <c r="AF18">
        <f>MAX(AF17,IF($B17=9,1,0))</f>
        <v/>
      </c>
      <c r="AG18">
        <f>MAX(AG17,IF($B17=10,1,0))</f>
        <v/>
      </c>
      <c r="AH18">
        <f>MAX(AH17,IF($B17=11,1,0))</f>
        <v/>
      </c>
      <c r="AI18">
        <f>MAX(AI17,IF($B17=12,1,0))</f>
        <v/>
      </c>
      <c r="AJ18">
        <f>MAX(AJ17,IF($B17=13,1,0))</f>
        <v/>
      </c>
      <c r="AK18">
        <f>MAX(AK17,IF($B17=14,1,0))</f>
        <v/>
      </c>
      <c r="AL18">
        <f>MAX(AL17,IF($B17=15,1,0))</f>
        <v/>
      </c>
      <c r="AM18">
        <f>MAX(AM17,IF($B17=16,1,0))</f>
        <v/>
      </c>
      <c r="AN18">
        <f>MAX(AN17,IF($B17=17,1,0))</f>
        <v/>
      </c>
      <c r="AO18">
        <f>MAX(AO17,IF($B17=18,1,0))</f>
        <v/>
      </c>
      <c r="AP18">
        <f>MAX(AP17,IF($B17=19,1,0))</f>
        <v/>
      </c>
      <c r="AQ18">
        <f>MAX(AQ17,IF($B17=20,1,0))</f>
        <v/>
      </c>
      <c r="AR18">
        <f>MAX(AR17,IF($B17=21,1,0))</f>
        <v/>
      </c>
      <c r="AS18">
        <f>MAX(AS17,IF($B17=22,1,0))</f>
        <v/>
      </c>
      <c r="AT18">
        <f>MAX(AT17,IF($B17=23,1,0))</f>
        <v/>
      </c>
      <c r="AU18">
        <f>MAX(AU17,IF($B17=24,1,0))</f>
        <v/>
      </c>
      <c r="AV18">
        <f>MAX(AV17,IF($B17=25,1,0))</f>
        <v/>
      </c>
      <c r="AW18">
        <f>MAX(AW17,IF($B17=26,1,0))</f>
        <v/>
      </c>
      <c r="AX18">
        <f>MAX(AX17,IF($B17=27,1,0))</f>
        <v/>
      </c>
      <c r="AY18">
        <f>MAX(AY17,IF($B17=28,1,0))</f>
        <v/>
      </c>
      <c r="AZ18">
        <f>MAX(AZ17,IF($B17=29,1,0))</f>
        <v/>
      </c>
      <c r="BA18">
        <f>MAX(BA17,IF($B17=30,1,0))</f>
        <v/>
      </c>
      <c r="BB18">
        <f>MAX(BB17,IF($B17=31,1,0))</f>
        <v/>
      </c>
      <c r="BC18">
        <f>MAX(BC17,IF($B17=32,1,0))</f>
        <v/>
      </c>
      <c r="BD18">
        <f>MAX(BD17,IF($B17=33,1,0))</f>
        <v/>
      </c>
      <c r="BE18">
        <f>MAX(BE17,IF($B17=34,1,0))</f>
        <v/>
      </c>
      <c r="BF18">
        <f>MAX(BF17,IF($B17=35,1,0))</f>
        <v/>
      </c>
      <c r="BG18">
        <f>MAX(BG17,IF($B17=36,1,0))</f>
        <v/>
      </c>
      <c r="BH18">
        <f>MAX(BH17,IF($B17=37,1,0))</f>
        <v/>
      </c>
      <c r="BI18">
        <f>MAX(BI17,IF($B17=38,1,0))</f>
        <v/>
      </c>
      <c r="BJ18">
        <f>MAX(BJ17,IF($B17=39,1,0))</f>
        <v/>
      </c>
      <c r="BK18">
        <f>MAX(BK17,IF($B17=40,1,0))</f>
        <v/>
      </c>
      <c r="BM18">
        <f>IF(OR(X18=1,calcA!$A$6=0),1000000000,IF('calcA'!$JF$10=1,0,100000000)+IF('calcA'!$IQ$10=2,SUMPRODUCT('calcA'!$D$60:$EQ$60,$DB18:$IO18,$IQ18:$OD18)*1000+SUMPRODUCT('calcA'!$D$60:$EQ$60,$DB18:$IO18+$ZQ18:$AFD18,$AFF18:$AKS18),SUMPRODUCT('calcA'!$D$60:$EQ$60,$DB18:$IO18*1001+$ZQ18:$AFD18))*100+1)</f>
        <v/>
      </c>
      <c r="BN18">
        <f>IF(OR(Y18=1,calcA!$A$6=0),1000000000,IF('calcA'!$JF$11=1,0,100000000)+IF('calcA'!$IQ$11=2,SUMPRODUCT('calcA'!$D$61:$EQ$61,$DB18:$IO18,$IQ18:$OD18)*1000+SUMPRODUCT('calcA'!$D$61:$EQ$61,$DB18:$IO18+$ZQ18:$AFD18,$AFF18:$AKS18),SUMPRODUCT('calcA'!$D$61:$EQ$61,$DB18:$IO18*1001+$ZQ18:$AFD18))*100+2)</f>
        <v/>
      </c>
      <c r="BO18">
        <f>IF(OR(Z18=1,calcA!$A$6=0),1000000000,IF('calcA'!$JF$12=1,0,100000000)+IF('calcA'!$IQ$12=2,SUMPRODUCT('calcA'!$D$62:$EQ$62,$DB18:$IO18,$IQ18:$OD18)*1000+SUMPRODUCT('calcA'!$D$62:$EQ$62,$DB18:$IO18+$ZQ18:$AFD18,$AFF18:$AKS18),SUMPRODUCT('calcA'!$D$62:$EQ$62,$DB18:$IO18*1001+$ZQ18:$AFD18))*100+3)</f>
        <v/>
      </c>
      <c r="BP18">
        <f>IF(OR(AA18=1,calcA!$A$6=0),1000000000,IF('calcA'!$JF$13=1,0,100000000)+IF('calcA'!$IQ$13=2,SUMPRODUCT('calcA'!$D$63:$EQ$63,$DB18:$IO18,$IQ18:$OD18)*1000+SUMPRODUCT('calcA'!$D$63:$EQ$63,$DB18:$IO18+$ZQ18:$AFD18,$AFF18:$AKS18),SUMPRODUCT('calcA'!$D$63:$EQ$63,$DB18:$IO18*1001+$ZQ18:$AFD18))*100+4)</f>
        <v/>
      </c>
      <c r="BQ18">
        <f>IF(OR(AB18=1,calcA!$A$6=0),1000000000,IF('calcA'!$JF$14=1,0,100000000)+IF('calcA'!$IQ$14=2,SUMPRODUCT('calcA'!$D$64:$EQ$64,$DB18:$IO18,$IQ18:$OD18)*1000+SUMPRODUCT('calcA'!$D$64:$EQ$64,$DB18:$IO18+$ZQ18:$AFD18,$AFF18:$AKS18),SUMPRODUCT('calcA'!$D$64:$EQ$64,$DB18:$IO18*1001+$ZQ18:$AFD18))*100+5)</f>
        <v/>
      </c>
      <c r="BR18">
        <f>IF(OR(AC18=1,calcA!$A$6=0),1000000000,IF('calcA'!$JF$15=1,0,100000000)+IF('calcA'!$IQ$15=2,SUMPRODUCT('calcA'!$D$65:$EQ$65,$DB18:$IO18,$IQ18:$OD18)*1000+SUMPRODUCT('calcA'!$D$65:$EQ$65,$DB18:$IO18+$ZQ18:$AFD18,$AFF18:$AKS18),SUMPRODUCT('calcA'!$D$65:$EQ$65,$DB18:$IO18*1001+$ZQ18:$AFD18))*100+6)</f>
        <v/>
      </c>
      <c r="BS18">
        <f>IF(OR(AD18=1,calcA!$A$6=0),1000000000,IF('calcA'!$JF$16=1,0,100000000)+IF('calcA'!$IQ$16=2,SUMPRODUCT('calcA'!$D$66:$EQ$66,$DB18:$IO18,$IQ18:$OD18)*1000+SUMPRODUCT('calcA'!$D$66:$EQ$66,$DB18:$IO18+$ZQ18:$AFD18,$AFF18:$AKS18),SUMPRODUCT('calcA'!$D$66:$EQ$66,$DB18:$IO18*1001+$ZQ18:$AFD18))*100+7)</f>
        <v/>
      </c>
      <c r="BT18">
        <f>IF(OR(AE18=1,calcA!$A$6=0),1000000000,IF('calcA'!$JF$17=1,0,100000000)+IF('calcA'!$IQ$17=2,SUMPRODUCT('calcA'!$D$67:$EQ$67,$DB18:$IO18,$IQ18:$OD18)*1000+SUMPRODUCT('calcA'!$D$67:$EQ$67,$DB18:$IO18+$ZQ18:$AFD18,$AFF18:$AKS18),SUMPRODUCT('calcA'!$D$67:$EQ$67,$DB18:$IO18*1001+$ZQ18:$AFD18))*100+8)</f>
        <v/>
      </c>
      <c r="BU18">
        <f>IF(OR(AF18=1,calcA!$A$6=0),1000000000,IF('calcA'!$JF$18=1,0,100000000)+IF('calcA'!$IQ$18=2,SUMPRODUCT('calcA'!$D$68:$EQ$68,$DB18:$IO18,$IQ18:$OD18)*1000+SUMPRODUCT('calcA'!$D$68:$EQ$68,$DB18:$IO18+$ZQ18:$AFD18,$AFF18:$AKS18),SUMPRODUCT('calcA'!$D$68:$EQ$68,$DB18:$IO18*1001+$ZQ18:$AFD18))*100+9)</f>
        <v/>
      </c>
      <c r="BV18">
        <f>IF(OR(AG18=1,calcA!$A$6=0),1000000000,IF('calcA'!$JF$19=1,0,100000000)+IF('calcA'!$IQ$19=2,SUMPRODUCT('calcA'!$D$69:$EQ$69,$DB18:$IO18,$IQ18:$OD18)*1000+SUMPRODUCT('calcA'!$D$69:$EQ$69,$DB18:$IO18+$ZQ18:$AFD18,$AFF18:$AKS18),SUMPRODUCT('calcA'!$D$69:$EQ$69,$DB18:$IO18*1001+$ZQ18:$AFD18))*100+10)</f>
        <v/>
      </c>
      <c r="BW18">
        <f>IF(OR(AH18=1,calcA!$A$6=0),1000000000,IF('calcA'!$JF$20=1,0,100000000)+IF('calcA'!$IQ$20=2,SUMPRODUCT('calcA'!$D$70:$EQ$70,$DB18:$IO18,$IQ18:$OD18)*1000+SUMPRODUCT('calcA'!$D$70:$EQ$70,$DB18:$IO18+$ZQ18:$AFD18,$AFF18:$AKS18),SUMPRODUCT('calcA'!$D$70:$EQ$70,$DB18:$IO18*1001+$ZQ18:$AFD18))*100+11)</f>
        <v/>
      </c>
      <c r="BX18">
        <f>IF(OR(AI18=1,calcA!$A$6=0),1000000000,IF('calcA'!$JF$21=1,0,100000000)+IF('calcA'!$IQ$21=2,SUMPRODUCT('calcA'!$D$71:$EQ$71,$DB18:$IO18,$IQ18:$OD18)*1000+SUMPRODUCT('calcA'!$D$71:$EQ$71,$DB18:$IO18+$ZQ18:$AFD18,$AFF18:$AKS18),SUMPRODUCT('calcA'!$D$71:$EQ$71,$DB18:$IO18*1001+$ZQ18:$AFD18))*100+12)</f>
        <v/>
      </c>
      <c r="BY18">
        <f>IF(OR(AJ18=1,calcA!$A$6=0),1000000000,IF('calcA'!$JF$22=1,0,100000000)+IF('calcA'!$IQ$22=2,SUMPRODUCT('calcA'!$D$72:$EQ$72,$DB18:$IO18,$IQ18:$OD18)*1000+SUMPRODUCT('calcA'!$D$72:$EQ$72,$DB18:$IO18+$ZQ18:$AFD18,$AFF18:$AKS18),SUMPRODUCT('calcA'!$D$72:$EQ$72,$DB18:$IO18*1001+$ZQ18:$AFD18))*100+13)</f>
        <v/>
      </c>
      <c r="BZ18">
        <f>IF(OR(AK18=1,calcA!$A$6=0),1000000000,IF('calcA'!$JF$23=1,0,100000000)+IF('calcA'!$IQ$23=2,SUMPRODUCT('calcA'!$D$73:$EQ$73,$DB18:$IO18,$IQ18:$OD18)*1000+SUMPRODUCT('calcA'!$D$73:$EQ$73,$DB18:$IO18+$ZQ18:$AFD18,$AFF18:$AKS18),SUMPRODUCT('calcA'!$D$73:$EQ$73,$DB18:$IO18*1001+$ZQ18:$AFD18))*100+14)</f>
        <v/>
      </c>
      <c r="CA18">
        <f>IF(OR(AL18=1,calcA!$A$6=0),1000000000,IF('calcA'!$JF$24=1,0,100000000)+IF('calcA'!$IQ$24=2,SUMPRODUCT('calcA'!$D$74:$EQ$74,$DB18:$IO18,$IQ18:$OD18)*1000+SUMPRODUCT('calcA'!$D$74:$EQ$74,$DB18:$IO18+$ZQ18:$AFD18,$AFF18:$AKS18),SUMPRODUCT('calcA'!$D$74:$EQ$74,$DB18:$IO18*1001+$ZQ18:$AFD18))*100+15)</f>
        <v/>
      </c>
      <c r="CB18">
        <f>IF(OR(AM18=1,calcA!$A$6=0),1000000000,IF('calcA'!$JF$25=1,0,100000000)+IF('calcA'!$IQ$25=2,SUMPRODUCT('calcA'!$D$75:$EQ$75,$DB18:$IO18,$IQ18:$OD18)*1000+SUMPRODUCT('calcA'!$D$75:$EQ$75,$DB18:$IO18+$ZQ18:$AFD18,$AFF18:$AKS18),SUMPRODUCT('calcA'!$D$75:$EQ$75,$DB18:$IO18*1001+$ZQ18:$AFD18))*100+16)</f>
        <v/>
      </c>
      <c r="CC18">
        <f>IF(OR(AN18=1,calcA!$A$6=0),1000000000,IF('calcA'!$JF$26=1,0,100000000)+IF('calcA'!$IQ$26=2,SUMPRODUCT('calcA'!$D$76:$EQ$76,$DB18:$IO18,$IQ18:$OD18)*1000+SUMPRODUCT('calcA'!$D$76:$EQ$76,$DB18:$IO18+$ZQ18:$AFD18,$AFF18:$AKS18),SUMPRODUCT('calcA'!$D$76:$EQ$76,$DB18:$IO18*1001+$ZQ18:$AFD18))*100+17)</f>
        <v/>
      </c>
      <c r="CD18">
        <f>IF(OR(AO18=1,calcA!$A$6=0),1000000000,IF('calcA'!$JF$27=1,0,100000000)+IF('calcA'!$IQ$27=2,SUMPRODUCT('calcA'!$D$77:$EQ$77,$DB18:$IO18,$IQ18:$OD18)*1000+SUMPRODUCT('calcA'!$D$77:$EQ$77,$DB18:$IO18+$ZQ18:$AFD18,$AFF18:$AKS18),SUMPRODUCT('calcA'!$D$77:$EQ$77,$DB18:$IO18*1001+$ZQ18:$AFD18))*100+18)</f>
        <v/>
      </c>
      <c r="CE18">
        <f>IF(OR(AP18=1,calcA!$A$6=0),1000000000,IF('calcA'!$JF$28=1,0,100000000)+IF('calcA'!$IQ$28=2,SUMPRODUCT('calcA'!$D$78:$EQ$78,$DB18:$IO18,$IQ18:$OD18)*1000+SUMPRODUCT('calcA'!$D$78:$EQ$78,$DB18:$IO18+$ZQ18:$AFD18,$AFF18:$AKS18),SUMPRODUCT('calcA'!$D$78:$EQ$78,$DB18:$IO18*1001+$ZQ18:$AFD18))*100+19)</f>
        <v/>
      </c>
      <c r="CF18">
        <f>IF(OR(AQ18=1,calcA!$A$6=0),1000000000,IF('calcA'!$JF$29=1,0,100000000)+IF('calcA'!$IQ$29=2,SUMPRODUCT('calcA'!$D$79:$EQ$79,$DB18:$IO18,$IQ18:$OD18)*1000+SUMPRODUCT('calcA'!$D$79:$EQ$79,$DB18:$IO18+$ZQ18:$AFD18,$AFF18:$AKS18),SUMPRODUCT('calcA'!$D$79:$EQ$79,$DB18:$IO18*1001+$ZQ18:$AFD18))*100+20)</f>
        <v/>
      </c>
      <c r="CG18">
        <f>IF(OR(AR18=1,calcA!$A$6=0),1000000000,IF('calcA'!$JF$30=1,0,100000000)+IF('calcA'!$IQ$30=2,SUMPRODUCT('calcA'!$D$80:$EQ$80,$DB18:$IO18,$IQ18:$OD18)*1000+SUMPRODUCT('calcA'!$D$80:$EQ$80,$DB18:$IO18+$ZQ18:$AFD18,$AFF18:$AKS18),SUMPRODUCT('calcA'!$D$80:$EQ$80,$DB18:$IO18*1001+$ZQ18:$AFD18))*100+21)</f>
        <v/>
      </c>
      <c r="CH18">
        <f>IF(OR(AS18=1,calcA!$A$6=0),1000000000,IF('calcA'!$JF$31=1,0,100000000)+IF('calcA'!$IQ$31=2,SUMPRODUCT('calcA'!$D$81:$EQ$81,$DB18:$IO18,$IQ18:$OD18)*1000+SUMPRODUCT('calcA'!$D$81:$EQ$81,$DB18:$IO18+$ZQ18:$AFD18,$AFF18:$AKS18),SUMPRODUCT('calcA'!$D$81:$EQ$81,$DB18:$IO18*1001+$ZQ18:$AFD18))*100+22)</f>
        <v/>
      </c>
      <c r="CI18">
        <f>IF(OR(AT18=1,calcA!$A$6=0),1000000000,IF('calcA'!$JF$32=1,0,100000000)+IF('calcA'!$IQ$32=2,SUMPRODUCT('calcA'!$D$82:$EQ$82,$DB18:$IO18,$IQ18:$OD18)*1000+SUMPRODUCT('calcA'!$D$82:$EQ$82,$DB18:$IO18+$ZQ18:$AFD18,$AFF18:$AKS18),SUMPRODUCT('calcA'!$D$82:$EQ$82,$DB18:$IO18*1001+$ZQ18:$AFD18))*100+23)</f>
        <v/>
      </c>
      <c r="CJ18">
        <f>IF(OR(AU18=1,calcA!$A$6=0),1000000000,IF('calcA'!$JF$33=1,0,100000000)+IF('calcA'!$IQ$33=2,SUMPRODUCT('calcA'!$D$83:$EQ$83,$DB18:$IO18,$IQ18:$OD18)*1000+SUMPRODUCT('calcA'!$D$83:$EQ$83,$DB18:$IO18+$ZQ18:$AFD18,$AFF18:$AKS18),SUMPRODUCT('calcA'!$D$83:$EQ$83,$DB18:$IO18*1001+$ZQ18:$AFD18))*100+24)</f>
        <v/>
      </c>
      <c r="CK18">
        <f>IF(OR(AV18=1,calcA!$A$6=0),1000000000,IF('calcA'!$JF$34=1,0,100000000)+IF('calcA'!$IQ$34=2,SUMPRODUCT('calcA'!$D$84:$EQ$84,$DB18:$IO18,$IQ18:$OD18)*1000+SUMPRODUCT('calcA'!$D$84:$EQ$84,$DB18:$IO18+$ZQ18:$AFD18,$AFF18:$AKS18),SUMPRODUCT('calcA'!$D$84:$EQ$84,$DB18:$IO18*1001+$ZQ18:$AFD18))*100+25)</f>
        <v/>
      </c>
      <c r="CL18">
        <f>IF(OR(AW18=1,calcA!$A$6=0),1000000000,IF('calcA'!$JF$35=1,0,100000000)+IF('calcA'!$IQ$35=2,SUMPRODUCT('calcA'!$D$85:$EQ$85,$DB18:$IO18,$IQ18:$OD18)*1000+SUMPRODUCT('calcA'!$D$85:$EQ$85,$DB18:$IO18+$ZQ18:$AFD18,$AFF18:$AKS18),SUMPRODUCT('calcA'!$D$85:$EQ$85,$DB18:$IO18*1001+$ZQ18:$AFD18))*100+26)</f>
        <v/>
      </c>
      <c r="CM18">
        <f>IF(OR(AX18=1,calcA!$A$6=0),1000000000,IF('calcA'!$JF$36=1,0,100000000)+IF('calcA'!$IQ$36=2,SUMPRODUCT('calcA'!$D$86:$EQ$86,$DB18:$IO18,$IQ18:$OD18)*1000+SUMPRODUCT('calcA'!$D$86:$EQ$86,$DB18:$IO18+$ZQ18:$AFD18,$AFF18:$AKS18),SUMPRODUCT('calcA'!$D$86:$EQ$86,$DB18:$IO18*1001+$ZQ18:$AFD18))*100+27)</f>
        <v/>
      </c>
      <c r="CN18">
        <f>IF(OR(AY18=1,calcA!$A$6=0),1000000000,IF('calcA'!$JF$37=1,0,100000000)+IF('calcA'!$IQ$37=2,SUMPRODUCT('calcA'!$D$87:$EQ$87,$DB18:$IO18,$IQ18:$OD18)*1000+SUMPRODUCT('calcA'!$D$87:$EQ$87,$DB18:$IO18+$ZQ18:$AFD18,$AFF18:$AKS18),SUMPRODUCT('calcA'!$D$87:$EQ$87,$DB18:$IO18*1001+$ZQ18:$AFD18))*100+28)</f>
        <v/>
      </c>
      <c r="CO18">
        <f>IF(OR(AZ18=1,calcA!$A$6=0),1000000000,IF('calcA'!$JF$38=1,0,100000000)+IF('calcA'!$IQ$38=2,SUMPRODUCT('calcA'!$D$88:$EQ$88,$DB18:$IO18,$IQ18:$OD18)*1000+SUMPRODUCT('calcA'!$D$88:$EQ$88,$DB18:$IO18+$ZQ18:$AFD18,$AFF18:$AKS18),SUMPRODUCT('calcA'!$D$88:$EQ$88,$DB18:$IO18*1001+$ZQ18:$AFD18))*100+29)</f>
        <v/>
      </c>
      <c r="CP18">
        <f>IF(OR(BA18=1,calcA!$A$6=0),1000000000,IF('calcA'!$JF$39=1,0,100000000)+IF('calcA'!$IQ$39=2,SUMPRODUCT('calcA'!$D$89:$EQ$89,$DB18:$IO18,$IQ18:$OD18)*1000+SUMPRODUCT('calcA'!$D$89:$EQ$89,$DB18:$IO18+$ZQ18:$AFD18,$AFF18:$AKS18),SUMPRODUCT('calcA'!$D$89:$EQ$89,$DB18:$IO18*1001+$ZQ18:$AFD18))*100+30)</f>
        <v/>
      </c>
      <c r="CQ18">
        <f>IF(OR(BB18=1,calcA!$A$6=0),1000000000,IF('calcA'!$JF$40=1,0,100000000)+IF('calcA'!$IQ$40=2,SUMPRODUCT('calcA'!$D$90:$EQ$90,$DB18:$IO18,$IQ18:$OD18)*1000+SUMPRODUCT('calcA'!$D$90:$EQ$90,$DB18:$IO18+$ZQ18:$AFD18,$AFF18:$AKS18),SUMPRODUCT('calcA'!$D$90:$EQ$90,$DB18:$IO18*1001+$ZQ18:$AFD18))*100+31)</f>
        <v/>
      </c>
      <c r="CR18">
        <f>IF(OR(BC18=1,calcA!$A$6=0),1000000000,IF('calcA'!$JF$41=1,0,100000000)+IF('calcA'!$IQ$41=2,SUMPRODUCT('calcA'!$D$91:$EQ$91,$DB18:$IO18,$IQ18:$OD18)*1000+SUMPRODUCT('calcA'!$D$91:$EQ$91,$DB18:$IO18+$ZQ18:$AFD18,$AFF18:$AKS18),SUMPRODUCT('calcA'!$D$91:$EQ$91,$DB18:$IO18*1001+$ZQ18:$AFD18))*100+32)</f>
        <v/>
      </c>
      <c r="CS18">
        <f>IF(OR(BD18=1,calcA!$A$6=0),1000000000,IF('calcA'!$JF$42=1,0,100000000)+IF('calcA'!$IQ$42=2,SUMPRODUCT('calcA'!$D$92:$EQ$92,$DB18:$IO18,$IQ18:$OD18)*1000+SUMPRODUCT('calcA'!$D$92:$EQ$92,$DB18:$IO18+$ZQ18:$AFD18,$AFF18:$AKS18),SUMPRODUCT('calcA'!$D$92:$EQ$92,$DB18:$IO18*1001+$ZQ18:$AFD18))*100+33)</f>
        <v/>
      </c>
      <c r="CT18">
        <f>IF(OR(BE18=1,calcA!$A$6=0),1000000000,IF('calcA'!$JF$43=1,0,100000000)+IF('calcA'!$IQ$43=2,SUMPRODUCT('calcA'!$D$93:$EQ$93,$DB18:$IO18,$IQ18:$OD18)*1000+SUMPRODUCT('calcA'!$D$93:$EQ$93,$DB18:$IO18+$ZQ18:$AFD18,$AFF18:$AKS18),SUMPRODUCT('calcA'!$D$93:$EQ$93,$DB18:$IO18*1001+$ZQ18:$AFD18))*100+34)</f>
        <v/>
      </c>
      <c r="CU18">
        <f>IF(OR(BF18=1,calcA!$A$6=0),1000000000,IF('calcA'!$JF$44=1,0,100000000)+IF('calcA'!$IQ$44=2,SUMPRODUCT('calcA'!$D$94:$EQ$94,$DB18:$IO18,$IQ18:$OD18)*1000+SUMPRODUCT('calcA'!$D$94:$EQ$94,$DB18:$IO18+$ZQ18:$AFD18,$AFF18:$AKS18),SUMPRODUCT('calcA'!$D$94:$EQ$94,$DB18:$IO18*1001+$ZQ18:$AFD18))*100+35)</f>
        <v/>
      </c>
      <c r="CV18">
        <f>IF(OR(BG18=1,calcA!$A$6=0),1000000000,IF('calcA'!$JF$45=1,0,100000000)+IF('calcA'!$IQ$45=2,SUMPRODUCT('calcA'!$D$95:$EQ$95,$DB18:$IO18,$IQ18:$OD18)*1000+SUMPRODUCT('calcA'!$D$95:$EQ$95,$DB18:$IO18+$ZQ18:$AFD18,$AFF18:$AKS18),SUMPRODUCT('calcA'!$D$95:$EQ$95,$DB18:$IO18*1001+$ZQ18:$AFD18))*100+36)</f>
        <v/>
      </c>
      <c r="CW18">
        <f>IF(OR(BH18=1,calcA!$A$6=0),1000000000,IF('calcA'!$JF$46=1,0,100000000)+IF('calcA'!$IQ$46=2,SUMPRODUCT('calcA'!$D$96:$EQ$96,$DB18:$IO18,$IQ18:$OD18)*1000+SUMPRODUCT('calcA'!$D$96:$EQ$96,$DB18:$IO18+$ZQ18:$AFD18,$AFF18:$AKS18),SUMPRODUCT('calcA'!$D$96:$EQ$96,$DB18:$IO18*1001+$ZQ18:$AFD18))*100+37)</f>
        <v/>
      </c>
      <c r="CX18">
        <f>IF(OR(BI18=1,calcA!$A$6=0),1000000000,IF('calcA'!$JF$47=1,0,100000000)+IF('calcA'!$IQ$47=2,SUMPRODUCT('calcA'!$D$97:$EQ$97,$DB18:$IO18,$IQ18:$OD18)*1000+SUMPRODUCT('calcA'!$D$97:$EQ$97,$DB18:$IO18+$ZQ18:$AFD18,$AFF18:$AKS18),SUMPRODUCT('calcA'!$D$97:$EQ$97,$DB18:$IO18*1001+$ZQ18:$AFD18))*100+38)</f>
        <v/>
      </c>
      <c r="CY18">
        <f>IF(OR(BJ18=1,calcA!$A$6=0),1000000000,IF('calcA'!$JF$48=1,0,100000000)+IF('calcA'!$IQ$48=2,SUMPRODUCT('calcA'!$D$98:$EQ$98,$DB18:$IO18,$IQ18:$OD18)*1000+SUMPRODUCT('calcA'!$D$98:$EQ$98,$DB18:$IO18+$ZQ18:$AFD18,$AFF18:$AKS18),SUMPRODUCT('calcA'!$D$98:$EQ$98,$DB18:$IO18*1001+$ZQ18:$AFD18))*100+39)</f>
        <v/>
      </c>
      <c r="CZ18">
        <f>IF(OR(BK18=1,calcA!$A$6=0),1000000000,IF('calcA'!$JF$49=1,0,100000000)+IF('calcA'!$IQ$49=2,SUMPRODUCT('calcA'!$D$99:$EQ$99,$DB18:$IO18,$IQ18:$OD18)*1000+SUMPRODUCT('calcA'!$D$99:$EQ$99,$DB18:$IO18+$ZQ18:$AFD18,$AFF18:$AKS18),SUMPRODUCT('calcA'!$D$99:$EQ$99,$DB18:$IO18*1001+$ZQ18:$AFD18))*100+40)</f>
        <v/>
      </c>
      <c r="DB18">
        <f>DB17*IF(OR($C17=1,$G17=1),0,1)</f>
        <v/>
      </c>
      <c r="DC18">
        <f>DC17*IF(OR($C17=2,$G17=2),0,1)</f>
        <v/>
      </c>
      <c r="DD18">
        <f>DD17*IF(OR($C17=3,$G17=3),0,1)</f>
        <v/>
      </c>
      <c r="DE18">
        <f>DE17*IF(OR($C17=4,$G17=4),0,1)</f>
        <v/>
      </c>
      <c r="DF18">
        <f>DF17*IF(OR($C17=5,$G17=5),0,1)</f>
        <v/>
      </c>
      <c r="DG18">
        <f>DG17*IF(OR($C17=6,$G17=6),0,1)</f>
        <v/>
      </c>
      <c r="DH18">
        <f>DH17*IF(OR($C17=7,$G17=7),0,1)</f>
        <v/>
      </c>
      <c r="DI18">
        <f>DI17*IF(OR($C17=8,$G17=8),0,1)</f>
        <v/>
      </c>
      <c r="DJ18">
        <f>DJ17*IF(OR($C17=9,$G17=9),0,1)</f>
        <v/>
      </c>
      <c r="DK18">
        <f>DK17*IF(OR($C17=10,$G17=10),0,1)</f>
        <v/>
      </c>
      <c r="DL18">
        <f>DL17*IF(OR($C17=11,$G17=11),0,1)</f>
        <v/>
      </c>
      <c r="DM18">
        <f>DM17*IF(OR($C17=12,$G17=12),0,1)</f>
        <v/>
      </c>
      <c r="DN18">
        <f>DN17*IF(OR($C17=13,$G17=13),0,1)</f>
        <v/>
      </c>
      <c r="DO18">
        <f>DO17*IF(OR($C17=14,$G17=14),0,1)</f>
        <v/>
      </c>
      <c r="DP18">
        <f>DP17*IF(OR($C17=15,$G17=15),0,1)</f>
        <v/>
      </c>
      <c r="DQ18">
        <f>DQ17*IF(OR($C17=16,$G17=16),0,1)</f>
        <v/>
      </c>
      <c r="DR18">
        <f>DR17*IF(OR($C17=17,$G17=17),0,1)</f>
        <v/>
      </c>
      <c r="DS18">
        <f>DS17*IF(OR($C17=18,$G17=18),0,1)</f>
        <v/>
      </c>
      <c r="DT18">
        <f>DT17*IF(OR($C17=19,$G17=19),0,1)</f>
        <v/>
      </c>
      <c r="DU18">
        <f>DU17*IF(OR($C17=20,$G17=20),0,1)</f>
        <v/>
      </c>
      <c r="DV18">
        <f>DV17*IF(OR($C17=21,$G17=21),0,1)</f>
        <v/>
      </c>
      <c r="DW18">
        <f>DW17*IF(OR($C17=22,$G17=22),0,1)</f>
        <v/>
      </c>
      <c r="DX18">
        <f>DX17*IF(OR($C17=23,$G17=23),0,1)</f>
        <v/>
      </c>
      <c r="DY18">
        <f>DY17*IF(OR($C17=24,$G17=24),0,1)</f>
        <v/>
      </c>
      <c r="DZ18">
        <f>DZ17*IF(OR($C17=25,$G17=25),0,1)</f>
        <v/>
      </c>
      <c r="EA18">
        <f>EA17*IF(OR($C17=26,$G17=26),0,1)</f>
        <v/>
      </c>
      <c r="EB18">
        <f>EB17*IF(OR($C17=27,$G17=27),0,1)</f>
        <v/>
      </c>
      <c r="EC18">
        <f>EC17*IF(OR($C17=28,$G17=28),0,1)</f>
        <v/>
      </c>
      <c r="ED18">
        <f>ED17*IF(OR($C17=29,$G17=29),0,1)</f>
        <v/>
      </c>
      <c r="EE18">
        <f>EE17*IF(OR($C17=30,$G17=30),0,1)</f>
        <v/>
      </c>
      <c r="EF18">
        <f>EF17*IF(OR($C17=31,$G17=31),0,1)</f>
        <v/>
      </c>
      <c r="EG18">
        <f>EG17*IF(OR($C17=32,$G17=32),0,1)</f>
        <v/>
      </c>
      <c r="EH18">
        <f>EH17*IF(OR($C17=33,$G17=33),0,1)</f>
        <v/>
      </c>
      <c r="EI18">
        <f>EI17*IF(OR($C17=34,$G17=34),0,1)</f>
        <v/>
      </c>
      <c r="EJ18">
        <f>EJ17*IF(OR($C17=35,$G17=35),0,1)</f>
        <v/>
      </c>
      <c r="EK18">
        <f>EK17*IF(OR($C17=36,$G17=36),0,1)</f>
        <v/>
      </c>
      <c r="EL18">
        <f>EL17*IF(OR($C17=37,$G17=37),0,1)</f>
        <v/>
      </c>
      <c r="EM18">
        <f>EM17*IF(OR($C17=38,$G17=38),0,1)</f>
        <v/>
      </c>
      <c r="EN18">
        <f>EN17*IF(OR($C17=39,$G17=39),0,1)</f>
        <v/>
      </c>
      <c r="EO18">
        <f>EO17*IF(OR($C17=40,$G17=40),0,1)</f>
        <v/>
      </c>
      <c r="EP18">
        <f>EP17*IF(OR($C17=41,$G17=41),0,1)</f>
        <v/>
      </c>
      <c r="EQ18">
        <f>EQ17*IF(OR($C17=42,$G17=42),0,1)</f>
        <v/>
      </c>
      <c r="ER18">
        <f>ER17*IF(OR($C17=43,$G17=43),0,1)</f>
        <v/>
      </c>
      <c r="ES18">
        <f>ES17*IF(OR($C17=44,$G17=44),0,1)</f>
        <v/>
      </c>
      <c r="ET18">
        <f>ET17*IF(OR($C17=45,$G17=45),0,1)</f>
        <v/>
      </c>
      <c r="EU18">
        <f>EU17*IF(OR($C17=46,$G17=46),0,1)</f>
        <v/>
      </c>
      <c r="EV18">
        <f>EV17*IF(OR($C17=47,$G17=47),0,1)</f>
        <v/>
      </c>
      <c r="EW18">
        <f>EW17*IF(OR($C17=48,$G17=48),0,1)</f>
        <v/>
      </c>
      <c r="EX18">
        <f>EX17*IF(OR($C17=49,$G17=49),0,1)</f>
        <v/>
      </c>
      <c r="EY18">
        <f>EY17*IF(OR($C17=50,$G17=50),0,1)</f>
        <v/>
      </c>
      <c r="EZ18">
        <f>EZ17*IF(OR($C17=51,$G17=51),0,1)</f>
        <v/>
      </c>
      <c r="FA18">
        <f>FA17*IF(OR($C17=52,$G17=52),0,1)</f>
        <v/>
      </c>
      <c r="FB18">
        <f>FB17*IF(OR($C17=53,$G17=53),0,1)</f>
        <v/>
      </c>
      <c r="FC18">
        <f>FC17*IF(OR($C17=54,$G17=54),0,1)</f>
        <v/>
      </c>
      <c r="FD18">
        <f>FD17*IF(OR($C17=55,$G17=55),0,1)</f>
        <v/>
      </c>
      <c r="FE18">
        <f>FE17*IF(OR($C17=56,$G17=56),0,1)</f>
        <v/>
      </c>
      <c r="FF18">
        <f>FF17*IF(OR($C17=57,$G17=57),0,1)</f>
        <v/>
      </c>
      <c r="FG18">
        <f>FG17*IF(OR($C17=58,$G17=58),0,1)</f>
        <v/>
      </c>
      <c r="FH18">
        <f>FH17*IF(OR($C17=59,$G17=59),0,1)</f>
        <v/>
      </c>
      <c r="FI18">
        <f>FI17*IF(OR($C17=60,$G17=60),0,1)</f>
        <v/>
      </c>
      <c r="FJ18">
        <f>FJ17*IF(OR($C17=61,$G17=61),0,1)</f>
        <v/>
      </c>
      <c r="FK18">
        <f>FK17*IF(OR($C17=62,$G17=62),0,1)</f>
        <v/>
      </c>
      <c r="FL18">
        <f>FL17*IF(OR($C17=63,$G17=63),0,1)</f>
        <v/>
      </c>
      <c r="FM18">
        <f>FM17*IF(OR($C17=64,$G17=64),0,1)</f>
        <v/>
      </c>
      <c r="FN18">
        <f>FN17*IF(OR($C17=65,$G17=65),0,1)</f>
        <v/>
      </c>
      <c r="FO18">
        <f>FO17*IF(OR($C17=66,$G17=66),0,1)</f>
        <v/>
      </c>
      <c r="FP18">
        <f>FP17*IF(OR($C17=67,$G17=67),0,1)</f>
        <v/>
      </c>
      <c r="FQ18">
        <f>FQ17*IF(OR($C17=68,$G17=68),0,1)</f>
        <v/>
      </c>
      <c r="FR18">
        <f>FR17*IF(OR($C17=69,$G17=69),0,1)</f>
        <v/>
      </c>
      <c r="FS18">
        <f>FS17*IF(OR($C17=70,$G17=70),0,1)</f>
        <v/>
      </c>
      <c r="FT18">
        <f>FT17*IF(OR($C17=71,$G17=71),0,1)</f>
        <v/>
      </c>
      <c r="FU18">
        <f>FU17*IF(OR($C17=72,$G17=72),0,1)</f>
        <v/>
      </c>
      <c r="FV18">
        <f>FV17*IF(OR($C17=73,$G17=73),0,1)</f>
        <v/>
      </c>
      <c r="FW18">
        <f>FW17*IF(OR($C17=74,$G17=74),0,1)</f>
        <v/>
      </c>
      <c r="FX18">
        <f>FX17*IF(OR($C17=75,$G17=75),0,1)</f>
        <v/>
      </c>
      <c r="FY18">
        <f>FY17*IF(OR($C17=76,$G17=76),0,1)</f>
        <v/>
      </c>
      <c r="FZ18">
        <f>FZ17*IF(OR($C17=77,$G17=77),0,1)</f>
        <v/>
      </c>
      <c r="GA18">
        <f>GA17*IF(OR($C17=78,$G17=78),0,1)</f>
        <v/>
      </c>
      <c r="GB18">
        <f>GB17*IF(OR($C17=79,$G17=79),0,1)</f>
        <v/>
      </c>
      <c r="GC18">
        <f>GC17*IF(OR($C17=80,$G17=80),0,1)</f>
        <v/>
      </c>
      <c r="GD18">
        <f>GD17*IF(OR($C17=81,$G17=81),0,1)</f>
        <v/>
      </c>
      <c r="GE18">
        <f>GE17*IF(OR($C17=82,$G17=82),0,1)</f>
        <v/>
      </c>
      <c r="GF18">
        <f>GF17*IF(OR($C17=83,$G17=83),0,1)</f>
        <v/>
      </c>
      <c r="GG18">
        <f>GG17*IF(OR($C17=84,$G17=84),0,1)</f>
        <v/>
      </c>
      <c r="GH18">
        <f>GH17*IF(OR($C17=85,$G17=85),0,1)</f>
        <v/>
      </c>
      <c r="GI18">
        <f>GI17*IF(OR($C17=86,$G17=86),0,1)</f>
        <v/>
      </c>
      <c r="GJ18">
        <f>GJ17*IF(OR($C17=87,$G17=87),0,1)</f>
        <v/>
      </c>
      <c r="GK18">
        <f>GK17*IF(OR($C17=88,$G17=88),0,1)</f>
        <v/>
      </c>
      <c r="GL18">
        <f>GL17*IF(OR($C17=89,$G17=89),0,1)</f>
        <v/>
      </c>
      <c r="GM18">
        <f>GM17*IF(OR($C17=90,$G17=90),0,1)</f>
        <v/>
      </c>
      <c r="GN18">
        <f>GN17*IF(OR($C17=91,$G17=91),0,1)</f>
        <v/>
      </c>
      <c r="GO18">
        <f>GO17*IF(OR($C17=92,$G17=92),0,1)</f>
        <v/>
      </c>
      <c r="GP18">
        <f>GP17*IF(OR($C17=93,$G17=93),0,1)</f>
        <v/>
      </c>
      <c r="GQ18">
        <f>GQ17*IF(OR($C17=94,$G17=94),0,1)</f>
        <v/>
      </c>
      <c r="GR18">
        <f>GR17*IF(OR($C17=95,$G17=95),0,1)</f>
        <v/>
      </c>
      <c r="GS18">
        <f>GS17*IF(OR($C17=96,$G17=96),0,1)</f>
        <v/>
      </c>
      <c r="GT18">
        <f>GT17*IF(OR($C17=97,$G17=97),0,1)</f>
        <v/>
      </c>
      <c r="GU18">
        <f>GU17*IF(OR($C17=98,$G17=98),0,1)</f>
        <v/>
      </c>
      <c r="GV18">
        <f>GV17*IF(OR($C17=99,$G17=99),0,1)</f>
        <v/>
      </c>
      <c r="GW18">
        <f>GW17*IF(OR($C17=100,$G17=100),0,1)</f>
        <v/>
      </c>
      <c r="GX18">
        <f>GX17*IF(OR($C17=101,$G17=101),0,1)</f>
        <v/>
      </c>
      <c r="GY18">
        <f>GY17*IF(OR($C17=102,$G17=102),0,1)</f>
        <v/>
      </c>
      <c r="GZ18">
        <f>GZ17*IF(OR($C17=103,$G17=103),0,1)</f>
        <v/>
      </c>
      <c r="HA18">
        <f>HA17*IF(OR($C17=104,$G17=104),0,1)</f>
        <v/>
      </c>
      <c r="HB18">
        <f>HB17*IF(OR($C17=105,$G17=105),0,1)</f>
        <v/>
      </c>
      <c r="HC18">
        <f>HC17*IF(OR($C17=106,$G17=106),0,1)</f>
        <v/>
      </c>
      <c r="HD18">
        <f>HD17*IF(OR($C17=107,$G17=107),0,1)</f>
        <v/>
      </c>
      <c r="HE18">
        <f>HE17*IF(OR($C17=108,$G17=108),0,1)</f>
        <v/>
      </c>
      <c r="HF18">
        <f>HF17*IF(OR($C17=109,$G17=109),0,1)</f>
        <v/>
      </c>
      <c r="HG18">
        <f>HG17*IF(OR($C17=110,$G17=110),0,1)</f>
        <v/>
      </c>
      <c r="HH18">
        <f>HH17*IF(OR($C17=111,$G17=111),0,1)</f>
        <v/>
      </c>
      <c r="HI18">
        <f>HI17*IF(OR($C17=112,$G17=112),0,1)</f>
        <v/>
      </c>
      <c r="HJ18">
        <f>HJ17*IF(OR($C17=113,$G17=113),0,1)</f>
        <v/>
      </c>
      <c r="HK18">
        <f>HK17*IF(OR($C17=114,$G17=114),0,1)</f>
        <v/>
      </c>
      <c r="HL18">
        <f>HL17*IF(OR($C17=115,$G17=115),0,1)</f>
        <v/>
      </c>
      <c r="HM18">
        <f>HM17*IF(OR($C17=116,$G17=116),0,1)</f>
        <v/>
      </c>
      <c r="HN18">
        <f>HN17*IF(OR($C17=117,$G17=117),0,1)</f>
        <v/>
      </c>
      <c r="HO18">
        <f>HO17*IF(OR($C17=118,$G17=118),0,1)</f>
        <v/>
      </c>
      <c r="HP18">
        <f>HP17*IF(OR($C17=119,$G17=119),0,1)</f>
        <v/>
      </c>
      <c r="HQ18">
        <f>HQ17*IF(OR($C17=120,$G17=120),0,1)</f>
        <v/>
      </c>
      <c r="HR18">
        <f>HR17*IF(OR($C17=121,$G17=121),0,1)</f>
        <v/>
      </c>
      <c r="HS18">
        <f>HS17*IF(OR($C17=122,$G17=122),0,1)</f>
        <v/>
      </c>
      <c r="HT18">
        <f>HT17*IF(OR($C17=123,$G17=123),0,1)</f>
        <v/>
      </c>
      <c r="HU18">
        <f>HU17*IF(OR($C17=124,$G17=124),0,1)</f>
        <v/>
      </c>
      <c r="HV18">
        <f>HV17*IF(OR($C17=125,$G17=125),0,1)</f>
        <v/>
      </c>
      <c r="HW18">
        <f>HW17*IF(OR($C17=126,$G17=126),0,1)</f>
        <v/>
      </c>
      <c r="HX18">
        <f>HX17*IF(OR($C17=127,$G17=127),0,1)</f>
        <v/>
      </c>
      <c r="HY18">
        <f>HY17*IF(OR($C17=128,$G17=128),0,1)</f>
        <v/>
      </c>
      <c r="HZ18">
        <f>HZ17*IF(OR($C17=129,$G17=129),0,1)</f>
        <v/>
      </c>
      <c r="IA18">
        <f>IA17*IF(OR($C17=130,$G17=130),0,1)</f>
        <v/>
      </c>
      <c r="IB18">
        <f>IB17*IF(OR($C17=131,$G17=131),0,1)</f>
        <v/>
      </c>
      <c r="IC18">
        <f>IC17*IF(OR($C17=132,$G17=132),0,1)</f>
        <v/>
      </c>
      <c r="ID18">
        <f>ID17*IF(OR($C17=133,$G17=133),0,1)</f>
        <v/>
      </c>
      <c r="IE18">
        <f>IE17*IF(OR($C17=134,$G17=134),0,1)</f>
        <v/>
      </c>
      <c r="IF18">
        <f>IF17*IF(OR($C17=135,$G17=135),0,1)</f>
        <v/>
      </c>
      <c r="IG18">
        <f>IG17*IF(OR($C17=136,$G17=136),0,1)</f>
        <v/>
      </c>
      <c r="IH18">
        <f>IH17*IF(OR($C17=137,$G17=137),0,1)</f>
        <v/>
      </c>
      <c r="II18">
        <f>II17*IF(OR($C17=138,$G17=138),0,1)</f>
        <v/>
      </c>
      <c r="IJ18">
        <f>IJ17*IF(OR($C17=139,$G17=139),0,1)</f>
        <v/>
      </c>
      <c r="IK18">
        <f>IK17*IF(OR($C17=140,$G17=140),0,1)</f>
        <v/>
      </c>
      <c r="IL18">
        <f>IL17*IF(OR($C17=141,$G17=141),0,1)</f>
        <v/>
      </c>
      <c r="IM18">
        <f>IM17*IF(OR($C17=142,$G17=142),0,1)</f>
        <v/>
      </c>
      <c r="IN18">
        <f>IN17*IF(OR($C17=143,$G17=143),0,1)</f>
        <v/>
      </c>
      <c r="IO18">
        <f>IO17*IF(OR($C17=144,$G17=144),0,1)</f>
        <v/>
      </c>
      <c r="IQ18">
        <f>IF('calcA'!D$106=1,DC18,1)</f>
        <v/>
      </c>
      <c r="IR18">
        <f>IF('calcA'!E$106=1,DD18,1)</f>
        <v/>
      </c>
      <c r="IS18">
        <f>IF('calcA'!F$106=1,DE18,1)</f>
        <v/>
      </c>
      <c r="IT18">
        <f>IF('calcA'!G$106=1,DF18,1)</f>
        <v/>
      </c>
      <c r="IU18">
        <f>IF('calcA'!H$106=1,DG18,1)</f>
        <v/>
      </c>
      <c r="IV18">
        <f>IF('calcA'!I$106=1,DH18,1)</f>
        <v/>
      </c>
      <c r="IW18">
        <f>IF('calcA'!J$106=1,DI18,1)</f>
        <v/>
      </c>
      <c r="IX18">
        <f>IF('calcA'!K$106=1,DJ18,1)</f>
        <v/>
      </c>
      <c r="IY18">
        <f>IF('calcA'!L$106=1,DK18,1)</f>
        <v/>
      </c>
      <c r="IZ18">
        <f>IF('calcA'!M$106=1,DL18,1)</f>
        <v/>
      </c>
      <c r="JA18">
        <f>IF('calcA'!N$106=1,DM18,1)</f>
        <v/>
      </c>
      <c r="JB18">
        <f>IF('calcA'!O$106=1,DN18,1)</f>
        <v/>
      </c>
      <c r="JC18">
        <f>IF('calcA'!P$106=1,DO18,1)</f>
        <v/>
      </c>
      <c r="JD18">
        <f>IF('calcA'!Q$106=1,DP18,1)</f>
        <v/>
      </c>
      <c r="JE18">
        <f>IF('calcA'!R$106=1,DQ18,1)</f>
        <v/>
      </c>
      <c r="JF18">
        <f>IF('calcA'!S$106=1,DR18,1)</f>
        <v/>
      </c>
      <c r="JG18">
        <f>IF('calcA'!T$106=1,DS18,1)</f>
        <v/>
      </c>
      <c r="JH18">
        <f>IF('calcA'!U$106=1,DT18,1)</f>
        <v/>
      </c>
      <c r="JI18">
        <f>IF('calcA'!V$106=1,DU18,1)</f>
        <v/>
      </c>
      <c r="JJ18">
        <f>IF('calcA'!W$106=1,DV18,1)</f>
        <v/>
      </c>
      <c r="JK18">
        <f>IF('calcA'!X$106=1,DW18,1)</f>
        <v/>
      </c>
      <c r="JL18">
        <f>IF('calcA'!Y$106=1,DX18,1)</f>
        <v/>
      </c>
      <c r="JM18">
        <f>IF('calcA'!Z$106=1,DY18,1)</f>
        <v/>
      </c>
      <c r="JN18">
        <f>IF('calcA'!AA$106=1,DZ18,1)</f>
        <v/>
      </c>
      <c r="JO18">
        <f>IF('calcA'!AB$106=1,EA18,1)</f>
        <v/>
      </c>
      <c r="JP18">
        <f>IF('calcA'!AC$106=1,EB18,1)</f>
        <v/>
      </c>
      <c r="JQ18">
        <f>IF('calcA'!AD$106=1,EC18,1)</f>
        <v/>
      </c>
      <c r="JR18">
        <f>IF('calcA'!AE$106=1,ED18,1)</f>
        <v/>
      </c>
      <c r="JS18">
        <f>IF('calcA'!AF$106=1,EE18,1)</f>
        <v/>
      </c>
      <c r="JT18">
        <f>IF('calcA'!AG$106=1,EF18,1)</f>
        <v/>
      </c>
      <c r="JU18">
        <f>IF('calcA'!AH$106=1,EG18,1)</f>
        <v/>
      </c>
      <c r="JV18">
        <f>IF('calcA'!AI$106=1,EH18,1)</f>
        <v/>
      </c>
      <c r="JW18">
        <f>IF('calcA'!AJ$106=1,EI18,1)</f>
        <v/>
      </c>
      <c r="JX18">
        <f>IF('calcA'!AK$106=1,EJ18,1)</f>
        <v/>
      </c>
      <c r="JY18">
        <f>IF('calcA'!AL$106=1,EK18,1)</f>
        <v/>
      </c>
      <c r="JZ18">
        <f>IF('calcA'!AM$106=1,EL18,1)</f>
        <v/>
      </c>
      <c r="KA18">
        <f>IF('calcA'!AN$106=1,EM18,1)</f>
        <v/>
      </c>
      <c r="KB18">
        <f>IF('calcA'!AO$106=1,EN18,1)</f>
        <v/>
      </c>
      <c r="KC18">
        <f>IF('calcA'!AP$106=1,EO18,1)</f>
        <v/>
      </c>
      <c r="KD18">
        <f>IF('calcA'!AQ$106=1,EP18,1)</f>
        <v/>
      </c>
      <c r="KE18">
        <f>IF('calcA'!AR$106=1,EQ18,1)</f>
        <v/>
      </c>
      <c r="KF18">
        <f>IF('calcA'!AS$106=1,ER18,1)</f>
        <v/>
      </c>
      <c r="KG18">
        <f>IF('calcA'!AT$106=1,ES18,1)</f>
        <v/>
      </c>
      <c r="KH18">
        <f>IF('calcA'!AU$106=1,ET18,1)</f>
        <v/>
      </c>
      <c r="KI18">
        <f>IF('calcA'!AV$106=1,EU18,1)</f>
        <v/>
      </c>
      <c r="KJ18">
        <f>IF('calcA'!AW$106=1,EV18,1)</f>
        <v/>
      </c>
      <c r="KK18">
        <f>IF('calcA'!AX$106=1,EW18,1)</f>
        <v/>
      </c>
      <c r="KL18">
        <f>IF('calcA'!AY$106=1,EX18,1)</f>
        <v/>
      </c>
      <c r="KM18">
        <f>IF('calcA'!AZ$106=1,EY18,1)</f>
        <v/>
      </c>
      <c r="KN18">
        <f>IF('calcA'!BA$106=1,EZ18,1)</f>
        <v/>
      </c>
      <c r="KO18">
        <f>IF('calcA'!BB$106=1,FA18,1)</f>
        <v/>
      </c>
      <c r="KP18">
        <f>IF('calcA'!BC$106=1,FB18,1)</f>
        <v/>
      </c>
      <c r="KQ18">
        <f>IF('calcA'!BD$106=1,FC18,1)</f>
        <v/>
      </c>
      <c r="KR18">
        <f>IF('calcA'!BE$106=1,FD18,1)</f>
        <v/>
      </c>
      <c r="KS18">
        <f>IF('calcA'!BF$106=1,FE18,1)</f>
        <v/>
      </c>
      <c r="KT18">
        <f>IF('calcA'!BG$106=1,FF18,1)</f>
        <v/>
      </c>
      <c r="KU18">
        <f>IF('calcA'!BH$106=1,FG18,1)</f>
        <v/>
      </c>
      <c r="KV18">
        <f>IF('calcA'!BI$106=1,FH18,1)</f>
        <v/>
      </c>
      <c r="KW18">
        <f>IF('calcA'!BJ$106=1,FI18,1)</f>
        <v/>
      </c>
      <c r="KX18">
        <f>IF('calcA'!BK$106=1,FJ18,1)</f>
        <v/>
      </c>
      <c r="KY18">
        <f>IF('calcA'!BL$106=1,FK18,1)</f>
        <v/>
      </c>
      <c r="KZ18">
        <f>IF('calcA'!BM$106=1,FL18,1)</f>
        <v/>
      </c>
      <c r="LA18">
        <f>IF('calcA'!BN$106=1,FM18,1)</f>
        <v/>
      </c>
      <c r="LB18">
        <f>IF('calcA'!BO$106=1,FN18,1)</f>
        <v/>
      </c>
      <c r="LC18">
        <f>IF('calcA'!BP$106=1,FO18,1)</f>
        <v/>
      </c>
      <c r="LD18">
        <f>IF('calcA'!BQ$106=1,FP18,1)</f>
        <v/>
      </c>
      <c r="LE18">
        <f>IF('calcA'!BR$106=1,FQ18,1)</f>
        <v/>
      </c>
      <c r="LF18">
        <f>IF('calcA'!BS$106=1,FR18,1)</f>
        <v/>
      </c>
      <c r="LG18">
        <f>IF('calcA'!BT$106=1,FS18,1)</f>
        <v/>
      </c>
      <c r="LH18">
        <f>IF('calcA'!BU$106=1,FT18,1)</f>
        <v/>
      </c>
      <c r="LI18">
        <f>IF('calcA'!BV$106=1,FU18,1)</f>
        <v/>
      </c>
      <c r="LJ18">
        <f>IF('calcA'!BW$106=1,FV18,1)</f>
        <v/>
      </c>
      <c r="LK18">
        <f>IF('calcA'!BX$106=1,FW18,1)</f>
        <v/>
      </c>
      <c r="LL18">
        <f>IF('calcA'!BY$106=1,FX18,1)</f>
        <v/>
      </c>
      <c r="LM18">
        <f>IF('calcA'!BZ$106=1,FY18,1)</f>
        <v/>
      </c>
      <c r="LN18">
        <f>IF('calcA'!CA$106=1,FZ18,1)</f>
        <v/>
      </c>
      <c r="LO18">
        <f>IF('calcA'!CB$106=1,GA18,1)</f>
        <v/>
      </c>
      <c r="LP18">
        <f>IF('calcA'!CC$106=1,GB18,1)</f>
        <v/>
      </c>
      <c r="LQ18">
        <f>IF('calcA'!CD$106=1,GC18,1)</f>
        <v/>
      </c>
      <c r="LR18">
        <f>IF('calcA'!CE$106=1,GD18,1)</f>
        <v/>
      </c>
      <c r="LS18">
        <f>IF('calcA'!CF$106=1,GE18,1)</f>
        <v/>
      </c>
      <c r="LT18">
        <f>IF('calcA'!CG$106=1,GF18,1)</f>
        <v/>
      </c>
      <c r="LU18">
        <f>IF('calcA'!CH$106=1,GG18,1)</f>
        <v/>
      </c>
      <c r="LV18">
        <f>IF('calcA'!CI$106=1,GH18,1)</f>
        <v/>
      </c>
      <c r="LW18">
        <f>IF('calcA'!CJ$106=1,GI18,1)</f>
        <v/>
      </c>
      <c r="LX18">
        <f>IF('calcA'!CK$106=1,GJ18,1)</f>
        <v/>
      </c>
      <c r="LY18">
        <f>IF('calcA'!CL$106=1,GK18,1)</f>
        <v/>
      </c>
      <c r="LZ18">
        <f>IF('calcA'!CM$106=1,GL18,1)</f>
        <v/>
      </c>
      <c r="MA18">
        <f>IF('calcA'!CN$106=1,GM18,1)</f>
        <v/>
      </c>
      <c r="MB18">
        <f>IF('calcA'!CO$106=1,GN18,1)</f>
        <v/>
      </c>
      <c r="MC18">
        <f>IF('calcA'!CP$106=1,GO18,1)</f>
        <v/>
      </c>
      <c r="MD18">
        <f>IF('calcA'!CQ$106=1,GP18,1)</f>
        <v/>
      </c>
      <c r="ME18">
        <f>IF('calcA'!CR$106=1,GQ18,1)</f>
        <v/>
      </c>
      <c r="MF18">
        <f>IF('calcA'!CS$106=1,GR18,1)</f>
        <v/>
      </c>
      <c r="MG18">
        <f>IF('calcA'!CT$106=1,GS18,1)</f>
        <v/>
      </c>
      <c r="MH18">
        <f>IF('calcA'!CU$106=1,GT18,1)</f>
        <v/>
      </c>
      <c r="MI18">
        <f>IF('calcA'!CV$106=1,GU18,1)</f>
        <v/>
      </c>
      <c r="MJ18">
        <f>IF('calcA'!CW$106=1,GV18,1)</f>
        <v/>
      </c>
      <c r="MK18">
        <f>IF('calcA'!CX$106=1,GW18,1)</f>
        <v/>
      </c>
      <c r="ML18">
        <f>IF('calcA'!CY$106=1,GX18,1)</f>
        <v/>
      </c>
      <c r="MM18">
        <f>IF('calcA'!CZ$106=1,GY18,1)</f>
        <v/>
      </c>
      <c r="MN18">
        <f>IF('calcA'!DA$106=1,GZ18,1)</f>
        <v/>
      </c>
      <c r="MO18">
        <f>IF('calcA'!DB$106=1,HA18,1)</f>
        <v/>
      </c>
      <c r="MP18">
        <f>IF('calcA'!DC$106=1,HB18,1)</f>
        <v/>
      </c>
      <c r="MQ18">
        <f>IF('calcA'!DD$106=1,HC18,1)</f>
        <v/>
      </c>
      <c r="MR18">
        <f>IF('calcA'!DE$106=1,HD18,1)</f>
        <v/>
      </c>
      <c r="MS18">
        <f>IF('calcA'!DF$106=1,HE18,1)</f>
        <v/>
      </c>
      <c r="MT18">
        <f>IF('calcA'!DG$106=1,HF18,1)</f>
        <v/>
      </c>
      <c r="MU18">
        <f>IF('calcA'!DH$106=1,HG18,1)</f>
        <v/>
      </c>
      <c r="MV18">
        <f>IF('calcA'!DI$106=1,HH18,1)</f>
        <v/>
      </c>
      <c r="MW18">
        <f>IF('calcA'!DJ$106=1,HI18,1)</f>
        <v/>
      </c>
      <c r="MX18">
        <f>IF('calcA'!DK$106=1,HJ18,1)</f>
        <v/>
      </c>
      <c r="MY18">
        <f>IF('calcA'!DL$106=1,HK18,1)</f>
        <v/>
      </c>
      <c r="MZ18">
        <f>IF('calcA'!DM$106=1,HL18,1)</f>
        <v/>
      </c>
      <c r="NA18">
        <f>IF('calcA'!DN$106=1,HM18,1)</f>
        <v/>
      </c>
      <c r="NB18">
        <f>IF('calcA'!DO$106=1,HN18,1)</f>
        <v/>
      </c>
      <c r="NC18">
        <f>IF('calcA'!DP$106=1,HO18,1)</f>
        <v/>
      </c>
      <c r="ND18">
        <f>IF('calcA'!DQ$106=1,HP18,1)</f>
        <v/>
      </c>
      <c r="NE18">
        <f>IF('calcA'!DR$106=1,HQ18,1)</f>
        <v/>
      </c>
      <c r="NF18">
        <f>IF('calcA'!DS$106=1,HR18,1)</f>
        <v/>
      </c>
      <c r="NG18">
        <f>IF('calcA'!DT$106=1,HS18,1)</f>
        <v/>
      </c>
      <c r="NH18">
        <f>IF('calcA'!DU$106=1,HT18,1)</f>
        <v/>
      </c>
      <c r="NI18">
        <f>IF('calcA'!DV$106=1,HU18,1)</f>
        <v/>
      </c>
      <c r="NJ18">
        <f>IF('calcA'!DW$106=1,HV18,1)</f>
        <v/>
      </c>
      <c r="NK18">
        <f>IF('calcA'!DX$106=1,HW18,1)</f>
        <v/>
      </c>
      <c r="NL18">
        <f>IF('calcA'!DY$106=1,HX18,1)</f>
        <v/>
      </c>
      <c r="NM18">
        <f>IF('calcA'!DZ$106=1,HY18,1)</f>
        <v/>
      </c>
      <c r="NN18">
        <f>IF('calcA'!EA$106=1,HZ18,1)</f>
        <v/>
      </c>
      <c r="NO18">
        <f>IF('calcA'!EB$106=1,IA18,1)</f>
        <v/>
      </c>
      <c r="NP18">
        <f>IF('calcA'!EC$106=1,IB18,1)</f>
        <v/>
      </c>
      <c r="NQ18">
        <f>IF('calcA'!ED$106=1,IC18,1)</f>
        <v/>
      </c>
      <c r="NR18">
        <f>IF('calcA'!EE$106=1,ID18,1)</f>
        <v/>
      </c>
      <c r="NS18">
        <f>IF('calcA'!EF$106=1,IE18,1)</f>
        <v/>
      </c>
      <c r="NT18">
        <f>IF('calcA'!EG$106=1,IF18,1)</f>
        <v/>
      </c>
      <c r="NU18">
        <f>IF('calcA'!EH$106=1,IG18,1)</f>
        <v/>
      </c>
      <c r="NV18">
        <f>IF('calcA'!EI$106=1,IH18,1)</f>
        <v/>
      </c>
      <c r="NW18">
        <f>IF('calcA'!EJ$106=1,II18,1)</f>
        <v/>
      </c>
      <c r="NX18">
        <f>IF('calcA'!EK$106=1,IJ18,1)</f>
        <v/>
      </c>
      <c r="NY18">
        <f>IF('calcA'!EL$106=1,IK18,1)</f>
        <v/>
      </c>
      <c r="NZ18">
        <f>IF('calcA'!EM$106=1,IL18,1)</f>
        <v/>
      </c>
      <c r="OA18">
        <f>IF('calcA'!EN$106=1,IM18,1)</f>
        <v/>
      </c>
      <c r="OB18">
        <f>IF('calcA'!EO$106=1,IN18,1)</f>
        <v/>
      </c>
      <c r="OC18">
        <f>IF('calcA'!EP$106=1,IO18,1)</f>
        <v/>
      </c>
      <c r="OD18" t="n">
        <v>1</v>
      </c>
      <c r="OF18">
        <f>IF($B18=0,1000000000,IF(INDEX('calcA'!$D$60:$EQ$99,$B18,1)*IF($W18=1,DB18+ZQ18,DB18)=1,IF(AND($E18=2,IF($W18=1,AFF18,IQ18)=0),1000000000,IF($V18=1,INDEX('calcA'!$D$130:$EQ$169,$B18,1)+IF(AND($E18=1,IQ18=0),25,0),INDEX('calcA'!D$110:D$114,$F18+1)+IF(AND($E18=1,IQ18=0),1000,0)+IF($H18=1,INDEX('calcA'!$D$180:$EQ$219,$B18,1)*500,0)-IF(AND($U18=1,'calcA'!D$117=1,DC18=0),300,0))),1000000000))</f>
        <v/>
      </c>
      <c r="OG18">
        <f>IF($B18=0,1000000000,IF(INDEX('calcA'!$D$60:$EQ$99,$B18,2)*IF($W18=1,DC18+ZR18,DC18)=1,IF(AND($E18=2,IF($W18=1,AFG18,IR18)=0),1000000000,IF($V18=1,INDEX('calcA'!$D$130:$EQ$169,$B18,2)+IF(AND($E18=1,IR18=0),25,0),INDEX('calcA'!E$110:E$114,$F18+1)+IF(AND($E18=1,IR18=0),1000,0)+IF($H18=1,INDEX('calcA'!$D$180:$EQ$219,$B18,2)*500,0)-IF(AND('calcA'!D$117=1,UB18&gt;0),300,0)-IF(AND($U18=1,'calcA'!E$117=1,DD18=0),300,0))),1000000000))</f>
        <v/>
      </c>
      <c r="OH18">
        <f>IF($B18=0,1000000000,IF(INDEX('calcA'!$D$60:$EQ$99,$B18,3)*IF($W18=1,DD18+ZS18,DD18)=1,IF(AND($E18=2,IF($W18=1,AFH18,IS18)=0),1000000000,IF($V18=1,INDEX('calcA'!$D$130:$EQ$169,$B18,3)+IF(AND($E18=1,IS18=0),25,0),INDEX('calcA'!F$110:F$114,$F18+1)+IF(AND($E18=1,IS18=0),1000,0)+IF($H18=1,INDEX('calcA'!$D$180:$EQ$219,$B18,3)*500,0)-IF(AND('calcA'!E$117=1,UC18&gt;0),300,0)-IF(AND($U18=1,'calcA'!F$117=1,DE18=0),300,0))),1000000000))</f>
        <v/>
      </c>
      <c r="OI18">
        <f>IF($B18=0,1000000000,IF(INDEX('calcA'!$D$60:$EQ$99,$B18,4)*IF($W18=1,DE18+ZT18,DE18)=1,IF(AND($E18=2,IF($W18=1,AFI18,IT18)=0),1000000000,IF($V18=1,INDEX('calcA'!$D$130:$EQ$169,$B18,4)+IF(AND($E18=1,IT18=0),25,0),INDEX('calcA'!G$110:G$114,$F18+1)+IF(AND($E18=1,IT18=0),1000,0)+IF($H18=1,INDEX('calcA'!$D$180:$EQ$219,$B18,4)*500,0)-IF(AND('calcA'!F$117=1,UD18&gt;0),300,0)-IF(AND($U18=1,'calcA'!G$117=1,DF18=0),300,0))),1000000000))</f>
        <v/>
      </c>
      <c r="OJ18">
        <f>IF($B18=0,1000000000,IF(INDEX('calcA'!$D$60:$EQ$99,$B18,5)*IF($W18=1,DF18+ZU18,DF18)=1,IF(AND($E18=2,IF($W18=1,AFJ18,IU18)=0),1000000000,IF($V18=1,INDEX('calcA'!$D$130:$EQ$169,$B18,5)+IF(AND($E18=1,IU18=0),25,0),INDEX('calcA'!H$110:H$114,$F18+1)+IF(AND($E18=1,IU18=0),1000,0)+IF($H18=1,INDEX('calcA'!$D$180:$EQ$219,$B18,5)*500,0)-IF(AND('calcA'!G$117=1,UE18&gt;0),300,0)-IF(AND($U18=1,'calcA'!H$117=1,DG18=0),300,0))),1000000000))</f>
        <v/>
      </c>
      <c r="OK18">
        <f>IF($B18=0,1000000000,IF(INDEX('calcA'!$D$60:$EQ$99,$B18,6)*IF($W18=1,DG18+ZV18,DG18)=1,IF(AND($E18=2,IF($W18=1,AFK18,IV18)=0),1000000000,IF($V18=1,INDEX('calcA'!$D$130:$EQ$169,$B18,6)+IF(AND($E18=1,IV18=0),25,0),INDEX('calcA'!I$110:I$114,$F18+1)+IF(AND($E18=1,IV18=0),1000,0)+IF($H18=1,INDEX('calcA'!$D$180:$EQ$219,$B18,6)*500,0)-IF(AND('calcA'!H$117=1,UF18&gt;0),300,0)-IF(AND($U18=1,'calcA'!I$117=1,DH18=0),300,0))),1000000000))</f>
        <v/>
      </c>
      <c r="OL18">
        <f>IF($B18=0,1000000000,IF(INDEX('calcA'!$D$60:$EQ$99,$B18,7)*IF($W18=1,DH18+ZW18,DH18)=1,IF(AND($E18=2,IF($W18=1,AFL18,IW18)=0),1000000000,IF($V18=1,INDEX('calcA'!$D$130:$EQ$169,$B18,7)+IF(AND($E18=1,IW18=0),25,0),INDEX('calcA'!J$110:J$114,$F18+1)+IF(AND($E18=1,IW18=0),1000,0)+IF($H18=1,INDEX('calcA'!$D$180:$EQ$219,$B18,7)*500,0)-IF(AND('calcA'!I$117=1,UG18&gt;0),300,0)-IF(AND($U18=1,'calcA'!J$117=1,DI18=0),300,0))),1000000000))</f>
        <v/>
      </c>
      <c r="OM18">
        <f>IF($B18=0,1000000000,IF(INDEX('calcA'!$D$60:$EQ$99,$B18,8)*IF($W18=1,DI18+ZX18,DI18)=1,IF(AND($E18=2,IF($W18=1,AFM18,IX18)=0),1000000000,IF($V18=1,INDEX('calcA'!$D$130:$EQ$169,$B18,8)+IF(AND($E18=1,IX18=0),25,0),INDEX('calcA'!K$110:K$114,$F18+1)+IF(AND($E18=1,IX18=0),1000,0)+IF($H18=1,INDEX('calcA'!$D$180:$EQ$219,$B18,8)*500,0)-IF(AND('calcA'!J$117=1,UH18&gt;0),300,0)-IF(AND($U18=1,'calcA'!K$117=1,DJ18=0),300,0))),1000000000))</f>
        <v/>
      </c>
      <c r="ON18">
        <f>IF($B18=0,1000000000,IF(INDEX('calcA'!$D$60:$EQ$99,$B18,9)*IF($W18=1,DJ18+ZY18,DJ18)=1,IF(AND($E18=2,IF($W18=1,AFN18,IY18)=0),1000000000,IF($V18=1,INDEX('calcA'!$D$130:$EQ$169,$B18,9)+IF(AND($E18=1,IY18=0),25,0),INDEX('calcA'!L$110:L$114,$F18+1)+IF(AND($E18=1,IY18=0),1000,0)+IF($H18=1,INDEX('calcA'!$D$180:$EQ$219,$B18,9)*500,0)-IF(AND('calcA'!K$117=1,UI18&gt;0),300,0)-IF(AND($U18=1,'calcA'!L$117=1,DK18=0),300,0))),1000000000))</f>
        <v/>
      </c>
      <c r="OO18">
        <f>IF($B18=0,1000000000,IF(INDEX('calcA'!$D$60:$EQ$99,$B18,10)*IF($W18=1,DK18+ZZ18,DK18)=1,IF(AND($E18=2,IF($W18=1,AFO18,IZ18)=0),1000000000,IF($V18=1,INDEX('calcA'!$D$130:$EQ$169,$B18,10)+IF(AND($E18=1,IZ18=0),25,0),INDEX('calcA'!M$110:M$114,$F18+1)+IF(AND($E18=1,IZ18=0),1000,0)+IF($H18=1,INDEX('calcA'!$D$180:$EQ$219,$B18,10)*500,0)-IF(AND('calcA'!L$117=1,UJ18&gt;0),300,0)-IF(AND($U18=1,'calcA'!M$117=1,DL18=0),300,0))),1000000000))</f>
        <v/>
      </c>
      <c r="OP18">
        <f>IF($B18=0,1000000000,IF(INDEX('calcA'!$D$60:$EQ$99,$B18,11)*IF($W18=1,DL18+AAA18,DL18)=1,IF(AND($E18=2,IF($W18=1,AFP18,JA18)=0),1000000000,IF($V18=1,INDEX('calcA'!$D$130:$EQ$169,$B18,11)+IF(AND($E18=1,JA18=0),25,0),INDEX('calcA'!N$110:N$114,$F18+1)+IF(AND($E18=1,JA18=0),1000,0)+IF($H18=1,INDEX('calcA'!$D$180:$EQ$219,$B18,11)*500,0)-IF(AND('calcA'!M$117=1,UK18&gt;0),300,0)-IF(AND($U18=1,'calcA'!N$117=1,DM18=0),300,0))),1000000000))</f>
        <v/>
      </c>
      <c r="OQ18">
        <f>IF($B18=0,1000000000,IF(INDEX('calcA'!$D$60:$EQ$99,$B18,12)*IF($W18=1,DM18+AAB18,DM18)=1,IF(AND($E18=2,IF($W18=1,AFQ18,JB18)=0),1000000000,IF($V18=1,INDEX('calcA'!$D$130:$EQ$169,$B18,12)+IF(AND($E18=1,JB18=0),25,0),INDEX('calcA'!O$110:O$114,$F18+1)+IF(AND($E18=1,JB18=0),1000,0)+IF($H18=1,INDEX('calcA'!$D$180:$EQ$219,$B18,12)*500,0)-IF(AND('calcA'!N$117=1,UL18&gt;0),300,0)-IF(AND($U18=1,'calcA'!O$117=1,DN18=0),300,0))),1000000000))</f>
        <v/>
      </c>
      <c r="OR18">
        <f>IF($B18=0,1000000000,IF(INDEX('calcA'!$D$60:$EQ$99,$B18,13)*IF($W18=1,DN18+AAC18,DN18)=1,IF(AND($E18=2,IF($W18=1,AFR18,JC18)=0),1000000000,IF($V18=1,INDEX('calcA'!$D$130:$EQ$169,$B18,13)+IF(AND($E18=1,JC18=0),25,0),INDEX('calcA'!P$110:P$114,$F18+1)+IF(AND($E18=1,JC18=0),1000,0)+IF($H18=1,INDEX('calcA'!$D$180:$EQ$219,$B18,13)*500,0)-IF(AND('calcA'!O$117=1,UM18&gt;0),300,0)-IF(AND($U18=1,'calcA'!P$117=1,DO18=0),300,0))),1000000000))</f>
        <v/>
      </c>
      <c r="OS18">
        <f>IF($B18=0,1000000000,IF(INDEX('calcA'!$D$60:$EQ$99,$B18,14)*IF($W18=1,DO18+AAD18,DO18)=1,IF(AND($E18=2,IF($W18=1,AFS18,JD18)=0),1000000000,IF($V18=1,INDEX('calcA'!$D$130:$EQ$169,$B18,14)+IF(AND($E18=1,JD18=0),25,0),INDEX('calcA'!Q$110:Q$114,$F18+1)+IF(AND($E18=1,JD18=0),1000,0)+IF($H18=1,INDEX('calcA'!$D$180:$EQ$219,$B18,14)*500,0)-IF(AND('calcA'!P$117=1,UN18&gt;0),300,0)-IF(AND($U18=1,'calcA'!Q$117=1,DP18=0),300,0))),1000000000))</f>
        <v/>
      </c>
      <c r="OT18">
        <f>IF($B18=0,1000000000,IF(INDEX('calcA'!$D$60:$EQ$99,$B18,15)*IF($W18=1,DP18+AAE18,DP18)=1,IF(AND($E18=2,IF($W18=1,AFT18,JE18)=0),1000000000,IF($V18=1,INDEX('calcA'!$D$130:$EQ$169,$B18,15)+IF(AND($E18=1,JE18=0),25,0),INDEX('calcA'!R$110:R$114,$F18+1)+IF(AND($E18=1,JE18=0),1000,0)+IF($H18=1,INDEX('calcA'!$D$180:$EQ$219,$B18,15)*500,0)-IF(AND('calcA'!Q$117=1,UO18&gt;0),300,0)-IF(AND($U18=1,'calcA'!R$117=1,DQ18=0),300,0))),1000000000))</f>
        <v/>
      </c>
      <c r="OU18">
        <f>IF($B18=0,1000000000,IF(INDEX('calcA'!$D$60:$EQ$99,$B18,16)*IF($W18=1,DQ18+AAF18,DQ18)=1,IF(AND($E18=2,IF($W18=1,AFU18,JF18)=0),1000000000,IF($V18=1,INDEX('calcA'!$D$130:$EQ$169,$B18,16)+IF(AND($E18=1,JF18=0),25,0),INDEX('calcA'!S$110:S$114,$F18+1)+IF(AND($E18=1,JF18=0),1000,0)+IF($H18=1,INDEX('calcA'!$D$180:$EQ$219,$B18,16)*500,0)-IF(AND('calcA'!R$117=1,UP18&gt;0),300,0)-IF(AND($U18=1,'calcA'!S$117=1,DR18=0),300,0))),1000000000))</f>
        <v/>
      </c>
      <c r="OV18">
        <f>IF($B18=0,1000000000,IF(INDEX('calcA'!$D$60:$EQ$99,$B18,17)*IF($W18=1,DR18+AAG18,DR18)=1,IF(AND($E18=2,IF($W18=1,AFV18,JG18)=0),1000000000,IF($V18=1,INDEX('calcA'!$D$130:$EQ$169,$B18,17)+IF(AND($E18=1,JG18=0),25,0),INDEX('calcA'!T$110:T$114,$F18+1)+IF(AND($E18=1,JG18=0),1000,0)+IF($H18=1,INDEX('calcA'!$D$180:$EQ$219,$B18,17)*500,0)-IF(AND('calcA'!S$117=1,UQ18&gt;0),300,0)-IF(AND($U18=1,'calcA'!T$117=1,DS18=0),300,0))),1000000000))</f>
        <v/>
      </c>
      <c r="OW18">
        <f>IF($B18=0,1000000000,IF(INDEX('calcA'!$D$60:$EQ$99,$B18,18)*IF($W18=1,DS18+AAH18,DS18)=1,IF(AND($E18=2,IF($W18=1,AFW18,JH18)=0),1000000000,IF($V18=1,INDEX('calcA'!$D$130:$EQ$169,$B18,18)+IF(AND($E18=1,JH18=0),25,0),INDEX('calcA'!U$110:U$114,$F18+1)+IF(AND($E18=1,JH18=0),1000,0)+IF($H18=1,INDEX('calcA'!$D$180:$EQ$219,$B18,18)*500,0)-IF(AND('calcA'!T$117=1,UR18&gt;0),300,0)-IF(AND($U18=1,'calcA'!U$117=1,DT18=0),300,0))),1000000000))</f>
        <v/>
      </c>
      <c r="OX18">
        <f>IF($B18=0,1000000000,IF(INDEX('calcA'!$D$60:$EQ$99,$B18,19)*IF($W18=1,DT18+AAI18,DT18)=1,IF(AND($E18=2,IF($W18=1,AFX18,JI18)=0),1000000000,IF($V18=1,INDEX('calcA'!$D$130:$EQ$169,$B18,19)+IF(AND($E18=1,JI18=0),25,0),INDEX('calcA'!V$110:V$114,$F18+1)+IF(AND($E18=1,JI18=0),1000,0)+IF($H18=1,INDEX('calcA'!$D$180:$EQ$219,$B18,19)*500,0)-IF(AND('calcA'!U$117=1,US18&gt;0),300,0)-IF(AND($U18=1,'calcA'!V$117=1,DU18=0),300,0))),1000000000))</f>
        <v/>
      </c>
      <c r="OY18">
        <f>IF($B18=0,1000000000,IF(INDEX('calcA'!$D$60:$EQ$99,$B18,20)*IF($W18=1,DU18+AAJ18,DU18)=1,IF(AND($E18=2,IF($W18=1,AFY18,JJ18)=0),1000000000,IF($V18=1,INDEX('calcA'!$D$130:$EQ$169,$B18,20)+IF(AND($E18=1,JJ18=0),25,0),INDEX('calcA'!W$110:W$114,$F18+1)+IF(AND($E18=1,JJ18=0),1000,0)+IF($H18=1,INDEX('calcA'!$D$180:$EQ$219,$B18,20)*500,0)-IF(AND('calcA'!V$117=1,UT18&gt;0),300,0)-IF(AND($U18=1,'calcA'!W$117=1,DV18=0),300,0))),1000000000))</f>
        <v/>
      </c>
      <c r="OZ18">
        <f>IF($B18=0,1000000000,IF(INDEX('calcA'!$D$60:$EQ$99,$B18,21)*IF($W18=1,DV18+AAK18,DV18)=1,IF(AND($E18=2,IF($W18=1,AFZ18,JK18)=0),1000000000,IF($V18=1,INDEX('calcA'!$D$130:$EQ$169,$B18,21)+IF(AND($E18=1,JK18=0),25,0),INDEX('calcA'!X$110:X$114,$F18+1)+IF(AND($E18=1,JK18=0),1000,0)+IF($H18=1,INDEX('calcA'!$D$180:$EQ$219,$B18,21)*500,0)-IF(AND('calcA'!W$117=1,UU18&gt;0),300,0)-IF(AND($U18=1,'calcA'!X$117=1,DW18=0),300,0))),1000000000))</f>
        <v/>
      </c>
      <c r="PA18">
        <f>IF($B18=0,1000000000,IF(INDEX('calcA'!$D$60:$EQ$99,$B18,22)*IF($W18=1,DW18+AAL18,DW18)=1,IF(AND($E18=2,IF($W18=1,AGA18,JL18)=0),1000000000,IF($V18=1,INDEX('calcA'!$D$130:$EQ$169,$B18,22)+IF(AND($E18=1,JL18=0),25,0),INDEX('calcA'!Y$110:Y$114,$F18+1)+IF(AND($E18=1,JL18=0),1000,0)+IF($H18=1,INDEX('calcA'!$D$180:$EQ$219,$B18,22)*500,0)-IF(AND('calcA'!X$117=1,UV18&gt;0),300,0)-IF(AND($U18=1,'calcA'!Y$117=1,DX18=0),300,0))),1000000000))</f>
        <v/>
      </c>
      <c r="PB18">
        <f>IF($B18=0,1000000000,IF(INDEX('calcA'!$D$60:$EQ$99,$B18,23)*IF($W18=1,DX18+AAM18,DX18)=1,IF(AND($E18=2,IF($W18=1,AGB18,JM18)=0),1000000000,IF($V18=1,INDEX('calcA'!$D$130:$EQ$169,$B18,23)+IF(AND($E18=1,JM18=0),25,0),INDEX('calcA'!Z$110:Z$114,$F18+1)+IF(AND($E18=1,JM18=0),1000,0)+IF($H18=1,INDEX('calcA'!$D$180:$EQ$219,$B18,23)*500,0)-IF(AND('calcA'!Y$117=1,UW18&gt;0),300,0)-IF(AND($U18=1,'calcA'!Z$117=1,DY18=0),300,0))),1000000000))</f>
        <v/>
      </c>
      <c r="PC18">
        <f>IF($B18=0,1000000000,IF(INDEX('calcA'!$D$60:$EQ$99,$B18,24)*IF($W18=1,DY18+AAN18,DY18)=1,IF(AND($E18=2,IF($W18=1,AGC18,JN18)=0),1000000000,IF($V18=1,INDEX('calcA'!$D$130:$EQ$169,$B18,24)+IF(AND($E18=1,JN18=0),25,0),INDEX('calcA'!AA$110:AA$114,$F18+1)+IF(AND($E18=1,JN18=0),1000,0)+IF($H18=1,INDEX('calcA'!$D$180:$EQ$219,$B18,24)*500,0)-IF(AND('calcA'!Z$117=1,UX18&gt;0),300,0))),1000000000))</f>
        <v/>
      </c>
      <c r="PD18">
        <f>IF($B18=0,1000000000,IF(INDEX('calcA'!$D$60:$EQ$99,$B18,25)*IF($W18=1,DZ18+AAO18,DZ18)=1,IF(AND($E18=2,IF($W18=1,AGD18,JO18)=0),1000000000,IF($V18=1,INDEX('calcA'!$D$130:$EQ$169,$B18,25)+IF(AND($E18=1,JO18=0),25,0),INDEX('calcA'!AB$110:AB$114,$F18+1)+IF(AND($E18=1,JO18=0),1000,0)+IF($H18=1,INDEX('calcA'!$D$180:$EQ$219,$B18,25)*500,0)-IF(AND($U18=1,'calcA'!AB$117=1,EA18=0),300,0))),1000000000))</f>
        <v/>
      </c>
      <c r="PE18">
        <f>IF($B18=0,1000000000,IF(INDEX('calcA'!$D$60:$EQ$99,$B18,26)*IF($W18=1,EA18+AAP18,EA18)=1,IF(AND($E18=2,IF($W18=1,AGE18,JP18)=0),1000000000,IF($V18=1,INDEX('calcA'!$D$130:$EQ$169,$B18,26)+IF(AND($E18=1,JP18=0),25,0),INDEX('calcA'!AC$110:AC$114,$F18+1)+IF(AND($E18=1,JP18=0),1000,0)+IF($H18=1,INDEX('calcA'!$D$180:$EQ$219,$B18,26)*500,0)-IF(AND('calcA'!AB$117=1,UZ18&gt;0),300,0)-IF(AND($U18=1,'calcA'!AC$117=1,EB18=0),300,0))),1000000000))</f>
        <v/>
      </c>
      <c r="PF18">
        <f>IF($B18=0,1000000000,IF(INDEX('calcA'!$D$60:$EQ$99,$B18,27)*IF($W18=1,EB18+AAQ18,EB18)=1,IF(AND($E18=2,IF($W18=1,AGF18,JQ18)=0),1000000000,IF($V18=1,INDEX('calcA'!$D$130:$EQ$169,$B18,27)+IF(AND($E18=1,JQ18=0),25,0),INDEX('calcA'!AD$110:AD$114,$F18+1)+IF(AND($E18=1,JQ18=0),1000,0)+IF($H18=1,INDEX('calcA'!$D$180:$EQ$219,$B18,27)*500,0)-IF(AND('calcA'!AC$117=1,VA18&gt;0),300,0)-IF(AND($U18=1,'calcA'!AD$117=1,EC18=0),300,0))),1000000000))</f>
        <v/>
      </c>
      <c r="PG18">
        <f>IF($B18=0,1000000000,IF(INDEX('calcA'!$D$60:$EQ$99,$B18,28)*IF($W18=1,EC18+AAR18,EC18)=1,IF(AND($E18=2,IF($W18=1,AGG18,JR18)=0),1000000000,IF($V18=1,INDEX('calcA'!$D$130:$EQ$169,$B18,28)+IF(AND($E18=1,JR18=0),25,0),INDEX('calcA'!AE$110:AE$114,$F18+1)+IF(AND($E18=1,JR18=0),1000,0)+IF($H18=1,INDEX('calcA'!$D$180:$EQ$219,$B18,28)*500,0)-IF(AND('calcA'!AD$117=1,VB18&gt;0),300,0)-IF(AND($U18=1,'calcA'!AE$117=1,ED18=0),300,0))),1000000000))</f>
        <v/>
      </c>
      <c r="PH18">
        <f>IF($B18=0,1000000000,IF(INDEX('calcA'!$D$60:$EQ$99,$B18,29)*IF($W18=1,ED18+AAS18,ED18)=1,IF(AND($E18=2,IF($W18=1,AGH18,JS18)=0),1000000000,IF($V18=1,INDEX('calcA'!$D$130:$EQ$169,$B18,29)+IF(AND($E18=1,JS18=0),25,0),INDEX('calcA'!AF$110:AF$114,$F18+1)+IF(AND($E18=1,JS18=0),1000,0)+IF($H18=1,INDEX('calcA'!$D$180:$EQ$219,$B18,29)*500,0)-IF(AND('calcA'!AE$117=1,VC18&gt;0),300,0)-IF(AND($U18=1,'calcA'!AF$117=1,EE18=0),300,0))),1000000000))</f>
        <v/>
      </c>
      <c r="PI18">
        <f>IF($B18=0,1000000000,IF(INDEX('calcA'!$D$60:$EQ$99,$B18,30)*IF($W18=1,EE18+AAT18,EE18)=1,IF(AND($E18=2,IF($W18=1,AGI18,JT18)=0),1000000000,IF($V18=1,INDEX('calcA'!$D$130:$EQ$169,$B18,30)+IF(AND($E18=1,JT18=0),25,0),INDEX('calcA'!AG$110:AG$114,$F18+1)+IF(AND($E18=1,JT18=0),1000,0)+IF($H18=1,INDEX('calcA'!$D$180:$EQ$219,$B18,30)*500,0)-IF(AND('calcA'!AF$117=1,VD18&gt;0),300,0)-IF(AND($U18=1,'calcA'!AG$117=1,EF18=0),300,0))),1000000000))</f>
        <v/>
      </c>
      <c r="PJ18">
        <f>IF($B18=0,1000000000,IF(INDEX('calcA'!$D$60:$EQ$99,$B18,31)*IF($W18=1,EF18+AAU18,EF18)=1,IF(AND($E18=2,IF($W18=1,AGJ18,JU18)=0),1000000000,IF($V18=1,INDEX('calcA'!$D$130:$EQ$169,$B18,31)+IF(AND($E18=1,JU18=0),25,0),INDEX('calcA'!AH$110:AH$114,$F18+1)+IF(AND($E18=1,JU18=0),1000,0)+IF($H18=1,INDEX('calcA'!$D$180:$EQ$219,$B18,31)*500,0)-IF(AND('calcA'!AG$117=1,VE18&gt;0),300,0)-IF(AND($U18=1,'calcA'!AH$117=1,EG18=0),300,0))),1000000000))</f>
        <v/>
      </c>
      <c r="PK18">
        <f>IF($B18=0,1000000000,IF(INDEX('calcA'!$D$60:$EQ$99,$B18,32)*IF($W18=1,EG18+AAV18,EG18)=1,IF(AND($E18=2,IF($W18=1,AGK18,JV18)=0),1000000000,IF($V18=1,INDEX('calcA'!$D$130:$EQ$169,$B18,32)+IF(AND($E18=1,JV18=0),25,0),INDEX('calcA'!AI$110:AI$114,$F18+1)+IF(AND($E18=1,JV18=0),1000,0)+IF($H18=1,INDEX('calcA'!$D$180:$EQ$219,$B18,32)*500,0)-IF(AND('calcA'!AH$117=1,VF18&gt;0),300,0)-IF(AND($U18=1,'calcA'!AI$117=1,EH18=0),300,0))),1000000000))</f>
        <v/>
      </c>
      <c r="PL18">
        <f>IF($B18=0,1000000000,IF(INDEX('calcA'!$D$60:$EQ$99,$B18,33)*IF($W18=1,EH18+AAW18,EH18)=1,IF(AND($E18=2,IF($W18=1,AGL18,JW18)=0),1000000000,IF($V18=1,INDEX('calcA'!$D$130:$EQ$169,$B18,33)+IF(AND($E18=1,JW18=0),25,0),INDEX('calcA'!AJ$110:AJ$114,$F18+1)+IF(AND($E18=1,JW18=0),1000,0)+IF($H18=1,INDEX('calcA'!$D$180:$EQ$219,$B18,33)*500,0)-IF(AND('calcA'!AI$117=1,VG18&gt;0),300,0)-IF(AND($U18=1,'calcA'!AJ$117=1,EI18=0),300,0))),1000000000))</f>
        <v/>
      </c>
      <c r="PM18">
        <f>IF($B18=0,1000000000,IF(INDEX('calcA'!$D$60:$EQ$99,$B18,34)*IF($W18=1,EI18+AAX18,EI18)=1,IF(AND($E18=2,IF($W18=1,AGM18,JX18)=0),1000000000,IF($V18=1,INDEX('calcA'!$D$130:$EQ$169,$B18,34)+IF(AND($E18=1,JX18=0),25,0),INDEX('calcA'!AK$110:AK$114,$F18+1)+IF(AND($E18=1,JX18=0),1000,0)+IF($H18=1,INDEX('calcA'!$D$180:$EQ$219,$B18,34)*500,0)-IF(AND('calcA'!AJ$117=1,VH18&gt;0),300,0)-IF(AND($U18=1,'calcA'!AK$117=1,EJ18=0),300,0))),1000000000))</f>
        <v/>
      </c>
      <c r="PN18">
        <f>IF($B18=0,1000000000,IF(INDEX('calcA'!$D$60:$EQ$99,$B18,35)*IF($W18=1,EJ18+AAY18,EJ18)=1,IF(AND($E18=2,IF($W18=1,AGN18,JY18)=0),1000000000,IF($V18=1,INDEX('calcA'!$D$130:$EQ$169,$B18,35)+IF(AND($E18=1,JY18=0),25,0),INDEX('calcA'!AL$110:AL$114,$F18+1)+IF(AND($E18=1,JY18=0),1000,0)+IF($H18=1,INDEX('calcA'!$D$180:$EQ$219,$B18,35)*500,0)-IF(AND('calcA'!AK$117=1,VI18&gt;0),300,0)-IF(AND($U18=1,'calcA'!AL$117=1,EK18=0),300,0))),1000000000))</f>
        <v/>
      </c>
      <c r="PO18">
        <f>IF($B18=0,1000000000,IF(INDEX('calcA'!$D$60:$EQ$99,$B18,36)*IF($W18=1,EK18+AAZ18,EK18)=1,IF(AND($E18=2,IF($W18=1,AGO18,JZ18)=0),1000000000,IF($V18=1,INDEX('calcA'!$D$130:$EQ$169,$B18,36)+IF(AND($E18=1,JZ18=0),25,0),INDEX('calcA'!AM$110:AM$114,$F18+1)+IF(AND($E18=1,JZ18=0),1000,0)+IF($H18=1,INDEX('calcA'!$D$180:$EQ$219,$B18,36)*500,0)-IF(AND('calcA'!AL$117=1,VJ18&gt;0),300,0)-IF(AND($U18=1,'calcA'!AM$117=1,EL18=0),300,0))),1000000000))</f>
        <v/>
      </c>
      <c r="PP18">
        <f>IF($B18=0,1000000000,IF(INDEX('calcA'!$D$60:$EQ$99,$B18,37)*IF($W18=1,EL18+ABA18,EL18)=1,IF(AND($E18=2,IF($W18=1,AGP18,KA18)=0),1000000000,IF($V18=1,INDEX('calcA'!$D$130:$EQ$169,$B18,37)+IF(AND($E18=1,KA18=0),25,0),INDEX('calcA'!AN$110:AN$114,$F18+1)+IF(AND($E18=1,KA18=0),1000,0)+IF($H18=1,INDEX('calcA'!$D$180:$EQ$219,$B18,37)*500,0)-IF(AND('calcA'!AM$117=1,VK18&gt;0),300,0)-IF(AND($U18=1,'calcA'!AN$117=1,EM18=0),300,0))),1000000000))</f>
        <v/>
      </c>
      <c r="PQ18">
        <f>IF($B18=0,1000000000,IF(INDEX('calcA'!$D$60:$EQ$99,$B18,38)*IF($W18=1,EM18+ABB18,EM18)=1,IF(AND($E18=2,IF($W18=1,AGQ18,KB18)=0),1000000000,IF($V18=1,INDEX('calcA'!$D$130:$EQ$169,$B18,38)+IF(AND($E18=1,KB18=0),25,0),INDEX('calcA'!AO$110:AO$114,$F18+1)+IF(AND($E18=1,KB18=0),1000,0)+IF($H18=1,INDEX('calcA'!$D$180:$EQ$219,$B18,38)*500,0)-IF(AND('calcA'!AN$117=1,VL18&gt;0),300,0)-IF(AND($U18=1,'calcA'!AO$117=1,EN18=0),300,0))),1000000000))</f>
        <v/>
      </c>
      <c r="PR18">
        <f>IF($B18=0,1000000000,IF(INDEX('calcA'!$D$60:$EQ$99,$B18,39)*IF($W18=1,EN18+ABC18,EN18)=1,IF(AND($E18=2,IF($W18=1,AGR18,KC18)=0),1000000000,IF($V18=1,INDEX('calcA'!$D$130:$EQ$169,$B18,39)+IF(AND($E18=1,KC18=0),25,0),INDEX('calcA'!AP$110:AP$114,$F18+1)+IF(AND($E18=1,KC18=0),1000,0)+IF($H18=1,INDEX('calcA'!$D$180:$EQ$219,$B18,39)*500,0)-IF(AND('calcA'!AO$117=1,VM18&gt;0),300,0)-IF(AND($U18=1,'calcA'!AP$117=1,EO18=0),300,0))),1000000000))</f>
        <v/>
      </c>
      <c r="PS18">
        <f>IF($B18=0,1000000000,IF(INDEX('calcA'!$D$60:$EQ$99,$B18,40)*IF($W18=1,EO18+ABD18,EO18)=1,IF(AND($E18=2,IF($W18=1,AGS18,KD18)=0),1000000000,IF($V18=1,INDEX('calcA'!$D$130:$EQ$169,$B18,40)+IF(AND($E18=1,KD18=0),25,0),INDEX('calcA'!AQ$110:AQ$114,$F18+1)+IF(AND($E18=1,KD18=0),1000,0)+IF($H18=1,INDEX('calcA'!$D$180:$EQ$219,$B18,40)*500,0)-IF(AND('calcA'!AP$117=1,VN18&gt;0),300,0)-IF(AND($U18=1,'calcA'!AQ$117=1,EP18=0),300,0))),1000000000))</f>
        <v/>
      </c>
      <c r="PT18">
        <f>IF($B18=0,1000000000,IF(INDEX('calcA'!$D$60:$EQ$99,$B18,41)*IF($W18=1,EP18+ABE18,EP18)=1,IF(AND($E18=2,IF($W18=1,AGT18,KE18)=0),1000000000,IF($V18=1,INDEX('calcA'!$D$130:$EQ$169,$B18,41)+IF(AND($E18=1,KE18=0),25,0),INDEX('calcA'!AR$110:AR$114,$F18+1)+IF(AND($E18=1,KE18=0),1000,0)+IF($H18=1,INDEX('calcA'!$D$180:$EQ$219,$B18,41)*500,0)-IF(AND('calcA'!AQ$117=1,VO18&gt;0),300,0)-IF(AND($U18=1,'calcA'!AR$117=1,EQ18=0),300,0))),1000000000))</f>
        <v/>
      </c>
      <c r="PU18">
        <f>IF($B18=0,1000000000,IF(INDEX('calcA'!$D$60:$EQ$99,$B18,42)*IF($W18=1,EQ18+ABF18,EQ18)=1,IF(AND($E18=2,IF($W18=1,AGU18,KF18)=0),1000000000,IF($V18=1,INDEX('calcA'!$D$130:$EQ$169,$B18,42)+IF(AND($E18=1,KF18=0),25,0),INDEX('calcA'!AS$110:AS$114,$F18+1)+IF(AND($E18=1,KF18=0),1000,0)+IF($H18=1,INDEX('calcA'!$D$180:$EQ$219,$B18,42)*500,0)-IF(AND('calcA'!AR$117=1,VP18&gt;0),300,0)-IF(AND($U18=1,'calcA'!AS$117=1,ER18=0),300,0))),1000000000))</f>
        <v/>
      </c>
      <c r="PV18">
        <f>IF($B18=0,1000000000,IF(INDEX('calcA'!$D$60:$EQ$99,$B18,43)*IF($W18=1,ER18+ABG18,ER18)=1,IF(AND($E18=2,IF($W18=1,AGV18,KG18)=0),1000000000,IF($V18=1,INDEX('calcA'!$D$130:$EQ$169,$B18,43)+IF(AND($E18=1,KG18=0),25,0),INDEX('calcA'!AT$110:AT$114,$F18+1)+IF(AND($E18=1,KG18=0),1000,0)+IF($H18=1,INDEX('calcA'!$D$180:$EQ$219,$B18,43)*500,0)-IF(AND('calcA'!AS$117=1,VQ18&gt;0),300,0)-IF(AND($U18=1,'calcA'!AT$117=1,ES18=0),300,0))),1000000000))</f>
        <v/>
      </c>
      <c r="PW18">
        <f>IF($B18=0,1000000000,IF(INDEX('calcA'!$D$60:$EQ$99,$B18,44)*IF($W18=1,ES18+ABH18,ES18)=1,IF(AND($E18=2,IF($W18=1,AGW18,KH18)=0),1000000000,IF($V18=1,INDEX('calcA'!$D$130:$EQ$169,$B18,44)+IF(AND($E18=1,KH18=0),25,0),INDEX('calcA'!AU$110:AU$114,$F18+1)+IF(AND($E18=1,KH18=0),1000,0)+IF($H18=1,INDEX('calcA'!$D$180:$EQ$219,$B18,44)*500,0)-IF(AND('calcA'!AT$117=1,VR18&gt;0),300,0)-IF(AND($U18=1,'calcA'!AU$117=1,ET18=0),300,0))),1000000000))</f>
        <v/>
      </c>
      <c r="PX18">
        <f>IF($B18=0,1000000000,IF(INDEX('calcA'!$D$60:$EQ$99,$B18,45)*IF($W18=1,ET18+ABI18,ET18)=1,IF(AND($E18=2,IF($W18=1,AGX18,KI18)=0),1000000000,IF($V18=1,INDEX('calcA'!$D$130:$EQ$169,$B18,45)+IF(AND($E18=1,KI18=0),25,0),INDEX('calcA'!AV$110:AV$114,$F18+1)+IF(AND($E18=1,KI18=0),1000,0)+IF($H18=1,INDEX('calcA'!$D$180:$EQ$219,$B18,45)*500,0)-IF(AND('calcA'!AU$117=1,VS18&gt;0),300,0)-IF(AND($U18=1,'calcA'!AV$117=1,EU18=0),300,0))),1000000000))</f>
        <v/>
      </c>
      <c r="PY18">
        <f>IF($B18=0,1000000000,IF(INDEX('calcA'!$D$60:$EQ$99,$B18,46)*IF($W18=1,EU18+ABJ18,EU18)=1,IF(AND($E18=2,IF($W18=1,AGY18,KJ18)=0),1000000000,IF($V18=1,INDEX('calcA'!$D$130:$EQ$169,$B18,46)+IF(AND($E18=1,KJ18=0),25,0),INDEX('calcA'!AW$110:AW$114,$F18+1)+IF(AND($E18=1,KJ18=0),1000,0)+IF($H18=1,INDEX('calcA'!$D$180:$EQ$219,$B18,46)*500,0)-IF(AND('calcA'!AV$117=1,VT18&gt;0),300,0)-IF(AND($U18=1,'calcA'!AW$117=1,EV18=0),300,0))),1000000000))</f>
        <v/>
      </c>
      <c r="PZ18">
        <f>IF($B18=0,1000000000,IF(INDEX('calcA'!$D$60:$EQ$99,$B18,47)*IF($W18=1,EV18+ABK18,EV18)=1,IF(AND($E18=2,IF($W18=1,AGZ18,KK18)=0),1000000000,IF($V18=1,INDEX('calcA'!$D$130:$EQ$169,$B18,47)+IF(AND($E18=1,KK18=0),25,0),INDEX('calcA'!AX$110:AX$114,$F18+1)+IF(AND($E18=1,KK18=0),1000,0)+IF($H18=1,INDEX('calcA'!$D$180:$EQ$219,$B18,47)*500,0)-IF(AND('calcA'!AW$117=1,VU18&gt;0),300,0)-IF(AND($U18=1,'calcA'!AX$117=1,EW18=0),300,0))),1000000000))</f>
        <v/>
      </c>
      <c r="QA18">
        <f>IF($B18=0,1000000000,IF(INDEX('calcA'!$D$60:$EQ$99,$B18,48)*IF($W18=1,EW18+ABL18,EW18)=1,IF(AND($E18=2,IF($W18=1,AHA18,KL18)=0),1000000000,IF($V18=1,INDEX('calcA'!$D$130:$EQ$169,$B18,48)+IF(AND($E18=1,KL18=0),25,0),INDEX('calcA'!AY$110:AY$114,$F18+1)+IF(AND($E18=1,KL18=0),1000,0)+IF($H18=1,INDEX('calcA'!$D$180:$EQ$219,$B18,48)*500,0)-IF(AND('calcA'!AX$117=1,VV18&gt;0),300,0))),1000000000))</f>
        <v/>
      </c>
      <c r="QB18">
        <f>IF($B18=0,1000000000,IF(INDEX('calcA'!$D$60:$EQ$99,$B18,49)*IF($W18=1,EX18+ABM18,EX18)=1,IF(AND($E18=2,IF($W18=1,AHB18,KM18)=0),1000000000,IF($V18=1,INDEX('calcA'!$D$130:$EQ$169,$B18,49)+IF(AND($E18=1,KM18=0),25,0),INDEX('calcA'!AZ$110:AZ$114,$F18+1)+IF(AND($E18=1,KM18=0),1000,0)+IF($H18=1,INDEX('calcA'!$D$180:$EQ$219,$B18,49)*500,0)-IF(AND($U18=1,'calcA'!AZ$117=1,EY18=0),300,0))),1000000000))</f>
        <v/>
      </c>
      <c r="QC18">
        <f>IF($B18=0,1000000000,IF(INDEX('calcA'!$D$60:$EQ$99,$B18,50)*IF($W18=1,EY18+ABN18,EY18)=1,IF(AND($E18=2,IF($W18=1,AHC18,KN18)=0),1000000000,IF($V18=1,INDEX('calcA'!$D$130:$EQ$169,$B18,50)+IF(AND($E18=1,KN18=0),25,0),INDEX('calcA'!BA$110:BA$114,$F18+1)+IF(AND($E18=1,KN18=0),1000,0)+IF($H18=1,INDEX('calcA'!$D$180:$EQ$219,$B18,50)*500,0)-IF(AND('calcA'!AZ$117=1,VX18&gt;0),300,0)-IF(AND($U18=1,'calcA'!BA$117=1,EZ18=0),300,0))),1000000000))</f>
        <v/>
      </c>
      <c r="QD18">
        <f>IF($B18=0,1000000000,IF(INDEX('calcA'!$D$60:$EQ$99,$B18,51)*IF($W18=1,EZ18+ABO18,EZ18)=1,IF(AND($E18=2,IF($W18=1,AHD18,KO18)=0),1000000000,IF($V18=1,INDEX('calcA'!$D$130:$EQ$169,$B18,51)+IF(AND($E18=1,KO18=0),25,0),INDEX('calcA'!BB$110:BB$114,$F18+1)+IF(AND($E18=1,KO18=0),1000,0)+IF($H18=1,INDEX('calcA'!$D$180:$EQ$219,$B18,51)*500,0)-IF(AND('calcA'!BA$117=1,VY18&gt;0),300,0)-IF(AND($U18=1,'calcA'!BB$117=1,FA18=0),300,0))),1000000000))</f>
        <v/>
      </c>
      <c r="QE18">
        <f>IF($B18=0,1000000000,IF(INDEX('calcA'!$D$60:$EQ$99,$B18,52)*IF($W18=1,FA18+ABP18,FA18)=1,IF(AND($E18=2,IF($W18=1,AHE18,KP18)=0),1000000000,IF($V18=1,INDEX('calcA'!$D$130:$EQ$169,$B18,52)+IF(AND($E18=1,KP18=0),25,0),INDEX('calcA'!BC$110:BC$114,$F18+1)+IF(AND($E18=1,KP18=0),1000,0)+IF($H18=1,INDEX('calcA'!$D$180:$EQ$219,$B18,52)*500,0)-IF(AND('calcA'!BB$117=1,VZ18&gt;0),300,0)-IF(AND($U18=1,'calcA'!BC$117=1,FB18=0),300,0))),1000000000))</f>
        <v/>
      </c>
      <c r="QF18">
        <f>IF($B18=0,1000000000,IF(INDEX('calcA'!$D$60:$EQ$99,$B18,53)*IF($W18=1,FB18+ABQ18,FB18)=1,IF(AND($E18=2,IF($W18=1,AHF18,KQ18)=0),1000000000,IF($V18=1,INDEX('calcA'!$D$130:$EQ$169,$B18,53)+IF(AND($E18=1,KQ18=0),25,0),INDEX('calcA'!BD$110:BD$114,$F18+1)+IF(AND($E18=1,KQ18=0),1000,0)+IF($H18=1,INDEX('calcA'!$D$180:$EQ$219,$B18,53)*500,0)-IF(AND('calcA'!BC$117=1,WA18&gt;0),300,0)-IF(AND($U18=1,'calcA'!BD$117=1,FC18=0),300,0))),1000000000))</f>
        <v/>
      </c>
      <c r="QG18">
        <f>IF($B18=0,1000000000,IF(INDEX('calcA'!$D$60:$EQ$99,$B18,54)*IF($W18=1,FC18+ABR18,FC18)=1,IF(AND($E18=2,IF($W18=1,AHG18,KR18)=0),1000000000,IF($V18=1,INDEX('calcA'!$D$130:$EQ$169,$B18,54)+IF(AND($E18=1,KR18=0),25,0),INDEX('calcA'!BE$110:BE$114,$F18+1)+IF(AND($E18=1,KR18=0),1000,0)+IF($H18=1,INDEX('calcA'!$D$180:$EQ$219,$B18,54)*500,0)-IF(AND('calcA'!BD$117=1,WB18&gt;0),300,0)-IF(AND($U18=1,'calcA'!BE$117=1,FD18=0),300,0))),1000000000))</f>
        <v/>
      </c>
      <c r="QH18">
        <f>IF($B18=0,1000000000,IF(INDEX('calcA'!$D$60:$EQ$99,$B18,55)*IF($W18=1,FD18+ABS18,FD18)=1,IF(AND($E18=2,IF($W18=1,AHH18,KS18)=0),1000000000,IF($V18=1,INDEX('calcA'!$D$130:$EQ$169,$B18,55)+IF(AND($E18=1,KS18=0),25,0),INDEX('calcA'!BF$110:BF$114,$F18+1)+IF(AND($E18=1,KS18=0),1000,0)+IF($H18=1,INDEX('calcA'!$D$180:$EQ$219,$B18,55)*500,0)-IF(AND('calcA'!BE$117=1,WC18&gt;0),300,0)-IF(AND($U18=1,'calcA'!BF$117=1,FE18=0),300,0))),1000000000))</f>
        <v/>
      </c>
      <c r="QI18">
        <f>IF($B18=0,1000000000,IF(INDEX('calcA'!$D$60:$EQ$99,$B18,56)*IF($W18=1,FE18+ABT18,FE18)=1,IF(AND($E18=2,IF($W18=1,AHI18,KT18)=0),1000000000,IF($V18=1,INDEX('calcA'!$D$130:$EQ$169,$B18,56)+IF(AND($E18=1,KT18=0),25,0),INDEX('calcA'!BG$110:BG$114,$F18+1)+IF(AND($E18=1,KT18=0),1000,0)+IF($H18=1,INDEX('calcA'!$D$180:$EQ$219,$B18,56)*500,0)-IF(AND('calcA'!BF$117=1,WD18&gt;0),300,0)-IF(AND($U18=1,'calcA'!BG$117=1,FF18=0),300,0))),1000000000))</f>
        <v/>
      </c>
      <c r="QJ18">
        <f>IF($B18=0,1000000000,IF(INDEX('calcA'!$D$60:$EQ$99,$B18,57)*IF($W18=1,FF18+ABU18,FF18)=1,IF(AND($E18=2,IF($W18=1,AHJ18,KU18)=0),1000000000,IF($V18=1,INDEX('calcA'!$D$130:$EQ$169,$B18,57)+IF(AND($E18=1,KU18=0),25,0),INDEX('calcA'!BH$110:BH$114,$F18+1)+IF(AND($E18=1,KU18=0),1000,0)+IF($H18=1,INDEX('calcA'!$D$180:$EQ$219,$B18,57)*500,0)-IF(AND('calcA'!BG$117=1,WE18&gt;0),300,0)-IF(AND($U18=1,'calcA'!BH$117=1,FG18=0),300,0))),1000000000))</f>
        <v/>
      </c>
      <c r="QK18">
        <f>IF($B18=0,1000000000,IF(INDEX('calcA'!$D$60:$EQ$99,$B18,58)*IF($W18=1,FG18+ABV18,FG18)=1,IF(AND($E18=2,IF($W18=1,AHK18,KV18)=0),1000000000,IF($V18=1,INDEX('calcA'!$D$130:$EQ$169,$B18,58)+IF(AND($E18=1,KV18=0),25,0),INDEX('calcA'!BI$110:BI$114,$F18+1)+IF(AND($E18=1,KV18=0),1000,0)+IF($H18=1,INDEX('calcA'!$D$180:$EQ$219,$B18,58)*500,0)-IF(AND('calcA'!BH$117=1,WF18&gt;0),300,0)-IF(AND($U18=1,'calcA'!BI$117=1,FH18=0),300,0))),1000000000))</f>
        <v/>
      </c>
      <c r="QL18">
        <f>IF($B18=0,1000000000,IF(INDEX('calcA'!$D$60:$EQ$99,$B18,59)*IF($W18=1,FH18+ABW18,FH18)=1,IF(AND($E18=2,IF($W18=1,AHL18,KW18)=0),1000000000,IF($V18=1,INDEX('calcA'!$D$130:$EQ$169,$B18,59)+IF(AND($E18=1,KW18=0),25,0),INDEX('calcA'!BJ$110:BJ$114,$F18+1)+IF(AND($E18=1,KW18=0),1000,0)+IF($H18=1,INDEX('calcA'!$D$180:$EQ$219,$B18,59)*500,0)-IF(AND('calcA'!BI$117=1,WG18&gt;0),300,0)-IF(AND($U18=1,'calcA'!BJ$117=1,FI18=0),300,0))),1000000000))</f>
        <v/>
      </c>
      <c r="QM18">
        <f>IF($B18=0,1000000000,IF(INDEX('calcA'!$D$60:$EQ$99,$B18,60)*IF($W18=1,FI18+ABX18,FI18)=1,IF(AND($E18=2,IF($W18=1,AHM18,KX18)=0),1000000000,IF($V18=1,INDEX('calcA'!$D$130:$EQ$169,$B18,60)+IF(AND($E18=1,KX18=0),25,0),INDEX('calcA'!BK$110:BK$114,$F18+1)+IF(AND($E18=1,KX18=0),1000,0)+IF($H18=1,INDEX('calcA'!$D$180:$EQ$219,$B18,60)*500,0)-IF(AND('calcA'!BJ$117=1,WH18&gt;0),300,0)-IF(AND($U18=1,'calcA'!BK$117=1,FJ18=0),300,0))),1000000000))</f>
        <v/>
      </c>
      <c r="QN18">
        <f>IF($B18=0,1000000000,IF(INDEX('calcA'!$D$60:$EQ$99,$B18,61)*IF($W18=1,FJ18+ABY18,FJ18)=1,IF(AND($E18=2,IF($W18=1,AHN18,KY18)=0),1000000000,IF($V18=1,INDEX('calcA'!$D$130:$EQ$169,$B18,61)+IF(AND($E18=1,KY18=0),25,0),INDEX('calcA'!BL$110:BL$114,$F18+1)+IF(AND($E18=1,KY18=0),1000,0)+IF($H18=1,INDEX('calcA'!$D$180:$EQ$219,$B18,61)*500,0)-IF(AND('calcA'!BK$117=1,WI18&gt;0),300,0)-IF(AND($U18=1,'calcA'!BL$117=1,FK18=0),300,0))),1000000000))</f>
        <v/>
      </c>
      <c r="QO18">
        <f>IF($B18=0,1000000000,IF(INDEX('calcA'!$D$60:$EQ$99,$B18,62)*IF($W18=1,FK18+ABZ18,FK18)=1,IF(AND($E18=2,IF($W18=1,AHO18,KZ18)=0),1000000000,IF($V18=1,INDEX('calcA'!$D$130:$EQ$169,$B18,62)+IF(AND($E18=1,KZ18=0),25,0),INDEX('calcA'!BM$110:BM$114,$F18+1)+IF(AND($E18=1,KZ18=0),1000,0)+IF($H18=1,INDEX('calcA'!$D$180:$EQ$219,$B18,62)*500,0)-IF(AND('calcA'!BL$117=1,WJ18&gt;0),300,0)-IF(AND($U18=1,'calcA'!BM$117=1,FL18=0),300,0))),1000000000))</f>
        <v/>
      </c>
      <c r="QP18">
        <f>IF($B18=0,1000000000,IF(INDEX('calcA'!$D$60:$EQ$99,$B18,63)*IF($W18=1,FL18+ACA18,FL18)=1,IF(AND($E18=2,IF($W18=1,AHP18,LA18)=0),1000000000,IF($V18=1,INDEX('calcA'!$D$130:$EQ$169,$B18,63)+IF(AND($E18=1,LA18=0),25,0),INDEX('calcA'!BN$110:BN$114,$F18+1)+IF(AND($E18=1,LA18=0),1000,0)+IF($H18=1,INDEX('calcA'!$D$180:$EQ$219,$B18,63)*500,0)-IF(AND('calcA'!BM$117=1,WK18&gt;0),300,0)-IF(AND($U18=1,'calcA'!BN$117=1,FM18=0),300,0))),1000000000))</f>
        <v/>
      </c>
      <c r="QQ18">
        <f>IF($B18=0,1000000000,IF(INDEX('calcA'!$D$60:$EQ$99,$B18,64)*IF($W18=1,FM18+ACB18,FM18)=1,IF(AND($E18=2,IF($W18=1,AHQ18,LB18)=0),1000000000,IF($V18=1,INDEX('calcA'!$D$130:$EQ$169,$B18,64)+IF(AND($E18=1,LB18=0),25,0),INDEX('calcA'!BO$110:BO$114,$F18+1)+IF(AND($E18=1,LB18=0),1000,0)+IF($H18=1,INDEX('calcA'!$D$180:$EQ$219,$B18,64)*500,0)-IF(AND('calcA'!BN$117=1,WL18&gt;0),300,0)-IF(AND($U18=1,'calcA'!BO$117=1,FN18=0),300,0))),1000000000))</f>
        <v/>
      </c>
      <c r="QR18">
        <f>IF($B18=0,1000000000,IF(INDEX('calcA'!$D$60:$EQ$99,$B18,65)*IF($W18=1,FN18+ACC18,FN18)=1,IF(AND($E18=2,IF($W18=1,AHR18,LC18)=0),1000000000,IF($V18=1,INDEX('calcA'!$D$130:$EQ$169,$B18,65)+IF(AND($E18=1,LC18=0),25,0),INDEX('calcA'!BP$110:BP$114,$F18+1)+IF(AND($E18=1,LC18=0),1000,0)+IF($H18=1,INDEX('calcA'!$D$180:$EQ$219,$B18,65)*500,0)-IF(AND('calcA'!BO$117=1,WM18&gt;0),300,0)-IF(AND($U18=1,'calcA'!BP$117=1,FO18=0),300,0))),1000000000))</f>
        <v/>
      </c>
      <c r="QS18">
        <f>IF($B18=0,1000000000,IF(INDEX('calcA'!$D$60:$EQ$99,$B18,66)*IF($W18=1,FO18+ACD18,FO18)=1,IF(AND($E18=2,IF($W18=1,AHS18,LD18)=0),1000000000,IF($V18=1,INDEX('calcA'!$D$130:$EQ$169,$B18,66)+IF(AND($E18=1,LD18=0),25,0),INDEX('calcA'!BQ$110:BQ$114,$F18+1)+IF(AND($E18=1,LD18=0),1000,0)+IF($H18=1,INDEX('calcA'!$D$180:$EQ$219,$B18,66)*500,0)-IF(AND('calcA'!BP$117=1,WN18&gt;0),300,0)-IF(AND($U18=1,'calcA'!BQ$117=1,FP18=0),300,0))),1000000000))</f>
        <v/>
      </c>
      <c r="QT18">
        <f>IF($B18=0,1000000000,IF(INDEX('calcA'!$D$60:$EQ$99,$B18,67)*IF($W18=1,FP18+ACE18,FP18)=1,IF(AND($E18=2,IF($W18=1,AHT18,LE18)=0),1000000000,IF($V18=1,INDEX('calcA'!$D$130:$EQ$169,$B18,67)+IF(AND($E18=1,LE18=0),25,0),INDEX('calcA'!BR$110:BR$114,$F18+1)+IF(AND($E18=1,LE18=0),1000,0)+IF($H18=1,INDEX('calcA'!$D$180:$EQ$219,$B18,67)*500,0)-IF(AND('calcA'!BQ$117=1,WO18&gt;0),300,0)-IF(AND($U18=1,'calcA'!BR$117=1,FQ18=0),300,0))),1000000000))</f>
        <v/>
      </c>
      <c r="QU18">
        <f>IF($B18=0,1000000000,IF(INDEX('calcA'!$D$60:$EQ$99,$B18,68)*IF($W18=1,FQ18+ACF18,FQ18)=1,IF(AND($E18=2,IF($W18=1,AHU18,LF18)=0),1000000000,IF($V18=1,INDEX('calcA'!$D$130:$EQ$169,$B18,68)+IF(AND($E18=1,LF18=0),25,0),INDEX('calcA'!BS$110:BS$114,$F18+1)+IF(AND($E18=1,LF18=0),1000,0)+IF($H18=1,INDEX('calcA'!$D$180:$EQ$219,$B18,68)*500,0)-IF(AND('calcA'!BR$117=1,WP18&gt;0),300,0)-IF(AND($U18=1,'calcA'!BS$117=1,FR18=0),300,0))),1000000000))</f>
        <v/>
      </c>
      <c r="QV18">
        <f>IF($B18=0,1000000000,IF(INDEX('calcA'!$D$60:$EQ$99,$B18,69)*IF($W18=1,FR18+ACG18,FR18)=1,IF(AND($E18=2,IF($W18=1,AHV18,LG18)=0),1000000000,IF($V18=1,INDEX('calcA'!$D$130:$EQ$169,$B18,69)+IF(AND($E18=1,LG18=0),25,0),INDEX('calcA'!BT$110:BT$114,$F18+1)+IF(AND($E18=1,LG18=0),1000,0)+IF($H18=1,INDEX('calcA'!$D$180:$EQ$219,$B18,69)*500,0)-IF(AND('calcA'!BS$117=1,WQ18&gt;0),300,0)-IF(AND($U18=1,'calcA'!BT$117=1,FS18=0),300,0))),1000000000))</f>
        <v/>
      </c>
      <c r="QW18">
        <f>IF($B18=0,1000000000,IF(INDEX('calcA'!$D$60:$EQ$99,$B18,70)*IF($W18=1,FS18+ACH18,FS18)=1,IF(AND($E18=2,IF($W18=1,AHW18,LH18)=0),1000000000,IF($V18=1,INDEX('calcA'!$D$130:$EQ$169,$B18,70)+IF(AND($E18=1,LH18=0),25,0),INDEX('calcA'!BU$110:BU$114,$F18+1)+IF(AND($E18=1,LH18=0),1000,0)+IF($H18=1,INDEX('calcA'!$D$180:$EQ$219,$B18,70)*500,0)-IF(AND('calcA'!BT$117=1,WR18&gt;0),300,0)-IF(AND($U18=1,'calcA'!BU$117=1,FT18=0),300,0))),1000000000))</f>
        <v/>
      </c>
      <c r="QX18">
        <f>IF($B18=0,1000000000,IF(INDEX('calcA'!$D$60:$EQ$99,$B18,71)*IF($W18=1,FT18+ACI18,FT18)=1,IF(AND($E18=2,IF($W18=1,AHX18,LI18)=0),1000000000,IF($V18=1,INDEX('calcA'!$D$130:$EQ$169,$B18,71)+IF(AND($E18=1,LI18=0),25,0),INDEX('calcA'!BV$110:BV$114,$F18+1)+IF(AND($E18=1,LI18=0),1000,0)+IF($H18=1,INDEX('calcA'!$D$180:$EQ$219,$B18,71)*500,0)-IF(AND('calcA'!BU$117=1,WS18&gt;0),300,0)-IF(AND($U18=1,'calcA'!BV$117=1,FU18=0),300,0))),1000000000))</f>
        <v/>
      </c>
      <c r="QY18">
        <f>IF($B18=0,1000000000,IF(INDEX('calcA'!$D$60:$EQ$99,$B18,72)*IF($W18=1,FU18+ACJ18,FU18)=1,IF(AND($E18=2,IF($W18=1,AHY18,LJ18)=0),1000000000,IF($V18=1,INDEX('calcA'!$D$130:$EQ$169,$B18,72)+IF(AND($E18=1,LJ18=0),25,0),INDEX('calcA'!BW$110:BW$114,$F18+1)+IF(AND($E18=1,LJ18=0),1000,0)+IF($H18=1,INDEX('calcA'!$D$180:$EQ$219,$B18,72)*500,0)-IF(AND('calcA'!BV$117=1,WT18&gt;0),300,0))),1000000000))</f>
        <v/>
      </c>
      <c r="QZ18">
        <f>IF($B18=0,1000000000,IF(INDEX('calcA'!$D$60:$EQ$99,$B18,73)*IF($W18=1,FV18+ACK18,FV18)=1,IF(AND($E18=2,IF($W18=1,AHZ18,LK18)=0),1000000000,IF($V18=1,INDEX('calcA'!$D$130:$EQ$169,$B18,73)+IF(AND($E18=1,LK18=0),25,0),INDEX('calcA'!BX$110:BX$114,$F18+1)+IF(AND($E18=1,LK18=0),1000,0)+IF($H18=1,INDEX('calcA'!$D$180:$EQ$219,$B18,73)*500,0)-IF(AND($U18=1,'calcA'!BX$117=1,FW18=0),300,0))),1000000000))</f>
        <v/>
      </c>
      <c r="RA18">
        <f>IF($B18=0,1000000000,IF(INDEX('calcA'!$D$60:$EQ$99,$B18,74)*IF($W18=1,FW18+ACL18,FW18)=1,IF(AND($E18=2,IF($W18=1,AIA18,LL18)=0),1000000000,IF($V18=1,INDEX('calcA'!$D$130:$EQ$169,$B18,74)+IF(AND($E18=1,LL18=0),25,0),INDEX('calcA'!BY$110:BY$114,$F18+1)+IF(AND($E18=1,LL18=0),1000,0)+IF($H18=1,INDEX('calcA'!$D$180:$EQ$219,$B18,74)*500,0)-IF(AND('calcA'!BX$117=1,WV18&gt;0),300,0)-IF(AND($U18=1,'calcA'!BY$117=1,FX18=0),300,0))),1000000000))</f>
        <v/>
      </c>
      <c r="RB18">
        <f>IF($B18=0,1000000000,IF(INDEX('calcA'!$D$60:$EQ$99,$B18,75)*IF($W18=1,FX18+ACM18,FX18)=1,IF(AND($E18=2,IF($W18=1,AIB18,LM18)=0),1000000000,IF($V18=1,INDEX('calcA'!$D$130:$EQ$169,$B18,75)+IF(AND($E18=1,LM18=0),25,0),INDEX('calcA'!BZ$110:BZ$114,$F18+1)+IF(AND($E18=1,LM18=0),1000,0)+IF($H18=1,INDEX('calcA'!$D$180:$EQ$219,$B18,75)*500,0)-IF(AND('calcA'!BY$117=1,WW18&gt;0),300,0)-IF(AND($U18=1,'calcA'!BZ$117=1,FY18=0),300,0))),1000000000))</f>
        <v/>
      </c>
      <c r="RC18">
        <f>IF($B18=0,1000000000,IF(INDEX('calcA'!$D$60:$EQ$99,$B18,76)*IF($W18=1,FY18+ACN18,FY18)=1,IF(AND($E18=2,IF($W18=1,AIC18,LN18)=0),1000000000,IF($V18=1,INDEX('calcA'!$D$130:$EQ$169,$B18,76)+IF(AND($E18=1,LN18=0),25,0),INDEX('calcA'!CA$110:CA$114,$F18+1)+IF(AND($E18=1,LN18=0),1000,0)+IF($H18=1,INDEX('calcA'!$D$180:$EQ$219,$B18,76)*500,0)-IF(AND('calcA'!BZ$117=1,WX18&gt;0),300,0)-IF(AND($U18=1,'calcA'!CA$117=1,FZ18=0),300,0))),1000000000))</f>
        <v/>
      </c>
      <c r="RD18">
        <f>IF($B18=0,1000000000,IF(INDEX('calcA'!$D$60:$EQ$99,$B18,77)*IF($W18=1,FZ18+ACO18,FZ18)=1,IF(AND($E18=2,IF($W18=1,AID18,LO18)=0),1000000000,IF($V18=1,INDEX('calcA'!$D$130:$EQ$169,$B18,77)+IF(AND($E18=1,LO18=0),25,0),INDEX('calcA'!CB$110:CB$114,$F18+1)+IF(AND($E18=1,LO18=0),1000,0)+IF($H18=1,INDEX('calcA'!$D$180:$EQ$219,$B18,77)*500,0)-IF(AND('calcA'!CA$117=1,WY18&gt;0),300,0)-IF(AND($U18=1,'calcA'!CB$117=1,GA18=0),300,0))),1000000000))</f>
        <v/>
      </c>
      <c r="RE18">
        <f>IF($B18=0,1000000000,IF(INDEX('calcA'!$D$60:$EQ$99,$B18,78)*IF($W18=1,GA18+ACP18,GA18)=1,IF(AND($E18=2,IF($W18=1,AIE18,LP18)=0),1000000000,IF($V18=1,INDEX('calcA'!$D$130:$EQ$169,$B18,78)+IF(AND($E18=1,LP18=0),25,0),INDEX('calcA'!CC$110:CC$114,$F18+1)+IF(AND($E18=1,LP18=0),1000,0)+IF($H18=1,INDEX('calcA'!$D$180:$EQ$219,$B18,78)*500,0)-IF(AND('calcA'!CB$117=1,WZ18&gt;0),300,0)-IF(AND($U18=1,'calcA'!CC$117=1,GB18=0),300,0))),1000000000))</f>
        <v/>
      </c>
      <c r="RF18">
        <f>IF($B18=0,1000000000,IF(INDEX('calcA'!$D$60:$EQ$99,$B18,79)*IF($W18=1,GB18+ACQ18,GB18)=1,IF(AND($E18=2,IF($W18=1,AIF18,LQ18)=0),1000000000,IF($V18=1,INDEX('calcA'!$D$130:$EQ$169,$B18,79)+IF(AND($E18=1,LQ18=0),25,0),INDEX('calcA'!CD$110:CD$114,$F18+1)+IF(AND($E18=1,LQ18=0),1000,0)+IF($H18=1,INDEX('calcA'!$D$180:$EQ$219,$B18,79)*500,0)-IF(AND('calcA'!CC$117=1,XA18&gt;0),300,0)-IF(AND($U18=1,'calcA'!CD$117=1,GC18=0),300,0))),1000000000))</f>
        <v/>
      </c>
      <c r="RG18">
        <f>IF($B18=0,1000000000,IF(INDEX('calcA'!$D$60:$EQ$99,$B18,80)*IF($W18=1,GC18+ACR18,GC18)=1,IF(AND($E18=2,IF($W18=1,AIG18,LR18)=0),1000000000,IF($V18=1,INDEX('calcA'!$D$130:$EQ$169,$B18,80)+IF(AND($E18=1,LR18=0),25,0),INDEX('calcA'!CE$110:CE$114,$F18+1)+IF(AND($E18=1,LR18=0),1000,0)+IF($H18=1,INDEX('calcA'!$D$180:$EQ$219,$B18,80)*500,0)-IF(AND('calcA'!CD$117=1,XB18&gt;0),300,0)-IF(AND($U18=1,'calcA'!CE$117=1,GD18=0),300,0))),1000000000))</f>
        <v/>
      </c>
      <c r="RH18">
        <f>IF($B18=0,1000000000,IF(INDEX('calcA'!$D$60:$EQ$99,$B18,81)*IF($W18=1,GD18+ACS18,GD18)=1,IF(AND($E18=2,IF($W18=1,AIH18,LS18)=0),1000000000,IF($V18=1,INDEX('calcA'!$D$130:$EQ$169,$B18,81)+IF(AND($E18=1,LS18=0),25,0),INDEX('calcA'!CF$110:CF$114,$F18+1)+IF(AND($E18=1,LS18=0),1000,0)+IF($H18=1,INDEX('calcA'!$D$180:$EQ$219,$B18,81)*500,0)-IF(AND('calcA'!CE$117=1,XC18&gt;0),300,0)-IF(AND($U18=1,'calcA'!CF$117=1,GE18=0),300,0))),1000000000))</f>
        <v/>
      </c>
      <c r="RI18">
        <f>IF($B18=0,1000000000,IF(INDEX('calcA'!$D$60:$EQ$99,$B18,82)*IF($W18=1,GE18+ACT18,GE18)=1,IF(AND($E18=2,IF($W18=1,AII18,LT18)=0),1000000000,IF($V18=1,INDEX('calcA'!$D$130:$EQ$169,$B18,82)+IF(AND($E18=1,LT18=0),25,0),INDEX('calcA'!CG$110:CG$114,$F18+1)+IF(AND($E18=1,LT18=0),1000,0)+IF($H18=1,INDEX('calcA'!$D$180:$EQ$219,$B18,82)*500,0)-IF(AND('calcA'!CF$117=1,XD18&gt;0),300,0)-IF(AND($U18=1,'calcA'!CG$117=1,GF18=0),300,0))),1000000000))</f>
        <v/>
      </c>
      <c r="RJ18">
        <f>IF($B18=0,1000000000,IF(INDEX('calcA'!$D$60:$EQ$99,$B18,83)*IF($W18=1,GF18+ACU18,GF18)=1,IF(AND($E18=2,IF($W18=1,AIJ18,LU18)=0),1000000000,IF($V18=1,INDEX('calcA'!$D$130:$EQ$169,$B18,83)+IF(AND($E18=1,LU18=0),25,0),INDEX('calcA'!CH$110:CH$114,$F18+1)+IF(AND($E18=1,LU18=0),1000,0)+IF($H18=1,INDEX('calcA'!$D$180:$EQ$219,$B18,83)*500,0)-IF(AND('calcA'!CG$117=1,XE18&gt;0),300,0)-IF(AND($U18=1,'calcA'!CH$117=1,GG18=0),300,0))),1000000000))</f>
        <v/>
      </c>
      <c r="RK18">
        <f>IF($B18=0,1000000000,IF(INDEX('calcA'!$D$60:$EQ$99,$B18,84)*IF($W18=1,GG18+ACV18,GG18)=1,IF(AND($E18=2,IF($W18=1,AIK18,LV18)=0),1000000000,IF($V18=1,INDEX('calcA'!$D$130:$EQ$169,$B18,84)+IF(AND($E18=1,LV18=0),25,0),INDEX('calcA'!CI$110:CI$114,$F18+1)+IF(AND($E18=1,LV18=0),1000,0)+IF($H18=1,INDEX('calcA'!$D$180:$EQ$219,$B18,84)*500,0)-IF(AND('calcA'!CH$117=1,XF18&gt;0),300,0)-IF(AND($U18=1,'calcA'!CI$117=1,GH18=0),300,0))),1000000000))</f>
        <v/>
      </c>
      <c r="RL18">
        <f>IF($B18=0,1000000000,IF(INDEX('calcA'!$D$60:$EQ$99,$B18,85)*IF($W18=1,GH18+ACW18,GH18)=1,IF(AND($E18=2,IF($W18=1,AIL18,LW18)=0),1000000000,IF($V18=1,INDEX('calcA'!$D$130:$EQ$169,$B18,85)+IF(AND($E18=1,LW18=0),25,0),INDEX('calcA'!CJ$110:CJ$114,$F18+1)+IF(AND($E18=1,LW18=0),1000,0)+IF($H18=1,INDEX('calcA'!$D$180:$EQ$219,$B18,85)*500,0)-IF(AND('calcA'!CI$117=1,XG18&gt;0),300,0)-IF(AND($U18=1,'calcA'!CJ$117=1,GI18=0),300,0))),1000000000))</f>
        <v/>
      </c>
      <c r="RM18">
        <f>IF($B18=0,1000000000,IF(INDEX('calcA'!$D$60:$EQ$99,$B18,86)*IF($W18=1,GI18+ACX18,GI18)=1,IF(AND($E18=2,IF($W18=1,AIM18,LX18)=0),1000000000,IF($V18=1,INDEX('calcA'!$D$130:$EQ$169,$B18,86)+IF(AND($E18=1,LX18=0),25,0),INDEX('calcA'!CK$110:CK$114,$F18+1)+IF(AND($E18=1,LX18=0),1000,0)+IF($H18=1,INDEX('calcA'!$D$180:$EQ$219,$B18,86)*500,0)-IF(AND('calcA'!CJ$117=1,XH18&gt;0),300,0)-IF(AND($U18=1,'calcA'!CK$117=1,GJ18=0),300,0))),1000000000))</f>
        <v/>
      </c>
      <c r="RN18">
        <f>IF($B18=0,1000000000,IF(INDEX('calcA'!$D$60:$EQ$99,$B18,87)*IF($W18=1,GJ18+ACY18,GJ18)=1,IF(AND($E18=2,IF($W18=1,AIN18,LY18)=0),1000000000,IF($V18=1,INDEX('calcA'!$D$130:$EQ$169,$B18,87)+IF(AND($E18=1,LY18=0),25,0),INDEX('calcA'!CL$110:CL$114,$F18+1)+IF(AND($E18=1,LY18=0),1000,0)+IF($H18=1,INDEX('calcA'!$D$180:$EQ$219,$B18,87)*500,0)-IF(AND('calcA'!CK$117=1,XI18&gt;0),300,0)-IF(AND($U18=1,'calcA'!CL$117=1,GK18=0),300,0))),1000000000))</f>
        <v/>
      </c>
      <c r="RO18">
        <f>IF($B18=0,1000000000,IF(INDEX('calcA'!$D$60:$EQ$99,$B18,88)*IF($W18=1,GK18+ACZ18,GK18)=1,IF(AND($E18=2,IF($W18=1,AIO18,LZ18)=0),1000000000,IF($V18=1,INDEX('calcA'!$D$130:$EQ$169,$B18,88)+IF(AND($E18=1,LZ18=0),25,0),INDEX('calcA'!CM$110:CM$114,$F18+1)+IF(AND($E18=1,LZ18=0),1000,0)+IF($H18=1,INDEX('calcA'!$D$180:$EQ$219,$B18,88)*500,0)-IF(AND('calcA'!CL$117=1,XJ18&gt;0),300,0)-IF(AND($U18=1,'calcA'!CM$117=1,GL18=0),300,0))),1000000000))</f>
        <v/>
      </c>
      <c r="RP18">
        <f>IF($B18=0,1000000000,IF(INDEX('calcA'!$D$60:$EQ$99,$B18,89)*IF($W18=1,GL18+ADA18,GL18)=1,IF(AND($E18=2,IF($W18=1,AIP18,MA18)=0),1000000000,IF($V18=1,INDEX('calcA'!$D$130:$EQ$169,$B18,89)+IF(AND($E18=1,MA18=0),25,0),INDEX('calcA'!CN$110:CN$114,$F18+1)+IF(AND($E18=1,MA18=0),1000,0)+IF($H18=1,INDEX('calcA'!$D$180:$EQ$219,$B18,89)*500,0)-IF(AND('calcA'!CM$117=1,XK18&gt;0),300,0)-IF(AND($U18=1,'calcA'!CN$117=1,GM18=0),300,0))),1000000000))</f>
        <v/>
      </c>
      <c r="RQ18">
        <f>IF($B18=0,1000000000,IF(INDEX('calcA'!$D$60:$EQ$99,$B18,90)*IF($W18=1,GM18+ADB18,GM18)=1,IF(AND($E18=2,IF($W18=1,AIQ18,MB18)=0),1000000000,IF($V18=1,INDEX('calcA'!$D$130:$EQ$169,$B18,90)+IF(AND($E18=1,MB18=0),25,0),INDEX('calcA'!CO$110:CO$114,$F18+1)+IF(AND($E18=1,MB18=0),1000,0)+IF($H18=1,INDEX('calcA'!$D$180:$EQ$219,$B18,90)*500,0)-IF(AND('calcA'!CN$117=1,XL18&gt;0),300,0)-IF(AND($U18=1,'calcA'!CO$117=1,GN18=0),300,0))),1000000000))</f>
        <v/>
      </c>
      <c r="RR18">
        <f>IF($B18=0,1000000000,IF(INDEX('calcA'!$D$60:$EQ$99,$B18,91)*IF($W18=1,GN18+ADC18,GN18)=1,IF(AND($E18=2,IF($W18=1,AIR18,MC18)=0),1000000000,IF($V18=1,INDEX('calcA'!$D$130:$EQ$169,$B18,91)+IF(AND($E18=1,MC18=0),25,0),INDEX('calcA'!CP$110:CP$114,$F18+1)+IF(AND($E18=1,MC18=0),1000,0)+IF($H18=1,INDEX('calcA'!$D$180:$EQ$219,$B18,91)*500,0)-IF(AND('calcA'!CO$117=1,XM18&gt;0),300,0)-IF(AND($U18=1,'calcA'!CP$117=1,GO18=0),300,0))),1000000000))</f>
        <v/>
      </c>
      <c r="RS18">
        <f>IF($B18=0,1000000000,IF(INDEX('calcA'!$D$60:$EQ$99,$B18,92)*IF($W18=1,GO18+ADD18,GO18)=1,IF(AND($E18=2,IF($W18=1,AIS18,MD18)=0),1000000000,IF($V18=1,INDEX('calcA'!$D$130:$EQ$169,$B18,92)+IF(AND($E18=1,MD18=0),25,0),INDEX('calcA'!CQ$110:CQ$114,$F18+1)+IF(AND($E18=1,MD18=0),1000,0)+IF($H18=1,INDEX('calcA'!$D$180:$EQ$219,$B18,92)*500,0)-IF(AND('calcA'!CP$117=1,XN18&gt;0),300,0)-IF(AND($U18=1,'calcA'!CQ$117=1,GP18=0),300,0))),1000000000))</f>
        <v/>
      </c>
      <c r="RT18">
        <f>IF($B18=0,1000000000,IF(INDEX('calcA'!$D$60:$EQ$99,$B18,93)*IF($W18=1,GP18+ADE18,GP18)=1,IF(AND($E18=2,IF($W18=1,AIT18,ME18)=0),1000000000,IF($V18=1,INDEX('calcA'!$D$130:$EQ$169,$B18,93)+IF(AND($E18=1,ME18=0),25,0),INDEX('calcA'!CR$110:CR$114,$F18+1)+IF(AND($E18=1,ME18=0),1000,0)+IF($H18=1,INDEX('calcA'!$D$180:$EQ$219,$B18,93)*500,0)-IF(AND('calcA'!CQ$117=1,XO18&gt;0),300,0)-IF(AND($U18=1,'calcA'!CR$117=1,GQ18=0),300,0))),1000000000))</f>
        <v/>
      </c>
      <c r="RU18">
        <f>IF($B18=0,1000000000,IF(INDEX('calcA'!$D$60:$EQ$99,$B18,94)*IF($W18=1,GQ18+ADF18,GQ18)=1,IF(AND($E18=2,IF($W18=1,AIU18,MF18)=0),1000000000,IF($V18=1,INDEX('calcA'!$D$130:$EQ$169,$B18,94)+IF(AND($E18=1,MF18=0),25,0),INDEX('calcA'!CS$110:CS$114,$F18+1)+IF(AND($E18=1,MF18=0),1000,0)+IF($H18=1,INDEX('calcA'!$D$180:$EQ$219,$B18,94)*500,0)-IF(AND('calcA'!CR$117=1,XP18&gt;0),300,0)-IF(AND($U18=1,'calcA'!CS$117=1,GR18=0),300,0))),1000000000))</f>
        <v/>
      </c>
      <c r="RV18">
        <f>IF($B18=0,1000000000,IF(INDEX('calcA'!$D$60:$EQ$99,$B18,95)*IF($W18=1,GR18+ADG18,GR18)=1,IF(AND($E18=2,IF($W18=1,AIV18,MG18)=0),1000000000,IF($V18=1,INDEX('calcA'!$D$130:$EQ$169,$B18,95)+IF(AND($E18=1,MG18=0),25,0),INDEX('calcA'!CT$110:CT$114,$F18+1)+IF(AND($E18=1,MG18=0),1000,0)+IF($H18=1,INDEX('calcA'!$D$180:$EQ$219,$B18,95)*500,0)-IF(AND('calcA'!CS$117=1,XQ18&gt;0),300,0)-IF(AND($U18=1,'calcA'!CT$117=1,GS18=0),300,0))),1000000000))</f>
        <v/>
      </c>
      <c r="RW18">
        <f>IF($B18=0,1000000000,IF(INDEX('calcA'!$D$60:$EQ$99,$B18,96)*IF($W18=1,GS18+ADH18,GS18)=1,IF(AND($E18=2,IF($W18=1,AIW18,MH18)=0),1000000000,IF($V18=1,INDEX('calcA'!$D$130:$EQ$169,$B18,96)+IF(AND($E18=1,MH18=0),25,0),INDEX('calcA'!CU$110:CU$114,$F18+1)+IF(AND($E18=1,MH18=0),1000,0)+IF($H18=1,INDEX('calcA'!$D$180:$EQ$219,$B18,96)*500,0)-IF(AND('calcA'!CT$117=1,XR18&gt;0),300,0))),1000000000))</f>
        <v/>
      </c>
      <c r="RX18">
        <f>IF($B18=0,1000000000,IF(INDEX('calcA'!$D$60:$EQ$99,$B18,97)*IF($W18=1,GT18+ADI18,GT18)=1,IF(AND($E18=2,IF($W18=1,AIX18,MI18)=0),1000000000,IF($V18=1,INDEX('calcA'!$D$130:$EQ$169,$B18,97)+IF(AND($E18=1,MI18=0),25,0),INDEX('calcA'!CV$110:CV$114,$F18+1)+IF(AND($E18=1,MI18=0),1000,0)+IF($H18=1,INDEX('calcA'!$D$180:$EQ$219,$B18,97)*500,0)-IF(AND($U18=1,'calcA'!CV$117=1,GU18=0),300,0))),1000000000))</f>
        <v/>
      </c>
      <c r="RY18">
        <f>IF($B18=0,1000000000,IF(INDEX('calcA'!$D$60:$EQ$99,$B18,98)*IF($W18=1,GU18+ADJ18,GU18)=1,IF(AND($E18=2,IF($W18=1,AIY18,MJ18)=0),1000000000,IF($V18=1,INDEX('calcA'!$D$130:$EQ$169,$B18,98)+IF(AND($E18=1,MJ18=0),25,0),INDEX('calcA'!CW$110:CW$114,$F18+1)+IF(AND($E18=1,MJ18=0),1000,0)+IF($H18=1,INDEX('calcA'!$D$180:$EQ$219,$B18,98)*500,0)-IF(AND('calcA'!CV$117=1,XT18&gt;0),300,0)-IF(AND($U18=1,'calcA'!CW$117=1,GV18=0),300,0))),1000000000))</f>
        <v/>
      </c>
      <c r="RZ18">
        <f>IF($B18=0,1000000000,IF(INDEX('calcA'!$D$60:$EQ$99,$B18,99)*IF($W18=1,GV18+ADK18,GV18)=1,IF(AND($E18=2,IF($W18=1,AIZ18,MK18)=0),1000000000,IF($V18=1,INDEX('calcA'!$D$130:$EQ$169,$B18,99)+IF(AND($E18=1,MK18=0),25,0),INDEX('calcA'!CX$110:CX$114,$F18+1)+IF(AND($E18=1,MK18=0),1000,0)+IF($H18=1,INDEX('calcA'!$D$180:$EQ$219,$B18,99)*500,0)-IF(AND('calcA'!CW$117=1,XU18&gt;0),300,0)-IF(AND($U18=1,'calcA'!CX$117=1,GW18=0),300,0))),1000000000))</f>
        <v/>
      </c>
      <c r="SA18">
        <f>IF($B18=0,1000000000,IF(INDEX('calcA'!$D$60:$EQ$99,$B18,100)*IF($W18=1,GW18+ADL18,GW18)=1,IF(AND($E18=2,IF($W18=1,AJA18,ML18)=0),1000000000,IF($V18=1,INDEX('calcA'!$D$130:$EQ$169,$B18,100)+IF(AND($E18=1,ML18=0),25,0),INDEX('calcA'!CY$110:CY$114,$F18+1)+IF(AND($E18=1,ML18=0),1000,0)+IF($H18=1,INDEX('calcA'!$D$180:$EQ$219,$B18,100)*500,0)-IF(AND('calcA'!CX$117=1,XV18&gt;0),300,0)-IF(AND($U18=1,'calcA'!CY$117=1,GX18=0),300,0))),1000000000))</f>
        <v/>
      </c>
      <c r="SB18">
        <f>IF($B18=0,1000000000,IF(INDEX('calcA'!$D$60:$EQ$99,$B18,101)*IF($W18=1,GX18+ADM18,GX18)=1,IF(AND($E18=2,IF($W18=1,AJB18,MM18)=0),1000000000,IF($V18=1,INDEX('calcA'!$D$130:$EQ$169,$B18,101)+IF(AND($E18=1,MM18=0),25,0),INDEX('calcA'!CZ$110:CZ$114,$F18+1)+IF(AND($E18=1,MM18=0),1000,0)+IF($H18=1,INDEX('calcA'!$D$180:$EQ$219,$B18,101)*500,0)-IF(AND('calcA'!CY$117=1,XW18&gt;0),300,0)-IF(AND($U18=1,'calcA'!CZ$117=1,GY18=0),300,0))),1000000000))</f>
        <v/>
      </c>
      <c r="SC18">
        <f>IF($B18=0,1000000000,IF(INDEX('calcA'!$D$60:$EQ$99,$B18,102)*IF($W18=1,GY18+ADN18,GY18)=1,IF(AND($E18=2,IF($W18=1,AJC18,MN18)=0),1000000000,IF($V18=1,INDEX('calcA'!$D$130:$EQ$169,$B18,102)+IF(AND($E18=1,MN18=0),25,0),INDEX('calcA'!DA$110:DA$114,$F18+1)+IF(AND($E18=1,MN18=0),1000,0)+IF($H18=1,INDEX('calcA'!$D$180:$EQ$219,$B18,102)*500,0)-IF(AND('calcA'!CZ$117=1,XX18&gt;0),300,0)-IF(AND($U18=1,'calcA'!DA$117=1,GZ18=0),300,0))),1000000000))</f>
        <v/>
      </c>
      <c r="SD18">
        <f>IF($B18=0,1000000000,IF(INDEX('calcA'!$D$60:$EQ$99,$B18,103)*IF($W18=1,GZ18+ADO18,GZ18)=1,IF(AND($E18=2,IF($W18=1,AJD18,MO18)=0),1000000000,IF($V18=1,INDEX('calcA'!$D$130:$EQ$169,$B18,103)+IF(AND($E18=1,MO18=0),25,0),INDEX('calcA'!DB$110:DB$114,$F18+1)+IF(AND($E18=1,MO18=0),1000,0)+IF($H18=1,INDEX('calcA'!$D$180:$EQ$219,$B18,103)*500,0)-IF(AND('calcA'!DA$117=1,XY18&gt;0),300,0)-IF(AND($U18=1,'calcA'!DB$117=1,HA18=0),300,0))),1000000000))</f>
        <v/>
      </c>
      <c r="SE18">
        <f>IF($B18=0,1000000000,IF(INDEX('calcA'!$D$60:$EQ$99,$B18,104)*IF($W18=1,HA18+ADP18,HA18)=1,IF(AND($E18=2,IF($W18=1,AJE18,MP18)=0),1000000000,IF($V18=1,INDEX('calcA'!$D$130:$EQ$169,$B18,104)+IF(AND($E18=1,MP18=0),25,0),INDEX('calcA'!DC$110:DC$114,$F18+1)+IF(AND($E18=1,MP18=0),1000,0)+IF($H18=1,INDEX('calcA'!$D$180:$EQ$219,$B18,104)*500,0)-IF(AND('calcA'!DB$117=1,XZ18&gt;0),300,0)-IF(AND($U18=1,'calcA'!DC$117=1,HB18=0),300,0))),1000000000))</f>
        <v/>
      </c>
      <c r="SF18">
        <f>IF($B18=0,1000000000,IF(INDEX('calcA'!$D$60:$EQ$99,$B18,105)*IF($W18=1,HB18+ADQ18,HB18)=1,IF(AND($E18=2,IF($W18=1,AJF18,MQ18)=0),1000000000,IF($V18=1,INDEX('calcA'!$D$130:$EQ$169,$B18,105)+IF(AND($E18=1,MQ18=0),25,0),INDEX('calcA'!DD$110:DD$114,$F18+1)+IF(AND($E18=1,MQ18=0),1000,0)+IF($H18=1,INDEX('calcA'!$D$180:$EQ$219,$B18,105)*500,0)-IF(AND('calcA'!DC$117=1,YA18&gt;0),300,0)-IF(AND($U18=1,'calcA'!DD$117=1,HC18=0),300,0))),1000000000))</f>
        <v/>
      </c>
      <c r="SG18">
        <f>IF($B18=0,1000000000,IF(INDEX('calcA'!$D$60:$EQ$99,$B18,106)*IF($W18=1,HC18+ADR18,HC18)=1,IF(AND($E18=2,IF($W18=1,AJG18,MR18)=0),1000000000,IF($V18=1,INDEX('calcA'!$D$130:$EQ$169,$B18,106)+IF(AND($E18=1,MR18=0),25,0),INDEX('calcA'!DE$110:DE$114,$F18+1)+IF(AND($E18=1,MR18=0),1000,0)+IF($H18=1,INDEX('calcA'!$D$180:$EQ$219,$B18,106)*500,0)-IF(AND('calcA'!DD$117=1,YB18&gt;0),300,0)-IF(AND($U18=1,'calcA'!DE$117=1,HD18=0),300,0))),1000000000))</f>
        <v/>
      </c>
      <c r="SH18">
        <f>IF($B18=0,1000000000,IF(INDEX('calcA'!$D$60:$EQ$99,$B18,107)*IF($W18=1,HD18+ADS18,HD18)=1,IF(AND($E18=2,IF($W18=1,AJH18,MS18)=0),1000000000,IF($V18=1,INDEX('calcA'!$D$130:$EQ$169,$B18,107)+IF(AND($E18=1,MS18=0),25,0),INDEX('calcA'!DF$110:DF$114,$F18+1)+IF(AND($E18=1,MS18=0),1000,0)+IF($H18=1,INDEX('calcA'!$D$180:$EQ$219,$B18,107)*500,0)-IF(AND('calcA'!DE$117=1,YC18&gt;0),300,0)-IF(AND($U18=1,'calcA'!DF$117=1,HE18=0),300,0))),1000000000))</f>
        <v/>
      </c>
      <c r="SI18">
        <f>IF($B18=0,1000000000,IF(INDEX('calcA'!$D$60:$EQ$99,$B18,108)*IF($W18=1,HE18+ADT18,HE18)=1,IF(AND($E18=2,IF($W18=1,AJI18,MT18)=0),1000000000,IF($V18=1,INDEX('calcA'!$D$130:$EQ$169,$B18,108)+IF(AND($E18=1,MT18=0),25,0),INDEX('calcA'!DG$110:DG$114,$F18+1)+IF(AND($E18=1,MT18=0),1000,0)+IF($H18=1,INDEX('calcA'!$D$180:$EQ$219,$B18,108)*500,0)-IF(AND('calcA'!DF$117=1,YD18&gt;0),300,0)-IF(AND($U18=1,'calcA'!DG$117=1,HF18=0),300,0))),1000000000))</f>
        <v/>
      </c>
      <c r="SJ18">
        <f>IF($B18=0,1000000000,IF(INDEX('calcA'!$D$60:$EQ$99,$B18,109)*IF($W18=1,HF18+ADU18,HF18)=1,IF(AND($E18=2,IF($W18=1,AJJ18,MU18)=0),1000000000,IF($V18=1,INDEX('calcA'!$D$130:$EQ$169,$B18,109)+IF(AND($E18=1,MU18=0),25,0),INDEX('calcA'!DH$110:DH$114,$F18+1)+IF(AND($E18=1,MU18=0),1000,0)+IF($H18=1,INDEX('calcA'!$D$180:$EQ$219,$B18,109)*500,0)-IF(AND('calcA'!DG$117=1,YE18&gt;0),300,0)-IF(AND($U18=1,'calcA'!DH$117=1,HG18=0),300,0))),1000000000))</f>
        <v/>
      </c>
      <c r="SK18">
        <f>IF($B18=0,1000000000,IF(INDEX('calcA'!$D$60:$EQ$99,$B18,110)*IF($W18=1,HG18+ADV18,HG18)=1,IF(AND($E18=2,IF($W18=1,AJK18,MV18)=0),1000000000,IF($V18=1,INDEX('calcA'!$D$130:$EQ$169,$B18,110)+IF(AND($E18=1,MV18=0),25,0),INDEX('calcA'!DI$110:DI$114,$F18+1)+IF(AND($E18=1,MV18=0),1000,0)+IF($H18=1,INDEX('calcA'!$D$180:$EQ$219,$B18,110)*500,0)-IF(AND('calcA'!DH$117=1,YF18&gt;0),300,0)-IF(AND($U18=1,'calcA'!DI$117=1,HH18=0),300,0))),1000000000))</f>
        <v/>
      </c>
      <c r="SL18">
        <f>IF($B18=0,1000000000,IF(INDEX('calcA'!$D$60:$EQ$99,$B18,111)*IF($W18=1,HH18+ADW18,HH18)=1,IF(AND($E18=2,IF($W18=1,AJL18,MW18)=0),1000000000,IF($V18=1,INDEX('calcA'!$D$130:$EQ$169,$B18,111)+IF(AND($E18=1,MW18=0),25,0),INDEX('calcA'!DJ$110:DJ$114,$F18+1)+IF(AND($E18=1,MW18=0),1000,0)+IF($H18=1,INDEX('calcA'!$D$180:$EQ$219,$B18,111)*500,0)-IF(AND('calcA'!DI$117=1,YG18&gt;0),300,0)-IF(AND($U18=1,'calcA'!DJ$117=1,HI18=0),300,0))),1000000000))</f>
        <v/>
      </c>
      <c r="SM18">
        <f>IF($B18=0,1000000000,IF(INDEX('calcA'!$D$60:$EQ$99,$B18,112)*IF($W18=1,HI18+ADX18,HI18)=1,IF(AND($E18=2,IF($W18=1,AJM18,MX18)=0),1000000000,IF($V18=1,INDEX('calcA'!$D$130:$EQ$169,$B18,112)+IF(AND($E18=1,MX18=0),25,0),INDEX('calcA'!DK$110:DK$114,$F18+1)+IF(AND($E18=1,MX18=0),1000,0)+IF($H18=1,INDEX('calcA'!$D$180:$EQ$219,$B18,112)*500,0)-IF(AND('calcA'!DJ$117=1,YH18&gt;0),300,0)-IF(AND($U18=1,'calcA'!DK$117=1,HJ18=0),300,0))),1000000000))</f>
        <v/>
      </c>
      <c r="SN18">
        <f>IF($B18=0,1000000000,IF(INDEX('calcA'!$D$60:$EQ$99,$B18,113)*IF($W18=1,HJ18+ADY18,HJ18)=1,IF(AND($E18=2,IF($W18=1,AJN18,MY18)=0),1000000000,IF($V18=1,INDEX('calcA'!$D$130:$EQ$169,$B18,113)+IF(AND($E18=1,MY18=0),25,0),INDEX('calcA'!DL$110:DL$114,$F18+1)+IF(AND($E18=1,MY18=0),1000,0)+IF($H18=1,INDEX('calcA'!$D$180:$EQ$219,$B18,113)*500,0)-IF(AND('calcA'!DK$117=1,YI18&gt;0),300,0)-IF(AND($U18=1,'calcA'!DL$117=1,HK18=0),300,0))),1000000000))</f>
        <v/>
      </c>
      <c r="SO18">
        <f>IF($B18=0,1000000000,IF(INDEX('calcA'!$D$60:$EQ$99,$B18,114)*IF($W18=1,HK18+ADZ18,HK18)=1,IF(AND($E18=2,IF($W18=1,AJO18,MZ18)=0),1000000000,IF($V18=1,INDEX('calcA'!$D$130:$EQ$169,$B18,114)+IF(AND($E18=1,MZ18=0),25,0),INDEX('calcA'!DM$110:DM$114,$F18+1)+IF(AND($E18=1,MZ18=0),1000,0)+IF($H18=1,INDEX('calcA'!$D$180:$EQ$219,$B18,114)*500,0)-IF(AND('calcA'!DL$117=1,YJ18&gt;0),300,0)-IF(AND($U18=1,'calcA'!DM$117=1,HL18=0),300,0))),1000000000))</f>
        <v/>
      </c>
      <c r="SP18">
        <f>IF($B18=0,1000000000,IF(INDEX('calcA'!$D$60:$EQ$99,$B18,115)*IF($W18=1,HL18+AEA18,HL18)=1,IF(AND($E18=2,IF($W18=1,AJP18,NA18)=0),1000000000,IF($V18=1,INDEX('calcA'!$D$130:$EQ$169,$B18,115)+IF(AND($E18=1,NA18=0),25,0),INDEX('calcA'!DN$110:DN$114,$F18+1)+IF(AND($E18=1,NA18=0),1000,0)+IF($H18=1,INDEX('calcA'!$D$180:$EQ$219,$B18,115)*500,0)-IF(AND('calcA'!DM$117=1,YK18&gt;0),300,0)-IF(AND($U18=1,'calcA'!DN$117=1,HM18=0),300,0))),1000000000))</f>
        <v/>
      </c>
      <c r="SQ18">
        <f>IF($B18=0,1000000000,IF(INDEX('calcA'!$D$60:$EQ$99,$B18,116)*IF($W18=1,HM18+AEB18,HM18)=1,IF(AND($E18=2,IF($W18=1,AJQ18,NB18)=0),1000000000,IF($V18=1,INDEX('calcA'!$D$130:$EQ$169,$B18,116)+IF(AND($E18=1,NB18=0),25,0),INDEX('calcA'!DO$110:DO$114,$F18+1)+IF(AND($E18=1,NB18=0),1000,0)+IF($H18=1,INDEX('calcA'!$D$180:$EQ$219,$B18,116)*500,0)-IF(AND('calcA'!DN$117=1,YL18&gt;0),300,0)-IF(AND($U18=1,'calcA'!DO$117=1,HN18=0),300,0))),1000000000))</f>
        <v/>
      </c>
      <c r="SR18">
        <f>IF($B18=0,1000000000,IF(INDEX('calcA'!$D$60:$EQ$99,$B18,117)*IF($W18=1,HN18+AEC18,HN18)=1,IF(AND($E18=2,IF($W18=1,AJR18,NC18)=0),1000000000,IF($V18=1,INDEX('calcA'!$D$130:$EQ$169,$B18,117)+IF(AND($E18=1,NC18=0),25,0),INDEX('calcA'!DP$110:DP$114,$F18+1)+IF(AND($E18=1,NC18=0),1000,0)+IF($H18=1,INDEX('calcA'!$D$180:$EQ$219,$B18,117)*500,0)-IF(AND('calcA'!DO$117=1,YM18&gt;0),300,0)-IF(AND($U18=1,'calcA'!DP$117=1,HO18=0),300,0))),1000000000))</f>
        <v/>
      </c>
      <c r="SS18">
        <f>IF($B18=0,1000000000,IF(INDEX('calcA'!$D$60:$EQ$99,$B18,118)*IF($W18=1,HO18+AED18,HO18)=1,IF(AND($E18=2,IF($W18=1,AJS18,ND18)=0),1000000000,IF($V18=1,INDEX('calcA'!$D$130:$EQ$169,$B18,118)+IF(AND($E18=1,ND18=0),25,0),INDEX('calcA'!DQ$110:DQ$114,$F18+1)+IF(AND($E18=1,ND18=0),1000,0)+IF($H18=1,INDEX('calcA'!$D$180:$EQ$219,$B18,118)*500,0)-IF(AND('calcA'!DP$117=1,YN18&gt;0),300,0)-IF(AND($U18=1,'calcA'!DQ$117=1,HP18=0),300,0))),1000000000))</f>
        <v/>
      </c>
      <c r="ST18">
        <f>IF($B18=0,1000000000,IF(INDEX('calcA'!$D$60:$EQ$99,$B18,119)*IF($W18=1,HP18+AEE18,HP18)=1,IF(AND($E18=2,IF($W18=1,AJT18,NE18)=0),1000000000,IF($V18=1,INDEX('calcA'!$D$130:$EQ$169,$B18,119)+IF(AND($E18=1,NE18=0),25,0),INDEX('calcA'!DR$110:DR$114,$F18+1)+IF(AND($E18=1,NE18=0),1000,0)+IF($H18=1,INDEX('calcA'!$D$180:$EQ$219,$B18,119)*500,0)-IF(AND('calcA'!DQ$117=1,YO18&gt;0),300,0)-IF(AND($U18=1,'calcA'!DR$117=1,HQ18=0),300,0))),1000000000))</f>
        <v/>
      </c>
      <c r="SU18">
        <f>IF($B18=0,1000000000,IF(INDEX('calcA'!$D$60:$EQ$99,$B18,120)*IF($W18=1,HQ18+AEF18,HQ18)=1,IF(AND($E18=2,IF($W18=1,AJU18,NF18)=0),1000000000,IF($V18=1,INDEX('calcA'!$D$130:$EQ$169,$B18,120)+IF(AND($E18=1,NF18=0),25,0),INDEX('calcA'!DS$110:DS$114,$F18+1)+IF(AND($E18=1,NF18=0),1000,0)+IF($H18=1,INDEX('calcA'!$D$180:$EQ$219,$B18,120)*500,0)-IF(AND('calcA'!DR$117=1,YP18&gt;0),300,0))),1000000000))</f>
        <v/>
      </c>
      <c r="SV18">
        <f>IF($B18=0,1000000000,IF(INDEX('calcA'!$D$60:$EQ$99,$B18,121)*IF($W18=1,HR18+AEG18,HR18)=1,IF(AND($E18=2,IF($W18=1,AJV18,NG18)=0),1000000000,IF($V18=1,INDEX('calcA'!$D$130:$EQ$169,$B18,121)+IF(AND($E18=1,NG18=0),25,0),INDEX('calcA'!DT$110:DT$114,$F18+1)+IF(AND($E18=1,NG18=0),1000,0)+IF($H18=1,INDEX('calcA'!$D$180:$EQ$219,$B18,121)*500,0)-IF(AND($U18=1,'calcA'!DT$117=1,HS18=0),300,0))),1000000000))</f>
        <v/>
      </c>
      <c r="SW18">
        <f>IF($B18=0,1000000000,IF(INDEX('calcA'!$D$60:$EQ$99,$B18,122)*IF($W18=1,HS18+AEH18,HS18)=1,IF(AND($E18=2,IF($W18=1,AJW18,NH18)=0),1000000000,IF($V18=1,INDEX('calcA'!$D$130:$EQ$169,$B18,122)+IF(AND($E18=1,NH18=0),25,0),INDEX('calcA'!DU$110:DU$114,$F18+1)+IF(AND($E18=1,NH18=0),1000,0)+IF($H18=1,INDEX('calcA'!$D$180:$EQ$219,$B18,122)*500,0)-IF(AND('calcA'!DT$117=1,YR18&gt;0),300,0)-IF(AND($U18=1,'calcA'!DU$117=1,HT18=0),300,0))),1000000000))</f>
        <v/>
      </c>
      <c r="SX18">
        <f>IF($B18=0,1000000000,IF(INDEX('calcA'!$D$60:$EQ$99,$B18,123)*IF($W18=1,HT18+AEI18,HT18)=1,IF(AND($E18=2,IF($W18=1,AJX18,NI18)=0),1000000000,IF($V18=1,INDEX('calcA'!$D$130:$EQ$169,$B18,123)+IF(AND($E18=1,NI18=0),25,0),INDEX('calcA'!DV$110:DV$114,$F18+1)+IF(AND($E18=1,NI18=0),1000,0)+IF($H18=1,INDEX('calcA'!$D$180:$EQ$219,$B18,123)*500,0)-IF(AND('calcA'!DU$117=1,YS18&gt;0),300,0)-IF(AND($U18=1,'calcA'!DV$117=1,HU18=0),300,0))),1000000000))</f>
        <v/>
      </c>
      <c r="SY18">
        <f>IF($B18=0,1000000000,IF(INDEX('calcA'!$D$60:$EQ$99,$B18,124)*IF($W18=1,HU18+AEJ18,HU18)=1,IF(AND($E18=2,IF($W18=1,AJY18,NJ18)=0),1000000000,IF($V18=1,INDEX('calcA'!$D$130:$EQ$169,$B18,124)+IF(AND($E18=1,NJ18=0),25,0),INDEX('calcA'!DW$110:DW$114,$F18+1)+IF(AND($E18=1,NJ18=0),1000,0)+IF($H18=1,INDEX('calcA'!$D$180:$EQ$219,$B18,124)*500,0)-IF(AND('calcA'!DV$117=1,YT18&gt;0),300,0)-IF(AND($U18=1,'calcA'!DW$117=1,HV18=0),300,0))),1000000000))</f>
        <v/>
      </c>
      <c r="SZ18">
        <f>IF($B18=0,1000000000,IF(INDEX('calcA'!$D$60:$EQ$99,$B18,125)*IF($W18=1,HV18+AEK18,HV18)=1,IF(AND($E18=2,IF($W18=1,AJZ18,NK18)=0),1000000000,IF($V18=1,INDEX('calcA'!$D$130:$EQ$169,$B18,125)+IF(AND($E18=1,NK18=0),25,0),INDEX('calcA'!DX$110:DX$114,$F18+1)+IF(AND($E18=1,NK18=0),1000,0)+IF($H18=1,INDEX('calcA'!$D$180:$EQ$219,$B18,125)*500,0)-IF(AND('calcA'!DW$117=1,YU18&gt;0),300,0)-IF(AND($U18=1,'calcA'!DX$117=1,HW18=0),300,0))),1000000000))</f>
        <v/>
      </c>
      <c r="TA18">
        <f>IF($B18=0,1000000000,IF(INDEX('calcA'!$D$60:$EQ$99,$B18,126)*IF($W18=1,HW18+AEL18,HW18)=1,IF(AND($E18=2,IF($W18=1,AKA18,NL18)=0),1000000000,IF($V18=1,INDEX('calcA'!$D$130:$EQ$169,$B18,126)+IF(AND($E18=1,NL18=0),25,0),INDEX('calcA'!DY$110:DY$114,$F18+1)+IF(AND($E18=1,NL18=0),1000,0)+IF($H18=1,INDEX('calcA'!$D$180:$EQ$219,$B18,126)*500,0)-IF(AND('calcA'!DX$117=1,YV18&gt;0),300,0)-IF(AND($U18=1,'calcA'!DY$117=1,HX18=0),300,0))),1000000000))</f>
        <v/>
      </c>
      <c r="TB18">
        <f>IF($B18=0,1000000000,IF(INDEX('calcA'!$D$60:$EQ$99,$B18,127)*IF($W18=1,HX18+AEM18,HX18)=1,IF(AND($E18=2,IF($W18=1,AKB18,NM18)=0),1000000000,IF($V18=1,INDEX('calcA'!$D$130:$EQ$169,$B18,127)+IF(AND($E18=1,NM18=0),25,0),INDEX('calcA'!DZ$110:DZ$114,$F18+1)+IF(AND($E18=1,NM18=0),1000,0)+IF($H18=1,INDEX('calcA'!$D$180:$EQ$219,$B18,127)*500,0)-IF(AND('calcA'!DY$117=1,YW18&gt;0),300,0)-IF(AND($U18=1,'calcA'!DZ$117=1,HY18=0),300,0))),1000000000))</f>
        <v/>
      </c>
      <c r="TC18">
        <f>IF($B18=0,1000000000,IF(INDEX('calcA'!$D$60:$EQ$99,$B18,128)*IF($W18=1,HY18+AEN18,HY18)=1,IF(AND($E18=2,IF($W18=1,AKC18,NN18)=0),1000000000,IF($V18=1,INDEX('calcA'!$D$130:$EQ$169,$B18,128)+IF(AND($E18=1,NN18=0),25,0),INDEX('calcA'!EA$110:EA$114,$F18+1)+IF(AND($E18=1,NN18=0),1000,0)+IF($H18=1,INDEX('calcA'!$D$180:$EQ$219,$B18,128)*500,0)-IF(AND('calcA'!DZ$117=1,YX18&gt;0),300,0)-IF(AND($U18=1,'calcA'!EA$117=1,HZ18=0),300,0))),1000000000))</f>
        <v/>
      </c>
      <c r="TD18">
        <f>IF($B18=0,1000000000,IF(INDEX('calcA'!$D$60:$EQ$99,$B18,129)*IF($W18=1,HZ18+AEO18,HZ18)=1,IF(AND($E18=2,IF($W18=1,AKD18,NO18)=0),1000000000,IF($V18=1,INDEX('calcA'!$D$130:$EQ$169,$B18,129)+IF(AND($E18=1,NO18=0),25,0),INDEX('calcA'!EB$110:EB$114,$F18+1)+IF(AND($E18=1,NO18=0),1000,0)+IF($H18=1,INDEX('calcA'!$D$180:$EQ$219,$B18,129)*500,0)-IF(AND('calcA'!EA$117=1,YY18&gt;0),300,0)-IF(AND($U18=1,'calcA'!EB$117=1,IA18=0),300,0))),1000000000))</f>
        <v/>
      </c>
      <c r="TE18">
        <f>IF($B18=0,1000000000,IF(INDEX('calcA'!$D$60:$EQ$99,$B18,130)*IF($W18=1,IA18+AEP18,IA18)=1,IF(AND($E18=2,IF($W18=1,AKE18,NP18)=0),1000000000,IF($V18=1,INDEX('calcA'!$D$130:$EQ$169,$B18,130)+IF(AND($E18=1,NP18=0),25,0),INDEX('calcA'!EC$110:EC$114,$F18+1)+IF(AND($E18=1,NP18=0),1000,0)+IF($H18=1,INDEX('calcA'!$D$180:$EQ$219,$B18,130)*500,0)-IF(AND('calcA'!EB$117=1,YZ18&gt;0),300,0)-IF(AND($U18=1,'calcA'!EC$117=1,IB18=0),300,0))),1000000000))</f>
        <v/>
      </c>
      <c r="TF18">
        <f>IF($B18=0,1000000000,IF(INDEX('calcA'!$D$60:$EQ$99,$B18,131)*IF($W18=1,IB18+AEQ18,IB18)=1,IF(AND($E18=2,IF($W18=1,AKF18,NQ18)=0),1000000000,IF($V18=1,INDEX('calcA'!$D$130:$EQ$169,$B18,131)+IF(AND($E18=1,NQ18=0),25,0),INDEX('calcA'!ED$110:ED$114,$F18+1)+IF(AND($E18=1,NQ18=0),1000,0)+IF($H18=1,INDEX('calcA'!$D$180:$EQ$219,$B18,131)*500,0)-IF(AND('calcA'!EC$117=1,ZA18&gt;0),300,0)-IF(AND($U18=1,'calcA'!ED$117=1,IC18=0),300,0))),1000000000))</f>
        <v/>
      </c>
      <c r="TG18">
        <f>IF($B18=0,1000000000,IF(INDEX('calcA'!$D$60:$EQ$99,$B18,132)*IF($W18=1,IC18+AER18,IC18)=1,IF(AND($E18=2,IF($W18=1,AKG18,NR18)=0),1000000000,IF($V18=1,INDEX('calcA'!$D$130:$EQ$169,$B18,132)+IF(AND($E18=1,NR18=0),25,0),INDEX('calcA'!EE$110:EE$114,$F18+1)+IF(AND($E18=1,NR18=0),1000,0)+IF($H18=1,INDEX('calcA'!$D$180:$EQ$219,$B18,132)*500,0)-IF(AND('calcA'!ED$117=1,ZB18&gt;0),300,0)-IF(AND($U18=1,'calcA'!EE$117=1,ID18=0),300,0))),1000000000))</f>
        <v/>
      </c>
      <c r="TH18">
        <f>IF($B18=0,1000000000,IF(INDEX('calcA'!$D$60:$EQ$99,$B18,133)*IF($W18=1,ID18+AES18,ID18)=1,IF(AND($E18=2,IF($W18=1,AKH18,NS18)=0),1000000000,IF($V18=1,INDEX('calcA'!$D$130:$EQ$169,$B18,133)+IF(AND($E18=1,NS18=0),25,0),INDEX('calcA'!EF$110:EF$114,$F18+1)+IF(AND($E18=1,NS18=0),1000,0)+IF($H18=1,INDEX('calcA'!$D$180:$EQ$219,$B18,133)*500,0)-IF(AND('calcA'!EE$117=1,ZC18&gt;0),300,0)-IF(AND($U18=1,'calcA'!EF$117=1,IE18=0),300,0))),1000000000))</f>
        <v/>
      </c>
      <c r="TI18">
        <f>IF($B18=0,1000000000,IF(INDEX('calcA'!$D$60:$EQ$99,$B18,134)*IF($W18=1,IE18+AET18,IE18)=1,IF(AND($E18=2,IF($W18=1,AKI18,NT18)=0),1000000000,IF($V18=1,INDEX('calcA'!$D$130:$EQ$169,$B18,134)+IF(AND($E18=1,NT18=0),25,0),INDEX('calcA'!EG$110:EG$114,$F18+1)+IF(AND($E18=1,NT18=0),1000,0)+IF($H18=1,INDEX('calcA'!$D$180:$EQ$219,$B18,134)*500,0)-IF(AND('calcA'!EF$117=1,ZD18&gt;0),300,0)-IF(AND($U18=1,'calcA'!EG$117=1,IF18=0),300,0))),1000000000))</f>
        <v/>
      </c>
      <c r="TJ18">
        <f>IF($B18=0,1000000000,IF(INDEX('calcA'!$D$60:$EQ$99,$B18,135)*IF($W18=1,IF18+AEU18,IF18)=1,IF(AND($E18=2,IF($W18=1,AKJ18,NU18)=0),1000000000,IF($V18=1,INDEX('calcA'!$D$130:$EQ$169,$B18,135)+IF(AND($E18=1,NU18=0),25,0),INDEX('calcA'!EH$110:EH$114,$F18+1)+IF(AND($E18=1,NU18=0),1000,0)+IF($H18=1,INDEX('calcA'!$D$180:$EQ$219,$B18,135)*500,0)-IF(AND('calcA'!EG$117=1,ZE18&gt;0),300,0)-IF(AND($U18=1,'calcA'!EH$117=1,IG18=0),300,0))),1000000000))</f>
        <v/>
      </c>
      <c r="TK18">
        <f>IF($B18=0,1000000000,IF(INDEX('calcA'!$D$60:$EQ$99,$B18,136)*IF($W18=1,IG18+AEV18,IG18)=1,IF(AND($E18=2,IF($W18=1,AKK18,NV18)=0),1000000000,IF($V18=1,INDEX('calcA'!$D$130:$EQ$169,$B18,136)+IF(AND($E18=1,NV18=0),25,0),INDEX('calcA'!EI$110:EI$114,$F18+1)+IF(AND($E18=1,NV18=0),1000,0)+IF($H18=1,INDEX('calcA'!$D$180:$EQ$219,$B18,136)*500,0)-IF(AND('calcA'!EH$117=1,ZF18&gt;0),300,0)-IF(AND($U18=1,'calcA'!EI$117=1,IH18=0),300,0))),1000000000))</f>
        <v/>
      </c>
      <c r="TL18">
        <f>IF($B18=0,1000000000,IF(INDEX('calcA'!$D$60:$EQ$99,$B18,137)*IF($W18=1,IH18+AEW18,IH18)=1,IF(AND($E18=2,IF($W18=1,AKL18,NW18)=0),1000000000,IF($V18=1,INDEX('calcA'!$D$130:$EQ$169,$B18,137)+IF(AND($E18=1,NW18=0),25,0),INDEX('calcA'!EJ$110:EJ$114,$F18+1)+IF(AND($E18=1,NW18=0),1000,0)+IF($H18=1,INDEX('calcA'!$D$180:$EQ$219,$B18,137)*500,0)-IF(AND('calcA'!EI$117=1,ZG18&gt;0),300,0)-IF(AND($U18=1,'calcA'!EJ$117=1,II18=0),300,0))),1000000000))</f>
        <v/>
      </c>
      <c r="TM18">
        <f>IF($B18=0,1000000000,IF(INDEX('calcA'!$D$60:$EQ$99,$B18,138)*IF($W18=1,II18+AEX18,II18)=1,IF(AND($E18=2,IF($W18=1,AKM18,NX18)=0),1000000000,IF($V18=1,INDEX('calcA'!$D$130:$EQ$169,$B18,138)+IF(AND($E18=1,NX18=0),25,0),INDEX('calcA'!EK$110:EK$114,$F18+1)+IF(AND($E18=1,NX18=0),1000,0)+IF($H18=1,INDEX('calcA'!$D$180:$EQ$219,$B18,138)*500,0)-IF(AND('calcA'!EJ$117=1,ZH18&gt;0),300,0)-IF(AND($U18=1,'calcA'!EK$117=1,IJ18=0),300,0))),1000000000))</f>
        <v/>
      </c>
      <c r="TN18">
        <f>IF($B18=0,1000000000,IF(INDEX('calcA'!$D$60:$EQ$99,$B18,139)*IF($W18=1,IJ18+AEY18,IJ18)=1,IF(AND($E18=2,IF($W18=1,AKN18,NY18)=0),1000000000,IF($V18=1,INDEX('calcA'!$D$130:$EQ$169,$B18,139)+IF(AND($E18=1,NY18=0),25,0),INDEX('calcA'!EL$110:EL$114,$F18+1)+IF(AND($E18=1,NY18=0),1000,0)+IF($H18=1,INDEX('calcA'!$D$180:$EQ$219,$B18,139)*500,0)-IF(AND('calcA'!EK$117=1,ZI18&gt;0),300,0)-IF(AND($U18=1,'calcA'!EL$117=1,IK18=0),300,0))),1000000000))</f>
        <v/>
      </c>
      <c r="TO18">
        <f>IF($B18=0,1000000000,IF(INDEX('calcA'!$D$60:$EQ$99,$B18,140)*IF($W18=1,IK18+AEZ18,IK18)=1,IF(AND($E18=2,IF($W18=1,AKO18,NZ18)=0),1000000000,IF($V18=1,INDEX('calcA'!$D$130:$EQ$169,$B18,140)+IF(AND($E18=1,NZ18=0),25,0),INDEX('calcA'!EM$110:EM$114,$F18+1)+IF(AND($E18=1,NZ18=0),1000,0)+IF($H18=1,INDEX('calcA'!$D$180:$EQ$219,$B18,140)*500,0)-IF(AND('calcA'!EL$117=1,ZJ18&gt;0),300,0)-IF(AND($U18=1,'calcA'!EM$117=1,IL18=0),300,0))),1000000000))</f>
        <v/>
      </c>
      <c r="TP18">
        <f>IF($B18=0,1000000000,IF(INDEX('calcA'!$D$60:$EQ$99,$B18,141)*IF($W18=1,IL18+AFA18,IL18)=1,IF(AND($E18=2,IF($W18=1,AKP18,OA18)=0),1000000000,IF($V18=1,INDEX('calcA'!$D$130:$EQ$169,$B18,141)+IF(AND($E18=1,OA18=0),25,0),INDEX('calcA'!EN$110:EN$114,$F18+1)+IF(AND($E18=1,OA18=0),1000,0)+IF($H18=1,INDEX('calcA'!$D$180:$EQ$219,$B18,141)*500,0)-IF(AND('calcA'!EM$117=1,ZK18&gt;0),300,0)-IF(AND($U18=1,'calcA'!EN$117=1,IM18=0),300,0))),1000000000))</f>
        <v/>
      </c>
      <c r="TQ18">
        <f>IF($B18=0,1000000000,IF(INDEX('calcA'!$D$60:$EQ$99,$B18,142)*IF($W18=1,IM18+AFB18,IM18)=1,IF(AND($E18=2,IF($W18=1,AKQ18,OB18)=0),1000000000,IF($V18=1,INDEX('calcA'!$D$130:$EQ$169,$B18,142)+IF(AND($E18=1,OB18=0),25,0),INDEX('calcA'!EO$110:EO$114,$F18+1)+IF(AND($E18=1,OB18=0),1000,0)+IF($H18=1,INDEX('calcA'!$D$180:$EQ$219,$B18,142)*500,0)-IF(AND('calcA'!EN$117=1,ZL18&gt;0),300,0)-IF(AND($U18=1,'calcA'!EO$117=1,IN18=0),300,0))),1000000000))</f>
        <v/>
      </c>
      <c r="TR18">
        <f>IF($B18=0,1000000000,IF(INDEX('calcA'!$D$60:$EQ$99,$B18,143)*IF($W18=1,IN18+AFC18,IN18)=1,IF(AND($E18=2,IF($W18=1,AKR18,OC18)=0),1000000000,IF($V18=1,INDEX('calcA'!$D$130:$EQ$169,$B18,143)+IF(AND($E18=1,OC18=0),25,0),INDEX('calcA'!EP$110:EP$114,$F18+1)+IF(AND($E18=1,OC18=0),1000,0)+IF($H18=1,INDEX('calcA'!$D$180:$EQ$219,$B18,143)*500,0)-IF(AND('calcA'!EO$117=1,ZM18&gt;0),300,0)-IF(AND($U18=1,'calcA'!EP$117=1,IO18=0),300,0))),1000000000))</f>
        <v/>
      </c>
      <c r="TS18">
        <f>IF($B18=0,1000000000,IF(INDEX('calcA'!$D$60:$EQ$99,$B18,144)*IF($W18=1,IO18+AFD18,IO18)=1,IF(AND($E18=2,IF($W18=1,AKS18,OD18)=0),1000000000,IF($V18=1,INDEX('calcA'!$D$130:$EQ$169,$B18,144)+IF(AND($E18=1,OD18=0),25,0),INDEX('calcA'!EQ$110:EQ$114,$F18+1)+IF(AND($E18=1,OD18=0),1000,0)+IF($H18=1,INDEX('calcA'!$D$180:$EQ$219,$B18,144)*500,0)-IF(AND('calcA'!EP$117=1,ZN18&gt;0),300,0))),1000000000))</f>
        <v/>
      </c>
      <c r="UB18">
        <f>UB17+IF(AND($C17=1,$U17=1),1,0)</f>
        <v/>
      </c>
      <c r="UC18">
        <f>UC17+IF(AND($C17=2,$U17=1),1,0)</f>
        <v/>
      </c>
      <c r="UD18">
        <f>UD17+IF(AND($C17=3,$U17=1),1,0)</f>
        <v/>
      </c>
      <c r="UE18">
        <f>UE17+IF(AND($C17=4,$U17=1),1,0)</f>
        <v/>
      </c>
      <c r="UF18">
        <f>UF17+IF(AND($C17=5,$U17=1),1,0)</f>
        <v/>
      </c>
      <c r="UG18">
        <f>UG17+IF(AND($C17=6,$U17=1),1,0)</f>
        <v/>
      </c>
      <c r="UH18">
        <f>UH17+IF(AND($C17=7,$U17=1),1,0)</f>
        <v/>
      </c>
      <c r="UI18">
        <f>UI17+IF(AND($C17=8,$U17=1),1,0)</f>
        <v/>
      </c>
      <c r="UJ18">
        <f>UJ17+IF(AND($C17=9,$U17=1),1,0)</f>
        <v/>
      </c>
      <c r="UK18">
        <f>UK17+IF(AND($C17=10,$U17=1),1,0)</f>
        <v/>
      </c>
      <c r="UL18">
        <f>UL17+IF(AND($C17=11,$U17=1),1,0)</f>
        <v/>
      </c>
      <c r="UM18">
        <f>UM17+IF(AND($C17=12,$U17=1),1,0)</f>
        <v/>
      </c>
      <c r="UN18">
        <f>UN17+IF(AND($C17=13,$U17=1),1,0)</f>
        <v/>
      </c>
      <c r="UO18">
        <f>UO17+IF(AND($C17=14,$U17=1),1,0)</f>
        <v/>
      </c>
      <c r="UP18">
        <f>UP17+IF(AND($C17=15,$U17=1),1,0)</f>
        <v/>
      </c>
      <c r="UQ18">
        <f>UQ17+IF(AND($C17=16,$U17=1),1,0)</f>
        <v/>
      </c>
      <c r="UR18">
        <f>UR17+IF(AND($C17=17,$U17=1),1,0)</f>
        <v/>
      </c>
      <c r="US18">
        <f>US17+IF(AND($C17=18,$U17=1),1,0)</f>
        <v/>
      </c>
      <c r="UT18">
        <f>UT17+IF(AND($C17=19,$U17=1),1,0)</f>
        <v/>
      </c>
      <c r="UU18">
        <f>UU17+IF(AND($C17=20,$U17=1),1,0)</f>
        <v/>
      </c>
      <c r="UV18">
        <f>UV17+IF(AND($C17=21,$U17=1),1,0)</f>
        <v/>
      </c>
      <c r="UW18">
        <f>UW17+IF(AND($C17=22,$U17=1),1,0)</f>
        <v/>
      </c>
      <c r="UX18">
        <f>UX17+IF(AND($C17=23,$U17=1),1,0)</f>
        <v/>
      </c>
      <c r="UY18">
        <f>UY17+IF(AND($C17=24,$U17=1),1,0)</f>
        <v/>
      </c>
      <c r="UZ18">
        <f>UZ17+IF(AND($C17=25,$U17=1),1,0)</f>
        <v/>
      </c>
      <c r="VA18">
        <f>VA17+IF(AND($C17=26,$U17=1),1,0)</f>
        <v/>
      </c>
      <c r="VB18">
        <f>VB17+IF(AND($C17=27,$U17=1),1,0)</f>
        <v/>
      </c>
      <c r="VC18">
        <f>VC17+IF(AND($C17=28,$U17=1),1,0)</f>
        <v/>
      </c>
      <c r="VD18">
        <f>VD17+IF(AND($C17=29,$U17=1),1,0)</f>
        <v/>
      </c>
      <c r="VE18">
        <f>VE17+IF(AND($C17=30,$U17=1),1,0)</f>
        <v/>
      </c>
      <c r="VF18">
        <f>VF17+IF(AND($C17=31,$U17=1),1,0)</f>
        <v/>
      </c>
      <c r="VG18">
        <f>VG17+IF(AND($C17=32,$U17=1),1,0)</f>
        <v/>
      </c>
      <c r="VH18">
        <f>VH17+IF(AND($C17=33,$U17=1),1,0)</f>
        <v/>
      </c>
      <c r="VI18">
        <f>VI17+IF(AND($C17=34,$U17=1),1,0)</f>
        <v/>
      </c>
      <c r="VJ18">
        <f>VJ17+IF(AND($C17=35,$U17=1),1,0)</f>
        <v/>
      </c>
      <c r="VK18">
        <f>VK17+IF(AND($C17=36,$U17=1),1,0)</f>
        <v/>
      </c>
      <c r="VL18">
        <f>VL17+IF(AND($C17=37,$U17=1),1,0)</f>
        <v/>
      </c>
      <c r="VM18">
        <f>VM17+IF(AND($C17=38,$U17=1),1,0)</f>
        <v/>
      </c>
      <c r="VN18">
        <f>VN17+IF(AND($C17=39,$U17=1),1,0)</f>
        <v/>
      </c>
      <c r="VO18">
        <f>VO17+IF(AND($C17=40,$U17=1),1,0)</f>
        <v/>
      </c>
      <c r="VP18">
        <f>VP17+IF(AND($C17=41,$U17=1),1,0)</f>
        <v/>
      </c>
      <c r="VQ18">
        <f>VQ17+IF(AND($C17=42,$U17=1),1,0)</f>
        <v/>
      </c>
      <c r="VR18">
        <f>VR17+IF(AND($C17=43,$U17=1),1,0)</f>
        <v/>
      </c>
      <c r="VS18">
        <f>VS17+IF(AND($C17=44,$U17=1),1,0)</f>
        <v/>
      </c>
      <c r="VT18">
        <f>VT17+IF(AND($C17=45,$U17=1),1,0)</f>
        <v/>
      </c>
      <c r="VU18">
        <f>VU17+IF(AND($C17=46,$U17=1),1,0)</f>
        <v/>
      </c>
      <c r="VV18">
        <f>VV17+IF(AND($C17=47,$U17=1),1,0)</f>
        <v/>
      </c>
      <c r="VW18">
        <f>VW17+IF(AND($C17=48,$U17=1),1,0)</f>
        <v/>
      </c>
      <c r="VX18">
        <f>VX17+IF(AND($C17=49,$U17=1),1,0)</f>
        <v/>
      </c>
      <c r="VY18">
        <f>VY17+IF(AND($C17=50,$U17=1),1,0)</f>
        <v/>
      </c>
      <c r="VZ18">
        <f>VZ17+IF(AND($C17=51,$U17=1),1,0)</f>
        <v/>
      </c>
      <c r="WA18">
        <f>WA17+IF(AND($C17=52,$U17=1),1,0)</f>
        <v/>
      </c>
      <c r="WB18">
        <f>WB17+IF(AND($C17=53,$U17=1),1,0)</f>
        <v/>
      </c>
      <c r="WC18">
        <f>WC17+IF(AND($C17=54,$U17=1),1,0)</f>
        <v/>
      </c>
      <c r="WD18">
        <f>WD17+IF(AND($C17=55,$U17=1),1,0)</f>
        <v/>
      </c>
      <c r="WE18">
        <f>WE17+IF(AND($C17=56,$U17=1),1,0)</f>
        <v/>
      </c>
      <c r="WF18">
        <f>WF17+IF(AND($C17=57,$U17=1),1,0)</f>
        <v/>
      </c>
      <c r="WG18">
        <f>WG17+IF(AND($C17=58,$U17=1),1,0)</f>
        <v/>
      </c>
      <c r="WH18">
        <f>WH17+IF(AND($C17=59,$U17=1),1,0)</f>
        <v/>
      </c>
      <c r="WI18">
        <f>WI17+IF(AND($C17=60,$U17=1),1,0)</f>
        <v/>
      </c>
      <c r="WJ18">
        <f>WJ17+IF(AND($C17=61,$U17=1),1,0)</f>
        <v/>
      </c>
      <c r="WK18">
        <f>WK17+IF(AND($C17=62,$U17=1),1,0)</f>
        <v/>
      </c>
      <c r="WL18">
        <f>WL17+IF(AND($C17=63,$U17=1),1,0)</f>
        <v/>
      </c>
      <c r="WM18">
        <f>WM17+IF(AND($C17=64,$U17=1),1,0)</f>
        <v/>
      </c>
      <c r="WN18">
        <f>WN17+IF(AND($C17=65,$U17=1),1,0)</f>
        <v/>
      </c>
      <c r="WO18">
        <f>WO17+IF(AND($C17=66,$U17=1),1,0)</f>
        <v/>
      </c>
      <c r="WP18">
        <f>WP17+IF(AND($C17=67,$U17=1),1,0)</f>
        <v/>
      </c>
      <c r="WQ18">
        <f>WQ17+IF(AND($C17=68,$U17=1),1,0)</f>
        <v/>
      </c>
      <c r="WR18">
        <f>WR17+IF(AND($C17=69,$U17=1),1,0)</f>
        <v/>
      </c>
      <c r="WS18">
        <f>WS17+IF(AND($C17=70,$U17=1),1,0)</f>
        <v/>
      </c>
      <c r="WT18">
        <f>WT17+IF(AND($C17=71,$U17=1),1,0)</f>
        <v/>
      </c>
      <c r="WU18">
        <f>WU17+IF(AND($C17=72,$U17=1),1,0)</f>
        <v/>
      </c>
      <c r="WV18">
        <f>WV17+IF(AND($C17=73,$U17=1),1,0)</f>
        <v/>
      </c>
      <c r="WW18">
        <f>WW17+IF(AND($C17=74,$U17=1),1,0)</f>
        <v/>
      </c>
      <c r="WX18">
        <f>WX17+IF(AND($C17=75,$U17=1),1,0)</f>
        <v/>
      </c>
      <c r="WY18">
        <f>WY17+IF(AND($C17=76,$U17=1),1,0)</f>
        <v/>
      </c>
      <c r="WZ18">
        <f>WZ17+IF(AND($C17=77,$U17=1),1,0)</f>
        <v/>
      </c>
      <c r="XA18">
        <f>XA17+IF(AND($C17=78,$U17=1),1,0)</f>
        <v/>
      </c>
      <c r="XB18">
        <f>XB17+IF(AND($C17=79,$U17=1),1,0)</f>
        <v/>
      </c>
      <c r="XC18">
        <f>XC17+IF(AND($C17=80,$U17=1),1,0)</f>
        <v/>
      </c>
      <c r="XD18">
        <f>XD17+IF(AND($C17=81,$U17=1),1,0)</f>
        <v/>
      </c>
      <c r="XE18">
        <f>XE17+IF(AND($C17=82,$U17=1),1,0)</f>
        <v/>
      </c>
      <c r="XF18">
        <f>XF17+IF(AND($C17=83,$U17=1),1,0)</f>
        <v/>
      </c>
      <c r="XG18">
        <f>XG17+IF(AND($C17=84,$U17=1),1,0)</f>
        <v/>
      </c>
      <c r="XH18">
        <f>XH17+IF(AND($C17=85,$U17=1),1,0)</f>
        <v/>
      </c>
      <c r="XI18">
        <f>XI17+IF(AND($C17=86,$U17=1),1,0)</f>
        <v/>
      </c>
      <c r="XJ18">
        <f>XJ17+IF(AND($C17=87,$U17=1),1,0)</f>
        <v/>
      </c>
      <c r="XK18">
        <f>XK17+IF(AND($C17=88,$U17=1),1,0)</f>
        <v/>
      </c>
      <c r="XL18">
        <f>XL17+IF(AND($C17=89,$U17=1),1,0)</f>
        <v/>
      </c>
      <c r="XM18">
        <f>XM17+IF(AND($C17=90,$U17=1),1,0)</f>
        <v/>
      </c>
      <c r="XN18">
        <f>XN17+IF(AND($C17=91,$U17=1),1,0)</f>
        <v/>
      </c>
      <c r="XO18">
        <f>XO17+IF(AND($C17=92,$U17=1),1,0)</f>
        <v/>
      </c>
      <c r="XP18">
        <f>XP17+IF(AND($C17=93,$U17=1),1,0)</f>
        <v/>
      </c>
      <c r="XQ18">
        <f>XQ17+IF(AND($C17=94,$U17=1),1,0)</f>
        <v/>
      </c>
      <c r="XR18">
        <f>XR17+IF(AND($C17=95,$U17=1),1,0)</f>
        <v/>
      </c>
      <c r="XS18">
        <f>XS17+IF(AND($C17=96,$U17=1),1,0)</f>
        <v/>
      </c>
      <c r="XT18">
        <f>XT17+IF(AND($C17=97,$U17=1),1,0)</f>
        <v/>
      </c>
      <c r="XU18">
        <f>XU17+IF(AND($C17=98,$U17=1),1,0)</f>
        <v/>
      </c>
      <c r="XV18">
        <f>XV17+IF(AND($C17=99,$U17=1),1,0)</f>
        <v/>
      </c>
      <c r="XW18">
        <f>XW17+IF(AND($C17=100,$U17=1),1,0)</f>
        <v/>
      </c>
      <c r="XX18">
        <f>XX17+IF(AND($C17=101,$U17=1),1,0)</f>
        <v/>
      </c>
      <c r="XY18">
        <f>XY17+IF(AND($C17=102,$U17=1),1,0)</f>
        <v/>
      </c>
      <c r="XZ18">
        <f>XZ17+IF(AND($C17=103,$U17=1),1,0)</f>
        <v/>
      </c>
      <c r="YA18">
        <f>YA17+IF(AND($C17=104,$U17=1),1,0)</f>
        <v/>
      </c>
      <c r="YB18">
        <f>YB17+IF(AND($C17=105,$U17=1),1,0)</f>
        <v/>
      </c>
      <c r="YC18">
        <f>YC17+IF(AND($C17=106,$U17=1),1,0)</f>
        <v/>
      </c>
      <c r="YD18">
        <f>YD17+IF(AND($C17=107,$U17=1),1,0)</f>
        <v/>
      </c>
      <c r="YE18">
        <f>YE17+IF(AND($C17=108,$U17=1),1,0)</f>
        <v/>
      </c>
      <c r="YF18">
        <f>YF17+IF(AND($C17=109,$U17=1),1,0)</f>
        <v/>
      </c>
      <c r="YG18">
        <f>YG17+IF(AND($C17=110,$U17=1),1,0)</f>
        <v/>
      </c>
      <c r="YH18">
        <f>YH17+IF(AND($C17=111,$U17=1),1,0)</f>
        <v/>
      </c>
      <c r="YI18">
        <f>YI17+IF(AND($C17=112,$U17=1),1,0)</f>
        <v/>
      </c>
      <c r="YJ18">
        <f>YJ17+IF(AND($C17=113,$U17=1),1,0)</f>
        <v/>
      </c>
      <c r="YK18">
        <f>YK17+IF(AND($C17=114,$U17=1),1,0)</f>
        <v/>
      </c>
      <c r="YL18">
        <f>YL17+IF(AND($C17=115,$U17=1),1,0)</f>
        <v/>
      </c>
      <c r="YM18">
        <f>YM17+IF(AND($C17=116,$U17=1),1,0)</f>
        <v/>
      </c>
      <c r="YN18">
        <f>YN17+IF(AND($C17=117,$U17=1),1,0)</f>
        <v/>
      </c>
      <c r="YO18">
        <f>YO17+IF(AND($C17=118,$U17=1),1,0)</f>
        <v/>
      </c>
      <c r="YP18">
        <f>YP17+IF(AND($C17=119,$U17=1),1,0)</f>
        <v/>
      </c>
      <c r="YQ18">
        <f>YQ17+IF(AND($C17=120,$U17=1),1,0)</f>
        <v/>
      </c>
      <c r="YR18">
        <f>YR17+IF(AND($C17=121,$U17=1),1,0)</f>
        <v/>
      </c>
      <c r="YS18">
        <f>YS17+IF(AND($C17=122,$U17=1),1,0)</f>
        <v/>
      </c>
      <c r="YT18">
        <f>YT17+IF(AND($C17=123,$U17=1),1,0)</f>
        <v/>
      </c>
      <c r="YU18">
        <f>YU17+IF(AND($C17=124,$U17=1),1,0)</f>
        <v/>
      </c>
      <c r="YV18">
        <f>YV17+IF(AND($C17=125,$U17=1),1,0)</f>
        <v/>
      </c>
      <c r="YW18">
        <f>YW17+IF(AND($C17=126,$U17=1),1,0)</f>
        <v/>
      </c>
      <c r="YX18">
        <f>YX17+IF(AND($C17=127,$U17=1),1,0)</f>
        <v/>
      </c>
      <c r="YY18">
        <f>YY17+IF(AND($C17=128,$U17=1),1,0)</f>
        <v/>
      </c>
      <c r="YZ18">
        <f>YZ17+IF(AND($C17=129,$U17=1),1,0)</f>
        <v/>
      </c>
      <c r="ZA18">
        <f>ZA17+IF(AND($C17=130,$U17=1),1,0)</f>
        <v/>
      </c>
      <c r="ZB18">
        <f>ZB17+IF(AND($C17=131,$U17=1),1,0)</f>
        <v/>
      </c>
      <c r="ZC18">
        <f>ZC17+IF(AND($C17=132,$U17=1),1,0)</f>
        <v/>
      </c>
      <c r="ZD18">
        <f>ZD17+IF(AND($C17=133,$U17=1),1,0)</f>
        <v/>
      </c>
      <c r="ZE18">
        <f>ZE17+IF(AND($C17=134,$U17=1),1,0)</f>
        <v/>
      </c>
      <c r="ZF18">
        <f>ZF17+IF(AND($C17=135,$U17=1),1,0)</f>
        <v/>
      </c>
      <c r="ZG18">
        <f>ZG17+IF(AND($C17=136,$U17=1),1,0)</f>
        <v/>
      </c>
      <c r="ZH18">
        <f>ZH17+IF(AND($C17=137,$U17=1),1,0)</f>
        <v/>
      </c>
      <c r="ZI18">
        <f>ZI17+IF(AND($C17=138,$U17=1),1,0)</f>
        <v/>
      </c>
      <c r="ZJ18">
        <f>ZJ17+IF(AND($C17=139,$U17=1),1,0)</f>
        <v/>
      </c>
      <c r="ZK18">
        <f>ZK17+IF(AND($C17=140,$U17=1),1,0)</f>
        <v/>
      </c>
      <c r="ZL18">
        <f>ZL17+IF(AND($C17=141,$U17=1),1,0)</f>
        <v/>
      </c>
      <c r="ZM18">
        <f>ZM17+IF(AND($C17=142,$U17=1),1,0)</f>
        <v/>
      </c>
      <c r="ZN18">
        <f>ZN17+IF(AND($C17=143,$U17=1),1,0)</f>
        <v/>
      </c>
      <c r="ZO18">
        <f>ZO17+IF(AND($C17=144,$U17=1),1,0)</f>
        <v/>
      </c>
      <c r="ZQ18">
        <f>IF($C17=1,0,ZQ17+IF(AND($G17=1,$E17=1),1,0))</f>
        <v/>
      </c>
      <c r="ZR18">
        <f>IF($C17=2,0,ZR17+IF(AND($G17=2,$E17=1),1,0))</f>
        <v/>
      </c>
      <c r="ZS18">
        <f>IF($C17=3,0,ZS17+IF(AND($G17=3,$E17=1),1,0))</f>
        <v/>
      </c>
      <c r="ZT18">
        <f>IF($C17=4,0,ZT17+IF(AND($G17=4,$E17=1),1,0))</f>
        <v/>
      </c>
      <c r="ZU18">
        <f>IF($C17=5,0,ZU17+IF(AND($G17=5,$E17=1),1,0))</f>
        <v/>
      </c>
      <c r="ZV18">
        <f>IF($C17=6,0,ZV17+IF(AND($G17=6,$E17=1),1,0))</f>
        <v/>
      </c>
      <c r="ZW18">
        <f>IF($C17=7,0,ZW17+IF(AND($G17=7,$E17=1),1,0))</f>
        <v/>
      </c>
      <c r="ZX18">
        <f>IF($C17=8,0,ZX17+IF(AND($G17=8,$E17=1),1,0))</f>
        <v/>
      </c>
      <c r="ZY18">
        <f>IF($C17=9,0,ZY17+IF(AND($G17=9,$E17=1),1,0))</f>
        <v/>
      </c>
      <c r="ZZ18">
        <f>IF($C17=10,0,ZZ17+IF(AND($G17=10,$E17=1),1,0))</f>
        <v/>
      </c>
      <c r="AAA18">
        <f>IF($C17=11,0,AAA17+IF(AND($G17=11,$E17=1),1,0))</f>
        <v/>
      </c>
      <c r="AAB18">
        <f>IF($C17=12,0,AAB17+IF(AND($G17=12,$E17=1),1,0))</f>
        <v/>
      </c>
      <c r="AAC18">
        <f>IF($C17=13,0,AAC17+IF(AND($G17=13,$E17=1),1,0))</f>
        <v/>
      </c>
      <c r="AAD18">
        <f>IF($C17=14,0,AAD17+IF(AND($G17=14,$E17=1),1,0))</f>
        <v/>
      </c>
      <c r="AAE18">
        <f>IF($C17=15,0,AAE17+IF(AND($G17=15,$E17=1),1,0))</f>
        <v/>
      </c>
      <c r="AAF18">
        <f>IF($C17=16,0,AAF17+IF(AND($G17=16,$E17=1),1,0))</f>
        <v/>
      </c>
      <c r="AAG18">
        <f>IF($C17=17,0,AAG17+IF(AND($G17=17,$E17=1),1,0))</f>
        <v/>
      </c>
      <c r="AAH18">
        <f>IF($C17=18,0,AAH17+IF(AND($G17=18,$E17=1),1,0))</f>
        <v/>
      </c>
      <c r="AAI18">
        <f>IF($C17=19,0,AAI17+IF(AND($G17=19,$E17=1),1,0))</f>
        <v/>
      </c>
      <c r="AAJ18">
        <f>IF($C17=20,0,AAJ17+IF(AND($G17=20,$E17=1),1,0))</f>
        <v/>
      </c>
      <c r="AAK18">
        <f>IF($C17=21,0,AAK17+IF(AND($G17=21,$E17=1),1,0))</f>
        <v/>
      </c>
      <c r="AAL18">
        <f>IF($C17=22,0,AAL17+IF(AND($G17=22,$E17=1),1,0))</f>
        <v/>
      </c>
      <c r="AAM18">
        <f>IF($C17=23,0,AAM17+IF(AND($G17=23,$E17=1),1,0))</f>
        <v/>
      </c>
      <c r="AAN18">
        <f>IF($C17=24,0,AAN17+IF(AND($G17=24,$E17=1),1,0))</f>
        <v/>
      </c>
      <c r="AAO18">
        <f>IF($C17=25,0,AAO17+IF(AND($G17=25,$E17=1),1,0))</f>
        <v/>
      </c>
      <c r="AAP18">
        <f>IF($C17=26,0,AAP17+IF(AND($G17=26,$E17=1),1,0))</f>
        <v/>
      </c>
      <c r="AAQ18">
        <f>IF($C17=27,0,AAQ17+IF(AND($G17=27,$E17=1),1,0))</f>
        <v/>
      </c>
      <c r="AAR18">
        <f>IF($C17=28,0,AAR17+IF(AND($G17=28,$E17=1),1,0))</f>
        <v/>
      </c>
      <c r="AAS18">
        <f>IF($C17=29,0,AAS17+IF(AND($G17=29,$E17=1),1,0))</f>
        <v/>
      </c>
      <c r="AAT18">
        <f>IF($C17=30,0,AAT17+IF(AND($G17=30,$E17=1),1,0))</f>
        <v/>
      </c>
      <c r="AAU18">
        <f>IF($C17=31,0,AAU17+IF(AND($G17=31,$E17=1),1,0))</f>
        <v/>
      </c>
      <c r="AAV18">
        <f>IF($C17=32,0,AAV17+IF(AND($G17=32,$E17=1),1,0))</f>
        <v/>
      </c>
      <c r="AAW18">
        <f>IF($C17=33,0,AAW17+IF(AND($G17=33,$E17=1),1,0))</f>
        <v/>
      </c>
      <c r="AAX18">
        <f>IF($C17=34,0,AAX17+IF(AND($G17=34,$E17=1),1,0))</f>
        <v/>
      </c>
      <c r="AAY18">
        <f>IF($C17=35,0,AAY17+IF(AND($G17=35,$E17=1),1,0))</f>
        <v/>
      </c>
      <c r="AAZ18">
        <f>IF($C17=36,0,AAZ17+IF(AND($G17=36,$E17=1),1,0))</f>
        <v/>
      </c>
      <c r="ABA18">
        <f>IF($C17=37,0,ABA17+IF(AND($G17=37,$E17=1),1,0))</f>
        <v/>
      </c>
      <c r="ABB18">
        <f>IF($C17=38,0,ABB17+IF(AND($G17=38,$E17=1),1,0))</f>
        <v/>
      </c>
      <c r="ABC18">
        <f>IF($C17=39,0,ABC17+IF(AND($G17=39,$E17=1),1,0))</f>
        <v/>
      </c>
      <c r="ABD18">
        <f>IF($C17=40,0,ABD17+IF(AND($G17=40,$E17=1),1,0))</f>
        <v/>
      </c>
      <c r="ABE18">
        <f>IF($C17=41,0,ABE17+IF(AND($G17=41,$E17=1),1,0))</f>
        <v/>
      </c>
      <c r="ABF18">
        <f>IF($C17=42,0,ABF17+IF(AND($G17=42,$E17=1),1,0))</f>
        <v/>
      </c>
      <c r="ABG18">
        <f>IF($C17=43,0,ABG17+IF(AND($G17=43,$E17=1),1,0))</f>
        <v/>
      </c>
      <c r="ABH18">
        <f>IF($C17=44,0,ABH17+IF(AND($G17=44,$E17=1),1,0))</f>
        <v/>
      </c>
      <c r="ABI18">
        <f>IF($C17=45,0,ABI17+IF(AND($G17=45,$E17=1),1,0))</f>
        <v/>
      </c>
      <c r="ABJ18">
        <f>IF($C17=46,0,ABJ17+IF(AND($G17=46,$E17=1),1,0))</f>
        <v/>
      </c>
      <c r="ABK18">
        <f>IF($C17=47,0,ABK17+IF(AND($G17=47,$E17=1),1,0))</f>
        <v/>
      </c>
      <c r="ABL18">
        <f>IF($C17=48,0,ABL17+IF(AND($G17=48,$E17=1),1,0))</f>
        <v/>
      </c>
      <c r="ABM18">
        <f>IF($C17=49,0,ABM17+IF(AND($G17=49,$E17=1),1,0))</f>
        <v/>
      </c>
      <c r="ABN18">
        <f>IF($C17=50,0,ABN17+IF(AND($G17=50,$E17=1),1,0))</f>
        <v/>
      </c>
      <c r="ABO18">
        <f>IF($C17=51,0,ABO17+IF(AND($G17=51,$E17=1),1,0))</f>
        <v/>
      </c>
      <c r="ABP18">
        <f>IF($C17=52,0,ABP17+IF(AND($G17=52,$E17=1),1,0))</f>
        <v/>
      </c>
      <c r="ABQ18">
        <f>IF($C17=53,0,ABQ17+IF(AND($G17=53,$E17=1),1,0))</f>
        <v/>
      </c>
      <c r="ABR18">
        <f>IF($C17=54,0,ABR17+IF(AND($G17=54,$E17=1),1,0))</f>
        <v/>
      </c>
      <c r="ABS18">
        <f>IF($C17=55,0,ABS17+IF(AND($G17=55,$E17=1),1,0))</f>
        <v/>
      </c>
      <c r="ABT18">
        <f>IF($C17=56,0,ABT17+IF(AND($G17=56,$E17=1),1,0))</f>
        <v/>
      </c>
      <c r="ABU18">
        <f>IF($C17=57,0,ABU17+IF(AND($G17=57,$E17=1),1,0))</f>
        <v/>
      </c>
      <c r="ABV18">
        <f>IF($C17=58,0,ABV17+IF(AND($G17=58,$E17=1),1,0))</f>
        <v/>
      </c>
      <c r="ABW18">
        <f>IF($C17=59,0,ABW17+IF(AND($G17=59,$E17=1),1,0))</f>
        <v/>
      </c>
      <c r="ABX18">
        <f>IF($C17=60,0,ABX17+IF(AND($G17=60,$E17=1),1,0))</f>
        <v/>
      </c>
      <c r="ABY18">
        <f>IF($C17=61,0,ABY17+IF(AND($G17=61,$E17=1),1,0))</f>
        <v/>
      </c>
      <c r="ABZ18">
        <f>IF($C17=62,0,ABZ17+IF(AND($G17=62,$E17=1),1,0))</f>
        <v/>
      </c>
      <c r="ACA18">
        <f>IF($C17=63,0,ACA17+IF(AND($G17=63,$E17=1),1,0))</f>
        <v/>
      </c>
      <c r="ACB18">
        <f>IF($C17=64,0,ACB17+IF(AND($G17=64,$E17=1),1,0))</f>
        <v/>
      </c>
      <c r="ACC18">
        <f>IF($C17=65,0,ACC17+IF(AND($G17=65,$E17=1),1,0))</f>
        <v/>
      </c>
      <c r="ACD18">
        <f>IF($C17=66,0,ACD17+IF(AND($G17=66,$E17=1),1,0))</f>
        <v/>
      </c>
      <c r="ACE18">
        <f>IF($C17=67,0,ACE17+IF(AND($G17=67,$E17=1),1,0))</f>
        <v/>
      </c>
      <c r="ACF18">
        <f>IF($C17=68,0,ACF17+IF(AND($G17=68,$E17=1),1,0))</f>
        <v/>
      </c>
      <c r="ACG18">
        <f>IF($C17=69,0,ACG17+IF(AND($G17=69,$E17=1),1,0))</f>
        <v/>
      </c>
      <c r="ACH18">
        <f>IF($C17=70,0,ACH17+IF(AND($G17=70,$E17=1),1,0))</f>
        <v/>
      </c>
      <c r="ACI18">
        <f>IF($C17=71,0,ACI17+IF(AND($G17=71,$E17=1),1,0))</f>
        <v/>
      </c>
      <c r="ACJ18">
        <f>IF($C17=72,0,ACJ17+IF(AND($G17=72,$E17=1),1,0))</f>
        <v/>
      </c>
      <c r="ACK18">
        <f>IF($C17=73,0,ACK17+IF(AND($G17=73,$E17=1),1,0))</f>
        <v/>
      </c>
      <c r="ACL18">
        <f>IF($C17=74,0,ACL17+IF(AND($G17=74,$E17=1),1,0))</f>
        <v/>
      </c>
      <c r="ACM18">
        <f>IF($C17=75,0,ACM17+IF(AND($G17=75,$E17=1),1,0))</f>
        <v/>
      </c>
      <c r="ACN18">
        <f>IF($C17=76,0,ACN17+IF(AND($G17=76,$E17=1),1,0))</f>
        <v/>
      </c>
      <c r="ACO18">
        <f>IF($C17=77,0,ACO17+IF(AND($G17=77,$E17=1),1,0))</f>
        <v/>
      </c>
      <c r="ACP18">
        <f>IF($C17=78,0,ACP17+IF(AND($G17=78,$E17=1),1,0))</f>
        <v/>
      </c>
      <c r="ACQ18">
        <f>IF($C17=79,0,ACQ17+IF(AND($G17=79,$E17=1),1,0))</f>
        <v/>
      </c>
      <c r="ACR18">
        <f>IF($C17=80,0,ACR17+IF(AND($G17=80,$E17=1),1,0))</f>
        <v/>
      </c>
      <c r="ACS18">
        <f>IF($C17=81,0,ACS17+IF(AND($G17=81,$E17=1),1,0))</f>
        <v/>
      </c>
      <c r="ACT18">
        <f>IF($C17=82,0,ACT17+IF(AND($G17=82,$E17=1),1,0))</f>
        <v/>
      </c>
      <c r="ACU18">
        <f>IF($C17=83,0,ACU17+IF(AND($G17=83,$E17=1),1,0))</f>
        <v/>
      </c>
      <c r="ACV18">
        <f>IF($C17=84,0,ACV17+IF(AND($G17=84,$E17=1),1,0))</f>
        <v/>
      </c>
      <c r="ACW18">
        <f>IF($C17=85,0,ACW17+IF(AND($G17=85,$E17=1),1,0))</f>
        <v/>
      </c>
      <c r="ACX18">
        <f>IF($C17=86,0,ACX17+IF(AND($G17=86,$E17=1),1,0))</f>
        <v/>
      </c>
      <c r="ACY18">
        <f>IF($C17=87,0,ACY17+IF(AND($G17=87,$E17=1),1,0))</f>
        <v/>
      </c>
      <c r="ACZ18">
        <f>IF($C17=88,0,ACZ17+IF(AND($G17=88,$E17=1),1,0))</f>
        <v/>
      </c>
      <c r="ADA18">
        <f>IF($C17=89,0,ADA17+IF(AND($G17=89,$E17=1),1,0))</f>
        <v/>
      </c>
      <c r="ADB18">
        <f>IF($C17=90,0,ADB17+IF(AND($G17=90,$E17=1),1,0))</f>
        <v/>
      </c>
      <c r="ADC18">
        <f>IF($C17=91,0,ADC17+IF(AND($G17=91,$E17=1),1,0))</f>
        <v/>
      </c>
      <c r="ADD18">
        <f>IF($C17=92,0,ADD17+IF(AND($G17=92,$E17=1),1,0))</f>
        <v/>
      </c>
      <c r="ADE18">
        <f>IF($C17=93,0,ADE17+IF(AND($G17=93,$E17=1),1,0))</f>
        <v/>
      </c>
      <c r="ADF18">
        <f>IF($C17=94,0,ADF17+IF(AND($G17=94,$E17=1),1,0))</f>
        <v/>
      </c>
      <c r="ADG18">
        <f>IF($C17=95,0,ADG17+IF(AND($G17=95,$E17=1),1,0))</f>
        <v/>
      </c>
      <c r="ADH18">
        <f>IF($C17=96,0,ADH17+IF(AND($G17=96,$E17=1),1,0))</f>
        <v/>
      </c>
      <c r="ADI18">
        <f>IF($C17=97,0,ADI17+IF(AND($G17=97,$E17=1),1,0))</f>
        <v/>
      </c>
      <c r="ADJ18">
        <f>IF($C17=98,0,ADJ17+IF(AND($G17=98,$E17=1),1,0))</f>
        <v/>
      </c>
      <c r="ADK18">
        <f>IF($C17=99,0,ADK17+IF(AND($G17=99,$E17=1),1,0))</f>
        <v/>
      </c>
      <c r="ADL18">
        <f>IF($C17=100,0,ADL17+IF(AND($G17=100,$E17=1),1,0))</f>
        <v/>
      </c>
      <c r="ADM18">
        <f>IF($C17=101,0,ADM17+IF(AND($G17=101,$E17=1),1,0))</f>
        <v/>
      </c>
      <c r="ADN18">
        <f>IF($C17=102,0,ADN17+IF(AND($G17=102,$E17=1),1,0))</f>
        <v/>
      </c>
      <c r="ADO18">
        <f>IF($C17=103,0,ADO17+IF(AND($G17=103,$E17=1),1,0))</f>
        <v/>
      </c>
      <c r="ADP18">
        <f>IF($C17=104,0,ADP17+IF(AND($G17=104,$E17=1),1,0))</f>
        <v/>
      </c>
      <c r="ADQ18">
        <f>IF($C17=105,0,ADQ17+IF(AND($G17=105,$E17=1),1,0))</f>
        <v/>
      </c>
      <c r="ADR18">
        <f>IF($C17=106,0,ADR17+IF(AND($G17=106,$E17=1),1,0))</f>
        <v/>
      </c>
      <c r="ADS18">
        <f>IF($C17=107,0,ADS17+IF(AND($G17=107,$E17=1),1,0))</f>
        <v/>
      </c>
      <c r="ADT18">
        <f>IF($C17=108,0,ADT17+IF(AND($G17=108,$E17=1),1,0))</f>
        <v/>
      </c>
      <c r="ADU18">
        <f>IF($C17=109,0,ADU17+IF(AND($G17=109,$E17=1),1,0))</f>
        <v/>
      </c>
      <c r="ADV18">
        <f>IF($C17=110,0,ADV17+IF(AND($G17=110,$E17=1),1,0))</f>
        <v/>
      </c>
      <c r="ADW18">
        <f>IF($C17=111,0,ADW17+IF(AND($G17=111,$E17=1),1,0))</f>
        <v/>
      </c>
      <c r="ADX18">
        <f>IF($C17=112,0,ADX17+IF(AND($G17=112,$E17=1),1,0))</f>
        <v/>
      </c>
      <c r="ADY18">
        <f>IF($C17=113,0,ADY17+IF(AND($G17=113,$E17=1),1,0))</f>
        <v/>
      </c>
      <c r="ADZ18">
        <f>IF($C17=114,0,ADZ17+IF(AND($G17=114,$E17=1),1,0))</f>
        <v/>
      </c>
      <c r="AEA18">
        <f>IF($C17=115,0,AEA17+IF(AND($G17=115,$E17=1),1,0))</f>
        <v/>
      </c>
      <c r="AEB18">
        <f>IF($C17=116,0,AEB17+IF(AND($G17=116,$E17=1),1,0))</f>
        <v/>
      </c>
      <c r="AEC18">
        <f>IF($C17=117,0,AEC17+IF(AND($G17=117,$E17=1),1,0))</f>
        <v/>
      </c>
      <c r="AED18">
        <f>IF($C17=118,0,AED17+IF(AND($G17=118,$E17=1),1,0))</f>
        <v/>
      </c>
      <c r="AEE18">
        <f>IF($C17=119,0,AEE17+IF(AND($G17=119,$E17=1),1,0))</f>
        <v/>
      </c>
      <c r="AEF18">
        <f>IF($C17=120,0,AEF17+IF(AND($G17=120,$E17=1),1,0))</f>
        <v/>
      </c>
      <c r="AEG18">
        <f>IF($C17=121,0,AEG17+IF(AND($G17=121,$E17=1),1,0))</f>
        <v/>
      </c>
      <c r="AEH18">
        <f>IF($C17=122,0,AEH17+IF(AND($G17=122,$E17=1),1,0))</f>
        <v/>
      </c>
      <c r="AEI18">
        <f>IF($C17=123,0,AEI17+IF(AND($G17=123,$E17=1),1,0))</f>
        <v/>
      </c>
      <c r="AEJ18">
        <f>IF($C17=124,0,AEJ17+IF(AND($G17=124,$E17=1),1,0))</f>
        <v/>
      </c>
      <c r="AEK18">
        <f>IF($C17=125,0,AEK17+IF(AND($G17=125,$E17=1),1,0))</f>
        <v/>
      </c>
      <c r="AEL18">
        <f>IF($C17=126,0,AEL17+IF(AND($G17=126,$E17=1),1,0))</f>
        <v/>
      </c>
      <c r="AEM18">
        <f>IF($C17=127,0,AEM17+IF(AND($G17=127,$E17=1),1,0))</f>
        <v/>
      </c>
      <c r="AEN18">
        <f>IF($C17=128,0,AEN17+IF(AND($G17=128,$E17=1),1,0))</f>
        <v/>
      </c>
      <c r="AEO18">
        <f>IF($C17=129,0,AEO17+IF(AND($G17=129,$E17=1),1,0))</f>
        <v/>
      </c>
      <c r="AEP18">
        <f>IF($C17=130,0,AEP17+IF(AND($G17=130,$E17=1),1,0))</f>
        <v/>
      </c>
      <c r="AEQ18">
        <f>IF($C17=131,0,AEQ17+IF(AND($G17=131,$E17=1),1,0))</f>
        <v/>
      </c>
      <c r="AER18">
        <f>IF($C17=132,0,AER17+IF(AND($G17=132,$E17=1),1,0))</f>
        <v/>
      </c>
      <c r="AES18">
        <f>IF($C17=133,0,AES17+IF(AND($G17=133,$E17=1),1,0))</f>
        <v/>
      </c>
      <c r="AET18">
        <f>IF($C17=134,0,AET17+IF(AND($G17=134,$E17=1),1,0))</f>
        <v/>
      </c>
      <c r="AEU18">
        <f>IF($C17=135,0,AEU17+IF(AND($G17=135,$E17=1),1,0))</f>
        <v/>
      </c>
      <c r="AEV18">
        <f>IF($C17=136,0,AEV17+IF(AND($G17=136,$E17=1),1,0))</f>
        <v/>
      </c>
      <c r="AEW18">
        <f>IF($C17=137,0,AEW17+IF(AND($G17=137,$E17=1),1,0))</f>
        <v/>
      </c>
      <c r="AEX18">
        <f>IF($C17=138,0,AEX17+IF(AND($G17=138,$E17=1),1,0))</f>
        <v/>
      </c>
      <c r="AEY18">
        <f>IF($C17=139,0,AEY17+IF(AND($G17=139,$E17=1),1,0))</f>
        <v/>
      </c>
      <c r="AEZ18">
        <f>IF($C17=140,0,AEZ17+IF(AND($G17=140,$E17=1),1,0))</f>
        <v/>
      </c>
      <c r="AFA18">
        <f>IF($C17=141,0,AFA17+IF(AND($G17=141,$E17=1),1,0))</f>
        <v/>
      </c>
      <c r="AFB18">
        <f>IF($C17=142,0,AFB17+IF(AND($G17=142,$E17=1),1,0))</f>
        <v/>
      </c>
      <c r="AFC18">
        <f>IF($C17=143,0,AFC17+IF(AND($G17=143,$E17=1),1,0))</f>
        <v/>
      </c>
      <c r="AFD18">
        <f>IF($C17=144,0,AFD17+IF(AND($G17=144,$E17=1),1,0))</f>
        <v/>
      </c>
      <c r="AFF18">
        <f>IF('calcA'!D$106=1,DC18+ZR18,1)</f>
        <v/>
      </c>
      <c r="AFG18">
        <f>IF('calcA'!E$106=1,DD18+ZS18,1)</f>
        <v/>
      </c>
      <c r="AFH18">
        <f>IF('calcA'!F$106=1,DE18+ZT18,1)</f>
        <v/>
      </c>
      <c r="AFI18">
        <f>IF('calcA'!G$106=1,DF18+ZU18,1)</f>
        <v/>
      </c>
      <c r="AFJ18">
        <f>IF('calcA'!H$106=1,DG18+ZV18,1)</f>
        <v/>
      </c>
      <c r="AFK18">
        <f>IF('calcA'!I$106=1,DH18+ZW18,1)</f>
        <v/>
      </c>
      <c r="AFL18">
        <f>IF('calcA'!J$106=1,DI18+ZX18,1)</f>
        <v/>
      </c>
      <c r="AFM18">
        <f>IF('calcA'!K$106=1,DJ18+ZY18,1)</f>
        <v/>
      </c>
      <c r="AFN18">
        <f>IF('calcA'!L$106=1,DK18+ZZ18,1)</f>
        <v/>
      </c>
      <c r="AFO18">
        <f>IF('calcA'!M$106=1,DL18+AAA18,1)</f>
        <v/>
      </c>
      <c r="AFP18">
        <f>IF('calcA'!N$106=1,DM18+AAB18,1)</f>
        <v/>
      </c>
      <c r="AFQ18">
        <f>IF('calcA'!O$106=1,DN18+AAC18,1)</f>
        <v/>
      </c>
      <c r="AFR18">
        <f>IF('calcA'!P$106=1,DO18+AAD18,1)</f>
        <v/>
      </c>
      <c r="AFS18">
        <f>IF('calcA'!Q$106=1,DP18+AAE18,1)</f>
        <v/>
      </c>
      <c r="AFT18">
        <f>IF('calcA'!R$106=1,DQ18+AAF18,1)</f>
        <v/>
      </c>
      <c r="AFU18">
        <f>IF('calcA'!S$106=1,DR18+AAG18,1)</f>
        <v/>
      </c>
      <c r="AFV18">
        <f>IF('calcA'!T$106=1,DS18+AAH18,1)</f>
        <v/>
      </c>
      <c r="AFW18">
        <f>IF('calcA'!U$106=1,DT18+AAI18,1)</f>
        <v/>
      </c>
      <c r="AFX18">
        <f>IF('calcA'!V$106=1,DU18+AAJ18,1)</f>
        <v/>
      </c>
      <c r="AFY18">
        <f>IF('calcA'!W$106=1,DV18+AAK18,1)</f>
        <v/>
      </c>
      <c r="AFZ18">
        <f>IF('calcA'!X$106=1,DW18+AAL18,1)</f>
        <v/>
      </c>
      <c r="AGA18">
        <f>IF('calcA'!Y$106=1,DX18+AAM18,1)</f>
        <v/>
      </c>
      <c r="AGB18">
        <f>IF('calcA'!Z$106=1,DY18+AAN18,1)</f>
        <v/>
      </c>
      <c r="AGC18">
        <f>IF('calcA'!AA$106=1,DZ18+AAO18,1)</f>
        <v/>
      </c>
      <c r="AGD18">
        <f>IF('calcA'!AB$106=1,EA18+AAP18,1)</f>
        <v/>
      </c>
      <c r="AGE18">
        <f>IF('calcA'!AC$106=1,EB18+AAQ18,1)</f>
        <v/>
      </c>
      <c r="AGF18">
        <f>IF('calcA'!AD$106=1,EC18+AAR18,1)</f>
        <v/>
      </c>
      <c r="AGG18">
        <f>IF('calcA'!AE$106=1,ED18+AAS18,1)</f>
        <v/>
      </c>
      <c r="AGH18">
        <f>IF('calcA'!AF$106=1,EE18+AAT18,1)</f>
        <v/>
      </c>
      <c r="AGI18">
        <f>IF('calcA'!AG$106=1,EF18+AAU18,1)</f>
        <v/>
      </c>
      <c r="AGJ18">
        <f>IF('calcA'!AH$106=1,EG18+AAV18,1)</f>
        <v/>
      </c>
      <c r="AGK18">
        <f>IF('calcA'!AI$106=1,EH18+AAW18,1)</f>
        <v/>
      </c>
      <c r="AGL18">
        <f>IF('calcA'!AJ$106=1,EI18+AAX18,1)</f>
        <v/>
      </c>
      <c r="AGM18">
        <f>IF('calcA'!AK$106=1,EJ18+AAY18,1)</f>
        <v/>
      </c>
      <c r="AGN18">
        <f>IF('calcA'!AL$106=1,EK18+AAZ18,1)</f>
        <v/>
      </c>
      <c r="AGO18">
        <f>IF('calcA'!AM$106=1,EL18+ABA18,1)</f>
        <v/>
      </c>
      <c r="AGP18">
        <f>IF('calcA'!AN$106=1,EM18+ABB18,1)</f>
        <v/>
      </c>
      <c r="AGQ18">
        <f>IF('calcA'!AO$106=1,EN18+ABC18,1)</f>
        <v/>
      </c>
      <c r="AGR18">
        <f>IF('calcA'!AP$106=1,EO18+ABD18,1)</f>
        <v/>
      </c>
      <c r="AGS18">
        <f>IF('calcA'!AQ$106=1,EP18+ABE18,1)</f>
        <v/>
      </c>
      <c r="AGT18">
        <f>IF('calcA'!AR$106=1,EQ18+ABF18,1)</f>
        <v/>
      </c>
      <c r="AGU18">
        <f>IF('calcA'!AS$106=1,ER18+ABG18,1)</f>
        <v/>
      </c>
      <c r="AGV18">
        <f>IF('calcA'!AT$106=1,ES18+ABH18,1)</f>
        <v/>
      </c>
      <c r="AGW18">
        <f>IF('calcA'!AU$106=1,ET18+ABI18,1)</f>
        <v/>
      </c>
      <c r="AGX18">
        <f>IF('calcA'!AV$106=1,EU18+ABJ18,1)</f>
        <v/>
      </c>
      <c r="AGY18">
        <f>IF('calcA'!AW$106=1,EV18+ABK18,1)</f>
        <v/>
      </c>
      <c r="AGZ18">
        <f>IF('calcA'!AX$106=1,EW18+ABL18,1)</f>
        <v/>
      </c>
      <c r="AHA18">
        <f>IF('calcA'!AY$106=1,EX18+ABM18,1)</f>
        <v/>
      </c>
      <c r="AHB18">
        <f>IF('calcA'!AZ$106=1,EY18+ABN18,1)</f>
        <v/>
      </c>
      <c r="AHC18">
        <f>IF('calcA'!BA$106=1,EZ18+ABO18,1)</f>
        <v/>
      </c>
      <c r="AHD18">
        <f>IF('calcA'!BB$106=1,FA18+ABP18,1)</f>
        <v/>
      </c>
      <c r="AHE18">
        <f>IF('calcA'!BC$106=1,FB18+ABQ18,1)</f>
        <v/>
      </c>
      <c r="AHF18">
        <f>IF('calcA'!BD$106=1,FC18+ABR18,1)</f>
        <v/>
      </c>
      <c r="AHG18">
        <f>IF('calcA'!BE$106=1,FD18+ABS18,1)</f>
        <v/>
      </c>
      <c r="AHH18">
        <f>IF('calcA'!BF$106=1,FE18+ABT18,1)</f>
        <v/>
      </c>
      <c r="AHI18">
        <f>IF('calcA'!BG$106=1,FF18+ABU18,1)</f>
        <v/>
      </c>
      <c r="AHJ18">
        <f>IF('calcA'!BH$106=1,FG18+ABV18,1)</f>
        <v/>
      </c>
      <c r="AHK18">
        <f>IF('calcA'!BI$106=1,FH18+ABW18,1)</f>
        <v/>
      </c>
      <c r="AHL18">
        <f>IF('calcA'!BJ$106=1,FI18+ABX18,1)</f>
        <v/>
      </c>
      <c r="AHM18">
        <f>IF('calcA'!BK$106=1,FJ18+ABY18,1)</f>
        <v/>
      </c>
      <c r="AHN18">
        <f>IF('calcA'!BL$106=1,FK18+ABZ18,1)</f>
        <v/>
      </c>
      <c r="AHO18">
        <f>IF('calcA'!BM$106=1,FL18+ACA18,1)</f>
        <v/>
      </c>
      <c r="AHP18">
        <f>IF('calcA'!BN$106=1,FM18+ACB18,1)</f>
        <v/>
      </c>
      <c r="AHQ18">
        <f>IF('calcA'!BO$106=1,FN18+ACC18,1)</f>
        <v/>
      </c>
      <c r="AHR18">
        <f>IF('calcA'!BP$106=1,FO18+ACD18,1)</f>
        <v/>
      </c>
      <c r="AHS18">
        <f>IF('calcA'!BQ$106=1,FP18+ACE18,1)</f>
        <v/>
      </c>
      <c r="AHT18">
        <f>IF('calcA'!BR$106=1,FQ18+ACF18,1)</f>
        <v/>
      </c>
      <c r="AHU18">
        <f>IF('calcA'!BS$106=1,FR18+ACG18,1)</f>
        <v/>
      </c>
      <c r="AHV18">
        <f>IF('calcA'!BT$106=1,FS18+ACH18,1)</f>
        <v/>
      </c>
      <c r="AHW18">
        <f>IF('calcA'!BU$106=1,FT18+ACI18,1)</f>
        <v/>
      </c>
      <c r="AHX18">
        <f>IF('calcA'!BV$106=1,FU18+ACJ18,1)</f>
        <v/>
      </c>
      <c r="AHY18">
        <f>IF('calcA'!BW$106=1,FV18+ACK18,1)</f>
        <v/>
      </c>
      <c r="AHZ18">
        <f>IF('calcA'!BX$106=1,FW18+ACL18,1)</f>
        <v/>
      </c>
      <c r="AIA18">
        <f>IF('calcA'!BY$106=1,FX18+ACM18,1)</f>
        <v/>
      </c>
      <c r="AIB18">
        <f>IF('calcA'!BZ$106=1,FY18+ACN18,1)</f>
        <v/>
      </c>
      <c r="AIC18">
        <f>IF('calcA'!CA$106=1,FZ18+ACO18,1)</f>
        <v/>
      </c>
      <c r="AID18">
        <f>IF('calcA'!CB$106=1,GA18+ACP18,1)</f>
        <v/>
      </c>
      <c r="AIE18">
        <f>IF('calcA'!CC$106=1,GB18+ACQ18,1)</f>
        <v/>
      </c>
      <c r="AIF18">
        <f>IF('calcA'!CD$106=1,GC18+ACR18,1)</f>
        <v/>
      </c>
      <c r="AIG18">
        <f>IF('calcA'!CE$106=1,GD18+ACS18,1)</f>
        <v/>
      </c>
      <c r="AIH18">
        <f>IF('calcA'!CF$106=1,GE18+ACT18,1)</f>
        <v/>
      </c>
      <c r="AII18">
        <f>IF('calcA'!CG$106=1,GF18+ACU18,1)</f>
        <v/>
      </c>
      <c r="AIJ18">
        <f>IF('calcA'!CH$106=1,GG18+ACV18,1)</f>
        <v/>
      </c>
      <c r="AIK18">
        <f>IF('calcA'!CI$106=1,GH18+ACW18,1)</f>
        <v/>
      </c>
      <c r="AIL18">
        <f>IF('calcA'!CJ$106=1,GI18+ACX18,1)</f>
        <v/>
      </c>
      <c r="AIM18">
        <f>IF('calcA'!CK$106=1,GJ18+ACY18,1)</f>
        <v/>
      </c>
      <c r="AIN18">
        <f>IF('calcA'!CL$106=1,GK18+ACZ18,1)</f>
        <v/>
      </c>
      <c r="AIO18">
        <f>IF('calcA'!CM$106=1,GL18+ADA18,1)</f>
        <v/>
      </c>
      <c r="AIP18">
        <f>IF('calcA'!CN$106=1,GM18+ADB18,1)</f>
        <v/>
      </c>
      <c r="AIQ18">
        <f>IF('calcA'!CO$106=1,GN18+ADC18,1)</f>
        <v/>
      </c>
      <c r="AIR18">
        <f>IF('calcA'!CP$106=1,GO18+ADD18,1)</f>
        <v/>
      </c>
      <c r="AIS18">
        <f>IF('calcA'!CQ$106=1,GP18+ADE18,1)</f>
        <v/>
      </c>
      <c r="AIT18">
        <f>IF('calcA'!CR$106=1,GQ18+ADF18,1)</f>
        <v/>
      </c>
      <c r="AIU18">
        <f>IF('calcA'!CS$106=1,GR18+ADG18,1)</f>
        <v/>
      </c>
      <c r="AIV18">
        <f>IF('calcA'!CT$106=1,GS18+ADH18,1)</f>
        <v/>
      </c>
      <c r="AIW18">
        <f>IF('calcA'!CU$106=1,GT18+ADI18,1)</f>
        <v/>
      </c>
      <c r="AIX18">
        <f>IF('calcA'!CV$106=1,GU18+ADJ18,1)</f>
        <v/>
      </c>
      <c r="AIY18">
        <f>IF('calcA'!CW$106=1,GV18+ADK18,1)</f>
        <v/>
      </c>
      <c r="AIZ18">
        <f>IF('calcA'!CX$106=1,GW18+ADL18,1)</f>
        <v/>
      </c>
      <c r="AJA18">
        <f>IF('calcA'!CY$106=1,GX18+ADM18,1)</f>
        <v/>
      </c>
      <c r="AJB18">
        <f>IF('calcA'!CZ$106=1,GY18+ADN18,1)</f>
        <v/>
      </c>
      <c r="AJC18">
        <f>IF('calcA'!DA$106=1,GZ18+ADO18,1)</f>
        <v/>
      </c>
      <c r="AJD18">
        <f>IF('calcA'!DB$106=1,HA18+ADP18,1)</f>
        <v/>
      </c>
      <c r="AJE18">
        <f>IF('calcA'!DC$106=1,HB18+ADQ18,1)</f>
        <v/>
      </c>
      <c r="AJF18">
        <f>IF('calcA'!DD$106=1,HC18+ADR18,1)</f>
        <v/>
      </c>
      <c r="AJG18">
        <f>IF('calcA'!DE$106=1,HD18+ADS18,1)</f>
        <v/>
      </c>
      <c r="AJH18">
        <f>IF('calcA'!DF$106=1,HE18+ADT18,1)</f>
        <v/>
      </c>
      <c r="AJI18">
        <f>IF('calcA'!DG$106=1,HF18+ADU18,1)</f>
        <v/>
      </c>
      <c r="AJJ18">
        <f>IF('calcA'!DH$106=1,HG18+ADV18,1)</f>
        <v/>
      </c>
      <c r="AJK18">
        <f>IF('calcA'!DI$106=1,HH18+ADW18,1)</f>
        <v/>
      </c>
      <c r="AJL18">
        <f>IF('calcA'!DJ$106=1,HI18+ADX18,1)</f>
        <v/>
      </c>
      <c r="AJM18">
        <f>IF('calcA'!DK$106=1,HJ18+ADY18,1)</f>
        <v/>
      </c>
      <c r="AJN18">
        <f>IF('calcA'!DL$106=1,HK18+ADZ18,1)</f>
        <v/>
      </c>
      <c r="AJO18">
        <f>IF('calcA'!DM$106=1,HL18+AEA18,1)</f>
        <v/>
      </c>
      <c r="AJP18">
        <f>IF('calcA'!DN$106=1,HM18+AEB18,1)</f>
        <v/>
      </c>
      <c r="AJQ18">
        <f>IF('calcA'!DO$106=1,HN18+AEC18,1)</f>
        <v/>
      </c>
      <c r="AJR18">
        <f>IF('calcA'!DP$106=1,HO18+AED18,1)</f>
        <v/>
      </c>
      <c r="AJS18">
        <f>IF('calcA'!DQ$106=1,HP18+AEE18,1)</f>
        <v/>
      </c>
      <c r="AJT18">
        <f>IF('calcA'!DR$106=1,HQ18+AEF18,1)</f>
        <v/>
      </c>
      <c r="AJU18">
        <f>IF('calcA'!DS$106=1,HR18+AEG18,1)</f>
        <v/>
      </c>
      <c r="AJV18">
        <f>IF('calcA'!DT$106=1,HS18+AEH18,1)</f>
        <v/>
      </c>
      <c r="AJW18">
        <f>IF('calcA'!DU$106=1,HT18+AEI18,1)</f>
        <v/>
      </c>
      <c r="AJX18">
        <f>IF('calcA'!DV$106=1,HU18+AEJ18,1)</f>
        <v/>
      </c>
      <c r="AJY18">
        <f>IF('calcA'!DW$106=1,HV18+AEK18,1)</f>
        <v/>
      </c>
      <c r="AJZ18">
        <f>IF('calcA'!DX$106=1,HW18+AEL18,1)</f>
        <v/>
      </c>
      <c r="AKA18">
        <f>IF('calcA'!DY$106=1,HX18+AEM18,1)</f>
        <v/>
      </c>
      <c r="AKB18">
        <f>IF('calcA'!DZ$106=1,HY18+AEN18,1)</f>
        <v/>
      </c>
      <c r="AKC18">
        <f>IF('calcA'!EA$106=1,HZ18+AEO18,1)</f>
        <v/>
      </c>
      <c r="AKD18">
        <f>IF('calcA'!EB$106=1,IA18+AEP18,1)</f>
        <v/>
      </c>
      <c r="AKE18">
        <f>IF('calcA'!EC$106=1,IB18+AEQ18,1)</f>
        <v/>
      </c>
      <c r="AKF18">
        <f>IF('calcA'!ED$106=1,IC18+AER18,1)</f>
        <v/>
      </c>
      <c r="AKG18">
        <f>IF('calcA'!EE$106=1,ID18+AES18,1)</f>
        <v/>
      </c>
      <c r="AKH18">
        <f>IF('calcA'!EF$106=1,IE18+AET18,1)</f>
        <v/>
      </c>
      <c r="AKI18">
        <f>IF('calcA'!EG$106=1,IF18+AEU18,1)</f>
        <v/>
      </c>
      <c r="AKJ18">
        <f>IF('calcA'!EH$106=1,IG18+AEV18,1)</f>
        <v/>
      </c>
      <c r="AKK18">
        <f>IF('calcA'!EI$106=1,IH18+AEW18,1)</f>
        <v/>
      </c>
      <c r="AKL18">
        <f>IF('calcA'!EJ$106=1,II18+AEX18,1)</f>
        <v/>
      </c>
      <c r="AKM18">
        <f>IF('calcA'!EK$106=1,IJ18+AEY18,1)</f>
        <v/>
      </c>
      <c r="AKN18">
        <f>IF('calcA'!EL$106=1,IK18+AEZ18,1)</f>
        <v/>
      </c>
      <c r="AKO18">
        <f>IF('calcA'!EM$106=1,IL18+AFA18,1)</f>
        <v/>
      </c>
      <c r="AKP18">
        <f>IF('calcA'!EN$106=1,IM18+AFB18,1)</f>
        <v/>
      </c>
      <c r="AKQ18">
        <f>IF('calcA'!EO$106=1,IN18+AFC18,1)</f>
        <v/>
      </c>
      <c r="AKR18">
        <f>IF('calcA'!EP$106=1,IO18+AFD18,1)</f>
        <v/>
      </c>
      <c r="AKS18" t="n">
        <v>1</v>
      </c>
    </row>
    <row r="19">
      <c r="A19" t="n">
        <v>17</v>
      </c>
      <c r="B19">
        <f>IF(MIN(BM19:CZ19)&gt;=1000000000,0,MATCH(MIN(BM19:CZ19),BM19:CZ19,0))</f>
        <v/>
      </c>
      <c r="C19">
        <f>IF(MIN(OF19:TS19)&gt;=1000000000,0,MATCH(MIN(OF19:TS19),OF19:TS19,0))</f>
        <v/>
      </c>
      <c r="D19">
        <f>IF(C19&gt;0,INDEX('calcA'!$D$5:$EQ$5,C19),0)</f>
        <v/>
      </c>
      <c r="E19">
        <f>IF(B19=0,0,INDEX('calcA'!$IQ$10:$IQ$54,B19))</f>
        <v/>
      </c>
      <c r="F19">
        <f>IF(B19=0,0,INDEX('calcA'!$IP$10:$IP$54,B19))</f>
        <v/>
      </c>
      <c r="G19">
        <f>IF(AND(C19&gt;0,E19&gt;0),IF(AND(INDEX('calcA'!$D$106:$EQ$106,C19)=1,INDEX($IQ19:$OD19,C19)=1),C19+1,0),0)</f>
        <v/>
      </c>
      <c r="H19">
        <f>IF(B19=0,0,INDEX('calcA'!$IW$10:$IW$54,B19))</f>
        <v/>
      </c>
      <c r="U19">
        <f>IF(B19=0,0,INDEX('calcA'!$IX$10:$IX$54,B19))</f>
        <v/>
      </c>
      <c r="V19">
        <f>IF(B19=0,0,INDEX('calcA'!$JF$10:$JF$54,B19))</f>
        <v/>
      </c>
      <c r="W19">
        <f>IF(B19=0,0,IF(IF(E19=2,SUMPRODUCT(INDEX('calcA'!$D$60:$EQ$99,B19,0),$DB19:$IO19,$IQ19:$OD19),SUMPRODUCT(INDEX('calcA'!$D$60:$EQ$99,B19,0),$DB19:$IO19))=0,1,0))</f>
        <v/>
      </c>
      <c r="X19">
        <f>MAX(X18,IF($B18=1,1,0))</f>
        <v/>
      </c>
      <c r="Y19">
        <f>MAX(Y18,IF($B18=2,1,0))</f>
        <v/>
      </c>
      <c r="Z19">
        <f>MAX(Z18,IF($B18=3,1,0))</f>
        <v/>
      </c>
      <c r="AA19">
        <f>MAX(AA18,IF($B18=4,1,0))</f>
        <v/>
      </c>
      <c r="AB19">
        <f>MAX(AB18,IF($B18=5,1,0))</f>
        <v/>
      </c>
      <c r="AC19">
        <f>MAX(AC18,IF($B18=6,1,0))</f>
        <v/>
      </c>
      <c r="AD19">
        <f>MAX(AD18,IF($B18=7,1,0))</f>
        <v/>
      </c>
      <c r="AE19">
        <f>MAX(AE18,IF($B18=8,1,0))</f>
        <v/>
      </c>
      <c r="AF19">
        <f>MAX(AF18,IF($B18=9,1,0))</f>
        <v/>
      </c>
      <c r="AG19">
        <f>MAX(AG18,IF($B18=10,1,0))</f>
        <v/>
      </c>
      <c r="AH19">
        <f>MAX(AH18,IF($B18=11,1,0))</f>
        <v/>
      </c>
      <c r="AI19">
        <f>MAX(AI18,IF($B18=12,1,0))</f>
        <v/>
      </c>
      <c r="AJ19">
        <f>MAX(AJ18,IF($B18=13,1,0))</f>
        <v/>
      </c>
      <c r="AK19">
        <f>MAX(AK18,IF($B18=14,1,0))</f>
        <v/>
      </c>
      <c r="AL19">
        <f>MAX(AL18,IF($B18=15,1,0))</f>
        <v/>
      </c>
      <c r="AM19">
        <f>MAX(AM18,IF($B18=16,1,0))</f>
        <v/>
      </c>
      <c r="AN19">
        <f>MAX(AN18,IF($B18=17,1,0))</f>
        <v/>
      </c>
      <c r="AO19">
        <f>MAX(AO18,IF($B18=18,1,0))</f>
        <v/>
      </c>
      <c r="AP19">
        <f>MAX(AP18,IF($B18=19,1,0))</f>
        <v/>
      </c>
      <c r="AQ19">
        <f>MAX(AQ18,IF($B18=20,1,0))</f>
        <v/>
      </c>
      <c r="AR19">
        <f>MAX(AR18,IF($B18=21,1,0))</f>
        <v/>
      </c>
      <c r="AS19">
        <f>MAX(AS18,IF($B18=22,1,0))</f>
        <v/>
      </c>
      <c r="AT19">
        <f>MAX(AT18,IF($B18=23,1,0))</f>
        <v/>
      </c>
      <c r="AU19">
        <f>MAX(AU18,IF($B18=24,1,0))</f>
        <v/>
      </c>
      <c r="AV19">
        <f>MAX(AV18,IF($B18=25,1,0))</f>
        <v/>
      </c>
      <c r="AW19">
        <f>MAX(AW18,IF($B18=26,1,0))</f>
        <v/>
      </c>
      <c r="AX19">
        <f>MAX(AX18,IF($B18=27,1,0))</f>
        <v/>
      </c>
      <c r="AY19">
        <f>MAX(AY18,IF($B18=28,1,0))</f>
        <v/>
      </c>
      <c r="AZ19">
        <f>MAX(AZ18,IF($B18=29,1,0))</f>
        <v/>
      </c>
      <c r="BA19">
        <f>MAX(BA18,IF($B18=30,1,0))</f>
        <v/>
      </c>
      <c r="BB19">
        <f>MAX(BB18,IF($B18=31,1,0))</f>
        <v/>
      </c>
      <c r="BC19">
        <f>MAX(BC18,IF($B18=32,1,0))</f>
        <v/>
      </c>
      <c r="BD19">
        <f>MAX(BD18,IF($B18=33,1,0))</f>
        <v/>
      </c>
      <c r="BE19">
        <f>MAX(BE18,IF($B18=34,1,0))</f>
        <v/>
      </c>
      <c r="BF19">
        <f>MAX(BF18,IF($B18=35,1,0))</f>
        <v/>
      </c>
      <c r="BG19">
        <f>MAX(BG18,IF($B18=36,1,0))</f>
        <v/>
      </c>
      <c r="BH19">
        <f>MAX(BH18,IF($B18=37,1,0))</f>
        <v/>
      </c>
      <c r="BI19">
        <f>MAX(BI18,IF($B18=38,1,0))</f>
        <v/>
      </c>
      <c r="BJ19">
        <f>MAX(BJ18,IF($B18=39,1,0))</f>
        <v/>
      </c>
      <c r="BK19">
        <f>MAX(BK18,IF($B18=40,1,0))</f>
        <v/>
      </c>
      <c r="BM19">
        <f>IF(OR(X19=1,calcA!$A$6=0),1000000000,IF('calcA'!$JF$10=1,0,100000000)+IF('calcA'!$IQ$10=2,SUMPRODUCT('calcA'!$D$60:$EQ$60,$DB19:$IO19,$IQ19:$OD19)*1000+SUMPRODUCT('calcA'!$D$60:$EQ$60,$DB19:$IO19+$ZQ19:$AFD19,$AFF19:$AKS19),SUMPRODUCT('calcA'!$D$60:$EQ$60,$DB19:$IO19*1001+$ZQ19:$AFD19))*100+1)</f>
        <v/>
      </c>
      <c r="BN19">
        <f>IF(OR(Y19=1,calcA!$A$6=0),1000000000,IF('calcA'!$JF$11=1,0,100000000)+IF('calcA'!$IQ$11=2,SUMPRODUCT('calcA'!$D$61:$EQ$61,$DB19:$IO19,$IQ19:$OD19)*1000+SUMPRODUCT('calcA'!$D$61:$EQ$61,$DB19:$IO19+$ZQ19:$AFD19,$AFF19:$AKS19),SUMPRODUCT('calcA'!$D$61:$EQ$61,$DB19:$IO19*1001+$ZQ19:$AFD19))*100+2)</f>
        <v/>
      </c>
      <c r="BO19">
        <f>IF(OR(Z19=1,calcA!$A$6=0),1000000000,IF('calcA'!$JF$12=1,0,100000000)+IF('calcA'!$IQ$12=2,SUMPRODUCT('calcA'!$D$62:$EQ$62,$DB19:$IO19,$IQ19:$OD19)*1000+SUMPRODUCT('calcA'!$D$62:$EQ$62,$DB19:$IO19+$ZQ19:$AFD19,$AFF19:$AKS19),SUMPRODUCT('calcA'!$D$62:$EQ$62,$DB19:$IO19*1001+$ZQ19:$AFD19))*100+3)</f>
        <v/>
      </c>
      <c r="BP19">
        <f>IF(OR(AA19=1,calcA!$A$6=0),1000000000,IF('calcA'!$JF$13=1,0,100000000)+IF('calcA'!$IQ$13=2,SUMPRODUCT('calcA'!$D$63:$EQ$63,$DB19:$IO19,$IQ19:$OD19)*1000+SUMPRODUCT('calcA'!$D$63:$EQ$63,$DB19:$IO19+$ZQ19:$AFD19,$AFF19:$AKS19),SUMPRODUCT('calcA'!$D$63:$EQ$63,$DB19:$IO19*1001+$ZQ19:$AFD19))*100+4)</f>
        <v/>
      </c>
      <c r="BQ19">
        <f>IF(OR(AB19=1,calcA!$A$6=0),1000000000,IF('calcA'!$JF$14=1,0,100000000)+IF('calcA'!$IQ$14=2,SUMPRODUCT('calcA'!$D$64:$EQ$64,$DB19:$IO19,$IQ19:$OD19)*1000+SUMPRODUCT('calcA'!$D$64:$EQ$64,$DB19:$IO19+$ZQ19:$AFD19,$AFF19:$AKS19),SUMPRODUCT('calcA'!$D$64:$EQ$64,$DB19:$IO19*1001+$ZQ19:$AFD19))*100+5)</f>
        <v/>
      </c>
      <c r="BR19">
        <f>IF(OR(AC19=1,calcA!$A$6=0),1000000000,IF('calcA'!$JF$15=1,0,100000000)+IF('calcA'!$IQ$15=2,SUMPRODUCT('calcA'!$D$65:$EQ$65,$DB19:$IO19,$IQ19:$OD19)*1000+SUMPRODUCT('calcA'!$D$65:$EQ$65,$DB19:$IO19+$ZQ19:$AFD19,$AFF19:$AKS19),SUMPRODUCT('calcA'!$D$65:$EQ$65,$DB19:$IO19*1001+$ZQ19:$AFD19))*100+6)</f>
        <v/>
      </c>
      <c r="BS19">
        <f>IF(OR(AD19=1,calcA!$A$6=0),1000000000,IF('calcA'!$JF$16=1,0,100000000)+IF('calcA'!$IQ$16=2,SUMPRODUCT('calcA'!$D$66:$EQ$66,$DB19:$IO19,$IQ19:$OD19)*1000+SUMPRODUCT('calcA'!$D$66:$EQ$66,$DB19:$IO19+$ZQ19:$AFD19,$AFF19:$AKS19),SUMPRODUCT('calcA'!$D$66:$EQ$66,$DB19:$IO19*1001+$ZQ19:$AFD19))*100+7)</f>
        <v/>
      </c>
      <c r="BT19">
        <f>IF(OR(AE19=1,calcA!$A$6=0),1000000000,IF('calcA'!$JF$17=1,0,100000000)+IF('calcA'!$IQ$17=2,SUMPRODUCT('calcA'!$D$67:$EQ$67,$DB19:$IO19,$IQ19:$OD19)*1000+SUMPRODUCT('calcA'!$D$67:$EQ$67,$DB19:$IO19+$ZQ19:$AFD19,$AFF19:$AKS19),SUMPRODUCT('calcA'!$D$67:$EQ$67,$DB19:$IO19*1001+$ZQ19:$AFD19))*100+8)</f>
        <v/>
      </c>
      <c r="BU19">
        <f>IF(OR(AF19=1,calcA!$A$6=0),1000000000,IF('calcA'!$JF$18=1,0,100000000)+IF('calcA'!$IQ$18=2,SUMPRODUCT('calcA'!$D$68:$EQ$68,$DB19:$IO19,$IQ19:$OD19)*1000+SUMPRODUCT('calcA'!$D$68:$EQ$68,$DB19:$IO19+$ZQ19:$AFD19,$AFF19:$AKS19),SUMPRODUCT('calcA'!$D$68:$EQ$68,$DB19:$IO19*1001+$ZQ19:$AFD19))*100+9)</f>
        <v/>
      </c>
      <c r="BV19">
        <f>IF(OR(AG19=1,calcA!$A$6=0),1000000000,IF('calcA'!$JF$19=1,0,100000000)+IF('calcA'!$IQ$19=2,SUMPRODUCT('calcA'!$D$69:$EQ$69,$DB19:$IO19,$IQ19:$OD19)*1000+SUMPRODUCT('calcA'!$D$69:$EQ$69,$DB19:$IO19+$ZQ19:$AFD19,$AFF19:$AKS19),SUMPRODUCT('calcA'!$D$69:$EQ$69,$DB19:$IO19*1001+$ZQ19:$AFD19))*100+10)</f>
        <v/>
      </c>
      <c r="BW19">
        <f>IF(OR(AH19=1,calcA!$A$6=0),1000000000,IF('calcA'!$JF$20=1,0,100000000)+IF('calcA'!$IQ$20=2,SUMPRODUCT('calcA'!$D$70:$EQ$70,$DB19:$IO19,$IQ19:$OD19)*1000+SUMPRODUCT('calcA'!$D$70:$EQ$70,$DB19:$IO19+$ZQ19:$AFD19,$AFF19:$AKS19),SUMPRODUCT('calcA'!$D$70:$EQ$70,$DB19:$IO19*1001+$ZQ19:$AFD19))*100+11)</f>
        <v/>
      </c>
      <c r="BX19">
        <f>IF(OR(AI19=1,calcA!$A$6=0),1000000000,IF('calcA'!$JF$21=1,0,100000000)+IF('calcA'!$IQ$21=2,SUMPRODUCT('calcA'!$D$71:$EQ$71,$DB19:$IO19,$IQ19:$OD19)*1000+SUMPRODUCT('calcA'!$D$71:$EQ$71,$DB19:$IO19+$ZQ19:$AFD19,$AFF19:$AKS19),SUMPRODUCT('calcA'!$D$71:$EQ$71,$DB19:$IO19*1001+$ZQ19:$AFD19))*100+12)</f>
        <v/>
      </c>
      <c r="BY19">
        <f>IF(OR(AJ19=1,calcA!$A$6=0),1000000000,IF('calcA'!$JF$22=1,0,100000000)+IF('calcA'!$IQ$22=2,SUMPRODUCT('calcA'!$D$72:$EQ$72,$DB19:$IO19,$IQ19:$OD19)*1000+SUMPRODUCT('calcA'!$D$72:$EQ$72,$DB19:$IO19+$ZQ19:$AFD19,$AFF19:$AKS19),SUMPRODUCT('calcA'!$D$72:$EQ$72,$DB19:$IO19*1001+$ZQ19:$AFD19))*100+13)</f>
        <v/>
      </c>
      <c r="BZ19">
        <f>IF(OR(AK19=1,calcA!$A$6=0),1000000000,IF('calcA'!$JF$23=1,0,100000000)+IF('calcA'!$IQ$23=2,SUMPRODUCT('calcA'!$D$73:$EQ$73,$DB19:$IO19,$IQ19:$OD19)*1000+SUMPRODUCT('calcA'!$D$73:$EQ$73,$DB19:$IO19+$ZQ19:$AFD19,$AFF19:$AKS19),SUMPRODUCT('calcA'!$D$73:$EQ$73,$DB19:$IO19*1001+$ZQ19:$AFD19))*100+14)</f>
        <v/>
      </c>
      <c r="CA19">
        <f>IF(OR(AL19=1,calcA!$A$6=0),1000000000,IF('calcA'!$JF$24=1,0,100000000)+IF('calcA'!$IQ$24=2,SUMPRODUCT('calcA'!$D$74:$EQ$74,$DB19:$IO19,$IQ19:$OD19)*1000+SUMPRODUCT('calcA'!$D$74:$EQ$74,$DB19:$IO19+$ZQ19:$AFD19,$AFF19:$AKS19),SUMPRODUCT('calcA'!$D$74:$EQ$74,$DB19:$IO19*1001+$ZQ19:$AFD19))*100+15)</f>
        <v/>
      </c>
      <c r="CB19">
        <f>IF(OR(AM19=1,calcA!$A$6=0),1000000000,IF('calcA'!$JF$25=1,0,100000000)+IF('calcA'!$IQ$25=2,SUMPRODUCT('calcA'!$D$75:$EQ$75,$DB19:$IO19,$IQ19:$OD19)*1000+SUMPRODUCT('calcA'!$D$75:$EQ$75,$DB19:$IO19+$ZQ19:$AFD19,$AFF19:$AKS19),SUMPRODUCT('calcA'!$D$75:$EQ$75,$DB19:$IO19*1001+$ZQ19:$AFD19))*100+16)</f>
        <v/>
      </c>
      <c r="CC19">
        <f>IF(OR(AN19=1,calcA!$A$6=0),1000000000,IF('calcA'!$JF$26=1,0,100000000)+IF('calcA'!$IQ$26=2,SUMPRODUCT('calcA'!$D$76:$EQ$76,$DB19:$IO19,$IQ19:$OD19)*1000+SUMPRODUCT('calcA'!$D$76:$EQ$76,$DB19:$IO19+$ZQ19:$AFD19,$AFF19:$AKS19),SUMPRODUCT('calcA'!$D$76:$EQ$76,$DB19:$IO19*1001+$ZQ19:$AFD19))*100+17)</f>
        <v/>
      </c>
      <c r="CD19">
        <f>IF(OR(AO19=1,calcA!$A$6=0),1000000000,IF('calcA'!$JF$27=1,0,100000000)+IF('calcA'!$IQ$27=2,SUMPRODUCT('calcA'!$D$77:$EQ$77,$DB19:$IO19,$IQ19:$OD19)*1000+SUMPRODUCT('calcA'!$D$77:$EQ$77,$DB19:$IO19+$ZQ19:$AFD19,$AFF19:$AKS19),SUMPRODUCT('calcA'!$D$77:$EQ$77,$DB19:$IO19*1001+$ZQ19:$AFD19))*100+18)</f>
        <v/>
      </c>
      <c r="CE19">
        <f>IF(OR(AP19=1,calcA!$A$6=0),1000000000,IF('calcA'!$JF$28=1,0,100000000)+IF('calcA'!$IQ$28=2,SUMPRODUCT('calcA'!$D$78:$EQ$78,$DB19:$IO19,$IQ19:$OD19)*1000+SUMPRODUCT('calcA'!$D$78:$EQ$78,$DB19:$IO19+$ZQ19:$AFD19,$AFF19:$AKS19),SUMPRODUCT('calcA'!$D$78:$EQ$78,$DB19:$IO19*1001+$ZQ19:$AFD19))*100+19)</f>
        <v/>
      </c>
      <c r="CF19">
        <f>IF(OR(AQ19=1,calcA!$A$6=0),1000000000,IF('calcA'!$JF$29=1,0,100000000)+IF('calcA'!$IQ$29=2,SUMPRODUCT('calcA'!$D$79:$EQ$79,$DB19:$IO19,$IQ19:$OD19)*1000+SUMPRODUCT('calcA'!$D$79:$EQ$79,$DB19:$IO19+$ZQ19:$AFD19,$AFF19:$AKS19),SUMPRODUCT('calcA'!$D$79:$EQ$79,$DB19:$IO19*1001+$ZQ19:$AFD19))*100+20)</f>
        <v/>
      </c>
      <c r="CG19">
        <f>IF(OR(AR19=1,calcA!$A$6=0),1000000000,IF('calcA'!$JF$30=1,0,100000000)+IF('calcA'!$IQ$30=2,SUMPRODUCT('calcA'!$D$80:$EQ$80,$DB19:$IO19,$IQ19:$OD19)*1000+SUMPRODUCT('calcA'!$D$80:$EQ$80,$DB19:$IO19+$ZQ19:$AFD19,$AFF19:$AKS19),SUMPRODUCT('calcA'!$D$80:$EQ$80,$DB19:$IO19*1001+$ZQ19:$AFD19))*100+21)</f>
        <v/>
      </c>
      <c r="CH19">
        <f>IF(OR(AS19=1,calcA!$A$6=0),1000000000,IF('calcA'!$JF$31=1,0,100000000)+IF('calcA'!$IQ$31=2,SUMPRODUCT('calcA'!$D$81:$EQ$81,$DB19:$IO19,$IQ19:$OD19)*1000+SUMPRODUCT('calcA'!$D$81:$EQ$81,$DB19:$IO19+$ZQ19:$AFD19,$AFF19:$AKS19),SUMPRODUCT('calcA'!$D$81:$EQ$81,$DB19:$IO19*1001+$ZQ19:$AFD19))*100+22)</f>
        <v/>
      </c>
      <c r="CI19">
        <f>IF(OR(AT19=1,calcA!$A$6=0),1000000000,IF('calcA'!$JF$32=1,0,100000000)+IF('calcA'!$IQ$32=2,SUMPRODUCT('calcA'!$D$82:$EQ$82,$DB19:$IO19,$IQ19:$OD19)*1000+SUMPRODUCT('calcA'!$D$82:$EQ$82,$DB19:$IO19+$ZQ19:$AFD19,$AFF19:$AKS19),SUMPRODUCT('calcA'!$D$82:$EQ$82,$DB19:$IO19*1001+$ZQ19:$AFD19))*100+23)</f>
        <v/>
      </c>
      <c r="CJ19">
        <f>IF(OR(AU19=1,calcA!$A$6=0),1000000000,IF('calcA'!$JF$33=1,0,100000000)+IF('calcA'!$IQ$33=2,SUMPRODUCT('calcA'!$D$83:$EQ$83,$DB19:$IO19,$IQ19:$OD19)*1000+SUMPRODUCT('calcA'!$D$83:$EQ$83,$DB19:$IO19+$ZQ19:$AFD19,$AFF19:$AKS19),SUMPRODUCT('calcA'!$D$83:$EQ$83,$DB19:$IO19*1001+$ZQ19:$AFD19))*100+24)</f>
        <v/>
      </c>
      <c r="CK19">
        <f>IF(OR(AV19=1,calcA!$A$6=0),1000000000,IF('calcA'!$JF$34=1,0,100000000)+IF('calcA'!$IQ$34=2,SUMPRODUCT('calcA'!$D$84:$EQ$84,$DB19:$IO19,$IQ19:$OD19)*1000+SUMPRODUCT('calcA'!$D$84:$EQ$84,$DB19:$IO19+$ZQ19:$AFD19,$AFF19:$AKS19),SUMPRODUCT('calcA'!$D$84:$EQ$84,$DB19:$IO19*1001+$ZQ19:$AFD19))*100+25)</f>
        <v/>
      </c>
      <c r="CL19">
        <f>IF(OR(AW19=1,calcA!$A$6=0),1000000000,IF('calcA'!$JF$35=1,0,100000000)+IF('calcA'!$IQ$35=2,SUMPRODUCT('calcA'!$D$85:$EQ$85,$DB19:$IO19,$IQ19:$OD19)*1000+SUMPRODUCT('calcA'!$D$85:$EQ$85,$DB19:$IO19+$ZQ19:$AFD19,$AFF19:$AKS19),SUMPRODUCT('calcA'!$D$85:$EQ$85,$DB19:$IO19*1001+$ZQ19:$AFD19))*100+26)</f>
        <v/>
      </c>
      <c r="CM19">
        <f>IF(OR(AX19=1,calcA!$A$6=0),1000000000,IF('calcA'!$JF$36=1,0,100000000)+IF('calcA'!$IQ$36=2,SUMPRODUCT('calcA'!$D$86:$EQ$86,$DB19:$IO19,$IQ19:$OD19)*1000+SUMPRODUCT('calcA'!$D$86:$EQ$86,$DB19:$IO19+$ZQ19:$AFD19,$AFF19:$AKS19),SUMPRODUCT('calcA'!$D$86:$EQ$86,$DB19:$IO19*1001+$ZQ19:$AFD19))*100+27)</f>
        <v/>
      </c>
      <c r="CN19">
        <f>IF(OR(AY19=1,calcA!$A$6=0),1000000000,IF('calcA'!$JF$37=1,0,100000000)+IF('calcA'!$IQ$37=2,SUMPRODUCT('calcA'!$D$87:$EQ$87,$DB19:$IO19,$IQ19:$OD19)*1000+SUMPRODUCT('calcA'!$D$87:$EQ$87,$DB19:$IO19+$ZQ19:$AFD19,$AFF19:$AKS19),SUMPRODUCT('calcA'!$D$87:$EQ$87,$DB19:$IO19*1001+$ZQ19:$AFD19))*100+28)</f>
        <v/>
      </c>
      <c r="CO19">
        <f>IF(OR(AZ19=1,calcA!$A$6=0),1000000000,IF('calcA'!$JF$38=1,0,100000000)+IF('calcA'!$IQ$38=2,SUMPRODUCT('calcA'!$D$88:$EQ$88,$DB19:$IO19,$IQ19:$OD19)*1000+SUMPRODUCT('calcA'!$D$88:$EQ$88,$DB19:$IO19+$ZQ19:$AFD19,$AFF19:$AKS19),SUMPRODUCT('calcA'!$D$88:$EQ$88,$DB19:$IO19*1001+$ZQ19:$AFD19))*100+29)</f>
        <v/>
      </c>
      <c r="CP19">
        <f>IF(OR(BA19=1,calcA!$A$6=0),1000000000,IF('calcA'!$JF$39=1,0,100000000)+IF('calcA'!$IQ$39=2,SUMPRODUCT('calcA'!$D$89:$EQ$89,$DB19:$IO19,$IQ19:$OD19)*1000+SUMPRODUCT('calcA'!$D$89:$EQ$89,$DB19:$IO19+$ZQ19:$AFD19,$AFF19:$AKS19),SUMPRODUCT('calcA'!$D$89:$EQ$89,$DB19:$IO19*1001+$ZQ19:$AFD19))*100+30)</f>
        <v/>
      </c>
      <c r="CQ19">
        <f>IF(OR(BB19=1,calcA!$A$6=0),1000000000,IF('calcA'!$JF$40=1,0,100000000)+IF('calcA'!$IQ$40=2,SUMPRODUCT('calcA'!$D$90:$EQ$90,$DB19:$IO19,$IQ19:$OD19)*1000+SUMPRODUCT('calcA'!$D$90:$EQ$90,$DB19:$IO19+$ZQ19:$AFD19,$AFF19:$AKS19),SUMPRODUCT('calcA'!$D$90:$EQ$90,$DB19:$IO19*1001+$ZQ19:$AFD19))*100+31)</f>
        <v/>
      </c>
      <c r="CR19">
        <f>IF(OR(BC19=1,calcA!$A$6=0),1000000000,IF('calcA'!$JF$41=1,0,100000000)+IF('calcA'!$IQ$41=2,SUMPRODUCT('calcA'!$D$91:$EQ$91,$DB19:$IO19,$IQ19:$OD19)*1000+SUMPRODUCT('calcA'!$D$91:$EQ$91,$DB19:$IO19+$ZQ19:$AFD19,$AFF19:$AKS19),SUMPRODUCT('calcA'!$D$91:$EQ$91,$DB19:$IO19*1001+$ZQ19:$AFD19))*100+32)</f>
        <v/>
      </c>
      <c r="CS19">
        <f>IF(OR(BD19=1,calcA!$A$6=0),1000000000,IF('calcA'!$JF$42=1,0,100000000)+IF('calcA'!$IQ$42=2,SUMPRODUCT('calcA'!$D$92:$EQ$92,$DB19:$IO19,$IQ19:$OD19)*1000+SUMPRODUCT('calcA'!$D$92:$EQ$92,$DB19:$IO19+$ZQ19:$AFD19,$AFF19:$AKS19),SUMPRODUCT('calcA'!$D$92:$EQ$92,$DB19:$IO19*1001+$ZQ19:$AFD19))*100+33)</f>
        <v/>
      </c>
      <c r="CT19">
        <f>IF(OR(BE19=1,calcA!$A$6=0),1000000000,IF('calcA'!$JF$43=1,0,100000000)+IF('calcA'!$IQ$43=2,SUMPRODUCT('calcA'!$D$93:$EQ$93,$DB19:$IO19,$IQ19:$OD19)*1000+SUMPRODUCT('calcA'!$D$93:$EQ$93,$DB19:$IO19+$ZQ19:$AFD19,$AFF19:$AKS19),SUMPRODUCT('calcA'!$D$93:$EQ$93,$DB19:$IO19*1001+$ZQ19:$AFD19))*100+34)</f>
        <v/>
      </c>
      <c r="CU19">
        <f>IF(OR(BF19=1,calcA!$A$6=0),1000000000,IF('calcA'!$JF$44=1,0,100000000)+IF('calcA'!$IQ$44=2,SUMPRODUCT('calcA'!$D$94:$EQ$94,$DB19:$IO19,$IQ19:$OD19)*1000+SUMPRODUCT('calcA'!$D$94:$EQ$94,$DB19:$IO19+$ZQ19:$AFD19,$AFF19:$AKS19),SUMPRODUCT('calcA'!$D$94:$EQ$94,$DB19:$IO19*1001+$ZQ19:$AFD19))*100+35)</f>
        <v/>
      </c>
      <c r="CV19">
        <f>IF(OR(BG19=1,calcA!$A$6=0),1000000000,IF('calcA'!$JF$45=1,0,100000000)+IF('calcA'!$IQ$45=2,SUMPRODUCT('calcA'!$D$95:$EQ$95,$DB19:$IO19,$IQ19:$OD19)*1000+SUMPRODUCT('calcA'!$D$95:$EQ$95,$DB19:$IO19+$ZQ19:$AFD19,$AFF19:$AKS19),SUMPRODUCT('calcA'!$D$95:$EQ$95,$DB19:$IO19*1001+$ZQ19:$AFD19))*100+36)</f>
        <v/>
      </c>
      <c r="CW19">
        <f>IF(OR(BH19=1,calcA!$A$6=0),1000000000,IF('calcA'!$JF$46=1,0,100000000)+IF('calcA'!$IQ$46=2,SUMPRODUCT('calcA'!$D$96:$EQ$96,$DB19:$IO19,$IQ19:$OD19)*1000+SUMPRODUCT('calcA'!$D$96:$EQ$96,$DB19:$IO19+$ZQ19:$AFD19,$AFF19:$AKS19),SUMPRODUCT('calcA'!$D$96:$EQ$96,$DB19:$IO19*1001+$ZQ19:$AFD19))*100+37)</f>
        <v/>
      </c>
      <c r="CX19">
        <f>IF(OR(BI19=1,calcA!$A$6=0),1000000000,IF('calcA'!$JF$47=1,0,100000000)+IF('calcA'!$IQ$47=2,SUMPRODUCT('calcA'!$D$97:$EQ$97,$DB19:$IO19,$IQ19:$OD19)*1000+SUMPRODUCT('calcA'!$D$97:$EQ$97,$DB19:$IO19+$ZQ19:$AFD19,$AFF19:$AKS19),SUMPRODUCT('calcA'!$D$97:$EQ$97,$DB19:$IO19*1001+$ZQ19:$AFD19))*100+38)</f>
        <v/>
      </c>
      <c r="CY19">
        <f>IF(OR(BJ19=1,calcA!$A$6=0),1000000000,IF('calcA'!$JF$48=1,0,100000000)+IF('calcA'!$IQ$48=2,SUMPRODUCT('calcA'!$D$98:$EQ$98,$DB19:$IO19,$IQ19:$OD19)*1000+SUMPRODUCT('calcA'!$D$98:$EQ$98,$DB19:$IO19+$ZQ19:$AFD19,$AFF19:$AKS19),SUMPRODUCT('calcA'!$D$98:$EQ$98,$DB19:$IO19*1001+$ZQ19:$AFD19))*100+39)</f>
        <v/>
      </c>
      <c r="CZ19">
        <f>IF(OR(BK19=1,calcA!$A$6=0),1000000000,IF('calcA'!$JF$49=1,0,100000000)+IF('calcA'!$IQ$49=2,SUMPRODUCT('calcA'!$D$99:$EQ$99,$DB19:$IO19,$IQ19:$OD19)*1000+SUMPRODUCT('calcA'!$D$99:$EQ$99,$DB19:$IO19+$ZQ19:$AFD19,$AFF19:$AKS19),SUMPRODUCT('calcA'!$D$99:$EQ$99,$DB19:$IO19*1001+$ZQ19:$AFD19))*100+40)</f>
        <v/>
      </c>
      <c r="DB19">
        <f>DB18*IF(OR($C18=1,$G18=1),0,1)</f>
        <v/>
      </c>
      <c r="DC19">
        <f>DC18*IF(OR($C18=2,$G18=2),0,1)</f>
        <v/>
      </c>
      <c r="DD19">
        <f>DD18*IF(OR($C18=3,$G18=3),0,1)</f>
        <v/>
      </c>
      <c r="DE19">
        <f>DE18*IF(OR($C18=4,$G18=4),0,1)</f>
        <v/>
      </c>
      <c r="DF19">
        <f>DF18*IF(OR($C18=5,$G18=5),0,1)</f>
        <v/>
      </c>
      <c r="DG19">
        <f>DG18*IF(OR($C18=6,$G18=6),0,1)</f>
        <v/>
      </c>
      <c r="DH19">
        <f>DH18*IF(OR($C18=7,$G18=7),0,1)</f>
        <v/>
      </c>
      <c r="DI19">
        <f>DI18*IF(OR($C18=8,$G18=8),0,1)</f>
        <v/>
      </c>
      <c r="DJ19">
        <f>DJ18*IF(OR($C18=9,$G18=9),0,1)</f>
        <v/>
      </c>
      <c r="DK19">
        <f>DK18*IF(OR($C18=10,$G18=10),0,1)</f>
        <v/>
      </c>
      <c r="DL19">
        <f>DL18*IF(OR($C18=11,$G18=11),0,1)</f>
        <v/>
      </c>
      <c r="DM19">
        <f>DM18*IF(OR($C18=12,$G18=12),0,1)</f>
        <v/>
      </c>
      <c r="DN19">
        <f>DN18*IF(OR($C18=13,$G18=13),0,1)</f>
        <v/>
      </c>
      <c r="DO19">
        <f>DO18*IF(OR($C18=14,$G18=14),0,1)</f>
        <v/>
      </c>
      <c r="DP19">
        <f>DP18*IF(OR($C18=15,$G18=15),0,1)</f>
        <v/>
      </c>
      <c r="DQ19">
        <f>DQ18*IF(OR($C18=16,$G18=16),0,1)</f>
        <v/>
      </c>
      <c r="DR19">
        <f>DR18*IF(OR($C18=17,$G18=17),0,1)</f>
        <v/>
      </c>
      <c r="DS19">
        <f>DS18*IF(OR($C18=18,$G18=18),0,1)</f>
        <v/>
      </c>
      <c r="DT19">
        <f>DT18*IF(OR($C18=19,$G18=19),0,1)</f>
        <v/>
      </c>
      <c r="DU19">
        <f>DU18*IF(OR($C18=20,$G18=20),0,1)</f>
        <v/>
      </c>
      <c r="DV19">
        <f>DV18*IF(OR($C18=21,$G18=21),0,1)</f>
        <v/>
      </c>
      <c r="DW19">
        <f>DW18*IF(OR($C18=22,$G18=22),0,1)</f>
        <v/>
      </c>
      <c r="DX19">
        <f>DX18*IF(OR($C18=23,$G18=23),0,1)</f>
        <v/>
      </c>
      <c r="DY19">
        <f>DY18*IF(OR($C18=24,$G18=24),0,1)</f>
        <v/>
      </c>
      <c r="DZ19">
        <f>DZ18*IF(OR($C18=25,$G18=25),0,1)</f>
        <v/>
      </c>
      <c r="EA19">
        <f>EA18*IF(OR($C18=26,$G18=26),0,1)</f>
        <v/>
      </c>
      <c r="EB19">
        <f>EB18*IF(OR($C18=27,$G18=27),0,1)</f>
        <v/>
      </c>
      <c r="EC19">
        <f>EC18*IF(OR($C18=28,$G18=28),0,1)</f>
        <v/>
      </c>
      <c r="ED19">
        <f>ED18*IF(OR($C18=29,$G18=29),0,1)</f>
        <v/>
      </c>
      <c r="EE19">
        <f>EE18*IF(OR($C18=30,$G18=30),0,1)</f>
        <v/>
      </c>
      <c r="EF19">
        <f>EF18*IF(OR($C18=31,$G18=31),0,1)</f>
        <v/>
      </c>
      <c r="EG19">
        <f>EG18*IF(OR($C18=32,$G18=32),0,1)</f>
        <v/>
      </c>
      <c r="EH19">
        <f>EH18*IF(OR($C18=33,$G18=33),0,1)</f>
        <v/>
      </c>
      <c r="EI19">
        <f>EI18*IF(OR($C18=34,$G18=34),0,1)</f>
        <v/>
      </c>
      <c r="EJ19">
        <f>EJ18*IF(OR($C18=35,$G18=35),0,1)</f>
        <v/>
      </c>
      <c r="EK19">
        <f>EK18*IF(OR($C18=36,$G18=36),0,1)</f>
        <v/>
      </c>
      <c r="EL19">
        <f>EL18*IF(OR($C18=37,$G18=37),0,1)</f>
        <v/>
      </c>
      <c r="EM19">
        <f>EM18*IF(OR($C18=38,$G18=38),0,1)</f>
        <v/>
      </c>
      <c r="EN19">
        <f>EN18*IF(OR($C18=39,$G18=39),0,1)</f>
        <v/>
      </c>
      <c r="EO19">
        <f>EO18*IF(OR($C18=40,$G18=40),0,1)</f>
        <v/>
      </c>
      <c r="EP19">
        <f>EP18*IF(OR($C18=41,$G18=41),0,1)</f>
        <v/>
      </c>
      <c r="EQ19">
        <f>EQ18*IF(OR($C18=42,$G18=42),0,1)</f>
        <v/>
      </c>
      <c r="ER19">
        <f>ER18*IF(OR($C18=43,$G18=43),0,1)</f>
        <v/>
      </c>
      <c r="ES19">
        <f>ES18*IF(OR($C18=44,$G18=44),0,1)</f>
        <v/>
      </c>
      <c r="ET19">
        <f>ET18*IF(OR($C18=45,$G18=45),0,1)</f>
        <v/>
      </c>
      <c r="EU19">
        <f>EU18*IF(OR($C18=46,$G18=46),0,1)</f>
        <v/>
      </c>
      <c r="EV19">
        <f>EV18*IF(OR($C18=47,$G18=47),0,1)</f>
        <v/>
      </c>
      <c r="EW19">
        <f>EW18*IF(OR($C18=48,$G18=48),0,1)</f>
        <v/>
      </c>
      <c r="EX19">
        <f>EX18*IF(OR($C18=49,$G18=49),0,1)</f>
        <v/>
      </c>
      <c r="EY19">
        <f>EY18*IF(OR($C18=50,$G18=50),0,1)</f>
        <v/>
      </c>
      <c r="EZ19">
        <f>EZ18*IF(OR($C18=51,$G18=51),0,1)</f>
        <v/>
      </c>
      <c r="FA19">
        <f>FA18*IF(OR($C18=52,$G18=52),0,1)</f>
        <v/>
      </c>
      <c r="FB19">
        <f>FB18*IF(OR($C18=53,$G18=53),0,1)</f>
        <v/>
      </c>
      <c r="FC19">
        <f>FC18*IF(OR($C18=54,$G18=54),0,1)</f>
        <v/>
      </c>
      <c r="FD19">
        <f>FD18*IF(OR($C18=55,$G18=55),0,1)</f>
        <v/>
      </c>
      <c r="FE19">
        <f>FE18*IF(OR($C18=56,$G18=56),0,1)</f>
        <v/>
      </c>
      <c r="FF19">
        <f>FF18*IF(OR($C18=57,$G18=57),0,1)</f>
        <v/>
      </c>
      <c r="FG19">
        <f>FG18*IF(OR($C18=58,$G18=58),0,1)</f>
        <v/>
      </c>
      <c r="FH19">
        <f>FH18*IF(OR($C18=59,$G18=59),0,1)</f>
        <v/>
      </c>
      <c r="FI19">
        <f>FI18*IF(OR($C18=60,$G18=60),0,1)</f>
        <v/>
      </c>
      <c r="FJ19">
        <f>FJ18*IF(OR($C18=61,$G18=61),0,1)</f>
        <v/>
      </c>
      <c r="FK19">
        <f>FK18*IF(OR($C18=62,$G18=62),0,1)</f>
        <v/>
      </c>
      <c r="FL19">
        <f>FL18*IF(OR($C18=63,$G18=63),0,1)</f>
        <v/>
      </c>
      <c r="FM19">
        <f>FM18*IF(OR($C18=64,$G18=64),0,1)</f>
        <v/>
      </c>
      <c r="FN19">
        <f>FN18*IF(OR($C18=65,$G18=65),0,1)</f>
        <v/>
      </c>
      <c r="FO19">
        <f>FO18*IF(OR($C18=66,$G18=66),0,1)</f>
        <v/>
      </c>
      <c r="FP19">
        <f>FP18*IF(OR($C18=67,$G18=67),0,1)</f>
        <v/>
      </c>
      <c r="FQ19">
        <f>FQ18*IF(OR($C18=68,$G18=68),0,1)</f>
        <v/>
      </c>
      <c r="FR19">
        <f>FR18*IF(OR($C18=69,$G18=69),0,1)</f>
        <v/>
      </c>
      <c r="FS19">
        <f>FS18*IF(OR($C18=70,$G18=70),0,1)</f>
        <v/>
      </c>
      <c r="FT19">
        <f>FT18*IF(OR($C18=71,$G18=71),0,1)</f>
        <v/>
      </c>
      <c r="FU19">
        <f>FU18*IF(OR($C18=72,$G18=72),0,1)</f>
        <v/>
      </c>
      <c r="FV19">
        <f>FV18*IF(OR($C18=73,$G18=73),0,1)</f>
        <v/>
      </c>
      <c r="FW19">
        <f>FW18*IF(OR($C18=74,$G18=74),0,1)</f>
        <v/>
      </c>
      <c r="FX19">
        <f>FX18*IF(OR($C18=75,$G18=75),0,1)</f>
        <v/>
      </c>
      <c r="FY19">
        <f>FY18*IF(OR($C18=76,$G18=76),0,1)</f>
        <v/>
      </c>
      <c r="FZ19">
        <f>FZ18*IF(OR($C18=77,$G18=77),0,1)</f>
        <v/>
      </c>
      <c r="GA19">
        <f>GA18*IF(OR($C18=78,$G18=78),0,1)</f>
        <v/>
      </c>
      <c r="GB19">
        <f>GB18*IF(OR($C18=79,$G18=79),0,1)</f>
        <v/>
      </c>
      <c r="GC19">
        <f>GC18*IF(OR($C18=80,$G18=80),0,1)</f>
        <v/>
      </c>
      <c r="GD19">
        <f>GD18*IF(OR($C18=81,$G18=81),0,1)</f>
        <v/>
      </c>
      <c r="GE19">
        <f>GE18*IF(OR($C18=82,$G18=82),0,1)</f>
        <v/>
      </c>
      <c r="GF19">
        <f>GF18*IF(OR($C18=83,$G18=83),0,1)</f>
        <v/>
      </c>
      <c r="GG19">
        <f>GG18*IF(OR($C18=84,$G18=84),0,1)</f>
        <v/>
      </c>
      <c r="GH19">
        <f>GH18*IF(OR($C18=85,$G18=85),0,1)</f>
        <v/>
      </c>
      <c r="GI19">
        <f>GI18*IF(OR($C18=86,$G18=86),0,1)</f>
        <v/>
      </c>
      <c r="GJ19">
        <f>GJ18*IF(OR($C18=87,$G18=87),0,1)</f>
        <v/>
      </c>
      <c r="GK19">
        <f>GK18*IF(OR($C18=88,$G18=88),0,1)</f>
        <v/>
      </c>
      <c r="GL19">
        <f>GL18*IF(OR($C18=89,$G18=89),0,1)</f>
        <v/>
      </c>
      <c r="GM19">
        <f>GM18*IF(OR($C18=90,$G18=90),0,1)</f>
        <v/>
      </c>
      <c r="GN19">
        <f>GN18*IF(OR($C18=91,$G18=91),0,1)</f>
        <v/>
      </c>
      <c r="GO19">
        <f>GO18*IF(OR($C18=92,$G18=92),0,1)</f>
        <v/>
      </c>
      <c r="GP19">
        <f>GP18*IF(OR($C18=93,$G18=93),0,1)</f>
        <v/>
      </c>
      <c r="GQ19">
        <f>GQ18*IF(OR($C18=94,$G18=94),0,1)</f>
        <v/>
      </c>
      <c r="GR19">
        <f>GR18*IF(OR($C18=95,$G18=95),0,1)</f>
        <v/>
      </c>
      <c r="GS19">
        <f>GS18*IF(OR($C18=96,$G18=96),0,1)</f>
        <v/>
      </c>
      <c r="GT19">
        <f>GT18*IF(OR($C18=97,$G18=97),0,1)</f>
        <v/>
      </c>
      <c r="GU19">
        <f>GU18*IF(OR($C18=98,$G18=98),0,1)</f>
        <v/>
      </c>
      <c r="GV19">
        <f>GV18*IF(OR($C18=99,$G18=99),0,1)</f>
        <v/>
      </c>
      <c r="GW19">
        <f>GW18*IF(OR($C18=100,$G18=100),0,1)</f>
        <v/>
      </c>
      <c r="GX19">
        <f>GX18*IF(OR($C18=101,$G18=101),0,1)</f>
        <v/>
      </c>
      <c r="GY19">
        <f>GY18*IF(OR($C18=102,$G18=102),0,1)</f>
        <v/>
      </c>
      <c r="GZ19">
        <f>GZ18*IF(OR($C18=103,$G18=103),0,1)</f>
        <v/>
      </c>
      <c r="HA19">
        <f>HA18*IF(OR($C18=104,$G18=104),0,1)</f>
        <v/>
      </c>
      <c r="HB19">
        <f>HB18*IF(OR($C18=105,$G18=105),0,1)</f>
        <v/>
      </c>
      <c r="HC19">
        <f>HC18*IF(OR($C18=106,$G18=106),0,1)</f>
        <v/>
      </c>
      <c r="HD19">
        <f>HD18*IF(OR($C18=107,$G18=107),0,1)</f>
        <v/>
      </c>
      <c r="HE19">
        <f>HE18*IF(OR($C18=108,$G18=108),0,1)</f>
        <v/>
      </c>
      <c r="HF19">
        <f>HF18*IF(OR($C18=109,$G18=109),0,1)</f>
        <v/>
      </c>
      <c r="HG19">
        <f>HG18*IF(OR($C18=110,$G18=110),0,1)</f>
        <v/>
      </c>
      <c r="HH19">
        <f>HH18*IF(OR($C18=111,$G18=111),0,1)</f>
        <v/>
      </c>
      <c r="HI19">
        <f>HI18*IF(OR($C18=112,$G18=112),0,1)</f>
        <v/>
      </c>
      <c r="HJ19">
        <f>HJ18*IF(OR($C18=113,$G18=113),0,1)</f>
        <v/>
      </c>
      <c r="HK19">
        <f>HK18*IF(OR($C18=114,$G18=114),0,1)</f>
        <v/>
      </c>
      <c r="HL19">
        <f>HL18*IF(OR($C18=115,$G18=115),0,1)</f>
        <v/>
      </c>
      <c r="HM19">
        <f>HM18*IF(OR($C18=116,$G18=116),0,1)</f>
        <v/>
      </c>
      <c r="HN19">
        <f>HN18*IF(OR($C18=117,$G18=117),0,1)</f>
        <v/>
      </c>
      <c r="HO19">
        <f>HO18*IF(OR($C18=118,$G18=118),0,1)</f>
        <v/>
      </c>
      <c r="HP19">
        <f>HP18*IF(OR($C18=119,$G18=119),0,1)</f>
        <v/>
      </c>
      <c r="HQ19">
        <f>HQ18*IF(OR($C18=120,$G18=120),0,1)</f>
        <v/>
      </c>
      <c r="HR19">
        <f>HR18*IF(OR($C18=121,$G18=121),0,1)</f>
        <v/>
      </c>
      <c r="HS19">
        <f>HS18*IF(OR($C18=122,$G18=122),0,1)</f>
        <v/>
      </c>
      <c r="HT19">
        <f>HT18*IF(OR($C18=123,$G18=123),0,1)</f>
        <v/>
      </c>
      <c r="HU19">
        <f>HU18*IF(OR($C18=124,$G18=124),0,1)</f>
        <v/>
      </c>
      <c r="HV19">
        <f>HV18*IF(OR($C18=125,$G18=125),0,1)</f>
        <v/>
      </c>
      <c r="HW19">
        <f>HW18*IF(OR($C18=126,$G18=126),0,1)</f>
        <v/>
      </c>
      <c r="HX19">
        <f>HX18*IF(OR($C18=127,$G18=127),0,1)</f>
        <v/>
      </c>
      <c r="HY19">
        <f>HY18*IF(OR($C18=128,$G18=128),0,1)</f>
        <v/>
      </c>
      <c r="HZ19">
        <f>HZ18*IF(OR($C18=129,$G18=129),0,1)</f>
        <v/>
      </c>
      <c r="IA19">
        <f>IA18*IF(OR($C18=130,$G18=130),0,1)</f>
        <v/>
      </c>
      <c r="IB19">
        <f>IB18*IF(OR($C18=131,$G18=131),0,1)</f>
        <v/>
      </c>
      <c r="IC19">
        <f>IC18*IF(OR($C18=132,$G18=132),0,1)</f>
        <v/>
      </c>
      <c r="ID19">
        <f>ID18*IF(OR($C18=133,$G18=133),0,1)</f>
        <v/>
      </c>
      <c r="IE19">
        <f>IE18*IF(OR($C18=134,$G18=134),0,1)</f>
        <v/>
      </c>
      <c r="IF19">
        <f>IF18*IF(OR($C18=135,$G18=135),0,1)</f>
        <v/>
      </c>
      <c r="IG19">
        <f>IG18*IF(OR($C18=136,$G18=136),0,1)</f>
        <v/>
      </c>
      <c r="IH19">
        <f>IH18*IF(OR($C18=137,$G18=137),0,1)</f>
        <v/>
      </c>
      <c r="II19">
        <f>II18*IF(OR($C18=138,$G18=138),0,1)</f>
        <v/>
      </c>
      <c r="IJ19">
        <f>IJ18*IF(OR($C18=139,$G18=139),0,1)</f>
        <v/>
      </c>
      <c r="IK19">
        <f>IK18*IF(OR($C18=140,$G18=140),0,1)</f>
        <v/>
      </c>
      <c r="IL19">
        <f>IL18*IF(OR($C18=141,$G18=141),0,1)</f>
        <v/>
      </c>
      <c r="IM19">
        <f>IM18*IF(OR($C18=142,$G18=142),0,1)</f>
        <v/>
      </c>
      <c r="IN19">
        <f>IN18*IF(OR($C18=143,$G18=143),0,1)</f>
        <v/>
      </c>
      <c r="IO19">
        <f>IO18*IF(OR($C18=144,$G18=144),0,1)</f>
        <v/>
      </c>
      <c r="IQ19">
        <f>IF('calcA'!D$106=1,DC19,1)</f>
        <v/>
      </c>
      <c r="IR19">
        <f>IF('calcA'!E$106=1,DD19,1)</f>
        <v/>
      </c>
      <c r="IS19">
        <f>IF('calcA'!F$106=1,DE19,1)</f>
        <v/>
      </c>
      <c r="IT19">
        <f>IF('calcA'!G$106=1,DF19,1)</f>
        <v/>
      </c>
      <c r="IU19">
        <f>IF('calcA'!H$106=1,DG19,1)</f>
        <v/>
      </c>
      <c r="IV19">
        <f>IF('calcA'!I$106=1,DH19,1)</f>
        <v/>
      </c>
      <c r="IW19">
        <f>IF('calcA'!J$106=1,DI19,1)</f>
        <v/>
      </c>
      <c r="IX19">
        <f>IF('calcA'!K$106=1,DJ19,1)</f>
        <v/>
      </c>
      <c r="IY19">
        <f>IF('calcA'!L$106=1,DK19,1)</f>
        <v/>
      </c>
      <c r="IZ19">
        <f>IF('calcA'!M$106=1,DL19,1)</f>
        <v/>
      </c>
      <c r="JA19">
        <f>IF('calcA'!N$106=1,DM19,1)</f>
        <v/>
      </c>
      <c r="JB19">
        <f>IF('calcA'!O$106=1,DN19,1)</f>
        <v/>
      </c>
      <c r="JC19">
        <f>IF('calcA'!P$106=1,DO19,1)</f>
        <v/>
      </c>
      <c r="JD19">
        <f>IF('calcA'!Q$106=1,DP19,1)</f>
        <v/>
      </c>
      <c r="JE19">
        <f>IF('calcA'!R$106=1,DQ19,1)</f>
        <v/>
      </c>
      <c r="JF19">
        <f>IF('calcA'!S$106=1,DR19,1)</f>
        <v/>
      </c>
      <c r="JG19">
        <f>IF('calcA'!T$106=1,DS19,1)</f>
        <v/>
      </c>
      <c r="JH19">
        <f>IF('calcA'!U$106=1,DT19,1)</f>
        <v/>
      </c>
      <c r="JI19">
        <f>IF('calcA'!V$106=1,DU19,1)</f>
        <v/>
      </c>
      <c r="JJ19">
        <f>IF('calcA'!W$106=1,DV19,1)</f>
        <v/>
      </c>
      <c r="JK19">
        <f>IF('calcA'!X$106=1,DW19,1)</f>
        <v/>
      </c>
      <c r="JL19">
        <f>IF('calcA'!Y$106=1,DX19,1)</f>
        <v/>
      </c>
      <c r="JM19">
        <f>IF('calcA'!Z$106=1,DY19,1)</f>
        <v/>
      </c>
      <c r="JN19">
        <f>IF('calcA'!AA$106=1,DZ19,1)</f>
        <v/>
      </c>
      <c r="JO19">
        <f>IF('calcA'!AB$106=1,EA19,1)</f>
        <v/>
      </c>
      <c r="JP19">
        <f>IF('calcA'!AC$106=1,EB19,1)</f>
        <v/>
      </c>
      <c r="JQ19">
        <f>IF('calcA'!AD$106=1,EC19,1)</f>
        <v/>
      </c>
      <c r="JR19">
        <f>IF('calcA'!AE$106=1,ED19,1)</f>
        <v/>
      </c>
      <c r="JS19">
        <f>IF('calcA'!AF$106=1,EE19,1)</f>
        <v/>
      </c>
      <c r="JT19">
        <f>IF('calcA'!AG$106=1,EF19,1)</f>
        <v/>
      </c>
      <c r="JU19">
        <f>IF('calcA'!AH$106=1,EG19,1)</f>
        <v/>
      </c>
      <c r="JV19">
        <f>IF('calcA'!AI$106=1,EH19,1)</f>
        <v/>
      </c>
      <c r="JW19">
        <f>IF('calcA'!AJ$106=1,EI19,1)</f>
        <v/>
      </c>
      <c r="JX19">
        <f>IF('calcA'!AK$106=1,EJ19,1)</f>
        <v/>
      </c>
      <c r="JY19">
        <f>IF('calcA'!AL$106=1,EK19,1)</f>
        <v/>
      </c>
      <c r="JZ19">
        <f>IF('calcA'!AM$106=1,EL19,1)</f>
        <v/>
      </c>
      <c r="KA19">
        <f>IF('calcA'!AN$106=1,EM19,1)</f>
        <v/>
      </c>
      <c r="KB19">
        <f>IF('calcA'!AO$106=1,EN19,1)</f>
        <v/>
      </c>
      <c r="KC19">
        <f>IF('calcA'!AP$106=1,EO19,1)</f>
        <v/>
      </c>
      <c r="KD19">
        <f>IF('calcA'!AQ$106=1,EP19,1)</f>
        <v/>
      </c>
      <c r="KE19">
        <f>IF('calcA'!AR$106=1,EQ19,1)</f>
        <v/>
      </c>
      <c r="KF19">
        <f>IF('calcA'!AS$106=1,ER19,1)</f>
        <v/>
      </c>
      <c r="KG19">
        <f>IF('calcA'!AT$106=1,ES19,1)</f>
        <v/>
      </c>
      <c r="KH19">
        <f>IF('calcA'!AU$106=1,ET19,1)</f>
        <v/>
      </c>
      <c r="KI19">
        <f>IF('calcA'!AV$106=1,EU19,1)</f>
        <v/>
      </c>
      <c r="KJ19">
        <f>IF('calcA'!AW$106=1,EV19,1)</f>
        <v/>
      </c>
      <c r="KK19">
        <f>IF('calcA'!AX$106=1,EW19,1)</f>
        <v/>
      </c>
      <c r="KL19">
        <f>IF('calcA'!AY$106=1,EX19,1)</f>
        <v/>
      </c>
      <c r="KM19">
        <f>IF('calcA'!AZ$106=1,EY19,1)</f>
        <v/>
      </c>
      <c r="KN19">
        <f>IF('calcA'!BA$106=1,EZ19,1)</f>
        <v/>
      </c>
      <c r="KO19">
        <f>IF('calcA'!BB$106=1,FA19,1)</f>
        <v/>
      </c>
      <c r="KP19">
        <f>IF('calcA'!BC$106=1,FB19,1)</f>
        <v/>
      </c>
      <c r="KQ19">
        <f>IF('calcA'!BD$106=1,FC19,1)</f>
        <v/>
      </c>
      <c r="KR19">
        <f>IF('calcA'!BE$106=1,FD19,1)</f>
        <v/>
      </c>
      <c r="KS19">
        <f>IF('calcA'!BF$106=1,FE19,1)</f>
        <v/>
      </c>
      <c r="KT19">
        <f>IF('calcA'!BG$106=1,FF19,1)</f>
        <v/>
      </c>
      <c r="KU19">
        <f>IF('calcA'!BH$106=1,FG19,1)</f>
        <v/>
      </c>
      <c r="KV19">
        <f>IF('calcA'!BI$106=1,FH19,1)</f>
        <v/>
      </c>
      <c r="KW19">
        <f>IF('calcA'!BJ$106=1,FI19,1)</f>
        <v/>
      </c>
      <c r="KX19">
        <f>IF('calcA'!BK$106=1,FJ19,1)</f>
        <v/>
      </c>
      <c r="KY19">
        <f>IF('calcA'!BL$106=1,FK19,1)</f>
        <v/>
      </c>
      <c r="KZ19">
        <f>IF('calcA'!BM$106=1,FL19,1)</f>
        <v/>
      </c>
      <c r="LA19">
        <f>IF('calcA'!BN$106=1,FM19,1)</f>
        <v/>
      </c>
      <c r="LB19">
        <f>IF('calcA'!BO$106=1,FN19,1)</f>
        <v/>
      </c>
      <c r="LC19">
        <f>IF('calcA'!BP$106=1,FO19,1)</f>
        <v/>
      </c>
      <c r="LD19">
        <f>IF('calcA'!BQ$106=1,FP19,1)</f>
        <v/>
      </c>
      <c r="LE19">
        <f>IF('calcA'!BR$106=1,FQ19,1)</f>
        <v/>
      </c>
      <c r="LF19">
        <f>IF('calcA'!BS$106=1,FR19,1)</f>
        <v/>
      </c>
      <c r="LG19">
        <f>IF('calcA'!BT$106=1,FS19,1)</f>
        <v/>
      </c>
      <c r="LH19">
        <f>IF('calcA'!BU$106=1,FT19,1)</f>
        <v/>
      </c>
      <c r="LI19">
        <f>IF('calcA'!BV$106=1,FU19,1)</f>
        <v/>
      </c>
      <c r="LJ19">
        <f>IF('calcA'!BW$106=1,FV19,1)</f>
        <v/>
      </c>
      <c r="LK19">
        <f>IF('calcA'!BX$106=1,FW19,1)</f>
        <v/>
      </c>
      <c r="LL19">
        <f>IF('calcA'!BY$106=1,FX19,1)</f>
        <v/>
      </c>
      <c r="LM19">
        <f>IF('calcA'!BZ$106=1,FY19,1)</f>
        <v/>
      </c>
      <c r="LN19">
        <f>IF('calcA'!CA$106=1,FZ19,1)</f>
        <v/>
      </c>
      <c r="LO19">
        <f>IF('calcA'!CB$106=1,GA19,1)</f>
        <v/>
      </c>
      <c r="LP19">
        <f>IF('calcA'!CC$106=1,GB19,1)</f>
        <v/>
      </c>
      <c r="LQ19">
        <f>IF('calcA'!CD$106=1,GC19,1)</f>
        <v/>
      </c>
      <c r="LR19">
        <f>IF('calcA'!CE$106=1,GD19,1)</f>
        <v/>
      </c>
      <c r="LS19">
        <f>IF('calcA'!CF$106=1,GE19,1)</f>
        <v/>
      </c>
      <c r="LT19">
        <f>IF('calcA'!CG$106=1,GF19,1)</f>
        <v/>
      </c>
      <c r="LU19">
        <f>IF('calcA'!CH$106=1,GG19,1)</f>
        <v/>
      </c>
      <c r="LV19">
        <f>IF('calcA'!CI$106=1,GH19,1)</f>
        <v/>
      </c>
      <c r="LW19">
        <f>IF('calcA'!CJ$106=1,GI19,1)</f>
        <v/>
      </c>
      <c r="LX19">
        <f>IF('calcA'!CK$106=1,GJ19,1)</f>
        <v/>
      </c>
      <c r="LY19">
        <f>IF('calcA'!CL$106=1,GK19,1)</f>
        <v/>
      </c>
      <c r="LZ19">
        <f>IF('calcA'!CM$106=1,GL19,1)</f>
        <v/>
      </c>
      <c r="MA19">
        <f>IF('calcA'!CN$106=1,GM19,1)</f>
        <v/>
      </c>
      <c r="MB19">
        <f>IF('calcA'!CO$106=1,GN19,1)</f>
        <v/>
      </c>
      <c r="MC19">
        <f>IF('calcA'!CP$106=1,GO19,1)</f>
        <v/>
      </c>
      <c r="MD19">
        <f>IF('calcA'!CQ$106=1,GP19,1)</f>
        <v/>
      </c>
      <c r="ME19">
        <f>IF('calcA'!CR$106=1,GQ19,1)</f>
        <v/>
      </c>
      <c r="MF19">
        <f>IF('calcA'!CS$106=1,GR19,1)</f>
        <v/>
      </c>
      <c r="MG19">
        <f>IF('calcA'!CT$106=1,GS19,1)</f>
        <v/>
      </c>
      <c r="MH19">
        <f>IF('calcA'!CU$106=1,GT19,1)</f>
        <v/>
      </c>
      <c r="MI19">
        <f>IF('calcA'!CV$106=1,GU19,1)</f>
        <v/>
      </c>
      <c r="MJ19">
        <f>IF('calcA'!CW$106=1,GV19,1)</f>
        <v/>
      </c>
      <c r="MK19">
        <f>IF('calcA'!CX$106=1,GW19,1)</f>
        <v/>
      </c>
      <c r="ML19">
        <f>IF('calcA'!CY$106=1,GX19,1)</f>
        <v/>
      </c>
      <c r="MM19">
        <f>IF('calcA'!CZ$106=1,GY19,1)</f>
        <v/>
      </c>
      <c r="MN19">
        <f>IF('calcA'!DA$106=1,GZ19,1)</f>
        <v/>
      </c>
      <c r="MO19">
        <f>IF('calcA'!DB$106=1,HA19,1)</f>
        <v/>
      </c>
      <c r="MP19">
        <f>IF('calcA'!DC$106=1,HB19,1)</f>
        <v/>
      </c>
      <c r="MQ19">
        <f>IF('calcA'!DD$106=1,HC19,1)</f>
        <v/>
      </c>
      <c r="MR19">
        <f>IF('calcA'!DE$106=1,HD19,1)</f>
        <v/>
      </c>
      <c r="MS19">
        <f>IF('calcA'!DF$106=1,HE19,1)</f>
        <v/>
      </c>
      <c r="MT19">
        <f>IF('calcA'!DG$106=1,HF19,1)</f>
        <v/>
      </c>
      <c r="MU19">
        <f>IF('calcA'!DH$106=1,HG19,1)</f>
        <v/>
      </c>
      <c r="MV19">
        <f>IF('calcA'!DI$106=1,HH19,1)</f>
        <v/>
      </c>
      <c r="MW19">
        <f>IF('calcA'!DJ$106=1,HI19,1)</f>
        <v/>
      </c>
      <c r="MX19">
        <f>IF('calcA'!DK$106=1,HJ19,1)</f>
        <v/>
      </c>
      <c r="MY19">
        <f>IF('calcA'!DL$106=1,HK19,1)</f>
        <v/>
      </c>
      <c r="MZ19">
        <f>IF('calcA'!DM$106=1,HL19,1)</f>
        <v/>
      </c>
      <c r="NA19">
        <f>IF('calcA'!DN$106=1,HM19,1)</f>
        <v/>
      </c>
      <c r="NB19">
        <f>IF('calcA'!DO$106=1,HN19,1)</f>
        <v/>
      </c>
      <c r="NC19">
        <f>IF('calcA'!DP$106=1,HO19,1)</f>
        <v/>
      </c>
      <c r="ND19">
        <f>IF('calcA'!DQ$106=1,HP19,1)</f>
        <v/>
      </c>
      <c r="NE19">
        <f>IF('calcA'!DR$106=1,HQ19,1)</f>
        <v/>
      </c>
      <c r="NF19">
        <f>IF('calcA'!DS$106=1,HR19,1)</f>
        <v/>
      </c>
      <c r="NG19">
        <f>IF('calcA'!DT$106=1,HS19,1)</f>
        <v/>
      </c>
      <c r="NH19">
        <f>IF('calcA'!DU$106=1,HT19,1)</f>
        <v/>
      </c>
      <c r="NI19">
        <f>IF('calcA'!DV$106=1,HU19,1)</f>
        <v/>
      </c>
      <c r="NJ19">
        <f>IF('calcA'!DW$106=1,HV19,1)</f>
        <v/>
      </c>
      <c r="NK19">
        <f>IF('calcA'!DX$106=1,HW19,1)</f>
        <v/>
      </c>
      <c r="NL19">
        <f>IF('calcA'!DY$106=1,HX19,1)</f>
        <v/>
      </c>
      <c r="NM19">
        <f>IF('calcA'!DZ$106=1,HY19,1)</f>
        <v/>
      </c>
      <c r="NN19">
        <f>IF('calcA'!EA$106=1,HZ19,1)</f>
        <v/>
      </c>
      <c r="NO19">
        <f>IF('calcA'!EB$106=1,IA19,1)</f>
        <v/>
      </c>
      <c r="NP19">
        <f>IF('calcA'!EC$106=1,IB19,1)</f>
        <v/>
      </c>
      <c r="NQ19">
        <f>IF('calcA'!ED$106=1,IC19,1)</f>
        <v/>
      </c>
      <c r="NR19">
        <f>IF('calcA'!EE$106=1,ID19,1)</f>
        <v/>
      </c>
      <c r="NS19">
        <f>IF('calcA'!EF$106=1,IE19,1)</f>
        <v/>
      </c>
      <c r="NT19">
        <f>IF('calcA'!EG$106=1,IF19,1)</f>
        <v/>
      </c>
      <c r="NU19">
        <f>IF('calcA'!EH$106=1,IG19,1)</f>
        <v/>
      </c>
      <c r="NV19">
        <f>IF('calcA'!EI$106=1,IH19,1)</f>
        <v/>
      </c>
      <c r="NW19">
        <f>IF('calcA'!EJ$106=1,II19,1)</f>
        <v/>
      </c>
      <c r="NX19">
        <f>IF('calcA'!EK$106=1,IJ19,1)</f>
        <v/>
      </c>
      <c r="NY19">
        <f>IF('calcA'!EL$106=1,IK19,1)</f>
        <v/>
      </c>
      <c r="NZ19">
        <f>IF('calcA'!EM$106=1,IL19,1)</f>
        <v/>
      </c>
      <c r="OA19">
        <f>IF('calcA'!EN$106=1,IM19,1)</f>
        <v/>
      </c>
      <c r="OB19">
        <f>IF('calcA'!EO$106=1,IN19,1)</f>
        <v/>
      </c>
      <c r="OC19">
        <f>IF('calcA'!EP$106=1,IO19,1)</f>
        <v/>
      </c>
      <c r="OD19" t="n">
        <v>1</v>
      </c>
      <c r="OF19">
        <f>IF($B19=0,1000000000,IF(INDEX('calcA'!$D$60:$EQ$99,$B19,1)*IF($W19=1,DB19+ZQ19,DB19)=1,IF(AND($E19=2,IF($W19=1,AFF19,IQ19)=0),1000000000,IF($V19=1,INDEX('calcA'!$D$130:$EQ$169,$B19,1)+IF(AND($E19=1,IQ19=0),25,0),INDEX('calcA'!D$110:D$114,$F19+1)+IF(AND($E19=1,IQ19=0),1000,0)+IF($H19=1,INDEX('calcA'!$D$180:$EQ$219,$B19,1)*500,0)-IF(AND($U19=1,'calcA'!D$117=1,DC19=0),300,0))),1000000000))</f>
        <v/>
      </c>
      <c r="OG19">
        <f>IF($B19=0,1000000000,IF(INDEX('calcA'!$D$60:$EQ$99,$B19,2)*IF($W19=1,DC19+ZR19,DC19)=1,IF(AND($E19=2,IF($W19=1,AFG19,IR19)=0),1000000000,IF($V19=1,INDEX('calcA'!$D$130:$EQ$169,$B19,2)+IF(AND($E19=1,IR19=0),25,0),INDEX('calcA'!E$110:E$114,$F19+1)+IF(AND($E19=1,IR19=0),1000,0)+IF($H19=1,INDEX('calcA'!$D$180:$EQ$219,$B19,2)*500,0)-IF(AND('calcA'!D$117=1,UB19&gt;0),300,0)-IF(AND($U19=1,'calcA'!E$117=1,DD19=0),300,0))),1000000000))</f>
        <v/>
      </c>
      <c r="OH19">
        <f>IF($B19=0,1000000000,IF(INDEX('calcA'!$D$60:$EQ$99,$B19,3)*IF($W19=1,DD19+ZS19,DD19)=1,IF(AND($E19=2,IF($W19=1,AFH19,IS19)=0),1000000000,IF($V19=1,INDEX('calcA'!$D$130:$EQ$169,$B19,3)+IF(AND($E19=1,IS19=0),25,0),INDEX('calcA'!F$110:F$114,$F19+1)+IF(AND($E19=1,IS19=0),1000,0)+IF($H19=1,INDEX('calcA'!$D$180:$EQ$219,$B19,3)*500,0)-IF(AND('calcA'!E$117=1,UC19&gt;0),300,0)-IF(AND($U19=1,'calcA'!F$117=1,DE19=0),300,0))),1000000000))</f>
        <v/>
      </c>
      <c r="OI19">
        <f>IF($B19=0,1000000000,IF(INDEX('calcA'!$D$60:$EQ$99,$B19,4)*IF($W19=1,DE19+ZT19,DE19)=1,IF(AND($E19=2,IF($W19=1,AFI19,IT19)=0),1000000000,IF($V19=1,INDEX('calcA'!$D$130:$EQ$169,$B19,4)+IF(AND($E19=1,IT19=0),25,0),INDEX('calcA'!G$110:G$114,$F19+1)+IF(AND($E19=1,IT19=0),1000,0)+IF($H19=1,INDEX('calcA'!$D$180:$EQ$219,$B19,4)*500,0)-IF(AND('calcA'!F$117=1,UD19&gt;0),300,0)-IF(AND($U19=1,'calcA'!G$117=1,DF19=0),300,0))),1000000000))</f>
        <v/>
      </c>
      <c r="OJ19">
        <f>IF($B19=0,1000000000,IF(INDEX('calcA'!$D$60:$EQ$99,$B19,5)*IF($W19=1,DF19+ZU19,DF19)=1,IF(AND($E19=2,IF($W19=1,AFJ19,IU19)=0),1000000000,IF($V19=1,INDEX('calcA'!$D$130:$EQ$169,$B19,5)+IF(AND($E19=1,IU19=0),25,0),INDEX('calcA'!H$110:H$114,$F19+1)+IF(AND($E19=1,IU19=0),1000,0)+IF($H19=1,INDEX('calcA'!$D$180:$EQ$219,$B19,5)*500,0)-IF(AND('calcA'!G$117=1,UE19&gt;0),300,0)-IF(AND($U19=1,'calcA'!H$117=1,DG19=0),300,0))),1000000000))</f>
        <v/>
      </c>
      <c r="OK19">
        <f>IF($B19=0,1000000000,IF(INDEX('calcA'!$D$60:$EQ$99,$B19,6)*IF($W19=1,DG19+ZV19,DG19)=1,IF(AND($E19=2,IF($W19=1,AFK19,IV19)=0),1000000000,IF($V19=1,INDEX('calcA'!$D$130:$EQ$169,$B19,6)+IF(AND($E19=1,IV19=0),25,0),INDEX('calcA'!I$110:I$114,$F19+1)+IF(AND($E19=1,IV19=0),1000,0)+IF($H19=1,INDEX('calcA'!$D$180:$EQ$219,$B19,6)*500,0)-IF(AND('calcA'!H$117=1,UF19&gt;0),300,0)-IF(AND($U19=1,'calcA'!I$117=1,DH19=0),300,0))),1000000000))</f>
        <v/>
      </c>
      <c r="OL19">
        <f>IF($B19=0,1000000000,IF(INDEX('calcA'!$D$60:$EQ$99,$B19,7)*IF($W19=1,DH19+ZW19,DH19)=1,IF(AND($E19=2,IF($W19=1,AFL19,IW19)=0),1000000000,IF($V19=1,INDEX('calcA'!$D$130:$EQ$169,$B19,7)+IF(AND($E19=1,IW19=0),25,0),INDEX('calcA'!J$110:J$114,$F19+1)+IF(AND($E19=1,IW19=0),1000,0)+IF($H19=1,INDEX('calcA'!$D$180:$EQ$219,$B19,7)*500,0)-IF(AND('calcA'!I$117=1,UG19&gt;0),300,0)-IF(AND($U19=1,'calcA'!J$117=1,DI19=0),300,0))),1000000000))</f>
        <v/>
      </c>
      <c r="OM19">
        <f>IF($B19=0,1000000000,IF(INDEX('calcA'!$D$60:$EQ$99,$B19,8)*IF($W19=1,DI19+ZX19,DI19)=1,IF(AND($E19=2,IF($W19=1,AFM19,IX19)=0),1000000000,IF($V19=1,INDEX('calcA'!$D$130:$EQ$169,$B19,8)+IF(AND($E19=1,IX19=0),25,0),INDEX('calcA'!K$110:K$114,$F19+1)+IF(AND($E19=1,IX19=0),1000,0)+IF($H19=1,INDEX('calcA'!$D$180:$EQ$219,$B19,8)*500,0)-IF(AND('calcA'!J$117=1,UH19&gt;0),300,0)-IF(AND($U19=1,'calcA'!K$117=1,DJ19=0),300,0))),1000000000))</f>
        <v/>
      </c>
      <c r="ON19">
        <f>IF($B19=0,1000000000,IF(INDEX('calcA'!$D$60:$EQ$99,$B19,9)*IF($W19=1,DJ19+ZY19,DJ19)=1,IF(AND($E19=2,IF($W19=1,AFN19,IY19)=0),1000000000,IF($V19=1,INDEX('calcA'!$D$130:$EQ$169,$B19,9)+IF(AND($E19=1,IY19=0),25,0),INDEX('calcA'!L$110:L$114,$F19+1)+IF(AND($E19=1,IY19=0),1000,0)+IF($H19=1,INDEX('calcA'!$D$180:$EQ$219,$B19,9)*500,0)-IF(AND('calcA'!K$117=1,UI19&gt;0),300,0)-IF(AND($U19=1,'calcA'!L$117=1,DK19=0),300,0))),1000000000))</f>
        <v/>
      </c>
      <c r="OO19">
        <f>IF($B19=0,1000000000,IF(INDEX('calcA'!$D$60:$EQ$99,$B19,10)*IF($W19=1,DK19+ZZ19,DK19)=1,IF(AND($E19=2,IF($W19=1,AFO19,IZ19)=0),1000000000,IF($V19=1,INDEX('calcA'!$D$130:$EQ$169,$B19,10)+IF(AND($E19=1,IZ19=0),25,0),INDEX('calcA'!M$110:M$114,$F19+1)+IF(AND($E19=1,IZ19=0),1000,0)+IF($H19=1,INDEX('calcA'!$D$180:$EQ$219,$B19,10)*500,0)-IF(AND('calcA'!L$117=1,UJ19&gt;0),300,0)-IF(AND($U19=1,'calcA'!M$117=1,DL19=0),300,0))),1000000000))</f>
        <v/>
      </c>
      <c r="OP19">
        <f>IF($B19=0,1000000000,IF(INDEX('calcA'!$D$60:$EQ$99,$B19,11)*IF($W19=1,DL19+AAA19,DL19)=1,IF(AND($E19=2,IF($W19=1,AFP19,JA19)=0),1000000000,IF($V19=1,INDEX('calcA'!$D$130:$EQ$169,$B19,11)+IF(AND($E19=1,JA19=0),25,0),INDEX('calcA'!N$110:N$114,$F19+1)+IF(AND($E19=1,JA19=0),1000,0)+IF($H19=1,INDEX('calcA'!$D$180:$EQ$219,$B19,11)*500,0)-IF(AND('calcA'!M$117=1,UK19&gt;0),300,0)-IF(AND($U19=1,'calcA'!N$117=1,DM19=0),300,0))),1000000000))</f>
        <v/>
      </c>
      <c r="OQ19">
        <f>IF($B19=0,1000000000,IF(INDEX('calcA'!$D$60:$EQ$99,$B19,12)*IF($W19=1,DM19+AAB19,DM19)=1,IF(AND($E19=2,IF($W19=1,AFQ19,JB19)=0),1000000000,IF($V19=1,INDEX('calcA'!$D$130:$EQ$169,$B19,12)+IF(AND($E19=1,JB19=0),25,0),INDEX('calcA'!O$110:O$114,$F19+1)+IF(AND($E19=1,JB19=0),1000,0)+IF($H19=1,INDEX('calcA'!$D$180:$EQ$219,$B19,12)*500,0)-IF(AND('calcA'!N$117=1,UL19&gt;0),300,0)-IF(AND($U19=1,'calcA'!O$117=1,DN19=0),300,0))),1000000000))</f>
        <v/>
      </c>
      <c r="OR19">
        <f>IF($B19=0,1000000000,IF(INDEX('calcA'!$D$60:$EQ$99,$B19,13)*IF($W19=1,DN19+AAC19,DN19)=1,IF(AND($E19=2,IF($W19=1,AFR19,JC19)=0),1000000000,IF($V19=1,INDEX('calcA'!$D$130:$EQ$169,$B19,13)+IF(AND($E19=1,JC19=0),25,0),INDEX('calcA'!P$110:P$114,$F19+1)+IF(AND($E19=1,JC19=0),1000,0)+IF($H19=1,INDEX('calcA'!$D$180:$EQ$219,$B19,13)*500,0)-IF(AND('calcA'!O$117=1,UM19&gt;0),300,0)-IF(AND($U19=1,'calcA'!P$117=1,DO19=0),300,0))),1000000000))</f>
        <v/>
      </c>
      <c r="OS19">
        <f>IF($B19=0,1000000000,IF(INDEX('calcA'!$D$60:$EQ$99,$B19,14)*IF($W19=1,DO19+AAD19,DO19)=1,IF(AND($E19=2,IF($W19=1,AFS19,JD19)=0),1000000000,IF($V19=1,INDEX('calcA'!$D$130:$EQ$169,$B19,14)+IF(AND($E19=1,JD19=0),25,0),INDEX('calcA'!Q$110:Q$114,$F19+1)+IF(AND($E19=1,JD19=0),1000,0)+IF($H19=1,INDEX('calcA'!$D$180:$EQ$219,$B19,14)*500,0)-IF(AND('calcA'!P$117=1,UN19&gt;0),300,0)-IF(AND($U19=1,'calcA'!Q$117=1,DP19=0),300,0))),1000000000))</f>
        <v/>
      </c>
      <c r="OT19">
        <f>IF($B19=0,1000000000,IF(INDEX('calcA'!$D$60:$EQ$99,$B19,15)*IF($W19=1,DP19+AAE19,DP19)=1,IF(AND($E19=2,IF($W19=1,AFT19,JE19)=0),1000000000,IF($V19=1,INDEX('calcA'!$D$130:$EQ$169,$B19,15)+IF(AND($E19=1,JE19=0),25,0),INDEX('calcA'!R$110:R$114,$F19+1)+IF(AND($E19=1,JE19=0),1000,0)+IF($H19=1,INDEX('calcA'!$D$180:$EQ$219,$B19,15)*500,0)-IF(AND('calcA'!Q$117=1,UO19&gt;0),300,0)-IF(AND($U19=1,'calcA'!R$117=1,DQ19=0),300,0))),1000000000))</f>
        <v/>
      </c>
      <c r="OU19">
        <f>IF($B19=0,1000000000,IF(INDEX('calcA'!$D$60:$EQ$99,$B19,16)*IF($W19=1,DQ19+AAF19,DQ19)=1,IF(AND($E19=2,IF($W19=1,AFU19,JF19)=0),1000000000,IF($V19=1,INDEX('calcA'!$D$130:$EQ$169,$B19,16)+IF(AND($E19=1,JF19=0),25,0),INDEX('calcA'!S$110:S$114,$F19+1)+IF(AND($E19=1,JF19=0),1000,0)+IF($H19=1,INDEX('calcA'!$D$180:$EQ$219,$B19,16)*500,0)-IF(AND('calcA'!R$117=1,UP19&gt;0),300,0)-IF(AND($U19=1,'calcA'!S$117=1,DR19=0),300,0))),1000000000))</f>
        <v/>
      </c>
      <c r="OV19">
        <f>IF($B19=0,1000000000,IF(INDEX('calcA'!$D$60:$EQ$99,$B19,17)*IF($W19=1,DR19+AAG19,DR19)=1,IF(AND($E19=2,IF($W19=1,AFV19,JG19)=0),1000000000,IF($V19=1,INDEX('calcA'!$D$130:$EQ$169,$B19,17)+IF(AND($E19=1,JG19=0),25,0),INDEX('calcA'!T$110:T$114,$F19+1)+IF(AND($E19=1,JG19=0),1000,0)+IF($H19=1,INDEX('calcA'!$D$180:$EQ$219,$B19,17)*500,0)-IF(AND('calcA'!S$117=1,UQ19&gt;0),300,0)-IF(AND($U19=1,'calcA'!T$117=1,DS19=0),300,0))),1000000000))</f>
        <v/>
      </c>
      <c r="OW19">
        <f>IF($B19=0,1000000000,IF(INDEX('calcA'!$D$60:$EQ$99,$B19,18)*IF($W19=1,DS19+AAH19,DS19)=1,IF(AND($E19=2,IF($W19=1,AFW19,JH19)=0),1000000000,IF($V19=1,INDEX('calcA'!$D$130:$EQ$169,$B19,18)+IF(AND($E19=1,JH19=0),25,0),INDEX('calcA'!U$110:U$114,$F19+1)+IF(AND($E19=1,JH19=0),1000,0)+IF($H19=1,INDEX('calcA'!$D$180:$EQ$219,$B19,18)*500,0)-IF(AND('calcA'!T$117=1,UR19&gt;0),300,0)-IF(AND($U19=1,'calcA'!U$117=1,DT19=0),300,0))),1000000000))</f>
        <v/>
      </c>
      <c r="OX19">
        <f>IF($B19=0,1000000000,IF(INDEX('calcA'!$D$60:$EQ$99,$B19,19)*IF($W19=1,DT19+AAI19,DT19)=1,IF(AND($E19=2,IF($W19=1,AFX19,JI19)=0),1000000000,IF($V19=1,INDEX('calcA'!$D$130:$EQ$169,$B19,19)+IF(AND($E19=1,JI19=0),25,0),INDEX('calcA'!V$110:V$114,$F19+1)+IF(AND($E19=1,JI19=0),1000,0)+IF($H19=1,INDEX('calcA'!$D$180:$EQ$219,$B19,19)*500,0)-IF(AND('calcA'!U$117=1,US19&gt;0),300,0)-IF(AND($U19=1,'calcA'!V$117=1,DU19=0),300,0))),1000000000))</f>
        <v/>
      </c>
      <c r="OY19">
        <f>IF($B19=0,1000000000,IF(INDEX('calcA'!$D$60:$EQ$99,$B19,20)*IF($W19=1,DU19+AAJ19,DU19)=1,IF(AND($E19=2,IF($W19=1,AFY19,JJ19)=0),1000000000,IF($V19=1,INDEX('calcA'!$D$130:$EQ$169,$B19,20)+IF(AND($E19=1,JJ19=0),25,0),INDEX('calcA'!W$110:W$114,$F19+1)+IF(AND($E19=1,JJ19=0),1000,0)+IF($H19=1,INDEX('calcA'!$D$180:$EQ$219,$B19,20)*500,0)-IF(AND('calcA'!V$117=1,UT19&gt;0),300,0)-IF(AND($U19=1,'calcA'!W$117=1,DV19=0),300,0))),1000000000))</f>
        <v/>
      </c>
      <c r="OZ19">
        <f>IF($B19=0,1000000000,IF(INDEX('calcA'!$D$60:$EQ$99,$B19,21)*IF($W19=1,DV19+AAK19,DV19)=1,IF(AND($E19=2,IF($W19=1,AFZ19,JK19)=0),1000000000,IF($V19=1,INDEX('calcA'!$D$130:$EQ$169,$B19,21)+IF(AND($E19=1,JK19=0),25,0),INDEX('calcA'!X$110:X$114,$F19+1)+IF(AND($E19=1,JK19=0),1000,0)+IF($H19=1,INDEX('calcA'!$D$180:$EQ$219,$B19,21)*500,0)-IF(AND('calcA'!W$117=1,UU19&gt;0),300,0)-IF(AND($U19=1,'calcA'!X$117=1,DW19=0),300,0))),1000000000))</f>
        <v/>
      </c>
      <c r="PA19">
        <f>IF($B19=0,1000000000,IF(INDEX('calcA'!$D$60:$EQ$99,$B19,22)*IF($W19=1,DW19+AAL19,DW19)=1,IF(AND($E19=2,IF($W19=1,AGA19,JL19)=0),1000000000,IF($V19=1,INDEX('calcA'!$D$130:$EQ$169,$B19,22)+IF(AND($E19=1,JL19=0),25,0),INDEX('calcA'!Y$110:Y$114,$F19+1)+IF(AND($E19=1,JL19=0),1000,0)+IF($H19=1,INDEX('calcA'!$D$180:$EQ$219,$B19,22)*500,0)-IF(AND('calcA'!X$117=1,UV19&gt;0),300,0)-IF(AND($U19=1,'calcA'!Y$117=1,DX19=0),300,0))),1000000000))</f>
        <v/>
      </c>
      <c r="PB19">
        <f>IF($B19=0,1000000000,IF(INDEX('calcA'!$D$60:$EQ$99,$B19,23)*IF($W19=1,DX19+AAM19,DX19)=1,IF(AND($E19=2,IF($W19=1,AGB19,JM19)=0),1000000000,IF($V19=1,INDEX('calcA'!$D$130:$EQ$169,$B19,23)+IF(AND($E19=1,JM19=0),25,0),INDEX('calcA'!Z$110:Z$114,$F19+1)+IF(AND($E19=1,JM19=0),1000,0)+IF($H19=1,INDEX('calcA'!$D$180:$EQ$219,$B19,23)*500,0)-IF(AND('calcA'!Y$117=1,UW19&gt;0),300,0)-IF(AND($U19=1,'calcA'!Z$117=1,DY19=0),300,0))),1000000000))</f>
        <v/>
      </c>
      <c r="PC19">
        <f>IF($B19=0,1000000000,IF(INDEX('calcA'!$D$60:$EQ$99,$B19,24)*IF($W19=1,DY19+AAN19,DY19)=1,IF(AND($E19=2,IF($W19=1,AGC19,JN19)=0),1000000000,IF($V19=1,INDEX('calcA'!$D$130:$EQ$169,$B19,24)+IF(AND($E19=1,JN19=0),25,0),INDEX('calcA'!AA$110:AA$114,$F19+1)+IF(AND($E19=1,JN19=0),1000,0)+IF($H19=1,INDEX('calcA'!$D$180:$EQ$219,$B19,24)*500,0)-IF(AND('calcA'!Z$117=1,UX19&gt;0),300,0))),1000000000))</f>
        <v/>
      </c>
      <c r="PD19">
        <f>IF($B19=0,1000000000,IF(INDEX('calcA'!$D$60:$EQ$99,$B19,25)*IF($W19=1,DZ19+AAO19,DZ19)=1,IF(AND($E19=2,IF($W19=1,AGD19,JO19)=0),1000000000,IF($V19=1,INDEX('calcA'!$D$130:$EQ$169,$B19,25)+IF(AND($E19=1,JO19=0),25,0),INDEX('calcA'!AB$110:AB$114,$F19+1)+IF(AND($E19=1,JO19=0),1000,0)+IF($H19=1,INDEX('calcA'!$D$180:$EQ$219,$B19,25)*500,0)-IF(AND($U19=1,'calcA'!AB$117=1,EA19=0),300,0))),1000000000))</f>
        <v/>
      </c>
      <c r="PE19">
        <f>IF($B19=0,1000000000,IF(INDEX('calcA'!$D$60:$EQ$99,$B19,26)*IF($W19=1,EA19+AAP19,EA19)=1,IF(AND($E19=2,IF($W19=1,AGE19,JP19)=0),1000000000,IF($V19=1,INDEX('calcA'!$D$130:$EQ$169,$B19,26)+IF(AND($E19=1,JP19=0),25,0),INDEX('calcA'!AC$110:AC$114,$F19+1)+IF(AND($E19=1,JP19=0),1000,0)+IF($H19=1,INDEX('calcA'!$D$180:$EQ$219,$B19,26)*500,0)-IF(AND('calcA'!AB$117=1,UZ19&gt;0),300,0)-IF(AND($U19=1,'calcA'!AC$117=1,EB19=0),300,0))),1000000000))</f>
        <v/>
      </c>
      <c r="PF19">
        <f>IF($B19=0,1000000000,IF(INDEX('calcA'!$D$60:$EQ$99,$B19,27)*IF($W19=1,EB19+AAQ19,EB19)=1,IF(AND($E19=2,IF($W19=1,AGF19,JQ19)=0),1000000000,IF($V19=1,INDEX('calcA'!$D$130:$EQ$169,$B19,27)+IF(AND($E19=1,JQ19=0),25,0),INDEX('calcA'!AD$110:AD$114,$F19+1)+IF(AND($E19=1,JQ19=0),1000,0)+IF($H19=1,INDEX('calcA'!$D$180:$EQ$219,$B19,27)*500,0)-IF(AND('calcA'!AC$117=1,VA19&gt;0),300,0)-IF(AND($U19=1,'calcA'!AD$117=1,EC19=0),300,0))),1000000000))</f>
        <v/>
      </c>
      <c r="PG19">
        <f>IF($B19=0,1000000000,IF(INDEX('calcA'!$D$60:$EQ$99,$B19,28)*IF($W19=1,EC19+AAR19,EC19)=1,IF(AND($E19=2,IF($W19=1,AGG19,JR19)=0),1000000000,IF($V19=1,INDEX('calcA'!$D$130:$EQ$169,$B19,28)+IF(AND($E19=1,JR19=0),25,0),INDEX('calcA'!AE$110:AE$114,$F19+1)+IF(AND($E19=1,JR19=0),1000,0)+IF($H19=1,INDEX('calcA'!$D$180:$EQ$219,$B19,28)*500,0)-IF(AND('calcA'!AD$117=1,VB19&gt;0),300,0)-IF(AND($U19=1,'calcA'!AE$117=1,ED19=0),300,0))),1000000000))</f>
        <v/>
      </c>
      <c r="PH19">
        <f>IF($B19=0,1000000000,IF(INDEX('calcA'!$D$60:$EQ$99,$B19,29)*IF($W19=1,ED19+AAS19,ED19)=1,IF(AND($E19=2,IF($W19=1,AGH19,JS19)=0),1000000000,IF($V19=1,INDEX('calcA'!$D$130:$EQ$169,$B19,29)+IF(AND($E19=1,JS19=0),25,0),INDEX('calcA'!AF$110:AF$114,$F19+1)+IF(AND($E19=1,JS19=0),1000,0)+IF($H19=1,INDEX('calcA'!$D$180:$EQ$219,$B19,29)*500,0)-IF(AND('calcA'!AE$117=1,VC19&gt;0),300,0)-IF(AND($U19=1,'calcA'!AF$117=1,EE19=0),300,0))),1000000000))</f>
        <v/>
      </c>
      <c r="PI19">
        <f>IF($B19=0,1000000000,IF(INDEX('calcA'!$D$60:$EQ$99,$B19,30)*IF($W19=1,EE19+AAT19,EE19)=1,IF(AND($E19=2,IF($W19=1,AGI19,JT19)=0),1000000000,IF($V19=1,INDEX('calcA'!$D$130:$EQ$169,$B19,30)+IF(AND($E19=1,JT19=0),25,0),INDEX('calcA'!AG$110:AG$114,$F19+1)+IF(AND($E19=1,JT19=0),1000,0)+IF($H19=1,INDEX('calcA'!$D$180:$EQ$219,$B19,30)*500,0)-IF(AND('calcA'!AF$117=1,VD19&gt;0),300,0)-IF(AND($U19=1,'calcA'!AG$117=1,EF19=0),300,0))),1000000000))</f>
        <v/>
      </c>
      <c r="PJ19">
        <f>IF($B19=0,1000000000,IF(INDEX('calcA'!$D$60:$EQ$99,$B19,31)*IF($W19=1,EF19+AAU19,EF19)=1,IF(AND($E19=2,IF($W19=1,AGJ19,JU19)=0),1000000000,IF($V19=1,INDEX('calcA'!$D$130:$EQ$169,$B19,31)+IF(AND($E19=1,JU19=0),25,0),INDEX('calcA'!AH$110:AH$114,$F19+1)+IF(AND($E19=1,JU19=0),1000,0)+IF($H19=1,INDEX('calcA'!$D$180:$EQ$219,$B19,31)*500,0)-IF(AND('calcA'!AG$117=1,VE19&gt;0),300,0)-IF(AND($U19=1,'calcA'!AH$117=1,EG19=0),300,0))),1000000000))</f>
        <v/>
      </c>
      <c r="PK19">
        <f>IF($B19=0,1000000000,IF(INDEX('calcA'!$D$60:$EQ$99,$B19,32)*IF($W19=1,EG19+AAV19,EG19)=1,IF(AND($E19=2,IF($W19=1,AGK19,JV19)=0),1000000000,IF($V19=1,INDEX('calcA'!$D$130:$EQ$169,$B19,32)+IF(AND($E19=1,JV19=0),25,0),INDEX('calcA'!AI$110:AI$114,$F19+1)+IF(AND($E19=1,JV19=0),1000,0)+IF($H19=1,INDEX('calcA'!$D$180:$EQ$219,$B19,32)*500,0)-IF(AND('calcA'!AH$117=1,VF19&gt;0),300,0)-IF(AND($U19=1,'calcA'!AI$117=1,EH19=0),300,0))),1000000000))</f>
        <v/>
      </c>
      <c r="PL19">
        <f>IF($B19=0,1000000000,IF(INDEX('calcA'!$D$60:$EQ$99,$B19,33)*IF($W19=1,EH19+AAW19,EH19)=1,IF(AND($E19=2,IF($W19=1,AGL19,JW19)=0),1000000000,IF($V19=1,INDEX('calcA'!$D$130:$EQ$169,$B19,33)+IF(AND($E19=1,JW19=0),25,0),INDEX('calcA'!AJ$110:AJ$114,$F19+1)+IF(AND($E19=1,JW19=0),1000,0)+IF($H19=1,INDEX('calcA'!$D$180:$EQ$219,$B19,33)*500,0)-IF(AND('calcA'!AI$117=1,VG19&gt;0),300,0)-IF(AND($U19=1,'calcA'!AJ$117=1,EI19=0),300,0))),1000000000))</f>
        <v/>
      </c>
      <c r="PM19">
        <f>IF($B19=0,1000000000,IF(INDEX('calcA'!$D$60:$EQ$99,$B19,34)*IF($W19=1,EI19+AAX19,EI19)=1,IF(AND($E19=2,IF($W19=1,AGM19,JX19)=0),1000000000,IF($V19=1,INDEX('calcA'!$D$130:$EQ$169,$B19,34)+IF(AND($E19=1,JX19=0),25,0),INDEX('calcA'!AK$110:AK$114,$F19+1)+IF(AND($E19=1,JX19=0),1000,0)+IF($H19=1,INDEX('calcA'!$D$180:$EQ$219,$B19,34)*500,0)-IF(AND('calcA'!AJ$117=1,VH19&gt;0),300,0)-IF(AND($U19=1,'calcA'!AK$117=1,EJ19=0),300,0))),1000000000))</f>
        <v/>
      </c>
      <c r="PN19">
        <f>IF($B19=0,1000000000,IF(INDEX('calcA'!$D$60:$EQ$99,$B19,35)*IF($W19=1,EJ19+AAY19,EJ19)=1,IF(AND($E19=2,IF($W19=1,AGN19,JY19)=0),1000000000,IF($V19=1,INDEX('calcA'!$D$130:$EQ$169,$B19,35)+IF(AND($E19=1,JY19=0),25,0),INDEX('calcA'!AL$110:AL$114,$F19+1)+IF(AND($E19=1,JY19=0),1000,0)+IF($H19=1,INDEX('calcA'!$D$180:$EQ$219,$B19,35)*500,0)-IF(AND('calcA'!AK$117=1,VI19&gt;0),300,0)-IF(AND($U19=1,'calcA'!AL$117=1,EK19=0),300,0))),1000000000))</f>
        <v/>
      </c>
      <c r="PO19">
        <f>IF($B19=0,1000000000,IF(INDEX('calcA'!$D$60:$EQ$99,$B19,36)*IF($W19=1,EK19+AAZ19,EK19)=1,IF(AND($E19=2,IF($W19=1,AGO19,JZ19)=0),1000000000,IF($V19=1,INDEX('calcA'!$D$130:$EQ$169,$B19,36)+IF(AND($E19=1,JZ19=0),25,0),INDEX('calcA'!AM$110:AM$114,$F19+1)+IF(AND($E19=1,JZ19=0),1000,0)+IF($H19=1,INDEX('calcA'!$D$180:$EQ$219,$B19,36)*500,0)-IF(AND('calcA'!AL$117=1,VJ19&gt;0),300,0)-IF(AND($U19=1,'calcA'!AM$117=1,EL19=0),300,0))),1000000000))</f>
        <v/>
      </c>
      <c r="PP19">
        <f>IF($B19=0,1000000000,IF(INDEX('calcA'!$D$60:$EQ$99,$B19,37)*IF($W19=1,EL19+ABA19,EL19)=1,IF(AND($E19=2,IF($W19=1,AGP19,KA19)=0),1000000000,IF($V19=1,INDEX('calcA'!$D$130:$EQ$169,$B19,37)+IF(AND($E19=1,KA19=0),25,0),INDEX('calcA'!AN$110:AN$114,$F19+1)+IF(AND($E19=1,KA19=0),1000,0)+IF($H19=1,INDEX('calcA'!$D$180:$EQ$219,$B19,37)*500,0)-IF(AND('calcA'!AM$117=1,VK19&gt;0),300,0)-IF(AND($U19=1,'calcA'!AN$117=1,EM19=0),300,0))),1000000000))</f>
        <v/>
      </c>
      <c r="PQ19">
        <f>IF($B19=0,1000000000,IF(INDEX('calcA'!$D$60:$EQ$99,$B19,38)*IF($W19=1,EM19+ABB19,EM19)=1,IF(AND($E19=2,IF($W19=1,AGQ19,KB19)=0),1000000000,IF($V19=1,INDEX('calcA'!$D$130:$EQ$169,$B19,38)+IF(AND($E19=1,KB19=0),25,0),INDEX('calcA'!AO$110:AO$114,$F19+1)+IF(AND($E19=1,KB19=0),1000,0)+IF($H19=1,INDEX('calcA'!$D$180:$EQ$219,$B19,38)*500,0)-IF(AND('calcA'!AN$117=1,VL19&gt;0),300,0)-IF(AND($U19=1,'calcA'!AO$117=1,EN19=0),300,0))),1000000000))</f>
        <v/>
      </c>
      <c r="PR19">
        <f>IF($B19=0,1000000000,IF(INDEX('calcA'!$D$60:$EQ$99,$B19,39)*IF($W19=1,EN19+ABC19,EN19)=1,IF(AND($E19=2,IF($W19=1,AGR19,KC19)=0),1000000000,IF($V19=1,INDEX('calcA'!$D$130:$EQ$169,$B19,39)+IF(AND($E19=1,KC19=0),25,0),INDEX('calcA'!AP$110:AP$114,$F19+1)+IF(AND($E19=1,KC19=0),1000,0)+IF($H19=1,INDEX('calcA'!$D$180:$EQ$219,$B19,39)*500,0)-IF(AND('calcA'!AO$117=1,VM19&gt;0),300,0)-IF(AND($U19=1,'calcA'!AP$117=1,EO19=0),300,0))),1000000000))</f>
        <v/>
      </c>
      <c r="PS19">
        <f>IF($B19=0,1000000000,IF(INDEX('calcA'!$D$60:$EQ$99,$B19,40)*IF($W19=1,EO19+ABD19,EO19)=1,IF(AND($E19=2,IF($W19=1,AGS19,KD19)=0),1000000000,IF($V19=1,INDEX('calcA'!$D$130:$EQ$169,$B19,40)+IF(AND($E19=1,KD19=0),25,0),INDEX('calcA'!AQ$110:AQ$114,$F19+1)+IF(AND($E19=1,KD19=0),1000,0)+IF($H19=1,INDEX('calcA'!$D$180:$EQ$219,$B19,40)*500,0)-IF(AND('calcA'!AP$117=1,VN19&gt;0),300,0)-IF(AND($U19=1,'calcA'!AQ$117=1,EP19=0),300,0))),1000000000))</f>
        <v/>
      </c>
      <c r="PT19">
        <f>IF($B19=0,1000000000,IF(INDEX('calcA'!$D$60:$EQ$99,$B19,41)*IF($W19=1,EP19+ABE19,EP19)=1,IF(AND($E19=2,IF($W19=1,AGT19,KE19)=0),1000000000,IF($V19=1,INDEX('calcA'!$D$130:$EQ$169,$B19,41)+IF(AND($E19=1,KE19=0),25,0),INDEX('calcA'!AR$110:AR$114,$F19+1)+IF(AND($E19=1,KE19=0),1000,0)+IF($H19=1,INDEX('calcA'!$D$180:$EQ$219,$B19,41)*500,0)-IF(AND('calcA'!AQ$117=1,VO19&gt;0),300,0)-IF(AND($U19=1,'calcA'!AR$117=1,EQ19=0),300,0))),1000000000))</f>
        <v/>
      </c>
      <c r="PU19">
        <f>IF($B19=0,1000000000,IF(INDEX('calcA'!$D$60:$EQ$99,$B19,42)*IF($W19=1,EQ19+ABF19,EQ19)=1,IF(AND($E19=2,IF($W19=1,AGU19,KF19)=0),1000000000,IF($V19=1,INDEX('calcA'!$D$130:$EQ$169,$B19,42)+IF(AND($E19=1,KF19=0),25,0),INDEX('calcA'!AS$110:AS$114,$F19+1)+IF(AND($E19=1,KF19=0),1000,0)+IF($H19=1,INDEX('calcA'!$D$180:$EQ$219,$B19,42)*500,0)-IF(AND('calcA'!AR$117=1,VP19&gt;0),300,0)-IF(AND($U19=1,'calcA'!AS$117=1,ER19=0),300,0))),1000000000))</f>
        <v/>
      </c>
      <c r="PV19">
        <f>IF($B19=0,1000000000,IF(INDEX('calcA'!$D$60:$EQ$99,$B19,43)*IF($W19=1,ER19+ABG19,ER19)=1,IF(AND($E19=2,IF($W19=1,AGV19,KG19)=0),1000000000,IF($V19=1,INDEX('calcA'!$D$130:$EQ$169,$B19,43)+IF(AND($E19=1,KG19=0),25,0),INDEX('calcA'!AT$110:AT$114,$F19+1)+IF(AND($E19=1,KG19=0),1000,0)+IF($H19=1,INDEX('calcA'!$D$180:$EQ$219,$B19,43)*500,0)-IF(AND('calcA'!AS$117=1,VQ19&gt;0),300,0)-IF(AND($U19=1,'calcA'!AT$117=1,ES19=0),300,0))),1000000000))</f>
        <v/>
      </c>
      <c r="PW19">
        <f>IF($B19=0,1000000000,IF(INDEX('calcA'!$D$60:$EQ$99,$B19,44)*IF($W19=1,ES19+ABH19,ES19)=1,IF(AND($E19=2,IF($W19=1,AGW19,KH19)=0),1000000000,IF($V19=1,INDEX('calcA'!$D$130:$EQ$169,$B19,44)+IF(AND($E19=1,KH19=0),25,0),INDEX('calcA'!AU$110:AU$114,$F19+1)+IF(AND($E19=1,KH19=0),1000,0)+IF($H19=1,INDEX('calcA'!$D$180:$EQ$219,$B19,44)*500,0)-IF(AND('calcA'!AT$117=1,VR19&gt;0),300,0)-IF(AND($U19=1,'calcA'!AU$117=1,ET19=0),300,0))),1000000000))</f>
        <v/>
      </c>
      <c r="PX19">
        <f>IF($B19=0,1000000000,IF(INDEX('calcA'!$D$60:$EQ$99,$B19,45)*IF($W19=1,ET19+ABI19,ET19)=1,IF(AND($E19=2,IF($W19=1,AGX19,KI19)=0),1000000000,IF($V19=1,INDEX('calcA'!$D$130:$EQ$169,$B19,45)+IF(AND($E19=1,KI19=0),25,0),INDEX('calcA'!AV$110:AV$114,$F19+1)+IF(AND($E19=1,KI19=0),1000,0)+IF($H19=1,INDEX('calcA'!$D$180:$EQ$219,$B19,45)*500,0)-IF(AND('calcA'!AU$117=1,VS19&gt;0),300,0)-IF(AND($U19=1,'calcA'!AV$117=1,EU19=0),300,0))),1000000000))</f>
        <v/>
      </c>
      <c r="PY19">
        <f>IF($B19=0,1000000000,IF(INDEX('calcA'!$D$60:$EQ$99,$B19,46)*IF($W19=1,EU19+ABJ19,EU19)=1,IF(AND($E19=2,IF($W19=1,AGY19,KJ19)=0),1000000000,IF($V19=1,INDEX('calcA'!$D$130:$EQ$169,$B19,46)+IF(AND($E19=1,KJ19=0),25,0),INDEX('calcA'!AW$110:AW$114,$F19+1)+IF(AND($E19=1,KJ19=0),1000,0)+IF($H19=1,INDEX('calcA'!$D$180:$EQ$219,$B19,46)*500,0)-IF(AND('calcA'!AV$117=1,VT19&gt;0),300,0)-IF(AND($U19=1,'calcA'!AW$117=1,EV19=0),300,0))),1000000000))</f>
        <v/>
      </c>
      <c r="PZ19">
        <f>IF($B19=0,1000000000,IF(INDEX('calcA'!$D$60:$EQ$99,$B19,47)*IF($W19=1,EV19+ABK19,EV19)=1,IF(AND($E19=2,IF($W19=1,AGZ19,KK19)=0),1000000000,IF($V19=1,INDEX('calcA'!$D$130:$EQ$169,$B19,47)+IF(AND($E19=1,KK19=0),25,0),INDEX('calcA'!AX$110:AX$114,$F19+1)+IF(AND($E19=1,KK19=0),1000,0)+IF($H19=1,INDEX('calcA'!$D$180:$EQ$219,$B19,47)*500,0)-IF(AND('calcA'!AW$117=1,VU19&gt;0),300,0)-IF(AND($U19=1,'calcA'!AX$117=1,EW19=0),300,0))),1000000000))</f>
        <v/>
      </c>
      <c r="QA19">
        <f>IF($B19=0,1000000000,IF(INDEX('calcA'!$D$60:$EQ$99,$B19,48)*IF($W19=1,EW19+ABL19,EW19)=1,IF(AND($E19=2,IF($W19=1,AHA19,KL19)=0),1000000000,IF($V19=1,INDEX('calcA'!$D$130:$EQ$169,$B19,48)+IF(AND($E19=1,KL19=0),25,0),INDEX('calcA'!AY$110:AY$114,$F19+1)+IF(AND($E19=1,KL19=0),1000,0)+IF($H19=1,INDEX('calcA'!$D$180:$EQ$219,$B19,48)*500,0)-IF(AND('calcA'!AX$117=1,VV19&gt;0),300,0))),1000000000))</f>
        <v/>
      </c>
      <c r="QB19">
        <f>IF($B19=0,1000000000,IF(INDEX('calcA'!$D$60:$EQ$99,$B19,49)*IF($W19=1,EX19+ABM19,EX19)=1,IF(AND($E19=2,IF($W19=1,AHB19,KM19)=0),1000000000,IF($V19=1,INDEX('calcA'!$D$130:$EQ$169,$B19,49)+IF(AND($E19=1,KM19=0),25,0),INDEX('calcA'!AZ$110:AZ$114,$F19+1)+IF(AND($E19=1,KM19=0),1000,0)+IF($H19=1,INDEX('calcA'!$D$180:$EQ$219,$B19,49)*500,0)-IF(AND($U19=1,'calcA'!AZ$117=1,EY19=0),300,0))),1000000000))</f>
        <v/>
      </c>
      <c r="QC19">
        <f>IF($B19=0,1000000000,IF(INDEX('calcA'!$D$60:$EQ$99,$B19,50)*IF($W19=1,EY19+ABN19,EY19)=1,IF(AND($E19=2,IF($W19=1,AHC19,KN19)=0),1000000000,IF($V19=1,INDEX('calcA'!$D$130:$EQ$169,$B19,50)+IF(AND($E19=1,KN19=0),25,0),INDEX('calcA'!BA$110:BA$114,$F19+1)+IF(AND($E19=1,KN19=0),1000,0)+IF($H19=1,INDEX('calcA'!$D$180:$EQ$219,$B19,50)*500,0)-IF(AND('calcA'!AZ$117=1,VX19&gt;0),300,0)-IF(AND($U19=1,'calcA'!BA$117=1,EZ19=0),300,0))),1000000000))</f>
        <v/>
      </c>
      <c r="QD19">
        <f>IF($B19=0,1000000000,IF(INDEX('calcA'!$D$60:$EQ$99,$B19,51)*IF($W19=1,EZ19+ABO19,EZ19)=1,IF(AND($E19=2,IF($W19=1,AHD19,KO19)=0),1000000000,IF($V19=1,INDEX('calcA'!$D$130:$EQ$169,$B19,51)+IF(AND($E19=1,KO19=0),25,0),INDEX('calcA'!BB$110:BB$114,$F19+1)+IF(AND($E19=1,KO19=0),1000,0)+IF($H19=1,INDEX('calcA'!$D$180:$EQ$219,$B19,51)*500,0)-IF(AND('calcA'!BA$117=1,VY19&gt;0),300,0)-IF(AND($U19=1,'calcA'!BB$117=1,FA19=0),300,0))),1000000000))</f>
        <v/>
      </c>
      <c r="QE19">
        <f>IF($B19=0,1000000000,IF(INDEX('calcA'!$D$60:$EQ$99,$B19,52)*IF($W19=1,FA19+ABP19,FA19)=1,IF(AND($E19=2,IF($W19=1,AHE19,KP19)=0),1000000000,IF($V19=1,INDEX('calcA'!$D$130:$EQ$169,$B19,52)+IF(AND($E19=1,KP19=0),25,0),INDEX('calcA'!BC$110:BC$114,$F19+1)+IF(AND($E19=1,KP19=0),1000,0)+IF($H19=1,INDEX('calcA'!$D$180:$EQ$219,$B19,52)*500,0)-IF(AND('calcA'!BB$117=1,VZ19&gt;0),300,0)-IF(AND($U19=1,'calcA'!BC$117=1,FB19=0),300,0))),1000000000))</f>
        <v/>
      </c>
      <c r="QF19">
        <f>IF($B19=0,1000000000,IF(INDEX('calcA'!$D$60:$EQ$99,$B19,53)*IF($W19=1,FB19+ABQ19,FB19)=1,IF(AND($E19=2,IF($W19=1,AHF19,KQ19)=0),1000000000,IF($V19=1,INDEX('calcA'!$D$130:$EQ$169,$B19,53)+IF(AND($E19=1,KQ19=0),25,0),INDEX('calcA'!BD$110:BD$114,$F19+1)+IF(AND($E19=1,KQ19=0),1000,0)+IF($H19=1,INDEX('calcA'!$D$180:$EQ$219,$B19,53)*500,0)-IF(AND('calcA'!BC$117=1,WA19&gt;0),300,0)-IF(AND($U19=1,'calcA'!BD$117=1,FC19=0),300,0))),1000000000))</f>
        <v/>
      </c>
      <c r="QG19">
        <f>IF($B19=0,1000000000,IF(INDEX('calcA'!$D$60:$EQ$99,$B19,54)*IF($W19=1,FC19+ABR19,FC19)=1,IF(AND($E19=2,IF($W19=1,AHG19,KR19)=0),1000000000,IF($V19=1,INDEX('calcA'!$D$130:$EQ$169,$B19,54)+IF(AND($E19=1,KR19=0),25,0),INDEX('calcA'!BE$110:BE$114,$F19+1)+IF(AND($E19=1,KR19=0),1000,0)+IF($H19=1,INDEX('calcA'!$D$180:$EQ$219,$B19,54)*500,0)-IF(AND('calcA'!BD$117=1,WB19&gt;0),300,0)-IF(AND($U19=1,'calcA'!BE$117=1,FD19=0),300,0))),1000000000))</f>
        <v/>
      </c>
      <c r="QH19">
        <f>IF($B19=0,1000000000,IF(INDEX('calcA'!$D$60:$EQ$99,$B19,55)*IF($W19=1,FD19+ABS19,FD19)=1,IF(AND($E19=2,IF($W19=1,AHH19,KS19)=0),1000000000,IF($V19=1,INDEX('calcA'!$D$130:$EQ$169,$B19,55)+IF(AND($E19=1,KS19=0),25,0),INDEX('calcA'!BF$110:BF$114,$F19+1)+IF(AND($E19=1,KS19=0),1000,0)+IF($H19=1,INDEX('calcA'!$D$180:$EQ$219,$B19,55)*500,0)-IF(AND('calcA'!BE$117=1,WC19&gt;0),300,0)-IF(AND($U19=1,'calcA'!BF$117=1,FE19=0),300,0))),1000000000))</f>
        <v/>
      </c>
      <c r="QI19">
        <f>IF($B19=0,1000000000,IF(INDEX('calcA'!$D$60:$EQ$99,$B19,56)*IF($W19=1,FE19+ABT19,FE19)=1,IF(AND($E19=2,IF($W19=1,AHI19,KT19)=0),1000000000,IF($V19=1,INDEX('calcA'!$D$130:$EQ$169,$B19,56)+IF(AND($E19=1,KT19=0),25,0),INDEX('calcA'!BG$110:BG$114,$F19+1)+IF(AND($E19=1,KT19=0),1000,0)+IF($H19=1,INDEX('calcA'!$D$180:$EQ$219,$B19,56)*500,0)-IF(AND('calcA'!BF$117=1,WD19&gt;0),300,0)-IF(AND($U19=1,'calcA'!BG$117=1,FF19=0),300,0))),1000000000))</f>
        <v/>
      </c>
      <c r="QJ19">
        <f>IF($B19=0,1000000000,IF(INDEX('calcA'!$D$60:$EQ$99,$B19,57)*IF($W19=1,FF19+ABU19,FF19)=1,IF(AND($E19=2,IF($W19=1,AHJ19,KU19)=0),1000000000,IF($V19=1,INDEX('calcA'!$D$130:$EQ$169,$B19,57)+IF(AND($E19=1,KU19=0),25,0),INDEX('calcA'!BH$110:BH$114,$F19+1)+IF(AND($E19=1,KU19=0),1000,0)+IF($H19=1,INDEX('calcA'!$D$180:$EQ$219,$B19,57)*500,0)-IF(AND('calcA'!BG$117=1,WE19&gt;0),300,0)-IF(AND($U19=1,'calcA'!BH$117=1,FG19=0),300,0))),1000000000))</f>
        <v/>
      </c>
      <c r="QK19">
        <f>IF($B19=0,1000000000,IF(INDEX('calcA'!$D$60:$EQ$99,$B19,58)*IF($W19=1,FG19+ABV19,FG19)=1,IF(AND($E19=2,IF($W19=1,AHK19,KV19)=0),1000000000,IF($V19=1,INDEX('calcA'!$D$130:$EQ$169,$B19,58)+IF(AND($E19=1,KV19=0),25,0),INDEX('calcA'!BI$110:BI$114,$F19+1)+IF(AND($E19=1,KV19=0),1000,0)+IF($H19=1,INDEX('calcA'!$D$180:$EQ$219,$B19,58)*500,0)-IF(AND('calcA'!BH$117=1,WF19&gt;0),300,0)-IF(AND($U19=1,'calcA'!BI$117=1,FH19=0),300,0))),1000000000))</f>
        <v/>
      </c>
      <c r="QL19">
        <f>IF($B19=0,1000000000,IF(INDEX('calcA'!$D$60:$EQ$99,$B19,59)*IF($W19=1,FH19+ABW19,FH19)=1,IF(AND($E19=2,IF($W19=1,AHL19,KW19)=0),1000000000,IF($V19=1,INDEX('calcA'!$D$130:$EQ$169,$B19,59)+IF(AND($E19=1,KW19=0),25,0),INDEX('calcA'!BJ$110:BJ$114,$F19+1)+IF(AND($E19=1,KW19=0),1000,0)+IF($H19=1,INDEX('calcA'!$D$180:$EQ$219,$B19,59)*500,0)-IF(AND('calcA'!BI$117=1,WG19&gt;0),300,0)-IF(AND($U19=1,'calcA'!BJ$117=1,FI19=0),300,0))),1000000000))</f>
        <v/>
      </c>
      <c r="QM19">
        <f>IF($B19=0,1000000000,IF(INDEX('calcA'!$D$60:$EQ$99,$B19,60)*IF($W19=1,FI19+ABX19,FI19)=1,IF(AND($E19=2,IF($W19=1,AHM19,KX19)=0),1000000000,IF($V19=1,INDEX('calcA'!$D$130:$EQ$169,$B19,60)+IF(AND($E19=1,KX19=0),25,0),INDEX('calcA'!BK$110:BK$114,$F19+1)+IF(AND($E19=1,KX19=0),1000,0)+IF($H19=1,INDEX('calcA'!$D$180:$EQ$219,$B19,60)*500,0)-IF(AND('calcA'!BJ$117=1,WH19&gt;0),300,0)-IF(AND($U19=1,'calcA'!BK$117=1,FJ19=0),300,0))),1000000000))</f>
        <v/>
      </c>
      <c r="QN19">
        <f>IF($B19=0,1000000000,IF(INDEX('calcA'!$D$60:$EQ$99,$B19,61)*IF($W19=1,FJ19+ABY19,FJ19)=1,IF(AND($E19=2,IF($W19=1,AHN19,KY19)=0),1000000000,IF($V19=1,INDEX('calcA'!$D$130:$EQ$169,$B19,61)+IF(AND($E19=1,KY19=0),25,0),INDEX('calcA'!BL$110:BL$114,$F19+1)+IF(AND($E19=1,KY19=0),1000,0)+IF($H19=1,INDEX('calcA'!$D$180:$EQ$219,$B19,61)*500,0)-IF(AND('calcA'!BK$117=1,WI19&gt;0),300,0)-IF(AND($U19=1,'calcA'!BL$117=1,FK19=0),300,0))),1000000000))</f>
        <v/>
      </c>
      <c r="QO19">
        <f>IF($B19=0,1000000000,IF(INDEX('calcA'!$D$60:$EQ$99,$B19,62)*IF($W19=1,FK19+ABZ19,FK19)=1,IF(AND($E19=2,IF($W19=1,AHO19,KZ19)=0),1000000000,IF($V19=1,INDEX('calcA'!$D$130:$EQ$169,$B19,62)+IF(AND($E19=1,KZ19=0),25,0),INDEX('calcA'!BM$110:BM$114,$F19+1)+IF(AND($E19=1,KZ19=0),1000,0)+IF($H19=1,INDEX('calcA'!$D$180:$EQ$219,$B19,62)*500,0)-IF(AND('calcA'!BL$117=1,WJ19&gt;0),300,0)-IF(AND($U19=1,'calcA'!BM$117=1,FL19=0),300,0))),1000000000))</f>
        <v/>
      </c>
      <c r="QP19">
        <f>IF($B19=0,1000000000,IF(INDEX('calcA'!$D$60:$EQ$99,$B19,63)*IF($W19=1,FL19+ACA19,FL19)=1,IF(AND($E19=2,IF($W19=1,AHP19,LA19)=0),1000000000,IF($V19=1,INDEX('calcA'!$D$130:$EQ$169,$B19,63)+IF(AND($E19=1,LA19=0),25,0),INDEX('calcA'!BN$110:BN$114,$F19+1)+IF(AND($E19=1,LA19=0),1000,0)+IF($H19=1,INDEX('calcA'!$D$180:$EQ$219,$B19,63)*500,0)-IF(AND('calcA'!BM$117=1,WK19&gt;0),300,0)-IF(AND($U19=1,'calcA'!BN$117=1,FM19=0),300,0))),1000000000))</f>
        <v/>
      </c>
      <c r="QQ19">
        <f>IF($B19=0,1000000000,IF(INDEX('calcA'!$D$60:$EQ$99,$B19,64)*IF($W19=1,FM19+ACB19,FM19)=1,IF(AND($E19=2,IF($W19=1,AHQ19,LB19)=0),1000000000,IF($V19=1,INDEX('calcA'!$D$130:$EQ$169,$B19,64)+IF(AND($E19=1,LB19=0),25,0),INDEX('calcA'!BO$110:BO$114,$F19+1)+IF(AND($E19=1,LB19=0),1000,0)+IF($H19=1,INDEX('calcA'!$D$180:$EQ$219,$B19,64)*500,0)-IF(AND('calcA'!BN$117=1,WL19&gt;0),300,0)-IF(AND($U19=1,'calcA'!BO$117=1,FN19=0),300,0))),1000000000))</f>
        <v/>
      </c>
      <c r="QR19">
        <f>IF($B19=0,1000000000,IF(INDEX('calcA'!$D$60:$EQ$99,$B19,65)*IF($W19=1,FN19+ACC19,FN19)=1,IF(AND($E19=2,IF($W19=1,AHR19,LC19)=0),1000000000,IF($V19=1,INDEX('calcA'!$D$130:$EQ$169,$B19,65)+IF(AND($E19=1,LC19=0),25,0),INDEX('calcA'!BP$110:BP$114,$F19+1)+IF(AND($E19=1,LC19=0),1000,0)+IF($H19=1,INDEX('calcA'!$D$180:$EQ$219,$B19,65)*500,0)-IF(AND('calcA'!BO$117=1,WM19&gt;0),300,0)-IF(AND($U19=1,'calcA'!BP$117=1,FO19=0),300,0))),1000000000))</f>
        <v/>
      </c>
      <c r="QS19">
        <f>IF($B19=0,1000000000,IF(INDEX('calcA'!$D$60:$EQ$99,$B19,66)*IF($W19=1,FO19+ACD19,FO19)=1,IF(AND($E19=2,IF($W19=1,AHS19,LD19)=0),1000000000,IF($V19=1,INDEX('calcA'!$D$130:$EQ$169,$B19,66)+IF(AND($E19=1,LD19=0),25,0),INDEX('calcA'!BQ$110:BQ$114,$F19+1)+IF(AND($E19=1,LD19=0),1000,0)+IF($H19=1,INDEX('calcA'!$D$180:$EQ$219,$B19,66)*500,0)-IF(AND('calcA'!BP$117=1,WN19&gt;0),300,0)-IF(AND($U19=1,'calcA'!BQ$117=1,FP19=0),300,0))),1000000000))</f>
        <v/>
      </c>
      <c r="QT19">
        <f>IF($B19=0,1000000000,IF(INDEX('calcA'!$D$60:$EQ$99,$B19,67)*IF($W19=1,FP19+ACE19,FP19)=1,IF(AND($E19=2,IF($W19=1,AHT19,LE19)=0),1000000000,IF($V19=1,INDEX('calcA'!$D$130:$EQ$169,$B19,67)+IF(AND($E19=1,LE19=0),25,0),INDEX('calcA'!BR$110:BR$114,$F19+1)+IF(AND($E19=1,LE19=0),1000,0)+IF($H19=1,INDEX('calcA'!$D$180:$EQ$219,$B19,67)*500,0)-IF(AND('calcA'!BQ$117=1,WO19&gt;0),300,0)-IF(AND($U19=1,'calcA'!BR$117=1,FQ19=0),300,0))),1000000000))</f>
        <v/>
      </c>
      <c r="QU19">
        <f>IF($B19=0,1000000000,IF(INDEX('calcA'!$D$60:$EQ$99,$B19,68)*IF($W19=1,FQ19+ACF19,FQ19)=1,IF(AND($E19=2,IF($W19=1,AHU19,LF19)=0),1000000000,IF($V19=1,INDEX('calcA'!$D$130:$EQ$169,$B19,68)+IF(AND($E19=1,LF19=0),25,0),INDEX('calcA'!BS$110:BS$114,$F19+1)+IF(AND($E19=1,LF19=0),1000,0)+IF($H19=1,INDEX('calcA'!$D$180:$EQ$219,$B19,68)*500,0)-IF(AND('calcA'!BR$117=1,WP19&gt;0),300,0)-IF(AND($U19=1,'calcA'!BS$117=1,FR19=0),300,0))),1000000000))</f>
        <v/>
      </c>
      <c r="QV19">
        <f>IF($B19=0,1000000000,IF(INDEX('calcA'!$D$60:$EQ$99,$B19,69)*IF($W19=1,FR19+ACG19,FR19)=1,IF(AND($E19=2,IF($W19=1,AHV19,LG19)=0),1000000000,IF($V19=1,INDEX('calcA'!$D$130:$EQ$169,$B19,69)+IF(AND($E19=1,LG19=0),25,0),INDEX('calcA'!BT$110:BT$114,$F19+1)+IF(AND($E19=1,LG19=0),1000,0)+IF($H19=1,INDEX('calcA'!$D$180:$EQ$219,$B19,69)*500,0)-IF(AND('calcA'!BS$117=1,WQ19&gt;0),300,0)-IF(AND($U19=1,'calcA'!BT$117=1,FS19=0),300,0))),1000000000))</f>
        <v/>
      </c>
      <c r="QW19">
        <f>IF($B19=0,1000000000,IF(INDEX('calcA'!$D$60:$EQ$99,$B19,70)*IF($W19=1,FS19+ACH19,FS19)=1,IF(AND($E19=2,IF($W19=1,AHW19,LH19)=0),1000000000,IF($V19=1,INDEX('calcA'!$D$130:$EQ$169,$B19,70)+IF(AND($E19=1,LH19=0),25,0),INDEX('calcA'!BU$110:BU$114,$F19+1)+IF(AND($E19=1,LH19=0),1000,0)+IF($H19=1,INDEX('calcA'!$D$180:$EQ$219,$B19,70)*500,0)-IF(AND('calcA'!BT$117=1,WR19&gt;0),300,0)-IF(AND($U19=1,'calcA'!BU$117=1,FT19=0),300,0))),1000000000))</f>
        <v/>
      </c>
      <c r="QX19">
        <f>IF($B19=0,1000000000,IF(INDEX('calcA'!$D$60:$EQ$99,$B19,71)*IF($W19=1,FT19+ACI19,FT19)=1,IF(AND($E19=2,IF($W19=1,AHX19,LI19)=0),1000000000,IF($V19=1,INDEX('calcA'!$D$130:$EQ$169,$B19,71)+IF(AND($E19=1,LI19=0),25,0),INDEX('calcA'!BV$110:BV$114,$F19+1)+IF(AND($E19=1,LI19=0),1000,0)+IF($H19=1,INDEX('calcA'!$D$180:$EQ$219,$B19,71)*500,0)-IF(AND('calcA'!BU$117=1,WS19&gt;0),300,0)-IF(AND($U19=1,'calcA'!BV$117=1,FU19=0),300,0))),1000000000))</f>
        <v/>
      </c>
      <c r="QY19">
        <f>IF($B19=0,1000000000,IF(INDEX('calcA'!$D$60:$EQ$99,$B19,72)*IF($W19=1,FU19+ACJ19,FU19)=1,IF(AND($E19=2,IF($W19=1,AHY19,LJ19)=0),1000000000,IF($V19=1,INDEX('calcA'!$D$130:$EQ$169,$B19,72)+IF(AND($E19=1,LJ19=0),25,0),INDEX('calcA'!BW$110:BW$114,$F19+1)+IF(AND($E19=1,LJ19=0),1000,0)+IF($H19=1,INDEX('calcA'!$D$180:$EQ$219,$B19,72)*500,0)-IF(AND('calcA'!BV$117=1,WT19&gt;0),300,0))),1000000000))</f>
        <v/>
      </c>
      <c r="QZ19">
        <f>IF($B19=0,1000000000,IF(INDEX('calcA'!$D$60:$EQ$99,$B19,73)*IF($W19=1,FV19+ACK19,FV19)=1,IF(AND($E19=2,IF($W19=1,AHZ19,LK19)=0),1000000000,IF($V19=1,INDEX('calcA'!$D$130:$EQ$169,$B19,73)+IF(AND($E19=1,LK19=0),25,0),INDEX('calcA'!BX$110:BX$114,$F19+1)+IF(AND($E19=1,LK19=0),1000,0)+IF($H19=1,INDEX('calcA'!$D$180:$EQ$219,$B19,73)*500,0)-IF(AND($U19=1,'calcA'!BX$117=1,FW19=0),300,0))),1000000000))</f>
        <v/>
      </c>
      <c r="RA19">
        <f>IF($B19=0,1000000000,IF(INDEX('calcA'!$D$60:$EQ$99,$B19,74)*IF($W19=1,FW19+ACL19,FW19)=1,IF(AND($E19=2,IF($W19=1,AIA19,LL19)=0),1000000000,IF($V19=1,INDEX('calcA'!$D$130:$EQ$169,$B19,74)+IF(AND($E19=1,LL19=0),25,0),INDEX('calcA'!BY$110:BY$114,$F19+1)+IF(AND($E19=1,LL19=0),1000,0)+IF($H19=1,INDEX('calcA'!$D$180:$EQ$219,$B19,74)*500,0)-IF(AND('calcA'!BX$117=1,WV19&gt;0),300,0)-IF(AND($U19=1,'calcA'!BY$117=1,FX19=0),300,0))),1000000000))</f>
        <v/>
      </c>
      <c r="RB19">
        <f>IF($B19=0,1000000000,IF(INDEX('calcA'!$D$60:$EQ$99,$B19,75)*IF($W19=1,FX19+ACM19,FX19)=1,IF(AND($E19=2,IF($W19=1,AIB19,LM19)=0),1000000000,IF($V19=1,INDEX('calcA'!$D$130:$EQ$169,$B19,75)+IF(AND($E19=1,LM19=0),25,0),INDEX('calcA'!BZ$110:BZ$114,$F19+1)+IF(AND($E19=1,LM19=0),1000,0)+IF($H19=1,INDEX('calcA'!$D$180:$EQ$219,$B19,75)*500,0)-IF(AND('calcA'!BY$117=1,WW19&gt;0),300,0)-IF(AND($U19=1,'calcA'!BZ$117=1,FY19=0),300,0))),1000000000))</f>
        <v/>
      </c>
      <c r="RC19">
        <f>IF($B19=0,1000000000,IF(INDEX('calcA'!$D$60:$EQ$99,$B19,76)*IF($W19=1,FY19+ACN19,FY19)=1,IF(AND($E19=2,IF($W19=1,AIC19,LN19)=0),1000000000,IF($V19=1,INDEX('calcA'!$D$130:$EQ$169,$B19,76)+IF(AND($E19=1,LN19=0),25,0),INDEX('calcA'!CA$110:CA$114,$F19+1)+IF(AND($E19=1,LN19=0),1000,0)+IF($H19=1,INDEX('calcA'!$D$180:$EQ$219,$B19,76)*500,0)-IF(AND('calcA'!BZ$117=1,WX19&gt;0),300,0)-IF(AND($U19=1,'calcA'!CA$117=1,FZ19=0),300,0))),1000000000))</f>
        <v/>
      </c>
      <c r="RD19">
        <f>IF($B19=0,1000000000,IF(INDEX('calcA'!$D$60:$EQ$99,$B19,77)*IF($W19=1,FZ19+ACO19,FZ19)=1,IF(AND($E19=2,IF($W19=1,AID19,LO19)=0),1000000000,IF($V19=1,INDEX('calcA'!$D$130:$EQ$169,$B19,77)+IF(AND($E19=1,LO19=0),25,0),INDEX('calcA'!CB$110:CB$114,$F19+1)+IF(AND($E19=1,LO19=0),1000,0)+IF($H19=1,INDEX('calcA'!$D$180:$EQ$219,$B19,77)*500,0)-IF(AND('calcA'!CA$117=1,WY19&gt;0),300,0)-IF(AND($U19=1,'calcA'!CB$117=1,GA19=0),300,0))),1000000000))</f>
        <v/>
      </c>
      <c r="RE19">
        <f>IF($B19=0,1000000000,IF(INDEX('calcA'!$D$60:$EQ$99,$B19,78)*IF($W19=1,GA19+ACP19,GA19)=1,IF(AND($E19=2,IF($W19=1,AIE19,LP19)=0),1000000000,IF($V19=1,INDEX('calcA'!$D$130:$EQ$169,$B19,78)+IF(AND($E19=1,LP19=0),25,0),INDEX('calcA'!CC$110:CC$114,$F19+1)+IF(AND($E19=1,LP19=0),1000,0)+IF($H19=1,INDEX('calcA'!$D$180:$EQ$219,$B19,78)*500,0)-IF(AND('calcA'!CB$117=1,WZ19&gt;0),300,0)-IF(AND($U19=1,'calcA'!CC$117=1,GB19=0),300,0))),1000000000))</f>
        <v/>
      </c>
      <c r="RF19">
        <f>IF($B19=0,1000000000,IF(INDEX('calcA'!$D$60:$EQ$99,$B19,79)*IF($W19=1,GB19+ACQ19,GB19)=1,IF(AND($E19=2,IF($W19=1,AIF19,LQ19)=0),1000000000,IF($V19=1,INDEX('calcA'!$D$130:$EQ$169,$B19,79)+IF(AND($E19=1,LQ19=0),25,0),INDEX('calcA'!CD$110:CD$114,$F19+1)+IF(AND($E19=1,LQ19=0),1000,0)+IF($H19=1,INDEX('calcA'!$D$180:$EQ$219,$B19,79)*500,0)-IF(AND('calcA'!CC$117=1,XA19&gt;0),300,0)-IF(AND($U19=1,'calcA'!CD$117=1,GC19=0),300,0))),1000000000))</f>
        <v/>
      </c>
      <c r="RG19">
        <f>IF($B19=0,1000000000,IF(INDEX('calcA'!$D$60:$EQ$99,$B19,80)*IF($W19=1,GC19+ACR19,GC19)=1,IF(AND($E19=2,IF($W19=1,AIG19,LR19)=0),1000000000,IF($V19=1,INDEX('calcA'!$D$130:$EQ$169,$B19,80)+IF(AND($E19=1,LR19=0),25,0),INDEX('calcA'!CE$110:CE$114,$F19+1)+IF(AND($E19=1,LR19=0),1000,0)+IF($H19=1,INDEX('calcA'!$D$180:$EQ$219,$B19,80)*500,0)-IF(AND('calcA'!CD$117=1,XB19&gt;0),300,0)-IF(AND($U19=1,'calcA'!CE$117=1,GD19=0),300,0))),1000000000))</f>
        <v/>
      </c>
      <c r="RH19">
        <f>IF($B19=0,1000000000,IF(INDEX('calcA'!$D$60:$EQ$99,$B19,81)*IF($W19=1,GD19+ACS19,GD19)=1,IF(AND($E19=2,IF($W19=1,AIH19,LS19)=0),1000000000,IF($V19=1,INDEX('calcA'!$D$130:$EQ$169,$B19,81)+IF(AND($E19=1,LS19=0),25,0),INDEX('calcA'!CF$110:CF$114,$F19+1)+IF(AND($E19=1,LS19=0),1000,0)+IF($H19=1,INDEX('calcA'!$D$180:$EQ$219,$B19,81)*500,0)-IF(AND('calcA'!CE$117=1,XC19&gt;0),300,0)-IF(AND($U19=1,'calcA'!CF$117=1,GE19=0),300,0))),1000000000))</f>
        <v/>
      </c>
      <c r="RI19">
        <f>IF($B19=0,1000000000,IF(INDEX('calcA'!$D$60:$EQ$99,$B19,82)*IF($W19=1,GE19+ACT19,GE19)=1,IF(AND($E19=2,IF($W19=1,AII19,LT19)=0),1000000000,IF($V19=1,INDEX('calcA'!$D$130:$EQ$169,$B19,82)+IF(AND($E19=1,LT19=0),25,0),INDEX('calcA'!CG$110:CG$114,$F19+1)+IF(AND($E19=1,LT19=0),1000,0)+IF($H19=1,INDEX('calcA'!$D$180:$EQ$219,$B19,82)*500,0)-IF(AND('calcA'!CF$117=1,XD19&gt;0),300,0)-IF(AND($U19=1,'calcA'!CG$117=1,GF19=0),300,0))),1000000000))</f>
        <v/>
      </c>
      <c r="RJ19">
        <f>IF($B19=0,1000000000,IF(INDEX('calcA'!$D$60:$EQ$99,$B19,83)*IF($W19=1,GF19+ACU19,GF19)=1,IF(AND($E19=2,IF($W19=1,AIJ19,LU19)=0),1000000000,IF($V19=1,INDEX('calcA'!$D$130:$EQ$169,$B19,83)+IF(AND($E19=1,LU19=0),25,0),INDEX('calcA'!CH$110:CH$114,$F19+1)+IF(AND($E19=1,LU19=0),1000,0)+IF($H19=1,INDEX('calcA'!$D$180:$EQ$219,$B19,83)*500,0)-IF(AND('calcA'!CG$117=1,XE19&gt;0),300,0)-IF(AND($U19=1,'calcA'!CH$117=1,GG19=0),300,0))),1000000000))</f>
        <v/>
      </c>
      <c r="RK19">
        <f>IF($B19=0,1000000000,IF(INDEX('calcA'!$D$60:$EQ$99,$B19,84)*IF($W19=1,GG19+ACV19,GG19)=1,IF(AND($E19=2,IF($W19=1,AIK19,LV19)=0),1000000000,IF($V19=1,INDEX('calcA'!$D$130:$EQ$169,$B19,84)+IF(AND($E19=1,LV19=0),25,0),INDEX('calcA'!CI$110:CI$114,$F19+1)+IF(AND($E19=1,LV19=0),1000,0)+IF($H19=1,INDEX('calcA'!$D$180:$EQ$219,$B19,84)*500,0)-IF(AND('calcA'!CH$117=1,XF19&gt;0),300,0)-IF(AND($U19=1,'calcA'!CI$117=1,GH19=0),300,0))),1000000000))</f>
        <v/>
      </c>
      <c r="RL19">
        <f>IF($B19=0,1000000000,IF(INDEX('calcA'!$D$60:$EQ$99,$B19,85)*IF($W19=1,GH19+ACW19,GH19)=1,IF(AND($E19=2,IF($W19=1,AIL19,LW19)=0),1000000000,IF($V19=1,INDEX('calcA'!$D$130:$EQ$169,$B19,85)+IF(AND($E19=1,LW19=0),25,0),INDEX('calcA'!CJ$110:CJ$114,$F19+1)+IF(AND($E19=1,LW19=0),1000,0)+IF($H19=1,INDEX('calcA'!$D$180:$EQ$219,$B19,85)*500,0)-IF(AND('calcA'!CI$117=1,XG19&gt;0),300,0)-IF(AND($U19=1,'calcA'!CJ$117=1,GI19=0),300,0))),1000000000))</f>
        <v/>
      </c>
      <c r="RM19">
        <f>IF($B19=0,1000000000,IF(INDEX('calcA'!$D$60:$EQ$99,$B19,86)*IF($W19=1,GI19+ACX19,GI19)=1,IF(AND($E19=2,IF($W19=1,AIM19,LX19)=0),1000000000,IF($V19=1,INDEX('calcA'!$D$130:$EQ$169,$B19,86)+IF(AND($E19=1,LX19=0),25,0),INDEX('calcA'!CK$110:CK$114,$F19+1)+IF(AND($E19=1,LX19=0),1000,0)+IF($H19=1,INDEX('calcA'!$D$180:$EQ$219,$B19,86)*500,0)-IF(AND('calcA'!CJ$117=1,XH19&gt;0),300,0)-IF(AND($U19=1,'calcA'!CK$117=1,GJ19=0),300,0))),1000000000))</f>
        <v/>
      </c>
      <c r="RN19">
        <f>IF($B19=0,1000000000,IF(INDEX('calcA'!$D$60:$EQ$99,$B19,87)*IF($W19=1,GJ19+ACY19,GJ19)=1,IF(AND($E19=2,IF($W19=1,AIN19,LY19)=0),1000000000,IF($V19=1,INDEX('calcA'!$D$130:$EQ$169,$B19,87)+IF(AND($E19=1,LY19=0),25,0),INDEX('calcA'!CL$110:CL$114,$F19+1)+IF(AND($E19=1,LY19=0),1000,0)+IF($H19=1,INDEX('calcA'!$D$180:$EQ$219,$B19,87)*500,0)-IF(AND('calcA'!CK$117=1,XI19&gt;0),300,0)-IF(AND($U19=1,'calcA'!CL$117=1,GK19=0),300,0))),1000000000))</f>
        <v/>
      </c>
      <c r="RO19">
        <f>IF($B19=0,1000000000,IF(INDEX('calcA'!$D$60:$EQ$99,$B19,88)*IF($W19=1,GK19+ACZ19,GK19)=1,IF(AND($E19=2,IF($W19=1,AIO19,LZ19)=0),1000000000,IF($V19=1,INDEX('calcA'!$D$130:$EQ$169,$B19,88)+IF(AND($E19=1,LZ19=0),25,0),INDEX('calcA'!CM$110:CM$114,$F19+1)+IF(AND($E19=1,LZ19=0),1000,0)+IF($H19=1,INDEX('calcA'!$D$180:$EQ$219,$B19,88)*500,0)-IF(AND('calcA'!CL$117=1,XJ19&gt;0),300,0)-IF(AND($U19=1,'calcA'!CM$117=1,GL19=0),300,0))),1000000000))</f>
        <v/>
      </c>
      <c r="RP19">
        <f>IF($B19=0,1000000000,IF(INDEX('calcA'!$D$60:$EQ$99,$B19,89)*IF($W19=1,GL19+ADA19,GL19)=1,IF(AND($E19=2,IF($W19=1,AIP19,MA19)=0),1000000000,IF($V19=1,INDEX('calcA'!$D$130:$EQ$169,$B19,89)+IF(AND($E19=1,MA19=0),25,0),INDEX('calcA'!CN$110:CN$114,$F19+1)+IF(AND($E19=1,MA19=0),1000,0)+IF($H19=1,INDEX('calcA'!$D$180:$EQ$219,$B19,89)*500,0)-IF(AND('calcA'!CM$117=1,XK19&gt;0),300,0)-IF(AND($U19=1,'calcA'!CN$117=1,GM19=0),300,0))),1000000000))</f>
        <v/>
      </c>
      <c r="RQ19">
        <f>IF($B19=0,1000000000,IF(INDEX('calcA'!$D$60:$EQ$99,$B19,90)*IF($W19=1,GM19+ADB19,GM19)=1,IF(AND($E19=2,IF($W19=1,AIQ19,MB19)=0),1000000000,IF($V19=1,INDEX('calcA'!$D$130:$EQ$169,$B19,90)+IF(AND($E19=1,MB19=0),25,0),INDEX('calcA'!CO$110:CO$114,$F19+1)+IF(AND($E19=1,MB19=0),1000,0)+IF($H19=1,INDEX('calcA'!$D$180:$EQ$219,$B19,90)*500,0)-IF(AND('calcA'!CN$117=1,XL19&gt;0),300,0)-IF(AND($U19=1,'calcA'!CO$117=1,GN19=0),300,0))),1000000000))</f>
        <v/>
      </c>
      <c r="RR19">
        <f>IF($B19=0,1000000000,IF(INDEX('calcA'!$D$60:$EQ$99,$B19,91)*IF($W19=1,GN19+ADC19,GN19)=1,IF(AND($E19=2,IF($W19=1,AIR19,MC19)=0),1000000000,IF($V19=1,INDEX('calcA'!$D$130:$EQ$169,$B19,91)+IF(AND($E19=1,MC19=0),25,0),INDEX('calcA'!CP$110:CP$114,$F19+1)+IF(AND($E19=1,MC19=0),1000,0)+IF($H19=1,INDEX('calcA'!$D$180:$EQ$219,$B19,91)*500,0)-IF(AND('calcA'!CO$117=1,XM19&gt;0),300,0)-IF(AND($U19=1,'calcA'!CP$117=1,GO19=0),300,0))),1000000000))</f>
        <v/>
      </c>
      <c r="RS19">
        <f>IF($B19=0,1000000000,IF(INDEX('calcA'!$D$60:$EQ$99,$B19,92)*IF($W19=1,GO19+ADD19,GO19)=1,IF(AND($E19=2,IF($W19=1,AIS19,MD19)=0),1000000000,IF($V19=1,INDEX('calcA'!$D$130:$EQ$169,$B19,92)+IF(AND($E19=1,MD19=0),25,0),INDEX('calcA'!CQ$110:CQ$114,$F19+1)+IF(AND($E19=1,MD19=0),1000,0)+IF($H19=1,INDEX('calcA'!$D$180:$EQ$219,$B19,92)*500,0)-IF(AND('calcA'!CP$117=1,XN19&gt;0),300,0)-IF(AND($U19=1,'calcA'!CQ$117=1,GP19=0),300,0))),1000000000))</f>
        <v/>
      </c>
      <c r="RT19">
        <f>IF($B19=0,1000000000,IF(INDEX('calcA'!$D$60:$EQ$99,$B19,93)*IF($W19=1,GP19+ADE19,GP19)=1,IF(AND($E19=2,IF($W19=1,AIT19,ME19)=0),1000000000,IF($V19=1,INDEX('calcA'!$D$130:$EQ$169,$B19,93)+IF(AND($E19=1,ME19=0),25,0),INDEX('calcA'!CR$110:CR$114,$F19+1)+IF(AND($E19=1,ME19=0),1000,0)+IF($H19=1,INDEX('calcA'!$D$180:$EQ$219,$B19,93)*500,0)-IF(AND('calcA'!CQ$117=1,XO19&gt;0),300,0)-IF(AND($U19=1,'calcA'!CR$117=1,GQ19=0),300,0))),1000000000))</f>
        <v/>
      </c>
      <c r="RU19">
        <f>IF($B19=0,1000000000,IF(INDEX('calcA'!$D$60:$EQ$99,$B19,94)*IF($W19=1,GQ19+ADF19,GQ19)=1,IF(AND($E19=2,IF($W19=1,AIU19,MF19)=0),1000000000,IF($V19=1,INDEX('calcA'!$D$130:$EQ$169,$B19,94)+IF(AND($E19=1,MF19=0),25,0),INDEX('calcA'!CS$110:CS$114,$F19+1)+IF(AND($E19=1,MF19=0),1000,0)+IF($H19=1,INDEX('calcA'!$D$180:$EQ$219,$B19,94)*500,0)-IF(AND('calcA'!CR$117=1,XP19&gt;0),300,0)-IF(AND($U19=1,'calcA'!CS$117=1,GR19=0),300,0))),1000000000))</f>
        <v/>
      </c>
      <c r="RV19">
        <f>IF($B19=0,1000000000,IF(INDEX('calcA'!$D$60:$EQ$99,$B19,95)*IF($W19=1,GR19+ADG19,GR19)=1,IF(AND($E19=2,IF($W19=1,AIV19,MG19)=0),1000000000,IF($V19=1,INDEX('calcA'!$D$130:$EQ$169,$B19,95)+IF(AND($E19=1,MG19=0),25,0),INDEX('calcA'!CT$110:CT$114,$F19+1)+IF(AND($E19=1,MG19=0),1000,0)+IF($H19=1,INDEX('calcA'!$D$180:$EQ$219,$B19,95)*500,0)-IF(AND('calcA'!CS$117=1,XQ19&gt;0),300,0)-IF(AND($U19=1,'calcA'!CT$117=1,GS19=0),300,0))),1000000000))</f>
        <v/>
      </c>
      <c r="RW19">
        <f>IF($B19=0,1000000000,IF(INDEX('calcA'!$D$60:$EQ$99,$B19,96)*IF($W19=1,GS19+ADH19,GS19)=1,IF(AND($E19=2,IF($W19=1,AIW19,MH19)=0),1000000000,IF($V19=1,INDEX('calcA'!$D$130:$EQ$169,$B19,96)+IF(AND($E19=1,MH19=0),25,0),INDEX('calcA'!CU$110:CU$114,$F19+1)+IF(AND($E19=1,MH19=0),1000,0)+IF($H19=1,INDEX('calcA'!$D$180:$EQ$219,$B19,96)*500,0)-IF(AND('calcA'!CT$117=1,XR19&gt;0),300,0))),1000000000))</f>
        <v/>
      </c>
      <c r="RX19">
        <f>IF($B19=0,1000000000,IF(INDEX('calcA'!$D$60:$EQ$99,$B19,97)*IF($W19=1,GT19+ADI19,GT19)=1,IF(AND($E19=2,IF($W19=1,AIX19,MI19)=0),1000000000,IF($V19=1,INDEX('calcA'!$D$130:$EQ$169,$B19,97)+IF(AND($E19=1,MI19=0),25,0),INDEX('calcA'!CV$110:CV$114,$F19+1)+IF(AND($E19=1,MI19=0),1000,0)+IF($H19=1,INDEX('calcA'!$D$180:$EQ$219,$B19,97)*500,0)-IF(AND($U19=1,'calcA'!CV$117=1,GU19=0),300,0))),1000000000))</f>
        <v/>
      </c>
      <c r="RY19">
        <f>IF($B19=0,1000000000,IF(INDEX('calcA'!$D$60:$EQ$99,$B19,98)*IF($W19=1,GU19+ADJ19,GU19)=1,IF(AND($E19=2,IF($W19=1,AIY19,MJ19)=0),1000000000,IF($V19=1,INDEX('calcA'!$D$130:$EQ$169,$B19,98)+IF(AND($E19=1,MJ19=0),25,0),INDEX('calcA'!CW$110:CW$114,$F19+1)+IF(AND($E19=1,MJ19=0),1000,0)+IF($H19=1,INDEX('calcA'!$D$180:$EQ$219,$B19,98)*500,0)-IF(AND('calcA'!CV$117=1,XT19&gt;0),300,0)-IF(AND($U19=1,'calcA'!CW$117=1,GV19=0),300,0))),1000000000))</f>
        <v/>
      </c>
      <c r="RZ19">
        <f>IF($B19=0,1000000000,IF(INDEX('calcA'!$D$60:$EQ$99,$B19,99)*IF($W19=1,GV19+ADK19,GV19)=1,IF(AND($E19=2,IF($W19=1,AIZ19,MK19)=0),1000000000,IF($V19=1,INDEX('calcA'!$D$130:$EQ$169,$B19,99)+IF(AND($E19=1,MK19=0),25,0),INDEX('calcA'!CX$110:CX$114,$F19+1)+IF(AND($E19=1,MK19=0),1000,0)+IF($H19=1,INDEX('calcA'!$D$180:$EQ$219,$B19,99)*500,0)-IF(AND('calcA'!CW$117=1,XU19&gt;0),300,0)-IF(AND($U19=1,'calcA'!CX$117=1,GW19=0),300,0))),1000000000))</f>
        <v/>
      </c>
      <c r="SA19">
        <f>IF($B19=0,1000000000,IF(INDEX('calcA'!$D$60:$EQ$99,$B19,100)*IF($W19=1,GW19+ADL19,GW19)=1,IF(AND($E19=2,IF($W19=1,AJA19,ML19)=0),1000000000,IF($V19=1,INDEX('calcA'!$D$130:$EQ$169,$B19,100)+IF(AND($E19=1,ML19=0),25,0),INDEX('calcA'!CY$110:CY$114,$F19+1)+IF(AND($E19=1,ML19=0),1000,0)+IF($H19=1,INDEX('calcA'!$D$180:$EQ$219,$B19,100)*500,0)-IF(AND('calcA'!CX$117=1,XV19&gt;0),300,0)-IF(AND($U19=1,'calcA'!CY$117=1,GX19=0),300,0))),1000000000))</f>
        <v/>
      </c>
      <c r="SB19">
        <f>IF($B19=0,1000000000,IF(INDEX('calcA'!$D$60:$EQ$99,$B19,101)*IF($W19=1,GX19+ADM19,GX19)=1,IF(AND($E19=2,IF($W19=1,AJB19,MM19)=0),1000000000,IF($V19=1,INDEX('calcA'!$D$130:$EQ$169,$B19,101)+IF(AND($E19=1,MM19=0),25,0),INDEX('calcA'!CZ$110:CZ$114,$F19+1)+IF(AND($E19=1,MM19=0),1000,0)+IF($H19=1,INDEX('calcA'!$D$180:$EQ$219,$B19,101)*500,0)-IF(AND('calcA'!CY$117=1,XW19&gt;0),300,0)-IF(AND($U19=1,'calcA'!CZ$117=1,GY19=0),300,0))),1000000000))</f>
        <v/>
      </c>
      <c r="SC19">
        <f>IF($B19=0,1000000000,IF(INDEX('calcA'!$D$60:$EQ$99,$B19,102)*IF($W19=1,GY19+ADN19,GY19)=1,IF(AND($E19=2,IF($W19=1,AJC19,MN19)=0),1000000000,IF($V19=1,INDEX('calcA'!$D$130:$EQ$169,$B19,102)+IF(AND($E19=1,MN19=0),25,0),INDEX('calcA'!DA$110:DA$114,$F19+1)+IF(AND($E19=1,MN19=0),1000,0)+IF($H19=1,INDEX('calcA'!$D$180:$EQ$219,$B19,102)*500,0)-IF(AND('calcA'!CZ$117=1,XX19&gt;0),300,0)-IF(AND($U19=1,'calcA'!DA$117=1,GZ19=0),300,0))),1000000000))</f>
        <v/>
      </c>
      <c r="SD19">
        <f>IF($B19=0,1000000000,IF(INDEX('calcA'!$D$60:$EQ$99,$B19,103)*IF($W19=1,GZ19+ADO19,GZ19)=1,IF(AND($E19=2,IF($W19=1,AJD19,MO19)=0),1000000000,IF($V19=1,INDEX('calcA'!$D$130:$EQ$169,$B19,103)+IF(AND($E19=1,MO19=0),25,0),INDEX('calcA'!DB$110:DB$114,$F19+1)+IF(AND($E19=1,MO19=0),1000,0)+IF($H19=1,INDEX('calcA'!$D$180:$EQ$219,$B19,103)*500,0)-IF(AND('calcA'!DA$117=1,XY19&gt;0),300,0)-IF(AND($U19=1,'calcA'!DB$117=1,HA19=0),300,0))),1000000000))</f>
        <v/>
      </c>
      <c r="SE19">
        <f>IF($B19=0,1000000000,IF(INDEX('calcA'!$D$60:$EQ$99,$B19,104)*IF($W19=1,HA19+ADP19,HA19)=1,IF(AND($E19=2,IF($W19=1,AJE19,MP19)=0),1000000000,IF($V19=1,INDEX('calcA'!$D$130:$EQ$169,$B19,104)+IF(AND($E19=1,MP19=0),25,0),INDEX('calcA'!DC$110:DC$114,$F19+1)+IF(AND($E19=1,MP19=0),1000,0)+IF($H19=1,INDEX('calcA'!$D$180:$EQ$219,$B19,104)*500,0)-IF(AND('calcA'!DB$117=1,XZ19&gt;0),300,0)-IF(AND($U19=1,'calcA'!DC$117=1,HB19=0),300,0))),1000000000))</f>
        <v/>
      </c>
      <c r="SF19">
        <f>IF($B19=0,1000000000,IF(INDEX('calcA'!$D$60:$EQ$99,$B19,105)*IF($W19=1,HB19+ADQ19,HB19)=1,IF(AND($E19=2,IF($W19=1,AJF19,MQ19)=0),1000000000,IF($V19=1,INDEX('calcA'!$D$130:$EQ$169,$B19,105)+IF(AND($E19=1,MQ19=0),25,0),INDEX('calcA'!DD$110:DD$114,$F19+1)+IF(AND($E19=1,MQ19=0),1000,0)+IF($H19=1,INDEX('calcA'!$D$180:$EQ$219,$B19,105)*500,0)-IF(AND('calcA'!DC$117=1,YA19&gt;0),300,0)-IF(AND($U19=1,'calcA'!DD$117=1,HC19=0),300,0))),1000000000))</f>
        <v/>
      </c>
      <c r="SG19">
        <f>IF($B19=0,1000000000,IF(INDEX('calcA'!$D$60:$EQ$99,$B19,106)*IF($W19=1,HC19+ADR19,HC19)=1,IF(AND($E19=2,IF($W19=1,AJG19,MR19)=0),1000000000,IF($V19=1,INDEX('calcA'!$D$130:$EQ$169,$B19,106)+IF(AND($E19=1,MR19=0),25,0),INDEX('calcA'!DE$110:DE$114,$F19+1)+IF(AND($E19=1,MR19=0),1000,0)+IF($H19=1,INDEX('calcA'!$D$180:$EQ$219,$B19,106)*500,0)-IF(AND('calcA'!DD$117=1,YB19&gt;0),300,0)-IF(AND($U19=1,'calcA'!DE$117=1,HD19=0),300,0))),1000000000))</f>
        <v/>
      </c>
      <c r="SH19">
        <f>IF($B19=0,1000000000,IF(INDEX('calcA'!$D$60:$EQ$99,$B19,107)*IF($W19=1,HD19+ADS19,HD19)=1,IF(AND($E19=2,IF($W19=1,AJH19,MS19)=0),1000000000,IF($V19=1,INDEX('calcA'!$D$130:$EQ$169,$B19,107)+IF(AND($E19=1,MS19=0),25,0),INDEX('calcA'!DF$110:DF$114,$F19+1)+IF(AND($E19=1,MS19=0),1000,0)+IF($H19=1,INDEX('calcA'!$D$180:$EQ$219,$B19,107)*500,0)-IF(AND('calcA'!DE$117=1,YC19&gt;0),300,0)-IF(AND($U19=1,'calcA'!DF$117=1,HE19=0),300,0))),1000000000))</f>
        <v/>
      </c>
      <c r="SI19">
        <f>IF($B19=0,1000000000,IF(INDEX('calcA'!$D$60:$EQ$99,$B19,108)*IF($W19=1,HE19+ADT19,HE19)=1,IF(AND($E19=2,IF($W19=1,AJI19,MT19)=0),1000000000,IF($V19=1,INDEX('calcA'!$D$130:$EQ$169,$B19,108)+IF(AND($E19=1,MT19=0),25,0),INDEX('calcA'!DG$110:DG$114,$F19+1)+IF(AND($E19=1,MT19=0),1000,0)+IF($H19=1,INDEX('calcA'!$D$180:$EQ$219,$B19,108)*500,0)-IF(AND('calcA'!DF$117=1,YD19&gt;0),300,0)-IF(AND($U19=1,'calcA'!DG$117=1,HF19=0),300,0))),1000000000))</f>
        <v/>
      </c>
      <c r="SJ19">
        <f>IF($B19=0,1000000000,IF(INDEX('calcA'!$D$60:$EQ$99,$B19,109)*IF($W19=1,HF19+ADU19,HF19)=1,IF(AND($E19=2,IF($W19=1,AJJ19,MU19)=0),1000000000,IF($V19=1,INDEX('calcA'!$D$130:$EQ$169,$B19,109)+IF(AND($E19=1,MU19=0),25,0),INDEX('calcA'!DH$110:DH$114,$F19+1)+IF(AND($E19=1,MU19=0),1000,0)+IF($H19=1,INDEX('calcA'!$D$180:$EQ$219,$B19,109)*500,0)-IF(AND('calcA'!DG$117=1,YE19&gt;0),300,0)-IF(AND($U19=1,'calcA'!DH$117=1,HG19=0),300,0))),1000000000))</f>
        <v/>
      </c>
      <c r="SK19">
        <f>IF($B19=0,1000000000,IF(INDEX('calcA'!$D$60:$EQ$99,$B19,110)*IF($W19=1,HG19+ADV19,HG19)=1,IF(AND($E19=2,IF($W19=1,AJK19,MV19)=0),1000000000,IF($V19=1,INDEX('calcA'!$D$130:$EQ$169,$B19,110)+IF(AND($E19=1,MV19=0),25,0),INDEX('calcA'!DI$110:DI$114,$F19+1)+IF(AND($E19=1,MV19=0),1000,0)+IF($H19=1,INDEX('calcA'!$D$180:$EQ$219,$B19,110)*500,0)-IF(AND('calcA'!DH$117=1,YF19&gt;0),300,0)-IF(AND($U19=1,'calcA'!DI$117=1,HH19=0),300,0))),1000000000))</f>
        <v/>
      </c>
      <c r="SL19">
        <f>IF($B19=0,1000000000,IF(INDEX('calcA'!$D$60:$EQ$99,$B19,111)*IF($W19=1,HH19+ADW19,HH19)=1,IF(AND($E19=2,IF($W19=1,AJL19,MW19)=0),1000000000,IF($V19=1,INDEX('calcA'!$D$130:$EQ$169,$B19,111)+IF(AND($E19=1,MW19=0),25,0),INDEX('calcA'!DJ$110:DJ$114,$F19+1)+IF(AND($E19=1,MW19=0),1000,0)+IF($H19=1,INDEX('calcA'!$D$180:$EQ$219,$B19,111)*500,0)-IF(AND('calcA'!DI$117=1,YG19&gt;0),300,0)-IF(AND($U19=1,'calcA'!DJ$117=1,HI19=0),300,0))),1000000000))</f>
        <v/>
      </c>
      <c r="SM19">
        <f>IF($B19=0,1000000000,IF(INDEX('calcA'!$D$60:$EQ$99,$B19,112)*IF($W19=1,HI19+ADX19,HI19)=1,IF(AND($E19=2,IF($W19=1,AJM19,MX19)=0),1000000000,IF($V19=1,INDEX('calcA'!$D$130:$EQ$169,$B19,112)+IF(AND($E19=1,MX19=0),25,0),INDEX('calcA'!DK$110:DK$114,$F19+1)+IF(AND($E19=1,MX19=0),1000,0)+IF($H19=1,INDEX('calcA'!$D$180:$EQ$219,$B19,112)*500,0)-IF(AND('calcA'!DJ$117=1,YH19&gt;0),300,0)-IF(AND($U19=1,'calcA'!DK$117=1,HJ19=0),300,0))),1000000000))</f>
        <v/>
      </c>
      <c r="SN19">
        <f>IF($B19=0,1000000000,IF(INDEX('calcA'!$D$60:$EQ$99,$B19,113)*IF($W19=1,HJ19+ADY19,HJ19)=1,IF(AND($E19=2,IF($W19=1,AJN19,MY19)=0),1000000000,IF($V19=1,INDEX('calcA'!$D$130:$EQ$169,$B19,113)+IF(AND($E19=1,MY19=0),25,0),INDEX('calcA'!DL$110:DL$114,$F19+1)+IF(AND($E19=1,MY19=0),1000,0)+IF($H19=1,INDEX('calcA'!$D$180:$EQ$219,$B19,113)*500,0)-IF(AND('calcA'!DK$117=1,YI19&gt;0),300,0)-IF(AND($U19=1,'calcA'!DL$117=1,HK19=0),300,0))),1000000000))</f>
        <v/>
      </c>
      <c r="SO19">
        <f>IF($B19=0,1000000000,IF(INDEX('calcA'!$D$60:$EQ$99,$B19,114)*IF($W19=1,HK19+ADZ19,HK19)=1,IF(AND($E19=2,IF($W19=1,AJO19,MZ19)=0),1000000000,IF($V19=1,INDEX('calcA'!$D$130:$EQ$169,$B19,114)+IF(AND($E19=1,MZ19=0),25,0),INDEX('calcA'!DM$110:DM$114,$F19+1)+IF(AND($E19=1,MZ19=0),1000,0)+IF($H19=1,INDEX('calcA'!$D$180:$EQ$219,$B19,114)*500,0)-IF(AND('calcA'!DL$117=1,YJ19&gt;0),300,0)-IF(AND($U19=1,'calcA'!DM$117=1,HL19=0),300,0))),1000000000))</f>
        <v/>
      </c>
      <c r="SP19">
        <f>IF($B19=0,1000000000,IF(INDEX('calcA'!$D$60:$EQ$99,$B19,115)*IF($W19=1,HL19+AEA19,HL19)=1,IF(AND($E19=2,IF($W19=1,AJP19,NA19)=0),1000000000,IF($V19=1,INDEX('calcA'!$D$130:$EQ$169,$B19,115)+IF(AND($E19=1,NA19=0),25,0),INDEX('calcA'!DN$110:DN$114,$F19+1)+IF(AND($E19=1,NA19=0),1000,0)+IF($H19=1,INDEX('calcA'!$D$180:$EQ$219,$B19,115)*500,0)-IF(AND('calcA'!DM$117=1,YK19&gt;0),300,0)-IF(AND($U19=1,'calcA'!DN$117=1,HM19=0),300,0))),1000000000))</f>
        <v/>
      </c>
      <c r="SQ19">
        <f>IF($B19=0,1000000000,IF(INDEX('calcA'!$D$60:$EQ$99,$B19,116)*IF($W19=1,HM19+AEB19,HM19)=1,IF(AND($E19=2,IF($W19=1,AJQ19,NB19)=0),1000000000,IF($V19=1,INDEX('calcA'!$D$130:$EQ$169,$B19,116)+IF(AND($E19=1,NB19=0),25,0),INDEX('calcA'!DO$110:DO$114,$F19+1)+IF(AND($E19=1,NB19=0),1000,0)+IF($H19=1,INDEX('calcA'!$D$180:$EQ$219,$B19,116)*500,0)-IF(AND('calcA'!DN$117=1,YL19&gt;0),300,0)-IF(AND($U19=1,'calcA'!DO$117=1,HN19=0),300,0))),1000000000))</f>
        <v/>
      </c>
      <c r="SR19">
        <f>IF($B19=0,1000000000,IF(INDEX('calcA'!$D$60:$EQ$99,$B19,117)*IF($W19=1,HN19+AEC19,HN19)=1,IF(AND($E19=2,IF($W19=1,AJR19,NC19)=0),1000000000,IF($V19=1,INDEX('calcA'!$D$130:$EQ$169,$B19,117)+IF(AND($E19=1,NC19=0),25,0),INDEX('calcA'!DP$110:DP$114,$F19+1)+IF(AND($E19=1,NC19=0),1000,0)+IF($H19=1,INDEX('calcA'!$D$180:$EQ$219,$B19,117)*500,0)-IF(AND('calcA'!DO$117=1,YM19&gt;0),300,0)-IF(AND($U19=1,'calcA'!DP$117=1,HO19=0),300,0))),1000000000))</f>
        <v/>
      </c>
      <c r="SS19">
        <f>IF($B19=0,1000000000,IF(INDEX('calcA'!$D$60:$EQ$99,$B19,118)*IF($W19=1,HO19+AED19,HO19)=1,IF(AND($E19=2,IF($W19=1,AJS19,ND19)=0),1000000000,IF($V19=1,INDEX('calcA'!$D$130:$EQ$169,$B19,118)+IF(AND($E19=1,ND19=0),25,0),INDEX('calcA'!DQ$110:DQ$114,$F19+1)+IF(AND($E19=1,ND19=0),1000,0)+IF($H19=1,INDEX('calcA'!$D$180:$EQ$219,$B19,118)*500,0)-IF(AND('calcA'!DP$117=1,YN19&gt;0),300,0)-IF(AND($U19=1,'calcA'!DQ$117=1,HP19=0),300,0))),1000000000))</f>
        <v/>
      </c>
      <c r="ST19">
        <f>IF($B19=0,1000000000,IF(INDEX('calcA'!$D$60:$EQ$99,$B19,119)*IF($W19=1,HP19+AEE19,HP19)=1,IF(AND($E19=2,IF($W19=1,AJT19,NE19)=0),1000000000,IF($V19=1,INDEX('calcA'!$D$130:$EQ$169,$B19,119)+IF(AND($E19=1,NE19=0),25,0),INDEX('calcA'!DR$110:DR$114,$F19+1)+IF(AND($E19=1,NE19=0),1000,0)+IF($H19=1,INDEX('calcA'!$D$180:$EQ$219,$B19,119)*500,0)-IF(AND('calcA'!DQ$117=1,YO19&gt;0),300,0)-IF(AND($U19=1,'calcA'!DR$117=1,HQ19=0),300,0))),1000000000))</f>
        <v/>
      </c>
      <c r="SU19">
        <f>IF($B19=0,1000000000,IF(INDEX('calcA'!$D$60:$EQ$99,$B19,120)*IF($W19=1,HQ19+AEF19,HQ19)=1,IF(AND($E19=2,IF($W19=1,AJU19,NF19)=0),1000000000,IF($V19=1,INDEX('calcA'!$D$130:$EQ$169,$B19,120)+IF(AND($E19=1,NF19=0),25,0),INDEX('calcA'!DS$110:DS$114,$F19+1)+IF(AND($E19=1,NF19=0),1000,0)+IF($H19=1,INDEX('calcA'!$D$180:$EQ$219,$B19,120)*500,0)-IF(AND('calcA'!DR$117=1,YP19&gt;0),300,0))),1000000000))</f>
        <v/>
      </c>
      <c r="SV19">
        <f>IF($B19=0,1000000000,IF(INDEX('calcA'!$D$60:$EQ$99,$B19,121)*IF($W19=1,HR19+AEG19,HR19)=1,IF(AND($E19=2,IF($W19=1,AJV19,NG19)=0),1000000000,IF($V19=1,INDEX('calcA'!$D$130:$EQ$169,$B19,121)+IF(AND($E19=1,NG19=0),25,0),INDEX('calcA'!DT$110:DT$114,$F19+1)+IF(AND($E19=1,NG19=0),1000,0)+IF($H19=1,INDEX('calcA'!$D$180:$EQ$219,$B19,121)*500,0)-IF(AND($U19=1,'calcA'!DT$117=1,HS19=0),300,0))),1000000000))</f>
        <v/>
      </c>
      <c r="SW19">
        <f>IF($B19=0,1000000000,IF(INDEX('calcA'!$D$60:$EQ$99,$B19,122)*IF($W19=1,HS19+AEH19,HS19)=1,IF(AND($E19=2,IF($W19=1,AJW19,NH19)=0),1000000000,IF($V19=1,INDEX('calcA'!$D$130:$EQ$169,$B19,122)+IF(AND($E19=1,NH19=0),25,0),INDEX('calcA'!DU$110:DU$114,$F19+1)+IF(AND($E19=1,NH19=0),1000,0)+IF($H19=1,INDEX('calcA'!$D$180:$EQ$219,$B19,122)*500,0)-IF(AND('calcA'!DT$117=1,YR19&gt;0),300,0)-IF(AND($U19=1,'calcA'!DU$117=1,HT19=0),300,0))),1000000000))</f>
        <v/>
      </c>
      <c r="SX19">
        <f>IF($B19=0,1000000000,IF(INDEX('calcA'!$D$60:$EQ$99,$B19,123)*IF($W19=1,HT19+AEI19,HT19)=1,IF(AND($E19=2,IF($W19=1,AJX19,NI19)=0),1000000000,IF($V19=1,INDEX('calcA'!$D$130:$EQ$169,$B19,123)+IF(AND($E19=1,NI19=0),25,0),INDEX('calcA'!DV$110:DV$114,$F19+1)+IF(AND($E19=1,NI19=0),1000,0)+IF($H19=1,INDEX('calcA'!$D$180:$EQ$219,$B19,123)*500,0)-IF(AND('calcA'!DU$117=1,YS19&gt;0),300,0)-IF(AND($U19=1,'calcA'!DV$117=1,HU19=0),300,0))),1000000000))</f>
        <v/>
      </c>
      <c r="SY19">
        <f>IF($B19=0,1000000000,IF(INDEX('calcA'!$D$60:$EQ$99,$B19,124)*IF($W19=1,HU19+AEJ19,HU19)=1,IF(AND($E19=2,IF($W19=1,AJY19,NJ19)=0),1000000000,IF($V19=1,INDEX('calcA'!$D$130:$EQ$169,$B19,124)+IF(AND($E19=1,NJ19=0),25,0),INDEX('calcA'!DW$110:DW$114,$F19+1)+IF(AND($E19=1,NJ19=0),1000,0)+IF($H19=1,INDEX('calcA'!$D$180:$EQ$219,$B19,124)*500,0)-IF(AND('calcA'!DV$117=1,YT19&gt;0),300,0)-IF(AND($U19=1,'calcA'!DW$117=1,HV19=0),300,0))),1000000000))</f>
        <v/>
      </c>
      <c r="SZ19">
        <f>IF($B19=0,1000000000,IF(INDEX('calcA'!$D$60:$EQ$99,$B19,125)*IF($W19=1,HV19+AEK19,HV19)=1,IF(AND($E19=2,IF($W19=1,AJZ19,NK19)=0),1000000000,IF($V19=1,INDEX('calcA'!$D$130:$EQ$169,$B19,125)+IF(AND($E19=1,NK19=0),25,0),INDEX('calcA'!DX$110:DX$114,$F19+1)+IF(AND($E19=1,NK19=0),1000,0)+IF($H19=1,INDEX('calcA'!$D$180:$EQ$219,$B19,125)*500,0)-IF(AND('calcA'!DW$117=1,YU19&gt;0),300,0)-IF(AND($U19=1,'calcA'!DX$117=1,HW19=0),300,0))),1000000000))</f>
        <v/>
      </c>
      <c r="TA19">
        <f>IF($B19=0,1000000000,IF(INDEX('calcA'!$D$60:$EQ$99,$B19,126)*IF($W19=1,HW19+AEL19,HW19)=1,IF(AND($E19=2,IF($W19=1,AKA19,NL19)=0),1000000000,IF($V19=1,INDEX('calcA'!$D$130:$EQ$169,$B19,126)+IF(AND($E19=1,NL19=0),25,0),INDEX('calcA'!DY$110:DY$114,$F19+1)+IF(AND($E19=1,NL19=0),1000,0)+IF($H19=1,INDEX('calcA'!$D$180:$EQ$219,$B19,126)*500,0)-IF(AND('calcA'!DX$117=1,YV19&gt;0),300,0)-IF(AND($U19=1,'calcA'!DY$117=1,HX19=0),300,0))),1000000000))</f>
        <v/>
      </c>
      <c r="TB19">
        <f>IF($B19=0,1000000000,IF(INDEX('calcA'!$D$60:$EQ$99,$B19,127)*IF($W19=1,HX19+AEM19,HX19)=1,IF(AND($E19=2,IF($W19=1,AKB19,NM19)=0),1000000000,IF($V19=1,INDEX('calcA'!$D$130:$EQ$169,$B19,127)+IF(AND($E19=1,NM19=0),25,0),INDEX('calcA'!DZ$110:DZ$114,$F19+1)+IF(AND($E19=1,NM19=0),1000,0)+IF($H19=1,INDEX('calcA'!$D$180:$EQ$219,$B19,127)*500,0)-IF(AND('calcA'!DY$117=1,YW19&gt;0),300,0)-IF(AND($U19=1,'calcA'!DZ$117=1,HY19=0),300,0))),1000000000))</f>
        <v/>
      </c>
      <c r="TC19">
        <f>IF($B19=0,1000000000,IF(INDEX('calcA'!$D$60:$EQ$99,$B19,128)*IF($W19=1,HY19+AEN19,HY19)=1,IF(AND($E19=2,IF($W19=1,AKC19,NN19)=0),1000000000,IF($V19=1,INDEX('calcA'!$D$130:$EQ$169,$B19,128)+IF(AND($E19=1,NN19=0),25,0),INDEX('calcA'!EA$110:EA$114,$F19+1)+IF(AND($E19=1,NN19=0),1000,0)+IF($H19=1,INDEX('calcA'!$D$180:$EQ$219,$B19,128)*500,0)-IF(AND('calcA'!DZ$117=1,YX19&gt;0),300,0)-IF(AND($U19=1,'calcA'!EA$117=1,HZ19=0),300,0))),1000000000))</f>
        <v/>
      </c>
      <c r="TD19">
        <f>IF($B19=0,1000000000,IF(INDEX('calcA'!$D$60:$EQ$99,$B19,129)*IF($W19=1,HZ19+AEO19,HZ19)=1,IF(AND($E19=2,IF($W19=1,AKD19,NO19)=0),1000000000,IF($V19=1,INDEX('calcA'!$D$130:$EQ$169,$B19,129)+IF(AND($E19=1,NO19=0),25,0),INDEX('calcA'!EB$110:EB$114,$F19+1)+IF(AND($E19=1,NO19=0),1000,0)+IF($H19=1,INDEX('calcA'!$D$180:$EQ$219,$B19,129)*500,0)-IF(AND('calcA'!EA$117=1,YY19&gt;0),300,0)-IF(AND($U19=1,'calcA'!EB$117=1,IA19=0),300,0))),1000000000))</f>
        <v/>
      </c>
      <c r="TE19">
        <f>IF($B19=0,1000000000,IF(INDEX('calcA'!$D$60:$EQ$99,$B19,130)*IF($W19=1,IA19+AEP19,IA19)=1,IF(AND($E19=2,IF($W19=1,AKE19,NP19)=0),1000000000,IF($V19=1,INDEX('calcA'!$D$130:$EQ$169,$B19,130)+IF(AND($E19=1,NP19=0),25,0),INDEX('calcA'!EC$110:EC$114,$F19+1)+IF(AND($E19=1,NP19=0),1000,0)+IF($H19=1,INDEX('calcA'!$D$180:$EQ$219,$B19,130)*500,0)-IF(AND('calcA'!EB$117=1,YZ19&gt;0),300,0)-IF(AND($U19=1,'calcA'!EC$117=1,IB19=0),300,0))),1000000000))</f>
        <v/>
      </c>
      <c r="TF19">
        <f>IF($B19=0,1000000000,IF(INDEX('calcA'!$D$60:$EQ$99,$B19,131)*IF($W19=1,IB19+AEQ19,IB19)=1,IF(AND($E19=2,IF($W19=1,AKF19,NQ19)=0),1000000000,IF($V19=1,INDEX('calcA'!$D$130:$EQ$169,$B19,131)+IF(AND($E19=1,NQ19=0),25,0),INDEX('calcA'!ED$110:ED$114,$F19+1)+IF(AND($E19=1,NQ19=0),1000,0)+IF($H19=1,INDEX('calcA'!$D$180:$EQ$219,$B19,131)*500,0)-IF(AND('calcA'!EC$117=1,ZA19&gt;0),300,0)-IF(AND($U19=1,'calcA'!ED$117=1,IC19=0),300,0))),1000000000))</f>
        <v/>
      </c>
      <c r="TG19">
        <f>IF($B19=0,1000000000,IF(INDEX('calcA'!$D$60:$EQ$99,$B19,132)*IF($W19=1,IC19+AER19,IC19)=1,IF(AND($E19=2,IF($W19=1,AKG19,NR19)=0),1000000000,IF($V19=1,INDEX('calcA'!$D$130:$EQ$169,$B19,132)+IF(AND($E19=1,NR19=0),25,0),INDEX('calcA'!EE$110:EE$114,$F19+1)+IF(AND($E19=1,NR19=0),1000,0)+IF($H19=1,INDEX('calcA'!$D$180:$EQ$219,$B19,132)*500,0)-IF(AND('calcA'!ED$117=1,ZB19&gt;0),300,0)-IF(AND($U19=1,'calcA'!EE$117=1,ID19=0),300,0))),1000000000))</f>
        <v/>
      </c>
      <c r="TH19">
        <f>IF($B19=0,1000000000,IF(INDEX('calcA'!$D$60:$EQ$99,$B19,133)*IF($W19=1,ID19+AES19,ID19)=1,IF(AND($E19=2,IF($W19=1,AKH19,NS19)=0),1000000000,IF($V19=1,INDEX('calcA'!$D$130:$EQ$169,$B19,133)+IF(AND($E19=1,NS19=0),25,0),INDEX('calcA'!EF$110:EF$114,$F19+1)+IF(AND($E19=1,NS19=0),1000,0)+IF($H19=1,INDEX('calcA'!$D$180:$EQ$219,$B19,133)*500,0)-IF(AND('calcA'!EE$117=1,ZC19&gt;0),300,0)-IF(AND($U19=1,'calcA'!EF$117=1,IE19=0),300,0))),1000000000))</f>
        <v/>
      </c>
      <c r="TI19">
        <f>IF($B19=0,1000000000,IF(INDEX('calcA'!$D$60:$EQ$99,$B19,134)*IF($W19=1,IE19+AET19,IE19)=1,IF(AND($E19=2,IF($W19=1,AKI19,NT19)=0),1000000000,IF($V19=1,INDEX('calcA'!$D$130:$EQ$169,$B19,134)+IF(AND($E19=1,NT19=0),25,0),INDEX('calcA'!EG$110:EG$114,$F19+1)+IF(AND($E19=1,NT19=0),1000,0)+IF($H19=1,INDEX('calcA'!$D$180:$EQ$219,$B19,134)*500,0)-IF(AND('calcA'!EF$117=1,ZD19&gt;0),300,0)-IF(AND($U19=1,'calcA'!EG$117=1,IF19=0),300,0))),1000000000))</f>
        <v/>
      </c>
      <c r="TJ19">
        <f>IF($B19=0,1000000000,IF(INDEX('calcA'!$D$60:$EQ$99,$B19,135)*IF($W19=1,IF19+AEU19,IF19)=1,IF(AND($E19=2,IF($W19=1,AKJ19,NU19)=0),1000000000,IF($V19=1,INDEX('calcA'!$D$130:$EQ$169,$B19,135)+IF(AND($E19=1,NU19=0),25,0),INDEX('calcA'!EH$110:EH$114,$F19+1)+IF(AND($E19=1,NU19=0),1000,0)+IF($H19=1,INDEX('calcA'!$D$180:$EQ$219,$B19,135)*500,0)-IF(AND('calcA'!EG$117=1,ZE19&gt;0),300,0)-IF(AND($U19=1,'calcA'!EH$117=1,IG19=0),300,0))),1000000000))</f>
        <v/>
      </c>
      <c r="TK19">
        <f>IF($B19=0,1000000000,IF(INDEX('calcA'!$D$60:$EQ$99,$B19,136)*IF($W19=1,IG19+AEV19,IG19)=1,IF(AND($E19=2,IF($W19=1,AKK19,NV19)=0),1000000000,IF($V19=1,INDEX('calcA'!$D$130:$EQ$169,$B19,136)+IF(AND($E19=1,NV19=0),25,0),INDEX('calcA'!EI$110:EI$114,$F19+1)+IF(AND($E19=1,NV19=0),1000,0)+IF($H19=1,INDEX('calcA'!$D$180:$EQ$219,$B19,136)*500,0)-IF(AND('calcA'!EH$117=1,ZF19&gt;0),300,0)-IF(AND($U19=1,'calcA'!EI$117=1,IH19=0),300,0))),1000000000))</f>
        <v/>
      </c>
      <c r="TL19">
        <f>IF($B19=0,1000000000,IF(INDEX('calcA'!$D$60:$EQ$99,$B19,137)*IF($W19=1,IH19+AEW19,IH19)=1,IF(AND($E19=2,IF($W19=1,AKL19,NW19)=0),1000000000,IF($V19=1,INDEX('calcA'!$D$130:$EQ$169,$B19,137)+IF(AND($E19=1,NW19=0),25,0),INDEX('calcA'!EJ$110:EJ$114,$F19+1)+IF(AND($E19=1,NW19=0),1000,0)+IF($H19=1,INDEX('calcA'!$D$180:$EQ$219,$B19,137)*500,0)-IF(AND('calcA'!EI$117=1,ZG19&gt;0),300,0)-IF(AND($U19=1,'calcA'!EJ$117=1,II19=0),300,0))),1000000000))</f>
        <v/>
      </c>
      <c r="TM19">
        <f>IF($B19=0,1000000000,IF(INDEX('calcA'!$D$60:$EQ$99,$B19,138)*IF($W19=1,II19+AEX19,II19)=1,IF(AND($E19=2,IF($W19=1,AKM19,NX19)=0),1000000000,IF($V19=1,INDEX('calcA'!$D$130:$EQ$169,$B19,138)+IF(AND($E19=1,NX19=0),25,0),INDEX('calcA'!EK$110:EK$114,$F19+1)+IF(AND($E19=1,NX19=0),1000,0)+IF($H19=1,INDEX('calcA'!$D$180:$EQ$219,$B19,138)*500,0)-IF(AND('calcA'!EJ$117=1,ZH19&gt;0),300,0)-IF(AND($U19=1,'calcA'!EK$117=1,IJ19=0),300,0))),1000000000))</f>
        <v/>
      </c>
      <c r="TN19">
        <f>IF($B19=0,1000000000,IF(INDEX('calcA'!$D$60:$EQ$99,$B19,139)*IF($W19=1,IJ19+AEY19,IJ19)=1,IF(AND($E19=2,IF($W19=1,AKN19,NY19)=0),1000000000,IF($V19=1,INDEX('calcA'!$D$130:$EQ$169,$B19,139)+IF(AND($E19=1,NY19=0),25,0),INDEX('calcA'!EL$110:EL$114,$F19+1)+IF(AND($E19=1,NY19=0),1000,0)+IF($H19=1,INDEX('calcA'!$D$180:$EQ$219,$B19,139)*500,0)-IF(AND('calcA'!EK$117=1,ZI19&gt;0),300,0)-IF(AND($U19=1,'calcA'!EL$117=1,IK19=0),300,0))),1000000000))</f>
        <v/>
      </c>
      <c r="TO19">
        <f>IF($B19=0,1000000000,IF(INDEX('calcA'!$D$60:$EQ$99,$B19,140)*IF($W19=1,IK19+AEZ19,IK19)=1,IF(AND($E19=2,IF($W19=1,AKO19,NZ19)=0),1000000000,IF($V19=1,INDEX('calcA'!$D$130:$EQ$169,$B19,140)+IF(AND($E19=1,NZ19=0),25,0),INDEX('calcA'!EM$110:EM$114,$F19+1)+IF(AND($E19=1,NZ19=0),1000,0)+IF($H19=1,INDEX('calcA'!$D$180:$EQ$219,$B19,140)*500,0)-IF(AND('calcA'!EL$117=1,ZJ19&gt;0),300,0)-IF(AND($U19=1,'calcA'!EM$117=1,IL19=0),300,0))),1000000000))</f>
        <v/>
      </c>
      <c r="TP19">
        <f>IF($B19=0,1000000000,IF(INDEX('calcA'!$D$60:$EQ$99,$B19,141)*IF($W19=1,IL19+AFA19,IL19)=1,IF(AND($E19=2,IF($W19=1,AKP19,OA19)=0),1000000000,IF($V19=1,INDEX('calcA'!$D$130:$EQ$169,$B19,141)+IF(AND($E19=1,OA19=0),25,0),INDEX('calcA'!EN$110:EN$114,$F19+1)+IF(AND($E19=1,OA19=0),1000,0)+IF($H19=1,INDEX('calcA'!$D$180:$EQ$219,$B19,141)*500,0)-IF(AND('calcA'!EM$117=1,ZK19&gt;0),300,0)-IF(AND($U19=1,'calcA'!EN$117=1,IM19=0),300,0))),1000000000))</f>
        <v/>
      </c>
      <c r="TQ19">
        <f>IF($B19=0,1000000000,IF(INDEX('calcA'!$D$60:$EQ$99,$B19,142)*IF($W19=1,IM19+AFB19,IM19)=1,IF(AND($E19=2,IF($W19=1,AKQ19,OB19)=0),1000000000,IF($V19=1,INDEX('calcA'!$D$130:$EQ$169,$B19,142)+IF(AND($E19=1,OB19=0),25,0),INDEX('calcA'!EO$110:EO$114,$F19+1)+IF(AND($E19=1,OB19=0),1000,0)+IF($H19=1,INDEX('calcA'!$D$180:$EQ$219,$B19,142)*500,0)-IF(AND('calcA'!EN$117=1,ZL19&gt;0),300,0)-IF(AND($U19=1,'calcA'!EO$117=1,IN19=0),300,0))),1000000000))</f>
        <v/>
      </c>
      <c r="TR19">
        <f>IF($B19=0,1000000000,IF(INDEX('calcA'!$D$60:$EQ$99,$B19,143)*IF($W19=1,IN19+AFC19,IN19)=1,IF(AND($E19=2,IF($W19=1,AKR19,OC19)=0),1000000000,IF($V19=1,INDEX('calcA'!$D$130:$EQ$169,$B19,143)+IF(AND($E19=1,OC19=0),25,0),INDEX('calcA'!EP$110:EP$114,$F19+1)+IF(AND($E19=1,OC19=0),1000,0)+IF($H19=1,INDEX('calcA'!$D$180:$EQ$219,$B19,143)*500,0)-IF(AND('calcA'!EO$117=1,ZM19&gt;0),300,0)-IF(AND($U19=1,'calcA'!EP$117=1,IO19=0),300,0))),1000000000))</f>
        <v/>
      </c>
      <c r="TS19">
        <f>IF($B19=0,1000000000,IF(INDEX('calcA'!$D$60:$EQ$99,$B19,144)*IF($W19=1,IO19+AFD19,IO19)=1,IF(AND($E19=2,IF($W19=1,AKS19,OD19)=0),1000000000,IF($V19=1,INDEX('calcA'!$D$130:$EQ$169,$B19,144)+IF(AND($E19=1,OD19=0),25,0),INDEX('calcA'!EQ$110:EQ$114,$F19+1)+IF(AND($E19=1,OD19=0),1000,0)+IF($H19=1,INDEX('calcA'!$D$180:$EQ$219,$B19,144)*500,0)-IF(AND('calcA'!EP$117=1,ZN19&gt;0),300,0))),1000000000))</f>
        <v/>
      </c>
      <c r="UB19">
        <f>UB18+IF(AND($C18=1,$U18=1),1,0)</f>
        <v/>
      </c>
      <c r="UC19">
        <f>UC18+IF(AND($C18=2,$U18=1),1,0)</f>
        <v/>
      </c>
      <c r="UD19">
        <f>UD18+IF(AND($C18=3,$U18=1),1,0)</f>
        <v/>
      </c>
      <c r="UE19">
        <f>UE18+IF(AND($C18=4,$U18=1),1,0)</f>
        <v/>
      </c>
      <c r="UF19">
        <f>UF18+IF(AND($C18=5,$U18=1),1,0)</f>
        <v/>
      </c>
      <c r="UG19">
        <f>UG18+IF(AND($C18=6,$U18=1),1,0)</f>
        <v/>
      </c>
      <c r="UH19">
        <f>UH18+IF(AND($C18=7,$U18=1),1,0)</f>
        <v/>
      </c>
      <c r="UI19">
        <f>UI18+IF(AND($C18=8,$U18=1),1,0)</f>
        <v/>
      </c>
      <c r="UJ19">
        <f>UJ18+IF(AND($C18=9,$U18=1),1,0)</f>
        <v/>
      </c>
      <c r="UK19">
        <f>UK18+IF(AND($C18=10,$U18=1),1,0)</f>
        <v/>
      </c>
      <c r="UL19">
        <f>UL18+IF(AND($C18=11,$U18=1),1,0)</f>
        <v/>
      </c>
      <c r="UM19">
        <f>UM18+IF(AND($C18=12,$U18=1),1,0)</f>
        <v/>
      </c>
      <c r="UN19">
        <f>UN18+IF(AND($C18=13,$U18=1),1,0)</f>
        <v/>
      </c>
      <c r="UO19">
        <f>UO18+IF(AND($C18=14,$U18=1),1,0)</f>
        <v/>
      </c>
      <c r="UP19">
        <f>UP18+IF(AND($C18=15,$U18=1),1,0)</f>
        <v/>
      </c>
      <c r="UQ19">
        <f>UQ18+IF(AND($C18=16,$U18=1),1,0)</f>
        <v/>
      </c>
      <c r="UR19">
        <f>UR18+IF(AND($C18=17,$U18=1),1,0)</f>
        <v/>
      </c>
      <c r="US19">
        <f>US18+IF(AND($C18=18,$U18=1),1,0)</f>
        <v/>
      </c>
      <c r="UT19">
        <f>UT18+IF(AND($C18=19,$U18=1),1,0)</f>
        <v/>
      </c>
      <c r="UU19">
        <f>UU18+IF(AND($C18=20,$U18=1),1,0)</f>
        <v/>
      </c>
      <c r="UV19">
        <f>UV18+IF(AND($C18=21,$U18=1),1,0)</f>
        <v/>
      </c>
      <c r="UW19">
        <f>UW18+IF(AND($C18=22,$U18=1),1,0)</f>
        <v/>
      </c>
      <c r="UX19">
        <f>UX18+IF(AND($C18=23,$U18=1),1,0)</f>
        <v/>
      </c>
      <c r="UY19">
        <f>UY18+IF(AND($C18=24,$U18=1),1,0)</f>
        <v/>
      </c>
      <c r="UZ19">
        <f>UZ18+IF(AND($C18=25,$U18=1),1,0)</f>
        <v/>
      </c>
      <c r="VA19">
        <f>VA18+IF(AND($C18=26,$U18=1),1,0)</f>
        <v/>
      </c>
      <c r="VB19">
        <f>VB18+IF(AND($C18=27,$U18=1),1,0)</f>
        <v/>
      </c>
      <c r="VC19">
        <f>VC18+IF(AND($C18=28,$U18=1),1,0)</f>
        <v/>
      </c>
      <c r="VD19">
        <f>VD18+IF(AND($C18=29,$U18=1),1,0)</f>
        <v/>
      </c>
      <c r="VE19">
        <f>VE18+IF(AND($C18=30,$U18=1),1,0)</f>
        <v/>
      </c>
      <c r="VF19">
        <f>VF18+IF(AND($C18=31,$U18=1),1,0)</f>
        <v/>
      </c>
      <c r="VG19">
        <f>VG18+IF(AND($C18=32,$U18=1),1,0)</f>
        <v/>
      </c>
      <c r="VH19">
        <f>VH18+IF(AND($C18=33,$U18=1),1,0)</f>
        <v/>
      </c>
      <c r="VI19">
        <f>VI18+IF(AND($C18=34,$U18=1),1,0)</f>
        <v/>
      </c>
      <c r="VJ19">
        <f>VJ18+IF(AND($C18=35,$U18=1),1,0)</f>
        <v/>
      </c>
      <c r="VK19">
        <f>VK18+IF(AND($C18=36,$U18=1),1,0)</f>
        <v/>
      </c>
      <c r="VL19">
        <f>VL18+IF(AND($C18=37,$U18=1),1,0)</f>
        <v/>
      </c>
      <c r="VM19">
        <f>VM18+IF(AND($C18=38,$U18=1),1,0)</f>
        <v/>
      </c>
      <c r="VN19">
        <f>VN18+IF(AND($C18=39,$U18=1),1,0)</f>
        <v/>
      </c>
      <c r="VO19">
        <f>VO18+IF(AND($C18=40,$U18=1),1,0)</f>
        <v/>
      </c>
      <c r="VP19">
        <f>VP18+IF(AND($C18=41,$U18=1),1,0)</f>
        <v/>
      </c>
      <c r="VQ19">
        <f>VQ18+IF(AND($C18=42,$U18=1),1,0)</f>
        <v/>
      </c>
      <c r="VR19">
        <f>VR18+IF(AND($C18=43,$U18=1),1,0)</f>
        <v/>
      </c>
      <c r="VS19">
        <f>VS18+IF(AND($C18=44,$U18=1),1,0)</f>
        <v/>
      </c>
      <c r="VT19">
        <f>VT18+IF(AND($C18=45,$U18=1),1,0)</f>
        <v/>
      </c>
      <c r="VU19">
        <f>VU18+IF(AND($C18=46,$U18=1),1,0)</f>
        <v/>
      </c>
      <c r="VV19">
        <f>VV18+IF(AND($C18=47,$U18=1),1,0)</f>
        <v/>
      </c>
      <c r="VW19">
        <f>VW18+IF(AND($C18=48,$U18=1),1,0)</f>
        <v/>
      </c>
      <c r="VX19">
        <f>VX18+IF(AND($C18=49,$U18=1),1,0)</f>
        <v/>
      </c>
      <c r="VY19">
        <f>VY18+IF(AND($C18=50,$U18=1),1,0)</f>
        <v/>
      </c>
      <c r="VZ19">
        <f>VZ18+IF(AND($C18=51,$U18=1),1,0)</f>
        <v/>
      </c>
      <c r="WA19">
        <f>WA18+IF(AND($C18=52,$U18=1),1,0)</f>
        <v/>
      </c>
      <c r="WB19">
        <f>WB18+IF(AND($C18=53,$U18=1),1,0)</f>
        <v/>
      </c>
      <c r="WC19">
        <f>WC18+IF(AND($C18=54,$U18=1),1,0)</f>
        <v/>
      </c>
      <c r="WD19">
        <f>WD18+IF(AND($C18=55,$U18=1),1,0)</f>
        <v/>
      </c>
      <c r="WE19">
        <f>WE18+IF(AND($C18=56,$U18=1),1,0)</f>
        <v/>
      </c>
      <c r="WF19">
        <f>WF18+IF(AND($C18=57,$U18=1),1,0)</f>
        <v/>
      </c>
      <c r="WG19">
        <f>WG18+IF(AND($C18=58,$U18=1),1,0)</f>
        <v/>
      </c>
      <c r="WH19">
        <f>WH18+IF(AND($C18=59,$U18=1),1,0)</f>
        <v/>
      </c>
      <c r="WI19">
        <f>WI18+IF(AND($C18=60,$U18=1),1,0)</f>
        <v/>
      </c>
      <c r="WJ19">
        <f>WJ18+IF(AND($C18=61,$U18=1),1,0)</f>
        <v/>
      </c>
      <c r="WK19">
        <f>WK18+IF(AND($C18=62,$U18=1),1,0)</f>
        <v/>
      </c>
      <c r="WL19">
        <f>WL18+IF(AND($C18=63,$U18=1),1,0)</f>
        <v/>
      </c>
      <c r="WM19">
        <f>WM18+IF(AND($C18=64,$U18=1),1,0)</f>
        <v/>
      </c>
      <c r="WN19">
        <f>WN18+IF(AND($C18=65,$U18=1),1,0)</f>
        <v/>
      </c>
      <c r="WO19">
        <f>WO18+IF(AND($C18=66,$U18=1),1,0)</f>
        <v/>
      </c>
      <c r="WP19">
        <f>WP18+IF(AND($C18=67,$U18=1),1,0)</f>
        <v/>
      </c>
      <c r="WQ19">
        <f>WQ18+IF(AND($C18=68,$U18=1),1,0)</f>
        <v/>
      </c>
      <c r="WR19">
        <f>WR18+IF(AND($C18=69,$U18=1),1,0)</f>
        <v/>
      </c>
      <c r="WS19">
        <f>WS18+IF(AND($C18=70,$U18=1),1,0)</f>
        <v/>
      </c>
      <c r="WT19">
        <f>WT18+IF(AND($C18=71,$U18=1),1,0)</f>
        <v/>
      </c>
      <c r="WU19">
        <f>WU18+IF(AND($C18=72,$U18=1),1,0)</f>
        <v/>
      </c>
      <c r="WV19">
        <f>WV18+IF(AND($C18=73,$U18=1),1,0)</f>
        <v/>
      </c>
      <c r="WW19">
        <f>WW18+IF(AND($C18=74,$U18=1),1,0)</f>
        <v/>
      </c>
      <c r="WX19">
        <f>WX18+IF(AND($C18=75,$U18=1),1,0)</f>
        <v/>
      </c>
      <c r="WY19">
        <f>WY18+IF(AND($C18=76,$U18=1),1,0)</f>
        <v/>
      </c>
      <c r="WZ19">
        <f>WZ18+IF(AND($C18=77,$U18=1),1,0)</f>
        <v/>
      </c>
      <c r="XA19">
        <f>XA18+IF(AND($C18=78,$U18=1),1,0)</f>
        <v/>
      </c>
      <c r="XB19">
        <f>XB18+IF(AND($C18=79,$U18=1),1,0)</f>
        <v/>
      </c>
      <c r="XC19">
        <f>XC18+IF(AND($C18=80,$U18=1),1,0)</f>
        <v/>
      </c>
      <c r="XD19">
        <f>XD18+IF(AND($C18=81,$U18=1),1,0)</f>
        <v/>
      </c>
      <c r="XE19">
        <f>XE18+IF(AND($C18=82,$U18=1),1,0)</f>
        <v/>
      </c>
      <c r="XF19">
        <f>XF18+IF(AND($C18=83,$U18=1),1,0)</f>
        <v/>
      </c>
      <c r="XG19">
        <f>XG18+IF(AND($C18=84,$U18=1),1,0)</f>
        <v/>
      </c>
      <c r="XH19">
        <f>XH18+IF(AND($C18=85,$U18=1),1,0)</f>
        <v/>
      </c>
      <c r="XI19">
        <f>XI18+IF(AND($C18=86,$U18=1),1,0)</f>
        <v/>
      </c>
      <c r="XJ19">
        <f>XJ18+IF(AND($C18=87,$U18=1),1,0)</f>
        <v/>
      </c>
      <c r="XK19">
        <f>XK18+IF(AND($C18=88,$U18=1),1,0)</f>
        <v/>
      </c>
      <c r="XL19">
        <f>XL18+IF(AND($C18=89,$U18=1),1,0)</f>
        <v/>
      </c>
      <c r="XM19">
        <f>XM18+IF(AND($C18=90,$U18=1),1,0)</f>
        <v/>
      </c>
      <c r="XN19">
        <f>XN18+IF(AND($C18=91,$U18=1),1,0)</f>
        <v/>
      </c>
      <c r="XO19">
        <f>XO18+IF(AND($C18=92,$U18=1),1,0)</f>
        <v/>
      </c>
      <c r="XP19">
        <f>XP18+IF(AND($C18=93,$U18=1),1,0)</f>
        <v/>
      </c>
      <c r="XQ19">
        <f>XQ18+IF(AND($C18=94,$U18=1),1,0)</f>
        <v/>
      </c>
      <c r="XR19">
        <f>XR18+IF(AND($C18=95,$U18=1),1,0)</f>
        <v/>
      </c>
      <c r="XS19">
        <f>XS18+IF(AND($C18=96,$U18=1),1,0)</f>
        <v/>
      </c>
      <c r="XT19">
        <f>XT18+IF(AND($C18=97,$U18=1),1,0)</f>
        <v/>
      </c>
      <c r="XU19">
        <f>XU18+IF(AND($C18=98,$U18=1),1,0)</f>
        <v/>
      </c>
      <c r="XV19">
        <f>XV18+IF(AND($C18=99,$U18=1),1,0)</f>
        <v/>
      </c>
      <c r="XW19">
        <f>XW18+IF(AND($C18=100,$U18=1),1,0)</f>
        <v/>
      </c>
      <c r="XX19">
        <f>XX18+IF(AND($C18=101,$U18=1),1,0)</f>
        <v/>
      </c>
      <c r="XY19">
        <f>XY18+IF(AND($C18=102,$U18=1),1,0)</f>
        <v/>
      </c>
      <c r="XZ19">
        <f>XZ18+IF(AND($C18=103,$U18=1),1,0)</f>
        <v/>
      </c>
      <c r="YA19">
        <f>YA18+IF(AND($C18=104,$U18=1),1,0)</f>
        <v/>
      </c>
      <c r="YB19">
        <f>YB18+IF(AND($C18=105,$U18=1),1,0)</f>
        <v/>
      </c>
      <c r="YC19">
        <f>YC18+IF(AND($C18=106,$U18=1),1,0)</f>
        <v/>
      </c>
      <c r="YD19">
        <f>YD18+IF(AND($C18=107,$U18=1),1,0)</f>
        <v/>
      </c>
      <c r="YE19">
        <f>YE18+IF(AND($C18=108,$U18=1),1,0)</f>
        <v/>
      </c>
      <c r="YF19">
        <f>YF18+IF(AND($C18=109,$U18=1),1,0)</f>
        <v/>
      </c>
      <c r="YG19">
        <f>YG18+IF(AND($C18=110,$U18=1),1,0)</f>
        <v/>
      </c>
      <c r="YH19">
        <f>YH18+IF(AND($C18=111,$U18=1),1,0)</f>
        <v/>
      </c>
      <c r="YI19">
        <f>YI18+IF(AND($C18=112,$U18=1),1,0)</f>
        <v/>
      </c>
      <c r="YJ19">
        <f>YJ18+IF(AND($C18=113,$U18=1),1,0)</f>
        <v/>
      </c>
      <c r="YK19">
        <f>YK18+IF(AND($C18=114,$U18=1),1,0)</f>
        <v/>
      </c>
      <c r="YL19">
        <f>YL18+IF(AND($C18=115,$U18=1),1,0)</f>
        <v/>
      </c>
      <c r="YM19">
        <f>YM18+IF(AND($C18=116,$U18=1),1,0)</f>
        <v/>
      </c>
      <c r="YN19">
        <f>YN18+IF(AND($C18=117,$U18=1),1,0)</f>
        <v/>
      </c>
      <c r="YO19">
        <f>YO18+IF(AND($C18=118,$U18=1),1,0)</f>
        <v/>
      </c>
      <c r="YP19">
        <f>YP18+IF(AND($C18=119,$U18=1),1,0)</f>
        <v/>
      </c>
      <c r="YQ19">
        <f>YQ18+IF(AND($C18=120,$U18=1),1,0)</f>
        <v/>
      </c>
      <c r="YR19">
        <f>YR18+IF(AND($C18=121,$U18=1),1,0)</f>
        <v/>
      </c>
      <c r="YS19">
        <f>YS18+IF(AND($C18=122,$U18=1),1,0)</f>
        <v/>
      </c>
      <c r="YT19">
        <f>YT18+IF(AND($C18=123,$U18=1),1,0)</f>
        <v/>
      </c>
      <c r="YU19">
        <f>YU18+IF(AND($C18=124,$U18=1),1,0)</f>
        <v/>
      </c>
      <c r="YV19">
        <f>YV18+IF(AND($C18=125,$U18=1),1,0)</f>
        <v/>
      </c>
      <c r="YW19">
        <f>YW18+IF(AND($C18=126,$U18=1),1,0)</f>
        <v/>
      </c>
      <c r="YX19">
        <f>YX18+IF(AND($C18=127,$U18=1),1,0)</f>
        <v/>
      </c>
      <c r="YY19">
        <f>YY18+IF(AND($C18=128,$U18=1),1,0)</f>
        <v/>
      </c>
      <c r="YZ19">
        <f>YZ18+IF(AND($C18=129,$U18=1),1,0)</f>
        <v/>
      </c>
      <c r="ZA19">
        <f>ZA18+IF(AND($C18=130,$U18=1),1,0)</f>
        <v/>
      </c>
      <c r="ZB19">
        <f>ZB18+IF(AND($C18=131,$U18=1),1,0)</f>
        <v/>
      </c>
      <c r="ZC19">
        <f>ZC18+IF(AND($C18=132,$U18=1),1,0)</f>
        <v/>
      </c>
      <c r="ZD19">
        <f>ZD18+IF(AND($C18=133,$U18=1),1,0)</f>
        <v/>
      </c>
      <c r="ZE19">
        <f>ZE18+IF(AND($C18=134,$U18=1),1,0)</f>
        <v/>
      </c>
      <c r="ZF19">
        <f>ZF18+IF(AND($C18=135,$U18=1),1,0)</f>
        <v/>
      </c>
      <c r="ZG19">
        <f>ZG18+IF(AND($C18=136,$U18=1),1,0)</f>
        <v/>
      </c>
      <c r="ZH19">
        <f>ZH18+IF(AND($C18=137,$U18=1),1,0)</f>
        <v/>
      </c>
      <c r="ZI19">
        <f>ZI18+IF(AND($C18=138,$U18=1),1,0)</f>
        <v/>
      </c>
      <c r="ZJ19">
        <f>ZJ18+IF(AND($C18=139,$U18=1),1,0)</f>
        <v/>
      </c>
      <c r="ZK19">
        <f>ZK18+IF(AND($C18=140,$U18=1),1,0)</f>
        <v/>
      </c>
      <c r="ZL19">
        <f>ZL18+IF(AND($C18=141,$U18=1),1,0)</f>
        <v/>
      </c>
      <c r="ZM19">
        <f>ZM18+IF(AND($C18=142,$U18=1),1,0)</f>
        <v/>
      </c>
      <c r="ZN19">
        <f>ZN18+IF(AND($C18=143,$U18=1),1,0)</f>
        <v/>
      </c>
      <c r="ZO19">
        <f>ZO18+IF(AND($C18=144,$U18=1),1,0)</f>
        <v/>
      </c>
      <c r="ZQ19">
        <f>IF($C18=1,0,ZQ18+IF(AND($G18=1,$E18=1),1,0))</f>
        <v/>
      </c>
      <c r="ZR19">
        <f>IF($C18=2,0,ZR18+IF(AND($G18=2,$E18=1),1,0))</f>
        <v/>
      </c>
      <c r="ZS19">
        <f>IF($C18=3,0,ZS18+IF(AND($G18=3,$E18=1),1,0))</f>
        <v/>
      </c>
      <c r="ZT19">
        <f>IF($C18=4,0,ZT18+IF(AND($G18=4,$E18=1),1,0))</f>
        <v/>
      </c>
      <c r="ZU19">
        <f>IF($C18=5,0,ZU18+IF(AND($G18=5,$E18=1),1,0))</f>
        <v/>
      </c>
      <c r="ZV19">
        <f>IF($C18=6,0,ZV18+IF(AND($G18=6,$E18=1),1,0))</f>
        <v/>
      </c>
      <c r="ZW19">
        <f>IF($C18=7,0,ZW18+IF(AND($G18=7,$E18=1),1,0))</f>
        <v/>
      </c>
      <c r="ZX19">
        <f>IF($C18=8,0,ZX18+IF(AND($G18=8,$E18=1),1,0))</f>
        <v/>
      </c>
      <c r="ZY19">
        <f>IF($C18=9,0,ZY18+IF(AND($G18=9,$E18=1),1,0))</f>
        <v/>
      </c>
      <c r="ZZ19">
        <f>IF($C18=10,0,ZZ18+IF(AND($G18=10,$E18=1),1,0))</f>
        <v/>
      </c>
      <c r="AAA19">
        <f>IF($C18=11,0,AAA18+IF(AND($G18=11,$E18=1),1,0))</f>
        <v/>
      </c>
      <c r="AAB19">
        <f>IF($C18=12,0,AAB18+IF(AND($G18=12,$E18=1),1,0))</f>
        <v/>
      </c>
      <c r="AAC19">
        <f>IF($C18=13,0,AAC18+IF(AND($G18=13,$E18=1),1,0))</f>
        <v/>
      </c>
      <c r="AAD19">
        <f>IF($C18=14,0,AAD18+IF(AND($G18=14,$E18=1),1,0))</f>
        <v/>
      </c>
      <c r="AAE19">
        <f>IF($C18=15,0,AAE18+IF(AND($G18=15,$E18=1),1,0))</f>
        <v/>
      </c>
      <c r="AAF19">
        <f>IF($C18=16,0,AAF18+IF(AND($G18=16,$E18=1),1,0))</f>
        <v/>
      </c>
      <c r="AAG19">
        <f>IF($C18=17,0,AAG18+IF(AND($G18=17,$E18=1),1,0))</f>
        <v/>
      </c>
      <c r="AAH19">
        <f>IF($C18=18,0,AAH18+IF(AND($G18=18,$E18=1),1,0))</f>
        <v/>
      </c>
      <c r="AAI19">
        <f>IF($C18=19,0,AAI18+IF(AND($G18=19,$E18=1),1,0))</f>
        <v/>
      </c>
      <c r="AAJ19">
        <f>IF($C18=20,0,AAJ18+IF(AND($G18=20,$E18=1),1,0))</f>
        <v/>
      </c>
      <c r="AAK19">
        <f>IF($C18=21,0,AAK18+IF(AND($G18=21,$E18=1),1,0))</f>
        <v/>
      </c>
      <c r="AAL19">
        <f>IF($C18=22,0,AAL18+IF(AND($G18=22,$E18=1),1,0))</f>
        <v/>
      </c>
      <c r="AAM19">
        <f>IF($C18=23,0,AAM18+IF(AND($G18=23,$E18=1),1,0))</f>
        <v/>
      </c>
      <c r="AAN19">
        <f>IF($C18=24,0,AAN18+IF(AND($G18=24,$E18=1),1,0))</f>
        <v/>
      </c>
      <c r="AAO19">
        <f>IF($C18=25,0,AAO18+IF(AND($G18=25,$E18=1),1,0))</f>
        <v/>
      </c>
      <c r="AAP19">
        <f>IF($C18=26,0,AAP18+IF(AND($G18=26,$E18=1),1,0))</f>
        <v/>
      </c>
      <c r="AAQ19">
        <f>IF($C18=27,0,AAQ18+IF(AND($G18=27,$E18=1),1,0))</f>
        <v/>
      </c>
      <c r="AAR19">
        <f>IF($C18=28,0,AAR18+IF(AND($G18=28,$E18=1),1,0))</f>
        <v/>
      </c>
      <c r="AAS19">
        <f>IF($C18=29,0,AAS18+IF(AND($G18=29,$E18=1),1,0))</f>
        <v/>
      </c>
      <c r="AAT19">
        <f>IF($C18=30,0,AAT18+IF(AND($G18=30,$E18=1),1,0))</f>
        <v/>
      </c>
      <c r="AAU19">
        <f>IF($C18=31,0,AAU18+IF(AND($G18=31,$E18=1),1,0))</f>
        <v/>
      </c>
      <c r="AAV19">
        <f>IF($C18=32,0,AAV18+IF(AND($G18=32,$E18=1),1,0))</f>
        <v/>
      </c>
      <c r="AAW19">
        <f>IF($C18=33,0,AAW18+IF(AND($G18=33,$E18=1),1,0))</f>
        <v/>
      </c>
      <c r="AAX19">
        <f>IF($C18=34,0,AAX18+IF(AND($G18=34,$E18=1),1,0))</f>
        <v/>
      </c>
      <c r="AAY19">
        <f>IF($C18=35,0,AAY18+IF(AND($G18=35,$E18=1),1,0))</f>
        <v/>
      </c>
      <c r="AAZ19">
        <f>IF($C18=36,0,AAZ18+IF(AND($G18=36,$E18=1),1,0))</f>
        <v/>
      </c>
      <c r="ABA19">
        <f>IF($C18=37,0,ABA18+IF(AND($G18=37,$E18=1),1,0))</f>
        <v/>
      </c>
      <c r="ABB19">
        <f>IF($C18=38,0,ABB18+IF(AND($G18=38,$E18=1),1,0))</f>
        <v/>
      </c>
      <c r="ABC19">
        <f>IF($C18=39,0,ABC18+IF(AND($G18=39,$E18=1),1,0))</f>
        <v/>
      </c>
      <c r="ABD19">
        <f>IF($C18=40,0,ABD18+IF(AND($G18=40,$E18=1),1,0))</f>
        <v/>
      </c>
      <c r="ABE19">
        <f>IF($C18=41,0,ABE18+IF(AND($G18=41,$E18=1),1,0))</f>
        <v/>
      </c>
      <c r="ABF19">
        <f>IF($C18=42,0,ABF18+IF(AND($G18=42,$E18=1),1,0))</f>
        <v/>
      </c>
      <c r="ABG19">
        <f>IF($C18=43,0,ABG18+IF(AND($G18=43,$E18=1),1,0))</f>
        <v/>
      </c>
      <c r="ABH19">
        <f>IF($C18=44,0,ABH18+IF(AND($G18=44,$E18=1),1,0))</f>
        <v/>
      </c>
      <c r="ABI19">
        <f>IF($C18=45,0,ABI18+IF(AND($G18=45,$E18=1),1,0))</f>
        <v/>
      </c>
      <c r="ABJ19">
        <f>IF($C18=46,0,ABJ18+IF(AND($G18=46,$E18=1),1,0))</f>
        <v/>
      </c>
      <c r="ABK19">
        <f>IF($C18=47,0,ABK18+IF(AND($G18=47,$E18=1),1,0))</f>
        <v/>
      </c>
      <c r="ABL19">
        <f>IF($C18=48,0,ABL18+IF(AND($G18=48,$E18=1),1,0))</f>
        <v/>
      </c>
      <c r="ABM19">
        <f>IF($C18=49,0,ABM18+IF(AND($G18=49,$E18=1),1,0))</f>
        <v/>
      </c>
      <c r="ABN19">
        <f>IF($C18=50,0,ABN18+IF(AND($G18=50,$E18=1),1,0))</f>
        <v/>
      </c>
      <c r="ABO19">
        <f>IF($C18=51,0,ABO18+IF(AND($G18=51,$E18=1),1,0))</f>
        <v/>
      </c>
      <c r="ABP19">
        <f>IF($C18=52,0,ABP18+IF(AND($G18=52,$E18=1),1,0))</f>
        <v/>
      </c>
      <c r="ABQ19">
        <f>IF($C18=53,0,ABQ18+IF(AND($G18=53,$E18=1),1,0))</f>
        <v/>
      </c>
      <c r="ABR19">
        <f>IF($C18=54,0,ABR18+IF(AND($G18=54,$E18=1),1,0))</f>
        <v/>
      </c>
      <c r="ABS19">
        <f>IF($C18=55,0,ABS18+IF(AND($G18=55,$E18=1),1,0))</f>
        <v/>
      </c>
      <c r="ABT19">
        <f>IF($C18=56,0,ABT18+IF(AND($G18=56,$E18=1),1,0))</f>
        <v/>
      </c>
      <c r="ABU19">
        <f>IF($C18=57,0,ABU18+IF(AND($G18=57,$E18=1),1,0))</f>
        <v/>
      </c>
      <c r="ABV19">
        <f>IF($C18=58,0,ABV18+IF(AND($G18=58,$E18=1),1,0))</f>
        <v/>
      </c>
      <c r="ABW19">
        <f>IF($C18=59,0,ABW18+IF(AND($G18=59,$E18=1),1,0))</f>
        <v/>
      </c>
      <c r="ABX19">
        <f>IF($C18=60,0,ABX18+IF(AND($G18=60,$E18=1),1,0))</f>
        <v/>
      </c>
      <c r="ABY19">
        <f>IF($C18=61,0,ABY18+IF(AND($G18=61,$E18=1),1,0))</f>
        <v/>
      </c>
      <c r="ABZ19">
        <f>IF($C18=62,0,ABZ18+IF(AND($G18=62,$E18=1),1,0))</f>
        <v/>
      </c>
      <c r="ACA19">
        <f>IF($C18=63,0,ACA18+IF(AND($G18=63,$E18=1),1,0))</f>
        <v/>
      </c>
      <c r="ACB19">
        <f>IF($C18=64,0,ACB18+IF(AND($G18=64,$E18=1),1,0))</f>
        <v/>
      </c>
      <c r="ACC19">
        <f>IF($C18=65,0,ACC18+IF(AND($G18=65,$E18=1),1,0))</f>
        <v/>
      </c>
      <c r="ACD19">
        <f>IF($C18=66,0,ACD18+IF(AND($G18=66,$E18=1),1,0))</f>
        <v/>
      </c>
      <c r="ACE19">
        <f>IF($C18=67,0,ACE18+IF(AND($G18=67,$E18=1),1,0))</f>
        <v/>
      </c>
      <c r="ACF19">
        <f>IF($C18=68,0,ACF18+IF(AND($G18=68,$E18=1),1,0))</f>
        <v/>
      </c>
      <c r="ACG19">
        <f>IF($C18=69,0,ACG18+IF(AND($G18=69,$E18=1),1,0))</f>
        <v/>
      </c>
      <c r="ACH19">
        <f>IF($C18=70,0,ACH18+IF(AND($G18=70,$E18=1),1,0))</f>
        <v/>
      </c>
      <c r="ACI19">
        <f>IF($C18=71,0,ACI18+IF(AND($G18=71,$E18=1),1,0))</f>
        <v/>
      </c>
      <c r="ACJ19">
        <f>IF($C18=72,0,ACJ18+IF(AND($G18=72,$E18=1),1,0))</f>
        <v/>
      </c>
      <c r="ACK19">
        <f>IF($C18=73,0,ACK18+IF(AND($G18=73,$E18=1),1,0))</f>
        <v/>
      </c>
      <c r="ACL19">
        <f>IF($C18=74,0,ACL18+IF(AND($G18=74,$E18=1),1,0))</f>
        <v/>
      </c>
      <c r="ACM19">
        <f>IF($C18=75,0,ACM18+IF(AND($G18=75,$E18=1),1,0))</f>
        <v/>
      </c>
      <c r="ACN19">
        <f>IF($C18=76,0,ACN18+IF(AND($G18=76,$E18=1),1,0))</f>
        <v/>
      </c>
      <c r="ACO19">
        <f>IF($C18=77,0,ACO18+IF(AND($G18=77,$E18=1),1,0))</f>
        <v/>
      </c>
      <c r="ACP19">
        <f>IF($C18=78,0,ACP18+IF(AND($G18=78,$E18=1),1,0))</f>
        <v/>
      </c>
      <c r="ACQ19">
        <f>IF($C18=79,0,ACQ18+IF(AND($G18=79,$E18=1),1,0))</f>
        <v/>
      </c>
      <c r="ACR19">
        <f>IF($C18=80,0,ACR18+IF(AND($G18=80,$E18=1),1,0))</f>
        <v/>
      </c>
      <c r="ACS19">
        <f>IF($C18=81,0,ACS18+IF(AND($G18=81,$E18=1),1,0))</f>
        <v/>
      </c>
      <c r="ACT19">
        <f>IF($C18=82,0,ACT18+IF(AND($G18=82,$E18=1),1,0))</f>
        <v/>
      </c>
      <c r="ACU19">
        <f>IF($C18=83,0,ACU18+IF(AND($G18=83,$E18=1),1,0))</f>
        <v/>
      </c>
      <c r="ACV19">
        <f>IF($C18=84,0,ACV18+IF(AND($G18=84,$E18=1),1,0))</f>
        <v/>
      </c>
      <c r="ACW19">
        <f>IF($C18=85,0,ACW18+IF(AND($G18=85,$E18=1),1,0))</f>
        <v/>
      </c>
      <c r="ACX19">
        <f>IF($C18=86,0,ACX18+IF(AND($G18=86,$E18=1),1,0))</f>
        <v/>
      </c>
      <c r="ACY19">
        <f>IF($C18=87,0,ACY18+IF(AND($G18=87,$E18=1),1,0))</f>
        <v/>
      </c>
      <c r="ACZ19">
        <f>IF($C18=88,0,ACZ18+IF(AND($G18=88,$E18=1),1,0))</f>
        <v/>
      </c>
      <c r="ADA19">
        <f>IF($C18=89,0,ADA18+IF(AND($G18=89,$E18=1),1,0))</f>
        <v/>
      </c>
      <c r="ADB19">
        <f>IF($C18=90,0,ADB18+IF(AND($G18=90,$E18=1),1,0))</f>
        <v/>
      </c>
      <c r="ADC19">
        <f>IF($C18=91,0,ADC18+IF(AND($G18=91,$E18=1),1,0))</f>
        <v/>
      </c>
      <c r="ADD19">
        <f>IF($C18=92,0,ADD18+IF(AND($G18=92,$E18=1),1,0))</f>
        <v/>
      </c>
      <c r="ADE19">
        <f>IF($C18=93,0,ADE18+IF(AND($G18=93,$E18=1),1,0))</f>
        <v/>
      </c>
      <c r="ADF19">
        <f>IF($C18=94,0,ADF18+IF(AND($G18=94,$E18=1),1,0))</f>
        <v/>
      </c>
      <c r="ADG19">
        <f>IF($C18=95,0,ADG18+IF(AND($G18=95,$E18=1),1,0))</f>
        <v/>
      </c>
      <c r="ADH19">
        <f>IF($C18=96,0,ADH18+IF(AND($G18=96,$E18=1),1,0))</f>
        <v/>
      </c>
      <c r="ADI19">
        <f>IF($C18=97,0,ADI18+IF(AND($G18=97,$E18=1),1,0))</f>
        <v/>
      </c>
      <c r="ADJ19">
        <f>IF($C18=98,0,ADJ18+IF(AND($G18=98,$E18=1),1,0))</f>
        <v/>
      </c>
      <c r="ADK19">
        <f>IF($C18=99,0,ADK18+IF(AND($G18=99,$E18=1),1,0))</f>
        <v/>
      </c>
      <c r="ADL19">
        <f>IF($C18=100,0,ADL18+IF(AND($G18=100,$E18=1),1,0))</f>
        <v/>
      </c>
      <c r="ADM19">
        <f>IF($C18=101,0,ADM18+IF(AND($G18=101,$E18=1),1,0))</f>
        <v/>
      </c>
      <c r="ADN19">
        <f>IF($C18=102,0,ADN18+IF(AND($G18=102,$E18=1),1,0))</f>
        <v/>
      </c>
      <c r="ADO19">
        <f>IF($C18=103,0,ADO18+IF(AND($G18=103,$E18=1),1,0))</f>
        <v/>
      </c>
      <c r="ADP19">
        <f>IF($C18=104,0,ADP18+IF(AND($G18=104,$E18=1),1,0))</f>
        <v/>
      </c>
      <c r="ADQ19">
        <f>IF($C18=105,0,ADQ18+IF(AND($G18=105,$E18=1),1,0))</f>
        <v/>
      </c>
      <c r="ADR19">
        <f>IF($C18=106,0,ADR18+IF(AND($G18=106,$E18=1),1,0))</f>
        <v/>
      </c>
      <c r="ADS19">
        <f>IF($C18=107,0,ADS18+IF(AND($G18=107,$E18=1),1,0))</f>
        <v/>
      </c>
      <c r="ADT19">
        <f>IF($C18=108,0,ADT18+IF(AND($G18=108,$E18=1),1,0))</f>
        <v/>
      </c>
      <c r="ADU19">
        <f>IF($C18=109,0,ADU18+IF(AND($G18=109,$E18=1),1,0))</f>
        <v/>
      </c>
      <c r="ADV19">
        <f>IF($C18=110,0,ADV18+IF(AND($G18=110,$E18=1),1,0))</f>
        <v/>
      </c>
      <c r="ADW19">
        <f>IF($C18=111,0,ADW18+IF(AND($G18=111,$E18=1),1,0))</f>
        <v/>
      </c>
      <c r="ADX19">
        <f>IF($C18=112,0,ADX18+IF(AND($G18=112,$E18=1),1,0))</f>
        <v/>
      </c>
      <c r="ADY19">
        <f>IF($C18=113,0,ADY18+IF(AND($G18=113,$E18=1),1,0))</f>
        <v/>
      </c>
      <c r="ADZ19">
        <f>IF($C18=114,0,ADZ18+IF(AND($G18=114,$E18=1),1,0))</f>
        <v/>
      </c>
      <c r="AEA19">
        <f>IF($C18=115,0,AEA18+IF(AND($G18=115,$E18=1),1,0))</f>
        <v/>
      </c>
      <c r="AEB19">
        <f>IF($C18=116,0,AEB18+IF(AND($G18=116,$E18=1),1,0))</f>
        <v/>
      </c>
      <c r="AEC19">
        <f>IF($C18=117,0,AEC18+IF(AND($G18=117,$E18=1),1,0))</f>
        <v/>
      </c>
      <c r="AED19">
        <f>IF($C18=118,0,AED18+IF(AND($G18=118,$E18=1),1,0))</f>
        <v/>
      </c>
      <c r="AEE19">
        <f>IF($C18=119,0,AEE18+IF(AND($G18=119,$E18=1),1,0))</f>
        <v/>
      </c>
      <c r="AEF19">
        <f>IF($C18=120,0,AEF18+IF(AND($G18=120,$E18=1),1,0))</f>
        <v/>
      </c>
      <c r="AEG19">
        <f>IF($C18=121,0,AEG18+IF(AND($G18=121,$E18=1),1,0))</f>
        <v/>
      </c>
      <c r="AEH19">
        <f>IF($C18=122,0,AEH18+IF(AND($G18=122,$E18=1),1,0))</f>
        <v/>
      </c>
      <c r="AEI19">
        <f>IF($C18=123,0,AEI18+IF(AND($G18=123,$E18=1),1,0))</f>
        <v/>
      </c>
      <c r="AEJ19">
        <f>IF($C18=124,0,AEJ18+IF(AND($G18=124,$E18=1),1,0))</f>
        <v/>
      </c>
      <c r="AEK19">
        <f>IF($C18=125,0,AEK18+IF(AND($G18=125,$E18=1),1,0))</f>
        <v/>
      </c>
      <c r="AEL19">
        <f>IF($C18=126,0,AEL18+IF(AND($G18=126,$E18=1),1,0))</f>
        <v/>
      </c>
      <c r="AEM19">
        <f>IF($C18=127,0,AEM18+IF(AND($G18=127,$E18=1),1,0))</f>
        <v/>
      </c>
      <c r="AEN19">
        <f>IF($C18=128,0,AEN18+IF(AND($G18=128,$E18=1),1,0))</f>
        <v/>
      </c>
      <c r="AEO19">
        <f>IF($C18=129,0,AEO18+IF(AND($G18=129,$E18=1),1,0))</f>
        <v/>
      </c>
      <c r="AEP19">
        <f>IF($C18=130,0,AEP18+IF(AND($G18=130,$E18=1),1,0))</f>
        <v/>
      </c>
      <c r="AEQ19">
        <f>IF($C18=131,0,AEQ18+IF(AND($G18=131,$E18=1),1,0))</f>
        <v/>
      </c>
      <c r="AER19">
        <f>IF($C18=132,0,AER18+IF(AND($G18=132,$E18=1),1,0))</f>
        <v/>
      </c>
      <c r="AES19">
        <f>IF($C18=133,0,AES18+IF(AND($G18=133,$E18=1),1,0))</f>
        <v/>
      </c>
      <c r="AET19">
        <f>IF($C18=134,0,AET18+IF(AND($G18=134,$E18=1),1,0))</f>
        <v/>
      </c>
      <c r="AEU19">
        <f>IF($C18=135,0,AEU18+IF(AND($G18=135,$E18=1),1,0))</f>
        <v/>
      </c>
      <c r="AEV19">
        <f>IF($C18=136,0,AEV18+IF(AND($G18=136,$E18=1),1,0))</f>
        <v/>
      </c>
      <c r="AEW19">
        <f>IF($C18=137,0,AEW18+IF(AND($G18=137,$E18=1),1,0))</f>
        <v/>
      </c>
      <c r="AEX19">
        <f>IF($C18=138,0,AEX18+IF(AND($G18=138,$E18=1),1,0))</f>
        <v/>
      </c>
      <c r="AEY19">
        <f>IF($C18=139,0,AEY18+IF(AND($G18=139,$E18=1),1,0))</f>
        <v/>
      </c>
      <c r="AEZ19">
        <f>IF($C18=140,0,AEZ18+IF(AND($G18=140,$E18=1),1,0))</f>
        <v/>
      </c>
      <c r="AFA19">
        <f>IF($C18=141,0,AFA18+IF(AND($G18=141,$E18=1),1,0))</f>
        <v/>
      </c>
      <c r="AFB19">
        <f>IF($C18=142,0,AFB18+IF(AND($G18=142,$E18=1),1,0))</f>
        <v/>
      </c>
      <c r="AFC19">
        <f>IF($C18=143,0,AFC18+IF(AND($G18=143,$E18=1),1,0))</f>
        <v/>
      </c>
      <c r="AFD19">
        <f>IF($C18=144,0,AFD18+IF(AND($G18=144,$E18=1),1,0))</f>
        <v/>
      </c>
      <c r="AFF19">
        <f>IF('calcA'!D$106=1,DC19+ZR19,1)</f>
        <v/>
      </c>
      <c r="AFG19">
        <f>IF('calcA'!E$106=1,DD19+ZS19,1)</f>
        <v/>
      </c>
      <c r="AFH19">
        <f>IF('calcA'!F$106=1,DE19+ZT19,1)</f>
        <v/>
      </c>
      <c r="AFI19">
        <f>IF('calcA'!G$106=1,DF19+ZU19,1)</f>
        <v/>
      </c>
      <c r="AFJ19">
        <f>IF('calcA'!H$106=1,DG19+ZV19,1)</f>
        <v/>
      </c>
      <c r="AFK19">
        <f>IF('calcA'!I$106=1,DH19+ZW19,1)</f>
        <v/>
      </c>
      <c r="AFL19">
        <f>IF('calcA'!J$106=1,DI19+ZX19,1)</f>
        <v/>
      </c>
      <c r="AFM19">
        <f>IF('calcA'!K$106=1,DJ19+ZY19,1)</f>
        <v/>
      </c>
      <c r="AFN19">
        <f>IF('calcA'!L$106=1,DK19+ZZ19,1)</f>
        <v/>
      </c>
      <c r="AFO19">
        <f>IF('calcA'!M$106=1,DL19+AAA19,1)</f>
        <v/>
      </c>
      <c r="AFP19">
        <f>IF('calcA'!N$106=1,DM19+AAB19,1)</f>
        <v/>
      </c>
      <c r="AFQ19">
        <f>IF('calcA'!O$106=1,DN19+AAC19,1)</f>
        <v/>
      </c>
      <c r="AFR19">
        <f>IF('calcA'!P$106=1,DO19+AAD19,1)</f>
        <v/>
      </c>
      <c r="AFS19">
        <f>IF('calcA'!Q$106=1,DP19+AAE19,1)</f>
        <v/>
      </c>
      <c r="AFT19">
        <f>IF('calcA'!R$106=1,DQ19+AAF19,1)</f>
        <v/>
      </c>
      <c r="AFU19">
        <f>IF('calcA'!S$106=1,DR19+AAG19,1)</f>
        <v/>
      </c>
      <c r="AFV19">
        <f>IF('calcA'!T$106=1,DS19+AAH19,1)</f>
        <v/>
      </c>
      <c r="AFW19">
        <f>IF('calcA'!U$106=1,DT19+AAI19,1)</f>
        <v/>
      </c>
      <c r="AFX19">
        <f>IF('calcA'!V$106=1,DU19+AAJ19,1)</f>
        <v/>
      </c>
      <c r="AFY19">
        <f>IF('calcA'!W$106=1,DV19+AAK19,1)</f>
        <v/>
      </c>
      <c r="AFZ19">
        <f>IF('calcA'!X$106=1,DW19+AAL19,1)</f>
        <v/>
      </c>
      <c r="AGA19">
        <f>IF('calcA'!Y$106=1,DX19+AAM19,1)</f>
        <v/>
      </c>
      <c r="AGB19">
        <f>IF('calcA'!Z$106=1,DY19+AAN19,1)</f>
        <v/>
      </c>
      <c r="AGC19">
        <f>IF('calcA'!AA$106=1,DZ19+AAO19,1)</f>
        <v/>
      </c>
      <c r="AGD19">
        <f>IF('calcA'!AB$106=1,EA19+AAP19,1)</f>
        <v/>
      </c>
      <c r="AGE19">
        <f>IF('calcA'!AC$106=1,EB19+AAQ19,1)</f>
        <v/>
      </c>
      <c r="AGF19">
        <f>IF('calcA'!AD$106=1,EC19+AAR19,1)</f>
        <v/>
      </c>
      <c r="AGG19">
        <f>IF('calcA'!AE$106=1,ED19+AAS19,1)</f>
        <v/>
      </c>
      <c r="AGH19">
        <f>IF('calcA'!AF$106=1,EE19+AAT19,1)</f>
        <v/>
      </c>
      <c r="AGI19">
        <f>IF('calcA'!AG$106=1,EF19+AAU19,1)</f>
        <v/>
      </c>
      <c r="AGJ19">
        <f>IF('calcA'!AH$106=1,EG19+AAV19,1)</f>
        <v/>
      </c>
      <c r="AGK19">
        <f>IF('calcA'!AI$106=1,EH19+AAW19,1)</f>
        <v/>
      </c>
      <c r="AGL19">
        <f>IF('calcA'!AJ$106=1,EI19+AAX19,1)</f>
        <v/>
      </c>
      <c r="AGM19">
        <f>IF('calcA'!AK$106=1,EJ19+AAY19,1)</f>
        <v/>
      </c>
      <c r="AGN19">
        <f>IF('calcA'!AL$106=1,EK19+AAZ19,1)</f>
        <v/>
      </c>
      <c r="AGO19">
        <f>IF('calcA'!AM$106=1,EL19+ABA19,1)</f>
        <v/>
      </c>
      <c r="AGP19">
        <f>IF('calcA'!AN$106=1,EM19+ABB19,1)</f>
        <v/>
      </c>
      <c r="AGQ19">
        <f>IF('calcA'!AO$106=1,EN19+ABC19,1)</f>
        <v/>
      </c>
      <c r="AGR19">
        <f>IF('calcA'!AP$106=1,EO19+ABD19,1)</f>
        <v/>
      </c>
      <c r="AGS19">
        <f>IF('calcA'!AQ$106=1,EP19+ABE19,1)</f>
        <v/>
      </c>
      <c r="AGT19">
        <f>IF('calcA'!AR$106=1,EQ19+ABF19,1)</f>
        <v/>
      </c>
      <c r="AGU19">
        <f>IF('calcA'!AS$106=1,ER19+ABG19,1)</f>
        <v/>
      </c>
      <c r="AGV19">
        <f>IF('calcA'!AT$106=1,ES19+ABH19,1)</f>
        <v/>
      </c>
      <c r="AGW19">
        <f>IF('calcA'!AU$106=1,ET19+ABI19,1)</f>
        <v/>
      </c>
      <c r="AGX19">
        <f>IF('calcA'!AV$106=1,EU19+ABJ19,1)</f>
        <v/>
      </c>
      <c r="AGY19">
        <f>IF('calcA'!AW$106=1,EV19+ABK19,1)</f>
        <v/>
      </c>
      <c r="AGZ19">
        <f>IF('calcA'!AX$106=1,EW19+ABL19,1)</f>
        <v/>
      </c>
      <c r="AHA19">
        <f>IF('calcA'!AY$106=1,EX19+ABM19,1)</f>
        <v/>
      </c>
      <c r="AHB19">
        <f>IF('calcA'!AZ$106=1,EY19+ABN19,1)</f>
        <v/>
      </c>
      <c r="AHC19">
        <f>IF('calcA'!BA$106=1,EZ19+ABO19,1)</f>
        <v/>
      </c>
      <c r="AHD19">
        <f>IF('calcA'!BB$106=1,FA19+ABP19,1)</f>
        <v/>
      </c>
      <c r="AHE19">
        <f>IF('calcA'!BC$106=1,FB19+ABQ19,1)</f>
        <v/>
      </c>
      <c r="AHF19">
        <f>IF('calcA'!BD$106=1,FC19+ABR19,1)</f>
        <v/>
      </c>
      <c r="AHG19">
        <f>IF('calcA'!BE$106=1,FD19+ABS19,1)</f>
        <v/>
      </c>
      <c r="AHH19">
        <f>IF('calcA'!BF$106=1,FE19+ABT19,1)</f>
        <v/>
      </c>
      <c r="AHI19">
        <f>IF('calcA'!BG$106=1,FF19+ABU19,1)</f>
        <v/>
      </c>
      <c r="AHJ19">
        <f>IF('calcA'!BH$106=1,FG19+ABV19,1)</f>
        <v/>
      </c>
      <c r="AHK19">
        <f>IF('calcA'!BI$106=1,FH19+ABW19,1)</f>
        <v/>
      </c>
      <c r="AHL19">
        <f>IF('calcA'!BJ$106=1,FI19+ABX19,1)</f>
        <v/>
      </c>
      <c r="AHM19">
        <f>IF('calcA'!BK$106=1,FJ19+ABY19,1)</f>
        <v/>
      </c>
      <c r="AHN19">
        <f>IF('calcA'!BL$106=1,FK19+ABZ19,1)</f>
        <v/>
      </c>
      <c r="AHO19">
        <f>IF('calcA'!BM$106=1,FL19+ACA19,1)</f>
        <v/>
      </c>
      <c r="AHP19">
        <f>IF('calcA'!BN$106=1,FM19+ACB19,1)</f>
        <v/>
      </c>
      <c r="AHQ19">
        <f>IF('calcA'!BO$106=1,FN19+ACC19,1)</f>
        <v/>
      </c>
      <c r="AHR19">
        <f>IF('calcA'!BP$106=1,FO19+ACD19,1)</f>
        <v/>
      </c>
      <c r="AHS19">
        <f>IF('calcA'!BQ$106=1,FP19+ACE19,1)</f>
        <v/>
      </c>
      <c r="AHT19">
        <f>IF('calcA'!BR$106=1,FQ19+ACF19,1)</f>
        <v/>
      </c>
      <c r="AHU19">
        <f>IF('calcA'!BS$106=1,FR19+ACG19,1)</f>
        <v/>
      </c>
      <c r="AHV19">
        <f>IF('calcA'!BT$106=1,FS19+ACH19,1)</f>
        <v/>
      </c>
      <c r="AHW19">
        <f>IF('calcA'!BU$106=1,FT19+ACI19,1)</f>
        <v/>
      </c>
      <c r="AHX19">
        <f>IF('calcA'!BV$106=1,FU19+ACJ19,1)</f>
        <v/>
      </c>
      <c r="AHY19">
        <f>IF('calcA'!BW$106=1,FV19+ACK19,1)</f>
        <v/>
      </c>
      <c r="AHZ19">
        <f>IF('calcA'!BX$106=1,FW19+ACL19,1)</f>
        <v/>
      </c>
      <c r="AIA19">
        <f>IF('calcA'!BY$106=1,FX19+ACM19,1)</f>
        <v/>
      </c>
      <c r="AIB19">
        <f>IF('calcA'!BZ$106=1,FY19+ACN19,1)</f>
        <v/>
      </c>
      <c r="AIC19">
        <f>IF('calcA'!CA$106=1,FZ19+ACO19,1)</f>
        <v/>
      </c>
      <c r="AID19">
        <f>IF('calcA'!CB$106=1,GA19+ACP19,1)</f>
        <v/>
      </c>
      <c r="AIE19">
        <f>IF('calcA'!CC$106=1,GB19+ACQ19,1)</f>
        <v/>
      </c>
      <c r="AIF19">
        <f>IF('calcA'!CD$106=1,GC19+ACR19,1)</f>
        <v/>
      </c>
      <c r="AIG19">
        <f>IF('calcA'!CE$106=1,GD19+ACS19,1)</f>
        <v/>
      </c>
      <c r="AIH19">
        <f>IF('calcA'!CF$106=1,GE19+ACT19,1)</f>
        <v/>
      </c>
      <c r="AII19">
        <f>IF('calcA'!CG$106=1,GF19+ACU19,1)</f>
        <v/>
      </c>
      <c r="AIJ19">
        <f>IF('calcA'!CH$106=1,GG19+ACV19,1)</f>
        <v/>
      </c>
      <c r="AIK19">
        <f>IF('calcA'!CI$106=1,GH19+ACW19,1)</f>
        <v/>
      </c>
      <c r="AIL19">
        <f>IF('calcA'!CJ$106=1,GI19+ACX19,1)</f>
        <v/>
      </c>
      <c r="AIM19">
        <f>IF('calcA'!CK$106=1,GJ19+ACY19,1)</f>
        <v/>
      </c>
      <c r="AIN19">
        <f>IF('calcA'!CL$106=1,GK19+ACZ19,1)</f>
        <v/>
      </c>
      <c r="AIO19">
        <f>IF('calcA'!CM$106=1,GL19+ADA19,1)</f>
        <v/>
      </c>
      <c r="AIP19">
        <f>IF('calcA'!CN$106=1,GM19+ADB19,1)</f>
        <v/>
      </c>
      <c r="AIQ19">
        <f>IF('calcA'!CO$106=1,GN19+ADC19,1)</f>
        <v/>
      </c>
      <c r="AIR19">
        <f>IF('calcA'!CP$106=1,GO19+ADD19,1)</f>
        <v/>
      </c>
      <c r="AIS19">
        <f>IF('calcA'!CQ$106=1,GP19+ADE19,1)</f>
        <v/>
      </c>
      <c r="AIT19">
        <f>IF('calcA'!CR$106=1,GQ19+ADF19,1)</f>
        <v/>
      </c>
      <c r="AIU19">
        <f>IF('calcA'!CS$106=1,GR19+ADG19,1)</f>
        <v/>
      </c>
      <c r="AIV19">
        <f>IF('calcA'!CT$106=1,GS19+ADH19,1)</f>
        <v/>
      </c>
      <c r="AIW19">
        <f>IF('calcA'!CU$106=1,GT19+ADI19,1)</f>
        <v/>
      </c>
      <c r="AIX19">
        <f>IF('calcA'!CV$106=1,GU19+ADJ19,1)</f>
        <v/>
      </c>
      <c r="AIY19">
        <f>IF('calcA'!CW$106=1,GV19+ADK19,1)</f>
        <v/>
      </c>
      <c r="AIZ19">
        <f>IF('calcA'!CX$106=1,GW19+ADL19,1)</f>
        <v/>
      </c>
      <c r="AJA19">
        <f>IF('calcA'!CY$106=1,GX19+ADM19,1)</f>
        <v/>
      </c>
      <c r="AJB19">
        <f>IF('calcA'!CZ$106=1,GY19+ADN19,1)</f>
        <v/>
      </c>
      <c r="AJC19">
        <f>IF('calcA'!DA$106=1,GZ19+ADO19,1)</f>
        <v/>
      </c>
      <c r="AJD19">
        <f>IF('calcA'!DB$106=1,HA19+ADP19,1)</f>
        <v/>
      </c>
      <c r="AJE19">
        <f>IF('calcA'!DC$106=1,HB19+ADQ19,1)</f>
        <v/>
      </c>
      <c r="AJF19">
        <f>IF('calcA'!DD$106=1,HC19+ADR19,1)</f>
        <v/>
      </c>
      <c r="AJG19">
        <f>IF('calcA'!DE$106=1,HD19+ADS19,1)</f>
        <v/>
      </c>
      <c r="AJH19">
        <f>IF('calcA'!DF$106=1,HE19+ADT19,1)</f>
        <v/>
      </c>
      <c r="AJI19">
        <f>IF('calcA'!DG$106=1,HF19+ADU19,1)</f>
        <v/>
      </c>
      <c r="AJJ19">
        <f>IF('calcA'!DH$106=1,HG19+ADV19,1)</f>
        <v/>
      </c>
      <c r="AJK19">
        <f>IF('calcA'!DI$106=1,HH19+ADW19,1)</f>
        <v/>
      </c>
      <c r="AJL19">
        <f>IF('calcA'!DJ$106=1,HI19+ADX19,1)</f>
        <v/>
      </c>
      <c r="AJM19">
        <f>IF('calcA'!DK$106=1,HJ19+ADY19,1)</f>
        <v/>
      </c>
      <c r="AJN19">
        <f>IF('calcA'!DL$106=1,HK19+ADZ19,1)</f>
        <v/>
      </c>
      <c r="AJO19">
        <f>IF('calcA'!DM$106=1,HL19+AEA19,1)</f>
        <v/>
      </c>
      <c r="AJP19">
        <f>IF('calcA'!DN$106=1,HM19+AEB19,1)</f>
        <v/>
      </c>
      <c r="AJQ19">
        <f>IF('calcA'!DO$106=1,HN19+AEC19,1)</f>
        <v/>
      </c>
      <c r="AJR19">
        <f>IF('calcA'!DP$106=1,HO19+AED19,1)</f>
        <v/>
      </c>
      <c r="AJS19">
        <f>IF('calcA'!DQ$106=1,HP19+AEE19,1)</f>
        <v/>
      </c>
      <c r="AJT19">
        <f>IF('calcA'!DR$106=1,HQ19+AEF19,1)</f>
        <v/>
      </c>
      <c r="AJU19">
        <f>IF('calcA'!DS$106=1,HR19+AEG19,1)</f>
        <v/>
      </c>
      <c r="AJV19">
        <f>IF('calcA'!DT$106=1,HS19+AEH19,1)</f>
        <v/>
      </c>
      <c r="AJW19">
        <f>IF('calcA'!DU$106=1,HT19+AEI19,1)</f>
        <v/>
      </c>
      <c r="AJX19">
        <f>IF('calcA'!DV$106=1,HU19+AEJ19,1)</f>
        <v/>
      </c>
      <c r="AJY19">
        <f>IF('calcA'!DW$106=1,HV19+AEK19,1)</f>
        <v/>
      </c>
      <c r="AJZ19">
        <f>IF('calcA'!DX$106=1,HW19+AEL19,1)</f>
        <v/>
      </c>
      <c r="AKA19">
        <f>IF('calcA'!DY$106=1,HX19+AEM19,1)</f>
        <v/>
      </c>
      <c r="AKB19">
        <f>IF('calcA'!DZ$106=1,HY19+AEN19,1)</f>
        <v/>
      </c>
      <c r="AKC19">
        <f>IF('calcA'!EA$106=1,HZ19+AEO19,1)</f>
        <v/>
      </c>
      <c r="AKD19">
        <f>IF('calcA'!EB$106=1,IA19+AEP19,1)</f>
        <v/>
      </c>
      <c r="AKE19">
        <f>IF('calcA'!EC$106=1,IB19+AEQ19,1)</f>
        <v/>
      </c>
      <c r="AKF19">
        <f>IF('calcA'!ED$106=1,IC19+AER19,1)</f>
        <v/>
      </c>
      <c r="AKG19">
        <f>IF('calcA'!EE$106=1,ID19+AES19,1)</f>
        <v/>
      </c>
      <c r="AKH19">
        <f>IF('calcA'!EF$106=1,IE19+AET19,1)</f>
        <v/>
      </c>
      <c r="AKI19">
        <f>IF('calcA'!EG$106=1,IF19+AEU19,1)</f>
        <v/>
      </c>
      <c r="AKJ19">
        <f>IF('calcA'!EH$106=1,IG19+AEV19,1)</f>
        <v/>
      </c>
      <c r="AKK19">
        <f>IF('calcA'!EI$106=1,IH19+AEW19,1)</f>
        <v/>
      </c>
      <c r="AKL19">
        <f>IF('calcA'!EJ$106=1,II19+AEX19,1)</f>
        <v/>
      </c>
      <c r="AKM19">
        <f>IF('calcA'!EK$106=1,IJ19+AEY19,1)</f>
        <v/>
      </c>
      <c r="AKN19">
        <f>IF('calcA'!EL$106=1,IK19+AEZ19,1)</f>
        <v/>
      </c>
      <c r="AKO19">
        <f>IF('calcA'!EM$106=1,IL19+AFA19,1)</f>
        <v/>
      </c>
      <c r="AKP19">
        <f>IF('calcA'!EN$106=1,IM19+AFB19,1)</f>
        <v/>
      </c>
      <c r="AKQ19">
        <f>IF('calcA'!EO$106=1,IN19+AFC19,1)</f>
        <v/>
      </c>
      <c r="AKR19">
        <f>IF('calcA'!EP$106=1,IO19+AFD19,1)</f>
        <v/>
      </c>
      <c r="AKS19" t="n">
        <v>1</v>
      </c>
    </row>
    <row r="20">
      <c r="A20" t="n">
        <v>18</v>
      </c>
      <c r="B20">
        <f>IF(MIN(BM20:CZ20)&gt;=1000000000,0,MATCH(MIN(BM20:CZ20),BM20:CZ20,0))</f>
        <v/>
      </c>
      <c r="C20">
        <f>IF(MIN(OF20:TS20)&gt;=1000000000,0,MATCH(MIN(OF20:TS20),OF20:TS20,0))</f>
        <v/>
      </c>
      <c r="D20">
        <f>IF(C20&gt;0,INDEX('calcA'!$D$5:$EQ$5,C20),0)</f>
        <v/>
      </c>
      <c r="E20">
        <f>IF(B20=0,0,INDEX('calcA'!$IQ$10:$IQ$54,B20))</f>
        <v/>
      </c>
      <c r="F20">
        <f>IF(B20=0,0,INDEX('calcA'!$IP$10:$IP$54,B20))</f>
        <v/>
      </c>
      <c r="G20">
        <f>IF(AND(C20&gt;0,E20&gt;0),IF(AND(INDEX('calcA'!$D$106:$EQ$106,C20)=1,INDEX($IQ20:$OD20,C20)=1),C20+1,0),0)</f>
        <v/>
      </c>
      <c r="H20">
        <f>IF(B20=0,0,INDEX('calcA'!$IW$10:$IW$54,B20))</f>
        <v/>
      </c>
      <c r="U20">
        <f>IF(B20=0,0,INDEX('calcA'!$IX$10:$IX$54,B20))</f>
        <v/>
      </c>
      <c r="V20">
        <f>IF(B20=0,0,INDEX('calcA'!$JF$10:$JF$54,B20))</f>
        <v/>
      </c>
      <c r="W20">
        <f>IF(B20=0,0,IF(IF(E20=2,SUMPRODUCT(INDEX('calcA'!$D$60:$EQ$99,B20,0),$DB20:$IO20,$IQ20:$OD20),SUMPRODUCT(INDEX('calcA'!$D$60:$EQ$99,B20,0),$DB20:$IO20))=0,1,0))</f>
        <v/>
      </c>
      <c r="X20">
        <f>MAX(X19,IF($B19=1,1,0))</f>
        <v/>
      </c>
      <c r="Y20">
        <f>MAX(Y19,IF($B19=2,1,0))</f>
        <v/>
      </c>
      <c r="Z20">
        <f>MAX(Z19,IF($B19=3,1,0))</f>
        <v/>
      </c>
      <c r="AA20">
        <f>MAX(AA19,IF($B19=4,1,0))</f>
        <v/>
      </c>
      <c r="AB20">
        <f>MAX(AB19,IF($B19=5,1,0))</f>
        <v/>
      </c>
      <c r="AC20">
        <f>MAX(AC19,IF($B19=6,1,0))</f>
        <v/>
      </c>
      <c r="AD20">
        <f>MAX(AD19,IF($B19=7,1,0))</f>
        <v/>
      </c>
      <c r="AE20">
        <f>MAX(AE19,IF($B19=8,1,0))</f>
        <v/>
      </c>
      <c r="AF20">
        <f>MAX(AF19,IF($B19=9,1,0))</f>
        <v/>
      </c>
      <c r="AG20">
        <f>MAX(AG19,IF($B19=10,1,0))</f>
        <v/>
      </c>
      <c r="AH20">
        <f>MAX(AH19,IF($B19=11,1,0))</f>
        <v/>
      </c>
      <c r="AI20">
        <f>MAX(AI19,IF($B19=12,1,0))</f>
        <v/>
      </c>
      <c r="AJ20">
        <f>MAX(AJ19,IF($B19=13,1,0))</f>
        <v/>
      </c>
      <c r="AK20">
        <f>MAX(AK19,IF($B19=14,1,0))</f>
        <v/>
      </c>
      <c r="AL20">
        <f>MAX(AL19,IF($B19=15,1,0))</f>
        <v/>
      </c>
      <c r="AM20">
        <f>MAX(AM19,IF($B19=16,1,0))</f>
        <v/>
      </c>
      <c r="AN20">
        <f>MAX(AN19,IF($B19=17,1,0))</f>
        <v/>
      </c>
      <c r="AO20">
        <f>MAX(AO19,IF($B19=18,1,0))</f>
        <v/>
      </c>
      <c r="AP20">
        <f>MAX(AP19,IF($B19=19,1,0))</f>
        <v/>
      </c>
      <c r="AQ20">
        <f>MAX(AQ19,IF($B19=20,1,0))</f>
        <v/>
      </c>
      <c r="AR20">
        <f>MAX(AR19,IF($B19=21,1,0))</f>
        <v/>
      </c>
      <c r="AS20">
        <f>MAX(AS19,IF($B19=22,1,0))</f>
        <v/>
      </c>
      <c r="AT20">
        <f>MAX(AT19,IF($B19=23,1,0))</f>
        <v/>
      </c>
      <c r="AU20">
        <f>MAX(AU19,IF($B19=24,1,0))</f>
        <v/>
      </c>
      <c r="AV20">
        <f>MAX(AV19,IF($B19=25,1,0))</f>
        <v/>
      </c>
      <c r="AW20">
        <f>MAX(AW19,IF($B19=26,1,0))</f>
        <v/>
      </c>
      <c r="AX20">
        <f>MAX(AX19,IF($B19=27,1,0))</f>
        <v/>
      </c>
      <c r="AY20">
        <f>MAX(AY19,IF($B19=28,1,0))</f>
        <v/>
      </c>
      <c r="AZ20">
        <f>MAX(AZ19,IF($B19=29,1,0))</f>
        <v/>
      </c>
      <c r="BA20">
        <f>MAX(BA19,IF($B19=30,1,0))</f>
        <v/>
      </c>
      <c r="BB20">
        <f>MAX(BB19,IF($B19=31,1,0))</f>
        <v/>
      </c>
      <c r="BC20">
        <f>MAX(BC19,IF($B19=32,1,0))</f>
        <v/>
      </c>
      <c r="BD20">
        <f>MAX(BD19,IF($B19=33,1,0))</f>
        <v/>
      </c>
      <c r="BE20">
        <f>MAX(BE19,IF($B19=34,1,0))</f>
        <v/>
      </c>
      <c r="BF20">
        <f>MAX(BF19,IF($B19=35,1,0))</f>
        <v/>
      </c>
      <c r="BG20">
        <f>MAX(BG19,IF($B19=36,1,0))</f>
        <v/>
      </c>
      <c r="BH20">
        <f>MAX(BH19,IF($B19=37,1,0))</f>
        <v/>
      </c>
      <c r="BI20">
        <f>MAX(BI19,IF($B19=38,1,0))</f>
        <v/>
      </c>
      <c r="BJ20">
        <f>MAX(BJ19,IF($B19=39,1,0))</f>
        <v/>
      </c>
      <c r="BK20">
        <f>MAX(BK19,IF($B19=40,1,0))</f>
        <v/>
      </c>
      <c r="BM20">
        <f>IF(OR(X20=1,calcA!$A$6=0),1000000000,IF('calcA'!$JF$10=1,0,100000000)+IF('calcA'!$IQ$10=2,SUMPRODUCT('calcA'!$D$60:$EQ$60,$DB20:$IO20,$IQ20:$OD20)*1000+SUMPRODUCT('calcA'!$D$60:$EQ$60,$DB20:$IO20+$ZQ20:$AFD20,$AFF20:$AKS20),SUMPRODUCT('calcA'!$D$60:$EQ$60,$DB20:$IO20*1001+$ZQ20:$AFD20))*100+1)</f>
        <v/>
      </c>
      <c r="BN20">
        <f>IF(OR(Y20=1,calcA!$A$6=0),1000000000,IF('calcA'!$JF$11=1,0,100000000)+IF('calcA'!$IQ$11=2,SUMPRODUCT('calcA'!$D$61:$EQ$61,$DB20:$IO20,$IQ20:$OD20)*1000+SUMPRODUCT('calcA'!$D$61:$EQ$61,$DB20:$IO20+$ZQ20:$AFD20,$AFF20:$AKS20),SUMPRODUCT('calcA'!$D$61:$EQ$61,$DB20:$IO20*1001+$ZQ20:$AFD20))*100+2)</f>
        <v/>
      </c>
      <c r="BO20">
        <f>IF(OR(Z20=1,calcA!$A$6=0),1000000000,IF('calcA'!$JF$12=1,0,100000000)+IF('calcA'!$IQ$12=2,SUMPRODUCT('calcA'!$D$62:$EQ$62,$DB20:$IO20,$IQ20:$OD20)*1000+SUMPRODUCT('calcA'!$D$62:$EQ$62,$DB20:$IO20+$ZQ20:$AFD20,$AFF20:$AKS20),SUMPRODUCT('calcA'!$D$62:$EQ$62,$DB20:$IO20*1001+$ZQ20:$AFD20))*100+3)</f>
        <v/>
      </c>
      <c r="BP20">
        <f>IF(OR(AA20=1,calcA!$A$6=0),1000000000,IF('calcA'!$JF$13=1,0,100000000)+IF('calcA'!$IQ$13=2,SUMPRODUCT('calcA'!$D$63:$EQ$63,$DB20:$IO20,$IQ20:$OD20)*1000+SUMPRODUCT('calcA'!$D$63:$EQ$63,$DB20:$IO20+$ZQ20:$AFD20,$AFF20:$AKS20),SUMPRODUCT('calcA'!$D$63:$EQ$63,$DB20:$IO20*1001+$ZQ20:$AFD20))*100+4)</f>
        <v/>
      </c>
      <c r="BQ20">
        <f>IF(OR(AB20=1,calcA!$A$6=0),1000000000,IF('calcA'!$JF$14=1,0,100000000)+IF('calcA'!$IQ$14=2,SUMPRODUCT('calcA'!$D$64:$EQ$64,$DB20:$IO20,$IQ20:$OD20)*1000+SUMPRODUCT('calcA'!$D$64:$EQ$64,$DB20:$IO20+$ZQ20:$AFD20,$AFF20:$AKS20),SUMPRODUCT('calcA'!$D$64:$EQ$64,$DB20:$IO20*1001+$ZQ20:$AFD20))*100+5)</f>
        <v/>
      </c>
      <c r="BR20">
        <f>IF(OR(AC20=1,calcA!$A$6=0),1000000000,IF('calcA'!$JF$15=1,0,100000000)+IF('calcA'!$IQ$15=2,SUMPRODUCT('calcA'!$D$65:$EQ$65,$DB20:$IO20,$IQ20:$OD20)*1000+SUMPRODUCT('calcA'!$D$65:$EQ$65,$DB20:$IO20+$ZQ20:$AFD20,$AFF20:$AKS20),SUMPRODUCT('calcA'!$D$65:$EQ$65,$DB20:$IO20*1001+$ZQ20:$AFD20))*100+6)</f>
        <v/>
      </c>
      <c r="BS20">
        <f>IF(OR(AD20=1,calcA!$A$6=0),1000000000,IF('calcA'!$JF$16=1,0,100000000)+IF('calcA'!$IQ$16=2,SUMPRODUCT('calcA'!$D$66:$EQ$66,$DB20:$IO20,$IQ20:$OD20)*1000+SUMPRODUCT('calcA'!$D$66:$EQ$66,$DB20:$IO20+$ZQ20:$AFD20,$AFF20:$AKS20),SUMPRODUCT('calcA'!$D$66:$EQ$66,$DB20:$IO20*1001+$ZQ20:$AFD20))*100+7)</f>
        <v/>
      </c>
      <c r="BT20">
        <f>IF(OR(AE20=1,calcA!$A$6=0),1000000000,IF('calcA'!$JF$17=1,0,100000000)+IF('calcA'!$IQ$17=2,SUMPRODUCT('calcA'!$D$67:$EQ$67,$DB20:$IO20,$IQ20:$OD20)*1000+SUMPRODUCT('calcA'!$D$67:$EQ$67,$DB20:$IO20+$ZQ20:$AFD20,$AFF20:$AKS20),SUMPRODUCT('calcA'!$D$67:$EQ$67,$DB20:$IO20*1001+$ZQ20:$AFD20))*100+8)</f>
        <v/>
      </c>
      <c r="BU20">
        <f>IF(OR(AF20=1,calcA!$A$6=0),1000000000,IF('calcA'!$JF$18=1,0,100000000)+IF('calcA'!$IQ$18=2,SUMPRODUCT('calcA'!$D$68:$EQ$68,$DB20:$IO20,$IQ20:$OD20)*1000+SUMPRODUCT('calcA'!$D$68:$EQ$68,$DB20:$IO20+$ZQ20:$AFD20,$AFF20:$AKS20),SUMPRODUCT('calcA'!$D$68:$EQ$68,$DB20:$IO20*1001+$ZQ20:$AFD20))*100+9)</f>
        <v/>
      </c>
      <c r="BV20">
        <f>IF(OR(AG20=1,calcA!$A$6=0),1000000000,IF('calcA'!$JF$19=1,0,100000000)+IF('calcA'!$IQ$19=2,SUMPRODUCT('calcA'!$D$69:$EQ$69,$DB20:$IO20,$IQ20:$OD20)*1000+SUMPRODUCT('calcA'!$D$69:$EQ$69,$DB20:$IO20+$ZQ20:$AFD20,$AFF20:$AKS20),SUMPRODUCT('calcA'!$D$69:$EQ$69,$DB20:$IO20*1001+$ZQ20:$AFD20))*100+10)</f>
        <v/>
      </c>
      <c r="BW20">
        <f>IF(OR(AH20=1,calcA!$A$6=0),1000000000,IF('calcA'!$JF$20=1,0,100000000)+IF('calcA'!$IQ$20=2,SUMPRODUCT('calcA'!$D$70:$EQ$70,$DB20:$IO20,$IQ20:$OD20)*1000+SUMPRODUCT('calcA'!$D$70:$EQ$70,$DB20:$IO20+$ZQ20:$AFD20,$AFF20:$AKS20),SUMPRODUCT('calcA'!$D$70:$EQ$70,$DB20:$IO20*1001+$ZQ20:$AFD20))*100+11)</f>
        <v/>
      </c>
      <c r="BX20">
        <f>IF(OR(AI20=1,calcA!$A$6=0),1000000000,IF('calcA'!$JF$21=1,0,100000000)+IF('calcA'!$IQ$21=2,SUMPRODUCT('calcA'!$D$71:$EQ$71,$DB20:$IO20,$IQ20:$OD20)*1000+SUMPRODUCT('calcA'!$D$71:$EQ$71,$DB20:$IO20+$ZQ20:$AFD20,$AFF20:$AKS20),SUMPRODUCT('calcA'!$D$71:$EQ$71,$DB20:$IO20*1001+$ZQ20:$AFD20))*100+12)</f>
        <v/>
      </c>
      <c r="BY20">
        <f>IF(OR(AJ20=1,calcA!$A$6=0),1000000000,IF('calcA'!$JF$22=1,0,100000000)+IF('calcA'!$IQ$22=2,SUMPRODUCT('calcA'!$D$72:$EQ$72,$DB20:$IO20,$IQ20:$OD20)*1000+SUMPRODUCT('calcA'!$D$72:$EQ$72,$DB20:$IO20+$ZQ20:$AFD20,$AFF20:$AKS20),SUMPRODUCT('calcA'!$D$72:$EQ$72,$DB20:$IO20*1001+$ZQ20:$AFD20))*100+13)</f>
        <v/>
      </c>
      <c r="BZ20">
        <f>IF(OR(AK20=1,calcA!$A$6=0),1000000000,IF('calcA'!$JF$23=1,0,100000000)+IF('calcA'!$IQ$23=2,SUMPRODUCT('calcA'!$D$73:$EQ$73,$DB20:$IO20,$IQ20:$OD20)*1000+SUMPRODUCT('calcA'!$D$73:$EQ$73,$DB20:$IO20+$ZQ20:$AFD20,$AFF20:$AKS20),SUMPRODUCT('calcA'!$D$73:$EQ$73,$DB20:$IO20*1001+$ZQ20:$AFD20))*100+14)</f>
        <v/>
      </c>
      <c r="CA20">
        <f>IF(OR(AL20=1,calcA!$A$6=0),1000000000,IF('calcA'!$JF$24=1,0,100000000)+IF('calcA'!$IQ$24=2,SUMPRODUCT('calcA'!$D$74:$EQ$74,$DB20:$IO20,$IQ20:$OD20)*1000+SUMPRODUCT('calcA'!$D$74:$EQ$74,$DB20:$IO20+$ZQ20:$AFD20,$AFF20:$AKS20),SUMPRODUCT('calcA'!$D$74:$EQ$74,$DB20:$IO20*1001+$ZQ20:$AFD20))*100+15)</f>
        <v/>
      </c>
      <c r="CB20">
        <f>IF(OR(AM20=1,calcA!$A$6=0),1000000000,IF('calcA'!$JF$25=1,0,100000000)+IF('calcA'!$IQ$25=2,SUMPRODUCT('calcA'!$D$75:$EQ$75,$DB20:$IO20,$IQ20:$OD20)*1000+SUMPRODUCT('calcA'!$D$75:$EQ$75,$DB20:$IO20+$ZQ20:$AFD20,$AFF20:$AKS20),SUMPRODUCT('calcA'!$D$75:$EQ$75,$DB20:$IO20*1001+$ZQ20:$AFD20))*100+16)</f>
        <v/>
      </c>
      <c r="CC20">
        <f>IF(OR(AN20=1,calcA!$A$6=0),1000000000,IF('calcA'!$JF$26=1,0,100000000)+IF('calcA'!$IQ$26=2,SUMPRODUCT('calcA'!$D$76:$EQ$76,$DB20:$IO20,$IQ20:$OD20)*1000+SUMPRODUCT('calcA'!$D$76:$EQ$76,$DB20:$IO20+$ZQ20:$AFD20,$AFF20:$AKS20),SUMPRODUCT('calcA'!$D$76:$EQ$76,$DB20:$IO20*1001+$ZQ20:$AFD20))*100+17)</f>
        <v/>
      </c>
      <c r="CD20">
        <f>IF(OR(AO20=1,calcA!$A$6=0),1000000000,IF('calcA'!$JF$27=1,0,100000000)+IF('calcA'!$IQ$27=2,SUMPRODUCT('calcA'!$D$77:$EQ$77,$DB20:$IO20,$IQ20:$OD20)*1000+SUMPRODUCT('calcA'!$D$77:$EQ$77,$DB20:$IO20+$ZQ20:$AFD20,$AFF20:$AKS20),SUMPRODUCT('calcA'!$D$77:$EQ$77,$DB20:$IO20*1001+$ZQ20:$AFD20))*100+18)</f>
        <v/>
      </c>
      <c r="CE20">
        <f>IF(OR(AP20=1,calcA!$A$6=0),1000000000,IF('calcA'!$JF$28=1,0,100000000)+IF('calcA'!$IQ$28=2,SUMPRODUCT('calcA'!$D$78:$EQ$78,$DB20:$IO20,$IQ20:$OD20)*1000+SUMPRODUCT('calcA'!$D$78:$EQ$78,$DB20:$IO20+$ZQ20:$AFD20,$AFF20:$AKS20),SUMPRODUCT('calcA'!$D$78:$EQ$78,$DB20:$IO20*1001+$ZQ20:$AFD20))*100+19)</f>
        <v/>
      </c>
      <c r="CF20">
        <f>IF(OR(AQ20=1,calcA!$A$6=0),1000000000,IF('calcA'!$JF$29=1,0,100000000)+IF('calcA'!$IQ$29=2,SUMPRODUCT('calcA'!$D$79:$EQ$79,$DB20:$IO20,$IQ20:$OD20)*1000+SUMPRODUCT('calcA'!$D$79:$EQ$79,$DB20:$IO20+$ZQ20:$AFD20,$AFF20:$AKS20),SUMPRODUCT('calcA'!$D$79:$EQ$79,$DB20:$IO20*1001+$ZQ20:$AFD20))*100+20)</f>
        <v/>
      </c>
      <c r="CG20">
        <f>IF(OR(AR20=1,calcA!$A$6=0),1000000000,IF('calcA'!$JF$30=1,0,100000000)+IF('calcA'!$IQ$30=2,SUMPRODUCT('calcA'!$D$80:$EQ$80,$DB20:$IO20,$IQ20:$OD20)*1000+SUMPRODUCT('calcA'!$D$80:$EQ$80,$DB20:$IO20+$ZQ20:$AFD20,$AFF20:$AKS20),SUMPRODUCT('calcA'!$D$80:$EQ$80,$DB20:$IO20*1001+$ZQ20:$AFD20))*100+21)</f>
        <v/>
      </c>
      <c r="CH20">
        <f>IF(OR(AS20=1,calcA!$A$6=0),1000000000,IF('calcA'!$JF$31=1,0,100000000)+IF('calcA'!$IQ$31=2,SUMPRODUCT('calcA'!$D$81:$EQ$81,$DB20:$IO20,$IQ20:$OD20)*1000+SUMPRODUCT('calcA'!$D$81:$EQ$81,$DB20:$IO20+$ZQ20:$AFD20,$AFF20:$AKS20),SUMPRODUCT('calcA'!$D$81:$EQ$81,$DB20:$IO20*1001+$ZQ20:$AFD20))*100+22)</f>
        <v/>
      </c>
      <c r="CI20">
        <f>IF(OR(AT20=1,calcA!$A$6=0),1000000000,IF('calcA'!$JF$32=1,0,100000000)+IF('calcA'!$IQ$32=2,SUMPRODUCT('calcA'!$D$82:$EQ$82,$DB20:$IO20,$IQ20:$OD20)*1000+SUMPRODUCT('calcA'!$D$82:$EQ$82,$DB20:$IO20+$ZQ20:$AFD20,$AFF20:$AKS20),SUMPRODUCT('calcA'!$D$82:$EQ$82,$DB20:$IO20*1001+$ZQ20:$AFD20))*100+23)</f>
        <v/>
      </c>
      <c r="CJ20">
        <f>IF(OR(AU20=1,calcA!$A$6=0),1000000000,IF('calcA'!$JF$33=1,0,100000000)+IF('calcA'!$IQ$33=2,SUMPRODUCT('calcA'!$D$83:$EQ$83,$DB20:$IO20,$IQ20:$OD20)*1000+SUMPRODUCT('calcA'!$D$83:$EQ$83,$DB20:$IO20+$ZQ20:$AFD20,$AFF20:$AKS20),SUMPRODUCT('calcA'!$D$83:$EQ$83,$DB20:$IO20*1001+$ZQ20:$AFD20))*100+24)</f>
        <v/>
      </c>
      <c r="CK20">
        <f>IF(OR(AV20=1,calcA!$A$6=0),1000000000,IF('calcA'!$JF$34=1,0,100000000)+IF('calcA'!$IQ$34=2,SUMPRODUCT('calcA'!$D$84:$EQ$84,$DB20:$IO20,$IQ20:$OD20)*1000+SUMPRODUCT('calcA'!$D$84:$EQ$84,$DB20:$IO20+$ZQ20:$AFD20,$AFF20:$AKS20),SUMPRODUCT('calcA'!$D$84:$EQ$84,$DB20:$IO20*1001+$ZQ20:$AFD20))*100+25)</f>
        <v/>
      </c>
      <c r="CL20">
        <f>IF(OR(AW20=1,calcA!$A$6=0),1000000000,IF('calcA'!$JF$35=1,0,100000000)+IF('calcA'!$IQ$35=2,SUMPRODUCT('calcA'!$D$85:$EQ$85,$DB20:$IO20,$IQ20:$OD20)*1000+SUMPRODUCT('calcA'!$D$85:$EQ$85,$DB20:$IO20+$ZQ20:$AFD20,$AFF20:$AKS20),SUMPRODUCT('calcA'!$D$85:$EQ$85,$DB20:$IO20*1001+$ZQ20:$AFD20))*100+26)</f>
        <v/>
      </c>
      <c r="CM20">
        <f>IF(OR(AX20=1,calcA!$A$6=0),1000000000,IF('calcA'!$JF$36=1,0,100000000)+IF('calcA'!$IQ$36=2,SUMPRODUCT('calcA'!$D$86:$EQ$86,$DB20:$IO20,$IQ20:$OD20)*1000+SUMPRODUCT('calcA'!$D$86:$EQ$86,$DB20:$IO20+$ZQ20:$AFD20,$AFF20:$AKS20),SUMPRODUCT('calcA'!$D$86:$EQ$86,$DB20:$IO20*1001+$ZQ20:$AFD20))*100+27)</f>
        <v/>
      </c>
      <c r="CN20">
        <f>IF(OR(AY20=1,calcA!$A$6=0),1000000000,IF('calcA'!$JF$37=1,0,100000000)+IF('calcA'!$IQ$37=2,SUMPRODUCT('calcA'!$D$87:$EQ$87,$DB20:$IO20,$IQ20:$OD20)*1000+SUMPRODUCT('calcA'!$D$87:$EQ$87,$DB20:$IO20+$ZQ20:$AFD20,$AFF20:$AKS20),SUMPRODUCT('calcA'!$D$87:$EQ$87,$DB20:$IO20*1001+$ZQ20:$AFD20))*100+28)</f>
        <v/>
      </c>
      <c r="CO20">
        <f>IF(OR(AZ20=1,calcA!$A$6=0),1000000000,IF('calcA'!$JF$38=1,0,100000000)+IF('calcA'!$IQ$38=2,SUMPRODUCT('calcA'!$D$88:$EQ$88,$DB20:$IO20,$IQ20:$OD20)*1000+SUMPRODUCT('calcA'!$D$88:$EQ$88,$DB20:$IO20+$ZQ20:$AFD20,$AFF20:$AKS20),SUMPRODUCT('calcA'!$D$88:$EQ$88,$DB20:$IO20*1001+$ZQ20:$AFD20))*100+29)</f>
        <v/>
      </c>
      <c r="CP20">
        <f>IF(OR(BA20=1,calcA!$A$6=0),1000000000,IF('calcA'!$JF$39=1,0,100000000)+IF('calcA'!$IQ$39=2,SUMPRODUCT('calcA'!$D$89:$EQ$89,$DB20:$IO20,$IQ20:$OD20)*1000+SUMPRODUCT('calcA'!$D$89:$EQ$89,$DB20:$IO20+$ZQ20:$AFD20,$AFF20:$AKS20),SUMPRODUCT('calcA'!$D$89:$EQ$89,$DB20:$IO20*1001+$ZQ20:$AFD20))*100+30)</f>
        <v/>
      </c>
      <c r="CQ20">
        <f>IF(OR(BB20=1,calcA!$A$6=0),1000000000,IF('calcA'!$JF$40=1,0,100000000)+IF('calcA'!$IQ$40=2,SUMPRODUCT('calcA'!$D$90:$EQ$90,$DB20:$IO20,$IQ20:$OD20)*1000+SUMPRODUCT('calcA'!$D$90:$EQ$90,$DB20:$IO20+$ZQ20:$AFD20,$AFF20:$AKS20),SUMPRODUCT('calcA'!$D$90:$EQ$90,$DB20:$IO20*1001+$ZQ20:$AFD20))*100+31)</f>
        <v/>
      </c>
      <c r="CR20">
        <f>IF(OR(BC20=1,calcA!$A$6=0),1000000000,IF('calcA'!$JF$41=1,0,100000000)+IF('calcA'!$IQ$41=2,SUMPRODUCT('calcA'!$D$91:$EQ$91,$DB20:$IO20,$IQ20:$OD20)*1000+SUMPRODUCT('calcA'!$D$91:$EQ$91,$DB20:$IO20+$ZQ20:$AFD20,$AFF20:$AKS20),SUMPRODUCT('calcA'!$D$91:$EQ$91,$DB20:$IO20*1001+$ZQ20:$AFD20))*100+32)</f>
        <v/>
      </c>
      <c r="CS20">
        <f>IF(OR(BD20=1,calcA!$A$6=0),1000000000,IF('calcA'!$JF$42=1,0,100000000)+IF('calcA'!$IQ$42=2,SUMPRODUCT('calcA'!$D$92:$EQ$92,$DB20:$IO20,$IQ20:$OD20)*1000+SUMPRODUCT('calcA'!$D$92:$EQ$92,$DB20:$IO20+$ZQ20:$AFD20,$AFF20:$AKS20),SUMPRODUCT('calcA'!$D$92:$EQ$92,$DB20:$IO20*1001+$ZQ20:$AFD20))*100+33)</f>
        <v/>
      </c>
      <c r="CT20">
        <f>IF(OR(BE20=1,calcA!$A$6=0),1000000000,IF('calcA'!$JF$43=1,0,100000000)+IF('calcA'!$IQ$43=2,SUMPRODUCT('calcA'!$D$93:$EQ$93,$DB20:$IO20,$IQ20:$OD20)*1000+SUMPRODUCT('calcA'!$D$93:$EQ$93,$DB20:$IO20+$ZQ20:$AFD20,$AFF20:$AKS20),SUMPRODUCT('calcA'!$D$93:$EQ$93,$DB20:$IO20*1001+$ZQ20:$AFD20))*100+34)</f>
        <v/>
      </c>
      <c r="CU20">
        <f>IF(OR(BF20=1,calcA!$A$6=0),1000000000,IF('calcA'!$JF$44=1,0,100000000)+IF('calcA'!$IQ$44=2,SUMPRODUCT('calcA'!$D$94:$EQ$94,$DB20:$IO20,$IQ20:$OD20)*1000+SUMPRODUCT('calcA'!$D$94:$EQ$94,$DB20:$IO20+$ZQ20:$AFD20,$AFF20:$AKS20),SUMPRODUCT('calcA'!$D$94:$EQ$94,$DB20:$IO20*1001+$ZQ20:$AFD20))*100+35)</f>
        <v/>
      </c>
      <c r="CV20">
        <f>IF(OR(BG20=1,calcA!$A$6=0),1000000000,IF('calcA'!$JF$45=1,0,100000000)+IF('calcA'!$IQ$45=2,SUMPRODUCT('calcA'!$D$95:$EQ$95,$DB20:$IO20,$IQ20:$OD20)*1000+SUMPRODUCT('calcA'!$D$95:$EQ$95,$DB20:$IO20+$ZQ20:$AFD20,$AFF20:$AKS20),SUMPRODUCT('calcA'!$D$95:$EQ$95,$DB20:$IO20*1001+$ZQ20:$AFD20))*100+36)</f>
        <v/>
      </c>
      <c r="CW20">
        <f>IF(OR(BH20=1,calcA!$A$6=0),1000000000,IF('calcA'!$JF$46=1,0,100000000)+IF('calcA'!$IQ$46=2,SUMPRODUCT('calcA'!$D$96:$EQ$96,$DB20:$IO20,$IQ20:$OD20)*1000+SUMPRODUCT('calcA'!$D$96:$EQ$96,$DB20:$IO20+$ZQ20:$AFD20,$AFF20:$AKS20),SUMPRODUCT('calcA'!$D$96:$EQ$96,$DB20:$IO20*1001+$ZQ20:$AFD20))*100+37)</f>
        <v/>
      </c>
      <c r="CX20">
        <f>IF(OR(BI20=1,calcA!$A$6=0),1000000000,IF('calcA'!$JF$47=1,0,100000000)+IF('calcA'!$IQ$47=2,SUMPRODUCT('calcA'!$D$97:$EQ$97,$DB20:$IO20,$IQ20:$OD20)*1000+SUMPRODUCT('calcA'!$D$97:$EQ$97,$DB20:$IO20+$ZQ20:$AFD20,$AFF20:$AKS20),SUMPRODUCT('calcA'!$D$97:$EQ$97,$DB20:$IO20*1001+$ZQ20:$AFD20))*100+38)</f>
        <v/>
      </c>
      <c r="CY20">
        <f>IF(OR(BJ20=1,calcA!$A$6=0),1000000000,IF('calcA'!$JF$48=1,0,100000000)+IF('calcA'!$IQ$48=2,SUMPRODUCT('calcA'!$D$98:$EQ$98,$DB20:$IO20,$IQ20:$OD20)*1000+SUMPRODUCT('calcA'!$D$98:$EQ$98,$DB20:$IO20+$ZQ20:$AFD20,$AFF20:$AKS20),SUMPRODUCT('calcA'!$D$98:$EQ$98,$DB20:$IO20*1001+$ZQ20:$AFD20))*100+39)</f>
        <v/>
      </c>
      <c r="CZ20">
        <f>IF(OR(BK20=1,calcA!$A$6=0),1000000000,IF('calcA'!$JF$49=1,0,100000000)+IF('calcA'!$IQ$49=2,SUMPRODUCT('calcA'!$D$99:$EQ$99,$DB20:$IO20,$IQ20:$OD20)*1000+SUMPRODUCT('calcA'!$D$99:$EQ$99,$DB20:$IO20+$ZQ20:$AFD20,$AFF20:$AKS20),SUMPRODUCT('calcA'!$D$99:$EQ$99,$DB20:$IO20*1001+$ZQ20:$AFD20))*100+40)</f>
        <v/>
      </c>
      <c r="DB20">
        <f>DB19*IF(OR($C19=1,$G19=1),0,1)</f>
        <v/>
      </c>
      <c r="DC20">
        <f>DC19*IF(OR($C19=2,$G19=2),0,1)</f>
        <v/>
      </c>
      <c r="DD20">
        <f>DD19*IF(OR($C19=3,$G19=3),0,1)</f>
        <v/>
      </c>
      <c r="DE20">
        <f>DE19*IF(OR($C19=4,$G19=4),0,1)</f>
        <v/>
      </c>
      <c r="DF20">
        <f>DF19*IF(OR($C19=5,$G19=5),0,1)</f>
        <v/>
      </c>
      <c r="DG20">
        <f>DG19*IF(OR($C19=6,$G19=6),0,1)</f>
        <v/>
      </c>
      <c r="DH20">
        <f>DH19*IF(OR($C19=7,$G19=7),0,1)</f>
        <v/>
      </c>
      <c r="DI20">
        <f>DI19*IF(OR($C19=8,$G19=8),0,1)</f>
        <v/>
      </c>
      <c r="DJ20">
        <f>DJ19*IF(OR($C19=9,$G19=9),0,1)</f>
        <v/>
      </c>
      <c r="DK20">
        <f>DK19*IF(OR($C19=10,$G19=10),0,1)</f>
        <v/>
      </c>
      <c r="DL20">
        <f>DL19*IF(OR($C19=11,$G19=11),0,1)</f>
        <v/>
      </c>
      <c r="DM20">
        <f>DM19*IF(OR($C19=12,$G19=12),0,1)</f>
        <v/>
      </c>
      <c r="DN20">
        <f>DN19*IF(OR($C19=13,$G19=13),0,1)</f>
        <v/>
      </c>
      <c r="DO20">
        <f>DO19*IF(OR($C19=14,$G19=14),0,1)</f>
        <v/>
      </c>
      <c r="DP20">
        <f>DP19*IF(OR($C19=15,$G19=15),0,1)</f>
        <v/>
      </c>
      <c r="DQ20">
        <f>DQ19*IF(OR($C19=16,$G19=16),0,1)</f>
        <v/>
      </c>
      <c r="DR20">
        <f>DR19*IF(OR($C19=17,$G19=17),0,1)</f>
        <v/>
      </c>
      <c r="DS20">
        <f>DS19*IF(OR($C19=18,$G19=18),0,1)</f>
        <v/>
      </c>
      <c r="DT20">
        <f>DT19*IF(OR($C19=19,$G19=19),0,1)</f>
        <v/>
      </c>
      <c r="DU20">
        <f>DU19*IF(OR($C19=20,$G19=20),0,1)</f>
        <v/>
      </c>
      <c r="DV20">
        <f>DV19*IF(OR($C19=21,$G19=21),0,1)</f>
        <v/>
      </c>
      <c r="DW20">
        <f>DW19*IF(OR($C19=22,$G19=22),0,1)</f>
        <v/>
      </c>
      <c r="DX20">
        <f>DX19*IF(OR($C19=23,$G19=23),0,1)</f>
        <v/>
      </c>
      <c r="DY20">
        <f>DY19*IF(OR($C19=24,$G19=24),0,1)</f>
        <v/>
      </c>
      <c r="DZ20">
        <f>DZ19*IF(OR($C19=25,$G19=25),0,1)</f>
        <v/>
      </c>
      <c r="EA20">
        <f>EA19*IF(OR($C19=26,$G19=26),0,1)</f>
        <v/>
      </c>
      <c r="EB20">
        <f>EB19*IF(OR($C19=27,$G19=27),0,1)</f>
        <v/>
      </c>
      <c r="EC20">
        <f>EC19*IF(OR($C19=28,$G19=28),0,1)</f>
        <v/>
      </c>
      <c r="ED20">
        <f>ED19*IF(OR($C19=29,$G19=29),0,1)</f>
        <v/>
      </c>
      <c r="EE20">
        <f>EE19*IF(OR($C19=30,$G19=30),0,1)</f>
        <v/>
      </c>
      <c r="EF20">
        <f>EF19*IF(OR($C19=31,$G19=31),0,1)</f>
        <v/>
      </c>
      <c r="EG20">
        <f>EG19*IF(OR($C19=32,$G19=32),0,1)</f>
        <v/>
      </c>
      <c r="EH20">
        <f>EH19*IF(OR($C19=33,$G19=33),0,1)</f>
        <v/>
      </c>
      <c r="EI20">
        <f>EI19*IF(OR($C19=34,$G19=34),0,1)</f>
        <v/>
      </c>
      <c r="EJ20">
        <f>EJ19*IF(OR($C19=35,$G19=35),0,1)</f>
        <v/>
      </c>
      <c r="EK20">
        <f>EK19*IF(OR($C19=36,$G19=36),0,1)</f>
        <v/>
      </c>
      <c r="EL20">
        <f>EL19*IF(OR($C19=37,$G19=37),0,1)</f>
        <v/>
      </c>
      <c r="EM20">
        <f>EM19*IF(OR($C19=38,$G19=38),0,1)</f>
        <v/>
      </c>
      <c r="EN20">
        <f>EN19*IF(OR($C19=39,$G19=39),0,1)</f>
        <v/>
      </c>
      <c r="EO20">
        <f>EO19*IF(OR($C19=40,$G19=40),0,1)</f>
        <v/>
      </c>
      <c r="EP20">
        <f>EP19*IF(OR($C19=41,$G19=41),0,1)</f>
        <v/>
      </c>
      <c r="EQ20">
        <f>EQ19*IF(OR($C19=42,$G19=42),0,1)</f>
        <v/>
      </c>
      <c r="ER20">
        <f>ER19*IF(OR($C19=43,$G19=43),0,1)</f>
        <v/>
      </c>
      <c r="ES20">
        <f>ES19*IF(OR($C19=44,$G19=44),0,1)</f>
        <v/>
      </c>
      <c r="ET20">
        <f>ET19*IF(OR($C19=45,$G19=45),0,1)</f>
        <v/>
      </c>
      <c r="EU20">
        <f>EU19*IF(OR($C19=46,$G19=46),0,1)</f>
        <v/>
      </c>
      <c r="EV20">
        <f>EV19*IF(OR($C19=47,$G19=47),0,1)</f>
        <v/>
      </c>
      <c r="EW20">
        <f>EW19*IF(OR($C19=48,$G19=48),0,1)</f>
        <v/>
      </c>
      <c r="EX20">
        <f>EX19*IF(OR($C19=49,$G19=49),0,1)</f>
        <v/>
      </c>
      <c r="EY20">
        <f>EY19*IF(OR($C19=50,$G19=50),0,1)</f>
        <v/>
      </c>
      <c r="EZ20">
        <f>EZ19*IF(OR($C19=51,$G19=51),0,1)</f>
        <v/>
      </c>
      <c r="FA20">
        <f>FA19*IF(OR($C19=52,$G19=52),0,1)</f>
        <v/>
      </c>
      <c r="FB20">
        <f>FB19*IF(OR($C19=53,$G19=53),0,1)</f>
        <v/>
      </c>
      <c r="FC20">
        <f>FC19*IF(OR($C19=54,$G19=54),0,1)</f>
        <v/>
      </c>
      <c r="FD20">
        <f>FD19*IF(OR($C19=55,$G19=55),0,1)</f>
        <v/>
      </c>
      <c r="FE20">
        <f>FE19*IF(OR($C19=56,$G19=56),0,1)</f>
        <v/>
      </c>
      <c r="FF20">
        <f>FF19*IF(OR($C19=57,$G19=57),0,1)</f>
        <v/>
      </c>
      <c r="FG20">
        <f>FG19*IF(OR($C19=58,$G19=58),0,1)</f>
        <v/>
      </c>
      <c r="FH20">
        <f>FH19*IF(OR($C19=59,$G19=59),0,1)</f>
        <v/>
      </c>
      <c r="FI20">
        <f>FI19*IF(OR($C19=60,$G19=60),0,1)</f>
        <v/>
      </c>
      <c r="FJ20">
        <f>FJ19*IF(OR($C19=61,$G19=61),0,1)</f>
        <v/>
      </c>
      <c r="FK20">
        <f>FK19*IF(OR($C19=62,$G19=62),0,1)</f>
        <v/>
      </c>
      <c r="FL20">
        <f>FL19*IF(OR($C19=63,$G19=63),0,1)</f>
        <v/>
      </c>
      <c r="FM20">
        <f>FM19*IF(OR($C19=64,$G19=64),0,1)</f>
        <v/>
      </c>
      <c r="FN20">
        <f>FN19*IF(OR($C19=65,$G19=65),0,1)</f>
        <v/>
      </c>
      <c r="FO20">
        <f>FO19*IF(OR($C19=66,$G19=66),0,1)</f>
        <v/>
      </c>
      <c r="FP20">
        <f>FP19*IF(OR($C19=67,$G19=67),0,1)</f>
        <v/>
      </c>
      <c r="FQ20">
        <f>FQ19*IF(OR($C19=68,$G19=68),0,1)</f>
        <v/>
      </c>
      <c r="FR20">
        <f>FR19*IF(OR($C19=69,$G19=69),0,1)</f>
        <v/>
      </c>
      <c r="FS20">
        <f>FS19*IF(OR($C19=70,$G19=70),0,1)</f>
        <v/>
      </c>
      <c r="FT20">
        <f>FT19*IF(OR($C19=71,$G19=71),0,1)</f>
        <v/>
      </c>
      <c r="FU20">
        <f>FU19*IF(OR($C19=72,$G19=72),0,1)</f>
        <v/>
      </c>
      <c r="FV20">
        <f>FV19*IF(OR($C19=73,$G19=73),0,1)</f>
        <v/>
      </c>
      <c r="FW20">
        <f>FW19*IF(OR($C19=74,$G19=74),0,1)</f>
        <v/>
      </c>
      <c r="FX20">
        <f>FX19*IF(OR($C19=75,$G19=75),0,1)</f>
        <v/>
      </c>
      <c r="FY20">
        <f>FY19*IF(OR($C19=76,$G19=76),0,1)</f>
        <v/>
      </c>
      <c r="FZ20">
        <f>FZ19*IF(OR($C19=77,$G19=77),0,1)</f>
        <v/>
      </c>
      <c r="GA20">
        <f>GA19*IF(OR($C19=78,$G19=78),0,1)</f>
        <v/>
      </c>
      <c r="GB20">
        <f>GB19*IF(OR($C19=79,$G19=79),0,1)</f>
        <v/>
      </c>
      <c r="GC20">
        <f>GC19*IF(OR($C19=80,$G19=80),0,1)</f>
        <v/>
      </c>
      <c r="GD20">
        <f>GD19*IF(OR($C19=81,$G19=81),0,1)</f>
        <v/>
      </c>
      <c r="GE20">
        <f>GE19*IF(OR($C19=82,$G19=82),0,1)</f>
        <v/>
      </c>
      <c r="GF20">
        <f>GF19*IF(OR($C19=83,$G19=83),0,1)</f>
        <v/>
      </c>
      <c r="GG20">
        <f>GG19*IF(OR($C19=84,$G19=84),0,1)</f>
        <v/>
      </c>
      <c r="GH20">
        <f>GH19*IF(OR($C19=85,$G19=85),0,1)</f>
        <v/>
      </c>
      <c r="GI20">
        <f>GI19*IF(OR($C19=86,$G19=86),0,1)</f>
        <v/>
      </c>
      <c r="GJ20">
        <f>GJ19*IF(OR($C19=87,$G19=87),0,1)</f>
        <v/>
      </c>
      <c r="GK20">
        <f>GK19*IF(OR($C19=88,$G19=88),0,1)</f>
        <v/>
      </c>
      <c r="GL20">
        <f>GL19*IF(OR($C19=89,$G19=89),0,1)</f>
        <v/>
      </c>
      <c r="GM20">
        <f>GM19*IF(OR($C19=90,$G19=90),0,1)</f>
        <v/>
      </c>
      <c r="GN20">
        <f>GN19*IF(OR($C19=91,$G19=91),0,1)</f>
        <v/>
      </c>
      <c r="GO20">
        <f>GO19*IF(OR($C19=92,$G19=92),0,1)</f>
        <v/>
      </c>
      <c r="GP20">
        <f>GP19*IF(OR($C19=93,$G19=93),0,1)</f>
        <v/>
      </c>
      <c r="GQ20">
        <f>GQ19*IF(OR($C19=94,$G19=94),0,1)</f>
        <v/>
      </c>
      <c r="GR20">
        <f>GR19*IF(OR($C19=95,$G19=95),0,1)</f>
        <v/>
      </c>
      <c r="GS20">
        <f>GS19*IF(OR($C19=96,$G19=96),0,1)</f>
        <v/>
      </c>
      <c r="GT20">
        <f>GT19*IF(OR($C19=97,$G19=97),0,1)</f>
        <v/>
      </c>
      <c r="GU20">
        <f>GU19*IF(OR($C19=98,$G19=98),0,1)</f>
        <v/>
      </c>
      <c r="GV20">
        <f>GV19*IF(OR($C19=99,$G19=99),0,1)</f>
        <v/>
      </c>
      <c r="GW20">
        <f>GW19*IF(OR($C19=100,$G19=100),0,1)</f>
        <v/>
      </c>
      <c r="GX20">
        <f>GX19*IF(OR($C19=101,$G19=101),0,1)</f>
        <v/>
      </c>
      <c r="GY20">
        <f>GY19*IF(OR($C19=102,$G19=102),0,1)</f>
        <v/>
      </c>
      <c r="GZ20">
        <f>GZ19*IF(OR($C19=103,$G19=103),0,1)</f>
        <v/>
      </c>
      <c r="HA20">
        <f>HA19*IF(OR($C19=104,$G19=104),0,1)</f>
        <v/>
      </c>
      <c r="HB20">
        <f>HB19*IF(OR($C19=105,$G19=105),0,1)</f>
        <v/>
      </c>
      <c r="HC20">
        <f>HC19*IF(OR($C19=106,$G19=106),0,1)</f>
        <v/>
      </c>
      <c r="HD20">
        <f>HD19*IF(OR($C19=107,$G19=107),0,1)</f>
        <v/>
      </c>
      <c r="HE20">
        <f>HE19*IF(OR($C19=108,$G19=108),0,1)</f>
        <v/>
      </c>
      <c r="HF20">
        <f>HF19*IF(OR($C19=109,$G19=109),0,1)</f>
        <v/>
      </c>
      <c r="HG20">
        <f>HG19*IF(OR($C19=110,$G19=110),0,1)</f>
        <v/>
      </c>
      <c r="HH20">
        <f>HH19*IF(OR($C19=111,$G19=111),0,1)</f>
        <v/>
      </c>
      <c r="HI20">
        <f>HI19*IF(OR($C19=112,$G19=112),0,1)</f>
        <v/>
      </c>
      <c r="HJ20">
        <f>HJ19*IF(OR($C19=113,$G19=113),0,1)</f>
        <v/>
      </c>
      <c r="HK20">
        <f>HK19*IF(OR($C19=114,$G19=114),0,1)</f>
        <v/>
      </c>
      <c r="HL20">
        <f>HL19*IF(OR($C19=115,$G19=115),0,1)</f>
        <v/>
      </c>
      <c r="HM20">
        <f>HM19*IF(OR($C19=116,$G19=116),0,1)</f>
        <v/>
      </c>
      <c r="HN20">
        <f>HN19*IF(OR($C19=117,$G19=117),0,1)</f>
        <v/>
      </c>
      <c r="HO20">
        <f>HO19*IF(OR($C19=118,$G19=118),0,1)</f>
        <v/>
      </c>
      <c r="HP20">
        <f>HP19*IF(OR($C19=119,$G19=119),0,1)</f>
        <v/>
      </c>
      <c r="HQ20">
        <f>HQ19*IF(OR($C19=120,$G19=120),0,1)</f>
        <v/>
      </c>
      <c r="HR20">
        <f>HR19*IF(OR($C19=121,$G19=121),0,1)</f>
        <v/>
      </c>
      <c r="HS20">
        <f>HS19*IF(OR($C19=122,$G19=122),0,1)</f>
        <v/>
      </c>
      <c r="HT20">
        <f>HT19*IF(OR($C19=123,$G19=123),0,1)</f>
        <v/>
      </c>
      <c r="HU20">
        <f>HU19*IF(OR($C19=124,$G19=124),0,1)</f>
        <v/>
      </c>
      <c r="HV20">
        <f>HV19*IF(OR($C19=125,$G19=125),0,1)</f>
        <v/>
      </c>
      <c r="HW20">
        <f>HW19*IF(OR($C19=126,$G19=126),0,1)</f>
        <v/>
      </c>
      <c r="HX20">
        <f>HX19*IF(OR($C19=127,$G19=127),0,1)</f>
        <v/>
      </c>
      <c r="HY20">
        <f>HY19*IF(OR($C19=128,$G19=128),0,1)</f>
        <v/>
      </c>
      <c r="HZ20">
        <f>HZ19*IF(OR($C19=129,$G19=129),0,1)</f>
        <v/>
      </c>
      <c r="IA20">
        <f>IA19*IF(OR($C19=130,$G19=130),0,1)</f>
        <v/>
      </c>
      <c r="IB20">
        <f>IB19*IF(OR($C19=131,$G19=131),0,1)</f>
        <v/>
      </c>
      <c r="IC20">
        <f>IC19*IF(OR($C19=132,$G19=132),0,1)</f>
        <v/>
      </c>
      <c r="ID20">
        <f>ID19*IF(OR($C19=133,$G19=133),0,1)</f>
        <v/>
      </c>
      <c r="IE20">
        <f>IE19*IF(OR($C19=134,$G19=134),0,1)</f>
        <v/>
      </c>
      <c r="IF20">
        <f>IF19*IF(OR($C19=135,$G19=135),0,1)</f>
        <v/>
      </c>
      <c r="IG20">
        <f>IG19*IF(OR($C19=136,$G19=136),0,1)</f>
        <v/>
      </c>
      <c r="IH20">
        <f>IH19*IF(OR($C19=137,$G19=137),0,1)</f>
        <v/>
      </c>
      <c r="II20">
        <f>II19*IF(OR($C19=138,$G19=138),0,1)</f>
        <v/>
      </c>
      <c r="IJ20">
        <f>IJ19*IF(OR($C19=139,$G19=139),0,1)</f>
        <v/>
      </c>
      <c r="IK20">
        <f>IK19*IF(OR($C19=140,$G19=140),0,1)</f>
        <v/>
      </c>
      <c r="IL20">
        <f>IL19*IF(OR($C19=141,$G19=141),0,1)</f>
        <v/>
      </c>
      <c r="IM20">
        <f>IM19*IF(OR($C19=142,$G19=142),0,1)</f>
        <v/>
      </c>
      <c r="IN20">
        <f>IN19*IF(OR($C19=143,$G19=143),0,1)</f>
        <v/>
      </c>
      <c r="IO20">
        <f>IO19*IF(OR($C19=144,$G19=144),0,1)</f>
        <v/>
      </c>
      <c r="IQ20">
        <f>IF('calcA'!D$106=1,DC20,1)</f>
        <v/>
      </c>
      <c r="IR20">
        <f>IF('calcA'!E$106=1,DD20,1)</f>
        <v/>
      </c>
      <c r="IS20">
        <f>IF('calcA'!F$106=1,DE20,1)</f>
        <v/>
      </c>
      <c r="IT20">
        <f>IF('calcA'!G$106=1,DF20,1)</f>
        <v/>
      </c>
      <c r="IU20">
        <f>IF('calcA'!H$106=1,DG20,1)</f>
        <v/>
      </c>
      <c r="IV20">
        <f>IF('calcA'!I$106=1,DH20,1)</f>
        <v/>
      </c>
      <c r="IW20">
        <f>IF('calcA'!J$106=1,DI20,1)</f>
        <v/>
      </c>
      <c r="IX20">
        <f>IF('calcA'!K$106=1,DJ20,1)</f>
        <v/>
      </c>
      <c r="IY20">
        <f>IF('calcA'!L$106=1,DK20,1)</f>
        <v/>
      </c>
      <c r="IZ20">
        <f>IF('calcA'!M$106=1,DL20,1)</f>
        <v/>
      </c>
      <c r="JA20">
        <f>IF('calcA'!N$106=1,DM20,1)</f>
        <v/>
      </c>
      <c r="JB20">
        <f>IF('calcA'!O$106=1,DN20,1)</f>
        <v/>
      </c>
      <c r="JC20">
        <f>IF('calcA'!P$106=1,DO20,1)</f>
        <v/>
      </c>
      <c r="JD20">
        <f>IF('calcA'!Q$106=1,DP20,1)</f>
        <v/>
      </c>
      <c r="JE20">
        <f>IF('calcA'!R$106=1,DQ20,1)</f>
        <v/>
      </c>
      <c r="JF20">
        <f>IF('calcA'!S$106=1,DR20,1)</f>
        <v/>
      </c>
      <c r="JG20">
        <f>IF('calcA'!T$106=1,DS20,1)</f>
        <v/>
      </c>
      <c r="JH20">
        <f>IF('calcA'!U$106=1,DT20,1)</f>
        <v/>
      </c>
      <c r="JI20">
        <f>IF('calcA'!V$106=1,DU20,1)</f>
        <v/>
      </c>
      <c r="JJ20">
        <f>IF('calcA'!W$106=1,DV20,1)</f>
        <v/>
      </c>
      <c r="JK20">
        <f>IF('calcA'!X$106=1,DW20,1)</f>
        <v/>
      </c>
      <c r="JL20">
        <f>IF('calcA'!Y$106=1,DX20,1)</f>
        <v/>
      </c>
      <c r="JM20">
        <f>IF('calcA'!Z$106=1,DY20,1)</f>
        <v/>
      </c>
      <c r="JN20">
        <f>IF('calcA'!AA$106=1,DZ20,1)</f>
        <v/>
      </c>
      <c r="JO20">
        <f>IF('calcA'!AB$106=1,EA20,1)</f>
        <v/>
      </c>
      <c r="JP20">
        <f>IF('calcA'!AC$106=1,EB20,1)</f>
        <v/>
      </c>
      <c r="JQ20">
        <f>IF('calcA'!AD$106=1,EC20,1)</f>
        <v/>
      </c>
      <c r="JR20">
        <f>IF('calcA'!AE$106=1,ED20,1)</f>
        <v/>
      </c>
      <c r="JS20">
        <f>IF('calcA'!AF$106=1,EE20,1)</f>
        <v/>
      </c>
      <c r="JT20">
        <f>IF('calcA'!AG$106=1,EF20,1)</f>
        <v/>
      </c>
      <c r="JU20">
        <f>IF('calcA'!AH$106=1,EG20,1)</f>
        <v/>
      </c>
      <c r="JV20">
        <f>IF('calcA'!AI$106=1,EH20,1)</f>
        <v/>
      </c>
      <c r="JW20">
        <f>IF('calcA'!AJ$106=1,EI20,1)</f>
        <v/>
      </c>
      <c r="JX20">
        <f>IF('calcA'!AK$106=1,EJ20,1)</f>
        <v/>
      </c>
      <c r="JY20">
        <f>IF('calcA'!AL$106=1,EK20,1)</f>
        <v/>
      </c>
      <c r="JZ20">
        <f>IF('calcA'!AM$106=1,EL20,1)</f>
        <v/>
      </c>
      <c r="KA20">
        <f>IF('calcA'!AN$106=1,EM20,1)</f>
        <v/>
      </c>
      <c r="KB20">
        <f>IF('calcA'!AO$106=1,EN20,1)</f>
        <v/>
      </c>
      <c r="KC20">
        <f>IF('calcA'!AP$106=1,EO20,1)</f>
        <v/>
      </c>
      <c r="KD20">
        <f>IF('calcA'!AQ$106=1,EP20,1)</f>
        <v/>
      </c>
      <c r="KE20">
        <f>IF('calcA'!AR$106=1,EQ20,1)</f>
        <v/>
      </c>
      <c r="KF20">
        <f>IF('calcA'!AS$106=1,ER20,1)</f>
        <v/>
      </c>
      <c r="KG20">
        <f>IF('calcA'!AT$106=1,ES20,1)</f>
        <v/>
      </c>
      <c r="KH20">
        <f>IF('calcA'!AU$106=1,ET20,1)</f>
        <v/>
      </c>
      <c r="KI20">
        <f>IF('calcA'!AV$106=1,EU20,1)</f>
        <v/>
      </c>
      <c r="KJ20">
        <f>IF('calcA'!AW$106=1,EV20,1)</f>
        <v/>
      </c>
      <c r="KK20">
        <f>IF('calcA'!AX$106=1,EW20,1)</f>
        <v/>
      </c>
      <c r="KL20">
        <f>IF('calcA'!AY$106=1,EX20,1)</f>
        <v/>
      </c>
      <c r="KM20">
        <f>IF('calcA'!AZ$106=1,EY20,1)</f>
        <v/>
      </c>
      <c r="KN20">
        <f>IF('calcA'!BA$106=1,EZ20,1)</f>
        <v/>
      </c>
      <c r="KO20">
        <f>IF('calcA'!BB$106=1,FA20,1)</f>
        <v/>
      </c>
      <c r="KP20">
        <f>IF('calcA'!BC$106=1,FB20,1)</f>
        <v/>
      </c>
      <c r="KQ20">
        <f>IF('calcA'!BD$106=1,FC20,1)</f>
        <v/>
      </c>
      <c r="KR20">
        <f>IF('calcA'!BE$106=1,FD20,1)</f>
        <v/>
      </c>
      <c r="KS20">
        <f>IF('calcA'!BF$106=1,FE20,1)</f>
        <v/>
      </c>
      <c r="KT20">
        <f>IF('calcA'!BG$106=1,FF20,1)</f>
        <v/>
      </c>
      <c r="KU20">
        <f>IF('calcA'!BH$106=1,FG20,1)</f>
        <v/>
      </c>
      <c r="KV20">
        <f>IF('calcA'!BI$106=1,FH20,1)</f>
        <v/>
      </c>
      <c r="KW20">
        <f>IF('calcA'!BJ$106=1,FI20,1)</f>
        <v/>
      </c>
      <c r="KX20">
        <f>IF('calcA'!BK$106=1,FJ20,1)</f>
        <v/>
      </c>
      <c r="KY20">
        <f>IF('calcA'!BL$106=1,FK20,1)</f>
        <v/>
      </c>
      <c r="KZ20">
        <f>IF('calcA'!BM$106=1,FL20,1)</f>
        <v/>
      </c>
      <c r="LA20">
        <f>IF('calcA'!BN$106=1,FM20,1)</f>
        <v/>
      </c>
      <c r="LB20">
        <f>IF('calcA'!BO$106=1,FN20,1)</f>
        <v/>
      </c>
      <c r="LC20">
        <f>IF('calcA'!BP$106=1,FO20,1)</f>
        <v/>
      </c>
      <c r="LD20">
        <f>IF('calcA'!BQ$106=1,FP20,1)</f>
        <v/>
      </c>
      <c r="LE20">
        <f>IF('calcA'!BR$106=1,FQ20,1)</f>
        <v/>
      </c>
      <c r="LF20">
        <f>IF('calcA'!BS$106=1,FR20,1)</f>
        <v/>
      </c>
      <c r="LG20">
        <f>IF('calcA'!BT$106=1,FS20,1)</f>
        <v/>
      </c>
      <c r="LH20">
        <f>IF('calcA'!BU$106=1,FT20,1)</f>
        <v/>
      </c>
      <c r="LI20">
        <f>IF('calcA'!BV$106=1,FU20,1)</f>
        <v/>
      </c>
      <c r="LJ20">
        <f>IF('calcA'!BW$106=1,FV20,1)</f>
        <v/>
      </c>
      <c r="LK20">
        <f>IF('calcA'!BX$106=1,FW20,1)</f>
        <v/>
      </c>
      <c r="LL20">
        <f>IF('calcA'!BY$106=1,FX20,1)</f>
        <v/>
      </c>
      <c r="LM20">
        <f>IF('calcA'!BZ$106=1,FY20,1)</f>
        <v/>
      </c>
      <c r="LN20">
        <f>IF('calcA'!CA$106=1,FZ20,1)</f>
        <v/>
      </c>
      <c r="LO20">
        <f>IF('calcA'!CB$106=1,GA20,1)</f>
        <v/>
      </c>
      <c r="LP20">
        <f>IF('calcA'!CC$106=1,GB20,1)</f>
        <v/>
      </c>
      <c r="LQ20">
        <f>IF('calcA'!CD$106=1,GC20,1)</f>
        <v/>
      </c>
      <c r="LR20">
        <f>IF('calcA'!CE$106=1,GD20,1)</f>
        <v/>
      </c>
      <c r="LS20">
        <f>IF('calcA'!CF$106=1,GE20,1)</f>
        <v/>
      </c>
      <c r="LT20">
        <f>IF('calcA'!CG$106=1,GF20,1)</f>
        <v/>
      </c>
      <c r="LU20">
        <f>IF('calcA'!CH$106=1,GG20,1)</f>
        <v/>
      </c>
      <c r="LV20">
        <f>IF('calcA'!CI$106=1,GH20,1)</f>
        <v/>
      </c>
      <c r="LW20">
        <f>IF('calcA'!CJ$106=1,GI20,1)</f>
        <v/>
      </c>
      <c r="LX20">
        <f>IF('calcA'!CK$106=1,GJ20,1)</f>
        <v/>
      </c>
      <c r="LY20">
        <f>IF('calcA'!CL$106=1,GK20,1)</f>
        <v/>
      </c>
      <c r="LZ20">
        <f>IF('calcA'!CM$106=1,GL20,1)</f>
        <v/>
      </c>
      <c r="MA20">
        <f>IF('calcA'!CN$106=1,GM20,1)</f>
        <v/>
      </c>
      <c r="MB20">
        <f>IF('calcA'!CO$106=1,GN20,1)</f>
        <v/>
      </c>
      <c r="MC20">
        <f>IF('calcA'!CP$106=1,GO20,1)</f>
        <v/>
      </c>
      <c r="MD20">
        <f>IF('calcA'!CQ$106=1,GP20,1)</f>
        <v/>
      </c>
      <c r="ME20">
        <f>IF('calcA'!CR$106=1,GQ20,1)</f>
        <v/>
      </c>
      <c r="MF20">
        <f>IF('calcA'!CS$106=1,GR20,1)</f>
        <v/>
      </c>
      <c r="MG20">
        <f>IF('calcA'!CT$106=1,GS20,1)</f>
        <v/>
      </c>
      <c r="MH20">
        <f>IF('calcA'!CU$106=1,GT20,1)</f>
        <v/>
      </c>
      <c r="MI20">
        <f>IF('calcA'!CV$106=1,GU20,1)</f>
        <v/>
      </c>
      <c r="MJ20">
        <f>IF('calcA'!CW$106=1,GV20,1)</f>
        <v/>
      </c>
      <c r="MK20">
        <f>IF('calcA'!CX$106=1,GW20,1)</f>
        <v/>
      </c>
      <c r="ML20">
        <f>IF('calcA'!CY$106=1,GX20,1)</f>
        <v/>
      </c>
      <c r="MM20">
        <f>IF('calcA'!CZ$106=1,GY20,1)</f>
        <v/>
      </c>
      <c r="MN20">
        <f>IF('calcA'!DA$106=1,GZ20,1)</f>
        <v/>
      </c>
      <c r="MO20">
        <f>IF('calcA'!DB$106=1,HA20,1)</f>
        <v/>
      </c>
      <c r="MP20">
        <f>IF('calcA'!DC$106=1,HB20,1)</f>
        <v/>
      </c>
      <c r="MQ20">
        <f>IF('calcA'!DD$106=1,HC20,1)</f>
        <v/>
      </c>
      <c r="MR20">
        <f>IF('calcA'!DE$106=1,HD20,1)</f>
        <v/>
      </c>
      <c r="MS20">
        <f>IF('calcA'!DF$106=1,HE20,1)</f>
        <v/>
      </c>
      <c r="MT20">
        <f>IF('calcA'!DG$106=1,HF20,1)</f>
        <v/>
      </c>
      <c r="MU20">
        <f>IF('calcA'!DH$106=1,HG20,1)</f>
        <v/>
      </c>
      <c r="MV20">
        <f>IF('calcA'!DI$106=1,HH20,1)</f>
        <v/>
      </c>
      <c r="MW20">
        <f>IF('calcA'!DJ$106=1,HI20,1)</f>
        <v/>
      </c>
      <c r="MX20">
        <f>IF('calcA'!DK$106=1,HJ20,1)</f>
        <v/>
      </c>
      <c r="MY20">
        <f>IF('calcA'!DL$106=1,HK20,1)</f>
        <v/>
      </c>
      <c r="MZ20">
        <f>IF('calcA'!DM$106=1,HL20,1)</f>
        <v/>
      </c>
      <c r="NA20">
        <f>IF('calcA'!DN$106=1,HM20,1)</f>
        <v/>
      </c>
      <c r="NB20">
        <f>IF('calcA'!DO$106=1,HN20,1)</f>
        <v/>
      </c>
      <c r="NC20">
        <f>IF('calcA'!DP$106=1,HO20,1)</f>
        <v/>
      </c>
      <c r="ND20">
        <f>IF('calcA'!DQ$106=1,HP20,1)</f>
        <v/>
      </c>
      <c r="NE20">
        <f>IF('calcA'!DR$106=1,HQ20,1)</f>
        <v/>
      </c>
      <c r="NF20">
        <f>IF('calcA'!DS$106=1,HR20,1)</f>
        <v/>
      </c>
      <c r="NG20">
        <f>IF('calcA'!DT$106=1,HS20,1)</f>
        <v/>
      </c>
      <c r="NH20">
        <f>IF('calcA'!DU$106=1,HT20,1)</f>
        <v/>
      </c>
      <c r="NI20">
        <f>IF('calcA'!DV$106=1,HU20,1)</f>
        <v/>
      </c>
      <c r="NJ20">
        <f>IF('calcA'!DW$106=1,HV20,1)</f>
        <v/>
      </c>
      <c r="NK20">
        <f>IF('calcA'!DX$106=1,HW20,1)</f>
        <v/>
      </c>
      <c r="NL20">
        <f>IF('calcA'!DY$106=1,HX20,1)</f>
        <v/>
      </c>
      <c r="NM20">
        <f>IF('calcA'!DZ$106=1,HY20,1)</f>
        <v/>
      </c>
      <c r="NN20">
        <f>IF('calcA'!EA$106=1,HZ20,1)</f>
        <v/>
      </c>
      <c r="NO20">
        <f>IF('calcA'!EB$106=1,IA20,1)</f>
        <v/>
      </c>
      <c r="NP20">
        <f>IF('calcA'!EC$106=1,IB20,1)</f>
        <v/>
      </c>
      <c r="NQ20">
        <f>IF('calcA'!ED$106=1,IC20,1)</f>
        <v/>
      </c>
      <c r="NR20">
        <f>IF('calcA'!EE$106=1,ID20,1)</f>
        <v/>
      </c>
      <c r="NS20">
        <f>IF('calcA'!EF$106=1,IE20,1)</f>
        <v/>
      </c>
      <c r="NT20">
        <f>IF('calcA'!EG$106=1,IF20,1)</f>
        <v/>
      </c>
      <c r="NU20">
        <f>IF('calcA'!EH$106=1,IG20,1)</f>
        <v/>
      </c>
      <c r="NV20">
        <f>IF('calcA'!EI$106=1,IH20,1)</f>
        <v/>
      </c>
      <c r="NW20">
        <f>IF('calcA'!EJ$106=1,II20,1)</f>
        <v/>
      </c>
      <c r="NX20">
        <f>IF('calcA'!EK$106=1,IJ20,1)</f>
        <v/>
      </c>
      <c r="NY20">
        <f>IF('calcA'!EL$106=1,IK20,1)</f>
        <v/>
      </c>
      <c r="NZ20">
        <f>IF('calcA'!EM$106=1,IL20,1)</f>
        <v/>
      </c>
      <c r="OA20">
        <f>IF('calcA'!EN$106=1,IM20,1)</f>
        <v/>
      </c>
      <c r="OB20">
        <f>IF('calcA'!EO$106=1,IN20,1)</f>
        <v/>
      </c>
      <c r="OC20">
        <f>IF('calcA'!EP$106=1,IO20,1)</f>
        <v/>
      </c>
      <c r="OD20" t="n">
        <v>1</v>
      </c>
      <c r="OF20">
        <f>IF($B20=0,1000000000,IF(INDEX('calcA'!$D$60:$EQ$99,$B20,1)*IF($W20=1,DB20+ZQ20,DB20)=1,IF(AND($E20=2,IF($W20=1,AFF20,IQ20)=0),1000000000,IF($V20=1,INDEX('calcA'!$D$130:$EQ$169,$B20,1)+IF(AND($E20=1,IQ20=0),25,0),INDEX('calcA'!D$110:D$114,$F20+1)+IF(AND($E20=1,IQ20=0),1000,0)+IF($H20=1,INDEX('calcA'!$D$180:$EQ$219,$B20,1)*500,0)-IF(AND($U20=1,'calcA'!D$117=1,DC20=0),300,0))),1000000000))</f>
        <v/>
      </c>
      <c r="OG20">
        <f>IF($B20=0,1000000000,IF(INDEX('calcA'!$D$60:$EQ$99,$B20,2)*IF($W20=1,DC20+ZR20,DC20)=1,IF(AND($E20=2,IF($W20=1,AFG20,IR20)=0),1000000000,IF($V20=1,INDEX('calcA'!$D$130:$EQ$169,$B20,2)+IF(AND($E20=1,IR20=0),25,0),INDEX('calcA'!E$110:E$114,$F20+1)+IF(AND($E20=1,IR20=0),1000,0)+IF($H20=1,INDEX('calcA'!$D$180:$EQ$219,$B20,2)*500,0)-IF(AND('calcA'!D$117=1,UB20&gt;0),300,0)-IF(AND($U20=1,'calcA'!E$117=1,DD20=0),300,0))),1000000000))</f>
        <v/>
      </c>
      <c r="OH20">
        <f>IF($B20=0,1000000000,IF(INDEX('calcA'!$D$60:$EQ$99,$B20,3)*IF($W20=1,DD20+ZS20,DD20)=1,IF(AND($E20=2,IF($W20=1,AFH20,IS20)=0),1000000000,IF($V20=1,INDEX('calcA'!$D$130:$EQ$169,$B20,3)+IF(AND($E20=1,IS20=0),25,0),INDEX('calcA'!F$110:F$114,$F20+1)+IF(AND($E20=1,IS20=0),1000,0)+IF($H20=1,INDEX('calcA'!$D$180:$EQ$219,$B20,3)*500,0)-IF(AND('calcA'!E$117=1,UC20&gt;0),300,0)-IF(AND($U20=1,'calcA'!F$117=1,DE20=0),300,0))),1000000000))</f>
        <v/>
      </c>
      <c r="OI20">
        <f>IF($B20=0,1000000000,IF(INDEX('calcA'!$D$60:$EQ$99,$B20,4)*IF($W20=1,DE20+ZT20,DE20)=1,IF(AND($E20=2,IF($W20=1,AFI20,IT20)=0),1000000000,IF($V20=1,INDEX('calcA'!$D$130:$EQ$169,$B20,4)+IF(AND($E20=1,IT20=0),25,0),INDEX('calcA'!G$110:G$114,$F20+1)+IF(AND($E20=1,IT20=0),1000,0)+IF($H20=1,INDEX('calcA'!$D$180:$EQ$219,$B20,4)*500,0)-IF(AND('calcA'!F$117=1,UD20&gt;0),300,0)-IF(AND($U20=1,'calcA'!G$117=1,DF20=0),300,0))),1000000000))</f>
        <v/>
      </c>
      <c r="OJ20">
        <f>IF($B20=0,1000000000,IF(INDEX('calcA'!$D$60:$EQ$99,$B20,5)*IF($W20=1,DF20+ZU20,DF20)=1,IF(AND($E20=2,IF($W20=1,AFJ20,IU20)=0),1000000000,IF($V20=1,INDEX('calcA'!$D$130:$EQ$169,$B20,5)+IF(AND($E20=1,IU20=0),25,0),INDEX('calcA'!H$110:H$114,$F20+1)+IF(AND($E20=1,IU20=0),1000,0)+IF($H20=1,INDEX('calcA'!$D$180:$EQ$219,$B20,5)*500,0)-IF(AND('calcA'!G$117=1,UE20&gt;0),300,0)-IF(AND($U20=1,'calcA'!H$117=1,DG20=0),300,0))),1000000000))</f>
        <v/>
      </c>
      <c r="OK20">
        <f>IF($B20=0,1000000000,IF(INDEX('calcA'!$D$60:$EQ$99,$B20,6)*IF($W20=1,DG20+ZV20,DG20)=1,IF(AND($E20=2,IF($W20=1,AFK20,IV20)=0),1000000000,IF($V20=1,INDEX('calcA'!$D$130:$EQ$169,$B20,6)+IF(AND($E20=1,IV20=0),25,0),INDEX('calcA'!I$110:I$114,$F20+1)+IF(AND($E20=1,IV20=0),1000,0)+IF($H20=1,INDEX('calcA'!$D$180:$EQ$219,$B20,6)*500,0)-IF(AND('calcA'!H$117=1,UF20&gt;0),300,0)-IF(AND($U20=1,'calcA'!I$117=1,DH20=0),300,0))),1000000000))</f>
        <v/>
      </c>
      <c r="OL20">
        <f>IF($B20=0,1000000000,IF(INDEX('calcA'!$D$60:$EQ$99,$B20,7)*IF($W20=1,DH20+ZW20,DH20)=1,IF(AND($E20=2,IF($W20=1,AFL20,IW20)=0),1000000000,IF($V20=1,INDEX('calcA'!$D$130:$EQ$169,$B20,7)+IF(AND($E20=1,IW20=0),25,0),INDEX('calcA'!J$110:J$114,$F20+1)+IF(AND($E20=1,IW20=0),1000,0)+IF($H20=1,INDEX('calcA'!$D$180:$EQ$219,$B20,7)*500,0)-IF(AND('calcA'!I$117=1,UG20&gt;0),300,0)-IF(AND($U20=1,'calcA'!J$117=1,DI20=0),300,0))),1000000000))</f>
        <v/>
      </c>
      <c r="OM20">
        <f>IF($B20=0,1000000000,IF(INDEX('calcA'!$D$60:$EQ$99,$B20,8)*IF($W20=1,DI20+ZX20,DI20)=1,IF(AND($E20=2,IF($W20=1,AFM20,IX20)=0),1000000000,IF($V20=1,INDEX('calcA'!$D$130:$EQ$169,$B20,8)+IF(AND($E20=1,IX20=0),25,0),INDEX('calcA'!K$110:K$114,$F20+1)+IF(AND($E20=1,IX20=0),1000,0)+IF($H20=1,INDEX('calcA'!$D$180:$EQ$219,$B20,8)*500,0)-IF(AND('calcA'!J$117=1,UH20&gt;0),300,0)-IF(AND($U20=1,'calcA'!K$117=1,DJ20=0),300,0))),1000000000))</f>
        <v/>
      </c>
      <c r="ON20">
        <f>IF($B20=0,1000000000,IF(INDEX('calcA'!$D$60:$EQ$99,$B20,9)*IF($W20=1,DJ20+ZY20,DJ20)=1,IF(AND($E20=2,IF($W20=1,AFN20,IY20)=0),1000000000,IF($V20=1,INDEX('calcA'!$D$130:$EQ$169,$B20,9)+IF(AND($E20=1,IY20=0),25,0),INDEX('calcA'!L$110:L$114,$F20+1)+IF(AND($E20=1,IY20=0),1000,0)+IF($H20=1,INDEX('calcA'!$D$180:$EQ$219,$B20,9)*500,0)-IF(AND('calcA'!K$117=1,UI20&gt;0),300,0)-IF(AND($U20=1,'calcA'!L$117=1,DK20=0),300,0))),1000000000))</f>
        <v/>
      </c>
      <c r="OO20">
        <f>IF($B20=0,1000000000,IF(INDEX('calcA'!$D$60:$EQ$99,$B20,10)*IF($W20=1,DK20+ZZ20,DK20)=1,IF(AND($E20=2,IF($W20=1,AFO20,IZ20)=0),1000000000,IF($V20=1,INDEX('calcA'!$D$130:$EQ$169,$B20,10)+IF(AND($E20=1,IZ20=0),25,0),INDEX('calcA'!M$110:M$114,$F20+1)+IF(AND($E20=1,IZ20=0),1000,0)+IF($H20=1,INDEX('calcA'!$D$180:$EQ$219,$B20,10)*500,0)-IF(AND('calcA'!L$117=1,UJ20&gt;0),300,0)-IF(AND($U20=1,'calcA'!M$117=1,DL20=0),300,0))),1000000000))</f>
        <v/>
      </c>
      <c r="OP20">
        <f>IF($B20=0,1000000000,IF(INDEX('calcA'!$D$60:$EQ$99,$B20,11)*IF($W20=1,DL20+AAA20,DL20)=1,IF(AND($E20=2,IF($W20=1,AFP20,JA20)=0),1000000000,IF($V20=1,INDEX('calcA'!$D$130:$EQ$169,$B20,11)+IF(AND($E20=1,JA20=0),25,0),INDEX('calcA'!N$110:N$114,$F20+1)+IF(AND($E20=1,JA20=0),1000,0)+IF($H20=1,INDEX('calcA'!$D$180:$EQ$219,$B20,11)*500,0)-IF(AND('calcA'!M$117=1,UK20&gt;0),300,0)-IF(AND($U20=1,'calcA'!N$117=1,DM20=0),300,0))),1000000000))</f>
        <v/>
      </c>
      <c r="OQ20">
        <f>IF($B20=0,1000000000,IF(INDEX('calcA'!$D$60:$EQ$99,$B20,12)*IF($W20=1,DM20+AAB20,DM20)=1,IF(AND($E20=2,IF($W20=1,AFQ20,JB20)=0),1000000000,IF($V20=1,INDEX('calcA'!$D$130:$EQ$169,$B20,12)+IF(AND($E20=1,JB20=0),25,0),INDEX('calcA'!O$110:O$114,$F20+1)+IF(AND($E20=1,JB20=0),1000,0)+IF($H20=1,INDEX('calcA'!$D$180:$EQ$219,$B20,12)*500,0)-IF(AND('calcA'!N$117=1,UL20&gt;0),300,0)-IF(AND($U20=1,'calcA'!O$117=1,DN20=0),300,0))),1000000000))</f>
        <v/>
      </c>
      <c r="OR20">
        <f>IF($B20=0,1000000000,IF(INDEX('calcA'!$D$60:$EQ$99,$B20,13)*IF($W20=1,DN20+AAC20,DN20)=1,IF(AND($E20=2,IF($W20=1,AFR20,JC20)=0),1000000000,IF($V20=1,INDEX('calcA'!$D$130:$EQ$169,$B20,13)+IF(AND($E20=1,JC20=0),25,0),INDEX('calcA'!P$110:P$114,$F20+1)+IF(AND($E20=1,JC20=0),1000,0)+IF($H20=1,INDEX('calcA'!$D$180:$EQ$219,$B20,13)*500,0)-IF(AND('calcA'!O$117=1,UM20&gt;0),300,0)-IF(AND($U20=1,'calcA'!P$117=1,DO20=0),300,0))),1000000000))</f>
        <v/>
      </c>
      <c r="OS20">
        <f>IF($B20=0,1000000000,IF(INDEX('calcA'!$D$60:$EQ$99,$B20,14)*IF($W20=1,DO20+AAD20,DO20)=1,IF(AND($E20=2,IF($W20=1,AFS20,JD20)=0),1000000000,IF($V20=1,INDEX('calcA'!$D$130:$EQ$169,$B20,14)+IF(AND($E20=1,JD20=0),25,0),INDEX('calcA'!Q$110:Q$114,$F20+1)+IF(AND($E20=1,JD20=0),1000,0)+IF($H20=1,INDEX('calcA'!$D$180:$EQ$219,$B20,14)*500,0)-IF(AND('calcA'!P$117=1,UN20&gt;0),300,0)-IF(AND($U20=1,'calcA'!Q$117=1,DP20=0),300,0))),1000000000))</f>
        <v/>
      </c>
      <c r="OT20">
        <f>IF($B20=0,1000000000,IF(INDEX('calcA'!$D$60:$EQ$99,$B20,15)*IF($W20=1,DP20+AAE20,DP20)=1,IF(AND($E20=2,IF($W20=1,AFT20,JE20)=0),1000000000,IF($V20=1,INDEX('calcA'!$D$130:$EQ$169,$B20,15)+IF(AND($E20=1,JE20=0),25,0),INDEX('calcA'!R$110:R$114,$F20+1)+IF(AND($E20=1,JE20=0),1000,0)+IF($H20=1,INDEX('calcA'!$D$180:$EQ$219,$B20,15)*500,0)-IF(AND('calcA'!Q$117=1,UO20&gt;0),300,0)-IF(AND($U20=1,'calcA'!R$117=1,DQ20=0),300,0))),1000000000))</f>
        <v/>
      </c>
      <c r="OU20">
        <f>IF($B20=0,1000000000,IF(INDEX('calcA'!$D$60:$EQ$99,$B20,16)*IF($W20=1,DQ20+AAF20,DQ20)=1,IF(AND($E20=2,IF($W20=1,AFU20,JF20)=0),1000000000,IF($V20=1,INDEX('calcA'!$D$130:$EQ$169,$B20,16)+IF(AND($E20=1,JF20=0),25,0),INDEX('calcA'!S$110:S$114,$F20+1)+IF(AND($E20=1,JF20=0),1000,0)+IF($H20=1,INDEX('calcA'!$D$180:$EQ$219,$B20,16)*500,0)-IF(AND('calcA'!R$117=1,UP20&gt;0),300,0)-IF(AND($U20=1,'calcA'!S$117=1,DR20=0),300,0))),1000000000))</f>
        <v/>
      </c>
      <c r="OV20">
        <f>IF($B20=0,1000000000,IF(INDEX('calcA'!$D$60:$EQ$99,$B20,17)*IF($W20=1,DR20+AAG20,DR20)=1,IF(AND($E20=2,IF($W20=1,AFV20,JG20)=0),1000000000,IF($V20=1,INDEX('calcA'!$D$130:$EQ$169,$B20,17)+IF(AND($E20=1,JG20=0),25,0),INDEX('calcA'!T$110:T$114,$F20+1)+IF(AND($E20=1,JG20=0),1000,0)+IF($H20=1,INDEX('calcA'!$D$180:$EQ$219,$B20,17)*500,0)-IF(AND('calcA'!S$117=1,UQ20&gt;0),300,0)-IF(AND($U20=1,'calcA'!T$117=1,DS20=0),300,0))),1000000000))</f>
        <v/>
      </c>
      <c r="OW20">
        <f>IF($B20=0,1000000000,IF(INDEX('calcA'!$D$60:$EQ$99,$B20,18)*IF($W20=1,DS20+AAH20,DS20)=1,IF(AND($E20=2,IF($W20=1,AFW20,JH20)=0),1000000000,IF($V20=1,INDEX('calcA'!$D$130:$EQ$169,$B20,18)+IF(AND($E20=1,JH20=0),25,0),INDEX('calcA'!U$110:U$114,$F20+1)+IF(AND($E20=1,JH20=0),1000,0)+IF($H20=1,INDEX('calcA'!$D$180:$EQ$219,$B20,18)*500,0)-IF(AND('calcA'!T$117=1,UR20&gt;0),300,0)-IF(AND($U20=1,'calcA'!U$117=1,DT20=0),300,0))),1000000000))</f>
        <v/>
      </c>
      <c r="OX20">
        <f>IF($B20=0,1000000000,IF(INDEX('calcA'!$D$60:$EQ$99,$B20,19)*IF($W20=1,DT20+AAI20,DT20)=1,IF(AND($E20=2,IF($W20=1,AFX20,JI20)=0),1000000000,IF($V20=1,INDEX('calcA'!$D$130:$EQ$169,$B20,19)+IF(AND($E20=1,JI20=0),25,0),INDEX('calcA'!V$110:V$114,$F20+1)+IF(AND($E20=1,JI20=0),1000,0)+IF($H20=1,INDEX('calcA'!$D$180:$EQ$219,$B20,19)*500,0)-IF(AND('calcA'!U$117=1,US20&gt;0),300,0)-IF(AND($U20=1,'calcA'!V$117=1,DU20=0),300,0))),1000000000))</f>
        <v/>
      </c>
      <c r="OY20">
        <f>IF($B20=0,1000000000,IF(INDEX('calcA'!$D$60:$EQ$99,$B20,20)*IF($W20=1,DU20+AAJ20,DU20)=1,IF(AND($E20=2,IF($W20=1,AFY20,JJ20)=0),1000000000,IF($V20=1,INDEX('calcA'!$D$130:$EQ$169,$B20,20)+IF(AND($E20=1,JJ20=0),25,0),INDEX('calcA'!W$110:W$114,$F20+1)+IF(AND($E20=1,JJ20=0),1000,0)+IF($H20=1,INDEX('calcA'!$D$180:$EQ$219,$B20,20)*500,0)-IF(AND('calcA'!V$117=1,UT20&gt;0),300,0)-IF(AND($U20=1,'calcA'!W$117=1,DV20=0),300,0))),1000000000))</f>
        <v/>
      </c>
      <c r="OZ20">
        <f>IF($B20=0,1000000000,IF(INDEX('calcA'!$D$60:$EQ$99,$B20,21)*IF($W20=1,DV20+AAK20,DV20)=1,IF(AND($E20=2,IF($W20=1,AFZ20,JK20)=0),1000000000,IF($V20=1,INDEX('calcA'!$D$130:$EQ$169,$B20,21)+IF(AND($E20=1,JK20=0),25,0),INDEX('calcA'!X$110:X$114,$F20+1)+IF(AND($E20=1,JK20=0),1000,0)+IF($H20=1,INDEX('calcA'!$D$180:$EQ$219,$B20,21)*500,0)-IF(AND('calcA'!W$117=1,UU20&gt;0),300,0)-IF(AND($U20=1,'calcA'!X$117=1,DW20=0),300,0))),1000000000))</f>
        <v/>
      </c>
      <c r="PA20">
        <f>IF($B20=0,1000000000,IF(INDEX('calcA'!$D$60:$EQ$99,$B20,22)*IF($W20=1,DW20+AAL20,DW20)=1,IF(AND($E20=2,IF($W20=1,AGA20,JL20)=0),1000000000,IF($V20=1,INDEX('calcA'!$D$130:$EQ$169,$B20,22)+IF(AND($E20=1,JL20=0),25,0),INDEX('calcA'!Y$110:Y$114,$F20+1)+IF(AND($E20=1,JL20=0),1000,0)+IF($H20=1,INDEX('calcA'!$D$180:$EQ$219,$B20,22)*500,0)-IF(AND('calcA'!X$117=1,UV20&gt;0),300,0)-IF(AND($U20=1,'calcA'!Y$117=1,DX20=0),300,0))),1000000000))</f>
        <v/>
      </c>
      <c r="PB20">
        <f>IF($B20=0,1000000000,IF(INDEX('calcA'!$D$60:$EQ$99,$B20,23)*IF($W20=1,DX20+AAM20,DX20)=1,IF(AND($E20=2,IF($W20=1,AGB20,JM20)=0),1000000000,IF($V20=1,INDEX('calcA'!$D$130:$EQ$169,$B20,23)+IF(AND($E20=1,JM20=0),25,0),INDEX('calcA'!Z$110:Z$114,$F20+1)+IF(AND($E20=1,JM20=0),1000,0)+IF($H20=1,INDEX('calcA'!$D$180:$EQ$219,$B20,23)*500,0)-IF(AND('calcA'!Y$117=1,UW20&gt;0),300,0)-IF(AND($U20=1,'calcA'!Z$117=1,DY20=0),300,0))),1000000000))</f>
        <v/>
      </c>
      <c r="PC20">
        <f>IF($B20=0,1000000000,IF(INDEX('calcA'!$D$60:$EQ$99,$B20,24)*IF($W20=1,DY20+AAN20,DY20)=1,IF(AND($E20=2,IF($W20=1,AGC20,JN20)=0),1000000000,IF($V20=1,INDEX('calcA'!$D$130:$EQ$169,$B20,24)+IF(AND($E20=1,JN20=0),25,0),INDEX('calcA'!AA$110:AA$114,$F20+1)+IF(AND($E20=1,JN20=0),1000,0)+IF($H20=1,INDEX('calcA'!$D$180:$EQ$219,$B20,24)*500,0)-IF(AND('calcA'!Z$117=1,UX20&gt;0),300,0))),1000000000))</f>
        <v/>
      </c>
      <c r="PD20">
        <f>IF($B20=0,1000000000,IF(INDEX('calcA'!$D$60:$EQ$99,$B20,25)*IF($W20=1,DZ20+AAO20,DZ20)=1,IF(AND($E20=2,IF($W20=1,AGD20,JO20)=0),1000000000,IF($V20=1,INDEX('calcA'!$D$130:$EQ$169,$B20,25)+IF(AND($E20=1,JO20=0),25,0),INDEX('calcA'!AB$110:AB$114,$F20+1)+IF(AND($E20=1,JO20=0),1000,0)+IF($H20=1,INDEX('calcA'!$D$180:$EQ$219,$B20,25)*500,0)-IF(AND($U20=1,'calcA'!AB$117=1,EA20=0),300,0))),1000000000))</f>
        <v/>
      </c>
      <c r="PE20">
        <f>IF($B20=0,1000000000,IF(INDEX('calcA'!$D$60:$EQ$99,$B20,26)*IF($W20=1,EA20+AAP20,EA20)=1,IF(AND($E20=2,IF($W20=1,AGE20,JP20)=0),1000000000,IF($V20=1,INDEX('calcA'!$D$130:$EQ$169,$B20,26)+IF(AND($E20=1,JP20=0),25,0),INDEX('calcA'!AC$110:AC$114,$F20+1)+IF(AND($E20=1,JP20=0),1000,0)+IF($H20=1,INDEX('calcA'!$D$180:$EQ$219,$B20,26)*500,0)-IF(AND('calcA'!AB$117=1,UZ20&gt;0),300,0)-IF(AND($U20=1,'calcA'!AC$117=1,EB20=0),300,0))),1000000000))</f>
        <v/>
      </c>
      <c r="PF20">
        <f>IF($B20=0,1000000000,IF(INDEX('calcA'!$D$60:$EQ$99,$B20,27)*IF($W20=1,EB20+AAQ20,EB20)=1,IF(AND($E20=2,IF($W20=1,AGF20,JQ20)=0),1000000000,IF($V20=1,INDEX('calcA'!$D$130:$EQ$169,$B20,27)+IF(AND($E20=1,JQ20=0),25,0),INDEX('calcA'!AD$110:AD$114,$F20+1)+IF(AND($E20=1,JQ20=0),1000,0)+IF($H20=1,INDEX('calcA'!$D$180:$EQ$219,$B20,27)*500,0)-IF(AND('calcA'!AC$117=1,VA20&gt;0),300,0)-IF(AND($U20=1,'calcA'!AD$117=1,EC20=0),300,0))),1000000000))</f>
        <v/>
      </c>
      <c r="PG20">
        <f>IF($B20=0,1000000000,IF(INDEX('calcA'!$D$60:$EQ$99,$B20,28)*IF($W20=1,EC20+AAR20,EC20)=1,IF(AND($E20=2,IF($W20=1,AGG20,JR20)=0),1000000000,IF($V20=1,INDEX('calcA'!$D$130:$EQ$169,$B20,28)+IF(AND($E20=1,JR20=0),25,0),INDEX('calcA'!AE$110:AE$114,$F20+1)+IF(AND($E20=1,JR20=0),1000,0)+IF($H20=1,INDEX('calcA'!$D$180:$EQ$219,$B20,28)*500,0)-IF(AND('calcA'!AD$117=1,VB20&gt;0),300,0)-IF(AND($U20=1,'calcA'!AE$117=1,ED20=0),300,0))),1000000000))</f>
        <v/>
      </c>
      <c r="PH20">
        <f>IF($B20=0,1000000000,IF(INDEX('calcA'!$D$60:$EQ$99,$B20,29)*IF($W20=1,ED20+AAS20,ED20)=1,IF(AND($E20=2,IF($W20=1,AGH20,JS20)=0),1000000000,IF($V20=1,INDEX('calcA'!$D$130:$EQ$169,$B20,29)+IF(AND($E20=1,JS20=0),25,0),INDEX('calcA'!AF$110:AF$114,$F20+1)+IF(AND($E20=1,JS20=0),1000,0)+IF($H20=1,INDEX('calcA'!$D$180:$EQ$219,$B20,29)*500,0)-IF(AND('calcA'!AE$117=1,VC20&gt;0),300,0)-IF(AND($U20=1,'calcA'!AF$117=1,EE20=0),300,0))),1000000000))</f>
        <v/>
      </c>
      <c r="PI20">
        <f>IF($B20=0,1000000000,IF(INDEX('calcA'!$D$60:$EQ$99,$B20,30)*IF($W20=1,EE20+AAT20,EE20)=1,IF(AND($E20=2,IF($W20=1,AGI20,JT20)=0),1000000000,IF($V20=1,INDEX('calcA'!$D$130:$EQ$169,$B20,30)+IF(AND($E20=1,JT20=0),25,0),INDEX('calcA'!AG$110:AG$114,$F20+1)+IF(AND($E20=1,JT20=0),1000,0)+IF($H20=1,INDEX('calcA'!$D$180:$EQ$219,$B20,30)*500,0)-IF(AND('calcA'!AF$117=1,VD20&gt;0),300,0)-IF(AND($U20=1,'calcA'!AG$117=1,EF20=0),300,0))),1000000000))</f>
        <v/>
      </c>
      <c r="PJ20">
        <f>IF($B20=0,1000000000,IF(INDEX('calcA'!$D$60:$EQ$99,$B20,31)*IF($W20=1,EF20+AAU20,EF20)=1,IF(AND($E20=2,IF($W20=1,AGJ20,JU20)=0),1000000000,IF($V20=1,INDEX('calcA'!$D$130:$EQ$169,$B20,31)+IF(AND($E20=1,JU20=0),25,0),INDEX('calcA'!AH$110:AH$114,$F20+1)+IF(AND($E20=1,JU20=0),1000,0)+IF($H20=1,INDEX('calcA'!$D$180:$EQ$219,$B20,31)*500,0)-IF(AND('calcA'!AG$117=1,VE20&gt;0),300,0)-IF(AND($U20=1,'calcA'!AH$117=1,EG20=0),300,0))),1000000000))</f>
        <v/>
      </c>
      <c r="PK20">
        <f>IF($B20=0,1000000000,IF(INDEX('calcA'!$D$60:$EQ$99,$B20,32)*IF($W20=1,EG20+AAV20,EG20)=1,IF(AND($E20=2,IF($W20=1,AGK20,JV20)=0),1000000000,IF($V20=1,INDEX('calcA'!$D$130:$EQ$169,$B20,32)+IF(AND($E20=1,JV20=0),25,0),INDEX('calcA'!AI$110:AI$114,$F20+1)+IF(AND($E20=1,JV20=0),1000,0)+IF($H20=1,INDEX('calcA'!$D$180:$EQ$219,$B20,32)*500,0)-IF(AND('calcA'!AH$117=1,VF20&gt;0),300,0)-IF(AND($U20=1,'calcA'!AI$117=1,EH20=0),300,0))),1000000000))</f>
        <v/>
      </c>
      <c r="PL20">
        <f>IF($B20=0,1000000000,IF(INDEX('calcA'!$D$60:$EQ$99,$B20,33)*IF($W20=1,EH20+AAW20,EH20)=1,IF(AND($E20=2,IF($W20=1,AGL20,JW20)=0),1000000000,IF($V20=1,INDEX('calcA'!$D$130:$EQ$169,$B20,33)+IF(AND($E20=1,JW20=0),25,0),INDEX('calcA'!AJ$110:AJ$114,$F20+1)+IF(AND($E20=1,JW20=0),1000,0)+IF($H20=1,INDEX('calcA'!$D$180:$EQ$219,$B20,33)*500,0)-IF(AND('calcA'!AI$117=1,VG20&gt;0),300,0)-IF(AND($U20=1,'calcA'!AJ$117=1,EI20=0),300,0))),1000000000))</f>
        <v/>
      </c>
      <c r="PM20">
        <f>IF($B20=0,1000000000,IF(INDEX('calcA'!$D$60:$EQ$99,$B20,34)*IF($W20=1,EI20+AAX20,EI20)=1,IF(AND($E20=2,IF($W20=1,AGM20,JX20)=0),1000000000,IF($V20=1,INDEX('calcA'!$D$130:$EQ$169,$B20,34)+IF(AND($E20=1,JX20=0),25,0),INDEX('calcA'!AK$110:AK$114,$F20+1)+IF(AND($E20=1,JX20=0),1000,0)+IF($H20=1,INDEX('calcA'!$D$180:$EQ$219,$B20,34)*500,0)-IF(AND('calcA'!AJ$117=1,VH20&gt;0),300,0)-IF(AND($U20=1,'calcA'!AK$117=1,EJ20=0),300,0))),1000000000))</f>
        <v/>
      </c>
      <c r="PN20">
        <f>IF($B20=0,1000000000,IF(INDEX('calcA'!$D$60:$EQ$99,$B20,35)*IF($W20=1,EJ20+AAY20,EJ20)=1,IF(AND($E20=2,IF($W20=1,AGN20,JY20)=0),1000000000,IF($V20=1,INDEX('calcA'!$D$130:$EQ$169,$B20,35)+IF(AND($E20=1,JY20=0),25,0),INDEX('calcA'!AL$110:AL$114,$F20+1)+IF(AND($E20=1,JY20=0),1000,0)+IF($H20=1,INDEX('calcA'!$D$180:$EQ$219,$B20,35)*500,0)-IF(AND('calcA'!AK$117=1,VI20&gt;0),300,0)-IF(AND($U20=1,'calcA'!AL$117=1,EK20=0),300,0))),1000000000))</f>
        <v/>
      </c>
      <c r="PO20">
        <f>IF($B20=0,1000000000,IF(INDEX('calcA'!$D$60:$EQ$99,$B20,36)*IF($W20=1,EK20+AAZ20,EK20)=1,IF(AND($E20=2,IF($W20=1,AGO20,JZ20)=0),1000000000,IF($V20=1,INDEX('calcA'!$D$130:$EQ$169,$B20,36)+IF(AND($E20=1,JZ20=0),25,0),INDEX('calcA'!AM$110:AM$114,$F20+1)+IF(AND($E20=1,JZ20=0),1000,0)+IF($H20=1,INDEX('calcA'!$D$180:$EQ$219,$B20,36)*500,0)-IF(AND('calcA'!AL$117=1,VJ20&gt;0),300,0)-IF(AND($U20=1,'calcA'!AM$117=1,EL20=0),300,0))),1000000000))</f>
        <v/>
      </c>
      <c r="PP20">
        <f>IF($B20=0,1000000000,IF(INDEX('calcA'!$D$60:$EQ$99,$B20,37)*IF($W20=1,EL20+ABA20,EL20)=1,IF(AND($E20=2,IF($W20=1,AGP20,KA20)=0),1000000000,IF($V20=1,INDEX('calcA'!$D$130:$EQ$169,$B20,37)+IF(AND($E20=1,KA20=0),25,0),INDEX('calcA'!AN$110:AN$114,$F20+1)+IF(AND($E20=1,KA20=0),1000,0)+IF($H20=1,INDEX('calcA'!$D$180:$EQ$219,$B20,37)*500,0)-IF(AND('calcA'!AM$117=1,VK20&gt;0),300,0)-IF(AND($U20=1,'calcA'!AN$117=1,EM20=0),300,0))),1000000000))</f>
        <v/>
      </c>
      <c r="PQ20">
        <f>IF($B20=0,1000000000,IF(INDEX('calcA'!$D$60:$EQ$99,$B20,38)*IF($W20=1,EM20+ABB20,EM20)=1,IF(AND($E20=2,IF($W20=1,AGQ20,KB20)=0),1000000000,IF($V20=1,INDEX('calcA'!$D$130:$EQ$169,$B20,38)+IF(AND($E20=1,KB20=0),25,0),INDEX('calcA'!AO$110:AO$114,$F20+1)+IF(AND($E20=1,KB20=0),1000,0)+IF($H20=1,INDEX('calcA'!$D$180:$EQ$219,$B20,38)*500,0)-IF(AND('calcA'!AN$117=1,VL20&gt;0),300,0)-IF(AND($U20=1,'calcA'!AO$117=1,EN20=0),300,0))),1000000000))</f>
        <v/>
      </c>
      <c r="PR20">
        <f>IF($B20=0,1000000000,IF(INDEX('calcA'!$D$60:$EQ$99,$B20,39)*IF($W20=1,EN20+ABC20,EN20)=1,IF(AND($E20=2,IF($W20=1,AGR20,KC20)=0),1000000000,IF($V20=1,INDEX('calcA'!$D$130:$EQ$169,$B20,39)+IF(AND($E20=1,KC20=0),25,0),INDEX('calcA'!AP$110:AP$114,$F20+1)+IF(AND($E20=1,KC20=0),1000,0)+IF($H20=1,INDEX('calcA'!$D$180:$EQ$219,$B20,39)*500,0)-IF(AND('calcA'!AO$117=1,VM20&gt;0),300,0)-IF(AND($U20=1,'calcA'!AP$117=1,EO20=0),300,0))),1000000000))</f>
        <v/>
      </c>
      <c r="PS20">
        <f>IF($B20=0,1000000000,IF(INDEX('calcA'!$D$60:$EQ$99,$B20,40)*IF($W20=1,EO20+ABD20,EO20)=1,IF(AND($E20=2,IF($W20=1,AGS20,KD20)=0),1000000000,IF($V20=1,INDEX('calcA'!$D$130:$EQ$169,$B20,40)+IF(AND($E20=1,KD20=0),25,0),INDEX('calcA'!AQ$110:AQ$114,$F20+1)+IF(AND($E20=1,KD20=0),1000,0)+IF($H20=1,INDEX('calcA'!$D$180:$EQ$219,$B20,40)*500,0)-IF(AND('calcA'!AP$117=1,VN20&gt;0),300,0)-IF(AND($U20=1,'calcA'!AQ$117=1,EP20=0),300,0))),1000000000))</f>
        <v/>
      </c>
      <c r="PT20">
        <f>IF($B20=0,1000000000,IF(INDEX('calcA'!$D$60:$EQ$99,$B20,41)*IF($W20=1,EP20+ABE20,EP20)=1,IF(AND($E20=2,IF($W20=1,AGT20,KE20)=0),1000000000,IF($V20=1,INDEX('calcA'!$D$130:$EQ$169,$B20,41)+IF(AND($E20=1,KE20=0),25,0),INDEX('calcA'!AR$110:AR$114,$F20+1)+IF(AND($E20=1,KE20=0),1000,0)+IF($H20=1,INDEX('calcA'!$D$180:$EQ$219,$B20,41)*500,0)-IF(AND('calcA'!AQ$117=1,VO20&gt;0),300,0)-IF(AND($U20=1,'calcA'!AR$117=1,EQ20=0),300,0))),1000000000))</f>
        <v/>
      </c>
      <c r="PU20">
        <f>IF($B20=0,1000000000,IF(INDEX('calcA'!$D$60:$EQ$99,$B20,42)*IF($W20=1,EQ20+ABF20,EQ20)=1,IF(AND($E20=2,IF($W20=1,AGU20,KF20)=0),1000000000,IF($V20=1,INDEX('calcA'!$D$130:$EQ$169,$B20,42)+IF(AND($E20=1,KF20=0),25,0),INDEX('calcA'!AS$110:AS$114,$F20+1)+IF(AND($E20=1,KF20=0),1000,0)+IF($H20=1,INDEX('calcA'!$D$180:$EQ$219,$B20,42)*500,0)-IF(AND('calcA'!AR$117=1,VP20&gt;0),300,0)-IF(AND($U20=1,'calcA'!AS$117=1,ER20=0),300,0))),1000000000))</f>
        <v/>
      </c>
      <c r="PV20">
        <f>IF($B20=0,1000000000,IF(INDEX('calcA'!$D$60:$EQ$99,$B20,43)*IF($W20=1,ER20+ABG20,ER20)=1,IF(AND($E20=2,IF($W20=1,AGV20,KG20)=0),1000000000,IF($V20=1,INDEX('calcA'!$D$130:$EQ$169,$B20,43)+IF(AND($E20=1,KG20=0),25,0),INDEX('calcA'!AT$110:AT$114,$F20+1)+IF(AND($E20=1,KG20=0),1000,0)+IF($H20=1,INDEX('calcA'!$D$180:$EQ$219,$B20,43)*500,0)-IF(AND('calcA'!AS$117=1,VQ20&gt;0),300,0)-IF(AND($U20=1,'calcA'!AT$117=1,ES20=0),300,0))),1000000000))</f>
        <v/>
      </c>
      <c r="PW20">
        <f>IF($B20=0,1000000000,IF(INDEX('calcA'!$D$60:$EQ$99,$B20,44)*IF($W20=1,ES20+ABH20,ES20)=1,IF(AND($E20=2,IF($W20=1,AGW20,KH20)=0),1000000000,IF($V20=1,INDEX('calcA'!$D$130:$EQ$169,$B20,44)+IF(AND($E20=1,KH20=0),25,0),INDEX('calcA'!AU$110:AU$114,$F20+1)+IF(AND($E20=1,KH20=0),1000,0)+IF($H20=1,INDEX('calcA'!$D$180:$EQ$219,$B20,44)*500,0)-IF(AND('calcA'!AT$117=1,VR20&gt;0),300,0)-IF(AND($U20=1,'calcA'!AU$117=1,ET20=0),300,0))),1000000000))</f>
        <v/>
      </c>
      <c r="PX20">
        <f>IF($B20=0,1000000000,IF(INDEX('calcA'!$D$60:$EQ$99,$B20,45)*IF($W20=1,ET20+ABI20,ET20)=1,IF(AND($E20=2,IF($W20=1,AGX20,KI20)=0),1000000000,IF($V20=1,INDEX('calcA'!$D$130:$EQ$169,$B20,45)+IF(AND($E20=1,KI20=0),25,0),INDEX('calcA'!AV$110:AV$114,$F20+1)+IF(AND($E20=1,KI20=0),1000,0)+IF($H20=1,INDEX('calcA'!$D$180:$EQ$219,$B20,45)*500,0)-IF(AND('calcA'!AU$117=1,VS20&gt;0),300,0)-IF(AND($U20=1,'calcA'!AV$117=1,EU20=0),300,0))),1000000000))</f>
        <v/>
      </c>
      <c r="PY20">
        <f>IF($B20=0,1000000000,IF(INDEX('calcA'!$D$60:$EQ$99,$B20,46)*IF($W20=1,EU20+ABJ20,EU20)=1,IF(AND($E20=2,IF($W20=1,AGY20,KJ20)=0),1000000000,IF($V20=1,INDEX('calcA'!$D$130:$EQ$169,$B20,46)+IF(AND($E20=1,KJ20=0),25,0),INDEX('calcA'!AW$110:AW$114,$F20+1)+IF(AND($E20=1,KJ20=0),1000,0)+IF($H20=1,INDEX('calcA'!$D$180:$EQ$219,$B20,46)*500,0)-IF(AND('calcA'!AV$117=1,VT20&gt;0),300,0)-IF(AND($U20=1,'calcA'!AW$117=1,EV20=0),300,0))),1000000000))</f>
        <v/>
      </c>
      <c r="PZ20">
        <f>IF($B20=0,1000000000,IF(INDEX('calcA'!$D$60:$EQ$99,$B20,47)*IF($W20=1,EV20+ABK20,EV20)=1,IF(AND($E20=2,IF($W20=1,AGZ20,KK20)=0),1000000000,IF($V20=1,INDEX('calcA'!$D$130:$EQ$169,$B20,47)+IF(AND($E20=1,KK20=0),25,0),INDEX('calcA'!AX$110:AX$114,$F20+1)+IF(AND($E20=1,KK20=0),1000,0)+IF($H20=1,INDEX('calcA'!$D$180:$EQ$219,$B20,47)*500,0)-IF(AND('calcA'!AW$117=1,VU20&gt;0),300,0)-IF(AND($U20=1,'calcA'!AX$117=1,EW20=0),300,0))),1000000000))</f>
        <v/>
      </c>
      <c r="QA20">
        <f>IF($B20=0,1000000000,IF(INDEX('calcA'!$D$60:$EQ$99,$B20,48)*IF($W20=1,EW20+ABL20,EW20)=1,IF(AND($E20=2,IF($W20=1,AHA20,KL20)=0),1000000000,IF($V20=1,INDEX('calcA'!$D$130:$EQ$169,$B20,48)+IF(AND($E20=1,KL20=0),25,0),INDEX('calcA'!AY$110:AY$114,$F20+1)+IF(AND($E20=1,KL20=0),1000,0)+IF($H20=1,INDEX('calcA'!$D$180:$EQ$219,$B20,48)*500,0)-IF(AND('calcA'!AX$117=1,VV20&gt;0),300,0))),1000000000))</f>
        <v/>
      </c>
      <c r="QB20">
        <f>IF($B20=0,1000000000,IF(INDEX('calcA'!$D$60:$EQ$99,$B20,49)*IF($W20=1,EX20+ABM20,EX20)=1,IF(AND($E20=2,IF($W20=1,AHB20,KM20)=0),1000000000,IF($V20=1,INDEX('calcA'!$D$130:$EQ$169,$B20,49)+IF(AND($E20=1,KM20=0),25,0),INDEX('calcA'!AZ$110:AZ$114,$F20+1)+IF(AND($E20=1,KM20=0),1000,0)+IF($H20=1,INDEX('calcA'!$D$180:$EQ$219,$B20,49)*500,0)-IF(AND($U20=1,'calcA'!AZ$117=1,EY20=0),300,0))),1000000000))</f>
        <v/>
      </c>
      <c r="QC20">
        <f>IF($B20=0,1000000000,IF(INDEX('calcA'!$D$60:$EQ$99,$B20,50)*IF($W20=1,EY20+ABN20,EY20)=1,IF(AND($E20=2,IF($W20=1,AHC20,KN20)=0),1000000000,IF($V20=1,INDEX('calcA'!$D$130:$EQ$169,$B20,50)+IF(AND($E20=1,KN20=0),25,0),INDEX('calcA'!BA$110:BA$114,$F20+1)+IF(AND($E20=1,KN20=0),1000,0)+IF($H20=1,INDEX('calcA'!$D$180:$EQ$219,$B20,50)*500,0)-IF(AND('calcA'!AZ$117=1,VX20&gt;0),300,0)-IF(AND($U20=1,'calcA'!BA$117=1,EZ20=0),300,0))),1000000000))</f>
        <v/>
      </c>
      <c r="QD20">
        <f>IF($B20=0,1000000000,IF(INDEX('calcA'!$D$60:$EQ$99,$B20,51)*IF($W20=1,EZ20+ABO20,EZ20)=1,IF(AND($E20=2,IF($W20=1,AHD20,KO20)=0),1000000000,IF($V20=1,INDEX('calcA'!$D$130:$EQ$169,$B20,51)+IF(AND($E20=1,KO20=0),25,0),INDEX('calcA'!BB$110:BB$114,$F20+1)+IF(AND($E20=1,KO20=0),1000,0)+IF($H20=1,INDEX('calcA'!$D$180:$EQ$219,$B20,51)*500,0)-IF(AND('calcA'!BA$117=1,VY20&gt;0),300,0)-IF(AND($U20=1,'calcA'!BB$117=1,FA20=0),300,0))),1000000000))</f>
        <v/>
      </c>
      <c r="QE20">
        <f>IF($B20=0,1000000000,IF(INDEX('calcA'!$D$60:$EQ$99,$B20,52)*IF($W20=1,FA20+ABP20,FA20)=1,IF(AND($E20=2,IF($W20=1,AHE20,KP20)=0),1000000000,IF($V20=1,INDEX('calcA'!$D$130:$EQ$169,$B20,52)+IF(AND($E20=1,KP20=0),25,0),INDEX('calcA'!BC$110:BC$114,$F20+1)+IF(AND($E20=1,KP20=0),1000,0)+IF($H20=1,INDEX('calcA'!$D$180:$EQ$219,$B20,52)*500,0)-IF(AND('calcA'!BB$117=1,VZ20&gt;0),300,0)-IF(AND($U20=1,'calcA'!BC$117=1,FB20=0),300,0))),1000000000))</f>
        <v/>
      </c>
      <c r="QF20">
        <f>IF($B20=0,1000000000,IF(INDEX('calcA'!$D$60:$EQ$99,$B20,53)*IF($W20=1,FB20+ABQ20,FB20)=1,IF(AND($E20=2,IF($W20=1,AHF20,KQ20)=0),1000000000,IF($V20=1,INDEX('calcA'!$D$130:$EQ$169,$B20,53)+IF(AND($E20=1,KQ20=0),25,0),INDEX('calcA'!BD$110:BD$114,$F20+1)+IF(AND($E20=1,KQ20=0),1000,0)+IF($H20=1,INDEX('calcA'!$D$180:$EQ$219,$B20,53)*500,0)-IF(AND('calcA'!BC$117=1,WA20&gt;0),300,0)-IF(AND($U20=1,'calcA'!BD$117=1,FC20=0),300,0))),1000000000))</f>
        <v/>
      </c>
      <c r="QG20">
        <f>IF($B20=0,1000000000,IF(INDEX('calcA'!$D$60:$EQ$99,$B20,54)*IF($W20=1,FC20+ABR20,FC20)=1,IF(AND($E20=2,IF($W20=1,AHG20,KR20)=0),1000000000,IF($V20=1,INDEX('calcA'!$D$130:$EQ$169,$B20,54)+IF(AND($E20=1,KR20=0),25,0),INDEX('calcA'!BE$110:BE$114,$F20+1)+IF(AND($E20=1,KR20=0),1000,0)+IF($H20=1,INDEX('calcA'!$D$180:$EQ$219,$B20,54)*500,0)-IF(AND('calcA'!BD$117=1,WB20&gt;0),300,0)-IF(AND($U20=1,'calcA'!BE$117=1,FD20=0),300,0))),1000000000))</f>
        <v/>
      </c>
      <c r="QH20">
        <f>IF($B20=0,1000000000,IF(INDEX('calcA'!$D$60:$EQ$99,$B20,55)*IF($W20=1,FD20+ABS20,FD20)=1,IF(AND($E20=2,IF($W20=1,AHH20,KS20)=0),1000000000,IF($V20=1,INDEX('calcA'!$D$130:$EQ$169,$B20,55)+IF(AND($E20=1,KS20=0),25,0),INDEX('calcA'!BF$110:BF$114,$F20+1)+IF(AND($E20=1,KS20=0),1000,0)+IF($H20=1,INDEX('calcA'!$D$180:$EQ$219,$B20,55)*500,0)-IF(AND('calcA'!BE$117=1,WC20&gt;0),300,0)-IF(AND($U20=1,'calcA'!BF$117=1,FE20=0),300,0))),1000000000))</f>
        <v/>
      </c>
      <c r="QI20">
        <f>IF($B20=0,1000000000,IF(INDEX('calcA'!$D$60:$EQ$99,$B20,56)*IF($W20=1,FE20+ABT20,FE20)=1,IF(AND($E20=2,IF($W20=1,AHI20,KT20)=0),1000000000,IF($V20=1,INDEX('calcA'!$D$130:$EQ$169,$B20,56)+IF(AND($E20=1,KT20=0),25,0),INDEX('calcA'!BG$110:BG$114,$F20+1)+IF(AND($E20=1,KT20=0),1000,0)+IF($H20=1,INDEX('calcA'!$D$180:$EQ$219,$B20,56)*500,0)-IF(AND('calcA'!BF$117=1,WD20&gt;0),300,0)-IF(AND($U20=1,'calcA'!BG$117=1,FF20=0),300,0))),1000000000))</f>
        <v/>
      </c>
      <c r="QJ20">
        <f>IF($B20=0,1000000000,IF(INDEX('calcA'!$D$60:$EQ$99,$B20,57)*IF($W20=1,FF20+ABU20,FF20)=1,IF(AND($E20=2,IF($W20=1,AHJ20,KU20)=0),1000000000,IF($V20=1,INDEX('calcA'!$D$130:$EQ$169,$B20,57)+IF(AND($E20=1,KU20=0),25,0),INDEX('calcA'!BH$110:BH$114,$F20+1)+IF(AND($E20=1,KU20=0),1000,0)+IF($H20=1,INDEX('calcA'!$D$180:$EQ$219,$B20,57)*500,0)-IF(AND('calcA'!BG$117=1,WE20&gt;0),300,0)-IF(AND($U20=1,'calcA'!BH$117=1,FG20=0),300,0))),1000000000))</f>
        <v/>
      </c>
      <c r="QK20">
        <f>IF($B20=0,1000000000,IF(INDEX('calcA'!$D$60:$EQ$99,$B20,58)*IF($W20=1,FG20+ABV20,FG20)=1,IF(AND($E20=2,IF($W20=1,AHK20,KV20)=0),1000000000,IF($V20=1,INDEX('calcA'!$D$130:$EQ$169,$B20,58)+IF(AND($E20=1,KV20=0),25,0),INDEX('calcA'!BI$110:BI$114,$F20+1)+IF(AND($E20=1,KV20=0),1000,0)+IF($H20=1,INDEX('calcA'!$D$180:$EQ$219,$B20,58)*500,0)-IF(AND('calcA'!BH$117=1,WF20&gt;0),300,0)-IF(AND($U20=1,'calcA'!BI$117=1,FH20=0),300,0))),1000000000))</f>
        <v/>
      </c>
      <c r="QL20">
        <f>IF($B20=0,1000000000,IF(INDEX('calcA'!$D$60:$EQ$99,$B20,59)*IF($W20=1,FH20+ABW20,FH20)=1,IF(AND($E20=2,IF($W20=1,AHL20,KW20)=0),1000000000,IF($V20=1,INDEX('calcA'!$D$130:$EQ$169,$B20,59)+IF(AND($E20=1,KW20=0),25,0),INDEX('calcA'!BJ$110:BJ$114,$F20+1)+IF(AND($E20=1,KW20=0),1000,0)+IF($H20=1,INDEX('calcA'!$D$180:$EQ$219,$B20,59)*500,0)-IF(AND('calcA'!BI$117=1,WG20&gt;0),300,0)-IF(AND($U20=1,'calcA'!BJ$117=1,FI20=0),300,0))),1000000000))</f>
        <v/>
      </c>
      <c r="QM20">
        <f>IF($B20=0,1000000000,IF(INDEX('calcA'!$D$60:$EQ$99,$B20,60)*IF($W20=1,FI20+ABX20,FI20)=1,IF(AND($E20=2,IF($W20=1,AHM20,KX20)=0),1000000000,IF($V20=1,INDEX('calcA'!$D$130:$EQ$169,$B20,60)+IF(AND($E20=1,KX20=0),25,0),INDEX('calcA'!BK$110:BK$114,$F20+1)+IF(AND($E20=1,KX20=0),1000,0)+IF($H20=1,INDEX('calcA'!$D$180:$EQ$219,$B20,60)*500,0)-IF(AND('calcA'!BJ$117=1,WH20&gt;0),300,0)-IF(AND($U20=1,'calcA'!BK$117=1,FJ20=0),300,0))),1000000000))</f>
        <v/>
      </c>
      <c r="QN20">
        <f>IF($B20=0,1000000000,IF(INDEX('calcA'!$D$60:$EQ$99,$B20,61)*IF($W20=1,FJ20+ABY20,FJ20)=1,IF(AND($E20=2,IF($W20=1,AHN20,KY20)=0),1000000000,IF($V20=1,INDEX('calcA'!$D$130:$EQ$169,$B20,61)+IF(AND($E20=1,KY20=0),25,0),INDEX('calcA'!BL$110:BL$114,$F20+1)+IF(AND($E20=1,KY20=0),1000,0)+IF($H20=1,INDEX('calcA'!$D$180:$EQ$219,$B20,61)*500,0)-IF(AND('calcA'!BK$117=1,WI20&gt;0),300,0)-IF(AND($U20=1,'calcA'!BL$117=1,FK20=0),300,0))),1000000000))</f>
        <v/>
      </c>
      <c r="QO20">
        <f>IF($B20=0,1000000000,IF(INDEX('calcA'!$D$60:$EQ$99,$B20,62)*IF($W20=1,FK20+ABZ20,FK20)=1,IF(AND($E20=2,IF($W20=1,AHO20,KZ20)=0),1000000000,IF($V20=1,INDEX('calcA'!$D$130:$EQ$169,$B20,62)+IF(AND($E20=1,KZ20=0),25,0),INDEX('calcA'!BM$110:BM$114,$F20+1)+IF(AND($E20=1,KZ20=0),1000,0)+IF($H20=1,INDEX('calcA'!$D$180:$EQ$219,$B20,62)*500,0)-IF(AND('calcA'!BL$117=1,WJ20&gt;0),300,0)-IF(AND($U20=1,'calcA'!BM$117=1,FL20=0),300,0))),1000000000))</f>
        <v/>
      </c>
      <c r="QP20">
        <f>IF($B20=0,1000000000,IF(INDEX('calcA'!$D$60:$EQ$99,$B20,63)*IF($W20=1,FL20+ACA20,FL20)=1,IF(AND($E20=2,IF($W20=1,AHP20,LA20)=0),1000000000,IF($V20=1,INDEX('calcA'!$D$130:$EQ$169,$B20,63)+IF(AND($E20=1,LA20=0),25,0),INDEX('calcA'!BN$110:BN$114,$F20+1)+IF(AND($E20=1,LA20=0),1000,0)+IF($H20=1,INDEX('calcA'!$D$180:$EQ$219,$B20,63)*500,0)-IF(AND('calcA'!BM$117=1,WK20&gt;0),300,0)-IF(AND($U20=1,'calcA'!BN$117=1,FM20=0),300,0))),1000000000))</f>
        <v/>
      </c>
      <c r="QQ20">
        <f>IF($B20=0,1000000000,IF(INDEX('calcA'!$D$60:$EQ$99,$B20,64)*IF($W20=1,FM20+ACB20,FM20)=1,IF(AND($E20=2,IF($W20=1,AHQ20,LB20)=0),1000000000,IF($V20=1,INDEX('calcA'!$D$130:$EQ$169,$B20,64)+IF(AND($E20=1,LB20=0),25,0),INDEX('calcA'!BO$110:BO$114,$F20+1)+IF(AND($E20=1,LB20=0),1000,0)+IF($H20=1,INDEX('calcA'!$D$180:$EQ$219,$B20,64)*500,0)-IF(AND('calcA'!BN$117=1,WL20&gt;0),300,0)-IF(AND($U20=1,'calcA'!BO$117=1,FN20=0),300,0))),1000000000))</f>
        <v/>
      </c>
      <c r="QR20">
        <f>IF($B20=0,1000000000,IF(INDEX('calcA'!$D$60:$EQ$99,$B20,65)*IF($W20=1,FN20+ACC20,FN20)=1,IF(AND($E20=2,IF($W20=1,AHR20,LC20)=0),1000000000,IF($V20=1,INDEX('calcA'!$D$130:$EQ$169,$B20,65)+IF(AND($E20=1,LC20=0),25,0),INDEX('calcA'!BP$110:BP$114,$F20+1)+IF(AND($E20=1,LC20=0),1000,0)+IF($H20=1,INDEX('calcA'!$D$180:$EQ$219,$B20,65)*500,0)-IF(AND('calcA'!BO$117=1,WM20&gt;0),300,0)-IF(AND($U20=1,'calcA'!BP$117=1,FO20=0),300,0))),1000000000))</f>
        <v/>
      </c>
      <c r="QS20">
        <f>IF($B20=0,1000000000,IF(INDEX('calcA'!$D$60:$EQ$99,$B20,66)*IF($W20=1,FO20+ACD20,FO20)=1,IF(AND($E20=2,IF($W20=1,AHS20,LD20)=0),1000000000,IF($V20=1,INDEX('calcA'!$D$130:$EQ$169,$B20,66)+IF(AND($E20=1,LD20=0),25,0),INDEX('calcA'!BQ$110:BQ$114,$F20+1)+IF(AND($E20=1,LD20=0),1000,0)+IF($H20=1,INDEX('calcA'!$D$180:$EQ$219,$B20,66)*500,0)-IF(AND('calcA'!BP$117=1,WN20&gt;0),300,0)-IF(AND($U20=1,'calcA'!BQ$117=1,FP20=0),300,0))),1000000000))</f>
        <v/>
      </c>
      <c r="QT20">
        <f>IF($B20=0,1000000000,IF(INDEX('calcA'!$D$60:$EQ$99,$B20,67)*IF($W20=1,FP20+ACE20,FP20)=1,IF(AND($E20=2,IF($W20=1,AHT20,LE20)=0),1000000000,IF($V20=1,INDEX('calcA'!$D$130:$EQ$169,$B20,67)+IF(AND($E20=1,LE20=0),25,0),INDEX('calcA'!BR$110:BR$114,$F20+1)+IF(AND($E20=1,LE20=0),1000,0)+IF($H20=1,INDEX('calcA'!$D$180:$EQ$219,$B20,67)*500,0)-IF(AND('calcA'!BQ$117=1,WO20&gt;0),300,0)-IF(AND($U20=1,'calcA'!BR$117=1,FQ20=0),300,0))),1000000000))</f>
        <v/>
      </c>
      <c r="QU20">
        <f>IF($B20=0,1000000000,IF(INDEX('calcA'!$D$60:$EQ$99,$B20,68)*IF($W20=1,FQ20+ACF20,FQ20)=1,IF(AND($E20=2,IF($W20=1,AHU20,LF20)=0),1000000000,IF($V20=1,INDEX('calcA'!$D$130:$EQ$169,$B20,68)+IF(AND($E20=1,LF20=0),25,0),INDEX('calcA'!BS$110:BS$114,$F20+1)+IF(AND($E20=1,LF20=0),1000,0)+IF($H20=1,INDEX('calcA'!$D$180:$EQ$219,$B20,68)*500,0)-IF(AND('calcA'!BR$117=1,WP20&gt;0),300,0)-IF(AND($U20=1,'calcA'!BS$117=1,FR20=0),300,0))),1000000000))</f>
        <v/>
      </c>
      <c r="QV20">
        <f>IF($B20=0,1000000000,IF(INDEX('calcA'!$D$60:$EQ$99,$B20,69)*IF($W20=1,FR20+ACG20,FR20)=1,IF(AND($E20=2,IF($W20=1,AHV20,LG20)=0),1000000000,IF($V20=1,INDEX('calcA'!$D$130:$EQ$169,$B20,69)+IF(AND($E20=1,LG20=0),25,0),INDEX('calcA'!BT$110:BT$114,$F20+1)+IF(AND($E20=1,LG20=0),1000,0)+IF($H20=1,INDEX('calcA'!$D$180:$EQ$219,$B20,69)*500,0)-IF(AND('calcA'!BS$117=1,WQ20&gt;0),300,0)-IF(AND($U20=1,'calcA'!BT$117=1,FS20=0),300,0))),1000000000))</f>
        <v/>
      </c>
      <c r="QW20">
        <f>IF($B20=0,1000000000,IF(INDEX('calcA'!$D$60:$EQ$99,$B20,70)*IF($W20=1,FS20+ACH20,FS20)=1,IF(AND($E20=2,IF($W20=1,AHW20,LH20)=0),1000000000,IF($V20=1,INDEX('calcA'!$D$130:$EQ$169,$B20,70)+IF(AND($E20=1,LH20=0),25,0),INDEX('calcA'!BU$110:BU$114,$F20+1)+IF(AND($E20=1,LH20=0),1000,0)+IF($H20=1,INDEX('calcA'!$D$180:$EQ$219,$B20,70)*500,0)-IF(AND('calcA'!BT$117=1,WR20&gt;0),300,0)-IF(AND($U20=1,'calcA'!BU$117=1,FT20=0),300,0))),1000000000))</f>
        <v/>
      </c>
      <c r="QX20">
        <f>IF($B20=0,1000000000,IF(INDEX('calcA'!$D$60:$EQ$99,$B20,71)*IF($W20=1,FT20+ACI20,FT20)=1,IF(AND($E20=2,IF($W20=1,AHX20,LI20)=0),1000000000,IF($V20=1,INDEX('calcA'!$D$130:$EQ$169,$B20,71)+IF(AND($E20=1,LI20=0),25,0),INDEX('calcA'!BV$110:BV$114,$F20+1)+IF(AND($E20=1,LI20=0),1000,0)+IF($H20=1,INDEX('calcA'!$D$180:$EQ$219,$B20,71)*500,0)-IF(AND('calcA'!BU$117=1,WS20&gt;0),300,0)-IF(AND($U20=1,'calcA'!BV$117=1,FU20=0),300,0))),1000000000))</f>
        <v/>
      </c>
      <c r="QY20">
        <f>IF($B20=0,1000000000,IF(INDEX('calcA'!$D$60:$EQ$99,$B20,72)*IF($W20=1,FU20+ACJ20,FU20)=1,IF(AND($E20=2,IF($W20=1,AHY20,LJ20)=0),1000000000,IF($V20=1,INDEX('calcA'!$D$130:$EQ$169,$B20,72)+IF(AND($E20=1,LJ20=0),25,0),INDEX('calcA'!BW$110:BW$114,$F20+1)+IF(AND($E20=1,LJ20=0),1000,0)+IF($H20=1,INDEX('calcA'!$D$180:$EQ$219,$B20,72)*500,0)-IF(AND('calcA'!BV$117=1,WT20&gt;0),300,0))),1000000000))</f>
        <v/>
      </c>
      <c r="QZ20">
        <f>IF($B20=0,1000000000,IF(INDEX('calcA'!$D$60:$EQ$99,$B20,73)*IF($W20=1,FV20+ACK20,FV20)=1,IF(AND($E20=2,IF($W20=1,AHZ20,LK20)=0),1000000000,IF($V20=1,INDEX('calcA'!$D$130:$EQ$169,$B20,73)+IF(AND($E20=1,LK20=0),25,0),INDEX('calcA'!BX$110:BX$114,$F20+1)+IF(AND($E20=1,LK20=0),1000,0)+IF($H20=1,INDEX('calcA'!$D$180:$EQ$219,$B20,73)*500,0)-IF(AND($U20=1,'calcA'!BX$117=1,FW20=0),300,0))),1000000000))</f>
        <v/>
      </c>
      <c r="RA20">
        <f>IF($B20=0,1000000000,IF(INDEX('calcA'!$D$60:$EQ$99,$B20,74)*IF($W20=1,FW20+ACL20,FW20)=1,IF(AND($E20=2,IF($W20=1,AIA20,LL20)=0),1000000000,IF($V20=1,INDEX('calcA'!$D$130:$EQ$169,$B20,74)+IF(AND($E20=1,LL20=0),25,0),INDEX('calcA'!BY$110:BY$114,$F20+1)+IF(AND($E20=1,LL20=0),1000,0)+IF($H20=1,INDEX('calcA'!$D$180:$EQ$219,$B20,74)*500,0)-IF(AND('calcA'!BX$117=1,WV20&gt;0),300,0)-IF(AND($U20=1,'calcA'!BY$117=1,FX20=0),300,0))),1000000000))</f>
        <v/>
      </c>
      <c r="RB20">
        <f>IF($B20=0,1000000000,IF(INDEX('calcA'!$D$60:$EQ$99,$B20,75)*IF($W20=1,FX20+ACM20,FX20)=1,IF(AND($E20=2,IF($W20=1,AIB20,LM20)=0),1000000000,IF($V20=1,INDEX('calcA'!$D$130:$EQ$169,$B20,75)+IF(AND($E20=1,LM20=0),25,0),INDEX('calcA'!BZ$110:BZ$114,$F20+1)+IF(AND($E20=1,LM20=0),1000,0)+IF($H20=1,INDEX('calcA'!$D$180:$EQ$219,$B20,75)*500,0)-IF(AND('calcA'!BY$117=1,WW20&gt;0),300,0)-IF(AND($U20=1,'calcA'!BZ$117=1,FY20=0),300,0))),1000000000))</f>
        <v/>
      </c>
      <c r="RC20">
        <f>IF($B20=0,1000000000,IF(INDEX('calcA'!$D$60:$EQ$99,$B20,76)*IF($W20=1,FY20+ACN20,FY20)=1,IF(AND($E20=2,IF($W20=1,AIC20,LN20)=0),1000000000,IF($V20=1,INDEX('calcA'!$D$130:$EQ$169,$B20,76)+IF(AND($E20=1,LN20=0),25,0),INDEX('calcA'!CA$110:CA$114,$F20+1)+IF(AND($E20=1,LN20=0),1000,0)+IF($H20=1,INDEX('calcA'!$D$180:$EQ$219,$B20,76)*500,0)-IF(AND('calcA'!BZ$117=1,WX20&gt;0),300,0)-IF(AND($U20=1,'calcA'!CA$117=1,FZ20=0),300,0))),1000000000))</f>
        <v/>
      </c>
      <c r="RD20">
        <f>IF($B20=0,1000000000,IF(INDEX('calcA'!$D$60:$EQ$99,$B20,77)*IF($W20=1,FZ20+ACO20,FZ20)=1,IF(AND($E20=2,IF($W20=1,AID20,LO20)=0),1000000000,IF($V20=1,INDEX('calcA'!$D$130:$EQ$169,$B20,77)+IF(AND($E20=1,LO20=0),25,0),INDEX('calcA'!CB$110:CB$114,$F20+1)+IF(AND($E20=1,LO20=0),1000,0)+IF($H20=1,INDEX('calcA'!$D$180:$EQ$219,$B20,77)*500,0)-IF(AND('calcA'!CA$117=1,WY20&gt;0),300,0)-IF(AND($U20=1,'calcA'!CB$117=1,GA20=0),300,0))),1000000000))</f>
        <v/>
      </c>
      <c r="RE20">
        <f>IF($B20=0,1000000000,IF(INDEX('calcA'!$D$60:$EQ$99,$B20,78)*IF($W20=1,GA20+ACP20,GA20)=1,IF(AND($E20=2,IF($W20=1,AIE20,LP20)=0),1000000000,IF($V20=1,INDEX('calcA'!$D$130:$EQ$169,$B20,78)+IF(AND($E20=1,LP20=0),25,0),INDEX('calcA'!CC$110:CC$114,$F20+1)+IF(AND($E20=1,LP20=0),1000,0)+IF($H20=1,INDEX('calcA'!$D$180:$EQ$219,$B20,78)*500,0)-IF(AND('calcA'!CB$117=1,WZ20&gt;0),300,0)-IF(AND($U20=1,'calcA'!CC$117=1,GB20=0),300,0))),1000000000))</f>
        <v/>
      </c>
      <c r="RF20">
        <f>IF($B20=0,1000000000,IF(INDEX('calcA'!$D$60:$EQ$99,$B20,79)*IF($W20=1,GB20+ACQ20,GB20)=1,IF(AND($E20=2,IF($W20=1,AIF20,LQ20)=0),1000000000,IF($V20=1,INDEX('calcA'!$D$130:$EQ$169,$B20,79)+IF(AND($E20=1,LQ20=0),25,0),INDEX('calcA'!CD$110:CD$114,$F20+1)+IF(AND($E20=1,LQ20=0),1000,0)+IF($H20=1,INDEX('calcA'!$D$180:$EQ$219,$B20,79)*500,0)-IF(AND('calcA'!CC$117=1,XA20&gt;0),300,0)-IF(AND($U20=1,'calcA'!CD$117=1,GC20=0),300,0))),1000000000))</f>
        <v/>
      </c>
      <c r="RG20">
        <f>IF($B20=0,1000000000,IF(INDEX('calcA'!$D$60:$EQ$99,$B20,80)*IF($W20=1,GC20+ACR20,GC20)=1,IF(AND($E20=2,IF($W20=1,AIG20,LR20)=0),1000000000,IF($V20=1,INDEX('calcA'!$D$130:$EQ$169,$B20,80)+IF(AND($E20=1,LR20=0),25,0),INDEX('calcA'!CE$110:CE$114,$F20+1)+IF(AND($E20=1,LR20=0),1000,0)+IF($H20=1,INDEX('calcA'!$D$180:$EQ$219,$B20,80)*500,0)-IF(AND('calcA'!CD$117=1,XB20&gt;0),300,0)-IF(AND($U20=1,'calcA'!CE$117=1,GD20=0),300,0))),1000000000))</f>
        <v/>
      </c>
      <c r="RH20">
        <f>IF($B20=0,1000000000,IF(INDEX('calcA'!$D$60:$EQ$99,$B20,81)*IF($W20=1,GD20+ACS20,GD20)=1,IF(AND($E20=2,IF($W20=1,AIH20,LS20)=0),1000000000,IF($V20=1,INDEX('calcA'!$D$130:$EQ$169,$B20,81)+IF(AND($E20=1,LS20=0),25,0),INDEX('calcA'!CF$110:CF$114,$F20+1)+IF(AND($E20=1,LS20=0),1000,0)+IF($H20=1,INDEX('calcA'!$D$180:$EQ$219,$B20,81)*500,0)-IF(AND('calcA'!CE$117=1,XC20&gt;0),300,0)-IF(AND($U20=1,'calcA'!CF$117=1,GE20=0),300,0))),1000000000))</f>
        <v/>
      </c>
      <c r="RI20">
        <f>IF($B20=0,1000000000,IF(INDEX('calcA'!$D$60:$EQ$99,$B20,82)*IF($W20=1,GE20+ACT20,GE20)=1,IF(AND($E20=2,IF($W20=1,AII20,LT20)=0),1000000000,IF($V20=1,INDEX('calcA'!$D$130:$EQ$169,$B20,82)+IF(AND($E20=1,LT20=0),25,0),INDEX('calcA'!CG$110:CG$114,$F20+1)+IF(AND($E20=1,LT20=0),1000,0)+IF($H20=1,INDEX('calcA'!$D$180:$EQ$219,$B20,82)*500,0)-IF(AND('calcA'!CF$117=1,XD20&gt;0),300,0)-IF(AND($U20=1,'calcA'!CG$117=1,GF20=0),300,0))),1000000000))</f>
        <v/>
      </c>
      <c r="RJ20">
        <f>IF($B20=0,1000000000,IF(INDEX('calcA'!$D$60:$EQ$99,$B20,83)*IF($W20=1,GF20+ACU20,GF20)=1,IF(AND($E20=2,IF($W20=1,AIJ20,LU20)=0),1000000000,IF($V20=1,INDEX('calcA'!$D$130:$EQ$169,$B20,83)+IF(AND($E20=1,LU20=0),25,0),INDEX('calcA'!CH$110:CH$114,$F20+1)+IF(AND($E20=1,LU20=0),1000,0)+IF($H20=1,INDEX('calcA'!$D$180:$EQ$219,$B20,83)*500,0)-IF(AND('calcA'!CG$117=1,XE20&gt;0),300,0)-IF(AND($U20=1,'calcA'!CH$117=1,GG20=0),300,0))),1000000000))</f>
        <v/>
      </c>
      <c r="RK20">
        <f>IF($B20=0,1000000000,IF(INDEX('calcA'!$D$60:$EQ$99,$B20,84)*IF($W20=1,GG20+ACV20,GG20)=1,IF(AND($E20=2,IF($W20=1,AIK20,LV20)=0),1000000000,IF($V20=1,INDEX('calcA'!$D$130:$EQ$169,$B20,84)+IF(AND($E20=1,LV20=0),25,0),INDEX('calcA'!CI$110:CI$114,$F20+1)+IF(AND($E20=1,LV20=0),1000,0)+IF($H20=1,INDEX('calcA'!$D$180:$EQ$219,$B20,84)*500,0)-IF(AND('calcA'!CH$117=1,XF20&gt;0),300,0)-IF(AND($U20=1,'calcA'!CI$117=1,GH20=0),300,0))),1000000000))</f>
        <v/>
      </c>
      <c r="RL20">
        <f>IF($B20=0,1000000000,IF(INDEX('calcA'!$D$60:$EQ$99,$B20,85)*IF($W20=1,GH20+ACW20,GH20)=1,IF(AND($E20=2,IF($W20=1,AIL20,LW20)=0),1000000000,IF($V20=1,INDEX('calcA'!$D$130:$EQ$169,$B20,85)+IF(AND($E20=1,LW20=0),25,0),INDEX('calcA'!CJ$110:CJ$114,$F20+1)+IF(AND($E20=1,LW20=0),1000,0)+IF($H20=1,INDEX('calcA'!$D$180:$EQ$219,$B20,85)*500,0)-IF(AND('calcA'!CI$117=1,XG20&gt;0),300,0)-IF(AND($U20=1,'calcA'!CJ$117=1,GI20=0),300,0))),1000000000))</f>
        <v/>
      </c>
      <c r="RM20">
        <f>IF($B20=0,1000000000,IF(INDEX('calcA'!$D$60:$EQ$99,$B20,86)*IF($W20=1,GI20+ACX20,GI20)=1,IF(AND($E20=2,IF($W20=1,AIM20,LX20)=0),1000000000,IF($V20=1,INDEX('calcA'!$D$130:$EQ$169,$B20,86)+IF(AND($E20=1,LX20=0),25,0),INDEX('calcA'!CK$110:CK$114,$F20+1)+IF(AND($E20=1,LX20=0),1000,0)+IF($H20=1,INDEX('calcA'!$D$180:$EQ$219,$B20,86)*500,0)-IF(AND('calcA'!CJ$117=1,XH20&gt;0),300,0)-IF(AND($U20=1,'calcA'!CK$117=1,GJ20=0),300,0))),1000000000))</f>
        <v/>
      </c>
      <c r="RN20">
        <f>IF($B20=0,1000000000,IF(INDEX('calcA'!$D$60:$EQ$99,$B20,87)*IF($W20=1,GJ20+ACY20,GJ20)=1,IF(AND($E20=2,IF($W20=1,AIN20,LY20)=0),1000000000,IF($V20=1,INDEX('calcA'!$D$130:$EQ$169,$B20,87)+IF(AND($E20=1,LY20=0),25,0),INDEX('calcA'!CL$110:CL$114,$F20+1)+IF(AND($E20=1,LY20=0),1000,0)+IF($H20=1,INDEX('calcA'!$D$180:$EQ$219,$B20,87)*500,0)-IF(AND('calcA'!CK$117=1,XI20&gt;0),300,0)-IF(AND($U20=1,'calcA'!CL$117=1,GK20=0),300,0))),1000000000))</f>
        <v/>
      </c>
      <c r="RO20">
        <f>IF($B20=0,1000000000,IF(INDEX('calcA'!$D$60:$EQ$99,$B20,88)*IF($W20=1,GK20+ACZ20,GK20)=1,IF(AND($E20=2,IF($W20=1,AIO20,LZ20)=0),1000000000,IF($V20=1,INDEX('calcA'!$D$130:$EQ$169,$B20,88)+IF(AND($E20=1,LZ20=0),25,0),INDEX('calcA'!CM$110:CM$114,$F20+1)+IF(AND($E20=1,LZ20=0),1000,0)+IF($H20=1,INDEX('calcA'!$D$180:$EQ$219,$B20,88)*500,0)-IF(AND('calcA'!CL$117=1,XJ20&gt;0),300,0)-IF(AND($U20=1,'calcA'!CM$117=1,GL20=0),300,0))),1000000000))</f>
        <v/>
      </c>
      <c r="RP20">
        <f>IF($B20=0,1000000000,IF(INDEX('calcA'!$D$60:$EQ$99,$B20,89)*IF($W20=1,GL20+ADA20,GL20)=1,IF(AND($E20=2,IF($W20=1,AIP20,MA20)=0),1000000000,IF($V20=1,INDEX('calcA'!$D$130:$EQ$169,$B20,89)+IF(AND($E20=1,MA20=0),25,0),INDEX('calcA'!CN$110:CN$114,$F20+1)+IF(AND($E20=1,MA20=0),1000,0)+IF($H20=1,INDEX('calcA'!$D$180:$EQ$219,$B20,89)*500,0)-IF(AND('calcA'!CM$117=1,XK20&gt;0),300,0)-IF(AND($U20=1,'calcA'!CN$117=1,GM20=0),300,0))),1000000000))</f>
        <v/>
      </c>
      <c r="RQ20">
        <f>IF($B20=0,1000000000,IF(INDEX('calcA'!$D$60:$EQ$99,$B20,90)*IF($W20=1,GM20+ADB20,GM20)=1,IF(AND($E20=2,IF($W20=1,AIQ20,MB20)=0),1000000000,IF($V20=1,INDEX('calcA'!$D$130:$EQ$169,$B20,90)+IF(AND($E20=1,MB20=0),25,0),INDEX('calcA'!CO$110:CO$114,$F20+1)+IF(AND($E20=1,MB20=0),1000,0)+IF($H20=1,INDEX('calcA'!$D$180:$EQ$219,$B20,90)*500,0)-IF(AND('calcA'!CN$117=1,XL20&gt;0),300,0)-IF(AND($U20=1,'calcA'!CO$117=1,GN20=0),300,0))),1000000000))</f>
        <v/>
      </c>
      <c r="RR20">
        <f>IF($B20=0,1000000000,IF(INDEX('calcA'!$D$60:$EQ$99,$B20,91)*IF($W20=1,GN20+ADC20,GN20)=1,IF(AND($E20=2,IF($W20=1,AIR20,MC20)=0),1000000000,IF($V20=1,INDEX('calcA'!$D$130:$EQ$169,$B20,91)+IF(AND($E20=1,MC20=0),25,0),INDEX('calcA'!CP$110:CP$114,$F20+1)+IF(AND($E20=1,MC20=0),1000,0)+IF($H20=1,INDEX('calcA'!$D$180:$EQ$219,$B20,91)*500,0)-IF(AND('calcA'!CO$117=1,XM20&gt;0),300,0)-IF(AND($U20=1,'calcA'!CP$117=1,GO20=0),300,0))),1000000000))</f>
        <v/>
      </c>
      <c r="RS20">
        <f>IF($B20=0,1000000000,IF(INDEX('calcA'!$D$60:$EQ$99,$B20,92)*IF($W20=1,GO20+ADD20,GO20)=1,IF(AND($E20=2,IF($W20=1,AIS20,MD20)=0),1000000000,IF($V20=1,INDEX('calcA'!$D$130:$EQ$169,$B20,92)+IF(AND($E20=1,MD20=0),25,0),INDEX('calcA'!CQ$110:CQ$114,$F20+1)+IF(AND($E20=1,MD20=0),1000,0)+IF($H20=1,INDEX('calcA'!$D$180:$EQ$219,$B20,92)*500,0)-IF(AND('calcA'!CP$117=1,XN20&gt;0),300,0)-IF(AND($U20=1,'calcA'!CQ$117=1,GP20=0),300,0))),1000000000))</f>
        <v/>
      </c>
      <c r="RT20">
        <f>IF($B20=0,1000000000,IF(INDEX('calcA'!$D$60:$EQ$99,$B20,93)*IF($W20=1,GP20+ADE20,GP20)=1,IF(AND($E20=2,IF($W20=1,AIT20,ME20)=0),1000000000,IF($V20=1,INDEX('calcA'!$D$130:$EQ$169,$B20,93)+IF(AND($E20=1,ME20=0),25,0),INDEX('calcA'!CR$110:CR$114,$F20+1)+IF(AND($E20=1,ME20=0),1000,0)+IF($H20=1,INDEX('calcA'!$D$180:$EQ$219,$B20,93)*500,0)-IF(AND('calcA'!CQ$117=1,XO20&gt;0),300,0)-IF(AND($U20=1,'calcA'!CR$117=1,GQ20=0),300,0))),1000000000))</f>
        <v/>
      </c>
      <c r="RU20">
        <f>IF($B20=0,1000000000,IF(INDEX('calcA'!$D$60:$EQ$99,$B20,94)*IF($W20=1,GQ20+ADF20,GQ20)=1,IF(AND($E20=2,IF($W20=1,AIU20,MF20)=0),1000000000,IF($V20=1,INDEX('calcA'!$D$130:$EQ$169,$B20,94)+IF(AND($E20=1,MF20=0),25,0),INDEX('calcA'!CS$110:CS$114,$F20+1)+IF(AND($E20=1,MF20=0),1000,0)+IF($H20=1,INDEX('calcA'!$D$180:$EQ$219,$B20,94)*500,0)-IF(AND('calcA'!CR$117=1,XP20&gt;0),300,0)-IF(AND($U20=1,'calcA'!CS$117=1,GR20=0),300,0))),1000000000))</f>
        <v/>
      </c>
      <c r="RV20">
        <f>IF($B20=0,1000000000,IF(INDEX('calcA'!$D$60:$EQ$99,$B20,95)*IF($W20=1,GR20+ADG20,GR20)=1,IF(AND($E20=2,IF($W20=1,AIV20,MG20)=0),1000000000,IF($V20=1,INDEX('calcA'!$D$130:$EQ$169,$B20,95)+IF(AND($E20=1,MG20=0),25,0),INDEX('calcA'!CT$110:CT$114,$F20+1)+IF(AND($E20=1,MG20=0),1000,0)+IF($H20=1,INDEX('calcA'!$D$180:$EQ$219,$B20,95)*500,0)-IF(AND('calcA'!CS$117=1,XQ20&gt;0),300,0)-IF(AND($U20=1,'calcA'!CT$117=1,GS20=0),300,0))),1000000000))</f>
        <v/>
      </c>
      <c r="RW20">
        <f>IF($B20=0,1000000000,IF(INDEX('calcA'!$D$60:$EQ$99,$B20,96)*IF($W20=1,GS20+ADH20,GS20)=1,IF(AND($E20=2,IF($W20=1,AIW20,MH20)=0),1000000000,IF($V20=1,INDEX('calcA'!$D$130:$EQ$169,$B20,96)+IF(AND($E20=1,MH20=0),25,0),INDEX('calcA'!CU$110:CU$114,$F20+1)+IF(AND($E20=1,MH20=0),1000,0)+IF($H20=1,INDEX('calcA'!$D$180:$EQ$219,$B20,96)*500,0)-IF(AND('calcA'!CT$117=1,XR20&gt;0),300,0))),1000000000))</f>
        <v/>
      </c>
      <c r="RX20">
        <f>IF($B20=0,1000000000,IF(INDEX('calcA'!$D$60:$EQ$99,$B20,97)*IF($W20=1,GT20+ADI20,GT20)=1,IF(AND($E20=2,IF($W20=1,AIX20,MI20)=0),1000000000,IF($V20=1,INDEX('calcA'!$D$130:$EQ$169,$B20,97)+IF(AND($E20=1,MI20=0),25,0),INDEX('calcA'!CV$110:CV$114,$F20+1)+IF(AND($E20=1,MI20=0),1000,0)+IF($H20=1,INDEX('calcA'!$D$180:$EQ$219,$B20,97)*500,0)-IF(AND($U20=1,'calcA'!CV$117=1,GU20=0),300,0))),1000000000))</f>
        <v/>
      </c>
      <c r="RY20">
        <f>IF($B20=0,1000000000,IF(INDEX('calcA'!$D$60:$EQ$99,$B20,98)*IF($W20=1,GU20+ADJ20,GU20)=1,IF(AND($E20=2,IF($W20=1,AIY20,MJ20)=0),1000000000,IF($V20=1,INDEX('calcA'!$D$130:$EQ$169,$B20,98)+IF(AND($E20=1,MJ20=0),25,0),INDEX('calcA'!CW$110:CW$114,$F20+1)+IF(AND($E20=1,MJ20=0),1000,0)+IF($H20=1,INDEX('calcA'!$D$180:$EQ$219,$B20,98)*500,0)-IF(AND('calcA'!CV$117=1,XT20&gt;0),300,0)-IF(AND($U20=1,'calcA'!CW$117=1,GV20=0),300,0))),1000000000))</f>
        <v/>
      </c>
      <c r="RZ20">
        <f>IF($B20=0,1000000000,IF(INDEX('calcA'!$D$60:$EQ$99,$B20,99)*IF($W20=1,GV20+ADK20,GV20)=1,IF(AND($E20=2,IF($W20=1,AIZ20,MK20)=0),1000000000,IF($V20=1,INDEX('calcA'!$D$130:$EQ$169,$B20,99)+IF(AND($E20=1,MK20=0),25,0),INDEX('calcA'!CX$110:CX$114,$F20+1)+IF(AND($E20=1,MK20=0),1000,0)+IF($H20=1,INDEX('calcA'!$D$180:$EQ$219,$B20,99)*500,0)-IF(AND('calcA'!CW$117=1,XU20&gt;0),300,0)-IF(AND($U20=1,'calcA'!CX$117=1,GW20=0),300,0))),1000000000))</f>
        <v/>
      </c>
      <c r="SA20">
        <f>IF($B20=0,1000000000,IF(INDEX('calcA'!$D$60:$EQ$99,$B20,100)*IF($W20=1,GW20+ADL20,GW20)=1,IF(AND($E20=2,IF($W20=1,AJA20,ML20)=0),1000000000,IF($V20=1,INDEX('calcA'!$D$130:$EQ$169,$B20,100)+IF(AND($E20=1,ML20=0),25,0),INDEX('calcA'!CY$110:CY$114,$F20+1)+IF(AND($E20=1,ML20=0),1000,0)+IF($H20=1,INDEX('calcA'!$D$180:$EQ$219,$B20,100)*500,0)-IF(AND('calcA'!CX$117=1,XV20&gt;0),300,0)-IF(AND($U20=1,'calcA'!CY$117=1,GX20=0),300,0))),1000000000))</f>
        <v/>
      </c>
      <c r="SB20">
        <f>IF($B20=0,1000000000,IF(INDEX('calcA'!$D$60:$EQ$99,$B20,101)*IF($W20=1,GX20+ADM20,GX20)=1,IF(AND($E20=2,IF($W20=1,AJB20,MM20)=0),1000000000,IF($V20=1,INDEX('calcA'!$D$130:$EQ$169,$B20,101)+IF(AND($E20=1,MM20=0),25,0),INDEX('calcA'!CZ$110:CZ$114,$F20+1)+IF(AND($E20=1,MM20=0),1000,0)+IF($H20=1,INDEX('calcA'!$D$180:$EQ$219,$B20,101)*500,0)-IF(AND('calcA'!CY$117=1,XW20&gt;0),300,0)-IF(AND($U20=1,'calcA'!CZ$117=1,GY20=0),300,0))),1000000000))</f>
        <v/>
      </c>
      <c r="SC20">
        <f>IF($B20=0,1000000000,IF(INDEX('calcA'!$D$60:$EQ$99,$B20,102)*IF($W20=1,GY20+ADN20,GY20)=1,IF(AND($E20=2,IF($W20=1,AJC20,MN20)=0),1000000000,IF($V20=1,INDEX('calcA'!$D$130:$EQ$169,$B20,102)+IF(AND($E20=1,MN20=0),25,0),INDEX('calcA'!DA$110:DA$114,$F20+1)+IF(AND($E20=1,MN20=0),1000,0)+IF($H20=1,INDEX('calcA'!$D$180:$EQ$219,$B20,102)*500,0)-IF(AND('calcA'!CZ$117=1,XX20&gt;0),300,0)-IF(AND($U20=1,'calcA'!DA$117=1,GZ20=0),300,0))),1000000000))</f>
        <v/>
      </c>
      <c r="SD20">
        <f>IF($B20=0,1000000000,IF(INDEX('calcA'!$D$60:$EQ$99,$B20,103)*IF($W20=1,GZ20+ADO20,GZ20)=1,IF(AND($E20=2,IF($W20=1,AJD20,MO20)=0),1000000000,IF($V20=1,INDEX('calcA'!$D$130:$EQ$169,$B20,103)+IF(AND($E20=1,MO20=0),25,0),INDEX('calcA'!DB$110:DB$114,$F20+1)+IF(AND($E20=1,MO20=0),1000,0)+IF($H20=1,INDEX('calcA'!$D$180:$EQ$219,$B20,103)*500,0)-IF(AND('calcA'!DA$117=1,XY20&gt;0),300,0)-IF(AND($U20=1,'calcA'!DB$117=1,HA20=0),300,0))),1000000000))</f>
        <v/>
      </c>
      <c r="SE20">
        <f>IF($B20=0,1000000000,IF(INDEX('calcA'!$D$60:$EQ$99,$B20,104)*IF($W20=1,HA20+ADP20,HA20)=1,IF(AND($E20=2,IF($W20=1,AJE20,MP20)=0),1000000000,IF($V20=1,INDEX('calcA'!$D$130:$EQ$169,$B20,104)+IF(AND($E20=1,MP20=0),25,0),INDEX('calcA'!DC$110:DC$114,$F20+1)+IF(AND($E20=1,MP20=0),1000,0)+IF($H20=1,INDEX('calcA'!$D$180:$EQ$219,$B20,104)*500,0)-IF(AND('calcA'!DB$117=1,XZ20&gt;0),300,0)-IF(AND($U20=1,'calcA'!DC$117=1,HB20=0),300,0))),1000000000))</f>
        <v/>
      </c>
      <c r="SF20">
        <f>IF($B20=0,1000000000,IF(INDEX('calcA'!$D$60:$EQ$99,$B20,105)*IF($W20=1,HB20+ADQ20,HB20)=1,IF(AND($E20=2,IF($W20=1,AJF20,MQ20)=0),1000000000,IF($V20=1,INDEX('calcA'!$D$130:$EQ$169,$B20,105)+IF(AND($E20=1,MQ20=0),25,0),INDEX('calcA'!DD$110:DD$114,$F20+1)+IF(AND($E20=1,MQ20=0),1000,0)+IF($H20=1,INDEX('calcA'!$D$180:$EQ$219,$B20,105)*500,0)-IF(AND('calcA'!DC$117=1,YA20&gt;0),300,0)-IF(AND($U20=1,'calcA'!DD$117=1,HC20=0),300,0))),1000000000))</f>
        <v/>
      </c>
      <c r="SG20">
        <f>IF($B20=0,1000000000,IF(INDEX('calcA'!$D$60:$EQ$99,$B20,106)*IF($W20=1,HC20+ADR20,HC20)=1,IF(AND($E20=2,IF($W20=1,AJG20,MR20)=0),1000000000,IF($V20=1,INDEX('calcA'!$D$130:$EQ$169,$B20,106)+IF(AND($E20=1,MR20=0),25,0),INDEX('calcA'!DE$110:DE$114,$F20+1)+IF(AND($E20=1,MR20=0),1000,0)+IF($H20=1,INDEX('calcA'!$D$180:$EQ$219,$B20,106)*500,0)-IF(AND('calcA'!DD$117=1,YB20&gt;0),300,0)-IF(AND($U20=1,'calcA'!DE$117=1,HD20=0),300,0))),1000000000))</f>
        <v/>
      </c>
      <c r="SH20">
        <f>IF($B20=0,1000000000,IF(INDEX('calcA'!$D$60:$EQ$99,$B20,107)*IF($W20=1,HD20+ADS20,HD20)=1,IF(AND($E20=2,IF($W20=1,AJH20,MS20)=0),1000000000,IF($V20=1,INDEX('calcA'!$D$130:$EQ$169,$B20,107)+IF(AND($E20=1,MS20=0),25,0),INDEX('calcA'!DF$110:DF$114,$F20+1)+IF(AND($E20=1,MS20=0),1000,0)+IF($H20=1,INDEX('calcA'!$D$180:$EQ$219,$B20,107)*500,0)-IF(AND('calcA'!DE$117=1,YC20&gt;0),300,0)-IF(AND($U20=1,'calcA'!DF$117=1,HE20=0),300,0))),1000000000))</f>
        <v/>
      </c>
      <c r="SI20">
        <f>IF($B20=0,1000000000,IF(INDEX('calcA'!$D$60:$EQ$99,$B20,108)*IF($W20=1,HE20+ADT20,HE20)=1,IF(AND($E20=2,IF($W20=1,AJI20,MT20)=0),1000000000,IF($V20=1,INDEX('calcA'!$D$130:$EQ$169,$B20,108)+IF(AND($E20=1,MT20=0),25,0),INDEX('calcA'!DG$110:DG$114,$F20+1)+IF(AND($E20=1,MT20=0),1000,0)+IF($H20=1,INDEX('calcA'!$D$180:$EQ$219,$B20,108)*500,0)-IF(AND('calcA'!DF$117=1,YD20&gt;0),300,0)-IF(AND($U20=1,'calcA'!DG$117=1,HF20=0),300,0))),1000000000))</f>
        <v/>
      </c>
      <c r="SJ20">
        <f>IF($B20=0,1000000000,IF(INDEX('calcA'!$D$60:$EQ$99,$B20,109)*IF($W20=1,HF20+ADU20,HF20)=1,IF(AND($E20=2,IF($W20=1,AJJ20,MU20)=0),1000000000,IF($V20=1,INDEX('calcA'!$D$130:$EQ$169,$B20,109)+IF(AND($E20=1,MU20=0),25,0),INDEX('calcA'!DH$110:DH$114,$F20+1)+IF(AND($E20=1,MU20=0),1000,0)+IF($H20=1,INDEX('calcA'!$D$180:$EQ$219,$B20,109)*500,0)-IF(AND('calcA'!DG$117=1,YE20&gt;0),300,0)-IF(AND($U20=1,'calcA'!DH$117=1,HG20=0),300,0))),1000000000))</f>
        <v/>
      </c>
      <c r="SK20">
        <f>IF($B20=0,1000000000,IF(INDEX('calcA'!$D$60:$EQ$99,$B20,110)*IF($W20=1,HG20+ADV20,HG20)=1,IF(AND($E20=2,IF($W20=1,AJK20,MV20)=0),1000000000,IF($V20=1,INDEX('calcA'!$D$130:$EQ$169,$B20,110)+IF(AND($E20=1,MV20=0),25,0),INDEX('calcA'!DI$110:DI$114,$F20+1)+IF(AND($E20=1,MV20=0),1000,0)+IF($H20=1,INDEX('calcA'!$D$180:$EQ$219,$B20,110)*500,0)-IF(AND('calcA'!DH$117=1,YF20&gt;0),300,0)-IF(AND($U20=1,'calcA'!DI$117=1,HH20=0),300,0))),1000000000))</f>
        <v/>
      </c>
      <c r="SL20">
        <f>IF($B20=0,1000000000,IF(INDEX('calcA'!$D$60:$EQ$99,$B20,111)*IF($W20=1,HH20+ADW20,HH20)=1,IF(AND($E20=2,IF($W20=1,AJL20,MW20)=0),1000000000,IF($V20=1,INDEX('calcA'!$D$130:$EQ$169,$B20,111)+IF(AND($E20=1,MW20=0),25,0),INDEX('calcA'!DJ$110:DJ$114,$F20+1)+IF(AND($E20=1,MW20=0),1000,0)+IF($H20=1,INDEX('calcA'!$D$180:$EQ$219,$B20,111)*500,0)-IF(AND('calcA'!DI$117=1,YG20&gt;0),300,0)-IF(AND($U20=1,'calcA'!DJ$117=1,HI20=0),300,0))),1000000000))</f>
        <v/>
      </c>
      <c r="SM20">
        <f>IF($B20=0,1000000000,IF(INDEX('calcA'!$D$60:$EQ$99,$B20,112)*IF($W20=1,HI20+ADX20,HI20)=1,IF(AND($E20=2,IF($W20=1,AJM20,MX20)=0),1000000000,IF($V20=1,INDEX('calcA'!$D$130:$EQ$169,$B20,112)+IF(AND($E20=1,MX20=0),25,0),INDEX('calcA'!DK$110:DK$114,$F20+1)+IF(AND($E20=1,MX20=0),1000,0)+IF($H20=1,INDEX('calcA'!$D$180:$EQ$219,$B20,112)*500,0)-IF(AND('calcA'!DJ$117=1,YH20&gt;0),300,0)-IF(AND($U20=1,'calcA'!DK$117=1,HJ20=0),300,0))),1000000000))</f>
        <v/>
      </c>
      <c r="SN20">
        <f>IF($B20=0,1000000000,IF(INDEX('calcA'!$D$60:$EQ$99,$B20,113)*IF($W20=1,HJ20+ADY20,HJ20)=1,IF(AND($E20=2,IF($W20=1,AJN20,MY20)=0),1000000000,IF($V20=1,INDEX('calcA'!$D$130:$EQ$169,$B20,113)+IF(AND($E20=1,MY20=0),25,0),INDEX('calcA'!DL$110:DL$114,$F20+1)+IF(AND($E20=1,MY20=0),1000,0)+IF($H20=1,INDEX('calcA'!$D$180:$EQ$219,$B20,113)*500,0)-IF(AND('calcA'!DK$117=1,YI20&gt;0),300,0)-IF(AND($U20=1,'calcA'!DL$117=1,HK20=0),300,0))),1000000000))</f>
        <v/>
      </c>
      <c r="SO20">
        <f>IF($B20=0,1000000000,IF(INDEX('calcA'!$D$60:$EQ$99,$B20,114)*IF($W20=1,HK20+ADZ20,HK20)=1,IF(AND($E20=2,IF($W20=1,AJO20,MZ20)=0),1000000000,IF($V20=1,INDEX('calcA'!$D$130:$EQ$169,$B20,114)+IF(AND($E20=1,MZ20=0),25,0),INDEX('calcA'!DM$110:DM$114,$F20+1)+IF(AND($E20=1,MZ20=0),1000,0)+IF($H20=1,INDEX('calcA'!$D$180:$EQ$219,$B20,114)*500,0)-IF(AND('calcA'!DL$117=1,YJ20&gt;0),300,0)-IF(AND($U20=1,'calcA'!DM$117=1,HL20=0),300,0))),1000000000))</f>
        <v/>
      </c>
      <c r="SP20">
        <f>IF($B20=0,1000000000,IF(INDEX('calcA'!$D$60:$EQ$99,$B20,115)*IF($W20=1,HL20+AEA20,HL20)=1,IF(AND($E20=2,IF($W20=1,AJP20,NA20)=0),1000000000,IF($V20=1,INDEX('calcA'!$D$130:$EQ$169,$B20,115)+IF(AND($E20=1,NA20=0),25,0),INDEX('calcA'!DN$110:DN$114,$F20+1)+IF(AND($E20=1,NA20=0),1000,0)+IF($H20=1,INDEX('calcA'!$D$180:$EQ$219,$B20,115)*500,0)-IF(AND('calcA'!DM$117=1,YK20&gt;0),300,0)-IF(AND($U20=1,'calcA'!DN$117=1,HM20=0),300,0))),1000000000))</f>
        <v/>
      </c>
      <c r="SQ20">
        <f>IF($B20=0,1000000000,IF(INDEX('calcA'!$D$60:$EQ$99,$B20,116)*IF($W20=1,HM20+AEB20,HM20)=1,IF(AND($E20=2,IF($W20=1,AJQ20,NB20)=0),1000000000,IF($V20=1,INDEX('calcA'!$D$130:$EQ$169,$B20,116)+IF(AND($E20=1,NB20=0),25,0),INDEX('calcA'!DO$110:DO$114,$F20+1)+IF(AND($E20=1,NB20=0),1000,0)+IF($H20=1,INDEX('calcA'!$D$180:$EQ$219,$B20,116)*500,0)-IF(AND('calcA'!DN$117=1,YL20&gt;0),300,0)-IF(AND($U20=1,'calcA'!DO$117=1,HN20=0),300,0))),1000000000))</f>
        <v/>
      </c>
      <c r="SR20">
        <f>IF($B20=0,1000000000,IF(INDEX('calcA'!$D$60:$EQ$99,$B20,117)*IF($W20=1,HN20+AEC20,HN20)=1,IF(AND($E20=2,IF($W20=1,AJR20,NC20)=0),1000000000,IF($V20=1,INDEX('calcA'!$D$130:$EQ$169,$B20,117)+IF(AND($E20=1,NC20=0),25,0),INDEX('calcA'!DP$110:DP$114,$F20+1)+IF(AND($E20=1,NC20=0),1000,0)+IF($H20=1,INDEX('calcA'!$D$180:$EQ$219,$B20,117)*500,0)-IF(AND('calcA'!DO$117=1,YM20&gt;0),300,0)-IF(AND($U20=1,'calcA'!DP$117=1,HO20=0),300,0))),1000000000))</f>
        <v/>
      </c>
      <c r="SS20">
        <f>IF($B20=0,1000000000,IF(INDEX('calcA'!$D$60:$EQ$99,$B20,118)*IF($W20=1,HO20+AED20,HO20)=1,IF(AND($E20=2,IF($W20=1,AJS20,ND20)=0),1000000000,IF($V20=1,INDEX('calcA'!$D$130:$EQ$169,$B20,118)+IF(AND($E20=1,ND20=0),25,0),INDEX('calcA'!DQ$110:DQ$114,$F20+1)+IF(AND($E20=1,ND20=0),1000,0)+IF($H20=1,INDEX('calcA'!$D$180:$EQ$219,$B20,118)*500,0)-IF(AND('calcA'!DP$117=1,YN20&gt;0),300,0)-IF(AND($U20=1,'calcA'!DQ$117=1,HP20=0),300,0))),1000000000))</f>
        <v/>
      </c>
      <c r="ST20">
        <f>IF($B20=0,1000000000,IF(INDEX('calcA'!$D$60:$EQ$99,$B20,119)*IF($W20=1,HP20+AEE20,HP20)=1,IF(AND($E20=2,IF($W20=1,AJT20,NE20)=0),1000000000,IF($V20=1,INDEX('calcA'!$D$130:$EQ$169,$B20,119)+IF(AND($E20=1,NE20=0),25,0),INDEX('calcA'!DR$110:DR$114,$F20+1)+IF(AND($E20=1,NE20=0),1000,0)+IF($H20=1,INDEX('calcA'!$D$180:$EQ$219,$B20,119)*500,0)-IF(AND('calcA'!DQ$117=1,YO20&gt;0),300,0)-IF(AND($U20=1,'calcA'!DR$117=1,HQ20=0),300,0))),1000000000))</f>
        <v/>
      </c>
      <c r="SU20">
        <f>IF($B20=0,1000000000,IF(INDEX('calcA'!$D$60:$EQ$99,$B20,120)*IF($W20=1,HQ20+AEF20,HQ20)=1,IF(AND($E20=2,IF($W20=1,AJU20,NF20)=0),1000000000,IF($V20=1,INDEX('calcA'!$D$130:$EQ$169,$B20,120)+IF(AND($E20=1,NF20=0),25,0),INDEX('calcA'!DS$110:DS$114,$F20+1)+IF(AND($E20=1,NF20=0),1000,0)+IF($H20=1,INDEX('calcA'!$D$180:$EQ$219,$B20,120)*500,0)-IF(AND('calcA'!DR$117=1,YP20&gt;0),300,0))),1000000000))</f>
        <v/>
      </c>
      <c r="SV20">
        <f>IF($B20=0,1000000000,IF(INDEX('calcA'!$D$60:$EQ$99,$B20,121)*IF($W20=1,HR20+AEG20,HR20)=1,IF(AND($E20=2,IF($W20=1,AJV20,NG20)=0),1000000000,IF($V20=1,INDEX('calcA'!$D$130:$EQ$169,$B20,121)+IF(AND($E20=1,NG20=0),25,0),INDEX('calcA'!DT$110:DT$114,$F20+1)+IF(AND($E20=1,NG20=0),1000,0)+IF($H20=1,INDEX('calcA'!$D$180:$EQ$219,$B20,121)*500,0)-IF(AND($U20=1,'calcA'!DT$117=1,HS20=0),300,0))),1000000000))</f>
        <v/>
      </c>
      <c r="SW20">
        <f>IF($B20=0,1000000000,IF(INDEX('calcA'!$D$60:$EQ$99,$B20,122)*IF($W20=1,HS20+AEH20,HS20)=1,IF(AND($E20=2,IF($W20=1,AJW20,NH20)=0),1000000000,IF($V20=1,INDEX('calcA'!$D$130:$EQ$169,$B20,122)+IF(AND($E20=1,NH20=0),25,0),INDEX('calcA'!DU$110:DU$114,$F20+1)+IF(AND($E20=1,NH20=0),1000,0)+IF($H20=1,INDEX('calcA'!$D$180:$EQ$219,$B20,122)*500,0)-IF(AND('calcA'!DT$117=1,YR20&gt;0),300,0)-IF(AND($U20=1,'calcA'!DU$117=1,HT20=0),300,0))),1000000000))</f>
        <v/>
      </c>
      <c r="SX20">
        <f>IF($B20=0,1000000000,IF(INDEX('calcA'!$D$60:$EQ$99,$B20,123)*IF($W20=1,HT20+AEI20,HT20)=1,IF(AND($E20=2,IF($W20=1,AJX20,NI20)=0),1000000000,IF($V20=1,INDEX('calcA'!$D$130:$EQ$169,$B20,123)+IF(AND($E20=1,NI20=0),25,0),INDEX('calcA'!DV$110:DV$114,$F20+1)+IF(AND($E20=1,NI20=0),1000,0)+IF($H20=1,INDEX('calcA'!$D$180:$EQ$219,$B20,123)*500,0)-IF(AND('calcA'!DU$117=1,YS20&gt;0),300,0)-IF(AND($U20=1,'calcA'!DV$117=1,HU20=0),300,0))),1000000000))</f>
        <v/>
      </c>
      <c r="SY20">
        <f>IF($B20=0,1000000000,IF(INDEX('calcA'!$D$60:$EQ$99,$B20,124)*IF($W20=1,HU20+AEJ20,HU20)=1,IF(AND($E20=2,IF($W20=1,AJY20,NJ20)=0),1000000000,IF($V20=1,INDEX('calcA'!$D$130:$EQ$169,$B20,124)+IF(AND($E20=1,NJ20=0),25,0),INDEX('calcA'!DW$110:DW$114,$F20+1)+IF(AND($E20=1,NJ20=0),1000,0)+IF($H20=1,INDEX('calcA'!$D$180:$EQ$219,$B20,124)*500,0)-IF(AND('calcA'!DV$117=1,YT20&gt;0),300,0)-IF(AND($U20=1,'calcA'!DW$117=1,HV20=0),300,0))),1000000000))</f>
        <v/>
      </c>
      <c r="SZ20">
        <f>IF($B20=0,1000000000,IF(INDEX('calcA'!$D$60:$EQ$99,$B20,125)*IF($W20=1,HV20+AEK20,HV20)=1,IF(AND($E20=2,IF($W20=1,AJZ20,NK20)=0),1000000000,IF($V20=1,INDEX('calcA'!$D$130:$EQ$169,$B20,125)+IF(AND($E20=1,NK20=0),25,0),INDEX('calcA'!DX$110:DX$114,$F20+1)+IF(AND($E20=1,NK20=0),1000,0)+IF($H20=1,INDEX('calcA'!$D$180:$EQ$219,$B20,125)*500,0)-IF(AND('calcA'!DW$117=1,YU20&gt;0),300,0)-IF(AND($U20=1,'calcA'!DX$117=1,HW20=0),300,0))),1000000000))</f>
        <v/>
      </c>
      <c r="TA20">
        <f>IF($B20=0,1000000000,IF(INDEX('calcA'!$D$60:$EQ$99,$B20,126)*IF($W20=1,HW20+AEL20,HW20)=1,IF(AND($E20=2,IF($W20=1,AKA20,NL20)=0),1000000000,IF($V20=1,INDEX('calcA'!$D$130:$EQ$169,$B20,126)+IF(AND($E20=1,NL20=0),25,0),INDEX('calcA'!DY$110:DY$114,$F20+1)+IF(AND($E20=1,NL20=0),1000,0)+IF($H20=1,INDEX('calcA'!$D$180:$EQ$219,$B20,126)*500,0)-IF(AND('calcA'!DX$117=1,YV20&gt;0),300,0)-IF(AND($U20=1,'calcA'!DY$117=1,HX20=0),300,0))),1000000000))</f>
        <v/>
      </c>
      <c r="TB20">
        <f>IF($B20=0,1000000000,IF(INDEX('calcA'!$D$60:$EQ$99,$B20,127)*IF($W20=1,HX20+AEM20,HX20)=1,IF(AND($E20=2,IF($W20=1,AKB20,NM20)=0),1000000000,IF($V20=1,INDEX('calcA'!$D$130:$EQ$169,$B20,127)+IF(AND($E20=1,NM20=0),25,0),INDEX('calcA'!DZ$110:DZ$114,$F20+1)+IF(AND($E20=1,NM20=0),1000,0)+IF($H20=1,INDEX('calcA'!$D$180:$EQ$219,$B20,127)*500,0)-IF(AND('calcA'!DY$117=1,YW20&gt;0),300,0)-IF(AND($U20=1,'calcA'!DZ$117=1,HY20=0),300,0))),1000000000))</f>
        <v/>
      </c>
      <c r="TC20">
        <f>IF($B20=0,1000000000,IF(INDEX('calcA'!$D$60:$EQ$99,$B20,128)*IF($W20=1,HY20+AEN20,HY20)=1,IF(AND($E20=2,IF($W20=1,AKC20,NN20)=0),1000000000,IF($V20=1,INDEX('calcA'!$D$130:$EQ$169,$B20,128)+IF(AND($E20=1,NN20=0),25,0),INDEX('calcA'!EA$110:EA$114,$F20+1)+IF(AND($E20=1,NN20=0),1000,0)+IF($H20=1,INDEX('calcA'!$D$180:$EQ$219,$B20,128)*500,0)-IF(AND('calcA'!DZ$117=1,YX20&gt;0),300,0)-IF(AND($U20=1,'calcA'!EA$117=1,HZ20=0),300,0))),1000000000))</f>
        <v/>
      </c>
      <c r="TD20">
        <f>IF($B20=0,1000000000,IF(INDEX('calcA'!$D$60:$EQ$99,$B20,129)*IF($W20=1,HZ20+AEO20,HZ20)=1,IF(AND($E20=2,IF($W20=1,AKD20,NO20)=0),1000000000,IF($V20=1,INDEX('calcA'!$D$130:$EQ$169,$B20,129)+IF(AND($E20=1,NO20=0),25,0),INDEX('calcA'!EB$110:EB$114,$F20+1)+IF(AND($E20=1,NO20=0),1000,0)+IF($H20=1,INDEX('calcA'!$D$180:$EQ$219,$B20,129)*500,0)-IF(AND('calcA'!EA$117=1,YY20&gt;0),300,0)-IF(AND($U20=1,'calcA'!EB$117=1,IA20=0),300,0))),1000000000))</f>
        <v/>
      </c>
      <c r="TE20">
        <f>IF($B20=0,1000000000,IF(INDEX('calcA'!$D$60:$EQ$99,$B20,130)*IF($W20=1,IA20+AEP20,IA20)=1,IF(AND($E20=2,IF($W20=1,AKE20,NP20)=0),1000000000,IF($V20=1,INDEX('calcA'!$D$130:$EQ$169,$B20,130)+IF(AND($E20=1,NP20=0),25,0),INDEX('calcA'!EC$110:EC$114,$F20+1)+IF(AND($E20=1,NP20=0),1000,0)+IF($H20=1,INDEX('calcA'!$D$180:$EQ$219,$B20,130)*500,0)-IF(AND('calcA'!EB$117=1,YZ20&gt;0),300,0)-IF(AND($U20=1,'calcA'!EC$117=1,IB20=0),300,0))),1000000000))</f>
        <v/>
      </c>
      <c r="TF20">
        <f>IF($B20=0,1000000000,IF(INDEX('calcA'!$D$60:$EQ$99,$B20,131)*IF($W20=1,IB20+AEQ20,IB20)=1,IF(AND($E20=2,IF($W20=1,AKF20,NQ20)=0),1000000000,IF($V20=1,INDEX('calcA'!$D$130:$EQ$169,$B20,131)+IF(AND($E20=1,NQ20=0),25,0),INDEX('calcA'!ED$110:ED$114,$F20+1)+IF(AND($E20=1,NQ20=0),1000,0)+IF($H20=1,INDEX('calcA'!$D$180:$EQ$219,$B20,131)*500,0)-IF(AND('calcA'!EC$117=1,ZA20&gt;0),300,0)-IF(AND($U20=1,'calcA'!ED$117=1,IC20=0),300,0))),1000000000))</f>
        <v/>
      </c>
      <c r="TG20">
        <f>IF($B20=0,1000000000,IF(INDEX('calcA'!$D$60:$EQ$99,$B20,132)*IF($W20=1,IC20+AER20,IC20)=1,IF(AND($E20=2,IF($W20=1,AKG20,NR20)=0),1000000000,IF($V20=1,INDEX('calcA'!$D$130:$EQ$169,$B20,132)+IF(AND($E20=1,NR20=0),25,0),INDEX('calcA'!EE$110:EE$114,$F20+1)+IF(AND($E20=1,NR20=0),1000,0)+IF($H20=1,INDEX('calcA'!$D$180:$EQ$219,$B20,132)*500,0)-IF(AND('calcA'!ED$117=1,ZB20&gt;0),300,0)-IF(AND($U20=1,'calcA'!EE$117=1,ID20=0),300,0))),1000000000))</f>
        <v/>
      </c>
      <c r="TH20">
        <f>IF($B20=0,1000000000,IF(INDEX('calcA'!$D$60:$EQ$99,$B20,133)*IF($W20=1,ID20+AES20,ID20)=1,IF(AND($E20=2,IF($W20=1,AKH20,NS20)=0),1000000000,IF($V20=1,INDEX('calcA'!$D$130:$EQ$169,$B20,133)+IF(AND($E20=1,NS20=0),25,0),INDEX('calcA'!EF$110:EF$114,$F20+1)+IF(AND($E20=1,NS20=0),1000,0)+IF($H20=1,INDEX('calcA'!$D$180:$EQ$219,$B20,133)*500,0)-IF(AND('calcA'!EE$117=1,ZC20&gt;0),300,0)-IF(AND($U20=1,'calcA'!EF$117=1,IE20=0),300,0))),1000000000))</f>
        <v/>
      </c>
      <c r="TI20">
        <f>IF($B20=0,1000000000,IF(INDEX('calcA'!$D$60:$EQ$99,$B20,134)*IF($W20=1,IE20+AET20,IE20)=1,IF(AND($E20=2,IF($W20=1,AKI20,NT20)=0),1000000000,IF($V20=1,INDEX('calcA'!$D$130:$EQ$169,$B20,134)+IF(AND($E20=1,NT20=0),25,0),INDEX('calcA'!EG$110:EG$114,$F20+1)+IF(AND($E20=1,NT20=0),1000,0)+IF($H20=1,INDEX('calcA'!$D$180:$EQ$219,$B20,134)*500,0)-IF(AND('calcA'!EF$117=1,ZD20&gt;0),300,0)-IF(AND($U20=1,'calcA'!EG$117=1,IF20=0),300,0))),1000000000))</f>
        <v/>
      </c>
      <c r="TJ20">
        <f>IF($B20=0,1000000000,IF(INDEX('calcA'!$D$60:$EQ$99,$B20,135)*IF($W20=1,IF20+AEU20,IF20)=1,IF(AND($E20=2,IF($W20=1,AKJ20,NU20)=0),1000000000,IF($V20=1,INDEX('calcA'!$D$130:$EQ$169,$B20,135)+IF(AND($E20=1,NU20=0),25,0),INDEX('calcA'!EH$110:EH$114,$F20+1)+IF(AND($E20=1,NU20=0),1000,0)+IF($H20=1,INDEX('calcA'!$D$180:$EQ$219,$B20,135)*500,0)-IF(AND('calcA'!EG$117=1,ZE20&gt;0),300,0)-IF(AND($U20=1,'calcA'!EH$117=1,IG20=0),300,0))),1000000000))</f>
        <v/>
      </c>
      <c r="TK20">
        <f>IF($B20=0,1000000000,IF(INDEX('calcA'!$D$60:$EQ$99,$B20,136)*IF($W20=1,IG20+AEV20,IG20)=1,IF(AND($E20=2,IF($W20=1,AKK20,NV20)=0),1000000000,IF($V20=1,INDEX('calcA'!$D$130:$EQ$169,$B20,136)+IF(AND($E20=1,NV20=0),25,0),INDEX('calcA'!EI$110:EI$114,$F20+1)+IF(AND($E20=1,NV20=0),1000,0)+IF($H20=1,INDEX('calcA'!$D$180:$EQ$219,$B20,136)*500,0)-IF(AND('calcA'!EH$117=1,ZF20&gt;0),300,0)-IF(AND($U20=1,'calcA'!EI$117=1,IH20=0),300,0))),1000000000))</f>
        <v/>
      </c>
      <c r="TL20">
        <f>IF($B20=0,1000000000,IF(INDEX('calcA'!$D$60:$EQ$99,$B20,137)*IF($W20=1,IH20+AEW20,IH20)=1,IF(AND($E20=2,IF($W20=1,AKL20,NW20)=0),1000000000,IF($V20=1,INDEX('calcA'!$D$130:$EQ$169,$B20,137)+IF(AND($E20=1,NW20=0),25,0),INDEX('calcA'!EJ$110:EJ$114,$F20+1)+IF(AND($E20=1,NW20=0),1000,0)+IF($H20=1,INDEX('calcA'!$D$180:$EQ$219,$B20,137)*500,0)-IF(AND('calcA'!EI$117=1,ZG20&gt;0),300,0)-IF(AND($U20=1,'calcA'!EJ$117=1,II20=0),300,0))),1000000000))</f>
        <v/>
      </c>
      <c r="TM20">
        <f>IF($B20=0,1000000000,IF(INDEX('calcA'!$D$60:$EQ$99,$B20,138)*IF($W20=1,II20+AEX20,II20)=1,IF(AND($E20=2,IF($W20=1,AKM20,NX20)=0),1000000000,IF($V20=1,INDEX('calcA'!$D$130:$EQ$169,$B20,138)+IF(AND($E20=1,NX20=0),25,0),INDEX('calcA'!EK$110:EK$114,$F20+1)+IF(AND($E20=1,NX20=0),1000,0)+IF($H20=1,INDEX('calcA'!$D$180:$EQ$219,$B20,138)*500,0)-IF(AND('calcA'!EJ$117=1,ZH20&gt;0),300,0)-IF(AND($U20=1,'calcA'!EK$117=1,IJ20=0),300,0))),1000000000))</f>
        <v/>
      </c>
      <c r="TN20">
        <f>IF($B20=0,1000000000,IF(INDEX('calcA'!$D$60:$EQ$99,$B20,139)*IF($W20=1,IJ20+AEY20,IJ20)=1,IF(AND($E20=2,IF($W20=1,AKN20,NY20)=0),1000000000,IF($V20=1,INDEX('calcA'!$D$130:$EQ$169,$B20,139)+IF(AND($E20=1,NY20=0),25,0),INDEX('calcA'!EL$110:EL$114,$F20+1)+IF(AND($E20=1,NY20=0),1000,0)+IF($H20=1,INDEX('calcA'!$D$180:$EQ$219,$B20,139)*500,0)-IF(AND('calcA'!EK$117=1,ZI20&gt;0),300,0)-IF(AND($U20=1,'calcA'!EL$117=1,IK20=0),300,0))),1000000000))</f>
        <v/>
      </c>
      <c r="TO20">
        <f>IF($B20=0,1000000000,IF(INDEX('calcA'!$D$60:$EQ$99,$B20,140)*IF($W20=1,IK20+AEZ20,IK20)=1,IF(AND($E20=2,IF($W20=1,AKO20,NZ20)=0),1000000000,IF($V20=1,INDEX('calcA'!$D$130:$EQ$169,$B20,140)+IF(AND($E20=1,NZ20=0),25,0),INDEX('calcA'!EM$110:EM$114,$F20+1)+IF(AND($E20=1,NZ20=0),1000,0)+IF($H20=1,INDEX('calcA'!$D$180:$EQ$219,$B20,140)*500,0)-IF(AND('calcA'!EL$117=1,ZJ20&gt;0),300,0)-IF(AND($U20=1,'calcA'!EM$117=1,IL20=0),300,0))),1000000000))</f>
        <v/>
      </c>
      <c r="TP20">
        <f>IF($B20=0,1000000000,IF(INDEX('calcA'!$D$60:$EQ$99,$B20,141)*IF($W20=1,IL20+AFA20,IL20)=1,IF(AND($E20=2,IF($W20=1,AKP20,OA20)=0),1000000000,IF($V20=1,INDEX('calcA'!$D$130:$EQ$169,$B20,141)+IF(AND($E20=1,OA20=0),25,0),INDEX('calcA'!EN$110:EN$114,$F20+1)+IF(AND($E20=1,OA20=0),1000,0)+IF($H20=1,INDEX('calcA'!$D$180:$EQ$219,$B20,141)*500,0)-IF(AND('calcA'!EM$117=1,ZK20&gt;0),300,0)-IF(AND($U20=1,'calcA'!EN$117=1,IM20=0),300,0))),1000000000))</f>
        <v/>
      </c>
      <c r="TQ20">
        <f>IF($B20=0,1000000000,IF(INDEX('calcA'!$D$60:$EQ$99,$B20,142)*IF($W20=1,IM20+AFB20,IM20)=1,IF(AND($E20=2,IF($W20=1,AKQ20,OB20)=0),1000000000,IF($V20=1,INDEX('calcA'!$D$130:$EQ$169,$B20,142)+IF(AND($E20=1,OB20=0),25,0),INDEX('calcA'!EO$110:EO$114,$F20+1)+IF(AND($E20=1,OB20=0),1000,0)+IF($H20=1,INDEX('calcA'!$D$180:$EQ$219,$B20,142)*500,0)-IF(AND('calcA'!EN$117=1,ZL20&gt;0),300,0)-IF(AND($U20=1,'calcA'!EO$117=1,IN20=0),300,0))),1000000000))</f>
        <v/>
      </c>
      <c r="TR20">
        <f>IF($B20=0,1000000000,IF(INDEX('calcA'!$D$60:$EQ$99,$B20,143)*IF($W20=1,IN20+AFC20,IN20)=1,IF(AND($E20=2,IF($W20=1,AKR20,OC20)=0),1000000000,IF($V20=1,INDEX('calcA'!$D$130:$EQ$169,$B20,143)+IF(AND($E20=1,OC20=0),25,0),INDEX('calcA'!EP$110:EP$114,$F20+1)+IF(AND($E20=1,OC20=0),1000,0)+IF($H20=1,INDEX('calcA'!$D$180:$EQ$219,$B20,143)*500,0)-IF(AND('calcA'!EO$117=1,ZM20&gt;0),300,0)-IF(AND($U20=1,'calcA'!EP$117=1,IO20=0),300,0))),1000000000))</f>
        <v/>
      </c>
      <c r="TS20">
        <f>IF($B20=0,1000000000,IF(INDEX('calcA'!$D$60:$EQ$99,$B20,144)*IF($W20=1,IO20+AFD20,IO20)=1,IF(AND($E20=2,IF($W20=1,AKS20,OD20)=0),1000000000,IF($V20=1,INDEX('calcA'!$D$130:$EQ$169,$B20,144)+IF(AND($E20=1,OD20=0),25,0),INDEX('calcA'!EQ$110:EQ$114,$F20+1)+IF(AND($E20=1,OD20=0),1000,0)+IF($H20=1,INDEX('calcA'!$D$180:$EQ$219,$B20,144)*500,0)-IF(AND('calcA'!EP$117=1,ZN20&gt;0),300,0))),1000000000))</f>
        <v/>
      </c>
      <c r="UB20">
        <f>UB19+IF(AND($C19=1,$U19=1),1,0)</f>
        <v/>
      </c>
      <c r="UC20">
        <f>UC19+IF(AND($C19=2,$U19=1),1,0)</f>
        <v/>
      </c>
      <c r="UD20">
        <f>UD19+IF(AND($C19=3,$U19=1),1,0)</f>
        <v/>
      </c>
      <c r="UE20">
        <f>UE19+IF(AND($C19=4,$U19=1),1,0)</f>
        <v/>
      </c>
      <c r="UF20">
        <f>UF19+IF(AND($C19=5,$U19=1),1,0)</f>
        <v/>
      </c>
      <c r="UG20">
        <f>UG19+IF(AND($C19=6,$U19=1),1,0)</f>
        <v/>
      </c>
      <c r="UH20">
        <f>UH19+IF(AND($C19=7,$U19=1),1,0)</f>
        <v/>
      </c>
      <c r="UI20">
        <f>UI19+IF(AND($C19=8,$U19=1),1,0)</f>
        <v/>
      </c>
      <c r="UJ20">
        <f>UJ19+IF(AND($C19=9,$U19=1),1,0)</f>
        <v/>
      </c>
      <c r="UK20">
        <f>UK19+IF(AND($C19=10,$U19=1),1,0)</f>
        <v/>
      </c>
      <c r="UL20">
        <f>UL19+IF(AND($C19=11,$U19=1),1,0)</f>
        <v/>
      </c>
      <c r="UM20">
        <f>UM19+IF(AND($C19=12,$U19=1),1,0)</f>
        <v/>
      </c>
      <c r="UN20">
        <f>UN19+IF(AND($C19=13,$U19=1),1,0)</f>
        <v/>
      </c>
      <c r="UO20">
        <f>UO19+IF(AND($C19=14,$U19=1),1,0)</f>
        <v/>
      </c>
      <c r="UP20">
        <f>UP19+IF(AND($C19=15,$U19=1),1,0)</f>
        <v/>
      </c>
      <c r="UQ20">
        <f>UQ19+IF(AND($C19=16,$U19=1),1,0)</f>
        <v/>
      </c>
      <c r="UR20">
        <f>UR19+IF(AND($C19=17,$U19=1),1,0)</f>
        <v/>
      </c>
      <c r="US20">
        <f>US19+IF(AND($C19=18,$U19=1),1,0)</f>
        <v/>
      </c>
      <c r="UT20">
        <f>UT19+IF(AND($C19=19,$U19=1),1,0)</f>
        <v/>
      </c>
      <c r="UU20">
        <f>UU19+IF(AND($C19=20,$U19=1),1,0)</f>
        <v/>
      </c>
      <c r="UV20">
        <f>UV19+IF(AND($C19=21,$U19=1),1,0)</f>
        <v/>
      </c>
      <c r="UW20">
        <f>UW19+IF(AND($C19=22,$U19=1),1,0)</f>
        <v/>
      </c>
      <c r="UX20">
        <f>UX19+IF(AND($C19=23,$U19=1),1,0)</f>
        <v/>
      </c>
      <c r="UY20">
        <f>UY19+IF(AND($C19=24,$U19=1),1,0)</f>
        <v/>
      </c>
      <c r="UZ20">
        <f>UZ19+IF(AND($C19=25,$U19=1),1,0)</f>
        <v/>
      </c>
      <c r="VA20">
        <f>VA19+IF(AND($C19=26,$U19=1),1,0)</f>
        <v/>
      </c>
      <c r="VB20">
        <f>VB19+IF(AND($C19=27,$U19=1),1,0)</f>
        <v/>
      </c>
      <c r="VC20">
        <f>VC19+IF(AND($C19=28,$U19=1),1,0)</f>
        <v/>
      </c>
      <c r="VD20">
        <f>VD19+IF(AND($C19=29,$U19=1),1,0)</f>
        <v/>
      </c>
      <c r="VE20">
        <f>VE19+IF(AND($C19=30,$U19=1),1,0)</f>
        <v/>
      </c>
      <c r="VF20">
        <f>VF19+IF(AND($C19=31,$U19=1),1,0)</f>
        <v/>
      </c>
      <c r="VG20">
        <f>VG19+IF(AND($C19=32,$U19=1),1,0)</f>
        <v/>
      </c>
      <c r="VH20">
        <f>VH19+IF(AND($C19=33,$U19=1),1,0)</f>
        <v/>
      </c>
      <c r="VI20">
        <f>VI19+IF(AND($C19=34,$U19=1),1,0)</f>
        <v/>
      </c>
      <c r="VJ20">
        <f>VJ19+IF(AND($C19=35,$U19=1),1,0)</f>
        <v/>
      </c>
      <c r="VK20">
        <f>VK19+IF(AND($C19=36,$U19=1),1,0)</f>
        <v/>
      </c>
      <c r="VL20">
        <f>VL19+IF(AND($C19=37,$U19=1),1,0)</f>
        <v/>
      </c>
      <c r="VM20">
        <f>VM19+IF(AND($C19=38,$U19=1),1,0)</f>
        <v/>
      </c>
      <c r="VN20">
        <f>VN19+IF(AND($C19=39,$U19=1),1,0)</f>
        <v/>
      </c>
      <c r="VO20">
        <f>VO19+IF(AND($C19=40,$U19=1),1,0)</f>
        <v/>
      </c>
      <c r="VP20">
        <f>VP19+IF(AND($C19=41,$U19=1),1,0)</f>
        <v/>
      </c>
      <c r="VQ20">
        <f>VQ19+IF(AND($C19=42,$U19=1),1,0)</f>
        <v/>
      </c>
      <c r="VR20">
        <f>VR19+IF(AND($C19=43,$U19=1),1,0)</f>
        <v/>
      </c>
      <c r="VS20">
        <f>VS19+IF(AND($C19=44,$U19=1),1,0)</f>
        <v/>
      </c>
      <c r="VT20">
        <f>VT19+IF(AND($C19=45,$U19=1),1,0)</f>
        <v/>
      </c>
      <c r="VU20">
        <f>VU19+IF(AND($C19=46,$U19=1),1,0)</f>
        <v/>
      </c>
      <c r="VV20">
        <f>VV19+IF(AND($C19=47,$U19=1),1,0)</f>
        <v/>
      </c>
      <c r="VW20">
        <f>VW19+IF(AND($C19=48,$U19=1),1,0)</f>
        <v/>
      </c>
      <c r="VX20">
        <f>VX19+IF(AND($C19=49,$U19=1),1,0)</f>
        <v/>
      </c>
      <c r="VY20">
        <f>VY19+IF(AND($C19=50,$U19=1),1,0)</f>
        <v/>
      </c>
      <c r="VZ20">
        <f>VZ19+IF(AND($C19=51,$U19=1),1,0)</f>
        <v/>
      </c>
      <c r="WA20">
        <f>WA19+IF(AND($C19=52,$U19=1),1,0)</f>
        <v/>
      </c>
      <c r="WB20">
        <f>WB19+IF(AND($C19=53,$U19=1),1,0)</f>
        <v/>
      </c>
      <c r="WC20">
        <f>WC19+IF(AND($C19=54,$U19=1),1,0)</f>
        <v/>
      </c>
      <c r="WD20">
        <f>WD19+IF(AND($C19=55,$U19=1),1,0)</f>
        <v/>
      </c>
      <c r="WE20">
        <f>WE19+IF(AND($C19=56,$U19=1),1,0)</f>
        <v/>
      </c>
      <c r="WF20">
        <f>WF19+IF(AND($C19=57,$U19=1),1,0)</f>
        <v/>
      </c>
      <c r="WG20">
        <f>WG19+IF(AND($C19=58,$U19=1),1,0)</f>
        <v/>
      </c>
      <c r="WH20">
        <f>WH19+IF(AND($C19=59,$U19=1),1,0)</f>
        <v/>
      </c>
      <c r="WI20">
        <f>WI19+IF(AND($C19=60,$U19=1),1,0)</f>
        <v/>
      </c>
      <c r="WJ20">
        <f>WJ19+IF(AND($C19=61,$U19=1),1,0)</f>
        <v/>
      </c>
      <c r="WK20">
        <f>WK19+IF(AND($C19=62,$U19=1),1,0)</f>
        <v/>
      </c>
      <c r="WL20">
        <f>WL19+IF(AND($C19=63,$U19=1),1,0)</f>
        <v/>
      </c>
      <c r="WM20">
        <f>WM19+IF(AND($C19=64,$U19=1),1,0)</f>
        <v/>
      </c>
      <c r="WN20">
        <f>WN19+IF(AND($C19=65,$U19=1),1,0)</f>
        <v/>
      </c>
      <c r="WO20">
        <f>WO19+IF(AND($C19=66,$U19=1),1,0)</f>
        <v/>
      </c>
      <c r="WP20">
        <f>WP19+IF(AND($C19=67,$U19=1),1,0)</f>
        <v/>
      </c>
      <c r="WQ20">
        <f>WQ19+IF(AND($C19=68,$U19=1),1,0)</f>
        <v/>
      </c>
      <c r="WR20">
        <f>WR19+IF(AND($C19=69,$U19=1),1,0)</f>
        <v/>
      </c>
      <c r="WS20">
        <f>WS19+IF(AND($C19=70,$U19=1),1,0)</f>
        <v/>
      </c>
      <c r="WT20">
        <f>WT19+IF(AND($C19=71,$U19=1),1,0)</f>
        <v/>
      </c>
      <c r="WU20">
        <f>WU19+IF(AND($C19=72,$U19=1),1,0)</f>
        <v/>
      </c>
      <c r="WV20">
        <f>WV19+IF(AND($C19=73,$U19=1),1,0)</f>
        <v/>
      </c>
      <c r="WW20">
        <f>WW19+IF(AND($C19=74,$U19=1),1,0)</f>
        <v/>
      </c>
      <c r="WX20">
        <f>WX19+IF(AND($C19=75,$U19=1),1,0)</f>
        <v/>
      </c>
      <c r="WY20">
        <f>WY19+IF(AND($C19=76,$U19=1),1,0)</f>
        <v/>
      </c>
      <c r="WZ20">
        <f>WZ19+IF(AND($C19=77,$U19=1),1,0)</f>
        <v/>
      </c>
      <c r="XA20">
        <f>XA19+IF(AND($C19=78,$U19=1),1,0)</f>
        <v/>
      </c>
      <c r="XB20">
        <f>XB19+IF(AND($C19=79,$U19=1),1,0)</f>
        <v/>
      </c>
      <c r="XC20">
        <f>XC19+IF(AND($C19=80,$U19=1),1,0)</f>
        <v/>
      </c>
      <c r="XD20">
        <f>XD19+IF(AND($C19=81,$U19=1),1,0)</f>
        <v/>
      </c>
      <c r="XE20">
        <f>XE19+IF(AND($C19=82,$U19=1),1,0)</f>
        <v/>
      </c>
      <c r="XF20">
        <f>XF19+IF(AND($C19=83,$U19=1),1,0)</f>
        <v/>
      </c>
      <c r="XG20">
        <f>XG19+IF(AND($C19=84,$U19=1),1,0)</f>
        <v/>
      </c>
      <c r="XH20">
        <f>XH19+IF(AND($C19=85,$U19=1),1,0)</f>
        <v/>
      </c>
      <c r="XI20">
        <f>XI19+IF(AND($C19=86,$U19=1),1,0)</f>
        <v/>
      </c>
      <c r="XJ20">
        <f>XJ19+IF(AND($C19=87,$U19=1),1,0)</f>
        <v/>
      </c>
      <c r="XK20">
        <f>XK19+IF(AND($C19=88,$U19=1),1,0)</f>
        <v/>
      </c>
      <c r="XL20">
        <f>XL19+IF(AND($C19=89,$U19=1),1,0)</f>
        <v/>
      </c>
      <c r="XM20">
        <f>XM19+IF(AND($C19=90,$U19=1),1,0)</f>
        <v/>
      </c>
      <c r="XN20">
        <f>XN19+IF(AND($C19=91,$U19=1),1,0)</f>
        <v/>
      </c>
      <c r="XO20">
        <f>XO19+IF(AND($C19=92,$U19=1),1,0)</f>
        <v/>
      </c>
      <c r="XP20">
        <f>XP19+IF(AND($C19=93,$U19=1),1,0)</f>
        <v/>
      </c>
      <c r="XQ20">
        <f>XQ19+IF(AND($C19=94,$U19=1),1,0)</f>
        <v/>
      </c>
      <c r="XR20">
        <f>XR19+IF(AND($C19=95,$U19=1),1,0)</f>
        <v/>
      </c>
      <c r="XS20">
        <f>XS19+IF(AND($C19=96,$U19=1),1,0)</f>
        <v/>
      </c>
      <c r="XT20">
        <f>XT19+IF(AND($C19=97,$U19=1),1,0)</f>
        <v/>
      </c>
      <c r="XU20">
        <f>XU19+IF(AND($C19=98,$U19=1),1,0)</f>
        <v/>
      </c>
      <c r="XV20">
        <f>XV19+IF(AND($C19=99,$U19=1),1,0)</f>
        <v/>
      </c>
      <c r="XW20">
        <f>XW19+IF(AND($C19=100,$U19=1),1,0)</f>
        <v/>
      </c>
      <c r="XX20">
        <f>XX19+IF(AND($C19=101,$U19=1),1,0)</f>
        <v/>
      </c>
      <c r="XY20">
        <f>XY19+IF(AND($C19=102,$U19=1),1,0)</f>
        <v/>
      </c>
      <c r="XZ20">
        <f>XZ19+IF(AND($C19=103,$U19=1),1,0)</f>
        <v/>
      </c>
      <c r="YA20">
        <f>YA19+IF(AND($C19=104,$U19=1),1,0)</f>
        <v/>
      </c>
      <c r="YB20">
        <f>YB19+IF(AND($C19=105,$U19=1),1,0)</f>
        <v/>
      </c>
      <c r="YC20">
        <f>YC19+IF(AND($C19=106,$U19=1),1,0)</f>
        <v/>
      </c>
      <c r="YD20">
        <f>YD19+IF(AND($C19=107,$U19=1),1,0)</f>
        <v/>
      </c>
      <c r="YE20">
        <f>YE19+IF(AND($C19=108,$U19=1),1,0)</f>
        <v/>
      </c>
      <c r="YF20">
        <f>YF19+IF(AND($C19=109,$U19=1),1,0)</f>
        <v/>
      </c>
      <c r="YG20">
        <f>YG19+IF(AND($C19=110,$U19=1),1,0)</f>
        <v/>
      </c>
      <c r="YH20">
        <f>YH19+IF(AND($C19=111,$U19=1),1,0)</f>
        <v/>
      </c>
      <c r="YI20">
        <f>YI19+IF(AND($C19=112,$U19=1),1,0)</f>
        <v/>
      </c>
      <c r="YJ20">
        <f>YJ19+IF(AND($C19=113,$U19=1),1,0)</f>
        <v/>
      </c>
      <c r="YK20">
        <f>YK19+IF(AND($C19=114,$U19=1),1,0)</f>
        <v/>
      </c>
      <c r="YL20">
        <f>YL19+IF(AND($C19=115,$U19=1),1,0)</f>
        <v/>
      </c>
      <c r="YM20">
        <f>YM19+IF(AND($C19=116,$U19=1),1,0)</f>
        <v/>
      </c>
      <c r="YN20">
        <f>YN19+IF(AND($C19=117,$U19=1),1,0)</f>
        <v/>
      </c>
      <c r="YO20">
        <f>YO19+IF(AND($C19=118,$U19=1),1,0)</f>
        <v/>
      </c>
      <c r="YP20">
        <f>YP19+IF(AND($C19=119,$U19=1),1,0)</f>
        <v/>
      </c>
      <c r="YQ20">
        <f>YQ19+IF(AND($C19=120,$U19=1),1,0)</f>
        <v/>
      </c>
      <c r="YR20">
        <f>YR19+IF(AND($C19=121,$U19=1),1,0)</f>
        <v/>
      </c>
      <c r="YS20">
        <f>YS19+IF(AND($C19=122,$U19=1),1,0)</f>
        <v/>
      </c>
      <c r="YT20">
        <f>YT19+IF(AND($C19=123,$U19=1),1,0)</f>
        <v/>
      </c>
      <c r="YU20">
        <f>YU19+IF(AND($C19=124,$U19=1),1,0)</f>
        <v/>
      </c>
      <c r="YV20">
        <f>YV19+IF(AND($C19=125,$U19=1),1,0)</f>
        <v/>
      </c>
      <c r="YW20">
        <f>YW19+IF(AND($C19=126,$U19=1),1,0)</f>
        <v/>
      </c>
      <c r="YX20">
        <f>YX19+IF(AND($C19=127,$U19=1),1,0)</f>
        <v/>
      </c>
      <c r="YY20">
        <f>YY19+IF(AND($C19=128,$U19=1),1,0)</f>
        <v/>
      </c>
      <c r="YZ20">
        <f>YZ19+IF(AND($C19=129,$U19=1),1,0)</f>
        <v/>
      </c>
      <c r="ZA20">
        <f>ZA19+IF(AND($C19=130,$U19=1),1,0)</f>
        <v/>
      </c>
      <c r="ZB20">
        <f>ZB19+IF(AND($C19=131,$U19=1),1,0)</f>
        <v/>
      </c>
      <c r="ZC20">
        <f>ZC19+IF(AND($C19=132,$U19=1),1,0)</f>
        <v/>
      </c>
      <c r="ZD20">
        <f>ZD19+IF(AND($C19=133,$U19=1),1,0)</f>
        <v/>
      </c>
      <c r="ZE20">
        <f>ZE19+IF(AND($C19=134,$U19=1),1,0)</f>
        <v/>
      </c>
      <c r="ZF20">
        <f>ZF19+IF(AND($C19=135,$U19=1),1,0)</f>
        <v/>
      </c>
      <c r="ZG20">
        <f>ZG19+IF(AND($C19=136,$U19=1),1,0)</f>
        <v/>
      </c>
      <c r="ZH20">
        <f>ZH19+IF(AND($C19=137,$U19=1),1,0)</f>
        <v/>
      </c>
      <c r="ZI20">
        <f>ZI19+IF(AND($C19=138,$U19=1),1,0)</f>
        <v/>
      </c>
      <c r="ZJ20">
        <f>ZJ19+IF(AND($C19=139,$U19=1),1,0)</f>
        <v/>
      </c>
      <c r="ZK20">
        <f>ZK19+IF(AND($C19=140,$U19=1),1,0)</f>
        <v/>
      </c>
      <c r="ZL20">
        <f>ZL19+IF(AND($C19=141,$U19=1),1,0)</f>
        <v/>
      </c>
      <c r="ZM20">
        <f>ZM19+IF(AND($C19=142,$U19=1),1,0)</f>
        <v/>
      </c>
      <c r="ZN20">
        <f>ZN19+IF(AND($C19=143,$U19=1),1,0)</f>
        <v/>
      </c>
      <c r="ZO20">
        <f>ZO19+IF(AND($C19=144,$U19=1),1,0)</f>
        <v/>
      </c>
      <c r="ZQ20">
        <f>IF($C19=1,0,ZQ19+IF(AND($G19=1,$E19=1),1,0))</f>
        <v/>
      </c>
      <c r="ZR20">
        <f>IF($C19=2,0,ZR19+IF(AND($G19=2,$E19=1),1,0))</f>
        <v/>
      </c>
      <c r="ZS20">
        <f>IF($C19=3,0,ZS19+IF(AND($G19=3,$E19=1),1,0))</f>
        <v/>
      </c>
      <c r="ZT20">
        <f>IF($C19=4,0,ZT19+IF(AND($G19=4,$E19=1),1,0))</f>
        <v/>
      </c>
      <c r="ZU20">
        <f>IF($C19=5,0,ZU19+IF(AND($G19=5,$E19=1),1,0))</f>
        <v/>
      </c>
      <c r="ZV20">
        <f>IF($C19=6,0,ZV19+IF(AND($G19=6,$E19=1),1,0))</f>
        <v/>
      </c>
      <c r="ZW20">
        <f>IF($C19=7,0,ZW19+IF(AND($G19=7,$E19=1),1,0))</f>
        <v/>
      </c>
      <c r="ZX20">
        <f>IF($C19=8,0,ZX19+IF(AND($G19=8,$E19=1),1,0))</f>
        <v/>
      </c>
      <c r="ZY20">
        <f>IF($C19=9,0,ZY19+IF(AND($G19=9,$E19=1),1,0))</f>
        <v/>
      </c>
      <c r="ZZ20">
        <f>IF($C19=10,0,ZZ19+IF(AND($G19=10,$E19=1),1,0))</f>
        <v/>
      </c>
      <c r="AAA20">
        <f>IF($C19=11,0,AAA19+IF(AND($G19=11,$E19=1),1,0))</f>
        <v/>
      </c>
      <c r="AAB20">
        <f>IF($C19=12,0,AAB19+IF(AND($G19=12,$E19=1),1,0))</f>
        <v/>
      </c>
      <c r="AAC20">
        <f>IF($C19=13,0,AAC19+IF(AND($G19=13,$E19=1),1,0))</f>
        <v/>
      </c>
      <c r="AAD20">
        <f>IF($C19=14,0,AAD19+IF(AND($G19=14,$E19=1),1,0))</f>
        <v/>
      </c>
      <c r="AAE20">
        <f>IF($C19=15,0,AAE19+IF(AND($G19=15,$E19=1),1,0))</f>
        <v/>
      </c>
      <c r="AAF20">
        <f>IF($C19=16,0,AAF19+IF(AND($G19=16,$E19=1),1,0))</f>
        <v/>
      </c>
      <c r="AAG20">
        <f>IF($C19=17,0,AAG19+IF(AND($G19=17,$E19=1),1,0))</f>
        <v/>
      </c>
      <c r="AAH20">
        <f>IF($C19=18,0,AAH19+IF(AND($G19=18,$E19=1),1,0))</f>
        <v/>
      </c>
      <c r="AAI20">
        <f>IF($C19=19,0,AAI19+IF(AND($G19=19,$E19=1),1,0))</f>
        <v/>
      </c>
      <c r="AAJ20">
        <f>IF($C19=20,0,AAJ19+IF(AND($G19=20,$E19=1),1,0))</f>
        <v/>
      </c>
      <c r="AAK20">
        <f>IF($C19=21,0,AAK19+IF(AND($G19=21,$E19=1),1,0))</f>
        <v/>
      </c>
      <c r="AAL20">
        <f>IF($C19=22,0,AAL19+IF(AND($G19=22,$E19=1),1,0))</f>
        <v/>
      </c>
      <c r="AAM20">
        <f>IF($C19=23,0,AAM19+IF(AND($G19=23,$E19=1),1,0))</f>
        <v/>
      </c>
      <c r="AAN20">
        <f>IF($C19=24,0,AAN19+IF(AND($G19=24,$E19=1),1,0))</f>
        <v/>
      </c>
      <c r="AAO20">
        <f>IF($C19=25,0,AAO19+IF(AND($G19=25,$E19=1),1,0))</f>
        <v/>
      </c>
      <c r="AAP20">
        <f>IF($C19=26,0,AAP19+IF(AND($G19=26,$E19=1),1,0))</f>
        <v/>
      </c>
      <c r="AAQ20">
        <f>IF($C19=27,0,AAQ19+IF(AND($G19=27,$E19=1),1,0))</f>
        <v/>
      </c>
      <c r="AAR20">
        <f>IF($C19=28,0,AAR19+IF(AND($G19=28,$E19=1),1,0))</f>
        <v/>
      </c>
      <c r="AAS20">
        <f>IF($C19=29,0,AAS19+IF(AND($G19=29,$E19=1),1,0))</f>
        <v/>
      </c>
      <c r="AAT20">
        <f>IF($C19=30,0,AAT19+IF(AND($G19=30,$E19=1),1,0))</f>
        <v/>
      </c>
      <c r="AAU20">
        <f>IF($C19=31,0,AAU19+IF(AND($G19=31,$E19=1),1,0))</f>
        <v/>
      </c>
      <c r="AAV20">
        <f>IF($C19=32,0,AAV19+IF(AND($G19=32,$E19=1),1,0))</f>
        <v/>
      </c>
      <c r="AAW20">
        <f>IF($C19=33,0,AAW19+IF(AND($G19=33,$E19=1),1,0))</f>
        <v/>
      </c>
      <c r="AAX20">
        <f>IF($C19=34,0,AAX19+IF(AND($G19=34,$E19=1),1,0))</f>
        <v/>
      </c>
      <c r="AAY20">
        <f>IF($C19=35,0,AAY19+IF(AND($G19=35,$E19=1),1,0))</f>
        <v/>
      </c>
      <c r="AAZ20">
        <f>IF($C19=36,0,AAZ19+IF(AND($G19=36,$E19=1),1,0))</f>
        <v/>
      </c>
      <c r="ABA20">
        <f>IF($C19=37,0,ABA19+IF(AND($G19=37,$E19=1),1,0))</f>
        <v/>
      </c>
      <c r="ABB20">
        <f>IF($C19=38,0,ABB19+IF(AND($G19=38,$E19=1),1,0))</f>
        <v/>
      </c>
      <c r="ABC20">
        <f>IF($C19=39,0,ABC19+IF(AND($G19=39,$E19=1),1,0))</f>
        <v/>
      </c>
      <c r="ABD20">
        <f>IF($C19=40,0,ABD19+IF(AND($G19=40,$E19=1),1,0))</f>
        <v/>
      </c>
      <c r="ABE20">
        <f>IF($C19=41,0,ABE19+IF(AND($G19=41,$E19=1),1,0))</f>
        <v/>
      </c>
      <c r="ABF20">
        <f>IF($C19=42,0,ABF19+IF(AND($G19=42,$E19=1),1,0))</f>
        <v/>
      </c>
      <c r="ABG20">
        <f>IF($C19=43,0,ABG19+IF(AND($G19=43,$E19=1),1,0))</f>
        <v/>
      </c>
      <c r="ABH20">
        <f>IF($C19=44,0,ABH19+IF(AND($G19=44,$E19=1),1,0))</f>
        <v/>
      </c>
      <c r="ABI20">
        <f>IF($C19=45,0,ABI19+IF(AND($G19=45,$E19=1),1,0))</f>
        <v/>
      </c>
      <c r="ABJ20">
        <f>IF($C19=46,0,ABJ19+IF(AND($G19=46,$E19=1),1,0))</f>
        <v/>
      </c>
      <c r="ABK20">
        <f>IF($C19=47,0,ABK19+IF(AND($G19=47,$E19=1),1,0))</f>
        <v/>
      </c>
      <c r="ABL20">
        <f>IF($C19=48,0,ABL19+IF(AND($G19=48,$E19=1),1,0))</f>
        <v/>
      </c>
      <c r="ABM20">
        <f>IF($C19=49,0,ABM19+IF(AND($G19=49,$E19=1),1,0))</f>
        <v/>
      </c>
      <c r="ABN20">
        <f>IF($C19=50,0,ABN19+IF(AND($G19=50,$E19=1),1,0))</f>
        <v/>
      </c>
      <c r="ABO20">
        <f>IF($C19=51,0,ABO19+IF(AND($G19=51,$E19=1),1,0))</f>
        <v/>
      </c>
      <c r="ABP20">
        <f>IF($C19=52,0,ABP19+IF(AND($G19=52,$E19=1),1,0))</f>
        <v/>
      </c>
      <c r="ABQ20">
        <f>IF($C19=53,0,ABQ19+IF(AND($G19=53,$E19=1),1,0))</f>
        <v/>
      </c>
      <c r="ABR20">
        <f>IF($C19=54,0,ABR19+IF(AND($G19=54,$E19=1),1,0))</f>
        <v/>
      </c>
      <c r="ABS20">
        <f>IF($C19=55,0,ABS19+IF(AND($G19=55,$E19=1),1,0))</f>
        <v/>
      </c>
      <c r="ABT20">
        <f>IF($C19=56,0,ABT19+IF(AND($G19=56,$E19=1),1,0))</f>
        <v/>
      </c>
      <c r="ABU20">
        <f>IF($C19=57,0,ABU19+IF(AND($G19=57,$E19=1),1,0))</f>
        <v/>
      </c>
      <c r="ABV20">
        <f>IF($C19=58,0,ABV19+IF(AND($G19=58,$E19=1),1,0))</f>
        <v/>
      </c>
      <c r="ABW20">
        <f>IF($C19=59,0,ABW19+IF(AND($G19=59,$E19=1),1,0))</f>
        <v/>
      </c>
      <c r="ABX20">
        <f>IF($C19=60,0,ABX19+IF(AND($G19=60,$E19=1),1,0))</f>
        <v/>
      </c>
      <c r="ABY20">
        <f>IF($C19=61,0,ABY19+IF(AND($G19=61,$E19=1),1,0))</f>
        <v/>
      </c>
      <c r="ABZ20">
        <f>IF($C19=62,0,ABZ19+IF(AND($G19=62,$E19=1),1,0))</f>
        <v/>
      </c>
      <c r="ACA20">
        <f>IF($C19=63,0,ACA19+IF(AND($G19=63,$E19=1),1,0))</f>
        <v/>
      </c>
      <c r="ACB20">
        <f>IF($C19=64,0,ACB19+IF(AND($G19=64,$E19=1),1,0))</f>
        <v/>
      </c>
      <c r="ACC20">
        <f>IF($C19=65,0,ACC19+IF(AND($G19=65,$E19=1),1,0))</f>
        <v/>
      </c>
      <c r="ACD20">
        <f>IF($C19=66,0,ACD19+IF(AND($G19=66,$E19=1),1,0))</f>
        <v/>
      </c>
      <c r="ACE20">
        <f>IF($C19=67,0,ACE19+IF(AND($G19=67,$E19=1),1,0))</f>
        <v/>
      </c>
      <c r="ACF20">
        <f>IF($C19=68,0,ACF19+IF(AND($G19=68,$E19=1),1,0))</f>
        <v/>
      </c>
      <c r="ACG20">
        <f>IF($C19=69,0,ACG19+IF(AND($G19=69,$E19=1),1,0))</f>
        <v/>
      </c>
      <c r="ACH20">
        <f>IF($C19=70,0,ACH19+IF(AND($G19=70,$E19=1),1,0))</f>
        <v/>
      </c>
      <c r="ACI20">
        <f>IF($C19=71,0,ACI19+IF(AND($G19=71,$E19=1),1,0))</f>
        <v/>
      </c>
      <c r="ACJ20">
        <f>IF($C19=72,0,ACJ19+IF(AND($G19=72,$E19=1),1,0))</f>
        <v/>
      </c>
      <c r="ACK20">
        <f>IF($C19=73,0,ACK19+IF(AND($G19=73,$E19=1),1,0))</f>
        <v/>
      </c>
      <c r="ACL20">
        <f>IF($C19=74,0,ACL19+IF(AND($G19=74,$E19=1),1,0))</f>
        <v/>
      </c>
      <c r="ACM20">
        <f>IF($C19=75,0,ACM19+IF(AND($G19=75,$E19=1),1,0))</f>
        <v/>
      </c>
      <c r="ACN20">
        <f>IF($C19=76,0,ACN19+IF(AND($G19=76,$E19=1),1,0))</f>
        <v/>
      </c>
      <c r="ACO20">
        <f>IF($C19=77,0,ACO19+IF(AND($G19=77,$E19=1),1,0))</f>
        <v/>
      </c>
      <c r="ACP20">
        <f>IF($C19=78,0,ACP19+IF(AND($G19=78,$E19=1),1,0))</f>
        <v/>
      </c>
      <c r="ACQ20">
        <f>IF($C19=79,0,ACQ19+IF(AND($G19=79,$E19=1),1,0))</f>
        <v/>
      </c>
      <c r="ACR20">
        <f>IF($C19=80,0,ACR19+IF(AND($G19=80,$E19=1),1,0))</f>
        <v/>
      </c>
      <c r="ACS20">
        <f>IF($C19=81,0,ACS19+IF(AND($G19=81,$E19=1),1,0))</f>
        <v/>
      </c>
      <c r="ACT20">
        <f>IF($C19=82,0,ACT19+IF(AND($G19=82,$E19=1),1,0))</f>
        <v/>
      </c>
      <c r="ACU20">
        <f>IF($C19=83,0,ACU19+IF(AND($G19=83,$E19=1),1,0))</f>
        <v/>
      </c>
      <c r="ACV20">
        <f>IF($C19=84,0,ACV19+IF(AND($G19=84,$E19=1),1,0))</f>
        <v/>
      </c>
      <c r="ACW20">
        <f>IF($C19=85,0,ACW19+IF(AND($G19=85,$E19=1),1,0))</f>
        <v/>
      </c>
      <c r="ACX20">
        <f>IF($C19=86,0,ACX19+IF(AND($G19=86,$E19=1),1,0))</f>
        <v/>
      </c>
      <c r="ACY20">
        <f>IF($C19=87,0,ACY19+IF(AND($G19=87,$E19=1),1,0))</f>
        <v/>
      </c>
      <c r="ACZ20">
        <f>IF($C19=88,0,ACZ19+IF(AND($G19=88,$E19=1),1,0))</f>
        <v/>
      </c>
      <c r="ADA20">
        <f>IF($C19=89,0,ADA19+IF(AND($G19=89,$E19=1),1,0))</f>
        <v/>
      </c>
      <c r="ADB20">
        <f>IF($C19=90,0,ADB19+IF(AND($G19=90,$E19=1),1,0))</f>
        <v/>
      </c>
      <c r="ADC20">
        <f>IF($C19=91,0,ADC19+IF(AND($G19=91,$E19=1),1,0))</f>
        <v/>
      </c>
      <c r="ADD20">
        <f>IF($C19=92,0,ADD19+IF(AND($G19=92,$E19=1),1,0))</f>
        <v/>
      </c>
      <c r="ADE20">
        <f>IF($C19=93,0,ADE19+IF(AND($G19=93,$E19=1),1,0))</f>
        <v/>
      </c>
      <c r="ADF20">
        <f>IF($C19=94,0,ADF19+IF(AND($G19=94,$E19=1),1,0))</f>
        <v/>
      </c>
      <c r="ADG20">
        <f>IF($C19=95,0,ADG19+IF(AND($G19=95,$E19=1),1,0))</f>
        <v/>
      </c>
      <c r="ADH20">
        <f>IF($C19=96,0,ADH19+IF(AND($G19=96,$E19=1),1,0))</f>
        <v/>
      </c>
      <c r="ADI20">
        <f>IF($C19=97,0,ADI19+IF(AND($G19=97,$E19=1),1,0))</f>
        <v/>
      </c>
      <c r="ADJ20">
        <f>IF($C19=98,0,ADJ19+IF(AND($G19=98,$E19=1),1,0))</f>
        <v/>
      </c>
      <c r="ADK20">
        <f>IF($C19=99,0,ADK19+IF(AND($G19=99,$E19=1),1,0))</f>
        <v/>
      </c>
      <c r="ADL20">
        <f>IF($C19=100,0,ADL19+IF(AND($G19=100,$E19=1),1,0))</f>
        <v/>
      </c>
      <c r="ADM20">
        <f>IF($C19=101,0,ADM19+IF(AND($G19=101,$E19=1),1,0))</f>
        <v/>
      </c>
      <c r="ADN20">
        <f>IF($C19=102,0,ADN19+IF(AND($G19=102,$E19=1),1,0))</f>
        <v/>
      </c>
      <c r="ADO20">
        <f>IF($C19=103,0,ADO19+IF(AND($G19=103,$E19=1),1,0))</f>
        <v/>
      </c>
      <c r="ADP20">
        <f>IF($C19=104,0,ADP19+IF(AND($G19=104,$E19=1),1,0))</f>
        <v/>
      </c>
      <c r="ADQ20">
        <f>IF($C19=105,0,ADQ19+IF(AND($G19=105,$E19=1),1,0))</f>
        <v/>
      </c>
      <c r="ADR20">
        <f>IF($C19=106,0,ADR19+IF(AND($G19=106,$E19=1),1,0))</f>
        <v/>
      </c>
      <c r="ADS20">
        <f>IF($C19=107,0,ADS19+IF(AND($G19=107,$E19=1),1,0))</f>
        <v/>
      </c>
      <c r="ADT20">
        <f>IF($C19=108,0,ADT19+IF(AND($G19=108,$E19=1),1,0))</f>
        <v/>
      </c>
      <c r="ADU20">
        <f>IF($C19=109,0,ADU19+IF(AND($G19=109,$E19=1),1,0))</f>
        <v/>
      </c>
      <c r="ADV20">
        <f>IF($C19=110,0,ADV19+IF(AND($G19=110,$E19=1),1,0))</f>
        <v/>
      </c>
      <c r="ADW20">
        <f>IF($C19=111,0,ADW19+IF(AND($G19=111,$E19=1),1,0))</f>
        <v/>
      </c>
      <c r="ADX20">
        <f>IF($C19=112,0,ADX19+IF(AND($G19=112,$E19=1),1,0))</f>
        <v/>
      </c>
      <c r="ADY20">
        <f>IF($C19=113,0,ADY19+IF(AND($G19=113,$E19=1),1,0))</f>
        <v/>
      </c>
      <c r="ADZ20">
        <f>IF($C19=114,0,ADZ19+IF(AND($G19=114,$E19=1),1,0))</f>
        <v/>
      </c>
      <c r="AEA20">
        <f>IF($C19=115,0,AEA19+IF(AND($G19=115,$E19=1),1,0))</f>
        <v/>
      </c>
      <c r="AEB20">
        <f>IF($C19=116,0,AEB19+IF(AND($G19=116,$E19=1),1,0))</f>
        <v/>
      </c>
      <c r="AEC20">
        <f>IF($C19=117,0,AEC19+IF(AND($G19=117,$E19=1),1,0))</f>
        <v/>
      </c>
      <c r="AED20">
        <f>IF($C19=118,0,AED19+IF(AND($G19=118,$E19=1),1,0))</f>
        <v/>
      </c>
      <c r="AEE20">
        <f>IF($C19=119,0,AEE19+IF(AND($G19=119,$E19=1),1,0))</f>
        <v/>
      </c>
      <c r="AEF20">
        <f>IF($C19=120,0,AEF19+IF(AND($G19=120,$E19=1),1,0))</f>
        <v/>
      </c>
      <c r="AEG20">
        <f>IF($C19=121,0,AEG19+IF(AND($G19=121,$E19=1),1,0))</f>
        <v/>
      </c>
      <c r="AEH20">
        <f>IF($C19=122,0,AEH19+IF(AND($G19=122,$E19=1),1,0))</f>
        <v/>
      </c>
      <c r="AEI20">
        <f>IF($C19=123,0,AEI19+IF(AND($G19=123,$E19=1),1,0))</f>
        <v/>
      </c>
      <c r="AEJ20">
        <f>IF($C19=124,0,AEJ19+IF(AND($G19=124,$E19=1),1,0))</f>
        <v/>
      </c>
      <c r="AEK20">
        <f>IF($C19=125,0,AEK19+IF(AND($G19=125,$E19=1),1,0))</f>
        <v/>
      </c>
      <c r="AEL20">
        <f>IF($C19=126,0,AEL19+IF(AND($G19=126,$E19=1),1,0))</f>
        <v/>
      </c>
      <c r="AEM20">
        <f>IF($C19=127,0,AEM19+IF(AND($G19=127,$E19=1),1,0))</f>
        <v/>
      </c>
      <c r="AEN20">
        <f>IF($C19=128,0,AEN19+IF(AND($G19=128,$E19=1),1,0))</f>
        <v/>
      </c>
      <c r="AEO20">
        <f>IF($C19=129,0,AEO19+IF(AND($G19=129,$E19=1),1,0))</f>
        <v/>
      </c>
      <c r="AEP20">
        <f>IF($C19=130,0,AEP19+IF(AND($G19=130,$E19=1),1,0))</f>
        <v/>
      </c>
      <c r="AEQ20">
        <f>IF($C19=131,0,AEQ19+IF(AND($G19=131,$E19=1),1,0))</f>
        <v/>
      </c>
      <c r="AER20">
        <f>IF($C19=132,0,AER19+IF(AND($G19=132,$E19=1),1,0))</f>
        <v/>
      </c>
      <c r="AES20">
        <f>IF($C19=133,0,AES19+IF(AND($G19=133,$E19=1),1,0))</f>
        <v/>
      </c>
      <c r="AET20">
        <f>IF($C19=134,0,AET19+IF(AND($G19=134,$E19=1),1,0))</f>
        <v/>
      </c>
      <c r="AEU20">
        <f>IF($C19=135,0,AEU19+IF(AND($G19=135,$E19=1),1,0))</f>
        <v/>
      </c>
      <c r="AEV20">
        <f>IF($C19=136,0,AEV19+IF(AND($G19=136,$E19=1),1,0))</f>
        <v/>
      </c>
      <c r="AEW20">
        <f>IF($C19=137,0,AEW19+IF(AND($G19=137,$E19=1),1,0))</f>
        <v/>
      </c>
      <c r="AEX20">
        <f>IF($C19=138,0,AEX19+IF(AND($G19=138,$E19=1),1,0))</f>
        <v/>
      </c>
      <c r="AEY20">
        <f>IF($C19=139,0,AEY19+IF(AND($G19=139,$E19=1),1,0))</f>
        <v/>
      </c>
      <c r="AEZ20">
        <f>IF($C19=140,0,AEZ19+IF(AND($G19=140,$E19=1),1,0))</f>
        <v/>
      </c>
      <c r="AFA20">
        <f>IF($C19=141,0,AFA19+IF(AND($G19=141,$E19=1),1,0))</f>
        <v/>
      </c>
      <c r="AFB20">
        <f>IF($C19=142,0,AFB19+IF(AND($G19=142,$E19=1),1,0))</f>
        <v/>
      </c>
      <c r="AFC20">
        <f>IF($C19=143,0,AFC19+IF(AND($G19=143,$E19=1),1,0))</f>
        <v/>
      </c>
      <c r="AFD20">
        <f>IF($C19=144,0,AFD19+IF(AND($G19=144,$E19=1),1,0))</f>
        <v/>
      </c>
      <c r="AFF20">
        <f>IF('calcA'!D$106=1,DC20+ZR20,1)</f>
        <v/>
      </c>
      <c r="AFG20">
        <f>IF('calcA'!E$106=1,DD20+ZS20,1)</f>
        <v/>
      </c>
      <c r="AFH20">
        <f>IF('calcA'!F$106=1,DE20+ZT20,1)</f>
        <v/>
      </c>
      <c r="AFI20">
        <f>IF('calcA'!G$106=1,DF20+ZU20,1)</f>
        <v/>
      </c>
      <c r="AFJ20">
        <f>IF('calcA'!H$106=1,DG20+ZV20,1)</f>
        <v/>
      </c>
      <c r="AFK20">
        <f>IF('calcA'!I$106=1,DH20+ZW20,1)</f>
        <v/>
      </c>
      <c r="AFL20">
        <f>IF('calcA'!J$106=1,DI20+ZX20,1)</f>
        <v/>
      </c>
      <c r="AFM20">
        <f>IF('calcA'!K$106=1,DJ20+ZY20,1)</f>
        <v/>
      </c>
      <c r="AFN20">
        <f>IF('calcA'!L$106=1,DK20+ZZ20,1)</f>
        <v/>
      </c>
      <c r="AFO20">
        <f>IF('calcA'!M$106=1,DL20+AAA20,1)</f>
        <v/>
      </c>
      <c r="AFP20">
        <f>IF('calcA'!N$106=1,DM20+AAB20,1)</f>
        <v/>
      </c>
      <c r="AFQ20">
        <f>IF('calcA'!O$106=1,DN20+AAC20,1)</f>
        <v/>
      </c>
      <c r="AFR20">
        <f>IF('calcA'!P$106=1,DO20+AAD20,1)</f>
        <v/>
      </c>
      <c r="AFS20">
        <f>IF('calcA'!Q$106=1,DP20+AAE20,1)</f>
        <v/>
      </c>
      <c r="AFT20">
        <f>IF('calcA'!R$106=1,DQ20+AAF20,1)</f>
        <v/>
      </c>
      <c r="AFU20">
        <f>IF('calcA'!S$106=1,DR20+AAG20,1)</f>
        <v/>
      </c>
      <c r="AFV20">
        <f>IF('calcA'!T$106=1,DS20+AAH20,1)</f>
        <v/>
      </c>
      <c r="AFW20">
        <f>IF('calcA'!U$106=1,DT20+AAI20,1)</f>
        <v/>
      </c>
      <c r="AFX20">
        <f>IF('calcA'!V$106=1,DU20+AAJ20,1)</f>
        <v/>
      </c>
      <c r="AFY20">
        <f>IF('calcA'!W$106=1,DV20+AAK20,1)</f>
        <v/>
      </c>
      <c r="AFZ20">
        <f>IF('calcA'!X$106=1,DW20+AAL20,1)</f>
        <v/>
      </c>
      <c r="AGA20">
        <f>IF('calcA'!Y$106=1,DX20+AAM20,1)</f>
        <v/>
      </c>
      <c r="AGB20">
        <f>IF('calcA'!Z$106=1,DY20+AAN20,1)</f>
        <v/>
      </c>
      <c r="AGC20">
        <f>IF('calcA'!AA$106=1,DZ20+AAO20,1)</f>
        <v/>
      </c>
      <c r="AGD20">
        <f>IF('calcA'!AB$106=1,EA20+AAP20,1)</f>
        <v/>
      </c>
      <c r="AGE20">
        <f>IF('calcA'!AC$106=1,EB20+AAQ20,1)</f>
        <v/>
      </c>
      <c r="AGF20">
        <f>IF('calcA'!AD$106=1,EC20+AAR20,1)</f>
        <v/>
      </c>
      <c r="AGG20">
        <f>IF('calcA'!AE$106=1,ED20+AAS20,1)</f>
        <v/>
      </c>
      <c r="AGH20">
        <f>IF('calcA'!AF$106=1,EE20+AAT20,1)</f>
        <v/>
      </c>
      <c r="AGI20">
        <f>IF('calcA'!AG$106=1,EF20+AAU20,1)</f>
        <v/>
      </c>
      <c r="AGJ20">
        <f>IF('calcA'!AH$106=1,EG20+AAV20,1)</f>
        <v/>
      </c>
      <c r="AGK20">
        <f>IF('calcA'!AI$106=1,EH20+AAW20,1)</f>
        <v/>
      </c>
      <c r="AGL20">
        <f>IF('calcA'!AJ$106=1,EI20+AAX20,1)</f>
        <v/>
      </c>
      <c r="AGM20">
        <f>IF('calcA'!AK$106=1,EJ20+AAY20,1)</f>
        <v/>
      </c>
      <c r="AGN20">
        <f>IF('calcA'!AL$106=1,EK20+AAZ20,1)</f>
        <v/>
      </c>
      <c r="AGO20">
        <f>IF('calcA'!AM$106=1,EL20+ABA20,1)</f>
        <v/>
      </c>
      <c r="AGP20">
        <f>IF('calcA'!AN$106=1,EM20+ABB20,1)</f>
        <v/>
      </c>
      <c r="AGQ20">
        <f>IF('calcA'!AO$106=1,EN20+ABC20,1)</f>
        <v/>
      </c>
      <c r="AGR20">
        <f>IF('calcA'!AP$106=1,EO20+ABD20,1)</f>
        <v/>
      </c>
      <c r="AGS20">
        <f>IF('calcA'!AQ$106=1,EP20+ABE20,1)</f>
        <v/>
      </c>
      <c r="AGT20">
        <f>IF('calcA'!AR$106=1,EQ20+ABF20,1)</f>
        <v/>
      </c>
      <c r="AGU20">
        <f>IF('calcA'!AS$106=1,ER20+ABG20,1)</f>
        <v/>
      </c>
      <c r="AGV20">
        <f>IF('calcA'!AT$106=1,ES20+ABH20,1)</f>
        <v/>
      </c>
      <c r="AGW20">
        <f>IF('calcA'!AU$106=1,ET20+ABI20,1)</f>
        <v/>
      </c>
      <c r="AGX20">
        <f>IF('calcA'!AV$106=1,EU20+ABJ20,1)</f>
        <v/>
      </c>
      <c r="AGY20">
        <f>IF('calcA'!AW$106=1,EV20+ABK20,1)</f>
        <v/>
      </c>
      <c r="AGZ20">
        <f>IF('calcA'!AX$106=1,EW20+ABL20,1)</f>
        <v/>
      </c>
      <c r="AHA20">
        <f>IF('calcA'!AY$106=1,EX20+ABM20,1)</f>
        <v/>
      </c>
      <c r="AHB20">
        <f>IF('calcA'!AZ$106=1,EY20+ABN20,1)</f>
        <v/>
      </c>
      <c r="AHC20">
        <f>IF('calcA'!BA$106=1,EZ20+ABO20,1)</f>
        <v/>
      </c>
      <c r="AHD20">
        <f>IF('calcA'!BB$106=1,FA20+ABP20,1)</f>
        <v/>
      </c>
      <c r="AHE20">
        <f>IF('calcA'!BC$106=1,FB20+ABQ20,1)</f>
        <v/>
      </c>
      <c r="AHF20">
        <f>IF('calcA'!BD$106=1,FC20+ABR20,1)</f>
        <v/>
      </c>
      <c r="AHG20">
        <f>IF('calcA'!BE$106=1,FD20+ABS20,1)</f>
        <v/>
      </c>
      <c r="AHH20">
        <f>IF('calcA'!BF$106=1,FE20+ABT20,1)</f>
        <v/>
      </c>
      <c r="AHI20">
        <f>IF('calcA'!BG$106=1,FF20+ABU20,1)</f>
        <v/>
      </c>
      <c r="AHJ20">
        <f>IF('calcA'!BH$106=1,FG20+ABV20,1)</f>
        <v/>
      </c>
      <c r="AHK20">
        <f>IF('calcA'!BI$106=1,FH20+ABW20,1)</f>
        <v/>
      </c>
      <c r="AHL20">
        <f>IF('calcA'!BJ$106=1,FI20+ABX20,1)</f>
        <v/>
      </c>
      <c r="AHM20">
        <f>IF('calcA'!BK$106=1,FJ20+ABY20,1)</f>
        <v/>
      </c>
      <c r="AHN20">
        <f>IF('calcA'!BL$106=1,FK20+ABZ20,1)</f>
        <v/>
      </c>
      <c r="AHO20">
        <f>IF('calcA'!BM$106=1,FL20+ACA20,1)</f>
        <v/>
      </c>
      <c r="AHP20">
        <f>IF('calcA'!BN$106=1,FM20+ACB20,1)</f>
        <v/>
      </c>
      <c r="AHQ20">
        <f>IF('calcA'!BO$106=1,FN20+ACC20,1)</f>
        <v/>
      </c>
      <c r="AHR20">
        <f>IF('calcA'!BP$106=1,FO20+ACD20,1)</f>
        <v/>
      </c>
      <c r="AHS20">
        <f>IF('calcA'!BQ$106=1,FP20+ACE20,1)</f>
        <v/>
      </c>
      <c r="AHT20">
        <f>IF('calcA'!BR$106=1,FQ20+ACF20,1)</f>
        <v/>
      </c>
      <c r="AHU20">
        <f>IF('calcA'!BS$106=1,FR20+ACG20,1)</f>
        <v/>
      </c>
      <c r="AHV20">
        <f>IF('calcA'!BT$106=1,FS20+ACH20,1)</f>
        <v/>
      </c>
      <c r="AHW20">
        <f>IF('calcA'!BU$106=1,FT20+ACI20,1)</f>
        <v/>
      </c>
      <c r="AHX20">
        <f>IF('calcA'!BV$106=1,FU20+ACJ20,1)</f>
        <v/>
      </c>
      <c r="AHY20">
        <f>IF('calcA'!BW$106=1,FV20+ACK20,1)</f>
        <v/>
      </c>
      <c r="AHZ20">
        <f>IF('calcA'!BX$106=1,FW20+ACL20,1)</f>
        <v/>
      </c>
      <c r="AIA20">
        <f>IF('calcA'!BY$106=1,FX20+ACM20,1)</f>
        <v/>
      </c>
      <c r="AIB20">
        <f>IF('calcA'!BZ$106=1,FY20+ACN20,1)</f>
        <v/>
      </c>
      <c r="AIC20">
        <f>IF('calcA'!CA$106=1,FZ20+ACO20,1)</f>
        <v/>
      </c>
      <c r="AID20">
        <f>IF('calcA'!CB$106=1,GA20+ACP20,1)</f>
        <v/>
      </c>
      <c r="AIE20">
        <f>IF('calcA'!CC$106=1,GB20+ACQ20,1)</f>
        <v/>
      </c>
      <c r="AIF20">
        <f>IF('calcA'!CD$106=1,GC20+ACR20,1)</f>
        <v/>
      </c>
      <c r="AIG20">
        <f>IF('calcA'!CE$106=1,GD20+ACS20,1)</f>
        <v/>
      </c>
      <c r="AIH20">
        <f>IF('calcA'!CF$106=1,GE20+ACT20,1)</f>
        <v/>
      </c>
      <c r="AII20">
        <f>IF('calcA'!CG$106=1,GF20+ACU20,1)</f>
        <v/>
      </c>
      <c r="AIJ20">
        <f>IF('calcA'!CH$106=1,GG20+ACV20,1)</f>
        <v/>
      </c>
      <c r="AIK20">
        <f>IF('calcA'!CI$106=1,GH20+ACW20,1)</f>
        <v/>
      </c>
      <c r="AIL20">
        <f>IF('calcA'!CJ$106=1,GI20+ACX20,1)</f>
        <v/>
      </c>
      <c r="AIM20">
        <f>IF('calcA'!CK$106=1,GJ20+ACY20,1)</f>
        <v/>
      </c>
      <c r="AIN20">
        <f>IF('calcA'!CL$106=1,GK20+ACZ20,1)</f>
        <v/>
      </c>
      <c r="AIO20">
        <f>IF('calcA'!CM$106=1,GL20+ADA20,1)</f>
        <v/>
      </c>
      <c r="AIP20">
        <f>IF('calcA'!CN$106=1,GM20+ADB20,1)</f>
        <v/>
      </c>
      <c r="AIQ20">
        <f>IF('calcA'!CO$106=1,GN20+ADC20,1)</f>
        <v/>
      </c>
      <c r="AIR20">
        <f>IF('calcA'!CP$106=1,GO20+ADD20,1)</f>
        <v/>
      </c>
      <c r="AIS20">
        <f>IF('calcA'!CQ$106=1,GP20+ADE20,1)</f>
        <v/>
      </c>
      <c r="AIT20">
        <f>IF('calcA'!CR$106=1,GQ20+ADF20,1)</f>
        <v/>
      </c>
      <c r="AIU20">
        <f>IF('calcA'!CS$106=1,GR20+ADG20,1)</f>
        <v/>
      </c>
      <c r="AIV20">
        <f>IF('calcA'!CT$106=1,GS20+ADH20,1)</f>
        <v/>
      </c>
      <c r="AIW20">
        <f>IF('calcA'!CU$106=1,GT20+ADI20,1)</f>
        <v/>
      </c>
      <c r="AIX20">
        <f>IF('calcA'!CV$106=1,GU20+ADJ20,1)</f>
        <v/>
      </c>
      <c r="AIY20">
        <f>IF('calcA'!CW$106=1,GV20+ADK20,1)</f>
        <v/>
      </c>
      <c r="AIZ20">
        <f>IF('calcA'!CX$106=1,GW20+ADL20,1)</f>
        <v/>
      </c>
      <c r="AJA20">
        <f>IF('calcA'!CY$106=1,GX20+ADM20,1)</f>
        <v/>
      </c>
      <c r="AJB20">
        <f>IF('calcA'!CZ$106=1,GY20+ADN20,1)</f>
        <v/>
      </c>
      <c r="AJC20">
        <f>IF('calcA'!DA$106=1,GZ20+ADO20,1)</f>
        <v/>
      </c>
      <c r="AJD20">
        <f>IF('calcA'!DB$106=1,HA20+ADP20,1)</f>
        <v/>
      </c>
      <c r="AJE20">
        <f>IF('calcA'!DC$106=1,HB20+ADQ20,1)</f>
        <v/>
      </c>
      <c r="AJF20">
        <f>IF('calcA'!DD$106=1,HC20+ADR20,1)</f>
        <v/>
      </c>
      <c r="AJG20">
        <f>IF('calcA'!DE$106=1,HD20+ADS20,1)</f>
        <v/>
      </c>
      <c r="AJH20">
        <f>IF('calcA'!DF$106=1,HE20+ADT20,1)</f>
        <v/>
      </c>
      <c r="AJI20">
        <f>IF('calcA'!DG$106=1,HF20+ADU20,1)</f>
        <v/>
      </c>
      <c r="AJJ20">
        <f>IF('calcA'!DH$106=1,HG20+ADV20,1)</f>
        <v/>
      </c>
      <c r="AJK20">
        <f>IF('calcA'!DI$106=1,HH20+ADW20,1)</f>
        <v/>
      </c>
      <c r="AJL20">
        <f>IF('calcA'!DJ$106=1,HI20+ADX20,1)</f>
        <v/>
      </c>
      <c r="AJM20">
        <f>IF('calcA'!DK$106=1,HJ20+ADY20,1)</f>
        <v/>
      </c>
      <c r="AJN20">
        <f>IF('calcA'!DL$106=1,HK20+ADZ20,1)</f>
        <v/>
      </c>
      <c r="AJO20">
        <f>IF('calcA'!DM$106=1,HL20+AEA20,1)</f>
        <v/>
      </c>
      <c r="AJP20">
        <f>IF('calcA'!DN$106=1,HM20+AEB20,1)</f>
        <v/>
      </c>
      <c r="AJQ20">
        <f>IF('calcA'!DO$106=1,HN20+AEC20,1)</f>
        <v/>
      </c>
      <c r="AJR20">
        <f>IF('calcA'!DP$106=1,HO20+AED20,1)</f>
        <v/>
      </c>
      <c r="AJS20">
        <f>IF('calcA'!DQ$106=1,HP20+AEE20,1)</f>
        <v/>
      </c>
      <c r="AJT20">
        <f>IF('calcA'!DR$106=1,HQ20+AEF20,1)</f>
        <v/>
      </c>
      <c r="AJU20">
        <f>IF('calcA'!DS$106=1,HR20+AEG20,1)</f>
        <v/>
      </c>
      <c r="AJV20">
        <f>IF('calcA'!DT$106=1,HS20+AEH20,1)</f>
        <v/>
      </c>
      <c r="AJW20">
        <f>IF('calcA'!DU$106=1,HT20+AEI20,1)</f>
        <v/>
      </c>
      <c r="AJX20">
        <f>IF('calcA'!DV$106=1,HU20+AEJ20,1)</f>
        <v/>
      </c>
      <c r="AJY20">
        <f>IF('calcA'!DW$106=1,HV20+AEK20,1)</f>
        <v/>
      </c>
      <c r="AJZ20">
        <f>IF('calcA'!DX$106=1,HW20+AEL20,1)</f>
        <v/>
      </c>
      <c r="AKA20">
        <f>IF('calcA'!DY$106=1,HX20+AEM20,1)</f>
        <v/>
      </c>
      <c r="AKB20">
        <f>IF('calcA'!DZ$106=1,HY20+AEN20,1)</f>
        <v/>
      </c>
      <c r="AKC20">
        <f>IF('calcA'!EA$106=1,HZ20+AEO20,1)</f>
        <v/>
      </c>
      <c r="AKD20">
        <f>IF('calcA'!EB$106=1,IA20+AEP20,1)</f>
        <v/>
      </c>
      <c r="AKE20">
        <f>IF('calcA'!EC$106=1,IB20+AEQ20,1)</f>
        <v/>
      </c>
      <c r="AKF20">
        <f>IF('calcA'!ED$106=1,IC20+AER20,1)</f>
        <v/>
      </c>
      <c r="AKG20">
        <f>IF('calcA'!EE$106=1,ID20+AES20,1)</f>
        <v/>
      </c>
      <c r="AKH20">
        <f>IF('calcA'!EF$106=1,IE20+AET20,1)</f>
        <v/>
      </c>
      <c r="AKI20">
        <f>IF('calcA'!EG$106=1,IF20+AEU20,1)</f>
        <v/>
      </c>
      <c r="AKJ20">
        <f>IF('calcA'!EH$106=1,IG20+AEV20,1)</f>
        <v/>
      </c>
      <c r="AKK20">
        <f>IF('calcA'!EI$106=1,IH20+AEW20,1)</f>
        <v/>
      </c>
      <c r="AKL20">
        <f>IF('calcA'!EJ$106=1,II20+AEX20,1)</f>
        <v/>
      </c>
      <c r="AKM20">
        <f>IF('calcA'!EK$106=1,IJ20+AEY20,1)</f>
        <v/>
      </c>
      <c r="AKN20">
        <f>IF('calcA'!EL$106=1,IK20+AEZ20,1)</f>
        <v/>
      </c>
      <c r="AKO20">
        <f>IF('calcA'!EM$106=1,IL20+AFA20,1)</f>
        <v/>
      </c>
      <c r="AKP20">
        <f>IF('calcA'!EN$106=1,IM20+AFB20,1)</f>
        <v/>
      </c>
      <c r="AKQ20">
        <f>IF('calcA'!EO$106=1,IN20+AFC20,1)</f>
        <v/>
      </c>
      <c r="AKR20">
        <f>IF('calcA'!EP$106=1,IO20+AFD20,1)</f>
        <v/>
      </c>
      <c r="AKS20" t="n">
        <v>1</v>
      </c>
    </row>
    <row r="21">
      <c r="A21" t="n">
        <v>19</v>
      </c>
      <c r="B21">
        <f>IF(MIN(BM21:CZ21)&gt;=1000000000,0,MATCH(MIN(BM21:CZ21),BM21:CZ21,0))</f>
        <v/>
      </c>
      <c r="C21">
        <f>IF(MIN(OF21:TS21)&gt;=1000000000,0,MATCH(MIN(OF21:TS21),OF21:TS21,0))</f>
        <v/>
      </c>
      <c r="D21">
        <f>IF(C21&gt;0,INDEX('calcA'!$D$5:$EQ$5,C21),0)</f>
        <v/>
      </c>
      <c r="E21">
        <f>IF(B21=0,0,INDEX('calcA'!$IQ$10:$IQ$54,B21))</f>
        <v/>
      </c>
      <c r="F21">
        <f>IF(B21=0,0,INDEX('calcA'!$IP$10:$IP$54,B21))</f>
        <v/>
      </c>
      <c r="G21">
        <f>IF(AND(C21&gt;0,E21&gt;0),IF(AND(INDEX('calcA'!$D$106:$EQ$106,C21)=1,INDEX($IQ21:$OD21,C21)=1),C21+1,0),0)</f>
        <v/>
      </c>
      <c r="H21">
        <f>IF(B21=0,0,INDEX('calcA'!$IW$10:$IW$54,B21))</f>
        <v/>
      </c>
      <c r="U21">
        <f>IF(B21=0,0,INDEX('calcA'!$IX$10:$IX$54,B21))</f>
        <v/>
      </c>
      <c r="V21">
        <f>IF(B21=0,0,INDEX('calcA'!$JF$10:$JF$54,B21))</f>
        <v/>
      </c>
      <c r="W21">
        <f>IF(B21=0,0,IF(IF(E21=2,SUMPRODUCT(INDEX('calcA'!$D$60:$EQ$99,B21,0),$DB21:$IO21,$IQ21:$OD21),SUMPRODUCT(INDEX('calcA'!$D$60:$EQ$99,B21,0),$DB21:$IO21))=0,1,0))</f>
        <v/>
      </c>
      <c r="X21">
        <f>MAX(X20,IF($B20=1,1,0))</f>
        <v/>
      </c>
      <c r="Y21">
        <f>MAX(Y20,IF($B20=2,1,0))</f>
        <v/>
      </c>
      <c r="Z21">
        <f>MAX(Z20,IF($B20=3,1,0))</f>
        <v/>
      </c>
      <c r="AA21">
        <f>MAX(AA20,IF($B20=4,1,0))</f>
        <v/>
      </c>
      <c r="AB21">
        <f>MAX(AB20,IF($B20=5,1,0))</f>
        <v/>
      </c>
      <c r="AC21">
        <f>MAX(AC20,IF($B20=6,1,0))</f>
        <v/>
      </c>
      <c r="AD21">
        <f>MAX(AD20,IF($B20=7,1,0))</f>
        <v/>
      </c>
      <c r="AE21">
        <f>MAX(AE20,IF($B20=8,1,0))</f>
        <v/>
      </c>
      <c r="AF21">
        <f>MAX(AF20,IF($B20=9,1,0))</f>
        <v/>
      </c>
      <c r="AG21">
        <f>MAX(AG20,IF($B20=10,1,0))</f>
        <v/>
      </c>
      <c r="AH21">
        <f>MAX(AH20,IF($B20=11,1,0))</f>
        <v/>
      </c>
      <c r="AI21">
        <f>MAX(AI20,IF($B20=12,1,0))</f>
        <v/>
      </c>
      <c r="AJ21">
        <f>MAX(AJ20,IF($B20=13,1,0))</f>
        <v/>
      </c>
      <c r="AK21">
        <f>MAX(AK20,IF($B20=14,1,0))</f>
        <v/>
      </c>
      <c r="AL21">
        <f>MAX(AL20,IF($B20=15,1,0))</f>
        <v/>
      </c>
      <c r="AM21">
        <f>MAX(AM20,IF($B20=16,1,0))</f>
        <v/>
      </c>
      <c r="AN21">
        <f>MAX(AN20,IF($B20=17,1,0))</f>
        <v/>
      </c>
      <c r="AO21">
        <f>MAX(AO20,IF($B20=18,1,0))</f>
        <v/>
      </c>
      <c r="AP21">
        <f>MAX(AP20,IF($B20=19,1,0))</f>
        <v/>
      </c>
      <c r="AQ21">
        <f>MAX(AQ20,IF($B20=20,1,0))</f>
        <v/>
      </c>
      <c r="AR21">
        <f>MAX(AR20,IF($B20=21,1,0))</f>
        <v/>
      </c>
      <c r="AS21">
        <f>MAX(AS20,IF($B20=22,1,0))</f>
        <v/>
      </c>
      <c r="AT21">
        <f>MAX(AT20,IF($B20=23,1,0))</f>
        <v/>
      </c>
      <c r="AU21">
        <f>MAX(AU20,IF($B20=24,1,0))</f>
        <v/>
      </c>
      <c r="AV21">
        <f>MAX(AV20,IF($B20=25,1,0))</f>
        <v/>
      </c>
      <c r="AW21">
        <f>MAX(AW20,IF($B20=26,1,0))</f>
        <v/>
      </c>
      <c r="AX21">
        <f>MAX(AX20,IF($B20=27,1,0))</f>
        <v/>
      </c>
      <c r="AY21">
        <f>MAX(AY20,IF($B20=28,1,0))</f>
        <v/>
      </c>
      <c r="AZ21">
        <f>MAX(AZ20,IF($B20=29,1,0))</f>
        <v/>
      </c>
      <c r="BA21">
        <f>MAX(BA20,IF($B20=30,1,0))</f>
        <v/>
      </c>
      <c r="BB21">
        <f>MAX(BB20,IF($B20=31,1,0))</f>
        <v/>
      </c>
      <c r="BC21">
        <f>MAX(BC20,IF($B20=32,1,0))</f>
        <v/>
      </c>
      <c r="BD21">
        <f>MAX(BD20,IF($B20=33,1,0))</f>
        <v/>
      </c>
      <c r="BE21">
        <f>MAX(BE20,IF($B20=34,1,0))</f>
        <v/>
      </c>
      <c r="BF21">
        <f>MAX(BF20,IF($B20=35,1,0))</f>
        <v/>
      </c>
      <c r="BG21">
        <f>MAX(BG20,IF($B20=36,1,0))</f>
        <v/>
      </c>
      <c r="BH21">
        <f>MAX(BH20,IF($B20=37,1,0))</f>
        <v/>
      </c>
      <c r="BI21">
        <f>MAX(BI20,IF($B20=38,1,0))</f>
        <v/>
      </c>
      <c r="BJ21">
        <f>MAX(BJ20,IF($B20=39,1,0))</f>
        <v/>
      </c>
      <c r="BK21">
        <f>MAX(BK20,IF($B20=40,1,0))</f>
        <v/>
      </c>
      <c r="BM21">
        <f>IF(OR(X21=1,calcA!$A$6=0),1000000000,IF('calcA'!$JF$10=1,0,100000000)+IF('calcA'!$IQ$10=2,SUMPRODUCT('calcA'!$D$60:$EQ$60,$DB21:$IO21,$IQ21:$OD21)*1000+SUMPRODUCT('calcA'!$D$60:$EQ$60,$DB21:$IO21+$ZQ21:$AFD21,$AFF21:$AKS21),SUMPRODUCT('calcA'!$D$60:$EQ$60,$DB21:$IO21*1001+$ZQ21:$AFD21))*100+1)</f>
        <v/>
      </c>
      <c r="BN21">
        <f>IF(OR(Y21=1,calcA!$A$6=0),1000000000,IF('calcA'!$JF$11=1,0,100000000)+IF('calcA'!$IQ$11=2,SUMPRODUCT('calcA'!$D$61:$EQ$61,$DB21:$IO21,$IQ21:$OD21)*1000+SUMPRODUCT('calcA'!$D$61:$EQ$61,$DB21:$IO21+$ZQ21:$AFD21,$AFF21:$AKS21),SUMPRODUCT('calcA'!$D$61:$EQ$61,$DB21:$IO21*1001+$ZQ21:$AFD21))*100+2)</f>
        <v/>
      </c>
      <c r="BO21">
        <f>IF(OR(Z21=1,calcA!$A$6=0),1000000000,IF('calcA'!$JF$12=1,0,100000000)+IF('calcA'!$IQ$12=2,SUMPRODUCT('calcA'!$D$62:$EQ$62,$DB21:$IO21,$IQ21:$OD21)*1000+SUMPRODUCT('calcA'!$D$62:$EQ$62,$DB21:$IO21+$ZQ21:$AFD21,$AFF21:$AKS21),SUMPRODUCT('calcA'!$D$62:$EQ$62,$DB21:$IO21*1001+$ZQ21:$AFD21))*100+3)</f>
        <v/>
      </c>
      <c r="BP21">
        <f>IF(OR(AA21=1,calcA!$A$6=0),1000000000,IF('calcA'!$JF$13=1,0,100000000)+IF('calcA'!$IQ$13=2,SUMPRODUCT('calcA'!$D$63:$EQ$63,$DB21:$IO21,$IQ21:$OD21)*1000+SUMPRODUCT('calcA'!$D$63:$EQ$63,$DB21:$IO21+$ZQ21:$AFD21,$AFF21:$AKS21),SUMPRODUCT('calcA'!$D$63:$EQ$63,$DB21:$IO21*1001+$ZQ21:$AFD21))*100+4)</f>
        <v/>
      </c>
      <c r="BQ21">
        <f>IF(OR(AB21=1,calcA!$A$6=0),1000000000,IF('calcA'!$JF$14=1,0,100000000)+IF('calcA'!$IQ$14=2,SUMPRODUCT('calcA'!$D$64:$EQ$64,$DB21:$IO21,$IQ21:$OD21)*1000+SUMPRODUCT('calcA'!$D$64:$EQ$64,$DB21:$IO21+$ZQ21:$AFD21,$AFF21:$AKS21),SUMPRODUCT('calcA'!$D$64:$EQ$64,$DB21:$IO21*1001+$ZQ21:$AFD21))*100+5)</f>
        <v/>
      </c>
      <c r="BR21">
        <f>IF(OR(AC21=1,calcA!$A$6=0),1000000000,IF('calcA'!$JF$15=1,0,100000000)+IF('calcA'!$IQ$15=2,SUMPRODUCT('calcA'!$D$65:$EQ$65,$DB21:$IO21,$IQ21:$OD21)*1000+SUMPRODUCT('calcA'!$D$65:$EQ$65,$DB21:$IO21+$ZQ21:$AFD21,$AFF21:$AKS21),SUMPRODUCT('calcA'!$D$65:$EQ$65,$DB21:$IO21*1001+$ZQ21:$AFD21))*100+6)</f>
        <v/>
      </c>
      <c r="BS21">
        <f>IF(OR(AD21=1,calcA!$A$6=0),1000000000,IF('calcA'!$JF$16=1,0,100000000)+IF('calcA'!$IQ$16=2,SUMPRODUCT('calcA'!$D$66:$EQ$66,$DB21:$IO21,$IQ21:$OD21)*1000+SUMPRODUCT('calcA'!$D$66:$EQ$66,$DB21:$IO21+$ZQ21:$AFD21,$AFF21:$AKS21),SUMPRODUCT('calcA'!$D$66:$EQ$66,$DB21:$IO21*1001+$ZQ21:$AFD21))*100+7)</f>
        <v/>
      </c>
      <c r="BT21">
        <f>IF(OR(AE21=1,calcA!$A$6=0),1000000000,IF('calcA'!$JF$17=1,0,100000000)+IF('calcA'!$IQ$17=2,SUMPRODUCT('calcA'!$D$67:$EQ$67,$DB21:$IO21,$IQ21:$OD21)*1000+SUMPRODUCT('calcA'!$D$67:$EQ$67,$DB21:$IO21+$ZQ21:$AFD21,$AFF21:$AKS21),SUMPRODUCT('calcA'!$D$67:$EQ$67,$DB21:$IO21*1001+$ZQ21:$AFD21))*100+8)</f>
        <v/>
      </c>
      <c r="BU21">
        <f>IF(OR(AF21=1,calcA!$A$6=0),1000000000,IF('calcA'!$JF$18=1,0,100000000)+IF('calcA'!$IQ$18=2,SUMPRODUCT('calcA'!$D$68:$EQ$68,$DB21:$IO21,$IQ21:$OD21)*1000+SUMPRODUCT('calcA'!$D$68:$EQ$68,$DB21:$IO21+$ZQ21:$AFD21,$AFF21:$AKS21),SUMPRODUCT('calcA'!$D$68:$EQ$68,$DB21:$IO21*1001+$ZQ21:$AFD21))*100+9)</f>
        <v/>
      </c>
      <c r="BV21">
        <f>IF(OR(AG21=1,calcA!$A$6=0),1000000000,IF('calcA'!$JF$19=1,0,100000000)+IF('calcA'!$IQ$19=2,SUMPRODUCT('calcA'!$D$69:$EQ$69,$DB21:$IO21,$IQ21:$OD21)*1000+SUMPRODUCT('calcA'!$D$69:$EQ$69,$DB21:$IO21+$ZQ21:$AFD21,$AFF21:$AKS21),SUMPRODUCT('calcA'!$D$69:$EQ$69,$DB21:$IO21*1001+$ZQ21:$AFD21))*100+10)</f>
        <v/>
      </c>
      <c r="BW21">
        <f>IF(OR(AH21=1,calcA!$A$6=0),1000000000,IF('calcA'!$JF$20=1,0,100000000)+IF('calcA'!$IQ$20=2,SUMPRODUCT('calcA'!$D$70:$EQ$70,$DB21:$IO21,$IQ21:$OD21)*1000+SUMPRODUCT('calcA'!$D$70:$EQ$70,$DB21:$IO21+$ZQ21:$AFD21,$AFF21:$AKS21),SUMPRODUCT('calcA'!$D$70:$EQ$70,$DB21:$IO21*1001+$ZQ21:$AFD21))*100+11)</f>
        <v/>
      </c>
      <c r="BX21">
        <f>IF(OR(AI21=1,calcA!$A$6=0),1000000000,IF('calcA'!$JF$21=1,0,100000000)+IF('calcA'!$IQ$21=2,SUMPRODUCT('calcA'!$D$71:$EQ$71,$DB21:$IO21,$IQ21:$OD21)*1000+SUMPRODUCT('calcA'!$D$71:$EQ$71,$DB21:$IO21+$ZQ21:$AFD21,$AFF21:$AKS21),SUMPRODUCT('calcA'!$D$71:$EQ$71,$DB21:$IO21*1001+$ZQ21:$AFD21))*100+12)</f>
        <v/>
      </c>
      <c r="BY21">
        <f>IF(OR(AJ21=1,calcA!$A$6=0),1000000000,IF('calcA'!$JF$22=1,0,100000000)+IF('calcA'!$IQ$22=2,SUMPRODUCT('calcA'!$D$72:$EQ$72,$DB21:$IO21,$IQ21:$OD21)*1000+SUMPRODUCT('calcA'!$D$72:$EQ$72,$DB21:$IO21+$ZQ21:$AFD21,$AFF21:$AKS21),SUMPRODUCT('calcA'!$D$72:$EQ$72,$DB21:$IO21*1001+$ZQ21:$AFD21))*100+13)</f>
        <v/>
      </c>
      <c r="BZ21">
        <f>IF(OR(AK21=1,calcA!$A$6=0),1000000000,IF('calcA'!$JF$23=1,0,100000000)+IF('calcA'!$IQ$23=2,SUMPRODUCT('calcA'!$D$73:$EQ$73,$DB21:$IO21,$IQ21:$OD21)*1000+SUMPRODUCT('calcA'!$D$73:$EQ$73,$DB21:$IO21+$ZQ21:$AFD21,$AFF21:$AKS21),SUMPRODUCT('calcA'!$D$73:$EQ$73,$DB21:$IO21*1001+$ZQ21:$AFD21))*100+14)</f>
        <v/>
      </c>
      <c r="CA21">
        <f>IF(OR(AL21=1,calcA!$A$6=0),1000000000,IF('calcA'!$JF$24=1,0,100000000)+IF('calcA'!$IQ$24=2,SUMPRODUCT('calcA'!$D$74:$EQ$74,$DB21:$IO21,$IQ21:$OD21)*1000+SUMPRODUCT('calcA'!$D$74:$EQ$74,$DB21:$IO21+$ZQ21:$AFD21,$AFF21:$AKS21),SUMPRODUCT('calcA'!$D$74:$EQ$74,$DB21:$IO21*1001+$ZQ21:$AFD21))*100+15)</f>
        <v/>
      </c>
      <c r="CB21">
        <f>IF(OR(AM21=1,calcA!$A$6=0),1000000000,IF('calcA'!$JF$25=1,0,100000000)+IF('calcA'!$IQ$25=2,SUMPRODUCT('calcA'!$D$75:$EQ$75,$DB21:$IO21,$IQ21:$OD21)*1000+SUMPRODUCT('calcA'!$D$75:$EQ$75,$DB21:$IO21+$ZQ21:$AFD21,$AFF21:$AKS21),SUMPRODUCT('calcA'!$D$75:$EQ$75,$DB21:$IO21*1001+$ZQ21:$AFD21))*100+16)</f>
        <v/>
      </c>
      <c r="CC21">
        <f>IF(OR(AN21=1,calcA!$A$6=0),1000000000,IF('calcA'!$JF$26=1,0,100000000)+IF('calcA'!$IQ$26=2,SUMPRODUCT('calcA'!$D$76:$EQ$76,$DB21:$IO21,$IQ21:$OD21)*1000+SUMPRODUCT('calcA'!$D$76:$EQ$76,$DB21:$IO21+$ZQ21:$AFD21,$AFF21:$AKS21),SUMPRODUCT('calcA'!$D$76:$EQ$76,$DB21:$IO21*1001+$ZQ21:$AFD21))*100+17)</f>
        <v/>
      </c>
      <c r="CD21">
        <f>IF(OR(AO21=1,calcA!$A$6=0),1000000000,IF('calcA'!$JF$27=1,0,100000000)+IF('calcA'!$IQ$27=2,SUMPRODUCT('calcA'!$D$77:$EQ$77,$DB21:$IO21,$IQ21:$OD21)*1000+SUMPRODUCT('calcA'!$D$77:$EQ$77,$DB21:$IO21+$ZQ21:$AFD21,$AFF21:$AKS21),SUMPRODUCT('calcA'!$D$77:$EQ$77,$DB21:$IO21*1001+$ZQ21:$AFD21))*100+18)</f>
        <v/>
      </c>
      <c r="CE21">
        <f>IF(OR(AP21=1,calcA!$A$6=0),1000000000,IF('calcA'!$JF$28=1,0,100000000)+IF('calcA'!$IQ$28=2,SUMPRODUCT('calcA'!$D$78:$EQ$78,$DB21:$IO21,$IQ21:$OD21)*1000+SUMPRODUCT('calcA'!$D$78:$EQ$78,$DB21:$IO21+$ZQ21:$AFD21,$AFF21:$AKS21),SUMPRODUCT('calcA'!$D$78:$EQ$78,$DB21:$IO21*1001+$ZQ21:$AFD21))*100+19)</f>
        <v/>
      </c>
      <c r="CF21">
        <f>IF(OR(AQ21=1,calcA!$A$6=0),1000000000,IF('calcA'!$JF$29=1,0,100000000)+IF('calcA'!$IQ$29=2,SUMPRODUCT('calcA'!$D$79:$EQ$79,$DB21:$IO21,$IQ21:$OD21)*1000+SUMPRODUCT('calcA'!$D$79:$EQ$79,$DB21:$IO21+$ZQ21:$AFD21,$AFF21:$AKS21),SUMPRODUCT('calcA'!$D$79:$EQ$79,$DB21:$IO21*1001+$ZQ21:$AFD21))*100+20)</f>
        <v/>
      </c>
      <c r="CG21">
        <f>IF(OR(AR21=1,calcA!$A$6=0),1000000000,IF('calcA'!$JF$30=1,0,100000000)+IF('calcA'!$IQ$30=2,SUMPRODUCT('calcA'!$D$80:$EQ$80,$DB21:$IO21,$IQ21:$OD21)*1000+SUMPRODUCT('calcA'!$D$80:$EQ$80,$DB21:$IO21+$ZQ21:$AFD21,$AFF21:$AKS21),SUMPRODUCT('calcA'!$D$80:$EQ$80,$DB21:$IO21*1001+$ZQ21:$AFD21))*100+21)</f>
        <v/>
      </c>
      <c r="CH21">
        <f>IF(OR(AS21=1,calcA!$A$6=0),1000000000,IF('calcA'!$JF$31=1,0,100000000)+IF('calcA'!$IQ$31=2,SUMPRODUCT('calcA'!$D$81:$EQ$81,$DB21:$IO21,$IQ21:$OD21)*1000+SUMPRODUCT('calcA'!$D$81:$EQ$81,$DB21:$IO21+$ZQ21:$AFD21,$AFF21:$AKS21),SUMPRODUCT('calcA'!$D$81:$EQ$81,$DB21:$IO21*1001+$ZQ21:$AFD21))*100+22)</f>
        <v/>
      </c>
      <c r="CI21">
        <f>IF(OR(AT21=1,calcA!$A$6=0),1000000000,IF('calcA'!$JF$32=1,0,100000000)+IF('calcA'!$IQ$32=2,SUMPRODUCT('calcA'!$D$82:$EQ$82,$DB21:$IO21,$IQ21:$OD21)*1000+SUMPRODUCT('calcA'!$D$82:$EQ$82,$DB21:$IO21+$ZQ21:$AFD21,$AFF21:$AKS21),SUMPRODUCT('calcA'!$D$82:$EQ$82,$DB21:$IO21*1001+$ZQ21:$AFD21))*100+23)</f>
        <v/>
      </c>
      <c r="CJ21">
        <f>IF(OR(AU21=1,calcA!$A$6=0),1000000000,IF('calcA'!$JF$33=1,0,100000000)+IF('calcA'!$IQ$33=2,SUMPRODUCT('calcA'!$D$83:$EQ$83,$DB21:$IO21,$IQ21:$OD21)*1000+SUMPRODUCT('calcA'!$D$83:$EQ$83,$DB21:$IO21+$ZQ21:$AFD21,$AFF21:$AKS21),SUMPRODUCT('calcA'!$D$83:$EQ$83,$DB21:$IO21*1001+$ZQ21:$AFD21))*100+24)</f>
        <v/>
      </c>
      <c r="CK21">
        <f>IF(OR(AV21=1,calcA!$A$6=0),1000000000,IF('calcA'!$JF$34=1,0,100000000)+IF('calcA'!$IQ$34=2,SUMPRODUCT('calcA'!$D$84:$EQ$84,$DB21:$IO21,$IQ21:$OD21)*1000+SUMPRODUCT('calcA'!$D$84:$EQ$84,$DB21:$IO21+$ZQ21:$AFD21,$AFF21:$AKS21),SUMPRODUCT('calcA'!$D$84:$EQ$84,$DB21:$IO21*1001+$ZQ21:$AFD21))*100+25)</f>
        <v/>
      </c>
      <c r="CL21">
        <f>IF(OR(AW21=1,calcA!$A$6=0),1000000000,IF('calcA'!$JF$35=1,0,100000000)+IF('calcA'!$IQ$35=2,SUMPRODUCT('calcA'!$D$85:$EQ$85,$DB21:$IO21,$IQ21:$OD21)*1000+SUMPRODUCT('calcA'!$D$85:$EQ$85,$DB21:$IO21+$ZQ21:$AFD21,$AFF21:$AKS21),SUMPRODUCT('calcA'!$D$85:$EQ$85,$DB21:$IO21*1001+$ZQ21:$AFD21))*100+26)</f>
        <v/>
      </c>
      <c r="CM21">
        <f>IF(OR(AX21=1,calcA!$A$6=0),1000000000,IF('calcA'!$JF$36=1,0,100000000)+IF('calcA'!$IQ$36=2,SUMPRODUCT('calcA'!$D$86:$EQ$86,$DB21:$IO21,$IQ21:$OD21)*1000+SUMPRODUCT('calcA'!$D$86:$EQ$86,$DB21:$IO21+$ZQ21:$AFD21,$AFF21:$AKS21),SUMPRODUCT('calcA'!$D$86:$EQ$86,$DB21:$IO21*1001+$ZQ21:$AFD21))*100+27)</f>
        <v/>
      </c>
      <c r="CN21">
        <f>IF(OR(AY21=1,calcA!$A$6=0),1000000000,IF('calcA'!$JF$37=1,0,100000000)+IF('calcA'!$IQ$37=2,SUMPRODUCT('calcA'!$D$87:$EQ$87,$DB21:$IO21,$IQ21:$OD21)*1000+SUMPRODUCT('calcA'!$D$87:$EQ$87,$DB21:$IO21+$ZQ21:$AFD21,$AFF21:$AKS21),SUMPRODUCT('calcA'!$D$87:$EQ$87,$DB21:$IO21*1001+$ZQ21:$AFD21))*100+28)</f>
        <v/>
      </c>
      <c r="CO21">
        <f>IF(OR(AZ21=1,calcA!$A$6=0),1000000000,IF('calcA'!$JF$38=1,0,100000000)+IF('calcA'!$IQ$38=2,SUMPRODUCT('calcA'!$D$88:$EQ$88,$DB21:$IO21,$IQ21:$OD21)*1000+SUMPRODUCT('calcA'!$D$88:$EQ$88,$DB21:$IO21+$ZQ21:$AFD21,$AFF21:$AKS21),SUMPRODUCT('calcA'!$D$88:$EQ$88,$DB21:$IO21*1001+$ZQ21:$AFD21))*100+29)</f>
        <v/>
      </c>
      <c r="CP21">
        <f>IF(OR(BA21=1,calcA!$A$6=0),1000000000,IF('calcA'!$JF$39=1,0,100000000)+IF('calcA'!$IQ$39=2,SUMPRODUCT('calcA'!$D$89:$EQ$89,$DB21:$IO21,$IQ21:$OD21)*1000+SUMPRODUCT('calcA'!$D$89:$EQ$89,$DB21:$IO21+$ZQ21:$AFD21,$AFF21:$AKS21),SUMPRODUCT('calcA'!$D$89:$EQ$89,$DB21:$IO21*1001+$ZQ21:$AFD21))*100+30)</f>
        <v/>
      </c>
      <c r="CQ21">
        <f>IF(OR(BB21=1,calcA!$A$6=0),1000000000,IF('calcA'!$JF$40=1,0,100000000)+IF('calcA'!$IQ$40=2,SUMPRODUCT('calcA'!$D$90:$EQ$90,$DB21:$IO21,$IQ21:$OD21)*1000+SUMPRODUCT('calcA'!$D$90:$EQ$90,$DB21:$IO21+$ZQ21:$AFD21,$AFF21:$AKS21),SUMPRODUCT('calcA'!$D$90:$EQ$90,$DB21:$IO21*1001+$ZQ21:$AFD21))*100+31)</f>
        <v/>
      </c>
      <c r="CR21">
        <f>IF(OR(BC21=1,calcA!$A$6=0),1000000000,IF('calcA'!$JF$41=1,0,100000000)+IF('calcA'!$IQ$41=2,SUMPRODUCT('calcA'!$D$91:$EQ$91,$DB21:$IO21,$IQ21:$OD21)*1000+SUMPRODUCT('calcA'!$D$91:$EQ$91,$DB21:$IO21+$ZQ21:$AFD21,$AFF21:$AKS21),SUMPRODUCT('calcA'!$D$91:$EQ$91,$DB21:$IO21*1001+$ZQ21:$AFD21))*100+32)</f>
        <v/>
      </c>
      <c r="CS21">
        <f>IF(OR(BD21=1,calcA!$A$6=0),1000000000,IF('calcA'!$JF$42=1,0,100000000)+IF('calcA'!$IQ$42=2,SUMPRODUCT('calcA'!$D$92:$EQ$92,$DB21:$IO21,$IQ21:$OD21)*1000+SUMPRODUCT('calcA'!$D$92:$EQ$92,$DB21:$IO21+$ZQ21:$AFD21,$AFF21:$AKS21),SUMPRODUCT('calcA'!$D$92:$EQ$92,$DB21:$IO21*1001+$ZQ21:$AFD21))*100+33)</f>
        <v/>
      </c>
      <c r="CT21">
        <f>IF(OR(BE21=1,calcA!$A$6=0),1000000000,IF('calcA'!$JF$43=1,0,100000000)+IF('calcA'!$IQ$43=2,SUMPRODUCT('calcA'!$D$93:$EQ$93,$DB21:$IO21,$IQ21:$OD21)*1000+SUMPRODUCT('calcA'!$D$93:$EQ$93,$DB21:$IO21+$ZQ21:$AFD21,$AFF21:$AKS21),SUMPRODUCT('calcA'!$D$93:$EQ$93,$DB21:$IO21*1001+$ZQ21:$AFD21))*100+34)</f>
        <v/>
      </c>
      <c r="CU21">
        <f>IF(OR(BF21=1,calcA!$A$6=0),1000000000,IF('calcA'!$JF$44=1,0,100000000)+IF('calcA'!$IQ$44=2,SUMPRODUCT('calcA'!$D$94:$EQ$94,$DB21:$IO21,$IQ21:$OD21)*1000+SUMPRODUCT('calcA'!$D$94:$EQ$94,$DB21:$IO21+$ZQ21:$AFD21,$AFF21:$AKS21),SUMPRODUCT('calcA'!$D$94:$EQ$94,$DB21:$IO21*1001+$ZQ21:$AFD21))*100+35)</f>
        <v/>
      </c>
      <c r="CV21">
        <f>IF(OR(BG21=1,calcA!$A$6=0),1000000000,IF('calcA'!$JF$45=1,0,100000000)+IF('calcA'!$IQ$45=2,SUMPRODUCT('calcA'!$D$95:$EQ$95,$DB21:$IO21,$IQ21:$OD21)*1000+SUMPRODUCT('calcA'!$D$95:$EQ$95,$DB21:$IO21+$ZQ21:$AFD21,$AFF21:$AKS21),SUMPRODUCT('calcA'!$D$95:$EQ$95,$DB21:$IO21*1001+$ZQ21:$AFD21))*100+36)</f>
        <v/>
      </c>
      <c r="CW21">
        <f>IF(OR(BH21=1,calcA!$A$6=0),1000000000,IF('calcA'!$JF$46=1,0,100000000)+IF('calcA'!$IQ$46=2,SUMPRODUCT('calcA'!$D$96:$EQ$96,$DB21:$IO21,$IQ21:$OD21)*1000+SUMPRODUCT('calcA'!$D$96:$EQ$96,$DB21:$IO21+$ZQ21:$AFD21,$AFF21:$AKS21),SUMPRODUCT('calcA'!$D$96:$EQ$96,$DB21:$IO21*1001+$ZQ21:$AFD21))*100+37)</f>
        <v/>
      </c>
      <c r="CX21">
        <f>IF(OR(BI21=1,calcA!$A$6=0),1000000000,IF('calcA'!$JF$47=1,0,100000000)+IF('calcA'!$IQ$47=2,SUMPRODUCT('calcA'!$D$97:$EQ$97,$DB21:$IO21,$IQ21:$OD21)*1000+SUMPRODUCT('calcA'!$D$97:$EQ$97,$DB21:$IO21+$ZQ21:$AFD21,$AFF21:$AKS21),SUMPRODUCT('calcA'!$D$97:$EQ$97,$DB21:$IO21*1001+$ZQ21:$AFD21))*100+38)</f>
        <v/>
      </c>
      <c r="CY21">
        <f>IF(OR(BJ21=1,calcA!$A$6=0),1000000000,IF('calcA'!$JF$48=1,0,100000000)+IF('calcA'!$IQ$48=2,SUMPRODUCT('calcA'!$D$98:$EQ$98,$DB21:$IO21,$IQ21:$OD21)*1000+SUMPRODUCT('calcA'!$D$98:$EQ$98,$DB21:$IO21+$ZQ21:$AFD21,$AFF21:$AKS21),SUMPRODUCT('calcA'!$D$98:$EQ$98,$DB21:$IO21*1001+$ZQ21:$AFD21))*100+39)</f>
        <v/>
      </c>
      <c r="CZ21">
        <f>IF(OR(BK21=1,calcA!$A$6=0),1000000000,IF('calcA'!$JF$49=1,0,100000000)+IF('calcA'!$IQ$49=2,SUMPRODUCT('calcA'!$D$99:$EQ$99,$DB21:$IO21,$IQ21:$OD21)*1000+SUMPRODUCT('calcA'!$D$99:$EQ$99,$DB21:$IO21+$ZQ21:$AFD21,$AFF21:$AKS21),SUMPRODUCT('calcA'!$D$99:$EQ$99,$DB21:$IO21*1001+$ZQ21:$AFD21))*100+40)</f>
        <v/>
      </c>
      <c r="DB21">
        <f>DB20*IF(OR($C20=1,$G20=1),0,1)</f>
        <v/>
      </c>
      <c r="DC21">
        <f>DC20*IF(OR($C20=2,$G20=2),0,1)</f>
        <v/>
      </c>
      <c r="DD21">
        <f>DD20*IF(OR($C20=3,$G20=3),0,1)</f>
        <v/>
      </c>
      <c r="DE21">
        <f>DE20*IF(OR($C20=4,$G20=4),0,1)</f>
        <v/>
      </c>
      <c r="DF21">
        <f>DF20*IF(OR($C20=5,$G20=5),0,1)</f>
        <v/>
      </c>
      <c r="DG21">
        <f>DG20*IF(OR($C20=6,$G20=6),0,1)</f>
        <v/>
      </c>
      <c r="DH21">
        <f>DH20*IF(OR($C20=7,$G20=7),0,1)</f>
        <v/>
      </c>
      <c r="DI21">
        <f>DI20*IF(OR($C20=8,$G20=8),0,1)</f>
        <v/>
      </c>
      <c r="DJ21">
        <f>DJ20*IF(OR($C20=9,$G20=9),0,1)</f>
        <v/>
      </c>
      <c r="DK21">
        <f>DK20*IF(OR($C20=10,$G20=10),0,1)</f>
        <v/>
      </c>
      <c r="DL21">
        <f>DL20*IF(OR($C20=11,$G20=11),0,1)</f>
        <v/>
      </c>
      <c r="DM21">
        <f>DM20*IF(OR($C20=12,$G20=12),0,1)</f>
        <v/>
      </c>
      <c r="DN21">
        <f>DN20*IF(OR($C20=13,$G20=13),0,1)</f>
        <v/>
      </c>
      <c r="DO21">
        <f>DO20*IF(OR($C20=14,$G20=14),0,1)</f>
        <v/>
      </c>
      <c r="DP21">
        <f>DP20*IF(OR($C20=15,$G20=15),0,1)</f>
        <v/>
      </c>
      <c r="DQ21">
        <f>DQ20*IF(OR($C20=16,$G20=16),0,1)</f>
        <v/>
      </c>
      <c r="DR21">
        <f>DR20*IF(OR($C20=17,$G20=17),0,1)</f>
        <v/>
      </c>
      <c r="DS21">
        <f>DS20*IF(OR($C20=18,$G20=18),0,1)</f>
        <v/>
      </c>
      <c r="DT21">
        <f>DT20*IF(OR($C20=19,$G20=19),0,1)</f>
        <v/>
      </c>
      <c r="DU21">
        <f>DU20*IF(OR($C20=20,$G20=20),0,1)</f>
        <v/>
      </c>
      <c r="DV21">
        <f>DV20*IF(OR($C20=21,$G20=21),0,1)</f>
        <v/>
      </c>
      <c r="DW21">
        <f>DW20*IF(OR($C20=22,$G20=22),0,1)</f>
        <v/>
      </c>
      <c r="DX21">
        <f>DX20*IF(OR($C20=23,$G20=23),0,1)</f>
        <v/>
      </c>
      <c r="DY21">
        <f>DY20*IF(OR($C20=24,$G20=24),0,1)</f>
        <v/>
      </c>
      <c r="DZ21">
        <f>DZ20*IF(OR($C20=25,$G20=25),0,1)</f>
        <v/>
      </c>
      <c r="EA21">
        <f>EA20*IF(OR($C20=26,$G20=26),0,1)</f>
        <v/>
      </c>
      <c r="EB21">
        <f>EB20*IF(OR($C20=27,$G20=27),0,1)</f>
        <v/>
      </c>
      <c r="EC21">
        <f>EC20*IF(OR($C20=28,$G20=28),0,1)</f>
        <v/>
      </c>
      <c r="ED21">
        <f>ED20*IF(OR($C20=29,$G20=29),0,1)</f>
        <v/>
      </c>
      <c r="EE21">
        <f>EE20*IF(OR($C20=30,$G20=30),0,1)</f>
        <v/>
      </c>
      <c r="EF21">
        <f>EF20*IF(OR($C20=31,$G20=31),0,1)</f>
        <v/>
      </c>
      <c r="EG21">
        <f>EG20*IF(OR($C20=32,$G20=32),0,1)</f>
        <v/>
      </c>
      <c r="EH21">
        <f>EH20*IF(OR($C20=33,$G20=33),0,1)</f>
        <v/>
      </c>
      <c r="EI21">
        <f>EI20*IF(OR($C20=34,$G20=34),0,1)</f>
        <v/>
      </c>
      <c r="EJ21">
        <f>EJ20*IF(OR($C20=35,$G20=35),0,1)</f>
        <v/>
      </c>
      <c r="EK21">
        <f>EK20*IF(OR($C20=36,$G20=36),0,1)</f>
        <v/>
      </c>
      <c r="EL21">
        <f>EL20*IF(OR($C20=37,$G20=37),0,1)</f>
        <v/>
      </c>
      <c r="EM21">
        <f>EM20*IF(OR($C20=38,$G20=38),0,1)</f>
        <v/>
      </c>
      <c r="EN21">
        <f>EN20*IF(OR($C20=39,$G20=39),0,1)</f>
        <v/>
      </c>
      <c r="EO21">
        <f>EO20*IF(OR($C20=40,$G20=40),0,1)</f>
        <v/>
      </c>
      <c r="EP21">
        <f>EP20*IF(OR($C20=41,$G20=41),0,1)</f>
        <v/>
      </c>
      <c r="EQ21">
        <f>EQ20*IF(OR($C20=42,$G20=42),0,1)</f>
        <v/>
      </c>
      <c r="ER21">
        <f>ER20*IF(OR($C20=43,$G20=43),0,1)</f>
        <v/>
      </c>
      <c r="ES21">
        <f>ES20*IF(OR($C20=44,$G20=44),0,1)</f>
        <v/>
      </c>
      <c r="ET21">
        <f>ET20*IF(OR($C20=45,$G20=45),0,1)</f>
        <v/>
      </c>
      <c r="EU21">
        <f>EU20*IF(OR($C20=46,$G20=46),0,1)</f>
        <v/>
      </c>
      <c r="EV21">
        <f>EV20*IF(OR($C20=47,$G20=47),0,1)</f>
        <v/>
      </c>
      <c r="EW21">
        <f>EW20*IF(OR($C20=48,$G20=48),0,1)</f>
        <v/>
      </c>
      <c r="EX21">
        <f>EX20*IF(OR($C20=49,$G20=49),0,1)</f>
        <v/>
      </c>
      <c r="EY21">
        <f>EY20*IF(OR($C20=50,$G20=50),0,1)</f>
        <v/>
      </c>
      <c r="EZ21">
        <f>EZ20*IF(OR($C20=51,$G20=51),0,1)</f>
        <v/>
      </c>
      <c r="FA21">
        <f>FA20*IF(OR($C20=52,$G20=52),0,1)</f>
        <v/>
      </c>
      <c r="FB21">
        <f>FB20*IF(OR($C20=53,$G20=53),0,1)</f>
        <v/>
      </c>
      <c r="FC21">
        <f>FC20*IF(OR($C20=54,$G20=54),0,1)</f>
        <v/>
      </c>
      <c r="FD21">
        <f>FD20*IF(OR($C20=55,$G20=55),0,1)</f>
        <v/>
      </c>
      <c r="FE21">
        <f>FE20*IF(OR($C20=56,$G20=56),0,1)</f>
        <v/>
      </c>
      <c r="FF21">
        <f>FF20*IF(OR($C20=57,$G20=57),0,1)</f>
        <v/>
      </c>
      <c r="FG21">
        <f>FG20*IF(OR($C20=58,$G20=58),0,1)</f>
        <v/>
      </c>
      <c r="FH21">
        <f>FH20*IF(OR($C20=59,$G20=59),0,1)</f>
        <v/>
      </c>
      <c r="FI21">
        <f>FI20*IF(OR($C20=60,$G20=60),0,1)</f>
        <v/>
      </c>
      <c r="FJ21">
        <f>FJ20*IF(OR($C20=61,$G20=61),0,1)</f>
        <v/>
      </c>
      <c r="FK21">
        <f>FK20*IF(OR($C20=62,$G20=62),0,1)</f>
        <v/>
      </c>
      <c r="FL21">
        <f>FL20*IF(OR($C20=63,$G20=63),0,1)</f>
        <v/>
      </c>
      <c r="FM21">
        <f>FM20*IF(OR($C20=64,$G20=64),0,1)</f>
        <v/>
      </c>
      <c r="FN21">
        <f>FN20*IF(OR($C20=65,$G20=65),0,1)</f>
        <v/>
      </c>
      <c r="FO21">
        <f>FO20*IF(OR($C20=66,$G20=66),0,1)</f>
        <v/>
      </c>
      <c r="FP21">
        <f>FP20*IF(OR($C20=67,$G20=67),0,1)</f>
        <v/>
      </c>
      <c r="FQ21">
        <f>FQ20*IF(OR($C20=68,$G20=68),0,1)</f>
        <v/>
      </c>
      <c r="FR21">
        <f>FR20*IF(OR($C20=69,$G20=69),0,1)</f>
        <v/>
      </c>
      <c r="FS21">
        <f>FS20*IF(OR($C20=70,$G20=70),0,1)</f>
        <v/>
      </c>
      <c r="FT21">
        <f>FT20*IF(OR($C20=71,$G20=71),0,1)</f>
        <v/>
      </c>
      <c r="FU21">
        <f>FU20*IF(OR($C20=72,$G20=72),0,1)</f>
        <v/>
      </c>
      <c r="FV21">
        <f>FV20*IF(OR($C20=73,$G20=73),0,1)</f>
        <v/>
      </c>
      <c r="FW21">
        <f>FW20*IF(OR($C20=74,$G20=74),0,1)</f>
        <v/>
      </c>
      <c r="FX21">
        <f>FX20*IF(OR($C20=75,$G20=75),0,1)</f>
        <v/>
      </c>
      <c r="FY21">
        <f>FY20*IF(OR($C20=76,$G20=76),0,1)</f>
        <v/>
      </c>
      <c r="FZ21">
        <f>FZ20*IF(OR($C20=77,$G20=77),0,1)</f>
        <v/>
      </c>
      <c r="GA21">
        <f>GA20*IF(OR($C20=78,$G20=78),0,1)</f>
        <v/>
      </c>
      <c r="GB21">
        <f>GB20*IF(OR($C20=79,$G20=79),0,1)</f>
        <v/>
      </c>
      <c r="GC21">
        <f>GC20*IF(OR($C20=80,$G20=80),0,1)</f>
        <v/>
      </c>
      <c r="GD21">
        <f>GD20*IF(OR($C20=81,$G20=81),0,1)</f>
        <v/>
      </c>
      <c r="GE21">
        <f>GE20*IF(OR($C20=82,$G20=82),0,1)</f>
        <v/>
      </c>
      <c r="GF21">
        <f>GF20*IF(OR($C20=83,$G20=83),0,1)</f>
        <v/>
      </c>
      <c r="GG21">
        <f>GG20*IF(OR($C20=84,$G20=84),0,1)</f>
        <v/>
      </c>
      <c r="GH21">
        <f>GH20*IF(OR($C20=85,$G20=85),0,1)</f>
        <v/>
      </c>
      <c r="GI21">
        <f>GI20*IF(OR($C20=86,$G20=86),0,1)</f>
        <v/>
      </c>
      <c r="GJ21">
        <f>GJ20*IF(OR($C20=87,$G20=87),0,1)</f>
        <v/>
      </c>
      <c r="GK21">
        <f>GK20*IF(OR($C20=88,$G20=88),0,1)</f>
        <v/>
      </c>
      <c r="GL21">
        <f>GL20*IF(OR($C20=89,$G20=89),0,1)</f>
        <v/>
      </c>
      <c r="GM21">
        <f>GM20*IF(OR($C20=90,$G20=90),0,1)</f>
        <v/>
      </c>
      <c r="GN21">
        <f>GN20*IF(OR($C20=91,$G20=91),0,1)</f>
        <v/>
      </c>
      <c r="GO21">
        <f>GO20*IF(OR($C20=92,$G20=92),0,1)</f>
        <v/>
      </c>
      <c r="GP21">
        <f>GP20*IF(OR($C20=93,$G20=93),0,1)</f>
        <v/>
      </c>
      <c r="GQ21">
        <f>GQ20*IF(OR($C20=94,$G20=94),0,1)</f>
        <v/>
      </c>
      <c r="GR21">
        <f>GR20*IF(OR($C20=95,$G20=95),0,1)</f>
        <v/>
      </c>
      <c r="GS21">
        <f>GS20*IF(OR($C20=96,$G20=96),0,1)</f>
        <v/>
      </c>
      <c r="GT21">
        <f>GT20*IF(OR($C20=97,$G20=97),0,1)</f>
        <v/>
      </c>
      <c r="GU21">
        <f>GU20*IF(OR($C20=98,$G20=98),0,1)</f>
        <v/>
      </c>
      <c r="GV21">
        <f>GV20*IF(OR($C20=99,$G20=99),0,1)</f>
        <v/>
      </c>
      <c r="GW21">
        <f>GW20*IF(OR($C20=100,$G20=100),0,1)</f>
        <v/>
      </c>
      <c r="GX21">
        <f>GX20*IF(OR($C20=101,$G20=101),0,1)</f>
        <v/>
      </c>
      <c r="GY21">
        <f>GY20*IF(OR($C20=102,$G20=102),0,1)</f>
        <v/>
      </c>
      <c r="GZ21">
        <f>GZ20*IF(OR($C20=103,$G20=103),0,1)</f>
        <v/>
      </c>
      <c r="HA21">
        <f>HA20*IF(OR($C20=104,$G20=104),0,1)</f>
        <v/>
      </c>
      <c r="HB21">
        <f>HB20*IF(OR($C20=105,$G20=105),0,1)</f>
        <v/>
      </c>
      <c r="HC21">
        <f>HC20*IF(OR($C20=106,$G20=106),0,1)</f>
        <v/>
      </c>
      <c r="HD21">
        <f>HD20*IF(OR($C20=107,$G20=107),0,1)</f>
        <v/>
      </c>
      <c r="HE21">
        <f>HE20*IF(OR($C20=108,$G20=108),0,1)</f>
        <v/>
      </c>
      <c r="HF21">
        <f>HF20*IF(OR($C20=109,$G20=109),0,1)</f>
        <v/>
      </c>
      <c r="HG21">
        <f>HG20*IF(OR($C20=110,$G20=110),0,1)</f>
        <v/>
      </c>
      <c r="HH21">
        <f>HH20*IF(OR($C20=111,$G20=111),0,1)</f>
        <v/>
      </c>
      <c r="HI21">
        <f>HI20*IF(OR($C20=112,$G20=112),0,1)</f>
        <v/>
      </c>
      <c r="HJ21">
        <f>HJ20*IF(OR($C20=113,$G20=113),0,1)</f>
        <v/>
      </c>
      <c r="HK21">
        <f>HK20*IF(OR($C20=114,$G20=114),0,1)</f>
        <v/>
      </c>
      <c r="HL21">
        <f>HL20*IF(OR($C20=115,$G20=115),0,1)</f>
        <v/>
      </c>
      <c r="HM21">
        <f>HM20*IF(OR($C20=116,$G20=116),0,1)</f>
        <v/>
      </c>
      <c r="HN21">
        <f>HN20*IF(OR($C20=117,$G20=117),0,1)</f>
        <v/>
      </c>
      <c r="HO21">
        <f>HO20*IF(OR($C20=118,$G20=118),0,1)</f>
        <v/>
      </c>
      <c r="HP21">
        <f>HP20*IF(OR($C20=119,$G20=119),0,1)</f>
        <v/>
      </c>
      <c r="HQ21">
        <f>HQ20*IF(OR($C20=120,$G20=120),0,1)</f>
        <v/>
      </c>
      <c r="HR21">
        <f>HR20*IF(OR($C20=121,$G20=121),0,1)</f>
        <v/>
      </c>
      <c r="HS21">
        <f>HS20*IF(OR($C20=122,$G20=122),0,1)</f>
        <v/>
      </c>
      <c r="HT21">
        <f>HT20*IF(OR($C20=123,$G20=123),0,1)</f>
        <v/>
      </c>
      <c r="HU21">
        <f>HU20*IF(OR($C20=124,$G20=124),0,1)</f>
        <v/>
      </c>
      <c r="HV21">
        <f>HV20*IF(OR($C20=125,$G20=125),0,1)</f>
        <v/>
      </c>
      <c r="HW21">
        <f>HW20*IF(OR($C20=126,$G20=126),0,1)</f>
        <v/>
      </c>
      <c r="HX21">
        <f>HX20*IF(OR($C20=127,$G20=127),0,1)</f>
        <v/>
      </c>
      <c r="HY21">
        <f>HY20*IF(OR($C20=128,$G20=128),0,1)</f>
        <v/>
      </c>
      <c r="HZ21">
        <f>HZ20*IF(OR($C20=129,$G20=129),0,1)</f>
        <v/>
      </c>
      <c r="IA21">
        <f>IA20*IF(OR($C20=130,$G20=130),0,1)</f>
        <v/>
      </c>
      <c r="IB21">
        <f>IB20*IF(OR($C20=131,$G20=131),0,1)</f>
        <v/>
      </c>
      <c r="IC21">
        <f>IC20*IF(OR($C20=132,$G20=132),0,1)</f>
        <v/>
      </c>
      <c r="ID21">
        <f>ID20*IF(OR($C20=133,$G20=133),0,1)</f>
        <v/>
      </c>
      <c r="IE21">
        <f>IE20*IF(OR($C20=134,$G20=134),0,1)</f>
        <v/>
      </c>
      <c r="IF21">
        <f>IF20*IF(OR($C20=135,$G20=135),0,1)</f>
        <v/>
      </c>
      <c r="IG21">
        <f>IG20*IF(OR($C20=136,$G20=136),0,1)</f>
        <v/>
      </c>
      <c r="IH21">
        <f>IH20*IF(OR($C20=137,$G20=137),0,1)</f>
        <v/>
      </c>
      <c r="II21">
        <f>II20*IF(OR($C20=138,$G20=138),0,1)</f>
        <v/>
      </c>
      <c r="IJ21">
        <f>IJ20*IF(OR($C20=139,$G20=139),0,1)</f>
        <v/>
      </c>
      <c r="IK21">
        <f>IK20*IF(OR($C20=140,$G20=140),0,1)</f>
        <v/>
      </c>
      <c r="IL21">
        <f>IL20*IF(OR($C20=141,$G20=141),0,1)</f>
        <v/>
      </c>
      <c r="IM21">
        <f>IM20*IF(OR($C20=142,$G20=142),0,1)</f>
        <v/>
      </c>
      <c r="IN21">
        <f>IN20*IF(OR($C20=143,$G20=143),0,1)</f>
        <v/>
      </c>
      <c r="IO21">
        <f>IO20*IF(OR($C20=144,$G20=144),0,1)</f>
        <v/>
      </c>
      <c r="IQ21">
        <f>IF('calcA'!D$106=1,DC21,1)</f>
        <v/>
      </c>
      <c r="IR21">
        <f>IF('calcA'!E$106=1,DD21,1)</f>
        <v/>
      </c>
      <c r="IS21">
        <f>IF('calcA'!F$106=1,DE21,1)</f>
        <v/>
      </c>
      <c r="IT21">
        <f>IF('calcA'!G$106=1,DF21,1)</f>
        <v/>
      </c>
      <c r="IU21">
        <f>IF('calcA'!H$106=1,DG21,1)</f>
        <v/>
      </c>
      <c r="IV21">
        <f>IF('calcA'!I$106=1,DH21,1)</f>
        <v/>
      </c>
      <c r="IW21">
        <f>IF('calcA'!J$106=1,DI21,1)</f>
        <v/>
      </c>
      <c r="IX21">
        <f>IF('calcA'!K$106=1,DJ21,1)</f>
        <v/>
      </c>
      <c r="IY21">
        <f>IF('calcA'!L$106=1,DK21,1)</f>
        <v/>
      </c>
      <c r="IZ21">
        <f>IF('calcA'!M$106=1,DL21,1)</f>
        <v/>
      </c>
      <c r="JA21">
        <f>IF('calcA'!N$106=1,DM21,1)</f>
        <v/>
      </c>
      <c r="JB21">
        <f>IF('calcA'!O$106=1,DN21,1)</f>
        <v/>
      </c>
      <c r="JC21">
        <f>IF('calcA'!P$106=1,DO21,1)</f>
        <v/>
      </c>
      <c r="JD21">
        <f>IF('calcA'!Q$106=1,DP21,1)</f>
        <v/>
      </c>
      <c r="JE21">
        <f>IF('calcA'!R$106=1,DQ21,1)</f>
        <v/>
      </c>
      <c r="JF21">
        <f>IF('calcA'!S$106=1,DR21,1)</f>
        <v/>
      </c>
      <c r="JG21">
        <f>IF('calcA'!T$106=1,DS21,1)</f>
        <v/>
      </c>
      <c r="JH21">
        <f>IF('calcA'!U$106=1,DT21,1)</f>
        <v/>
      </c>
      <c r="JI21">
        <f>IF('calcA'!V$106=1,DU21,1)</f>
        <v/>
      </c>
      <c r="JJ21">
        <f>IF('calcA'!W$106=1,DV21,1)</f>
        <v/>
      </c>
      <c r="JK21">
        <f>IF('calcA'!X$106=1,DW21,1)</f>
        <v/>
      </c>
      <c r="JL21">
        <f>IF('calcA'!Y$106=1,DX21,1)</f>
        <v/>
      </c>
      <c r="JM21">
        <f>IF('calcA'!Z$106=1,DY21,1)</f>
        <v/>
      </c>
      <c r="JN21">
        <f>IF('calcA'!AA$106=1,DZ21,1)</f>
        <v/>
      </c>
      <c r="JO21">
        <f>IF('calcA'!AB$106=1,EA21,1)</f>
        <v/>
      </c>
      <c r="JP21">
        <f>IF('calcA'!AC$106=1,EB21,1)</f>
        <v/>
      </c>
      <c r="JQ21">
        <f>IF('calcA'!AD$106=1,EC21,1)</f>
        <v/>
      </c>
      <c r="JR21">
        <f>IF('calcA'!AE$106=1,ED21,1)</f>
        <v/>
      </c>
      <c r="JS21">
        <f>IF('calcA'!AF$106=1,EE21,1)</f>
        <v/>
      </c>
      <c r="JT21">
        <f>IF('calcA'!AG$106=1,EF21,1)</f>
        <v/>
      </c>
      <c r="JU21">
        <f>IF('calcA'!AH$106=1,EG21,1)</f>
        <v/>
      </c>
      <c r="JV21">
        <f>IF('calcA'!AI$106=1,EH21,1)</f>
        <v/>
      </c>
      <c r="JW21">
        <f>IF('calcA'!AJ$106=1,EI21,1)</f>
        <v/>
      </c>
      <c r="JX21">
        <f>IF('calcA'!AK$106=1,EJ21,1)</f>
        <v/>
      </c>
      <c r="JY21">
        <f>IF('calcA'!AL$106=1,EK21,1)</f>
        <v/>
      </c>
      <c r="JZ21">
        <f>IF('calcA'!AM$106=1,EL21,1)</f>
        <v/>
      </c>
      <c r="KA21">
        <f>IF('calcA'!AN$106=1,EM21,1)</f>
        <v/>
      </c>
      <c r="KB21">
        <f>IF('calcA'!AO$106=1,EN21,1)</f>
        <v/>
      </c>
      <c r="KC21">
        <f>IF('calcA'!AP$106=1,EO21,1)</f>
        <v/>
      </c>
      <c r="KD21">
        <f>IF('calcA'!AQ$106=1,EP21,1)</f>
        <v/>
      </c>
      <c r="KE21">
        <f>IF('calcA'!AR$106=1,EQ21,1)</f>
        <v/>
      </c>
      <c r="KF21">
        <f>IF('calcA'!AS$106=1,ER21,1)</f>
        <v/>
      </c>
      <c r="KG21">
        <f>IF('calcA'!AT$106=1,ES21,1)</f>
        <v/>
      </c>
      <c r="KH21">
        <f>IF('calcA'!AU$106=1,ET21,1)</f>
        <v/>
      </c>
      <c r="KI21">
        <f>IF('calcA'!AV$106=1,EU21,1)</f>
        <v/>
      </c>
      <c r="KJ21">
        <f>IF('calcA'!AW$106=1,EV21,1)</f>
        <v/>
      </c>
      <c r="KK21">
        <f>IF('calcA'!AX$106=1,EW21,1)</f>
        <v/>
      </c>
      <c r="KL21">
        <f>IF('calcA'!AY$106=1,EX21,1)</f>
        <v/>
      </c>
      <c r="KM21">
        <f>IF('calcA'!AZ$106=1,EY21,1)</f>
        <v/>
      </c>
      <c r="KN21">
        <f>IF('calcA'!BA$106=1,EZ21,1)</f>
        <v/>
      </c>
      <c r="KO21">
        <f>IF('calcA'!BB$106=1,FA21,1)</f>
        <v/>
      </c>
      <c r="KP21">
        <f>IF('calcA'!BC$106=1,FB21,1)</f>
        <v/>
      </c>
      <c r="KQ21">
        <f>IF('calcA'!BD$106=1,FC21,1)</f>
        <v/>
      </c>
      <c r="KR21">
        <f>IF('calcA'!BE$106=1,FD21,1)</f>
        <v/>
      </c>
      <c r="KS21">
        <f>IF('calcA'!BF$106=1,FE21,1)</f>
        <v/>
      </c>
      <c r="KT21">
        <f>IF('calcA'!BG$106=1,FF21,1)</f>
        <v/>
      </c>
      <c r="KU21">
        <f>IF('calcA'!BH$106=1,FG21,1)</f>
        <v/>
      </c>
      <c r="KV21">
        <f>IF('calcA'!BI$106=1,FH21,1)</f>
        <v/>
      </c>
      <c r="KW21">
        <f>IF('calcA'!BJ$106=1,FI21,1)</f>
        <v/>
      </c>
      <c r="KX21">
        <f>IF('calcA'!BK$106=1,FJ21,1)</f>
        <v/>
      </c>
      <c r="KY21">
        <f>IF('calcA'!BL$106=1,FK21,1)</f>
        <v/>
      </c>
      <c r="KZ21">
        <f>IF('calcA'!BM$106=1,FL21,1)</f>
        <v/>
      </c>
      <c r="LA21">
        <f>IF('calcA'!BN$106=1,FM21,1)</f>
        <v/>
      </c>
      <c r="LB21">
        <f>IF('calcA'!BO$106=1,FN21,1)</f>
        <v/>
      </c>
      <c r="LC21">
        <f>IF('calcA'!BP$106=1,FO21,1)</f>
        <v/>
      </c>
      <c r="LD21">
        <f>IF('calcA'!BQ$106=1,FP21,1)</f>
        <v/>
      </c>
      <c r="LE21">
        <f>IF('calcA'!BR$106=1,FQ21,1)</f>
        <v/>
      </c>
      <c r="LF21">
        <f>IF('calcA'!BS$106=1,FR21,1)</f>
        <v/>
      </c>
      <c r="LG21">
        <f>IF('calcA'!BT$106=1,FS21,1)</f>
        <v/>
      </c>
      <c r="LH21">
        <f>IF('calcA'!BU$106=1,FT21,1)</f>
        <v/>
      </c>
      <c r="LI21">
        <f>IF('calcA'!BV$106=1,FU21,1)</f>
        <v/>
      </c>
      <c r="LJ21">
        <f>IF('calcA'!BW$106=1,FV21,1)</f>
        <v/>
      </c>
      <c r="LK21">
        <f>IF('calcA'!BX$106=1,FW21,1)</f>
        <v/>
      </c>
      <c r="LL21">
        <f>IF('calcA'!BY$106=1,FX21,1)</f>
        <v/>
      </c>
      <c r="LM21">
        <f>IF('calcA'!BZ$106=1,FY21,1)</f>
        <v/>
      </c>
      <c r="LN21">
        <f>IF('calcA'!CA$106=1,FZ21,1)</f>
        <v/>
      </c>
      <c r="LO21">
        <f>IF('calcA'!CB$106=1,GA21,1)</f>
        <v/>
      </c>
      <c r="LP21">
        <f>IF('calcA'!CC$106=1,GB21,1)</f>
        <v/>
      </c>
      <c r="LQ21">
        <f>IF('calcA'!CD$106=1,GC21,1)</f>
        <v/>
      </c>
      <c r="LR21">
        <f>IF('calcA'!CE$106=1,GD21,1)</f>
        <v/>
      </c>
      <c r="LS21">
        <f>IF('calcA'!CF$106=1,GE21,1)</f>
        <v/>
      </c>
      <c r="LT21">
        <f>IF('calcA'!CG$106=1,GF21,1)</f>
        <v/>
      </c>
      <c r="LU21">
        <f>IF('calcA'!CH$106=1,GG21,1)</f>
        <v/>
      </c>
      <c r="LV21">
        <f>IF('calcA'!CI$106=1,GH21,1)</f>
        <v/>
      </c>
      <c r="LW21">
        <f>IF('calcA'!CJ$106=1,GI21,1)</f>
        <v/>
      </c>
      <c r="LX21">
        <f>IF('calcA'!CK$106=1,GJ21,1)</f>
        <v/>
      </c>
      <c r="LY21">
        <f>IF('calcA'!CL$106=1,GK21,1)</f>
        <v/>
      </c>
      <c r="LZ21">
        <f>IF('calcA'!CM$106=1,GL21,1)</f>
        <v/>
      </c>
      <c r="MA21">
        <f>IF('calcA'!CN$106=1,GM21,1)</f>
        <v/>
      </c>
      <c r="MB21">
        <f>IF('calcA'!CO$106=1,GN21,1)</f>
        <v/>
      </c>
      <c r="MC21">
        <f>IF('calcA'!CP$106=1,GO21,1)</f>
        <v/>
      </c>
      <c r="MD21">
        <f>IF('calcA'!CQ$106=1,GP21,1)</f>
        <v/>
      </c>
      <c r="ME21">
        <f>IF('calcA'!CR$106=1,GQ21,1)</f>
        <v/>
      </c>
      <c r="MF21">
        <f>IF('calcA'!CS$106=1,GR21,1)</f>
        <v/>
      </c>
      <c r="MG21">
        <f>IF('calcA'!CT$106=1,GS21,1)</f>
        <v/>
      </c>
      <c r="MH21">
        <f>IF('calcA'!CU$106=1,GT21,1)</f>
        <v/>
      </c>
      <c r="MI21">
        <f>IF('calcA'!CV$106=1,GU21,1)</f>
        <v/>
      </c>
      <c r="MJ21">
        <f>IF('calcA'!CW$106=1,GV21,1)</f>
        <v/>
      </c>
      <c r="MK21">
        <f>IF('calcA'!CX$106=1,GW21,1)</f>
        <v/>
      </c>
      <c r="ML21">
        <f>IF('calcA'!CY$106=1,GX21,1)</f>
        <v/>
      </c>
      <c r="MM21">
        <f>IF('calcA'!CZ$106=1,GY21,1)</f>
        <v/>
      </c>
      <c r="MN21">
        <f>IF('calcA'!DA$106=1,GZ21,1)</f>
        <v/>
      </c>
      <c r="MO21">
        <f>IF('calcA'!DB$106=1,HA21,1)</f>
        <v/>
      </c>
      <c r="MP21">
        <f>IF('calcA'!DC$106=1,HB21,1)</f>
        <v/>
      </c>
      <c r="MQ21">
        <f>IF('calcA'!DD$106=1,HC21,1)</f>
        <v/>
      </c>
      <c r="MR21">
        <f>IF('calcA'!DE$106=1,HD21,1)</f>
        <v/>
      </c>
      <c r="MS21">
        <f>IF('calcA'!DF$106=1,HE21,1)</f>
        <v/>
      </c>
      <c r="MT21">
        <f>IF('calcA'!DG$106=1,HF21,1)</f>
        <v/>
      </c>
      <c r="MU21">
        <f>IF('calcA'!DH$106=1,HG21,1)</f>
        <v/>
      </c>
      <c r="MV21">
        <f>IF('calcA'!DI$106=1,HH21,1)</f>
        <v/>
      </c>
      <c r="MW21">
        <f>IF('calcA'!DJ$106=1,HI21,1)</f>
        <v/>
      </c>
      <c r="MX21">
        <f>IF('calcA'!DK$106=1,HJ21,1)</f>
        <v/>
      </c>
      <c r="MY21">
        <f>IF('calcA'!DL$106=1,HK21,1)</f>
        <v/>
      </c>
      <c r="MZ21">
        <f>IF('calcA'!DM$106=1,HL21,1)</f>
        <v/>
      </c>
      <c r="NA21">
        <f>IF('calcA'!DN$106=1,HM21,1)</f>
        <v/>
      </c>
      <c r="NB21">
        <f>IF('calcA'!DO$106=1,HN21,1)</f>
        <v/>
      </c>
      <c r="NC21">
        <f>IF('calcA'!DP$106=1,HO21,1)</f>
        <v/>
      </c>
      <c r="ND21">
        <f>IF('calcA'!DQ$106=1,HP21,1)</f>
        <v/>
      </c>
      <c r="NE21">
        <f>IF('calcA'!DR$106=1,HQ21,1)</f>
        <v/>
      </c>
      <c r="NF21">
        <f>IF('calcA'!DS$106=1,HR21,1)</f>
        <v/>
      </c>
      <c r="NG21">
        <f>IF('calcA'!DT$106=1,HS21,1)</f>
        <v/>
      </c>
      <c r="NH21">
        <f>IF('calcA'!DU$106=1,HT21,1)</f>
        <v/>
      </c>
      <c r="NI21">
        <f>IF('calcA'!DV$106=1,HU21,1)</f>
        <v/>
      </c>
      <c r="NJ21">
        <f>IF('calcA'!DW$106=1,HV21,1)</f>
        <v/>
      </c>
      <c r="NK21">
        <f>IF('calcA'!DX$106=1,HW21,1)</f>
        <v/>
      </c>
      <c r="NL21">
        <f>IF('calcA'!DY$106=1,HX21,1)</f>
        <v/>
      </c>
      <c r="NM21">
        <f>IF('calcA'!DZ$106=1,HY21,1)</f>
        <v/>
      </c>
      <c r="NN21">
        <f>IF('calcA'!EA$106=1,HZ21,1)</f>
        <v/>
      </c>
      <c r="NO21">
        <f>IF('calcA'!EB$106=1,IA21,1)</f>
        <v/>
      </c>
      <c r="NP21">
        <f>IF('calcA'!EC$106=1,IB21,1)</f>
        <v/>
      </c>
      <c r="NQ21">
        <f>IF('calcA'!ED$106=1,IC21,1)</f>
        <v/>
      </c>
      <c r="NR21">
        <f>IF('calcA'!EE$106=1,ID21,1)</f>
        <v/>
      </c>
      <c r="NS21">
        <f>IF('calcA'!EF$106=1,IE21,1)</f>
        <v/>
      </c>
      <c r="NT21">
        <f>IF('calcA'!EG$106=1,IF21,1)</f>
        <v/>
      </c>
      <c r="NU21">
        <f>IF('calcA'!EH$106=1,IG21,1)</f>
        <v/>
      </c>
      <c r="NV21">
        <f>IF('calcA'!EI$106=1,IH21,1)</f>
        <v/>
      </c>
      <c r="NW21">
        <f>IF('calcA'!EJ$106=1,II21,1)</f>
        <v/>
      </c>
      <c r="NX21">
        <f>IF('calcA'!EK$106=1,IJ21,1)</f>
        <v/>
      </c>
      <c r="NY21">
        <f>IF('calcA'!EL$106=1,IK21,1)</f>
        <v/>
      </c>
      <c r="NZ21">
        <f>IF('calcA'!EM$106=1,IL21,1)</f>
        <v/>
      </c>
      <c r="OA21">
        <f>IF('calcA'!EN$106=1,IM21,1)</f>
        <v/>
      </c>
      <c r="OB21">
        <f>IF('calcA'!EO$106=1,IN21,1)</f>
        <v/>
      </c>
      <c r="OC21">
        <f>IF('calcA'!EP$106=1,IO21,1)</f>
        <v/>
      </c>
      <c r="OD21" t="n">
        <v>1</v>
      </c>
      <c r="OF21">
        <f>IF($B21=0,1000000000,IF(INDEX('calcA'!$D$60:$EQ$99,$B21,1)*IF($W21=1,DB21+ZQ21,DB21)=1,IF(AND($E21=2,IF($W21=1,AFF21,IQ21)=0),1000000000,IF($V21=1,INDEX('calcA'!$D$130:$EQ$169,$B21,1)+IF(AND($E21=1,IQ21=0),25,0),INDEX('calcA'!D$110:D$114,$F21+1)+IF(AND($E21=1,IQ21=0),1000,0)+IF($H21=1,INDEX('calcA'!$D$180:$EQ$219,$B21,1)*500,0)-IF(AND($U21=1,'calcA'!D$117=1,DC21=0),300,0))),1000000000))</f>
        <v/>
      </c>
      <c r="OG21">
        <f>IF($B21=0,1000000000,IF(INDEX('calcA'!$D$60:$EQ$99,$B21,2)*IF($W21=1,DC21+ZR21,DC21)=1,IF(AND($E21=2,IF($W21=1,AFG21,IR21)=0),1000000000,IF($V21=1,INDEX('calcA'!$D$130:$EQ$169,$B21,2)+IF(AND($E21=1,IR21=0),25,0),INDEX('calcA'!E$110:E$114,$F21+1)+IF(AND($E21=1,IR21=0),1000,0)+IF($H21=1,INDEX('calcA'!$D$180:$EQ$219,$B21,2)*500,0)-IF(AND('calcA'!D$117=1,UB21&gt;0),300,0)-IF(AND($U21=1,'calcA'!E$117=1,DD21=0),300,0))),1000000000))</f>
        <v/>
      </c>
      <c r="OH21">
        <f>IF($B21=0,1000000000,IF(INDEX('calcA'!$D$60:$EQ$99,$B21,3)*IF($W21=1,DD21+ZS21,DD21)=1,IF(AND($E21=2,IF($W21=1,AFH21,IS21)=0),1000000000,IF($V21=1,INDEX('calcA'!$D$130:$EQ$169,$B21,3)+IF(AND($E21=1,IS21=0),25,0),INDEX('calcA'!F$110:F$114,$F21+1)+IF(AND($E21=1,IS21=0),1000,0)+IF($H21=1,INDEX('calcA'!$D$180:$EQ$219,$B21,3)*500,0)-IF(AND('calcA'!E$117=1,UC21&gt;0),300,0)-IF(AND($U21=1,'calcA'!F$117=1,DE21=0),300,0))),1000000000))</f>
        <v/>
      </c>
      <c r="OI21">
        <f>IF($B21=0,1000000000,IF(INDEX('calcA'!$D$60:$EQ$99,$B21,4)*IF($W21=1,DE21+ZT21,DE21)=1,IF(AND($E21=2,IF($W21=1,AFI21,IT21)=0),1000000000,IF($V21=1,INDEX('calcA'!$D$130:$EQ$169,$B21,4)+IF(AND($E21=1,IT21=0),25,0),INDEX('calcA'!G$110:G$114,$F21+1)+IF(AND($E21=1,IT21=0),1000,0)+IF($H21=1,INDEX('calcA'!$D$180:$EQ$219,$B21,4)*500,0)-IF(AND('calcA'!F$117=1,UD21&gt;0),300,0)-IF(AND($U21=1,'calcA'!G$117=1,DF21=0),300,0))),1000000000))</f>
        <v/>
      </c>
      <c r="OJ21">
        <f>IF($B21=0,1000000000,IF(INDEX('calcA'!$D$60:$EQ$99,$B21,5)*IF($W21=1,DF21+ZU21,DF21)=1,IF(AND($E21=2,IF($W21=1,AFJ21,IU21)=0),1000000000,IF($V21=1,INDEX('calcA'!$D$130:$EQ$169,$B21,5)+IF(AND($E21=1,IU21=0),25,0),INDEX('calcA'!H$110:H$114,$F21+1)+IF(AND($E21=1,IU21=0),1000,0)+IF($H21=1,INDEX('calcA'!$D$180:$EQ$219,$B21,5)*500,0)-IF(AND('calcA'!G$117=1,UE21&gt;0),300,0)-IF(AND($U21=1,'calcA'!H$117=1,DG21=0),300,0))),1000000000))</f>
        <v/>
      </c>
      <c r="OK21">
        <f>IF($B21=0,1000000000,IF(INDEX('calcA'!$D$60:$EQ$99,$B21,6)*IF($W21=1,DG21+ZV21,DG21)=1,IF(AND($E21=2,IF($W21=1,AFK21,IV21)=0),1000000000,IF($V21=1,INDEX('calcA'!$D$130:$EQ$169,$B21,6)+IF(AND($E21=1,IV21=0),25,0),INDEX('calcA'!I$110:I$114,$F21+1)+IF(AND($E21=1,IV21=0),1000,0)+IF($H21=1,INDEX('calcA'!$D$180:$EQ$219,$B21,6)*500,0)-IF(AND('calcA'!H$117=1,UF21&gt;0),300,0)-IF(AND($U21=1,'calcA'!I$117=1,DH21=0),300,0))),1000000000))</f>
        <v/>
      </c>
      <c r="OL21">
        <f>IF($B21=0,1000000000,IF(INDEX('calcA'!$D$60:$EQ$99,$B21,7)*IF($W21=1,DH21+ZW21,DH21)=1,IF(AND($E21=2,IF($W21=1,AFL21,IW21)=0),1000000000,IF($V21=1,INDEX('calcA'!$D$130:$EQ$169,$B21,7)+IF(AND($E21=1,IW21=0),25,0),INDEX('calcA'!J$110:J$114,$F21+1)+IF(AND($E21=1,IW21=0),1000,0)+IF($H21=1,INDEX('calcA'!$D$180:$EQ$219,$B21,7)*500,0)-IF(AND('calcA'!I$117=1,UG21&gt;0),300,0)-IF(AND($U21=1,'calcA'!J$117=1,DI21=0),300,0))),1000000000))</f>
        <v/>
      </c>
      <c r="OM21">
        <f>IF($B21=0,1000000000,IF(INDEX('calcA'!$D$60:$EQ$99,$B21,8)*IF($W21=1,DI21+ZX21,DI21)=1,IF(AND($E21=2,IF($W21=1,AFM21,IX21)=0),1000000000,IF($V21=1,INDEX('calcA'!$D$130:$EQ$169,$B21,8)+IF(AND($E21=1,IX21=0),25,0),INDEX('calcA'!K$110:K$114,$F21+1)+IF(AND($E21=1,IX21=0),1000,0)+IF($H21=1,INDEX('calcA'!$D$180:$EQ$219,$B21,8)*500,0)-IF(AND('calcA'!J$117=1,UH21&gt;0),300,0)-IF(AND($U21=1,'calcA'!K$117=1,DJ21=0),300,0))),1000000000))</f>
        <v/>
      </c>
      <c r="ON21">
        <f>IF($B21=0,1000000000,IF(INDEX('calcA'!$D$60:$EQ$99,$B21,9)*IF($W21=1,DJ21+ZY21,DJ21)=1,IF(AND($E21=2,IF($W21=1,AFN21,IY21)=0),1000000000,IF($V21=1,INDEX('calcA'!$D$130:$EQ$169,$B21,9)+IF(AND($E21=1,IY21=0),25,0),INDEX('calcA'!L$110:L$114,$F21+1)+IF(AND($E21=1,IY21=0),1000,0)+IF($H21=1,INDEX('calcA'!$D$180:$EQ$219,$B21,9)*500,0)-IF(AND('calcA'!K$117=1,UI21&gt;0),300,0)-IF(AND($U21=1,'calcA'!L$117=1,DK21=0),300,0))),1000000000))</f>
        <v/>
      </c>
      <c r="OO21">
        <f>IF($B21=0,1000000000,IF(INDEX('calcA'!$D$60:$EQ$99,$B21,10)*IF($W21=1,DK21+ZZ21,DK21)=1,IF(AND($E21=2,IF($W21=1,AFO21,IZ21)=0),1000000000,IF($V21=1,INDEX('calcA'!$D$130:$EQ$169,$B21,10)+IF(AND($E21=1,IZ21=0),25,0),INDEX('calcA'!M$110:M$114,$F21+1)+IF(AND($E21=1,IZ21=0),1000,0)+IF($H21=1,INDEX('calcA'!$D$180:$EQ$219,$B21,10)*500,0)-IF(AND('calcA'!L$117=1,UJ21&gt;0),300,0)-IF(AND($U21=1,'calcA'!M$117=1,DL21=0),300,0))),1000000000))</f>
        <v/>
      </c>
      <c r="OP21">
        <f>IF($B21=0,1000000000,IF(INDEX('calcA'!$D$60:$EQ$99,$B21,11)*IF($W21=1,DL21+AAA21,DL21)=1,IF(AND($E21=2,IF($W21=1,AFP21,JA21)=0),1000000000,IF($V21=1,INDEX('calcA'!$D$130:$EQ$169,$B21,11)+IF(AND($E21=1,JA21=0),25,0),INDEX('calcA'!N$110:N$114,$F21+1)+IF(AND($E21=1,JA21=0),1000,0)+IF($H21=1,INDEX('calcA'!$D$180:$EQ$219,$B21,11)*500,0)-IF(AND('calcA'!M$117=1,UK21&gt;0),300,0)-IF(AND($U21=1,'calcA'!N$117=1,DM21=0),300,0))),1000000000))</f>
        <v/>
      </c>
      <c r="OQ21">
        <f>IF($B21=0,1000000000,IF(INDEX('calcA'!$D$60:$EQ$99,$B21,12)*IF($W21=1,DM21+AAB21,DM21)=1,IF(AND($E21=2,IF($W21=1,AFQ21,JB21)=0),1000000000,IF($V21=1,INDEX('calcA'!$D$130:$EQ$169,$B21,12)+IF(AND($E21=1,JB21=0),25,0),INDEX('calcA'!O$110:O$114,$F21+1)+IF(AND($E21=1,JB21=0),1000,0)+IF($H21=1,INDEX('calcA'!$D$180:$EQ$219,$B21,12)*500,0)-IF(AND('calcA'!N$117=1,UL21&gt;0),300,0)-IF(AND($U21=1,'calcA'!O$117=1,DN21=0),300,0))),1000000000))</f>
        <v/>
      </c>
      <c r="OR21">
        <f>IF($B21=0,1000000000,IF(INDEX('calcA'!$D$60:$EQ$99,$B21,13)*IF($W21=1,DN21+AAC21,DN21)=1,IF(AND($E21=2,IF($W21=1,AFR21,JC21)=0),1000000000,IF($V21=1,INDEX('calcA'!$D$130:$EQ$169,$B21,13)+IF(AND($E21=1,JC21=0),25,0),INDEX('calcA'!P$110:P$114,$F21+1)+IF(AND($E21=1,JC21=0),1000,0)+IF($H21=1,INDEX('calcA'!$D$180:$EQ$219,$B21,13)*500,0)-IF(AND('calcA'!O$117=1,UM21&gt;0),300,0)-IF(AND($U21=1,'calcA'!P$117=1,DO21=0),300,0))),1000000000))</f>
        <v/>
      </c>
      <c r="OS21">
        <f>IF($B21=0,1000000000,IF(INDEX('calcA'!$D$60:$EQ$99,$B21,14)*IF($W21=1,DO21+AAD21,DO21)=1,IF(AND($E21=2,IF($W21=1,AFS21,JD21)=0),1000000000,IF($V21=1,INDEX('calcA'!$D$130:$EQ$169,$B21,14)+IF(AND($E21=1,JD21=0),25,0),INDEX('calcA'!Q$110:Q$114,$F21+1)+IF(AND($E21=1,JD21=0),1000,0)+IF($H21=1,INDEX('calcA'!$D$180:$EQ$219,$B21,14)*500,0)-IF(AND('calcA'!P$117=1,UN21&gt;0),300,0)-IF(AND($U21=1,'calcA'!Q$117=1,DP21=0),300,0))),1000000000))</f>
        <v/>
      </c>
      <c r="OT21">
        <f>IF($B21=0,1000000000,IF(INDEX('calcA'!$D$60:$EQ$99,$B21,15)*IF($W21=1,DP21+AAE21,DP21)=1,IF(AND($E21=2,IF($W21=1,AFT21,JE21)=0),1000000000,IF($V21=1,INDEX('calcA'!$D$130:$EQ$169,$B21,15)+IF(AND($E21=1,JE21=0),25,0),INDEX('calcA'!R$110:R$114,$F21+1)+IF(AND($E21=1,JE21=0),1000,0)+IF($H21=1,INDEX('calcA'!$D$180:$EQ$219,$B21,15)*500,0)-IF(AND('calcA'!Q$117=1,UO21&gt;0),300,0)-IF(AND($U21=1,'calcA'!R$117=1,DQ21=0),300,0))),1000000000))</f>
        <v/>
      </c>
      <c r="OU21">
        <f>IF($B21=0,1000000000,IF(INDEX('calcA'!$D$60:$EQ$99,$B21,16)*IF($W21=1,DQ21+AAF21,DQ21)=1,IF(AND($E21=2,IF($W21=1,AFU21,JF21)=0),1000000000,IF($V21=1,INDEX('calcA'!$D$130:$EQ$169,$B21,16)+IF(AND($E21=1,JF21=0),25,0),INDEX('calcA'!S$110:S$114,$F21+1)+IF(AND($E21=1,JF21=0),1000,0)+IF($H21=1,INDEX('calcA'!$D$180:$EQ$219,$B21,16)*500,0)-IF(AND('calcA'!R$117=1,UP21&gt;0),300,0)-IF(AND($U21=1,'calcA'!S$117=1,DR21=0),300,0))),1000000000))</f>
        <v/>
      </c>
      <c r="OV21">
        <f>IF($B21=0,1000000000,IF(INDEX('calcA'!$D$60:$EQ$99,$B21,17)*IF($W21=1,DR21+AAG21,DR21)=1,IF(AND($E21=2,IF($W21=1,AFV21,JG21)=0),1000000000,IF($V21=1,INDEX('calcA'!$D$130:$EQ$169,$B21,17)+IF(AND($E21=1,JG21=0),25,0),INDEX('calcA'!T$110:T$114,$F21+1)+IF(AND($E21=1,JG21=0),1000,0)+IF($H21=1,INDEX('calcA'!$D$180:$EQ$219,$B21,17)*500,0)-IF(AND('calcA'!S$117=1,UQ21&gt;0),300,0)-IF(AND($U21=1,'calcA'!T$117=1,DS21=0),300,0))),1000000000))</f>
        <v/>
      </c>
      <c r="OW21">
        <f>IF($B21=0,1000000000,IF(INDEX('calcA'!$D$60:$EQ$99,$B21,18)*IF($W21=1,DS21+AAH21,DS21)=1,IF(AND($E21=2,IF($W21=1,AFW21,JH21)=0),1000000000,IF($V21=1,INDEX('calcA'!$D$130:$EQ$169,$B21,18)+IF(AND($E21=1,JH21=0),25,0),INDEX('calcA'!U$110:U$114,$F21+1)+IF(AND($E21=1,JH21=0),1000,0)+IF($H21=1,INDEX('calcA'!$D$180:$EQ$219,$B21,18)*500,0)-IF(AND('calcA'!T$117=1,UR21&gt;0),300,0)-IF(AND($U21=1,'calcA'!U$117=1,DT21=0),300,0))),1000000000))</f>
        <v/>
      </c>
      <c r="OX21">
        <f>IF($B21=0,1000000000,IF(INDEX('calcA'!$D$60:$EQ$99,$B21,19)*IF($W21=1,DT21+AAI21,DT21)=1,IF(AND($E21=2,IF($W21=1,AFX21,JI21)=0),1000000000,IF($V21=1,INDEX('calcA'!$D$130:$EQ$169,$B21,19)+IF(AND($E21=1,JI21=0),25,0),INDEX('calcA'!V$110:V$114,$F21+1)+IF(AND($E21=1,JI21=0),1000,0)+IF($H21=1,INDEX('calcA'!$D$180:$EQ$219,$B21,19)*500,0)-IF(AND('calcA'!U$117=1,US21&gt;0),300,0)-IF(AND($U21=1,'calcA'!V$117=1,DU21=0),300,0))),1000000000))</f>
        <v/>
      </c>
      <c r="OY21">
        <f>IF($B21=0,1000000000,IF(INDEX('calcA'!$D$60:$EQ$99,$B21,20)*IF($W21=1,DU21+AAJ21,DU21)=1,IF(AND($E21=2,IF($W21=1,AFY21,JJ21)=0),1000000000,IF($V21=1,INDEX('calcA'!$D$130:$EQ$169,$B21,20)+IF(AND($E21=1,JJ21=0),25,0),INDEX('calcA'!W$110:W$114,$F21+1)+IF(AND($E21=1,JJ21=0),1000,0)+IF($H21=1,INDEX('calcA'!$D$180:$EQ$219,$B21,20)*500,0)-IF(AND('calcA'!V$117=1,UT21&gt;0),300,0)-IF(AND($U21=1,'calcA'!W$117=1,DV21=0),300,0))),1000000000))</f>
        <v/>
      </c>
      <c r="OZ21">
        <f>IF($B21=0,1000000000,IF(INDEX('calcA'!$D$60:$EQ$99,$B21,21)*IF($W21=1,DV21+AAK21,DV21)=1,IF(AND($E21=2,IF($W21=1,AFZ21,JK21)=0),1000000000,IF($V21=1,INDEX('calcA'!$D$130:$EQ$169,$B21,21)+IF(AND($E21=1,JK21=0),25,0),INDEX('calcA'!X$110:X$114,$F21+1)+IF(AND($E21=1,JK21=0),1000,0)+IF($H21=1,INDEX('calcA'!$D$180:$EQ$219,$B21,21)*500,0)-IF(AND('calcA'!W$117=1,UU21&gt;0),300,0)-IF(AND($U21=1,'calcA'!X$117=1,DW21=0),300,0))),1000000000))</f>
        <v/>
      </c>
      <c r="PA21">
        <f>IF($B21=0,1000000000,IF(INDEX('calcA'!$D$60:$EQ$99,$B21,22)*IF($W21=1,DW21+AAL21,DW21)=1,IF(AND($E21=2,IF($W21=1,AGA21,JL21)=0),1000000000,IF($V21=1,INDEX('calcA'!$D$130:$EQ$169,$B21,22)+IF(AND($E21=1,JL21=0),25,0),INDEX('calcA'!Y$110:Y$114,$F21+1)+IF(AND($E21=1,JL21=0),1000,0)+IF($H21=1,INDEX('calcA'!$D$180:$EQ$219,$B21,22)*500,0)-IF(AND('calcA'!X$117=1,UV21&gt;0),300,0)-IF(AND($U21=1,'calcA'!Y$117=1,DX21=0),300,0))),1000000000))</f>
        <v/>
      </c>
      <c r="PB21">
        <f>IF($B21=0,1000000000,IF(INDEX('calcA'!$D$60:$EQ$99,$B21,23)*IF($W21=1,DX21+AAM21,DX21)=1,IF(AND($E21=2,IF($W21=1,AGB21,JM21)=0),1000000000,IF($V21=1,INDEX('calcA'!$D$130:$EQ$169,$B21,23)+IF(AND($E21=1,JM21=0),25,0),INDEX('calcA'!Z$110:Z$114,$F21+1)+IF(AND($E21=1,JM21=0),1000,0)+IF($H21=1,INDEX('calcA'!$D$180:$EQ$219,$B21,23)*500,0)-IF(AND('calcA'!Y$117=1,UW21&gt;0),300,0)-IF(AND($U21=1,'calcA'!Z$117=1,DY21=0),300,0))),1000000000))</f>
        <v/>
      </c>
      <c r="PC21">
        <f>IF($B21=0,1000000000,IF(INDEX('calcA'!$D$60:$EQ$99,$B21,24)*IF($W21=1,DY21+AAN21,DY21)=1,IF(AND($E21=2,IF($W21=1,AGC21,JN21)=0),1000000000,IF($V21=1,INDEX('calcA'!$D$130:$EQ$169,$B21,24)+IF(AND($E21=1,JN21=0),25,0),INDEX('calcA'!AA$110:AA$114,$F21+1)+IF(AND($E21=1,JN21=0),1000,0)+IF($H21=1,INDEX('calcA'!$D$180:$EQ$219,$B21,24)*500,0)-IF(AND('calcA'!Z$117=1,UX21&gt;0),300,0))),1000000000))</f>
        <v/>
      </c>
      <c r="PD21">
        <f>IF($B21=0,1000000000,IF(INDEX('calcA'!$D$60:$EQ$99,$B21,25)*IF($W21=1,DZ21+AAO21,DZ21)=1,IF(AND($E21=2,IF($W21=1,AGD21,JO21)=0),1000000000,IF($V21=1,INDEX('calcA'!$D$130:$EQ$169,$B21,25)+IF(AND($E21=1,JO21=0),25,0),INDEX('calcA'!AB$110:AB$114,$F21+1)+IF(AND($E21=1,JO21=0),1000,0)+IF($H21=1,INDEX('calcA'!$D$180:$EQ$219,$B21,25)*500,0)-IF(AND($U21=1,'calcA'!AB$117=1,EA21=0),300,0))),1000000000))</f>
        <v/>
      </c>
      <c r="PE21">
        <f>IF($B21=0,1000000000,IF(INDEX('calcA'!$D$60:$EQ$99,$B21,26)*IF($W21=1,EA21+AAP21,EA21)=1,IF(AND($E21=2,IF($W21=1,AGE21,JP21)=0),1000000000,IF($V21=1,INDEX('calcA'!$D$130:$EQ$169,$B21,26)+IF(AND($E21=1,JP21=0),25,0),INDEX('calcA'!AC$110:AC$114,$F21+1)+IF(AND($E21=1,JP21=0),1000,0)+IF($H21=1,INDEX('calcA'!$D$180:$EQ$219,$B21,26)*500,0)-IF(AND('calcA'!AB$117=1,UZ21&gt;0),300,0)-IF(AND($U21=1,'calcA'!AC$117=1,EB21=0),300,0))),1000000000))</f>
        <v/>
      </c>
      <c r="PF21">
        <f>IF($B21=0,1000000000,IF(INDEX('calcA'!$D$60:$EQ$99,$B21,27)*IF($W21=1,EB21+AAQ21,EB21)=1,IF(AND($E21=2,IF($W21=1,AGF21,JQ21)=0),1000000000,IF($V21=1,INDEX('calcA'!$D$130:$EQ$169,$B21,27)+IF(AND($E21=1,JQ21=0),25,0),INDEX('calcA'!AD$110:AD$114,$F21+1)+IF(AND($E21=1,JQ21=0),1000,0)+IF($H21=1,INDEX('calcA'!$D$180:$EQ$219,$B21,27)*500,0)-IF(AND('calcA'!AC$117=1,VA21&gt;0),300,0)-IF(AND($U21=1,'calcA'!AD$117=1,EC21=0),300,0))),1000000000))</f>
        <v/>
      </c>
      <c r="PG21">
        <f>IF($B21=0,1000000000,IF(INDEX('calcA'!$D$60:$EQ$99,$B21,28)*IF($W21=1,EC21+AAR21,EC21)=1,IF(AND($E21=2,IF($W21=1,AGG21,JR21)=0),1000000000,IF($V21=1,INDEX('calcA'!$D$130:$EQ$169,$B21,28)+IF(AND($E21=1,JR21=0),25,0),INDEX('calcA'!AE$110:AE$114,$F21+1)+IF(AND($E21=1,JR21=0),1000,0)+IF($H21=1,INDEX('calcA'!$D$180:$EQ$219,$B21,28)*500,0)-IF(AND('calcA'!AD$117=1,VB21&gt;0),300,0)-IF(AND($U21=1,'calcA'!AE$117=1,ED21=0),300,0))),1000000000))</f>
        <v/>
      </c>
      <c r="PH21">
        <f>IF($B21=0,1000000000,IF(INDEX('calcA'!$D$60:$EQ$99,$B21,29)*IF($W21=1,ED21+AAS21,ED21)=1,IF(AND($E21=2,IF($W21=1,AGH21,JS21)=0),1000000000,IF($V21=1,INDEX('calcA'!$D$130:$EQ$169,$B21,29)+IF(AND($E21=1,JS21=0),25,0),INDEX('calcA'!AF$110:AF$114,$F21+1)+IF(AND($E21=1,JS21=0),1000,0)+IF($H21=1,INDEX('calcA'!$D$180:$EQ$219,$B21,29)*500,0)-IF(AND('calcA'!AE$117=1,VC21&gt;0),300,0)-IF(AND($U21=1,'calcA'!AF$117=1,EE21=0),300,0))),1000000000))</f>
        <v/>
      </c>
      <c r="PI21">
        <f>IF($B21=0,1000000000,IF(INDEX('calcA'!$D$60:$EQ$99,$B21,30)*IF($W21=1,EE21+AAT21,EE21)=1,IF(AND($E21=2,IF($W21=1,AGI21,JT21)=0),1000000000,IF($V21=1,INDEX('calcA'!$D$130:$EQ$169,$B21,30)+IF(AND($E21=1,JT21=0),25,0),INDEX('calcA'!AG$110:AG$114,$F21+1)+IF(AND($E21=1,JT21=0),1000,0)+IF($H21=1,INDEX('calcA'!$D$180:$EQ$219,$B21,30)*500,0)-IF(AND('calcA'!AF$117=1,VD21&gt;0),300,0)-IF(AND($U21=1,'calcA'!AG$117=1,EF21=0),300,0))),1000000000))</f>
        <v/>
      </c>
      <c r="PJ21">
        <f>IF($B21=0,1000000000,IF(INDEX('calcA'!$D$60:$EQ$99,$B21,31)*IF($W21=1,EF21+AAU21,EF21)=1,IF(AND($E21=2,IF($W21=1,AGJ21,JU21)=0),1000000000,IF($V21=1,INDEX('calcA'!$D$130:$EQ$169,$B21,31)+IF(AND($E21=1,JU21=0),25,0),INDEX('calcA'!AH$110:AH$114,$F21+1)+IF(AND($E21=1,JU21=0),1000,0)+IF($H21=1,INDEX('calcA'!$D$180:$EQ$219,$B21,31)*500,0)-IF(AND('calcA'!AG$117=1,VE21&gt;0),300,0)-IF(AND($U21=1,'calcA'!AH$117=1,EG21=0),300,0))),1000000000))</f>
        <v/>
      </c>
      <c r="PK21">
        <f>IF($B21=0,1000000000,IF(INDEX('calcA'!$D$60:$EQ$99,$B21,32)*IF($W21=1,EG21+AAV21,EG21)=1,IF(AND($E21=2,IF($W21=1,AGK21,JV21)=0),1000000000,IF($V21=1,INDEX('calcA'!$D$130:$EQ$169,$B21,32)+IF(AND($E21=1,JV21=0),25,0),INDEX('calcA'!AI$110:AI$114,$F21+1)+IF(AND($E21=1,JV21=0),1000,0)+IF($H21=1,INDEX('calcA'!$D$180:$EQ$219,$B21,32)*500,0)-IF(AND('calcA'!AH$117=1,VF21&gt;0),300,0)-IF(AND($U21=1,'calcA'!AI$117=1,EH21=0),300,0))),1000000000))</f>
        <v/>
      </c>
      <c r="PL21">
        <f>IF($B21=0,1000000000,IF(INDEX('calcA'!$D$60:$EQ$99,$B21,33)*IF($W21=1,EH21+AAW21,EH21)=1,IF(AND($E21=2,IF($W21=1,AGL21,JW21)=0),1000000000,IF($V21=1,INDEX('calcA'!$D$130:$EQ$169,$B21,33)+IF(AND($E21=1,JW21=0),25,0),INDEX('calcA'!AJ$110:AJ$114,$F21+1)+IF(AND($E21=1,JW21=0),1000,0)+IF($H21=1,INDEX('calcA'!$D$180:$EQ$219,$B21,33)*500,0)-IF(AND('calcA'!AI$117=1,VG21&gt;0),300,0)-IF(AND($U21=1,'calcA'!AJ$117=1,EI21=0),300,0))),1000000000))</f>
        <v/>
      </c>
      <c r="PM21">
        <f>IF($B21=0,1000000000,IF(INDEX('calcA'!$D$60:$EQ$99,$B21,34)*IF($W21=1,EI21+AAX21,EI21)=1,IF(AND($E21=2,IF($W21=1,AGM21,JX21)=0),1000000000,IF($V21=1,INDEX('calcA'!$D$130:$EQ$169,$B21,34)+IF(AND($E21=1,JX21=0),25,0),INDEX('calcA'!AK$110:AK$114,$F21+1)+IF(AND($E21=1,JX21=0),1000,0)+IF($H21=1,INDEX('calcA'!$D$180:$EQ$219,$B21,34)*500,0)-IF(AND('calcA'!AJ$117=1,VH21&gt;0),300,0)-IF(AND($U21=1,'calcA'!AK$117=1,EJ21=0),300,0))),1000000000))</f>
        <v/>
      </c>
      <c r="PN21">
        <f>IF($B21=0,1000000000,IF(INDEX('calcA'!$D$60:$EQ$99,$B21,35)*IF($W21=1,EJ21+AAY21,EJ21)=1,IF(AND($E21=2,IF($W21=1,AGN21,JY21)=0),1000000000,IF($V21=1,INDEX('calcA'!$D$130:$EQ$169,$B21,35)+IF(AND($E21=1,JY21=0),25,0),INDEX('calcA'!AL$110:AL$114,$F21+1)+IF(AND($E21=1,JY21=0),1000,0)+IF($H21=1,INDEX('calcA'!$D$180:$EQ$219,$B21,35)*500,0)-IF(AND('calcA'!AK$117=1,VI21&gt;0),300,0)-IF(AND($U21=1,'calcA'!AL$117=1,EK21=0),300,0))),1000000000))</f>
        <v/>
      </c>
      <c r="PO21">
        <f>IF($B21=0,1000000000,IF(INDEX('calcA'!$D$60:$EQ$99,$B21,36)*IF($W21=1,EK21+AAZ21,EK21)=1,IF(AND($E21=2,IF($W21=1,AGO21,JZ21)=0),1000000000,IF($V21=1,INDEX('calcA'!$D$130:$EQ$169,$B21,36)+IF(AND($E21=1,JZ21=0),25,0),INDEX('calcA'!AM$110:AM$114,$F21+1)+IF(AND($E21=1,JZ21=0),1000,0)+IF($H21=1,INDEX('calcA'!$D$180:$EQ$219,$B21,36)*500,0)-IF(AND('calcA'!AL$117=1,VJ21&gt;0),300,0)-IF(AND($U21=1,'calcA'!AM$117=1,EL21=0),300,0))),1000000000))</f>
        <v/>
      </c>
      <c r="PP21">
        <f>IF($B21=0,1000000000,IF(INDEX('calcA'!$D$60:$EQ$99,$B21,37)*IF($W21=1,EL21+ABA21,EL21)=1,IF(AND($E21=2,IF($W21=1,AGP21,KA21)=0),1000000000,IF($V21=1,INDEX('calcA'!$D$130:$EQ$169,$B21,37)+IF(AND($E21=1,KA21=0),25,0),INDEX('calcA'!AN$110:AN$114,$F21+1)+IF(AND($E21=1,KA21=0),1000,0)+IF($H21=1,INDEX('calcA'!$D$180:$EQ$219,$B21,37)*500,0)-IF(AND('calcA'!AM$117=1,VK21&gt;0),300,0)-IF(AND($U21=1,'calcA'!AN$117=1,EM21=0),300,0))),1000000000))</f>
        <v/>
      </c>
      <c r="PQ21">
        <f>IF($B21=0,1000000000,IF(INDEX('calcA'!$D$60:$EQ$99,$B21,38)*IF($W21=1,EM21+ABB21,EM21)=1,IF(AND($E21=2,IF($W21=1,AGQ21,KB21)=0),1000000000,IF($V21=1,INDEX('calcA'!$D$130:$EQ$169,$B21,38)+IF(AND($E21=1,KB21=0),25,0),INDEX('calcA'!AO$110:AO$114,$F21+1)+IF(AND($E21=1,KB21=0),1000,0)+IF($H21=1,INDEX('calcA'!$D$180:$EQ$219,$B21,38)*500,0)-IF(AND('calcA'!AN$117=1,VL21&gt;0),300,0)-IF(AND($U21=1,'calcA'!AO$117=1,EN21=0),300,0))),1000000000))</f>
        <v/>
      </c>
      <c r="PR21">
        <f>IF($B21=0,1000000000,IF(INDEX('calcA'!$D$60:$EQ$99,$B21,39)*IF($W21=1,EN21+ABC21,EN21)=1,IF(AND($E21=2,IF($W21=1,AGR21,KC21)=0),1000000000,IF($V21=1,INDEX('calcA'!$D$130:$EQ$169,$B21,39)+IF(AND($E21=1,KC21=0),25,0),INDEX('calcA'!AP$110:AP$114,$F21+1)+IF(AND($E21=1,KC21=0),1000,0)+IF($H21=1,INDEX('calcA'!$D$180:$EQ$219,$B21,39)*500,0)-IF(AND('calcA'!AO$117=1,VM21&gt;0),300,0)-IF(AND($U21=1,'calcA'!AP$117=1,EO21=0),300,0))),1000000000))</f>
        <v/>
      </c>
      <c r="PS21">
        <f>IF($B21=0,1000000000,IF(INDEX('calcA'!$D$60:$EQ$99,$B21,40)*IF($W21=1,EO21+ABD21,EO21)=1,IF(AND($E21=2,IF($W21=1,AGS21,KD21)=0),1000000000,IF($V21=1,INDEX('calcA'!$D$130:$EQ$169,$B21,40)+IF(AND($E21=1,KD21=0),25,0),INDEX('calcA'!AQ$110:AQ$114,$F21+1)+IF(AND($E21=1,KD21=0),1000,0)+IF($H21=1,INDEX('calcA'!$D$180:$EQ$219,$B21,40)*500,0)-IF(AND('calcA'!AP$117=1,VN21&gt;0),300,0)-IF(AND($U21=1,'calcA'!AQ$117=1,EP21=0),300,0))),1000000000))</f>
        <v/>
      </c>
      <c r="PT21">
        <f>IF($B21=0,1000000000,IF(INDEX('calcA'!$D$60:$EQ$99,$B21,41)*IF($W21=1,EP21+ABE21,EP21)=1,IF(AND($E21=2,IF($W21=1,AGT21,KE21)=0),1000000000,IF($V21=1,INDEX('calcA'!$D$130:$EQ$169,$B21,41)+IF(AND($E21=1,KE21=0),25,0),INDEX('calcA'!AR$110:AR$114,$F21+1)+IF(AND($E21=1,KE21=0),1000,0)+IF($H21=1,INDEX('calcA'!$D$180:$EQ$219,$B21,41)*500,0)-IF(AND('calcA'!AQ$117=1,VO21&gt;0),300,0)-IF(AND($U21=1,'calcA'!AR$117=1,EQ21=0),300,0))),1000000000))</f>
        <v/>
      </c>
      <c r="PU21">
        <f>IF($B21=0,1000000000,IF(INDEX('calcA'!$D$60:$EQ$99,$B21,42)*IF($W21=1,EQ21+ABF21,EQ21)=1,IF(AND($E21=2,IF($W21=1,AGU21,KF21)=0),1000000000,IF($V21=1,INDEX('calcA'!$D$130:$EQ$169,$B21,42)+IF(AND($E21=1,KF21=0),25,0),INDEX('calcA'!AS$110:AS$114,$F21+1)+IF(AND($E21=1,KF21=0),1000,0)+IF($H21=1,INDEX('calcA'!$D$180:$EQ$219,$B21,42)*500,0)-IF(AND('calcA'!AR$117=1,VP21&gt;0),300,0)-IF(AND($U21=1,'calcA'!AS$117=1,ER21=0),300,0))),1000000000))</f>
        <v/>
      </c>
      <c r="PV21">
        <f>IF($B21=0,1000000000,IF(INDEX('calcA'!$D$60:$EQ$99,$B21,43)*IF($W21=1,ER21+ABG21,ER21)=1,IF(AND($E21=2,IF($W21=1,AGV21,KG21)=0),1000000000,IF($V21=1,INDEX('calcA'!$D$130:$EQ$169,$B21,43)+IF(AND($E21=1,KG21=0),25,0),INDEX('calcA'!AT$110:AT$114,$F21+1)+IF(AND($E21=1,KG21=0),1000,0)+IF($H21=1,INDEX('calcA'!$D$180:$EQ$219,$B21,43)*500,0)-IF(AND('calcA'!AS$117=1,VQ21&gt;0),300,0)-IF(AND($U21=1,'calcA'!AT$117=1,ES21=0),300,0))),1000000000))</f>
        <v/>
      </c>
      <c r="PW21">
        <f>IF($B21=0,1000000000,IF(INDEX('calcA'!$D$60:$EQ$99,$B21,44)*IF($W21=1,ES21+ABH21,ES21)=1,IF(AND($E21=2,IF($W21=1,AGW21,KH21)=0),1000000000,IF($V21=1,INDEX('calcA'!$D$130:$EQ$169,$B21,44)+IF(AND($E21=1,KH21=0),25,0),INDEX('calcA'!AU$110:AU$114,$F21+1)+IF(AND($E21=1,KH21=0),1000,0)+IF($H21=1,INDEX('calcA'!$D$180:$EQ$219,$B21,44)*500,0)-IF(AND('calcA'!AT$117=1,VR21&gt;0),300,0)-IF(AND($U21=1,'calcA'!AU$117=1,ET21=0),300,0))),1000000000))</f>
        <v/>
      </c>
      <c r="PX21">
        <f>IF($B21=0,1000000000,IF(INDEX('calcA'!$D$60:$EQ$99,$B21,45)*IF($W21=1,ET21+ABI21,ET21)=1,IF(AND($E21=2,IF($W21=1,AGX21,KI21)=0),1000000000,IF($V21=1,INDEX('calcA'!$D$130:$EQ$169,$B21,45)+IF(AND($E21=1,KI21=0),25,0),INDEX('calcA'!AV$110:AV$114,$F21+1)+IF(AND($E21=1,KI21=0),1000,0)+IF($H21=1,INDEX('calcA'!$D$180:$EQ$219,$B21,45)*500,0)-IF(AND('calcA'!AU$117=1,VS21&gt;0),300,0)-IF(AND($U21=1,'calcA'!AV$117=1,EU21=0),300,0))),1000000000))</f>
        <v/>
      </c>
      <c r="PY21">
        <f>IF($B21=0,1000000000,IF(INDEX('calcA'!$D$60:$EQ$99,$B21,46)*IF($W21=1,EU21+ABJ21,EU21)=1,IF(AND($E21=2,IF($W21=1,AGY21,KJ21)=0),1000000000,IF($V21=1,INDEX('calcA'!$D$130:$EQ$169,$B21,46)+IF(AND($E21=1,KJ21=0),25,0),INDEX('calcA'!AW$110:AW$114,$F21+1)+IF(AND($E21=1,KJ21=0),1000,0)+IF($H21=1,INDEX('calcA'!$D$180:$EQ$219,$B21,46)*500,0)-IF(AND('calcA'!AV$117=1,VT21&gt;0),300,0)-IF(AND($U21=1,'calcA'!AW$117=1,EV21=0),300,0))),1000000000))</f>
        <v/>
      </c>
      <c r="PZ21">
        <f>IF($B21=0,1000000000,IF(INDEX('calcA'!$D$60:$EQ$99,$B21,47)*IF($W21=1,EV21+ABK21,EV21)=1,IF(AND($E21=2,IF($W21=1,AGZ21,KK21)=0),1000000000,IF($V21=1,INDEX('calcA'!$D$130:$EQ$169,$B21,47)+IF(AND($E21=1,KK21=0),25,0),INDEX('calcA'!AX$110:AX$114,$F21+1)+IF(AND($E21=1,KK21=0),1000,0)+IF($H21=1,INDEX('calcA'!$D$180:$EQ$219,$B21,47)*500,0)-IF(AND('calcA'!AW$117=1,VU21&gt;0),300,0)-IF(AND($U21=1,'calcA'!AX$117=1,EW21=0),300,0))),1000000000))</f>
        <v/>
      </c>
      <c r="QA21">
        <f>IF($B21=0,1000000000,IF(INDEX('calcA'!$D$60:$EQ$99,$B21,48)*IF($W21=1,EW21+ABL21,EW21)=1,IF(AND($E21=2,IF($W21=1,AHA21,KL21)=0),1000000000,IF($V21=1,INDEX('calcA'!$D$130:$EQ$169,$B21,48)+IF(AND($E21=1,KL21=0),25,0),INDEX('calcA'!AY$110:AY$114,$F21+1)+IF(AND($E21=1,KL21=0),1000,0)+IF($H21=1,INDEX('calcA'!$D$180:$EQ$219,$B21,48)*500,0)-IF(AND('calcA'!AX$117=1,VV21&gt;0),300,0))),1000000000))</f>
        <v/>
      </c>
      <c r="QB21">
        <f>IF($B21=0,1000000000,IF(INDEX('calcA'!$D$60:$EQ$99,$B21,49)*IF($W21=1,EX21+ABM21,EX21)=1,IF(AND($E21=2,IF($W21=1,AHB21,KM21)=0),1000000000,IF($V21=1,INDEX('calcA'!$D$130:$EQ$169,$B21,49)+IF(AND($E21=1,KM21=0),25,0),INDEX('calcA'!AZ$110:AZ$114,$F21+1)+IF(AND($E21=1,KM21=0),1000,0)+IF($H21=1,INDEX('calcA'!$D$180:$EQ$219,$B21,49)*500,0)-IF(AND($U21=1,'calcA'!AZ$117=1,EY21=0),300,0))),1000000000))</f>
        <v/>
      </c>
      <c r="QC21">
        <f>IF($B21=0,1000000000,IF(INDEX('calcA'!$D$60:$EQ$99,$B21,50)*IF($W21=1,EY21+ABN21,EY21)=1,IF(AND($E21=2,IF($W21=1,AHC21,KN21)=0),1000000000,IF($V21=1,INDEX('calcA'!$D$130:$EQ$169,$B21,50)+IF(AND($E21=1,KN21=0),25,0),INDEX('calcA'!BA$110:BA$114,$F21+1)+IF(AND($E21=1,KN21=0),1000,0)+IF($H21=1,INDEX('calcA'!$D$180:$EQ$219,$B21,50)*500,0)-IF(AND('calcA'!AZ$117=1,VX21&gt;0),300,0)-IF(AND($U21=1,'calcA'!BA$117=1,EZ21=0),300,0))),1000000000))</f>
        <v/>
      </c>
      <c r="QD21">
        <f>IF($B21=0,1000000000,IF(INDEX('calcA'!$D$60:$EQ$99,$B21,51)*IF($W21=1,EZ21+ABO21,EZ21)=1,IF(AND($E21=2,IF($W21=1,AHD21,KO21)=0),1000000000,IF($V21=1,INDEX('calcA'!$D$130:$EQ$169,$B21,51)+IF(AND($E21=1,KO21=0),25,0),INDEX('calcA'!BB$110:BB$114,$F21+1)+IF(AND($E21=1,KO21=0),1000,0)+IF($H21=1,INDEX('calcA'!$D$180:$EQ$219,$B21,51)*500,0)-IF(AND('calcA'!BA$117=1,VY21&gt;0),300,0)-IF(AND($U21=1,'calcA'!BB$117=1,FA21=0),300,0))),1000000000))</f>
        <v/>
      </c>
      <c r="QE21">
        <f>IF($B21=0,1000000000,IF(INDEX('calcA'!$D$60:$EQ$99,$B21,52)*IF($W21=1,FA21+ABP21,FA21)=1,IF(AND($E21=2,IF($W21=1,AHE21,KP21)=0),1000000000,IF($V21=1,INDEX('calcA'!$D$130:$EQ$169,$B21,52)+IF(AND($E21=1,KP21=0),25,0),INDEX('calcA'!BC$110:BC$114,$F21+1)+IF(AND($E21=1,KP21=0),1000,0)+IF($H21=1,INDEX('calcA'!$D$180:$EQ$219,$B21,52)*500,0)-IF(AND('calcA'!BB$117=1,VZ21&gt;0),300,0)-IF(AND($U21=1,'calcA'!BC$117=1,FB21=0),300,0))),1000000000))</f>
        <v/>
      </c>
      <c r="QF21">
        <f>IF($B21=0,1000000000,IF(INDEX('calcA'!$D$60:$EQ$99,$B21,53)*IF($W21=1,FB21+ABQ21,FB21)=1,IF(AND($E21=2,IF($W21=1,AHF21,KQ21)=0),1000000000,IF($V21=1,INDEX('calcA'!$D$130:$EQ$169,$B21,53)+IF(AND($E21=1,KQ21=0),25,0),INDEX('calcA'!BD$110:BD$114,$F21+1)+IF(AND($E21=1,KQ21=0),1000,0)+IF($H21=1,INDEX('calcA'!$D$180:$EQ$219,$B21,53)*500,0)-IF(AND('calcA'!BC$117=1,WA21&gt;0),300,0)-IF(AND($U21=1,'calcA'!BD$117=1,FC21=0),300,0))),1000000000))</f>
        <v/>
      </c>
      <c r="QG21">
        <f>IF($B21=0,1000000000,IF(INDEX('calcA'!$D$60:$EQ$99,$B21,54)*IF($W21=1,FC21+ABR21,FC21)=1,IF(AND($E21=2,IF($W21=1,AHG21,KR21)=0),1000000000,IF($V21=1,INDEX('calcA'!$D$130:$EQ$169,$B21,54)+IF(AND($E21=1,KR21=0),25,0),INDEX('calcA'!BE$110:BE$114,$F21+1)+IF(AND($E21=1,KR21=0),1000,0)+IF($H21=1,INDEX('calcA'!$D$180:$EQ$219,$B21,54)*500,0)-IF(AND('calcA'!BD$117=1,WB21&gt;0),300,0)-IF(AND($U21=1,'calcA'!BE$117=1,FD21=0),300,0))),1000000000))</f>
        <v/>
      </c>
      <c r="QH21">
        <f>IF($B21=0,1000000000,IF(INDEX('calcA'!$D$60:$EQ$99,$B21,55)*IF($W21=1,FD21+ABS21,FD21)=1,IF(AND($E21=2,IF($W21=1,AHH21,KS21)=0),1000000000,IF($V21=1,INDEX('calcA'!$D$130:$EQ$169,$B21,55)+IF(AND($E21=1,KS21=0),25,0),INDEX('calcA'!BF$110:BF$114,$F21+1)+IF(AND($E21=1,KS21=0),1000,0)+IF($H21=1,INDEX('calcA'!$D$180:$EQ$219,$B21,55)*500,0)-IF(AND('calcA'!BE$117=1,WC21&gt;0),300,0)-IF(AND($U21=1,'calcA'!BF$117=1,FE21=0),300,0))),1000000000))</f>
        <v/>
      </c>
      <c r="QI21">
        <f>IF($B21=0,1000000000,IF(INDEX('calcA'!$D$60:$EQ$99,$B21,56)*IF($W21=1,FE21+ABT21,FE21)=1,IF(AND($E21=2,IF($W21=1,AHI21,KT21)=0),1000000000,IF($V21=1,INDEX('calcA'!$D$130:$EQ$169,$B21,56)+IF(AND($E21=1,KT21=0),25,0),INDEX('calcA'!BG$110:BG$114,$F21+1)+IF(AND($E21=1,KT21=0),1000,0)+IF($H21=1,INDEX('calcA'!$D$180:$EQ$219,$B21,56)*500,0)-IF(AND('calcA'!BF$117=1,WD21&gt;0),300,0)-IF(AND($U21=1,'calcA'!BG$117=1,FF21=0),300,0))),1000000000))</f>
        <v/>
      </c>
      <c r="QJ21">
        <f>IF($B21=0,1000000000,IF(INDEX('calcA'!$D$60:$EQ$99,$B21,57)*IF($W21=1,FF21+ABU21,FF21)=1,IF(AND($E21=2,IF($W21=1,AHJ21,KU21)=0),1000000000,IF($V21=1,INDEX('calcA'!$D$130:$EQ$169,$B21,57)+IF(AND($E21=1,KU21=0),25,0),INDEX('calcA'!BH$110:BH$114,$F21+1)+IF(AND($E21=1,KU21=0),1000,0)+IF($H21=1,INDEX('calcA'!$D$180:$EQ$219,$B21,57)*500,0)-IF(AND('calcA'!BG$117=1,WE21&gt;0),300,0)-IF(AND($U21=1,'calcA'!BH$117=1,FG21=0),300,0))),1000000000))</f>
        <v/>
      </c>
      <c r="QK21">
        <f>IF($B21=0,1000000000,IF(INDEX('calcA'!$D$60:$EQ$99,$B21,58)*IF($W21=1,FG21+ABV21,FG21)=1,IF(AND($E21=2,IF($W21=1,AHK21,KV21)=0),1000000000,IF($V21=1,INDEX('calcA'!$D$130:$EQ$169,$B21,58)+IF(AND($E21=1,KV21=0),25,0),INDEX('calcA'!BI$110:BI$114,$F21+1)+IF(AND($E21=1,KV21=0),1000,0)+IF($H21=1,INDEX('calcA'!$D$180:$EQ$219,$B21,58)*500,0)-IF(AND('calcA'!BH$117=1,WF21&gt;0),300,0)-IF(AND($U21=1,'calcA'!BI$117=1,FH21=0),300,0))),1000000000))</f>
        <v/>
      </c>
      <c r="QL21">
        <f>IF($B21=0,1000000000,IF(INDEX('calcA'!$D$60:$EQ$99,$B21,59)*IF($W21=1,FH21+ABW21,FH21)=1,IF(AND($E21=2,IF($W21=1,AHL21,KW21)=0),1000000000,IF($V21=1,INDEX('calcA'!$D$130:$EQ$169,$B21,59)+IF(AND($E21=1,KW21=0),25,0),INDEX('calcA'!BJ$110:BJ$114,$F21+1)+IF(AND($E21=1,KW21=0),1000,0)+IF($H21=1,INDEX('calcA'!$D$180:$EQ$219,$B21,59)*500,0)-IF(AND('calcA'!BI$117=1,WG21&gt;0),300,0)-IF(AND($U21=1,'calcA'!BJ$117=1,FI21=0),300,0))),1000000000))</f>
        <v/>
      </c>
      <c r="QM21">
        <f>IF($B21=0,1000000000,IF(INDEX('calcA'!$D$60:$EQ$99,$B21,60)*IF($W21=1,FI21+ABX21,FI21)=1,IF(AND($E21=2,IF($W21=1,AHM21,KX21)=0),1000000000,IF($V21=1,INDEX('calcA'!$D$130:$EQ$169,$B21,60)+IF(AND($E21=1,KX21=0),25,0),INDEX('calcA'!BK$110:BK$114,$F21+1)+IF(AND($E21=1,KX21=0),1000,0)+IF($H21=1,INDEX('calcA'!$D$180:$EQ$219,$B21,60)*500,0)-IF(AND('calcA'!BJ$117=1,WH21&gt;0),300,0)-IF(AND($U21=1,'calcA'!BK$117=1,FJ21=0),300,0))),1000000000))</f>
        <v/>
      </c>
      <c r="QN21">
        <f>IF($B21=0,1000000000,IF(INDEX('calcA'!$D$60:$EQ$99,$B21,61)*IF($W21=1,FJ21+ABY21,FJ21)=1,IF(AND($E21=2,IF($W21=1,AHN21,KY21)=0),1000000000,IF($V21=1,INDEX('calcA'!$D$130:$EQ$169,$B21,61)+IF(AND($E21=1,KY21=0),25,0),INDEX('calcA'!BL$110:BL$114,$F21+1)+IF(AND($E21=1,KY21=0),1000,0)+IF($H21=1,INDEX('calcA'!$D$180:$EQ$219,$B21,61)*500,0)-IF(AND('calcA'!BK$117=1,WI21&gt;0),300,0)-IF(AND($U21=1,'calcA'!BL$117=1,FK21=0),300,0))),1000000000))</f>
        <v/>
      </c>
      <c r="QO21">
        <f>IF($B21=0,1000000000,IF(INDEX('calcA'!$D$60:$EQ$99,$B21,62)*IF($W21=1,FK21+ABZ21,FK21)=1,IF(AND($E21=2,IF($W21=1,AHO21,KZ21)=0),1000000000,IF($V21=1,INDEX('calcA'!$D$130:$EQ$169,$B21,62)+IF(AND($E21=1,KZ21=0),25,0),INDEX('calcA'!BM$110:BM$114,$F21+1)+IF(AND($E21=1,KZ21=0),1000,0)+IF($H21=1,INDEX('calcA'!$D$180:$EQ$219,$B21,62)*500,0)-IF(AND('calcA'!BL$117=1,WJ21&gt;0),300,0)-IF(AND($U21=1,'calcA'!BM$117=1,FL21=0),300,0))),1000000000))</f>
        <v/>
      </c>
      <c r="QP21">
        <f>IF($B21=0,1000000000,IF(INDEX('calcA'!$D$60:$EQ$99,$B21,63)*IF($W21=1,FL21+ACA21,FL21)=1,IF(AND($E21=2,IF($W21=1,AHP21,LA21)=0),1000000000,IF($V21=1,INDEX('calcA'!$D$130:$EQ$169,$B21,63)+IF(AND($E21=1,LA21=0),25,0),INDEX('calcA'!BN$110:BN$114,$F21+1)+IF(AND($E21=1,LA21=0),1000,0)+IF($H21=1,INDEX('calcA'!$D$180:$EQ$219,$B21,63)*500,0)-IF(AND('calcA'!BM$117=1,WK21&gt;0),300,0)-IF(AND($U21=1,'calcA'!BN$117=1,FM21=0),300,0))),1000000000))</f>
        <v/>
      </c>
      <c r="QQ21">
        <f>IF($B21=0,1000000000,IF(INDEX('calcA'!$D$60:$EQ$99,$B21,64)*IF($W21=1,FM21+ACB21,FM21)=1,IF(AND($E21=2,IF($W21=1,AHQ21,LB21)=0),1000000000,IF($V21=1,INDEX('calcA'!$D$130:$EQ$169,$B21,64)+IF(AND($E21=1,LB21=0),25,0),INDEX('calcA'!BO$110:BO$114,$F21+1)+IF(AND($E21=1,LB21=0),1000,0)+IF($H21=1,INDEX('calcA'!$D$180:$EQ$219,$B21,64)*500,0)-IF(AND('calcA'!BN$117=1,WL21&gt;0),300,0)-IF(AND($U21=1,'calcA'!BO$117=1,FN21=0),300,0))),1000000000))</f>
        <v/>
      </c>
      <c r="QR21">
        <f>IF($B21=0,1000000000,IF(INDEX('calcA'!$D$60:$EQ$99,$B21,65)*IF($W21=1,FN21+ACC21,FN21)=1,IF(AND($E21=2,IF($W21=1,AHR21,LC21)=0),1000000000,IF($V21=1,INDEX('calcA'!$D$130:$EQ$169,$B21,65)+IF(AND($E21=1,LC21=0),25,0),INDEX('calcA'!BP$110:BP$114,$F21+1)+IF(AND($E21=1,LC21=0),1000,0)+IF($H21=1,INDEX('calcA'!$D$180:$EQ$219,$B21,65)*500,0)-IF(AND('calcA'!BO$117=1,WM21&gt;0),300,0)-IF(AND($U21=1,'calcA'!BP$117=1,FO21=0),300,0))),1000000000))</f>
        <v/>
      </c>
      <c r="QS21">
        <f>IF($B21=0,1000000000,IF(INDEX('calcA'!$D$60:$EQ$99,$B21,66)*IF($W21=1,FO21+ACD21,FO21)=1,IF(AND($E21=2,IF($W21=1,AHS21,LD21)=0),1000000000,IF($V21=1,INDEX('calcA'!$D$130:$EQ$169,$B21,66)+IF(AND($E21=1,LD21=0),25,0),INDEX('calcA'!BQ$110:BQ$114,$F21+1)+IF(AND($E21=1,LD21=0),1000,0)+IF($H21=1,INDEX('calcA'!$D$180:$EQ$219,$B21,66)*500,0)-IF(AND('calcA'!BP$117=1,WN21&gt;0),300,0)-IF(AND($U21=1,'calcA'!BQ$117=1,FP21=0),300,0))),1000000000))</f>
        <v/>
      </c>
      <c r="QT21">
        <f>IF($B21=0,1000000000,IF(INDEX('calcA'!$D$60:$EQ$99,$B21,67)*IF($W21=1,FP21+ACE21,FP21)=1,IF(AND($E21=2,IF($W21=1,AHT21,LE21)=0),1000000000,IF($V21=1,INDEX('calcA'!$D$130:$EQ$169,$B21,67)+IF(AND($E21=1,LE21=0),25,0),INDEX('calcA'!BR$110:BR$114,$F21+1)+IF(AND($E21=1,LE21=0),1000,0)+IF($H21=1,INDEX('calcA'!$D$180:$EQ$219,$B21,67)*500,0)-IF(AND('calcA'!BQ$117=1,WO21&gt;0),300,0)-IF(AND($U21=1,'calcA'!BR$117=1,FQ21=0),300,0))),1000000000))</f>
        <v/>
      </c>
      <c r="QU21">
        <f>IF($B21=0,1000000000,IF(INDEX('calcA'!$D$60:$EQ$99,$B21,68)*IF($W21=1,FQ21+ACF21,FQ21)=1,IF(AND($E21=2,IF($W21=1,AHU21,LF21)=0),1000000000,IF($V21=1,INDEX('calcA'!$D$130:$EQ$169,$B21,68)+IF(AND($E21=1,LF21=0),25,0),INDEX('calcA'!BS$110:BS$114,$F21+1)+IF(AND($E21=1,LF21=0),1000,0)+IF($H21=1,INDEX('calcA'!$D$180:$EQ$219,$B21,68)*500,0)-IF(AND('calcA'!BR$117=1,WP21&gt;0),300,0)-IF(AND($U21=1,'calcA'!BS$117=1,FR21=0),300,0))),1000000000))</f>
        <v/>
      </c>
      <c r="QV21">
        <f>IF($B21=0,1000000000,IF(INDEX('calcA'!$D$60:$EQ$99,$B21,69)*IF($W21=1,FR21+ACG21,FR21)=1,IF(AND($E21=2,IF($W21=1,AHV21,LG21)=0),1000000000,IF($V21=1,INDEX('calcA'!$D$130:$EQ$169,$B21,69)+IF(AND($E21=1,LG21=0),25,0),INDEX('calcA'!BT$110:BT$114,$F21+1)+IF(AND($E21=1,LG21=0),1000,0)+IF($H21=1,INDEX('calcA'!$D$180:$EQ$219,$B21,69)*500,0)-IF(AND('calcA'!BS$117=1,WQ21&gt;0),300,0)-IF(AND($U21=1,'calcA'!BT$117=1,FS21=0),300,0))),1000000000))</f>
        <v/>
      </c>
      <c r="QW21">
        <f>IF($B21=0,1000000000,IF(INDEX('calcA'!$D$60:$EQ$99,$B21,70)*IF($W21=1,FS21+ACH21,FS21)=1,IF(AND($E21=2,IF($W21=1,AHW21,LH21)=0),1000000000,IF($V21=1,INDEX('calcA'!$D$130:$EQ$169,$B21,70)+IF(AND($E21=1,LH21=0),25,0),INDEX('calcA'!BU$110:BU$114,$F21+1)+IF(AND($E21=1,LH21=0),1000,0)+IF($H21=1,INDEX('calcA'!$D$180:$EQ$219,$B21,70)*500,0)-IF(AND('calcA'!BT$117=1,WR21&gt;0),300,0)-IF(AND($U21=1,'calcA'!BU$117=1,FT21=0),300,0))),1000000000))</f>
        <v/>
      </c>
      <c r="QX21">
        <f>IF($B21=0,1000000000,IF(INDEX('calcA'!$D$60:$EQ$99,$B21,71)*IF($W21=1,FT21+ACI21,FT21)=1,IF(AND($E21=2,IF($W21=1,AHX21,LI21)=0),1000000000,IF($V21=1,INDEX('calcA'!$D$130:$EQ$169,$B21,71)+IF(AND($E21=1,LI21=0),25,0),INDEX('calcA'!BV$110:BV$114,$F21+1)+IF(AND($E21=1,LI21=0),1000,0)+IF($H21=1,INDEX('calcA'!$D$180:$EQ$219,$B21,71)*500,0)-IF(AND('calcA'!BU$117=1,WS21&gt;0),300,0)-IF(AND($U21=1,'calcA'!BV$117=1,FU21=0),300,0))),1000000000))</f>
        <v/>
      </c>
      <c r="QY21">
        <f>IF($B21=0,1000000000,IF(INDEX('calcA'!$D$60:$EQ$99,$B21,72)*IF($W21=1,FU21+ACJ21,FU21)=1,IF(AND($E21=2,IF($W21=1,AHY21,LJ21)=0),1000000000,IF($V21=1,INDEX('calcA'!$D$130:$EQ$169,$B21,72)+IF(AND($E21=1,LJ21=0),25,0),INDEX('calcA'!BW$110:BW$114,$F21+1)+IF(AND($E21=1,LJ21=0),1000,0)+IF($H21=1,INDEX('calcA'!$D$180:$EQ$219,$B21,72)*500,0)-IF(AND('calcA'!BV$117=1,WT21&gt;0),300,0))),1000000000))</f>
        <v/>
      </c>
      <c r="QZ21">
        <f>IF($B21=0,1000000000,IF(INDEX('calcA'!$D$60:$EQ$99,$B21,73)*IF($W21=1,FV21+ACK21,FV21)=1,IF(AND($E21=2,IF($W21=1,AHZ21,LK21)=0),1000000000,IF($V21=1,INDEX('calcA'!$D$130:$EQ$169,$B21,73)+IF(AND($E21=1,LK21=0),25,0),INDEX('calcA'!BX$110:BX$114,$F21+1)+IF(AND($E21=1,LK21=0),1000,0)+IF($H21=1,INDEX('calcA'!$D$180:$EQ$219,$B21,73)*500,0)-IF(AND($U21=1,'calcA'!BX$117=1,FW21=0),300,0))),1000000000))</f>
        <v/>
      </c>
      <c r="RA21">
        <f>IF($B21=0,1000000000,IF(INDEX('calcA'!$D$60:$EQ$99,$B21,74)*IF($W21=1,FW21+ACL21,FW21)=1,IF(AND($E21=2,IF($W21=1,AIA21,LL21)=0),1000000000,IF($V21=1,INDEX('calcA'!$D$130:$EQ$169,$B21,74)+IF(AND($E21=1,LL21=0),25,0),INDEX('calcA'!BY$110:BY$114,$F21+1)+IF(AND($E21=1,LL21=0),1000,0)+IF($H21=1,INDEX('calcA'!$D$180:$EQ$219,$B21,74)*500,0)-IF(AND('calcA'!BX$117=1,WV21&gt;0),300,0)-IF(AND($U21=1,'calcA'!BY$117=1,FX21=0),300,0))),1000000000))</f>
        <v/>
      </c>
      <c r="RB21">
        <f>IF($B21=0,1000000000,IF(INDEX('calcA'!$D$60:$EQ$99,$B21,75)*IF($W21=1,FX21+ACM21,FX21)=1,IF(AND($E21=2,IF($W21=1,AIB21,LM21)=0),1000000000,IF($V21=1,INDEX('calcA'!$D$130:$EQ$169,$B21,75)+IF(AND($E21=1,LM21=0),25,0),INDEX('calcA'!BZ$110:BZ$114,$F21+1)+IF(AND($E21=1,LM21=0),1000,0)+IF($H21=1,INDEX('calcA'!$D$180:$EQ$219,$B21,75)*500,0)-IF(AND('calcA'!BY$117=1,WW21&gt;0),300,0)-IF(AND($U21=1,'calcA'!BZ$117=1,FY21=0),300,0))),1000000000))</f>
        <v/>
      </c>
      <c r="RC21">
        <f>IF($B21=0,1000000000,IF(INDEX('calcA'!$D$60:$EQ$99,$B21,76)*IF($W21=1,FY21+ACN21,FY21)=1,IF(AND($E21=2,IF($W21=1,AIC21,LN21)=0),1000000000,IF($V21=1,INDEX('calcA'!$D$130:$EQ$169,$B21,76)+IF(AND($E21=1,LN21=0),25,0),INDEX('calcA'!CA$110:CA$114,$F21+1)+IF(AND($E21=1,LN21=0),1000,0)+IF($H21=1,INDEX('calcA'!$D$180:$EQ$219,$B21,76)*500,0)-IF(AND('calcA'!BZ$117=1,WX21&gt;0),300,0)-IF(AND($U21=1,'calcA'!CA$117=1,FZ21=0),300,0))),1000000000))</f>
        <v/>
      </c>
      <c r="RD21">
        <f>IF($B21=0,1000000000,IF(INDEX('calcA'!$D$60:$EQ$99,$B21,77)*IF($W21=1,FZ21+ACO21,FZ21)=1,IF(AND($E21=2,IF($W21=1,AID21,LO21)=0),1000000000,IF($V21=1,INDEX('calcA'!$D$130:$EQ$169,$B21,77)+IF(AND($E21=1,LO21=0),25,0),INDEX('calcA'!CB$110:CB$114,$F21+1)+IF(AND($E21=1,LO21=0),1000,0)+IF($H21=1,INDEX('calcA'!$D$180:$EQ$219,$B21,77)*500,0)-IF(AND('calcA'!CA$117=1,WY21&gt;0),300,0)-IF(AND($U21=1,'calcA'!CB$117=1,GA21=0),300,0))),1000000000))</f>
        <v/>
      </c>
      <c r="RE21">
        <f>IF($B21=0,1000000000,IF(INDEX('calcA'!$D$60:$EQ$99,$B21,78)*IF($W21=1,GA21+ACP21,GA21)=1,IF(AND($E21=2,IF($W21=1,AIE21,LP21)=0),1000000000,IF($V21=1,INDEX('calcA'!$D$130:$EQ$169,$B21,78)+IF(AND($E21=1,LP21=0),25,0),INDEX('calcA'!CC$110:CC$114,$F21+1)+IF(AND($E21=1,LP21=0),1000,0)+IF($H21=1,INDEX('calcA'!$D$180:$EQ$219,$B21,78)*500,0)-IF(AND('calcA'!CB$117=1,WZ21&gt;0),300,0)-IF(AND($U21=1,'calcA'!CC$117=1,GB21=0),300,0))),1000000000))</f>
        <v/>
      </c>
      <c r="RF21">
        <f>IF($B21=0,1000000000,IF(INDEX('calcA'!$D$60:$EQ$99,$B21,79)*IF($W21=1,GB21+ACQ21,GB21)=1,IF(AND($E21=2,IF($W21=1,AIF21,LQ21)=0),1000000000,IF($V21=1,INDEX('calcA'!$D$130:$EQ$169,$B21,79)+IF(AND($E21=1,LQ21=0),25,0),INDEX('calcA'!CD$110:CD$114,$F21+1)+IF(AND($E21=1,LQ21=0),1000,0)+IF($H21=1,INDEX('calcA'!$D$180:$EQ$219,$B21,79)*500,0)-IF(AND('calcA'!CC$117=1,XA21&gt;0),300,0)-IF(AND($U21=1,'calcA'!CD$117=1,GC21=0),300,0))),1000000000))</f>
        <v/>
      </c>
      <c r="RG21">
        <f>IF($B21=0,1000000000,IF(INDEX('calcA'!$D$60:$EQ$99,$B21,80)*IF($W21=1,GC21+ACR21,GC21)=1,IF(AND($E21=2,IF($W21=1,AIG21,LR21)=0),1000000000,IF($V21=1,INDEX('calcA'!$D$130:$EQ$169,$B21,80)+IF(AND($E21=1,LR21=0),25,0),INDEX('calcA'!CE$110:CE$114,$F21+1)+IF(AND($E21=1,LR21=0),1000,0)+IF($H21=1,INDEX('calcA'!$D$180:$EQ$219,$B21,80)*500,0)-IF(AND('calcA'!CD$117=1,XB21&gt;0),300,0)-IF(AND($U21=1,'calcA'!CE$117=1,GD21=0),300,0))),1000000000))</f>
        <v/>
      </c>
      <c r="RH21">
        <f>IF($B21=0,1000000000,IF(INDEX('calcA'!$D$60:$EQ$99,$B21,81)*IF($W21=1,GD21+ACS21,GD21)=1,IF(AND($E21=2,IF($W21=1,AIH21,LS21)=0),1000000000,IF($V21=1,INDEX('calcA'!$D$130:$EQ$169,$B21,81)+IF(AND($E21=1,LS21=0),25,0),INDEX('calcA'!CF$110:CF$114,$F21+1)+IF(AND($E21=1,LS21=0),1000,0)+IF($H21=1,INDEX('calcA'!$D$180:$EQ$219,$B21,81)*500,0)-IF(AND('calcA'!CE$117=1,XC21&gt;0),300,0)-IF(AND($U21=1,'calcA'!CF$117=1,GE21=0),300,0))),1000000000))</f>
        <v/>
      </c>
      <c r="RI21">
        <f>IF($B21=0,1000000000,IF(INDEX('calcA'!$D$60:$EQ$99,$B21,82)*IF($W21=1,GE21+ACT21,GE21)=1,IF(AND($E21=2,IF($W21=1,AII21,LT21)=0),1000000000,IF($V21=1,INDEX('calcA'!$D$130:$EQ$169,$B21,82)+IF(AND($E21=1,LT21=0),25,0),INDEX('calcA'!CG$110:CG$114,$F21+1)+IF(AND($E21=1,LT21=0),1000,0)+IF($H21=1,INDEX('calcA'!$D$180:$EQ$219,$B21,82)*500,0)-IF(AND('calcA'!CF$117=1,XD21&gt;0),300,0)-IF(AND($U21=1,'calcA'!CG$117=1,GF21=0),300,0))),1000000000))</f>
        <v/>
      </c>
      <c r="RJ21">
        <f>IF($B21=0,1000000000,IF(INDEX('calcA'!$D$60:$EQ$99,$B21,83)*IF($W21=1,GF21+ACU21,GF21)=1,IF(AND($E21=2,IF($W21=1,AIJ21,LU21)=0),1000000000,IF($V21=1,INDEX('calcA'!$D$130:$EQ$169,$B21,83)+IF(AND($E21=1,LU21=0),25,0),INDEX('calcA'!CH$110:CH$114,$F21+1)+IF(AND($E21=1,LU21=0),1000,0)+IF($H21=1,INDEX('calcA'!$D$180:$EQ$219,$B21,83)*500,0)-IF(AND('calcA'!CG$117=1,XE21&gt;0),300,0)-IF(AND($U21=1,'calcA'!CH$117=1,GG21=0),300,0))),1000000000))</f>
        <v/>
      </c>
      <c r="RK21">
        <f>IF($B21=0,1000000000,IF(INDEX('calcA'!$D$60:$EQ$99,$B21,84)*IF($W21=1,GG21+ACV21,GG21)=1,IF(AND($E21=2,IF($W21=1,AIK21,LV21)=0),1000000000,IF($V21=1,INDEX('calcA'!$D$130:$EQ$169,$B21,84)+IF(AND($E21=1,LV21=0),25,0),INDEX('calcA'!CI$110:CI$114,$F21+1)+IF(AND($E21=1,LV21=0),1000,0)+IF($H21=1,INDEX('calcA'!$D$180:$EQ$219,$B21,84)*500,0)-IF(AND('calcA'!CH$117=1,XF21&gt;0),300,0)-IF(AND($U21=1,'calcA'!CI$117=1,GH21=0),300,0))),1000000000))</f>
        <v/>
      </c>
      <c r="RL21">
        <f>IF($B21=0,1000000000,IF(INDEX('calcA'!$D$60:$EQ$99,$B21,85)*IF($W21=1,GH21+ACW21,GH21)=1,IF(AND($E21=2,IF($W21=1,AIL21,LW21)=0),1000000000,IF($V21=1,INDEX('calcA'!$D$130:$EQ$169,$B21,85)+IF(AND($E21=1,LW21=0),25,0),INDEX('calcA'!CJ$110:CJ$114,$F21+1)+IF(AND($E21=1,LW21=0),1000,0)+IF($H21=1,INDEX('calcA'!$D$180:$EQ$219,$B21,85)*500,0)-IF(AND('calcA'!CI$117=1,XG21&gt;0),300,0)-IF(AND($U21=1,'calcA'!CJ$117=1,GI21=0),300,0))),1000000000))</f>
        <v/>
      </c>
      <c r="RM21">
        <f>IF($B21=0,1000000000,IF(INDEX('calcA'!$D$60:$EQ$99,$B21,86)*IF($W21=1,GI21+ACX21,GI21)=1,IF(AND($E21=2,IF($W21=1,AIM21,LX21)=0),1000000000,IF($V21=1,INDEX('calcA'!$D$130:$EQ$169,$B21,86)+IF(AND($E21=1,LX21=0),25,0),INDEX('calcA'!CK$110:CK$114,$F21+1)+IF(AND($E21=1,LX21=0),1000,0)+IF($H21=1,INDEX('calcA'!$D$180:$EQ$219,$B21,86)*500,0)-IF(AND('calcA'!CJ$117=1,XH21&gt;0),300,0)-IF(AND($U21=1,'calcA'!CK$117=1,GJ21=0),300,0))),1000000000))</f>
        <v/>
      </c>
      <c r="RN21">
        <f>IF($B21=0,1000000000,IF(INDEX('calcA'!$D$60:$EQ$99,$B21,87)*IF($W21=1,GJ21+ACY21,GJ21)=1,IF(AND($E21=2,IF($W21=1,AIN21,LY21)=0),1000000000,IF($V21=1,INDEX('calcA'!$D$130:$EQ$169,$B21,87)+IF(AND($E21=1,LY21=0),25,0),INDEX('calcA'!CL$110:CL$114,$F21+1)+IF(AND($E21=1,LY21=0),1000,0)+IF($H21=1,INDEX('calcA'!$D$180:$EQ$219,$B21,87)*500,0)-IF(AND('calcA'!CK$117=1,XI21&gt;0),300,0)-IF(AND($U21=1,'calcA'!CL$117=1,GK21=0),300,0))),1000000000))</f>
        <v/>
      </c>
      <c r="RO21">
        <f>IF($B21=0,1000000000,IF(INDEX('calcA'!$D$60:$EQ$99,$B21,88)*IF($W21=1,GK21+ACZ21,GK21)=1,IF(AND($E21=2,IF($W21=1,AIO21,LZ21)=0),1000000000,IF($V21=1,INDEX('calcA'!$D$130:$EQ$169,$B21,88)+IF(AND($E21=1,LZ21=0),25,0),INDEX('calcA'!CM$110:CM$114,$F21+1)+IF(AND($E21=1,LZ21=0),1000,0)+IF($H21=1,INDEX('calcA'!$D$180:$EQ$219,$B21,88)*500,0)-IF(AND('calcA'!CL$117=1,XJ21&gt;0),300,0)-IF(AND($U21=1,'calcA'!CM$117=1,GL21=0),300,0))),1000000000))</f>
        <v/>
      </c>
      <c r="RP21">
        <f>IF($B21=0,1000000000,IF(INDEX('calcA'!$D$60:$EQ$99,$B21,89)*IF($W21=1,GL21+ADA21,GL21)=1,IF(AND($E21=2,IF($W21=1,AIP21,MA21)=0),1000000000,IF($V21=1,INDEX('calcA'!$D$130:$EQ$169,$B21,89)+IF(AND($E21=1,MA21=0),25,0),INDEX('calcA'!CN$110:CN$114,$F21+1)+IF(AND($E21=1,MA21=0),1000,0)+IF($H21=1,INDEX('calcA'!$D$180:$EQ$219,$B21,89)*500,0)-IF(AND('calcA'!CM$117=1,XK21&gt;0),300,0)-IF(AND($U21=1,'calcA'!CN$117=1,GM21=0),300,0))),1000000000))</f>
        <v/>
      </c>
      <c r="RQ21">
        <f>IF($B21=0,1000000000,IF(INDEX('calcA'!$D$60:$EQ$99,$B21,90)*IF($W21=1,GM21+ADB21,GM21)=1,IF(AND($E21=2,IF($W21=1,AIQ21,MB21)=0),1000000000,IF($V21=1,INDEX('calcA'!$D$130:$EQ$169,$B21,90)+IF(AND($E21=1,MB21=0),25,0),INDEX('calcA'!CO$110:CO$114,$F21+1)+IF(AND($E21=1,MB21=0),1000,0)+IF($H21=1,INDEX('calcA'!$D$180:$EQ$219,$B21,90)*500,0)-IF(AND('calcA'!CN$117=1,XL21&gt;0),300,0)-IF(AND($U21=1,'calcA'!CO$117=1,GN21=0),300,0))),1000000000))</f>
        <v/>
      </c>
      <c r="RR21">
        <f>IF($B21=0,1000000000,IF(INDEX('calcA'!$D$60:$EQ$99,$B21,91)*IF($W21=1,GN21+ADC21,GN21)=1,IF(AND($E21=2,IF($W21=1,AIR21,MC21)=0),1000000000,IF($V21=1,INDEX('calcA'!$D$130:$EQ$169,$B21,91)+IF(AND($E21=1,MC21=0),25,0),INDEX('calcA'!CP$110:CP$114,$F21+1)+IF(AND($E21=1,MC21=0),1000,0)+IF($H21=1,INDEX('calcA'!$D$180:$EQ$219,$B21,91)*500,0)-IF(AND('calcA'!CO$117=1,XM21&gt;0),300,0)-IF(AND($U21=1,'calcA'!CP$117=1,GO21=0),300,0))),1000000000))</f>
        <v/>
      </c>
      <c r="RS21">
        <f>IF($B21=0,1000000000,IF(INDEX('calcA'!$D$60:$EQ$99,$B21,92)*IF($W21=1,GO21+ADD21,GO21)=1,IF(AND($E21=2,IF($W21=1,AIS21,MD21)=0),1000000000,IF($V21=1,INDEX('calcA'!$D$130:$EQ$169,$B21,92)+IF(AND($E21=1,MD21=0),25,0),INDEX('calcA'!CQ$110:CQ$114,$F21+1)+IF(AND($E21=1,MD21=0),1000,0)+IF($H21=1,INDEX('calcA'!$D$180:$EQ$219,$B21,92)*500,0)-IF(AND('calcA'!CP$117=1,XN21&gt;0),300,0)-IF(AND($U21=1,'calcA'!CQ$117=1,GP21=0),300,0))),1000000000))</f>
        <v/>
      </c>
      <c r="RT21">
        <f>IF($B21=0,1000000000,IF(INDEX('calcA'!$D$60:$EQ$99,$B21,93)*IF($W21=1,GP21+ADE21,GP21)=1,IF(AND($E21=2,IF($W21=1,AIT21,ME21)=0),1000000000,IF($V21=1,INDEX('calcA'!$D$130:$EQ$169,$B21,93)+IF(AND($E21=1,ME21=0),25,0),INDEX('calcA'!CR$110:CR$114,$F21+1)+IF(AND($E21=1,ME21=0),1000,0)+IF($H21=1,INDEX('calcA'!$D$180:$EQ$219,$B21,93)*500,0)-IF(AND('calcA'!CQ$117=1,XO21&gt;0),300,0)-IF(AND($U21=1,'calcA'!CR$117=1,GQ21=0),300,0))),1000000000))</f>
        <v/>
      </c>
      <c r="RU21">
        <f>IF($B21=0,1000000000,IF(INDEX('calcA'!$D$60:$EQ$99,$B21,94)*IF($W21=1,GQ21+ADF21,GQ21)=1,IF(AND($E21=2,IF($W21=1,AIU21,MF21)=0),1000000000,IF($V21=1,INDEX('calcA'!$D$130:$EQ$169,$B21,94)+IF(AND($E21=1,MF21=0),25,0),INDEX('calcA'!CS$110:CS$114,$F21+1)+IF(AND($E21=1,MF21=0),1000,0)+IF($H21=1,INDEX('calcA'!$D$180:$EQ$219,$B21,94)*500,0)-IF(AND('calcA'!CR$117=1,XP21&gt;0),300,0)-IF(AND($U21=1,'calcA'!CS$117=1,GR21=0),300,0))),1000000000))</f>
        <v/>
      </c>
      <c r="RV21">
        <f>IF($B21=0,1000000000,IF(INDEX('calcA'!$D$60:$EQ$99,$B21,95)*IF($W21=1,GR21+ADG21,GR21)=1,IF(AND($E21=2,IF($W21=1,AIV21,MG21)=0),1000000000,IF($V21=1,INDEX('calcA'!$D$130:$EQ$169,$B21,95)+IF(AND($E21=1,MG21=0),25,0),INDEX('calcA'!CT$110:CT$114,$F21+1)+IF(AND($E21=1,MG21=0),1000,0)+IF($H21=1,INDEX('calcA'!$D$180:$EQ$219,$B21,95)*500,0)-IF(AND('calcA'!CS$117=1,XQ21&gt;0),300,0)-IF(AND($U21=1,'calcA'!CT$117=1,GS21=0),300,0))),1000000000))</f>
        <v/>
      </c>
      <c r="RW21">
        <f>IF($B21=0,1000000000,IF(INDEX('calcA'!$D$60:$EQ$99,$B21,96)*IF($W21=1,GS21+ADH21,GS21)=1,IF(AND($E21=2,IF($W21=1,AIW21,MH21)=0),1000000000,IF($V21=1,INDEX('calcA'!$D$130:$EQ$169,$B21,96)+IF(AND($E21=1,MH21=0),25,0),INDEX('calcA'!CU$110:CU$114,$F21+1)+IF(AND($E21=1,MH21=0),1000,0)+IF($H21=1,INDEX('calcA'!$D$180:$EQ$219,$B21,96)*500,0)-IF(AND('calcA'!CT$117=1,XR21&gt;0),300,0))),1000000000))</f>
        <v/>
      </c>
      <c r="RX21">
        <f>IF($B21=0,1000000000,IF(INDEX('calcA'!$D$60:$EQ$99,$B21,97)*IF($W21=1,GT21+ADI21,GT21)=1,IF(AND($E21=2,IF($W21=1,AIX21,MI21)=0),1000000000,IF($V21=1,INDEX('calcA'!$D$130:$EQ$169,$B21,97)+IF(AND($E21=1,MI21=0),25,0),INDEX('calcA'!CV$110:CV$114,$F21+1)+IF(AND($E21=1,MI21=0),1000,0)+IF($H21=1,INDEX('calcA'!$D$180:$EQ$219,$B21,97)*500,0)-IF(AND($U21=1,'calcA'!CV$117=1,GU21=0),300,0))),1000000000))</f>
        <v/>
      </c>
      <c r="RY21">
        <f>IF($B21=0,1000000000,IF(INDEX('calcA'!$D$60:$EQ$99,$B21,98)*IF($W21=1,GU21+ADJ21,GU21)=1,IF(AND($E21=2,IF($W21=1,AIY21,MJ21)=0),1000000000,IF($V21=1,INDEX('calcA'!$D$130:$EQ$169,$B21,98)+IF(AND($E21=1,MJ21=0),25,0),INDEX('calcA'!CW$110:CW$114,$F21+1)+IF(AND($E21=1,MJ21=0),1000,0)+IF($H21=1,INDEX('calcA'!$D$180:$EQ$219,$B21,98)*500,0)-IF(AND('calcA'!CV$117=1,XT21&gt;0),300,0)-IF(AND($U21=1,'calcA'!CW$117=1,GV21=0),300,0))),1000000000))</f>
        <v/>
      </c>
      <c r="RZ21">
        <f>IF($B21=0,1000000000,IF(INDEX('calcA'!$D$60:$EQ$99,$B21,99)*IF($W21=1,GV21+ADK21,GV21)=1,IF(AND($E21=2,IF($W21=1,AIZ21,MK21)=0),1000000000,IF($V21=1,INDEX('calcA'!$D$130:$EQ$169,$B21,99)+IF(AND($E21=1,MK21=0),25,0),INDEX('calcA'!CX$110:CX$114,$F21+1)+IF(AND($E21=1,MK21=0),1000,0)+IF($H21=1,INDEX('calcA'!$D$180:$EQ$219,$B21,99)*500,0)-IF(AND('calcA'!CW$117=1,XU21&gt;0),300,0)-IF(AND($U21=1,'calcA'!CX$117=1,GW21=0),300,0))),1000000000))</f>
        <v/>
      </c>
      <c r="SA21">
        <f>IF($B21=0,1000000000,IF(INDEX('calcA'!$D$60:$EQ$99,$B21,100)*IF($W21=1,GW21+ADL21,GW21)=1,IF(AND($E21=2,IF($W21=1,AJA21,ML21)=0),1000000000,IF($V21=1,INDEX('calcA'!$D$130:$EQ$169,$B21,100)+IF(AND($E21=1,ML21=0),25,0),INDEX('calcA'!CY$110:CY$114,$F21+1)+IF(AND($E21=1,ML21=0),1000,0)+IF($H21=1,INDEX('calcA'!$D$180:$EQ$219,$B21,100)*500,0)-IF(AND('calcA'!CX$117=1,XV21&gt;0),300,0)-IF(AND($U21=1,'calcA'!CY$117=1,GX21=0),300,0))),1000000000))</f>
        <v/>
      </c>
      <c r="SB21">
        <f>IF($B21=0,1000000000,IF(INDEX('calcA'!$D$60:$EQ$99,$B21,101)*IF($W21=1,GX21+ADM21,GX21)=1,IF(AND($E21=2,IF($W21=1,AJB21,MM21)=0),1000000000,IF($V21=1,INDEX('calcA'!$D$130:$EQ$169,$B21,101)+IF(AND($E21=1,MM21=0),25,0),INDEX('calcA'!CZ$110:CZ$114,$F21+1)+IF(AND($E21=1,MM21=0),1000,0)+IF($H21=1,INDEX('calcA'!$D$180:$EQ$219,$B21,101)*500,0)-IF(AND('calcA'!CY$117=1,XW21&gt;0),300,0)-IF(AND($U21=1,'calcA'!CZ$117=1,GY21=0),300,0))),1000000000))</f>
        <v/>
      </c>
      <c r="SC21">
        <f>IF($B21=0,1000000000,IF(INDEX('calcA'!$D$60:$EQ$99,$B21,102)*IF($W21=1,GY21+ADN21,GY21)=1,IF(AND($E21=2,IF($W21=1,AJC21,MN21)=0),1000000000,IF($V21=1,INDEX('calcA'!$D$130:$EQ$169,$B21,102)+IF(AND($E21=1,MN21=0),25,0),INDEX('calcA'!DA$110:DA$114,$F21+1)+IF(AND($E21=1,MN21=0),1000,0)+IF($H21=1,INDEX('calcA'!$D$180:$EQ$219,$B21,102)*500,0)-IF(AND('calcA'!CZ$117=1,XX21&gt;0),300,0)-IF(AND($U21=1,'calcA'!DA$117=1,GZ21=0),300,0))),1000000000))</f>
        <v/>
      </c>
      <c r="SD21">
        <f>IF($B21=0,1000000000,IF(INDEX('calcA'!$D$60:$EQ$99,$B21,103)*IF($W21=1,GZ21+ADO21,GZ21)=1,IF(AND($E21=2,IF($W21=1,AJD21,MO21)=0),1000000000,IF($V21=1,INDEX('calcA'!$D$130:$EQ$169,$B21,103)+IF(AND($E21=1,MO21=0),25,0),INDEX('calcA'!DB$110:DB$114,$F21+1)+IF(AND($E21=1,MO21=0),1000,0)+IF($H21=1,INDEX('calcA'!$D$180:$EQ$219,$B21,103)*500,0)-IF(AND('calcA'!DA$117=1,XY21&gt;0),300,0)-IF(AND($U21=1,'calcA'!DB$117=1,HA21=0),300,0))),1000000000))</f>
        <v/>
      </c>
      <c r="SE21">
        <f>IF($B21=0,1000000000,IF(INDEX('calcA'!$D$60:$EQ$99,$B21,104)*IF($W21=1,HA21+ADP21,HA21)=1,IF(AND($E21=2,IF($W21=1,AJE21,MP21)=0),1000000000,IF($V21=1,INDEX('calcA'!$D$130:$EQ$169,$B21,104)+IF(AND($E21=1,MP21=0),25,0),INDEX('calcA'!DC$110:DC$114,$F21+1)+IF(AND($E21=1,MP21=0),1000,0)+IF($H21=1,INDEX('calcA'!$D$180:$EQ$219,$B21,104)*500,0)-IF(AND('calcA'!DB$117=1,XZ21&gt;0),300,0)-IF(AND($U21=1,'calcA'!DC$117=1,HB21=0),300,0))),1000000000))</f>
        <v/>
      </c>
      <c r="SF21">
        <f>IF($B21=0,1000000000,IF(INDEX('calcA'!$D$60:$EQ$99,$B21,105)*IF($W21=1,HB21+ADQ21,HB21)=1,IF(AND($E21=2,IF($W21=1,AJF21,MQ21)=0),1000000000,IF($V21=1,INDEX('calcA'!$D$130:$EQ$169,$B21,105)+IF(AND($E21=1,MQ21=0),25,0),INDEX('calcA'!DD$110:DD$114,$F21+1)+IF(AND($E21=1,MQ21=0),1000,0)+IF($H21=1,INDEX('calcA'!$D$180:$EQ$219,$B21,105)*500,0)-IF(AND('calcA'!DC$117=1,YA21&gt;0),300,0)-IF(AND($U21=1,'calcA'!DD$117=1,HC21=0),300,0))),1000000000))</f>
        <v/>
      </c>
      <c r="SG21">
        <f>IF($B21=0,1000000000,IF(INDEX('calcA'!$D$60:$EQ$99,$B21,106)*IF($W21=1,HC21+ADR21,HC21)=1,IF(AND($E21=2,IF($W21=1,AJG21,MR21)=0),1000000000,IF($V21=1,INDEX('calcA'!$D$130:$EQ$169,$B21,106)+IF(AND($E21=1,MR21=0),25,0),INDEX('calcA'!DE$110:DE$114,$F21+1)+IF(AND($E21=1,MR21=0),1000,0)+IF($H21=1,INDEX('calcA'!$D$180:$EQ$219,$B21,106)*500,0)-IF(AND('calcA'!DD$117=1,YB21&gt;0),300,0)-IF(AND($U21=1,'calcA'!DE$117=1,HD21=0),300,0))),1000000000))</f>
        <v/>
      </c>
      <c r="SH21">
        <f>IF($B21=0,1000000000,IF(INDEX('calcA'!$D$60:$EQ$99,$B21,107)*IF($W21=1,HD21+ADS21,HD21)=1,IF(AND($E21=2,IF($W21=1,AJH21,MS21)=0),1000000000,IF($V21=1,INDEX('calcA'!$D$130:$EQ$169,$B21,107)+IF(AND($E21=1,MS21=0),25,0),INDEX('calcA'!DF$110:DF$114,$F21+1)+IF(AND($E21=1,MS21=0),1000,0)+IF($H21=1,INDEX('calcA'!$D$180:$EQ$219,$B21,107)*500,0)-IF(AND('calcA'!DE$117=1,YC21&gt;0),300,0)-IF(AND($U21=1,'calcA'!DF$117=1,HE21=0),300,0))),1000000000))</f>
        <v/>
      </c>
      <c r="SI21">
        <f>IF($B21=0,1000000000,IF(INDEX('calcA'!$D$60:$EQ$99,$B21,108)*IF($W21=1,HE21+ADT21,HE21)=1,IF(AND($E21=2,IF($W21=1,AJI21,MT21)=0),1000000000,IF($V21=1,INDEX('calcA'!$D$130:$EQ$169,$B21,108)+IF(AND($E21=1,MT21=0),25,0),INDEX('calcA'!DG$110:DG$114,$F21+1)+IF(AND($E21=1,MT21=0),1000,0)+IF($H21=1,INDEX('calcA'!$D$180:$EQ$219,$B21,108)*500,0)-IF(AND('calcA'!DF$117=1,YD21&gt;0),300,0)-IF(AND($U21=1,'calcA'!DG$117=1,HF21=0),300,0))),1000000000))</f>
        <v/>
      </c>
      <c r="SJ21">
        <f>IF($B21=0,1000000000,IF(INDEX('calcA'!$D$60:$EQ$99,$B21,109)*IF($W21=1,HF21+ADU21,HF21)=1,IF(AND($E21=2,IF($W21=1,AJJ21,MU21)=0),1000000000,IF($V21=1,INDEX('calcA'!$D$130:$EQ$169,$B21,109)+IF(AND($E21=1,MU21=0),25,0),INDEX('calcA'!DH$110:DH$114,$F21+1)+IF(AND($E21=1,MU21=0),1000,0)+IF($H21=1,INDEX('calcA'!$D$180:$EQ$219,$B21,109)*500,0)-IF(AND('calcA'!DG$117=1,YE21&gt;0),300,0)-IF(AND($U21=1,'calcA'!DH$117=1,HG21=0),300,0))),1000000000))</f>
        <v/>
      </c>
      <c r="SK21">
        <f>IF($B21=0,1000000000,IF(INDEX('calcA'!$D$60:$EQ$99,$B21,110)*IF($W21=1,HG21+ADV21,HG21)=1,IF(AND($E21=2,IF($W21=1,AJK21,MV21)=0),1000000000,IF($V21=1,INDEX('calcA'!$D$130:$EQ$169,$B21,110)+IF(AND($E21=1,MV21=0),25,0),INDEX('calcA'!DI$110:DI$114,$F21+1)+IF(AND($E21=1,MV21=0),1000,0)+IF($H21=1,INDEX('calcA'!$D$180:$EQ$219,$B21,110)*500,0)-IF(AND('calcA'!DH$117=1,YF21&gt;0),300,0)-IF(AND($U21=1,'calcA'!DI$117=1,HH21=0),300,0))),1000000000))</f>
        <v/>
      </c>
      <c r="SL21">
        <f>IF($B21=0,1000000000,IF(INDEX('calcA'!$D$60:$EQ$99,$B21,111)*IF($W21=1,HH21+ADW21,HH21)=1,IF(AND($E21=2,IF($W21=1,AJL21,MW21)=0),1000000000,IF($V21=1,INDEX('calcA'!$D$130:$EQ$169,$B21,111)+IF(AND($E21=1,MW21=0),25,0),INDEX('calcA'!DJ$110:DJ$114,$F21+1)+IF(AND($E21=1,MW21=0),1000,0)+IF($H21=1,INDEX('calcA'!$D$180:$EQ$219,$B21,111)*500,0)-IF(AND('calcA'!DI$117=1,YG21&gt;0),300,0)-IF(AND($U21=1,'calcA'!DJ$117=1,HI21=0),300,0))),1000000000))</f>
        <v/>
      </c>
      <c r="SM21">
        <f>IF($B21=0,1000000000,IF(INDEX('calcA'!$D$60:$EQ$99,$B21,112)*IF($W21=1,HI21+ADX21,HI21)=1,IF(AND($E21=2,IF($W21=1,AJM21,MX21)=0),1000000000,IF($V21=1,INDEX('calcA'!$D$130:$EQ$169,$B21,112)+IF(AND($E21=1,MX21=0),25,0),INDEX('calcA'!DK$110:DK$114,$F21+1)+IF(AND($E21=1,MX21=0),1000,0)+IF($H21=1,INDEX('calcA'!$D$180:$EQ$219,$B21,112)*500,0)-IF(AND('calcA'!DJ$117=1,YH21&gt;0),300,0)-IF(AND($U21=1,'calcA'!DK$117=1,HJ21=0),300,0))),1000000000))</f>
        <v/>
      </c>
      <c r="SN21">
        <f>IF($B21=0,1000000000,IF(INDEX('calcA'!$D$60:$EQ$99,$B21,113)*IF($W21=1,HJ21+ADY21,HJ21)=1,IF(AND($E21=2,IF($W21=1,AJN21,MY21)=0),1000000000,IF($V21=1,INDEX('calcA'!$D$130:$EQ$169,$B21,113)+IF(AND($E21=1,MY21=0),25,0),INDEX('calcA'!DL$110:DL$114,$F21+1)+IF(AND($E21=1,MY21=0),1000,0)+IF($H21=1,INDEX('calcA'!$D$180:$EQ$219,$B21,113)*500,0)-IF(AND('calcA'!DK$117=1,YI21&gt;0),300,0)-IF(AND($U21=1,'calcA'!DL$117=1,HK21=0),300,0))),1000000000))</f>
        <v/>
      </c>
      <c r="SO21">
        <f>IF($B21=0,1000000000,IF(INDEX('calcA'!$D$60:$EQ$99,$B21,114)*IF($W21=1,HK21+ADZ21,HK21)=1,IF(AND($E21=2,IF($W21=1,AJO21,MZ21)=0),1000000000,IF($V21=1,INDEX('calcA'!$D$130:$EQ$169,$B21,114)+IF(AND($E21=1,MZ21=0),25,0),INDEX('calcA'!DM$110:DM$114,$F21+1)+IF(AND($E21=1,MZ21=0),1000,0)+IF($H21=1,INDEX('calcA'!$D$180:$EQ$219,$B21,114)*500,0)-IF(AND('calcA'!DL$117=1,YJ21&gt;0),300,0)-IF(AND($U21=1,'calcA'!DM$117=1,HL21=0),300,0))),1000000000))</f>
        <v/>
      </c>
      <c r="SP21">
        <f>IF($B21=0,1000000000,IF(INDEX('calcA'!$D$60:$EQ$99,$B21,115)*IF($W21=1,HL21+AEA21,HL21)=1,IF(AND($E21=2,IF($W21=1,AJP21,NA21)=0),1000000000,IF($V21=1,INDEX('calcA'!$D$130:$EQ$169,$B21,115)+IF(AND($E21=1,NA21=0),25,0),INDEX('calcA'!DN$110:DN$114,$F21+1)+IF(AND($E21=1,NA21=0),1000,0)+IF($H21=1,INDEX('calcA'!$D$180:$EQ$219,$B21,115)*500,0)-IF(AND('calcA'!DM$117=1,YK21&gt;0),300,0)-IF(AND($U21=1,'calcA'!DN$117=1,HM21=0),300,0))),1000000000))</f>
        <v/>
      </c>
      <c r="SQ21">
        <f>IF($B21=0,1000000000,IF(INDEX('calcA'!$D$60:$EQ$99,$B21,116)*IF($W21=1,HM21+AEB21,HM21)=1,IF(AND($E21=2,IF($W21=1,AJQ21,NB21)=0),1000000000,IF($V21=1,INDEX('calcA'!$D$130:$EQ$169,$B21,116)+IF(AND($E21=1,NB21=0),25,0),INDEX('calcA'!DO$110:DO$114,$F21+1)+IF(AND($E21=1,NB21=0),1000,0)+IF($H21=1,INDEX('calcA'!$D$180:$EQ$219,$B21,116)*500,0)-IF(AND('calcA'!DN$117=1,YL21&gt;0),300,0)-IF(AND($U21=1,'calcA'!DO$117=1,HN21=0),300,0))),1000000000))</f>
        <v/>
      </c>
      <c r="SR21">
        <f>IF($B21=0,1000000000,IF(INDEX('calcA'!$D$60:$EQ$99,$B21,117)*IF($W21=1,HN21+AEC21,HN21)=1,IF(AND($E21=2,IF($W21=1,AJR21,NC21)=0),1000000000,IF($V21=1,INDEX('calcA'!$D$130:$EQ$169,$B21,117)+IF(AND($E21=1,NC21=0),25,0),INDEX('calcA'!DP$110:DP$114,$F21+1)+IF(AND($E21=1,NC21=0),1000,0)+IF($H21=1,INDEX('calcA'!$D$180:$EQ$219,$B21,117)*500,0)-IF(AND('calcA'!DO$117=1,YM21&gt;0),300,0)-IF(AND($U21=1,'calcA'!DP$117=1,HO21=0),300,0))),1000000000))</f>
        <v/>
      </c>
      <c r="SS21">
        <f>IF($B21=0,1000000000,IF(INDEX('calcA'!$D$60:$EQ$99,$B21,118)*IF($W21=1,HO21+AED21,HO21)=1,IF(AND($E21=2,IF($W21=1,AJS21,ND21)=0),1000000000,IF($V21=1,INDEX('calcA'!$D$130:$EQ$169,$B21,118)+IF(AND($E21=1,ND21=0),25,0),INDEX('calcA'!DQ$110:DQ$114,$F21+1)+IF(AND($E21=1,ND21=0),1000,0)+IF($H21=1,INDEX('calcA'!$D$180:$EQ$219,$B21,118)*500,0)-IF(AND('calcA'!DP$117=1,YN21&gt;0),300,0)-IF(AND($U21=1,'calcA'!DQ$117=1,HP21=0),300,0))),1000000000))</f>
        <v/>
      </c>
      <c r="ST21">
        <f>IF($B21=0,1000000000,IF(INDEX('calcA'!$D$60:$EQ$99,$B21,119)*IF($W21=1,HP21+AEE21,HP21)=1,IF(AND($E21=2,IF($W21=1,AJT21,NE21)=0),1000000000,IF($V21=1,INDEX('calcA'!$D$130:$EQ$169,$B21,119)+IF(AND($E21=1,NE21=0),25,0),INDEX('calcA'!DR$110:DR$114,$F21+1)+IF(AND($E21=1,NE21=0),1000,0)+IF($H21=1,INDEX('calcA'!$D$180:$EQ$219,$B21,119)*500,0)-IF(AND('calcA'!DQ$117=1,YO21&gt;0),300,0)-IF(AND($U21=1,'calcA'!DR$117=1,HQ21=0),300,0))),1000000000))</f>
        <v/>
      </c>
      <c r="SU21">
        <f>IF($B21=0,1000000000,IF(INDEX('calcA'!$D$60:$EQ$99,$B21,120)*IF($W21=1,HQ21+AEF21,HQ21)=1,IF(AND($E21=2,IF($W21=1,AJU21,NF21)=0),1000000000,IF($V21=1,INDEX('calcA'!$D$130:$EQ$169,$B21,120)+IF(AND($E21=1,NF21=0),25,0),INDEX('calcA'!DS$110:DS$114,$F21+1)+IF(AND($E21=1,NF21=0),1000,0)+IF($H21=1,INDEX('calcA'!$D$180:$EQ$219,$B21,120)*500,0)-IF(AND('calcA'!DR$117=1,YP21&gt;0),300,0))),1000000000))</f>
        <v/>
      </c>
      <c r="SV21">
        <f>IF($B21=0,1000000000,IF(INDEX('calcA'!$D$60:$EQ$99,$B21,121)*IF($W21=1,HR21+AEG21,HR21)=1,IF(AND($E21=2,IF($W21=1,AJV21,NG21)=0),1000000000,IF($V21=1,INDEX('calcA'!$D$130:$EQ$169,$B21,121)+IF(AND($E21=1,NG21=0),25,0),INDEX('calcA'!DT$110:DT$114,$F21+1)+IF(AND($E21=1,NG21=0),1000,0)+IF($H21=1,INDEX('calcA'!$D$180:$EQ$219,$B21,121)*500,0)-IF(AND($U21=1,'calcA'!DT$117=1,HS21=0),300,0))),1000000000))</f>
        <v/>
      </c>
      <c r="SW21">
        <f>IF($B21=0,1000000000,IF(INDEX('calcA'!$D$60:$EQ$99,$B21,122)*IF($W21=1,HS21+AEH21,HS21)=1,IF(AND($E21=2,IF($W21=1,AJW21,NH21)=0),1000000000,IF($V21=1,INDEX('calcA'!$D$130:$EQ$169,$B21,122)+IF(AND($E21=1,NH21=0),25,0),INDEX('calcA'!DU$110:DU$114,$F21+1)+IF(AND($E21=1,NH21=0),1000,0)+IF($H21=1,INDEX('calcA'!$D$180:$EQ$219,$B21,122)*500,0)-IF(AND('calcA'!DT$117=1,YR21&gt;0),300,0)-IF(AND($U21=1,'calcA'!DU$117=1,HT21=0),300,0))),1000000000))</f>
        <v/>
      </c>
      <c r="SX21">
        <f>IF($B21=0,1000000000,IF(INDEX('calcA'!$D$60:$EQ$99,$B21,123)*IF($W21=1,HT21+AEI21,HT21)=1,IF(AND($E21=2,IF($W21=1,AJX21,NI21)=0),1000000000,IF($V21=1,INDEX('calcA'!$D$130:$EQ$169,$B21,123)+IF(AND($E21=1,NI21=0),25,0),INDEX('calcA'!DV$110:DV$114,$F21+1)+IF(AND($E21=1,NI21=0),1000,0)+IF($H21=1,INDEX('calcA'!$D$180:$EQ$219,$B21,123)*500,0)-IF(AND('calcA'!DU$117=1,YS21&gt;0),300,0)-IF(AND($U21=1,'calcA'!DV$117=1,HU21=0),300,0))),1000000000))</f>
        <v/>
      </c>
      <c r="SY21">
        <f>IF($B21=0,1000000000,IF(INDEX('calcA'!$D$60:$EQ$99,$B21,124)*IF($W21=1,HU21+AEJ21,HU21)=1,IF(AND($E21=2,IF($W21=1,AJY21,NJ21)=0),1000000000,IF($V21=1,INDEX('calcA'!$D$130:$EQ$169,$B21,124)+IF(AND($E21=1,NJ21=0),25,0),INDEX('calcA'!DW$110:DW$114,$F21+1)+IF(AND($E21=1,NJ21=0),1000,0)+IF($H21=1,INDEX('calcA'!$D$180:$EQ$219,$B21,124)*500,0)-IF(AND('calcA'!DV$117=1,YT21&gt;0),300,0)-IF(AND($U21=1,'calcA'!DW$117=1,HV21=0),300,0))),1000000000))</f>
        <v/>
      </c>
      <c r="SZ21">
        <f>IF($B21=0,1000000000,IF(INDEX('calcA'!$D$60:$EQ$99,$B21,125)*IF($W21=1,HV21+AEK21,HV21)=1,IF(AND($E21=2,IF($W21=1,AJZ21,NK21)=0),1000000000,IF($V21=1,INDEX('calcA'!$D$130:$EQ$169,$B21,125)+IF(AND($E21=1,NK21=0),25,0),INDEX('calcA'!DX$110:DX$114,$F21+1)+IF(AND($E21=1,NK21=0),1000,0)+IF($H21=1,INDEX('calcA'!$D$180:$EQ$219,$B21,125)*500,0)-IF(AND('calcA'!DW$117=1,YU21&gt;0),300,0)-IF(AND($U21=1,'calcA'!DX$117=1,HW21=0),300,0))),1000000000))</f>
        <v/>
      </c>
      <c r="TA21">
        <f>IF($B21=0,1000000000,IF(INDEX('calcA'!$D$60:$EQ$99,$B21,126)*IF($W21=1,HW21+AEL21,HW21)=1,IF(AND($E21=2,IF($W21=1,AKA21,NL21)=0),1000000000,IF($V21=1,INDEX('calcA'!$D$130:$EQ$169,$B21,126)+IF(AND($E21=1,NL21=0),25,0),INDEX('calcA'!DY$110:DY$114,$F21+1)+IF(AND($E21=1,NL21=0),1000,0)+IF($H21=1,INDEX('calcA'!$D$180:$EQ$219,$B21,126)*500,0)-IF(AND('calcA'!DX$117=1,YV21&gt;0),300,0)-IF(AND($U21=1,'calcA'!DY$117=1,HX21=0),300,0))),1000000000))</f>
        <v/>
      </c>
      <c r="TB21">
        <f>IF($B21=0,1000000000,IF(INDEX('calcA'!$D$60:$EQ$99,$B21,127)*IF($W21=1,HX21+AEM21,HX21)=1,IF(AND($E21=2,IF($W21=1,AKB21,NM21)=0),1000000000,IF($V21=1,INDEX('calcA'!$D$130:$EQ$169,$B21,127)+IF(AND($E21=1,NM21=0),25,0),INDEX('calcA'!DZ$110:DZ$114,$F21+1)+IF(AND($E21=1,NM21=0),1000,0)+IF($H21=1,INDEX('calcA'!$D$180:$EQ$219,$B21,127)*500,0)-IF(AND('calcA'!DY$117=1,YW21&gt;0),300,0)-IF(AND($U21=1,'calcA'!DZ$117=1,HY21=0),300,0))),1000000000))</f>
        <v/>
      </c>
      <c r="TC21">
        <f>IF($B21=0,1000000000,IF(INDEX('calcA'!$D$60:$EQ$99,$B21,128)*IF($W21=1,HY21+AEN21,HY21)=1,IF(AND($E21=2,IF($W21=1,AKC21,NN21)=0),1000000000,IF($V21=1,INDEX('calcA'!$D$130:$EQ$169,$B21,128)+IF(AND($E21=1,NN21=0),25,0),INDEX('calcA'!EA$110:EA$114,$F21+1)+IF(AND($E21=1,NN21=0),1000,0)+IF($H21=1,INDEX('calcA'!$D$180:$EQ$219,$B21,128)*500,0)-IF(AND('calcA'!DZ$117=1,YX21&gt;0),300,0)-IF(AND($U21=1,'calcA'!EA$117=1,HZ21=0),300,0))),1000000000))</f>
        <v/>
      </c>
      <c r="TD21">
        <f>IF($B21=0,1000000000,IF(INDEX('calcA'!$D$60:$EQ$99,$B21,129)*IF($W21=1,HZ21+AEO21,HZ21)=1,IF(AND($E21=2,IF($W21=1,AKD21,NO21)=0),1000000000,IF($V21=1,INDEX('calcA'!$D$130:$EQ$169,$B21,129)+IF(AND($E21=1,NO21=0),25,0),INDEX('calcA'!EB$110:EB$114,$F21+1)+IF(AND($E21=1,NO21=0),1000,0)+IF($H21=1,INDEX('calcA'!$D$180:$EQ$219,$B21,129)*500,0)-IF(AND('calcA'!EA$117=1,YY21&gt;0),300,0)-IF(AND($U21=1,'calcA'!EB$117=1,IA21=0),300,0))),1000000000))</f>
        <v/>
      </c>
      <c r="TE21">
        <f>IF($B21=0,1000000000,IF(INDEX('calcA'!$D$60:$EQ$99,$B21,130)*IF($W21=1,IA21+AEP21,IA21)=1,IF(AND($E21=2,IF($W21=1,AKE21,NP21)=0),1000000000,IF($V21=1,INDEX('calcA'!$D$130:$EQ$169,$B21,130)+IF(AND($E21=1,NP21=0),25,0),INDEX('calcA'!EC$110:EC$114,$F21+1)+IF(AND($E21=1,NP21=0),1000,0)+IF($H21=1,INDEX('calcA'!$D$180:$EQ$219,$B21,130)*500,0)-IF(AND('calcA'!EB$117=1,YZ21&gt;0),300,0)-IF(AND($U21=1,'calcA'!EC$117=1,IB21=0),300,0))),1000000000))</f>
        <v/>
      </c>
      <c r="TF21">
        <f>IF($B21=0,1000000000,IF(INDEX('calcA'!$D$60:$EQ$99,$B21,131)*IF($W21=1,IB21+AEQ21,IB21)=1,IF(AND($E21=2,IF($W21=1,AKF21,NQ21)=0),1000000000,IF($V21=1,INDEX('calcA'!$D$130:$EQ$169,$B21,131)+IF(AND($E21=1,NQ21=0),25,0),INDEX('calcA'!ED$110:ED$114,$F21+1)+IF(AND($E21=1,NQ21=0),1000,0)+IF($H21=1,INDEX('calcA'!$D$180:$EQ$219,$B21,131)*500,0)-IF(AND('calcA'!EC$117=1,ZA21&gt;0),300,0)-IF(AND($U21=1,'calcA'!ED$117=1,IC21=0),300,0))),1000000000))</f>
        <v/>
      </c>
      <c r="TG21">
        <f>IF($B21=0,1000000000,IF(INDEX('calcA'!$D$60:$EQ$99,$B21,132)*IF($W21=1,IC21+AER21,IC21)=1,IF(AND($E21=2,IF($W21=1,AKG21,NR21)=0),1000000000,IF($V21=1,INDEX('calcA'!$D$130:$EQ$169,$B21,132)+IF(AND($E21=1,NR21=0),25,0),INDEX('calcA'!EE$110:EE$114,$F21+1)+IF(AND($E21=1,NR21=0),1000,0)+IF($H21=1,INDEX('calcA'!$D$180:$EQ$219,$B21,132)*500,0)-IF(AND('calcA'!ED$117=1,ZB21&gt;0),300,0)-IF(AND($U21=1,'calcA'!EE$117=1,ID21=0),300,0))),1000000000))</f>
        <v/>
      </c>
      <c r="TH21">
        <f>IF($B21=0,1000000000,IF(INDEX('calcA'!$D$60:$EQ$99,$B21,133)*IF($W21=1,ID21+AES21,ID21)=1,IF(AND($E21=2,IF($W21=1,AKH21,NS21)=0),1000000000,IF($V21=1,INDEX('calcA'!$D$130:$EQ$169,$B21,133)+IF(AND($E21=1,NS21=0),25,0),INDEX('calcA'!EF$110:EF$114,$F21+1)+IF(AND($E21=1,NS21=0),1000,0)+IF($H21=1,INDEX('calcA'!$D$180:$EQ$219,$B21,133)*500,0)-IF(AND('calcA'!EE$117=1,ZC21&gt;0),300,0)-IF(AND($U21=1,'calcA'!EF$117=1,IE21=0),300,0))),1000000000))</f>
        <v/>
      </c>
      <c r="TI21">
        <f>IF($B21=0,1000000000,IF(INDEX('calcA'!$D$60:$EQ$99,$B21,134)*IF($W21=1,IE21+AET21,IE21)=1,IF(AND($E21=2,IF($W21=1,AKI21,NT21)=0),1000000000,IF($V21=1,INDEX('calcA'!$D$130:$EQ$169,$B21,134)+IF(AND($E21=1,NT21=0),25,0),INDEX('calcA'!EG$110:EG$114,$F21+1)+IF(AND($E21=1,NT21=0),1000,0)+IF($H21=1,INDEX('calcA'!$D$180:$EQ$219,$B21,134)*500,0)-IF(AND('calcA'!EF$117=1,ZD21&gt;0),300,0)-IF(AND($U21=1,'calcA'!EG$117=1,IF21=0),300,0))),1000000000))</f>
        <v/>
      </c>
      <c r="TJ21">
        <f>IF($B21=0,1000000000,IF(INDEX('calcA'!$D$60:$EQ$99,$B21,135)*IF($W21=1,IF21+AEU21,IF21)=1,IF(AND($E21=2,IF($W21=1,AKJ21,NU21)=0),1000000000,IF($V21=1,INDEX('calcA'!$D$130:$EQ$169,$B21,135)+IF(AND($E21=1,NU21=0),25,0),INDEX('calcA'!EH$110:EH$114,$F21+1)+IF(AND($E21=1,NU21=0),1000,0)+IF($H21=1,INDEX('calcA'!$D$180:$EQ$219,$B21,135)*500,0)-IF(AND('calcA'!EG$117=1,ZE21&gt;0),300,0)-IF(AND($U21=1,'calcA'!EH$117=1,IG21=0),300,0))),1000000000))</f>
        <v/>
      </c>
      <c r="TK21">
        <f>IF($B21=0,1000000000,IF(INDEX('calcA'!$D$60:$EQ$99,$B21,136)*IF($W21=1,IG21+AEV21,IG21)=1,IF(AND($E21=2,IF($W21=1,AKK21,NV21)=0),1000000000,IF($V21=1,INDEX('calcA'!$D$130:$EQ$169,$B21,136)+IF(AND($E21=1,NV21=0),25,0),INDEX('calcA'!EI$110:EI$114,$F21+1)+IF(AND($E21=1,NV21=0),1000,0)+IF($H21=1,INDEX('calcA'!$D$180:$EQ$219,$B21,136)*500,0)-IF(AND('calcA'!EH$117=1,ZF21&gt;0),300,0)-IF(AND($U21=1,'calcA'!EI$117=1,IH21=0),300,0))),1000000000))</f>
        <v/>
      </c>
      <c r="TL21">
        <f>IF($B21=0,1000000000,IF(INDEX('calcA'!$D$60:$EQ$99,$B21,137)*IF($W21=1,IH21+AEW21,IH21)=1,IF(AND($E21=2,IF($W21=1,AKL21,NW21)=0),1000000000,IF($V21=1,INDEX('calcA'!$D$130:$EQ$169,$B21,137)+IF(AND($E21=1,NW21=0),25,0),INDEX('calcA'!EJ$110:EJ$114,$F21+1)+IF(AND($E21=1,NW21=0),1000,0)+IF($H21=1,INDEX('calcA'!$D$180:$EQ$219,$B21,137)*500,0)-IF(AND('calcA'!EI$117=1,ZG21&gt;0),300,0)-IF(AND($U21=1,'calcA'!EJ$117=1,II21=0),300,0))),1000000000))</f>
        <v/>
      </c>
      <c r="TM21">
        <f>IF($B21=0,1000000000,IF(INDEX('calcA'!$D$60:$EQ$99,$B21,138)*IF($W21=1,II21+AEX21,II21)=1,IF(AND($E21=2,IF($W21=1,AKM21,NX21)=0),1000000000,IF($V21=1,INDEX('calcA'!$D$130:$EQ$169,$B21,138)+IF(AND($E21=1,NX21=0),25,0),INDEX('calcA'!EK$110:EK$114,$F21+1)+IF(AND($E21=1,NX21=0),1000,0)+IF($H21=1,INDEX('calcA'!$D$180:$EQ$219,$B21,138)*500,0)-IF(AND('calcA'!EJ$117=1,ZH21&gt;0),300,0)-IF(AND($U21=1,'calcA'!EK$117=1,IJ21=0),300,0))),1000000000))</f>
        <v/>
      </c>
      <c r="TN21">
        <f>IF($B21=0,1000000000,IF(INDEX('calcA'!$D$60:$EQ$99,$B21,139)*IF($W21=1,IJ21+AEY21,IJ21)=1,IF(AND($E21=2,IF($W21=1,AKN21,NY21)=0),1000000000,IF($V21=1,INDEX('calcA'!$D$130:$EQ$169,$B21,139)+IF(AND($E21=1,NY21=0),25,0),INDEX('calcA'!EL$110:EL$114,$F21+1)+IF(AND($E21=1,NY21=0),1000,0)+IF($H21=1,INDEX('calcA'!$D$180:$EQ$219,$B21,139)*500,0)-IF(AND('calcA'!EK$117=1,ZI21&gt;0),300,0)-IF(AND($U21=1,'calcA'!EL$117=1,IK21=0),300,0))),1000000000))</f>
        <v/>
      </c>
      <c r="TO21">
        <f>IF($B21=0,1000000000,IF(INDEX('calcA'!$D$60:$EQ$99,$B21,140)*IF($W21=1,IK21+AEZ21,IK21)=1,IF(AND($E21=2,IF($W21=1,AKO21,NZ21)=0),1000000000,IF($V21=1,INDEX('calcA'!$D$130:$EQ$169,$B21,140)+IF(AND($E21=1,NZ21=0),25,0),INDEX('calcA'!EM$110:EM$114,$F21+1)+IF(AND($E21=1,NZ21=0),1000,0)+IF($H21=1,INDEX('calcA'!$D$180:$EQ$219,$B21,140)*500,0)-IF(AND('calcA'!EL$117=1,ZJ21&gt;0),300,0)-IF(AND($U21=1,'calcA'!EM$117=1,IL21=0),300,0))),1000000000))</f>
        <v/>
      </c>
      <c r="TP21">
        <f>IF($B21=0,1000000000,IF(INDEX('calcA'!$D$60:$EQ$99,$B21,141)*IF($W21=1,IL21+AFA21,IL21)=1,IF(AND($E21=2,IF($W21=1,AKP21,OA21)=0),1000000000,IF($V21=1,INDEX('calcA'!$D$130:$EQ$169,$B21,141)+IF(AND($E21=1,OA21=0),25,0),INDEX('calcA'!EN$110:EN$114,$F21+1)+IF(AND($E21=1,OA21=0),1000,0)+IF($H21=1,INDEX('calcA'!$D$180:$EQ$219,$B21,141)*500,0)-IF(AND('calcA'!EM$117=1,ZK21&gt;0),300,0)-IF(AND($U21=1,'calcA'!EN$117=1,IM21=0),300,0))),1000000000))</f>
        <v/>
      </c>
      <c r="TQ21">
        <f>IF($B21=0,1000000000,IF(INDEX('calcA'!$D$60:$EQ$99,$B21,142)*IF($W21=1,IM21+AFB21,IM21)=1,IF(AND($E21=2,IF($W21=1,AKQ21,OB21)=0),1000000000,IF($V21=1,INDEX('calcA'!$D$130:$EQ$169,$B21,142)+IF(AND($E21=1,OB21=0),25,0),INDEX('calcA'!EO$110:EO$114,$F21+1)+IF(AND($E21=1,OB21=0),1000,0)+IF($H21=1,INDEX('calcA'!$D$180:$EQ$219,$B21,142)*500,0)-IF(AND('calcA'!EN$117=1,ZL21&gt;0),300,0)-IF(AND($U21=1,'calcA'!EO$117=1,IN21=0),300,0))),1000000000))</f>
        <v/>
      </c>
      <c r="TR21">
        <f>IF($B21=0,1000000000,IF(INDEX('calcA'!$D$60:$EQ$99,$B21,143)*IF($W21=1,IN21+AFC21,IN21)=1,IF(AND($E21=2,IF($W21=1,AKR21,OC21)=0),1000000000,IF($V21=1,INDEX('calcA'!$D$130:$EQ$169,$B21,143)+IF(AND($E21=1,OC21=0),25,0),INDEX('calcA'!EP$110:EP$114,$F21+1)+IF(AND($E21=1,OC21=0),1000,0)+IF($H21=1,INDEX('calcA'!$D$180:$EQ$219,$B21,143)*500,0)-IF(AND('calcA'!EO$117=1,ZM21&gt;0),300,0)-IF(AND($U21=1,'calcA'!EP$117=1,IO21=0),300,0))),1000000000))</f>
        <v/>
      </c>
      <c r="TS21">
        <f>IF($B21=0,1000000000,IF(INDEX('calcA'!$D$60:$EQ$99,$B21,144)*IF($W21=1,IO21+AFD21,IO21)=1,IF(AND($E21=2,IF($W21=1,AKS21,OD21)=0),1000000000,IF($V21=1,INDEX('calcA'!$D$130:$EQ$169,$B21,144)+IF(AND($E21=1,OD21=0),25,0),INDEX('calcA'!EQ$110:EQ$114,$F21+1)+IF(AND($E21=1,OD21=0),1000,0)+IF($H21=1,INDEX('calcA'!$D$180:$EQ$219,$B21,144)*500,0)-IF(AND('calcA'!EP$117=1,ZN21&gt;0),300,0))),1000000000))</f>
        <v/>
      </c>
      <c r="UB21">
        <f>UB20+IF(AND($C20=1,$U20=1),1,0)</f>
        <v/>
      </c>
      <c r="UC21">
        <f>UC20+IF(AND($C20=2,$U20=1),1,0)</f>
        <v/>
      </c>
      <c r="UD21">
        <f>UD20+IF(AND($C20=3,$U20=1),1,0)</f>
        <v/>
      </c>
      <c r="UE21">
        <f>UE20+IF(AND($C20=4,$U20=1),1,0)</f>
        <v/>
      </c>
      <c r="UF21">
        <f>UF20+IF(AND($C20=5,$U20=1),1,0)</f>
        <v/>
      </c>
      <c r="UG21">
        <f>UG20+IF(AND($C20=6,$U20=1),1,0)</f>
        <v/>
      </c>
      <c r="UH21">
        <f>UH20+IF(AND($C20=7,$U20=1),1,0)</f>
        <v/>
      </c>
      <c r="UI21">
        <f>UI20+IF(AND($C20=8,$U20=1),1,0)</f>
        <v/>
      </c>
      <c r="UJ21">
        <f>UJ20+IF(AND($C20=9,$U20=1),1,0)</f>
        <v/>
      </c>
      <c r="UK21">
        <f>UK20+IF(AND($C20=10,$U20=1),1,0)</f>
        <v/>
      </c>
      <c r="UL21">
        <f>UL20+IF(AND($C20=11,$U20=1),1,0)</f>
        <v/>
      </c>
      <c r="UM21">
        <f>UM20+IF(AND($C20=12,$U20=1),1,0)</f>
        <v/>
      </c>
      <c r="UN21">
        <f>UN20+IF(AND($C20=13,$U20=1),1,0)</f>
        <v/>
      </c>
      <c r="UO21">
        <f>UO20+IF(AND($C20=14,$U20=1),1,0)</f>
        <v/>
      </c>
      <c r="UP21">
        <f>UP20+IF(AND($C20=15,$U20=1),1,0)</f>
        <v/>
      </c>
      <c r="UQ21">
        <f>UQ20+IF(AND($C20=16,$U20=1),1,0)</f>
        <v/>
      </c>
      <c r="UR21">
        <f>UR20+IF(AND($C20=17,$U20=1),1,0)</f>
        <v/>
      </c>
      <c r="US21">
        <f>US20+IF(AND($C20=18,$U20=1),1,0)</f>
        <v/>
      </c>
      <c r="UT21">
        <f>UT20+IF(AND($C20=19,$U20=1),1,0)</f>
        <v/>
      </c>
      <c r="UU21">
        <f>UU20+IF(AND($C20=20,$U20=1),1,0)</f>
        <v/>
      </c>
      <c r="UV21">
        <f>UV20+IF(AND($C20=21,$U20=1),1,0)</f>
        <v/>
      </c>
      <c r="UW21">
        <f>UW20+IF(AND($C20=22,$U20=1),1,0)</f>
        <v/>
      </c>
      <c r="UX21">
        <f>UX20+IF(AND($C20=23,$U20=1),1,0)</f>
        <v/>
      </c>
      <c r="UY21">
        <f>UY20+IF(AND($C20=24,$U20=1),1,0)</f>
        <v/>
      </c>
      <c r="UZ21">
        <f>UZ20+IF(AND($C20=25,$U20=1),1,0)</f>
        <v/>
      </c>
      <c r="VA21">
        <f>VA20+IF(AND($C20=26,$U20=1),1,0)</f>
        <v/>
      </c>
      <c r="VB21">
        <f>VB20+IF(AND($C20=27,$U20=1),1,0)</f>
        <v/>
      </c>
      <c r="VC21">
        <f>VC20+IF(AND($C20=28,$U20=1),1,0)</f>
        <v/>
      </c>
      <c r="VD21">
        <f>VD20+IF(AND($C20=29,$U20=1),1,0)</f>
        <v/>
      </c>
      <c r="VE21">
        <f>VE20+IF(AND($C20=30,$U20=1),1,0)</f>
        <v/>
      </c>
      <c r="VF21">
        <f>VF20+IF(AND($C20=31,$U20=1),1,0)</f>
        <v/>
      </c>
      <c r="VG21">
        <f>VG20+IF(AND($C20=32,$U20=1),1,0)</f>
        <v/>
      </c>
      <c r="VH21">
        <f>VH20+IF(AND($C20=33,$U20=1),1,0)</f>
        <v/>
      </c>
      <c r="VI21">
        <f>VI20+IF(AND($C20=34,$U20=1),1,0)</f>
        <v/>
      </c>
      <c r="VJ21">
        <f>VJ20+IF(AND($C20=35,$U20=1),1,0)</f>
        <v/>
      </c>
      <c r="VK21">
        <f>VK20+IF(AND($C20=36,$U20=1),1,0)</f>
        <v/>
      </c>
      <c r="VL21">
        <f>VL20+IF(AND($C20=37,$U20=1),1,0)</f>
        <v/>
      </c>
      <c r="VM21">
        <f>VM20+IF(AND($C20=38,$U20=1),1,0)</f>
        <v/>
      </c>
      <c r="VN21">
        <f>VN20+IF(AND($C20=39,$U20=1),1,0)</f>
        <v/>
      </c>
      <c r="VO21">
        <f>VO20+IF(AND($C20=40,$U20=1),1,0)</f>
        <v/>
      </c>
      <c r="VP21">
        <f>VP20+IF(AND($C20=41,$U20=1),1,0)</f>
        <v/>
      </c>
      <c r="VQ21">
        <f>VQ20+IF(AND($C20=42,$U20=1),1,0)</f>
        <v/>
      </c>
      <c r="VR21">
        <f>VR20+IF(AND($C20=43,$U20=1),1,0)</f>
        <v/>
      </c>
      <c r="VS21">
        <f>VS20+IF(AND($C20=44,$U20=1),1,0)</f>
        <v/>
      </c>
      <c r="VT21">
        <f>VT20+IF(AND($C20=45,$U20=1),1,0)</f>
        <v/>
      </c>
      <c r="VU21">
        <f>VU20+IF(AND($C20=46,$U20=1),1,0)</f>
        <v/>
      </c>
      <c r="VV21">
        <f>VV20+IF(AND($C20=47,$U20=1),1,0)</f>
        <v/>
      </c>
      <c r="VW21">
        <f>VW20+IF(AND($C20=48,$U20=1),1,0)</f>
        <v/>
      </c>
      <c r="VX21">
        <f>VX20+IF(AND($C20=49,$U20=1),1,0)</f>
        <v/>
      </c>
      <c r="VY21">
        <f>VY20+IF(AND($C20=50,$U20=1),1,0)</f>
        <v/>
      </c>
      <c r="VZ21">
        <f>VZ20+IF(AND($C20=51,$U20=1),1,0)</f>
        <v/>
      </c>
      <c r="WA21">
        <f>WA20+IF(AND($C20=52,$U20=1),1,0)</f>
        <v/>
      </c>
      <c r="WB21">
        <f>WB20+IF(AND($C20=53,$U20=1),1,0)</f>
        <v/>
      </c>
      <c r="WC21">
        <f>WC20+IF(AND($C20=54,$U20=1),1,0)</f>
        <v/>
      </c>
      <c r="WD21">
        <f>WD20+IF(AND($C20=55,$U20=1),1,0)</f>
        <v/>
      </c>
      <c r="WE21">
        <f>WE20+IF(AND($C20=56,$U20=1),1,0)</f>
        <v/>
      </c>
      <c r="WF21">
        <f>WF20+IF(AND($C20=57,$U20=1),1,0)</f>
        <v/>
      </c>
      <c r="WG21">
        <f>WG20+IF(AND($C20=58,$U20=1),1,0)</f>
        <v/>
      </c>
      <c r="WH21">
        <f>WH20+IF(AND($C20=59,$U20=1),1,0)</f>
        <v/>
      </c>
      <c r="WI21">
        <f>WI20+IF(AND($C20=60,$U20=1),1,0)</f>
        <v/>
      </c>
      <c r="WJ21">
        <f>WJ20+IF(AND($C20=61,$U20=1),1,0)</f>
        <v/>
      </c>
      <c r="WK21">
        <f>WK20+IF(AND($C20=62,$U20=1),1,0)</f>
        <v/>
      </c>
      <c r="WL21">
        <f>WL20+IF(AND($C20=63,$U20=1),1,0)</f>
        <v/>
      </c>
      <c r="WM21">
        <f>WM20+IF(AND($C20=64,$U20=1),1,0)</f>
        <v/>
      </c>
      <c r="WN21">
        <f>WN20+IF(AND($C20=65,$U20=1),1,0)</f>
        <v/>
      </c>
      <c r="WO21">
        <f>WO20+IF(AND($C20=66,$U20=1),1,0)</f>
        <v/>
      </c>
      <c r="WP21">
        <f>WP20+IF(AND($C20=67,$U20=1),1,0)</f>
        <v/>
      </c>
      <c r="WQ21">
        <f>WQ20+IF(AND($C20=68,$U20=1),1,0)</f>
        <v/>
      </c>
      <c r="WR21">
        <f>WR20+IF(AND($C20=69,$U20=1),1,0)</f>
        <v/>
      </c>
      <c r="WS21">
        <f>WS20+IF(AND($C20=70,$U20=1),1,0)</f>
        <v/>
      </c>
      <c r="WT21">
        <f>WT20+IF(AND($C20=71,$U20=1),1,0)</f>
        <v/>
      </c>
      <c r="WU21">
        <f>WU20+IF(AND($C20=72,$U20=1),1,0)</f>
        <v/>
      </c>
      <c r="WV21">
        <f>WV20+IF(AND($C20=73,$U20=1),1,0)</f>
        <v/>
      </c>
      <c r="WW21">
        <f>WW20+IF(AND($C20=74,$U20=1),1,0)</f>
        <v/>
      </c>
      <c r="WX21">
        <f>WX20+IF(AND($C20=75,$U20=1),1,0)</f>
        <v/>
      </c>
      <c r="WY21">
        <f>WY20+IF(AND($C20=76,$U20=1),1,0)</f>
        <v/>
      </c>
      <c r="WZ21">
        <f>WZ20+IF(AND($C20=77,$U20=1),1,0)</f>
        <v/>
      </c>
      <c r="XA21">
        <f>XA20+IF(AND($C20=78,$U20=1),1,0)</f>
        <v/>
      </c>
      <c r="XB21">
        <f>XB20+IF(AND($C20=79,$U20=1),1,0)</f>
        <v/>
      </c>
      <c r="XC21">
        <f>XC20+IF(AND($C20=80,$U20=1),1,0)</f>
        <v/>
      </c>
      <c r="XD21">
        <f>XD20+IF(AND($C20=81,$U20=1),1,0)</f>
        <v/>
      </c>
      <c r="XE21">
        <f>XE20+IF(AND($C20=82,$U20=1),1,0)</f>
        <v/>
      </c>
      <c r="XF21">
        <f>XF20+IF(AND($C20=83,$U20=1),1,0)</f>
        <v/>
      </c>
      <c r="XG21">
        <f>XG20+IF(AND($C20=84,$U20=1),1,0)</f>
        <v/>
      </c>
      <c r="XH21">
        <f>XH20+IF(AND($C20=85,$U20=1),1,0)</f>
        <v/>
      </c>
      <c r="XI21">
        <f>XI20+IF(AND($C20=86,$U20=1),1,0)</f>
        <v/>
      </c>
      <c r="XJ21">
        <f>XJ20+IF(AND($C20=87,$U20=1),1,0)</f>
        <v/>
      </c>
      <c r="XK21">
        <f>XK20+IF(AND($C20=88,$U20=1),1,0)</f>
        <v/>
      </c>
      <c r="XL21">
        <f>XL20+IF(AND($C20=89,$U20=1),1,0)</f>
        <v/>
      </c>
      <c r="XM21">
        <f>XM20+IF(AND($C20=90,$U20=1),1,0)</f>
        <v/>
      </c>
      <c r="XN21">
        <f>XN20+IF(AND($C20=91,$U20=1),1,0)</f>
        <v/>
      </c>
      <c r="XO21">
        <f>XO20+IF(AND($C20=92,$U20=1),1,0)</f>
        <v/>
      </c>
      <c r="XP21">
        <f>XP20+IF(AND($C20=93,$U20=1),1,0)</f>
        <v/>
      </c>
      <c r="XQ21">
        <f>XQ20+IF(AND($C20=94,$U20=1),1,0)</f>
        <v/>
      </c>
      <c r="XR21">
        <f>XR20+IF(AND($C20=95,$U20=1),1,0)</f>
        <v/>
      </c>
      <c r="XS21">
        <f>XS20+IF(AND($C20=96,$U20=1),1,0)</f>
        <v/>
      </c>
      <c r="XT21">
        <f>XT20+IF(AND($C20=97,$U20=1),1,0)</f>
        <v/>
      </c>
      <c r="XU21">
        <f>XU20+IF(AND($C20=98,$U20=1),1,0)</f>
        <v/>
      </c>
      <c r="XV21">
        <f>XV20+IF(AND($C20=99,$U20=1),1,0)</f>
        <v/>
      </c>
      <c r="XW21">
        <f>XW20+IF(AND($C20=100,$U20=1),1,0)</f>
        <v/>
      </c>
      <c r="XX21">
        <f>XX20+IF(AND($C20=101,$U20=1),1,0)</f>
        <v/>
      </c>
      <c r="XY21">
        <f>XY20+IF(AND($C20=102,$U20=1),1,0)</f>
        <v/>
      </c>
      <c r="XZ21">
        <f>XZ20+IF(AND($C20=103,$U20=1),1,0)</f>
        <v/>
      </c>
      <c r="YA21">
        <f>YA20+IF(AND($C20=104,$U20=1),1,0)</f>
        <v/>
      </c>
      <c r="YB21">
        <f>YB20+IF(AND($C20=105,$U20=1),1,0)</f>
        <v/>
      </c>
      <c r="YC21">
        <f>YC20+IF(AND($C20=106,$U20=1),1,0)</f>
        <v/>
      </c>
      <c r="YD21">
        <f>YD20+IF(AND($C20=107,$U20=1),1,0)</f>
        <v/>
      </c>
      <c r="YE21">
        <f>YE20+IF(AND($C20=108,$U20=1),1,0)</f>
        <v/>
      </c>
      <c r="YF21">
        <f>YF20+IF(AND($C20=109,$U20=1),1,0)</f>
        <v/>
      </c>
      <c r="YG21">
        <f>YG20+IF(AND($C20=110,$U20=1),1,0)</f>
        <v/>
      </c>
      <c r="YH21">
        <f>YH20+IF(AND($C20=111,$U20=1),1,0)</f>
        <v/>
      </c>
      <c r="YI21">
        <f>YI20+IF(AND($C20=112,$U20=1),1,0)</f>
        <v/>
      </c>
      <c r="YJ21">
        <f>YJ20+IF(AND($C20=113,$U20=1),1,0)</f>
        <v/>
      </c>
      <c r="YK21">
        <f>YK20+IF(AND($C20=114,$U20=1),1,0)</f>
        <v/>
      </c>
      <c r="YL21">
        <f>YL20+IF(AND($C20=115,$U20=1),1,0)</f>
        <v/>
      </c>
      <c r="YM21">
        <f>YM20+IF(AND($C20=116,$U20=1),1,0)</f>
        <v/>
      </c>
      <c r="YN21">
        <f>YN20+IF(AND($C20=117,$U20=1),1,0)</f>
        <v/>
      </c>
      <c r="YO21">
        <f>YO20+IF(AND($C20=118,$U20=1),1,0)</f>
        <v/>
      </c>
      <c r="YP21">
        <f>YP20+IF(AND($C20=119,$U20=1),1,0)</f>
        <v/>
      </c>
      <c r="YQ21">
        <f>YQ20+IF(AND($C20=120,$U20=1),1,0)</f>
        <v/>
      </c>
      <c r="YR21">
        <f>YR20+IF(AND($C20=121,$U20=1),1,0)</f>
        <v/>
      </c>
      <c r="YS21">
        <f>YS20+IF(AND($C20=122,$U20=1),1,0)</f>
        <v/>
      </c>
      <c r="YT21">
        <f>YT20+IF(AND($C20=123,$U20=1),1,0)</f>
        <v/>
      </c>
      <c r="YU21">
        <f>YU20+IF(AND($C20=124,$U20=1),1,0)</f>
        <v/>
      </c>
      <c r="YV21">
        <f>YV20+IF(AND($C20=125,$U20=1),1,0)</f>
        <v/>
      </c>
      <c r="YW21">
        <f>YW20+IF(AND($C20=126,$U20=1),1,0)</f>
        <v/>
      </c>
      <c r="YX21">
        <f>YX20+IF(AND($C20=127,$U20=1),1,0)</f>
        <v/>
      </c>
      <c r="YY21">
        <f>YY20+IF(AND($C20=128,$U20=1),1,0)</f>
        <v/>
      </c>
      <c r="YZ21">
        <f>YZ20+IF(AND($C20=129,$U20=1),1,0)</f>
        <v/>
      </c>
      <c r="ZA21">
        <f>ZA20+IF(AND($C20=130,$U20=1),1,0)</f>
        <v/>
      </c>
      <c r="ZB21">
        <f>ZB20+IF(AND($C20=131,$U20=1),1,0)</f>
        <v/>
      </c>
      <c r="ZC21">
        <f>ZC20+IF(AND($C20=132,$U20=1),1,0)</f>
        <v/>
      </c>
      <c r="ZD21">
        <f>ZD20+IF(AND($C20=133,$U20=1),1,0)</f>
        <v/>
      </c>
      <c r="ZE21">
        <f>ZE20+IF(AND($C20=134,$U20=1),1,0)</f>
        <v/>
      </c>
      <c r="ZF21">
        <f>ZF20+IF(AND($C20=135,$U20=1),1,0)</f>
        <v/>
      </c>
      <c r="ZG21">
        <f>ZG20+IF(AND($C20=136,$U20=1),1,0)</f>
        <v/>
      </c>
      <c r="ZH21">
        <f>ZH20+IF(AND($C20=137,$U20=1),1,0)</f>
        <v/>
      </c>
      <c r="ZI21">
        <f>ZI20+IF(AND($C20=138,$U20=1),1,0)</f>
        <v/>
      </c>
      <c r="ZJ21">
        <f>ZJ20+IF(AND($C20=139,$U20=1),1,0)</f>
        <v/>
      </c>
      <c r="ZK21">
        <f>ZK20+IF(AND($C20=140,$U20=1),1,0)</f>
        <v/>
      </c>
      <c r="ZL21">
        <f>ZL20+IF(AND($C20=141,$U20=1),1,0)</f>
        <v/>
      </c>
      <c r="ZM21">
        <f>ZM20+IF(AND($C20=142,$U20=1),1,0)</f>
        <v/>
      </c>
      <c r="ZN21">
        <f>ZN20+IF(AND($C20=143,$U20=1),1,0)</f>
        <v/>
      </c>
      <c r="ZO21">
        <f>ZO20+IF(AND($C20=144,$U20=1),1,0)</f>
        <v/>
      </c>
      <c r="ZQ21">
        <f>IF($C20=1,0,ZQ20+IF(AND($G20=1,$E20=1),1,0))</f>
        <v/>
      </c>
      <c r="ZR21">
        <f>IF($C20=2,0,ZR20+IF(AND($G20=2,$E20=1),1,0))</f>
        <v/>
      </c>
      <c r="ZS21">
        <f>IF($C20=3,0,ZS20+IF(AND($G20=3,$E20=1),1,0))</f>
        <v/>
      </c>
      <c r="ZT21">
        <f>IF($C20=4,0,ZT20+IF(AND($G20=4,$E20=1),1,0))</f>
        <v/>
      </c>
      <c r="ZU21">
        <f>IF($C20=5,0,ZU20+IF(AND($G20=5,$E20=1),1,0))</f>
        <v/>
      </c>
      <c r="ZV21">
        <f>IF($C20=6,0,ZV20+IF(AND($G20=6,$E20=1),1,0))</f>
        <v/>
      </c>
      <c r="ZW21">
        <f>IF($C20=7,0,ZW20+IF(AND($G20=7,$E20=1),1,0))</f>
        <v/>
      </c>
      <c r="ZX21">
        <f>IF($C20=8,0,ZX20+IF(AND($G20=8,$E20=1),1,0))</f>
        <v/>
      </c>
      <c r="ZY21">
        <f>IF($C20=9,0,ZY20+IF(AND($G20=9,$E20=1),1,0))</f>
        <v/>
      </c>
      <c r="ZZ21">
        <f>IF($C20=10,0,ZZ20+IF(AND($G20=10,$E20=1),1,0))</f>
        <v/>
      </c>
      <c r="AAA21">
        <f>IF($C20=11,0,AAA20+IF(AND($G20=11,$E20=1),1,0))</f>
        <v/>
      </c>
      <c r="AAB21">
        <f>IF($C20=12,0,AAB20+IF(AND($G20=12,$E20=1),1,0))</f>
        <v/>
      </c>
      <c r="AAC21">
        <f>IF($C20=13,0,AAC20+IF(AND($G20=13,$E20=1),1,0))</f>
        <v/>
      </c>
      <c r="AAD21">
        <f>IF($C20=14,0,AAD20+IF(AND($G20=14,$E20=1),1,0))</f>
        <v/>
      </c>
      <c r="AAE21">
        <f>IF($C20=15,0,AAE20+IF(AND($G20=15,$E20=1),1,0))</f>
        <v/>
      </c>
      <c r="AAF21">
        <f>IF($C20=16,0,AAF20+IF(AND($G20=16,$E20=1),1,0))</f>
        <v/>
      </c>
      <c r="AAG21">
        <f>IF($C20=17,0,AAG20+IF(AND($G20=17,$E20=1),1,0))</f>
        <v/>
      </c>
      <c r="AAH21">
        <f>IF($C20=18,0,AAH20+IF(AND($G20=18,$E20=1),1,0))</f>
        <v/>
      </c>
      <c r="AAI21">
        <f>IF($C20=19,0,AAI20+IF(AND($G20=19,$E20=1),1,0))</f>
        <v/>
      </c>
      <c r="AAJ21">
        <f>IF($C20=20,0,AAJ20+IF(AND($G20=20,$E20=1),1,0))</f>
        <v/>
      </c>
      <c r="AAK21">
        <f>IF($C20=21,0,AAK20+IF(AND($G20=21,$E20=1),1,0))</f>
        <v/>
      </c>
      <c r="AAL21">
        <f>IF($C20=22,0,AAL20+IF(AND($G20=22,$E20=1),1,0))</f>
        <v/>
      </c>
      <c r="AAM21">
        <f>IF($C20=23,0,AAM20+IF(AND($G20=23,$E20=1),1,0))</f>
        <v/>
      </c>
      <c r="AAN21">
        <f>IF($C20=24,0,AAN20+IF(AND($G20=24,$E20=1),1,0))</f>
        <v/>
      </c>
      <c r="AAO21">
        <f>IF($C20=25,0,AAO20+IF(AND($G20=25,$E20=1),1,0))</f>
        <v/>
      </c>
      <c r="AAP21">
        <f>IF($C20=26,0,AAP20+IF(AND($G20=26,$E20=1),1,0))</f>
        <v/>
      </c>
      <c r="AAQ21">
        <f>IF($C20=27,0,AAQ20+IF(AND($G20=27,$E20=1),1,0))</f>
        <v/>
      </c>
      <c r="AAR21">
        <f>IF($C20=28,0,AAR20+IF(AND($G20=28,$E20=1),1,0))</f>
        <v/>
      </c>
      <c r="AAS21">
        <f>IF($C20=29,0,AAS20+IF(AND($G20=29,$E20=1),1,0))</f>
        <v/>
      </c>
      <c r="AAT21">
        <f>IF($C20=30,0,AAT20+IF(AND($G20=30,$E20=1),1,0))</f>
        <v/>
      </c>
      <c r="AAU21">
        <f>IF($C20=31,0,AAU20+IF(AND($G20=31,$E20=1),1,0))</f>
        <v/>
      </c>
      <c r="AAV21">
        <f>IF($C20=32,0,AAV20+IF(AND($G20=32,$E20=1),1,0))</f>
        <v/>
      </c>
      <c r="AAW21">
        <f>IF($C20=33,0,AAW20+IF(AND($G20=33,$E20=1),1,0))</f>
        <v/>
      </c>
      <c r="AAX21">
        <f>IF($C20=34,0,AAX20+IF(AND($G20=34,$E20=1),1,0))</f>
        <v/>
      </c>
      <c r="AAY21">
        <f>IF($C20=35,0,AAY20+IF(AND($G20=35,$E20=1),1,0))</f>
        <v/>
      </c>
      <c r="AAZ21">
        <f>IF($C20=36,0,AAZ20+IF(AND($G20=36,$E20=1),1,0))</f>
        <v/>
      </c>
      <c r="ABA21">
        <f>IF($C20=37,0,ABA20+IF(AND($G20=37,$E20=1),1,0))</f>
        <v/>
      </c>
      <c r="ABB21">
        <f>IF($C20=38,0,ABB20+IF(AND($G20=38,$E20=1),1,0))</f>
        <v/>
      </c>
      <c r="ABC21">
        <f>IF($C20=39,0,ABC20+IF(AND($G20=39,$E20=1),1,0))</f>
        <v/>
      </c>
      <c r="ABD21">
        <f>IF($C20=40,0,ABD20+IF(AND($G20=40,$E20=1),1,0))</f>
        <v/>
      </c>
      <c r="ABE21">
        <f>IF($C20=41,0,ABE20+IF(AND($G20=41,$E20=1),1,0))</f>
        <v/>
      </c>
      <c r="ABF21">
        <f>IF($C20=42,0,ABF20+IF(AND($G20=42,$E20=1),1,0))</f>
        <v/>
      </c>
      <c r="ABG21">
        <f>IF($C20=43,0,ABG20+IF(AND($G20=43,$E20=1),1,0))</f>
        <v/>
      </c>
      <c r="ABH21">
        <f>IF($C20=44,0,ABH20+IF(AND($G20=44,$E20=1),1,0))</f>
        <v/>
      </c>
      <c r="ABI21">
        <f>IF($C20=45,0,ABI20+IF(AND($G20=45,$E20=1),1,0))</f>
        <v/>
      </c>
      <c r="ABJ21">
        <f>IF($C20=46,0,ABJ20+IF(AND($G20=46,$E20=1),1,0))</f>
        <v/>
      </c>
      <c r="ABK21">
        <f>IF($C20=47,0,ABK20+IF(AND($G20=47,$E20=1),1,0))</f>
        <v/>
      </c>
      <c r="ABL21">
        <f>IF($C20=48,0,ABL20+IF(AND($G20=48,$E20=1),1,0))</f>
        <v/>
      </c>
      <c r="ABM21">
        <f>IF($C20=49,0,ABM20+IF(AND($G20=49,$E20=1),1,0))</f>
        <v/>
      </c>
      <c r="ABN21">
        <f>IF($C20=50,0,ABN20+IF(AND($G20=50,$E20=1),1,0))</f>
        <v/>
      </c>
      <c r="ABO21">
        <f>IF($C20=51,0,ABO20+IF(AND($G20=51,$E20=1),1,0))</f>
        <v/>
      </c>
      <c r="ABP21">
        <f>IF($C20=52,0,ABP20+IF(AND($G20=52,$E20=1),1,0))</f>
        <v/>
      </c>
      <c r="ABQ21">
        <f>IF($C20=53,0,ABQ20+IF(AND($G20=53,$E20=1),1,0))</f>
        <v/>
      </c>
      <c r="ABR21">
        <f>IF($C20=54,0,ABR20+IF(AND($G20=54,$E20=1),1,0))</f>
        <v/>
      </c>
      <c r="ABS21">
        <f>IF($C20=55,0,ABS20+IF(AND($G20=55,$E20=1),1,0))</f>
        <v/>
      </c>
      <c r="ABT21">
        <f>IF($C20=56,0,ABT20+IF(AND($G20=56,$E20=1),1,0))</f>
        <v/>
      </c>
      <c r="ABU21">
        <f>IF($C20=57,0,ABU20+IF(AND($G20=57,$E20=1),1,0))</f>
        <v/>
      </c>
      <c r="ABV21">
        <f>IF($C20=58,0,ABV20+IF(AND($G20=58,$E20=1),1,0))</f>
        <v/>
      </c>
      <c r="ABW21">
        <f>IF($C20=59,0,ABW20+IF(AND($G20=59,$E20=1),1,0))</f>
        <v/>
      </c>
      <c r="ABX21">
        <f>IF($C20=60,0,ABX20+IF(AND($G20=60,$E20=1),1,0))</f>
        <v/>
      </c>
      <c r="ABY21">
        <f>IF($C20=61,0,ABY20+IF(AND($G20=61,$E20=1),1,0))</f>
        <v/>
      </c>
      <c r="ABZ21">
        <f>IF($C20=62,0,ABZ20+IF(AND($G20=62,$E20=1),1,0))</f>
        <v/>
      </c>
      <c r="ACA21">
        <f>IF($C20=63,0,ACA20+IF(AND($G20=63,$E20=1),1,0))</f>
        <v/>
      </c>
      <c r="ACB21">
        <f>IF($C20=64,0,ACB20+IF(AND($G20=64,$E20=1),1,0))</f>
        <v/>
      </c>
      <c r="ACC21">
        <f>IF($C20=65,0,ACC20+IF(AND($G20=65,$E20=1),1,0))</f>
        <v/>
      </c>
      <c r="ACD21">
        <f>IF($C20=66,0,ACD20+IF(AND($G20=66,$E20=1),1,0))</f>
        <v/>
      </c>
      <c r="ACE21">
        <f>IF($C20=67,0,ACE20+IF(AND($G20=67,$E20=1),1,0))</f>
        <v/>
      </c>
      <c r="ACF21">
        <f>IF($C20=68,0,ACF20+IF(AND($G20=68,$E20=1),1,0))</f>
        <v/>
      </c>
      <c r="ACG21">
        <f>IF($C20=69,0,ACG20+IF(AND($G20=69,$E20=1),1,0))</f>
        <v/>
      </c>
      <c r="ACH21">
        <f>IF($C20=70,0,ACH20+IF(AND($G20=70,$E20=1),1,0))</f>
        <v/>
      </c>
      <c r="ACI21">
        <f>IF($C20=71,0,ACI20+IF(AND($G20=71,$E20=1),1,0))</f>
        <v/>
      </c>
      <c r="ACJ21">
        <f>IF($C20=72,0,ACJ20+IF(AND($G20=72,$E20=1),1,0))</f>
        <v/>
      </c>
      <c r="ACK21">
        <f>IF($C20=73,0,ACK20+IF(AND($G20=73,$E20=1),1,0))</f>
        <v/>
      </c>
      <c r="ACL21">
        <f>IF($C20=74,0,ACL20+IF(AND($G20=74,$E20=1),1,0))</f>
        <v/>
      </c>
      <c r="ACM21">
        <f>IF($C20=75,0,ACM20+IF(AND($G20=75,$E20=1),1,0))</f>
        <v/>
      </c>
      <c r="ACN21">
        <f>IF($C20=76,0,ACN20+IF(AND($G20=76,$E20=1),1,0))</f>
        <v/>
      </c>
      <c r="ACO21">
        <f>IF($C20=77,0,ACO20+IF(AND($G20=77,$E20=1),1,0))</f>
        <v/>
      </c>
      <c r="ACP21">
        <f>IF($C20=78,0,ACP20+IF(AND($G20=78,$E20=1),1,0))</f>
        <v/>
      </c>
      <c r="ACQ21">
        <f>IF($C20=79,0,ACQ20+IF(AND($G20=79,$E20=1),1,0))</f>
        <v/>
      </c>
      <c r="ACR21">
        <f>IF($C20=80,0,ACR20+IF(AND($G20=80,$E20=1),1,0))</f>
        <v/>
      </c>
      <c r="ACS21">
        <f>IF($C20=81,0,ACS20+IF(AND($G20=81,$E20=1),1,0))</f>
        <v/>
      </c>
      <c r="ACT21">
        <f>IF($C20=82,0,ACT20+IF(AND($G20=82,$E20=1),1,0))</f>
        <v/>
      </c>
      <c r="ACU21">
        <f>IF($C20=83,0,ACU20+IF(AND($G20=83,$E20=1),1,0))</f>
        <v/>
      </c>
      <c r="ACV21">
        <f>IF($C20=84,0,ACV20+IF(AND($G20=84,$E20=1),1,0))</f>
        <v/>
      </c>
      <c r="ACW21">
        <f>IF($C20=85,0,ACW20+IF(AND($G20=85,$E20=1),1,0))</f>
        <v/>
      </c>
      <c r="ACX21">
        <f>IF($C20=86,0,ACX20+IF(AND($G20=86,$E20=1),1,0))</f>
        <v/>
      </c>
      <c r="ACY21">
        <f>IF($C20=87,0,ACY20+IF(AND($G20=87,$E20=1),1,0))</f>
        <v/>
      </c>
      <c r="ACZ21">
        <f>IF($C20=88,0,ACZ20+IF(AND($G20=88,$E20=1),1,0))</f>
        <v/>
      </c>
      <c r="ADA21">
        <f>IF($C20=89,0,ADA20+IF(AND($G20=89,$E20=1),1,0))</f>
        <v/>
      </c>
      <c r="ADB21">
        <f>IF($C20=90,0,ADB20+IF(AND($G20=90,$E20=1),1,0))</f>
        <v/>
      </c>
      <c r="ADC21">
        <f>IF($C20=91,0,ADC20+IF(AND($G20=91,$E20=1),1,0))</f>
        <v/>
      </c>
      <c r="ADD21">
        <f>IF($C20=92,0,ADD20+IF(AND($G20=92,$E20=1),1,0))</f>
        <v/>
      </c>
      <c r="ADE21">
        <f>IF($C20=93,0,ADE20+IF(AND($G20=93,$E20=1),1,0))</f>
        <v/>
      </c>
      <c r="ADF21">
        <f>IF($C20=94,0,ADF20+IF(AND($G20=94,$E20=1),1,0))</f>
        <v/>
      </c>
      <c r="ADG21">
        <f>IF($C20=95,0,ADG20+IF(AND($G20=95,$E20=1),1,0))</f>
        <v/>
      </c>
      <c r="ADH21">
        <f>IF($C20=96,0,ADH20+IF(AND($G20=96,$E20=1),1,0))</f>
        <v/>
      </c>
      <c r="ADI21">
        <f>IF($C20=97,0,ADI20+IF(AND($G20=97,$E20=1),1,0))</f>
        <v/>
      </c>
      <c r="ADJ21">
        <f>IF($C20=98,0,ADJ20+IF(AND($G20=98,$E20=1),1,0))</f>
        <v/>
      </c>
      <c r="ADK21">
        <f>IF($C20=99,0,ADK20+IF(AND($G20=99,$E20=1),1,0))</f>
        <v/>
      </c>
      <c r="ADL21">
        <f>IF($C20=100,0,ADL20+IF(AND($G20=100,$E20=1),1,0))</f>
        <v/>
      </c>
      <c r="ADM21">
        <f>IF($C20=101,0,ADM20+IF(AND($G20=101,$E20=1),1,0))</f>
        <v/>
      </c>
      <c r="ADN21">
        <f>IF($C20=102,0,ADN20+IF(AND($G20=102,$E20=1),1,0))</f>
        <v/>
      </c>
      <c r="ADO21">
        <f>IF($C20=103,0,ADO20+IF(AND($G20=103,$E20=1),1,0))</f>
        <v/>
      </c>
      <c r="ADP21">
        <f>IF($C20=104,0,ADP20+IF(AND($G20=104,$E20=1),1,0))</f>
        <v/>
      </c>
      <c r="ADQ21">
        <f>IF($C20=105,0,ADQ20+IF(AND($G20=105,$E20=1),1,0))</f>
        <v/>
      </c>
      <c r="ADR21">
        <f>IF($C20=106,0,ADR20+IF(AND($G20=106,$E20=1),1,0))</f>
        <v/>
      </c>
      <c r="ADS21">
        <f>IF($C20=107,0,ADS20+IF(AND($G20=107,$E20=1),1,0))</f>
        <v/>
      </c>
      <c r="ADT21">
        <f>IF($C20=108,0,ADT20+IF(AND($G20=108,$E20=1),1,0))</f>
        <v/>
      </c>
      <c r="ADU21">
        <f>IF($C20=109,0,ADU20+IF(AND($G20=109,$E20=1),1,0))</f>
        <v/>
      </c>
      <c r="ADV21">
        <f>IF($C20=110,0,ADV20+IF(AND($G20=110,$E20=1),1,0))</f>
        <v/>
      </c>
      <c r="ADW21">
        <f>IF($C20=111,0,ADW20+IF(AND($G20=111,$E20=1),1,0))</f>
        <v/>
      </c>
      <c r="ADX21">
        <f>IF($C20=112,0,ADX20+IF(AND($G20=112,$E20=1),1,0))</f>
        <v/>
      </c>
      <c r="ADY21">
        <f>IF($C20=113,0,ADY20+IF(AND($G20=113,$E20=1),1,0))</f>
        <v/>
      </c>
      <c r="ADZ21">
        <f>IF($C20=114,0,ADZ20+IF(AND($G20=114,$E20=1),1,0))</f>
        <v/>
      </c>
      <c r="AEA21">
        <f>IF($C20=115,0,AEA20+IF(AND($G20=115,$E20=1),1,0))</f>
        <v/>
      </c>
      <c r="AEB21">
        <f>IF($C20=116,0,AEB20+IF(AND($G20=116,$E20=1),1,0))</f>
        <v/>
      </c>
      <c r="AEC21">
        <f>IF($C20=117,0,AEC20+IF(AND($G20=117,$E20=1),1,0))</f>
        <v/>
      </c>
      <c r="AED21">
        <f>IF($C20=118,0,AED20+IF(AND($G20=118,$E20=1),1,0))</f>
        <v/>
      </c>
      <c r="AEE21">
        <f>IF($C20=119,0,AEE20+IF(AND($G20=119,$E20=1),1,0))</f>
        <v/>
      </c>
      <c r="AEF21">
        <f>IF($C20=120,0,AEF20+IF(AND($G20=120,$E20=1),1,0))</f>
        <v/>
      </c>
      <c r="AEG21">
        <f>IF($C20=121,0,AEG20+IF(AND($G20=121,$E20=1),1,0))</f>
        <v/>
      </c>
      <c r="AEH21">
        <f>IF($C20=122,0,AEH20+IF(AND($G20=122,$E20=1),1,0))</f>
        <v/>
      </c>
      <c r="AEI21">
        <f>IF($C20=123,0,AEI20+IF(AND($G20=123,$E20=1),1,0))</f>
        <v/>
      </c>
      <c r="AEJ21">
        <f>IF($C20=124,0,AEJ20+IF(AND($G20=124,$E20=1),1,0))</f>
        <v/>
      </c>
      <c r="AEK21">
        <f>IF($C20=125,0,AEK20+IF(AND($G20=125,$E20=1),1,0))</f>
        <v/>
      </c>
      <c r="AEL21">
        <f>IF($C20=126,0,AEL20+IF(AND($G20=126,$E20=1),1,0))</f>
        <v/>
      </c>
      <c r="AEM21">
        <f>IF($C20=127,0,AEM20+IF(AND($G20=127,$E20=1),1,0))</f>
        <v/>
      </c>
      <c r="AEN21">
        <f>IF($C20=128,0,AEN20+IF(AND($G20=128,$E20=1),1,0))</f>
        <v/>
      </c>
      <c r="AEO21">
        <f>IF($C20=129,0,AEO20+IF(AND($G20=129,$E20=1),1,0))</f>
        <v/>
      </c>
      <c r="AEP21">
        <f>IF($C20=130,0,AEP20+IF(AND($G20=130,$E20=1),1,0))</f>
        <v/>
      </c>
      <c r="AEQ21">
        <f>IF($C20=131,0,AEQ20+IF(AND($G20=131,$E20=1),1,0))</f>
        <v/>
      </c>
      <c r="AER21">
        <f>IF($C20=132,0,AER20+IF(AND($G20=132,$E20=1),1,0))</f>
        <v/>
      </c>
      <c r="AES21">
        <f>IF($C20=133,0,AES20+IF(AND($G20=133,$E20=1),1,0))</f>
        <v/>
      </c>
      <c r="AET21">
        <f>IF($C20=134,0,AET20+IF(AND($G20=134,$E20=1),1,0))</f>
        <v/>
      </c>
      <c r="AEU21">
        <f>IF($C20=135,0,AEU20+IF(AND($G20=135,$E20=1),1,0))</f>
        <v/>
      </c>
      <c r="AEV21">
        <f>IF($C20=136,0,AEV20+IF(AND($G20=136,$E20=1),1,0))</f>
        <v/>
      </c>
      <c r="AEW21">
        <f>IF($C20=137,0,AEW20+IF(AND($G20=137,$E20=1),1,0))</f>
        <v/>
      </c>
      <c r="AEX21">
        <f>IF($C20=138,0,AEX20+IF(AND($G20=138,$E20=1),1,0))</f>
        <v/>
      </c>
      <c r="AEY21">
        <f>IF($C20=139,0,AEY20+IF(AND($G20=139,$E20=1),1,0))</f>
        <v/>
      </c>
      <c r="AEZ21">
        <f>IF($C20=140,0,AEZ20+IF(AND($G20=140,$E20=1),1,0))</f>
        <v/>
      </c>
      <c r="AFA21">
        <f>IF($C20=141,0,AFA20+IF(AND($G20=141,$E20=1),1,0))</f>
        <v/>
      </c>
      <c r="AFB21">
        <f>IF($C20=142,0,AFB20+IF(AND($G20=142,$E20=1),1,0))</f>
        <v/>
      </c>
      <c r="AFC21">
        <f>IF($C20=143,0,AFC20+IF(AND($G20=143,$E20=1),1,0))</f>
        <v/>
      </c>
      <c r="AFD21">
        <f>IF($C20=144,0,AFD20+IF(AND($G20=144,$E20=1),1,0))</f>
        <v/>
      </c>
      <c r="AFF21">
        <f>IF('calcA'!D$106=1,DC21+ZR21,1)</f>
        <v/>
      </c>
      <c r="AFG21">
        <f>IF('calcA'!E$106=1,DD21+ZS21,1)</f>
        <v/>
      </c>
      <c r="AFH21">
        <f>IF('calcA'!F$106=1,DE21+ZT21,1)</f>
        <v/>
      </c>
      <c r="AFI21">
        <f>IF('calcA'!G$106=1,DF21+ZU21,1)</f>
        <v/>
      </c>
      <c r="AFJ21">
        <f>IF('calcA'!H$106=1,DG21+ZV21,1)</f>
        <v/>
      </c>
      <c r="AFK21">
        <f>IF('calcA'!I$106=1,DH21+ZW21,1)</f>
        <v/>
      </c>
      <c r="AFL21">
        <f>IF('calcA'!J$106=1,DI21+ZX21,1)</f>
        <v/>
      </c>
      <c r="AFM21">
        <f>IF('calcA'!K$106=1,DJ21+ZY21,1)</f>
        <v/>
      </c>
      <c r="AFN21">
        <f>IF('calcA'!L$106=1,DK21+ZZ21,1)</f>
        <v/>
      </c>
      <c r="AFO21">
        <f>IF('calcA'!M$106=1,DL21+AAA21,1)</f>
        <v/>
      </c>
      <c r="AFP21">
        <f>IF('calcA'!N$106=1,DM21+AAB21,1)</f>
        <v/>
      </c>
      <c r="AFQ21">
        <f>IF('calcA'!O$106=1,DN21+AAC21,1)</f>
        <v/>
      </c>
      <c r="AFR21">
        <f>IF('calcA'!P$106=1,DO21+AAD21,1)</f>
        <v/>
      </c>
      <c r="AFS21">
        <f>IF('calcA'!Q$106=1,DP21+AAE21,1)</f>
        <v/>
      </c>
      <c r="AFT21">
        <f>IF('calcA'!R$106=1,DQ21+AAF21,1)</f>
        <v/>
      </c>
      <c r="AFU21">
        <f>IF('calcA'!S$106=1,DR21+AAG21,1)</f>
        <v/>
      </c>
      <c r="AFV21">
        <f>IF('calcA'!T$106=1,DS21+AAH21,1)</f>
        <v/>
      </c>
      <c r="AFW21">
        <f>IF('calcA'!U$106=1,DT21+AAI21,1)</f>
        <v/>
      </c>
      <c r="AFX21">
        <f>IF('calcA'!V$106=1,DU21+AAJ21,1)</f>
        <v/>
      </c>
      <c r="AFY21">
        <f>IF('calcA'!W$106=1,DV21+AAK21,1)</f>
        <v/>
      </c>
      <c r="AFZ21">
        <f>IF('calcA'!X$106=1,DW21+AAL21,1)</f>
        <v/>
      </c>
      <c r="AGA21">
        <f>IF('calcA'!Y$106=1,DX21+AAM21,1)</f>
        <v/>
      </c>
      <c r="AGB21">
        <f>IF('calcA'!Z$106=1,DY21+AAN21,1)</f>
        <v/>
      </c>
      <c r="AGC21">
        <f>IF('calcA'!AA$106=1,DZ21+AAO21,1)</f>
        <v/>
      </c>
      <c r="AGD21">
        <f>IF('calcA'!AB$106=1,EA21+AAP21,1)</f>
        <v/>
      </c>
      <c r="AGE21">
        <f>IF('calcA'!AC$106=1,EB21+AAQ21,1)</f>
        <v/>
      </c>
      <c r="AGF21">
        <f>IF('calcA'!AD$106=1,EC21+AAR21,1)</f>
        <v/>
      </c>
      <c r="AGG21">
        <f>IF('calcA'!AE$106=1,ED21+AAS21,1)</f>
        <v/>
      </c>
      <c r="AGH21">
        <f>IF('calcA'!AF$106=1,EE21+AAT21,1)</f>
        <v/>
      </c>
      <c r="AGI21">
        <f>IF('calcA'!AG$106=1,EF21+AAU21,1)</f>
        <v/>
      </c>
      <c r="AGJ21">
        <f>IF('calcA'!AH$106=1,EG21+AAV21,1)</f>
        <v/>
      </c>
      <c r="AGK21">
        <f>IF('calcA'!AI$106=1,EH21+AAW21,1)</f>
        <v/>
      </c>
      <c r="AGL21">
        <f>IF('calcA'!AJ$106=1,EI21+AAX21,1)</f>
        <v/>
      </c>
      <c r="AGM21">
        <f>IF('calcA'!AK$106=1,EJ21+AAY21,1)</f>
        <v/>
      </c>
      <c r="AGN21">
        <f>IF('calcA'!AL$106=1,EK21+AAZ21,1)</f>
        <v/>
      </c>
      <c r="AGO21">
        <f>IF('calcA'!AM$106=1,EL21+ABA21,1)</f>
        <v/>
      </c>
      <c r="AGP21">
        <f>IF('calcA'!AN$106=1,EM21+ABB21,1)</f>
        <v/>
      </c>
      <c r="AGQ21">
        <f>IF('calcA'!AO$106=1,EN21+ABC21,1)</f>
        <v/>
      </c>
      <c r="AGR21">
        <f>IF('calcA'!AP$106=1,EO21+ABD21,1)</f>
        <v/>
      </c>
      <c r="AGS21">
        <f>IF('calcA'!AQ$106=1,EP21+ABE21,1)</f>
        <v/>
      </c>
      <c r="AGT21">
        <f>IF('calcA'!AR$106=1,EQ21+ABF21,1)</f>
        <v/>
      </c>
      <c r="AGU21">
        <f>IF('calcA'!AS$106=1,ER21+ABG21,1)</f>
        <v/>
      </c>
      <c r="AGV21">
        <f>IF('calcA'!AT$106=1,ES21+ABH21,1)</f>
        <v/>
      </c>
      <c r="AGW21">
        <f>IF('calcA'!AU$106=1,ET21+ABI21,1)</f>
        <v/>
      </c>
      <c r="AGX21">
        <f>IF('calcA'!AV$106=1,EU21+ABJ21,1)</f>
        <v/>
      </c>
      <c r="AGY21">
        <f>IF('calcA'!AW$106=1,EV21+ABK21,1)</f>
        <v/>
      </c>
      <c r="AGZ21">
        <f>IF('calcA'!AX$106=1,EW21+ABL21,1)</f>
        <v/>
      </c>
      <c r="AHA21">
        <f>IF('calcA'!AY$106=1,EX21+ABM21,1)</f>
        <v/>
      </c>
      <c r="AHB21">
        <f>IF('calcA'!AZ$106=1,EY21+ABN21,1)</f>
        <v/>
      </c>
      <c r="AHC21">
        <f>IF('calcA'!BA$106=1,EZ21+ABO21,1)</f>
        <v/>
      </c>
      <c r="AHD21">
        <f>IF('calcA'!BB$106=1,FA21+ABP21,1)</f>
        <v/>
      </c>
      <c r="AHE21">
        <f>IF('calcA'!BC$106=1,FB21+ABQ21,1)</f>
        <v/>
      </c>
      <c r="AHF21">
        <f>IF('calcA'!BD$106=1,FC21+ABR21,1)</f>
        <v/>
      </c>
      <c r="AHG21">
        <f>IF('calcA'!BE$106=1,FD21+ABS21,1)</f>
        <v/>
      </c>
      <c r="AHH21">
        <f>IF('calcA'!BF$106=1,FE21+ABT21,1)</f>
        <v/>
      </c>
      <c r="AHI21">
        <f>IF('calcA'!BG$106=1,FF21+ABU21,1)</f>
        <v/>
      </c>
      <c r="AHJ21">
        <f>IF('calcA'!BH$106=1,FG21+ABV21,1)</f>
        <v/>
      </c>
      <c r="AHK21">
        <f>IF('calcA'!BI$106=1,FH21+ABW21,1)</f>
        <v/>
      </c>
      <c r="AHL21">
        <f>IF('calcA'!BJ$106=1,FI21+ABX21,1)</f>
        <v/>
      </c>
      <c r="AHM21">
        <f>IF('calcA'!BK$106=1,FJ21+ABY21,1)</f>
        <v/>
      </c>
      <c r="AHN21">
        <f>IF('calcA'!BL$106=1,FK21+ABZ21,1)</f>
        <v/>
      </c>
      <c r="AHO21">
        <f>IF('calcA'!BM$106=1,FL21+ACA21,1)</f>
        <v/>
      </c>
      <c r="AHP21">
        <f>IF('calcA'!BN$106=1,FM21+ACB21,1)</f>
        <v/>
      </c>
      <c r="AHQ21">
        <f>IF('calcA'!BO$106=1,FN21+ACC21,1)</f>
        <v/>
      </c>
      <c r="AHR21">
        <f>IF('calcA'!BP$106=1,FO21+ACD21,1)</f>
        <v/>
      </c>
      <c r="AHS21">
        <f>IF('calcA'!BQ$106=1,FP21+ACE21,1)</f>
        <v/>
      </c>
      <c r="AHT21">
        <f>IF('calcA'!BR$106=1,FQ21+ACF21,1)</f>
        <v/>
      </c>
      <c r="AHU21">
        <f>IF('calcA'!BS$106=1,FR21+ACG21,1)</f>
        <v/>
      </c>
      <c r="AHV21">
        <f>IF('calcA'!BT$106=1,FS21+ACH21,1)</f>
        <v/>
      </c>
      <c r="AHW21">
        <f>IF('calcA'!BU$106=1,FT21+ACI21,1)</f>
        <v/>
      </c>
      <c r="AHX21">
        <f>IF('calcA'!BV$106=1,FU21+ACJ21,1)</f>
        <v/>
      </c>
      <c r="AHY21">
        <f>IF('calcA'!BW$106=1,FV21+ACK21,1)</f>
        <v/>
      </c>
      <c r="AHZ21">
        <f>IF('calcA'!BX$106=1,FW21+ACL21,1)</f>
        <v/>
      </c>
      <c r="AIA21">
        <f>IF('calcA'!BY$106=1,FX21+ACM21,1)</f>
        <v/>
      </c>
      <c r="AIB21">
        <f>IF('calcA'!BZ$106=1,FY21+ACN21,1)</f>
        <v/>
      </c>
      <c r="AIC21">
        <f>IF('calcA'!CA$106=1,FZ21+ACO21,1)</f>
        <v/>
      </c>
      <c r="AID21">
        <f>IF('calcA'!CB$106=1,GA21+ACP21,1)</f>
        <v/>
      </c>
      <c r="AIE21">
        <f>IF('calcA'!CC$106=1,GB21+ACQ21,1)</f>
        <v/>
      </c>
      <c r="AIF21">
        <f>IF('calcA'!CD$106=1,GC21+ACR21,1)</f>
        <v/>
      </c>
      <c r="AIG21">
        <f>IF('calcA'!CE$106=1,GD21+ACS21,1)</f>
        <v/>
      </c>
      <c r="AIH21">
        <f>IF('calcA'!CF$106=1,GE21+ACT21,1)</f>
        <v/>
      </c>
      <c r="AII21">
        <f>IF('calcA'!CG$106=1,GF21+ACU21,1)</f>
        <v/>
      </c>
      <c r="AIJ21">
        <f>IF('calcA'!CH$106=1,GG21+ACV21,1)</f>
        <v/>
      </c>
      <c r="AIK21">
        <f>IF('calcA'!CI$106=1,GH21+ACW21,1)</f>
        <v/>
      </c>
      <c r="AIL21">
        <f>IF('calcA'!CJ$106=1,GI21+ACX21,1)</f>
        <v/>
      </c>
      <c r="AIM21">
        <f>IF('calcA'!CK$106=1,GJ21+ACY21,1)</f>
        <v/>
      </c>
      <c r="AIN21">
        <f>IF('calcA'!CL$106=1,GK21+ACZ21,1)</f>
        <v/>
      </c>
      <c r="AIO21">
        <f>IF('calcA'!CM$106=1,GL21+ADA21,1)</f>
        <v/>
      </c>
      <c r="AIP21">
        <f>IF('calcA'!CN$106=1,GM21+ADB21,1)</f>
        <v/>
      </c>
      <c r="AIQ21">
        <f>IF('calcA'!CO$106=1,GN21+ADC21,1)</f>
        <v/>
      </c>
      <c r="AIR21">
        <f>IF('calcA'!CP$106=1,GO21+ADD21,1)</f>
        <v/>
      </c>
      <c r="AIS21">
        <f>IF('calcA'!CQ$106=1,GP21+ADE21,1)</f>
        <v/>
      </c>
      <c r="AIT21">
        <f>IF('calcA'!CR$106=1,GQ21+ADF21,1)</f>
        <v/>
      </c>
      <c r="AIU21">
        <f>IF('calcA'!CS$106=1,GR21+ADG21,1)</f>
        <v/>
      </c>
      <c r="AIV21">
        <f>IF('calcA'!CT$106=1,GS21+ADH21,1)</f>
        <v/>
      </c>
      <c r="AIW21">
        <f>IF('calcA'!CU$106=1,GT21+ADI21,1)</f>
        <v/>
      </c>
      <c r="AIX21">
        <f>IF('calcA'!CV$106=1,GU21+ADJ21,1)</f>
        <v/>
      </c>
      <c r="AIY21">
        <f>IF('calcA'!CW$106=1,GV21+ADK21,1)</f>
        <v/>
      </c>
      <c r="AIZ21">
        <f>IF('calcA'!CX$106=1,GW21+ADL21,1)</f>
        <v/>
      </c>
      <c r="AJA21">
        <f>IF('calcA'!CY$106=1,GX21+ADM21,1)</f>
        <v/>
      </c>
      <c r="AJB21">
        <f>IF('calcA'!CZ$106=1,GY21+ADN21,1)</f>
        <v/>
      </c>
      <c r="AJC21">
        <f>IF('calcA'!DA$106=1,GZ21+ADO21,1)</f>
        <v/>
      </c>
      <c r="AJD21">
        <f>IF('calcA'!DB$106=1,HA21+ADP21,1)</f>
        <v/>
      </c>
      <c r="AJE21">
        <f>IF('calcA'!DC$106=1,HB21+ADQ21,1)</f>
        <v/>
      </c>
      <c r="AJF21">
        <f>IF('calcA'!DD$106=1,HC21+ADR21,1)</f>
        <v/>
      </c>
      <c r="AJG21">
        <f>IF('calcA'!DE$106=1,HD21+ADS21,1)</f>
        <v/>
      </c>
      <c r="AJH21">
        <f>IF('calcA'!DF$106=1,HE21+ADT21,1)</f>
        <v/>
      </c>
      <c r="AJI21">
        <f>IF('calcA'!DG$106=1,HF21+ADU21,1)</f>
        <v/>
      </c>
      <c r="AJJ21">
        <f>IF('calcA'!DH$106=1,HG21+ADV21,1)</f>
        <v/>
      </c>
      <c r="AJK21">
        <f>IF('calcA'!DI$106=1,HH21+ADW21,1)</f>
        <v/>
      </c>
      <c r="AJL21">
        <f>IF('calcA'!DJ$106=1,HI21+ADX21,1)</f>
        <v/>
      </c>
      <c r="AJM21">
        <f>IF('calcA'!DK$106=1,HJ21+ADY21,1)</f>
        <v/>
      </c>
      <c r="AJN21">
        <f>IF('calcA'!DL$106=1,HK21+ADZ21,1)</f>
        <v/>
      </c>
      <c r="AJO21">
        <f>IF('calcA'!DM$106=1,HL21+AEA21,1)</f>
        <v/>
      </c>
      <c r="AJP21">
        <f>IF('calcA'!DN$106=1,HM21+AEB21,1)</f>
        <v/>
      </c>
      <c r="AJQ21">
        <f>IF('calcA'!DO$106=1,HN21+AEC21,1)</f>
        <v/>
      </c>
      <c r="AJR21">
        <f>IF('calcA'!DP$106=1,HO21+AED21,1)</f>
        <v/>
      </c>
      <c r="AJS21">
        <f>IF('calcA'!DQ$106=1,HP21+AEE21,1)</f>
        <v/>
      </c>
      <c r="AJT21">
        <f>IF('calcA'!DR$106=1,HQ21+AEF21,1)</f>
        <v/>
      </c>
      <c r="AJU21">
        <f>IF('calcA'!DS$106=1,HR21+AEG21,1)</f>
        <v/>
      </c>
      <c r="AJV21">
        <f>IF('calcA'!DT$106=1,HS21+AEH21,1)</f>
        <v/>
      </c>
      <c r="AJW21">
        <f>IF('calcA'!DU$106=1,HT21+AEI21,1)</f>
        <v/>
      </c>
      <c r="AJX21">
        <f>IF('calcA'!DV$106=1,HU21+AEJ21,1)</f>
        <v/>
      </c>
      <c r="AJY21">
        <f>IF('calcA'!DW$106=1,HV21+AEK21,1)</f>
        <v/>
      </c>
      <c r="AJZ21">
        <f>IF('calcA'!DX$106=1,HW21+AEL21,1)</f>
        <v/>
      </c>
      <c r="AKA21">
        <f>IF('calcA'!DY$106=1,HX21+AEM21,1)</f>
        <v/>
      </c>
      <c r="AKB21">
        <f>IF('calcA'!DZ$106=1,HY21+AEN21,1)</f>
        <v/>
      </c>
      <c r="AKC21">
        <f>IF('calcA'!EA$106=1,HZ21+AEO21,1)</f>
        <v/>
      </c>
      <c r="AKD21">
        <f>IF('calcA'!EB$106=1,IA21+AEP21,1)</f>
        <v/>
      </c>
      <c r="AKE21">
        <f>IF('calcA'!EC$106=1,IB21+AEQ21,1)</f>
        <v/>
      </c>
      <c r="AKF21">
        <f>IF('calcA'!ED$106=1,IC21+AER21,1)</f>
        <v/>
      </c>
      <c r="AKG21">
        <f>IF('calcA'!EE$106=1,ID21+AES21,1)</f>
        <v/>
      </c>
      <c r="AKH21">
        <f>IF('calcA'!EF$106=1,IE21+AET21,1)</f>
        <v/>
      </c>
      <c r="AKI21">
        <f>IF('calcA'!EG$106=1,IF21+AEU21,1)</f>
        <v/>
      </c>
      <c r="AKJ21">
        <f>IF('calcA'!EH$106=1,IG21+AEV21,1)</f>
        <v/>
      </c>
      <c r="AKK21">
        <f>IF('calcA'!EI$106=1,IH21+AEW21,1)</f>
        <v/>
      </c>
      <c r="AKL21">
        <f>IF('calcA'!EJ$106=1,II21+AEX21,1)</f>
        <v/>
      </c>
      <c r="AKM21">
        <f>IF('calcA'!EK$106=1,IJ21+AEY21,1)</f>
        <v/>
      </c>
      <c r="AKN21">
        <f>IF('calcA'!EL$106=1,IK21+AEZ21,1)</f>
        <v/>
      </c>
      <c r="AKO21">
        <f>IF('calcA'!EM$106=1,IL21+AFA21,1)</f>
        <v/>
      </c>
      <c r="AKP21">
        <f>IF('calcA'!EN$106=1,IM21+AFB21,1)</f>
        <v/>
      </c>
      <c r="AKQ21">
        <f>IF('calcA'!EO$106=1,IN21+AFC21,1)</f>
        <v/>
      </c>
      <c r="AKR21">
        <f>IF('calcA'!EP$106=1,IO21+AFD21,1)</f>
        <v/>
      </c>
      <c r="AKS21" t="n">
        <v>1</v>
      </c>
    </row>
    <row r="22">
      <c r="A22" t="n">
        <v>20</v>
      </c>
      <c r="B22">
        <f>IF(MIN(BM22:CZ22)&gt;=1000000000,0,MATCH(MIN(BM22:CZ22),BM22:CZ22,0))</f>
        <v/>
      </c>
      <c r="C22">
        <f>IF(MIN(OF22:TS22)&gt;=1000000000,0,MATCH(MIN(OF22:TS22),OF22:TS22,0))</f>
        <v/>
      </c>
      <c r="D22">
        <f>IF(C22&gt;0,INDEX('calcA'!$D$5:$EQ$5,C22),0)</f>
        <v/>
      </c>
      <c r="E22">
        <f>IF(B22=0,0,INDEX('calcA'!$IQ$10:$IQ$54,B22))</f>
        <v/>
      </c>
      <c r="F22">
        <f>IF(B22=0,0,INDEX('calcA'!$IP$10:$IP$54,B22))</f>
        <v/>
      </c>
      <c r="G22">
        <f>IF(AND(C22&gt;0,E22&gt;0),IF(AND(INDEX('calcA'!$D$106:$EQ$106,C22)=1,INDEX($IQ22:$OD22,C22)=1),C22+1,0),0)</f>
        <v/>
      </c>
      <c r="H22">
        <f>IF(B22=0,0,INDEX('calcA'!$IW$10:$IW$54,B22))</f>
        <v/>
      </c>
      <c r="U22">
        <f>IF(B22=0,0,INDEX('calcA'!$IX$10:$IX$54,B22))</f>
        <v/>
      </c>
      <c r="V22">
        <f>IF(B22=0,0,INDEX('calcA'!$JF$10:$JF$54,B22))</f>
        <v/>
      </c>
      <c r="W22">
        <f>IF(B22=0,0,IF(IF(E22=2,SUMPRODUCT(INDEX('calcA'!$D$60:$EQ$99,B22,0),$DB22:$IO22,$IQ22:$OD22),SUMPRODUCT(INDEX('calcA'!$D$60:$EQ$99,B22,0),$DB22:$IO22))=0,1,0))</f>
        <v/>
      </c>
      <c r="X22">
        <f>MAX(X21,IF($B21=1,1,0))</f>
        <v/>
      </c>
      <c r="Y22">
        <f>MAX(Y21,IF($B21=2,1,0))</f>
        <v/>
      </c>
      <c r="Z22">
        <f>MAX(Z21,IF($B21=3,1,0))</f>
        <v/>
      </c>
      <c r="AA22">
        <f>MAX(AA21,IF($B21=4,1,0))</f>
        <v/>
      </c>
      <c r="AB22">
        <f>MAX(AB21,IF($B21=5,1,0))</f>
        <v/>
      </c>
      <c r="AC22">
        <f>MAX(AC21,IF($B21=6,1,0))</f>
        <v/>
      </c>
      <c r="AD22">
        <f>MAX(AD21,IF($B21=7,1,0))</f>
        <v/>
      </c>
      <c r="AE22">
        <f>MAX(AE21,IF($B21=8,1,0))</f>
        <v/>
      </c>
      <c r="AF22">
        <f>MAX(AF21,IF($B21=9,1,0))</f>
        <v/>
      </c>
      <c r="AG22">
        <f>MAX(AG21,IF($B21=10,1,0))</f>
        <v/>
      </c>
      <c r="AH22">
        <f>MAX(AH21,IF($B21=11,1,0))</f>
        <v/>
      </c>
      <c r="AI22">
        <f>MAX(AI21,IF($B21=12,1,0))</f>
        <v/>
      </c>
      <c r="AJ22">
        <f>MAX(AJ21,IF($B21=13,1,0))</f>
        <v/>
      </c>
      <c r="AK22">
        <f>MAX(AK21,IF($B21=14,1,0))</f>
        <v/>
      </c>
      <c r="AL22">
        <f>MAX(AL21,IF($B21=15,1,0))</f>
        <v/>
      </c>
      <c r="AM22">
        <f>MAX(AM21,IF($B21=16,1,0))</f>
        <v/>
      </c>
      <c r="AN22">
        <f>MAX(AN21,IF($B21=17,1,0))</f>
        <v/>
      </c>
      <c r="AO22">
        <f>MAX(AO21,IF($B21=18,1,0))</f>
        <v/>
      </c>
      <c r="AP22">
        <f>MAX(AP21,IF($B21=19,1,0))</f>
        <v/>
      </c>
      <c r="AQ22">
        <f>MAX(AQ21,IF($B21=20,1,0))</f>
        <v/>
      </c>
      <c r="AR22">
        <f>MAX(AR21,IF($B21=21,1,0))</f>
        <v/>
      </c>
      <c r="AS22">
        <f>MAX(AS21,IF($B21=22,1,0))</f>
        <v/>
      </c>
      <c r="AT22">
        <f>MAX(AT21,IF($B21=23,1,0))</f>
        <v/>
      </c>
      <c r="AU22">
        <f>MAX(AU21,IF($B21=24,1,0))</f>
        <v/>
      </c>
      <c r="AV22">
        <f>MAX(AV21,IF($B21=25,1,0))</f>
        <v/>
      </c>
      <c r="AW22">
        <f>MAX(AW21,IF($B21=26,1,0))</f>
        <v/>
      </c>
      <c r="AX22">
        <f>MAX(AX21,IF($B21=27,1,0))</f>
        <v/>
      </c>
      <c r="AY22">
        <f>MAX(AY21,IF($B21=28,1,0))</f>
        <v/>
      </c>
      <c r="AZ22">
        <f>MAX(AZ21,IF($B21=29,1,0))</f>
        <v/>
      </c>
      <c r="BA22">
        <f>MAX(BA21,IF($B21=30,1,0))</f>
        <v/>
      </c>
      <c r="BB22">
        <f>MAX(BB21,IF($B21=31,1,0))</f>
        <v/>
      </c>
      <c r="BC22">
        <f>MAX(BC21,IF($B21=32,1,0))</f>
        <v/>
      </c>
      <c r="BD22">
        <f>MAX(BD21,IF($B21=33,1,0))</f>
        <v/>
      </c>
      <c r="BE22">
        <f>MAX(BE21,IF($B21=34,1,0))</f>
        <v/>
      </c>
      <c r="BF22">
        <f>MAX(BF21,IF($B21=35,1,0))</f>
        <v/>
      </c>
      <c r="BG22">
        <f>MAX(BG21,IF($B21=36,1,0))</f>
        <v/>
      </c>
      <c r="BH22">
        <f>MAX(BH21,IF($B21=37,1,0))</f>
        <v/>
      </c>
      <c r="BI22">
        <f>MAX(BI21,IF($B21=38,1,0))</f>
        <v/>
      </c>
      <c r="BJ22">
        <f>MAX(BJ21,IF($B21=39,1,0))</f>
        <v/>
      </c>
      <c r="BK22">
        <f>MAX(BK21,IF($B21=40,1,0))</f>
        <v/>
      </c>
      <c r="BM22">
        <f>IF(OR(X22=1,calcA!$A$6=0),1000000000,IF('calcA'!$JF$10=1,0,100000000)+IF('calcA'!$IQ$10=2,SUMPRODUCT('calcA'!$D$60:$EQ$60,$DB22:$IO22,$IQ22:$OD22)*1000+SUMPRODUCT('calcA'!$D$60:$EQ$60,$DB22:$IO22+$ZQ22:$AFD22,$AFF22:$AKS22),SUMPRODUCT('calcA'!$D$60:$EQ$60,$DB22:$IO22*1001+$ZQ22:$AFD22))*100+1)</f>
        <v/>
      </c>
      <c r="BN22">
        <f>IF(OR(Y22=1,calcA!$A$6=0),1000000000,IF('calcA'!$JF$11=1,0,100000000)+IF('calcA'!$IQ$11=2,SUMPRODUCT('calcA'!$D$61:$EQ$61,$DB22:$IO22,$IQ22:$OD22)*1000+SUMPRODUCT('calcA'!$D$61:$EQ$61,$DB22:$IO22+$ZQ22:$AFD22,$AFF22:$AKS22),SUMPRODUCT('calcA'!$D$61:$EQ$61,$DB22:$IO22*1001+$ZQ22:$AFD22))*100+2)</f>
        <v/>
      </c>
      <c r="BO22">
        <f>IF(OR(Z22=1,calcA!$A$6=0),1000000000,IF('calcA'!$JF$12=1,0,100000000)+IF('calcA'!$IQ$12=2,SUMPRODUCT('calcA'!$D$62:$EQ$62,$DB22:$IO22,$IQ22:$OD22)*1000+SUMPRODUCT('calcA'!$D$62:$EQ$62,$DB22:$IO22+$ZQ22:$AFD22,$AFF22:$AKS22),SUMPRODUCT('calcA'!$D$62:$EQ$62,$DB22:$IO22*1001+$ZQ22:$AFD22))*100+3)</f>
        <v/>
      </c>
      <c r="BP22">
        <f>IF(OR(AA22=1,calcA!$A$6=0),1000000000,IF('calcA'!$JF$13=1,0,100000000)+IF('calcA'!$IQ$13=2,SUMPRODUCT('calcA'!$D$63:$EQ$63,$DB22:$IO22,$IQ22:$OD22)*1000+SUMPRODUCT('calcA'!$D$63:$EQ$63,$DB22:$IO22+$ZQ22:$AFD22,$AFF22:$AKS22),SUMPRODUCT('calcA'!$D$63:$EQ$63,$DB22:$IO22*1001+$ZQ22:$AFD22))*100+4)</f>
        <v/>
      </c>
      <c r="BQ22">
        <f>IF(OR(AB22=1,calcA!$A$6=0),1000000000,IF('calcA'!$JF$14=1,0,100000000)+IF('calcA'!$IQ$14=2,SUMPRODUCT('calcA'!$D$64:$EQ$64,$DB22:$IO22,$IQ22:$OD22)*1000+SUMPRODUCT('calcA'!$D$64:$EQ$64,$DB22:$IO22+$ZQ22:$AFD22,$AFF22:$AKS22),SUMPRODUCT('calcA'!$D$64:$EQ$64,$DB22:$IO22*1001+$ZQ22:$AFD22))*100+5)</f>
        <v/>
      </c>
      <c r="BR22">
        <f>IF(OR(AC22=1,calcA!$A$6=0),1000000000,IF('calcA'!$JF$15=1,0,100000000)+IF('calcA'!$IQ$15=2,SUMPRODUCT('calcA'!$D$65:$EQ$65,$DB22:$IO22,$IQ22:$OD22)*1000+SUMPRODUCT('calcA'!$D$65:$EQ$65,$DB22:$IO22+$ZQ22:$AFD22,$AFF22:$AKS22),SUMPRODUCT('calcA'!$D$65:$EQ$65,$DB22:$IO22*1001+$ZQ22:$AFD22))*100+6)</f>
        <v/>
      </c>
      <c r="BS22">
        <f>IF(OR(AD22=1,calcA!$A$6=0),1000000000,IF('calcA'!$JF$16=1,0,100000000)+IF('calcA'!$IQ$16=2,SUMPRODUCT('calcA'!$D$66:$EQ$66,$DB22:$IO22,$IQ22:$OD22)*1000+SUMPRODUCT('calcA'!$D$66:$EQ$66,$DB22:$IO22+$ZQ22:$AFD22,$AFF22:$AKS22),SUMPRODUCT('calcA'!$D$66:$EQ$66,$DB22:$IO22*1001+$ZQ22:$AFD22))*100+7)</f>
        <v/>
      </c>
      <c r="BT22">
        <f>IF(OR(AE22=1,calcA!$A$6=0),1000000000,IF('calcA'!$JF$17=1,0,100000000)+IF('calcA'!$IQ$17=2,SUMPRODUCT('calcA'!$D$67:$EQ$67,$DB22:$IO22,$IQ22:$OD22)*1000+SUMPRODUCT('calcA'!$D$67:$EQ$67,$DB22:$IO22+$ZQ22:$AFD22,$AFF22:$AKS22),SUMPRODUCT('calcA'!$D$67:$EQ$67,$DB22:$IO22*1001+$ZQ22:$AFD22))*100+8)</f>
        <v/>
      </c>
      <c r="BU22">
        <f>IF(OR(AF22=1,calcA!$A$6=0),1000000000,IF('calcA'!$JF$18=1,0,100000000)+IF('calcA'!$IQ$18=2,SUMPRODUCT('calcA'!$D$68:$EQ$68,$DB22:$IO22,$IQ22:$OD22)*1000+SUMPRODUCT('calcA'!$D$68:$EQ$68,$DB22:$IO22+$ZQ22:$AFD22,$AFF22:$AKS22),SUMPRODUCT('calcA'!$D$68:$EQ$68,$DB22:$IO22*1001+$ZQ22:$AFD22))*100+9)</f>
        <v/>
      </c>
      <c r="BV22">
        <f>IF(OR(AG22=1,calcA!$A$6=0),1000000000,IF('calcA'!$JF$19=1,0,100000000)+IF('calcA'!$IQ$19=2,SUMPRODUCT('calcA'!$D$69:$EQ$69,$DB22:$IO22,$IQ22:$OD22)*1000+SUMPRODUCT('calcA'!$D$69:$EQ$69,$DB22:$IO22+$ZQ22:$AFD22,$AFF22:$AKS22),SUMPRODUCT('calcA'!$D$69:$EQ$69,$DB22:$IO22*1001+$ZQ22:$AFD22))*100+10)</f>
        <v/>
      </c>
      <c r="BW22">
        <f>IF(OR(AH22=1,calcA!$A$6=0),1000000000,IF('calcA'!$JF$20=1,0,100000000)+IF('calcA'!$IQ$20=2,SUMPRODUCT('calcA'!$D$70:$EQ$70,$DB22:$IO22,$IQ22:$OD22)*1000+SUMPRODUCT('calcA'!$D$70:$EQ$70,$DB22:$IO22+$ZQ22:$AFD22,$AFF22:$AKS22),SUMPRODUCT('calcA'!$D$70:$EQ$70,$DB22:$IO22*1001+$ZQ22:$AFD22))*100+11)</f>
        <v/>
      </c>
      <c r="BX22">
        <f>IF(OR(AI22=1,calcA!$A$6=0),1000000000,IF('calcA'!$JF$21=1,0,100000000)+IF('calcA'!$IQ$21=2,SUMPRODUCT('calcA'!$D$71:$EQ$71,$DB22:$IO22,$IQ22:$OD22)*1000+SUMPRODUCT('calcA'!$D$71:$EQ$71,$DB22:$IO22+$ZQ22:$AFD22,$AFF22:$AKS22),SUMPRODUCT('calcA'!$D$71:$EQ$71,$DB22:$IO22*1001+$ZQ22:$AFD22))*100+12)</f>
        <v/>
      </c>
      <c r="BY22">
        <f>IF(OR(AJ22=1,calcA!$A$6=0),1000000000,IF('calcA'!$JF$22=1,0,100000000)+IF('calcA'!$IQ$22=2,SUMPRODUCT('calcA'!$D$72:$EQ$72,$DB22:$IO22,$IQ22:$OD22)*1000+SUMPRODUCT('calcA'!$D$72:$EQ$72,$DB22:$IO22+$ZQ22:$AFD22,$AFF22:$AKS22),SUMPRODUCT('calcA'!$D$72:$EQ$72,$DB22:$IO22*1001+$ZQ22:$AFD22))*100+13)</f>
        <v/>
      </c>
      <c r="BZ22">
        <f>IF(OR(AK22=1,calcA!$A$6=0),1000000000,IF('calcA'!$JF$23=1,0,100000000)+IF('calcA'!$IQ$23=2,SUMPRODUCT('calcA'!$D$73:$EQ$73,$DB22:$IO22,$IQ22:$OD22)*1000+SUMPRODUCT('calcA'!$D$73:$EQ$73,$DB22:$IO22+$ZQ22:$AFD22,$AFF22:$AKS22),SUMPRODUCT('calcA'!$D$73:$EQ$73,$DB22:$IO22*1001+$ZQ22:$AFD22))*100+14)</f>
        <v/>
      </c>
      <c r="CA22">
        <f>IF(OR(AL22=1,calcA!$A$6=0),1000000000,IF('calcA'!$JF$24=1,0,100000000)+IF('calcA'!$IQ$24=2,SUMPRODUCT('calcA'!$D$74:$EQ$74,$DB22:$IO22,$IQ22:$OD22)*1000+SUMPRODUCT('calcA'!$D$74:$EQ$74,$DB22:$IO22+$ZQ22:$AFD22,$AFF22:$AKS22),SUMPRODUCT('calcA'!$D$74:$EQ$74,$DB22:$IO22*1001+$ZQ22:$AFD22))*100+15)</f>
        <v/>
      </c>
      <c r="CB22">
        <f>IF(OR(AM22=1,calcA!$A$6=0),1000000000,IF('calcA'!$JF$25=1,0,100000000)+IF('calcA'!$IQ$25=2,SUMPRODUCT('calcA'!$D$75:$EQ$75,$DB22:$IO22,$IQ22:$OD22)*1000+SUMPRODUCT('calcA'!$D$75:$EQ$75,$DB22:$IO22+$ZQ22:$AFD22,$AFF22:$AKS22),SUMPRODUCT('calcA'!$D$75:$EQ$75,$DB22:$IO22*1001+$ZQ22:$AFD22))*100+16)</f>
        <v/>
      </c>
      <c r="CC22">
        <f>IF(OR(AN22=1,calcA!$A$6=0),1000000000,IF('calcA'!$JF$26=1,0,100000000)+IF('calcA'!$IQ$26=2,SUMPRODUCT('calcA'!$D$76:$EQ$76,$DB22:$IO22,$IQ22:$OD22)*1000+SUMPRODUCT('calcA'!$D$76:$EQ$76,$DB22:$IO22+$ZQ22:$AFD22,$AFF22:$AKS22),SUMPRODUCT('calcA'!$D$76:$EQ$76,$DB22:$IO22*1001+$ZQ22:$AFD22))*100+17)</f>
        <v/>
      </c>
      <c r="CD22">
        <f>IF(OR(AO22=1,calcA!$A$6=0),1000000000,IF('calcA'!$JF$27=1,0,100000000)+IF('calcA'!$IQ$27=2,SUMPRODUCT('calcA'!$D$77:$EQ$77,$DB22:$IO22,$IQ22:$OD22)*1000+SUMPRODUCT('calcA'!$D$77:$EQ$77,$DB22:$IO22+$ZQ22:$AFD22,$AFF22:$AKS22),SUMPRODUCT('calcA'!$D$77:$EQ$77,$DB22:$IO22*1001+$ZQ22:$AFD22))*100+18)</f>
        <v/>
      </c>
      <c r="CE22">
        <f>IF(OR(AP22=1,calcA!$A$6=0),1000000000,IF('calcA'!$JF$28=1,0,100000000)+IF('calcA'!$IQ$28=2,SUMPRODUCT('calcA'!$D$78:$EQ$78,$DB22:$IO22,$IQ22:$OD22)*1000+SUMPRODUCT('calcA'!$D$78:$EQ$78,$DB22:$IO22+$ZQ22:$AFD22,$AFF22:$AKS22),SUMPRODUCT('calcA'!$D$78:$EQ$78,$DB22:$IO22*1001+$ZQ22:$AFD22))*100+19)</f>
        <v/>
      </c>
      <c r="CF22">
        <f>IF(OR(AQ22=1,calcA!$A$6=0),1000000000,IF('calcA'!$JF$29=1,0,100000000)+IF('calcA'!$IQ$29=2,SUMPRODUCT('calcA'!$D$79:$EQ$79,$DB22:$IO22,$IQ22:$OD22)*1000+SUMPRODUCT('calcA'!$D$79:$EQ$79,$DB22:$IO22+$ZQ22:$AFD22,$AFF22:$AKS22),SUMPRODUCT('calcA'!$D$79:$EQ$79,$DB22:$IO22*1001+$ZQ22:$AFD22))*100+20)</f>
        <v/>
      </c>
      <c r="CG22">
        <f>IF(OR(AR22=1,calcA!$A$6=0),1000000000,IF('calcA'!$JF$30=1,0,100000000)+IF('calcA'!$IQ$30=2,SUMPRODUCT('calcA'!$D$80:$EQ$80,$DB22:$IO22,$IQ22:$OD22)*1000+SUMPRODUCT('calcA'!$D$80:$EQ$80,$DB22:$IO22+$ZQ22:$AFD22,$AFF22:$AKS22),SUMPRODUCT('calcA'!$D$80:$EQ$80,$DB22:$IO22*1001+$ZQ22:$AFD22))*100+21)</f>
        <v/>
      </c>
      <c r="CH22">
        <f>IF(OR(AS22=1,calcA!$A$6=0),1000000000,IF('calcA'!$JF$31=1,0,100000000)+IF('calcA'!$IQ$31=2,SUMPRODUCT('calcA'!$D$81:$EQ$81,$DB22:$IO22,$IQ22:$OD22)*1000+SUMPRODUCT('calcA'!$D$81:$EQ$81,$DB22:$IO22+$ZQ22:$AFD22,$AFF22:$AKS22),SUMPRODUCT('calcA'!$D$81:$EQ$81,$DB22:$IO22*1001+$ZQ22:$AFD22))*100+22)</f>
        <v/>
      </c>
      <c r="CI22">
        <f>IF(OR(AT22=1,calcA!$A$6=0),1000000000,IF('calcA'!$JF$32=1,0,100000000)+IF('calcA'!$IQ$32=2,SUMPRODUCT('calcA'!$D$82:$EQ$82,$DB22:$IO22,$IQ22:$OD22)*1000+SUMPRODUCT('calcA'!$D$82:$EQ$82,$DB22:$IO22+$ZQ22:$AFD22,$AFF22:$AKS22),SUMPRODUCT('calcA'!$D$82:$EQ$82,$DB22:$IO22*1001+$ZQ22:$AFD22))*100+23)</f>
        <v/>
      </c>
      <c r="CJ22">
        <f>IF(OR(AU22=1,calcA!$A$6=0),1000000000,IF('calcA'!$JF$33=1,0,100000000)+IF('calcA'!$IQ$33=2,SUMPRODUCT('calcA'!$D$83:$EQ$83,$DB22:$IO22,$IQ22:$OD22)*1000+SUMPRODUCT('calcA'!$D$83:$EQ$83,$DB22:$IO22+$ZQ22:$AFD22,$AFF22:$AKS22),SUMPRODUCT('calcA'!$D$83:$EQ$83,$DB22:$IO22*1001+$ZQ22:$AFD22))*100+24)</f>
        <v/>
      </c>
      <c r="CK22">
        <f>IF(OR(AV22=1,calcA!$A$6=0),1000000000,IF('calcA'!$JF$34=1,0,100000000)+IF('calcA'!$IQ$34=2,SUMPRODUCT('calcA'!$D$84:$EQ$84,$DB22:$IO22,$IQ22:$OD22)*1000+SUMPRODUCT('calcA'!$D$84:$EQ$84,$DB22:$IO22+$ZQ22:$AFD22,$AFF22:$AKS22),SUMPRODUCT('calcA'!$D$84:$EQ$84,$DB22:$IO22*1001+$ZQ22:$AFD22))*100+25)</f>
        <v/>
      </c>
      <c r="CL22">
        <f>IF(OR(AW22=1,calcA!$A$6=0),1000000000,IF('calcA'!$JF$35=1,0,100000000)+IF('calcA'!$IQ$35=2,SUMPRODUCT('calcA'!$D$85:$EQ$85,$DB22:$IO22,$IQ22:$OD22)*1000+SUMPRODUCT('calcA'!$D$85:$EQ$85,$DB22:$IO22+$ZQ22:$AFD22,$AFF22:$AKS22),SUMPRODUCT('calcA'!$D$85:$EQ$85,$DB22:$IO22*1001+$ZQ22:$AFD22))*100+26)</f>
        <v/>
      </c>
      <c r="CM22">
        <f>IF(OR(AX22=1,calcA!$A$6=0),1000000000,IF('calcA'!$JF$36=1,0,100000000)+IF('calcA'!$IQ$36=2,SUMPRODUCT('calcA'!$D$86:$EQ$86,$DB22:$IO22,$IQ22:$OD22)*1000+SUMPRODUCT('calcA'!$D$86:$EQ$86,$DB22:$IO22+$ZQ22:$AFD22,$AFF22:$AKS22),SUMPRODUCT('calcA'!$D$86:$EQ$86,$DB22:$IO22*1001+$ZQ22:$AFD22))*100+27)</f>
        <v/>
      </c>
      <c r="CN22">
        <f>IF(OR(AY22=1,calcA!$A$6=0),1000000000,IF('calcA'!$JF$37=1,0,100000000)+IF('calcA'!$IQ$37=2,SUMPRODUCT('calcA'!$D$87:$EQ$87,$DB22:$IO22,$IQ22:$OD22)*1000+SUMPRODUCT('calcA'!$D$87:$EQ$87,$DB22:$IO22+$ZQ22:$AFD22,$AFF22:$AKS22),SUMPRODUCT('calcA'!$D$87:$EQ$87,$DB22:$IO22*1001+$ZQ22:$AFD22))*100+28)</f>
        <v/>
      </c>
      <c r="CO22">
        <f>IF(OR(AZ22=1,calcA!$A$6=0),1000000000,IF('calcA'!$JF$38=1,0,100000000)+IF('calcA'!$IQ$38=2,SUMPRODUCT('calcA'!$D$88:$EQ$88,$DB22:$IO22,$IQ22:$OD22)*1000+SUMPRODUCT('calcA'!$D$88:$EQ$88,$DB22:$IO22+$ZQ22:$AFD22,$AFF22:$AKS22),SUMPRODUCT('calcA'!$D$88:$EQ$88,$DB22:$IO22*1001+$ZQ22:$AFD22))*100+29)</f>
        <v/>
      </c>
      <c r="CP22">
        <f>IF(OR(BA22=1,calcA!$A$6=0),1000000000,IF('calcA'!$JF$39=1,0,100000000)+IF('calcA'!$IQ$39=2,SUMPRODUCT('calcA'!$D$89:$EQ$89,$DB22:$IO22,$IQ22:$OD22)*1000+SUMPRODUCT('calcA'!$D$89:$EQ$89,$DB22:$IO22+$ZQ22:$AFD22,$AFF22:$AKS22),SUMPRODUCT('calcA'!$D$89:$EQ$89,$DB22:$IO22*1001+$ZQ22:$AFD22))*100+30)</f>
        <v/>
      </c>
      <c r="CQ22">
        <f>IF(OR(BB22=1,calcA!$A$6=0),1000000000,IF('calcA'!$JF$40=1,0,100000000)+IF('calcA'!$IQ$40=2,SUMPRODUCT('calcA'!$D$90:$EQ$90,$DB22:$IO22,$IQ22:$OD22)*1000+SUMPRODUCT('calcA'!$D$90:$EQ$90,$DB22:$IO22+$ZQ22:$AFD22,$AFF22:$AKS22),SUMPRODUCT('calcA'!$D$90:$EQ$90,$DB22:$IO22*1001+$ZQ22:$AFD22))*100+31)</f>
        <v/>
      </c>
      <c r="CR22">
        <f>IF(OR(BC22=1,calcA!$A$6=0),1000000000,IF('calcA'!$JF$41=1,0,100000000)+IF('calcA'!$IQ$41=2,SUMPRODUCT('calcA'!$D$91:$EQ$91,$DB22:$IO22,$IQ22:$OD22)*1000+SUMPRODUCT('calcA'!$D$91:$EQ$91,$DB22:$IO22+$ZQ22:$AFD22,$AFF22:$AKS22),SUMPRODUCT('calcA'!$D$91:$EQ$91,$DB22:$IO22*1001+$ZQ22:$AFD22))*100+32)</f>
        <v/>
      </c>
      <c r="CS22">
        <f>IF(OR(BD22=1,calcA!$A$6=0),1000000000,IF('calcA'!$JF$42=1,0,100000000)+IF('calcA'!$IQ$42=2,SUMPRODUCT('calcA'!$D$92:$EQ$92,$DB22:$IO22,$IQ22:$OD22)*1000+SUMPRODUCT('calcA'!$D$92:$EQ$92,$DB22:$IO22+$ZQ22:$AFD22,$AFF22:$AKS22),SUMPRODUCT('calcA'!$D$92:$EQ$92,$DB22:$IO22*1001+$ZQ22:$AFD22))*100+33)</f>
        <v/>
      </c>
      <c r="CT22">
        <f>IF(OR(BE22=1,calcA!$A$6=0),1000000000,IF('calcA'!$JF$43=1,0,100000000)+IF('calcA'!$IQ$43=2,SUMPRODUCT('calcA'!$D$93:$EQ$93,$DB22:$IO22,$IQ22:$OD22)*1000+SUMPRODUCT('calcA'!$D$93:$EQ$93,$DB22:$IO22+$ZQ22:$AFD22,$AFF22:$AKS22),SUMPRODUCT('calcA'!$D$93:$EQ$93,$DB22:$IO22*1001+$ZQ22:$AFD22))*100+34)</f>
        <v/>
      </c>
      <c r="CU22">
        <f>IF(OR(BF22=1,calcA!$A$6=0),1000000000,IF('calcA'!$JF$44=1,0,100000000)+IF('calcA'!$IQ$44=2,SUMPRODUCT('calcA'!$D$94:$EQ$94,$DB22:$IO22,$IQ22:$OD22)*1000+SUMPRODUCT('calcA'!$D$94:$EQ$94,$DB22:$IO22+$ZQ22:$AFD22,$AFF22:$AKS22),SUMPRODUCT('calcA'!$D$94:$EQ$94,$DB22:$IO22*1001+$ZQ22:$AFD22))*100+35)</f>
        <v/>
      </c>
      <c r="CV22">
        <f>IF(OR(BG22=1,calcA!$A$6=0),1000000000,IF('calcA'!$JF$45=1,0,100000000)+IF('calcA'!$IQ$45=2,SUMPRODUCT('calcA'!$D$95:$EQ$95,$DB22:$IO22,$IQ22:$OD22)*1000+SUMPRODUCT('calcA'!$D$95:$EQ$95,$DB22:$IO22+$ZQ22:$AFD22,$AFF22:$AKS22),SUMPRODUCT('calcA'!$D$95:$EQ$95,$DB22:$IO22*1001+$ZQ22:$AFD22))*100+36)</f>
        <v/>
      </c>
      <c r="CW22">
        <f>IF(OR(BH22=1,calcA!$A$6=0),1000000000,IF('calcA'!$JF$46=1,0,100000000)+IF('calcA'!$IQ$46=2,SUMPRODUCT('calcA'!$D$96:$EQ$96,$DB22:$IO22,$IQ22:$OD22)*1000+SUMPRODUCT('calcA'!$D$96:$EQ$96,$DB22:$IO22+$ZQ22:$AFD22,$AFF22:$AKS22),SUMPRODUCT('calcA'!$D$96:$EQ$96,$DB22:$IO22*1001+$ZQ22:$AFD22))*100+37)</f>
        <v/>
      </c>
      <c r="CX22">
        <f>IF(OR(BI22=1,calcA!$A$6=0),1000000000,IF('calcA'!$JF$47=1,0,100000000)+IF('calcA'!$IQ$47=2,SUMPRODUCT('calcA'!$D$97:$EQ$97,$DB22:$IO22,$IQ22:$OD22)*1000+SUMPRODUCT('calcA'!$D$97:$EQ$97,$DB22:$IO22+$ZQ22:$AFD22,$AFF22:$AKS22),SUMPRODUCT('calcA'!$D$97:$EQ$97,$DB22:$IO22*1001+$ZQ22:$AFD22))*100+38)</f>
        <v/>
      </c>
      <c r="CY22">
        <f>IF(OR(BJ22=1,calcA!$A$6=0),1000000000,IF('calcA'!$JF$48=1,0,100000000)+IF('calcA'!$IQ$48=2,SUMPRODUCT('calcA'!$D$98:$EQ$98,$DB22:$IO22,$IQ22:$OD22)*1000+SUMPRODUCT('calcA'!$D$98:$EQ$98,$DB22:$IO22+$ZQ22:$AFD22,$AFF22:$AKS22),SUMPRODUCT('calcA'!$D$98:$EQ$98,$DB22:$IO22*1001+$ZQ22:$AFD22))*100+39)</f>
        <v/>
      </c>
      <c r="CZ22">
        <f>IF(OR(BK22=1,calcA!$A$6=0),1000000000,IF('calcA'!$JF$49=1,0,100000000)+IF('calcA'!$IQ$49=2,SUMPRODUCT('calcA'!$D$99:$EQ$99,$DB22:$IO22,$IQ22:$OD22)*1000+SUMPRODUCT('calcA'!$D$99:$EQ$99,$DB22:$IO22+$ZQ22:$AFD22,$AFF22:$AKS22),SUMPRODUCT('calcA'!$D$99:$EQ$99,$DB22:$IO22*1001+$ZQ22:$AFD22))*100+40)</f>
        <v/>
      </c>
      <c r="DB22">
        <f>DB21*IF(OR($C21=1,$G21=1),0,1)</f>
        <v/>
      </c>
      <c r="DC22">
        <f>DC21*IF(OR($C21=2,$G21=2),0,1)</f>
        <v/>
      </c>
      <c r="DD22">
        <f>DD21*IF(OR($C21=3,$G21=3),0,1)</f>
        <v/>
      </c>
      <c r="DE22">
        <f>DE21*IF(OR($C21=4,$G21=4),0,1)</f>
        <v/>
      </c>
      <c r="DF22">
        <f>DF21*IF(OR($C21=5,$G21=5),0,1)</f>
        <v/>
      </c>
      <c r="DG22">
        <f>DG21*IF(OR($C21=6,$G21=6),0,1)</f>
        <v/>
      </c>
      <c r="DH22">
        <f>DH21*IF(OR($C21=7,$G21=7),0,1)</f>
        <v/>
      </c>
      <c r="DI22">
        <f>DI21*IF(OR($C21=8,$G21=8),0,1)</f>
        <v/>
      </c>
      <c r="DJ22">
        <f>DJ21*IF(OR($C21=9,$G21=9),0,1)</f>
        <v/>
      </c>
      <c r="DK22">
        <f>DK21*IF(OR($C21=10,$G21=10),0,1)</f>
        <v/>
      </c>
      <c r="DL22">
        <f>DL21*IF(OR($C21=11,$G21=11),0,1)</f>
        <v/>
      </c>
      <c r="DM22">
        <f>DM21*IF(OR($C21=12,$G21=12),0,1)</f>
        <v/>
      </c>
      <c r="DN22">
        <f>DN21*IF(OR($C21=13,$G21=13),0,1)</f>
        <v/>
      </c>
      <c r="DO22">
        <f>DO21*IF(OR($C21=14,$G21=14),0,1)</f>
        <v/>
      </c>
      <c r="DP22">
        <f>DP21*IF(OR($C21=15,$G21=15),0,1)</f>
        <v/>
      </c>
      <c r="DQ22">
        <f>DQ21*IF(OR($C21=16,$G21=16),0,1)</f>
        <v/>
      </c>
      <c r="DR22">
        <f>DR21*IF(OR($C21=17,$G21=17),0,1)</f>
        <v/>
      </c>
      <c r="DS22">
        <f>DS21*IF(OR($C21=18,$G21=18),0,1)</f>
        <v/>
      </c>
      <c r="DT22">
        <f>DT21*IF(OR($C21=19,$G21=19),0,1)</f>
        <v/>
      </c>
      <c r="DU22">
        <f>DU21*IF(OR($C21=20,$G21=20),0,1)</f>
        <v/>
      </c>
      <c r="DV22">
        <f>DV21*IF(OR($C21=21,$G21=21),0,1)</f>
        <v/>
      </c>
      <c r="DW22">
        <f>DW21*IF(OR($C21=22,$G21=22),0,1)</f>
        <v/>
      </c>
      <c r="DX22">
        <f>DX21*IF(OR($C21=23,$G21=23),0,1)</f>
        <v/>
      </c>
      <c r="DY22">
        <f>DY21*IF(OR($C21=24,$G21=24),0,1)</f>
        <v/>
      </c>
      <c r="DZ22">
        <f>DZ21*IF(OR($C21=25,$G21=25),0,1)</f>
        <v/>
      </c>
      <c r="EA22">
        <f>EA21*IF(OR($C21=26,$G21=26),0,1)</f>
        <v/>
      </c>
      <c r="EB22">
        <f>EB21*IF(OR($C21=27,$G21=27),0,1)</f>
        <v/>
      </c>
      <c r="EC22">
        <f>EC21*IF(OR($C21=28,$G21=28),0,1)</f>
        <v/>
      </c>
      <c r="ED22">
        <f>ED21*IF(OR($C21=29,$G21=29),0,1)</f>
        <v/>
      </c>
      <c r="EE22">
        <f>EE21*IF(OR($C21=30,$G21=30),0,1)</f>
        <v/>
      </c>
      <c r="EF22">
        <f>EF21*IF(OR($C21=31,$G21=31),0,1)</f>
        <v/>
      </c>
      <c r="EG22">
        <f>EG21*IF(OR($C21=32,$G21=32),0,1)</f>
        <v/>
      </c>
      <c r="EH22">
        <f>EH21*IF(OR($C21=33,$G21=33),0,1)</f>
        <v/>
      </c>
      <c r="EI22">
        <f>EI21*IF(OR($C21=34,$G21=34),0,1)</f>
        <v/>
      </c>
      <c r="EJ22">
        <f>EJ21*IF(OR($C21=35,$G21=35),0,1)</f>
        <v/>
      </c>
      <c r="EK22">
        <f>EK21*IF(OR($C21=36,$G21=36),0,1)</f>
        <v/>
      </c>
      <c r="EL22">
        <f>EL21*IF(OR($C21=37,$G21=37),0,1)</f>
        <v/>
      </c>
      <c r="EM22">
        <f>EM21*IF(OR($C21=38,$G21=38),0,1)</f>
        <v/>
      </c>
      <c r="EN22">
        <f>EN21*IF(OR($C21=39,$G21=39),0,1)</f>
        <v/>
      </c>
      <c r="EO22">
        <f>EO21*IF(OR($C21=40,$G21=40),0,1)</f>
        <v/>
      </c>
      <c r="EP22">
        <f>EP21*IF(OR($C21=41,$G21=41),0,1)</f>
        <v/>
      </c>
      <c r="EQ22">
        <f>EQ21*IF(OR($C21=42,$G21=42),0,1)</f>
        <v/>
      </c>
      <c r="ER22">
        <f>ER21*IF(OR($C21=43,$G21=43),0,1)</f>
        <v/>
      </c>
      <c r="ES22">
        <f>ES21*IF(OR($C21=44,$G21=44),0,1)</f>
        <v/>
      </c>
      <c r="ET22">
        <f>ET21*IF(OR($C21=45,$G21=45),0,1)</f>
        <v/>
      </c>
      <c r="EU22">
        <f>EU21*IF(OR($C21=46,$G21=46),0,1)</f>
        <v/>
      </c>
      <c r="EV22">
        <f>EV21*IF(OR($C21=47,$G21=47),0,1)</f>
        <v/>
      </c>
      <c r="EW22">
        <f>EW21*IF(OR($C21=48,$G21=48),0,1)</f>
        <v/>
      </c>
      <c r="EX22">
        <f>EX21*IF(OR($C21=49,$G21=49),0,1)</f>
        <v/>
      </c>
      <c r="EY22">
        <f>EY21*IF(OR($C21=50,$G21=50),0,1)</f>
        <v/>
      </c>
      <c r="EZ22">
        <f>EZ21*IF(OR($C21=51,$G21=51),0,1)</f>
        <v/>
      </c>
      <c r="FA22">
        <f>FA21*IF(OR($C21=52,$G21=52),0,1)</f>
        <v/>
      </c>
      <c r="FB22">
        <f>FB21*IF(OR($C21=53,$G21=53),0,1)</f>
        <v/>
      </c>
      <c r="FC22">
        <f>FC21*IF(OR($C21=54,$G21=54),0,1)</f>
        <v/>
      </c>
      <c r="FD22">
        <f>FD21*IF(OR($C21=55,$G21=55),0,1)</f>
        <v/>
      </c>
      <c r="FE22">
        <f>FE21*IF(OR($C21=56,$G21=56),0,1)</f>
        <v/>
      </c>
      <c r="FF22">
        <f>FF21*IF(OR($C21=57,$G21=57),0,1)</f>
        <v/>
      </c>
      <c r="FG22">
        <f>FG21*IF(OR($C21=58,$G21=58),0,1)</f>
        <v/>
      </c>
      <c r="FH22">
        <f>FH21*IF(OR($C21=59,$G21=59),0,1)</f>
        <v/>
      </c>
      <c r="FI22">
        <f>FI21*IF(OR($C21=60,$G21=60),0,1)</f>
        <v/>
      </c>
      <c r="FJ22">
        <f>FJ21*IF(OR($C21=61,$G21=61),0,1)</f>
        <v/>
      </c>
      <c r="FK22">
        <f>FK21*IF(OR($C21=62,$G21=62),0,1)</f>
        <v/>
      </c>
      <c r="FL22">
        <f>FL21*IF(OR($C21=63,$G21=63),0,1)</f>
        <v/>
      </c>
      <c r="FM22">
        <f>FM21*IF(OR($C21=64,$G21=64),0,1)</f>
        <v/>
      </c>
      <c r="FN22">
        <f>FN21*IF(OR($C21=65,$G21=65),0,1)</f>
        <v/>
      </c>
      <c r="FO22">
        <f>FO21*IF(OR($C21=66,$G21=66),0,1)</f>
        <v/>
      </c>
      <c r="FP22">
        <f>FP21*IF(OR($C21=67,$G21=67),0,1)</f>
        <v/>
      </c>
      <c r="FQ22">
        <f>FQ21*IF(OR($C21=68,$G21=68),0,1)</f>
        <v/>
      </c>
      <c r="FR22">
        <f>FR21*IF(OR($C21=69,$G21=69),0,1)</f>
        <v/>
      </c>
      <c r="FS22">
        <f>FS21*IF(OR($C21=70,$G21=70),0,1)</f>
        <v/>
      </c>
      <c r="FT22">
        <f>FT21*IF(OR($C21=71,$G21=71),0,1)</f>
        <v/>
      </c>
      <c r="FU22">
        <f>FU21*IF(OR($C21=72,$G21=72),0,1)</f>
        <v/>
      </c>
      <c r="FV22">
        <f>FV21*IF(OR($C21=73,$G21=73),0,1)</f>
        <v/>
      </c>
      <c r="FW22">
        <f>FW21*IF(OR($C21=74,$G21=74),0,1)</f>
        <v/>
      </c>
      <c r="FX22">
        <f>FX21*IF(OR($C21=75,$G21=75),0,1)</f>
        <v/>
      </c>
      <c r="FY22">
        <f>FY21*IF(OR($C21=76,$G21=76),0,1)</f>
        <v/>
      </c>
      <c r="FZ22">
        <f>FZ21*IF(OR($C21=77,$G21=77),0,1)</f>
        <v/>
      </c>
      <c r="GA22">
        <f>GA21*IF(OR($C21=78,$G21=78),0,1)</f>
        <v/>
      </c>
      <c r="GB22">
        <f>GB21*IF(OR($C21=79,$G21=79),0,1)</f>
        <v/>
      </c>
      <c r="GC22">
        <f>GC21*IF(OR($C21=80,$G21=80),0,1)</f>
        <v/>
      </c>
      <c r="GD22">
        <f>GD21*IF(OR($C21=81,$G21=81),0,1)</f>
        <v/>
      </c>
      <c r="GE22">
        <f>GE21*IF(OR($C21=82,$G21=82),0,1)</f>
        <v/>
      </c>
      <c r="GF22">
        <f>GF21*IF(OR($C21=83,$G21=83),0,1)</f>
        <v/>
      </c>
      <c r="GG22">
        <f>GG21*IF(OR($C21=84,$G21=84),0,1)</f>
        <v/>
      </c>
      <c r="GH22">
        <f>GH21*IF(OR($C21=85,$G21=85),0,1)</f>
        <v/>
      </c>
      <c r="GI22">
        <f>GI21*IF(OR($C21=86,$G21=86),0,1)</f>
        <v/>
      </c>
      <c r="GJ22">
        <f>GJ21*IF(OR($C21=87,$G21=87),0,1)</f>
        <v/>
      </c>
      <c r="GK22">
        <f>GK21*IF(OR($C21=88,$G21=88),0,1)</f>
        <v/>
      </c>
      <c r="GL22">
        <f>GL21*IF(OR($C21=89,$G21=89),0,1)</f>
        <v/>
      </c>
      <c r="GM22">
        <f>GM21*IF(OR($C21=90,$G21=90),0,1)</f>
        <v/>
      </c>
      <c r="GN22">
        <f>GN21*IF(OR($C21=91,$G21=91),0,1)</f>
        <v/>
      </c>
      <c r="GO22">
        <f>GO21*IF(OR($C21=92,$G21=92),0,1)</f>
        <v/>
      </c>
      <c r="GP22">
        <f>GP21*IF(OR($C21=93,$G21=93),0,1)</f>
        <v/>
      </c>
      <c r="GQ22">
        <f>GQ21*IF(OR($C21=94,$G21=94),0,1)</f>
        <v/>
      </c>
      <c r="GR22">
        <f>GR21*IF(OR($C21=95,$G21=95),0,1)</f>
        <v/>
      </c>
      <c r="GS22">
        <f>GS21*IF(OR($C21=96,$G21=96),0,1)</f>
        <v/>
      </c>
      <c r="GT22">
        <f>GT21*IF(OR($C21=97,$G21=97),0,1)</f>
        <v/>
      </c>
      <c r="GU22">
        <f>GU21*IF(OR($C21=98,$G21=98),0,1)</f>
        <v/>
      </c>
      <c r="GV22">
        <f>GV21*IF(OR($C21=99,$G21=99),0,1)</f>
        <v/>
      </c>
      <c r="GW22">
        <f>GW21*IF(OR($C21=100,$G21=100),0,1)</f>
        <v/>
      </c>
      <c r="GX22">
        <f>GX21*IF(OR($C21=101,$G21=101),0,1)</f>
        <v/>
      </c>
      <c r="GY22">
        <f>GY21*IF(OR($C21=102,$G21=102),0,1)</f>
        <v/>
      </c>
      <c r="GZ22">
        <f>GZ21*IF(OR($C21=103,$G21=103),0,1)</f>
        <v/>
      </c>
      <c r="HA22">
        <f>HA21*IF(OR($C21=104,$G21=104),0,1)</f>
        <v/>
      </c>
      <c r="HB22">
        <f>HB21*IF(OR($C21=105,$G21=105),0,1)</f>
        <v/>
      </c>
      <c r="HC22">
        <f>HC21*IF(OR($C21=106,$G21=106),0,1)</f>
        <v/>
      </c>
      <c r="HD22">
        <f>HD21*IF(OR($C21=107,$G21=107),0,1)</f>
        <v/>
      </c>
      <c r="HE22">
        <f>HE21*IF(OR($C21=108,$G21=108),0,1)</f>
        <v/>
      </c>
      <c r="HF22">
        <f>HF21*IF(OR($C21=109,$G21=109),0,1)</f>
        <v/>
      </c>
      <c r="HG22">
        <f>HG21*IF(OR($C21=110,$G21=110),0,1)</f>
        <v/>
      </c>
      <c r="HH22">
        <f>HH21*IF(OR($C21=111,$G21=111),0,1)</f>
        <v/>
      </c>
      <c r="HI22">
        <f>HI21*IF(OR($C21=112,$G21=112),0,1)</f>
        <v/>
      </c>
      <c r="HJ22">
        <f>HJ21*IF(OR($C21=113,$G21=113),0,1)</f>
        <v/>
      </c>
      <c r="HK22">
        <f>HK21*IF(OR($C21=114,$G21=114),0,1)</f>
        <v/>
      </c>
      <c r="HL22">
        <f>HL21*IF(OR($C21=115,$G21=115),0,1)</f>
        <v/>
      </c>
      <c r="HM22">
        <f>HM21*IF(OR($C21=116,$G21=116),0,1)</f>
        <v/>
      </c>
      <c r="HN22">
        <f>HN21*IF(OR($C21=117,$G21=117),0,1)</f>
        <v/>
      </c>
      <c r="HO22">
        <f>HO21*IF(OR($C21=118,$G21=118),0,1)</f>
        <v/>
      </c>
      <c r="HP22">
        <f>HP21*IF(OR($C21=119,$G21=119),0,1)</f>
        <v/>
      </c>
      <c r="HQ22">
        <f>HQ21*IF(OR($C21=120,$G21=120),0,1)</f>
        <v/>
      </c>
      <c r="HR22">
        <f>HR21*IF(OR($C21=121,$G21=121),0,1)</f>
        <v/>
      </c>
      <c r="HS22">
        <f>HS21*IF(OR($C21=122,$G21=122),0,1)</f>
        <v/>
      </c>
      <c r="HT22">
        <f>HT21*IF(OR($C21=123,$G21=123),0,1)</f>
        <v/>
      </c>
      <c r="HU22">
        <f>HU21*IF(OR($C21=124,$G21=124),0,1)</f>
        <v/>
      </c>
      <c r="HV22">
        <f>HV21*IF(OR($C21=125,$G21=125),0,1)</f>
        <v/>
      </c>
      <c r="HW22">
        <f>HW21*IF(OR($C21=126,$G21=126),0,1)</f>
        <v/>
      </c>
      <c r="HX22">
        <f>HX21*IF(OR($C21=127,$G21=127),0,1)</f>
        <v/>
      </c>
      <c r="HY22">
        <f>HY21*IF(OR($C21=128,$G21=128),0,1)</f>
        <v/>
      </c>
      <c r="HZ22">
        <f>HZ21*IF(OR($C21=129,$G21=129),0,1)</f>
        <v/>
      </c>
      <c r="IA22">
        <f>IA21*IF(OR($C21=130,$G21=130),0,1)</f>
        <v/>
      </c>
      <c r="IB22">
        <f>IB21*IF(OR($C21=131,$G21=131),0,1)</f>
        <v/>
      </c>
      <c r="IC22">
        <f>IC21*IF(OR($C21=132,$G21=132),0,1)</f>
        <v/>
      </c>
      <c r="ID22">
        <f>ID21*IF(OR($C21=133,$G21=133),0,1)</f>
        <v/>
      </c>
      <c r="IE22">
        <f>IE21*IF(OR($C21=134,$G21=134),0,1)</f>
        <v/>
      </c>
      <c r="IF22">
        <f>IF21*IF(OR($C21=135,$G21=135),0,1)</f>
        <v/>
      </c>
      <c r="IG22">
        <f>IG21*IF(OR($C21=136,$G21=136),0,1)</f>
        <v/>
      </c>
      <c r="IH22">
        <f>IH21*IF(OR($C21=137,$G21=137),0,1)</f>
        <v/>
      </c>
      <c r="II22">
        <f>II21*IF(OR($C21=138,$G21=138),0,1)</f>
        <v/>
      </c>
      <c r="IJ22">
        <f>IJ21*IF(OR($C21=139,$G21=139),0,1)</f>
        <v/>
      </c>
      <c r="IK22">
        <f>IK21*IF(OR($C21=140,$G21=140),0,1)</f>
        <v/>
      </c>
      <c r="IL22">
        <f>IL21*IF(OR($C21=141,$G21=141),0,1)</f>
        <v/>
      </c>
      <c r="IM22">
        <f>IM21*IF(OR($C21=142,$G21=142),0,1)</f>
        <v/>
      </c>
      <c r="IN22">
        <f>IN21*IF(OR($C21=143,$G21=143),0,1)</f>
        <v/>
      </c>
      <c r="IO22">
        <f>IO21*IF(OR($C21=144,$G21=144),0,1)</f>
        <v/>
      </c>
      <c r="IQ22">
        <f>IF('calcA'!D$106=1,DC22,1)</f>
        <v/>
      </c>
      <c r="IR22">
        <f>IF('calcA'!E$106=1,DD22,1)</f>
        <v/>
      </c>
      <c r="IS22">
        <f>IF('calcA'!F$106=1,DE22,1)</f>
        <v/>
      </c>
      <c r="IT22">
        <f>IF('calcA'!G$106=1,DF22,1)</f>
        <v/>
      </c>
      <c r="IU22">
        <f>IF('calcA'!H$106=1,DG22,1)</f>
        <v/>
      </c>
      <c r="IV22">
        <f>IF('calcA'!I$106=1,DH22,1)</f>
        <v/>
      </c>
      <c r="IW22">
        <f>IF('calcA'!J$106=1,DI22,1)</f>
        <v/>
      </c>
      <c r="IX22">
        <f>IF('calcA'!K$106=1,DJ22,1)</f>
        <v/>
      </c>
      <c r="IY22">
        <f>IF('calcA'!L$106=1,DK22,1)</f>
        <v/>
      </c>
      <c r="IZ22">
        <f>IF('calcA'!M$106=1,DL22,1)</f>
        <v/>
      </c>
      <c r="JA22">
        <f>IF('calcA'!N$106=1,DM22,1)</f>
        <v/>
      </c>
      <c r="JB22">
        <f>IF('calcA'!O$106=1,DN22,1)</f>
        <v/>
      </c>
      <c r="JC22">
        <f>IF('calcA'!P$106=1,DO22,1)</f>
        <v/>
      </c>
      <c r="JD22">
        <f>IF('calcA'!Q$106=1,DP22,1)</f>
        <v/>
      </c>
      <c r="JE22">
        <f>IF('calcA'!R$106=1,DQ22,1)</f>
        <v/>
      </c>
      <c r="JF22">
        <f>IF('calcA'!S$106=1,DR22,1)</f>
        <v/>
      </c>
      <c r="JG22">
        <f>IF('calcA'!T$106=1,DS22,1)</f>
        <v/>
      </c>
      <c r="JH22">
        <f>IF('calcA'!U$106=1,DT22,1)</f>
        <v/>
      </c>
      <c r="JI22">
        <f>IF('calcA'!V$106=1,DU22,1)</f>
        <v/>
      </c>
      <c r="JJ22">
        <f>IF('calcA'!W$106=1,DV22,1)</f>
        <v/>
      </c>
      <c r="JK22">
        <f>IF('calcA'!X$106=1,DW22,1)</f>
        <v/>
      </c>
      <c r="JL22">
        <f>IF('calcA'!Y$106=1,DX22,1)</f>
        <v/>
      </c>
      <c r="JM22">
        <f>IF('calcA'!Z$106=1,DY22,1)</f>
        <v/>
      </c>
      <c r="JN22">
        <f>IF('calcA'!AA$106=1,DZ22,1)</f>
        <v/>
      </c>
      <c r="JO22">
        <f>IF('calcA'!AB$106=1,EA22,1)</f>
        <v/>
      </c>
      <c r="JP22">
        <f>IF('calcA'!AC$106=1,EB22,1)</f>
        <v/>
      </c>
      <c r="JQ22">
        <f>IF('calcA'!AD$106=1,EC22,1)</f>
        <v/>
      </c>
      <c r="JR22">
        <f>IF('calcA'!AE$106=1,ED22,1)</f>
        <v/>
      </c>
      <c r="JS22">
        <f>IF('calcA'!AF$106=1,EE22,1)</f>
        <v/>
      </c>
      <c r="JT22">
        <f>IF('calcA'!AG$106=1,EF22,1)</f>
        <v/>
      </c>
      <c r="JU22">
        <f>IF('calcA'!AH$106=1,EG22,1)</f>
        <v/>
      </c>
      <c r="JV22">
        <f>IF('calcA'!AI$106=1,EH22,1)</f>
        <v/>
      </c>
      <c r="JW22">
        <f>IF('calcA'!AJ$106=1,EI22,1)</f>
        <v/>
      </c>
      <c r="JX22">
        <f>IF('calcA'!AK$106=1,EJ22,1)</f>
        <v/>
      </c>
      <c r="JY22">
        <f>IF('calcA'!AL$106=1,EK22,1)</f>
        <v/>
      </c>
      <c r="JZ22">
        <f>IF('calcA'!AM$106=1,EL22,1)</f>
        <v/>
      </c>
      <c r="KA22">
        <f>IF('calcA'!AN$106=1,EM22,1)</f>
        <v/>
      </c>
      <c r="KB22">
        <f>IF('calcA'!AO$106=1,EN22,1)</f>
        <v/>
      </c>
      <c r="KC22">
        <f>IF('calcA'!AP$106=1,EO22,1)</f>
        <v/>
      </c>
      <c r="KD22">
        <f>IF('calcA'!AQ$106=1,EP22,1)</f>
        <v/>
      </c>
      <c r="KE22">
        <f>IF('calcA'!AR$106=1,EQ22,1)</f>
        <v/>
      </c>
      <c r="KF22">
        <f>IF('calcA'!AS$106=1,ER22,1)</f>
        <v/>
      </c>
      <c r="KG22">
        <f>IF('calcA'!AT$106=1,ES22,1)</f>
        <v/>
      </c>
      <c r="KH22">
        <f>IF('calcA'!AU$106=1,ET22,1)</f>
        <v/>
      </c>
      <c r="KI22">
        <f>IF('calcA'!AV$106=1,EU22,1)</f>
        <v/>
      </c>
      <c r="KJ22">
        <f>IF('calcA'!AW$106=1,EV22,1)</f>
        <v/>
      </c>
      <c r="KK22">
        <f>IF('calcA'!AX$106=1,EW22,1)</f>
        <v/>
      </c>
      <c r="KL22">
        <f>IF('calcA'!AY$106=1,EX22,1)</f>
        <v/>
      </c>
      <c r="KM22">
        <f>IF('calcA'!AZ$106=1,EY22,1)</f>
        <v/>
      </c>
      <c r="KN22">
        <f>IF('calcA'!BA$106=1,EZ22,1)</f>
        <v/>
      </c>
      <c r="KO22">
        <f>IF('calcA'!BB$106=1,FA22,1)</f>
        <v/>
      </c>
      <c r="KP22">
        <f>IF('calcA'!BC$106=1,FB22,1)</f>
        <v/>
      </c>
      <c r="KQ22">
        <f>IF('calcA'!BD$106=1,FC22,1)</f>
        <v/>
      </c>
      <c r="KR22">
        <f>IF('calcA'!BE$106=1,FD22,1)</f>
        <v/>
      </c>
      <c r="KS22">
        <f>IF('calcA'!BF$106=1,FE22,1)</f>
        <v/>
      </c>
      <c r="KT22">
        <f>IF('calcA'!BG$106=1,FF22,1)</f>
        <v/>
      </c>
      <c r="KU22">
        <f>IF('calcA'!BH$106=1,FG22,1)</f>
        <v/>
      </c>
      <c r="KV22">
        <f>IF('calcA'!BI$106=1,FH22,1)</f>
        <v/>
      </c>
      <c r="KW22">
        <f>IF('calcA'!BJ$106=1,FI22,1)</f>
        <v/>
      </c>
      <c r="KX22">
        <f>IF('calcA'!BK$106=1,FJ22,1)</f>
        <v/>
      </c>
      <c r="KY22">
        <f>IF('calcA'!BL$106=1,FK22,1)</f>
        <v/>
      </c>
      <c r="KZ22">
        <f>IF('calcA'!BM$106=1,FL22,1)</f>
        <v/>
      </c>
      <c r="LA22">
        <f>IF('calcA'!BN$106=1,FM22,1)</f>
        <v/>
      </c>
      <c r="LB22">
        <f>IF('calcA'!BO$106=1,FN22,1)</f>
        <v/>
      </c>
      <c r="LC22">
        <f>IF('calcA'!BP$106=1,FO22,1)</f>
        <v/>
      </c>
      <c r="LD22">
        <f>IF('calcA'!BQ$106=1,FP22,1)</f>
        <v/>
      </c>
      <c r="LE22">
        <f>IF('calcA'!BR$106=1,FQ22,1)</f>
        <v/>
      </c>
      <c r="LF22">
        <f>IF('calcA'!BS$106=1,FR22,1)</f>
        <v/>
      </c>
      <c r="LG22">
        <f>IF('calcA'!BT$106=1,FS22,1)</f>
        <v/>
      </c>
      <c r="LH22">
        <f>IF('calcA'!BU$106=1,FT22,1)</f>
        <v/>
      </c>
      <c r="LI22">
        <f>IF('calcA'!BV$106=1,FU22,1)</f>
        <v/>
      </c>
      <c r="LJ22">
        <f>IF('calcA'!BW$106=1,FV22,1)</f>
        <v/>
      </c>
      <c r="LK22">
        <f>IF('calcA'!BX$106=1,FW22,1)</f>
        <v/>
      </c>
      <c r="LL22">
        <f>IF('calcA'!BY$106=1,FX22,1)</f>
        <v/>
      </c>
      <c r="LM22">
        <f>IF('calcA'!BZ$106=1,FY22,1)</f>
        <v/>
      </c>
      <c r="LN22">
        <f>IF('calcA'!CA$106=1,FZ22,1)</f>
        <v/>
      </c>
      <c r="LO22">
        <f>IF('calcA'!CB$106=1,GA22,1)</f>
        <v/>
      </c>
      <c r="LP22">
        <f>IF('calcA'!CC$106=1,GB22,1)</f>
        <v/>
      </c>
      <c r="LQ22">
        <f>IF('calcA'!CD$106=1,GC22,1)</f>
        <v/>
      </c>
      <c r="LR22">
        <f>IF('calcA'!CE$106=1,GD22,1)</f>
        <v/>
      </c>
      <c r="LS22">
        <f>IF('calcA'!CF$106=1,GE22,1)</f>
        <v/>
      </c>
      <c r="LT22">
        <f>IF('calcA'!CG$106=1,GF22,1)</f>
        <v/>
      </c>
      <c r="LU22">
        <f>IF('calcA'!CH$106=1,GG22,1)</f>
        <v/>
      </c>
      <c r="LV22">
        <f>IF('calcA'!CI$106=1,GH22,1)</f>
        <v/>
      </c>
      <c r="LW22">
        <f>IF('calcA'!CJ$106=1,GI22,1)</f>
        <v/>
      </c>
      <c r="LX22">
        <f>IF('calcA'!CK$106=1,GJ22,1)</f>
        <v/>
      </c>
      <c r="LY22">
        <f>IF('calcA'!CL$106=1,GK22,1)</f>
        <v/>
      </c>
      <c r="LZ22">
        <f>IF('calcA'!CM$106=1,GL22,1)</f>
        <v/>
      </c>
      <c r="MA22">
        <f>IF('calcA'!CN$106=1,GM22,1)</f>
        <v/>
      </c>
      <c r="MB22">
        <f>IF('calcA'!CO$106=1,GN22,1)</f>
        <v/>
      </c>
      <c r="MC22">
        <f>IF('calcA'!CP$106=1,GO22,1)</f>
        <v/>
      </c>
      <c r="MD22">
        <f>IF('calcA'!CQ$106=1,GP22,1)</f>
        <v/>
      </c>
      <c r="ME22">
        <f>IF('calcA'!CR$106=1,GQ22,1)</f>
        <v/>
      </c>
      <c r="MF22">
        <f>IF('calcA'!CS$106=1,GR22,1)</f>
        <v/>
      </c>
      <c r="MG22">
        <f>IF('calcA'!CT$106=1,GS22,1)</f>
        <v/>
      </c>
      <c r="MH22">
        <f>IF('calcA'!CU$106=1,GT22,1)</f>
        <v/>
      </c>
      <c r="MI22">
        <f>IF('calcA'!CV$106=1,GU22,1)</f>
        <v/>
      </c>
      <c r="MJ22">
        <f>IF('calcA'!CW$106=1,GV22,1)</f>
        <v/>
      </c>
      <c r="MK22">
        <f>IF('calcA'!CX$106=1,GW22,1)</f>
        <v/>
      </c>
      <c r="ML22">
        <f>IF('calcA'!CY$106=1,GX22,1)</f>
        <v/>
      </c>
      <c r="MM22">
        <f>IF('calcA'!CZ$106=1,GY22,1)</f>
        <v/>
      </c>
      <c r="MN22">
        <f>IF('calcA'!DA$106=1,GZ22,1)</f>
        <v/>
      </c>
      <c r="MO22">
        <f>IF('calcA'!DB$106=1,HA22,1)</f>
        <v/>
      </c>
      <c r="MP22">
        <f>IF('calcA'!DC$106=1,HB22,1)</f>
        <v/>
      </c>
      <c r="MQ22">
        <f>IF('calcA'!DD$106=1,HC22,1)</f>
        <v/>
      </c>
      <c r="MR22">
        <f>IF('calcA'!DE$106=1,HD22,1)</f>
        <v/>
      </c>
      <c r="MS22">
        <f>IF('calcA'!DF$106=1,HE22,1)</f>
        <v/>
      </c>
      <c r="MT22">
        <f>IF('calcA'!DG$106=1,HF22,1)</f>
        <v/>
      </c>
      <c r="MU22">
        <f>IF('calcA'!DH$106=1,HG22,1)</f>
        <v/>
      </c>
      <c r="MV22">
        <f>IF('calcA'!DI$106=1,HH22,1)</f>
        <v/>
      </c>
      <c r="MW22">
        <f>IF('calcA'!DJ$106=1,HI22,1)</f>
        <v/>
      </c>
      <c r="MX22">
        <f>IF('calcA'!DK$106=1,HJ22,1)</f>
        <v/>
      </c>
      <c r="MY22">
        <f>IF('calcA'!DL$106=1,HK22,1)</f>
        <v/>
      </c>
      <c r="MZ22">
        <f>IF('calcA'!DM$106=1,HL22,1)</f>
        <v/>
      </c>
      <c r="NA22">
        <f>IF('calcA'!DN$106=1,HM22,1)</f>
        <v/>
      </c>
      <c r="NB22">
        <f>IF('calcA'!DO$106=1,HN22,1)</f>
        <v/>
      </c>
      <c r="NC22">
        <f>IF('calcA'!DP$106=1,HO22,1)</f>
        <v/>
      </c>
      <c r="ND22">
        <f>IF('calcA'!DQ$106=1,HP22,1)</f>
        <v/>
      </c>
      <c r="NE22">
        <f>IF('calcA'!DR$106=1,HQ22,1)</f>
        <v/>
      </c>
      <c r="NF22">
        <f>IF('calcA'!DS$106=1,HR22,1)</f>
        <v/>
      </c>
      <c r="NG22">
        <f>IF('calcA'!DT$106=1,HS22,1)</f>
        <v/>
      </c>
      <c r="NH22">
        <f>IF('calcA'!DU$106=1,HT22,1)</f>
        <v/>
      </c>
      <c r="NI22">
        <f>IF('calcA'!DV$106=1,HU22,1)</f>
        <v/>
      </c>
      <c r="NJ22">
        <f>IF('calcA'!DW$106=1,HV22,1)</f>
        <v/>
      </c>
      <c r="NK22">
        <f>IF('calcA'!DX$106=1,HW22,1)</f>
        <v/>
      </c>
      <c r="NL22">
        <f>IF('calcA'!DY$106=1,HX22,1)</f>
        <v/>
      </c>
      <c r="NM22">
        <f>IF('calcA'!DZ$106=1,HY22,1)</f>
        <v/>
      </c>
      <c r="NN22">
        <f>IF('calcA'!EA$106=1,HZ22,1)</f>
        <v/>
      </c>
      <c r="NO22">
        <f>IF('calcA'!EB$106=1,IA22,1)</f>
        <v/>
      </c>
      <c r="NP22">
        <f>IF('calcA'!EC$106=1,IB22,1)</f>
        <v/>
      </c>
      <c r="NQ22">
        <f>IF('calcA'!ED$106=1,IC22,1)</f>
        <v/>
      </c>
      <c r="NR22">
        <f>IF('calcA'!EE$106=1,ID22,1)</f>
        <v/>
      </c>
      <c r="NS22">
        <f>IF('calcA'!EF$106=1,IE22,1)</f>
        <v/>
      </c>
      <c r="NT22">
        <f>IF('calcA'!EG$106=1,IF22,1)</f>
        <v/>
      </c>
      <c r="NU22">
        <f>IF('calcA'!EH$106=1,IG22,1)</f>
        <v/>
      </c>
      <c r="NV22">
        <f>IF('calcA'!EI$106=1,IH22,1)</f>
        <v/>
      </c>
      <c r="NW22">
        <f>IF('calcA'!EJ$106=1,II22,1)</f>
        <v/>
      </c>
      <c r="NX22">
        <f>IF('calcA'!EK$106=1,IJ22,1)</f>
        <v/>
      </c>
      <c r="NY22">
        <f>IF('calcA'!EL$106=1,IK22,1)</f>
        <v/>
      </c>
      <c r="NZ22">
        <f>IF('calcA'!EM$106=1,IL22,1)</f>
        <v/>
      </c>
      <c r="OA22">
        <f>IF('calcA'!EN$106=1,IM22,1)</f>
        <v/>
      </c>
      <c r="OB22">
        <f>IF('calcA'!EO$106=1,IN22,1)</f>
        <v/>
      </c>
      <c r="OC22">
        <f>IF('calcA'!EP$106=1,IO22,1)</f>
        <v/>
      </c>
      <c r="OD22" t="n">
        <v>1</v>
      </c>
      <c r="OF22">
        <f>IF($B22=0,1000000000,IF(INDEX('calcA'!$D$60:$EQ$99,$B22,1)*IF($W22=1,DB22+ZQ22,DB22)=1,IF(AND($E22=2,IF($W22=1,AFF22,IQ22)=0),1000000000,IF($V22=1,INDEX('calcA'!$D$130:$EQ$169,$B22,1)+IF(AND($E22=1,IQ22=0),25,0),INDEX('calcA'!D$110:D$114,$F22+1)+IF(AND($E22=1,IQ22=0),1000,0)+IF($H22=1,INDEX('calcA'!$D$180:$EQ$219,$B22,1)*500,0)-IF(AND($U22=1,'calcA'!D$117=1,DC22=0),300,0))),1000000000))</f>
        <v/>
      </c>
      <c r="OG22">
        <f>IF($B22=0,1000000000,IF(INDEX('calcA'!$D$60:$EQ$99,$B22,2)*IF($W22=1,DC22+ZR22,DC22)=1,IF(AND($E22=2,IF($W22=1,AFG22,IR22)=0),1000000000,IF($V22=1,INDEX('calcA'!$D$130:$EQ$169,$B22,2)+IF(AND($E22=1,IR22=0),25,0),INDEX('calcA'!E$110:E$114,$F22+1)+IF(AND($E22=1,IR22=0),1000,0)+IF($H22=1,INDEX('calcA'!$D$180:$EQ$219,$B22,2)*500,0)-IF(AND('calcA'!D$117=1,UB22&gt;0),300,0)-IF(AND($U22=1,'calcA'!E$117=1,DD22=0),300,0))),1000000000))</f>
        <v/>
      </c>
      <c r="OH22">
        <f>IF($B22=0,1000000000,IF(INDEX('calcA'!$D$60:$EQ$99,$B22,3)*IF($W22=1,DD22+ZS22,DD22)=1,IF(AND($E22=2,IF($W22=1,AFH22,IS22)=0),1000000000,IF($V22=1,INDEX('calcA'!$D$130:$EQ$169,$B22,3)+IF(AND($E22=1,IS22=0),25,0),INDEX('calcA'!F$110:F$114,$F22+1)+IF(AND($E22=1,IS22=0),1000,0)+IF($H22=1,INDEX('calcA'!$D$180:$EQ$219,$B22,3)*500,0)-IF(AND('calcA'!E$117=1,UC22&gt;0),300,0)-IF(AND($U22=1,'calcA'!F$117=1,DE22=0),300,0))),1000000000))</f>
        <v/>
      </c>
      <c r="OI22">
        <f>IF($B22=0,1000000000,IF(INDEX('calcA'!$D$60:$EQ$99,$B22,4)*IF($W22=1,DE22+ZT22,DE22)=1,IF(AND($E22=2,IF($W22=1,AFI22,IT22)=0),1000000000,IF($V22=1,INDEX('calcA'!$D$130:$EQ$169,$B22,4)+IF(AND($E22=1,IT22=0),25,0),INDEX('calcA'!G$110:G$114,$F22+1)+IF(AND($E22=1,IT22=0),1000,0)+IF($H22=1,INDEX('calcA'!$D$180:$EQ$219,$B22,4)*500,0)-IF(AND('calcA'!F$117=1,UD22&gt;0),300,0)-IF(AND($U22=1,'calcA'!G$117=1,DF22=0),300,0))),1000000000))</f>
        <v/>
      </c>
      <c r="OJ22">
        <f>IF($B22=0,1000000000,IF(INDEX('calcA'!$D$60:$EQ$99,$B22,5)*IF($W22=1,DF22+ZU22,DF22)=1,IF(AND($E22=2,IF($W22=1,AFJ22,IU22)=0),1000000000,IF($V22=1,INDEX('calcA'!$D$130:$EQ$169,$B22,5)+IF(AND($E22=1,IU22=0),25,0),INDEX('calcA'!H$110:H$114,$F22+1)+IF(AND($E22=1,IU22=0),1000,0)+IF($H22=1,INDEX('calcA'!$D$180:$EQ$219,$B22,5)*500,0)-IF(AND('calcA'!G$117=1,UE22&gt;0),300,0)-IF(AND($U22=1,'calcA'!H$117=1,DG22=0),300,0))),1000000000))</f>
        <v/>
      </c>
      <c r="OK22">
        <f>IF($B22=0,1000000000,IF(INDEX('calcA'!$D$60:$EQ$99,$B22,6)*IF($W22=1,DG22+ZV22,DG22)=1,IF(AND($E22=2,IF($W22=1,AFK22,IV22)=0),1000000000,IF($V22=1,INDEX('calcA'!$D$130:$EQ$169,$B22,6)+IF(AND($E22=1,IV22=0),25,0),INDEX('calcA'!I$110:I$114,$F22+1)+IF(AND($E22=1,IV22=0),1000,0)+IF($H22=1,INDEX('calcA'!$D$180:$EQ$219,$B22,6)*500,0)-IF(AND('calcA'!H$117=1,UF22&gt;0),300,0)-IF(AND($U22=1,'calcA'!I$117=1,DH22=0),300,0))),1000000000))</f>
        <v/>
      </c>
      <c r="OL22">
        <f>IF($B22=0,1000000000,IF(INDEX('calcA'!$D$60:$EQ$99,$B22,7)*IF($W22=1,DH22+ZW22,DH22)=1,IF(AND($E22=2,IF($W22=1,AFL22,IW22)=0),1000000000,IF($V22=1,INDEX('calcA'!$D$130:$EQ$169,$B22,7)+IF(AND($E22=1,IW22=0),25,0),INDEX('calcA'!J$110:J$114,$F22+1)+IF(AND($E22=1,IW22=0),1000,0)+IF($H22=1,INDEX('calcA'!$D$180:$EQ$219,$B22,7)*500,0)-IF(AND('calcA'!I$117=1,UG22&gt;0),300,0)-IF(AND($U22=1,'calcA'!J$117=1,DI22=0),300,0))),1000000000))</f>
        <v/>
      </c>
      <c r="OM22">
        <f>IF($B22=0,1000000000,IF(INDEX('calcA'!$D$60:$EQ$99,$B22,8)*IF($W22=1,DI22+ZX22,DI22)=1,IF(AND($E22=2,IF($W22=1,AFM22,IX22)=0),1000000000,IF($V22=1,INDEX('calcA'!$D$130:$EQ$169,$B22,8)+IF(AND($E22=1,IX22=0),25,0),INDEX('calcA'!K$110:K$114,$F22+1)+IF(AND($E22=1,IX22=0),1000,0)+IF($H22=1,INDEX('calcA'!$D$180:$EQ$219,$B22,8)*500,0)-IF(AND('calcA'!J$117=1,UH22&gt;0),300,0)-IF(AND($U22=1,'calcA'!K$117=1,DJ22=0),300,0))),1000000000))</f>
        <v/>
      </c>
      <c r="ON22">
        <f>IF($B22=0,1000000000,IF(INDEX('calcA'!$D$60:$EQ$99,$B22,9)*IF($W22=1,DJ22+ZY22,DJ22)=1,IF(AND($E22=2,IF($W22=1,AFN22,IY22)=0),1000000000,IF($V22=1,INDEX('calcA'!$D$130:$EQ$169,$B22,9)+IF(AND($E22=1,IY22=0),25,0),INDEX('calcA'!L$110:L$114,$F22+1)+IF(AND($E22=1,IY22=0),1000,0)+IF($H22=1,INDEX('calcA'!$D$180:$EQ$219,$B22,9)*500,0)-IF(AND('calcA'!K$117=1,UI22&gt;0),300,0)-IF(AND($U22=1,'calcA'!L$117=1,DK22=0),300,0))),1000000000))</f>
        <v/>
      </c>
      <c r="OO22">
        <f>IF($B22=0,1000000000,IF(INDEX('calcA'!$D$60:$EQ$99,$B22,10)*IF($W22=1,DK22+ZZ22,DK22)=1,IF(AND($E22=2,IF($W22=1,AFO22,IZ22)=0),1000000000,IF($V22=1,INDEX('calcA'!$D$130:$EQ$169,$B22,10)+IF(AND($E22=1,IZ22=0),25,0),INDEX('calcA'!M$110:M$114,$F22+1)+IF(AND($E22=1,IZ22=0),1000,0)+IF($H22=1,INDEX('calcA'!$D$180:$EQ$219,$B22,10)*500,0)-IF(AND('calcA'!L$117=1,UJ22&gt;0),300,0)-IF(AND($U22=1,'calcA'!M$117=1,DL22=0),300,0))),1000000000))</f>
        <v/>
      </c>
      <c r="OP22">
        <f>IF($B22=0,1000000000,IF(INDEX('calcA'!$D$60:$EQ$99,$B22,11)*IF($W22=1,DL22+AAA22,DL22)=1,IF(AND($E22=2,IF($W22=1,AFP22,JA22)=0),1000000000,IF($V22=1,INDEX('calcA'!$D$130:$EQ$169,$B22,11)+IF(AND($E22=1,JA22=0),25,0),INDEX('calcA'!N$110:N$114,$F22+1)+IF(AND($E22=1,JA22=0),1000,0)+IF($H22=1,INDEX('calcA'!$D$180:$EQ$219,$B22,11)*500,0)-IF(AND('calcA'!M$117=1,UK22&gt;0),300,0)-IF(AND($U22=1,'calcA'!N$117=1,DM22=0),300,0))),1000000000))</f>
        <v/>
      </c>
      <c r="OQ22">
        <f>IF($B22=0,1000000000,IF(INDEX('calcA'!$D$60:$EQ$99,$B22,12)*IF($W22=1,DM22+AAB22,DM22)=1,IF(AND($E22=2,IF($W22=1,AFQ22,JB22)=0),1000000000,IF($V22=1,INDEX('calcA'!$D$130:$EQ$169,$B22,12)+IF(AND($E22=1,JB22=0),25,0),INDEX('calcA'!O$110:O$114,$F22+1)+IF(AND($E22=1,JB22=0),1000,0)+IF($H22=1,INDEX('calcA'!$D$180:$EQ$219,$B22,12)*500,0)-IF(AND('calcA'!N$117=1,UL22&gt;0),300,0)-IF(AND($U22=1,'calcA'!O$117=1,DN22=0),300,0))),1000000000))</f>
        <v/>
      </c>
      <c r="OR22">
        <f>IF($B22=0,1000000000,IF(INDEX('calcA'!$D$60:$EQ$99,$B22,13)*IF($W22=1,DN22+AAC22,DN22)=1,IF(AND($E22=2,IF($W22=1,AFR22,JC22)=0),1000000000,IF($V22=1,INDEX('calcA'!$D$130:$EQ$169,$B22,13)+IF(AND($E22=1,JC22=0),25,0),INDEX('calcA'!P$110:P$114,$F22+1)+IF(AND($E22=1,JC22=0),1000,0)+IF($H22=1,INDEX('calcA'!$D$180:$EQ$219,$B22,13)*500,0)-IF(AND('calcA'!O$117=1,UM22&gt;0),300,0)-IF(AND($U22=1,'calcA'!P$117=1,DO22=0),300,0))),1000000000))</f>
        <v/>
      </c>
      <c r="OS22">
        <f>IF($B22=0,1000000000,IF(INDEX('calcA'!$D$60:$EQ$99,$B22,14)*IF($W22=1,DO22+AAD22,DO22)=1,IF(AND($E22=2,IF($W22=1,AFS22,JD22)=0),1000000000,IF($V22=1,INDEX('calcA'!$D$130:$EQ$169,$B22,14)+IF(AND($E22=1,JD22=0),25,0),INDEX('calcA'!Q$110:Q$114,$F22+1)+IF(AND($E22=1,JD22=0),1000,0)+IF($H22=1,INDEX('calcA'!$D$180:$EQ$219,$B22,14)*500,0)-IF(AND('calcA'!P$117=1,UN22&gt;0),300,0)-IF(AND($U22=1,'calcA'!Q$117=1,DP22=0),300,0))),1000000000))</f>
        <v/>
      </c>
      <c r="OT22">
        <f>IF($B22=0,1000000000,IF(INDEX('calcA'!$D$60:$EQ$99,$B22,15)*IF($W22=1,DP22+AAE22,DP22)=1,IF(AND($E22=2,IF($W22=1,AFT22,JE22)=0),1000000000,IF($V22=1,INDEX('calcA'!$D$130:$EQ$169,$B22,15)+IF(AND($E22=1,JE22=0),25,0),INDEX('calcA'!R$110:R$114,$F22+1)+IF(AND($E22=1,JE22=0),1000,0)+IF($H22=1,INDEX('calcA'!$D$180:$EQ$219,$B22,15)*500,0)-IF(AND('calcA'!Q$117=1,UO22&gt;0),300,0)-IF(AND($U22=1,'calcA'!R$117=1,DQ22=0),300,0))),1000000000))</f>
        <v/>
      </c>
      <c r="OU22">
        <f>IF($B22=0,1000000000,IF(INDEX('calcA'!$D$60:$EQ$99,$B22,16)*IF($W22=1,DQ22+AAF22,DQ22)=1,IF(AND($E22=2,IF($W22=1,AFU22,JF22)=0),1000000000,IF($V22=1,INDEX('calcA'!$D$130:$EQ$169,$B22,16)+IF(AND($E22=1,JF22=0),25,0),INDEX('calcA'!S$110:S$114,$F22+1)+IF(AND($E22=1,JF22=0),1000,0)+IF($H22=1,INDEX('calcA'!$D$180:$EQ$219,$B22,16)*500,0)-IF(AND('calcA'!R$117=1,UP22&gt;0),300,0)-IF(AND($U22=1,'calcA'!S$117=1,DR22=0),300,0))),1000000000))</f>
        <v/>
      </c>
      <c r="OV22">
        <f>IF($B22=0,1000000000,IF(INDEX('calcA'!$D$60:$EQ$99,$B22,17)*IF($W22=1,DR22+AAG22,DR22)=1,IF(AND($E22=2,IF($W22=1,AFV22,JG22)=0),1000000000,IF($V22=1,INDEX('calcA'!$D$130:$EQ$169,$B22,17)+IF(AND($E22=1,JG22=0),25,0),INDEX('calcA'!T$110:T$114,$F22+1)+IF(AND($E22=1,JG22=0),1000,0)+IF($H22=1,INDEX('calcA'!$D$180:$EQ$219,$B22,17)*500,0)-IF(AND('calcA'!S$117=1,UQ22&gt;0),300,0)-IF(AND($U22=1,'calcA'!T$117=1,DS22=0),300,0))),1000000000))</f>
        <v/>
      </c>
      <c r="OW22">
        <f>IF($B22=0,1000000000,IF(INDEX('calcA'!$D$60:$EQ$99,$B22,18)*IF($W22=1,DS22+AAH22,DS22)=1,IF(AND($E22=2,IF($W22=1,AFW22,JH22)=0),1000000000,IF($V22=1,INDEX('calcA'!$D$130:$EQ$169,$B22,18)+IF(AND($E22=1,JH22=0),25,0),INDEX('calcA'!U$110:U$114,$F22+1)+IF(AND($E22=1,JH22=0),1000,0)+IF($H22=1,INDEX('calcA'!$D$180:$EQ$219,$B22,18)*500,0)-IF(AND('calcA'!T$117=1,UR22&gt;0),300,0)-IF(AND($U22=1,'calcA'!U$117=1,DT22=0),300,0))),1000000000))</f>
        <v/>
      </c>
      <c r="OX22">
        <f>IF($B22=0,1000000000,IF(INDEX('calcA'!$D$60:$EQ$99,$B22,19)*IF($W22=1,DT22+AAI22,DT22)=1,IF(AND($E22=2,IF($W22=1,AFX22,JI22)=0),1000000000,IF($V22=1,INDEX('calcA'!$D$130:$EQ$169,$B22,19)+IF(AND($E22=1,JI22=0),25,0),INDEX('calcA'!V$110:V$114,$F22+1)+IF(AND($E22=1,JI22=0),1000,0)+IF($H22=1,INDEX('calcA'!$D$180:$EQ$219,$B22,19)*500,0)-IF(AND('calcA'!U$117=1,US22&gt;0),300,0)-IF(AND($U22=1,'calcA'!V$117=1,DU22=0),300,0))),1000000000))</f>
        <v/>
      </c>
      <c r="OY22">
        <f>IF($B22=0,1000000000,IF(INDEX('calcA'!$D$60:$EQ$99,$B22,20)*IF($W22=1,DU22+AAJ22,DU22)=1,IF(AND($E22=2,IF($W22=1,AFY22,JJ22)=0),1000000000,IF($V22=1,INDEX('calcA'!$D$130:$EQ$169,$B22,20)+IF(AND($E22=1,JJ22=0),25,0),INDEX('calcA'!W$110:W$114,$F22+1)+IF(AND($E22=1,JJ22=0),1000,0)+IF($H22=1,INDEX('calcA'!$D$180:$EQ$219,$B22,20)*500,0)-IF(AND('calcA'!V$117=1,UT22&gt;0),300,0)-IF(AND($U22=1,'calcA'!W$117=1,DV22=0),300,0))),1000000000))</f>
        <v/>
      </c>
      <c r="OZ22">
        <f>IF($B22=0,1000000000,IF(INDEX('calcA'!$D$60:$EQ$99,$B22,21)*IF($W22=1,DV22+AAK22,DV22)=1,IF(AND($E22=2,IF($W22=1,AFZ22,JK22)=0),1000000000,IF($V22=1,INDEX('calcA'!$D$130:$EQ$169,$B22,21)+IF(AND($E22=1,JK22=0),25,0),INDEX('calcA'!X$110:X$114,$F22+1)+IF(AND($E22=1,JK22=0),1000,0)+IF($H22=1,INDEX('calcA'!$D$180:$EQ$219,$B22,21)*500,0)-IF(AND('calcA'!W$117=1,UU22&gt;0),300,0)-IF(AND($U22=1,'calcA'!X$117=1,DW22=0),300,0))),1000000000))</f>
        <v/>
      </c>
      <c r="PA22">
        <f>IF($B22=0,1000000000,IF(INDEX('calcA'!$D$60:$EQ$99,$B22,22)*IF($W22=1,DW22+AAL22,DW22)=1,IF(AND($E22=2,IF($W22=1,AGA22,JL22)=0),1000000000,IF($V22=1,INDEX('calcA'!$D$130:$EQ$169,$B22,22)+IF(AND($E22=1,JL22=0),25,0),INDEX('calcA'!Y$110:Y$114,$F22+1)+IF(AND($E22=1,JL22=0),1000,0)+IF($H22=1,INDEX('calcA'!$D$180:$EQ$219,$B22,22)*500,0)-IF(AND('calcA'!X$117=1,UV22&gt;0),300,0)-IF(AND($U22=1,'calcA'!Y$117=1,DX22=0),300,0))),1000000000))</f>
        <v/>
      </c>
      <c r="PB22">
        <f>IF($B22=0,1000000000,IF(INDEX('calcA'!$D$60:$EQ$99,$B22,23)*IF($W22=1,DX22+AAM22,DX22)=1,IF(AND($E22=2,IF($W22=1,AGB22,JM22)=0),1000000000,IF($V22=1,INDEX('calcA'!$D$130:$EQ$169,$B22,23)+IF(AND($E22=1,JM22=0),25,0),INDEX('calcA'!Z$110:Z$114,$F22+1)+IF(AND($E22=1,JM22=0),1000,0)+IF($H22=1,INDEX('calcA'!$D$180:$EQ$219,$B22,23)*500,0)-IF(AND('calcA'!Y$117=1,UW22&gt;0),300,0)-IF(AND($U22=1,'calcA'!Z$117=1,DY22=0),300,0))),1000000000))</f>
        <v/>
      </c>
      <c r="PC22">
        <f>IF($B22=0,1000000000,IF(INDEX('calcA'!$D$60:$EQ$99,$B22,24)*IF($W22=1,DY22+AAN22,DY22)=1,IF(AND($E22=2,IF($W22=1,AGC22,JN22)=0),1000000000,IF($V22=1,INDEX('calcA'!$D$130:$EQ$169,$B22,24)+IF(AND($E22=1,JN22=0),25,0),INDEX('calcA'!AA$110:AA$114,$F22+1)+IF(AND($E22=1,JN22=0),1000,0)+IF($H22=1,INDEX('calcA'!$D$180:$EQ$219,$B22,24)*500,0)-IF(AND('calcA'!Z$117=1,UX22&gt;0),300,0))),1000000000))</f>
        <v/>
      </c>
      <c r="PD22">
        <f>IF($B22=0,1000000000,IF(INDEX('calcA'!$D$60:$EQ$99,$B22,25)*IF($W22=1,DZ22+AAO22,DZ22)=1,IF(AND($E22=2,IF($W22=1,AGD22,JO22)=0),1000000000,IF($V22=1,INDEX('calcA'!$D$130:$EQ$169,$B22,25)+IF(AND($E22=1,JO22=0),25,0),INDEX('calcA'!AB$110:AB$114,$F22+1)+IF(AND($E22=1,JO22=0),1000,0)+IF($H22=1,INDEX('calcA'!$D$180:$EQ$219,$B22,25)*500,0)-IF(AND($U22=1,'calcA'!AB$117=1,EA22=0),300,0))),1000000000))</f>
        <v/>
      </c>
      <c r="PE22">
        <f>IF($B22=0,1000000000,IF(INDEX('calcA'!$D$60:$EQ$99,$B22,26)*IF($W22=1,EA22+AAP22,EA22)=1,IF(AND($E22=2,IF($W22=1,AGE22,JP22)=0),1000000000,IF($V22=1,INDEX('calcA'!$D$130:$EQ$169,$B22,26)+IF(AND($E22=1,JP22=0),25,0),INDEX('calcA'!AC$110:AC$114,$F22+1)+IF(AND($E22=1,JP22=0),1000,0)+IF($H22=1,INDEX('calcA'!$D$180:$EQ$219,$B22,26)*500,0)-IF(AND('calcA'!AB$117=1,UZ22&gt;0),300,0)-IF(AND($U22=1,'calcA'!AC$117=1,EB22=0),300,0))),1000000000))</f>
        <v/>
      </c>
      <c r="PF22">
        <f>IF($B22=0,1000000000,IF(INDEX('calcA'!$D$60:$EQ$99,$B22,27)*IF($W22=1,EB22+AAQ22,EB22)=1,IF(AND($E22=2,IF($W22=1,AGF22,JQ22)=0),1000000000,IF($V22=1,INDEX('calcA'!$D$130:$EQ$169,$B22,27)+IF(AND($E22=1,JQ22=0),25,0),INDEX('calcA'!AD$110:AD$114,$F22+1)+IF(AND($E22=1,JQ22=0),1000,0)+IF($H22=1,INDEX('calcA'!$D$180:$EQ$219,$B22,27)*500,0)-IF(AND('calcA'!AC$117=1,VA22&gt;0),300,0)-IF(AND($U22=1,'calcA'!AD$117=1,EC22=0),300,0))),1000000000))</f>
        <v/>
      </c>
      <c r="PG22">
        <f>IF($B22=0,1000000000,IF(INDEX('calcA'!$D$60:$EQ$99,$B22,28)*IF($W22=1,EC22+AAR22,EC22)=1,IF(AND($E22=2,IF($W22=1,AGG22,JR22)=0),1000000000,IF($V22=1,INDEX('calcA'!$D$130:$EQ$169,$B22,28)+IF(AND($E22=1,JR22=0),25,0),INDEX('calcA'!AE$110:AE$114,$F22+1)+IF(AND($E22=1,JR22=0),1000,0)+IF($H22=1,INDEX('calcA'!$D$180:$EQ$219,$B22,28)*500,0)-IF(AND('calcA'!AD$117=1,VB22&gt;0),300,0)-IF(AND($U22=1,'calcA'!AE$117=1,ED22=0),300,0))),1000000000))</f>
        <v/>
      </c>
      <c r="PH22">
        <f>IF($B22=0,1000000000,IF(INDEX('calcA'!$D$60:$EQ$99,$B22,29)*IF($W22=1,ED22+AAS22,ED22)=1,IF(AND($E22=2,IF($W22=1,AGH22,JS22)=0),1000000000,IF($V22=1,INDEX('calcA'!$D$130:$EQ$169,$B22,29)+IF(AND($E22=1,JS22=0),25,0),INDEX('calcA'!AF$110:AF$114,$F22+1)+IF(AND($E22=1,JS22=0),1000,0)+IF($H22=1,INDEX('calcA'!$D$180:$EQ$219,$B22,29)*500,0)-IF(AND('calcA'!AE$117=1,VC22&gt;0),300,0)-IF(AND($U22=1,'calcA'!AF$117=1,EE22=0),300,0))),1000000000))</f>
        <v/>
      </c>
      <c r="PI22">
        <f>IF($B22=0,1000000000,IF(INDEX('calcA'!$D$60:$EQ$99,$B22,30)*IF($W22=1,EE22+AAT22,EE22)=1,IF(AND($E22=2,IF($W22=1,AGI22,JT22)=0),1000000000,IF($V22=1,INDEX('calcA'!$D$130:$EQ$169,$B22,30)+IF(AND($E22=1,JT22=0),25,0),INDEX('calcA'!AG$110:AG$114,$F22+1)+IF(AND($E22=1,JT22=0),1000,0)+IF($H22=1,INDEX('calcA'!$D$180:$EQ$219,$B22,30)*500,0)-IF(AND('calcA'!AF$117=1,VD22&gt;0),300,0)-IF(AND($U22=1,'calcA'!AG$117=1,EF22=0),300,0))),1000000000))</f>
        <v/>
      </c>
      <c r="PJ22">
        <f>IF($B22=0,1000000000,IF(INDEX('calcA'!$D$60:$EQ$99,$B22,31)*IF($W22=1,EF22+AAU22,EF22)=1,IF(AND($E22=2,IF($W22=1,AGJ22,JU22)=0),1000000000,IF($V22=1,INDEX('calcA'!$D$130:$EQ$169,$B22,31)+IF(AND($E22=1,JU22=0),25,0),INDEX('calcA'!AH$110:AH$114,$F22+1)+IF(AND($E22=1,JU22=0),1000,0)+IF($H22=1,INDEX('calcA'!$D$180:$EQ$219,$B22,31)*500,0)-IF(AND('calcA'!AG$117=1,VE22&gt;0),300,0)-IF(AND($U22=1,'calcA'!AH$117=1,EG22=0),300,0))),1000000000))</f>
        <v/>
      </c>
      <c r="PK22">
        <f>IF($B22=0,1000000000,IF(INDEX('calcA'!$D$60:$EQ$99,$B22,32)*IF($W22=1,EG22+AAV22,EG22)=1,IF(AND($E22=2,IF($W22=1,AGK22,JV22)=0),1000000000,IF($V22=1,INDEX('calcA'!$D$130:$EQ$169,$B22,32)+IF(AND($E22=1,JV22=0),25,0),INDEX('calcA'!AI$110:AI$114,$F22+1)+IF(AND($E22=1,JV22=0),1000,0)+IF($H22=1,INDEX('calcA'!$D$180:$EQ$219,$B22,32)*500,0)-IF(AND('calcA'!AH$117=1,VF22&gt;0),300,0)-IF(AND($U22=1,'calcA'!AI$117=1,EH22=0),300,0))),1000000000))</f>
        <v/>
      </c>
      <c r="PL22">
        <f>IF($B22=0,1000000000,IF(INDEX('calcA'!$D$60:$EQ$99,$B22,33)*IF($W22=1,EH22+AAW22,EH22)=1,IF(AND($E22=2,IF($W22=1,AGL22,JW22)=0),1000000000,IF($V22=1,INDEX('calcA'!$D$130:$EQ$169,$B22,33)+IF(AND($E22=1,JW22=0),25,0),INDEX('calcA'!AJ$110:AJ$114,$F22+1)+IF(AND($E22=1,JW22=0),1000,0)+IF($H22=1,INDEX('calcA'!$D$180:$EQ$219,$B22,33)*500,0)-IF(AND('calcA'!AI$117=1,VG22&gt;0),300,0)-IF(AND($U22=1,'calcA'!AJ$117=1,EI22=0),300,0))),1000000000))</f>
        <v/>
      </c>
      <c r="PM22">
        <f>IF($B22=0,1000000000,IF(INDEX('calcA'!$D$60:$EQ$99,$B22,34)*IF($W22=1,EI22+AAX22,EI22)=1,IF(AND($E22=2,IF($W22=1,AGM22,JX22)=0),1000000000,IF($V22=1,INDEX('calcA'!$D$130:$EQ$169,$B22,34)+IF(AND($E22=1,JX22=0),25,0),INDEX('calcA'!AK$110:AK$114,$F22+1)+IF(AND($E22=1,JX22=0),1000,0)+IF($H22=1,INDEX('calcA'!$D$180:$EQ$219,$B22,34)*500,0)-IF(AND('calcA'!AJ$117=1,VH22&gt;0),300,0)-IF(AND($U22=1,'calcA'!AK$117=1,EJ22=0),300,0))),1000000000))</f>
        <v/>
      </c>
      <c r="PN22">
        <f>IF($B22=0,1000000000,IF(INDEX('calcA'!$D$60:$EQ$99,$B22,35)*IF($W22=1,EJ22+AAY22,EJ22)=1,IF(AND($E22=2,IF($W22=1,AGN22,JY22)=0),1000000000,IF($V22=1,INDEX('calcA'!$D$130:$EQ$169,$B22,35)+IF(AND($E22=1,JY22=0),25,0),INDEX('calcA'!AL$110:AL$114,$F22+1)+IF(AND($E22=1,JY22=0),1000,0)+IF($H22=1,INDEX('calcA'!$D$180:$EQ$219,$B22,35)*500,0)-IF(AND('calcA'!AK$117=1,VI22&gt;0),300,0)-IF(AND($U22=1,'calcA'!AL$117=1,EK22=0),300,0))),1000000000))</f>
        <v/>
      </c>
      <c r="PO22">
        <f>IF($B22=0,1000000000,IF(INDEX('calcA'!$D$60:$EQ$99,$B22,36)*IF($W22=1,EK22+AAZ22,EK22)=1,IF(AND($E22=2,IF($W22=1,AGO22,JZ22)=0),1000000000,IF($V22=1,INDEX('calcA'!$D$130:$EQ$169,$B22,36)+IF(AND($E22=1,JZ22=0),25,0),INDEX('calcA'!AM$110:AM$114,$F22+1)+IF(AND($E22=1,JZ22=0),1000,0)+IF($H22=1,INDEX('calcA'!$D$180:$EQ$219,$B22,36)*500,0)-IF(AND('calcA'!AL$117=1,VJ22&gt;0),300,0)-IF(AND($U22=1,'calcA'!AM$117=1,EL22=0),300,0))),1000000000))</f>
        <v/>
      </c>
      <c r="PP22">
        <f>IF($B22=0,1000000000,IF(INDEX('calcA'!$D$60:$EQ$99,$B22,37)*IF($W22=1,EL22+ABA22,EL22)=1,IF(AND($E22=2,IF($W22=1,AGP22,KA22)=0),1000000000,IF($V22=1,INDEX('calcA'!$D$130:$EQ$169,$B22,37)+IF(AND($E22=1,KA22=0),25,0),INDEX('calcA'!AN$110:AN$114,$F22+1)+IF(AND($E22=1,KA22=0),1000,0)+IF($H22=1,INDEX('calcA'!$D$180:$EQ$219,$B22,37)*500,0)-IF(AND('calcA'!AM$117=1,VK22&gt;0),300,0)-IF(AND($U22=1,'calcA'!AN$117=1,EM22=0),300,0))),1000000000))</f>
        <v/>
      </c>
      <c r="PQ22">
        <f>IF($B22=0,1000000000,IF(INDEX('calcA'!$D$60:$EQ$99,$B22,38)*IF($W22=1,EM22+ABB22,EM22)=1,IF(AND($E22=2,IF($W22=1,AGQ22,KB22)=0),1000000000,IF($V22=1,INDEX('calcA'!$D$130:$EQ$169,$B22,38)+IF(AND($E22=1,KB22=0),25,0),INDEX('calcA'!AO$110:AO$114,$F22+1)+IF(AND($E22=1,KB22=0),1000,0)+IF($H22=1,INDEX('calcA'!$D$180:$EQ$219,$B22,38)*500,0)-IF(AND('calcA'!AN$117=1,VL22&gt;0),300,0)-IF(AND($U22=1,'calcA'!AO$117=1,EN22=0),300,0))),1000000000))</f>
        <v/>
      </c>
      <c r="PR22">
        <f>IF($B22=0,1000000000,IF(INDEX('calcA'!$D$60:$EQ$99,$B22,39)*IF($W22=1,EN22+ABC22,EN22)=1,IF(AND($E22=2,IF($W22=1,AGR22,KC22)=0),1000000000,IF($V22=1,INDEX('calcA'!$D$130:$EQ$169,$B22,39)+IF(AND($E22=1,KC22=0),25,0),INDEX('calcA'!AP$110:AP$114,$F22+1)+IF(AND($E22=1,KC22=0),1000,0)+IF($H22=1,INDEX('calcA'!$D$180:$EQ$219,$B22,39)*500,0)-IF(AND('calcA'!AO$117=1,VM22&gt;0),300,0)-IF(AND($U22=1,'calcA'!AP$117=1,EO22=0),300,0))),1000000000))</f>
        <v/>
      </c>
      <c r="PS22">
        <f>IF($B22=0,1000000000,IF(INDEX('calcA'!$D$60:$EQ$99,$B22,40)*IF($W22=1,EO22+ABD22,EO22)=1,IF(AND($E22=2,IF($W22=1,AGS22,KD22)=0),1000000000,IF($V22=1,INDEX('calcA'!$D$130:$EQ$169,$B22,40)+IF(AND($E22=1,KD22=0),25,0),INDEX('calcA'!AQ$110:AQ$114,$F22+1)+IF(AND($E22=1,KD22=0),1000,0)+IF($H22=1,INDEX('calcA'!$D$180:$EQ$219,$B22,40)*500,0)-IF(AND('calcA'!AP$117=1,VN22&gt;0),300,0)-IF(AND($U22=1,'calcA'!AQ$117=1,EP22=0),300,0))),1000000000))</f>
        <v/>
      </c>
      <c r="PT22">
        <f>IF($B22=0,1000000000,IF(INDEX('calcA'!$D$60:$EQ$99,$B22,41)*IF($W22=1,EP22+ABE22,EP22)=1,IF(AND($E22=2,IF($W22=1,AGT22,KE22)=0),1000000000,IF($V22=1,INDEX('calcA'!$D$130:$EQ$169,$B22,41)+IF(AND($E22=1,KE22=0),25,0),INDEX('calcA'!AR$110:AR$114,$F22+1)+IF(AND($E22=1,KE22=0),1000,0)+IF($H22=1,INDEX('calcA'!$D$180:$EQ$219,$B22,41)*500,0)-IF(AND('calcA'!AQ$117=1,VO22&gt;0),300,0)-IF(AND($U22=1,'calcA'!AR$117=1,EQ22=0),300,0))),1000000000))</f>
        <v/>
      </c>
      <c r="PU22">
        <f>IF($B22=0,1000000000,IF(INDEX('calcA'!$D$60:$EQ$99,$B22,42)*IF($W22=1,EQ22+ABF22,EQ22)=1,IF(AND($E22=2,IF($W22=1,AGU22,KF22)=0),1000000000,IF($V22=1,INDEX('calcA'!$D$130:$EQ$169,$B22,42)+IF(AND($E22=1,KF22=0),25,0),INDEX('calcA'!AS$110:AS$114,$F22+1)+IF(AND($E22=1,KF22=0),1000,0)+IF($H22=1,INDEX('calcA'!$D$180:$EQ$219,$B22,42)*500,0)-IF(AND('calcA'!AR$117=1,VP22&gt;0),300,0)-IF(AND($U22=1,'calcA'!AS$117=1,ER22=0),300,0))),1000000000))</f>
        <v/>
      </c>
      <c r="PV22">
        <f>IF($B22=0,1000000000,IF(INDEX('calcA'!$D$60:$EQ$99,$B22,43)*IF($W22=1,ER22+ABG22,ER22)=1,IF(AND($E22=2,IF($W22=1,AGV22,KG22)=0),1000000000,IF($V22=1,INDEX('calcA'!$D$130:$EQ$169,$B22,43)+IF(AND($E22=1,KG22=0),25,0),INDEX('calcA'!AT$110:AT$114,$F22+1)+IF(AND($E22=1,KG22=0),1000,0)+IF($H22=1,INDEX('calcA'!$D$180:$EQ$219,$B22,43)*500,0)-IF(AND('calcA'!AS$117=1,VQ22&gt;0),300,0)-IF(AND($U22=1,'calcA'!AT$117=1,ES22=0),300,0))),1000000000))</f>
        <v/>
      </c>
      <c r="PW22">
        <f>IF($B22=0,1000000000,IF(INDEX('calcA'!$D$60:$EQ$99,$B22,44)*IF($W22=1,ES22+ABH22,ES22)=1,IF(AND($E22=2,IF($W22=1,AGW22,KH22)=0),1000000000,IF($V22=1,INDEX('calcA'!$D$130:$EQ$169,$B22,44)+IF(AND($E22=1,KH22=0),25,0),INDEX('calcA'!AU$110:AU$114,$F22+1)+IF(AND($E22=1,KH22=0),1000,0)+IF($H22=1,INDEX('calcA'!$D$180:$EQ$219,$B22,44)*500,0)-IF(AND('calcA'!AT$117=1,VR22&gt;0),300,0)-IF(AND($U22=1,'calcA'!AU$117=1,ET22=0),300,0))),1000000000))</f>
        <v/>
      </c>
      <c r="PX22">
        <f>IF($B22=0,1000000000,IF(INDEX('calcA'!$D$60:$EQ$99,$B22,45)*IF($W22=1,ET22+ABI22,ET22)=1,IF(AND($E22=2,IF($W22=1,AGX22,KI22)=0),1000000000,IF($V22=1,INDEX('calcA'!$D$130:$EQ$169,$B22,45)+IF(AND($E22=1,KI22=0),25,0),INDEX('calcA'!AV$110:AV$114,$F22+1)+IF(AND($E22=1,KI22=0),1000,0)+IF($H22=1,INDEX('calcA'!$D$180:$EQ$219,$B22,45)*500,0)-IF(AND('calcA'!AU$117=1,VS22&gt;0),300,0)-IF(AND($U22=1,'calcA'!AV$117=1,EU22=0),300,0))),1000000000))</f>
        <v/>
      </c>
      <c r="PY22">
        <f>IF($B22=0,1000000000,IF(INDEX('calcA'!$D$60:$EQ$99,$B22,46)*IF($W22=1,EU22+ABJ22,EU22)=1,IF(AND($E22=2,IF($W22=1,AGY22,KJ22)=0),1000000000,IF($V22=1,INDEX('calcA'!$D$130:$EQ$169,$B22,46)+IF(AND($E22=1,KJ22=0),25,0),INDEX('calcA'!AW$110:AW$114,$F22+1)+IF(AND($E22=1,KJ22=0),1000,0)+IF($H22=1,INDEX('calcA'!$D$180:$EQ$219,$B22,46)*500,0)-IF(AND('calcA'!AV$117=1,VT22&gt;0),300,0)-IF(AND($U22=1,'calcA'!AW$117=1,EV22=0),300,0))),1000000000))</f>
        <v/>
      </c>
      <c r="PZ22">
        <f>IF($B22=0,1000000000,IF(INDEX('calcA'!$D$60:$EQ$99,$B22,47)*IF($W22=1,EV22+ABK22,EV22)=1,IF(AND($E22=2,IF($W22=1,AGZ22,KK22)=0),1000000000,IF($V22=1,INDEX('calcA'!$D$130:$EQ$169,$B22,47)+IF(AND($E22=1,KK22=0),25,0),INDEX('calcA'!AX$110:AX$114,$F22+1)+IF(AND($E22=1,KK22=0),1000,0)+IF($H22=1,INDEX('calcA'!$D$180:$EQ$219,$B22,47)*500,0)-IF(AND('calcA'!AW$117=1,VU22&gt;0),300,0)-IF(AND($U22=1,'calcA'!AX$117=1,EW22=0),300,0))),1000000000))</f>
        <v/>
      </c>
      <c r="QA22">
        <f>IF($B22=0,1000000000,IF(INDEX('calcA'!$D$60:$EQ$99,$B22,48)*IF($W22=1,EW22+ABL22,EW22)=1,IF(AND($E22=2,IF($W22=1,AHA22,KL22)=0),1000000000,IF($V22=1,INDEX('calcA'!$D$130:$EQ$169,$B22,48)+IF(AND($E22=1,KL22=0),25,0),INDEX('calcA'!AY$110:AY$114,$F22+1)+IF(AND($E22=1,KL22=0),1000,0)+IF($H22=1,INDEX('calcA'!$D$180:$EQ$219,$B22,48)*500,0)-IF(AND('calcA'!AX$117=1,VV22&gt;0),300,0))),1000000000))</f>
        <v/>
      </c>
      <c r="QB22">
        <f>IF($B22=0,1000000000,IF(INDEX('calcA'!$D$60:$EQ$99,$B22,49)*IF($W22=1,EX22+ABM22,EX22)=1,IF(AND($E22=2,IF($W22=1,AHB22,KM22)=0),1000000000,IF($V22=1,INDEX('calcA'!$D$130:$EQ$169,$B22,49)+IF(AND($E22=1,KM22=0),25,0),INDEX('calcA'!AZ$110:AZ$114,$F22+1)+IF(AND($E22=1,KM22=0),1000,0)+IF($H22=1,INDEX('calcA'!$D$180:$EQ$219,$B22,49)*500,0)-IF(AND($U22=1,'calcA'!AZ$117=1,EY22=0),300,0))),1000000000))</f>
        <v/>
      </c>
      <c r="QC22">
        <f>IF($B22=0,1000000000,IF(INDEX('calcA'!$D$60:$EQ$99,$B22,50)*IF($W22=1,EY22+ABN22,EY22)=1,IF(AND($E22=2,IF($W22=1,AHC22,KN22)=0),1000000000,IF($V22=1,INDEX('calcA'!$D$130:$EQ$169,$B22,50)+IF(AND($E22=1,KN22=0),25,0),INDEX('calcA'!BA$110:BA$114,$F22+1)+IF(AND($E22=1,KN22=0),1000,0)+IF($H22=1,INDEX('calcA'!$D$180:$EQ$219,$B22,50)*500,0)-IF(AND('calcA'!AZ$117=1,VX22&gt;0),300,0)-IF(AND($U22=1,'calcA'!BA$117=1,EZ22=0),300,0))),1000000000))</f>
        <v/>
      </c>
      <c r="QD22">
        <f>IF($B22=0,1000000000,IF(INDEX('calcA'!$D$60:$EQ$99,$B22,51)*IF($W22=1,EZ22+ABO22,EZ22)=1,IF(AND($E22=2,IF($W22=1,AHD22,KO22)=0),1000000000,IF($V22=1,INDEX('calcA'!$D$130:$EQ$169,$B22,51)+IF(AND($E22=1,KO22=0),25,0),INDEX('calcA'!BB$110:BB$114,$F22+1)+IF(AND($E22=1,KO22=0),1000,0)+IF($H22=1,INDEX('calcA'!$D$180:$EQ$219,$B22,51)*500,0)-IF(AND('calcA'!BA$117=1,VY22&gt;0),300,0)-IF(AND($U22=1,'calcA'!BB$117=1,FA22=0),300,0))),1000000000))</f>
        <v/>
      </c>
      <c r="QE22">
        <f>IF($B22=0,1000000000,IF(INDEX('calcA'!$D$60:$EQ$99,$B22,52)*IF($W22=1,FA22+ABP22,FA22)=1,IF(AND($E22=2,IF($W22=1,AHE22,KP22)=0),1000000000,IF($V22=1,INDEX('calcA'!$D$130:$EQ$169,$B22,52)+IF(AND($E22=1,KP22=0),25,0),INDEX('calcA'!BC$110:BC$114,$F22+1)+IF(AND($E22=1,KP22=0),1000,0)+IF($H22=1,INDEX('calcA'!$D$180:$EQ$219,$B22,52)*500,0)-IF(AND('calcA'!BB$117=1,VZ22&gt;0),300,0)-IF(AND($U22=1,'calcA'!BC$117=1,FB22=0),300,0))),1000000000))</f>
        <v/>
      </c>
      <c r="QF22">
        <f>IF($B22=0,1000000000,IF(INDEX('calcA'!$D$60:$EQ$99,$B22,53)*IF($W22=1,FB22+ABQ22,FB22)=1,IF(AND($E22=2,IF($W22=1,AHF22,KQ22)=0),1000000000,IF($V22=1,INDEX('calcA'!$D$130:$EQ$169,$B22,53)+IF(AND($E22=1,KQ22=0),25,0),INDEX('calcA'!BD$110:BD$114,$F22+1)+IF(AND($E22=1,KQ22=0),1000,0)+IF($H22=1,INDEX('calcA'!$D$180:$EQ$219,$B22,53)*500,0)-IF(AND('calcA'!BC$117=1,WA22&gt;0),300,0)-IF(AND($U22=1,'calcA'!BD$117=1,FC22=0),300,0))),1000000000))</f>
        <v/>
      </c>
      <c r="QG22">
        <f>IF($B22=0,1000000000,IF(INDEX('calcA'!$D$60:$EQ$99,$B22,54)*IF($W22=1,FC22+ABR22,FC22)=1,IF(AND($E22=2,IF($W22=1,AHG22,KR22)=0),1000000000,IF($V22=1,INDEX('calcA'!$D$130:$EQ$169,$B22,54)+IF(AND($E22=1,KR22=0),25,0),INDEX('calcA'!BE$110:BE$114,$F22+1)+IF(AND($E22=1,KR22=0),1000,0)+IF($H22=1,INDEX('calcA'!$D$180:$EQ$219,$B22,54)*500,0)-IF(AND('calcA'!BD$117=1,WB22&gt;0),300,0)-IF(AND($U22=1,'calcA'!BE$117=1,FD22=0),300,0))),1000000000))</f>
        <v/>
      </c>
      <c r="QH22">
        <f>IF($B22=0,1000000000,IF(INDEX('calcA'!$D$60:$EQ$99,$B22,55)*IF($W22=1,FD22+ABS22,FD22)=1,IF(AND($E22=2,IF($W22=1,AHH22,KS22)=0),1000000000,IF($V22=1,INDEX('calcA'!$D$130:$EQ$169,$B22,55)+IF(AND($E22=1,KS22=0),25,0),INDEX('calcA'!BF$110:BF$114,$F22+1)+IF(AND($E22=1,KS22=0),1000,0)+IF($H22=1,INDEX('calcA'!$D$180:$EQ$219,$B22,55)*500,0)-IF(AND('calcA'!BE$117=1,WC22&gt;0),300,0)-IF(AND($U22=1,'calcA'!BF$117=1,FE22=0),300,0))),1000000000))</f>
        <v/>
      </c>
      <c r="QI22">
        <f>IF($B22=0,1000000000,IF(INDEX('calcA'!$D$60:$EQ$99,$B22,56)*IF($W22=1,FE22+ABT22,FE22)=1,IF(AND($E22=2,IF($W22=1,AHI22,KT22)=0),1000000000,IF($V22=1,INDEX('calcA'!$D$130:$EQ$169,$B22,56)+IF(AND($E22=1,KT22=0),25,0),INDEX('calcA'!BG$110:BG$114,$F22+1)+IF(AND($E22=1,KT22=0),1000,0)+IF($H22=1,INDEX('calcA'!$D$180:$EQ$219,$B22,56)*500,0)-IF(AND('calcA'!BF$117=1,WD22&gt;0),300,0)-IF(AND($U22=1,'calcA'!BG$117=1,FF22=0),300,0))),1000000000))</f>
        <v/>
      </c>
      <c r="QJ22">
        <f>IF($B22=0,1000000000,IF(INDEX('calcA'!$D$60:$EQ$99,$B22,57)*IF($W22=1,FF22+ABU22,FF22)=1,IF(AND($E22=2,IF($W22=1,AHJ22,KU22)=0),1000000000,IF($V22=1,INDEX('calcA'!$D$130:$EQ$169,$B22,57)+IF(AND($E22=1,KU22=0),25,0),INDEX('calcA'!BH$110:BH$114,$F22+1)+IF(AND($E22=1,KU22=0),1000,0)+IF($H22=1,INDEX('calcA'!$D$180:$EQ$219,$B22,57)*500,0)-IF(AND('calcA'!BG$117=1,WE22&gt;0),300,0)-IF(AND($U22=1,'calcA'!BH$117=1,FG22=0),300,0))),1000000000))</f>
        <v/>
      </c>
      <c r="QK22">
        <f>IF($B22=0,1000000000,IF(INDEX('calcA'!$D$60:$EQ$99,$B22,58)*IF($W22=1,FG22+ABV22,FG22)=1,IF(AND($E22=2,IF($W22=1,AHK22,KV22)=0),1000000000,IF($V22=1,INDEX('calcA'!$D$130:$EQ$169,$B22,58)+IF(AND($E22=1,KV22=0),25,0),INDEX('calcA'!BI$110:BI$114,$F22+1)+IF(AND($E22=1,KV22=0),1000,0)+IF($H22=1,INDEX('calcA'!$D$180:$EQ$219,$B22,58)*500,0)-IF(AND('calcA'!BH$117=1,WF22&gt;0),300,0)-IF(AND($U22=1,'calcA'!BI$117=1,FH22=0),300,0))),1000000000))</f>
        <v/>
      </c>
      <c r="QL22">
        <f>IF($B22=0,1000000000,IF(INDEX('calcA'!$D$60:$EQ$99,$B22,59)*IF($W22=1,FH22+ABW22,FH22)=1,IF(AND($E22=2,IF($W22=1,AHL22,KW22)=0),1000000000,IF($V22=1,INDEX('calcA'!$D$130:$EQ$169,$B22,59)+IF(AND($E22=1,KW22=0),25,0),INDEX('calcA'!BJ$110:BJ$114,$F22+1)+IF(AND($E22=1,KW22=0),1000,0)+IF($H22=1,INDEX('calcA'!$D$180:$EQ$219,$B22,59)*500,0)-IF(AND('calcA'!BI$117=1,WG22&gt;0),300,0)-IF(AND($U22=1,'calcA'!BJ$117=1,FI22=0),300,0))),1000000000))</f>
        <v/>
      </c>
      <c r="QM22">
        <f>IF($B22=0,1000000000,IF(INDEX('calcA'!$D$60:$EQ$99,$B22,60)*IF($W22=1,FI22+ABX22,FI22)=1,IF(AND($E22=2,IF($W22=1,AHM22,KX22)=0),1000000000,IF($V22=1,INDEX('calcA'!$D$130:$EQ$169,$B22,60)+IF(AND($E22=1,KX22=0),25,0),INDEX('calcA'!BK$110:BK$114,$F22+1)+IF(AND($E22=1,KX22=0),1000,0)+IF($H22=1,INDEX('calcA'!$D$180:$EQ$219,$B22,60)*500,0)-IF(AND('calcA'!BJ$117=1,WH22&gt;0),300,0)-IF(AND($U22=1,'calcA'!BK$117=1,FJ22=0),300,0))),1000000000))</f>
        <v/>
      </c>
      <c r="QN22">
        <f>IF($B22=0,1000000000,IF(INDEX('calcA'!$D$60:$EQ$99,$B22,61)*IF($W22=1,FJ22+ABY22,FJ22)=1,IF(AND($E22=2,IF($W22=1,AHN22,KY22)=0),1000000000,IF($V22=1,INDEX('calcA'!$D$130:$EQ$169,$B22,61)+IF(AND($E22=1,KY22=0),25,0),INDEX('calcA'!BL$110:BL$114,$F22+1)+IF(AND($E22=1,KY22=0),1000,0)+IF($H22=1,INDEX('calcA'!$D$180:$EQ$219,$B22,61)*500,0)-IF(AND('calcA'!BK$117=1,WI22&gt;0),300,0)-IF(AND($U22=1,'calcA'!BL$117=1,FK22=0),300,0))),1000000000))</f>
        <v/>
      </c>
      <c r="QO22">
        <f>IF($B22=0,1000000000,IF(INDEX('calcA'!$D$60:$EQ$99,$B22,62)*IF($W22=1,FK22+ABZ22,FK22)=1,IF(AND($E22=2,IF($W22=1,AHO22,KZ22)=0),1000000000,IF($V22=1,INDEX('calcA'!$D$130:$EQ$169,$B22,62)+IF(AND($E22=1,KZ22=0),25,0),INDEX('calcA'!BM$110:BM$114,$F22+1)+IF(AND($E22=1,KZ22=0),1000,0)+IF($H22=1,INDEX('calcA'!$D$180:$EQ$219,$B22,62)*500,0)-IF(AND('calcA'!BL$117=1,WJ22&gt;0),300,0)-IF(AND($U22=1,'calcA'!BM$117=1,FL22=0),300,0))),1000000000))</f>
        <v/>
      </c>
      <c r="QP22">
        <f>IF($B22=0,1000000000,IF(INDEX('calcA'!$D$60:$EQ$99,$B22,63)*IF($W22=1,FL22+ACA22,FL22)=1,IF(AND($E22=2,IF($W22=1,AHP22,LA22)=0),1000000000,IF($V22=1,INDEX('calcA'!$D$130:$EQ$169,$B22,63)+IF(AND($E22=1,LA22=0),25,0),INDEX('calcA'!BN$110:BN$114,$F22+1)+IF(AND($E22=1,LA22=0),1000,0)+IF($H22=1,INDEX('calcA'!$D$180:$EQ$219,$B22,63)*500,0)-IF(AND('calcA'!BM$117=1,WK22&gt;0),300,0)-IF(AND($U22=1,'calcA'!BN$117=1,FM22=0),300,0))),1000000000))</f>
        <v/>
      </c>
      <c r="QQ22">
        <f>IF($B22=0,1000000000,IF(INDEX('calcA'!$D$60:$EQ$99,$B22,64)*IF($W22=1,FM22+ACB22,FM22)=1,IF(AND($E22=2,IF($W22=1,AHQ22,LB22)=0),1000000000,IF($V22=1,INDEX('calcA'!$D$130:$EQ$169,$B22,64)+IF(AND($E22=1,LB22=0),25,0),INDEX('calcA'!BO$110:BO$114,$F22+1)+IF(AND($E22=1,LB22=0),1000,0)+IF($H22=1,INDEX('calcA'!$D$180:$EQ$219,$B22,64)*500,0)-IF(AND('calcA'!BN$117=1,WL22&gt;0),300,0)-IF(AND($U22=1,'calcA'!BO$117=1,FN22=0),300,0))),1000000000))</f>
        <v/>
      </c>
      <c r="QR22">
        <f>IF($B22=0,1000000000,IF(INDEX('calcA'!$D$60:$EQ$99,$B22,65)*IF($W22=1,FN22+ACC22,FN22)=1,IF(AND($E22=2,IF($W22=1,AHR22,LC22)=0),1000000000,IF($V22=1,INDEX('calcA'!$D$130:$EQ$169,$B22,65)+IF(AND($E22=1,LC22=0),25,0),INDEX('calcA'!BP$110:BP$114,$F22+1)+IF(AND($E22=1,LC22=0),1000,0)+IF($H22=1,INDEX('calcA'!$D$180:$EQ$219,$B22,65)*500,0)-IF(AND('calcA'!BO$117=1,WM22&gt;0),300,0)-IF(AND($U22=1,'calcA'!BP$117=1,FO22=0),300,0))),1000000000))</f>
        <v/>
      </c>
      <c r="QS22">
        <f>IF($B22=0,1000000000,IF(INDEX('calcA'!$D$60:$EQ$99,$B22,66)*IF($W22=1,FO22+ACD22,FO22)=1,IF(AND($E22=2,IF($W22=1,AHS22,LD22)=0),1000000000,IF($V22=1,INDEX('calcA'!$D$130:$EQ$169,$B22,66)+IF(AND($E22=1,LD22=0),25,0),INDEX('calcA'!BQ$110:BQ$114,$F22+1)+IF(AND($E22=1,LD22=0),1000,0)+IF($H22=1,INDEX('calcA'!$D$180:$EQ$219,$B22,66)*500,0)-IF(AND('calcA'!BP$117=1,WN22&gt;0),300,0)-IF(AND($U22=1,'calcA'!BQ$117=1,FP22=0),300,0))),1000000000))</f>
        <v/>
      </c>
      <c r="QT22">
        <f>IF($B22=0,1000000000,IF(INDEX('calcA'!$D$60:$EQ$99,$B22,67)*IF($W22=1,FP22+ACE22,FP22)=1,IF(AND($E22=2,IF($W22=1,AHT22,LE22)=0),1000000000,IF($V22=1,INDEX('calcA'!$D$130:$EQ$169,$B22,67)+IF(AND($E22=1,LE22=0),25,0),INDEX('calcA'!BR$110:BR$114,$F22+1)+IF(AND($E22=1,LE22=0),1000,0)+IF($H22=1,INDEX('calcA'!$D$180:$EQ$219,$B22,67)*500,0)-IF(AND('calcA'!BQ$117=1,WO22&gt;0),300,0)-IF(AND($U22=1,'calcA'!BR$117=1,FQ22=0),300,0))),1000000000))</f>
        <v/>
      </c>
      <c r="QU22">
        <f>IF($B22=0,1000000000,IF(INDEX('calcA'!$D$60:$EQ$99,$B22,68)*IF($W22=1,FQ22+ACF22,FQ22)=1,IF(AND($E22=2,IF($W22=1,AHU22,LF22)=0),1000000000,IF($V22=1,INDEX('calcA'!$D$130:$EQ$169,$B22,68)+IF(AND($E22=1,LF22=0),25,0),INDEX('calcA'!BS$110:BS$114,$F22+1)+IF(AND($E22=1,LF22=0),1000,0)+IF($H22=1,INDEX('calcA'!$D$180:$EQ$219,$B22,68)*500,0)-IF(AND('calcA'!BR$117=1,WP22&gt;0),300,0)-IF(AND($U22=1,'calcA'!BS$117=1,FR22=0),300,0))),1000000000))</f>
        <v/>
      </c>
      <c r="QV22">
        <f>IF($B22=0,1000000000,IF(INDEX('calcA'!$D$60:$EQ$99,$B22,69)*IF($W22=1,FR22+ACG22,FR22)=1,IF(AND($E22=2,IF($W22=1,AHV22,LG22)=0),1000000000,IF($V22=1,INDEX('calcA'!$D$130:$EQ$169,$B22,69)+IF(AND($E22=1,LG22=0),25,0),INDEX('calcA'!BT$110:BT$114,$F22+1)+IF(AND($E22=1,LG22=0),1000,0)+IF($H22=1,INDEX('calcA'!$D$180:$EQ$219,$B22,69)*500,0)-IF(AND('calcA'!BS$117=1,WQ22&gt;0),300,0)-IF(AND($U22=1,'calcA'!BT$117=1,FS22=0),300,0))),1000000000))</f>
        <v/>
      </c>
      <c r="QW22">
        <f>IF($B22=0,1000000000,IF(INDEX('calcA'!$D$60:$EQ$99,$B22,70)*IF($W22=1,FS22+ACH22,FS22)=1,IF(AND($E22=2,IF($W22=1,AHW22,LH22)=0),1000000000,IF($V22=1,INDEX('calcA'!$D$130:$EQ$169,$B22,70)+IF(AND($E22=1,LH22=0),25,0),INDEX('calcA'!BU$110:BU$114,$F22+1)+IF(AND($E22=1,LH22=0),1000,0)+IF($H22=1,INDEX('calcA'!$D$180:$EQ$219,$B22,70)*500,0)-IF(AND('calcA'!BT$117=1,WR22&gt;0),300,0)-IF(AND($U22=1,'calcA'!BU$117=1,FT22=0),300,0))),1000000000))</f>
        <v/>
      </c>
      <c r="QX22">
        <f>IF($B22=0,1000000000,IF(INDEX('calcA'!$D$60:$EQ$99,$B22,71)*IF($W22=1,FT22+ACI22,FT22)=1,IF(AND($E22=2,IF($W22=1,AHX22,LI22)=0),1000000000,IF($V22=1,INDEX('calcA'!$D$130:$EQ$169,$B22,71)+IF(AND($E22=1,LI22=0),25,0),INDEX('calcA'!BV$110:BV$114,$F22+1)+IF(AND($E22=1,LI22=0),1000,0)+IF($H22=1,INDEX('calcA'!$D$180:$EQ$219,$B22,71)*500,0)-IF(AND('calcA'!BU$117=1,WS22&gt;0),300,0)-IF(AND($U22=1,'calcA'!BV$117=1,FU22=0),300,0))),1000000000))</f>
        <v/>
      </c>
      <c r="QY22">
        <f>IF($B22=0,1000000000,IF(INDEX('calcA'!$D$60:$EQ$99,$B22,72)*IF($W22=1,FU22+ACJ22,FU22)=1,IF(AND($E22=2,IF($W22=1,AHY22,LJ22)=0),1000000000,IF($V22=1,INDEX('calcA'!$D$130:$EQ$169,$B22,72)+IF(AND($E22=1,LJ22=0),25,0),INDEX('calcA'!BW$110:BW$114,$F22+1)+IF(AND($E22=1,LJ22=0),1000,0)+IF($H22=1,INDEX('calcA'!$D$180:$EQ$219,$B22,72)*500,0)-IF(AND('calcA'!BV$117=1,WT22&gt;0),300,0))),1000000000))</f>
        <v/>
      </c>
      <c r="QZ22">
        <f>IF($B22=0,1000000000,IF(INDEX('calcA'!$D$60:$EQ$99,$B22,73)*IF($W22=1,FV22+ACK22,FV22)=1,IF(AND($E22=2,IF($W22=1,AHZ22,LK22)=0),1000000000,IF($V22=1,INDEX('calcA'!$D$130:$EQ$169,$B22,73)+IF(AND($E22=1,LK22=0),25,0),INDEX('calcA'!BX$110:BX$114,$F22+1)+IF(AND($E22=1,LK22=0),1000,0)+IF($H22=1,INDEX('calcA'!$D$180:$EQ$219,$B22,73)*500,0)-IF(AND($U22=1,'calcA'!BX$117=1,FW22=0),300,0))),1000000000))</f>
        <v/>
      </c>
      <c r="RA22">
        <f>IF($B22=0,1000000000,IF(INDEX('calcA'!$D$60:$EQ$99,$B22,74)*IF($W22=1,FW22+ACL22,FW22)=1,IF(AND($E22=2,IF($W22=1,AIA22,LL22)=0),1000000000,IF($V22=1,INDEX('calcA'!$D$130:$EQ$169,$B22,74)+IF(AND($E22=1,LL22=0),25,0),INDEX('calcA'!BY$110:BY$114,$F22+1)+IF(AND($E22=1,LL22=0),1000,0)+IF($H22=1,INDEX('calcA'!$D$180:$EQ$219,$B22,74)*500,0)-IF(AND('calcA'!BX$117=1,WV22&gt;0),300,0)-IF(AND($U22=1,'calcA'!BY$117=1,FX22=0),300,0))),1000000000))</f>
        <v/>
      </c>
      <c r="RB22">
        <f>IF($B22=0,1000000000,IF(INDEX('calcA'!$D$60:$EQ$99,$B22,75)*IF($W22=1,FX22+ACM22,FX22)=1,IF(AND($E22=2,IF($W22=1,AIB22,LM22)=0),1000000000,IF($V22=1,INDEX('calcA'!$D$130:$EQ$169,$B22,75)+IF(AND($E22=1,LM22=0),25,0),INDEX('calcA'!BZ$110:BZ$114,$F22+1)+IF(AND($E22=1,LM22=0),1000,0)+IF($H22=1,INDEX('calcA'!$D$180:$EQ$219,$B22,75)*500,0)-IF(AND('calcA'!BY$117=1,WW22&gt;0),300,0)-IF(AND($U22=1,'calcA'!BZ$117=1,FY22=0),300,0))),1000000000))</f>
        <v/>
      </c>
      <c r="RC22">
        <f>IF($B22=0,1000000000,IF(INDEX('calcA'!$D$60:$EQ$99,$B22,76)*IF($W22=1,FY22+ACN22,FY22)=1,IF(AND($E22=2,IF($W22=1,AIC22,LN22)=0),1000000000,IF($V22=1,INDEX('calcA'!$D$130:$EQ$169,$B22,76)+IF(AND($E22=1,LN22=0),25,0),INDEX('calcA'!CA$110:CA$114,$F22+1)+IF(AND($E22=1,LN22=0),1000,0)+IF($H22=1,INDEX('calcA'!$D$180:$EQ$219,$B22,76)*500,0)-IF(AND('calcA'!BZ$117=1,WX22&gt;0),300,0)-IF(AND($U22=1,'calcA'!CA$117=1,FZ22=0),300,0))),1000000000))</f>
        <v/>
      </c>
      <c r="RD22">
        <f>IF($B22=0,1000000000,IF(INDEX('calcA'!$D$60:$EQ$99,$B22,77)*IF($W22=1,FZ22+ACO22,FZ22)=1,IF(AND($E22=2,IF($W22=1,AID22,LO22)=0),1000000000,IF($V22=1,INDEX('calcA'!$D$130:$EQ$169,$B22,77)+IF(AND($E22=1,LO22=0),25,0),INDEX('calcA'!CB$110:CB$114,$F22+1)+IF(AND($E22=1,LO22=0),1000,0)+IF($H22=1,INDEX('calcA'!$D$180:$EQ$219,$B22,77)*500,0)-IF(AND('calcA'!CA$117=1,WY22&gt;0),300,0)-IF(AND($U22=1,'calcA'!CB$117=1,GA22=0),300,0))),1000000000))</f>
        <v/>
      </c>
      <c r="RE22">
        <f>IF($B22=0,1000000000,IF(INDEX('calcA'!$D$60:$EQ$99,$B22,78)*IF($W22=1,GA22+ACP22,GA22)=1,IF(AND($E22=2,IF($W22=1,AIE22,LP22)=0),1000000000,IF($V22=1,INDEX('calcA'!$D$130:$EQ$169,$B22,78)+IF(AND($E22=1,LP22=0),25,0),INDEX('calcA'!CC$110:CC$114,$F22+1)+IF(AND($E22=1,LP22=0),1000,0)+IF($H22=1,INDEX('calcA'!$D$180:$EQ$219,$B22,78)*500,0)-IF(AND('calcA'!CB$117=1,WZ22&gt;0),300,0)-IF(AND($U22=1,'calcA'!CC$117=1,GB22=0),300,0))),1000000000))</f>
        <v/>
      </c>
      <c r="RF22">
        <f>IF($B22=0,1000000000,IF(INDEX('calcA'!$D$60:$EQ$99,$B22,79)*IF($W22=1,GB22+ACQ22,GB22)=1,IF(AND($E22=2,IF($W22=1,AIF22,LQ22)=0),1000000000,IF($V22=1,INDEX('calcA'!$D$130:$EQ$169,$B22,79)+IF(AND($E22=1,LQ22=0),25,0),INDEX('calcA'!CD$110:CD$114,$F22+1)+IF(AND($E22=1,LQ22=0),1000,0)+IF($H22=1,INDEX('calcA'!$D$180:$EQ$219,$B22,79)*500,0)-IF(AND('calcA'!CC$117=1,XA22&gt;0),300,0)-IF(AND($U22=1,'calcA'!CD$117=1,GC22=0),300,0))),1000000000))</f>
        <v/>
      </c>
      <c r="RG22">
        <f>IF($B22=0,1000000000,IF(INDEX('calcA'!$D$60:$EQ$99,$B22,80)*IF($W22=1,GC22+ACR22,GC22)=1,IF(AND($E22=2,IF($W22=1,AIG22,LR22)=0),1000000000,IF($V22=1,INDEX('calcA'!$D$130:$EQ$169,$B22,80)+IF(AND($E22=1,LR22=0),25,0),INDEX('calcA'!CE$110:CE$114,$F22+1)+IF(AND($E22=1,LR22=0),1000,0)+IF($H22=1,INDEX('calcA'!$D$180:$EQ$219,$B22,80)*500,0)-IF(AND('calcA'!CD$117=1,XB22&gt;0),300,0)-IF(AND($U22=1,'calcA'!CE$117=1,GD22=0),300,0))),1000000000))</f>
        <v/>
      </c>
      <c r="RH22">
        <f>IF($B22=0,1000000000,IF(INDEX('calcA'!$D$60:$EQ$99,$B22,81)*IF($W22=1,GD22+ACS22,GD22)=1,IF(AND($E22=2,IF($W22=1,AIH22,LS22)=0),1000000000,IF($V22=1,INDEX('calcA'!$D$130:$EQ$169,$B22,81)+IF(AND($E22=1,LS22=0),25,0),INDEX('calcA'!CF$110:CF$114,$F22+1)+IF(AND($E22=1,LS22=0),1000,0)+IF($H22=1,INDEX('calcA'!$D$180:$EQ$219,$B22,81)*500,0)-IF(AND('calcA'!CE$117=1,XC22&gt;0),300,0)-IF(AND($U22=1,'calcA'!CF$117=1,GE22=0),300,0))),1000000000))</f>
        <v/>
      </c>
      <c r="RI22">
        <f>IF($B22=0,1000000000,IF(INDEX('calcA'!$D$60:$EQ$99,$B22,82)*IF($W22=1,GE22+ACT22,GE22)=1,IF(AND($E22=2,IF($W22=1,AII22,LT22)=0),1000000000,IF($V22=1,INDEX('calcA'!$D$130:$EQ$169,$B22,82)+IF(AND($E22=1,LT22=0),25,0),INDEX('calcA'!CG$110:CG$114,$F22+1)+IF(AND($E22=1,LT22=0),1000,0)+IF($H22=1,INDEX('calcA'!$D$180:$EQ$219,$B22,82)*500,0)-IF(AND('calcA'!CF$117=1,XD22&gt;0),300,0)-IF(AND($U22=1,'calcA'!CG$117=1,GF22=0),300,0))),1000000000))</f>
        <v/>
      </c>
      <c r="RJ22">
        <f>IF($B22=0,1000000000,IF(INDEX('calcA'!$D$60:$EQ$99,$B22,83)*IF($W22=1,GF22+ACU22,GF22)=1,IF(AND($E22=2,IF($W22=1,AIJ22,LU22)=0),1000000000,IF($V22=1,INDEX('calcA'!$D$130:$EQ$169,$B22,83)+IF(AND($E22=1,LU22=0),25,0),INDEX('calcA'!CH$110:CH$114,$F22+1)+IF(AND($E22=1,LU22=0),1000,0)+IF($H22=1,INDEX('calcA'!$D$180:$EQ$219,$B22,83)*500,0)-IF(AND('calcA'!CG$117=1,XE22&gt;0),300,0)-IF(AND($U22=1,'calcA'!CH$117=1,GG22=0),300,0))),1000000000))</f>
        <v/>
      </c>
      <c r="RK22">
        <f>IF($B22=0,1000000000,IF(INDEX('calcA'!$D$60:$EQ$99,$B22,84)*IF($W22=1,GG22+ACV22,GG22)=1,IF(AND($E22=2,IF($W22=1,AIK22,LV22)=0),1000000000,IF($V22=1,INDEX('calcA'!$D$130:$EQ$169,$B22,84)+IF(AND($E22=1,LV22=0),25,0),INDEX('calcA'!CI$110:CI$114,$F22+1)+IF(AND($E22=1,LV22=0),1000,0)+IF($H22=1,INDEX('calcA'!$D$180:$EQ$219,$B22,84)*500,0)-IF(AND('calcA'!CH$117=1,XF22&gt;0),300,0)-IF(AND($U22=1,'calcA'!CI$117=1,GH22=0),300,0))),1000000000))</f>
        <v/>
      </c>
      <c r="RL22">
        <f>IF($B22=0,1000000000,IF(INDEX('calcA'!$D$60:$EQ$99,$B22,85)*IF($W22=1,GH22+ACW22,GH22)=1,IF(AND($E22=2,IF($W22=1,AIL22,LW22)=0),1000000000,IF($V22=1,INDEX('calcA'!$D$130:$EQ$169,$B22,85)+IF(AND($E22=1,LW22=0),25,0),INDEX('calcA'!CJ$110:CJ$114,$F22+1)+IF(AND($E22=1,LW22=0),1000,0)+IF($H22=1,INDEX('calcA'!$D$180:$EQ$219,$B22,85)*500,0)-IF(AND('calcA'!CI$117=1,XG22&gt;0),300,0)-IF(AND($U22=1,'calcA'!CJ$117=1,GI22=0),300,0))),1000000000))</f>
        <v/>
      </c>
      <c r="RM22">
        <f>IF($B22=0,1000000000,IF(INDEX('calcA'!$D$60:$EQ$99,$B22,86)*IF($W22=1,GI22+ACX22,GI22)=1,IF(AND($E22=2,IF($W22=1,AIM22,LX22)=0),1000000000,IF($V22=1,INDEX('calcA'!$D$130:$EQ$169,$B22,86)+IF(AND($E22=1,LX22=0),25,0),INDEX('calcA'!CK$110:CK$114,$F22+1)+IF(AND($E22=1,LX22=0),1000,0)+IF($H22=1,INDEX('calcA'!$D$180:$EQ$219,$B22,86)*500,0)-IF(AND('calcA'!CJ$117=1,XH22&gt;0),300,0)-IF(AND($U22=1,'calcA'!CK$117=1,GJ22=0),300,0))),1000000000))</f>
        <v/>
      </c>
      <c r="RN22">
        <f>IF($B22=0,1000000000,IF(INDEX('calcA'!$D$60:$EQ$99,$B22,87)*IF($W22=1,GJ22+ACY22,GJ22)=1,IF(AND($E22=2,IF($W22=1,AIN22,LY22)=0),1000000000,IF($V22=1,INDEX('calcA'!$D$130:$EQ$169,$B22,87)+IF(AND($E22=1,LY22=0),25,0),INDEX('calcA'!CL$110:CL$114,$F22+1)+IF(AND($E22=1,LY22=0),1000,0)+IF($H22=1,INDEX('calcA'!$D$180:$EQ$219,$B22,87)*500,0)-IF(AND('calcA'!CK$117=1,XI22&gt;0),300,0)-IF(AND($U22=1,'calcA'!CL$117=1,GK22=0),300,0))),1000000000))</f>
        <v/>
      </c>
      <c r="RO22">
        <f>IF($B22=0,1000000000,IF(INDEX('calcA'!$D$60:$EQ$99,$B22,88)*IF($W22=1,GK22+ACZ22,GK22)=1,IF(AND($E22=2,IF($W22=1,AIO22,LZ22)=0),1000000000,IF($V22=1,INDEX('calcA'!$D$130:$EQ$169,$B22,88)+IF(AND($E22=1,LZ22=0),25,0),INDEX('calcA'!CM$110:CM$114,$F22+1)+IF(AND($E22=1,LZ22=0),1000,0)+IF($H22=1,INDEX('calcA'!$D$180:$EQ$219,$B22,88)*500,0)-IF(AND('calcA'!CL$117=1,XJ22&gt;0),300,0)-IF(AND($U22=1,'calcA'!CM$117=1,GL22=0),300,0))),1000000000))</f>
        <v/>
      </c>
      <c r="RP22">
        <f>IF($B22=0,1000000000,IF(INDEX('calcA'!$D$60:$EQ$99,$B22,89)*IF($W22=1,GL22+ADA22,GL22)=1,IF(AND($E22=2,IF($W22=1,AIP22,MA22)=0),1000000000,IF($V22=1,INDEX('calcA'!$D$130:$EQ$169,$B22,89)+IF(AND($E22=1,MA22=0),25,0),INDEX('calcA'!CN$110:CN$114,$F22+1)+IF(AND($E22=1,MA22=0),1000,0)+IF($H22=1,INDEX('calcA'!$D$180:$EQ$219,$B22,89)*500,0)-IF(AND('calcA'!CM$117=1,XK22&gt;0),300,0)-IF(AND($U22=1,'calcA'!CN$117=1,GM22=0),300,0))),1000000000))</f>
        <v/>
      </c>
      <c r="RQ22">
        <f>IF($B22=0,1000000000,IF(INDEX('calcA'!$D$60:$EQ$99,$B22,90)*IF($W22=1,GM22+ADB22,GM22)=1,IF(AND($E22=2,IF($W22=1,AIQ22,MB22)=0),1000000000,IF($V22=1,INDEX('calcA'!$D$130:$EQ$169,$B22,90)+IF(AND($E22=1,MB22=0),25,0),INDEX('calcA'!CO$110:CO$114,$F22+1)+IF(AND($E22=1,MB22=0),1000,0)+IF($H22=1,INDEX('calcA'!$D$180:$EQ$219,$B22,90)*500,0)-IF(AND('calcA'!CN$117=1,XL22&gt;0),300,0)-IF(AND($U22=1,'calcA'!CO$117=1,GN22=0),300,0))),1000000000))</f>
        <v/>
      </c>
      <c r="RR22">
        <f>IF($B22=0,1000000000,IF(INDEX('calcA'!$D$60:$EQ$99,$B22,91)*IF($W22=1,GN22+ADC22,GN22)=1,IF(AND($E22=2,IF($W22=1,AIR22,MC22)=0),1000000000,IF($V22=1,INDEX('calcA'!$D$130:$EQ$169,$B22,91)+IF(AND($E22=1,MC22=0),25,0),INDEX('calcA'!CP$110:CP$114,$F22+1)+IF(AND($E22=1,MC22=0),1000,0)+IF($H22=1,INDEX('calcA'!$D$180:$EQ$219,$B22,91)*500,0)-IF(AND('calcA'!CO$117=1,XM22&gt;0),300,0)-IF(AND($U22=1,'calcA'!CP$117=1,GO22=0),300,0))),1000000000))</f>
        <v/>
      </c>
      <c r="RS22">
        <f>IF($B22=0,1000000000,IF(INDEX('calcA'!$D$60:$EQ$99,$B22,92)*IF($W22=1,GO22+ADD22,GO22)=1,IF(AND($E22=2,IF($W22=1,AIS22,MD22)=0),1000000000,IF($V22=1,INDEX('calcA'!$D$130:$EQ$169,$B22,92)+IF(AND($E22=1,MD22=0),25,0),INDEX('calcA'!CQ$110:CQ$114,$F22+1)+IF(AND($E22=1,MD22=0),1000,0)+IF($H22=1,INDEX('calcA'!$D$180:$EQ$219,$B22,92)*500,0)-IF(AND('calcA'!CP$117=1,XN22&gt;0),300,0)-IF(AND($U22=1,'calcA'!CQ$117=1,GP22=0),300,0))),1000000000))</f>
        <v/>
      </c>
      <c r="RT22">
        <f>IF($B22=0,1000000000,IF(INDEX('calcA'!$D$60:$EQ$99,$B22,93)*IF($W22=1,GP22+ADE22,GP22)=1,IF(AND($E22=2,IF($W22=1,AIT22,ME22)=0),1000000000,IF($V22=1,INDEX('calcA'!$D$130:$EQ$169,$B22,93)+IF(AND($E22=1,ME22=0),25,0),INDEX('calcA'!CR$110:CR$114,$F22+1)+IF(AND($E22=1,ME22=0),1000,0)+IF($H22=1,INDEX('calcA'!$D$180:$EQ$219,$B22,93)*500,0)-IF(AND('calcA'!CQ$117=1,XO22&gt;0),300,0)-IF(AND($U22=1,'calcA'!CR$117=1,GQ22=0),300,0))),1000000000))</f>
        <v/>
      </c>
      <c r="RU22">
        <f>IF($B22=0,1000000000,IF(INDEX('calcA'!$D$60:$EQ$99,$B22,94)*IF($W22=1,GQ22+ADF22,GQ22)=1,IF(AND($E22=2,IF($W22=1,AIU22,MF22)=0),1000000000,IF($V22=1,INDEX('calcA'!$D$130:$EQ$169,$B22,94)+IF(AND($E22=1,MF22=0),25,0),INDEX('calcA'!CS$110:CS$114,$F22+1)+IF(AND($E22=1,MF22=0),1000,0)+IF($H22=1,INDEX('calcA'!$D$180:$EQ$219,$B22,94)*500,0)-IF(AND('calcA'!CR$117=1,XP22&gt;0),300,0)-IF(AND($U22=1,'calcA'!CS$117=1,GR22=0),300,0))),1000000000))</f>
        <v/>
      </c>
      <c r="RV22">
        <f>IF($B22=0,1000000000,IF(INDEX('calcA'!$D$60:$EQ$99,$B22,95)*IF($W22=1,GR22+ADG22,GR22)=1,IF(AND($E22=2,IF($W22=1,AIV22,MG22)=0),1000000000,IF($V22=1,INDEX('calcA'!$D$130:$EQ$169,$B22,95)+IF(AND($E22=1,MG22=0),25,0),INDEX('calcA'!CT$110:CT$114,$F22+1)+IF(AND($E22=1,MG22=0),1000,0)+IF($H22=1,INDEX('calcA'!$D$180:$EQ$219,$B22,95)*500,0)-IF(AND('calcA'!CS$117=1,XQ22&gt;0),300,0)-IF(AND($U22=1,'calcA'!CT$117=1,GS22=0),300,0))),1000000000))</f>
        <v/>
      </c>
      <c r="RW22">
        <f>IF($B22=0,1000000000,IF(INDEX('calcA'!$D$60:$EQ$99,$B22,96)*IF($W22=1,GS22+ADH22,GS22)=1,IF(AND($E22=2,IF($W22=1,AIW22,MH22)=0),1000000000,IF($V22=1,INDEX('calcA'!$D$130:$EQ$169,$B22,96)+IF(AND($E22=1,MH22=0),25,0),INDEX('calcA'!CU$110:CU$114,$F22+1)+IF(AND($E22=1,MH22=0),1000,0)+IF($H22=1,INDEX('calcA'!$D$180:$EQ$219,$B22,96)*500,0)-IF(AND('calcA'!CT$117=1,XR22&gt;0),300,0))),1000000000))</f>
        <v/>
      </c>
      <c r="RX22">
        <f>IF($B22=0,1000000000,IF(INDEX('calcA'!$D$60:$EQ$99,$B22,97)*IF($W22=1,GT22+ADI22,GT22)=1,IF(AND($E22=2,IF($W22=1,AIX22,MI22)=0),1000000000,IF($V22=1,INDEX('calcA'!$D$130:$EQ$169,$B22,97)+IF(AND($E22=1,MI22=0),25,0),INDEX('calcA'!CV$110:CV$114,$F22+1)+IF(AND($E22=1,MI22=0),1000,0)+IF($H22=1,INDEX('calcA'!$D$180:$EQ$219,$B22,97)*500,0)-IF(AND($U22=1,'calcA'!CV$117=1,GU22=0),300,0))),1000000000))</f>
        <v/>
      </c>
      <c r="RY22">
        <f>IF($B22=0,1000000000,IF(INDEX('calcA'!$D$60:$EQ$99,$B22,98)*IF($W22=1,GU22+ADJ22,GU22)=1,IF(AND($E22=2,IF($W22=1,AIY22,MJ22)=0),1000000000,IF($V22=1,INDEX('calcA'!$D$130:$EQ$169,$B22,98)+IF(AND($E22=1,MJ22=0),25,0),INDEX('calcA'!CW$110:CW$114,$F22+1)+IF(AND($E22=1,MJ22=0),1000,0)+IF($H22=1,INDEX('calcA'!$D$180:$EQ$219,$B22,98)*500,0)-IF(AND('calcA'!CV$117=1,XT22&gt;0),300,0)-IF(AND($U22=1,'calcA'!CW$117=1,GV22=0),300,0))),1000000000))</f>
        <v/>
      </c>
      <c r="RZ22">
        <f>IF($B22=0,1000000000,IF(INDEX('calcA'!$D$60:$EQ$99,$B22,99)*IF($W22=1,GV22+ADK22,GV22)=1,IF(AND($E22=2,IF($W22=1,AIZ22,MK22)=0),1000000000,IF($V22=1,INDEX('calcA'!$D$130:$EQ$169,$B22,99)+IF(AND($E22=1,MK22=0),25,0),INDEX('calcA'!CX$110:CX$114,$F22+1)+IF(AND($E22=1,MK22=0),1000,0)+IF($H22=1,INDEX('calcA'!$D$180:$EQ$219,$B22,99)*500,0)-IF(AND('calcA'!CW$117=1,XU22&gt;0),300,0)-IF(AND($U22=1,'calcA'!CX$117=1,GW22=0),300,0))),1000000000))</f>
        <v/>
      </c>
      <c r="SA22">
        <f>IF($B22=0,1000000000,IF(INDEX('calcA'!$D$60:$EQ$99,$B22,100)*IF($W22=1,GW22+ADL22,GW22)=1,IF(AND($E22=2,IF($W22=1,AJA22,ML22)=0),1000000000,IF($V22=1,INDEX('calcA'!$D$130:$EQ$169,$B22,100)+IF(AND($E22=1,ML22=0),25,0),INDEX('calcA'!CY$110:CY$114,$F22+1)+IF(AND($E22=1,ML22=0),1000,0)+IF($H22=1,INDEX('calcA'!$D$180:$EQ$219,$B22,100)*500,0)-IF(AND('calcA'!CX$117=1,XV22&gt;0),300,0)-IF(AND($U22=1,'calcA'!CY$117=1,GX22=0),300,0))),1000000000))</f>
        <v/>
      </c>
      <c r="SB22">
        <f>IF($B22=0,1000000000,IF(INDEX('calcA'!$D$60:$EQ$99,$B22,101)*IF($W22=1,GX22+ADM22,GX22)=1,IF(AND($E22=2,IF($W22=1,AJB22,MM22)=0),1000000000,IF($V22=1,INDEX('calcA'!$D$130:$EQ$169,$B22,101)+IF(AND($E22=1,MM22=0),25,0),INDEX('calcA'!CZ$110:CZ$114,$F22+1)+IF(AND($E22=1,MM22=0),1000,0)+IF($H22=1,INDEX('calcA'!$D$180:$EQ$219,$B22,101)*500,0)-IF(AND('calcA'!CY$117=1,XW22&gt;0),300,0)-IF(AND($U22=1,'calcA'!CZ$117=1,GY22=0),300,0))),1000000000))</f>
        <v/>
      </c>
      <c r="SC22">
        <f>IF($B22=0,1000000000,IF(INDEX('calcA'!$D$60:$EQ$99,$B22,102)*IF($W22=1,GY22+ADN22,GY22)=1,IF(AND($E22=2,IF($W22=1,AJC22,MN22)=0),1000000000,IF($V22=1,INDEX('calcA'!$D$130:$EQ$169,$B22,102)+IF(AND($E22=1,MN22=0),25,0),INDEX('calcA'!DA$110:DA$114,$F22+1)+IF(AND($E22=1,MN22=0),1000,0)+IF($H22=1,INDEX('calcA'!$D$180:$EQ$219,$B22,102)*500,0)-IF(AND('calcA'!CZ$117=1,XX22&gt;0),300,0)-IF(AND($U22=1,'calcA'!DA$117=1,GZ22=0),300,0))),1000000000))</f>
        <v/>
      </c>
      <c r="SD22">
        <f>IF($B22=0,1000000000,IF(INDEX('calcA'!$D$60:$EQ$99,$B22,103)*IF($W22=1,GZ22+ADO22,GZ22)=1,IF(AND($E22=2,IF($W22=1,AJD22,MO22)=0),1000000000,IF($V22=1,INDEX('calcA'!$D$130:$EQ$169,$B22,103)+IF(AND($E22=1,MO22=0),25,0),INDEX('calcA'!DB$110:DB$114,$F22+1)+IF(AND($E22=1,MO22=0),1000,0)+IF($H22=1,INDEX('calcA'!$D$180:$EQ$219,$B22,103)*500,0)-IF(AND('calcA'!DA$117=1,XY22&gt;0),300,0)-IF(AND($U22=1,'calcA'!DB$117=1,HA22=0),300,0))),1000000000))</f>
        <v/>
      </c>
      <c r="SE22">
        <f>IF($B22=0,1000000000,IF(INDEX('calcA'!$D$60:$EQ$99,$B22,104)*IF($W22=1,HA22+ADP22,HA22)=1,IF(AND($E22=2,IF($W22=1,AJE22,MP22)=0),1000000000,IF($V22=1,INDEX('calcA'!$D$130:$EQ$169,$B22,104)+IF(AND($E22=1,MP22=0),25,0),INDEX('calcA'!DC$110:DC$114,$F22+1)+IF(AND($E22=1,MP22=0),1000,0)+IF($H22=1,INDEX('calcA'!$D$180:$EQ$219,$B22,104)*500,0)-IF(AND('calcA'!DB$117=1,XZ22&gt;0),300,0)-IF(AND($U22=1,'calcA'!DC$117=1,HB22=0),300,0))),1000000000))</f>
        <v/>
      </c>
      <c r="SF22">
        <f>IF($B22=0,1000000000,IF(INDEX('calcA'!$D$60:$EQ$99,$B22,105)*IF($W22=1,HB22+ADQ22,HB22)=1,IF(AND($E22=2,IF($W22=1,AJF22,MQ22)=0),1000000000,IF($V22=1,INDEX('calcA'!$D$130:$EQ$169,$B22,105)+IF(AND($E22=1,MQ22=0),25,0),INDEX('calcA'!DD$110:DD$114,$F22+1)+IF(AND($E22=1,MQ22=0),1000,0)+IF($H22=1,INDEX('calcA'!$D$180:$EQ$219,$B22,105)*500,0)-IF(AND('calcA'!DC$117=1,YA22&gt;0),300,0)-IF(AND($U22=1,'calcA'!DD$117=1,HC22=0),300,0))),1000000000))</f>
        <v/>
      </c>
      <c r="SG22">
        <f>IF($B22=0,1000000000,IF(INDEX('calcA'!$D$60:$EQ$99,$B22,106)*IF($W22=1,HC22+ADR22,HC22)=1,IF(AND($E22=2,IF($W22=1,AJG22,MR22)=0),1000000000,IF($V22=1,INDEX('calcA'!$D$130:$EQ$169,$B22,106)+IF(AND($E22=1,MR22=0),25,0),INDEX('calcA'!DE$110:DE$114,$F22+1)+IF(AND($E22=1,MR22=0),1000,0)+IF($H22=1,INDEX('calcA'!$D$180:$EQ$219,$B22,106)*500,0)-IF(AND('calcA'!DD$117=1,YB22&gt;0),300,0)-IF(AND($U22=1,'calcA'!DE$117=1,HD22=0),300,0))),1000000000))</f>
        <v/>
      </c>
      <c r="SH22">
        <f>IF($B22=0,1000000000,IF(INDEX('calcA'!$D$60:$EQ$99,$B22,107)*IF($W22=1,HD22+ADS22,HD22)=1,IF(AND($E22=2,IF($W22=1,AJH22,MS22)=0),1000000000,IF($V22=1,INDEX('calcA'!$D$130:$EQ$169,$B22,107)+IF(AND($E22=1,MS22=0),25,0),INDEX('calcA'!DF$110:DF$114,$F22+1)+IF(AND($E22=1,MS22=0),1000,0)+IF($H22=1,INDEX('calcA'!$D$180:$EQ$219,$B22,107)*500,0)-IF(AND('calcA'!DE$117=1,YC22&gt;0),300,0)-IF(AND($U22=1,'calcA'!DF$117=1,HE22=0),300,0))),1000000000))</f>
        <v/>
      </c>
      <c r="SI22">
        <f>IF($B22=0,1000000000,IF(INDEX('calcA'!$D$60:$EQ$99,$B22,108)*IF($W22=1,HE22+ADT22,HE22)=1,IF(AND($E22=2,IF($W22=1,AJI22,MT22)=0),1000000000,IF($V22=1,INDEX('calcA'!$D$130:$EQ$169,$B22,108)+IF(AND($E22=1,MT22=0),25,0),INDEX('calcA'!DG$110:DG$114,$F22+1)+IF(AND($E22=1,MT22=0),1000,0)+IF($H22=1,INDEX('calcA'!$D$180:$EQ$219,$B22,108)*500,0)-IF(AND('calcA'!DF$117=1,YD22&gt;0),300,0)-IF(AND($U22=1,'calcA'!DG$117=1,HF22=0),300,0))),1000000000))</f>
        <v/>
      </c>
      <c r="SJ22">
        <f>IF($B22=0,1000000000,IF(INDEX('calcA'!$D$60:$EQ$99,$B22,109)*IF($W22=1,HF22+ADU22,HF22)=1,IF(AND($E22=2,IF($W22=1,AJJ22,MU22)=0),1000000000,IF($V22=1,INDEX('calcA'!$D$130:$EQ$169,$B22,109)+IF(AND($E22=1,MU22=0),25,0),INDEX('calcA'!DH$110:DH$114,$F22+1)+IF(AND($E22=1,MU22=0),1000,0)+IF($H22=1,INDEX('calcA'!$D$180:$EQ$219,$B22,109)*500,0)-IF(AND('calcA'!DG$117=1,YE22&gt;0),300,0)-IF(AND($U22=1,'calcA'!DH$117=1,HG22=0),300,0))),1000000000))</f>
        <v/>
      </c>
      <c r="SK22">
        <f>IF($B22=0,1000000000,IF(INDEX('calcA'!$D$60:$EQ$99,$B22,110)*IF($W22=1,HG22+ADV22,HG22)=1,IF(AND($E22=2,IF($W22=1,AJK22,MV22)=0),1000000000,IF($V22=1,INDEX('calcA'!$D$130:$EQ$169,$B22,110)+IF(AND($E22=1,MV22=0),25,0),INDEX('calcA'!DI$110:DI$114,$F22+1)+IF(AND($E22=1,MV22=0),1000,0)+IF($H22=1,INDEX('calcA'!$D$180:$EQ$219,$B22,110)*500,0)-IF(AND('calcA'!DH$117=1,YF22&gt;0),300,0)-IF(AND($U22=1,'calcA'!DI$117=1,HH22=0),300,0))),1000000000))</f>
        <v/>
      </c>
      <c r="SL22">
        <f>IF($B22=0,1000000000,IF(INDEX('calcA'!$D$60:$EQ$99,$B22,111)*IF($W22=1,HH22+ADW22,HH22)=1,IF(AND($E22=2,IF($W22=1,AJL22,MW22)=0),1000000000,IF($V22=1,INDEX('calcA'!$D$130:$EQ$169,$B22,111)+IF(AND($E22=1,MW22=0),25,0),INDEX('calcA'!DJ$110:DJ$114,$F22+1)+IF(AND($E22=1,MW22=0),1000,0)+IF($H22=1,INDEX('calcA'!$D$180:$EQ$219,$B22,111)*500,0)-IF(AND('calcA'!DI$117=1,YG22&gt;0),300,0)-IF(AND($U22=1,'calcA'!DJ$117=1,HI22=0),300,0))),1000000000))</f>
        <v/>
      </c>
      <c r="SM22">
        <f>IF($B22=0,1000000000,IF(INDEX('calcA'!$D$60:$EQ$99,$B22,112)*IF($W22=1,HI22+ADX22,HI22)=1,IF(AND($E22=2,IF($W22=1,AJM22,MX22)=0),1000000000,IF($V22=1,INDEX('calcA'!$D$130:$EQ$169,$B22,112)+IF(AND($E22=1,MX22=0),25,0),INDEX('calcA'!DK$110:DK$114,$F22+1)+IF(AND($E22=1,MX22=0),1000,0)+IF($H22=1,INDEX('calcA'!$D$180:$EQ$219,$B22,112)*500,0)-IF(AND('calcA'!DJ$117=1,YH22&gt;0),300,0)-IF(AND($U22=1,'calcA'!DK$117=1,HJ22=0),300,0))),1000000000))</f>
        <v/>
      </c>
      <c r="SN22">
        <f>IF($B22=0,1000000000,IF(INDEX('calcA'!$D$60:$EQ$99,$B22,113)*IF($W22=1,HJ22+ADY22,HJ22)=1,IF(AND($E22=2,IF($W22=1,AJN22,MY22)=0),1000000000,IF($V22=1,INDEX('calcA'!$D$130:$EQ$169,$B22,113)+IF(AND($E22=1,MY22=0),25,0),INDEX('calcA'!DL$110:DL$114,$F22+1)+IF(AND($E22=1,MY22=0),1000,0)+IF($H22=1,INDEX('calcA'!$D$180:$EQ$219,$B22,113)*500,0)-IF(AND('calcA'!DK$117=1,YI22&gt;0),300,0)-IF(AND($U22=1,'calcA'!DL$117=1,HK22=0),300,0))),1000000000))</f>
        <v/>
      </c>
      <c r="SO22">
        <f>IF($B22=0,1000000000,IF(INDEX('calcA'!$D$60:$EQ$99,$B22,114)*IF($W22=1,HK22+ADZ22,HK22)=1,IF(AND($E22=2,IF($W22=1,AJO22,MZ22)=0),1000000000,IF($V22=1,INDEX('calcA'!$D$130:$EQ$169,$B22,114)+IF(AND($E22=1,MZ22=0),25,0),INDEX('calcA'!DM$110:DM$114,$F22+1)+IF(AND($E22=1,MZ22=0),1000,0)+IF($H22=1,INDEX('calcA'!$D$180:$EQ$219,$B22,114)*500,0)-IF(AND('calcA'!DL$117=1,YJ22&gt;0),300,0)-IF(AND($U22=1,'calcA'!DM$117=1,HL22=0),300,0))),1000000000))</f>
        <v/>
      </c>
      <c r="SP22">
        <f>IF($B22=0,1000000000,IF(INDEX('calcA'!$D$60:$EQ$99,$B22,115)*IF($W22=1,HL22+AEA22,HL22)=1,IF(AND($E22=2,IF($W22=1,AJP22,NA22)=0),1000000000,IF($V22=1,INDEX('calcA'!$D$130:$EQ$169,$B22,115)+IF(AND($E22=1,NA22=0),25,0),INDEX('calcA'!DN$110:DN$114,$F22+1)+IF(AND($E22=1,NA22=0),1000,0)+IF($H22=1,INDEX('calcA'!$D$180:$EQ$219,$B22,115)*500,0)-IF(AND('calcA'!DM$117=1,YK22&gt;0),300,0)-IF(AND($U22=1,'calcA'!DN$117=1,HM22=0),300,0))),1000000000))</f>
        <v/>
      </c>
      <c r="SQ22">
        <f>IF($B22=0,1000000000,IF(INDEX('calcA'!$D$60:$EQ$99,$B22,116)*IF($W22=1,HM22+AEB22,HM22)=1,IF(AND($E22=2,IF($W22=1,AJQ22,NB22)=0),1000000000,IF($V22=1,INDEX('calcA'!$D$130:$EQ$169,$B22,116)+IF(AND($E22=1,NB22=0),25,0),INDEX('calcA'!DO$110:DO$114,$F22+1)+IF(AND($E22=1,NB22=0),1000,0)+IF($H22=1,INDEX('calcA'!$D$180:$EQ$219,$B22,116)*500,0)-IF(AND('calcA'!DN$117=1,YL22&gt;0),300,0)-IF(AND($U22=1,'calcA'!DO$117=1,HN22=0),300,0))),1000000000))</f>
        <v/>
      </c>
      <c r="SR22">
        <f>IF($B22=0,1000000000,IF(INDEX('calcA'!$D$60:$EQ$99,$B22,117)*IF($W22=1,HN22+AEC22,HN22)=1,IF(AND($E22=2,IF($W22=1,AJR22,NC22)=0),1000000000,IF($V22=1,INDEX('calcA'!$D$130:$EQ$169,$B22,117)+IF(AND($E22=1,NC22=0),25,0),INDEX('calcA'!DP$110:DP$114,$F22+1)+IF(AND($E22=1,NC22=0),1000,0)+IF($H22=1,INDEX('calcA'!$D$180:$EQ$219,$B22,117)*500,0)-IF(AND('calcA'!DO$117=1,YM22&gt;0),300,0)-IF(AND($U22=1,'calcA'!DP$117=1,HO22=0),300,0))),1000000000))</f>
        <v/>
      </c>
      <c r="SS22">
        <f>IF($B22=0,1000000000,IF(INDEX('calcA'!$D$60:$EQ$99,$B22,118)*IF($W22=1,HO22+AED22,HO22)=1,IF(AND($E22=2,IF($W22=1,AJS22,ND22)=0),1000000000,IF($V22=1,INDEX('calcA'!$D$130:$EQ$169,$B22,118)+IF(AND($E22=1,ND22=0),25,0),INDEX('calcA'!DQ$110:DQ$114,$F22+1)+IF(AND($E22=1,ND22=0),1000,0)+IF($H22=1,INDEX('calcA'!$D$180:$EQ$219,$B22,118)*500,0)-IF(AND('calcA'!DP$117=1,YN22&gt;0),300,0)-IF(AND($U22=1,'calcA'!DQ$117=1,HP22=0),300,0))),1000000000))</f>
        <v/>
      </c>
      <c r="ST22">
        <f>IF($B22=0,1000000000,IF(INDEX('calcA'!$D$60:$EQ$99,$B22,119)*IF($W22=1,HP22+AEE22,HP22)=1,IF(AND($E22=2,IF($W22=1,AJT22,NE22)=0),1000000000,IF($V22=1,INDEX('calcA'!$D$130:$EQ$169,$B22,119)+IF(AND($E22=1,NE22=0),25,0),INDEX('calcA'!DR$110:DR$114,$F22+1)+IF(AND($E22=1,NE22=0),1000,0)+IF($H22=1,INDEX('calcA'!$D$180:$EQ$219,$B22,119)*500,0)-IF(AND('calcA'!DQ$117=1,YO22&gt;0),300,0)-IF(AND($U22=1,'calcA'!DR$117=1,HQ22=0),300,0))),1000000000))</f>
        <v/>
      </c>
      <c r="SU22">
        <f>IF($B22=0,1000000000,IF(INDEX('calcA'!$D$60:$EQ$99,$B22,120)*IF($W22=1,HQ22+AEF22,HQ22)=1,IF(AND($E22=2,IF($W22=1,AJU22,NF22)=0),1000000000,IF($V22=1,INDEX('calcA'!$D$130:$EQ$169,$B22,120)+IF(AND($E22=1,NF22=0),25,0),INDEX('calcA'!DS$110:DS$114,$F22+1)+IF(AND($E22=1,NF22=0),1000,0)+IF($H22=1,INDEX('calcA'!$D$180:$EQ$219,$B22,120)*500,0)-IF(AND('calcA'!DR$117=1,YP22&gt;0),300,0))),1000000000))</f>
        <v/>
      </c>
      <c r="SV22">
        <f>IF($B22=0,1000000000,IF(INDEX('calcA'!$D$60:$EQ$99,$B22,121)*IF($W22=1,HR22+AEG22,HR22)=1,IF(AND($E22=2,IF($W22=1,AJV22,NG22)=0),1000000000,IF($V22=1,INDEX('calcA'!$D$130:$EQ$169,$B22,121)+IF(AND($E22=1,NG22=0),25,0),INDEX('calcA'!DT$110:DT$114,$F22+1)+IF(AND($E22=1,NG22=0),1000,0)+IF($H22=1,INDEX('calcA'!$D$180:$EQ$219,$B22,121)*500,0)-IF(AND($U22=1,'calcA'!DT$117=1,HS22=0),300,0))),1000000000))</f>
        <v/>
      </c>
      <c r="SW22">
        <f>IF($B22=0,1000000000,IF(INDEX('calcA'!$D$60:$EQ$99,$B22,122)*IF($W22=1,HS22+AEH22,HS22)=1,IF(AND($E22=2,IF($W22=1,AJW22,NH22)=0),1000000000,IF($V22=1,INDEX('calcA'!$D$130:$EQ$169,$B22,122)+IF(AND($E22=1,NH22=0),25,0),INDEX('calcA'!DU$110:DU$114,$F22+1)+IF(AND($E22=1,NH22=0),1000,0)+IF($H22=1,INDEX('calcA'!$D$180:$EQ$219,$B22,122)*500,0)-IF(AND('calcA'!DT$117=1,YR22&gt;0),300,0)-IF(AND($U22=1,'calcA'!DU$117=1,HT22=0),300,0))),1000000000))</f>
        <v/>
      </c>
      <c r="SX22">
        <f>IF($B22=0,1000000000,IF(INDEX('calcA'!$D$60:$EQ$99,$B22,123)*IF($W22=1,HT22+AEI22,HT22)=1,IF(AND($E22=2,IF($W22=1,AJX22,NI22)=0),1000000000,IF($V22=1,INDEX('calcA'!$D$130:$EQ$169,$B22,123)+IF(AND($E22=1,NI22=0),25,0),INDEX('calcA'!DV$110:DV$114,$F22+1)+IF(AND($E22=1,NI22=0),1000,0)+IF($H22=1,INDEX('calcA'!$D$180:$EQ$219,$B22,123)*500,0)-IF(AND('calcA'!DU$117=1,YS22&gt;0),300,0)-IF(AND($U22=1,'calcA'!DV$117=1,HU22=0),300,0))),1000000000))</f>
        <v/>
      </c>
      <c r="SY22">
        <f>IF($B22=0,1000000000,IF(INDEX('calcA'!$D$60:$EQ$99,$B22,124)*IF($W22=1,HU22+AEJ22,HU22)=1,IF(AND($E22=2,IF($W22=1,AJY22,NJ22)=0),1000000000,IF($V22=1,INDEX('calcA'!$D$130:$EQ$169,$B22,124)+IF(AND($E22=1,NJ22=0),25,0),INDEX('calcA'!DW$110:DW$114,$F22+1)+IF(AND($E22=1,NJ22=0),1000,0)+IF($H22=1,INDEX('calcA'!$D$180:$EQ$219,$B22,124)*500,0)-IF(AND('calcA'!DV$117=1,YT22&gt;0),300,0)-IF(AND($U22=1,'calcA'!DW$117=1,HV22=0),300,0))),1000000000))</f>
        <v/>
      </c>
      <c r="SZ22">
        <f>IF($B22=0,1000000000,IF(INDEX('calcA'!$D$60:$EQ$99,$B22,125)*IF($W22=1,HV22+AEK22,HV22)=1,IF(AND($E22=2,IF($W22=1,AJZ22,NK22)=0),1000000000,IF($V22=1,INDEX('calcA'!$D$130:$EQ$169,$B22,125)+IF(AND($E22=1,NK22=0),25,0),INDEX('calcA'!DX$110:DX$114,$F22+1)+IF(AND($E22=1,NK22=0),1000,0)+IF($H22=1,INDEX('calcA'!$D$180:$EQ$219,$B22,125)*500,0)-IF(AND('calcA'!DW$117=1,YU22&gt;0),300,0)-IF(AND($U22=1,'calcA'!DX$117=1,HW22=0),300,0))),1000000000))</f>
        <v/>
      </c>
      <c r="TA22">
        <f>IF($B22=0,1000000000,IF(INDEX('calcA'!$D$60:$EQ$99,$B22,126)*IF($W22=1,HW22+AEL22,HW22)=1,IF(AND($E22=2,IF($W22=1,AKA22,NL22)=0),1000000000,IF($V22=1,INDEX('calcA'!$D$130:$EQ$169,$B22,126)+IF(AND($E22=1,NL22=0),25,0),INDEX('calcA'!DY$110:DY$114,$F22+1)+IF(AND($E22=1,NL22=0),1000,0)+IF($H22=1,INDEX('calcA'!$D$180:$EQ$219,$B22,126)*500,0)-IF(AND('calcA'!DX$117=1,YV22&gt;0),300,0)-IF(AND($U22=1,'calcA'!DY$117=1,HX22=0),300,0))),1000000000))</f>
        <v/>
      </c>
      <c r="TB22">
        <f>IF($B22=0,1000000000,IF(INDEX('calcA'!$D$60:$EQ$99,$B22,127)*IF($W22=1,HX22+AEM22,HX22)=1,IF(AND($E22=2,IF($W22=1,AKB22,NM22)=0),1000000000,IF($V22=1,INDEX('calcA'!$D$130:$EQ$169,$B22,127)+IF(AND($E22=1,NM22=0),25,0),INDEX('calcA'!DZ$110:DZ$114,$F22+1)+IF(AND($E22=1,NM22=0),1000,0)+IF($H22=1,INDEX('calcA'!$D$180:$EQ$219,$B22,127)*500,0)-IF(AND('calcA'!DY$117=1,YW22&gt;0),300,0)-IF(AND($U22=1,'calcA'!DZ$117=1,HY22=0),300,0))),1000000000))</f>
        <v/>
      </c>
      <c r="TC22">
        <f>IF($B22=0,1000000000,IF(INDEX('calcA'!$D$60:$EQ$99,$B22,128)*IF($W22=1,HY22+AEN22,HY22)=1,IF(AND($E22=2,IF($W22=1,AKC22,NN22)=0),1000000000,IF($V22=1,INDEX('calcA'!$D$130:$EQ$169,$B22,128)+IF(AND($E22=1,NN22=0),25,0),INDEX('calcA'!EA$110:EA$114,$F22+1)+IF(AND($E22=1,NN22=0),1000,0)+IF($H22=1,INDEX('calcA'!$D$180:$EQ$219,$B22,128)*500,0)-IF(AND('calcA'!DZ$117=1,YX22&gt;0),300,0)-IF(AND($U22=1,'calcA'!EA$117=1,HZ22=0),300,0))),1000000000))</f>
        <v/>
      </c>
      <c r="TD22">
        <f>IF($B22=0,1000000000,IF(INDEX('calcA'!$D$60:$EQ$99,$B22,129)*IF($W22=1,HZ22+AEO22,HZ22)=1,IF(AND($E22=2,IF($W22=1,AKD22,NO22)=0),1000000000,IF($V22=1,INDEX('calcA'!$D$130:$EQ$169,$B22,129)+IF(AND($E22=1,NO22=0),25,0),INDEX('calcA'!EB$110:EB$114,$F22+1)+IF(AND($E22=1,NO22=0),1000,0)+IF($H22=1,INDEX('calcA'!$D$180:$EQ$219,$B22,129)*500,0)-IF(AND('calcA'!EA$117=1,YY22&gt;0),300,0)-IF(AND($U22=1,'calcA'!EB$117=1,IA22=0),300,0))),1000000000))</f>
        <v/>
      </c>
      <c r="TE22">
        <f>IF($B22=0,1000000000,IF(INDEX('calcA'!$D$60:$EQ$99,$B22,130)*IF($W22=1,IA22+AEP22,IA22)=1,IF(AND($E22=2,IF($W22=1,AKE22,NP22)=0),1000000000,IF($V22=1,INDEX('calcA'!$D$130:$EQ$169,$B22,130)+IF(AND($E22=1,NP22=0),25,0),INDEX('calcA'!EC$110:EC$114,$F22+1)+IF(AND($E22=1,NP22=0),1000,0)+IF($H22=1,INDEX('calcA'!$D$180:$EQ$219,$B22,130)*500,0)-IF(AND('calcA'!EB$117=1,YZ22&gt;0),300,0)-IF(AND($U22=1,'calcA'!EC$117=1,IB22=0),300,0))),1000000000))</f>
        <v/>
      </c>
      <c r="TF22">
        <f>IF($B22=0,1000000000,IF(INDEX('calcA'!$D$60:$EQ$99,$B22,131)*IF($W22=1,IB22+AEQ22,IB22)=1,IF(AND($E22=2,IF($W22=1,AKF22,NQ22)=0),1000000000,IF($V22=1,INDEX('calcA'!$D$130:$EQ$169,$B22,131)+IF(AND($E22=1,NQ22=0),25,0),INDEX('calcA'!ED$110:ED$114,$F22+1)+IF(AND($E22=1,NQ22=0),1000,0)+IF($H22=1,INDEX('calcA'!$D$180:$EQ$219,$B22,131)*500,0)-IF(AND('calcA'!EC$117=1,ZA22&gt;0),300,0)-IF(AND($U22=1,'calcA'!ED$117=1,IC22=0),300,0))),1000000000))</f>
        <v/>
      </c>
      <c r="TG22">
        <f>IF($B22=0,1000000000,IF(INDEX('calcA'!$D$60:$EQ$99,$B22,132)*IF($W22=1,IC22+AER22,IC22)=1,IF(AND($E22=2,IF($W22=1,AKG22,NR22)=0),1000000000,IF($V22=1,INDEX('calcA'!$D$130:$EQ$169,$B22,132)+IF(AND($E22=1,NR22=0),25,0),INDEX('calcA'!EE$110:EE$114,$F22+1)+IF(AND($E22=1,NR22=0),1000,0)+IF($H22=1,INDEX('calcA'!$D$180:$EQ$219,$B22,132)*500,0)-IF(AND('calcA'!ED$117=1,ZB22&gt;0),300,0)-IF(AND($U22=1,'calcA'!EE$117=1,ID22=0),300,0))),1000000000))</f>
        <v/>
      </c>
      <c r="TH22">
        <f>IF($B22=0,1000000000,IF(INDEX('calcA'!$D$60:$EQ$99,$B22,133)*IF($W22=1,ID22+AES22,ID22)=1,IF(AND($E22=2,IF($W22=1,AKH22,NS22)=0),1000000000,IF($V22=1,INDEX('calcA'!$D$130:$EQ$169,$B22,133)+IF(AND($E22=1,NS22=0),25,0),INDEX('calcA'!EF$110:EF$114,$F22+1)+IF(AND($E22=1,NS22=0),1000,0)+IF($H22=1,INDEX('calcA'!$D$180:$EQ$219,$B22,133)*500,0)-IF(AND('calcA'!EE$117=1,ZC22&gt;0),300,0)-IF(AND($U22=1,'calcA'!EF$117=1,IE22=0),300,0))),1000000000))</f>
        <v/>
      </c>
      <c r="TI22">
        <f>IF($B22=0,1000000000,IF(INDEX('calcA'!$D$60:$EQ$99,$B22,134)*IF($W22=1,IE22+AET22,IE22)=1,IF(AND($E22=2,IF($W22=1,AKI22,NT22)=0),1000000000,IF($V22=1,INDEX('calcA'!$D$130:$EQ$169,$B22,134)+IF(AND($E22=1,NT22=0),25,0),INDEX('calcA'!EG$110:EG$114,$F22+1)+IF(AND($E22=1,NT22=0),1000,0)+IF($H22=1,INDEX('calcA'!$D$180:$EQ$219,$B22,134)*500,0)-IF(AND('calcA'!EF$117=1,ZD22&gt;0),300,0)-IF(AND($U22=1,'calcA'!EG$117=1,IF22=0),300,0))),1000000000))</f>
        <v/>
      </c>
      <c r="TJ22">
        <f>IF($B22=0,1000000000,IF(INDEX('calcA'!$D$60:$EQ$99,$B22,135)*IF($W22=1,IF22+AEU22,IF22)=1,IF(AND($E22=2,IF($W22=1,AKJ22,NU22)=0),1000000000,IF($V22=1,INDEX('calcA'!$D$130:$EQ$169,$B22,135)+IF(AND($E22=1,NU22=0),25,0),INDEX('calcA'!EH$110:EH$114,$F22+1)+IF(AND($E22=1,NU22=0),1000,0)+IF($H22=1,INDEX('calcA'!$D$180:$EQ$219,$B22,135)*500,0)-IF(AND('calcA'!EG$117=1,ZE22&gt;0),300,0)-IF(AND($U22=1,'calcA'!EH$117=1,IG22=0),300,0))),1000000000))</f>
        <v/>
      </c>
      <c r="TK22">
        <f>IF($B22=0,1000000000,IF(INDEX('calcA'!$D$60:$EQ$99,$B22,136)*IF($W22=1,IG22+AEV22,IG22)=1,IF(AND($E22=2,IF($W22=1,AKK22,NV22)=0),1000000000,IF($V22=1,INDEX('calcA'!$D$130:$EQ$169,$B22,136)+IF(AND($E22=1,NV22=0),25,0),INDEX('calcA'!EI$110:EI$114,$F22+1)+IF(AND($E22=1,NV22=0),1000,0)+IF($H22=1,INDEX('calcA'!$D$180:$EQ$219,$B22,136)*500,0)-IF(AND('calcA'!EH$117=1,ZF22&gt;0),300,0)-IF(AND($U22=1,'calcA'!EI$117=1,IH22=0),300,0))),1000000000))</f>
        <v/>
      </c>
      <c r="TL22">
        <f>IF($B22=0,1000000000,IF(INDEX('calcA'!$D$60:$EQ$99,$B22,137)*IF($W22=1,IH22+AEW22,IH22)=1,IF(AND($E22=2,IF($W22=1,AKL22,NW22)=0),1000000000,IF($V22=1,INDEX('calcA'!$D$130:$EQ$169,$B22,137)+IF(AND($E22=1,NW22=0),25,0),INDEX('calcA'!EJ$110:EJ$114,$F22+1)+IF(AND($E22=1,NW22=0),1000,0)+IF($H22=1,INDEX('calcA'!$D$180:$EQ$219,$B22,137)*500,0)-IF(AND('calcA'!EI$117=1,ZG22&gt;0),300,0)-IF(AND($U22=1,'calcA'!EJ$117=1,II22=0),300,0))),1000000000))</f>
        <v/>
      </c>
      <c r="TM22">
        <f>IF($B22=0,1000000000,IF(INDEX('calcA'!$D$60:$EQ$99,$B22,138)*IF($W22=1,II22+AEX22,II22)=1,IF(AND($E22=2,IF($W22=1,AKM22,NX22)=0),1000000000,IF($V22=1,INDEX('calcA'!$D$130:$EQ$169,$B22,138)+IF(AND($E22=1,NX22=0),25,0),INDEX('calcA'!EK$110:EK$114,$F22+1)+IF(AND($E22=1,NX22=0),1000,0)+IF($H22=1,INDEX('calcA'!$D$180:$EQ$219,$B22,138)*500,0)-IF(AND('calcA'!EJ$117=1,ZH22&gt;0),300,0)-IF(AND($U22=1,'calcA'!EK$117=1,IJ22=0),300,0))),1000000000))</f>
        <v/>
      </c>
      <c r="TN22">
        <f>IF($B22=0,1000000000,IF(INDEX('calcA'!$D$60:$EQ$99,$B22,139)*IF($W22=1,IJ22+AEY22,IJ22)=1,IF(AND($E22=2,IF($W22=1,AKN22,NY22)=0),1000000000,IF($V22=1,INDEX('calcA'!$D$130:$EQ$169,$B22,139)+IF(AND($E22=1,NY22=0),25,0),INDEX('calcA'!EL$110:EL$114,$F22+1)+IF(AND($E22=1,NY22=0),1000,0)+IF($H22=1,INDEX('calcA'!$D$180:$EQ$219,$B22,139)*500,0)-IF(AND('calcA'!EK$117=1,ZI22&gt;0),300,0)-IF(AND($U22=1,'calcA'!EL$117=1,IK22=0),300,0))),1000000000))</f>
        <v/>
      </c>
      <c r="TO22">
        <f>IF($B22=0,1000000000,IF(INDEX('calcA'!$D$60:$EQ$99,$B22,140)*IF($W22=1,IK22+AEZ22,IK22)=1,IF(AND($E22=2,IF($W22=1,AKO22,NZ22)=0),1000000000,IF($V22=1,INDEX('calcA'!$D$130:$EQ$169,$B22,140)+IF(AND($E22=1,NZ22=0),25,0),INDEX('calcA'!EM$110:EM$114,$F22+1)+IF(AND($E22=1,NZ22=0),1000,0)+IF($H22=1,INDEX('calcA'!$D$180:$EQ$219,$B22,140)*500,0)-IF(AND('calcA'!EL$117=1,ZJ22&gt;0),300,0)-IF(AND($U22=1,'calcA'!EM$117=1,IL22=0),300,0))),1000000000))</f>
        <v/>
      </c>
      <c r="TP22">
        <f>IF($B22=0,1000000000,IF(INDEX('calcA'!$D$60:$EQ$99,$B22,141)*IF($W22=1,IL22+AFA22,IL22)=1,IF(AND($E22=2,IF($W22=1,AKP22,OA22)=0),1000000000,IF($V22=1,INDEX('calcA'!$D$130:$EQ$169,$B22,141)+IF(AND($E22=1,OA22=0),25,0),INDEX('calcA'!EN$110:EN$114,$F22+1)+IF(AND($E22=1,OA22=0),1000,0)+IF($H22=1,INDEX('calcA'!$D$180:$EQ$219,$B22,141)*500,0)-IF(AND('calcA'!EM$117=1,ZK22&gt;0),300,0)-IF(AND($U22=1,'calcA'!EN$117=1,IM22=0),300,0))),1000000000))</f>
        <v/>
      </c>
      <c r="TQ22">
        <f>IF($B22=0,1000000000,IF(INDEX('calcA'!$D$60:$EQ$99,$B22,142)*IF($W22=1,IM22+AFB22,IM22)=1,IF(AND($E22=2,IF($W22=1,AKQ22,OB22)=0),1000000000,IF($V22=1,INDEX('calcA'!$D$130:$EQ$169,$B22,142)+IF(AND($E22=1,OB22=0),25,0),INDEX('calcA'!EO$110:EO$114,$F22+1)+IF(AND($E22=1,OB22=0),1000,0)+IF($H22=1,INDEX('calcA'!$D$180:$EQ$219,$B22,142)*500,0)-IF(AND('calcA'!EN$117=1,ZL22&gt;0),300,0)-IF(AND($U22=1,'calcA'!EO$117=1,IN22=0),300,0))),1000000000))</f>
        <v/>
      </c>
      <c r="TR22">
        <f>IF($B22=0,1000000000,IF(INDEX('calcA'!$D$60:$EQ$99,$B22,143)*IF($W22=1,IN22+AFC22,IN22)=1,IF(AND($E22=2,IF($W22=1,AKR22,OC22)=0),1000000000,IF($V22=1,INDEX('calcA'!$D$130:$EQ$169,$B22,143)+IF(AND($E22=1,OC22=0),25,0),INDEX('calcA'!EP$110:EP$114,$F22+1)+IF(AND($E22=1,OC22=0),1000,0)+IF($H22=1,INDEX('calcA'!$D$180:$EQ$219,$B22,143)*500,0)-IF(AND('calcA'!EO$117=1,ZM22&gt;0),300,0)-IF(AND($U22=1,'calcA'!EP$117=1,IO22=0),300,0))),1000000000))</f>
        <v/>
      </c>
      <c r="TS22">
        <f>IF($B22=0,1000000000,IF(INDEX('calcA'!$D$60:$EQ$99,$B22,144)*IF($W22=1,IO22+AFD22,IO22)=1,IF(AND($E22=2,IF($W22=1,AKS22,OD22)=0),1000000000,IF($V22=1,INDEX('calcA'!$D$130:$EQ$169,$B22,144)+IF(AND($E22=1,OD22=0),25,0),INDEX('calcA'!EQ$110:EQ$114,$F22+1)+IF(AND($E22=1,OD22=0),1000,0)+IF($H22=1,INDEX('calcA'!$D$180:$EQ$219,$B22,144)*500,0)-IF(AND('calcA'!EP$117=1,ZN22&gt;0),300,0))),1000000000))</f>
        <v/>
      </c>
      <c r="UB22">
        <f>UB21+IF(AND($C21=1,$U21=1),1,0)</f>
        <v/>
      </c>
      <c r="UC22">
        <f>UC21+IF(AND($C21=2,$U21=1),1,0)</f>
        <v/>
      </c>
      <c r="UD22">
        <f>UD21+IF(AND($C21=3,$U21=1),1,0)</f>
        <v/>
      </c>
      <c r="UE22">
        <f>UE21+IF(AND($C21=4,$U21=1),1,0)</f>
        <v/>
      </c>
      <c r="UF22">
        <f>UF21+IF(AND($C21=5,$U21=1),1,0)</f>
        <v/>
      </c>
      <c r="UG22">
        <f>UG21+IF(AND($C21=6,$U21=1),1,0)</f>
        <v/>
      </c>
      <c r="UH22">
        <f>UH21+IF(AND($C21=7,$U21=1),1,0)</f>
        <v/>
      </c>
      <c r="UI22">
        <f>UI21+IF(AND($C21=8,$U21=1),1,0)</f>
        <v/>
      </c>
      <c r="UJ22">
        <f>UJ21+IF(AND($C21=9,$U21=1),1,0)</f>
        <v/>
      </c>
      <c r="UK22">
        <f>UK21+IF(AND($C21=10,$U21=1),1,0)</f>
        <v/>
      </c>
      <c r="UL22">
        <f>UL21+IF(AND($C21=11,$U21=1),1,0)</f>
        <v/>
      </c>
      <c r="UM22">
        <f>UM21+IF(AND($C21=12,$U21=1),1,0)</f>
        <v/>
      </c>
      <c r="UN22">
        <f>UN21+IF(AND($C21=13,$U21=1),1,0)</f>
        <v/>
      </c>
      <c r="UO22">
        <f>UO21+IF(AND($C21=14,$U21=1),1,0)</f>
        <v/>
      </c>
      <c r="UP22">
        <f>UP21+IF(AND($C21=15,$U21=1),1,0)</f>
        <v/>
      </c>
      <c r="UQ22">
        <f>UQ21+IF(AND($C21=16,$U21=1),1,0)</f>
        <v/>
      </c>
      <c r="UR22">
        <f>UR21+IF(AND($C21=17,$U21=1),1,0)</f>
        <v/>
      </c>
      <c r="US22">
        <f>US21+IF(AND($C21=18,$U21=1),1,0)</f>
        <v/>
      </c>
      <c r="UT22">
        <f>UT21+IF(AND($C21=19,$U21=1),1,0)</f>
        <v/>
      </c>
      <c r="UU22">
        <f>UU21+IF(AND($C21=20,$U21=1),1,0)</f>
        <v/>
      </c>
      <c r="UV22">
        <f>UV21+IF(AND($C21=21,$U21=1),1,0)</f>
        <v/>
      </c>
      <c r="UW22">
        <f>UW21+IF(AND($C21=22,$U21=1),1,0)</f>
        <v/>
      </c>
      <c r="UX22">
        <f>UX21+IF(AND($C21=23,$U21=1),1,0)</f>
        <v/>
      </c>
      <c r="UY22">
        <f>UY21+IF(AND($C21=24,$U21=1),1,0)</f>
        <v/>
      </c>
      <c r="UZ22">
        <f>UZ21+IF(AND($C21=25,$U21=1),1,0)</f>
        <v/>
      </c>
      <c r="VA22">
        <f>VA21+IF(AND($C21=26,$U21=1),1,0)</f>
        <v/>
      </c>
      <c r="VB22">
        <f>VB21+IF(AND($C21=27,$U21=1),1,0)</f>
        <v/>
      </c>
      <c r="VC22">
        <f>VC21+IF(AND($C21=28,$U21=1),1,0)</f>
        <v/>
      </c>
      <c r="VD22">
        <f>VD21+IF(AND($C21=29,$U21=1),1,0)</f>
        <v/>
      </c>
      <c r="VE22">
        <f>VE21+IF(AND($C21=30,$U21=1),1,0)</f>
        <v/>
      </c>
      <c r="VF22">
        <f>VF21+IF(AND($C21=31,$U21=1),1,0)</f>
        <v/>
      </c>
      <c r="VG22">
        <f>VG21+IF(AND($C21=32,$U21=1),1,0)</f>
        <v/>
      </c>
      <c r="VH22">
        <f>VH21+IF(AND($C21=33,$U21=1),1,0)</f>
        <v/>
      </c>
      <c r="VI22">
        <f>VI21+IF(AND($C21=34,$U21=1),1,0)</f>
        <v/>
      </c>
      <c r="VJ22">
        <f>VJ21+IF(AND($C21=35,$U21=1),1,0)</f>
        <v/>
      </c>
      <c r="VK22">
        <f>VK21+IF(AND($C21=36,$U21=1),1,0)</f>
        <v/>
      </c>
      <c r="VL22">
        <f>VL21+IF(AND($C21=37,$U21=1),1,0)</f>
        <v/>
      </c>
      <c r="VM22">
        <f>VM21+IF(AND($C21=38,$U21=1),1,0)</f>
        <v/>
      </c>
      <c r="VN22">
        <f>VN21+IF(AND($C21=39,$U21=1),1,0)</f>
        <v/>
      </c>
      <c r="VO22">
        <f>VO21+IF(AND($C21=40,$U21=1),1,0)</f>
        <v/>
      </c>
      <c r="VP22">
        <f>VP21+IF(AND($C21=41,$U21=1),1,0)</f>
        <v/>
      </c>
      <c r="VQ22">
        <f>VQ21+IF(AND($C21=42,$U21=1),1,0)</f>
        <v/>
      </c>
      <c r="VR22">
        <f>VR21+IF(AND($C21=43,$U21=1),1,0)</f>
        <v/>
      </c>
      <c r="VS22">
        <f>VS21+IF(AND($C21=44,$U21=1),1,0)</f>
        <v/>
      </c>
      <c r="VT22">
        <f>VT21+IF(AND($C21=45,$U21=1),1,0)</f>
        <v/>
      </c>
      <c r="VU22">
        <f>VU21+IF(AND($C21=46,$U21=1),1,0)</f>
        <v/>
      </c>
      <c r="VV22">
        <f>VV21+IF(AND($C21=47,$U21=1),1,0)</f>
        <v/>
      </c>
      <c r="VW22">
        <f>VW21+IF(AND($C21=48,$U21=1),1,0)</f>
        <v/>
      </c>
      <c r="VX22">
        <f>VX21+IF(AND($C21=49,$U21=1),1,0)</f>
        <v/>
      </c>
      <c r="VY22">
        <f>VY21+IF(AND($C21=50,$U21=1),1,0)</f>
        <v/>
      </c>
      <c r="VZ22">
        <f>VZ21+IF(AND($C21=51,$U21=1),1,0)</f>
        <v/>
      </c>
      <c r="WA22">
        <f>WA21+IF(AND($C21=52,$U21=1),1,0)</f>
        <v/>
      </c>
      <c r="WB22">
        <f>WB21+IF(AND($C21=53,$U21=1),1,0)</f>
        <v/>
      </c>
      <c r="WC22">
        <f>WC21+IF(AND($C21=54,$U21=1),1,0)</f>
        <v/>
      </c>
      <c r="WD22">
        <f>WD21+IF(AND($C21=55,$U21=1),1,0)</f>
        <v/>
      </c>
      <c r="WE22">
        <f>WE21+IF(AND($C21=56,$U21=1),1,0)</f>
        <v/>
      </c>
      <c r="WF22">
        <f>WF21+IF(AND($C21=57,$U21=1),1,0)</f>
        <v/>
      </c>
      <c r="WG22">
        <f>WG21+IF(AND($C21=58,$U21=1),1,0)</f>
        <v/>
      </c>
      <c r="WH22">
        <f>WH21+IF(AND($C21=59,$U21=1),1,0)</f>
        <v/>
      </c>
      <c r="WI22">
        <f>WI21+IF(AND($C21=60,$U21=1),1,0)</f>
        <v/>
      </c>
      <c r="WJ22">
        <f>WJ21+IF(AND($C21=61,$U21=1),1,0)</f>
        <v/>
      </c>
      <c r="WK22">
        <f>WK21+IF(AND($C21=62,$U21=1),1,0)</f>
        <v/>
      </c>
      <c r="WL22">
        <f>WL21+IF(AND($C21=63,$U21=1),1,0)</f>
        <v/>
      </c>
      <c r="WM22">
        <f>WM21+IF(AND($C21=64,$U21=1),1,0)</f>
        <v/>
      </c>
      <c r="WN22">
        <f>WN21+IF(AND($C21=65,$U21=1),1,0)</f>
        <v/>
      </c>
      <c r="WO22">
        <f>WO21+IF(AND($C21=66,$U21=1),1,0)</f>
        <v/>
      </c>
      <c r="WP22">
        <f>WP21+IF(AND($C21=67,$U21=1),1,0)</f>
        <v/>
      </c>
      <c r="WQ22">
        <f>WQ21+IF(AND($C21=68,$U21=1),1,0)</f>
        <v/>
      </c>
      <c r="WR22">
        <f>WR21+IF(AND($C21=69,$U21=1),1,0)</f>
        <v/>
      </c>
      <c r="WS22">
        <f>WS21+IF(AND($C21=70,$U21=1),1,0)</f>
        <v/>
      </c>
      <c r="WT22">
        <f>WT21+IF(AND($C21=71,$U21=1),1,0)</f>
        <v/>
      </c>
      <c r="WU22">
        <f>WU21+IF(AND($C21=72,$U21=1),1,0)</f>
        <v/>
      </c>
      <c r="WV22">
        <f>WV21+IF(AND($C21=73,$U21=1),1,0)</f>
        <v/>
      </c>
      <c r="WW22">
        <f>WW21+IF(AND($C21=74,$U21=1),1,0)</f>
        <v/>
      </c>
      <c r="WX22">
        <f>WX21+IF(AND($C21=75,$U21=1),1,0)</f>
        <v/>
      </c>
      <c r="WY22">
        <f>WY21+IF(AND($C21=76,$U21=1),1,0)</f>
        <v/>
      </c>
      <c r="WZ22">
        <f>WZ21+IF(AND($C21=77,$U21=1),1,0)</f>
        <v/>
      </c>
      <c r="XA22">
        <f>XA21+IF(AND($C21=78,$U21=1),1,0)</f>
        <v/>
      </c>
      <c r="XB22">
        <f>XB21+IF(AND($C21=79,$U21=1),1,0)</f>
        <v/>
      </c>
      <c r="XC22">
        <f>XC21+IF(AND($C21=80,$U21=1),1,0)</f>
        <v/>
      </c>
      <c r="XD22">
        <f>XD21+IF(AND($C21=81,$U21=1),1,0)</f>
        <v/>
      </c>
      <c r="XE22">
        <f>XE21+IF(AND($C21=82,$U21=1),1,0)</f>
        <v/>
      </c>
      <c r="XF22">
        <f>XF21+IF(AND($C21=83,$U21=1),1,0)</f>
        <v/>
      </c>
      <c r="XG22">
        <f>XG21+IF(AND($C21=84,$U21=1),1,0)</f>
        <v/>
      </c>
      <c r="XH22">
        <f>XH21+IF(AND($C21=85,$U21=1),1,0)</f>
        <v/>
      </c>
      <c r="XI22">
        <f>XI21+IF(AND($C21=86,$U21=1),1,0)</f>
        <v/>
      </c>
      <c r="XJ22">
        <f>XJ21+IF(AND($C21=87,$U21=1),1,0)</f>
        <v/>
      </c>
      <c r="XK22">
        <f>XK21+IF(AND($C21=88,$U21=1),1,0)</f>
        <v/>
      </c>
      <c r="XL22">
        <f>XL21+IF(AND($C21=89,$U21=1),1,0)</f>
        <v/>
      </c>
      <c r="XM22">
        <f>XM21+IF(AND($C21=90,$U21=1),1,0)</f>
        <v/>
      </c>
      <c r="XN22">
        <f>XN21+IF(AND($C21=91,$U21=1),1,0)</f>
        <v/>
      </c>
      <c r="XO22">
        <f>XO21+IF(AND($C21=92,$U21=1),1,0)</f>
        <v/>
      </c>
      <c r="XP22">
        <f>XP21+IF(AND($C21=93,$U21=1),1,0)</f>
        <v/>
      </c>
      <c r="XQ22">
        <f>XQ21+IF(AND($C21=94,$U21=1),1,0)</f>
        <v/>
      </c>
      <c r="XR22">
        <f>XR21+IF(AND($C21=95,$U21=1),1,0)</f>
        <v/>
      </c>
      <c r="XS22">
        <f>XS21+IF(AND($C21=96,$U21=1),1,0)</f>
        <v/>
      </c>
      <c r="XT22">
        <f>XT21+IF(AND($C21=97,$U21=1),1,0)</f>
        <v/>
      </c>
      <c r="XU22">
        <f>XU21+IF(AND($C21=98,$U21=1),1,0)</f>
        <v/>
      </c>
      <c r="XV22">
        <f>XV21+IF(AND($C21=99,$U21=1),1,0)</f>
        <v/>
      </c>
      <c r="XW22">
        <f>XW21+IF(AND($C21=100,$U21=1),1,0)</f>
        <v/>
      </c>
      <c r="XX22">
        <f>XX21+IF(AND($C21=101,$U21=1),1,0)</f>
        <v/>
      </c>
      <c r="XY22">
        <f>XY21+IF(AND($C21=102,$U21=1),1,0)</f>
        <v/>
      </c>
      <c r="XZ22">
        <f>XZ21+IF(AND($C21=103,$U21=1),1,0)</f>
        <v/>
      </c>
      <c r="YA22">
        <f>YA21+IF(AND($C21=104,$U21=1),1,0)</f>
        <v/>
      </c>
      <c r="YB22">
        <f>YB21+IF(AND($C21=105,$U21=1),1,0)</f>
        <v/>
      </c>
      <c r="YC22">
        <f>YC21+IF(AND($C21=106,$U21=1),1,0)</f>
        <v/>
      </c>
      <c r="YD22">
        <f>YD21+IF(AND($C21=107,$U21=1),1,0)</f>
        <v/>
      </c>
      <c r="YE22">
        <f>YE21+IF(AND($C21=108,$U21=1),1,0)</f>
        <v/>
      </c>
      <c r="YF22">
        <f>YF21+IF(AND($C21=109,$U21=1),1,0)</f>
        <v/>
      </c>
      <c r="YG22">
        <f>YG21+IF(AND($C21=110,$U21=1),1,0)</f>
        <v/>
      </c>
      <c r="YH22">
        <f>YH21+IF(AND($C21=111,$U21=1),1,0)</f>
        <v/>
      </c>
      <c r="YI22">
        <f>YI21+IF(AND($C21=112,$U21=1),1,0)</f>
        <v/>
      </c>
      <c r="YJ22">
        <f>YJ21+IF(AND($C21=113,$U21=1),1,0)</f>
        <v/>
      </c>
      <c r="YK22">
        <f>YK21+IF(AND($C21=114,$U21=1),1,0)</f>
        <v/>
      </c>
      <c r="YL22">
        <f>YL21+IF(AND($C21=115,$U21=1),1,0)</f>
        <v/>
      </c>
      <c r="YM22">
        <f>YM21+IF(AND($C21=116,$U21=1),1,0)</f>
        <v/>
      </c>
      <c r="YN22">
        <f>YN21+IF(AND($C21=117,$U21=1),1,0)</f>
        <v/>
      </c>
      <c r="YO22">
        <f>YO21+IF(AND($C21=118,$U21=1),1,0)</f>
        <v/>
      </c>
      <c r="YP22">
        <f>YP21+IF(AND($C21=119,$U21=1),1,0)</f>
        <v/>
      </c>
      <c r="YQ22">
        <f>YQ21+IF(AND($C21=120,$U21=1),1,0)</f>
        <v/>
      </c>
      <c r="YR22">
        <f>YR21+IF(AND($C21=121,$U21=1),1,0)</f>
        <v/>
      </c>
      <c r="YS22">
        <f>YS21+IF(AND($C21=122,$U21=1),1,0)</f>
        <v/>
      </c>
      <c r="YT22">
        <f>YT21+IF(AND($C21=123,$U21=1),1,0)</f>
        <v/>
      </c>
      <c r="YU22">
        <f>YU21+IF(AND($C21=124,$U21=1),1,0)</f>
        <v/>
      </c>
      <c r="YV22">
        <f>YV21+IF(AND($C21=125,$U21=1),1,0)</f>
        <v/>
      </c>
      <c r="YW22">
        <f>YW21+IF(AND($C21=126,$U21=1),1,0)</f>
        <v/>
      </c>
      <c r="YX22">
        <f>YX21+IF(AND($C21=127,$U21=1),1,0)</f>
        <v/>
      </c>
      <c r="YY22">
        <f>YY21+IF(AND($C21=128,$U21=1),1,0)</f>
        <v/>
      </c>
      <c r="YZ22">
        <f>YZ21+IF(AND($C21=129,$U21=1),1,0)</f>
        <v/>
      </c>
      <c r="ZA22">
        <f>ZA21+IF(AND($C21=130,$U21=1),1,0)</f>
        <v/>
      </c>
      <c r="ZB22">
        <f>ZB21+IF(AND($C21=131,$U21=1),1,0)</f>
        <v/>
      </c>
      <c r="ZC22">
        <f>ZC21+IF(AND($C21=132,$U21=1),1,0)</f>
        <v/>
      </c>
      <c r="ZD22">
        <f>ZD21+IF(AND($C21=133,$U21=1),1,0)</f>
        <v/>
      </c>
      <c r="ZE22">
        <f>ZE21+IF(AND($C21=134,$U21=1),1,0)</f>
        <v/>
      </c>
      <c r="ZF22">
        <f>ZF21+IF(AND($C21=135,$U21=1),1,0)</f>
        <v/>
      </c>
      <c r="ZG22">
        <f>ZG21+IF(AND($C21=136,$U21=1),1,0)</f>
        <v/>
      </c>
      <c r="ZH22">
        <f>ZH21+IF(AND($C21=137,$U21=1),1,0)</f>
        <v/>
      </c>
      <c r="ZI22">
        <f>ZI21+IF(AND($C21=138,$U21=1),1,0)</f>
        <v/>
      </c>
      <c r="ZJ22">
        <f>ZJ21+IF(AND($C21=139,$U21=1),1,0)</f>
        <v/>
      </c>
      <c r="ZK22">
        <f>ZK21+IF(AND($C21=140,$U21=1),1,0)</f>
        <v/>
      </c>
      <c r="ZL22">
        <f>ZL21+IF(AND($C21=141,$U21=1),1,0)</f>
        <v/>
      </c>
      <c r="ZM22">
        <f>ZM21+IF(AND($C21=142,$U21=1),1,0)</f>
        <v/>
      </c>
      <c r="ZN22">
        <f>ZN21+IF(AND($C21=143,$U21=1),1,0)</f>
        <v/>
      </c>
      <c r="ZO22">
        <f>ZO21+IF(AND($C21=144,$U21=1),1,0)</f>
        <v/>
      </c>
      <c r="ZQ22">
        <f>IF($C21=1,0,ZQ21+IF(AND($G21=1,$E21=1),1,0))</f>
        <v/>
      </c>
      <c r="ZR22">
        <f>IF($C21=2,0,ZR21+IF(AND($G21=2,$E21=1),1,0))</f>
        <v/>
      </c>
      <c r="ZS22">
        <f>IF($C21=3,0,ZS21+IF(AND($G21=3,$E21=1),1,0))</f>
        <v/>
      </c>
      <c r="ZT22">
        <f>IF($C21=4,0,ZT21+IF(AND($G21=4,$E21=1),1,0))</f>
        <v/>
      </c>
      <c r="ZU22">
        <f>IF($C21=5,0,ZU21+IF(AND($G21=5,$E21=1),1,0))</f>
        <v/>
      </c>
      <c r="ZV22">
        <f>IF($C21=6,0,ZV21+IF(AND($G21=6,$E21=1),1,0))</f>
        <v/>
      </c>
      <c r="ZW22">
        <f>IF($C21=7,0,ZW21+IF(AND($G21=7,$E21=1),1,0))</f>
        <v/>
      </c>
      <c r="ZX22">
        <f>IF($C21=8,0,ZX21+IF(AND($G21=8,$E21=1),1,0))</f>
        <v/>
      </c>
      <c r="ZY22">
        <f>IF($C21=9,0,ZY21+IF(AND($G21=9,$E21=1),1,0))</f>
        <v/>
      </c>
      <c r="ZZ22">
        <f>IF($C21=10,0,ZZ21+IF(AND($G21=10,$E21=1),1,0))</f>
        <v/>
      </c>
      <c r="AAA22">
        <f>IF($C21=11,0,AAA21+IF(AND($G21=11,$E21=1),1,0))</f>
        <v/>
      </c>
      <c r="AAB22">
        <f>IF($C21=12,0,AAB21+IF(AND($G21=12,$E21=1),1,0))</f>
        <v/>
      </c>
      <c r="AAC22">
        <f>IF($C21=13,0,AAC21+IF(AND($G21=13,$E21=1),1,0))</f>
        <v/>
      </c>
      <c r="AAD22">
        <f>IF($C21=14,0,AAD21+IF(AND($G21=14,$E21=1),1,0))</f>
        <v/>
      </c>
      <c r="AAE22">
        <f>IF($C21=15,0,AAE21+IF(AND($G21=15,$E21=1),1,0))</f>
        <v/>
      </c>
      <c r="AAF22">
        <f>IF($C21=16,0,AAF21+IF(AND($G21=16,$E21=1),1,0))</f>
        <v/>
      </c>
      <c r="AAG22">
        <f>IF($C21=17,0,AAG21+IF(AND($G21=17,$E21=1),1,0))</f>
        <v/>
      </c>
      <c r="AAH22">
        <f>IF($C21=18,0,AAH21+IF(AND($G21=18,$E21=1),1,0))</f>
        <v/>
      </c>
      <c r="AAI22">
        <f>IF($C21=19,0,AAI21+IF(AND($G21=19,$E21=1),1,0))</f>
        <v/>
      </c>
      <c r="AAJ22">
        <f>IF($C21=20,0,AAJ21+IF(AND($G21=20,$E21=1),1,0))</f>
        <v/>
      </c>
      <c r="AAK22">
        <f>IF($C21=21,0,AAK21+IF(AND($G21=21,$E21=1),1,0))</f>
        <v/>
      </c>
      <c r="AAL22">
        <f>IF($C21=22,0,AAL21+IF(AND($G21=22,$E21=1),1,0))</f>
        <v/>
      </c>
      <c r="AAM22">
        <f>IF($C21=23,0,AAM21+IF(AND($G21=23,$E21=1),1,0))</f>
        <v/>
      </c>
      <c r="AAN22">
        <f>IF($C21=24,0,AAN21+IF(AND($G21=24,$E21=1),1,0))</f>
        <v/>
      </c>
      <c r="AAO22">
        <f>IF($C21=25,0,AAO21+IF(AND($G21=25,$E21=1),1,0))</f>
        <v/>
      </c>
      <c r="AAP22">
        <f>IF($C21=26,0,AAP21+IF(AND($G21=26,$E21=1),1,0))</f>
        <v/>
      </c>
      <c r="AAQ22">
        <f>IF($C21=27,0,AAQ21+IF(AND($G21=27,$E21=1),1,0))</f>
        <v/>
      </c>
      <c r="AAR22">
        <f>IF($C21=28,0,AAR21+IF(AND($G21=28,$E21=1),1,0))</f>
        <v/>
      </c>
      <c r="AAS22">
        <f>IF($C21=29,0,AAS21+IF(AND($G21=29,$E21=1),1,0))</f>
        <v/>
      </c>
      <c r="AAT22">
        <f>IF($C21=30,0,AAT21+IF(AND($G21=30,$E21=1),1,0))</f>
        <v/>
      </c>
      <c r="AAU22">
        <f>IF($C21=31,0,AAU21+IF(AND($G21=31,$E21=1),1,0))</f>
        <v/>
      </c>
      <c r="AAV22">
        <f>IF($C21=32,0,AAV21+IF(AND($G21=32,$E21=1),1,0))</f>
        <v/>
      </c>
      <c r="AAW22">
        <f>IF($C21=33,0,AAW21+IF(AND($G21=33,$E21=1),1,0))</f>
        <v/>
      </c>
      <c r="AAX22">
        <f>IF($C21=34,0,AAX21+IF(AND($G21=34,$E21=1),1,0))</f>
        <v/>
      </c>
      <c r="AAY22">
        <f>IF($C21=35,0,AAY21+IF(AND($G21=35,$E21=1),1,0))</f>
        <v/>
      </c>
      <c r="AAZ22">
        <f>IF($C21=36,0,AAZ21+IF(AND($G21=36,$E21=1),1,0))</f>
        <v/>
      </c>
      <c r="ABA22">
        <f>IF($C21=37,0,ABA21+IF(AND($G21=37,$E21=1),1,0))</f>
        <v/>
      </c>
      <c r="ABB22">
        <f>IF($C21=38,0,ABB21+IF(AND($G21=38,$E21=1),1,0))</f>
        <v/>
      </c>
      <c r="ABC22">
        <f>IF($C21=39,0,ABC21+IF(AND($G21=39,$E21=1),1,0))</f>
        <v/>
      </c>
      <c r="ABD22">
        <f>IF($C21=40,0,ABD21+IF(AND($G21=40,$E21=1),1,0))</f>
        <v/>
      </c>
      <c r="ABE22">
        <f>IF($C21=41,0,ABE21+IF(AND($G21=41,$E21=1),1,0))</f>
        <v/>
      </c>
      <c r="ABF22">
        <f>IF($C21=42,0,ABF21+IF(AND($G21=42,$E21=1),1,0))</f>
        <v/>
      </c>
      <c r="ABG22">
        <f>IF($C21=43,0,ABG21+IF(AND($G21=43,$E21=1),1,0))</f>
        <v/>
      </c>
      <c r="ABH22">
        <f>IF($C21=44,0,ABH21+IF(AND($G21=44,$E21=1),1,0))</f>
        <v/>
      </c>
      <c r="ABI22">
        <f>IF($C21=45,0,ABI21+IF(AND($G21=45,$E21=1),1,0))</f>
        <v/>
      </c>
      <c r="ABJ22">
        <f>IF($C21=46,0,ABJ21+IF(AND($G21=46,$E21=1),1,0))</f>
        <v/>
      </c>
      <c r="ABK22">
        <f>IF($C21=47,0,ABK21+IF(AND($G21=47,$E21=1),1,0))</f>
        <v/>
      </c>
      <c r="ABL22">
        <f>IF($C21=48,0,ABL21+IF(AND($G21=48,$E21=1),1,0))</f>
        <v/>
      </c>
      <c r="ABM22">
        <f>IF($C21=49,0,ABM21+IF(AND($G21=49,$E21=1),1,0))</f>
        <v/>
      </c>
      <c r="ABN22">
        <f>IF($C21=50,0,ABN21+IF(AND($G21=50,$E21=1),1,0))</f>
        <v/>
      </c>
      <c r="ABO22">
        <f>IF($C21=51,0,ABO21+IF(AND($G21=51,$E21=1),1,0))</f>
        <v/>
      </c>
      <c r="ABP22">
        <f>IF($C21=52,0,ABP21+IF(AND($G21=52,$E21=1),1,0))</f>
        <v/>
      </c>
      <c r="ABQ22">
        <f>IF($C21=53,0,ABQ21+IF(AND($G21=53,$E21=1),1,0))</f>
        <v/>
      </c>
      <c r="ABR22">
        <f>IF($C21=54,0,ABR21+IF(AND($G21=54,$E21=1),1,0))</f>
        <v/>
      </c>
      <c r="ABS22">
        <f>IF($C21=55,0,ABS21+IF(AND($G21=55,$E21=1),1,0))</f>
        <v/>
      </c>
      <c r="ABT22">
        <f>IF($C21=56,0,ABT21+IF(AND($G21=56,$E21=1),1,0))</f>
        <v/>
      </c>
      <c r="ABU22">
        <f>IF($C21=57,0,ABU21+IF(AND($G21=57,$E21=1),1,0))</f>
        <v/>
      </c>
      <c r="ABV22">
        <f>IF($C21=58,0,ABV21+IF(AND($G21=58,$E21=1),1,0))</f>
        <v/>
      </c>
      <c r="ABW22">
        <f>IF($C21=59,0,ABW21+IF(AND($G21=59,$E21=1),1,0))</f>
        <v/>
      </c>
      <c r="ABX22">
        <f>IF($C21=60,0,ABX21+IF(AND($G21=60,$E21=1),1,0))</f>
        <v/>
      </c>
      <c r="ABY22">
        <f>IF($C21=61,0,ABY21+IF(AND($G21=61,$E21=1),1,0))</f>
        <v/>
      </c>
      <c r="ABZ22">
        <f>IF($C21=62,0,ABZ21+IF(AND($G21=62,$E21=1),1,0))</f>
        <v/>
      </c>
      <c r="ACA22">
        <f>IF($C21=63,0,ACA21+IF(AND($G21=63,$E21=1),1,0))</f>
        <v/>
      </c>
      <c r="ACB22">
        <f>IF($C21=64,0,ACB21+IF(AND($G21=64,$E21=1),1,0))</f>
        <v/>
      </c>
      <c r="ACC22">
        <f>IF($C21=65,0,ACC21+IF(AND($G21=65,$E21=1),1,0))</f>
        <v/>
      </c>
      <c r="ACD22">
        <f>IF($C21=66,0,ACD21+IF(AND($G21=66,$E21=1),1,0))</f>
        <v/>
      </c>
      <c r="ACE22">
        <f>IF($C21=67,0,ACE21+IF(AND($G21=67,$E21=1),1,0))</f>
        <v/>
      </c>
      <c r="ACF22">
        <f>IF($C21=68,0,ACF21+IF(AND($G21=68,$E21=1),1,0))</f>
        <v/>
      </c>
      <c r="ACG22">
        <f>IF($C21=69,0,ACG21+IF(AND($G21=69,$E21=1),1,0))</f>
        <v/>
      </c>
      <c r="ACH22">
        <f>IF($C21=70,0,ACH21+IF(AND($G21=70,$E21=1),1,0))</f>
        <v/>
      </c>
      <c r="ACI22">
        <f>IF($C21=71,0,ACI21+IF(AND($G21=71,$E21=1),1,0))</f>
        <v/>
      </c>
      <c r="ACJ22">
        <f>IF($C21=72,0,ACJ21+IF(AND($G21=72,$E21=1),1,0))</f>
        <v/>
      </c>
      <c r="ACK22">
        <f>IF($C21=73,0,ACK21+IF(AND($G21=73,$E21=1),1,0))</f>
        <v/>
      </c>
      <c r="ACL22">
        <f>IF($C21=74,0,ACL21+IF(AND($G21=74,$E21=1),1,0))</f>
        <v/>
      </c>
      <c r="ACM22">
        <f>IF($C21=75,0,ACM21+IF(AND($G21=75,$E21=1),1,0))</f>
        <v/>
      </c>
      <c r="ACN22">
        <f>IF($C21=76,0,ACN21+IF(AND($G21=76,$E21=1),1,0))</f>
        <v/>
      </c>
      <c r="ACO22">
        <f>IF($C21=77,0,ACO21+IF(AND($G21=77,$E21=1),1,0))</f>
        <v/>
      </c>
      <c r="ACP22">
        <f>IF($C21=78,0,ACP21+IF(AND($G21=78,$E21=1),1,0))</f>
        <v/>
      </c>
      <c r="ACQ22">
        <f>IF($C21=79,0,ACQ21+IF(AND($G21=79,$E21=1),1,0))</f>
        <v/>
      </c>
      <c r="ACR22">
        <f>IF($C21=80,0,ACR21+IF(AND($G21=80,$E21=1),1,0))</f>
        <v/>
      </c>
      <c r="ACS22">
        <f>IF($C21=81,0,ACS21+IF(AND($G21=81,$E21=1),1,0))</f>
        <v/>
      </c>
      <c r="ACT22">
        <f>IF($C21=82,0,ACT21+IF(AND($G21=82,$E21=1),1,0))</f>
        <v/>
      </c>
      <c r="ACU22">
        <f>IF($C21=83,0,ACU21+IF(AND($G21=83,$E21=1),1,0))</f>
        <v/>
      </c>
      <c r="ACV22">
        <f>IF($C21=84,0,ACV21+IF(AND($G21=84,$E21=1),1,0))</f>
        <v/>
      </c>
      <c r="ACW22">
        <f>IF($C21=85,0,ACW21+IF(AND($G21=85,$E21=1),1,0))</f>
        <v/>
      </c>
      <c r="ACX22">
        <f>IF($C21=86,0,ACX21+IF(AND($G21=86,$E21=1),1,0))</f>
        <v/>
      </c>
      <c r="ACY22">
        <f>IF($C21=87,0,ACY21+IF(AND($G21=87,$E21=1),1,0))</f>
        <v/>
      </c>
      <c r="ACZ22">
        <f>IF($C21=88,0,ACZ21+IF(AND($G21=88,$E21=1),1,0))</f>
        <v/>
      </c>
      <c r="ADA22">
        <f>IF($C21=89,0,ADA21+IF(AND($G21=89,$E21=1),1,0))</f>
        <v/>
      </c>
      <c r="ADB22">
        <f>IF($C21=90,0,ADB21+IF(AND($G21=90,$E21=1),1,0))</f>
        <v/>
      </c>
      <c r="ADC22">
        <f>IF($C21=91,0,ADC21+IF(AND($G21=91,$E21=1),1,0))</f>
        <v/>
      </c>
      <c r="ADD22">
        <f>IF($C21=92,0,ADD21+IF(AND($G21=92,$E21=1),1,0))</f>
        <v/>
      </c>
      <c r="ADE22">
        <f>IF($C21=93,0,ADE21+IF(AND($G21=93,$E21=1),1,0))</f>
        <v/>
      </c>
      <c r="ADF22">
        <f>IF($C21=94,0,ADF21+IF(AND($G21=94,$E21=1),1,0))</f>
        <v/>
      </c>
      <c r="ADG22">
        <f>IF($C21=95,0,ADG21+IF(AND($G21=95,$E21=1),1,0))</f>
        <v/>
      </c>
      <c r="ADH22">
        <f>IF($C21=96,0,ADH21+IF(AND($G21=96,$E21=1),1,0))</f>
        <v/>
      </c>
      <c r="ADI22">
        <f>IF($C21=97,0,ADI21+IF(AND($G21=97,$E21=1),1,0))</f>
        <v/>
      </c>
      <c r="ADJ22">
        <f>IF($C21=98,0,ADJ21+IF(AND($G21=98,$E21=1),1,0))</f>
        <v/>
      </c>
      <c r="ADK22">
        <f>IF($C21=99,0,ADK21+IF(AND($G21=99,$E21=1),1,0))</f>
        <v/>
      </c>
      <c r="ADL22">
        <f>IF($C21=100,0,ADL21+IF(AND($G21=100,$E21=1),1,0))</f>
        <v/>
      </c>
      <c r="ADM22">
        <f>IF($C21=101,0,ADM21+IF(AND($G21=101,$E21=1),1,0))</f>
        <v/>
      </c>
      <c r="ADN22">
        <f>IF($C21=102,0,ADN21+IF(AND($G21=102,$E21=1),1,0))</f>
        <v/>
      </c>
      <c r="ADO22">
        <f>IF($C21=103,0,ADO21+IF(AND($G21=103,$E21=1),1,0))</f>
        <v/>
      </c>
      <c r="ADP22">
        <f>IF($C21=104,0,ADP21+IF(AND($G21=104,$E21=1),1,0))</f>
        <v/>
      </c>
      <c r="ADQ22">
        <f>IF($C21=105,0,ADQ21+IF(AND($G21=105,$E21=1),1,0))</f>
        <v/>
      </c>
      <c r="ADR22">
        <f>IF($C21=106,0,ADR21+IF(AND($G21=106,$E21=1),1,0))</f>
        <v/>
      </c>
      <c r="ADS22">
        <f>IF($C21=107,0,ADS21+IF(AND($G21=107,$E21=1),1,0))</f>
        <v/>
      </c>
      <c r="ADT22">
        <f>IF($C21=108,0,ADT21+IF(AND($G21=108,$E21=1),1,0))</f>
        <v/>
      </c>
      <c r="ADU22">
        <f>IF($C21=109,0,ADU21+IF(AND($G21=109,$E21=1),1,0))</f>
        <v/>
      </c>
      <c r="ADV22">
        <f>IF($C21=110,0,ADV21+IF(AND($G21=110,$E21=1),1,0))</f>
        <v/>
      </c>
      <c r="ADW22">
        <f>IF($C21=111,0,ADW21+IF(AND($G21=111,$E21=1),1,0))</f>
        <v/>
      </c>
      <c r="ADX22">
        <f>IF($C21=112,0,ADX21+IF(AND($G21=112,$E21=1),1,0))</f>
        <v/>
      </c>
      <c r="ADY22">
        <f>IF($C21=113,0,ADY21+IF(AND($G21=113,$E21=1),1,0))</f>
        <v/>
      </c>
      <c r="ADZ22">
        <f>IF($C21=114,0,ADZ21+IF(AND($G21=114,$E21=1),1,0))</f>
        <v/>
      </c>
      <c r="AEA22">
        <f>IF($C21=115,0,AEA21+IF(AND($G21=115,$E21=1),1,0))</f>
        <v/>
      </c>
      <c r="AEB22">
        <f>IF($C21=116,0,AEB21+IF(AND($G21=116,$E21=1),1,0))</f>
        <v/>
      </c>
      <c r="AEC22">
        <f>IF($C21=117,0,AEC21+IF(AND($G21=117,$E21=1),1,0))</f>
        <v/>
      </c>
      <c r="AED22">
        <f>IF($C21=118,0,AED21+IF(AND($G21=118,$E21=1),1,0))</f>
        <v/>
      </c>
      <c r="AEE22">
        <f>IF($C21=119,0,AEE21+IF(AND($G21=119,$E21=1),1,0))</f>
        <v/>
      </c>
      <c r="AEF22">
        <f>IF($C21=120,0,AEF21+IF(AND($G21=120,$E21=1),1,0))</f>
        <v/>
      </c>
      <c r="AEG22">
        <f>IF($C21=121,0,AEG21+IF(AND($G21=121,$E21=1),1,0))</f>
        <v/>
      </c>
      <c r="AEH22">
        <f>IF($C21=122,0,AEH21+IF(AND($G21=122,$E21=1),1,0))</f>
        <v/>
      </c>
      <c r="AEI22">
        <f>IF($C21=123,0,AEI21+IF(AND($G21=123,$E21=1),1,0))</f>
        <v/>
      </c>
      <c r="AEJ22">
        <f>IF($C21=124,0,AEJ21+IF(AND($G21=124,$E21=1),1,0))</f>
        <v/>
      </c>
      <c r="AEK22">
        <f>IF($C21=125,0,AEK21+IF(AND($G21=125,$E21=1),1,0))</f>
        <v/>
      </c>
      <c r="AEL22">
        <f>IF($C21=126,0,AEL21+IF(AND($G21=126,$E21=1),1,0))</f>
        <v/>
      </c>
      <c r="AEM22">
        <f>IF($C21=127,0,AEM21+IF(AND($G21=127,$E21=1),1,0))</f>
        <v/>
      </c>
      <c r="AEN22">
        <f>IF($C21=128,0,AEN21+IF(AND($G21=128,$E21=1),1,0))</f>
        <v/>
      </c>
      <c r="AEO22">
        <f>IF($C21=129,0,AEO21+IF(AND($G21=129,$E21=1),1,0))</f>
        <v/>
      </c>
      <c r="AEP22">
        <f>IF($C21=130,0,AEP21+IF(AND($G21=130,$E21=1),1,0))</f>
        <v/>
      </c>
      <c r="AEQ22">
        <f>IF($C21=131,0,AEQ21+IF(AND($G21=131,$E21=1),1,0))</f>
        <v/>
      </c>
      <c r="AER22">
        <f>IF($C21=132,0,AER21+IF(AND($G21=132,$E21=1),1,0))</f>
        <v/>
      </c>
      <c r="AES22">
        <f>IF($C21=133,0,AES21+IF(AND($G21=133,$E21=1),1,0))</f>
        <v/>
      </c>
      <c r="AET22">
        <f>IF($C21=134,0,AET21+IF(AND($G21=134,$E21=1),1,0))</f>
        <v/>
      </c>
      <c r="AEU22">
        <f>IF($C21=135,0,AEU21+IF(AND($G21=135,$E21=1),1,0))</f>
        <v/>
      </c>
      <c r="AEV22">
        <f>IF($C21=136,0,AEV21+IF(AND($G21=136,$E21=1),1,0))</f>
        <v/>
      </c>
      <c r="AEW22">
        <f>IF($C21=137,0,AEW21+IF(AND($G21=137,$E21=1),1,0))</f>
        <v/>
      </c>
      <c r="AEX22">
        <f>IF($C21=138,0,AEX21+IF(AND($G21=138,$E21=1),1,0))</f>
        <v/>
      </c>
      <c r="AEY22">
        <f>IF($C21=139,0,AEY21+IF(AND($G21=139,$E21=1),1,0))</f>
        <v/>
      </c>
      <c r="AEZ22">
        <f>IF($C21=140,0,AEZ21+IF(AND($G21=140,$E21=1),1,0))</f>
        <v/>
      </c>
      <c r="AFA22">
        <f>IF($C21=141,0,AFA21+IF(AND($G21=141,$E21=1),1,0))</f>
        <v/>
      </c>
      <c r="AFB22">
        <f>IF($C21=142,0,AFB21+IF(AND($G21=142,$E21=1),1,0))</f>
        <v/>
      </c>
      <c r="AFC22">
        <f>IF($C21=143,0,AFC21+IF(AND($G21=143,$E21=1),1,0))</f>
        <v/>
      </c>
      <c r="AFD22">
        <f>IF($C21=144,0,AFD21+IF(AND($G21=144,$E21=1),1,0))</f>
        <v/>
      </c>
      <c r="AFF22">
        <f>IF('calcA'!D$106=1,DC22+ZR22,1)</f>
        <v/>
      </c>
      <c r="AFG22">
        <f>IF('calcA'!E$106=1,DD22+ZS22,1)</f>
        <v/>
      </c>
      <c r="AFH22">
        <f>IF('calcA'!F$106=1,DE22+ZT22,1)</f>
        <v/>
      </c>
      <c r="AFI22">
        <f>IF('calcA'!G$106=1,DF22+ZU22,1)</f>
        <v/>
      </c>
      <c r="AFJ22">
        <f>IF('calcA'!H$106=1,DG22+ZV22,1)</f>
        <v/>
      </c>
      <c r="AFK22">
        <f>IF('calcA'!I$106=1,DH22+ZW22,1)</f>
        <v/>
      </c>
      <c r="AFL22">
        <f>IF('calcA'!J$106=1,DI22+ZX22,1)</f>
        <v/>
      </c>
      <c r="AFM22">
        <f>IF('calcA'!K$106=1,DJ22+ZY22,1)</f>
        <v/>
      </c>
      <c r="AFN22">
        <f>IF('calcA'!L$106=1,DK22+ZZ22,1)</f>
        <v/>
      </c>
      <c r="AFO22">
        <f>IF('calcA'!M$106=1,DL22+AAA22,1)</f>
        <v/>
      </c>
      <c r="AFP22">
        <f>IF('calcA'!N$106=1,DM22+AAB22,1)</f>
        <v/>
      </c>
      <c r="AFQ22">
        <f>IF('calcA'!O$106=1,DN22+AAC22,1)</f>
        <v/>
      </c>
      <c r="AFR22">
        <f>IF('calcA'!P$106=1,DO22+AAD22,1)</f>
        <v/>
      </c>
      <c r="AFS22">
        <f>IF('calcA'!Q$106=1,DP22+AAE22,1)</f>
        <v/>
      </c>
      <c r="AFT22">
        <f>IF('calcA'!R$106=1,DQ22+AAF22,1)</f>
        <v/>
      </c>
      <c r="AFU22">
        <f>IF('calcA'!S$106=1,DR22+AAG22,1)</f>
        <v/>
      </c>
      <c r="AFV22">
        <f>IF('calcA'!T$106=1,DS22+AAH22,1)</f>
        <v/>
      </c>
      <c r="AFW22">
        <f>IF('calcA'!U$106=1,DT22+AAI22,1)</f>
        <v/>
      </c>
      <c r="AFX22">
        <f>IF('calcA'!V$106=1,DU22+AAJ22,1)</f>
        <v/>
      </c>
      <c r="AFY22">
        <f>IF('calcA'!W$106=1,DV22+AAK22,1)</f>
        <v/>
      </c>
      <c r="AFZ22">
        <f>IF('calcA'!X$106=1,DW22+AAL22,1)</f>
        <v/>
      </c>
      <c r="AGA22">
        <f>IF('calcA'!Y$106=1,DX22+AAM22,1)</f>
        <v/>
      </c>
      <c r="AGB22">
        <f>IF('calcA'!Z$106=1,DY22+AAN22,1)</f>
        <v/>
      </c>
      <c r="AGC22">
        <f>IF('calcA'!AA$106=1,DZ22+AAO22,1)</f>
        <v/>
      </c>
      <c r="AGD22">
        <f>IF('calcA'!AB$106=1,EA22+AAP22,1)</f>
        <v/>
      </c>
      <c r="AGE22">
        <f>IF('calcA'!AC$106=1,EB22+AAQ22,1)</f>
        <v/>
      </c>
      <c r="AGF22">
        <f>IF('calcA'!AD$106=1,EC22+AAR22,1)</f>
        <v/>
      </c>
      <c r="AGG22">
        <f>IF('calcA'!AE$106=1,ED22+AAS22,1)</f>
        <v/>
      </c>
      <c r="AGH22">
        <f>IF('calcA'!AF$106=1,EE22+AAT22,1)</f>
        <v/>
      </c>
      <c r="AGI22">
        <f>IF('calcA'!AG$106=1,EF22+AAU22,1)</f>
        <v/>
      </c>
      <c r="AGJ22">
        <f>IF('calcA'!AH$106=1,EG22+AAV22,1)</f>
        <v/>
      </c>
      <c r="AGK22">
        <f>IF('calcA'!AI$106=1,EH22+AAW22,1)</f>
        <v/>
      </c>
      <c r="AGL22">
        <f>IF('calcA'!AJ$106=1,EI22+AAX22,1)</f>
        <v/>
      </c>
      <c r="AGM22">
        <f>IF('calcA'!AK$106=1,EJ22+AAY22,1)</f>
        <v/>
      </c>
      <c r="AGN22">
        <f>IF('calcA'!AL$106=1,EK22+AAZ22,1)</f>
        <v/>
      </c>
      <c r="AGO22">
        <f>IF('calcA'!AM$106=1,EL22+ABA22,1)</f>
        <v/>
      </c>
      <c r="AGP22">
        <f>IF('calcA'!AN$106=1,EM22+ABB22,1)</f>
        <v/>
      </c>
      <c r="AGQ22">
        <f>IF('calcA'!AO$106=1,EN22+ABC22,1)</f>
        <v/>
      </c>
      <c r="AGR22">
        <f>IF('calcA'!AP$106=1,EO22+ABD22,1)</f>
        <v/>
      </c>
      <c r="AGS22">
        <f>IF('calcA'!AQ$106=1,EP22+ABE22,1)</f>
        <v/>
      </c>
      <c r="AGT22">
        <f>IF('calcA'!AR$106=1,EQ22+ABF22,1)</f>
        <v/>
      </c>
      <c r="AGU22">
        <f>IF('calcA'!AS$106=1,ER22+ABG22,1)</f>
        <v/>
      </c>
      <c r="AGV22">
        <f>IF('calcA'!AT$106=1,ES22+ABH22,1)</f>
        <v/>
      </c>
      <c r="AGW22">
        <f>IF('calcA'!AU$106=1,ET22+ABI22,1)</f>
        <v/>
      </c>
      <c r="AGX22">
        <f>IF('calcA'!AV$106=1,EU22+ABJ22,1)</f>
        <v/>
      </c>
      <c r="AGY22">
        <f>IF('calcA'!AW$106=1,EV22+ABK22,1)</f>
        <v/>
      </c>
      <c r="AGZ22">
        <f>IF('calcA'!AX$106=1,EW22+ABL22,1)</f>
        <v/>
      </c>
      <c r="AHA22">
        <f>IF('calcA'!AY$106=1,EX22+ABM22,1)</f>
        <v/>
      </c>
      <c r="AHB22">
        <f>IF('calcA'!AZ$106=1,EY22+ABN22,1)</f>
        <v/>
      </c>
      <c r="AHC22">
        <f>IF('calcA'!BA$106=1,EZ22+ABO22,1)</f>
        <v/>
      </c>
      <c r="AHD22">
        <f>IF('calcA'!BB$106=1,FA22+ABP22,1)</f>
        <v/>
      </c>
      <c r="AHE22">
        <f>IF('calcA'!BC$106=1,FB22+ABQ22,1)</f>
        <v/>
      </c>
      <c r="AHF22">
        <f>IF('calcA'!BD$106=1,FC22+ABR22,1)</f>
        <v/>
      </c>
      <c r="AHG22">
        <f>IF('calcA'!BE$106=1,FD22+ABS22,1)</f>
        <v/>
      </c>
      <c r="AHH22">
        <f>IF('calcA'!BF$106=1,FE22+ABT22,1)</f>
        <v/>
      </c>
      <c r="AHI22">
        <f>IF('calcA'!BG$106=1,FF22+ABU22,1)</f>
        <v/>
      </c>
      <c r="AHJ22">
        <f>IF('calcA'!BH$106=1,FG22+ABV22,1)</f>
        <v/>
      </c>
      <c r="AHK22">
        <f>IF('calcA'!BI$106=1,FH22+ABW22,1)</f>
        <v/>
      </c>
      <c r="AHL22">
        <f>IF('calcA'!BJ$106=1,FI22+ABX22,1)</f>
        <v/>
      </c>
      <c r="AHM22">
        <f>IF('calcA'!BK$106=1,FJ22+ABY22,1)</f>
        <v/>
      </c>
      <c r="AHN22">
        <f>IF('calcA'!BL$106=1,FK22+ABZ22,1)</f>
        <v/>
      </c>
      <c r="AHO22">
        <f>IF('calcA'!BM$106=1,FL22+ACA22,1)</f>
        <v/>
      </c>
      <c r="AHP22">
        <f>IF('calcA'!BN$106=1,FM22+ACB22,1)</f>
        <v/>
      </c>
      <c r="AHQ22">
        <f>IF('calcA'!BO$106=1,FN22+ACC22,1)</f>
        <v/>
      </c>
      <c r="AHR22">
        <f>IF('calcA'!BP$106=1,FO22+ACD22,1)</f>
        <v/>
      </c>
      <c r="AHS22">
        <f>IF('calcA'!BQ$106=1,FP22+ACE22,1)</f>
        <v/>
      </c>
      <c r="AHT22">
        <f>IF('calcA'!BR$106=1,FQ22+ACF22,1)</f>
        <v/>
      </c>
      <c r="AHU22">
        <f>IF('calcA'!BS$106=1,FR22+ACG22,1)</f>
        <v/>
      </c>
      <c r="AHV22">
        <f>IF('calcA'!BT$106=1,FS22+ACH22,1)</f>
        <v/>
      </c>
      <c r="AHW22">
        <f>IF('calcA'!BU$106=1,FT22+ACI22,1)</f>
        <v/>
      </c>
      <c r="AHX22">
        <f>IF('calcA'!BV$106=1,FU22+ACJ22,1)</f>
        <v/>
      </c>
      <c r="AHY22">
        <f>IF('calcA'!BW$106=1,FV22+ACK22,1)</f>
        <v/>
      </c>
      <c r="AHZ22">
        <f>IF('calcA'!BX$106=1,FW22+ACL22,1)</f>
        <v/>
      </c>
      <c r="AIA22">
        <f>IF('calcA'!BY$106=1,FX22+ACM22,1)</f>
        <v/>
      </c>
      <c r="AIB22">
        <f>IF('calcA'!BZ$106=1,FY22+ACN22,1)</f>
        <v/>
      </c>
      <c r="AIC22">
        <f>IF('calcA'!CA$106=1,FZ22+ACO22,1)</f>
        <v/>
      </c>
      <c r="AID22">
        <f>IF('calcA'!CB$106=1,GA22+ACP22,1)</f>
        <v/>
      </c>
      <c r="AIE22">
        <f>IF('calcA'!CC$106=1,GB22+ACQ22,1)</f>
        <v/>
      </c>
      <c r="AIF22">
        <f>IF('calcA'!CD$106=1,GC22+ACR22,1)</f>
        <v/>
      </c>
      <c r="AIG22">
        <f>IF('calcA'!CE$106=1,GD22+ACS22,1)</f>
        <v/>
      </c>
      <c r="AIH22">
        <f>IF('calcA'!CF$106=1,GE22+ACT22,1)</f>
        <v/>
      </c>
      <c r="AII22">
        <f>IF('calcA'!CG$106=1,GF22+ACU22,1)</f>
        <v/>
      </c>
      <c r="AIJ22">
        <f>IF('calcA'!CH$106=1,GG22+ACV22,1)</f>
        <v/>
      </c>
      <c r="AIK22">
        <f>IF('calcA'!CI$106=1,GH22+ACW22,1)</f>
        <v/>
      </c>
      <c r="AIL22">
        <f>IF('calcA'!CJ$106=1,GI22+ACX22,1)</f>
        <v/>
      </c>
      <c r="AIM22">
        <f>IF('calcA'!CK$106=1,GJ22+ACY22,1)</f>
        <v/>
      </c>
      <c r="AIN22">
        <f>IF('calcA'!CL$106=1,GK22+ACZ22,1)</f>
        <v/>
      </c>
      <c r="AIO22">
        <f>IF('calcA'!CM$106=1,GL22+ADA22,1)</f>
        <v/>
      </c>
      <c r="AIP22">
        <f>IF('calcA'!CN$106=1,GM22+ADB22,1)</f>
        <v/>
      </c>
      <c r="AIQ22">
        <f>IF('calcA'!CO$106=1,GN22+ADC22,1)</f>
        <v/>
      </c>
      <c r="AIR22">
        <f>IF('calcA'!CP$106=1,GO22+ADD22,1)</f>
        <v/>
      </c>
      <c r="AIS22">
        <f>IF('calcA'!CQ$106=1,GP22+ADE22,1)</f>
        <v/>
      </c>
      <c r="AIT22">
        <f>IF('calcA'!CR$106=1,GQ22+ADF22,1)</f>
        <v/>
      </c>
      <c r="AIU22">
        <f>IF('calcA'!CS$106=1,GR22+ADG22,1)</f>
        <v/>
      </c>
      <c r="AIV22">
        <f>IF('calcA'!CT$106=1,GS22+ADH22,1)</f>
        <v/>
      </c>
      <c r="AIW22">
        <f>IF('calcA'!CU$106=1,GT22+ADI22,1)</f>
        <v/>
      </c>
      <c r="AIX22">
        <f>IF('calcA'!CV$106=1,GU22+ADJ22,1)</f>
        <v/>
      </c>
      <c r="AIY22">
        <f>IF('calcA'!CW$106=1,GV22+ADK22,1)</f>
        <v/>
      </c>
      <c r="AIZ22">
        <f>IF('calcA'!CX$106=1,GW22+ADL22,1)</f>
        <v/>
      </c>
      <c r="AJA22">
        <f>IF('calcA'!CY$106=1,GX22+ADM22,1)</f>
        <v/>
      </c>
      <c r="AJB22">
        <f>IF('calcA'!CZ$106=1,GY22+ADN22,1)</f>
        <v/>
      </c>
      <c r="AJC22">
        <f>IF('calcA'!DA$106=1,GZ22+ADO22,1)</f>
        <v/>
      </c>
      <c r="AJD22">
        <f>IF('calcA'!DB$106=1,HA22+ADP22,1)</f>
        <v/>
      </c>
      <c r="AJE22">
        <f>IF('calcA'!DC$106=1,HB22+ADQ22,1)</f>
        <v/>
      </c>
      <c r="AJF22">
        <f>IF('calcA'!DD$106=1,HC22+ADR22,1)</f>
        <v/>
      </c>
      <c r="AJG22">
        <f>IF('calcA'!DE$106=1,HD22+ADS22,1)</f>
        <v/>
      </c>
      <c r="AJH22">
        <f>IF('calcA'!DF$106=1,HE22+ADT22,1)</f>
        <v/>
      </c>
      <c r="AJI22">
        <f>IF('calcA'!DG$106=1,HF22+ADU22,1)</f>
        <v/>
      </c>
      <c r="AJJ22">
        <f>IF('calcA'!DH$106=1,HG22+ADV22,1)</f>
        <v/>
      </c>
      <c r="AJK22">
        <f>IF('calcA'!DI$106=1,HH22+ADW22,1)</f>
        <v/>
      </c>
      <c r="AJL22">
        <f>IF('calcA'!DJ$106=1,HI22+ADX22,1)</f>
        <v/>
      </c>
      <c r="AJM22">
        <f>IF('calcA'!DK$106=1,HJ22+ADY22,1)</f>
        <v/>
      </c>
      <c r="AJN22">
        <f>IF('calcA'!DL$106=1,HK22+ADZ22,1)</f>
        <v/>
      </c>
      <c r="AJO22">
        <f>IF('calcA'!DM$106=1,HL22+AEA22,1)</f>
        <v/>
      </c>
      <c r="AJP22">
        <f>IF('calcA'!DN$106=1,HM22+AEB22,1)</f>
        <v/>
      </c>
      <c r="AJQ22">
        <f>IF('calcA'!DO$106=1,HN22+AEC22,1)</f>
        <v/>
      </c>
      <c r="AJR22">
        <f>IF('calcA'!DP$106=1,HO22+AED22,1)</f>
        <v/>
      </c>
      <c r="AJS22">
        <f>IF('calcA'!DQ$106=1,HP22+AEE22,1)</f>
        <v/>
      </c>
      <c r="AJT22">
        <f>IF('calcA'!DR$106=1,HQ22+AEF22,1)</f>
        <v/>
      </c>
      <c r="AJU22">
        <f>IF('calcA'!DS$106=1,HR22+AEG22,1)</f>
        <v/>
      </c>
      <c r="AJV22">
        <f>IF('calcA'!DT$106=1,HS22+AEH22,1)</f>
        <v/>
      </c>
      <c r="AJW22">
        <f>IF('calcA'!DU$106=1,HT22+AEI22,1)</f>
        <v/>
      </c>
      <c r="AJX22">
        <f>IF('calcA'!DV$106=1,HU22+AEJ22,1)</f>
        <v/>
      </c>
      <c r="AJY22">
        <f>IF('calcA'!DW$106=1,HV22+AEK22,1)</f>
        <v/>
      </c>
      <c r="AJZ22">
        <f>IF('calcA'!DX$106=1,HW22+AEL22,1)</f>
        <v/>
      </c>
      <c r="AKA22">
        <f>IF('calcA'!DY$106=1,HX22+AEM22,1)</f>
        <v/>
      </c>
      <c r="AKB22">
        <f>IF('calcA'!DZ$106=1,HY22+AEN22,1)</f>
        <v/>
      </c>
      <c r="AKC22">
        <f>IF('calcA'!EA$106=1,HZ22+AEO22,1)</f>
        <v/>
      </c>
      <c r="AKD22">
        <f>IF('calcA'!EB$106=1,IA22+AEP22,1)</f>
        <v/>
      </c>
      <c r="AKE22">
        <f>IF('calcA'!EC$106=1,IB22+AEQ22,1)</f>
        <v/>
      </c>
      <c r="AKF22">
        <f>IF('calcA'!ED$106=1,IC22+AER22,1)</f>
        <v/>
      </c>
      <c r="AKG22">
        <f>IF('calcA'!EE$106=1,ID22+AES22,1)</f>
        <v/>
      </c>
      <c r="AKH22">
        <f>IF('calcA'!EF$106=1,IE22+AET22,1)</f>
        <v/>
      </c>
      <c r="AKI22">
        <f>IF('calcA'!EG$106=1,IF22+AEU22,1)</f>
        <v/>
      </c>
      <c r="AKJ22">
        <f>IF('calcA'!EH$106=1,IG22+AEV22,1)</f>
        <v/>
      </c>
      <c r="AKK22">
        <f>IF('calcA'!EI$106=1,IH22+AEW22,1)</f>
        <v/>
      </c>
      <c r="AKL22">
        <f>IF('calcA'!EJ$106=1,II22+AEX22,1)</f>
        <v/>
      </c>
      <c r="AKM22">
        <f>IF('calcA'!EK$106=1,IJ22+AEY22,1)</f>
        <v/>
      </c>
      <c r="AKN22">
        <f>IF('calcA'!EL$106=1,IK22+AEZ22,1)</f>
        <v/>
      </c>
      <c r="AKO22">
        <f>IF('calcA'!EM$106=1,IL22+AFA22,1)</f>
        <v/>
      </c>
      <c r="AKP22">
        <f>IF('calcA'!EN$106=1,IM22+AFB22,1)</f>
        <v/>
      </c>
      <c r="AKQ22">
        <f>IF('calcA'!EO$106=1,IN22+AFC22,1)</f>
        <v/>
      </c>
      <c r="AKR22">
        <f>IF('calcA'!EP$106=1,IO22+AFD22,1)</f>
        <v/>
      </c>
      <c r="AKS22" t="n">
        <v>1</v>
      </c>
    </row>
    <row r="23">
      <c r="A23" t="n">
        <v>21</v>
      </c>
      <c r="B23">
        <f>IF(MIN(BM23:CZ23)&gt;=1000000000,0,MATCH(MIN(BM23:CZ23),BM23:CZ23,0))</f>
        <v/>
      </c>
      <c r="C23">
        <f>IF(MIN(OF23:TS23)&gt;=1000000000,0,MATCH(MIN(OF23:TS23),OF23:TS23,0))</f>
        <v/>
      </c>
      <c r="D23">
        <f>IF(C23&gt;0,INDEX('calcA'!$D$5:$EQ$5,C23),0)</f>
        <v/>
      </c>
      <c r="E23">
        <f>IF(B23=0,0,INDEX('calcA'!$IQ$10:$IQ$54,B23))</f>
        <v/>
      </c>
      <c r="F23">
        <f>IF(B23=0,0,INDEX('calcA'!$IP$10:$IP$54,B23))</f>
        <v/>
      </c>
      <c r="G23">
        <f>IF(AND(C23&gt;0,E23&gt;0),IF(AND(INDEX('calcA'!$D$106:$EQ$106,C23)=1,INDEX($IQ23:$OD23,C23)=1),C23+1,0),0)</f>
        <v/>
      </c>
      <c r="H23">
        <f>IF(B23=0,0,INDEX('calcA'!$IW$10:$IW$54,B23))</f>
        <v/>
      </c>
      <c r="U23">
        <f>IF(B23=0,0,INDEX('calcA'!$IX$10:$IX$54,B23))</f>
        <v/>
      </c>
      <c r="V23">
        <f>IF(B23=0,0,INDEX('calcA'!$JF$10:$JF$54,B23))</f>
        <v/>
      </c>
      <c r="W23">
        <f>IF(B23=0,0,IF(IF(E23=2,SUMPRODUCT(INDEX('calcA'!$D$60:$EQ$99,B23,0),$DB23:$IO23,$IQ23:$OD23),SUMPRODUCT(INDEX('calcA'!$D$60:$EQ$99,B23,0),$DB23:$IO23))=0,1,0))</f>
        <v/>
      </c>
      <c r="X23">
        <f>MAX(X22,IF($B22=1,1,0))</f>
        <v/>
      </c>
      <c r="Y23">
        <f>MAX(Y22,IF($B22=2,1,0))</f>
        <v/>
      </c>
      <c r="Z23">
        <f>MAX(Z22,IF($B22=3,1,0))</f>
        <v/>
      </c>
      <c r="AA23">
        <f>MAX(AA22,IF($B22=4,1,0))</f>
        <v/>
      </c>
      <c r="AB23">
        <f>MAX(AB22,IF($B22=5,1,0))</f>
        <v/>
      </c>
      <c r="AC23">
        <f>MAX(AC22,IF($B22=6,1,0))</f>
        <v/>
      </c>
      <c r="AD23">
        <f>MAX(AD22,IF($B22=7,1,0))</f>
        <v/>
      </c>
      <c r="AE23">
        <f>MAX(AE22,IF($B22=8,1,0))</f>
        <v/>
      </c>
      <c r="AF23">
        <f>MAX(AF22,IF($B22=9,1,0))</f>
        <v/>
      </c>
      <c r="AG23">
        <f>MAX(AG22,IF($B22=10,1,0))</f>
        <v/>
      </c>
      <c r="AH23">
        <f>MAX(AH22,IF($B22=11,1,0))</f>
        <v/>
      </c>
      <c r="AI23">
        <f>MAX(AI22,IF($B22=12,1,0))</f>
        <v/>
      </c>
      <c r="AJ23">
        <f>MAX(AJ22,IF($B22=13,1,0))</f>
        <v/>
      </c>
      <c r="AK23">
        <f>MAX(AK22,IF($B22=14,1,0))</f>
        <v/>
      </c>
      <c r="AL23">
        <f>MAX(AL22,IF($B22=15,1,0))</f>
        <v/>
      </c>
      <c r="AM23">
        <f>MAX(AM22,IF($B22=16,1,0))</f>
        <v/>
      </c>
      <c r="AN23">
        <f>MAX(AN22,IF($B22=17,1,0))</f>
        <v/>
      </c>
      <c r="AO23">
        <f>MAX(AO22,IF($B22=18,1,0))</f>
        <v/>
      </c>
      <c r="AP23">
        <f>MAX(AP22,IF($B22=19,1,0))</f>
        <v/>
      </c>
      <c r="AQ23">
        <f>MAX(AQ22,IF($B22=20,1,0))</f>
        <v/>
      </c>
      <c r="AR23">
        <f>MAX(AR22,IF($B22=21,1,0))</f>
        <v/>
      </c>
      <c r="AS23">
        <f>MAX(AS22,IF($B22=22,1,0))</f>
        <v/>
      </c>
      <c r="AT23">
        <f>MAX(AT22,IF($B22=23,1,0))</f>
        <v/>
      </c>
      <c r="AU23">
        <f>MAX(AU22,IF($B22=24,1,0))</f>
        <v/>
      </c>
      <c r="AV23">
        <f>MAX(AV22,IF($B22=25,1,0))</f>
        <v/>
      </c>
      <c r="AW23">
        <f>MAX(AW22,IF($B22=26,1,0))</f>
        <v/>
      </c>
      <c r="AX23">
        <f>MAX(AX22,IF($B22=27,1,0))</f>
        <v/>
      </c>
      <c r="AY23">
        <f>MAX(AY22,IF($B22=28,1,0))</f>
        <v/>
      </c>
      <c r="AZ23">
        <f>MAX(AZ22,IF($B22=29,1,0))</f>
        <v/>
      </c>
      <c r="BA23">
        <f>MAX(BA22,IF($B22=30,1,0))</f>
        <v/>
      </c>
      <c r="BB23">
        <f>MAX(BB22,IF($B22=31,1,0))</f>
        <v/>
      </c>
      <c r="BC23">
        <f>MAX(BC22,IF($B22=32,1,0))</f>
        <v/>
      </c>
      <c r="BD23">
        <f>MAX(BD22,IF($B22=33,1,0))</f>
        <v/>
      </c>
      <c r="BE23">
        <f>MAX(BE22,IF($B22=34,1,0))</f>
        <v/>
      </c>
      <c r="BF23">
        <f>MAX(BF22,IF($B22=35,1,0))</f>
        <v/>
      </c>
      <c r="BG23">
        <f>MAX(BG22,IF($B22=36,1,0))</f>
        <v/>
      </c>
      <c r="BH23">
        <f>MAX(BH22,IF($B22=37,1,0))</f>
        <v/>
      </c>
      <c r="BI23">
        <f>MAX(BI22,IF($B22=38,1,0))</f>
        <v/>
      </c>
      <c r="BJ23">
        <f>MAX(BJ22,IF($B22=39,1,0))</f>
        <v/>
      </c>
      <c r="BK23">
        <f>MAX(BK22,IF($B22=40,1,0))</f>
        <v/>
      </c>
      <c r="BM23">
        <f>IF(OR(X23=1,calcA!$A$6=0),1000000000,IF('calcA'!$JF$10=1,0,100000000)+IF('calcA'!$IQ$10=2,SUMPRODUCT('calcA'!$D$60:$EQ$60,$DB23:$IO23,$IQ23:$OD23)*1000+SUMPRODUCT('calcA'!$D$60:$EQ$60,$DB23:$IO23+$ZQ23:$AFD23,$AFF23:$AKS23),SUMPRODUCT('calcA'!$D$60:$EQ$60,$DB23:$IO23*1001+$ZQ23:$AFD23))*100+1)</f>
        <v/>
      </c>
      <c r="BN23">
        <f>IF(OR(Y23=1,calcA!$A$6=0),1000000000,IF('calcA'!$JF$11=1,0,100000000)+IF('calcA'!$IQ$11=2,SUMPRODUCT('calcA'!$D$61:$EQ$61,$DB23:$IO23,$IQ23:$OD23)*1000+SUMPRODUCT('calcA'!$D$61:$EQ$61,$DB23:$IO23+$ZQ23:$AFD23,$AFF23:$AKS23),SUMPRODUCT('calcA'!$D$61:$EQ$61,$DB23:$IO23*1001+$ZQ23:$AFD23))*100+2)</f>
        <v/>
      </c>
      <c r="BO23">
        <f>IF(OR(Z23=1,calcA!$A$6=0),1000000000,IF('calcA'!$JF$12=1,0,100000000)+IF('calcA'!$IQ$12=2,SUMPRODUCT('calcA'!$D$62:$EQ$62,$DB23:$IO23,$IQ23:$OD23)*1000+SUMPRODUCT('calcA'!$D$62:$EQ$62,$DB23:$IO23+$ZQ23:$AFD23,$AFF23:$AKS23),SUMPRODUCT('calcA'!$D$62:$EQ$62,$DB23:$IO23*1001+$ZQ23:$AFD23))*100+3)</f>
        <v/>
      </c>
      <c r="BP23">
        <f>IF(OR(AA23=1,calcA!$A$6=0),1000000000,IF('calcA'!$JF$13=1,0,100000000)+IF('calcA'!$IQ$13=2,SUMPRODUCT('calcA'!$D$63:$EQ$63,$DB23:$IO23,$IQ23:$OD23)*1000+SUMPRODUCT('calcA'!$D$63:$EQ$63,$DB23:$IO23+$ZQ23:$AFD23,$AFF23:$AKS23),SUMPRODUCT('calcA'!$D$63:$EQ$63,$DB23:$IO23*1001+$ZQ23:$AFD23))*100+4)</f>
        <v/>
      </c>
      <c r="BQ23">
        <f>IF(OR(AB23=1,calcA!$A$6=0),1000000000,IF('calcA'!$JF$14=1,0,100000000)+IF('calcA'!$IQ$14=2,SUMPRODUCT('calcA'!$D$64:$EQ$64,$DB23:$IO23,$IQ23:$OD23)*1000+SUMPRODUCT('calcA'!$D$64:$EQ$64,$DB23:$IO23+$ZQ23:$AFD23,$AFF23:$AKS23),SUMPRODUCT('calcA'!$D$64:$EQ$64,$DB23:$IO23*1001+$ZQ23:$AFD23))*100+5)</f>
        <v/>
      </c>
      <c r="BR23">
        <f>IF(OR(AC23=1,calcA!$A$6=0),1000000000,IF('calcA'!$JF$15=1,0,100000000)+IF('calcA'!$IQ$15=2,SUMPRODUCT('calcA'!$D$65:$EQ$65,$DB23:$IO23,$IQ23:$OD23)*1000+SUMPRODUCT('calcA'!$D$65:$EQ$65,$DB23:$IO23+$ZQ23:$AFD23,$AFF23:$AKS23),SUMPRODUCT('calcA'!$D$65:$EQ$65,$DB23:$IO23*1001+$ZQ23:$AFD23))*100+6)</f>
        <v/>
      </c>
      <c r="BS23">
        <f>IF(OR(AD23=1,calcA!$A$6=0),1000000000,IF('calcA'!$JF$16=1,0,100000000)+IF('calcA'!$IQ$16=2,SUMPRODUCT('calcA'!$D$66:$EQ$66,$DB23:$IO23,$IQ23:$OD23)*1000+SUMPRODUCT('calcA'!$D$66:$EQ$66,$DB23:$IO23+$ZQ23:$AFD23,$AFF23:$AKS23),SUMPRODUCT('calcA'!$D$66:$EQ$66,$DB23:$IO23*1001+$ZQ23:$AFD23))*100+7)</f>
        <v/>
      </c>
      <c r="BT23">
        <f>IF(OR(AE23=1,calcA!$A$6=0),1000000000,IF('calcA'!$JF$17=1,0,100000000)+IF('calcA'!$IQ$17=2,SUMPRODUCT('calcA'!$D$67:$EQ$67,$DB23:$IO23,$IQ23:$OD23)*1000+SUMPRODUCT('calcA'!$D$67:$EQ$67,$DB23:$IO23+$ZQ23:$AFD23,$AFF23:$AKS23),SUMPRODUCT('calcA'!$D$67:$EQ$67,$DB23:$IO23*1001+$ZQ23:$AFD23))*100+8)</f>
        <v/>
      </c>
      <c r="BU23">
        <f>IF(OR(AF23=1,calcA!$A$6=0),1000000000,IF('calcA'!$JF$18=1,0,100000000)+IF('calcA'!$IQ$18=2,SUMPRODUCT('calcA'!$D$68:$EQ$68,$DB23:$IO23,$IQ23:$OD23)*1000+SUMPRODUCT('calcA'!$D$68:$EQ$68,$DB23:$IO23+$ZQ23:$AFD23,$AFF23:$AKS23),SUMPRODUCT('calcA'!$D$68:$EQ$68,$DB23:$IO23*1001+$ZQ23:$AFD23))*100+9)</f>
        <v/>
      </c>
      <c r="BV23">
        <f>IF(OR(AG23=1,calcA!$A$6=0),1000000000,IF('calcA'!$JF$19=1,0,100000000)+IF('calcA'!$IQ$19=2,SUMPRODUCT('calcA'!$D$69:$EQ$69,$DB23:$IO23,$IQ23:$OD23)*1000+SUMPRODUCT('calcA'!$D$69:$EQ$69,$DB23:$IO23+$ZQ23:$AFD23,$AFF23:$AKS23),SUMPRODUCT('calcA'!$D$69:$EQ$69,$DB23:$IO23*1001+$ZQ23:$AFD23))*100+10)</f>
        <v/>
      </c>
      <c r="BW23">
        <f>IF(OR(AH23=1,calcA!$A$6=0),1000000000,IF('calcA'!$JF$20=1,0,100000000)+IF('calcA'!$IQ$20=2,SUMPRODUCT('calcA'!$D$70:$EQ$70,$DB23:$IO23,$IQ23:$OD23)*1000+SUMPRODUCT('calcA'!$D$70:$EQ$70,$DB23:$IO23+$ZQ23:$AFD23,$AFF23:$AKS23),SUMPRODUCT('calcA'!$D$70:$EQ$70,$DB23:$IO23*1001+$ZQ23:$AFD23))*100+11)</f>
        <v/>
      </c>
      <c r="BX23">
        <f>IF(OR(AI23=1,calcA!$A$6=0),1000000000,IF('calcA'!$JF$21=1,0,100000000)+IF('calcA'!$IQ$21=2,SUMPRODUCT('calcA'!$D$71:$EQ$71,$DB23:$IO23,$IQ23:$OD23)*1000+SUMPRODUCT('calcA'!$D$71:$EQ$71,$DB23:$IO23+$ZQ23:$AFD23,$AFF23:$AKS23),SUMPRODUCT('calcA'!$D$71:$EQ$71,$DB23:$IO23*1001+$ZQ23:$AFD23))*100+12)</f>
        <v/>
      </c>
      <c r="BY23">
        <f>IF(OR(AJ23=1,calcA!$A$6=0),1000000000,IF('calcA'!$JF$22=1,0,100000000)+IF('calcA'!$IQ$22=2,SUMPRODUCT('calcA'!$D$72:$EQ$72,$DB23:$IO23,$IQ23:$OD23)*1000+SUMPRODUCT('calcA'!$D$72:$EQ$72,$DB23:$IO23+$ZQ23:$AFD23,$AFF23:$AKS23),SUMPRODUCT('calcA'!$D$72:$EQ$72,$DB23:$IO23*1001+$ZQ23:$AFD23))*100+13)</f>
        <v/>
      </c>
      <c r="BZ23">
        <f>IF(OR(AK23=1,calcA!$A$6=0),1000000000,IF('calcA'!$JF$23=1,0,100000000)+IF('calcA'!$IQ$23=2,SUMPRODUCT('calcA'!$D$73:$EQ$73,$DB23:$IO23,$IQ23:$OD23)*1000+SUMPRODUCT('calcA'!$D$73:$EQ$73,$DB23:$IO23+$ZQ23:$AFD23,$AFF23:$AKS23),SUMPRODUCT('calcA'!$D$73:$EQ$73,$DB23:$IO23*1001+$ZQ23:$AFD23))*100+14)</f>
        <v/>
      </c>
      <c r="CA23">
        <f>IF(OR(AL23=1,calcA!$A$6=0),1000000000,IF('calcA'!$JF$24=1,0,100000000)+IF('calcA'!$IQ$24=2,SUMPRODUCT('calcA'!$D$74:$EQ$74,$DB23:$IO23,$IQ23:$OD23)*1000+SUMPRODUCT('calcA'!$D$74:$EQ$74,$DB23:$IO23+$ZQ23:$AFD23,$AFF23:$AKS23),SUMPRODUCT('calcA'!$D$74:$EQ$74,$DB23:$IO23*1001+$ZQ23:$AFD23))*100+15)</f>
        <v/>
      </c>
      <c r="CB23">
        <f>IF(OR(AM23=1,calcA!$A$6=0),1000000000,IF('calcA'!$JF$25=1,0,100000000)+IF('calcA'!$IQ$25=2,SUMPRODUCT('calcA'!$D$75:$EQ$75,$DB23:$IO23,$IQ23:$OD23)*1000+SUMPRODUCT('calcA'!$D$75:$EQ$75,$DB23:$IO23+$ZQ23:$AFD23,$AFF23:$AKS23),SUMPRODUCT('calcA'!$D$75:$EQ$75,$DB23:$IO23*1001+$ZQ23:$AFD23))*100+16)</f>
        <v/>
      </c>
      <c r="CC23">
        <f>IF(OR(AN23=1,calcA!$A$6=0),1000000000,IF('calcA'!$JF$26=1,0,100000000)+IF('calcA'!$IQ$26=2,SUMPRODUCT('calcA'!$D$76:$EQ$76,$DB23:$IO23,$IQ23:$OD23)*1000+SUMPRODUCT('calcA'!$D$76:$EQ$76,$DB23:$IO23+$ZQ23:$AFD23,$AFF23:$AKS23),SUMPRODUCT('calcA'!$D$76:$EQ$76,$DB23:$IO23*1001+$ZQ23:$AFD23))*100+17)</f>
        <v/>
      </c>
      <c r="CD23">
        <f>IF(OR(AO23=1,calcA!$A$6=0),1000000000,IF('calcA'!$JF$27=1,0,100000000)+IF('calcA'!$IQ$27=2,SUMPRODUCT('calcA'!$D$77:$EQ$77,$DB23:$IO23,$IQ23:$OD23)*1000+SUMPRODUCT('calcA'!$D$77:$EQ$77,$DB23:$IO23+$ZQ23:$AFD23,$AFF23:$AKS23),SUMPRODUCT('calcA'!$D$77:$EQ$77,$DB23:$IO23*1001+$ZQ23:$AFD23))*100+18)</f>
        <v/>
      </c>
      <c r="CE23">
        <f>IF(OR(AP23=1,calcA!$A$6=0),1000000000,IF('calcA'!$JF$28=1,0,100000000)+IF('calcA'!$IQ$28=2,SUMPRODUCT('calcA'!$D$78:$EQ$78,$DB23:$IO23,$IQ23:$OD23)*1000+SUMPRODUCT('calcA'!$D$78:$EQ$78,$DB23:$IO23+$ZQ23:$AFD23,$AFF23:$AKS23),SUMPRODUCT('calcA'!$D$78:$EQ$78,$DB23:$IO23*1001+$ZQ23:$AFD23))*100+19)</f>
        <v/>
      </c>
      <c r="CF23">
        <f>IF(OR(AQ23=1,calcA!$A$6=0),1000000000,IF('calcA'!$JF$29=1,0,100000000)+IF('calcA'!$IQ$29=2,SUMPRODUCT('calcA'!$D$79:$EQ$79,$DB23:$IO23,$IQ23:$OD23)*1000+SUMPRODUCT('calcA'!$D$79:$EQ$79,$DB23:$IO23+$ZQ23:$AFD23,$AFF23:$AKS23),SUMPRODUCT('calcA'!$D$79:$EQ$79,$DB23:$IO23*1001+$ZQ23:$AFD23))*100+20)</f>
        <v/>
      </c>
      <c r="CG23">
        <f>IF(OR(AR23=1,calcA!$A$6=0),1000000000,IF('calcA'!$JF$30=1,0,100000000)+IF('calcA'!$IQ$30=2,SUMPRODUCT('calcA'!$D$80:$EQ$80,$DB23:$IO23,$IQ23:$OD23)*1000+SUMPRODUCT('calcA'!$D$80:$EQ$80,$DB23:$IO23+$ZQ23:$AFD23,$AFF23:$AKS23),SUMPRODUCT('calcA'!$D$80:$EQ$80,$DB23:$IO23*1001+$ZQ23:$AFD23))*100+21)</f>
        <v/>
      </c>
      <c r="CH23">
        <f>IF(OR(AS23=1,calcA!$A$6=0),1000000000,IF('calcA'!$JF$31=1,0,100000000)+IF('calcA'!$IQ$31=2,SUMPRODUCT('calcA'!$D$81:$EQ$81,$DB23:$IO23,$IQ23:$OD23)*1000+SUMPRODUCT('calcA'!$D$81:$EQ$81,$DB23:$IO23+$ZQ23:$AFD23,$AFF23:$AKS23),SUMPRODUCT('calcA'!$D$81:$EQ$81,$DB23:$IO23*1001+$ZQ23:$AFD23))*100+22)</f>
        <v/>
      </c>
      <c r="CI23">
        <f>IF(OR(AT23=1,calcA!$A$6=0),1000000000,IF('calcA'!$JF$32=1,0,100000000)+IF('calcA'!$IQ$32=2,SUMPRODUCT('calcA'!$D$82:$EQ$82,$DB23:$IO23,$IQ23:$OD23)*1000+SUMPRODUCT('calcA'!$D$82:$EQ$82,$DB23:$IO23+$ZQ23:$AFD23,$AFF23:$AKS23),SUMPRODUCT('calcA'!$D$82:$EQ$82,$DB23:$IO23*1001+$ZQ23:$AFD23))*100+23)</f>
        <v/>
      </c>
      <c r="CJ23">
        <f>IF(OR(AU23=1,calcA!$A$6=0),1000000000,IF('calcA'!$JF$33=1,0,100000000)+IF('calcA'!$IQ$33=2,SUMPRODUCT('calcA'!$D$83:$EQ$83,$DB23:$IO23,$IQ23:$OD23)*1000+SUMPRODUCT('calcA'!$D$83:$EQ$83,$DB23:$IO23+$ZQ23:$AFD23,$AFF23:$AKS23),SUMPRODUCT('calcA'!$D$83:$EQ$83,$DB23:$IO23*1001+$ZQ23:$AFD23))*100+24)</f>
        <v/>
      </c>
      <c r="CK23">
        <f>IF(OR(AV23=1,calcA!$A$6=0),1000000000,IF('calcA'!$JF$34=1,0,100000000)+IF('calcA'!$IQ$34=2,SUMPRODUCT('calcA'!$D$84:$EQ$84,$DB23:$IO23,$IQ23:$OD23)*1000+SUMPRODUCT('calcA'!$D$84:$EQ$84,$DB23:$IO23+$ZQ23:$AFD23,$AFF23:$AKS23),SUMPRODUCT('calcA'!$D$84:$EQ$84,$DB23:$IO23*1001+$ZQ23:$AFD23))*100+25)</f>
        <v/>
      </c>
      <c r="CL23">
        <f>IF(OR(AW23=1,calcA!$A$6=0),1000000000,IF('calcA'!$JF$35=1,0,100000000)+IF('calcA'!$IQ$35=2,SUMPRODUCT('calcA'!$D$85:$EQ$85,$DB23:$IO23,$IQ23:$OD23)*1000+SUMPRODUCT('calcA'!$D$85:$EQ$85,$DB23:$IO23+$ZQ23:$AFD23,$AFF23:$AKS23),SUMPRODUCT('calcA'!$D$85:$EQ$85,$DB23:$IO23*1001+$ZQ23:$AFD23))*100+26)</f>
        <v/>
      </c>
      <c r="CM23">
        <f>IF(OR(AX23=1,calcA!$A$6=0),1000000000,IF('calcA'!$JF$36=1,0,100000000)+IF('calcA'!$IQ$36=2,SUMPRODUCT('calcA'!$D$86:$EQ$86,$DB23:$IO23,$IQ23:$OD23)*1000+SUMPRODUCT('calcA'!$D$86:$EQ$86,$DB23:$IO23+$ZQ23:$AFD23,$AFF23:$AKS23),SUMPRODUCT('calcA'!$D$86:$EQ$86,$DB23:$IO23*1001+$ZQ23:$AFD23))*100+27)</f>
        <v/>
      </c>
      <c r="CN23">
        <f>IF(OR(AY23=1,calcA!$A$6=0),1000000000,IF('calcA'!$JF$37=1,0,100000000)+IF('calcA'!$IQ$37=2,SUMPRODUCT('calcA'!$D$87:$EQ$87,$DB23:$IO23,$IQ23:$OD23)*1000+SUMPRODUCT('calcA'!$D$87:$EQ$87,$DB23:$IO23+$ZQ23:$AFD23,$AFF23:$AKS23),SUMPRODUCT('calcA'!$D$87:$EQ$87,$DB23:$IO23*1001+$ZQ23:$AFD23))*100+28)</f>
        <v/>
      </c>
      <c r="CO23">
        <f>IF(OR(AZ23=1,calcA!$A$6=0),1000000000,IF('calcA'!$JF$38=1,0,100000000)+IF('calcA'!$IQ$38=2,SUMPRODUCT('calcA'!$D$88:$EQ$88,$DB23:$IO23,$IQ23:$OD23)*1000+SUMPRODUCT('calcA'!$D$88:$EQ$88,$DB23:$IO23+$ZQ23:$AFD23,$AFF23:$AKS23),SUMPRODUCT('calcA'!$D$88:$EQ$88,$DB23:$IO23*1001+$ZQ23:$AFD23))*100+29)</f>
        <v/>
      </c>
      <c r="CP23">
        <f>IF(OR(BA23=1,calcA!$A$6=0),1000000000,IF('calcA'!$JF$39=1,0,100000000)+IF('calcA'!$IQ$39=2,SUMPRODUCT('calcA'!$D$89:$EQ$89,$DB23:$IO23,$IQ23:$OD23)*1000+SUMPRODUCT('calcA'!$D$89:$EQ$89,$DB23:$IO23+$ZQ23:$AFD23,$AFF23:$AKS23),SUMPRODUCT('calcA'!$D$89:$EQ$89,$DB23:$IO23*1001+$ZQ23:$AFD23))*100+30)</f>
        <v/>
      </c>
      <c r="CQ23">
        <f>IF(OR(BB23=1,calcA!$A$6=0),1000000000,IF('calcA'!$JF$40=1,0,100000000)+IF('calcA'!$IQ$40=2,SUMPRODUCT('calcA'!$D$90:$EQ$90,$DB23:$IO23,$IQ23:$OD23)*1000+SUMPRODUCT('calcA'!$D$90:$EQ$90,$DB23:$IO23+$ZQ23:$AFD23,$AFF23:$AKS23),SUMPRODUCT('calcA'!$D$90:$EQ$90,$DB23:$IO23*1001+$ZQ23:$AFD23))*100+31)</f>
        <v/>
      </c>
      <c r="CR23">
        <f>IF(OR(BC23=1,calcA!$A$6=0),1000000000,IF('calcA'!$JF$41=1,0,100000000)+IF('calcA'!$IQ$41=2,SUMPRODUCT('calcA'!$D$91:$EQ$91,$DB23:$IO23,$IQ23:$OD23)*1000+SUMPRODUCT('calcA'!$D$91:$EQ$91,$DB23:$IO23+$ZQ23:$AFD23,$AFF23:$AKS23),SUMPRODUCT('calcA'!$D$91:$EQ$91,$DB23:$IO23*1001+$ZQ23:$AFD23))*100+32)</f>
        <v/>
      </c>
      <c r="CS23">
        <f>IF(OR(BD23=1,calcA!$A$6=0),1000000000,IF('calcA'!$JF$42=1,0,100000000)+IF('calcA'!$IQ$42=2,SUMPRODUCT('calcA'!$D$92:$EQ$92,$DB23:$IO23,$IQ23:$OD23)*1000+SUMPRODUCT('calcA'!$D$92:$EQ$92,$DB23:$IO23+$ZQ23:$AFD23,$AFF23:$AKS23),SUMPRODUCT('calcA'!$D$92:$EQ$92,$DB23:$IO23*1001+$ZQ23:$AFD23))*100+33)</f>
        <v/>
      </c>
      <c r="CT23">
        <f>IF(OR(BE23=1,calcA!$A$6=0),1000000000,IF('calcA'!$JF$43=1,0,100000000)+IF('calcA'!$IQ$43=2,SUMPRODUCT('calcA'!$D$93:$EQ$93,$DB23:$IO23,$IQ23:$OD23)*1000+SUMPRODUCT('calcA'!$D$93:$EQ$93,$DB23:$IO23+$ZQ23:$AFD23,$AFF23:$AKS23),SUMPRODUCT('calcA'!$D$93:$EQ$93,$DB23:$IO23*1001+$ZQ23:$AFD23))*100+34)</f>
        <v/>
      </c>
      <c r="CU23">
        <f>IF(OR(BF23=1,calcA!$A$6=0),1000000000,IF('calcA'!$JF$44=1,0,100000000)+IF('calcA'!$IQ$44=2,SUMPRODUCT('calcA'!$D$94:$EQ$94,$DB23:$IO23,$IQ23:$OD23)*1000+SUMPRODUCT('calcA'!$D$94:$EQ$94,$DB23:$IO23+$ZQ23:$AFD23,$AFF23:$AKS23),SUMPRODUCT('calcA'!$D$94:$EQ$94,$DB23:$IO23*1001+$ZQ23:$AFD23))*100+35)</f>
        <v/>
      </c>
      <c r="CV23">
        <f>IF(OR(BG23=1,calcA!$A$6=0),1000000000,IF('calcA'!$JF$45=1,0,100000000)+IF('calcA'!$IQ$45=2,SUMPRODUCT('calcA'!$D$95:$EQ$95,$DB23:$IO23,$IQ23:$OD23)*1000+SUMPRODUCT('calcA'!$D$95:$EQ$95,$DB23:$IO23+$ZQ23:$AFD23,$AFF23:$AKS23),SUMPRODUCT('calcA'!$D$95:$EQ$95,$DB23:$IO23*1001+$ZQ23:$AFD23))*100+36)</f>
        <v/>
      </c>
      <c r="CW23">
        <f>IF(OR(BH23=1,calcA!$A$6=0),1000000000,IF('calcA'!$JF$46=1,0,100000000)+IF('calcA'!$IQ$46=2,SUMPRODUCT('calcA'!$D$96:$EQ$96,$DB23:$IO23,$IQ23:$OD23)*1000+SUMPRODUCT('calcA'!$D$96:$EQ$96,$DB23:$IO23+$ZQ23:$AFD23,$AFF23:$AKS23),SUMPRODUCT('calcA'!$D$96:$EQ$96,$DB23:$IO23*1001+$ZQ23:$AFD23))*100+37)</f>
        <v/>
      </c>
      <c r="CX23">
        <f>IF(OR(BI23=1,calcA!$A$6=0),1000000000,IF('calcA'!$JF$47=1,0,100000000)+IF('calcA'!$IQ$47=2,SUMPRODUCT('calcA'!$D$97:$EQ$97,$DB23:$IO23,$IQ23:$OD23)*1000+SUMPRODUCT('calcA'!$D$97:$EQ$97,$DB23:$IO23+$ZQ23:$AFD23,$AFF23:$AKS23),SUMPRODUCT('calcA'!$D$97:$EQ$97,$DB23:$IO23*1001+$ZQ23:$AFD23))*100+38)</f>
        <v/>
      </c>
      <c r="CY23">
        <f>IF(OR(BJ23=1,calcA!$A$6=0),1000000000,IF('calcA'!$JF$48=1,0,100000000)+IF('calcA'!$IQ$48=2,SUMPRODUCT('calcA'!$D$98:$EQ$98,$DB23:$IO23,$IQ23:$OD23)*1000+SUMPRODUCT('calcA'!$D$98:$EQ$98,$DB23:$IO23+$ZQ23:$AFD23,$AFF23:$AKS23),SUMPRODUCT('calcA'!$D$98:$EQ$98,$DB23:$IO23*1001+$ZQ23:$AFD23))*100+39)</f>
        <v/>
      </c>
      <c r="CZ23">
        <f>IF(OR(BK23=1,calcA!$A$6=0),1000000000,IF('calcA'!$JF$49=1,0,100000000)+IF('calcA'!$IQ$49=2,SUMPRODUCT('calcA'!$D$99:$EQ$99,$DB23:$IO23,$IQ23:$OD23)*1000+SUMPRODUCT('calcA'!$D$99:$EQ$99,$DB23:$IO23+$ZQ23:$AFD23,$AFF23:$AKS23),SUMPRODUCT('calcA'!$D$99:$EQ$99,$DB23:$IO23*1001+$ZQ23:$AFD23))*100+40)</f>
        <v/>
      </c>
      <c r="DB23">
        <f>DB22*IF(OR($C22=1,$G22=1),0,1)</f>
        <v/>
      </c>
      <c r="DC23">
        <f>DC22*IF(OR($C22=2,$G22=2),0,1)</f>
        <v/>
      </c>
      <c r="DD23">
        <f>DD22*IF(OR($C22=3,$G22=3),0,1)</f>
        <v/>
      </c>
      <c r="DE23">
        <f>DE22*IF(OR($C22=4,$G22=4),0,1)</f>
        <v/>
      </c>
      <c r="DF23">
        <f>DF22*IF(OR($C22=5,$G22=5),0,1)</f>
        <v/>
      </c>
      <c r="DG23">
        <f>DG22*IF(OR($C22=6,$G22=6),0,1)</f>
        <v/>
      </c>
      <c r="DH23">
        <f>DH22*IF(OR($C22=7,$G22=7),0,1)</f>
        <v/>
      </c>
      <c r="DI23">
        <f>DI22*IF(OR($C22=8,$G22=8),0,1)</f>
        <v/>
      </c>
      <c r="DJ23">
        <f>DJ22*IF(OR($C22=9,$G22=9),0,1)</f>
        <v/>
      </c>
      <c r="DK23">
        <f>DK22*IF(OR($C22=10,$G22=10),0,1)</f>
        <v/>
      </c>
      <c r="DL23">
        <f>DL22*IF(OR($C22=11,$G22=11),0,1)</f>
        <v/>
      </c>
      <c r="DM23">
        <f>DM22*IF(OR($C22=12,$G22=12),0,1)</f>
        <v/>
      </c>
      <c r="DN23">
        <f>DN22*IF(OR($C22=13,$G22=13),0,1)</f>
        <v/>
      </c>
      <c r="DO23">
        <f>DO22*IF(OR($C22=14,$G22=14),0,1)</f>
        <v/>
      </c>
      <c r="DP23">
        <f>DP22*IF(OR($C22=15,$G22=15),0,1)</f>
        <v/>
      </c>
      <c r="DQ23">
        <f>DQ22*IF(OR($C22=16,$G22=16),0,1)</f>
        <v/>
      </c>
      <c r="DR23">
        <f>DR22*IF(OR($C22=17,$G22=17),0,1)</f>
        <v/>
      </c>
      <c r="DS23">
        <f>DS22*IF(OR($C22=18,$G22=18),0,1)</f>
        <v/>
      </c>
      <c r="DT23">
        <f>DT22*IF(OR($C22=19,$G22=19),0,1)</f>
        <v/>
      </c>
      <c r="DU23">
        <f>DU22*IF(OR($C22=20,$G22=20),0,1)</f>
        <v/>
      </c>
      <c r="DV23">
        <f>DV22*IF(OR($C22=21,$G22=21),0,1)</f>
        <v/>
      </c>
      <c r="DW23">
        <f>DW22*IF(OR($C22=22,$G22=22),0,1)</f>
        <v/>
      </c>
      <c r="DX23">
        <f>DX22*IF(OR($C22=23,$G22=23),0,1)</f>
        <v/>
      </c>
      <c r="DY23">
        <f>DY22*IF(OR($C22=24,$G22=24),0,1)</f>
        <v/>
      </c>
      <c r="DZ23">
        <f>DZ22*IF(OR($C22=25,$G22=25),0,1)</f>
        <v/>
      </c>
      <c r="EA23">
        <f>EA22*IF(OR($C22=26,$G22=26),0,1)</f>
        <v/>
      </c>
      <c r="EB23">
        <f>EB22*IF(OR($C22=27,$G22=27),0,1)</f>
        <v/>
      </c>
      <c r="EC23">
        <f>EC22*IF(OR($C22=28,$G22=28),0,1)</f>
        <v/>
      </c>
      <c r="ED23">
        <f>ED22*IF(OR($C22=29,$G22=29),0,1)</f>
        <v/>
      </c>
      <c r="EE23">
        <f>EE22*IF(OR($C22=30,$G22=30),0,1)</f>
        <v/>
      </c>
      <c r="EF23">
        <f>EF22*IF(OR($C22=31,$G22=31),0,1)</f>
        <v/>
      </c>
      <c r="EG23">
        <f>EG22*IF(OR($C22=32,$G22=32),0,1)</f>
        <v/>
      </c>
      <c r="EH23">
        <f>EH22*IF(OR($C22=33,$G22=33),0,1)</f>
        <v/>
      </c>
      <c r="EI23">
        <f>EI22*IF(OR($C22=34,$G22=34),0,1)</f>
        <v/>
      </c>
      <c r="EJ23">
        <f>EJ22*IF(OR($C22=35,$G22=35),0,1)</f>
        <v/>
      </c>
      <c r="EK23">
        <f>EK22*IF(OR($C22=36,$G22=36),0,1)</f>
        <v/>
      </c>
      <c r="EL23">
        <f>EL22*IF(OR($C22=37,$G22=37),0,1)</f>
        <v/>
      </c>
      <c r="EM23">
        <f>EM22*IF(OR($C22=38,$G22=38),0,1)</f>
        <v/>
      </c>
      <c r="EN23">
        <f>EN22*IF(OR($C22=39,$G22=39),0,1)</f>
        <v/>
      </c>
      <c r="EO23">
        <f>EO22*IF(OR($C22=40,$G22=40),0,1)</f>
        <v/>
      </c>
      <c r="EP23">
        <f>EP22*IF(OR($C22=41,$G22=41),0,1)</f>
        <v/>
      </c>
      <c r="EQ23">
        <f>EQ22*IF(OR($C22=42,$G22=42),0,1)</f>
        <v/>
      </c>
      <c r="ER23">
        <f>ER22*IF(OR($C22=43,$G22=43),0,1)</f>
        <v/>
      </c>
      <c r="ES23">
        <f>ES22*IF(OR($C22=44,$G22=44),0,1)</f>
        <v/>
      </c>
      <c r="ET23">
        <f>ET22*IF(OR($C22=45,$G22=45),0,1)</f>
        <v/>
      </c>
      <c r="EU23">
        <f>EU22*IF(OR($C22=46,$G22=46),0,1)</f>
        <v/>
      </c>
      <c r="EV23">
        <f>EV22*IF(OR($C22=47,$G22=47),0,1)</f>
        <v/>
      </c>
      <c r="EW23">
        <f>EW22*IF(OR($C22=48,$G22=48),0,1)</f>
        <v/>
      </c>
      <c r="EX23">
        <f>EX22*IF(OR($C22=49,$G22=49),0,1)</f>
        <v/>
      </c>
      <c r="EY23">
        <f>EY22*IF(OR($C22=50,$G22=50),0,1)</f>
        <v/>
      </c>
      <c r="EZ23">
        <f>EZ22*IF(OR($C22=51,$G22=51),0,1)</f>
        <v/>
      </c>
      <c r="FA23">
        <f>FA22*IF(OR($C22=52,$G22=52),0,1)</f>
        <v/>
      </c>
      <c r="FB23">
        <f>FB22*IF(OR($C22=53,$G22=53),0,1)</f>
        <v/>
      </c>
      <c r="FC23">
        <f>FC22*IF(OR($C22=54,$G22=54),0,1)</f>
        <v/>
      </c>
      <c r="FD23">
        <f>FD22*IF(OR($C22=55,$G22=55),0,1)</f>
        <v/>
      </c>
      <c r="FE23">
        <f>FE22*IF(OR($C22=56,$G22=56),0,1)</f>
        <v/>
      </c>
      <c r="FF23">
        <f>FF22*IF(OR($C22=57,$G22=57),0,1)</f>
        <v/>
      </c>
      <c r="FG23">
        <f>FG22*IF(OR($C22=58,$G22=58),0,1)</f>
        <v/>
      </c>
      <c r="FH23">
        <f>FH22*IF(OR($C22=59,$G22=59),0,1)</f>
        <v/>
      </c>
      <c r="FI23">
        <f>FI22*IF(OR($C22=60,$G22=60),0,1)</f>
        <v/>
      </c>
      <c r="FJ23">
        <f>FJ22*IF(OR($C22=61,$G22=61),0,1)</f>
        <v/>
      </c>
      <c r="FK23">
        <f>FK22*IF(OR($C22=62,$G22=62),0,1)</f>
        <v/>
      </c>
      <c r="FL23">
        <f>FL22*IF(OR($C22=63,$G22=63),0,1)</f>
        <v/>
      </c>
      <c r="FM23">
        <f>FM22*IF(OR($C22=64,$G22=64),0,1)</f>
        <v/>
      </c>
      <c r="FN23">
        <f>FN22*IF(OR($C22=65,$G22=65),0,1)</f>
        <v/>
      </c>
      <c r="FO23">
        <f>FO22*IF(OR($C22=66,$G22=66),0,1)</f>
        <v/>
      </c>
      <c r="FP23">
        <f>FP22*IF(OR($C22=67,$G22=67),0,1)</f>
        <v/>
      </c>
      <c r="FQ23">
        <f>FQ22*IF(OR($C22=68,$G22=68),0,1)</f>
        <v/>
      </c>
      <c r="FR23">
        <f>FR22*IF(OR($C22=69,$G22=69),0,1)</f>
        <v/>
      </c>
      <c r="FS23">
        <f>FS22*IF(OR($C22=70,$G22=70),0,1)</f>
        <v/>
      </c>
      <c r="FT23">
        <f>FT22*IF(OR($C22=71,$G22=71),0,1)</f>
        <v/>
      </c>
      <c r="FU23">
        <f>FU22*IF(OR($C22=72,$G22=72),0,1)</f>
        <v/>
      </c>
      <c r="FV23">
        <f>FV22*IF(OR($C22=73,$G22=73),0,1)</f>
        <v/>
      </c>
      <c r="FW23">
        <f>FW22*IF(OR($C22=74,$G22=74),0,1)</f>
        <v/>
      </c>
      <c r="FX23">
        <f>FX22*IF(OR($C22=75,$G22=75),0,1)</f>
        <v/>
      </c>
      <c r="FY23">
        <f>FY22*IF(OR($C22=76,$G22=76),0,1)</f>
        <v/>
      </c>
      <c r="FZ23">
        <f>FZ22*IF(OR($C22=77,$G22=77),0,1)</f>
        <v/>
      </c>
      <c r="GA23">
        <f>GA22*IF(OR($C22=78,$G22=78),0,1)</f>
        <v/>
      </c>
      <c r="GB23">
        <f>GB22*IF(OR($C22=79,$G22=79),0,1)</f>
        <v/>
      </c>
      <c r="GC23">
        <f>GC22*IF(OR($C22=80,$G22=80),0,1)</f>
        <v/>
      </c>
      <c r="GD23">
        <f>GD22*IF(OR($C22=81,$G22=81),0,1)</f>
        <v/>
      </c>
      <c r="GE23">
        <f>GE22*IF(OR($C22=82,$G22=82),0,1)</f>
        <v/>
      </c>
      <c r="GF23">
        <f>GF22*IF(OR($C22=83,$G22=83),0,1)</f>
        <v/>
      </c>
      <c r="GG23">
        <f>GG22*IF(OR($C22=84,$G22=84),0,1)</f>
        <v/>
      </c>
      <c r="GH23">
        <f>GH22*IF(OR($C22=85,$G22=85),0,1)</f>
        <v/>
      </c>
      <c r="GI23">
        <f>GI22*IF(OR($C22=86,$G22=86),0,1)</f>
        <v/>
      </c>
      <c r="GJ23">
        <f>GJ22*IF(OR($C22=87,$G22=87),0,1)</f>
        <v/>
      </c>
      <c r="GK23">
        <f>GK22*IF(OR($C22=88,$G22=88),0,1)</f>
        <v/>
      </c>
      <c r="GL23">
        <f>GL22*IF(OR($C22=89,$G22=89),0,1)</f>
        <v/>
      </c>
      <c r="GM23">
        <f>GM22*IF(OR($C22=90,$G22=90),0,1)</f>
        <v/>
      </c>
      <c r="GN23">
        <f>GN22*IF(OR($C22=91,$G22=91),0,1)</f>
        <v/>
      </c>
      <c r="GO23">
        <f>GO22*IF(OR($C22=92,$G22=92),0,1)</f>
        <v/>
      </c>
      <c r="GP23">
        <f>GP22*IF(OR($C22=93,$G22=93),0,1)</f>
        <v/>
      </c>
      <c r="GQ23">
        <f>GQ22*IF(OR($C22=94,$G22=94),0,1)</f>
        <v/>
      </c>
      <c r="GR23">
        <f>GR22*IF(OR($C22=95,$G22=95),0,1)</f>
        <v/>
      </c>
      <c r="GS23">
        <f>GS22*IF(OR($C22=96,$G22=96),0,1)</f>
        <v/>
      </c>
      <c r="GT23">
        <f>GT22*IF(OR($C22=97,$G22=97),0,1)</f>
        <v/>
      </c>
      <c r="GU23">
        <f>GU22*IF(OR($C22=98,$G22=98),0,1)</f>
        <v/>
      </c>
      <c r="GV23">
        <f>GV22*IF(OR($C22=99,$G22=99),0,1)</f>
        <v/>
      </c>
      <c r="GW23">
        <f>GW22*IF(OR($C22=100,$G22=100),0,1)</f>
        <v/>
      </c>
      <c r="GX23">
        <f>GX22*IF(OR($C22=101,$G22=101),0,1)</f>
        <v/>
      </c>
      <c r="GY23">
        <f>GY22*IF(OR($C22=102,$G22=102),0,1)</f>
        <v/>
      </c>
      <c r="GZ23">
        <f>GZ22*IF(OR($C22=103,$G22=103),0,1)</f>
        <v/>
      </c>
      <c r="HA23">
        <f>HA22*IF(OR($C22=104,$G22=104),0,1)</f>
        <v/>
      </c>
      <c r="HB23">
        <f>HB22*IF(OR($C22=105,$G22=105),0,1)</f>
        <v/>
      </c>
      <c r="HC23">
        <f>HC22*IF(OR($C22=106,$G22=106),0,1)</f>
        <v/>
      </c>
      <c r="HD23">
        <f>HD22*IF(OR($C22=107,$G22=107),0,1)</f>
        <v/>
      </c>
      <c r="HE23">
        <f>HE22*IF(OR($C22=108,$G22=108),0,1)</f>
        <v/>
      </c>
      <c r="HF23">
        <f>HF22*IF(OR($C22=109,$G22=109),0,1)</f>
        <v/>
      </c>
      <c r="HG23">
        <f>HG22*IF(OR($C22=110,$G22=110),0,1)</f>
        <v/>
      </c>
      <c r="HH23">
        <f>HH22*IF(OR($C22=111,$G22=111),0,1)</f>
        <v/>
      </c>
      <c r="HI23">
        <f>HI22*IF(OR($C22=112,$G22=112),0,1)</f>
        <v/>
      </c>
      <c r="HJ23">
        <f>HJ22*IF(OR($C22=113,$G22=113),0,1)</f>
        <v/>
      </c>
      <c r="HK23">
        <f>HK22*IF(OR($C22=114,$G22=114),0,1)</f>
        <v/>
      </c>
      <c r="HL23">
        <f>HL22*IF(OR($C22=115,$G22=115),0,1)</f>
        <v/>
      </c>
      <c r="HM23">
        <f>HM22*IF(OR($C22=116,$G22=116),0,1)</f>
        <v/>
      </c>
      <c r="HN23">
        <f>HN22*IF(OR($C22=117,$G22=117),0,1)</f>
        <v/>
      </c>
      <c r="HO23">
        <f>HO22*IF(OR($C22=118,$G22=118),0,1)</f>
        <v/>
      </c>
      <c r="HP23">
        <f>HP22*IF(OR($C22=119,$G22=119),0,1)</f>
        <v/>
      </c>
      <c r="HQ23">
        <f>HQ22*IF(OR($C22=120,$G22=120),0,1)</f>
        <v/>
      </c>
      <c r="HR23">
        <f>HR22*IF(OR($C22=121,$G22=121),0,1)</f>
        <v/>
      </c>
      <c r="HS23">
        <f>HS22*IF(OR($C22=122,$G22=122),0,1)</f>
        <v/>
      </c>
      <c r="HT23">
        <f>HT22*IF(OR($C22=123,$G22=123),0,1)</f>
        <v/>
      </c>
      <c r="HU23">
        <f>HU22*IF(OR($C22=124,$G22=124),0,1)</f>
        <v/>
      </c>
      <c r="HV23">
        <f>HV22*IF(OR($C22=125,$G22=125),0,1)</f>
        <v/>
      </c>
      <c r="HW23">
        <f>HW22*IF(OR($C22=126,$G22=126),0,1)</f>
        <v/>
      </c>
      <c r="HX23">
        <f>HX22*IF(OR($C22=127,$G22=127),0,1)</f>
        <v/>
      </c>
      <c r="HY23">
        <f>HY22*IF(OR($C22=128,$G22=128),0,1)</f>
        <v/>
      </c>
      <c r="HZ23">
        <f>HZ22*IF(OR($C22=129,$G22=129),0,1)</f>
        <v/>
      </c>
      <c r="IA23">
        <f>IA22*IF(OR($C22=130,$G22=130),0,1)</f>
        <v/>
      </c>
      <c r="IB23">
        <f>IB22*IF(OR($C22=131,$G22=131),0,1)</f>
        <v/>
      </c>
      <c r="IC23">
        <f>IC22*IF(OR($C22=132,$G22=132),0,1)</f>
        <v/>
      </c>
      <c r="ID23">
        <f>ID22*IF(OR($C22=133,$G22=133),0,1)</f>
        <v/>
      </c>
      <c r="IE23">
        <f>IE22*IF(OR($C22=134,$G22=134),0,1)</f>
        <v/>
      </c>
      <c r="IF23">
        <f>IF22*IF(OR($C22=135,$G22=135),0,1)</f>
        <v/>
      </c>
      <c r="IG23">
        <f>IG22*IF(OR($C22=136,$G22=136),0,1)</f>
        <v/>
      </c>
      <c r="IH23">
        <f>IH22*IF(OR($C22=137,$G22=137),0,1)</f>
        <v/>
      </c>
      <c r="II23">
        <f>II22*IF(OR($C22=138,$G22=138),0,1)</f>
        <v/>
      </c>
      <c r="IJ23">
        <f>IJ22*IF(OR($C22=139,$G22=139),0,1)</f>
        <v/>
      </c>
      <c r="IK23">
        <f>IK22*IF(OR($C22=140,$G22=140),0,1)</f>
        <v/>
      </c>
      <c r="IL23">
        <f>IL22*IF(OR($C22=141,$G22=141),0,1)</f>
        <v/>
      </c>
      <c r="IM23">
        <f>IM22*IF(OR($C22=142,$G22=142),0,1)</f>
        <v/>
      </c>
      <c r="IN23">
        <f>IN22*IF(OR($C22=143,$G22=143),0,1)</f>
        <v/>
      </c>
      <c r="IO23">
        <f>IO22*IF(OR($C22=144,$G22=144),0,1)</f>
        <v/>
      </c>
      <c r="IQ23">
        <f>IF('calcA'!D$106=1,DC23,1)</f>
        <v/>
      </c>
      <c r="IR23">
        <f>IF('calcA'!E$106=1,DD23,1)</f>
        <v/>
      </c>
      <c r="IS23">
        <f>IF('calcA'!F$106=1,DE23,1)</f>
        <v/>
      </c>
      <c r="IT23">
        <f>IF('calcA'!G$106=1,DF23,1)</f>
        <v/>
      </c>
      <c r="IU23">
        <f>IF('calcA'!H$106=1,DG23,1)</f>
        <v/>
      </c>
      <c r="IV23">
        <f>IF('calcA'!I$106=1,DH23,1)</f>
        <v/>
      </c>
      <c r="IW23">
        <f>IF('calcA'!J$106=1,DI23,1)</f>
        <v/>
      </c>
      <c r="IX23">
        <f>IF('calcA'!K$106=1,DJ23,1)</f>
        <v/>
      </c>
      <c r="IY23">
        <f>IF('calcA'!L$106=1,DK23,1)</f>
        <v/>
      </c>
      <c r="IZ23">
        <f>IF('calcA'!M$106=1,DL23,1)</f>
        <v/>
      </c>
      <c r="JA23">
        <f>IF('calcA'!N$106=1,DM23,1)</f>
        <v/>
      </c>
      <c r="JB23">
        <f>IF('calcA'!O$106=1,DN23,1)</f>
        <v/>
      </c>
      <c r="JC23">
        <f>IF('calcA'!P$106=1,DO23,1)</f>
        <v/>
      </c>
      <c r="JD23">
        <f>IF('calcA'!Q$106=1,DP23,1)</f>
        <v/>
      </c>
      <c r="JE23">
        <f>IF('calcA'!R$106=1,DQ23,1)</f>
        <v/>
      </c>
      <c r="JF23">
        <f>IF('calcA'!S$106=1,DR23,1)</f>
        <v/>
      </c>
      <c r="JG23">
        <f>IF('calcA'!T$106=1,DS23,1)</f>
        <v/>
      </c>
      <c r="JH23">
        <f>IF('calcA'!U$106=1,DT23,1)</f>
        <v/>
      </c>
      <c r="JI23">
        <f>IF('calcA'!V$106=1,DU23,1)</f>
        <v/>
      </c>
      <c r="JJ23">
        <f>IF('calcA'!W$106=1,DV23,1)</f>
        <v/>
      </c>
      <c r="JK23">
        <f>IF('calcA'!X$106=1,DW23,1)</f>
        <v/>
      </c>
      <c r="JL23">
        <f>IF('calcA'!Y$106=1,DX23,1)</f>
        <v/>
      </c>
      <c r="JM23">
        <f>IF('calcA'!Z$106=1,DY23,1)</f>
        <v/>
      </c>
      <c r="JN23">
        <f>IF('calcA'!AA$106=1,DZ23,1)</f>
        <v/>
      </c>
      <c r="JO23">
        <f>IF('calcA'!AB$106=1,EA23,1)</f>
        <v/>
      </c>
      <c r="JP23">
        <f>IF('calcA'!AC$106=1,EB23,1)</f>
        <v/>
      </c>
      <c r="JQ23">
        <f>IF('calcA'!AD$106=1,EC23,1)</f>
        <v/>
      </c>
      <c r="JR23">
        <f>IF('calcA'!AE$106=1,ED23,1)</f>
        <v/>
      </c>
      <c r="JS23">
        <f>IF('calcA'!AF$106=1,EE23,1)</f>
        <v/>
      </c>
      <c r="JT23">
        <f>IF('calcA'!AG$106=1,EF23,1)</f>
        <v/>
      </c>
      <c r="JU23">
        <f>IF('calcA'!AH$106=1,EG23,1)</f>
        <v/>
      </c>
      <c r="JV23">
        <f>IF('calcA'!AI$106=1,EH23,1)</f>
        <v/>
      </c>
      <c r="JW23">
        <f>IF('calcA'!AJ$106=1,EI23,1)</f>
        <v/>
      </c>
      <c r="JX23">
        <f>IF('calcA'!AK$106=1,EJ23,1)</f>
        <v/>
      </c>
      <c r="JY23">
        <f>IF('calcA'!AL$106=1,EK23,1)</f>
        <v/>
      </c>
      <c r="JZ23">
        <f>IF('calcA'!AM$106=1,EL23,1)</f>
        <v/>
      </c>
      <c r="KA23">
        <f>IF('calcA'!AN$106=1,EM23,1)</f>
        <v/>
      </c>
      <c r="KB23">
        <f>IF('calcA'!AO$106=1,EN23,1)</f>
        <v/>
      </c>
      <c r="KC23">
        <f>IF('calcA'!AP$106=1,EO23,1)</f>
        <v/>
      </c>
      <c r="KD23">
        <f>IF('calcA'!AQ$106=1,EP23,1)</f>
        <v/>
      </c>
      <c r="KE23">
        <f>IF('calcA'!AR$106=1,EQ23,1)</f>
        <v/>
      </c>
      <c r="KF23">
        <f>IF('calcA'!AS$106=1,ER23,1)</f>
        <v/>
      </c>
      <c r="KG23">
        <f>IF('calcA'!AT$106=1,ES23,1)</f>
        <v/>
      </c>
      <c r="KH23">
        <f>IF('calcA'!AU$106=1,ET23,1)</f>
        <v/>
      </c>
      <c r="KI23">
        <f>IF('calcA'!AV$106=1,EU23,1)</f>
        <v/>
      </c>
      <c r="KJ23">
        <f>IF('calcA'!AW$106=1,EV23,1)</f>
        <v/>
      </c>
      <c r="KK23">
        <f>IF('calcA'!AX$106=1,EW23,1)</f>
        <v/>
      </c>
      <c r="KL23">
        <f>IF('calcA'!AY$106=1,EX23,1)</f>
        <v/>
      </c>
      <c r="KM23">
        <f>IF('calcA'!AZ$106=1,EY23,1)</f>
        <v/>
      </c>
      <c r="KN23">
        <f>IF('calcA'!BA$106=1,EZ23,1)</f>
        <v/>
      </c>
      <c r="KO23">
        <f>IF('calcA'!BB$106=1,FA23,1)</f>
        <v/>
      </c>
      <c r="KP23">
        <f>IF('calcA'!BC$106=1,FB23,1)</f>
        <v/>
      </c>
      <c r="KQ23">
        <f>IF('calcA'!BD$106=1,FC23,1)</f>
        <v/>
      </c>
      <c r="KR23">
        <f>IF('calcA'!BE$106=1,FD23,1)</f>
        <v/>
      </c>
      <c r="KS23">
        <f>IF('calcA'!BF$106=1,FE23,1)</f>
        <v/>
      </c>
      <c r="KT23">
        <f>IF('calcA'!BG$106=1,FF23,1)</f>
        <v/>
      </c>
      <c r="KU23">
        <f>IF('calcA'!BH$106=1,FG23,1)</f>
        <v/>
      </c>
      <c r="KV23">
        <f>IF('calcA'!BI$106=1,FH23,1)</f>
        <v/>
      </c>
      <c r="KW23">
        <f>IF('calcA'!BJ$106=1,FI23,1)</f>
        <v/>
      </c>
      <c r="KX23">
        <f>IF('calcA'!BK$106=1,FJ23,1)</f>
        <v/>
      </c>
      <c r="KY23">
        <f>IF('calcA'!BL$106=1,FK23,1)</f>
        <v/>
      </c>
      <c r="KZ23">
        <f>IF('calcA'!BM$106=1,FL23,1)</f>
        <v/>
      </c>
      <c r="LA23">
        <f>IF('calcA'!BN$106=1,FM23,1)</f>
        <v/>
      </c>
      <c r="LB23">
        <f>IF('calcA'!BO$106=1,FN23,1)</f>
        <v/>
      </c>
      <c r="LC23">
        <f>IF('calcA'!BP$106=1,FO23,1)</f>
        <v/>
      </c>
      <c r="LD23">
        <f>IF('calcA'!BQ$106=1,FP23,1)</f>
        <v/>
      </c>
      <c r="LE23">
        <f>IF('calcA'!BR$106=1,FQ23,1)</f>
        <v/>
      </c>
      <c r="LF23">
        <f>IF('calcA'!BS$106=1,FR23,1)</f>
        <v/>
      </c>
      <c r="LG23">
        <f>IF('calcA'!BT$106=1,FS23,1)</f>
        <v/>
      </c>
      <c r="LH23">
        <f>IF('calcA'!BU$106=1,FT23,1)</f>
        <v/>
      </c>
      <c r="LI23">
        <f>IF('calcA'!BV$106=1,FU23,1)</f>
        <v/>
      </c>
      <c r="LJ23">
        <f>IF('calcA'!BW$106=1,FV23,1)</f>
        <v/>
      </c>
      <c r="LK23">
        <f>IF('calcA'!BX$106=1,FW23,1)</f>
        <v/>
      </c>
      <c r="LL23">
        <f>IF('calcA'!BY$106=1,FX23,1)</f>
        <v/>
      </c>
      <c r="LM23">
        <f>IF('calcA'!BZ$106=1,FY23,1)</f>
        <v/>
      </c>
      <c r="LN23">
        <f>IF('calcA'!CA$106=1,FZ23,1)</f>
        <v/>
      </c>
      <c r="LO23">
        <f>IF('calcA'!CB$106=1,GA23,1)</f>
        <v/>
      </c>
      <c r="LP23">
        <f>IF('calcA'!CC$106=1,GB23,1)</f>
        <v/>
      </c>
      <c r="LQ23">
        <f>IF('calcA'!CD$106=1,GC23,1)</f>
        <v/>
      </c>
      <c r="LR23">
        <f>IF('calcA'!CE$106=1,GD23,1)</f>
        <v/>
      </c>
      <c r="LS23">
        <f>IF('calcA'!CF$106=1,GE23,1)</f>
        <v/>
      </c>
      <c r="LT23">
        <f>IF('calcA'!CG$106=1,GF23,1)</f>
        <v/>
      </c>
      <c r="LU23">
        <f>IF('calcA'!CH$106=1,GG23,1)</f>
        <v/>
      </c>
      <c r="LV23">
        <f>IF('calcA'!CI$106=1,GH23,1)</f>
        <v/>
      </c>
      <c r="LW23">
        <f>IF('calcA'!CJ$106=1,GI23,1)</f>
        <v/>
      </c>
      <c r="LX23">
        <f>IF('calcA'!CK$106=1,GJ23,1)</f>
        <v/>
      </c>
      <c r="LY23">
        <f>IF('calcA'!CL$106=1,GK23,1)</f>
        <v/>
      </c>
      <c r="LZ23">
        <f>IF('calcA'!CM$106=1,GL23,1)</f>
        <v/>
      </c>
      <c r="MA23">
        <f>IF('calcA'!CN$106=1,GM23,1)</f>
        <v/>
      </c>
      <c r="MB23">
        <f>IF('calcA'!CO$106=1,GN23,1)</f>
        <v/>
      </c>
      <c r="MC23">
        <f>IF('calcA'!CP$106=1,GO23,1)</f>
        <v/>
      </c>
      <c r="MD23">
        <f>IF('calcA'!CQ$106=1,GP23,1)</f>
        <v/>
      </c>
      <c r="ME23">
        <f>IF('calcA'!CR$106=1,GQ23,1)</f>
        <v/>
      </c>
      <c r="MF23">
        <f>IF('calcA'!CS$106=1,GR23,1)</f>
        <v/>
      </c>
      <c r="MG23">
        <f>IF('calcA'!CT$106=1,GS23,1)</f>
        <v/>
      </c>
      <c r="MH23">
        <f>IF('calcA'!CU$106=1,GT23,1)</f>
        <v/>
      </c>
      <c r="MI23">
        <f>IF('calcA'!CV$106=1,GU23,1)</f>
        <v/>
      </c>
      <c r="MJ23">
        <f>IF('calcA'!CW$106=1,GV23,1)</f>
        <v/>
      </c>
      <c r="MK23">
        <f>IF('calcA'!CX$106=1,GW23,1)</f>
        <v/>
      </c>
      <c r="ML23">
        <f>IF('calcA'!CY$106=1,GX23,1)</f>
        <v/>
      </c>
      <c r="MM23">
        <f>IF('calcA'!CZ$106=1,GY23,1)</f>
        <v/>
      </c>
      <c r="MN23">
        <f>IF('calcA'!DA$106=1,GZ23,1)</f>
        <v/>
      </c>
      <c r="MO23">
        <f>IF('calcA'!DB$106=1,HA23,1)</f>
        <v/>
      </c>
      <c r="MP23">
        <f>IF('calcA'!DC$106=1,HB23,1)</f>
        <v/>
      </c>
      <c r="MQ23">
        <f>IF('calcA'!DD$106=1,HC23,1)</f>
        <v/>
      </c>
      <c r="MR23">
        <f>IF('calcA'!DE$106=1,HD23,1)</f>
        <v/>
      </c>
      <c r="MS23">
        <f>IF('calcA'!DF$106=1,HE23,1)</f>
        <v/>
      </c>
      <c r="MT23">
        <f>IF('calcA'!DG$106=1,HF23,1)</f>
        <v/>
      </c>
      <c r="MU23">
        <f>IF('calcA'!DH$106=1,HG23,1)</f>
        <v/>
      </c>
      <c r="MV23">
        <f>IF('calcA'!DI$106=1,HH23,1)</f>
        <v/>
      </c>
      <c r="MW23">
        <f>IF('calcA'!DJ$106=1,HI23,1)</f>
        <v/>
      </c>
      <c r="MX23">
        <f>IF('calcA'!DK$106=1,HJ23,1)</f>
        <v/>
      </c>
      <c r="MY23">
        <f>IF('calcA'!DL$106=1,HK23,1)</f>
        <v/>
      </c>
      <c r="MZ23">
        <f>IF('calcA'!DM$106=1,HL23,1)</f>
        <v/>
      </c>
      <c r="NA23">
        <f>IF('calcA'!DN$106=1,HM23,1)</f>
        <v/>
      </c>
      <c r="NB23">
        <f>IF('calcA'!DO$106=1,HN23,1)</f>
        <v/>
      </c>
      <c r="NC23">
        <f>IF('calcA'!DP$106=1,HO23,1)</f>
        <v/>
      </c>
      <c r="ND23">
        <f>IF('calcA'!DQ$106=1,HP23,1)</f>
        <v/>
      </c>
      <c r="NE23">
        <f>IF('calcA'!DR$106=1,HQ23,1)</f>
        <v/>
      </c>
      <c r="NF23">
        <f>IF('calcA'!DS$106=1,HR23,1)</f>
        <v/>
      </c>
      <c r="NG23">
        <f>IF('calcA'!DT$106=1,HS23,1)</f>
        <v/>
      </c>
      <c r="NH23">
        <f>IF('calcA'!DU$106=1,HT23,1)</f>
        <v/>
      </c>
      <c r="NI23">
        <f>IF('calcA'!DV$106=1,HU23,1)</f>
        <v/>
      </c>
      <c r="NJ23">
        <f>IF('calcA'!DW$106=1,HV23,1)</f>
        <v/>
      </c>
      <c r="NK23">
        <f>IF('calcA'!DX$106=1,HW23,1)</f>
        <v/>
      </c>
      <c r="NL23">
        <f>IF('calcA'!DY$106=1,HX23,1)</f>
        <v/>
      </c>
      <c r="NM23">
        <f>IF('calcA'!DZ$106=1,HY23,1)</f>
        <v/>
      </c>
      <c r="NN23">
        <f>IF('calcA'!EA$106=1,HZ23,1)</f>
        <v/>
      </c>
      <c r="NO23">
        <f>IF('calcA'!EB$106=1,IA23,1)</f>
        <v/>
      </c>
      <c r="NP23">
        <f>IF('calcA'!EC$106=1,IB23,1)</f>
        <v/>
      </c>
      <c r="NQ23">
        <f>IF('calcA'!ED$106=1,IC23,1)</f>
        <v/>
      </c>
      <c r="NR23">
        <f>IF('calcA'!EE$106=1,ID23,1)</f>
        <v/>
      </c>
      <c r="NS23">
        <f>IF('calcA'!EF$106=1,IE23,1)</f>
        <v/>
      </c>
      <c r="NT23">
        <f>IF('calcA'!EG$106=1,IF23,1)</f>
        <v/>
      </c>
      <c r="NU23">
        <f>IF('calcA'!EH$106=1,IG23,1)</f>
        <v/>
      </c>
      <c r="NV23">
        <f>IF('calcA'!EI$106=1,IH23,1)</f>
        <v/>
      </c>
      <c r="NW23">
        <f>IF('calcA'!EJ$106=1,II23,1)</f>
        <v/>
      </c>
      <c r="NX23">
        <f>IF('calcA'!EK$106=1,IJ23,1)</f>
        <v/>
      </c>
      <c r="NY23">
        <f>IF('calcA'!EL$106=1,IK23,1)</f>
        <v/>
      </c>
      <c r="NZ23">
        <f>IF('calcA'!EM$106=1,IL23,1)</f>
        <v/>
      </c>
      <c r="OA23">
        <f>IF('calcA'!EN$106=1,IM23,1)</f>
        <v/>
      </c>
      <c r="OB23">
        <f>IF('calcA'!EO$106=1,IN23,1)</f>
        <v/>
      </c>
      <c r="OC23">
        <f>IF('calcA'!EP$106=1,IO23,1)</f>
        <v/>
      </c>
      <c r="OD23" t="n">
        <v>1</v>
      </c>
      <c r="OF23">
        <f>IF($B23=0,1000000000,IF(INDEX('calcA'!$D$60:$EQ$99,$B23,1)*IF($W23=1,DB23+ZQ23,DB23)=1,IF(AND($E23=2,IF($W23=1,AFF23,IQ23)=0),1000000000,IF($V23=1,INDEX('calcA'!$D$130:$EQ$169,$B23,1)+IF(AND($E23=1,IQ23=0),25,0),INDEX('calcA'!D$110:D$114,$F23+1)+IF(AND($E23=1,IQ23=0),1000,0)+IF($H23=1,INDEX('calcA'!$D$180:$EQ$219,$B23,1)*500,0)-IF(AND($U23=1,'calcA'!D$117=1,DC23=0),300,0))),1000000000))</f>
        <v/>
      </c>
      <c r="OG23">
        <f>IF($B23=0,1000000000,IF(INDEX('calcA'!$D$60:$EQ$99,$B23,2)*IF($W23=1,DC23+ZR23,DC23)=1,IF(AND($E23=2,IF($W23=1,AFG23,IR23)=0),1000000000,IF($V23=1,INDEX('calcA'!$D$130:$EQ$169,$B23,2)+IF(AND($E23=1,IR23=0),25,0),INDEX('calcA'!E$110:E$114,$F23+1)+IF(AND($E23=1,IR23=0),1000,0)+IF($H23=1,INDEX('calcA'!$D$180:$EQ$219,$B23,2)*500,0)-IF(AND('calcA'!D$117=1,UB23&gt;0),300,0)-IF(AND($U23=1,'calcA'!E$117=1,DD23=0),300,0))),1000000000))</f>
        <v/>
      </c>
      <c r="OH23">
        <f>IF($B23=0,1000000000,IF(INDEX('calcA'!$D$60:$EQ$99,$B23,3)*IF($W23=1,DD23+ZS23,DD23)=1,IF(AND($E23=2,IF($W23=1,AFH23,IS23)=0),1000000000,IF($V23=1,INDEX('calcA'!$D$130:$EQ$169,$B23,3)+IF(AND($E23=1,IS23=0),25,0),INDEX('calcA'!F$110:F$114,$F23+1)+IF(AND($E23=1,IS23=0),1000,0)+IF($H23=1,INDEX('calcA'!$D$180:$EQ$219,$B23,3)*500,0)-IF(AND('calcA'!E$117=1,UC23&gt;0),300,0)-IF(AND($U23=1,'calcA'!F$117=1,DE23=0),300,0))),1000000000))</f>
        <v/>
      </c>
      <c r="OI23">
        <f>IF($B23=0,1000000000,IF(INDEX('calcA'!$D$60:$EQ$99,$B23,4)*IF($W23=1,DE23+ZT23,DE23)=1,IF(AND($E23=2,IF($W23=1,AFI23,IT23)=0),1000000000,IF($V23=1,INDEX('calcA'!$D$130:$EQ$169,$B23,4)+IF(AND($E23=1,IT23=0),25,0),INDEX('calcA'!G$110:G$114,$F23+1)+IF(AND($E23=1,IT23=0),1000,0)+IF($H23=1,INDEX('calcA'!$D$180:$EQ$219,$B23,4)*500,0)-IF(AND('calcA'!F$117=1,UD23&gt;0),300,0)-IF(AND($U23=1,'calcA'!G$117=1,DF23=0),300,0))),1000000000))</f>
        <v/>
      </c>
      <c r="OJ23">
        <f>IF($B23=0,1000000000,IF(INDEX('calcA'!$D$60:$EQ$99,$B23,5)*IF($W23=1,DF23+ZU23,DF23)=1,IF(AND($E23=2,IF($W23=1,AFJ23,IU23)=0),1000000000,IF($V23=1,INDEX('calcA'!$D$130:$EQ$169,$B23,5)+IF(AND($E23=1,IU23=0),25,0),INDEX('calcA'!H$110:H$114,$F23+1)+IF(AND($E23=1,IU23=0),1000,0)+IF($H23=1,INDEX('calcA'!$D$180:$EQ$219,$B23,5)*500,0)-IF(AND('calcA'!G$117=1,UE23&gt;0),300,0)-IF(AND($U23=1,'calcA'!H$117=1,DG23=0),300,0))),1000000000))</f>
        <v/>
      </c>
      <c r="OK23">
        <f>IF($B23=0,1000000000,IF(INDEX('calcA'!$D$60:$EQ$99,$B23,6)*IF($W23=1,DG23+ZV23,DG23)=1,IF(AND($E23=2,IF($W23=1,AFK23,IV23)=0),1000000000,IF($V23=1,INDEX('calcA'!$D$130:$EQ$169,$B23,6)+IF(AND($E23=1,IV23=0),25,0),INDEX('calcA'!I$110:I$114,$F23+1)+IF(AND($E23=1,IV23=0),1000,0)+IF($H23=1,INDEX('calcA'!$D$180:$EQ$219,$B23,6)*500,0)-IF(AND('calcA'!H$117=1,UF23&gt;0),300,0)-IF(AND($U23=1,'calcA'!I$117=1,DH23=0),300,0))),1000000000))</f>
        <v/>
      </c>
      <c r="OL23">
        <f>IF($B23=0,1000000000,IF(INDEX('calcA'!$D$60:$EQ$99,$B23,7)*IF($W23=1,DH23+ZW23,DH23)=1,IF(AND($E23=2,IF($W23=1,AFL23,IW23)=0),1000000000,IF($V23=1,INDEX('calcA'!$D$130:$EQ$169,$B23,7)+IF(AND($E23=1,IW23=0),25,0),INDEX('calcA'!J$110:J$114,$F23+1)+IF(AND($E23=1,IW23=0),1000,0)+IF($H23=1,INDEX('calcA'!$D$180:$EQ$219,$B23,7)*500,0)-IF(AND('calcA'!I$117=1,UG23&gt;0),300,0)-IF(AND($U23=1,'calcA'!J$117=1,DI23=0),300,0))),1000000000))</f>
        <v/>
      </c>
      <c r="OM23">
        <f>IF($B23=0,1000000000,IF(INDEX('calcA'!$D$60:$EQ$99,$B23,8)*IF($W23=1,DI23+ZX23,DI23)=1,IF(AND($E23=2,IF($W23=1,AFM23,IX23)=0),1000000000,IF($V23=1,INDEX('calcA'!$D$130:$EQ$169,$B23,8)+IF(AND($E23=1,IX23=0),25,0),INDEX('calcA'!K$110:K$114,$F23+1)+IF(AND($E23=1,IX23=0),1000,0)+IF($H23=1,INDEX('calcA'!$D$180:$EQ$219,$B23,8)*500,0)-IF(AND('calcA'!J$117=1,UH23&gt;0),300,0)-IF(AND($U23=1,'calcA'!K$117=1,DJ23=0),300,0))),1000000000))</f>
        <v/>
      </c>
      <c r="ON23">
        <f>IF($B23=0,1000000000,IF(INDEX('calcA'!$D$60:$EQ$99,$B23,9)*IF($W23=1,DJ23+ZY23,DJ23)=1,IF(AND($E23=2,IF($W23=1,AFN23,IY23)=0),1000000000,IF($V23=1,INDEX('calcA'!$D$130:$EQ$169,$B23,9)+IF(AND($E23=1,IY23=0),25,0),INDEX('calcA'!L$110:L$114,$F23+1)+IF(AND($E23=1,IY23=0),1000,0)+IF($H23=1,INDEX('calcA'!$D$180:$EQ$219,$B23,9)*500,0)-IF(AND('calcA'!K$117=1,UI23&gt;0),300,0)-IF(AND($U23=1,'calcA'!L$117=1,DK23=0),300,0))),1000000000))</f>
        <v/>
      </c>
      <c r="OO23">
        <f>IF($B23=0,1000000000,IF(INDEX('calcA'!$D$60:$EQ$99,$B23,10)*IF($W23=1,DK23+ZZ23,DK23)=1,IF(AND($E23=2,IF($W23=1,AFO23,IZ23)=0),1000000000,IF($V23=1,INDEX('calcA'!$D$130:$EQ$169,$B23,10)+IF(AND($E23=1,IZ23=0),25,0),INDEX('calcA'!M$110:M$114,$F23+1)+IF(AND($E23=1,IZ23=0),1000,0)+IF($H23=1,INDEX('calcA'!$D$180:$EQ$219,$B23,10)*500,0)-IF(AND('calcA'!L$117=1,UJ23&gt;0),300,0)-IF(AND($U23=1,'calcA'!M$117=1,DL23=0),300,0))),1000000000))</f>
        <v/>
      </c>
      <c r="OP23">
        <f>IF($B23=0,1000000000,IF(INDEX('calcA'!$D$60:$EQ$99,$B23,11)*IF($W23=1,DL23+AAA23,DL23)=1,IF(AND($E23=2,IF($W23=1,AFP23,JA23)=0),1000000000,IF($V23=1,INDEX('calcA'!$D$130:$EQ$169,$B23,11)+IF(AND($E23=1,JA23=0),25,0),INDEX('calcA'!N$110:N$114,$F23+1)+IF(AND($E23=1,JA23=0),1000,0)+IF($H23=1,INDEX('calcA'!$D$180:$EQ$219,$B23,11)*500,0)-IF(AND('calcA'!M$117=1,UK23&gt;0),300,0)-IF(AND($U23=1,'calcA'!N$117=1,DM23=0),300,0))),1000000000))</f>
        <v/>
      </c>
      <c r="OQ23">
        <f>IF($B23=0,1000000000,IF(INDEX('calcA'!$D$60:$EQ$99,$B23,12)*IF($W23=1,DM23+AAB23,DM23)=1,IF(AND($E23=2,IF($W23=1,AFQ23,JB23)=0),1000000000,IF($V23=1,INDEX('calcA'!$D$130:$EQ$169,$B23,12)+IF(AND($E23=1,JB23=0),25,0),INDEX('calcA'!O$110:O$114,$F23+1)+IF(AND($E23=1,JB23=0),1000,0)+IF($H23=1,INDEX('calcA'!$D$180:$EQ$219,$B23,12)*500,0)-IF(AND('calcA'!N$117=1,UL23&gt;0),300,0)-IF(AND($U23=1,'calcA'!O$117=1,DN23=0),300,0))),1000000000))</f>
        <v/>
      </c>
      <c r="OR23">
        <f>IF($B23=0,1000000000,IF(INDEX('calcA'!$D$60:$EQ$99,$B23,13)*IF($W23=1,DN23+AAC23,DN23)=1,IF(AND($E23=2,IF($W23=1,AFR23,JC23)=0),1000000000,IF($V23=1,INDEX('calcA'!$D$130:$EQ$169,$B23,13)+IF(AND($E23=1,JC23=0),25,0),INDEX('calcA'!P$110:P$114,$F23+1)+IF(AND($E23=1,JC23=0),1000,0)+IF($H23=1,INDEX('calcA'!$D$180:$EQ$219,$B23,13)*500,0)-IF(AND('calcA'!O$117=1,UM23&gt;0),300,0)-IF(AND($U23=1,'calcA'!P$117=1,DO23=0),300,0))),1000000000))</f>
        <v/>
      </c>
      <c r="OS23">
        <f>IF($B23=0,1000000000,IF(INDEX('calcA'!$D$60:$EQ$99,$B23,14)*IF($W23=1,DO23+AAD23,DO23)=1,IF(AND($E23=2,IF($W23=1,AFS23,JD23)=0),1000000000,IF($V23=1,INDEX('calcA'!$D$130:$EQ$169,$B23,14)+IF(AND($E23=1,JD23=0),25,0),INDEX('calcA'!Q$110:Q$114,$F23+1)+IF(AND($E23=1,JD23=0),1000,0)+IF($H23=1,INDEX('calcA'!$D$180:$EQ$219,$B23,14)*500,0)-IF(AND('calcA'!P$117=1,UN23&gt;0),300,0)-IF(AND($U23=1,'calcA'!Q$117=1,DP23=0),300,0))),1000000000))</f>
        <v/>
      </c>
      <c r="OT23">
        <f>IF($B23=0,1000000000,IF(INDEX('calcA'!$D$60:$EQ$99,$B23,15)*IF($W23=1,DP23+AAE23,DP23)=1,IF(AND($E23=2,IF($W23=1,AFT23,JE23)=0),1000000000,IF($V23=1,INDEX('calcA'!$D$130:$EQ$169,$B23,15)+IF(AND($E23=1,JE23=0),25,0),INDEX('calcA'!R$110:R$114,$F23+1)+IF(AND($E23=1,JE23=0),1000,0)+IF($H23=1,INDEX('calcA'!$D$180:$EQ$219,$B23,15)*500,0)-IF(AND('calcA'!Q$117=1,UO23&gt;0),300,0)-IF(AND($U23=1,'calcA'!R$117=1,DQ23=0),300,0))),1000000000))</f>
        <v/>
      </c>
      <c r="OU23">
        <f>IF($B23=0,1000000000,IF(INDEX('calcA'!$D$60:$EQ$99,$B23,16)*IF($W23=1,DQ23+AAF23,DQ23)=1,IF(AND($E23=2,IF($W23=1,AFU23,JF23)=0),1000000000,IF($V23=1,INDEX('calcA'!$D$130:$EQ$169,$B23,16)+IF(AND($E23=1,JF23=0),25,0),INDEX('calcA'!S$110:S$114,$F23+1)+IF(AND($E23=1,JF23=0),1000,0)+IF($H23=1,INDEX('calcA'!$D$180:$EQ$219,$B23,16)*500,0)-IF(AND('calcA'!R$117=1,UP23&gt;0),300,0)-IF(AND($U23=1,'calcA'!S$117=1,DR23=0),300,0))),1000000000))</f>
        <v/>
      </c>
      <c r="OV23">
        <f>IF($B23=0,1000000000,IF(INDEX('calcA'!$D$60:$EQ$99,$B23,17)*IF($W23=1,DR23+AAG23,DR23)=1,IF(AND($E23=2,IF($W23=1,AFV23,JG23)=0),1000000000,IF($V23=1,INDEX('calcA'!$D$130:$EQ$169,$B23,17)+IF(AND($E23=1,JG23=0),25,0),INDEX('calcA'!T$110:T$114,$F23+1)+IF(AND($E23=1,JG23=0),1000,0)+IF($H23=1,INDEX('calcA'!$D$180:$EQ$219,$B23,17)*500,0)-IF(AND('calcA'!S$117=1,UQ23&gt;0),300,0)-IF(AND($U23=1,'calcA'!T$117=1,DS23=0),300,0))),1000000000))</f>
        <v/>
      </c>
      <c r="OW23">
        <f>IF($B23=0,1000000000,IF(INDEX('calcA'!$D$60:$EQ$99,$B23,18)*IF($W23=1,DS23+AAH23,DS23)=1,IF(AND($E23=2,IF($W23=1,AFW23,JH23)=0),1000000000,IF($V23=1,INDEX('calcA'!$D$130:$EQ$169,$B23,18)+IF(AND($E23=1,JH23=0),25,0),INDEX('calcA'!U$110:U$114,$F23+1)+IF(AND($E23=1,JH23=0),1000,0)+IF($H23=1,INDEX('calcA'!$D$180:$EQ$219,$B23,18)*500,0)-IF(AND('calcA'!T$117=1,UR23&gt;0),300,0)-IF(AND($U23=1,'calcA'!U$117=1,DT23=0),300,0))),1000000000))</f>
        <v/>
      </c>
      <c r="OX23">
        <f>IF($B23=0,1000000000,IF(INDEX('calcA'!$D$60:$EQ$99,$B23,19)*IF($W23=1,DT23+AAI23,DT23)=1,IF(AND($E23=2,IF($W23=1,AFX23,JI23)=0),1000000000,IF($V23=1,INDEX('calcA'!$D$130:$EQ$169,$B23,19)+IF(AND($E23=1,JI23=0),25,0),INDEX('calcA'!V$110:V$114,$F23+1)+IF(AND($E23=1,JI23=0),1000,0)+IF($H23=1,INDEX('calcA'!$D$180:$EQ$219,$B23,19)*500,0)-IF(AND('calcA'!U$117=1,US23&gt;0),300,0)-IF(AND($U23=1,'calcA'!V$117=1,DU23=0),300,0))),1000000000))</f>
        <v/>
      </c>
      <c r="OY23">
        <f>IF($B23=0,1000000000,IF(INDEX('calcA'!$D$60:$EQ$99,$B23,20)*IF($W23=1,DU23+AAJ23,DU23)=1,IF(AND($E23=2,IF($W23=1,AFY23,JJ23)=0),1000000000,IF($V23=1,INDEX('calcA'!$D$130:$EQ$169,$B23,20)+IF(AND($E23=1,JJ23=0),25,0),INDEX('calcA'!W$110:W$114,$F23+1)+IF(AND($E23=1,JJ23=0),1000,0)+IF($H23=1,INDEX('calcA'!$D$180:$EQ$219,$B23,20)*500,0)-IF(AND('calcA'!V$117=1,UT23&gt;0),300,0)-IF(AND($U23=1,'calcA'!W$117=1,DV23=0),300,0))),1000000000))</f>
        <v/>
      </c>
      <c r="OZ23">
        <f>IF($B23=0,1000000000,IF(INDEX('calcA'!$D$60:$EQ$99,$B23,21)*IF($W23=1,DV23+AAK23,DV23)=1,IF(AND($E23=2,IF($W23=1,AFZ23,JK23)=0),1000000000,IF($V23=1,INDEX('calcA'!$D$130:$EQ$169,$B23,21)+IF(AND($E23=1,JK23=0),25,0),INDEX('calcA'!X$110:X$114,$F23+1)+IF(AND($E23=1,JK23=0),1000,0)+IF($H23=1,INDEX('calcA'!$D$180:$EQ$219,$B23,21)*500,0)-IF(AND('calcA'!W$117=1,UU23&gt;0),300,0)-IF(AND($U23=1,'calcA'!X$117=1,DW23=0),300,0))),1000000000))</f>
        <v/>
      </c>
      <c r="PA23">
        <f>IF($B23=0,1000000000,IF(INDEX('calcA'!$D$60:$EQ$99,$B23,22)*IF($W23=1,DW23+AAL23,DW23)=1,IF(AND($E23=2,IF($W23=1,AGA23,JL23)=0),1000000000,IF($V23=1,INDEX('calcA'!$D$130:$EQ$169,$B23,22)+IF(AND($E23=1,JL23=0),25,0),INDEX('calcA'!Y$110:Y$114,$F23+1)+IF(AND($E23=1,JL23=0),1000,0)+IF($H23=1,INDEX('calcA'!$D$180:$EQ$219,$B23,22)*500,0)-IF(AND('calcA'!X$117=1,UV23&gt;0),300,0)-IF(AND($U23=1,'calcA'!Y$117=1,DX23=0),300,0))),1000000000))</f>
        <v/>
      </c>
      <c r="PB23">
        <f>IF($B23=0,1000000000,IF(INDEX('calcA'!$D$60:$EQ$99,$B23,23)*IF($W23=1,DX23+AAM23,DX23)=1,IF(AND($E23=2,IF($W23=1,AGB23,JM23)=0),1000000000,IF($V23=1,INDEX('calcA'!$D$130:$EQ$169,$B23,23)+IF(AND($E23=1,JM23=0),25,0),INDEX('calcA'!Z$110:Z$114,$F23+1)+IF(AND($E23=1,JM23=0),1000,0)+IF($H23=1,INDEX('calcA'!$D$180:$EQ$219,$B23,23)*500,0)-IF(AND('calcA'!Y$117=1,UW23&gt;0),300,0)-IF(AND($U23=1,'calcA'!Z$117=1,DY23=0),300,0))),1000000000))</f>
        <v/>
      </c>
      <c r="PC23">
        <f>IF($B23=0,1000000000,IF(INDEX('calcA'!$D$60:$EQ$99,$B23,24)*IF($W23=1,DY23+AAN23,DY23)=1,IF(AND($E23=2,IF($W23=1,AGC23,JN23)=0),1000000000,IF($V23=1,INDEX('calcA'!$D$130:$EQ$169,$B23,24)+IF(AND($E23=1,JN23=0),25,0),INDEX('calcA'!AA$110:AA$114,$F23+1)+IF(AND($E23=1,JN23=0),1000,0)+IF($H23=1,INDEX('calcA'!$D$180:$EQ$219,$B23,24)*500,0)-IF(AND('calcA'!Z$117=1,UX23&gt;0),300,0))),1000000000))</f>
        <v/>
      </c>
      <c r="PD23">
        <f>IF($B23=0,1000000000,IF(INDEX('calcA'!$D$60:$EQ$99,$B23,25)*IF($W23=1,DZ23+AAO23,DZ23)=1,IF(AND($E23=2,IF($W23=1,AGD23,JO23)=0),1000000000,IF($V23=1,INDEX('calcA'!$D$130:$EQ$169,$B23,25)+IF(AND($E23=1,JO23=0),25,0),INDEX('calcA'!AB$110:AB$114,$F23+1)+IF(AND($E23=1,JO23=0),1000,0)+IF($H23=1,INDEX('calcA'!$D$180:$EQ$219,$B23,25)*500,0)-IF(AND($U23=1,'calcA'!AB$117=1,EA23=0),300,0))),1000000000))</f>
        <v/>
      </c>
      <c r="PE23">
        <f>IF($B23=0,1000000000,IF(INDEX('calcA'!$D$60:$EQ$99,$B23,26)*IF($W23=1,EA23+AAP23,EA23)=1,IF(AND($E23=2,IF($W23=1,AGE23,JP23)=0),1000000000,IF($V23=1,INDEX('calcA'!$D$130:$EQ$169,$B23,26)+IF(AND($E23=1,JP23=0),25,0),INDEX('calcA'!AC$110:AC$114,$F23+1)+IF(AND($E23=1,JP23=0),1000,0)+IF($H23=1,INDEX('calcA'!$D$180:$EQ$219,$B23,26)*500,0)-IF(AND('calcA'!AB$117=1,UZ23&gt;0),300,0)-IF(AND($U23=1,'calcA'!AC$117=1,EB23=0),300,0))),1000000000))</f>
        <v/>
      </c>
      <c r="PF23">
        <f>IF($B23=0,1000000000,IF(INDEX('calcA'!$D$60:$EQ$99,$B23,27)*IF($W23=1,EB23+AAQ23,EB23)=1,IF(AND($E23=2,IF($W23=1,AGF23,JQ23)=0),1000000000,IF($V23=1,INDEX('calcA'!$D$130:$EQ$169,$B23,27)+IF(AND($E23=1,JQ23=0),25,0),INDEX('calcA'!AD$110:AD$114,$F23+1)+IF(AND($E23=1,JQ23=0),1000,0)+IF($H23=1,INDEX('calcA'!$D$180:$EQ$219,$B23,27)*500,0)-IF(AND('calcA'!AC$117=1,VA23&gt;0),300,0)-IF(AND($U23=1,'calcA'!AD$117=1,EC23=0),300,0))),1000000000))</f>
        <v/>
      </c>
      <c r="PG23">
        <f>IF($B23=0,1000000000,IF(INDEX('calcA'!$D$60:$EQ$99,$B23,28)*IF($W23=1,EC23+AAR23,EC23)=1,IF(AND($E23=2,IF($W23=1,AGG23,JR23)=0),1000000000,IF($V23=1,INDEX('calcA'!$D$130:$EQ$169,$B23,28)+IF(AND($E23=1,JR23=0),25,0),INDEX('calcA'!AE$110:AE$114,$F23+1)+IF(AND($E23=1,JR23=0),1000,0)+IF($H23=1,INDEX('calcA'!$D$180:$EQ$219,$B23,28)*500,0)-IF(AND('calcA'!AD$117=1,VB23&gt;0),300,0)-IF(AND($U23=1,'calcA'!AE$117=1,ED23=0),300,0))),1000000000))</f>
        <v/>
      </c>
      <c r="PH23">
        <f>IF($B23=0,1000000000,IF(INDEX('calcA'!$D$60:$EQ$99,$B23,29)*IF($W23=1,ED23+AAS23,ED23)=1,IF(AND($E23=2,IF($W23=1,AGH23,JS23)=0),1000000000,IF($V23=1,INDEX('calcA'!$D$130:$EQ$169,$B23,29)+IF(AND($E23=1,JS23=0),25,0),INDEX('calcA'!AF$110:AF$114,$F23+1)+IF(AND($E23=1,JS23=0),1000,0)+IF($H23=1,INDEX('calcA'!$D$180:$EQ$219,$B23,29)*500,0)-IF(AND('calcA'!AE$117=1,VC23&gt;0),300,0)-IF(AND($U23=1,'calcA'!AF$117=1,EE23=0),300,0))),1000000000))</f>
        <v/>
      </c>
      <c r="PI23">
        <f>IF($B23=0,1000000000,IF(INDEX('calcA'!$D$60:$EQ$99,$B23,30)*IF($W23=1,EE23+AAT23,EE23)=1,IF(AND($E23=2,IF($W23=1,AGI23,JT23)=0),1000000000,IF($V23=1,INDEX('calcA'!$D$130:$EQ$169,$B23,30)+IF(AND($E23=1,JT23=0),25,0),INDEX('calcA'!AG$110:AG$114,$F23+1)+IF(AND($E23=1,JT23=0),1000,0)+IF($H23=1,INDEX('calcA'!$D$180:$EQ$219,$B23,30)*500,0)-IF(AND('calcA'!AF$117=1,VD23&gt;0),300,0)-IF(AND($U23=1,'calcA'!AG$117=1,EF23=0),300,0))),1000000000))</f>
        <v/>
      </c>
      <c r="PJ23">
        <f>IF($B23=0,1000000000,IF(INDEX('calcA'!$D$60:$EQ$99,$B23,31)*IF($W23=1,EF23+AAU23,EF23)=1,IF(AND($E23=2,IF($W23=1,AGJ23,JU23)=0),1000000000,IF($V23=1,INDEX('calcA'!$D$130:$EQ$169,$B23,31)+IF(AND($E23=1,JU23=0),25,0),INDEX('calcA'!AH$110:AH$114,$F23+1)+IF(AND($E23=1,JU23=0),1000,0)+IF($H23=1,INDEX('calcA'!$D$180:$EQ$219,$B23,31)*500,0)-IF(AND('calcA'!AG$117=1,VE23&gt;0),300,0)-IF(AND($U23=1,'calcA'!AH$117=1,EG23=0),300,0))),1000000000))</f>
        <v/>
      </c>
      <c r="PK23">
        <f>IF($B23=0,1000000000,IF(INDEX('calcA'!$D$60:$EQ$99,$B23,32)*IF($W23=1,EG23+AAV23,EG23)=1,IF(AND($E23=2,IF($W23=1,AGK23,JV23)=0),1000000000,IF($V23=1,INDEX('calcA'!$D$130:$EQ$169,$B23,32)+IF(AND($E23=1,JV23=0),25,0),INDEX('calcA'!AI$110:AI$114,$F23+1)+IF(AND($E23=1,JV23=0),1000,0)+IF($H23=1,INDEX('calcA'!$D$180:$EQ$219,$B23,32)*500,0)-IF(AND('calcA'!AH$117=1,VF23&gt;0),300,0)-IF(AND($U23=1,'calcA'!AI$117=1,EH23=0),300,0))),1000000000))</f>
        <v/>
      </c>
      <c r="PL23">
        <f>IF($B23=0,1000000000,IF(INDEX('calcA'!$D$60:$EQ$99,$B23,33)*IF($W23=1,EH23+AAW23,EH23)=1,IF(AND($E23=2,IF($W23=1,AGL23,JW23)=0),1000000000,IF($V23=1,INDEX('calcA'!$D$130:$EQ$169,$B23,33)+IF(AND($E23=1,JW23=0),25,0),INDEX('calcA'!AJ$110:AJ$114,$F23+1)+IF(AND($E23=1,JW23=0),1000,0)+IF($H23=1,INDEX('calcA'!$D$180:$EQ$219,$B23,33)*500,0)-IF(AND('calcA'!AI$117=1,VG23&gt;0),300,0)-IF(AND($U23=1,'calcA'!AJ$117=1,EI23=0),300,0))),1000000000))</f>
        <v/>
      </c>
      <c r="PM23">
        <f>IF($B23=0,1000000000,IF(INDEX('calcA'!$D$60:$EQ$99,$B23,34)*IF($W23=1,EI23+AAX23,EI23)=1,IF(AND($E23=2,IF($W23=1,AGM23,JX23)=0),1000000000,IF($V23=1,INDEX('calcA'!$D$130:$EQ$169,$B23,34)+IF(AND($E23=1,JX23=0),25,0),INDEX('calcA'!AK$110:AK$114,$F23+1)+IF(AND($E23=1,JX23=0),1000,0)+IF($H23=1,INDEX('calcA'!$D$180:$EQ$219,$B23,34)*500,0)-IF(AND('calcA'!AJ$117=1,VH23&gt;0),300,0)-IF(AND($U23=1,'calcA'!AK$117=1,EJ23=0),300,0))),1000000000))</f>
        <v/>
      </c>
      <c r="PN23">
        <f>IF($B23=0,1000000000,IF(INDEX('calcA'!$D$60:$EQ$99,$B23,35)*IF($W23=1,EJ23+AAY23,EJ23)=1,IF(AND($E23=2,IF($W23=1,AGN23,JY23)=0),1000000000,IF($V23=1,INDEX('calcA'!$D$130:$EQ$169,$B23,35)+IF(AND($E23=1,JY23=0),25,0),INDEX('calcA'!AL$110:AL$114,$F23+1)+IF(AND($E23=1,JY23=0),1000,0)+IF($H23=1,INDEX('calcA'!$D$180:$EQ$219,$B23,35)*500,0)-IF(AND('calcA'!AK$117=1,VI23&gt;0),300,0)-IF(AND($U23=1,'calcA'!AL$117=1,EK23=0),300,0))),1000000000))</f>
        <v/>
      </c>
      <c r="PO23">
        <f>IF($B23=0,1000000000,IF(INDEX('calcA'!$D$60:$EQ$99,$B23,36)*IF($W23=1,EK23+AAZ23,EK23)=1,IF(AND($E23=2,IF($W23=1,AGO23,JZ23)=0),1000000000,IF($V23=1,INDEX('calcA'!$D$130:$EQ$169,$B23,36)+IF(AND($E23=1,JZ23=0),25,0),INDEX('calcA'!AM$110:AM$114,$F23+1)+IF(AND($E23=1,JZ23=0),1000,0)+IF($H23=1,INDEX('calcA'!$D$180:$EQ$219,$B23,36)*500,0)-IF(AND('calcA'!AL$117=1,VJ23&gt;0),300,0)-IF(AND($U23=1,'calcA'!AM$117=1,EL23=0),300,0))),1000000000))</f>
        <v/>
      </c>
      <c r="PP23">
        <f>IF($B23=0,1000000000,IF(INDEX('calcA'!$D$60:$EQ$99,$B23,37)*IF($W23=1,EL23+ABA23,EL23)=1,IF(AND($E23=2,IF($W23=1,AGP23,KA23)=0),1000000000,IF($V23=1,INDEX('calcA'!$D$130:$EQ$169,$B23,37)+IF(AND($E23=1,KA23=0),25,0),INDEX('calcA'!AN$110:AN$114,$F23+1)+IF(AND($E23=1,KA23=0),1000,0)+IF($H23=1,INDEX('calcA'!$D$180:$EQ$219,$B23,37)*500,0)-IF(AND('calcA'!AM$117=1,VK23&gt;0),300,0)-IF(AND($U23=1,'calcA'!AN$117=1,EM23=0),300,0))),1000000000))</f>
        <v/>
      </c>
      <c r="PQ23">
        <f>IF($B23=0,1000000000,IF(INDEX('calcA'!$D$60:$EQ$99,$B23,38)*IF($W23=1,EM23+ABB23,EM23)=1,IF(AND($E23=2,IF($W23=1,AGQ23,KB23)=0),1000000000,IF($V23=1,INDEX('calcA'!$D$130:$EQ$169,$B23,38)+IF(AND($E23=1,KB23=0),25,0),INDEX('calcA'!AO$110:AO$114,$F23+1)+IF(AND($E23=1,KB23=0),1000,0)+IF($H23=1,INDEX('calcA'!$D$180:$EQ$219,$B23,38)*500,0)-IF(AND('calcA'!AN$117=1,VL23&gt;0),300,0)-IF(AND($U23=1,'calcA'!AO$117=1,EN23=0),300,0))),1000000000))</f>
        <v/>
      </c>
      <c r="PR23">
        <f>IF($B23=0,1000000000,IF(INDEX('calcA'!$D$60:$EQ$99,$B23,39)*IF($W23=1,EN23+ABC23,EN23)=1,IF(AND($E23=2,IF($W23=1,AGR23,KC23)=0),1000000000,IF($V23=1,INDEX('calcA'!$D$130:$EQ$169,$B23,39)+IF(AND($E23=1,KC23=0),25,0),INDEX('calcA'!AP$110:AP$114,$F23+1)+IF(AND($E23=1,KC23=0),1000,0)+IF($H23=1,INDEX('calcA'!$D$180:$EQ$219,$B23,39)*500,0)-IF(AND('calcA'!AO$117=1,VM23&gt;0),300,0)-IF(AND($U23=1,'calcA'!AP$117=1,EO23=0),300,0))),1000000000))</f>
        <v/>
      </c>
      <c r="PS23">
        <f>IF($B23=0,1000000000,IF(INDEX('calcA'!$D$60:$EQ$99,$B23,40)*IF($W23=1,EO23+ABD23,EO23)=1,IF(AND($E23=2,IF($W23=1,AGS23,KD23)=0),1000000000,IF($V23=1,INDEX('calcA'!$D$130:$EQ$169,$B23,40)+IF(AND($E23=1,KD23=0),25,0),INDEX('calcA'!AQ$110:AQ$114,$F23+1)+IF(AND($E23=1,KD23=0),1000,0)+IF($H23=1,INDEX('calcA'!$D$180:$EQ$219,$B23,40)*500,0)-IF(AND('calcA'!AP$117=1,VN23&gt;0),300,0)-IF(AND($U23=1,'calcA'!AQ$117=1,EP23=0),300,0))),1000000000))</f>
        <v/>
      </c>
      <c r="PT23">
        <f>IF($B23=0,1000000000,IF(INDEX('calcA'!$D$60:$EQ$99,$B23,41)*IF($W23=1,EP23+ABE23,EP23)=1,IF(AND($E23=2,IF($W23=1,AGT23,KE23)=0),1000000000,IF($V23=1,INDEX('calcA'!$D$130:$EQ$169,$B23,41)+IF(AND($E23=1,KE23=0),25,0),INDEX('calcA'!AR$110:AR$114,$F23+1)+IF(AND($E23=1,KE23=0),1000,0)+IF($H23=1,INDEX('calcA'!$D$180:$EQ$219,$B23,41)*500,0)-IF(AND('calcA'!AQ$117=1,VO23&gt;0),300,0)-IF(AND($U23=1,'calcA'!AR$117=1,EQ23=0),300,0))),1000000000))</f>
        <v/>
      </c>
      <c r="PU23">
        <f>IF($B23=0,1000000000,IF(INDEX('calcA'!$D$60:$EQ$99,$B23,42)*IF($W23=1,EQ23+ABF23,EQ23)=1,IF(AND($E23=2,IF($W23=1,AGU23,KF23)=0),1000000000,IF($V23=1,INDEX('calcA'!$D$130:$EQ$169,$B23,42)+IF(AND($E23=1,KF23=0),25,0),INDEX('calcA'!AS$110:AS$114,$F23+1)+IF(AND($E23=1,KF23=0),1000,0)+IF($H23=1,INDEX('calcA'!$D$180:$EQ$219,$B23,42)*500,0)-IF(AND('calcA'!AR$117=1,VP23&gt;0),300,0)-IF(AND($U23=1,'calcA'!AS$117=1,ER23=0),300,0))),1000000000))</f>
        <v/>
      </c>
      <c r="PV23">
        <f>IF($B23=0,1000000000,IF(INDEX('calcA'!$D$60:$EQ$99,$B23,43)*IF($W23=1,ER23+ABG23,ER23)=1,IF(AND($E23=2,IF($W23=1,AGV23,KG23)=0),1000000000,IF($V23=1,INDEX('calcA'!$D$130:$EQ$169,$B23,43)+IF(AND($E23=1,KG23=0),25,0),INDEX('calcA'!AT$110:AT$114,$F23+1)+IF(AND($E23=1,KG23=0),1000,0)+IF($H23=1,INDEX('calcA'!$D$180:$EQ$219,$B23,43)*500,0)-IF(AND('calcA'!AS$117=1,VQ23&gt;0),300,0)-IF(AND($U23=1,'calcA'!AT$117=1,ES23=0),300,0))),1000000000))</f>
        <v/>
      </c>
      <c r="PW23">
        <f>IF($B23=0,1000000000,IF(INDEX('calcA'!$D$60:$EQ$99,$B23,44)*IF($W23=1,ES23+ABH23,ES23)=1,IF(AND($E23=2,IF($W23=1,AGW23,KH23)=0),1000000000,IF($V23=1,INDEX('calcA'!$D$130:$EQ$169,$B23,44)+IF(AND($E23=1,KH23=0),25,0),INDEX('calcA'!AU$110:AU$114,$F23+1)+IF(AND($E23=1,KH23=0),1000,0)+IF($H23=1,INDEX('calcA'!$D$180:$EQ$219,$B23,44)*500,0)-IF(AND('calcA'!AT$117=1,VR23&gt;0),300,0)-IF(AND($U23=1,'calcA'!AU$117=1,ET23=0),300,0))),1000000000))</f>
        <v/>
      </c>
      <c r="PX23">
        <f>IF($B23=0,1000000000,IF(INDEX('calcA'!$D$60:$EQ$99,$B23,45)*IF($W23=1,ET23+ABI23,ET23)=1,IF(AND($E23=2,IF($W23=1,AGX23,KI23)=0),1000000000,IF($V23=1,INDEX('calcA'!$D$130:$EQ$169,$B23,45)+IF(AND($E23=1,KI23=0),25,0),INDEX('calcA'!AV$110:AV$114,$F23+1)+IF(AND($E23=1,KI23=0),1000,0)+IF($H23=1,INDEX('calcA'!$D$180:$EQ$219,$B23,45)*500,0)-IF(AND('calcA'!AU$117=1,VS23&gt;0),300,0)-IF(AND($U23=1,'calcA'!AV$117=1,EU23=0),300,0))),1000000000))</f>
        <v/>
      </c>
      <c r="PY23">
        <f>IF($B23=0,1000000000,IF(INDEX('calcA'!$D$60:$EQ$99,$B23,46)*IF($W23=1,EU23+ABJ23,EU23)=1,IF(AND($E23=2,IF($W23=1,AGY23,KJ23)=0),1000000000,IF($V23=1,INDEX('calcA'!$D$130:$EQ$169,$B23,46)+IF(AND($E23=1,KJ23=0),25,0),INDEX('calcA'!AW$110:AW$114,$F23+1)+IF(AND($E23=1,KJ23=0),1000,0)+IF($H23=1,INDEX('calcA'!$D$180:$EQ$219,$B23,46)*500,0)-IF(AND('calcA'!AV$117=1,VT23&gt;0),300,0)-IF(AND($U23=1,'calcA'!AW$117=1,EV23=0),300,0))),1000000000))</f>
        <v/>
      </c>
      <c r="PZ23">
        <f>IF($B23=0,1000000000,IF(INDEX('calcA'!$D$60:$EQ$99,$B23,47)*IF($W23=1,EV23+ABK23,EV23)=1,IF(AND($E23=2,IF($W23=1,AGZ23,KK23)=0),1000000000,IF($V23=1,INDEX('calcA'!$D$130:$EQ$169,$B23,47)+IF(AND($E23=1,KK23=0),25,0),INDEX('calcA'!AX$110:AX$114,$F23+1)+IF(AND($E23=1,KK23=0),1000,0)+IF($H23=1,INDEX('calcA'!$D$180:$EQ$219,$B23,47)*500,0)-IF(AND('calcA'!AW$117=1,VU23&gt;0),300,0)-IF(AND($U23=1,'calcA'!AX$117=1,EW23=0),300,0))),1000000000))</f>
        <v/>
      </c>
      <c r="QA23">
        <f>IF($B23=0,1000000000,IF(INDEX('calcA'!$D$60:$EQ$99,$B23,48)*IF($W23=1,EW23+ABL23,EW23)=1,IF(AND($E23=2,IF($W23=1,AHA23,KL23)=0),1000000000,IF($V23=1,INDEX('calcA'!$D$130:$EQ$169,$B23,48)+IF(AND($E23=1,KL23=0),25,0),INDEX('calcA'!AY$110:AY$114,$F23+1)+IF(AND($E23=1,KL23=0),1000,0)+IF($H23=1,INDEX('calcA'!$D$180:$EQ$219,$B23,48)*500,0)-IF(AND('calcA'!AX$117=1,VV23&gt;0),300,0))),1000000000))</f>
        <v/>
      </c>
      <c r="QB23">
        <f>IF($B23=0,1000000000,IF(INDEX('calcA'!$D$60:$EQ$99,$B23,49)*IF($W23=1,EX23+ABM23,EX23)=1,IF(AND($E23=2,IF($W23=1,AHB23,KM23)=0),1000000000,IF($V23=1,INDEX('calcA'!$D$130:$EQ$169,$B23,49)+IF(AND($E23=1,KM23=0),25,0),INDEX('calcA'!AZ$110:AZ$114,$F23+1)+IF(AND($E23=1,KM23=0),1000,0)+IF($H23=1,INDEX('calcA'!$D$180:$EQ$219,$B23,49)*500,0)-IF(AND($U23=1,'calcA'!AZ$117=1,EY23=0),300,0))),1000000000))</f>
        <v/>
      </c>
      <c r="QC23">
        <f>IF($B23=0,1000000000,IF(INDEX('calcA'!$D$60:$EQ$99,$B23,50)*IF($W23=1,EY23+ABN23,EY23)=1,IF(AND($E23=2,IF($W23=1,AHC23,KN23)=0),1000000000,IF($V23=1,INDEX('calcA'!$D$130:$EQ$169,$B23,50)+IF(AND($E23=1,KN23=0),25,0),INDEX('calcA'!BA$110:BA$114,$F23+1)+IF(AND($E23=1,KN23=0),1000,0)+IF($H23=1,INDEX('calcA'!$D$180:$EQ$219,$B23,50)*500,0)-IF(AND('calcA'!AZ$117=1,VX23&gt;0),300,0)-IF(AND($U23=1,'calcA'!BA$117=1,EZ23=0),300,0))),1000000000))</f>
        <v/>
      </c>
      <c r="QD23">
        <f>IF($B23=0,1000000000,IF(INDEX('calcA'!$D$60:$EQ$99,$B23,51)*IF($W23=1,EZ23+ABO23,EZ23)=1,IF(AND($E23=2,IF($W23=1,AHD23,KO23)=0),1000000000,IF($V23=1,INDEX('calcA'!$D$130:$EQ$169,$B23,51)+IF(AND($E23=1,KO23=0),25,0),INDEX('calcA'!BB$110:BB$114,$F23+1)+IF(AND($E23=1,KO23=0),1000,0)+IF($H23=1,INDEX('calcA'!$D$180:$EQ$219,$B23,51)*500,0)-IF(AND('calcA'!BA$117=1,VY23&gt;0),300,0)-IF(AND($U23=1,'calcA'!BB$117=1,FA23=0),300,0))),1000000000))</f>
        <v/>
      </c>
      <c r="QE23">
        <f>IF($B23=0,1000000000,IF(INDEX('calcA'!$D$60:$EQ$99,$B23,52)*IF($W23=1,FA23+ABP23,FA23)=1,IF(AND($E23=2,IF($W23=1,AHE23,KP23)=0),1000000000,IF($V23=1,INDEX('calcA'!$D$130:$EQ$169,$B23,52)+IF(AND($E23=1,KP23=0),25,0),INDEX('calcA'!BC$110:BC$114,$F23+1)+IF(AND($E23=1,KP23=0),1000,0)+IF($H23=1,INDEX('calcA'!$D$180:$EQ$219,$B23,52)*500,0)-IF(AND('calcA'!BB$117=1,VZ23&gt;0),300,0)-IF(AND($U23=1,'calcA'!BC$117=1,FB23=0),300,0))),1000000000))</f>
        <v/>
      </c>
      <c r="QF23">
        <f>IF($B23=0,1000000000,IF(INDEX('calcA'!$D$60:$EQ$99,$B23,53)*IF($W23=1,FB23+ABQ23,FB23)=1,IF(AND($E23=2,IF($W23=1,AHF23,KQ23)=0),1000000000,IF($V23=1,INDEX('calcA'!$D$130:$EQ$169,$B23,53)+IF(AND($E23=1,KQ23=0),25,0),INDEX('calcA'!BD$110:BD$114,$F23+1)+IF(AND($E23=1,KQ23=0),1000,0)+IF($H23=1,INDEX('calcA'!$D$180:$EQ$219,$B23,53)*500,0)-IF(AND('calcA'!BC$117=1,WA23&gt;0),300,0)-IF(AND($U23=1,'calcA'!BD$117=1,FC23=0),300,0))),1000000000))</f>
        <v/>
      </c>
      <c r="QG23">
        <f>IF($B23=0,1000000000,IF(INDEX('calcA'!$D$60:$EQ$99,$B23,54)*IF($W23=1,FC23+ABR23,FC23)=1,IF(AND($E23=2,IF($W23=1,AHG23,KR23)=0),1000000000,IF($V23=1,INDEX('calcA'!$D$130:$EQ$169,$B23,54)+IF(AND($E23=1,KR23=0),25,0),INDEX('calcA'!BE$110:BE$114,$F23+1)+IF(AND($E23=1,KR23=0),1000,0)+IF($H23=1,INDEX('calcA'!$D$180:$EQ$219,$B23,54)*500,0)-IF(AND('calcA'!BD$117=1,WB23&gt;0),300,0)-IF(AND($U23=1,'calcA'!BE$117=1,FD23=0),300,0))),1000000000))</f>
        <v/>
      </c>
      <c r="QH23">
        <f>IF($B23=0,1000000000,IF(INDEX('calcA'!$D$60:$EQ$99,$B23,55)*IF($W23=1,FD23+ABS23,FD23)=1,IF(AND($E23=2,IF($W23=1,AHH23,KS23)=0),1000000000,IF($V23=1,INDEX('calcA'!$D$130:$EQ$169,$B23,55)+IF(AND($E23=1,KS23=0),25,0),INDEX('calcA'!BF$110:BF$114,$F23+1)+IF(AND($E23=1,KS23=0),1000,0)+IF($H23=1,INDEX('calcA'!$D$180:$EQ$219,$B23,55)*500,0)-IF(AND('calcA'!BE$117=1,WC23&gt;0),300,0)-IF(AND($U23=1,'calcA'!BF$117=1,FE23=0),300,0))),1000000000))</f>
        <v/>
      </c>
      <c r="QI23">
        <f>IF($B23=0,1000000000,IF(INDEX('calcA'!$D$60:$EQ$99,$B23,56)*IF($W23=1,FE23+ABT23,FE23)=1,IF(AND($E23=2,IF($W23=1,AHI23,KT23)=0),1000000000,IF($V23=1,INDEX('calcA'!$D$130:$EQ$169,$B23,56)+IF(AND($E23=1,KT23=0),25,0),INDEX('calcA'!BG$110:BG$114,$F23+1)+IF(AND($E23=1,KT23=0),1000,0)+IF($H23=1,INDEX('calcA'!$D$180:$EQ$219,$B23,56)*500,0)-IF(AND('calcA'!BF$117=1,WD23&gt;0),300,0)-IF(AND($U23=1,'calcA'!BG$117=1,FF23=0),300,0))),1000000000))</f>
        <v/>
      </c>
      <c r="QJ23">
        <f>IF($B23=0,1000000000,IF(INDEX('calcA'!$D$60:$EQ$99,$B23,57)*IF($W23=1,FF23+ABU23,FF23)=1,IF(AND($E23=2,IF($W23=1,AHJ23,KU23)=0),1000000000,IF($V23=1,INDEX('calcA'!$D$130:$EQ$169,$B23,57)+IF(AND($E23=1,KU23=0),25,0),INDEX('calcA'!BH$110:BH$114,$F23+1)+IF(AND($E23=1,KU23=0),1000,0)+IF($H23=1,INDEX('calcA'!$D$180:$EQ$219,$B23,57)*500,0)-IF(AND('calcA'!BG$117=1,WE23&gt;0),300,0)-IF(AND($U23=1,'calcA'!BH$117=1,FG23=0),300,0))),1000000000))</f>
        <v/>
      </c>
      <c r="QK23">
        <f>IF($B23=0,1000000000,IF(INDEX('calcA'!$D$60:$EQ$99,$B23,58)*IF($W23=1,FG23+ABV23,FG23)=1,IF(AND($E23=2,IF($W23=1,AHK23,KV23)=0),1000000000,IF($V23=1,INDEX('calcA'!$D$130:$EQ$169,$B23,58)+IF(AND($E23=1,KV23=0),25,0),INDEX('calcA'!BI$110:BI$114,$F23+1)+IF(AND($E23=1,KV23=0),1000,0)+IF($H23=1,INDEX('calcA'!$D$180:$EQ$219,$B23,58)*500,0)-IF(AND('calcA'!BH$117=1,WF23&gt;0),300,0)-IF(AND($U23=1,'calcA'!BI$117=1,FH23=0),300,0))),1000000000))</f>
        <v/>
      </c>
      <c r="QL23">
        <f>IF($B23=0,1000000000,IF(INDEX('calcA'!$D$60:$EQ$99,$B23,59)*IF($W23=1,FH23+ABW23,FH23)=1,IF(AND($E23=2,IF($W23=1,AHL23,KW23)=0),1000000000,IF($V23=1,INDEX('calcA'!$D$130:$EQ$169,$B23,59)+IF(AND($E23=1,KW23=0),25,0),INDEX('calcA'!BJ$110:BJ$114,$F23+1)+IF(AND($E23=1,KW23=0),1000,0)+IF($H23=1,INDEX('calcA'!$D$180:$EQ$219,$B23,59)*500,0)-IF(AND('calcA'!BI$117=1,WG23&gt;0),300,0)-IF(AND($U23=1,'calcA'!BJ$117=1,FI23=0),300,0))),1000000000))</f>
        <v/>
      </c>
      <c r="QM23">
        <f>IF($B23=0,1000000000,IF(INDEX('calcA'!$D$60:$EQ$99,$B23,60)*IF($W23=1,FI23+ABX23,FI23)=1,IF(AND($E23=2,IF($W23=1,AHM23,KX23)=0),1000000000,IF($V23=1,INDEX('calcA'!$D$130:$EQ$169,$B23,60)+IF(AND($E23=1,KX23=0),25,0),INDEX('calcA'!BK$110:BK$114,$F23+1)+IF(AND($E23=1,KX23=0),1000,0)+IF($H23=1,INDEX('calcA'!$D$180:$EQ$219,$B23,60)*500,0)-IF(AND('calcA'!BJ$117=1,WH23&gt;0),300,0)-IF(AND($U23=1,'calcA'!BK$117=1,FJ23=0),300,0))),1000000000))</f>
        <v/>
      </c>
      <c r="QN23">
        <f>IF($B23=0,1000000000,IF(INDEX('calcA'!$D$60:$EQ$99,$B23,61)*IF($W23=1,FJ23+ABY23,FJ23)=1,IF(AND($E23=2,IF($W23=1,AHN23,KY23)=0),1000000000,IF($V23=1,INDEX('calcA'!$D$130:$EQ$169,$B23,61)+IF(AND($E23=1,KY23=0),25,0),INDEX('calcA'!BL$110:BL$114,$F23+1)+IF(AND($E23=1,KY23=0),1000,0)+IF($H23=1,INDEX('calcA'!$D$180:$EQ$219,$B23,61)*500,0)-IF(AND('calcA'!BK$117=1,WI23&gt;0),300,0)-IF(AND($U23=1,'calcA'!BL$117=1,FK23=0),300,0))),1000000000))</f>
        <v/>
      </c>
      <c r="QO23">
        <f>IF($B23=0,1000000000,IF(INDEX('calcA'!$D$60:$EQ$99,$B23,62)*IF($W23=1,FK23+ABZ23,FK23)=1,IF(AND($E23=2,IF($W23=1,AHO23,KZ23)=0),1000000000,IF($V23=1,INDEX('calcA'!$D$130:$EQ$169,$B23,62)+IF(AND($E23=1,KZ23=0),25,0),INDEX('calcA'!BM$110:BM$114,$F23+1)+IF(AND($E23=1,KZ23=0),1000,0)+IF($H23=1,INDEX('calcA'!$D$180:$EQ$219,$B23,62)*500,0)-IF(AND('calcA'!BL$117=1,WJ23&gt;0),300,0)-IF(AND($U23=1,'calcA'!BM$117=1,FL23=0),300,0))),1000000000))</f>
        <v/>
      </c>
      <c r="QP23">
        <f>IF($B23=0,1000000000,IF(INDEX('calcA'!$D$60:$EQ$99,$B23,63)*IF($W23=1,FL23+ACA23,FL23)=1,IF(AND($E23=2,IF($W23=1,AHP23,LA23)=0),1000000000,IF($V23=1,INDEX('calcA'!$D$130:$EQ$169,$B23,63)+IF(AND($E23=1,LA23=0),25,0),INDEX('calcA'!BN$110:BN$114,$F23+1)+IF(AND($E23=1,LA23=0),1000,0)+IF($H23=1,INDEX('calcA'!$D$180:$EQ$219,$B23,63)*500,0)-IF(AND('calcA'!BM$117=1,WK23&gt;0),300,0)-IF(AND($U23=1,'calcA'!BN$117=1,FM23=0),300,0))),1000000000))</f>
        <v/>
      </c>
      <c r="QQ23">
        <f>IF($B23=0,1000000000,IF(INDEX('calcA'!$D$60:$EQ$99,$B23,64)*IF($W23=1,FM23+ACB23,FM23)=1,IF(AND($E23=2,IF($W23=1,AHQ23,LB23)=0),1000000000,IF($V23=1,INDEX('calcA'!$D$130:$EQ$169,$B23,64)+IF(AND($E23=1,LB23=0),25,0),INDEX('calcA'!BO$110:BO$114,$F23+1)+IF(AND($E23=1,LB23=0),1000,0)+IF($H23=1,INDEX('calcA'!$D$180:$EQ$219,$B23,64)*500,0)-IF(AND('calcA'!BN$117=1,WL23&gt;0),300,0)-IF(AND($U23=1,'calcA'!BO$117=1,FN23=0),300,0))),1000000000))</f>
        <v/>
      </c>
      <c r="QR23">
        <f>IF($B23=0,1000000000,IF(INDEX('calcA'!$D$60:$EQ$99,$B23,65)*IF($W23=1,FN23+ACC23,FN23)=1,IF(AND($E23=2,IF($W23=1,AHR23,LC23)=0),1000000000,IF($V23=1,INDEX('calcA'!$D$130:$EQ$169,$B23,65)+IF(AND($E23=1,LC23=0),25,0),INDEX('calcA'!BP$110:BP$114,$F23+1)+IF(AND($E23=1,LC23=0),1000,0)+IF($H23=1,INDEX('calcA'!$D$180:$EQ$219,$B23,65)*500,0)-IF(AND('calcA'!BO$117=1,WM23&gt;0),300,0)-IF(AND($U23=1,'calcA'!BP$117=1,FO23=0),300,0))),1000000000))</f>
        <v/>
      </c>
      <c r="QS23">
        <f>IF($B23=0,1000000000,IF(INDEX('calcA'!$D$60:$EQ$99,$B23,66)*IF($W23=1,FO23+ACD23,FO23)=1,IF(AND($E23=2,IF($W23=1,AHS23,LD23)=0),1000000000,IF($V23=1,INDEX('calcA'!$D$130:$EQ$169,$B23,66)+IF(AND($E23=1,LD23=0),25,0),INDEX('calcA'!BQ$110:BQ$114,$F23+1)+IF(AND($E23=1,LD23=0),1000,0)+IF($H23=1,INDEX('calcA'!$D$180:$EQ$219,$B23,66)*500,0)-IF(AND('calcA'!BP$117=1,WN23&gt;0),300,0)-IF(AND($U23=1,'calcA'!BQ$117=1,FP23=0),300,0))),1000000000))</f>
        <v/>
      </c>
      <c r="QT23">
        <f>IF($B23=0,1000000000,IF(INDEX('calcA'!$D$60:$EQ$99,$B23,67)*IF($W23=1,FP23+ACE23,FP23)=1,IF(AND($E23=2,IF($W23=1,AHT23,LE23)=0),1000000000,IF($V23=1,INDEX('calcA'!$D$130:$EQ$169,$B23,67)+IF(AND($E23=1,LE23=0),25,0),INDEX('calcA'!BR$110:BR$114,$F23+1)+IF(AND($E23=1,LE23=0),1000,0)+IF($H23=1,INDEX('calcA'!$D$180:$EQ$219,$B23,67)*500,0)-IF(AND('calcA'!BQ$117=1,WO23&gt;0),300,0)-IF(AND($U23=1,'calcA'!BR$117=1,FQ23=0),300,0))),1000000000))</f>
        <v/>
      </c>
      <c r="QU23">
        <f>IF($B23=0,1000000000,IF(INDEX('calcA'!$D$60:$EQ$99,$B23,68)*IF($W23=1,FQ23+ACF23,FQ23)=1,IF(AND($E23=2,IF($W23=1,AHU23,LF23)=0),1000000000,IF($V23=1,INDEX('calcA'!$D$130:$EQ$169,$B23,68)+IF(AND($E23=1,LF23=0),25,0),INDEX('calcA'!BS$110:BS$114,$F23+1)+IF(AND($E23=1,LF23=0),1000,0)+IF($H23=1,INDEX('calcA'!$D$180:$EQ$219,$B23,68)*500,0)-IF(AND('calcA'!BR$117=1,WP23&gt;0),300,0)-IF(AND($U23=1,'calcA'!BS$117=1,FR23=0),300,0))),1000000000))</f>
        <v/>
      </c>
      <c r="QV23">
        <f>IF($B23=0,1000000000,IF(INDEX('calcA'!$D$60:$EQ$99,$B23,69)*IF($W23=1,FR23+ACG23,FR23)=1,IF(AND($E23=2,IF($W23=1,AHV23,LG23)=0),1000000000,IF($V23=1,INDEX('calcA'!$D$130:$EQ$169,$B23,69)+IF(AND($E23=1,LG23=0),25,0),INDEX('calcA'!BT$110:BT$114,$F23+1)+IF(AND($E23=1,LG23=0),1000,0)+IF($H23=1,INDEX('calcA'!$D$180:$EQ$219,$B23,69)*500,0)-IF(AND('calcA'!BS$117=1,WQ23&gt;0),300,0)-IF(AND($U23=1,'calcA'!BT$117=1,FS23=0),300,0))),1000000000))</f>
        <v/>
      </c>
      <c r="QW23">
        <f>IF($B23=0,1000000000,IF(INDEX('calcA'!$D$60:$EQ$99,$B23,70)*IF($W23=1,FS23+ACH23,FS23)=1,IF(AND($E23=2,IF($W23=1,AHW23,LH23)=0),1000000000,IF($V23=1,INDEX('calcA'!$D$130:$EQ$169,$B23,70)+IF(AND($E23=1,LH23=0),25,0),INDEX('calcA'!BU$110:BU$114,$F23+1)+IF(AND($E23=1,LH23=0),1000,0)+IF($H23=1,INDEX('calcA'!$D$180:$EQ$219,$B23,70)*500,0)-IF(AND('calcA'!BT$117=1,WR23&gt;0),300,0)-IF(AND($U23=1,'calcA'!BU$117=1,FT23=0),300,0))),1000000000))</f>
        <v/>
      </c>
      <c r="QX23">
        <f>IF($B23=0,1000000000,IF(INDEX('calcA'!$D$60:$EQ$99,$B23,71)*IF($W23=1,FT23+ACI23,FT23)=1,IF(AND($E23=2,IF($W23=1,AHX23,LI23)=0),1000000000,IF($V23=1,INDEX('calcA'!$D$130:$EQ$169,$B23,71)+IF(AND($E23=1,LI23=0),25,0),INDEX('calcA'!BV$110:BV$114,$F23+1)+IF(AND($E23=1,LI23=0),1000,0)+IF($H23=1,INDEX('calcA'!$D$180:$EQ$219,$B23,71)*500,0)-IF(AND('calcA'!BU$117=1,WS23&gt;0),300,0)-IF(AND($U23=1,'calcA'!BV$117=1,FU23=0),300,0))),1000000000))</f>
        <v/>
      </c>
      <c r="QY23">
        <f>IF($B23=0,1000000000,IF(INDEX('calcA'!$D$60:$EQ$99,$B23,72)*IF($W23=1,FU23+ACJ23,FU23)=1,IF(AND($E23=2,IF($W23=1,AHY23,LJ23)=0),1000000000,IF($V23=1,INDEX('calcA'!$D$130:$EQ$169,$B23,72)+IF(AND($E23=1,LJ23=0),25,0),INDEX('calcA'!BW$110:BW$114,$F23+1)+IF(AND($E23=1,LJ23=0),1000,0)+IF($H23=1,INDEX('calcA'!$D$180:$EQ$219,$B23,72)*500,0)-IF(AND('calcA'!BV$117=1,WT23&gt;0),300,0))),1000000000))</f>
        <v/>
      </c>
      <c r="QZ23">
        <f>IF($B23=0,1000000000,IF(INDEX('calcA'!$D$60:$EQ$99,$B23,73)*IF($W23=1,FV23+ACK23,FV23)=1,IF(AND($E23=2,IF($W23=1,AHZ23,LK23)=0),1000000000,IF($V23=1,INDEX('calcA'!$D$130:$EQ$169,$B23,73)+IF(AND($E23=1,LK23=0),25,0),INDEX('calcA'!BX$110:BX$114,$F23+1)+IF(AND($E23=1,LK23=0),1000,0)+IF($H23=1,INDEX('calcA'!$D$180:$EQ$219,$B23,73)*500,0)-IF(AND($U23=1,'calcA'!BX$117=1,FW23=0),300,0))),1000000000))</f>
        <v/>
      </c>
      <c r="RA23">
        <f>IF($B23=0,1000000000,IF(INDEX('calcA'!$D$60:$EQ$99,$B23,74)*IF($W23=1,FW23+ACL23,FW23)=1,IF(AND($E23=2,IF($W23=1,AIA23,LL23)=0),1000000000,IF($V23=1,INDEX('calcA'!$D$130:$EQ$169,$B23,74)+IF(AND($E23=1,LL23=0),25,0),INDEX('calcA'!BY$110:BY$114,$F23+1)+IF(AND($E23=1,LL23=0),1000,0)+IF($H23=1,INDEX('calcA'!$D$180:$EQ$219,$B23,74)*500,0)-IF(AND('calcA'!BX$117=1,WV23&gt;0),300,0)-IF(AND($U23=1,'calcA'!BY$117=1,FX23=0),300,0))),1000000000))</f>
        <v/>
      </c>
      <c r="RB23">
        <f>IF($B23=0,1000000000,IF(INDEX('calcA'!$D$60:$EQ$99,$B23,75)*IF($W23=1,FX23+ACM23,FX23)=1,IF(AND($E23=2,IF($W23=1,AIB23,LM23)=0),1000000000,IF($V23=1,INDEX('calcA'!$D$130:$EQ$169,$B23,75)+IF(AND($E23=1,LM23=0),25,0),INDEX('calcA'!BZ$110:BZ$114,$F23+1)+IF(AND($E23=1,LM23=0),1000,0)+IF($H23=1,INDEX('calcA'!$D$180:$EQ$219,$B23,75)*500,0)-IF(AND('calcA'!BY$117=1,WW23&gt;0),300,0)-IF(AND($U23=1,'calcA'!BZ$117=1,FY23=0),300,0))),1000000000))</f>
        <v/>
      </c>
      <c r="RC23">
        <f>IF($B23=0,1000000000,IF(INDEX('calcA'!$D$60:$EQ$99,$B23,76)*IF($W23=1,FY23+ACN23,FY23)=1,IF(AND($E23=2,IF($W23=1,AIC23,LN23)=0),1000000000,IF($V23=1,INDEX('calcA'!$D$130:$EQ$169,$B23,76)+IF(AND($E23=1,LN23=0),25,0),INDEX('calcA'!CA$110:CA$114,$F23+1)+IF(AND($E23=1,LN23=0),1000,0)+IF($H23=1,INDEX('calcA'!$D$180:$EQ$219,$B23,76)*500,0)-IF(AND('calcA'!BZ$117=1,WX23&gt;0),300,0)-IF(AND($U23=1,'calcA'!CA$117=1,FZ23=0),300,0))),1000000000))</f>
        <v/>
      </c>
      <c r="RD23">
        <f>IF($B23=0,1000000000,IF(INDEX('calcA'!$D$60:$EQ$99,$B23,77)*IF($W23=1,FZ23+ACO23,FZ23)=1,IF(AND($E23=2,IF($W23=1,AID23,LO23)=0),1000000000,IF($V23=1,INDEX('calcA'!$D$130:$EQ$169,$B23,77)+IF(AND($E23=1,LO23=0),25,0),INDEX('calcA'!CB$110:CB$114,$F23+1)+IF(AND($E23=1,LO23=0),1000,0)+IF($H23=1,INDEX('calcA'!$D$180:$EQ$219,$B23,77)*500,0)-IF(AND('calcA'!CA$117=1,WY23&gt;0),300,0)-IF(AND($U23=1,'calcA'!CB$117=1,GA23=0),300,0))),1000000000))</f>
        <v/>
      </c>
      <c r="RE23">
        <f>IF($B23=0,1000000000,IF(INDEX('calcA'!$D$60:$EQ$99,$B23,78)*IF($W23=1,GA23+ACP23,GA23)=1,IF(AND($E23=2,IF($W23=1,AIE23,LP23)=0),1000000000,IF($V23=1,INDEX('calcA'!$D$130:$EQ$169,$B23,78)+IF(AND($E23=1,LP23=0),25,0),INDEX('calcA'!CC$110:CC$114,$F23+1)+IF(AND($E23=1,LP23=0),1000,0)+IF($H23=1,INDEX('calcA'!$D$180:$EQ$219,$B23,78)*500,0)-IF(AND('calcA'!CB$117=1,WZ23&gt;0),300,0)-IF(AND($U23=1,'calcA'!CC$117=1,GB23=0),300,0))),1000000000))</f>
        <v/>
      </c>
      <c r="RF23">
        <f>IF($B23=0,1000000000,IF(INDEX('calcA'!$D$60:$EQ$99,$B23,79)*IF($W23=1,GB23+ACQ23,GB23)=1,IF(AND($E23=2,IF($W23=1,AIF23,LQ23)=0),1000000000,IF($V23=1,INDEX('calcA'!$D$130:$EQ$169,$B23,79)+IF(AND($E23=1,LQ23=0),25,0),INDEX('calcA'!CD$110:CD$114,$F23+1)+IF(AND($E23=1,LQ23=0),1000,0)+IF($H23=1,INDEX('calcA'!$D$180:$EQ$219,$B23,79)*500,0)-IF(AND('calcA'!CC$117=1,XA23&gt;0),300,0)-IF(AND($U23=1,'calcA'!CD$117=1,GC23=0),300,0))),1000000000))</f>
        <v/>
      </c>
      <c r="RG23">
        <f>IF($B23=0,1000000000,IF(INDEX('calcA'!$D$60:$EQ$99,$B23,80)*IF($W23=1,GC23+ACR23,GC23)=1,IF(AND($E23=2,IF($W23=1,AIG23,LR23)=0),1000000000,IF($V23=1,INDEX('calcA'!$D$130:$EQ$169,$B23,80)+IF(AND($E23=1,LR23=0),25,0),INDEX('calcA'!CE$110:CE$114,$F23+1)+IF(AND($E23=1,LR23=0),1000,0)+IF($H23=1,INDEX('calcA'!$D$180:$EQ$219,$B23,80)*500,0)-IF(AND('calcA'!CD$117=1,XB23&gt;0),300,0)-IF(AND($U23=1,'calcA'!CE$117=1,GD23=0),300,0))),1000000000))</f>
        <v/>
      </c>
      <c r="RH23">
        <f>IF($B23=0,1000000000,IF(INDEX('calcA'!$D$60:$EQ$99,$B23,81)*IF($W23=1,GD23+ACS23,GD23)=1,IF(AND($E23=2,IF($W23=1,AIH23,LS23)=0),1000000000,IF($V23=1,INDEX('calcA'!$D$130:$EQ$169,$B23,81)+IF(AND($E23=1,LS23=0),25,0),INDEX('calcA'!CF$110:CF$114,$F23+1)+IF(AND($E23=1,LS23=0),1000,0)+IF($H23=1,INDEX('calcA'!$D$180:$EQ$219,$B23,81)*500,0)-IF(AND('calcA'!CE$117=1,XC23&gt;0),300,0)-IF(AND($U23=1,'calcA'!CF$117=1,GE23=0),300,0))),1000000000))</f>
        <v/>
      </c>
      <c r="RI23">
        <f>IF($B23=0,1000000000,IF(INDEX('calcA'!$D$60:$EQ$99,$B23,82)*IF($W23=1,GE23+ACT23,GE23)=1,IF(AND($E23=2,IF($W23=1,AII23,LT23)=0),1000000000,IF($V23=1,INDEX('calcA'!$D$130:$EQ$169,$B23,82)+IF(AND($E23=1,LT23=0),25,0),INDEX('calcA'!CG$110:CG$114,$F23+1)+IF(AND($E23=1,LT23=0),1000,0)+IF($H23=1,INDEX('calcA'!$D$180:$EQ$219,$B23,82)*500,0)-IF(AND('calcA'!CF$117=1,XD23&gt;0),300,0)-IF(AND($U23=1,'calcA'!CG$117=1,GF23=0),300,0))),1000000000))</f>
        <v/>
      </c>
      <c r="RJ23">
        <f>IF($B23=0,1000000000,IF(INDEX('calcA'!$D$60:$EQ$99,$B23,83)*IF($W23=1,GF23+ACU23,GF23)=1,IF(AND($E23=2,IF($W23=1,AIJ23,LU23)=0),1000000000,IF($V23=1,INDEX('calcA'!$D$130:$EQ$169,$B23,83)+IF(AND($E23=1,LU23=0),25,0),INDEX('calcA'!CH$110:CH$114,$F23+1)+IF(AND($E23=1,LU23=0),1000,0)+IF($H23=1,INDEX('calcA'!$D$180:$EQ$219,$B23,83)*500,0)-IF(AND('calcA'!CG$117=1,XE23&gt;0),300,0)-IF(AND($U23=1,'calcA'!CH$117=1,GG23=0),300,0))),1000000000))</f>
        <v/>
      </c>
      <c r="RK23">
        <f>IF($B23=0,1000000000,IF(INDEX('calcA'!$D$60:$EQ$99,$B23,84)*IF($W23=1,GG23+ACV23,GG23)=1,IF(AND($E23=2,IF($W23=1,AIK23,LV23)=0),1000000000,IF($V23=1,INDEX('calcA'!$D$130:$EQ$169,$B23,84)+IF(AND($E23=1,LV23=0),25,0),INDEX('calcA'!CI$110:CI$114,$F23+1)+IF(AND($E23=1,LV23=0),1000,0)+IF($H23=1,INDEX('calcA'!$D$180:$EQ$219,$B23,84)*500,0)-IF(AND('calcA'!CH$117=1,XF23&gt;0),300,0)-IF(AND($U23=1,'calcA'!CI$117=1,GH23=0),300,0))),1000000000))</f>
        <v/>
      </c>
      <c r="RL23">
        <f>IF($B23=0,1000000000,IF(INDEX('calcA'!$D$60:$EQ$99,$B23,85)*IF($W23=1,GH23+ACW23,GH23)=1,IF(AND($E23=2,IF($W23=1,AIL23,LW23)=0),1000000000,IF($V23=1,INDEX('calcA'!$D$130:$EQ$169,$B23,85)+IF(AND($E23=1,LW23=0),25,0),INDEX('calcA'!CJ$110:CJ$114,$F23+1)+IF(AND($E23=1,LW23=0),1000,0)+IF($H23=1,INDEX('calcA'!$D$180:$EQ$219,$B23,85)*500,0)-IF(AND('calcA'!CI$117=1,XG23&gt;0),300,0)-IF(AND($U23=1,'calcA'!CJ$117=1,GI23=0),300,0))),1000000000))</f>
        <v/>
      </c>
      <c r="RM23">
        <f>IF($B23=0,1000000000,IF(INDEX('calcA'!$D$60:$EQ$99,$B23,86)*IF($W23=1,GI23+ACX23,GI23)=1,IF(AND($E23=2,IF($W23=1,AIM23,LX23)=0),1000000000,IF($V23=1,INDEX('calcA'!$D$130:$EQ$169,$B23,86)+IF(AND($E23=1,LX23=0),25,0),INDEX('calcA'!CK$110:CK$114,$F23+1)+IF(AND($E23=1,LX23=0),1000,0)+IF($H23=1,INDEX('calcA'!$D$180:$EQ$219,$B23,86)*500,0)-IF(AND('calcA'!CJ$117=1,XH23&gt;0),300,0)-IF(AND($U23=1,'calcA'!CK$117=1,GJ23=0),300,0))),1000000000))</f>
        <v/>
      </c>
      <c r="RN23">
        <f>IF($B23=0,1000000000,IF(INDEX('calcA'!$D$60:$EQ$99,$B23,87)*IF($W23=1,GJ23+ACY23,GJ23)=1,IF(AND($E23=2,IF($W23=1,AIN23,LY23)=0),1000000000,IF($V23=1,INDEX('calcA'!$D$130:$EQ$169,$B23,87)+IF(AND($E23=1,LY23=0),25,0),INDEX('calcA'!CL$110:CL$114,$F23+1)+IF(AND($E23=1,LY23=0),1000,0)+IF($H23=1,INDEX('calcA'!$D$180:$EQ$219,$B23,87)*500,0)-IF(AND('calcA'!CK$117=1,XI23&gt;0),300,0)-IF(AND($U23=1,'calcA'!CL$117=1,GK23=0),300,0))),1000000000))</f>
        <v/>
      </c>
      <c r="RO23">
        <f>IF($B23=0,1000000000,IF(INDEX('calcA'!$D$60:$EQ$99,$B23,88)*IF($W23=1,GK23+ACZ23,GK23)=1,IF(AND($E23=2,IF($W23=1,AIO23,LZ23)=0),1000000000,IF($V23=1,INDEX('calcA'!$D$130:$EQ$169,$B23,88)+IF(AND($E23=1,LZ23=0),25,0),INDEX('calcA'!CM$110:CM$114,$F23+1)+IF(AND($E23=1,LZ23=0),1000,0)+IF($H23=1,INDEX('calcA'!$D$180:$EQ$219,$B23,88)*500,0)-IF(AND('calcA'!CL$117=1,XJ23&gt;0),300,0)-IF(AND($U23=1,'calcA'!CM$117=1,GL23=0),300,0))),1000000000))</f>
        <v/>
      </c>
      <c r="RP23">
        <f>IF($B23=0,1000000000,IF(INDEX('calcA'!$D$60:$EQ$99,$B23,89)*IF($W23=1,GL23+ADA23,GL23)=1,IF(AND($E23=2,IF($W23=1,AIP23,MA23)=0),1000000000,IF($V23=1,INDEX('calcA'!$D$130:$EQ$169,$B23,89)+IF(AND($E23=1,MA23=0),25,0),INDEX('calcA'!CN$110:CN$114,$F23+1)+IF(AND($E23=1,MA23=0),1000,0)+IF($H23=1,INDEX('calcA'!$D$180:$EQ$219,$B23,89)*500,0)-IF(AND('calcA'!CM$117=1,XK23&gt;0),300,0)-IF(AND($U23=1,'calcA'!CN$117=1,GM23=0),300,0))),1000000000))</f>
        <v/>
      </c>
      <c r="RQ23">
        <f>IF($B23=0,1000000000,IF(INDEX('calcA'!$D$60:$EQ$99,$B23,90)*IF($W23=1,GM23+ADB23,GM23)=1,IF(AND($E23=2,IF($W23=1,AIQ23,MB23)=0),1000000000,IF($V23=1,INDEX('calcA'!$D$130:$EQ$169,$B23,90)+IF(AND($E23=1,MB23=0),25,0),INDEX('calcA'!CO$110:CO$114,$F23+1)+IF(AND($E23=1,MB23=0),1000,0)+IF($H23=1,INDEX('calcA'!$D$180:$EQ$219,$B23,90)*500,0)-IF(AND('calcA'!CN$117=1,XL23&gt;0),300,0)-IF(AND($U23=1,'calcA'!CO$117=1,GN23=0),300,0))),1000000000))</f>
        <v/>
      </c>
      <c r="RR23">
        <f>IF($B23=0,1000000000,IF(INDEX('calcA'!$D$60:$EQ$99,$B23,91)*IF($W23=1,GN23+ADC23,GN23)=1,IF(AND($E23=2,IF($W23=1,AIR23,MC23)=0),1000000000,IF($V23=1,INDEX('calcA'!$D$130:$EQ$169,$B23,91)+IF(AND($E23=1,MC23=0),25,0),INDEX('calcA'!CP$110:CP$114,$F23+1)+IF(AND($E23=1,MC23=0),1000,0)+IF($H23=1,INDEX('calcA'!$D$180:$EQ$219,$B23,91)*500,0)-IF(AND('calcA'!CO$117=1,XM23&gt;0),300,0)-IF(AND($U23=1,'calcA'!CP$117=1,GO23=0),300,0))),1000000000))</f>
        <v/>
      </c>
      <c r="RS23">
        <f>IF($B23=0,1000000000,IF(INDEX('calcA'!$D$60:$EQ$99,$B23,92)*IF($W23=1,GO23+ADD23,GO23)=1,IF(AND($E23=2,IF($W23=1,AIS23,MD23)=0),1000000000,IF($V23=1,INDEX('calcA'!$D$130:$EQ$169,$B23,92)+IF(AND($E23=1,MD23=0),25,0),INDEX('calcA'!CQ$110:CQ$114,$F23+1)+IF(AND($E23=1,MD23=0),1000,0)+IF($H23=1,INDEX('calcA'!$D$180:$EQ$219,$B23,92)*500,0)-IF(AND('calcA'!CP$117=1,XN23&gt;0),300,0)-IF(AND($U23=1,'calcA'!CQ$117=1,GP23=0),300,0))),1000000000))</f>
        <v/>
      </c>
      <c r="RT23">
        <f>IF($B23=0,1000000000,IF(INDEX('calcA'!$D$60:$EQ$99,$B23,93)*IF($W23=1,GP23+ADE23,GP23)=1,IF(AND($E23=2,IF($W23=1,AIT23,ME23)=0),1000000000,IF($V23=1,INDEX('calcA'!$D$130:$EQ$169,$B23,93)+IF(AND($E23=1,ME23=0),25,0),INDEX('calcA'!CR$110:CR$114,$F23+1)+IF(AND($E23=1,ME23=0),1000,0)+IF($H23=1,INDEX('calcA'!$D$180:$EQ$219,$B23,93)*500,0)-IF(AND('calcA'!CQ$117=1,XO23&gt;0),300,0)-IF(AND($U23=1,'calcA'!CR$117=1,GQ23=0),300,0))),1000000000))</f>
        <v/>
      </c>
      <c r="RU23">
        <f>IF($B23=0,1000000000,IF(INDEX('calcA'!$D$60:$EQ$99,$B23,94)*IF($W23=1,GQ23+ADF23,GQ23)=1,IF(AND($E23=2,IF($W23=1,AIU23,MF23)=0),1000000000,IF($V23=1,INDEX('calcA'!$D$130:$EQ$169,$B23,94)+IF(AND($E23=1,MF23=0),25,0),INDEX('calcA'!CS$110:CS$114,$F23+1)+IF(AND($E23=1,MF23=0),1000,0)+IF($H23=1,INDEX('calcA'!$D$180:$EQ$219,$B23,94)*500,0)-IF(AND('calcA'!CR$117=1,XP23&gt;0),300,0)-IF(AND($U23=1,'calcA'!CS$117=1,GR23=0),300,0))),1000000000))</f>
        <v/>
      </c>
      <c r="RV23">
        <f>IF($B23=0,1000000000,IF(INDEX('calcA'!$D$60:$EQ$99,$B23,95)*IF($W23=1,GR23+ADG23,GR23)=1,IF(AND($E23=2,IF($W23=1,AIV23,MG23)=0),1000000000,IF($V23=1,INDEX('calcA'!$D$130:$EQ$169,$B23,95)+IF(AND($E23=1,MG23=0),25,0),INDEX('calcA'!CT$110:CT$114,$F23+1)+IF(AND($E23=1,MG23=0),1000,0)+IF($H23=1,INDEX('calcA'!$D$180:$EQ$219,$B23,95)*500,0)-IF(AND('calcA'!CS$117=1,XQ23&gt;0),300,0)-IF(AND($U23=1,'calcA'!CT$117=1,GS23=0),300,0))),1000000000))</f>
        <v/>
      </c>
      <c r="RW23">
        <f>IF($B23=0,1000000000,IF(INDEX('calcA'!$D$60:$EQ$99,$B23,96)*IF($W23=1,GS23+ADH23,GS23)=1,IF(AND($E23=2,IF($W23=1,AIW23,MH23)=0),1000000000,IF($V23=1,INDEX('calcA'!$D$130:$EQ$169,$B23,96)+IF(AND($E23=1,MH23=0),25,0),INDEX('calcA'!CU$110:CU$114,$F23+1)+IF(AND($E23=1,MH23=0),1000,0)+IF($H23=1,INDEX('calcA'!$D$180:$EQ$219,$B23,96)*500,0)-IF(AND('calcA'!CT$117=1,XR23&gt;0),300,0))),1000000000))</f>
        <v/>
      </c>
      <c r="RX23">
        <f>IF($B23=0,1000000000,IF(INDEX('calcA'!$D$60:$EQ$99,$B23,97)*IF($W23=1,GT23+ADI23,GT23)=1,IF(AND($E23=2,IF($W23=1,AIX23,MI23)=0),1000000000,IF($V23=1,INDEX('calcA'!$D$130:$EQ$169,$B23,97)+IF(AND($E23=1,MI23=0),25,0),INDEX('calcA'!CV$110:CV$114,$F23+1)+IF(AND($E23=1,MI23=0),1000,0)+IF($H23=1,INDEX('calcA'!$D$180:$EQ$219,$B23,97)*500,0)-IF(AND($U23=1,'calcA'!CV$117=1,GU23=0),300,0))),1000000000))</f>
        <v/>
      </c>
      <c r="RY23">
        <f>IF($B23=0,1000000000,IF(INDEX('calcA'!$D$60:$EQ$99,$B23,98)*IF($W23=1,GU23+ADJ23,GU23)=1,IF(AND($E23=2,IF($W23=1,AIY23,MJ23)=0),1000000000,IF($V23=1,INDEX('calcA'!$D$130:$EQ$169,$B23,98)+IF(AND($E23=1,MJ23=0),25,0),INDEX('calcA'!CW$110:CW$114,$F23+1)+IF(AND($E23=1,MJ23=0),1000,0)+IF($H23=1,INDEX('calcA'!$D$180:$EQ$219,$B23,98)*500,0)-IF(AND('calcA'!CV$117=1,XT23&gt;0),300,0)-IF(AND($U23=1,'calcA'!CW$117=1,GV23=0),300,0))),1000000000))</f>
        <v/>
      </c>
      <c r="RZ23">
        <f>IF($B23=0,1000000000,IF(INDEX('calcA'!$D$60:$EQ$99,$B23,99)*IF($W23=1,GV23+ADK23,GV23)=1,IF(AND($E23=2,IF($W23=1,AIZ23,MK23)=0),1000000000,IF($V23=1,INDEX('calcA'!$D$130:$EQ$169,$B23,99)+IF(AND($E23=1,MK23=0),25,0),INDEX('calcA'!CX$110:CX$114,$F23+1)+IF(AND($E23=1,MK23=0),1000,0)+IF($H23=1,INDEX('calcA'!$D$180:$EQ$219,$B23,99)*500,0)-IF(AND('calcA'!CW$117=1,XU23&gt;0),300,0)-IF(AND($U23=1,'calcA'!CX$117=1,GW23=0),300,0))),1000000000))</f>
        <v/>
      </c>
      <c r="SA23">
        <f>IF($B23=0,1000000000,IF(INDEX('calcA'!$D$60:$EQ$99,$B23,100)*IF($W23=1,GW23+ADL23,GW23)=1,IF(AND($E23=2,IF($W23=1,AJA23,ML23)=0),1000000000,IF($V23=1,INDEX('calcA'!$D$130:$EQ$169,$B23,100)+IF(AND($E23=1,ML23=0),25,0),INDEX('calcA'!CY$110:CY$114,$F23+1)+IF(AND($E23=1,ML23=0),1000,0)+IF($H23=1,INDEX('calcA'!$D$180:$EQ$219,$B23,100)*500,0)-IF(AND('calcA'!CX$117=1,XV23&gt;0),300,0)-IF(AND($U23=1,'calcA'!CY$117=1,GX23=0),300,0))),1000000000))</f>
        <v/>
      </c>
      <c r="SB23">
        <f>IF($B23=0,1000000000,IF(INDEX('calcA'!$D$60:$EQ$99,$B23,101)*IF($W23=1,GX23+ADM23,GX23)=1,IF(AND($E23=2,IF($W23=1,AJB23,MM23)=0),1000000000,IF($V23=1,INDEX('calcA'!$D$130:$EQ$169,$B23,101)+IF(AND($E23=1,MM23=0),25,0),INDEX('calcA'!CZ$110:CZ$114,$F23+1)+IF(AND($E23=1,MM23=0),1000,0)+IF($H23=1,INDEX('calcA'!$D$180:$EQ$219,$B23,101)*500,0)-IF(AND('calcA'!CY$117=1,XW23&gt;0),300,0)-IF(AND($U23=1,'calcA'!CZ$117=1,GY23=0),300,0))),1000000000))</f>
        <v/>
      </c>
      <c r="SC23">
        <f>IF($B23=0,1000000000,IF(INDEX('calcA'!$D$60:$EQ$99,$B23,102)*IF($W23=1,GY23+ADN23,GY23)=1,IF(AND($E23=2,IF($W23=1,AJC23,MN23)=0),1000000000,IF($V23=1,INDEX('calcA'!$D$130:$EQ$169,$B23,102)+IF(AND($E23=1,MN23=0),25,0),INDEX('calcA'!DA$110:DA$114,$F23+1)+IF(AND($E23=1,MN23=0),1000,0)+IF($H23=1,INDEX('calcA'!$D$180:$EQ$219,$B23,102)*500,0)-IF(AND('calcA'!CZ$117=1,XX23&gt;0),300,0)-IF(AND($U23=1,'calcA'!DA$117=1,GZ23=0),300,0))),1000000000))</f>
        <v/>
      </c>
      <c r="SD23">
        <f>IF($B23=0,1000000000,IF(INDEX('calcA'!$D$60:$EQ$99,$B23,103)*IF($W23=1,GZ23+ADO23,GZ23)=1,IF(AND($E23=2,IF($W23=1,AJD23,MO23)=0),1000000000,IF($V23=1,INDEX('calcA'!$D$130:$EQ$169,$B23,103)+IF(AND($E23=1,MO23=0),25,0),INDEX('calcA'!DB$110:DB$114,$F23+1)+IF(AND($E23=1,MO23=0),1000,0)+IF($H23=1,INDEX('calcA'!$D$180:$EQ$219,$B23,103)*500,0)-IF(AND('calcA'!DA$117=1,XY23&gt;0),300,0)-IF(AND($U23=1,'calcA'!DB$117=1,HA23=0),300,0))),1000000000))</f>
        <v/>
      </c>
      <c r="SE23">
        <f>IF($B23=0,1000000000,IF(INDEX('calcA'!$D$60:$EQ$99,$B23,104)*IF($W23=1,HA23+ADP23,HA23)=1,IF(AND($E23=2,IF($W23=1,AJE23,MP23)=0),1000000000,IF($V23=1,INDEX('calcA'!$D$130:$EQ$169,$B23,104)+IF(AND($E23=1,MP23=0),25,0),INDEX('calcA'!DC$110:DC$114,$F23+1)+IF(AND($E23=1,MP23=0),1000,0)+IF($H23=1,INDEX('calcA'!$D$180:$EQ$219,$B23,104)*500,0)-IF(AND('calcA'!DB$117=1,XZ23&gt;0),300,0)-IF(AND($U23=1,'calcA'!DC$117=1,HB23=0),300,0))),1000000000))</f>
        <v/>
      </c>
      <c r="SF23">
        <f>IF($B23=0,1000000000,IF(INDEX('calcA'!$D$60:$EQ$99,$B23,105)*IF($W23=1,HB23+ADQ23,HB23)=1,IF(AND($E23=2,IF($W23=1,AJF23,MQ23)=0),1000000000,IF($V23=1,INDEX('calcA'!$D$130:$EQ$169,$B23,105)+IF(AND($E23=1,MQ23=0),25,0),INDEX('calcA'!DD$110:DD$114,$F23+1)+IF(AND($E23=1,MQ23=0),1000,0)+IF($H23=1,INDEX('calcA'!$D$180:$EQ$219,$B23,105)*500,0)-IF(AND('calcA'!DC$117=1,YA23&gt;0),300,0)-IF(AND($U23=1,'calcA'!DD$117=1,HC23=0),300,0))),1000000000))</f>
        <v/>
      </c>
      <c r="SG23">
        <f>IF($B23=0,1000000000,IF(INDEX('calcA'!$D$60:$EQ$99,$B23,106)*IF($W23=1,HC23+ADR23,HC23)=1,IF(AND($E23=2,IF($W23=1,AJG23,MR23)=0),1000000000,IF($V23=1,INDEX('calcA'!$D$130:$EQ$169,$B23,106)+IF(AND($E23=1,MR23=0),25,0),INDEX('calcA'!DE$110:DE$114,$F23+1)+IF(AND($E23=1,MR23=0),1000,0)+IF($H23=1,INDEX('calcA'!$D$180:$EQ$219,$B23,106)*500,0)-IF(AND('calcA'!DD$117=1,YB23&gt;0),300,0)-IF(AND($U23=1,'calcA'!DE$117=1,HD23=0),300,0))),1000000000))</f>
        <v/>
      </c>
      <c r="SH23">
        <f>IF($B23=0,1000000000,IF(INDEX('calcA'!$D$60:$EQ$99,$B23,107)*IF($W23=1,HD23+ADS23,HD23)=1,IF(AND($E23=2,IF($W23=1,AJH23,MS23)=0),1000000000,IF($V23=1,INDEX('calcA'!$D$130:$EQ$169,$B23,107)+IF(AND($E23=1,MS23=0),25,0),INDEX('calcA'!DF$110:DF$114,$F23+1)+IF(AND($E23=1,MS23=0),1000,0)+IF($H23=1,INDEX('calcA'!$D$180:$EQ$219,$B23,107)*500,0)-IF(AND('calcA'!DE$117=1,YC23&gt;0),300,0)-IF(AND($U23=1,'calcA'!DF$117=1,HE23=0),300,0))),1000000000))</f>
        <v/>
      </c>
      <c r="SI23">
        <f>IF($B23=0,1000000000,IF(INDEX('calcA'!$D$60:$EQ$99,$B23,108)*IF($W23=1,HE23+ADT23,HE23)=1,IF(AND($E23=2,IF($W23=1,AJI23,MT23)=0),1000000000,IF($V23=1,INDEX('calcA'!$D$130:$EQ$169,$B23,108)+IF(AND($E23=1,MT23=0),25,0),INDEX('calcA'!DG$110:DG$114,$F23+1)+IF(AND($E23=1,MT23=0),1000,0)+IF($H23=1,INDEX('calcA'!$D$180:$EQ$219,$B23,108)*500,0)-IF(AND('calcA'!DF$117=1,YD23&gt;0),300,0)-IF(AND($U23=1,'calcA'!DG$117=1,HF23=0),300,0))),1000000000))</f>
        <v/>
      </c>
      <c r="SJ23">
        <f>IF($B23=0,1000000000,IF(INDEX('calcA'!$D$60:$EQ$99,$B23,109)*IF($W23=1,HF23+ADU23,HF23)=1,IF(AND($E23=2,IF($W23=1,AJJ23,MU23)=0),1000000000,IF($V23=1,INDEX('calcA'!$D$130:$EQ$169,$B23,109)+IF(AND($E23=1,MU23=0),25,0),INDEX('calcA'!DH$110:DH$114,$F23+1)+IF(AND($E23=1,MU23=0),1000,0)+IF($H23=1,INDEX('calcA'!$D$180:$EQ$219,$B23,109)*500,0)-IF(AND('calcA'!DG$117=1,YE23&gt;0),300,0)-IF(AND($U23=1,'calcA'!DH$117=1,HG23=0),300,0))),1000000000))</f>
        <v/>
      </c>
      <c r="SK23">
        <f>IF($B23=0,1000000000,IF(INDEX('calcA'!$D$60:$EQ$99,$B23,110)*IF($W23=1,HG23+ADV23,HG23)=1,IF(AND($E23=2,IF($W23=1,AJK23,MV23)=0),1000000000,IF($V23=1,INDEX('calcA'!$D$130:$EQ$169,$B23,110)+IF(AND($E23=1,MV23=0),25,0),INDEX('calcA'!DI$110:DI$114,$F23+1)+IF(AND($E23=1,MV23=0),1000,0)+IF($H23=1,INDEX('calcA'!$D$180:$EQ$219,$B23,110)*500,0)-IF(AND('calcA'!DH$117=1,YF23&gt;0),300,0)-IF(AND($U23=1,'calcA'!DI$117=1,HH23=0),300,0))),1000000000))</f>
        <v/>
      </c>
      <c r="SL23">
        <f>IF($B23=0,1000000000,IF(INDEX('calcA'!$D$60:$EQ$99,$B23,111)*IF($W23=1,HH23+ADW23,HH23)=1,IF(AND($E23=2,IF($W23=1,AJL23,MW23)=0),1000000000,IF($V23=1,INDEX('calcA'!$D$130:$EQ$169,$B23,111)+IF(AND($E23=1,MW23=0),25,0),INDEX('calcA'!DJ$110:DJ$114,$F23+1)+IF(AND($E23=1,MW23=0),1000,0)+IF($H23=1,INDEX('calcA'!$D$180:$EQ$219,$B23,111)*500,0)-IF(AND('calcA'!DI$117=1,YG23&gt;0),300,0)-IF(AND($U23=1,'calcA'!DJ$117=1,HI23=0),300,0))),1000000000))</f>
        <v/>
      </c>
      <c r="SM23">
        <f>IF($B23=0,1000000000,IF(INDEX('calcA'!$D$60:$EQ$99,$B23,112)*IF($W23=1,HI23+ADX23,HI23)=1,IF(AND($E23=2,IF($W23=1,AJM23,MX23)=0),1000000000,IF($V23=1,INDEX('calcA'!$D$130:$EQ$169,$B23,112)+IF(AND($E23=1,MX23=0),25,0),INDEX('calcA'!DK$110:DK$114,$F23+1)+IF(AND($E23=1,MX23=0),1000,0)+IF($H23=1,INDEX('calcA'!$D$180:$EQ$219,$B23,112)*500,0)-IF(AND('calcA'!DJ$117=1,YH23&gt;0),300,0)-IF(AND($U23=1,'calcA'!DK$117=1,HJ23=0),300,0))),1000000000))</f>
        <v/>
      </c>
      <c r="SN23">
        <f>IF($B23=0,1000000000,IF(INDEX('calcA'!$D$60:$EQ$99,$B23,113)*IF($W23=1,HJ23+ADY23,HJ23)=1,IF(AND($E23=2,IF($W23=1,AJN23,MY23)=0),1000000000,IF($V23=1,INDEX('calcA'!$D$130:$EQ$169,$B23,113)+IF(AND($E23=1,MY23=0),25,0),INDEX('calcA'!DL$110:DL$114,$F23+1)+IF(AND($E23=1,MY23=0),1000,0)+IF($H23=1,INDEX('calcA'!$D$180:$EQ$219,$B23,113)*500,0)-IF(AND('calcA'!DK$117=1,YI23&gt;0),300,0)-IF(AND($U23=1,'calcA'!DL$117=1,HK23=0),300,0))),1000000000))</f>
        <v/>
      </c>
      <c r="SO23">
        <f>IF($B23=0,1000000000,IF(INDEX('calcA'!$D$60:$EQ$99,$B23,114)*IF($W23=1,HK23+ADZ23,HK23)=1,IF(AND($E23=2,IF($W23=1,AJO23,MZ23)=0),1000000000,IF($V23=1,INDEX('calcA'!$D$130:$EQ$169,$B23,114)+IF(AND($E23=1,MZ23=0),25,0),INDEX('calcA'!DM$110:DM$114,$F23+1)+IF(AND($E23=1,MZ23=0),1000,0)+IF($H23=1,INDEX('calcA'!$D$180:$EQ$219,$B23,114)*500,0)-IF(AND('calcA'!DL$117=1,YJ23&gt;0),300,0)-IF(AND($U23=1,'calcA'!DM$117=1,HL23=0),300,0))),1000000000))</f>
        <v/>
      </c>
      <c r="SP23">
        <f>IF($B23=0,1000000000,IF(INDEX('calcA'!$D$60:$EQ$99,$B23,115)*IF($W23=1,HL23+AEA23,HL23)=1,IF(AND($E23=2,IF($W23=1,AJP23,NA23)=0),1000000000,IF($V23=1,INDEX('calcA'!$D$130:$EQ$169,$B23,115)+IF(AND($E23=1,NA23=0),25,0),INDEX('calcA'!DN$110:DN$114,$F23+1)+IF(AND($E23=1,NA23=0),1000,0)+IF($H23=1,INDEX('calcA'!$D$180:$EQ$219,$B23,115)*500,0)-IF(AND('calcA'!DM$117=1,YK23&gt;0),300,0)-IF(AND($U23=1,'calcA'!DN$117=1,HM23=0),300,0))),1000000000))</f>
        <v/>
      </c>
      <c r="SQ23">
        <f>IF($B23=0,1000000000,IF(INDEX('calcA'!$D$60:$EQ$99,$B23,116)*IF($W23=1,HM23+AEB23,HM23)=1,IF(AND($E23=2,IF($W23=1,AJQ23,NB23)=0),1000000000,IF($V23=1,INDEX('calcA'!$D$130:$EQ$169,$B23,116)+IF(AND($E23=1,NB23=0),25,0),INDEX('calcA'!DO$110:DO$114,$F23+1)+IF(AND($E23=1,NB23=0),1000,0)+IF($H23=1,INDEX('calcA'!$D$180:$EQ$219,$B23,116)*500,0)-IF(AND('calcA'!DN$117=1,YL23&gt;0),300,0)-IF(AND($U23=1,'calcA'!DO$117=1,HN23=0),300,0))),1000000000))</f>
        <v/>
      </c>
      <c r="SR23">
        <f>IF($B23=0,1000000000,IF(INDEX('calcA'!$D$60:$EQ$99,$B23,117)*IF($W23=1,HN23+AEC23,HN23)=1,IF(AND($E23=2,IF($W23=1,AJR23,NC23)=0),1000000000,IF($V23=1,INDEX('calcA'!$D$130:$EQ$169,$B23,117)+IF(AND($E23=1,NC23=0),25,0),INDEX('calcA'!DP$110:DP$114,$F23+1)+IF(AND($E23=1,NC23=0),1000,0)+IF($H23=1,INDEX('calcA'!$D$180:$EQ$219,$B23,117)*500,0)-IF(AND('calcA'!DO$117=1,YM23&gt;0),300,0)-IF(AND($U23=1,'calcA'!DP$117=1,HO23=0),300,0))),1000000000))</f>
        <v/>
      </c>
      <c r="SS23">
        <f>IF($B23=0,1000000000,IF(INDEX('calcA'!$D$60:$EQ$99,$B23,118)*IF($W23=1,HO23+AED23,HO23)=1,IF(AND($E23=2,IF($W23=1,AJS23,ND23)=0),1000000000,IF($V23=1,INDEX('calcA'!$D$130:$EQ$169,$B23,118)+IF(AND($E23=1,ND23=0),25,0),INDEX('calcA'!DQ$110:DQ$114,$F23+1)+IF(AND($E23=1,ND23=0),1000,0)+IF($H23=1,INDEX('calcA'!$D$180:$EQ$219,$B23,118)*500,0)-IF(AND('calcA'!DP$117=1,YN23&gt;0),300,0)-IF(AND($U23=1,'calcA'!DQ$117=1,HP23=0),300,0))),1000000000))</f>
        <v/>
      </c>
      <c r="ST23">
        <f>IF($B23=0,1000000000,IF(INDEX('calcA'!$D$60:$EQ$99,$B23,119)*IF($W23=1,HP23+AEE23,HP23)=1,IF(AND($E23=2,IF($W23=1,AJT23,NE23)=0),1000000000,IF($V23=1,INDEX('calcA'!$D$130:$EQ$169,$B23,119)+IF(AND($E23=1,NE23=0),25,0),INDEX('calcA'!DR$110:DR$114,$F23+1)+IF(AND($E23=1,NE23=0),1000,0)+IF($H23=1,INDEX('calcA'!$D$180:$EQ$219,$B23,119)*500,0)-IF(AND('calcA'!DQ$117=1,YO23&gt;0),300,0)-IF(AND($U23=1,'calcA'!DR$117=1,HQ23=0),300,0))),1000000000))</f>
        <v/>
      </c>
      <c r="SU23">
        <f>IF($B23=0,1000000000,IF(INDEX('calcA'!$D$60:$EQ$99,$B23,120)*IF($W23=1,HQ23+AEF23,HQ23)=1,IF(AND($E23=2,IF($W23=1,AJU23,NF23)=0),1000000000,IF($V23=1,INDEX('calcA'!$D$130:$EQ$169,$B23,120)+IF(AND($E23=1,NF23=0),25,0),INDEX('calcA'!DS$110:DS$114,$F23+1)+IF(AND($E23=1,NF23=0),1000,0)+IF($H23=1,INDEX('calcA'!$D$180:$EQ$219,$B23,120)*500,0)-IF(AND('calcA'!DR$117=1,YP23&gt;0),300,0))),1000000000))</f>
        <v/>
      </c>
      <c r="SV23">
        <f>IF($B23=0,1000000000,IF(INDEX('calcA'!$D$60:$EQ$99,$B23,121)*IF($W23=1,HR23+AEG23,HR23)=1,IF(AND($E23=2,IF($W23=1,AJV23,NG23)=0),1000000000,IF($V23=1,INDEX('calcA'!$D$130:$EQ$169,$B23,121)+IF(AND($E23=1,NG23=0),25,0),INDEX('calcA'!DT$110:DT$114,$F23+1)+IF(AND($E23=1,NG23=0),1000,0)+IF($H23=1,INDEX('calcA'!$D$180:$EQ$219,$B23,121)*500,0)-IF(AND($U23=1,'calcA'!DT$117=1,HS23=0),300,0))),1000000000))</f>
        <v/>
      </c>
      <c r="SW23">
        <f>IF($B23=0,1000000000,IF(INDEX('calcA'!$D$60:$EQ$99,$B23,122)*IF($W23=1,HS23+AEH23,HS23)=1,IF(AND($E23=2,IF($W23=1,AJW23,NH23)=0),1000000000,IF($V23=1,INDEX('calcA'!$D$130:$EQ$169,$B23,122)+IF(AND($E23=1,NH23=0),25,0),INDEX('calcA'!DU$110:DU$114,$F23+1)+IF(AND($E23=1,NH23=0),1000,0)+IF($H23=1,INDEX('calcA'!$D$180:$EQ$219,$B23,122)*500,0)-IF(AND('calcA'!DT$117=1,YR23&gt;0),300,0)-IF(AND($U23=1,'calcA'!DU$117=1,HT23=0),300,0))),1000000000))</f>
        <v/>
      </c>
      <c r="SX23">
        <f>IF($B23=0,1000000000,IF(INDEX('calcA'!$D$60:$EQ$99,$B23,123)*IF($W23=1,HT23+AEI23,HT23)=1,IF(AND($E23=2,IF($W23=1,AJX23,NI23)=0),1000000000,IF($V23=1,INDEX('calcA'!$D$130:$EQ$169,$B23,123)+IF(AND($E23=1,NI23=0),25,0),INDEX('calcA'!DV$110:DV$114,$F23+1)+IF(AND($E23=1,NI23=0),1000,0)+IF($H23=1,INDEX('calcA'!$D$180:$EQ$219,$B23,123)*500,0)-IF(AND('calcA'!DU$117=1,YS23&gt;0),300,0)-IF(AND($U23=1,'calcA'!DV$117=1,HU23=0),300,0))),1000000000))</f>
        <v/>
      </c>
      <c r="SY23">
        <f>IF($B23=0,1000000000,IF(INDEX('calcA'!$D$60:$EQ$99,$B23,124)*IF($W23=1,HU23+AEJ23,HU23)=1,IF(AND($E23=2,IF($W23=1,AJY23,NJ23)=0),1000000000,IF($V23=1,INDEX('calcA'!$D$130:$EQ$169,$B23,124)+IF(AND($E23=1,NJ23=0),25,0),INDEX('calcA'!DW$110:DW$114,$F23+1)+IF(AND($E23=1,NJ23=0),1000,0)+IF($H23=1,INDEX('calcA'!$D$180:$EQ$219,$B23,124)*500,0)-IF(AND('calcA'!DV$117=1,YT23&gt;0),300,0)-IF(AND($U23=1,'calcA'!DW$117=1,HV23=0),300,0))),1000000000))</f>
        <v/>
      </c>
      <c r="SZ23">
        <f>IF($B23=0,1000000000,IF(INDEX('calcA'!$D$60:$EQ$99,$B23,125)*IF($W23=1,HV23+AEK23,HV23)=1,IF(AND($E23=2,IF($W23=1,AJZ23,NK23)=0),1000000000,IF($V23=1,INDEX('calcA'!$D$130:$EQ$169,$B23,125)+IF(AND($E23=1,NK23=0),25,0),INDEX('calcA'!DX$110:DX$114,$F23+1)+IF(AND($E23=1,NK23=0),1000,0)+IF($H23=1,INDEX('calcA'!$D$180:$EQ$219,$B23,125)*500,0)-IF(AND('calcA'!DW$117=1,YU23&gt;0),300,0)-IF(AND($U23=1,'calcA'!DX$117=1,HW23=0),300,0))),1000000000))</f>
        <v/>
      </c>
      <c r="TA23">
        <f>IF($B23=0,1000000000,IF(INDEX('calcA'!$D$60:$EQ$99,$B23,126)*IF($W23=1,HW23+AEL23,HW23)=1,IF(AND($E23=2,IF($W23=1,AKA23,NL23)=0),1000000000,IF($V23=1,INDEX('calcA'!$D$130:$EQ$169,$B23,126)+IF(AND($E23=1,NL23=0),25,0),INDEX('calcA'!DY$110:DY$114,$F23+1)+IF(AND($E23=1,NL23=0),1000,0)+IF($H23=1,INDEX('calcA'!$D$180:$EQ$219,$B23,126)*500,0)-IF(AND('calcA'!DX$117=1,YV23&gt;0),300,0)-IF(AND($U23=1,'calcA'!DY$117=1,HX23=0),300,0))),1000000000))</f>
        <v/>
      </c>
      <c r="TB23">
        <f>IF($B23=0,1000000000,IF(INDEX('calcA'!$D$60:$EQ$99,$B23,127)*IF($W23=1,HX23+AEM23,HX23)=1,IF(AND($E23=2,IF($W23=1,AKB23,NM23)=0),1000000000,IF($V23=1,INDEX('calcA'!$D$130:$EQ$169,$B23,127)+IF(AND($E23=1,NM23=0),25,0),INDEX('calcA'!DZ$110:DZ$114,$F23+1)+IF(AND($E23=1,NM23=0),1000,0)+IF($H23=1,INDEX('calcA'!$D$180:$EQ$219,$B23,127)*500,0)-IF(AND('calcA'!DY$117=1,YW23&gt;0),300,0)-IF(AND($U23=1,'calcA'!DZ$117=1,HY23=0),300,0))),1000000000))</f>
        <v/>
      </c>
      <c r="TC23">
        <f>IF($B23=0,1000000000,IF(INDEX('calcA'!$D$60:$EQ$99,$B23,128)*IF($W23=1,HY23+AEN23,HY23)=1,IF(AND($E23=2,IF($W23=1,AKC23,NN23)=0),1000000000,IF($V23=1,INDEX('calcA'!$D$130:$EQ$169,$B23,128)+IF(AND($E23=1,NN23=0),25,0),INDEX('calcA'!EA$110:EA$114,$F23+1)+IF(AND($E23=1,NN23=0),1000,0)+IF($H23=1,INDEX('calcA'!$D$180:$EQ$219,$B23,128)*500,0)-IF(AND('calcA'!DZ$117=1,YX23&gt;0),300,0)-IF(AND($U23=1,'calcA'!EA$117=1,HZ23=0),300,0))),1000000000))</f>
        <v/>
      </c>
      <c r="TD23">
        <f>IF($B23=0,1000000000,IF(INDEX('calcA'!$D$60:$EQ$99,$B23,129)*IF($W23=1,HZ23+AEO23,HZ23)=1,IF(AND($E23=2,IF($W23=1,AKD23,NO23)=0),1000000000,IF($V23=1,INDEX('calcA'!$D$130:$EQ$169,$B23,129)+IF(AND($E23=1,NO23=0),25,0),INDEX('calcA'!EB$110:EB$114,$F23+1)+IF(AND($E23=1,NO23=0),1000,0)+IF($H23=1,INDEX('calcA'!$D$180:$EQ$219,$B23,129)*500,0)-IF(AND('calcA'!EA$117=1,YY23&gt;0),300,0)-IF(AND($U23=1,'calcA'!EB$117=1,IA23=0),300,0))),1000000000))</f>
        <v/>
      </c>
      <c r="TE23">
        <f>IF($B23=0,1000000000,IF(INDEX('calcA'!$D$60:$EQ$99,$B23,130)*IF($W23=1,IA23+AEP23,IA23)=1,IF(AND($E23=2,IF($W23=1,AKE23,NP23)=0),1000000000,IF($V23=1,INDEX('calcA'!$D$130:$EQ$169,$B23,130)+IF(AND($E23=1,NP23=0),25,0),INDEX('calcA'!EC$110:EC$114,$F23+1)+IF(AND($E23=1,NP23=0),1000,0)+IF($H23=1,INDEX('calcA'!$D$180:$EQ$219,$B23,130)*500,0)-IF(AND('calcA'!EB$117=1,YZ23&gt;0),300,0)-IF(AND($U23=1,'calcA'!EC$117=1,IB23=0),300,0))),1000000000))</f>
        <v/>
      </c>
      <c r="TF23">
        <f>IF($B23=0,1000000000,IF(INDEX('calcA'!$D$60:$EQ$99,$B23,131)*IF($W23=1,IB23+AEQ23,IB23)=1,IF(AND($E23=2,IF($W23=1,AKF23,NQ23)=0),1000000000,IF($V23=1,INDEX('calcA'!$D$130:$EQ$169,$B23,131)+IF(AND($E23=1,NQ23=0),25,0),INDEX('calcA'!ED$110:ED$114,$F23+1)+IF(AND($E23=1,NQ23=0),1000,0)+IF($H23=1,INDEX('calcA'!$D$180:$EQ$219,$B23,131)*500,0)-IF(AND('calcA'!EC$117=1,ZA23&gt;0),300,0)-IF(AND($U23=1,'calcA'!ED$117=1,IC23=0),300,0))),1000000000))</f>
        <v/>
      </c>
      <c r="TG23">
        <f>IF($B23=0,1000000000,IF(INDEX('calcA'!$D$60:$EQ$99,$B23,132)*IF($W23=1,IC23+AER23,IC23)=1,IF(AND($E23=2,IF($W23=1,AKG23,NR23)=0),1000000000,IF($V23=1,INDEX('calcA'!$D$130:$EQ$169,$B23,132)+IF(AND($E23=1,NR23=0),25,0),INDEX('calcA'!EE$110:EE$114,$F23+1)+IF(AND($E23=1,NR23=0),1000,0)+IF($H23=1,INDEX('calcA'!$D$180:$EQ$219,$B23,132)*500,0)-IF(AND('calcA'!ED$117=1,ZB23&gt;0),300,0)-IF(AND($U23=1,'calcA'!EE$117=1,ID23=0),300,0))),1000000000))</f>
        <v/>
      </c>
      <c r="TH23">
        <f>IF($B23=0,1000000000,IF(INDEX('calcA'!$D$60:$EQ$99,$B23,133)*IF($W23=1,ID23+AES23,ID23)=1,IF(AND($E23=2,IF($W23=1,AKH23,NS23)=0),1000000000,IF($V23=1,INDEX('calcA'!$D$130:$EQ$169,$B23,133)+IF(AND($E23=1,NS23=0),25,0),INDEX('calcA'!EF$110:EF$114,$F23+1)+IF(AND($E23=1,NS23=0),1000,0)+IF($H23=1,INDEX('calcA'!$D$180:$EQ$219,$B23,133)*500,0)-IF(AND('calcA'!EE$117=1,ZC23&gt;0),300,0)-IF(AND($U23=1,'calcA'!EF$117=1,IE23=0),300,0))),1000000000))</f>
        <v/>
      </c>
      <c r="TI23">
        <f>IF($B23=0,1000000000,IF(INDEX('calcA'!$D$60:$EQ$99,$B23,134)*IF($W23=1,IE23+AET23,IE23)=1,IF(AND($E23=2,IF($W23=1,AKI23,NT23)=0),1000000000,IF($V23=1,INDEX('calcA'!$D$130:$EQ$169,$B23,134)+IF(AND($E23=1,NT23=0),25,0),INDEX('calcA'!EG$110:EG$114,$F23+1)+IF(AND($E23=1,NT23=0),1000,0)+IF($H23=1,INDEX('calcA'!$D$180:$EQ$219,$B23,134)*500,0)-IF(AND('calcA'!EF$117=1,ZD23&gt;0),300,0)-IF(AND($U23=1,'calcA'!EG$117=1,IF23=0),300,0))),1000000000))</f>
        <v/>
      </c>
      <c r="TJ23">
        <f>IF($B23=0,1000000000,IF(INDEX('calcA'!$D$60:$EQ$99,$B23,135)*IF($W23=1,IF23+AEU23,IF23)=1,IF(AND($E23=2,IF($W23=1,AKJ23,NU23)=0),1000000000,IF($V23=1,INDEX('calcA'!$D$130:$EQ$169,$B23,135)+IF(AND($E23=1,NU23=0),25,0),INDEX('calcA'!EH$110:EH$114,$F23+1)+IF(AND($E23=1,NU23=0),1000,0)+IF($H23=1,INDEX('calcA'!$D$180:$EQ$219,$B23,135)*500,0)-IF(AND('calcA'!EG$117=1,ZE23&gt;0),300,0)-IF(AND($U23=1,'calcA'!EH$117=1,IG23=0),300,0))),1000000000))</f>
        <v/>
      </c>
      <c r="TK23">
        <f>IF($B23=0,1000000000,IF(INDEX('calcA'!$D$60:$EQ$99,$B23,136)*IF($W23=1,IG23+AEV23,IG23)=1,IF(AND($E23=2,IF($W23=1,AKK23,NV23)=0),1000000000,IF($V23=1,INDEX('calcA'!$D$130:$EQ$169,$B23,136)+IF(AND($E23=1,NV23=0),25,0),INDEX('calcA'!EI$110:EI$114,$F23+1)+IF(AND($E23=1,NV23=0),1000,0)+IF($H23=1,INDEX('calcA'!$D$180:$EQ$219,$B23,136)*500,0)-IF(AND('calcA'!EH$117=1,ZF23&gt;0),300,0)-IF(AND($U23=1,'calcA'!EI$117=1,IH23=0),300,0))),1000000000))</f>
        <v/>
      </c>
      <c r="TL23">
        <f>IF($B23=0,1000000000,IF(INDEX('calcA'!$D$60:$EQ$99,$B23,137)*IF($W23=1,IH23+AEW23,IH23)=1,IF(AND($E23=2,IF($W23=1,AKL23,NW23)=0),1000000000,IF($V23=1,INDEX('calcA'!$D$130:$EQ$169,$B23,137)+IF(AND($E23=1,NW23=0),25,0),INDEX('calcA'!EJ$110:EJ$114,$F23+1)+IF(AND($E23=1,NW23=0),1000,0)+IF($H23=1,INDEX('calcA'!$D$180:$EQ$219,$B23,137)*500,0)-IF(AND('calcA'!EI$117=1,ZG23&gt;0),300,0)-IF(AND($U23=1,'calcA'!EJ$117=1,II23=0),300,0))),1000000000))</f>
        <v/>
      </c>
      <c r="TM23">
        <f>IF($B23=0,1000000000,IF(INDEX('calcA'!$D$60:$EQ$99,$B23,138)*IF($W23=1,II23+AEX23,II23)=1,IF(AND($E23=2,IF($W23=1,AKM23,NX23)=0),1000000000,IF($V23=1,INDEX('calcA'!$D$130:$EQ$169,$B23,138)+IF(AND($E23=1,NX23=0),25,0),INDEX('calcA'!EK$110:EK$114,$F23+1)+IF(AND($E23=1,NX23=0),1000,0)+IF($H23=1,INDEX('calcA'!$D$180:$EQ$219,$B23,138)*500,0)-IF(AND('calcA'!EJ$117=1,ZH23&gt;0),300,0)-IF(AND($U23=1,'calcA'!EK$117=1,IJ23=0),300,0))),1000000000))</f>
        <v/>
      </c>
      <c r="TN23">
        <f>IF($B23=0,1000000000,IF(INDEX('calcA'!$D$60:$EQ$99,$B23,139)*IF($W23=1,IJ23+AEY23,IJ23)=1,IF(AND($E23=2,IF($W23=1,AKN23,NY23)=0),1000000000,IF($V23=1,INDEX('calcA'!$D$130:$EQ$169,$B23,139)+IF(AND($E23=1,NY23=0),25,0),INDEX('calcA'!EL$110:EL$114,$F23+1)+IF(AND($E23=1,NY23=0),1000,0)+IF($H23=1,INDEX('calcA'!$D$180:$EQ$219,$B23,139)*500,0)-IF(AND('calcA'!EK$117=1,ZI23&gt;0),300,0)-IF(AND($U23=1,'calcA'!EL$117=1,IK23=0),300,0))),1000000000))</f>
        <v/>
      </c>
      <c r="TO23">
        <f>IF($B23=0,1000000000,IF(INDEX('calcA'!$D$60:$EQ$99,$B23,140)*IF($W23=1,IK23+AEZ23,IK23)=1,IF(AND($E23=2,IF($W23=1,AKO23,NZ23)=0),1000000000,IF($V23=1,INDEX('calcA'!$D$130:$EQ$169,$B23,140)+IF(AND($E23=1,NZ23=0),25,0),INDEX('calcA'!EM$110:EM$114,$F23+1)+IF(AND($E23=1,NZ23=0),1000,0)+IF($H23=1,INDEX('calcA'!$D$180:$EQ$219,$B23,140)*500,0)-IF(AND('calcA'!EL$117=1,ZJ23&gt;0),300,0)-IF(AND($U23=1,'calcA'!EM$117=1,IL23=0),300,0))),1000000000))</f>
        <v/>
      </c>
      <c r="TP23">
        <f>IF($B23=0,1000000000,IF(INDEX('calcA'!$D$60:$EQ$99,$B23,141)*IF($W23=1,IL23+AFA23,IL23)=1,IF(AND($E23=2,IF($W23=1,AKP23,OA23)=0),1000000000,IF($V23=1,INDEX('calcA'!$D$130:$EQ$169,$B23,141)+IF(AND($E23=1,OA23=0),25,0),INDEX('calcA'!EN$110:EN$114,$F23+1)+IF(AND($E23=1,OA23=0),1000,0)+IF($H23=1,INDEX('calcA'!$D$180:$EQ$219,$B23,141)*500,0)-IF(AND('calcA'!EM$117=1,ZK23&gt;0),300,0)-IF(AND($U23=1,'calcA'!EN$117=1,IM23=0),300,0))),1000000000))</f>
        <v/>
      </c>
      <c r="TQ23">
        <f>IF($B23=0,1000000000,IF(INDEX('calcA'!$D$60:$EQ$99,$B23,142)*IF($W23=1,IM23+AFB23,IM23)=1,IF(AND($E23=2,IF($W23=1,AKQ23,OB23)=0),1000000000,IF($V23=1,INDEX('calcA'!$D$130:$EQ$169,$B23,142)+IF(AND($E23=1,OB23=0),25,0),INDEX('calcA'!EO$110:EO$114,$F23+1)+IF(AND($E23=1,OB23=0),1000,0)+IF($H23=1,INDEX('calcA'!$D$180:$EQ$219,$B23,142)*500,0)-IF(AND('calcA'!EN$117=1,ZL23&gt;0),300,0)-IF(AND($U23=1,'calcA'!EO$117=1,IN23=0),300,0))),1000000000))</f>
        <v/>
      </c>
      <c r="TR23">
        <f>IF($B23=0,1000000000,IF(INDEX('calcA'!$D$60:$EQ$99,$B23,143)*IF($W23=1,IN23+AFC23,IN23)=1,IF(AND($E23=2,IF($W23=1,AKR23,OC23)=0),1000000000,IF($V23=1,INDEX('calcA'!$D$130:$EQ$169,$B23,143)+IF(AND($E23=1,OC23=0),25,0),INDEX('calcA'!EP$110:EP$114,$F23+1)+IF(AND($E23=1,OC23=0),1000,0)+IF($H23=1,INDEX('calcA'!$D$180:$EQ$219,$B23,143)*500,0)-IF(AND('calcA'!EO$117=1,ZM23&gt;0),300,0)-IF(AND($U23=1,'calcA'!EP$117=1,IO23=0),300,0))),1000000000))</f>
        <v/>
      </c>
      <c r="TS23">
        <f>IF($B23=0,1000000000,IF(INDEX('calcA'!$D$60:$EQ$99,$B23,144)*IF($W23=1,IO23+AFD23,IO23)=1,IF(AND($E23=2,IF($W23=1,AKS23,OD23)=0),1000000000,IF($V23=1,INDEX('calcA'!$D$130:$EQ$169,$B23,144)+IF(AND($E23=1,OD23=0),25,0),INDEX('calcA'!EQ$110:EQ$114,$F23+1)+IF(AND($E23=1,OD23=0),1000,0)+IF($H23=1,INDEX('calcA'!$D$180:$EQ$219,$B23,144)*500,0)-IF(AND('calcA'!EP$117=1,ZN23&gt;0),300,0))),1000000000))</f>
        <v/>
      </c>
      <c r="UB23">
        <f>UB22+IF(AND($C22=1,$U22=1),1,0)</f>
        <v/>
      </c>
      <c r="UC23">
        <f>UC22+IF(AND($C22=2,$U22=1),1,0)</f>
        <v/>
      </c>
      <c r="UD23">
        <f>UD22+IF(AND($C22=3,$U22=1),1,0)</f>
        <v/>
      </c>
      <c r="UE23">
        <f>UE22+IF(AND($C22=4,$U22=1),1,0)</f>
        <v/>
      </c>
      <c r="UF23">
        <f>UF22+IF(AND($C22=5,$U22=1),1,0)</f>
        <v/>
      </c>
      <c r="UG23">
        <f>UG22+IF(AND($C22=6,$U22=1),1,0)</f>
        <v/>
      </c>
      <c r="UH23">
        <f>UH22+IF(AND($C22=7,$U22=1),1,0)</f>
        <v/>
      </c>
      <c r="UI23">
        <f>UI22+IF(AND($C22=8,$U22=1),1,0)</f>
        <v/>
      </c>
      <c r="UJ23">
        <f>UJ22+IF(AND($C22=9,$U22=1),1,0)</f>
        <v/>
      </c>
      <c r="UK23">
        <f>UK22+IF(AND($C22=10,$U22=1),1,0)</f>
        <v/>
      </c>
      <c r="UL23">
        <f>UL22+IF(AND($C22=11,$U22=1),1,0)</f>
        <v/>
      </c>
      <c r="UM23">
        <f>UM22+IF(AND($C22=12,$U22=1),1,0)</f>
        <v/>
      </c>
      <c r="UN23">
        <f>UN22+IF(AND($C22=13,$U22=1),1,0)</f>
        <v/>
      </c>
      <c r="UO23">
        <f>UO22+IF(AND($C22=14,$U22=1),1,0)</f>
        <v/>
      </c>
      <c r="UP23">
        <f>UP22+IF(AND($C22=15,$U22=1),1,0)</f>
        <v/>
      </c>
      <c r="UQ23">
        <f>UQ22+IF(AND($C22=16,$U22=1),1,0)</f>
        <v/>
      </c>
      <c r="UR23">
        <f>UR22+IF(AND($C22=17,$U22=1),1,0)</f>
        <v/>
      </c>
      <c r="US23">
        <f>US22+IF(AND($C22=18,$U22=1),1,0)</f>
        <v/>
      </c>
      <c r="UT23">
        <f>UT22+IF(AND($C22=19,$U22=1),1,0)</f>
        <v/>
      </c>
      <c r="UU23">
        <f>UU22+IF(AND($C22=20,$U22=1),1,0)</f>
        <v/>
      </c>
      <c r="UV23">
        <f>UV22+IF(AND($C22=21,$U22=1),1,0)</f>
        <v/>
      </c>
      <c r="UW23">
        <f>UW22+IF(AND($C22=22,$U22=1),1,0)</f>
        <v/>
      </c>
      <c r="UX23">
        <f>UX22+IF(AND($C22=23,$U22=1),1,0)</f>
        <v/>
      </c>
      <c r="UY23">
        <f>UY22+IF(AND($C22=24,$U22=1),1,0)</f>
        <v/>
      </c>
      <c r="UZ23">
        <f>UZ22+IF(AND($C22=25,$U22=1),1,0)</f>
        <v/>
      </c>
      <c r="VA23">
        <f>VA22+IF(AND($C22=26,$U22=1),1,0)</f>
        <v/>
      </c>
      <c r="VB23">
        <f>VB22+IF(AND($C22=27,$U22=1),1,0)</f>
        <v/>
      </c>
      <c r="VC23">
        <f>VC22+IF(AND($C22=28,$U22=1),1,0)</f>
        <v/>
      </c>
      <c r="VD23">
        <f>VD22+IF(AND($C22=29,$U22=1),1,0)</f>
        <v/>
      </c>
      <c r="VE23">
        <f>VE22+IF(AND($C22=30,$U22=1),1,0)</f>
        <v/>
      </c>
      <c r="VF23">
        <f>VF22+IF(AND($C22=31,$U22=1),1,0)</f>
        <v/>
      </c>
      <c r="VG23">
        <f>VG22+IF(AND($C22=32,$U22=1),1,0)</f>
        <v/>
      </c>
      <c r="VH23">
        <f>VH22+IF(AND($C22=33,$U22=1),1,0)</f>
        <v/>
      </c>
      <c r="VI23">
        <f>VI22+IF(AND($C22=34,$U22=1),1,0)</f>
        <v/>
      </c>
      <c r="VJ23">
        <f>VJ22+IF(AND($C22=35,$U22=1),1,0)</f>
        <v/>
      </c>
      <c r="VK23">
        <f>VK22+IF(AND($C22=36,$U22=1),1,0)</f>
        <v/>
      </c>
      <c r="VL23">
        <f>VL22+IF(AND($C22=37,$U22=1),1,0)</f>
        <v/>
      </c>
      <c r="VM23">
        <f>VM22+IF(AND($C22=38,$U22=1),1,0)</f>
        <v/>
      </c>
      <c r="VN23">
        <f>VN22+IF(AND($C22=39,$U22=1),1,0)</f>
        <v/>
      </c>
      <c r="VO23">
        <f>VO22+IF(AND($C22=40,$U22=1),1,0)</f>
        <v/>
      </c>
      <c r="VP23">
        <f>VP22+IF(AND($C22=41,$U22=1),1,0)</f>
        <v/>
      </c>
      <c r="VQ23">
        <f>VQ22+IF(AND($C22=42,$U22=1),1,0)</f>
        <v/>
      </c>
      <c r="VR23">
        <f>VR22+IF(AND($C22=43,$U22=1),1,0)</f>
        <v/>
      </c>
      <c r="VS23">
        <f>VS22+IF(AND($C22=44,$U22=1),1,0)</f>
        <v/>
      </c>
      <c r="VT23">
        <f>VT22+IF(AND($C22=45,$U22=1),1,0)</f>
        <v/>
      </c>
      <c r="VU23">
        <f>VU22+IF(AND($C22=46,$U22=1),1,0)</f>
        <v/>
      </c>
      <c r="VV23">
        <f>VV22+IF(AND($C22=47,$U22=1),1,0)</f>
        <v/>
      </c>
      <c r="VW23">
        <f>VW22+IF(AND($C22=48,$U22=1),1,0)</f>
        <v/>
      </c>
      <c r="VX23">
        <f>VX22+IF(AND($C22=49,$U22=1),1,0)</f>
        <v/>
      </c>
      <c r="VY23">
        <f>VY22+IF(AND($C22=50,$U22=1),1,0)</f>
        <v/>
      </c>
      <c r="VZ23">
        <f>VZ22+IF(AND($C22=51,$U22=1),1,0)</f>
        <v/>
      </c>
      <c r="WA23">
        <f>WA22+IF(AND($C22=52,$U22=1),1,0)</f>
        <v/>
      </c>
      <c r="WB23">
        <f>WB22+IF(AND($C22=53,$U22=1),1,0)</f>
        <v/>
      </c>
      <c r="WC23">
        <f>WC22+IF(AND($C22=54,$U22=1),1,0)</f>
        <v/>
      </c>
      <c r="WD23">
        <f>WD22+IF(AND($C22=55,$U22=1),1,0)</f>
        <v/>
      </c>
      <c r="WE23">
        <f>WE22+IF(AND($C22=56,$U22=1),1,0)</f>
        <v/>
      </c>
      <c r="WF23">
        <f>WF22+IF(AND($C22=57,$U22=1),1,0)</f>
        <v/>
      </c>
      <c r="WG23">
        <f>WG22+IF(AND($C22=58,$U22=1),1,0)</f>
        <v/>
      </c>
      <c r="WH23">
        <f>WH22+IF(AND($C22=59,$U22=1),1,0)</f>
        <v/>
      </c>
      <c r="WI23">
        <f>WI22+IF(AND($C22=60,$U22=1),1,0)</f>
        <v/>
      </c>
      <c r="WJ23">
        <f>WJ22+IF(AND($C22=61,$U22=1),1,0)</f>
        <v/>
      </c>
      <c r="WK23">
        <f>WK22+IF(AND($C22=62,$U22=1),1,0)</f>
        <v/>
      </c>
      <c r="WL23">
        <f>WL22+IF(AND($C22=63,$U22=1),1,0)</f>
        <v/>
      </c>
      <c r="WM23">
        <f>WM22+IF(AND($C22=64,$U22=1),1,0)</f>
        <v/>
      </c>
      <c r="WN23">
        <f>WN22+IF(AND($C22=65,$U22=1),1,0)</f>
        <v/>
      </c>
      <c r="WO23">
        <f>WO22+IF(AND($C22=66,$U22=1),1,0)</f>
        <v/>
      </c>
      <c r="WP23">
        <f>WP22+IF(AND($C22=67,$U22=1),1,0)</f>
        <v/>
      </c>
      <c r="WQ23">
        <f>WQ22+IF(AND($C22=68,$U22=1),1,0)</f>
        <v/>
      </c>
      <c r="WR23">
        <f>WR22+IF(AND($C22=69,$U22=1),1,0)</f>
        <v/>
      </c>
      <c r="WS23">
        <f>WS22+IF(AND($C22=70,$U22=1),1,0)</f>
        <v/>
      </c>
      <c r="WT23">
        <f>WT22+IF(AND($C22=71,$U22=1),1,0)</f>
        <v/>
      </c>
      <c r="WU23">
        <f>WU22+IF(AND($C22=72,$U22=1),1,0)</f>
        <v/>
      </c>
      <c r="WV23">
        <f>WV22+IF(AND($C22=73,$U22=1),1,0)</f>
        <v/>
      </c>
      <c r="WW23">
        <f>WW22+IF(AND($C22=74,$U22=1),1,0)</f>
        <v/>
      </c>
      <c r="WX23">
        <f>WX22+IF(AND($C22=75,$U22=1),1,0)</f>
        <v/>
      </c>
      <c r="WY23">
        <f>WY22+IF(AND($C22=76,$U22=1),1,0)</f>
        <v/>
      </c>
      <c r="WZ23">
        <f>WZ22+IF(AND($C22=77,$U22=1),1,0)</f>
        <v/>
      </c>
      <c r="XA23">
        <f>XA22+IF(AND($C22=78,$U22=1),1,0)</f>
        <v/>
      </c>
      <c r="XB23">
        <f>XB22+IF(AND($C22=79,$U22=1),1,0)</f>
        <v/>
      </c>
      <c r="XC23">
        <f>XC22+IF(AND($C22=80,$U22=1),1,0)</f>
        <v/>
      </c>
      <c r="XD23">
        <f>XD22+IF(AND($C22=81,$U22=1),1,0)</f>
        <v/>
      </c>
      <c r="XE23">
        <f>XE22+IF(AND($C22=82,$U22=1),1,0)</f>
        <v/>
      </c>
      <c r="XF23">
        <f>XF22+IF(AND($C22=83,$U22=1),1,0)</f>
        <v/>
      </c>
      <c r="XG23">
        <f>XG22+IF(AND($C22=84,$U22=1),1,0)</f>
        <v/>
      </c>
      <c r="XH23">
        <f>XH22+IF(AND($C22=85,$U22=1),1,0)</f>
        <v/>
      </c>
      <c r="XI23">
        <f>XI22+IF(AND($C22=86,$U22=1),1,0)</f>
        <v/>
      </c>
      <c r="XJ23">
        <f>XJ22+IF(AND($C22=87,$U22=1),1,0)</f>
        <v/>
      </c>
      <c r="XK23">
        <f>XK22+IF(AND($C22=88,$U22=1),1,0)</f>
        <v/>
      </c>
      <c r="XL23">
        <f>XL22+IF(AND($C22=89,$U22=1),1,0)</f>
        <v/>
      </c>
      <c r="XM23">
        <f>XM22+IF(AND($C22=90,$U22=1),1,0)</f>
        <v/>
      </c>
      <c r="XN23">
        <f>XN22+IF(AND($C22=91,$U22=1),1,0)</f>
        <v/>
      </c>
      <c r="XO23">
        <f>XO22+IF(AND($C22=92,$U22=1),1,0)</f>
        <v/>
      </c>
      <c r="XP23">
        <f>XP22+IF(AND($C22=93,$U22=1),1,0)</f>
        <v/>
      </c>
      <c r="XQ23">
        <f>XQ22+IF(AND($C22=94,$U22=1),1,0)</f>
        <v/>
      </c>
      <c r="XR23">
        <f>XR22+IF(AND($C22=95,$U22=1),1,0)</f>
        <v/>
      </c>
      <c r="XS23">
        <f>XS22+IF(AND($C22=96,$U22=1),1,0)</f>
        <v/>
      </c>
      <c r="XT23">
        <f>XT22+IF(AND($C22=97,$U22=1),1,0)</f>
        <v/>
      </c>
      <c r="XU23">
        <f>XU22+IF(AND($C22=98,$U22=1),1,0)</f>
        <v/>
      </c>
      <c r="XV23">
        <f>XV22+IF(AND($C22=99,$U22=1),1,0)</f>
        <v/>
      </c>
      <c r="XW23">
        <f>XW22+IF(AND($C22=100,$U22=1),1,0)</f>
        <v/>
      </c>
      <c r="XX23">
        <f>XX22+IF(AND($C22=101,$U22=1),1,0)</f>
        <v/>
      </c>
      <c r="XY23">
        <f>XY22+IF(AND($C22=102,$U22=1),1,0)</f>
        <v/>
      </c>
      <c r="XZ23">
        <f>XZ22+IF(AND($C22=103,$U22=1),1,0)</f>
        <v/>
      </c>
      <c r="YA23">
        <f>YA22+IF(AND($C22=104,$U22=1),1,0)</f>
        <v/>
      </c>
      <c r="YB23">
        <f>YB22+IF(AND($C22=105,$U22=1),1,0)</f>
        <v/>
      </c>
      <c r="YC23">
        <f>YC22+IF(AND($C22=106,$U22=1),1,0)</f>
        <v/>
      </c>
      <c r="YD23">
        <f>YD22+IF(AND($C22=107,$U22=1),1,0)</f>
        <v/>
      </c>
      <c r="YE23">
        <f>YE22+IF(AND($C22=108,$U22=1),1,0)</f>
        <v/>
      </c>
      <c r="YF23">
        <f>YF22+IF(AND($C22=109,$U22=1),1,0)</f>
        <v/>
      </c>
      <c r="YG23">
        <f>YG22+IF(AND($C22=110,$U22=1),1,0)</f>
        <v/>
      </c>
      <c r="YH23">
        <f>YH22+IF(AND($C22=111,$U22=1),1,0)</f>
        <v/>
      </c>
      <c r="YI23">
        <f>YI22+IF(AND($C22=112,$U22=1),1,0)</f>
        <v/>
      </c>
      <c r="YJ23">
        <f>YJ22+IF(AND($C22=113,$U22=1),1,0)</f>
        <v/>
      </c>
      <c r="YK23">
        <f>YK22+IF(AND($C22=114,$U22=1),1,0)</f>
        <v/>
      </c>
      <c r="YL23">
        <f>YL22+IF(AND($C22=115,$U22=1),1,0)</f>
        <v/>
      </c>
      <c r="YM23">
        <f>YM22+IF(AND($C22=116,$U22=1),1,0)</f>
        <v/>
      </c>
      <c r="YN23">
        <f>YN22+IF(AND($C22=117,$U22=1),1,0)</f>
        <v/>
      </c>
      <c r="YO23">
        <f>YO22+IF(AND($C22=118,$U22=1),1,0)</f>
        <v/>
      </c>
      <c r="YP23">
        <f>YP22+IF(AND($C22=119,$U22=1),1,0)</f>
        <v/>
      </c>
      <c r="YQ23">
        <f>YQ22+IF(AND($C22=120,$U22=1),1,0)</f>
        <v/>
      </c>
      <c r="YR23">
        <f>YR22+IF(AND($C22=121,$U22=1),1,0)</f>
        <v/>
      </c>
      <c r="YS23">
        <f>YS22+IF(AND($C22=122,$U22=1),1,0)</f>
        <v/>
      </c>
      <c r="YT23">
        <f>YT22+IF(AND($C22=123,$U22=1),1,0)</f>
        <v/>
      </c>
      <c r="YU23">
        <f>YU22+IF(AND($C22=124,$U22=1),1,0)</f>
        <v/>
      </c>
      <c r="YV23">
        <f>YV22+IF(AND($C22=125,$U22=1),1,0)</f>
        <v/>
      </c>
      <c r="YW23">
        <f>YW22+IF(AND($C22=126,$U22=1),1,0)</f>
        <v/>
      </c>
      <c r="YX23">
        <f>YX22+IF(AND($C22=127,$U22=1),1,0)</f>
        <v/>
      </c>
      <c r="YY23">
        <f>YY22+IF(AND($C22=128,$U22=1),1,0)</f>
        <v/>
      </c>
      <c r="YZ23">
        <f>YZ22+IF(AND($C22=129,$U22=1),1,0)</f>
        <v/>
      </c>
      <c r="ZA23">
        <f>ZA22+IF(AND($C22=130,$U22=1),1,0)</f>
        <v/>
      </c>
      <c r="ZB23">
        <f>ZB22+IF(AND($C22=131,$U22=1),1,0)</f>
        <v/>
      </c>
      <c r="ZC23">
        <f>ZC22+IF(AND($C22=132,$U22=1),1,0)</f>
        <v/>
      </c>
      <c r="ZD23">
        <f>ZD22+IF(AND($C22=133,$U22=1),1,0)</f>
        <v/>
      </c>
      <c r="ZE23">
        <f>ZE22+IF(AND($C22=134,$U22=1),1,0)</f>
        <v/>
      </c>
      <c r="ZF23">
        <f>ZF22+IF(AND($C22=135,$U22=1),1,0)</f>
        <v/>
      </c>
      <c r="ZG23">
        <f>ZG22+IF(AND($C22=136,$U22=1),1,0)</f>
        <v/>
      </c>
      <c r="ZH23">
        <f>ZH22+IF(AND($C22=137,$U22=1),1,0)</f>
        <v/>
      </c>
      <c r="ZI23">
        <f>ZI22+IF(AND($C22=138,$U22=1),1,0)</f>
        <v/>
      </c>
      <c r="ZJ23">
        <f>ZJ22+IF(AND($C22=139,$U22=1),1,0)</f>
        <v/>
      </c>
      <c r="ZK23">
        <f>ZK22+IF(AND($C22=140,$U22=1),1,0)</f>
        <v/>
      </c>
      <c r="ZL23">
        <f>ZL22+IF(AND($C22=141,$U22=1),1,0)</f>
        <v/>
      </c>
      <c r="ZM23">
        <f>ZM22+IF(AND($C22=142,$U22=1),1,0)</f>
        <v/>
      </c>
      <c r="ZN23">
        <f>ZN22+IF(AND($C22=143,$U22=1),1,0)</f>
        <v/>
      </c>
      <c r="ZO23">
        <f>ZO22+IF(AND($C22=144,$U22=1),1,0)</f>
        <v/>
      </c>
      <c r="ZQ23">
        <f>IF($C22=1,0,ZQ22+IF(AND($G22=1,$E22=1),1,0))</f>
        <v/>
      </c>
      <c r="ZR23">
        <f>IF($C22=2,0,ZR22+IF(AND($G22=2,$E22=1),1,0))</f>
        <v/>
      </c>
      <c r="ZS23">
        <f>IF($C22=3,0,ZS22+IF(AND($G22=3,$E22=1),1,0))</f>
        <v/>
      </c>
      <c r="ZT23">
        <f>IF($C22=4,0,ZT22+IF(AND($G22=4,$E22=1),1,0))</f>
        <v/>
      </c>
      <c r="ZU23">
        <f>IF($C22=5,0,ZU22+IF(AND($G22=5,$E22=1),1,0))</f>
        <v/>
      </c>
      <c r="ZV23">
        <f>IF($C22=6,0,ZV22+IF(AND($G22=6,$E22=1),1,0))</f>
        <v/>
      </c>
      <c r="ZW23">
        <f>IF($C22=7,0,ZW22+IF(AND($G22=7,$E22=1),1,0))</f>
        <v/>
      </c>
      <c r="ZX23">
        <f>IF($C22=8,0,ZX22+IF(AND($G22=8,$E22=1),1,0))</f>
        <v/>
      </c>
      <c r="ZY23">
        <f>IF($C22=9,0,ZY22+IF(AND($G22=9,$E22=1),1,0))</f>
        <v/>
      </c>
      <c r="ZZ23">
        <f>IF($C22=10,0,ZZ22+IF(AND($G22=10,$E22=1),1,0))</f>
        <v/>
      </c>
      <c r="AAA23">
        <f>IF($C22=11,0,AAA22+IF(AND($G22=11,$E22=1),1,0))</f>
        <v/>
      </c>
      <c r="AAB23">
        <f>IF($C22=12,0,AAB22+IF(AND($G22=12,$E22=1),1,0))</f>
        <v/>
      </c>
      <c r="AAC23">
        <f>IF($C22=13,0,AAC22+IF(AND($G22=13,$E22=1),1,0))</f>
        <v/>
      </c>
      <c r="AAD23">
        <f>IF($C22=14,0,AAD22+IF(AND($G22=14,$E22=1),1,0))</f>
        <v/>
      </c>
      <c r="AAE23">
        <f>IF($C22=15,0,AAE22+IF(AND($G22=15,$E22=1),1,0))</f>
        <v/>
      </c>
      <c r="AAF23">
        <f>IF($C22=16,0,AAF22+IF(AND($G22=16,$E22=1),1,0))</f>
        <v/>
      </c>
      <c r="AAG23">
        <f>IF($C22=17,0,AAG22+IF(AND($G22=17,$E22=1),1,0))</f>
        <v/>
      </c>
      <c r="AAH23">
        <f>IF($C22=18,0,AAH22+IF(AND($G22=18,$E22=1),1,0))</f>
        <v/>
      </c>
      <c r="AAI23">
        <f>IF($C22=19,0,AAI22+IF(AND($G22=19,$E22=1),1,0))</f>
        <v/>
      </c>
      <c r="AAJ23">
        <f>IF($C22=20,0,AAJ22+IF(AND($G22=20,$E22=1),1,0))</f>
        <v/>
      </c>
      <c r="AAK23">
        <f>IF($C22=21,0,AAK22+IF(AND($G22=21,$E22=1),1,0))</f>
        <v/>
      </c>
      <c r="AAL23">
        <f>IF($C22=22,0,AAL22+IF(AND($G22=22,$E22=1),1,0))</f>
        <v/>
      </c>
      <c r="AAM23">
        <f>IF($C22=23,0,AAM22+IF(AND($G22=23,$E22=1),1,0))</f>
        <v/>
      </c>
      <c r="AAN23">
        <f>IF($C22=24,0,AAN22+IF(AND($G22=24,$E22=1),1,0))</f>
        <v/>
      </c>
      <c r="AAO23">
        <f>IF($C22=25,0,AAO22+IF(AND($G22=25,$E22=1),1,0))</f>
        <v/>
      </c>
      <c r="AAP23">
        <f>IF($C22=26,0,AAP22+IF(AND($G22=26,$E22=1),1,0))</f>
        <v/>
      </c>
      <c r="AAQ23">
        <f>IF($C22=27,0,AAQ22+IF(AND($G22=27,$E22=1),1,0))</f>
        <v/>
      </c>
      <c r="AAR23">
        <f>IF($C22=28,0,AAR22+IF(AND($G22=28,$E22=1),1,0))</f>
        <v/>
      </c>
      <c r="AAS23">
        <f>IF($C22=29,0,AAS22+IF(AND($G22=29,$E22=1),1,0))</f>
        <v/>
      </c>
      <c r="AAT23">
        <f>IF($C22=30,0,AAT22+IF(AND($G22=30,$E22=1),1,0))</f>
        <v/>
      </c>
      <c r="AAU23">
        <f>IF($C22=31,0,AAU22+IF(AND($G22=31,$E22=1),1,0))</f>
        <v/>
      </c>
      <c r="AAV23">
        <f>IF($C22=32,0,AAV22+IF(AND($G22=32,$E22=1),1,0))</f>
        <v/>
      </c>
      <c r="AAW23">
        <f>IF($C22=33,0,AAW22+IF(AND($G22=33,$E22=1),1,0))</f>
        <v/>
      </c>
      <c r="AAX23">
        <f>IF($C22=34,0,AAX22+IF(AND($G22=34,$E22=1),1,0))</f>
        <v/>
      </c>
      <c r="AAY23">
        <f>IF($C22=35,0,AAY22+IF(AND($G22=35,$E22=1),1,0))</f>
        <v/>
      </c>
      <c r="AAZ23">
        <f>IF($C22=36,0,AAZ22+IF(AND($G22=36,$E22=1),1,0))</f>
        <v/>
      </c>
      <c r="ABA23">
        <f>IF($C22=37,0,ABA22+IF(AND($G22=37,$E22=1),1,0))</f>
        <v/>
      </c>
      <c r="ABB23">
        <f>IF($C22=38,0,ABB22+IF(AND($G22=38,$E22=1),1,0))</f>
        <v/>
      </c>
      <c r="ABC23">
        <f>IF($C22=39,0,ABC22+IF(AND($G22=39,$E22=1),1,0))</f>
        <v/>
      </c>
      <c r="ABD23">
        <f>IF($C22=40,0,ABD22+IF(AND($G22=40,$E22=1),1,0))</f>
        <v/>
      </c>
      <c r="ABE23">
        <f>IF($C22=41,0,ABE22+IF(AND($G22=41,$E22=1),1,0))</f>
        <v/>
      </c>
      <c r="ABF23">
        <f>IF($C22=42,0,ABF22+IF(AND($G22=42,$E22=1),1,0))</f>
        <v/>
      </c>
      <c r="ABG23">
        <f>IF($C22=43,0,ABG22+IF(AND($G22=43,$E22=1),1,0))</f>
        <v/>
      </c>
      <c r="ABH23">
        <f>IF($C22=44,0,ABH22+IF(AND($G22=44,$E22=1),1,0))</f>
        <v/>
      </c>
      <c r="ABI23">
        <f>IF($C22=45,0,ABI22+IF(AND($G22=45,$E22=1),1,0))</f>
        <v/>
      </c>
      <c r="ABJ23">
        <f>IF($C22=46,0,ABJ22+IF(AND($G22=46,$E22=1),1,0))</f>
        <v/>
      </c>
      <c r="ABK23">
        <f>IF($C22=47,0,ABK22+IF(AND($G22=47,$E22=1),1,0))</f>
        <v/>
      </c>
      <c r="ABL23">
        <f>IF($C22=48,0,ABL22+IF(AND($G22=48,$E22=1),1,0))</f>
        <v/>
      </c>
      <c r="ABM23">
        <f>IF($C22=49,0,ABM22+IF(AND($G22=49,$E22=1),1,0))</f>
        <v/>
      </c>
      <c r="ABN23">
        <f>IF($C22=50,0,ABN22+IF(AND($G22=50,$E22=1),1,0))</f>
        <v/>
      </c>
      <c r="ABO23">
        <f>IF($C22=51,0,ABO22+IF(AND($G22=51,$E22=1),1,0))</f>
        <v/>
      </c>
      <c r="ABP23">
        <f>IF($C22=52,0,ABP22+IF(AND($G22=52,$E22=1),1,0))</f>
        <v/>
      </c>
      <c r="ABQ23">
        <f>IF($C22=53,0,ABQ22+IF(AND($G22=53,$E22=1),1,0))</f>
        <v/>
      </c>
      <c r="ABR23">
        <f>IF($C22=54,0,ABR22+IF(AND($G22=54,$E22=1),1,0))</f>
        <v/>
      </c>
      <c r="ABS23">
        <f>IF($C22=55,0,ABS22+IF(AND($G22=55,$E22=1),1,0))</f>
        <v/>
      </c>
      <c r="ABT23">
        <f>IF($C22=56,0,ABT22+IF(AND($G22=56,$E22=1),1,0))</f>
        <v/>
      </c>
      <c r="ABU23">
        <f>IF($C22=57,0,ABU22+IF(AND($G22=57,$E22=1),1,0))</f>
        <v/>
      </c>
      <c r="ABV23">
        <f>IF($C22=58,0,ABV22+IF(AND($G22=58,$E22=1),1,0))</f>
        <v/>
      </c>
      <c r="ABW23">
        <f>IF($C22=59,0,ABW22+IF(AND($G22=59,$E22=1),1,0))</f>
        <v/>
      </c>
      <c r="ABX23">
        <f>IF($C22=60,0,ABX22+IF(AND($G22=60,$E22=1),1,0))</f>
        <v/>
      </c>
      <c r="ABY23">
        <f>IF($C22=61,0,ABY22+IF(AND($G22=61,$E22=1),1,0))</f>
        <v/>
      </c>
      <c r="ABZ23">
        <f>IF($C22=62,0,ABZ22+IF(AND($G22=62,$E22=1),1,0))</f>
        <v/>
      </c>
      <c r="ACA23">
        <f>IF($C22=63,0,ACA22+IF(AND($G22=63,$E22=1),1,0))</f>
        <v/>
      </c>
      <c r="ACB23">
        <f>IF($C22=64,0,ACB22+IF(AND($G22=64,$E22=1),1,0))</f>
        <v/>
      </c>
      <c r="ACC23">
        <f>IF($C22=65,0,ACC22+IF(AND($G22=65,$E22=1),1,0))</f>
        <v/>
      </c>
      <c r="ACD23">
        <f>IF($C22=66,0,ACD22+IF(AND($G22=66,$E22=1),1,0))</f>
        <v/>
      </c>
      <c r="ACE23">
        <f>IF($C22=67,0,ACE22+IF(AND($G22=67,$E22=1),1,0))</f>
        <v/>
      </c>
      <c r="ACF23">
        <f>IF($C22=68,0,ACF22+IF(AND($G22=68,$E22=1),1,0))</f>
        <v/>
      </c>
      <c r="ACG23">
        <f>IF($C22=69,0,ACG22+IF(AND($G22=69,$E22=1),1,0))</f>
        <v/>
      </c>
      <c r="ACH23">
        <f>IF($C22=70,0,ACH22+IF(AND($G22=70,$E22=1),1,0))</f>
        <v/>
      </c>
      <c r="ACI23">
        <f>IF($C22=71,0,ACI22+IF(AND($G22=71,$E22=1),1,0))</f>
        <v/>
      </c>
      <c r="ACJ23">
        <f>IF($C22=72,0,ACJ22+IF(AND($G22=72,$E22=1),1,0))</f>
        <v/>
      </c>
      <c r="ACK23">
        <f>IF($C22=73,0,ACK22+IF(AND($G22=73,$E22=1),1,0))</f>
        <v/>
      </c>
      <c r="ACL23">
        <f>IF($C22=74,0,ACL22+IF(AND($G22=74,$E22=1),1,0))</f>
        <v/>
      </c>
      <c r="ACM23">
        <f>IF($C22=75,0,ACM22+IF(AND($G22=75,$E22=1),1,0))</f>
        <v/>
      </c>
      <c r="ACN23">
        <f>IF($C22=76,0,ACN22+IF(AND($G22=76,$E22=1),1,0))</f>
        <v/>
      </c>
      <c r="ACO23">
        <f>IF($C22=77,0,ACO22+IF(AND($G22=77,$E22=1),1,0))</f>
        <v/>
      </c>
      <c r="ACP23">
        <f>IF($C22=78,0,ACP22+IF(AND($G22=78,$E22=1),1,0))</f>
        <v/>
      </c>
      <c r="ACQ23">
        <f>IF($C22=79,0,ACQ22+IF(AND($G22=79,$E22=1),1,0))</f>
        <v/>
      </c>
      <c r="ACR23">
        <f>IF($C22=80,0,ACR22+IF(AND($G22=80,$E22=1),1,0))</f>
        <v/>
      </c>
      <c r="ACS23">
        <f>IF($C22=81,0,ACS22+IF(AND($G22=81,$E22=1),1,0))</f>
        <v/>
      </c>
      <c r="ACT23">
        <f>IF($C22=82,0,ACT22+IF(AND($G22=82,$E22=1),1,0))</f>
        <v/>
      </c>
      <c r="ACU23">
        <f>IF($C22=83,0,ACU22+IF(AND($G22=83,$E22=1),1,0))</f>
        <v/>
      </c>
      <c r="ACV23">
        <f>IF($C22=84,0,ACV22+IF(AND($G22=84,$E22=1),1,0))</f>
        <v/>
      </c>
      <c r="ACW23">
        <f>IF($C22=85,0,ACW22+IF(AND($G22=85,$E22=1),1,0))</f>
        <v/>
      </c>
      <c r="ACX23">
        <f>IF($C22=86,0,ACX22+IF(AND($G22=86,$E22=1),1,0))</f>
        <v/>
      </c>
      <c r="ACY23">
        <f>IF($C22=87,0,ACY22+IF(AND($G22=87,$E22=1),1,0))</f>
        <v/>
      </c>
      <c r="ACZ23">
        <f>IF($C22=88,0,ACZ22+IF(AND($G22=88,$E22=1),1,0))</f>
        <v/>
      </c>
      <c r="ADA23">
        <f>IF($C22=89,0,ADA22+IF(AND($G22=89,$E22=1),1,0))</f>
        <v/>
      </c>
      <c r="ADB23">
        <f>IF($C22=90,0,ADB22+IF(AND($G22=90,$E22=1),1,0))</f>
        <v/>
      </c>
      <c r="ADC23">
        <f>IF($C22=91,0,ADC22+IF(AND($G22=91,$E22=1),1,0))</f>
        <v/>
      </c>
      <c r="ADD23">
        <f>IF($C22=92,0,ADD22+IF(AND($G22=92,$E22=1),1,0))</f>
        <v/>
      </c>
      <c r="ADE23">
        <f>IF($C22=93,0,ADE22+IF(AND($G22=93,$E22=1),1,0))</f>
        <v/>
      </c>
      <c r="ADF23">
        <f>IF($C22=94,0,ADF22+IF(AND($G22=94,$E22=1),1,0))</f>
        <v/>
      </c>
      <c r="ADG23">
        <f>IF($C22=95,0,ADG22+IF(AND($G22=95,$E22=1),1,0))</f>
        <v/>
      </c>
      <c r="ADH23">
        <f>IF($C22=96,0,ADH22+IF(AND($G22=96,$E22=1),1,0))</f>
        <v/>
      </c>
      <c r="ADI23">
        <f>IF($C22=97,0,ADI22+IF(AND($G22=97,$E22=1),1,0))</f>
        <v/>
      </c>
      <c r="ADJ23">
        <f>IF($C22=98,0,ADJ22+IF(AND($G22=98,$E22=1),1,0))</f>
        <v/>
      </c>
      <c r="ADK23">
        <f>IF($C22=99,0,ADK22+IF(AND($G22=99,$E22=1),1,0))</f>
        <v/>
      </c>
      <c r="ADL23">
        <f>IF($C22=100,0,ADL22+IF(AND($G22=100,$E22=1),1,0))</f>
        <v/>
      </c>
      <c r="ADM23">
        <f>IF($C22=101,0,ADM22+IF(AND($G22=101,$E22=1),1,0))</f>
        <v/>
      </c>
      <c r="ADN23">
        <f>IF($C22=102,0,ADN22+IF(AND($G22=102,$E22=1),1,0))</f>
        <v/>
      </c>
      <c r="ADO23">
        <f>IF($C22=103,0,ADO22+IF(AND($G22=103,$E22=1),1,0))</f>
        <v/>
      </c>
      <c r="ADP23">
        <f>IF($C22=104,0,ADP22+IF(AND($G22=104,$E22=1),1,0))</f>
        <v/>
      </c>
      <c r="ADQ23">
        <f>IF($C22=105,0,ADQ22+IF(AND($G22=105,$E22=1),1,0))</f>
        <v/>
      </c>
      <c r="ADR23">
        <f>IF($C22=106,0,ADR22+IF(AND($G22=106,$E22=1),1,0))</f>
        <v/>
      </c>
      <c r="ADS23">
        <f>IF($C22=107,0,ADS22+IF(AND($G22=107,$E22=1),1,0))</f>
        <v/>
      </c>
      <c r="ADT23">
        <f>IF($C22=108,0,ADT22+IF(AND($G22=108,$E22=1),1,0))</f>
        <v/>
      </c>
      <c r="ADU23">
        <f>IF($C22=109,0,ADU22+IF(AND($G22=109,$E22=1),1,0))</f>
        <v/>
      </c>
      <c r="ADV23">
        <f>IF($C22=110,0,ADV22+IF(AND($G22=110,$E22=1),1,0))</f>
        <v/>
      </c>
      <c r="ADW23">
        <f>IF($C22=111,0,ADW22+IF(AND($G22=111,$E22=1),1,0))</f>
        <v/>
      </c>
      <c r="ADX23">
        <f>IF($C22=112,0,ADX22+IF(AND($G22=112,$E22=1),1,0))</f>
        <v/>
      </c>
      <c r="ADY23">
        <f>IF($C22=113,0,ADY22+IF(AND($G22=113,$E22=1),1,0))</f>
        <v/>
      </c>
      <c r="ADZ23">
        <f>IF($C22=114,0,ADZ22+IF(AND($G22=114,$E22=1),1,0))</f>
        <v/>
      </c>
      <c r="AEA23">
        <f>IF($C22=115,0,AEA22+IF(AND($G22=115,$E22=1),1,0))</f>
        <v/>
      </c>
      <c r="AEB23">
        <f>IF($C22=116,0,AEB22+IF(AND($G22=116,$E22=1),1,0))</f>
        <v/>
      </c>
      <c r="AEC23">
        <f>IF($C22=117,0,AEC22+IF(AND($G22=117,$E22=1),1,0))</f>
        <v/>
      </c>
      <c r="AED23">
        <f>IF($C22=118,0,AED22+IF(AND($G22=118,$E22=1),1,0))</f>
        <v/>
      </c>
      <c r="AEE23">
        <f>IF($C22=119,0,AEE22+IF(AND($G22=119,$E22=1),1,0))</f>
        <v/>
      </c>
      <c r="AEF23">
        <f>IF($C22=120,0,AEF22+IF(AND($G22=120,$E22=1),1,0))</f>
        <v/>
      </c>
      <c r="AEG23">
        <f>IF($C22=121,0,AEG22+IF(AND($G22=121,$E22=1),1,0))</f>
        <v/>
      </c>
      <c r="AEH23">
        <f>IF($C22=122,0,AEH22+IF(AND($G22=122,$E22=1),1,0))</f>
        <v/>
      </c>
      <c r="AEI23">
        <f>IF($C22=123,0,AEI22+IF(AND($G22=123,$E22=1),1,0))</f>
        <v/>
      </c>
      <c r="AEJ23">
        <f>IF($C22=124,0,AEJ22+IF(AND($G22=124,$E22=1),1,0))</f>
        <v/>
      </c>
      <c r="AEK23">
        <f>IF($C22=125,0,AEK22+IF(AND($G22=125,$E22=1),1,0))</f>
        <v/>
      </c>
      <c r="AEL23">
        <f>IF($C22=126,0,AEL22+IF(AND($G22=126,$E22=1),1,0))</f>
        <v/>
      </c>
      <c r="AEM23">
        <f>IF($C22=127,0,AEM22+IF(AND($G22=127,$E22=1),1,0))</f>
        <v/>
      </c>
      <c r="AEN23">
        <f>IF($C22=128,0,AEN22+IF(AND($G22=128,$E22=1),1,0))</f>
        <v/>
      </c>
      <c r="AEO23">
        <f>IF($C22=129,0,AEO22+IF(AND($G22=129,$E22=1),1,0))</f>
        <v/>
      </c>
      <c r="AEP23">
        <f>IF($C22=130,0,AEP22+IF(AND($G22=130,$E22=1),1,0))</f>
        <v/>
      </c>
      <c r="AEQ23">
        <f>IF($C22=131,0,AEQ22+IF(AND($G22=131,$E22=1),1,0))</f>
        <v/>
      </c>
      <c r="AER23">
        <f>IF($C22=132,0,AER22+IF(AND($G22=132,$E22=1),1,0))</f>
        <v/>
      </c>
      <c r="AES23">
        <f>IF($C22=133,0,AES22+IF(AND($G22=133,$E22=1),1,0))</f>
        <v/>
      </c>
      <c r="AET23">
        <f>IF($C22=134,0,AET22+IF(AND($G22=134,$E22=1),1,0))</f>
        <v/>
      </c>
      <c r="AEU23">
        <f>IF($C22=135,0,AEU22+IF(AND($G22=135,$E22=1),1,0))</f>
        <v/>
      </c>
      <c r="AEV23">
        <f>IF($C22=136,0,AEV22+IF(AND($G22=136,$E22=1),1,0))</f>
        <v/>
      </c>
      <c r="AEW23">
        <f>IF($C22=137,0,AEW22+IF(AND($G22=137,$E22=1),1,0))</f>
        <v/>
      </c>
      <c r="AEX23">
        <f>IF($C22=138,0,AEX22+IF(AND($G22=138,$E22=1),1,0))</f>
        <v/>
      </c>
      <c r="AEY23">
        <f>IF($C22=139,0,AEY22+IF(AND($G22=139,$E22=1),1,0))</f>
        <v/>
      </c>
      <c r="AEZ23">
        <f>IF($C22=140,0,AEZ22+IF(AND($G22=140,$E22=1),1,0))</f>
        <v/>
      </c>
      <c r="AFA23">
        <f>IF($C22=141,0,AFA22+IF(AND($G22=141,$E22=1),1,0))</f>
        <v/>
      </c>
      <c r="AFB23">
        <f>IF($C22=142,0,AFB22+IF(AND($G22=142,$E22=1),1,0))</f>
        <v/>
      </c>
      <c r="AFC23">
        <f>IF($C22=143,0,AFC22+IF(AND($G22=143,$E22=1),1,0))</f>
        <v/>
      </c>
      <c r="AFD23">
        <f>IF($C22=144,0,AFD22+IF(AND($G22=144,$E22=1),1,0))</f>
        <v/>
      </c>
      <c r="AFF23">
        <f>IF('calcA'!D$106=1,DC23+ZR23,1)</f>
        <v/>
      </c>
      <c r="AFG23">
        <f>IF('calcA'!E$106=1,DD23+ZS23,1)</f>
        <v/>
      </c>
      <c r="AFH23">
        <f>IF('calcA'!F$106=1,DE23+ZT23,1)</f>
        <v/>
      </c>
      <c r="AFI23">
        <f>IF('calcA'!G$106=1,DF23+ZU23,1)</f>
        <v/>
      </c>
      <c r="AFJ23">
        <f>IF('calcA'!H$106=1,DG23+ZV23,1)</f>
        <v/>
      </c>
      <c r="AFK23">
        <f>IF('calcA'!I$106=1,DH23+ZW23,1)</f>
        <v/>
      </c>
      <c r="AFL23">
        <f>IF('calcA'!J$106=1,DI23+ZX23,1)</f>
        <v/>
      </c>
      <c r="AFM23">
        <f>IF('calcA'!K$106=1,DJ23+ZY23,1)</f>
        <v/>
      </c>
      <c r="AFN23">
        <f>IF('calcA'!L$106=1,DK23+ZZ23,1)</f>
        <v/>
      </c>
      <c r="AFO23">
        <f>IF('calcA'!M$106=1,DL23+AAA23,1)</f>
        <v/>
      </c>
      <c r="AFP23">
        <f>IF('calcA'!N$106=1,DM23+AAB23,1)</f>
        <v/>
      </c>
      <c r="AFQ23">
        <f>IF('calcA'!O$106=1,DN23+AAC23,1)</f>
        <v/>
      </c>
      <c r="AFR23">
        <f>IF('calcA'!P$106=1,DO23+AAD23,1)</f>
        <v/>
      </c>
      <c r="AFS23">
        <f>IF('calcA'!Q$106=1,DP23+AAE23,1)</f>
        <v/>
      </c>
      <c r="AFT23">
        <f>IF('calcA'!R$106=1,DQ23+AAF23,1)</f>
        <v/>
      </c>
      <c r="AFU23">
        <f>IF('calcA'!S$106=1,DR23+AAG23,1)</f>
        <v/>
      </c>
      <c r="AFV23">
        <f>IF('calcA'!T$106=1,DS23+AAH23,1)</f>
        <v/>
      </c>
      <c r="AFW23">
        <f>IF('calcA'!U$106=1,DT23+AAI23,1)</f>
        <v/>
      </c>
      <c r="AFX23">
        <f>IF('calcA'!V$106=1,DU23+AAJ23,1)</f>
        <v/>
      </c>
      <c r="AFY23">
        <f>IF('calcA'!W$106=1,DV23+AAK23,1)</f>
        <v/>
      </c>
      <c r="AFZ23">
        <f>IF('calcA'!X$106=1,DW23+AAL23,1)</f>
        <v/>
      </c>
      <c r="AGA23">
        <f>IF('calcA'!Y$106=1,DX23+AAM23,1)</f>
        <v/>
      </c>
      <c r="AGB23">
        <f>IF('calcA'!Z$106=1,DY23+AAN23,1)</f>
        <v/>
      </c>
      <c r="AGC23">
        <f>IF('calcA'!AA$106=1,DZ23+AAO23,1)</f>
        <v/>
      </c>
      <c r="AGD23">
        <f>IF('calcA'!AB$106=1,EA23+AAP23,1)</f>
        <v/>
      </c>
      <c r="AGE23">
        <f>IF('calcA'!AC$106=1,EB23+AAQ23,1)</f>
        <v/>
      </c>
      <c r="AGF23">
        <f>IF('calcA'!AD$106=1,EC23+AAR23,1)</f>
        <v/>
      </c>
      <c r="AGG23">
        <f>IF('calcA'!AE$106=1,ED23+AAS23,1)</f>
        <v/>
      </c>
      <c r="AGH23">
        <f>IF('calcA'!AF$106=1,EE23+AAT23,1)</f>
        <v/>
      </c>
      <c r="AGI23">
        <f>IF('calcA'!AG$106=1,EF23+AAU23,1)</f>
        <v/>
      </c>
      <c r="AGJ23">
        <f>IF('calcA'!AH$106=1,EG23+AAV23,1)</f>
        <v/>
      </c>
      <c r="AGK23">
        <f>IF('calcA'!AI$106=1,EH23+AAW23,1)</f>
        <v/>
      </c>
      <c r="AGL23">
        <f>IF('calcA'!AJ$106=1,EI23+AAX23,1)</f>
        <v/>
      </c>
      <c r="AGM23">
        <f>IF('calcA'!AK$106=1,EJ23+AAY23,1)</f>
        <v/>
      </c>
      <c r="AGN23">
        <f>IF('calcA'!AL$106=1,EK23+AAZ23,1)</f>
        <v/>
      </c>
      <c r="AGO23">
        <f>IF('calcA'!AM$106=1,EL23+ABA23,1)</f>
        <v/>
      </c>
      <c r="AGP23">
        <f>IF('calcA'!AN$106=1,EM23+ABB23,1)</f>
        <v/>
      </c>
      <c r="AGQ23">
        <f>IF('calcA'!AO$106=1,EN23+ABC23,1)</f>
        <v/>
      </c>
      <c r="AGR23">
        <f>IF('calcA'!AP$106=1,EO23+ABD23,1)</f>
        <v/>
      </c>
      <c r="AGS23">
        <f>IF('calcA'!AQ$106=1,EP23+ABE23,1)</f>
        <v/>
      </c>
      <c r="AGT23">
        <f>IF('calcA'!AR$106=1,EQ23+ABF23,1)</f>
        <v/>
      </c>
      <c r="AGU23">
        <f>IF('calcA'!AS$106=1,ER23+ABG23,1)</f>
        <v/>
      </c>
      <c r="AGV23">
        <f>IF('calcA'!AT$106=1,ES23+ABH23,1)</f>
        <v/>
      </c>
      <c r="AGW23">
        <f>IF('calcA'!AU$106=1,ET23+ABI23,1)</f>
        <v/>
      </c>
      <c r="AGX23">
        <f>IF('calcA'!AV$106=1,EU23+ABJ23,1)</f>
        <v/>
      </c>
      <c r="AGY23">
        <f>IF('calcA'!AW$106=1,EV23+ABK23,1)</f>
        <v/>
      </c>
      <c r="AGZ23">
        <f>IF('calcA'!AX$106=1,EW23+ABL23,1)</f>
        <v/>
      </c>
      <c r="AHA23">
        <f>IF('calcA'!AY$106=1,EX23+ABM23,1)</f>
        <v/>
      </c>
      <c r="AHB23">
        <f>IF('calcA'!AZ$106=1,EY23+ABN23,1)</f>
        <v/>
      </c>
      <c r="AHC23">
        <f>IF('calcA'!BA$106=1,EZ23+ABO23,1)</f>
        <v/>
      </c>
      <c r="AHD23">
        <f>IF('calcA'!BB$106=1,FA23+ABP23,1)</f>
        <v/>
      </c>
      <c r="AHE23">
        <f>IF('calcA'!BC$106=1,FB23+ABQ23,1)</f>
        <v/>
      </c>
      <c r="AHF23">
        <f>IF('calcA'!BD$106=1,FC23+ABR23,1)</f>
        <v/>
      </c>
      <c r="AHG23">
        <f>IF('calcA'!BE$106=1,FD23+ABS23,1)</f>
        <v/>
      </c>
      <c r="AHH23">
        <f>IF('calcA'!BF$106=1,FE23+ABT23,1)</f>
        <v/>
      </c>
      <c r="AHI23">
        <f>IF('calcA'!BG$106=1,FF23+ABU23,1)</f>
        <v/>
      </c>
      <c r="AHJ23">
        <f>IF('calcA'!BH$106=1,FG23+ABV23,1)</f>
        <v/>
      </c>
      <c r="AHK23">
        <f>IF('calcA'!BI$106=1,FH23+ABW23,1)</f>
        <v/>
      </c>
      <c r="AHL23">
        <f>IF('calcA'!BJ$106=1,FI23+ABX23,1)</f>
        <v/>
      </c>
      <c r="AHM23">
        <f>IF('calcA'!BK$106=1,FJ23+ABY23,1)</f>
        <v/>
      </c>
      <c r="AHN23">
        <f>IF('calcA'!BL$106=1,FK23+ABZ23,1)</f>
        <v/>
      </c>
      <c r="AHO23">
        <f>IF('calcA'!BM$106=1,FL23+ACA23,1)</f>
        <v/>
      </c>
      <c r="AHP23">
        <f>IF('calcA'!BN$106=1,FM23+ACB23,1)</f>
        <v/>
      </c>
      <c r="AHQ23">
        <f>IF('calcA'!BO$106=1,FN23+ACC23,1)</f>
        <v/>
      </c>
      <c r="AHR23">
        <f>IF('calcA'!BP$106=1,FO23+ACD23,1)</f>
        <v/>
      </c>
      <c r="AHS23">
        <f>IF('calcA'!BQ$106=1,FP23+ACE23,1)</f>
        <v/>
      </c>
      <c r="AHT23">
        <f>IF('calcA'!BR$106=1,FQ23+ACF23,1)</f>
        <v/>
      </c>
      <c r="AHU23">
        <f>IF('calcA'!BS$106=1,FR23+ACG23,1)</f>
        <v/>
      </c>
      <c r="AHV23">
        <f>IF('calcA'!BT$106=1,FS23+ACH23,1)</f>
        <v/>
      </c>
      <c r="AHW23">
        <f>IF('calcA'!BU$106=1,FT23+ACI23,1)</f>
        <v/>
      </c>
      <c r="AHX23">
        <f>IF('calcA'!BV$106=1,FU23+ACJ23,1)</f>
        <v/>
      </c>
      <c r="AHY23">
        <f>IF('calcA'!BW$106=1,FV23+ACK23,1)</f>
        <v/>
      </c>
      <c r="AHZ23">
        <f>IF('calcA'!BX$106=1,FW23+ACL23,1)</f>
        <v/>
      </c>
      <c r="AIA23">
        <f>IF('calcA'!BY$106=1,FX23+ACM23,1)</f>
        <v/>
      </c>
      <c r="AIB23">
        <f>IF('calcA'!BZ$106=1,FY23+ACN23,1)</f>
        <v/>
      </c>
      <c r="AIC23">
        <f>IF('calcA'!CA$106=1,FZ23+ACO23,1)</f>
        <v/>
      </c>
      <c r="AID23">
        <f>IF('calcA'!CB$106=1,GA23+ACP23,1)</f>
        <v/>
      </c>
      <c r="AIE23">
        <f>IF('calcA'!CC$106=1,GB23+ACQ23,1)</f>
        <v/>
      </c>
      <c r="AIF23">
        <f>IF('calcA'!CD$106=1,GC23+ACR23,1)</f>
        <v/>
      </c>
      <c r="AIG23">
        <f>IF('calcA'!CE$106=1,GD23+ACS23,1)</f>
        <v/>
      </c>
      <c r="AIH23">
        <f>IF('calcA'!CF$106=1,GE23+ACT23,1)</f>
        <v/>
      </c>
      <c r="AII23">
        <f>IF('calcA'!CG$106=1,GF23+ACU23,1)</f>
        <v/>
      </c>
      <c r="AIJ23">
        <f>IF('calcA'!CH$106=1,GG23+ACV23,1)</f>
        <v/>
      </c>
      <c r="AIK23">
        <f>IF('calcA'!CI$106=1,GH23+ACW23,1)</f>
        <v/>
      </c>
      <c r="AIL23">
        <f>IF('calcA'!CJ$106=1,GI23+ACX23,1)</f>
        <v/>
      </c>
      <c r="AIM23">
        <f>IF('calcA'!CK$106=1,GJ23+ACY23,1)</f>
        <v/>
      </c>
      <c r="AIN23">
        <f>IF('calcA'!CL$106=1,GK23+ACZ23,1)</f>
        <v/>
      </c>
      <c r="AIO23">
        <f>IF('calcA'!CM$106=1,GL23+ADA23,1)</f>
        <v/>
      </c>
      <c r="AIP23">
        <f>IF('calcA'!CN$106=1,GM23+ADB23,1)</f>
        <v/>
      </c>
      <c r="AIQ23">
        <f>IF('calcA'!CO$106=1,GN23+ADC23,1)</f>
        <v/>
      </c>
      <c r="AIR23">
        <f>IF('calcA'!CP$106=1,GO23+ADD23,1)</f>
        <v/>
      </c>
      <c r="AIS23">
        <f>IF('calcA'!CQ$106=1,GP23+ADE23,1)</f>
        <v/>
      </c>
      <c r="AIT23">
        <f>IF('calcA'!CR$106=1,GQ23+ADF23,1)</f>
        <v/>
      </c>
      <c r="AIU23">
        <f>IF('calcA'!CS$106=1,GR23+ADG23,1)</f>
        <v/>
      </c>
      <c r="AIV23">
        <f>IF('calcA'!CT$106=1,GS23+ADH23,1)</f>
        <v/>
      </c>
      <c r="AIW23">
        <f>IF('calcA'!CU$106=1,GT23+ADI23,1)</f>
        <v/>
      </c>
      <c r="AIX23">
        <f>IF('calcA'!CV$106=1,GU23+ADJ23,1)</f>
        <v/>
      </c>
      <c r="AIY23">
        <f>IF('calcA'!CW$106=1,GV23+ADK23,1)</f>
        <v/>
      </c>
      <c r="AIZ23">
        <f>IF('calcA'!CX$106=1,GW23+ADL23,1)</f>
        <v/>
      </c>
      <c r="AJA23">
        <f>IF('calcA'!CY$106=1,GX23+ADM23,1)</f>
        <v/>
      </c>
      <c r="AJB23">
        <f>IF('calcA'!CZ$106=1,GY23+ADN23,1)</f>
        <v/>
      </c>
      <c r="AJC23">
        <f>IF('calcA'!DA$106=1,GZ23+ADO23,1)</f>
        <v/>
      </c>
      <c r="AJD23">
        <f>IF('calcA'!DB$106=1,HA23+ADP23,1)</f>
        <v/>
      </c>
      <c r="AJE23">
        <f>IF('calcA'!DC$106=1,HB23+ADQ23,1)</f>
        <v/>
      </c>
      <c r="AJF23">
        <f>IF('calcA'!DD$106=1,HC23+ADR23,1)</f>
        <v/>
      </c>
      <c r="AJG23">
        <f>IF('calcA'!DE$106=1,HD23+ADS23,1)</f>
        <v/>
      </c>
      <c r="AJH23">
        <f>IF('calcA'!DF$106=1,HE23+ADT23,1)</f>
        <v/>
      </c>
      <c r="AJI23">
        <f>IF('calcA'!DG$106=1,HF23+ADU23,1)</f>
        <v/>
      </c>
      <c r="AJJ23">
        <f>IF('calcA'!DH$106=1,HG23+ADV23,1)</f>
        <v/>
      </c>
      <c r="AJK23">
        <f>IF('calcA'!DI$106=1,HH23+ADW23,1)</f>
        <v/>
      </c>
      <c r="AJL23">
        <f>IF('calcA'!DJ$106=1,HI23+ADX23,1)</f>
        <v/>
      </c>
      <c r="AJM23">
        <f>IF('calcA'!DK$106=1,HJ23+ADY23,1)</f>
        <v/>
      </c>
      <c r="AJN23">
        <f>IF('calcA'!DL$106=1,HK23+ADZ23,1)</f>
        <v/>
      </c>
      <c r="AJO23">
        <f>IF('calcA'!DM$106=1,HL23+AEA23,1)</f>
        <v/>
      </c>
      <c r="AJP23">
        <f>IF('calcA'!DN$106=1,HM23+AEB23,1)</f>
        <v/>
      </c>
      <c r="AJQ23">
        <f>IF('calcA'!DO$106=1,HN23+AEC23,1)</f>
        <v/>
      </c>
      <c r="AJR23">
        <f>IF('calcA'!DP$106=1,HO23+AED23,1)</f>
        <v/>
      </c>
      <c r="AJS23">
        <f>IF('calcA'!DQ$106=1,HP23+AEE23,1)</f>
        <v/>
      </c>
      <c r="AJT23">
        <f>IF('calcA'!DR$106=1,HQ23+AEF23,1)</f>
        <v/>
      </c>
      <c r="AJU23">
        <f>IF('calcA'!DS$106=1,HR23+AEG23,1)</f>
        <v/>
      </c>
      <c r="AJV23">
        <f>IF('calcA'!DT$106=1,HS23+AEH23,1)</f>
        <v/>
      </c>
      <c r="AJW23">
        <f>IF('calcA'!DU$106=1,HT23+AEI23,1)</f>
        <v/>
      </c>
      <c r="AJX23">
        <f>IF('calcA'!DV$106=1,HU23+AEJ23,1)</f>
        <v/>
      </c>
      <c r="AJY23">
        <f>IF('calcA'!DW$106=1,HV23+AEK23,1)</f>
        <v/>
      </c>
      <c r="AJZ23">
        <f>IF('calcA'!DX$106=1,HW23+AEL23,1)</f>
        <v/>
      </c>
      <c r="AKA23">
        <f>IF('calcA'!DY$106=1,HX23+AEM23,1)</f>
        <v/>
      </c>
      <c r="AKB23">
        <f>IF('calcA'!DZ$106=1,HY23+AEN23,1)</f>
        <v/>
      </c>
      <c r="AKC23">
        <f>IF('calcA'!EA$106=1,HZ23+AEO23,1)</f>
        <v/>
      </c>
      <c r="AKD23">
        <f>IF('calcA'!EB$106=1,IA23+AEP23,1)</f>
        <v/>
      </c>
      <c r="AKE23">
        <f>IF('calcA'!EC$106=1,IB23+AEQ23,1)</f>
        <v/>
      </c>
      <c r="AKF23">
        <f>IF('calcA'!ED$106=1,IC23+AER23,1)</f>
        <v/>
      </c>
      <c r="AKG23">
        <f>IF('calcA'!EE$106=1,ID23+AES23,1)</f>
        <v/>
      </c>
      <c r="AKH23">
        <f>IF('calcA'!EF$106=1,IE23+AET23,1)</f>
        <v/>
      </c>
      <c r="AKI23">
        <f>IF('calcA'!EG$106=1,IF23+AEU23,1)</f>
        <v/>
      </c>
      <c r="AKJ23">
        <f>IF('calcA'!EH$106=1,IG23+AEV23,1)</f>
        <v/>
      </c>
      <c r="AKK23">
        <f>IF('calcA'!EI$106=1,IH23+AEW23,1)</f>
        <v/>
      </c>
      <c r="AKL23">
        <f>IF('calcA'!EJ$106=1,II23+AEX23,1)</f>
        <v/>
      </c>
      <c r="AKM23">
        <f>IF('calcA'!EK$106=1,IJ23+AEY23,1)</f>
        <v/>
      </c>
      <c r="AKN23">
        <f>IF('calcA'!EL$106=1,IK23+AEZ23,1)</f>
        <v/>
      </c>
      <c r="AKO23">
        <f>IF('calcA'!EM$106=1,IL23+AFA23,1)</f>
        <v/>
      </c>
      <c r="AKP23">
        <f>IF('calcA'!EN$106=1,IM23+AFB23,1)</f>
        <v/>
      </c>
      <c r="AKQ23">
        <f>IF('calcA'!EO$106=1,IN23+AFC23,1)</f>
        <v/>
      </c>
      <c r="AKR23">
        <f>IF('calcA'!EP$106=1,IO23+AFD23,1)</f>
        <v/>
      </c>
      <c r="AKS23" t="n">
        <v>1</v>
      </c>
    </row>
    <row r="24">
      <c r="A24" t="n">
        <v>22</v>
      </c>
      <c r="B24">
        <f>IF(MIN(BM24:CZ24)&gt;=1000000000,0,MATCH(MIN(BM24:CZ24),BM24:CZ24,0))</f>
        <v/>
      </c>
      <c r="C24">
        <f>IF(MIN(OF24:TS24)&gt;=1000000000,0,MATCH(MIN(OF24:TS24),OF24:TS24,0))</f>
        <v/>
      </c>
      <c r="D24">
        <f>IF(C24&gt;0,INDEX('calcA'!$D$5:$EQ$5,C24),0)</f>
        <v/>
      </c>
      <c r="E24">
        <f>IF(B24=0,0,INDEX('calcA'!$IQ$10:$IQ$54,B24))</f>
        <v/>
      </c>
      <c r="F24">
        <f>IF(B24=0,0,INDEX('calcA'!$IP$10:$IP$54,B24))</f>
        <v/>
      </c>
      <c r="G24">
        <f>IF(AND(C24&gt;0,E24&gt;0),IF(AND(INDEX('calcA'!$D$106:$EQ$106,C24)=1,INDEX($IQ24:$OD24,C24)=1),C24+1,0),0)</f>
        <v/>
      </c>
      <c r="H24">
        <f>IF(B24=0,0,INDEX('calcA'!$IW$10:$IW$54,B24))</f>
        <v/>
      </c>
      <c r="U24">
        <f>IF(B24=0,0,INDEX('calcA'!$IX$10:$IX$54,B24))</f>
        <v/>
      </c>
      <c r="V24">
        <f>IF(B24=0,0,INDEX('calcA'!$JF$10:$JF$54,B24))</f>
        <v/>
      </c>
      <c r="W24">
        <f>IF(B24=0,0,IF(IF(E24=2,SUMPRODUCT(INDEX('calcA'!$D$60:$EQ$99,B24,0),$DB24:$IO24,$IQ24:$OD24),SUMPRODUCT(INDEX('calcA'!$D$60:$EQ$99,B24,0),$DB24:$IO24))=0,1,0))</f>
        <v/>
      </c>
      <c r="X24">
        <f>MAX(X23,IF($B23=1,1,0))</f>
        <v/>
      </c>
      <c r="Y24">
        <f>MAX(Y23,IF($B23=2,1,0))</f>
        <v/>
      </c>
      <c r="Z24">
        <f>MAX(Z23,IF($B23=3,1,0))</f>
        <v/>
      </c>
      <c r="AA24">
        <f>MAX(AA23,IF($B23=4,1,0))</f>
        <v/>
      </c>
      <c r="AB24">
        <f>MAX(AB23,IF($B23=5,1,0))</f>
        <v/>
      </c>
      <c r="AC24">
        <f>MAX(AC23,IF($B23=6,1,0))</f>
        <v/>
      </c>
      <c r="AD24">
        <f>MAX(AD23,IF($B23=7,1,0))</f>
        <v/>
      </c>
      <c r="AE24">
        <f>MAX(AE23,IF($B23=8,1,0))</f>
        <v/>
      </c>
      <c r="AF24">
        <f>MAX(AF23,IF($B23=9,1,0))</f>
        <v/>
      </c>
      <c r="AG24">
        <f>MAX(AG23,IF($B23=10,1,0))</f>
        <v/>
      </c>
      <c r="AH24">
        <f>MAX(AH23,IF($B23=11,1,0))</f>
        <v/>
      </c>
      <c r="AI24">
        <f>MAX(AI23,IF($B23=12,1,0))</f>
        <v/>
      </c>
      <c r="AJ24">
        <f>MAX(AJ23,IF($B23=13,1,0))</f>
        <v/>
      </c>
      <c r="AK24">
        <f>MAX(AK23,IF($B23=14,1,0))</f>
        <v/>
      </c>
      <c r="AL24">
        <f>MAX(AL23,IF($B23=15,1,0))</f>
        <v/>
      </c>
      <c r="AM24">
        <f>MAX(AM23,IF($B23=16,1,0))</f>
        <v/>
      </c>
      <c r="AN24">
        <f>MAX(AN23,IF($B23=17,1,0))</f>
        <v/>
      </c>
      <c r="AO24">
        <f>MAX(AO23,IF($B23=18,1,0))</f>
        <v/>
      </c>
      <c r="AP24">
        <f>MAX(AP23,IF($B23=19,1,0))</f>
        <v/>
      </c>
      <c r="AQ24">
        <f>MAX(AQ23,IF($B23=20,1,0))</f>
        <v/>
      </c>
      <c r="AR24">
        <f>MAX(AR23,IF($B23=21,1,0))</f>
        <v/>
      </c>
      <c r="AS24">
        <f>MAX(AS23,IF($B23=22,1,0))</f>
        <v/>
      </c>
      <c r="AT24">
        <f>MAX(AT23,IF($B23=23,1,0))</f>
        <v/>
      </c>
      <c r="AU24">
        <f>MAX(AU23,IF($B23=24,1,0))</f>
        <v/>
      </c>
      <c r="AV24">
        <f>MAX(AV23,IF($B23=25,1,0))</f>
        <v/>
      </c>
      <c r="AW24">
        <f>MAX(AW23,IF($B23=26,1,0))</f>
        <v/>
      </c>
      <c r="AX24">
        <f>MAX(AX23,IF($B23=27,1,0))</f>
        <v/>
      </c>
      <c r="AY24">
        <f>MAX(AY23,IF($B23=28,1,0))</f>
        <v/>
      </c>
      <c r="AZ24">
        <f>MAX(AZ23,IF($B23=29,1,0))</f>
        <v/>
      </c>
      <c r="BA24">
        <f>MAX(BA23,IF($B23=30,1,0))</f>
        <v/>
      </c>
      <c r="BB24">
        <f>MAX(BB23,IF($B23=31,1,0))</f>
        <v/>
      </c>
      <c r="BC24">
        <f>MAX(BC23,IF($B23=32,1,0))</f>
        <v/>
      </c>
      <c r="BD24">
        <f>MAX(BD23,IF($B23=33,1,0))</f>
        <v/>
      </c>
      <c r="BE24">
        <f>MAX(BE23,IF($B23=34,1,0))</f>
        <v/>
      </c>
      <c r="BF24">
        <f>MAX(BF23,IF($B23=35,1,0))</f>
        <v/>
      </c>
      <c r="BG24">
        <f>MAX(BG23,IF($B23=36,1,0))</f>
        <v/>
      </c>
      <c r="BH24">
        <f>MAX(BH23,IF($B23=37,1,0))</f>
        <v/>
      </c>
      <c r="BI24">
        <f>MAX(BI23,IF($B23=38,1,0))</f>
        <v/>
      </c>
      <c r="BJ24">
        <f>MAX(BJ23,IF($B23=39,1,0))</f>
        <v/>
      </c>
      <c r="BK24">
        <f>MAX(BK23,IF($B23=40,1,0))</f>
        <v/>
      </c>
      <c r="BM24">
        <f>IF(OR(X24=1,calcA!$A$6=0),1000000000,IF('calcA'!$JF$10=1,0,100000000)+IF('calcA'!$IQ$10=2,SUMPRODUCT('calcA'!$D$60:$EQ$60,$DB24:$IO24,$IQ24:$OD24)*1000+SUMPRODUCT('calcA'!$D$60:$EQ$60,$DB24:$IO24+$ZQ24:$AFD24,$AFF24:$AKS24),SUMPRODUCT('calcA'!$D$60:$EQ$60,$DB24:$IO24*1001+$ZQ24:$AFD24))*100+1)</f>
        <v/>
      </c>
      <c r="BN24">
        <f>IF(OR(Y24=1,calcA!$A$6=0),1000000000,IF('calcA'!$JF$11=1,0,100000000)+IF('calcA'!$IQ$11=2,SUMPRODUCT('calcA'!$D$61:$EQ$61,$DB24:$IO24,$IQ24:$OD24)*1000+SUMPRODUCT('calcA'!$D$61:$EQ$61,$DB24:$IO24+$ZQ24:$AFD24,$AFF24:$AKS24),SUMPRODUCT('calcA'!$D$61:$EQ$61,$DB24:$IO24*1001+$ZQ24:$AFD24))*100+2)</f>
        <v/>
      </c>
      <c r="BO24">
        <f>IF(OR(Z24=1,calcA!$A$6=0),1000000000,IF('calcA'!$JF$12=1,0,100000000)+IF('calcA'!$IQ$12=2,SUMPRODUCT('calcA'!$D$62:$EQ$62,$DB24:$IO24,$IQ24:$OD24)*1000+SUMPRODUCT('calcA'!$D$62:$EQ$62,$DB24:$IO24+$ZQ24:$AFD24,$AFF24:$AKS24),SUMPRODUCT('calcA'!$D$62:$EQ$62,$DB24:$IO24*1001+$ZQ24:$AFD24))*100+3)</f>
        <v/>
      </c>
      <c r="BP24">
        <f>IF(OR(AA24=1,calcA!$A$6=0),1000000000,IF('calcA'!$JF$13=1,0,100000000)+IF('calcA'!$IQ$13=2,SUMPRODUCT('calcA'!$D$63:$EQ$63,$DB24:$IO24,$IQ24:$OD24)*1000+SUMPRODUCT('calcA'!$D$63:$EQ$63,$DB24:$IO24+$ZQ24:$AFD24,$AFF24:$AKS24),SUMPRODUCT('calcA'!$D$63:$EQ$63,$DB24:$IO24*1001+$ZQ24:$AFD24))*100+4)</f>
        <v/>
      </c>
      <c r="BQ24">
        <f>IF(OR(AB24=1,calcA!$A$6=0),1000000000,IF('calcA'!$JF$14=1,0,100000000)+IF('calcA'!$IQ$14=2,SUMPRODUCT('calcA'!$D$64:$EQ$64,$DB24:$IO24,$IQ24:$OD24)*1000+SUMPRODUCT('calcA'!$D$64:$EQ$64,$DB24:$IO24+$ZQ24:$AFD24,$AFF24:$AKS24),SUMPRODUCT('calcA'!$D$64:$EQ$64,$DB24:$IO24*1001+$ZQ24:$AFD24))*100+5)</f>
        <v/>
      </c>
      <c r="BR24">
        <f>IF(OR(AC24=1,calcA!$A$6=0),1000000000,IF('calcA'!$JF$15=1,0,100000000)+IF('calcA'!$IQ$15=2,SUMPRODUCT('calcA'!$D$65:$EQ$65,$DB24:$IO24,$IQ24:$OD24)*1000+SUMPRODUCT('calcA'!$D$65:$EQ$65,$DB24:$IO24+$ZQ24:$AFD24,$AFF24:$AKS24),SUMPRODUCT('calcA'!$D$65:$EQ$65,$DB24:$IO24*1001+$ZQ24:$AFD24))*100+6)</f>
        <v/>
      </c>
      <c r="BS24">
        <f>IF(OR(AD24=1,calcA!$A$6=0),1000000000,IF('calcA'!$JF$16=1,0,100000000)+IF('calcA'!$IQ$16=2,SUMPRODUCT('calcA'!$D$66:$EQ$66,$DB24:$IO24,$IQ24:$OD24)*1000+SUMPRODUCT('calcA'!$D$66:$EQ$66,$DB24:$IO24+$ZQ24:$AFD24,$AFF24:$AKS24),SUMPRODUCT('calcA'!$D$66:$EQ$66,$DB24:$IO24*1001+$ZQ24:$AFD24))*100+7)</f>
        <v/>
      </c>
      <c r="BT24">
        <f>IF(OR(AE24=1,calcA!$A$6=0),1000000000,IF('calcA'!$JF$17=1,0,100000000)+IF('calcA'!$IQ$17=2,SUMPRODUCT('calcA'!$D$67:$EQ$67,$DB24:$IO24,$IQ24:$OD24)*1000+SUMPRODUCT('calcA'!$D$67:$EQ$67,$DB24:$IO24+$ZQ24:$AFD24,$AFF24:$AKS24),SUMPRODUCT('calcA'!$D$67:$EQ$67,$DB24:$IO24*1001+$ZQ24:$AFD24))*100+8)</f>
        <v/>
      </c>
      <c r="BU24">
        <f>IF(OR(AF24=1,calcA!$A$6=0),1000000000,IF('calcA'!$JF$18=1,0,100000000)+IF('calcA'!$IQ$18=2,SUMPRODUCT('calcA'!$D$68:$EQ$68,$DB24:$IO24,$IQ24:$OD24)*1000+SUMPRODUCT('calcA'!$D$68:$EQ$68,$DB24:$IO24+$ZQ24:$AFD24,$AFF24:$AKS24),SUMPRODUCT('calcA'!$D$68:$EQ$68,$DB24:$IO24*1001+$ZQ24:$AFD24))*100+9)</f>
        <v/>
      </c>
      <c r="BV24">
        <f>IF(OR(AG24=1,calcA!$A$6=0),1000000000,IF('calcA'!$JF$19=1,0,100000000)+IF('calcA'!$IQ$19=2,SUMPRODUCT('calcA'!$D$69:$EQ$69,$DB24:$IO24,$IQ24:$OD24)*1000+SUMPRODUCT('calcA'!$D$69:$EQ$69,$DB24:$IO24+$ZQ24:$AFD24,$AFF24:$AKS24),SUMPRODUCT('calcA'!$D$69:$EQ$69,$DB24:$IO24*1001+$ZQ24:$AFD24))*100+10)</f>
        <v/>
      </c>
      <c r="BW24">
        <f>IF(OR(AH24=1,calcA!$A$6=0),1000000000,IF('calcA'!$JF$20=1,0,100000000)+IF('calcA'!$IQ$20=2,SUMPRODUCT('calcA'!$D$70:$EQ$70,$DB24:$IO24,$IQ24:$OD24)*1000+SUMPRODUCT('calcA'!$D$70:$EQ$70,$DB24:$IO24+$ZQ24:$AFD24,$AFF24:$AKS24),SUMPRODUCT('calcA'!$D$70:$EQ$70,$DB24:$IO24*1001+$ZQ24:$AFD24))*100+11)</f>
        <v/>
      </c>
      <c r="BX24">
        <f>IF(OR(AI24=1,calcA!$A$6=0),1000000000,IF('calcA'!$JF$21=1,0,100000000)+IF('calcA'!$IQ$21=2,SUMPRODUCT('calcA'!$D$71:$EQ$71,$DB24:$IO24,$IQ24:$OD24)*1000+SUMPRODUCT('calcA'!$D$71:$EQ$71,$DB24:$IO24+$ZQ24:$AFD24,$AFF24:$AKS24),SUMPRODUCT('calcA'!$D$71:$EQ$71,$DB24:$IO24*1001+$ZQ24:$AFD24))*100+12)</f>
        <v/>
      </c>
      <c r="BY24">
        <f>IF(OR(AJ24=1,calcA!$A$6=0),1000000000,IF('calcA'!$JF$22=1,0,100000000)+IF('calcA'!$IQ$22=2,SUMPRODUCT('calcA'!$D$72:$EQ$72,$DB24:$IO24,$IQ24:$OD24)*1000+SUMPRODUCT('calcA'!$D$72:$EQ$72,$DB24:$IO24+$ZQ24:$AFD24,$AFF24:$AKS24),SUMPRODUCT('calcA'!$D$72:$EQ$72,$DB24:$IO24*1001+$ZQ24:$AFD24))*100+13)</f>
        <v/>
      </c>
      <c r="BZ24">
        <f>IF(OR(AK24=1,calcA!$A$6=0),1000000000,IF('calcA'!$JF$23=1,0,100000000)+IF('calcA'!$IQ$23=2,SUMPRODUCT('calcA'!$D$73:$EQ$73,$DB24:$IO24,$IQ24:$OD24)*1000+SUMPRODUCT('calcA'!$D$73:$EQ$73,$DB24:$IO24+$ZQ24:$AFD24,$AFF24:$AKS24),SUMPRODUCT('calcA'!$D$73:$EQ$73,$DB24:$IO24*1001+$ZQ24:$AFD24))*100+14)</f>
        <v/>
      </c>
      <c r="CA24">
        <f>IF(OR(AL24=1,calcA!$A$6=0),1000000000,IF('calcA'!$JF$24=1,0,100000000)+IF('calcA'!$IQ$24=2,SUMPRODUCT('calcA'!$D$74:$EQ$74,$DB24:$IO24,$IQ24:$OD24)*1000+SUMPRODUCT('calcA'!$D$74:$EQ$74,$DB24:$IO24+$ZQ24:$AFD24,$AFF24:$AKS24),SUMPRODUCT('calcA'!$D$74:$EQ$74,$DB24:$IO24*1001+$ZQ24:$AFD24))*100+15)</f>
        <v/>
      </c>
      <c r="CB24">
        <f>IF(OR(AM24=1,calcA!$A$6=0),1000000000,IF('calcA'!$JF$25=1,0,100000000)+IF('calcA'!$IQ$25=2,SUMPRODUCT('calcA'!$D$75:$EQ$75,$DB24:$IO24,$IQ24:$OD24)*1000+SUMPRODUCT('calcA'!$D$75:$EQ$75,$DB24:$IO24+$ZQ24:$AFD24,$AFF24:$AKS24),SUMPRODUCT('calcA'!$D$75:$EQ$75,$DB24:$IO24*1001+$ZQ24:$AFD24))*100+16)</f>
        <v/>
      </c>
      <c r="CC24">
        <f>IF(OR(AN24=1,calcA!$A$6=0),1000000000,IF('calcA'!$JF$26=1,0,100000000)+IF('calcA'!$IQ$26=2,SUMPRODUCT('calcA'!$D$76:$EQ$76,$DB24:$IO24,$IQ24:$OD24)*1000+SUMPRODUCT('calcA'!$D$76:$EQ$76,$DB24:$IO24+$ZQ24:$AFD24,$AFF24:$AKS24),SUMPRODUCT('calcA'!$D$76:$EQ$76,$DB24:$IO24*1001+$ZQ24:$AFD24))*100+17)</f>
        <v/>
      </c>
      <c r="CD24">
        <f>IF(OR(AO24=1,calcA!$A$6=0),1000000000,IF('calcA'!$JF$27=1,0,100000000)+IF('calcA'!$IQ$27=2,SUMPRODUCT('calcA'!$D$77:$EQ$77,$DB24:$IO24,$IQ24:$OD24)*1000+SUMPRODUCT('calcA'!$D$77:$EQ$77,$DB24:$IO24+$ZQ24:$AFD24,$AFF24:$AKS24),SUMPRODUCT('calcA'!$D$77:$EQ$77,$DB24:$IO24*1001+$ZQ24:$AFD24))*100+18)</f>
        <v/>
      </c>
      <c r="CE24">
        <f>IF(OR(AP24=1,calcA!$A$6=0),1000000000,IF('calcA'!$JF$28=1,0,100000000)+IF('calcA'!$IQ$28=2,SUMPRODUCT('calcA'!$D$78:$EQ$78,$DB24:$IO24,$IQ24:$OD24)*1000+SUMPRODUCT('calcA'!$D$78:$EQ$78,$DB24:$IO24+$ZQ24:$AFD24,$AFF24:$AKS24),SUMPRODUCT('calcA'!$D$78:$EQ$78,$DB24:$IO24*1001+$ZQ24:$AFD24))*100+19)</f>
        <v/>
      </c>
      <c r="CF24">
        <f>IF(OR(AQ24=1,calcA!$A$6=0),1000000000,IF('calcA'!$JF$29=1,0,100000000)+IF('calcA'!$IQ$29=2,SUMPRODUCT('calcA'!$D$79:$EQ$79,$DB24:$IO24,$IQ24:$OD24)*1000+SUMPRODUCT('calcA'!$D$79:$EQ$79,$DB24:$IO24+$ZQ24:$AFD24,$AFF24:$AKS24),SUMPRODUCT('calcA'!$D$79:$EQ$79,$DB24:$IO24*1001+$ZQ24:$AFD24))*100+20)</f>
        <v/>
      </c>
      <c r="CG24">
        <f>IF(OR(AR24=1,calcA!$A$6=0),1000000000,IF('calcA'!$JF$30=1,0,100000000)+IF('calcA'!$IQ$30=2,SUMPRODUCT('calcA'!$D$80:$EQ$80,$DB24:$IO24,$IQ24:$OD24)*1000+SUMPRODUCT('calcA'!$D$80:$EQ$80,$DB24:$IO24+$ZQ24:$AFD24,$AFF24:$AKS24),SUMPRODUCT('calcA'!$D$80:$EQ$80,$DB24:$IO24*1001+$ZQ24:$AFD24))*100+21)</f>
        <v/>
      </c>
      <c r="CH24">
        <f>IF(OR(AS24=1,calcA!$A$6=0),1000000000,IF('calcA'!$JF$31=1,0,100000000)+IF('calcA'!$IQ$31=2,SUMPRODUCT('calcA'!$D$81:$EQ$81,$DB24:$IO24,$IQ24:$OD24)*1000+SUMPRODUCT('calcA'!$D$81:$EQ$81,$DB24:$IO24+$ZQ24:$AFD24,$AFF24:$AKS24),SUMPRODUCT('calcA'!$D$81:$EQ$81,$DB24:$IO24*1001+$ZQ24:$AFD24))*100+22)</f>
        <v/>
      </c>
      <c r="CI24">
        <f>IF(OR(AT24=1,calcA!$A$6=0),1000000000,IF('calcA'!$JF$32=1,0,100000000)+IF('calcA'!$IQ$32=2,SUMPRODUCT('calcA'!$D$82:$EQ$82,$DB24:$IO24,$IQ24:$OD24)*1000+SUMPRODUCT('calcA'!$D$82:$EQ$82,$DB24:$IO24+$ZQ24:$AFD24,$AFF24:$AKS24),SUMPRODUCT('calcA'!$D$82:$EQ$82,$DB24:$IO24*1001+$ZQ24:$AFD24))*100+23)</f>
        <v/>
      </c>
      <c r="CJ24">
        <f>IF(OR(AU24=1,calcA!$A$6=0),1000000000,IF('calcA'!$JF$33=1,0,100000000)+IF('calcA'!$IQ$33=2,SUMPRODUCT('calcA'!$D$83:$EQ$83,$DB24:$IO24,$IQ24:$OD24)*1000+SUMPRODUCT('calcA'!$D$83:$EQ$83,$DB24:$IO24+$ZQ24:$AFD24,$AFF24:$AKS24),SUMPRODUCT('calcA'!$D$83:$EQ$83,$DB24:$IO24*1001+$ZQ24:$AFD24))*100+24)</f>
        <v/>
      </c>
      <c r="CK24">
        <f>IF(OR(AV24=1,calcA!$A$6=0),1000000000,IF('calcA'!$JF$34=1,0,100000000)+IF('calcA'!$IQ$34=2,SUMPRODUCT('calcA'!$D$84:$EQ$84,$DB24:$IO24,$IQ24:$OD24)*1000+SUMPRODUCT('calcA'!$D$84:$EQ$84,$DB24:$IO24+$ZQ24:$AFD24,$AFF24:$AKS24),SUMPRODUCT('calcA'!$D$84:$EQ$84,$DB24:$IO24*1001+$ZQ24:$AFD24))*100+25)</f>
        <v/>
      </c>
      <c r="CL24">
        <f>IF(OR(AW24=1,calcA!$A$6=0),1000000000,IF('calcA'!$JF$35=1,0,100000000)+IF('calcA'!$IQ$35=2,SUMPRODUCT('calcA'!$D$85:$EQ$85,$DB24:$IO24,$IQ24:$OD24)*1000+SUMPRODUCT('calcA'!$D$85:$EQ$85,$DB24:$IO24+$ZQ24:$AFD24,$AFF24:$AKS24),SUMPRODUCT('calcA'!$D$85:$EQ$85,$DB24:$IO24*1001+$ZQ24:$AFD24))*100+26)</f>
        <v/>
      </c>
      <c r="CM24">
        <f>IF(OR(AX24=1,calcA!$A$6=0),1000000000,IF('calcA'!$JF$36=1,0,100000000)+IF('calcA'!$IQ$36=2,SUMPRODUCT('calcA'!$D$86:$EQ$86,$DB24:$IO24,$IQ24:$OD24)*1000+SUMPRODUCT('calcA'!$D$86:$EQ$86,$DB24:$IO24+$ZQ24:$AFD24,$AFF24:$AKS24),SUMPRODUCT('calcA'!$D$86:$EQ$86,$DB24:$IO24*1001+$ZQ24:$AFD24))*100+27)</f>
        <v/>
      </c>
      <c r="CN24">
        <f>IF(OR(AY24=1,calcA!$A$6=0),1000000000,IF('calcA'!$JF$37=1,0,100000000)+IF('calcA'!$IQ$37=2,SUMPRODUCT('calcA'!$D$87:$EQ$87,$DB24:$IO24,$IQ24:$OD24)*1000+SUMPRODUCT('calcA'!$D$87:$EQ$87,$DB24:$IO24+$ZQ24:$AFD24,$AFF24:$AKS24),SUMPRODUCT('calcA'!$D$87:$EQ$87,$DB24:$IO24*1001+$ZQ24:$AFD24))*100+28)</f>
        <v/>
      </c>
      <c r="CO24">
        <f>IF(OR(AZ24=1,calcA!$A$6=0),1000000000,IF('calcA'!$JF$38=1,0,100000000)+IF('calcA'!$IQ$38=2,SUMPRODUCT('calcA'!$D$88:$EQ$88,$DB24:$IO24,$IQ24:$OD24)*1000+SUMPRODUCT('calcA'!$D$88:$EQ$88,$DB24:$IO24+$ZQ24:$AFD24,$AFF24:$AKS24),SUMPRODUCT('calcA'!$D$88:$EQ$88,$DB24:$IO24*1001+$ZQ24:$AFD24))*100+29)</f>
        <v/>
      </c>
      <c r="CP24">
        <f>IF(OR(BA24=1,calcA!$A$6=0),1000000000,IF('calcA'!$JF$39=1,0,100000000)+IF('calcA'!$IQ$39=2,SUMPRODUCT('calcA'!$D$89:$EQ$89,$DB24:$IO24,$IQ24:$OD24)*1000+SUMPRODUCT('calcA'!$D$89:$EQ$89,$DB24:$IO24+$ZQ24:$AFD24,$AFF24:$AKS24),SUMPRODUCT('calcA'!$D$89:$EQ$89,$DB24:$IO24*1001+$ZQ24:$AFD24))*100+30)</f>
        <v/>
      </c>
      <c r="CQ24">
        <f>IF(OR(BB24=1,calcA!$A$6=0),1000000000,IF('calcA'!$JF$40=1,0,100000000)+IF('calcA'!$IQ$40=2,SUMPRODUCT('calcA'!$D$90:$EQ$90,$DB24:$IO24,$IQ24:$OD24)*1000+SUMPRODUCT('calcA'!$D$90:$EQ$90,$DB24:$IO24+$ZQ24:$AFD24,$AFF24:$AKS24),SUMPRODUCT('calcA'!$D$90:$EQ$90,$DB24:$IO24*1001+$ZQ24:$AFD24))*100+31)</f>
        <v/>
      </c>
      <c r="CR24">
        <f>IF(OR(BC24=1,calcA!$A$6=0),1000000000,IF('calcA'!$JF$41=1,0,100000000)+IF('calcA'!$IQ$41=2,SUMPRODUCT('calcA'!$D$91:$EQ$91,$DB24:$IO24,$IQ24:$OD24)*1000+SUMPRODUCT('calcA'!$D$91:$EQ$91,$DB24:$IO24+$ZQ24:$AFD24,$AFF24:$AKS24),SUMPRODUCT('calcA'!$D$91:$EQ$91,$DB24:$IO24*1001+$ZQ24:$AFD24))*100+32)</f>
        <v/>
      </c>
      <c r="CS24">
        <f>IF(OR(BD24=1,calcA!$A$6=0),1000000000,IF('calcA'!$JF$42=1,0,100000000)+IF('calcA'!$IQ$42=2,SUMPRODUCT('calcA'!$D$92:$EQ$92,$DB24:$IO24,$IQ24:$OD24)*1000+SUMPRODUCT('calcA'!$D$92:$EQ$92,$DB24:$IO24+$ZQ24:$AFD24,$AFF24:$AKS24),SUMPRODUCT('calcA'!$D$92:$EQ$92,$DB24:$IO24*1001+$ZQ24:$AFD24))*100+33)</f>
        <v/>
      </c>
      <c r="CT24">
        <f>IF(OR(BE24=1,calcA!$A$6=0),1000000000,IF('calcA'!$JF$43=1,0,100000000)+IF('calcA'!$IQ$43=2,SUMPRODUCT('calcA'!$D$93:$EQ$93,$DB24:$IO24,$IQ24:$OD24)*1000+SUMPRODUCT('calcA'!$D$93:$EQ$93,$DB24:$IO24+$ZQ24:$AFD24,$AFF24:$AKS24),SUMPRODUCT('calcA'!$D$93:$EQ$93,$DB24:$IO24*1001+$ZQ24:$AFD24))*100+34)</f>
        <v/>
      </c>
      <c r="CU24">
        <f>IF(OR(BF24=1,calcA!$A$6=0),1000000000,IF('calcA'!$JF$44=1,0,100000000)+IF('calcA'!$IQ$44=2,SUMPRODUCT('calcA'!$D$94:$EQ$94,$DB24:$IO24,$IQ24:$OD24)*1000+SUMPRODUCT('calcA'!$D$94:$EQ$94,$DB24:$IO24+$ZQ24:$AFD24,$AFF24:$AKS24),SUMPRODUCT('calcA'!$D$94:$EQ$94,$DB24:$IO24*1001+$ZQ24:$AFD24))*100+35)</f>
        <v/>
      </c>
      <c r="CV24">
        <f>IF(OR(BG24=1,calcA!$A$6=0),1000000000,IF('calcA'!$JF$45=1,0,100000000)+IF('calcA'!$IQ$45=2,SUMPRODUCT('calcA'!$D$95:$EQ$95,$DB24:$IO24,$IQ24:$OD24)*1000+SUMPRODUCT('calcA'!$D$95:$EQ$95,$DB24:$IO24+$ZQ24:$AFD24,$AFF24:$AKS24),SUMPRODUCT('calcA'!$D$95:$EQ$95,$DB24:$IO24*1001+$ZQ24:$AFD24))*100+36)</f>
        <v/>
      </c>
      <c r="CW24">
        <f>IF(OR(BH24=1,calcA!$A$6=0),1000000000,IF('calcA'!$JF$46=1,0,100000000)+IF('calcA'!$IQ$46=2,SUMPRODUCT('calcA'!$D$96:$EQ$96,$DB24:$IO24,$IQ24:$OD24)*1000+SUMPRODUCT('calcA'!$D$96:$EQ$96,$DB24:$IO24+$ZQ24:$AFD24,$AFF24:$AKS24),SUMPRODUCT('calcA'!$D$96:$EQ$96,$DB24:$IO24*1001+$ZQ24:$AFD24))*100+37)</f>
        <v/>
      </c>
      <c r="CX24">
        <f>IF(OR(BI24=1,calcA!$A$6=0),1000000000,IF('calcA'!$JF$47=1,0,100000000)+IF('calcA'!$IQ$47=2,SUMPRODUCT('calcA'!$D$97:$EQ$97,$DB24:$IO24,$IQ24:$OD24)*1000+SUMPRODUCT('calcA'!$D$97:$EQ$97,$DB24:$IO24+$ZQ24:$AFD24,$AFF24:$AKS24),SUMPRODUCT('calcA'!$D$97:$EQ$97,$DB24:$IO24*1001+$ZQ24:$AFD24))*100+38)</f>
        <v/>
      </c>
      <c r="CY24">
        <f>IF(OR(BJ24=1,calcA!$A$6=0),1000000000,IF('calcA'!$JF$48=1,0,100000000)+IF('calcA'!$IQ$48=2,SUMPRODUCT('calcA'!$D$98:$EQ$98,$DB24:$IO24,$IQ24:$OD24)*1000+SUMPRODUCT('calcA'!$D$98:$EQ$98,$DB24:$IO24+$ZQ24:$AFD24,$AFF24:$AKS24),SUMPRODUCT('calcA'!$D$98:$EQ$98,$DB24:$IO24*1001+$ZQ24:$AFD24))*100+39)</f>
        <v/>
      </c>
      <c r="CZ24">
        <f>IF(OR(BK24=1,calcA!$A$6=0),1000000000,IF('calcA'!$JF$49=1,0,100000000)+IF('calcA'!$IQ$49=2,SUMPRODUCT('calcA'!$D$99:$EQ$99,$DB24:$IO24,$IQ24:$OD24)*1000+SUMPRODUCT('calcA'!$D$99:$EQ$99,$DB24:$IO24+$ZQ24:$AFD24,$AFF24:$AKS24),SUMPRODUCT('calcA'!$D$99:$EQ$99,$DB24:$IO24*1001+$ZQ24:$AFD24))*100+40)</f>
        <v/>
      </c>
      <c r="DB24">
        <f>DB23*IF(OR($C23=1,$G23=1),0,1)</f>
        <v/>
      </c>
      <c r="DC24">
        <f>DC23*IF(OR($C23=2,$G23=2),0,1)</f>
        <v/>
      </c>
      <c r="DD24">
        <f>DD23*IF(OR($C23=3,$G23=3),0,1)</f>
        <v/>
      </c>
      <c r="DE24">
        <f>DE23*IF(OR($C23=4,$G23=4),0,1)</f>
        <v/>
      </c>
      <c r="DF24">
        <f>DF23*IF(OR($C23=5,$G23=5),0,1)</f>
        <v/>
      </c>
      <c r="DG24">
        <f>DG23*IF(OR($C23=6,$G23=6),0,1)</f>
        <v/>
      </c>
      <c r="DH24">
        <f>DH23*IF(OR($C23=7,$G23=7),0,1)</f>
        <v/>
      </c>
      <c r="DI24">
        <f>DI23*IF(OR($C23=8,$G23=8),0,1)</f>
        <v/>
      </c>
      <c r="DJ24">
        <f>DJ23*IF(OR($C23=9,$G23=9),0,1)</f>
        <v/>
      </c>
      <c r="DK24">
        <f>DK23*IF(OR($C23=10,$G23=10),0,1)</f>
        <v/>
      </c>
      <c r="DL24">
        <f>DL23*IF(OR($C23=11,$G23=11),0,1)</f>
        <v/>
      </c>
      <c r="DM24">
        <f>DM23*IF(OR($C23=12,$G23=12),0,1)</f>
        <v/>
      </c>
      <c r="DN24">
        <f>DN23*IF(OR($C23=13,$G23=13),0,1)</f>
        <v/>
      </c>
      <c r="DO24">
        <f>DO23*IF(OR($C23=14,$G23=14),0,1)</f>
        <v/>
      </c>
      <c r="DP24">
        <f>DP23*IF(OR($C23=15,$G23=15),0,1)</f>
        <v/>
      </c>
      <c r="DQ24">
        <f>DQ23*IF(OR($C23=16,$G23=16),0,1)</f>
        <v/>
      </c>
      <c r="DR24">
        <f>DR23*IF(OR($C23=17,$G23=17),0,1)</f>
        <v/>
      </c>
      <c r="DS24">
        <f>DS23*IF(OR($C23=18,$G23=18),0,1)</f>
        <v/>
      </c>
      <c r="DT24">
        <f>DT23*IF(OR($C23=19,$G23=19),0,1)</f>
        <v/>
      </c>
      <c r="DU24">
        <f>DU23*IF(OR($C23=20,$G23=20),0,1)</f>
        <v/>
      </c>
      <c r="DV24">
        <f>DV23*IF(OR($C23=21,$G23=21),0,1)</f>
        <v/>
      </c>
      <c r="DW24">
        <f>DW23*IF(OR($C23=22,$G23=22),0,1)</f>
        <v/>
      </c>
      <c r="DX24">
        <f>DX23*IF(OR($C23=23,$G23=23),0,1)</f>
        <v/>
      </c>
      <c r="DY24">
        <f>DY23*IF(OR($C23=24,$G23=24),0,1)</f>
        <v/>
      </c>
      <c r="DZ24">
        <f>DZ23*IF(OR($C23=25,$G23=25),0,1)</f>
        <v/>
      </c>
      <c r="EA24">
        <f>EA23*IF(OR($C23=26,$G23=26),0,1)</f>
        <v/>
      </c>
      <c r="EB24">
        <f>EB23*IF(OR($C23=27,$G23=27),0,1)</f>
        <v/>
      </c>
      <c r="EC24">
        <f>EC23*IF(OR($C23=28,$G23=28),0,1)</f>
        <v/>
      </c>
      <c r="ED24">
        <f>ED23*IF(OR($C23=29,$G23=29),0,1)</f>
        <v/>
      </c>
      <c r="EE24">
        <f>EE23*IF(OR($C23=30,$G23=30),0,1)</f>
        <v/>
      </c>
      <c r="EF24">
        <f>EF23*IF(OR($C23=31,$G23=31),0,1)</f>
        <v/>
      </c>
      <c r="EG24">
        <f>EG23*IF(OR($C23=32,$G23=32),0,1)</f>
        <v/>
      </c>
      <c r="EH24">
        <f>EH23*IF(OR($C23=33,$G23=33),0,1)</f>
        <v/>
      </c>
      <c r="EI24">
        <f>EI23*IF(OR($C23=34,$G23=34),0,1)</f>
        <v/>
      </c>
      <c r="EJ24">
        <f>EJ23*IF(OR($C23=35,$G23=35),0,1)</f>
        <v/>
      </c>
      <c r="EK24">
        <f>EK23*IF(OR($C23=36,$G23=36),0,1)</f>
        <v/>
      </c>
      <c r="EL24">
        <f>EL23*IF(OR($C23=37,$G23=37),0,1)</f>
        <v/>
      </c>
      <c r="EM24">
        <f>EM23*IF(OR($C23=38,$G23=38),0,1)</f>
        <v/>
      </c>
      <c r="EN24">
        <f>EN23*IF(OR($C23=39,$G23=39),0,1)</f>
        <v/>
      </c>
      <c r="EO24">
        <f>EO23*IF(OR($C23=40,$G23=40),0,1)</f>
        <v/>
      </c>
      <c r="EP24">
        <f>EP23*IF(OR($C23=41,$G23=41),0,1)</f>
        <v/>
      </c>
      <c r="EQ24">
        <f>EQ23*IF(OR($C23=42,$G23=42),0,1)</f>
        <v/>
      </c>
      <c r="ER24">
        <f>ER23*IF(OR($C23=43,$G23=43),0,1)</f>
        <v/>
      </c>
      <c r="ES24">
        <f>ES23*IF(OR($C23=44,$G23=44),0,1)</f>
        <v/>
      </c>
      <c r="ET24">
        <f>ET23*IF(OR($C23=45,$G23=45),0,1)</f>
        <v/>
      </c>
      <c r="EU24">
        <f>EU23*IF(OR($C23=46,$G23=46),0,1)</f>
        <v/>
      </c>
      <c r="EV24">
        <f>EV23*IF(OR($C23=47,$G23=47),0,1)</f>
        <v/>
      </c>
      <c r="EW24">
        <f>EW23*IF(OR($C23=48,$G23=48),0,1)</f>
        <v/>
      </c>
      <c r="EX24">
        <f>EX23*IF(OR($C23=49,$G23=49),0,1)</f>
        <v/>
      </c>
      <c r="EY24">
        <f>EY23*IF(OR($C23=50,$G23=50),0,1)</f>
        <v/>
      </c>
      <c r="EZ24">
        <f>EZ23*IF(OR($C23=51,$G23=51),0,1)</f>
        <v/>
      </c>
      <c r="FA24">
        <f>FA23*IF(OR($C23=52,$G23=52),0,1)</f>
        <v/>
      </c>
      <c r="FB24">
        <f>FB23*IF(OR($C23=53,$G23=53),0,1)</f>
        <v/>
      </c>
      <c r="FC24">
        <f>FC23*IF(OR($C23=54,$G23=54),0,1)</f>
        <v/>
      </c>
      <c r="FD24">
        <f>FD23*IF(OR($C23=55,$G23=55),0,1)</f>
        <v/>
      </c>
      <c r="FE24">
        <f>FE23*IF(OR($C23=56,$G23=56),0,1)</f>
        <v/>
      </c>
      <c r="FF24">
        <f>FF23*IF(OR($C23=57,$G23=57),0,1)</f>
        <v/>
      </c>
      <c r="FG24">
        <f>FG23*IF(OR($C23=58,$G23=58),0,1)</f>
        <v/>
      </c>
      <c r="FH24">
        <f>FH23*IF(OR($C23=59,$G23=59),0,1)</f>
        <v/>
      </c>
      <c r="FI24">
        <f>FI23*IF(OR($C23=60,$G23=60),0,1)</f>
        <v/>
      </c>
      <c r="FJ24">
        <f>FJ23*IF(OR($C23=61,$G23=61),0,1)</f>
        <v/>
      </c>
      <c r="FK24">
        <f>FK23*IF(OR($C23=62,$G23=62),0,1)</f>
        <v/>
      </c>
      <c r="FL24">
        <f>FL23*IF(OR($C23=63,$G23=63),0,1)</f>
        <v/>
      </c>
      <c r="FM24">
        <f>FM23*IF(OR($C23=64,$G23=64),0,1)</f>
        <v/>
      </c>
      <c r="FN24">
        <f>FN23*IF(OR($C23=65,$G23=65),0,1)</f>
        <v/>
      </c>
      <c r="FO24">
        <f>FO23*IF(OR($C23=66,$G23=66),0,1)</f>
        <v/>
      </c>
      <c r="FP24">
        <f>FP23*IF(OR($C23=67,$G23=67),0,1)</f>
        <v/>
      </c>
      <c r="FQ24">
        <f>FQ23*IF(OR($C23=68,$G23=68),0,1)</f>
        <v/>
      </c>
      <c r="FR24">
        <f>FR23*IF(OR($C23=69,$G23=69),0,1)</f>
        <v/>
      </c>
      <c r="FS24">
        <f>FS23*IF(OR($C23=70,$G23=70),0,1)</f>
        <v/>
      </c>
      <c r="FT24">
        <f>FT23*IF(OR($C23=71,$G23=71),0,1)</f>
        <v/>
      </c>
      <c r="FU24">
        <f>FU23*IF(OR($C23=72,$G23=72),0,1)</f>
        <v/>
      </c>
      <c r="FV24">
        <f>FV23*IF(OR($C23=73,$G23=73),0,1)</f>
        <v/>
      </c>
      <c r="FW24">
        <f>FW23*IF(OR($C23=74,$G23=74),0,1)</f>
        <v/>
      </c>
      <c r="FX24">
        <f>FX23*IF(OR($C23=75,$G23=75),0,1)</f>
        <v/>
      </c>
      <c r="FY24">
        <f>FY23*IF(OR($C23=76,$G23=76),0,1)</f>
        <v/>
      </c>
      <c r="FZ24">
        <f>FZ23*IF(OR($C23=77,$G23=77),0,1)</f>
        <v/>
      </c>
      <c r="GA24">
        <f>GA23*IF(OR($C23=78,$G23=78),0,1)</f>
        <v/>
      </c>
      <c r="GB24">
        <f>GB23*IF(OR($C23=79,$G23=79),0,1)</f>
        <v/>
      </c>
      <c r="GC24">
        <f>GC23*IF(OR($C23=80,$G23=80),0,1)</f>
        <v/>
      </c>
      <c r="GD24">
        <f>GD23*IF(OR($C23=81,$G23=81),0,1)</f>
        <v/>
      </c>
      <c r="GE24">
        <f>GE23*IF(OR($C23=82,$G23=82),0,1)</f>
        <v/>
      </c>
      <c r="GF24">
        <f>GF23*IF(OR($C23=83,$G23=83),0,1)</f>
        <v/>
      </c>
      <c r="GG24">
        <f>GG23*IF(OR($C23=84,$G23=84),0,1)</f>
        <v/>
      </c>
      <c r="GH24">
        <f>GH23*IF(OR($C23=85,$G23=85),0,1)</f>
        <v/>
      </c>
      <c r="GI24">
        <f>GI23*IF(OR($C23=86,$G23=86),0,1)</f>
        <v/>
      </c>
      <c r="GJ24">
        <f>GJ23*IF(OR($C23=87,$G23=87),0,1)</f>
        <v/>
      </c>
      <c r="GK24">
        <f>GK23*IF(OR($C23=88,$G23=88),0,1)</f>
        <v/>
      </c>
      <c r="GL24">
        <f>GL23*IF(OR($C23=89,$G23=89),0,1)</f>
        <v/>
      </c>
      <c r="GM24">
        <f>GM23*IF(OR($C23=90,$G23=90),0,1)</f>
        <v/>
      </c>
      <c r="GN24">
        <f>GN23*IF(OR($C23=91,$G23=91),0,1)</f>
        <v/>
      </c>
      <c r="GO24">
        <f>GO23*IF(OR($C23=92,$G23=92),0,1)</f>
        <v/>
      </c>
      <c r="GP24">
        <f>GP23*IF(OR($C23=93,$G23=93),0,1)</f>
        <v/>
      </c>
      <c r="GQ24">
        <f>GQ23*IF(OR($C23=94,$G23=94),0,1)</f>
        <v/>
      </c>
      <c r="GR24">
        <f>GR23*IF(OR($C23=95,$G23=95),0,1)</f>
        <v/>
      </c>
      <c r="GS24">
        <f>GS23*IF(OR($C23=96,$G23=96),0,1)</f>
        <v/>
      </c>
      <c r="GT24">
        <f>GT23*IF(OR($C23=97,$G23=97),0,1)</f>
        <v/>
      </c>
      <c r="GU24">
        <f>GU23*IF(OR($C23=98,$G23=98),0,1)</f>
        <v/>
      </c>
      <c r="GV24">
        <f>GV23*IF(OR($C23=99,$G23=99),0,1)</f>
        <v/>
      </c>
      <c r="GW24">
        <f>GW23*IF(OR($C23=100,$G23=100),0,1)</f>
        <v/>
      </c>
      <c r="GX24">
        <f>GX23*IF(OR($C23=101,$G23=101),0,1)</f>
        <v/>
      </c>
      <c r="GY24">
        <f>GY23*IF(OR($C23=102,$G23=102),0,1)</f>
        <v/>
      </c>
      <c r="GZ24">
        <f>GZ23*IF(OR($C23=103,$G23=103),0,1)</f>
        <v/>
      </c>
      <c r="HA24">
        <f>HA23*IF(OR($C23=104,$G23=104),0,1)</f>
        <v/>
      </c>
      <c r="HB24">
        <f>HB23*IF(OR($C23=105,$G23=105),0,1)</f>
        <v/>
      </c>
      <c r="HC24">
        <f>HC23*IF(OR($C23=106,$G23=106),0,1)</f>
        <v/>
      </c>
      <c r="HD24">
        <f>HD23*IF(OR($C23=107,$G23=107),0,1)</f>
        <v/>
      </c>
      <c r="HE24">
        <f>HE23*IF(OR($C23=108,$G23=108),0,1)</f>
        <v/>
      </c>
      <c r="HF24">
        <f>HF23*IF(OR($C23=109,$G23=109),0,1)</f>
        <v/>
      </c>
      <c r="HG24">
        <f>HG23*IF(OR($C23=110,$G23=110),0,1)</f>
        <v/>
      </c>
      <c r="HH24">
        <f>HH23*IF(OR($C23=111,$G23=111),0,1)</f>
        <v/>
      </c>
      <c r="HI24">
        <f>HI23*IF(OR($C23=112,$G23=112),0,1)</f>
        <v/>
      </c>
      <c r="HJ24">
        <f>HJ23*IF(OR($C23=113,$G23=113),0,1)</f>
        <v/>
      </c>
      <c r="HK24">
        <f>HK23*IF(OR($C23=114,$G23=114),0,1)</f>
        <v/>
      </c>
      <c r="HL24">
        <f>HL23*IF(OR($C23=115,$G23=115),0,1)</f>
        <v/>
      </c>
      <c r="HM24">
        <f>HM23*IF(OR($C23=116,$G23=116),0,1)</f>
        <v/>
      </c>
      <c r="HN24">
        <f>HN23*IF(OR($C23=117,$G23=117),0,1)</f>
        <v/>
      </c>
      <c r="HO24">
        <f>HO23*IF(OR($C23=118,$G23=118),0,1)</f>
        <v/>
      </c>
      <c r="HP24">
        <f>HP23*IF(OR($C23=119,$G23=119),0,1)</f>
        <v/>
      </c>
      <c r="HQ24">
        <f>HQ23*IF(OR($C23=120,$G23=120),0,1)</f>
        <v/>
      </c>
      <c r="HR24">
        <f>HR23*IF(OR($C23=121,$G23=121),0,1)</f>
        <v/>
      </c>
      <c r="HS24">
        <f>HS23*IF(OR($C23=122,$G23=122),0,1)</f>
        <v/>
      </c>
      <c r="HT24">
        <f>HT23*IF(OR($C23=123,$G23=123),0,1)</f>
        <v/>
      </c>
      <c r="HU24">
        <f>HU23*IF(OR($C23=124,$G23=124),0,1)</f>
        <v/>
      </c>
      <c r="HV24">
        <f>HV23*IF(OR($C23=125,$G23=125),0,1)</f>
        <v/>
      </c>
      <c r="HW24">
        <f>HW23*IF(OR($C23=126,$G23=126),0,1)</f>
        <v/>
      </c>
      <c r="HX24">
        <f>HX23*IF(OR($C23=127,$G23=127),0,1)</f>
        <v/>
      </c>
      <c r="HY24">
        <f>HY23*IF(OR($C23=128,$G23=128),0,1)</f>
        <v/>
      </c>
      <c r="HZ24">
        <f>HZ23*IF(OR($C23=129,$G23=129),0,1)</f>
        <v/>
      </c>
      <c r="IA24">
        <f>IA23*IF(OR($C23=130,$G23=130),0,1)</f>
        <v/>
      </c>
      <c r="IB24">
        <f>IB23*IF(OR($C23=131,$G23=131),0,1)</f>
        <v/>
      </c>
      <c r="IC24">
        <f>IC23*IF(OR($C23=132,$G23=132),0,1)</f>
        <v/>
      </c>
      <c r="ID24">
        <f>ID23*IF(OR($C23=133,$G23=133),0,1)</f>
        <v/>
      </c>
      <c r="IE24">
        <f>IE23*IF(OR($C23=134,$G23=134),0,1)</f>
        <v/>
      </c>
      <c r="IF24">
        <f>IF23*IF(OR($C23=135,$G23=135),0,1)</f>
        <v/>
      </c>
      <c r="IG24">
        <f>IG23*IF(OR($C23=136,$G23=136),0,1)</f>
        <v/>
      </c>
      <c r="IH24">
        <f>IH23*IF(OR($C23=137,$G23=137),0,1)</f>
        <v/>
      </c>
      <c r="II24">
        <f>II23*IF(OR($C23=138,$G23=138),0,1)</f>
        <v/>
      </c>
      <c r="IJ24">
        <f>IJ23*IF(OR($C23=139,$G23=139),0,1)</f>
        <v/>
      </c>
      <c r="IK24">
        <f>IK23*IF(OR($C23=140,$G23=140),0,1)</f>
        <v/>
      </c>
      <c r="IL24">
        <f>IL23*IF(OR($C23=141,$G23=141),0,1)</f>
        <v/>
      </c>
      <c r="IM24">
        <f>IM23*IF(OR($C23=142,$G23=142),0,1)</f>
        <v/>
      </c>
      <c r="IN24">
        <f>IN23*IF(OR($C23=143,$G23=143),0,1)</f>
        <v/>
      </c>
      <c r="IO24">
        <f>IO23*IF(OR($C23=144,$G23=144),0,1)</f>
        <v/>
      </c>
      <c r="IQ24">
        <f>IF('calcA'!D$106=1,DC24,1)</f>
        <v/>
      </c>
      <c r="IR24">
        <f>IF('calcA'!E$106=1,DD24,1)</f>
        <v/>
      </c>
      <c r="IS24">
        <f>IF('calcA'!F$106=1,DE24,1)</f>
        <v/>
      </c>
      <c r="IT24">
        <f>IF('calcA'!G$106=1,DF24,1)</f>
        <v/>
      </c>
      <c r="IU24">
        <f>IF('calcA'!H$106=1,DG24,1)</f>
        <v/>
      </c>
      <c r="IV24">
        <f>IF('calcA'!I$106=1,DH24,1)</f>
        <v/>
      </c>
      <c r="IW24">
        <f>IF('calcA'!J$106=1,DI24,1)</f>
        <v/>
      </c>
      <c r="IX24">
        <f>IF('calcA'!K$106=1,DJ24,1)</f>
        <v/>
      </c>
      <c r="IY24">
        <f>IF('calcA'!L$106=1,DK24,1)</f>
        <v/>
      </c>
      <c r="IZ24">
        <f>IF('calcA'!M$106=1,DL24,1)</f>
        <v/>
      </c>
      <c r="JA24">
        <f>IF('calcA'!N$106=1,DM24,1)</f>
        <v/>
      </c>
      <c r="JB24">
        <f>IF('calcA'!O$106=1,DN24,1)</f>
        <v/>
      </c>
      <c r="JC24">
        <f>IF('calcA'!P$106=1,DO24,1)</f>
        <v/>
      </c>
      <c r="JD24">
        <f>IF('calcA'!Q$106=1,DP24,1)</f>
        <v/>
      </c>
      <c r="JE24">
        <f>IF('calcA'!R$106=1,DQ24,1)</f>
        <v/>
      </c>
      <c r="JF24">
        <f>IF('calcA'!S$106=1,DR24,1)</f>
        <v/>
      </c>
      <c r="JG24">
        <f>IF('calcA'!T$106=1,DS24,1)</f>
        <v/>
      </c>
      <c r="JH24">
        <f>IF('calcA'!U$106=1,DT24,1)</f>
        <v/>
      </c>
      <c r="JI24">
        <f>IF('calcA'!V$106=1,DU24,1)</f>
        <v/>
      </c>
      <c r="JJ24">
        <f>IF('calcA'!W$106=1,DV24,1)</f>
        <v/>
      </c>
      <c r="JK24">
        <f>IF('calcA'!X$106=1,DW24,1)</f>
        <v/>
      </c>
      <c r="JL24">
        <f>IF('calcA'!Y$106=1,DX24,1)</f>
        <v/>
      </c>
      <c r="JM24">
        <f>IF('calcA'!Z$106=1,DY24,1)</f>
        <v/>
      </c>
      <c r="JN24">
        <f>IF('calcA'!AA$106=1,DZ24,1)</f>
        <v/>
      </c>
      <c r="JO24">
        <f>IF('calcA'!AB$106=1,EA24,1)</f>
        <v/>
      </c>
      <c r="JP24">
        <f>IF('calcA'!AC$106=1,EB24,1)</f>
        <v/>
      </c>
      <c r="JQ24">
        <f>IF('calcA'!AD$106=1,EC24,1)</f>
        <v/>
      </c>
      <c r="JR24">
        <f>IF('calcA'!AE$106=1,ED24,1)</f>
        <v/>
      </c>
      <c r="JS24">
        <f>IF('calcA'!AF$106=1,EE24,1)</f>
        <v/>
      </c>
      <c r="JT24">
        <f>IF('calcA'!AG$106=1,EF24,1)</f>
        <v/>
      </c>
      <c r="JU24">
        <f>IF('calcA'!AH$106=1,EG24,1)</f>
        <v/>
      </c>
      <c r="JV24">
        <f>IF('calcA'!AI$106=1,EH24,1)</f>
        <v/>
      </c>
      <c r="JW24">
        <f>IF('calcA'!AJ$106=1,EI24,1)</f>
        <v/>
      </c>
      <c r="JX24">
        <f>IF('calcA'!AK$106=1,EJ24,1)</f>
        <v/>
      </c>
      <c r="JY24">
        <f>IF('calcA'!AL$106=1,EK24,1)</f>
        <v/>
      </c>
      <c r="JZ24">
        <f>IF('calcA'!AM$106=1,EL24,1)</f>
        <v/>
      </c>
      <c r="KA24">
        <f>IF('calcA'!AN$106=1,EM24,1)</f>
        <v/>
      </c>
      <c r="KB24">
        <f>IF('calcA'!AO$106=1,EN24,1)</f>
        <v/>
      </c>
      <c r="KC24">
        <f>IF('calcA'!AP$106=1,EO24,1)</f>
        <v/>
      </c>
      <c r="KD24">
        <f>IF('calcA'!AQ$106=1,EP24,1)</f>
        <v/>
      </c>
      <c r="KE24">
        <f>IF('calcA'!AR$106=1,EQ24,1)</f>
        <v/>
      </c>
      <c r="KF24">
        <f>IF('calcA'!AS$106=1,ER24,1)</f>
        <v/>
      </c>
      <c r="KG24">
        <f>IF('calcA'!AT$106=1,ES24,1)</f>
        <v/>
      </c>
      <c r="KH24">
        <f>IF('calcA'!AU$106=1,ET24,1)</f>
        <v/>
      </c>
      <c r="KI24">
        <f>IF('calcA'!AV$106=1,EU24,1)</f>
        <v/>
      </c>
      <c r="KJ24">
        <f>IF('calcA'!AW$106=1,EV24,1)</f>
        <v/>
      </c>
      <c r="KK24">
        <f>IF('calcA'!AX$106=1,EW24,1)</f>
        <v/>
      </c>
      <c r="KL24">
        <f>IF('calcA'!AY$106=1,EX24,1)</f>
        <v/>
      </c>
      <c r="KM24">
        <f>IF('calcA'!AZ$106=1,EY24,1)</f>
        <v/>
      </c>
      <c r="KN24">
        <f>IF('calcA'!BA$106=1,EZ24,1)</f>
        <v/>
      </c>
      <c r="KO24">
        <f>IF('calcA'!BB$106=1,FA24,1)</f>
        <v/>
      </c>
      <c r="KP24">
        <f>IF('calcA'!BC$106=1,FB24,1)</f>
        <v/>
      </c>
      <c r="KQ24">
        <f>IF('calcA'!BD$106=1,FC24,1)</f>
        <v/>
      </c>
      <c r="KR24">
        <f>IF('calcA'!BE$106=1,FD24,1)</f>
        <v/>
      </c>
      <c r="KS24">
        <f>IF('calcA'!BF$106=1,FE24,1)</f>
        <v/>
      </c>
      <c r="KT24">
        <f>IF('calcA'!BG$106=1,FF24,1)</f>
        <v/>
      </c>
      <c r="KU24">
        <f>IF('calcA'!BH$106=1,FG24,1)</f>
        <v/>
      </c>
      <c r="KV24">
        <f>IF('calcA'!BI$106=1,FH24,1)</f>
        <v/>
      </c>
      <c r="KW24">
        <f>IF('calcA'!BJ$106=1,FI24,1)</f>
        <v/>
      </c>
      <c r="KX24">
        <f>IF('calcA'!BK$106=1,FJ24,1)</f>
        <v/>
      </c>
      <c r="KY24">
        <f>IF('calcA'!BL$106=1,FK24,1)</f>
        <v/>
      </c>
      <c r="KZ24">
        <f>IF('calcA'!BM$106=1,FL24,1)</f>
        <v/>
      </c>
      <c r="LA24">
        <f>IF('calcA'!BN$106=1,FM24,1)</f>
        <v/>
      </c>
      <c r="LB24">
        <f>IF('calcA'!BO$106=1,FN24,1)</f>
        <v/>
      </c>
      <c r="LC24">
        <f>IF('calcA'!BP$106=1,FO24,1)</f>
        <v/>
      </c>
      <c r="LD24">
        <f>IF('calcA'!BQ$106=1,FP24,1)</f>
        <v/>
      </c>
      <c r="LE24">
        <f>IF('calcA'!BR$106=1,FQ24,1)</f>
        <v/>
      </c>
      <c r="LF24">
        <f>IF('calcA'!BS$106=1,FR24,1)</f>
        <v/>
      </c>
      <c r="LG24">
        <f>IF('calcA'!BT$106=1,FS24,1)</f>
        <v/>
      </c>
      <c r="LH24">
        <f>IF('calcA'!BU$106=1,FT24,1)</f>
        <v/>
      </c>
      <c r="LI24">
        <f>IF('calcA'!BV$106=1,FU24,1)</f>
        <v/>
      </c>
      <c r="LJ24">
        <f>IF('calcA'!BW$106=1,FV24,1)</f>
        <v/>
      </c>
      <c r="LK24">
        <f>IF('calcA'!BX$106=1,FW24,1)</f>
        <v/>
      </c>
      <c r="LL24">
        <f>IF('calcA'!BY$106=1,FX24,1)</f>
        <v/>
      </c>
      <c r="LM24">
        <f>IF('calcA'!BZ$106=1,FY24,1)</f>
        <v/>
      </c>
      <c r="LN24">
        <f>IF('calcA'!CA$106=1,FZ24,1)</f>
        <v/>
      </c>
      <c r="LO24">
        <f>IF('calcA'!CB$106=1,GA24,1)</f>
        <v/>
      </c>
      <c r="LP24">
        <f>IF('calcA'!CC$106=1,GB24,1)</f>
        <v/>
      </c>
      <c r="LQ24">
        <f>IF('calcA'!CD$106=1,GC24,1)</f>
        <v/>
      </c>
      <c r="LR24">
        <f>IF('calcA'!CE$106=1,GD24,1)</f>
        <v/>
      </c>
      <c r="LS24">
        <f>IF('calcA'!CF$106=1,GE24,1)</f>
        <v/>
      </c>
      <c r="LT24">
        <f>IF('calcA'!CG$106=1,GF24,1)</f>
        <v/>
      </c>
      <c r="LU24">
        <f>IF('calcA'!CH$106=1,GG24,1)</f>
        <v/>
      </c>
      <c r="LV24">
        <f>IF('calcA'!CI$106=1,GH24,1)</f>
        <v/>
      </c>
      <c r="LW24">
        <f>IF('calcA'!CJ$106=1,GI24,1)</f>
        <v/>
      </c>
      <c r="LX24">
        <f>IF('calcA'!CK$106=1,GJ24,1)</f>
        <v/>
      </c>
      <c r="LY24">
        <f>IF('calcA'!CL$106=1,GK24,1)</f>
        <v/>
      </c>
      <c r="LZ24">
        <f>IF('calcA'!CM$106=1,GL24,1)</f>
        <v/>
      </c>
      <c r="MA24">
        <f>IF('calcA'!CN$106=1,GM24,1)</f>
        <v/>
      </c>
      <c r="MB24">
        <f>IF('calcA'!CO$106=1,GN24,1)</f>
        <v/>
      </c>
      <c r="MC24">
        <f>IF('calcA'!CP$106=1,GO24,1)</f>
        <v/>
      </c>
      <c r="MD24">
        <f>IF('calcA'!CQ$106=1,GP24,1)</f>
        <v/>
      </c>
      <c r="ME24">
        <f>IF('calcA'!CR$106=1,GQ24,1)</f>
        <v/>
      </c>
      <c r="MF24">
        <f>IF('calcA'!CS$106=1,GR24,1)</f>
        <v/>
      </c>
      <c r="MG24">
        <f>IF('calcA'!CT$106=1,GS24,1)</f>
        <v/>
      </c>
      <c r="MH24">
        <f>IF('calcA'!CU$106=1,GT24,1)</f>
        <v/>
      </c>
      <c r="MI24">
        <f>IF('calcA'!CV$106=1,GU24,1)</f>
        <v/>
      </c>
      <c r="MJ24">
        <f>IF('calcA'!CW$106=1,GV24,1)</f>
        <v/>
      </c>
      <c r="MK24">
        <f>IF('calcA'!CX$106=1,GW24,1)</f>
        <v/>
      </c>
      <c r="ML24">
        <f>IF('calcA'!CY$106=1,GX24,1)</f>
        <v/>
      </c>
      <c r="MM24">
        <f>IF('calcA'!CZ$106=1,GY24,1)</f>
        <v/>
      </c>
      <c r="MN24">
        <f>IF('calcA'!DA$106=1,GZ24,1)</f>
        <v/>
      </c>
      <c r="MO24">
        <f>IF('calcA'!DB$106=1,HA24,1)</f>
        <v/>
      </c>
      <c r="MP24">
        <f>IF('calcA'!DC$106=1,HB24,1)</f>
        <v/>
      </c>
      <c r="MQ24">
        <f>IF('calcA'!DD$106=1,HC24,1)</f>
        <v/>
      </c>
      <c r="MR24">
        <f>IF('calcA'!DE$106=1,HD24,1)</f>
        <v/>
      </c>
      <c r="MS24">
        <f>IF('calcA'!DF$106=1,HE24,1)</f>
        <v/>
      </c>
      <c r="MT24">
        <f>IF('calcA'!DG$106=1,HF24,1)</f>
        <v/>
      </c>
      <c r="MU24">
        <f>IF('calcA'!DH$106=1,HG24,1)</f>
        <v/>
      </c>
      <c r="MV24">
        <f>IF('calcA'!DI$106=1,HH24,1)</f>
        <v/>
      </c>
      <c r="MW24">
        <f>IF('calcA'!DJ$106=1,HI24,1)</f>
        <v/>
      </c>
      <c r="MX24">
        <f>IF('calcA'!DK$106=1,HJ24,1)</f>
        <v/>
      </c>
      <c r="MY24">
        <f>IF('calcA'!DL$106=1,HK24,1)</f>
        <v/>
      </c>
      <c r="MZ24">
        <f>IF('calcA'!DM$106=1,HL24,1)</f>
        <v/>
      </c>
      <c r="NA24">
        <f>IF('calcA'!DN$106=1,HM24,1)</f>
        <v/>
      </c>
      <c r="NB24">
        <f>IF('calcA'!DO$106=1,HN24,1)</f>
        <v/>
      </c>
      <c r="NC24">
        <f>IF('calcA'!DP$106=1,HO24,1)</f>
        <v/>
      </c>
      <c r="ND24">
        <f>IF('calcA'!DQ$106=1,HP24,1)</f>
        <v/>
      </c>
      <c r="NE24">
        <f>IF('calcA'!DR$106=1,HQ24,1)</f>
        <v/>
      </c>
      <c r="NF24">
        <f>IF('calcA'!DS$106=1,HR24,1)</f>
        <v/>
      </c>
      <c r="NG24">
        <f>IF('calcA'!DT$106=1,HS24,1)</f>
        <v/>
      </c>
      <c r="NH24">
        <f>IF('calcA'!DU$106=1,HT24,1)</f>
        <v/>
      </c>
      <c r="NI24">
        <f>IF('calcA'!DV$106=1,HU24,1)</f>
        <v/>
      </c>
      <c r="NJ24">
        <f>IF('calcA'!DW$106=1,HV24,1)</f>
        <v/>
      </c>
      <c r="NK24">
        <f>IF('calcA'!DX$106=1,HW24,1)</f>
        <v/>
      </c>
      <c r="NL24">
        <f>IF('calcA'!DY$106=1,HX24,1)</f>
        <v/>
      </c>
      <c r="NM24">
        <f>IF('calcA'!DZ$106=1,HY24,1)</f>
        <v/>
      </c>
      <c r="NN24">
        <f>IF('calcA'!EA$106=1,HZ24,1)</f>
        <v/>
      </c>
      <c r="NO24">
        <f>IF('calcA'!EB$106=1,IA24,1)</f>
        <v/>
      </c>
      <c r="NP24">
        <f>IF('calcA'!EC$106=1,IB24,1)</f>
        <v/>
      </c>
      <c r="NQ24">
        <f>IF('calcA'!ED$106=1,IC24,1)</f>
        <v/>
      </c>
      <c r="NR24">
        <f>IF('calcA'!EE$106=1,ID24,1)</f>
        <v/>
      </c>
      <c r="NS24">
        <f>IF('calcA'!EF$106=1,IE24,1)</f>
        <v/>
      </c>
      <c r="NT24">
        <f>IF('calcA'!EG$106=1,IF24,1)</f>
        <v/>
      </c>
      <c r="NU24">
        <f>IF('calcA'!EH$106=1,IG24,1)</f>
        <v/>
      </c>
      <c r="NV24">
        <f>IF('calcA'!EI$106=1,IH24,1)</f>
        <v/>
      </c>
      <c r="NW24">
        <f>IF('calcA'!EJ$106=1,II24,1)</f>
        <v/>
      </c>
      <c r="NX24">
        <f>IF('calcA'!EK$106=1,IJ24,1)</f>
        <v/>
      </c>
      <c r="NY24">
        <f>IF('calcA'!EL$106=1,IK24,1)</f>
        <v/>
      </c>
      <c r="NZ24">
        <f>IF('calcA'!EM$106=1,IL24,1)</f>
        <v/>
      </c>
      <c r="OA24">
        <f>IF('calcA'!EN$106=1,IM24,1)</f>
        <v/>
      </c>
      <c r="OB24">
        <f>IF('calcA'!EO$106=1,IN24,1)</f>
        <v/>
      </c>
      <c r="OC24">
        <f>IF('calcA'!EP$106=1,IO24,1)</f>
        <v/>
      </c>
      <c r="OD24" t="n">
        <v>1</v>
      </c>
      <c r="OF24">
        <f>IF($B24=0,1000000000,IF(INDEX('calcA'!$D$60:$EQ$99,$B24,1)*IF($W24=1,DB24+ZQ24,DB24)=1,IF(AND($E24=2,IF($W24=1,AFF24,IQ24)=0),1000000000,IF($V24=1,INDEX('calcA'!$D$130:$EQ$169,$B24,1)+IF(AND($E24=1,IQ24=0),25,0),INDEX('calcA'!D$110:D$114,$F24+1)+IF(AND($E24=1,IQ24=0),1000,0)+IF($H24=1,INDEX('calcA'!$D$180:$EQ$219,$B24,1)*500,0)-IF(AND($U24=1,'calcA'!D$117=1,DC24=0),300,0))),1000000000))</f>
        <v/>
      </c>
      <c r="OG24">
        <f>IF($B24=0,1000000000,IF(INDEX('calcA'!$D$60:$EQ$99,$B24,2)*IF($W24=1,DC24+ZR24,DC24)=1,IF(AND($E24=2,IF($W24=1,AFG24,IR24)=0),1000000000,IF($V24=1,INDEX('calcA'!$D$130:$EQ$169,$B24,2)+IF(AND($E24=1,IR24=0),25,0),INDEX('calcA'!E$110:E$114,$F24+1)+IF(AND($E24=1,IR24=0),1000,0)+IF($H24=1,INDEX('calcA'!$D$180:$EQ$219,$B24,2)*500,0)-IF(AND('calcA'!D$117=1,UB24&gt;0),300,0)-IF(AND($U24=1,'calcA'!E$117=1,DD24=0),300,0))),1000000000))</f>
        <v/>
      </c>
      <c r="OH24">
        <f>IF($B24=0,1000000000,IF(INDEX('calcA'!$D$60:$EQ$99,$B24,3)*IF($W24=1,DD24+ZS24,DD24)=1,IF(AND($E24=2,IF($W24=1,AFH24,IS24)=0),1000000000,IF($V24=1,INDEX('calcA'!$D$130:$EQ$169,$B24,3)+IF(AND($E24=1,IS24=0),25,0),INDEX('calcA'!F$110:F$114,$F24+1)+IF(AND($E24=1,IS24=0),1000,0)+IF($H24=1,INDEX('calcA'!$D$180:$EQ$219,$B24,3)*500,0)-IF(AND('calcA'!E$117=1,UC24&gt;0),300,0)-IF(AND($U24=1,'calcA'!F$117=1,DE24=0),300,0))),1000000000))</f>
        <v/>
      </c>
      <c r="OI24">
        <f>IF($B24=0,1000000000,IF(INDEX('calcA'!$D$60:$EQ$99,$B24,4)*IF($W24=1,DE24+ZT24,DE24)=1,IF(AND($E24=2,IF($W24=1,AFI24,IT24)=0),1000000000,IF($V24=1,INDEX('calcA'!$D$130:$EQ$169,$B24,4)+IF(AND($E24=1,IT24=0),25,0),INDEX('calcA'!G$110:G$114,$F24+1)+IF(AND($E24=1,IT24=0),1000,0)+IF($H24=1,INDEX('calcA'!$D$180:$EQ$219,$B24,4)*500,0)-IF(AND('calcA'!F$117=1,UD24&gt;0),300,0)-IF(AND($U24=1,'calcA'!G$117=1,DF24=0),300,0))),1000000000))</f>
        <v/>
      </c>
      <c r="OJ24">
        <f>IF($B24=0,1000000000,IF(INDEX('calcA'!$D$60:$EQ$99,$B24,5)*IF($W24=1,DF24+ZU24,DF24)=1,IF(AND($E24=2,IF($W24=1,AFJ24,IU24)=0),1000000000,IF($V24=1,INDEX('calcA'!$D$130:$EQ$169,$B24,5)+IF(AND($E24=1,IU24=0),25,0),INDEX('calcA'!H$110:H$114,$F24+1)+IF(AND($E24=1,IU24=0),1000,0)+IF($H24=1,INDEX('calcA'!$D$180:$EQ$219,$B24,5)*500,0)-IF(AND('calcA'!G$117=1,UE24&gt;0),300,0)-IF(AND($U24=1,'calcA'!H$117=1,DG24=0),300,0))),1000000000))</f>
        <v/>
      </c>
      <c r="OK24">
        <f>IF($B24=0,1000000000,IF(INDEX('calcA'!$D$60:$EQ$99,$B24,6)*IF($W24=1,DG24+ZV24,DG24)=1,IF(AND($E24=2,IF($W24=1,AFK24,IV24)=0),1000000000,IF($V24=1,INDEX('calcA'!$D$130:$EQ$169,$B24,6)+IF(AND($E24=1,IV24=0),25,0),INDEX('calcA'!I$110:I$114,$F24+1)+IF(AND($E24=1,IV24=0),1000,0)+IF($H24=1,INDEX('calcA'!$D$180:$EQ$219,$B24,6)*500,0)-IF(AND('calcA'!H$117=1,UF24&gt;0),300,0)-IF(AND($U24=1,'calcA'!I$117=1,DH24=0),300,0))),1000000000))</f>
        <v/>
      </c>
      <c r="OL24">
        <f>IF($B24=0,1000000000,IF(INDEX('calcA'!$D$60:$EQ$99,$B24,7)*IF($W24=1,DH24+ZW24,DH24)=1,IF(AND($E24=2,IF($W24=1,AFL24,IW24)=0),1000000000,IF($V24=1,INDEX('calcA'!$D$130:$EQ$169,$B24,7)+IF(AND($E24=1,IW24=0),25,0),INDEX('calcA'!J$110:J$114,$F24+1)+IF(AND($E24=1,IW24=0),1000,0)+IF($H24=1,INDEX('calcA'!$D$180:$EQ$219,$B24,7)*500,0)-IF(AND('calcA'!I$117=1,UG24&gt;0),300,0)-IF(AND($U24=1,'calcA'!J$117=1,DI24=0),300,0))),1000000000))</f>
        <v/>
      </c>
      <c r="OM24">
        <f>IF($B24=0,1000000000,IF(INDEX('calcA'!$D$60:$EQ$99,$B24,8)*IF($W24=1,DI24+ZX24,DI24)=1,IF(AND($E24=2,IF($W24=1,AFM24,IX24)=0),1000000000,IF($V24=1,INDEX('calcA'!$D$130:$EQ$169,$B24,8)+IF(AND($E24=1,IX24=0),25,0),INDEX('calcA'!K$110:K$114,$F24+1)+IF(AND($E24=1,IX24=0),1000,0)+IF($H24=1,INDEX('calcA'!$D$180:$EQ$219,$B24,8)*500,0)-IF(AND('calcA'!J$117=1,UH24&gt;0),300,0)-IF(AND($U24=1,'calcA'!K$117=1,DJ24=0),300,0))),1000000000))</f>
        <v/>
      </c>
      <c r="ON24">
        <f>IF($B24=0,1000000000,IF(INDEX('calcA'!$D$60:$EQ$99,$B24,9)*IF($W24=1,DJ24+ZY24,DJ24)=1,IF(AND($E24=2,IF($W24=1,AFN24,IY24)=0),1000000000,IF($V24=1,INDEX('calcA'!$D$130:$EQ$169,$B24,9)+IF(AND($E24=1,IY24=0),25,0),INDEX('calcA'!L$110:L$114,$F24+1)+IF(AND($E24=1,IY24=0),1000,0)+IF($H24=1,INDEX('calcA'!$D$180:$EQ$219,$B24,9)*500,0)-IF(AND('calcA'!K$117=1,UI24&gt;0),300,0)-IF(AND($U24=1,'calcA'!L$117=1,DK24=0),300,0))),1000000000))</f>
        <v/>
      </c>
      <c r="OO24">
        <f>IF($B24=0,1000000000,IF(INDEX('calcA'!$D$60:$EQ$99,$B24,10)*IF($W24=1,DK24+ZZ24,DK24)=1,IF(AND($E24=2,IF($W24=1,AFO24,IZ24)=0),1000000000,IF($V24=1,INDEX('calcA'!$D$130:$EQ$169,$B24,10)+IF(AND($E24=1,IZ24=0),25,0),INDEX('calcA'!M$110:M$114,$F24+1)+IF(AND($E24=1,IZ24=0),1000,0)+IF($H24=1,INDEX('calcA'!$D$180:$EQ$219,$B24,10)*500,0)-IF(AND('calcA'!L$117=1,UJ24&gt;0),300,0)-IF(AND($U24=1,'calcA'!M$117=1,DL24=0),300,0))),1000000000))</f>
        <v/>
      </c>
      <c r="OP24">
        <f>IF($B24=0,1000000000,IF(INDEX('calcA'!$D$60:$EQ$99,$B24,11)*IF($W24=1,DL24+AAA24,DL24)=1,IF(AND($E24=2,IF($W24=1,AFP24,JA24)=0),1000000000,IF($V24=1,INDEX('calcA'!$D$130:$EQ$169,$B24,11)+IF(AND($E24=1,JA24=0),25,0),INDEX('calcA'!N$110:N$114,$F24+1)+IF(AND($E24=1,JA24=0),1000,0)+IF($H24=1,INDEX('calcA'!$D$180:$EQ$219,$B24,11)*500,0)-IF(AND('calcA'!M$117=1,UK24&gt;0),300,0)-IF(AND($U24=1,'calcA'!N$117=1,DM24=0),300,0))),1000000000))</f>
        <v/>
      </c>
      <c r="OQ24">
        <f>IF($B24=0,1000000000,IF(INDEX('calcA'!$D$60:$EQ$99,$B24,12)*IF($W24=1,DM24+AAB24,DM24)=1,IF(AND($E24=2,IF($W24=1,AFQ24,JB24)=0),1000000000,IF($V24=1,INDEX('calcA'!$D$130:$EQ$169,$B24,12)+IF(AND($E24=1,JB24=0),25,0),INDEX('calcA'!O$110:O$114,$F24+1)+IF(AND($E24=1,JB24=0),1000,0)+IF($H24=1,INDEX('calcA'!$D$180:$EQ$219,$B24,12)*500,0)-IF(AND('calcA'!N$117=1,UL24&gt;0),300,0)-IF(AND($U24=1,'calcA'!O$117=1,DN24=0),300,0))),1000000000))</f>
        <v/>
      </c>
      <c r="OR24">
        <f>IF($B24=0,1000000000,IF(INDEX('calcA'!$D$60:$EQ$99,$B24,13)*IF($W24=1,DN24+AAC24,DN24)=1,IF(AND($E24=2,IF($W24=1,AFR24,JC24)=0),1000000000,IF($V24=1,INDEX('calcA'!$D$130:$EQ$169,$B24,13)+IF(AND($E24=1,JC24=0),25,0),INDEX('calcA'!P$110:P$114,$F24+1)+IF(AND($E24=1,JC24=0),1000,0)+IF($H24=1,INDEX('calcA'!$D$180:$EQ$219,$B24,13)*500,0)-IF(AND('calcA'!O$117=1,UM24&gt;0),300,0)-IF(AND($U24=1,'calcA'!P$117=1,DO24=0),300,0))),1000000000))</f>
        <v/>
      </c>
      <c r="OS24">
        <f>IF($B24=0,1000000000,IF(INDEX('calcA'!$D$60:$EQ$99,$B24,14)*IF($W24=1,DO24+AAD24,DO24)=1,IF(AND($E24=2,IF($W24=1,AFS24,JD24)=0),1000000000,IF($V24=1,INDEX('calcA'!$D$130:$EQ$169,$B24,14)+IF(AND($E24=1,JD24=0),25,0),INDEX('calcA'!Q$110:Q$114,$F24+1)+IF(AND($E24=1,JD24=0),1000,0)+IF($H24=1,INDEX('calcA'!$D$180:$EQ$219,$B24,14)*500,0)-IF(AND('calcA'!P$117=1,UN24&gt;0),300,0)-IF(AND($U24=1,'calcA'!Q$117=1,DP24=0),300,0))),1000000000))</f>
        <v/>
      </c>
      <c r="OT24">
        <f>IF($B24=0,1000000000,IF(INDEX('calcA'!$D$60:$EQ$99,$B24,15)*IF($W24=1,DP24+AAE24,DP24)=1,IF(AND($E24=2,IF($W24=1,AFT24,JE24)=0),1000000000,IF($V24=1,INDEX('calcA'!$D$130:$EQ$169,$B24,15)+IF(AND($E24=1,JE24=0),25,0),INDEX('calcA'!R$110:R$114,$F24+1)+IF(AND($E24=1,JE24=0),1000,0)+IF($H24=1,INDEX('calcA'!$D$180:$EQ$219,$B24,15)*500,0)-IF(AND('calcA'!Q$117=1,UO24&gt;0),300,0)-IF(AND($U24=1,'calcA'!R$117=1,DQ24=0),300,0))),1000000000))</f>
        <v/>
      </c>
      <c r="OU24">
        <f>IF($B24=0,1000000000,IF(INDEX('calcA'!$D$60:$EQ$99,$B24,16)*IF($W24=1,DQ24+AAF24,DQ24)=1,IF(AND($E24=2,IF($W24=1,AFU24,JF24)=0),1000000000,IF($V24=1,INDEX('calcA'!$D$130:$EQ$169,$B24,16)+IF(AND($E24=1,JF24=0),25,0),INDEX('calcA'!S$110:S$114,$F24+1)+IF(AND($E24=1,JF24=0),1000,0)+IF($H24=1,INDEX('calcA'!$D$180:$EQ$219,$B24,16)*500,0)-IF(AND('calcA'!R$117=1,UP24&gt;0),300,0)-IF(AND($U24=1,'calcA'!S$117=1,DR24=0),300,0))),1000000000))</f>
        <v/>
      </c>
      <c r="OV24">
        <f>IF($B24=0,1000000000,IF(INDEX('calcA'!$D$60:$EQ$99,$B24,17)*IF($W24=1,DR24+AAG24,DR24)=1,IF(AND($E24=2,IF($W24=1,AFV24,JG24)=0),1000000000,IF($V24=1,INDEX('calcA'!$D$130:$EQ$169,$B24,17)+IF(AND($E24=1,JG24=0),25,0),INDEX('calcA'!T$110:T$114,$F24+1)+IF(AND($E24=1,JG24=0),1000,0)+IF($H24=1,INDEX('calcA'!$D$180:$EQ$219,$B24,17)*500,0)-IF(AND('calcA'!S$117=1,UQ24&gt;0),300,0)-IF(AND($U24=1,'calcA'!T$117=1,DS24=0),300,0))),1000000000))</f>
        <v/>
      </c>
      <c r="OW24">
        <f>IF($B24=0,1000000000,IF(INDEX('calcA'!$D$60:$EQ$99,$B24,18)*IF($W24=1,DS24+AAH24,DS24)=1,IF(AND($E24=2,IF($W24=1,AFW24,JH24)=0),1000000000,IF($V24=1,INDEX('calcA'!$D$130:$EQ$169,$B24,18)+IF(AND($E24=1,JH24=0),25,0),INDEX('calcA'!U$110:U$114,$F24+1)+IF(AND($E24=1,JH24=0),1000,0)+IF($H24=1,INDEX('calcA'!$D$180:$EQ$219,$B24,18)*500,0)-IF(AND('calcA'!T$117=1,UR24&gt;0),300,0)-IF(AND($U24=1,'calcA'!U$117=1,DT24=0),300,0))),1000000000))</f>
        <v/>
      </c>
      <c r="OX24">
        <f>IF($B24=0,1000000000,IF(INDEX('calcA'!$D$60:$EQ$99,$B24,19)*IF($W24=1,DT24+AAI24,DT24)=1,IF(AND($E24=2,IF($W24=1,AFX24,JI24)=0),1000000000,IF($V24=1,INDEX('calcA'!$D$130:$EQ$169,$B24,19)+IF(AND($E24=1,JI24=0),25,0),INDEX('calcA'!V$110:V$114,$F24+1)+IF(AND($E24=1,JI24=0),1000,0)+IF($H24=1,INDEX('calcA'!$D$180:$EQ$219,$B24,19)*500,0)-IF(AND('calcA'!U$117=1,US24&gt;0),300,0)-IF(AND($U24=1,'calcA'!V$117=1,DU24=0),300,0))),1000000000))</f>
        <v/>
      </c>
      <c r="OY24">
        <f>IF($B24=0,1000000000,IF(INDEX('calcA'!$D$60:$EQ$99,$B24,20)*IF($W24=1,DU24+AAJ24,DU24)=1,IF(AND($E24=2,IF($W24=1,AFY24,JJ24)=0),1000000000,IF($V24=1,INDEX('calcA'!$D$130:$EQ$169,$B24,20)+IF(AND($E24=1,JJ24=0),25,0),INDEX('calcA'!W$110:W$114,$F24+1)+IF(AND($E24=1,JJ24=0),1000,0)+IF($H24=1,INDEX('calcA'!$D$180:$EQ$219,$B24,20)*500,0)-IF(AND('calcA'!V$117=1,UT24&gt;0),300,0)-IF(AND($U24=1,'calcA'!W$117=1,DV24=0),300,0))),1000000000))</f>
        <v/>
      </c>
      <c r="OZ24">
        <f>IF($B24=0,1000000000,IF(INDEX('calcA'!$D$60:$EQ$99,$B24,21)*IF($W24=1,DV24+AAK24,DV24)=1,IF(AND($E24=2,IF($W24=1,AFZ24,JK24)=0),1000000000,IF($V24=1,INDEX('calcA'!$D$130:$EQ$169,$B24,21)+IF(AND($E24=1,JK24=0),25,0),INDEX('calcA'!X$110:X$114,$F24+1)+IF(AND($E24=1,JK24=0),1000,0)+IF($H24=1,INDEX('calcA'!$D$180:$EQ$219,$B24,21)*500,0)-IF(AND('calcA'!W$117=1,UU24&gt;0),300,0)-IF(AND($U24=1,'calcA'!X$117=1,DW24=0),300,0))),1000000000))</f>
        <v/>
      </c>
      <c r="PA24">
        <f>IF($B24=0,1000000000,IF(INDEX('calcA'!$D$60:$EQ$99,$B24,22)*IF($W24=1,DW24+AAL24,DW24)=1,IF(AND($E24=2,IF($W24=1,AGA24,JL24)=0),1000000000,IF($V24=1,INDEX('calcA'!$D$130:$EQ$169,$B24,22)+IF(AND($E24=1,JL24=0),25,0),INDEX('calcA'!Y$110:Y$114,$F24+1)+IF(AND($E24=1,JL24=0),1000,0)+IF($H24=1,INDEX('calcA'!$D$180:$EQ$219,$B24,22)*500,0)-IF(AND('calcA'!X$117=1,UV24&gt;0),300,0)-IF(AND($U24=1,'calcA'!Y$117=1,DX24=0),300,0))),1000000000))</f>
        <v/>
      </c>
      <c r="PB24">
        <f>IF($B24=0,1000000000,IF(INDEX('calcA'!$D$60:$EQ$99,$B24,23)*IF($W24=1,DX24+AAM24,DX24)=1,IF(AND($E24=2,IF($W24=1,AGB24,JM24)=0),1000000000,IF($V24=1,INDEX('calcA'!$D$130:$EQ$169,$B24,23)+IF(AND($E24=1,JM24=0),25,0),INDEX('calcA'!Z$110:Z$114,$F24+1)+IF(AND($E24=1,JM24=0),1000,0)+IF($H24=1,INDEX('calcA'!$D$180:$EQ$219,$B24,23)*500,0)-IF(AND('calcA'!Y$117=1,UW24&gt;0),300,0)-IF(AND($U24=1,'calcA'!Z$117=1,DY24=0),300,0))),1000000000))</f>
        <v/>
      </c>
      <c r="PC24">
        <f>IF($B24=0,1000000000,IF(INDEX('calcA'!$D$60:$EQ$99,$B24,24)*IF($W24=1,DY24+AAN24,DY24)=1,IF(AND($E24=2,IF($W24=1,AGC24,JN24)=0),1000000000,IF($V24=1,INDEX('calcA'!$D$130:$EQ$169,$B24,24)+IF(AND($E24=1,JN24=0),25,0),INDEX('calcA'!AA$110:AA$114,$F24+1)+IF(AND($E24=1,JN24=0),1000,0)+IF($H24=1,INDEX('calcA'!$D$180:$EQ$219,$B24,24)*500,0)-IF(AND('calcA'!Z$117=1,UX24&gt;0),300,0))),1000000000))</f>
        <v/>
      </c>
      <c r="PD24">
        <f>IF($B24=0,1000000000,IF(INDEX('calcA'!$D$60:$EQ$99,$B24,25)*IF($W24=1,DZ24+AAO24,DZ24)=1,IF(AND($E24=2,IF($W24=1,AGD24,JO24)=0),1000000000,IF($V24=1,INDEX('calcA'!$D$130:$EQ$169,$B24,25)+IF(AND($E24=1,JO24=0),25,0),INDEX('calcA'!AB$110:AB$114,$F24+1)+IF(AND($E24=1,JO24=0),1000,0)+IF($H24=1,INDEX('calcA'!$D$180:$EQ$219,$B24,25)*500,0)-IF(AND($U24=1,'calcA'!AB$117=1,EA24=0),300,0))),1000000000))</f>
        <v/>
      </c>
      <c r="PE24">
        <f>IF($B24=0,1000000000,IF(INDEX('calcA'!$D$60:$EQ$99,$B24,26)*IF($W24=1,EA24+AAP24,EA24)=1,IF(AND($E24=2,IF($W24=1,AGE24,JP24)=0),1000000000,IF($V24=1,INDEX('calcA'!$D$130:$EQ$169,$B24,26)+IF(AND($E24=1,JP24=0),25,0),INDEX('calcA'!AC$110:AC$114,$F24+1)+IF(AND($E24=1,JP24=0),1000,0)+IF($H24=1,INDEX('calcA'!$D$180:$EQ$219,$B24,26)*500,0)-IF(AND('calcA'!AB$117=1,UZ24&gt;0),300,0)-IF(AND($U24=1,'calcA'!AC$117=1,EB24=0),300,0))),1000000000))</f>
        <v/>
      </c>
      <c r="PF24">
        <f>IF($B24=0,1000000000,IF(INDEX('calcA'!$D$60:$EQ$99,$B24,27)*IF($W24=1,EB24+AAQ24,EB24)=1,IF(AND($E24=2,IF($W24=1,AGF24,JQ24)=0),1000000000,IF($V24=1,INDEX('calcA'!$D$130:$EQ$169,$B24,27)+IF(AND($E24=1,JQ24=0),25,0),INDEX('calcA'!AD$110:AD$114,$F24+1)+IF(AND($E24=1,JQ24=0),1000,0)+IF($H24=1,INDEX('calcA'!$D$180:$EQ$219,$B24,27)*500,0)-IF(AND('calcA'!AC$117=1,VA24&gt;0),300,0)-IF(AND($U24=1,'calcA'!AD$117=1,EC24=0),300,0))),1000000000))</f>
        <v/>
      </c>
      <c r="PG24">
        <f>IF($B24=0,1000000000,IF(INDEX('calcA'!$D$60:$EQ$99,$B24,28)*IF($W24=1,EC24+AAR24,EC24)=1,IF(AND($E24=2,IF($W24=1,AGG24,JR24)=0),1000000000,IF($V24=1,INDEX('calcA'!$D$130:$EQ$169,$B24,28)+IF(AND($E24=1,JR24=0),25,0),INDEX('calcA'!AE$110:AE$114,$F24+1)+IF(AND($E24=1,JR24=0),1000,0)+IF($H24=1,INDEX('calcA'!$D$180:$EQ$219,$B24,28)*500,0)-IF(AND('calcA'!AD$117=1,VB24&gt;0),300,0)-IF(AND($U24=1,'calcA'!AE$117=1,ED24=0),300,0))),1000000000))</f>
        <v/>
      </c>
      <c r="PH24">
        <f>IF($B24=0,1000000000,IF(INDEX('calcA'!$D$60:$EQ$99,$B24,29)*IF($W24=1,ED24+AAS24,ED24)=1,IF(AND($E24=2,IF($W24=1,AGH24,JS24)=0),1000000000,IF($V24=1,INDEX('calcA'!$D$130:$EQ$169,$B24,29)+IF(AND($E24=1,JS24=0),25,0),INDEX('calcA'!AF$110:AF$114,$F24+1)+IF(AND($E24=1,JS24=0),1000,0)+IF($H24=1,INDEX('calcA'!$D$180:$EQ$219,$B24,29)*500,0)-IF(AND('calcA'!AE$117=1,VC24&gt;0),300,0)-IF(AND($U24=1,'calcA'!AF$117=1,EE24=0),300,0))),1000000000))</f>
        <v/>
      </c>
      <c r="PI24">
        <f>IF($B24=0,1000000000,IF(INDEX('calcA'!$D$60:$EQ$99,$B24,30)*IF($W24=1,EE24+AAT24,EE24)=1,IF(AND($E24=2,IF($W24=1,AGI24,JT24)=0),1000000000,IF($V24=1,INDEX('calcA'!$D$130:$EQ$169,$B24,30)+IF(AND($E24=1,JT24=0),25,0),INDEX('calcA'!AG$110:AG$114,$F24+1)+IF(AND($E24=1,JT24=0),1000,0)+IF($H24=1,INDEX('calcA'!$D$180:$EQ$219,$B24,30)*500,0)-IF(AND('calcA'!AF$117=1,VD24&gt;0),300,0)-IF(AND($U24=1,'calcA'!AG$117=1,EF24=0),300,0))),1000000000))</f>
        <v/>
      </c>
      <c r="PJ24">
        <f>IF($B24=0,1000000000,IF(INDEX('calcA'!$D$60:$EQ$99,$B24,31)*IF($W24=1,EF24+AAU24,EF24)=1,IF(AND($E24=2,IF($W24=1,AGJ24,JU24)=0),1000000000,IF($V24=1,INDEX('calcA'!$D$130:$EQ$169,$B24,31)+IF(AND($E24=1,JU24=0),25,0),INDEX('calcA'!AH$110:AH$114,$F24+1)+IF(AND($E24=1,JU24=0),1000,0)+IF($H24=1,INDEX('calcA'!$D$180:$EQ$219,$B24,31)*500,0)-IF(AND('calcA'!AG$117=1,VE24&gt;0),300,0)-IF(AND($U24=1,'calcA'!AH$117=1,EG24=0),300,0))),1000000000))</f>
        <v/>
      </c>
      <c r="PK24">
        <f>IF($B24=0,1000000000,IF(INDEX('calcA'!$D$60:$EQ$99,$B24,32)*IF($W24=1,EG24+AAV24,EG24)=1,IF(AND($E24=2,IF($W24=1,AGK24,JV24)=0),1000000000,IF($V24=1,INDEX('calcA'!$D$130:$EQ$169,$B24,32)+IF(AND($E24=1,JV24=0),25,0),INDEX('calcA'!AI$110:AI$114,$F24+1)+IF(AND($E24=1,JV24=0),1000,0)+IF($H24=1,INDEX('calcA'!$D$180:$EQ$219,$B24,32)*500,0)-IF(AND('calcA'!AH$117=1,VF24&gt;0),300,0)-IF(AND($U24=1,'calcA'!AI$117=1,EH24=0),300,0))),1000000000))</f>
        <v/>
      </c>
      <c r="PL24">
        <f>IF($B24=0,1000000000,IF(INDEX('calcA'!$D$60:$EQ$99,$B24,33)*IF($W24=1,EH24+AAW24,EH24)=1,IF(AND($E24=2,IF($W24=1,AGL24,JW24)=0),1000000000,IF($V24=1,INDEX('calcA'!$D$130:$EQ$169,$B24,33)+IF(AND($E24=1,JW24=0),25,0),INDEX('calcA'!AJ$110:AJ$114,$F24+1)+IF(AND($E24=1,JW24=0),1000,0)+IF($H24=1,INDEX('calcA'!$D$180:$EQ$219,$B24,33)*500,0)-IF(AND('calcA'!AI$117=1,VG24&gt;0),300,0)-IF(AND($U24=1,'calcA'!AJ$117=1,EI24=0),300,0))),1000000000))</f>
        <v/>
      </c>
      <c r="PM24">
        <f>IF($B24=0,1000000000,IF(INDEX('calcA'!$D$60:$EQ$99,$B24,34)*IF($W24=1,EI24+AAX24,EI24)=1,IF(AND($E24=2,IF($W24=1,AGM24,JX24)=0),1000000000,IF($V24=1,INDEX('calcA'!$D$130:$EQ$169,$B24,34)+IF(AND($E24=1,JX24=0),25,0),INDEX('calcA'!AK$110:AK$114,$F24+1)+IF(AND($E24=1,JX24=0),1000,0)+IF($H24=1,INDEX('calcA'!$D$180:$EQ$219,$B24,34)*500,0)-IF(AND('calcA'!AJ$117=1,VH24&gt;0),300,0)-IF(AND($U24=1,'calcA'!AK$117=1,EJ24=0),300,0))),1000000000))</f>
        <v/>
      </c>
      <c r="PN24">
        <f>IF($B24=0,1000000000,IF(INDEX('calcA'!$D$60:$EQ$99,$B24,35)*IF($W24=1,EJ24+AAY24,EJ24)=1,IF(AND($E24=2,IF($W24=1,AGN24,JY24)=0),1000000000,IF($V24=1,INDEX('calcA'!$D$130:$EQ$169,$B24,35)+IF(AND($E24=1,JY24=0),25,0),INDEX('calcA'!AL$110:AL$114,$F24+1)+IF(AND($E24=1,JY24=0),1000,0)+IF($H24=1,INDEX('calcA'!$D$180:$EQ$219,$B24,35)*500,0)-IF(AND('calcA'!AK$117=1,VI24&gt;0),300,0)-IF(AND($U24=1,'calcA'!AL$117=1,EK24=0),300,0))),1000000000))</f>
        <v/>
      </c>
      <c r="PO24">
        <f>IF($B24=0,1000000000,IF(INDEX('calcA'!$D$60:$EQ$99,$B24,36)*IF($W24=1,EK24+AAZ24,EK24)=1,IF(AND($E24=2,IF($W24=1,AGO24,JZ24)=0),1000000000,IF($V24=1,INDEX('calcA'!$D$130:$EQ$169,$B24,36)+IF(AND($E24=1,JZ24=0),25,0),INDEX('calcA'!AM$110:AM$114,$F24+1)+IF(AND($E24=1,JZ24=0),1000,0)+IF($H24=1,INDEX('calcA'!$D$180:$EQ$219,$B24,36)*500,0)-IF(AND('calcA'!AL$117=1,VJ24&gt;0),300,0)-IF(AND($U24=1,'calcA'!AM$117=1,EL24=0),300,0))),1000000000))</f>
        <v/>
      </c>
      <c r="PP24">
        <f>IF($B24=0,1000000000,IF(INDEX('calcA'!$D$60:$EQ$99,$B24,37)*IF($W24=1,EL24+ABA24,EL24)=1,IF(AND($E24=2,IF($W24=1,AGP24,KA24)=0),1000000000,IF($V24=1,INDEX('calcA'!$D$130:$EQ$169,$B24,37)+IF(AND($E24=1,KA24=0),25,0),INDEX('calcA'!AN$110:AN$114,$F24+1)+IF(AND($E24=1,KA24=0),1000,0)+IF($H24=1,INDEX('calcA'!$D$180:$EQ$219,$B24,37)*500,0)-IF(AND('calcA'!AM$117=1,VK24&gt;0),300,0)-IF(AND($U24=1,'calcA'!AN$117=1,EM24=0),300,0))),1000000000))</f>
        <v/>
      </c>
      <c r="PQ24">
        <f>IF($B24=0,1000000000,IF(INDEX('calcA'!$D$60:$EQ$99,$B24,38)*IF($W24=1,EM24+ABB24,EM24)=1,IF(AND($E24=2,IF($W24=1,AGQ24,KB24)=0),1000000000,IF($V24=1,INDEX('calcA'!$D$130:$EQ$169,$B24,38)+IF(AND($E24=1,KB24=0),25,0),INDEX('calcA'!AO$110:AO$114,$F24+1)+IF(AND($E24=1,KB24=0),1000,0)+IF($H24=1,INDEX('calcA'!$D$180:$EQ$219,$B24,38)*500,0)-IF(AND('calcA'!AN$117=1,VL24&gt;0),300,0)-IF(AND($U24=1,'calcA'!AO$117=1,EN24=0),300,0))),1000000000))</f>
        <v/>
      </c>
      <c r="PR24">
        <f>IF($B24=0,1000000000,IF(INDEX('calcA'!$D$60:$EQ$99,$B24,39)*IF($W24=1,EN24+ABC24,EN24)=1,IF(AND($E24=2,IF($W24=1,AGR24,KC24)=0),1000000000,IF($V24=1,INDEX('calcA'!$D$130:$EQ$169,$B24,39)+IF(AND($E24=1,KC24=0),25,0),INDEX('calcA'!AP$110:AP$114,$F24+1)+IF(AND($E24=1,KC24=0),1000,0)+IF($H24=1,INDEX('calcA'!$D$180:$EQ$219,$B24,39)*500,0)-IF(AND('calcA'!AO$117=1,VM24&gt;0),300,0)-IF(AND($U24=1,'calcA'!AP$117=1,EO24=0),300,0))),1000000000))</f>
        <v/>
      </c>
      <c r="PS24">
        <f>IF($B24=0,1000000000,IF(INDEX('calcA'!$D$60:$EQ$99,$B24,40)*IF($W24=1,EO24+ABD24,EO24)=1,IF(AND($E24=2,IF($W24=1,AGS24,KD24)=0),1000000000,IF($V24=1,INDEX('calcA'!$D$130:$EQ$169,$B24,40)+IF(AND($E24=1,KD24=0),25,0),INDEX('calcA'!AQ$110:AQ$114,$F24+1)+IF(AND($E24=1,KD24=0),1000,0)+IF($H24=1,INDEX('calcA'!$D$180:$EQ$219,$B24,40)*500,0)-IF(AND('calcA'!AP$117=1,VN24&gt;0),300,0)-IF(AND($U24=1,'calcA'!AQ$117=1,EP24=0),300,0))),1000000000))</f>
        <v/>
      </c>
      <c r="PT24">
        <f>IF($B24=0,1000000000,IF(INDEX('calcA'!$D$60:$EQ$99,$B24,41)*IF($W24=1,EP24+ABE24,EP24)=1,IF(AND($E24=2,IF($W24=1,AGT24,KE24)=0),1000000000,IF($V24=1,INDEX('calcA'!$D$130:$EQ$169,$B24,41)+IF(AND($E24=1,KE24=0),25,0),INDEX('calcA'!AR$110:AR$114,$F24+1)+IF(AND($E24=1,KE24=0),1000,0)+IF($H24=1,INDEX('calcA'!$D$180:$EQ$219,$B24,41)*500,0)-IF(AND('calcA'!AQ$117=1,VO24&gt;0),300,0)-IF(AND($U24=1,'calcA'!AR$117=1,EQ24=0),300,0))),1000000000))</f>
        <v/>
      </c>
      <c r="PU24">
        <f>IF($B24=0,1000000000,IF(INDEX('calcA'!$D$60:$EQ$99,$B24,42)*IF($W24=1,EQ24+ABF24,EQ24)=1,IF(AND($E24=2,IF($W24=1,AGU24,KF24)=0),1000000000,IF($V24=1,INDEX('calcA'!$D$130:$EQ$169,$B24,42)+IF(AND($E24=1,KF24=0),25,0),INDEX('calcA'!AS$110:AS$114,$F24+1)+IF(AND($E24=1,KF24=0),1000,0)+IF($H24=1,INDEX('calcA'!$D$180:$EQ$219,$B24,42)*500,0)-IF(AND('calcA'!AR$117=1,VP24&gt;0),300,0)-IF(AND($U24=1,'calcA'!AS$117=1,ER24=0),300,0))),1000000000))</f>
        <v/>
      </c>
      <c r="PV24">
        <f>IF($B24=0,1000000000,IF(INDEX('calcA'!$D$60:$EQ$99,$B24,43)*IF($W24=1,ER24+ABG24,ER24)=1,IF(AND($E24=2,IF($W24=1,AGV24,KG24)=0),1000000000,IF($V24=1,INDEX('calcA'!$D$130:$EQ$169,$B24,43)+IF(AND($E24=1,KG24=0),25,0),INDEX('calcA'!AT$110:AT$114,$F24+1)+IF(AND($E24=1,KG24=0),1000,0)+IF($H24=1,INDEX('calcA'!$D$180:$EQ$219,$B24,43)*500,0)-IF(AND('calcA'!AS$117=1,VQ24&gt;0),300,0)-IF(AND($U24=1,'calcA'!AT$117=1,ES24=0),300,0))),1000000000))</f>
        <v/>
      </c>
      <c r="PW24">
        <f>IF($B24=0,1000000000,IF(INDEX('calcA'!$D$60:$EQ$99,$B24,44)*IF($W24=1,ES24+ABH24,ES24)=1,IF(AND($E24=2,IF($W24=1,AGW24,KH24)=0),1000000000,IF($V24=1,INDEX('calcA'!$D$130:$EQ$169,$B24,44)+IF(AND($E24=1,KH24=0),25,0),INDEX('calcA'!AU$110:AU$114,$F24+1)+IF(AND($E24=1,KH24=0),1000,0)+IF($H24=1,INDEX('calcA'!$D$180:$EQ$219,$B24,44)*500,0)-IF(AND('calcA'!AT$117=1,VR24&gt;0),300,0)-IF(AND($U24=1,'calcA'!AU$117=1,ET24=0),300,0))),1000000000))</f>
        <v/>
      </c>
      <c r="PX24">
        <f>IF($B24=0,1000000000,IF(INDEX('calcA'!$D$60:$EQ$99,$B24,45)*IF($W24=1,ET24+ABI24,ET24)=1,IF(AND($E24=2,IF($W24=1,AGX24,KI24)=0),1000000000,IF($V24=1,INDEX('calcA'!$D$130:$EQ$169,$B24,45)+IF(AND($E24=1,KI24=0),25,0),INDEX('calcA'!AV$110:AV$114,$F24+1)+IF(AND($E24=1,KI24=0),1000,0)+IF($H24=1,INDEX('calcA'!$D$180:$EQ$219,$B24,45)*500,0)-IF(AND('calcA'!AU$117=1,VS24&gt;0),300,0)-IF(AND($U24=1,'calcA'!AV$117=1,EU24=0),300,0))),1000000000))</f>
        <v/>
      </c>
      <c r="PY24">
        <f>IF($B24=0,1000000000,IF(INDEX('calcA'!$D$60:$EQ$99,$B24,46)*IF($W24=1,EU24+ABJ24,EU24)=1,IF(AND($E24=2,IF($W24=1,AGY24,KJ24)=0),1000000000,IF($V24=1,INDEX('calcA'!$D$130:$EQ$169,$B24,46)+IF(AND($E24=1,KJ24=0),25,0),INDEX('calcA'!AW$110:AW$114,$F24+1)+IF(AND($E24=1,KJ24=0),1000,0)+IF($H24=1,INDEX('calcA'!$D$180:$EQ$219,$B24,46)*500,0)-IF(AND('calcA'!AV$117=1,VT24&gt;0),300,0)-IF(AND($U24=1,'calcA'!AW$117=1,EV24=0),300,0))),1000000000))</f>
        <v/>
      </c>
      <c r="PZ24">
        <f>IF($B24=0,1000000000,IF(INDEX('calcA'!$D$60:$EQ$99,$B24,47)*IF($W24=1,EV24+ABK24,EV24)=1,IF(AND($E24=2,IF($W24=1,AGZ24,KK24)=0),1000000000,IF($V24=1,INDEX('calcA'!$D$130:$EQ$169,$B24,47)+IF(AND($E24=1,KK24=0),25,0),INDEX('calcA'!AX$110:AX$114,$F24+1)+IF(AND($E24=1,KK24=0),1000,0)+IF($H24=1,INDEX('calcA'!$D$180:$EQ$219,$B24,47)*500,0)-IF(AND('calcA'!AW$117=1,VU24&gt;0),300,0)-IF(AND($U24=1,'calcA'!AX$117=1,EW24=0),300,0))),1000000000))</f>
        <v/>
      </c>
      <c r="QA24">
        <f>IF($B24=0,1000000000,IF(INDEX('calcA'!$D$60:$EQ$99,$B24,48)*IF($W24=1,EW24+ABL24,EW24)=1,IF(AND($E24=2,IF($W24=1,AHA24,KL24)=0),1000000000,IF($V24=1,INDEX('calcA'!$D$130:$EQ$169,$B24,48)+IF(AND($E24=1,KL24=0),25,0),INDEX('calcA'!AY$110:AY$114,$F24+1)+IF(AND($E24=1,KL24=0),1000,0)+IF($H24=1,INDEX('calcA'!$D$180:$EQ$219,$B24,48)*500,0)-IF(AND('calcA'!AX$117=1,VV24&gt;0),300,0))),1000000000))</f>
        <v/>
      </c>
      <c r="QB24">
        <f>IF($B24=0,1000000000,IF(INDEX('calcA'!$D$60:$EQ$99,$B24,49)*IF($W24=1,EX24+ABM24,EX24)=1,IF(AND($E24=2,IF($W24=1,AHB24,KM24)=0),1000000000,IF($V24=1,INDEX('calcA'!$D$130:$EQ$169,$B24,49)+IF(AND($E24=1,KM24=0),25,0),INDEX('calcA'!AZ$110:AZ$114,$F24+1)+IF(AND($E24=1,KM24=0),1000,0)+IF($H24=1,INDEX('calcA'!$D$180:$EQ$219,$B24,49)*500,0)-IF(AND($U24=1,'calcA'!AZ$117=1,EY24=0),300,0))),1000000000))</f>
        <v/>
      </c>
      <c r="QC24">
        <f>IF($B24=0,1000000000,IF(INDEX('calcA'!$D$60:$EQ$99,$B24,50)*IF($W24=1,EY24+ABN24,EY24)=1,IF(AND($E24=2,IF($W24=1,AHC24,KN24)=0),1000000000,IF($V24=1,INDEX('calcA'!$D$130:$EQ$169,$B24,50)+IF(AND($E24=1,KN24=0),25,0),INDEX('calcA'!BA$110:BA$114,$F24+1)+IF(AND($E24=1,KN24=0),1000,0)+IF($H24=1,INDEX('calcA'!$D$180:$EQ$219,$B24,50)*500,0)-IF(AND('calcA'!AZ$117=1,VX24&gt;0),300,0)-IF(AND($U24=1,'calcA'!BA$117=1,EZ24=0),300,0))),1000000000))</f>
        <v/>
      </c>
      <c r="QD24">
        <f>IF($B24=0,1000000000,IF(INDEX('calcA'!$D$60:$EQ$99,$B24,51)*IF($W24=1,EZ24+ABO24,EZ24)=1,IF(AND($E24=2,IF($W24=1,AHD24,KO24)=0),1000000000,IF($V24=1,INDEX('calcA'!$D$130:$EQ$169,$B24,51)+IF(AND($E24=1,KO24=0),25,0),INDEX('calcA'!BB$110:BB$114,$F24+1)+IF(AND($E24=1,KO24=0),1000,0)+IF($H24=1,INDEX('calcA'!$D$180:$EQ$219,$B24,51)*500,0)-IF(AND('calcA'!BA$117=1,VY24&gt;0),300,0)-IF(AND($U24=1,'calcA'!BB$117=1,FA24=0),300,0))),1000000000))</f>
        <v/>
      </c>
      <c r="QE24">
        <f>IF($B24=0,1000000000,IF(INDEX('calcA'!$D$60:$EQ$99,$B24,52)*IF($W24=1,FA24+ABP24,FA24)=1,IF(AND($E24=2,IF($W24=1,AHE24,KP24)=0),1000000000,IF($V24=1,INDEX('calcA'!$D$130:$EQ$169,$B24,52)+IF(AND($E24=1,KP24=0),25,0),INDEX('calcA'!BC$110:BC$114,$F24+1)+IF(AND($E24=1,KP24=0),1000,0)+IF($H24=1,INDEX('calcA'!$D$180:$EQ$219,$B24,52)*500,0)-IF(AND('calcA'!BB$117=1,VZ24&gt;0),300,0)-IF(AND($U24=1,'calcA'!BC$117=1,FB24=0),300,0))),1000000000))</f>
        <v/>
      </c>
      <c r="QF24">
        <f>IF($B24=0,1000000000,IF(INDEX('calcA'!$D$60:$EQ$99,$B24,53)*IF($W24=1,FB24+ABQ24,FB24)=1,IF(AND($E24=2,IF($W24=1,AHF24,KQ24)=0),1000000000,IF($V24=1,INDEX('calcA'!$D$130:$EQ$169,$B24,53)+IF(AND($E24=1,KQ24=0),25,0),INDEX('calcA'!BD$110:BD$114,$F24+1)+IF(AND($E24=1,KQ24=0),1000,0)+IF($H24=1,INDEX('calcA'!$D$180:$EQ$219,$B24,53)*500,0)-IF(AND('calcA'!BC$117=1,WA24&gt;0),300,0)-IF(AND($U24=1,'calcA'!BD$117=1,FC24=0),300,0))),1000000000))</f>
        <v/>
      </c>
      <c r="QG24">
        <f>IF($B24=0,1000000000,IF(INDEX('calcA'!$D$60:$EQ$99,$B24,54)*IF($W24=1,FC24+ABR24,FC24)=1,IF(AND($E24=2,IF($W24=1,AHG24,KR24)=0),1000000000,IF($V24=1,INDEX('calcA'!$D$130:$EQ$169,$B24,54)+IF(AND($E24=1,KR24=0),25,0),INDEX('calcA'!BE$110:BE$114,$F24+1)+IF(AND($E24=1,KR24=0),1000,0)+IF($H24=1,INDEX('calcA'!$D$180:$EQ$219,$B24,54)*500,0)-IF(AND('calcA'!BD$117=1,WB24&gt;0),300,0)-IF(AND($U24=1,'calcA'!BE$117=1,FD24=0),300,0))),1000000000))</f>
        <v/>
      </c>
      <c r="QH24">
        <f>IF($B24=0,1000000000,IF(INDEX('calcA'!$D$60:$EQ$99,$B24,55)*IF($W24=1,FD24+ABS24,FD24)=1,IF(AND($E24=2,IF($W24=1,AHH24,KS24)=0),1000000000,IF($V24=1,INDEX('calcA'!$D$130:$EQ$169,$B24,55)+IF(AND($E24=1,KS24=0),25,0),INDEX('calcA'!BF$110:BF$114,$F24+1)+IF(AND($E24=1,KS24=0),1000,0)+IF($H24=1,INDEX('calcA'!$D$180:$EQ$219,$B24,55)*500,0)-IF(AND('calcA'!BE$117=1,WC24&gt;0),300,0)-IF(AND($U24=1,'calcA'!BF$117=1,FE24=0),300,0))),1000000000))</f>
        <v/>
      </c>
      <c r="QI24">
        <f>IF($B24=0,1000000000,IF(INDEX('calcA'!$D$60:$EQ$99,$B24,56)*IF($W24=1,FE24+ABT24,FE24)=1,IF(AND($E24=2,IF($W24=1,AHI24,KT24)=0),1000000000,IF($V24=1,INDEX('calcA'!$D$130:$EQ$169,$B24,56)+IF(AND($E24=1,KT24=0),25,0),INDEX('calcA'!BG$110:BG$114,$F24+1)+IF(AND($E24=1,KT24=0),1000,0)+IF($H24=1,INDEX('calcA'!$D$180:$EQ$219,$B24,56)*500,0)-IF(AND('calcA'!BF$117=1,WD24&gt;0),300,0)-IF(AND($U24=1,'calcA'!BG$117=1,FF24=0),300,0))),1000000000))</f>
        <v/>
      </c>
      <c r="QJ24">
        <f>IF($B24=0,1000000000,IF(INDEX('calcA'!$D$60:$EQ$99,$B24,57)*IF($W24=1,FF24+ABU24,FF24)=1,IF(AND($E24=2,IF($W24=1,AHJ24,KU24)=0),1000000000,IF($V24=1,INDEX('calcA'!$D$130:$EQ$169,$B24,57)+IF(AND($E24=1,KU24=0),25,0),INDEX('calcA'!BH$110:BH$114,$F24+1)+IF(AND($E24=1,KU24=0),1000,0)+IF($H24=1,INDEX('calcA'!$D$180:$EQ$219,$B24,57)*500,0)-IF(AND('calcA'!BG$117=1,WE24&gt;0),300,0)-IF(AND($U24=1,'calcA'!BH$117=1,FG24=0),300,0))),1000000000))</f>
        <v/>
      </c>
      <c r="QK24">
        <f>IF($B24=0,1000000000,IF(INDEX('calcA'!$D$60:$EQ$99,$B24,58)*IF($W24=1,FG24+ABV24,FG24)=1,IF(AND($E24=2,IF($W24=1,AHK24,KV24)=0),1000000000,IF($V24=1,INDEX('calcA'!$D$130:$EQ$169,$B24,58)+IF(AND($E24=1,KV24=0),25,0),INDEX('calcA'!BI$110:BI$114,$F24+1)+IF(AND($E24=1,KV24=0),1000,0)+IF($H24=1,INDEX('calcA'!$D$180:$EQ$219,$B24,58)*500,0)-IF(AND('calcA'!BH$117=1,WF24&gt;0),300,0)-IF(AND($U24=1,'calcA'!BI$117=1,FH24=0),300,0))),1000000000))</f>
        <v/>
      </c>
      <c r="QL24">
        <f>IF($B24=0,1000000000,IF(INDEX('calcA'!$D$60:$EQ$99,$B24,59)*IF($W24=1,FH24+ABW24,FH24)=1,IF(AND($E24=2,IF($W24=1,AHL24,KW24)=0),1000000000,IF($V24=1,INDEX('calcA'!$D$130:$EQ$169,$B24,59)+IF(AND($E24=1,KW24=0),25,0),INDEX('calcA'!BJ$110:BJ$114,$F24+1)+IF(AND($E24=1,KW24=0),1000,0)+IF($H24=1,INDEX('calcA'!$D$180:$EQ$219,$B24,59)*500,0)-IF(AND('calcA'!BI$117=1,WG24&gt;0),300,0)-IF(AND($U24=1,'calcA'!BJ$117=1,FI24=0),300,0))),1000000000))</f>
        <v/>
      </c>
      <c r="QM24">
        <f>IF($B24=0,1000000000,IF(INDEX('calcA'!$D$60:$EQ$99,$B24,60)*IF($W24=1,FI24+ABX24,FI24)=1,IF(AND($E24=2,IF($W24=1,AHM24,KX24)=0),1000000000,IF($V24=1,INDEX('calcA'!$D$130:$EQ$169,$B24,60)+IF(AND($E24=1,KX24=0),25,0),INDEX('calcA'!BK$110:BK$114,$F24+1)+IF(AND($E24=1,KX24=0),1000,0)+IF($H24=1,INDEX('calcA'!$D$180:$EQ$219,$B24,60)*500,0)-IF(AND('calcA'!BJ$117=1,WH24&gt;0),300,0)-IF(AND($U24=1,'calcA'!BK$117=1,FJ24=0),300,0))),1000000000))</f>
        <v/>
      </c>
      <c r="QN24">
        <f>IF($B24=0,1000000000,IF(INDEX('calcA'!$D$60:$EQ$99,$B24,61)*IF($W24=1,FJ24+ABY24,FJ24)=1,IF(AND($E24=2,IF($W24=1,AHN24,KY24)=0),1000000000,IF($V24=1,INDEX('calcA'!$D$130:$EQ$169,$B24,61)+IF(AND($E24=1,KY24=0),25,0),INDEX('calcA'!BL$110:BL$114,$F24+1)+IF(AND($E24=1,KY24=0),1000,0)+IF($H24=1,INDEX('calcA'!$D$180:$EQ$219,$B24,61)*500,0)-IF(AND('calcA'!BK$117=1,WI24&gt;0),300,0)-IF(AND($U24=1,'calcA'!BL$117=1,FK24=0),300,0))),1000000000))</f>
        <v/>
      </c>
      <c r="QO24">
        <f>IF($B24=0,1000000000,IF(INDEX('calcA'!$D$60:$EQ$99,$B24,62)*IF($W24=1,FK24+ABZ24,FK24)=1,IF(AND($E24=2,IF($W24=1,AHO24,KZ24)=0),1000000000,IF($V24=1,INDEX('calcA'!$D$130:$EQ$169,$B24,62)+IF(AND($E24=1,KZ24=0),25,0),INDEX('calcA'!BM$110:BM$114,$F24+1)+IF(AND($E24=1,KZ24=0),1000,0)+IF($H24=1,INDEX('calcA'!$D$180:$EQ$219,$B24,62)*500,0)-IF(AND('calcA'!BL$117=1,WJ24&gt;0),300,0)-IF(AND($U24=1,'calcA'!BM$117=1,FL24=0),300,0))),1000000000))</f>
        <v/>
      </c>
      <c r="QP24">
        <f>IF($B24=0,1000000000,IF(INDEX('calcA'!$D$60:$EQ$99,$B24,63)*IF($W24=1,FL24+ACA24,FL24)=1,IF(AND($E24=2,IF($W24=1,AHP24,LA24)=0),1000000000,IF($V24=1,INDEX('calcA'!$D$130:$EQ$169,$B24,63)+IF(AND($E24=1,LA24=0),25,0),INDEX('calcA'!BN$110:BN$114,$F24+1)+IF(AND($E24=1,LA24=0),1000,0)+IF($H24=1,INDEX('calcA'!$D$180:$EQ$219,$B24,63)*500,0)-IF(AND('calcA'!BM$117=1,WK24&gt;0),300,0)-IF(AND($U24=1,'calcA'!BN$117=1,FM24=0),300,0))),1000000000))</f>
        <v/>
      </c>
      <c r="QQ24">
        <f>IF($B24=0,1000000000,IF(INDEX('calcA'!$D$60:$EQ$99,$B24,64)*IF($W24=1,FM24+ACB24,FM24)=1,IF(AND($E24=2,IF($W24=1,AHQ24,LB24)=0),1000000000,IF($V24=1,INDEX('calcA'!$D$130:$EQ$169,$B24,64)+IF(AND($E24=1,LB24=0),25,0),INDEX('calcA'!BO$110:BO$114,$F24+1)+IF(AND($E24=1,LB24=0),1000,0)+IF($H24=1,INDEX('calcA'!$D$180:$EQ$219,$B24,64)*500,0)-IF(AND('calcA'!BN$117=1,WL24&gt;0),300,0)-IF(AND($U24=1,'calcA'!BO$117=1,FN24=0),300,0))),1000000000))</f>
        <v/>
      </c>
      <c r="QR24">
        <f>IF($B24=0,1000000000,IF(INDEX('calcA'!$D$60:$EQ$99,$B24,65)*IF($W24=1,FN24+ACC24,FN24)=1,IF(AND($E24=2,IF($W24=1,AHR24,LC24)=0),1000000000,IF($V24=1,INDEX('calcA'!$D$130:$EQ$169,$B24,65)+IF(AND($E24=1,LC24=0),25,0),INDEX('calcA'!BP$110:BP$114,$F24+1)+IF(AND($E24=1,LC24=0),1000,0)+IF($H24=1,INDEX('calcA'!$D$180:$EQ$219,$B24,65)*500,0)-IF(AND('calcA'!BO$117=1,WM24&gt;0),300,0)-IF(AND($U24=1,'calcA'!BP$117=1,FO24=0),300,0))),1000000000))</f>
        <v/>
      </c>
      <c r="QS24">
        <f>IF($B24=0,1000000000,IF(INDEX('calcA'!$D$60:$EQ$99,$B24,66)*IF($W24=1,FO24+ACD24,FO24)=1,IF(AND($E24=2,IF($W24=1,AHS24,LD24)=0),1000000000,IF($V24=1,INDEX('calcA'!$D$130:$EQ$169,$B24,66)+IF(AND($E24=1,LD24=0),25,0),INDEX('calcA'!BQ$110:BQ$114,$F24+1)+IF(AND($E24=1,LD24=0),1000,0)+IF($H24=1,INDEX('calcA'!$D$180:$EQ$219,$B24,66)*500,0)-IF(AND('calcA'!BP$117=1,WN24&gt;0),300,0)-IF(AND($U24=1,'calcA'!BQ$117=1,FP24=0),300,0))),1000000000))</f>
        <v/>
      </c>
      <c r="QT24">
        <f>IF($B24=0,1000000000,IF(INDEX('calcA'!$D$60:$EQ$99,$B24,67)*IF($W24=1,FP24+ACE24,FP24)=1,IF(AND($E24=2,IF($W24=1,AHT24,LE24)=0),1000000000,IF($V24=1,INDEX('calcA'!$D$130:$EQ$169,$B24,67)+IF(AND($E24=1,LE24=0),25,0),INDEX('calcA'!BR$110:BR$114,$F24+1)+IF(AND($E24=1,LE24=0),1000,0)+IF($H24=1,INDEX('calcA'!$D$180:$EQ$219,$B24,67)*500,0)-IF(AND('calcA'!BQ$117=1,WO24&gt;0),300,0)-IF(AND($U24=1,'calcA'!BR$117=1,FQ24=0),300,0))),1000000000))</f>
        <v/>
      </c>
      <c r="QU24">
        <f>IF($B24=0,1000000000,IF(INDEX('calcA'!$D$60:$EQ$99,$B24,68)*IF($W24=1,FQ24+ACF24,FQ24)=1,IF(AND($E24=2,IF($W24=1,AHU24,LF24)=0),1000000000,IF($V24=1,INDEX('calcA'!$D$130:$EQ$169,$B24,68)+IF(AND($E24=1,LF24=0),25,0),INDEX('calcA'!BS$110:BS$114,$F24+1)+IF(AND($E24=1,LF24=0),1000,0)+IF($H24=1,INDEX('calcA'!$D$180:$EQ$219,$B24,68)*500,0)-IF(AND('calcA'!BR$117=1,WP24&gt;0),300,0)-IF(AND($U24=1,'calcA'!BS$117=1,FR24=0),300,0))),1000000000))</f>
        <v/>
      </c>
      <c r="QV24">
        <f>IF($B24=0,1000000000,IF(INDEX('calcA'!$D$60:$EQ$99,$B24,69)*IF($W24=1,FR24+ACG24,FR24)=1,IF(AND($E24=2,IF($W24=1,AHV24,LG24)=0),1000000000,IF($V24=1,INDEX('calcA'!$D$130:$EQ$169,$B24,69)+IF(AND($E24=1,LG24=0),25,0),INDEX('calcA'!BT$110:BT$114,$F24+1)+IF(AND($E24=1,LG24=0),1000,0)+IF($H24=1,INDEX('calcA'!$D$180:$EQ$219,$B24,69)*500,0)-IF(AND('calcA'!BS$117=1,WQ24&gt;0),300,0)-IF(AND($U24=1,'calcA'!BT$117=1,FS24=0),300,0))),1000000000))</f>
        <v/>
      </c>
      <c r="QW24">
        <f>IF($B24=0,1000000000,IF(INDEX('calcA'!$D$60:$EQ$99,$B24,70)*IF($W24=1,FS24+ACH24,FS24)=1,IF(AND($E24=2,IF($W24=1,AHW24,LH24)=0),1000000000,IF($V24=1,INDEX('calcA'!$D$130:$EQ$169,$B24,70)+IF(AND($E24=1,LH24=0),25,0),INDEX('calcA'!BU$110:BU$114,$F24+1)+IF(AND($E24=1,LH24=0),1000,0)+IF($H24=1,INDEX('calcA'!$D$180:$EQ$219,$B24,70)*500,0)-IF(AND('calcA'!BT$117=1,WR24&gt;0),300,0)-IF(AND($U24=1,'calcA'!BU$117=1,FT24=0),300,0))),1000000000))</f>
        <v/>
      </c>
      <c r="QX24">
        <f>IF($B24=0,1000000000,IF(INDEX('calcA'!$D$60:$EQ$99,$B24,71)*IF($W24=1,FT24+ACI24,FT24)=1,IF(AND($E24=2,IF($W24=1,AHX24,LI24)=0),1000000000,IF($V24=1,INDEX('calcA'!$D$130:$EQ$169,$B24,71)+IF(AND($E24=1,LI24=0),25,0),INDEX('calcA'!BV$110:BV$114,$F24+1)+IF(AND($E24=1,LI24=0),1000,0)+IF($H24=1,INDEX('calcA'!$D$180:$EQ$219,$B24,71)*500,0)-IF(AND('calcA'!BU$117=1,WS24&gt;0),300,0)-IF(AND($U24=1,'calcA'!BV$117=1,FU24=0),300,0))),1000000000))</f>
        <v/>
      </c>
      <c r="QY24">
        <f>IF($B24=0,1000000000,IF(INDEX('calcA'!$D$60:$EQ$99,$B24,72)*IF($W24=1,FU24+ACJ24,FU24)=1,IF(AND($E24=2,IF($W24=1,AHY24,LJ24)=0),1000000000,IF($V24=1,INDEX('calcA'!$D$130:$EQ$169,$B24,72)+IF(AND($E24=1,LJ24=0),25,0),INDEX('calcA'!BW$110:BW$114,$F24+1)+IF(AND($E24=1,LJ24=0),1000,0)+IF($H24=1,INDEX('calcA'!$D$180:$EQ$219,$B24,72)*500,0)-IF(AND('calcA'!BV$117=1,WT24&gt;0),300,0))),1000000000))</f>
        <v/>
      </c>
      <c r="QZ24">
        <f>IF($B24=0,1000000000,IF(INDEX('calcA'!$D$60:$EQ$99,$B24,73)*IF($W24=1,FV24+ACK24,FV24)=1,IF(AND($E24=2,IF($W24=1,AHZ24,LK24)=0),1000000000,IF($V24=1,INDEX('calcA'!$D$130:$EQ$169,$B24,73)+IF(AND($E24=1,LK24=0),25,0),INDEX('calcA'!BX$110:BX$114,$F24+1)+IF(AND($E24=1,LK24=0),1000,0)+IF($H24=1,INDEX('calcA'!$D$180:$EQ$219,$B24,73)*500,0)-IF(AND($U24=1,'calcA'!BX$117=1,FW24=0),300,0))),1000000000))</f>
        <v/>
      </c>
      <c r="RA24">
        <f>IF($B24=0,1000000000,IF(INDEX('calcA'!$D$60:$EQ$99,$B24,74)*IF($W24=1,FW24+ACL24,FW24)=1,IF(AND($E24=2,IF($W24=1,AIA24,LL24)=0),1000000000,IF($V24=1,INDEX('calcA'!$D$130:$EQ$169,$B24,74)+IF(AND($E24=1,LL24=0),25,0),INDEX('calcA'!BY$110:BY$114,$F24+1)+IF(AND($E24=1,LL24=0),1000,0)+IF($H24=1,INDEX('calcA'!$D$180:$EQ$219,$B24,74)*500,0)-IF(AND('calcA'!BX$117=1,WV24&gt;0),300,0)-IF(AND($U24=1,'calcA'!BY$117=1,FX24=0),300,0))),1000000000))</f>
        <v/>
      </c>
      <c r="RB24">
        <f>IF($B24=0,1000000000,IF(INDEX('calcA'!$D$60:$EQ$99,$B24,75)*IF($W24=1,FX24+ACM24,FX24)=1,IF(AND($E24=2,IF($W24=1,AIB24,LM24)=0),1000000000,IF($V24=1,INDEX('calcA'!$D$130:$EQ$169,$B24,75)+IF(AND($E24=1,LM24=0),25,0),INDEX('calcA'!BZ$110:BZ$114,$F24+1)+IF(AND($E24=1,LM24=0),1000,0)+IF($H24=1,INDEX('calcA'!$D$180:$EQ$219,$B24,75)*500,0)-IF(AND('calcA'!BY$117=1,WW24&gt;0),300,0)-IF(AND($U24=1,'calcA'!BZ$117=1,FY24=0),300,0))),1000000000))</f>
        <v/>
      </c>
      <c r="RC24">
        <f>IF($B24=0,1000000000,IF(INDEX('calcA'!$D$60:$EQ$99,$B24,76)*IF($W24=1,FY24+ACN24,FY24)=1,IF(AND($E24=2,IF($W24=1,AIC24,LN24)=0),1000000000,IF($V24=1,INDEX('calcA'!$D$130:$EQ$169,$B24,76)+IF(AND($E24=1,LN24=0),25,0),INDEX('calcA'!CA$110:CA$114,$F24+1)+IF(AND($E24=1,LN24=0),1000,0)+IF($H24=1,INDEX('calcA'!$D$180:$EQ$219,$B24,76)*500,0)-IF(AND('calcA'!BZ$117=1,WX24&gt;0),300,0)-IF(AND($U24=1,'calcA'!CA$117=1,FZ24=0),300,0))),1000000000))</f>
        <v/>
      </c>
      <c r="RD24">
        <f>IF($B24=0,1000000000,IF(INDEX('calcA'!$D$60:$EQ$99,$B24,77)*IF($W24=1,FZ24+ACO24,FZ24)=1,IF(AND($E24=2,IF($W24=1,AID24,LO24)=0),1000000000,IF($V24=1,INDEX('calcA'!$D$130:$EQ$169,$B24,77)+IF(AND($E24=1,LO24=0),25,0),INDEX('calcA'!CB$110:CB$114,$F24+1)+IF(AND($E24=1,LO24=0),1000,0)+IF($H24=1,INDEX('calcA'!$D$180:$EQ$219,$B24,77)*500,0)-IF(AND('calcA'!CA$117=1,WY24&gt;0),300,0)-IF(AND($U24=1,'calcA'!CB$117=1,GA24=0),300,0))),1000000000))</f>
        <v/>
      </c>
      <c r="RE24">
        <f>IF($B24=0,1000000000,IF(INDEX('calcA'!$D$60:$EQ$99,$B24,78)*IF($W24=1,GA24+ACP24,GA24)=1,IF(AND($E24=2,IF($W24=1,AIE24,LP24)=0),1000000000,IF($V24=1,INDEX('calcA'!$D$130:$EQ$169,$B24,78)+IF(AND($E24=1,LP24=0),25,0),INDEX('calcA'!CC$110:CC$114,$F24+1)+IF(AND($E24=1,LP24=0),1000,0)+IF($H24=1,INDEX('calcA'!$D$180:$EQ$219,$B24,78)*500,0)-IF(AND('calcA'!CB$117=1,WZ24&gt;0),300,0)-IF(AND($U24=1,'calcA'!CC$117=1,GB24=0),300,0))),1000000000))</f>
        <v/>
      </c>
      <c r="RF24">
        <f>IF($B24=0,1000000000,IF(INDEX('calcA'!$D$60:$EQ$99,$B24,79)*IF($W24=1,GB24+ACQ24,GB24)=1,IF(AND($E24=2,IF($W24=1,AIF24,LQ24)=0),1000000000,IF($V24=1,INDEX('calcA'!$D$130:$EQ$169,$B24,79)+IF(AND($E24=1,LQ24=0),25,0),INDEX('calcA'!CD$110:CD$114,$F24+1)+IF(AND($E24=1,LQ24=0),1000,0)+IF($H24=1,INDEX('calcA'!$D$180:$EQ$219,$B24,79)*500,0)-IF(AND('calcA'!CC$117=1,XA24&gt;0),300,0)-IF(AND($U24=1,'calcA'!CD$117=1,GC24=0),300,0))),1000000000))</f>
        <v/>
      </c>
      <c r="RG24">
        <f>IF($B24=0,1000000000,IF(INDEX('calcA'!$D$60:$EQ$99,$B24,80)*IF($W24=1,GC24+ACR24,GC24)=1,IF(AND($E24=2,IF($W24=1,AIG24,LR24)=0),1000000000,IF($V24=1,INDEX('calcA'!$D$130:$EQ$169,$B24,80)+IF(AND($E24=1,LR24=0),25,0),INDEX('calcA'!CE$110:CE$114,$F24+1)+IF(AND($E24=1,LR24=0),1000,0)+IF($H24=1,INDEX('calcA'!$D$180:$EQ$219,$B24,80)*500,0)-IF(AND('calcA'!CD$117=1,XB24&gt;0),300,0)-IF(AND($U24=1,'calcA'!CE$117=1,GD24=0),300,0))),1000000000))</f>
        <v/>
      </c>
      <c r="RH24">
        <f>IF($B24=0,1000000000,IF(INDEX('calcA'!$D$60:$EQ$99,$B24,81)*IF($W24=1,GD24+ACS24,GD24)=1,IF(AND($E24=2,IF($W24=1,AIH24,LS24)=0),1000000000,IF($V24=1,INDEX('calcA'!$D$130:$EQ$169,$B24,81)+IF(AND($E24=1,LS24=0),25,0),INDEX('calcA'!CF$110:CF$114,$F24+1)+IF(AND($E24=1,LS24=0),1000,0)+IF($H24=1,INDEX('calcA'!$D$180:$EQ$219,$B24,81)*500,0)-IF(AND('calcA'!CE$117=1,XC24&gt;0),300,0)-IF(AND($U24=1,'calcA'!CF$117=1,GE24=0),300,0))),1000000000))</f>
        <v/>
      </c>
      <c r="RI24">
        <f>IF($B24=0,1000000000,IF(INDEX('calcA'!$D$60:$EQ$99,$B24,82)*IF($W24=1,GE24+ACT24,GE24)=1,IF(AND($E24=2,IF($W24=1,AII24,LT24)=0),1000000000,IF($V24=1,INDEX('calcA'!$D$130:$EQ$169,$B24,82)+IF(AND($E24=1,LT24=0),25,0),INDEX('calcA'!CG$110:CG$114,$F24+1)+IF(AND($E24=1,LT24=0),1000,0)+IF($H24=1,INDEX('calcA'!$D$180:$EQ$219,$B24,82)*500,0)-IF(AND('calcA'!CF$117=1,XD24&gt;0),300,0)-IF(AND($U24=1,'calcA'!CG$117=1,GF24=0),300,0))),1000000000))</f>
        <v/>
      </c>
      <c r="RJ24">
        <f>IF($B24=0,1000000000,IF(INDEX('calcA'!$D$60:$EQ$99,$B24,83)*IF($W24=1,GF24+ACU24,GF24)=1,IF(AND($E24=2,IF($W24=1,AIJ24,LU24)=0),1000000000,IF($V24=1,INDEX('calcA'!$D$130:$EQ$169,$B24,83)+IF(AND($E24=1,LU24=0),25,0),INDEX('calcA'!CH$110:CH$114,$F24+1)+IF(AND($E24=1,LU24=0),1000,0)+IF($H24=1,INDEX('calcA'!$D$180:$EQ$219,$B24,83)*500,0)-IF(AND('calcA'!CG$117=1,XE24&gt;0),300,0)-IF(AND($U24=1,'calcA'!CH$117=1,GG24=0),300,0))),1000000000))</f>
        <v/>
      </c>
      <c r="RK24">
        <f>IF($B24=0,1000000000,IF(INDEX('calcA'!$D$60:$EQ$99,$B24,84)*IF($W24=1,GG24+ACV24,GG24)=1,IF(AND($E24=2,IF($W24=1,AIK24,LV24)=0),1000000000,IF($V24=1,INDEX('calcA'!$D$130:$EQ$169,$B24,84)+IF(AND($E24=1,LV24=0),25,0),INDEX('calcA'!CI$110:CI$114,$F24+1)+IF(AND($E24=1,LV24=0),1000,0)+IF($H24=1,INDEX('calcA'!$D$180:$EQ$219,$B24,84)*500,0)-IF(AND('calcA'!CH$117=1,XF24&gt;0),300,0)-IF(AND($U24=1,'calcA'!CI$117=1,GH24=0),300,0))),1000000000))</f>
        <v/>
      </c>
      <c r="RL24">
        <f>IF($B24=0,1000000000,IF(INDEX('calcA'!$D$60:$EQ$99,$B24,85)*IF($W24=1,GH24+ACW24,GH24)=1,IF(AND($E24=2,IF($W24=1,AIL24,LW24)=0),1000000000,IF($V24=1,INDEX('calcA'!$D$130:$EQ$169,$B24,85)+IF(AND($E24=1,LW24=0),25,0),INDEX('calcA'!CJ$110:CJ$114,$F24+1)+IF(AND($E24=1,LW24=0),1000,0)+IF($H24=1,INDEX('calcA'!$D$180:$EQ$219,$B24,85)*500,0)-IF(AND('calcA'!CI$117=1,XG24&gt;0),300,0)-IF(AND($U24=1,'calcA'!CJ$117=1,GI24=0),300,0))),1000000000))</f>
        <v/>
      </c>
      <c r="RM24">
        <f>IF($B24=0,1000000000,IF(INDEX('calcA'!$D$60:$EQ$99,$B24,86)*IF($W24=1,GI24+ACX24,GI24)=1,IF(AND($E24=2,IF($W24=1,AIM24,LX24)=0),1000000000,IF($V24=1,INDEX('calcA'!$D$130:$EQ$169,$B24,86)+IF(AND($E24=1,LX24=0),25,0),INDEX('calcA'!CK$110:CK$114,$F24+1)+IF(AND($E24=1,LX24=0),1000,0)+IF($H24=1,INDEX('calcA'!$D$180:$EQ$219,$B24,86)*500,0)-IF(AND('calcA'!CJ$117=1,XH24&gt;0),300,0)-IF(AND($U24=1,'calcA'!CK$117=1,GJ24=0),300,0))),1000000000))</f>
        <v/>
      </c>
      <c r="RN24">
        <f>IF($B24=0,1000000000,IF(INDEX('calcA'!$D$60:$EQ$99,$B24,87)*IF($W24=1,GJ24+ACY24,GJ24)=1,IF(AND($E24=2,IF($W24=1,AIN24,LY24)=0),1000000000,IF($V24=1,INDEX('calcA'!$D$130:$EQ$169,$B24,87)+IF(AND($E24=1,LY24=0),25,0),INDEX('calcA'!CL$110:CL$114,$F24+1)+IF(AND($E24=1,LY24=0),1000,0)+IF($H24=1,INDEX('calcA'!$D$180:$EQ$219,$B24,87)*500,0)-IF(AND('calcA'!CK$117=1,XI24&gt;0),300,0)-IF(AND($U24=1,'calcA'!CL$117=1,GK24=0),300,0))),1000000000))</f>
        <v/>
      </c>
      <c r="RO24">
        <f>IF($B24=0,1000000000,IF(INDEX('calcA'!$D$60:$EQ$99,$B24,88)*IF($W24=1,GK24+ACZ24,GK24)=1,IF(AND($E24=2,IF($W24=1,AIO24,LZ24)=0),1000000000,IF($V24=1,INDEX('calcA'!$D$130:$EQ$169,$B24,88)+IF(AND($E24=1,LZ24=0),25,0),INDEX('calcA'!CM$110:CM$114,$F24+1)+IF(AND($E24=1,LZ24=0),1000,0)+IF($H24=1,INDEX('calcA'!$D$180:$EQ$219,$B24,88)*500,0)-IF(AND('calcA'!CL$117=1,XJ24&gt;0),300,0)-IF(AND($U24=1,'calcA'!CM$117=1,GL24=0),300,0))),1000000000))</f>
        <v/>
      </c>
      <c r="RP24">
        <f>IF($B24=0,1000000000,IF(INDEX('calcA'!$D$60:$EQ$99,$B24,89)*IF($W24=1,GL24+ADA24,GL24)=1,IF(AND($E24=2,IF($W24=1,AIP24,MA24)=0),1000000000,IF($V24=1,INDEX('calcA'!$D$130:$EQ$169,$B24,89)+IF(AND($E24=1,MA24=0),25,0),INDEX('calcA'!CN$110:CN$114,$F24+1)+IF(AND($E24=1,MA24=0),1000,0)+IF($H24=1,INDEX('calcA'!$D$180:$EQ$219,$B24,89)*500,0)-IF(AND('calcA'!CM$117=1,XK24&gt;0),300,0)-IF(AND($U24=1,'calcA'!CN$117=1,GM24=0),300,0))),1000000000))</f>
        <v/>
      </c>
      <c r="RQ24">
        <f>IF($B24=0,1000000000,IF(INDEX('calcA'!$D$60:$EQ$99,$B24,90)*IF($W24=1,GM24+ADB24,GM24)=1,IF(AND($E24=2,IF($W24=1,AIQ24,MB24)=0),1000000000,IF($V24=1,INDEX('calcA'!$D$130:$EQ$169,$B24,90)+IF(AND($E24=1,MB24=0),25,0),INDEX('calcA'!CO$110:CO$114,$F24+1)+IF(AND($E24=1,MB24=0),1000,0)+IF($H24=1,INDEX('calcA'!$D$180:$EQ$219,$B24,90)*500,0)-IF(AND('calcA'!CN$117=1,XL24&gt;0),300,0)-IF(AND($U24=1,'calcA'!CO$117=1,GN24=0),300,0))),1000000000))</f>
        <v/>
      </c>
      <c r="RR24">
        <f>IF($B24=0,1000000000,IF(INDEX('calcA'!$D$60:$EQ$99,$B24,91)*IF($W24=1,GN24+ADC24,GN24)=1,IF(AND($E24=2,IF($W24=1,AIR24,MC24)=0),1000000000,IF($V24=1,INDEX('calcA'!$D$130:$EQ$169,$B24,91)+IF(AND($E24=1,MC24=0),25,0),INDEX('calcA'!CP$110:CP$114,$F24+1)+IF(AND($E24=1,MC24=0),1000,0)+IF($H24=1,INDEX('calcA'!$D$180:$EQ$219,$B24,91)*500,0)-IF(AND('calcA'!CO$117=1,XM24&gt;0),300,0)-IF(AND($U24=1,'calcA'!CP$117=1,GO24=0),300,0))),1000000000))</f>
        <v/>
      </c>
      <c r="RS24">
        <f>IF($B24=0,1000000000,IF(INDEX('calcA'!$D$60:$EQ$99,$B24,92)*IF($W24=1,GO24+ADD24,GO24)=1,IF(AND($E24=2,IF($W24=1,AIS24,MD24)=0),1000000000,IF($V24=1,INDEX('calcA'!$D$130:$EQ$169,$B24,92)+IF(AND($E24=1,MD24=0),25,0),INDEX('calcA'!CQ$110:CQ$114,$F24+1)+IF(AND($E24=1,MD24=0),1000,0)+IF($H24=1,INDEX('calcA'!$D$180:$EQ$219,$B24,92)*500,0)-IF(AND('calcA'!CP$117=1,XN24&gt;0),300,0)-IF(AND($U24=1,'calcA'!CQ$117=1,GP24=0),300,0))),1000000000))</f>
        <v/>
      </c>
      <c r="RT24">
        <f>IF($B24=0,1000000000,IF(INDEX('calcA'!$D$60:$EQ$99,$B24,93)*IF($W24=1,GP24+ADE24,GP24)=1,IF(AND($E24=2,IF($W24=1,AIT24,ME24)=0),1000000000,IF($V24=1,INDEX('calcA'!$D$130:$EQ$169,$B24,93)+IF(AND($E24=1,ME24=0),25,0),INDEX('calcA'!CR$110:CR$114,$F24+1)+IF(AND($E24=1,ME24=0),1000,0)+IF($H24=1,INDEX('calcA'!$D$180:$EQ$219,$B24,93)*500,0)-IF(AND('calcA'!CQ$117=1,XO24&gt;0),300,0)-IF(AND($U24=1,'calcA'!CR$117=1,GQ24=0),300,0))),1000000000))</f>
        <v/>
      </c>
      <c r="RU24">
        <f>IF($B24=0,1000000000,IF(INDEX('calcA'!$D$60:$EQ$99,$B24,94)*IF($W24=1,GQ24+ADF24,GQ24)=1,IF(AND($E24=2,IF($W24=1,AIU24,MF24)=0),1000000000,IF($V24=1,INDEX('calcA'!$D$130:$EQ$169,$B24,94)+IF(AND($E24=1,MF24=0),25,0),INDEX('calcA'!CS$110:CS$114,$F24+1)+IF(AND($E24=1,MF24=0),1000,0)+IF($H24=1,INDEX('calcA'!$D$180:$EQ$219,$B24,94)*500,0)-IF(AND('calcA'!CR$117=1,XP24&gt;0),300,0)-IF(AND($U24=1,'calcA'!CS$117=1,GR24=0),300,0))),1000000000))</f>
        <v/>
      </c>
      <c r="RV24">
        <f>IF($B24=0,1000000000,IF(INDEX('calcA'!$D$60:$EQ$99,$B24,95)*IF($W24=1,GR24+ADG24,GR24)=1,IF(AND($E24=2,IF($W24=1,AIV24,MG24)=0),1000000000,IF($V24=1,INDEX('calcA'!$D$130:$EQ$169,$B24,95)+IF(AND($E24=1,MG24=0),25,0),INDEX('calcA'!CT$110:CT$114,$F24+1)+IF(AND($E24=1,MG24=0),1000,0)+IF($H24=1,INDEX('calcA'!$D$180:$EQ$219,$B24,95)*500,0)-IF(AND('calcA'!CS$117=1,XQ24&gt;0),300,0)-IF(AND($U24=1,'calcA'!CT$117=1,GS24=0),300,0))),1000000000))</f>
        <v/>
      </c>
      <c r="RW24">
        <f>IF($B24=0,1000000000,IF(INDEX('calcA'!$D$60:$EQ$99,$B24,96)*IF($W24=1,GS24+ADH24,GS24)=1,IF(AND($E24=2,IF($W24=1,AIW24,MH24)=0),1000000000,IF($V24=1,INDEX('calcA'!$D$130:$EQ$169,$B24,96)+IF(AND($E24=1,MH24=0),25,0),INDEX('calcA'!CU$110:CU$114,$F24+1)+IF(AND($E24=1,MH24=0),1000,0)+IF($H24=1,INDEX('calcA'!$D$180:$EQ$219,$B24,96)*500,0)-IF(AND('calcA'!CT$117=1,XR24&gt;0),300,0))),1000000000))</f>
        <v/>
      </c>
      <c r="RX24">
        <f>IF($B24=0,1000000000,IF(INDEX('calcA'!$D$60:$EQ$99,$B24,97)*IF($W24=1,GT24+ADI24,GT24)=1,IF(AND($E24=2,IF($W24=1,AIX24,MI24)=0),1000000000,IF($V24=1,INDEX('calcA'!$D$130:$EQ$169,$B24,97)+IF(AND($E24=1,MI24=0),25,0),INDEX('calcA'!CV$110:CV$114,$F24+1)+IF(AND($E24=1,MI24=0),1000,0)+IF($H24=1,INDEX('calcA'!$D$180:$EQ$219,$B24,97)*500,0)-IF(AND($U24=1,'calcA'!CV$117=1,GU24=0),300,0))),1000000000))</f>
        <v/>
      </c>
      <c r="RY24">
        <f>IF($B24=0,1000000000,IF(INDEX('calcA'!$D$60:$EQ$99,$B24,98)*IF($W24=1,GU24+ADJ24,GU24)=1,IF(AND($E24=2,IF($W24=1,AIY24,MJ24)=0),1000000000,IF($V24=1,INDEX('calcA'!$D$130:$EQ$169,$B24,98)+IF(AND($E24=1,MJ24=0),25,0),INDEX('calcA'!CW$110:CW$114,$F24+1)+IF(AND($E24=1,MJ24=0),1000,0)+IF($H24=1,INDEX('calcA'!$D$180:$EQ$219,$B24,98)*500,0)-IF(AND('calcA'!CV$117=1,XT24&gt;0),300,0)-IF(AND($U24=1,'calcA'!CW$117=1,GV24=0),300,0))),1000000000))</f>
        <v/>
      </c>
      <c r="RZ24">
        <f>IF($B24=0,1000000000,IF(INDEX('calcA'!$D$60:$EQ$99,$B24,99)*IF($W24=1,GV24+ADK24,GV24)=1,IF(AND($E24=2,IF($W24=1,AIZ24,MK24)=0),1000000000,IF($V24=1,INDEX('calcA'!$D$130:$EQ$169,$B24,99)+IF(AND($E24=1,MK24=0),25,0),INDEX('calcA'!CX$110:CX$114,$F24+1)+IF(AND($E24=1,MK24=0),1000,0)+IF($H24=1,INDEX('calcA'!$D$180:$EQ$219,$B24,99)*500,0)-IF(AND('calcA'!CW$117=1,XU24&gt;0),300,0)-IF(AND($U24=1,'calcA'!CX$117=1,GW24=0),300,0))),1000000000))</f>
        <v/>
      </c>
      <c r="SA24">
        <f>IF($B24=0,1000000000,IF(INDEX('calcA'!$D$60:$EQ$99,$B24,100)*IF($W24=1,GW24+ADL24,GW24)=1,IF(AND($E24=2,IF($W24=1,AJA24,ML24)=0),1000000000,IF($V24=1,INDEX('calcA'!$D$130:$EQ$169,$B24,100)+IF(AND($E24=1,ML24=0),25,0),INDEX('calcA'!CY$110:CY$114,$F24+1)+IF(AND($E24=1,ML24=0),1000,0)+IF($H24=1,INDEX('calcA'!$D$180:$EQ$219,$B24,100)*500,0)-IF(AND('calcA'!CX$117=1,XV24&gt;0),300,0)-IF(AND($U24=1,'calcA'!CY$117=1,GX24=0),300,0))),1000000000))</f>
        <v/>
      </c>
      <c r="SB24">
        <f>IF($B24=0,1000000000,IF(INDEX('calcA'!$D$60:$EQ$99,$B24,101)*IF($W24=1,GX24+ADM24,GX24)=1,IF(AND($E24=2,IF($W24=1,AJB24,MM24)=0),1000000000,IF($V24=1,INDEX('calcA'!$D$130:$EQ$169,$B24,101)+IF(AND($E24=1,MM24=0),25,0),INDEX('calcA'!CZ$110:CZ$114,$F24+1)+IF(AND($E24=1,MM24=0),1000,0)+IF($H24=1,INDEX('calcA'!$D$180:$EQ$219,$B24,101)*500,0)-IF(AND('calcA'!CY$117=1,XW24&gt;0),300,0)-IF(AND($U24=1,'calcA'!CZ$117=1,GY24=0),300,0))),1000000000))</f>
        <v/>
      </c>
      <c r="SC24">
        <f>IF($B24=0,1000000000,IF(INDEX('calcA'!$D$60:$EQ$99,$B24,102)*IF($W24=1,GY24+ADN24,GY24)=1,IF(AND($E24=2,IF($W24=1,AJC24,MN24)=0),1000000000,IF($V24=1,INDEX('calcA'!$D$130:$EQ$169,$B24,102)+IF(AND($E24=1,MN24=0),25,0),INDEX('calcA'!DA$110:DA$114,$F24+1)+IF(AND($E24=1,MN24=0),1000,0)+IF($H24=1,INDEX('calcA'!$D$180:$EQ$219,$B24,102)*500,0)-IF(AND('calcA'!CZ$117=1,XX24&gt;0),300,0)-IF(AND($U24=1,'calcA'!DA$117=1,GZ24=0),300,0))),1000000000))</f>
        <v/>
      </c>
      <c r="SD24">
        <f>IF($B24=0,1000000000,IF(INDEX('calcA'!$D$60:$EQ$99,$B24,103)*IF($W24=1,GZ24+ADO24,GZ24)=1,IF(AND($E24=2,IF($W24=1,AJD24,MO24)=0),1000000000,IF($V24=1,INDEX('calcA'!$D$130:$EQ$169,$B24,103)+IF(AND($E24=1,MO24=0),25,0),INDEX('calcA'!DB$110:DB$114,$F24+1)+IF(AND($E24=1,MO24=0),1000,0)+IF($H24=1,INDEX('calcA'!$D$180:$EQ$219,$B24,103)*500,0)-IF(AND('calcA'!DA$117=1,XY24&gt;0),300,0)-IF(AND($U24=1,'calcA'!DB$117=1,HA24=0),300,0))),1000000000))</f>
        <v/>
      </c>
      <c r="SE24">
        <f>IF($B24=0,1000000000,IF(INDEX('calcA'!$D$60:$EQ$99,$B24,104)*IF($W24=1,HA24+ADP24,HA24)=1,IF(AND($E24=2,IF($W24=1,AJE24,MP24)=0),1000000000,IF($V24=1,INDEX('calcA'!$D$130:$EQ$169,$B24,104)+IF(AND($E24=1,MP24=0),25,0),INDEX('calcA'!DC$110:DC$114,$F24+1)+IF(AND($E24=1,MP24=0),1000,0)+IF($H24=1,INDEX('calcA'!$D$180:$EQ$219,$B24,104)*500,0)-IF(AND('calcA'!DB$117=1,XZ24&gt;0),300,0)-IF(AND($U24=1,'calcA'!DC$117=1,HB24=0),300,0))),1000000000))</f>
        <v/>
      </c>
      <c r="SF24">
        <f>IF($B24=0,1000000000,IF(INDEX('calcA'!$D$60:$EQ$99,$B24,105)*IF($W24=1,HB24+ADQ24,HB24)=1,IF(AND($E24=2,IF($W24=1,AJF24,MQ24)=0),1000000000,IF($V24=1,INDEX('calcA'!$D$130:$EQ$169,$B24,105)+IF(AND($E24=1,MQ24=0),25,0),INDEX('calcA'!DD$110:DD$114,$F24+1)+IF(AND($E24=1,MQ24=0),1000,0)+IF($H24=1,INDEX('calcA'!$D$180:$EQ$219,$B24,105)*500,0)-IF(AND('calcA'!DC$117=1,YA24&gt;0),300,0)-IF(AND($U24=1,'calcA'!DD$117=1,HC24=0),300,0))),1000000000))</f>
        <v/>
      </c>
      <c r="SG24">
        <f>IF($B24=0,1000000000,IF(INDEX('calcA'!$D$60:$EQ$99,$B24,106)*IF($W24=1,HC24+ADR24,HC24)=1,IF(AND($E24=2,IF($W24=1,AJG24,MR24)=0),1000000000,IF($V24=1,INDEX('calcA'!$D$130:$EQ$169,$B24,106)+IF(AND($E24=1,MR24=0),25,0),INDEX('calcA'!DE$110:DE$114,$F24+1)+IF(AND($E24=1,MR24=0),1000,0)+IF($H24=1,INDEX('calcA'!$D$180:$EQ$219,$B24,106)*500,0)-IF(AND('calcA'!DD$117=1,YB24&gt;0),300,0)-IF(AND($U24=1,'calcA'!DE$117=1,HD24=0),300,0))),1000000000))</f>
        <v/>
      </c>
      <c r="SH24">
        <f>IF($B24=0,1000000000,IF(INDEX('calcA'!$D$60:$EQ$99,$B24,107)*IF($W24=1,HD24+ADS24,HD24)=1,IF(AND($E24=2,IF($W24=1,AJH24,MS24)=0),1000000000,IF($V24=1,INDEX('calcA'!$D$130:$EQ$169,$B24,107)+IF(AND($E24=1,MS24=0),25,0),INDEX('calcA'!DF$110:DF$114,$F24+1)+IF(AND($E24=1,MS24=0),1000,0)+IF($H24=1,INDEX('calcA'!$D$180:$EQ$219,$B24,107)*500,0)-IF(AND('calcA'!DE$117=1,YC24&gt;0),300,0)-IF(AND($U24=1,'calcA'!DF$117=1,HE24=0),300,0))),1000000000))</f>
        <v/>
      </c>
      <c r="SI24">
        <f>IF($B24=0,1000000000,IF(INDEX('calcA'!$D$60:$EQ$99,$B24,108)*IF($W24=1,HE24+ADT24,HE24)=1,IF(AND($E24=2,IF($W24=1,AJI24,MT24)=0),1000000000,IF($V24=1,INDEX('calcA'!$D$130:$EQ$169,$B24,108)+IF(AND($E24=1,MT24=0),25,0),INDEX('calcA'!DG$110:DG$114,$F24+1)+IF(AND($E24=1,MT24=0),1000,0)+IF($H24=1,INDEX('calcA'!$D$180:$EQ$219,$B24,108)*500,0)-IF(AND('calcA'!DF$117=1,YD24&gt;0),300,0)-IF(AND($U24=1,'calcA'!DG$117=1,HF24=0),300,0))),1000000000))</f>
        <v/>
      </c>
      <c r="SJ24">
        <f>IF($B24=0,1000000000,IF(INDEX('calcA'!$D$60:$EQ$99,$B24,109)*IF($W24=1,HF24+ADU24,HF24)=1,IF(AND($E24=2,IF($W24=1,AJJ24,MU24)=0),1000000000,IF($V24=1,INDEX('calcA'!$D$130:$EQ$169,$B24,109)+IF(AND($E24=1,MU24=0),25,0),INDEX('calcA'!DH$110:DH$114,$F24+1)+IF(AND($E24=1,MU24=0),1000,0)+IF($H24=1,INDEX('calcA'!$D$180:$EQ$219,$B24,109)*500,0)-IF(AND('calcA'!DG$117=1,YE24&gt;0),300,0)-IF(AND($U24=1,'calcA'!DH$117=1,HG24=0),300,0))),1000000000))</f>
        <v/>
      </c>
      <c r="SK24">
        <f>IF($B24=0,1000000000,IF(INDEX('calcA'!$D$60:$EQ$99,$B24,110)*IF($W24=1,HG24+ADV24,HG24)=1,IF(AND($E24=2,IF($W24=1,AJK24,MV24)=0),1000000000,IF($V24=1,INDEX('calcA'!$D$130:$EQ$169,$B24,110)+IF(AND($E24=1,MV24=0),25,0),INDEX('calcA'!DI$110:DI$114,$F24+1)+IF(AND($E24=1,MV24=0),1000,0)+IF($H24=1,INDEX('calcA'!$D$180:$EQ$219,$B24,110)*500,0)-IF(AND('calcA'!DH$117=1,YF24&gt;0),300,0)-IF(AND($U24=1,'calcA'!DI$117=1,HH24=0),300,0))),1000000000))</f>
        <v/>
      </c>
      <c r="SL24">
        <f>IF($B24=0,1000000000,IF(INDEX('calcA'!$D$60:$EQ$99,$B24,111)*IF($W24=1,HH24+ADW24,HH24)=1,IF(AND($E24=2,IF($W24=1,AJL24,MW24)=0),1000000000,IF($V24=1,INDEX('calcA'!$D$130:$EQ$169,$B24,111)+IF(AND($E24=1,MW24=0),25,0),INDEX('calcA'!DJ$110:DJ$114,$F24+1)+IF(AND($E24=1,MW24=0),1000,0)+IF($H24=1,INDEX('calcA'!$D$180:$EQ$219,$B24,111)*500,0)-IF(AND('calcA'!DI$117=1,YG24&gt;0),300,0)-IF(AND($U24=1,'calcA'!DJ$117=1,HI24=0),300,0))),1000000000))</f>
        <v/>
      </c>
      <c r="SM24">
        <f>IF($B24=0,1000000000,IF(INDEX('calcA'!$D$60:$EQ$99,$B24,112)*IF($W24=1,HI24+ADX24,HI24)=1,IF(AND($E24=2,IF($W24=1,AJM24,MX24)=0),1000000000,IF($V24=1,INDEX('calcA'!$D$130:$EQ$169,$B24,112)+IF(AND($E24=1,MX24=0),25,0),INDEX('calcA'!DK$110:DK$114,$F24+1)+IF(AND($E24=1,MX24=0),1000,0)+IF($H24=1,INDEX('calcA'!$D$180:$EQ$219,$B24,112)*500,0)-IF(AND('calcA'!DJ$117=1,YH24&gt;0),300,0)-IF(AND($U24=1,'calcA'!DK$117=1,HJ24=0),300,0))),1000000000))</f>
        <v/>
      </c>
      <c r="SN24">
        <f>IF($B24=0,1000000000,IF(INDEX('calcA'!$D$60:$EQ$99,$B24,113)*IF($W24=1,HJ24+ADY24,HJ24)=1,IF(AND($E24=2,IF($W24=1,AJN24,MY24)=0),1000000000,IF($V24=1,INDEX('calcA'!$D$130:$EQ$169,$B24,113)+IF(AND($E24=1,MY24=0),25,0),INDEX('calcA'!DL$110:DL$114,$F24+1)+IF(AND($E24=1,MY24=0),1000,0)+IF($H24=1,INDEX('calcA'!$D$180:$EQ$219,$B24,113)*500,0)-IF(AND('calcA'!DK$117=1,YI24&gt;0),300,0)-IF(AND($U24=1,'calcA'!DL$117=1,HK24=0),300,0))),1000000000))</f>
        <v/>
      </c>
      <c r="SO24">
        <f>IF($B24=0,1000000000,IF(INDEX('calcA'!$D$60:$EQ$99,$B24,114)*IF($W24=1,HK24+ADZ24,HK24)=1,IF(AND($E24=2,IF($W24=1,AJO24,MZ24)=0),1000000000,IF($V24=1,INDEX('calcA'!$D$130:$EQ$169,$B24,114)+IF(AND($E24=1,MZ24=0),25,0),INDEX('calcA'!DM$110:DM$114,$F24+1)+IF(AND($E24=1,MZ24=0),1000,0)+IF($H24=1,INDEX('calcA'!$D$180:$EQ$219,$B24,114)*500,0)-IF(AND('calcA'!DL$117=1,YJ24&gt;0),300,0)-IF(AND($U24=1,'calcA'!DM$117=1,HL24=0),300,0))),1000000000))</f>
        <v/>
      </c>
      <c r="SP24">
        <f>IF($B24=0,1000000000,IF(INDEX('calcA'!$D$60:$EQ$99,$B24,115)*IF($W24=1,HL24+AEA24,HL24)=1,IF(AND($E24=2,IF($W24=1,AJP24,NA24)=0),1000000000,IF($V24=1,INDEX('calcA'!$D$130:$EQ$169,$B24,115)+IF(AND($E24=1,NA24=0),25,0),INDEX('calcA'!DN$110:DN$114,$F24+1)+IF(AND($E24=1,NA24=0),1000,0)+IF($H24=1,INDEX('calcA'!$D$180:$EQ$219,$B24,115)*500,0)-IF(AND('calcA'!DM$117=1,YK24&gt;0),300,0)-IF(AND($U24=1,'calcA'!DN$117=1,HM24=0),300,0))),1000000000))</f>
        <v/>
      </c>
      <c r="SQ24">
        <f>IF($B24=0,1000000000,IF(INDEX('calcA'!$D$60:$EQ$99,$B24,116)*IF($W24=1,HM24+AEB24,HM24)=1,IF(AND($E24=2,IF($W24=1,AJQ24,NB24)=0),1000000000,IF($V24=1,INDEX('calcA'!$D$130:$EQ$169,$B24,116)+IF(AND($E24=1,NB24=0),25,0),INDEX('calcA'!DO$110:DO$114,$F24+1)+IF(AND($E24=1,NB24=0),1000,0)+IF($H24=1,INDEX('calcA'!$D$180:$EQ$219,$B24,116)*500,0)-IF(AND('calcA'!DN$117=1,YL24&gt;0),300,0)-IF(AND($U24=1,'calcA'!DO$117=1,HN24=0),300,0))),1000000000))</f>
        <v/>
      </c>
      <c r="SR24">
        <f>IF($B24=0,1000000000,IF(INDEX('calcA'!$D$60:$EQ$99,$B24,117)*IF($W24=1,HN24+AEC24,HN24)=1,IF(AND($E24=2,IF($W24=1,AJR24,NC24)=0),1000000000,IF($V24=1,INDEX('calcA'!$D$130:$EQ$169,$B24,117)+IF(AND($E24=1,NC24=0),25,0),INDEX('calcA'!DP$110:DP$114,$F24+1)+IF(AND($E24=1,NC24=0),1000,0)+IF($H24=1,INDEX('calcA'!$D$180:$EQ$219,$B24,117)*500,0)-IF(AND('calcA'!DO$117=1,YM24&gt;0),300,0)-IF(AND($U24=1,'calcA'!DP$117=1,HO24=0),300,0))),1000000000))</f>
        <v/>
      </c>
      <c r="SS24">
        <f>IF($B24=0,1000000000,IF(INDEX('calcA'!$D$60:$EQ$99,$B24,118)*IF($W24=1,HO24+AED24,HO24)=1,IF(AND($E24=2,IF($W24=1,AJS24,ND24)=0),1000000000,IF($V24=1,INDEX('calcA'!$D$130:$EQ$169,$B24,118)+IF(AND($E24=1,ND24=0),25,0),INDEX('calcA'!DQ$110:DQ$114,$F24+1)+IF(AND($E24=1,ND24=0),1000,0)+IF($H24=1,INDEX('calcA'!$D$180:$EQ$219,$B24,118)*500,0)-IF(AND('calcA'!DP$117=1,YN24&gt;0),300,0)-IF(AND($U24=1,'calcA'!DQ$117=1,HP24=0),300,0))),1000000000))</f>
        <v/>
      </c>
      <c r="ST24">
        <f>IF($B24=0,1000000000,IF(INDEX('calcA'!$D$60:$EQ$99,$B24,119)*IF($W24=1,HP24+AEE24,HP24)=1,IF(AND($E24=2,IF($W24=1,AJT24,NE24)=0),1000000000,IF($V24=1,INDEX('calcA'!$D$130:$EQ$169,$B24,119)+IF(AND($E24=1,NE24=0),25,0),INDEX('calcA'!DR$110:DR$114,$F24+1)+IF(AND($E24=1,NE24=0),1000,0)+IF($H24=1,INDEX('calcA'!$D$180:$EQ$219,$B24,119)*500,0)-IF(AND('calcA'!DQ$117=1,YO24&gt;0),300,0)-IF(AND($U24=1,'calcA'!DR$117=1,HQ24=0),300,0))),1000000000))</f>
        <v/>
      </c>
      <c r="SU24">
        <f>IF($B24=0,1000000000,IF(INDEX('calcA'!$D$60:$EQ$99,$B24,120)*IF($W24=1,HQ24+AEF24,HQ24)=1,IF(AND($E24=2,IF($W24=1,AJU24,NF24)=0),1000000000,IF($V24=1,INDEX('calcA'!$D$130:$EQ$169,$B24,120)+IF(AND($E24=1,NF24=0),25,0),INDEX('calcA'!DS$110:DS$114,$F24+1)+IF(AND($E24=1,NF24=0),1000,0)+IF($H24=1,INDEX('calcA'!$D$180:$EQ$219,$B24,120)*500,0)-IF(AND('calcA'!DR$117=1,YP24&gt;0),300,0))),1000000000))</f>
        <v/>
      </c>
      <c r="SV24">
        <f>IF($B24=0,1000000000,IF(INDEX('calcA'!$D$60:$EQ$99,$B24,121)*IF($W24=1,HR24+AEG24,HR24)=1,IF(AND($E24=2,IF($W24=1,AJV24,NG24)=0),1000000000,IF($V24=1,INDEX('calcA'!$D$130:$EQ$169,$B24,121)+IF(AND($E24=1,NG24=0),25,0),INDEX('calcA'!DT$110:DT$114,$F24+1)+IF(AND($E24=1,NG24=0),1000,0)+IF($H24=1,INDEX('calcA'!$D$180:$EQ$219,$B24,121)*500,0)-IF(AND($U24=1,'calcA'!DT$117=1,HS24=0),300,0))),1000000000))</f>
        <v/>
      </c>
      <c r="SW24">
        <f>IF($B24=0,1000000000,IF(INDEX('calcA'!$D$60:$EQ$99,$B24,122)*IF($W24=1,HS24+AEH24,HS24)=1,IF(AND($E24=2,IF($W24=1,AJW24,NH24)=0),1000000000,IF($V24=1,INDEX('calcA'!$D$130:$EQ$169,$B24,122)+IF(AND($E24=1,NH24=0),25,0),INDEX('calcA'!DU$110:DU$114,$F24+1)+IF(AND($E24=1,NH24=0),1000,0)+IF($H24=1,INDEX('calcA'!$D$180:$EQ$219,$B24,122)*500,0)-IF(AND('calcA'!DT$117=1,YR24&gt;0),300,0)-IF(AND($U24=1,'calcA'!DU$117=1,HT24=0),300,0))),1000000000))</f>
        <v/>
      </c>
      <c r="SX24">
        <f>IF($B24=0,1000000000,IF(INDEX('calcA'!$D$60:$EQ$99,$B24,123)*IF($W24=1,HT24+AEI24,HT24)=1,IF(AND($E24=2,IF($W24=1,AJX24,NI24)=0),1000000000,IF($V24=1,INDEX('calcA'!$D$130:$EQ$169,$B24,123)+IF(AND($E24=1,NI24=0),25,0),INDEX('calcA'!DV$110:DV$114,$F24+1)+IF(AND($E24=1,NI24=0),1000,0)+IF($H24=1,INDEX('calcA'!$D$180:$EQ$219,$B24,123)*500,0)-IF(AND('calcA'!DU$117=1,YS24&gt;0),300,0)-IF(AND($U24=1,'calcA'!DV$117=1,HU24=0),300,0))),1000000000))</f>
        <v/>
      </c>
      <c r="SY24">
        <f>IF($B24=0,1000000000,IF(INDEX('calcA'!$D$60:$EQ$99,$B24,124)*IF($W24=1,HU24+AEJ24,HU24)=1,IF(AND($E24=2,IF($W24=1,AJY24,NJ24)=0),1000000000,IF($V24=1,INDEX('calcA'!$D$130:$EQ$169,$B24,124)+IF(AND($E24=1,NJ24=0),25,0),INDEX('calcA'!DW$110:DW$114,$F24+1)+IF(AND($E24=1,NJ24=0),1000,0)+IF($H24=1,INDEX('calcA'!$D$180:$EQ$219,$B24,124)*500,0)-IF(AND('calcA'!DV$117=1,YT24&gt;0),300,0)-IF(AND($U24=1,'calcA'!DW$117=1,HV24=0),300,0))),1000000000))</f>
        <v/>
      </c>
      <c r="SZ24">
        <f>IF($B24=0,1000000000,IF(INDEX('calcA'!$D$60:$EQ$99,$B24,125)*IF($W24=1,HV24+AEK24,HV24)=1,IF(AND($E24=2,IF($W24=1,AJZ24,NK24)=0),1000000000,IF($V24=1,INDEX('calcA'!$D$130:$EQ$169,$B24,125)+IF(AND($E24=1,NK24=0),25,0),INDEX('calcA'!DX$110:DX$114,$F24+1)+IF(AND($E24=1,NK24=0),1000,0)+IF($H24=1,INDEX('calcA'!$D$180:$EQ$219,$B24,125)*500,0)-IF(AND('calcA'!DW$117=1,YU24&gt;0),300,0)-IF(AND($U24=1,'calcA'!DX$117=1,HW24=0),300,0))),1000000000))</f>
        <v/>
      </c>
      <c r="TA24">
        <f>IF($B24=0,1000000000,IF(INDEX('calcA'!$D$60:$EQ$99,$B24,126)*IF($W24=1,HW24+AEL24,HW24)=1,IF(AND($E24=2,IF($W24=1,AKA24,NL24)=0),1000000000,IF($V24=1,INDEX('calcA'!$D$130:$EQ$169,$B24,126)+IF(AND($E24=1,NL24=0),25,0),INDEX('calcA'!DY$110:DY$114,$F24+1)+IF(AND($E24=1,NL24=0),1000,0)+IF($H24=1,INDEX('calcA'!$D$180:$EQ$219,$B24,126)*500,0)-IF(AND('calcA'!DX$117=1,YV24&gt;0),300,0)-IF(AND($U24=1,'calcA'!DY$117=1,HX24=0),300,0))),1000000000))</f>
        <v/>
      </c>
      <c r="TB24">
        <f>IF($B24=0,1000000000,IF(INDEX('calcA'!$D$60:$EQ$99,$B24,127)*IF($W24=1,HX24+AEM24,HX24)=1,IF(AND($E24=2,IF($W24=1,AKB24,NM24)=0),1000000000,IF($V24=1,INDEX('calcA'!$D$130:$EQ$169,$B24,127)+IF(AND($E24=1,NM24=0),25,0),INDEX('calcA'!DZ$110:DZ$114,$F24+1)+IF(AND($E24=1,NM24=0),1000,0)+IF($H24=1,INDEX('calcA'!$D$180:$EQ$219,$B24,127)*500,0)-IF(AND('calcA'!DY$117=1,YW24&gt;0),300,0)-IF(AND($U24=1,'calcA'!DZ$117=1,HY24=0),300,0))),1000000000))</f>
        <v/>
      </c>
      <c r="TC24">
        <f>IF($B24=0,1000000000,IF(INDEX('calcA'!$D$60:$EQ$99,$B24,128)*IF($W24=1,HY24+AEN24,HY24)=1,IF(AND($E24=2,IF($W24=1,AKC24,NN24)=0),1000000000,IF($V24=1,INDEX('calcA'!$D$130:$EQ$169,$B24,128)+IF(AND($E24=1,NN24=0),25,0),INDEX('calcA'!EA$110:EA$114,$F24+1)+IF(AND($E24=1,NN24=0),1000,0)+IF($H24=1,INDEX('calcA'!$D$180:$EQ$219,$B24,128)*500,0)-IF(AND('calcA'!DZ$117=1,YX24&gt;0),300,0)-IF(AND($U24=1,'calcA'!EA$117=1,HZ24=0),300,0))),1000000000))</f>
        <v/>
      </c>
      <c r="TD24">
        <f>IF($B24=0,1000000000,IF(INDEX('calcA'!$D$60:$EQ$99,$B24,129)*IF($W24=1,HZ24+AEO24,HZ24)=1,IF(AND($E24=2,IF($W24=1,AKD24,NO24)=0),1000000000,IF($V24=1,INDEX('calcA'!$D$130:$EQ$169,$B24,129)+IF(AND($E24=1,NO24=0),25,0),INDEX('calcA'!EB$110:EB$114,$F24+1)+IF(AND($E24=1,NO24=0),1000,0)+IF($H24=1,INDEX('calcA'!$D$180:$EQ$219,$B24,129)*500,0)-IF(AND('calcA'!EA$117=1,YY24&gt;0),300,0)-IF(AND($U24=1,'calcA'!EB$117=1,IA24=0),300,0))),1000000000))</f>
        <v/>
      </c>
      <c r="TE24">
        <f>IF($B24=0,1000000000,IF(INDEX('calcA'!$D$60:$EQ$99,$B24,130)*IF($W24=1,IA24+AEP24,IA24)=1,IF(AND($E24=2,IF($W24=1,AKE24,NP24)=0),1000000000,IF($V24=1,INDEX('calcA'!$D$130:$EQ$169,$B24,130)+IF(AND($E24=1,NP24=0),25,0),INDEX('calcA'!EC$110:EC$114,$F24+1)+IF(AND($E24=1,NP24=0),1000,0)+IF($H24=1,INDEX('calcA'!$D$180:$EQ$219,$B24,130)*500,0)-IF(AND('calcA'!EB$117=1,YZ24&gt;0),300,0)-IF(AND($U24=1,'calcA'!EC$117=1,IB24=0),300,0))),1000000000))</f>
        <v/>
      </c>
      <c r="TF24">
        <f>IF($B24=0,1000000000,IF(INDEX('calcA'!$D$60:$EQ$99,$B24,131)*IF($W24=1,IB24+AEQ24,IB24)=1,IF(AND($E24=2,IF($W24=1,AKF24,NQ24)=0),1000000000,IF($V24=1,INDEX('calcA'!$D$130:$EQ$169,$B24,131)+IF(AND($E24=1,NQ24=0),25,0),INDEX('calcA'!ED$110:ED$114,$F24+1)+IF(AND($E24=1,NQ24=0),1000,0)+IF($H24=1,INDEX('calcA'!$D$180:$EQ$219,$B24,131)*500,0)-IF(AND('calcA'!EC$117=1,ZA24&gt;0),300,0)-IF(AND($U24=1,'calcA'!ED$117=1,IC24=0),300,0))),1000000000))</f>
        <v/>
      </c>
      <c r="TG24">
        <f>IF($B24=0,1000000000,IF(INDEX('calcA'!$D$60:$EQ$99,$B24,132)*IF($W24=1,IC24+AER24,IC24)=1,IF(AND($E24=2,IF($W24=1,AKG24,NR24)=0),1000000000,IF($V24=1,INDEX('calcA'!$D$130:$EQ$169,$B24,132)+IF(AND($E24=1,NR24=0),25,0),INDEX('calcA'!EE$110:EE$114,$F24+1)+IF(AND($E24=1,NR24=0),1000,0)+IF($H24=1,INDEX('calcA'!$D$180:$EQ$219,$B24,132)*500,0)-IF(AND('calcA'!ED$117=1,ZB24&gt;0),300,0)-IF(AND($U24=1,'calcA'!EE$117=1,ID24=0),300,0))),1000000000))</f>
        <v/>
      </c>
      <c r="TH24">
        <f>IF($B24=0,1000000000,IF(INDEX('calcA'!$D$60:$EQ$99,$B24,133)*IF($W24=1,ID24+AES24,ID24)=1,IF(AND($E24=2,IF($W24=1,AKH24,NS24)=0),1000000000,IF($V24=1,INDEX('calcA'!$D$130:$EQ$169,$B24,133)+IF(AND($E24=1,NS24=0),25,0),INDEX('calcA'!EF$110:EF$114,$F24+1)+IF(AND($E24=1,NS24=0),1000,0)+IF($H24=1,INDEX('calcA'!$D$180:$EQ$219,$B24,133)*500,0)-IF(AND('calcA'!EE$117=1,ZC24&gt;0),300,0)-IF(AND($U24=1,'calcA'!EF$117=1,IE24=0),300,0))),1000000000))</f>
        <v/>
      </c>
      <c r="TI24">
        <f>IF($B24=0,1000000000,IF(INDEX('calcA'!$D$60:$EQ$99,$B24,134)*IF($W24=1,IE24+AET24,IE24)=1,IF(AND($E24=2,IF($W24=1,AKI24,NT24)=0),1000000000,IF($V24=1,INDEX('calcA'!$D$130:$EQ$169,$B24,134)+IF(AND($E24=1,NT24=0),25,0),INDEX('calcA'!EG$110:EG$114,$F24+1)+IF(AND($E24=1,NT24=0),1000,0)+IF($H24=1,INDEX('calcA'!$D$180:$EQ$219,$B24,134)*500,0)-IF(AND('calcA'!EF$117=1,ZD24&gt;0),300,0)-IF(AND($U24=1,'calcA'!EG$117=1,IF24=0),300,0))),1000000000))</f>
        <v/>
      </c>
      <c r="TJ24">
        <f>IF($B24=0,1000000000,IF(INDEX('calcA'!$D$60:$EQ$99,$B24,135)*IF($W24=1,IF24+AEU24,IF24)=1,IF(AND($E24=2,IF($W24=1,AKJ24,NU24)=0),1000000000,IF($V24=1,INDEX('calcA'!$D$130:$EQ$169,$B24,135)+IF(AND($E24=1,NU24=0),25,0),INDEX('calcA'!EH$110:EH$114,$F24+1)+IF(AND($E24=1,NU24=0),1000,0)+IF($H24=1,INDEX('calcA'!$D$180:$EQ$219,$B24,135)*500,0)-IF(AND('calcA'!EG$117=1,ZE24&gt;0),300,0)-IF(AND($U24=1,'calcA'!EH$117=1,IG24=0),300,0))),1000000000))</f>
        <v/>
      </c>
      <c r="TK24">
        <f>IF($B24=0,1000000000,IF(INDEX('calcA'!$D$60:$EQ$99,$B24,136)*IF($W24=1,IG24+AEV24,IG24)=1,IF(AND($E24=2,IF($W24=1,AKK24,NV24)=0),1000000000,IF($V24=1,INDEX('calcA'!$D$130:$EQ$169,$B24,136)+IF(AND($E24=1,NV24=0),25,0),INDEX('calcA'!EI$110:EI$114,$F24+1)+IF(AND($E24=1,NV24=0),1000,0)+IF($H24=1,INDEX('calcA'!$D$180:$EQ$219,$B24,136)*500,0)-IF(AND('calcA'!EH$117=1,ZF24&gt;0),300,0)-IF(AND($U24=1,'calcA'!EI$117=1,IH24=0),300,0))),1000000000))</f>
        <v/>
      </c>
      <c r="TL24">
        <f>IF($B24=0,1000000000,IF(INDEX('calcA'!$D$60:$EQ$99,$B24,137)*IF($W24=1,IH24+AEW24,IH24)=1,IF(AND($E24=2,IF($W24=1,AKL24,NW24)=0),1000000000,IF($V24=1,INDEX('calcA'!$D$130:$EQ$169,$B24,137)+IF(AND($E24=1,NW24=0),25,0),INDEX('calcA'!EJ$110:EJ$114,$F24+1)+IF(AND($E24=1,NW24=0),1000,0)+IF($H24=1,INDEX('calcA'!$D$180:$EQ$219,$B24,137)*500,0)-IF(AND('calcA'!EI$117=1,ZG24&gt;0),300,0)-IF(AND($U24=1,'calcA'!EJ$117=1,II24=0),300,0))),1000000000))</f>
        <v/>
      </c>
      <c r="TM24">
        <f>IF($B24=0,1000000000,IF(INDEX('calcA'!$D$60:$EQ$99,$B24,138)*IF($W24=1,II24+AEX24,II24)=1,IF(AND($E24=2,IF($W24=1,AKM24,NX24)=0),1000000000,IF($V24=1,INDEX('calcA'!$D$130:$EQ$169,$B24,138)+IF(AND($E24=1,NX24=0),25,0),INDEX('calcA'!EK$110:EK$114,$F24+1)+IF(AND($E24=1,NX24=0),1000,0)+IF($H24=1,INDEX('calcA'!$D$180:$EQ$219,$B24,138)*500,0)-IF(AND('calcA'!EJ$117=1,ZH24&gt;0),300,0)-IF(AND($U24=1,'calcA'!EK$117=1,IJ24=0),300,0))),1000000000))</f>
        <v/>
      </c>
      <c r="TN24">
        <f>IF($B24=0,1000000000,IF(INDEX('calcA'!$D$60:$EQ$99,$B24,139)*IF($W24=1,IJ24+AEY24,IJ24)=1,IF(AND($E24=2,IF($W24=1,AKN24,NY24)=0),1000000000,IF($V24=1,INDEX('calcA'!$D$130:$EQ$169,$B24,139)+IF(AND($E24=1,NY24=0),25,0),INDEX('calcA'!EL$110:EL$114,$F24+1)+IF(AND($E24=1,NY24=0),1000,0)+IF($H24=1,INDEX('calcA'!$D$180:$EQ$219,$B24,139)*500,0)-IF(AND('calcA'!EK$117=1,ZI24&gt;0),300,0)-IF(AND($U24=1,'calcA'!EL$117=1,IK24=0),300,0))),1000000000))</f>
        <v/>
      </c>
      <c r="TO24">
        <f>IF($B24=0,1000000000,IF(INDEX('calcA'!$D$60:$EQ$99,$B24,140)*IF($W24=1,IK24+AEZ24,IK24)=1,IF(AND($E24=2,IF($W24=1,AKO24,NZ24)=0),1000000000,IF($V24=1,INDEX('calcA'!$D$130:$EQ$169,$B24,140)+IF(AND($E24=1,NZ24=0),25,0),INDEX('calcA'!EM$110:EM$114,$F24+1)+IF(AND($E24=1,NZ24=0),1000,0)+IF($H24=1,INDEX('calcA'!$D$180:$EQ$219,$B24,140)*500,0)-IF(AND('calcA'!EL$117=1,ZJ24&gt;0),300,0)-IF(AND($U24=1,'calcA'!EM$117=1,IL24=0),300,0))),1000000000))</f>
        <v/>
      </c>
      <c r="TP24">
        <f>IF($B24=0,1000000000,IF(INDEX('calcA'!$D$60:$EQ$99,$B24,141)*IF($W24=1,IL24+AFA24,IL24)=1,IF(AND($E24=2,IF($W24=1,AKP24,OA24)=0),1000000000,IF($V24=1,INDEX('calcA'!$D$130:$EQ$169,$B24,141)+IF(AND($E24=1,OA24=0),25,0),INDEX('calcA'!EN$110:EN$114,$F24+1)+IF(AND($E24=1,OA24=0),1000,0)+IF($H24=1,INDEX('calcA'!$D$180:$EQ$219,$B24,141)*500,0)-IF(AND('calcA'!EM$117=1,ZK24&gt;0),300,0)-IF(AND($U24=1,'calcA'!EN$117=1,IM24=0),300,0))),1000000000))</f>
        <v/>
      </c>
      <c r="TQ24">
        <f>IF($B24=0,1000000000,IF(INDEX('calcA'!$D$60:$EQ$99,$B24,142)*IF($W24=1,IM24+AFB24,IM24)=1,IF(AND($E24=2,IF($W24=1,AKQ24,OB24)=0),1000000000,IF($V24=1,INDEX('calcA'!$D$130:$EQ$169,$B24,142)+IF(AND($E24=1,OB24=0),25,0),INDEX('calcA'!EO$110:EO$114,$F24+1)+IF(AND($E24=1,OB24=0),1000,0)+IF($H24=1,INDEX('calcA'!$D$180:$EQ$219,$B24,142)*500,0)-IF(AND('calcA'!EN$117=1,ZL24&gt;0),300,0)-IF(AND($U24=1,'calcA'!EO$117=1,IN24=0),300,0))),1000000000))</f>
        <v/>
      </c>
      <c r="TR24">
        <f>IF($B24=0,1000000000,IF(INDEX('calcA'!$D$60:$EQ$99,$B24,143)*IF($W24=1,IN24+AFC24,IN24)=1,IF(AND($E24=2,IF($W24=1,AKR24,OC24)=0),1000000000,IF($V24=1,INDEX('calcA'!$D$130:$EQ$169,$B24,143)+IF(AND($E24=1,OC24=0),25,0),INDEX('calcA'!EP$110:EP$114,$F24+1)+IF(AND($E24=1,OC24=0),1000,0)+IF($H24=1,INDEX('calcA'!$D$180:$EQ$219,$B24,143)*500,0)-IF(AND('calcA'!EO$117=1,ZM24&gt;0),300,0)-IF(AND($U24=1,'calcA'!EP$117=1,IO24=0),300,0))),1000000000))</f>
        <v/>
      </c>
      <c r="TS24">
        <f>IF($B24=0,1000000000,IF(INDEX('calcA'!$D$60:$EQ$99,$B24,144)*IF($W24=1,IO24+AFD24,IO24)=1,IF(AND($E24=2,IF($W24=1,AKS24,OD24)=0),1000000000,IF($V24=1,INDEX('calcA'!$D$130:$EQ$169,$B24,144)+IF(AND($E24=1,OD24=0),25,0),INDEX('calcA'!EQ$110:EQ$114,$F24+1)+IF(AND($E24=1,OD24=0),1000,0)+IF($H24=1,INDEX('calcA'!$D$180:$EQ$219,$B24,144)*500,0)-IF(AND('calcA'!EP$117=1,ZN24&gt;0),300,0))),1000000000))</f>
        <v/>
      </c>
      <c r="UB24">
        <f>UB23+IF(AND($C23=1,$U23=1),1,0)</f>
        <v/>
      </c>
      <c r="UC24">
        <f>UC23+IF(AND($C23=2,$U23=1),1,0)</f>
        <v/>
      </c>
      <c r="UD24">
        <f>UD23+IF(AND($C23=3,$U23=1),1,0)</f>
        <v/>
      </c>
      <c r="UE24">
        <f>UE23+IF(AND($C23=4,$U23=1),1,0)</f>
        <v/>
      </c>
      <c r="UF24">
        <f>UF23+IF(AND($C23=5,$U23=1),1,0)</f>
        <v/>
      </c>
      <c r="UG24">
        <f>UG23+IF(AND($C23=6,$U23=1),1,0)</f>
        <v/>
      </c>
      <c r="UH24">
        <f>UH23+IF(AND($C23=7,$U23=1),1,0)</f>
        <v/>
      </c>
      <c r="UI24">
        <f>UI23+IF(AND($C23=8,$U23=1),1,0)</f>
        <v/>
      </c>
      <c r="UJ24">
        <f>UJ23+IF(AND($C23=9,$U23=1),1,0)</f>
        <v/>
      </c>
      <c r="UK24">
        <f>UK23+IF(AND($C23=10,$U23=1),1,0)</f>
        <v/>
      </c>
      <c r="UL24">
        <f>UL23+IF(AND($C23=11,$U23=1),1,0)</f>
        <v/>
      </c>
      <c r="UM24">
        <f>UM23+IF(AND($C23=12,$U23=1),1,0)</f>
        <v/>
      </c>
      <c r="UN24">
        <f>UN23+IF(AND($C23=13,$U23=1),1,0)</f>
        <v/>
      </c>
      <c r="UO24">
        <f>UO23+IF(AND($C23=14,$U23=1),1,0)</f>
        <v/>
      </c>
      <c r="UP24">
        <f>UP23+IF(AND($C23=15,$U23=1),1,0)</f>
        <v/>
      </c>
      <c r="UQ24">
        <f>UQ23+IF(AND($C23=16,$U23=1),1,0)</f>
        <v/>
      </c>
      <c r="UR24">
        <f>UR23+IF(AND($C23=17,$U23=1),1,0)</f>
        <v/>
      </c>
      <c r="US24">
        <f>US23+IF(AND($C23=18,$U23=1),1,0)</f>
        <v/>
      </c>
      <c r="UT24">
        <f>UT23+IF(AND($C23=19,$U23=1),1,0)</f>
        <v/>
      </c>
      <c r="UU24">
        <f>UU23+IF(AND($C23=20,$U23=1),1,0)</f>
        <v/>
      </c>
      <c r="UV24">
        <f>UV23+IF(AND($C23=21,$U23=1),1,0)</f>
        <v/>
      </c>
      <c r="UW24">
        <f>UW23+IF(AND($C23=22,$U23=1),1,0)</f>
        <v/>
      </c>
      <c r="UX24">
        <f>UX23+IF(AND($C23=23,$U23=1),1,0)</f>
        <v/>
      </c>
      <c r="UY24">
        <f>UY23+IF(AND($C23=24,$U23=1),1,0)</f>
        <v/>
      </c>
      <c r="UZ24">
        <f>UZ23+IF(AND($C23=25,$U23=1),1,0)</f>
        <v/>
      </c>
      <c r="VA24">
        <f>VA23+IF(AND($C23=26,$U23=1),1,0)</f>
        <v/>
      </c>
      <c r="VB24">
        <f>VB23+IF(AND($C23=27,$U23=1),1,0)</f>
        <v/>
      </c>
      <c r="VC24">
        <f>VC23+IF(AND($C23=28,$U23=1),1,0)</f>
        <v/>
      </c>
      <c r="VD24">
        <f>VD23+IF(AND($C23=29,$U23=1),1,0)</f>
        <v/>
      </c>
      <c r="VE24">
        <f>VE23+IF(AND($C23=30,$U23=1),1,0)</f>
        <v/>
      </c>
      <c r="VF24">
        <f>VF23+IF(AND($C23=31,$U23=1),1,0)</f>
        <v/>
      </c>
      <c r="VG24">
        <f>VG23+IF(AND($C23=32,$U23=1),1,0)</f>
        <v/>
      </c>
      <c r="VH24">
        <f>VH23+IF(AND($C23=33,$U23=1),1,0)</f>
        <v/>
      </c>
      <c r="VI24">
        <f>VI23+IF(AND($C23=34,$U23=1),1,0)</f>
        <v/>
      </c>
      <c r="VJ24">
        <f>VJ23+IF(AND($C23=35,$U23=1),1,0)</f>
        <v/>
      </c>
      <c r="VK24">
        <f>VK23+IF(AND($C23=36,$U23=1),1,0)</f>
        <v/>
      </c>
      <c r="VL24">
        <f>VL23+IF(AND($C23=37,$U23=1),1,0)</f>
        <v/>
      </c>
      <c r="VM24">
        <f>VM23+IF(AND($C23=38,$U23=1),1,0)</f>
        <v/>
      </c>
      <c r="VN24">
        <f>VN23+IF(AND($C23=39,$U23=1),1,0)</f>
        <v/>
      </c>
      <c r="VO24">
        <f>VO23+IF(AND($C23=40,$U23=1),1,0)</f>
        <v/>
      </c>
      <c r="VP24">
        <f>VP23+IF(AND($C23=41,$U23=1),1,0)</f>
        <v/>
      </c>
      <c r="VQ24">
        <f>VQ23+IF(AND($C23=42,$U23=1),1,0)</f>
        <v/>
      </c>
      <c r="VR24">
        <f>VR23+IF(AND($C23=43,$U23=1),1,0)</f>
        <v/>
      </c>
      <c r="VS24">
        <f>VS23+IF(AND($C23=44,$U23=1),1,0)</f>
        <v/>
      </c>
      <c r="VT24">
        <f>VT23+IF(AND($C23=45,$U23=1),1,0)</f>
        <v/>
      </c>
      <c r="VU24">
        <f>VU23+IF(AND($C23=46,$U23=1),1,0)</f>
        <v/>
      </c>
      <c r="VV24">
        <f>VV23+IF(AND($C23=47,$U23=1),1,0)</f>
        <v/>
      </c>
      <c r="VW24">
        <f>VW23+IF(AND($C23=48,$U23=1),1,0)</f>
        <v/>
      </c>
      <c r="VX24">
        <f>VX23+IF(AND($C23=49,$U23=1),1,0)</f>
        <v/>
      </c>
      <c r="VY24">
        <f>VY23+IF(AND($C23=50,$U23=1),1,0)</f>
        <v/>
      </c>
      <c r="VZ24">
        <f>VZ23+IF(AND($C23=51,$U23=1),1,0)</f>
        <v/>
      </c>
      <c r="WA24">
        <f>WA23+IF(AND($C23=52,$U23=1),1,0)</f>
        <v/>
      </c>
      <c r="WB24">
        <f>WB23+IF(AND($C23=53,$U23=1),1,0)</f>
        <v/>
      </c>
      <c r="WC24">
        <f>WC23+IF(AND($C23=54,$U23=1),1,0)</f>
        <v/>
      </c>
      <c r="WD24">
        <f>WD23+IF(AND($C23=55,$U23=1),1,0)</f>
        <v/>
      </c>
      <c r="WE24">
        <f>WE23+IF(AND($C23=56,$U23=1),1,0)</f>
        <v/>
      </c>
      <c r="WF24">
        <f>WF23+IF(AND($C23=57,$U23=1),1,0)</f>
        <v/>
      </c>
      <c r="WG24">
        <f>WG23+IF(AND($C23=58,$U23=1),1,0)</f>
        <v/>
      </c>
      <c r="WH24">
        <f>WH23+IF(AND($C23=59,$U23=1),1,0)</f>
        <v/>
      </c>
      <c r="WI24">
        <f>WI23+IF(AND($C23=60,$U23=1),1,0)</f>
        <v/>
      </c>
      <c r="WJ24">
        <f>WJ23+IF(AND($C23=61,$U23=1),1,0)</f>
        <v/>
      </c>
      <c r="WK24">
        <f>WK23+IF(AND($C23=62,$U23=1),1,0)</f>
        <v/>
      </c>
      <c r="WL24">
        <f>WL23+IF(AND($C23=63,$U23=1),1,0)</f>
        <v/>
      </c>
      <c r="WM24">
        <f>WM23+IF(AND($C23=64,$U23=1),1,0)</f>
        <v/>
      </c>
      <c r="WN24">
        <f>WN23+IF(AND($C23=65,$U23=1),1,0)</f>
        <v/>
      </c>
      <c r="WO24">
        <f>WO23+IF(AND($C23=66,$U23=1),1,0)</f>
        <v/>
      </c>
      <c r="WP24">
        <f>WP23+IF(AND($C23=67,$U23=1),1,0)</f>
        <v/>
      </c>
      <c r="WQ24">
        <f>WQ23+IF(AND($C23=68,$U23=1),1,0)</f>
        <v/>
      </c>
      <c r="WR24">
        <f>WR23+IF(AND($C23=69,$U23=1),1,0)</f>
        <v/>
      </c>
      <c r="WS24">
        <f>WS23+IF(AND($C23=70,$U23=1),1,0)</f>
        <v/>
      </c>
      <c r="WT24">
        <f>WT23+IF(AND($C23=71,$U23=1),1,0)</f>
        <v/>
      </c>
      <c r="WU24">
        <f>WU23+IF(AND($C23=72,$U23=1),1,0)</f>
        <v/>
      </c>
      <c r="WV24">
        <f>WV23+IF(AND($C23=73,$U23=1),1,0)</f>
        <v/>
      </c>
      <c r="WW24">
        <f>WW23+IF(AND($C23=74,$U23=1),1,0)</f>
        <v/>
      </c>
      <c r="WX24">
        <f>WX23+IF(AND($C23=75,$U23=1),1,0)</f>
        <v/>
      </c>
      <c r="WY24">
        <f>WY23+IF(AND($C23=76,$U23=1),1,0)</f>
        <v/>
      </c>
      <c r="WZ24">
        <f>WZ23+IF(AND($C23=77,$U23=1),1,0)</f>
        <v/>
      </c>
      <c r="XA24">
        <f>XA23+IF(AND($C23=78,$U23=1),1,0)</f>
        <v/>
      </c>
      <c r="XB24">
        <f>XB23+IF(AND($C23=79,$U23=1),1,0)</f>
        <v/>
      </c>
      <c r="XC24">
        <f>XC23+IF(AND($C23=80,$U23=1),1,0)</f>
        <v/>
      </c>
      <c r="XD24">
        <f>XD23+IF(AND($C23=81,$U23=1),1,0)</f>
        <v/>
      </c>
      <c r="XE24">
        <f>XE23+IF(AND($C23=82,$U23=1),1,0)</f>
        <v/>
      </c>
      <c r="XF24">
        <f>XF23+IF(AND($C23=83,$U23=1),1,0)</f>
        <v/>
      </c>
      <c r="XG24">
        <f>XG23+IF(AND($C23=84,$U23=1),1,0)</f>
        <v/>
      </c>
      <c r="XH24">
        <f>XH23+IF(AND($C23=85,$U23=1),1,0)</f>
        <v/>
      </c>
      <c r="XI24">
        <f>XI23+IF(AND($C23=86,$U23=1),1,0)</f>
        <v/>
      </c>
      <c r="XJ24">
        <f>XJ23+IF(AND($C23=87,$U23=1),1,0)</f>
        <v/>
      </c>
      <c r="XK24">
        <f>XK23+IF(AND($C23=88,$U23=1),1,0)</f>
        <v/>
      </c>
      <c r="XL24">
        <f>XL23+IF(AND($C23=89,$U23=1),1,0)</f>
        <v/>
      </c>
      <c r="XM24">
        <f>XM23+IF(AND($C23=90,$U23=1),1,0)</f>
        <v/>
      </c>
      <c r="XN24">
        <f>XN23+IF(AND($C23=91,$U23=1),1,0)</f>
        <v/>
      </c>
      <c r="XO24">
        <f>XO23+IF(AND($C23=92,$U23=1),1,0)</f>
        <v/>
      </c>
      <c r="XP24">
        <f>XP23+IF(AND($C23=93,$U23=1),1,0)</f>
        <v/>
      </c>
      <c r="XQ24">
        <f>XQ23+IF(AND($C23=94,$U23=1),1,0)</f>
        <v/>
      </c>
      <c r="XR24">
        <f>XR23+IF(AND($C23=95,$U23=1),1,0)</f>
        <v/>
      </c>
      <c r="XS24">
        <f>XS23+IF(AND($C23=96,$U23=1),1,0)</f>
        <v/>
      </c>
      <c r="XT24">
        <f>XT23+IF(AND($C23=97,$U23=1),1,0)</f>
        <v/>
      </c>
      <c r="XU24">
        <f>XU23+IF(AND($C23=98,$U23=1),1,0)</f>
        <v/>
      </c>
      <c r="XV24">
        <f>XV23+IF(AND($C23=99,$U23=1),1,0)</f>
        <v/>
      </c>
      <c r="XW24">
        <f>XW23+IF(AND($C23=100,$U23=1),1,0)</f>
        <v/>
      </c>
      <c r="XX24">
        <f>XX23+IF(AND($C23=101,$U23=1),1,0)</f>
        <v/>
      </c>
      <c r="XY24">
        <f>XY23+IF(AND($C23=102,$U23=1),1,0)</f>
        <v/>
      </c>
      <c r="XZ24">
        <f>XZ23+IF(AND($C23=103,$U23=1),1,0)</f>
        <v/>
      </c>
      <c r="YA24">
        <f>YA23+IF(AND($C23=104,$U23=1),1,0)</f>
        <v/>
      </c>
      <c r="YB24">
        <f>YB23+IF(AND($C23=105,$U23=1),1,0)</f>
        <v/>
      </c>
      <c r="YC24">
        <f>YC23+IF(AND($C23=106,$U23=1),1,0)</f>
        <v/>
      </c>
      <c r="YD24">
        <f>YD23+IF(AND($C23=107,$U23=1),1,0)</f>
        <v/>
      </c>
      <c r="YE24">
        <f>YE23+IF(AND($C23=108,$U23=1),1,0)</f>
        <v/>
      </c>
      <c r="YF24">
        <f>YF23+IF(AND($C23=109,$U23=1),1,0)</f>
        <v/>
      </c>
      <c r="YG24">
        <f>YG23+IF(AND($C23=110,$U23=1),1,0)</f>
        <v/>
      </c>
      <c r="YH24">
        <f>YH23+IF(AND($C23=111,$U23=1),1,0)</f>
        <v/>
      </c>
      <c r="YI24">
        <f>YI23+IF(AND($C23=112,$U23=1),1,0)</f>
        <v/>
      </c>
      <c r="YJ24">
        <f>YJ23+IF(AND($C23=113,$U23=1),1,0)</f>
        <v/>
      </c>
      <c r="YK24">
        <f>YK23+IF(AND($C23=114,$U23=1),1,0)</f>
        <v/>
      </c>
      <c r="YL24">
        <f>YL23+IF(AND($C23=115,$U23=1),1,0)</f>
        <v/>
      </c>
      <c r="YM24">
        <f>YM23+IF(AND($C23=116,$U23=1),1,0)</f>
        <v/>
      </c>
      <c r="YN24">
        <f>YN23+IF(AND($C23=117,$U23=1),1,0)</f>
        <v/>
      </c>
      <c r="YO24">
        <f>YO23+IF(AND($C23=118,$U23=1),1,0)</f>
        <v/>
      </c>
      <c r="YP24">
        <f>YP23+IF(AND($C23=119,$U23=1),1,0)</f>
        <v/>
      </c>
      <c r="YQ24">
        <f>YQ23+IF(AND($C23=120,$U23=1),1,0)</f>
        <v/>
      </c>
      <c r="YR24">
        <f>YR23+IF(AND($C23=121,$U23=1),1,0)</f>
        <v/>
      </c>
      <c r="YS24">
        <f>YS23+IF(AND($C23=122,$U23=1),1,0)</f>
        <v/>
      </c>
      <c r="YT24">
        <f>YT23+IF(AND($C23=123,$U23=1),1,0)</f>
        <v/>
      </c>
      <c r="YU24">
        <f>YU23+IF(AND($C23=124,$U23=1),1,0)</f>
        <v/>
      </c>
      <c r="YV24">
        <f>YV23+IF(AND($C23=125,$U23=1),1,0)</f>
        <v/>
      </c>
      <c r="YW24">
        <f>YW23+IF(AND($C23=126,$U23=1),1,0)</f>
        <v/>
      </c>
      <c r="YX24">
        <f>YX23+IF(AND($C23=127,$U23=1),1,0)</f>
        <v/>
      </c>
      <c r="YY24">
        <f>YY23+IF(AND($C23=128,$U23=1),1,0)</f>
        <v/>
      </c>
      <c r="YZ24">
        <f>YZ23+IF(AND($C23=129,$U23=1),1,0)</f>
        <v/>
      </c>
      <c r="ZA24">
        <f>ZA23+IF(AND($C23=130,$U23=1),1,0)</f>
        <v/>
      </c>
      <c r="ZB24">
        <f>ZB23+IF(AND($C23=131,$U23=1),1,0)</f>
        <v/>
      </c>
      <c r="ZC24">
        <f>ZC23+IF(AND($C23=132,$U23=1),1,0)</f>
        <v/>
      </c>
      <c r="ZD24">
        <f>ZD23+IF(AND($C23=133,$U23=1),1,0)</f>
        <v/>
      </c>
      <c r="ZE24">
        <f>ZE23+IF(AND($C23=134,$U23=1),1,0)</f>
        <v/>
      </c>
      <c r="ZF24">
        <f>ZF23+IF(AND($C23=135,$U23=1),1,0)</f>
        <v/>
      </c>
      <c r="ZG24">
        <f>ZG23+IF(AND($C23=136,$U23=1),1,0)</f>
        <v/>
      </c>
      <c r="ZH24">
        <f>ZH23+IF(AND($C23=137,$U23=1),1,0)</f>
        <v/>
      </c>
      <c r="ZI24">
        <f>ZI23+IF(AND($C23=138,$U23=1),1,0)</f>
        <v/>
      </c>
      <c r="ZJ24">
        <f>ZJ23+IF(AND($C23=139,$U23=1),1,0)</f>
        <v/>
      </c>
      <c r="ZK24">
        <f>ZK23+IF(AND($C23=140,$U23=1),1,0)</f>
        <v/>
      </c>
      <c r="ZL24">
        <f>ZL23+IF(AND($C23=141,$U23=1),1,0)</f>
        <v/>
      </c>
      <c r="ZM24">
        <f>ZM23+IF(AND($C23=142,$U23=1),1,0)</f>
        <v/>
      </c>
      <c r="ZN24">
        <f>ZN23+IF(AND($C23=143,$U23=1),1,0)</f>
        <v/>
      </c>
      <c r="ZO24">
        <f>ZO23+IF(AND($C23=144,$U23=1),1,0)</f>
        <v/>
      </c>
      <c r="ZQ24">
        <f>IF($C23=1,0,ZQ23+IF(AND($G23=1,$E23=1),1,0))</f>
        <v/>
      </c>
      <c r="ZR24">
        <f>IF($C23=2,0,ZR23+IF(AND($G23=2,$E23=1),1,0))</f>
        <v/>
      </c>
      <c r="ZS24">
        <f>IF($C23=3,0,ZS23+IF(AND($G23=3,$E23=1),1,0))</f>
        <v/>
      </c>
      <c r="ZT24">
        <f>IF($C23=4,0,ZT23+IF(AND($G23=4,$E23=1),1,0))</f>
        <v/>
      </c>
      <c r="ZU24">
        <f>IF($C23=5,0,ZU23+IF(AND($G23=5,$E23=1),1,0))</f>
        <v/>
      </c>
      <c r="ZV24">
        <f>IF($C23=6,0,ZV23+IF(AND($G23=6,$E23=1),1,0))</f>
        <v/>
      </c>
      <c r="ZW24">
        <f>IF($C23=7,0,ZW23+IF(AND($G23=7,$E23=1),1,0))</f>
        <v/>
      </c>
      <c r="ZX24">
        <f>IF($C23=8,0,ZX23+IF(AND($G23=8,$E23=1),1,0))</f>
        <v/>
      </c>
      <c r="ZY24">
        <f>IF($C23=9,0,ZY23+IF(AND($G23=9,$E23=1),1,0))</f>
        <v/>
      </c>
      <c r="ZZ24">
        <f>IF($C23=10,0,ZZ23+IF(AND($G23=10,$E23=1),1,0))</f>
        <v/>
      </c>
      <c r="AAA24">
        <f>IF($C23=11,0,AAA23+IF(AND($G23=11,$E23=1),1,0))</f>
        <v/>
      </c>
      <c r="AAB24">
        <f>IF($C23=12,0,AAB23+IF(AND($G23=12,$E23=1),1,0))</f>
        <v/>
      </c>
      <c r="AAC24">
        <f>IF($C23=13,0,AAC23+IF(AND($G23=13,$E23=1),1,0))</f>
        <v/>
      </c>
      <c r="AAD24">
        <f>IF($C23=14,0,AAD23+IF(AND($G23=14,$E23=1),1,0))</f>
        <v/>
      </c>
      <c r="AAE24">
        <f>IF($C23=15,0,AAE23+IF(AND($G23=15,$E23=1),1,0))</f>
        <v/>
      </c>
      <c r="AAF24">
        <f>IF($C23=16,0,AAF23+IF(AND($G23=16,$E23=1),1,0))</f>
        <v/>
      </c>
      <c r="AAG24">
        <f>IF($C23=17,0,AAG23+IF(AND($G23=17,$E23=1),1,0))</f>
        <v/>
      </c>
      <c r="AAH24">
        <f>IF($C23=18,0,AAH23+IF(AND($G23=18,$E23=1),1,0))</f>
        <v/>
      </c>
      <c r="AAI24">
        <f>IF($C23=19,0,AAI23+IF(AND($G23=19,$E23=1),1,0))</f>
        <v/>
      </c>
      <c r="AAJ24">
        <f>IF($C23=20,0,AAJ23+IF(AND($G23=20,$E23=1),1,0))</f>
        <v/>
      </c>
      <c r="AAK24">
        <f>IF($C23=21,0,AAK23+IF(AND($G23=21,$E23=1),1,0))</f>
        <v/>
      </c>
      <c r="AAL24">
        <f>IF($C23=22,0,AAL23+IF(AND($G23=22,$E23=1),1,0))</f>
        <v/>
      </c>
      <c r="AAM24">
        <f>IF($C23=23,0,AAM23+IF(AND($G23=23,$E23=1),1,0))</f>
        <v/>
      </c>
      <c r="AAN24">
        <f>IF($C23=24,0,AAN23+IF(AND($G23=24,$E23=1),1,0))</f>
        <v/>
      </c>
      <c r="AAO24">
        <f>IF($C23=25,0,AAO23+IF(AND($G23=25,$E23=1),1,0))</f>
        <v/>
      </c>
      <c r="AAP24">
        <f>IF($C23=26,0,AAP23+IF(AND($G23=26,$E23=1),1,0))</f>
        <v/>
      </c>
      <c r="AAQ24">
        <f>IF($C23=27,0,AAQ23+IF(AND($G23=27,$E23=1),1,0))</f>
        <v/>
      </c>
      <c r="AAR24">
        <f>IF($C23=28,0,AAR23+IF(AND($G23=28,$E23=1),1,0))</f>
        <v/>
      </c>
      <c r="AAS24">
        <f>IF($C23=29,0,AAS23+IF(AND($G23=29,$E23=1),1,0))</f>
        <v/>
      </c>
      <c r="AAT24">
        <f>IF($C23=30,0,AAT23+IF(AND($G23=30,$E23=1),1,0))</f>
        <v/>
      </c>
      <c r="AAU24">
        <f>IF($C23=31,0,AAU23+IF(AND($G23=31,$E23=1),1,0))</f>
        <v/>
      </c>
      <c r="AAV24">
        <f>IF($C23=32,0,AAV23+IF(AND($G23=32,$E23=1),1,0))</f>
        <v/>
      </c>
      <c r="AAW24">
        <f>IF($C23=33,0,AAW23+IF(AND($G23=33,$E23=1),1,0))</f>
        <v/>
      </c>
      <c r="AAX24">
        <f>IF($C23=34,0,AAX23+IF(AND($G23=34,$E23=1),1,0))</f>
        <v/>
      </c>
      <c r="AAY24">
        <f>IF($C23=35,0,AAY23+IF(AND($G23=35,$E23=1),1,0))</f>
        <v/>
      </c>
      <c r="AAZ24">
        <f>IF($C23=36,0,AAZ23+IF(AND($G23=36,$E23=1),1,0))</f>
        <v/>
      </c>
      <c r="ABA24">
        <f>IF($C23=37,0,ABA23+IF(AND($G23=37,$E23=1),1,0))</f>
        <v/>
      </c>
      <c r="ABB24">
        <f>IF($C23=38,0,ABB23+IF(AND($G23=38,$E23=1),1,0))</f>
        <v/>
      </c>
      <c r="ABC24">
        <f>IF($C23=39,0,ABC23+IF(AND($G23=39,$E23=1),1,0))</f>
        <v/>
      </c>
      <c r="ABD24">
        <f>IF($C23=40,0,ABD23+IF(AND($G23=40,$E23=1),1,0))</f>
        <v/>
      </c>
      <c r="ABE24">
        <f>IF($C23=41,0,ABE23+IF(AND($G23=41,$E23=1),1,0))</f>
        <v/>
      </c>
      <c r="ABF24">
        <f>IF($C23=42,0,ABF23+IF(AND($G23=42,$E23=1),1,0))</f>
        <v/>
      </c>
      <c r="ABG24">
        <f>IF($C23=43,0,ABG23+IF(AND($G23=43,$E23=1),1,0))</f>
        <v/>
      </c>
      <c r="ABH24">
        <f>IF($C23=44,0,ABH23+IF(AND($G23=44,$E23=1),1,0))</f>
        <v/>
      </c>
      <c r="ABI24">
        <f>IF($C23=45,0,ABI23+IF(AND($G23=45,$E23=1),1,0))</f>
        <v/>
      </c>
      <c r="ABJ24">
        <f>IF($C23=46,0,ABJ23+IF(AND($G23=46,$E23=1),1,0))</f>
        <v/>
      </c>
      <c r="ABK24">
        <f>IF($C23=47,0,ABK23+IF(AND($G23=47,$E23=1),1,0))</f>
        <v/>
      </c>
      <c r="ABL24">
        <f>IF($C23=48,0,ABL23+IF(AND($G23=48,$E23=1),1,0))</f>
        <v/>
      </c>
      <c r="ABM24">
        <f>IF($C23=49,0,ABM23+IF(AND($G23=49,$E23=1),1,0))</f>
        <v/>
      </c>
      <c r="ABN24">
        <f>IF($C23=50,0,ABN23+IF(AND($G23=50,$E23=1),1,0))</f>
        <v/>
      </c>
      <c r="ABO24">
        <f>IF($C23=51,0,ABO23+IF(AND($G23=51,$E23=1),1,0))</f>
        <v/>
      </c>
      <c r="ABP24">
        <f>IF($C23=52,0,ABP23+IF(AND($G23=52,$E23=1),1,0))</f>
        <v/>
      </c>
      <c r="ABQ24">
        <f>IF($C23=53,0,ABQ23+IF(AND($G23=53,$E23=1),1,0))</f>
        <v/>
      </c>
      <c r="ABR24">
        <f>IF($C23=54,0,ABR23+IF(AND($G23=54,$E23=1),1,0))</f>
        <v/>
      </c>
      <c r="ABS24">
        <f>IF($C23=55,0,ABS23+IF(AND($G23=55,$E23=1),1,0))</f>
        <v/>
      </c>
      <c r="ABT24">
        <f>IF($C23=56,0,ABT23+IF(AND($G23=56,$E23=1),1,0))</f>
        <v/>
      </c>
      <c r="ABU24">
        <f>IF($C23=57,0,ABU23+IF(AND($G23=57,$E23=1),1,0))</f>
        <v/>
      </c>
      <c r="ABV24">
        <f>IF($C23=58,0,ABV23+IF(AND($G23=58,$E23=1),1,0))</f>
        <v/>
      </c>
      <c r="ABW24">
        <f>IF($C23=59,0,ABW23+IF(AND($G23=59,$E23=1),1,0))</f>
        <v/>
      </c>
      <c r="ABX24">
        <f>IF($C23=60,0,ABX23+IF(AND($G23=60,$E23=1),1,0))</f>
        <v/>
      </c>
      <c r="ABY24">
        <f>IF($C23=61,0,ABY23+IF(AND($G23=61,$E23=1),1,0))</f>
        <v/>
      </c>
      <c r="ABZ24">
        <f>IF($C23=62,0,ABZ23+IF(AND($G23=62,$E23=1),1,0))</f>
        <v/>
      </c>
      <c r="ACA24">
        <f>IF($C23=63,0,ACA23+IF(AND($G23=63,$E23=1),1,0))</f>
        <v/>
      </c>
      <c r="ACB24">
        <f>IF($C23=64,0,ACB23+IF(AND($G23=64,$E23=1),1,0))</f>
        <v/>
      </c>
      <c r="ACC24">
        <f>IF($C23=65,0,ACC23+IF(AND($G23=65,$E23=1),1,0))</f>
        <v/>
      </c>
      <c r="ACD24">
        <f>IF($C23=66,0,ACD23+IF(AND($G23=66,$E23=1),1,0))</f>
        <v/>
      </c>
      <c r="ACE24">
        <f>IF($C23=67,0,ACE23+IF(AND($G23=67,$E23=1),1,0))</f>
        <v/>
      </c>
      <c r="ACF24">
        <f>IF($C23=68,0,ACF23+IF(AND($G23=68,$E23=1),1,0))</f>
        <v/>
      </c>
      <c r="ACG24">
        <f>IF($C23=69,0,ACG23+IF(AND($G23=69,$E23=1),1,0))</f>
        <v/>
      </c>
      <c r="ACH24">
        <f>IF($C23=70,0,ACH23+IF(AND($G23=70,$E23=1),1,0))</f>
        <v/>
      </c>
      <c r="ACI24">
        <f>IF($C23=71,0,ACI23+IF(AND($G23=71,$E23=1),1,0))</f>
        <v/>
      </c>
      <c r="ACJ24">
        <f>IF($C23=72,0,ACJ23+IF(AND($G23=72,$E23=1),1,0))</f>
        <v/>
      </c>
      <c r="ACK24">
        <f>IF($C23=73,0,ACK23+IF(AND($G23=73,$E23=1),1,0))</f>
        <v/>
      </c>
      <c r="ACL24">
        <f>IF($C23=74,0,ACL23+IF(AND($G23=74,$E23=1),1,0))</f>
        <v/>
      </c>
      <c r="ACM24">
        <f>IF($C23=75,0,ACM23+IF(AND($G23=75,$E23=1),1,0))</f>
        <v/>
      </c>
      <c r="ACN24">
        <f>IF($C23=76,0,ACN23+IF(AND($G23=76,$E23=1),1,0))</f>
        <v/>
      </c>
      <c r="ACO24">
        <f>IF($C23=77,0,ACO23+IF(AND($G23=77,$E23=1),1,0))</f>
        <v/>
      </c>
      <c r="ACP24">
        <f>IF($C23=78,0,ACP23+IF(AND($G23=78,$E23=1),1,0))</f>
        <v/>
      </c>
      <c r="ACQ24">
        <f>IF($C23=79,0,ACQ23+IF(AND($G23=79,$E23=1),1,0))</f>
        <v/>
      </c>
      <c r="ACR24">
        <f>IF($C23=80,0,ACR23+IF(AND($G23=80,$E23=1),1,0))</f>
        <v/>
      </c>
      <c r="ACS24">
        <f>IF($C23=81,0,ACS23+IF(AND($G23=81,$E23=1),1,0))</f>
        <v/>
      </c>
      <c r="ACT24">
        <f>IF($C23=82,0,ACT23+IF(AND($G23=82,$E23=1),1,0))</f>
        <v/>
      </c>
      <c r="ACU24">
        <f>IF($C23=83,0,ACU23+IF(AND($G23=83,$E23=1),1,0))</f>
        <v/>
      </c>
      <c r="ACV24">
        <f>IF($C23=84,0,ACV23+IF(AND($G23=84,$E23=1),1,0))</f>
        <v/>
      </c>
      <c r="ACW24">
        <f>IF($C23=85,0,ACW23+IF(AND($G23=85,$E23=1),1,0))</f>
        <v/>
      </c>
      <c r="ACX24">
        <f>IF($C23=86,0,ACX23+IF(AND($G23=86,$E23=1),1,0))</f>
        <v/>
      </c>
      <c r="ACY24">
        <f>IF($C23=87,0,ACY23+IF(AND($G23=87,$E23=1),1,0))</f>
        <v/>
      </c>
      <c r="ACZ24">
        <f>IF($C23=88,0,ACZ23+IF(AND($G23=88,$E23=1),1,0))</f>
        <v/>
      </c>
      <c r="ADA24">
        <f>IF($C23=89,0,ADA23+IF(AND($G23=89,$E23=1),1,0))</f>
        <v/>
      </c>
      <c r="ADB24">
        <f>IF($C23=90,0,ADB23+IF(AND($G23=90,$E23=1),1,0))</f>
        <v/>
      </c>
      <c r="ADC24">
        <f>IF($C23=91,0,ADC23+IF(AND($G23=91,$E23=1),1,0))</f>
        <v/>
      </c>
      <c r="ADD24">
        <f>IF($C23=92,0,ADD23+IF(AND($G23=92,$E23=1),1,0))</f>
        <v/>
      </c>
      <c r="ADE24">
        <f>IF($C23=93,0,ADE23+IF(AND($G23=93,$E23=1),1,0))</f>
        <v/>
      </c>
      <c r="ADF24">
        <f>IF($C23=94,0,ADF23+IF(AND($G23=94,$E23=1),1,0))</f>
        <v/>
      </c>
      <c r="ADG24">
        <f>IF($C23=95,0,ADG23+IF(AND($G23=95,$E23=1),1,0))</f>
        <v/>
      </c>
      <c r="ADH24">
        <f>IF($C23=96,0,ADH23+IF(AND($G23=96,$E23=1),1,0))</f>
        <v/>
      </c>
      <c r="ADI24">
        <f>IF($C23=97,0,ADI23+IF(AND($G23=97,$E23=1),1,0))</f>
        <v/>
      </c>
      <c r="ADJ24">
        <f>IF($C23=98,0,ADJ23+IF(AND($G23=98,$E23=1),1,0))</f>
        <v/>
      </c>
      <c r="ADK24">
        <f>IF($C23=99,0,ADK23+IF(AND($G23=99,$E23=1),1,0))</f>
        <v/>
      </c>
      <c r="ADL24">
        <f>IF($C23=100,0,ADL23+IF(AND($G23=100,$E23=1),1,0))</f>
        <v/>
      </c>
      <c r="ADM24">
        <f>IF($C23=101,0,ADM23+IF(AND($G23=101,$E23=1),1,0))</f>
        <v/>
      </c>
      <c r="ADN24">
        <f>IF($C23=102,0,ADN23+IF(AND($G23=102,$E23=1),1,0))</f>
        <v/>
      </c>
      <c r="ADO24">
        <f>IF($C23=103,0,ADO23+IF(AND($G23=103,$E23=1),1,0))</f>
        <v/>
      </c>
      <c r="ADP24">
        <f>IF($C23=104,0,ADP23+IF(AND($G23=104,$E23=1),1,0))</f>
        <v/>
      </c>
      <c r="ADQ24">
        <f>IF($C23=105,0,ADQ23+IF(AND($G23=105,$E23=1),1,0))</f>
        <v/>
      </c>
      <c r="ADR24">
        <f>IF($C23=106,0,ADR23+IF(AND($G23=106,$E23=1),1,0))</f>
        <v/>
      </c>
      <c r="ADS24">
        <f>IF($C23=107,0,ADS23+IF(AND($G23=107,$E23=1),1,0))</f>
        <v/>
      </c>
      <c r="ADT24">
        <f>IF($C23=108,0,ADT23+IF(AND($G23=108,$E23=1),1,0))</f>
        <v/>
      </c>
      <c r="ADU24">
        <f>IF($C23=109,0,ADU23+IF(AND($G23=109,$E23=1),1,0))</f>
        <v/>
      </c>
      <c r="ADV24">
        <f>IF($C23=110,0,ADV23+IF(AND($G23=110,$E23=1),1,0))</f>
        <v/>
      </c>
      <c r="ADW24">
        <f>IF($C23=111,0,ADW23+IF(AND($G23=111,$E23=1),1,0))</f>
        <v/>
      </c>
      <c r="ADX24">
        <f>IF($C23=112,0,ADX23+IF(AND($G23=112,$E23=1),1,0))</f>
        <v/>
      </c>
      <c r="ADY24">
        <f>IF($C23=113,0,ADY23+IF(AND($G23=113,$E23=1),1,0))</f>
        <v/>
      </c>
      <c r="ADZ24">
        <f>IF($C23=114,0,ADZ23+IF(AND($G23=114,$E23=1),1,0))</f>
        <v/>
      </c>
      <c r="AEA24">
        <f>IF($C23=115,0,AEA23+IF(AND($G23=115,$E23=1),1,0))</f>
        <v/>
      </c>
      <c r="AEB24">
        <f>IF($C23=116,0,AEB23+IF(AND($G23=116,$E23=1),1,0))</f>
        <v/>
      </c>
      <c r="AEC24">
        <f>IF($C23=117,0,AEC23+IF(AND($G23=117,$E23=1),1,0))</f>
        <v/>
      </c>
      <c r="AED24">
        <f>IF($C23=118,0,AED23+IF(AND($G23=118,$E23=1),1,0))</f>
        <v/>
      </c>
      <c r="AEE24">
        <f>IF($C23=119,0,AEE23+IF(AND($G23=119,$E23=1),1,0))</f>
        <v/>
      </c>
      <c r="AEF24">
        <f>IF($C23=120,0,AEF23+IF(AND($G23=120,$E23=1),1,0))</f>
        <v/>
      </c>
      <c r="AEG24">
        <f>IF($C23=121,0,AEG23+IF(AND($G23=121,$E23=1),1,0))</f>
        <v/>
      </c>
      <c r="AEH24">
        <f>IF($C23=122,0,AEH23+IF(AND($G23=122,$E23=1),1,0))</f>
        <v/>
      </c>
      <c r="AEI24">
        <f>IF($C23=123,0,AEI23+IF(AND($G23=123,$E23=1),1,0))</f>
        <v/>
      </c>
      <c r="AEJ24">
        <f>IF($C23=124,0,AEJ23+IF(AND($G23=124,$E23=1),1,0))</f>
        <v/>
      </c>
      <c r="AEK24">
        <f>IF($C23=125,0,AEK23+IF(AND($G23=125,$E23=1),1,0))</f>
        <v/>
      </c>
      <c r="AEL24">
        <f>IF($C23=126,0,AEL23+IF(AND($G23=126,$E23=1),1,0))</f>
        <v/>
      </c>
      <c r="AEM24">
        <f>IF($C23=127,0,AEM23+IF(AND($G23=127,$E23=1),1,0))</f>
        <v/>
      </c>
      <c r="AEN24">
        <f>IF($C23=128,0,AEN23+IF(AND($G23=128,$E23=1),1,0))</f>
        <v/>
      </c>
      <c r="AEO24">
        <f>IF($C23=129,0,AEO23+IF(AND($G23=129,$E23=1),1,0))</f>
        <v/>
      </c>
      <c r="AEP24">
        <f>IF($C23=130,0,AEP23+IF(AND($G23=130,$E23=1),1,0))</f>
        <v/>
      </c>
      <c r="AEQ24">
        <f>IF($C23=131,0,AEQ23+IF(AND($G23=131,$E23=1),1,0))</f>
        <v/>
      </c>
      <c r="AER24">
        <f>IF($C23=132,0,AER23+IF(AND($G23=132,$E23=1),1,0))</f>
        <v/>
      </c>
      <c r="AES24">
        <f>IF($C23=133,0,AES23+IF(AND($G23=133,$E23=1),1,0))</f>
        <v/>
      </c>
      <c r="AET24">
        <f>IF($C23=134,0,AET23+IF(AND($G23=134,$E23=1),1,0))</f>
        <v/>
      </c>
      <c r="AEU24">
        <f>IF($C23=135,0,AEU23+IF(AND($G23=135,$E23=1),1,0))</f>
        <v/>
      </c>
      <c r="AEV24">
        <f>IF($C23=136,0,AEV23+IF(AND($G23=136,$E23=1),1,0))</f>
        <v/>
      </c>
      <c r="AEW24">
        <f>IF($C23=137,0,AEW23+IF(AND($G23=137,$E23=1),1,0))</f>
        <v/>
      </c>
      <c r="AEX24">
        <f>IF($C23=138,0,AEX23+IF(AND($G23=138,$E23=1),1,0))</f>
        <v/>
      </c>
      <c r="AEY24">
        <f>IF($C23=139,0,AEY23+IF(AND($G23=139,$E23=1),1,0))</f>
        <v/>
      </c>
      <c r="AEZ24">
        <f>IF($C23=140,0,AEZ23+IF(AND($G23=140,$E23=1),1,0))</f>
        <v/>
      </c>
      <c r="AFA24">
        <f>IF($C23=141,0,AFA23+IF(AND($G23=141,$E23=1),1,0))</f>
        <v/>
      </c>
      <c r="AFB24">
        <f>IF($C23=142,0,AFB23+IF(AND($G23=142,$E23=1),1,0))</f>
        <v/>
      </c>
      <c r="AFC24">
        <f>IF($C23=143,0,AFC23+IF(AND($G23=143,$E23=1),1,0))</f>
        <v/>
      </c>
      <c r="AFD24">
        <f>IF($C23=144,0,AFD23+IF(AND($G23=144,$E23=1),1,0))</f>
        <v/>
      </c>
      <c r="AFF24">
        <f>IF('calcA'!D$106=1,DC24+ZR24,1)</f>
        <v/>
      </c>
      <c r="AFG24">
        <f>IF('calcA'!E$106=1,DD24+ZS24,1)</f>
        <v/>
      </c>
      <c r="AFH24">
        <f>IF('calcA'!F$106=1,DE24+ZT24,1)</f>
        <v/>
      </c>
      <c r="AFI24">
        <f>IF('calcA'!G$106=1,DF24+ZU24,1)</f>
        <v/>
      </c>
      <c r="AFJ24">
        <f>IF('calcA'!H$106=1,DG24+ZV24,1)</f>
        <v/>
      </c>
      <c r="AFK24">
        <f>IF('calcA'!I$106=1,DH24+ZW24,1)</f>
        <v/>
      </c>
      <c r="AFL24">
        <f>IF('calcA'!J$106=1,DI24+ZX24,1)</f>
        <v/>
      </c>
      <c r="AFM24">
        <f>IF('calcA'!K$106=1,DJ24+ZY24,1)</f>
        <v/>
      </c>
      <c r="AFN24">
        <f>IF('calcA'!L$106=1,DK24+ZZ24,1)</f>
        <v/>
      </c>
      <c r="AFO24">
        <f>IF('calcA'!M$106=1,DL24+AAA24,1)</f>
        <v/>
      </c>
      <c r="AFP24">
        <f>IF('calcA'!N$106=1,DM24+AAB24,1)</f>
        <v/>
      </c>
      <c r="AFQ24">
        <f>IF('calcA'!O$106=1,DN24+AAC24,1)</f>
        <v/>
      </c>
      <c r="AFR24">
        <f>IF('calcA'!P$106=1,DO24+AAD24,1)</f>
        <v/>
      </c>
      <c r="AFS24">
        <f>IF('calcA'!Q$106=1,DP24+AAE24,1)</f>
        <v/>
      </c>
      <c r="AFT24">
        <f>IF('calcA'!R$106=1,DQ24+AAF24,1)</f>
        <v/>
      </c>
      <c r="AFU24">
        <f>IF('calcA'!S$106=1,DR24+AAG24,1)</f>
        <v/>
      </c>
      <c r="AFV24">
        <f>IF('calcA'!T$106=1,DS24+AAH24,1)</f>
        <v/>
      </c>
      <c r="AFW24">
        <f>IF('calcA'!U$106=1,DT24+AAI24,1)</f>
        <v/>
      </c>
      <c r="AFX24">
        <f>IF('calcA'!V$106=1,DU24+AAJ24,1)</f>
        <v/>
      </c>
      <c r="AFY24">
        <f>IF('calcA'!W$106=1,DV24+AAK24,1)</f>
        <v/>
      </c>
      <c r="AFZ24">
        <f>IF('calcA'!X$106=1,DW24+AAL24,1)</f>
        <v/>
      </c>
      <c r="AGA24">
        <f>IF('calcA'!Y$106=1,DX24+AAM24,1)</f>
        <v/>
      </c>
      <c r="AGB24">
        <f>IF('calcA'!Z$106=1,DY24+AAN24,1)</f>
        <v/>
      </c>
      <c r="AGC24">
        <f>IF('calcA'!AA$106=1,DZ24+AAO24,1)</f>
        <v/>
      </c>
      <c r="AGD24">
        <f>IF('calcA'!AB$106=1,EA24+AAP24,1)</f>
        <v/>
      </c>
      <c r="AGE24">
        <f>IF('calcA'!AC$106=1,EB24+AAQ24,1)</f>
        <v/>
      </c>
      <c r="AGF24">
        <f>IF('calcA'!AD$106=1,EC24+AAR24,1)</f>
        <v/>
      </c>
      <c r="AGG24">
        <f>IF('calcA'!AE$106=1,ED24+AAS24,1)</f>
        <v/>
      </c>
      <c r="AGH24">
        <f>IF('calcA'!AF$106=1,EE24+AAT24,1)</f>
        <v/>
      </c>
      <c r="AGI24">
        <f>IF('calcA'!AG$106=1,EF24+AAU24,1)</f>
        <v/>
      </c>
      <c r="AGJ24">
        <f>IF('calcA'!AH$106=1,EG24+AAV24,1)</f>
        <v/>
      </c>
      <c r="AGK24">
        <f>IF('calcA'!AI$106=1,EH24+AAW24,1)</f>
        <v/>
      </c>
      <c r="AGL24">
        <f>IF('calcA'!AJ$106=1,EI24+AAX24,1)</f>
        <v/>
      </c>
      <c r="AGM24">
        <f>IF('calcA'!AK$106=1,EJ24+AAY24,1)</f>
        <v/>
      </c>
      <c r="AGN24">
        <f>IF('calcA'!AL$106=1,EK24+AAZ24,1)</f>
        <v/>
      </c>
      <c r="AGO24">
        <f>IF('calcA'!AM$106=1,EL24+ABA24,1)</f>
        <v/>
      </c>
      <c r="AGP24">
        <f>IF('calcA'!AN$106=1,EM24+ABB24,1)</f>
        <v/>
      </c>
      <c r="AGQ24">
        <f>IF('calcA'!AO$106=1,EN24+ABC24,1)</f>
        <v/>
      </c>
      <c r="AGR24">
        <f>IF('calcA'!AP$106=1,EO24+ABD24,1)</f>
        <v/>
      </c>
      <c r="AGS24">
        <f>IF('calcA'!AQ$106=1,EP24+ABE24,1)</f>
        <v/>
      </c>
      <c r="AGT24">
        <f>IF('calcA'!AR$106=1,EQ24+ABF24,1)</f>
        <v/>
      </c>
      <c r="AGU24">
        <f>IF('calcA'!AS$106=1,ER24+ABG24,1)</f>
        <v/>
      </c>
      <c r="AGV24">
        <f>IF('calcA'!AT$106=1,ES24+ABH24,1)</f>
        <v/>
      </c>
      <c r="AGW24">
        <f>IF('calcA'!AU$106=1,ET24+ABI24,1)</f>
        <v/>
      </c>
      <c r="AGX24">
        <f>IF('calcA'!AV$106=1,EU24+ABJ24,1)</f>
        <v/>
      </c>
      <c r="AGY24">
        <f>IF('calcA'!AW$106=1,EV24+ABK24,1)</f>
        <v/>
      </c>
      <c r="AGZ24">
        <f>IF('calcA'!AX$106=1,EW24+ABL24,1)</f>
        <v/>
      </c>
      <c r="AHA24">
        <f>IF('calcA'!AY$106=1,EX24+ABM24,1)</f>
        <v/>
      </c>
      <c r="AHB24">
        <f>IF('calcA'!AZ$106=1,EY24+ABN24,1)</f>
        <v/>
      </c>
      <c r="AHC24">
        <f>IF('calcA'!BA$106=1,EZ24+ABO24,1)</f>
        <v/>
      </c>
      <c r="AHD24">
        <f>IF('calcA'!BB$106=1,FA24+ABP24,1)</f>
        <v/>
      </c>
      <c r="AHE24">
        <f>IF('calcA'!BC$106=1,FB24+ABQ24,1)</f>
        <v/>
      </c>
      <c r="AHF24">
        <f>IF('calcA'!BD$106=1,FC24+ABR24,1)</f>
        <v/>
      </c>
      <c r="AHG24">
        <f>IF('calcA'!BE$106=1,FD24+ABS24,1)</f>
        <v/>
      </c>
      <c r="AHH24">
        <f>IF('calcA'!BF$106=1,FE24+ABT24,1)</f>
        <v/>
      </c>
      <c r="AHI24">
        <f>IF('calcA'!BG$106=1,FF24+ABU24,1)</f>
        <v/>
      </c>
      <c r="AHJ24">
        <f>IF('calcA'!BH$106=1,FG24+ABV24,1)</f>
        <v/>
      </c>
      <c r="AHK24">
        <f>IF('calcA'!BI$106=1,FH24+ABW24,1)</f>
        <v/>
      </c>
      <c r="AHL24">
        <f>IF('calcA'!BJ$106=1,FI24+ABX24,1)</f>
        <v/>
      </c>
      <c r="AHM24">
        <f>IF('calcA'!BK$106=1,FJ24+ABY24,1)</f>
        <v/>
      </c>
      <c r="AHN24">
        <f>IF('calcA'!BL$106=1,FK24+ABZ24,1)</f>
        <v/>
      </c>
      <c r="AHO24">
        <f>IF('calcA'!BM$106=1,FL24+ACA24,1)</f>
        <v/>
      </c>
      <c r="AHP24">
        <f>IF('calcA'!BN$106=1,FM24+ACB24,1)</f>
        <v/>
      </c>
      <c r="AHQ24">
        <f>IF('calcA'!BO$106=1,FN24+ACC24,1)</f>
        <v/>
      </c>
      <c r="AHR24">
        <f>IF('calcA'!BP$106=1,FO24+ACD24,1)</f>
        <v/>
      </c>
      <c r="AHS24">
        <f>IF('calcA'!BQ$106=1,FP24+ACE24,1)</f>
        <v/>
      </c>
      <c r="AHT24">
        <f>IF('calcA'!BR$106=1,FQ24+ACF24,1)</f>
        <v/>
      </c>
      <c r="AHU24">
        <f>IF('calcA'!BS$106=1,FR24+ACG24,1)</f>
        <v/>
      </c>
      <c r="AHV24">
        <f>IF('calcA'!BT$106=1,FS24+ACH24,1)</f>
        <v/>
      </c>
      <c r="AHW24">
        <f>IF('calcA'!BU$106=1,FT24+ACI24,1)</f>
        <v/>
      </c>
      <c r="AHX24">
        <f>IF('calcA'!BV$106=1,FU24+ACJ24,1)</f>
        <v/>
      </c>
      <c r="AHY24">
        <f>IF('calcA'!BW$106=1,FV24+ACK24,1)</f>
        <v/>
      </c>
      <c r="AHZ24">
        <f>IF('calcA'!BX$106=1,FW24+ACL24,1)</f>
        <v/>
      </c>
      <c r="AIA24">
        <f>IF('calcA'!BY$106=1,FX24+ACM24,1)</f>
        <v/>
      </c>
      <c r="AIB24">
        <f>IF('calcA'!BZ$106=1,FY24+ACN24,1)</f>
        <v/>
      </c>
      <c r="AIC24">
        <f>IF('calcA'!CA$106=1,FZ24+ACO24,1)</f>
        <v/>
      </c>
      <c r="AID24">
        <f>IF('calcA'!CB$106=1,GA24+ACP24,1)</f>
        <v/>
      </c>
      <c r="AIE24">
        <f>IF('calcA'!CC$106=1,GB24+ACQ24,1)</f>
        <v/>
      </c>
      <c r="AIF24">
        <f>IF('calcA'!CD$106=1,GC24+ACR24,1)</f>
        <v/>
      </c>
      <c r="AIG24">
        <f>IF('calcA'!CE$106=1,GD24+ACS24,1)</f>
        <v/>
      </c>
      <c r="AIH24">
        <f>IF('calcA'!CF$106=1,GE24+ACT24,1)</f>
        <v/>
      </c>
      <c r="AII24">
        <f>IF('calcA'!CG$106=1,GF24+ACU24,1)</f>
        <v/>
      </c>
      <c r="AIJ24">
        <f>IF('calcA'!CH$106=1,GG24+ACV24,1)</f>
        <v/>
      </c>
      <c r="AIK24">
        <f>IF('calcA'!CI$106=1,GH24+ACW24,1)</f>
        <v/>
      </c>
      <c r="AIL24">
        <f>IF('calcA'!CJ$106=1,GI24+ACX24,1)</f>
        <v/>
      </c>
      <c r="AIM24">
        <f>IF('calcA'!CK$106=1,GJ24+ACY24,1)</f>
        <v/>
      </c>
      <c r="AIN24">
        <f>IF('calcA'!CL$106=1,GK24+ACZ24,1)</f>
        <v/>
      </c>
      <c r="AIO24">
        <f>IF('calcA'!CM$106=1,GL24+ADA24,1)</f>
        <v/>
      </c>
      <c r="AIP24">
        <f>IF('calcA'!CN$106=1,GM24+ADB24,1)</f>
        <v/>
      </c>
      <c r="AIQ24">
        <f>IF('calcA'!CO$106=1,GN24+ADC24,1)</f>
        <v/>
      </c>
      <c r="AIR24">
        <f>IF('calcA'!CP$106=1,GO24+ADD24,1)</f>
        <v/>
      </c>
      <c r="AIS24">
        <f>IF('calcA'!CQ$106=1,GP24+ADE24,1)</f>
        <v/>
      </c>
      <c r="AIT24">
        <f>IF('calcA'!CR$106=1,GQ24+ADF24,1)</f>
        <v/>
      </c>
      <c r="AIU24">
        <f>IF('calcA'!CS$106=1,GR24+ADG24,1)</f>
        <v/>
      </c>
      <c r="AIV24">
        <f>IF('calcA'!CT$106=1,GS24+ADH24,1)</f>
        <v/>
      </c>
      <c r="AIW24">
        <f>IF('calcA'!CU$106=1,GT24+ADI24,1)</f>
        <v/>
      </c>
      <c r="AIX24">
        <f>IF('calcA'!CV$106=1,GU24+ADJ24,1)</f>
        <v/>
      </c>
      <c r="AIY24">
        <f>IF('calcA'!CW$106=1,GV24+ADK24,1)</f>
        <v/>
      </c>
      <c r="AIZ24">
        <f>IF('calcA'!CX$106=1,GW24+ADL24,1)</f>
        <v/>
      </c>
      <c r="AJA24">
        <f>IF('calcA'!CY$106=1,GX24+ADM24,1)</f>
        <v/>
      </c>
      <c r="AJB24">
        <f>IF('calcA'!CZ$106=1,GY24+ADN24,1)</f>
        <v/>
      </c>
      <c r="AJC24">
        <f>IF('calcA'!DA$106=1,GZ24+ADO24,1)</f>
        <v/>
      </c>
      <c r="AJD24">
        <f>IF('calcA'!DB$106=1,HA24+ADP24,1)</f>
        <v/>
      </c>
      <c r="AJE24">
        <f>IF('calcA'!DC$106=1,HB24+ADQ24,1)</f>
        <v/>
      </c>
      <c r="AJF24">
        <f>IF('calcA'!DD$106=1,HC24+ADR24,1)</f>
        <v/>
      </c>
      <c r="AJG24">
        <f>IF('calcA'!DE$106=1,HD24+ADS24,1)</f>
        <v/>
      </c>
      <c r="AJH24">
        <f>IF('calcA'!DF$106=1,HE24+ADT24,1)</f>
        <v/>
      </c>
      <c r="AJI24">
        <f>IF('calcA'!DG$106=1,HF24+ADU24,1)</f>
        <v/>
      </c>
      <c r="AJJ24">
        <f>IF('calcA'!DH$106=1,HG24+ADV24,1)</f>
        <v/>
      </c>
      <c r="AJK24">
        <f>IF('calcA'!DI$106=1,HH24+ADW24,1)</f>
        <v/>
      </c>
      <c r="AJL24">
        <f>IF('calcA'!DJ$106=1,HI24+ADX24,1)</f>
        <v/>
      </c>
      <c r="AJM24">
        <f>IF('calcA'!DK$106=1,HJ24+ADY24,1)</f>
        <v/>
      </c>
      <c r="AJN24">
        <f>IF('calcA'!DL$106=1,HK24+ADZ24,1)</f>
        <v/>
      </c>
      <c r="AJO24">
        <f>IF('calcA'!DM$106=1,HL24+AEA24,1)</f>
        <v/>
      </c>
      <c r="AJP24">
        <f>IF('calcA'!DN$106=1,HM24+AEB24,1)</f>
        <v/>
      </c>
      <c r="AJQ24">
        <f>IF('calcA'!DO$106=1,HN24+AEC24,1)</f>
        <v/>
      </c>
      <c r="AJR24">
        <f>IF('calcA'!DP$106=1,HO24+AED24,1)</f>
        <v/>
      </c>
      <c r="AJS24">
        <f>IF('calcA'!DQ$106=1,HP24+AEE24,1)</f>
        <v/>
      </c>
      <c r="AJT24">
        <f>IF('calcA'!DR$106=1,HQ24+AEF24,1)</f>
        <v/>
      </c>
      <c r="AJU24">
        <f>IF('calcA'!DS$106=1,HR24+AEG24,1)</f>
        <v/>
      </c>
      <c r="AJV24">
        <f>IF('calcA'!DT$106=1,HS24+AEH24,1)</f>
        <v/>
      </c>
      <c r="AJW24">
        <f>IF('calcA'!DU$106=1,HT24+AEI24,1)</f>
        <v/>
      </c>
      <c r="AJX24">
        <f>IF('calcA'!DV$106=1,HU24+AEJ24,1)</f>
        <v/>
      </c>
      <c r="AJY24">
        <f>IF('calcA'!DW$106=1,HV24+AEK24,1)</f>
        <v/>
      </c>
      <c r="AJZ24">
        <f>IF('calcA'!DX$106=1,HW24+AEL24,1)</f>
        <v/>
      </c>
      <c r="AKA24">
        <f>IF('calcA'!DY$106=1,HX24+AEM24,1)</f>
        <v/>
      </c>
      <c r="AKB24">
        <f>IF('calcA'!DZ$106=1,HY24+AEN24,1)</f>
        <v/>
      </c>
      <c r="AKC24">
        <f>IF('calcA'!EA$106=1,HZ24+AEO24,1)</f>
        <v/>
      </c>
      <c r="AKD24">
        <f>IF('calcA'!EB$106=1,IA24+AEP24,1)</f>
        <v/>
      </c>
      <c r="AKE24">
        <f>IF('calcA'!EC$106=1,IB24+AEQ24,1)</f>
        <v/>
      </c>
      <c r="AKF24">
        <f>IF('calcA'!ED$106=1,IC24+AER24,1)</f>
        <v/>
      </c>
      <c r="AKG24">
        <f>IF('calcA'!EE$106=1,ID24+AES24,1)</f>
        <v/>
      </c>
      <c r="AKH24">
        <f>IF('calcA'!EF$106=1,IE24+AET24,1)</f>
        <v/>
      </c>
      <c r="AKI24">
        <f>IF('calcA'!EG$106=1,IF24+AEU24,1)</f>
        <v/>
      </c>
      <c r="AKJ24">
        <f>IF('calcA'!EH$106=1,IG24+AEV24,1)</f>
        <v/>
      </c>
      <c r="AKK24">
        <f>IF('calcA'!EI$106=1,IH24+AEW24,1)</f>
        <v/>
      </c>
      <c r="AKL24">
        <f>IF('calcA'!EJ$106=1,II24+AEX24,1)</f>
        <v/>
      </c>
      <c r="AKM24">
        <f>IF('calcA'!EK$106=1,IJ24+AEY24,1)</f>
        <v/>
      </c>
      <c r="AKN24">
        <f>IF('calcA'!EL$106=1,IK24+AEZ24,1)</f>
        <v/>
      </c>
      <c r="AKO24">
        <f>IF('calcA'!EM$106=1,IL24+AFA24,1)</f>
        <v/>
      </c>
      <c r="AKP24">
        <f>IF('calcA'!EN$106=1,IM24+AFB24,1)</f>
        <v/>
      </c>
      <c r="AKQ24">
        <f>IF('calcA'!EO$106=1,IN24+AFC24,1)</f>
        <v/>
      </c>
      <c r="AKR24">
        <f>IF('calcA'!EP$106=1,IO24+AFD24,1)</f>
        <v/>
      </c>
      <c r="AKS24" t="n">
        <v>1</v>
      </c>
    </row>
    <row r="25">
      <c r="A25" t="n">
        <v>23</v>
      </c>
      <c r="B25">
        <f>IF(MIN(BM25:CZ25)&gt;=1000000000,0,MATCH(MIN(BM25:CZ25),BM25:CZ25,0))</f>
        <v/>
      </c>
      <c r="C25">
        <f>IF(MIN(OF25:TS25)&gt;=1000000000,0,MATCH(MIN(OF25:TS25),OF25:TS25,0))</f>
        <v/>
      </c>
      <c r="D25">
        <f>IF(C25&gt;0,INDEX('calcA'!$D$5:$EQ$5,C25),0)</f>
        <v/>
      </c>
      <c r="E25">
        <f>IF(B25=0,0,INDEX('calcA'!$IQ$10:$IQ$54,B25))</f>
        <v/>
      </c>
      <c r="F25">
        <f>IF(B25=0,0,INDEX('calcA'!$IP$10:$IP$54,B25))</f>
        <v/>
      </c>
      <c r="G25">
        <f>IF(AND(C25&gt;0,E25&gt;0),IF(AND(INDEX('calcA'!$D$106:$EQ$106,C25)=1,INDEX($IQ25:$OD25,C25)=1),C25+1,0),0)</f>
        <v/>
      </c>
      <c r="H25">
        <f>IF(B25=0,0,INDEX('calcA'!$IW$10:$IW$54,B25))</f>
        <v/>
      </c>
      <c r="U25">
        <f>IF(B25=0,0,INDEX('calcA'!$IX$10:$IX$54,B25))</f>
        <v/>
      </c>
      <c r="V25">
        <f>IF(B25=0,0,INDEX('calcA'!$JF$10:$JF$54,B25))</f>
        <v/>
      </c>
      <c r="W25">
        <f>IF(B25=0,0,IF(IF(E25=2,SUMPRODUCT(INDEX('calcA'!$D$60:$EQ$99,B25,0),$DB25:$IO25,$IQ25:$OD25),SUMPRODUCT(INDEX('calcA'!$D$60:$EQ$99,B25,0),$DB25:$IO25))=0,1,0))</f>
        <v/>
      </c>
      <c r="X25">
        <f>MAX(X24,IF($B24=1,1,0))</f>
        <v/>
      </c>
      <c r="Y25">
        <f>MAX(Y24,IF($B24=2,1,0))</f>
        <v/>
      </c>
      <c r="Z25">
        <f>MAX(Z24,IF($B24=3,1,0))</f>
        <v/>
      </c>
      <c r="AA25">
        <f>MAX(AA24,IF($B24=4,1,0))</f>
        <v/>
      </c>
      <c r="AB25">
        <f>MAX(AB24,IF($B24=5,1,0))</f>
        <v/>
      </c>
      <c r="AC25">
        <f>MAX(AC24,IF($B24=6,1,0))</f>
        <v/>
      </c>
      <c r="AD25">
        <f>MAX(AD24,IF($B24=7,1,0))</f>
        <v/>
      </c>
      <c r="AE25">
        <f>MAX(AE24,IF($B24=8,1,0))</f>
        <v/>
      </c>
      <c r="AF25">
        <f>MAX(AF24,IF($B24=9,1,0))</f>
        <v/>
      </c>
      <c r="AG25">
        <f>MAX(AG24,IF($B24=10,1,0))</f>
        <v/>
      </c>
      <c r="AH25">
        <f>MAX(AH24,IF($B24=11,1,0))</f>
        <v/>
      </c>
      <c r="AI25">
        <f>MAX(AI24,IF($B24=12,1,0))</f>
        <v/>
      </c>
      <c r="AJ25">
        <f>MAX(AJ24,IF($B24=13,1,0))</f>
        <v/>
      </c>
      <c r="AK25">
        <f>MAX(AK24,IF($B24=14,1,0))</f>
        <v/>
      </c>
      <c r="AL25">
        <f>MAX(AL24,IF($B24=15,1,0))</f>
        <v/>
      </c>
      <c r="AM25">
        <f>MAX(AM24,IF($B24=16,1,0))</f>
        <v/>
      </c>
      <c r="AN25">
        <f>MAX(AN24,IF($B24=17,1,0))</f>
        <v/>
      </c>
      <c r="AO25">
        <f>MAX(AO24,IF($B24=18,1,0))</f>
        <v/>
      </c>
      <c r="AP25">
        <f>MAX(AP24,IF($B24=19,1,0))</f>
        <v/>
      </c>
      <c r="AQ25">
        <f>MAX(AQ24,IF($B24=20,1,0))</f>
        <v/>
      </c>
      <c r="AR25">
        <f>MAX(AR24,IF($B24=21,1,0))</f>
        <v/>
      </c>
      <c r="AS25">
        <f>MAX(AS24,IF($B24=22,1,0))</f>
        <v/>
      </c>
      <c r="AT25">
        <f>MAX(AT24,IF($B24=23,1,0))</f>
        <v/>
      </c>
      <c r="AU25">
        <f>MAX(AU24,IF($B24=24,1,0))</f>
        <v/>
      </c>
      <c r="AV25">
        <f>MAX(AV24,IF($B24=25,1,0))</f>
        <v/>
      </c>
      <c r="AW25">
        <f>MAX(AW24,IF($B24=26,1,0))</f>
        <v/>
      </c>
      <c r="AX25">
        <f>MAX(AX24,IF($B24=27,1,0))</f>
        <v/>
      </c>
      <c r="AY25">
        <f>MAX(AY24,IF($B24=28,1,0))</f>
        <v/>
      </c>
      <c r="AZ25">
        <f>MAX(AZ24,IF($B24=29,1,0))</f>
        <v/>
      </c>
      <c r="BA25">
        <f>MAX(BA24,IF($B24=30,1,0))</f>
        <v/>
      </c>
      <c r="BB25">
        <f>MAX(BB24,IF($B24=31,1,0))</f>
        <v/>
      </c>
      <c r="BC25">
        <f>MAX(BC24,IF($B24=32,1,0))</f>
        <v/>
      </c>
      <c r="BD25">
        <f>MAX(BD24,IF($B24=33,1,0))</f>
        <v/>
      </c>
      <c r="BE25">
        <f>MAX(BE24,IF($B24=34,1,0))</f>
        <v/>
      </c>
      <c r="BF25">
        <f>MAX(BF24,IF($B24=35,1,0))</f>
        <v/>
      </c>
      <c r="BG25">
        <f>MAX(BG24,IF($B24=36,1,0))</f>
        <v/>
      </c>
      <c r="BH25">
        <f>MAX(BH24,IF($B24=37,1,0))</f>
        <v/>
      </c>
      <c r="BI25">
        <f>MAX(BI24,IF($B24=38,1,0))</f>
        <v/>
      </c>
      <c r="BJ25">
        <f>MAX(BJ24,IF($B24=39,1,0))</f>
        <v/>
      </c>
      <c r="BK25">
        <f>MAX(BK24,IF($B24=40,1,0))</f>
        <v/>
      </c>
      <c r="BM25">
        <f>IF(OR(X25=1,calcA!$A$6=0),1000000000,IF('calcA'!$JF$10=1,0,100000000)+IF('calcA'!$IQ$10=2,SUMPRODUCT('calcA'!$D$60:$EQ$60,$DB25:$IO25,$IQ25:$OD25)*1000+SUMPRODUCT('calcA'!$D$60:$EQ$60,$DB25:$IO25+$ZQ25:$AFD25,$AFF25:$AKS25),SUMPRODUCT('calcA'!$D$60:$EQ$60,$DB25:$IO25*1001+$ZQ25:$AFD25))*100+1)</f>
        <v/>
      </c>
      <c r="BN25">
        <f>IF(OR(Y25=1,calcA!$A$6=0),1000000000,IF('calcA'!$JF$11=1,0,100000000)+IF('calcA'!$IQ$11=2,SUMPRODUCT('calcA'!$D$61:$EQ$61,$DB25:$IO25,$IQ25:$OD25)*1000+SUMPRODUCT('calcA'!$D$61:$EQ$61,$DB25:$IO25+$ZQ25:$AFD25,$AFF25:$AKS25),SUMPRODUCT('calcA'!$D$61:$EQ$61,$DB25:$IO25*1001+$ZQ25:$AFD25))*100+2)</f>
        <v/>
      </c>
      <c r="BO25">
        <f>IF(OR(Z25=1,calcA!$A$6=0),1000000000,IF('calcA'!$JF$12=1,0,100000000)+IF('calcA'!$IQ$12=2,SUMPRODUCT('calcA'!$D$62:$EQ$62,$DB25:$IO25,$IQ25:$OD25)*1000+SUMPRODUCT('calcA'!$D$62:$EQ$62,$DB25:$IO25+$ZQ25:$AFD25,$AFF25:$AKS25),SUMPRODUCT('calcA'!$D$62:$EQ$62,$DB25:$IO25*1001+$ZQ25:$AFD25))*100+3)</f>
        <v/>
      </c>
      <c r="BP25">
        <f>IF(OR(AA25=1,calcA!$A$6=0),1000000000,IF('calcA'!$JF$13=1,0,100000000)+IF('calcA'!$IQ$13=2,SUMPRODUCT('calcA'!$D$63:$EQ$63,$DB25:$IO25,$IQ25:$OD25)*1000+SUMPRODUCT('calcA'!$D$63:$EQ$63,$DB25:$IO25+$ZQ25:$AFD25,$AFF25:$AKS25),SUMPRODUCT('calcA'!$D$63:$EQ$63,$DB25:$IO25*1001+$ZQ25:$AFD25))*100+4)</f>
        <v/>
      </c>
      <c r="BQ25">
        <f>IF(OR(AB25=1,calcA!$A$6=0),1000000000,IF('calcA'!$JF$14=1,0,100000000)+IF('calcA'!$IQ$14=2,SUMPRODUCT('calcA'!$D$64:$EQ$64,$DB25:$IO25,$IQ25:$OD25)*1000+SUMPRODUCT('calcA'!$D$64:$EQ$64,$DB25:$IO25+$ZQ25:$AFD25,$AFF25:$AKS25),SUMPRODUCT('calcA'!$D$64:$EQ$64,$DB25:$IO25*1001+$ZQ25:$AFD25))*100+5)</f>
        <v/>
      </c>
      <c r="BR25">
        <f>IF(OR(AC25=1,calcA!$A$6=0),1000000000,IF('calcA'!$JF$15=1,0,100000000)+IF('calcA'!$IQ$15=2,SUMPRODUCT('calcA'!$D$65:$EQ$65,$DB25:$IO25,$IQ25:$OD25)*1000+SUMPRODUCT('calcA'!$D$65:$EQ$65,$DB25:$IO25+$ZQ25:$AFD25,$AFF25:$AKS25),SUMPRODUCT('calcA'!$D$65:$EQ$65,$DB25:$IO25*1001+$ZQ25:$AFD25))*100+6)</f>
        <v/>
      </c>
      <c r="BS25">
        <f>IF(OR(AD25=1,calcA!$A$6=0),1000000000,IF('calcA'!$JF$16=1,0,100000000)+IF('calcA'!$IQ$16=2,SUMPRODUCT('calcA'!$D$66:$EQ$66,$DB25:$IO25,$IQ25:$OD25)*1000+SUMPRODUCT('calcA'!$D$66:$EQ$66,$DB25:$IO25+$ZQ25:$AFD25,$AFF25:$AKS25),SUMPRODUCT('calcA'!$D$66:$EQ$66,$DB25:$IO25*1001+$ZQ25:$AFD25))*100+7)</f>
        <v/>
      </c>
      <c r="BT25">
        <f>IF(OR(AE25=1,calcA!$A$6=0),1000000000,IF('calcA'!$JF$17=1,0,100000000)+IF('calcA'!$IQ$17=2,SUMPRODUCT('calcA'!$D$67:$EQ$67,$DB25:$IO25,$IQ25:$OD25)*1000+SUMPRODUCT('calcA'!$D$67:$EQ$67,$DB25:$IO25+$ZQ25:$AFD25,$AFF25:$AKS25),SUMPRODUCT('calcA'!$D$67:$EQ$67,$DB25:$IO25*1001+$ZQ25:$AFD25))*100+8)</f>
        <v/>
      </c>
      <c r="BU25">
        <f>IF(OR(AF25=1,calcA!$A$6=0),1000000000,IF('calcA'!$JF$18=1,0,100000000)+IF('calcA'!$IQ$18=2,SUMPRODUCT('calcA'!$D$68:$EQ$68,$DB25:$IO25,$IQ25:$OD25)*1000+SUMPRODUCT('calcA'!$D$68:$EQ$68,$DB25:$IO25+$ZQ25:$AFD25,$AFF25:$AKS25),SUMPRODUCT('calcA'!$D$68:$EQ$68,$DB25:$IO25*1001+$ZQ25:$AFD25))*100+9)</f>
        <v/>
      </c>
      <c r="BV25">
        <f>IF(OR(AG25=1,calcA!$A$6=0),1000000000,IF('calcA'!$JF$19=1,0,100000000)+IF('calcA'!$IQ$19=2,SUMPRODUCT('calcA'!$D$69:$EQ$69,$DB25:$IO25,$IQ25:$OD25)*1000+SUMPRODUCT('calcA'!$D$69:$EQ$69,$DB25:$IO25+$ZQ25:$AFD25,$AFF25:$AKS25),SUMPRODUCT('calcA'!$D$69:$EQ$69,$DB25:$IO25*1001+$ZQ25:$AFD25))*100+10)</f>
        <v/>
      </c>
      <c r="BW25">
        <f>IF(OR(AH25=1,calcA!$A$6=0),1000000000,IF('calcA'!$JF$20=1,0,100000000)+IF('calcA'!$IQ$20=2,SUMPRODUCT('calcA'!$D$70:$EQ$70,$DB25:$IO25,$IQ25:$OD25)*1000+SUMPRODUCT('calcA'!$D$70:$EQ$70,$DB25:$IO25+$ZQ25:$AFD25,$AFF25:$AKS25),SUMPRODUCT('calcA'!$D$70:$EQ$70,$DB25:$IO25*1001+$ZQ25:$AFD25))*100+11)</f>
        <v/>
      </c>
      <c r="BX25">
        <f>IF(OR(AI25=1,calcA!$A$6=0),1000000000,IF('calcA'!$JF$21=1,0,100000000)+IF('calcA'!$IQ$21=2,SUMPRODUCT('calcA'!$D$71:$EQ$71,$DB25:$IO25,$IQ25:$OD25)*1000+SUMPRODUCT('calcA'!$D$71:$EQ$71,$DB25:$IO25+$ZQ25:$AFD25,$AFF25:$AKS25),SUMPRODUCT('calcA'!$D$71:$EQ$71,$DB25:$IO25*1001+$ZQ25:$AFD25))*100+12)</f>
        <v/>
      </c>
      <c r="BY25">
        <f>IF(OR(AJ25=1,calcA!$A$6=0),1000000000,IF('calcA'!$JF$22=1,0,100000000)+IF('calcA'!$IQ$22=2,SUMPRODUCT('calcA'!$D$72:$EQ$72,$DB25:$IO25,$IQ25:$OD25)*1000+SUMPRODUCT('calcA'!$D$72:$EQ$72,$DB25:$IO25+$ZQ25:$AFD25,$AFF25:$AKS25),SUMPRODUCT('calcA'!$D$72:$EQ$72,$DB25:$IO25*1001+$ZQ25:$AFD25))*100+13)</f>
        <v/>
      </c>
      <c r="BZ25">
        <f>IF(OR(AK25=1,calcA!$A$6=0),1000000000,IF('calcA'!$JF$23=1,0,100000000)+IF('calcA'!$IQ$23=2,SUMPRODUCT('calcA'!$D$73:$EQ$73,$DB25:$IO25,$IQ25:$OD25)*1000+SUMPRODUCT('calcA'!$D$73:$EQ$73,$DB25:$IO25+$ZQ25:$AFD25,$AFF25:$AKS25),SUMPRODUCT('calcA'!$D$73:$EQ$73,$DB25:$IO25*1001+$ZQ25:$AFD25))*100+14)</f>
        <v/>
      </c>
      <c r="CA25">
        <f>IF(OR(AL25=1,calcA!$A$6=0),1000000000,IF('calcA'!$JF$24=1,0,100000000)+IF('calcA'!$IQ$24=2,SUMPRODUCT('calcA'!$D$74:$EQ$74,$DB25:$IO25,$IQ25:$OD25)*1000+SUMPRODUCT('calcA'!$D$74:$EQ$74,$DB25:$IO25+$ZQ25:$AFD25,$AFF25:$AKS25),SUMPRODUCT('calcA'!$D$74:$EQ$74,$DB25:$IO25*1001+$ZQ25:$AFD25))*100+15)</f>
        <v/>
      </c>
      <c r="CB25">
        <f>IF(OR(AM25=1,calcA!$A$6=0),1000000000,IF('calcA'!$JF$25=1,0,100000000)+IF('calcA'!$IQ$25=2,SUMPRODUCT('calcA'!$D$75:$EQ$75,$DB25:$IO25,$IQ25:$OD25)*1000+SUMPRODUCT('calcA'!$D$75:$EQ$75,$DB25:$IO25+$ZQ25:$AFD25,$AFF25:$AKS25),SUMPRODUCT('calcA'!$D$75:$EQ$75,$DB25:$IO25*1001+$ZQ25:$AFD25))*100+16)</f>
        <v/>
      </c>
      <c r="CC25">
        <f>IF(OR(AN25=1,calcA!$A$6=0),1000000000,IF('calcA'!$JF$26=1,0,100000000)+IF('calcA'!$IQ$26=2,SUMPRODUCT('calcA'!$D$76:$EQ$76,$DB25:$IO25,$IQ25:$OD25)*1000+SUMPRODUCT('calcA'!$D$76:$EQ$76,$DB25:$IO25+$ZQ25:$AFD25,$AFF25:$AKS25),SUMPRODUCT('calcA'!$D$76:$EQ$76,$DB25:$IO25*1001+$ZQ25:$AFD25))*100+17)</f>
        <v/>
      </c>
      <c r="CD25">
        <f>IF(OR(AO25=1,calcA!$A$6=0),1000000000,IF('calcA'!$JF$27=1,0,100000000)+IF('calcA'!$IQ$27=2,SUMPRODUCT('calcA'!$D$77:$EQ$77,$DB25:$IO25,$IQ25:$OD25)*1000+SUMPRODUCT('calcA'!$D$77:$EQ$77,$DB25:$IO25+$ZQ25:$AFD25,$AFF25:$AKS25),SUMPRODUCT('calcA'!$D$77:$EQ$77,$DB25:$IO25*1001+$ZQ25:$AFD25))*100+18)</f>
        <v/>
      </c>
      <c r="CE25">
        <f>IF(OR(AP25=1,calcA!$A$6=0),1000000000,IF('calcA'!$JF$28=1,0,100000000)+IF('calcA'!$IQ$28=2,SUMPRODUCT('calcA'!$D$78:$EQ$78,$DB25:$IO25,$IQ25:$OD25)*1000+SUMPRODUCT('calcA'!$D$78:$EQ$78,$DB25:$IO25+$ZQ25:$AFD25,$AFF25:$AKS25),SUMPRODUCT('calcA'!$D$78:$EQ$78,$DB25:$IO25*1001+$ZQ25:$AFD25))*100+19)</f>
        <v/>
      </c>
      <c r="CF25">
        <f>IF(OR(AQ25=1,calcA!$A$6=0),1000000000,IF('calcA'!$JF$29=1,0,100000000)+IF('calcA'!$IQ$29=2,SUMPRODUCT('calcA'!$D$79:$EQ$79,$DB25:$IO25,$IQ25:$OD25)*1000+SUMPRODUCT('calcA'!$D$79:$EQ$79,$DB25:$IO25+$ZQ25:$AFD25,$AFF25:$AKS25),SUMPRODUCT('calcA'!$D$79:$EQ$79,$DB25:$IO25*1001+$ZQ25:$AFD25))*100+20)</f>
        <v/>
      </c>
      <c r="CG25">
        <f>IF(OR(AR25=1,calcA!$A$6=0),1000000000,IF('calcA'!$JF$30=1,0,100000000)+IF('calcA'!$IQ$30=2,SUMPRODUCT('calcA'!$D$80:$EQ$80,$DB25:$IO25,$IQ25:$OD25)*1000+SUMPRODUCT('calcA'!$D$80:$EQ$80,$DB25:$IO25+$ZQ25:$AFD25,$AFF25:$AKS25),SUMPRODUCT('calcA'!$D$80:$EQ$80,$DB25:$IO25*1001+$ZQ25:$AFD25))*100+21)</f>
        <v/>
      </c>
      <c r="CH25">
        <f>IF(OR(AS25=1,calcA!$A$6=0),1000000000,IF('calcA'!$JF$31=1,0,100000000)+IF('calcA'!$IQ$31=2,SUMPRODUCT('calcA'!$D$81:$EQ$81,$DB25:$IO25,$IQ25:$OD25)*1000+SUMPRODUCT('calcA'!$D$81:$EQ$81,$DB25:$IO25+$ZQ25:$AFD25,$AFF25:$AKS25),SUMPRODUCT('calcA'!$D$81:$EQ$81,$DB25:$IO25*1001+$ZQ25:$AFD25))*100+22)</f>
        <v/>
      </c>
      <c r="CI25">
        <f>IF(OR(AT25=1,calcA!$A$6=0),1000000000,IF('calcA'!$JF$32=1,0,100000000)+IF('calcA'!$IQ$32=2,SUMPRODUCT('calcA'!$D$82:$EQ$82,$DB25:$IO25,$IQ25:$OD25)*1000+SUMPRODUCT('calcA'!$D$82:$EQ$82,$DB25:$IO25+$ZQ25:$AFD25,$AFF25:$AKS25),SUMPRODUCT('calcA'!$D$82:$EQ$82,$DB25:$IO25*1001+$ZQ25:$AFD25))*100+23)</f>
        <v/>
      </c>
      <c r="CJ25">
        <f>IF(OR(AU25=1,calcA!$A$6=0),1000000000,IF('calcA'!$JF$33=1,0,100000000)+IF('calcA'!$IQ$33=2,SUMPRODUCT('calcA'!$D$83:$EQ$83,$DB25:$IO25,$IQ25:$OD25)*1000+SUMPRODUCT('calcA'!$D$83:$EQ$83,$DB25:$IO25+$ZQ25:$AFD25,$AFF25:$AKS25),SUMPRODUCT('calcA'!$D$83:$EQ$83,$DB25:$IO25*1001+$ZQ25:$AFD25))*100+24)</f>
        <v/>
      </c>
      <c r="CK25">
        <f>IF(OR(AV25=1,calcA!$A$6=0),1000000000,IF('calcA'!$JF$34=1,0,100000000)+IF('calcA'!$IQ$34=2,SUMPRODUCT('calcA'!$D$84:$EQ$84,$DB25:$IO25,$IQ25:$OD25)*1000+SUMPRODUCT('calcA'!$D$84:$EQ$84,$DB25:$IO25+$ZQ25:$AFD25,$AFF25:$AKS25),SUMPRODUCT('calcA'!$D$84:$EQ$84,$DB25:$IO25*1001+$ZQ25:$AFD25))*100+25)</f>
        <v/>
      </c>
      <c r="CL25">
        <f>IF(OR(AW25=1,calcA!$A$6=0),1000000000,IF('calcA'!$JF$35=1,0,100000000)+IF('calcA'!$IQ$35=2,SUMPRODUCT('calcA'!$D$85:$EQ$85,$DB25:$IO25,$IQ25:$OD25)*1000+SUMPRODUCT('calcA'!$D$85:$EQ$85,$DB25:$IO25+$ZQ25:$AFD25,$AFF25:$AKS25),SUMPRODUCT('calcA'!$D$85:$EQ$85,$DB25:$IO25*1001+$ZQ25:$AFD25))*100+26)</f>
        <v/>
      </c>
      <c r="CM25">
        <f>IF(OR(AX25=1,calcA!$A$6=0),1000000000,IF('calcA'!$JF$36=1,0,100000000)+IF('calcA'!$IQ$36=2,SUMPRODUCT('calcA'!$D$86:$EQ$86,$DB25:$IO25,$IQ25:$OD25)*1000+SUMPRODUCT('calcA'!$D$86:$EQ$86,$DB25:$IO25+$ZQ25:$AFD25,$AFF25:$AKS25),SUMPRODUCT('calcA'!$D$86:$EQ$86,$DB25:$IO25*1001+$ZQ25:$AFD25))*100+27)</f>
        <v/>
      </c>
      <c r="CN25">
        <f>IF(OR(AY25=1,calcA!$A$6=0),1000000000,IF('calcA'!$JF$37=1,0,100000000)+IF('calcA'!$IQ$37=2,SUMPRODUCT('calcA'!$D$87:$EQ$87,$DB25:$IO25,$IQ25:$OD25)*1000+SUMPRODUCT('calcA'!$D$87:$EQ$87,$DB25:$IO25+$ZQ25:$AFD25,$AFF25:$AKS25),SUMPRODUCT('calcA'!$D$87:$EQ$87,$DB25:$IO25*1001+$ZQ25:$AFD25))*100+28)</f>
        <v/>
      </c>
      <c r="CO25">
        <f>IF(OR(AZ25=1,calcA!$A$6=0),1000000000,IF('calcA'!$JF$38=1,0,100000000)+IF('calcA'!$IQ$38=2,SUMPRODUCT('calcA'!$D$88:$EQ$88,$DB25:$IO25,$IQ25:$OD25)*1000+SUMPRODUCT('calcA'!$D$88:$EQ$88,$DB25:$IO25+$ZQ25:$AFD25,$AFF25:$AKS25),SUMPRODUCT('calcA'!$D$88:$EQ$88,$DB25:$IO25*1001+$ZQ25:$AFD25))*100+29)</f>
        <v/>
      </c>
      <c r="CP25">
        <f>IF(OR(BA25=1,calcA!$A$6=0),1000000000,IF('calcA'!$JF$39=1,0,100000000)+IF('calcA'!$IQ$39=2,SUMPRODUCT('calcA'!$D$89:$EQ$89,$DB25:$IO25,$IQ25:$OD25)*1000+SUMPRODUCT('calcA'!$D$89:$EQ$89,$DB25:$IO25+$ZQ25:$AFD25,$AFF25:$AKS25),SUMPRODUCT('calcA'!$D$89:$EQ$89,$DB25:$IO25*1001+$ZQ25:$AFD25))*100+30)</f>
        <v/>
      </c>
      <c r="CQ25">
        <f>IF(OR(BB25=1,calcA!$A$6=0),1000000000,IF('calcA'!$JF$40=1,0,100000000)+IF('calcA'!$IQ$40=2,SUMPRODUCT('calcA'!$D$90:$EQ$90,$DB25:$IO25,$IQ25:$OD25)*1000+SUMPRODUCT('calcA'!$D$90:$EQ$90,$DB25:$IO25+$ZQ25:$AFD25,$AFF25:$AKS25),SUMPRODUCT('calcA'!$D$90:$EQ$90,$DB25:$IO25*1001+$ZQ25:$AFD25))*100+31)</f>
        <v/>
      </c>
      <c r="CR25">
        <f>IF(OR(BC25=1,calcA!$A$6=0),1000000000,IF('calcA'!$JF$41=1,0,100000000)+IF('calcA'!$IQ$41=2,SUMPRODUCT('calcA'!$D$91:$EQ$91,$DB25:$IO25,$IQ25:$OD25)*1000+SUMPRODUCT('calcA'!$D$91:$EQ$91,$DB25:$IO25+$ZQ25:$AFD25,$AFF25:$AKS25),SUMPRODUCT('calcA'!$D$91:$EQ$91,$DB25:$IO25*1001+$ZQ25:$AFD25))*100+32)</f>
        <v/>
      </c>
      <c r="CS25">
        <f>IF(OR(BD25=1,calcA!$A$6=0),1000000000,IF('calcA'!$JF$42=1,0,100000000)+IF('calcA'!$IQ$42=2,SUMPRODUCT('calcA'!$D$92:$EQ$92,$DB25:$IO25,$IQ25:$OD25)*1000+SUMPRODUCT('calcA'!$D$92:$EQ$92,$DB25:$IO25+$ZQ25:$AFD25,$AFF25:$AKS25),SUMPRODUCT('calcA'!$D$92:$EQ$92,$DB25:$IO25*1001+$ZQ25:$AFD25))*100+33)</f>
        <v/>
      </c>
      <c r="CT25">
        <f>IF(OR(BE25=1,calcA!$A$6=0),1000000000,IF('calcA'!$JF$43=1,0,100000000)+IF('calcA'!$IQ$43=2,SUMPRODUCT('calcA'!$D$93:$EQ$93,$DB25:$IO25,$IQ25:$OD25)*1000+SUMPRODUCT('calcA'!$D$93:$EQ$93,$DB25:$IO25+$ZQ25:$AFD25,$AFF25:$AKS25),SUMPRODUCT('calcA'!$D$93:$EQ$93,$DB25:$IO25*1001+$ZQ25:$AFD25))*100+34)</f>
        <v/>
      </c>
      <c r="CU25">
        <f>IF(OR(BF25=1,calcA!$A$6=0),1000000000,IF('calcA'!$JF$44=1,0,100000000)+IF('calcA'!$IQ$44=2,SUMPRODUCT('calcA'!$D$94:$EQ$94,$DB25:$IO25,$IQ25:$OD25)*1000+SUMPRODUCT('calcA'!$D$94:$EQ$94,$DB25:$IO25+$ZQ25:$AFD25,$AFF25:$AKS25),SUMPRODUCT('calcA'!$D$94:$EQ$94,$DB25:$IO25*1001+$ZQ25:$AFD25))*100+35)</f>
        <v/>
      </c>
      <c r="CV25">
        <f>IF(OR(BG25=1,calcA!$A$6=0),1000000000,IF('calcA'!$JF$45=1,0,100000000)+IF('calcA'!$IQ$45=2,SUMPRODUCT('calcA'!$D$95:$EQ$95,$DB25:$IO25,$IQ25:$OD25)*1000+SUMPRODUCT('calcA'!$D$95:$EQ$95,$DB25:$IO25+$ZQ25:$AFD25,$AFF25:$AKS25),SUMPRODUCT('calcA'!$D$95:$EQ$95,$DB25:$IO25*1001+$ZQ25:$AFD25))*100+36)</f>
        <v/>
      </c>
      <c r="CW25">
        <f>IF(OR(BH25=1,calcA!$A$6=0),1000000000,IF('calcA'!$JF$46=1,0,100000000)+IF('calcA'!$IQ$46=2,SUMPRODUCT('calcA'!$D$96:$EQ$96,$DB25:$IO25,$IQ25:$OD25)*1000+SUMPRODUCT('calcA'!$D$96:$EQ$96,$DB25:$IO25+$ZQ25:$AFD25,$AFF25:$AKS25),SUMPRODUCT('calcA'!$D$96:$EQ$96,$DB25:$IO25*1001+$ZQ25:$AFD25))*100+37)</f>
        <v/>
      </c>
      <c r="CX25">
        <f>IF(OR(BI25=1,calcA!$A$6=0),1000000000,IF('calcA'!$JF$47=1,0,100000000)+IF('calcA'!$IQ$47=2,SUMPRODUCT('calcA'!$D$97:$EQ$97,$DB25:$IO25,$IQ25:$OD25)*1000+SUMPRODUCT('calcA'!$D$97:$EQ$97,$DB25:$IO25+$ZQ25:$AFD25,$AFF25:$AKS25),SUMPRODUCT('calcA'!$D$97:$EQ$97,$DB25:$IO25*1001+$ZQ25:$AFD25))*100+38)</f>
        <v/>
      </c>
      <c r="CY25">
        <f>IF(OR(BJ25=1,calcA!$A$6=0),1000000000,IF('calcA'!$JF$48=1,0,100000000)+IF('calcA'!$IQ$48=2,SUMPRODUCT('calcA'!$D$98:$EQ$98,$DB25:$IO25,$IQ25:$OD25)*1000+SUMPRODUCT('calcA'!$D$98:$EQ$98,$DB25:$IO25+$ZQ25:$AFD25,$AFF25:$AKS25),SUMPRODUCT('calcA'!$D$98:$EQ$98,$DB25:$IO25*1001+$ZQ25:$AFD25))*100+39)</f>
        <v/>
      </c>
      <c r="CZ25">
        <f>IF(OR(BK25=1,calcA!$A$6=0),1000000000,IF('calcA'!$JF$49=1,0,100000000)+IF('calcA'!$IQ$49=2,SUMPRODUCT('calcA'!$D$99:$EQ$99,$DB25:$IO25,$IQ25:$OD25)*1000+SUMPRODUCT('calcA'!$D$99:$EQ$99,$DB25:$IO25+$ZQ25:$AFD25,$AFF25:$AKS25),SUMPRODUCT('calcA'!$D$99:$EQ$99,$DB25:$IO25*1001+$ZQ25:$AFD25))*100+40)</f>
        <v/>
      </c>
      <c r="DB25">
        <f>DB24*IF(OR($C24=1,$G24=1),0,1)</f>
        <v/>
      </c>
      <c r="DC25">
        <f>DC24*IF(OR($C24=2,$G24=2),0,1)</f>
        <v/>
      </c>
      <c r="DD25">
        <f>DD24*IF(OR($C24=3,$G24=3),0,1)</f>
        <v/>
      </c>
      <c r="DE25">
        <f>DE24*IF(OR($C24=4,$G24=4),0,1)</f>
        <v/>
      </c>
      <c r="DF25">
        <f>DF24*IF(OR($C24=5,$G24=5),0,1)</f>
        <v/>
      </c>
      <c r="DG25">
        <f>DG24*IF(OR($C24=6,$G24=6),0,1)</f>
        <v/>
      </c>
      <c r="DH25">
        <f>DH24*IF(OR($C24=7,$G24=7),0,1)</f>
        <v/>
      </c>
      <c r="DI25">
        <f>DI24*IF(OR($C24=8,$G24=8),0,1)</f>
        <v/>
      </c>
      <c r="DJ25">
        <f>DJ24*IF(OR($C24=9,$G24=9),0,1)</f>
        <v/>
      </c>
      <c r="DK25">
        <f>DK24*IF(OR($C24=10,$G24=10),0,1)</f>
        <v/>
      </c>
      <c r="DL25">
        <f>DL24*IF(OR($C24=11,$G24=11),0,1)</f>
        <v/>
      </c>
      <c r="DM25">
        <f>DM24*IF(OR($C24=12,$G24=12),0,1)</f>
        <v/>
      </c>
      <c r="DN25">
        <f>DN24*IF(OR($C24=13,$G24=13),0,1)</f>
        <v/>
      </c>
      <c r="DO25">
        <f>DO24*IF(OR($C24=14,$G24=14),0,1)</f>
        <v/>
      </c>
      <c r="DP25">
        <f>DP24*IF(OR($C24=15,$G24=15),0,1)</f>
        <v/>
      </c>
      <c r="DQ25">
        <f>DQ24*IF(OR($C24=16,$G24=16),0,1)</f>
        <v/>
      </c>
      <c r="DR25">
        <f>DR24*IF(OR($C24=17,$G24=17),0,1)</f>
        <v/>
      </c>
      <c r="DS25">
        <f>DS24*IF(OR($C24=18,$G24=18),0,1)</f>
        <v/>
      </c>
      <c r="DT25">
        <f>DT24*IF(OR($C24=19,$G24=19),0,1)</f>
        <v/>
      </c>
      <c r="DU25">
        <f>DU24*IF(OR($C24=20,$G24=20),0,1)</f>
        <v/>
      </c>
      <c r="DV25">
        <f>DV24*IF(OR($C24=21,$G24=21),0,1)</f>
        <v/>
      </c>
      <c r="DW25">
        <f>DW24*IF(OR($C24=22,$G24=22),0,1)</f>
        <v/>
      </c>
      <c r="DX25">
        <f>DX24*IF(OR($C24=23,$G24=23),0,1)</f>
        <v/>
      </c>
      <c r="DY25">
        <f>DY24*IF(OR($C24=24,$G24=24),0,1)</f>
        <v/>
      </c>
      <c r="DZ25">
        <f>DZ24*IF(OR($C24=25,$G24=25),0,1)</f>
        <v/>
      </c>
      <c r="EA25">
        <f>EA24*IF(OR($C24=26,$G24=26),0,1)</f>
        <v/>
      </c>
      <c r="EB25">
        <f>EB24*IF(OR($C24=27,$G24=27),0,1)</f>
        <v/>
      </c>
      <c r="EC25">
        <f>EC24*IF(OR($C24=28,$G24=28),0,1)</f>
        <v/>
      </c>
      <c r="ED25">
        <f>ED24*IF(OR($C24=29,$G24=29),0,1)</f>
        <v/>
      </c>
      <c r="EE25">
        <f>EE24*IF(OR($C24=30,$G24=30),0,1)</f>
        <v/>
      </c>
      <c r="EF25">
        <f>EF24*IF(OR($C24=31,$G24=31),0,1)</f>
        <v/>
      </c>
      <c r="EG25">
        <f>EG24*IF(OR($C24=32,$G24=32),0,1)</f>
        <v/>
      </c>
      <c r="EH25">
        <f>EH24*IF(OR($C24=33,$G24=33),0,1)</f>
        <v/>
      </c>
      <c r="EI25">
        <f>EI24*IF(OR($C24=34,$G24=34),0,1)</f>
        <v/>
      </c>
      <c r="EJ25">
        <f>EJ24*IF(OR($C24=35,$G24=35),0,1)</f>
        <v/>
      </c>
      <c r="EK25">
        <f>EK24*IF(OR($C24=36,$G24=36),0,1)</f>
        <v/>
      </c>
      <c r="EL25">
        <f>EL24*IF(OR($C24=37,$G24=37),0,1)</f>
        <v/>
      </c>
      <c r="EM25">
        <f>EM24*IF(OR($C24=38,$G24=38),0,1)</f>
        <v/>
      </c>
      <c r="EN25">
        <f>EN24*IF(OR($C24=39,$G24=39),0,1)</f>
        <v/>
      </c>
      <c r="EO25">
        <f>EO24*IF(OR($C24=40,$G24=40),0,1)</f>
        <v/>
      </c>
      <c r="EP25">
        <f>EP24*IF(OR($C24=41,$G24=41),0,1)</f>
        <v/>
      </c>
      <c r="EQ25">
        <f>EQ24*IF(OR($C24=42,$G24=42),0,1)</f>
        <v/>
      </c>
      <c r="ER25">
        <f>ER24*IF(OR($C24=43,$G24=43),0,1)</f>
        <v/>
      </c>
      <c r="ES25">
        <f>ES24*IF(OR($C24=44,$G24=44),0,1)</f>
        <v/>
      </c>
      <c r="ET25">
        <f>ET24*IF(OR($C24=45,$G24=45),0,1)</f>
        <v/>
      </c>
      <c r="EU25">
        <f>EU24*IF(OR($C24=46,$G24=46),0,1)</f>
        <v/>
      </c>
      <c r="EV25">
        <f>EV24*IF(OR($C24=47,$G24=47),0,1)</f>
        <v/>
      </c>
      <c r="EW25">
        <f>EW24*IF(OR($C24=48,$G24=48),0,1)</f>
        <v/>
      </c>
      <c r="EX25">
        <f>EX24*IF(OR($C24=49,$G24=49),0,1)</f>
        <v/>
      </c>
      <c r="EY25">
        <f>EY24*IF(OR($C24=50,$G24=50),0,1)</f>
        <v/>
      </c>
      <c r="EZ25">
        <f>EZ24*IF(OR($C24=51,$G24=51),0,1)</f>
        <v/>
      </c>
      <c r="FA25">
        <f>FA24*IF(OR($C24=52,$G24=52),0,1)</f>
        <v/>
      </c>
      <c r="FB25">
        <f>FB24*IF(OR($C24=53,$G24=53),0,1)</f>
        <v/>
      </c>
      <c r="FC25">
        <f>FC24*IF(OR($C24=54,$G24=54),0,1)</f>
        <v/>
      </c>
      <c r="FD25">
        <f>FD24*IF(OR($C24=55,$G24=55),0,1)</f>
        <v/>
      </c>
      <c r="FE25">
        <f>FE24*IF(OR($C24=56,$G24=56),0,1)</f>
        <v/>
      </c>
      <c r="FF25">
        <f>FF24*IF(OR($C24=57,$G24=57),0,1)</f>
        <v/>
      </c>
      <c r="FG25">
        <f>FG24*IF(OR($C24=58,$G24=58),0,1)</f>
        <v/>
      </c>
      <c r="FH25">
        <f>FH24*IF(OR($C24=59,$G24=59),0,1)</f>
        <v/>
      </c>
      <c r="FI25">
        <f>FI24*IF(OR($C24=60,$G24=60),0,1)</f>
        <v/>
      </c>
      <c r="FJ25">
        <f>FJ24*IF(OR($C24=61,$G24=61),0,1)</f>
        <v/>
      </c>
      <c r="FK25">
        <f>FK24*IF(OR($C24=62,$G24=62),0,1)</f>
        <v/>
      </c>
      <c r="FL25">
        <f>FL24*IF(OR($C24=63,$G24=63),0,1)</f>
        <v/>
      </c>
      <c r="FM25">
        <f>FM24*IF(OR($C24=64,$G24=64),0,1)</f>
        <v/>
      </c>
      <c r="FN25">
        <f>FN24*IF(OR($C24=65,$G24=65),0,1)</f>
        <v/>
      </c>
      <c r="FO25">
        <f>FO24*IF(OR($C24=66,$G24=66),0,1)</f>
        <v/>
      </c>
      <c r="FP25">
        <f>FP24*IF(OR($C24=67,$G24=67),0,1)</f>
        <v/>
      </c>
      <c r="FQ25">
        <f>FQ24*IF(OR($C24=68,$G24=68),0,1)</f>
        <v/>
      </c>
      <c r="FR25">
        <f>FR24*IF(OR($C24=69,$G24=69),0,1)</f>
        <v/>
      </c>
      <c r="FS25">
        <f>FS24*IF(OR($C24=70,$G24=70),0,1)</f>
        <v/>
      </c>
      <c r="FT25">
        <f>FT24*IF(OR($C24=71,$G24=71),0,1)</f>
        <v/>
      </c>
      <c r="FU25">
        <f>FU24*IF(OR($C24=72,$G24=72),0,1)</f>
        <v/>
      </c>
      <c r="FV25">
        <f>FV24*IF(OR($C24=73,$G24=73),0,1)</f>
        <v/>
      </c>
      <c r="FW25">
        <f>FW24*IF(OR($C24=74,$G24=74),0,1)</f>
        <v/>
      </c>
      <c r="FX25">
        <f>FX24*IF(OR($C24=75,$G24=75),0,1)</f>
        <v/>
      </c>
      <c r="FY25">
        <f>FY24*IF(OR($C24=76,$G24=76),0,1)</f>
        <v/>
      </c>
      <c r="FZ25">
        <f>FZ24*IF(OR($C24=77,$G24=77),0,1)</f>
        <v/>
      </c>
      <c r="GA25">
        <f>GA24*IF(OR($C24=78,$G24=78),0,1)</f>
        <v/>
      </c>
      <c r="GB25">
        <f>GB24*IF(OR($C24=79,$G24=79),0,1)</f>
        <v/>
      </c>
      <c r="GC25">
        <f>GC24*IF(OR($C24=80,$G24=80),0,1)</f>
        <v/>
      </c>
      <c r="GD25">
        <f>GD24*IF(OR($C24=81,$G24=81),0,1)</f>
        <v/>
      </c>
      <c r="GE25">
        <f>GE24*IF(OR($C24=82,$G24=82),0,1)</f>
        <v/>
      </c>
      <c r="GF25">
        <f>GF24*IF(OR($C24=83,$G24=83),0,1)</f>
        <v/>
      </c>
      <c r="GG25">
        <f>GG24*IF(OR($C24=84,$G24=84),0,1)</f>
        <v/>
      </c>
      <c r="GH25">
        <f>GH24*IF(OR($C24=85,$G24=85),0,1)</f>
        <v/>
      </c>
      <c r="GI25">
        <f>GI24*IF(OR($C24=86,$G24=86),0,1)</f>
        <v/>
      </c>
      <c r="GJ25">
        <f>GJ24*IF(OR($C24=87,$G24=87),0,1)</f>
        <v/>
      </c>
      <c r="GK25">
        <f>GK24*IF(OR($C24=88,$G24=88),0,1)</f>
        <v/>
      </c>
      <c r="GL25">
        <f>GL24*IF(OR($C24=89,$G24=89),0,1)</f>
        <v/>
      </c>
      <c r="GM25">
        <f>GM24*IF(OR($C24=90,$G24=90),0,1)</f>
        <v/>
      </c>
      <c r="GN25">
        <f>GN24*IF(OR($C24=91,$G24=91),0,1)</f>
        <v/>
      </c>
      <c r="GO25">
        <f>GO24*IF(OR($C24=92,$G24=92),0,1)</f>
        <v/>
      </c>
      <c r="GP25">
        <f>GP24*IF(OR($C24=93,$G24=93),0,1)</f>
        <v/>
      </c>
      <c r="GQ25">
        <f>GQ24*IF(OR($C24=94,$G24=94),0,1)</f>
        <v/>
      </c>
      <c r="GR25">
        <f>GR24*IF(OR($C24=95,$G24=95),0,1)</f>
        <v/>
      </c>
      <c r="GS25">
        <f>GS24*IF(OR($C24=96,$G24=96),0,1)</f>
        <v/>
      </c>
      <c r="GT25">
        <f>GT24*IF(OR($C24=97,$G24=97),0,1)</f>
        <v/>
      </c>
      <c r="GU25">
        <f>GU24*IF(OR($C24=98,$G24=98),0,1)</f>
        <v/>
      </c>
      <c r="GV25">
        <f>GV24*IF(OR($C24=99,$G24=99),0,1)</f>
        <v/>
      </c>
      <c r="GW25">
        <f>GW24*IF(OR($C24=100,$G24=100),0,1)</f>
        <v/>
      </c>
      <c r="GX25">
        <f>GX24*IF(OR($C24=101,$G24=101),0,1)</f>
        <v/>
      </c>
      <c r="GY25">
        <f>GY24*IF(OR($C24=102,$G24=102),0,1)</f>
        <v/>
      </c>
      <c r="GZ25">
        <f>GZ24*IF(OR($C24=103,$G24=103),0,1)</f>
        <v/>
      </c>
      <c r="HA25">
        <f>HA24*IF(OR($C24=104,$G24=104),0,1)</f>
        <v/>
      </c>
      <c r="HB25">
        <f>HB24*IF(OR($C24=105,$G24=105),0,1)</f>
        <v/>
      </c>
      <c r="HC25">
        <f>HC24*IF(OR($C24=106,$G24=106),0,1)</f>
        <v/>
      </c>
      <c r="HD25">
        <f>HD24*IF(OR($C24=107,$G24=107),0,1)</f>
        <v/>
      </c>
      <c r="HE25">
        <f>HE24*IF(OR($C24=108,$G24=108),0,1)</f>
        <v/>
      </c>
      <c r="HF25">
        <f>HF24*IF(OR($C24=109,$G24=109),0,1)</f>
        <v/>
      </c>
      <c r="HG25">
        <f>HG24*IF(OR($C24=110,$G24=110),0,1)</f>
        <v/>
      </c>
      <c r="HH25">
        <f>HH24*IF(OR($C24=111,$G24=111),0,1)</f>
        <v/>
      </c>
      <c r="HI25">
        <f>HI24*IF(OR($C24=112,$G24=112),0,1)</f>
        <v/>
      </c>
      <c r="HJ25">
        <f>HJ24*IF(OR($C24=113,$G24=113),0,1)</f>
        <v/>
      </c>
      <c r="HK25">
        <f>HK24*IF(OR($C24=114,$G24=114),0,1)</f>
        <v/>
      </c>
      <c r="HL25">
        <f>HL24*IF(OR($C24=115,$G24=115),0,1)</f>
        <v/>
      </c>
      <c r="HM25">
        <f>HM24*IF(OR($C24=116,$G24=116),0,1)</f>
        <v/>
      </c>
      <c r="HN25">
        <f>HN24*IF(OR($C24=117,$G24=117),0,1)</f>
        <v/>
      </c>
      <c r="HO25">
        <f>HO24*IF(OR($C24=118,$G24=118),0,1)</f>
        <v/>
      </c>
      <c r="HP25">
        <f>HP24*IF(OR($C24=119,$G24=119),0,1)</f>
        <v/>
      </c>
      <c r="HQ25">
        <f>HQ24*IF(OR($C24=120,$G24=120),0,1)</f>
        <v/>
      </c>
      <c r="HR25">
        <f>HR24*IF(OR($C24=121,$G24=121),0,1)</f>
        <v/>
      </c>
      <c r="HS25">
        <f>HS24*IF(OR($C24=122,$G24=122),0,1)</f>
        <v/>
      </c>
      <c r="HT25">
        <f>HT24*IF(OR($C24=123,$G24=123),0,1)</f>
        <v/>
      </c>
      <c r="HU25">
        <f>HU24*IF(OR($C24=124,$G24=124),0,1)</f>
        <v/>
      </c>
      <c r="HV25">
        <f>HV24*IF(OR($C24=125,$G24=125),0,1)</f>
        <v/>
      </c>
      <c r="HW25">
        <f>HW24*IF(OR($C24=126,$G24=126),0,1)</f>
        <v/>
      </c>
      <c r="HX25">
        <f>HX24*IF(OR($C24=127,$G24=127),0,1)</f>
        <v/>
      </c>
      <c r="HY25">
        <f>HY24*IF(OR($C24=128,$G24=128),0,1)</f>
        <v/>
      </c>
      <c r="HZ25">
        <f>HZ24*IF(OR($C24=129,$G24=129),0,1)</f>
        <v/>
      </c>
      <c r="IA25">
        <f>IA24*IF(OR($C24=130,$G24=130),0,1)</f>
        <v/>
      </c>
      <c r="IB25">
        <f>IB24*IF(OR($C24=131,$G24=131),0,1)</f>
        <v/>
      </c>
      <c r="IC25">
        <f>IC24*IF(OR($C24=132,$G24=132),0,1)</f>
        <v/>
      </c>
      <c r="ID25">
        <f>ID24*IF(OR($C24=133,$G24=133),0,1)</f>
        <v/>
      </c>
      <c r="IE25">
        <f>IE24*IF(OR($C24=134,$G24=134),0,1)</f>
        <v/>
      </c>
      <c r="IF25">
        <f>IF24*IF(OR($C24=135,$G24=135),0,1)</f>
        <v/>
      </c>
      <c r="IG25">
        <f>IG24*IF(OR($C24=136,$G24=136),0,1)</f>
        <v/>
      </c>
      <c r="IH25">
        <f>IH24*IF(OR($C24=137,$G24=137),0,1)</f>
        <v/>
      </c>
      <c r="II25">
        <f>II24*IF(OR($C24=138,$G24=138),0,1)</f>
        <v/>
      </c>
      <c r="IJ25">
        <f>IJ24*IF(OR($C24=139,$G24=139),0,1)</f>
        <v/>
      </c>
      <c r="IK25">
        <f>IK24*IF(OR($C24=140,$G24=140),0,1)</f>
        <v/>
      </c>
      <c r="IL25">
        <f>IL24*IF(OR($C24=141,$G24=141),0,1)</f>
        <v/>
      </c>
      <c r="IM25">
        <f>IM24*IF(OR($C24=142,$G24=142),0,1)</f>
        <v/>
      </c>
      <c r="IN25">
        <f>IN24*IF(OR($C24=143,$G24=143),0,1)</f>
        <v/>
      </c>
      <c r="IO25">
        <f>IO24*IF(OR($C24=144,$G24=144),0,1)</f>
        <v/>
      </c>
      <c r="IQ25">
        <f>IF('calcA'!D$106=1,DC25,1)</f>
        <v/>
      </c>
      <c r="IR25">
        <f>IF('calcA'!E$106=1,DD25,1)</f>
        <v/>
      </c>
      <c r="IS25">
        <f>IF('calcA'!F$106=1,DE25,1)</f>
        <v/>
      </c>
      <c r="IT25">
        <f>IF('calcA'!G$106=1,DF25,1)</f>
        <v/>
      </c>
      <c r="IU25">
        <f>IF('calcA'!H$106=1,DG25,1)</f>
        <v/>
      </c>
      <c r="IV25">
        <f>IF('calcA'!I$106=1,DH25,1)</f>
        <v/>
      </c>
      <c r="IW25">
        <f>IF('calcA'!J$106=1,DI25,1)</f>
        <v/>
      </c>
      <c r="IX25">
        <f>IF('calcA'!K$106=1,DJ25,1)</f>
        <v/>
      </c>
      <c r="IY25">
        <f>IF('calcA'!L$106=1,DK25,1)</f>
        <v/>
      </c>
      <c r="IZ25">
        <f>IF('calcA'!M$106=1,DL25,1)</f>
        <v/>
      </c>
      <c r="JA25">
        <f>IF('calcA'!N$106=1,DM25,1)</f>
        <v/>
      </c>
      <c r="JB25">
        <f>IF('calcA'!O$106=1,DN25,1)</f>
        <v/>
      </c>
      <c r="JC25">
        <f>IF('calcA'!P$106=1,DO25,1)</f>
        <v/>
      </c>
      <c r="JD25">
        <f>IF('calcA'!Q$106=1,DP25,1)</f>
        <v/>
      </c>
      <c r="JE25">
        <f>IF('calcA'!R$106=1,DQ25,1)</f>
        <v/>
      </c>
      <c r="JF25">
        <f>IF('calcA'!S$106=1,DR25,1)</f>
        <v/>
      </c>
      <c r="JG25">
        <f>IF('calcA'!T$106=1,DS25,1)</f>
        <v/>
      </c>
      <c r="JH25">
        <f>IF('calcA'!U$106=1,DT25,1)</f>
        <v/>
      </c>
      <c r="JI25">
        <f>IF('calcA'!V$106=1,DU25,1)</f>
        <v/>
      </c>
      <c r="JJ25">
        <f>IF('calcA'!W$106=1,DV25,1)</f>
        <v/>
      </c>
      <c r="JK25">
        <f>IF('calcA'!X$106=1,DW25,1)</f>
        <v/>
      </c>
      <c r="JL25">
        <f>IF('calcA'!Y$106=1,DX25,1)</f>
        <v/>
      </c>
      <c r="JM25">
        <f>IF('calcA'!Z$106=1,DY25,1)</f>
        <v/>
      </c>
      <c r="JN25">
        <f>IF('calcA'!AA$106=1,DZ25,1)</f>
        <v/>
      </c>
      <c r="JO25">
        <f>IF('calcA'!AB$106=1,EA25,1)</f>
        <v/>
      </c>
      <c r="JP25">
        <f>IF('calcA'!AC$106=1,EB25,1)</f>
        <v/>
      </c>
      <c r="JQ25">
        <f>IF('calcA'!AD$106=1,EC25,1)</f>
        <v/>
      </c>
      <c r="JR25">
        <f>IF('calcA'!AE$106=1,ED25,1)</f>
        <v/>
      </c>
      <c r="JS25">
        <f>IF('calcA'!AF$106=1,EE25,1)</f>
        <v/>
      </c>
      <c r="JT25">
        <f>IF('calcA'!AG$106=1,EF25,1)</f>
        <v/>
      </c>
      <c r="JU25">
        <f>IF('calcA'!AH$106=1,EG25,1)</f>
        <v/>
      </c>
      <c r="JV25">
        <f>IF('calcA'!AI$106=1,EH25,1)</f>
        <v/>
      </c>
      <c r="JW25">
        <f>IF('calcA'!AJ$106=1,EI25,1)</f>
        <v/>
      </c>
      <c r="JX25">
        <f>IF('calcA'!AK$106=1,EJ25,1)</f>
        <v/>
      </c>
      <c r="JY25">
        <f>IF('calcA'!AL$106=1,EK25,1)</f>
        <v/>
      </c>
      <c r="JZ25">
        <f>IF('calcA'!AM$106=1,EL25,1)</f>
        <v/>
      </c>
      <c r="KA25">
        <f>IF('calcA'!AN$106=1,EM25,1)</f>
        <v/>
      </c>
      <c r="KB25">
        <f>IF('calcA'!AO$106=1,EN25,1)</f>
        <v/>
      </c>
      <c r="KC25">
        <f>IF('calcA'!AP$106=1,EO25,1)</f>
        <v/>
      </c>
      <c r="KD25">
        <f>IF('calcA'!AQ$106=1,EP25,1)</f>
        <v/>
      </c>
      <c r="KE25">
        <f>IF('calcA'!AR$106=1,EQ25,1)</f>
        <v/>
      </c>
      <c r="KF25">
        <f>IF('calcA'!AS$106=1,ER25,1)</f>
        <v/>
      </c>
      <c r="KG25">
        <f>IF('calcA'!AT$106=1,ES25,1)</f>
        <v/>
      </c>
      <c r="KH25">
        <f>IF('calcA'!AU$106=1,ET25,1)</f>
        <v/>
      </c>
      <c r="KI25">
        <f>IF('calcA'!AV$106=1,EU25,1)</f>
        <v/>
      </c>
      <c r="KJ25">
        <f>IF('calcA'!AW$106=1,EV25,1)</f>
        <v/>
      </c>
      <c r="KK25">
        <f>IF('calcA'!AX$106=1,EW25,1)</f>
        <v/>
      </c>
      <c r="KL25">
        <f>IF('calcA'!AY$106=1,EX25,1)</f>
        <v/>
      </c>
      <c r="KM25">
        <f>IF('calcA'!AZ$106=1,EY25,1)</f>
        <v/>
      </c>
      <c r="KN25">
        <f>IF('calcA'!BA$106=1,EZ25,1)</f>
        <v/>
      </c>
      <c r="KO25">
        <f>IF('calcA'!BB$106=1,FA25,1)</f>
        <v/>
      </c>
      <c r="KP25">
        <f>IF('calcA'!BC$106=1,FB25,1)</f>
        <v/>
      </c>
      <c r="KQ25">
        <f>IF('calcA'!BD$106=1,FC25,1)</f>
        <v/>
      </c>
      <c r="KR25">
        <f>IF('calcA'!BE$106=1,FD25,1)</f>
        <v/>
      </c>
      <c r="KS25">
        <f>IF('calcA'!BF$106=1,FE25,1)</f>
        <v/>
      </c>
      <c r="KT25">
        <f>IF('calcA'!BG$106=1,FF25,1)</f>
        <v/>
      </c>
      <c r="KU25">
        <f>IF('calcA'!BH$106=1,FG25,1)</f>
        <v/>
      </c>
      <c r="KV25">
        <f>IF('calcA'!BI$106=1,FH25,1)</f>
        <v/>
      </c>
      <c r="KW25">
        <f>IF('calcA'!BJ$106=1,FI25,1)</f>
        <v/>
      </c>
      <c r="KX25">
        <f>IF('calcA'!BK$106=1,FJ25,1)</f>
        <v/>
      </c>
      <c r="KY25">
        <f>IF('calcA'!BL$106=1,FK25,1)</f>
        <v/>
      </c>
      <c r="KZ25">
        <f>IF('calcA'!BM$106=1,FL25,1)</f>
        <v/>
      </c>
      <c r="LA25">
        <f>IF('calcA'!BN$106=1,FM25,1)</f>
        <v/>
      </c>
      <c r="LB25">
        <f>IF('calcA'!BO$106=1,FN25,1)</f>
        <v/>
      </c>
      <c r="LC25">
        <f>IF('calcA'!BP$106=1,FO25,1)</f>
        <v/>
      </c>
      <c r="LD25">
        <f>IF('calcA'!BQ$106=1,FP25,1)</f>
        <v/>
      </c>
      <c r="LE25">
        <f>IF('calcA'!BR$106=1,FQ25,1)</f>
        <v/>
      </c>
      <c r="LF25">
        <f>IF('calcA'!BS$106=1,FR25,1)</f>
        <v/>
      </c>
      <c r="LG25">
        <f>IF('calcA'!BT$106=1,FS25,1)</f>
        <v/>
      </c>
      <c r="LH25">
        <f>IF('calcA'!BU$106=1,FT25,1)</f>
        <v/>
      </c>
      <c r="LI25">
        <f>IF('calcA'!BV$106=1,FU25,1)</f>
        <v/>
      </c>
      <c r="LJ25">
        <f>IF('calcA'!BW$106=1,FV25,1)</f>
        <v/>
      </c>
      <c r="LK25">
        <f>IF('calcA'!BX$106=1,FW25,1)</f>
        <v/>
      </c>
      <c r="LL25">
        <f>IF('calcA'!BY$106=1,FX25,1)</f>
        <v/>
      </c>
      <c r="LM25">
        <f>IF('calcA'!BZ$106=1,FY25,1)</f>
        <v/>
      </c>
      <c r="LN25">
        <f>IF('calcA'!CA$106=1,FZ25,1)</f>
        <v/>
      </c>
      <c r="LO25">
        <f>IF('calcA'!CB$106=1,GA25,1)</f>
        <v/>
      </c>
      <c r="LP25">
        <f>IF('calcA'!CC$106=1,GB25,1)</f>
        <v/>
      </c>
      <c r="LQ25">
        <f>IF('calcA'!CD$106=1,GC25,1)</f>
        <v/>
      </c>
      <c r="LR25">
        <f>IF('calcA'!CE$106=1,GD25,1)</f>
        <v/>
      </c>
      <c r="LS25">
        <f>IF('calcA'!CF$106=1,GE25,1)</f>
        <v/>
      </c>
      <c r="LT25">
        <f>IF('calcA'!CG$106=1,GF25,1)</f>
        <v/>
      </c>
      <c r="LU25">
        <f>IF('calcA'!CH$106=1,GG25,1)</f>
        <v/>
      </c>
      <c r="LV25">
        <f>IF('calcA'!CI$106=1,GH25,1)</f>
        <v/>
      </c>
      <c r="LW25">
        <f>IF('calcA'!CJ$106=1,GI25,1)</f>
        <v/>
      </c>
      <c r="LX25">
        <f>IF('calcA'!CK$106=1,GJ25,1)</f>
        <v/>
      </c>
      <c r="LY25">
        <f>IF('calcA'!CL$106=1,GK25,1)</f>
        <v/>
      </c>
      <c r="LZ25">
        <f>IF('calcA'!CM$106=1,GL25,1)</f>
        <v/>
      </c>
      <c r="MA25">
        <f>IF('calcA'!CN$106=1,GM25,1)</f>
        <v/>
      </c>
      <c r="MB25">
        <f>IF('calcA'!CO$106=1,GN25,1)</f>
        <v/>
      </c>
      <c r="MC25">
        <f>IF('calcA'!CP$106=1,GO25,1)</f>
        <v/>
      </c>
      <c r="MD25">
        <f>IF('calcA'!CQ$106=1,GP25,1)</f>
        <v/>
      </c>
      <c r="ME25">
        <f>IF('calcA'!CR$106=1,GQ25,1)</f>
        <v/>
      </c>
      <c r="MF25">
        <f>IF('calcA'!CS$106=1,GR25,1)</f>
        <v/>
      </c>
      <c r="MG25">
        <f>IF('calcA'!CT$106=1,GS25,1)</f>
        <v/>
      </c>
      <c r="MH25">
        <f>IF('calcA'!CU$106=1,GT25,1)</f>
        <v/>
      </c>
      <c r="MI25">
        <f>IF('calcA'!CV$106=1,GU25,1)</f>
        <v/>
      </c>
      <c r="MJ25">
        <f>IF('calcA'!CW$106=1,GV25,1)</f>
        <v/>
      </c>
      <c r="MK25">
        <f>IF('calcA'!CX$106=1,GW25,1)</f>
        <v/>
      </c>
      <c r="ML25">
        <f>IF('calcA'!CY$106=1,GX25,1)</f>
        <v/>
      </c>
      <c r="MM25">
        <f>IF('calcA'!CZ$106=1,GY25,1)</f>
        <v/>
      </c>
      <c r="MN25">
        <f>IF('calcA'!DA$106=1,GZ25,1)</f>
        <v/>
      </c>
      <c r="MO25">
        <f>IF('calcA'!DB$106=1,HA25,1)</f>
        <v/>
      </c>
      <c r="MP25">
        <f>IF('calcA'!DC$106=1,HB25,1)</f>
        <v/>
      </c>
      <c r="MQ25">
        <f>IF('calcA'!DD$106=1,HC25,1)</f>
        <v/>
      </c>
      <c r="MR25">
        <f>IF('calcA'!DE$106=1,HD25,1)</f>
        <v/>
      </c>
      <c r="MS25">
        <f>IF('calcA'!DF$106=1,HE25,1)</f>
        <v/>
      </c>
      <c r="MT25">
        <f>IF('calcA'!DG$106=1,HF25,1)</f>
        <v/>
      </c>
      <c r="MU25">
        <f>IF('calcA'!DH$106=1,HG25,1)</f>
        <v/>
      </c>
      <c r="MV25">
        <f>IF('calcA'!DI$106=1,HH25,1)</f>
        <v/>
      </c>
      <c r="MW25">
        <f>IF('calcA'!DJ$106=1,HI25,1)</f>
        <v/>
      </c>
      <c r="MX25">
        <f>IF('calcA'!DK$106=1,HJ25,1)</f>
        <v/>
      </c>
      <c r="MY25">
        <f>IF('calcA'!DL$106=1,HK25,1)</f>
        <v/>
      </c>
      <c r="MZ25">
        <f>IF('calcA'!DM$106=1,HL25,1)</f>
        <v/>
      </c>
      <c r="NA25">
        <f>IF('calcA'!DN$106=1,HM25,1)</f>
        <v/>
      </c>
      <c r="NB25">
        <f>IF('calcA'!DO$106=1,HN25,1)</f>
        <v/>
      </c>
      <c r="NC25">
        <f>IF('calcA'!DP$106=1,HO25,1)</f>
        <v/>
      </c>
      <c r="ND25">
        <f>IF('calcA'!DQ$106=1,HP25,1)</f>
        <v/>
      </c>
      <c r="NE25">
        <f>IF('calcA'!DR$106=1,HQ25,1)</f>
        <v/>
      </c>
      <c r="NF25">
        <f>IF('calcA'!DS$106=1,HR25,1)</f>
        <v/>
      </c>
      <c r="NG25">
        <f>IF('calcA'!DT$106=1,HS25,1)</f>
        <v/>
      </c>
      <c r="NH25">
        <f>IF('calcA'!DU$106=1,HT25,1)</f>
        <v/>
      </c>
      <c r="NI25">
        <f>IF('calcA'!DV$106=1,HU25,1)</f>
        <v/>
      </c>
      <c r="NJ25">
        <f>IF('calcA'!DW$106=1,HV25,1)</f>
        <v/>
      </c>
      <c r="NK25">
        <f>IF('calcA'!DX$106=1,HW25,1)</f>
        <v/>
      </c>
      <c r="NL25">
        <f>IF('calcA'!DY$106=1,HX25,1)</f>
        <v/>
      </c>
      <c r="NM25">
        <f>IF('calcA'!DZ$106=1,HY25,1)</f>
        <v/>
      </c>
      <c r="NN25">
        <f>IF('calcA'!EA$106=1,HZ25,1)</f>
        <v/>
      </c>
      <c r="NO25">
        <f>IF('calcA'!EB$106=1,IA25,1)</f>
        <v/>
      </c>
      <c r="NP25">
        <f>IF('calcA'!EC$106=1,IB25,1)</f>
        <v/>
      </c>
      <c r="NQ25">
        <f>IF('calcA'!ED$106=1,IC25,1)</f>
        <v/>
      </c>
      <c r="NR25">
        <f>IF('calcA'!EE$106=1,ID25,1)</f>
        <v/>
      </c>
      <c r="NS25">
        <f>IF('calcA'!EF$106=1,IE25,1)</f>
        <v/>
      </c>
      <c r="NT25">
        <f>IF('calcA'!EG$106=1,IF25,1)</f>
        <v/>
      </c>
      <c r="NU25">
        <f>IF('calcA'!EH$106=1,IG25,1)</f>
        <v/>
      </c>
      <c r="NV25">
        <f>IF('calcA'!EI$106=1,IH25,1)</f>
        <v/>
      </c>
      <c r="NW25">
        <f>IF('calcA'!EJ$106=1,II25,1)</f>
        <v/>
      </c>
      <c r="NX25">
        <f>IF('calcA'!EK$106=1,IJ25,1)</f>
        <v/>
      </c>
      <c r="NY25">
        <f>IF('calcA'!EL$106=1,IK25,1)</f>
        <v/>
      </c>
      <c r="NZ25">
        <f>IF('calcA'!EM$106=1,IL25,1)</f>
        <v/>
      </c>
      <c r="OA25">
        <f>IF('calcA'!EN$106=1,IM25,1)</f>
        <v/>
      </c>
      <c r="OB25">
        <f>IF('calcA'!EO$106=1,IN25,1)</f>
        <v/>
      </c>
      <c r="OC25">
        <f>IF('calcA'!EP$106=1,IO25,1)</f>
        <v/>
      </c>
      <c r="OD25" t="n">
        <v>1</v>
      </c>
      <c r="OF25">
        <f>IF($B25=0,1000000000,IF(INDEX('calcA'!$D$60:$EQ$99,$B25,1)*IF($W25=1,DB25+ZQ25,DB25)=1,IF(AND($E25=2,IF($W25=1,AFF25,IQ25)=0),1000000000,IF($V25=1,INDEX('calcA'!$D$130:$EQ$169,$B25,1)+IF(AND($E25=1,IQ25=0),25,0),INDEX('calcA'!D$110:D$114,$F25+1)+IF(AND($E25=1,IQ25=0),1000,0)+IF($H25=1,INDEX('calcA'!$D$180:$EQ$219,$B25,1)*500,0)-IF(AND($U25=1,'calcA'!D$117=1,DC25=0),300,0))),1000000000))</f>
        <v/>
      </c>
      <c r="OG25">
        <f>IF($B25=0,1000000000,IF(INDEX('calcA'!$D$60:$EQ$99,$B25,2)*IF($W25=1,DC25+ZR25,DC25)=1,IF(AND($E25=2,IF($W25=1,AFG25,IR25)=0),1000000000,IF($V25=1,INDEX('calcA'!$D$130:$EQ$169,$B25,2)+IF(AND($E25=1,IR25=0),25,0),INDEX('calcA'!E$110:E$114,$F25+1)+IF(AND($E25=1,IR25=0),1000,0)+IF($H25=1,INDEX('calcA'!$D$180:$EQ$219,$B25,2)*500,0)-IF(AND('calcA'!D$117=1,UB25&gt;0),300,0)-IF(AND($U25=1,'calcA'!E$117=1,DD25=0),300,0))),1000000000))</f>
        <v/>
      </c>
      <c r="OH25">
        <f>IF($B25=0,1000000000,IF(INDEX('calcA'!$D$60:$EQ$99,$B25,3)*IF($W25=1,DD25+ZS25,DD25)=1,IF(AND($E25=2,IF($W25=1,AFH25,IS25)=0),1000000000,IF($V25=1,INDEX('calcA'!$D$130:$EQ$169,$B25,3)+IF(AND($E25=1,IS25=0),25,0),INDEX('calcA'!F$110:F$114,$F25+1)+IF(AND($E25=1,IS25=0),1000,0)+IF($H25=1,INDEX('calcA'!$D$180:$EQ$219,$B25,3)*500,0)-IF(AND('calcA'!E$117=1,UC25&gt;0),300,0)-IF(AND($U25=1,'calcA'!F$117=1,DE25=0),300,0))),1000000000))</f>
        <v/>
      </c>
      <c r="OI25">
        <f>IF($B25=0,1000000000,IF(INDEX('calcA'!$D$60:$EQ$99,$B25,4)*IF($W25=1,DE25+ZT25,DE25)=1,IF(AND($E25=2,IF($W25=1,AFI25,IT25)=0),1000000000,IF($V25=1,INDEX('calcA'!$D$130:$EQ$169,$B25,4)+IF(AND($E25=1,IT25=0),25,0),INDEX('calcA'!G$110:G$114,$F25+1)+IF(AND($E25=1,IT25=0),1000,0)+IF($H25=1,INDEX('calcA'!$D$180:$EQ$219,$B25,4)*500,0)-IF(AND('calcA'!F$117=1,UD25&gt;0),300,0)-IF(AND($U25=1,'calcA'!G$117=1,DF25=0),300,0))),1000000000))</f>
        <v/>
      </c>
      <c r="OJ25">
        <f>IF($B25=0,1000000000,IF(INDEX('calcA'!$D$60:$EQ$99,$B25,5)*IF($W25=1,DF25+ZU25,DF25)=1,IF(AND($E25=2,IF($W25=1,AFJ25,IU25)=0),1000000000,IF($V25=1,INDEX('calcA'!$D$130:$EQ$169,$B25,5)+IF(AND($E25=1,IU25=0),25,0),INDEX('calcA'!H$110:H$114,$F25+1)+IF(AND($E25=1,IU25=0),1000,0)+IF($H25=1,INDEX('calcA'!$D$180:$EQ$219,$B25,5)*500,0)-IF(AND('calcA'!G$117=1,UE25&gt;0),300,0)-IF(AND($U25=1,'calcA'!H$117=1,DG25=0),300,0))),1000000000))</f>
        <v/>
      </c>
      <c r="OK25">
        <f>IF($B25=0,1000000000,IF(INDEX('calcA'!$D$60:$EQ$99,$B25,6)*IF($W25=1,DG25+ZV25,DG25)=1,IF(AND($E25=2,IF($W25=1,AFK25,IV25)=0),1000000000,IF($V25=1,INDEX('calcA'!$D$130:$EQ$169,$B25,6)+IF(AND($E25=1,IV25=0),25,0),INDEX('calcA'!I$110:I$114,$F25+1)+IF(AND($E25=1,IV25=0),1000,0)+IF($H25=1,INDEX('calcA'!$D$180:$EQ$219,$B25,6)*500,0)-IF(AND('calcA'!H$117=1,UF25&gt;0),300,0)-IF(AND($U25=1,'calcA'!I$117=1,DH25=0),300,0))),1000000000))</f>
        <v/>
      </c>
      <c r="OL25">
        <f>IF($B25=0,1000000000,IF(INDEX('calcA'!$D$60:$EQ$99,$B25,7)*IF($W25=1,DH25+ZW25,DH25)=1,IF(AND($E25=2,IF($W25=1,AFL25,IW25)=0),1000000000,IF($V25=1,INDEX('calcA'!$D$130:$EQ$169,$B25,7)+IF(AND($E25=1,IW25=0),25,0),INDEX('calcA'!J$110:J$114,$F25+1)+IF(AND($E25=1,IW25=0),1000,0)+IF($H25=1,INDEX('calcA'!$D$180:$EQ$219,$B25,7)*500,0)-IF(AND('calcA'!I$117=1,UG25&gt;0),300,0)-IF(AND($U25=1,'calcA'!J$117=1,DI25=0),300,0))),1000000000))</f>
        <v/>
      </c>
      <c r="OM25">
        <f>IF($B25=0,1000000000,IF(INDEX('calcA'!$D$60:$EQ$99,$B25,8)*IF($W25=1,DI25+ZX25,DI25)=1,IF(AND($E25=2,IF($W25=1,AFM25,IX25)=0),1000000000,IF($V25=1,INDEX('calcA'!$D$130:$EQ$169,$B25,8)+IF(AND($E25=1,IX25=0),25,0),INDEX('calcA'!K$110:K$114,$F25+1)+IF(AND($E25=1,IX25=0),1000,0)+IF($H25=1,INDEX('calcA'!$D$180:$EQ$219,$B25,8)*500,0)-IF(AND('calcA'!J$117=1,UH25&gt;0),300,0)-IF(AND($U25=1,'calcA'!K$117=1,DJ25=0),300,0))),1000000000))</f>
        <v/>
      </c>
      <c r="ON25">
        <f>IF($B25=0,1000000000,IF(INDEX('calcA'!$D$60:$EQ$99,$B25,9)*IF($W25=1,DJ25+ZY25,DJ25)=1,IF(AND($E25=2,IF($W25=1,AFN25,IY25)=0),1000000000,IF($V25=1,INDEX('calcA'!$D$130:$EQ$169,$B25,9)+IF(AND($E25=1,IY25=0),25,0),INDEX('calcA'!L$110:L$114,$F25+1)+IF(AND($E25=1,IY25=0),1000,0)+IF($H25=1,INDEX('calcA'!$D$180:$EQ$219,$B25,9)*500,0)-IF(AND('calcA'!K$117=1,UI25&gt;0),300,0)-IF(AND($U25=1,'calcA'!L$117=1,DK25=0),300,0))),1000000000))</f>
        <v/>
      </c>
      <c r="OO25">
        <f>IF($B25=0,1000000000,IF(INDEX('calcA'!$D$60:$EQ$99,$B25,10)*IF($W25=1,DK25+ZZ25,DK25)=1,IF(AND($E25=2,IF($W25=1,AFO25,IZ25)=0),1000000000,IF($V25=1,INDEX('calcA'!$D$130:$EQ$169,$B25,10)+IF(AND($E25=1,IZ25=0),25,0),INDEX('calcA'!M$110:M$114,$F25+1)+IF(AND($E25=1,IZ25=0),1000,0)+IF($H25=1,INDEX('calcA'!$D$180:$EQ$219,$B25,10)*500,0)-IF(AND('calcA'!L$117=1,UJ25&gt;0),300,0)-IF(AND($U25=1,'calcA'!M$117=1,DL25=0),300,0))),1000000000))</f>
        <v/>
      </c>
      <c r="OP25">
        <f>IF($B25=0,1000000000,IF(INDEX('calcA'!$D$60:$EQ$99,$B25,11)*IF($W25=1,DL25+AAA25,DL25)=1,IF(AND($E25=2,IF($W25=1,AFP25,JA25)=0),1000000000,IF($V25=1,INDEX('calcA'!$D$130:$EQ$169,$B25,11)+IF(AND($E25=1,JA25=0),25,0),INDEX('calcA'!N$110:N$114,$F25+1)+IF(AND($E25=1,JA25=0),1000,0)+IF($H25=1,INDEX('calcA'!$D$180:$EQ$219,$B25,11)*500,0)-IF(AND('calcA'!M$117=1,UK25&gt;0),300,0)-IF(AND($U25=1,'calcA'!N$117=1,DM25=0),300,0))),1000000000))</f>
        <v/>
      </c>
      <c r="OQ25">
        <f>IF($B25=0,1000000000,IF(INDEX('calcA'!$D$60:$EQ$99,$B25,12)*IF($W25=1,DM25+AAB25,DM25)=1,IF(AND($E25=2,IF($W25=1,AFQ25,JB25)=0),1000000000,IF($V25=1,INDEX('calcA'!$D$130:$EQ$169,$B25,12)+IF(AND($E25=1,JB25=0),25,0),INDEX('calcA'!O$110:O$114,$F25+1)+IF(AND($E25=1,JB25=0),1000,0)+IF($H25=1,INDEX('calcA'!$D$180:$EQ$219,$B25,12)*500,0)-IF(AND('calcA'!N$117=1,UL25&gt;0),300,0)-IF(AND($U25=1,'calcA'!O$117=1,DN25=0),300,0))),1000000000))</f>
        <v/>
      </c>
      <c r="OR25">
        <f>IF($B25=0,1000000000,IF(INDEX('calcA'!$D$60:$EQ$99,$B25,13)*IF($W25=1,DN25+AAC25,DN25)=1,IF(AND($E25=2,IF($W25=1,AFR25,JC25)=0),1000000000,IF($V25=1,INDEX('calcA'!$D$130:$EQ$169,$B25,13)+IF(AND($E25=1,JC25=0),25,0),INDEX('calcA'!P$110:P$114,$F25+1)+IF(AND($E25=1,JC25=0),1000,0)+IF($H25=1,INDEX('calcA'!$D$180:$EQ$219,$B25,13)*500,0)-IF(AND('calcA'!O$117=1,UM25&gt;0),300,0)-IF(AND($U25=1,'calcA'!P$117=1,DO25=0),300,0))),1000000000))</f>
        <v/>
      </c>
      <c r="OS25">
        <f>IF($B25=0,1000000000,IF(INDEX('calcA'!$D$60:$EQ$99,$B25,14)*IF($W25=1,DO25+AAD25,DO25)=1,IF(AND($E25=2,IF($W25=1,AFS25,JD25)=0),1000000000,IF($V25=1,INDEX('calcA'!$D$130:$EQ$169,$B25,14)+IF(AND($E25=1,JD25=0),25,0),INDEX('calcA'!Q$110:Q$114,$F25+1)+IF(AND($E25=1,JD25=0),1000,0)+IF($H25=1,INDEX('calcA'!$D$180:$EQ$219,$B25,14)*500,0)-IF(AND('calcA'!P$117=1,UN25&gt;0),300,0)-IF(AND($U25=1,'calcA'!Q$117=1,DP25=0),300,0))),1000000000))</f>
        <v/>
      </c>
      <c r="OT25">
        <f>IF($B25=0,1000000000,IF(INDEX('calcA'!$D$60:$EQ$99,$B25,15)*IF($W25=1,DP25+AAE25,DP25)=1,IF(AND($E25=2,IF($W25=1,AFT25,JE25)=0),1000000000,IF($V25=1,INDEX('calcA'!$D$130:$EQ$169,$B25,15)+IF(AND($E25=1,JE25=0),25,0),INDEX('calcA'!R$110:R$114,$F25+1)+IF(AND($E25=1,JE25=0),1000,0)+IF($H25=1,INDEX('calcA'!$D$180:$EQ$219,$B25,15)*500,0)-IF(AND('calcA'!Q$117=1,UO25&gt;0),300,0)-IF(AND($U25=1,'calcA'!R$117=1,DQ25=0),300,0))),1000000000))</f>
        <v/>
      </c>
      <c r="OU25">
        <f>IF($B25=0,1000000000,IF(INDEX('calcA'!$D$60:$EQ$99,$B25,16)*IF($W25=1,DQ25+AAF25,DQ25)=1,IF(AND($E25=2,IF($W25=1,AFU25,JF25)=0),1000000000,IF($V25=1,INDEX('calcA'!$D$130:$EQ$169,$B25,16)+IF(AND($E25=1,JF25=0),25,0),INDEX('calcA'!S$110:S$114,$F25+1)+IF(AND($E25=1,JF25=0),1000,0)+IF($H25=1,INDEX('calcA'!$D$180:$EQ$219,$B25,16)*500,0)-IF(AND('calcA'!R$117=1,UP25&gt;0),300,0)-IF(AND($U25=1,'calcA'!S$117=1,DR25=0),300,0))),1000000000))</f>
        <v/>
      </c>
      <c r="OV25">
        <f>IF($B25=0,1000000000,IF(INDEX('calcA'!$D$60:$EQ$99,$B25,17)*IF($W25=1,DR25+AAG25,DR25)=1,IF(AND($E25=2,IF($W25=1,AFV25,JG25)=0),1000000000,IF($V25=1,INDEX('calcA'!$D$130:$EQ$169,$B25,17)+IF(AND($E25=1,JG25=0),25,0),INDEX('calcA'!T$110:T$114,$F25+1)+IF(AND($E25=1,JG25=0),1000,0)+IF($H25=1,INDEX('calcA'!$D$180:$EQ$219,$B25,17)*500,0)-IF(AND('calcA'!S$117=1,UQ25&gt;0),300,0)-IF(AND($U25=1,'calcA'!T$117=1,DS25=0),300,0))),1000000000))</f>
        <v/>
      </c>
      <c r="OW25">
        <f>IF($B25=0,1000000000,IF(INDEX('calcA'!$D$60:$EQ$99,$B25,18)*IF($W25=1,DS25+AAH25,DS25)=1,IF(AND($E25=2,IF($W25=1,AFW25,JH25)=0),1000000000,IF($V25=1,INDEX('calcA'!$D$130:$EQ$169,$B25,18)+IF(AND($E25=1,JH25=0),25,0),INDEX('calcA'!U$110:U$114,$F25+1)+IF(AND($E25=1,JH25=0),1000,0)+IF($H25=1,INDEX('calcA'!$D$180:$EQ$219,$B25,18)*500,0)-IF(AND('calcA'!T$117=1,UR25&gt;0),300,0)-IF(AND($U25=1,'calcA'!U$117=1,DT25=0),300,0))),1000000000))</f>
        <v/>
      </c>
      <c r="OX25">
        <f>IF($B25=0,1000000000,IF(INDEX('calcA'!$D$60:$EQ$99,$B25,19)*IF($W25=1,DT25+AAI25,DT25)=1,IF(AND($E25=2,IF($W25=1,AFX25,JI25)=0),1000000000,IF($V25=1,INDEX('calcA'!$D$130:$EQ$169,$B25,19)+IF(AND($E25=1,JI25=0),25,0),INDEX('calcA'!V$110:V$114,$F25+1)+IF(AND($E25=1,JI25=0),1000,0)+IF($H25=1,INDEX('calcA'!$D$180:$EQ$219,$B25,19)*500,0)-IF(AND('calcA'!U$117=1,US25&gt;0),300,0)-IF(AND($U25=1,'calcA'!V$117=1,DU25=0),300,0))),1000000000))</f>
        <v/>
      </c>
      <c r="OY25">
        <f>IF($B25=0,1000000000,IF(INDEX('calcA'!$D$60:$EQ$99,$B25,20)*IF($W25=1,DU25+AAJ25,DU25)=1,IF(AND($E25=2,IF($W25=1,AFY25,JJ25)=0),1000000000,IF($V25=1,INDEX('calcA'!$D$130:$EQ$169,$B25,20)+IF(AND($E25=1,JJ25=0),25,0),INDEX('calcA'!W$110:W$114,$F25+1)+IF(AND($E25=1,JJ25=0),1000,0)+IF($H25=1,INDEX('calcA'!$D$180:$EQ$219,$B25,20)*500,0)-IF(AND('calcA'!V$117=1,UT25&gt;0),300,0)-IF(AND($U25=1,'calcA'!W$117=1,DV25=0),300,0))),1000000000))</f>
        <v/>
      </c>
      <c r="OZ25">
        <f>IF($B25=0,1000000000,IF(INDEX('calcA'!$D$60:$EQ$99,$B25,21)*IF($W25=1,DV25+AAK25,DV25)=1,IF(AND($E25=2,IF($W25=1,AFZ25,JK25)=0),1000000000,IF($V25=1,INDEX('calcA'!$D$130:$EQ$169,$B25,21)+IF(AND($E25=1,JK25=0),25,0),INDEX('calcA'!X$110:X$114,$F25+1)+IF(AND($E25=1,JK25=0),1000,0)+IF($H25=1,INDEX('calcA'!$D$180:$EQ$219,$B25,21)*500,0)-IF(AND('calcA'!W$117=1,UU25&gt;0),300,0)-IF(AND($U25=1,'calcA'!X$117=1,DW25=0),300,0))),1000000000))</f>
        <v/>
      </c>
      <c r="PA25">
        <f>IF($B25=0,1000000000,IF(INDEX('calcA'!$D$60:$EQ$99,$B25,22)*IF($W25=1,DW25+AAL25,DW25)=1,IF(AND($E25=2,IF($W25=1,AGA25,JL25)=0),1000000000,IF($V25=1,INDEX('calcA'!$D$130:$EQ$169,$B25,22)+IF(AND($E25=1,JL25=0),25,0),INDEX('calcA'!Y$110:Y$114,$F25+1)+IF(AND($E25=1,JL25=0),1000,0)+IF($H25=1,INDEX('calcA'!$D$180:$EQ$219,$B25,22)*500,0)-IF(AND('calcA'!X$117=1,UV25&gt;0),300,0)-IF(AND($U25=1,'calcA'!Y$117=1,DX25=0),300,0))),1000000000))</f>
        <v/>
      </c>
      <c r="PB25">
        <f>IF($B25=0,1000000000,IF(INDEX('calcA'!$D$60:$EQ$99,$B25,23)*IF($W25=1,DX25+AAM25,DX25)=1,IF(AND($E25=2,IF($W25=1,AGB25,JM25)=0),1000000000,IF($V25=1,INDEX('calcA'!$D$130:$EQ$169,$B25,23)+IF(AND($E25=1,JM25=0),25,0),INDEX('calcA'!Z$110:Z$114,$F25+1)+IF(AND($E25=1,JM25=0),1000,0)+IF($H25=1,INDEX('calcA'!$D$180:$EQ$219,$B25,23)*500,0)-IF(AND('calcA'!Y$117=1,UW25&gt;0),300,0)-IF(AND($U25=1,'calcA'!Z$117=1,DY25=0),300,0))),1000000000))</f>
        <v/>
      </c>
      <c r="PC25">
        <f>IF($B25=0,1000000000,IF(INDEX('calcA'!$D$60:$EQ$99,$B25,24)*IF($W25=1,DY25+AAN25,DY25)=1,IF(AND($E25=2,IF($W25=1,AGC25,JN25)=0),1000000000,IF($V25=1,INDEX('calcA'!$D$130:$EQ$169,$B25,24)+IF(AND($E25=1,JN25=0),25,0),INDEX('calcA'!AA$110:AA$114,$F25+1)+IF(AND($E25=1,JN25=0),1000,0)+IF($H25=1,INDEX('calcA'!$D$180:$EQ$219,$B25,24)*500,0)-IF(AND('calcA'!Z$117=1,UX25&gt;0),300,0))),1000000000))</f>
        <v/>
      </c>
      <c r="PD25">
        <f>IF($B25=0,1000000000,IF(INDEX('calcA'!$D$60:$EQ$99,$B25,25)*IF($W25=1,DZ25+AAO25,DZ25)=1,IF(AND($E25=2,IF($W25=1,AGD25,JO25)=0),1000000000,IF($V25=1,INDEX('calcA'!$D$130:$EQ$169,$B25,25)+IF(AND($E25=1,JO25=0),25,0),INDEX('calcA'!AB$110:AB$114,$F25+1)+IF(AND($E25=1,JO25=0),1000,0)+IF($H25=1,INDEX('calcA'!$D$180:$EQ$219,$B25,25)*500,0)-IF(AND($U25=1,'calcA'!AB$117=1,EA25=0),300,0))),1000000000))</f>
        <v/>
      </c>
      <c r="PE25">
        <f>IF($B25=0,1000000000,IF(INDEX('calcA'!$D$60:$EQ$99,$B25,26)*IF($W25=1,EA25+AAP25,EA25)=1,IF(AND($E25=2,IF($W25=1,AGE25,JP25)=0),1000000000,IF($V25=1,INDEX('calcA'!$D$130:$EQ$169,$B25,26)+IF(AND($E25=1,JP25=0),25,0),INDEX('calcA'!AC$110:AC$114,$F25+1)+IF(AND($E25=1,JP25=0),1000,0)+IF($H25=1,INDEX('calcA'!$D$180:$EQ$219,$B25,26)*500,0)-IF(AND('calcA'!AB$117=1,UZ25&gt;0),300,0)-IF(AND($U25=1,'calcA'!AC$117=1,EB25=0),300,0))),1000000000))</f>
        <v/>
      </c>
      <c r="PF25">
        <f>IF($B25=0,1000000000,IF(INDEX('calcA'!$D$60:$EQ$99,$B25,27)*IF($W25=1,EB25+AAQ25,EB25)=1,IF(AND($E25=2,IF($W25=1,AGF25,JQ25)=0),1000000000,IF($V25=1,INDEX('calcA'!$D$130:$EQ$169,$B25,27)+IF(AND($E25=1,JQ25=0),25,0),INDEX('calcA'!AD$110:AD$114,$F25+1)+IF(AND($E25=1,JQ25=0),1000,0)+IF($H25=1,INDEX('calcA'!$D$180:$EQ$219,$B25,27)*500,0)-IF(AND('calcA'!AC$117=1,VA25&gt;0),300,0)-IF(AND($U25=1,'calcA'!AD$117=1,EC25=0),300,0))),1000000000))</f>
        <v/>
      </c>
      <c r="PG25">
        <f>IF($B25=0,1000000000,IF(INDEX('calcA'!$D$60:$EQ$99,$B25,28)*IF($W25=1,EC25+AAR25,EC25)=1,IF(AND($E25=2,IF($W25=1,AGG25,JR25)=0),1000000000,IF($V25=1,INDEX('calcA'!$D$130:$EQ$169,$B25,28)+IF(AND($E25=1,JR25=0),25,0),INDEX('calcA'!AE$110:AE$114,$F25+1)+IF(AND($E25=1,JR25=0),1000,0)+IF($H25=1,INDEX('calcA'!$D$180:$EQ$219,$B25,28)*500,0)-IF(AND('calcA'!AD$117=1,VB25&gt;0),300,0)-IF(AND($U25=1,'calcA'!AE$117=1,ED25=0),300,0))),1000000000))</f>
        <v/>
      </c>
      <c r="PH25">
        <f>IF($B25=0,1000000000,IF(INDEX('calcA'!$D$60:$EQ$99,$B25,29)*IF($W25=1,ED25+AAS25,ED25)=1,IF(AND($E25=2,IF($W25=1,AGH25,JS25)=0),1000000000,IF($V25=1,INDEX('calcA'!$D$130:$EQ$169,$B25,29)+IF(AND($E25=1,JS25=0),25,0),INDEX('calcA'!AF$110:AF$114,$F25+1)+IF(AND($E25=1,JS25=0),1000,0)+IF($H25=1,INDEX('calcA'!$D$180:$EQ$219,$B25,29)*500,0)-IF(AND('calcA'!AE$117=1,VC25&gt;0),300,0)-IF(AND($U25=1,'calcA'!AF$117=1,EE25=0),300,0))),1000000000))</f>
        <v/>
      </c>
      <c r="PI25">
        <f>IF($B25=0,1000000000,IF(INDEX('calcA'!$D$60:$EQ$99,$B25,30)*IF($W25=1,EE25+AAT25,EE25)=1,IF(AND($E25=2,IF($W25=1,AGI25,JT25)=0),1000000000,IF($V25=1,INDEX('calcA'!$D$130:$EQ$169,$B25,30)+IF(AND($E25=1,JT25=0),25,0),INDEX('calcA'!AG$110:AG$114,$F25+1)+IF(AND($E25=1,JT25=0),1000,0)+IF($H25=1,INDEX('calcA'!$D$180:$EQ$219,$B25,30)*500,0)-IF(AND('calcA'!AF$117=1,VD25&gt;0),300,0)-IF(AND($U25=1,'calcA'!AG$117=1,EF25=0),300,0))),1000000000))</f>
        <v/>
      </c>
      <c r="PJ25">
        <f>IF($B25=0,1000000000,IF(INDEX('calcA'!$D$60:$EQ$99,$B25,31)*IF($W25=1,EF25+AAU25,EF25)=1,IF(AND($E25=2,IF($W25=1,AGJ25,JU25)=0),1000000000,IF($V25=1,INDEX('calcA'!$D$130:$EQ$169,$B25,31)+IF(AND($E25=1,JU25=0),25,0),INDEX('calcA'!AH$110:AH$114,$F25+1)+IF(AND($E25=1,JU25=0),1000,0)+IF($H25=1,INDEX('calcA'!$D$180:$EQ$219,$B25,31)*500,0)-IF(AND('calcA'!AG$117=1,VE25&gt;0),300,0)-IF(AND($U25=1,'calcA'!AH$117=1,EG25=0),300,0))),1000000000))</f>
        <v/>
      </c>
      <c r="PK25">
        <f>IF($B25=0,1000000000,IF(INDEX('calcA'!$D$60:$EQ$99,$B25,32)*IF($W25=1,EG25+AAV25,EG25)=1,IF(AND($E25=2,IF($W25=1,AGK25,JV25)=0),1000000000,IF($V25=1,INDEX('calcA'!$D$130:$EQ$169,$B25,32)+IF(AND($E25=1,JV25=0),25,0),INDEX('calcA'!AI$110:AI$114,$F25+1)+IF(AND($E25=1,JV25=0),1000,0)+IF($H25=1,INDEX('calcA'!$D$180:$EQ$219,$B25,32)*500,0)-IF(AND('calcA'!AH$117=1,VF25&gt;0),300,0)-IF(AND($U25=1,'calcA'!AI$117=1,EH25=0),300,0))),1000000000))</f>
        <v/>
      </c>
      <c r="PL25">
        <f>IF($B25=0,1000000000,IF(INDEX('calcA'!$D$60:$EQ$99,$B25,33)*IF($W25=1,EH25+AAW25,EH25)=1,IF(AND($E25=2,IF($W25=1,AGL25,JW25)=0),1000000000,IF($V25=1,INDEX('calcA'!$D$130:$EQ$169,$B25,33)+IF(AND($E25=1,JW25=0),25,0),INDEX('calcA'!AJ$110:AJ$114,$F25+1)+IF(AND($E25=1,JW25=0),1000,0)+IF($H25=1,INDEX('calcA'!$D$180:$EQ$219,$B25,33)*500,0)-IF(AND('calcA'!AI$117=1,VG25&gt;0),300,0)-IF(AND($U25=1,'calcA'!AJ$117=1,EI25=0),300,0))),1000000000))</f>
        <v/>
      </c>
      <c r="PM25">
        <f>IF($B25=0,1000000000,IF(INDEX('calcA'!$D$60:$EQ$99,$B25,34)*IF($W25=1,EI25+AAX25,EI25)=1,IF(AND($E25=2,IF($W25=1,AGM25,JX25)=0),1000000000,IF($V25=1,INDEX('calcA'!$D$130:$EQ$169,$B25,34)+IF(AND($E25=1,JX25=0),25,0),INDEX('calcA'!AK$110:AK$114,$F25+1)+IF(AND($E25=1,JX25=0),1000,0)+IF($H25=1,INDEX('calcA'!$D$180:$EQ$219,$B25,34)*500,0)-IF(AND('calcA'!AJ$117=1,VH25&gt;0),300,0)-IF(AND($U25=1,'calcA'!AK$117=1,EJ25=0),300,0))),1000000000))</f>
        <v/>
      </c>
      <c r="PN25">
        <f>IF($B25=0,1000000000,IF(INDEX('calcA'!$D$60:$EQ$99,$B25,35)*IF($W25=1,EJ25+AAY25,EJ25)=1,IF(AND($E25=2,IF($W25=1,AGN25,JY25)=0),1000000000,IF($V25=1,INDEX('calcA'!$D$130:$EQ$169,$B25,35)+IF(AND($E25=1,JY25=0),25,0),INDEX('calcA'!AL$110:AL$114,$F25+1)+IF(AND($E25=1,JY25=0),1000,0)+IF($H25=1,INDEX('calcA'!$D$180:$EQ$219,$B25,35)*500,0)-IF(AND('calcA'!AK$117=1,VI25&gt;0),300,0)-IF(AND($U25=1,'calcA'!AL$117=1,EK25=0),300,0))),1000000000))</f>
        <v/>
      </c>
      <c r="PO25">
        <f>IF($B25=0,1000000000,IF(INDEX('calcA'!$D$60:$EQ$99,$B25,36)*IF($W25=1,EK25+AAZ25,EK25)=1,IF(AND($E25=2,IF($W25=1,AGO25,JZ25)=0),1000000000,IF($V25=1,INDEX('calcA'!$D$130:$EQ$169,$B25,36)+IF(AND($E25=1,JZ25=0),25,0),INDEX('calcA'!AM$110:AM$114,$F25+1)+IF(AND($E25=1,JZ25=0),1000,0)+IF($H25=1,INDEX('calcA'!$D$180:$EQ$219,$B25,36)*500,0)-IF(AND('calcA'!AL$117=1,VJ25&gt;0),300,0)-IF(AND($U25=1,'calcA'!AM$117=1,EL25=0),300,0))),1000000000))</f>
        <v/>
      </c>
      <c r="PP25">
        <f>IF($B25=0,1000000000,IF(INDEX('calcA'!$D$60:$EQ$99,$B25,37)*IF($W25=1,EL25+ABA25,EL25)=1,IF(AND($E25=2,IF($W25=1,AGP25,KA25)=0),1000000000,IF($V25=1,INDEX('calcA'!$D$130:$EQ$169,$B25,37)+IF(AND($E25=1,KA25=0),25,0),INDEX('calcA'!AN$110:AN$114,$F25+1)+IF(AND($E25=1,KA25=0),1000,0)+IF($H25=1,INDEX('calcA'!$D$180:$EQ$219,$B25,37)*500,0)-IF(AND('calcA'!AM$117=1,VK25&gt;0),300,0)-IF(AND($U25=1,'calcA'!AN$117=1,EM25=0),300,0))),1000000000))</f>
        <v/>
      </c>
      <c r="PQ25">
        <f>IF($B25=0,1000000000,IF(INDEX('calcA'!$D$60:$EQ$99,$B25,38)*IF($W25=1,EM25+ABB25,EM25)=1,IF(AND($E25=2,IF($W25=1,AGQ25,KB25)=0),1000000000,IF($V25=1,INDEX('calcA'!$D$130:$EQ$169,$B25,38)+IF(AND($E25=1,KB25=0),25,0),INDEX('calcA'!AO$110:AO$114,$F25+1)+IF(AND($E25=1,KB25=0),1000,0)+IF($H25=1,INDEX('calcA'!$D$180:$EQ$219,$B25,38)*500,0)-IF(AND('calcA'!AN$117=1,VL25&gt;0),300,0)-IF(AND($U25=1,'calcA'!AO$117=1,EN25=0),300,0))),1000000000))</f>
        <v/>
      </c>
      <c r="PR25">
        <f>IF($B25=0,1000000000,IF(INDEX('calcA'!$D$60:$EQ$99,$B25,39)*IF($W25=1,EN25+ABC25,EN25)=1,IF(AND($E25=2,IF($W25=1,AGR25,KC25)=0),1000000000,IF($V25=1,INDEX('calcA'!$D$130:$EQ$169,$B25,39)+IF(AND($E25=1,KC25=0),25,0),INDEX('calcA'!AP$110:AP$114,$F25+1)+IF(AND($E25=1,KC25=0),1000,0)+IF($H25=1,INDEX('calcA'!$D$180:$EQ$219,$B25,39)*500,0)-IF(AND('calcA'!AO$117=1,VM25&gt;0),300,0)-IF(AND($U25=1,'calcA'!AP$117=1,EO25=0),300,0))),1000000000))</f>
        <v/>
      </c>
      <c r="PS25">
        <f>IF($B25=0,1000000000,IF(INDEX('calcA'!$D$60:$EQ$99,$B25,40)*IF($W25=1,EO25+ABD25,EO25)=1,IF(AND($E25=2,IF($W25=1,AGS25,KD25)=0),1000000000,IF($V25=1,INDEX('calcA'!$D$130:$EQ$169,$B25,40)+IF(AND($E25=1,KD25=0),25,0),INDEX('calcA'!AQ$110:AQ$114,$F25+1)+IF(AND($E25=1,KD25=0),1000,0)+IF($H25=1,INDEX('calcA'!$D$180:$EQ$219,$B25,40)*500,0)-IF(AND('calcA'!AP$117=1,VN25&gt;0),300,0)-IF(AND($U25=1,'calcA'!AQ$117=1,EP25=0),300,0))),1000000000))</f>
        <v/>
      </c>
      <c r="PT25">
        <f>IF($B25=0,1000000000,IF(INDEX('calcA'!$D$60:$EQ$99,$B25,41)*IF($W25=1,EP25+ABE25,EP25)=1,IF(AND($E25=2,IF($W25=1,AGT25,KE25)=0),1000000000,IF($V25=1,INDEX('calcA'!$D$130:$EQ$169,$B25,41)+IF(AND($E25=1,KE25=0),25,0),INDEX('calcA'!AR$110:AR$114,$F25+1)+IF(AND($E25=1,KE25=0),1000,0)+IF($H25=1,INDEX('calcA'!$D$180:$EQ$219,$B25,41)*500,0)-IF(AND('calcA'!AQ$117=1,VO25&gt;0),300,0)-IF(AND($U25=1,'calcA'!AR$117=1,EQ25=0),300,0))),1000000000))</f>
        <v/>
      </c>
      <c r="PU25">
        <f>IF($B25=0,1000000000,IF(INDEX('calcA'!$D$60:$EQ$99,$B25,42)*IF($W25=1,EQ25+ABF25,EQ25)=1,IF(AND($E25=2,IF($W25=1,AGU25,KF25)=0),1000000000,IF($V25=1,INDEX('calcA'!$D$130:$EQ$169,$B25,42)+IF(AND($E25=1,KF25=0),25,0),INDEX('calcA'!AS$110:AS$114,$F25+1)+IF(AND($E25=1,KF25=0),1000,0)+IF($H25=1,INDEX('calcA'!$D$180:$EQ$219,$B25,42)*500,0)-IF(AND('calcA'!AR$117=1,VP25&gt;0),300,0)-IF(AND($U25=1,'calcA'!AS$117=1,ER25=0),300,0))),1000000000))</f>
        <v/>
      </c>
      <c r="PV25">
        <f>IF($B25=0,1000000000,IF(INDEX('calcA'!$D$60:$EQ$99,$B25,43)*IF($W25=1,ER25+ABG25,ER25)=1,IF(AND($E25=2,IF($W25=1,AGV25,KG25)=0),1000000000,IF($V25=1,INDEX('calcA'!$D$130:$EQ$169,$B25,43)+IF(AND($E25=1,KG25=0),25,0),INDEX('calcA'!AT$110:AT$114,$F25+1)+IF(AND($E25=1,KG25=0),1000,0)+IF($H25=1,INDEX('calcA'!$D$180:$EQ$219,$B25,43)*500,0)-IF(AND('calcA'!AS$117=1,VQ25&gt;0),300,0)-IF(AND($U25=1,'calcA'!AT$117=1,ES25=0),300,0))),1000000000))</f>
        <v/>
      </c>
      <c r="PW25">
        <f>IF($B25=0,1000000000,IF(INDEX('calcA'!$D$60:$EQ$99,$B25,44)*IF($W25=1,ES25+ABH25,ES25)=1,IF(AND($E25=2,IF($W25=1,AGW25,KH25)=0),1000000000,IF($V25=1,INDEX('calcA'!$D$130:$EQ$169,$B25,44)+IF(AND($E25=1,KH25=0),25,0),INDEX('calcA'!AU$110:AU$114,$F25+1)+IF(AND($E25=1,KH25=0),1000,0)+IF($H25=1,INDEX('calcA'!$D$180:$EQ$219,$B25,44)*500,0)-IF(AND('calcA'!AT$117=1,VR25&gt;0),300,0)-IF(AND($U25=1,'calcA'!AU$117=1,ET25=0),300,0))),1000000000))</f>
        <v/>
      </c>
      <c r="PX25">
        <f>IF($B25=0,1000000000,IF(INDEX('calcA'!$D$60:$EQ$99,$B25,45)*IF($W25=1,ET25+ABI25,ET25)=1,IF(AND($E25=2,IF($W25=1,AGX25,KI25)=0),1000000000,IF($V25=1,INDEX('calcA'!$D$130:$EQ$169,$B25,45)+IF(AND($E25=1,KI25=0),25,0),INDEX('calcA'!AV$110:AV$114,$F25+1)+IF(AND($E25=1,KI25=0),1000,0)+IF($H25=1,INDEX('calcA'!$D$180:$EQ$219,$B25,45)*500,0)-IF(AND('calcA'!AU$117=1,VS25&gt;0),300,0)-IF(AND($U25=1,'calcA'!AV$117=1,EU25=0),300,0))),1000000000))</f>
        <v/>
      </c>
      <c r="PY25">
        <f>IF($B25=0,1000000000,IF(INDEX('calcA'!$D$60:$EQ$99,$B25,46)*IF($W25=1,EU25+ABJ25,EU25)=1,IF(AND($E25=2,IF($W25=1,AGY25,KJ25)=0),1000000000,IF($V25=1,INDEX('calcA'!$D$130:$EQ$169,$B25,46)+IF(AND($E25=1,KJ25=0),25,0),INDEX('calcA'!AW$110:AW$114,$F25+1)+IF(AND($E25=1,KJ25=0),1000,0)+IF($H25=1,INDEX('calcA'!$D$180:$EQ$219,$B25,46)*500,0)-IF(AND('calcA'!AV$117=1,VT25&gt;0),300,0)-IF(AND($U25=1,'calcA'!AW$117=1,EV25=0),300,0))),1000000000))</f>
        <v/>
      </c>
      <c r="PZ25">
        <f>IF($B25=0,1000000000,IF(INDEX('calcA'!$D$60:$EQ$99,$B25,47)*IF($W25=1,EV25+ABK25,EV25)=1,IF(AND($E25=2,IF($W25=1,AGZ25,KK25)=0),1000000000,IF($V25=1,INDEX('calcA'!$D$130:$EQ$169,$B25,47)+IF(AND($E25=1,KK25=0),25,0),INDEX('calcA'!AX$110:AX$114,$F25+1)+IF(AND($E25=1,KK25=0),1000,0)+IF($H25=1,INDEX('calcA'!$D$180:$EQ$219,$B25,47)*500,0)-IF(AND('calcA'!AW$117=1,VU25&gt;0),300,0)-IF(AND($U25=1,'calcA'!AX$117=1,EW25=0),300,0))),1000000000))</f>
        <v/>
      </c>
      <c r="QA25">
        <f>IF($B25=0,1000000000,IF(INDEX('calcA'!$D$60:$EQ$99,$B25,48)*IF($W25=1,EW25+ABL25,EW25)=1,IF(AND($E25=2,IF($W25=1,AHA25,KL25)=0),1000000000,IF($V25=1,INDEX('calcA'!$D$130:$EQ$169,$B25,48)+IF(AND($E25=1,KL25=0),25,0),INDEX('calcA'!AY$110:AY$114,$F25+1)+IF(AND($E25=1,KL25=0),1000,0)+IF($H25=1,INDEX('calcA'!$D$180:$EQ$219,$B25,48)*500,0)-IF(AND('calcA'!AX$117=1,VV25&gt;0),300,0))),1000000000))</f>
        <v/>
      </c>
      <c r="QB25">
        <f>IF($B25=0,1000000000,IF(INDEX('calcA'!$D$60:$EQ$99,$B25,49)*IF($W25=1,EX25+ABM25,EX25)=1,IF(AND($E25=2,IF($W25=1,AHB25,KM25)=0),1000000000,IF($V25=1,INDEX('calcA'!$D$130:$EQ$169,$B25,49)+IF(AND($E25=1,KM25=0),25,0),INDEX('calcA'!AZ$110:AZ$114,$F25+1)+IF(AND($E25=1,KM25=0),1000,0)+IF($H25=1,INDEX('calcA'!$D$180:$EQ$219,$B25,49)*500,0)-IF(AND($U25=1,'calcA'!AZ$117=1,EY25=0),300,0))),1000000000))</f>
        <v/>
      </c>
      <c r="QC25">
        <f>IF($B25=0,1000000000,IF(INDEX('calcA'!$D$60:$EQ$99,$B25,50)*IF($W25=1,EY25+ABN25,EY25)=1,IF(AND($E25=2,IF($W25=1,AHC25,KN25)=0),1000000000,IF($V25=1,INDEX('calcA'!$D$130:$EQ$169,$B25,50)+IF(AND($E25=1,KN25=0),25,0),INDEX('calcA'!BA$110:BA$114,$F25+1)+IF(AND($E25=1,KN25=0),1000,0)+IF($H25=1,INDEX('calcA'!$D$180:$EQ$219,$B25,50)*500,0)-IF(AND('calcA'!AZ$117=1,VX25&gt;0),300,0)-IF(AND($U25=1,'calcA'!BA$117=1,EZ25=0),300,0))),1000000000))</f>
        <v/>
      </c>
      <c r="QD25">
        <f>IF($B25=0,1000000000,IF(INDEX('calcA'!$D$60:$EQ$99,$B25,51)*IF($W25=1,EZ25+ABO25,EZ25)=1,IF(AND($E25=2,IF($W25=1,AHD25,KO25)=0),1000000000,IF($V25=1,INDEX('calcA'!$D$130:$EQ$169,$B25,51)+IF(AND($E25=1,KO25=0),25,0),INDEX('calcA'!BB$110:BB$114,$F25+1)+IF(AND($E25=1,KO25=0),1000,0)+IF($H25=1,INDEX('calcA'!$D$180:$EQ$219,$B25,51)*500,0)-IF(AND('calcA'!BA$117=1,VY25&gt;0),300,0)-IF(AND($U25=1,'calcA'!BB$117=1,FA25=0),300,0))),1000000000))</f>
        <v/>
      </c>
      <c r="QE25">
        <f>IF($B25=0,1000000000,IF(INDEX('calcA'!$D$60:$EQ$99,$B25,52)*IF($W25=1,FA25+ABP25,FA25)=1,IF(AND($E25=2,IF($W25=1,AHE25,KP25)=0),1000000000,IF($V25=1,INDEX('calcA'!$D$130:$EQ$169,$B25,52)+IF(AND($E25=1,KP25=0),25,0),INDEX('calcA'!BC$110:BC$114,$F25+1)+IF(AND($E25=1,KP25=0),1000,0)+IF($H25=1,INDEX('calcA'!$D$180:$EQ$219,$B25,52)*500,0)-IF(AND('calcA'!BB$117=1,VZ25&gt;0),300,0)-IF(AND($U25=1,'calcA'!BC$117=1,FB25=0),300,0))),1000000000))</f>
        <v/>
      </c>
      <c r="QF25">
        <f>IF($B25=0,1000000000,IF(INDEX('calcA'!$D$60:$EQ$99,$B25,53)*IF($W25=1,FB25+ABQ25,FB25)=1,IF(AND($E25=2,IF($W25=1,AHF25,KQ25)=0),1000000000,IF($V25=1,INDEX('calcA'!$D$130:$EQ$169,$B25,53)+IF(AND($E25=1,KQ25=0),25,0),INDEX('calcA'!BD$110:BD$114,$F25+1)+IF(AND($E25=1,KQ25=0),1000,0)+IF($H25=1,INDEX('calcA'!$D$180:$EQ$219,$B25,53)*500,0)-IF(AND('calcA'!BC$117=1,WA25&gt;0),300,0)-IF(AND($U25=1,'calcA'!BD$117=1,FC25=0),300,0))),1000000000))</f>
        <v/>
      </c>
      <c r="QG25">
        <f>IF($B25=0,1000000000,IF(INDEX('calcA'!$D$60:$EQ$99,$B25,54)*IF($W25=1,FC25+ABR25,FC25)=1,IF(AND($E25=2,IF($W25=1,AHG25,KR25)=0),1000000000,IF($V25=1,INDEX('calcA'!$D$130:$EQ$169,$B25,54)+IF(AND($E25=1,KR25=0),25,0),INDEX('calcA'!BE$110:BE$114,$F25+1)+IF(AND($E25=1,KR25=0),1000,0)+IF($H25=1,INDEX('calcA'!$D$180:$EQ$219,$B25,54)*500,0)-IF(AND('calcA'!BD$117=1,WB25&gt;0),300,0)-IF(AND($U25=1,'calcA'!BE$117=1,FD25=0),300,0))),1000000000))</f>
        <v/>
      </c>
      <c r="QH25">
        <f>IF($B25=0,1000000000,IF(INDEX('calcA'!$D$60:$EQ$99,$B25,55)*IF($W25=1,FD25+ABS25,FD25)=1,IF(AND($E25=2,IF($W25=1,AHH25,KS25)=0),1000000000,IF($V25=1,INDEX('calcA'!$D$130:$EQ$169,$B25,55)+IF(AND($E25=1,KS25=0),25,0),INDEX('calcA'!BF$110:BF$114,$F25+1)+IF(AND($E25=1,KS25=0),1000,0)+IF($H25=1,INDEX('calcA'!$D$180:$EQ$219,$B25,55)*500,0)-IF(AND('calcA'!BE$117=1,WC25&gt;0),300,0)-IF(AND($U25=1,'calcA'!BF$117=1,FE25=0),300,0))),1000000000))</f>
        <v/>
      </c>
      <c r="QI25">
        <f>IF($B25=0,1000000000,IF(INDEX('calcA'!$D$60:$EQ$99,$B25,56)*IF($W25=1,FE25+ABT25,FE25)=1,IF(AND($E25=2,IF($W25=1,AHI25,KT25)=0),1000000000,IF($V25=1,INDEX('calcA'!$D$130:$EQ$169,$B25,56)+IF(AND($E25=1,KT25=0),25,0),INDEX('calcA'!BG$110:BG$114,$F25+1)+IF(AND($E25=1,KT25=0),1000,0)+IF($H25=1,INDEX('calcA'!$D$180:$EQ$219,$B25,56)*500,0)-IF(AND('calcA'!BF$117=1,WD25&gt;0),300,0)-IF(AND($U25=1,'calcA'!BG$117=1,FF25=0),300,0))),1000000000))</f>
        <v/>
      </c>
      <c r="QJ25">
        <f>IF($B25=0,1000000000,IF(INDEX('calcA'!$D$60:$EQ$99,$B25,57)*IF($W25=1,FF25+ABU25,FF25)=1,IF(AND($E25=2,IF($W25=1,AHJ25,KU25)=0),1000000000,IF($V25=1,INDEX('calcA'!$D$130:$EQ$169,$B25,57)+IF(AND($E25=1,KU25=0),25,0),INDEX('calcA'!BH$110:BH$114,$F25+1)+IF(AND($E25=1,KU25=0),1000,0)+IF($H25=1,INDEX('calcA'!$D$180:$EQ$219,$B25,57)*500,0)-IF(AND('calcA'!BG$117=1,WE25&gt;0),300,0)-IF(AND($U25=1,'calcA'!BH$117=1,FG25=0),300,0))),1000000000))</f>
        <v/>
      </c>
      <c r="QK25">
        <f>IF($B25=0,1000000000,IF(INDEX('calcA'!$D$60:$EQ$99,$B25,58)*IF($W25=1,FG25+ABV25,FG25)=1,IF(AND($E25=2,IF($W25=1,AHK25,KV25)=0),1000000000,IF($V25=1,INDEX('calcA'!$D$130:$EQ$169,$B25,58)+IF(AND($E25=1,KV25=0),25,0),INDEX('calcA'!BI$110:BI$114,$F25+1)+IF(AND($E25=1,KV25=0),1000,0)+IF($H25=1,INDEX('calcA'!$D$180:$EQ$219,$B25,58)*500,0)-IF(AND('calcA'!BH$117=1,WF25&gt;0),300,0)-IF(AND($U25=1,'calcA'!BI$117=1,FH25=0),300,0))),1000000000))</f>
        <v/>
      </c>
      <c r="QL25">
        <f>IF($B25=0,1000000000,IF(INDEX('calcA'!$D$60:$EQ$99,$B25,59)*IF($W25=1,FH25+ABW25,FH25)=1,IF(AND($E25=2,IF($W25=1,AHL25,KW25)=0),1000000000,IF($V25=1,INDEX('calcA'!$D$130:$EQ$169,$B25,59)+IF(AND($E25=1,KW25=0),25,0),INDEX('calcA'!BJ$110:BJ$114,$F25+1)+IF(AND($E25=1,KW25=0),1000,0)+IF($H25=1,INDEX('calcA'!$D$180:$EQ$219,$B25,59)*500,0)-IF(AND('calcA'!BI$117=1,WG25&gt;0),300,0)-IF(AND($U25=1,'calcA'!BJ$117=1,FI25=0),300,0))),1000000000))</f>
        <v/>
      </c>
      <c r="QM25">
        <f>IF($B25=0,1000000000,IF(INDEX('calcA'!$D$60:$EQ$99,$B25,60)*IF($W25=1,FI25+ABX25,FI25)=1,IF(AND($E25=2,IF($W25=1,AHM25,KX25)=0),1000000000,IF($V25=1,INDEX('calcA'!$D$130:$EQ$169,$B25,60)+IF(AND($E25=1,KX25=0),25,0),INDEX('calcA'!BK$110:BK$114,$F25+1)+IF(AND($E25=1,KX25=0),1000,0)+IF($H25=1,INDEX('calcA'!$D$180:$EQ$219,$B25,60)*500,0)-IF(AND('calcA'!BJ$117=1,WH25&gt;0),300,0)-IF(AND($U25=1,'calcA'!BK$117=1,FJ25=0),300,0))),1000000000))</f>
        <v/>
      </c>
      <c r="QN25">
        <f>IF($B25=0,1000000000,IF(INDEX('calcA'!$D$60:$EQ$99,$B25,61)*IF($W25=1,FJ25+ABY25,FJ25)=1,IF(AND($E25=2,IF($W25=1,AHN25,KY25)=0),1000000000,IF($V25=1,INDEX('calcA'!$D$130:$EQ$169,$B25,61)+IF(AND($E25=1,KY25=0),25,0),INDEX('calcA'!BL$110:BL$114,$F25+1)+IF(AND($E25=1,KY25=0),1000,0)+IF($H25=1,INDEX('calcA'!$D$180:$EQ$219,$B25,61)*500,0)-IF(AND('calcA'!BK$117=1,WI25&gt;0),300,0)-IF(AND($U25=1,'calcA'!BL$117=1,FK25=0),300,0))),1000000000))</f>
        <v/>
      </c>
      <c r="QO25">
        <f>IF($B25=0,1000000000,IF(INDEX('calcA'!$D$60:$EQ$99,$B25,62)*IF($W25=1,FK25+ABZ25,FK25)=1,IF(AND($E25=2,IF($W25=1,AHO25,KZ25)=0),1000000000,IF($V25=1,INDEX('calcA'!$D$130:$EQ$169,$B25,62)+IF(AND($E25=1,KZ25=0),25,0),INDEX('calcA'!BM$110:BM$114,$F25+1)+IF(AND($E25=1,KZ25=0),1000,0)+IF($H25=1,INDEX('calcA'!$D$180:$EQ$219,$B25,62)*500,0)-IF(AND('calcA'!BL$117=1,WJ25&gt;0),300,0)-IF(AND($U25=1,'calcA'!BM$117=1,FL25=0),300,0))),1000000000))</f>
        <v/>
      </c>
      <c r="QP25">
        <f>IF($B25=0,1000000000,IF(INDEX('calcA'!$D$60:$EQ$99,$B25,63)*IF($W25=1,FL25+ACA25,FL25)=1,IF(AND($E25=2,IF($W25=1,AHP25,LA25)=0),1000000000,IF($V25=1,INDEX('calcA'!$D$130:$EQ$169,$B25,63)+IF(AND($E25=1,LA25=0),25,0),INDEX('calcA'!BN$110:BN$114,$F25+1)+IF(AND($E25=1,LA25=0),1000,0)+IF($H25=1,INDEX('calcA'!$D$180:$EQ$219,$B25,63)*500,0)-IF(AND('calcA'!BM$117=1,WK25&gt;0),300,0)-IF(AND($U25=1,'calcA'!BN$117=1,FM25=0),300,0))),1000000000))</f>
        <v/>
      </c>
      <c r="QQ25">
        <f>IF($B25=0,1000000000,IF(INDEX('calcA'!$D$60:$EQ$99,$B25,64)*IF($W25=1,FM25+ACB25,FM25)=1,IF(AND($E25=2,IF($W25=1,AHQ25,LB25)=0),1000000000,IF($V25=1,INDEX('calcA'!$D$130:$EQ$169,$B25,64)+IF(AND($E25=1,LB25=0),25,0),INDEX('calcA'!BO$110:BO$114,$F25+1)+IF(AND($E25=1,LB25=0),1000,0)+IF($H25=1,INDEX('calcA'!$D$180:$EQ$219,$B25,64)*500,0)-IF(AND('calcA'!BN$117=1,WL25&gt;0),300,0)-IF(AND($U25=1,'calcA'!BO$117=1,FN25=0),300,0))),1000000000))</f>
        <v/>
      </c>
      <c r="QR25">
        <f>IF($B25=0,1000000000,IF(INDEX('calcA'!$D$60:$EQ$99,$B25,65)*IF($W25=1,FN25+ACC25,FN25)=1,IF(AND($E25=2,IF($W25=1,AHR25,LC25)=0),1000000000,IF($V25=1,INDEX('calcA'!$D$130:$EQ$169,$B25,65)+IF(AND($E25=1,LC25=0),25,0),INDEX('calcA'!BP$110:BP$114,$F25+1)+IF(AND($E25=1,LC25=0),1000,0)+IF($H25=1,INDEX('calcA'!$D$180:$EQ$219,$B25,65)*500,0)-IF(AND('calcA'!BO$117=1,WM25&gt;0),300,0)-IF(AND($U25=1,'calcA'!BP$117=1,FO25=0),300,0))),1000000000))</f>
        <v/>
      </c>
      <c r="QS25">
        <f>IF($B25=0,1000000000,IF(INDEX('calcA'!$D$60:$EQ$99,$B25,66)*IF($W25=1,FO25+ACD25,FO25)=1,IF(AND($E25=2,IF($W25=1,AHS25,LD25)=0),1000000000,IF($V25=1,INDEX('calcA'!$D$130:$EQ$169,$B25,66)+IF(AND($E25=1,LD25=0),25,0),INDEX('calcA'!BQ$110:BQ$114,$F25+1)+IF(AND($E25=1,LD25=0),1000,0)+IF($H25=1,INDEX('calcA'!$D$180:$EQ$219,$B25,66)*500,0)-IF(AND('calcA'!BP$117=1,WN25&gt;0),300,0)-IF(AND($U25=1,'calcA'!BQ$117=1,FP25=0),300,0))),1000000000))</f>
        <v/>
      </c>
      <c r="QT25">
        <f>IF($B25=0,1000000000,IF(INDEX('calcA'!$D$60:$EQ$99,$B25,67)*IF($W25=1,FP25+ACE25,FP25)=1,IF(AND($E25=2,IF($W25=1,AHT25,LE25)=0),1000000000,IF($V25=1,INDEX('calcA'!$D$130:$EQ$169,$B25,67)+IF(AND($E25=1,LE25=0),25,0),INDEX('calcA'!BR$110:BR$114,$F25+1)+IF(AND($E25=1,LE25=0),1000,0)+IF($H25=1,INDEX('calcA'!$D$180:$EQ$219,$B25,67)*500,0)-IF(AND('calcA'!BQ$117=1,WO25&gt;0),300,0)-IF(AND($U25=1,'calcA'!BR$117=1,FQ25=0),300,0))),1000000000))</f>
        <v/>
      </c>
      <c r="QU25">
        <f>IF($B25=0,1000000000,IF(INDEX('calcA'!$D$60:$EQ$99,$B25,68)*IF($W25=1,FQ25+ACF25,FQ25)=1,IF(AND($E25=2,IF($W25=1,AHU25,LF25)=0),1000000000,IF($V25=1,INDEX('calcA'!$D$130:$EQ$169,$B25,68)+IF(AND($E25=1,LF25=0),25,0),INDEX('calcA'!BS$110:BS$114,$F25+1)+IF(AND($E25=1,LF25=0),1000,0)+IF($H25=1,INDEX('calcA'!$D$180:$EQ$219,$B25,68)*500,0)-IF(AND('calcA'!BR$117=1,WP25&gt;0),300,0)-IF(AND($U25=1,'calcA'!BS$117=1,FR25=0),300,0))),1000000000))</f>
        <v/>
      </c>
      <c r="QV25">
        <f>IF($B25=0,1000000000,IF(INDEX('calcA'!$D$60:$EQ$99,$B25,69)*IF($W25=1,FR25+ACG25,FR25)=1,IF(AND($E25=2,IF($W25=1,AHV25,LG25)=0),1000000000,IF($V25=1,INDEX('calcA'!$D$130:$EQ$169,$B25,69)+IF(AND($E25=1,LG25=0),25,0),INDEX('calcA'!BT$110:BT$114,$F25+1)+IF(AND($E25=1,LG25=0),1000,0)+IF($H25=1,INDEX('calcA'!$D$180:$EQ$219,$B25,69)*500,0)-IF(AND('calcA'!BS$117=1,WQ25&gt;0),300,0)-IF(AND($U25=1,'calcA'!BT$117=1,FS25=0),300,0))),1000000000))</f>
        <v/>
      </c>
      <c r="QW25">
        <f>IF($B25=0,1000000000,IF(INDEX('calcA'!$D$60:$EQ$99,$B25,70)*IF($W25=1,FS25+ACH25,FS25)=1,IF(AND($E25=2,IF($W25=1,AHW25,LH25)=0),1000000000,IF($V25=1,INDEX('calcA'!$D$130:$EQ$169,$B25,70)+IF(AND($E25=1,LH25=0),25,0),INDEX('calcA'!BU$110:BU$114,$F25+1)+IF(AND($E25=1,LH25=0),1000,0)+IF($H25=1,INDEX('calcA'!$D$180:$EQ$219,$B25,70)*500,0)-IF(AND('calcA'!BT$117=1,WR25&gt;0),300,0)-IF(AND($U25=1,'calcA'!BU$117=1,FT25=0),300,0))),1000000000))</f>
        <v/>
      </c>
      <c r="QX25">
        <f>IF($B25=0,1000000000,IF(INDEX('calcA'!$D$60:$EQ$99,$B25,71)*IF($W25=1,FT25+ACI25,FT25)=1,IF(AND($E25=2,IF($W25=1,AHX25,LI25)=0),1000000000,IF($V25=1,INDEX('calcA'!$D$130:$EQ$169,$B25,71)+IF(AND($E25=1,LI25=0),25,0),INDEX('calcA'!BV$110:BV$114,$F25+1)+IF(AND($E25=1,LI25=0),1000,0)+IF($H25=1,INDEX('calcA'!$D$180:$EQ$219,$B25,71)*500,0)-IF(AND('calcA'!BU$117=1,WS25&gt;0),300,0)-IF(AND($U25=1,'calcA'!BV$117=1,FU25=0),300,0))),1000000000))</f>
        <v/>
      </c>
      <c r="QY25">
        <f>IF($B25=0,1000000000,IF(INDEX('calcA'!$D$60:$EQ$99,$B25,72)*IF($W25=1,FU25+ACJ25,FU25)=1,IF(AND($E25=2,IF($W25=1,AHY25,LJ25)=0),1000000000,IF($V25=1,INDEX('calcA'!$D$130:$EQ$169,$B25,72)+IF(AND($E25=1,LJ25=0),25,0),INDEX('calcA'!BW$110:BW$114,$F25+1)+IF(AND($E25=1,LJ25=0),1000,0)+IF($H25=1,INDEX('calcA'!$D$180:$EQ$219,$B25,72)*500,0)-IF(AND('calcA'!BV$117=1,WT25&gt;0),300,0))),1000000000))</f>
        <v/>
      </c>
      <c r="QZ25">
        <f>IF($B25=0,1000000000,IF(INDEX('calcA'!$D$60:$EQ$99,$B25,73)*IF($W25=1,FV25+ACK25,FV25)=1,IF(AND($E25=2,IF($W25=1,AHZ25,LK25)=0),1000000000,IF($V25=1,INDEX('calcA'!$D$130:$EQ$169,$B25,73)+IF(AND($E25=1,LK25=0),25,0),INDEX('calcA'!BX$110:BX$114,$F25+1)+IF(AND($E25=1,LK25=0),1000,0)+IF($H25=1,INDEX('calcA'!$D$180:$EQ$219,$B25,73)*500,0)-IF(AND($U25=1,'calcA'!BX$117=1,FW25=0),300,0))),1000000000))</f>
        <v/>
      </c>
      <c r="RA25">
        <f>IF($B25=0,1000000000,IF(INDEX('calcA'!$D$60:$EQ$99,$B25,74)*IF($W25=1,FW25+ACL25,FW25)=1,IF(AND($E25=2,IF($W25=1,AIA25,LL25)=0),1000000000,IF($V25=1,INDEX('calcA'!$D$130:$EQ$169,$B25,74)+IF(AND($E25=1,LL25=0),25,0),INDEX('calcA'!BY$110:BY$114,$F25+1)+IF(AND($E25=1,LL25=0),1000,0)+IF($H25=1,INDEX('calcA'!$D$180:$EQ$219,$B25,74)*500,0)-IF(AND('calcA'!BX$117=1,WV25&gt;0),300,0)-IF(AND($U25=1,'calcA'!BY$117=1,FX25=0),300,0))),1000000000))</f>
        <v/>
      </c>
      <c r="RB25">
        <f>IF($B25=0,1000000000,IF(INDEX('calcA'!$D$60:$EQ$99,$B25,75)*IF($W25=1,FX25+ACM25,FX25)=1,IF(AND($E25=2,IF($W25=1,AIB25,LM25)=0),1000000000,IF($V25=1,INDEX('calcA'!$D$130:$EQ$169,$B25,75)+IF(AND($E25=1,LM25=0),25,0),INDEX('calcA'!BZ$110:BZ$114,$F25+1)+IF(AND($E25=1,LM25=0),1000,0)+IF($H25=1,INDEX('calcA'!$D$180:$EQ$219,$B25,75)*500,0)-IF(AND('calcA'!BY$117=1,WW25&gt;0),300,0)-IF(AND($U25=1,'calcA'!BZ$117=1,FY25=0),300,0))),1000000000))</f>
        <v/>
      </c>
      <c r="RC25">
        <f>IF($B25=0,1000000000,IF(INDEX('calcA'!$D$60:$EQ$99,$B25,76)*IF($W25=1,FY25+ACN25,FY25)=1,IF(AND($E25=2,IF($W25=1,AIC25,LN25)=0),1000000000,IF($V25=1,INDEX('calcA'!$D$130:$EQ$169,$B25,76)+IF(AND($E25=1,LN25=0),25,0),INDEX('calcA'!CA$110:CA$114,$F25+1)+IF(AND($E25=1,LN25=0),1000,0)+IF($H25=1,INDEX('calcA'!$D$180:$EQ$219,$B25,76)*500,0)-IF(AND('calcA'!BZ$117=1,WX25&gt;0),300,0)-IF(AND($U25=1,'calcA'!CA$117=1,FZ25=0),300,0))),1000000000))</f>
        <v/>
      </c>
      <c r="RD25">
        <f>IF($B25=0,1000000000,IF(INDEX('calcA'!$D$60:$EQ$99,$B25,77)*IF($W25=1,FZ25+ACO25,FZ25)=1,IF(AND($E25=2,IF($W25=1,AID25,LO25)=0),1000000000,IF($V25=1,INDEX('calcA'!$D$130:$EQ$169,$B25,77)+IF(AND($E25=1,LO25=0),25,0),INDEX('calcA'!CB$110:CB$114,$F25+1)+IF(AND($E25=1,LO25=0),1000,0)+IF($H25=1,INDEX('calcA'!$D$180:$EQ$219,$B25,77)*500,0)-IF(AND('calcA'!CA$117=1,WY25&gt;0),300,0)-IF(AND($U25=1,'calcA'!CB$117=1,GA25=0),300,0))),1000000000))</f>
        <v/>
      </c>
      <c r="RE25">
        <f>IF($B25=0,1000000000,IF(INDEX('calcA'!$D$60:$EQ$99,$B25,78)*IF($W25=1,GA25+ACP25,GA25)=1,IF(AND($E25=2,IF($W25=1,AIE25,LP25)=0),1000000000,IF($V25=1,INDEX('calcA'!$D$130:$EQ$169,$B25,78)+IF(AND($E25=1,LP25=0),25,0),INDEX('calcA'!CC$110:CC$114,$F25+1)+IF(AND($E25=1,LP25=0),1000,0)+IF($H25=1,INDEX('calcA'!$D$180:$EQ$219,$B25,78)*500,0)-IF(AND('calcA'!CB$117=1,WZ25&gt;0),300,0)-IF(AND($U25=1,'calcA'!CC$117=1,GB25=0),300,0))),1000000000))</f>
        <v/>
      </c>
      <c r="RF25">
        <f>IF($B25=0,1000000000,IF(INDEX('calcA'!$D$60:$EQ$99,$B25,79)*IF($W25=1,GB25+ACQ25,GB25)=1,IF(AND($E25=2,IF($W25=1,AIF25,LQ25)=0),1000000000,IF($V25=1,INDEX('calcA'!$D$130:$EQ$169,$B25,79)+IF(AND($E25=1,LQ25=0),25,0),INDEX('calcA'!CD$110:CD$114,$F25+1)+IF(AND($E25=1,LQ25=0),1000,0)+IF($H25=1,INDEX('calcA'!$D$180:$EQ$219,$B25,79)*500,0)-IF(AND('calcA'!CC$117=1,XA25&gt;0),300,0)-IF(AND($U25=1,'calcA'!CD$117=1,GC25=0),300,0))),1000000000))</f>
        <v/>
      </c>
      <c r="RG25">
        <f>IF($B25=0,1000000000,IF(INDEX('calcA'!$D$60:$EQ$99,$B25,80)*IF($W25=1,GC25+ACR25,GC25)=1,IF(AND($E25=2,IF($W25=1,AIG25,LR25)=0),1000000000,IF($V25=1,INDEX('calcA'!$D$130:$EQ$169,$B25,80)+IF(AND($E25=1,LR25=0),25,0),INDEX('calcA'!CE$110:CE$114,$F25+1)+IF(AND($E25=1,LR25=0),1000,0)+IF($H25=1,INDEX('calcA'!$D$180:$EQ$219,$B25,80)*500,0)-IF(AND('calcA'!CD$117=1,XB25&gt;0),300,0)-IF(AND($U25=1,'calcA'!CE$117=1,GD25=0),300,0))),1000000000))</f>
        <v/>
      </c>
      <c r="RH25">
        <f>IF($B25=0,1000000000,IF(INDEX('calcA'!$D$60:$EQ$99,$B25,81)*IF($W25=1,GD25+ACS25,GD25)=1,IF(AND($E25=2,IF($W25=1,AIH25,LS25)=0),1000000000,IF($V25=1,INDEX('calcA'!$D$130:$EQ$169,$B25,81)+IF(AND($E25=1,LS25=0),25,0),INDEX('calcA'!CF$110:CF$114,$F25+1)+IF(AND($E25=1,LS25=0),1000,0)+IF($H25=1,INDEX('calcA'!$D$180:$EQ$219,$B25,81)*500,0)-IF(AND('calcA'!CE$117=1,XC25&gt;0),300,0)-IF(AND($U25=1,'calcA'!CF$117=1,GE25=0),300,0))),1000000000))</f>
        <v/>
      </c>
      <c r="RI25">
        <f>IF($B25=0,1000000000,IF(INDEX('calcA'!$D$60:$EQ$99,$B25,82)*IF($W25=1,GE25+ACT25,GE25)=1,IF(AND($E25=2,IF($W25=1,AII25,LT25)=0),1000000000,IF($V25=1,INDEX('calcA'!$D$130:$EQ$169,$B25,82)+IF(AND($E25=1,LT25=0),25,0),INDEX('calcA'!CG$110:CG$114,$F25+1)+IF(AND($E25=1,LT25=0),1000,0)+IF($H25=1,INDEX('calcA'!$D$180:$EQ$219,$B25,82)*500,0)-IF(AND('calcA'!CF$117=1,XD25&gt;0),300,0)-IF(AND($U25=1,'calcA'!CG$117=1,GF25=0),300,0))),1000000000))</f>
        <v/>
      </c>
      <c r="RJ25">
        <f>IF($B25=0,1000000000,IF(INDEX('calcA'!$D$60:$EQ$99,$B25,83)*IF($W25=1,GF25+ACU25,GF25)=1,IF(AND($E25=2,IF($W25=1,AIJ25,LU25)=0),1000000000,IF($V25=1,INDEX('calcA'!$D$130:$EQ$169,$B25,83)+IF(AND($E25=1,LU25=0),25,0),INDEX('calcA'!CH$110:CH$114,$F25+1)+IF(AND($E25=1,LU25=0),1000,0)+IF($H25=1,INDEX('calcA'!$D$180:$EQ$219,$B25,83)*500,0)-IF(AND('calcA'!CG$117=1,XE25&gt;0),300,0)-IF(AND($U25=1,'calcA'!CH$117=1,GG25=0),300,0))),1000000000))</f>
        <v/>
      </c>
      <c r="RK25">
        <f>IF($B25=0,1000000000,IF(INDEX('calcA'!$D$60:$EQ$99,$B25,84)*IF($W25=1,GG25+ACV25,GG25)=1,IF(AND($E25=2,IF($W25=1,AIK25,LV25)=0),1000000000,IF($V25=1,INDEX('calcA'!$D$130:$EQ$169,$B25,84)+IF(AND($E25=1,LV25=0),25,0),INDEX('calcA'!CI$110:CI$114,$F25+1)+IF(AND($E25=1,LV25=0),1000,0)+IF($H25=1,INDEX('calcA'!$D$180:$EQ$219,$B25,84)*500,0)-IF(AND('calcA'!CH$117=1,XF25&gt;0),300,0)-IF(AND($U25=1,'calcA'!CI$117=1,GH25=0),300,0))),1000000000))</f>
        <v/>
      </c>
      <c r="RL25">
        <f>IF($B25=0,1000000000,IF(INDEX('calcA'!$D$60:$EQ$99,$B25,85)*IF($W25=1,GH25+ACW25,GH25)=1,IF(AND($E25=2,IF($W25=1,AIL25,LW25)=0),1000000000,IF($V25=1,INDEX('calcA'!$D$130:$EQ$169,$B25,85)+IF(AND($E25=1,LW25=0),25,0),INDEX('calcA'!CJ$110:CJ$114,$F25+1)+IF(AND($E25=1,LW25=0),1000,0)+IF($H25=1,INDEX('calcA'!$D$180:$EQ$219,$B25,85)*500,0)-IF(AND('calcA'!CI$117=1,XG25&gt;0),300,0)-IF(AND($U25=1,'calcA'!CJ$117=1,GI25=0),300,0))),1000000000))</f>
        <v/>
      </c>
      <c r="RM25">
        <f>IF($B25=0,1000000000,IF(INDEX('calcA'!$D$60:$EQ$99,$B25,86)*IF($W25=1,GI25+ACX25,GI25)=1,IF(AND($E25=2,IF($W25=1,AIM25,LX25)=0),1000000000,IF($V25=1,INDEX('calcA'!$D$130:$EQ$169,$B25,86)+IF(AND($E25=1,LX25=0),25,0),INDEX('calcA'!CK$110:CK$114,$F25+1)+IF(AND($E25=1,LX25=0),1000,0)+IF($H25=1,INDEX('calcA'!$D$180:$EQ$219,$B25,86)*500,0)-IF(AND('calcA'!CJ$117=1,XH25&gt;0),300,0)-IF(AND($U25=1,'calcA'!CK$117=1,GJ25=0),300,0))),1000000000))</f>
        <v/>
      </c>
      <c r="RN25">
        <f>IF($B25=0,1000000000,IF(INDEX('calcA'!$D$60:$EQ$99,$B25,87)*IF($W25=1,GJ25+ACY25,GJ25)=1,IF(AND($E25=2,IF($W25=1,AIN25,LY25)=0),1000000000,IF($V25=1,INDEX('calcA'!$D$130:$EQ$169,$B25,87)+IF(AND($E25=1,LY25=0),25,0),INDEX('calcA'!CL$110:CL$114,$F25+1)+IF(AND($E25=1,LY25=0),1000,0)+IF($H25=1,INDEX('calcA'!$D$180:$EQ$219,$B25,87)*500,0)-IF(AND('calcA'!CK$117=1,XI25&gt;0),300,0)-IF(AND($U25=1,'calcA'!CL$117=1,GK25=0),300,0))),1000000000))</f>
        <v/>
      </c>
      <c r="RO25">
        <f>IF($B25=0,1000000000,IF(INDEX('calcA'!$D$60:$EQ$99,$B25,88)*IF($W25=1,GK25+ACZ25,GK25)=1,IF(AND($E25=2,IF($W25=1,AIO25,LZ25)=0),1000000000,IF($V25=1,INDEX('calcA'!$D$130:$EQ$169,$B25,88)+IF(AND($E25=1,LZ25=0),25,0),INDEX('calcA'!CM$110:CM$114,$F25+1)+IF(AND($E25=1,LZ25=0),1000,0)+IF($H25=1,INDEX('calcA'!$D$180:$EQ$219,$B25,88)*500,0)-IF(AND('calcA'!CL$117=1,XJ25&gt;0),300,0)-IF(AND($U25=1,'calcA'!CM$117=1,GL25=0),300,0))),1000000000))</f>
        <v/>
      </c>
      <c r="RP25">
        <f>IF($B25=0,1000000000,IF(INDEX('calcA'!$D$60:$EQ$99,$B25,89)*IF($W25=1,GL25+ADA25,GL25)=1,IF(AND($E25=2,IF($W25=1,AIP25,MA25)=0),1000000000,IF($V25=1,INDEX('calcA'!$D$130:$EQ$169,$B25,89)+IF(AND($E25=1,MA25=0),25,0),INDEX('calcA'!CN$110:CN$114,$F25+1)+IF(AND($E25=1,MA25=0),1000,0)+IF($H25=1,INDEX('calcA'!$D$180:$EQ$219,$B25,89)*500,0)-IF(AND('calcA'!CM$117=1,XK25&gt;0),300,0)-IF(AND($U25=1,'calcA'!CN$117=1,GM25=0),300,0))),1000000000))</f>
        <v/>
      </c>
      <c r="RQ25">
        <f>IF($B25=0,1000000000,IF(INDEX('calcA'!$D$60:$EQ$99,$B25,90)*IF($W25=1,GM25+ADB25,GM25)=1,IF(AND($E25=2,IF($W25=1,AIQ25,MB25)=0),1000000000,IF($V25=1,INDEX('calcA'!$D$130:$EQ$169,$B25,90)+IF(AND($E25=1,MB25=0),25,0),INDEX('calcA'!CO$110:CO$114,$F25+1)+IF(AND($E25=1,MB25=0),1000,0)+IF($H25=1,INDEX('calcA'!$D$180:$EQ$219,$B25,90)*500,0)-IF(AND('calcA'!CN$117=1,XL25&gt;0),300,0)-IF(AND($U25=1,'calcA'!CO$117=1,GN25=0),300,0))),1000000000))</f>
        <v/>
      </c>
      <c r="RR25">
        <f>IF($B25=0,1000000000,IF(INDEX('calcA'!$D$60:$EQ$99,$B25,91)*IF($W25=1,GN25+ADC25,GN25)=1,IF(AND($E25=2,IF($W25=1,AIR25,MC25)=0),1000000000,IF($V25=1,INDEX('calcA'!$D$130:$EQ$169,$B25,91)+IF(AND($E25=1,MC25=0),25,0),INDEX('calcA'!CP$110:CP$114,$F25+1)+IF(AND($E25=1,MC25=0),1000,0)+IF($H25=1,INDEX('calcA'!$D$180:$EQ$219,$B25,91)*500,0)-IF(AND('calcA'!CO$117=1,XM25&gt;0),300,0)-IF(AND($U25=1,'calcA'!CP$117=1,GO25=0),300,0))),1000000000))</f>
        <v/>
      </c>
      <c r="RS25">
        <f>IF($B25=0,1000000000,IF(INDEX('calcA'!$D$60:$EQ$99,$B25,92)*IF($W25=1,GO25+ADD25,GO25)=1,IF(AND($E25=2,IF($W25=1,AIS25,MD25)=0),1000000000,IF($V25=1,INDEX('calcA'!$D$130:$EQ$169,$B25,92)+IF(AND($E25=1,MD25=0),25,0),INDEX('calcA'!CQ$110:CQ$114,$F25+1)+IF(AND($E25=1,MD25=0),1000,0)+IF($H25=1,INDEX('calcA'!$D$180:$EQ$219,$B25,92)*500,0)-IF(AND('calcA'!CP$117=1,XN25&gt;0),300,0)-IF(AND($U25=1,'calcA'!CQ$117=1,GP25=0),300,0))),1000000000))</f>
        <v/>
      </c>
      <c r="RT25">
        <f>IF($B25=0,1000000000,IF(INDEX('calcA'!$D$60:$EQ$99,$B25,93)*IF($W25=1,GP25+ADE25,GP25)=1,IF(AND($E25=2,IF($W25=1,AIT25,ME25)=0),1000000000,IF($V25=1,INDEX('calcA'!$D$130:$EQ$169,$B25,93)+IF(AND($E25=1,ME25=0),25,0),INDEX('calcA'!CR$110:CR$114,$F25+1)+IF(AND($E25=1,ME25=0),1000,0)+IF($H25=1,INDEX('calcA'!$D$180:$EQ$219,$B25,93)*500,0)-IF(AND('calcA'!CQ$117=1,XO25&gt;0),300,0)-IF(AND($U25=1,'calcA'!CR$117=1,GQ25=0),300,0))),1000000000))</f>
        <v/>
      </c>
      <c r="RU25">
        <f>IF($B25=0,1000000000,IF(INDEX('calcA'!$D$60:$EQ$99,$B25,94)*IF($W25=1,GQ25+ADF25,GQ25)=1,IF(AND($E25=2,IF($W25=1,AIU25,MF25)=0),1000000000,IF($V25=1,INDEX('calcA'!$D$130:$EQ$169,$B25,94)+IF(AND($E25=1,MF25=0),25,0),INDEX('calcA'!CS$110:CS$114,$F25+1)+IF(AND($E25=1,MF25=0),1000,0)+IF($H25=1,INDEX('calcA'!$D$180:$EQ$219,$B25,94)*500,0)-IF(AND('calcA'!CR$117=1,XP25&gt;0),300,0)-IF(AND($U25=1,'calcA'!CS$117=1,GR25=0),300,0))),1000000000))</f>
        <v/>
      </c>
      <c r="RV25">
        <f>IF($B25=0,1000000000,IF(INDEX('calcA'!$D$60:$EQ$99,$B25,95)*IF($W25=1,GR25+ADG25,GR25)=1,IF(AND($E25=2,IF($W25=1,AIV25,MG25)=0),1000000000,IF($V25=1,INDEX('calcA'!$D$130:$EQ$169,$B25,95)+IF(AND($E25=1,MG25=0),25,0),INDEX('calcA'!CT$110:CT$114,$F25+1)+IF(AND($E25=1,MG25=0),1000,0)+IF($H25=1,INDEX('calcA'!$D$180:$EQ$219,$B25,95)*500,0)-IF(AND('calcA'!CS$117=1,XQ25&gt;0),300,0)-IF(AND($U25=1,'calcA'!CT$117=1,GS25=0),300,0))),1000000000))</f>
        <v/>
      </c>
      <c r="RW25">
        <f>IF($B25=0,1000000000,IF(INDEX('calcA'!$D$60:$EQ$99,$B25,96)*IF($W25=1,GS25+ADH25,GS25)=1,IF(AND($E25=2,IF($W25=1,AIW25,MH25)=0),1000000000,IF($V25=1,INDEX('calcA'!$D$130:$EQ$169,$B25,96)+IF(AND($E25=1,MH25=0),25,0),INDEX('calcA'!CU$110:CU$114,$F25+1)+IF(AND($E25=1,MH25=0),1000,0)+IF($H25=1,INDEX('calcA'!$D$180:$EQ$219,$B25,96)*500,0)-IF(AND('calcA'!CT$117=1,XR25&gt;0),300,0))),1000000000))</f>
        <v/>
      </c>
      <c r="RX25">
        <f>IF($B25=0,1000000000,IF(INDEX('calcA'!$D$60:$EQ$99,$B25,97)*IF($W25=1,GT25+ADI25,GT25)=1,IF(AND($E25=2,IF($W25=1,AIX25,MI25)=0),1000000000,IF($V25=1,INDEX('calcA'!$D$130:$EQ$169,$B25,97)+IF(AND($E25=1,MI25=0),25,0),INDEX('calcA'!CV$110:CV$114,$F25+1)+IF(AND($E25=1,MI25=0),1000,0)+IF($H25=1,INDEX('calcA'!$D$180:$EQ$219,$B25,97)*500,0)-IF(AND($U25=1,'calcA'!CV$117=1,GU25=0),300,0))),1000000000))</f>
        <v/>
      </c>
      <c r="RY25">
        <f>IF($B25=0,1000000000,IF(INDEX('calcA'!$D$60:$EQ$99,$B25,98)*IF($W25=1,GU25+ADJ25,GU25)=1,IF(AND($E25=2,IF($W25=1,AIY25,MJ25)=0),1000000000,IF($V25=1,INDEX('calcA'!$D$130:$EQ$169,$B25,98)+IF(AND($E25=1,MJ25=0),25,0),INDEX('calcA'!CW$110:CW$114,$F25+1)+IF(AND($E25=1,MJ25=0),1000,0)+IF($H25=1,INDEX('calcA'!$D$180:$EQ$219,$B25,98)*500,0)-IF(AND('calcA'!CV$117=1,XT25&gt;0),300,0)-IF(AND($U25=1,'calcA'!CW$117=1,GV25=0),300,0))),1000000000))</f>
        <v/>
      </c>
      <c r="RZ25">
        <f>IF($B25=0,1000000000,IF(INDEX('calcA'!$D$60:$EQ$99,$B25,99)*IF($W25=1,GV25+ADK25,GV25)=1,IF(AND($E25=2,IF($W25=1,AIZ25,MK25)=0),1000000000,IF($V25=1,INDEX('calcA'!$D$130:$EQ$169,$B25,99)+IF(AND($E25=1,MK25=0),25,0),INDEX('calcA'!CX$110:CX$114,$F25+1)+IF(AND($E25=1,MK25=0),1000,0)+IF($H25=1,INDEX('calcA'!$D$180:$EQ$219,$B25,99)*500,0)-IF(AND('calcA'!CW$117=1,XU25&gt;0),300,0)-IF(AND($U25=1,'calcA'!CX$117=1,GW25=0),300,0))),1000000000))</f>
        <v/>
      </c>
      <c r="SA25">
        <f>IF($B25=0,1000000000,IF(INDEX('calcA'!$D$60:$EQ$99,$B25,100)*IF($W25=1,GW25+ADL25,GW25)=1,IF(AND($E25=2,IF($W25=1,AJA25,ML25)=0),1000000000,IF($V25=1,INDEX('calcA'!$D$130:$EQ$169,$B25,100)+IF(AND($E25=1,ML25=0),25,0),INDEX('calcA'!CY$110:CY$114,$F25+1)+IF(AND($E25=1,ML25=0),1000,0)+IF($H25=1,INDEX('calcA'!$D$180:$EQ$219,$B25,100)*500,0)-IF(AND('calcA'!CX$117=1,XV25&gt;0),300,0)-IF(AND($U25=1,'calcA'!CY$117=1,GX25=0),300,0))),1000000000))</f>
        <v/>
      </c>
      <c r="SB25">
        <f>IF($B25=0,1000000000,IF(INDEX('calcA'!$D$60:$EQ$99,$B25,101)*IF($W25=1,GX25+ADM25,GX25)=1,IF(AND($E25=2,IF($W25=1,AJB25,MM25)=0),1000000000,IF($V25=1,INDEX('calcA'!$D$130:$EQ$169,$B25,101)+IF(AND($E25=1,MM25=0),25,0),INDEX('calcA'!CZ$110:CZ$114,$F25+1)+IF(AND($E25=1,MM25=0),1000,0)+IF($H25=1,INDEX('calcA'!$D$180:$EQ$219,$B25,101)*500,0)-IF(AND('calcA'!CY$117=1,XW25&gt;0),300,0)-IF(AND($U25=1,'calcA'!CZ$117=1,GY25=0),300,0))),1000000000))</f>
        <v/>
      </c>
      <c r="SC25">
        <f>IF($B25=0,1000000000,IF(INDEX('calcA'!$D$60:$EQ$99,$B25,102)*IF($W25=1,GY25+ADN25,GY25)=1,IF(AND($E25=2,IF($W25=1,AJC25,MN25)=0),1000000000,IF($V25=1,INDEX('calcA'!$D$130:$EQ$169,$B25,102)+IF(AND($E25=1,MN25=0),25,0),INDEX('calcA'!DA$110:DA$114,$F25+1)+IF(AND($E25=1,MN25=0),1000,0)+IF($H25=1,INDEX('calcA'!$D$180:$EQ$219,$B25,102)*500,0)-IF(AND('calcA'!CZ$117=1,XX25&gt;0),300,0)-IF(AND($U25=1,'calcA'!DA$117=1,GZ25=0),300,0))),1000000000))</f>
        <v/>
      </c>
      <c r="SD25">
        <f>IF($B25=0,1000000000,IF(INDEX('calcA'!$D$60:$EQ$99,$B25,103)*IF($W25=1,GZ25+ADO25,GZ25)=1,IF(AND($E25=2,IF($W25=1,AJD25,MO25)=0),1000000000,IF($V25=1,INDEX('calcA'!$D$130:$EQ$169,$B25,103)+IF(AND($E25=1,MO25=0),25,0),INDEX('calcA'!DB$110:DB$114,$F25+1)+IF(AND($E25=1,MO25=0),1000,0)+IF($H25=1,INDEX('calcA'!$D$180:$EQ$219,$B25,103)*500,0)-IF(AND('calcA'!DA$117=1,XY25&gt;0),300,0)-IF(AND($U25=1,'calcA'!DB$117=1,HA25=0),300,0))),1000000000))</f>
        <v/>
      </c>
      <c r="SE25">
        <f>IF($B25=0,1000000000,IF(INDEX('calcA'!$D$60:$EQ$99,$B25,104)*IF($W25=1,HA25+ADP25,HA25)=1,IF(AND($E25=2,IF($W25=1,AJE25,MP25)=0),1000000000,IF($V25=1,INDEX('calcA'!$D$130:$EQ$169,$B25,104)+IF(AND($E25=1,MP25=0),25,0),INDEX('calcA'!DC$110:DC$114,$F25+1)+IF(AND($E25=1,MP25=0),1000,0)+IF($H25=1,INDEX('calcA'!$D$180:$EQ$219,$B25,104)*500,0)-IF(AND('calcA'!DB$117=1,XZ25&gt;0),300,0)-IF(AND($U25=1,'calcA'!DC$117=1,HB25=0),300,0))),1000000000))</f>
        <v/>
      </c>
      <c r="SF25">
        <f>IF($B25=0,1000000000,IF(INDEX('calcA'!$D$60:$EQ$99,$B25,105)*IF($W25=1,HB25+ADQ25,HB25)=1,IF(AND($E25=2,IF($W25=1,AJF25,MQ25)=0),1000000000,IF($V25=1,INDEX('calcA'!$D$130:$EQ$169,$B25,105)+IF(AND($E25=1,MQ25=0),25,0),INDEX('calcA'!DD$110:DD$114,$F25+1)+IF(AND($E25=1,MQ25=0),1000,0)+IF($H25=1,INDEX('calcA'!$D$180:$EQ$219,$B25,105)*500,0)-IF(AND('calcA'!DC$117=1,YA25&gt;0),300,0)-IF(AND($U25=1,'calcA'!DD$117=1,HC25=0),300,0))),1000000000))</f>
        <v/>
      </c>
      <c r="SG25">
        <f>IF($B25=0,1000000000,IF(INDEX('calcA'!$D$60:$EQ$99,$B25,106)*IF($W25=1,HC25+ADR25,HC25)=1,IF(AND($E25=2,IF($W25=1,AJG25,MR25)=0),1000000000,IF($V25=1,INDEX('calcA'!$D$130:$EQ$169,$B25,106)+IF(AND($E25=1,MR25=0),25,0),INDEX('calcA'!DE$110:DE$114,$F25+1)+IF(AND($E25=1,MR25=0),1000,0)+IF($H25=1,INDEX('calcA'!$D$180:$EQ$219,$B25,106)*500,0)-IF(AND('calcA'!DD$117=1,YB25&gt;0),300,0)-IF(AND($U25=1,'calcA'!DE$117=1,HD25=0),300,0))),1000000000))</f>
        <v/>
      </c>
      <c r="SH25">
        <f>IF($B25=0,1000000000,IF(INDEX('calcA'!$D$60:$EQ$99,$B25,107)*IF($W25=1,HD25+ADS25,HD25)=1,IF(AND($E25=2,IF($W25=1,AJH25,MS25)=0),1000000000,IF($V25=1,INDEX('calcA'!$D$130:$EQ$169,$B25,107)+IF(AND($E25=1,MS25=0),25,0),INDEX('calcA'!DF$110:DF$114,$F25+1)+IF(AND($E25=1,MS25=0),1000,0)+IF($H25=1,INDEX('calcA'!$D$180:$EQ$219,$B25,107)*500,0)-IF(AND('calcA'!DE$117=1,YC25&gt;0),300,0)-IF(AND($U25=1,'calcA'!DF$117=1,HE25=0),300,0))),1000000000))</f>
        <v/>
      </c>
      <c r="SI25">
        <f>IF($B25=0,1000000000,IF(INDEX('calcA'!$D$60:$EQ$99,$B25,108)*IF($W25=1,HE25+ADT25,HE25)=1,IF(AND($E25=2,IF($W25=1,AJI25,MT25)=0),1000000000,IF($V25=1,INDEX('calcA'!$D$130:$EQ$169,$B25,108)+IF(AND($E25=1,MT25=0),25,0),INDEX('calcA'!DG$110:DG$114,$F25+1)+IF(AND($E25=1,MT25=0),1000,0)+IF($H25=1,INDEX('calcA'!$D$180:$EQ$219,$B25,108)*500,0)-IF(AND('calcA'!DF$117=1,YD25&gt;0),300,0)-IF(AND($U25=1,'calcA'!DG$117=1,HF25=0),300,0))),1000000000))</f>
        <v/>
      </c>
      <c r="SJ25">
        <f>IF($B25=0,1000000000,IF(INDEX('calcA'!$D$60:$EQ$99,$B25,109)*IF($W25=1,HF25+ADU25,HF25)=1,IF(AND($E25=2,IF($W25=1,AJJ25,MU25)=0),1000000000,IF($V25=1,INDEX('calcA'!$D$130:$EQ$169,$B25,109)+IF(AND($E25=1,MU25=0),25,0),INDEX('calcA'!DH$110:DH$114,$F25+1)+IF(AND($E25=1,MU25=0),1000,0)+IF($H25=1,INDEX('calcA'!$D$180:$EQ$219,$B25,109)*500,0)-IF(AND('calcA'!DG$117=1,YE25&gt;0),300,0)-IF(AND($U25=1,'calcA'!DH$117=1,HG25=0),300,0))),1000000000))</f>
        <v/>
      </c>
      <c r="SK25">
        <f>IF($B25=0,1000000000,IF(INDEX('calcA'!$D$60:$EQ$99,$B25,110)*IF($W25=1,HG25+ADV25,HG25)=1,IF(AND($E25=2,IF($W25=1,AJK25,MV25)=0),1000000000,IF($V25=1,INDEX('calcA'!$D$130:$EQ$169,$B25,110)+IF(AND($E25=1,MV25=0),25,0),INDEX('calcA'!DI$110:DI$114,$F25+1)+IF(AND($E25=1,MV25=0),1000,0)+IF($H25=1,INDEX('calcA'!$D$180:$EQ$219,$B25,110)*500,0)-IF(AND('calcA'!DH$117=1,YF25&gt;0),300,0)-IF(AND($U25=1,'calcA'!DI$117=1,HH25=0),300,0))),1000000000))</f>
        <v/>
      </c>
      <c r="SL25">
        <f>IF($B25=0,1000000000,IF(INDEX('calcA'!$D$60:$EQ$99,$B25,111)*IF($W25=1,HH25+ADW25,HH25)=1,IF(AND($E25=2,IF($W25=1,AJL25,MW25)=0),1000000000,IF($V25=1,INDEX('calcA'!$D$130:$EQ$169,$B25,111)+IF(AND($E25=1,MW25=0),25,0),INDEX('calcA'!DJ$110:DJ$114,$F25+1)+IF(AND($E25=1,MW25=0),1000,0)+IF($H25=1,INDEX('calcA'!$D$180:$EQ$219,$B25,111)*500,0)-IF(AND('calcA'!DI$117=1,YG25&gt;0),300,0)-IF(AND($U25=1,'calcA'!DJ$117=1,HI25=0),300,0))),1000000000))</f>
        <v/>
      </c>
      <c r="SM25">
        <f>IF($B25=0,1000000000,IF(INDEX('calcA'!$D$60:$EQ$99,$B25,112)*IF($W25=1,HI25+ADX25,HI25)=1,IF(AND($E25=2,IF($W25=1,AJM25,MX25)=0),1000000000,IF($V25=1,INDEX('calcA'!$D$130:$EQ$169,$B25,112)+IF(AND($E25=1,MX25=0),25,0),INDEX('calcA'!DK$110:DK$114,$F25+1)+IF(AND($E25=1,MX25=0),1000,0)+IF($H25=1,INDEX('calcA'!$D$180:$EQ$219,$B25,112)*500,0)-IF(AND('calcA'!DJ$117=1,YH25&gt;0),300,0)-IF(AND($U25=1,'calcA'!DK$117=1,HJ25=0),300,0))),1000000000))</f>
        <v/>
      </c>
      <c r="SN25">
        <f>IF($B25=0,1000000000,IF(INDEX('calcA'!$D$60:$EQ$99,$B25,113)*IF($W25=1,HJ25+ADY25,HJ25)=1,IF(AND($E25=2,IF($W25=1,AJN25,MY25)=0),1000000000,IF($V25=1,INDEX('calcA'!$D$130:$EQ$169,$B25,113)+IF(AND($E25=1,MY25=0),25,0),INDEX('calcA'!DL$110:DL$114,$F25+1)+IF(AND($E25=1,MY25=0),1000,0)+IF($H25=1,INDEX('calcA'!$D$180:$EQ$219,$B25,113)*500,0)-IF(AND('calcA'!DK$117=1,YI25&gt;0),300,0)-IF(AND($U25=1,'calcA'!DL$117=1,HK25=0),300,0))),1000000000))</f>
        <v/>
      </c>
      <c r="SO25">
        <f>IF($B25=0,1000000000,IF(INDEX('calcA'!$D$60:$EQ$99,$B25,114)*IF($W25=1,HK25+ADZ25,HK25)=1,IF(AND($E25=2,IF($W25=1,AJO25,MZ25)=0),1000000000,IF($V25=1,INDEX('calcA'!$D$130:$EQ$169,$B25,114)+IF(AND($E25=1,MZ25=0),25,0),INDEX('calcA'!DM$110:DM$114,$F25+1)+IF(AND($E25=1,MZ25=0),1000,0)+IF($H25=1,INDEX('calcA'!$D$180:$EQ$219,$B25,114)*500,0)-IF(AND('calcA'!DL$117=1,YJ25&gt;0),300,0)-IF(AND($U25=1,'calcA'!DM$117=1,HL25=0),300,0))),1000000000))</f>
        <v/>
      </c>
      <c r="SP25">
        <f>IF($B25=0,1000000000,IF(INDEX('calcA'!$D$60:$EQ$99,$B25,115)*IF($W25=1,HL25+AEA25,HL25)=1,IF(AND($E25=2,IF($W25=1,AJP25,NA25)=0),1000000000,IF($V25=1,INDEX('calcA'!$D$130:$EQ$169,$B25,115)+IF(AND($E25=1,NA25=0),25,0),INDEX('calcA'!DN$110:DN$114,$F25+1)+IF(AND($E25=1,NA25=0),1000,0)+IF($H25=1,INDEX('calcA'!$D$180:$EQ$219,$B25,115)*500,0)-IF(AND('calcA'!DM$117=1,YK25&gt;0),300,0)-IF(AND($U25=1,'calcA'!DN$117=1,HM25=0),300,0))),1000000000))</f>
        <v/>
      </c>
      <c r="SQ25">
        <f>IF($B25=0,1000000000,IF(INDEX('calcA'!$D$60:$EQ$99,$B25,116)*IF($W25=1,HM25+AEB25,HM25)=1,IF(AND($E25=2,IF($W25=1,AJQ25,NB25)=0),1000000000,IF($V25=1,INDEX('calcA'!$D$130:$EQ$169,$B25,116)+IF(AND($E25=1,NB25=0),25,0),INDEX('calcA'!DO$110:DO$114,$F25+1)+IF(AND($E25=1,NB25=0),1000,0)+IF($H25=1,INDEX('calcA'!$D$180:$EQ$219,$B25,116)*500,0)-IF(AND('calcA'!DN$117=1,YL25&gt;0),300,0)-IF(AND($U25=1,'calcA'!DO$117=1,HN25=0),300,0))),1000000000))</f>
        <v/>
      </c>
      <c r="SR25">
        <f>IF($B25=0,1000000000,IF(INDEX('calcA'!$D$60:$EQ$99,$B25,117)*IF($W25=1,HN25+AEC25,HN25)=1,IF(AND($E25=2,IF($W25=1,AJR25,NC25)=0),1000000000,IF($V25=1,INDEX('calcA'!$D$130:$EQ$169,$B25,117)+IF(AND($E25=1,NC25=0),25,0),INDEX('calcA'!DP$110:DP$114,$F25+1)+IF(AND($E25=1,NC25=0),1000,0)+IF($H25=1,INDEX('calcA'!$D$180:$EQ$219,$B25,117)*500,0)-IF(AND('calcA'!DO$117=1,YM25&gt;0),300,0)-IF(AND($U25=1,'calcA'!DP$117=1,HO25=0),300,0))),1000000000))</f>
        <v/>
      </c>
      <c r="SS25">
        <f>IF($B25=0,1000000000,IF(INDEX('calcA'!$D$60:$EQ$99,$B25,118)*IF($W25=1,HO25+AED25,HO25)=1,IF(AND($E25=2,IF($W25=1,AJS25,ND25)=0),1000000000,IF($V25=1,INDEX('calcA'!$D$130:$EQ$169,$B25,118)+IF(AND($E25=1,ND25=0),25,0),INDEX('calcA'!DQ$110:DQ$114,$F25+1)+IF(AND($E25=1,ND25=0),1000,0)+IF($H25=1,INDEX('calcA'!$D$180:$EQ$219,$B25,118)*500,0)-IF(AND('calcA'!DP$117=1,YN25&gt;0),300,0)-IF(AND($U25=1,'calcA'!DQ$117=1,HP25=0),300,0))),1000000000))</f>
        <v/>
      </c>
      <c r="ST25">
        <f>IF($B25=0,1000000000,IF(INDEX('calcA'!$D$60:$EQ$99,$B25,119)*IF($W25=1,HP25+AEE25,HP25)=1,IF(AND($E25=2,IF($W25=1,AJT25,NE25)=0),1000000000,IF($V25=1,INDEX('calcA'!$D$130:$EQ$169,$B25,119)+IF(AND($E25=1,NE25=0),25,0),INDEX('calcA'!DR$110:DR$114,$F25+1)+IF(AND($E25=1,NE25=0),1000,0)+IF($H25=1,INDEX('calcA'!$D$180:$EQ$219,$B25,119)*500,0)-IF(AND('calcA'!DQ$117=1,YO25&gt;0),300,0)-IF(AND($U25=1,'calcA'!DR$117=1,HQ25=0),300,0))),1000000000))</f>
        <v/>
      </c>
      <c r="SU25">
        <f>IF($B25=0,1000000000,IF(INDEX('calcA'!$D$60:$EQ$99,$B25,120)*IF($W25=1,HQ25+AEF25,HQ25)=1,IF(AND($E25=2,IF($W25=1,AJU25,NF25)=0),1000000000,IF($V25=1,INDEX('calcA'!$D$130:$EQ$169,$B25,120)+IF(AND($E25=1,NF25=0),25,0),INDEX('calcA'!DS$110:DS$114,$F25+1)+IF(AND($E25=1,NF25=0),1000,0)+IF($H25=1,INDEX('calcA'!$D$180:$EQ$219,$B25,120)*500,0)-IF(AND('calcA'!DR$117=1,YP25&gt;0),300,0))),1000000000))</f>
        <v/>
      </c>
      <c r="SV25">
        <f>IF($B25=0,1000000000,IF(INDEX('calcA'!$D$60:$EQ$99,$B25,121)*IF($W25=1,HR25+AEG25,HR25)=1,IF(AND($E25=2,IF($W25=1,AJV25,NG25)=0),1000000000,IF($V25=1,INDEX('calcA'!$D$130:$EQ$169,$B25,121)+IF(AND($E25=1,NG25=0),25,0),INDEX('calcA'!DT$110:DT$114,$F25+1)+IF(AND($E25=1,NG25=0),1000,0)+IF($H25=1,INDEX('calcA'!$D$180:$EQ$219,$B25,121)*500,0)-IF(AND($U25=1,'calcA'!DT$117=1,HS25=0),300,0))),1000000000))</f>
        <v/>
      </c>
      <c r="SW25">
        <f>IF($B25=0,1000000000,IF(INDEX('calcA'!$D$60:$EQ$99,$B25,122)*IF($W25=1,HS25+AEH25,HS25)=1,IF(AND($E25=2,IF($W25=1,AJW25,NH25)=0),1000000000,IF($V25=1,INDEX('calcA'!$D$130:$EQ$169,$B25,122)+IF(AND($E25=1,NH25=0),25,0),INDEX('calcA'!DU$110:DU$114,$F25+1)+IF(AND($E25=1,NH25=0),1000,0)+IF($H25=1,INDEX('calcA'!$D$180:$EQ$219,$B25,122)*500,0)-IF(AND('calcA'!DT$117=1,YR25&gt;0),300,0)-IF(AND($U25=1,'calcA'!DU$117=1,HT25=0),300,0))),1000000000))</f>
        <v/>
      </c>
      <c r="SX25">
        <f>IF($B25=0,1000000000,IF(INDEX('calcA'!$D$60:$EQ$99,$B25,123)*IF($W25=1,HT25+AEI25,HT25)=1,IF(AND($E25=2,IF($W25=1,AJX25,NI25)=0),1000000000,IF($V25=1,INDEX('calcA'!$D$130:$EQ$169,$B25,123)+IF(AND($E25=1,NI25=0),25,0),INDEX('calcA'!DV$110:DV$114,$F25+1)+IF(AND($E25=1,NI25=0),1000,0)+IF($H25=1,INDEX('calcA'!$D$180:$EQ$219,$B25,123)*500,0)-IF(AND('calcA'!DU$117=1,YS25&gt;0),300,0)-IF(AND($U25=1,'calcA'!DV$117=1,HU25=0),300,0))),1000000000))</f>
        <v/>
      </c>
      <c r="SY25">
        <f>IF($B25=0,1000000000,IF(INDEX('calcA'!$D$60:$EQ$99,$B25,124)*IF($W25=1,HU25+AEJ25,HU25)=1,IF(AND($E25=2,IF($W25=1,AJY25,NJ25)=0),1000000000,IF($V25=1,INDEX('calcA'!$D$130:$EQ$169,$B25,124)+IF(AND($E25=1,NJ25=0),25,0),INDEX('calcA'!DW$110:DW$114,$F25+1)+IF(AND($E25=1,NJ25=0),1000,0)+IF($H25=1,INDEX('calcA'!$D$180:$EQ$219,$B25,124)*500,0)-IF(AND('calcA'!DV$117=1,YT25&gt;0),300,0)-IF(AND($U25=1,'calcA'!DW$117=1,HV25=0),300,0))),1000000000))</f>
        <v/>
      </c>
      <c r="SZ25">
        <f>IF($B25=0,1000000000,IF(INDEX('calcA'!$D$60:$EQ$99,$B25,125)*IF($W25=1,HV25+AEK25,HV25)=1,IF(AND($E25=2,IF($W25=1,AJZ25,NK25)=0),1000000000,IF($V25=1,INDEX('calcA'!$D$130:$EQ$169,$B25,125)+IF(AND($E25=1,NK25=0),25,0),INDEX('calcA'!DX$110:DX$114,$F25+1)+IF(AND($E25=1,NK25=0),1000,0)+IF($H25=1,INDEX('calcA'!$D$180:$EQ$219,$B25,125)*500,0)-IF(AND('calcA'!DW$117=1,YU25&gt;0),300,0)-IF(AND($U25=1,'calcA'!DX$117=1,HW25=0),300,0))),1000000000))</f>
        <v/>
      </c>
      <c r="TA25">
        <f>IF($B25=0,1000000000,IF(INDEX('calcA'!$D$60:$EQ$99,$B25,126)*IF($W25=1,HW25+AEL25,HW25)=1,IF(AND($E25=2,IF($W25=1,AKA25,NL25)=0),1000000000,IF($V25=1,INDEX('calcA'!$D$130:$EQ$169,$B25,126)+IF(AND($E25=1,NL25=0),25,0),INDEX('calcA'!DY$110:DY$114,$F25+1)+IF(AND($E25=1,NL25=0),1000,0)+IF($H25=1,INDEX('calcA'!$D$180:$EQ$219,$B25,126)*500,0)-IF(AND('calcA'!DX$117=1,YV25&gt;0),300,0)-IF(AND($U25=1,'calcA'!DY$117=1,HX25=0),300,0))),1000000000))</f>
        <v/>
      </c>
      <c r="TB25">
        <f>IF($B25=0,1000000000,IF(INDEX('calcA'!$D$60:$EQ$99,$B25,127)*IF($W25=1,HX25+AEM25,HX25)=1,IF(AND($E25=2,IF($W25=1,AKB25,NM25)=0),1000000000,IF($V25=1,INDEX('calcA'!$D$130:$EQ$169,$B25,127)+IF(AND($E25=1,NM25=0),25,0),INDEX('calcA'!DZ$110:DZ$114,$F25+1)+IF(AND($E25=1,NM25=0),1000,0)+IF($H25=1,INDEX('calcA'!$D$180:$EQ$219,$B25,127)*500,0)-IF(AND('calcA'!DY$117=1,YW25&gt;0),300,0)-IF(AND($U25=1,'calcA'!DZ$117=1,HY25=0),300,0))),1000000000))</f>
        <v/>
      </c>
      <c r="TC25">
        <f>IF($B25=0,1000000000,IF(INDEX('calcA'!$D$60:$EQ$99,$B25,128)*IF($W25=1,HY25+AEN25,HY25)=1,IF(AND($E25=2,IF($W25=1,AKC25,NN25)=0),1000000000,IF($V25=1,INDEX('calcA'!$D$130:$EQ$169,$B25,128)+IF(AND($E25=1,NN25=0),25,0),INDEX('calcA'!EA$110:EA$114,$F25+1)+IF(AND($E25=1,NN25=0),1000,0)+IF($H25=1,INDEX('calcA'!$D$180:$EQ$219,$B25,128)*500,0)-IF(AND('calcA'!DZ$117=1,YX25&gt;0),300,0)-IF(AND($U25=1,'calcA'!EA$117=1,HZ25=0),300,0))),1000000000))</f>
        <v/>
      </c>
      <c r="TD25">
        <f>IF($B25=0,1000000000,IF(INDEX('calcA'!$D$60:$EQ$99,$B25,129)*IF($W25=1,HZ25+AEO25,HZ25)=1,IF(AND($E25=2,IF($W25=1,AKD25,NO25)=0),1000000000,IF($V25=1,INDEX('calcA'!$D$130:$EQ$169,$B25,129)+IF(AND($E25=1,NO25=0),25,0),INDEX('calcA'!EB$110:EB$114,$F25+1)+IF(AND($E25=1,NO25=0),1000,0)+IF($H25=1,INDEX('calcA'!$D$180:$EQ$219,$B25,129)*500,0)-IF(AND('calcA'!EA$117=1,YY25&gt;0),300,0)-IF(AND($U25=1,'calcA'!EB$117=1,IA25=0),300,0))),1000000000))</f>
        <v/>
      </c>
      <c r="TE25">
        <f>IF($B25=0,1000000000,IF(INDEX('calcA'!$D$60:$EQ$99,$B25,130)*IF($W25=1,IA25+AEP25,IA25)=1,IF(AND($E25=2,IF($W25=1,AKE25,NP25)=0),1000000000,IF($V25=1,INDEX('calcA'!$D$130:$EQ$169,$B25,130)+IF(AND($E25=1,NP25=0),25,0),INDEX('calcA'!EC$110:EC$114,$F25+1)+IF(AND($E25=1,NP25=0),1000,0)+IF($H25=1,INDEX('calcA'!$D$180:$EQ$219,$B25,130)*500,0)-IF(AND('calcA'!EB$117=1,YZ25&gt;0),300,0)-IF(AND($U25=1,'calcA'!EC$117=1,IB25=0),300,0))),1000000000))</f>
        <v/>
      </c>
      <c r="TF25">
        <f>IF($B25=0,1000000000,IF(INDEX('calcA'!$D$60:$EQ$99,$B25,131)*IF($W25=1,IB25+AEQ25,IB25)=1,IF(AND($E25=2,IF($W25=1,AKF25,NQ25)=0),1000000000,IF($V25=1,INDEX('calcA'!$D$130:$EQ$169,$B25,131)+IF(AND($E25=1,NQ25=0),25,0),INDEX('calcA'!ED$110:ED$114,$F25+1)+IF(AND($E25=1,NQ25=0),1000,0)+IF($H25=1,INDEX('calcA'!$D$180:$EQ$219,$B25,131)*500,0)-IF(AND('calcA'!EC$117=1,ZA25&gt;0),300,0)-IF(AND($U25=1,'calcA'!ED$117=1,IC25=0),300,0))),1000000000))</f>
        <v/>
      </c>
      <c r="TG25">
        <f>IF($B25=0,1000000000,IF(INDEX('calcA'!$D$60:$EQ$99,$B25,132)*IF($W25=1,IC25+AER25,IC25)=1,IF(AND($E25=2,IF($W25=1,AKG25,NR25)=0),1000000000,IF($V25=1,INDEX('calcA'!$D$130:$EQ$169,$B25,132)+IF(AND($E25=1,NR25=0),25,0),INDEX('calcA'!EE$110:EE$114,$F25+1)+IF(AND($E25=1,NR25=0),1000,0)+IF($H25=1,INDEX('calcA'!$D$180:$EQ$219,$B25,132)*500,0)-IF(AND('calcA'!ED$117=1,ZB25&gt;0),300,0)-IF(AND($U25=1,'calcA'!EE$117=1,ID25=0),300,0))),1000000000))</f>
        <v/>
      </c>
      <c r="TH25">
        <f>IF($B25=0,1000000000,IF(INDEX('calcA'!$D$60:$EQ$99,$B25,133)*IF($W25=1,ID25+AES25,ID25)=1,IF(AND($E25=2,IF($W25=1,AKH25,NS25)=0),1000000000,IF($V25=1,INDEX('calcA'!$D$130:$EQ$169,$B25,133)+IF(AND($E25=1,NS25=0),25,0),INDEX('calcA'!EF$110:EF$114,$F25+1)+IF(AND($E25=1,NS25=0),1000,0)+IF($H25=1,INDEX('calcA'!$D$180:$EQ$219,$B25,133)*500,0)-IF(AND('calcA'!EE$117=1,ZC25&gt;0),300,0)-IF(AND($U25=1,'calcA'!EF$117=1,IE25=0),300,0))),1000000000))</f>
        <v/>
      </c>
      <c r="TI25">
        <f>IF($B25=0,1000000000,IF(INDEX('calcA'!$D$60:$EQ$99,$B25,134)*IF($W25=1,IE25+AET25,IE25)=1,IF(AND($E25=2,IF($W25=1,AKI25,NT25)=0),1000000000,IF($V25=1,INDEX('calcA'!$D$130:$EQ$169,$B25,134)+IF(AND($E25=1,NT25=0),25,0),INDEX('calcA'!EG$110:EG$114,$F25+1)+IF(AND($E25=1,NT25=0),1000,0)+IF($H25=1,INDEX('calcA'!$D$180:$EQ$219,$B25,134)*500,0)-IF(AND('calcA'!EF$117=1,ZD25&gt;0),300,0)-IF(AND($U25=1,'calcA'!EG$117=1,IF25=0),300,0))),1000000000))</f>
        <v/>
      </c>
      <c r="TJ25">
        <f>IF($B25=0,1000000000,IF(INDEX('calcA'!$D$60:$EQ$99,$B25,135)*IF($W25=1,IF25+AEU25,IF25)=1,IF(AND($E25=2,IF($W25=1,AKJ25,NU25)=0),1000000000,IF($V25=1,INDEX('calcA'!$D$130:$EQ$169,$B25,135)+IF(AND($E25=1,NU25=0),25,0),INDEX('calcA'!EH$110:EH$114,$F25+1)+IF(AND($E25=1,NU25=0),1000,0)+IF($H25=1,INDEX('calcA'!$D$180:$EQ$219,$B25,135)*500,0)-IF(AND('calcA'!EG$117=1,ZE25&gt;0),300,0)-IF(AND($U25=1,'calcA'!EH$117=1,IG25=0),300,0))),1000000000))</f>
        <v/>
      </c>
      <c r="TK25">
        <f>IF($B25=0,1000000000,IF(INDEX('calcA'!$D$60:$EQ$99,$B25,136)*IF($W25=1,IG25+AEV25,IG25)=1,IF(AND($E25=2,IF($W25=1,AKK25,NV25)=0),1000000000,IF($V25=1,INDEX('calcA'!$D$130:$EQ$169,$B25,136)+IF(AND($E25=1,NV25=0),25,0),INDEX('calcA'!EI$110:EI$114,$F25+1)+IF(AND($E25=1,NV25=0),1000,0)+IF($H25=1,INDEX('calcA'!$D$180:$EQ$219,$B25,136)*500,0)-IF(AND('calcA'!EH$117=1,ZF25&gt;0),300,0)-IF(AND($U25=1,'calcA'!EI$117=1,IH25=0),300,0))),1000000000))</f>
        <v/>
      </c>
      <c r="TL25">
        <f>IF($B25=0,1000000000,IF(INDEX('calcA'!$D$60:$EQ$99,$B25,137)*IF($W25=1,IH25+AEW25,IH25)=1,IF(AND($E25=2,IF($W25=1,AKL25,NW25)=0),1000000000,IF($V25=1,INDEX('calcA'!$D$130:$EQ$169,$B25,137)+IF(AND($E25=1,NW25=0),25,0),INDEX('calcA'!EJ$110:EJ$114,$F25+1)+IF(AND($E25=1,NW25=0),1000,0)+IF($H25=1,INDEX('calcA'!$D$180:$EQ$219,$B25,137)*500,0)-IF(AND('calcA'!EI$117=1,ZG25&gt;0),300,0)-IF(AND($U25=1,'calcA'!EJ$117=1,II25=0),300,0))),1000000000))</f>
        <v/>
      </c>
      <c r="TM25">
        <f>IF($B25=0,1000000000,IF(INDEX('calcA'!$D$60:$EQ$99,$B25,138)*IF($W25=1,II25+AEX25,II25)=1,IF(AND($E25=2,IF($W25=1,AKM25,NX25)=0),1000000000,IF($V25=1,INDEX('calcA'!$D$130:$EQ$169,$B25,138)+IF(AND($E25=1,NX25=0),25,0),INDEX('calcA'!EK$110:EK$114,$F25+1)+IF(AND($E25=1,NX25=0),1000,0)+IF($H25=1,INDEX('calcA'!$D$180:$EQ$219,$B25,138)*500,0)-IF(AND('calcA'!EJ$117=1,ZH25&gt;0),300,0)-IF(AND($U25=1,'calcA'!EK$117=1,IJ25=0),300,0))),1000000000))</f>
        <v/>
      </c>
      <c r="TN25">
        <f>IF($B25=0,1000000000,IF(INDEX('calcA'!$D$60:$EQ$99,$B25,139)*IF($W25=1,IJ25+AEY25,IJ25)=1,IF(AND($E25=2,IF($W25=1,AKN25,NY25)=0),1000000000,IF($V25=1,INDEX('calcA'!$D$130:$EQ$169,$B25,139)+IF(AND($E25=1,NY25=0),25,0),INDEX('calcA'!EL$110:EL$114,$F25+1)+IF(AND($E25=1,NY25=0),1000,0)+IF($H25=1,INDEX('calcA'!$D$180:$EQ$219,$B25,139)*500,0)-IF(AND('calcA'!EK$117=1,ZI25&gt;0),300,0)-IF(AND($U25=1,'calcA'!EL$117=1,IK25=0),300,0))),1000000000))</f>
        <v/>
      </c>
      <c r="TO25">
        <f>IF($B25=0,1000000000,IF(INDEX('calcA'!$D$60:$EQ$99,$B25,140)*IF($W25=1,IK25+AEZ25,IK25)=1,IF(AND($E25=2,IF($W25=1,AKO25,NZ25)=0),1000000000,IF($V25=1,INDEX('calcA'!$D$130:$EQ$169,$B25,140)+IF(AND($E25=1,NZ25=0),25,0),INDEX('calcA'!EM$110:EM$114,$F25+1)+IF(AND($E25=1,NZ25=0),1000,0)+IF($H25=1,INDEX('calcA'!$D$180:$EQ$219,$B25,140)*500,0)-IF(AND('calcA'!EL$117=1,ZJ25&gt;0),300,0)-IF(AND($U25=1,'calcA'!EM$117=1,IL25=0),300,0))),1000000000))</f>
        <v/>
      </c>
      <c r="TP25">
        <f>IF($B25=0,1000000000,IF(INDEX('calcA'!$D$60:$EQ$99,$B25,141)*IF($W25=1,IL25+AFA25,IL25)=1,IF(AND($E25=2,IF($W25=1,AKP25,OA25)=0),1000000000,IF($V25=1,INDEX('calcA'!$D$130:$EQ$169,$B25,141)+IF(AND($E25=1,OA25=0),25,0),INDEX('calcA'!EN$110:EN$114,$F25+1)+IF(AND($E25=1,OA25=0),1000,0)+IF($H25=1,INDEX('calcA'!$D$180:$EQ$219,$B25,141)*500,0)-IF(AND('calcA'!EM$117=1,ZK25&gt;0),300,0)-IF(AND($U25=1,'calcA'!EN$117=1,IM25=0),300,0))),1000000000))</f>
        <v/>
      </c>
      <c r="TQ25">
        <f>IF($B25=0,1000000000,IF(INDEX('calcA'!$D$60:$EQ$99,$B25,142)*IF($W25=1,IM25+AFB25,IM25)=1,IF(AND($E25=2,IF($W25=1,AKQ25,OB25)=0),1000000000,IF($V25=1,INDEX('calcA'!$D$130:$EQ$169,$B25,142)+IF(AND($E25=1,OB25=0),25,0),INDEX('calcA'!EO$110:EO$114,$F25+1)+IF(AND($E25=1,OB25=0),1000,0)+IF($H25=1,INDEX('calcA'!$D$180:$EQ$219,$B25,142)*500,0)-IF(AND('calcA'!EN$117=1,ZL25&gt;0),300,0)-IF(AND($U25=1,'calcA'!EO$117=1,IN25=0),300,0))),1000000000))</f>
        <v/>
      </c>
      <c r="TR25">
        <f>IF($B25=0,1000000000,IF(INDEX('calcA'!$D$60:$EQ$99,$B25,143)*IF($W25=1,IN25+AFC25,IN25)=1,IF(AND($E25=2,IF($W25=1,AKR25,OC25)=0),1000000000,IF($V25=1,INDEX('calcA'!$D$130:$EQ$169,$B25,143)+IF(AND($E25=1,OC25=0),25,0),INDEX('calcA'!EP$110:EP$114,$F25+1)+IF(AND($E25=1,OC25=0),1000,0)+IF($H25=1,INDEX('calcA'!$D$180:$EQ$219,$B25,143)*500,0)-IF(AND('calcA'!EO$117=1,ZM25&gt;0),300,0)-IF(AND($U25=1,'calcA'!EP$117=1,IO25=0),300,0))),1000000000))</f>
        <v/>
      </c>
      <c r="TS25">
        <f>IF($B25=0,1000000000,IF(INDEX('calcA'!$D$60:$EQ$99,$B25,144)*IF($W25=1,IO25+AFD25,IO25)=1,IF(AND($E25=2,IF($W25=1,AKS25,OD25)=0),1000000000,IF($V25=1,INDEX('calcA'!$D$130:$EQ$169,$B25,144)+IF(AND($E25=1,OD25=0),25,0),INDEX('calcA'!EQ$110:EQ$114,$F25+1)+IF(AND($E25=1,OD25=0),1000,0)+IF($H25=1,INDEX('calcA'!$D$180:$EQ$219,$B25,144)*500,0)-IF(AND('calcA'!EP$117=1,ZN25&gt;0),300,0))),1000000000))</f>
        <v/>
      </c>
      <c r="UB25">
        <f>UB24+IF(AND($C24=1,$U24=1),1,0)</f>
        <v/>
      </c>
      <c r="UC25">
        <f>UC24+IF(AND($C24=2,$U24=1),1,0)</f>
        <v/>
      </c>
      <c r="UD25">
        <f>UD24+IF(AND($C24=3,$U24=1),1,0)</f>
        <v/>
      </c>
      <c r="UE25">
        <f>UE24+IF(AND($C24=4,$U24=1),1,0)</f>
        <v/>
      </c>
      <c r="UF25">
        <f>UF24+IF(AND($C24=5,$U24=1),1,0)</f>
        <v/>
      </c>
      <c r="UG25">
        <f>UG24+IF(AND($C24=6,$U24=1),1,0)</f>
        <v/>
      </c>
      <c r="UH25">
        <f>UH24+IF(AND($C24=7,$U24=1),1,0)</f>
        <v/>
      </c>
      <c r="UI25">
        <f>UI24+IF(AND($C24=8,$U24=1),1,0)</f>
        <v/>
      </c>
      <c r="UJ25">
        <f>UJ24+IF(AND($C24=9,$U24=1),1,0)</f>
        <v/>
      </c>
      <c r="UK25">
        <f>UK24+IF(AND($C24=10,$U24=1),1,0)</f>
        <v/>
      </c>
      <c r="UL25">
        <f>UL24+IF(AND($C24=11,$U24=1),1,0)</f>
        <v/>
      </c>
      <c r="UM25">
        <f>UM24+IF(AND($C24=12,$U24=1),1,0)</f>
        <v/>
      </c>
      <c r="UN25">
        <f>UN24+IF(AND($C24=13,$U24=1),1,0)</f>
        <v/>
      </c>
      <c r="UO25">
        <f>UO24+IF(AND($C24=14,$U24=1),1,0)</f>
        <v/>
      </c>
      <c r="UP25">
        <f>UP24+IF(AND($C24=15,$U24=1),1,0)</f>
        <v/>
      </c>
      <c r="UQ25">
        <f>UQ24+IF(AND($C24=16,$U24=1),1,0)</f>
        <v/>
      </c>
      <c r="UR25">
        <f>UR24+IF(AND($C24=17,$U24=1),1,0)</f>
        <v/>
      </c>
      <c r="US25">
        <f>US24+IF(AND($C24=18,$U24=1),1,0)</f>
        <v/>
      </c>
      <c r="UT25">
        <f>UT24+IF(AND($C24=19,$U24=1),1,0)</f>
        <v/>
      </c>
      <c r="UU25">
        <f>UU24+IF(AND($C24=20,$U24=1),1,0)</f>
        <v/>
      </c>
      <c r="UV25">
        <f>UV24+IF(AND($C24=21,$U24=1),1,0)</f>
        <v/>
      </c>
      <c r="UW25">
        <f>UW24+IF(AND($C24=22,$U24=1),1,0)</f>
        <v/>
      </c>
      <c r="UX25">
        <f>UX24+IF(AND($C24=23,$U24=1),1,0)</f>
        <v/>
      </c>
      <c r="UY25">
        <f>UY24+IF(AND($C24=24,$U24=1),1,0)</f>
        <v/>
      </c>
      <c r="UZ25">
        <f>UZ24+IF(AND($C24=25,$U24=1),1,0)</f>
        <v/>
      </c>
      <c r="VA25">
        <f>VA24+IF(AND($C24=26,$U24=1),1,0)</f>
        <v/>
      </c>
      <c r="VB25">
        <f>VB24+IF(AND($C24=27,$U24=1),1,0)</f>
        <v/>
      </c>
      <c r="VC25">
        <f>VC24+IF(AND($C24=28,$U24=1),1,0)</f>
        <v/>
      </c>
      <c r="VD25">
        <f>VD24+IF(AND($C24=29,$U24=1),1,0)</f>
        <v/>
      </c>
      <c r="VE25">
        <f>VE24+IF(AND($C24=30,$U24=1),1,0)</f>
        <v/>
      </c>
      <c r="VF25">
        <f>VF24+IF(AND($C24=31,$U24=1),1,0)</f>
        <v/>
      </c>
      <c r="VG25">
        <f>VG24+IF(AND($C24=32,$U24=1),1,0)</f>
        <v/>
      </c>
      <c r="VH25">
        <f>VH24+IF(AND($C24=33,$U24=1),1,0)</f>
        <v/>
      </c>
      <c r="VI25">
        <f>VI24+IF(AND($C24=34,$U24=1),1,0)</f>
        <v/>
      </c>
      <c r="VJ25">
        <f>VJ24+IF(AND($C24=35,$U24=1),1,0)</f>
        <v/>
      </c>
      <c r="VK25">
        <f>VK24+IF(AND($C24=36,$U24=1),1,0)</f>
        <v/>
      </c>
      <c r="VL25">
        <f>VL24+IF(AND($C24=37,$U24=1),1,0)</f>
        <v/>
      </c>
      <c r="VM25">
        <f>VM24+IF(AND($C24=38,$U24=1),1,0)</f>
        <v/>
      </c>
      <c r="VN25">
        <f>VN24+IF(AND($C24=39,$U24=1),1,0)</f>
        <v/>
      </c>
      <c r="VO25">
        <f>VO24+IF(AND($C24=40,$U24=1),1,0)</f>
        <v/>
      </c>
      <c r="VP25">
        <f>VP24+IF(AND($C24=41,$U24=1),1,0)</f>
        <v/>
      </c>
      <c r="VQ25">
        <f>VQ24+IF(AND($C24=42,$U24=1),1,0)</f>
        <v/>
      </c>
      <c r="VR25">
        <f>VR24+IF(AND($C24=43,$U24=1),1,0)</f>
        <v/>
      </c>
      <c r="VS25">
        <f>VS24+IF(AND($C24=44,$U24=1),1,0)</f>
        <v/>
      </c>
      <c r="VT25">
        <f>VT24+IF(AND($C24=45,$U24=1),1,0)</f>
        <v/>
      </c>
      <c r="VU25">
        <f>VU24+IF(AND($C24=46,$U24=1),1,0)</f>
        <v/>
      </c>
      <c r="VV25">
        <f>VV24+IF(AND($C24=47,$U24=1),1,0)</f>
        <v/>
      </c>
      <c r="VW25">
        <f>VW24+IF(AND($C24=48,$U24=1),1,0)</f>
        <v/>
      </c>
      <c r="VX25">
        <f>VX24+IF(AND($C24=49,$U24=1),1,0)</f>
        <v/>
      </c>
      <c r="VY25">
        <f>VY24+IF(AND($C24=50,$U24=1),1,0)</f>
        <v/>
      </c>
      <c r="VZ25">
        <f>VZ24+IF(AND($C24=51,$U24=1),1,0)</f>
        <v/>
      </c>
      <c r="WA25">
        <f>WA24+IF(AND($C24=52,$U24=1),1,0)</f>
        <v/>
      </c>
      <c r="WB25">
        <f>WB24+IF(AND($C24=53,$U24=1),1,0)</f>
        <v/>
      </c>
      <c r="WC25">
        <f>WC24+IF(AND($C24=54,$U24=1),1,0)</f>
        <v/>
      </c>
      <c r="WD25">
        <f>WD24+IF(AND($C24=55,$U24=1),1,0)</f>
        <v/>
      </c>
      <c r="WE25">
        <f>WE24+IF(AND($C24=56,$U24=1),1,0)</f>
        <v/>
      </c>
      <c r="WF25">
        <f>WF24+IF(AND($C24=57,$U24=1),1,0)</f>
        <v/>
      </c>
      <c r="WG25">
        <f>WG24+IF(AND($C24=58,$U24=1),1,0)</f>
        <v/>
      </c>
      <c r="WH25">
        <f>WH24+IF(AND($C24=59,$U24=1),1,0)</f>
        <v/>
      </c>
      <c r="WI25">
        <f>WI24+IF(AND($C24=60,$U24=1),1,0)</f>
        <v/>
      </c>
      <c r="WJ25">
        <f>WJ24+IF(AND($C24=61,$U24=1),1,0)</f>
        <v/>
      </c>
      <c r="WK25">
        <f>WK24+IF(AND($C24=62,$U24=1),1,0)</f>
        <v/>
      </c>
      <c r="WL25">
        <f>WL24+IF(AND($C24=63,$U24=1),1,0)</f>
        <v/>
      </c>
      <c r="WM25">
        <f>WM24+IF(AND($C24=64,$U24=1),1,0)</f>
        <v/>
      </c>
      <c r="WN25">
        <f>WN24+IF(AND($C24=65,$U24=1),1,0)</f>
        <v/>
      </c>
      <c r="WO25">
        <f>WO24+IF(AND($C24=66,$U24=1),1,0)</f>
        <v/>
      </c>
      <c r="WP25">
        <f>WP24+IF(AND($C24=67,$U24=1),1,0)</f>
        <v/>
      </c>
      <c r="WQ25">
        <f>WQ24+IF(AND($C24=68,$U24=1),1,0)</f>
        <v/>
      </c>
      <c r="WR25">
        <f>WR24+IF(AND($C24=69,$U24=1),1,0)</f>
        <v/>
      </c>
      <c r="WS25">
        <f>WS24+IF(AND($C24=70,$U24=1),1,0)</f>
        <v/>
      </c>
      <c r="WT25">
        <f>WT24+IF(AND($C24=71,$U24=1),1,0)</f>
        <v/>
      </c>
      <c r="WU25">
        <f>WU24+IF(AND($C24=72,$U24=1),1,0)</f>
        <v/>
      </c>
      <c r="WV25">
        <f>WV24+IF(AND($C24=73,$U24=1),1,0)</f>
        <v/>
      </c>
      <c r="WW25">
        <f>WW24+IF(AND($C24=74,$U24=1),1,0)</f>
        <v/>
      </c>
      <c r="WX25">
        <f>WX24+IF(AND($C24=75,$U24=1),1,0)</f>
        <v/>
      </c>
      <c r="WY25">
        <f>WY24+IF(AND($C24=76,$U24=1),1,0)</f>
        <v/>
      </c>
      <c r="WZ25">
        <f>WZ24+IF(AND($C24=77,$U24=1),1,0)</f>
        <v/>
      </c>
      <c r="XA25">
        <f>XA24+IF(AND($C24=78,$U24=1),1,0)</f>
        <v/>
      </c>
      <c r="XB25">
        <f>XB24+IF(AND($C24=79,$U24=1),1,0)</f>
        <v/>
      </c>
      <c r="XC25">
        <f>XC24+IF(AND($C24=80,$U24=1),1,0)</f>
        <v/>
      </c>
      <c r="XD25">
        <f>XD24+IF(AND($C24=81,$U24=1),1,0)</f>
        <v/>
      </c>
      <c r="XE25">
        <f>XE24+IF(AND($C24=82,$U24=1),1,0)</f>
        <v/>
      </c>
      <c r="XF25">
        <f>XF24+IF(AND($C24=83,$U24=1),1,0)</f>
        <v/>
      </c>
      <c r="XG25">
        <f>XG24+IF(AND($C24=84,$U24=1),1,0)</f>
        <v/>
      </c>
      <c r="XH25">
        <f>XH24+IF(AND($C24=85,$U24=1),1,0)</f>
        <v/>
      </c>
      <c r="XI25">
        <f>XI24+IF(AND($C24=86,$U24=1),1,0)</f>
        <v/>
      </c>
      <c r="XJ25">
        <f>XJ24+IF(AND($C24=87,$U24=1),1,0)</f>
        <v/>
      </c>
      <c r="XK25">
        <f>XK24+IF(AND($C24=88,$U24=1),1,0)</f>
        <v/>
      </c>
      <c r="XL25">
        <f>XL24+IF(AND($C24=89,$U24=1),1,0)</f>
        <v/>
      </c>
      <c r="XM25">
        <f>XM24+IF(AND($C24=90,$U24=1),1,0)</f>
        <v/>
      </c>
      <c r="XN25">
        <f>XN24+IF(AND($C24=91,$U24=1),1,0)</f>
        <v/>
      </c>
      <c r="XO25">
        <f>XO24+IF(AND($C24=92,$U24=1),1,0)</f>
        <v/>
      </c>
      <c r="XP25">
        <f>XP24+IF(AND($C24=93,$U24=1),1,0)</f>
        <v/>
      </c>
      <c r="XQ25">
        <f>XQ24+IF(AND($C24=94,$U24=1),1,0)</f>
        <v/>
      </c>
      <c r="XR25">
        <f>XR24+IF(AND($C24=95,$U24=1),1,0)</f>
        <v/>
      </c>
      <c r="XS25">
        <f>XS24+IF(AND($C24=96,$U24=1),1,0)</f>
        <v/>
      </c>
      <c r="XT25">
        <f>XT24+IF(AND($C24=97,$U24=1),1,0)</f>
        <v/>
      </c>
      <c r="XU25">
        <f>XU24+IF(AND($C24=98,$U24=1),1,0)</f>
        <v/>
      </c>
      <c r="XV25">
        <f>XV24+IF(AND($C24=99,$U24=1),1,0)</f>
        <v/>
      </c>
      <c r="XW25">
        <f>XW24+IF(AND($C24=100,$U24=1),1,0)</f>
        <v/>
      </c>
      <c r="XX25">
        <f>XX24+IF(AND($C24=101,$U24=1),1,0)</f>
        <v/>
      </c>
      <c r="XY25">
        <f>XY24+IF(AND($C24=102,$U24=1),1,0)</f>
        <v/>
      </c>
      <c r="XZ25">
        <f>XZ24+IF(AND($C24=103,$U24=1),1,0)</f>
        <v/>
      </c>
      <c r="YA25">
        <f>YA24+IF(AND($C24=104,$U24=1),1,0)</f>
        <v/>
      </c>
      <c r="YB25">
        <f>YB24+IF(AND($C24=105,$U24=1),1,0)</f>
        <v/>
      </c>
      <c r="YC25">
        <f>YC24+IF(AND($C24=106,$U24=1),1,0)</f>
        <v/>
      </c>
      <c r="YD25">
        <f>YD24+IF(AND($C24=107,$U24=1),1,0)</f>
        <v/>
      </c>
      <c r="YE25">
        <f>YE24+IF(AND($C24=108,$U24=1),1,0)</f>
        <v/>
      </c>
      <c r="YF25">
        <f>YF24+IF(AND($C24=109,$U24=1),1,0)</f>
        <v/>
      </c>
      <c r="YG25">
        <f>YG24+IF(AND($C24=110,$U24=1),1,0)</f>
        <v/>
      </c>
      <c r="YH25">
        <f>YH24+IF(AND($C24=111,$U24=1),1,0)</f>
        <v/>
      </c>
      <c r="YI25">
        <f>YI24+IF(AND($C24=112,$U24=1),1,0)</f>
        <v/>
      </c>
      <c r="YJ25">
        <f>YJ24+IF(AND($C24=113,$U24=1),1,0)</f>
        <v/>
      </c>
      <c r="YK25">
        <f>YK24+IF(AND($C24=114,$U24=1),1,0)</f>
        <v/>
      </c>
      <c r="YL25">
        <f>YL24+IF(AND($C24=115,$U24=1),1,0)</f>
        <v/>
      </c>
      <c r="YM25">
        <f>YM24+IF(AND($C24=116,$U24=1),1,0)</f>
        <v/>
      </c>
      <c r="YN25">
        <f>YN24+IF(AND($C24=117,$U24=1),1,0)</f>
        <v/>
      </c>
      <c r="YO25">
        <f>YO24+IF(AND($C24=118,$U24=1),1,0)</f>
        <v/>
      </c>
      <c r="YP25">
        <f>YP24+IF(AND($C24=119,$U24=1),1,0)</f>
        <v/>
      </c>
      <c r="YQ25">
        <f>YQ24+IF(AND($C24=120,$U24=1),1,0)</f>
        <v/>
      </c>
      <c r="YR25">
        <f>YR24+IF(AND($C24=121,$U24=1),1,0)</f>
        <v/>
      </c>
      <c r="YS25">
        <f>YS24+IF(AND($C24=122,$U24=1),1,0)</f>
        <v/>
      </c>
      <c r="YT25">
        <f>YT24+IF(AND($C24=123,$U24=1),1,0)</f>
        <v/>
      </c>
      <c r="YU25">
        <f>YU24+IF(AND($C24=124,$U24=1),1,0)</f>
        <v/>
      </c>
      <c r="YV25">
        <f>YV24+IF(AND($C24=125,$U24=1),1,0)</f>
        <v/>
      </c>
      <c r="YW25">
        <f>YW24+IF(AND($C24=126,$U24=1),1,0)</f>
        <v/>
      </c>
      <c r="YX25">
        <f>YX24+IF(AND($C24=127,$U24=1),1,0)</f>
        <v/>
      </c>
      <c r="YY25">
        <f>YY24+IF(AND($C24=128,$U24=1),1,0)</f>
        <v/>
      </c>
      <c r="YZ25">
        <f>YZ24+IF(AND($C24=129,$U24=1),1,0)</f>
        <v/>
      </c>
      <c r="ZA25">
        <f>ZA24+IF(AND($C24=130,$U24=1),1,0)</f>
        <v/>
      </c>
      <c r="ZB25">
        <f>ZB24+IF(AND($C24=131,$U24=1),1,0)</f>
        <v/>
      </c>
      <c r="ZC25">
        <f>ZC24+IF(AND($C24=132,$U24=1),1,0)</f>
        <v/>
      </c>
      <c r="ZD25">
        <f>ZD24+IF(AND($C24=133,$U24=1),1,0)</f>
        <v/>
      </c>
      <c r="ZE25">
        <f>ZE24+IF(AND($C24=134,$U24=1),1,0)</f>
        <v/>
      </c>
      <c r="ZF25">
        <f>ZF24+IF(AND($C24=135,$U24=1),1,0)</f>
        <v/>
      </c>
      <c r="ZG25">
        <f>ZG24+IF(AND($C24=136,$U24=1),1,0)</f>
        <v/>
      </c>
      <c r="ZH25">
        <f>ZH24+IF(AND($C24=137,$U24=1),1,0)</f>
        <v/>
      </c>
      <c r="ZI25">
        <f>ZI24+IF(AND($C24=138,$U24=1),1,0)</f>
        <v/>
      </c>
      <c r="ZJ25">
        <f>ZJ24+IF(AND($C24=139,$U24=1),1,0)</f>
        <v/>
      </c>
      <c r="ZK25">
        <f>ZK24+IF(AND($C24=140,$U24=1),1,0)</f>
        <v/>
      </c>
      <c r="ZL25">
        <f>ZL24+IF(AND($C24=141,$U24=1),1,0)</f>
        <v/>
      </c>
      <c r="ZM25">
        <f>ZM24+IF(AND($C24=142,$U24=1),1,0)</f>
        <v/>
      </c>
      <c r="ZN25">
        <f>ZN24+IF(AND($C24=143,$U24=1),1,0)</f>
        <v/>
      </c>
      <c r="ZO25">
        <f>ZO24+IF(AND($C24=144,$U24=1),1,0)</f>
        <v/>
      </c>
      <c r="ZQ25">
        <f>IF($C24=1,0,ZQ24+IF(AND($G24=1,$E24=1),1,0))</f>
        <v/>
      </c>
      <c r="ZR25">
        <f>IF($C24=2,0,ZR24+IF(AND($G24=2,$E24=1),1,0))</f>
        <v/>
      </c>
      <c r="ZS25">
        <f>IF($C24=3,0,ZS24+IF(AND($G24=3,$E24=1),1,0))</f>
        <v/>
      </c>
      <c r="ZT25">
        <f>IF($C24=4,0,ZT24+IF(AND($G24=4,$E24=1),1,0))</f>
        <v/>
      </c>
      <c r="ZU25">
        <f>IF($C24=5,0,ZU24+IF(AND($G24=5,$E24=1),1,0))</f>
        <v/>
      </c>
      <c r="ZV25">
        <f>IF($C24=6,0,ZV24+IF(AND($G24=6,$E24=1),1,0))</f>
        <v/>
      </c>
      <c r="ZW25">
        <f>IF($C24=7,0,ZW24+IF(AND($G24=7,$E24=1),1,0))</f>
        <v/>
      </c>
      <c r="ZX25">
        <f>IF($C24=8,0,ZX24+IF(AND($G24=8,$E24=1),1,0))</f>
        <v/>
      </c>
      <c r="ZY25">
        <f>IF($C24=9,0,ZY24+IF(AND($G24=9,$E24=1),1,0))</f>
        <v/>
      </c>
      <c r="ZZ25">
        <f>IF($C24=10,0,ZZ24+IF(AND($G24=10,$E24=1),1,0))</f>
        <v/>
      </c>
      <c r="AAA25">
        <f>IF($C24=11,0,AAA24+IF(AND($G24=11,$E24=1),1,0))</f>
        <v/>
      </c>
      <c r="AAB25">
        <f>IF($C24=12,0,AAB24+IF(AND($G24=12,$E24=1),1,0))</f>
        <v/>
      </c>
      <c r="AAC25">
        <f>IF($C24=13,0,AAC24+IF(AND($G24=13,$E24=1),1,0))</f>
        <v/>
      </c>
      <c r="AAD25">
        <f>IF($C24=14,0,AAD24+IF(AND($G24=14,$E24=1),1,0))</f>
        <v/>
      </c>
      <c r="AAE25">
        <f>IF($C24=15,0,AAE24+IF(AND($G24=15,$E24=1),1,0))</f>
        <v/>
      </c>
      <c r="AAF25">
        <f>IF($C24=16,0,AAF24+IF(AND($G24=16,$E24=1),1,0))</f>
        <v/>
      </c>
      <c r="AAG25">
        <f>IF($C24=17,0,AAG24+IF(AND($G24=17,$E24=1),1,0))</f>
        <v/>
      </c>
      <c r="AAH25">
        <f>IF($C24=18,0,AAH24+IF(AND($G24=18,$E24=1),1,0))</f>
        <v/>
      </c>
      <c r="AAI25">
        <f>IF($C24=19,0,AAI24+IF(AND($G24=19,$E24=1),1,0))</f>
        <v/>
      </c>
      <c r="AAJ25">
        <f>IF($C24=20,0,AAJ24+IF(AND($G24=20,$E24=1),1,0))</f>
        <v/>
      </c>
      <c r="AAK25">
        <f>IF($C24=21,0,AAK24+IF(AND($G24=21,$E24=1),1,0))</f>
        <v/>
      </c>
      <c r="AAL25">
        <f>IF($C24=22,0,AAL24+IF(AND($G24=22,$E24=1),1,0))</f>
        <v/>
      </c>
      <c r="AAM25">
        <f>IF($C24=23,0,AAM24+IF(AND($G24=23,$E24=1),1,0))</f>
        <v/>
      </c>
      <c r="AAN25">
        <f>IF($C24=24,0,AAN24+IF(AND($G24=24,$E24=1),1,0))</f>
        <v/>
      </c>
      <c r="AAO25">
        <f>IF($C24=25,0,AAO24+IF(AND($G24=25,$E24=1),1,0))</f>
        <v/>
      </c>
      <c r="AAP25">
        <f>IF($C24=26,0,AAP24+IF(AND($G24=26,$E24=1),1,0))</f>
        <v/>
      </c>
      <c r="AAQ25">
        <f>IF($C24=27,0,AAQ24+IF(AND($G24=27,$E24=1),1,0))</f>
        <v/>
      </c>
      <c r="AAR25">
        <f>IF($C24=28,0,AAR24+IF(AND($G24=28,$E24=1),1,0))</f>
        <v/>
      </c>
      <c r="AAS25">
        <f>IF($C24=29,0,AAS24+IF(AND($G24=29,$E24=1),1,0))</f>
        <v/>
      </c>
      <c r="AAT25">
        <f>IF($C24=30,0,AAT24+IF(AND($G24=30,$E24=1),1,0))</f>
        <v/>
      </c>
      <c r="AAU25">
        <f>IF($C24=31,0,AAU24+IF(AND($G24=31,$E24=1),1,0))</f>
        <v/>
      </c>
      <c r="AAV25">
        <f>IF($C24=32,0,AAV24+IF(AND($G24=32,$E24=1),1,0))</f>
        <v/>
      </c>
      <c r="AAW25">
        <f>IF($C24=33,0,AAW24+IF(AND($G24=33,$E24=1),1,0))</f>
        <v/>
      </c>
      <c r="AAX25">
        <f>IF($C24=34,0,AAX24+IF(AND($G24=34,$E24=1),1,0))</f>
        <v/>
      </c>
      <c r="AAY25">
        <f>IF($C24=35,0,AAY24+IF(AND($G24=35,$E24=1),1,0))</f>
        <v/>
      </c>
      <c r="AAZ25">
        <f>IF($C24=36,0,AAZ24+IF(AND($G24=36,$E24=1),1,0))</f>
        <v/>
      </c>
      <c r="ABA25">
        <f>IF($C24=37,0,ABA24+IF(AND($G24=37,$E24=1),1,0))</f>
        <v/>
      </c>
      <c r="ABB25">
        <f>IF($C24=38,0,ABB24+IF(AND($G24=38,$E24=1),1,0))</f>
        <v/>
      </c>
      <c r="ABC25">
        <f>IF($C24=39,0,ABC24+IF(AND($G24=39,$E24=1),1,0))</f>
        <v/>
      </c>
      <c r="ABD25">
        <f>IF($C24=40,0,ABD24+IF(AND($G24=40,$E24=1),1,0))</f>
        <v/>
      </c>
      <c r="ABE25">
        <f>IF($C24=41,0,ABE24+IF(AND($G24=41,$E24=1),1,0))</f>
        <v/>
      </c>
      <c r="ABF25">
        <f>IF($C24=42,0,ABF24+IF(AND($G24=42,$E24=1),1,0))</f>
        <v/>
      </c>
      <c r="ABG25">
        <f>IF($C24=43,0,ABG24+IF(AND($G24=43,$E24=1),1,0))</f>
        <v/>
      </c>
      <c r="ABH25">
        <f>IF($C24=44,0,ABH24+IF(AND($G24=44,$E24=1),1,0))</f>
        <v/>
      </c>
      <c r="ABI25">
        <f>IF($C24=45,0,ABI24+IF(AND($G24=45,$E24=1),1,0))</f>
        <v/>
      </c>
      <c r="ABJ25">
        <f>IF($C24=46,0,ABJ24+IF(AND($G24=46,$E24=1),1,0))</f>
        <v/>
      </c>
      <c r="ABK25">
        <f>IF($C24=47,0,ABK24+IF(AND($G24=47,$E24=1),1,0))</f>
        <v/>
      </c>
      <c r="ABL25">
        <f>IF($C24=48,0,ABL24+IF(AND($G24=48,$E24=1),1,0))</f>
        <v/>
      </c>
      <c r="ABM25">
        <f>IF($C24=49,0,ABM24+IF(AND($G24=49,$E24=1),1,0))</f>
        <v/>
      </c>
      <c r="ABN25">
        <f>IF($C24=50,0,ABN24+IF(AND($G24=50,$E24=1),1,0))</f>
        <v/>
      </c>
      <c r="ABO25">
        <f>IF($C24=51,0,ABO24+IF(AND($G24=51,$E24=1),1,0))</f>
        <v/>
      </c>
      <c r="ABP25">
        <f>IF($C24=52,0,ABP24+IF(AND($G24=52,$E24=1),1,0))</f>
        <v/>
      </c>
      <c r="ABQ25">
        <f>IF($C24=53,0,ABQ24+IF(AND($G24=53,$E24=1),1,0))</f>
        <v/>
      </c>
      <c r="ABR25">
        <f>IF($C24=54,0,ABR24+IF(AND($G24=54,$E24=1),1,0))</f>
        <v/>
      </c>
      <c r="ABS25">
        <f>IF($C24=55,0,ABS24+IF(AND($G24=55,$E24=1),1,0))</f>
        <v/>
      </c>
      <c r="ABT25">
        <f>IF($C24=56,0,ABT24+IF(AND($G24=56,$E24=1),1,0))</f>
        <v/>
      </c>
      <c r="ABU25">
        <f>IF($C24=57,0,ABU24+IF(AND($G24=57,$E24=1),1,0))</f>
        <v/>
      </c>
      <c r="ABV25">
        <f>IF($C24=58,0,ABV24+IF(AND($G24=58,$E24=1),1,0))</f>
        <v/>
      </c>
      <c r="ABW25">
        <f>IF($C24=59,0,ABW24+IF(AND($G24=59,$E24=1),1,0))</f>
        <v/>
      </c>
      <c r="ABX25">
        <f>IF($C24=60,0,ABX24+IF(AND($G24=60,$E24=1),1,0))</f>
        <v/>
      </c>
      <c r="ABY25">
        <f>IF($C24=61,0,ABY24+IF(AND($G24=61,$E24=1),1,0))</f>
        <v/>
      </c>
      <c r="ABZ25">
        <f>IF($C24=62,0,ABZ24+IF(AND($G24=62,$E24=1),1,0))</f>
        <v/>
      </c>
      <c r="ACA25">
        <f>IF($C24=63,0,ACA24+IF(AND($G24=63,$E24=1),1,0))</f>
        <v/>
      </c>
      <c r="ACB25">
        <f>IF($C24=64,0,ACB24+IF(AND($G24=64,$E24=1),1,0))</f>
        <v/>
      </c>
      <c r="ACC25">
        <f>IF($C24=65,0,ACC24+IF(AND($G24=65,$E24=1),1,0))</f>
        <v/>
      </c>
      <c r="ACD25">
        <f>IF($C24=66,0,ACD24+IF(AND($G24=66,$E24=1),1,0))</f>
        <v/>
      </c>
      <c r="ACE25">
        <f>IF($C24=67,0,ACE24+IF(AND($G24=67,$E24=1),1,0))</f>
        <v/>
      </c>
      <c r="ACF25">
        <f>IF($C24=68,0,ACF24+IF(AND($G24=68,$E24=1),1,0))</f>
        <v/>
      </c>
      <c r="ACG25">
        <f>IF($C24=69,0,ACG24+IF(AND($G24=69,$E24=1),1,0))</f>
        <v/>
      </c>
      <c r="ACH25">
        <f>IF($C24=70,0,ACH24+IF(AND($G24=70,$E24=1),1,0))</f>
        <v/>
      </c>
      <c r="ACI25">
        <f>IF($C24=71,0,ACI24+IF(AND($G24=71,$E24=1),1,0))</f>
        <v/>
      </c>
      <c r="ACJ25">
        <f>IF($C24=72,0,ACJ24+IF(AND($G24=72,$E24=1),1,0))</f>
        <v/>
      </c>
      <c r="ACK25">
        <f>IF($C24=73,0,ACK24+IF(AND($G24=73,$E24=1),1,0))</f>
        <v/>
      </c>
      <c r="ACL25">
        <f>IF($C24=74,0,ACL24+IF(AND($G24=74,$E24=1),1,0))</f>
        <v/>
      </c>
      <c r="ACM25">
        <f>IF($C24=75,0,ACM24+IF(AND($G24=75,$E24=1),1,0))</f>
        <v/>
      </c>
      <c r="ACN25">
        <f>IF($C24=76,0,ACN24+IF(AND($G24=76,$E24=1),1,0))</f>
        <v/>
      </c>
      <c r="ACO25">
        <f>IF($C24=77,0,ACO24+IF(AND($G24=77,$E24=1),1,0))</f>
        <v/>
      </c>
      <c r="ACP25">
        <f>IF($C24=78,0,ACP24+IF(AND($G24=78,$E24=1),1,0))</f>
        <v/>
      </c>
      <c r="ACQ25">
        <f>IF($C24=79,0,ACQ24+IF(AND($G24=79,$E24=1),1,0))</f>
        <v/>
      </c>
      <c r="ACR25">
        <f>IF($C24=80,0,ACR24+IF(AND($G24=80,$E24=1),1,0))</f>
        <v/>
      </c>
      <c r="ACS25">
        <f>IF($C24=81,0,ACS24+IF(AND($G24=81,$E24=1),1,0))</f>
        <v/>
      </c>
      <c r="ACT25">
        <f>IF($C24=82,0,ACT24+IF(AND($G24=82,$E24=1),1,0))</f>
        <v/>
      </c>
      <c r="ACU25">
        <f>IF($C24=83,0,ACU24+IF(AND($G24=83,$E24=1),1,0))</f>
        <v/>
      </c>
      <c r="ACV25">
        <f>IF($C24=84,0,ACV24+IF(AND($G24=84,$E24=1),1,0))</f>
        <v/>
      </c>
      <c r="ACW25">
        <f>IF($C24=85,0,ACW24+IF(AND($G24=85,$E24=1),1,0))</f>
        <v/>
      </c>
      <c r="ACX25">
        <f>IF($C24=86,0,ACX24+IF(AND($G24=86,$E24=1),1,0))</f>
        <v/>
      </c>
      <c r="ACY25">
        <f>IF($C24=87,0,ACY24+IF(AND($G24=87,$E24=1),1,0))</f>
        <v/>
      </c>
      <c r="ACZ25">
        <f>IF($C24=88,0,ACZ24+IF(AND($G24=88,$E24=1),1,0))</f>
        <v/>
      </c>
      <c r="ADA25">
        <f>IF($C24=89,0,ADA24+IF(AND($G24=89,$E24=1),1,0))</f>
        <v/>
      </c>
      <c r="ADB25">
        <f>IF($C24=90,0,ADB24+IF(AND($G24=90,$E24=1),1,0))</f>
        <v/>
      </c>
      <c r="ADC25">
        <f>IF($C24=91,0,ADC24+IF(AND($G24=91,$E24=1),1,0))</f>
        <v/>
      </c>
      <c r="ADD25">
        <f>IF($C24=92,0,ADD24+IF(AND($G24=92,$E24=1),1,0))</f>
        <v/>
      </c>
      <c r="ADE25">
        <f>IF($C24=93,0,ADE24+IF(AND($G24=93,$E24=1),1,0))</f>
        <v/>
      </c>
      <c r="ADF25">
        <f>IF($C24=94,0,ADF24+IF(AND($G24=94,$E24=1),1,0))</f>
        <v/>
      </c>
      <c r="ADG25">
        <f>IF($C24=95,0,ADG24+IF(AND($G24=95,$E24=1),1,0))</f>
        <v/>
      </c>
      <c r="ADH25">
        <f>IF($C24=96,0,ADH24+IF(AND($G24=96,$E24=1),1,0))</f>
        <v/>
      </c>
      <c r="ADI25">
        <f>IF($C24=97,0,ADI24+IF(AND($G24=97,$E24=1),1,0))</f>
        <v/>
      </c>
      <c r="ADJ25">
        <f>IF($C24=98,0,ADJ24+IF(AND($G24=98,$E24=1),1,0))</f>
        <v/>
      </c>
      <c r="ADK25">
        <f>IF($C24=99,0,ADK24+IF(AND($G24=99,$E24=1),1,0))</f>
        <v/>
      </c>
      <c r="ADL25">
        <f>IF($C24=100,0,ADL24+IF(AND($G24=100,$E24=1),1,0))</f>
        <v/>
      </c>
      <c r="ADM25">
        <f>IF($C24=101,0,ADM24+IF(AND($G24=101,$E24=1),1,0))</f>
        <v/>
      </c>
      <c r="ADN25">
        <f>IF($C24=102,0,ADN24+IF(AND($G24=102,$E24=1),1,0))</f>
        <v/>
      </c>
      <c r="ADO25">
        <f>IF($C24=103,0,ADO24+IF(AND($G24=103,$E24=1),1,0))</f>
        <v/>
      </c>
      <c r="ADP25">
        <f>IF($C24=104,0,ADP24+IF(AND($G24=104,$E24=1),1,0))</f>
        <v/>
      </c>
      <c r="ADQ25">
        <f>IF($C24=105,0,ADQ24+IF(AND($G24=105,$E24=1),1,0))</f>
        <v/>
      </c>
      <c r="ADR25">
        <f>IF($C24=106,0,ADR24+IF(AND($G24=106,$E24=1),1,0))</f>
        <v/>
      </c>
      <c r="ADS25">
        <f>IF($C24=107,0,ADS24+IF(AND($G24=107,$E24=1),1,0))</f>
        <v/>
      </c>
      <c r="ADT25">
        <f>IF($C24=108,0,ADT24+IF(AND($G24=108,$E24=1),1,0))</f>
        <v/>
      </c>
      <c r="ADU25">
        <f>IF($C24=109,0,ADU24+IF(AND($G24=109,$E24=1),1,0))</f>
        <v/>
      </c>
      <c r="ADV25">
        <f>IF($C24=110,0,ADV24+IF(AND($G24=110,$E24=1),1,0))</f>
        <v/>
      </c>
      <c r="ADW25">
        <f>IF($C24=111,0,ADW24+IF(AND($G24=111,$E24=1),1,0))</f>
        <v/>
      </c>
      <c r="ADX25">
        <f>IF($C24=112,0,ADX24+IF(AND($G24=112,$E24=1),1,0))</f>
        <v/>
      </c>
      <c r="ADY25">
        <f>IF($C24=113,0,ADY24+IF(AND($G24=113,$E24=1),1,0))</f>
        <v/>
      </c>
      <c r="ADZ25">
        <f>IF($C24=114,0,ADZ24+IF(AND($G24=114,$E24=1),1,0))</f>
        <v/>
      </c>
      <c r="AEA25">
        <f>IF($C24=115,0,AEA24+IF(AND($G24=115,$E24=1),1,0))</f>
        <v/>
      </c>
      <c r="AEB25">
        <f>IF($C24=116,0,AEB24+IF(AND($G24=116,$E24=1),1,0))</f>
        <v/>
      </c>
      <c r="AEC25">
        <f>IF($C24=117,0,AEC24+IF(AND($G24=117,$E24=1),1,0))</f>
        <v/>
      </c>
      <c r="AED25">
        <f>IF($C24=118,0,AED24+IF(AND($G24=118,$E24=1),1,0))</f>
        <v/>
      </c>
      <c r="AEE25">
        <f>IF($C24=119,0,AEE24+IF(AND($G24=119,$E24=1),1,0))</f>
        <v/>
      </c>
      <c r="AEF25">
        <f>IF($C24=120,0,AEF24+IF(AND($G24=120,$E24=1),1,0))</f>
        <v/>
      </c>
      <c r="AEG25">
        <f>IF($C24=121,0,AEG24+IF(AND($G24=121,$E24=1),1,0))</f>
        <v/>
      </c>
      <c r="AEH25">
        <f>IF($C24=122,0,AEH24+IF(AND($G24=122,$E24=1),1,0))</f>
        <v/>
      </c>
      <c r="AEI25">
        <f>IF($C24=123,0,AEI24+IF(AND($G24=123,$E24=1),1,0))</f>
        <v/>
      </c>
      <c r="AEJ25">
        <f>IF($C24=124,0,AEJ24+IF(AND($G24=124,$E24=1),1,0))</f>
        <v/>
      </c>
      <c r="AEK25">
        <f>IF($C24=125,0,AEK24+IF(AND($G24=125,$E24=1),1,0))</f>
        <v/>
      </c>
      <c r="AEL25">
        <f>IF($C24=126,0,AEL24+IF(AND($G24=126,$E24=1),1,0))</f>
        <v/>
      </c>
      <c r="AEM25">
        <f>IF($C24=127,0,AEM24+IF(AND($G24=127,$E24=1),1,0))</f>
        <v/>
      </c>
      <c r="AEN25">
        <f>IF($C24=128,0,AEN24+IF(AND($G24=128,$E24=1),1,0))</f>
        <v/>
      </c>
      <c r="AEO25">
        <f>IF($C24=129,0,AEO24+IF(AND($G24=129,$E24=1),1,0))</f>
        <v/>
      </c>
      <c r="AEP25">
        <f>IF($C24=130,0,AEP24+IF(AND($G24=130,$E24=1),1,0))</f>
        <v/>
      </c>
      <c r="AEQ25">
        <f>IF($C24=131,0,AEQ24+IF(AND($G24=131,$E24=1),1,0))</f>
        <v/>
      </c>
      <c r="AER25">
        <f>IF($C24=132,0,AER24+IF(AND($G24=132,$E24=1),1,0))</f>
        <v/>
      </c>
      <c r="AES25">
        <f>IF($C24=133,0,AES24+IF(AND($G24=133,$E24=1),1,0))</f>
        <v/>
      </c>
      <c r="AET25">
        <f>IF($C24=134,0,AET24+IF(AND($G24=134,$E24=1),1,0))</f>
        <v/>
      </c>
      <c r="AEU25">
        <f>IF($C24=135,0,AEU24+IF(AND($G24=135,$E24=1),1,0))</f>
        <v/>
      </c>
      <c r="AEV25">
        <f>IF($C24=136,0,AEV24+IF(AND($G24=136,$E24=1),1,0))</f>
        <v/>
      </c>
      <c r="AEW25">
        <f>IF($C24=137,0,AEW24+IF(AND($G24=137,$E24=1),1,0))</f>
        <v/>
      </c>
      <c r="AEX25">
        <f>IF($C24=138,0,AEX24+IF(AND($G24=138,$E24=1),1,0))</f>
        <v/>
      </c>
      <c r="AEY25">
        <f>IF($C24=139,0,AEY24+IF(AND($G24=139,$E24=1),1,0))</f>
        <v/>
      </c>
      <c r="AEZ25">
        <f>IF($C24=140,0,AEZ24+IF(AND($G24=140,$E24=1),1,0))</f>
        <v/>
      </c>
      <c r="AFA25">
        <f>IF($C24=141,0,AFA24+IF(AND($G24=141,$E24=1),1,0))</f>
        <v/>
      </c>
      <c r="AFB25">
        <f>IF($C24=142,0,AFB24+IF(AND($G24=142,$E24=1),1,0))</f>
        <v/>
      </c>
      <c r="AFC25">
        <f>IF($C24=143,0,AFC24+IF(AND($G24=143,$E24=1),1,0))</f>
        <v/>
      </c>
      <c r="AFD25">
        <f>IF($C24=144,0,AFD24+IF(AND($G24=144,$E24=1),1,0))</f>
        <v/>
      </c>
      <c r="AFF25">
        <f>IF('calcA'!D$106=1,DC25+ZR25,1)</f>
        <v/>
      </c>
      <c r="AFG25">
        <f>IF('calcA'!E$106=1,DD25+ZS25,1)</f>
        <v/>
      </c>
      <c r="AFH25">
        <f>IF('calcA'!F$106=1,DE25+ZT25,1)</f>
        <v/>
      </c>
      <c r="AFI25">
        <f>IF('calcA'!G$106=1,DF25+ZU25,1)</f>
        <v/>
      </c>
      <c r="AFJ25">
        <f>IF('calcA'!H$106=1,DG25+ZV25,1)</f>
        <v/>
      </c>
      <c r="AFK25">
        <f>IF('calcA'!I$106=1,DH25+ZW25,1)</f>
        <v/>
      </c>
      <c r="AFL25">
        <f>IF('calcA'!J$106=1,DI25+ZX25,1)</f>
        <v/>
      </c>
      <c r="AFM25">
        <f>IF('calcA'!K$106=1,DJ25+ZY25,1)</f>
        <v/>
      </c>
      <c r="AFN25">
        <f>IF('calcA'!L$106=1,DK25+ZZ25,1)</f>
        <v/>
      </c>
      <c r="AFO25">
        <f>IF('calcA'!M$106=1,DL25+AAA25,1)</f>
        <v/>
      </c>
      <c r="AFP25">
        <f>IF('calcA'!N$106=1,DM25+AAB25,1)</f>
        <v/>
      </c>
      <c r="AFQ25">
        <f>IF('calcA'!O$106=1,DN25+AAC25,1)</f>
        <v/>
      </c>
      <c r="AFR25">
        <f>IF('calcA'!P$106=1,DO25+AAD25,1)</f>
        <v/>
      </c>
      <c r="AFS25">
        <f>IF('calcA'!Q$106=1,DP25+AAE25,1)</f>
        <v/>
      </c>
      <c r="AFT25">
        <f>IF('calcA'!R$106=1,DQ25+AAF25,1)</f>
        <v/>
      </c>
      <c r="AFU25">
        <f>IF('calcA'!S$106=1,DR25+AAG25,1)</f>
        <v/>
      </c>
      <c r="AFV25">
        <f>IF('calcA'!T$106=1,DS25+AAH25,1)</f>
        <v/>
      </c>
      <c r="AFW25">
        <f>IF('calcA'!U$106=1,DT25+AAI25,1)</f>
        <v/>
      </c>
      <c r="AFX25">
        <f>IF('calcA'!V$106=1,DU25+AAJ25,1)</f>
        <v/>
      </c>
      <c r="AFY25">
        <f>IF('calcA'!W$106=1,DV25+AAK25,1)</f>
        <v/>
      </c>
      <c r="AFZ25">
        <f>IF('calcA'!X$106=1,DW25+AAL25,1)</f>
        <v/>
      </c>
      <c r="AGA25">
        <f>IF('calcA'!Y$106=1,DX25+AAM25,1)</f>
        <v/>
      </c>
      <c r="AGB25">
        <f>IF('calcA'!Z$106=1,DY25+AAN25,1)</f>
        <v/>
      </c>
      <c r="AGC25">
        <f>IF('calcA'!AA$106=1,DZ25+AAO25,1)</f>
        <v/>
      </c>
      <c r="AGD25">
        <f>IF('calcA'!AB$106=1,EA25+AAP25,1)</f>
        <v/>
      </c>
      <c r="AGE25">
        <f>IF('calcA'!AC$106=1,EB25+AAQ25,1)</f>
        <v/>
      </c>
      <c r="AGF25">
        <f>IF('calcA'!AD$106=1,EC25+AAR25,1)</f>
        <v/>
      </c>
      <c r="AGG25">
        <f>IF('calcA'!AE$106=1,ED25+AAS25,1)</f>
        <v/>
      </c>
      <c r="AGH25">
        <f>IF('calcA'!AF$106=1,EE25+AAT25,1)</f>
        <v/>
      </c>
      <c r="AGI25">
        <f>IF('calcA'!AG$106=1,EF25+AAU25,1)</f>
        <v/>
      </c>
      <c r="AGJ25">
        <f>IF('calcA'!AH$106=1,EG25+AAV25,1)</f>
        <v/>
      </c>
      <c r="AGK25">
        <f>IF('calcA'!AI$106=1,EH25+AAW25,1)</f>
        <v/>
      </c>
      <c r="AGL25">
        <f>IF('calcA'!AJ$106=1,EI25+AAX25,1)</f>
        <v/>
      </c>
      <c r="AGM25">
        <f>IF('calcA'!AK$106=1,EJ25+AAY25,1)</f>
        <v/>
      </c>
      <c r="AGN25">
        <f>IF('calcA'!AL$106=1,EK25+AAZ25,1)</f>
        <v/>
      </c>
      <c r="AGO25">
        <f>IF('calcA'!AM$106=1,EL25+ABA25,1)</f>
        <v/>
      </c>
      <c r="AGP25">
        <f>IF('calcA'!AN$106=1,EM25+ABB25,1)</f>
        <v/>
      </c>
      <c r="AGQ25">
        <f>IF('calcA'!AO$106=1,EN25+ABC25,1)</f>
        <v/>
      </c>
      <c r="AGR25">
        <f>IF('calcA'!AP$106=1,EO25+ABD25,1)</f>
        <v/>
      </c>
      <c r="AGS25">
        <f>IF('calcA'!AQ$106=1,EP25+ABE25,1)</f>
        <v/>
      </c>
      <c r="AGT25">
        <f>IF('calcA'!AR$106=1,EQ25+ABF25,1)</f>
        <v/>
      </c>
      <c r="AGU25">
        <f>IF('calcA'!AS$106=1,ER25+ABG25,1)</f>
        <v/>
      </c>
      <c r="AGV25">
        <f>IF('calcA'!AT$106=1,ES25+ABH25,1)</f>
        <v/>
      </c>
      <c r="AGW25">
        <f>IF('calcA'!AU$106=1,ET25+ABI25,1)</f>
        <v/>
      </c>
      <c r="AGX25">
        <f>IF('calcA'!AV$106=1,EU25+ABJ25,1)</f>
        <v/>
      </c>
      <c r="AGY25">
        <f>IF('calcA'!AW$106=1,EV25+ABK25,1)</f>
        <v/>
      </c>
      <c r="AGZ25">
        <f>IF('calcA'!AX$106=1,EW25+ABL25,1)</f>
        <v/>
      </c>
      <c r="AHA25">
        <f>IF('calcA'!AY$106=1,EX25+ABM25,1)</f>
        <v/>
      </c>
      <c r="AHB25">
        <f>IF('calcA'!AZ$106=1,EY25+ABN25,1)</f>
        <v/>
      </c>
      <c r="AHC25">
        <f>IF('calcA'!BA$106=1,EZ25+ABO25,1)</f>
        <v/>
      </c>
      <c r="AHD25">
        <f>IF('calcA'!BB$106=1,FA25+ABP25,1)</f>
        <v/>
      </c>
      <c r="AHE25">
        <f>IF('calcA'!BC$106=1,FB25+ABQ25,1)</f>
        <v/>
      </c>
      <c r="AHF25">
        <f>IF('calcA'!BD$106=1,FC25+ABR25,1)</f>
        <v/>
      </c>
      <c r="AHG25">
        <f>IF('calcA'!BE$106=1,FD25+ABS25,1)</f>
        <v/>
      </c>
      <c r="AHH25">
        <f>IF('calcA'!BF$106=1,FE25+ABT25,1)</f>
        <v/>
      </c>
      <c r="AHI25">
        <f>IF('calcA'!BG$106=1,FF25+ABU25,1)</f>
        <v/>
      </c>
      <c r="AHJ25">
        <f>IF('calcA'!BH$106=1,FG25+ABV25,1)</f>
        <v/>
      </c>
      <c r="AHK25">
        <f>IF('calcA'!BI$106=1,FH25+ABW25,1)</f>
        <v/>
      </c>
      <c r="AHL25">
        <f>IF('calcA'!BJ$106=1,FI25+ABX25,1)</f>
        <v/>
      </c>
      <c r="AHM25">
        <f>IF('calcA'!BK$106=1,FJ25+ABY25,1)</f>
        <v/>
      </c>
      <c r="AHN25">
        <f>IF('calcA'!BL$106=1,FK25+ABZ25,1)</f>
        <v/>
      </c>
      <c r="AHO25">
        <f>IF('calcA'!BM$106=1,FL25+ACA25,1)</f>
        <v/>
      </c>
      <c r="AHP25">
        <f>IF('calcA'!BN$106=1,FM25+ACB25,1)</f>
        <v/>
      </c>
      <c r="AHQ25">
        <f>IF('calcA'!BO$106=1,FN25+ACC25,1)</f>
        <v/>
      </c>
      <c r="AHR25">
        <f>IF('calcA'!BP$106=1,FO25+ACD25,1)</f>
        <v/>
      </c>
      <c r="AHS25">
        <f>IF('calcA'!BQ$106=1,FP25+ACE25,1)</f>
        <v/>
      </c>
      <c r="AHT25">
        <f>IF('calcA'!BR$106=1,FQ25+ACF25,1)</f>
        <v/>
      </c>
      <c r="AHU25">
        <f>IF('calcA'!BS$106=1,FR25+ACG25,1)</f>
        <v/>
      </c>
      <c r="AHV25">
        <f>IF('calcA'!BT$106=1,FS25+ACH25,1)</f>
        <v/>
      </c>
      <c r="AHW25">
        <f>IF('calcA'!BU$106=1,FT25+ACI25,1)</f>
        <v/>
      </c>
      <c r="AHX25">
        <f>IF('calcA'!BV$106=1,FU25+ACJ25,1)</f>
        <v/>
      </c>
      <c r="AHY25">
        <f>IF('calcA'!BW$106=1,FV25+ACK25,1)</f>
        <v/>
      </c>
      <c r="AHZ25">
        <f>IF('calcA'!BX$106=1,FW25+ACL25,1)</f>
        <v/>
      </c>
      <c r="AIA25">
        <f>IF('calcA'!BY$106=1,FX25+ACM25,1)</f>
        <v/>
      </c>
      <c r="AIB25">
        <f>IF('calcA'!BZ$106=1,FY25+ACN25,1)</f>
        <v/>
      </c>
      <c r="AIC25">
        <f>IF('calcA'!CA$106=1,FZ25+ACO25,1)</f>
        <v/>
      </c>
      <c r="AID25">
        <f>IF('calcA'!CB$106=1,GA25+ACP25,1)</f>
        <v/>
      </c>
      <c r="AIE25">
        <f>IF('calcA'!CC$106=1,GB25+ACQ25,1)</f>
        <v/>
      </c>
      <c r="AIF25">
        <f>IF('calcA'!CD$106=1,GC25+ACR25,1)</f>
        <v/>
      </c>
      <c r="AIG25">
        <f>IF('calcA'!CE$106=1,GD25+ACS25,1)</f>
        <v/>
      </c>
      <c r="AIH25">
        <f>IF('calcA'!CF$106=1,GE25+ACT25,1)</f>
        <v/>
      </c>
      <c r="AII25">
        <f>IF('calcA'!CG$106=1,GF25+ACU25,1)</f>
        <v/>
      </c>
      <c r="AIJ25">
        <f>IF('calcA'!CH$106=1,GG25+ACV25,1)</f>
        <v/>
      </c>
      <c r="AIK25">
        <f>IF('calcA'!CI$106=1,GH25+ACW25,1)</f>
        <v/>
      </c>
      <c r="AIL25">
        <f>IF('calcA'!CJ$106=1,GI25+ACX25,1)</f>
        <v/>
      </c>
      <c r="AIM25">
        <f>IF('calcA'!CK$106=1,GJ25+ACY25,1)</f>
        <v/>
      </c>
      <c r="AIN25">
        <f>IF('calcA'!CL$106=1,GK25+ACZ25,1)</f>
        <v/>
      </c>
      <c r="AIO25">
        <f>IF('calcA'!CM$106=1,GL25+ADA25,1)</f>
        <v/>
      </c>
      <c r="AIP25">
        <f>IF('calcA'!CN$106=1,GM25+ADB25,1)</f>
        <v/>
      </c>
      <c r="AIQ25">
        <f>IF('calcA'!CO$106=1,GN25+ADC25,1)</f>
        <v/>
      </c>
      <c r="AIR25">
        <f>IF('calcA'!CP$106=1,GO25+ADD25,1)</f>
        <v/>
      </c>
      <c r="AIS25">
        <f>IF('calcA'!CQ$106=1,GP25+ADE25,1)</f>
        <v/>
      </c>
      <c r="AIT25">
        <f>IF('calcA'!CR$106=1,GQ25+ADF25,1)</f>
        <v/>
      </c>
      <c r="AIU25">
        <f>IF('calcA'!CS$106=1,GR25+ADG25,1)</f>
        <v/>
      </c>
      <c r="AIV25">
        <f>IF('calcA'!CT$106=1,GS25+ADH25,1)</f>
        <v/>
      </c>
      <c r="AIW25">
        <f>IF('calcA'!CU$106=1,GT25+ADI25,1)</f>
        <v/>
      </c>
      <c r="AIX25">
        <f>IF('calcA'!CV$106=1,GU25+ADJ25,1)</f>
        <v/>
      </c>
      <c r="AIY25">
        <f>IF('calcA'!CW$106=1,GV25+ADK25,1)</f>
        <v/>
      </c>
      <c r="AIZ25">
        <f>IF('calcA'!CX$106=1,GW25+ADL25,1)</f>
        <v/>
      </c>
      <c r="AJA25">
        <f>IF('calcA'!CY$106=1,GX25+ADM25,1)</f>
        <v/>
      </c>
      <c r="AJB25">
        <f>IF('calcA'!CZ$106=1,GY25+ADN25,1)</f>
        <v/>
      </c>
      <c r="AJC25">
        <f>IF('calcA'!DA$106=1,GZ25+ADO25,1)</f>
        <v/>
      </c>
      <c r="AJD25">
        <f>IF('calcA'!DB$106=1,HA25+ADP25,1)</f>
        <v/>
      </c>
      <c r="AJE25">
        <f>IF('calcA'!DC$106=1,HB25+ADQ25,1)</f>
        <v/>
      </c>
      <c r="AJF25">
        <f>IF('calcA'!DD$106=1,HC25+ADR25,1)</f>
        <v/>
      </c>
      <c r="AJG25">
        <f>IF('calcA'!DE$106=1,HD25+ADS25,1)</f>
        <v/>
      </c>
      <c r="AJH25">
        <f>IF('calcA'!DF$106=1,HE25+ADT25,1)</f>
        <v/>
      </c>
      <c r="AJI25">
        <f>IF('calcA'!DG$106=1,HF25+ADU25,1)</f>
        <v/>
      </c>
      <c r="AJJ25">
        <f>IF('calcA'!DH$106=1,HG25+ADV25,1)</f>
        <v/>
      </c>
      <c r="AJK25">
        <f>IF('calcA'!DI$106=1,HH25+ADW25,1)</f>
        <v/>
      </c>
      <c r="AJL25">
        <f>IF('calcA'!DJ$106=1,HI25+ADX25,1)</f>
        <v/>
      </c>
      <c r="AJM25">
        <f>IF('calcA'!DK$106=1,HJ25+ADY25,1)</f>
        <v/>
      </c>
      <c r="AJN25">
        <f>IF('calcA'!DL$106=1,HK25+ADZ25,1)</f>
        <v/>
      </c>
      <c r="AJO25">
        <f>IF('calcA'!DM$106=1,HL25+AEA25,1)</f>
        <v/>
      </c>
      <c r="AJP25">
        <f>IF('calcA'!DN$106=1,HM25+AEB25,1)</f>
        <v/>
      </c>
      <c r="AJQ25">
        <f>IF('calcA'!DO$106=1,HN25+AEC25,1)</f>
        <v/>
      </c>
      <c r="AJR25">
        <f>IF('calcA'!DP$106=1,HO25+AED25,1)</f>
        <v/>
      </c>
      <c r="AJS25">
        <f>IF('calcA'!DQ$106=1,HP25+AEE25,1)</f>
        <v/>
      </c>
      <c r="AJT25">
        <f>IF('calcA'!DR$106=1,HQ25+AEF25,1)</f>
        <v/>
      </c>
      <c r="AJU25">
        <f>IF('calcA'!DS$106=1,HR25+AEG25,1)</f>
        <v/>
      </c>
      <c r="AJV25">
        <f>IF('calcA'!DT$106=1,HS25+AEH25,1)</f>
        <v/>
      </c>
      <c r="AJW25">
        <f>IF('calcA'!DU$106=1,HT25+AEI25,1)</f>
        <v/>
      </c>
      <c r="AJX25">
        <f>IF('calcA'!DV$106=1,HU25+AEJ25,1)</f>
        <v/>
      </c>
      <c r="AJY25">
        <f>IF('calcA'!DW$106=1,HV25+AEK25,1)</f>
        <v/>
      </c>
      <c r="AJZ25">
        <f>IF('calcA'!DX$106=1,HW25+AEL25,1)</f>
        <v/>
      </c>
      <c r="AKA25">
        <f>IF('calcA'!DY$106=1,HX25+AEM25,1)</f>
        <v/>
      </c>
      <c r="AKB25">
        <f>IF('calcA'!DZ$106=1,HY25+AEN25,1)</f>
        <v/>
      </c>
      <c r="AKC25">
        <f>IF('calcA'!EA$106=1,HZ25+AEO25,1)</f>
        <v/>
      </c>
      <c r="AKD25">
        <f>IF('calcA'!EB$106=1,IA25+AEP25,1)</f>
        <v/>
      </c>
      <c r="AKE25">
        <f>IF('calcA'!EC$106=1,IB25+AEQ25,1)</f>
        <v/>
      </c>
      <c r="AKF25">
        <f>IF('calcA'!ED$106=1,IC25+AER25,1)</f>
        <v/>
      </c>
      <c r="AKG25">
        <f>IF('calcA'!EE$106=1,ID25+AES25,1)</f>
        <v/>
      </c>
      <c r="AKH25">
        <f>IF('calcA'!EF$106=1,IE25+AET25,1)</f>
        <v/>
      </c>
      <c r="AKI25">
        <f>IF('calcA'!EG$106=1,IF25+AEU25,1)</f>
        <v/>
      </c>
      <c r="AKJ25">
        <f>IF('calcA'!EH$106=1,IG25+AEV25,1)</f>
        <v/>
      </c>
      <c r="AKK25">
        <f>IF('calcA'!EI$106=1,IH25+AEW25,1)</f>
        <v/>
      </c>
      <c r="AKL25">
        <f>IF('calcA'!EJ$106=1,II25+AEX25,1)</f>
        <v/>
      </c>
      <c r="AKM25">
        <f>IF('calcA'!EK$106=1,IJ25+AEY25,1)</f>
        <v/>
      </c>
      <c r="AKN25">
        <f>IF('calcA'!EL$106=1,IK25+AEZ25,1)</f>
        <v/>
      </c>
      <c r="AKO25">
        <f>IF('calcA'!EM$106=1,IL25+AFA25,1)</f>
        <v/>
      </c>
      <c r="AKP25">
        <f>IF('calcA'!EN$106=1,IM25+AFB25,1)</f>
        <v/>
      </c>
      <c r="AKQ25">
        <f>IF('calcA'!EO$106=1,IN25+AFC25,1)</f>
        <v/>
      </c>
      <c r="AKR25">
        <f>IF('calcA'!EP$106=1,IO25+AFD25,1)</f>
        <v/>
      </c>
      <c r="AKS25" t="n">
        <v>1</v>
      </c>
    </row>
    <row r="26">
      <c r="A26" t="n">
        <v>24</v>
      </c>
      <c r="B26">
        <f>IF(MIN(BM26:CZ26)&gt;=1000000000,0,MATCH(MIN(BM26:CZ26),BM26:CZ26,0))</f>
        <v/>
      </c>
      <c r="C26">
        <f>IF(MIN(OF26:TS26)&gt;=1000000000,0,MATCH(MIN(OF26:TS26),OF26:TS26,0))</f>
        <v/>
      </c>
      <c r="D26">
        <f>IF(C26&gt;0,INDEX('calcA'!$D$5:$EQ$5,C26),0)</f>
        <v/>
      </c>
      <c r="E26">
        <f>IF(B26=0,0,INDEX('calcA'!$IQ$10:$IQ$54,B26))</f>
        <v/>
      </c>
      <c r="F26">
        <f>IF(B26=0,0,INDEX('calcA'!$IP$10:$IP$54,B26))</f>
        <v/>
      </c>
      <c r="G26">
        <f>IF(AND(C26&gt;0,E26&gt;0),IF(AND(INDEX('calcA'!$D$106:$EQ$106,C26)=1,INDEX($IQ26:$OD26,C26)=1),C26+1,0),0)</f>
        <v/>
      </c>
      <c r="H26">
        <f>IF(B26=0,0,INDEX('calcA'!$IW$10:$IW$54,B26))</f>
        <v/>
      </c>
      <c r="U26">
        <f>IF(B26=0,0,INDEX('calcA'!$IX$10:$IX$54,B26))</f>
        <v/>
      </c>
      <c r="V26">
        <f>IF(B26=0,0,INDEX('calcA'!$JF$10:$JF$54,B26))</f>
        <v/>
      </c>
      <c r="W26">
        <f>IF(B26=0,0,IF(IF(E26=2,SUMPRODUCT(INDEX('calcA'!$D$60:$EQ$99,B26,0),$DB26:$IO26,$IQ26:$OD26),SUMPRODUCT(INDEX('calcA'!$D$60:$EQ$99,B26,0),$DB26:$IO26))=0,1,0))</f>
        <v/>
      </c>
      <c r="X26">
        <f>MAX(X25,IF($B25=1,1,0))</f>
        <v/>
      </c>
      <c r="Y26">
        <f>MAX(Y25,IF($B25=2,1,0))</f>
        <v/>
      </c>
      <c r="Z26">
        <f>MAX(Z25,IF($B25=3,1,0))</f>
        <v/>
      </c>
      <c r="AA26">
        <f>MAX(AA25,IF($B25=4,1,0))</f>
        <v/>
      </c>
      <c r="AB26">
        <f>MAX(AB25,IF($B25=5,1,0))</f>
        <v/>
      </c>
      <c r="AC26">
        <f>MAX(AC25,IF($B25=6,1,0))</f>
        <v/>
      </c>
      <c r="AD26">
        <f>MAX(AD25,IF($B25=7,1,0))</f>
        <v/>
      </c>
      <c r="AE26">
        <f>MAX(AE25,IF($B25=8,1,0))</f>
        <v/>
      </c>
      <c r="AF26">
        <f>MAX(AF25,IF($B25=9,1,0))</f>
        <v/>
      </c>
      <c r="AG26">
        <f>MAX(AG25,IF($B25=10,1,0))</f>
        <v/>
      </c>
      <c r="AH26">
        <f>MAX(AH25,IF($B25=11,1,0))</f>
        <v/>
      </c>
      <c r="AI26">
        <f>MAX(AI25,IF($B25=12,1,0))</f>
        <v/>
      </c>
      <c r="AJ26">
        <f>MAX(AJ25,IF($B25=13,1,0))</f>
        <v/>
      </c>
      <c r="AK26">
        <f>MAX(AK25,IF($B25=14,1,0))</f>
        <v/>
      </c>
      <c r="AL26">
        <f>MAX(AL25,IF($B25=15,1,0))</f>
        <v/>
      </c>
      <c r="AM26">
        <f>MAX(AM25,IF($B25=16,1,0))</f>
        <v/>
      </c>
      <c r="AN26">
        <f>MAX(AN25,IF($B25=17,1,0))</f>
        <v/>
      </c>
      <c r="AO26">
        <f>MAX(AO25,IF($B25=18,1,0))</f>
        <v/>
      </c>
      <c r="AP26">
        <f>MAX(AP25,IF($B25=19,1,0))</f>
        <v/>
      </c>
      <c r="AQ26">
        <f>MAX(AQ25,IF($B25=20,1,0))</f>
        <v/>
      </c>
      <c r="AR26">
        <f>MAX(AR25,IF($B25=21,1,0))</f>
        <v/>
      </c>
      <c r="AS26">
        <f>MAX(AS25,IF($B25=22,1,0))</f>
        <v/>
      </c>
      <c r="AT26">
        <f>MAX(AT25,IF($B25=23,1,0))</f>
        <v/>
      </c>
      <c r="AU26">
        <f>MAX(AU25,IF($B25=24,1,0))</f>
        <v/>
      </c>
      <c r="AV26">
        <f>MAX(AV25,IF($B25=25,1,0))</f>
        <v/>
      </c>
      <c r="AW26">
        <f>MAX(AW25,IF($B25=26,1,0))</f>
        <v/>
      </c>
      <c r="AX26">
        <f>MAX(AX25,IF($B25=27,1,0))</f>
        <v/>
      </c>
      <c r="AY26">
        <f>MAX(AY25,IF($B25=28,1,0))</f>
        <v/>
      </c>
      <c r="AZ26">
        <f>MAX(AZ25,IF($B25=29,1,0))</f>
        <v/>
      </c>
      <c r="BA26">
        <f>MAX(BA25,IF($B25=30,1,0))</f>
        <v/>
      </c>
      <c r="BB26">
        <f>MAX(BB25,IF($B25=31,1,0))</f>
        <v/>
      </c>
      <c r="BC26">
        <f>MAX(BC25,IF($B25=32,1,0))</f>
        <v/>
      </c>
      <c r="BD26">
        <f>MAX(BD25,IF($B25=33,1,0))</f>
        <v/>
      </c>
      <c r="BE26">
        <f>MAX(BE25,IF($B25=34,1,0))</f>
        <v/>
      </c>
      <c r="BF26">
        <f>MAX(BF25,IF($B25=35,1,0))</f>
        <v/>
      </c>
      <c r="BG26">
        <f>MAX(BG25,IF($B25=36,1,0))</f>
        <v/>
      </c>
      <c r="BH26">
        <f>MAX(BH25,IF($B25=37,1,0))</f>
        <v/>
      </c>
      <c r="BI26">
        <f>MAX(BI25,IF($B25=38,1,0))</f>
        <v/>
      </c>
      <c r="BJ26">
        <f>MAX(BJ25,IF($B25=39,1,0))</f>
        <v/>
      </c>
      <c r="BK26">
        <f>MAX(BK25,IF($B25=40,1,0))</f>
        <v/>
      </c>
      <c r="BM26">
        <f>IF(OR(X26=1,calcA!$A$6=0),1000000000,IF('calcA'!$JF$10=1,0,100000000)+IF('calcA'!$IQ$10=2,SUMPRODUCT('calcA'!$D$60:$EQ$60,$DB26:$IO26,$IQ26:$OD26)*1000+SUMPRODUCT('calcA'!$D$60:$EQ$60,$DB26:$IO26+$ZQ26:$AFD26,$AFF26:$AKS26),SUMPRODUCT('calcA'!$D$60:$EQ$60,$DB26:$IO26*1001+$ZQ26:$AFD26))*100+1)</f>
        <v/>
      </c>
      <c r="BN26">
        <f>IF(OR(Y26=1,calcA!$A$6=0),1000000000,IF('calcA'!$JF$11=1,0,100000000)+IF('calcA'!$IQ$11=2,SUMPRODUCT('calcA'!$D$61:$EQ$61,$DB26:$IO26,$IQ26:$OD26)*1000+SUMPRODUCT('calcA'!$D$61:$EQ$61,$DB26:$IO26+$ZQ26:$AFD26,$AFF26:$AKS26),SUMPRODUCT('calcA'!$D$61:$EQ$61,$DB26:$IO26*1001+$ZQ26:$AFD26))*100+2)</f>
        <v/>
      </c>
      <c r="BO26">
        <f>IF(OR(Z26=1,calcA!$A$6=0),1000000000,IF('calcA'!$JF$12=1,0,100000000)+IF('calcA'!$IQ$12=2,SUMPRODUCT('calcA'!$D$62:$EQ$62,$DB26:$IO26,$IQ26:$OD26)*1000+SUMPRODUCT('calcA'!$D$62:$EQ$62,$DB26:$IO26+$ZQ26:$AFD26,$AFF26:$AKS26),SUMPRODUCT('calcA'!$D$62:$EQ$62,$DB26:$IO26*1001+$ZQ26:$AFD26))*100+3)</f>
        <v/>
      </c>
      <c r="BP26">
        <f>IF(OR(AA26=1,calcA!$A$6=0),1000000000,IF('calcA'!$JF$13=1,0,100000000)+IF('calcA'!$IQ$13=2,SUMPRODUCT('calcA'!$D$63:$EQ$63,$DB26:$IO26,$IQ26:$OD26)*1000+SUMPRODUCT('calcA'!$D$63:$EQ$63,$DB26:$IO26+$ZQ26:$AFD26,$AFF26:$AKS26),SUMPRODUCT('calcA'!$D$63:$EQ$63,$DB26:$IO26*1001+$ZQ26:$AFD26))*100+4)</f>
        <v/>
      </c>
      <c r="BQ26">
        <f>IF(OR(AB26=1,calcA!$A$6=0),1000000000,IF('calcA'!$JF$14=1,0,100000000)+IF('calcA'!$IQ$14=2,SUMPRODUCT('calcA'!$D$64:$EQ$64,$DB26:$IO26,$IQ26:$OD26)*1000+SUMPRODUCT('calcA'!$D$64:$EQ$64,$DB26:$IO26+$ZQ26:$AFD26,$AFF26:$AKS26),SUMPRODUCT('calcA'!$D$64:$EQ$64,$DB26:$IO26*1001+$ZQ26:$AFD26))*100+5)</f>
        <v/>
      </c>
      <c r="BR26">
        <f>IF(OR(AC26=1,calcA!$A$6=0),1000000000,IF('calcA'!$JF$15=1,0,100000000)+IF('calcA'!$IQ$15=2,SUMPRODUCT('calcA'!$D$65:$EQ$65,$DB26:$IO26,$IQ26:$OD26)*1000+SUMPRODUCT('calcA'!$D$65:$EQ$65,$DB26:$IO26+$ZQ26:$AFD26,$AFF26:$AKS26),SUMPRODUCT('calcA'!$D$65:$EQ$65,$DB26:$IO26*1001+$ZQ26:$AFD26))*100+6)</f>
        <v/>
      </c>
      <c r="BS26">
        <f>IF(OR(AD26=1,calcA!$A$6=0),1000000000,IF('calcA'!$JF$16=1,0,100000000)+IF('calcA'!$IQ$16=2,SUMPRODUCT('calcA'!$D$66:$EQ$66,$DB26:$IO26,$IQ26:$OD26)*1000+SUMPRODUCT('calcA'!$D$66:$EQ$66,$DB26:$IO26+$ZQ26:$AFD26,$AFF26:$AKS26),SUMPRODUCT('calcA'!$D$66:$EQ$66,$DB26:$IO26*1001+$ZQ26:$AFD26))*100+7)</f>
        <v/>
      </c>
      <c r="BT26">
        <f>IF(OR(AE26=1,calcA!$A$6=0),1000000000,IF('calcA'!$JF$17=1,0,100000000)+IF('calcA'!$IQ$17=2,SUMPRODUCT('calcA'!$D$67:$EQ$67,$DB26:$IO26,$IQ26:$OD26)*1000+SUMPRODUCT('calcA'!$D$67:$EQ$67,$DB26:$IO26+$ZQ26:$AFD26,$AFF26:$AKS26),SUMPRODUCT('calcA'!$D$67:$EQ$67,$DB26:$IO26*1001+$ZQ26:$AFD26))*100+8)</f>
        <v/>
      </c>
      <c r="BU26">
        <f>IF(OR(AF26=1,calcA!$A$6=0),1000000000,IF('calcA'!$JF$18=1,0,100000000)+IF('calcA'!$IQ$18=2,SUMPRODUCT('calcA'!$D$68:$EQ$68,$DB26:$IO26,$IQ26:$OD26)*1000+SUMPRODUCT('calcA'!$D$68:$EQ$68,$DB26:$IO26+$ZQ26:$AFD26,$AFF26:$AKS26),SUMPRODUCT('calcA'!$D$68:$EQ$68,$DB26:$IO26*1001+$ZQ26:$AFD26))*100+9)</f>
        <v/>
      </c>
      <c r="BV26">
        <f>IF(OR(AG26=1,calcA!$A$6=0),1000000000,IF('calcA'!$JF$19=1,0,100000000)+IF('calcA'!$IQ$19=2,SUMPRODUCT('calcA'!$D$69:$EQ$69,$DB26:$IO26,$IQ26:$OD26)*1000+SUMPRODUCT('calcA'!$D$69:$EQ$69,$DB26:$IO26+$ZQ26:$AFD26,$AFF26:$AKS26),SUMPRODUCT('calcA'!$D$69:$EQ$69,$DB26:$IO26*1001+$ZQ26:$AFD26))*100+10)</f>
        <v/>
      </c>
      <c r="BW26">
        <f>IF(OR(AH26=1,calcA!$A$6=0),1000000000,IF('calcA'!$JF$20=1,0,100000000)+IF('calcA'!$IQ$20=2,SUMPRODUCT('calcA'!$D$70:$EQ$70,$DB26:$IO26,$IQ26:$OD26)*1000+SUMPRODUCT('calcA'!$D$70:$EQ$70,$DB26:$IO26+$ZQ26:$AFD26,$AFF26:$AKS26),SUMPRODUCT('calcA'!$D$70:$EQ$70,$DB26:$IO26*1001+$ZQ26:$AFD26))*100+11)</f>
        <v/>
      </c>
      <c r="BX26">
        <f>IF(OR(AI26=1,calcA!$A$6=0),1000000000,IF('calcA'!$JF$21=1,0,100000000)+IF('calcA'!$IQ$21=2,SUMPRODUCT('calcA'!$D$71:$EQ$71,$DB26:$IO26,$IQ26:$OD26)*1000+SUMPRODUCT('calcA'!$D$71:$EQ$71,$DB26:$IO26+$ZQ26:$AFD26,$AFF26:$AKS26),SUMPRODUCT('calcA'!$D$71:$EQ$71,$DB26:$IO26*1001+$ZQ26:$AFD26))*100+12)</f>
        <v/>
      </c>
      <c r="BY26">
        <f>IF(OR(AJ26=1,calcA!$A$6=0),1000000000,IF('calcA'!$JF$22=1,0,100000000)+IF('calcA'!$IQ$22=2,SUMPRODUCT('calcA'!$D$72:$EQ$72,$DB26:$IO26,$IQ26:$OD26)*1000+SUMPRODUCT('calcA'!$D$72:$EQ$72,$DB26:$IO26+$ZQ26:$AFD26,$AFF26:$AKS26),SUMPRODUCT('calcA'!$D$72:$EQ$72,$DB26:$IO26*1001+$ZQ26:$AFD26))*100+13)</f>
        <v/>
      </c>
      <c r="BZ26">
        <f>IF(OR(AK26=1,calcA!$A$6=0),1000000000,IF('calcA'!$JF$23=1,0,100000000)+IF('calcA'!$IQ$23=2,SUMPRODUCT('calcA'!$D$73:$EQ$73,$DB26:$IO26,$IQ26:$OD26)*1000+SUMPRODUCT('calcA'!$D$73:$EQ$73,$DB26:$IO26+$ZQ26:$AFD26,$AFF26:$AKS26),SUMPRODUCT('calcA'!$D$73:$EQ$73,$DB26:$IO26*1001+$ZQ26:$AFD26))*100+14)</f>
        <v/>
      </c>
      <c r="CA26">
        <f>IF(OR(AL26=1,calcA!$A$6=0),1000000000,IF('calcA'!$JF$24=1,0,100000000)+IF('calcA'!$IQ$24=2,SUMPRODUCT('calcA'!$D$74:$EQ$74,$DB26:$IO26,$IQ26:$OD26)*1000+SUMPRODUCT('calcA'!$D$74:$EQ$74,$DB26:$IO26+$ZQ26:$AFD26,$AFF26:$AKS26),SUMPRODUCT('calcA'!$D$74:$EQ$74,$DB26:$IO26*1001+$ZQ26:$AFD26))*100+15)</f>
        <v/>
      </c>
      <c r="CB26">
        <f>IF(OR(AM26=1,calcA!$A$6=0),1000000000,IF('calcA'!$JF$25=1,0,100000000)+IF('calcA'!$IQ$25=2,SUMPRODUCT('calcA'!$D$75:$EQ$75,$DB26:$IO26,$IQ26:$OD26)*1000+SUMPRODUCT('calcA'!$D$75:$EQ$75,$DB26:$IO26+$ZQ26:$AFD26,$AFF26:$AKS26),SUMPRODUCT('calcA'!$D$75:$EQ$75,$DB26:$IO26*1001+$ZQ26:$AFD26))*100+16)</f>
        <v/>
      </c>
      <c r="CC26">
        <f>IF(OR(AN26=1,calcA!$A$6=0),1000000000,IF('calcA'!$JF$26=1,0,100000000)+IF('calcA'!$IQ$26=2,SUMPRODUCT('calcA'!$D$76:$EQ$76,$DB26:$IO26,$IQ26:$OD26)*1000+SUMPRODUCT('calcA'!$D$76:$EQ$76,$DB26:$IO26+$ZQ26:$AFD26,$AFF26:$AKS26),SUMPRODUCT('calcA'!$D$76:$EQ$76,$DB26:$IO26*1001+$ZQ26:$AFD26))*100+17)</f>
        <v/>
      </c>
      <c r="CD26">
        <f>IF(OR(AO26=1,calcA!$A$6=0),1000000000,IF('calcA'!$JF$27=1,0,100000000)+IF('calcA'!$IQ$27=2,SUMPRODUCT('calcA'!$D$77:$EQ$77,$DB26:$IO26,$IQ26:$OD26)*1000+SUMPRODUCT('calcA'!$D$77:$EQ$77,$DB26:$IO26+$ZQ26:$AFD26,$AFF26:$AKS26),SUMPRODUCT('calcA'!$D$77:$EQ$77,$DB26:$IO26*1001+$ZQ26:$AFD26))*100+18)</f>
        <v/>
      </c>
      <c r="CE26">
        <f>IF(OR(AP26=1,calcA!$A$6=0),1000000000,IF('calcA'!$JF$28=1,0,100000000)+IF('calcA'!$IQ$28=2,SUMPRODUCT('calcA'!$D$78:$EQ$78,$DB26:$IO26,$IQ26:$OD26)*1000+SUMPRODUCT('calcA'!$D$78:$EQ$78,$DB26:$IO26+$ZQ26:$AFD26,$AFF26:$AKS26),SUMPRODUCT('calcA'!$D$78:$EQ$78,$DB26:$IO26*1001+$ZQ26:$AFD26))*100+19)</f>
        <v/>
      </c>
      <c r="CF26">
        <f>IF(OR(AQ26=1,calcA!$A$6=0),1000000000,IF('calcA'!$JF$29=1,0,100000000)+IF('calcA'!$IQ$29=2,SUMPRODUCT('calcA'!$D$79:$EQ$79,$DB26:$IO26,$IQ26:$OD26)*1000+SUMPRODUCT('calcA'!$D$79:$EQ$79,$DB26:$IO26+$ZQ26:$AFD26,$AFF26:$AKS26),SUMPRODUCT('calcA'!$D$79:$EQ$79,$DB26:$IO26*1001+$ZQ26:$AFD26))*100+20)</f>
        <v/>
      </c>
      <c r="CG26">
        <f>IF(OR(AR26=1,calcA!$A$6=0),1000000000,IF('calcA'!$JF$30=1,0,100000000)+IF('calcA'!$IQ$30=2,SUMPRODUCT('calcA'!$D$80:$EQ$80,$DB26:$IO26,$IQ26:$OD26)*1000+SUMPRODUCT('calcA'!$D$80:$EQ$80,$DB26:$IO26+$ZQ26:$AFD26,$AFF26:$AKS26),SUMPRODUCT('calcA'!$D$80:$EQ$80,$DB26:$IO26*1001+$ZQ26:$AFD26))*100+21)</f>
        <v/>
      </c>
      <c r="CH26">
        <f>IF(OR(AS26=1,calcA!$A$6=0),1000000000,IF('calcA'!$JF$31=1,0,100000000)+IF('calcA'!$IQ$31=2,SUMPRODUCT('calcA'!$D$81:$EQ$81,$DB26:$IO26,$IQ26:$OD26)*1000+SUMPRODUCT('calcA'!$D$81:$EQ$81,$DB26:$IO26+$ZQ26:$AFD26,$AFF26:$AKS26),SUMPRODUCT('calcA'!$D$81:$EQ$81,$DB26:$IO26*1001+$ZQ26:$AFD26))*100+22)</f>
        <v/>
      </c>
      <c r="CI26">
        <f>IF(OR(AT26=1,calcA!$A$6=0),1000000000,IF('calcA'!$JF$32=1,0,100000000)+IF('calcA'!$IQ$32=2,SUMPRODUCT('calcA'!$D$82:$EQ$82,$DB26:$IO26,$IQ26:$OD26)*1000+SUMPRODUCT('calcA'!$D$82:$EQ$82,$DB26:$IO26+$ZQ26:$AFD26,$AFF26:$AKS26),SUMPRODUCT('calcA'!$D$82:$EQ$82,$DB26:$IO26*1001+$ZQ26:$AFD26))*100+23)</f>
        <v/>
      </c>
      <c r="CJ26">
        <f>IF(OR(AU26=1,calcA!$A$6=0),1000000000,IF('calcA'!$JF$33=1,0,100000000)+IF('calcA'!$IQ$33=2,SUMPRODUCT('calcA'!$D$83:$EQ$83,$DB26:$IO26,$IQ26:$OD26)*1000+SUMPRODUCT('calcA'!$D$83:$EQ$83,$DB26:$IO26+$ZQ26:$AFD26,$AFF26:$AKS26),SUMPRODUCT('calcA'!$D$83:$EQ$83,$DB26:$IO26*1001+$ZQ26:$AFD26))*100+24)</f>
        <v/>
      </c>
      <c r="CK26">
        <f>IF(OR(AV26=1,calcA!$A$6=0),1000000000,IF('calcA'!$JF$34=1,0,100000000)+IF('calcA'!$IQ$34=2,SUMPRODUCT('calcA'!$D$84:$EQ$84,$DB26:$IO26,$IQ26:$OD26)*1000+SUMPRODUCT('calcA'!$D$84:$EQ$84,$DB26:$IO26+$ZQ26:$AFD26,$AFF26:$AKS26),SUMPRODUCT('calcA'!$D$84:$EQ$84,$DB26:$IO26*1001+$ZQ26:$AFD26))*100+25)</f>
        <v/>
      </c>
      <c r="CL26">
        <f>IF(OR(AW26=1,calcA!$A$6=0),1000000000,IF('calcA'!$JF$35=1,0,100000000)+IF('calcA'!$IQ$35=2,SUMPRODUCT('calcA'!$D$85:$EQ$85,$DB26:$IO26,$IQ26:$OD26)*1000+SUMPRODUCT('calcA'!$D$85:$EQ$85,$DB26:$IO26+$ZQ26:$AFD26,$AFF26:$AKS26),SUMPRODUCT('calcA'!$D$85:$EQ$85,$DB26:$IO26*1001+$ZQ26:$AFD26))*100+26)</f>
        <v/>
      </c>
      <c r="CM26">
        <f>IF(OR(AX26=1,calcA!$A$6=0),1000000000,IF('calcA'!$JF$36=1,0,100000000)+IF('calcA'!$IQ$36=2,SUMPRODUCT('calcA'!$D$86:$EQ$86,$DB26:$IO26,$IQ26:$OD26)*1000+SUMPRODUCT('calcA'!$D$86:$EQ$86,$DB26:$IO26+$ZQ26:$AFD26,$AFF26:$AKS26),SUMPRODUCT('calcA'!$D$86:$EQ$86,$DB26:$IO26*1001+$ZQ26:$AFD26))*100+27)</f>
        <v/>
      </c>
      <c r="CN26">
        <f>IF(OR(AY26=1,calcA!$A$6=0),1000000000,IF('calcA'!$JF$37=1,0,100000000)+IF('calcA'!$IQ$37=2,SUMPRODUCT('calcA'!$D$87:$EQ$87,$DB26:$IO26,$IQ26:$OD26)*1000+SUMPRODUCT('calcA'!$D$87:$EQ$87,$DB26:$IO26+$ZQ26:$AFD26,$AFF26:$AKS26),SUMPRODUCT('calcA'!$D$87:$EQ$87,$DB26:$IO26*1001+$ZQ26:$AFD26))*100+28)</f>
        <v/>
      </c>
      <c r="CO26">
        <f>IF(OR(AZ26=1,calcA!$A$6=0),1000000000,IF('calcA'!$JF$38=1,0,100000000)+IF('calcA'!$IQ$38=2,SUMPRODUCT('calcA'!$D$88:$EQ$88,$DB26:$IO26,$IQ26:$OD26)*1000+SUMPRODUCT('calcA'!$D$88:$EQ$88,$DB26:$IO26+$ZQ26:$AFD26,$AFF26:$AKS26),SUMPRODUCT('calcA'!$D$88:$EQ$88,$DB26:$IO26*1001+$ZQ26:$AFD26))*100+29)</f>
        <v/>
      </c>
      <c r="CP26">
        <f>IF(OR(BA26=1,calcA!$A$6=0),1000000000,IF('calcA'!$JF$39=1,0,100000000)+IF('calcA'!$IQ$39=2,SUMPRODUCT('calcA'!$D$89:$EQ$89,$DB26:$IO26,$IQ26:$OD26)*1000+SUMPRODUCT('calcA'!$D$89:$EQ$89,$DB26:$IO26+$ZQ26:$AFD26,$AFF26:$AKS26),SUMPRODUCT('calcA'!$D$89:$EQ$89,$DB26:$IO26*1001+$ZQ26:$AFD26))*100+30)</f>
        <v/>
      </c>
      <c r="CQ26">
        <f>IF(OR(BB26=1,calcA!$A$6=0),1000000000,IF('calcA'!$JF$40=1,0,100000000)+IF('calcA'!$IQ$40=2,SUMPRODUCT('calcA'!$D$90:$EQ$90,$DB26:$IO26,$IQ26:$OD26)*1000+SUMPRODUCT('calcA'!$D$90:$EQ$90,$DB26:$IO26+$ZQ26:$AFD26,$AFF26:$AKS26),SUMPRODUCT('calcA'!$D$90:$EQ$90,$DB26:$IO26*1001+$ZQ26:$AFD26))*100+31)</f>
        <v/>
      </c>
      <c r="CR26">
        <f>IF(OR(BC26=1,calcA!$A$6=0),1000000000,IF('calcA'!$JF$41=1,0,100000000)+IF('calcA'!$IQ$41=2,SUMPRODUCT('calcA'!$D$91:$EQ$91,$DB26:$IO26,$IQ26:$OD26)*1000+SUMPRODUCT('calcA'!$D$91:$EQ$91,$DB26:$IO26+$ZQ26:$AFD26,$AFF26:$AKS26),SUMPRODUCT('calcA'!$D$91:$EQ$91,$DB26:$IO26*1001+$ZQ26:$AFD26))*100+32)</f>
        <v/>
      </c>
      <c r="CS26">
        <f>IF(OR(BD26=1,calcA!$A$6=0),1000000000,IF('calcA'!$JF$42=1,0,100000000)+IF('calcA'!$IQ$42=2,SUMPRODUCT('calcA'!$D$92:$EQ$92,$DB26:$IO26,$IQ26:$OD26)*1000+SUMPRODUCT('calcA'!$D$92:$EQ$92,$DB26:$IO26+$ZQ26:$AFD26,$AFF26:$AKS26),SUMPRODUCT('calcA'!$D$92:$EQ$92,$DB26:$IO26*1001+$ZQ26:$AFD26))*100+33)</f>
        <v/>
      </c>
      <c r="CT26">
        <f>IF(OR(BE26=1,calcA!$A$6=0),1000000000,IF('calcA'!$JF$43=1,0,100000000)+IF('calcA'!$IQ$43=2,SUMPRODUCT('calcA'!$D$93:$EQ$93,$DB26:$IO26,$IQ26:$OD26)*1000+SUMPRODUCT('calcA'!$D$93:$EQ$93,$DB26:$IO26+$ZQ26:$AFD26,$AFF26:$AKS26),SUMPRODUCT('calcA'!$D$93:$EQ$93,$DB26:$IO26*1001+$ZQ26:$AFD26))*100+34)</f>
        <v/>
      </c>
      <c r="CU26">
        <f>IF(OR(BF26=1,calcA!$A$6=0),1000000000,IF('calcA'!$JF$44=1,0,100000000)+IF('calcA'!$IQ$44=2,SUMPRODUCT('calcA'!$D$94:$EQ$94,$DB26:$IO26,$IQ26:$OD26)*1000+SUMPRODUCT('calcA'!$D$94:$EQ$94,$DB26:$IO26+$ZQ26:$AFD26,$AFF26:$AKS26),SUMPRODUCT('calcA'!$D$94:$EQ$94,$DB26:$IO26*1001+$ZQ26:$AFD26))*100+35)</f>
        <v/>
      </c>
      <c r="CV26">
        <f>IF(OR(BG26=1,calcA!$A$6=0),1000000000,IF('calcA'!$JF$45=1,0,100000000)+IF('calcA'!$IQ$45=2,SUMPRODUCT('calcA'!$D$95:$EQ$95,$DB26:$IO26,$IQ26:$OD26)*1000+SUMPRODUCT('calcA'!$D$95:$EQ$95,$DB26:$IO26+$ZQ26:$AFD26,$AFF26:$AKS26),SUMPRODUCT('calcA'!$D$95:$EQ$95,$DB26:$IO26*1001+$ZQ26:$AFD26))*100+36)</f>
        <v/>
      </c>
      <c r="CW26">
        <f>IF(OR(BH26=1,calcA!$A$6=0),1000000000,IF('calcA'!$JF$46=1,0,100000000)+IF('calcA'!$IQ$46=2,SUMPRODUCT('calcA'!$D$96:$EQ$96,$DB26:$IO26,$IQ26:$OD26)*1000+SUMPRODUCT('calcA'!$D$96:$EQ$96,$DB26:$IO26+$ZQ26:$AFD26,$AFF26:$AKS26),SUMPRODUCT('calcA'!$D$96:$EQ$96,$DB26:$IO26*1001+$ZQ26:$AFD26))*100+37)</f>
        <v/>
      </c>
      <c r="CX26">
        <f>IF(OR(BI26=1,calcA!$A$6=0),1000000000,IF('calcA'!$JF$47=1,0,100000000)+IF('calcA'!$IQ$47=2,SUMPRODUCT('calcA'!$D$97:$EQ$97,$DB26:$IO26,$IQ26:$OD26)*1000+SUMPRODUCT('calcA'!$D$97:$EQ$97,$DB26:$IO26+$ZQ26:$AFD26,$AFF26:$AKS26),SUMPRODUCT('calcA'!$D$97:$EQ$97,$DB26:$IO26*1001+$ZQ26:$AFD26))*100+38)</f>
        <v/>
      </c>
      <c r="CY26">
        <f>IF(OR(BJ26=1,calcA!$A$6=0),1000000000,IF('calcA'!$JF$48=1,0,100000000)+IF('calcA'!$IQ$48=2,SUMPRODUCT('calcA'!$D$98:$EQ$98,$DB26:$IO26,$IQ26:$OD26)*1000+SUMPRODUCT('calcA'!$D$98:$EQ$98,$DB26:$IO26+$ZQ26:$AFD26,$AFF26:$AKS26),SUMPRODUCT('calcA'!$D$98:$EQ$98,$DB26:$IO26*1001+$ZQ26:$AFD26))*100+39)</f>
        <v/>
      </c>
      <c r="CZ26">
        <f>IF(OR(BK26=1,calcA!$A$6=0),1000000000,IF('calcA'!$JF$49=1,0,100000000)+IF('calcA'!$IQ$49=2,SUMPRODUCT('calcA'!$D$99:$EQ$99,$DB26:$IO26,$IQ26:$OD26)*1000+SUMPRODUCT('calcA'!$D$99:$EQ$99,$DB26:$IO26+$ZQ26:$AFD26,$AFF26:$AKS26),SUMPRODUCT('calcA'!$D$99:$EQ$99,$DB26:$IO26*1001+$ZQ26:$AFD26))*100+40)</f>
        <v/>
      </c>
      <c r="DB26">
        <f>DB25*IF(OR($C25=1,$G25=1),0,1)</f>
        <v/>
      </c>
      <c r="DC26">
        <f>DC25*IF(OR($C25=2,$G25=2),0,1)</f>
        <v/>
      </c>
      <c r="DD26">
        <f>DD25*IF(OR($C25=3,$G25=3),0,1)</f>
        <v/>
      </c>
      <c r="DE26">
        <f>DE25*IF(OR($C25=4,$G25=4),0,1)</f>
        <v/>
      </c>
      <c r="DF26">
        <f>DF25*IF(OR($C25=5,$G25=5),0,1)</f>
        <v/>
      </c>
      <c r="DG26">
        <f>DG25*IF(OR($C25=6,$G25=6),0,1)</f>
        <v/>
      </c>
      <c r="DH26">
        <f>DH25*IF(OR($C25=7,$G25=7),0,1)</f>
        <v/>
      </c>
      <c r="DI26">
        <f>DI25*IF(OR($C25=8,$G25=8),0,1)</f>
        <v/>
      </c>
      <c r="DJ26">
        <f>DJ25*IF(OR($C25=9,$G25=9),0,1)</f>
        <v/>
      </c>
      <c r="DK26">
        <f>DK25*IF(OR($C25=10,$G25=10),0,1)</f>
        <v/>
      </c>
      <c r="DL26">
        <f>DL25*IF(OR($C25=11,$G25=11),0,1)</f>
        <v/>
      </c>
      <c r="DM26">
        <f>DM25*IF(OR($C25=12,$G25=12),0,1)</f>
        <v/>
      </c>
      <c r="DN26">
        <f>DN25*IF(OR($C25=13,$G25=13),0,1)</f>
        <v/>
      </c>
      <c r="DO26">
        <f>DO25*IF(OR($C25=14,$G25=14),0,1)</f>
        <v/>
      </c>
      <c r="DP26">
        <f>DP25*IF(OR($C25=15,$G25=15),0,1)</f>
        <v/>
      </c>
      <c r="DQ26">
        <f>DQ25*IF(OR($C25=16,$G25=16),0,1)</f>
        <v/>
      </c>
      <c r="DR26">
        <f>DR25*IF(OR($C25=17,$G25=17),0,1)</f>
        <v/>
      </c>
      <c r="DS26">
        <f>DS25*IF(OR($C25=18,$G25=18),0,1)</f>
        <v/>
      </c>
      <c r="DT26">
        <f>DT25*IF(OR($C25=19,$G25=19),0,1)</f>
        <v/>
      </c>
      <c r="DU26">
        <f>DU25*IF(OR($C25=20,$G25=20),0,1)</f>
        <v/>
      </c>
      <c r="DV26">
        <f>DV25*IF(OR($C25=21,$G25=21),0,1)</f>
        <v/>
      </c>
      <c r="DW26">
        <f>DW25*IF(OR($C25=22,$G25=22),0,1)</f>
        <v/>
      </c>
      <c r="DX26">
        <f>DX25*IF(OR($C25=23,$G25=23),0,1)</f>
        <v/>
      </c>
      <c r="DY26">
        <f>DY25*IF(OR($C25=24,$G25=24),0,1)</f>
        <v/>
      </c>
      <c r="DZ26">
        <f>DZ25*IF(OR($C25=25,$G25=25),0,1)</f>
        <v/>
      </c>
      <c r="EA26">
        <f>EA25*IF(OR($C25=26,$G25=26),0,1)</f>
        <v/>
      </c>
      <c r="EB26">
        <f>EB25*IF(OR($C25=27,$G25=27),0,1)</f>
        <v/>
      </c>
      <c r="EC26">
        <f>EC25*IF(OR($C25=28,$G25=28),0,1)</f>
        <v/>
      </c>
      <c r="ED26">
        <f>ED25*IF(OR($C25=29,$G25=29),0,1)</f>
        <v/>
      </c>
      <c r="EE26">
        <f>EE25*IF(OR($C25=30,$G25=30),0,1)</f>
        <v/>
      </c>
      <c r="EF26">
        <f>EF25*IF(OR($C25=31,$G25=31),0,1)</f>
        <v/>
      </c>
      <c r="EG26">
        <f>EG25*IF(OR($C25=32,$G25=32),0,1)</f>
        <v/>
      </c>
      <c r="EH26">
        <f>EH25*IF(OR($C25=33,$G25=33),0,1)</f>
        <v/>
      </c>
      <c r="EI26">
        <f>EI25*IF(OR($C25=34,$G25=34),0,1)</f>
        <v/>
      </c>
      <c r="EJ26">
        <f>EJ25*IF(OR($C25=35,$G25=35),0,1)</f>
        <v/>
      </c>
      <c r="EK26">
        <f>EK25*IF(OR($C25=36,$G25=36),0,1)</f>
        <v/>
      </c>
      <c r="EL26">
        <f>EL25*IF(OR($C25=37,$G25=37),0,1)</f>
        <v/>
      </c>
      <c r="EM26">
        <f>EM25*IF(OR($C25=38,$G25=38),0,1)</f>
        <v/>
      </c>
      <c r="EN26">
        <f>EN25*IF(OR($C25=39,$G25=39),0,1)</f>
        <v/>
      </c>
      <c r="EO26">
        <f>EO25*IF(OR($C25=40,$G25=40),0,1)</f>
        <v/>
      </c>
      <c r="EP26">
        <f>EP25*IF(OR($C25=41,$G25=41),0,1)</f>
        <v/>
      </c>
      <c r="EQ26">
        <f>EQ25*IF(OR($C25=42,$G25=42),0,1)</f>
        <v/>
      </c>
      <c r="ER26">
        <f>ER25*IF(OR($C25=43,$G25=43),0,1)</f>
        <v/>
      </c>
      <c r="ES26">
        <f>ES25*IF(OR($C25=44,$G25=44),0,1)</f>
        <v/>
      </c>
      <c r="ET26">
        <f>ET25*IF(OR($C25=45,$G25=45),0,1)</f>
        <v/>
      </c>
      <c r="EU26">
        <f>EU25*IF(OR($C25=46,$G25=46),0,1)</f>
        <v/>
      </c>
      <c r="EV26">
        <f>EV25*IF(OR($C25=47,$G25=47),0,1)</f>
        <v/>
      </c>
      <c r="EW26">
        <f>EW25*IF(OR($C25=48,$G25=48),0,1)</f>
        <v/>
      </c>
      <c r="EX26">
        <f>EX25*IF(OR($C25=49,$G25=49),0,1)</f>
        <v/>
      </c>
      <c r="EY26">
        <f>EY25*IF(OR($C25=50,$G25=50),0,1)</f>
        <v/>
      </c>
      <c r="EZ26">
        <f>EZ25*IF(OR($C25=51,$G25=51),0,1)</f>
        <v/>
      </c>
      <c r="FA26">
        <f>FA25*IF(OR($C25=52,$G25=52),0,1)</f>
        <v/>
      </c>
      <c r="FB26">
        <f>FB25*IF(OR($C25=53,$G25=53),0,1)</f>
        <v/>
      </c>
      <c r="FC26">
        <f>FC25*IF(OR($C25=54,$G25=54),0,1)</f>
        <v/>
      </c>
      <c r="FD26">
        <f>FD25*IF(OR($C25=55,$G25=55),0,1)</f>
        <v/>
      </c>
      <c r="FE26">
        <f>FE25*IF(OR($C25=56,$G25=56),0,1)</f>
        <v/>
      </c>
      <c r="FF26">
        <f>FF25*IF(OR($C25=57,$G25=57),0,1)</f>
        <v/>
      </c>
      <c r="FG26">
        <f>FG25*IF(OR($C25=58,$G25=58),0,1)</f>
        <v/>
      </c>
      <c r="FH26">
        <f>FH25*IF(OR($C25=59,$G25=59),0,1)</f>
        <v/>
      </c>
      <c r="FI26">
        <f>FI25*IF(OR($C25=60,$G25=60),0,1)</f>
        <v/>
      </c>
      <c r="FJ26">
        <f>FJ25*IF(OR($C25=61,$G25=61),0,1)</f>
        <v/>
      </c>
      <c r="FK26">
        <f>FK25*IF(OR($C25=62,$G25=62),0,1)</f>
        <v/>
      </c>
      <c r="FL26">
        <f>FL25*IF(OR($C25=63,$G25=63),0,1)</f>
        <v/>
      </c>
      <c r="FM26">
        <f>FM25*IF(OR($C25=64,$G25=64),0,1)</f>
        <v/>
      </c>
      <c r="FN26">
        <f>FN25*IF(OR($C25=65,$G25=65),0,1)</f>
        <v/>
      </c>
      <c r="FO26">
        <f>FO25*IF(OR($C25=66,$G25=66),0,1)</f>
        <v/>
      </c>
      <c r="FP26">
        <f>FP25*IF(OR($C25=67,$G25=67),0,1)</f>
        <v/>
      </c>
      <c r="FQ26">
        <f>FQ25*IF(OR($C25=68,$G25=68),0,1)</f>
        <v/>
      </c>
      <c r="FR26">
        <f>FR25*IF(OR($C25=69,$G25=69),0,1)</f>
        <v/>
      </c>
      <c r="FS26">
        <f>FS25*IF(OR($C25=70,$G25=70),0,1)</f>
        <v/>
      </c>
      <c r="FT26">
        <f>FT25*IF(OR($C25=71,$G25=71),0,1)</f>
        <v/>
      </c>
      <c r="FU26">
        <f>FU25*IF(OR($C25=72,$G25=72),0,1)</f>
        <v/>
      </c>
      <c r="FV26">
        <f>FV25*IF(OR($C25=73,$G25=73),0,1)</f>
        <v/>
      </c>
      <c r="FW26">
        <f>FW25*IF(OR($C25=74,$G25=74),0,1)</f>
        <v/>
      </c>
      <c r="FX26">
        <f>FX25*IF(OR($C25=75,$G25=75),0,1)</f>
        <v/>
      </c>
      <c r="FY26">
        <f>FY25*IF(OR($C25=76,$G25=76),0,1)</f>
        <v/>
      </c>
      <c r="FZ26">
        <f>FZ25*IF(OR($C25=77,$G25=77),0,1)</f>
        <v/>
      </c>
      <c r="GA26">
        <f>GA25*IF(OR($C25=78,$G25=78),0,1)</f>
        <v/>
      </c>
      <c r="GB26">
        <f>GB25*IF(OR($C25=79,$G25=79),0,1)</f>
        <v/>
      </c>
      <c r="GC26">
        <f>GC25*IF(OR($C25=80,$G25=80),0,1)</f>
        <v/>
      </c>
      <c r="GD26">
        <f>GD25*IF(OR($C25=81,$G25=81),0,1)</f>
        <v/>
      </c>
      <c r="GE26">
        <f>GE25*IF(OR($C25=82,$G25=82),0,1)</f>
        <v/>
      </c>
      <c r="GF26">
        <f>GF25*IF(OR($C25=83,$G25=83),0,1)</f>
        <v/>
      </c>
      <c r="GG26">
        <f>GG25*IF(OR($C25=84,$G25=84),0,1)</f>
        <v/>
      </c>
      <c r="GH26">
        <f>GH25*IF(OR($C25=85,$G25=85),0,1)</f>
        <v/>
      </c>
      <c r="GI26">
        <f>GI25*IF(OR($C25=86,$G25=86),0,1)</f>
        <v/>
      </c>
      <c r="GJ26">
        <f>GJ25*IF(OR($C25=87,$G25=87),0,1)</f>
        <v/>
      </c>
      <c r="GK26">
        <f>GK25*IF(OR($C25=88,$G25=88),0,1)</f>
        <v/>
      </c>
      <c r="GL26">
        <f>GL25*IF(OR($C25=89,$G25=89),0,1)</f>
        <v/>
      </c>
      <c r="GM26">
        <f>GM25*IF(OR($C25=90,$G25=90),0,1)</f>
        <v/>
      </c>
      <c r="GN26">
        <f>GN25*IF(OR($C25=91,$G25=91),0,1)</f>
        <v/>
      </c>
      <c r="GO26">
        <f>GO25*IF(OR($C25=92,$G25=92),0,1)</f>
        <v/>
      </c>
      <c r="GP26">
        <f>GP25*IF(OR($C25=93,$G25=93),0,1)</f>
        <v/>
      </c>
      <c r="GQ26">
        <f>GQ25*IF(OR($C25=94,$G25=94),0,1)</f>
        <v/>
      </c>
      <c r="GR26">
        <f>GR25*IF(OR($C25=95,$G25=95),0,1)</f>
        <v/>
      </c>
      <c r="GS26">
        <f>GS25*IF(OR($C25=96,$G25=96),0,1)</f>
        <v/>
      </c>
      <c r="GT26">
        <f>GT25*IF(OR($C25=97,$G25=97),0,1)</f>
        <v/>
      </c>
      <c r="GU26">
        <f>GU25*IF(OR($C25=98,$G25=98),0,1)</f>
        <v/>
      </c>
      <c r="GV26">
        <f>GV25*IF(OR($C25=99,$G25=99),0,1)</f>
        <v/>
      </c>
      <c r="GW26">
        <f>GW25*IF(OR($C25=100,$G25=100),0,1)</f>
        <v/>
      </c>
      <c r="GX26">
        <f>GX25*IF(OR($C25=101,$G25=101),0,1)</f>
        <v/>
      </c>
      <c r="GY26">
        <f>GY25*IF(OR($C25=102,$G25=102),0,1)</f>
        <v/>
      </c>
      <c r="GZ26">
        <f>GZ25*IF(OR($C25=103,$G25=103),0,1)</f>
        <v/>
      </c>
      <c r="HA26">
        <f>HA25*IF(OR($C25=104,$G25=104),0,1)</f>
        <v/>
      </c>
      <c r="HB26">
        <f>HB25*IF(OR($C25=105,$G25=105),0,1)</f>
        <v/>
      </c>
      <c r="HC26">
        <f>HC25*IF(OR($C25=106,$G25=106),0,1)</f>
        <v/>
      </c>
      <c r="HD26">
        <f>HD25*IF(OR($C25=107,$G25=107),0,1)</f>
        <v/>
      </c>
      <c r="HE26">
        <f>HE25*IF(OR($C25=108,$G25=108),0,1)</f>
        <v/>
      </c>
      <c r="HF26">
        <f>HF25*IF(OR($C25=109,$G25=109),0,1)</f>
        <v/>
      </c>
      <c r="HG26">
        <f>HG25*IF(OR($C25=110,$G25=110),0,1)</f>
        <v/>
      </c>
      <c r="HH26">
        <f>HH25*IF(OR($C25=111,$G25=111),0,1)</f>
        <v/>
      </c>
      <c r="HI26">
        <f>HI25*IF(OR($C25=112,$G25=112),0,1)</f>
        <v/>
      </c>
      <c r="HJ26">
        <f>HJ25*IF(OR($C25=113,$G25=113),0,1)</f>
        <v/>
      </c>
      <c r="HK26">
        <f>HK25*IF(OR($C25=114,$G25=114),0,1)</f>
        <v/>
      </c>
      <c r="HL26">
        <f>HL25*IF(OR($C25=115,$G25=115),0,1)</f>
        <v/>
      </c>
      <c r="HM26">
        <f>HM25*IF(OR($C25=116,$G25=116),0,1)</f>
        <v/>
      </c>
      <c r="HN26">
        <f>HN25*IF(OR($C25=117,$G25=117),0,1)</f>
        <v/>
      </c>
      <c r="HO26">
        <f>HO25*IF(OR($C25=118,$G25=118),0,1)</f>
        <v/>
      </c>
      <c r="HP26">
        <f>HP25*IF(OR($C25=119,$G25=119),0,1)</f>
        <v/>
      </c>
      <c r="HQ26">
        <f>HQ25*IF(OR($C25=120,$G25=120),0,1)</f>
        <v/>
      </c>
      <c r="HR26">
        <f>HR25*IF(OR($C25=121,$G25=121),0,1)</f>
        <v/>
      </c>
      <c r="HS26">
        <f>HS25*IF(OR($C25=122,$G25=122),0,1)</f>
        <v/>
      </c>
      <c r="HT26">
        <f>HT25*IF(OR($C25=123,$G25=123),0,1)</f>
        <v/>
      </c>
      <c r="HU26">
        <f>HU25*IF(OR($C25=124,$G25=124),0,1)</f>
        <v/>
      </c>
      <c r="HV26">
        <f>HV25*IF(OR($C25=125,$G25=125),0,1)</f>
        <v/>
      </c>
      <c r="HW26">
        <f>HW25*IF(OR($C25=126,$G25=126),0,1)</f>
        <v/>
      </c>
      <c r="HX26">
        <f>HX25*IF(OR($C25=127,$G25=127),0,1)</f>
        <v/>
      </c>
      <c r="HY26">
        <f>HY25*IF(OR($C25=128,$G25=128),0,1)</f>
        <v/>
      </c>
      <c r="HZ26">
        <f>HZ25*IF(OR($C25=129,$G25=129),0,1)</f>
        <v/>
      </c>
      <c r="IA26">
        <f>IA25*IF(OR($C25=130,$G25=130),0,1)</f>
        <v/>
      </c>
      <c r="IB26">
        <f>IB25*IF(OR($C25=131,$G25=131),0,1)</f>
        <v/>
      </c>
      <c r="IC26">
        <f>IC25*IF(OR($C25=132,$G25=132),0,1)</f>
        <v/>
      </c>
      <c r="ID26">
        <f>ID25*IF(OR($C25=133,$G25=133),0,1)</f>
        <v/>
      </c>
      <c r="IE26">
        <f>IE25*IF(OR($C25=134,$G25=134),0,1)</f>
        <v/>
      </c>
      <c r="IF26">
        <f>IF25*IF(OR($C25=135,$G25=135),0,1)</f>
        <v/>
      </c>
      <c r="IG26">
        <f>IG25*IF(OR($C25=136,$G25=136),0,1)</f>
        <v/>
      </c>
      <c r="IH26">
        <f>IH25*IF(OR($C25=137,$G25=137),0,1)</f>
        <v/>
      </c>
      <c r="II26">
        <f>II25*IF(OR($C25=138,$G25=138),0,1)</f>
        <v/>
      </c>
      <c r="IJ26">
        <f>IJ25*IF(OR($C25=139,$G25=139),0,1)</f>
        <v/>
      </c>
      <c r="IK26">
        <f>IK25*IF(OR($C25=140,$G25=140),0,1)</f>
        <v/>
      </c>
      <c r="IL26">
        <f>IL25*IF(OR($C25=141,$G25=141),0,1)</f>
        <v/>
      </c>
      <c r="IM26">
        <f>IM25*IF(OR($C25=142,$G25=142),0,1)</f>
        <v/>
      </c>
      <c r="IN26">
        <f>IN25*IF(OR($C25=143,$G25=143),0,1)</f>
        <v/>
      </c>
      <c r="IO26">
        <f>IO25*IF(OR($C25=144,$G25=144),0,1)</f>
        <v/>
      </c>
      <c r="IQ26">
        <f>IF('calcA'!D$106=1,DC26,1)</f>
        <v/>
      </c>
      <c r="IR26">
        <f>IF('calcA'!E$106=1,DD26,1)</f>
        <v/>
      </c>
      <c r="IS26">
        <f>IF('calcA'!F$106=1,DE26,1)</f>
        <v/>
      </c>
      <c r="IT26">
        <f>IF('calcA'!G$106=1,DF26,1)</f>
        <v/>
      </c>
      <c r="IU26">
        <f>IF('calcA'!H$106=1,DG26,1)</f>
        <v/>
      </c>
      <c r="IV26">
        <f>IF('calcA'!I$106=1,DH26,1)</f>
        <v/>
      </c>
      <c r="IW26">
        <f>IF('calcA'!J$106=1,DI26,1)</f>
        <v/>
      </c>
      <c r="IX26">
        <f>IF('calcA'!K$106=1,DJ26,1)</f>
        <v/>
      </c>
      <c r="IY26">
        <f>IF('calcA'!L$106=1,DK26,1)</f>
        <v/>
      </c>
      <c r="IZ26">
        <f>IF('calcA'!M$106=1,DL26,1)</f>
        <v/>
      </c>
      <c r="JA26">
        <f>IF('calcA'!N$106=1,DM26,1)</f>
        <v/>
      </c>
      <c r="JB26">
        <f>IF('calcA'!O$106=1,DN26,1)</f>
        <v/>
      </c>
      <c r="JC26">
        <f>IF('calcA'!P$106=1,DO26,1)</f>
        <v/>
      </c>
      <c r="JD26">
        <f>IF('calcA'!Q$106=1,DP26,1)</f>
        <v/>
      </c>
      <c r="JE26">
        <f>IF('calcA'!R$106=1,DQ26,1)</f>
        <v/>
      </c>
      <c r="JF26">
        <f>IF('calcA'!S$106=1,DR26,1)</f>
        <v/>
      </c>
      <c r="JG26">
        <f>IF('calcA'!T$106=1,DS26,1)</f>
        <v/>
      </c>
      <c r="JH26">
        <f>IF('calcA'!U$106=1,DT26,1)</f>
        <v/>
      </c>
      <c r="JI26">
        <f>IF('calcA'!V$106=1,DU26,1)</f>
        <v/>
      </c>
      <c r="JJ26">
        <f>IF('calcA'!W$106=1,DV26,1)</f>
        <v/>
      </c>
      <c r="JK26">
        <f>IF('calcA'!X$106=1,DW26,1)</f>
        <v/>
      </c>
      <c r="JL26">
        <f>IF('calcA'!Y$106=1,DX26,1)</f>
        <v/>
      </c>
      <c r="JM26">
        <f>IF('calcA'!Z$106=1,DY26,1)</f>
        <v/>
      </c>
      <c r="JN26">
        <f>IF('calcA'!AA$106=1,DZ26,1)</f>
        <v/>
      </c>
      <c r="JO26">
        <f>IF('calcA'!AB$106=1,EA26,1)</f>
        <v/>
      </c>
      <c r="JP26">
        <f>IF('calcA'!AC$106=1,EB26,1)</f>
        <v/>
      </c>
      <c r="JQ26">
        <f>IF('calcA'!AD$106=1,EC26,1)</f>
        <v/>
      </c>
      <c r="JR26">
        <f>IF('calcA'!AE$106=1,ED26,1)</f>
        <v/>
      </c>
      <c r="JS26">
        <f>IF('calcA'!AF$106=1,EE26,1)</f>
        <v/>
      </c>
      <c r="JT26">
        <f>IF('calcA'!AG$106=1,EF26,1)</f>
        <v/>
      </c>
      <c r="JU26">
        <f>IF('calcA'!AH$106=1,EG26,1)</f>
        <v/>
      </c>
      <c r="JV26">
        <f>IF('calcA'!AI$106=1,EH26,1)</f>
        <v/>
      </c>
      <c r="JW26">
        <f>IF('calcA'!AJ$106=1,EI26,1)</f>
        <v/>
      </c>
      <c r="JX26">
        <f>IF('calcA'!AK$106=1,EJ26,1)</f>
        <v/>
      </c>
      <c r="JY26">
        <f>IF('calcA'!AL$106=1,EK26,1)</f>
        <v/>
      </c>
      <c r="JZ26">
        <f>IF('calcA'!AM$106=1,EL26,1)</f>
        <v/>
      </c>
      <c r="KA26">
        <f>IF('calcA'!AN$106=1,EM26,1)</f>
        <v/>
      </c>
      <c r="KB26">
        <f>IF('calcA'!AO$106=1,EN26,1)</f>
        <v/>
      </c>
      <c r="KC26">
        <f>IF('calcA'!AP$106=1,EO26,1)</f>
        <v/>
      </c>
      <c r="KD26">
        <f>IF('calcA'!AQ$106=1,EP26,1)</f>
        <v/>
      </c>
      <c r="KE26">
        <f>IF('calcA'!AR$106=1,EQ26,1)</f>
        <v/>
      </c>
      <c r="KF26">
        <f>IF('calcA'!AS$106=1,ER26,1)</f>
        <v/>
      </c>
      <c r="KG26">
        <f>IF('calcA'!AT$106=1,ES26,1)</f>
        <v/>
      </c>
      <c r="KH26">
        <f>IF('calcA'!AU$106=1,ET26,1)</f>
        <v/>
      </c>
      <c r="KI26">
        <f>IF('calcA'!AV$106=1,EU26,1)</f>
        <v/>
      </c>
      <c r="KJ26">
        <f>IF('calcA'!AW$106=1,EV26,1)</f>
        <v/>
      </c>
      <c r="KK26">
        <f>IF('calcA'!AX$106=1,EW26,1)</f>
        <v/>
      </c>
      <c r="KL26">
        <f>IF('calcA'!AY$106=1,EX26,1)</f>
        <v/>
      </c>
      <c r="KM26">
        <f>IF('calcA'!AZ$106=1,EY26,1)</f>
        <v/>
      </c>
      <c r="KN26">
        <f>IF('calcA'!BA$106=1,EZ26,1)</f>
        <v/>
      </c>
      <c r="KO26">
        <f>IF('calcA'!BB$106=1,FA26,1)</f>
        <v/>
      </c>
      <c r="KP26">
        <f>IF('calcA'!BC$106=1,FB26,1)</f>
        <v/>
      </c>
      <c r="KQ26">
        <f>IF('calcA'!BD$106=1,FC26,1)</f>
        <v/>
      </c>
      <c r="KR26">
        <f>IF('calcA'!BE$106=1,FD26,1)</f>
        <v/>
      </c>
      <c r="KS26">
        <f>IF('calcA'!BF$106=1,FE26,1)</f>
        <v/>
      </c>
      <c r="KT26">
        <f>IF('calcA'!BG$106=1,FF26,1)</f>
        <v/>
      </c>
      <c r="KU26">
        <f>IF('calcA'!BH$106=1,FG26,1)</f>
        <v/>
      </c>
      <c r="KV26">
        <f>IF('calcA'!BI$106=1,FH26,1)</f>
        <v/>
      </c>
      <c r="KW26">
        <f>IF('calcA'!BJ$106=1,FI26,1)</f>
        <v/>
      </c>
      <c r="KX26">
        <f>IF('calcA'!BK$106=1,FJ26,1)</f>
        <v/>
      </c>
      <c r="KY26">
        <f>IF('calcA'!BL$106=1,FK26,1)</f>
        <v/>
      </c>
      <c r="KZ26">
        <f>IF('calcA'!BM$106=1,FL26,1)</f>
        <v/>
      </c>
      <c r="LA26">
        <f>IF('calcA'!BN$106=1,FM26,1)</f>
        <v/>
      </c>
      <c r="LB26">
        <f>IF('calcA'!BO$106=1,FN26,1)</f>
        <v/>
      </c>
      <c r="LC26">
        <f>IF('calcA'!BP$106=1,FO26,1)</f>
        <v/>
      </c>
      <c r="LD26">
        <f>IF('calcA'!BQ$106=1,FP26,1)</f>
        <v/>
      </c>
      <c r="LE26">
        <f>IF('calcA'!BR$106=1,FQ26,1)</f>
        <v/>
      </c>
      <c r="LF26">
        <f>IF('calcA'!BS$106=1,FR26,1)</f>
        <v/>
      </c>
      <c r="LG26">
        <f>IF('calcA'!BT$106=1,FS26,1)</f>
        <v/>
      </c>
      <c r="LH26">
        <f>IF('calcA'!BU$106=1,FT26,1)</f>
        <v/>
      </c>
      <c r="LI26">
        <f>IF('calcA'!BV$106=1,FU26,1)</f>
        <v/>
      </c>
      <c r="LJ26">
        <f>IF('calcA'!BW$106=1,FV26,1)</f>
        <v/>
      </c>
      <c r="LK26">
        <f>IF('calcA'!BX$106=1,FW26,1)</f>
        <v/>
      </c>
      <c r="LL26">
        <f>IF('calcA'!BY$106=1,FX26,1)</f>
        <v/>
      </c>
      <c r="LM26">
        <f>IF('calcA'!BZ$106=1,FY26,1)</f>
        <v/>
      </c>
      <c r="LN26">
        <f>IF('calcA'!CA$106=1,FZ26,1)</f>
        <v/>
      </c>
      <c r="LO26">
        <f>IF('calcA'!CB$106=1,GA26,1)</f>
        <v/>
      </c>
      <c r="LP26">
        <f>IF('calcA'!CC$106=1,GB26,1)</f>
        <v/>
      </c>
      <c r="LQ26">
        <f>IF('calcA'!CD$106=1,GC26,1)</f>
        <v/>
      </c>
      <c r="LR26">
        <f>IF('calcA'!CE$106=1,GD26,1)</f>
        <v/>
      </c>
      <c r="LS26">
        <f>IF('calcA'!CF$106=1,GE26,1)</f>
        <v/>
      </c>
      <c r="LT26">
        <f>IF('calcA'!CG$106=1,GF26,1)</f>
        <v/>
      </c>
      <c r="LU26">
        <f>IF('calcA'!CH$106=1,GG26,1)</f>
        <v/>
      </c>
      <c r="LV26">
        <f>IF('calcA'!CI$106=1,GH26,1)</f>
        <v/>
      </c>
      <c r="LW26">
        <f>IF('calcA'!CJ$106=1,GI26,1)</f>
        <v/>
      </c>
      <c r="LX26">
        <f>IF('calcA'!CK$106=1,GJ26,1)</f>
        <v/>
      </c>
      <c r="LY26">
        <f>IF('calcA'!CL$106=1,GK26,1)</f>
        <v/>
      </c>
      <c r="LZ26">
        <f>IF('calcA'!CM$106=1,GL26,1)</f>
        <v/>
      </c>
      <c r="MA26">
        <f>IF('calcA'!CN$106=1,GM26,1)</f>
        <v/>
      </c>
      <c r="MB26">
        <f>IF('calcA'!CO$106=1,GN26,1)</f>
        <v/>
      </c>
      <c r="MC26">
        <f>IF('calcA'!CP$106=1,GO26,1)</f>
        <v/>
      </c>
      <c r="MD26">
        <f>IF('calcA'!CQ$106=1,GP26,1)</f>
        <v/>
      </c>
      <c r="ME26">
        <f>IF('calcA'!CR$106=1,GQ26,1)</f>
        <v/>
      </c>
      <c r="MF26">
        <f>IF('calcA'!CS$106=1,GR26,1)</f>
        <v/>
      </c>
      <c r="MG26">
        <f>IF('calcA'!CT$106=1,GS26,1)</f>
        <v/>
      </c>
      <c r="MH26">
        <f>IF('calcA'!CU$106=1,GT26,1)</f>
        <v/>
      </c>
      <c r="MI26">
        <f>IF('calcA'!CV$106=1,GU26,1)</f>
        <v/>
      </c>
      <c r="MJ26">
        <f>IF('calcA'!CW$106=1,GV26,1)</f>
        <v/>
      </c>
      <c r="MK26">
        <f>IF('calcA'!CX$106=1,GW26,1)</f>
        <v/>
      </c>
      <c r="ML26">
        <f>IF('calcA'!CY$106=1,GX26,1)</f>
        <v/>
      </c>
      <c r="MM26">
        <f>IF('calcA'!CZ$106=1,GY26,1)</f>
        <v/>
      </c>
      <c r="MN26">
        <f>IF('calcA'!DA$106=1,GZ26,1)</f>
        <v/>
      </c>
      <c r="MO26">
        <f>IF('calcA'!DB$106=1,HA26,1)</f>
        <v/>
      </c>
      <c r="MP26">
        <f>IF('calcA'!DC$106=1,HB26,1)</f>
        <v/>
      </c>
      <c r="MQ26">
        <f>IF('calcA'!DD$106=1,HC26,1)</f>
        <v/>
      </c>
      <c r="MR26">
        <f>IF('calcA'!DE$106=1,HD26,1)</f>
        <v/>
      </c>
      <c r="MS26">
        <f>IF('calcA'!DF$106=1,HE26,1)</f>
        <v/>
      </c>
      <c r="MT26">
        <f>IF('calcA'!DG$106=1,HF26,1)</f>
        <v/>
      </c>
      <c r="MU26">
        <f>IF('calcA'!DH$106=1,HG26,1)</f>
        <v/>
      </c>
      <c r="MV26">
        <f>IF('calcA'!DI$106=1,HH26,1)</f>
        <v/>
      </c>
      <c r="MW26">
        <f>IF('calcA'!DJ$106=1,HI26,1)</f>
        <v/>
      </c>
      <c r="MX26">
        <f>IF('calcA'!DK$106=1,HJ26,1)</f>
        <v/>
      </c>
      <c r="MY26">
        <f>IF('calcA'!DL$106=1,HK26,1)</f>
        <v/>
      </c>
      <c r="MZ26">
        <f>IF('calcA'!DM$106=1,HL26,1)</f>
        <v/>
      </c>
      <c r="NA26">
        <f>IF('calcA'!DN$106=1,HM26,1)</f>
        <v/>
      </c>
      <c r="NB26">
        <f>IF('calcA'!DO$106=1,HN26,1)</f>
        <v/>
      </c>
      <c r="NC26">
        <f>IF('calcA'!DP$106=1,HO26,1)</f>
        <v/>
      </c>
      <c r="ND26">
        <f>IF('calcA'!DQ$106=1,HP26,1)</f>
        <v/>
      </c>
      <c r="NE26">
        <f>IF('calcA'!DR$106=1,HQ26,1)</f>
        <v/>
      </c>
      <c r="NF26">
        <f>IF('calcA'!DS$106=1,HR26,1)</f>
        <v/>
      </c>
      <c r="NG26">
        <f>IF('calcA'!DT$106=1,HS26,1)</f>
        <v/>
      </c>
      <c r="NH26">
        <f>IF('calcA'!DU$106=1,HT26,1)</f>
        <v/>
      </c>
      <c r="NI26">
        <f>IF('calcA'!DV$106=1,HU26,1)</f>
        <v/>
      </c>
      <c r="NJ26">
        <f>IF('calcA'!DW$106=1,HV26,1)</f>
        <v/>
      </c>
      <c r="NK26">
        <f>IF('calcA'!DX$106=1,HW26,1)</f>
        <v/>
      </c>
      <c r="NL26">
        <f>IF('calcA'!DY$106=1,HX26,1)</f>
        <v/>
      </c>
      <c r="NM26">
        <f>IF('calcA'!DZ$106=1,HY26,1)</f>
        <v/>
      </c>
      <c r="NN26">
        <f>IF('calcA'!EA$106=1,HZ26,1)</f>
        <v/>
      </c>
      <c r="NO26">
        <f>IF('calcA'!EB$106=1,IA26,1)</f>
        <v/>
      </c>
      <c r="NP26">
        <f>IF('calcA'!EC$106=1,IB26,1)</f>
        <v/>
      </c>
      <c r="NQ26">
        <f>IF('calcA'!ED$106=1,IC26,1)</f>
        <v/>
      </c>
      <c r="NR26">
        <f>IF('calcA'!EE$106=1,ID26,1)</f>
        <v/>
      </c>
      <c r="NS26">
        <f>IF('calcA'!EF$106=1,IE26,1)</f>
        <v/>
      </c>
      <c r="NT26">
        <f>IF('calcA'!EG$106=1,IF26,1)</f>
        <v/>
      </c>
      <c r="NU26">
        <f>IF('calcA'!EH$106=1,IG26,1)</f>
        <v/>
      </c>
      <c r="NV26">
        <f>IF('calcA'!EI$106=1,IH26,1)</f>
        <v/>
      </c>
      <c r="NW26">
        <f>IF('calcA'!EJ$106=1,II26,1)</f>
        <v/>
      </c>
      <c r="NX26">
        <f>IF('calcA'!EK$106=1,IJ26,1)</f>
        <v/>
      </c>
      <c r="NY26">
        <f>IF('calcA'!EL$106=1,IK26,1)</f>
        <v/>
      </c>
      <c r="NZ26">
        <f>IF('calcA'!EM$106=1,IL26,1)</f>
        <v/>
      </c>
      <c r="OA26">
        <f>IF('calcA'!EN$106=1,IM26,1)</f>
        <v/>
      </c>
      <c r="OB26">
        <f>IF('calcA'!EO$106=1,IN26,1)</f>
        <v/>
      </c>
      <c r="OC26">
        <f>IF('calcA'!EP$106=1,IO26,1)</f>
        <v/>
      </c>
      <c r="OD26" t="n">
        <v>1</v>
      </c>
      <c r="OF26">
        <f>IF($B26=0,1000000000,IF(INDEX('calcA'!$D$60:$EQ$99,$B26,1)*IF($W26=1,DB26+ZQ26,DB26)=1,IF(AND($E26=2,IF($W26=1,AFF26,IQ26)=0),1000000000,IF($V26=1,INDEX('calcA'!$D$130:$EQ$169,$B26,1)+IF(AND($E26=1,IQ26=0),25,0),INDEX('calcA'!D$110:D$114,$F26+1)+IF(AND($E26=1,IQ26=0),1000,0)+IF($H26=1,INDEX('calcA'!$D$180:$EQ$219,$B26,1)*500,0)-IF(AND($U26=1,'calcA'!D$117=1,DC26=0),300,0))),1000000000))</f>
        <v/>
      </c>
      <c r="OG26">
        <f>IF($B26=0,1000000000,IF(INDEX('calcA'!$D$60:$EQ$99,$B26,2)*IF($W26=1,DC26+ZR26,DC26)=1,IF(AND($E26=2,IF($W26=1,AFG26,IR26)=0),1000000000,IF($V26=1,INDEX('calcA'!$D$130:$EQ$169,$B26,2)+IF(AND($E26=1,IR26=0),25,0),INDEX('calcA'!E$110:E$114,$F26+1)+IF(AND($E26=1,IR26=0),1000,0)+IF($H26=1,INDEX('calcA'!$D$180:$EQ$219,$B26,2)*500,0)-IF(AND('calcA'!D$117=1,UB26&gt;0),300,0)-IF(AND($U26=1,'calcA'!E$117=1,DD26=0),300,0))),1000000000))</f>
        <v/>
      </c>
      <c r="OH26">
        <f>IF($B26=0,1000000000,IF(INDEX('calcA'!$D$60:$EQ$99,$B26,3)*IF($W26=1,DD26+ZS26,DD26)=1,IF(AND($E26=2,IF($W26=1,AFH26,IS26)=0),1000000000,IF($V26=1,INDEX('calcA'!$D$130:$EQ$169,$B26,3)+IF(AND($E26=1,IS26=0),25,0),INDEX('calcA'!F$110:F$114,$F26+1)+IF(AND($E26=1,IS26=0),1000,0)+IF($H26=1,INDEX('calcA'!$D$180:$EQ$219,$B26,3)*500,0)-IF(AND('calcA'!E$117=1,UC26&gt;0),300,0)-IF(AND($U26=1,'calcA'!F$117=1,DE26=0),300,0))),1000000000))</f>
        <v/>
      </c>
      <c r="OI26">
        <f>IF($B26=0,1000000000,IF(INDEX('calcA'!$D$60:$EQ$99,$B26,4)*IF($W26=1,DE26+ZT26,DE26)=1,IF(AND($E26=2,IF($W26=1,AFI26,IT26)=0),1000000000,IF($V26=1,INDEX('calcA'!$D$130:$EQ$169,$B26,4)+IF(AND($E26=1,IT26=0),25,0),INDEX('calcA'!G$110:G$114,$F26+1)+IF(AND($E26=1,IT26=0),1000,0)+IF($H26=1,INDEX('calcA'!$D$180:$EQ$219,$B26,4)*500,0)-IF(AND('calcA'!F$117=1,UD26&gt;0),300,0)-IF(AND($U26=1,'calcA'!G$117=1,DF26=0),300,0))),1000000000))</f>
        <v/>
      </c>
      <c r="OJ26">
        <f>IF($B26=0,1000000000,IF(INDEX('calcA'!$D$60:$EQ$99,$B26,5)*IF($W26=1,DF26+ZU26,DF26)=1,IF(AND($E26=2,IF($W26=1,AFJ26,IU26)=0),1000000000,IF($V26=1,INDEX('calcA'!$D$130:$EQ$169,$B26,5)+IF(AND($E26=1,IU26=0),25,0),INDEX('calcA'!H$110:H$114,$F26+1)+IF(AND($E26=1,IU26=0),1000,0)+IF($H26=1,INDEX('calcA'!$D$180:$EQ$219,$B26,5)*500,0)-IF(AND('calcA'!G$117=1,UE26&gt;0),300,0)-IF(AND($U26=1,'calcA'!H$117=1,DG26=0),300,0))),1000000000))</f>
        <v/>
      </c>
      <c r="OK26">
        <f>IF($B26=0,1000000000,IF(INDEX('calcA'!$D$60:$EQ$99,$B26,6)*IF($W26=1,DG26+ZV26,DG26)=1,IF(AND($E26=2,IF($W26=1,AFK26,IV26)=0),1000000000,IF($V26=1,INDEX('calcA'!$D$130:$EQ$169,$B26,6)+IF(AND($E26=1,IV26=0),25,0),INDEX('calcA'!I$110:I$114,$F26+1)+IF(AND($E26=1,IV26=0),1000,0)+IF($H26=1,INDEX('calcA'!$D$180:$EQ$219,$B26,6)*500,0)-IF(AND('calcA'!H$117=1,UF26&gt;0),300,0)-IF(AND($U26=1,'calcA'!I$117=1,DH26=0),300,0))),1000000000))</f>
        <v/>
      </c>
      <c r="OL26">
        <f>IF($B26=0,1000000000,IF(INDEX('calcA'!$D$60:$EQ$99,$B26,7)*IF($W26=1,DH26+ZW26,DH26)=1,IF(AND($E26=2,IF($W26=1,AFL26,IW26)=0),1000000000,IF($V26=1,INDEX('calcA'!$D$130:$EQ$169,$B26,7)+IF(AND($E26=1,IW26=0),25,0),INDEX('calcA'!J$110:J$114,$F26+1)+IF(AND($E26=1,IW26=0),1000,0)+IF($H26=1,INDEX('calcA'!$D$180:$EQ$219,$B26,7)*500,0)-IF(AND('calcA'!I$117=1,UG26&gt;0),300,0)-IF(AND($U26=1,'calcA'!J$117=1,DI26=0),300,0))),1000000000))</f>
        <v/>
      </c>
      <c r="OM26">
        <f>IF($B26=0,1000000000,IF(INDEX('calcA'!$D$60:$EQ$99,$B26,8)*IF($W26=1,DI26+ZX26,DI26)=1,IF(AND($E26=2,IF($W26=1,AFM26,IX26)=0),1000000000,IF($V26=1,INDEX('calcA'!$D$130:$EQ$169,$B26,8)+IF(AND($E26=1,IX26=0),25,0),INDEX('calcA'!K$110:K$114,$F26+1)+IF(AND($E26=1,IX26=0),1000,0)+IF($H26=1,INDEX('calcA'!$D$180:$EQ$219,$B26,8)*500,0)-IF(AND('calcA'!J$117=1,UH26&gt;0),300,0)-IF(AND($U26=1,'calcA'!K$117=1,DJ26=0),300,0))),1000000000))</f>
        <v/>
      </c>
      <c r="ON26">
        <f>IF($B26=0,1000000000,IF(INDEX('calcA'!$D$60:$EQ$99,$B26,9)*IF($W26=1,DJ26+ZY26,DJ26)=1,IF(AND($E26=2,IF($W26=1,AFN26,IY26)=0),1000000000,IF($V26=1,INDEX('calcA'!$D$130:$EQ$169,$B26,9)+IF(AND($E26=1,IY26=0),25,0),INDEX('calcA'!L$110:L$114,$F26+1)+IF(AND($E26=1,IY26=0),1000,0)+IF($H26=1,INDEX('calcA'!$D$180:$EQ$219,$B26,9)*500,0)-IF(AND('calcA'!K$117=1,UI26&gt;0),300,0)-IF(AND($U26=1,'calcA'!L$117=1,DK26=0),300,0))),1000000000))</f>
        <v/>
      </c>
      <c r="OO26">
        <f>IF($B26=0,1000000000,IF(INDEX('calcA'!$D$60:$EQ$99,$B26,10)*IF($W26=1,DK26+ZZ26,DK26)=1,IF(AND($E26=2,IF($W26=1,AFO26,IZ26)=0),1000000000,IF($V26=1,INDEX('calcA'!$D$130:$EQ$169,$B26,10)+IF(AND($E26=1,IZ26=0),25,0),INDEX('calcA'!M$110:M$114,$F26+1)+IF(AND($E26=1,IZ26=0),1000,0)+IF($H26=1,INDEX('calcA'!$D$180:$EQ$219,$B26,10)*500,0)-IF(AND('calcA'!L$117=1,UJ26&gt;0),300,0)-IF(AND($U26=1,'calcA'!M$117=1,DL26=0),300,0))),1000000000))</f>
        <v/>
      </c>
      <c r="OP26">
        <f>IF($B26=0,1000000000,IF(INDEX('calcA'!$D$60:$EQ$99,$B26,11)*IF($W26=1,DL26+AAA26,DL26)=1,IF(AND($E26=2,IF($W26=1,AFP26,JA26)=0),1000000000,IF($V26=1,INDEX('calcA'!$D$130:$EQ$169,$B26,11)+IF(AND($E26=1,JA26=0),25,0),INDEX('calcA'!N$110:N$114,$F26+1)+IF(AND($E26=1,JA26=0),1000,0)+IF($H26=1,INDEX('calcA'!$D$180:$EQ$219,$B26,11)*500,0)-IF(AND('calcA'!M$117=1,UK26&gt;0),300,0)-IF(AND($U26=1,'calcA'!N$117=1,DM26=0),300,0))),1000000000))</f>
        <v/>
      </c>
      <c r="OQ26">
        <f>IF($B26=0,1000000000,IF(INDEX('calcA'!$D$60:$EQ$99,$B26,12)*IF($W26=1,DM26+AAB26,DM26)=1,IF(AND($E26=2,IF($W26=1,AFQ26,JB26)=0),1000000000,IF($V26=1,INDEX('calcA'!$D$130:$EQ$169,$B26,12)+IF(AND($E26=1,JB26=0),25,0),INDEX('calcA'!O$110:O$114,$F26+1)+IF(AND($E26=1,JB26=0),1000,0)+IF($H26=1,INDEX('calcA'!$D$180:$EQ$219,$B26,12)*500,0)-IF(AND('calcA'!N$117=1,UL26&gt;0),300,0)-IF(AND($U26=1,'calcA'!O$117=1,DN26=0),300,0))),1000000000))</f>
        <v/>
      </c>
      <c r="OR26">
        <f>IF($B26=0,1000000000,IF(INDEX('calcA'!$D$60:$EQ$99,$B26,13)*IF($W26=1,DN26+AAC26,DN26)=1,IF(AND($E26=2,IF($W26=1,AFR26,JC26)=0),1000000000,IF($V26=1,INDEX('calcA'!$D$130:$EQ$169,$B26,13)+IF(AND($E26=1,JC26=0),25,0),INDEX('calcA'!P$110:P$114,$F26+1)+IF(AND($E26=1,JC26=0),1000,0)+IF($H26=1,INDEX('calcA'!$D$180:$EQ$219,$B26,13)*500,0)-IF(AND('calcA'!O$117=1,UM26&gt;0),300,0)-IF(AND($U26=1,'calcA'!P$117=1,DO26=0),300,0))),1000000000))</f>
        <v/>
      </c>
      <c r="OS26">
        <f>IF($B26=0,1000000000,IF(INDEX('calcA'!$D$60:$EQ$99,$B26,14)*IF($W26=1,DO26+AAD26,DO26)=1,IF(AND($E26=2,IF($W26=1,AFS26,JD26)=0),1000000000,IF($V26=1,INDEX('calcA'!$D$130:$EQ$169,$B26,14)+IF(AND($E26=1,JD26=0),25,0),INDEX('calcA'!Q$110:Q$114,$F26+1)+IF(AND($E26=1,JD26=0),1000,0)+IF($H26=1,INDEX('calcA'!$D$180:$EQ$219,$B26,14)*500,0)-IF(AND('calcA'!P$117=1,UN26&gt;0),300,0)-IF(AND($U26=1,'calcA'!Q$117=1,DP26=0),300,0))),1000000000))</f>
        <v/>
      </c>
      <c r="OT26">
        <f>IF($B26=0,1000000000,IF(INDEX('calcA'!$D$60:$EQ$99,$B26,15)*IF($W26=1,DP26+AAE26,DP26)=1,IF(AND($E26=2,IF($W26=1,AFT26,JE26)=0),1000000000,IF($V26=1,INDEX('calcA'!$D$130:$EQ$169,$B26,15)+IF(AND($E26=1,JE26=0),25,0),INDEX('calcA'!R$110:R$114,$F26+1)+IF(AND($E26=1,JE26=0),1000,0)+IF($H26=1,INDEX('calcA'!$D$180:$EQ$219,$B26,15)*500,0)-IF(AND('calcA'!Q$117=1,UO26&gt;0),300,0)-IF(AND($U26=1,'calcA'!R$117=1,DQ26=0),300,0))),1000000000))</f>
        <v/>
      </c>
      <c r="OU26">
        <f>IF($B26=0,1000000000,IF(INDEX('calcA'!$D$60:$EQ$99,$B26,16)*IF($W26=1,DQ26+AAF26,DQ26)=1,IF(AND($E26=2,IF($W26=1,AFU26,JF26)=0),1000000000,IF($V26=1,INDEX('calcA'!$D$130:$EQ$169,$B26,16)+IF(AND($E26=1,JF26=0),25,0),INDEX('calcA'!S$110:S$114,$F26+1)+IF(AND($E26=1,JF26=0),1000,0)+IF($H26=1,INDEX('calcA'!$D$180:$EQ$219,$B26,16)*500,0)-IF(AND('calcA'!R$117=1,UP26&gt;0),300,0)-IF(AND($U26=1,'calcA'!S$117=1,DR26=0),300,0))),1000000000))</f>
        <v/>
      </c>
      <c r="OV26">
        <f>IF($B26=0,1000000000,IF(INDEX('calcA'!$D$60:$EQ$99,$B26,17)*IF($W26=1,DR26+AAG26,DR26)=1,IF(AND($E26=2,IF($W26=1,AFV26,JG26)=0),1000000000,IF($V26=1,INDEX('calcA'!$D$130:$EQ$169,$B26,17)+IF(AND($E26=1,JG26=0),25,0),INDEX('calcA'!T$110:T$114,$F26+1)+IF(AND($E26=1,JG26=0),1000,0)+IF($H26=1,INDEX('calcA'!$D$180:$EQ$219,$B26,17)*500,0)-IF(AND('calcA'!S$117=1,UQ26&gt;0),300,0)-IF(AND($U26=1,'calcA'!T$117=1,DS26=0),300,0))),1000000000))</f>
        <v/>
      </c>
      <c r="OW26">
        <f>IF($B26=0,1000000000,IF(INDEX('calcA'!$D$60:$EQ$99,$B26,18)*IF($W26=1,DS26+AAH26,DS26)=1,IF(AND($E26=2,IF($W26=1,AFW26,JH26)=0),1000000000,IF($V26=1,INDEX('calcA'!$D$130:$EQ$169,$B26,18)+IF(AND($E26=1,JH26=0),25,0),INDEX('calcA'!U$110:U$114,$F26+1)+IF(AND($E26=1,JH26=0),1000,0)+IF($H26=1,INDEX('calcA'!$D$180:$EQ$219,$B26,18)*500,0)-IF(AND('calcA'!T$117=1,UR26&gt;0),300,0)-IF(AND($U26=1,'calcA'!U$117=1,DT26=0),300,0))),1000000000))</f>
        <v/>
      </c>
      <c r="OX26">
        <f>IF($B26=0,1000000000,IF(INDEX('calcA'!$D$60:$EQ$99,$B26,19)*IF($W26=1,DT26+AAI26,DT26)=1,IF(AND($E26=2,IF($W26=1,AFX26,JI26)=0),1000000000,IF($V26=1,INDEX('calcA'!$D$130:$EQ$169,$B26,19)+IF(AND($E26=1,JI26=0),25,0),INDEX('calcA'!V$110:V$114,$F26+1)+IF(AND($E26=1,JI26=0),1000,0)+IF($H26=1,INDEX('calcA'!$D$180:$EQ$219,$B26,19)*500,0)-IF(AND('calcA'!U$117=1,US26&gt;0),300,0)-IF(AND($U26=1,'calcA'!V$117=1,DU26=0),300,0))),1000000000))</f>
        <v/>
      </c>
      <c r="OY26">
        <f>IF($B26=0,1000000000,IF(INDEX('calcA'!$D$60:$EQ$99,$B26,20)*IF($W26=1,DU26+AAJ26,DU26)=1,IF(AND($E26=2,IF($W26=1,AFY26,JJ26)=0),1000000000,IF($V26=1,INDEX('calcA'!$D$130:$EQ$169,$B26,20)+IF(AND($E26=1,JJ26=0),25,0),INDEX('calcA'!W$110:W$114,$F26+1)+IF(AND($E26=1,JJ26=0),1000,0)+IF($H26=1,INDEX('calcA'!$D$180:$EQ$219,$B26,20)*500,0)-IF(AND('calcA'!V$117=1,UT26&gt;0),300,0)-IF(AND($U26=1,'calcA'!W$117=1,DV26=0),300,0))),1000000000))</f>
        <v/>
      </c>
      <c r="OZ26">
        <f>IF($B26=0,1000000000,IF(INDEX('calcA'!$D$60:$EQ$99,$B26,21)*IF($W26=1,DV26+AAK26,DV26)=1,IF(AND($E26=2,IF($W26=1,AFZ26,JK26)=0),1000000000,IF($V26=1,INDEX('calcA'!$D$130:$EQ$169,$B26,21)+IF(AND($E26=1,JK26=0),25,0),INDEX('calcA'!X$110:X$114,$F26+1)+IF(AND($E26=1,JK26=0),1000,0)+IF($H26=1,INDEX('calcA'!$D$180:$EQ$219,$B26,21)*500,0)-IF(AND('calcA'!W$117=1,UU26&gt;0),300,0)-IF(AND($U26=1,'calcA'!X$117=1,DW26=0),300,0))),1000000000))</f>
        <v/>
      </c>
      <c r="PA26">
        <f>IF($B26=0,1000000000,IF(INDEX('calcA'!$D$60:$EQ$99,$B26,22)*IF($W26=1,DW26+AAL26,DW26)=1,IF(AND($E26=2,IF($W26=1,AGA26,JL26)=0),1000000000,IF($V26=1,INDEX('calcA'!$D$130:$EQ$169,$B26,22)+IF(AND($E26=1,JL26=0),25,0),INDEX('calcA'!Y$110:Y$114,$F26+1)+IF(AND($E26=1,JL26=0),1000,0)+IF($H26=1,INDEX('calcA'!$D$180:$EQ$219,$B26,22)*500,0)-IF(AND('calcA'!X$117=1,UV26&gt;0),300,0)-IF(AND($U26=1,'calcA'!Y$117=1,DX26=0),300,0))),1000000000))</f>
        <v/>
      </c>
      <c r="PB26">
        <f>IF($B26=0,1000000000,IF(INDEX('calcA'!$D$60:$EQ$99,$B26,23)*IF($W26=1,DX26+AAM26,DX26)=1,IF(AND($E26=2,IF($W26=1,AGB26,JM26)=0),1000000000,IF($V26=1,INDEX('calcA'!$D$130:$EQ$169,$B26,23)+IF(AND($E26=1,JM26=0),25,0),INDEX('calcA'!Z$110:Z$114,$F26+1)+IF(AND($E26=1,JM26=0),1000,0)+IF($H26=1,INDEX('calcA'!$D$180:$EQ$219,$B26,23)*500,0)-IF(AND('calcA'!Y$117=1,UW26&gt;0),300,0)-IF(AND($U26=1,'calcA'!Z$117=1,DY26=0),300,0))),1000000000))</f>
        <v/>
      </c>
      <c r="PC26">
        <f>IF($B26=0,1000000000,IF(INDEX('calcA'!$D$60:$EQ$99,$B26,24)*IF($W26=1,DY26+AAN26,DY26)=1,IF(AND($E26=2,IF($W26=1,AGC26,JN26)=0),1000000000,IF($V26=1,INDEX('calcA'!$D$130:$EQ$169,$B26,24)+IF(AND($E26=1,JN26=0),25,0),INDEX('calcA'!AA$110:AA$114,$F26+1)+IF(AND($E26=1,JN26=0),1000,0)+IF($H26=1,INDEX('calcA'!$D$180:$EQ$219,$B26,24)*500,0)-IF(AND('calcA'!Z$117=1,UX26&gt;0),300,0))),1000000000))</f>
        <v/>
      </c>
      <c r="PD26">
        <f>IF($B26=0,1000000000,IF(INDEX('calcA'!$D$60:$EQ$99,$B26,25)*IF($W26=1,DZ26+AAO26,DZ26)=1,IF(AND($E26=2,IF($W26=1,AGD26,JO26)=0),1000000000,IF($V26=1,INDEX('calcA'!$D$130:$EQ$169,$B26,25)+IF(AND($E26=1,JO26=0),25,0),INDEX('calcA'!AB$110:AB$114,$F26+1)+IF(AND($E26=1,JO26=0),1000,0)+IF($H26=1,INDEX('calcA'!$D$180:$EQ$219,$B26,25)*500,0)-IF(AND($U26=1,'calcA'!AB$117=1,EA26=0),300,0))),1000000000))</f>
        <v/>
      </c>
      <c r="PE26">
        <f>IF($B26=0,1000000000,IF(INDEX('calcA'!$D$60:$EQ$99,$B26,26)*IF($W26=1,EA26+AAP26,EA26)=1,IF(AND($E26=2,IF($W26=1,AGE26,JP26)=0),1000000000,IF($V26=1,INDEX('calcA'!$D$130:$EQ$169,$B26,26)+IF(AND($E26=1,JP26=0),25,0),INDEX('calcA'!AC$110:AC$114,$F26+1)+IF(AND($E26=1,JP26=0),1000,0)+IF($H26=1,INDEX('calcA'!$D$180:$EQ$219,$B26,26)*500,0)-IF(AND('calcA'!AB$117=1,UZ26&gt;0),300,0)-IF(AND($U26=1,'calcA'!AC$117=1,EB26=0),300,0))),1000000000))</f>
        <v/>
      </c>
      <c r="PF26">
        <f>IF($B26=0,1000000000,IF(INDEX('calcA'!$D$60:$EQ$99,$B26,27)*IF($W26=1,EB26+AAQ26,EB26)=1,IF(AND($E26=2,IF($W26=1,AGF26,JQ26)=0),1000000000,IF($V26=1,INDEX('calcA'!$D$130:$EQ$169,$B26,27)+IF(AND($E26=1,JQ26=0),25,0),INDEX('calcA'!AD$110:AD$114,$F26+1)+IF(AND($E26=1,JQ26=0),1000,0)+IF($H26=1,INDEX('calcA'!$D$180:$EQ$219,$B26,27)*500,0)-IF(AND('calcA'!AC$117=1,VA26&gt;0),300,0)-IF(AND($U26=1,'calcA'!AD$117=1,EC26=0),300,0))),1000000000))</f>
        <v/>
      </c>
      <c r="PG26">
        <f>IF($B26=0,1000000000,IF(INDEX('calcA'!$D$60:$EQ$99,$B26,28)*IF($W26=1,EC26+AAR26,EC26)=1,IF(AND($E26=2,IF($W26=1,AGG26,JR26)=0),1000000000,IF($V26=1,INDEX('calcA'!$D$130:$EQ$169,$B26,28)+IF(AND($E26=1,JR26=0),25,0),INDEX('calcA'!AE$110:AE$114,$F26+1)+IF(AND($E26=1,JR26=0),1000,0)+IF($H26=1,INDEX('calcA'!$D$180:$EQ$219,$B26,28)*500,0)-IF(AND('calcA'!AD$117=1,VB26&gt;0),300,0)-IF(AND($U26=1,'calcA'!AE$117=1,ED26=0),300,0))),1000000000))</f>
        <v/>
      </c>
      <c r="PH26">
        <f>IF($B26=0,1000000000,IF(INDEX('calcA'!$D$60:$EQ$99,$B26,29)*IF($W26=1,ED26+AAS26,ED26)=1,IF(AND($E26=2,IF($W26=1,AGH26,JS26)=0),1000000000,IF($V26=1,INDEX('calcA'!$D$130:$EQ$169,$B26,29)+IF(AND($E26=1,JS26=0),25,0),INDEX('calcA'!AF$110:AF$114,$F26+1)+IF(AND($E26=1,JS26=0),1000,0)+IF($H26=1,INDEX('calcA'!$D$180:$EQ$219,$B26,29)*500,0)-IF(AND('calcA'!AE$117=1,VC26&gt;0),300,0)-IF(AND($U26=1,'calcA'!AF$117=1,EE26=0),300,0))),1000000000))</f>
        <v/>
      </c>
      <c r="PI26">
        <f>IF($B26=0,1000000000,IF(INDEX('calcA'!$D$60:$EQ$99,$B26,30)*IF($W26=1,EE26+AAT26,EE26)=1,IF(AND($E26=2,IF($W26=1,AGI26,JT26)=0),1000000000,IF($V26=1,INDEX('calcA'!$D$130:$EQ$169,$B26,30)+IF(AND($E26=1,JT26=0),25,0),INDEX('calcA'!AG$110:AG$114,$F26+1)+IF(AND($E26=1,JT26=0),1000,0)+IF($H26=1,INDEX('calcA'!$D$180:$EQ$219,$B26,30)*500,0)-IF(AND('calcA'!AF$117=1,VD26&gt;0),300,0)-IF(AND($U26=1,'calcA'!AG$117=1,EF26=0),300,0))),1000000000))</f>
        <v/>
      </c>
      <c r="PJ26">
        <f>IF($B26=0,1000000000,IF(INDEX('calcA'!$D$60:$EQ$99,$B26,31)*IF($W26=1,EF26+AAU26,EF26)=1,IF(AND($E26=2,IF($W26=1,AGJ26,JU26)=0),1000000000,IF($V26=1,INDEX('calcA'!$D$130:$EQ$169,$B26,31)+IF(AND($E26=1,JU26=0),25,0),INDEX('calcA'!AH$110:AH$114,$F26+1)+IF(AND($E26=1,JU26=0),1000,0)+IF($H26=1,INDEX('calcA'!$D$180:$EQ$219,$B26,31)*500,0)-IF(AND('calcA'!AG$117=1,VE26&gt;0),300,0)-IF(AND($U26=1,'calcA'!AH$117=1,EG26=0),300,0))),1000000000))</f>
        <v/>
      </c>
      <c r="PK26">
        <f>IF($B26=0,1000000000,IF(INDEX('calcA'!$D$60:$EQ$99,$B26,32)*IF($W26=1,EG26+AAV26,EG26)=1,IF(AND($E26=2,IF($W26=1,AGK26,JV26)=0),1000000000,IF($V26=1,INDEX('calcA'!$D$130:$EQ$169,$B26,32)+IF(AND($E26=1,JV26=0),25,0),INDEX('calcA'!AI$110:AI$114,$F26+1)+IF(AND($E26=1,JV26=0),1000,0)+IF($H26=1,INDEX('calcA'!$D$180:$EQ$219,$B26,32)*500,0)-IF(AND('calcA'!AH$117=1,VF26&gt;0),300,0)-IF(AND($U26=1,'calcA'!AI$117=1,EH26=0),300,0))),1000000000))</f>
        <v/>
      </c>
      <c r="PL26">
        <f>IF($B26=0,1000000000,IF(INDEX('calcA'!$D$60:$EQ$99,$B26,33)*IF($W26=1,EH26+AAW26,EH26)=1,IF(AND($E26=2,IF($W26=1,AGL26,JW26)=0),1000000000,IF($V26=1,INDEX('calcA'!$D$130:$EQ$169,$B26,33)+IF(AND($E26=1,JW26=0),25,0),INDEX('calcA'!AJ$110:AJ$114,$F26+1)+IF(AND($E26=1,JW26=0),1000,0)+IF($H26=1,INDEX('calcA'!$D$180:$EQ$219,$B26,33)*500,0)-IF(AND('calcA'!AI$117=1,VG26&gt;0),300,0)-IF(AND($U26=1,'calcA'!AJ$117=1,EI26=0),300,0))),1000000000))</f>
        <v/>
      </c>
      <c r="PM26">
        <f>IF($B26=0,1000000000,IF(INDEX('calcA'!$D$60:$EQ$99,$B26,34)*IF($W26=1,EI26+AAX26,EI26)=1,IF(AND($E26=2,IF($W26=1,AGM26,JX26)=0),1000000000,IF($V26=1,INDEX('calcA'!$D$130:$EQ$169,$B26,34)+IF(AND($E26=1,JX26=0),25,0),INDEX('calcA'!AK$110:AK$114,$F26+1)+IF(AND($E26=1,JX26=0),1000,0)+IF($H26=1,INDEX('calcA'!$D$180:$EQ$219,$B26,34)*500,0)-IF(AND('calcA'!AJ$117=1,VH26&gt;0),300,0)-IF(AND($U26=1,'calcA'!AK$117=1,EJ26=0),300,0))),1000000000))</f>
        <v/>
      </c>
      <c r="PN26">
        <f>IF($B26=0,1000000000,IF(INDEX('calcA'!$D$60:$EQ$99,$B26,35)*IF($W26=1,EJ26+AAY26,EJ26)=1,IF(AND($E26=2,IF($W26=1,AGN26,JY26)=0),1000000000,IF($V26=1,INDEX('calcA'!$D$130:$EQ$169,$B26,35)+IF(AND($E26=1,JY26=0),25,0),INDEX('calcA'!AL$110:AL$114,$F26+1)+IF(AND($E26=1,JY26=0),1000,0)+IF($H26=1,INDEX('calcA'!$D$180:$EQ$219,$B26,35)*500,0)-IF(AND('calcA'!AK$117=1,VI26&gt;0),300,0)-IF(AND($U26=1,'calcA'!AL$117=1,EK26=0),300,0))),1000000000))</f>
        <v/>
      </c>
      <c r="PO26">
        <f>IF($B26=0,1000000000,IF(INDEX('calcA'!$D$60:$EQ$99,$B26,36)*IF($W26=1,EK26+AAZ26,EK26)=1,IF(AND($E26=2,IF($W26=1,AGO26,JZ26)=0),1000000000,IF($V26=1,INDEX('calcA'!$D$130:$EQ$169,$B26,36)+IF(AND($E26=1,JZ26=0),25,0),INDEX('calcA'!AM$110:AM$114,$F26+1)+IF(AND($E26=1,JZ26=0),1000,0)+IF($H26=1,INDEX('calcA'!$D$180:$EQ$219,$B26,36)*500,0)-IF(AND('calcA'!AL$117=1,VJ26&gt;0),300,0)-IF(AND($U26=1,'calcA'!AM$117=1,EL26=0),300,0))),1000000000))</f>
        <v/>
      </c>
      <c r="PP26">
        <f>IF($B26=0,1000000000,IF(INDEX('calcA'!$D$60:$EQ$99,$B26,37)*IF($W26=1,EL26+ABA26,EL26)=1,IF(AND($E26=2,IF($W26=1,AGP26,KA26)=0),1000000000,IF($V26=1,INDEX('calcA'!$D$130:$EQ$169,$B26,37)+IF(AND($E26=1,KA26=0),25,0),INDEX('calcA'!AN$110:AN$114,$F26+1)+IF(AND($E26=1,KA26=0),1000,0)+IF($H26=1,INDEX('calcA'!$D$180:$EQ$219,$B26,37)*500,0)-IF(AND('calcA'!AM$117=1,VK26&gt;0),300,0)-IF(AND($U26=1,'calcA'!AN$117=1,EM26=0),300,0))),1000000000))</f>
        <v/>
      </c>
      <c r="PQ26">
        <f>IF($B26=0,1000000000,IF(INDEX('calcA'!$D$60:$EQ$99,$B26,38)*IF($W26=1,EM26+ABB26,EM26)=1,IF(AND($E26=2,IF($W26=1,AGQ26,KB26)=0),1000000000,IF($V26=1,INDEX('calcA'!$D$130:$EQ$169,$B26,38)+IF(AND($E26=1,KB26=0),25,0),INDEX('calcA'!AO$110:AO$114,$F26+1)+IF(AND($E26=1,KB26=0),1000,0)+IF($H26=1,INDEX('calcA'!$D$180:$EQ$219,$B26,38)*500,0)-IF(AND('calcA'!AN$117=1,VL26&gt;0),300,0)-IF(AND($U26=1,'calcA'!AO$117=1,EN26=0),300,0))),1000000000))</f>
        <v/>
      </c>
      <c r="PR26">
        <f>IF($B26=0,1000000000,IF(INDEX('calcA'!$D$60:$EQ$99,$B26,39)*IF($W26=1,EN26+ABC26,EN26)=1,IF(AND($E26=2,IF($W26=1,AGR26,KC26)=0),1000000000,IF($V26=1,INDEX('calcA'!$D$130:$EQ$169,$B26,39)+IF(AND($E26=1,KC26=0),25,0),INDEX('calcA'!AP$110:AP$114,$F26+1)+IF(AND($E26=1,KC26=0),1000,0)+IF($H26=1,INDEX('calcA'!$D$180:$EQ$219,$B26,39)*500,0)-IF(AND('calcA'!AO$117=1,VM26&gt;0),300,0)-IF(AND($U26=1,'calcA'!AP$117=1,EO26=0),300,0))),1000000000))</f>
        <v/>
      </c>
      <c r="PS26">
        <f>IF($B26=0,1000000000,IF(INDEX('calcA'!$D$60:$EQ$99,$B26,40)*IF($W26=1,EO26+ABD26,EO26)=1,IF(AND($E26=2,IF($W26=1,AGS26,KD26)=0),1000000000,IF($V26=1,INDEX('calcA'!$D$130:$EQ$169,$B26,40)+IF(AND($E26=1,KD26=0),25,0),INDEX('calcA'!AQ$110:AQ$114,$F26+1)+IF(AND($E26=1,KD26=0),1000,0)+IF($H26=1,INDEX('calcA'!$D$180:$EQ$219,$B26,40)*500,0)-IF(AND('calcA'!AP$117=1,VN26&gt;0),300,0)-IF(AND($U26=1,'calcA'!AQ$117=1,EP26=0),300,0))),1000000000))</f>
        <v/>
      </c>
      <c r="PT26">
        <f>IF($B26=0,1000000000,IF(INDEX('calcA'!$D$60:$EQ$99,$B26,41)*IF($W26=1,EP26+ABE26,EP26)=1,IF(AND($E26=2,IF($W26=1,AGT26,KE26)=0),1000000000,IF($V26=1,INDEX('calcA'!$D$130:$EQ$169,$B26,41)+IF(AND($E26=1,KE26=0),25,0),INDEX('calcA'!AR$110:AR$114,$F26+1)+IF(AND($E26=1,KE26=0),1000,0)+IF($H26=1,INDEX('calcA'!$D$180:$EQ$219,$B26,41)*500,0)-IF(AND('calcA'!AQ$117=1,VO26&gt;0),300,0)-IF(AND($U26=1,'calcA'!AR$117=1,EQ26=0),300,0))),1000000000))</f>
        <v/>
      </c>
      <c r="PU26">
        <f>IF($B26=0,1000000000,IF(INDEX('calcA'!$D$60:$EQ$99,$B26,42)*IF($W26=1,EQ26+ABF26,EQ26)=1,IF(AND($E26=2,IF($W26=1,AGU26,KF26)=0),1000000000,IF($V26=1,INDEX('calcA'!$D$130:$EQ$169,$B26,42)+IF(AND($E26=1,KF26=0),25,0),INDEX('calcA'!AS$110:AS$114,$F26+1)+IF(AND($E26=1,KF26=0),1000,0)+IF($H26=1,INDEX('calcA'!$D$180:$EQ$219,$B26,42)*500,0)-IF(AND('calcA'!AR$117=1,VP26&gt;0),300,0)-IF(AND($U26=1,'calcA'!AS$117=1,ER26=0),300,0))),1000000000))</f>
        <v/>
      </c>
      <c r="PV26">
        <f>IF($B26=0,1000000000,IF(INDEX('calcA'!$D$60:$EQ$99,$B26,43)*IF($W26=1,ER26+ABG26,ER26)=1,IF(AND($E26=2,IF($W26=1,AGV26,KG26)=0),1000000000,IF($V26=1,INDEX('calcA'!$D$130:$EQ$169,$B26,43)+IF(AND($E26=1,KG26=0),25,0),INDEX('calcA'!AT$110:AT$114,$F26+1)+IF(AND($E26=1,KG26=0),1000,0)+IF($H26=1,INDEX('calcA'!$D$180:$EQ$219,$B26,43)*500,0)-IF(AND('calcA'!AS$117=1,VQ26&gt;0),300,0)-IF(AND($U26=1,'calcA'!AT$117=1,ES26=0),300,0))),1000000000))</f>
        <v/>
      </c>
      <c r="PW26">
        <f>IF($B26=0,1000000000,IF(INDEX('calcA'!$D$60:$EQ$99,$B26,44)*IF($W26=1,ES26+ABH26,ES26)=1,IF(AND($E26=2,IF($W26=1,AGW26,KH26)=0),1000000000,IF($V26=1,INDEX('calcA'!$D$130:$EQ$169,$B26,44)+IF(AND($E26=1,KH26=0),25,0),INDEX('calcA'!AU$110:AU$114,$F26+1)+IF(AND($E26=1,KH26=0),1000,0)+IF($H26=1,INDEX('calcA'!$D$180:$EQ$219,$B26,44)*500,0)-IF(AND('calcA'!AT$117=1,VR26&gt;0),300,0)-IF(AND($U26=1,'calcA'!AU$117=1,ET26=0),300,0))),1000000000))</f>
        <v/>
      </c>
      <c r="PX26">
        <f>IF($B26=0,1000000000,IF(INDEX('calcA'!$D$60:$EQ$99,$B26,45)*IF($W26=1,ET26+ABI26,ET26)=1,IF(AND($E26=2,IF($W26=1,AGX26,KI26)=0),1000000000,IF($V26=1,INDEX('calcA'!$D$130:$EQ$169,$B26,45)+IF(AND($E26=1,KI26=0),25,0),INDEX('calcA'!AV$110:AV$114,$F26+1)+IF(AND($E26=1,KI26=0),1000,0)+IF($H26=1,INDEX('calcA'!$D$180:$EQ$219,$B26,45)*500,0)-IF(AND('calcA'!AU$117=1,VS26&gt;0),300,0)-IF(AND($U26=1,'calcA'!AV$117=1,EU26=0),300,0))),1000000000))</f>
        <v/>
      </c>
      <c r="PY26">
        <f>IF($B26=0,1000000000,IF(INDEX('calcA'!$D$60:$EQ$99,$B26,46)*IF($W26=1,EU26+ABJ26,EU26)=1,IF(AND($E26=2,IF($W26=1,AGY26,KJ26)=0),1000000000,IF($V26=1,INDEX('calcA'!$D$130:$EQ$169,$B26,46)+IF(AND($E26=1,KJ26=0),25,0),INDEX('calcA'!AW$110:AW$114,$F26+1)+IF(AND($E26=1,KJ26=0),1000,0)+IF($H26=1,INDEX('calcA'!$D$180:$EQ$219,$B26,46)*500,0)-IF(AND('calcA'!AV$117=1,VT26&gt;0),300,0)-IF(AND($U26=1,'calcA'!AW$117=1,EV26=0),300,0))),1000000000))</f>
        <v/>
      </c>
      <c r="PZ26">
        <f>IF($B26=0,1000000000,IF(INDEX('calcA'!$D$60:$EQ$99,$B26,47)*IF($W26=1,EV26+ABK26,EV26)=1,IF(AND($E26=2,IF($W26=1,AGZ26,KK26)=0),1000000000,IF($V26=1,INDEX('calcA'!$D$130:$EQ$169,$B26,47)+IF(AND($E26=1,KK26=0),25,0),INDEX('calcA'!AX$110:AX$114,$F26+1)+IF(AND($E26=1,KK26=0),1000,0)+IF($H26=1,INDEX('calcA'!$D$180:$EQ$219,$B26,47)*500,0)-IF(AND('calcA'!AW$117=1,VU26&gt;0),300,0)-IF(AND($U26=1,'calcA'!AX$117=1,EW26=0),300,0))),1000000000))</f>
        <v/>
      </c>
      <c r="QA26">
        <f>IF($B26=0,1000000000,IF(INDEX('calcA'!$D$60:$EQ$99,$B26,48)*IF($W26=1,EW26+ABL26,EW26)=1,IF(AND($E26=2,IF($W26=1,AHA26,KL26)=0),1000000000,IF($V26=1,INDEX('calcA'!$D$130:$EQ$169,$B26,48)+IF(AND($E26=1,KL26=0),25,0),INDEX('calcA'!AY$110:AY$114,$F26+1)+IF(AND($E26=1,KL26=0),1000,0)+IF($H26=1,INDEX('calcA'!$D$180:$EQ$219,$B26,48)*500,0)-IF(AND('calcA'!AX$117=1,VV26&gt;0),300,0))),1000000000))</f>
        <v/>
      </c>
      <c r="QB26">
        <f>IF($B26=0,1000000000,IF(INDEX('calcA'!$D$60:$EQ$99,$B26,49)*IF($W26=1,EX26+ABM26,EX26)=1,IF(AND($E26=2,IF($W26=1,AHB26,KM26)=0),1000000000,IF($V26=1,INDEX('calcA'!$D$130:$EQ$169,$B26,49)+IF(AND($E26=1,KM26=0),25,0),INDEX('calcA'!AZ$110:AZ$114,$F26+1)+IF(AND($E26=1,KM26=0),1000,0)+IF($H26=1,INDEX('calcA'!$D$180:$EQ$219,$B26,49)*500,0)-IF(AND($U26=1,'calcA'!AZ$117=1,EY26=0),300,0))),1000000000))</f>
        <v/>
      </c>
      <c r="QC26">
        <f>IF($B26=0,1000000000,IF(INDEX('calcA'!$D$60:$EQ$99,$B26,50)*IF($W26=1,EY26+ABN26,EY26)=1,IF(AND($E26=2,IF($W26=1,AHC26,KN26)=0),1000000000,IF($V26=1,INDEX('calcA'!$D$130:$EQ$169,$B26,50)+IF(AND($E26=1,KN26=0),25,0),INDEX('calcA'!BA$110:BA$114,$F26+1)+IF(AND($E26=1,KN26=0),1000,0)+IF($H26=1,INDEX('calcA'!$D$180:$EQ$219,$B26,50)*500,0)-IF(AND('calcA'!AZ$117=1,VX26&gt;0),300,0)-IF(AND($U26=1,'calcA'!BA$117=1,EZ26=0),300,0))),1000000000))</f>
        <v/>
      </c>
      <c r="QD26">
        <f>IF($B26=0,1000000000,IF(INDEX('calcA'!$D$60:$EQ$99,$B26,51)*IF($W26=1,EZ26+ABO26,EZ26)=1,IF(AND($E26=2,IF($W26=1,AHD26,KO26)=0),1000000000,IF($V26=1,INDEX('calcA'!$D$130:$EQ$169,$B26,51)+IF(AND($E26=1,KO26=0),25,0),INDEX('calcA'!BB$110:BB$114,$F26+1)+IF(AND($E26=1,KO26=0),1000,0)+IF($H26=1,INDEX('calcA'!$D$180:$EQ$219,$B26,51)*500,0)-IF(AND('calcA'!BA$117=1,VY26&gt;0),300,0)-IF(AND($U26=1,'calcA'!BB$117=1,FA26=0),300,0))),1000000000))</f>
        <v/>
      </c>
      <c r="QE26">
        <f>IF($B26=0,1000000000,IF(INDEX('calcA'!$D$60:$EQ$99,$B26,52)*IF($W26=1,FA26+ABP26,FA26)=1,IF(AND($E26=2,IF($W26=1,AHE26,KP26)=0),1000000000,IF($V26=1,INDEX('calcA'!$D$130:$EQ$169,$B26,52)+IF(AND($E26=1,KP26=0),25,0),INDEX('calcA'!BC$110:BC$114,$F26+1)+IF(AND($E26=1,KP26=0),1000,0)+IF($H26=1,INDEX('calcA'!$D$180:$EQ$219,$B26,52)*500,0)-IF(AND('calcA'!BB$117=1,VZ26&gt;0),300,0)-IF(AND($U26=1,'calcA'!BC$117=1,FB26=0),300,0))),1000000000))</f>
        <v/>
      </c>
      <c r="QF26">
        <f>IF($B26=0,1000000000,IF(INDEX('calcA'!$D$60:$EQ$99,$B26,53)*IF($W26=1,FB26+ABQ26,FB26)=1,IF(AND($E26=2,IF($W26=1,AHF26,KQ26)=0),1000000000,IF($V26=1,INDEX('calcA'!$D$130:$EQ$169,$B26,53)+IF(AND($E26=1,KQ26=0),25,0),INDEX('calcA'!BD$110:BD$114,$F26+1)+IF(AND($E26=1,KQ26=0),1000,0)+IF($H26=1,INDEX('calcA'!$D$180:$EQ$219,$B26,53)*500,0)-IF(AND('calcA'!BC$117=1,WA26&gt;0),300,0)-IF(AND($U26=1,'calcA'!BD$117=1,FC26=0),300,0))),1000000000))</f>
        <v/>
      </c>
      <c r="QG26">
        <f>IF($B26=0,1000000000,IF(INDEX('calcA'!$D$60:$EQ$99,$B26,54)*IF($W26=1,FC26+ABR26,FC26)=1,IF(AND($E26=2,IF($W26=1,AHG26,KR26)=0),1000000000,IF($V26=1,INDEX('calcA'!$D$130:$EQ$169,$B26,54)+IF(AND($E26=1,KR26=0),25,0),INDEX('calcA'!BE$110:BE$114,$F26+1)+IF(AND($E26=1,KR26=0),1000,0)+IF($H26=1,INDEX('calcA'!$D$180:$EQ$219,$B26,54)*500,0)-IF(AND('calcA'!BD$117=1,WB26&gt;0),300,0)-IF(AND($U26=1,'calcA'!BE$117=1,FD26=0),300,0))),1000000000))</f>
        <v/>
      </c>
      <c r="QH26">
        <f>IF($B26=0,1000000000,IF(INDEX('calcA'!$D$60:$EQ$99,$B26,55)*IF($W26=1,FD26+ABS26,FD26)=1,IF(AND($E26=2,IF($W26=1,AHH26,KS26)=0),1000000000,IF($V26=1,INDEX('calcA'!$D$130:$EQ$169,$B26,55)+IF(AND($E26=1,KS26=0),25,0),INDEX('calcA'!BF$110:BF$114,$F26+1)+IF(AND($E26=1,KS26=0),1000,0)+IF($H26=1,INDEX('calcA'!$D$180:$EQ$219,$B26,55)*500,0)-IF(AND('calcA'!BE$117=1,WC26&gt;0),300,0)-IF(AND($U26=1,'calcA'!BF$117=1,FE26=0),300,0))),1000000000))</f>
        <v/>
      </c>
      <c r="QI26">
        <f>IF($B26=0,1000000000,IF(INDEX('calcA'!$D$60:$EQ$99,$B26,56)*IF($W26=1,FE26+ABT26,FE26)=1,IF(AND($E26=2,IF($W26=1,AHI26,KT26)=0),1000000000,IF($V26=1,INDEX('calcA'!$D$130:$EQ$169,$B26,56)+IF(AND($E26=1,KT26=0),25,0),INDEX('calcA'!BG$110:BG$114,$F26+1)+IF(AND($E26=1,KT26=0),1000,0)+IF($H26=1,INDEX('calcA'!$D$180:$EQ$219,$B26,56)*500,0)-IF(AND('calcA'!BF$117=1,WD26&gt;0),300,0)-IF(AND($U26=1,'calcA'!BG$117=1,FF26=0),300,0))),1000000000))</f>
        <v/>
      </c>
      <c r="QJ26">
        <f>IF($B26=0,1000000000,IF(INDEX('calcA'!$D$60:$EQ$99,$B26,57)*IF($W26=1,FF26+ABU26,FF26)=1,IF(AND($E26=2,IF($W26=1,AHJ26,KU26)=0),1000000000,IF($V26=1,INDEX('calcA'!$D$130:$EQ$169,$B26,57)+IF(AND($E26=1,KU26=0),25,0),INDEX('calcA'!BH$110:BH$114,$F26+1)+IF(AND($E26=1,KU26=0),1000,0)+IF($H26=1,INDEX('calcA'!$D$180:$EQ$219,$B26,57)*500,0)-IF(AND('calcA'!BG$117=1,WE26&gt;0),300,0)-IF(AND($U26=1,'calcA'!BH$117=1,FG26=0),300,0))),1000000000))</f>
        <v/>
      </c>
      <c r="QK26">
        <f>IF($B26=0,1000000000,IF(INDEX('calcA'!$D$60:$EQ$99,$B26,58)*IF($W26=1,FG26+ABV26,FG26)=1,IF(AND($E26=2,IF($W26=1,AHK26,KV26)=0),1000000000,IF($V26=1,INDEX('calcA'!$D$130:$EQ$169,$B26,58)+IF(AND($E26=1,KV26=0),25,0),INDEX('calcA'!BI$110:BI$114,$F26+1)+IF(AND($E26=1,KV26=0),1000,0)+IF($H26=1,INDEX('calcA'!$D$180:$EQ$219,$B26,58)*500,0)-IF(AND('calcA'!BH$117=1,WF26&gt;0),300,0)-IF(AND($U26=1,'calcA'!BI$117=1,FH26=0),300,0))),1000000000))</f>
        <v/>
      </c>
      <c r="QL26">
        <f>IF($B26=0,1000000000,IF(INDEX('calcA'!$D$60:$EQ$99,$B26,59)*IF($W26=1,FH26+ABW26,FH26)=1,IF(AND($E26=2,IF($W26=1,AHL26,KW26)=0),1000000000,IF($V26=1,INDEX('calcA'!$D$130:$EQ$169,$B26,59)+IF(AND($E26=1,KW26=0),25,0),INDEX('calcA'!BJ$110:BJ$114,$F26+1)+IF(AND($E26=1,KW26=0),1000,0)+IF($H26=1,INDEX('calcA'!$D$180:$EQ$219,$B26,59)*500,0)-IF(AND('calcA'!BI$117=1,WG26&gt;0),300,0)-IF(AND($U26=1,'calcA'!BJ$117=1,FI26=0),300,0))),1000000000))</f>
        <v/>
      </c>
      <c r="QM26">
        <f>IF($B26=0,1000000000,IF(INDEX('calcA'!$D$60:$EQ$99,$B26,60)*IF($W26=1,FI26+ABX26,FI26)=1,IF(AND($E26=2,IF($W26=1,AHM26,KX26)=0),1000000000,IF($V26=1,INDEX('calcA'!$D$130:$EQ$169,$B26,60)+IF(AND($E26=1,KX26=0),25,0),INDEX('calcA'!BK$110:BK$114,$F26+1)+IF(AND($E26=1,KX26=0),1000,0)+IF($H26=1,INDEX('calcA'!$D$180:$EQ$219,$B26,60)*500,0)-IF(AND('calcA'!BJ$117=1,WH26&gt;0),300,0)-IF(AND($U26=1,'calcA'!BK$117=1,FJ26=0),300,0))),1000000000))</f>
        <v/>
      </c>
      <c r="QN26">
        <f>IF($B26=0,1000000000,IF(INDEX('calcA'!$D$60:$EQ$99,$B26,61)*IF($W26=1,FJ26+ABY26,FJ26)=1,IF(AND($E26=2,IF($W26=1,AHN26,KY26)=0),1000000000,IF($V26=1,INDEX('calcA'!$D$130:$EQ$169,$B26,61)+IF(AND($E26=1,KY26=0),25,0),INDEX('calcA'!BL$110:BL$114,$F26+1)+IF(AND($E26=1,KY26=0),1000,0)+IF($H26=1,INDEX('calcA'!$D$180:$EQ$219,$B26,61)*500,0)-IF(AND('calcA'!BK$117=1,WI26&gt;0),300,0)-IF(AND($U26=1,'calcA'!BL$117=1,FK26=0),300,0))),1000000000))</f>
        <v/>
      </c>
      <c r="QO26">
        <f>IF($B26=0,1000000000,IF(INDEX('calcA'!$D$60:$EQ$99,$B26,62)*IF($W26=1,FK26+ABZ26,FK26)=1,IF(AND($E26=2,IF($W26=1,AHO26,KZ26)=0),1000000000,IF($V26=1,INDEX('calcA'!$D$130:$EQ$169,$B26,62)+IF(AND($E26=1,KZ26=0),25,0),INDEX('calcA'!BM$110:BM$114,$F26+1)+IF(AND($E26=1,KZ26=0),1000,0)+IF($H26=1,INDEX('calcA'!$D$180:$EQ$219,$B26,62)*500,0)-IF(AND('calcA'!BL$117=1,WJ26&gt;0),300,0)-IF(AND($U26=1,'calcA'!BM$117=1,FL26=0),300,0))),1000000000))</f>
        <v/>
      </c>
      <c r="QP26">
        <f>IF($B26=0,1000000000,IF(INDEX('calcA'!$D$60:$EQ$99,$B26,63)*IF($W26=1,FL26+ACA26,FL26)=1,IF(AND($E26=2,IF($W26=1,AHP26,LA26)=0),1000000000,IF($V26=1,INDEX('calcA'!$D$130:$EQ$169,$B26,63)+IF(AND($E26=1,LA26=0),25,0),INDEX('calcA'!BN$110:BN$114,$F26+1)+IF(AND($E26=1,LA26=0),1000,0)+IF($H26=1,INDEX('calcA'!$D$180:$EQ$219,$B26,63)*500,0)-IF(AND('calcA'!BM$117=1,WK26&gt;0),300,0)-IF(AND($U26=1,'calcA'!BN$117=1,FM26=0),300,0))),1000000000))</f>
        <v/>
      </c>
      <c r="QQ26">
        <f>IF($B26=0,1000000000,IF(INDEX('calcA'!$D$60:$EQ$99,$B26,64)*IF($W26=1,FM26+ACB26,FM26)=1,IF(AND($E26=2,IF($W26=1,AHQ26,LB26)=0),1000000000,IF($V26=1,INDEX('calcA'!$D$130:$EQ$169,$B26,64)+IF(AND($E26=1,LB26=0),25,0),INDEX('calcA'!BO$110:BO$114,$F26+1)+IF(AND($E26=1,LB26=0),1000,0)+IF($H26=1,INDEX('calcA'!$D$180:$EQ$219,$B26,64)*500,0)-IF(AND('calcA'!BN$117=1,WL26&gt;0),300,0)-IF(AND($U26=1,'calcA'!BO$117=1,FN26=0),300,0))),1000000000))</f>
        <v/>
      </c>
      <c r="QR26">
        <f>IF($B26=0,1000000000,IF(INDEX('calcA'!$D$60:$EQ$99,$B26,65)*IF($W26=1,FN26+ACC26,FN26)=1,IF(AND($E26=2,IF($W26=1,AHR26,LC26)=0),1000000000,IF($V26=1,INDEX('calcA'!$D$130:$EQ$169,$B26,65)+IF(AND($E26=1,LC26=0),25,0),INDEX('calcA'!BP$110:BP$114,$F26+1)+IF(AND($E26=1,LC26=0),1000,0)+IF($H26=1,INDEX('calcA'!$D$180:$EQ$219,$B26,65)*500,0)-IF(AND('calcA'!BO$117=1,WM26&gt;0),300,0)-IF(AND($U26=1,'calcA'!BP$117=1,FO26=0),300,0))),1000000000))</f>
        <v/>
      </c>
      <c r="QS26">
        <f>IF($B26=0,1000000000,IF(INDEX('calcA'!$D$60:$EQ$99,$B26,66)*IF($W26=1,FO26+ACD26,FO26)=1,IF(AND($E26=2,IF($W26=1,AHS26,LD26)=0),1000000000,IF($V26=1,INDEX('calcA'!$D$130:$EQ$169,$B26,66)+IF(AND($E26=1,LD26=0),25,0),INDEX('calcA'!BQ$110:BQ$114,$F26+1)+IF(AND($E26=1,LD26=0),1000,0)+IF($H26=1,INDEX('calcA'!$D$180:$EQ$219,$B26,66)*500,0)-IF(AND('calcA'!BP$117=1,WN26&gt;0),300,0)-IF(AND($U26=1,'calcA'!BQ$117=1,FP26=0),300,0))),1000000000))</f>
        <v/>
      </c>
      <c r="QT26">
        <f>IF($B26=0,1000000000,IF(INDEX('calcA'!$D$60:$EQ$99,$B26,67)*IF($W26=1,FP26+ACE26,FP26)=1,IF(AND($E26=2,IF($W26=1,AHT26,LE26)=0),1000000000,IF($V26=1,INDEX('calcA'!$D$130:$EQ$169,$B26,67)+IF(AND($E26=1,LE26=0),25,0),INDEX('calcA'!BR$110:BR$114,$F26+1)+IF(AND($E26=1,LE26=0),1000,0)+IF($H26=1,INDEX('calcA'!$D$180:$EQ$219,$B26,67)*500,0)-IF(AND('calcA'!BQ$117=1,WO26&gt;0),300,0)-IF(AND($U26=1,'calcA'!BR$117=1,FQ26=0),300,0))),1000000000))</f>
        <v/>
      </c>
      <c r="QU26">
        <f>IF($B26=0,1000000000,IF(INDEX('calcA'!$D$60:$EQ$99,$B26,68)*IF($W26=1,FQ26+ACF26,FQ26)=1,IF(AND($E26=2,IF($W26=1,AHU26,LF26)=0),1000000000,IF($V26=1,INDEX('calcA'!$D$130:$EQ$169,$B26,68)+IF(AND($E26=1,LF26=0),25,0),INDEX('calcA'!BS$110:BS$114,$F26+1)+IF(AND($E26=1,LF26=0),1000,0)+IF($H26=1,INDEX('calcA'!$D$180:$EQ$219,$B26,68)*500,0)-IF(AND('calcA'!BR$117=1,WP26&gt;0),300,0)-IF(AND($U26=1,'calcA'!BS$117=1,FR26=0),300,0))),1000000000))</f>
        <v/>
      </c>
      <c r="QV26">
        <f>IF($B26=0,1000000000,IF(INDEX('calcA'!$D$60:$EQ$99,$B26,69)*IF($W26=1,FR26+ACG26,FR26)=1,IF(AND($E26=2,IF($W26=1,AHV26,LG26)=0),1000000000,IF($V26=1,INDEX('calcA'!$D$130:$EQ$169,$B26,69)+IF(AND($E26=1,LG26=0),25,0),INDEX('calcA'!BT$110:BT$114,$F26+1)+IF(AND($E26=1,LG26=0),1000,0)+IF($H26=1,INDEX('calcA'!$D$180:$EQ$219,$B26,69)*500,0)-IF(AND('calcA'!BS$117=1,WQ26&gt;0),300,0)-IF(AND($U26=1,'calcA'!BT$117=1,FS26=0),300,0))),1000000000))</f>
        <v/>
      </c>
      <c r="QW26">
        <f>IF($B26=0,1000000000,IF(INDEX('calcA'!$D$60:$EQ$99,$B26,70)*IF($W26=1,FS26+ACH26,FS26)=1,IF(AND($E26=2,IF($W26=1,AHW26,LH26)=0),1000000000,IF($V26=1,INDEX('calcA'!$D$130:$EQ$169,$B26,70)+IF(AND($E26=1,LH26=0),25,0),INDEX('calcA'!BU$110:BU$114,$F26+1)+IF(AND($E26=1,LH26=0),1000,0)+IF($H26=1,INDEX('calcA'!$D$180:$EQ$219,$B26,70)*500,0)-IF(AND('calcA'!BT$117=1,WR26&gt;0),300,0)-IF(AND($U26=1,'calcA'!BU$117=1,FT26=0),300,0))),1000000000))</f>
        <v/>
      </c>
      <c r="QX26">
        <f>IF($B26=0,1000000000,IF(INDEX('calcA'!$D$60:$EQ$99,$B26,71)*IF($W26=1,FT26+ACI26,FT26)=1,IF(AND($E26=2,IF($W26=1,AHX26,LI26)=0),1000000000,IF($V26=1,INDEX('calcA'!$D$130:$EQ$169,$B26,71)+IF(AND($E26=1,LI26=0),25,0),INDEX('calcA'!BV$110:BV$114,$F26+1)+IF(AND($E26=1,LI26=0),1000,0)+IF($H26=1,INDEX('calcA'!$D$180:$EQ$219,$B26,71)*500,0)-IF(AND('calcA'!BU$117=1,WS26&gt;0),300,0)-IF(AND($U26=1,'calcA'!BV$117=1,FU26=0),300,0))),1000000000))</f>
        <v/>
      </c>
      <c r="QY26">
        <f>IF($B26=0,1000000000,IF(INDEX('calcA'!$D$60:$EQ$99,$B26,72)*IF($W26=1,FU26+ACJ26,FU26)=1,IF(AND($E26=2,IF($W26=1,AHY26,LJ26)=0),1000000000,IF($V26=1,INDEX('calcA'!$D$130:$EQ$169,$B26,72)+IF(AND($E26=1,LJ26=0),25,0),INDEX('calcA'!BW$110:BW$114,$F26+1)+IF(AND($E26=1,LJ26=0),1000,0)+IF($H26=1,INDEX('calcA'!$D$180:$EQ$219,$B26,72)*500,0)-IF(AND('calcA'!BV$117=1,WT26&gt;0),300,0))),1000000000))</f>
        <v/>
      </c>
      <c r="QZ26">
        <f>IF($B26=0,1000000000,IF(INDEX('calcA'!$D$60:$EQ$99,$B26,73)*IF($W26=1,FV26+ACK26,FV26)=1,IF(AND($E26=2,IF($W26=1,AHZ26,LK26)=0),1000000000,IF($V26=1,INDEX('calcA'!$D$130:$EQ$169,$B26,73)+IF(AND($E26=1,LK26=0),25,0),INDEX('calcA'!BX$110:BX$114,$F26+1)+IF(AND($E26=1,LK26=0),1000,0)+IF($H26=1,INDEX('calcA'!$D$180:$EQ$219,$B26,73)*500,0)-IF(AND($U26=1,'calcA'!BX$117=1,FW26=0),300,0))),1000000000))</f>
        <v/>
      </c>
      <c r="RA26">
        <f>IF($B26=0,1000000000,IF(INDEX('calcA'!$D$60:$EQ$99,$B26,74)*IF($W26=1,FW26+ACL26,FW26)=1,IF(AND($E26=2,IF($W26=1,AIA26,LL26)=0),1000000000,IF($V26=1,INDEX('calcA'!$D$130:$EQ$169,$B26,74)+IF(AND($E26=1,LL26=0),25,0),INDEX('calcA'!BY$110:BY$114,$F26+1)+IF(AND($E26=1,LL26=0),1000,0)+IF($H26=1,INDEX('calcA'!$D$180:$EQ$219,$B26,74)*500,0)-IF(AND('calcA'!BX$117=1,WV26&gt;0),300,0)-IF(AND($U26=1,'calcA'!BY$117=1,FX26=0),300,0))),1000000000))</f>
        <v/>
      </c>
      <c r="RB26">
        <f>IF($B26=0,1000000000,IF(INDEX('calcA'!$D$60:$EQ$99,$B26,75)*IF($W26=1,FX26+ACM26,FX26)=1,IF(AND($E26=2,IF($W26=1,AIB26,LM26)=0),1000000000,IF($V26=1,INDEX('calcA'!$D$130:$EQ$169,$B26,75)+IF(AND($E26=1,LM26=0),25,0),INDEX('calcA'!BZ$110:BZ$114,$F26+1)+IF(AND($E26=1,LM26=0),1000,0)+IF($H26=1,INDEX('calcA'!$D$180:$EQ$219,$B26,75)*500,0)-IF(AND('calcA'!BY$117=1,WW26&gt;0),300,0)-IF(AND($U26=1,'calcA'!BZ$117=1,FY26=0),300,0))),1000000000))</f>
        <v/>
      </c>
      <c r="RC26">
        <f>IF($B26=0,1000000000,IF(INDEX('calcA'!$D$60:$EQ$99,$B26,76)*IF($W26=1,FY26+ACN26,FY26)=1,IF(AND($E26=2,IF($W26=1,AIC26,LN26)=0),1000000000,IF($V26=1,INDEX('calcA'!$D$130:$EQ$169,$B26,76)+IF(AND($E26=1,LN26=0),25,0),INDEX('calcA'!CA$110:CA$114,$F26+1)+IF(AND($E26=1,LN26=0),1000,0)+IF($H26=1,INDEX('calcA'!$D$180:$EQ$219,$B26,76)*500,0)-IF(AND('calcA'!BZ$117=1,WX26&gt;0),300,0)-IF(AND($U26=1,'calcA'!CA$117=1,FZ26=0),300,0))),1000000000))</f>
        <v/>
      </c>
      <c r="RD26">
        <f>IF($B26=0,1000000000,IF(INDEX('calcA'!$D$60:$EQ$99,$B26,77)*IF($W26=1,FZ26+ACO26,FZ26)=1,IF(AND($E26=2,IF($W26=1,AID26,LO26)=0),1000000000,IF($V26=1,INDEX('calcA'!$D$130:$EQ$169,$B26,77)+IF(AND($E26=1,LO26=0),25,0),INDEX('calcA'!CB$110:CB$114,$F26+1)+IF(AND($E26=1,LO26=0),1000,0)+IF($H26=1,INDEX('calcA'!$D$180:$EQ$219,$B26,77)*500,0)-IF(AND('calcA'!CA$117=1,WY26&gt;0),300,0)-IF(AND($U26=1,'calcA'!CB$117=1,GA26=0),300,0))),1000000000))</f>
        <v/>
      </c>
      <c r="RE26">
        <f>IF($B26=0,1000000000,IF(INDEX('calcA'!$D$60:$EQ$99,$B26,78)*IF($W26=1,GA26+ACP26,GA26)=1,IF(AND($E26=2,IF($W26=1,AIE26,LP26)=0),1000000000,IF($V26=1,INDEX('calcA'!$D$130:$EQ$169,$B26,78)+IF(AND($E26=1,LP26=0),25,0),INDEX('calcA'!CC$110:CC$114,$F26+1)+IF(AND($E26=1,LP26=0),1000,0)+IF($H26=1,INDEX('calcA'!$D$180:$EQ$219,$B26,78)*500,0)-IF(AND('calcA'!CB$117=1,WZ26&gt;0),300,0)-IF(AND($U26=1,'calcA'!CC$117=1,GB26=0),300,0))),1000000000))</f>
        <v/>
      </c>
      <c r="RF26">
        <f>IF($B26=0,1000000000,IF(INDEX('calcA'!$D$60:$EQ$99,$B26,79)*IF($W26=1,GB26+ACQ26,GB26)=1,IF(AND($E26=2,IF($W26=1,AIF26,LQ26)=0),1000000000,IF($V26=1,INDEX('calcA'!$D$130:$EQ$169,$B26,79)+IF(AND($E26=1,LQ26=0),25,0),INDEX('calcA'!CD$110:CD$114,$F26+1)+IF(AND($E26=1,LQ26=0),1000,0)+IF($H26=1,INDEX('calcA'!$D$180:$EQ$219,$B26,79)*500,0)-IF(AND('calcA'!CC$117=1,XA26&gt;0),300,0)-IF(AND($U26=1,'calcA'!CD$117=1,GC26=0),300,0))),1000000000))</f>
        <v/>
      </c>
      <c r="RG26">
        <f>IF($B26=0,1000000000,IF(INDEX('calcA'!$D$60:$EQ$99,$B26,80)*IF($W26=1,GC26+ACR26,GC26)=1,IF(AND($E26=2,IF($W26=1,AIG26,LR26)=0),1000000000,IF($V26=1,INDEX('calcA'!$D$130:$EQ$169,$B26,80)+IF(AND($E26=1,LR26=0),25,0),INDEX('calcA'!CE$110:CE$114,$F26+1)+IF(AND($E26=1,LR26=0),1000,0)+IF($H26=1,INDEX('calcA'!$D$180:$EQ$219,$B26,80)*500,0)-IF(AND('calcA'!CD$117=1,XB26&gt;0),300,0)-IF(AND($U26=1,'calcA'!CE$117=1,GD26=0),300,0))),1000000000))</f>
        <v/>
      </c>
      <c r="RH26">
        <f>IF($B26=0,1000000000,IF(INDEX('calcA'!$D$60:$EQ$99,$B26,81)*IF($W26=1,GD26+ACS26,GD26)=1,IF(AND($E26=2,IF($W26=1,AIH26,LS26)=0),1000000000,IF($V26=1,INDEX('calcA'!$D$130:$EQ$169,$B26,81)+IF(AND($E26=1,LS26=0),25,0),INDEX('calcA'!CF$110:CF$114,$F26+1)+IF(AND($E26=1,LS26=0),1000,0)+IF($H26=1,INDEX('calcA'!$D$180:$EQ$219,$B26,81)*500,0)-IF(AND('calcA'!CE$117=1,XC26&gt;0),300,0)-IF(AND($U26=1,'calcA'!CF$117=1,GE26=0),300,0))),1000000000))</f>
        <v/>
      </c>
      <c r="RI26">
        <f>IF($B26=0,1000000000,IF(INDEX('calcA'!$D$60:$EQ$99,$B26,82)*IF($W26=1,GE26+ACT26,GE26)=1,IF(AND($E26=2,IF($W26=1,AII26,LT26)=0),1000000000,IF($V26=1,INDEX('calcA'!$D$130:$EQ$169,$B26,82)+IF(AND($E26=1,LT26=0),25,0),INDEX('calcA'!CG$110:CG$114,$F26+1)+IF(AND($E26=1,LT26=0),1000,0)+IF($H26=1,INDEX('calcA'!$D$180:$EQ$219,$B26,82)*500,0)-IF(AND('calcA'!CF$117=1,XD26&gt;0),300,0)-IF(AND($U26=1,'calcA'!CG$117=1,GF26=0),300,0))),1000000000))</f>
        <v/>
      </c>
      <c r="RJ26">
        <f>IF($B26=0,1000000000,IF(INDEX('calcA'!$D$60:$EQ$99,$B26,83)*IF($W26=1,GF26+ACU26,GF26)=1,IF(AND($E26=2,IF($W26=1,AIJ26,LU26)=0),1000000000,IF($V26=1,INDEX('calcA'!$D$130:$EQ$169,$B26,83)+IF(AND($E26=1,LU26=0),25,0),INDEX('calcA'!CH$110:CH$114,$F26+1)+IF(AND($E26=1,LU26=0),1000,0)+IF($H26=1,INDEX('calcA'!$D$180:$EQ$219,$B26,83)*500,0)-IF(AND('calcA'!CG$117=1,XE26&gt;0),300,0)-IF(AND($U26=1,'calcA'!CH$117=1,GG26=0),300,0))),1000000000))</f>
        <v/>
      </c>
      <c r="RK26">
        <f>IF($B26=0,1000000000,IF(INDEX('calcA'!$D$60:$EQ$99,$B26,84)*IF($W26=1,GG26+ACV26,GG26)=1,IF(AND($E26=2,IF($W26=1,AIK26,LV26)=0),1000000000,IF($V26=1,INDEX('calcA'!$D$130:$EQ$169,$B26,84)+IF(AND($E26=1,LV26=0),25,0),INDEX('calcA'!CI$110:CI$114,$F26+1)+IF(AND($E26=1,LV26=0),1000,0)+IF($H26=1,INDEX('calcA'!$D$180:$EQ$219,$B26,84)*500,0)-IF(AND('calcA'!CH$117=1,XF26&gt;0),300,0)-IF(AND($U26=1,'calcA'!CI$117=1,GH26=0),300,0))),1000000000))</f>
        <v/>
      </c>
      <c r="RL26">
        <f>IF($B26=0,1000000000,IF(INDEX('calcA'!$D$60:$EQ$99,$B26,85)*IF($W26=1,GH26+ACW26,GH26)=1,IF(AND($E26=2,IF($W26=1,AIL26,LW26)=0),1000000000,IF($V26=1,INDEX('calcA'!$D$130:$EQ$169,$B26,85)+IF(AND($E26=1,LW26=0),25,0),INDEX('calcA'!CJ$110:CJ$114,$F26+1)+IF(AND($E26=1,LW26=0),1000,0)+IF($H26=1,INDEX('calcA'!$D$180:$EQ$219,$B26,85)*500,0)-IF(AND('calcA'!CI$117=1,XG26&gt;0),300,0)-IF(AND($U26=1,'calcA'!CJ$117=1,GI26=0),300,0))),1000000000))</f>
        <v/>
      </c>
      <c r="RM26">
        <f>IF($B26=0,1000000000,IF(INDEX('calcA'!$D$60:$EQ$99,$B26,86)*IF($W26=1,GI26+ACX26,GI26)=1,IF(AND($E26=2,IF($W26=1,AIM26,LX26)=0),1000000000,IF($V26=1,INDEX('calcA'!$D$130:$EQ$169,$B26,86)+IF(AND($E26=1,LX26=0),25,0),INDEX('calcA'!CK$110:CK$114,$F26+1)+IF(AND($E26=1,LX26=0),1000,0)+IF($H26=1,INDEX('calcA'!$D$180:$EQ$219,$B26,86)*500,0)-IF(AND('calcA'!CJ$117=1,XH26&gt;0),300,0)-IF(AND($U26=1,'calcA'!CK$117=1,GJ26=0),300,0))),1000000000))</f>
        <v/>
      </c>
      <c r="RN26">
        <f>IF($B26=0,1000000000,IF(INDEX('calcA'!$D$60:$EQ$99,$B26,87)*IF($W26=1,GJ26+ACY26,GJ26)=1,IF(AND($E26=2,IF($W26=1,AIN26,LY26)=0),1000000000,IF($V26=1,INDEX('calcA'!$D$130:$EQ$169,$B26,87)+IF(AND($E26=1,LY26=0),25,0),INDEX('calcA'!CL$110:CL$114,$F26+1)+IF(AND($E26=1,LY26=0),1000,0)+IF($H26=1,INDEX('calcA'!$D$180:$EQ$219,$B26,87)*500,0)-IF(AND('calcA'!CK$117=1,XI26&gt;0),300,0)-IF(AND($U26=1,'calcA'!CL$117=1,GK26=0),300,0))),1000000000))</f>
        <v/>
      </c>
      <c r="RO26">
        <f>IF($B26=0,1000000000,IF(INDEX('calcA'!$D$60:$EQ$99,$B26,88)*IF($W26=1,GK26+ACZ26,GK26)=1,IF(AND($E26=2,IF($W26=1,AIO26,LZ26)=0),1000000000,IF($V26=1,INDEX('calcA'!$D$130:$EQ$169,$B26,88)+IF(AND($E26=1,LZ26=0),25,0),INDEX('calcA'!CM$110:CM$114,$F26+1)+IF(AND($E26=1,LZ26=0),1000,0)+IF($H26=1,INDEX('calcA'!$D$180:$EQ$219,$B26,88)*500,0)-IF(AND('calcA'!CL$117=1,XJ26&gt;0),300,0)-IF(AND($U26=1,'calcA'!CM$117=1,GL26=0),300,0))),1000000000))</f>
        <v/>
      </c>
      <c r="RP26">
        <f>IF($B26=0,1000000000,IF(INDEX('calcA'!$D$60:$EQ$99,$B26,89)*IF($W26=1,GL26+ADA26,GL26)=1,IF(AND($E26=2,IF($W26=1,AIP26,MA26)=0),1000000000,IF($V26=1,INDEX('calcA'!$D$130:$EQ$169,$B26,89)+IF(AND($E26=1,MA26=0),25,0),INDEX('calcA'!CN$110:CN$114,$F26+1)+IF(AND($E26=1,MA26=0),1000,0)+IF($H26=1,INDEX('calcA'!$D$180:$EQ$219,$B26,89)*500,0)-IF(AND('calcA'!CM$117=1,XK26&gt;0),300,0)-IF(AND($U26=1,'calcA'!CN$117=1,GM26=0),300,0))),1000000000))</f>
        <v/>
      </c>
      <c r="RQ26">
        <f>IF($B26=0,1000000000,IF(INDEX('calcA'!$D$60:$EQ$99,$B26,90)*IF($W26=1,GM26+ADB26,GM26)=1,IF(AND($E26=2,IF($W26=1,AIQ26,MB26)=0),1000000000,IF($V26=1,INDEX('calcA'!$D$130:$EQ$169,$B26,90)+IF(AND($E26=1,MB26=0),25,0),INDEX('calcA'!CO$110:CO$114,$F26+1)+IF(AND($E26=1,MB26=0),1000,0)+IF($H26=1,INDEX('calcA'!$D$180:$EQ$219,$B26,90)*500,0)-IF(AND('calcA'!CN$117=1,XL26&gt;0),300,0)-IF(AND($U26=1,'calcA'!CO$117=1,GN26=0),300,0))),1000000000))</f>
        <v/>
      </c>
      <c r="RR26">
        <f>IF($B26=0,1000000000,IF(INDEX('calcA'!$D$60:$EQ$99,$B26,91)*IF($W26=1,GN26+ADC26,GN26)=1,IF(AND($E26=2,IF($W26=1,AIR26,MC26)=0),1000000000,IF($V26=1,INDEX('calcA'!$D$130:$EQ$169,$B26,91)+IF(AND($E26=1,MC26=0),25,0),INDEX('calcA'!CP$110:CP$114,$F26+1)+IF(AND($E26=1,MC26=0),1000,0)+IF($H26=1,INDEX('calcA'!$D$180:$EQ$219,$B26,91)*500,0)-IF(AND('calcA'!CO$117=1,XM26&gt;0),300,0)-IF(AND($U26=1,'calcA'!CP$117=1,GO26=0),300,0))),1000000000))</f>
        <v/>
      </c>
      <c r="RS26">
        <f>IF($B26=0,1000000000,IF(INDEX('calcA'!$D$60:$EQ$99,$B26,92)*IF($W26=1,GO26+ADD26,GO26)=1,IF(AND($E26=2,IF($W26=1,AIS26,MD26)=0),1000000000,IF($V26=1,INDEX('calcA'!$D$130:$EQ$169,$B26,92)+IF(AND($E26=1,MD26=0),25,0),INDEX('calcA'!CQ$110:CQ$114,$F26+1)+IF(AND($E26=1,MD26=0),1000,0)+IF($H26=1,INDEX('calcA'!$D$180:$EQ$219,$B26,92)*500,0)-IF(AND('calcA'!CP$117=1,XN26&gt;0),300,0)-IF(AND($U26=1,'calcA'!CQ$117=1,GP26=0),300,0))),1000000000))</f>
        <v/>
      </c>
      <c r="RT26">
        <f>IF($B26=0,1000000000,IF(INDEX('calcA'!$D$60:$EQ$99,$B26,93)*IF($W26=1,GP26+ADE26,GP26)=1,IF(AND($E26=2,IF($W26=1,AIT26,ME26)=0),1000000000,IF($V26=1,INDEX('calcA'!$D$130:$EQ$169,$B26,93)+IF(AND($E26=1,ME26=0),25,0),INDEX('calcA'!CR$110:CR$114,$F26+1)+IF(AND($E26=1,ME26=0),1000,0)+IF($H26=1,INDEX('calcA'!$D$180:$EQ$219,$B26,93)*500,0)-IF(AND('calcA'!CQ$117=1,XO26&gt;0),300,0)-IF(AND($U26=1,'calcA'!CR$117=1,GQ26=0),300,0))),1000000000))</f>
        <v/>
      </c>
      <c r="RU26">
        <f>IF($B26=0,1000000000,IF(INDEX('calcA'!$D$60:$EQ$99,$B26,94)*IF($W26=1,GQ26+ADF26,GQ26)=1,IF(AND($E26=2,IF($W26=1,AIU26,MF26)=0),1000000000,IF($V26=1,INDEX('calcA'!$D$130:$EQ$169,$B26,94)+IF(AND($E26=1,MF26=0),25,0),INDEX('calcA'!CS$110:CS$114,$F26+1)+IF(AND($E26=1,MF26=0),1000,0)+IF($H26=1,INDEX('calcA'!$D$180:$EQ$219,$B26,94)*500,0)-IF(AND('calcA'!CR$117=1,XP26&gt;0),300,0)-IF(AND($U26=1,'calcA'!CS$117=1,GR26=0),300,0))),1000000000))</f>
        <v/>
      </c>
      <c r="RV26">
        <f>IF($B26=0,1000000000,IF(INDEX('calcA'!$D$60:$EQ$99,$B26,95)*IF($W26=1,GR26+ADG26,GR26)=1,IF(AND($E26=2,IF($W26=1,AIV26,MG26)=0),1000000000,IF($V26=1,INDEX('calcA'!$D$130:$EQ$169,$B26,95)+IF(AND($E26=1,MG26=0),25,0),INDEX('calcA'!CT$110:CT$114,$F26+1)+IF(AND($E26=1,MG26=0),1000,0)+IF($H26=1,INDEX('calcA'!$D$180:$EQ$219,$B26,95)*500,0)-IF(AND('calcA'!CS$117=1,XQ26&gt;0),300,0)-IF(AND($U26=1,'calcA'!CT$117=1,GS26=0),300,0))),1000000000))</f>
        <v/>
      </c>
      <c r="RW26">
        <f>IF($B26=0,1000000000,IF(INDEX('calcA'!$D$60:$EQ$99,$B26,96)*IF($W26=1,GS26+ADH26,GS26)=1,IF(AND($E26=2,IF($W26=1,AIW26,MH26)=0),1000000000,IF($V26=1,INDEX('calcA'!$D$130:$EQ$169,$B26,96)+IF(AND($E26=1,MH26=0),25,0),INDEX('calcA'!CU$110:CU$114,$F26+1)+IF(AND($E26=1,MH26=0),1000,0)+IF($H26=1,INDEX('calcA'!$D$180:$EQ$219,$B26,96)*500,0)-IF(AND('calcA'!CT$117=1,XR26&gt;0),300,0))),1000000000))</f>
        <v/>
      </c>
      <c r="RX26">
        <f>IF($B26=0,1000000000,IF(INDEX('calcA'!$D$60:$EQ$99,$B26,97)*IF($W26=1,GT26+ADI26,GT26)=1,IF(AND($E26=2,IF($W26=1,AIX26,MI26)=0),1000000000,IF($V26=1,INDEX('calcA'!$D$130:$EQ$169,$B26,97)+IF(AND($E26=1,MI26=0),25,0),INDEX('calcA'!CV$110:CV$114,$F26+1)+IF(AND($E26=1,MI26=0),1000,0)+IF($H26=1,INDEX('calcA'!$D$180:$EQ$219,$B26,97)*500,0)-IF(AND($U26=1,'calcA'!CV$117=1,GU26=0),300,0))),1000000000))</f>
        <v/>
      </c>
      <c r="RY26">
        <f>IF($B26=0,1000000000,IF(INDEX('calcA'!$D$60:$EQ$99,$B26,98)*IF($W26=1,GU26+ADJ26,GU26)=1,IF(AND($E26=2,IF($W26=1,AIY26,MJ26)=0),1000000000,IF($V26=1,INDEX('calcA'!$D$130:$EQ$169,$B26,98)+IF(AND($E26=1,MJ26=0),25,0),INDEX('calcA'!CW$110:CW$114,$F26+1)+IF(AND($E26=1,MJ26=0),1000,0)+IF($H26=1,INDEX('calcA'!$D$180:$EQ$219,$B26,98)*500,0)-IF(AND('calcA'!CV$117=1,XT26&gt;0),300,0)-IF(AND($U26=1,'calcA'!CW$117=1,GV26=0),300,0))),1000000000))</f>
        <v/>
      </c>
      <c r="RZ26">
        <f>IF($B26=0,1000000000,IF(INDEX('calcA'!$D$60:$EQ$99,$B26,99)*IF($W26=1,GV26+ADK26,GV26)=1,IF(AND($E26=2,IF($W26=1,AIZ26,MK26)=0),1000000000,IF($V26=1,INDEX('calcA'!$D$130:$EQ$169,$B26,99)+IF(AND($E26=1,MK26=0),25,0),INDEX('calcA'!CX$110:CX$114,$F26+1)+IF(AND($E26=1,MK26=0),1000,0)+IF($H26=1,INDEX('calcA'!$D$180:$EQ$219,$B26,99)*500,0)-IF(AND('calcA'!CW$117=1,XU26&gt;0),300,0)-IF(AND($U26=1,'calcA'!CX$117=1,GW26=0),300,0))),1000000000))</f>
        <v/>
      </c>
      <c r="SA26">
        <f>IF($B26=0,1000000000,IF(INDEX('calcA'!$D$60:$EQ$99,$B26,100)*IF($W26=1,GW26+ADL26,GW26)=1,IF(AND($E26=2,IF($W26=1,AJA26,ML26)=0),1000000000,IF($V26=1,INDEX('calcA'!$D$130:$EQ$169,$B26,100)+IF(AND($E26=1,ML26=0),25,0),INDEX('calcA'!CY$110:CY$114,$F26+1)+IF(AND($E26=1,ML26=0),1000,0)+IF($H26=1,INDEX('calcA'!$D$180:$EQ$219,$B26,100)*500,0)-IF(AND('calcA'!CX$117=1,XV26&gt;0),300,0)-IF(AND($U26=1,'calcA'!CY$117=1,GX26=0),300,0))),1000000000))</f>
        <v/>
      </c>
      <c r="SB26">
        <f>IF($B26=0,1000000000,IF(INDEX('calcA'!$D$60:$EQ$99,$B26,101)*IF($W26=1,GX26+ADM26,GX26)=1,IF(AND($E26=2,IF($W26=1,AJB26,MM26)=0),1000000000,IF($V26=1,INDEX('calcA'!$D$130:$EQ$169,$B26,101)+IF(AND($E26=1,MM26=0),25,0),INDEX('calcA'!CZ$110:CZ$114,$F26+1)+IF(AND($E26=1,MM26=0),1000,0)+IF($H26=1,INDEX('calcA'!$D$180:$EQ$219,$B26,101)*500,0)-IF(AND('calcA'!CY$117=1,XW26&gt;0),300,0)-IF(AND($U26=1,'calcA'!CZ$117=1,GY26=0),300,0))),1000000000))</f>
        <v/>
      </c>
      <c r="SC26">
        <f>IF($B26=0,1000000000,IF(INDEX('calcA'!$D$60:$EQ$99,$B26,102)*IF($W26=1,GY26+ADN26,GY26)=1,IF(AND($E26=2,IF($W26=1,AJC26,MN26)=0),1000000000,IF($V26=1,INDEX('calcA'!$D$130:$EQ$169,$B26,102)+IF(AND($E26=1,MN26=0),25,0),INDEX('calcA'!DA$110:DA$114,$F26+1)+IF(AND($E26=1,MN26=0),1000,0)+IF($H26=1,INDEX('calcA'!$D$180:$EQ$219,$B26,102)*500,0)-IF(AND('calcA'!CZ$117=1,XX26&gt;0),300,0)-IF(AND($U26=1,'calcA'!DA$117=1,GZ26=0),300,0))),1000000000))</f>
        <v/>
      </c>
      <c r="SD26">
        <f>IF($B26=0,1000000000,IF(INDEX('calcA'!$D$60:$EQ$99,$B26,103)*IF($W26=1,GZ26+ADO26,GZ26)=1,IF(AND($E26=2,IF($W26=1,AJD26,MO26)=0),1000000000,IF($V26=1,INDEX('calcA'!$D$130:$EQ$169,$B26,103)+IF(AND($E26=1,MO26=0),25,0),INDEX('calcA'!DB$110:DB$114,$F26+1)+IF(AND($E26=1,MO26=0),1000,0)+IF($H26=1,INDEX('calcA'!$D$180:$EQ$219,$B26,103)*500,0)-IF(AND('calcA'!DA$117=1,XY26&gt;0),300,0)-IF(AND($U26=1,'calcA'!DB$117=1,HA26=0),300,0))),1000000000))</f>
        <v/>
      </c>
      <c r="SE26">
        <f>IF($B26=0,1000000000,IF(INDEX('calcA'!$D$60:$EQ$99,$B26,104)*IF($W26=1,HA26+ADP26,HA26)=1,IF(AND($E26=2,IF($W26=1,AJE26,MP26)=0),1000000000,IF($V26=1,INDEX('calcA'!$D$130:$EQ$169,$B26,104)+IF(AND($E26=1,MP26=0),25,0),INDEX('calcA'!DC$110:DC$114,$F26+1)+IF(AND($E26=1,MP26=0),1000,0)+IF($H26=1,INDEX('calcA'!$D$180:$EQ$219,$B26,104)*500,0)-IF(AND('calcA'!DB$117=1,XZ26&gt;0),300,0)-IF(AND($U26=1,'calcA'!DC$117=1,HB26=0),300,0))),1000000000))</f>
        <v/>
      </c>
      <c r="SF26">
        <f>IF($B26=0,1000000000,IF(INDEX('calcA'!$D$60:$EQ$99,$B26,105)*IF($W26=1,HB26+ADQ26,HB26)=1,IF(AND($E26=2,IF($W26=1,AJF26,MQ26)=0),1000000000,IF($V26=1,INDEX('calcA'!$D$130:$EQ$169,$B26,105)+IF(AND($E26=1,MQ26=0),25,0),INDEX('calcA'!DD$110:DD$114,$F26+1)+IF(AND($E26=1,MQ26=0),1000,0)+IF($H26=1,INDEX('calcA'!$D$180:$EQ$219,$B26,105)*500,0)-IF(AND('calcA'!DC$117=1,YA26&gt;0),300,0)-IF(AND($U26=1,'calcA'!DD$117=1,HC26=0),300,0))),1000000000))</f>
        <v/>
      </c>
      <c r="SG26">
        <f>IF($B26=0,1000000000,IF(INDEX('calcA'!$D$60:$EQ$99,$B26,106)*IF($W26=1,HC26+ADR26,HC26)=1,IF(AND($E26=2,IF($W26=1,AJG26,MR26)=0),1000000000,IF($V26=1,INDEX('calcA'!$D$130:$EQ$169,$B26,106)+IF(AND($E26=1,MR26=0),25,0),INDEX('calcA'!DE$110:DE$114,$F26+1)+IF(AND($E26=1,MR26=0),1000,0)+IF($H26=1,INDEX('calcA'!$D$180:$EQ$219,$B26,106)*500,0)-IF(AND('calcA'!DD$117=1,YB26&gt;0),300,0)-IF(AND($U26=1,'calcA'!DE$117=1,HD26=0),300,0))),1000000000))</f>
        <v/>
      </c>
      <c r="SH26">
        <f>IF($B26=0,1000000000,IF(INDEX('calcA'!$D$60:$EQ$99,$B26,107)*IF($W26=1,HD26+ADS26,HD26)=1,IF(AND($E26=2,IF($W26=1,AJH26,MS26)=0),1000000000,IF($V26=1,INDEX('calcA'!$D$130:$EQ$169,$B26,107)+IF(AND($E26=1,MS26=0),25,0),INDEX('calcA'!DF$110:DF$114,$F26+1)+IF(AND($E26=1,MS26=0),1000,0)+IF($H26=1,INDEX('calcA'!$D$180:$EQ$219,$B26,107)*500,0)-IF(AND('calcA'!DE$117=1,YC26&gt;0),300,0)-IF(AND($U26=1,'calcA'!DF$117=1,HE26=0),300,0))),1000000000))</f>
        <v/>
      </c>
      <c r="SI26">
        <f>IF($B26=0,1000000000,IF(INDEX('calcA'!$D$60:$EQ$99,$B26,108)*IF($W26=1,HE26+ADT26,HE26)=1,IF(AND($E26=2,IF($W26=1,AJI26,MT26)=0),1000000000,IF($V26=1,INDEX('calcA'!$D$130:$EQ$169,$B26,108)+IF(AND($E26=1,MT26=0),25,0),INDEX('calcA'!DG$110:DG$114,$F26+1)+IF(AND($E26=1,MT26=0),1000,0)+IF($H26=1,INDEX('calcA'!$D$180:$EQ$219,$B26,108)*500,0)-IF(AND('calcA'!DF$117=1,YD26&gt;0),300,0)-IF(AND($U26=1,'calcA'!DG$117=1,HF26=0),300,0))),1000000000))</f>
        <v/>
      </c>
      <c r="SJ26">
        <f>IF($B26=0,1000000000,IF(INDEX('calcA'!$D$60:$EQ$99,$B26,109)*IF($W26=1,HF26+ADU26,HF26)=1,IF(AND($E26=2,IF($W26=1,AJJ26,MU26)=0),1000000000,IF($V26=1,INDEX('calcA'!$D$130:$EQ$169,$B26,109)+IF(AND($E26=1,MU26=0),25,0),INDEX('calcA'!DH$110:DH$114,$F26+1)+IF(AND($E26=1,MU26=0),1000,0)+IF($H26=1,INDEX('calcA'!$D$180:$EQ$219,$B26,109)*500,0)-IF(AND('calcA'!DG$117=1,YE26&gt;0),300,0)-IF(AND($U26=1,'calcA'!DH$117=1,HG26=0),300,0))),1000000000))</f>
        <v/>
      </c>
      <c r="SK26">
        <f>IF($B26=0,1000000000,IF(INDEX('calcA'!$D$60:$EQ$99,$B26,110)*IF($W26=1,HG26+ADV26,HG26)=1,IF(AND($E26=2,IF($W26=1,AJK26,MV26)=0),1000000000,IF($V26=1,INDEX('calcA'!$D$130:$EQ$169,$B26,110)+IF(AND($E26=1,MV26=0),25,0),INDEX('calcA'!DI$110:DI$114,$F26+1)+IF(AND($E26=1,MV26=0),1000,0)+IF($H26=1,INDEX('calcA'!$D$180:$EQ$219,$B26,110)*500,0)-IF(AND('calcA'!DH$117=1,YF26&gt;0),300,0)-IF(AND($U26=1,'calcA'!DI$117=1,HH26=0),300,0))),1000000000))</f>
        <v/>
      </c>
      <c r="SL26">
        <f>IF($B26=0,1000000000,IF(INDEX('calcA'!$D$60:$EQ$99,$B26,111)*IF($W26=1,HH26+ADW26,HH26)=1,IF(AND($E26=2,IF($W26=1,AJL26,MW26)=0),1000000000,IF($V26=1,INDEX('calcA'!$D$130:$EQ$169,$B26,111)+IF(AND($E26=1,MW26=0),25,0),INDEX('calcA'!DJ$110:DJ$114,$F26+1)+IF(AND($E26=1,MW26=0),1000,0)+IF($H26=1,INDEX('calcA'!$D$180:$EQ$219,$B26,111)*500,0)-IF(AND('calcA'!DI$117=1,YG26&gt;0),300,0)-IF(AND($U26=1,'calcA'!DJ$117=1,HI26=0),300,0))),1000000000))</f>
        <v/>
      </c>
      <c r="SM26">
        <f>IF($B26=0,1000000000,IF(INDEX('calcA'!$D$60:$EQ$99,$B26,112)*IF($W26=1,HI26+ADX26,HI26)=1,IF(AND($E26=2,IF($W26=1,AJM26,MX26)=0),1000000000,IF($V26=1,INDEX('calcA'!$D$130:$EQ$169,$B26,112)+IF(AND($E26=1,MX26=0),25,0),INDEX('calcA'!DK$110:DK$114,$F26+1)+IF(AND($E26=1,MX26=0),1000,0)+IF($H26=1,INDEX('calcA'!$D$180:$EQ$219,$B26,112)*500,0)-IF(AND('calcA'!DJ$117=1,YH26&gt;0),300,0)-IF(AND($U26=1,'calcA'!DK$117=1,HJ26=0),300,0))),1000000000))</f>
        <v/>
      </c>
      <c r="SN26">
        <f>IF($B26=0,1000000000,IF(INDEX('calcA'!$D$60:$EQ$99,$B26,113)*IF($W26=1,HJ26+ADY26,HJ26)=1,IF(AND($E26=2,IF($W26=1,AJN26,MY26)=0),1000000000,IF($V26=1,INDEX('calcA'!$D$130:$EQ$169,$B26,113)+IF(AND($E26=1,MY26=0),25,0),INDEX('calcA'!DL$110:DL$114,$F26+1)+IF(AND($E26=1,MY26=0),1000,0)+IF($H26=1,INDEX('calcA'!$D$180:$EQ$219,$B26,113)*500,0)-IF(AND('calcA'!DK$117=1,YI26&gt;0),300,0)-IF(AND($U26=1,'calcA'!DL$117=1,HK26=0),300,0))),1000000000))</f>
        <v/>
      </c>
      <c r="SO26">
        <f>IF($B26=0,1000000000,IF(INDEX('calcA'!$D$60:$EQ$99,$B26,114)*IF($W26=1,HK26+ADZ26,HK26)=1,IF(AND($E26=2,IF($W26=1,AJO26,MZ26)=0),1000000000,IF($V26=1,INDEX('calcA'!$D$130:$EQ$169,$B26,114)+IF(AND($E26=1,MZ26=0),25,0),INDEX('calcA'!DM$110:DM$114,$F26+1)+IF(AND($E26=1,MZ26=0),1000,0)+IF($H26=1,INDEX('calcA'!$D$180:$EQ$219,$B26,114)*500,0)-IF(AND('calcA'!DL$117=1,YJ26&gt;0),300,0)-IF(AND($U26=1,'calcA'!DM$117=1,HL26=0),300,0))),1000000000))</f>
        <v/>
      </c>
      <c r="SP26">
        <f>IF($B26=0,1000000000,IF(INDEX('calcA'!$D$60:$EQ$99,$B26,115)*IF($W26=1,HL26+AEA26,HL26)=1,IF(AND($E26=2,IF($W26=1,AJP26,NA26)=0),1000000000,IF($V26=1,INDEX('calcA'!$D$130:$EQ$169,$B26,115)+IF(AND($E26=1,NA26=0),25,0),INDEX('calcA'!DN$110:DN$114,$F26+1)+IF(AND($E26=1,NA26=0),1000,0)+IF($H26=1,INDEX('calcA'!$D$180:$EQ$219,$B26,115)*500,0)-IF(AND('calcA'!DM$117=1,YK26&gt;0),300,0)-IF(AND($U26=1,'calcA'!DN$117=1,HM26=0),300,0))),1000000000))</f>
        <v/>
      </c>
      <c r="SQ26">
        <f>IF($B26=0,1000000000,IF(INDEX('calcA'!$D$60:$EQ$99,$B26,116)*IF($W26=1,HM26+AEB26,HM26)=1,IF(AND($E26=2,IF($W26=1,AJQ26,NB26)=0),1000000000,IF($V26=1,INDEX('calcA'!$D$130:$EQ$169,$B26,116)+IF(AND($E26=1,NB26=0),25,0),INDEX('calcA'!DO$110:DO$114,$F26+1)+IF(AND($E26=1,NB26=0),1000,0)+IF($H26=1,INDEX('calcA'!$D$180:$EQ$219,$B26,116)*500,0)-IF(AND('calcA'!DN$117=1,YL26&gt;0),300,0)-IF(AND($U26=1,'calcA'!DO$117=1,HN26=0),300,0))),1000000000))</f>
        <v/>
      </c>
      <c r="SR26">
        <f>IF($B26=0,1000000000,IF(INDEX('calcA'!$D$60:$EQ$99,$B26,117)*IF($W26=1,HN26+AEC26,HN26)=1,IF(AND($E26=2,IF($W26=1,AJR26,NC26)=0),1000000000,IF($V26=1,INDEX('calcA'!$D$130:$EQ$169,$B26,117)+IF(AND($E26=1,NC26=0),25,0),INDEX('calcA'!DP$110:DP$114,$F26+1)+IF(AND($E26=1,NC26=0),1000,0)+IF($H26=1,INDEX('calcA'!$D$180:$EQ$219,$B26,117)*500,0)-IF(AND('calcA'!DO$117=1,YM26&gt;0),300,0)-IF(AND($U26=1,'calcA'!DP$117=1,HO26=0),300,0))),1000000000))</f>
        <v/>
      </c>
      <c r="SS26">
        <f>IF($B26=0,1000000000,IF(INDEX('calcA'!$D$60:$EQ$99,$B26,118)*IF($W26=1,HO26+AED26,HO26)=1,IF(AND($E26=2,IF($W26=1,AJS26,ND26)=0),1000000000,IF($V26=1,INDEX('calcA'!$D$130:$EQ$169,$B26,118)+IF(AND($E26=1,ND26=0),25,0),INDEX('calcA'!DQ$110:DQ$114,$F26+1)+IF(AND($E26=1,ND26=0),1000,0)+IF($H26=1,INDEX('calcA'!$D$180:$EQ$219,$B26,118)*500,0)-IF(AND('calcA'!DP$117=1,YN26&gt;0),300,0)-IF(AND($U26=1,'calcA'!DQ$117=1,HP26=0),300,0))),1000000000))</f>
        <v/>
      </c>
      <c r="ST26">
        <f>IF($B26=0,1000000000,IF(INDEX('calcA'!$D$60:$EQ$99,$B26,119)*IF($W26=1,HP26+AEE26,HP26)=1,IF(AND($E26=2,IF($W26=1,AJT26,NE26)=0),1000000000,IF($V26=1,INDEX('calcA'!$D$130:$EQ$169,$B26,119)+IF(AND($E26=1,NE26=0),25,0),INDEX('calcA'!DR$110:DR$114,$F26+1)+IF(AND($E26=1,NE26=0),1000,0)+IF($H26=1,INDEX('calcA'!$D$180:$EQ$219,$B26,119)*500,0)-IF(AND('calcA'!DQ$117=1,YO26&gt;0),300,0)-IF(AND($U26=1,'calcA'!DR$117=1,HQ26=0),300,0))),1000000000))</f>
        <v/>
      </c>
      <c r="SU26">
        <f>IF($B26=0,1000000000,IF(INDEX('calcA'!$D$60:$EQ$99,$B26,120)*IF($W26=1,HQ26+AEF26,HQ26)=1,IF(AND($E26=2,IF($W26=1,AJU26,NF26)=0),1000000000,IF($V26=1,INDEX('calcA'!$D$130:$EQ$169,$B26,120)+IF(AND($E26=1,NF26=0),25,0),INDEX('calcA'!DS$110:DS$114,$F26+1)+IF(AND($E26=1,NF26=0),1000,0)+IF($H26=1,INDEX('calcA'!$D$180:$EQ$219,$B26,120)*500,0)-IF(AND('calcA'!DR$117=1,YP26&gt;0),300,0))),1000000000))</f>
        <v/>
      </c>
      <c r="SV26">
        <f>IF($B26=0,1000000000,IF(INDEX('calcA'!$D$60:$EQ$99,$B26,121)*IF($W26=1,HR26+AEG26,HR26)=1,IF(AND($E26=2,IF($W26=1,AJV26,NG26)=0),1000000000,IF($V26=1,INDEX('calcA'!$D$130:$EQ$169,$B26,121)+IF(AND($E26=1,NG26=0),25,0),INDEX('calcA'!DT$110:DT$114,$F26+1)+IF(AND($E26=1,NG26=0),1000,0)+IF($H26=1,INDEX('calcA'!$D$180:$EQ$219,$B26,121)*500,0)-IF(AND($U26=1,'calcA'!DT$117=1,HS26=0),300,0))),1000000000))</f>
        <v/>
      </c>
      <c r="SW26">
        <f>IF($B26=0,1000000000,IF(INDEX('calcA'!$D$60:$EQ$99,$B26,122)*IF($W26=1,HS26+AEH26,HS26)=1,IF(AND($E26=2,IF($W26=1,AJW26,NH26)=0),1000000000,IF($V26=1,INDEX('calcA'!$D$130:$EQ$169,$B26,122)+IF(AND($E26=1,NH26=0),25,0),INDEX('calcA'!DU$110:DU$114,$F26+1)+IF(AND($E26=1,NH26=0),1000,0)+IF($H26=1,INDEX('calcA'!$D$180:$EQ$219,$B26,122)*500,0)-IF(AND('calcA'!DT$117=1,YR26&gt;0),300,0)-IF(AND($U26=1,'calcA'!DU$117=1,HT26=0),300,0))),1000000000))</f>
        <v/>
      </c>
      <c r="SX26">
        <f>IF($B26=0,1000000000,IF(INDEX('calcA'!$D$60:$EQ$99,$B26,123)*IF($W26=1,HT26+AEI26,HT26)=1,IF(AND($E26=2,IF($W26=1,AJX26,NI26)=0),1000000000,IF($V26=1,INDEX('calcA'!$D$130:$EQ$169,$B26,123)+IF(AND($E26=1,NI26=0),25,0),INDEX('calcA'!DV$110:DV$114,$F26+1)+IF(AND($E26=1,NI26=0),1000,0)+IF($H26=1,INDEX('calcA'!$D$180:$EQ$219,$B26,123)*500,0)-IF(AND('calcA'!DU$117=1,YS26&gt;0),300,0)-IF(AND($U26=1,'calcA'!DV$117=1,HU26=0),300,0))),1000000000))</f>
        <v/>
      </c>
      <c r="SY26">
        <f>IF($B26=0,1000000000,IF(INDEX('calcA'!$D$60:$EQ$99,$B26,124)*IF($W26=1,HU26+AEJ26,HU26)=1,IF(AND($E26=2,IF($W26=1,AJY26,NJ26)=0),1000000000,IF($V26=1,INDEX('calcA'!$D$130:$EQ$169,$B26,124)+IF(AND($E26=1,NJ26=0),25,0),INDEX('calcA'!DW$110:DW$114,$F26+1)+IF(AND($E26=1,NJ26=0),1000,0)+IF($H26=1,INDEX('calcA'!$D$180:$EQ$219,$B26,124)*500,0)-IF(AND('calcA'!DV$117=1,YT26&gt;0),300,0)-IF(AND($U26=1,'calcA'!DW$117=1,HV26=0),300,0))),1000000000))</f>
        <v/>
      </c>
      <c r="SZ26">
        <f>IF($B26=0,1000000000,IF(INDEX('calcA'!$D$60:$EQ$99,$B26,125)*IF($W26=1,HV26+AEK26,HV26)=1,IF(AND($E26=2,IF($W26=1,AJZ26,NK26)=0),1000000000,IF($V26=1,INDEX('calcA'!$D$130:$EQ$169,$B26,125)+IF(AND($E26=1,NK26=0),25,0),INDEX('calcA'!DX$110:DX$114,$F26+1)+IF(AND($E26=1,NK26=0),1000,0)+IF($H26=1,INDEX('calcA'!$D$180:$EQ$219,$B26,125)*500,0)-IF(AND('calcA'!DW$117=1,YU26&gt;0),300,0)-IF(AND($U26=1,'calcA'!DX$117=1,HW26=0),300,0))),1000000000))</f>
        <v/>
      </c>
      <c r="TA26">
        <f>IF($B26=0,1000000000,IF(INDEX('calcA'!$D$60:$EQ$99,$B26,126)*IF($W26=1,HW26+AEL26,HW26)=1,IF(AND($E26=2,IF($W26=1,AKA26,NL26)=0),1000000000,IF($V26=1,INDEX('calcA'!$D$130:$EQ$169,$B26,126)+IF(AND($E26=1,NL26=0),25,0),INDEX('calcA'!DY$110:DY$114,$F26+1)+IF(AND($E26=1,NL26=0),1000,0)+IF($H26=1,INDEX('calcA'!$D$180:$EQ$219,$B26,126)*500,0)-IF(AND('calcA'!DX$117=1,YV26&gt;0),300,0)-IF(AND($U26=1,'calcA'!DY$117=1,HX26=0),300,0))),1000000000))</f>
        <v/>
      </c>
      <c r="TB26">
        <f>IF($B26=0,1000000000,IF(INDEX('calcA'!$D$60:$EQ$99,$B26,127)*IF($W26=1,HX26+AEM26,HX26)=1,IF(AND($E26=2,IF($W26=1,AKB26,NM26)=0),1000000000,IF($V26=1,INDEX('calcA'!$D$130:$EQ$169,$B26,127)+IF(AND($E26=1,NM26=0),25,0),INDEX('calcA'!DZ$110:DZ$114,$F26+1)+IF(AND($E26=1,NM26=0),1000,0)+IF($H26=1,INDEX('calcA'!$D$180:$EQ$219,$B26,127)*500,0)-IF(AND('calcA'!DY$117=1,YW26&gt;0),300,0)-IF(AND($U26=1,'calcA'!DZ$117=1,HY26=0),300,0))),1000000000))</f>
        <v/>
      </c>
      <c r="TC26">
        <f>IF($B26=0,1000000000,IF(INDEX('calcA'!$D$60:$EQ$99,$B26,128)*IF($W26=1,HY26+AEN26,HY26)=1,IF(AND($E26=2,IF($W26=1,AKC26,NN26)=0),1000000000,IF($V26=1,INDEX('calcA'!$D$130:$EQ$169,$B26,128)+IF(AND($E26=1,NN26=0),25,0),INDEX('calcA'!EA$110:EA$114,$F26+1)+IF(AND($E26=1,NN26=0),1000,0)+IF($H26=1,INDEX('calcA'!$D$180:$EQ$219,$B26,128)*500,0)-IF(AND('calcA'!DZ$117=1,YX26&gt;0),300,0)-IF(AND($U26=1,'calcA'!EA$117=1,HZ26=0),300,0))),1000000000))</f>
        <v/>
      </c>
      <c r="TD26">
        <f>IF($B26=0,1000000000,IF(INDEX('calcA'!$D$60:$EQ$99,$B26,129)*IF($W26=1,HZ26+AEO26,HZ26)=1,IF(AND($E26=2,IF($W26=1,AKD26,NO26)=0),1000000000,IF($V26=1,INDEX('calcA'!$D$130:$EQ$169,$B26,129)+IF(AND($E26=1,NO26=0),25,0),INDEX('calcA'!EB$110:EB$114,$F26+1)+IF(AND($E26=1,NO26=0),1000,0)+IF($H26=1,INDEX('calcA'!$D$180:$EQ$219,$B26,129)*500,0)-IF(AND('calcA'!EA$117=1,YY26&gt;0),300,0)-IF(AND($U26=1,'calcA'!EB$117=1,IA26=0),300,0))),1000000000))</f>
        <v/>
      </c>
      <c r="TE26">
        <f>IF($B26=0,1000000000,IF(INDEX('calcA'!$D$60:$EQ$99,$B26,130)*IF($W26=1,IA26+AEP26,IA26)=1,IF(AND($E26=2,IF($W26=1,AKE26,NP26)=0),1000000000,IF($V26=1,INDEX('calcA'!$D$130:$EQ$169,$B26,130)+IF(AND($E26=1,NP26=0),25,0),INDEX('calcA'!EC$110:EC$114,$F26+1)+IF(AND($E26=1,NP26=0),1000,0)+IF($H26=1,INDEX('calcA'!$D$180:$EQ$219,$B26,130)*500,0)-IF(AND('calcA'!EB$117=1,YZ26&gt;0),300,0)-IF(AND($U26=1,'calcA'!EC$117=1,IB26=0),300,0))),1000000000))</f>
        <v/>
      </c>
      <c r="TF26">
        <f>IF($B26=0,1000000000,IF(INDEX('calcA'!$D$60:$EQ$99,$B26,131)*IF($W26=1,IB26+AEQ26,IB26)=1,IF(AND($E26=2,IF($W26=1,AKF26,NQ26)=0),1000000000,IF($V26=1,INDEX('calcA'!$D$130:$EQ$169,$B26,131)+IF(AND($E26=1,NQ26=0),25,0),INDEX('calcA'!ED$110:ED$114,$F26+1)+IF(AND($E26=1,NQ26=0),1000,0)+IF($H26=1,INDEX('calcA'!$D$180:$EQ$219,$B26,131)*500,0)-IF(AND('calcA'!EC$117=1,ZA26&gt;0),300,0)-IF(AND($U26=1,'calcA'!ED$117=1,IC26=0),300,0))),1000000000))</f>
        <v/>
      </c>
      <c r="TG26">
        <f>IF($B26=0,1000000000,IF(INDEX('calcA'!$D$60:$EQ$99,$B26,132)*IF($W26=1,IC26+AER26,IC26)=1,IF(AND($E26=2,IF($W26=1,AKG26,NR26)=0),1000000000,IF($V26=1,INDEX('calcA'!$D$130:$EQ$169,$B26,132)+IF(AND($E26=1,NR26=0),25,0),INDEX('calcA'!EE$110:EE$114,$F26+1)+IF(AND($E26=1,NR26=0),1000,0)+IF($H26=1,INDEX('calcA'!$D$180:$EQ$219,$B26,132)*500,0)-IF(AND('calcA'!ED$117=1,ZB26&gt;0),300,0)-IF(AND($U26=1,'calcA'!EE$117=1,ID26=0),300,0))),1000000000))</f>
        <v/>
      </c>
      <c r="TH26">
        <f>IF($B26=0,1000000000,IF(INDEX('calcA'!$D$60:$EQ$99,$B26,133)*IF($W26=1,ID26+AES26,ID26)=1,IF(AND($E26=2,IF($W26=1,AKH26,NS26)=0),1000000000,IF($V26=1,INDEX('calcA'!$D$130:$EQ$169,$B26,133)+IF(AND($E26=1,NS26=0),25,0),INDEX('calcA'!EF$110:EF$114,$F26+1)+IF(AND($E26=1,NS26=0),1000,0)+IF($H26=1,INDEX('calcA'!$D$180:$EQ$219,$B26,133)*500,0)-IF(AND('calcA'!EE$117=1,ZC26&gt;0),300,0)-IF(AND($U26=1,'calcA'!EF$117=1,IE26=0),300,0))),1000000000))</f>
        <v/>
      </c>
      <c r="TI26">
        <f>IF($B26=0,1000000000,IF(INDEX('calcA'!$D$60:$EQ$99,$B26,134)*IF($W26=1,IE26+AET26,IE26)=1,IF(AND($E26=2,IF($W26=1,AKI26,NT26)=0),1000000000,IF($V26=1,INDEX('calcA'!$D$130:$EQ$169,$B26,134)+IF(AND($E26=1,NT26=0),25,0),INDEX('calcA'!EG$110:EG$114,$F26+1)+IF(AND($E26=1,NT26=0),1000,0)+IF($H26=1,INDEX('calcA'!$D$180:$EQ$219,$B26,134)*500,0)-IF(AND('calcA'!EF$117=1,ZD26&gt;0),300,0)-IF(AND($U26=1,'calcA'!EG$117=1,IF26=0),300,0))),1000000000))</f>
        <v/>
      </c>
      <c r="TJ26">
        <f>IF($B26=0,1000000000,IF(INDEX('calcA'!$D$60:$EQ$99,$B26,135)*IF($W26=1,IF26+AEU26,IF26)=1,IF(AND($E26=2,IF($W26=1,AKJ26,NU26)=0),1000000000,IF($V26=1,INDEX('calcA'!$D$130:$EQ$169,$B26,135)+IF(AND($E26=1,NU26=0),25,0),INDEX('calcA'!EH$110:EH$114,$F26+1)+IF(AND($E26=1,NU26=0),1000,0)+IF($H26=1,INDEX('calcA'!$D$180:$EQ$219,$B26,135)*500,0)-IF(AND('calcA'!EG$117=1,ZE26&gt;0),300,0)-IF(AND($U26=1,'calcA'!EH$117=1,IG26=0),300,0))),1000000000))</f>
        <v/>
      </c>
      <c r="TK26">
        <f>IF($B26=0,1000000000,IF(INDEX('calcA'!$D$60:$EQ$99,$B26,136)*IF($W26=1,IG26+AEV26,IG26)=1,IF(AND($E26=2,IF($W26=1,AKK26,NV26)=0),1000000000,IF($V26=1,INDEX('calcA'!$D$130:$EQ$169,$B26,136)+IF(AND($E26=1,NV26=0),25,0),INDEX('calcA'!EI$110:EI$114,$F26+1)+IF(AND($E26=1,NV26=0),1000,0)+IF($H26=1,INDEX('calcA'!$D$180:$EQ$219,$B26,136)*500,0)-IF(AND('calcA'!EH$117=1,ZF26&gt;0),300,0)-IF(AND($U26=1,'calcA'!EI$117=1,IH26=0),300,0))),1000000000))</f>
        <v/>
      </c>
      <c r="TL26">
        <f>IF($B26=0,1000000000,IF(INDEX('calcA'!$D$60:$EQ$99,$B26,137)*IF($W26=1,IH26+AEW26,IH26)=1,IF(AND($E26=2,IF($W26=1,AKL26,NW26)=0),1000000000,IF($V26=1,INDEX('calcA'!$D$130:$EQ$169,$B26,137)+IF(AND($E26=1,NW26=0),25,0),INDEX('calcA'!EJ$110:EJ$114,$F26+1)+IF(AND($E26=1,NW26=0),1000,0)+IF($H26=1,INDEX('calcA'!$D$180:$EQ$219,$B26,137)*500,0)-IF(AND('calcA'!EI$117=1,ZG26&gt;0),300,0)-IF(AND($U26=1,'calcA'!EJ$117=1,II26=0),300,0))),1000000000))</f>
        <v/>
      </c>
      <c r="TM26">
        <f>IF($B26=0,1000000000,IF(INDEX('calcA'!$D$60:$EQ$99,$B26,138)*IF($W26=1,II26+AEX26,II26)=1,IF(AND($E26=2,IF($W26=1,AKM26,NX26)=0),1000000000,IF($V26=1,INDEX('calcA'!$D$130:$EQ$169,$B26,138)+IF(AND($E26=1,NX26=0),25,0),INDEX('calcA'!EK$110:EK$114,$F26+1)+IF(AND($E26=1,NX26=0),1000,0)+IF($H26=1,INDEX('calcA'!$D$180:$EQ$219,$B26,138)*500,0)-IF(AND('calcA'!EJ$117=1,ZH26&gt;0),300,0)-IF(AND($U26=1,'calcA'!EK$117=1,IJ26=0),300,0))),1000000000))</f>
        <v/>
      </c>
      <c r="TN26">
        <f>IF($B26=0,1000000000,IF(INDEX('calcA'!$D$60:$EQ$99,$B26,139)*IF($W26=1,IJ26+AEY26,IJ26)=1,IF(AND($E26=2,IF($W26=1,AKN26,NY26)=0),1000000000,IF($V26=1,INDEX('calcA'!$D$130:$EQ$169,$B26,139)+IF(AND($E26=1,NY26=0),25,0),INDEX('calcA'!EL$110:EL$114,$F26+1)+IF(AND($E26=1,NY26=0),1000,0)+IF($H26=1,INDEX('calcA'!$D$180:$EQ$219,$B26,139)*500,0)-IF(AND('calcA'!EK$117=1,ZI26&gt;0),300,0)-IF(AND($U26=1,'calcA'!EL$117=1,IK26=0),300,0))),1000000000))</f>
        <v/>
      </c>
      <c r="TO26">
        <f>IF($B26=0,1000000000,IF(INDEX('calcA'!$D$60:$EQ$99,$B26,140)*IF($W26=1,IK26+AEZ26,IK26)=1,IF(AND($E26=2,IF($W26=1,AKO26,NZ26)=0),1000000000,IF($V26=1,INDEX('calcA'!$D$130:$EQ$169,$B26,140)+IF(AND($E26=1,NZ26=0),25,0),INDEX('calcA'!EM$110:EM$114,$F26+1)+IF(AND($E26=1,NZ26=0),1000,0)+IF($H26=1,INDEX('calcA'!$D$180:$EQ$219,$B26,140)*500,0)-IF(AND('calcA'!EL$117=1,ZJ26&gt;0),300,0)-IF(AND($U26=1,'calcA'!EM$117=1,IL26=0),300,0))),1000000000))</f>
        <v/>
      </c>
      <c r="TP26">
        <f>IF($B26=0,1000000000,IF(INDEX('calcA'!$D$60:$EQ$99,$B26,141)*IF($W26=1,IL26+AFA26,IL26)=1,IF(AND($E26=2,IF($W26=1,AKP26,OA26)=0),1000000000,IF($V26=1,INDEX('calcA'!$D$130:$EQ$169,$B26,141)+IF(AND($E26=1,OA26=0),25,0),INDEX('calcA'!EN$110:EN$114,$F26+1)+IF(AND($E26=1,OA26=0),1000,0)+IF($H26=1,INDEX('calcA'!$D$180:$EQ$219,$B26,141)*500,0)-IF(AND('calcA'!EM$117=1,ZK26&gt;0),300,0)-IF(AND($U26=1,'calcA'!EN$117=1,IM26=0),300,0))),1000000000))</f>
        <v/>
      </c>
      <c r="TQ26">
        <f>IF($B26=0,1000000000,IF(INDEX('calcA'!$D$60:$EQ$99,$B26,142)*IF($W26=1,IM26+AFB26,IM26)=1,IF(AND($E26=2,IF($W26=1,AKQ26,OB26)=0),1000000000,IF($V26=1,INDEX('calcA'!$D$130:$EQ$169,$B26,142)+IF(AND($E26=1,OB26=0),25,0),INDEX('calcA'!EO$110:EO$114,$F26+1)+IF(AND($E26=1,OB26=0),1000,0)+IF($H26=1,INDEX('calcA'!$D$180:$EQ$219,$B26,142)*500,0)-IF(AND('calcA'!EN$117=1,ZL26&gt;0),300,0)-IF(AND($U26=1,'calcA'!EO$117=1,IN26=0),300,0))),1000000000))</f>
        <v/>
      </c>
      <c r="TR26">
        <f>IF($B26=0,1000000000,IF(INDEX('calcA'!$D$60:$EQ$99,$B26,143)*IF($W26=1,IN26+AFC26,IN26)=1,IF(AND($E26=2,IF($W26=1,AKR26,OC26)=0),1000000000,IF($V26=1,INDEX('calcA'!$D$130:$EQ$169,$B26,143)+IF(AND($E26=1,OC26=0),25,0),INDEX('calcA'!EP$110:EP$114,$F26+1)+IF(AND($E26=1,OC26=0),1000,0)+IF($H26=1,INDEX('calcA'!$D$180:$EQ$219,$B26,143)*500,0)-IF(AND('calcA'!EO$117=1,ZM26&gt;0),300,0)-IF(AND($U26=1,'calcA'!EP$117=1,IO26=0),300,0))),1000000000))</f>
        <v/>
      </c>
      <c r="TS26">
        <f>IF($B26=0,1000000000,IF(INDEX('calcA'!$D$60:$EQ$99,$B26,144)*IF($W26=1,IO26+AFD26,IO26)=1,IF(AND($E26=2,IF($W26=1,AKS26,OD26)=0),1000000000,IF($V26=1,INDEX('calcA'!$D$130:$EQ$169,$B26,144)+IF(AND($E26=1,OD26=0),25,0),INDEX('calcA'!EQ$110:EQ$114,$F26+1)+IF(AND($E26=1,OD26=0),1000,0)+IF($H26=1,INDEX('calcA'!$D$180:$EQ$219,$B26,144)*500,0)-IF(AND('calcA'!EP$117=1,ZN26&gt;0),300,0))),1000000000))</f>
        <v/>
      </c>
      <c r="UB26">
        <f>UB25+IF(AND($C25=1,$U25=1),1,0)</f>
        <v/>
      </c>
      <c r="UC26">
        <f>UC25+IF(AND($C25=2,$U25=1),1,0)</f>
        <v/>
      </c>
      <c r="UD26">
        <f>UD25+IF(AND($C25=3,$U25=1),1,0)</f>
        <v/>
      </c>
      <c r="UE26">
        <f>UE25+IF(AND($C25=4,$U25=1),1,0)</f>
        <v/>
      </c>
      <c r="UF26">
        <f>UF25+IF(AND($C25=5,$U25=1),1,0)</f>
        <v/>
      </c>
      <c r="UG26">
        <f>UG25+IF(AND($C25=6,$U25=1),1,0)</f>
        <v/>
      </c>
      <c r="UH26">
        <f>UH25+IF(AND($C25=7,$U25=1),1,0)</f>
        <v/>
      </c>
      <c r="UI26">
        <f>UI25+IF(AND($C25=8,$U25=1),1,0)</f>
        <v/>
      </c>
      <c r="UJ26">
        <f>UJ25+IF(AND($C25=9,$U25=1),1,0)</f>
        <v/>
      </c>
      <c r="UK26">
        <f>UK25+IF(AND($C25=10,$U25=1),1,0)</f>
        <v/>
      </c>
      <c r="UL26">
        <f>UL25+IF(AND($C25=11,$U25=1),1,0)</f>
        <v/>
      </c>
      <c r="UM26">
        <f>UM25+IF(AND($C25=12,$U25=1),1,0)</f>
        <v/>
      </c>
      <c r="UN26">
        <f>UN25+IF(AND($C25=13,$U25=1),1,0)</f>
        <v/>
      </c>
      <c r="UO26">
        <f>UO25+IF(AND($C25=14,$U25=1),1,0)</f>
        <v/>
      </c>
      <c r="UP26">
        <f>UP25+IF(AND($C25=15,$U25=1),1,0)</f>
        <v/>
      </c>
      <c r="UQ26">
        <f>UQ25+IF(AND($C25=16,$U25=1),1,0)</f>
        <v/>
      </c>
      <c r="UR26">
        <f>UR25+IF(AND($C25=17,$U25=1),1,0)</f>
        <v/>
      </c>
      <c r="US26">
        <f>US25+IF(AND($C25=18,$U25=1),1,0)</f>
        <v/>
      </c>
      <c r="UT26">
        <f>UT25+IF(AND($C25=19,$U25=1),1,0)</f>
        <v/>
      </c>
      <c r="UU26">
        <f>UU25+IF(AND($C25=20,$U25=1),1,0)</f>
        <v/>
      </c>
      <c r="UV26">
        <f>UV25+IF(AND($C25=21,$U25=1),1,0)</f>
        <v/>
      </c>
      <c r="UW26">
        <f>UW25+IF(AND($C25=22,$U25=1),1,0)</f>
        <v/>
      </c>
      <c r="UX26">
        <f>UX25+IF(AND($C25=23,$U25=1),1,0)</f>
        <v/>
      </c>
      <c r="UY26">
        <f>UY25+IF(AND($C25=24,$U25=1),1,0)</f>
        <v/>
      </c>
      <c r="UZ26">
        <f>UZ25+IF(AND($C25=25,$U25=1),1,0)</f>
        <v/>
      </c>
      <c r="VA26">
        <f>VA25+IF(AND($C25=26,$U25=1),1,0)</f>
        <v/>
      </c>
      <c r="VB26">
        <f>VB25+IF(AND($C25=27,$U25=1),1,0)</f>
        <v/>
      </c>
      <c r="VC26">
        <f>VC25+IF(AND($C25=28,$U25=1),1,0)</f>
        <v/>
      </c>
      <c r="VD26">
        <f>VD25+IF(AND($C25=29,$U25=1),1,0)</f>
        <v/>
      </c>
      <c r="VE26">
        <f>VE25+IF(AND($C25=30,$U25=1),1,0)</f>
        <v/>
      </c>
      <c r="VF26">
        <f>VF25+IF(AND($C25=31,$U25=1),1,0)</f>
        <v/>
      </c>
      <c r="VG26">
        <f>VG25+IF(AND($C25=32,$U25=1),1,0)</f>
        <v/>
      </c>
      <c r="VH26">
        <f>VH25+IF(AND($C25=33,$U25=1),1,0)</f>
        <v/>
      </c>
      <c r="VI26">
        <f>VI25+IF(AND($C25=34,$U25=1),1,0)</f>
        <v/>
      </c>
      <c r="VJ26">
        <f>VJ25+IF(AND($C25=35,$U25=1),1,0)</f>
        <v/>
      </c>
      <c r="VK26">
        <f>VK25+IF(AND($C25=36,$U25=1),1,0)</f>
        <v/>
      </c>
      <c r="VL26">
        <f>VL25+IF(AND($C25=37,$U25=1),1,0)</f>
        <v/>
      </c>
      <c r="VM26">
        <f>VM25+IF(AND($C25=38,$U25=1),1,0)</f>
        <v/>
      </c>
      <c r="VN26">
        <f>VN25+IF(AND($C25=39,$U25=1),1,0)</f>
        <v/>
      </c>
      <c r="VO26">
        <f>VO25+IF(AND($C25=40,$U25=1),1,0)</f>
        <v/>
      </c>
      <c r="VP26">
        <f>VP25+IF(AND($C25=41,$U25=1),1,0)</f>
        <v/>
      </c>
      <c r="VQ26">
        <f>VQ25+IF(AND($C25=42,$U25=1),1,0)</f>
        <v/>
      </c>
      <c r="VR26">
        <f>VR25+IF(AND($C25=43,$U25=1),1,0)</f>
        <v/>
      </c>
      <c r="VS26">
        <f>VS25+IF(AND($C25=44,$U25=1),1,0)</f>
        <v/>
      </c>
      <c r="VT26">
        <f>VT25+IF(AND($C25=45,$U25=1),1,0)</f>
        <v/>
      </c>
      <c r="VU26">
        <f>VU25+IF(AND($C25=46,$U25=1),1,0)</f>
        <v/>
      </c>
      <c r="VV26">
        <f>VV25+IF(AND($C25=47,$U25=1),1,0)</f>
        <v/>
      </c>
      <c r="VW26">
        <f>VW25+IF(AND($C25=48,$U25=1),1,0)</f>
        <v/>
      </c>
      <c r="VX26">
        <f>VX25+IF(AND($C25=49,$U25=1),1,0)</f>
        <v/>
      </c>
      <c r="VY26">
        <f>VY25+IF(AND($C25=50,$U25=1),1,0)</f>
        <v/>
      </c>
      <c r="VZ26">
        <f>VZ25+IF(AND($C25=51,$U25=1),1,0)</f>
        <v/>
      </c>
      <c r="WA26">
        <f>WA25+IF(AND($C25=52,$U25=1),1,0)</f>
        <v/>
      </c>
      <c r="WB26">
        <f>WB25+IF(AND($C25=53,$U25=1),1,0)</f>
        <v/>
      </c>
      <c r="WC26">
        <f>WC25+IF(AND($C25=54,$U25=1),1,0)</f>
        <v/>
      </c>
      <c r="WD26">
        <f>WD25+IF(AND($C25=55,$U25=1),1,0)</f>
        <v/>
      </c>
      <c r="WE26">
        <f>WE25+IF(AND($C25=56,$U25=1),1,0)</f>
        <v/>
      </c>
      <c r="WF26">
        <f>WF25+IF(AND($C25=57,$U25=1),1,0)</f>
        <v/>
      </c>
      <c r="WG26">
        <f>WG25+IF(AND($C25=58,$U25=1),1,0)</f>
        <v/>
      </c>
      <c r="WH26">
        <f>WH25+IF(AND($C25=59,$U25=1),1,0)</f>
        <v/>
      </c>
      <c r="WI26">
        <f>WI25+IF(AND($C25=60,$U25=1),1,0)</f>
        <v/>
      </c>
      <c r="WJ26">
        <f>WJ25+IF(AND($C25=61,$U25=1),1,0)</f>
        <v/>
      </c>
      <c r="WK26">
        <f>WK25+IF(AND($C25=62,$U25=1),1,0)</f>
        <v/>
      </c>
      <c r="WL26">
        <f>WL25+IF(AND($C25=63,$U25=1),1,0)</f>
        <v/>
      </c>
      <c r="WM26">
        <f>WM25+IF(AND($C25=64,$U25=1),1,0)</f>
        <v/>
      </c>
      <c r="WN26">
        <f>WN25+IF(AND($C25=65,$U25=1),1,0)</f>
        <v/>
      </c>
      <c r="WO26">
        <f>WO25+IF(AND($C25=66,$U25=1),1,0)</f>
        <v/>
      </c>
      <c r="WP26">
        <f>WP25+IF(AND($C25=67,$U25=1),1,0)</f>
        <v/>
      </c>
      <c r="WQ26">
        <f>WQ25+IF(AND($C25=68,$U25=1),1,0)</f>
        <v/>
      </c>
      <c r="WR26">
        <f>WR25+IF(AND($C25=69,$U25=1),1,0)</f>
        <v/>
      </c>
      <c r="WS26">
        <f>WS25+IF(AND($C25=70,$U25=1),1,0)</f>
        <v/>
      </c>
      <c r="WT26">
        <f>WT25+IF(AND($C25=71,$U25=1),1,0)</f>
        <v/>
      </c>
      <c r="WU26">
        <f>WU25+IF(AND($C25=72,$U25=1),1,0)</f>
        <v/>
      </c>
      <c r="WV26">
        <f>WV25+IF(AND($C25=73,$U25=1),1,0)</f>
        <v/>
      </c>
      <c r="WW26">
        <f>WW25+IF(AND($C25=74,$U25=1),1,0)</f>
        <v/>
      </c>
      <c r="WX26">
        <f>WX25+IF(AND($C25=75,$U25=1),1,0)</f>
        <v/>
      </c>
      <c r="WY26">
        <f>WY25+IF(AND($C25=76,$U25=1),1,0)</f>
        <v/>
      </c>
      <c r="WZ26">
        <f>WZ25+IF(AND($C25=77,$U25=1),1,0)</f>
        <v/>
      </c>
      <c r="XA26">
        <f>XA25+IF(AND($C25=78,$U25=1),1,0)</f>
        <v/>
      </c>
      <c r="XB26">
        <f>XB25+IF(AND($C25=79,$U25=1),1,0)</f>
        <v/>
      </c>
      <c r="XC26">
        <f>XC25+IF(AND($C25=80,$U25=1),1,0)</f>
        <v/>
      </c>
      <c r="XD26">
        <f>XD25+IF(AND($C25=81,$U25=1),1,0)</f>
        <v/>
      </c>
      <c r="XE26">
        <f>XE25+IF(AND($C25=82,$U25=1),1,0)</f>
        <v/>
      </c>
      <c r="XF26">
        <f>XF25+IF(AND($C25=83,$U25=1),1,0)</f>
        <v/>
      </c>
      <c r="XG26">
        <f>XG25+IF(AND($C25=84,$U25=1),1,0)</f>
        <v/>
      </c>
      <c r="XH26">
        <f>XH25+IF(AND($C25=85,$U25=1),1,0)</f>
        <v/>
      </c>
      <c r="XI26">
        <f>XI25+IF(AND($C25=86,$U25=1),1,0)</f>
        <v/>
      </c>
      <c r="XJ26">
        <f>XJ25+IF(AND($C25=87,$U25=1),1,0)</f>
        <v/>
      </c>
      <c r="XK26">
        <f>XK25+IF(AND($C25=88,$U25=1),1,0)</f>
        <v/>
      </c>
      <c r="XL26">
        <f>XL25+IF(AND($C25=89,$U25=1),1,0)</f>
        <v/>
      </c>
      <c r="XM26">
        <f>XM25+IF(AND($C25=90,$U25=1),1,0)</f>
        <v/>
      </c>
      <c r="XN26">
        <f>XN25+IF(AND($C25=91,$U25=1),1,0)</f>
        <v/>
      </c>
      <c r="XO26">
        <f>XO25+IF(AND($C25=92,$U25=1),1,0)</f>
        <v/>
      </c>
      <c r="XP26">
        <f>XP25+IF(AND($C25=93,$U25=1),1,0)</f>
        <v/>
      </c>
      <c r="XQ26">
        <f>XQ25+IF(AND($C25=94,$U25=1),1,0)</f>
        <v/>
      </c>
      <c r="XR26">
        <f>XR25+IF(AND($C25=95,$U25=1),1,0)</f>
        <v/>
      </c>
      <c r="XS26">
        <f>XS25+IF(AND($C25=96,$U25=1),1,0)</f>
        <v/>
      </c>
      <c r="XT26">
        <f>XT25+IF(AND($C25=97,$U25=1),1,0)</f>
        <v/>
      </c>
      <c r="XU26">
        <f>XU25+IF(AND($C25=98,$U25=1),1,0)</f>
        <v/>
      </c>
      <c r="XV26">
        <f>XV25+IF(AND($C25=99,$U25=1),1,0)</f>
        <v/>
      </c>
      <c r="XW26">
        <f>XW25+IF(AND($C25=100,$U25=1),1,0)</f>
        <v/>
      </c>
      <c r="XX26">
        <f>XX25+IF(AND($C25=101,$U25=1),1,0)</f>
        <v/>
      </c>
      <c r="XY26">
        <f>XY25+IF(AND($C25=102,$U25=1),1,0)</f>
        <v/>
      </c>
      <c r="XZ26">
        <f>XZ25+IF(AND($C25=103,$U25=1),1,0)</f>
        <v/>
      </c>
      <c r="YA26">
        <f>YA25+IF(AND($C25=104,$U25=1),1,0)</f>
        <v/>
      </c>
      <c r="YB26">
        <f>YB25+IF(AND($C25=105,$U25=1),1,0)</f>
        <v/>
      </c>
      <c r="YC26">
        <f>YC25+IF(AND($C25=106,$U25=1),1,0)</f>
        <v/>
      </c>
      <c r="YD26">
        <f>YD25+IF(AND($C25=107,$U25=1),1,0)</f>
        <v/>
      </c>
      <c r="YE26">
        <f>YE25+IF(AND($C25=108,$U25=1),1,0)</f>
        <v/>
      </c>
      <c r="YF26">
        <f>YF25+IF(AND($C25=109,$U25=1),1,0)</f>
        <v/>
      </c>
      <c r="YG26">
        <f>YG25+IF(AND($C25=110,$U25=1),1,0)</f>
        <v/>
      </c>
      <c r="YH26">
        <f>YH25+IF(AND($C25=111,$U25=1),1,0)</f>
        <v/>
      </c>
      <c r="YI26">
        <f>YI25+IF(AND($C25=112,$U25=1),1,0)</f>
        <v/>
      </c>
      <c r="YJ26">
        <f>YJ25+IF(AND($C25=113,$U25=1),1,0)</f>
        <v/>
      </c>
      <c r="YK26">
        <f>YK25+IF(AND($C25=114,$U25=1),1,0)</f>
        <v/>
      </c>
      <c r="YL26">
        <f>YL25+IF(AND($C25=115,$U25=1),1,0)</f>
        <v/>
      </c>
      <c r="YM26">
        <f>YM25+IF(AND($C25=116,$U25=1),1,0)</f>
        <v/>
      </c>
      <c r="YN26">
        <f>YN25+IF(AND($C25=117,$U25=1),1,0)</f>
        <v/>
      </c>
      <c r="YO26">
        <f>YO25+IF(AND($C25=118,$U25=1),1,0)</f>
        <v/>
      </c>
      <c r="YP26">
        <f>YP25+IF(AND($C25=119,$U25=1),1,0)</f>
        <v/>
      </c>
      <c r="YQ26">
        <f>YQ25+IF(AND($C25=120,$U25=1),1,0)</f>
        <v/>
      </c>
      <c r="YR26">
        <f>YR25+IF(AND($C25=121,$U25=1),1,0)</f>
        <v/>
      </c>
      <c r="YS26">
        <f>YS25+IF(AND($C25=122,$U25=1),1,0)</f>
        <v/>
      </c>
      <c r="YT26">
        <f>YT25+IF(AND($C25=123,$U25=1),1,0)</f>
        <v/>
      </c>
      <c r="YU26">
        <f>YU25+IF(AND($C25=124,$U25=1),1,0)</f>
        <v/>
      </c>
      <c r="YV26">
        <f>YV25+IF(AND($C25=125,$U25=1),1,0)</f>
        <v/>
      </c>
      <c r="YW26">
        <f>YW25+IF(AND($C25=126,$U25=1),1,0)</f>
        <v/>
      </c>
      <c r="YX26">
        <f>YX25+IF(AND($C25=127,$U25=1),1,0)</f>
        <v/>
      </c>
      <c r="YY26">
        <f>YY25+IF(AND($C25=128,$U25=1),1,0)</f>
        <v/>
      </c>
      <c r="YZ26">
        <f>YZ25+IF(AND($C25=129,$U25=1),1,0)</f>
        <v/>
      </c>
      <c r="ZA26">
        <f>ZA25+IF(AND($C25=130,$U25=1),1,0)</f>
        <v/>
      </c>
      <c r="ZB26">
        <f>ZB25+IF(AND($C25=131,$U25=1),1,0)</f>
        <v/>
      </c>
      <c r="ZC26">
        <f>ZC25+IF(AND($C25=132,$U25=1),1,0)</f>
        <v/>
      </c>
      <c r="ZD26">
        <f>ZD25+IF(AND($C25=133,$U25=1),1,0)</f>
        <v/>
      </c>
      <c r="ZE26">
        <f>ZE25+IF(AND($C25=134,$U25=1),1,0)</f>
        <v/>
      </c>
      <c r="ZF26">
        <f>ZF25+IF(AND($C25=135,$U25=1),1,0)</f>
        <v/>
      </c>
      <c r="ZG26">
        <f>ZG25+IF(AND($C25=136,$U25=1),1,0)</f>
        <v/>
      </c>
      <c r="ZH26">
        <f>ZH25+IF(AND($C25=137,$U25=1),1,0)</f>
        <v/>
      </c>
      <c r="ZI26">
        <f>ZI25+IF(AND($C25=138,$U25=1),1,0)</f>
        <v/>
      </c>
      <c r="ZJ26">
        <f>ZJ25+IF(AND($C25=139,$U25=1),1,0)</f>
        <v/>
      </c>
      <c r="ZK26">
        <f>ZK25+IF(AND($C25=140,$U25=1),1,0)</f>
        <v/>
      </c>
      <c r="ZL26">
        <f>ZL25+IF(AND($C25=141,$U25=1),1,0)</f>
        <v/>
      </c>
      <c r="ZM26">
        <f>ZM25+IF(AND($C25=142,$U25=1),1,0)</f>
        <v/>
      </c>
      <c r="ZN26">
        <f>ZN25+IF(AND($C25=143,$U25=1),1,0)</f>
        <v/>
      </c>
      <c r="ZO26">
        <f>ZO25+IF(AND($C25=144,$U25=1),1,0)</f>
        <v/>
      </c>
      <c r="ZQ26">
        <f>IF($C25=1,0,ZQ25+IF(AND($G25=1,$E25=1),1,0))</f>
        <v/>
      </c>
      <c r="ZR26">
        <f>IF($C25=2,0,ZR25+IF(AND($G25=2,$E25=1),1,0))</f>
        <v/>
      </c>
      <c r="ZS26">
        <f>IF($C25=3,0,ZS25+IF(AND($G25=3,$E25=1),1,0))</f>
        <v/>
      </c>
      <c r="ZT26">
        <f>IF($C25=4,0,ZT25+IF(AND($G25=4,$E25=1),1,0))</f>
        <v/>
      </c>
      <c r="ZU26">
        <f>IF($C25=5,0,ZU25+IF(AND($G25=5,$E25=1),1,0))</f>
        <v/>
      </c>
      <c r="ZV26">
        <f>IF($C25=6,0,ZV25+IF(AND($G25=6,$E25=1),1,0))</f>
        <v/>
      </c>
      <c r="ZW26">
        <f>IF($C25=7,0,ZW25+IF(AND($G25=7,$E25=1),1,0))</f>
        <v/>
      </c>
      <c r="ZX26">
        <f>IF($C25=8,0,ZX25+IF(AND($G25=8,$E25=1),1,0))</f>
        <v/>
      </c>
      <c r="ZY26">
        <f>IF($C25=9,0,ZY25+IF(AND($G25=9,$E25=1),1,0))</f>
        <v/>
      </c>
      <c r="ZZ26">
        <f>IF($C25=10,0,ZZ25+IF(AND($G25=10,$E25=1),1,0))</f>
        <v/>
      </c>
      <c r="AAA26">
        <f>IF($C25=11,0,AAA25+IF(AND($G25=11,$E25=1),1,0))</f>
        <v/>
      </c>
      <c r="AAB26">
        <f>IF($C25=12,0,AAB25+IF(AND($G25=12,$E25=1),1,0))</f>
        <v/>
      </c>
      <c r="AAC26">
        <f>IF($C25=13,0,AAC25+IF(AND($G25=13,$E25=1),1,0))</f>
        <v/>
      </c>
      <c r="AAD26">
        <f>IF($C25=14,0,AAD25+IF(AND($G25=14,$E25=1),1,0))</f>
        <v/>
      </c>
      <c r="AAE26">
        <f>IF($C25=15,0,AAE25+IF(AND($G25=15,$E25=1),1,0))</f>
        <v/>
      </c>
      <c r="AAF26">
        <f>IF($C25=16,0,AAF25+IF(AND($G25=16,$E25=1),1,0))</f>
        <v/>
      </c>
      <c r="AAG26">
        <f>IF($C25=17,0,AAG25+IF(AND($G25=17,$E25=1),1,0))</f>
        <v/>
      </c>
      <c r="AAH26">
        <f>IF($C25=18,0,AAH25+IF(AND($G25=18,$E25=1),1,0))</f>
        <v/>
      </c>
      <c r="AAI26">
        <f>IF($C25=19,0,AAI25+IF(AND($G25=19,$E25=1),1,0))</f>
        <v/>
      </c>
      <c r="AAJ26">
        <f>IF($C25=20,0,AAJ25+IF(AND($G25=20,$E25=1),1,0))</f>
        <v/>
      </c>
      <c r="AAK26">
        <f>IF($C25=21,0,AAK25+IF(AND($G25=21,$E25=1),1,0))</f>
        <v/>
      </c>
      <c r="AAL26">
        <f>IF($C25=22,0,AAL25+IF(AND($G25=22,$E25=1),1,0))</f>
        <v/>
      </c>
      <c r="AAM26">
        <f>IF($C25=23,0,AAM25+IF(AND($G25=23,$E25=1),1,0))</f>
        <v/>
      </c>
      <c r="AAN26">
        <f>IF($C25=24,0,AAN25+IF(AND($G25=24,$E25=1),1,0))</f>
        <v/>
      </c>
      <c r="AAO26">
        <f>IF($C25=25,0,AAO25+IF(AND($G25=25,$E25=1),1,0))</f>
        <v/>
      </c>
      <c r="AAP26">
        <f>IF($C25=26,0,AAP25+IF(AND($G25=26,$E25=1),1,0))</f>
        <v/>
      </c>
      <c r="AAQ26">
        <f>IF($C25=27,0,AAQ25+IF(AND($G25=27,$E25=1),1,0))</f>
        <v/>
      </c>
      <c r="AAR26">
        <f>IF($C25=28,0,AAR25+IF(AND($G25=28,$E25=1),1,0))</f>
        <v/>
      </c>
      <c r="AAS26">
        <f>IF($C25=29,0,AAS25+IF(AND($G25=29,$E25=1),1,0))</f>
        <v/>
      </c>
      <c r="AAT26">
        <f>IF($C25=30,0,AAT25+IF(AND($G25=30,$E25=1),1,0))</f>
        <v/>
      </c>
      <c r="AAU26">
        <f>IF($C25=31,0,AAU25+IF(AND($G25=31,$E25=1),1,0))</f>
        <v/>
      </c>
      <c r="AAV26">
        <f>IF($C25=32,0,AAV25+IF(AND($G25=32,$E25=1),1,0))</f>
        <v/>
      </c>
      <c r="AAW26">
        <f>IF($C25=33,0,AAW25+IF(AND($G25=33,$E25=1),1,0))</f>
        <v/>
      </c>
      <c r="AAX26">
        <f>IF($C25=34,0,AAX25+IF(AND($G25=34,$E25=1),1,0))</f>
        <v/>
      </c>
      <c r="AAY26">
        <f>IF($C25=35,0,AAY25+IF(AND($G25=35,$E25=1),1,0))</f>
        <v/>
      </c>
      <c r="AAZ26">
        <f>IF($C25=36,0,AAZ25+IF(AND($G25=36,$E25=1),1,0))</f>
        <v/>
      </c>
      <c r="ABA26">
        <f>IF($C25=37,0,ABA25+IF(AND($G25=37,$E25=1),1,0))</f>
        <v/>
      </c>
      <c r="ABB26">
        <f>IF($C25=38,0,ABB25+IF(AND($G25=38,$E25=1),1,0))</f>
        <v/>
      </c>
      <c r="ABC26">
        <f>IF($C25=39,0,ABC25+IF(AND($G25=39,$E25=1),1,0))</f>
        <v/>
      </c>
      <c r="ABD26">
        <f>IF($C25=40,0,ABD25+IF(AND($G25=40,$E25=1),1,0))</f>
        <v/>
      </c>
      <c r="ABE26">
        <f>IF($C25=41,0,ABE25+IF(AND($G25=41,$E25=1),1,0))</f>
        <v/>
      </c>
      <c r="ABF26">
        <f>IF($C25=42,0,ABF25+IF(AND($G25=42,$E25=1),1,0))</f>
        <v/>
      </c>
      <c r="ABG26">
        <f>IF($C25=43,0,ABG25+IF(AND($G25=43,$E25=1),1,0))</f>
        <v/>
      </c>
      <c r="ABH26">
        <f>IF($C25=44,0,ABH25+IF(AND($G25=44,$E25=1),1,0))</f>
        <v/>
      </c>
      <c r="ABI26">
        <f>IF($C25=45,0,ABI25+IF(AND($G25=45,$E25=1),1,0))</f>
        <v/>
      </c>
      <c r="ABJ26">
        <f>IF($C25=46,0,ABJ25+IF(AND($G25=46,$E25=1),1,0))</f>
        <v/>
      </c>
      <c r="ABK26">
        <f>IF($C25=47,0,ABK25+IF(AND($G25=47,$E25=1),1,0))</f>
        <v/>
      </c>
      <c r="ABL26">
        <f>IF($C25=48,0,ABL25+IF(AND($G25=48,$E25=1),1,0))</f>
        <v/>
      </c>
      <c r="ABM26">
        <f>IF($C25=49,0,ABM25+IF(AND($G25=49,$E25=1),1,0))</f>
        <v/>
      </c>
      <c r="ABN26">
        <f>IF($C25=50,0,ABN25+IF(AND($G25=50,$E25=1),1,0))</f>
        <v/>
      </c>
      <c r="ABO26">
        <f>IF($C25=51,0,ABO25+IF(AND($G25=51,$E25=1),1,0))</f>
        <v/>
      </c>
      <c r="ABP26">
        <f>IF($C25=52,0,ABP25+IF(AND($G25=52,$E25=1),1,0))</f>
        <v/>
      </c>
      <c r="ABQ26">
        <f>IF($C25=53,0,ABQ25+IF(AND($G25=53,$E25=1),1,0))</f>
        <v/>
      </c>
      <c r="ABR26">
        <f>IF($C25=54,0,ABR25+IF(AND($G25=54,$E25=1),1,0))</f>
        <v/>
      </c>
      <c r="ABS26">
        <f>IF($C25=55,0,ABS25+IF(AND($G25=55,$E25=1),1,0))</f>
        <v/>
      </c>
      <c r="ABT26">
        <f>IF($C25=56,0,ABT25+IF(AND($G25=56,$E25=1),1,0))</f>
        <v/>
      </c>
      <c r="ABU26">
        <f>IF($C25=57,0,ABU25+IF(AND($G25=57,$E25=1),1,0))</f>
        <v/>
      </c>
      <c r="ABV26">
        <f>IF($C25=58,0,ABV25+IF(AND($G25=58,$E25=1),1,0))</f>
        <v/>
      </c>
      <c r="ABW26">
        <f>IF($C25=59,0,ABW25+IF(AND($G25=59,$E25=1),1,0))</f>
        <v/>
      </c>
      <c r="ABX26">
        <f>IF($C25=60,0,ABX25+IF(AND($G25=60,$E25=1),1,0))</f>
        <v/>
      </c>
      <c r="ABY26">
        <f>IF($C25=61,0,ABY25+IF(AND($G25=61,$E25=1),1,0))</f>
        <v/>
      </c>
      <c r="ABZ26">
        <f>IF($C25=62,0,ABZ25+IF(AND($G25=62,$E25=1),1,0))</f>
        <v/>
      </c>
      <c r="ACA26">
        <f>IF($C25=63,0,ACA25+IF(AND($G25=63,$E25=1),1,0))</f>
        <v/>
      </c>
      <c r="ACB26">
        <f>IF($C25=64,0,ACB25+IF(AND($G25=64,$E25=1),1,0))</f>
        <v/>
      </c>
      <c r="ACC26">
        <f>IF($C25=65,0,ACC25+IF(AND($G25=65,$E25=1),1,0))</f>
        <v/>
      </c>
      <c r="ACD26">
        <f>IF($C25=66,0,ACD25+IF(AND($G25=66,$E25=1),1,0))</f>
        <v/>
      </c>
      <c r="ACE26">
        <f>IF($C25=67,0,ACE25+IF(AND($G25=67,$E25=1),1,0))</f>
        <v/>
      </c>
      <c r="ACF26">
        <f>IF($C25=68,0,ACF25+IF(AND($G25=68,$E25=1),1,0))</f>
        <v/>
      </c>
      <c r="ACG26">
        <f>IF($C25=69,0,ACG25+IF(AND($G25=69,$E25=1),1,0))</f>
        <v/>
      </c>
      <c r="ACH26">
        <f>IF($C25=70,0,ACH25+IF(AND($G25=70,$E25=1),1,0))</f>
        <v/>
      </c>
      <c r="ACI26">
        <f>IF($C25=71,0,ACI25+IF(AND($G25=71,$E25=1),1,0))</f>
        <v/>
      </c>
      <c r="ACJ26">
        <f>IF($C25=72,0,ACJ25+IF(AND($G25=72,$E25=1),1,0))</f>
        <v/>
      </c>
      <c r="ACK26">
        <f>IF($C25=73,0,ACK25+IF(AND($G25=73,$E25=1),1,0))</f>
        <v/>
      </c>
      <c r="ACL26">
        <f>IF($C25=74,0,ACL25+IF(AND($G25=74,$E25=1),1,0))</f>
        <v/>
      </c>
      <c r="ACM26">
        <f>IF($C25=75,0,ACM25+IF(AND($G25=75,$E25=1),1,0))</f>
        <v/>
      </c>
      <c r="ACN26">
        <f>IF($C25=76,0,ACN25+IF(AND($G25=76,$E25=1),1,0))</f>
        <v/>
      </c>
      <c r="ACO26">
        <f>IF($C25=77,0,ACO25+IF(AND($G25=77,$E25=1),1,0))</f>
        <v/>
      </c>
      <c r="ACP26">
        <f>IF($C25=78,0,ACP25+IF(AND($G25=78,$E25=1),1,0))</f>
        <v/>
      </c>
      <c r="ACQ26">
        <f>IF($C25=79,0,ACQ25+IF(AND($G25=79,$E25=1),1,0))</f>
        <v/>
      </c>
      <c r="ACR26">
        <f>IF($C25=80,0,ACR25+IF(AND($G25=80,$E25=1),1,0))</f>
        <v/>
      </c>
      <c r="ACS26">
        <f>IF($C25=81,0,ACS25+IF(AND($G25=81,$E25=1),1,0))</f>
        <v/>
      </c>
      <c r="ACT26">
        <f>IF($C25=82,0,ACT25+IF(AND($G25=82,$E25=1),1,0))</f>
        <v/>
      </c>
      <c r="ACU26">
        <f>IF($C25=83,0,ACU25+IF(AND($G25=83,$E25=1),1,0))</f>
        <v/>
      </c>
      <c r="ACV26">
        <f>IF($C25=84,0,ACV25+IF(AND($G25=84,$E25=1),1,0))</f>
        <v/>
      </c>
      <c r="ACW26">
        <f>IF($C25=85,0,ACW25+IF(AND($G25=85,$E25=1),1,0))</f>
        <v/>
      </c>
      <c r="ACX26">
        <f>IF($C25=86,0,ACX25+IF(AND($G25=86,$E25=1),1,0))</f>
        <v/>
      </c>
      <c r="ACY26">
        <f>IF($C25=87,0,ACY25+IF(AND($G25=87,$E25=1),1,0))</f>
        <v/>
      </c>
      <c r="ACZ26">
        <f>IF($C25=88,0,ACZ25+IF(AND($G25=88,$E25=1),1,0))</f>
        <v/>
      </c>
      <c r="ADA26">
        <f>IF($C25=89,0,ADA25+IF(AND($G25=89,$E25=1),1,0))</f>
        <v/>
      </c>
      <c r="ADB26">
        <f>IF($C25=90,0,ADB25+IF(AND($G25=90,$E25=1),1,0))</f>
        <v/>
      </c>
      <c r="ADC26">
        <f>IF($C25=91,0,ADC25+IF(AND($G25=91,$E25=1),1,0))</f>
        <v/>
      </c>
      <c r="ADD26">
        <f>IF($C25=92,0,ADD25+IF(AND($G25=92,$E25=1),1,0))</f>
        <v/>
      </c>
      <c r="ADE26">
        <f>IF($C25=93,0,ADE25+IF(AND($G25=93,$E25=1),1,0))</f>
        <v/>
      </c>
      <c r="ADF26">
        <f>IF($C25=94,0,ADF25+IF(AND($G25=94,$E25=1),1,0))</f>
        <v/>
      </c>
      <c r="ADG26">
        <f>IF($C25=95,0,ADG25+IF(AND($G25=95,$E25=1),1,0))</f>
        <v/>
      </c>
      <c r="ADH26">
        <f>IF($C25=96,0,ADH25+IF(AND($G25=96,$E25=1),1,0))</f>
        <v/>
      </c>
      <c r="ADI26">
        <f>IF($C25=97,0,ADI25+IF(AND($G25=97,$E25=1),1,0))</f>
        <v/>
      </c>
      <c r="ADJ26">
        <f>IF($C25=98,0,ADJ25+IF(AND($G25=98,$E25=1),1,0))</f>
        <v/>
      </c>
      <c r="ADK26">
        <f>IF($C25=99,0,ADK25+IF(AND($G25=99,$E25=1),1,0))</f>
        <v/>
      </c>
      <c r="ADL26">
        <f>IF($C25=100,0,ADL25+IF(AND($G25=100,$E25=1),1,0))</f>
        <v/>
      </c>
      <c r="ADM26">
        <f>IF($C25=101,0,ADM25+IF(AND($G25=101,$E25=1),1,0))</f>
        <v/>
      </c>
      <c r="ADN26">
        <f>IF($C25=102,0,ADN25+IF(AND($G25=102,$E25=1),1,0))</f>
        <v/>
      </c>
      <c r="ADO26">
        <f>IF($C25=103,0,ADO25+IF(AND($G25=103,$E25=1),1,0))</f>
        <v/>
      </c>
      <c r="ADP26">
        <f>IF($C25=104,0,ADP25+IF(AND($G25=104,$E25=1),1,0))</f>
        <v/>
      </c>
      <c r="ADQ26">
        <f>IF($C25=105,0,ADQ25+IF(AND($G25=105,$E25=1),1,0))</f>
        <v/>
      </c>
      <c r="ADR26">
        <f>IF($C25=106,0,ADR25+IF(AND($G25=106,$E25=1),1,0))</f>
        <v/>
      </c>
      <c r="ADS26">
        <f>IF($C25=107,0,ADS25+IF(AND($G25=107,$E25=1),1,0))</f>
        <v/>
      </c>
      <c r="ADT26">
        <f>IF($C25=108,0,ADT25+IF(AND($G25=108,$E25=1),1,0))</f>
        <v/>
      </c>
      <c r="ADU26">
        <f>IF($C25=109,0,ADU25+IF(AND($G25=109,$E25=1),1,0))</f>
        <v/>
      </c>
      <c r="ADV26">
        <f>IF($C25=110,0,ADV25+IF(AND($G25=110,$E25=1),1,0))</f>
        <v/>
      </c>
      <c r="ADW26">
        <f>IF($C25=111,0,ADW25+IF(AND($G25=111,$E25=1),1,0))</f>
        <v/>
      </c>
      <c r="ADX26">
        <f>IF($C25=112,0,ADX25+IF(AND($G25=112,$E25=1),1,0))</f>
        <v/>
      </c>
      <c r="ADY26">
        <f>IF($C25=113,0,ADY25+IF(AND($G25=113,$E25=1),1,0))</f>
        <v/>
      </c>
      <c r="ADZ26">
        <f>IF($C25=114,0,ADZ25+IF(AND($G25=114,$E25=1),1,0))</f>
        <v/>
      </c>
      <c r="AEA26">
        <f>IF($C25=115,0,AEA25+IF(AND($G25=115,$E25=1),1,0))</f>
        <v/>
      </c>
      <c r="AEB26">
        <f>IF($C25=116,0,AEB25+IF(AND($G25=116,$E25=1),1,0))</f>
        <v/>
      </c>
      <c r="AEC26">
        <f>IF($C25=117,0,AEC25+IF(AND($G25=117,$E25=1),1,0))</f>
        <v/>
      </c>
      <c r="AED26">
        <f>IF($C25=118,0,AED25+IF(AND($G25=118,$E25=1),1,0))</f>
        <v/>
      </c>
      <c r="AEE26">
        <f>IF($C25=119,0,AEE25+IF(AND($G25=119,$E25=1),1,0))</f>
        <v/>
      </c>
      <c r="AEF26">
        <f>IF($C25=120,0,AEF25+IF(AND($G25=120,$E25=1),1,0))</f>
        <v/>
      </c>
      <c r="AEG26">
        <f>IF($C25=121,0,AEG25+IF(AND($G25=121,$E25=1),1,0))</f>
        <v/>
      </c>
      <c r="AEH26">
        <f>IF($C25=122,0,AEH25+IF(AND($G25=122,$E25=1),1,0))</f>
        <v/>
      </c>
      <c r="AEI26">
        <f>IF($C25=123,0,AEI25+IF(AND($G25=123,$E25=1),1,0))</f>
        <v/>
      </c>
      <c r="AEJ26">
        <f>IF($C25=124,0,AEJ25+IF(AND($G25=124,$E25=1),1,0))</f>
        <v/>
      </c>
      <c r="AEK26">
        <f>IF($C25=125,0,AEK25+IF(AND($G25=125,$E25=1),1,0))</f>
        <v/>
      </c>
      <c r="AEL26">
        <f>IF($C25=126,0,AEL25+IF(AND($G25=126,$E25=1),1,0))</f>
        <v/>
      </c>
      <c r="AEM26">
        <f>IF($C25=127,0,AEM25+IF(AND($G25=127,$E25=1),1,0))</f>
        <v/>
      </c>
      <c r="AEN26">
        <f>IF($C25=128,0,AEN25+IF(AND($G25=128,$E25=1),1,0))</f>
        <v/>
      </c>
      <c r="AEO26">
        <f>IF($C25=129,0,AEO25+IF(AND($G25=129,$E25=1),1,0))</f>
        <v/>
      </c>
      <c r="AEP26">
        <f>IF($C25=130,0,AEP25+IF(AND($G25=130,$E25=1),1,0))</f>
        <v/>
      </c>
      <c r="AEQ26">
        <f>IF($C25=131,0,AEQ25+IF(AND($G25=131,$E25=1),1,0))</f>
        <v/>
      </c>
      <c r="AER26">
        <f>IF($C25=132,0,AER25+IF(AND($G25=132,$E25=1),1,0))</f>
        <v/>
      </c>
      <c r="AES26">
        <f>IF($C25=133,0,AES25+IF(AND($G25=133,$E25=1),1,0))</f>
        <v/>
      </c>
      <c r="AET26">
        <f>IF($C25=134,0,AET25+IF(AND($G25=134,$E25=1),1,0))</f>
        <v/>
      </c>
      <c r="AEU26">
        <f>IF($C25=135,0,AEU25+IF(AND($G25=135,$E25=1),1,0))</f>
        <v/>
      </c>
      <c r="AEV26">
        <f>IF($C25=136,0,AEV25+IF(AND($G25=136,$E25=1),1,0))</f>
        <v/>
      </c>
      <c r="AEW26">
        <f>IF($C25=137,0,AEW25+IF(AND($G25=137,$E25=1),1,0))</f>
        <v/>
      </c>
      <c r="AEX26">
        <f>IF($C25=138,0,AEX25+IF(AND($G25=138,$E25=1),1,0))</f>
        <v/>
      </c>
      <c r="AEY26">
        <f>IF($C25=139,0,AEY25+IF(AND($G25=139,$E25=1),1,0))</f>
        <v/>
      </c>
      <c r="AEZ26">
        <f>IF($C25=140,0,AEZ25+IF(AND($G25=140,$E25=1),1,0))</f>
        <v/>
      </c>
      <c r="AFA26">
        <f>IF($C25=141,0,AFA25+IF(AND($G25=141,$E25=1),1,0))</f>
        <v/>
      </c>
      <c r="AFB26">
        <f>IF($C25=142,0,AFB25+IF(AND($G25=142,$E25=1),1,0))</f>
        <v/>
      </c>
      <c r="AFC26">
        <f>IF($C25=143,0,AFC25+IF(AND($G25=143,$E25=1),1,0))</f>
        <v/>
      </c>
      <c r="AFD26">
        <f>IF($C25=144,0,AFD25+IF(AND($G25=144,$E25=1),1,0))</f>
        <v/>
      </c>
      <c r="AFF26">
        <f>IF('calcA'!D$106=1,DC26+ZR26,1)</f>
        <v/>
      </c>
      <c r="AFG26">
        <f>IF('calcA'!E$106=1,DD26+ZS26,1)</f>
        <v/>
      </c>
      <c r="AFH26">
        <f>IF('calcA'!F$106=1,DE26+ZT26,1)</f>
        <v/>
      </c>
      <c r="AFI26">
        <f>IF('calcA'!G$106=1,DF26+ZU26,1)</f>
        <v/>
      </c>
      <c r="AFJ26">
        <f>IF('calcA'!H$106=1,DG26+ZV26,1)</f>
        <v/>
      </c>
      <c r="AFK26">
        <f>IF('calcA'!I$106=1,DH26+ZW26,1)</f>
        <v/>
      </c>
      <c r="AFL26">
        <f>IF('calcA'!J$106=1,DI26+ZX26,1)</f>
        <v/>
      </c>
      <c r="AFM26">
        <f>IF('calcA'!K$106=1,DJ26+ZY26,1)</f>
        <v/>
      </c>
      <c r="AFN26">
        <f>IF('calcA'!L$106=1,DK26+ZZ26,1)</f>
        <v/>
      </c>
      <c r="AFO26">
        <f>IF('calcA'!M$106=1,DL26+AAA26,1)</f>
        <v/>
      </c>
      <c r="AFP26">
        <f>IF('calcA'!N$106=1,DM26+AAB26,1)</f>
        <v/>
      </c>
      <c r="AFQ26">
        <f>IF('calcA'!O$106=1,DN26+AAC26,1)</f>
        <v/>
      </c>
      <c r="AFR26">
        <f>IF('calcA'!P$106=1,DO26+AAD26,1)</f>
        <v/>
      </c>
      <c r="AFS26">
        <f>IF('calcA'!Q$106=1,DP26+AAE26,1)</f>
        <v/>
      </c>
      <c r="AFT26">
        <f>IF('calcA'!R$106=1,DQ26+AAF26,1)</f>
        <v/>
      </c>
      <c r="AFU26">
        <f>IF('calcA'!S$106=1,DR26+AAG26,1)</f>
        <v/>
      </c>
      <c r="AFV26">
        <f>IF('calcA'!T$106=1,DS26+AAH26,1)</f>
        <v/>
      </c>
      <c r="AFW26">
        <f>IF('calcA'!U$106=1,DT26+AAI26,1)</f>
        <v/>
      </c>
      <c r="AFX26">
        <f>IF('calcA'!V$106=1,DU26+AAJ26,1)</f>
        <v/>
      </c>
      <c r="AFY26">
        <f>IF('calcA'!W$106=1,DV26+AAK26,1)</f>
        <v/>
      </c>
      <c r="AFZ26">
        <f>IF('calcA'!X$106=1,DW26+AAL26,1)</f>
        <v/>
      </c>
      <c r="AGA26">
        <f>IF('calcA'!Y$106=1,DX26+AAM26,1)</f>
        <v/>
      </c>
      <c r="AGB26">
        <f>IF('calcA'!Z$106=1,DY26+AAN26,1)</f>
        <v/>
      </c>
      <c r="AGC26">
        <f>IF('calcA'!AA$106=1,DZ26+AAO26,1)</f>
        <v/>
      </c>
      <c r="AGD26">
        <f>IF('calcA'!AB$106=1,EA26+AAP26,1)</f>
        <v/>
      </c>
      <c r="AGE26">
        <f>IF('calcA'!AC$106=1,EB26+AAQ26,1)</f>
        <v/>
      </c>
      <c r="AGF26">
        <f>IF('calcA'!AD$106=1,EC26+AAR26,1)</f>
        <v/>
      </c>
      <c r="AGG26">
        <f>IF('calcA'!AE$106=1,ED26+AAS26,1)</f>
        <v/>
      </c>
      <c r="AGH26">
        <f>IF('calcA'!AF$106=1,EE26+AAT26,1)</f>
        <v/>
      </c>
      <c r="AGI26">
        <f>IF('calcA'!AG$106=1,EF26+AAU26,1)</f>
        <v/>
      </c>
      <c r="AGJ26">
        <f>IF('calcA'!AH$106=1,EG26+AAV26,1)</f>
        <v/>
      </c>
      <c r="AGK26">
        <f>IF('calcA'!AI$106=1,EH26+AAW26,1)</f>
        <v/>
      </c>
      <c r="AGL26">
        <f>IF('calcA'!AJ$106=1,EI26+AAX26,1)</f>
        <v/>
      </c>
      <c r="AGM26">
        <f>IF('calcA'!AK$106=1,EJ26+AAY26,1)</f>
        <v/>
      </c>
      <c r="AGN26">
        <f>IF('calcA'!AL$106=1,EK26+AAZ26,1)</f>
        <v/>
      </c>
      <c r="AGO26">
        <f>IF('calcA'!AM$106=1,EL26+ABA26,1)</f>
        <v/>
      </c>
      <c r="AGP26">
        <f>IF('calcA'!AN$106=1,EM26+ABB26,1)</f>
        <v/>
      </c>
      <c r="AGQ26">
        <f>IF('calcA'!AO$106=1,EN26+ABC26,1)</f>
        <v/>
      </c>
      <c r="AGR26">
        <f>IF('calcA'!AP$106=1,EO26+ABD26,1)</f>
        <v/>
      </c>
      <c r="AGS26">
        <f>IF('calcA'!AQ$106=1,EP26+ABE26,1)</f>
        <v/>
      </c>
      <c r="AGT26">
        <f>IF('calcA'!AR$106=1,EQ26+ABF26,1)</f>
        <v/>
      </c>
      <c r="AGU26">
        <f>IF('calcA'!AS$106=1,ER26+ABG26,1)</f>
        <v/>
      </c>
      <c r="AGV26">
        <f>IF('calcA'!AT$106=1,ES26+ABH26,1)</f>
        <v/>
      </c>
      <c r="AGW26">
        <f>IF('calcA'!AU$106=1,ET26+ABI26,1)</f>
        <v/>
      </c>
      <c r="AGX26">
        <f>IF('calcA'!AV$106=1,EU26+ABJ26,1)</f>
        <v/>
      </c>
      <c r="AGY26">
        <f>IF('calcA'!AW$106=1,EV26+ABK26,1)</f>
        <v/>
      </c>
      <c r="AGZ26">
        <f>IF('calcA'!AX$106=1,EW26+ABL26,1)</f>
        <v/>
      </c>
      <c r="AHA26">
        <f>IF('calcA'!AY$106=1,EX26+ABM26,1)</f>
        <v/>
      </c>
      <c r="AHB26">
        <f>IF('calcA'!AZ$106=1,EY26+ABN26,1)</f>
        <v/>
      </c>
      <c r="AHC26">
        <f>IF('calcA'!BA$106=1,EZ26+ABO26,1)</f>
        <v/>
      </c>
      <c r="AHD26">
        <f>IF('calcA'!BB$106=1,FA26+ABP26,1)</f>
        <v/>
      </c>
      <c r="AHE26">
        <f>IF('calcA'!BC$106=1,FB26+ABQ26,1)</f>
        <v/>
      </c>
      <c r="AHF26">
        <f>IF('calcA'!BD$106=1,FC26+ABR26,1)</f>
        <v/>
      </c>
      <c r="AHG26">
        <f>IF('calcA'!BE$106=1,FD26+ABS26,1)</f>
        <v/>
      </c>
      <c r="AHH26">
        <f>IF('calcA'!BF$106=1,FE26+ABT26,1)</f>
        <v/>
      </c>
      <c r="AHI26">
        <f>IF('calcA'!BG$106=1,FF26+ABU26,1)</f>
        <v/>
      </c>
      <c r="AHJ26">
        <f>IF('calcA'!BH$106=1,FG26+ABV26,1)</f>
        <v/>
      </c>
      <c r="AHK26">
        <f>IF('calcA'!BI$106=1,FH26+ABW26,1)</f>
        <v/>
      </c>
      <c r="AHL26">
        <f>IF('calcA'!BJ$106=1,FI26+ABX26,1)</f>
        <v/>
      </c>
      <c r="AHM26">
        <f>IF('calcA'!BK$106=1,FJ26+ABY26,1)</f>
        <v/>
      </c>
      <c r="AHN26">
        <f>IF('calcA'!BL$106=1,FK26+ABZ26,1)</f>
        <v/>
      </c>
      <c r="AHO26">
        <f>IF('calcA'!BM$106=1,FL26+ACA26,1)</f>
        <v/>
      </c>
      <c r="AHP26">
        <f>IF('calcA'!BN$106=1,FM26+ACB26,1)</f>
        <v/>
      </c>
      <c r="AHQ26">
        <f>IF('calcA'!BO$106=1,FN26+ACC26,1)</f>
        <v/>
      </c>
      <c r="AHR26">
        <f>IF('calcA'!BP$106=1,FO26+ACD26,1)</f>
        <v/>
      </c>
      <c r="AHS26">
        <f>IF('calcA'!BQ$106=1,FP26+ACE26,1)</f>
        <v/>
      </c>
      <c r="AHT26">
        <f>IF('calcA'!BR$106=1,FQ26+ACF26,1)</f>
        <v/>
      </c>
      <c r="AHU26">
        <f>IF('calcA'!BS$106=1,FR26+ACG26,1)</f>
        <v/>
      </c>
      <c r="AHV26">
        <f>IF('calcA'!BT$106=1,FS26+ACH26,1)</f>
        <v/>
      </c>
      <c r="AHW26">
        <f>IF('calcA'!BU$106=1,FT26+ACI26,1)</f>
        <v/>
      </c>
      <c r="AHX26">
        <f>IF('calcA'!BV$106=1,FU26+ACJ26,1)</f>
        <v/>
      </c>
      <c r="AHY26">
        <f>IF('calcA'!BW$106=1,FV26+ACK26,1)</f>
        <v/>
      </c>
      <c r="AHZ26">
        <f>IF('calcA'!BX$106=1,FW26+ACL26,1)</f>
        <v/>
      </c>
      <c r="AIA26">
        <f>IF('calcA'!BY$106=1,FX26+ACM26,1)</f>
        <v/>
      </c>
      <c r="AIB26">
        <f>IF('calcA'!BZ$106=1,FY26+ACN26,1)</f>
        <v/>
      </c>
      <c r="AIC26">
        <f>IF('calcA'!CA$106=1,FZ26+ACO26,1)</f>
        <v/>
      </c>
      <c r="AID26">
        <f>IF('calcA'!CB$106=1,GA26+ACP26,1)</f>
        <v/>
      </c>
      <c r="AIE26">
        <f>IF('calcA'!CC$106=1,GB26+ACQ26,1)</f>
        <v/>
      </c>
      <c r="AIF26">
        <f>IF('calcA'!CD$106=1,GC26+ACR26,1)</f>
        <v/>
      </c>
      <c r="AIG26">
        <f>IF('calcA'!CE$106=1,GD26+ACS26,1)</f>
        <v/>
      </c>
      <c r="AIH26">
        <f>IF('calcA'!CF$106=1,GE26+ACT26,1)</f>
        <v/>
      </c>
      <c r="AII26">
        <f>IF('calcA'!CG$106=1,GF26+ACU26,1)</f>
        <v/>
      </c>
      <c r="AIJ26">
        <f>IF('calcA'!CH$106=1,GG26+ACV26,1)</f>
        <v/>
      </c>
      <c r="AIK26">
        <f>IF('calcA'!CI$106=1,GH26+ACW26,1)</f>
        <v/>
      </c>
      <c r="AIL26">
        <f>IF('calcA'!CJ$106=1,GI26+ACX26,1)</f>
        <v/>
      </c>
      <c r="AIM26">
        <f>IF('calcA'!CK$106=1,GJ26+ACY26,1)</f>
        <v/>
      </c>
      <c r="AIN26">
        <f>IF('calcA'!CL$106=1,GK26+ACZ26,1)</f>
        <v/>
      </c>
      <c r="AIO26">
        <f>IF('calcA'!CM$106=1,GL26+ADA26,1)</f>
        <v/>
      </c>
      <c r="AIP26">
        <f>IF('calcA'!CN$106=1,GM26+ADB26,1)</f>
        <v/>
      </c>
      <c r="AIQ26">
        <f>IF('calcA'!CO$106=1,GN26+ADC26,1)</f>
        <v/>
      </c>
      <c r="AIR26">
        <f>IF('calcA'!CP$106=1,GO26+ADD26,1)</f>
        <v/>
      </c>
      <c r="AIS26">
        <f>IF('calcA'!CQ$106=1,GP26+ADE26,1)</f>
        <v/>
      </c>
      <c r="AIT26">
        <f>IF('calcA'!CR$106=1,GQ26+ADF26,1)</f>
        <v/>
      </c>
      <c r="AIU26">
        <f>IF('calcA'!CS$106=1,GR26+ADG26,1)</f>
        <v/>
      </c>
      <c r="AIV26">
        <f>IF('calcA'!CT$106=1,GS26+ADH26,1)</f>
        <v/>
      </c>
      <c r="AIW26">
        <f>IF('calcA'!CU$106=1,GT26+ADI26,1)</f>
        <v/>
      </c>
      <c r="AIX26">
        <f>IF('calcA'!CV$106=1,GU26+ADJ26,1)</f>
        <v/>
      </c>
      <c r="AIY26">
        <f>IF('calcA'!CW$106=1,GV26+ADK26,1)</f>
        <v/>
      </c>
      <c r="AIZ26">
        <f>IF('calcA'!CX$106=1,GW26+ADL26,1)</f>
        <v/>
      </c>
      <c r="AJA26">
        <f>IF('calcA'!CY$106=1,GX26+ADM26,1)</f>
        <v/>
      </c>
      <c r="AJB26">
        <f>IF('calcA'!CZ$106=1,GY26+ADN26,1)</f>
        <v/>
      </c>
      <c r="AJC26">
        <f>IF('calcA'!DA$106=1,GZ26+ADO26,1)</f>
        <v/>
      </c>
      <c r="AJD26">
        <f>IF('calcA'!DB$106=1,HA26+ADP26,1)</f>
        <v/>
      </c>
      <c r="AJE26">
        <f>IF('calcA'!DC$106=1,HB26+ADQ26,1)</f>
        <v/>
      </c>
      <c r="AJF26">
        <f>IF('calcA'!DD$106=1,HC26+ADR26,1)</f>
        <v/>
      </c>
      <c r="AJG26">
        <f>IF('calcA'!DE$106=1,HD26+ADS26,1)</f>
        <v/>
      </c>
      <c r="AJH26">
        <f>IF('calcA'!DF$106=1,HE26+ADT26,1)</f>
        <v/>
      </c>
      <c r="AJI26">
        <f>IF('calcA'!DG$106=1,HF26+ADU26,1)</f>
        <v/>
      </c>
      <c r="AJJ26">
        <f>IF('calcA'!DH$106=1,HG26+ADV26,1)</f>
        <v/>
      </c>
      <c r="AJK26">
        <f>IF('calcA'!DI$106=1,HH26+ADW26,1)</f>
        <v/>
      </c>
      <c r="AJL26">
        <f>IF('calcA'!DJ$106=1,HI26+ADX26,1)</f>
        <v/>
      </c>
      <c r="AJM26">
        <f>IF('calcA'!DK$106=1,HJ26+ADY26,1)</f>
        <v/>
      </c>
      <c r="AJN26">
        <f>IF('calcA'!DL$106=1,HK26+ADZ26,1)</f>
        <v/>
      </c>
      <c r="AJO26">
        <f>IF('calcA'!DM$106=1,HL26+AEA26,1)</f>
        <v/>
      </c>
      <c r="AJP26">
        <f>IF('calcA'!DN$106=1,HM26+AEB26,1)</f>
        <v/>
      </c>
      <c r="AJQ26">
        <f>IF('calcA'!DO$106=1,HN26+AEC26,1)</f>
        <v/>
      </c>
      <c r="AJR26">
        <f>IF('calcA'!DP$106=1,HO26+AED26,1)</f>
        <v/>
      </c>
      <c r="AJS26">
        <f>IF('calcA'!DQ$106=1,HP26+AEE26,1)</f>
        <v/>
      </c>
      <c r="AJT26">
        <f>IF('calcA'!DR$106=1,HQ26+AEF26,1)</f>
        <v/>
      </c>
      <c r="AJU26">
        <f>IF('calcA'!DS$106=1,HR26+AEG26,1)</f>
        <v/>
      </c>
      <c r="AJV26">
        <f>IF('calcA'!DT$106=1,HS26+AEH26,1)</f>
        <v/>
      </c>
      <c r="AJW26">
        <f>IF('calcA'!DU$106=1,HT26+AEI26,1)</f>
        <v/>
      </c>
      <c r="AJX26">
        <f>IF('calcA'!DV$106=1,HU26+AEJ26,1)</f>
        <v/>
      </c>
      <c r="AJY26">
        <f>IF('calcA'!DW$106=1,HV26+AEK26,1)</f>
        <v/>
      </c>
      <c r="AJZ26">
        <f>IF('calcA'!DX$106=1,HW26+AEL26,1)</f>
        <v/>
      </c>
      <c r="AKA26">
        <f>IF('calcA'!DY$106=1,HX26+AEM26,1)</f>
        <v/>
      </c>
      <c r="AKB26">
        <f>IF('calcA'!DZ$106=1,HY26+AEN26,1)</f>
        <v/>
      </c>
      <c r="AKC26">
        <f>IF('calcA'!EA$106=1,HZ26+AEO26,1)</f>
        <v/>
      </c>
      <c r="AKD26">
        <f>IF('calcA'!EB$106=1,IA26+AEP26,1)</f>
        <v/>
      </c>
      <c r="AKE26">
        <f>IF('calcA'!EC$106=1,IB26+AEQ26,1)</f>
        <v/>
      </c>
      <c r="AKF26">
        <f>IF('calcA'!ED$106=1,IC26+AER26,1)</f>
        <v/>
      </c>
      <c r="AKG26">
        <f>IF('calcA'!EE$106=1,ID26+AES26,1)</f>
        <v/>
      </c>
      <c r="AKH26">
        <f>IF('calcA'!EF$106=1,IE26+AET26,1)</f>
        <v/>
      </c>
      <c r="AKI26">
        <f>IF('calcA'!EG$106=1,IF26+AEU26,1)</f>
        <v/>
      </c>
      <c r="AKJ26">
        <f>IF('calcA'!EH$106=1,IG26+AEV26,1)</f>
        <v/>
      </c>
      <c r="AKK26">
        <f>IF('calcA'!EI$106=1,IH26+AEW26,1)</f>
        <v/>
      </c>
      <c r="AKL26">
        <f>IF('calcA'!EJ$106=1,II26+AEX26,1)</f>
        <v/>
      </c>
      <c r="AKM26">
        <f>IF('calcA'!EK$106=1,IJ26+AEY26,1)</f>
        <v/>
      </c>
      <c r="AKN26">
        <f>IF('calcA'!EL$106=1,IK26+AEZ26,1)</f>
        <v/>
      </c>
      <c r="AKO26">
        <f>IF('calcA'!EM$106=1,IL26+AFA26,1)</f>
        <v/>
      </c>
      <c r="AKP26">
        <f>IF('calcA'!EN$106=1,IM26+AFB26,1)</f>
        <v/>
      </c>
      <c r="AKQ26">
        <f>IF('calcA'!EO$106=1,IN26+AFC26,1)</f>
        <v/>
      </c>
      <c r="AKR26">
        <f>IF('calcA'!EP$106=1,IO26+AFD26,1)</f>
        <v/>
      </c>
      <c r="AKS26" t="n">
        <v>1</v>
      </c>
    </row>
    <row r="27">
      <c r="A27" t="n">
        <v>25</v>
      </c>
      <c r="B27">
        <f>IF(MIN(BM27:CZ27)&gt;=1000000000,0,MATCH(MIN(BM27:CZ27),BM27:CZ27,0))</f>
        <v/>
      </c>
      <c r="C27">
        <f>IF(MIN(OF27:TS27)&gt;=1000000000,0,MATCH(MIN(OF27:TS27),OF27:TS27,0))</f>
        <v/>
      </c>
      <c r="D27">
        <f>IF(C27&gt;0,INDEX('calcA'!$D$5:$EQ$5,C27),0)</f>
        <v/>
      </c>
      <c r="E27">
        <f>IF(B27=0,0,INDEX('calcA'!$IQ$10:$IQ$54,B27))</f>
        <v/>
      </c>
      <c r="F27">
        <f>IF(B27=0,0,INDEX('calcA'!$IP$10:$IP$54,B27))</f>
        <v/>
      </c>
      <c r="G27">
        <f>IF(AND(C27&gt;0,E27&gt;0),IF(AND(INDEX('calcA'!$D$106:$EQ$106,C27)=1,INDEX($IQ27:$OD27,C27)=1),C27+1,0),0)</f>
        <v/>
      </c>
      <c r="H27">
        <f>IF(B27=0,0,INDEX('calcA'!$IW$10:$IW$54,B27))</f>
        <v/>
      </c>
      <c r="U27">
        <f>IF(B27=0,0,INDEX('calcA'!$IX$10:$IX$54,B27))</f>
        <v/>
      </c>
      <c r="V27">
        <f>IF(B27=0,0,INDEX('calcA'!$JF$10:$JF$54,B27))</f>
        <v/>
      </c>
      <c r="W27">
        <f>IF(B27=0,0,IF(IF(E27=2,SUMPRODUCT(INDEX('calcA'!$D$60:$EQ$99,B27,0),$DB27:$IO27,$IQ27:$OD27),SUMPRODUCT(INDEX('calcA'!$D$60:$EQ$99,B27,0),$DB27:$IO27))=0,1,0))</f>
        <v/>
      </c>
      <c r="X27">
        <f>MAX(X26,IF($B26=1,1,0))</f>
        <v/>
      </c>
      <c r="Y27">
        <f>MAX(Y26,IF($B26=2,1,0))</f>
        <v/>
      </c>
      <c r="Z27">
        <f>MAX(Z26,IF($B26=3,1,0))</f>
        <v/>
      </c>
      <c r="AA27">
        <f>MAX(AA26,IF($B26=4,1,0))</f>
        <v/>
      </c>
      <c r="AB27">
        <f>MAX(AB26,IF($B26=5,1,0))</f>
        <v/>
      </c>
      <c r="AC27">
        <f>MAX(AC26,IF($B26=6,1,0))</f>
        <v/>
      </c>
      <c r="AD27">
        <f>MAX(AD26,IF($B26=7,1,0))</f>
        <v/>
      </c>
      <c r="AE27">
        <f>MAX(AE26,IF($B26=8,1,0))</f>
        <v/>
      </c>
      <c r="AF27">
        <f>MAX(AF26,IF($B26=9,1,0))</f>
        <v/>
      </c>
      <c r="AG27">
        <f>MAX(AG26,IF($B26=10,1,0))</f>
        <v/>
      </c>
      <c r="AH27">
        <f>MAX(AH26,IF($B26=11,1,0))</f>
        <v/>
      </c>
      <c r="AI27">
        <f>MAX(AI26,IF($B26=12,1,0))</f>
        <v/>
      </c>
      <c r="AJ27">
        <f>MAX(AJ26,IF($B26=13,1,0))</f>
        <v/>
      </c>
      <c r="AK27">
        <f>MAX(AK26,IF($B26=14,1,0))</f>
        <v/>
      </c>
      <c r="AL27">
        <f>MAX(AL26,IF($B26=15,1,0))</f>
        <v/>
      </c>
      <c r="AM27">
        <f>MAX(AM26,IF($B26=16,1,0))</f>
        <v/>
      </c>
      <c r="AN27">
        <f>MAX(AN26,IF($B26=17,1,0))</f>
        <v/>
      </c>
      <c r="AO27">
        <f>MAX(AO26,IF($B26=18,1,0))</f>
        <v/>
      </c>
      <c r="AP27">
        <f>MAX(AP26,IF($B26=19,1,0))</f>
        <v/>
      </c>
      <c r="AQ27">
        <f>MAX(AQ26,IF($B26=20,1,0))</f>
        <v/>
      </c>
      <c r="AR27">
        <f>MAX(AR26,IF($B26=21,1,0))</f>
        <v/>
      </c>
      <c r="AS27">
        <f>MAX(AS26,IF($B26=22,1,0))</f>
        <v/>
      </c>
      <c r="AT27">
        <f>MAX(AT26,IF($B26=23,1,0))</f>
        <v/>
      </c>
      <c r="AU27">
        <f>MAX(AU26,IF($B26=24,1,0))</f>
        <v/>
      </c>
      <c r="AV27">
        <f>MAX(AV26,IF($B26=25,1,0))</f>
        <v/>
      </c>
      <c r="AW27">
        <f>MAX(AW26,IF($B26=26,1,0))</f>
        <v/>
      </c>
      <c r="AX27">
        <f>MAX(AX26,IF($B26=27,1,0))</f>
        <v/>
      </c>
      <c r="AY27">
        <f>MAX(AY26,IF($B26=28,1,0))</f>
        <v/>
      </c>
      <c r="AZ27">
        <f>MAX(AZ26,IF($B26=29,1,0))</f>
        <v/>
      </c>
      <c r="BA27">
        <f>MAX(BA26,IF($B26=30,1,0))</f>
        <v/>
      </c>
      <c r="BB27">
        <f>MAX(BB26,IF($B26=31,1,0))</f>
        <v/>
      </c>
      <c r="BC27">
        <f>MAX(BC26,IF($B26=32,1,0))</f>
        <v/>
      </c>
      <c r="BD27">
        <f>MAX(BD26,IF($B26=33,1,0))</f>
        <v/>
      </c>
      <c r="BE27">
        <f>MAX(BE26,IF($B26=34,1,0))</f>
        <v/>
      </c>
      <c r="BF27">
        <f>MAX(BF26,IF($B26=35,1,0))</f>
        <v/>
      </c>
      <c r="BG27">
        <f>MAX(BG26,IF($B26=36,1,0))</f>
        <v/>
      </c>
      <c r="BH27">
        <f>MAX(BH26,IF($B26=37,1,0))</f>
        <v/>
      </c>
      <c r="BI27">
        <f>MAX(BI26,IF($B26=38,1,0))</f>
        <v/>
      </c>
      <c r="BJ27">
        <f>MAX(BJ26,IF($B26=39,1,0))</f>
        <v/>
      </c>
      <c r="BK27">
        <f>MAX(BK26,IF($B26=40,1,0))</f>
        <v/>
      </c>
      <c r="BM27">
        <f>IF(OR(X27=1,calcA!$A$6=0),1000000000,IF('calcA'!$JF$10=1,0,100000000)+IF('calcA'!$IQ$10=2,SUMPRODUCT('calcA'!$D$60:$EQ$60,$DB27:$IO27,$IQ27:$OD27)*1000+SUMPRODUCT('calcA'!$D$60:$EQ$60,$DB27:$IO27+$ZQ27:$AFD27,$AFF27:$AKS27),SUMPRODUCT('calcA'!$D$60:$EQ$60,$DB27:$IO27*1001+$ZQ27:$AFD27))*100+1)</f>
        <v/>
      </c>
      <c r="BN27">
        <f>IF(OR(Y27=1,calcA!$A$6=0),1000000000,IF('calcA'!$JF$11=1,0,100000000)+IF('calcA'!$IQ$11=2,SUMPRODUCT('calcA'!$D$61:$EQ$61,$DB27:$IO27,$IQ27:$OD27)*1000+SUMPRODUCT('calcA'!$D$61:$EQ$61,$DB27:$IO27+$ZQ27:$AFD27,$AFF27:$AKS27),SUMPRODUCT('calcA'!$D$61:$EQ$61,$DB27:$IO27*1001+$ZQ27:$AFD27))*100+2)</f>
        <v/>
      </c>
      <c r="BO27">
        <f>IF(OR(Z27=1,calcA!$A$6=0),1000000000,IF('calcA'!$JF$12=1,0,100000000)+IF('calcA'!$IQ$12=2,SUMPRODUCT('calcA'!$D$62:$EQ$62,$DB27:$IO27,$IQ27:$OD27)*1000+SUMPRODUCT('calcA'!$D$62:$EQ$62,$DB27:$IO27+$ZQ27:$AFD27,$AFF27:$AKS27),SUMPRODUCT('calcA'!$D$62:$EQ$62,$DB27:$IO27*1001+$ZQ27:$AFD27))*100+3)</f>
        <v/>
      </c>
      <c r="BP27">
        <f>IF(OR(AA27=1,calcA!$A$6=0),1000000000,IF('calcA'!$JF$13=1,0,100000000)+IF('calcA'!$IQ$13=2,SUMPRODUCT('calcA'!$D$63:$EQ$63,$DB27:$IO27,$IQ27:$OD27)*1000+SUMPRODUCT('calcA'!$D$63:$EQ$63,$DB27:$IO27+$ZQ27:$AFD27,$AFF27:$AKS27),SUMPRODUCT('calcA'!$D$63:$EQ$63,$DB27:$IO27*1001+$ZQ27:$AFD27))*100+4)</f>
        <v/>
      </c>
      <c r="BQ27">
        <f>IF(OR(AB27=1,calcA!$A$6=0),1000000000,IF('calcA'!$JF$14=1,0,100000000)+IF('calcA'!$IQ$14=2,SUMPRODUCT('calcA'!$D$64:$EQ$64,$DB27:$IO27,$IQ27:$OD27)*1000+SUMPRODUCT('calcA'!$D$64:$EQ$64,$DB27:$IO27+$ZQ27:$AFD27,$AFF27:$AKS27),SUMPRODUCT('calcA'!$D$64:$EQ$64,$DB27:$IO27*1001+$ZQ27:$AFD27))*100+5)</f>
        <v/>
      </c>
      <c r="BR27">
        <f>IF(OR(AC27=1,calcA!$A$6=0),1000000000,IF('calcA'!$JF$15=1,0,100000000)+IF('calcA'!$IQ$15=2,SUMPRODUCT('calcA'!$D$65:$EQ$65,$DB27:$IO27,$IQ27:$OD27)*1000+SUMPRODUCT('calcA'!$D$65:$EQ$65,$DB27:$IO27+$ZQ27:$AFD27,$AFF27:$AKS27),SUMPRODUCT('calcA'!$D$65:$EQ$65,$DB27:$IO27*1001+$ZQ27:$AFD27))*100+6)</f>
        <v/>
      </c>
      <c r="BS27">
        <f>IF(OR(AD27=1,calcA!$A$6=0),1000000000,IF('calcA'!$JF$16=1,0,100000000)+IF('calcA'!$IQ$16=2,SUMPRODUCT('calcA'!$D$66:$EQ$66,$DB27:$IO27,$IQ27:$OD27)*1000+SUMPRODUCT('calcA'!$D$66:$EQ$66,$DB27:$IO27+$ZQ27:$AFD27,$AFF27:$AKS27),SUMPRODUCT('calcA'!$D$66:$EQ$66,$DB27:$IO27*1001+$ZQ27:$AFD27))*100+7)</f>
        <v/>
      </c>
      <c r="BT27">
        <f>IF(OR(AE27=1,calcA!$A$6=0),1000000000,IF('calcA'!$JF$17=1,0,100000000)+IF('calcA'!$IQ$17=2,SUMPRODUCT('calcA'!$D$67:$EQ$67,$DB27:$IO27,$IQ27:$OD27)*1000+SUMPRODUCT('calcA'!$D$67:$EQ$67,$DB27:$IO27+$ZQ27:$AFD27,$AFF27:$AKS27),SUMPRODUCT('calcA'!$D$67:$EQ$67,$DB27:$IO27*1001+$ZQ27:$AFD27))*100+8)</f>
        <v/>
      </c>
      <c r="BU27">
        <f>IF(OR(AF27=1,calcA!$A$6=0),1000000000,IF('calcA'!$JF$18=1,0,100000000)+IF('calcA'!$IQ$18=2,SUMPRODUCT('calcA'!$D$68:$EQ$68,$DB27:$IO27,$IQ27:$OD27)*1000+SUMPRODUCT('calcA'!$D$68:$EQ$68,$DB27:$IO27+$ZQ27:$AFD27,$AFF27:$AKS27),SUMPRODUCT('calcA'!$D$68:$EQ$68,$DB27:$IO27*1001+$ZQ27:$AFD27))*100+9)</f>
        <v/>
      </c>
      <c r="BV27">
        <f>IF(OR(AG27=1,calcA!$A$6=0),1000000000,IF('calcA'!$JF$19=1,0,100000000)+IF('calcA'!$IQ$19=2,SUMPRODUCT('calcA'!$D$69:$EQ$69,$DB27:$IO27,$IQ27:$OD27)*1000+SUMPRODUCT('calcA'!$D$69:$EQ$69,$DB27:$IO27+$ZQ27:$AFD27,$AFF27:$AKS27),SUMPRODUCT('calcA'!$D$69:$EQ$69,$DB27:$IO27*1001+$ZQ27:$AFD27))*100+10)</f>
        <v/>
      </c>
      <c r="BW27">
        <f>IF(OR(AH27=1,calcA!$A$6=0),1000000000,IF('calcA'!$JF$20=1,0,100000000)+IF('calcA'!$IQ$20=2,SUMPRODUCT('calcA'!$D$70:$EQ$70,$DB27:$IO27,$IQ27:$OD27)*1000+SUMPRODUCT('calcA'!$D$70:$EQ$70,$DB27:$IO27+$ZQ27:$AFD27,$AFF27:$AKS27),SUMPRODUCT('calcA'!$D$70:$EQ$70,$DB27:$IO27*1001+$ZQ27:$AFD27))*100+11)</f>
        <v/>
      </c>
      <c r="BX27">
        <f>IF(OR(AI27=1,calcA!$A$6=0),1000000000,IF('calcA'!$JF$21=1,0,100000000)+IF('calcA'!$IQ$21=2,SUMPRODUCT('calcA'!$D$71:$EQ$71,$DB27:$IO27,$IQ27:$OD27)*1000+SUMPRODUCT('calcA'!$D$71:$EQ$71,$DB27:$IO27+$ZQ27:$AFD27,$AFF27:$AKS27),SUMPRODUCT('calcA'!$D$71:$EQ$71,$DB27:$IO27*1001+$ZQ27:$AFD27))*100+12)</f>
        <v/>
      </c>
      <c r="BY27">
        <f>IF(OR(AJ27=1,calcA!$A$6=0),1000000000,IF('calcA'!$JF$22=1,0,100000000)+IF('calcA'!$IQ$22=2,SUMPRODUCT('calcA'!$D$72:$EQ$72,$DB27:$IO27,$IQ27:$OD27)*1000+SUMPRODUCT('calcA'!$D$72:$EQ$72,$DB27:$IO27+$ZQ27:$AFD27,$AFF27:$AKS27),SUMPRODUCT('calcA'!$D$72:$EQ$72,$DB27:$IO27*1001+$ZQ27:$AFD27))*100+13)</f>
        <v/>
      </c>
      <c r="BZ27">
        <f>IF(OR(AK27=1,calcA!$A$6=0),1000000000,IF('calcA'!$JF$23=1,0,100000000)+IF('calcA'!$IQ$23=2,SUMPRODUCT('calcA'!$D$73:$EQ$73,$DB27:$IO27,$IQ27:$OD27)*1000+SUMPRODUCT('calcA'!$D$73:$EQ$73,$DB27:$IO27+$ZQ27:$AFD27,$AFF27:$AKS27),SUMPRODUCT('calcA'!$D$73:$EQ$73,$DB27:$IO27*1001+$ZQ27:$AFD27))*100+14)</f>
        <v/>
      </c>
      <c r="CA27">
        <f>IF(OR(AL27=1,calcA!$A$6=0),1000000000,IF('calcA'!$JF$24=1,0,100000000)+IF('calcA'!$IQ$24=2,SUMPRODUCT('calcA'!$D$74:$EQ$74,$DB27:$IO27,$IQ27:$OD27)*1000+SUMPRODUCT('calcA'!$D$74:$EQ$74,$DB27:$IO27+$ZQ27:$AFD27,$AFF27:$AKS27),SUMPRODUCT('calcA'!$D$74:$EQ$74,$DB27:$IO27*1001+$ZQ27:$AFD27))*100+15)</f>
        <v/>
      </c>
      <c r="CB27">
        <f>IF(OR(AM27=1,calcA!$A$6=0),1000000000,IF('calcA'!$JF$25=1,0,100000000)+IF('calcA'!$IQ$25=2,SUMPRODUCT('calcA'!$D$75:$EQ$75,$DB27:$IO27,$IQ27:$OD27)*1000+SUMPRODUCT('calcA'!$D$75:$EQ$75,$DB27:$IO27+$ZQ27:$AFD27,$AFF27:$AKS27),SUMPRODUCT('calcA'!$D$75:$EQ$75,$DB27:$IO27*1001+$ZQ27:$AFD27))*100+16)</f>
        <v/>
      </c>
      <c r="CC27">
        <f>IF(OR(AN27=1,calcA!$A$6=0),1000000000,IF('calcA'!$JF$26=1,0,100000000)+IF('calcA'!$IQ$26=2,SUMPRODUCT('calcA'!$D$76:$EQ$76,$DB27:$IO27,$IQ27:$OD27)*1000+SUMPRODUCT('calcA'!$D$76:$EQ$76,$DB27:$IO27+$ZQ27:$AFD27,$AFF27:$AKS27),SUMPRODUCT('calcA'!$D$76:$EQ$76,$DB27:$IO27*1001+$ZQ27:$AFD27))*100+17)</f>
        <v/>
      </c>
      <c r="CD27">
        <f>IF(OR(AO27=1,calcA!$A$6=0),1000000000,IF('calcA'!$JF$27=1,0,100000000)+IF('calcA'!$IQ$27=2,SUMPRODUCT('calcA'!$D$77:$EQ$77,$DB27:$IO27,$IQ27:$OD27)*1000+SUMPRODUCT('calcA'!$D$77:$EQ$77,$DB27:$IO27+$ZQ27:$AFD27,$AFF27:$AKS27),SUMPRODUCT('calcA'!$D$77:$EQ$77,$DB27:$IO27*1001+$ZQ27:$AFD27))*100+18)</f>
        <v/>
      </c>
      <c r="CE27">
        <f>IF(OR(AP27=1,calcA!$A$6=0),1000000000,IF('calcA'!$JF$28=1,0,100000000)+IF('calcA'!$IQ$28=2,SUMPRODUCT('calcA'!$D$78:$EQ$78,$DB27:$IO27,$IQ27:$OD27)*1000+SUMPRODUCT('calcA'!$D$78:$EQ$78,$DB27:$IO27+$ZQ27:$AFD27,$AFF27:$AKS27),SUMPRODUCT('calcA'!$D$78:$EQ$78,$DB27:$IO27*1001+$ZQ27:$AFD27))*100+19)</f>
        <v/>
      </c>
      <c r="CF27">
        <f>IF(OR(AQ27=1,calcA!$A$6=0),1000000000,IF('calcA'!$JF$29=1,0,100000000)+IF('calcA'!$IQ$29=2,SUMPRODUCT('calcA'!$D$79:$EQ$79,$DB27:$IO27,$IQ27:$OD27)*1000+SUMPRODUCT('calcA'!$D$79:$EQ$79,$DB27:$IO27+$ZQ27:$AFD27,$AFF27:$AKS27),SUMPRODUCT('calcA'!$D$79:$EQ$79,$DB27:$IO27*1001+$ZQ27:$AFD27))*100+20)</f>
        <v/>
      </c>
      <c r="CG27">
        <f>IF(OR(AR27=1,calcA!$A$6=0),1000000000,IF('calcA'!$JF$30=1,0,100000000)+IF('calcA'!$IQ$30=2,SUMPRODUCT('calcA'!$D$80:$EQ$80,$DB27:$IO27,$IQ27:$OD27)*1000+SUMPRODUCT('calcA'!$D$80:$EQ$80,$DB27:$IO27+$ZQ27:$AFD27,$AFF27:$AKS27),SUMPRODUCT('calcA'!$D$80:$EQ$80,$DB27:$IO27*1001+$ZQ27:$AFD27))*100+21)</f>
        <v/>
      </c>
      <c r="CH27">
        <f>IF(OR(AS27=1,calcA!$A$6=0),1000000000,IF('calcA'!$JF$31=1,0,100000000)+IF('calcA'!$IQ$31=2,SUMPRODUCT('calcA'!$D$81:$EQ$81,$DB27:$IO27,$IQ27:$OD27)*1000+SUMPRODUCT('calcA'!$D$81:$EQ$81,$DB27:$IO27+$ZQ27:$AFD27,$AFF27:$AKS27),SUMPRODUCT('calcA'!$D$81:$EQ$81,$DB27:$IO27*1001+$ZQ27:$AFD27))*100+22)</f>
        <v/>
      </c>
      <c r="CI27">
        <f>IF(OR(AT27=1,calcA!$A$6=0),1000000000,IF('calcA'!$JF$32=1,0,100000000)+IF('calcA'!$IQ$32=2,SUMPRODUCT('calcA'!$D$82:$EQ$82,$DB27:$IO27,$IQ27:$OD27)*1000+SUMPRODUCT('calcA'!$D$82:$EQ$82,$DB27:$IO27+$ZQ27:$AFD27,$AFF27:$AKS27),SUMPRODUCT('calcA'!$D$82:$EQ$82,$DB27:$IO27*1001+$ZQ27:$AFD27))*100+23)</f>
        <v/>
      </c>
      <c r="CJ27">
        <f>IF(OR(AU27=1,calcA!$A$6=0),1000000000,IF('calcA'!$JF$33=1,0,100000000)+IF('calcA'!$IQ$33=2,SUMPRODUCT('calcA'!$D$83:$EQ$83,$DB27:$IO27,$IQ27:$OD27)*1000+SUMPRODUCT('calcA'!$D$83:$EQ$83,$DB27:$IO27+$ZQ27:$AFD27,$AFF27:$AKS27),SUMPRODUCT('calcA'!$D$83:$EQ$83,$DB27:$IO27*1001+$ZQ27:$AFD27))*100+24)</f>
        <v/>
      </c>
      <c r="CK27">
        <f>IF(OR(AV27=1,calcA!$A$6=0),1000000000,IF('calcA'!$JF$34=1,0,100000000)+IF('calcA'!$IQ$34=2,SUMPRODUCT('calcA'!$D$84:$EQ$84,$DB27:$IO27,$IQ27:$OD27)*1000+SUMPRODUCT('calcA'!$D$84:$EQ$84,$DB27:$IO27+$ZQ27:$AFD27,$AFF27:$AKS27),SUMPRODUCT('calcA'!$D$84:$EQ$84,$DB27:$IO27*1001+$ZQ27:$AFD27))*100+25)</f>
        <v/>
      </c>
      <c r="CL27">
        <f>IF(OR(AW27=1,calcA!$A$6=0),1000000000,IF('calcA'!$JF$35=1,0,100000000)+IF('calcA'!$IQ$35=2,SUMPRODUCT('calcA'!$D$85:$EQ$85,$DB27:$IO27,$IQ27:$OD27)*1000+SUMPRODUCT('calcA'!$D$85:$EQ$85,$DB27:$IO27+$ZQ27:$AFD27,$AFF27:$AKS27),SUMPRODUCT('calcA'!$D$85:$EQ$85,$DB27:$IO27*1001+$ZQ27:$AFD27))*100+26)</f>
        <v/>
      </c>
      <c r="CM27">
        <f>IF(OR(AX27=1,calcA!$A$6=0),1000000000,IF('calcA'!$JF$36=1,0,100000000)+IF('calcA'!$IQ$36=2,SUMPRODUCT('calcA'!$D$86:$EQ$86,$DB27:$IO27,$IQ27:$OD27)*1000+SUMPRODUCT('calcA'!$D$86:$EQ$86,$DB27:$IO27+$ZQ27:$AFD27,$AFF27:$AKS27),SUMPRODUCT('calcA'!$D$86:$EQ$86,$DB27:$IO27*1001+$ZQ27:$AFD27))*100+27)</f>
        <v/>
      </c>
      <c r="CN27">
        <f>IF(OR(AY27=1,calcA!$A$6=0),1000000000,IF('calcA'!$JF$37=1,0,100000000)+IF('calcA'!$IQ$37=2,SUMPRODUCT('calcA'!$D$87:$EQ$87,$DB27:$IO27,$IQ27:$OD27)*1000+SUMPRODUCT('calcA'!$D$87:$EQ$87,$DB27:$IO27+$ZQ27:$AFD27,$AFF27:$AKS27),SUMPRODUCT('calcA'!$D$87:$EQ$87,$DB27:$IO27*1001+$ZQ27:$AFD27))*100+28)</f>
        <v/>
      </c>
      <c r="CO27">
        <f>IF(OR(AZ27=1,calcA!$A$6=0),1000000000,IF('calcA'!$JF$38=1,0,100000000)+IF('calcA'!$IQ$38=2,SUMPRODUCT('calcA'!$D$88:$EQ$88,$DB27:$IO27,$IQ27:$OD27)*1000+SUMPRODUCT('calcA'!$D$88:$EQ$88,$DB27:$IO27+$ZQ27:$AFD27,$AFF27:$AKS27),SUMPRODUCT('calcA'!$D$88:$EQ$88,$DB27:$IO27*1001+$ZQ27:$AFD27))*100+29)</f>
        <v/>
      </c>
      <c r="CP27">
        <f>IF(OR(BA27=1,calcA!$A$6=0),1000000000,IF('calcA'!$JF$39=1,0,100000000)+IF('calcA'!$IQ$39=2,SUMPRODUCT('calcA'!$D$89:$EQ$89,$DB27:$IO27,$IQ27:$OD27)*1000+SUMPRODUCT('calcA'!$D$89:$EQ$89,$DB27:$IO27+$ZQ27:$AFD27,$AFF27:$AKS27),SUMPRODUCT('calcA'!$D$89:$EQ$89,$DB27:$IO27*1001+$ZQ27:$AFD27))*100+30)</f>
        <v/>
      </c>
      <c r="CQ27">
        <f>IF(OR(BB27=1,calcA!$A$6=0),1000000000,IF('calcA'!$JF$40=1,0,100000000)+IF('calcA'!$IQ$40=2,SUMPRODUCT('calcA'!$D$90:$EQ$90,$DB27:$IO27,$IQ27:$OD27)*1000+SUMPRODUCT('calcA'!$D$90:$EQ$90,$DB27:$IO27+$ZQ27:$AFD27,$AFF27:$AKS27),SUMPRODUCT('calcA'!$D$90:$EQ$90,$DB27:$IO27*1001+$ZQ27:$AFD27))*100+31)</f>
        <v/>
      </c>
      <c r="CR27">
        <f>IF(OR(BC27=1,calcA!$A$6=0),1000000000,IF('calcA'!$JF$41=1,0,100000000)+IF('calcA'!$IQ$41=2,SUMPRODUCT('calcA'!$D$91:$EQ$91,$DB27:$IO27,$IQ27:$OD27)*1000+SUMPRODUCT('calcA'!$D$91:$EQ$91,$DB27:$IO27+$ZQ27:$AFD27,$AFF27:$AKS27),SUMPRODUCT('calcA'!$D$91:$EQ$91,$DB27:$IO27*1001+$ZQ27:$AFD27))*100+32)</f>
        <v/>
      </c>
      <c r="CS27">
        <f>IF(OR(BD27=1,calcA!$A$6=0),1000000000,IF('calcA'!$JF$42=1,0,100000000)+IF('calcA'!$IQ$42=2,SUMPRODUCT('calcA'!$D$92:$EQ$92,$DB27:$IO27,$IQ27:$OD27)*1000+SUMPRODUCT('calcA'!$D$92:$EQ$92,$DB27:$IO27+$ZQ27:$AFD27,$AFF27:$AKS27),SUMPRODUCT('calcA'!$D$92:$EQ$92,$DB27:$IO27*1001+$ZQ27:$AFD27))*100+33)</f>
        <v/>
      </c>
      <c r="CT27">
        <f>IF(OR(BE27=1,calcA!$A$6=0),1000000000,IF('calcA'!$JF$43=1,0,100000000)+IF('calcA'!$IQ$43=2,SUMPRODUCT('calcA'!$D$93:$EQ$93,$DB27:$IO27,$IQ27:$OD27)*1000+SUMPRODUCT('calcA'!$D$93:$EQ$93,$DB27:$IO27+$ZQ27:$AFD27,$AFF27:$AKS27),SUMPRODUCT('calcA'!$D$93:$EQ$93,$DB27:$IO27*1001+$ZQ27:$AFD27))*100+34)</f>
        <v/>
      </c>
      <c r="CU27">
        <f>IF(OR(BF27=1,calcA!$A$6=0),1000000000,IF('calcA'!$JF$44=1,0,100000000)+IF('calcA'!$IQ$44=2,SUMPRODUCT('calcA'!$D$94:$EQ$94,$DB27:$IO27,$IQ27:$OD27)*1000+SUMPRODUCT('calcA'!$D$94:$EQ$94,$DB27:$IO27+$ZQ27:$AFD27,$AFF27:$AKS27),SUMPRODUCT('calcA'!$D$94:$EQ$94,$DB27:$IO27*1001+$ZQ27:$AFD27))*100+35)</f>
        <v/>
      </c>
      <c r="CV27">
        <f>IF(OR(BG27=1,calcA!$A$6=0),1000000000,IF('calcA'!$JF$45=1,0,100000000)+IF('calcA'!$IQ$45=2,SUMPRODUCT('calcA'!$D$95:$EQ$95,$DB27:$IO27,$IQ27:$OD27)*1000+SUMPRODUCT('calcA'!$D$95:$EQ$95,$DB27:$IO27+$ZQ27:$AFD27,$AFF27:$AKS27),SUMPRODUCT('calcA'!$D$95:$EQ$95,$DB27:$IO27*1001+$ZQ27:$AFD27))*100+36)</f>
        <v/>
      </c>
      <c r="CW27">
        <f>IF(OR(BH27=1,calcA!$A$6=0),1000000000,IF('calcA'!$JF$46=1,0,100000000)+IF('calcA'!$IQ$46=2,SUMPRODUCT('calcA'!$D$96:$EQ$96,$DB27:$IO27,$IQ27:$OD27)*1000+SUMPRODUCT('calcA'!$D$96:$EQ$96,$DB27:$IO27+$ZQ27:$AFD27,$AFF27:$AKS27),SUMPRODUCT('calcA'!$D$96:$EQ$96,$DB27:$IO27*1001+$ZQ27:$AFD27))*100+37)</f>
        <v/>
      </c>
      <c r="CX27">
        <f>IF(OR(BI27=1,calcA!$A$6=0),1000000000,IF('calcA'!$JF$47=1,0,100000000)+IF('calcA'!$IQ$47=2,SUMPRODUCT('calcA'!$D$97:$EQ$97,$DB27:$IO27,$IQ27:$OD27)*1000+SUMPRODUCT('calcA'!$D$97:$EQ$97,$DB27:$IO27+$ZQ27:$AFD27,$AFF27:$AKS27),SUMPRODUCT('calcA'!$D$97:$EQ$97,$DB27:$IO27*1001+$ZQ27:$AFD27))*100+38)</f>
        <v/>
      </c>
      <c r="CY27">
        <f>IF(OR(BJ27=1,calcA!$A$6=0),1000000000,IF('calcA'!$JF$48=1,0,100000000)+IF('calcA'!$IQ$48=2,SUMPRODUCT('calcA'!$D$98:$EQ$98,$DB27:$IO27,$IQ27:$OD27)*1000+SUMPRODUCT('calcA'!$D$98:$EQ$98,$DB27:$IO27+$ZQ27:$AFD27,$AFF27:$AKS27),SUMPRODUCT('calcA'!$D$98:$EQ$98,$DB27:$IO27*1001+$ZQ27:$AFD27))*100+39)</f>
        <v/>
      </c>
      <c r="CZ27">
        <f>IF(OR(BK27=1,calcA!$A$6=0),1000000000,IF('calcA'!$JF$49=1,0,100000000)+IF('calcA'!$IQ$49=2,SUMPRODUCT('calcA'!$D$99:$EQ$99,$DB27:$IO27,$IQ27:$OD27)*1000+SUMPRODUCT('calcA'!$D$99:$EQ$99,$DB27:$IO27+$ZQ27:$AFD27,$AFF27:$AKS27),SUMPRODUCT('calcA'!$D$99:$EQ$99,$DB27:$IO27*1001+$ZQ27:$AFD27))*100+40)</f>
        <v/>
      </c>
      <c r="DB27">
        <f>DB26*IF(OR($C26=1,$G26=1),0,1)</f>
        <v/>
      </c>
      <c r="DC27">
        <f>DC26*IF(OR($C26=2,$G26=2),0,1)</f>
        <v/>
      </c>
      <c r="DD27">
        <f>DD26*IF(OR($C26=3,$G26=3),0,1)</f>
        <v/>
      </c>
      <c r="DE27">
        <f>DE26*IF(OR($C26=4,$G26=4),0,1)</f>
        <v/>
      </c>
      <c r="DF27">
        <f>DF26*IF(OR($C26=5,$G26=5),0,1)</f>
        <v/>
      </c>
      <c r="DG27">
        <f>DG26*IF(OR($C26=6,$G26=6),0,1)</f>
        <v/>
      </c>
      <c r="DH27">
        <f>DH26*IF(OR($C26=7,$G26=7),0,1)</f>
        <v/>
      </c>
      <c r="DI27">
        <f>DI26*IF(OR($C26=8,$G26=8),0,1)</f>
        <v/>
      </c>
      <c r="DJ27">
        <f>DJ26*IF(OR($C26=9,$G26=9),0,1)</f>
        <v/>
      </c>
      <c r="DK27">
        <f>DK26*IF(OR($C26=10,$G26=10),0,1)</f>
        <v/>
      </c>
      <c r="DL27">
        <f>DL26*IF(OR($C26=11,$G26=11),0,1)</f>
        <v/>
      </c>
      <c r="DM27">
        <f>DM26*IF(OR($C26=12,$G26=12),0,1)</f>
        <v/>
      </c>
      <c r="DN27">
        <f>DN26*IF(OR($C26=13,$G26=13),0,1)</f>
        <v/>
      </c>
      <c r="DO27">
        <f>DO26*IF(OR($C26=14,$G26=14),0,1)</f>
        <v/>
      </c>
      <c r="DP27">
        <f>DP26*IF(OR($C26=15,$G26=15),0,1)</f>
        <v/>
      </c>
      <c r="DQ27">
        <f>DQ26*IF(OR($C26=16,$G26=16),0,1)</f>
        <v/>
      </c>
      <c r="DR27">
        <f>DR26*IF(OR($C26=17,$G26=17),0,1)</f>
        <v/>
      </c>
      <c r="DS27">
        <f>DS26*IF(OR($C26=18,$G26=18),0,1)</f>
        <v/>
      </c>
      <c r="DT27">
        <f>DT26*IF(OR($C26=19,$G26=19),0,1)</f>
        <v/>
      </c>
      <c r="DU27">
        <f>DU26*IF(OR($C26=20,$G26=20),0,1)</f>
        <v/>
      </c>
      <c r="DV27">
        <f>DV26*IF(OR($C26=21,$G26=21),0,1)</f>
        <v/>
      </c>
      <c r="DW27">
        <f>DW26*IF(OR($C26=22,$G26=22),0,1)</f>
        <v/>
      </c>
      <c r="DX27">
        <f>DX26*IF(OR($C26=23,$G26=23),0,1)</f>
        <v/>
      </c>
      <c r="DY27">
        <f>DY26*IF(OR($C26=24,$G26=24),0,1)</f>
        <v/>
      </c>
      <c r="DZ27">
        <f>DZ26*IF(OR($C26=25,$G26=25),0,1)</f>
        <v/>
      </c>
      <c r="EA27">
        <f>EA26*IF(OR($C26=26,$G26=26),0,1)</f>
        <v/>
      </c>
      <c r="EB27">
        <f>EB26*IF(OR($C26=27,$G26=27),0,1)</f>
        <v/>
      </c>
      <c r="EC27">
        <f>EC26*IF(OR($C26=28,$G26=28),0,1)</f>
        <v/>
      </c>
      <c r="ED27">
        <f>ED26*IF(OR($C26=29,$G26=29),0,1)</f>
        <v/>
      </c>
      <c r="EE27">
        <f>EE26*IF(OR($C26=30,$G26=30),0,1)</f>
        <v/>
      </c>
      <c r="EF27">
        <f>EF26*IF(OR($C26=31,$G26=31),0,1)</f>
        <v/>
      </c>
      <c r="EG27">
        <f>EG26*IF(OR($C26=32,$G26=32),0,1)</f>
        <v/>
      </c>
      <c r="EH27">
        <f>EH26*IF(OR($C26=33,$G26=33),0,1)</f>
        <v/>
      </c>
      <c r="EI27">
        <f>EI26*IF(OR($C26=34,$G26=34),0,1)</f>
        <v/>
      </c>
      <c r="EJ27">
        <f>EJ26*IF(OR($C26=35,$G26=35),0,1)</f>
        <v/>
      </c>
      <c r="EK27">
        <f>EK26*IF(OR($C26=36,$G26=36),0,1)</f>
        <v/>
      </c>
      <c r="EL27">
        <f>EL26*IF(OR($C26=37,$G26=37),0,1)</f>
        <v/>
      </c>
      <c r="EM27">
        <f>EM26*IF(OR($C26=38,$G26=38),0,1)</f>
        <v/>
      </c>
      <c r="EN27">
        <f>EN26*IF(OR($C26=39,$G26=39),0,1)</f>
        <v/>
      </c>
      <c r="EO27">
        <f>EO26*IF(OR($C26=40,$G26=40),0,1)</f>
        <v/>
      </c>
      <c r="EP27">
        <f>EP26*IF(OR($C26=41,$G26=41),0,1)</f>
        <v/>
      </c>
      <c r="EQ27">
        <f>EQ26*IF(OR($C26=42,$G26=42),0,1)</f>
        <v/>
      </c>
      <c r="ER27">
        <f>ER26*IF(OR($C26=43,$G26=43),0,1)</f>
        <v/>
      </c>
      <c r="ES27">
        <f>ES26*IF(OR($C26=44,$G26=44),0,1)</f>
        <v/>
      </c>
      <c r="ET27">
        <f>ET26*IF(OR($C26=45,$G26=45),0,1)</f>
        <v/>
      </c>
      <c r="EU27">
        <f>EU26*IF(OR($C26=46,$G26=46),0,1)</f>
        <v/>
      </c>
      <c r="EV27">
        <f>EV26*IF(OR($C26=47,$G26=47),0,1)</f>
        <v/>
      </c>
      <c r="EW27">
        <f>EW26*IF(OR($C26=48,$G26=48),0,1)</f>
        <v/>
      </c>
      <c r="EX27">
        <f>EX26*IF(OR($C26=49,$G26=49),0,1)</f>
        <v/>
      </c>
      <c r="EY27">
        <f>EY26*IF(OR($C26=50,$G26=50),0,1)</f>
        <v/>
      </c>
      <c r="EZ27">
        <f>EZ26*IF(OR($C26=51,$G26=51),0,1)</f>
        <v/>
      </c>
      <c r="FA27">
        <f>FA26*IF(OR($C26=52,$G26=52),0,1)</f>
        <v/>
      </c>
      <c r="FB27">
        <f>FB26*IF(OR($C26=53,$G26=53),0,1)</f>
        <v/>
      </c>
      <c r="FC27">
        <f>FC26*IF(OR($C26=54,$G26=54),0,1)</f>
        <v/>
      </c>
      <c r="FD27">
        <f>FD26*IF(OR($C26=55,$G26=55),0,1)</f>
        <v/>
      </c>
      <c r="FE27">
        <f>FE26*IF(OR($C26=56,$G26=56),0,1)</f>
        <v/>
      </c>
      <c r="FF27">
        <f>FF26*IF(OR($C26=57,$G26=57),0,1)</f>
        <v/>
      </c>
      <c r="FG27">
        <f>FG26*IF(OR($C26=58,$G26=58),0,1)</f>
        <v/>
      </c>
      <c r="FH27">
        <f>FH26*IF(OR($C26=59,$G26=59),0,1)</f>
        <v/>
      </c>
      <c r="FI27">
        <f>FI26*IF(OR($C26=60,$G26=60),0,1)</f>
        <v/>
      </c>
      <c r="FJ27">
        <f>FJ26*IF(OR($C26=61,$G26=61),0,1)</f>
        <v/>
      </c>
      <c r="FK27">
        <f>FK26*IF(OR($C26=62,$G26=62),0,1)</f>
        <v/>
      </c>
      <c r="FL27">
        <f>FL26*IF(OR($C26=63,$G26=63),0,1)</f>
        <v/>
      </c>
      <c r="FM27">
        <f>FM26*IF(OR($C26=64,$G26=64),0,1)</f>
        <v/>
      </c>
      <c r="FN27">
        <f>FN26*IF(OR($C26=65,$G26=65),0,1)</f>
        <v/>
      </c>
      <c r="FO27">
        <f>FO26*IF(OR($C26=66,$G26=66),0,1)</f>
        <v/>
      </c>
      <c r="FP27">
        <f>FP26*IF(OR($C26=67,$G26=67),0,1)</f>
        <v/>
      </c>
      <c r="FQ27">
        <f>FQ26*IF(OR($C26=68,$G26=68),0,1)</f>
        <v/>
      </c>
      <c r="FR27">
        <f>FR26*IF(OR($C26=69,$G26=69),0,1)</f>
        <v/>
      </c>
      <c r="FS27">
        <f>FS26*IF(OR($C26=70,$G26=70),0,1)</f>
        <v/>
      </c>
      <c r="FT27">
        <f>FT26*IF(OR($C26=71,$G26=71),0,1)</f>
        <v/>
      </c>
      <c r="FU27">
        <f>FU26*IF(OR($C26=72,$G26=72),0,1)</f>
        <v/>
      </c>
      <c r="FV27">
        <f>FV26*IF(OR($C26=73,$G26=73),0,1)</f>
        <v/>
      </c>
      <c r="FW27">
        <f>FW26*IF(OR($C26=74,$G26=74),0,1)</f>
        <v/>
      </c>
      <c r="FX27">
        <f>FX26*IF(OR($C26=75,$G26=75),0,1)</f>
        <v/>
      </c>
      <c r="FY27">
        <f>FY26*IF(OR($C26=76,$G26=76),0,1)</f>
        <v/>
      </c>
      <c r="FZ27">
        <f>FZ26*IF(OR($C26=77,$G26=77),0,1)</f>
        <v/>
      </c>
      <c r="GA27">
        <f>GA26*IF(OR($C26=78,$G26=78),0,1)</f>
        <v/>
      </c>
      <c r="GB27">
        <f>GB26*IF(OR($C26=79,$G26=79),0,1)</f>
        <v/>
      </c>
      <c r="GC27">
        <f>GC26*IF(OR($C26=80,$G26=80),0,1)</f>
        <v/>
      </c>
      <c r="GD27">
        <f>GD26*IF(OR($C26=81,$G26=81),0,1)</f>
        <v/>
      </c>
      <c r="GE27">
        <f>GE26*IF(OR($C26=82,$G26=82),0,1)</f>
        <v/>
      </c>
      <c r="GF27">
        <f>GF26*IF(OR($C26=83,$G26=83),0,1)</f>
        <v/>
      </c>
      <c r="GG27">
        <f>GG26*IF(OR($C26=84,$G26=84),0,1)</f>
        <v/>
      </c>
      <c r="GH27">
        <f>GH26*IF(OR($C26=85,$G26=85),0,1)</f>
        <v/>
      </c>
      <c r="GI27">
        <f>GI26*IF(OR($C26=86,$G26=86),0,1)</f>
        <v/>
      </c>
      <c r="GJ27">
        <f>GJ26*IF(OR($C26=87,$G26=87),0,1)</f>
        <v/>
      </c>
      <c r="GK27">
        <f>GK26*IF(OR($C26=88,$G26=88),0,1)</f>
        <v/>
      </c>
      <c r="GL27">
        <f>GL26*IF(OR($C26=89,$G26=89),0,1)</f>
        <v/>
      </c>
      <c r="GM27">
        <f>GM26*IF(OR($C26=90,$G26=90),0,1)</f>
        <v/>
      </c>
      <c r="GN27">
        <f>GN26*IF(OR($C26=91,$G26=91),0,1)</f>
        <v/>
      </c>
      <c r="GO27">
        <f>GO26*IF(OR($C26=92,$G26=92),0,1)</f>
        <v/>
      </c>
      <c r="GP27">
        <f>GP26*IF(OR($C26=93,$G26=93),0,1)</f>
        <v/>
      </c>
      <c r="GQ27">
        <f>GQ26*IF(OR($C26=94,$G26=94),0,1)</f>
        <v/>
      </c>
      <c r="GR27">
        <f>GR26*IF(OR($C26=95,$G26=95),0,1)</f>
        <v/>
      </c>
      <c r="GS27">
        <f>GS26*IF(OR($C26=96,$G26=96),0,1)</f>
        <v/>
      </c>
      <c r="GT27">
        <f>GT26*IF(OR($C26=97,$G26=97),0,1)</f>
        <v/>
      </c>
      <c r="GU27">
        <f>GU26*IF(OR($C26=98,$G26=98),0,1)</f>
        <v/>
      </c>
      <c r="GV27">
        <f>GV26*IF(OR($C26=99,$G26=99),0,1)</f>
        <v/>
      </c>
      <c r="GW27">
        <f>GW26*IF(OR($C26=100,$G26=100),0,1)</f>
        <v/>
      </c>
      <c r="GX27">
        <f>GX26*IF(OR($C26=101,$G26=101),0,1)</f>
        <v/>
      </c>
      <c r="GY27">
        <f>GY26*IF(OR($C26=102,$G26=102),0,1)</f>
        <v/>
      </c>
      <c r="GZ27">
        <f>GZ26*IF(OR($C26=103,$G26=103),0,1)</f>
        <v/>
      </c>
      <c r="HA27">
        <f>HA26*IF(OR($C26=104,$G26=104),0,1)</f>
        <v/>
      </c>
      <c r="HB27">
        <f>HB26*IF(OR($C26=105,$G26=105),0,1)</f>
        <v/>
      </c>
      <c r="HC27">
        <f>HC26*IF(OR($C26=106,$G26=106),0,1)</f>
        <v/>
      </c>
      <c r="HD27">
        <f>HD26*IF(OR($C26=107,$G26=107),0,1)</f>
        <v/>
      </c>
      <c r="HE27">
        <f>HE26*IF(OR($C26=108,$G26=108),0,1)</f>
        <v/>
      </c>
      <c r="HF27">
        <f>HF26*IF(OR($C26=109,$G26=109),0,1)</f>
        <v/>
      </c>
      <c r="HG27">
        <f>HG26*IF(OR($C26=110,$G26=110),0,1)</f>
        <v/>
      </c>
      <c r="HH27">
        <f>HH26*IF(OR($C26=111,$G26=111),0,1)</f>
        <v/>
      </c>
      <c r="HI27">
        <f>HI26*IF(OR($C26=112,$G26=112),0,1)</f>
        <v/>
      </c>
      <c r="HJ27">
        <f>HJ26*IF(OR($C26=113,$G26=113),0,1)</f>
        <v/>
      </c>
      <c r="HK27">
        <f>HK26*IF(OR($C26=114,$G26=114),0,1)</f>
        <v/>
      </c>
      <c r="HL27">
        <f>HL26*IF(OR($C26=115,$G26=115),0,1)</f>
        <v/>
      </c>
      <c r="HM27">
        <f>HM26*IF(OR($C26=116,$G26=116),0,1)</f>
        <v/>
      </c>
      <c r="HN27">
        <f>HN26*IF(OR($C26=117,$G26=117),0,1)</f>
        <v/>
      </c>
      <c r="HO27">
        <f>HO26*IF(OR($C26=118,$G26=118),0,1)</f>
        <v/>
      </c>
      <c r="HP27">
        <f>HP26*IF(OR($C26=119,$G26=119),0,1)</f>
        <v/>
      </c>
      <c r="HQ27">
        <f>HQ26*IF(OR($C26=120,$G26=120),0,1)</f>
        <v/>
      </c>
      <c r="HR27">
        <f>HR26*IF(OR($C26=121,$G26=121),0,1)</f>
        <v/>
      </c>
      <c r="HS27">
        <f>HS26*IF(OR($C26=122,$G26=122),0,1)</f>
        <v/>
      </c>
      <c r="HT27">
        <f>HT26*IF(OR($C26=123,$G26=123),0,1)</f>
        <v/>
      </c>
      <c r="HU27">
        <f>HU26*IF(OR($C26=124,$G26=124),0,1)</f>
        <v/>
      </c>
      <c r="HV27">
        <f>HV26*IF(OR($C26=125,$G26=125),0,1)</f>
        <v/>
      </c>
      <c r="HW27">
        <f>HW26*IF(OR($C26=126,$G26=126),0,1)</f>
        <v/>
      </c>
      <c r="HX27">
        <f>HX26*IF(OR($C26=127,$G26=127),0,1)</f>
        <v/>
      </c>
      <c r="HY27">
        <f>HY26*IF(OR($C26=128,$G26=128),0,1)</f>
        <v/>
      </c>
      <c r="HZ27">
        <f>HZ26*IF(OR($C26=129,$G26=129),0,1)</f>
        <v/>
      </c>
      <c r="IA27">
        <f>IA26*IF(OR($C26=130,$G26=130),0,1)</f>
        <v/>
      </c>
      <c r="IB27">
        <f>IB26*IF(OR($C26=131,$G26=131),0,1)</f>
        <v/>
      </c>
      <c r="IC27">
        <f>IC26*IF(OR($C26=132,$G26=132),0,1)</f>
        <v/>
      </c>
      <c r="ID27">
        <f>ID26*IF(OR($C26=133,$G26=133),0,1)</f>
        <v/>
      </c>
      <c r="IE27">
        <f>IE26*IF(OR($C26=134,$G26=134),0,1)</f>
        <v/>
      </c>
      <c r="IF27">
        <f>IF26*IF(OR($C26=135,$G26=135),0,1)</f>
        <v/>
      </c>
      <c r="IG27">
        <f>IG26*IF(OR($C26=136,$G26=136),0,1)</f>
        <v/>
      </c>
      <c r="IH27">
        <f>IH26*IF(OR($C26=137,$G26=137),0,1)</f>
        <v/>
      </c>
      <c r="II27">
        <f>II26*IF(OR($C26=138,$G26=138),0,1)</f>
        <v/>
      </c>
      <c r="IJ27">
        <f>IJ26*IF(OR($C26=139,$G26=139),0,1)</f>
        <v/>
      </c>
      <c r="IK27">
        <f>IK26*IF(OR($C26=140,$G26=140),0,1)</f>
        <v/>
      </c>
      <c r="IL27">
        <f>IL26*IF(OR($C26=141,$G26=141),0,1)</f>
        <v/>
      </c>
      <c r="IM27">
        <f>IM26*IF(OR($C26=142,$G26=142),0,1)</f>
        <v/>
      </c>
      <c r="IN27">
        <f>IN26*IF(OR($C26=143,$G26=143),0,1)</f>
        <v/>
      </c>
      <c r="IO27">
        <f>IO26*IF(OR($C26=144,$G26=144),0,1)</f>
        <v/>
      </c>
      <c r="IQ27">
        <f>IF('calcA'!D$106=1,DC27,1)</f>
        <v/>
      </c>
      <c r="IR27">
        <f>IF('calcA'!E$106=1,DD27,1)</f>
        <v/>
      </c>
      <c r="IS27">
        <f>IF('calcA'!F$106=1,DE27,1)</f>
        <v/>
      </c>
      <c r="IT27">
        <f>IF('calcA'!G$106=1,DF27,1)</f>
        <v/>
      </c>
      <c r="IU27">
        <f>IF('calcA'!H$106=1,DG27,1)</f>
        <v/>
      </c>
      <c r="IV27">
        <f>IF('calcA'!I$106=1,DH27,1)</f>
        <v/>
      </c>
      <c r="IW27">
        <f>IF('calcA'!J$106=1,DI27,1)</f>
        <v/>
      </c>
      <c r="IX27">
        <f>IF('calcA'!K$106=1,DJ27,1)</f>
        <v/>
      </c>
      <c r="IY27">
        <f>IF('calcA'!L$106=1,DK27,1)</f>
        <v/>
      </c>
      <c r="IZ27">
        <f>IF('calcA'!M$106=1,DL27,1)</f>
        <v/>
      </c>
      <c r="JA27">
        <f>IF('calcA'!N$106=1,DM27,1)</f>
        <v/>
      </c>
      <c r="JB27">
        <f>IF('calcA'!O$106=1,DN27,1)</f>
        <v/>
      </c>
      <c r="JC27">
        <f>IF('calcA'!P$106=1,DO27,1)</f>
        <v/>
      </c>
      <c r="JD27">
        <f>IF('calcA'!Q$106=1,DP27,1)</f>
        <v/>
      </c>
      <c r="JE27">
        <f>IF('calcA'!R$106=1,DQ27,1)</f>
        <v/>
      </c>
      <c r="JF27">
        <f>IF('calcA'!S$106=1,DR27,1)</f>
        <v/>
      </c>
      <c r="JG27">
        <f>IF('calcA'!T$106=1,DS27,1)</f>
        <v/>
      </c>
      <c r="JH27">
        <f>IF('calcA'!U$106=1,DT27,1)</f>
        <v/>
      </c>
      <c r="JI27">
        <f>IF('calcA'!V$106=1,DU27,1)</f>
        <v/>
      </c>
      <c r="JJ27">
        <f>IF('calcA'!W$106=1,DV27,1)</f>
        <v/>
      </c>
      <c r="JK27">
        <f>IF('calcA'!X$106=1,DW27,1)</f>
        <v/>
      </c>
      <c r="JL27">
        <f>IF('calcA'!Y$106=1,DX27,1)</f>
        <v/>
      </c>
      <c r="JM27">
        <f>IF('calcA'!Z$106=1,DY27,1)</f>
        <v/>
      </c>
      <c r="JN27">
        <f>IF('calcA'!AA$106=1,DZ27,1)</f>
        <v/>
      </c>
      <c r="JO27">
        <f>IF('calcA'!AB$106=1,EA27,1)</f>
        <v/>
      </c>
      <c r="JP27">
        <f>IF('calcA'!AC$106=1,EB27,1)</f>
        <v/>
      </c>
      <c r="JQ27">
        <f>IF('calcA'!AD$106=1,EC27,1)</f>
        <v/>
      </c>
      <c r="JR27">
        <f>IF('calcA'!AE$106=1,ED27,1)</f>
        <v/>
      </c>
      <c r="JS27">
        <f>IF('calcA'!AF$106=1,EE27,1)</f>
        <v/>
      </c>
      <c r="JT27">
        <f>IF('calcA'!AG$106=1,EF27,1)</f>
        <v/>
      </c>
      <c r="JU27">
        <f>IF('calcA'!AH$106=1,EG27,1)</f>
        <v/>
      </c>
      <c r="JV27">
        <f>IF('calcA'!AI$106=1,EH27,1)</f>
        <v/>
      </c>
      <c r="JW27">
        <f>IF('calcA'!AJ$106=1,EI27,1)</f>
        <v/>
      </c>
      <c r="JX27">
        <f>IF('calcA'!AK$106=1,EJ27,1)</f>
        <v/>
      </c>
      <c r="JY27">
        <f>IF('calcA'!AL$106=1,EK27,1)</f>
        <v/>
      </c>
      <c r="JZ27">
        <f>IF('calcA'!AM$106=1,EL27,1)</f>
        <v/>
      </c>
      <c r="KA27">
        <f>IF('calcA'!AN$106=1,EM27,1)</f>
        <v/>
      </c>
      <c r="KB27">
        <f>IF('calcA'!AO$106=1,EN27,1)</f>
        <v/>
      </c>
      <c r="KC27">
        <f>IF('calcA'!AP$106=1,EO27,1)</f>
        <v/>
      </c>
      <c r="KD27">
        <f>IF('calcA'!AQ$106=1,EP27,1)</f>
        <v/>
      </c>
      <c r="KE27">
        <f>IF('calcA'!AR$106=1,EQ27,1)</f>
        <v/>
      </c>
      <c r="KF27">
        <f>IF('calcA'!AS$106=1,ER27,1)</f>
        <v/>
      </c>
      <c r="KG27">
        <f>IF('calcA'!AT$106=1,ES27,1)</f>
        <v/>
      </c>
      <c r="KH27">
        <f>IF('calcA'!AU$106=1,ET27,1)</f>
        <v/>
      </c>
      <c r="KI27">
        <f>IF('calcA'!AV$106=1,EU27,1)</f>
        <v/>
      </c>
      <c r="KJ27">
        <f>IF('calcA'!AW$106=1,EV27,1)</f>
        <v/>
      </c>
      <c r="KK27">
        <f>IF('calcA'!AX$106=1,EW27,1)</f>
        <v/>
      </c>
      <c r="KL27">
        <f>IF('calcA'!AY$106=1,EX27,1)</f>
        <v/>
      </c>
      <c r="KM27">
        <f>IF('calcA'!AZ$106=1,EY27,1)</f>
        <v/>
      </c>
      <c r="KN27">
        <f>IF('calcA'!BA$106=1,EZ27,1)</f>
        <v/>
      </c>
      <c r="KO27">
        <f>IF('calcA'!BB$106=1,FA27,1)</f>
        <v/>
      </c>
      <c r="KP27">
        <f>IF('calcA'!BC$106=1,FB27,1)</f>
        <v/>
      </c>
      <c r="KQ27">
        <f>IF('calcA'!BD$106=1,FC27,1)</f>
        <v/>
      </c>
      <c r="KR27">
        <f>IF('calcA'!BE$106=1,FD27,1)</f>
        <v/>
      </c>
      <c r="KS27">
        <f>IF('calcA'!BF$106=1,FE27,1)</f>
        <v/>
      </c>
      <c r="KT27">
        <f>IF('calcA'!BG$106=1,FF27,1)</f>
        <v/>
      </c>
      <c r="KU27">
        <f>IF('calcA'!BH$106=1,FG27,1)</f>
        <v/>
      </c>
      <c r="KV27">
        <f>IF('calcA'!BI$106=1,FH27,1)</f>
        <v/>
      </c>
      <c r="KW27">
        <f>IF('calcA'!BJ$106=1,FI27,1)</f>
        <v/>
      </c>
      <c r="KX27">
        <f>IF('calcA'!BK$106=1,FJ27,1)</f>
        <v/>
      </c>
      <c r="KY27">
        <f>IF('calcA'!BL$106=1,FK27,1)</f>
        <v/>
      </c>
      <c r="KZ27">
        <f>IF('calcA'!BM$106=1,FL27,1)</f>
        <v/>
      </c>
      <c r="LA27">
        <f>IF('calcA'!BN$106=1,FM27,1)</f>
        <v/>
      </c>
      <c r="LB27">
        <f>IF('calcA'!BO$106=1,FN27,1)</f>
        <v/>
      </c>
      <c r="LC27">
        <f>IF('calcA'!BP$106=1,FO27,1)</f>
        <v/>
      </c>
      <c r="LD27">
        <f>IF('calcA'!BQ$106=1,FP27,1)</f>
        <v/>
      </c>
      <c r="LE27">
        <f>IF('calcA'!BR$106=1,FQ27,1)</f>
        <v/>
      </c>
      <c r="LF27">
        <f>IF('calcA'!BS$106=1,FR27,1)</f>
        <v/>
      </c>
      <c r="LG27">
        <f>IF('calcA'!BT$106=1,FS27,1)</f>
        <v/>
      </c>
      <c r="LH27">
        <f>IF('calcA'!BU$106=1,FT27,1)</f>
        <v/>
      </c>
      <c r="LI27">
        <f>IF('calcA'!BV$106=1,FU27,1)</f>
        <v/>
      </c>
      <c r="LJ27">
        <f>IF('calcA'!BW$106=1,FV27,1)</f>
        <v/>
      </c>
      <c r="LK27">
        <f>IF('calcA'!BX$106=1,FW27,1)</f>
        <v/>
      </c>
      <c r="LL27">
        <f>IF('calcA'!BY$106=1,FX27,1)</f>
        <v/>
      </c>
      <c r="LM27">
        <f>IF('calcA'!BZ$106=1,FY27,1)</f>
        <v/>
      </c>
      <c r="LN27">
        <f>IF('calcA'!CA$106=1,FZ27,1)</f>
        <v/>
      </c>
      <c r="LO27">
        <f>IF('calcA'!CB$106=1,GA27,1)</f>
        <v/>
      </c>
      <c r="LP27">
        <f>IF('calcA'!CC$106=1,GB27,1)</f>
        <v/>
      </c>
      <c r="LQ27">
        <f>IF('calcA'!CD$106=1,GC27,1)</f>
        <v/>
      </c>
      <c r="LR27">
        <f>IF('calcA'!CE$106=1,GD27,1)</f>
        <v/>
      </c>
      <c r="LS27">
        <f>IF('calcA'!CF$106=1,GE27,1)</f>
        <v/>
      </c>
      <c r="LT27">
        <f>IF('calcA'!CG$106=1,GF27,1)</f>
        <v/>
      </c>
      <c r="LU27">
        <f>IF('calcA'!CH$106=1,GG27,1)</f>
        <v/>
      </c>
      <c r="LV27">
        <f>IF('calcA'!CI$106=1,GH27,1)</f>
        <v/>
      </c>
      <c r="LW27">
        <f>IF('calcA'!CJ$106=1,GI27,1)</f>
        <v/>
      </c>
      <c r="LX27">
        <f>IF('calcA'!CK$106=1,GJ27,1)</f>
        <v/>
      </c>
      <c r="LY27">
        <f>IF('calcA'!CL$106=1,GK27,1)</f>
        <v/>
      </c>
      <c r="LZ27">
        <f>IF('calcA'!CM$106=1,GL27,1)</f>
        <v/>
      </c>
      <c r="MA27">
        <f>IF('calcA'!CN$106=1,GM27,1)</f>
        <v/>
      </c>
      <c r="MB27">
        <f>IF('calcA'!CO$106=1,GN27,1)</f>
        <v/>
      </c>
      <c r="MC27">
        <f>IF('calcA'!CP$106=1,GO27,1)</f>
        <v/>
      </c>
      <c r="MD27">
        <f>IF('calcA'!CQ$106=1,GP27,1)</f>
        <v/>
      </c>
      <c r="ME27">
        <f>IF('calcA'!CR$106=1,GQ27,1)</f>
        <v/>
      </c>
      <c r="MF27">
        <f>IF('calcA'!CS$106=1,GR27,1)</f>
        <v/>
      </c>
      <c r="MG27">
        <f>IF('calcA'!CT$106=1,GS27,1)</f>
        <v/>
      </c>
      <c r="MH27">
        <f>IF('calcA'!CU$106=1,GT27,1)</f>
        <v/>
      </c>
      <c r="MI27">
        <f>IF('calcA'!CV$106=1,GU27,1)</f>
        <v/>
      </c>
      <c r="MJ27">
        <f>IF('calcA'!CW$106=1,GV27,1)</f>
        <v/>
      </c>
      <c r="MK27">
        <f>IF('calcA'!CX$106=1,GW27,1)</f>
        <v/>
      </c>
      <c r="ML27">
        <f>IF('calcA'!CY$106=1,GX27,1)</f>
        <v/>
      </c>
      <c r="MM27">
        <f>IF('calcA'!CZ$106=1,GY27,1)</f>
        <v/>
      </c>
      <c r="MN27">
        <f>IF('calcA'!DA$106=1,GZ27,1)</f>
        <v/>
      </c>
      <c r="MO27">
        <f>IF('calcA'!DB$106=1,HA27,1)</f>
        <v/>
      </c>
      <c r="MP27">
        <f>IF('calcA'!DC$106=1,HB27,1)</f>
        <v/>
      </c>
      <c r="MQ27">
        <f>IF('calcA'!DD$106=1,HC27,1)</f>
        <v/>
      </c>
      <c r="MR27">
        <f>IF('calcA'!DE$106=1,HD27,1)</f>
        <v/>
      </c>
      <c r="MS27">
        <f>IF('calcA'!DF$106=1,HE27,1)</f>
        <v/>
      </c>
      <c r="MT27">
        <f>IF('calcA'!DG$106=1,HF27,1)</f>
        <v/>
      </c>
      <c r="MU27">
        <f>IF('calcA'!DH$106=1,HG27,1)</f>
        <v/>
      </c>
      <c r="MV27">
        <f>IF('calcA'!DI$106=1,HH27,1)</f>
        <v/>
      </c>
      <c r="MW27">
        <f>IF('calcA'!DJ$106=1,HI27,1)</f>
        <v/>
      </c>
      <c r="MX27">
        <f>IF('calcA'!DK$106=1,HJ27,1)</f>
        <v/>
      </c>
      <c r="MY27">
        <f>IF('calcA'!DL$106=1,HK27,1)</f>
        <v/>
      </c>
      <c r="MZ27">
        <f>IF('calcA'!DM$106=1,HL27,1)</f>
        <v/>
      </c>
      <c r="NA27">
        <f>IF('calcA'!DN$106=1,HM27,1)</f>
        <v/>
      </c>
      <c r="NB27">
        <f>IF('calcA'!DO$106=1,HN27,1)</f>
        <v/>
      </c>
      <c r="NC27">
        <f>IF('calcA'!DP$106=1,HO27,1)</f>
        <v/>
      </c>
      <c r="ND27">
        <f>IF('calcA'!DQ$106=1,HP27,1)</f>
        <v/>
      </c>
      <c r="NE27">
        <f>IF('calcA'!DR$106=1,HQ27,1)</f>
        <v/>
      </c>
      <c r="NF27">
        <f>IF('calcA'!DS$106=1,HR27,1)</f>
        <v/>
      </c>
      <c r="NG27">
        <f>IF('calcA'!DT$106=1,HS27,1)</f>
        <v/>
      </c>
      <c r="NH27">
        <f>IF('calcA'!DU$106=1,HT27,1)</f>
        <v/>
      </c>
      <c r="NI27">
        <f>IF('calcA'!DV$106=1,HU27,1)</f>
        <v/>
      </c>
      <c r="NJ27">
        <f>IF('calcA'!DW$106=1,HV27,1)</f>
        <v/>
      </c>
      <c r="NK27">
        <f>IF('calcA'!DX$106=1,HW27,1)</f>
        <v/>
      </c>
      <c r="NL27">
        <f>IF('calcA'!DY$106=1,HX27,1)</f>
        <v/>
      </c>
      <c r="NM27">
        <f>IF('calcA'!DZ$106=1,HY27,1)</f>
        <v/>
      </c>
      <c r="NN27">
        <f>IF('calcA'!EA$106=1,HZ27,1)</f>
        <v/>
      </c>
      <c r="NO27">
        <f>IF('calcA'!EB$106=1,IA27,1)</f>
        <v/>
      </c>
      <c r="NP27">
        <f>IF('calcA'!EC$106=1,IB27,1)</f>
        <v/>
      </c>
      <c r="NQ27">
        <f>IF('calcA'!ED$106=1,IC27,1)</f>
        <v/>
      </c>
      <c r="NR27">
        <f>IF('calcA'!EE$106=1,ID27,1)</f>
        <v/>
      </c>
      <c r="NS27">
        <f>IF('calcA'!EF$106=1,IE27,1)</f>
        <v/>
      </c>
      <c r="NT27">
        <f>IF('calcA'!EG$106=1,IF27,1)</f>
        <v/>
      </c>
      <c r="NU27">
        <f>IF('calcA'!EH$106=1,IG27,1)</f>
        <v/>
      </c>
      <c r="NV27">
        <f>IF('calcA'!EI$106=1,IH27,1)</f>
        <v/>
      </c>
      <c r="NW27">
        <f>IF('calcA'!EJ$106=1,II27,1)</f>
        <v/>
      </c>
      <c r="NX27">
        <f>IF('calcA'!EK$106=1,IJ27,1)</f>
        <v/>
      </c>
      <c r="NY27">
        <f>IF('calcA'!EL$106=1,IK27,1)</f>
        <v/>
      </c>
      <c r="NZ27">
        <f>IF('calcA'!EM$106=1,IL27,1)</f>
        <v/>
      </c>
      <c r="OA27">
        <f>IF('calcA'!EN$106=1,IM27,1)</f>
        <v/>
      </c>
      <c r="OB27">
        <f>IF('calcA'!EO$106=1,IN27,1)</f>
        <v/>
      </c>
      <c r="OC27">
        <f>IF('calcA'!EP$106=1,IO27,1)</f>
        <v/>
      </c>
      <c r="OD27" t="n">
        <v>1</v>
      </c>
      <c r="OF27">
        <f>IF($B27=0,1000000000,IF(INDEX('calcA'!$D$60:$EQ$99,$B27,1)*IF($W27=1,DB27+ZQ27,DB27)=1,IF(AND($E27=2,IF($W27=1,AFF27,IQ27)=0),1000000000,IF($V27=1,INDEX('calcA'!$D$130:$EQ$169,$B27,1)+IF(AND($E27=1,IQ27=0),25,0),INDEX('calcA'!D$110:D$114,$F27+1)+IF(AND($E27=1,IQ27=0),1000,0)+IF($H27=1,INDEX('calcA'!$D$180:$EQ$219,$B27,1)*500,0)-IF(AND($U27=1,'calcA'!D$117=1,DC27=0),300,0))),1000000000))</f>
        <v/>
      </c>
      <c r="OG27">
        <f>IF($B27=0,1000000000,IF(INDEX('calcA'!$D$60:$EQ$99,$B27,2)*IF($W27=1,DC27+ZR27,DC27)=1,IF(AND($E27=2,IF($W27=1,AFG27,IR27)=0),1000000000,IF($V27=1,INDEX('calcA'!$D$130:$EQ$169,$B27,2)+IF(AND($E27=1,IR27=0),25,0),INDEX('calcA'!E$110:E$114,$F27+1)+IF(AND($E27=1,IR27=0),1000,0)+IF($H27=1,INDEX('calcA'!$D$180:$EQ$219,$B27,2)*500,0)-IF(AND('calcA'!D$117=1,UB27&gt;0),300,0)-IF(AND($U27=1,'calcA'!E$117=1,DD27=0),300,0))),1000000000))</f>
        <v/>
      </c>
      <c r="OH27">
        <f>IF($B27=0,1000000000,IF(INDEX('calcA'!$D$60:$EQ$99,$B27,3)*IF($W27=1,DD27+ZS27,DD27)=1,IF(AND($E27=2,IF($W27=1,AFH27,IS27)=0),1000000000,IF($V27=1,INDEX('calcA'!$D$130:$EQ$169,$B27,3)+IF(AND($E27=1,IS27=0),25,0),INDEX('calcA'!F$110:F$114,$F27+1)+IF(AND($E27=1,IS27=0),1000,0)+IF($H27=1,INDEX('calcA'!$D$180:$EQ$219,$B27,3)*500,0)-IF(AND('calcA'!E$117=1,UC27&gt;0),300,0)-IF(AND($U27=1,'calcA'!F$117=1,DE27=0),300,0))),1000000000))</f>
        <v/>
      </c>
      <c r="OI27">
        <f>IF($B27=0,1000000000,IF(INDEX('calcA'!$D$60:$EQ$99,$B27,4)*IF($W27=1,DE27+ZT27,DE27)=1,IF(AND($E27=2,IF($W27=1,AFI27,IT27)=0),1000000000,IF($V27=1,INDEX('calcA'!$D$130:$EQ$169,$B27,4)+IF(AND($E27=1,IT27=0),25,0),INDEX('calcA'!G$110:G$114,$F27+1)+IF(AND($E27=1,IT27=0),1000,0)+IF($H27=1,INDEX('calcA'!$D$180:$EQ$219,$B27,4)*500,0)-IF(AND('calcA'!F$117=1,UD27&gt;0),300,0)-IF(AND($U27=1,'calcA'!G$117=1,DF27=0),300,0))),1000000000))</f>
        <v/>
      </c>
      <c r="OJ27">
        <f>IF($B27=0,1000000000,IF(INDEX('calcA'!$D$60:$EQ$99,$B27,5)*IF($W27=1,DF27+ZU27,DF27)=1,IF(AND($E27=2,IF($W27=1,AFJ27,IU27)=0),1000000000,IF($V27=1,INDEX('calcA'!$D$130:$EQ$169,$B27,5)+IF(AND($E27=1,IU27=0),25,0),INDEX('calcA'!H$110:H$114,$F27+1)+IF(AND($E27=1,IU27=0),1000,0)+IF($H27=1,INDEX('calcA'!$D$180:$EQ$219,$B27,5)*500,0)-IF(AND('calcA'!G$117=1,UE27&gt;0),300,0)-IF(AND($U27=1,'calcA'!H$117=1,DG27=0),300,0))),1000000000))</f>
        <v/>
      </c>
      <c r="OK27">
        <f>IF($B27=0,1000000000,IF(INDEX('calcA'!$D$60:$EQ$99,$B27,6)*IF($W27=1,DG27+ZV27,DG27)=1,IF(AND($E27=2,IF($W27=1,AFK27,IV27)=0),1000000000,IF($V27=1,INDEX('calcA'!$D$130:$EQ$169,$B27,6)+IF(AND($E27=1,IV27=0),25,0),INDEX('calcA'!I$110:I$114,$F27+1)+IF(AND($E27=1,IV27=0),1000,0)+IF($H27=1,INDEX('calcA'!$D$180:$EQ$219,$B27,6)*500,0)-IF(AND('calcA'!H$117=1,UF27&gt;0),300,0)-IF(AND($U27=1,'calcA'!I$117=1,DH27=0),300,0))),1000000000))</f>
        <v/>
      </c>
      <c r="OL27">
        <f>IF($B27=0,1000000000,IF(INDEX('calcA'!$D$60:$EQ$99,$B27,7)*IF($W27=1,DH27+ZW27,DH27)=1,IF(AND($E27=2,IF($W27=1,AFL27,IW27)=0),1000000000,IF($V27=1,INDEX('calcA'!$D$130:$EQ$169,$B27,7)+IF(AND($E27=1,IW27=0),25,0),INDEX('calcA'!J$110:J$114,$F27+1)+IF(AND($E27=1,IW27=0),1000,0)+IF($H27=1,INDEX('calcA'!$D$180:$EQ$219,$B27,7)*500,0)-IF(AND('calcA'!I$117=1,UG27&gt;0),300,0)-IF(AND($U27=1,'calcA'!J$117=1,DI27=0),300,0))),1000000000))</f>
        <v/>
      </c>
      <c r="OM27">
        <f>IF($B27=0,1000000000,IF(INDEX('calcA'!$D$60:$EQ$99,$B27,8)*IF($W27=1,DI27+ZX27,DI27)=1,IF(AND($E27=2,IF($W27=1,AFM27,IX27)=0),1000000000,IF($V27=1,INDEX('calcA'!$D$130:$EQ$169,$B27,8)+IF(AND($E27=1,IX27=0),25,0),INDEX('calcA'!K$110:K$114,$F27+1)+IF(AND($E27=1,IX27=0),1000,0)+IF($H27=1,INDEX('calcA'!$D$180:$EQ$219,$B27,8)*500,0)-IF(AND('calcA'!J$117=1,UH27&gt;0),300,0)-IF(AND($U27=1,'calcA'!K$117=1,DJ27=0),300,0))),1000000000))</f>
        <v/>
      </c>
      <c r="ON27">
        <f>IF($B27=0,1000000000,IF(INDEX('calcA'!$D$60:$EQ$99,$B27,9)*IF($W27=1,DJ27+ZY27,DJ27)=1,IF(AND($E27=2,IF($W27=1,AFN27,IY27)=0),1000000000,IF($V27=1,INDEX('calcA'!$D$130:$EQ$169,$B27,9)+IF(AND($E27=1,IY27=0),25,0),INDEX('calcA'!L$110:L$114,$F27+1)+IF(AND($E27=1,IY27=0),1000,0)+IF($H27=1,INDEX('calcA'!$D$180:$EQ$219,$B27,9)*500,0)-IF(AND('calcA'!K$117=1,UI27&gt;0),300,0)-IF(AND($U27=1,'calcA'!L$117=1,DK27=0),300,0))),1000000000))</f>
        <v/>
      </c>
      <c r="OO27">
        <f>IF($B27=0,1000000000,IF(INDEX('calcA'!$D$60:$EQ$99,$B27,10)*IF($W27=1,DK27+ZZ27,DK27)=1,IF(AND($E27=2,IF($W27=1,AFO27,IZ27)=0),1000000000,IF($V27=1,INDEX('calcA'!$D$130:$EQ$169,$B27,10)+IF(AND($E27=1,IZ27=0),25,0),INDEX('calcA'!M$110:M$114,$F27+1)+IF(AND($E27=1,IZ27=0),1000,0)+IF($H27=1,INDEX('calcA'!$D$180:$EQ$219,$B27,10)*500,0)-IF(AND('calcA'!L$117=1,UJ27&gt;0),300,0)-IF(AND($U27=1,'calcA'!M$117=1,DL27=0),300,0))),1000000000))</f>
        <v/>
      </c>
      <c r="OP27">
        <f>IF($B27=0,1000000000,IF(INDEX('calcA'!$D$60:$EQ$99,$B27,11)*IF($W27=1,DL27+AAA27,DL27)=1,IF(AND($E27=2,IF($W27=1,AFP27,JA27)=0),1000000000,IF($V27=1,INDEX('calcA'!$D$130:$EQ$169,$B27,11)+IF(AND($E27=1,JA27=0),25,0),INDEX('calcA'!N$110:N$114,$F27+1)+IF(AND($E27=1,JA27=0),1000,0)+IF($H27=1,INDEX('calcA'!$D$180:$EQ$219,$B27,11)*500,0)-IF(AND('calcA'!M$117=1,UK27&gt;0),300,0)-IF(AND($U27=1,'calcA'!N$117=1,DM27=0),300,0))),1000000000))</f>
        <v/>
      </c>
      <c r="OQ27">
        <f>IF($B27=0,1000000000,IF(INDEX('calcA'!$D$60:$EQ$99,$B27,12)*IF($W27=1,DM27+AAB27,DM27)=1,IF(AND($E27=2,IF($W27=1,AFQ27,JB27)=0),1000000000,IF($V27=1,INDEX('calcA'!$D$130:$EQ$169,$B27,12)+IF(AND($E27=1,JB27=0),25,0),INDEX('calcA'!O$110:O$114,$F27+1)+IF(AND($E27=1,JB27=0),1000,0)+IF($H27=1,INDEX('calcA'!$D$180:$EQ$219,$B27,12)*500,0)-IF(AND('calcA'!N$117=1,UL27&gt;0),300,0)-IF(AND($U27=1,'calcA'!O$117=1,DN27=0),300,0))),1000000000))</f>
        <v/>
      </c>
      <c r="OR27">
        <f>IF($B27=0,1000000000,IF(INDEX('calcA'!$D$60:$EQ$99,$B27,13)*IF($W27=1,DN27+AAC27,DN27)=1,IF(AND($E27=2,IF($W27=1,AFR27,JC27)=0),1000000000,IF($V27=1,INDEX('calcA'!$D$130:$EQ$169,$B27,13)+IF(AND($E27=1,JC27=0),25,0),INDEX('calcA'!P$110:P$114,$F27+1)+IF(AND($E27=1,JC27=0),1000,0)+IF($H27=1,INDEX('calcA'!$D$180:$EQ$219,$B27,13)*500,0)-IF(AND('calcA'!O$117=1,UM27&gt;0),300,0)-IF(AND($U27=1,'calcA'!P$117=1,DO27=0),300,0))),1000000000))</f>
        <v/>
      </c>
      <c r="OS27">
        <f>IF($B27=0,1000000000,IF(INDEX('calcA'!$D$60:$EQ$99,$B27,14)*IF($W27=1,DO27+AAD27,DO27)=1,IF(AND($E27=2,IF($W27=1,AFS27,JD27)=0),1000000000,IF($V27=1,INDEX('calcA'!$D$130:$EQ$169,$B27,14)+IF(AND($E27=1,JD27=0),25,0),INDEX('calcA'!Q$110:Q$114,$F27+1)+IF(AND($E27=1,JD27=0),1000,0)+IF($H27=1,INDEX('calcA'!$D$180:$EQ$219,$B27,14)*500,0)-IF(AND('calcA'!P$117=1,UN27&gt;0),300,0)-IF(AND($U27=1,'calcA'!Q$117=1,DP27=0),300,0))),1000000000))</f>
        <v/>
      </c>
      <c r="OT27">
        <f>IF($B27=0,1000000000,IF(INDEX('calcA'!$D$60:$EQ$99,$B27,15)*IF($W27=1,DP27+AAE27,DP27)=1,IF(AND($E27=2,IF($W27=1,AFT27,JE27)=0),1000000000,IF($V27=1,INDEX('calcA'!$D$130:$EQ$169,$B27,15)+IF(AND($E27=1,JE27=0),25,0),INDEX('calcA'!R$110:R$114,$F27+1)+IF(AND($E27=1,JE27=0),1000,0)+IF($H27=1,INDEX('calcA'!$D$180:$EQ$219,$B27,15)*500,0)-IF(AND('calcA'!Q$117=1,UO27&gt;0),300,0)-IF(AND($U27=1,'calcA'!R$117=1,DQ27=0),300,0))),1000000000))</f>
        <v/>
      </c>
      <c r="OU27">
        <f>IF($B27=0,1000000000,IF(INDEX('calcA'!$D$60:$EQ$99,$B27,16)*IF($W27=1,DQ27+AAF27,DQ27)=1,IF(AND($E27=2,IF($W27=1,AFU27,JF27)=0),1000000000,IF($V27=1,INDEX('calcA'!$D$130:$EQ$169,$B27,16)+IF(AND($E27=1,JF27=0),25,0),INDEX('calcA'!S$110:S$114,$F27+1)+IF(AND($E27=1,JF27=0),1000,0)+IF($H27=1,INDEX('calcA'!$D$180:$EQ$219,$B27,16)*500,0)-IF(AND('calcA'!R$117=1,UP27&gt;0),300,0)-IF(AND($U27=1,'calcA'!S$117=1,DR27=0),300,0))),1000000000))</f>
        <v/>
      </c>
      <c r="OV27">
        <f>IF($B27=0,1000000000,IF(INDEX('calcA'!$D$60:$EQ$99,$B27,17)*IF($W27=1,DR27+AAG27,DR27)=1,IF(AND($E27=2,IF($W27=1,AFV27,JG27)=0),1000000000,IF($V27=1,INDEX('calcA'!$D$130:$EQ$169,$B27,17)+IF(AND($E27=1,JG27=0),25,0),INDEX('calcA'!T$110:T$114,$F27+1)+IF(AND($E27=1,JG27=0),1000,0)+IF($H27=1,INDEX('calcA'!$D$180:$EQ$219,$B27,17)*500,0)-IF(AND('calcA'!S$117=1,UQ27&gt;0),300,0)-IF(AND($U27=1,'calcA'!T$117=1,DS27=0),300,0))),1000000000))</f>
        <v/>
      </c>
      <c r="OW27">
        <f>IF($B27=0,1000000000,IF(INDEX('calcA'!$D$60:$EQ$99,$B27,18)*IF($W27=1,DS27+AAH27,DS27)=1,IF(AND($E27=2,IF($W27=1,AFW27,JH27)=0),1000000000,IF($V27=1,INDEX('calcA'!$D$130:$EQ$169,$B27,18)+IF(AND($E27=1,JH27=0),25,0),INDEX('calcA'!U$110:U$114,$F27+1)+IF(AND($E27=1,JH27=0),1000,0)+IF($H27=1,INDEX('calcA'!$D$180:$EQ$219,$B27,18)*500,0)-IF(AND('calcA'!T$117=1,UR27&gt;0),300,0)-IF(AND($U27=1,'calcA'!U$117=1,DT27=0),300,0))),1000000000))</f>
        <v/>
      </c>
      <c r="OX27">
        <f>IF($B27=0,1000000000,IF(INDEX('calcA'!$D$60:$EQ$99,$B27,19)*IF($W27=1,DT27+AAI27,DT27)=1,IF(AND($E27=2,IF($W27=1,AFX27,JI27)=0),1000000000,IF($V27=1,INDEX('calcA'!$D$130:$EQ$169,$B27,19)+IF(AND($E27=1,JI27=0),25,0),INDEX('calcA'!V$110:V$114,$F27+1)+IF(AND($E27=1,JI27=0),1000,0)+IF($H27=1,INDEX('calcA'!$D$180:$EQ$219,$B27,19)*500,0)-IF(AND('calcA'!U$117=1,US27&gt;0),300,0)-IF(AND($U27=1,'calcA'!V$117=1,DU27=0),300,0))),1000000000))</f>
        <v/>
      </c>
      <c r="OY27">
        <f>IF($B27=0,1000000000,IF(INDEX('calcA'!$D$60:$EQ$99,$B27,20)*IF($W27=1,DU27+AAJ27,DU27)=1,IF(AND($E27=2,IF($W27=1,AFY27,JJ27)=0),1000000000,IF($V27=1,INDEX('calcA'!$D$130:$EQ$169,$B27,20)+IF(AND($E27=1,JJ27=0),25,0),INDEX('calcA'!W$110:W$114,$F27+1)+IF(AND($E27=1,JJ27=0),1000,0)+IF($H27=1,INDEX('calcA'!$D$180:$EQ$219,$B27,20)*500,0)-IF(AND('calcA'!V$117=1,UT27&gt;0),300,0)-IF(AND($U27=1,'calcA'!W$117=1,DV27=0),300,0))),1000000000))</f>
        <v/>
      </c>
      <c r="OZ27">
        <f>IF($B27=0,1000000000,IF(INDEX('calcA'!$D$60:$EQ$99,$B27,21)*IF($W27=1,DV27+AAK27,DV27)=1,IF(AND($E27=2,IF($W27=1,AFZ27,JK27)=0),1000000000,IF($V27=1,INDEX('calcA'!$D$130:$EQ$169,$B27,21)+IF(AND($E27=1,JK27=0),25,0),INDEX('calcA'!X$110:X$114,$F27+1)+IF(AND($E27=1,JK27=0),1000,0)+IF($H27=1,INDEX('calcA'!$D$180:$EQ$219,$B27,21)*500,0)-IF(AND('calcA'!W$117=1,UU27&gt;0),300,0)-IF(AND($U27=1,'calcA'!X$117=1,DW27=0),300,0))),1000000000))</f>
        <v/>
      </c>
      <c r="PA27">
        <f>IF($B27=0,1000000000,IF(INDEX('calcA'!$D$60:$EQ$99,$B27,22)*IF($W27=1,DW27+AAL27,DW27)=1,IF(AND($E27=2,IF($W27=1,AGA27,JL27)=0),1000000000,IF($V27=1,INDEX('calcA'!$D$130:$EQ$169,$B27,22)+IF(AND($E27=1,JL27=0),25,0),INDEX('calcA'!Y$110:Y$114,$F27+1)+IF(AND($E27=1,JL27=0),1000,0)+IF($H27=1,INDEX('calcA'!$D$180:$EQ$219,$B27,22)*500,0)-IF(AND('calcA'!X$117=1,UV27&gt;0),300,0)-IF(AND($U27=1,'calcA'!Y$117=1,DX27=0),300,0))),1000000000))</f>
        <v/>
      </c>
      <c r="PB27">
        <f>IF($B27=0,1000000000,IF(INDEX('calcA'!$D$60:$EQ$99,$B27,23)*IF($W27=1,DX27+AAM27,DX27)=1,IF(AND($E27=2,IF($W27=1,AGB27,JM27)=0),1000000000,IF($V27=1,INDEX('calcA'!$D$130:$EQ$169,$B27,23)+IF(AND($E27=1,JM27=0),25,0),INDEX('calcA'!Z$110:Z$114,$F27+1)+IF(AND($E27=1,JM27=0),1000,0)+IF($H27=1,INDEX('calcA'!$D$180:$EQ$219,$B27,23)*500,0)-IF(AND('calcA'!Y$117=1,UW27&gt;0),300,0)-IF(AND($U27=1,'calcA'!Z$117=1,DY27=0),300,0))),1000000000))</f>
        <v/>
      </c>
      <c r="PC27">
        <f>IF($B27=0,1000000000,IF(INDEX('calcA'!$D$60:$EQ$99,$B27,24)*IF($W27=1,DY27+AAN27,DY27)=1,IF(AND($E27=2,IF($W27=1,AGC27,JN27)=0),1000000000,IF($V27=1,INDEX('calcA'!$D$130:$EQ$169,$B27,24)+IF(AND($E27=1,JN27=0),25,0),INDEX('calcA'!AA$110:AA$114,$F27+1)+IF(AND($E27=1,JN27=0),1000,0)+IF($H27=1,INDEX('calcA'!$D$180:$EQ$219,$B27,24)*500,0)-IF(AND('calcA'!Z$117=1,UX27&gt;0),300,0))),1000000000))</f>
        <v/>
      </c>
      <c r="PD27">
        <f>IF($B27=0,1000000000,IF(INDEX('calcA'!$D$60:$EQ$99,$B27,25)*IF($W27=1,DZ27+AAO27,DZ27)=1,IF(AND($E27=2,IF($W27=1,AGD27,JO27)=0),1000000000,IF($V27=1,INDEX('calcA'!$D$130:$EQ$169,$B27,25)+IF(AND($E27=1,JO27=0),25,0),INDEX('calcA'!AB$110:AB$114,$F27+1)+IF(AND($E27=1,JO27=0),1000,0)+IF($H27=1,INDEX('calcA'!$D$180:$EQ$219,$B27,25)*500,0)-IF(AND($U27=1,'calcA'!AB$117=1,EA27=0),300,0))),1000000000))</f>
        <v/>
      </c>
      <c r="PE27">
        <f>IF($B27=0,1000000000,IF(INDEX('calcA'!$D$60:$EQ$99,$B27,26)*IF($W27=1,EA27+AAP27,EA27)=1,IF(AND($E27=2,IF($W27=1,AGE27,JP27)=0),1000000000,IF($V27=1,INDEX('calcA'!$D$130:$EQ$169,$B27,26)+IF(AND($E27=1,JP27=0),25,0),INDEX('calcA'!AC$110:AC$114,$F27+1)+IF(AND($E27=1,JP27=0),1000,0)+IF($H27=1,INDEX('calcA'!$D$180:$EQ$219,$B27,26)*500,0)-IF(AND('calcA'!AB$117=1,UZ27&gt;0),300,0)-IF(AND($U27=1,'calcA'!AC$117=1,EB27=0),300,0))),1000000000))</f>
        <v/>
      </c>
      <c r="PF27">
        <f>IF($B27=0,1000000000,IF(INDEX('calcA'!$D$60:$EQ$99,$B27,27)*IF($W27=1,EB27+AAQ27,EB27)=1,IF(AND($E27=2,IF($W27=1,AGF27,JQ27)=0),1000000000,IF($V27=1,INDEX('calcA'!$D$130:$EQ$169,$B27,27)+IF(AND($E27=1,JQ27=0),25,0),INDEX('calcA'!AD$110:AD$114,$F27+1)+IF(AND($E27=1,JQ27=0),1000,0)+IF($H27=1,INDEX('calcA'!$D$180:$EQ$219,$B27,27)*500,0)-IF(AND('calcA'!AC$117=1,VA27&gt;0),300,0)-IF(AND($U27=1,'calcA'!AD$117=1,EC27=0),300,0))),1000000000))</f>
        <v/>
      </c>
      <c r="PG27">
        <f>IF($B27=0,1000000000,IF(INDEX('calcA'!$D$60:$EQ$99,$B27,28)*IF($W27=1,EC27+AAR27,EC27)=1,IF(AND($E27=2,IF($W27=1,AGG27,JR27)=0),1000000000,IF($V27=1,INDEX('calcA'!$D$130:$EQ$169,$B27,28)+IF(AND($E27=1,JR27=0),25,0),INDEX('calcA'!AE$110:AE$114,$F27+1)+IF(AND($E27=1,JR27=0),1000,0)+IF($H27=1,INDEX('calcA'!$D$180:$EQ$219,$B27,28)*500,0)-IF(AND('calcA'!AD$117=1,VB27&gt;0),300,0)-IF(AND($U27=1,'calcA'!AE$117=1,ED27=0),300,0))),1000000000))</f>
        <v/>
      </c>
      <c r="PH27">
        <f>IF($B27=0,1000000000,IF(INDEX('calcA'!$D$60:$EQ$99,$B27,29)*IF($W27=1,ED27+AAS27,ED27)=1,IF(AND($E27=2,IF($W27=1,AGH27,JS27)=0),1000000000,IF($V27=1,INDEX('calcA'!$D$130:$EQ$169,$B27,29)+IF(AND($E27=1,JS27=0),25,0),INDEX('calcA'!AF$110:AF$114,$F27+1)+IF(AND($E27=1,JS27=0),1000,0)+IF($H27=1,INDEX('calcA'!$D$180:$EQ$219,$B27,29)*500,0)-IF(AND('calcA'!AE$117=1,VC27&gt;0),300,0)-IF(AND($U27=1,'calcA'!AF$117=1,EE27=0),300,0))),1000000000))</f>
        <v/>
      </c>
      <c r="PI27">
        <f>IF($B27=0,1000000000,IF(INDEX('calcA'!$D$60:$EQ$99,$B27,30)*IF($W27=1,EE27+AAT27,EE27)=1,IF(AND($E27=2,IF($W27=1,AGI27,JT27)=0),1000000000,IF($V27=1,INDEX('calcA'!$D$130:$EQ$169,$B27,30)+IF(AND($E27=1,JT27=0),25,0),INDEX('calcA'!AG$110:AG$114,$F27+1)+IF(AND($E27=1,JT27=0),1000,0)+IF($H27=1,INDEX('calcA'!$D$180:$EQ$219,$B27,30)*500,0)-IF(AND('calcA'!AF$117=1,VD27&gt;0),300,0)-IF(AND($U27=1,'calcA'!AG$117=1,EF27=0),300,0))),1000000000))</f>
        <v/>
      </c>
      <c r="PJ27">
        <f>IF($B27=0,1000000000,IF(INDEX('calcA'!$D$60:$EQ$99,$B27,31)*IF($W27=1,EF27+AAU27,EF27)=1,IF(AND($E27=2,IF($W27=1,AGJ27,JU27)=0),1000000000,IF($V27=1,INDEX('calcA'!$D$130:$EQ$169,$B27,31)+IF(AND($E27=1,JU27=0),25,0),INDEX('calcA'!AH$110:AH$114,$F27+1)+IF(AND($E27=1,JU27=0),1000,0)+IF($H27=1,INDEX('calcA'!$D$180:$EQ$219,$B27,31)*500,0)-IF(AND('calcA'!AG$117=1,VE27&gt;0),300,0)-IF(AND($U27=1,'calcA'!AH$117=1,EG27=0),300,0))),1000000000))</f>
        <v/>
      </c>
      <c r="PK27">
        <f>IF($B27=0,1000000000,IF(INDEX('calcA'!$D$60:$EQ$99,$B27,32)*IF($W27=1,EG27+AAV27,EG27)=1,IF(AND($E27=2,IF($W27=1,AGK27,JV27)=0),1000000000,IF($V27=1,INDEX('calcA'!$D$130:$EQ$169,$B27,32)+IF(AND($E27=1,JV27=0),25,0),INDEX('calcA'!AI$110:AI$114,$F27+1)+IF(AND($E27=1,JV27=0),1000,0)+IF($H27=1,INDEX('calcA'!$D$180:$EQ$219,$B27,32)*500,0)-IF(AND('calcA'!AH$117=1,VF27&gt;0),300,0)-IF(AND($U27=1,'calcA'!AI$117=1,EH27=0),300,0))),1000000000))</f>
        <v/>
      </c>
      <c r="PL27">
        <f>IF($B27=0,1000000000,IF(INDEX('calcA'!$D$60:$EQ$99,$B27,33)*IF($W27=1,EH27+AAW27,EH27)=1,IF(AND($E27=2,IF($W27=1,AGL27,JW27)=0),1000000000,IF($V27=1,INDEX('calcA'!$D$130:$EQ$169,$B27,33)+IF(AND($E27=1,JW27=0),25,0),INDEX('calcA'!AJ$110:AJ$114,$F27+1)+IF(AND($E27=1,JW27=0),1000,0)+IF($H27=1,INDEX('calcA'!$D$180:$EQ$219,$B27,33)*500,0)-IF(AND('calcA'!AI$117=1,VG27&gt;0),300,0)-IF(AND($U27=1,'calcA'!AJ$117=1,EI27=0),300,0))),1000000000))</f>
        <v/>
      </c>
      <c r="PM27">
        <f>IF($B27=0,1000000000,IF(INDEX('calcA'!$D$60:$EQ$99,$B27,34)*IF($W27=1,EI27+AAX27,EI27)=1,IF(AND($E27=2,IF($W27=1,AGM27,JX27)=0),1000000000,IF($V27=1,INDEX('calcA'!$D$130:$EQ$169,$B27,34)+IF(AND($E27=1,JX27=0),25,0),INDEX('calcA'!AK$110:AK$114,$F27+1)+IF(AND($E27=1,JX27=0),1000,0)+IF($H27=1,INDEX('calcA'!$D$180:$EQ$219,$B27,34)*500,0)-IF(AND('calcA'!AJ$117=1,VH27&gt;0),300,0)-IF(AND($U27=1,'calcA'!AK$117=1,EJ27=0),300,0))),1000000000))</f>
        <v/>
      </c>
      <c r="PN27">
        <f>IF($B27=0,1000000000,IF(INDEX('calcA'!$D$60:$EQ$99,$B27,35)*IF($W27=1,EJ27+AAY27,EJ27)=1,IF(AND($E27=2,IF($W27=1,AGN27,JY27)=0),1000000000,IF($V27=1,INDEX('calcA'!$D$130:$EQ$169,$B27,35)+IF(AND($E27=1,JY27=0),25,0),INDEX('calcA'!AL$110:AL$114,$F27+1)+IF(AND($E27=1,JY27=0),1000,0)+IF($H27=1,INDEX('calcA'!$D$180:$EQ$219,$B27,35)*500,0)-IF(AND('calcA'!AK$117=1,VI27&gt;0),300,0)-IF(AND($U27=1,'calcA'!AL$117=1,EK27=0),300,0))),1000000000))</f>
        <v/>
      </c>
      <c r="PO27">
        <f>IF($B27=0,1000000000,IF(INDEX('calcA'!$D$60:$EQ$99,$B27,36)*IF($W27=1,EK27+AAZ27,EK27)=1,IF(AND($E27=2,IF($W27=1,AGO27,JZ27)=0),1000000000,IF($V27=1,INDEX('calcA'!$D$130:$EQ$169,$B27,36)+IF(AND($E27=1,JZ27=0),25,0),INDEX('calcA'!AM$110:AM$114,$F27+1)+IF(AND($E27=1,JZ27=0),1000,0)+IF($H27=1,INDEX('calcA'!$D$180:$EQ$219,$B27,36)*500,0)-IF(AND('calcA'!AL$117=1,VJ27&gt;0),300,0)-IF(AND($U27=1,'calcA'!AM$117=1,EL27=0),300,0))),1000000000))</f>
        <v/>
      </c>
      <c r="PP27">
        <f>IF($B27=0,1000000000,IF(INDEX('calcA'!$D$60:$EQ$99,$B27,37)*IF($W27=1,EL27+ABA27,EL27)=1,IF(AND($E27=2,IF($W27=1,AGP27,KA27)=0),1000000000,IF($V27=1,INDEX('calcA'!$D$130:$EQ$169,$B27,37)+IF(AND($E27=1,KA27=0),25,0),INDEX('calcA'!AN$110:AN$114,$F27+1)+IF(AND($E27=1,KA27=0),1000,0)+IF($H27=1,INDEX('calcA'!$D$180:$EQ$219,$B27,37)*500,0)-IF(AND('calcA'!AM$117=1,VK27&gt;0),300,0)-IF(AND($U27=1,'calcA'!AN$117=1,EM27=0),300,0))),1000000000))</f>
        <v/>
      </c>
      <c r="PQ27">
        <f>IF($B27=0,1000000000,IF(INDEX('calcA'!$D$60:$EQ$99,$B27,38)*IF($W27=1,EM27+ABB27,EM27)=1,IF(AND($E27=2,IF($W27=1,AGQ27,KB27)=0),1000000000,IF($V27=1,INDEX('calcA'!$D$130:$EQ$169,$B27,38)+IF(AND($E27=1,KB27=0),25,0),INDEX('calcA'!AO$110:AO$114,$F27+1)+IF(AND($E27=1,KB27=0),1000,0)+IF($H27=1,INDEX('calcA'!$D$180:$EQ$219,$B27,38)*500,0)-IF(AND('calcA'!AN$117=1,VL27&gt;0),300,0)-IF(AND($U27=1,'calcA'!AO$117=1,EN27=0),300,0))),1000000000))</f>
        <v/>
      </c>
      <c r="PR27">
        <f>IF($B27=0,1000000000,IF(INDEX('calcA'!$D$60:$EQ$99,$B27,39)*IF($W27=1,EN27+ABC27,EN27)=1,IF(AND($E27=2,IF($W27=1,AGR27,KC27)=0),1000000000,IF($V27=1,INDEX('calcA'!$D$130:$EQ$169,$B27,39)+IF(AND($E27=1,KC27=0),25,0),INDEX('calcA'!AP$110:AP$114,$F27+1)+IF(AND($E27=1,KC27=0),1000,0)+IF($H27=1,INDEX('calcA'!$D$180:$EQ$219,$B27,39)*500,0)-IF(AND('calcA'!AO$117=1,VM27&gt;0),300,0)-IF(AND($U27=1,'calcA'!AP$117=1,EO27=0),300,0))),1000000000))</f>
        <v/>
      </c>
      <c r="PS27">
        <f>IF($B27=0,1000000000,IF(INDEX('calcA'!$D$60:$EQ$99,$B27,40)*IF($W27=1,EO27+ABD27,EO27)=1,IF(AND($E27=2,IF($W27=1,AGS27,KD27)=0),1000000000,IF($V27=1,INDEX('calcA'!$D$130:$EQ$169,$B27,40)+IF(AND($E27=1,KD27=0),25,0),INDEX('calcA'!AQ$110:AQ$114,$F27+1)+IF(AND($E27=1,KD27=0),1000,0)+IF($H27=1,INDEX('calcA'!$D$180:$EQ$219,$B27,40)*500,0)-IF(AND('calcA'!AP$117=1,VN27&gt;0),300,0)-IF(AND($U27=1,'calcA'!AQ$117=1,EP27=0),300,0))),1000000000))</f>
        <v/>
      </c>
      <c r="PT27">
        <f>IF($B27=0,1000000000,IF(INDEX('calcA'!$D$60:$EQ$99,$B27,41)*IF($W27=1,EP27+ABE27,EP27)=1,IF(AND($E27=2,IF($W27=1,AGT27,KE27)=0),1000000000,IF($V27=1,INDEX('calcA'!$D$130:$EQ$169,$B27,41)+IF(AND($E27=1,KE27=0),25,0),INDEX('calcA'!AR$110:AR$114,$F27+1)+IF(AND($E27=1,KE27=0),1000,0)+IF($H27=1,INDEX('calcA'!$D$180:$EQ$219,$B27,41)*500,0)-IF(AND('calcA'!AQ$117=1,VO27&gt;0),300,0)-IF(AND($U27=1,'calcA'!AR$117=1,EQ27=0),300,0))),1000000000))</f>
        <v/>
      </c>
      <c r="PU27">
        <f>IF($B27=0,1000000000,IF(INDEX('calcA'!$D$60:$EQ$99,$B27,42)*IF($W27=1,EQ27+ABF27,EQ27)=1,IF(AND($E27=2,IF($W27=1,AGU27,KF27)=0),1000000000,IF($V27=1,INDEX('calcA'!$D$130:$EQ$169,$B27,42)+IF(AND($E27=1,KF27=0),25,0),INDEX('calcA'!AS$110:AS$114,$F27+1)+IF(AND($E27=1,KF27=0),1000,0)+IF($H27=1,INDEX('calcA'!$D$180:$EQ$219,$B27,42)*500,0)-IF(AND('calcA'!AR$117=1,VP27&gt;0),300,0)-IF(AND($U27=1,'calcA'!AS$117=1,ER27=0),300,0))),1000000000))</f>
        <v/>
      </c>
      <c r="PV27">
        <f>IF($B27=0,1000000000,IF(INDEX('calcA'!$D$60:$EQ$99,$B27,43)*IF($W27=1,ER27+ABG27,ER27)=1,IF(AND($E27=2,IF($W27=1,AGV27,KG27)=0),1000000000,IF($V27=1,INDEX('calcA'!$D$130:$EQ$169,$B27,43)+IF(AND($E27=1,KG27=0),25,0),INDEX('calcA'!AT$110:AT$114,$F27+1)+IF(AND($E27=1,KG27=0),1000,0)+IF($H27=1,INDEX('calcA'!$D$180:$EQ$219,$B27,43)*500,0)-IF(AND('calcA'!AS$117=1,VQ27&gt;0),300,0)-IF(AND($U27=1,'calcA'!AT$117=1,ES27=0),300,0))),1000000000))</f>
        <v/>
      </c>
      <c r="PW27">
        <f>IF($B27=0,1000000000,IF(INDEX('calcA'!$D$60:$EQ$99,$B27,44)*IF($W27=1,ES27+ABH27,ES27)=1,IF(AND($E27=2,IF($W27=1,AGW27,KH27)=0),1000000000,IF($V27=1,INDEX('calcA'!$D$130:$EQ$169,$B27,44)+IF(AND($E27=1,KH27=0),25,0),INDEX('calcA'!AU$110:AU$114,$F27+1)+IF(AND($E27=1,KH27=0),1000,0)+IF($H27=1,INDEX('calcA'!$D$180:$EQ$219,$B27,44)*500,0)-IF(AND('calcA'!AT$117=1,VR27&gt;0),300,0)-IF(AND($U27=1,'calcA'!AU$117=1,ET27=0),300,0))),1000000000))</f>
        <v/>
      </c>
      <c r="PX27">
        <f>IF($B27=0,1000000000,IF(INDEX('calcA'!$D$60:$EQ$99,$B27,45)*IF($W27=1,ET27+ABI27,ET27)=1,IF(AND($E27=2,IF($W27=1,AGX27,KI27)=0),1000000000,IF($V27=1,INDEX('calcA'!$D$130:$EQ$169,$B27,45)+IF(AND($E27=1,KI27=0),25,0),INDEX('calcA'!AV$110:AV$114,$F27+1)+IF(AND($E27=1,KI27=0),1000,0)+IF($H27=1,INDEX('calcA'!$D$180:$EQ$219,$B27,45)*500,0)-IF(AND('calcA'!AU$117=1,VS27&gt;0),300,0)-IF(AND($U27=1,'calcA'!AV$117=1,EU27=0),300,0))),1000000000))</f>
        <v/>
      </c>
      <c r="PY27">
        <f>IF($B27=0,1000000000,IF(INDEX('calcA'!$D$60:$EQ$99,$B27,46)*IF($W27=1,EU27+ABJ27,EU27)=1,IF(AND($E27=2,IF($W27=1,AGY27,KJ27)=0),1000000000,IF($V27=1,INDEX('calcA'!$D$130:$EQ$169,$B27,46)+IF(AND($E27=1,KJ27=0),25,0),INDEX('calcA'!AW$110:AW$114,$F27+1)+IF(AND($E27=1,KJ27=0),1000,0)+IF($H27=1,INDEX('calcA'!$D$180:$EQ$219,$B27,46)*500,0)-IF(AND('calcA'!AV$117=1,VT27&gt;0),300,0)-IF(AND($U27=1,'calcA'!AW$117=1,EV27=0),300,0))),1000000000))</f>
        <v/>
      </c>
      <c r="PZ27">
        <f>IF($B27=0,1000000000,IF(INDEX('calcA'!$D$60:$EQ$99,$B27,47)*IF($W27=1,EV27+ABK27,EV27)=1,IF(AND($E27=2,IF($W27=1,AGZ27,KK27)=0),1000000000,IF($V27=1,INDEX('calcA'!$D$130:$EQ$169,$B27,47)+IF(AND($E27=1,KK27=0),25,0),INDEX('calcA'!AX$110:AX$114,$F27+1)+IF(AND($E27=1,KK27=0),1000,0)+IF($H27=1,INDEX('calcA'!$D$180:$EQ$219,$B27,47)*500,0)-IF(AND('calcA'!AW$117=1,VU27&gt;0),300,0)-IF(AND($U27=1,'calcA'!AX$117=1,EW27=0),300,0))),1000000000))</f>
        <v/>
      </c>
      <c r="QA27">
        <f>IF($B27=0,1000000000,IF(INDEX('calcA'!$D$60:$EQ$99,$B27,48)*IF($W27=1,EW27+ABL27,EW27)=1,IF(AND($E27=2,IF($W27=1,AHA27,KL27)=0),1000000000,IF($V27=1,INDEX('calcA'!$D$130:$EQ$169,$B27,48)+IF(AND($E27=1,KL27=0),25,0),INDEX('calcA'!AY$110:AY$114,$F27+1)+IF(AND($E27=1,KL27=0),1000,0)+IF($H27=1,INDEX('calcA'!$D$180:$EQ$219,$B27,48)*500,0)-IF(AND('calcA'!AX$117=1,VV27&gt;0),300,0))),1000000000))</f>
        <v/>
      </c>
      <c r="QB27">
        <f>IF($B27=0,1000000000,IF(INDEX('calcA'!$D$60:$EQ$99,$B27,49)*IF($W27=1,EX27+ABM27,EX27)=1,IF(AND($E27=2,IF($W27=1,AHB27,KM27)=0),1000000000,IF($V27=1,INDEX('calcA'!$D$130:$EQ$169,$B27,49)+IF(AND($E27=1,KM27=0),25,0),INDEX('calcA'!AZ$110:AZ$114,$F27+1)+IF(AND($E27=1,KM27=0),1000,0)+IF($H27=1,INDEX('calcA'!$D$180:$EQ$219,$B27,49)*500,0)-IF(AND($U27=1,'calcA'!AZ$117=1,EY27=0),300,0))),1000000000))</f>
        <v/>
      </c>
      <c r="QC27">
        <f>IF($B27=0,1000000000,IF(INDEX('calcA'!$D$60:$EQ$99,$B27,50)*IF($W27=1,EY27+ABN27,EY27)=1,IF(AND($E27=2,IF($W27=1,AHC27,KN27)=0),1000000000,IF($V27=1,INDEX('calcA'!$D$130:$EQ$169,$B27,50)+IF(AND($E27=1,KN27=0),25,0),INDEX('calcA'!BA$110:BA$114,$F27+1)+IF(AND($E27=1,KN27=0),1000,0)+IF($H27=1,INDEX('calcA'!$D$180:$EQ$219,$B27,50)*500,0)-IF(AND('calcA'!AZ$117=1,VX27&gt;0),300,0)-IF(AND($U27=1,'calcA'!BA$117=1,EZ27=0),300,0))),1000000000))</f>
        <v/>
      </c>
      <c r="QD27">
        <f>IF($B27=0,1000000000,IF(INDEX('calcA'!$D$60:$EQ$99,$B27,51)*IF($W27=1,EZ27+ABO27,EZ27)=1,IF(AND($E27=2,IF($W27=1,AHD27,KO27)=0),1000000000,IF($V27=1,INDEX('calcA'!$D$130:$EQ$169,$B27,51)+IF(AND($E27=1,KO27=0),25,0),INDEX('calcA'!BB$110:BB$114,$F27+1)+IF(AND($E27=1,KO27=0),1000,0)+IF($H27=1,INDEX('calcA'!$D$180:$EQ$219,$B27,51)*500,0)-IF(AND('calcA'!BA$117=1,VY27&gt;0),300,0)-IF(AND($U27=1,'calcA'!BB$117=1,FA27=0),300,0))),1000000000))</f>
        <v/>
      </c>
      <c r="QE27">
        <f>IF($B27=0,1000000000,IF(INDEX('calcA'!$D$60:$EQ$99,$B27,52)*IF($W27=1,FA27+ABP27,FA27)=1,IF(AND($E27=2,IF($W27=1,AHE27,KP27)=0),1000000000,IF($V27=1,INDEX('calcA'!$D$130:$EQ$169,$B27,52)+IF(AND($E27=1,KP27=0),25,0),INDEX('calcA'!BC$110:BC$114,$F27+1)+IF(AND($E27=1,KP27=0),1000,0)+IF($H27=1,INDEX('calcA'!$D$180:$EQ$219,$B27,52)*500,0)-IF(AND('calcA'!BB$117=1,VZ27&gt;0),300,0)-IF(AND($U27=1,'calcA'!BC$117=1,FB27=0),300,0))),1000000000))</f>
        <v/>
      </c>
      <c r="QF27">
        <f>IF($B27=0,1000000000,IF(INDEX('calcA'!$D$60:$EQ$99,$B27,53)*IF($W27=1,FB27+ABQ27,FB27)=1,IF(AND($E27=2,IF($W27=1,AHF27,KQ27)=0),1000000000,IF($V27=1,INDEX('calcA'!$D$130:$EQ$169,$B27,53)+IF(AND($E27=1,KQ27=0),25,0),INDEX('calcA'!BD$110:BD$114,$F27+1)+IF(AND($E27=1,KQ27=0),1000,0)+IF($H27=1,INDEX('calcA'!$D$180:$EQ$219,$B27,53)*500,0)-IF(AND('calcA'!BC$117=1,WA27&gt;0),300,0)-IF(AND($U27=1,'calcA'!BD$117=1,FC27=0),300,0))),1000000000))</f>
        <v/>
      </c>
      <c r="QG27">
        <f>IF($B27=0,1000000000,IF(INDEX('calcA'!$D$60:$EQ$99,$B27,54)*IF($W27=1,FC27+ABR27,FC27)=1,IF(AND($E27=2,IF($W27=1,AHG27,KR27)=0),1000000000,IF($V27=1,INDEX('calcA'!$D$130:$EQ$169,$B27,54)+IF(AND($E27=1,KR27=0),25,0),INDEX('calcA'!BE$110:BE$114,$F27+1)+IF(AND($E27=1,KR27=0),1000,0)+IF($H27=1,INDEX('calcA'!$D$180:$EQ$219,$B27,54)*500,0)-IF(AND('calcA'!BD$117=1,WB27&gt;0),300,0)-IF(AND($U27=1,'calcA'!BE$117=1,FD27=0),300,0))),1000000000))</f>
        <v/>
      </c>
      <c r="QH27">
        <f>IF($B27=0,1000000000,IF(INDEX('calcA'!$D$60:$EQ$99,$B27,55)*IF($W27=1,FD27+ABS27,FD27)=1,IF(AND($E27=2,IF($W27=1,AHH27,KS27)=0),1000000000,IF($V27=1,INDEX('calcA'!$D$130:$EQ$169,$B27,55)+IF(AND($E27=1,KS27=0),25,0),INDEX('calcA'!BF$110:BF$114,$F27+1)+IF(AND($E27=1,KS27=0),1000,0)+IF($H27=1,INDEX('calcA'!$D$180:$EQ$219,$B27,55)*500,0)-IF(AND('calcA'!BE$117=1,WC27&gt;0),300,0)-IF(AND($U27=1,'calcA'!BF$117=1,FE27=0),300,0))),1000000000))</f>
        <v/>
      </c>
      <c r="QI27">
        <f>IF($B27=0,1000000000,IF(INDEX('calcA'!$D$60:$EQ$99,$B27,56)*IF($W27=1,FE27+ABT27,FE27)=1,IF(AND($E27=2,IF($W27=1,AHI27,KT27)=0),1000000000,IF($V27=1,INDEX('calcA'!$D$130:$EQ$169,$B27,56)+IF(AND($E27=1,KT27=0),25,0),INDEX('calcA'!BG$110:BG$114,$F27+1)+IF(AND($E27=1,KT27=0),1000,0)+IF($H27=1,INDEX('calcA'!$D$180:$EQ$219,$B27,56)*500,0)-IF(AND('calcA'!BF$117=1,WD27&gt;0),300,0)-IF(AND($U27=1,'calcA'!BG$117=1,FF27=0),300,0))),1000000000))</f>
        <v/>
      </c>
      <c r="QJ27">
        <f>IF($B27=0,1000000000,IF(INDEX('calcA'!$D$60:$EQ$99,$B27,57)*IF($W27=1,FF27+ABU27,FF27)=1,IF(AND($E27=2,IF($W27=1,AHJ27,KU27)=0),1000000000,IF($V27=1,INDEX('calcA'!$D$130:$EQ$169,$B27,57)+IF(AND($E27=1,KU27=0),25,0),INDEX('calcA'!BH$110:BH$114,$F27+1)+IF(AND($E27=1,KU27=0),1000,0)+IF($H27=1,INDEX('calcA'!$D$180:$EQ$219,$B27,57)*500,0)-IF(AND('calcA'!BG$117=1,WE27&gt;0),300,0)-IF(AND($U27=1,'calcA'!BH$117=1,FG27=0),300,0))),1000000000))</f>
        <v/>
      </c>
      <c r="QK27">
        <f>IF($B27=0,1000000000,IF(INDEX('calcA'!$D$60:$EQ$99,$B27,58)*IF($W27=1,FG27+ABV27,FG27)=1,IF(AND($E27=2,IF($W27=1,AHK27,KV27)=0),1000000000,IF($V27=1,INDEX('calcA'!$D$130:$EQ$169,$B27,58)+IF(AND($E27=1,KV27=0),25,0),INDEX('calcA'!BI$110:BI$114,$F27+1)+IF(AND($E27=1,KV27=0),1000,0)+IF($H27=1,INDEX('calcA'!$D$180:$EQ$219,$B27,58)*500,0)-IF(AND('calcA'!BH$117=1,WF27&gt;0),300,0)-IF(AND($U27=1,'calcA'!BI$117=1,FH27=0),300,0))),1000000000))</f>
        <v/>
      </c>
      <c r="QL27">
        <f>IF($B27=0,1000000000,IF(INDEX('calcA'!$D$60:$EQ$99,$B27,59)*IF($W27=1,FH27+ABW27,FH27)=1,IF(AND($E27=2,IF($W27=1,AHL27,KW27)=0),1000000000,IF($V27=1,INDEX('calcA'!$D$130:$EQ$169,$B27,59)+IF(AND($E27=1,KW27=0),25,0),INDEX('calcA'!BJ$110:BJ$114,$F27+1)+IF(AND($E27=1,KW27=0),1000,0)+IF($H27=1,INDEX('calcA'!$D$180:$EQ$219,$B27,59)*500,0)-IF(AND('calcA'!BI$117=1,WG27&gt;0),300,0)-IF(AND($U27=1,'calcA'!BJ$117=1,FI27=0),300,0))),1000000000))</f>
        <v/>
      </c>
      <c r="QM27">
        <f>IF($B27=0,1000000000,IF(INDEX('calcA'!$D$60:$EQ$99,$B27,60)*IF($W27=1,FI27+ABX27,FI27)=1,IF(AND($E27=2,IF($W27=1,AHM27,KX27)=0),1000000000,IF($V27=1,INDEX('calcA'!$D$130:$EQ$169,$B27,60)+IF(AND($E27=1,KX27=0),25,0),INDEX('calcA'!BK$110:BK$114,$F27+1)+IF(AND($E27=1,KX27=0),1000,0)+IF($H27=1,INDEX('calcA'!$D$180:$EQ$219,$B27,60)*500,0)-IF(AND('calcA'!BJ$117=1,WH27&gt;0),300,0)-IF(AND($U27=1,'calcA'!BK$117=1,FJ27=0),300,0))),1000000000))</f>
        <v/>
      </c>
      <c r="QN27">
        <f>IF($B27=0,1000000000,IF(INDEX('calcA'!$D$60:$EQ$99,$B27,61)*IF($W27=1,FJ27+ABY27,FJ27)=1,IF(AND($E27=2,IF($W27=1,AHN27,KY27)=0),1000000000,IF($V27=1,INDEX('calcA'!$D$130:$EQ$169,$B27,61)+IF(AND($E27=1,KY27=0),25,0),INDEX('calcA'!BL$110:BL$114,$F27+1)+IF(AND($E27=1,KY27=0),1000,0)+IF($H27=1,INDEX('calcA'!$D$180:$EQ$219,$B27,61)*500,0)-IF(AND('calcA'!BK$117=1,WI27&gt;0),300,0)-IF(AND($U27=1,'calcA'!BL$117=1,FK27=0),300,0))),1000000000))</f>
        <v/>
      </c>
      <c r="QO27">
        <f>IF($B27=0,1000000000,IF(INDEX('calcA'!$D$60:$EQ$99,$B27,62)*IF($W27=1,FK27+ABZ27,FK27)=1,IF(AND($E27=2,IF($W27=1,AHO27,KZ27)=0),1000000000,IF($V27=1,INDEX('calcA'!$D$130:$EQ$169,$B27,62)+IF(AND($E27=1,KZ27=0),25,0),INDEX('calcA'!BM$110:BM$114,$F27+1)+IF(AND($E27=1,KZ27=0),1000,0)+IF($H27=1,INDEX('calcA'!$D$180:$EQ$219,$B27,62)*500,0)-IF(AND('calcA'!BL$117=1,WJ27&gt;0),300,0)-IF(AND($U27=1,'calcA'!BM$117=1,FL27=0),300,0))),1000000000))</f>
        <v/>
      </c>
      <c r="QP27">
        <f>IF($B27=0,1000000000,IF(INDEX('calcA'!$D$60:$EQ$99,$B27,63)*IF($W27=1,FL27+ACA27,FL27)=1,IF(AND($E27=2,IF($W27=1,AHP27,LA27)=0),1000000000,IF($V27=1,INDEX('calcA'!$D$130:$EQ$169,$B27,63)+IF(AND($E27=1,LA27=0),25,0),INDEX('calcA'!BN$110:BN$114,$F27+1)+IF(AND($E27=1,LA27=0),1000,0)+IF($H27=1,INDEX('calcA'!$D$180:$EQ$219,$B27,63)*500,0)-IF(AND('calcA'!BM$117=1,WK27&gt;0),300,0)-IF(AND($U27=1,'calcA'!BN$117=1,FM27=0),300,0))),1000000000))</f>
        <v/>
      </c>
      <c r="QQ27">
        <f>IF($B27=0,1000000000,IF(INDEX('calcA'!$D$60:$EQ$99,$B27,64)*IF($W27=1,FM27+ACB27,FM27)=1,IF(AND($E27=2,IF($W27=1,AHQ27,LB27)=0),1000000000,IF($V27=1,INDEX('calcA'!$D$130:$EQ$169,$B27,64)+IF(AND($E27=1,LB27=0),25,0),INDEX('calcA'!BO$110:BO$114,$F27+1)+IF(AND($E27=1,LB27=0),1000,0)+IF($H27=1,INDEX('calcA'!$D$180:$EQ$219,$B27,64)*500,0)-IF(AND('calcA'!BN$117=1,WL27&gt;0),300,0)-IF(AND($U27=1,'calcA'!BO$117=1,FN27=0),300,0))),1000000000))</f>
        <v/>
      </c>
      <c r="QR27">
        <f>IF($B27=0,1000000000,IF(INDEX('calcA'!$D$60:$EQ$99,$B27,65)*IF($W27=1,FN27+ACC27,FN27)=1,IF(AND($E27=2,IF($W27=1,AHR27,LC27)=0),1000000000,IF($V27=1,INDEX('calcA'!$D$130:$EQ$169,$B27,65)+IF(AND($E27=1,LC27=0),25,0),INDEX('calcA'!BP$110:BP$114,$F27+1)+IF(AND($E27=1,LC27=0),1000,0)+IF($H27=1,INDEX('calcA'!$D$180:$EQ$219,$B27,65)*500,0)-IF(AND('calcA'!BO$117=1,WM27&gt;0),300,0)-IF(AND($U27=1,'calcA'!BP$117=1,FO27=0),300,0))),1000000000))</f>
        <v/>
      </c>
      <c r="QS27">
        <f>IF($B27=0,1000000000,IF(INDEX('calcA'!$D$60:$EQ$99,$B27,66)*IF($W27=1,FO27+ACD27,FO27)=1,IF(AND($E27=2,IF($W27=1,AHS27,LD27)=0),1000000000,IF($V27=1,INDEX('calcA'!$D$130:$EQ$169,$B27,66)+IF(AND($E27=1,LD27=0),25,0),INDEX('calcA'!BQ$110:BQ$114,$F27+1)+IF(AND($E27=1,LD27=0),1000,0)+IF($H27=1,INDEX('calcA'!$D$180:$EQ$219,$B27,66)*500,0)-IF(AND('calcA'!BP$117=1,WN27&gt;0),300,0)-IF(AND($U27=1,'calcA'!BQ$117=1,FP27=0),300,0))),1000000000))</f>
        <v/>
      </c>
      <c r="QT27">
        <f>IF($B27=0,1000000000,IF(INDEX('calcA'!$D$60:$EQ$99,$B27,67)*IF($W27=1,FP27+ACE27,FP27)=1,IF(AND($E27=2,IF($W27=1,AHT27,LE27)=0),1000000000,IF($V27=1,INDEX('calcA'!$D$130:$EQ$169,$B27,67)+IF(AND($E27=1,LE27=0),25,0),INDEX('calcA'!BR$110:BR$114,$F27+1)+IF(AND($E27=1,LE27=0),1000,0)+IF($H27=1,INDEX('calcA'!$D$180:$EQ$219,$B27,67)*500,0)-IF(AND('calcA'!BQ$117=1,WO27&gt;0),300,0)-IF(AND($U27=1,'calcA'!BR$117=1,FQ27=0),300,0))),1000000000))</f>
        <v/>
      </c>
      <c r="QU27">
        <f>IF($B27=0,1000000000,IF(INDEX('calcA'!$D$60:$EQ$99,$B27,68)*IF($W27=1,FQ27+ACF27,FQ27)=1,IF(AND($E27=2,IF($W27=1,AHU27,LF27)=0),1000000000,IF($V27=1,INDEX('calcA'!$D$130:$EQ$169,$B27,68)+IF(AND($E27=1,LF27=0),25,0),INDEX('calcA'!BS$110:BS$114,$F27+1)+IF(AND($E27=1,LF27=0),1000,0)+IF($H27=1,INDEX('calcA'!$D$180:$EQ$219,$B27,68)*500,0)-IF(AND('calcA'!BR$117=1,WP27&gt;0),300,0)-IF(AND($U27=1,'calcA'!BS$117=1,FR27=0),300,0))),1000000000))</f>
        <v/>
      </c>
      <c r="QV27">
        <f>IF($B27=0,1000000000,IF(INDEX('calcA'!$D$60:$EQ$99,$B27,69)*IF($W27=1,FR27+ACG27,FR27)=1,IF(AND($E27=2,IF($W27=1,AHV27,LG27)=0),1000000000,IF($V27=1,INDEX('calcA'!$D$130:$EQ$169,$B27,69)+IF(AND($E27=1,LG27=0),25,0),INDEX('calcA'!BT$110:BT$114,$F27+1)+IF(AND($E27=1,LG27=0),1000,0)+IF($H27=1,INDEX('calcA'!$D$180:$EQ$219,$B27,69)*500,0)-IF(AND('calcA'!BS$117=1,WQ27&gt;0),300,0)-IF(AND($U27=1,'calcA'!BT$117=1,FS27=0),300,0))),1000000000))</f>
        <v/>
      </c>
      <c r="QW27">
        <f>IF($B27=0,1000000000,IF(INDEX('calcA'!$D$60:$EQ$99,$B27,70)*IF($W27=1,FS27+ACH27,FS27)=1,IF(AND($E27=2,IF($W27=1,AHW27,LH27)=0),1000000000,IF($V27=1,INDEX('calcA'!$D$130:$EQ$169,$B27,70)+IF(AND($E27=1,LH27=0),25,0),INDEX('calcA'!BU$110:BU$114,$F27+1)+IF(AND($E27=1,LH27=0),1000,0)+IF($H27=1,INDEX('calcA'!$D$180:$EQ$219,$B27,70)*500,0)-IF(AND('calcA'!BT$117=1,WR27&gt;0),300,0)-IF(AND($U27=1,'calcA'!BU$117=1,FT27=0),300,0))),1000000000))</f>
        <v/>
      </c>
      <c r="QX27">
        <f>IF($B27=0,1000000000,IF(INDEX('calcA'!$D$60:$EQ$99,$B27,71)*IF($W27=1,FT27+ACI27,FT27)=1,IF(AND($E27=2,IF($W27=1,AHX27,LI27)=0),1000000000,IF($V27=1,INDEX('calcA'!$D$130:$EQ$169,$B27,71)+IF(AND($E27=1,LI27=0),25,0),INDEX('calcA'!BV$110:BV$114,$F27+1)+IF(AND($E27=1,LI27=0),1000,0)+IF($H27=1,INDEX('calcA'!$D$180:$EQ$219,$B27,71)*500,0)-IF(AND('calcA'!BU$117=1,WS27&gt;0),300,0)-IF(AND($U27=1,'calcA'!BV$117=1,FU27=0),300,0))),1000000000))</f>
        <v/>
      </c>
      <c r="QY27">
        <f>IF($B27=0,1000000000,IF(INDEX('calcA'!$D$60:$EQ$99,$B27,72)*IF($W27=1,FU27+ACJ27,FU27)=1,IF(AND($E27=2,IF($W27=1,AHY27,LJ27)=0),1000000000,IF($V27=1,INDEX('calcA'!$D$130:$EQ$169,$B27,72)+IF(AND($E27=1,LJ27=0),25,0),INDEX('calcA'!BW$110:BW$114,$F27+1)+IF(AND($E27=1,LJ27=0),1000,0)+IF($H27=1,INDEX('calcA'!$D$180:$EQ$219,$B27,72)*500,0)-IF(AND('calcA'!BV$117=1,WT27&gt;0),300,0))),1000000000))</f>
        <v/>
      </c>
      <c r="QZ27">
        <f>IF($B27=0,1000000000,IF(INDEX('calcA'!$D$60:$EQ$99,$B27,73)*IF($W27=1,FV27+ACK27,FV27)=1,IF(AND($E27=2,IF($W27=1,AHZ27,LK27)=0),1000000000,IF($V27=1,INDEX('calcA'!$D$130:$EQ$169,$B27,73)+IF(AND($E27=1,LK27=0),25,0),INDEX('calcA'!BX$110:BX$114,$F27+1)+IF(AND($E27=1,LK27=0),1000,0)+IF($H27=1,INDEX('calcA'!$D$180:$EQ$219,$B27,73)*500,0)-IF(AND($U27=1,'calcA'!BX$117=1,FW27=0),300,0))),1000000000))</f>
        <v/>
      </c>
      <c r="RA27">
        <f>IF($B27=0,1000000000,IF(INDEX('calcA'!$D$60:$EQ$99,$B27,74)*IF($W27=1,FW27+ACL27,FW27)=1,IF(AND($E27=2,IF($W27=1,AIA27,LL27)=0),1000000000,IF($V27=1,INDEX('calcA'!$D$130:$EQ$169,$B27,74)+IF(AND($E27=1,LL27=0),25,0),INDEX('calcA'!BY$110:BY$114,$F27+1)+IF(AND($E27=1,LL27=0),1000,0)+IF($H27=1,INDEX('calcA'!$D$180:$EQ$219,$B27,74)*500,0)-IF(AND('calcA'!BX$117=1,WV27&gt;0),300,0)-IF(AND($U27=1,'calcA'!BY$117=1,FX27=0),300,0))),1000000000))</f>
        <v/>
      </c>
      <c r="RB27">
        <f>IF($B27=0,1000000000,IF(INDEX('calcA'!$D$60:$EQ$99,$B27,75)*IF($W27=1,FX27+ACM27,FX27)=1,IF(AND($E27=2,IF($W27=1,AIB27,LM27)=0),1000000000,IF($V27=1,INDEX('calcA'!$D$130:$EQ$169,$B27,75)+IF(AND($E27=1,LM27=0),25,0),INDEX('calcA'!BZ$110:BZ$114,$F27+1)+IF(AND($E27=1,LM27=0),1000,0)+IF($H27=1,INDEX('calcA'!$D$180:$EQ$219,$B27,75)*500,0)-IF(AND('calcA'!BY$117=1,WW27&gt;0),300,0)-IF(AND($U27=1,'calcA'!BZ$117=1,FY27=0),300,0))),1000000000))</f>
        <v/>
      </c>
      <c r="RC27">
        <f>IF($B27=0,1000000000,IF(INDEX('calcA'!$D$60:$EQ$99,$B27,76)*IF($W27=1,FY27+ACN27,FY27)=1,IF(AND($E27=2,IF($W27=1,AIC27,LN27)=0),1000000000,IF($V27=1,INDEX('calcA'!$D$130:$EQ$169,$B27,76)+IF(AND($E27=1,LN27=0),25,0),INDEX('calcA'!CA$110:CA$114,$F27+1)+IF(AND($E27=1,LN27=0),1000,0)+IF($H27=1,INDEX('calcA'!$D$180:$EQ$219,$B27,76)*500,0)-IF(AND('calcA'!BZ$117=1,WX27&gt;0),300,0)-IF(AND($U27=1,'calcA'!CA$117=1,FZ27=0),300,0))),1000000000))</f>
        <v/>
      </c>
      <c r="RD27">
        <f>IF($B27=0,1000000000,IF(INDEX('calcA'!$D$60:$EQ$99,$B27,77)*IF($W27=1,FZ27+ACO27,FZ27)=1,IF(AND($E27=2,IF($W27=1,AID27,LO27)=0),1000000000,IF($V27=1,INDEX('calcA'!$D$130:$EQ$169,$B27,77)+IF(AND($E27=1,LO27=0),25,0),INDEX('calcA'!CB$110:CB$114,$F27+1)+IF(AND($E27=1,LO27=0),1000,0)+IF($H27=1,INDEX('calcA'!$D$180:$EQ$219,$B27,77)*500,0)-IF(AND('calcA'!CA$117=1,WY27&gt;0),300,0)-IF(AND($U27=1,'calcA'!CB$117=1,GA27=0),300,0))),1000000000))</f>
        <v/>
      </c>
      <c r="RE27">
        <f>IF($B27=0,1000000000,IF(INDEX('calcA'!$D$60:$EQ$99,$B27,78)*IF($W27=1,GA27+ACP27,GA27)=1,IF(AND($E27=2,IF($W27=1,AIE27,LP27)=0),1000000000,IF($V27=1,INDEX('calcA'!$D$130:$EQ$169,$B27,78)+IF(AND($E27=1,LP27=0),25,0),INDEX('calcA'!CC$110:CC$114,$F27+1)+IF(AND($E27=1,LP27=0),1000,0)+IF($H27=1,INDEX('calcA'!$D$180:$EQ$219,$B27,78)*500,0)-IF(AND('calcA'!CB$117=1,WZ27&gt;0),300,0)-IF(AND($U27=1,'calcA'!CC$117=1,GB27=0),300,0))),1000000000))</f>
        <v/>
      </c>
      <c r="RF27">
        <f>IF($B27=0,1000000000,IF(INDEX('calcA'!$D$60:$EQ$99,$B27,79)*IF($W27=1,GB27+ACQ27,GB27)=1,IF(AND($E27=2,IF($W27=1,AIF27,LQ27)=0),1000000000,IF($V27=1,INDEX('calcA'!$D$130:$EQ$169,$B27,79)+IF(AND($E27=1,LQ27=0),25,0),INDEX('calcA'!CD$110:CD$114,$F27+1)+IF(AND($E27=1,LQ27=0),1000,0)+IF($H27=1,INDEX('calcA'!$D$180:$EQ$219,$B27,79)*500,0)-IF(AND('calcA'!CC$117=1,XA27&gt;0),300,0)-IF(AND($U27=1,'calcA'!CD$117=1,GC27=0),300,0))),1000000000))</f>
        <v/>
      </c>
      <c r="RG27">
        <f>IF($B27=0,1000000000,IF(INDEX('calcA'!$D$60:$EQ$99,$B27,80)*IF($W27=1,GC27+ACR27,GC27)=1,IF(AND($E27=2,IF($W27=1,AIG27,LR27)=0),1000000000,IF($V27=1,INDEX('calcA'!$D$130:$EQ$169,$B27,80)+IF(AND($E27=1,LR27=0),25,0),INDEX('calcA'!CE$110:CE$114,$F27+1)+IF(AND($E27=1,LR27=0),1000,0)+IF($H27=1,INDEX('calcA'!$D$180:$EQ$219,$B27,80)*500,0)-IF(AND('calcA'!CD$117=1,XB27&gt;0),300,0)-IF(AND($U27=1,'calcA'!CE$117=1,GD27=0),300,0))),1000000000))</f>
        <v/>
      </c>
      <c r="RH27">
        <f>IF($B27=0,1000000000,IF(INDEX('calcA'!$D$60:$EQ$99,$B27,81)*IF($W27=1,GD27+ACS27,GD27)=1,IF(AND($E27=2,IF($W27=1,AIH27,LS27)=0),1000000000,IF($V27=1,INDEX('calcA'!$D$130:$EQ$169,$B27,81)+IF(AND($E27=1,LS27=0),25,0),INDEX('calcA'!CF$110:CF$114,$F27+1)+IF(AND($E27=1,LS27=0),1000,0)+IF($H27=1,INDEX('calcA'!$D$180:$EQ$219,$B27,81)*500,0)-IF(AND('calcA'!CE$117=1,XC27&gt;0),300,0)-IF(AND($U27=1,'calcA'!CF$117=1,GE27=0),300,0))),1000000000))</f>
        <v/>
      </c>
      <c r="RI27">
        <f>IF($B27=0,1000000000,IF(INDEX('calcA'!$D$60:$EQ$99,$B27,82)*IF($W27=1,GE27+ACT27,GE27)=1,IF(AND($E27=2,IF($W27=1,AII27,LT27)=0),1000000000,IF($V27=1,INDEX('calcA'!$D$130:$EQ$169,$B27,82)+IF(AND($E27=1,LT27=0),25,0),INDEX('calcA'!CG$110:CG$114,$F27+1)+IF(AND($E27=1,LT27=0),1000,0)+IF($H27=1,INDEX('calcA'!$D$180:$EQ$219,$B27,82)*500,0)-IF(AND('calcA'!CF$117=1,XD27&gt;0),300,0)-IF(AND($U27=1,'calcA'!CG$117=1,GF27=0),300,0))),1000000000))</f>
        <v/>
      </c>
      <c r="RJ27">
        <f>IF($B27=0,1000000000,IF(INDEX('calcA'!$D$60:$EQ$99,$B27,83)*IF($W27=1,GF27+ACU27,GF27)=1,IF(AND($E27=2,IF($W27=1,AIJ27,LU27)=0),1000000000,IF($V27=1,INDEX('calcA'!$D$130:$EQ$169,$B27,83)+IF(AND($E27=1,LU27=0),25,0),INDEX('calcA'!CH$110:CH$114,$F27+1)+IF(AND($E27=1,LU27=0),1000,0)+IF($H27=1,INDEX('calcA'!$D$180:$EQ$219,$B27,83)*500,0)-IF(AND('calcA'!CG$117=1,XE27&gt;0),300,0)-IF(AND($U27=1,'calcA'!CH$117=1,GG27=0),300,0))),1000000000))</f>
        <v/>
      </c>
      <c r="RK27">
        <f>IF($B27=0,1000000000,IF(INDEX('calcA'!$D$60:$EQ$99,$B27,84)*IF($W27=1,GG27+ACV27,GG27)=1,IF(AND($E27=2,IF($W27=1,AIK27,LV27)=0),1000000000,IF($V27=1,INDEX('calcA'!$D$130:$EQ$169,$B27,84)+IF(AND($E27=1,LV27=0),25,0),INDEX('calcA'!CI$110:CI$114,$F27+1)+IF(AND($E27=1,LV27=0),1000,0)+IF($H27=1,INDEX('calcA'!$D$180:$EQ$219,$B27,84)*500,0)-IF(AND('calcA'!CH$117=1,XF27&gt;0),300,0)-IF(AND($U27=1,'calcA'!CI$117=1,GH27=0),300,0))),1000000000))</f>
        <v/>
      </c>
      <c r="RL27">
        <f>IF($B27=0,1000000000,IF(INDEX('calcA'!$D$60:$EQ$99,$B27,85)*IF($W27=1,GH27+ACW27,GH27)=1,IF(AND($E27=2,IF($W27=1,AIL27,LW27)=0),1000000000,IF($V27=1,INDEX('calcA'!$D$130:$EQ$169,$B27,85)+IF(AND($E27=1,LW27=0),25,0),INDEX('calcA'!CJ$110:CJ$114,$F27+1)+IF(AND($E27=1,LW27=0),1000,0)+IF($H27=1,INDEX('calcA'!$D$180:$EQ$219,$B27,85)*500,0)-IF(AND('calcA'!CI$117=1,XG27&gt;0),300,0)-IF(AND($U27=1,'calcA'!CJ$117=1,GI27=0),300,0))),1000000000))</f>
        <v/>
      </c>
      <c r="RM27">
        <f>IF($B27=0,1000000000,IF(INDEX('calcA'!$D$60:$EQ$99,$B27,86)*IF($W27=1,GI27+ACX27,GI27)=1,IF(AND($E27=2,IF($W27=1,AIM27,LX27)=0),1000000000,IF($V27=1,INDEX('calcA'!$D$130:$EQ$169,$B27,86)+IF(AND($E27=1,LX27=0),25,0),INDEX('calcA'!CK$110:CK$114,$F27+1)+IF(AND($E27=1,LX27=0),1000,0)+IF($H27=1,INDEX('calcA'!$D$180:$EQ$219,$B27,86)*500,0)-IF(AND('calcA'!CJ$117=1,XH27&gt;0),300,0)-IF(AND($U27=1,'calcA'!CK$117=1,GJ27=0),300,0))),1000000000))</f>
        <v/>
      </c>
      <c r="RN27">
        <f>IF($B27=0,1000000000,IF(INDEX('calcA'!$D$60:$EQ$99,$B27,87)*IF($W27=1,GJ27+ACY27,GJ27)=1,IF(AND($E27=2,IF($W27=1,AIN27,LY27)=0),1000000000,IF($V27=1,INDEX('calcA'!$D$130:$EQ$169,$B27,87)+IF(AND($E27=1,LY27=0),25,0),INDEX('calcA'!CL$110:CL$114,$F27+1)+IF(AND($E27=1,LY27=0),1000,0)+IF($H27=1,INDEX('calcA'!$D$180:$EQ$219,$B27,87)*500,0)-IF(AND('calcA'!CK$117=1,XI27&gt;0),300,0)-IF(AND($U27=1,'calcA'!CL$117=1,GK27=0),300,0))),1000000000))</f>
        <v/>
      </c>
      <c r="RO27">
        <f>IF($B27=0,1000000000,IF(INDEX('calcA'!$D$60:$EQ$99,$B27,88)*IF($W27=1,GK27+ACZ27,GK27)=1,IF(AND($E27=2,IF($W27=1,AIO27,LZ27)=0),1000000000,IF($V27=1,INDEX('calcA'!$D$130:$EQ$169,$B27,88)+IF(AND($E27=1,LZ27=0),25,0),INDEX('calcA'!CM$110:CM$114,$F27+1)+IF(AND($E27=1,LZ27=0),1000,0)+IF($H27=1,INDEX('calcA'!$D$180:$EQ$219,$B27,88)*500,0)-IF(AND('calcA'!CL$117=1,XJ27&gt;0),300,0)-IF(AND($U27=1,'calcA'!CM$117=1,GL27=0),300,0))),1000000000))</f>
        <v/>
      </c>
      <c r="RP27">
        <f>IF($B27=0,1000000000,IF(INDEX('calcA'!$D$60:$EQ$99,$B27,89)*IF($W27=1,GL27+ADA27,GL27)=1,IF(AND($E27=2,IF($W27=1,AIP27,MA27)=0),1000000000,IF($V27=1,INDEX('calcA'!$D$130:$EQ$169,$B27,89)+IF(AND($E27=1,MA27=0),25,0),INDEX('calcA'!CN$110:CN$114,$F27+1)+IF(AND($E27=1,MA27=0),1000,0)+IF($H27=1,INDEX('calcA'!$D$180:$EQ$219,$B27,89)*500,0)-IF(AND('calcA'!CM$117=1,XK27&gt;0),300,0)-IF(AND($U27=1,'calcA'!CN$117=1,GM27=0),300,0))),1000000000))</f>
        <v/>
      </c>
      <c r="RQ27">
        <f>IF($B27=0,1000000000,IF(INDEX('calcA'!$D$60:$EQ$99,$B27,90)*IF($W27=1,GM27+ADB27,GM27)=1,IF(AND($E27=2,IF($W27=1,AIQ27,MB27)=0),1000000000,IF($V27=1,INDEX('calcA'!$D$130:$EQ$169,$B27,90)+IF(AND($E27=1,MB27=0),25,0),INDEX('calcA'!CO$110:CO$114,$F27+1)+IF(AND($E27=1,MB27=0),1000,0)+IF($H27=1,INDEX('calcA'!$D$180:$EQ$219,$B27,90)*500,0)-IF(AND('calcA'!CN$117=1,XL27&gt;0),300,0)-IF(AND($U27=1,'calcA'!CO$117=1,GN27=0),300,0))),1000000000))</f>
        <v/>
      </c>
      <c r="RR27">
        <f>IF($B27=0,1000000000,IF(INDEX('calcA'!$D$60:$EQ$99,$B27,91)*IF($W27=1,GN27+ADC27,GN27)=1,IF(AND($E27=2,IF($W27=1,AIR27,MC27)=0),1000000000,IF($V27=1,INDEX('calcA'!$D$130:$EQ$169,$B27,91)+IF(AND($E27=1,MC27=0),25,0),INDEX('calcA'!CP$110:CP$114,$F27+1)+IF(AND($E27=1,MC27=0),1000,0)+IF($H27=1,INDEX('calcA'!$D$180:$EQ$219,$B27,91)*500,0)-IF(AND('calcA'!CO$117=1,XM27&gt;0),300,0)-IF(AND($U27=1,'calcA'!CP$117=1,GO27=0),300,0))),1000000000))</f>
        <v/>
      </c>
      <c r="RS27">
        <f>IF($B27=0,1000000000,IF(INDEX('calcA'!$D$60:$EQ$99,$B27,92)*IF($W27=1,GO27+ADD27,GO27)=1,IF(AND($E27=2,IF($W27=1,AIS27,MD27)=0),1000000000,IF($V27=1,INDEX('calcA'!$D$130:$EQ$169,$B27,92)+IF(AND($E27=1,MD27=0),25,0),INDEX('calcA'!CQ$110:CQ$114,$F27+1)+IF(AND($E27=1,MD27=0),1000,0)+IF($H27=1,INDEX('calcA'!$D$180:$EQ$219,$B27,92)*500,0)-IF(AND('calcA'!CP$117=1,XN27&gt;0),300,0)-IF(AND($U27=1,'calcA'!CQ$117=1,GP27=0),300,0))),1000000000))</f>
        <v/>
      </c>
      <c r="RT27">
        <f>IF($B27=0,1000000000,IF(INDEX('calcA'!$D$60:$EQ$99,$B27,93)*IF($W27=1,GP27+ADE27,GP27)=1,IF(AND($E27=2,IF($W27=1,AIT27,ME27)=0),1000000000,IF($V27=1,INDEX('calcA'!$D$130:$EQ$169,$B27,93)+IF(AND($E27=1,ME27=0),25,0),INDEX('calcA'!CR$110:CR$114,$F27+1)+IF(AND($E27=1,ME27=0),1000,0)+IF($H27=1,INDEX('calcA'!$D$180:$EQ$219,$B27,93)*500,0)-IF(AND('calcA'!CQ$117=1,XO27&gt;0),300,0)-IF(AND($U27=1,'calcA'!CR$117=1,GQ27=0),300,0))),1000000000))</f>
        <v/>
      </c>
      <c r="RU27">
        <f>IF($B27=0,1000000000,IF(INDEX('calcA'!$D$60:$EQ$99,$B27,94)*IF($W27=1,GQ27+ADF27,GQ27)=1,IF(AND($E27=2,IF($W27=1,AIU27,MF27)=0),1000000000,IF($V27=1,INDEX('calcA'!$D$130:$EQ$169,$B27,94)+IF(AND($E27=1,MF27=0),25,0),INDEX('calcA'!CS$110:CS$114,$F27+1)+IF(AND($E27=1,MF27=0),1000,0)+IF($H27=1,INDEX('calcA'!$D$180:$EQ$219,$B27,94)*500,0)-IF(AND('calcA'!CR$117=1,XP27&gt;0),300,0)-IF(AND($U27=1,'calcA'!CS$117=1,GR27=0),300,0))),1000000000))</f>
        <v/>
      </c>
      <c r="RV27">
        <f>IF($B27=0,1000000000,IF(INDEX('calcA'!$D$60:$EQ$99,$B27,95)*IF($W27=1,GR27+ADG27,GR27)=1,IF(AND($E27=2,IF($W27=1,AIV27,MG27)=0),1000000000,IF($V27=1,INDEX('calcA'!$D$130:$EQ$169,$B27,95)+IF(AND($E27=1,MG27=0),25,0),INDEX('calcA'!CT$110:CT$114,$F27+1)+IF(AND($E27=1,MG27=0),1000,0)+IF($H27=1,INDEX('calcA'!$D$180:$EQ$219,$B27,95)*500,0)-IF(AND('calcA'!CS$117=1,XQ27&gt;0),300,0)-IF(AND($U27=1,'calcA'!CT$117=1,GS27=0),300,0))),1000000000))</f>
        <v/>
      </c>
      <c r="RW27">
        <f>IF($B27=0,1000000000,IF(INDEX('calcA'!$D$60:$EQ$99,$B27,96)*IF($W27=1,GS27+ADH27,GS27)=1,IF(AND($E27=2,IF($W27=1,AIW27,MH27)=0),1000000000,IF($V27=1,INDEX('calcA'!$D$130:$EQ$169,$B27,96)+IF(AND($E27=1,MH27=0),25,0),INDEX('calcA'!CU$110:CU$114,$F27+1)+IF(AND($E27=1,MH27=0),1000,0)+IF($H27=1,INDEX('calcA'!$D$180:$EQ$219,$B27,96)*500,0)-IF(AND('calcA'!CT$117=1,XR27&gt;0),300,0))),1000000000))</f>
        <v/>
      </c>
      <c r="RX27">
        <f>IF($B27=0,1000000000,IF(INDEX('calcA'!$D$60:$EQ$99,$B27,97)*IF($W27=1,GT27+ADI27,GT27)=1,IF(AND($E27=2,IF($W27=1,AIX27,MI27)=0),1000000000,IF($V27=1,INDEX('calcA'!$D$130:$EQ$169,$B27,97)+IF(AND($E27=1,MI27=0),25,0),INDEX('calcA'!CV$110:CV$114,$F27+1)+IF(AND($E27=1,MI27=0),1000,0)+IF($H27=1,INDEX('calcA'!$D$180:$EQ$219,$B27,97)*500,0)-IF(AND($U27=1,'calcA'!CV$117=1,GU27=0),300,0))),1000000000))</f>
        <v/>
      </c>
      <c r="RY27">
        <f>IF($B27=0,1000000000,IF(INDEX('calcA'!$D$60:$EQ$99,$B27,98)*IF($W27=1,GU27+ADJ27,GU27)=1,IF(AND($E27=2,IF($W27=1,AIY27,MJ27)=0),1000000000,IF($V27=1,INDEX('calcA'!$D$130:$EQ$169,$B27,98)+IF(AND($E27=1,MJ27=0),25,0),INDEX('calcA'!CW$110:CW$114,$F27+1)+IF(AND($E27=1,MJ27=0),1000,0)+IF($H27=1,INDEX('calcA'!$D$180:$EQ$219,$B27,98)*500,0)-IF(AND('calcA'!CV$117=1,XT27&gt;0),300,0)-IF(AND($U27=1,'calcA'!CW$117=1,GV27=0),300,0))),1000000000))</f>
        <v/>
      </c>
      <c r="RZ27">
        <f>IF($B27=0,1000000000,IF(INDEX('calcA'!$D$60:$EQ$99,$B27,99)*IF($W27=1,GV27+ADK27,GV27)=1,IF(AND($E27=2,IF($W27=1,AIZ27,MK27)=0),1000000000,IF($V27=1,INDEX('calcA'!$D$130:$EQ$169,$B27,99)+IF(AND($E27=1,MK27=0),25,0),INDEX('calcA'!CX$110:CX$114,$F27+1)+IF(AND($E27=1,MK27=0),1000,0)+IF($H27=1,INDEX('calcA'!$D$180:$EQ$219,$B27,99)*500,0)-IF(AND('calcA'!CW$117=1,XU27&gt;0),300,0)-IF(AND($U27=1,'calcA'!CX$117=1,GW27=0),300,0))),1000000000))</f>
        <v/>
      </c>
      <c r="SA27">
        <f>IF($B27=0,1000000000,IF(INDEX('calcA'!$D$60:$EQ$99,$B27,100)*IF($W27=1,GW27+ADL27,GW27)=1,IF(AND($E27=2,IF($W27=1,AJA27,ML27)=0),1000000000,IF($V27=1,INDEX('calcA'!$D$130:$EQ$169,$B27,100)+IF(AND($E27=1,ML27=0),25,0),INDEX('calcA'!CY$110:CY$114,$F27+1)+IF(AND($E27=1,ML27=0),1000,0)+IF($H27=1,INDEX('calcA'!$D$180:$EQ$219,$B27,100)*500,0)-IF(AND('calcA'!CX$117=1,XV27&gt;0),300,0)-IF(AND($U27=1,'calcA'!CY$117=1,GX27=0),300,0))),1000000000))</f>
        <v/>
      </c>
      <c r="SB27">
        <f>IF($B27=0,1000000000,IF(INDEX('calcA'!$D$60:$EQ$99,$B27,101)*IF($W27=1,GX27+ADM27,GX27)=1,IF(AND($E27=2,IF($W27=1,AJB27,MM27)=0),1000000000,IF($V27=1,INDEX('calcA'!$D$130:$EQ$169,$B27,101)+IF(AND($E27=1,MM27=0),25,0),INDEX('calcA'!CZ$110:CZ$114,$F27+1)+IF(AND($E27=1,MM27=0),1000,0)+IF($H27=1,INDEX('calcA'!$D$180:$EQ$219,$B27,101)*500,0)-IF(AND('calcA'!CY$117=1,XW27&gt;0),300,0)-IF(AND($U27=1,'calcA'!CZ$117=1,GY27=0),300,0))),1000000000))</f>
        <v/>
      </c>
      <c r="SC27">
        <f>IF($B27=0,1000000000,IF(INDEX('calcA'!$D$60:$EQ$99,$B27,102)*IF($W27=1,GY27+ADN27,GY27)=1,IF(AND($E27=2,IF($W27=1,AJC27,MN27)=0),1000000000,IF($V27=1,INDEX('calcA'!$D$130:$EQ$169,$B27,102)+IF(AND($E27=1,MN27=0),25,0),INDEX('calcA'!DA$110:DA$114,$F27+1)+IF(AND($E27=1,MN27=0),1000,0)+IF($H27=1,INDEX('calcA'!$D$180:$EQ$219,$B27,102)*500,0)-IF(AND('calcA'!CZ$117=1,XX27&gt;0),300,0)-IF(AND($U27=1,'calcA'!DA$117=1,GZ27=0),300,0))),1000000000))</f>
        <v/>
      </c>
      <c r="SD27">
        <f>IF($B27=0,1000000000,IF(INDEX('calcA'!$D$60:$EQ$99,$B27,103)*IF($W27=1,GZ27+ADO27,GZ27)=1,IF(AND($E27=2,IF($W27=1,AJD27,MO27)=0),1000000000,IF($V27=1,INDEX('calcA'!$D$130:$EQ$169,$B27,103)+IF(AND($E27=1,MO27=0),25,0),INDEX('calcA'!DB$110:DB$114,$F27+1)+IF(AND($E27=1,MO27=0),1000,0)+IF($H27=1,INDEX('calcA'!$D$180:$EQ$219,$B27,103)*500,0)-IF(AND('calcA'!DA$117=1,XY27&gt;0),300,0)-IF(AND($U27=1,'calcA'!DB$117=1,HA27=0),300,0))),1000000000))</f>
        <v/>
      </c>
      <c r="SE27">
        <f>IF($B27=0,1000000000,IF(INDEX('calcA'!$D$60:$EQ$99,$B27,104)*IF($W27=1,HA27+ADP27,HA27)=1,IF(AND($E27=2,IF($W27=1,AJE27,MP27)=0),1000000000,IF($V27=1,INDEX('calcA'!$D$130:$EQ$169,$B27,104)+IF(AND($E27=1,MP27=0),25,0),INDEX('calcA'!DC$110:DC$114,$F27+1)+IF(AND($E27=1,MP27=0),1000,0)+IF($H27=1,INDEX('calcA'!$D$180:$EQ$219,$B27,104)*500,0)-IF(AND('calcA'!DB$117=1,XZ27&gt;0),300,0)-IF(AND($U27=1,'calcA'!DC$117=1,HB27=0),300,0))),1000000000))</f>
        <v/>
      </c>
      <c r="SF27">
        <f>IF($B27=0,1000000000,IF(INDEX('calcA'!$D$60:$EQ$99,$B27,105)*IF($W27=1,HB27+ADQ27,HB27)=1,IF(AND($E27=2,IF($W27=1,AJF27,MQ27)=0),1000000000,IF($V27=1,INDEX('calcA'!$D$130:$EQ$169,$B27,105)+IF(AND($E27=1,MQ27=0),25,0),INDEX('calcA'!DD$110:DD$114,$F27+1)+IF(AND($E27=1,MQ27=0),1000,0)+IF($H27=1,INDEX('calcA'!$D$180:$EQ$219,$B27,105)*500,0)-IF(AND('calcA'!DC$117=1,YA27&gt;0),300,0)-IF(AND($U27=1,'calcA'!DD$117=1,HC27=0),300,0))),1000000000))</f>
        <v/>
      </c>
      <c r="SG27">
        <f>IF($B27=0,1000000000,IF(INDEX('calcA'!$D$60:$EQ$99,$B27,106)*IF($W27=1,HC27+ADR27,HC27)=1,IF(AND($E27=2,IF($W27=1,AJG27,MR27)=0),1000000000,IF($V27=1,INDEX('calcA'!$D$130:$EQ$169,$B27,106)+IF(AND($E27=1,MR27=0),25,0),INDEX('calcA'!DE$110:DE$114,$F27+1)+IF(AND($E27=1,MR27=0),1000,0)+IF($H27=1,INDEX('calcA'!$D$180:$EQ$219,$B27,106)*500,0)-IF(AND('calcA'!DD$117=1,YB27&gt;0),300,0)-IF(AND($U27=1,'calcA'!DE$117=1,HD27=0),300,0))),1000000000))</f>
        <v/>
      </c>
      <c r="SH27">
        <f>IF($B27=0,1000000000,IF(INDEX('calcA'!$D$60:$EQ$99,$B27,107)*IF($W27=1,HD27+ADS27,HD27)=1,IF(AND($E27=2,IF($W27=1,AJH27,MS27)=0),1000000000,IF($V27=1,INDEX('calcA'!$D$130:$EQ$169,$B27,107)+IF(AND($E27=1,MS27=0),25,0),INDEX('calcA'!DF$110:DF$114,$F27+1)+IF(AND($E27=1,MS27=0),1000,0)+IF($H27=1,INDEX('calcA'!$D$180:$EQ$219,$B27,107)*500,0)-IF(AND('calcA'!DE$117=1,YC27&gt;0),300,0)-IF(AND($U27=1,'calcA'!DF$117=1,HE27=0),300,0))),1000000000))</f>
        <v/>
      </c>
      <c r="SI27">
        <f>IF($B27=0,1000000000,IF(INDEX('calcA'!$D$60:$EQ$99,$B27,108)*IF($W27=1,HE27+ADT27,HE27)=1,IF(AND($E27=2,IF($W27=1,AJI27,MT27)=0),1000000000,IF($V27=1,INDEX('calcA'!$D$130:$EQ$169,$B27,108)+IF(AND($E27=1,MT27=0),25,0),INDEX('calcA'!DG$110:DG$114,$F27+1)+IF(AND($E27=1,MT27=0),1000,0)+IF($H27=1,INDEX('calcA'!$D$180:$EQ$219,$B27,108)*500,0)-IF(AND('calcA'!DF$117=1,YD27&gt;0),300,0)-IF(AND($U27=1,'calcA'!DG$117=1,HF27=0),300,0))),1000000000))</f>
        <v/>
      </c>
      <c r="SJ27">
        <f>IF($B27=0,1000000000,IF(INDEX('calcA'!$D$60:$EQ$99,$B27,109)*IF($W27=1,HF27+ADU27,HF27)=1,IF(AND($E27=2,IF($W27=1,AJJ27,MU27)=0),1000000000,IF($V27=1,INDEX('calcA'!$D$130:$EQ$169,$B27,109)+IF(AND($E27=1,MU27=0),25,0),INDEX('calcA'!DH$110:DH$114,$F27+1)+IF(AND($E27=1,MU27=0),1000,0)+IF($H27=1,INDEX('calcA'!$D$180:$EQ$219,$B27,109)*500,0)-IF(AND('calcA'!DG$117=1,YE27&gt;0),300,0)-IF(AND($U27=1,'calcA'!DH$117=1,HG27=0),300,0))),1000000000))</f>
        <v/>
      </c>
      <c r="SK27">
        <f>IF($B27=0,1000000000,IF(INDEX('calcA'!$D$60:$EQ$99,$B27,110)*IF($W27=1,HG27+ADV27,HG27)=1,IF(AND($E27=2,IF($W27=1,AJK27,MV27)=0),1000000000,IF($V27=1,INDEX('calcA'!$D$130:$EQ$169,$B27,110)+IF(AND($E27=1,MV27=0),25,0),INDEX('calcA'!DI$110:DI$114,$F27+1)+IF(AND($E27=1,MV27=0),1000,0)+IF($H27=1,INDEX('calcA'!$D$180:$EQ$219,$B27,110)*500,0)-IF(AND('calcA'!DH$117=1,YF27&gt;0),300,0)-IF(AND($U27=1,'calcA'!DI$117=1,HH27=0),300,0))),1000000000))</f>
        <v/>
      </c>
      <c r="SL27">
        <f>IF($B27=0,1000000000,IF(INDEX('calcA'!$D$60:$EQ$99,$B27,111)*IF($W27=1,HH27+ADW27,HH27)=1,IF(AND($E27=2,IF($W27=1,AJL27,MW27)=0),1000000000,IF($V27=1,INDEX('calcA'!$D$130:$EQ$169,$B27,111)+IF(AND($E27=1,MW27=0),25,0),INDEX('calcA'!DJ$110:DJ$114,$F27+1)+IF(AND($E27=1,MW27=0),1000,0)+IF($H27=1,INDEX('calcA'!$D$180:$EQ$219,$B27,111)*500,0)-IF(AND('calcA'!DI$117=1,YG27&gt;0),300,0)-IF(AND($U27=1,'calcA'!DJ$117=1,HI27=0),300,0))),1000000000))</f>
        <v/>
      </c>
      <c r="SM27">
        <f>IF($B27=0,1000000000,IF(INDEX('calcA'!$D$60:$EQ$99,$B27,112)*IF($W27=1,HI27+ADX27,HI27)=1,IF(AND($E27=2,IF($W27=1,AJM27,MX27)=0),1000000000,IF($V27=1,INDEX('calcA'!$D$130:$EQ$169,$B27,112)+IF(AND($E27=1,MX27=0),25,0),INDEX('calcA'!DK$110:DK$114,$F27+1)+IF(AND($E27=1,MX27=0),1000,0)+IF($H27=1,INDEX('calcA'!$D$180:$EQ$219,$B27,112)*500,0)-IF(AND('calcA'!DJ$117=1,YH27&gt;0),300,0)-IF(AND($U27=1,'calcA'!DK$117=1,HJ27=0),300,0))),1000000000))</f>
        <v/>
      </c>
      <c r="SN27">
        <f>IF($B27=0,1000000000,IF(INDEX('calcA'!$D$60:$EQ$99,$B27,113)*IF($W27=1,HJ27+ADY27,HJ27)=1,IF(AND($E27=2,IF($W27=1,AJN27,MY27)=0),1000000000,IF($V27=1,INDEX('calcA'!$D$130:$EQ$169,$B27,113)+IF(AND($E27=1,MY27=0),25,0),INDEX('calcA'!DL$110:DL$114,$F27+1)+IF(AND($E27=1,MY27=0),1000,0)+IF($H27=1,INDEX('calcA'!$D$180:$EQ$219,$B27,113)*500,0)-IF(AND('calcA'!DK$117=1,YI27&gt;0),300,0)-IF(AND($U27=1,'calcA'!DL$117=1,HK27=0),300,0))),1000000000))</f>
        <v/>
      </c>
      <c r="SO27">
        <f>IF($B27=0,1000000000,IF(INDEX('calcA'!$D$60:$EQ$99,$B27,114)*IF($W27=1,HK27+ADZ27,HK27)=1,IF(AND($E27=2,IF($W27=1,AJO27,MZ27)=0),1000000000,IF($V27=1,INDEX('calcA'!$D$130:$EQ$169,$B27,114)+IF(AND($E27=1,MZ27=0),25,0),INDEX('calcA'!DM$110:DM$114,$F27+1)+IF(AND($E27=1,MZ27=0),1000,0)+IF($H27=1,INDEX('calcA'!$D$180:$EQ$219,$B27,114)*500,0)-IF(AND('calcA'!DL$117=1,YJ27&gt;0),300,0)-IF(AND($U27=1,'calcA'!DM$117=1,HL27=0),300,0))),1000000000))</f>
        <v/>
      </c>
      <c r="SP27">
        <f>IF($B27=0,1000000000,IF(INDEX('calcA'!$D$60:$EQ$99,$B27,115)*IF($W27=1,HL27+AEA27,HL27)=1,IF(AND($E27=2,IF($W27=1,AJP27,NA27)=0),1000000000,IF($V27=1,INDEX('calcA'!$D$130:$EQ$169,$B27,115)+IF(AND($E27=1,NA27=0),25,0),INDEX('calcA'!DN$110:DN$114,$F27+1)+IF(AND($E27=1,NA27=0),1000,0)+IF($H27=1,INDEX('calcA'!$D$180:$EQ$219,$B27,115)*500,0)-IF(AND('calcA'!DM$117=1,YK27&gt;0),300,0)-IF(AND($U27=1,'calcA'!DN$117=1,HM27=0),300,0))),1000000000))</f>
        <v/>
      </c>
      <c r="SQ27">
        <f>IF($B27=0,1000000000,IF(INDEX('calcA'!$D$60:$EQ$99,$B27,116)*IF($W27=1,HM27+AEB27,HM27)=1,IF(AND($E27=2,IF($W27=1,AJQ27,NB27)=0),1000000000,IF($V27=1,INDEX('calcA'!$D$130:$EQ$169,$B27,116)+IF(AND($E27=1,NB27=0),25,0),INDEX('calcA'!DO$110:DO$114,$F27+1)+IF(AND($E27=1,NB27=0),1000,0)+IF($H27=1,INDEX('calcA'!$D$180:$EQ$219,$B27,116)*500,0)-IF(AND('calcA'!DN$117=1,YL27&gt;0),300,0)-IF(AND($U27=1,'calcA'!DO$117=1,HN27=0),300,0))),1000000000))</f>
        <v/>
      </c>
      <c r="SR27">
        <f>IF($B27=0,1000000000,IF(INDEX('calcA'!$D$60:$EQ$99,$B27,117)*IF($W27=1,HN27+AEC27,HN27)=1,IF(AND($E27=2,IF($W27=1,AJR27,NC27)=0),1000000000,IF($V27=1,INDEX('calcA'!$D$130:$EQ$169,$B27,117)+IF(AND($E27=1,NC27=0),25,0),INDEX('calcA'!DP$110:DP$114,$F27+1)+IF(AND($E27=1,NC27=0),1000,0)+IF($H27=1,INDEX('calcA'!$D$180:$EQ$219,$B27,117)*500,0)-IF(AND('calcA'!DO$117=1,YM27&gt;0),300,0)-IF(AND($U27=1,'calcA'!DP$117=1,HO27=0),300,0))),1000000000))</f>
        <v/>
      </c>
      <c r="SS27">
        <f>IF($B27=0,1000000000,IF(INDEX('calcA'!$D$60:$EQ$99,$B27,118)*IF($W27=1,HO27+AED27,HO27)=1,IF(AND($E27=2,IF($W27=1,AJS27,ND27)=0),1000000000,IF($V27=1,INDEX('calcA'!$D$130:$EQ$169,$B27,118)+IF(AND($E27=1,ND27=0),25,0),INDEX('calcA'!DQ$110:DQ$114,$F27+1)+IF(AND($E27=1,ND27=0),1000,0)+IF($H27=1,INDEX('calcA'!$D$180:$EQ$219,$B27,118)*500,0)-IF(AND('calcA'!DP$117=1,YN27&gt;0),300,0)-IF(AND($U27=1,'calcA'!DQ$117=1,HP27=0),300,0))),1000000000))</f>
        <v/>
      </c>
      <c r="ST27">
        <f>IF($B27=0,1000000000,IF(INDEX('calcA'!$D$60:$EQ$99,$B27,119)*IF($W27=1,HP27+AEE27,HP27)=1,IF(AND($E27=2,IF($W27=1,AJT27,NE27)=0),1000000000,IF($V27=1,INDEX('calcA'!$D$130:$EQ$169,$B27,119)+IF(AND($E27=1,NE27=0),25,0),INDEX('calcA'!DR$110:DR$114,$F27+1)+IF(AND($E27=1,NE27=0),1000,0)+IF($H27=1,INDEX('calcA'!$D$180:$EQ$219,$B27,119)*500,0)-IF(AND('calcA'!DQ$117=1,YO27&gt;0),300,0)-IF(AND($U27=1,'calcA'!DR$117=1,HQ27=0),300,0))),1000000000))</f>
        <v/>
      </c>
      <c r="SU27">
        <f>IF($B27=0,1000000000,IF(INDEX('calcA'!$D$60:$EQ$99,$B27,120)*IF($W27=1,HQ27+AEF27,HQ27)=1,IF(AND($E27=2,IF($W27=1,AJU27,NF27)=0),1000000000,IF($V27=1,INDEX('calcA'!$D$130:$EQ$169,$B27,120)+IF(AND($E27=1,NF27=0),25,0),INDEX('calcA'!DS$110:DS$114,$F27+1)+IF(AND($E27=1,NF27=0),1000,0)+IF($H27=1,INDEX('calcA'!$D$180:$EQ$219,$B27,120)*500,0)-IF(AND('calcA'!DR$117=1,YP27&gt;0),300,0))),1000000000))</f>
        <v/>
      </c>
      <c r="SV27">
        <f>IF($B27=0,1000000000,IF(INDEX('calcA'!$D$60:$EQ$99,$B27,121)*IF($W27=1,HR27+AEG27,HR27)=1,IF(AND($E27=2,IF($W27=1,AJV27,NG27)=0),1000000000,IF($V27=1,INDEX('calcA'!$D$130:$EQ$169,$B27,121)+IF(AND($E27=1,NG27=0),25,0),INDEX('calcA'!DT$110:DT$114,$F27+1)+IF(AND($E27=1,NG27=0),1000,0)+IF($H27=1,INDEX('calcA'!$D$180:$EQ$219,$B27,121)*500,0)-IF(AND($U27=1,'calcA'!DT$117=1,HS27=0),300,0))),1000000000))</f>
        <v/>
      </c>
      <c r="SW27">
        <f>IF($B27=0,1000000000,IF(INDEX('calcA'!$D$60:$EQ$99,$B27,122)*IF($W27=1,HS27+AEH27,HS27)=1,IF(AND($E27=2,IF($W27=1,AJW27,NH27)=0),1000000000,IF($V27=1,INDEX('calcA'!$D$130:$EQ$169,$B27,122)+IF(AND($E27=1,NH27=0),25,0),INDEX('calcA'!DU$110:DU$114,$F27+1)+IF(AND($E27=1,NH27=0),1000,0)+IF($H27=1,INDEX('calcA'!$D$180:$EQ$219,$B27,122)*500,0)-IF(AND('calcA'!DT$117=1,YR27&gt;0),300,0)-IF(AND($U27=1,'calcA'!DU$117=1,HT27=0),300,0))),1000000000))</f>
        <v/>
      </c>
      <c r="SX27">
        <f>IF($B27=0,1000000000,IF(INDEX('calcA'!$D$60:$EQ$99,$B27,123)*IF($W27=1,HT27+AEI27,HT27)=1,IF(AND($E27=2,IF($W27=1,AJX27,NI27)=0),1000000000,IF($V27=1,INDEX('calcA'!$D$130:$EQ$169,$B27,123)+IF(AND($E27=1,NI27=0),25,0),INDEX('calcA'!DV$110:DV$114,$F27+1)+IF(AND($E27=1,NI27=0),1000,0)+IF($H27=1,INDEX('calcA'!$D$180:$EQ$219,$B27,123)*500,0)-IF(AND('calcA'!DU$117=1,YS27&gt;0),300,0)-IF(AND($U27=1,'calcA'!DV$117=1,HU27=0),300,0))),1000000000))</f>
        <v/>
      </c>
      <c r="SY27">
        <f>IF($B27=0,1000000000,IF(INDEX('calcA'!$D$60:$EQ$99,$B27,124)*IF($W27=1,HU27+AEJ27,HU27)=1,IF(AND($E27=2,IF($W27=1,AJY27,NJ27)=0),1000000000,IF($V27=1,INDEX('calcA'!$D$130:$EQ$169,$B27,124)+IF(AND($E27=1,NJ27=0),25,0),INDEX('calcA'!DW$110:DW$114,$F27+1)+IF(AND($E27=1,NJ27=0),1000,0)+IF($H27=1,INDEX('calcA'!$D$180:$EQ$219,$B27,124)*500,0)-IF(AND('calcA'!DV$117=1,YT27&gt;0),300,0)-IF(AND($U27=1,'calcA'!DW$117=1,HV27=0),300,0))),1000000000))</f>
        <v/>
      </c>
      <c r="SZ27">
        <f>IF($B27=0,1000000000,IF(INDEX('calcA'!$D$60:$EQ$99,$B27,125)*IF($W27=1,HV27+AEK27,HV27)=1,IF(AND($E27=2,IF($W27=1,AJZ27,NK27)=0),1000000000,IF($V27=1,INDEX('calcA'!$D$130:$EQ$169,$B27,125)+IF(AND($E27=1,NK27=0),25,0),INDEX('calcA'!DX$110:DX$114,$F27+1)+IF(AND($E27=1,NK27=0),1000,0)+IF($H27=1,INDEX('calcA'!$D$180:$EQ$219,$B27,125)*500,0)-IF(AND('calcA'!DW$117=1,YU27&gt;0),300,0)-IF(AND($U27=1,'calcA'!DX$117=1,HW27=0),300,0))),1000000000))</f>
        <v/>
      </c>
      <c r="TA27">
        <f>IF($B27=0,1000000000,IF(INDEX('calcA'!$D$60:$EQ$99,$B27,126)*IF($W27=1,HW27+AEL27,HW27)=1,IF(AND($E27=2,IF($W27=1,AKA27,NL27)=0),1000000000,IF($V27=1,INDEX('calcA'!$D$130:$EQ$169,$B27,126)+IF(AND($E27=1,NL27=0),25,0),INDEX('calcA'!DY$110:DY$114,$F27+1)+IF(AND($E27=1,NL27=0),1000,0)+IF($H27=1,INDEX('calcA'!$D$180:$EQ$219,$B27,126)*500,0)-IF(AND('calcA'!DX$117=1,YV27&gt;0),300,0)-IF(AND($U27=1,'calcA'!DY$117=1,HX27=0),300,0))),1000000000))</f>
        <v/>
      </c>
      <c r="TB27">
        <f>IF($B27=0,1000000000,IF(INDEX('calcA'!$D$60:$EQ$99,$B27,127)*IF($W27=1,HX27+AEM27,HX27)=1,IF(AND($E27=2,IF($W27=1,AKB27,NM27)=0),1000000000,IF($V27=1,INDEX('calcA'!$D$130:$EQ$169,$B27,127)+IF(AND($E27=1,NM27=0),25,0),INDEX('calcA'!DZ$110:DZ$114,$F27+1)+IF(AND($E27=1,NM27=0),1000,0)+IF($H27=1,INDEX('calcA'!$D$180:$EQ$219,$B27,127)*500,0)-IF(AND('calcA'!DY$117=1,YW27&gt;0),300,0)-IF(AND($U27=1,'calcA'!DZ$117=1,HY27=0),300,0))),1000000000))</f>
        <v/>
      </c>
      <c r="TC27">
        <f>IF($B27=0,1000000000,IF(INDEX('calcA'!$D$60:$EQ$99,$B27,128)*IF($W27=1,HY27+AEN27,HY27)=1,IF(AND($E27=2,IF($W27=1,AKC27,NN27)=0),1000000000,IF($V27=1,INDEX('calcA'!$D$130:$EQ$169,$B27,128)+IF(AND($E27=1,NN27=0),25,0),INDEX('calcA'!EA$110:EA$114,$F27+1)+IF(AND($E27=1,NN27=0),1000,0)+IF($H27=1,INDEX('calcA'!$D$180:$EQ$219,$B27,128)*500,0)-IF(AND('calcA'!DZ$117=1,YX27&gt;0),300,0)-IF(AND($U27=1,'calcA'!EA$117=1,HZ27=0),300,0))),1000000000))</f>
        <v/>
      </c>
      <c r="TD27">
        <f>IF($B27=0,1000000000,IF(INDEX('calcA'!$D$60:$EQ$99,$B27,129)*IF($W27=1,HZ27+AEO27,HZ27)=1,IF(AND($E27=2,IF($W27=1,AKD27,NO27)=0),1000000000,IF($V27=1,INDEX('calcA'!$D$130:$EQ$169,$B27,129)+IF(AND($E27=1,NO27=0),25,0),INDEX('calcA'!EB$110:EB$114,$F27+1)+IF(AND($E27=1,NO27=0),1000,0)+IF($H27=1,INDEX('calcA'!$D$180:$EQ$219,$B27,129)*500,0)-IF(AND('calcA'!EA$117=1,YY27&gt;0),300,0)-IF(AND($U27=1,'calcA'!EB$117=1,IA27=0),300,0))),1000000000))</f>
        <v/>
      </c>
      <c r="TE27">
        <f>IF($B27=0,1000000000,IF(INDEX('calcA'!$D$60:$EQ$99,$B27,130)*IF($W27=1,IA27+AEP27,IA27)=1,IF(AND($E27=2,IF($W27=1,AKE27,NP27)=0),1000000000,IF($V27=1,INDEX('calcA'!$D$130:$EQ$169,$B27,130)+IF(AND($E27=1,NP27=0),25,0),INDEX('calcA'!EC$110:EC$114,$F27+1)+IF(AND($E27=1,NP27=0),1000,0)+IF($H27=1,INDEX('calcA'!$D$180:$EQ$219,$B27,130)*500,0)-IF(AND('calcA'!EB$117=1,YZ27&gt;0),300,0)-IF(AND($U27=1,'calcA'!EC$117=1,IB27=0),300,0))),1000000000))</f>
        <v/>
      </c>
      <c r="TF27">
        <f>IF($B27=0,1000000000,IF(INDEX('calcA'!$D$60:$EQ$99,$B27,131)*IF($W27=1,IB27+AEQ27,IB27)=1,IF(AND($E27=2,IF($W27=1,AKF27,NQ27)=0),1000000000,IF($V27=1,INDEX('calcA'!$D$130:$EQ$169,$B27,131)+IF(AND($E27=1,NQ27=0),25,0),INDEX('calcA'!ED$110:ED$114,$F27+1)+IF(AND($E27=1,NQ27=0),1000,0)+IF($H27=1,INDEX('calcA'!$D$180:$EQ$219,$B27,131)*500,0)-IF(AND('calcA'!EC$117=1,ZA27&gt;0),300,0)-IF(AND($U27=1,'calcA'!ED$117=1,IC27=0),300,0))),1000000000))</f>
        <v/>
      </c>
      <c r="TG27">
        <f>IF($B27=0,1000000000,IF(INDEX('calcA'!$D$60:$EQ$99,$B27,132)*IF($W27=1,IC27+AER27,IC27)=1,IF(AND($E27=2,IF($W27=1,AKG27,NR27)=0),1000000000,IF($V27=1,INDEX('calcA'!$D$130:$EQ$169,$B27,132)+IF(AND($E27=1,NR27=0),25,0),INDEX('calcA'!EE$110:EE$114,$F27+1)+IF(AND($E27=1,NR27=0),1000,0)+IF($H27=1,INDEX('calcA'!$D$180:$EQ$219,$B27,132)*500,0)-IF(AND('calcA'!ED$117=1,ZB27&gt;0),300,0)-IF(AND($U27=1,'calcA'!EE$117=1,ID27=0),300,0))),1000000000))</f>
        <v/>
      </c>
      <c r="TH27">
        <f>IF($B27=0,1000000000,IF(INDEX('calcA'!$D$60:$EQ$99,$B27,133)*IF($W27=1,ID27+AES27,ID27)=1,IF(AND($E27=2,IF($W27=1,AKH27,NS27)=0),1000000000,IF($V27=1,INDEX('calcA'!$D$130:$EQ$169,$B27,133)+IF(AND($E27=1,NS27=0),25,0),INDEX('calcA'!EF$110:EF$114,$F27+1)+IF(AND($E27=1,NS27=0),1000,0)+IF($H27=1,INDEX('calcA'!$D$180:$EQ$219,$B27,133)*500,0)-IF(AND('calcA'!EE$117=1,ZC27&gt;0),300,0)-IF(AND($U27=1,'calcA'!EF$117=1,IE27=0),300,0))),1000000000))</f>
        <v/>
      </c>
      <c r="TI27">
        <f>IF($B27=0,1000000000,IF(INDEX('calcA'!$D$60:$EQ$99,$B27,134)*IF($W27=1,IE27+AET27,IE27)=1,IF(AND($E27=2,IF($W27=1,AKI27,NT27)=0),1000000000,IF($V27=1,INDEX('calcA'!$D$130:$EQ$169,$B27,134)+IF(AND($E27=1,NT27=0),25,0),INDEX('calcA'!EG$110:EG$114,$F27+1)+IF(AND($E27=1,NT27=0),1000,0)+IF($H27=1,INDEX('calcA'!$D$180:$EQ$219,$B27,134)*500,0)-IF(AND('calcA'!EF$117=1,ZD27&gt;0),300,0)-IF(AND($U27=1,'calcA'!EG$117=1,IF27=0),300,0))),1000000000))</f>
        <v/>
      </c>
      <c r="TJ27">
        <f>IF($B27=0,1000000000,IF(INDEX('calcA'!$D$60:$EQ$99,$B27,135)*IF($W27=1,IF27+AEU27,IF27)=1,IF(AND($E27=2,IF($W27=1,AKJ27,NU27)=0),1000000000,IF($V27=1,INDEX('calcA'!$D$130:$EQ$169,$B27,135)+IF(AND($E27=1,NU27=0),25,0),INDEX('calcA'!EH$110:EH$114,$F27+1)+IF(AND($E27=1,NU27=0),1000,0)+IF($H27=1,INDEX('calcA'!$D$180:$EQ$219,$B27,135)*500,0)-IF(AND('calcA'!EG$117=1,ZE27&gt;0),300,0)-IF(AND($U27=1,'calcA'!EH$117=1,IG27=0),300,0))),1000000000))</f>
        <v/>
      </c>
      <c r="TK27">
        <f>IF($B27=0,1000000000,IF(INDEX('calcA'!$D$60:$EQ$99,$B27,136)*IF($W27=1,IG27+AEV27,IG27)=1,IF(AND($E27=2,IF($W27=1,AKK27,NV27)=0),1000000000,IF($V27=1,INDEX('calcA'!$D$130:$EQ$169,$B27,136)+IF(AND($E27=1,NV27=0),25,0),INDEX('calcA'!EI$110:EI$114,$F27+1)+IF(AND($E27=1,NV27=0),1000,0)+IF($H27=1,INDEX('calcA'!$D$180:$EQ$219,$B27,136)*500,0)-IF(AND('calcA'!EH$117=1,ZF27&gt;0),300,0)-IF(AND($U27=1,'calcA'!EI$117=1,IH27=0),300,0))),1000000000))</f>
        <v/>
      </c>
      <c r="TL27">
        <f>IF($B27=0,1000000000,IF(INDEX('calcA'!$D$60:$EQ$99,$B27,137)*IF($W27=1,IH27+AEW27,IH27)=1,IF(AND($E27=2,IF($W27=1,AKL27,NW27)=0),1000000000,IF($V27=1,INDEX('calcA'!$D$130:$EQ$169,$B27,137)+IF(AND($E27=1,NW27=0),25,0),INDEX('calcA'!EJ$110:EJ$114,$F27+1)+IF(AND($E27=1,NW27=0),1000,0)+IF($H27=1,INDEX('calcA'!$D$180:$EQ$219,$B27,137)*500,0)-IF(AND('calcA'!EI$117=1,ZG27&gt;0),300,0)-IF(AND($U27=1,'calcA'!EJ$117=1,II27=0),300,0))),1000000000))</f>
        <v/>
      </c>
      <c r="TM27">
        <f>IF($B27=0,1000000000,IF(INDEX('calcA'!$D$60:$EQ$99,$B27,138)*IF($W27=1,II27+AEX27,II27)=1,IF(AND($E27=2,IF($W27=1,AKM27,NX27)=0),1000000000,IF($V27=1,INDEX('calcA'!$D$130:$EQ$169,$B27,138)+IF(AND($E27=1,NX27=0),25,0),INDEX('calcA'!EK$110:EK$114,$F27+1)+IF(AND($E27=1,NX27=0),1000,0)+IF($H27=1,INDEX('calcA'!$D$180:$EQ$219,$B27,138)*500,0)-IF(AND('calcA'!EJ$117=1,ZH27&gt;0),300,0)-IF(AND($U27=1,'calcA'!EK$117=1,IJ27=0),300,0))),1000000000))</f>
        <v/>
      </c>
      <c r="TN27">
        <f>IF($B27=0,1000000000,IF(INDEX('calcA'!$D$60:$EQ$99,$B27,139)*IF($W27=1,IJ27+AEY27,IJ27)=1,IF(AND($E27=2,IF($W27=1,AKN27,NY27)=0),1000000000,IF($V27=1,INDEX('calcA'!$D$130:$EQ$169,$B27,139)+IF(AND($E27=1,NY27=0),25,0),INDEX('calcA'!EL$110:EL$114,$F27+1)+IF(AND($E27=1,NY27=0),1000,0)+IF($H27=1,INDEX('calcA'!$D$180:$EQ$219,$B27,139)*500,0)-IF(AND('calcA'!EK$117=1,ZI27&gt;0),300,0)-IF(AND($U27=1,'calcA'!EL$117=1,IK27=0),300,0))),1000000000))</f>
        <v/>
      </c>
      <c r="TO27">
        <f>IF($B27=0,1000000000,IF(INDEX('calcA'!$D$60:$EQ$99,$B27,140)*IF($W27=1,IK27+AEZ27,IK27)=1,IF(AND($E27=2,IF($W27=1,AKO27,NZ27)=0),1000000000,IF($V27=1,INDEX('calcA'!$D$130:$EQ$169,$B27,140)+IF(AND($E27=1,NZ27=0),25,0),INDEX('calcA'!EM$110:EM$114,$F27+1)+IF(AND($E27=1,NZ27=0),1000,0)+IF($H27=1,INDEX('calcA'!$D$180:$EQ$219,$B27,140)*500,0)-IF(AND('calcA'!EL$117=1,ZJ27&gt;0),300,0)-IF(AND($U27=1,'calcA'!EM$117=1,IL27=0),300,0))),1000000000))</f>
        <v/>
      </c>
      <c r="TP27">
        <f>IF($B27=0,1000000000,IF(INDEX('calcA'!$D$60:$EQ$99,$B27,141)*IF($W27=1,IL27+AFA27,IL27)=1,IF(AND($E27=2,IF($W27=1,AKP27,OA27)=0),1000000000,IF($V27=1,INDEX('calcA'!$D$130:$EQ$169,$B27,141)+IF(AND($E27=1,OA27=0),25,0),INDEX('calcA'!EN$110:EN$114,$F27+1)+IF(AND($E27=1,OA27=0),1000,0)+IF($H27=1,INDEX('calcA'!$D$180:$EQ$219,$B27,141)*500,0)-IF(AND('calcA'!EM$117=1,ZK27&gt;0),300,0)-IF(AND($U27=1,'calcA'!EN$117=1,IM27=0),300,0))),1000000000))</f>
        <v/>
      </c>
      <c r="TQ27">
        <f>IF($B27=0,1000000000,IF(INDEX('calcA'!$D$60:$EQ$99,$B27,142)*IF($W27=1,IM27+AFB27,IM27)=1,IF(AND($E27=2,IF($W27=1,AKQ27,OB27)=0),1000000000,IF($V27=1,INDEX('calcA'!$D$130:$EQ$169,$B27,142)+IF(AND($E27=1,OB27=0),25,0),INDEX('calcA'!EO$110:EO$114,$F27+1)+IF(AND($E27=1,OB27=0),1000,0)+IF($H27=1,INDEX('calcA'!$D$180:$EQ$219,$B27,142)*500,0)-IF(AND('calcA'!EN$117=1,ZL27&gt;0),300,0)-IF(AND($U27=1,'calcA'!EO$117=1,IN27=0),300,0))),1000000000))</f>
        <v/>
      </c>
      <c r="TR27">
        <f>IF($B27=0,1000000000,IF(INDEX('calcA'!$D$60:$EQ$99,$B27,143)*IF($W27=1,IN27+AFC27,IN27)=1,IF(AND($E27=2,IF($W27=1,AKR27,OC27)=0),1000000000,IF($V27=1,INDEX('calcA'!$D$130:$EQ$169,$B27,143)+IF(AND($E27=1,OC27=0),25,0),INDEX('calcA'!EP$110:EP$114,$F27+1)+IF(AND($E27=1,OC27=0),1000,0)+IF($H27=1,INDEX('calcA'!$D$180:$EQ$219,$B27,143)*500,0)-IF(AND('calcA'!EO$117=1,ZM27&gt;0),300,0)-IF(AND($U27=1,'calcA'!EP$117=1,IO27=0),300,0))),1000000000))</f>
        <v/>
      </c>
      <c r="TS27">
        <f>IF($B27=0,1000000000,IF(INDEX('calcA'!$D$60:$EQ$99,$B27,144)*IF($W27=1,IO27+AFD27,IO27)=1,IF(AND($E27=2,IF($W27=1,AKS27,OD27)=0),1000000000,IF($V27=1,INDEX('calcA'!$D$130:$EQ$169,$B27,144)+IF(AND($E27=1,OD27=0),25,0),INDEX('calcA'!EQ$110:EQ$114,$F27+1)+IF(AND($E27=1,OD27=0),1000,0)+IF($H27=1,INDEX('calcA'!$D$180:$EQ$219,$B27,144)*500,0)-IF(AND('calcA'!EP$117=1,ZN27&gt;0),300,0))),1000000000))</f>
        <v/>
      </c>
      <c r="UB27">
        <f>UB26+IF(AND($C26=1,$U26=1),1,0)</f>
        <v/>
      </c>
      <c r="UC27">
        <f>UC26+IF(AND($C26=2,$U26=1),1,0)</f>
        <v/>
      </c>
      <c r="UD27">
        <f>UD26+IF(AND($C26=3,$U26=1),1,0)</f>
        <v/>
      </c>
      <c r="UE27">
        <f>UE26+IF(AND($C26=4,$U26=1),1,0)</f>
        <v/>
      </c>
      <c r="UF27">
        <f>UF26+IF(AND($C26=5,$U26=1),1,0)</f>
        <v/>
      </c>
      <c r="UG27">
        <f>UG26+IF(AND($C26=6,$U26=1),1,0)</f>
        <v/>
      </c>
      <c r="UH27">
        <f>UH26+IF(AND($C26=7,$U26=1),1,0)</f>
        <v/>
      </c>
      <c r="UI27">
        <f>UI26+IF(AND($C26=8,$U26=1),1,0)</f>
        <v/>
      </c>
      <c r="UJ27">
        <f>UJ26+IF(AND($C26=9,$U26=1),1,0)</f>
        <v/>
      </c>
      <c r="UK27">
        <f>UK26+IF(AND($C26=10,$U26=1),1,0)</f>
        <v/>
      </c>
      <c r="UL27">
        <f>UL26+IF(AND($C26=11,$U26=1),1,0)</f>
        <v/>
      </c>
      <c r="UM27">
        <f>UM26+IF(AND($C26=12,$U26=1),1,0)</f>
        <v/>
      </c>
      <c r="UN27">
        <f>UN26+IF(AND($C26=13,$U26=1),1,0)</f>
        <v/>
      </c>
      <c r="UO27">
        <f>UO26+IF(AND($C26=14,$U26=1),1,0)</f>
        <v/>
      </c>
      <c r="UP27">
        <f>UP26+IF(AND($C26=15,$U26=1),1,0)</f>
        <v/>
      </c>
      <c r="UQ27">
        <f>UQ26+IF(AND($C26=16,$U26=1),1,0)</f>
        <v/>
      </c>
      <c r="UR27">
        <f>UR26+IF(AND($C26=17,$U26=1),1,0)</f>
        <v/>
      </c>
      <c r="US27">
        <f>US26+IF(AND($C26=18,$U26=1),1,0)</f>
        <v/>
      </c>
      <c r="UT27">
        <f>UT26+IF(AND($C26=19,$U26=1),1,0)</f>
        <v/>
      </c>
      <c r="UU27">
        <f>UU26+IF(AND($C26=20,$U26=1),1,0)</f>
        <v/>
      </c>
      <c r="UV27">
        <f>UV26+IF(AND($C26=21,$U26=1),1,0)</f>
        <v/>
      </c>
      <c r="UW27">
        <f>UW26+IF(AND($C26=22,$U26=1),1,0)</f>
        <v/>
      </c>
      <c r="UX27">
        <f>UX26+IF(AND($C26=23,$U26=1),1,0)</f>
        <v/>
      </c>
      <c r="UY27">
        <f>UY26+IF(AND($C26=24,$U26=1),1,0)</f>
        <v/>
      </c>
      <c r="UZ27">
        <f>UZ26+IF(AND($C26=25,$U26=1),1,0)</f>
        <v/>
      </c>
      <c r="VA27">
        <f>VA26+IF(AND($C26=26,$U26=1),1,0)</f>
        <v/>
      </c>
      <c r="VB27">
        <f>VB26+IF(AND($C26=27,$U26=1),1,0)</f>
        <v/>
      </c>
      <c r="VC27">
        <f>VC26+IF(AND($C26=28,$U26=1),1,0)</f>
        <v/>
      </c>
      <c r="VD27">
        <f>VD26+IF(AND($C26=29,$U26=1),1,0)</f>
        <v/>
      </c>
      <c r="VE27">
        <f>VE26+IF(AND($C26=30,$U26=1),1,0)</f>
        <v/>
      </c>
      <c r="VF27">
        <f>VF26+IF(AND($C26=31,$U26=1),1,0)</f>
        <v/>
      </c>
      <c r="VG27">
        <f>VG26+IF(AND($C26=32,$U26=1),1,0)</f>
        <v/>
      </c>
      <c r="VH27">
        <f>VH26+IF(AND($C26=33,$U26=1),1,0)</f>
        <v/>
      </c>
      <c r="VI27">
        <f>VI26+IF(AND($C26=34,$U26=1),1,0)</f>
        <v/>
      </c>
      <c r="VJ27">
        <f>VJ26+IF(AND($C26=35,$U26=1),1,0)</f>
        <v/>
      </c>
      <c r="VK27">
        <f>VK26+IF(AND($C26=36,$U26=1),1,0)</f>
        <v/>
      </c>
      <c r="VL27">
        <f>VL26+IF(AND($C26=37,$U26=1),1,0)</f>
        <v/>
      </c>
      <c r="VM27">
        <f>VM26+IF(AND($C26=38,$U26=1),1,0)</f>
        <v/>
      </c>
      <c r="VN27">
        <f>VN26+IF(AND($C26=39,$U26=1),1,0)</f>
        <v/>
      </c>
      <c r="VO27">
        <f>VO26+IF(AND($C26=40,$U26=1),1,0)</f>
        <v/>
      </c>
      <c r="VP27">
        <f>VP26+IF(AND($C26=41,$U26=1),1,0)</f>
        <v/>
      </c>
      <c r="VQ27">
        <f>VQ26+IF(AND($C26=42,$U26=1),1,0)</f>
        <v/>
      </c>
      <c r="VR27">
        <f>VR26+IF(AND($C26=43,$U26=1),1,0)</f>
        <v/>
      </c>
      <c r="VS27">
        <f>VS26+IF(AND($C26=44,$U26=1),1,0)</f>
        <v/>
      </c>
      <c r="VT27">
        <f>VT26+IF(AND($C26=45,$U26=1),1,0)</f>
        <v/>
      </c>
      <c r="VU27">
        <f>VU26+IF(AND($C26=46,$U26=1),1,0)</f>
        <v/>
      </c>
      <c r="VV27">
        <f>VV26+IF(AND($C26=47,$U26=1),1,0)</f>
        <v/>
      </c>
      <c r="VW27">
        <f>VW26+IF(AND($C26=48,$U26=1),1,0)</f>
        <v/>
      </c>
      <c r="VX27">
        <f>VX26+IF(AND($C26=49,$U26=1),1,0)</f>
        <v/>
      </c>
      <c r="VY27">
        <f>VY26+IF(AND($C26=50,$U26=1),1,0)</f>
        <v/>
      </c>
      <c r="VZ27">
        <f>VZ26+IF(AND($C26=51,$U26=1),1,0)</f>
        <v/>
      </c>
      <c r="WA27">
        <f>WA26+IF(AND($C26=52,$U26=1),1,0)</f>
        <v/>
      </c>
      <c r="WB27">
        <f>WB26+IF(AND($C26=53,$U26=1),1,0)</f>
        <v/>
      </c>
      <c r="WC27">
        <f>WC26+IF(AND($C26=54,$U26=1),1,0)</f>
        <v/>
      </c>
      <c r="WD27">
        <f>WD26+IF(AND($C26=55,$U26=1),1,0)</f>
        <v/>
      </c>
      <c r="WE27">
        <f>WE26+IF(AND($C26=56,$U26=1),1,0)</f>
        <v/>
      </c>
      <c r="WF27">
        <f>WF26+IF(AND($C26=57,$U26=1),1,0)</f>
        <v/>
      </c>
      <c r="WG27">
        <f>WG26+IF(AND($C26=58,$U26=1),1,0)</f>
        <v/>
      </c>
      <c r="WH27">
        <f>WH26+IF(AND($C26=59,$U26=1),1,0)</f>
        <v/>
      </c>
      <c r="WI27">
        <f>WI26+IF(AND($C26=60,$U26=1),1,0)</f>
        <v/>
      </c>
      <c r="WJ27">
        <f>WJ26+IF(AND($C26=61,$U26=1),1,0)</f>
        <v/>
      </c>
      <c r="WK27">
        <f>WK26+IF(AND($C26=62,$U26=1),1,0)</f>
        <v/>
      </c>
      <c r="WL27">
        <f>WL26+IF(AND($C26=63,$U26=1),1,0)</f>
        <v/>
      </c>
      <c r="WM27">
        <f>WM26+IF(AND($C26=64,$U26=1),1,0)</f>
        <v/>
      </c>
      <c r="WN27">
        <f>WN26+IF(AND($C26=65,$U26=1),1,0)</f>
        <v/>
      </c>
      <c r="WO27">
        <f>WO26+IF(AND($C26=66,$U26=1),1,0)</f>
        <v/>
      </c>
      <c r="WP27">
        <f>WP26+IF(AND($C26=67,$U26=1),1,0)</f>
        <v/>
      </c>
      <c r="WQ27">
        <f>WQ26+IF(AND($C26=68,$U26=1),1,0)</f>
        <v/>
      </c>
      <c r="WR27">
        <f>WR26+IF(AND($C26=69,$U26=1),1,0)</f>
        <v/>
      </c>
      <c r="WS27">
        <f>WS26+IF(AND($C26=70,$U26=1),1,0)</f>
        <v/>
      </c>
      <c r="WT27">
        <f>WT26+IF(AND($C26=71,$U26=1),1,0)</f>
        <v/>
      </c>
      <c r="WU27">
        <f>WU26+IF(AND($C26=72,$U26=1),1,0)</f>
        <v/>
      </c>
      <c r="WV27">
        <f>WV26+IF(AND($C26=73,$U26=1),1,0)</f>
        <v/>
      </c>
      <c r="WW27">
        <f>WW26+IF(AND($C26=74,$U26=1),1,0)</f>
        <v/>
      </c>
      <c r="WX27">
        <f>WX26+IF(AND($C26=75,$U26=1),1,0)</f>
        <v/>
      </c>
      <c r="WY27">
        <f>WY26+IF(AND($C26=76,$U26=1),1,0)</f>
        <v/>
      </c>
      <c r="WZ27">
        <f>WZ26+IF(AND($C26=77,$U26=1),1,0)</f>
        <v/>
      </c>
      <c r="XA27">
        <f>XA26+IF(AND($C26=78,$U26=1),1,0)</f>
        <v/>
      </c>
      <c r="XB27">
        <f>XB26+IF(AND($C26=79,$U26=1),1,0)</f>
        <v/>
      </c>
      <c r="XC27">
        <f>XC26+IF(AND($C26=80,$U26=1),1,0)</f>
        <v/>
      </c>
      <c r="XD27">
        <f>XD26+IF(AND($C26=81,$U26=1),1,0)</f>
        <v/>
      </c>
      <c r="XE27">
        <f>XE26+IF(AND($C26=82,$U26=1),1,0)</f>
        <v/>
      </c>
      <c r="XF27">
        <f>XF26+IF(AND($C26=83,$U26=1),1,0)</f>
        <v/>
      </c>
      <c r="XG27">
        <f>XG26+IF(AND($C26=84,$U26=1),1,0)</f>
        <v/>
      </c>
      <c r="XH27">
        <f>XH26+IF(AND($C26=85,$U26=1),1,0)</f>
        <v/>
      </c>
      <c r="XI27">
        <f>XI26+IF(AND($C26=86,$U26=1),1,0)</f>
        <v/>
      </c>
      <c r="XJ27">
        <f>XJ26+IF(AND($C26=87,$U26=1),1,0)</f>
        <v/>
      </c>
      <c r="XK27">
        <f>XK26+IF(AND($C26=88,$U26=1),1,0)</f>
        <v/>
      </c>
      <c r="XL27">
        <f>XL26+IF(AND($C26=89,$U26=1),1,0)</f>
        <v/>
      </c>
      <c r="XM27">
        <f>XM26+IF(AND($C26=90,$U26=1),1,0)</f>
        <v/>
      </c>
      <c r="XN27">
        <f>XN26+IF(AND($C26=91,$U26=1),1,0)</f>
        <v/>
      </c>
      <c r="XO27">
        <f>XO26+IF(AND($C26=92,$U26=1),1,0)</f>
        <v/>
      </c>
      <c r="XP27">
        <f>XP26+IF(AND($C26=93,$U26=1),1,0)</f>
        <v/>
      </c>
      <c r="XQ27">
        <f>XQ26+IF(AND($C26=94,$U26=1),1,0)</f>
        <v/>
      </c>
      <c r="XR27">
        <f>XR26+IF(AND($C26=95,$U26=1),1,0)</f>
        <v/>
      </c>
      <c r="XS27">
        <f>XS26+IF(AND($C26=96,$U26=1),1,0)</f>
        <v/>
      </c>
      <c r="XT27">
        <f>XT26+IF(AND($C26=97,$U26=1),1,0)</f>
        <v/>
      </c>
      <c r="XU27">
        <f>XU26+IF(AND($C26=98,$U26=1),1,0)</f>
        <v/>
      </c>
      <c r="XV27">
        <f>XV26+IF(AND($C26=99,$U26=1),1,0)</f>
        <v/>
      </c>
      <c r="XW27">
        <f>XW26+IF(AND($C26=100,$U26=1),1,0)</f>
        <v/>
      </c>
      <c r="XX27">
        <f>XX26+IF(AND($C26=101,$U26=1),1,0)</f>
        <v/>
      </c>
      <c r="XY27">
        <f>XY26+IF(AND($C26=102,$U26=1),1,0)</f>
        <v/>
      </c>
      <c r="XZ27">
        <f>XZ26+IF(AND($C26=103,$U26=1),1,0)</f>
        <v/>
      </c>
      <c r="YA27">
        <f>YA26+IF(AND($C26=104,$U26=1),1,0)</f>
        <v/>
      </c>
      <c r="YB27">
        <f>YB26+IF(AND($C26=105,$U26=1),1,0)</f>
        <v/>
      </c>
      <c r="YC27">
        <f>YC26+IF(AND($C26=106,$U26=1),1,0)</f>
        <v/>
      </c>
      <c r="YD27">
        <f>YD26+IF(AND($C26=107,$U26=1),1,0)</f>
        <v/>
      </c>
      <c r="YE27">
        <f>YE26+IF(AND($C26=108,$U26=1),1,0)</f>
        <v/>
      </c>
      <c r="YF27">
        <f>YF26+IF(AND($C26=109,$U26=1),1,0)</f>
        <v/>
      </c>
      <c r="YG27">
        <f>YG26+IF(AND($C26=110,$U26=1),1,0)</f>
        <v/>
      </c>
      <c r="YH27">
        <f>YH26+IF(AND($C26=111,$U26=1),1,0)</f>
        <v/>
      </c>
      <c r="YI27">
        <f>YI26+IF(AND($C26=112,$U26=1),1,0)</f>
        <v/>
      </c>
      <c r="YJ27">
        <f>YJ26+IF(AND($C26=113,$U26=1),1,0)</f>
        <v/>
      </c>
      <c r="YK27">
        <f>YK26+IF(AND($C26=114,$U26=1),1,0)</f>
        <v/>
      </c>
      <c r="YL27">
        <f>YL26+IF(AND($C26=115,$U26=1),1,0)</f>
        <v/>
      </c>
      <c r="YM27">
        <f>YM26+IF(AND($C26=116,$U26=1),1,0)</f>
        <v/>
      </c>
      <c r="YN27">
        <f>YN26+IF(AND($C26=117,$U26=1),1,0)</f>
        <v/>
      </c>
      <c r="YO27">
        <f>YO26+IF(AND($C26=118,$U26=1),1,0)</f>
        <v/>
      </c>
      <c r="YP27">
        <f>YP26+IF(AND($C26=119,$U26=1),1,0)</f>
        <v/>
      </c>
      <c r="YQ27">
        <f>YQ26+IF(AND($C26=120,$U26=1),1,0)</f>
        <v/>
      </c>
      <c r="YR27">
        <f>YR26+IF(AND($C26=121,$U26=1),1,0)</f>
        <v/>
      </c>
      <c r="YS27">
        <f>YS26+IF(AND($C26=122,$U26=1),1,0)</f>
        <v/>
      </c>
      <c r="YT27">
        <f>YT26+IF(AND($C26=123,$U26=1),1,0)</f>
        <v/>
      </c>
      <c r="YU27">
        <f>YU26+IF(AND($C26=124,$U26=1),1,0)</f>
        <v/>
      </c>
      <c r="YV27">
        <f>YV26+IF(AND($C26=125,$U26=1),1,0)</f>
        <v/>
      </c>
      <c r="YW27">
        <f>YW26+IF(AND($C26=126,$U26=1),1,0)</f>
        <v/>
      </c>
      <c r="YX27">
        <f>YX26+IF(AND($C26=127,$U26=1),1,0)</f>
        <v/>
      </c>
      <c r="YY27">
        <f>YY26+IF(AND($C26=128,$U26=1),1,0)</f>
        <v/>
      </c>
      <c r="YZ27">
        <f>YZ26+IF(AND($C26=129,$U26=1),1,0)</f>
        <v/>
      </c>
      <c r="ZA27">
        <f>ZA26+IF(AND($C26=130,$U26=1),1,0)</f>
        <v/>
      </c>
      <c r="ZB27">
        <f>ZB26+IF(AND($C26=131,$U26=1),1,0)</f>
        <v/>
      </c>
      <c r="ZC27">
        <f>ZC26+IF(AND($C26=132,$U26=1),1,0)</f>
        <v/>
      </c>
      <c r="ZD27">
        <f>ZD26+IF(AND($C26=133,$U26=1),1,0)</f>
        <v/>
      </c>
      <c r="ZE27">
        <f>ZE26+IF(AND($C26=134,$U26=1),1,0)</f>
        <v/>
      </c>
      <c r="ZF27">
        <f>ZF26+IF(AND($C26=135,$U26=1),1,0)</f>
        <v/>
      </c>
      <c r="ZG27">
        <f>ZG26+IF(AND($C26=136,$U26=1),1,0)</f>
        <v/>
      </c>
      <c r="ZH27">
        <f>ZH26+IF(AND($C26=137,$U26=1),1,0)</f>
        <v/>
      </c>
      <c r="ZI27">
        <f>ZI26+IF(AND($C26=138,$U26=1),1,0)</f>
        <v/>
      </c>
      <c r="ZJ27">
        <f>ZJ26+IF(AND($C26=139,$U26=1),1,0)</f>
        <v/>
      </c>
      <c r="ZK27">
        <f>ZK26+IF(AND($C26=140,$U26=1),1,0)</f>
        <v/>
      </c>
      <c r="ZL27">
        <f>ZL26+IF(AND($C26=141,$U26=1),1,0)</f>
        <v/>
      </c>
      <c r="ZM27">
        <f>ZM26+IF(AND($C26=142,$U26=1),1,0)</f>
        <v/>
      </c>
      <c r="ZN27">
        <f>ZN26+IF(AND($C26=143,$U26=1),1,0)</f>
        <v/>
      </c>
      <c r="ZO27">
        <f>ZO26+IF(AND($C26=144,$U26=1),1,0)</f>
        <v/>
      </c>
      <c r="ZQ27">
        <f>IF($C26=1,0,ZQ26+IF(AND($G26=1,$E26=1),1,0))</f>
        <v/>
      </c>
      <c r="ZR27">
        <f>IF($C26=2,0,ZR26+IF(AND($G26=2,$E26=1),1,0))</f>
        <v/>
      </c>
      <c r="ZS27">
        <f>IF($C26=3,0,ZS26+IF(AND($G26=3,$E26=1),1,0))</f>
        <v/>
      </c>
      <c r="ZT27">
        <f>IF($C26=4,0,ZT26+IF(AND($G26=4,$E26=1),1,0))</f>
        <v/>
      </c>
      <c r="ZU27">
        <f>IF($C26=5,0,ZU26+IF(AND($G26=5,$E26=1),1,0))</f>
        <v/>
      </c>
      <c r="ZV27">
        <f>IF($C26=6,0,ZV26+IF(AND($G26=6,$E26=1),1,0))</f>
        <v/>
      </c>
      <c r="ZW27">
        <f>IF($C26=7,0,ZW26+IF(AND($G26=7,$E26=1),1,0))</f>
        <v/>
      </c>
      <c r="ZX27">
        <f>IF($C26=8,0,ZX26+IF(AND($G26=8,$E26=1),1,0))</f>
        <v/>
      </c>
      <c r="ZY27">
        <f>IF($C26=9,0,ZY26+IF(AND($G26=9,$E26=1),1,0))</f>
        <v/>
      </c>
      <c r="ZZ27">
        <f>IF($C26=10,0,ZZ26+IF(AND($G26=10,$E26=1),1,0))</f>
        <v/>
      </c>
      <c r="AAA27">
        <f>IF($C26=11,0,AAA26+IF(AND($G26=11,$E26=1),1,0))</f>
        <v/>
      </c>
      <c r="AAB27">
        <f>IF($C26=12,0,AAB26+IF(AND($G26=12,$E26=1),1,0))</f>
        <v/>
      </c>
      <c r="AAC27">
        <f>IF($C26=13,0,AAC26+IF(AND($G26=13,$E26=1),1,0))</f>
        <v/>
      </c>
      <c r="AAD27">
        <f>IF($C26=14,0,AAD26+IF(AND($G26=14,$E26=1),1,0))</f>
        <v/>
      </c>
      <c r="AAE27">
        <f>IF($C26=15,0,AAE26+IF(AND($G26=15,$E26=1),1,0))</f>
        <v/>
      </c>
      <c r="AAF27">
        <f>IF($C26=16,0,AAF26+IF(AND($G26=16,$E26=1),1,0))</f>
        <v/>
      </c>
      <c r="AAG27">
        <f>IF($C26=17,0,AAG26+IF(AND($G26=17,$E26=1),1,0))</f>
        <v/>
      </c>
      <c r="AAH27">
        <f>IF($C26=18,0,AAH26+IF(AND($G26=18,$E26=1),1,0))</f>
        <v/>
      </c>
      <c r="AAI27">
        <f>IF($C26=19,0,AAI26+IF(AND($G26=19,$E26=1),1,0))</f>
        <v/>
      </c>
      <c r="AAJ27">
        <f>IF($C26=20,0,AAJ26+IF(AND($G26=20,$E26=1),1,0))</f>
        <v/>
      </c>
      <c r="AAK27">
        <f>IF($C26=21,0,AAK26+IF(AND($G26=21,$E26=1),1,0))</f>
        <v/>
      </c>
      <c r="AAL27">
        <f>IF($C26=22,0,AAL26+IF(AND($G26=22,$E26=1),1,0))</f>
        <v/>
      </c>
      <c r="AAM27">
        <f>IF($C26=23,0,AAM26+IF(AND($G26=23,$E26=1),1,0))</f>
        <v/>
      </c>
      <c r="AAN27">
        <f>IF($C26=24,0,AAN26+IF(AND($G26=24,$E26=1),1,0))</f>
        <v/>
      </c>
      <c r="AAO27">
        <f>IF($C26=25,0,AAO26+IF(AND($G26=25,$E26=1),1,0))</f>
        <v/>
      </c>
      <c r="AAP27">
        <f>IF($C26=26,0,AAP26+IF(AND($G26=26,$E26=1),1,0))</f>
        <v/>
      </c>
      <c r="AAQ27">
        <f>IF($C26=27,0,AAQ26+IF(AND($G26=27,$E26=1),1,0))</f>
        <v/>
      </c>
      <c r="AAR27">
        <f>IF($C26=28,0,AAR26+IF(AND($G26=28,$E26=1),1,0))</f>
        <v/>
      </c>
      <c r="AAS27">
        <f>IF($C26=29,0,AAS26+IF(AND($G26=29,$E26=1),1,0))</f>
        <v/>
      </c>
      <c r="AAT27">
        <f>IF($C26=30,0,AAT26+IF(AND($G26=30,$E26=1),1,0))</f>
        <v/>
      </c>
      <c r="AAU27">
        <f>IF($C26=31,0,AAU26+IF(AND($G26=31,$E26=1),1,0))</f>
        <v/>
      </c>
      <c r="AAV27">
        <f>IF($C26=32,0,AAV26+IF(AND($G26=32,$E26=1),1,0))</f>
        <v/>
      </c>
      <c r="AAW27">
        <f>IF($C26=33,0,AAW26+IF(AND($G26=33,$E26=1),1,0))</f>
        <v/>
      </c>
      <c r="AAX27">
        <f>IF($C26=34,0,AAX26+IF(AND($G26=34,$E26=1),1,0))</f>
        <v/>
      </c>
      <c r="AAY27">
        <f>IF($C26=35,0,AAY26+IF(AND($G26=35,$E26=1),1,0))</f>
        <v/>
      </c>
      <c r="AAZ27">
        <f>IF($C26=36,0,AAZ26+IF(AND($G26=36,$E26=1),1,0))</f>
        <v/>
      </c>
      <c r="ABA27">
        <f>IF($C26=37,0,ABA26+IF(AND($G26=37,$E26=1),1,0))</f>
        <v/>
      </c>
      <c r="ABB27">
        <f>IF($C26=38,0,ABB26+IF(AND($G26=38,$E26=1),1,0))</f>
        <v/>
      </c>
      <c r="ABC27">
        <f>IF($C26=39,0,ABC26+IF(AND($G26=39,$E26=1),1,0))</f>
        <v/>
      </c>
      <c r="ABD27">
        <f>IF($C26=40,0,ABD26+IF(AND($G26=40,$E26=1),1,0))</f>
        <v/>
      </c>
      <c r="ABE27">
        <f>IF($C26=41,0,ABE26+IF(AND($G26=41,$E26=1),1,0))</f>
        <v/>
      </c>
      <c r="ABF27">
        <f>IF($C26=42,0,ABF26+IF(AND($G26=42,$E26=1),1,0))</f>
        <v/>
      </c>
      <c r="ABG27">
        <f>IF($C26=43,0,ABG26+IF(AND($G26=43,$E26=1),1,0))</f>
        <v/>
      </c>
      <c r="ABH27">
        <f>IF($C26=44,0,ABH26+IF(AND($G26=44,$E26=1),1,0))</f>
        <v/>
      </c>
      <c r="ABI27">
        <f>IF($C26=45,0,ABI26+IF(AND($G26=45,$E26=1),1,0))</f>
        <v/>
      </c>
      <c r="ABJ27">
        <f>IF($C26=46,0,ABJ26+IF(AND($G26=46,$E26=1),1,0))</f>
        <v/>
      </c>
      <c r="ABK27">
        <f>IF($C26=47,0,ABK26+IF(AND($G26=47,$E26=1),1,0))</f>
        <v/>
      </c>
      <c r="ABL27">
        <f>IF($C26=48,0,ABL26+IF(AND($G26=48,$E26=1),1,0))</f>
        <v/>
      </c>
      <c r="ABM27">
        <f>IF($C26=49,0,ABM26+IF(AND($G26=49,$E26=1),1,0))</f>
        <v/>
      </c>
      <c r="ABN27">
        <f>IF($C26=50,0,ABN26+IF(AND($G26=50,$E26=1),1,0))</f>
        <v/>
      </c>
      <c r="ABO27">
        <f>IF($C26=51,0,ABO26+IF(AND($G26=51,$E26=1),1,0))</f>
        <v/>
      </c>
      <c r="ABP27">
        <f>IF($C26=52,0,ABP26+IF(AND($G26=52,$E26=1),1,0))</f>
        <v/>
      </c>
      <c r="ABQ27">
        <f>IF($C26=53,0,ABQ26+IF(AND($G26=53,$E26=1),1,0))</f>
        <v/>
      </c>
      <c r="ABR27">
        <f>IF($C26=54,0,ABR26+IF(AND($G26=54,$E26=1),1,0))</f>
        <v/>
      </c>
      <c r="ABS27">
        <f>IF($C26=55,0,ABS26+IF(AND($G26=55,$E26=1),1,0))</f>
        <v/>
      </c>
      <c r="ABT27">
        <f>IF($C26=56,0,ABT26+IF(AND($G26=56,$E26=1),1,0))</f>
        <v/>
      </c>
      <c r="ABU27">
        <f>IF($C26=57,0,ABU26+IF(AND($G26=57,$E26=1),1,0))</f>
        <v/>
      </c>
      <c r="ABV27">
        <f>IF($C26=58,0,ABV26+IF(AND($G26=58,$E26=1),1,0))</f>
        <v/>
      </c>
      <c r="ABW27">
        <f>IF($C26=59,0,ABW26+IF(AND($G26=59,$E26=1),1,0))</f>
        <v/>
      </c>
      <c r="ABX27">
        <f>IF($C26=60,0,ABX26+IF(AND($G26=60,$E26=1),1,0))</f>
        <v/>
      </c>
      <c r="ABY27">
        <f>IF($C26=61,0,ABY26+IF(AND($G26=61,$E26=1),1,0))</f>
        <v/>
      </c>
      <c r="ABZ27">
        <f>IF($C26=62,0,ABZ26+IF(AND($G26=62,$E26=1),1,0))</f>
        <v/>
      </c>
      <c r="ACA27">
        <f>IF($C26=63,0,ACA26+IF(AND($G26=63,$E26=1),1,0))</f>
        <v/>
      </c>
      <c r="ACB27">
        <f>IF($C26=64,0,ACB26+IF(AND($G26=64,$E26=1),1,0))</f>
        <v/>
      </c>
      <c r="ACC27">
        <f>IF($C26=65,0,ACC26+IF(AND($G26=65,$E26=1),1,0))</f>
        <v/>
      </c>
      <c r="ACD27">
        <f>IF($C26=66,0,ACD26+IF(AND($G26=66,$E26=1),1,0))</f>
        <v/>
      </c>
      <c r="ACE27">
        <f>IF($C26=67,0,ACE26+IF(AND($G26=67,$E26=1),1,0))</f>
        <v/>
      </c>
      <c r="ACF27">
        <f>IF($C26=68,0,ACF26+IF(AND($G26=68,$E26=1),1,0))</f>
        <v/>
      </c>
      <c r="ACG27">
        <f>IF($C26=69,0,ACG26+IF(AND($G26=69,$E26=1),1,0))</f>
        <v/>
      </c>
      <c r="ACH27">
        <f>IF($C26=70,0,ACH26+IF(AND($G26=70,$E26=1),1,0))</f>
        <v/>
      </c>
      <c r="ACI27">
        <f>IF($C26=71,0,ACI26+IF(AND($G26=71,$E26=1),1,0))</f>
        <v/>
      </c>
      <c r="ACJ27">
        <f>IF($C26=72,0,ACJ26+IF(AND($G26=72,$E26=1),1,0))</f>
        <v/>
      </c>
      <c r="ACK27">
        <f>IF($C26=73,0,ACK26+IF(AND($G26=73,$E26=1),1,0))</f>
        <v/>
      </c>
      <c r="ACL27">
        <f>IF($C26=74,0,ACL26+IF(AND($G26=74,$E26=1),1,0))</f>
        <v/>
      </c>
      <c r="ACM27">
        <f>IF($C26=75,0,ACM26+IF(AND($G26=75,$E26=1),1,0))</f>
        <v/>
      </c>
      <c r="ACN27">
        <f>IF($C26=76,0,ACN26+IF(AND($G26=76,$E26=1),1,0))</f>
        <v/>
      </c>
      <c r="ACO27">
        <f>IF($C26=77,0,ACO26+IF(AND($G26=77,$E26=1),1,0))</f>
        <v/>
      </c>
      <c r="ACP27">
        <f>IF($C26=78,0,ACP26+IF(AND($G26=78,$E26=1),1,0))</f>
        <v/>
      </c>
      <c r="ACQ27">
        <f>IF($C26=79,0,ACQ26+IF(AND($G26=79,$E26=1),1,0))</f>
        <v/>
      </c>
      <c r="ACR27">
        <f>IF($C26=80,0,ACR26+IF(AND($G26=80,$E26=1),1,0))</f>
        <v/>
      </c>
      <c r="ACS27">
        <f>IF($C26=81,0,ACS26+IF(AND($G26=81,$E26=1),1,0))</f>
        <v/>
      </c>
      <c r="ACT27">
        <f>IF($C26=82,0,ACT26+IF(AND($G26=82,$E26=1),1,0))</f>
        <v/>
      </c>
      <c r="ACU27">
        <f>IF($C26=83,0,ACU26+IF(AND($G26=83,$E26=1),1,0))</f>
        <v/>
      </c>
      <c r="ACV27">
        <f>IF($C26=84,0,ACV26+IF(AND($G26=84,$E26=1),1,0))</f>
        <v/>
      </c>
      <c r="ACW27">
        <f>IF($C26=85,0,ACW26+IF(AND($G26=85,$E26=1),1,0))</f>
        <v/>
      </c>
      <c r="ACX27">
        <f>IF($C26=86,0,ACX26+IF(AND($G26=86,$E26=1),1,0))</f>
        <v/>
      </c>
      <c r="ACY27">
        <f>IF($C26=87,0,ACY26+IF(AND($G26=87,$E26=1),1,0))</f>
        <v/>
      </c>
      <c r="ACZ27">
        <f>IF($C26=88,0,ACZ26+IF(AND($G26=88,$E26=1),1,0))</f>
        <v/>
      </c>
      <c r="ADA27">
        <f>IF($C26=89,0,ADA26+IF(AND($G26=89,$E26=1),1,0))</f>
        <v/>
      </c>
      <c r="ADB27">
        <f>IF($C26=90,0,ADB26+IF(AND($G26=90,$E26=1),1,0))</f>
        <v/>
      </c>
      <c r="ADC27">
        <f>IF($C26=91,0,ADC26+IF(AND($G26=91,$E26=1),1,0))</f>
        <v/>
      </c>
      <c r="ADD27">
        <f>IF($C26=92,0,ADD26+IF(AND($G26=92,$E26=1),1,0))</f>
        <v/>
      </c>
      <c r="ADE27">
        <f>IF($C26=93,0,ADE26+IF(AND($G26=93,$E26=1),1,0))</f>
        <v/>
      </c>
      <c r="ADF27">
        <f>IF($C26=94,0,ADF26+IF(AND($G26=94,$E26=1),1,0))</f>
        <v/>
      </c>
      <c r="ADG27">
        <f>IF($C26=95,0,ADG26+IF(AND($G26=95,$E26=1),1,0))</f>
        <v/>
      </c>
      <c r="ADH27">
        <f>IF($C26=96,0,ADH26+IF(AND($G26=96,$E26=1),1,0))</f>
        <v/>
      </c>
      <c r="ADI27">
        <f>IF($C26=97,0,ADI26+IF(AND($G26=97,$E26=1),1,0))</f>
        <v/>
      </c>
      <c r="ADJ27">
        <f>IF($C26=98,0,ADJ26+IF(AND($G26=98,$E26=1),1,0))</f>
        <v/>
      </c>
      <c r="ADK27">
        <f>IF($C26=99,0,ADK26+IF(AND($G26=99,$E26=1),1,0))</f>
        <v/>
      </c>
      <c r="ADL27">
        <f>IF($C26=100,0,ADL26+IF(AND($G26=100,$E26=1),1,0))</f>
        <v/>
      </c>
      <c r="ADM27">
        <f>IF($C26=101,0,ADM26+IF(AND($G26=101,$E26=1),1,0))</f>
        <v/>
      </c>
      <c r="ADN27">
        <f>IF($C26=102,0,ADN26+IF(AND($G26=102,$E26=1),1,0))</f>
        <v/>
      </c>
      <c r="ADO27">
        <f>IF($C26=103,0,ADO26+IF(AND($G26=103,$E26=1),1,0))</f>
        <v/>
      </c>
      <c r="ADP27">
        <f>IF($C26=104,0,ADP26+IF(AND($G26=104,$E26=1),1,0))</f>
        <v/>
      </c>
      <c r="ADQ27">
        <f>IF($C26=105,0,ADQ26+IF(AND($G26=105,$E26=1),1,0))</f>
        <v/>
      </c>
      <c r="ADR27">
        <f>IF($C26=106,0,ADR26+IF(AND($G26=106,$E26=1),1,0))</f>
        <v/>
      </c>
      <c r="ADS27">
        <f>IF($C26=107,0,ADS26+IF(AND($G26=107,$E26=1),1,0))</f>
        <v/>
      </c>
      <c r="ADT27">
        <f>IF($C26=108,0,ADT26+IF(AND($G26=108,$E26=1),1,0))</f>
        <v/>
      </c>
      <c r="ADU27">
        <f>IF($C26=109,0,ADU26+IF(AND($G26=109,$E26=1),1,0))</f>
        <v/>
      </c>
      <c r="ADV27">
        <f>IF($C26=110,0,ADV26+IF(AND($G26=110,$E26=1),1,0))</f>
        <v/>
      </c>
      <c r="ADW27">
        <f>IF($C26=111,0,ADW26+IF(AND($G26=111,$E26=1),1,0))</f>
        <v/>
      </c>
      <c r="ADX27">
        <f>IF($C26=112,0,ADX26+IF(AND($G26=112,$E26=1),1,0))</f>
        <v/>
      </c>
      <c r="ADY27">
        <f>IF($C26=113,0,ADY26+IF(AND($G26=113,$E26=1),1,0))</f>
        <v/>
      </c>
      <c r="ADZ27">
        <f>IF($C26=114,0,ADZ26+IF(AND($G26=114,$E26=1),1,0))</f>
        <v/>
      </c>
      <c r="AEA27">
        <f>IF($C26=115,0,AEA26+IF(AND($G26=115,$E26=1),1,0))</f>
        <v/>
      </c>
      <c r="AEB27">
        <f>IF($C26=116,0,AEB26+IF(AND($G26=116,$E26=1),1,0))</f>
        <v/>
      </c>
      <c r="AEC27">
        <f>IF($C26=117,0,AEC26+IF(AND($G26=117,$E26=1),1,0))</f>
        <v/>
      </c>
      <c r="AED27">
        <f>IF($C26=118,0,AED26+IF(AND($G26=118,$E26=1),1,0))</f>
        <v/>
      </c>
      <c r="AEE27">
        <f>IF($C26=119,0,AEE26+IF(AND($G26=119,$E26=1),1,0))</f>
        <v/>
      </c>
      <c r="AEF27">
        <f>IF($C26=120,0,AEF26+IF(AND($G26=120,$E26=1),1,0))</f>
        <v/>
      </c>
      <c r="AEG27">
        <f>IF($C26=121,0,AEG26+IF(AND($G26=121,$E26=1),1,0))</f>
        <v/>
      </c>
      <c r="AEH27">
        <f>IF($C26=122,0,AEH26+IF(AND($G26=122,$E26=1),1,0))</f>
        <v/>
      </c>
      <c r="AEI27">
        <f>IF($C26=123,0,AEI26+IF(AND($G26=123,$E26=1),1,0))</f>
        <v/>
      </c>
      <c r="AEJ27">
        <f>IF($C26=124,0,AEJ26+IF(AND($G26=124,$E26=1),1,0))</f>
        <v/>
      </c>
      <c r="AEK27">
        <f>IF($C26=125,0,AEK26+IF(AND($G26=125,$E26=1),1,0))</f>
        <v/>
      </c>
      <c r="AEL27">
        <f>IF($C26=126,0,AEL26+IF(AND($G26=126,$E26=1),1,0))</f>
        <v/>
      </c>
      <c r="AEM27">
        <f>IF($C26=127,0,AEM26+IF(AND($G26=127,$E26=1),1,0))</f>
        <v/>
      </c>
      <c r="AEN27">
        <f>IF($C26=128,0,AEN26+IF(AND($G26=128,$E26=1),1,0))</f>
        <v/>
      </c>
      <c r="AEO27">
        <f>IF($C26=129,0,AEO26+IF(AND($G26=129,$E26=1),1,0))</f>
        <v/>
      </c>
      <c r="AEP27">
        <f>IF($C26=130,0,AEP26+IF(AND($G26=130,$E26=1),1,0))</f>
        <v/>
      </c>
      <c r="AEQ27">
        <f>IF($C26=131,0,AEQ26+IF(AND($G26=131,$E26=1),1,0))</f>
        <v/>
      </c>
      <c r="AER27">
        <f>IF($C26=132,0,AER26+IF(AND($G26=132,$E26=1),1,0))</f>
        <v/>
      </c>
      <c r="AES27">
        <f>IF($C26=133,0,AES26+IF(AND($G26=133,$E26=1),1,0))</f>
        <v/>
      </c>
      <c r="AET27">
        <f>IF($C26=134,0,AET26+IF(AND($G26=134,$E26=1),1,0))</f>
        <v/>
      </c>
      <c r="AEU27">
        <f>IF($C26=135,0,AEU26+IF(AND($G26=135,$E26=1),1,0))</f>
        <v/>
      </c>
      <c r="AEV27">
        <f>IF($C26=136,0,AEV26+IF(AND($G26=136,$E26=1),1,0))</f>
        <v/>
      </c>
      <c r="AEW27">
        <f>IF($C26=137,0,AEW26+IF(AND($G26=137,$E26=1),1,0))</f>
        <v/>
      </c>
      <c r="AEX27">
        <f>IF($C26=138,0,AEX26+IF(AND($G26=138,$E26=1),1,0))</f>
        <v/>
      </c>
      <c r="AEY27">
        <f>IF($C26=139,0,AEY26+IF(AND($G26=139,$E26=1),1,0))</f>
        <v/>
      </c>
      <c r="AEZ27">
        <f>IF($C26=140,0,AEZ26+IF(AND($G26=140,$E26=1),1,0))</f>
        <v/>
      </c>
      <c r="AFA27">
        <f>IF($C26=141,0,AFA26+IF(AND($G26=141,$E26=1),1,0))</f>
        <v/>
      </c>
      <c r="AFB27">
        <f>IF($C26=142,0,AFB26+IF(AND($G26=142,$E26=1),1,0))</f>
        <v/>
      </c>
      <c r="AFC27">
        <f>IF($C26=143,0,AFC26+IF(AND($G26=143,$E26=1),1,0))</f>
        <v/>
      </c>
      <c r="AFD27">
        <f>IF($C26=144,0,AFD26+IF(AND($G26=144,$E26=1),1,0))</f>
        <v/>
      </c>
      <c r="AFF27">
        <f>IF('calcA'!D$106=1,DC27+ZR27,1)</f>
        <v/>
      </c>
      <c r="AFG27">
        <f>IF('calcA'!E$106=1,DD27+ZS27,1)</f>
        <v/>
      </c>
      <c r="AFH27">
        <f>IF('calcA'!F$106=1,DE27+ZT27,1)</f>
        <v/>
      </c>
      <c r="AFI27">
        <f>IF('calcA'!G$106=1,DF27+ZU27,1)</f>
        <v/>
      </c>
      <c r="AFJ27">
        <f>IF('calcA'!H$106=1,DG27+ZV27,1)</f>
        <v/>
      </c>
      <c r="AFK27">
        <f>IF('calcA'!I$106=1,DH27+ZW27,1)</f>
        <v/>
      </c>
      <c r="AFL27">
        <f>IF('calcA'!J$106=1,DI27+ZX27,1)</f>
        <v/>
      </c>
      <c r="AFM27">
        <f>IF('calcA'!K$106=1,DJ27+ZY27,1)</f>
        <v/>
      </c>
      <c r="AFN27">
        <f>IF('calcA'!L$106=1,DK27+ZZ27,1)</f>
        <v/>
      </c>
      <c r="AFO27">
        <f>IF('calcA'!M$106=1,DL27+AAA27,1)</f>
        <v/>
      </c>
      <c r="AFP27">
        <f>IF('calcA'!N$106=1,DM27+AAB27,1)</f>
        <v/>
      </c>
      <c r="AFQ27">
        <f>IF('calcA'!O$106=1,DN27+AAC27,1)</f>
        <v/>
      </c>
      <c r="AFR27">
        <f>IF('calcA'!P$106=1,DO27+AAD27,1)</f>
        <v/>
      </c>
      <c r="AFS27">
        <f>IF('calcA'!Q$106=1,DP27+AAE27,1)</f>
        <v/>
      </c>
      <c r="AFT27">
        <f>IF('calcA'!R$106=1,DQ27+AAF27,1)</f>
        <v/>
      </c>
      <c r="AFU27">
        <f>IF('calcA'!S$106=1,DR27+AAG27,1)</f>
        <v/>
      </c>
      <c r="AFV27">
        <f>IF('calcA'!T$106=1,DS27+AAH27,1)</f>
        <v/>
      </c>
      <c r="AFW27">
        <f>IF('calcA'!U$106=1,DT27+AAI27,1)</f>
        <v/>
      </c>
      <c r="AFX27">
        <f>IF('calcA'!V$106=1,DU27+AAJ27,1)</f>
        <v/>
      </c>
      <c r="AFY27">
        <f>IF('calcA'!W$106=1,DV27+AAK27,1)</f>
        <v/>
      </c>
      <c r="AFZ27">
        <f>IF('calcA'!X$106=1,DW27+AAL27,1)</f>
        <v/>
      </c>
      <c r="AGA27">
        <f>IF('calcA'!Y$106=1,DX27+AAM27,1)</f>
        <v/>
      </c>
      <c r="AGB27">
        <f>IF('calcA'!Z$106=1,DY27+AAN27,1)</f>
        <v/>
      </c>
      <c r="AGC27">
        <f>IF('calcA'!AA$106=1,DZ27+AAO27,1)</f>
        <v/>
      </c>
      <c r="AGD27">
        <f>IF('calcA'!AB$106=1,EA27+AAP27,1)</f>
        <v/>
      </c>
      <c r="AGE27">
        <f>IF('calcA'!AC$106=1,EB27+AAQ27,1)</f>
        <v/>
      </c>
      <c r="AGF27">
        <f>IF('calcA'!AD$106=1,EC27+AAR27,1)</f>
        <v/>
      </c>
      <c r="AGG27">
        <f>IF('calcA'!AE$106=1,ED27+AAS27,1)</f>
        <v/>
      </c>
      <c r="AGH27">
        <f>IF('calcA'!AF$106=1,EE27+AAT27,1)</f>
        <v/>
      </c>
      <c r="AGI27">
        <f>IF('calcA'!AG$106=1,EF27+AAU27,1)</f>
        <v/>
      </c>
      <c r="AGJ27">
        <f>IF('calcA'!AH$106=1,EG27+AAV27,1)</f>
        <v/>
      </c>
      <c r="AGK27">
        <f>IF('calcA'!AI$106=1,EH27+AAW27,1)</f>
        <v/>
      </c>
      <c r="AGL27">
        <f>IF('calcA'!AJ$106=1,EI27+AAX27,1)</f>
        <v/>
      </c>
      <c r="AGM27">
        <f>IF('calcA'!AK$106=1,EJ27+AAY27,1)</f>
        <v/>
      </c>
      <c r="AGN27">
        <f>IF('calcA'!AL$106=1,EK27+AAZ27,1)</f>
        <v/>
      </c>
      <c r="AGO27">
        <f>IF('calcA'!AM$106=1,EL27+ABA27,1)</f>
        <v/>
      </c>
      <c r="AGP27">
        <f>IF('calcA'!AN$106=1,EM27+ABB27,1)</f>
        <v/>
      </c>
      <c r="AGQ27">
        <f>IF('calcA'!AO$106=1,EN27+ABC27,1)</f>
        <v/>
      </c>
      <c r="AGR27">
        <f>IF('calcA'!AP$106=1,EO27+ABD27,1)</f>
        <v/>
      </c>
      <c r="AGS27">
        <f>IF('calcA'!AQ$106=1,EP27+ABE27,1)</f>
        <v/>
      </c>
      <c r="AGT27">
        <f>IF('calcA'!AR$106=1,EQ27+ABF27,1)</f>
        <v/>
      </c>
      <c r="AGU27">
        <f>IF('calcA'!AS$106=1,ER27+ABG27,1)</f>
        <v/>
      </c>
      <c r="AGV27">
        <f>IF('calcA'!AT$106=1,ES27+ABH27,1)</f>
        <v/>
      </c>
      <c r="AGW27">
        <f>IF('calcA'!AU$106=1,ET27+ABI27,1)</f>
        <v/>
      </c>
      <c r="AGX27">
        <f>IF('calcA'!AV$106=1,EU27+ABJ27,1)</f>
        <v/>
      </c>
      <c r="AGY27">
        <f>IF('calcA'!AW$106=1,EV27+ABK27,1)</f>
        <v/>
      </c>
      <c r="AGZ27">
        <f>IF('calcA'!AX$106=1,EW27+ABL27,1)</f>
        <v/>
      </c>
      <c r="AHA27">
        <f>IF('calcA'!AY$106=1,EX27+ABM27,1)</f>
        <v/>
      </c>
      <c r="AHB27">
        <f>IF('calcA'!AZ$106=1,EY27+ABN27,1)</f>
        <v/>
      </c>
      <c r="AHC27">
        <f>IF('calcA'!BA$106=1,EZ27+ABO27,1)</f>
        <v/>
      </c>
      <c r="AHD27">
        <f>IF('calcA'!BB$106=1,FA27+ABP27,1)</f>
        <v/>
      </c>
      <c r="AHE27">
        <f>IF('calcA'!BC$106=1,FB27+ABQ27,1)</f>
        <v/>
      </c>
      <c r="AHF27">
        <f>IF('calcA'!BD$106=1,FC27+ABR27,1)</f>
        <v/>
      </c>
      <c r="AHG27">
        <f>IF('calcA'!BE$106=1,FD27+ABS27,1)</f>
        <v/>
      </c>
      <c r="AHH27">
        <f>IF('calcA'!BF$106=1,FE27+ABT27,1)</f>
        <v/>
      </c>
      <c r="AHI27">
        <f>IF('calcA'!BG$106=1,FF27+ABU27,1)</f>
        <v/>
      </c>
      <c r="AHJ27">
        <f>IF('calcA'!BH$106=1,FG27+ABV27,1)</f>
        <v/>
      </c>
      <c r="AHK27">
        <f>IF('calcA'!BI$106=1,FH27+ABW27,1)</f>
        <v/>
      </c>
      <c r="AHL27">
        <f>IF('calcA'!BJ$106=1,FI27+ABX27,1)</f>
        <v/>
      </c>
      <c r="AHM27">
        <f>IF('calcA'!BK$106=1,FJ27+ABY27,1)</f>
        <v/>
      </c>
      <c r="AHN27">
        <f>IF('calcA'!BL$106=1,FK27+ABZ27,1)</f>
        <v/>
      </c>
      <c r="AHO27">
        <f>IF('calcA'!BM$106=1,FL27+ACA27,1)</f>
        <v/>
      </c>
      <c r="AHP27">
        <f>IF('calcA'!BN$106=1,FM27+ACB27,1)</f>
        <v/>
      </c>
      <c r="AHQ27">
        <f>IF('calcA'!BO$106=1,FN27+ACC27,1)</f>
        <v/>
      </c>
      <c r="AHR27">
        <f>IF('calcA'!BP$106=1,FO27+ACD27,1)</f>
        <v/>
      </c>
      <c r="AHS27">
        <f>IF('calcA'!BQ$106=1,FP27+ACE27,1)</f>
        <v/>
      </c>
      <c r="AHT27">
        <f>IF('calcA'!BR$106=1,FQ27+ACF27,1)</f>
        <v/>
      </c>
      <c r="AHU27">
        <f>IF('calcA'!BS$106=1,FR27+ACG27,1)</f>
        <v/>
      </c>
      <c r="AHV27">
        <f>IF('calcA'!BT$106=1,FS27+ACH27,1)</f>
        <v/>
      </c>
      <c r="AHW27">
        <f>IF('calcA'!BU$106=1,FT27+ACI27,1)</f>
        <v/>
      </c>
      <c r="AHX27">
        <f>IF('calcA'!BV$106=1,FU27+ACJ27,1)</f>
        <v/>
      </c>
      <c r="AHY27">
        <f>IF('calcA'!BW$106=1,FV27+ACK27,1)</f>
        <v/>
      </c>
      <c r="AHZ27">
        <f>IF('calcA'!BX$106=1,FW27+ACL27,1)</f>
        <v/>
      </c>
      <c r="AIA27">
        <f>IF('calcA'!BY$106=1,FX27+ACM27,1)</f>
        <v/>
      </c>
      <c r="AIB27">
        <f>IF('calcA'!BZ$106=1,FY27+ACN27,1)</f>
        <v/>
      </c>
      <c r="AIC27">
        <f>IF('calcA'!CA$106=1,FZ27+ACO27,1)</f>
        <v/>
      </c>
      <c r="AID27">
        <f>IF('calcA'!CB$106=1,GA27+ACP27,1)</f>
        <v/>
      </c>
      <c r="AIE27">
        <f>IF('calcA'!CC$106=1,GB27+ACQ27,1)</f>
        <v/>
      </c>
      <c r="AIF27">
        <f>IF('calcA'!CD$106=1,GC27+ACR27,1)</f>
        <v/>
      </c>
      <c r="AIG27">
        <f>IF('calcA'!CE$106=1,GD27+ACS27,1)</f>
        <v/>
      </c>
      <c r="AIH27">
        <f>IF('calcA'!CF$106=1,GE27+ACT27,1)</f>
        <v/>
      </c>
      <c r="AII27">
        <f>IF('calcA'!CG$106=1,GF27+ACU27,1)</f>
        <v/>
      </c>
      <c r="AIJ27">
        <f>IF('calcA'!CH$106=1,GG27+ACV27,1)</f>
        <v/>
      </c>
      <c r="AIK27">
        <f>IF('calcA'!CI$106=1,GH27+ACW27,1)</f>
        <v/>
      </c>
      <c r="AIL27">
        <f>IF('calcA'!CJ$106=1,GI27+ACX27,1)</f>
        <v/>
      </c>
      <c r="AIM27">
        <f>IF('calcA'!CK$106=1,GJ27+ACY27,1)</f>
        <v/>
      </c>
      <c r="AIN27">
        <f>IF('calcA'!CL$106=1,GK27+ACZ27,1)</f>
        <v/>
      </c>
      <c r="AIO27">
        <f>IF('calcA'!CM$106=1,GL27+ADA27,1)</f>
        <v/>
      </c>
      <c r="AIP27">
        <f>IF('calcA'!CN$106=1,GM27+ADB27,1)</f>
        <v/>
      </c>
      <c r="AIQ27">
        <f>IF('calcA'!CO$106=1,GN27+ADC27,1)</f>
        <v/>
      </c>
      <c r="AIR27">
        <f>IF('calcA'!CP$106=1,GO27+ADD27,1)</f>
        <v/>
      </c>
      <c r="AIS27">
        <f>IF('calcA'!CQ$106=1,GP27+ADE27,1)</f>
        <v/>
      </c>
      <c r="AIT27">
        <f>IF('calcA'!CR$106=1,GQ27+ADF27,1)</f>
        <v/>
      </c>
      <c r="AIU27">
        <f>IF('calcA'!CS$106=1,GR27+ADG27,1)</f>
        <v/>
      </c>
      <c r="AIV27">
        <f>IF('calcA'!CT$106=1,GS27+ADH27,1)</f>
        <v/>
      </c>
      <c r="AIW27">
        <f>IF('calcA'!CU$106=1,GT27+ADI27,1)</f>
        <v/>
      </c>
      <c r="AIX27">
        <f>IF('calcA'!CV$106=1,GU27+ADJ27,1)</f>
        <v/>
      </c>
      <c r="AIY27">
        <f>IF('calcA'!CW$106=1,GV27+ADK27,1)</f>
        <v/>
      </c>
      <c r="AIZ27">
        <f>IF('calcA'!CX$106=1,GW27+ADL27,1)</f>
        <v/>
      </c>
      <c r="AJA27">
        <f>IF('calcA'!CY$106=1,GX27+ADM27,1)</f>
        <v/>
      </c>
      <c r="AJB27">
        <f>IF('calcA'!CZ$106=1,GY27+ADN27,1)</f>
        <v/>
      </c>
      <c r="AJC27">
        <f>IF('calcA'!DA$106=1,GZ27+ADO27,1)</f>
        <v/>
      </c>
      <c r="AJD27">
        <f>IF('calcA'!DB$106=1,HA27+ADP27,1)</f>
        <v/>
      </c>
      <c r="AJE27">
        <f>IF('calcA'!DC$106=1,HB27+ADQ27,1)</f>
        <v/>
      </c>
      <c r="AJF27">
        <f>IF('calcA'!DD$106=1,HC27+ADR27,1)</f>
        <v/>
      </c>
      <c r="AJG27">
        <f>IF('calcA'!DE$106=1,HD27+ADS27,1)</f>
        <v/>
      </c>
      <c r="AJH27">
        <f>IF('calcA'!DF$106=1,HE27+ADT27,1)</f>
        <v/>
      </c>
      <c r="AJI27">
        <f>IF('calcA'!DG$106=1,HF27+ADU27,1)</f>
        <v/>
      </c>
      <c r="AJJ27">
        <f>IF('calcA'!DH$106=1,HG27+ADV27,1)</f>
        <v/>
      </c>
      <c r="AJK27">
        <f>IF('calcA'!DI$106=1,HH27+ADW27,1)</f>
        <v/>
      </c>
      <c r="AJL27">
        <f>IF('calcA'!DJ$106=1,HI27+ADX27,1)</f>
        <v/>
      </c>
      <c r="AJM27">
        <f>IF('calcA'!DK$106=1,HJ27+ADY27,1)</f>
        <v/>
      </c>
      <c r="AJN27">
        <f>IF('calcA'!DL$106=1,HK27+ADZ27,1)</f>
        <v/>
      </c>
      <c r="AJO27">
        <f>IF('calcA'!DM$106=1,HL27+AEA27,1)</f>
        <v/>
      </c>
      <c r="AJP27">
        <f>IF('calcA'!DN$106=1,HM27+AEB27,1)</f>
        <v/>
      </c>
      <c r="AJQ27">
        <f>IF('calcA'!DO$106=1,HN27+AEC27,1)</f>
        <v/>
      </c>
      <c r="AJR27">
        <f>IF('calcA'!DP$106=1,HO27+AED27,1)</f>
        <v/>
      </c>
      <c r="AJS27">
        <f>IF('calcA'!DQ$106=1,HP27+AEE27,1)</f>
        <v/>
      </c>
      <c r="AJT27">
        <f>IF('calcA'!DR$106=1,HQ27+AEF27,1)</f>
        <v/>
      </c>
      <c r="AJU27">
        <f>IF('calcA'!DS$106=1,HR27+AEG27,1)</f>
        <v/>
      </c>
      <c r="AJV27">
        <f>IF('calcA'!DT$106=1,HS27+AEH27,1)</f>
        <v/>
      </c>
      <c r="AJW27">
        <f>IF('calcA'!DU$106=1,HT27+AEI27,1)</f>
        <v/>
      </c>
      <c r="AJX27">
        <f>IF('calcA'!DV$106=1,HU27+AEJ27,1)</f>
        <v/>
      </c>
      <c r="AJY27">
        <f>IF('calcA'!DW$106=1,HV27+AEK27,1)</f>
        <v/>
      </c>
      <c r="AJZ27">
        <f>IF('calcA'!DX$106=1,HW27+AEL27,1)</f>
        <v/>
      </c>
      <c r="AKA27">
        <f>IF('calcA'!DY$106=1,HX27+AEM27,1)</f>
        <v/>
      </c>
      <c r="AKB27">
        <f>IF('calcA'!DZ$106=1,HY27+AEN27,1)</f>
        <v/>
      </c>
      <c r="AKC27">
        <f>IF('calcA'!EA$106=1,HZ27+AEO27,1)</f>
        <v/>
      </c>
      <c r="AKD27">
        <f>IF('calcA'!EB$106=1,IA27+AEP27,1)</f>
        <v/>
      </c>
      <c r="AKE27">
        <f>IF('calcA'!EC$106=1,IB27+AEQ27,1)</f>
        <v/>
      </c>
      <c r="AKF27">
        <f>IF('calcA'!ED$106=1,IC27+AER27,1)</f>
        <v/>
      </c>
      <c r="AKG27">
        <f>IF('calcA'!EE$106=1,ID27+AES27,1)</f>
        <v/>
      </c>
      <c r="AKH27">
        <f>IF('calcA'!EF$106=1,IE27+AET27,1)</f>
        <v/>
      </c>
      <c r="AKI27">
        <f>IF('calcA'!EG$106=1,IF27+AEU27,1)</f>
        <v/>
      </c>
      <c r="AKJ27">
        <f>IF('calcA'!EH$106=1,IG27+AEV27,1)</f>
        <v/>
      </c>
      <c r="AKK27">
        <f>IF('calcA'!EI$106=1,IH27+AEW27,1)</f>
        <v/>
      </c>
      <c r="AKL27">
        <f>IF('calcA'!EJ$106=1,II27+AEX27,1)</f>
        <v/>
      </c>
      <c r="AKM27">
        <f>IF('calcA'!EK$106=1,IJ27+AEY27,1)</f>
        <v/>
      </c>
      <c r="AKN27">
        <f>IF('calcA'!EL$106=1,IK27+AEZ27,1)</f>
        <v/>
      </c>
      <c r="AKO27">
        <f>IF('calcA'!EM$106=1,IL27+AFA27,1)</f>
        <v/>
      </c>
      <c r="AKP27">
        <f>IF('calcA'!EN$106=1,IM27+AFB27,1)</f>
        <v/>
      </c>
      <c r="AKQ27">
        <f>IF('calcA'!EO$106=1,IN27+AFC27,1)</f>
        <v/>
      </c>
      <c r="AKR27">
        <f>IF('calcA'!EP$106=1,IO27+AFD27,1)</f>
        <v/>
      </c>
      <c r="AKS27" t="n">
        <v>1</v>
      </c>
    </row>
    <row r="28">
      <c r="A28" t="n">
        <v>26</v>
      </c>
      <c r="B28">
        <f>IF(MIN(BM28:CZ28)&gt;=1000000000,0,MATCH(MIN(BM28:CZ28),BM28:CZ28,0))</f>
        <v/>
      </c>
      <c r="C28">
        <f>IF(MIN(OF28:TS28)&gt;=1000000000,0,MATCH(MIN(OF28:TS28),OF28:TS28,0))</f>
        <v/>
      </c>
      <c r="D28">
        <f>IF(C28&gt;0,INDEX('calcA'!$D$5:$EQ$5,C28),0)</f>
        <v/>
      </c>
      <c r="E28">
        <f>IF(B28=0,0,INDEX('calcA'!$IQ$10:$IQ$54,B28))</f>
        <v/>
      </c>
      <c r="F28">
        <f>IF(B28=0,0,INDEX('calcA'!$IP$10:$IP$54,B28))</f>
        <v/>
      </c>
      <c r="G28">
        <f>IF(AND(C28&gt;0,E28&gt;0),IF(AND(INDEX('calcA'!$D$106:$EQ$106,C28)=1,INDEX($IQ28:$OD28,C28)=1),C28+1,0),0)</f>
        <v/>
      </c>
      <c r="H28">
        <f>IF(B28=0,0,INDEX('calcA'!$IW$10:$IW$54,B28))</f>
        <v/>
      </c>
      <c r="U28">
        <f>IF(B28=0,0,INDEX('calcA'!$IX$10:$IX$54,B28))</f>
        <v/>
      </c>
      <c r="V28">
        <f>IF(B28=0,0,INDEX('calcA'!$JF$10:$JF$54,B28))</f>
        <v/>
      </c>
      <c r="W28">
        <f>IF(B28=0,0,IF(IF(E28=2,SUMPRODUCT(INDEX('calcA'!$D$60:$EQ$99,B28,0),$DB28:$IO28,$IQ28:$OD28),SUMPRODUCT(INDEX('calcA'!$D$60:$EQ$99,B28,0),$DB28:$IO28))=0,1,0))</f>
        <v/>
      </c>
      <c r="X28">
        <f>MAX(X27,IF($B27=1,1,0))</f>
        <v/>
      </c>
      <c r="Y28">
        <f>MAX(Y27,IF($B27=2,1,0))</f>
        <v/>
      </c>
      <c r="Z28">
        <f>MAX(Z27,IF($B27=3,1,0))</f>
        <v/>
      </c>
      <c r="AA28">
        <f>MAX(AA27,IF($B27=4,1,0))</f>
        <v/>
      </c>
      <c r="AB28">
        <f>MAX(AB27,IF($B27=5,1,0))</f>
        <v/>
      </c>
      <c r="AC28">
        <f>MAX(AC27,IF($B27=6,1,0))</f>
        <v/>
      </c>
      <c r="AD28">
        <f>MAX(AD27,IF($B27=7,1,0))</f>
        <v/>
      </c>
      <c r="AE28">
        <f>MAX(AE27,IF($B27=8,1,0))</f>
        <v/>
      </c>
      <c r="AF28">
        <f>MAX(AF27,IF($B27=9,1,0))</f>
        <v/>
      </c>
      <c r="AG28">
        <f>MAX(AG27,IF($B27=10,1,0))</f>
        <v/>
      </c>
      <c r="AH28">
        <f>MAX(AH27,IF($B27=11,1,0))</f>
        <v/>
      </c>
      <c r="AI28">
        <f>MAX(AI27,IF($B27=12,1,0))</f>
        <v/>
      </c>
      <c r="AJ28">
        <f>MAX(AJ27,IF($B27=13,1,0))</f>
        <v/>
      </c>
      <c r="AK28">
        <f>MAX(AK27,IF($B27=14,1,0))</f>
        <v/>
      </c>
      <c r="AL28">
        <f>MAX(AL27,IF($B27=15,1,0))</f>
        <v/>
      </c>
      <c r="AM28">
        <f>MAX(AM27,IF($B27=16,1,0))</f>
        <v/>
      </c>
      <c r="AN28">
        <f>MAX(AN27,IF($B27=17,1,0))</f>
        <v/>
      </c>
      <c r="AO28">
        <f>MAX(AO27,IF($B27=18,1,0))</f>
        <v/>
      </c>
      <c r="AP28">
        <f>MAX(AP27,IF($B27=19,1,0))</f>
        <v/>
      </c>
      <c r="AQ28">
        <f>MAX(AQ27,IF($B27=20,1,0))</f>
        <v/>
      </c>
      <c r="AR28">
        <f>MAX(AR27,IF($B27=21,1,0))</f>
        <v/>
      </c>
      <c r="AS28">
        <f>MAX(AS27,IF($B27=22,1,0))</f>
        <v/>
      </c>
      <c r="AT28">
        <f>MAX(AT27,IF($B27=23,1,0))</f>
        <v/>
      </c>
      <c r="AU28">
        <f>MAX(AU27,IF($B27=24,1,0))</f>
        <v/>
      </c>
      <c r="AV28">
        <f>MAX(AV27,IF($B27=25,1,0))</f>
        <v/>
      </c>
      <c r="AW28">
        <f>MAX(AW27,IF($B27=26,1,0))</f>
        <v/>
      </c>
      <c r="AX28">
        <f>MAX(AX27,IF($B27=27,1,0))</f>
        <v/>
      </c>
      <c r="AY28">
        <f>MAX(AY27,IF($B27=28,1,0))</f>
        <v/>
      </c>
      <c r="AZ28">
        <f>MAX(AZ27,IF($B27=29,1,0))</f>
        <v/>
      </c>
      <c r="BA28">
        <f>MAX(BA27,IF($B27=30,1,0))</f>
        <v/>
      </c>
      <c r="BB28">
        <f>MAX(BB27,IF($B27=31,1,0))</f>
        <v/>
      </c>
      <c r="BC28">
        <f>MAX(BC27,IF($B27=32,1,0))</f>
        <v/>
      </c>
      <c r="BD28">
        <f>MAX(BD27,IF($B27=33,1,0))</f>
        <v/>
      </c>
      <c r="BE28">
        <f>MAX(BE27,IF($B27=34,1,0))</f>
        <v/>
      </c>
      <c r="BF28">
        <f>MAX(BF27,IF($B27=35,1,0))</f>
        <v/>
      </c>
      <c r="BG28">
        <f>MAX(BG27,IF($B27=36,1,0))</f>
        <v/>
      </c>
      <c r="BH28">
        <f>MAX(BH27,IF($B27=37,1,0))</f>
        <v/>
      </c>
      <c r="BI28">
        <f>MAX(BI27,IF($B27=38,1,0))</f>
        <v/>
      </c>
      <c r="BJ28">
        <f>MAX(BJ27,IF($B27=39,1,0))</f>
        <v/>
      </c>
      <c r="BK28">
        <f>MAX(BK27,IF($B27=40,1,0))</f>
        <v/>
      </c>
      <c r="BM28">
        <f>IF(OR(X28=1,calcA!$A$6=0),1000000000,IF('calcA'!$JF$10=1,0,100000000)+IF('calcA'!$IQ$10=2,SUMPRODUCT('calcA'!$D$60:$EQ$60,$DB28:$IO28,$IQ28:$OD28)*1000+SUMPRODUCT('calcA'!$D$60:$EQ$60,$DB28:$IO28+$ZQ28:$AFD28,$AFF28:$AKS28),SUMPRODUCT('calcA'!$D$60:$EQ$60,$DB28:$IO28*1001+$ZQ28:$AFD28))*100+1)</f>
        <v/>
      </c>
      <c r="BN28">
        <f>IF(OR(Y28=1,calcA!$A$6=0),1000000000,IF('calcA'!$JF$11=1,0,100000000)+IF('calcA'!$IQ$11=2,SUMPRODUCT('calcA'!$D$61:$EQ$61,$DB28:$IO28,$IQ28:$OD28)*1000+SUMPRODUCT('calcA'!$D$61:$EQ$61,$DB28:$IO28+$ZQ28:$AFD28,$AFF28:$AKS28),SUMPRODUCT('calcA'!$D$61:$EQ$61,$DB28:$IO28*1001+$ZQ28:$AFD28))*100+2)</f>
        <v/>
      </c>
      <c r="BO28">
        <f>IF(OR(Z28=1,calcA!$A$6=0),1000000000,IF('calcA'!$JF$12=1,0,100000000)+IF('calcA'!$IQ$12=2,SUMPRODUCT('calcA'!$D$62:$EQ$62,$DB28:$IO28,$IQ28:$OD28)*1000+SUMPRODUCT('calcA'!$D$62:$EQ$62,$DB28:$IO28+$ZQ28:$AFD28,$AFF28:$AKS28),SUMPRODUCT('calcA'!$D$62:$EQ$62,$DB28:$IO28*1001+$ZQ28:$AFD28))*100+3)</f>
        <v/>
      </c>
      <c r="BP28">
        <f>IF(OR(AA28=1,calcA!$A$6=0),1000000000,IF('calcA'!$JF$13=1,0,100000000)+IF('calcA'!$IQ$13=2,SUMPRODUCT('calcA'!$D$63:$EQ$63,$DB28:$IO28,$IQ28:$OD28)*1000+SUMPRODUCT('calcA'!$D$63:$EQ$63,$DB28:$IO28+$ZQ28:$AFD28,$AFF28:$AKS28),SUMPRODUCT('calcA'!$D$63:$EQ$63,$DB28:$IO28*1001+$ZQ28:$AFD28))*100+4)</f>
        <v/>
      </c>
      <c r="BQ28">
        <f>IF(OR(AB28=1,calcA!$A$6=0),1000000000,IF('calcA'!$JF$14=1,0,100000000)+IF('calcA'!$IQ$14=2,SUMPRODUCT('calcA'!$D$64:$EQ$64,$DB28:$IO28,$IQ28:$OD28)*1000+SUMPRODUCT('calcA'!$D$64:$EQ$64,$DB28:$IO28+$ZQ28:$AFD28,$AFF28:$AKS28),SUMPRODUCT('calcA'!$D$64:$EQ$64,$DB28:$IO28*1001+$ZQ28:$AFD28))*100+5)</f>
        <v/>
      </c>
      <c r="BR28">
        <f>IF(OR(AC28=1,calcA!$A$6=0),1000000000,IF('calcA'!$JF$15=1,0,100000000)+IF('calcA'!$IQ$15=2,SUMPRODUCT('calcA'!$D$65:$EQ$65,$DB28:$IO28,$IQ28:$OD28)*1000+SUMPRODUCT('calcA'!$D$65:$EQ$65,$DB28:$IO28+$ZQ28:$AFD28,$AFF28:$AKS28),SUMPRODUCT('calcA'!$D$65:$EQ$65,$DB28:$IO28*1001+$ZQ28:$AFD28))*100+6)</f>
        <v/>
      </c>
      <c r="BS28">
        <f>IF(OR(AD28=1,calcA!$A$6=0),1000000000,IF('calcA'!$JF$16=1,0,100000000)+IF('calcA'!$IQ$16=2,SUMPRODUCT('calcA'!$D$66:$EQ$66,$DB28:$IO28,$IQ28:$OD28)*1000+SUMPRODUCT('calcA'!$D$66:$EQ$66,$DB28:$IO28+$ZQ28:$AFD28,$AFF28:$AKS28),SUMPRODUCT('calcA'!$D$66:$EQ$66,$DB28:$IO28*1001+$ZQ28:$AFD28))*100+7)</f>
        <v/>
      </c>
      <c r="BT28">
        <f>IF(OR(AE28=1,calcA!$A$6=0),1000000000,IF('calcA'!$JF$17=1,0,100000000)+IF('calcA'!$IQ$17=2,SUMPRODUCT('calcA'!$D$67:$EQ$67,$DB28:$IO28,$IQ28:$OD28)*1000+SUMPRODUCT('calcA'!$D$67:$EQ$67,$DB28:$IO28+$ZQ28:$AFD28,$AFF28:$AKS28),SUMPRODUCT('calcA'!$D$67:$EQ$67,$DB28:$IO28*1001+$ZQ28:$AFD28))*100+8)</f>
        <v/>
      </c>
      <c r="BU28">
        <f>IF(OR(AF28=1,calcA!$A$6=0),1000000000,IF('calcA'!$JF$18=1,0,100000000)+IF('calcA'!$IQ$18=2,SUMPRODUCT('calcA'!$D$68:$EQ$68,$DB28:$IO28,$IQ28:$OD28)*1000+SUMPRODUCT('calcA'!$D$68:$EQ$68,$DB28:$IO28+$ZQ28:$AFD28,$AFF28:$AKS28),SUMPRODUCT('calcA'!$D$68:$EQ$68,$DB28:$IO28*1001+$ZQ28:$AFD28))*100+9)</f>
        <v/>
      </c>
      <c r="BV28">
        <f>IF(OR(AG28=1,calcA!$A$6=0),1000000000,IF('calcA'!$JF$19=1,0,100000000)+IF('calcA'!$IQ$19=2,SUMPRODUCT('calcA'!$D$69:$EQ$69,$DB28:$IO28,$IQ28:$OD28)*1000+SUMPRODUCT('calcA'!$D$69:$EQ$69,$DB28:$IO28+$ZQ28:$AFD28,$AFF28:$AKS28),SUMPRODUCT('calcA'!$D$69:$EQ$69,$DB28:$IO28*1001+$ZQ28:$AFD28))*100+10)</f>
        <v/>
      </c>
      <c r="BW28">
        <f>IF(OR(AH28=1,calcA!$A$6=0),1000000000,IF('calcA'!$JF$20=1,0,100000000)+IF('calcA'!$IQ$20=2,SUMPRODUCT('calcA'!$D$70:$EQ$70,$DB28:$IO28,$IQ28:$OD28)*1000+SUMPRODUCT('calcA'!$D$70:$EQ$70,$DB28:$IO28+$ZQ28:$AFD28,$AFF28:$AKS28),SUMPRODUCT('calcA'!$D$70:$EQ$70,$DB28:$IO28*1001+$ZQ28:$AFD28))*100+11)</f>
        <v/>
      </c>
      <c r="BX28">
        <f>IF(OR(AI28=1,calcA!$A$6=0),1000000000,IF('calcA'!$JF$21=1,0,100000000)+IF('calcA'!$IQ$21=2,SUMPRODUCT('calcA'!$D$71:$EQ$71,$DB28:$IO28,$IQ28:$OD28)*1000+SUMPRODUCT('calcA'!$D$71:$EQ$71,$DB28:$IO28+$ZQ28:$AFD28,$AFF28:$AKS28),SUMPRODUCT('calcA'!$D$71:$EQ$71,$DB28:$IO28*1001+$ZQ28:$AFD28))*100+12)</f>
        <v/>
      </c>
      <c r="BY28">
        <f>IF(OR(AJ28=1,calcA!$A$6=0),1000000000,IF('calcA'!$JF$22=1,0,100000000)+IF('calcA'!$IQ$22=2,SUMPRODUCT('calcA'!$D$72:$EQ$72,$DB28:$IO28,$IQ28:$OD28)*1000+SUMPRODUCT('calcA'!$D$72:$EQ$72,$DB28:$IO28+$ZQ28:$AFD28,$AFF28:$AKS28),SUMPRODUCT('calcA'!$D$72:$EQ$72,$DB28:$IO28*1001+$ZQ28:$AFD28))*100+13)</f>
        <v/>
      </c>
      <c r="BZ28">
        <f>IF(OR(AK28=1,calcA!$A$6=0),1000000000,IF('calcA'!$JF$23=1,0,100000000)+IF('calcA'!$IQ$23=2,SUMPRODUCT('calcA'!$D$73:$EQ$73,$DB28:$IO28,$IQ28:$OD28)*1000+SUMPRODUCT('calcA'!$D$73:$EQ$73,$DB28:$IO28+$ZQ28:$AFD28,$AFF28:$AKS28),SUMPRODUCT('calcA'!$D$73:$EQ$73,$DB28:$IO28*1001+$ZQ28:$AFD28))*100+14)</f>
        <v/>
      </c>
      <c r="CA28">
        <f>IF(OR(AL28=1,calcA!$A$6=0),1000000000,IF('calcA'!$JF$24=1,0,100000000)+IF('calcA'!$IQ$24=2,SUMPRODUCT('calcA'!$D$74:$EQ$74,$DB28:$IO28,$IQ28:$OD28)*1000+SUMPRODUCT('calcA'!$D$74:$EQ$74,$DB28:$IO28+$ZQ28:$AFD28,$AFF28:$AKS28),SUMPRODUCT('calcA'!$D$74:$EQ$74,$DB28:$IO28*1001+$ZQ28:$AFD28))*100+15)</f>
        <v/>
      </c>
      <c r="CB28">
        <f>IF(OR(AM28=1,calcA!$A$6=0),1000000000,IF('calcA'!$JF$25=1,0,100000000)+IF('calcA'!$IQ$25=2,SUMPRODUCT('calcA'!$D$75:$EQ$75,$DB28:$IO28,$IQ28:$OD28)*1000+SUMPRODUCT('calcA'!$D$75:$EQ$75,$DB28:$IO28+$ZQ28:$AFD28,$AFF28:$AKS28),SUMPRODUCT('calcA'!$D$75:$EQ$75,$DB28:$IO28*1001+$ZQ28:$AFD28))*100+16)</f>
        <v/>
      </c>
      <c r="CC28">
        <f>IF(OR(AN28=1,calcA!$A$6=0),1000000000,IF('calcA'!$JF$26=1,0,100000000)+IF('calcA'!$IQ$26=2,SUMPRODUCT('calcA'!$D$76:$EQ$76,$DB28:$IO28,$IQ28:$OD28)*1000+SUMPRODUCT('calcA'!$D$76:$EQ$76,$DB28:$IO28+$ZQ28:$AFD28,$AFF28:$AKS28),SUMPRODUCT('calcA'!$D$76:$EQ$76,$DB28:$IO28*1001+$ZQ28:$AFD28))*100+17)</f>
        <v/>
      </c>
      <c r="CD28">
        <f>IF(OR(AO28=1,calcA!$A$6=0),1000000000,IF('calcA'!$JF$27=1,0,100000000)+IF('calcA'!$IQ$27=2,SUMPRODUCT('calcA'!$D$77:$EQ$77,$DB28:$IO28,$IQ28:$OD28)*1000+SUMPRODUCT('calcA'!$D$77:$EQ$77,$DB28:$IO28+$ZQ28:$AFD28,$AFF28:$AKS28),SUMPRODUCT('calcA'!$D$77:$EQ$77,$DB28:$IO28*1001+$ZQ28:$AFD28))*100+18)</f>
        <v/>
      </c>
      <c r="CE28">
        <f>IF(OR(AP28=1,calcA!$A$6=0),1000000000,IF('calcA'!$JF$28=1,0,100000000)+IF('calcA'!$IQ$28=2,SUMPRODUCT('calcA'!$D$78:$EQ$78,$DB28:$IO28,$IQ28:$OD28)*1000+SUMPRODUCT('calcA'!$D$78:$EQ$78,$DB28:$IO28+$ZQ28:$AFD28,$AFF28:$AKS28),SUMPRODUCT('calcA'!$D$78:$EQ$78,$DB28:$IO28*1001+$ZQ28:$AFD28))*100+19)</f>
        <v/>
      </c>
      <c r="CF28">
        <f>IF(OR(AQ28=1,calcA!$A$6=0),1000000000,IF('calcA'!$JF$29=1,0,100000000)+IF('calcA'!$IQ$29=2,SUMPRODUCT('calcA'!$D$79:$EQ$79,$DB28:$IO28,$IQ28:$OD28)*1000+SUMPRODUCT('calcA'!$D$79:$EQ$79,$DB28:$IO28+$ZQ28:$AFD28,$AFF28:$AKS28),SUMPRODUCT('calcA'!$D$79:$EQ$79,$DB28:$IO28*1001+$ZQ28:$AFD28))*100+20)</f>
        <v/>
      </c>
      <c r="CG28">
        <f>IF(OR(AR28=1,calcA!$A$6=0),1000000000,IF('calcA'!$JF$30=1,0,100000000)+IF('calcA'!$IQ$30=2,SUMPRODUCT('calcA'!$D$80:$EQ$80,$DB28:$IO28,$IQ28:$OD28)*1000+SUMPRODUCT('calcA'!$D$80:$EQ$80,$DB28:$IO28+$ZQ28:$AFD28,$AFF28:$AKS28),SUMPRODUCT('calcA'!$D$80:$EQ$80,$DB28:$IO28*1001+$ZQ28:$AFD28))*100+21)</f>
        <v/>
      </c>
      <c r="CH28">
        <f>IF(OR(AS28=1,calcA!$A$6=0),1000000000,IF('calcA'!$JF$31=1,0,100000000)+IF('calcA'!$IQ$31=2,SUMPRODUCT('calcA'!$D$81:$EQ$81,$DB28:$IO28,$IQ28:$OD28)*1000+SUMPRODUCT('calcA'!$D$81:$EQ$81,$DB28:$IO28+$ZQ28:$AFD28,$AFF28:$AKS28),SUMPRODUCT('calcA'!$D$81:$EQ$81,$DB28:$IO28*1001+$ZQ28:$AFD28))*100+22)</f>
        <v/>
      </c>
      <c r="CI28">
        <f>IF(OR(AT28=1,calcA!$A$6=0),1000000000,IF('calcA'!$JF$32=1,0,100000000)+IF('calcA'!$IQ$32=2,SUMPRODUCT('calcA'!$D$82:$EQ$82,$DB28:$IO28,$IQ28:$OD28)*1000+SUMPRODUCT('calcA'!$D$82:$EQ$82,$DB28:$IO28+$ZQ28:$AFD28,$AFF28:$AKS28),SUMPRODUCT('calcA'!$D$82:$EQ$82,$DB28:$IO28*1001+$ZQ28:$AFD28))*100+23)</f>
        <v/>
      </c>
      <c r="CJ28">
        <f>IF(OR(AU28=1,calcA!$A$6=0),1000000000,IF('calcA'!$JF$33=1,0,100000000)+IF('calcA'!$IQ$33=2,SUMPRODUCT('calcA'!$D$83:$EQ$83,$DB28:$IO28,$IQ28:$OD28)*1000+SUMPRODUCT('calcA'!$D$83:$EQ$83,$DB28:$IO28+$ZQ28:$AFD28,$AFF28:$AKS28),SUMPRODUCT('calcA'!$D$83:$EQ$83,$DB28:$IO28*1001+$ZQ28:$AFD28))*100+24)</f>
        <v/>
      </c>
      <c r="CK28">
        <f>IF(OR(AV28=1,calcA!$A$6=0),1000000000,IF('calcA'!$JF$34=1,0,100000000)+IF('calcA'!$IQ$34=2,SUMPRODUCT('calcA'!$D$84:$EQ$84,$DB28:$IO28,$IQ28:$OD28)*1000+SUMPRODUCT('calcA'!$D$84:$EQ$84,$DB28:$IO28+$ZQ28:$AFD28,$AFF28:$AKS28),SUMPRODUCT('calcA'!$D$84:$EQ$84,$DB28:$IO28*1001+$ZQ28:$AFD28))*100+25)</f>
        <v/>
      </c>
      <c r="CL28">
        <f>IF(OR(AW28=1,calcA!$A$6=0),1000000000,IF('calcA'!$JF$35=1,0,100000000)+IF('calcA'!$IQ$35=2,SUMPRODUCT('calcA'!$D$85:$EQ$85,$DB28:$IO28,$IQ28:$OD28)*1000+SUMPRODUCT('calcA'!$D$85:$EQ$85,$DB28:$IO28+$ZQ28:$AFD28,$AFF28:$AKS28),SUMPRODUCT('calcA'!$D$85:$EQ$85,$DB28:$IO28*1001+$ZQ28:$AFD28))*100+26)</f>
        <v/>
      </c>
      <c r="CM28">
        <f>IF(OR(AX28=1,calcA!$A$6=0),1000000000,IF('calcA'!$JF$36=1,0,100000000)+IF('calcA'!$IQ$36=2,SUMPRODUCT('calcA'!$D$86:$EQ$86,$DB28:$IO28,$IQ28:$OD28)*1000+SUMPRODUCT('calcA'!$D$86:$EQ$86,$DB28:$IO28+$ZQ28:$AFD28,$AFF28:$AKS28),SUMPRODUCT('calcA'!$D$86:$EQ$86,$DB28:$IO28*1001+$ZQ28:$AFD28))*100+27)</f>
        <v/>
      </c>
      <c r="CN28">
        <f>IF(OR(AY28=1,calcA!$A$6=0),1000000000,IF('calcA'!$JF$37=1,0,100000000)+IF('calcA'!$IQ$37=2,SUMPRODUCT('calcA'!$D$87:$EQ$87,$DB28:$IO28,$IQ28:$OD28)*1000+SUMPRODUCT('calcA'!$D$87:$EQ$87,$DB28:$IO28+$ZQ28:$AFD28,$AFF28:$AKS28),SUMPRODUCT('calcA'!$D$87:$EQ$87,$DB28:$IO28*1001+$ZQ28:$AFD28))*100+28)</f>
        <v/>
      </c>
      <c r="CO28">
        <f>IF(OR(AZ28=1,calcA!$A$6=0),1000000000,IF('calcA'!$JF$38=1,0,100000000)+IF('calcA'!$IQ$38=2,SUMPRODUCT('calcA'!$D$88:$EQ$88,$DB28:$IO28,$IQ28:$OD28)*1000+SUMPRODUCT('calcA'!$D$88:$EQ$88,$DB28:$IO28+$ZQ28:$AFD28,$AFF28:$AKS28),SUMPRODUCT('calcA'!$D$88:$EQ$88,$DB28:$IO28*1001+$ZQ28:$AFD28))*100+29)</f>
        <v/>
      </c>
      <c r="CP28">
        <f>IF(OR(BA28=1,calcA!$A$6=0),1000000000,IF('calcA'!$JF$39=1,0,100000000)+IF('calcA'!$IQ$39=2,SUMPRODUCT('calcA'!$D$89:$EQ$89,$DB28:$IO28,$IQ28:$OD28)*1000+SUMPRODUCT('calcA'!$D$89:$EQ$89,$DB28:$IO28+$ZQ28:$AFD28,$AFF28:$AKS28),SUMPRODUCT('calcA'!$D$89:$EQ$89,$DB28:$IO28*1001+$ZQ28:$AFD28))*100+30)</f>
        <v/>
      </c>
      <c r="CQ28">
        <f>IF(OR(BB28=1,calcA!$A$6=0),1000000000,IF('calcA'!$JF$40=1,0,100000000)+IF('calcA'!$IQ$40=2,SUMPRODUCT('calcA'!$D$90:$EQ$90,$DB28:$IO28,$IQ28:$OD28)*1000+SUMPRODUCT('calcA'!$D$90:$EQ$90,$DB28:$IO28+$ZQ28:$AFD28,$AFF28:$AKS28),SUMPRODUCT('calcA'!$D$90:$EQ$90,$DB28:$IO28*1001+$ZQ28:$AFD28))*100+31)</f>
        <v/>
      </c>
      <c r="CR28">
        <f>IF(OR(BC28=1,calcA!$A$6=0),1000000000,IF('calcA'!$JF$41=1,0,100000000)+IF('calcA'!$IQ$41=2,SUMPRODUCT('calcA'!$D$91:$EQ$91,$DB28:$IO28,$IQ28:$OD28)*1000+SUMPRODUCT('calcA'!$D$91:$EQ$91,$DB28:$IO28+$ZQ28:$AFD28,$AFF28:$AKS28),SUMPRODUCT('calcA'!$D$91:$EQ$91,$DB28:$IO28*1001+$ZQ28:$AFD28))*100+32)</f>
        <v/>
      </c>
      <c r="CS28">
        <f>IF(OR(BD28=1,calcA!$A$6=0),1000000000,IF('calcA'!$JF$42=1,0,100000000)+IF('calcA'!$IQ$42=2,SUMPRODUCT('calcA'!$D$92:$EQ$92,$DB28:$IO28,$IQ28:$OD28)*1000+SUMPRODUCT('calcA'!$D$92:$EQ$92,$DB28:$IO28+$ZQ28:$AFD28,$AFF28:$AKS28),SUMPRODUCT('calcA'!$D$92:$EQ$92,$DB28:$IO28*1001+$ZQ28:$AFD28))*100+33)</f>
        <v/>
      </c>
      <c r="CT28">
        <f>IF(OR(BE28=1,calcA!$A$6=0),1000000000,IF('calcA'!$JF$43=1,0,100000000)+IF('calcA'!$IQ$43=2,SUMPRODUCT('calcA'!$D$93:$EQ$93,$DB28:$IO28,$IQ28:$OD28)*1000+SUMPRODUCT('calcA'!$D$93:$EQ$93,$DB28:$IO28+$ZQ28:$AFD28,$AFF28:$AKS28),SUMPRODUCT('calcA'!$D$93:$EQ$93,$DB28:$IO28*1001+$ZQ28:$AFD28))*100+34)</f>
        <v/>
      </c>
      <c r="CU28">
        <f>IF(OR(BF28=1,calcA!$A$6=0),1000000000,IF('calcA'!$JF$44=1,0,100000000)+IF('calcA'!$IQ$44=2,SUMPRODUCT('calcA'!$D$94:$EQ$94,$DB28:$IO28,$IQ28:$OD28)*1000+SUMPRODUCT('calcA'!$D$94:$EQ$94,$DB28:$IO28+$ZQ28:$AFD28,$AFF28:$AKS28),SUMPRODUCT('calcA'!$D$94:$EQ$94,$DB28:$IO28*1001+$ZQ28:$AFD28))*100+35)</f>
        <v/>
      </c>
      <c r="CV28">
        <f>IF(OR(BG28=1,calcA!$A$6=0),1000000000,IF('calcA'!$JF$45=1,0,100000000)+IF('calcA'!$IQ$45=2,SUMPRODUCT('calcA'!$D$95:$EQ$95,$DB28:$IO28,$IQ28:$OD28)*1000+SUMPRODUCT('calcA'!$D$95:$EQ$95,$DB28:$IO28+$ZQ28:$AFD28,$AFF28:$AKS28),SUMPRODUCT('calcA'!$D$95:$EQ$95,$DB28:$IO28*1001+$ZQ28:$AFD28))*100+36)</f>
        <v/>
      </c>
      <c r="CW28">
        <f>IF(OR(BH28=1,calcA!$A$6=0),1000000000,IF('calcA'!$JF$46=1,0,100000000)+IF('calcA'!$IQ$46=2,SUMPRODUCT('calcA'!$D$96:$EQ$96,$DB28:$IO28,$IQ28:$OD28)*1000+SUMPRODUCT('calcA'!$D$96:$EQ$96,$DB28:$IO28+$ZQ28:$AFD28,$AFF28:$AKS28),SUMPRODUCT('calcA'!$D$96:$EQ$96,$DB28:$IO28*1001+$ZQ28:$AFD28))*100+37)</f>
        <v/>
      </c>
      <c r="CX28">
        <f>IF(OR(BI28=1,calcA!$A$6=0),1000000000,IF('calcA'!$JF$47=1,0,100000000)+IF('calcA'!$IQ$47=2,SUMPRODUCT('calcA'!$D$97:$EQ$97,$DB28:$IO28,$IQ28:$OD28)*1000+SUMPRODUCT('calcA'!$D$97:$EQ$97,$DB28:$IO28+$ZQ28:$AFD28,$AFF28:$AKS28),SUMPRODUCT('calcA'!$D$97:$EQ$97,$DB28:$IO28*1001+$ZQ28:$AFD28))*100+38)</f>
        <v/>
      </c>
      <c r="CY28">
        <f>IF(OR(BJ28=1,calcA!$A$6=0),1000000000,IF('calcA'!$JF$48=1,0,100000000)+IF('calcA'!$IQ$48=2,SUMPRODUCT('calcA'!$D$98:$EQ$98,$DB28:$IO28,$IQ28:$OD28)*1000+SUMPRODUCT('calcA'!$D$98:$EQ$98,$DB28:$IO28+$ZQ28:$AFD28,$AFF28:$AKS28),SUMPRODUCT('calcA'!$D$98:$EQ$98,$DB28:$IO28*1001+$ZQ28:$AFD28))*100+39)</f>
        <v/>
      </c>
      <c r="CZ28">
        <f>IF(OR(BK28=1,calcA!$A$6=0),1000000000,IF('calcA'!$JF$49=1,0,100000000)+IF('calcA'!$IQ$49=2,SUMPRODUCT('calcA'!$D$99:$EQ$99,$DB28:$IO28,$IQ28:$OD28)*1000+SUMPRODUCT('calcA'!$D$99:$EQ$99,$DB28:$IO28+$ZQ28:$AFD28,$AFF28:$AKS28),SUMPRODUCT('calcA'!$D$99:$EQ$99,$DB28:$IO28*1001+$ZQ28:$AFD28))*100+40)</f>
        <v/>
      </c>
      <c r="DB28">
        <f>DB27*IF(OR($C27=1,$G27=1),0,1)</f>
        <v/>
      </c>
      <c r="DC28">
        <f>DC27*IF(OR($C27=2,$G27=2),0,1)</f>
        <v/>
      </c>
      <c r="DD28">
        <f>DD27*IF(OR($C27=3,$G27=3),0,1)</f>
        <v/>
      </c>
      <c r="DE28">
        <f>DE27*IF(OR($C27=4,$G27=4),0,1)</f>
        <v/>
      </c>
      <c r="DF28">
        <f>DF27*IF(OR($C27=5,$G27=5),0,1)</f>
        <v/>
      </c>
      <c r="DG28">
        <f>DG27*IF(OR($C27=6,$G27=6),0,1)</f>
        <v/>
      </c>
      <c r="DH28">
        <f>DH27*IF(OR($C27=7,$G27=7),0,1)</f>
        <v/>
      </c>
      <c r="DI28">
        <f>DI27*IF(OR($C27=8,$G27=8),0,1)</f>
        <v/>
      </c>
      <c r="DJ28">
        <f>DJ27*IF(OR($C27=9,$G27=9),0,1)</f>
        <v/>
      </c>
      <c r="DK28">
        <f>DK27*IF(OR($C27=10,$G27=10),0,1)</f>
        <v/>
      </c>
      <c r="DL28">
        <f>DL27*IF(OR($C27=11,$G27=11),0,1)</f>
        <v/>
      </c>
      <c r="DM28">
        <f>DM27*IF(OR($C27=12,$G27=12),0,1)</f>
        <v/>
      </c>
      <c r="DN28">
        <f>DN27*IF(OR($C27=13,$G27=13),0,1)</f>
        <v/>
      </c>
      <c r="DO28">
        <f>DO27*IF(OR($C27=14,$G27=14),0,1)</f>
        <v/>
      </c>
      <c r="DP28">
        <f>DP27*IF(OR($C27=15,$G27=15),0,1)</f>
        <v/>
      </c>
      <c r="DQ28">
        <f>DQ27*IF(OR($C27=16,$G27=16),0,1)</f>
        <v/>
      </c>
      <c r="DR28">
        <f>DR27*IF(OR($C27=17,$G27=17),0,1)</f>
        <v/>
      </c>
      <c r="DS28">
        <f>DS27*IF(OR($C27=18,$G27=18),0,1)</f>
        <v/>
      </c>
      <c r="DT28">
        <f>DT27*IF(OR($C27=19,$G27=19),0,1)</f>
        <v/>
      </c>
      <c r="DU28">
        <f>DU27*IF(OR($C27=20,$G27=20),0,1)</f>
        <v/>
      </c>
      <c r="DV28">
        <f>DV27*IF(OR($C27=21,$G27=21),0,1)</f>
        <v/>
      </c>
      <c r="DW28">
        <f>DW27*IF(OR($C27=22,$G27=22),0,1)</f>
        <v/>
      </c>
      <c r="DX28">
        <f>DX27*IF(OR($C27=23,$G27=23),0,1)</f>
        <v/>
      </c>
      <c r="DY28">
        <f>DY27*IF(OR($C27=24,$G27=24),0,1)</f>
        <v/>
      </c>
      <c r="DZ28">
        <f>DZ27*IF(OR($C27=25,$G27=25),0,1)</f>
        <v/>
      </c>
      <c r="EA28">
        <f>EA27*IF(OR($C27=26,$G27=26),0,1)</f>
        <v/>
      </c>
      <c r="EB28">
        <f>EB27*IF(OR($C27=27,$G27=27),0,1)</f>
        <v/>
      </c>
      <c r="EC28">
        <f>EC27*IF(OR($C27=28,$G27=28),0,1)</f>
        <v/>
      </c>
      <c r="ED28">
        <f>ED27*IF(OR($C27=29,$G27=29),0,1)</f>
        <v/>
      </c>
      <c r="EE28">
        <f>EE27*IF(OR($C27=30,$G27=30),0,1)</f>
        <v/>
      </c>
      <c r="EF28">
        <f>EF27*IF(OR($C27=31,$G27=31),0,1)</f>
        <v/>
      </c>
      <c r="EG28">
        <f>EG27*IF(OR($C27=32,$G27=32),0,1)</f>
        <v/>
      </c>
      <c r="EH28">
        <f>EH27*IF(OR($C27=33,$G27=33),0,1)</f>
        <v/>
      </c>
      <c r="EI28">
        <f>EI27*IF(OR($C27=34,$G27=34),0,1)</f>
        <v/>
      </c>
      <c r="EJ28">
        <f>EJ27*IF(OR($C27=35,$G27=35),0,1)</f>
        <v/>
      </c>
      <c r="EK28">
        <f>EK27*IF(OR($C27=36,$G27=36),0,1)</f>
        <v/>
      </c>
      <c r="EL28">
        <f>EL27*IF(OR($C27=37,$G27=37),0,1)</f>
        <v/>
      </c>
      <c r="EM28">
        <f>EM27*IF(OR($C27=38,$G27=38),0,1)</f>
        <v/>
      </c>
      <c r="EN28">
        <f>EN27*IF(OR($C27=39,$G27=39),0,1)</f>
        <v/>
      </c>
      <c r="EO28">
        <f>EO27*IF(OR($C27=40,$G27=40),0,1)</f>
        <v/>
      </c>
      <c r="EP28">
        <f>EP27*IF(OR($C27=41,$G27=41),0,1)</f>
        <v/>
      </c>
      <c r="EQ28">
        <f>EQ27*IF(OR($C27=42,$G27=42),0,1)</f>
        <v/>
      </c>
      <c r="ER28">
        <f>ER27*IF(OR($C27=43,$G27=43),0,1)</f>
        <v/>
      </c>
      <c r="ES28">
        <f>ES27*IF(OR($C27=44,$G27=44),0,1)</f>
        <v/>
      </c>
      <c r="ET28">
        <f>ET27*IF(OR($C27=45,$G27=45),0,1)</f>
        <v/>
      </c>
      <c r="EU28">
        <f>EU27*IF(OR($C27=46,$G27=46),0,1)</f>
        <v/>
      </c>
      <c r="EV28">
        <f>EV27*IF(OR($C27=47,$G27=47),0,1)</f>
        <v/>
      </c>
      <c r="EW28">
        <f>EW27*IF(OR($C27=48,$G27=48),0,1)</f>
        <v/>
      </c>
      <c r="EX28">
        <f>EX27*IF(OR($C27=49,$G27=49),0,1)</f>
        <v/>
      </c>
      <c r="EY28">
        <f>EY27*IF(OR($C27=50,$G27=50),0,1)</f>
        <v/>
      </c>
      <c r="EZ28">
        <f>EZ27*IF(OR($C27=51,$G27=51),0,1)</f>
        <v/>
      </c>
      <c r="FA28">
        <f>FA27*IF(OR($C27=52,$G27=52),0,1)</f>
        <v/>
      </c>
      <c r="FB28">
        <f>FB27*IF(OR($C27=53,$G27=53),0,1)</f>
        <v/>
      </c>
      <c r="FC28">
        <f>FC27*IF(OR($C27=54,$G27=54),0,1)</f>
        <v/>
      </c>
      <c r="FD28">
        <f>FD27*IF(OR($C27=55,$G27=55),0,1)</f>
        <v/>
      </c>
      <c r="FE28">
        <f>FE27*IF(OR($C27=56,$G27=56),0,1)</f>
        <v/>
      </c>
      <c r="FF28">
        <f>FF27*IF(OR($C27=57,$G27=57),0,1)</f>
        <v/>
      </c>
      <c r="FG28">
        <f>FG27*IF(OR($C27=58,$G27=58),0,1)</f>
        <v/>
      </c>
      <c r="FH28">
        <f>FH27*IF(OR($C27=59,$G27=59),0,1)</f>
        <v/>
      </c>
      <c r="FI28">
        <f>FI27*IF(OR($C27=60,$G27=60),0,1)</f>
        <v/>
      </c>
      <c r="FJ28">
        <f>FJ27*IF(OR($C27=61,$G27=61),0,1)</f>
        <v/>
      </c>
      <c r="FK28">
        <f>FK27*IF(OR($C27=62,$G27=62),0,1)</f>
        <v/>
      </c>
      <c r="FL28">
        <f>FL27*IF(OR($C27=63,$G27=63),0,1)</f>
        <v/>
      </c>
      <c r="FM28">
        <f>FM27*IF(OR($C27=64,$G27=64),0,1)</f>
        <v/>
      </c>
      <c r="FN28">
        <f>FN27*IF(OR($C27=65,$G27=65),0,1)</f>
        <v/>
      </c>
      <c r="FO28">
        <f>FO27*IF(OR($C27=66,$G27=66),0,1)</f>
        <v/>
      </c>
      <c r="FP28">
        <f>FP27*IF(OR($C27=67,$G27=67),0,1)</f>
        <v/>
      </c>
      <c r="FQ28">
        <f>FQ27*IF(OR($C27=68,$G27=68),0,1)</f>
        <v/>
      </c>
      <c r="FR28">
        <f>FR27*IF(OR($C27=69,$G27=69),0,1)</f>
        <v/>
      </c>
      <c r="FS28">
        <f>FS27*IF(OR($C27=70,$G27=70),0,1)</f>
        <v/>
      </c>
      <c r="FT28">
        <f>FT27*IF(OR($C27=71,$G27=71),0,1)</f>
        <v/>
      </c>
      <c r="FU28">
        <f>FU27*IF(OR($C27=72,$G27=72),0,1)</f>
        <v/>
      </c>
      <c r="FV28">
        <f>FV27*IF(OR($C27=73,$G27=73),0,1)</f>
        <v/>
      </c>
      <c r="FW28">
        <f>FW27*IF(OR($C27=74,$G27=74),0,1)</f>
        <v/>
      </c>
      <c r="FX28">
        <f>FX27*IF(OR($C27=75,$G27=75),0,1)</f>
        <v/>
      </c>
      <c r="FY28">
        <f>FY27*IF(OR($C27=76,$G27=76),0,1)</f>
        <v/>
      </c>
      <c r="FZ28">
        <f>FZ27*IF(OR($C27=77,$G27=77),0,1)</f>
        <v/>
      </c>
      <c r="GA28">
        <f>GA27*IF(OR($C27=78,$G27=78),0,1)</f>
        <v/>
      </c>
      <c r="GB28">
        <f>GB27*IF(OR($C27=79,$G27=79),0,1)</f>
        <v/>
      </c>
      <c r="GC28">
        <f>GC27*IF(OR($C27=80,$G27=80),0,1)</f>
        <v/>
      </c>
      <c r="GD28">
        <f>GD27*IF(OR($C27=81,$G27=81),0,1)</f>
        <v/>
      </c>
      <c r="GE28">
        <f>GE27*IF(OR($C27=82,$G27=82),0,1)</f>
        <v/>
      </c>
      <c r="GF28">
        <f>GF27*IF(OR($C27=83,$G27=83),0,1)</f>
        <v/>
      </c>
      <c r="GG28">
        <f>GG27*IF(OR($C27=84,$G27=84),0,1)</f>
        <v/>
      </c>
      <c r="GH28">
        <f>GH27*IF(OR($C27=85,$G27=85),0,1)</f>
        <v/>
      </c>
      <c r="GI28">
        <f>GI27*IF(OR($C27=86,$G27=86),0,1)</f>
        <v/>
      </c>
      <c r="GJ28">
        <f>GJ27*IF(OR($C27=87,$G27=87),0,1)</f>
        <v/>
      </c>
      <c r="GK28">
        <f>GK27*IF(OR($C27=88,$G27=88),0,1)</f>
        <v/>
      </c>
      <c r="GL28">
        <f>GL27*IF(OR($C27=89,$G27=89),0,1)</f>
        <v/>
      </c>
      <c r="GM28">
        <f>GM27*IF(OR($C27=90,$G27=90),0,1)</f>
        <v/>
      </c>
      <c r="GN28">
        <f>GN27*IF(OR($C27=91,$G27=91),0,1)</f>
        <v/>
      </c>
      <c r="GO28">
        <f>GO27*IF(OR($C27=92,$G27=92),0,1)</f>
        <v/>
      </c>
      <c r="GP28">
        <f>GP27*IF(OR($C27=93,$G27=93),0,1)</f>
        <v/>
      </c>
      <c r="GQ28">
        <f>GQ27*IF(OR($C27=94,$G27=94),0,1)</f>
        <v/>
      </c>
      <c r="GR28">
        <f>GR27*IF(OR($C27=95,$G27=95),0,1)</f>
        <v/>
      </c>
      <c r="GS28">
        <f>GS27*IF(OR($C27=96,$G27=96),0,1)</f>
        <v/>
      </c>
      <c r="GT28">
        <f>GT27*IF(OR($C27=97,$G27=97),0,1)</f>
        <v/>
      </c>
      <c r="GU28">
        <f>GU27*IF(OR($C27=98,$G27=98),0,1)</f>
        <v/>
      </c>
      <c r="GV28">
        <f>GV27*IF(OR($C27=99,$G27=99),0,1)</f>
        <v/>
      </c>
      <c r="GW28">
        <f>GW27*IF(OR($C27=100,$G27=100),0,1)</f>
        <v/>
      </c>
      <c r="GX28">
        <f>GX27*IF(OR($C27=101,$G27=101),0,1)</f>
        <v/>
      </c>
      <c r="GY28">
        <f>GY27*IF(OR($C27=102,$G27=102),0,1)</f>
        <v/>
      </c>
      <c r="GZ28">
        <f>GZ27*IF(OR($C27=103,$G27=103),0,1)</f>
        <v/>
      </c>
      <c r="HA28">
        <f>HA27*IF(OR($C27=104,$G27=104),0,1)</f>
        <v/>
      </c>
      <c r="HB28">
        <f>HB27*IF(OR($C27=105,$G27=105),0,1)</f>
        <v/>
      </c>
      <c r="HC28">
        <f>HC27*IF(OR($C27=106,$G27=106),0,1)</f>
        <v/>
      </c>
      <c r="HD28">
        <f>HD27*IF(OR($C27=107,$G27=107),0,1)</f>
        <v/>
      </c>
      <c r="HE28">
        <f>HE27*IF(OR($C27=108,$G27=108),0,1)</f>
        <v/>
      </c>
      <c r="HF28">
        <f>HF27*IF(OR($C27=109,$G27=109),0,1)</f>
        <v/>
      </c>
      <c r="HG28">
        <f>HG27*IF(OR($C27=110,$G27=110),0,1)</f>
        <v/>
      </c>
      <c r="HH28">
        <f>HH27*IF(OR($C27=111,$G27=111),0,1)</f>
        <v/>
      </c>
      <c r="HI28">
        <f>HI27*IF(OR($C27=112,$G27=112),0,1)</f>
        <v/>
      </c>
      <c r="HJ28">
        <f>HJ27*IF(OR($C27=113,$G27=113),0,1)</f>
        <v/>
      </c>
      <c r="HK28">
        <f>HK27*IF(OR($C27=114,$G27=114),0,1)</f>
        <v/>
      </c>
      <c r="HL28">
        <f>HL27*IF(OR($C27=115,$G27=115),0,1)</f>
        <v/>
      </c>
      <c r="HM28">
        <f>HM27*IF(OR($C27=116,$G27=116),0,1)</f>
        <v/>
      </c>
      <c r="HN28">
        <f>HN27*IF(OR($C27=117,$G27=117),0,1)</f>
        <v/>
      </c>
      <c r="HO28">
        <f>HO27*IF(OR($C27=118,$G27=118),0,1)</f>
        <v/>
      </c>
      <c r="HP28">
        <f>HP27*IF(OR($C27=119,$G27=119),0,1)</f>
        <v/>
      </c>
      <c r="HQ28">
        <f>HQ27*IF(OR($C27=120,$G27=120),0,1)</f>
        <v/>
      </c>
      <c r="HR28">
        <f>HR27*IF(OR($C27=121,$G27=121),0,1)</f>
        <v/>
      </c>
      <c r="HS28">
        <f>HS27*IF(OR($C27=122,$G27=122),0,1)</f>
        <v/>
      </c>
      <c r="HT28">
        <f>HT27*IF(OR($C27=123,$G27=123),0,1)</f>
        <v/>
      </c>
      <c r="HU28">
        <f>HU27*IF(OR($C27=124,$G27=124),0,1)</f>
        <v/>
      </c>
      <c r="HV28">
        <f>HV27*IF(OR($C27=125,$G27=125),0,1)</f>
        <v/>
      </c>
      <c r="HW28">
        <f>HW27*IF(OR($C27=126,$G27=126),0,1)</f>
        <v/>
      </c>
      <c r="HX28">
        <f>HX27*IF(OR($C27=127,$G27=127),0,1)</f>
        <v/>
      </c>
      <c r="HY28">
        <f>HY27*IF(OR($C27=128,$G27=128),0,1)</f>
        <v/>
      </c>
      <c r="HZ28">
        <f>HZ27*IF(OR($C27=129,$G27=129),0,1)</f>
        <v/>
      </c>
      <c r="IA28">
        <f>IA27*IF(OR($C27=130,$G27=130),0,1)</f>
        <v/>
      </c>
      <c r="IB28">
        <f>IB27*IF(OR($C27=131,$G27=131),0,1)</f>
        <v/>
      </c>
      <c r="IC28">
        <f>IC27*IF(OR($C27=132,$G27=132),0,1)</f>
        <v/>
      </c>
      <c r="ID28">
        <f>ID27*IF(OR($C27=133,$G27=133),0,1)</f>
        <v/>
      </c>
      <c r="IE28">
        <f>IE27*IF(OR($C27=134,$G27=134),0,1)</f>
        <v/>
      </c>
      <c r="IF28">
        <f>IF27*IF(OR($C27=135,$G27=135),0,1)</f>
        <v/>
      </c>
      <c r="IG28">
        <f>IG27*IF(OR($C27=136,$G27=136),0,1)</f>
        <v/>
      </c>
      <c r="IH28">
        <f>IH27*IF(OR($C27=137,$G27=137),0,1)</f>
        <v/>
      </c>
      <c r="II28">
        <f>II27*IF(OR($C27=138,$G27=138),0,1)</f>
        <v/>
      </c>
      <c r="IJ28">
        <f>IJ27*IF(OR($C27=139,$G27=139),0,1)</f>
        <v/>
      </c>
      <c r="IK28">
        <f>IK27*IF(OR($C27=140,$G27=140),0,1)</f>
        <v/>
      </c>
      <c r="IL28">
        <f>IL27*IF(OR($C27=141,$G27=141),0,1)</f>
        <v/>
      </c>
      <c r="IM28">
        <f>IM27*IF(OR($C27=142,$G27=142),0,1)</f>
        <v/>
      </c>
      <c r="IN28">
        <f>IN27*IF(OR($C27=143,$G27=143),0,1)</f>
        <v/>
      </c>
      <c r="IO28">
        <f>IO27*IF(OR($C27=144,$G27=144),0,1)</f>
        <v/>
      </c>
      <c r="IQ28">
        <f>IF('calcA'!D$106=1,DC28,1)</f>
        <v/>
      </c>
      <c r="IR28">
        <f>IF('calcA'!E$106=1,DD28,1)</f>
        <v/>
      </c>
      <c r="IS28">
        <f>IF('calcA'!F$106=1,DE28,1)</f>
        <v/>
      </c>
      <c r="IT28">
        <f>IF('calcA'!G$106=1,DF28,1)</f>
        <v/>
      </c>
      <c r="IU28">
        <f>IF('calcA'!H$106=1,DG28,1)</f>
        <v/>
      </c>
      <c r="IV28">
        <f>IF('calcA'!I$106=1,DH28,1)</f>
        <v/>
      </c>
      <c r="IW28">
        <f>IF('calcA'!J$106=1,DI28,1)</f>
        <v/>
      </c>
      <c r="IX28">
        <f>IF('calcA'!K$106=1,DJ28,1)</f>
        <v/>
      </c>
      <c r="IY28">
        <f>IF('calcA'!L$106=1,DK28,1)</f>
        <v/>
      </c>
      <c r="IZ28">
        <f>IF('calcA'!M$106=1,DL28,1)</f>
        <v/>
      </c>
      <c r="JA28">
        <f>IF('calcA'!N$106=1,DM28,1)</f>
        <v/>
      </c>
      <c r="JB28">
        <f>IF('calcA'!O$106=1,DN28,1)</f>
        <v/>
      </c>
      <c r="JC28">
        <f>IF('calcA'!P$106=1,DO28,1)</f>
        <v/>
      </c>
      <c r="JD28">
        <f>IF('calcA'!Q$106=1,DP28,1)</f>
        <v/>
      </c>
      <c r="JE28">
        <f>IF('calcA'!R$106=1,DQ28,1)</f>
        <v/>
      </c>
      <c r="JF28">
        <f>IF('calcA'!S$106=1,DR28,1)</f>
        <v/>
      </c>
      <c r="JG28">
        <f>IF('calcA'!T$106=1,DS28,1)</f>
        <v/>
      </c>
      <c r="JH28">
        <f>IF('calcA'!U$106=1,DT28,1)</f>
        <v/>
      </c>
      <c r="JI28">
        <f>IF('calcA'!V$106=1,DU28,1)</f>
        <v/>
      </c>
      <c r="JJ28">
        <f>IF('calcA'!W$106=1,DV28,1)</f>
        <v/>
      </c>
      <c r="JK28">
        <f>IF('calcA'!X$106=1,DW28,1)</f>
        <v/>
      </c>
      <c r="JL28">
        <f>IF('calcA'!Y$106=1,DX28,1)</f>
        <v/>
      </c>
      <c r="JM28">
        <f>IF('calcA'!Z$106=1,DY28,1)</f>
        <v/>
      </c>
      <c r="JN28">
        <f>IF('calcA'!AA$106=1,DZ28,1)</f>
        <v/>
      </c>
      <c r="JO28">
        <f>IF('calcA'!AB$106=1,EA28,1)</f>
        <v/>
      </c>
      <c r="JP28">
        <f>IF('calcA'!AC$106=1,EB28,1)</f>
        <v/>
      </c>
      <c r="JQ28">
        <f>IF('calcA'!AD$106=1,EC28,1)</f>
        <v/>
      </c>
      <c r="JR28">
        <f>IF('calcA'!AE$106=1,ED28,1)</f>
        <v/>
      </c>
      <c r="JS28">
        <f>IF('calcA'!AF$106=1,EE28,1)</f>
        <v/>
      </c>
      <c r="JT28">
        <f>IF('calcA'!AG$106=1,EF28,1)</f>
        <v/>
      </c>
      <c r="JU28">
        <f>IF('calcA'!AH$106=1,EG28,1)</f>
        <v/>
      </c>
      <c r="JV28">
        <f>IF('calcA'!AI$106=1,EH28,1)</f>
        <v/>
      </c>
      <c r="JW28">
        <f>IF('calcA'!AJ$106=1,EI28,1)</f>
        <v/>
      </c>
      <c r="JX28">
        <f>IF('calcA'!AK$106=1,EJ28,1)</f>
        <v/>
      </c>
      <c r="JY28">
        <f>IF('calcA'!AL$106=1,EK28,1)</f>
        <v/>
      </c>
      <c r="JZ28">
        <f>IF('calcA'!AM$106=1,EL28,1)</f>
        <v/>
      </c>
      <c r="KA28">
        <f>IF('calcA'!AN$106=1,EM28,1)</f>
        <v/>
      </c>
      <c r="KB28">
        <f>IF('calcA'!AO$106=1,EN28,1)</f>
        <v/>
      </c>
      <c r="KC28">
        <f>IF('calcA'!AP$106=1,EO28,1)</f>
        <v/>
      </c>
      <c r="KD28">
        <f>IF('calcA'!AQ$106=1,EP28,1)</f>
        <v/>
      </c>
      <c r="KE28">
        <f>IF('calcA'!AR$106=1,EQ28,1)</f>
        <v/>
      </c>
      <c r="KF28">
        <f>IF('calcA'!AS$106=1,ER28,1)</f>
        <v/>
      </c>
      <c r="KG28">
        <f>IF('calcA'!AT$106=1,ES28,1)</f>
        <v/>
      </c>
      <c r="KH28">
        <f>IF('calcA'!AU$106=1,ET28,1)</f>
        <v/>
      </c>
      <c r="KI28">
        <f>IF('calcA'!AV$106=1,EU28,1)</f>
        <v/>
      </c>
      <c r="KJ28">
        <f>IF('calcA'!AW$106=1,EV28,1)</f>
        <v/>
      </c>
      <c r="KK28">
        <f>IF('calcA'!AX$106=1,EW28,1)</f>
        <v/>
      </c>
      <c r="KL28">
        <f>IF('calcA'!AY$106=1,EX28,1)</f>
        <v/>
      </c>
      <c r="KM28">
        <f>IF('calcA'!AZ$106=1,EY28,1)</f>
        <v/>
      </c>
      <c r="KN28">
        <f>IF('calcA'!BA$106=1,EZ28,1)</f>
        <v/>
      </c>
      <c r="KO28">
        <f>IF('calcA'!BB$106=1,FA28,1)</f>
        <v/>
      </c>
      <c r="KP28">
        <f>IF('calcA'!BC$106=1,FB28,1)</f>
        <v/>
      </c>
      <c r="KQ28">
        <f>IF('calcA'!BD$106=1,FC28,1)</f>
        <v/>
      </c>
      <c r="KR28">
        <f>IF('calcA'!BE$106=1,FD28,1)</f>
        <v/>
      </c>
      <c r="KS28">
        <f>IF('calcA'!BF$106=1,FE28,1)</f>
        <v/>
      </c>
      <c r="KT28">
        <f>IF('calcA'!BG$106=1,FF28,1)</f>
        <v/>
      </c>
      <c r="KU28">
        <f>IF('calcA'!BH$106=1,FG28,1)</f>
        <v/>
      </c>
      <c r="KV28">
        <f>IF('calcA'!BI$106=1,FH28,1)</f>
        <v/>
      </c>
      <c r="KW28">
        <f>IF('calcA'!BJ$106=1,FI28,1)</f>
        <v/>
      </c>
      <c r="KX28">
        <f>IF('calcA'!BK$106=1,FJ28,1)</f>
        <v/>
      </c>
      <c r="KY28">
        <f>IF('calcA'!BL$106=1,FK28,1)</f>
        <v/>
      </c>
      <c r="KZ28">
        <f>IF('calcA'!BM$106=1,FL28,1)</f>
        <v/>
      </c>
      <c r="LA28">
        <f>IF('calcA'!BN$106=1,FM28,1)</f>
        <v/>
      </c>
      <c r="LB28">
        <f>IF('calcA'!BO$106=1,FN28,1)</f>
        <v/>
      </c>
      <c r="LC28">
        <f>IF('calcA'!BP$106=1,FO28,1)</f>
        <v/>
      </c>
      <c r="LD28">
        <f>IF('calcA'!BQ$106=1,FP28,1)</f>
        <v/>
      </c>
      <c r="LE28">
        <f>IF('calcA'!BR$106=1,FQ28,1)</f>
        <v/>
      </c>
      <c r="LF28">
        <f>IF('calcA'!BS$106=1,FR28,1)</f>
        <v/>
      </c>
      <c r="LG28">
        <f>IF('calcA'!BT$106=1,FS28,1)</f>
        <v/>
      </c>
      <c r="LH28">
        <f>IF('calcA'!BU$106=1,FT28,1)</f>
        <v/>
      </c>
      <c r="LI28">
        <f>IF('calcA'!BV$106=1,FU28,1)</f>
        <v/>
      </c>
      <c r="LJ28">
        <f>IF('calcA'!BW$106=1,FV28,1)</f>
        <v/>
      </c>
      <c r="LK28">
        <f>IF('calcA'!BX$106=1,FW28,1)</f>
        <v/>
      </c>
      <c r="LL28">
        <f>IF('calcA'!BY$106=1,FX28,1)</f>
        <v/>
      </c>
      <c r="LM28">
        <f>IF('calcA'!BZ$106=1,FY28,1)</f>
        <v/>
      </c>
      <c r="LN28">
        <f>IF('calcA'!CA$106=1,FZ28,1)</f>
        <v/>
      </c>
      <c r="LO28">
        <f>IF('calcA'!CB$106=1,GA28,1)</f>
        <v/>
      </c>
      <c r="LP28">
        <f>IF('calcA'!CC$106=1,GB28,1)</f>
        <v/>
      </c>
      <c r="LQ28">
        <f>IF('calcA'!CD$106=1,GC28,1)</f>
        <v/>
      </c>
      <c r="LR28">
        <f>IF('calcA'!CE$106=1,GD28,1)</f>
        <v/>
      </c>
      <c r="LS28">
        <f>IF('calcA'!CF$106=1,GE28,1)</f>
        <v/>
      </c>
      <c r="LT28">
        <f>IF('calcA'!CG$106=1,GF28,1)</f>
        <v/>
      </c>
      <c r="LU28">
        <f>IF('calcA'!CH$106=1,GG28,1)</f>
        <v/>
      </c>
      <c r="LV28">
        <f>IF('calcA'!CI$106=1,GH28,1)</f>
        <v/>
      </c>
      <c r="LW28">
        <f>IF('calcA'!CJ$106=1,GI28,1)</f>
        <v/>
      </c>
      <c r="LX28">
        <f>IF('calcA'!CK$106=1,GJ28,1)</f>
        <v/>
      </c>
      <c r="LY28">
        <f>IF('calcA'!CL$106=1,GK28,1)</f>
        <v/>
      </c>
      <c r="LZ28">
        <f>IF('calcA'!CM$106=1,GL28,1)</f>
        <v/>
      </c>
      <c r="MA28">
        <f>IF('calcA'!CN$106=1,GM28,1)</f>
        <v/>
      </c>
      <c r="MB28">
        <f>IF('calcA'!CO$106=1,GN28,1)</f>
        <v/>
      </c>
      <c r="MC28">
        <f>IF('calcA'!CP$106=1,GO28,1)</f>
        <v/>
      </c>
      <c r="MD28">
        <f>IF('calcA'!CQ$106=1,GP28,1)</f>
        <v/>
      </c>
      <c r="ME28">
        <f>IF('calcA'!CR$106=1,GQ28,1)</f>
        <v/>
      </c>
      <c r="MF28">
        <f>IF('calcA'!CS$106=1,GR28,1)</f>
        <v/>
      </c>
      <c r="MG28">
        <f>IF('calcA'!CT$106=1,GS28,1)</f>
        <v/>
      </c>
      <c r="MH28">
        <f>IF('calcA'!CU$106=1,GT28,1)</f>
        <v/>
      </c>
      <c r="MI28">
        <f>IF('calcA'!CV$106=1,GU28,1)</f>
        <v/>
      </c>
      <c r="MJ28">
        <f>IF('calcA'!CW$106=1,GV28,1)</f>
        <v/>
      </c>
      <c r="MK28">
        <f>IF('calcA'!CX$106=1,GW28,1)</f>
        <v/>
      </c>
      <c r="ML28">
        <f>IF('calcA'!CY$106=1,GX28,1)</f>
        <v/>
      </c>
      <c r="MM28">
        <f>IF('calcA'!CZ$106=1,GY28,1)</f>
        <v/>
      </c>
      <c r="MN28">
        <f>IF('calcA'!DA$106=1,GZ28,1)</f>
        <v/>
      </c>
      <c r="MO28">
        <f>IF('calcA'!DB$106=1,HA28,1)</f>
        <v/>
      </c>
      <c r="MP28">
        <f>IF('calcA'!DC$106=1,HB28,1)</f>
        <v/>
      </c>
      <c r="MQ28">
        <f>IF('calcA'!DD$106=1,HC28,1)</f>
        <v/>
      </c>
      <c r="MR28">
        <f>IF('calcA'!DE$106=1,HD28,1)</f>
        <v/>
      </c>
      <c r="MS28">
        <f>IF('calcA'!DF$106=1,HE28,1)</f>
        <v/>
      </c>
      <c r="MT28">
        <f>IF('calcA'!DG$106=1,HF28,1)</f>
        <v/>
      </c>
      <c r="MU28">
        <f>IF('calcA'!DH$106=1,HG28,1)</f>
        <v/>
      </c>
      <c r="MV28">
        <f>IF('calcA'!DI$106=1,HH28,1)</f>
        <v/>
      </c>
      <c r="MW28">
        <f>IF('calcA'!DJ$106=1,HI28,1)</f>
        <v/>
      </c>
      <c r="MX28">
        <f>IF('calcA'!DK$106=1,HJ28,1)</f>
        <v/>
      </c>
      <c r="MY28">
        <f>IF('calcA'!DL$106=1,HK28,1)</f>
        <v/>
      </c>
      <c r="MZ28">
        <f>IF('calcA'!DM$106=1,HL28,1)</f>
        <v/>
      </c>
      <c r="NA28">
        <f>IF('calcA'!DN$106=1,HM28,1)</f>
        <v/>
      </c>
      <c r="NB28">
        <f>IF('calcA'!DO$106=1,HN28,1)</f>
        <v/>
      </c>
      <c r="NC28">
        <f>IF('calcA'!DP$106=1,HO28,1)</f>
        <v/>
      </c>
      <c r="ND28">
        <f>IF('calcA'!DQ$106=1,HP28,1)</f>
        <v/>
      </c>
      <c r="NE28">
        <f>IF('calcA'!DR$106=1,HQ28,1)</f>
        <v/>
      </c>
      <c r="NF28">
        <f>IF('calcA'!DS$106=1,HR28,1)</f>
        <v/>
      </c>
      <c r="NG28">
        <f>IF('calcA'!DT$106=1,HS28,1)</f>
        <v/>
      </c>
      <c r="NH28">
        <f>IF('calcA'!DU$106=1,HT28,1)</f>
        <v/>
      </c>
      <c r="NI28">
        <f>IF('calcA'!DV$106=1,HU28,1)</f>
        <v/>
      </c>
      <c r="NJ28">
        <f>IF('calcA'!DW$106=1,HV28,1)</f>
        <v/>
      </c>
      <c r="NK28">
        <f>IF('calcA'!DX$106=1,HW28,1)</f>
        <v/>
      </c>
      <c r="NL28">
        <f>IF('calcA'!DY$106=1,HX28,1)</f>
        <v/>
      </c>
      <c r="NM28">
        <f>IF('calcA'!DZ$106=1,HY28,1)</f>
        <v/>
      </c>
      <c r="NN28">
        <f>IF('calcA'!EA$106=1,HZ28,1)</f>
        <v/>
      </c>
      <c r="NO28">
        <f>IF('calcA'!EB$106=1,IA28,1)</f>
        <v/>
      </c>
      <c r="NP28">
        <f>IF('calcA'!EC$106=1,IB28,1)</f>
        <v/>
      </c>
      <c r="NQ28">
        <f>IF('calcA'!ED$106=1,IC28,1)</f>
        <v/>
      </c>
      <c r="NR28">
        <f>IF('calcA'!EE$106=1,ID28,1)</f>
        <v/>
      </c>
      <c r="NS28">
        <f>IF('calcA'!EF$106=1,IE28,1)</f>
        <v/>
      </c>
      <c r="NT28">
        <f>IF('calcA'!EG$106=1,IF28,1)</f>
        <v/>
      </c>
      <c r="NU28">
        <f>IF('calcA'!EH$106=1,IG28,1)</f>
        <v/>
      </c>
      <c r="NV28">
        <f>IF('calcA'!EI$106=1,IH28,1)</f>
        <v/>
      </c>
      <c r="NW28">
        <f>IF('calcA'!EJ$106=1,II28,1)</f>
        <v/>
      </c>
      <c r="NX28">
        <f>IF('calcA'!EK$106=1,IJ28,1)</f>
        <v/>
      </c>
      <c r="NY28">
        <f>IF('calcA'!EL$106=1,IK28,1)</f>
        <v/>
      </c>
      <c r="NZ28">
        <f>IF('calcA'!EM$106=1,IL28,1)</f>
        <v/>
      </c>
      <c r="OA28">
        <f>IF('calcA'!EN$106=1,IM28,1)</f>
        <v/>
      </c>
      <c r="OB28">
        <f>IF('calcA'!EO$106=1,IN28,1)</f>
        <v/>
      </c>
      <c r="OC28">
        <f>IF('calcA'!EP$106=1,IO28,1)</f>
        <v/>
      </c>
      <c r="OD28" t="n">
        <v>1</v>
      </c>
      <c r="OF28">
        <f>IF($B28=0,1000000000,IF(INDEX('calcA'!$D$60:$EQ$99,$B28,1)*IF($W28=1,DB28+ZQ28,DB28)=1,IF(AND($E28=2,IF($W28=1,AFF28,IQ28)=0),1000000000,IF($V28=1,INDEX('calcA'!$D$130:$EQ$169,$B28,1)+IF(AND($E28=1,IQ28=0),25,0),INDEX('calcA'!D$110:D$114,$F28+1)+IF(AND($E28=1,IQ28=0),1000,0)+IF($H28=1,INDEX('calcA'!$D$180:$EQ$219,$B28,1)*500,0)-IF(AND($U28=1,'calcA'!D$117=1,DC28=0),300,0))),1000000000))</f>
        <v/>
      </c>
      <c r="OG28">
        <f>IF($B28=0,1000000000,IF(INDEX('calcA'!$D$60:$EQ$99,$B28,2)*IF($W28=1,DC28+ZR28,DC28)=1,IF(AND($E28=2,IF($W28=1,AFG28,IR28)=0),1000000000,IF($V28=1,INDEX('calcA'!$D$130:$EQ$169,$B28,2)+IF(AND($E28=1,IR28=0),25,0),INDEX('calcA'!E$110:E$114,$F28+1)+IF(AND($E28=1,IR28=0),1000,0)+IF($H28=1,INDEX('calcA'!$D$180:$EQ$219,$B28,2)*500,0)-IF(AND('calcA'!D$117=1,UB28&gt;0),300,0)-IF(AND($U28=1,'calcA'!E$117=1,DD28=0),300,0))),1000000000))</f>
        <v/>
      </c>
      <c r="OH28">
        <f>IF($B28=0,1000000000,IF(INDEX('calcA'!$D$60:$EQ$99,$B28,3)*IF($W28=1,DD28+ZS28,DD28)=1,IF(AND($E28=2,IF($W28=1,AFH28,IS28)=0),1000000000,IF($V28=1,INDEX('calcA'!$D$130:$EQ$169,$B28,3)+IF(AND($E28=1,IS28=0),25,0),INDEX('calcA'!F$110:F$114,$F28+1)+IF(AND($E28=1,IS28=0),1000,0)+IF($H28=1,INDEX('calcA'!$D$180:$EQ$219,$B28,3)*500,0)-IF(AND('calcA'!E$117=1,UC28&gt;0),300,0)-IF(AND($U28=1,'calcA'!F$117=1,DE28=0),300,0))),1000000000))</f>
        <v/>
      </c>
      <c r="OI28">
        <f>IF($B28=0,1000000000,IF(INDEX('calcA'!$D$60:$EQ$99,$B28,4)*IF($W28=1,DE28+ZT28,DE28)=1,IF(AND($E28=2,IF($W28=1,AFI28,IT28)=0),1000000000,IF($V28=1,INDEX('calcA'!$D$130:$EQ$169,$B28,4)+IF(AND($E28=1,IT28=0),25,0),INDEX('calcA'!G$110:G$114,$F28+1)+IF(AND($E28=1,IT28=0),1000,0)+IF($H28=1,INDEX('calcA'!$D$180:$EQ$219,$B28,4)*500,0)-IF(AND('calcA'!F$117=1,UD28&gt;0),300,0)-IF(AND($U28=1,'calcA'!G$117=1,DF28=0),300,0))),1000000000))</f>
        <v/>
      </c>
      <c r="OJ28">
        <f>IF($B28=0,1000000000,IF(INDEX('calcA'!$D$60:$EQ$99,$B28,5)*IF($W28=1,DF28+ZU28,DF28)=1,IF(AND($E28=2,IF($W28=1,AFJ28,IU28)=0),1000000000,IF($V28=1,INDEX('calcA'!$D$130:$EQ$169,$B28,5)+IF(AND($E28=1,IU28=0),25,0),INDEX('calcA'!H$110:H$114,$F28+1)+IF(AND($E28=1,IU28=0),1000,0)+IF($H28=1,INDEX('calcA'!$D$180:$EQ$219,$B28,5)*500,0)-IF(AND('calcA'!G$117=1,UE28&gt;0),300,0)-IF(AND($U28=1,'calcA'!H$117=1,DG28=0),300,0))),1000000000))</f>
        <v/>
      </c>
      <c r="OK28">
        <f>IF($B28=0,1000000000,IF(INDEX('calcA'!$D$60:$EQ$99,$B28,6)*IF($W28=1,DG28+ZV28,DG28)=1,IF(AND($E28=2,IF($W28=1,AFK28,IV28)=0),1000000000,IF($V28=1,INDEX('calcA'!$D$130:$EQ$169,$B28,6)+IF(AND($E28=1,IV28=0),25,0),INDEX('calcA'!I$110:I$114,$F28+1)+IF(AND($E28=1,IV28=0),1000,0)+IF($H28=1,INDEX('calcA'!$D$180:$EQ$219,$B28,6)*500,0)-IF(AND('calcA'!H$117=1,UF28&gt;0),300,0)-IF(AND($U28=1,'calcA'!I$117=1,DH28=0),300,0))),1000000000))</f>
        <v/>
      </c>
      <c r="OL28">
        <f>IF($B28=0,1000000000,IF(INDEX('calcA'!$D$60:$EQ$99,$B28,7)*IF($W28=1,DH28+ZW28,DH28)=1,IF(AND($E28=2,IF($W28=1,AFL28,IW28)=0),1000000000,IF($V28=1,INDEX('calcA'!$D$130:$EQ$169,$B28,7)+IF(AND($E28=1,IW28=0),25,0),INDEX('calcA'!J$110:J$114,$F28+1)+IF(AND($E28=1,IW28=0),1000,0)+IF($H28=1,INDEX('calcA'!$D$180:$EQ$219,$B28,7)*500,0)-IF(AND('calcA'!I$117=1,UG28&gt;0),300,0)-IF(AND($U28=1,'calcA'!J$117=1,DI28=0),300,0))),1000000000))</f>
        <v/>
      </c>
      <c r="OM28">
        <f>IF($B28=0,1000000000,IF(INDEX('calcA'!$D$60:$EQ$99,$B28,8)*IF($W28=1,DI28+ZX28,DI28)=1,IF(AND($E28=2,IF($W28=1,AFM28,IX28)=0),1000000000,IF($V28=1,INDEX('calcA'!$D$130:$EQ$169,$B28,8)+IF(AND($E28=1,IX28=0),25,0),INDEX('calcA'!K$110:K$114,$F28+1)+IF(AND($E28=1,IX28=0),1000,0)+IF($H28=1,INDEX('calcA'!$D$180:$EQ$219,$B28,8)*500,0)-IF(AND('calcA'!J$117=1,UH28&gt;0),300,0)-IF(AND($U28=1,'calcA'!K$117=1,DJ28=0),300,0))),1000000000))</f>
        <v/>
      </c>
      <c r="ON28">
        <f>IF($B28=0,1000000000,IF(INDEX('calcA'!$D$60:$EQ$99,$B28,9)*IF($W28=1,DJ28+ZY28,DJ28)=1,IF(AND($E28=2,IF($W28=1,AFN28,IY28)=0),1000000000,IF($V28=1,INDEX('calcA'!$D$130:$EQ$169,$B28,9)+IF(AND($E28=1,IY28=0),25,0),INDEX('calcA'!L$110:L$114,$F28+1)+IF(AND($E28=1,IY28=0),1000,0)+IF($H28=1,INDEX('calcA'!$D$180:$EQ$219,$B28,9)*500,0)-IF(AND('calcA'!K$117=1,UI28&gt;0),300,0)-IF(AND($U28=1,'calcA'!L$117=1,DK28=0),300,0))),1000000000))</f>
        <v/>
      </c>
      <c r="OO28">
        <f>IF($B28=0,1000000000,IF(INDEX('calcA'!$D$60:$EQ$99,$B28,10)*IF($W28=1,DK28+ZZ28,DK28)=1,IF(AND($E28=2,IF($W28=1,AFO28,IZ28)=0),1000000000,IF($V28=1,INDEX('calcA'!$D$130:$EQ$169,$B28,10)+IF(AND($E28=1,IZ28=0),25,0),INDEX('calcA'!M$110:M$114,$F28+1)+IF(AND($E28=1,IZ28=0),1000,0)+IF($H28=1,INDEX('calcA'!$D$180:$EQ$219,$B28,10)*500,0)-IF(AND('calcA'!L$117=1,UJ28&gt;0),300,0)-IF(AND($U28=1,'calcA'!M$117=1,DL28=0),300,0))),1000000000))</f>
        <v/>
      </c>
      <c r="OP28">
        <f>IF($B28=0,1000000000,IF(INDEX('calcA'!$D$60:$EQ$99,$B28,11)*IF($W28=1,DL28+AAA28,DL28)=1,IF(AND($E28=2,IF($W28=1,AFP28,JA28)=0),1000000000,IF($V28=1,INDEX('calcA'!$D$130:$EQ$169,$B28,11)+IF(AND($E28=1,JA28=0),25,0),INDEX('calcA'!N$110:N$114,$F28+1)+IF(AND($E28=1,JA28=0),1000,0)+IF($H28=1,INDEX('calcA'!$D$180:$EQ$219,$B28,11)*500,0)-IF(AND('calcA'!M$117=1,UK28&gt;0),300,0)-IF(AND($U28=1,'calcA'!N$117=1,DM28=0),300,0))),1000000000))</f>
        <v/>
      </c>
      <c r="OQ28">
        <f>IF($B28=0,1000000000,IF(INDEX('calcA'!$D$60:$EQ$99,$B28,12)*IF($W28=1,DM28+AAB28,DM28)=1,IF(AND($E28=2,IF($W28=1,AFQ28,JB28)=0),1000000000,IF($V28=1,INDEX('calcA'!$D$130:$EQ$169,$B28,12)+IF(AND($E28=1,JB28=0),25,0),INDEX('calcA'!O$110:O$114,$F28+1)+IF(AND($E28=1,JB28=0),1000,0)+IF($H28=1,INDEX('calcA'!$D$180:$EQ$219,$B28,12)*500,0)-IF(AND('calcA'!N$117=1,UL28&gt;0),300,0)-IF(AND($U28=1,'calcA'!O$117=1,DN28=0),300,0))),1000000000))</f>
        <v/>
      </c>
      <c r="OR28">
        <f>IF($B28=0,1000000000,IF(INDEX('calcA'!$D$60:$EQ$99,$B28,13)*IF($W28=1,DN28+AAC28,DN28)=1,IF(AND($E28=2,IF($W28=1,AFR28,JC28)=0),1000000000,IF($V28=1,INDEX('calcA'!$D$130:$EQ$169,$B28,13)+IF(AND($E28=1,JC28=0),25,0),INDEX('calcA'!P$110:P$114,$F28+1)+IF(AND($E28=1,JC28=0),1000,0)+IF($H28=1,INDEX('calcA'!$D$180:$EQ$219,$B28,13)*500,0)-IF(AND('calcA'!O$117=1,UM28&gt;0),300,0)-IF(AND($U28=1,'calcA'!P$117=1,DO28=0),300,0))),1000000000))</f>
        <v/>
      </c>
      <c r="OS28">
        <f>IF($B28=0,1000000000,IF(INDEX('calcA'!$D$60:$EQ$99,$B28,14)*IF($W28=1,DO28+AAD28,DO28)=1,IF(AND($E28=2,IF($W28=1,AFS28,JD28)=0),1000000000,IF($V28=1,INDEX('calcA'!$D$130:$EQ$169,$B28,14)+IF(AND($E28=1,JD28=0),25,0),INDEX('calcA'!Q$110:Q$114,$F28+1)+IF(AND($E28=1,JD28=0),1000,0)+IF($H28=1,INDEX('calcA'!$D$180:$EQ$219,$B28,14)*500,0)-IF(AND('calcA'!P$117=1,UN28&gt;0),300,0)-IF(AND($U28=1,'calcA'!Q$117=1,DP28=0),300,0))),1000000000))</f>
        <v/>
      </c>
      <c r="OT28">
        <f>IF($B28=0,1000000000,IF(INDEX('calcA'!$D$60:$EQ$99,$B28,15)*IF($W28=1,DP28+AAE28,DP28)=1,IF(AND($E28=2,IF($W28=1,AFT28,JE28)=0),1000000000,IF($V28=1,INDEX('calcA'!$D$130:$EQ$169,$B28,15)+IF(AND($E28=1,JE28=0),25,0),INDEX('calcA'!R$110:R$114,$F28+1)+IF(AND($E28=1,JE28=0),1000,0)+IF($H28=1,INDEX('calcA'!$D$180:$EQ$219,$B28,15)*500,0)-IF(AND('calcA'!Q$117=1,UO28&gt;0),300,0)-IF(AND($U28=1,'calcA'!R$117=1,DQ28=0),300,0))),1000000000))</f>
        <v/>
      </c>
      <c r="OU28">
        <f>IF($B28=0,1000000000,IF(INDEX('calcA'!$D$60:$EQ$99,$B28,16)*IF($W28=1,DQ28+AAF28,DQ28)=1,IF(AND($E28=2,IF($W28=1,AFU28,JF28)=0),1000000000,IF($V28=1,INDEX('calcA'!$D$130:$EQ$169,$B28,16)+IF(AND($E28=1,JF28=0),25,0),INDEX('calcA'!S$110:S$114,$F28+1)+IF(AND($E28=1,JF28=0),1000,0)+IF($H28=1,INDEX('calcA'!$D$180:$EQ$219,$B28,16)*500,0)-IF(AND('calcA'!R$117=1,UP28&gt;0),300,0)-IF(AND($U28=1,'calcA'!S$117=1,DR28=0),300,0))),1000000000))</f>
        <v/>
      </c>
      <c r="OV28">
        <f>IF($B28=0,1000000000,IF(INDEX('calcA'!$D$60:$EQ$99,$B28,17)*IF($W28=1,DR28+AAG28,DR28)=1,IF(AND($E28=2,IF($W28=1,AFV28,JG28)=0),1000000000,IF($V28=1,INDEX('calcA'!$D$130:$EQ$169,$B28,17)+IF(AND($E28=1,JG28=0),25,0),INDEX('calcA'!T$110:T$114,$F28+1)+IF(AND($E28=1,JG28=0),1000,0)+IF($H28=1,INDEX('calcA'!$D$180:$EQ$219,$B28,17)*500,0)-IF(AND('calcA'!S$117=1,UQ28&gt;0),300,0)-IF(AND($U28=1,'calcA'!T$117=1,DS28=0),300,0))),1000000000))</f>
        <v/>
      </c>
      <c r="OW28">
        <f>IF($B28=0,1000000000,IF(INDEX('calcA'!$D$60:$EQ$99,$B28,18)*IF($W28=1,DS28+AAH28,DS28)=1,IF(AND($E28=2,IF($W28=1,AFW28,JH28)=0),1000000000,IF($V28=1,INDEX('calcA'!$D$130:$EQ$169,$B28,18)+IF(AND($E28=1,JH28=0),25,0),INDEX('calcA'!U$110:U$114,$F28+1)+IF(AND($E28=1,JH28=0),1000,0)+IF($H28=1,INDEX('calcA'!$D$180:$EQ$219,$B28,18)*500,0)-IF(AND('calcA'!T$117=1,UR28&gt;0),300,0)-IF(AND($U28=1,'calcA'!U$117=1,DT28=0),300,0))),1000000000))</f>
        <v/>
      </c>
      <c r="OX28">
        <f>IF($B28=0,1000000000,IF(INDEX('calcA'!$D$60:$EQ$99,$B28,19)*IF($W28=1,DT28+AAI28,DT28)=1,IF(AND($E28=2,IF($W28=1,AFX28,JI28)=0),1000000000,IF($V28=1,INDEX('calcA'!$D$130:$EQ$169,$B28,19)+IF(AND($E28=1,JI28=0),25,0),INDEX('calcA'!V$110:V$114,$F28+1)+IF(AND($E28=1,JI28=0),1000,0)+IF($H28=1,INDEX('calcA'!$D$180:$EQ$219,$B28,19)*500,0)-IF(AND('calcA'!U$117=1,US28&gt;0),300,0)-IF(AND($U28=1,'calcA'!V$117=1,DU28=0),300,0))),1000000000))</f>
        <v/>
      </c>
      <c r="OY28">
        <f>IF($B28=0,1000000000,IF(INDEX('calcA'!$D$60:$EQ$99,$B28,20)*IF($W28=1,DU28+AAJ28,DU28)=1,IF(AND($E28=2,IF($W28=1,AFY28,JJ28)=0),1000000000,IF($V28=1,INDEX('calcA'!$D$130:$EQ$169,$B28,20)+IF(AND($E28=1,JJ28=0),25,0),INDEX('calcA'!W$110:W$114,$F28+1)+IF(AND($E28=1,JJ28=0),1000,0)+IF($H28=1,INDEX('calcA'!$D$180:$EQ$219,$B28,20)*500,0)-IF(AND('calcA'!V$117=1,UT28&gt;0),300,0)-IF(AND($U28=1,'calcA'!W$117=1,DV28=0),300,0))),1000000000))</f>
        <v/>
      </c>
      <c r="OZ28">
        <f>IF($B28=0,1000000000,IF(INDEX('calcA'!$D$60:$EQ$99,$B28,21)*IF($W28=1,DV28+AAK28,DV28)=1,IF(AND($E28=2,IF($W28=1,AFZ28,JK28)=0),1000000000,IF($V28=1,INDEX('calcA'!$D$130:$EQ$169,$B28,21)+IF(AND($E28=1,JK28=0),25,0),INDEX('calcA'!X$110:X$114,$F28+1)+IF(AND($E28=1,JK28=0),1000,0)+IF($H28=1,INDEX('calcA'!$D$180:$EQ$219,$B28,21)*500,0)-IF(AND('calcA'!W$117=1,UU28&gt;0),300,0)-IF(AND($U28=1,'calcA'!X$117=1,DW28=0),300,0))),1000000000))</f>
        <v/>
      </c>
      <c r="PA28">
        <f>IF($B28=0,1000000000,IF(INDEX('calcA'!$D$60:$EQ$99,$B28,22)*IF($W28=1,DW28+AAL28,DW28)=1,IF(AND($E28=2,IF($W28=1,AGA28,JL28)=0),1000000000,IF($V28=1,INDEX('calcA'!$D$130:$EQ$169,$B28,22)+IF(AND($E28=1,JL28=0),25,0),INDEX('calcA'!Y$110:Y$114,$F28+1)+IF(AND($E28=1,JL28=0),1000,0)+IF($H28=1,INDEX('calcA'!$D$180:$EQ$219,$B28,22)*500,0)-IF(AND('calcA'!X$117=1,UV28&gt;0),300,0)-IF(AND($U28=1,'calcA'!Y$117=1,DX28=0),300,0))),1000000000))</f>
        <v/>
      </c>
      <c r="PB28">
        <f>IF($B28=0,1000000000,IF(INDEX('calcA'!$D$60:$EQ$99,$B28,23)*IF($W28=1,DX28+AAM28,DX28)=1,IF(AND($E28=2,IF($W28=1,AGB28,JM28)=0),1000000000,IF($V28=1,INDEX('calcA'!$D$130:$EQ$169,$B28,23)+IF(AND($E28=1,JM28=0),25,0),INDEX('calcA'!Z$110:Z$114,$F28+1)+IF(AND($E28=1,JM28=0),1000,0)+IF($H28=1,INDEX('calcA'!$D$180:$EQ$219,$B28,23)*500,0)-IF(AND('calcA'!Y$117=1,UW28&gt;0),300,0)-IF(AND($U28=1,'calcA'!Z$117=1,DY28=0),300,0))),1000000000))</f>
        <v/>
      </c>
      <c r="PC28">
        <f>IF($B28=0,1000000000,IF(INDEX('calcA'!$D$60:$EQ$99,$B28,24)*IF($W28=1,DY28+AAN28,DY28)=1,IF(AND($E28=2,IF($W28=1,AGC28,JN28)=0),1000000000,IF($V28=1,INDEX('calcA'!$D$130:$EQ$169,$B28,24)+IF(AND($E28=1,JN28=0),25,0),INDEX('calcA'!AA$110:AA$114,$F28+1)+IF(AND($E28=1,JN28=0),1000,0)+IF($H28=1,INDEX('calcA'!$D$180:$EQ$219,$B28,24)*500,0)-IF(AND('calcA'!Z$117=1,UX28&gt;0),300,0))),1000000000))</f>
        <v/>
      </c>
      <c r="PD28">
        <f>IF($B28=0,1000000000,IF(INDEX('calcA'!$D$60:$EQ$99,$B28,25)*IF($W28=1,DZ28+AAO28,DZ28)=1,IF(AND($E28=2,IF($W28=1,AGD28,JO28)=0),1000000000,IF($V28=1,INDEX('calcA'!$D$130:$EQ$169,$B28,25)+IF(AND($E28=1,JO28=0),25,0),INDEX('calcA'!AB$110:AB$114,$F28+1)+IF(AND($E28=1,JO28=0),1000,0)+IF($H28=1,INDEX('calcA'!$D$180:$EQ$219,$B28,25)*500,0)-IF(AND($U28=1,'calcA'!AB$117=1,EA28=0),300,0))),1000000000))</f>
        <v/>
      </c>
      <c r="PE28">
        <f>IF($B28=0,1000000000,IF(INDEX('calcA'!$D$60:$EQ$99,$B28,26)*IF($W28=1,EA28+AAP28,EA28)=1,IF(AND($E28=2,IF($W28=1,AGE28,JP28)=0),1000000000,IF($V28=1,INDEX('calcA'!$D$130:$EQ$169,$B28,26)+IF(AND($E28=1,JP28=0),25,0),INDEX('calcA'!AC$110:AC$114,$F28+1)+IF(AND($E28=1,JP28=0),1000,0)+IF($H28=1,INDEX('calcA'!$D$180:$EQ$219,$B28,26)*500,0)-IF(AND('calcA'!AB$117=1,UZ28&gt;0),300,0)-IF(AND($U28=1,'calcA'!AC$117=1,EB28=0),300,0))),1000000000))</f>
        <v/>
      </c>
      <c r="PF28">
        <f>IF($B28=0,1000000000,IF(INDEX('calcA'!$D$60:$EQ$99,$B28,27)*IF($W28=1,EB28+AAQ28,EB28)=1,IF(AND($E28=2,IF($W28=1,AGF28,JQ28)=0),1000000000,IF($V28=1,INDEX('calcA'!$D$130:$EQ$169,$B28,27)+IF(AND($E28=1,JQ28=0),25,0),INDEX('calcA'!AD$110:AD$114,$F28+1)+IF(AND($E28=1,JQ28=0),1000,0)+IF($H28=1,INDEX('calcA'!$D$180:$EQ$219,$B28,27)*500,0)-IF(AND('calcA'!AC$117=1,VA28&gt;0),300,0)-IF(AND($U28=1,'calcA'!AD$117=1,EC28=0),300,0))),1000000000))</f>
        <v/>
      </c>
      <c r="PG28">
        <f>IF($B28=0,1000000000,IF(INDEX('calcA'!$D$60:$EQ$99,$B28,28)*IF($W28=1,EC28+AAR28,EC28)=1,IF(AND($E28=2,IF($W28=1,AGG28,JR28)=0),1000000000,IF($V28=1,INDEX('calcA'!$D$130:$EQ$169,$B28,28)+IF(AND($E28=1,JR28=0),25,0),INDEX('calcA'!AE$110:AE$114,$F28+1)+IF(AND($E28=1,JR28=0),1000,0)+IF($H28=1,INDEX('calcA'!$D$180:$EQ$219,$B28,28)*500,0)-IF(AND('calcA'!AD$117=1,VB28&gt;0),300,0)-IF(AND($U28=1,'calcA'!AE$117=1,ED28=0),300,0))),1000000000))</f>
        <v/>
      </c>
      <c r="PH28">
        <f>IF($B28=0,1000000000,IF(INDEX('calcA'!$D$60:$EQ$99,$B28,29)*IF($W28=1,ED28+AAS28,ED28)=1,IF(AND($E28=2,IF($W28=1,AGH28,JS28)=0),1000000000,IF($V28=1,INDEX('calcA'!$D$130:$EQ$169,$B28,29)+IF(AND($E28=1,JS28=0),25,0),INDEX('calcA'!AF$110:AF$114,$F28+1)+IF(AND($E28=1,JS28=0),1000,0)+IF($H28=1,INDEX('calcA'!$D$180:$EQ$219,$B28,29)*500,0)-IF(AND('calcA'!AE$117=1,VC28&gt;0),300,0)-IF(AND($U28=1,'calcA'!AF$117=1,EE28=0),300,0))),1000000000))</f>
        <v/>
      </c>
      <c r="PI28">
        <f>IF($B28=0,1000000000,IF(INDEX('calcA'!$D$60:$EQ$99,$B28,30)*IF($W28=1,EE28+AAT28,EE28)=1,IF(AND($E28=2,IF($W28=1,AGI28,JT28)=0),1000000000,IF($V28=1,INDEX('calcA'!$D$130:$EQ$169,$B28,30)+IF(AND($E28=1,JT28=0),25,0),INDEX('calcA'!AG$110:AG$114,$F28+1)+IF(AND($E28=1,JT28=0),1000,0)+IF($H28=1,INDEX('calcA'!$D$180:$EQ$219,$B28,30)*500,0)-IF(AND('calcA'!AF$117=1,VD28&gt;0),300,0)-IF(AND($U28=1,'calcA'!AG$117=1,EF28=0),300,0))),1000000000))</f>
        <v/>
      </c>
      <c r="PJ28">
        <f>IF($B28=0,1000000000,IF(INDEX('calcA'!$D$60:$EQ$99,$B28,31)*IF($W28=1,EF28+AAU28,EF28)=1,IF(AND($E28=2,IF($W28=1,AGJ28,JU28)=0),1000000000,IF($V28=1,INDEX('calcA'!$D$130:$EQ$169,$B28,31)+IF(AND($E28=1,JU28=0),25,0),INDEX('calcA'!AH$110:AH$114,$F28+1)+IF(AND($E28=1,JU28=0),1000,0)+IF($H28=1,INDEX('calcA'!$D$180:$EQ$219,$B28,31)*500,0)-IF(AND('calcA'!AG$117=1,VE28&gt;0),300,0)-IF(AND($U28=1,'calcA'!AH$117=1,EG28=0),300,0))),1000000000))</f>
        <v/>
      </c>
      <c r="PK28">
        <f>IF($B28=0,1000000000,IF(INDEX('calcA'!$D$60:$EQ$99,$B28,32)*IF($W28=1,EG28+AAV28,EG28)=1,IF(AND($E28=2,IF($W28=1,AGK28,JV28)=0),1000000000,IF($V28=1,INDEX('calcA'!$D$130:$EQ$169,$B28,32)+IF(AND($E28=1,JV28=0),25,0),INDEX('calcA'!AI$110:AI$114,$F28+1)+IF(AND($E28=1,JV28=0),1000,0)+IF($H28=1,INDEX('calcA'!$D$180:$EQ$219,$B28,32)*500,0)-IF(AND('calcA'!AH$117=1,VF28&gt;0),300,0)-IF(AND($U28=1,'calcA'!AI$117=1,EH28=0),300,0))),1000000000))</f>
        <v/>
      </c>
      <c r="PL28">
        <f>IF($B28=0,1000000000,IF(INDEX('calcA'!$D$60:$EQ$99,$B28,33)*IF($W28=1,EH28+AAW28,EH28)=1,IF(AND($E28=2,IF($W28=1,AGL28,JW28)=0),1000000000,IF($V28=1,INDEX('calcA'!$D$130:$EQ$169,$B28,33)+IF(AND($E28=1,JW28=0),25,0),INDEX('calcA'!AJ$110:AJ$114,$F28+1)+IF(AND($E28=1,JW28=0),1000,0)+IF($H28=1,INDEX('calcA'!$D$180:$EQ$219,$B28,33)*500,0)-IF(AND('calcA'!AI$117=1,VG28&gt;0),300,0)-IF(AND($U28=1,'calcA'!AJ$117=1,EI28=0),300,0))),1000000000))</f>
        <v/>
      </c>
      <c r="PM28">
        <f>IF($B28=0,1000000000,IF(INDEX('calcA'!$D$60:$EQ$99,$B28,34)*IF($W28=1,EI28+AAX28,EI28)=1,IF(AND($E28=2,IF($W28=1,AGM28,JX28)=0),1000000000,IF($V28=1,INDEX('calcA'!$D$130:$EQ$169,$B28,34)+IF(AND($E28=1,JX28=0),25,0),INDEX('calcA'!AK$110:AK$114,$F28+1)+IF(AND($E28=1,JX28=0),1000,0)+IF($H28=1,INDEX('calcA'!$D$180:$EQ$219,$B28,34)*500,0)-IF(AND('calcA'!AJ$117=1,VH28&gt;0),300,0)-IF(AND($U28=1,'calcA'!AK$117=1,EJ28=0),300,0))),1000000000))</f>
        <v/>
      </c>
      <c r="PN28">
        <f>IF($B28=0,1000000000,IF(INDEX('calcA'!$D$60:$EQ$99,$B28,35)*IF($W28=1,EJ28+AAY28,EJ28)=1,IF(AND($E28=2,IF($W28=1,AGN28,JY28)=0),1000000000,IF($V28=1,INDEX('calcA'!$D$130:$EQ$169,$B28,35)+IF(AND($E28=1,JY28=0),25,0),INDEX('calcA'!AL$110:AL$114,$F28+1)+IF(AND($E28=1,JY28=0),1000,0)+IF($H28=1,INDEX('calcA'!$D$180:$EQ$219,$B28,35)*500,0)-IF(AND('calcA'!AK$117=1,VI28&gt;0),300,0)-IF(AND($U28=1,'calcA'!AL$117=1,EK28=0),300,0))),1000000000))</f>
        <v/>
      </c>
      <c r="PO28">
        <f>IF($B28=0,1000000000,IF(INDEX('calcA'!$D$60:$EQ$99,$B28,36)*IF($W28=1,EK28+AAZ28,EK28)=1,IF(AND($E28=2,IF($W28=1,AGO28,JZ28)=0),1000000000,IF($V28=1,INDEX('calcA'!$D$130:$EQ$169,$B28,36)+IF(AND($E28=1,JZ28=0),25,0),INDEX('calcA'!AM$110:AM$114,$F28+1)+IF(AND($E28=1,JZ28=0),1000,0)+IF($H28=1,INDEX('calcA'!$D$180:$EQ$219,$B28,36)*500,0)-IF(AND('calcA'!AL$117=1,VJ28&gt;0),300,0)-IF(AND($U28=1,'calcA'!AM$117=1,EL28=0),300,0))),1000000000))</f>
        <v/>
      </c>
      <c r="PP28">
        <f>IF($B28=0,1000000000,IF(INDEX('calcA'!$D$60:$EQ$99,$B28,37)*IF($W28=1,EL28+ABA28,EL28)=1,IF(AND($E28=2,IF($W28=1,AGP28,KA28)=0),1000000000,IF($V28=1,INDEX('calcA'!$D$130:$EQ$169,$B28,37)+IF(AND($E28=1,KA28=0),25,0),INDEX('calcA'!AN$110:AN$114,$F28+1)+IF(AND($E28=1,KA28=0),1000,0)+IF($H28=1,INDEX('calcA'!$D$180:$EQ$219,$B28,37)*500,0)-IF(AND('calcA'!AM$117=1,VK28&gt;0),300,0)-IF(AND($U28=1,'calcA'!AN$117=1,EM28=0),300,0))),1000000000))</f>
        <v/>
      </c>
      <c r="PQ28">
        <f>IF($B28=0,1000000000,IF(INDEX('calcA'!$D$60:$EQ$99,$B28,38)*IF($W28=1,EM28+ABB28,EM28)=1,IF(AND($E28=2,IF($W28=1,AGQ28,KB28)=0),1000000000,IF($V28=1,INDEX('calcA'!$D$130:$EQ$169,$B28,38)+IF(AND($E28=1,KB28=0),25,0),INDEX('calcA'!AO$110:AO$114,$F28+1)+IF(AND($E28=1,KB28=0),1000,0)+IF($H28=1,INDEX('calcA'!$D$180:$EQ$219,$B28,38)*500,0)-IF(AND('calcA'!AN$117=1,VL28&gt;0),300,0)-IF(AND($U28=1,'calcA'!AO$117=1,EN28=0),300,0))),1000000000))</f>
        <v/>
      </c>
      <c r="PR28">
        <f>IF($B28=0,1000000000,IF(INDEX('calcA'!$D$60:$EQ$99,$B28,39)*IF($W28=1,EN28+ABC28,EN28)=1,IF(AND($E28=2,IF($W28=1,AGR28,KC28)=0),1000000000,IF($V28=1,INDEX('calcA'!$D$130:$EQ$169,$B28,39)+IF(AND($E28=1,KC28=0),25,0),INDEX('calcA'!AP$110:AP$114,$F28+1)+IF(AND($E28=1,KC28=0),1000,0)+IF($H28=1,INDEX('calcA'!$D$180:$EQ$219,$B28,39)*500,0)-IF(AND('calcA'!AO$117=1,VM28&gt;0),300,0)-IF(AND($U28=1,'calcA'!AP$117=1,EO28=0),300,0))),1000000000))</f>
        <v/>
      </c>
      <c r="PS28">
        <f>IF($B28=0,1000000000,IF(INDEX('calcA'!$D$60:$EQ$99,$B28,40)*IF($W28=1,EO28+ABD28,EO28)=1,IF(AND($E28=2,IF($W28=1,AGS28,KD28)=0),1000000000,IF($V28=1,INDEX('calcA'!$D$130:$EQ$169,$B28,40)+IF(AND($E28=1,KD28=0),25,0),INDEX('calcA'!AQ$110:AQ$114,$F28+1)+IF(AND($E28=1,KD28=0),1000,0)+IF($H28=1,INDEX('calcA'!$D$180:$EQ$219,$B28,40)*500,0)-IF(AND('calcA'!AP$117=1,VN28&gt;0),300,0)-IF(AND($U28=1,'calcA'!AQ$117=1,EP28=0),300,0))),1000000000))</f>
        <v/>
      </c>
      <c r="PT28">
        <f>IF($B28=0,1000000000,IF(INDEX('calcA'!$D$60:$EQ$99,$B28,41)*IF($W28=1,EP28+ABE28,EP28)=1,IF(AND($E28=2,IF($W28=1,AGT28,KE28)=0),1000000000,IF($V28=1,INDEX('calcA'!$D$130:$EQ$169,$B28,41)+IF(AND($E28=1,KE28=0),25,0),INDEX('calcA'!AR$110:AR$114,$F28+1)+IF(AND($E28=1,KE28=0),1000,0)+IF($H28=1,INDEX('calcA'!$D$180:$EQ$219,$B28,41)*500,0)-IF(AND('calcA'!AQ$117=1,VO28&gt;0),300,0)-IF(AND($U28=1,'calcA'!AR$117=1,EQ28=0),300,0))),1000000000))</f>
        <v/>
      </c>
      <c r="PU28">
        <f>IF($B28=0,1000000000,IF(INDEX('calcA'!$D$60:$EQ$99,$B28,42)*IF($W28=1,EQ28+ABF28,EQ28)=1,IF(AND($E28=2,IF($W28=1,AGU28,KF28)=0),1000000000,IF($V28=1,INDEX('calcA'!$D$130:$EQ$169,$B28,42)+IF(AND($E28=1,KF28=0),25,0),INDEX('calcA'!AS$110:AS$114,$F28+1)+IF(AND($E28=1,KF28=0),1000,0)+IF($H28=1,INDEX('calcA'!$D$180:$EQ$219,$B28,42)*500,0)-IF(AND('calcA'!AR$117=1,VP28&gt;0),300,0)-IF(AND($U28=1,'calcA'!AS$117=1,ER28=0),300,0))),1000000000))</f>
        <v/>
      </c>
      <c r="PV28">
        <f>IF($B28=0,1000000000,IF(INDEX('calcA'!$D$60:$EQ$99,$B28,43)*IF($W28=1,ER28+ABG28,ER28)=1,IF(AND($E28=2,IF($W28=1,AGV28,KG28)=0),1000000000,IF($V28=1,INDEX('calcA'!$D$130:$EQ$169,$B28,43)+IF(AND($E28=1,KG28=0),25,0),INDEX('calcA'!AT$110:AT$114,$F28+1)+IF(AND($E28=1,KG28=0),1000,0)+IF($H28=1,INDEX('calcA'!$D$180:$EQ$219,$B28,43)*500,0)-IF(AND('calcA'!AS$117=1,VQ28&gt;0),300,0)-IF(AND($U28=1,'calcA'!AT$117=1,ES28=0),300,0))),1000000000))</f>
        <v/>
      </c>
      <c r="PW28">
        <f>IF($B28=0,1000000000,IF(INDEX('calcA'!$D$60:$EQ$99,$B28,44)*IF($W28=1,ES28+ABH28,ES28)=1,IF(AND($E28=2,IF($W28=1,AGW28,KH28)=0),1000000000,IF($V28=1,INDEX('calcA'!$D$130:$EQ$169,$B28,44)+IF(AND($E28=1,KH28=0),25,0),INDEX('calcA'!AU$110:AU$114,$F28+1)+IF(AND($E28=1,KH28=0),1000,0)+IF($H28=1,INDEX('calcA'!$D$180:$EQ$219,$B28,44)*500,0)-IF(AND('calcA'!AT$117=1,VR28&gt;0),300,0)-IF(AND($U28=1,'calcA'!AU$117=1,ET28=0),300,0))),1000000000))</f>
        <v/>
      </c>
      <c r="PX28">
        <f>IF($B28=0,1000000000,IF(INDEX('calcA'!$D$60:$EQ$99,$B28,45)*IF($W28=1,ET28+ABI28,ET28)=1,IF(AND($E28=2,IF($W28=1,AGX28,KI28)=0),1000000000,IF($V28=1,INDEX('calcA'!$D$130:$EQ$169,$B28,45)+IF(AND($E28=1,KI28=0),25,0),INDEX('calcA'!AV$110:AV$114,$F28+1)+IF(AND($E28=1,KI28=0),1000,0)+IF($H28=1,INDEX('calcA'!$D$180:$EQ$219,$B28,45)*500,0)-IF(AND('calcA'!AU$117=1,VS28&gt;0),300,0)-IF(AND($U28=1,'calcA'!AV$117=1,EU28=0),300,0))),1000000000))</f>
        <v/>
      </c>
      <c r="PY28">
        <f>IF($B28=0,1000000000,IF(INDEX('calcA'!$D$60:$EQ$99,$B28,46)*IF($W28=1,EU28+ABJ28,EU28)=1,IF(AND($E28=2,IF($W28=1,AGY28,KJ28)=0),1000000000,IF($V28=1,INDEX('calcA'!$D$130:$EQ$169,$B28,46)+IF(AND($E28=1,KJ28=0),25,0),INDEX('calcA'!AW$110:AW$114,$F28+1)+IF(AND($E28=1,KJ28=0),1000,0)+IF($H28=1,INDEX('calcA'!$D$180:$EQ$219,$B28,46)*500,0)-IF(AND('calcA'!AV$117=1,VT28&gt;0),300,0)-IF(AND($U28=1,'calcA'!AW$117=1,EV28=0),300,0))),1000000000))</f>
        <v/>
      </c>
      <c r="PZ28">
        <f>IF($B28=0,1000000000,IF(INDEX('calcA'!$D$60:$EQ$99,$B28,47)*IF($W28=1,EV28+ABK28,EV28)=1,IF(AND($E28=2,IF($W28=1,AGZ28,KK28)=0),1000000000,IF($V28=1,INDEX('calcA'!$D$130:$EQ$169,$B28,47)+IF(AND($E28=1,KK28=0),25,0),INDEX('calcA'!AX$110:AX$114,$F28+1)+IF(AND($E28=1,KK28=0),1000,0)+IF($H28=1,INDEX('calcA'!$D$180:$EQ$219,$B28,47)*500,0)-IF(AND('calcA'!AW$117=1,VU28&gt;0),300,0)-IF(AND($U28=1,'calcA'!AX$117=1,EW28=0),300,0))),1000000000))</f>
        <v/>
      </c>
      <c r="QA28">
        <f>IF($B28=0,1000000000,IF(INDEX('calcA'!$D$60:$EQ$99,$B28,48)*IF($W28=1,EW28+ABL28,EW28)=1,IF(AND($E28=2,IF($W28=1,AHA28,KL28)=0),1000000000,IF($V28=1,INDEX('calcA'!$D$130:$EQ$169,$B28,48)+IF(AND($E28=1,KL28=0),25,0),INDEX('calcA'!AY$110:AY$114,$F28+1)+IF(AND($E28=1,KL28=0),1000,0)+IF($H28=1,INDEX('calcA'!$D$180:$EQ$219,$B28,48)*500,0)-IF(AND('calcA'!AX$117=1,VV28&gt;0),300,0))),1000000000))</f>
        <v/>
      </c>
      <c r="QB28">
        <f>IF($B28=0,1000000000,IF(INDEX('calcA'!$D$60:$EQ$99,$B28,49)*IF($W28=1,EX28+ABM28,EX28)=1,IF(AND($E28=2,IF($W28=1,AHB28,KM28)=0),1000000000,IF($V28=1,INDEX('calcA'!$D$130:$EQ$169,$B28,49)+IF(AND($E28=1,KM28=0),25,0),INDEX('calcA'!AZ$110:AZ$114,$F28+1)+IF(AND($E28=1,KM28=0),1000,0)+IF($H28=1,INDEX('calcA'!$D$180:$EQ$219,$B28,49)*500,0)-IF(AND($U28=1,'calcA'!AZ$117=1,EY28=0),300,0))),1000000000))</f>
        <v/>
      </c>
      <c r="QC28">
        <f>IF($B28=0,1000000000,IF(INDEX('calcA'!$D$60:$EQ$99,$B28,50)*IF($W28=1,EY28+ABN28,EY28)=1,IF(AND($E28=2,IF($W28=1,AHC28,KN28)=0),1000000000,IF($V28=1,INDEX('calcA'!$D$130:$EQ$169,$B28,50)+IF(AND($E28=1,KN28=0),25,0),INDEX('calcA'!BA$110:BA$114,$F28+1)+IF(AND($E28=1,KN28=0),1000,0)+IF($H28=1,INDEX('calcA'!$D$180:$EQ$219,$B28,50)*500,0)-IF(AND('calcA'!AZ$117=1,VX28&gt;0),300,0)-IF(AND($U28=1,'calcA'!BA$117=1,EZ28=0),300,0))),1000000000))</f>
        <v/>
      </c>
      <c r="QD28">
        <f>IF($B28=0,1000000000,IF(INDEX('calcA'!$D$60:$EQ$99,$B28,51)*IF($W28=1,EZ28+ABO28,EZ28)=1,IF(AND($E28=2,IF($W28=1,AHD28,KO28)=0),1000000000,IF($V28=1,INDEX('calcA'!$D$130:$EQ$169,$B28,51)+IF(AND($E28=1,KO28=0),25,0),INDEX('calcA'!BB$110:BB$114,$F28+1)+IF(AND($E28=1,KO28=0),1000,0)+IF($H28=1,INDEX('calcA'!$D$180:$EQ$219,$B28,51)*500,0)-IF(AND('calcA'!BA$117=1,VY28&gt;0),300,0)-IF(AND($U28=1,'calcA'!BB$117=1,FA28=0),300,0))),1000000000))</f>
        <v/>
      </c>
      <c r="QE28">
        <f>IF($B28=0,1000000000,IF(INDEX('calcA'!$D$60:$EQ$99,$B28,52)*IF($W28=1,FA28+ABP28,FA28)=1,IF(AND($E28=2,IF($W28=1,AHE28,KP28)=0),1000000000,IF($V28=1,INDEX('calcA'!$D$130:$EQ$169,$B28,52)+IF(AND($E28=1,KP28=0),25,0),INDEX('calcA'!BC$110:BC$114,$F28+1)+IF(AND($E28=1,KP28=0),1000,0)+IF($H28=1,INDEX('calcA'!$D$180:$EQ$219,$B28,52)*500,0)-IF(AND('calcA'!BB$117=1,VZ28&gt;0),300,0)-IF(AND($U28=1,'calcA'!BC$117=1,FB28=0),300,0))),1000000000))</f>
        <v/>
      </c>
      <c r="QF28">
        <f>IF($B28=0,1000000000,IF(INDEX('calcA'!$D$60:$EQ$99,$B28,53)*IF($W28=1,FB28+ABQ28,FB28)=1,IF(AND($E28=2,IF($W28=1,AHF28,KQ28)=0),1000000000,IF($V28=1,INDEX('calcA'!$D$130:$EQ$169,$B28,53)+IF(AND($E28=1,KQ28=0),25,0),INDEX('calcA'!BD$110:BD$114,$F28+1)+IF(AND($E28=1,KQ28=0),1000,0)+IF($H28=1,INDEX('calcA'!$D$180:$EQ$219,$B28,53)*500,0)-IF(AND('calcA'!BC$117=1,WA28&gt;0),300,0)-IF(AND($U28=1,'calcA'!BD$117=1,FC28=0),300,0))),1000000000))</f>
        <v/>
      </c>
      <c r="QG28">
        <f>IF($B28=0,1000000000,IF(INDEX('calcA'!$D$60:$EQ$99,$B28,54)*IF($W28=1,FC28+ABR28,FC28)=1,IF(AND($E28=2,IF($W28=1,AHG28,KR28)=0),1000000000,IF($V28=1,INDEX('calcA'!$D$130:$EQ$169,$B28,54)+IF(AND($E28=1,KR28=0),25,0),INDEX('calcA'!BE$110:BE$114,$F28+1)+IF(AND($E28=1,KR28=0),1000,0)+IF($H28=1,INDEX('calcA'!$D$180:$EQ$219,$B28,54)*500,0)-IF(AND('calcA'!BD$117=1,WB28&gt;0),300,0)-IF(AND($U28=1,'calcA'!BE$117=1,FD28=0),300,0))),1000000000))</f>
        <v/>
      </c>
      <c r="QH28">
        <f>IF($B28=0,1000000000,IF(INDEX('calcA'!$D$60:$EQ$99,$B28,55)*IF($W28=1,FD28+ABS28,FD28)=1,IF(AND($E28=2,IF($W28=1,AHH28,KS28)=0),1000000000,IF($V28=1,INDEX('calcA'!$D$130:$EQ$169,$B28,55)+IF(AND($E28=1,KS28=0),25,0),INDEX('calcA'!BF$110:BF$114,$F28+1)+IF(AND($E28=1,KS28=0),1000,0)+IF($H28=1,INDEX('calcA'!$D$180:$EQ$219,$B28,55)*500,0)-IF(AND('calcA'!BE$117=1,WC28&gt;0),300,0)-IF(AND($U28=1,'calcA'!BF$117=1,FE28=0),300,0))),1000000000))</f>
        <v/>
      </c>
      <c r="QI28">
        <f>IF($B28=0,1000000000,IF(INDEX('calcA'!$D$60:$EQ$99,$B28,56)*IF($W28=1,FE28+ABT28,FE28)=1,IF(AND($E28=2,IF($W28=1,AHI28,KT28)=0),1000000000,IF($V28=1,INDEX('calcA'!$D$130:$EQ$169,$B28,56)+IF(AND($E28=1,KT28=0),25,0),INDEX('calcA'!BG$110:BG$114,$F28+1)+IF(AND($E28=1,KT28=0),1000,0)+IF($H28=1,INDEX('calcA'!$D$180:$EQ$219,$B28,56)*500,0)-IF(AND('calcA'!BF$117=1,WD28&gt;0),300,0)-IF(AND($U28=1,'calcA'!BG$117=1,FF28=0),300,0))),1000000000))</f>
        <v/>
      </c>
      <c r="QJ28">
        <f>IF($B28=0,1000000000,IF(INDEX('calcA'!$D$60:$EQ$99,$B28,57)*IF($W28=1,FF28+ABU28,FF28)=1,IF(AND($E28=2,IF($W28=1,AHJ28,KU28)=0),1000000000,IF($V28=1,INDEX('calcA'!$D$130:$EQ$169,$B28,57)+IF(AND($E28=1,KU28=0),25,0),INDEX('calcA'!BH$110:BH$114,$F28+1)+IF(AND($E28=1,KU28=0),1000,0)+IF($H28=1,INDEX('calcA'!$D$180:$EQ$219,$B28,57)*500,0)-IF(AND('calcA'!BG$117=1,WE28&gt;0),300,0)-IF(AND($U28=1,'calcA'!BH$117=1,FG28=0),300,0))),1000000000))</f>
        <v/>
      </c>
      <c r="QK28">
        <f>IF($B28=0,1000000000,IF(INDEX('calcA'!$D$60:$EQ$99,$B28,58)*IF($W28=1,FG28+ABV28,FG28)=1,IF(AND($E28=2,IF($W28=1,AHK28,KV28)=0),1000000000,IF($V28=1,INDEX('calcA'!$D$130:$EQ$169,$B28,58)+IF(AND($E28=1,KV28=0),25,0),INDEX('calcA'!BI$110:BI$114,$F28+1)+IF(AND($E28=1,KV28=0),1000,0)+IF($H28=1,INDEX('calcA'!$D$180:$EQ$219,$B28,58)*500,0)-IF(AND('calcA'!BH$117=1,WF28&gt;0),300,0)-IF(AND($U28=1,'calcA'!BI$117=1,FH28=0),300,0))),1000000000))</f>
        <v/>
      </c>
      <c r="QL28">
        <f>IF($B28=0,1000000000,IF(INDEX('calcA'!$D$60:$EQ$99,$B28,59)*IF($W28=1,FH28+ABW28,FH28)=1,IF(AND($E28=2,IF($W28=1,AHL28,KW28)=0),1000000000,IF($V28=1,INDEX('calcA'!$D$130:$EQ$169,$B28,59)+IF(AND($E28=1,KW28=0),25,0),INDEX('calcA'!BJ$110:BJ$114,$F28+1)+IF(AND($E28=1,KW28=0),1000,0)+IF($H28=1,INDEX('calcA'!$D$180:$EQ$219,$B28,59)*500,0)-IF(AND('calcA'!BI$117=1,WG28&gt;0),300,0)-IF(AND($U28=1,'calcA'!BJ$117=1,FI28=0),300,0))),1000000000))</f>
        <v/>
      </c>
      <c r="QM28">
        <f>IF($B28=0,1000000000,IF(INDEX('calcA'!$D$60:$EQ$99,$B28,60)*IF($W28=1,FI28+ABX28,FI28)=1,IF(AND($E28=2,IF($W28=1,AHM28,KX28)=0),1000000000,IF($V28=1,INDEX('calcA'!$D$130:$EQ$169,$B28,60)+IF(AND($E28=1,KX28=0),25,0),INDEX('calcA'!BK$110:BK$114,$F28+1)+IF(AND($E28=1,KX28=0),1000,0)+IF($H28=1,INDEX('calcA'!$D$180:$EQ$219,$B28,60)*500,0)-IF(AND('calcA'!BJ$117=1,WH28&gt;0),300,0)-IF(AND($U28=1,'calcA'!BK$117=1,FJ28=0),300,0))),1000000000))</f>
        <v/>
      </c>
      <c r="QN28">
        <f>IF($B28=0,1000000000,IF(INDEX('calcA'!$D$60:$EQ$99,$B28,61)*IF($W28=1,FJ28+ABY28,FJ28)=1,IF(AND($E28=2,IF($W28=1,AHN28,KY28)=0),1000000000,IF($V28=1,INDEX('calcA'!$D$130:$EQ$169,$B28,61)+IF(AND($E28=1,KY28=0),25,0),INDEX('calcA'!BL$110:BL$114,$F28+1)+IF(AND($E28=1,KY28=0),1000,0)+IF($H28=1,INDEX('calcA'!$D$180:$EQ$219,$B28,61)*500,0)-IF(AND('calcA'!BK$117=1,WI28&gt;0),300,0)-IF(AND($U28=1,'calcA'!BL$117=1,FK28=0),300,0))),1000000000))</f>
        <v/>
      </c>
      <c r="QO28">
        <f>IF($B28=0,1000000000,IF(INDEX('calcA'!$D$60:$EQ$99,$B28,62)*IF($W28=1,FK28+ABZ28,FK28)=1,IF(AND($E28=2,IF($W28=1,AHO28,KZ28)=0),1000000000,IF($V28=1,INDEX('calcA'!$D$130:$EQ$169,$B28,62)+IF(AND($E28=1,KZ28=0),25,0),INDEX('calcA'!BM$110:BM$114,$F28+1)+IF(AND($E28=1,KZ28=0),1000,0)+IF($H28=1,INDEX('calcA'!$D$180:$EQ$219,$B28,62)*500,0)-IF(AND('calcA'!BL$117=1,WJ28&gt;0),300,0)-IF(AND($U28=1,'calcA'!BM$117=1,FL28=0),300,0))),1000000000))</f>
        <v/>
      </c>
      <c r="QP28">
        <f>IF($B28=0,1000000000,IF(INDEX('calcA'!$D$60:$EQ$99,$B28,63)*IF($W28=1,FL28+ACA28,FL28)=1,IF(AND($E28=2,IF($W28=1,AHP28,LA28)=0),1000000000,IF($V28=1,INDEX('calcA'!$D$130:$EQ$169,$B28,63)+IF(AND($E28=1,LA28=0),25,0),INDEX('calcA'!BN$110:BN$114,$F28+1)+IF(AND($E28=1,LA28=0),1000,0)+IF($H28=1,INDEX('calcA'!$D$180:$EQ$219,$B28,63)*500,0)-IF(AND('calcA'!BM$117=1,WK28&gt;0),300,0)-IF(AND($U28=1,'calcA'!BN$117=1,FM28=0),300,0))),1000000000))</f>
        <v/>
      </c>
      <c r="QQ28">
        <f>IF($B28=0,1000000000,IF(INDEX('calcA'!$D$60:$EQ$99,$B28,64)*IF($W28=1,FM28+ACB28,FM28)=1,IF(AND($E28=2,IF($W28=1,AHQ28,LB28)=0),1000000000,IF($V28=1,INDEX('calcA'!$D$130:$EQ$169,$B28,64)+IF(AND($E28=1,LB28=0),25,0),INDEX('calcA'!BO$110:BO$114,$F28+1)+IF(AND($E28=1,LB28=0),1000,0)+IF($H28=1,INDEX('calcA'!$D$180:$EQ$219,$B28,64)*500,0)-IF(AND('calcA'!BN$117=1,WL28&gt;0),300,0)-IF(AND($U28=1,'calcA'!BO$117=1,FN28=0),300,0))),1000000000))</f>
        <v/>
      </c>
      <c r="QR28">
        <f>IF($B28=0,1000000000,IF(INDEX('calcA'!$D$60:$EQ$99,$B28,65)*IF($W28=1,FN28+ACC28,FN28)=1,IF(AND($E28=2,IF($W28=1,AHR28,LC28)=0),1000000000,IF($V28=1,INDEX('calcA'!$D$130:$EQ$169,$B28,65)+IF(AND($E28=1,LC28=0),25,0),INDEX('calcA'!BP$110:BP$114,$F28+1)+IF(AND($E28=1,LC28=0),1000,0)+IF($H28=1,INDEX('calcA'!$D$180:$EQ$219,$B28,65)*500,0)-IF(AND('calcA'!BO$117=1,WM28&gt;0),300,0)-IF(AND($U28=1,'calcA'!BP$117=1,FO28=0),300,0))),1000000000))</f>
        <v/>
      </c>
      <c r="QS28">
        <f>IF($B28=0,1000000000,IF(INDEX('calcA'!$D$60:$EQ$99,$B28,66)*IF($W28=1,FO28+ACD28,FO28)=1,IF(AND($E28=2,IF($W28=1,AHS28,LD28)=0),1000000000,IF($V28=1,INDEX('calcA'!$D$130:$EQ$169,$B28,66)+IF(AND($E28=1,LD28=0),25,0),INDEX('calcA'!BQ$110:BQ$114,$F28+1)+IF(AND($E28=1,LD28=0),1000,0)+IF($H28=1,INDEX('calcA'!$D$180:$EQ$219,$B28,66)*500,0)-IF(AND('calcA'!BP$117=1,WN28&gt;0),300,0)-IF(AND($U28=1,'calcA'!BQ$117=1,FP28=0),300,0))),1000000000))</f>
        <v/>
      </c>
      <c r="QT28">
        <f>IF($B28=0,1000000000,IF(INDEX('calcA'!$D$60:$EQ$99,$B28,67)*IF($W28=1,FP28+ACE28,FP28)=1,IF(AND($E28=2,IF($W28=1,AHT28,LE28)=0),1000000000,IF($V28=1,INDEX('calcA'!$D$130:$EQ$169,$B28,67)+IF(AND($E28=1,LE28=0),25,0),INDEX('calcA'!BR$110:BR$114,$F28+1)+IF(AND($E28=1,LE28=0),1000,0)+IF($H28=1,INDEX('calcA'!$D$180:$EQ$219,$B28,67)*500,0)-IF(AND('calcA'!BQ$117=1,WO28&gt;0),300,0)-IF(AND($U28=1,'calcA'!BR$117=1,FQ28=0),300,0))),1000000000))</f>
        <v/>
      </c>
      <c r="QU28">
        <f>IF($B28=0,1000000000,IF(INDEX('calcA'!$D$60:$EQ$99,$B28,68)*IF($W28=1,FQ28+ACF28,FQ28)=1,IF(AND($E28=2,IF($W28=1,AHU28,LF28)=0),1000000000,IF($V28=1,INDEX('calcA'!$D$130:$EQ$169,$B28,68)+IF(AND($E28=1,LF28=0),25,0),INDEX('calcA'!BS$110:BS$114,$F28+1)+IF(AND($E28=1,LF28=0),1000,0)+IF($H28=1,INDEX('calcA'!$D$180:$EQ$219,$B28,68)*500,0)-IF(AND('calcA'!BR$117=1,WP28&gt;0),300,0)-IF(AND($U28=1,'calcA'!BS$117=1,FR28=0),300,0))),1000000000))</f>
        <v/>
      </c>
      <c r="QV28">
        <f>IF($B28=0,1000000000,IF(INDEX('calcA'!$D$60:$EQ$99,$B28,69)*IF($W28=1,FR28+ACG28,FR28)=1,IF(AND($E28=2,IF($W28=1,AHV28,LG28)=0),1000000000,IF($V28=1,INDEX('calcA'!$D$130:$EQ$169,$B28,69)+IF(AND($E28=1,LG28=0),25,0),INDEX('calcA'!BT$110:BT$114,$F28+1)+IF(AND($E28=1,LG28=0),1000,0)+IF($H28=1,INDEX('calcA'!$D$180:$EQ$219,$B28,69)*500,0)-IF(AND('calcA'!BS$117=1,WQ28&gt;0),300,0)-IF(AND($U28=1,'calcA'!BT$117=1,FS28=0),300,0))),1000000000))</f>
        <v/>
      </c>
      <c r="QW28">
        <f>IF($B28=0,1000000000,IF(INDEX('calcA'!$D$60:$EQ$99,$B28,70)*IF($W28=1,FS28+ACH28,FS28)=1,IF(AND($E28=2,IF($W28=1,AHW28,LH28)=0),1000000000,IF($V28=1,INDEX('calcA'!$D$130:$EQ$169,$B28,70)+IF(AND($E28=1,LH28=0),25,0),INDEX('calcA'!BU$110:BU$114,$F28+1)+IF(AND($E28=1,LH28=0),1000,0)+IF($H28=1,INDEX('calcA'!$D$180:$EQ$219,$B28,70)*500,0)-IF(AND('calcA'!BT$117=1,WR28&gt;0),300,0)-IF(AND($U28=1,'calcA'!BU$117=1,FT28=0),300,0))),1000000000))</f>
        <v/>
      </c>
      <c r="QX28">
        <f>IF($B28=0,1000000000,IF(INDEX('calcA'!$D$60:$EQ$99,$B28,71)*IF($W28=1,FT28+ACI28,FT28)=1,IF(AND($E28=2,IF($W28=1,AHX28,LI28)=0),1000000000,IF($V28=1,INDEX('calcA'!$D$130:$EQ$169,$B28,71)+IF(AND($E28=1,LI28=0),25,0),INDEX('calcA'!BV$110:BV$114,$F28+1)+IF(AND($E28=1,LI28=0),1000,0)+IF($H28=1,INDEX('calcA'!$D$180:$EQ$219,$B28,71)*500,0)-IF(AND('calcA'!BU$117=1,WS28&gt;0),300,0)-IF(AND($U28=1,'calcA'!BV$117=1,FU28=0),300,0))),1000000000))</f>
        <v/>
      </c>
      <c r="QY28">
        <f>IF($B28=0,1000000000,IF(INDEX('calcA'!$D$60:$EQ$99,$B28,72)*IF($W28=1,FU28+ACJ28,FU28)=1,IF(AND($E28=2,IF($W28=1,AHY28,LJ28)=0),1000000000,IF($V28=1,INDEX('calcA'!$D$130:$EQ$169,$B28,72)+IF(AND($E28=1,LJ28=0),25,0),INDEX('calcA'!BW$110:BW$114,$F28+1)+IF(AND($E28=1,LJ28=0),1000,0)+IF($H28=1,INDEX('calcA'!$D$180:$EQ$219,$B28,72)*500,0)-IF(AND('calcA'!BV$117=1,WT28&gt;0),300,0))),1000000000))</f>
        <v/>
      </c>
      <c r="QZ28">
        <f>IF($B28=0,1000000000,IF(INDEX('calcA'!$D$60:$EQ$99,$B28,73)*IF($W28=1,FV28+ACK28,FV28)=1,IF(AND($E28=2,IF($W28=1,AHZ28,LK28)=0),1000000000,IF($V28=1,INDEX('calcA'!$D$130:$EQ$169,$B28,73)+IF(AND($E28=1,LK28=0),25,0),INDEX('calcA'!BX$110:BX$114,$F28+1)+IF(AND($E28=1,LK28=0),1000,0)+IF($H28=1,INDEX('calcA'!$D$180:$EQ$219,$B28,73)*500,0)-IF(AND($U28=1,'calcA'!BX$117=1,FW28=0),300,0))),1000000000))</f>
        <v/>
      </c>
      <c r="RA28">
        <f>IF($B28=0,1000000000,IF(INDEX('calcA'!$D$60:$EQ$99,$B28,74)*IF($W28=1,FW28+ACL28,FW28)=1,IF(AND($E28=2,IF($W28=1,AIA28,LL28)=0),1000000000,IF($V28=1,INDEX('calcA'!$D$130:$EQ$169,$B28,74)+IF(AND($E28=1,LL28=0),25,0),INDEX('calcA'!BY$110:BY$114,$F28+1)+IF(AND($E28=1,LL28=0),1000,0)+IF($H28=1,INDEX('calcA'!$D$180:$EQ$219,$B28,74)*500,0)-IF(AND('calcA'!BX$117=1,WV28&gt;0),300,0)-IF(AND($U28=1,'calcA'!BY$117=1,FX28=0),300,0))),1000000000))</f>
        <v/>
      </c>
      <c r="RB28">
        <f>IF($B28=0,1000000000,IF(INDEX('calcA'!$D$60:$EQ$99,$B28,75)*IF($W28=1,FX28+ACM28,FX28)=1,IF(AND($E28=2,IF($W28=1,AIB28,LM28)=0),1000000000,IF($V28=1,INDEX('calcA'!$D$130:$EQ$169,$B28,75)+IF(AND($E28=1,LM28=0),25,0),INDEX('calcA'!BZ$110:BZ$114,$F28+1)+IF(AND($E28=1,LM28=0),1000,0)+IF($H28=1,INDEX('calcA'!$D$180:$EQ$219,$B28,75)*500,0)-IF(AND('calcA'!BY$117=1,WW28&gt;0),300,0)-IF(AND($U28=1,'calcA'!BZ$117=1,FY28=0),300,0))),1000000000))</f>
        <v/>
      </c>
      <c r="RC28">
        <f>IF($B28=0,1000000000,IF(INDEX('calcA'!$D$60:$EQ$99,$B28,76)*IF($W28=1,FY28+ACN28,FY28)=1,IF(AND($E28=2,IF($W28=1,AIC28,LN28)=0),1000000000,IF($V28=1,INDEX('calcA'!$D$130:$EQ$169,$B28,76)+IF(AND($E28=1,LN28=0),25,0),INDEX('calcA'!CA$110:CA$114,$F28+1)+IF(AND($E28=1,LN28=0),1000,0)+IF($H28=1,INDEX('calcA'!$D$180:$EQ$219,$B28,76)*500,0)-IF(AND('calcA'!BZ$117=1,WX28&gt;0),300,0)-IF(AND($U28=1,'calcA'!CA$117=1,FZ28=0),300,0))),1000000000))</f>
        <v/>
      </c>
      <c r="RD28">
        <f>IF($B28=0,1000000000,IF(INDEX('calcA'!$D$60:$EQ$99,$B28,77)*IF($W28=1,FZ28+ACO28,FZ28)=1,IF(AND($E28=2,IF($W28=1,AID28,LO28)=0),1000000000,IF($V28=1,INDEX('calcA'!$D$130:$EQ$169,$B28,77)+IF(AND($E28=1,LO28=0),25,0),INDEX('calcA'!CB$110:CB$114,$F28+1)+IF(AND($E28=1,LO28=0),1000,0)+IF($H28=1,INDEX('calcA'!$D$180:$EQ$219,$B28,77)*500,0)-IF(AND('calcA'!CA$117=1,WY28&gt;0),300,0)-IF(AND($U28=1,'calcA'!CB$117=1,GA28=0),300,0))),1000000000))</f>
        <v/>
      </c>
      <c r="RE28">
        <f>IF($B28=0,1000000000,IF(INDEX('calcA'!$D$60:$EQ$99,$B28,78)*IF($W28=1,GA28+ACP28,GA28)=1,IF(AND($E28=2,IF($W28=1,AIE28,LP28)=0),1000000000,IF($V28=1,INDEX('calcA'!$D$130:$EQ$169,$B28,78)+IF(AND($E28=1,LP28=0),25,0),INDEX('calcA'!CC$110:CC$114,$F28+1)+IF(AND($E28=1,LP28=0),1000,0)+IF($H28=1,INDEX('calcA'!$D$180:$EQ$219,$B28,78)*500,0)-IF(AND('calcA'!CB$117=1,WZ28&gt;0),300,0)-IF(AND($U28=1,'calcA'!CC$117=1,GB28=0),300,0))),1000000000))</f>
        <v/>
      </c>
      <c r="RF28">
        <f>IF($B28=0,1000000000,IF(INDEX('calcA'!$D$60:$EQ$99,$B28,79)*IF($W28=1,GB28+ACQ28,GB28)=1,IF(AND($E28=2,IF($W28=1,AIF28,LQ28)=0),1000000000,IF($V28=1,INDEX('calcA'!$D$130:$EQ$169,$B28,79)+IF(AND($E28=1,LQ28=0),25,0),INDEX('calcA'!CD$110:CD$114,$F28+1)+IF(AND($E28=1,LQ28=0),1000,0)+IF($H28=1,INDEX('calcA'!$D$180:$EQ$219,$B28,79)*500,0)-IF(AND('calcA'!CC$117=1,XA28&gt;0),300,0)-IF(AND($U28=1,'calcA'!CD$117=1,GC28=0),300,0))),1000000000))</f>
        <v/>
      </c>
      <c r="RG28">
        <f>IF($B28=0,1000000000,IF(INDEX('calcA'!$D$60:$EQ$99,$B28,80)*IF($W28=1,GC28+ACR28,GC28)=1,IF(AND($E28=2,IF($W28=1,AIG28,LR28)=0),1000000000,IF($V28=1,INDEX('calcA'!$D$130:$EQ$169,$B28,80)+IF(AND($E28=1,LR28=0),25,0),INDEX('calcA'!CE$110:CE$114,$F28+1)+IF(AND($E28=1,LR28=0),1000,0)+IF($H28=1,INDEX('calcA'!$D$180:$EQ$219,$B28,80)*500,0)-IF(AND('calcA'!CD$117=1,XB28&gt;0),300,0)-IF(AND($U28=1,'calcA'!CE$117=1,GD28=0),300,0))),1000000000))</f>
        <v/>
      </c>
      <c r="RH28">
        <f>IF($B28=0,1000000000,IF(INDEX('calcA'!$D$60:$EQ$99,$B28,81)*IF($W28=1,GD28+ACS28,GD28)=1,IF(AND($E28=2,IF($W28=1,AIH28,LS28)=0),1000000000,IF($V28=1,INDEX('calcA'!$D$130:$EQ$169,$B28,81)+IF(AND($E28=1,LS28=0),25,0),INDEX('calcA'!CF$110:CF$114,$F28+1)+IF(AND($E28=1,LS28=0),1000,0)+IF($H28=1,INDEX('calcA'!$D$180:$EQ$219,$B28,81)*500,0)-IF(AND('calcA'!CE$117=1,XC28&gt;0),300,0)-IF(AND($U28=1,'calcA'!CF$117=1,GE28=0),300,0))),1000000000))</f>
        <v/>
      </c>
      <c r="RI28">
        <f>IF($B28=0,1000000000,IF(INDEX('calcA'!$D$60:$EQ$99,$B28,82)*IF($W28=1,GE28+ACT28,GE28)=1,IF(AND($E28=2,IF($W28=1,AII28,LT28)=0),1000000000,IF($V28=1,INDEX('calcA'!$D$130:$EQ$169,$B28,82)+IF(AND($E28=1,LT28=0),25,0),INDEX('calcA'!CG$110:CG$114,$F28+1)+IF(AND($E28=1,LT28=0),1000,0)+IF($H28=1,INDEX('calcA'!$D$180:$EQ$219,$B28,82)*500,0)-IF(AND('calcA'!CF$117=1,XD28&gt;0),300,0)-IF(AND($U28=1,'calcA'!CG$117=1,GF28=0),300,0))),1000000000))</f>
        <v/>
      </c>
      <c r="RJ28">
        <f>IF($B28=0,1000000000,IF(INDEX('calcA'!$D$60:$EQ$99,$B28,83)*IF($W28=1,GF28+ACU28,GF28)=1,IF(AND($E28=2,IF($W28=1,AIJ28,LU28)=0),1000000000,IF($V28=1,INDEX('calcA'!$D$130:$EQ$169,$B28,83)+IF(AND($E28=1,LU28=0),25,0),INDEX('calcA'!CH$110:CH$114,$F28+1)+IF(AND($E28=1,LU28=0),1000,0)+IF($H28=1,INDEX('calcA'!$D$180:$EQ$219,$B28,83)*500,0)-IF(AND('calcA'!CG$117=1,XE28&gt;0),300,0)-IF(AND($U28=1,'calcA'!CH$117=1,GG28=0),300,0))),1000000000))</f>
        <v/>
      </c>
      <c r="RK28">
        <f>IF($B28=0,1000000000,IF(INDEX('calcA'!$D$60:$EQ$99,$B28,84)*IF($W28=1,GG28+ACV28,GG28)=1,IF(AND($E28=2,IF($W28=1,AIK28,LV28)=0),1000000000,IF($V28=1,INDEX('calcA'!$D$130:$EQ$169,$B28,84)+IF(AND($E28=1,LV28=0),25,0),INDEX('calcA'!CI$110:CI$114,$F28+1)+IF(AND($E28=1,LV28=0),1000,0)+IF($H28=1,INDEX('calcA'!$D$180:$EQ$219,$B28,84)*500,0)-IF(AND('calcA'!CH$117=1,XF28&gt;0),300,0)-IF(AND($U28=1,'calcA'!CI$117=1,GH28=0),300,0))),1000000000))</f>
        <v/>
      </c>
      <c r="RL28">
        <f>IF($B28=0,1000000000,IF(INDEX('calcA'!$D$60:$EQ$99,$B28,85)*IF($W28=1,GH28+ACW28,GH28)=1,IF(AND($E28=2,IF($W28=1,AIL28,LW28)=0),1000000000,IF($V28=1,INDEX('calcA'!$D$130:$EQ$169,$B28,85)+IF(AND($E28=1,LW28=0),25,0),INDEX('calcA'!CJ$110:CJ$114,$F28+1)+IF(AND($E28=1,LW28=0),1000,0)+IF($H28=1,INDEX('calcA'!$D$180:$EQ$219,$B28,85)*500,0)-IF(AND('calcA'!CI$117=1,XG28&gt;0),300,0)-IF(AND($U28=1,'calcA'!CJ$117=1,GI28=0),300,0))),1000000000))</f>
        <v/>
      </c>
      <c r="RM28">
        <f>IF($B28=0,1000000000,IF(INDEX('calcA'!$D$60:$EQ$99,$B28,86)*IF($W28=1,GI28+ACX28,GI28)=1,IF(AND($E28=2,IF($W28=1,AIM28,LX28)=0),1000000000,IF($V28=1,INDEX('calcA'!$D$130:$EQ$169,$B28,86)+IF(AND($E28=1,LX28=0),25,0),INDEX('calcA'!CK$110:CK$114,$F28+1)+IF(AND($E28=1,LX28=0),1000,0)+IF($H28=1,INDEX('calcA'!$D$180:$EQ$219,$B28,86)*500,0)-IF(AND('calcA'!CJ$117=1,XH28&gt;0),300,0)-IF(AND($U28=1,'calcA'!CK$117=1,GJ28=0),300,0))),1000000000))</f>
        <v/>
      </c>
      <c r="RN28">
        <f>IF($B28=0,1000000000,IF(INDEX('calcA'!$D$60:$EQ$99,$B28,87)*IF($W28=1,GJ28+ACY28,GJ28)=1,IF(AND($E28=2,IF($W28=1,AIN28,LY28)=0),1000000000,IF($V28=1,INDEX('calcA'!$D$130:$EQ$169,$B28,87)+IF(AND($E28=1,LY28=0),25,0),INDEX('calcA'!CL$110:CL$114,$F28+1)+IF(AND($E28=1,LY28=0),1000,0)+IF($H28=1,INDEX('calcA'!$D$180:$EQ$219,$B28,87)*500,0)-IF(AND('calcA'!CK$117=1,XI28&gt;0),300,0)-IF(AND($U28=1,'calcA'!CL$117=1,GK28=0),300,0))),1000000000))</f>
        <v/>
      </c>
      <c r="RO28">
        <f>IF($B28=0,1000000000,IF(INDEX('calcA'!$D$60:$EQ$99,$B28,88)*IF($W28=1,GK28+ACZ28,GK28)=1,IF(AND($E28=2,IF($W28=1,AIO28,LZ28)=0),1000000000,IF($V28=1,INDEX('calcA'!$D$130:$EQ$169,$B28,88)+IF(AND($E28=1,LZ28=0),25,0),INDEX('calcA'!CM$110:CM$114,$F28+1)+IF(AND($E28=1,LZ28=0),1000,0)+IF($H28=1,INDEX('calcA'!$D$180:$EQ$219,$B28,88)*500,0)-IF(AND('calcA'!CL$117=1,XJ28&gt;0),300,0)-IF(AND($U28=1,'calcA'!CM$117=1,GL28=0),300,0))),1000000000))</f>
        <v/>
      </c>
      <c r="RP28">
        <f>IF($B28=0,1000000000,IF(INDEX('calcA'!$D$60:$EQ$99,$B28,89)*IF($W28=1,GL28+ADA28,GL28)=1,IF(AND($E28=2,IF($W28=1,AIP28,MA28)=0),1000000000,IF($V28=1,INDEX('calcA'!$D$130:$EQ$169,$B28,89)+IF(AND($E28=1,MA28=0),25,0),INDEX('calcA'!CN$110:CN$114,$F28+1)+IF(AND($E28=1,MA28=0),1000,0)+IF($H28=1,INDEX('calcA'!$D$180:$EQ$219,$B28,89)*500,0)-IF(AND('calcA'!CM$117=1,XK28&gt;0),300,0)-IF(AND($U28=1,'calcA'!CN$117=1,GM28=0),300,0))),1000000000))</f>
        <v/>
      </c>
      <c r="RQ28">
        <f>IF($B28=0,1000000000,IF(INDEX('calcA'!$D$60:$EQ$99,$B28,90)*IF($W28=1,GM28+ADB28,GM28)=1,IF(AND($E28=2,IF($W28=1,AIQ28,MB28)=0),1000000000,IF($V28=1,INDEX('calcA'!$D$130:$EQ$169,$B28,90)+IF(AND($E28=1,MB28=0),25,0),INDEX('calcA'!CO$110:CO$114,$F28+1)+IF(AND($E28=1,MB28=0),1000,0)+IF($H28=1,INDEX('calcA'!$D$180:$EQ$219,$B28,90)*500,0)-IF(AND('calcA'!CN$117=1,XL28&gt;0),300,0)-IF(AND($U28=1,'calcA'!CO$117=1,GN28=0),300,0))),1000000000))</f>
        <v/>
      </c>
      <c r="RR28">
        <f>IF($B28=0,1000000000,IF(INDEX('calcA'!$D$60:$EQ$99,$B28,91)*IF($W28=1,GN28+ADC28,GN28)=1,IF(AND($E28=2,IF($W28=1,AIR28,MC28)=0),1000000000,IF($V28=1,INDEX('calcA'!$D$130:$EQ$169,$B28,91)+IF(AND($E28=1,MC28=0),25,0),INDEX('calcA'!CP$110:CP$114,$F28+1)+IF(AND($E28=1,MC28=0),1000,0)+IF($H28=1,INDEX('calcA'!$D$180:$EQ$219,$B28,91)*500,0)-IF(AND('calcA'!CO$117=1,XM28&gt;0),300,0)-IF(AND($U28=1,'calcA'!CP$117=1,GO28=0),300,0))),1000000000))</f>
        <v/>
      </c>
      <c r="RS28">
        <f>IF($B28=0,1000000000,IF(INDEX('calcA'!$D$60:$EQ$99,$B28,92)*IF($W28=1,GO28+ADD28,GO28)=1,IF(AND($E28=2,IF($W28=1,AIS28,MD28)=0),1000000000,IF($V28=1,INDEX('calcA'!$D$130:$EQ$169,$B28,92)+IF(AND($E28=1,MD28=0),25,0),INDEX('calcA'!CQ$110:CQ$114,$F28+1)+IF(AND($E28=1,MD28=0),1000,0)+IF($H28=1,INDEX('calcA'!$D$180:$EQ$219,$B28,92)*500,0)-IF(AND('calcA'!CP$117=1,XN28&gt;0),300,0)-IF(AND($U28=1,'calcA'!CQ$117=1,GP28=0),300,0))),1000000000))</f>
        <v/>
      </c>
      <c r="RT28">
        <f>IF($B28=0,1000000000,IF(INDEX('calcA'!$D$60:$EQ$99,$B28,93)*IF($W28=1,GP28+ADE28,GP28)=1,IF(AND($E28=2,IF($W28=1,AIT28,ME28)=0),1000000000,IF($V28=1,INDEX('calcA'!$D$130:$EQ$169,$B28,93)+IF(AND($E28=1,ME28=0),25,0),INDEX('calcA'!CR$110:CR$114,$F28+1)+IF(AND($E28=1,ME28=0),1000,0)+IF($H28=1,INDEX('calcA'!$D$180:$EQ$219,$B28,93)*500,0)-IF(AND('calcA'!CQ$117=1,XO28&gt;0),300,0)-IF(AND($U28=1,'calcA'!CR$117=1,GQ28=0),300,0))),1000000000))</f>
        <v/>
      </c>
      <c r="RU28">
        <f>IF($B28=0,1000000000,IF(INDEX('calcA'!$D$60:$EQ$99,$B28,94)*IF($W28=1,GQ28+ADF28,GQ28)=1,IF(AND($E28=2,IF($W28=1,AIU28,MF28)=0),1000000000,IF($V28=1,INDEX('calcA'!$D$130:$EQ$169,$B28,94)+IF(AND($E28=1,MF28=0),25,0),INDEX('calcA'!CS$110:CS$114,$F28+1)+IF(AND($E28=1,MF28=0),1000,0)+IF($H28=1,INDEX('calcA'!$D$180:$EQ$219,$B28,94)*500,0)-IF(AND('calcA'!CR$117=1,XP28&gt;0),300,0)-IF(AND($U28=1,'calcA'!CS$117=1,GR28=0),300,0))),1000000000))</f>
        <v/>
      </c>
      <c r="RV28">
        <f>IF($B28=0,1000000000,IF(INDEX('calcA'!$D$60:$EQ$99,$B28,95)*IF($W28=1,GR28+ADG28,GR28)=1,IF(AND($E28=2,IF($W28=1,AIV28,MG28)=0),1000000000,IF($V28=1,INDEX('calcA'!$D$130:$EQ$169,$B28,95)+IF(AND($E28=1,MG28=0),25,0),INDEX('calcA'!CT$110:CT$114,$F28+1)+IF(AND($E28=1,MG28=0),1000,0)+IF($H28=1,INDEX('calcA'!$D$180:$EQ$219,$B28,95)*500,0)-IF(AND('calcA'!CS$117=1,XQ28&gt;0),300,0)-IF(AND($U28=1,'calcA'!CT$117=1,GS28=0),300,0))),1000000000))</f>
        <v/>
      </c>
      <c r="RW28">
        <f>IF($B28=0,1000000000,IF(INDEX('calcA'!$D$60:$EQ$99,$B28,96)*IF($W28=1,GS28+ADH28,GS28)=1,IF(AND($E28=2,IF($W28=1,AIW28,MH28)=0),1000000000,IF($V28=1,INDEX('calcA'!$D$130:$EQ$169,$B28,96)+IF(AND($E28=1,MH28=0),25,0),INDEX('calcA'!CU$110:CU$114,$F28+1)+IF(AND($E28=1,MH28=0),1000,0)+IF($H28=1,INDEX('calcA'!$D$180:$EQ$219,$B28,96)*500,0)-IF(AND('calcA'!CT$117=1,XR28&gt;0),300,0))),1000000000))</f>
        <v/>
      </c>
      <c r="RX28">
        <f>IF($B28=0,1000000000,IF(INDEX('calcA'!$D$60:$EQ$99,$B28,97)*IF($W28=1,GT28+ADI28,GT28)=1,IF(AND($E28=2,IF($W28=1,AIX28,MI28)=0),1000000000,IF($V28=1,INDEX('calcA'!$D$130:$EQ$169,$B28,97)+IF(AND($E28=1,MI28=0),25,0),INDEX('calcA'!CV$110:CV$114,$F28+1)+IF(AND($E28=1,MI28=0),1000,0)+IF($H28=1,INDEX('calcA'!$D$180:$EQ$219,$B28,97)*500,0)-IF(AND($U28=1,'calcA'!CV$117=1,GU28=0),300,0))),1000000000))</f>
        <v/>
      </c>
      <c r="RY28">
        <f>IF($B28=0,1000000000,IF(INDEX('calcA'!$D$60:$EQ$99,$B28,98)*IF($W28=1,GU28+ADJ28,GU28)=1,IF(AND($E28=2,IF($W28=1,AIY28,MJ28)=0),1000000000,IF($V28=1,INDEX('calcA'!$D$130:$EQ$169,$B28,98)+IF(AND($E28=1,MJ28=0),25,0),INDEX('calcA'!CW$110:CW$114,$F28+1)+IF(AND($E28=1,MJ28=0),1000,0)+IF($H28=1,INDEX('calcA'!$D$180:$EQ$219,$B28,98)*500,0)-IF(AND('calcA'!CV$117=1,XT28&gt;0),300,0)-IF(AND($U28=1,'calcA'!CW$117=1,GV28=0),300,0))),1000000000))</f>
        <v/>
      </c>
      <c r="RZ28">
        <f>IF($B28=0,1000000000,IF(INDEX('calcA'!$D$60:$EQ$99,$B28,99)*IF($W28=1,GV28+ADK28,GV28)=1,IF(AND($E28=2,IF($W28=1,AIZ28,MK28)=0),1000000000,IF($V28=1,INDEX('calcA'!$D$130:$EQ$169,$B28,99)+IF(AND($E28=1,MK28=0),25,0),INDEX('calcA'!CX$110:CX$114,$F28+1)+IF(AND($E28=1,MK28=0),1000,0)+IF($H28=1,INDEX('calcA'!$D$180:$EQ$219,$B28,99)*500,0)-IF(AND('calcA'!CW$117=1,XU28&gt;0),300,0)-IF(AND($U28=1,'calcA'!CX$117=1,GW28=0),300,0))),1000000000))</f>
        <v/>
      </c>
      <c r="SA28">
        <f>IF($B28=0,1000000000,IF(INDEX('calcA'!$D$60:$EQ$99,$B28,100)*IF($W28=1,GW28+ADL28,GW28)=1,IF(AND($E28=2,IF($W28=1,AJA28,ML28)=0),1000000000,IF($V28=1,INDEX('calcA'!$D$130:$EQ$169,$B28,100)+IF(AND($E28=1,ML28=0),25,0),INDEX('calcA'!CY$110:CY$114,$F28+1)+IF(AND($E28=1,ML28=0),1000,0)+IF($H28=1,INDEX('calcA'!$D$180:$EQ$219,$B28,100)*500,0)-IF(AND('calcA'!CX$117=1,XV28&gt;0),300,0)-IF(AND($U28=1,'calcA'!CY$117=1,GX28=0),300,0))),1000000000))</f>
        <v/>
      </c>
      <c r="SB28">
        <f>IF($B28=0,1000000000,IF(INDEX('calcA'!$D$60:$EQ$99,$B28,101)*IF($W28=1,GX28+ADM28,GX28)=1,IF(AND($E28=2,IF($W28=1,AJB28,MM28)=0),1000000000,IF($V28=1,INDEX('calcA'!$D$130:$EQ$169,$B28,101)+IF(AND($E28=1,MM28=0),25,0),INDEX('calcA'!CZ$110:CZ$114,$F28+1)+IF(AND($E28=1,MM28=0),1000,0)+IF($H28=1,INDEX('calcA'!$D$180:$EQ$219,$B28,101)*500,0)-IF(AND('calcA'!CY$117=1,XW28&gt;0),300,0)-IF(AND($U28=1,'calcA'!CZ$117=1,GY28=0),300,0))),1000000000))</f>
        <v/>
      </c>
      <c r="SC28">
        <f>IF($B28=0,1000000000,IF(INDEX('calcA'!$D$60:$EQ$99,$B28,102)*IF($W28=1,GY28+ADN28,GY28)=1,IF(AND($E28=2,IF($W28=1,AJC28,MN28)=0),1000000000,IF($V28=1,INDEX('calcA'!$D$130:$EQ$169,$B28,102)+IF(AND($E28=1,MN28=0),25,0),INDEX('calcA'!DA$110:DA$114,$F28+1)+IF(AND($E28=1,MN28=0),1000,0)+IF($H28=1,INDEX('calcA'!$D$180:$EQ$219,$B28,102)*500,0)-IF(AND('calcA'!CZ$117=1,XX28&gt;0),300,0)-IF(AND($U28=1,'calcA'!DA$117=1,GZ28=0),300,0))),1000000000))</f>
        <v/>
      </c>
      <c r="SD28">
        <f>IF($B28=0,1000000000,IF(INDEX('calcA'!$D$60:$EQ$99,$B28,103)*IF($W28=1,GZ28+ADO28,GZ28)=1,IF(AND($E28=2,IF($W28=1,AJD28,MO28)=0),1000000000,IF($V28=1,INDEX('calcA'!$D$130:$EQ$169,$B28,103)+IF(AND($E28=1,MO28=0),25,0),INDEX('calcA'!DB$110:DB$114,$F28+1)+IF(AND($E28=1,MO28=0),1000,0)+IF($H28=1,INDEX('calcA'!$D$180:$EQ$219,$B28,103)*500,0)-IF(AND('calcA'!DA$117=1,XY28&gt;0),300,0)-IF(AND($U28=1,'calcA'!DB$117=1,HA28=0),300,0))),1000000000))</f>
        <v/>
      </c>
      <c r="SE28">
        <f>IF($B28=0,1000000000,IF(INDEX('calcA'!$D$60:$EQ$99,$B28,104)*IF($W28=1,HA28+ADP28,HA28)=1,IF(AND($E28=2,IF($W28=1,AJE28,MP28)=0),1000000000,IF($V28=1,INDEX('calcA'!$D$130:$EQ$169,$B28,104)+IF(AND($E28=1,MP28=0),25,0),INDEX('calcA'!DC$110:DC$114,$F28+1)+IF(AND($E28=1,MP28=0),1000,0)+IF($H28=1,INDEX('calcA'!$D$180:$EQ$219,$B28,104)*500,0)-IF(AND('calcA'!DB$117=1,XZ28&gt;0),300,0)-IF(AND($U28=1,'calcA'!DC$117=1,HB28=0),300,0))),1000000000))</f>
        <v/>
      </c>
      <c r="SF28">
        <f>IF($B28=0,1000000000,IF(INDEX('calcA'!$D$60:$EQ$99,$B28,105)*IF($W28=1,HB28+ADQ28,HB28)=1,IF(AND($E28=2,IF($W28=1,AJF28,MQ28)=0),1000000000,IF($V28=1,INDEX('calcA'!$D$130:$EQ$169,$B28,105)+IF(AND($E28=1,MQ28=0),25,0),INDEX('calcA'!DD$110:DD$114,$F28+1)+IF(AND($E28=1,MQ28=0),1000,0)+IF($H28=1,INDEX('calcA'!$D$180:$EQ$219,$B28,105)*500,0)-IF(AND('calcA'!DC$117=1,YA28&gt;0),300,0)-IF(AND($U28=1,'calcA'!DD$117=1,HC28=0),300,0))),1000000000))</f>
        <v/>
      </c>
      <c r="SG28">
        <f>IF($B28=0,1000000000,IF(INDEX('calcA'!$D$60:$EQ$99,$B28,106)*IF($W28=1,HC28+ADR28,HC28)=1,IF(AND($E28=2,IF($W28=1,AJG28,MR28)=0),1000000000,IF($V28=1,INDEX('calcA'!$D$130:$EQ$169,$B28,106)+IF(AND($E28=1,MR28=0),25,0),INDEX('calcA'!DE$110:DE$114,$F28+1)+IF(AND($E28=1,MR28=0),1000,0)+IF($H28=1,INDEX('calcA'!$D$180:$EQ$219,$B28,106)*500,0)-IF(AND('calcA'!DD$117=1,YB28&gt;0),300,0)-IF(AND($U28=1,'calcA'!DE$117=1,HD28=0),300,0))),1000000000))</f>
        <v/>
      </c>
      <c r="SH28">
        <f>IF($B28=0,1000000000,IF(INDEX('calcA'!$D$60:$EQ$99,$B28,107)*IF($W28=1,HD28+ADS28,HD28)=1,IF(AND($E28=2,IF($W28=1,AJH28,MS28)=0),1000000000,IF($V28=1,INDEX('calcA'!$D$130:$EQ$169,$B28,107)+IF(AND($E28=1,MS28=0),25,0),INDEX('calcA'!DF$110:DF$114,$F28+1)+IF(AND($E28=1,MS28=0),1000,0)+IF($H28=1,INDEX('calcA'!$D$180:$EQ$219,$B28,107)*500,0)-IF(AND('calcA'!DE$117=1,YC28&gt;0),300,0)-IF(AND($U28=1,'calcA'!DF$117=1,HE28=0),300,0))),1000000000))</f>
        <v/>
      </c>
      <c r="SI28">
        <f>IF($B28=0,1000000000,IF(INDEX('calcA'!$D$60:$EQ$99,$B28,108)*IF($W28=1,HE28+ADT28,HE28)=1,IF(AND($E28=2,IF($W28=1,AJI28,MT28)=0),1000000000,IF($V28=1,INDEX('calcA'!$D$130:$EQ$169,$B28,108)+IF(AND($E28=1,MT28=0),25,0),INDEX('calcA'!DG$110:DG$114,$F28+1)+IF(AND($E28=1,MT28=0),1000,0)+IF($H28=1,INDEX('calcA'!$D$180:$EQ$219,$B28,108)*500,0)-IF(AND('calcA'!DF$117=1,YD28&gt;0),300,0)-IF(AND($U28=1,'calcA'!DG$117=1,HF28=0),300,0))),1000000000))</f>
        <v/>
      </c>
      <c r="SJ28">
        <f>IF($B28=0,1000000000,IF(INDEX('calcA'!$D$60:$EQ$99,$B28,109)*IF($W28=1,HF28+ADU28,HF28)=1,IF(AND($E28=2,IF($W28=1,AJJ28,MU28)=0),1000000000,IF($V28=1,INDEX('calcA'!$D$130:$EQ$169,$B28,109)+IF(AND($E28=1,MU28=0),25,0),INDEX('calcA'!DH$110:DH$114,$F28+1)+IF(AND($E28=1,MU28=0),1000,0)+IF($H28=1,INDEX('calcA'!$D$180:$EQ$219,$B28,109)*500,0)-IF(AND('calcA'!DG$117=1,YE28&gt;0),300,0)-IF(AND($U28=1,'calcA'!DH$117=1,HG28=0),300,0))),1000000000))</f>
        <v/>
      </c>
      <c r="SK28">
        <f>IF($B28=0,1000000000,IF(INDEX('calcA'!$D$60:$EQ$99,$B28,110)*IF($W28=1,HG28+ADV28,HG28)=1,IF(AND($E28=2,IF($W28=1,AJK28,MV28)=0),1000000000,IF($V28=1,INDEX('calcA'!$D$130:$EQ$169,$B28,110)+IF(AND($E28=1,MV28=0),25,0),INDEX('calcA'!DI$110:DI$114,$F28+1)+IF(AND($E28=1,MV28=0),1000,0)+IF($H28=1,INDEX('calcA'!$D$180:$EQ$219,$B28,110)*500,0)-IF(AND('calcA'!DH$117=1,YF28&gt;0),300,0)-IF(AND($U28=1,'calcA'!DI$117=1,HH28=0),300,0))),1000000000))</f>
        <v/>
      </c>
      <c r="SL28">
        <f>IF($B28=0,1000000000,IF(INDEX('calcA'!$D$60:$EQ$99,$B28,111)*IF($W28=1,HH28+ADW28,HH28)=1,IF(AND($E28=2,IF($W28=1,AJL28,MW28)=0),1000000000,IF($V28=1,INDEX('calcA'!$D$130:$EQ$169,$B28,111)+IF(AND($E28=1,MW28=0),25,0),INDEX('calcA'!DJ$110:DJ$114,$F28+1)+IF(AND($E28=1,MW28=0),1000,0)+IF($H28=1,INDEX('calcA'!$D$180:$EQ$219,$B28,111)*500,0)-IF(AND('calcA'!DI$117=1,YG28&gt;0),300,0)-IF(AND($U28=1,'calcA'!DJ$117=1,HI28=0),300,0))),1000000000))</f>
        <v/>
      </c>
      <c r="SM28">
        <f>IF($B28=0,1000000000,IF(INDEX('calcA'!$D$60:$EQ$99,$B28,112)*IF($W28=1,HI28+ADX28,HI28)=1,IF(AND($E28=2,IF($W28=1,AJM28,MX28)=0),1000000000,IF($V28=1,INDEX('calcA'!$D$130:$EQ$169,$B28,112)+IF(AND($E28=1,MX28=0),25,0),INDEX('calcA'!DK$110:DK$114,$F28+1)+IF(AND($E28=1,MX28=0),1000,0)+IF($H28=1,INDEX('calcA'!$D$180:$EQ$219,$B28,112)*500,0)-IF(AND('calcA'!DJ$117=1,YH28&gt;0),300,0)-IF(AND($U28=1,'calcA'!DK$117=1,HJ28=0),300,0))),1000000000))</f>
        <v/>
      </c>
      <c r="SN28">
        <f>IF($B28=0,1000000000,IF(INDEX('calcA'!$D$60:$EQ$99,$B28,113)*IF($W28=1,HJ28+ADY28,HJ28)=1,IF(AND($E28=2,IF($W28=1,AJN28,MY28)=0),1000000000,IF($V28=1,INDEX('calcA'!$D$130:$EQ$169,$B28,113)+IF(AND($E28=1,MY28=0),25,0),INDEX('calcA'!DL$110:DL$114,$F28+1)+IF(AND($E28=1,MY28=0),1000,0)+IF($H28=1,INDEX('calcA'!$D$180:$EQ$219,$B28,113)*500,0)-IF(AND('calcA'!DK$117=1,YI28&gt;0),300,0)-IF(AND($U28=1,'calcA'!DL$117=1,HK28=0),300,0))),1000000000))</f>
        <v/>
      </c>
      <c r="SO28">
        <f>IF($B28=0,1000000000,IF(INDEX('calcA'!$D$60:$EQ$99,$B28,114)*IF($W28=1,HK28+ADZ28,HK28)=1,IF(AND($E28=2,IF($W28=1,AJO28,MZ28)=0),1000000000,IF($V28=1,INDEX('calcA'!$D$130:$EQ$169,$B28,114)+IF(AND($E28=1,MZ28=0),25,0),INDEX('calcA'!DM$110:DM$114,$F28+1)+IF(AND($E28=1,MZ28=0),1000,0)+IF($H28=1,INDEX('calcA'!$D$180:$EQ$219,$B28,114)*500,0)-IF(AND('calcA'!DL$117=1,YJ28&gt;0),300,0)-IF(AND($U28=1,'calcA'!DM$117=1,HL28=0),300,0))),1000000000))</f>
        <v/>
      </c>
      <c r="SP28">
        <f>IF($B28=0,1000000000,IF(INDEX('calcA'!$D$60:$EQ$99,$B28,115)*IF($W28=1,HL28+AEA28,HL28)=1,IF(AND($E28=2,IF($W28=1,AJP28,NA28)=0),1000000000,IF($V28=1,INDEX('calcA'!$D$130:$EQ$169,$B28,115)+IF(AND($E28=1,NA28=0),25,0),INDEX('calcA'!DN$110:DN$114,$F28+1)+IF(AND($E28=1,NA28=0),1000,0)+IF($H28=1,INDEX('calcA'!$D$180:$EQ$219,$B28,115)*500,0)-IF(AND('calcA'!DM$117=1,YK28&gt;0),300,0)-IF(AND($U28=1,'calcA'!DN$117=1,HM28=0),300,0))),1000000000))</f>
        <v/>
      </c>
      <c r="SQ28">
        <f>IF($B28=0,1000000000,IF(INDEX('calcA'!$D$60:$EQ$99,$B28,116)*IF($W28=1,HM28+AEB28,HM28)=1,IF(AND($E28=2,IF($W28=1,AJQ28,NB28)=0),1000000000,IF($V28=1,INDEX('calcA'!$D$130:$EQ$169,$B28,116)+IF(AND($E28=1,NB28=0),25,0),INDEX('calcA'!DO$110:DO$114,$F28+1)+IF(AND($E28=1,NB28=0),1000,0)+IF($H28=1,INDEX('calcA'!$D$180:$EQ$219,$B28,116)*500,0)-IF(AND('calcA'!DN$117=1,YL28&gt;0),300,0)-IF(AND($U28=1,'calcA'!DO$117=1,HN28=0),300,0))),1000000000))</f>
        <v/>
      </c>
      <c r="SR28">
        <f>IF($B28=0,1000000000,IF(INDEX('calcA'!$D$60:$EQ$99,$B28,117)*IF($W28=1,HN28+AEC28,HN28)=1,IF(AND($E28=2,IF($W28=1,AJR28,NC28)=0),1000000000,IF($V28=1,INDEX('calcA'!$D$130:$EQ$169,$B28,117)+IF(AND($E28=1,NC28=0),25,0),INDEX('calcA'!DP$110:DP$114,$F28+1)+IF(AND($E28=1,NC28=0),1000,0)+IF($H28=1,INDEX('calcA'!$D$180:$EQ$219,$B28,117)*500,0)-IF(AND('calcA'!DO$117=1,YM28&gt;0),300,0)-IF(AND($U28=1,'calcA'!DP$117=1,HO28=0),300,0))),1000000000))</f>
        <v/>
      </c>
      <c r="SS28">
        <f>IF($B28=0,1000000000,IF(INDEX('calcA'!$D$60:$EQ$99,$B28,118)*IF($W28=1,HO28+AED28,HO28)=1,IF(AND($E28=2,IF($W28=1,AJS28,ND28)=0),1000000000,IF($V28=1,INDEX('calcA'!$D$130:$EQ$169,$B28,118)+IF(AND($E28=1,ND28=0),25,0),INDEX('calcA'!DQ$110:DQ$114,$F28+1)+IF(AND($E28=1,ND28=0),1000,0)+IF($H28=1,INDEX('calcA'!$D$180:$EQ$219,$B28,118)*500,0)-IF(AND('calcA'!DP$117=1,YN28&gt;0),300,0)-IF(AND($U28=1,'calcA'!DQ$117=1,HP28=0),300,0))),1000000000))</f>
        <v/>
      </c>
      <c r="ST28">
        <f>IF($B28=0,1000000000,IF(INDEX('calcA'!$D$60:$EQ$99,$B28,119)*IF($W28=1,HP28+AEE28,HP28)=1,IF(AND($E28=2,IF($W28=1,AJT28,NE28)=0),1000000000,IF($V28=1,INDEX('calcA'!$D$130:$EQ$169,$B28,119)+IF(AND($E28=1,NE28=0),25,0),INDEX('calcA'!DR$110:DR$114,$F28+1)+IF(AND($E28=1,NE28=0),1000,0)+IF($H28=1,INDEX('calcA'!$D$180:$EQ$219,$B28,119)*500,0)-IF(AND('calcA'!DQ$117=1,YO28&gt;0),300,0)-IF(AND($U28=1,'calcA'!DR$117=1,HQ28=0),300,0))),1000000000))</f>
        <v/>
      </c>
      <c r="SU28">
        <f>IF($B28=0,1000000000,IF(INDEX('calcA'!$D$60:$EQ$99,$B28,120)*IF($W28=1,HQ28+AEF28,HQ28)=1,IF(AND($E28=2,IF($W28=1,AJU28,NF28)=0),1000000000,IF($V28=1,INDEX('calcA'!$D$130:$EQ$169,$B28,120)+IF(AND($E28=1,NF28=0),25,0),INDEX('calcA'!DS$110:DS$114,$F28+1)+IF(AND($E28=1,NF28=0),1000,0)+IF($H28=1,INDEX('calcA'!$D$180:$EQ$219,$B28,120)*500,0)-IF(AND('calcA'!DR$117=1,YP28&gt;0),300,0))),1000000000))</f>
        <v/>
      </c>
      <c r="SV28">
        <f>IF($B28=0,1000000000,IF(INDEX('calcA'!$D$60:$EQ$99,$B28,121)*IF($W28=1,HR28+AEG28,HR28)=1,IF(AND($E28=2,IF($W28=1,AJV28,NG28)=0),1000000000,IF($V28=1,INDEX('calcA'!$D$130:$EQ$169,$B28,121)+IF(AND($E28=1,NG28=0),25,0),INDEX('calcA'!DT$110:DT$114,$F28+1)+IF(AND($E28=1,NG28=0),1000,0)+IF($H28=1,INDEX('calcA'!$D$180:$EQ$219,$B28,121)*500,0)-IF(AND($U28=1,'calcA'!DT$117=1,HS28=0),300,0))),1000000000))</f>
        <v/>
      </c>
      <c r="SW28">
        <f>IF($B28=0,1000000000,IF(INDEX('calcA'!$D$60:$EQ$99,$B28,122)*IF($W28=1,HS28+AEH28,HS28)=1,IF(AND($E28=2,IF($W28=1,AJW28,NH28)=0),1000000000,IF($V28=1,INDEX('calcA'!$D$130:$EQ$169,$B28,122)+IF(AND($E28=1,NH28=0),25,0),INDEX('calcA'!DU$110:DU$114,$F28+1)+IF(AND($E28=1,NH28=0),1000,0)+IF($H28=1,INDEX('calcA'!$D$180:$EQ$219,$B28,122)*500,0)-IF(AND('calcA'!DT$117=1,YR28&gt;0),300,0)-IF(AND($U28=1,'calcA'!DU$117=1,HT28=0),300,0))),1000000000))</f>
        <v/>
      </c>
      <c r="SX28">
        <f>IF($B28=0,1000000000,IF(INDEX('calcA'!$D$60:$EQ$99,$B28,123)*IF($W28=1,HT28+AEI28,HT28)=1,IF(AND($E28=2,IF($W28=1,AJX28,NI28)=0),1000000000,IF($V28=1,INDEX('calcA'!$D$130:$EQ$169,$B28,123)+IF(AND($E28=1,NI28=0),25,0),INDEX('calcA'!DV$110:DV$114,$F28+1)+IF(AND($E28=1,NI28=0),1000,0)+IF($H28=1,INDEX('calcA'!$D$180:$EQ$219,$B28,123)*500,0)-IF(AND('calcA'!DU$117=1,YS28&gt;0),300,0)-IF(AND($U28=1,'calcA'!DV$117=1,HU28=0),300,0))),1000000000))</f>
        <v/>
      </c>
      <c r="SY28">
        <f>IF($B28=0,1000000000,IF(INDEX('calcA'!$D$60:$EQ$99,$B28,124)*IF($W28=1,HU28+AEJ28,HU28)=1,IF(AND($E28=2,IF($W28=1,AJY28,NJ28)=0),1000000000,IF($V28=1,INDEX('calcA'!$D$130:$EQ$169,$B28,124)+IF(AND($E28=1,NJ28=0),25,0),INDEX('calcA'!DW$110:DW$114,$F28+1)+IF(AND($E28=1,NJ28=0),1000,0)+IF($H28=1,INDEX('calcA'!$D$180:$EQ$219,$B28,124)*500,0)-IF(AND('calcA'!DV$117=1,YT28&gt;0),300,0)-IF(AND($U28=1,'calcA'!DW$117=1,HV28=0),300,0))),1000000000))</f>
        <v/>
      </c>
      <c r="SZ28">
        <f>IF($B28=0,1000000000,IF(INDEX('calcA'!$D$60:$EQ$99,$B28,125)*IF($W28=1,HV28+AEK28,HV28)=1,IF(AND($E28=2,IF($W28=1,AJZ28,NK28)=0),1000000000,IF($V28=1,INDEX('calcA'!$D$130:$EQ$169,$B28,125)+IF(AND($E28=1,NK28=0),25,0),INDEX('calcA'!DX$110:DX$114,$F28+1)+IF(AND($E28=1,NK28=0),1000,0)+IF($H28=1,INDEX('calcA'!$D$180:$EQ$219,$B28,125)*500,0)-IF(AND('calcA'!DW$117=1,YU28&gt;0),300,0)-IF(AND($U28=1,'calcA'!DX$117=1,HW28=0),300,0))),1000000000))</f>
        <v/>
      </c>
      <c r="TA28">
        <f>IF($B28=0,1000000000,IF(INDEX('calcA'!$D$60:$EQ$99,$B28,126)*IF($W28=1,HW28+AEL28,HW28)=1,IF(AND($E28=2,IF($W28=1,AKA28,NL28)=0),1000000000,IF($V28=1,INDEX('calcA'!$D$130:$EQ$169,$B28,126)+IF(AND($E28=1,NL28=0),25,0),INDEX('calcA'!DY$110:DY$114,$F28+1)+IF(AND($E28=1,NL28=0),1000,0)+IF($H28=1,INDEX('calcA'!$D$180:$EQ$219,$B28,126)*500,0)-IF(AND('calcA'!DX$117=1,YV28&gt;0),300,0)-IF(AND($U28=1,'calcA'!DY$117=1,HX28=0),300,0))),1000000000))</f>
        <v/>
      </c>
      <c r="TB28">
        <f>IF($B28=0,1000000000,IF(INDEX('calcA'!$D$60:$EQ$99,$B28,127)*IF($W28=1,HX28+AEM28,HX28)=1,IF(AND($E28=2,IF($W28=1,AKB28,NM28)=0),1000000000,IF($V28=1,INDEX('calcA'!$D$130:$EQ$169,$B28,127)+IF(AND($E28=1,NM28=0),25,0),INDEX('calcA'!DZ$110:DZ$114,$F28+1)+IF(AND($E28=1,NM28=0),1000,0)+IF($H28=1,INDEX('calcA'!$D$180:$EQ$219,$B28,127)*500,0)-IF(AND('calcA'!DY$117=1,YW28&gt;0),300,0)-IF(AND($U28=1,'calcA'!DZ$117=1,HY28=0),300,0))),1000000000))</f>
        <v/>
      </c>
      <c r="TC28">
        <f>IF($B28=0,1000000000,IF(INDEX('calcA'!$D$60:$EQ$99,$B28,128)*IF($W28=1,HY28+AEN28,HY28)=1,IF(AND($E28=2,IF($W28=1,AKC28,NN28)=0),1000000000,IF($V28=1,INDEX('calcA'!$D$130:$EQ$169,$B28,128)+IF(AND($E28=1,NN28=0),25,0),INDEX('calcA'!EA$110:EA$114,$F28+1)+IF(AND($E28=1,NN28=0),1000,0)+IF($H28=1,INDEX('calcA'!$D$180:$EQ$219,$B28,128)*500,0)-IF(AND('calcA'!DZ$117=1,YX28&gt;0),300,0)-IF(AND($U28=1,'calcA'!EA$117=1,HZ28=0),300,0))),1000000000))</f>
        <v/>
      </c>
      <c r="TD28">
        <f>IF($B28=0,1000000000,IF(INDEX('calcA'!$D$60:$EQ$99,$B28,129)*IF($W28=1,HZ28+AEO28,HZ28)=1,IF(AND($E28=2,IF($W28=1,AKD28,NO28)=0),1000000000,IF($V28=1,INDEX('calcA'!$D$130:$EQ$169,$B28,129)+IF(AND($E28=1,NO28=0),25,0),INDEX('calcA'!EB$110:EB$114,$F28+1)+IF(AND($E28=1,NO28=0),1000,0)+IF($H28=1,INDEX('calcA'!$D$180:$EQ$219,$B28,129)*500,0)-IF(AND('calcA'!EA$117=1,YY28&gt;0),300,0)-IF(AND($U28=1,'calcA'!EB$117=1,IA28=0),300,0))),1000000000))</f>
        <v/>
      </c>
      <c r="TE28">
        <f>IF($B28=0,1000000000,IF(INDEX('calcA'!$D$60:$EQ$99,$B28,130)*IF($W28=1,IA28+AEP28,IA28)=1,IF(AND($E28=2,IF($W28=1,AKE28,NP28)=0),1000000000,IF($V28=1,INDEX('calcA'!$D$130:$EQ$169,$B28,130)+IF(AND($E28=1,NP28=0),25,0),INDEX('calcA'!EC$110:EC$114,$F28+1)+IF(AND($E28=1,NP28=0),1000,0)+IF($H28=1,INDEX('calcA'!$D$180:$EQ$219,$B28,130)*500,0)-IF(AND('calcA'!EB$117=1,YZ28&gt;0),300,0)-IF(AND($U28=1,'calcA'!EC$117=1,IB28=0),300,0))),1000000000))</f>
        <v/>
      </c>
      <c r="TF28">
        <f>IF($B28=0,1000000000,IF(INDEX('calcA'!$D$60:$EQ$99,$B28,131)*IF($W28=1,IB28+AEQ28,IB28)=1,IF(AND($E28=2,IF($W28=1,AKF28,NQ28)=0),1000000000,IF($V28=1,INDEX('calcA'!$D$130:$EQ$169,$B28,131)+IF(AND($E28=1,NQ28=0),25,0),INDEX('calcA'!ED$110:ED$114,$F28+1)+IF(AND($E28=1,NQ28=0),1000,0)+IF($H28=1,INDEX('calcA'!$D$180:$EQ$219,$B28,131)*500,0)-IF(AND('calcA'!EC$117=1,ZA28&gt;0),300,0)-IF(AND($U28=1,'calcA'!ED$117=1,IC28=0),300,0))),1000000000))</f>
        <v/>
      </c>
      <c r="TG28">
        <f>IF($B28=0,1000000000,IF(INDEX('calcA'!$D$60:$EQ$99,$B28,132)*IF($W28=1,IC28+AER28,IC28)=1,IF(AND($E28=2,IF($W28=1,AKG28,NR28)=0),1000000000,IF($V28=1,INDEX('calcA'!$D$130:$EQ$169,$B28,132)+IF(AND($E28=1,NR28=0),25,0),INDEX('calcA'!EE$110:EE$114,$F28+1)+IF(AND($E28=1,NR28=0),1000,0)+IF($H28=1,INDEX('calcA'!$D$180:$EQ$219,$B28,132)*500,0)-IF(AND('calcA'!ED$117=1,ZB28&gt;0),300,0)-IF(AND($U28=1,'calcA'!EE$117=1,ID28=0),300,0))),1000000000))</f>
        <v/>
      </c>
      <c r="TH28">
        <f>IF($B28=0,1000000000,IF(INDEX('calcA'!$D$60:$EQ$99,$B28,133)*IF($W28=1,ID28+AES28,ID28)=1,IF(AND($E28=2,IF($W28=1,AKH28,NS28)=0),1000000000,IF($V28=1,INDEX('calcA'!$D$130:$EQ$169,$B28,133)+IF(AND($E28=1,NS28=0),25,0),INDEX('calcA'!EF$110:EF$114,$F28+1)+IF(AND($E28=1,NS28=0),1000,0)+IF($H28=1,INDEX('calcA'!$D$180:$EQ$219,$B28,133)*500,0)-IF(AND('calcA'!EE$117=1,ZC28&gt;0),300,0)-IF(AND($U28=1,'calcA'!EF$117=1,IE28=0),300,0))),1000000000))</f>
        <v/>
      </c>
      <c r="TI28">
        <f>IF($B28=0,1000000000,IF(INDEX('calcA'!$D$60:$EQ$99,$B28,134)*IF($W28=1,IE28+AET28,IE28)=1,IF(AND($E28=2,IF($W28=1,AKI28,NT28)=0),1000000000,IF($V28=1,INDEX('calcA'!$D$130:$EQ$169,$B28,134)+IF(AND($E28=1,NT28=0),25,0),INDEX('calcA'!EG$110:EG$114,$F28+1)+IF(AND($E28=1,NT28=0),1000,0)+IF($H28=1,INDEX('calcA'!$D$180:$EQ$219,$B28,134)*500,0)-IF(AND('calcA'!EF$117=1,ZD28&gt;0),300,0)-IF(AND($U28=1,'calcA'!EG$117=1,IF28=0),300,0))),1000000000))</f>
        <v/>
      </c>
      <c r="TJ28">
        <f>IF($B28=0,1000000000,IF(INDEX('calcA'!$D$60:$EQ$99,$B28,135)*IF($W28=1,IF28+AEU28,IF28)=1,IF(AND($E28=2,IF($W28=1,AKJ28,NU28)=0),1000000000,IF($V28=1,INDEX('calcA'!$D$130:$EQ$169,$B28,135)+IF(AND($E28=1,NU28=0),25,0),INDEX('calcA'!EH$110:EH$114,$F28+1)+IF(AND($E28=1,NU28=0),1000,0)+IF($H28=1,INDEX('calcA'!$D$180:$EQ$219,$B28,135)*500,0)-IF(AND('calcA'!EG$117=1,ZE28&gt;0),300,0)-IF(AND($U28=1,'calcA'!EH$117=1,IG28=0),300,0))),1000000000))</f>
        <v/>
      </c>
      <c r="TK28">
        <f>IF($B28=0,1000000000,IF(INDEX('calcA'!$D$60:$EQ$99,$B28,136)*IF($W28=1,IG28+AEV28,IG28)=1,IF(AND($E28=2,IF($W28=1,AKK28,NV28)=0),1000000000,IF($V28=1,INDEX('calcA'!$D$130:$EQ$169,$B28,136)+IF(AND($E28=1,NV28=0),25,0),INDEX('calcA'!EI$110:EI$114,$F28+1)+IF(AND($E28=1,NV28=0),1000,0)+IF($H28=1,INDEX('calcA'!$D$180:$EQ$219,$B28,136)*500,0)-IF(AND('calcA'!EH$117=1,ZF28&gt;0),300,0)-IF(AND($U28=1,'calcA'!EI$117=1,IH28=0),300,0))),1000000000))</f>
        <v/>
      </c>
      <c r="TL28">
        <f>IF($B28=0,1000000000,IF(INDEX('calcA'!$D$60:$EQ$99,$B28,137)*IF($W28=1,IH28+AEW28,IH28)=1,IF(AND($E28=2,IF($W28=1,AKL28,NW28)=0),1000000000,IF($V28=1,INDEX('calcA'!$D$130:$EQ$169,$B28,137)+IF(AND($E28=1,NW28=0),25,0),INDEX('calcA'!EJ$110:EJ$114,$F28+1)+IF(AND($E28=1,NW28=0),1000,0)+IF($H28=1,INDEX('calcA'!$D$180:$EQ$219,$B28,137)*500,0)-IF(AND('calcA'!EI$117=1,ZG28&gt;0),300,0)-IF(AND($U28=1,'calcA'!EJ$117=1,II28=0),300,0))),1000000000))</f>
        <v/>
      </c>
      <c r="TM28">
        <f>IF($B28=0,1000000000,IF(INDEX('calcA'!$D$60:$EQ$99,$B28,138)*IF($W28=1,II28+AEX28,II28)=1,IF(AND($E28=2,IF($W28=1,AKM28,NX28)=0),1000000000,IF($V28=1,INDEX('calcA'!$D$130:$EQ$169,$B28,138)+IF(AND($E28=1,NX28=0),25,0),INDEX('calcA'!EK$110:EK$114,$F28+1)+IF(AND($E28=1,NX28=0),1000,0)+IF($H28=1,INDEX('calcA'!$D$180:$EQ$219,$B28,138)*500,0)-IF(AND('calcA'!EJ$117=1,ZH28&gt;0),300,0)-IF(AND($U28=1,'calcA'!EK$117=1,IJ28=0),300,0))),1000000000))</f>
        <v/>
      </c>
      <c r="TN28">
        <f>IF($B28=0,1000000000,IF(INDEX('calcA'!$D$60:$EQ$99,$B28,139)*IF($W28=1,IJ28+AEY28,IJ28)=1,IF(AND($E28=2,IF($W28=1,AKN28,NY28)=0),1000000000,IF($V28=1,INDEX('calcA'!$D$130:$EQ$169,$B28,139)+IF(AND($E28=1,NY28=0),25,0),INDEX('calcA'!EL$110:EL$114,$F28+1)+IF(AND($E28=1,NY28=0),1000,0)+IF($H28=1,INDEX('calcA'!$D$180:$EQ$219,$B28,139)*500,0)-IF(AND('calcA'!EK$117=1,ZI28&gt;0),300,0)-IF(AND($U28=1,'calcA'!EL$117=1,IK28=0),300,0))),1000000000))</f>
        <v/>
      </c>
      <c r="TO28">
        <f>IF($B28=0,1000000000,IF(INDEX('calcA'!$D$60:$EQ$99,$B28,140)*IF($W28=1,IK28+AEZ28,IK28)=1,IF(AND($E28=2,IF($W28=1,AKO28,NZ28)=0),1000000000,IF($V28=1,INDEX('calcA'!$D$130:$EQ$169,$B28,140)+IF(AND($E28=1,NZ28=0),25,0),INDEX('calcA'!EM$110:EM$114,$F28+1)+IF(AND($E28=1,NZ28=0),1000,0)+IF($H28=1,INDEX('calcA'!$D$180:$EQ$219,$B28,140)*500,0)-IF(AND('calcA'!EL$117=1,ZJ28&gt;0),300,0)-IF(AND($U28=1,'calcA'!EM$117=1,IL28=0),300,0))),1000000000))</f>
        <v/>
      </c>
      <c r="TP28">
        <f>IF($B28=0,1000000000,IF(INDEX('calcA'!$D$60:$EQ$99,$B28,141)*IF($W28=1,IL28+AFA28,IL28)=1,IF(AND($E28=2,IF($W28=1,AKP28,OA28)=0),1000000000,IF($V28=1,INDEX('calcA'!$D$130:$EQ$169,$B28,141)+IF(AND($E28=1,OA28=0),25,0),INDEX('calcA'!EN$110:EN$114,$F28+1)+IF(AND($E28=1,OA28=0),1000,0)+IF($H28=1,INDEX('calcA'!$D$180:$EQ$219,$B28,141)*500,0)-IF(AND('calcA'!EM$117=1,ZK28&gt;0),300,0)-IF(AND($U28=1,'calcA'!EN$117=1,IM28=0),300,0))),1000000000))</f>
        <v/>
      </c>
      <c r="TQ28">
        <f>IF($B28=0,1000000000,IF(INDEX('calcA'!$D$60:$EQ$99,$B28,142)*IF($W28=1,IM28+AFB28,IM28)=1,IF(AND($E28=2,IF($W28=1,AKQ28,OB28)=0),1000000000,IF($V28=1,INDEX('calcA'!$D$130:$EQ$169,$B28,142)+IF(AND($E28=1,OB28=0),25,0),INDEX('calcA'!EO$110:EO$114,$F28+1)+IF(AND($E28=1,OB28=0),1000,0)+IF($H28=1,INDEX('calcA'!$D$180:$EQ$219,$B28,142)*500,0)-IF(AND('calcA'!EN$117=1,ZL28&gt;0),300,0)-IF(AND($U28=1,'calcA'!EO$117=1,IN28=0),300,0))),1000000000))</f>
        <v/>
      </c>
      <c r="TR28">
        <f>IF($B28=0,1000000000,IF(INDEX('calcA'!$D$60:$EQ$99,$B28,143)*IF($W28=1,IN28+AFC28,IN28)=1,IF(AND($E28=2,IF($W28=1,AKR28,OC28)=0),1000000000,IF($V28=1,INDEX('calcA'!$D$130:$EQ$169,$B28,143)+IF(AND($E28=1,OC28=0),25,0),INDEX('calcA'!EP$110:EP$114,$F28+1)+IF(AND($E28=1,OC28=0),1000,0)+IF($H28=1,INDEX('calcA'!$D$180:$EQ$219,$B28,143)*500,0)-IF(AND('calcA'!EO$117=1,ZM28&gt;0),300,0)-IF(AND($U28=1,'calcA'!EP$117=1,IO28=0),300,0))),1000000000))</f>
        <v/>
      </c>
      <c r="TS28">
        <f>IF($B28=0,1000000000,IF(INDEX('calcA'!$D$60:$EQ$99,$B28,144)*IF($W28=1,IO28+AFD28,IO28)=1,IF(AND($E28=2,IF($W28=1,AKS28,OD28)=0),1000000000,IF($V28=1,INDEX('calcA'!$D$130:$EQ$169,$B28,144)+IF(AND($E28=1,OD28=0),25,0),INDEX('calcA'!EQ$110:EQ$114,$F28+1)+IF(AND($E28=1,OD28=0),1000,0)+IF($H28=1,INDEX('calcA'!$D$180:$EQ$219,$B28,144)*500,0)-IF(AND('calcA'!EP$117=1,ZN28&gt;0),300,0))),1000000000))</f>
        <v/>
      </c>
      <c r="UB28">
        <f>UB27+IF(AND($C27=1,$U27=1),1,0)</f>
        <v/>
      </c>
      <c r="UC28">
        <f>UC27+IF(AND($C27=2,$U27=1),1,0)</f>
        <v/>
      </c>
      <c r="UD28">
        <f>UD27+IF(AND($C27=3,$U27=1),1,0)</f>
        <v/>
      </c>
      <c r="UE28">
        <f>UE27+IF(AND($C27=4,$U27=1),1,0)</f>
        <v/>
      </c>
      <c r="UF28">
        <f>UF27+IF(AND($C27=5,$U27=1),1,0)</f>
        <v/>
      </c>
      <c r="UG28">
        <f>UG27+IF(AND($C27=6,$U27=1),1,0)</f>
        <v/>
      </c>
      <c r="UH28">
        <f>UH27+IF(AND($C27=7,$U27=1),1,0)</f>
        <v/>
      </c>
      <c r="UI28">
        <f>UI27+IF(AND($C27=8,$U27=1),1,0)</f>
        <v/>
      </c>
      <c r="UJ28">
        <f>UJ27+IF(AND($C27=9,$U27=1),1,0)</f>
        <v/>
      </c>
      <c r="UK28">
        <f>UK27+IF(AND($C27=10,$U27=1),1,0)</f>
        <v/>
      </c>
      <c r="UL28">
        <f>UL27+IF(AND($C27=11,$U27=1),1,0)</f>
        <v/>
      </c>
      <c r="UM28">
        <f>UM27+IF(AND($C27=12,$U27=1),1,0)</f>
        <v/>
      </c>
      <c r="UN28">
        <f>UN27+IF(AND($C27=13,$U27=1),1,0)</f>
        <v/>
      </c>
      <c r="UO28">
        <f>UO27+IF(AND($C27=14,$U27=1),1,0)</f>
        <v/>
      </c>
      <c r="UP28">
        <f>UP27+IF(AND($C27=15,$U27=1),1,0)</f>
        <v/>
      </c>
      <c r="UQ28">
        <f>UQ27+IF(AND($C27=16,$U27=1),1,0)</f>
        <v/>
      </c>
      <c r="UR28">
        <f>UR27+IF(AND($C27=17,$U27=1),1,0)</f>
        <v/>
      </c>
      <c r="US28">
        <f>US27+IF(AND($C27=18,$U27=1),1,0)</f>
        <v/>
      </c>
      <c r="UT28">
        <f>UT27+IF(AND($C27=19,$U27=1),1,0)</f>
        <v/>
      </c>
      <c r="UU28">
        <f>UU27+IF(AND($C27=20,$U27=1),1,0)</f>
        <v/>
      </c>
      <c r="UV28">
        <f>UV27+IF(AND($C27=21,$U27=1),1,0)</f>
        <v/>
      </c>
      <c r="UW28">
        <f>UW27+IF(AND($C27=22,$U27=1),1,0)</f>
        <v/>
      </c>
      <c r="UX28">
        <f>UX27+IF(AND($C27=23,$U27=1),1,0)</f>
        <v/>
      </c>
      <c r="UY28">
        <f>UY27+IF(AND($C27=24,$U27=1),1,0)</f>
        <v/>
      </c>
      <c r="UZ28">
        <f>UZ27+IF(AND($C27=25,$U27=1),1,0)</f>
        <v/>
      </c>
      <c r="VA28">
        <f>VA27+IF(AND($C27=26,$U27=1),1,0)</f>
        <v/>
      </c>
      <c r="VB28">
        <f>VB27+IF(AND($C27=27,$U27=1),1,0)</f>
        <v/>
      </c>
      <c r="VC28">
        <f>VC27+IF(AND($C27=28,$U27=1),1,0)</f>
        <v/>
      </c>
      <c r="VD28">
        <f>VD27+IF(AND($C27=29,$U27=1),1,0)</f>
        <v/>
      </c>
      <c r="VE28">
        <f>VE27+IF(AND($C27=30,$U27=1),1,0)</f>
        <v/>
      </c>
      <c r="VF28">
        <f>VF27+IF(AND($C27=31,$U27=1),1,0)</f>
        <v/>
      </c>
      <c r="VG28">
        <f>VG27+IF(AND($C27=32,$U27=1),1,0)</f>
        <v/>
      </c>
      <c r="VH28">
        <f>VH27+IF(AND($C27=33,$U27=1),1,0)</f>
        <v/>
      </c>
      <c r="VI28">
        <f>VI27+IF(AND($C27=34,$U27=1),1,0)</f>
        <v/>
      </c>
      <c r="VJ28">
        <f>VJ27+IF(AND($C27=35,$U27=1),1,0)</f>
        <v/>
      </c>
      <c r="VK28">
        <f>VK27+IF(AND($C27=36,$U27=1),1,0)</f>
        <v/>
      </c>
      <c r="VL28">
        <f>VL27+IF(AND($C27=37,$U27=1),1,0)</f>
        <v/>
      </c>
      <c r="VM28">
        <f>VM27+IF(AND($C27=38,$U27=1),1,0)</f>
        <v/>
      </c>
      <c r="VN28">
        <f>VN27+IF(AND($C27=39,$U27=1),1,0)</f>
        <v/>
      </c>
      <c r="VO28">
        <f>VO27+IF(AND($C27=40,$U27=1),1,0)</f>
        <v/>
      </c>
      <c r="VP28">
        <f>VP27+IF(AND($C27=41,$U27=1),1,0)</f>
        <v/>
      </c>
      <c r="VQ28">
        <f>VQ27+IF(AND($C27=42,$U27=1),1,0)</f>
        <v/>
      </c>
      <c r="VR28">
        <f>VR27+IF(AND($C27=43,$U27=1),1,0)</f>
        <v/>
      </c>
      <c r="VS28">
        <f>VS27+IF(AND($C27=44,$U27=1),1,0)</f>
        <v/>
      </c>
      <c r="VT28">
        <f>VT27+IF(AND($C27=45,$U27=1),1,0)</f>
        <v/>
      </c>
      <c r="VU28">
        <f>VU27+IF(AND($C27=46,$U27=1),1,0)</f>
        <v/>
      </c>
      <c r="VV28">
        <f>VV27+IF(AND($C27=47,$U27=1),1,0)</f>
        <v/>
      </c>
      <c r="VW28">
        <f>VW27+IF(AND($C27=48,$U27=1),1,0)</f>
        <v/>
      </c>
      <c r="VX28">
        <f>VX27+IF(AND($C27=49,$U27=1),1,0)</f>
        <v/>
      </c>
      <c r="VY28">
        <f>VY27+IF(AND($C27=50,$U27=1),1,0)</f>
        <v/>
      </c>
      <c r="VZ28">
        <f>VZ27+IF(AND($C27=51,$U27=1),1,0)</f>
        <v/>
      </c>
      <c r="WA28">
        <f>WA27+IF(AND($C27=52,$U27=1),1,0)</f>
        <v/>
      </c>
      <c r="WB28">
        <f>WB27+IF(AND($C27=53,$U27=1),1,0)</f>
        <v/>
      </c>
      <c r="WC28">
        <f>WC27+IF(AND($C27=54,$U27=1),1,0)</f>
        <v/>
      </c>
      <c r="WD28">
        <f>WD27+IF(AND($C27=55,$U27=1),1,0)</f>
        <v/>
      </c>
      <c r="WE28">
        <f>WE27+IF(AND($C27=56,$U27=1),1,0)</f>
        <v/>
      </c>
      <c r="WF28">
        <f>WF27+IF(AND($C27=57,$U27=1),1,0)</f>
        <v/>
      </c>
      <c r="WG28">
        <f>WG27+IF(AND($C27=58,$U27=1),1,0)</f>
        <v/>
      </c>
      <c r="WH28">
        <f>WH27+IF(AND($C27=59,$U27=1),1,0)</f>
        <v/>
      </c>
      <c r="WI28">
        <f>WI27+IF(AND($C27=60,$U27=1),1,0)</f>
        <v/>
      </c>
      <c r="WJ28">
        <f>WJ27+IF(AND($C27=61,$U27=1),1,0)</f>
        <v/>
      </c>
      <c r="WK28">
        <f>WK27+IF(AND($C27=62,$U27=1),1,0)</f>
        <v/>
      </c>
      <c r="WL28">
        <f>WL27+IF(AND($C27=63,$U27=1),1,0)</f>
        <v/>
      </c>
      <c r="WM28">
        <f>WM27+IF(AND($C27=64,$U27=1),1,0)</f>
        <v/>
      </c>
      <c r="WN28">
        <f>WN27+IF(AND($C27=65,$U27=1),1,0)</f>
        <v/>
      </c>
      <c r="WO28">
        <f>WO27+IF(AND($C27=66,$U27=1),1,0)</f>
        <v/>
      </c>
      <c r="WP28">
        <f>WP27+IF(AND($C27=67,$U27=1),1,0)</f>
        <v/>
      </c>
      <c r="WQ28">
        <f>WQ27+IF(AND($C27=68,$U27=1),1,0)</f>
        <v/>
      </c>
      <c r="WR28">
        <f>WR27+IF(AND($C27=69,$U27=1),1,0)</f>
        <v/>
      </c>
      <c r="WS28">
        <f>WS27+IF(AND($C27=70,$U27=1),1,0)</f>
        <v/>
      </c>
      <c r="WT28">
        <f>WT27+IF(AND($C27=71,$U27=1),1,0)</f>
        <v/>
      </c>
      <c r="WU28">
        <f>WU27+IF(AND($C27=72,$U27=1),1,0)</f>
        <v/>
      </c>
      <c r="WV28">
        <f>WV27+IF(AND($C27=73,$U27=1),1,0)</f>
        <v/>
      </c>
      <c r="WW28">
        <f>WW27+IF(AND($C27=74,$U27=1),1,0)</f>
        <v/>
      </c>
      <c r="WX28">
        <f>WX27+IF(AND($C27=75,$U27=1),1,0)</f>
        <v/>
      </c>
      <c r="WY28">
        <f>WY27+IF(AND($C27=76,$U27=1),1,0)</f>
        <v/>
      </c>
      <c r="WZ28">
        <f>WZ27+IF(AND($C27=77,$U27=1),1,0)</f>
        <v/>
      </c>
      <c r="XA28">
        <f>XA27+IF(AND($C27=78,$U27=1),1,0)</f>
        <v/>
      </c>
      <c r="XB28">
        <f>XB27+IF(AND($C27=79,$U27=1),1,0)</f>
        <v/>
      </c>
      <c r="XC28">
        <f>XC27+IF(AND($C27=80,$U27=1),1,0)</f>
        <v/>
      </c>
      <c r="XD28">
        <f>XD27+IF(AND($C27=81,$U27=1),1,0)</f>
        <v/>
      </c>
      <c r="XE28">
        <f>XE27+IF(AND($C27=82,$U27=1),1,0)</f>
        <v/>
      </c>
      <c r="XF28">
        <f>XF27+IF(AND($C27=83,$U27=1),1,0)</f>
        <v/>
      </c>
      <c r="XG28">
        <f>XG27+IF(AND($C27=84,$U27=1),1,0)</f>
        <v/>
      </c>
      <c r="XH28">
        <f>XH27+IF(AND($C27=85,$U27=1),1,0)</f>
        <v/>
      </c>
      <c r="XI28">
        <f>XI27+IF(AND($C27=86,$U27=1),1,0)</f>
        <v/>
      </c>
      <c r="XJ28">
        <f>XJ27+IF(AND($C27=87,$U27=1),1,0)</f>
        <v/>
      </c>
      <c r="XK28">
        <f>XK27+IF(AND($C27=88,$U27=1),1,0)</f>
        <v/>
      </c>
      <c r="XL28">
        <f>XL27+IF(AND($C27=89,$U27=1),1,0)</f>
        <v/>
      </c>
      <c r="XM28">
        <f>XM27+IF(AND($C27=90,$U27=1),1,0)</f>
        <v/>
      </c>
      <c r="XN28">
        <f>XN27+IF(AND($C27=91,$U27=1),1,0)</f>
        <v/>
      </c>
      <c r="XO28">
        <f>XO27+IF(AND($C27=92,$U27=1),1,0)</f>
        <v/>
      </c>
      <c r="XP28">
        <f>XP27+IF(AND($C27=93,$U27=1),1,0)</f>
        <v/>
      </c>
      <c r="XQ28">
        <f>XQ27+IF(AND($C27=94,$U27=1),1,0)</f>
        <v/>
      </c>
      <c r="XR28">
        <f>XR27+IF(AND($C27=95,$U27=1),1,0)</f>
        <v/>
      </c>
      <c r="XS28">
        <f>XS27+IF(AND($C27=96,$U27=1),1,0)</f>
        <v/>
      </c>
      <c r="XT28">
        <f>XT27+IF(AND($C27=97,$U27=1),1,0)</f>
        <v/>
      </c>
      <c r="XU28">
        <f>XU27+IF(AND($C27=98,$U27=1),1,0)</f>
        <v/>
      </c>
      <c r="XV28">
        <f>XV27+IF(AND($C27=99,$U27=1),1,0)</f>
        <v/>
      </c>
      <c r="XW28">
        <f>XW27+IF(AND($C27=100,$U27=1),1,0)</f>
        <v/>
      </c>
      <c r="XX28">
        <f>XX27+IF(AND($C27=101,$U27=1),1,0)</f>
        <v/>
      </c>
      <c r="XY28">
        <f>XY27+IF(AND($C27=102,$U27=1),1,0)</f>
        <v/>
      </c>
      <c r="XZ28">
        <f>XZ27+IF(AND($C27=103,$U27=1),1,0)</f>
        <v/>
      </c>
      <c r="YA28">
        <f>YA27+IF(AND($C27=104,$U27=1),1,0)</f>
        <v/>
      </c>
      <c r="YB28">
        <f>YB27+IF(AND($C27=105,$U27=1),1,0)</f>
        <v/>
      </c>
      <c r="YC28">
        <f>YC27+IF(AND($C27=106,$U27=1),1,0)</f>
        <v/>
      </c>
      <c r="YD28">
        <f>YD27+IF(AND($C27=107,$U27=1),1,0)</f>
        <v/>
      </c>
      <c r="YE28">
        <f>YE27+IF(AND($C27=108,$U27=1),1,0)</f>
        <v/>
      </c>
      <c r="YF28">
        <f>YF27+IF(AND($C27=109,$U27=1),1,0)</f>
        <v/>
      </c>
      <c r="YG28">
        <f>YG27+IF(AND($C27=110,$U27=1),1,0)</f>
        <v/>
      </c>
      <c r="YH28">
        <f>YH27+IF(AND($C27=111,$U27=1),1,0)</f>
        <v/>
      </c>
      <c r="YI28">
        <f>YI27+IF(AND($C27=112,$U27=1),1,0)</f>
        <v/>
      </c>
      <c r="YJ28">
        <f>YJ27+IF(AND($C27=113,$U27=1),1,0)</f>
        <v/>
      </c>
      <c r="YK28">
        <f>YK27+IF(AND($C27=114,$U27=1),1,0)</f>
        <v/>
      </c>
      <c r="YL28">
        <f>YL27+IF(AND($C27=115,$U27=1),1,0)</f>
        <v/>
      </c>
      <c r="YM28">
        <f>YM27+IF(AND($C27=116,$U27=1),1,0)</f>
        <v/>
      </c>
      <c r="YN28">
        <f>YN27+IF(AND($C27=117,$U27=1),1,0)</f>
        <v/>
      </c>
      <c r="YO28">
        <f>YO27+IF(AND($C27=118,$U27=1),1,0)</f>
        <v/>
      </c>
      <c r="YP28">
        <f>YP27+IF(AND($C27=119,$U27=1),1,0)</f>
        <v/>
      </c>
      <c r="YQ28">
        <f>YQ27+IF(AND($C27=120,$U27=1),1,0)</f>
        <v/>
      </c>
      <c r="YR28">
        <f>YR27+IF(AND($C27=121,$U27=1),1,0)</f>
        <v/>
      </c>
      <c r="YS28">
        <f>YS27+IF(AND($C27=122,$U27=1),1,0)</f>
        <v/>
      </c>
      <c r="YT28">
        <f>YT27+IF(AND($C27=123,$U27=1),1,0)</f>
        <v/>
      </c>
      <c r="YU28">
        <f>YU27+IF(AND($C27=124,$U27=1),1,0)</f>
        <v/>
      </c>
      <c r="YV28">
        <f>YV27+IF(AND($C27=125,$U27=1),1,0)</f>
        <v/>
      </c>
      <c r="YW28">
        <f>YW27+IF(AND($C27=126,$U27=1),1,0)</f>
        <v/>
      </c>
      <c r="YX28">
        <f>YX27+IF(AND($C27=127,$U27=1),1,0)</f>
        <v/>
      </c>
      <c r="YY28">
        <f>YY27+IF(AND($C27=128,$U27=1),1,0)</f>
        <v/>
      </c>
      <c r="YZ28">
        <f>YZ27+IF(AND($C27=129,$U27=1),1,0)</f>
        <v/>
      </c>
      <c r="ZA28">
        <f>ZA27+IF(AND($C27=130,$U27=1),1,0)</f>
        <v/>
      </c>
      <c r="ZB28">
        <f>ZB27+IF(AND($C27=131,$U27=1),1,0)</f>
        <v/>
      </c>
      <c r="ZC28">
        <f>ZC27+IF(AND($C27=132,$U27=1),1,0)</f>
        <v/>
      </c>
      <c r="ZD28">
        <f>ZD27+IF(AND($C27=133,$U27=1),1,0)</f>
        <v/>
      </c>
      <c r="ZE28">
        <f>ZE27+IF(AND($C27=134,$U27=1),1,0)</f>
        <v/>
      </c>
      <c r="ZF28">
        <f>ZF27+IF(AND($C27=135,$U27=1),1,0)</f>
        <v/>
      </c>
      <c r="ZG28">
        <f>ZG27+IF(AND($C27=136,$U27=1),1,0)</f>
        <v/>
      </c>
      <c r="ZH28">
        <f>ZH27+IF(AND($C27=137,$U27=1),1,0)</f>
        <v/>
      </c>
      <c r="ZI28">
        <f>ZI27+IF(AND($C27=138,$U27=1),1,0)</f>
        <v/>
      </c>
      <c r="ZJ28">
        <f>ZJ27+IF(AND($C27=139,$U27=1),1,0)</f>
        <v/>
      </c>
      <c r="ZK28">
        <f>ZK27+IF(AND($C27=140,$U27=1),1,0)</f>
        <v/>
      </c>
      <c r="ZL28">
        <f>ZL27+IF(AND($C27=141,$U27=1),1,0)</f>
        <v/>
      </c>
      <c r="ZM28">
        <f>ZM27+IF(AND($C27=142,$U27=1),1,0)</f>
        <v/>
      </c>
      <c r="ZN28">
        <f>ZN27+IF(AND($C27=143,$U27=1),1,0)</f>
        <v/>
      </c>
      <c r="ZO28">
        <f>ZO27+IF(AND($C27=144,$U27=1),1,0)</f>
        <v/>
      </c>
      <c r="ZQ28">
        <f>IF($C27=1,0,ZQ27+IF(AND($G27=1,$E27=1),1,0))</f>
        <v/>
      </c>
      <c r="ZR28">
        <f>IF($C27=2,0,ZR27+IF(AND($G27=2,$E27=1),1,0))</f>
        <v/>
      </c>
      <c r="ZS28">
        <f>IF($C27=3,0,ZS27+IF(AND($G27=3,$E27=1),1,0))</f>
        <v/>
      </c>
      <c r="ZT28">
        <f>IF($C27=4,0,ZT27+IF(AND($G27=4,$E27=1),1,0))</f>
        <v/>
      </c>
      <c r="ZU28">
        <f>IF($C27=5,0,ZU27+IF(AND($G27=5,$E27=1),1,0))</f>
        <v/>
      </c>
      <c r="ZV28">
        <f>IF($C27=6,0,ZV27+IF(AND($G27=6,$E27=1),1,0))</f>
        <v/>
      </c>
      <c r="ZW28">
        <f>IF($C27=7,0,ZW27+IF(AND($G27=7,$E27=1),1,0))</f>
        <v/>
      </c>
      <c r="ZX28">
        <f>IF($C27=8,0,ZX27+IF(AND($G27=8,$E27=1),1,0))</f>
        <v/>
      </c>
      <c r="ZY28">
        <f>IF($C27=9,0,ZY27+IF(AND($G27=9,$E27=1),1,0))</f>
        <v/>
      </c>
      <c r="ZZ28">
        <f>IF($C27=10,0,ZZ27+IF(AND($G27=10,$E27=1),1,0))</f>
        <v/>
      </c>
      <c r="AAA28">
        <f>IF($C27=11,0,AAA27+IF(AND($G27=11,$E27=1),1,0))</f>
        <v/>
      </c>
      <c r="AAB28">
        <f>IF($C27=12,0,AAB27+IF(AND($G27=12,$E27=1),1,0))</f>
        <v/>
      </c>
      <c r="AAC28">
        <f>IF($C27=13,0,AAC27+IF(AND($G27=13,$E27=1),1,0))</f>
        <v/>
      </c>
      <c r="AAD28">
        <f>IF($C27=14,0,AAD27+IF(AND($G27=14,$E27=1),1,0))</f>
        <v/>
      </c>
      <c r="AAE28">
        <f>IF($C27=15,0,AAE27+IF(AND($G27=15,$E27=1),1,0))</f>
        <v/>
      </c>
      <c r="AAF28">
        <f>IF($C27=16,0,AAF27+IF(AND($G27=16,$E27=1),1,0))</f>
        <v/>
      </c>
      <c r="AAG28">
        <f>IF($C27=17,0,AAG27+IF(AND($G27=17,$E27=1),1,0))</f>
        <v/>
      </c>
      <c r="AAH28">
        <f>IF($C27=18,0,AAH27+IF(AND($G27=18,$E27=1),1,0))</f>
        <v/>
      </c>
      <c r="AAI28">
        <f>IF($C27=19,0,AAI27+IF(AND($G27=19,$E27=1),1,0))</f>
        <v/>
      </c>
      <c r="AAJ28">
        <f>IF($C27=20,0,AAJ27+IF(AND($G27=20,$E27=1),1,0))</f>
        <v/>
      </c>
      <c r="AAK28">
        <f>IF($C27=21,0,AAK27+IF(AND($G27=21,$E27=1),1,0))</f>
        <v/>
      </c>
      <c r="AAL28">
        <f>IF($C27=22,0,AAL27+IF(AND($G27=22,$E27=1),1,0))</f>
        <v/>
      </c>
      <c r="AAM28">
        <f>IF($C27=23,0,AAM27+IF(AND($G27=23,$E27=1),1,0))</f>
        <v/>
      </c>
      <c r="AAN28">
        <f>IF($C27=24,0,AAN27+IF(AND($G27=24,$E27=1),1,0))</f>
        <v/>
      </c>
      <c r="AAO28">
        <f>IF($C27=25,0,AAO27+IF(AND($G27=25,$E27=1),1,0))</f>
        <v/>
      </c>
      <c r="AAP28">
        <f>IF($C27=26,0,AAP27+IF(AND($G27=26,$E27=1),1,0))</f>
        <v/>
      </c>
      <c r="AAQ28">
        <f>IF($C27=27,0,AAQ27+IF(AND($G27=27,$E27=1),1,0))</f>
        <v/>
      </c>
      <c r="AAR28">
        <f>IF($C27=28,0,AAR27+IF(AND($G27=28,$E27=1),1,0))</f>
        <v/>
      </c>
      <c r="AAS28">
        <f>IF($C27=29,0,AAS27+IF(AND($G27=29,$E27=1),1,0))</f>
        <v/>
      </c>
      <c r="AAT28">
        <f>IF($C27=30,0,AAT27+IF(AND($G27=30,$E27=1),1,0))</f>
        <v/>
      </c>
      <c r="AAU28">
        <f>IF($C27=31,0,AAU27+IF(AND($G27=31,$E27=1),1,0))</f>
        <v/>
      </c>
      <c r="AAV28">
        <f>IF($C27=32,0,AAV27+IF(AND($G27=32,$E27=1),1,0))</f>
        <v/>
      </c>
      <c r="AAW28">
        <f>IF($C27=33,0,AAW27+IF(AND($G27=33,$E27=1),1,0))</f>
        <v/>
      </c>
      <c r="AAX28">
        <f>IF($C27=34,0,AAX27+IF(AND($G27=34,$E27=1),1,0))</f>
        <v/>
      </c>
      <c r="AAY28">
        <f>IF($C27=35,0,AAY27+IF(AND($G27=35,$E27=1),1,0))</f>
        <v/>
      </c>
      <c r="AAZ28">
        <f>IF($C27=36,0,AAZ27+IF(AND($G27=36,$E27=1),1,0))</f>
        <v/>
      </c>
      <c r="ABA28">
        <f>IF($C27=37,0,ABA27+IF(AND($G27=37,$E27=1),1,0))</f>
        <v/>
      </c>
      <c r="ABB28">
        <f>IF($C27=38,0,ABB27+IF(AND($G27=38,$E27=1),1,0))</f>
        <v/>
      </c>
      <c r="ABC28">
        <f>IF($C27=39,0,ABC27+IF(AND($G27=39,$E27=1),1,0))</f>
        <v/>
      </c>
      <c r="ABD28">
        <f>IF($C27=40,0,ABD27+IF(AND($G27=40,$E27=1),1,0))</f>
        <v/>
      </c>
      <c r="ABE28">
        <f>IF($C27=41,0,ABE27+IF(AND($G27=41,$E27=1),1,0))</f>
        <v/>
      </c>
      <c r="ABF28">
        <f>IF($C27=42,0,ABF27+IF(AND($G27=42,$E27=1),1,0))</f>
        <v/>
      </c>
      <c r="ABG28">
        <f>IF($C27=43,0,ABG27+IF(AND($G27=43,$E27=1),1,0))</f>
        <v/>
      </c>
      <c r="ABH28">
        <f>IF($C27=44,0,ABH27+IF(AND($G27=44,$E27=1),1,0))</f>
        <v/>
      </c>
      <c r="ABI28">
        <f>IF($C27=45,0,ABI27+IF(AND($G27=45,$E27=1),1,0))</f>
        <v/>
      </c>
      <c r="ABJ28">
        <f>IF($C27=46,0,ABJ27+IF(AND($G27=46,$E27=1),1,0))</f>
        <v/>
      </c>
      <c r="ABK28">
        <f>IF($C27=47,0,ABK27+IF(AND($G27=47,$E27=1),1,0))</f>
        <v/>
      </c>
      <c r="ABL28">
        <f>IF($C27=48,0,ABL27+IF(AND($G27=48,$E27=1),1,0))</f>
        <v/>
      </c>
      <c r="ABM28">
        <f>IF($C27=49,0,ABM27+IF(AND($G27=49,$E27=1),1,0))</f>
        <v/>
      </c>
      <c r="ABN28">
        <f>IF($C27=50,0,ABN27+IF(AND($G27=50,$E27=1),1,0))</f>
        <v/>
      </c>
      <c r="ABO28">
        <f>IF($C27=51,0,ABO27+IF(AND($G27=51,$E27=1),1,0))</f>
        <v/>
      </c>
      <c r="ABP28">
        <f>IF($C27=52,0,ABP27+IF(AND($G27=52,$E27=1),1,0))</f>
        <v/>
      </c>
      <c r="ABQ28">
        <f>IF($C27=53,0,ABQ27+IF(AND($G27=53,$E27=1),1,0))</f>
        <v/>
      </c>
      <c r="ABR28">
        <f>IF($C27=54,0,ABR27+IF(AND($G27=54,$E27=1),1,0))</f>
        <v/>
      </c>
      <c r="ABS28">
        <f>IF($C27=55,0,ABS27+IF(AND($G27=55,$E27=1),1,0))</f>
        <v/>
      </c>
      <c r="ABT28">
        <f>IF($C27=56,0,ABT27+IF(AND($G27=56,$E27=1),1,0))</f>
        <v/>
      </c>
      <c r="ABU28">
        <f>IF($C27=57,0,ABU27+IF(AND($G27=57,$E27=1),1,0))</f>
        <v/>
      </c>
      <c r="ABV28">
        <f>IF($C27=58,0,ABV27+IF(AND($G27=58,$E27=1),1,0))</f>
        <v/>
      </c>
      <c r="ABW28">
        <f>IF($C27=59,0,ABW27+IF(AND($G27=59,$E27=1),1,0))</f>
        <v/>
      </c>
      <c r="ABX28">
        <f>IF($C27=60,0,ABX27+IF(AND($G27=60,$E27=1),1,0))</f>
        <v/>
      </c>
      <c r="ABY28">
        <f>IF($C27=61,0,ABY27+IF(AND($G27=61,$E27=1),1,0))</f>
        <v/>
      </c>
      <c r="ABZ28">
        <f>IF($C27=62,0,ABZ27+IF(AND($G27=62,$E27=1),1,0))</f>
        <v/>
      </c>
      <c r="ACA28">
        <f>IF($C27=63,0,ACA27+IF(AND($G27=63,$E27=1),1,0))</f>
        <v/>
      </c>
      <c r="ACB28">
        <f>IF($C27=64,0,ACB27+IF(AND($G27=64,$E27=1),1,0))</f>
        <v/>
      </c>
      <c r="ACC28">
        <f>IF($C27=65,0,ACC27+IF(AND($G27=65,$E27=1),1,0))</f>
        <v/>
      </c>
      <c r="ACD28">
        <f>IF($C27=66,0,ACD27+IF(AND($G27=66,$E27=1),1,0))</f>
        <v/>
      </c>
      <c r="ACE28">
        <f>IF($C27=67,0,ACE27+IF(AND($G27=67,$E27=1),1,0))</f>
        <v/>
      </c>
      <c r="ACF28">
        <f>IF($C27=68,0,ACF27+IF(AND($G27=68,$E27=1),1,0))</f>
        <v/>
      </c>
      <c r="ACG28">
        <f>IF($C27=69,0,ACG27+IF(AND($G27=69,$E27=1),1,0))</f>
        <v/>
      </c>
      <c r="ACH28">
        <f>IF($C27=70,0,ACH27+IF(AND($G27=70,$E27=1),1,0))</f>
        <v/>
      </c>
      <c r="ACI28">
        <f>IF($C27=71,0,ACI27+IF(AND($G27=71,$E27=1),1,0))</f>
        <v/>
      </c>
      <c r="ACJ28">
        <f>IF($C27=72,0,ACJ27+IF(AND($G27=72,$E27=1),1,0))</f>
        <v/>
      </c>
      <c r="ACK28">
        <f>IF($C27=73,0,ACK27+IF(AND($G27=73,$E27=1),1,0))</f>
        <v/>
      </c>
      <c r="ACL28">
        <f>IF($C27=74,0,ACL27+IF(AND($G27=74,$E27=1),1,0))</f>
        <v/>
      </c>
      <c r="ACM28">
        <f>IF($C27=75,0,ACM27+IF(AND($G27=75,$E27=1),1,0))</f>
        <v/>
      </c>
      <c r="ACN28">
        <f>IF($C27=76,0,ACN27+IF(AND($G27=76,$E27=1),1,0))</f>
        <v/>
      </c>
      <c r="ACO28">
        <f>IF($C27=77,0,ACO27+IF(AND($G27=77,$E27=1),1,0))</f>
        <v/>
      </c>
      <c r="ACP28">
        <f>IF($C27=78,0,ACP27+IF(AND($G27=78,$E27=1),1,0))</f>
        <v/>
      </c>
      <c r="ACQ28">
        <f>IF($C27=79,0,ACQ27+IF(AND($G27=79,$E27=1),1,0))</f>
        <v/>
      </c>
      <c r="ACR28">
        <f>IF($C27=80,0,ACR27+IF(AND($G27=80,$E27=1),1,0))</f>
        <v/>
      </c>
      <c r="ACS28">
        <f>IF($C27=81,0,ACS27+IF(AND($G27=81,$E27=1),1,0))</f>
        <v/>
      </c>
      <c r="ACT28">
        <f>IF($C27=82,0,ACT27+IF(AND($G27=82,$E27=1),1,0))</f>
        <v/>
      </c>
      <c r="ACU28">
        <f>IF($C27=83,0,ACU27+IF(AND($G27=83,$E27=1),1,0))</f>
        <v/>
      </c>
      <c r="ACV28">
        <f>IF($C27=84,0,ACV27+IF(AND($G27=84,$E27=1),1,0))</f>
        <v/>
      </c>
      <c r="ACW28">
        <f>IF($C27=85,0,ACW27+IF(AND($G27=85,$E27=1),1,0))</f>
        <v/>
      </c>
      <c r="ACX28">
        <f>IF($C27=86,0,ACX27+IF(AND($G27=86,$E27=1),1,0))</f>
        <v/>
      </c>
      <c r="ACY28">
        <f>IF($C27=87,0,ACY27+IF(AND($G27=87,$E27=1),1,0))</f>
        <v/>
      </c>
      <c r="ACZ28">
        <f>IF($C27=88,0,ACZ27+IF(AND($G27=88,$E27=1),1,0))</f>
        <v/>
      </c>
      <c r="ADA28">
        <f>IF($C27=89,0,ADA27+IF(AND($G27=89,$E27=1),1,0))</f>
        <v/>
      </c>
      <c r="ADB28">
        <f>IF($C27=90,0,ADB27+IF(AND($G27=90,$E27=1),1,0))</f>
        <v/>
      </c>
      <c r="ADC28">
        <f>IF($C27=91,0,ADC27+IF(AND($G27=91,$E27=1),1,0))</f>
        <v/>
      </c>
      <c r="ADD28">
        <f>IF($C27=92,0,ADD27+IF(AND($G27=92,$E27=1),1,0))</f>
        <v/>
      </c>
      <c r="ADE28">
        <f>IF($C27=93,0,ADE27+IF(AND($G27=93,$E27=1),1,0))</f>
        <v/>
      </c>
      <c r="ADF28">
        <f>IF($C27=94,0,ADF27+IF(AND($G27=94,$E27=1),1,0))</f>
        <v/>
      </c>
      <c r="ADG28">
        <f>IF($C27=95,0,ADG27+IF(AND($G27=95,$E27=1),1,0))</f>
        <v/>
      </c>
      <c r="ADH28">
        <f>IF($C27=96,0,ADH27+IF(AND($G27=96,$E27=1),1,0))</f>
        <v/>
      </c>
      <c r="ADI28">
        <f>IF($C27=97,0,ADI27+IF(AND($G27=97,$E27=1),1,0))</f>
        <v/>
      </c>
      <c r="ADJ28">
        <f>IF($C27=98,0,ADJ27+IF(AND($G27=98,$E27=1),1,0))</f>
        <v/>
      </c>
      <c r="ADK28">
        <f>IF($C27=99,0,ADK27+IF(AND($G27=99,$E27=1),1,0))</f>
        <v/>
      </c>
      <c r="ADL28">
        <f>IF($C27=100,0,ADL27+IF(AND($G27=100,$E27=1),1,0))</f>
        <v/>
      </c>
      <c r="ADM28">
        <f>IF($C27=101,0,ADM27+IF(AND($G27=101,$E27=1),1,0))</f>
        <v/>
      </c>
      <c r="ADN28">
        <f>IF($C27=102,0,ADN27+IF(AND($G27=102,$E27=1),1,0))</f>
        <v/>
      </c>
      <c r="ADO28">
        <f>IF($C27=103,0,ADO27+IF(AND($G27=103,$E27=1),1,0))</f>
        <v/>
      </c>
      <c r="ADP28">
        <f>IF($C27=104,0,ADP27+IF(AND($G27=104,$E27=1),1,0))</f>
        <v/>
      </c>
      <c r="ADQ28">
        <f>IF($C27=105,0,ADQ27+IF(AND($G27=105,$E27=1),1,0))</f>
        <v/>
      </c>
      <c r="ADR28">
        <f>IF($C27=106,0,ADR27+IF(AND($G27=106,$E27=1),1,0))</f>
        <v/>
      </c>
      <c r="ADS28">
        <f>IF($C27=107,0,ADS27+IF(AND($G27=107,$E27=1),1,0))</f>
        <v/>
      </c>
      <c r="ADT28">
        <f>IF($C27=108,0,ADT27+IF(AND($G27=108,$E27=1),1,0))</f>
        <v/>
      </c>
      <c r="ADU28">
        <f>IF($C27=109,0,ADU27+IF(AND($G27=109,$E27=1),1,0))</f>
        <v/>
      </c>
      <c r="ADV28">
        <f>IF($C27=110,0,ADV27+IF(AND($G27=110,$E27=1),1,0))</f>
        <v/>
      </c>
      <c r="ADW28">
        <f>IF($C27=111,0,ADW27+IF(AND($G27=111,$E27=1),1,0))</f>
        <v/>
      </c>
      <c r="ADX28">
        <f>IF($C27=112,0,ADX27+IF(AND($G27=112,$E27=1),1,0))</f>
        <v/>
      </c>
      <c r="ADY28">
        <f>IF($C27=113,0,ADY27+IF(AND($G27=113,$E27=1),1,0))</f>
        <v/>
      </c>
      <c r="ADZ28">
        <f>IF($C27=114,0,ADZ27+IF(AND($G27=114,$E27=1),1,0))</f>
        <v/>
      </c>
      <c r="AEA28">
        <f>IF($C27=115,0,AEA27+IF(AND($G27=115,$E27=1),1,0))</f>
        <v/>
      </c>
      <c r="AEB28">
        <f>IF($C27=116,0,AEB27+IF(AND($G27=116,$E27=1),1,0))</f>
        <v/>
      </c>
      <c r="AEC28">
        <f>IF($C27=117,0,AEC27+IF(AND($G27=117,$E27=1),1,0))</f>
        <v/>
      </c>
      <c r="AED28">
        <f>IF($C27=118,0,AED27+IF(AND($G27=118,$E27=1),1,0))</f>
        <v/>
      </c>
      <c r="AEE28">
        <f>IF($C27=119,0,AEE27+IF(AND($G27=119,$E27=1),1,0))</f>
        <v/>
      </c>
      <c r="AEF28">
        <f>IF($C27=120,0,AEF27+IF(AND($G27=120,$E27=1),1,0))</f>
        <v/>
      </c>
      <c r="AEG28">
        <f>IF($C27=121,0,AEG27+IF(AND($G27=121,$E27=1),1,0))</f>
        <v/>
      </c>
      <c r="AEH28">
        <f>IF($C27=122,0,AEH27+IF(AND($G27=122,$E27=1),1,0))</f>
        <v/>
      </c>
      <c r="AEI28">
        <f>IF($C27=123,0,AEI27+IF(AND($G27=123,$E27=1),1,0))</f>
        <v/>
      </c>
      <c r="AEJ28">
        <f>IF($C27=124,0,AEJ27+IF(AND($G27=124,$E27=1),1,0))</f>
        <v/>
      </c>
      <c r="AEK28">
        <f>IF($C27=125,0,AEK27+IF(AND($G27=125,$E27=1),1,0))</f>
        <v/>
      </c>
      <c r="AEL28">
        <f>IF($C27=126,0,AEL27+IF(AND($G27=126,$E27=1),1,0))</f>
        <v/>
      </c>
      <c r="AEM28">
        <f>IF($C27=127,0,AEM27+IF(AND($G27=127,$E27=1),1,0))</f>
        <v/>
      </c>
      <c r="AEN28">
        <f>IF($C27=128,0,AEN27+IF(AND($G27=128,$E27=1),1,0))</f>
        <v/>
      </c>
      <c r="AEO28">
        <f>IF($C27=129,0,AEO27+IF(AND($G27=129,$E27=1),1,0))</f>
        <v/>
      </c>
      <c r="AEP28">
        <f>IF($C27=130,0,AEP27+IF(AND($G27=130,$E27=1),1,0))</f>
        <v/>
      </c>
      <c r="AEQ28">
        <f>IF($C27=131,0,AEQ27+IF(AND($G27=131,$E27=1),1,0))</f>
        <v/>
      </c>
      <c r="AER28">
        <f>IF($C27=132,0,AER27+IF(AND($G27=132,$E27=1),1,0))</f>
        <v/>
      </c>
      <c r="AES28">
        <f>IF($C27=133,0,AES27+IF(AND($G27=133,$E27=1),1,0))</f>
        <v/>
      </c>
      <c r="AET28">
        <f>IF($C27=134,0,AET27+IF(AND($G27=134,$E27=1),1,0))</f>
        <v/>
      </c>
      <c r="AEU28">
        <f>IF($C27=135,0,AEU27+IF(AND($G27=135,$E27=1),1,0))</f>
        <v/>
      </c>
      <c r="AEV28">
        <f>IF($C27=136,0,AEV27+IF(AND($G27=136,$E27=1),1,0))</f>
        <v/>
      </c>
      <c r="AEW28">
        <f>IF($C27=137,0,AEW27+IF(AND($G27=137,$E27=1),1,0))</f>
        <v/>
      </c>
      <c r="AEX28">
        <f>IF($C27=138,0,AEX27+IF(AND($G27=138,$E27=1),1,0))</f>
        <v/>
      </c>
      <c r="AEY28">
        <f>IF($C27=139,0,AEY27+IF(AND($G27=139,$E27=1),1,0))</f>
        <v/>
      </c>
      <c r="AEZ28">
        <f>IF($C27=140,0,AEZ27+IF(AND($G27=140,$E27=1),1,0))</f>
        <v/>
      </c>
      <c r="AFA28">
        <f>IF($C27=141,0,AFA27+IF(AND($G27=141,$E27=1),1,0))</f>
        <v/>
      </c>
      <c r="AFB28">
        <f>IF($C27=142,0,AFB27+IF(AND($G27=142,$E27=1),1,0))</f>
        <v/>
      </c>
      <c r="AFC28">
        <f>IF($C27=143,0,AFC27+IF(AND($G27=143,$E27=1),1,0))</f>
        <v/>
      </c>
      <c r="AFD28">
        <f>IF($C27=144,0,AFD27+IF(AND($G27=144,$E27=1),1,0))</f>
        <v/>
      </c>
      <c r="AFF28">
        <f>IF('calcA'!D$106=1,DC28+ZR28,1)</f>
        <v/>
      </c>
      <c r="AFG28">
        <f>IF('calcA'!E$106=1,DD28+ZS28,1)</f>
        <v/>
      </c>
      <c r="AFH28">
        <f>IF('calcA'!F$106=1,DE28+ZT28,1)</f>
        <v/>
      </c>
      <c r="AFI28">
        <f>IF('calcA'!G$106=1,DF28+ZU28,1)</f>
        <v/>
      </c>
      <c r="AFJ28">
        <f>IF('calcA'!H$106=1,DG28+ZV28,1)</f>
        <v/>
      </c>
      <c r="AFK28">
        <f>IF('calcA'!I$106=1,DH28+ZW28,1)</f>
        <v/>
      </c>
      <c r="AFL28">
        <f>IF('calcA'!J$106=1,DI28+ZX28,1)</f>
        <v/>
      </c>
      <c r="AFM28">
        <f>IF('calcA'!K$106=1,DJ28+ZY28,1)</f>
        <v/>
      </c>
      <c r="AFN28">
        <f>IF('calcA'!L$106=1,DK28+ZZ28,1)</f>
        <v/>
      </c>
      <c r="AFO28">
        <f>IF('calcA'!M$106=1,DL28+AAA28,1)</f>
        <v/>
      </c>
      <c r="AFP28">
        <f>IF('calcA'!N$106=1,DM28+AAB28,1)</f>
        <v/>
      </c>
      <c r="AFQ28">
        <f>IF('calcA'!O$106=1,DN28+AAC28,1)</f>
        <v/>
      </c>
      <c r="AFR28">
        <f>IF('calcA'!P$106=1,DO28+AAD28,1)</f>
        <v/>
      </c>
      <c r="AFS28">
        <f>IF('calcA'!Q$106=1,DP28+AAE28,1)</f>
        <v/>
      </c>
      <c r="AFT28">
        <f>IF('calcA'!R$106=1,DQ28+AAF28,1)</f>
        <v/>
      </c>
      <c r="AFU28">
        <f>IF('calcA'!S$106=1,DR28+AAG28,1)</f>
        <v/>
      </c>
      <c r="AFV28">
        <f>IF('calcA'!T$106=1,DS28+AAH28,1)</f>
        <v/>
      </c>
      <c r="AFW28">
        <f>IF('calcA'!U$106=1,DT28+AAI28,1)</f>
        <v/>
      </c>
      <c r="AFX28">
        <f>IF('calcA'!V$106=1,DU28+AAJ28,1)</f>
        <v/>
      </c>
      <c r="AFY28">
        <f>IF('calcA'!W$106=1,DV28+AAK28,1)</f>
        <v/>
      </c>
      <c r="AFZ28">
        <f>IF('calcA'!X$106=1,DW28+AAL28,1)</f>
        <v/>
      </c>
      <c r="AGA28">
        <f>IF('calcA'!Y$106=1,DX28+AAM28,1)</f>
        <v/>
      </c>
      <c r="AGB28">
        <f>IF('calcA'!Z$106=1,DY28+AAN28,1)</f>
        <v/>
      </c>
      <c r="AGC28">
        <f>IF('calcA'!AA$106=1,DZ28+AAO28,1)</f>
        <v/>
      </c>
      <c r="AGD28">
        <f>IF('calcA'!AB$106=1,EA28+AAP28,1)</f>
        <v/>
      </c>
      <c r="AGE28">
        <f>IF('calcA'!AC$106=1,EB28+AAQ28,1)</f>
        <v/>
      </c>
      <c r="AGF28">
        <f>IF('calcA'!AD$106=1,EC28+AAR28,1)</f>
        <v/>
      </c>
      <c r="AGG28">
        <f>IF('calcA'!AE$106=1,ED28+AAS28,1)</f>
        <v/>
      </c>
      <c r="AGH28">
        <f>IF('calcA'!AF$106=1,EE28+AAT28,1)</f>
        <v/>
      </c>
      <c r="AGI28">
        <f>IF('calcA'!AG$106=1,EF28+AAU28,1)</f>
        <v/>
      </c>
      <c r="AGJ28">
        <f>IF('calcA'!AH$106=1,EG28+AAV28,1)</f>
        <v/>
      </c>
      <c r="AGK28">
        <f>IF('calcA'!AI$106=1,EH28+AAW28,1)</f>
        <v/>
      </c>
      <c r="AGL28">
        <f>IF('calcA'!AJ$106=1,EI28+AAX28,1)</f>
        <v/>
      </c>
      <c r="AGM28">
        <f>IF('calcA'!AK$106=1,EJ28+AAY28,1)</f>
        <v/>
      </c>
      <c r="AGN28">
        <f>IF('calcA'!AL$106=1,EK28+AAZ28,1)</f>
        <v/>
      </c>
      <c r="AGO28">
        <f>IF('calcA'!AM$106=1,EL28+ABA28,1)</f>
        <v/>
      </c>
      <c r="AGP28">
        <f>IF('calcA'!AN$106=1,EM28+ABB28,1)</f>
        <v/>
      </c>
      <c r="AGQ28">
        <f>IF('calcA'!AO$106=1,EN28+ABC28,1)</f>
        <v/>
      </c>
      <c r="AGR28">
        <f>IF('calcA'!AP$106=1,EO28+ABD28,1)</f>
        <v/>
      </c>
      <c r="AGS28">
        <f>IF('calcA'!AQ$106=1,EP28+ABE28,1)</f>
        <v/>
      </c>
      <c r="AGT28">
        <f>IF('calcA'!AR$106=1,EQ28+ABF28,1)</f>
        <v/>
      </c>
      <c r="AGU28">
        <f>IF('calcA'!AS$106=1,ER28+ABG28,1)</f>
        <v/>
      </c>
      <c r="AGV28">
        <f>IF('calcA'!AT$106=1,ES28+ABH28,1)</f>
        <v/>
      </c>
      <c r="AGW28">
        <f>IF('calcA'!AU$106=1,ET28+ABI28,1)</f>
        <v/>
      </c>
      <c r="AGX28">
        <f>IF('calcA'!AV$106=1,EU28+ABJ28,1)</f>
        <v/>
      </c>
      <c r="AGY28">
        <f>IF('calcA'!AW$106=1,EV28+ABK28,1)</f>
        <v/>
      </c>
      <c r="AGZ28">
        <f>IF('calcA'!AX$106=1,EW28+ABL28,1)</f>
        <v/>
      </c>
      <c r="AHA28">
        <f>IF('calcA'!AY$106=1,EX28+ABM28,1)</f>
        <v/>
      </c>
      <c r="AHB28">
        <f>IF('calcA'!AZ$106=1,EY28+ABN28,1)</f>
        <v/>
      </c>
      <c r="AHC28">
        <f>IF('calcA'!BA$106=1,EZ28+ABO28,1)</f>
        <v/>
      </c>
      <c r="AHD28">
        <f>IF('calcA'!BB$106=1,FA28+ABP28,1)</f>
        <v/>
      </c>
      <c r="AHE28">
        <f>IF('calcA'!BC$106=1,FB28+ABQ28,1)</f>
        <v/>
      </c>
      <c r="AHF28">
        <f>IF('calcA'!BD$106=1,FC28+ABR28,1)</f>
        <v/>
      </c>
      <c r="AHG28">
        <f>IF('calcA'!BE$106=1,FD28+ABS28,1)</f>
        <v/>
      </c>
      <c r="AHH28">
        <f>IF('calcA'!BF$106=1,FE28+ABT28,1)</f>
        <v/>
      </c>
      <c r="AHI28">
        <f>IF('calcA'!BG$106=1,FF28+ABU28,1)</f>
        <v/>
      </c>
      <c r="AHJ28">
        <f>IF('calcA'!BH$106=1,FG28+ABV28,1)</f>
        <v/>
      </c>
      <c r="AHK28">
        <f>IF('calcA'!BI$106=1,FH28+ABW28,1)</f>
        <v/>
      </c>
      <c r="AHL28">
        <f>IF('calcA'!BJ$106=1,FI28+ABX28,1)</f>
        <v/>
      </c>
      <c r="AHM28">
        <f>IF('calcA'!BK$106=1,FJ28+ABY28,1)</f>
        <v/>
      </c>
      <c r="AHN28">
        <f>IF('calcA'!BL$106=1,FK28+ABZ28,1)</f>
        <v/>
      </c>
      <c r="AHO28">
        <f>IF('calcA'!BM$106=1,FL28+ACA28,1)</f>
        <v/>
      </c>
      <c r="AHP28">
        <f>IF('calcA'!BN$106=1,FM28+ACB28,1)</f>
        <v/>
      </c>
      <c r="AHQ28">
        <f>IF('calcA'!BO$106=1,FN28+ACC28,1)</f>
        <v/>
      </c>
      <c r="AHR28">
        <f>IF('calcA'!BP$106=1,FO28+ACD28,1)</f>
        <v/>
      </c>
      <c r="AHS28">
        <f>IF('calcA'!BQ$106=1,FP28+ACE28,1)</f>
        <v/>
      </c>
      <c r="AHT28">
        <f>IF('calcA'!BR$106=1,FQ28+ACF28,1)</f>
        <v/>
      </c>
      <c r="AHU28">
        <f>IF('calcA'!BS$106=1,FR28+ACG28,1)</f>
        <v/>
      </c>
      <c r="AHV28">
        <f>IF('calcA'!BT$106=1,FS28+ACH28,1)</f>
        <v/>
      </c>
      <c r="AHW28">
        <f>IF('calcA'!BU$106=1,FT28+ACI28,1)</f>
        <v/>
      </c>
      <c r="AHX28">
        <f>IF('calcA'!BV$106=1,FU28+ACJ28,1)</f>
        <v/>
      </c>
      <c r="AHY28">
        <f>IF('calcA'!BW$106=1,FV28+ACK28,1)</f>
        <v/>
      </c>
      <c r="AHZ28">
        <f>IF('calcA'!BX$106=1,FW28+ACL28,1)</f>
        <v/>
      </c>
      <c r="AIA28">
        <f>IF('calcA'!BY$106=1,FX28+ACM28,1)</f>
        <v/>
      </c>
      <c r="AIB28">
        <f>IF('calcA'!BZ$106=1,FY28+ACN28,1)</f>
        <v/>
      </c>
      <c r="AIC28">
        <f>IF('calcA'!CA$106=1,FZ28+ACO28,1)</f>
        <v/>
      </c>
      <c r="AID28">
        <f>IF('calcA'!CB$106=1,GA28+ACP28,1)</f>
        <v/>
      </c>
      <c r="AIE28">
        <f>IF('calcA'!CC$106=1,GB28+ACQ28,1)</f>
        <v/>
      </c>
      <c r="AIF28">
        <f>IF('calcA'!CD$106=1,GC28+ACR28,1)</f>
        <v/>
      </c>
      <c r="AIG28">
        <f>IF('calcA'!CE$106=1,GD28+ACS28,1)</f>
        <v/>
      </c>
      <c r="AIH28">
        <f>IF('calcA'!CF$106=1,GE28+ACT28,1)</f>
        <v/>
      </c>
      <c r="AII28">
        <f>IF('calcA'!CG$106=1,GF28+ACU28,1)</f>
        <v/>
      </c>
      <c r="AIJ28">
        <f>IF('calcA'!CH$106=1,GG28+ACV28,1)</f>
        <v/>
      </c>
      <c r="AIK28">
        <f>IF('calcA'!CI$106=1,GH28+ACW28,1)</f>
        <v/>
      </c>
      <c r="AIL28">
        <f>IF('calcA'!CJ$106=1,GI28+ACX28,1)</f>
        <v/>
      </c>
      <c r="AIM28">
        <f>IF('calcA'!CK$106=1,GJ28+ACY28,1)</f>
        <v/>
      </c>
      <c r="AIN28">
        <f>IF('calcA'!CL$106=1,GK28+ACZ28,1)</f>
        <v/>
      </c>
      <c r="AIO28">
        <f>IF('calcA'!CM$106=1,GL28+ADA28,1)</f>
        <v/>
      </c>
      <c r="AIP28">
        <f>IF('calcA'!CN$106=1,GM28+ADB28,1)</f>
        <v/>
      </c>
      <c r="AIQ28">
        <f>IF('calcA'!CO$106=1,GN28+ADC28,1)</f>
        <v/>
      </c>
      <c r="AIR28">
        <f>IF('calcA'!CP$106=1,GO28+ADD28,1)</f>
        <v/>
      </c>
      <c r="AIS28">
        <f>IF('calcA'!CQ$106=1,GP28+ADE28,1)</f>
        <v/>
      </c>
      <c r="AIT28">
        <f>IF('calcA'!CR$106=1,GQ28+ADF28,1)</f>
        <v/>
      </c>
      <c r="AIU28">
        <f>IF('calcA'!CS$106=1,GR28+ADG28,1)</f>
        <v/>
      </c>
      <c r="AIV28">
        <f>IF('calcA'!CT$106=1,GS28+ADH28,1)</f>
        <v/>
      </c>
      <c r="AIW28">
        <f>IF('calcA'!CU$106=1,GT28+ADI28,1)</f>
        <v/>
      </c>
      <c r="AIX28">
        <f>IF('calcA'!CV$106=1,GU28+ADJ28,1)</f>
        <v/>
      </c>
      <c r="AIY28">
        <f>IF('calcA'!CW$106=1,GV28+ADK28,1)</f>
        <v/>
      </c>
      <c r="AIZ28">
        <f>IF('calcA'!CX$106=1,GW28+ADL28,1)</f>
        <v/>
      </c>
      <c r="AJA28">
        <f>IF('calcA'!CY$106=1,GX28+ADM28,1)</f>
        <v/>
      </c>
      <c r="AJB28">
        <f>IF('calcA'!CZ$106=1,GY28+ADN28,1)</f>
        <v/>
      </c>
      <c r="AJC28">
        <f>IF('calcA'!DA$106=1,GZ28+ADO28,1)</f>
        <v/>
      </c>
      <c r="AJD28">
        <f>IF('calcA'!DB$106=1,HA28+ADP28,1)</f>
        <v/>
      </c>
      <c r="AJE28">
        <f>IF('calcA'!DC$106=1,HB28+ADQ28,1)</f>
        <v/>
      </c>
      <c r="AJF28">
        <f>IF('calcA'!DD$106=1,HC28+ADR28,1)</f>
        <v/>
      </c>
      <c r="AJG28">
        <f>IF('calcA'!DE$106=1,HD28+ADS28,1)</f>
        <v/>
      </c>
      <c r="AJH28">
        <f>IF('calcA'!DF$106=1,HE28+ADT28,1)</f>
        <v/>
      </c>
      <c r="AJI28">
        <f>IF('calcA'!DG$106=1,HF28+ADU28,1)</f>
        <v/>
      </c>
      <c r="AJJ28">
        <f>IF('calcA'!DH$106=1,HG28+ADV28,1)</f>
        <v/>
      </c>
      <c r="AJK28">
        <f>IF('calcA'!DI$106=1,HH28+ADW28,1)</f>
        <v/>
      </c>
      <c r="AJL28">
        <f>IF('calcA'!DJ$106=1,HI28+ADX28,1)</f>
        <v/>
      </c>
      <c r="AJM28">
        <f>IF('calcA'!DK$106=1,HJ28+ADY28,1)</f>
        <v/>
      </c>
      <c r="AJN28">
        <f>IF('calcA'!DL$106=1,HK28+ADZ28,1)</f>
        <v/>
      </c>
      <c r="AJO28">
        <f>IF('calcA'!DM$106=1,HL28+AEA28,1)</f>
        <v/>
      </c>
      <c r="AJP28">
        <f>IF('calcA'!DN$106=1,HM28+AEB28,1)</f>
        <v/>
      </c>
      <c r="AJQ28">
        <f>IF('calcA'!DO$106=1,HN28+AEC28,1)</f>
        <v/>
      </c>
      <c r="AJR28">
        <f>IF('calcA'!DP$106=1,HO28+AED28,1)</f>
        <v/>
      </c>
      <c r="AJS28">
        <f>IF('calcA'!DQ$106=1,HP28+AEE28,1)</f>
        <v/>
      </c>
      <c r="AJT28">
        <f>IF('calcA'!DR$106=1,HQ28+AEF28,1)</f>
        <v/>
      </c>
      <c r="AJU28">
        <f>IF('calcA'!DS$106=1,HR28+AEG28,1)</f>
        <v/>
      </c>
      <c r="AJV28">
        <f>IF('calcA'!DT$106=1,HS28+AEH28,1)</f>
        <v/>
      </c>
      <c r="AJW28">
        <f>IF('calcA'!DU$106=1,HT28+AEI28,1)</f>
        <v/>
      </c>
      <c r="AJX28">
        <f>IF('calcA'!DV$106=1,HU28+AEJ28,1)</f>
        <v/>
      </c>
      <c r="AJY28">
        <f>IF('calcA'!DW$106=1,HV28+AEK28,1)</f>
        <v/>
      </c>
      <c r="AJZ28">
        <f>IF('calcA'!DX$106=1,HW28+AEL28,1)</f>
        <v/>
      </c>
      <c r="AKA28">
        <f>IF('calcA'!DY$106=1,HX28+AEM28,1)</f>
        <v/>
      </c>
      <c r="AKB28">
        <f>IF('calcA'!DZ$106=1,HY28+AEN28,1)</f>
        <v/>
      </c>
      <c r="AKC28">
        <f>IF('calcA'!EA$106=1,HZ28+AEO28,1)</f>
        <v/>
      </c>
      <c r="AKD28">
        <f>IF('calcA'!EB$106=1,IA28+AEP28,1)</f>
        <v/>
      </c>
      <c r="AKE28">
        <f>IF('calcA'!EC$106=1,IB28+AEQ28,1)</f>
        <v/>
      </c>
      <c r="AKF28">
        <f>IF('calcA'!ED$106=1,IC28+AER28,1)</f>
        <v/>
      </c>
      <c r="AKG28">
        <f>IF('calcA'!EE$106=1,ID28+AES28,1)</f>
        <v/>
      </c>
      <c r="AKH28">
        <f>IF('calcA'!EF$106=1,IE28+AET28,1)</f>
        <v/>
      </c>
      <c r="AKI28">
        <f>IF('calcA'!EG$106=1,IF28+AEU28,1)</f>
        <v/>
      </c>
      <c r="AKJ28">
        <f>IF('calcA'!EH$106=1,IG28+AEV28,1)</f>
        <v/>
      </c>
      <c r="AKK28">
        <f>IF('calcA'!EI$106=1,IH28+AEW28,1)</f>
        <v/>
      </c>
      <c r="AKL28">
        <f>IF('calcA'!EJ$106=1,II28+AEX28,1)</f>
        <v/>
      </c>
      <c r="AKM28">
        <f>IF('calcA'!EK$106=1,IJ28+AEY28,1)</f>
        <v/>
      </c>
      <c r="AKN28">
        <f>IF('calcA'!EL$106=1,IK28+AEZ28,1)</f>
        <v/>
      </c>
      <c r="AKO28">
        <f>IF('calcA'!EM$106=1,IL28+AFA28,1)</f>
        <v/>
      </c>
      <c r="AKP28">
        <f>IF('calcA'!EN$106=1,IM28+AFB28,1)</f>
        <v/>
      </c>
      <c r="AKQ28">
        <f>IF('calcA'!EO$106=1,IN28+AFC28,1)</f>
        <v/>
      </c>
      <c r="AKR28">
        <f>IF('calcA'!EP$106=1,IO28+AFD28,1)</f>
        <v/>
      </c>
      <c r="AKS28" t="n">
        <v>1</v>
      </c>
    </row>
    <row r="29">
      <c r="A29" t="n">
        <v>27</v>
      </c>
      <c r="B29">
        <f>IF(MIN(BM29:CZ29)&gt;=1000000000,0,MATCH(MIN(BM29:CZ29),BM29:CZ29,0))</f>
        <v/>
      </c>
      <c r="C29">
        <f>IF(MIN(OF29:TS29)&gt;=1000000000,0,MATCH(MIN(OF29:TS29),OF29:TS29,0))</f>
        <v/>
      </c>
      <c r="D29">
        <f>IF(C29&gt;0,INDEX('calcA'!$D$5:$EQ$5,C29),0)</f>
        <v/>
      </c>
      <c r="E29">
        <f>IF(B29=0,0,INDEX('calcA'!$IQ$10:$IQ$54,B29))</f>
        <v/>
      </c>
      <c r="F29">
        <f>IF(B29=0,0,INDEX('calcA'!$IP$10:$IP$54,B29))</f>
        <v/>
      </c>
      <c r="G29">
        <f>IF(AND(C29&gt;0,E29&gt;0),IF(AND(INDEX('calcA'!$D$106:$EQ$106,C29)=1,INDEX($IQ29:$OD29,C29)=1),C29+1,0),0)</f>
        <v/>
      </c>
      <c r="H29">
        <f>IF(B29=0,0,INDEX('calcA'!$IW$10:$IW$54,B29))</f>
        <v/>
      </c>
      <c r="U29">
        <f>IF(B29=0,0,INDEX('calcA'!$IX$10:$IX$54,B29))</f>
        <v/>
      </c>
      <c r="V29">
        <f>IF(B29=0,0,INDEX('calcA'!$JF$10:$JF$54,B29))</f>
        <v/>
      </c>
      <c r="W29">
        <f>IF(B29=0,0,IF(IF(E29=2,SUMPRODUCT(INDEX('calcA'!$D$60:$EQ$99,B29,0),$DB29:$IO29,$IQ29:$OD29),SUMPRODUCT(INDEX('calcA'!$D$60:$EQ$99,B29,0),$DB29:$IO29))=0,1,0))</f>
        <v/>
      </c>
      <c r="X29">
        <f>MAX(X28,IF($B28=1,1,0))</f>
        <v/>
      </c>
      <c r="Y29">
        <f>MAX(Y28,IF($B28=2,1,0))</f>
        <v/>
      </c>
      <c r="Z29">
        <f>MAX(Z28,IF($B28=3,1,0))</f>
        <v/>
      </c>
      <c r="AA29">
        <f>MAX(AA28,IF($B28=4,1,0))</f>
        <v/>
      </c>
      <c r="AB29">
        <f>MAX(AB28,IF($B28=5,1,0))</f>
        <v/>
      </c>
      <c r="AC29">
        <f>MAX(AC28,IF($B28=6,1,0))</f>
        <v/>
      </c>
      <c r="AD29">
        <f>MAX(AD28,IF($B28=7,1,0))</f>
        <v/>
      </c>
      <c r="AE29">
        <f>MAX(AE28,IF($B28=8,1,0))</f>
        <v/>
      </c>
      <c r="AF29">
        <f>MAX(AF28,IF($B28=9,1,0))</f>
        <v/>
      </c>
      <c r="AG29">
        <f>MAX(AG28,IF($B28=10,1,0))</f>
        <v/>
      </c>
      <c r="AH29">
        <f>MAX(AH28,IF($B28=11,1,0))</f>
        <v/>
      </c>
      <c r="AI29">
        <f>MAX(AI28,IF($B28=12,1,0))</f>
        <v/>
      </c>
      <c r="AJ29">
        <f>MAX(AJ28,IF($B28=13,1,0))</f>
        <v/>
      </c>
      <c r="AK29">
        <f>MAX(AK28,IF($B28=14,1,0))</f>
        <v/>
      </c>
      <c r="AL29">
        <f>MAX(AL28,IF($B28=15,1,0))</f>
        <v/>
      </c>
      <c r="AM29">
        <f>MAX(AM28,IF($B28=16,1,0))</f>
        <v/>
      </c>
      <c r="AN29">
        <f>MAX(AN28,IF($B28=17,1,0))</f>
        <v/>
      </c>
      <c r="AO29">
        <f>MAX(AO28,IF($B28=18,1,0))</f>
        <v/>
      </c>
      <c r="AP29">
        <f>MAX(AP28,IF($B28=19,1,0))</f>
        <v/>
      </c>
      <c r="AQ29">
        <f>MAX(AQ28,IF($B28=20,1,0))</f>
        <v/>
      </c>
      <c r="AR29">
        <f>MAX(AR28,IF($B28=21,1,0))</f>
        <v/>
      </c>
      <c r="AS29">
        <f>MAX(AS28,IF($B28=22,1,0))</f>
        <v/>
      </c>
      <c r="AT29">
        <f>MAX(AT28,IF($B28=23,1,0))</f>
        <v/>
      </c>
      <c r="AU29">
        <f>MAX(AU28,IF($B28=24,1,0))</f>
        <v/>
      </c>
      <c r="AV29">
        <f>MAX(AV28,IF($B28=25,1,0))</f>
        <v/>
      </c>
      <c r="AW29">
        <f>MAX(AW28,IF($B28=26,1,0))</f>
        <v/>
      </c>
      <c r="AX29">
        <f>MAX(AX28,IF($B28=27,1,0))</f>
        <v/>
      </c>
      <c r="AY29">
        <f>MAX(AY28,IF($B28=28,1,0))</f>
        <v/>
      </c>
      <c r="AZ29">
        <f>MAX(AZ28,IF($B28=29,1,0))</f>
        <v/>
      </c>
      <c r="BA29">
        <f>MAX(BA28,IF($B28=30,1,0))</f>
        <v/>
      </c>
      <c r="BB29">
        <f>MAX(BB28,IF($B28=31,1,0))</f>
        <v/>
      </c>
      <c r="BC29">
        <f>MAX(BC28,IF($B28=32,1,0))</f>
        <v/>
      </c>
      <c r="BD29">
        <f>MAX(BD28,IF($B28=33,1,0))</f>
        <v/>
      </c>
      <c r="BE29">
        <f>MAX(BE28,IF($B28=34,1,0))</f>
        <v/>
      </c>
      <c r="BF29">
        <f>MAX(BF28,IF($B28=35,1,0))</f>
        <v/>
      </c>
      <c r="BG29">
        <f>MAX(BG28,IF($B28=36,1,0))</f>
        <v/>
      </c>
      <c r="BH29">
        <f>MAX(BH28,IF($B28=37,1,0))</f>
        <v/>
      </c>
      <c r="BI29">
        <f>MAX(BI28,IF($B28=38,1,0))</f>
        <v/>
      </c>
      <c r="BJ29">
        <f>MAX(BJ28,IF($B28=39,1,0))</f>
        <v/>
      </c>
      <c r="BK29">
        <f>MAX(BK28,IF($B28=40,1,0))</f>
        <v/>
      </c>
      <c r="BM29">
        <f>IF(OR(X29=1,calcA!$A$6=0),1000000000,IF('calcA'!$JF$10=1,0,100000000)+IF('calcA'!$IQ$10=2,SUMPRODUCT('calcA'!$D$60:$EQ$60,$DB29:$IO29,$IQ29:$OD29)*1000+SUMPRODUCT('calcA'!$D$60:$EQ$60,$DB29:$IO29+$ZQ29:$AFD29,$AFF29:$AKS29),SUMPRODUCT('calcA'!$D$60:$EQ$60,$DB29:$IO29*1001+$ZQ29:$AFD29))*100+1)</f>
        <v/>
      </c>
      <c r="BN29">
        <f>IF(OR(Y29=1,calcA!$A$6=0),1000000000,IF('calcA'!$JF$11=1,0,100000000)+IF('calcA'!$IQ$11=2,SUMPRODUCT('calcA'!$D$61:$EQ$61,$DB29:$IO29,$IQ29:$OD29)*1000+SUMPRODUCT('calcA'!$D$61:$EQ$61,$DB29:$IO29+$ZQ29:$AFD29,$AFF29:$AKS29),SUMPRODUCT('calcA'!$D$61:$EQ$61,$DB29:$IO29*1001+$ZQ29:$AFD29))*100+2)</f>
        <v/>
      </c>
      <c r="BO29">
        <f>IF(OR(Z29=1,calcA!$A$6=0),1000000000,IF('calcA'!$JF$12=1,0,100000000)+IF('calcA'!$IQ$12=2,SUMPRODUCT('calcA'!$D$62:$EQ$62,$DB29:$IO29,$IQ29:$OD29)*1000+SUMPRODUCT('calcA'!$D$62:$EQ$62,$DB29:$IO29+$ZQ29:$AFD29,$AFF29:$AKS29),SUMPRODUCT('calcA'!$D$62:$EQ$62,$DB29:$IO29*1001+$ZQ29:$AFD29))*100+3)</f>
        <v/>
      </c>
      <c r="BP29">
        <f>IF(OR(AA29=1,calcA!$A$6=0),1000000000,IF('calcA'!$JF$13=1,0,100000000)+IF('calcA'!$IQ$13=2,SUMPRODUCT('calcA'!$D$63:$EQ$63,$DB29:$IO29,$IQ29:$OD29)*1000+SUMPRODUCT('calcA'!$D$63:$EQ$63,$DB29:$IO29+$ZQ29:$AFD29,$AFF29:$AKS29),SUMPRODUCT('calcA'!$D$63:$EQ$63,$DB29:$IO29*1001+$ZQ29:$AFD29))*100+4)</f>
        <v/>
      </c>
      <c r="BQ29">
        <f>IF(OR(AB29=1,calcA!$A$6=0),1000000000,IF('calcA'!$JF$14=1,0,100000000)+IF('calcA'!$IQ$14=2,SUMPRODUCT('calcA'!$D$64:$EQ$64,$DB29:$IO29,$IQ29:$OD29)*1000+SUMPRODUCT('calcA'!$D$64:$EQ$64,$DB29:$IO29+$ZQ29:$AFD29,$AFF29:$AKS29),SUMPRODUCT('calcA'!$D$64:$EQ$64,$DB29:$IO29*1001+$ZQ29:$AFD29))*100+5)</f>
        <v/>
      </c>
      <c r="BR29">
        <f>IF(OR(AC29=1,calcA!$A$6=0),1000000000,IF('calcA'!$JF$15=1,0,100000000)+IF('calcA'!$IQ$15=2,SUMPRODUCT('calcA'!$D$65:$EQ$65,$DB29:$IO29,$IQ29:$OD29)*1000+SUMPRODUCT('calcA'!$D$65:$EQ$65,$DB29:$IO29+$ZQ29:$AFD29,$AFF29:$AKS29),SUMPRODUCT('calcA'!$D$65:$EQ$65,$DB29:$IO29*1001+$ZQ29:$AFD29))*100+6)</f>
        <v/>
      </c>
      <c r="BS29">
        <f>IF(OR(AD29=1,calcA!$A$6=0),1000000000,IF('calcA'!$JF$16=1,0,100000000)+IF('calcA'!$IQ$16=2,SUMPRODUCT('calcA'!$D$66:$EQ$66,$DB29:$IO29,$IQ29:$OD29)*1000+SUMPRODUCT('calcA'!$D$66:$EQ$66,$DB29:$IO29+$ZQ29:$AFD29,$AFF29:$AKS29),SUMPRODUCT('calcA'!$D$66:$EQ$66,$DB29:$IO29*1001+$ZQ29:$AFD29))*100+7)</f>
        <v/>
      </c>
      <c r="BT29">
        <f>IF(OR(AE29=1,calcA!$A$6=0),1000000000,IF('calcA'!$JF$17=1,0,100000000)+IF('calcA'!$IQ$17=2,SUMPRODUCT('calcA'!$D$67:$EQ$67,$DB29:$IO29,$IQ29:$OD29)*1000+SUMPRODUCT('calcA'!$D$67:$EQ$67,$DB29:$IO29+$ZQ29:$AFD29,$AFF29:$AKS29),SUMPRODUCT('calcA'!$D$67:$EQ$67,$DB29:$IO29*1001+$ZQ29:$AFD29))*100+8)</f>
        <v/>
      </c>
      <c r="BU29">
        <f>IF(OR(AF29=1,calcA!$A$6=0),1000000000,IF('calcA'!$JF$18=1,0,100000000)+IF('calcA'!$IQ$18=2,SUMPRODUCT('calcA'!$D$68:$EQ$68,$DB29:$IO29,$IQ29:$OD29)*1000+SUMPRODUCT('calcA'!$D$68:$EQ$68,$DB29:$IO29+$ZQ29:$AFD29,$AFF29:$AKS29),SUMPRODUCT('calcA'!$D$68:$EQ$68,$DB29:$IO29*1001+$ZQ29:$AFD29))*100+9)</f>
        <v/>
      </c>
      <c r="BV29">
        <f>IF(OR(AG29=1,calcA!$A$6=0),1000000000,IF('calcA'!$JF$19=1,0,100000000)+IF('calcA'!$IQ$19=2,SUMPRODUCT('calcA'!$D$69:$EQ$69,$DB29:$IO29,$IQ29:$OD29)*1000+SUMPRODUCT('calcA'!$D$69:$EQ$69,$DB29:$IO29+$ZQ29:$AFD29,$AFF29:$AKS29),SUMPRODUCT('calcA'!$D$69:$EQ$69,$DB29:$IO29*1001+$ZQ29:$AFD29))*100+10)</f>
        <v/>
      </c>
      <c r="BW29">
        <f>IF(OR(AH29=1,calcA!$A$6=0),1000000000,IF('calcA'!$JF$20=1,0,100000000)+IF('calcA'!$IQ$20=2,SUMPRODUCT('calcA'!$D$70:$EQ$70,$DB29:$IO29,$IQ29:$OD29)*1000+SUMPRODUCT('calcA'!$D$70:$EQ$70,$DB29:$IO29+$ZQ29:$AFD29,$AFF29:$AKS29),SUMPRODUCT('calcA'!$D$70:$EQ$70,$DB29:$IO29*1001+$ZQ29:$AFD29))*100+11)</f>
        <v/>
      </c>
      <c r="BX29">
        <f>IF(OR(AI29=1,calcA!$A$6=0),1000000000,IF('calcA'!$JF$21=1,0,100000000)+IF('calcA'!$IQ$21=2,SUMPRODUCT('calcA'!$D$71:$EQ$71,$DB29:$IO29,$IQ29:$OD29)*1000+SUMPRODUCT('calcA'!$D$71:$EQ$71,$DB29:$IO29+$ZQ29:$AFD29,$AFF29:$AKS29),SUMPRODUCT('calcA'!$D$71:$EQ$71,$DB29:$IO29*1001+$ZQ29:$AFD29))*100+12)</f>
        <v/>
      </c>
      <c r="BY29">
        <f>IF(OR(AJ29=1,calcA!$A$6=0),1000000000,IF('calcA'!$JF$22=1,0,100000000)+IF('calcA'!$IQ$22=2,SUMPRODUCT('calcA'!$D$72:$EQ$72,$DB29:$IO29,$IQ29:$OD29)*1000+SUMPRODUCT('calcA'!$D$72:$EQ$72,$DB29:$IO29+$ZQ29:$AFD29,$AFF29:$AKS29),SUMPRODUCT('calcA'!$D$72:$EQ$72,$DB29:$IO29*1001+$ZQ29:$AFD29))*100+13)</f>
        <v/>
      </c>
      <c r="BZ29">
        <f>IF(OR(AK29=1,calcA!$A$6=0),1000000000,IF('calcA'!$JF$23=1,0,100000000)+IF('calcA'!$IQ$23=2,SUMPRODUCT('calcA'!$D$73:$EQ$73,$DB29:$IO29,$IQ29:$OD29)*1000+SUMPRODUCT('calcA'!$D$73:$EQ$73,$DB29:$IO29+$ZQ29:$AFD29,$AFF29:$AKS29),SUMPRODUCT('calcA'!$D$73:$EQ$73,$DB29:$IO29*1001+$ZQ29:$AFD29))*100+14)</f>
        <v/>
      </c>
      <c r="CA29">
        <f>IF(OR(AL29=1,calcA!$A$6=0),1000000000,IF('calcA'!$JF$24=1,0,100000000)+IF('calcA'!$IQ$24=2,SUMPRODUCT('calcA'!$D$74:$EQ$74,$DB29:$IO29,$IQ29:$OD29)*1000+SUMPRODUCT('calcA'!$D$74:$EQ$74,$DB29:$IO29+$ZQ29:$AFD29,$AFF29:$AKS29),SUMPRODUCT('calcA'!$D$74:$EQ$74,$DB29:$IO29*1001+$ZQ29:$AFD29))*100+15)</f>
        <v/>
      </c>
      <c r="CB29">
        <f>IF(OR(AM29=1,calcA!$A$6=0),1000000000,IF('calcA'!$JF$25=1,0,100000000)+IF('calcA'!$IQ$25=2,SUMPRODUCT('calcA'!$D$75:$EQ$75,$DB29:$IO29,$IQ29:$OD29)*1000+SUMPRODUCT('calcA'!$D$75:$EQ$75,$DB29:$IO29+$ZQ29:$AFD29,$AFF29:$AKS29),SUMPRODUCT('calcA'!$D$75:$EQ$75,$DB29:$IO29*1001+$ZQ29:$AFD29))*100+16)</f>
        <v/>
      </c>
      <c r="CC29">
        <f>IF(OR(AN29=1,calcA!$A$6=0),1000000000,IF('calcA'!$JF$26=1,0,100000000)+IF('calcA'!$IQ$26=2,SUMPRODUCT('calcA'!$D$76:$EQ$76,$DB29:$IO29,$IQ29:$OD29)*1000+SUMPRODUCT('calcA'!$D$76:$EQ$76,$DB29:$IO29+$ZQ29:$AFD29,$AFF29:$AKS29),SUMPRODUCT('calcA'!$D$76:$EQ$76,$DB29:$IO29*1001+$ZQ29:$AFD29))*100+17)</f>
        <v/>
      </c>
      <c r="CD29">
        <f>IF(OR(AO29=1,calcA!$A$6=0),1000000000,IF('calcA'!$JF$27=1,0,100000000)+IF('calcA'!$IQ$27=2,SUMPRODUCT('calcA'!$D$77:$EQ$77,$DB29:$IO29,$IQ29:$OD29)*1000+SUMPRODUCT('calcA'!$D$77:$EQ$77,$DB29:$IO29+$ZQ29:$AFD29,$AFF29:$AKS29),SUMPRODUCT('calcA'!$D$77:$EQ$77,$DB29:$IO29*1001+$ZQ29:$AFD29))*100+18)</f>
        <v/>
      </c>
      <c r="CE29">
        <f>IF(OR(AP29=1,calcA!$A$6=0),1000000000,IF('calcA'!$JF$28=1,0,100000000)+IF('calcA'!$IQ$28=2,SUMPRODUCT('calcA'!$D$78:$EQ$78,$DB29:$IO29,$IQ29:$OD29)*1000+SUMPRODUCT('calcA'!$D$78:$EQ$78,$DB29:$IO29+$ZQ29:$AFD29,$AFF29:$AKS29),SUMPRODUCT('calcA'!$D$78:$EQ$78,$DB29:$IO29*1001+$ZQ29:$AFD29))*100+19)</f>
        <v/>
      </c>
      <c r="CF29">
        <f>IF(OR(AQ29=1,calcA!$A$6=0),1000000000,IF('calcA'!$JF$29=1,0,100000000)+IF('calcA'!$IQ$29=2,SUMPRODUCT('calcA'!$D$79:$EQ$79,$DB29:$IO29,$IQ29:$OD29)*1000+SUMPRODUCT('calcA'!$D$79:$EQ$79,$DB29:$IO29+$ZQ29:$AFD29,$AFF29:$AKS29),SUMPRODUCT('calcA'!$D$79:$EQ$79,$DB29:$IO29*1001+$ZQ29:$AFD29))*100+20)</f>
        <v/>
      </c>
      <c r="CG29">
        <f>IF(OR(AR29=1,calcA!$A$6=0),1000000000,IF('calcA'!$JF$30=1,0,100000000)+IF('calcA'!$IQ$30=2,SUMPRODUCT('calcA'!$D$80:$EQ$80,$DB29:$IO29,$IQ29:$OD29)*1000+SUMPRODUCT('calcA'!$D$80:$EQ$80,$DB29:$IO29+$ZQ29:$AFD29,$AFF29:$AKS29),SUMPRODUCT('calcA'!$D$80:$EQ$80,$DB29:$IO29*1001+$ZQ29:$AFD29))*100+21)</f>
        <v/>
      </c>
      <c r="CH29">
        <f>IF(OR(AS29=1,calcA!$A$6=0),1000000000,IF('calcA'!$JF$31=1,0,100000000)+IF('calcA'!$IQ$31=2,SUMPRODUCT('calcA'!$D$81:$EQ$81,$DB29:$IO29,$IQ29:$OD29)*1000+SUMPRODUCT('calcA'!$D$81:$EQ$81,$DB29:$IO29+$ZQ29:$AFD29,$AFF29:$AKS29),SUMPRODUCT('calcA'!$D$81:$EQ$81,$DB29:$IO29*1001+$ZQ29:$AFD29))*100+22)</f>
        <v/>
      </c>
      <c r="CI29">
        <f>IF(OR(AT29=1,calcA!$A$6=0),1000000000,IF('calcA'!$JF$32=1,0,100000000)+IF('calcA'!$IQ$32=2,SUMPRODUCT('calcA'!$D$82:$EQ$82,$DB29:$IO29,$IQ29:$OD29)*1000+SUMPRODUCT('calcA'!$D$82:$EQ$82,$DB29:$IO29+$ZQ29:$AFD29,$AFF29:$AKS29),SUMPRODUCT('calcA'!$D$82:$EQ$82,$DB29:$IO29*1001+$ZQ29:$AFD29))*100+23)</f>
        <v/>
      </c>
      <c r="CJ29">
        <f>IF(OR(AU29=1,calcA!$A$6=0),1000000000,IF('calcA'!$JF$33=1,0,100000000)+IF('calcA'!$IQ$33=2,SUMPRODUCT('calcA'!$D$83:$EQ$83,$DB29:$IO29,$IQ29:$OD29)*1000+SUMPRODUCT('calcA'!$D$83:$EQ$83,$DB29:$IO29+$ZQ29:$AFD29,$AFF29:$AKS29),SUMPRODUCT('calcA'!$D$83:$EQ$83,$DB29:$IO29*1001+$ZQ29:$AFD29))*100+24)</f>
        <v/>
      </c>
      <c r="CK29">
        <f>IF(OR(AV29=1,calcA!$A$6=0),1000000000,IF('calcA'!$JF$34=1,0,100000000)+IF('calcA'!$IQ$34=2,SUMPRODUCT('calcA'!$D$84:$EQ$84,$DB29:$IO29,$IQ29:$OD29)*1000+SUMPRODUCT('calcA'!$D$84:$EQ$84,$DB29:$IO29+$ZQ29:$AFD29,$AFF29:$AKS29),SUMPRODUCT('calcA'!$D$84:$EQ$84,$DB29:$IO29*1001+$ZQ29:$AFD29))*100+25)</f>
        <v/>
      </c>
      <c r="CL29">
        <f>IF(OR(AW29=1,calcA!$A$6=0),1000000000,IF('calcA'!$JF$35=1,0,100000000)+IF('calcA'!$IQ$35=2,SUMPRODUCT('calcA'!$D$85:$EQ$85,$DB29:$IO29,$IQ29:$OD29)*1000+SUMPRODUCT('calcA'!$D$85:$EQ$85,$DB29:$IO29+$ZQ29:$AFD29,$AFF29:$AKS29),SUMPRODUCT('calcA'!$D$85:$EQ$85,$DB29:$IO29*1001+$ZQ29:$AFD29))*100+26)</f>
        <v/>
      </c>
      <c r="CM29">
        <f>IF(OR(AX29=1,calcA!$A$6=0),1000000000,IF('calcA'!$JF$36=1,0,100000000)+IF('calcA'!$IQ$36=2,SUMPRODUCT('calcA'!$D$86:$EQ$86,$DB29:$IO29,$IQ29:$OD29)*1000+SUMPRODUCT('calcA'!$D$86:$EQ$86,$DB29:$IO29+$ZQ29:$AFD29,$AFF29:$AKS29),SUMPRODUCT('calcA'!$D$86:$EQ$86,$DB29:$IO29*1001+$ZQ29:$AFD29))*100+27)</f>
        <v/>
      </c>
      <c r="CN29">
        <f>IF(OR(AY29=1,calcA!$A$6=0),1000000000,IF('calcA'!$JF$37=1,0,100000000)+IF('calcA'!$IQ$37=2,SUMPRODUCT('calcA'!$D$87:$EQ$87,$DB29:$IO29,$IQ29:$OD29)*1000+SUMPRODUCT('calcA'!$D$87:$EQ$87,$DB29:$IO29+$ZQ29:$AFD29,$AFF29:$AKS29),SUMPRODUCT('calcA'!$D$87:$EQ$87,$DB29:$IO29*1001+$ZQ29:$AFD29))*100+28)</f>
        <v/>
      </c>
      <c r="CO29">
        <f>IF(OR(AZ29=1,calcA!$A$6=0),1000000000,IF('calcA'!$JF$38=1,0,100000000)+IF('calcA'!$IQ$38=2,SUMPRODUCT('calcA'!$D$88:$EQ$88,$DB29:$IO29,$IQ29:$OD29)*1000+SUMPRODUCT('calcA'!$D$88:$EQ$88,$DB29:$IO29+$ZQ29:$AFD29,$AFF29:$AKS29),SUMPRODUCT('calcA'!$D$88:$EQ$88,$DB29:$IO29*1001+$ZQ29:$AFD29))*100+29)</f>
        <v/>
      </c>
      <c r="CP29">
        <f>IF(OR(BA29=1,calcA!$A$6=0),1000000000,IF('calcA'!$JF$39=1,0,100000000)+IF('calcA'!$IQ$39=2,SUMPRODUCT('calcA'!$D$89:$EQ$89,$DB29:$IO29,$IQ29:$OD29)*1000+SUMPRODUCT('calcA'!$D$89:$EQ$89,$DB29:$IO29+$ZQ29:$AFD29,$AFF29:$AKS29),SUMPRODUCT('calcA'!$D$89:$EQ$89,$DB29:$IO29*1001+$ZQ29:$AFD29))*100+30)</f>
        <v/>
      </c>
      <c r="CQ29">
        <f>IF(OR(BB29=1,calcA!$A$6=0),1000000000,IF('calcA'!$JF$40=1,0,100000000)+IF('calcA'!$IQ$40=2,SUMPRODUCT('calcA'!$D$90:$EQ$90,$DB29:$IO29,$IQ29:$OD29)*1000+SUMPRODUCT('calcA'!$D$90:$EQ$90,$DB29:$IO29+$ZQ29:$AFD29,$AFF29:$AKS29),SUMPRODUCT('calcA'!$D$90:$EQ$90,$DB29:$IO29*1001+$ZQ29:$AFD29))*100+31)</f>
        <v/>
      </c>
      <c r="CR29">
        <f>IF(OR(BC29=1,calcA!$A$6=0),1000000000,IF('calcA'!$JF$41=1,0,100000000)+IF('calcA'!$IQ$41=2,SUMPRODUCT('calcA'!$D$91:$EQ$91,$DB29:$IO29,$IQ29:$OD29)*1000+SUMPRODUCT('calcA'!$D$91:$EQ$91,$DB29:$IO29+$ZQ29:$AFD29,$AFF29:$AKS29),SUMPRODUCT('calcA'!$D$91:$EQ$91,$DB29:$IO29*1001+$ZQ29:$AFD29))*100+32)</f>
        <v/>
      </c>
      <c r="CS29">
        <f>IF(OR(BD29=1,calcA!$A$6=0),1000000000,IF('calcA'!$JF$42=1,0,100000000)+IF('calcA'!$IQ$42=2,SUMPRODUCT('calcA'!$D$92:$EQ$92,$DB29:$IO29,$IQ29:$OD29)*1000+SUMPRODUCT('calcA'!$D$92:$EQ$92,$DB29:$IO29+$ZQ29:$AFD29,$AFF29:$AKS29),SUMPRODUCT('calcA'!$D$92:$EQ$92,$DB29:$IO29*1001+$ZQ29:$AFD29))*100+33)</f>
        <v/>
      </c>
      <c r="CT29">
        <f>IF(OR(BE29=1,calcA!$A$6=0),1000000000,IF('calcA'!$JF$43=1,0,100000000)+IF('calcA'!$IQ$43=2,SUMPRODUCT('calcA'!$D$93:$EQ$93,$DB29:$IO29,$IQ29:$OD29)*1000+SUMPRODUCT('calcA'!$D$93:$EQ$93,$DB29:$IO29+$ZQ29:$AFD29,$AFF29:$AKS29),SUMPRODUCT('calcA'!$D$93:$EQ$93,$DB29:$IO29*1001+$ZQ29:$AFD29))*100+34)</f>
        <v/>
      </c>
      <c r="CU29">
        <f>IF(OR(BF29=1,calcA!$A$6=0),1000000000,IF('calcA'!$JF$44=1,0,100000000)+IF('calcA'!$IQ$44=2,SUMPRODUCT('calcA'!$D$94:$EQ$94,$DB29:$IO29,$IQ29:$OD29)*1000+SUMPRODUCT('calcA'!$D$94:$EQ$94,$DB29:$IO29+$ZQ29:$AFD29,$AFF29:$AKS29),SUMPRODUCT('calcA'!$D$94:$EQ$94,$DB29:$IO29*1001+$ZQ29:$AFD29))*100+35)</f>
        <v/>
      </c>
      <c r="CV29">
        <f>IF(OR(BG29=1,calcA!$A$6=0),1000000000,IF('calcA'!$JF$45=1,0,100000000)+IF('calcA'!$IQ$45=2,SUMPRODUCT('calcA'!$D$95:$EQ$95,$DB29:$IO29,$IQ29:$OD29)*1000+SUMPRODUCT('calcA'!$D$95:$EQ$95,$DB29:$IO29+$ZQ29:$AFD29,$AFF29:$AKS29),SUMPRODUCT('calcA'!$D$95:$EQ$95,$DB29:$IO29*1001+$ZQ29:$AFD29))*100+36)</f>
        <v/>
      </c>
      <c r="CW29">
        <f>IF(OR(BH29=1,calcA!$A$6=0),1000000000,IF('calcA'!$JF$46=1,0,100000000)+IF('calcA'!$IQ$46=2,SUMPRODUCT('calcA'!$D$96:$EQ$96,$DB29:$IO29,$IQ29:$OD29)*1000+SUMPRODUCT('calcA'!$D$96:$EQ$96,$DB29:$IO29+$ZQ29:$AFD29,$AFF29:$AKS29),SUMPRODUCT('calcA'!$D$96:$EQ$96,$DB29:$IO29*1001+$ZQ29:$AFD29))*100+37)</f>
        <v/>
      </c>
      <c r="CX29">
        <f>IF(OR(BI29=1,calcA!$A$6=0),1000000000,IF('calcA'!$JF$47=1,0,100000000)+IF('calcA'!$IQ$47=2,SUMPRODUCT('calcA'!$D$97:$EQ$97,$DB29:$IO29,$IQ29:$OD29)*1000+SUMPRODUCT('calcA'!$D$97:$EQ$97,$DB29:$IO29+$ZQ29:$AFD29,$AFF29:$AKS29),SUMPRODUCT('calcA'!$D$97:$EQ$97,$DB29:$IO29*1001+$ZQ29:$AFD29))*100+38)</f>
        <v/>
      </c>
      <c r="CY29">
        <f>IF(OR(BJ29=1,calcA!$A$6=0),1000000000,IF('calcA'!$JF$48=1,0,100000000)+IF('calcA'!$IQ$48=2,SUMPRODUCT('calcA'!$D$98:$EQ$98,$DB29:$IO29,$IQ29:$OD29)*1000+SUMPRODUCT('calcA'!$D$98:$EQ$98,$DB29:$IO29+$ZQ29:$AFD29,$AFF29:$AKS29),SUMPRODUCT('calcA'!$D$98:$EQ$98,$DB29:$IO29*1001+$ZQ29:$AFD29))*100+39)</f>
        <v/>
      </c>
      <c r="CZ29">
        <f>IF(OR(BK29=1,calcA!$A$6=0),1000000000,IF('calcA'!$JF$49=1,0,100000000)+IF('calcA'!$IQ$49=2,SUMPRODUCT('calcA'!$D$99:$EQ$99,$DB29:$IO29,$IQ29:$OD29)*1000+SUMPRODUCT('calcA'!$D$99:$EQ$99,$DB29:$IO29+$ZQ29:$AFD29,$AFF29:$AKS29),SUMPRODUCT('calcA'!$D$99:$EQ$99,$DB29:$IO29*1001+$ZQ29:$AFD29))*100+40)</f>
        <v/>
      </c>
      <c r="DB29">
        <f>DB28*IF(OR($C28=1,$G28=1),0,1)</f>
        <v/>
      </c>
      <c r="DC29">
        <f>DC28*IF(OR($C28=2,$G28=2),0,1)</f>
        <v/>
      </c>
      <c r="DD29">
        <f>DD28*IF(OR($C28=3,$G28=3),0,1)</f>
        <v/>
      </c>
      <c r="DE29">
        <f>DE28*IF(OR($C28=4,$G28=4),0,1)</f>
        <v/>
      </c>
      <c r="DF29">
        <f>DF28*IF(OR($C28=5,$G28=5),0,1)</f>
        <v/>
      </c>
      <c r="DG29">
        <f>DG28*IF(OR($C28=6,$G28=6),0,1)</f>
        <v/>
      </c>
      <c r="DH29">
        <f>DH28*IF(OR($C28=7,$G28=7),0,1)</f>
        <v/>
      </c>
      <c r="DI29">
        <f>DI28*IF(OR($C28=8,$G28=8),0,1)</f>
        <v/>
      </c>
      <c r="DJ29">
        <f>DJ28*IF(OR($C28=9,$G28=9),0,1)</f>
        <v/>
      </c>
      <c r="DK29">
        <f>DK28*IF(OR($C28=10,$G28=10),0,1)</f>
        <v/>
      </c>
      <c r="DL29">
        <f>DL28*IF(OR($C28=11,$G28=11),0,1)</f>
        <v/>
      </c>
      <c r="DM29">
        <f>DM28*IF(OR($C28=12,$G28=12),0,1)</f>
        <v/>
      </c>
      <c r="DN29">
        <f>DN28*IF(OR($C28=13,$G28=13),0,1)</f>
        <v/>
      </c>
      <c r="DO29">
        <f>DO28*IF(OR($C28=14,$G28=14),0,1)</f>
        <v/>
      </c>
      <c r="DP29">
        <f>DP28*IF(OR($C28=15,$G28=15),0,1)</f>
        <v/>
      </c>
      <c r="DQ29">
        <f>DQ28*IF(OR($C28=16,$G28=16),0,1)</f>
        <v/>
      </c>
      <c r="DR29">
        <f>DR28*IF(OR($C28=17,$G28=17),0,1)</f>
        <v/>
      </c>
      <c r="DS29">
        <f>DS28*IF(OR($C28=18,$G28=18),0,1)</f>
        <v/>
      </c>
      <c r="DT29">
        <f>DT28*IF(OR($C28=19,$G28=19),0,1)</f>
        <v/>
      </c>
      <c r="DU29">
        <f>DU28*IF(OR($C28=20,$G28=20),0,1)</f>
        <v/>
      </c>
      <c r="DV29">
        <f>DV28*IF(OR($C28=21,$G28=21),0,1)</f>
        <v/>
      </c>
      <c r="DW29">
        <f>DW28*IF(OR($C28=22,$G28=22),0,1)</f>
        <v/>
      </c>
      <c r="DX29">
        <f>DX28*IF(OR($C28=23,$G28=23),0,1)</f>
        <v/>
      </c>
      <c r="DY29">
        <f>DY28*IF(OR($C28=24,$G28=24),0,1)</f>
        <v/>
      </c>
      <c r="DZ29">
        <f>DZ28*IF(OR($C28=25,$G28=25),0,1)</f>
        <v/>
      </c>
      <c r="EA29">
        <f>EA28*IF(OR($C28=26,$G28=26),0,1)</f>
        <v/>
      </c>
      <c r="EB29">
        <f>EB28*IF(OR($C28=27,$G28=27),0,1)</f>
        <v/>
      </c>
      <c r="EC29">
        <f>EC28*IF(OR($C28=28,$G28=28),0,1)</f>
        <v/>
      </c>
      <c r="ED29">
        <f>ED28*IF(OR($C28=29,$G28=29),0,1)</f>
        <v/>
      </c>
      <c r="EE29">
        <f>EE28*IF(OR($C28=30,$G28=30),0,1)</f>
        <v/>
      </c>
      <c r="EF29">
        <f>EF28*IF(OR($C28=31,$G28=31),0,1)</f>
        <v/>
      </c>
      <c r="EG29">
        <f>EG28*IF(OR($C28=32,$G28=32),0,1)</f>
        <v/>
      </c>
      <c r="EH29">
        <f>EH28*IF(OR($C28=33,$G28=33),0,1)</f>
        <v/>
      </c>
      <c r="EI29">
        <f>EI28*IF(OR($C28=34,$G28=34),0,1)</f>
        <v/>
      </c>
      <c r="EJ29">
        <f>EJ28*IF(OR($C28=35,$G28=35),0,1)</f>
        <v/>
      </c>
      <c r="EK29">
        <f>EK28*IF(OR($C28=36,$G28=36),0,1)</f>
        <v/>
      </c>
      <c r="EL29">
        <f>EL28*IF(OR($C28=37,$G28=37),0,1)</f>
        <v/>
      </c>
      <c r="EM29">
        <f>EM28*IF(OR($C28=38,$G28=38),0,1)</f>
        <v/>
      </c>
      <c r="EN29">
        <f>EN28*IF(OR($C28=39,$G28=39),0,1)</f>
        <v/>
      </c>
      <c r="EO29">
        <f>EO28*IF(OR($C28=40,$G28=40),0,1)</f>
        <v/>
      </c>
      <c r="EP29">
        <f>EP28*IF(OR($C28=41,$G28=41),0,1)</f>
        <v/>
      </c>
      <c r="EQ29">
        <f>EQ28*IF(OR($C28=42,$G28=42),0,1)</f>
        <v/>
      </c>
      <c r="ER29">
        <f>ER28*IF(OR($C28=43,$G28=43),0,1)</f>
        <v/>
      </c>
      <c r="ES29">
        <f>ES28*IF(OR($C28=44,$G28=44),0,1)</f>
        <v/>
      </c>
      <c r="ET29">
        <f>ET28*IF(OR($C28=45,$G28=45),0,1)</f>
        <v/>
      </c>
      <c r="EU29">
        <f>EU28*IF(OR($C28=46,$G28=46),0,1)</f>
        <v/>
      </c>
      <c r="EV29">
        <f>EV28*IF(OR($C28=47,$G28=47),0,1)</f>
        <v/>
      </c>
      <c r="EW29">
        <f>EW28*IF(OR($C28=48,$G28=48),0,1)</f>
        <v/>
      </c>
      <c r="EX29">
        <f>EX28*IF(OR($C28=49,$G28=49),0,1)</f>
        <v/>
      </c>
      <c r="EY29">
        <f>EY28*IF(OR($C28=50,$G28=50),0,1)</f>
        <v/>
      </c>
      <c r="EZ29">
        <f>EZ28*IF(OR($C28=51,$G28=51),0,1)</f>
        <v/>
      </c>
      <c r="FA29">
        <f>FA28*IF(OR($C28=52,$G28=52),0,1)</f>
        <v/>
      </c>
      <c r="FB29">
        <f>FB28*IF(OR($C28=53,$G28=53),0,1)</f>
        <v/>
      </c>
      <c r="FC29">
        <f>FC28*IF(OR($C28=54,$G28=54),0,1)</f>
        <v/>
      </c>
      <c r="FD29">
        <f>FD28*IF(OR($C28=55,$G28=55),0,1)</f>
        <v/>
      </c>
      <c r="FE29">
        <f>FE28*IF(OR($C28=56,$G28=56),0,1)</f>
        <v/>
      </c>
      <c r="FF29">
        <f>FF28*IF(OR($C28=57,$G28=57),0,1)</f>
        <v/>
      </c>
      <c r="FG29">
        <f>FG28*IF(OR($C28=58,$G28=58),0,1)</f>
        <v/>
      </c>
      <c r="FH29">
        <f>FH28*IF(OR($C28=59,$G28=59),0,1)</f>
        <v/>
      </c>
      <c r="FI29">
        <f>FI28*IF(OR($C28=60,$G28=60),0,1)</f>
        <v/>
      </c>
      <c r="FJ29">
        <f>FJ28*IF(OR($C28=61,$G28=61),0,1)</f>
        <v/>
      </c>
      <c r="FK29">
        <f>FK28*IF(OR($C28=62,$G28=62),0,1)</f>
        <v/>
      </c>
      <c r="FL29">
        <f>FL28*IF(OR($C28=63,$G28=63),0,1)</f>
        <v/>
      </c>
      <c r="FM29">
        <f>FM28*IF(OR($C28=64,$G28=64),0,1)</f>
        <v/>
      </c>
      <c r="FN29">
        <f>FN28*IF(OR($C28=65,$G28=65),0,1)</f>
        <v/>
      </c>
      <c r="FO29">
        <f>FO28*IF(OR($C28=66,$G28=66),0,1)</f>
        <v/>
      </c>
      <c r="FP29">
        <f>FP28*IF(OR($C28=67,$G28=67),0,1)</f>
        <v/>
      </c>
      <c r="FQ29">
        <f>FQ28*IF(OR($C28=68,$G28=68),0,1)</f>
        <v/>
      </c>
      <c r="FR29">
        <f>FR28*IF(OR($C28=69,$G28=69),0,1)</f>
        <v/>
      </c>
      <c r="FS29">
        <f>FS28*IF(OR($C28=70,$G28=70),0,1)</f>
        <v/>
      </c>
      <c r="FT29">
        <f>FT28*IF(OR($C28=71,$G28=71),0,1)</f>
        <v/>
      </c>
      <c r="FU29">
        <f>FU28*IF(OR($C28=72,$G28=72),0,1)</f>
        <v/>
      </c>
      <c r="FV29">
        <f>FV28*IF(OR($C28=73,$G28=73),0,1)</f>
        <v/>
      </c>
      <c r="FW29">
        <f>FW28*IF(OR($C28=74,$G28=74),0,1)</f>
        <v/>
      </c>
      <c r="FX29">
        <f>FX28*IF(OR($C28=75,$G28=75),0,1)</f>
        <v/>
      </c>
      <c r="FY29">
        <f>FY28*IF(OR($C28=76,$G28=76),0,1)</f>
        <v/>
      </c>
      <c r="FZ29">
        <f>FZ28*IF(OR($C28=77,$G28=77),0,1)</f>
        <v/>
      </c>
      <c r="GA29">
        <f>GA28*IF(OR($C28=78,$G28=78),0,1)</f>
        <v/>
      </c>
      <c r="GB29">
        <f>GB28*IF(OR($C28=79,$G28=79),0,1)</f>
        <v/>
      </c>
      <c r="GC29">
        <f>GC28*IF(OR($C28=80,$G28=80),0,1)</f>
        <v/>
      </c>
      <c r="GD29">
        <f>GD28*IF(OR($C28=81,$G28=81),0,1)</f>
        <v/>
      </c>
      <c r="GE29">
        <f>GE28*IF(OR($C28=82,$G28=82),0,1)</f>
        <v/>
      </c>
      <c r="GF29">
        <f>GF28*IF(OR($C28=83,$G28=83),0,1)</f>
        <v/>
      </c>
      <c r="GG29">
        <f>GG28*IF(OR($C28=84,$G28=84),0,1)</f>
        <v/>
      </c>
      <c r="GH29">
        <f>GH28*IF(OR($C28=85,$G28=85),0,1)</f>
        <v/>
      </c>
      <c r="GI29">
        <f>GI28*IF(OR($C28=86,$G28=86),0,1)</f>
        <v/>
      </c>
      <c r="GJ29">
        <f>GJ28*IF(OR($C28=87,$G28=87),0,1)</f>
        <v/>
      </c>
      <c r="GK29">
        <f>GK28*IF(OR($C28=88,$G28=88),0,1)</f>
        <v/>
      </c>
      <c r="GL29">
        <f>GL28*IF(OR($C28=89,$G28=89),0,1)</f>
        <v/>
      </c>
      <c r="GM29">
        <f>GM28*IF(OR($C28=90,$G28=90),0,1)</f>
        <v/>
      </c>
      <c r="GN29">
        <f>GN28*IF(OR($C28=91,$G28=91),0,1)</f>
        <v/>
      </c>
      <c r="GO29">
        <f>GO28*IF(OR($C28=92,$G28=92),0,1)</f>
        <v/>
      </c>
      <c r="GP29">
        <f>GP28*IF(OR($C28=93,$G28=93),0,1)</f>
        <v/>
      </c>
      <c r="GQ29">
        <f>GQ28*IF(OR($C28=94,$G28=94),0,1)</f>
        <v/>
      </c>
      <c r="GR29">
        <f>GR28*IF(OR($C28=95,$G28=95),0,1)</f>
        <v/>
      </c>
      <c r="GS29">
        <f>GS28*IF(OR($C28=96,$G28=96),0,1)</f>
        <v/>
      </c>
      <c r="GT29">
        <f>GT28*IF(OR($C28=97,$G28=97),0,1)</f>
        <v/>
      </c>
      <c r="GU29">
        <f>GU28*IF(OR($C28=98,$G28=98),0,1)</f>
        <v/>
      </c>
      <c r="GV29">
        <f>GV28*IF(OR($C28=99,$G28=99),0,1)</f>
        <v/>
      </c>
      <c r="GW29">
        <f>GW28*IF(OR($C28=100,$G28=100),0,1)</f>
        <v/>
      </c>
      <c r="GX29">
        <f>GX28*IF(OR($C28=101,$G28=101),0,1)</f>
        <v/>
      </c>
      <c r="GY29">
        <f>GY28*IF(OR($C28=102,$G28=102),0,1)</f>
        <v/>
      </c>
      <c r="GZ29">
        <f>GZ28*IF(OR($C28=103,$G28=103),0,1)</f>
        <v/>
      </c>
      <c r="HA29">
        <f>HA28*IF(OR($C28=104,$G28=104),0,1)</f>
        <v/>
      </c>
      <c r="HB29">
        <f>HB28*IF(OR($C28=105,$G28=105),0,1)</f>
        <v/>
      </c>
      <c r="HC29">
        <f>HC28*IF(OR($C28=106,$G28=106),0,1)</f>
        <v/>
      </c>
      <c r="HD29">
        <f>HD28*IF(OR($C28=107,$G28=107),0,1)</f>
        <v/>
      </c>
      <c r="HE29">
        <f>HE28*IF(OR($C28=108,$G28=108),0,1)</f>
        <v/>
      </c>
      <c r="HF29">
        <f>HF28*IF(OR($C28=109,$G28=109),0,1)</f>
        <v/>
      </c>
      <c r="HG29">
        <f>HG28*IF(OR($C28=110,$G28=110),0,1)</f>
        <v/>
      </c>
      <c r="HH29">
        <f>HH28*IF(OR($C28=111,$G28=111),0,1)</f>
        <v/>
      </c>
      <c r="HI29">
        <f>HI28*IF(OR($C28=112,$G28=112),0,1)</f>
        <v/>
      </c>
      <c r="HJ29">
        <f>HJ28*IF(OR($C28=113,$G28=113),0,1)</f>
        <v/>
      </c>
      <c r="HK29">
        <f>HK28*IF(OR($C28=114,$G28=114),0,1)</f>
        <v/>
      </c>
      <c r="HL29">
        <f>HL28*IF(OR($C28=115,$G28=115),0,1)</f>
        <v/>
      </c>
      <c r="HM29">
        <f>HM28*IF(OR($C28=116,$G28=116),0,1)</f>
        <v/>
      </c>
      <c r="HN29">
        <f>HN28*IF(OR($C28=117,$G28=117),0,1)</f>
        <v/>
      </c>
      <c r="HO29">
        <f>HO28*IF(OR($C28=118,$G28=118),0,1)</f>
        <v/>
      </c>
      <c r="HP29">
        <f>HP28*IF(OR($C28=119,$G28=119),0,1)</f>
        <v/>
      </c>
      <c r="HQ29">
        <f>HQ28*IF(OR($C28=120,$G28=120),0,1)</f>
        <v/>
      </c>
      <c r="HR29">
        <f>HR28*IF(OR($C28=121,$G28=121),0,1)</f>
        <v/>
      </c>
      <c r="HS29">
        <f>HS28*IF(OR($C28=122,$G28=122),0,1)</f>
        <v/>
      </c>
      <c r="HT29">
        <f>HT28*IF(OR($C28=123,$G28=123),0,1)</f>
        <v/>
      </c>
      <c r="HU29">
        <f>HU28*IF(OR($C28=124,$G28=124),0,1)</f>
        <v/>
      </c>
      <c r="HV29">
        <f>HV28*IF(OR($C28=125,$G28=125),0,1)</f>
        <v/>
      </c>
      <c r="HW29">
        <f>HW28*IF(OR($C28=126,$G28=126),0,1)</f>
        <v/>
      </c>
      <c r="HX29">
        <f>HX28*IF(OR($C28=127,$G28=127),0,1)</f>
        <v/>
      </c>
      <c r="HY29">
        <f>HY28*IF(OR($C28=128,$G28=128),0,1)</f>
        <v/>
      </c>
      <c r="HZ29">
        <f>HZ28*IF(OR($C28=129,$G28=129),0,1)</f>
        <v/>
      </c>
      <c r="IA29">
        <f>IA28*IF(OR($C28=130,$G28=130),0,1)</f>
        <v/>
      </c>
      <c r="IB29">
        <f>IB28*IF(OR($C28=131,$G28=131),0,1)</f>
        <v/>
      </c>
      <c r="IC29">
        <f>IC28*IF(OR($C28=132,$G28=132),0,1)</f>
        <v/>
      </c>
      <c r="ID29">
        <f>ID28*IF(OR($C28=133,$G28=133),0,1)</f>
        <v/>
      </c>
      <c r="IE29">
        <f>IE28*IF(OR($C28=134,$G28=134),0,1)</f>
        <v/>
      </c>
      <c r="IF29">
        <f>IF28*IF(OR($C28=135,$G28=135),0,1)</f>
        <v/>
      </c>
      <c r="IG29">
        <f>IG28*IF(OR($C28=136,$G28=136),0,1)</f>
        <v/>
      </c>
      <c r="IH29">
        <f>IH28*IF(OR($C28=137,$G28=137),0,1)</f>
        <v/>
      </c>
      <c r="II29">
        <f>II28*IF(OR($C28=138,$G28=138),0,1)</f>
        <v/>
      </c>
      <c r="IJ29">
        <f>IJ28*IF(OR($C28=139,$G28=139),0,1)</f>
        <v/>
      </c>
      <c r="IK29">
        <f>IK28*IF(OR($C28=140,$G28=140),0,1)</f>
        <v/>
      </c>
      <c r="IL29">
        <f>IL28*IF(OR($C28=141,$G28=141),0,1)</f>
        <v/>
      </c>
      <c r="IM29">
        <f>IM28*IF(OR($C28=142,$G28=142),0,1)</f>
        <v/>
      </c>
      <c r="IN29">
        <f>IN28*IF(OR($C28=143,$G28=143),0,1)</f>
        <v/>
      </c>
      <c r="IO29">
        <f>IO28*IF(OR($C28=144,$G28=144),0,1)</f>
        <v/>
      </c>
      <c r="IQ29">
        <f>IF('calcA'!D$106=1,DC29,1)</f>
        <v/>
      </c>
      <c r="IR29">
        <f>IF('calcA'!E$106=1,DD29,1)</f>
        <v/>
      </c>
      <c r="IS29">
        <f>IF('calcA'!F$106=1,DE29,1)</f>
        <v/>
      </c>
      <c r="IT29">
        <f>IF('calcA'!G$106=1,DF29,1)</f>
        <v/>
      </c>
      <c r="IU29">
        <f>IF('calcA'!H$106=1,DG29,1)</f>
        <v/>
      </c>
      <c r="IV29">
        <f>IF('calcA'!I$106=1,DH29,1)</f>
        <v/>
      </c>
      <c r="IW29">
        <f>IF('calcA'!J$106=1,DI29,1)</f>
        <v/>
      </c>
      <c r="IX29">
        <f>IF('calcA'!K$106=1,DJ29,1)</f>
        <v/>
      </c>
      <c r="IY29">
        <f>IF('calcA'!L$106=1,DK29,1)</f>
        <v/>
      </c>
      <c r="IZ29">
        <f>IF('calcA'!M$106=1,DL29,1)</f>
        <v/>
      </c>
      <c r="JA29">
        <f>IF('calcA'!N$106=1,DM29,1)</f>
        <v/>
      </c>
      <c r="JB29">
        <f>IF('calcA'!O$106=1,DN29,1)</f>
        <v/>
      </c>
      <c r="JC29">
        <f>IF('calcA'!P$106=1,DO29,1)</f>
        <v/>
      </c>
      <c r="JD29">
        <f>IF('calcA'!Q$106=1,DP29,1)</f>
        <v/>
      </c>
      <c r="JE29">
        <f>IF('calcA'!R$106=1,DQ29,1)</f>
        <v/>
      </c>
      <c r="JF29">
        <f>IF('calcA'!S$106=1,DR29,1)</f>
        <v/>
      </c>
      <c r="JG29">
        <f>IF('calcA'!T$106=1,DS29,1)</f>
        <v/>
      </c>
      <c r="JH29">
        <f>IF('calcA'!U$106=1,DT29,1)</f>
        <v/>
      </c>
      <c r="JI29">
        <f>IF('calcA'!V$106=1,DU29,1)</f>
        <v/>
      </c>
      <c r="JJ29">
        <f>IF('calcA'!W$106=1,DV29,1)</f>
        <v/>
      </c>
      <c r="JK29">
        <f>IF('calcA'!X$106=1,DW29,1)</f>
        <v/>
      </c>
      <c r="JL29">
        <f>IF('calcA'!Y$106=1,DX29,1)</f>
        <v/>
      </c>
      <c r="JM29">
        <f>IF('calcA'!Z$106=1,DY29,1)</f>
        <v/>
      </c>
      <c r="JN29">
        <f>IF('calcA'!AA$106=1,DZ29,1)</f>
        <v/>
      </c>
      <c r="JO29">
        <f>IF('calcA'!AB$106=1,EA29,1)</f>
        <v/>
      </c>
      <c r="JP29">
        <f>IF('calcA'!AC$106=1,EB29,1)</f>
        <v/>
      </c>
      <c r="JQ29">
        <f>IF('calcA'!AD$106=1,EC29,1)</f>
        <v/>
      </c>
      <c r="JR29">
        <f>IF('calcA'!AE$106=1,ED29,1)</f>
        <v/>
      </c>
      <c r="JS29">
        <f>IF('calcA'!AF$106=1,EE29,1)</f>
        <v/>
      </c>
      <c r="JT29">
        <f>IF('calcA'!AG$106=1,EF29,1)</f>
        <v/>
      </c>
      <c r="JU29">
        <f>IF('calcA'!AH$106=1,EG29,1)</f>
        <v/>
      </c>
      <c r="JV29">
        <f>IF('calcA'!AI$106=1,EH29,1)</f>
        <v/>
      </c>
      <c r="JW29">
        <f>IF('calcA'!AJ$106=1,EI29,1)</f>
        <v/>
      </c>
      <c r="JX29">
        <f>IF('calcA'!AK$106=1,EJ29,1)</f>
        <v/>
      </c>
      <c r="JY29">
        <f>IF('calcA'!AL$106=1,EK29,1)</f>
        <v/>
      </c>
      <c r="JZ29">
        <f>IF('calcA'!AM$106=1,EL29,1)</f>
        <v/>
      </c>
      <c r="KA29">
        <f>IF('calcA'!AN$106=1,EM29,1)</f>
        <v/>
      </c>
      <c r="KB29">
        <f>IF('calcA'!AO$106=1,EN29,1)</f>
        <v/>
      </c>
      <c r="KC29">
        <f>IF('calcA'!AP$106=1,EO29,1)</f>
        <v/>
      </c>
      <c r="KD29">
        <f>IF('calcA'!AQ$106=1,EP29,1)</f>
        <v/>
      </c>
      <c r="KE29">
        <f>IF('calcA'!AR$106=1,EQ29,1)</f>
        <v/>
      </c>
      <c r="KF29">
        <f>IF('calcA'!AS$106=1,ER29,1)</f>
        <v/>
      </c>
      <c r="KG29">
        <f>IF('calcA'!AT$106=1,ES29,1)</f>
        <v/>
      </c>
      <c r="KH29">
        <f>IF('calcA'!AU$106=1,ET29,1)</f>
        <v/>
      </c>
      <c r="KI29">
        <f>IF('calcA'!AV$106=1,EU29,1)</f>
        <v/>
      </c>
      <c r="KJ29">
        <f>IF('calcA'!AW$106=1,EV29,1)</f>
        <v/>
      </c>
      <c r="KK29">
        <f>IF('calcA'!AX$106=1,EW29,1)</f>
        <v/>
      </c>
      <c r="KL29">
        <f>IF('calcA'!AY$106=1,EX29,1)</f>
        <v/>
      </c>
      <c r="KM29">
        <f>IF('calcA'!AZ$106=1,EY29,1)</f>
        <v/>
      </c>
      <c r="KN29">
        <f>IF('calcA'!BA$106=1,EZ29,1)</f>
        <v/>
      </c>
      <c r="KO29">
        <f>IF('calcA'!BB$106=1,FA29,1)</f>
        <v/>
      </c>
      <c r="KP29">
        <f>IF('calcA'!BC$106=1,FB29,1)</f>
        <v/>
      </c>
      <c r="KQ29">
        <f>IF('calcA'!BD$106=1,FC29,1)</f>
        <v/>
      </c>
      <c r="KR29">
        <f>IF('calcA'!BE$106=1,FD29,1)</f>
        <v/>
      </c>
      <c r="KS29">
        <f>IF('calcA'!BF$106=1,FE29,1)</f>
        <v/>
      </c>
      <c r="KT29">
        <f>IF('calcA'!BG$106=1,FF29,1)</f>
        <v/>
      </c>
      <c r="KU29">
        <f>IF('calcA'!BH$106=1,FG29,1)</f>
        <v/>
      </c>
      <c r="KV29">
        <f>IF('calcA'!BI$106=1,FH29,1)</f>
        <v/>
      </c>
      <c r="KW29">
        <f>IF('calcA'!BJ$106=1,FI29,1)</f>
        <v/>
      </c>
      <c r="KX29">
        <f>IF('calcA'!BK$106=1,FJ29,1)</f>
        <v/>
      </c>
      <c r="KY29">
        <f>IF('calcA'!BL$106=1,FK29,1)</f>
        <v/>
      </c>
      <c r="KZ29">
        <f>IF('calcA'!BM$106=1,FL29,1)</f>
        <v/>
      </c>
      <c r="LA29">
        <f>IF('calcA'!BN$106=1,FM29,1)</f>
        <v/>
      </c>
      <c r="LB29">
        <f>IF('calcA'!BO$106=1,FN29,1)</f>
        <v/>
      </c>
      <c r="LC29">
        <f>IF('calcA'!BP$106=1,FO29,1)</f>
        <v/>
      </c>
      <c r="LD29">
        <f>IF('calcA'!BQ$106=1,FP29,1)</f>
        <v/>
      </c>
      <c r="LE29">
        <f>IF('calcA'!BR$106=1,FQ29,1)</f>
        <v/>
      </c>
      <c r="LF29">
        <f>IF('calcA'!BS$106=1,FR29,1)</f>
        <v/>
      </c>
      <c r="LG29">
        <f>IF('calcA'!BT$106=1,FS29,1)</f>
        <v/>
      </c>
      <c r="LH29">
        <f>IF('calcA'!BU$106=1,FT29,1)</f>
        <v/>
      </c>
      <c r="LI29">
        <f>IF('calcA'!BV$106=1,FU29,1)</f>
        <v/>
      </c>
      <c r="LJ29">
        <f>IF('calcA'!BW$106=1,FV29,1)</f>
        <v/>
      </c>
      <c r="LK29">
        <f>IF('calcA'!BX$106=1,FW29,1)</f>
        <v/>
      </c>
      <c r="LL29">
        <f>IF('calcA'!BY$106=1,FX29,1)</f>
        <v/>
      </c>
      <c r="LM29">
        <f>IF('calcA'!BZ$106=1,FY29,1)</f>
        <v/>
      </c>
      <c r="LN29">
        <f>IF('calcA'!CA$106=1,FZ29,1)</f>
        <v/>
      </c>
      <c r="LO29">
        <f>IF('calcA'!CB$106=1,GA29,1)</f>
        <v/>
      </c>
      <c r="LP29">
        <f>IF('calcA'!CC$106=1,GB29,1)</f>
        <v/>
      </c>
      <c r="LQ29">
        <f>IF('calcA'!CD$106=1,GC29,1)</f>
        <v/>
      </c>
      <c r="LR29">
        <f>IF('calcA'!CE$106=1,GD29,1)</f>
        <v/>
      </c>
      <c r="LS29">
        <f>IF('calcA'!CF$106=1,GE29,1)</f>
        <v/>
      </c>
      <c r="LT29">
        <f>IF('calcA'!CG$106=1,GF29,1)</f>
        <v/>
      </c>
      <c r="LU29">
        <f>IF('calcA'!CH$106=1,GG29,1)</f>
        <v/>
      </c>
      <c r="LV29">
        <f>IF('calcA'!CI$106=1,GH29,1)</f>
        <v/>
      </c>
      <c r="LW29">
        <f>IF('calcA'!CJ$106=1,GI29,1)</f>
        <v/>
      </c>
      <c r="LX29">
        <f>IF('calcA'!CK$106=1,GJ29,1)</f>
        <v/>
      </c>
      <c r="LY29">
        <f>IF('calcA'!CL$106=1,GK29,1)</f>
        <v/>
      </c>
      <c r="LZ29">
        <f>IF('calcA'!CM$106=1,GL29,1)</f>
        <v/>
      </c>
      <c r="MA29">
        <f>IF('calcA'!CN$106=1,GM29,1)</f>
        <v/>
      </c>
      <c r="MB29">
        <f>IF('calcA'!CO$106=1,GN29,1)</f>
        <v/>
      </c>
      <c r="MC29">
        <f>IF('calcA'!CP$106=1,GO29,1)</f>
        <v/>
      </c>
      <c r="MD29">
        <f>IF('calcA'!CQ$106=1,GP29,1)</f>
        <v/>
      </c>
      <c r="ME29">
        <f>IF('calcA'!CR$106=1,GQ29,1)</f>
        <v/>
      </c>
      <c r="MF29">
        <f>IF('calcA'!CS$106=1,GR29,1)</f>
        <v/>
      </c>
      <c r="MG29">
        <f>IF('calcA'!CT$106=1,GS29,1)</f>
        <v/>
      </c>
      <c r="MH29">
        <f>IF('calcA'!CU$106=1,GT29,1)</f>
        <v/>
      </c>
      <c r="MI29">
        <f>IF('calcA'!CV$106=1,GU29,1)</f>
        <v/>
      </c>
      <c r="MJ29">
        <f>IF('calcA'!CW$106=1,GV29,1)</f>
        <v/>
      </c>
      <c r="MK29">
        <f>IF('calcA'!CX$106=1,GW29,1)</f>
        <v/>
      </c>
      <c r="ML29">
        <f>IF('calcA'!CY$106=1,GX29,1)</f>
        <v/>
      </c>
      <c r="MM29">
        <f>IF('calcA'!CZ$106=1,GY29,1)</f>
        <v/>
      </c>
      <c r="MN29">
        <f>IF('calcA'!DA$106=1,GZ29,1)</f>
        <v/>
      </c>
      <c r="MO29">
        <f>IF('calcA'!DB$106=1,HA29,1)</f>
        <v/>
      </c>
      <c r="MP29">
        <f>IF('calcA'!DC$106=1,HB29,1)</f>
        <v/>
      </c>
      <c r="MQ29">
        <f>IF('calcA'!DD$106=1,HC29,1)</f>
        <v/>
      </c>
      <c r="MR29">
        <f>IF('calcA'!DE$106=1,HD29,1)</f>
        <v/>
      </c>
      <c r="MS29">
        <f>IF('calcA'!DF$106=1,HE29,1)</f>
        <v/>
      </c>
      <c r="MT29">
        <f>IF('calcA'!DG$106=1,HF29,1)</f>
        <v/>
      </c>
      <c r="MU29">
        <f>IF('calcA'!DH$106=1,HG29,1)</f>
        <v/>
      </c>
      <c r="MV29">
        <f>IF('calcA'!DI$106=1,HH29,1)</f>
        <v/>
      </c>
      <c r="MW29">
        <f>IF('calcA'!DJ$106=1,HI29,1)</f>
        <v/>
      </c>
      <c r="MX29">
        <f>IF('calcA'!DK$106=1,HJ29,1)</f>
        <v/>
      </c>
      <c r="MY29">
        <f>IF('calcA'!DL$106=1,HK29,1)</f>
        <v/>
      </c>
      <c r="MZ29">
        <f>IF('calcA'!DM$106=1,HL29,1)</f>
        <v/>
      </c>
      <c r="NA29">
        <f>IF('calcA'!DN$106=1,HM29,1)</f>
        <v/>
      </c>
      <c r="NB29">
        <f>IF('calcA'!DO$106=1,HN29,1)</f>
        <v/>
      </c>
      <c r="NC29">
        <f>IF('calcA'!DP$106=1,HO29,1)</f>
        <v/>
      </c>
      <c r="ND29">
        <f>IF('calcA'!DQ$106=1,HP29,1)</f>
        <v/>
      </c>
      <c r="NE29">
        <f>IF('calcA'!DR$106=1,HQ29,1)</f>
        <v/>
      </c>
      <c r="NF29">
        <f>IF('calcA'!DS$106=1,HR29,1)</f>
        <v/>
      </c>
      <c r="NG29">
        <f>IF('calcA'!DT$106=1,HS29,1)</f>
        <v/>
      </c>
      <c r="NH29">
        <f>IF('calcA'!DU$106=1,HT29,1)</f>
        <v/>
      </c>
      <c r="NI29">
        <f>IF('calcA'!DV$106=1,HU29,1)</f>
        <v/>
      </c>
      <c r="NJ29">
        <f>IF('calcA'!DW$106=1,HV29,1)</f>
        <v/>
      </c>
      <c r="NK29">
        <f>IF('calcA'!DX$106=1,HW29,1)</f>
        <v/>
      </c>
      <c r="NL29">
        <f>IF('calcA'!DY$106=1,HX29,1)</f>
        <v/>
      </c>
      <c r="NM29">
        <f>IF('calcA'!DZ$106=1,HY29,1)</f>
        <v/>
      </c>
      <c r="NN29">
        <f>IF('calcA'!EA$106=1,HZ29,1)</f>
        <v/>
      </c>
      <c r="NO29">
        <f>IF('calcA'!EB$106=1,IA29,1)</f>
        <v/>
      </c>
      <c r="NP29">
        <f>IF('calcA'!EC$106=1,IB29,1)</f>
        <v/>
      </c>
      <c r="NQ29">
        <f>IF('calcA'!ED$106=1,IC29,1)</f>
        <v/>
      </c>
      <c r="NR29">
        <f>IF('calcA'!EE$106=1,ID29,1)</f>
        <v/>
      </c>
      <c r="NS29">
        <f>IF('calcA'!EF$106=1,IE29,1)</f>
        <v/>
      </c>
      <c r="NT29">
        <f>IF('calcA'!EG$106=1,IF29,1)</f>
        <v/>
      </c>
      <c r="NU29">
        <f>IF('calcA'!EH$106=1,IG29,1)</f>
        <v/>
      </c>
      <c r="NV29">
        <f>IF('calcA'!EI$106=1,IH29,1)</f>
        <v/>
      </c>
      <c r="NW29">
        <f>IF('calcA'!EJ$106=1,II29,1)</f>
        <v/>
      </c>
      <c r="NX29">
        <f>IF('calcA'!EK$106=1,IJ29,1)</f>
        <v/>
      </c>
      <c r="NY29">
        <f>IF('calcA'!EL$106=1,IK29,1)</f>
        <v/>
      </c>
      <c r="NZ29">
        <f>IF('calcA'!EM$106=1,IL29,1)</f>
        <v/>
      </c>
      <c r="OA29">
        <f>IF('calcA'!EN$106=1,IM29,1)</f>
        <v/>
      </c>
      <c r="OB29">
        <f>IF('calcA'!EO$106=1,IN29,1)</f>
        <v/>
      </c>
      <c r="OC29">
        <f>IF('calcA'!EP$106=1,IO29,1)</f>
        <v/>
      </c>
      <c r="OD29" t="n">
        <v>1</v>
      </c>
      <c r="OF29">
        <f>IF($B29=0,1000000000,IF(INDEX('calcA'!$D$60:$EQ$99,$B29,1)*IF($W29=1,DB29+ZQ29,DB29)=1,IF(AND($E29=2,IF($W29=1,AFF29,IQ29)=0),1000000000,IF($V29=1,INDEX('calcA'!$D$130:$EQ$169,$B29,1)+IF(AND($E29=1,IQ29=0),25,0),INDEX('calcA'!D$110:D$114,$F29+1)+IF(AND($E29=1,IQ29=0),1000,0)+IF($H29=1,INDEX('calcA'!$D$180:$EQ$219,$B29,1)*500,0)-IF(AND($U29=1,'calcA'!D$117=1,DC29=0),300,0))),1000000000))</f>
        <v/>
      </c>
      <c r="OG29">
        <f>IF($B29=0,1000000000,IF(INDEX('calcA'!$D$60:$EQ$99,$B29,2)*IF($W29=1,DC29+ZR29,DC29)=1,IF(AND($E29=2,IF($W29=1,AFG29,IR29)=0),1000000000,IF($V29=1,INDEX('calcA'!$D$130:$EQ$169,$B29,2)+IF(AND($E29=1,IR29=0),25,0),INDEX('calcA'!E$110:E$114,$F29+1)+IF(AND($E29=1,IR29=0),1000,0)+IF($H29=1,INDEX('calcA'!$D$180:$EQ$219,$B29,2)*500,0)-IF(AND('calcA'!D$117=1,UB29&gt;0),300,0)-IF(AND($U29=1,'calcA'!E$117=1,DD29=0),300,0))),1000000000))</f>
        <v/>
      </c>
      <c r="OH29">
        <f>IF($B29=0,1000000000,IF(INDEX('calcA'!$D$60:$EQ$99,$B29,3)*IF($W29=1,DD29+ZS29,DD29)=1,IF(AND($E29=2,IF($W29=1,AFH29,IS29)=0),1000000000,IF($V29=1,INDEX('calcA'!$D$130:$EQ$169,$B29,3)+IF(AND($E29=1,IS29=0),25,0),INDEX('calcA'!F$110:F$114,$F29+1)+IF(AND($E29=1,IS29=0),1000,0)+IF($H29=1,INDEX('calcA'!$D$180:$EQ$219,$B29,3)*500,0)-IF(AND('calcA'!E$117=1,UC29&gt;0),300,0)-IF(AND($U29=1,'calcA'!F$117=1,DE29=0),300,0))),1000000000))</f>
        <v/>
      </c>
      <c r="OI29">
        <f>IF($B29=0,1000000000,IF(INDEX('calcA'!$D$60:$EQ$99,$B29,4)*IF($W29=1,DE29+ZT29,DE29)=1,IF(AND($E29=2,IF($W29=1,AFI29,IT29)=0),1000000000,IF($V29=1,INDEX('calcA'!$D$130:$EQ$169,$B29,4)+IF(AND($E29=1,IT29=0),25,0),INDEX('calcA'!G$110:G$114,$F29+1)+IF(AND($E29=1,IT29=0),1000,0)+IF($H29=1,INDEX('calcA'!$D$180:$EQ$219,$B29,4)*500,0)-IF(AND('calcA'!F$117=1,UD29&gt;0),300,0)-IF(AND($U29=1,'calcA'!G$117=1,DF29=0),300,0))),1000000000))</f>
        <v/>
      </c>
      <c r="OJ29">
        <f>IF($B29=0,1000000000,IF(INDEX('calcA'!$D$60:$EQ$99,$B29,5)*IF($W29=1,DF29+ZU29,DF29)=1,IF(AND($E29=2,IF($W29=1,AFJ29,IU29)=0),1000000000,IF($V29=1,INDEX('calcA'!$D$130:$EQ$169,$B29,5)+IF(AND($E29=1,IU29=0),25,0),INDEX('calcA'!H$110:H$114,$F29+1)+IF(AND($E29=1,IU29=0),1000,0)+IF($H29=1,INDEX('calcA'!$D$180:$EQ$219,$B29,5)*500,0)-IF(AND('calcA'!G$117=1,UE29&gt;0),300,0)-IF(AND($U29=1,'calcA'!H$117=1,DG29=0),300,0))),1000000000))</f>
        <v/>
      </c>
      <c r="OK29">
        <f>IF($B29=0,1000000000,IF(INDEX('calcA'!$D$60:$EQ$99,$B29,6)*IF($W29=1,DG29+ZV29,DG29)=1,IF(AND($E29=2,IF($W29=1,AFK29,IV29)=0),1000000000,IF($V29=1,INDEX('calcA'!$D$130:$EQ$169,$B29,6)+IF(AND($E29=1,IV29=0),25,0),INDEX('calcA'!I$110:I$114,$F29+1)+IF(AND($E29=1,IV29=0),1000,0)+IF($H29=1,INDEX('calcA'!$D$180:$EQ$219,$B29,6)*500,0)-IF(AND('calcA'!H$117=1,UF29&gt;0),300,0)-IF(AND($U29=1,'calcA'!I$117=1,DH29=0),300,0))),1000000000))</f>
        <v/>
      </c>
      <c r="OL29">
        <f>IF($B29=0,1000000000,IF(INDEX('calcA'!$D$60:$EQ$99,$B29,7)*IF($W29=1,DH29+ZW29,DH29)=1,IF(AND($E29=2,IF($W29=1,AFL29,IW29)=0),1000000000,IF($V29=1,INDEX('calcA'!$D$130:$EQ$169,$B29,7)+IF(AND($E29=1,IW29=0),25,0),INDEX('calcA'!J$110:J$114,$F29+1)+IF(AND($E29=1,IW29=0),1000,0)+IF($H29=1,INDEX('calcA'!$D$180:$EQ$219,$B29,7)*500,0)-IF(AND('calcA'!I$117=1,UG29&gt;0),300,0)-IF(AND($U29=1,'calcA'!J$117=1,DI29=0),300,0))),1000000000))</f>
        <v/>
      </c>
      <c r="OM29">
        <f>IF($B29=0,1000000000,IF(INDEX('calcA'!$D$60:$EQ$99,$B29,8)*IF($W29=1,DI29+ZX29,DI29)=1,IF(AND($E29=2,IF($W29=1,AFM29,IX29)=0),1000000000,IF($V29=1,INDEX('calcA'!$D$130:$EQ$169,$B29,8)+IF(AND($E29=1,IX29=0),25,0),INDEX('calcA'!K$110:K$114,$F29+1)+IF(AND($E29=1,IX29=0),1000,0)+IF($H29=1,INDEX('calcA'!$D$180:$EQ$219,$B29,8)*500,0)-IF(AND('calcA'!J$117=1,UH29&gt;0),300,0)-IF(AND($U29=1,'calcA'!K$117=1,DJ29=0),300,0))),1000000000))</f>
        <v/>
      </c>
      <c r="ON29">
        <f>IF($B29=0,1000000000,IF(INDEX('calcA'!$D$60:$EQ$99,$B29,9)*IF($W29=1,DJ29+ZY29,DJ29)=1,IF(AND($E29=2,IF($W29=1,AFN29,IY29)=0),1000000000,IF($V29=1,INDEX('calcA'!$D$130:$EQ$169,$B29,9)+IF(AND($E29=1,IY29=0),25,0),INDEX('calcA'!L$110:L$114,$F29+1)+IF(AND($E29=1,IY29=0),1000,0)+IF($H29=1,INDEX('calcA'!$D$180:$EQ$219,$B29,9)*500,0)-IF(AND('calcA'!K$117=1,UI29&gt;0),300,0)-IF(AND($U29=1,'calcA'!L$117=1,DK29=0),300,0))),1000000000))</f>
        <v/>
      </c>
      <c r="OO29">
        <f>IF($B29=0,1000000000,IF(INDEX('calcA'!$D$60:$EQ$99,$B29,10)*IF($W29=1,DK29+ZZ29,DK29)=1,IF(AND($E29=2,IF($W29=1,AFO29,IZ29)=0),1000000000,IF($V29=1,INDEX('calcA'!$D$130:$EQ$169,$B29,10)+IF(AND($E29=1,IZ29=0),25,0),INDEX('calcA'!M$110:M$114,$F29+1)+IF(AND($E29=1,IZ29=0),1000,0)+IF($H29=1,INDEX('calcA'!$D$180:$EQ$219,$B29,10)*500,0)-IF(AND('calcA'!L$117=1,UJ29&gt;0),300,0)-IF(AND($U29=1,'calcA'!M$117=1,DL29=0),300,0))),1000000000))</f>
        <v/>
      </c>
      <c r="OP29">
        <f>IF($B29=0,1000000000,IF(INDEX('calcA'!$D$60:$EQ$99,$B29,11)*IF($W29=1,DL29+AAA29,DL29)=1,IF(AND($E29=2,IF($W29=1,AFP29,JA29)=0),1000000000,IF($V29=1,INDEX('calcA'!$D$130:$EQ$169,$B29,11)+IF(AND($E29=1,JA29=0),25,0),INDEX('calcA'!N$110:N$114,$F29+1)+IF(AND($E29=1,JA29=0),1000,0)+IF($H29=1,INDEX('calcA'!$D$180:$EQ$219,$B29,11)*500,0)-IF(AND('calcA'!M$117=1,UK29&gt;0),300,0)-IF(AND($U29=1,'calcA'!N$117=1,DM29=0),300,0))),1000000000))</f>
        <v/>
      </c>
      <c r="OQ29">
        <f>IF($B29=0,1000000000,IF(INDEX('calcA'!$D$60:$EQ$99,$B29,12)*IF($W29=1,DM29+AAB29,DM29)=1,IF(AND($E29=2,IF($W29=1,AFQ29,JB29)=0),1000000000,IF($V29=1,INDEX('calcA'!$D$130:$EQ$169,$B29,12)+IF(AND($E29=1,JB29=0),25,0),INDEX('calcA'!O$110:O$114,$F29+1)+IF(AND($E29=1,JB29=0),1000,0)+IF($H29=1,INDEX('calcA'!$D$180:$EQ$219,$B29,12)*500,0)-IF(AND('calcA'!N$117=1,UL29&gt;0),300,0)-IF(AND($U29=1,'calcA'!O$117=1,DN29=0),300,0))),1000000000))</f>
        <v/>
      </c>
      <c r="OR29">
        <f>IF($B29=0,1000000000,IF(INDEX('calcA'!$D$60:$EQ$99,$B29,13)*IF($W29=1,DN29+AAC29,DN29)=1,IF(AND($E29=2,IF($W29=1,AFR29,JC29)=0),1000000000,IF($V29=1,INDEX('calcA'!$D$130:$EQ$169,$B29,13)+IF(AND($E29=1,JC29=0),25,0),INDEX('calcA'!P$110:P$114,$F29+1)+IF(AND($E29=1,JC29=0),1000,0)+IF($H29=1,INDEX('calcA'!$D$180:$EQ$219,$B29,13)*500,0)-IF(AND('calcA'!O$117=1,UM29&gt;0),300,0)-IF(AND($U29=1,'calcA'!P$117=1,DO29=0),300,0))),1000000000))</f>
        <v/>
      </c>
      <c r="OS29">
        <f>IF($B29=0,1000000000,IF(INDEX('calcA'!$D$60:$EQ$99,$B29,14)*IF($W29=1,DO29+AAD29,DO29)=1,IF(AND($E29=2,IF($W29=1,AFS29,JD29)=0),1000000000,IF($V29=1,INDEX('calcA'!$D$130:$EQ$169,$B29,14)+IF(AND($E29=1,JD29=0),25,0),INDEX('calcA'!Q$110:Q$114,$F29+1)+IF(AND($E29=1,JD29=0),1000,0)+IF($H29=1,INDEX('calcA'!$D$180:$EQ$219,$B29,14)*500,0)-IF(AND('calcA'!P$117=1,UN29&gt;0),300,0)-IF(AND($U29=1,'calcA'!Q$117=1,DP29=0),300,0))),1000000000))</f>
        <v/>
      </c>
      <c r="OT29">
        <f>IF($B29=0,1000000000,IF(INDEX('calcA'!$D$60:$EQ$99,$B29,15)*IF($W29=1,DP29+AAE29,DP29)=1,IF(AND($E29=2,IF($W29=1,AFT29,JE29)=0),1000000000,IF($V29=1,INDEX('calcA'!$D$130:$EQ$169,$B29,15)+IF(AND($E29=1,JE29=0),25,0),INDEX('calcA'!R$110:R$114,$F29+1)+IF(AND($E29=1,JE29=0),1000,0)+IF($H29=1,INDEX('calcA'!$D$180:$EQ$219,$B29,15)*500,0)-IF(AND('calcA'!Q$117=1,UO29&gt;0),300,0)-IF(AND($U29=1,'calcA'!R$117=1,DQ29=0),300,0))),1000000000))</f>
        <v/>
      </c>
      <c r="OU29">
        <f>IF($B29=0,1000000000,IF(INDEX('calcA'!$D$60:$EQ$99,$B29,16)*IF($W29=1,DQ29+AAF29,DQ29)=1,IF(AND($E29=2,IF($W29=1,AFU29,JF29)=0),1000000000,IF($V29=1,INDEX('calcA'!$D$130:$EQ$169,$B29,16)+IF(AND($E29=1,JF29=0),25,0),INDEX('calcA'!S$110:S$114,$F29+1)+IF(AND($E29=1,JF29=0),1000,0)+IF($H29=1,INDEX('calcA'!$D$180:$EQ$219,$B29,16)*500,0)-IF(AND('calcA'!R$117=1,UP29&gt;0),300,0)-IF(AND($U29=1,'calcA'!S$117=1,DR29=0),300,0))),1000000000))</f>
        <v/>
      </c>
      <c r="OV29">
        <f>IF($B29=0,1000000000,IF(INDEX('calcA'!$D$60:$EQ$99,$B29,17)*IF($W29=1,DR29+AAG29,DR29)=1,IF(AND($E29=2,IF($W29=1,AFV29,JG29)=0),1000000000,IF($V29=1,INDEX('calcA'!$D$130:$EQ$169,$B29,17)+IF(AND($E29=1,JG29=0),25,0),INDEX('calcA'!T$110:T$114,$F29+1)+IF(AND($E29=1,JG29=0),1000,0)+IF($H29=1,INDEX('calcA'!$D$180:$EQ$219,$B29,17)*500,0)-IF(AND('calcA'!S$117=1,UQ29&gt;0),300,0)-IF(AND($U29=1,'calcA'!T$117=1,DS29=0),300,0))),1000000000))</f>
        <v/>
      </c>
      <c r="OW29">
        <f>IF($B29=0,1000000000,IF(INDEX('calcA'!$D$60:$EQ$99,$B29,18)*IF($W29=1,DS29+AAH29,DS29)=1,IF(AND($E29=2,IF($W29=1,AFW29,JH29)=0),1000000000,IF($V29=1,INDEX('calcA'!$D$130:$EQ$169,$B29,18)+IF(AND($E29=1,JH29=0),25,0),INDEX('calcA'!U$110:U$114,$F29+1)+IF(AND($E29=1,JH29=0),1000,0)+IF($H29=1,INDEX('calcA'!$D$180:$EQ$219,$B29,18)*500,0)-IF(AND('calcA'!T$117=1,UR29&gt;0),300,0)-IF(AND($U29=1,'calcA'!U$117=1,DT29=0),300,0))),1000000000))</f>
        <v/>
      </c>
      <c r="OX29">
        <f>IF($B29=0,1000000000,IF(INDEX('calcA'!$D$60:$EQ$99,$B29,19)*IF($W29=1,DT29+AAI29,DT29)=1,IF(AND($E29=2,IF($W29=1,AFX29,JI29)=0),1000000000,IF($V29=1,INDEX('calcA'!$D$130:$EQ$169,$B29,19)+IF(AND($E29=1,JI29=0),25,0),INDEX('calcA'!V$110:V$114,$F29+1)+IF(AND($E29=1,JI29=0),1000,0)+IF($H29=1,INDEX('calcA'!$D$180:$EQ$219,$B29,19)*500,0)-IF(AND('calcA'!U$117=1,US29&gt;0),300,0)-IF(AND($U29=1,'calcA'!V$117=1,DU29=0),300,0))),1000000000))</f>
        <v/>
      </c>
      <c r="OY29">
        <f>IF($B29=0,1000000000,IF(INDEX('calcA'!$D$60:$EQ$99,$B29,20)*IF($W29=1,DU29+AAJ29,DU29)=1,IF(AND($E29=2,IF($W29=1,AFY29,JJ29)=0),1000000000,IF($V29=1,INDEX('calcA'!$D$130:$EQ$169,$B29,20)+IF(AND($E29=1,JJ29=0),25,0),INDEX('calcA'!W$110:W$114,$F29+1)+IF(AND($E29=1,JJ29=0),1000,0)+IF($H29=1,INDEX('calcA'!$D$180:$EQ$219,$B29,20)*500,0)-IF(AND('calcA'!V$117=1,UT29&gt;0),300,0)-IF(AND($U29=1,'calcA'!W$117=1,DV29=0),300,0))),1000000000))</f>
        <v/>
      </c>
      <c r="OZ29">
        <f>IF($B29=0,1000000000,IF(INDEX('calcA'!$D$60:$EQ$99,$B29,21)*IF($W29=1,DV29+AAK29,DV29)=1,IF(AND($E29=2,IF($W29=1,AFZ29,JK29)=0),1000000000,IF($V29=1,INDEX('calcA'!$D$130:$EQ$169,$B29,21)+IF(AND($E29=1,JK29=0),25,0),INDEX('calcA'!X$110:X$114,$F29+1)+IF(AND($E29=1,JK29=0),1000,0)+IF($H29=1,INDEX('calcA'!$D$180:$EQ$219,$B29,21)*500,0)-IF(AND('calcA'!W$117=1,UU29&gt;0),300,0)-IF(AND($U29=1,'calcA'!X$117=1,DW29=0),300,0))),1000000000))</f>
        <v/>
      </c>
      <c r="PA29">
        <f>IF($B29=0,1000000000,IF(INDEX('calcA'!$D$60:$EQ$99,$B29,22)*IF($W29=1,DW29+AAL29,DW29)=1,IF(AND($E29=2,IF($W29=1,AGA29,JL29)=0),1000000000,IF($V29=1,INDEX('calcA'!$D$130:$EQ$169,$B29,22)+IF(AND($E29=1,JL29=0),25,0),INDEX('calcA'!Y$110:Y$114,$F29+1)+IF(AND($E29=1,JL29=0),1000,0)+IF($H29=1,INDEX('calcA'!$D$180:$EQ$219,$B29,22)*500,0)-IF(AND('calcA'!X$117=1,UV29&gt;0),300,0)-IF(AND($U29=1,'calcA'!Y$117=1,DX29=0),300,0))),1000000000))</f>
        <v/>
      </c>
      <c r="PB29">
        <f>IF($B29=0,1000000000,IF(INDEX('calcA'!$D$60:$EQ$99,$B29,23)*IF($W29=1,DX29+AAM29,DX29)=1,IF(AND($E29=2,IF($W29=1,AGB29,JM29)=0),1000000000,IF($V29=1,INDEX('calcA'!$D$130:$EQ$169,$B29,23)+IF(AND($E29=1,JM29=0),25,0),INDEX('calcA'!Z$110:Z$114,$F29+1)+IF(AND($E29=1,JM29=0),1000,0)+IF($H29=1,INDEX('calcA'!$D$180:$EQ$219,$B29,23)*500,0)-IF(AND('calcA'!Y$117=1,UW29&gt;0),300,0)-IF(AND($U29=1,'calcA'!Z$117=1,DY29=0),300,0))),1000000000))</f>
        <v/>
      </c>
      <c r="PC29">
        <f>IF($B29=0,1000000000,IF(INDEX('calcA'!$D$60:$EQ$99,$B29,24)*IF($W29=1,DY29+AAN29,DY29)=1,IF(AND($E29=2,IF($W29=1,AGC29,JN29)=0),1000000000,IF($V29=1,INDEX('calcA'!$D$130:$EQ$169,$B29,24)+IF(AND($E29=1,JN29=0),25,0),INDEX('calcA'!AA$110:AA$114,$F29+1)+IF(AND($E29=1,JN29=0),1000,0)+IF($H29=1,INDEX('calcA'!$D$180:$EQ$219,$B29,24)*500,0)-IF(AND('calcA'!Z$117=1,UX29&gt;0),300,0))),1000000000))</f>
        <v/>
      </c>
      <c r="PD29">
        <f>IF($B29=0,1000000000,IF(INDEX('calcA'!$D$60:$EQ$99,$B29,25)*IF($W29=1,DZ29+AAO29,DZ29)=1,IF(AND($E29=2,IF($W29=1,AGD29,JO29)=0),1000000000,IF($V29=1,INDEX('calcA'!$D$130:$EQ$169,$B29,25)+IF(AND($E29=1,JO29=0),25,0),INDEX('calcA'!AB$110:AB$114,$F29+1)+IF(AND($E29=1,JO29=0),1000,0)+IF($H29=1,INDEX('calcA'!$D$180:$EQ$219,$B29,25)*500,0)-IF(AND($U29=1,'calcA'!AB$117=1,EA29=0),300,0))),1000000000))</f>
        <v/>
      </c>
      <c r="PE29">
        <f>IF($B29=0,1000000000,IF(INDEX('calcA'!$D$60:$EQ$99,$B29,26)*IF($W29=1,EA29+AAP29,EA29)=1,IF(AND($E29=2,IF($W29=1,AGE29,JP29)=0),1000000000,IF($V29=1,INDEX('calcA'!$D$130:$EQ$169,$B29,26)+IF(AND($E29=1,JP29=0),25,0),INDEX('calcA'!AC$110:AC$114,$F29+1)+IF(AND($E29=1,JP29=0),1000,0)+IF($H29=1,INDEX('calcA'!$D$180:$EQ$219,$B29,26)*500,0)-IF(AND('calcA'!AB$117=1,UZ29&gt;0),300,0)-IF(AND($U29=1,'calcA'!AC$117=1,EB29=0),300,0))),1000000000))</f>
        <v/>
      </c>
      <c r="PF29">
        <f>IF($B29=0,1000000000,IF(INDEX('calcA'!$D$60:$EQ$99,$B29,27)*IF($W29=1,EB29+AAQ29,EB29)=1,IF(AND($E29=2,IF($W29=1,AGF29,JQ29)=0),1000000000,IF($V29=1,INDEX('calcA'!$D$130:$EQ$169,$B29,27)+IF(AND($E29=1,JQ29=0),25,0),INDEX('calcA'!AD$110:AD$114,$F29+1)+IF(AND($E29=1,JQ29=0),1000,0)+IF($H29=1,INDEX('calcA'!$D$180:$EQ$219,$B29,27)*500,0)-IF(AND('calcA'!AC$117=1,VA29&gt;0),300,0)-IF(AND($U29=1,'calcA'!AD$117=1,EC29=0),300,0))),1000000000))</f>
        <v/>
      </c>
      <c r="PG29">
        <f>IF($B29=0,1000000000,IF(INDEX('calcA'!$D$60:$EQ$99,$B29,28)*IF($W29=1,EC29+AAR29,EC29)=1,IF(AND($E29=2,IF($W29=1,AGG29,JR29)=0),1000000000,IF($V29=1,INDEX('calcA'!$D$130:$EQ$169,$B29,28)+IF(AND($E29=1,JR29=0),25,0),INDEX('calcA'!AE$110:AE$114,$F29+1)+IF(AND($E29=1,JR29=0),1000,0)+IF($H29=1,INDEX('calcA'!$D$180:$EQ$219,$B29,28)*500,0)-IF(AND('calcA'!AD$117=1,VB29&gt;0),300,0)-IF(AND($U29=1,'calcA'!AE$117=1,ED29=0),300,0))),1000000000))</f>
        <v/>
      </c>
      <c r="PH29">
        <f>IF($B29=0,1000000000,IF(INDEX('calcA'!$D$60:$EQ$99,$B29,29)*IF($W29=1,ED29+AAS29,ED29)=1,IF(AND($E29=2,IF($W29=1,AGH29,JS29)=0),1000000000,IF($V29=1,INDEX('calcA'!$D$130:$EQ$169,$B29,29)+IF(AND($E29=1,JS29=0),25,0),INDEX('calcA'!AF$110:AF$114,$F29+1)+IF(AND($E29=1,JS29=0),1000,0)+IF($H29=1,INDEX('calcA'!$D$180:$EQ$219,$B29,29)*500,0)-IF(AND('calcA'!AE$117=1,VC29&gt;0),300,0)-IF(AND($U29=1,'calcA'!AF$117=1,EE29=0),300,0))),1000000000))</f>
        <v/>
      </c>
      <c r="PI29">
        <f>IF($B29=0,1000000000,IF(INDEX('calcA'!$D$60:$EQ$99,$B29,30)*IF($W29=1,EE29+AAT29,EE29)=1,IF(AND($E29=2,IF($W29=1,AGI29,JT29)=0),1000000000,IF($V29=1,INDEX('calcA'!$D$130:$EQ$169,$B29,30)+IF(AND($E29=1,JT29=0),25,0),INDEX('calcA'!AG$110:AG$114,$F29+1)+IF(AND($E29=1,JT29=0),1000,0)+IF($H29=1,INDEX('calcA'!$D$180:$EQ$219,$B29,30)*500,0)-IF(AND('calcA'!AF$117=1,VD29&gt;0),300,0)-IF(AND($U29=1,'calcA'!AG$117=1,EF29=0),300,0))),1000000000))</f>
        <v/>
      </c>
      <c r="PJ29">
        <f>IF($B29=0,1000000000,IF(INDEX('calcA'!$D$60:$EQ$99,$B29,31)*IF($W29=1,EF29+AAU29,EF29)=1,IF(AND($E29=2,IF($W29=1,AGJ29,JU29)=0),1000000000,IF($V29=1,INDEX('calcA'!$D$130:$EQ$169,$B29,31)+IF(AND($E29=1,JU29=0),25,0),INDEX('calcA'!AH$110:AH$114,$F29+1)+IF(AND($E29=1,JU29=0),1000,0)+IF($H29=1,INDEX('calcA'!$D$180:$EQ$219,$B29,31)*500,0)-IF(AND('calcA'!AG$117=1,VE29&gt;0),300,0)-IF(AND($U29=1,'calcA'!AH$117=1,EG29=0),300,0))),1000000000))</f>
        <v/>
      </c>
      <c r="PK29">
        <f>IF($B29=0,1000000000,IF(INDEX('calcA'!$D$60:$EQ$99,$B29,32)*IF($W29=1,EG29+AAV29,EG29)=1,IF(AND($E29=2,IF($W29=1,AGK29,JV29)=0),1000000000,IF($V29=1,INDEX('calcA'!$D$130:$EQ$169,$B29,32)+IF(AND($E29=1,JV29=0),25,0),INDEX('calcA'!AI$110:AI$114,$F29+1)+IF(AND($E29=1,JV29=0),1000,0)+IF($H29=1,INDEX('calcA'!$D$180:$EQ$219,$B29,32)*500,0)-IF(AND('calcA'!AH$117=1,VF29&gt;0),300,0)-IF(AND($U29=1,'calcA'!AI$117=1,EH29=0),300,0))),1000000000))</f>
        <v/>
      </c>
      <c r="PL29">
        <f>IF($B29=0,1000000000,IF(INDEX('calcA'!$D$60:$EQ$99,$B29,33)*IF($W29=1,EH29+AAW29,EH29)=1,IF(AND($E29=2,IF($W29=1,AGL29,JW29)=0),1000000000,IF($V29=1,INDEX('calcA'!$D$130:$EQ$169,$B29,33)+IF(AND($E29=1,JW29=0),25,0),INDEX('calcA'!AJ$110:AJ$114,$F29+1)+IF(AND($E29=1,JW29=0),1000,0)+IF($H29=1,INDEX('calcA'!$D$180:$EQ$219,$B29,33)*500,0)-IF(AND('calcA'!AI$117=1,VG29&gt;0),300,0)-IF(AND($U29=1,'calcA'!AJ$117=1,EI29=0),300,0))),1000000000))</f>
        <v/>
      </c>
      <c r="PM29">
        <f>IF($B29=0,1000000000,IF(INDEX('calcA'!$D$60:$EQ$99,$B29,34)*IF($W29=1,EI29+AAX29,EI29)=1,IF(AND($E29=2,IF($W29=1,AGM29,JX29)=0),1000000000,IF($V29=1,INDEX('calcA'!$D$130:$EQ$169,$B29,34)+IF(AND($E29=1,JX29=0),25,0),INDEX('calcA'!AK$110:AK$114,$F29+1)+IF(AND($E29=1,JX29=0),1000,0)+IF($H29=1,INDEX('calcA'!$D$180:$EQ$219,$B29,34)*500,0)-IF(AND('calcA'!AJ$117=1,VH29&gt;0),300,0)-IF(AND($U29=1,'calcA'!AK$117=1,EJ29=0),300,0))),1000000000))</f>
        <v/>
      </c>
      <c r="PN29">
        <f>IF($B29=0,1000000000,IF(INDEX('calcA'!$D$60:$EQ$99,$B29,35)*IF($W29=1,EJ29+AAY29,EJ29)=1,IF(AND($E29=2,IF($W29=1,AGN29,JY29)=0),1000000000,IF($V29=1,INDEX('calcA'!$D$130:$EQ$169,$B29,35)+IF(AND($E29=1,JY29=0),25,0),INDEX('calcA'!AL$110:AL$114,$F29+1)+IF(AND($E29=1,JY29=0),1000,0)+IF($H29=1,INDEX('calcA'!$D$180:$EQ$219,$B29,35)*500,0)-IF(AND('calcA'!AK$117=1,VI29&gt;0),300,0)-IF(AND($U29=1,'calcA'!AL$117=1,EK29=0),300,0))),1000000000))</f>
        <v/>
      </c>
      <c r="PO29">
        <f>IF($B29=0,1000000000,IF(INDEX('calcA'!$D$60:$EQ$99,$B29,36)*IF($W29=1,EK29+AAZ29,EK29)=1,IF(AND($E29=2,IF($W29=1,AGO29,JZ29)=0),1000000000,IF($V29=1,INDEX('calcA'!$D$130:$EQ$169,$B29,36)+IF(AND($E29=1,JZ29=0),25,0),INDEX('calcA'!AM$110:AM$114,$F29+1)+IF(AND($E29=1,JZ29=0),1000,0)+IF($H29=1,INDEX('calcA'!$D$180:$EQ$219,$B29,36)*500,0)-IF(AND('calcA'!AL$117=1,VJ29&gt;0),300,0)-IF(AND($U29=1,'calcA'!AM$117=1,EL29=0),300,0))),1000000000))</f>
        <v/>
      </c>
      <c r="PP29">
        <f>IF($B29=0,1000000000,IF(INDEX('calcA'!$D$60:$EQ$99,$B29,37)*IF($W29=1,EL29+ABA29,EL29)=1,IF(AND($E29=2,IF($W29=1,AGP29,KA29)=0),1000000000,IF($V29=1,INDEX('calcA'!$D$130:$EQ$169,$B29,37)+IF(AND($E29=1,KA29=0),25,0),INDEX('calcA'!AN$110:AN$114,$F29+1)+IF(AND($E29=1,KA29=0),1000,0)+IF($H29=1,INDEX('calcA'!$D$180:$EQ$219,$B29,37)*500,0)-IF(AND('calcA'!AM$117=1,VK29&gt;0),300,0)-IF(AND($U29=1,'calcA'!AN$117=1,EM29=0),300,0))),1000000000))</f>
        <v/>
      </c>
      <c r="PQ29">
        <f>IF($B29=0,1000000000,IF(INDEX('calcA'!$D$60:$EQ$99,$B29,38)*IF($W29=1,EM29+ABB29,EM29)=1,IF(AND($E29=2,IF($W29=1,AGQ29,KB29)=0),1000000000,IF($V29=1,INDEX('calcA'!$D$130:$EQ$169,$B29,38)+IF(AND($E29=1,KB29=0),25,0),INDEX('calcA'!AO$110:AO$114,$F29+1)+IF(AND($E29=1,KB29=0),1000,0)+IF($H29=1,INDEX('calcA'!$D$180:$EQ$219,$B29,38)*500,0)-IF(AND('calcA'!AN$117=1,VL29&gt;0),300,0)-IF(AND($U29=1,'calcA'!AO$117=1,EN29=0),300,0))),1000000000))</f>
        <v/>
      </c>
      <c r="PR29">
        <f>IF($B29=0,1000000000,IF(INDEX('calcA'!$D$60:$EQ$99,$B29,39)*IF($W29=1,EN29+ABC29,EN29)=1,IF(AND($E29=2,IF($W29=1,AGR29,KC29)=0),1000000000,IF($V29=1,INDEX('calcA'!$D$130:$EQ$169,$B29,39)+IF(AND($E29=1,KC29=0),25,0),INDEX('calcA'!AP$110:AP$114,$F29+1)+IF(AND($E29=1,KC29=0),1000,0)+IF($H29=1,INDEX('calcA'!$D$180:$EQ$219,$B29,39)*500,0)-IF(AND('calcA'!AO$117=1,VM29&gt;0),300,0)-IF(AND($U29=1,'calcA'!AP$117=1,EO29=0),300,0))),1000000000))</f>
        <v/>
      </c>
      <c r="PS29">
        <f>IF($B29=0,1000000000,IF(INDEX('calcA'!$D$60:$EQ$99,$B29,40)*IF($W29=1,EO29+ABD29,EO29)=1,IF(AND($E29=2,IF($W29=1,AGS29,KD29)=0),1000000000,IF($V29=1,INDEX('calcA'!$D$130:$EQ$169,$B29,40)+IF(AND($E29=1,KD29=0),25,0),INDEX('calcA'!AQ$110:AQ$114,$F29+1)+IF(AND($E29=1,KD29=0),1000,0)+IF($H29=1,INDEX('calcA'!$D$180:$EQ$219,$B29,40)*500,0)-IF(AND('calcA'!AP$117=1,VN29&gt;0),300,0)-IF(AND($U29=1,'calcA'!AQ$117=1,EP29=0),300,0))),1000000000))</f>
        <v/>
      </c>
      <c r="PT29">
        <f>IF($B29=0,1000000000,IF(INDEX('calcA'!$D$60:$EQ$99,$B29,41)*IF($W29=1,EP29+ABE29,EP29)=1,IF(AND($E29=2,IF($W29=1,AGT29,KE29)=0),1000000000,IF($V29=1,INDEX('calcA'!$D$130:$EQ$169,$B29,41)+IF(AND($E29=1,KE29=0),25,0),INDEX('calcA'!AR$110:AR$114,$F29+1)+IF(AND($E29=1,KE29=0),1000,0)+IF($H29=1,INDEX('calcA'!$D$180:$EQ$219,$B29,41)*500,0)-IF(AND('calcA'!AQ$117=1,VO29&gt;0),300,0)-IF(AND($U29=1,'calcA'!AR$117=1,EQ29=0),300,0))),1000000000))</f>
        <v/>
      </c>
      <c r="PU29">
        <f>IF($B29=0,1000000000,IF(INDEX('calcA'!$D$60:$EQ$99,$B29,42)*IF($W29=1,EQ29+ABF29,EQ29)=1,IF(AND($E29=2,IF($W29=1,AGU29,KF29)=0),1000000000,IF($V29=1,INDEX('calcA'!$D$130:$EQ$169,$B29,42)+IF(AND($E29=1,KF29=0),25,0),INDEX('calcA'!AS$110:AS$114,$F29+1)+IF(AND($E29=1,KF29=0),1000,0)+IF($H29=1,INDEX('calcA'!$D$180:$EQ$219,$B29,42)*500,0)-IF(AND('calcA'!AR$117=1,VP29&gt;0),300,0)-IF(AND($U29=1,'calcA'!AS$117=1,ER29=0),300,0))),1000000000))</f>
        <v/>
      </c>
      <c r="PV29">
        <f>IF($B29=0,1000000000,IF(INDEX('calcA'!$D$60:$EQ$99,$B29,43)*IF($W29=1,ER29+ABG29,ER29)=1,IF(AND($E29=2,IF($W29=1,AGV29,KG29)=0),1000000000,IF($V29=1,INDEX('calcA'!$D$130:$EQ$169,$B29,43)+IF(AND($E29=1,KG29=0),25,0),INDEX('calcA'!AT$110:AT$114,$F29+1)+IF(AND($E29=1,KG29=0),1000,0)+IF($H29=1,INDEX('calcA'!$D$180:$EQ$219,$B29,43)*500,0)-IF(AND('calcA'!AS$117=1,VQ29&gt;0),300,0)-IF(AND($U29=1,'calcA'!AT$117=1,ES29=0),300,0))),1000000000))</f>
        <v/>
      </c>
      <c r="PW29">
        <f>IF($B29=0,1000000000,IF(INDEX('calcA'!$D$60:$EQ$99,$B29,44)*IF($W29=1,ES29+ABH29,ES29)=1,IF(AND($E29=2,IF($W29=1,AGW29,KH29)=0),1000000000,IF($V29=1,INDEX('calcA'!$D$130:$EQ$169,$B29,44)+IF(AND($E29=1,KH29=0),25,0),INDEX('calcA'!AU$110:AU$114,$F29+1)+IF(AND($E29=1,KH29=0),1000,0)+IF($H29=1,INDEX('calcA'!$D$180:$EQ$219,$B29,44)*500,0)-IF(AND('calcA'!AT$117=1,VR29&gt;0),300,0)-IF(AND($U29=1,'calcA'!AU$117=1,ET29=0),300,0))),1000000000))</f>
        <v/>
      </c>
      <c r="PX29">
        <f>IF($B29=0,1000000000,IF(INDEX('calcA'!$D$60:$EQ$99,$B29,45)*IF($W29=1,ET29+ABI29,ET29)=1,IF(AND($E29=2,IF($W29=1,AGX29,KI29)=0),1000000000,IF($V29=1,INDEX('calcA'!$D$130:$EQ$169,$B29,45)+IF(AND($E29=1,KI29=0),25,0),INDEX('calcA'!AV$110:AV$114,$F29+1)+IF(AND($E29=1,KI29=0),1000,0)+IF($H29=1,INDEX('calcA'!$D$180:$EQ$219,$B29,45)*500,0)-IF(AND('calcA'!AU$117=1,VS29&gt;0),300,0)-IF(AND($U29=1,'calcA'!AV$117=1,EU29=0),300,0))),1000000000))</f>
        <v/>
      </c>
      <c r="PY29">
        <f>IF($B29=0,1000000000,IF(INDEX('calcA'!$D$60:$EQ$99,$B29,46)*IF($W29=1,EU29+ABJ29,EU29)=1,IF(AND($E29=2,IF($W29=1,AGY29,KJ29)=0),1000000000,IF($V29=1,INDEX('calcA'!$D$130:$EQ$169,$B29,46)+IF(AND($E29=1,KJ29=0),25,0),INDEX('calcA'!AW$110:AW$114,$F29+1)+IF(AND($E29=1,KJ29=0),1000,0)+IF($H29=1,INDEX('calcA'!$D$180:$EQ$219,$B29,46)*500,0)-IF(AND('calcA'!AV$117=1,VT29&gt;0),300,0)-IF(AND($U29=1,'calcA'!AW$117=1,EV29=0),300,0))),1000000000))</f>
        <v/>
      </c>
      <c r="PZ29">
        <f>IF($B29=0,1000000000,IF(INDEX('calcA'!$D$60:$EQ$99,$B29,47)*IF($W29=1,EV29+ABK29,EV29)=1,IF(AND($E29=2,IF($W29=1,AGZ29,KK29)=0),1000000000,IF($V29=1,INDEX('calcA'!$D$130:$EQ$169,$B29,47)+IF(AND($E29=1,KK29=0),25,0),INDEX('calcA'!AX$110:AX$114,$F29+1)+IF(AND($E29=1,KK29=0),1000,0)+IF($H29=1,INDEX('calcA'!$D$180:$EQ$219,$B29,47)*500,0)-IF(AND('calcA'!AW$117=1,VU29&gt;0),300,0)-IF(AND($U29=1,'calcA'!AX$117=1,EW29=0),300,0))),1000000000))</f>
        <v/>
      </c>
      <c r="QA29">
        <f>IF($B29=0,1000000000,IF(INDEX('calcA'!$D$60:$EQ$99,$B29,48)*IF($W29=1,EW29+ABL29,EW29)=1,IF(AND($E29=2,IF($W29=1,AHA29,KL29)=0),1000000000,IF($V29=1,INDEX('calcA'!$D$130:$EQ$169,$B29,48)+IF(AND($E29=1,KL29=0),25,0),INDEX('calcA'!AY$110:AY$114,$F29+1)+IF(AND($E29=1,KL29=0),1000,0)+IF($H29=1,INDEX('calcA'!$D$180:$EQ$219,$B29,48)*500,0)-IF(AND('calcA'!AX$117=1,VV29&gt;0),300,0))),1000000000))</f>
        <v/>
      </c>
      <c r="QB29">
        <f>IF($B29=0,1000000000,IF(INDEX('calcA'!$D$60:$EQ$99,$B29,49)*IF($W29=1,EX29+ABM29,EX29)=1,IF(AND($E29=2,IF($W29=1,AHB29,KM29)=0),1000000000,IF($V29=1,INDEX('calcA'!$D$130:$EQ$169,$B29,49)+IF(AND($E29=1,KM29=0),25,0),INDEX('calcA'!AZ$110:AZ$114,$F29+1)+IF(AND($E29=1,KM29=0),1000,0)+IF($H29=1,INDEX('calcA'!$D$180:$EQ$219,$B29,49)*500,0)-IF(AND($U29=1,'calcA'!AZ$117=1,EY29=0),300,0))),1000000000))</f>
        <v/>
      </c>
      <c r="QC29">
        <f>IF($B29=0,1000000000,IF(INDEX('calcA'!$D$60:$EQ$99,$B29,50)*IF($W29=1,EY29+ABN29,EY29)=1,IF(AND($E29=2,IF($W29=1,AHC29,KN29)=0),1000000000,IF($V29=1,INDEX('calcA'!$D$130:$EQ$169,$B29,50)+IF(AND($E29=1,KN29=0),25,0),INDEX('calcA'!BA$110:BA$114,$F29+1)+IF(AND($E29=1,KN29=0),1000,0)+IF($H29=1,INDEX('calcA'!$D$180:$EQ$219,$B29,50)*500,0)-IF(AND('calcA'!AZ$117=1,VX29&gt;0),300,0)-IF(AND($U29=1,'calcA'!BA$117=1,EZ29=0),300,0))),1000000000))</f>
        <v/>
      </c>
      <c r="QD29">
        <f>IF($B29=0,1000000000,IF(INDEX('calcA'!$D$60:$EQ$99,$B29,51)*IF($W29=1,EZ29+ABO29,EZ29)=1,IF(AND($E29=2,IF($W29=1,AHD29,KO29)=0),1000000000,IF($V29=1,INDEX('calcA'!$D$130:$EQ$169,$B29,51)+IF(AND($E29=1,KO29=0),25,0),INDEX('calcA'!BB$110:BB$114,$F29+1)+IF(AND($E29=1,KO29=0),1000,0)+IF($H29=1,INDEX('calcA'!$D$180:$EQ$219,$B29,51)*500,0)-IF(AND('calcA'!BA$117=1,VY29&gt;0),300,0)-IF(AND($U29=1,'calcA'!BB$117=1,FA29=0),300,0))),1000000000))</f>
        <v/>
      </c>
      <c r="QE29">
        <f>IF($B29=0,1000000000,IF(INDEX('calcA'!$D$60:$EQ$99,$B29,52)*IF($W29=1,FA29+ABP29,FA29)=1,IF(AND($E29=2,IF($W29=1,AHE29,KP29)=0),1000000000,IF($V29=1,INDEX('calcA'!$D$130:$EQ$169,$B29,52)+IF(AND($E29=1,KP29=0),25,0),INDEX('calcA'!BC$110:BC$114,$F29+1)+IF(AND($E29=1,KP29=0),1000,0)+IF($H29=1,INDEX('calcA'!$D$180:$EQ$219,$B29,52)*500,0)-IF(AND('calcA'!BB$117=1,VZ29&gt;0),300,0)-IF(AND($U29=1,'calcA'!BC$117=1,FB29=0),300,0))),1000000000))</f>
        <v/>
      </c>
      <c r="QF29">
        <f>IF($B29=0,1000000000,IF(INDEX('calcA'!$D$60:$EQ$99,$B29,53)*IF($W29=1,FB29+ABQ29,FB29)=1,IF(AND($E29=2,IF($W29=1,AHF29,KQ29)=0),1000000000,IF($V29=1,INDEX('calcA'!$D$130:$EQ$169,$B29,53)+IF(AND($E29=1,KQ29=0),25,0),INDEX('calcA'!BD$110:BD$114,$F29+1)+IF(AND($E29=1,KQ29=0),1000,0)+IF($H29=1,INDEX('calcA'!$D$180:$EQ$219,$B29,53)*500,0)-IF(AND('calcA'!BC$117=1,WA29&gt;0),300,0)-IF(AND($U29=1,'calcA'!BD$117=1,FC29=0),300,0))),1000000000))</f>
        <v/>
      </c>
      <c r="QG29">
        <f>IF($B29=0,1000000000,IF(INDEX('calcA'!$D$60:$EQ$99,$B29,54)*IF($W29=1,FC29+ABR29,FC29)=1,IF(AND($E29=2,IF($W29=1,AHG29,KR29)=0),1000000000,IF($V29=1,INDEX('calcA'!$D$130:$EQ$169,$B29,54)+IF(AND($E29=1,KR29=0),25,0),INDEX('calcA'!BE$110:BE$114,$F29+1)+IF(AND($E29=1,KR29=0),1000,0)+IF($H29=1,INDEX('calcA'!$D$180:$EQ$219,$B29,54)*500,0)-IF(AND('calcA'!BD$117=1,WB29&gt;0),300,0)-IF(AND($U29=1,'calcA'!BE$117=1,FD29=0),300,0))),1000000000))</f>
        <v/>
      </c>
      <c r="QH29">
        <f>IF($B29=0,1000000000,IF(INDEX('calcA'!$D$60:$EQ$99,$B29,55)*IF($W29=1,FD29+ABS29,FD29)=1,IF(AND($E29=2,IF($W29=1,AHH29,KS29)=0),1000000000,IF($V29=1,INDEX('calcA'!$D$130:$EQ$169,$B29,55)+IF(AND($E29=1,KS29=0),25,0),INDEX('calcA'!BF$110:BF$114,$F29+1)+IF(AND($E29=1,KS29=0),1000,0)+IF($H29=1,INDEX('calcA'!$D$180:$EQ$219,$B29,55)*500,0)-IF(AND('calcA'!BE$117=1,WC29&gt;0),300,0)-IF(AND($U29=1,'calcA'!BF$117=1,FE29=0),300,0))),1000000000))</f>
        <v/>
      </c>
      <c r="QI29">
        <f>IF($B29=0,1000000000,IF(INDEX('calcA'!$D$60:$EQ$99,$B29,56)*IF($W29=1,FE29+ABT29,FE29)=1,IF(AND($E29=2,IF($W29=1,AHI29,KT29)=0),1000000000,IF($V29=1,INDEX('calcA'!$D$130:$EQ$169,$B29,56)+IF(AND($E29=1,KT29=0),25,0),INDEX('calcA'!BG$110:BG$114,$F29+1)+IF(AND($E29=1,KT29=0),1000,0)+IF($H29=1,INDEX('calcA'!$D$180:$EQ$219,$B29,56)*500,0)-IF(AND('calcA'!BF$117=1,WD29&gt;0),300,0)-IF(AND($U29=1,'calcA'!BG$117=1,FF29=0),300,0))),1000000000))</f>
        <v/>
      </c>
      <c r="QJ29">
        <f>IF($B29=0,1000000000,IF(INDEX('calcA'!$D$60:$EQ$99,$B29,57)*IF($W29=1,FF29+ABU29,FF29)=1,IF(AND($E29=2,IF($W29=1,AHJ29,KU29)=0),1000000000,IF($V29=1,INDEX('calcA'!$D$130:$EQ$169,$B29,57)+IF(AND($E29=1,KU29=0),25,0),INDEX('calcA'!BH$110:BH$114,$F29+1)+IF(AND($E29=1,KU29=0),1000,0)+IF($H29=1,INDEX('calcA'!$D$180:$EQ$219,$B29,57)*500,0)-IF(AND('calcA'!BG$117=1,WE29&gt;0),300,0)-IF(AND($U29=1,'calcA'!BH$117=1,FG29=0),300,0))),1000000000))</f>
        <v/>
      </c>
      <c r="QK29">
        <f>IF($B29=0,1000000000,IF(INDEX('calcA'!$D$60:$EQ$99,$B29,58)*IF($W29=1,FG29+ABV29,FG29)=1,IF(AND($E29=2,IF($W29=1,AHK29,KV29)=0),1000000000,IF($V29=1,INDEX('calcA'!$D$130:$EQ$169,$B29,58)+IF(AND($E29=1,KV29=0),25,0),INDEX('calcA'!BI$110:BI$114,$F29+1)+IF(AND($E29=1,KV29=0),1000,0)+IF($H29=1,INDEX('calcA'!$D$180:$EQ$219,$B29,58)*500,0)-IF(AND('calcA'!BH$117=1,WF29&gt;0),300,0)-IF(AND($U29=1,'calcA'!BI$117=1,FH29=0),300,0))),1000000000))</f>
        <v/>
      </c>
      <c r="QL29">
        <f>IF($B29=0,1000000000,IF(INDEX('calcA'!$D$60:$EQ$99,$B29,59)*IF($W29=1,FH29+ABW29,FH29)=1,IF(AND($E29=2,IF($W29=1,AHL29,KW29)=0),1000000000,IF($V29=1,INDEX('calcA'!$D$130:$EQ$169,$B29,59)+IF(AND($E29=1,KW29=0),25,0),INDEX('calcA'!BJ$110:BJ$114,$F29+1)+IF(AND($E29=1,KW29=0),1000,0)+IF($H29=1,INDEX('calcA'!$D$180:$EQ$219,$B29,59)*500,0)-IF(AND('calcA'!BI$117=1,WG29&gt;0),300,0)-IF(AND($U29=1,'calcA'!BJ$117=1,FI29=0),300,0))),1000000000))</f>
        <v/>
      </c>
      <c r="QM29">
        <f>IF($B29=0,1000000000,IF(INDEX('calcA'!$D$60:$EQ$99,$B29,60)*IF($W29=1,FI29+ABX29,FI29)=1,IF(AND($E29=2,IF($W29=1,AHM29,KX29)=0),1000000000,IF($V29=1,INDEX('calcA'!$D$130:$EQ$169,$B29,60)+IF(AND($E29=1,KX29=0),25,0),INDEX('calcA'!BK$110:BK$114,$F29+1)+IF(AND($E29=1,KX29=0),1000,0)+IF($H29=1,INDEX('calcA'!$D$180:$EQ$219,$B29,60)*500,0)-IF(AND('calcA'!BJ$117=1,WH29&gt;0),300,0)-IF(AND($U29=1,'calcA'!BK$117=1,FJ29=0),300,0))),1000000000))</f>
        <v/>
      </c>
      <c r="QN29">
        <f>IF($B29=0,1000000000,IF(INDEX('calcA'!$D$60:$EQ$99,$B29,61)*IF($W29=1,FJ29+ABY29,FJ29)=1,IF(AND($E29=2,IF($W29=1,AHN29,KY29)=0),1000000000,IF($V29=1,INDEX('calcA'!$D$130:$EQ$169,$B29,61)+IF(AND($E29=1,KY29=0),25,0),INDEX('calcA'!BL$110:BL$114,$F29+1)+IF(AND($E29=1,KY29=0),1000,0)+IF($H29=1,INDEX('calcA'!$D$180:$EQ$219,$B29,61)*500,0)-IF(AND('calcA'!BK$117=1,WI29&gt;0),300,0)-IF(AND($U29=1,'calcA'!BL$117=1,FK29=0),300,0))),1000000000))</f>
        <v/>
      </c>
      <c r="QO29">
        <f>IF($B29=0,1000000000,IF(INDEX('calcA'!$D$60:$EQ$99,$B29,62)*IF($W29=1,FK29+ABZ29,FK29)=1,IF(AND($E29=2,IF($W29=1,AHO29,KZ29)=0),1000000000,IF($V29=1,INDEX('calcA'!$D$130:$EQ$169,$B29,62)+IF(AND($E29=1,KZ29=0),25,0),INDEX('calcA'!BM$110:BM$114,$F29+1)+IF(AND($E29=1,KZ29=0),1000,0)+IF($H29=1,INDEX('calcA'!$D$180:$EQ$219,$B29,62)*500,0)-IF(AND('calcA'!BL$117=1,WJ29&gt;0),300,0)-IF(AND($U29=1,'calcA'!BM$117=1,FL29=0),300,0))),1000000000))</f>
        <v/>
      </c>
      <c r="QP29">
        <f>IF($B29=0,1000000000,IF(INDEX('calcA'!$D$60:$EQ$99,$B29,63)*IF($W29=1,FL29+ACA29,FL29)=1,IF(AND($E29=2,IF($W29=1,AHP29,LA29)=0),1000000000,IF($V29=1,INDEX('calcA'!$D$130:$EQ$169,$B29,63)+IF(AND($E29=1,LA29=0),25,0),INDEX('calcA'!BN$110:BN$114,$F29+1)+IF(AND($E29=1,LA29=0),1000,0)+IF($H29=1,INDEX('calcA'!$D$180:$EQ$219,$B29,63)*500,0)-IF(AND('calcA'!BM$117=1,WK29&gt;0),300,0)-IF(AND($U29=1,'calcA'!BN$117=1,FM29=0),300,0))),1000000000))</f>
        <v/>
      </c>
      <c r="QQ29">
        <f>IF($B29=0,1000000000,IF(INDEX('calcA'!$D$60:$EQ$99,$B29,64)*IF($W29=1,FM29+ACB29,FM29)=1,IF(AND($E29=2,IF($W29=1,AHQ29,LB29)=0),1000000000,IF($V29=1,INDEX('calcA'!$D$130:$EQ$169,$B29,64)+IF(AND($E29=1,LB29=0),25,0),INDEX('calcA'!BO$110:BO$114,$F29+1)+IF(AND($E29=1,LB29=0),1000,0)+IF($H29=1,INDEX('calcA'!$D$180:$EQ$219,$B29,64)*500,0)-IF(AND('calcA'!BN$117=1,WL29&gt;0),300,0)-IF(AND($U29=1,'calcA'!BO$117=1,FN29=0),300,0))),1000000000))</f>
        <v/>
      </c>
      <c r="QR29">
        <f>IF($B29=0,1000000000,IF(INDEX('calcA'!$D$60:$EQ$99,$B29,65)*IF($W29=1,FN29+ACC29,FN29)=1,IF(AND($E29=2,IF($W29=1,AHR29,LC29)=0),1000000000,IF($V29=1,INDEX('calcA'!$D$130:$EQ$169,$B29,65)+IF(AND($E29=1,LC29=0),25,0),INDEX('calcA'!BP$110:BP$114,$F29+1)+IF(AND($E29=1,LC29=0),1000,0)+IF($H29=1,INDEX('calcA'!$D$180:$EQ$219,$B29,65)*500,0)-IF(AND('calcA'!BO$117=1,WM29&gt;0),300,0)-IF(AND($U29=1,'calcA'!BP$117=1,FO29=0),300,0))),1000000000))</f>
        <v/>
      </c>
      <c r="QS29">
        <f>IF($B29=0,1000000000,IF(INDEX('calcA'!$D$60:$EQ$99,$B29,66)*IF($W29=1,FO29+ACD29,FO29)=1,IF(AND($E29=2,IF($W29=1,AHS29,LD29)=0),1000000000,IF($V29=1,INDEX('calcA'!$D$130:$EQ$169,$B29,66)+IF(AND($E29=1,LD29=0),25,0),INDEX('calcA'!BQ$110:BQ$114,$F29+1)+IF(AND($E29=1,LD29=0),1000,0)+IF($H29=1,INDEX('calcA'!$D$180:$EQ$219,$B29,66)*500,0)-IF(AND('calcA'!BP$117=1,WN29&gt;0),300,0)-IF(AND($U29=1,'calcA'!BQ$117=1,FP29=0),300,0))),1000000000))</f>
        <v/>
      </c>
      <c r="QT29">
        <f>IF($B29=0,1000000000,IF(INDEX('calcA'!$D$60:$EQ$99,$B29,67)*IF($W29=1,FP29+ACE29,FP29)=1,IF(AND($E29=2,IF($W29=1,AHT29,LE29)=0),1000000000,IF($V29=1,INDEX('calcA'!$D$130:$EQ$169,$B29,67)+IF(AND($E29=1,LE29=0),25,0),INDEX('calcA'!BR$110:BR$114,$F29+1)+IF(AND($E29=1,LE29=0),1000,0)+IF($H29=1,INDEX('calcA'!$D$180:$EQ$219,$B29,67)*500,0)-IF(AND('calcA'!BQ$117=1,WO29&gt;0),300,0)-IF(AND($U29=1,'calcA'!BR$117=1,FQ29=0),300,0))),1000000000))</f>
        <v/>
      </c>
      <c r="QU29">
        <f>IF($B29=0,1000000000,IF(INDEX('calcA'!$D$60:$EQ$99,$B29,68)*IF($W29=1,FQ29+ACF29,FQ29)=1,IF(AND($E29=2,IF($W29=1,AHU29,LF29)=0),1000000000,IF($V29=1,INDEX('calcA'!$D$130:$EQ$169,$B29,68)+IF(AND($E29=1,LF29=0),25,0),INDEX('calcA'!BS$110:BS$114,$F29+1)+IF(AND($E29=1,LF29=0),1000,0)+IF($H29=1,INDEX('calcA'!$D$180:$EQ$219,$B29,68)*500,0)-IF(AND('calcA'!BR$117=1,WP29&gt;0),300,0)-IF(AND($U29=1,'calcA'!BS$117=1,FR29=0),300,0))),1000000000))</f>
        <v/>
      </c>
      <c r="QV29">
        <f>IF($B29=0,1000000000,IF(INDEX('calcA'!$D$60:$EQ$99,$B29,69)*IF($W29=1,FR29+ACG29,FR29)=1,IF(AND($E29=2,IF($W29=1,AHV29,LG29)=0),1000000000,IF($V29=1,INDEX('calcA'!$D$130:$EQ$169,$B29,69)+IF(AND($E29=1,LG29=0),25,0),INDEX('calcA'!BT$110:BT$114,$F29+1)+IF(AND($E29=1,LG29=0),1000,0)+IF($H29=1,INDEX('calcA'!$D$180:$EQ$219,$B29,69)*500,0)-IF(AND('calcA'!BS$117=1,WQ29&gt;0),300,0)-IF(AND($U29=1,'calcA'!BT$117=1,FS29=0),300,0))),1000000000))</f>
        <v/>
      </c>
      <c r="QW29">
        <f>IF($B29=0,1000000000,IF(INDEX('calcA'!$D$60:$EQ$99,$B29,70)*IF($W29=1,FS29+ACH29,FS29)=1,IF(AND($E29=2,IF($W29=1,AHW29,LH29)=0),1000000000,IF($V29=1,INDEX('calcA'!$D$130:$EQ$169,$B29,70)+IF(AND($E29=1,LH29=0),25,0),INDEX('calcA'!BU$110:BU$114,$F29+1)+IF(AND($E29=1,LH29=0),1000,0)+IF($H29=1,INDEX('calcA'!$D$180:$EQ$219,$B29,70)*500,0)-IF(AND('calcA'!BT$117=1,WR29&gt;0),300,0)-IF(AND($U29=1,'calcA'!BU$117=1,FT29=0),300,0))),1000000000))</f>
        <v/>
      </c>
      <c r="QX29">
        <f>IF($B29=0,1000000000,IF(INDEX('calcA'!$D$60:$EQ$99,$B29,71)*IF($W29=1,FT29+ACI29,FT29)=1,IF(AND($E29=2,IF($W29=1,AHX29,LI29)=0),1000000000,IF($V29=1,INDEX('calcA'!$D$130:$EQ$169,$B29,71)+IF(AND($E29=1,LI29=0),25,0),INDEX('calcA'!BV$110:BV$114,$F29+1)+IF(AND($E29=1,LI29=0),1000,0)+IF($H29=1,INDEX('calcA'!$D$180:$EQ$219,$B29,71)*500,0)-IF(AND('calcA'!BU$117=1,WS29&gt;0),300,0)-IF(AND($U29=1,'calcA'!BV$117=1,FU29=0),300,0))),1000000000))</f>
        <v/>
      </c>
      <c r="QY29">
        <f>IF($B29=0,1000000000,IF(INDEX('calcA'!$D$60:$EQ$99,$B29,72)*IF($W29=1,FU29+ACJ29,FU29)=1,IF(AND($E29=2,IF($W29=1,AHY29,LJ29)=0),1000000000,IF($V29=1,INDEX('calcA'!$D$130:$EQ$169,$B29,72)+IF(AND($E29=1,LJ29=0),25,0),INDEX('calcA'!BW$110:BW$114,$F29+1)+IF(AND($E29=1,LJ29=0),1000,0)+IF($H29=1,INDEX('calcA'!$D$180:$EQ$219,$B29,72)*500,0)-IF(AND('calcA'!BV$117=1,WT29&gt;0),300,0))),1000000000))</f>
        <v/>
      </c>
      <c r="QZ29">
        <f>IF($B29=0,1000000000,IF(INDEX('calcA'!$D$60:$EQ$99,$B29,73)*IF($W29=1,FV29+ACK29,FV29)=1,IF(AND($E29=2,IF($W29=1,AHZ29,LK29)=0),1000000000,IF($V29=1,INDEX('calcA'!$D$130:$EQ$169,$B29,73)+IF(AND($E29=1,LK29=0),25,0),INDEX('calcA'!BX$110:BX$114,$F29+1)+IF(AND($E29=1,LK29=0),1000,0)+IF($H29=1,INDEX('calcA'!$D$180:$EQ$219,$B29,73)*500,0)-IF(AND($U29=1,'calcA'!BX$117=1,FW29=0),300,0))),1000000000))</f>
        <v/>
      </c>
      <c r="RA29">
        <f>IF($B29=0,1000000000,IF(INDEX('calcA'!$D$60:$EQ$99,$B29,74)*IF($W29=1,FW29+ACL29,FW29)=1,IF(AND($E29=2,IF($W29=1,AIA29,LL29)=0),1000000000,IF($V29=1,INDEX('calcA'!$D$130:$EQ$169,$B29,74)+IF(AND($E29=1,LL29=0),25,0),INDEX('calcA'!BY$110:BY$114,$F29+1)+IF(AND($E29=1,LL29=0),1000,0)+IF($H29=1,INDEX('calcA'!$D$180:$EQ$219,$B29,74)*500,0)-IF(AND('calcA'!BX$117=1,WV29&gt;0),300,0)-IF(AND($U29=1,'calcA'!BY$117=1,FX29=0),300,0))),1000000000))</f>
        <v/>
      </c>
      <c r="RB29">
        <f>IF($B29=0,1000000000,IF(INDEX('calcA'!$D$60:$EQ$99,$B29,75)*IF($W29=1,FX29+ACM29,FX29)=1,IF(AND($E29=2,IF($W29=1,AIB29,LM29)=0),1000000000,IF($V29=1,INDEX('calcA'!$D$130:$EQ$169,$B29,75)+IF(AND($E29=1,LM29=0),25,0),INDEX('calcA'!BZ$110:BZ$114,$F29+1)+IF(AND($E29=1,LM29=0),1000,0)+IF($H29=1,INDEX('calcA'!$D$180:$EQ$219,$B29,75)*500,0)-IF(AND('calcA'!BY$117=1,WW29&gt;0),300,0)-IF(AND($U29=1,'calcA'!BZ$117=1,FY29=0),300,0))),1000000000))</f>
        <v/>
      </c>
      <c r="RC29">
        <f>IF($B29=0,1000000000,IF(INDEX('calcA'!$D$60:$EQ$99,$B29,76)*IF($W29=1,FY29+ACN29,FY29)=1,IF(AND($E29=2,IF($W29=1,AIC29,LN29)=0),1000000000,IF($V29=1,INDEX('calcA'!$D$130:$EQ$169,$B29,76)+IF(AND($E29=1,LN29=0),25,0),INDEX('calcA'!CA$110:CA$114,$F29+1)+IF(AND($E29=1,LN29=0),1000,0)+IF($H29=1,INDEX('calcA'!$D$180:$EQ$219,$B29,76)*500,0)-IF(AND('calcA'!BZ$117=1,WX29&gt;0),300,0)-IF(AND($U29=1,'calcA'!CA$117=1,FZ29=0),300,0))),1000000000))</f>
        <v/>
      </c>
      <c r="RD29">
        <f>IF($B29=0,1000000000,IF(INDEX('calcA'!$D$60:$EQ$99,$B29,77)*IF($W29=1,FZ29+ACO29,FZ29)=1,IF(AND($E29=2,IF($W29=1,AID29,LO29)=0),1000000000,IF($V29=1,INDEX('calcA'!$D$130:$EQ$169,$B29,77)+IF(AND($E29=1,LO29=0),25,0),INDEX('calcA'!CB$110:CB$114,$F29+1)+IF(AND($E29=1,LO29=0),1000,0)+IF($H29=1,INDEX('calcA'!$D$180:$EQ$219,$B29,77)*500,0)-IF(AND('calcA'!CA$117=1,WY29&gt;0),300,0)-IF(AND($U29=1,'calcA'!CB$117=1,GA29=0),300,0))),1000000000))</f>
        <v/>
      </c>
      <c r="RE29">
        <f>IF($B29=0,1000000000,IF(INDEX('calcA'!$D$60:$EQ$99,$B29,78)*IF($W29=1,GA29+ACP29,GA29)=1,IF(AND($E29=2,IF($W29=1,AIE29,LP29)=0),1000000000,IF($V29=1,INDEX('calcA'!$D$130:$EQ$169,$B29,78)+IF(AND($E29=1,LP29=0),25,0),INDEX('calcA'!CC$110:CC$114,$F29+1)+IF(AND($E29=1,LP29=0),1000,0)+IF($H29=1,INDEX('calcA'!$D$180:$EQ$219,$B29,78)*500,0)-IF(AND('calcA'!CB$117=1,WZ29&gt;0),300,0)-IF(AND($U29=1,'calcA'!CC$117=1,GB29=0),300,0))),1000000000))</f>
        <v/>
      </c>
      <c r="RF29">
        <f>IF($B29=0,1000000000,IF(INDEX('calcA'!$D$60:$EQ$99,$B29,79)*IF($W29=1,GB29+ACQ29,GB29)=1,IF(AND($E29=2,IF($W29=1,AIF29,LQ29)=0),1000000000,IF($V29=1,INDEX('calcA'!$D$130:$EQ$169,$B29,79)+IF(AND($E29=1,LQ29=0),25,0),INDEX('calcA'!CD$110:CD$114,$F29+1)+IF(AND($E29=1,LQ29=0),1000,0)+IF($H29=1,INDEX('calcA'!$D$180:$EQ$219,$B29,79)*500,0)-IF(AND('calcA'!CC$117=1,XA29&gt;0),300,0)-IF(AND($U29=1,'calcA'!CD$117=1,GC29=0),300,0))),1000000000))</f>
        <v/>
      </c>
      <c r="RG29">
        <f>IF($B29=0,1000000000,IF(INDEX('calcA'!$D$60:$EQ$99,$B29,80)*IF($W29=1,GC29+ACR29,GC29)=1,IF(AND($E29=2,IF($W29=1,AIG29,LR29)=0),1000000000,IF($V29=1,INDEX('calcA'!$D$130:$EQ$169,$B29,80)+IF(AND($E29=1,LR29=0),25,0),INDEX('calcA'!CE$110:CE$114,$F29+1)+IF(AND($E29=1,LR29=0),1000,0)+IF($H29=1,INDEX('calcA'!$D$180:$EQ$219,$B29,80)*500,0)-IF(AND('calcA'!CD$117=1,XB29&gt;0),300,0)-IF(AND($U29=1,'calcA'!CE$117=1,GD29=0),300,0))),1000000000))</f>
        <v/>
      </c>
      <c r="RH29">
        <f>IF($B29=0,1000000000,IF(INDEX('calcA'!$D$60:$EQ$99,$B29,81)*IF($W29=1,GD29+ACS29,GD29)=1,IF(AND($E29=2,IF($W29=1,AIH29,LS29)=0),1000000000,IF($V29=1,INDEX('calcA'!$D$130:$EQ$169,$B29,81)+IF(AND($E29=1,LS29=0),25,0),INDEX('calcA'!CF$110:CF$114,$F29+1)+IF(AND($E29=1,LS29=0),1000,0)+IF($H29=1,INDEX('calcA'!$D$180:$EQ$219,$B29,81)*500,0)-IF(AND('calcA'!CE$117=1,XC29&gt;0),300,0)-IF(AND($U29=1,'calcA'!CF$117=1,GE29=0),300,0))),1000000000))</f>
        <v/>
      </c>
      <c r="RI29">
        <f>IF($B29=0,1000000000,IF(INDEX('calcA'!$D$60:$EQ$99,$B29,82)*IF($W29=1,GE29+ACT29,GE29)=1,IF(AND($E29=2,IF($W29=1,AII29,LT29)=0),1000000000,IF($V29=1,INDEX('calcA'!$D$130:$EQ$169,$B29,82)+IF(AND($E29=1,LT29=0),25,0),INDEX('calcA'!CG$110:CG$114,$F29+1)+IF(AND($E29=1,LT29=0),1000,0)+IF($H29=1,INDEX('calcA'!$D$180:$EQ$219,$B29,82)*500,0)-IF(AND('calcA'!CF$117=1,XD29&gt;0),300,0)-IF(AND($U29=1,'calcA'!CG$117=1,GF29=0),300,0))),1000000000))</f>
        <v/>
      </c>
      <c r="RJ29">
        <f>IF($B29=0,1000000000,IF(INDEX('calcA'!$D$60:$EQ$99,$B29,83)*IF($W29=1,GF29+ACU29,GF29)=1,IF(AND($E29=2,IF($W29=1,AIJ29,LU29)=0),1000000000,IF($V29=1,INDEX('calcA'!$D$130:$EQ$169,$B29,83)+IF(AND($E29=1,LU29=0),25,0),INDEX('calcA'!CH$110:CH$114,$F29+1)+IF(AND($E29=1,LU29=0),1000,0)+IF($H29=1,INDEX('calcA'!$D$180:$EQ$219,$B29,83)*500,0)-IF(AND('calcA'!CG$117=1,XE29&gt;0),300,0)-IF(AND($U29=1,'calcA'!CH$117=1,GG29=0),300,0))),1000000000))</f>
        <v/>
      </c>
      <c r="RK29">
        <f>IF($B29=0,1000000000,IF(INDEX('calcA'!$D$60:$EQ$99,$B29,84)*IF($W29=1,GG29+ACV29,GG29)=1,IF(AND($E29=2,IF($W29=1,AIK29,LV29)=0),1000000000,IF($V29=1,INDEX('calcA'!$D$130:$EQ$169,$B29,84)+IF(AND($E29=1,LV29=0),25,0),INDEX('calcA'!CI$110:CI$114,$F29+1)+IF(AND($E29=1,LV29=0),1000,0)+IF($H29=1,INDEX('calcA'!$D$180:$EQ$219,$B29,84)*500,0)-IF(AND('calcA'!CH$117=1,XF29&gt;0),300,0)-IF(AND($U29=1,'calcA'!CI$117=1,GH29=0),300,0))),1000000000))</f>
        <v/>
      </c>
      <c r="RL29">
        <f>IF($B29=0,1000000000,IF(INDEX('calcA'!$D$60:$EQ$99,$B29,85)*IF($W29=1,GH29+ACW29,GH29)=1,IF(AND($E29=2,IF($W29=1,AIL29,LW29)=0),1000000000,IF($V29=1,INDEX('calcA'!$D$130:$EQ$169,$B29,85)+IF(AND($E29=1,LW29=0),25,0),INDEX('calcA'!CJ$110:CJ$114,$F29+1)+IF(AND($E29=1,LW29=0),1000,0)+IF($H29=1,INDEX('calcA'!$D$180:$EQ$219,$B29,85)*500,0)-IF(AND('calcA'!CI$117=1,XG29&gt;0),300,0)-IF(AND($U29=1,'calcA'!CJ$117=1,GI29=0),300,0))),1000000000))</f>
        <v/>
      </c>
      <c r="RM29">
        <f>IF($B29=0,1000000000,IF(INDEX('calcA'!$D$60:$EQ$99,$B29,86)*IF($W29=1,GI29+ACX29,GI29)=1,IF(AND($E29=2,IF($W29=1,AIM29,LX29)=0),1000000000,IF($V29=1,INDEX('calcA'!$D$130:$EQ$169,$B29,86)+IF(AND($E29=1,LX29=0),25,0),INDEX('calcA'!CK$110:CK$114,$F29+1)+IF(AND($E29=1,LX29=0),1000,0)+IF($H29=1,INDEX('calcA'!$D$180:$EQ$219,$B29,86)*500,0)-IF(AND('calcA'!CJ$117=1,XH29&gt;0),300,0)-IF(AND($U29=1,'calcA'!CK$117=1,GJ29=0),300,0))),1000000000))</f>
        <v/>
      </c>
      <c r="RN29">
        <f>IF($B29=0,1000000000,IF(INDEX('calcA'!$D$60:$EQ$99,$B29,87)*IF($W29=1,GJ29+ACY29,GJ29)=1,IF(AND($E29=2,IF($W29=1,AIN29,LY29)=0),1000000000,IF($V29=1,INDEX('calcA'!$D$130:$EQ$169,$B29,87)+IF(AND($E29=1,LY29=0),25,0),INDEX('calcA'!CL$110:CL$114,$F29+1)+IF(AND($E29=1,LY29=0),1000,0)+IF($H29=1,INDEX('calcA'!$D$180:$EQ$219,$B29,87)*500,0)-IF(AND('calcA'!CK$117=1,XI29&gt;0),300,0)-IF(AND($U29=1,'calcA'!CL$117=1,GK29=0),300,0))),1000000000))</f>
        <v/>
      </c>
      <c r="RO29">
        <f>IF($B29=0,1000000000,IF(INDEX('calcA'!$D$60:$EQ$99,$B29,88)*IF($W29=1,GK29+ACZ29,GK29)=1,IF(AND($E29=2,IF($W29=1,AIO29,LZ29)=0),1000000000,IF($V29=1,INDEX('calcA'!$D$130:$EQ$169,$B29,88)+IF(AND($E29=1,LZ29=0),25,0),INDEX('calcA'!CM$110:CM$114,$F29+1)+IF(AND($E29=1,LZ29=0),1000,0)+IF($H29=1,INDEX('calcA'!$D$180:$EQ$219,$B29,88)*500,0)-IF(AND('calcA'!CL$117=1,XJ29&gt;0),300,0)-IF(AND($U29=1,'calcA'!CM$117=1,GL29=0),300,0))),1000000000))</f>
        <v/>
      </c>
      <c r="RP29">
        <f>IF($B29=0,1000000000,IF(INDEX('calcA'!$D$60:$EQ$99,$B29,89)*IF($W29=1,GL29+ADA29,GL29)=1,IF(AND($E29=2,IF($W29=1,AIP29,MA29)=0),1000000000,IF($V29=1,INDEX('calcA'!$D$130:$EQ$169,$B29,89)+IF(AND($E29=1,MA29=0),25,0),INDEX('calcA'!CN$110:CN$114,$F29+1)+IF(AND($E29=1,MA29=0),1000,0)+IF($H29=1,INDEX('calcA'!$D$180:$EQ$219,$B29,89)*500,0)-IF(AND('calcA'!CM$117=1,XK29&gt;0),300,0)-IF(AND($U29=1,'calcA'!CN$117=1,GM29=0),300,0))),1000000000))</f>
        <v/>
      </c>
      <c r="RQ29">
        <f>IF($B29=0,1000000000,IF(INDEX('calcA'!$D$60:$EQ$99,$B29,90)*IF($W29=1,GM29+ADB29,GM29)=1,IF(AND($E29=2,IF($W29=1,AIQ29,MB29)=0),1000000000,IF($V29=1,INDEX('calcA'!$D$130:$EQ$169,$B29,90)+IF(AND($E29=1,MB29=0),25,0),INDEX('calcA'!CO$110:CO$114,$F29+1)+IF(AND($E29=1,MB29=0),1000,0)+IF($H29=1,INDEX('calcA'!$D$180:$EQ$219,$B29,90)*500,0)-IF(AND('calcA'!CN$117=1,XL29&gt;0),300,0)-IF(AND($U29=1,'calcA'!CO$117=1,GN29=0),300,0))),1000000000))</f>
        <v/>
      </c>
      <c r="RR29">
        <f>IF($B29=0,1000000000,IF(INDEX('calcA'!$D$60:$EQ$99,$B29,91)*IF($W29=1,GN29+ADC29,GN29)=1,IF(AND($E29=2,IF($W29=1,AIR29,MC29)=0),1000000000,IF($V29=1,INDEX('calcA'!$D$130:$EQ$169,$B29,91)+IF(AND($E29=1,MC29=0),25,0),INDEX('calcA'!CP$110:CP$114,$F29+1)+IF(AND($E29=1,MC29=0),1000,0)+IF($H29=1,INDEX('calcA'!$D$180:$EQ$219,$B29,91)*500,0)-IF(AND('calcA'!CO$117=1,XM29&gt;0),300,0)-IF(AND($U29=1,'calcA'!CP$117=1,GO29=0),300,0))),1000000000))</f>
        <v/>
      </c>
      <c r="RS29">
        <f>IF($B29=0,1000000000,IF(INDEX('calcA'!$D$60:$EQ$99,$B29,92)*IF($W29=1,GO29+ADD29,GO29)=1,IF(AND($E29=2,IF($W29=1,AIS29,MD29)=0),1000000000,IF($V29=1,INDEX('calcA'!$D$130:$EQ$169,$B29,92)+IF(AND($E29=1,MD29=0),25,0),INDEX('calcA'!CQ$110:CQ$114,$F29+1)+IF(AND($E29=1,MD29=0),1000,0)+IF($H29=1,INDEX('calcA'!$D$180:$EQ$219,$B29,92)*500,0)-IF(AND('calcA'!CP$117=1,XN29&gt;0),300,0)-IF(AND($U29=1,'calcA'!CQ$117=1,GP29=0),300,0))),1000000000))</f>
        <v/>
      </c>
      <c r="RT29">
        <f>IF($B29=0,1000000000,IF(INDEX('calcA'!$D$60:$EQ$99,$B29,93)*IF($W29=1,GP29+ADE29,GP29)=1,IF(AND($E29=2,IF($W29=1,AIT29,ME29)=0),1000000000,IF($V29=1,INDEX('calcA'!$D$130:$EQ$169,$B29,93)+IF(AND($E29=1,ME29=0),25,0),INDEX('calcA'!CR$110:CR$114,$F29+1)+IF(AND($E29=1,ME29=0),1000,0)+IF($H29=1,INDEX('calcA'!$D$180:$EQ$219,$B29,93)*500,0)-IF(AND('calcA'!CQ$117=1,XO29&gt;0),300,0)-IF(AND($U29=1,'calcA'!CR$117=1,GQ29=0),300,0))),1000000000))</f>
        <v/>
      </c>
      <c r="RU29">
        <f>IF($B29=0,1000000000,IF(INDEX('calcA'!$D$60:$EQ$99,$B29,94)*IF($W29=1,GQ29+ADF29,GQ29)=1,IF(AND($E29=2,IF($W29=1,AIU29,MF29)=0),1000000000,IF($V29=1,INDEX('calcA'!$D$130:$EQ$169,$B29,94)+IF(AND($E29=1,MF29=0),25,0),INDEX('calcA'!CS$110:CS$114,$F29+1)+IF(AND($E29=1,MF29=0),1000,0)+IF($H29=1,INDEX('calcA'!$D$180:$EQ$219,$B29,94)*500,0)-IF(AND('calcA'!CR$117=1,XP29&gt;0),300,0)-IF(AND($U29=1,'calcA'!CS$117=1,GR29=0),300,0))),1000000000))</f>
        <v/>
      </c>
      <c r="RV29">
        <f>IF($B29=0,1000000000,IF(INDEX('calcA'!$D$60:$EQ$99,$B29,95)*IF($W29=1,GR29+ADG29,GR29)=1,IF(AND($E29=2,IF($W29=1,AIV29,MG29)=0),1000000000,IF($V29=1,INDEX('calcA'!$D$130:$EQ$169,$B29,95)+IF(AND($E29=1,MG29=0),25,0),INDEX('calcA'!CT$110:CT$114,$F29+1)+IF(AND($E29=1,MG29=0),1000,0)+IF($H29=1,INDEX('calcA'!$D$180:$EQ$219,$B29,95)*500,0)-IF(AND('calcA'!CS$117=1,XQ29&gt;0),300,0)-IF(AND($U29=1,'calcA'!CT$117=1,GS29=0),300,0))),1000000000))</f>
        <v/>
      </c>
      <c r="RW29">
        <f>IF($B29=0,1000000000,IF(INDEX('calcA'!$D$60:$EQ$99,$B29,96)*IF($W29=1,GS29+ADH29,GS29)=1,IF(AND($E29=2,IF($W29=1,AIW29,MH29)=0),1000000000,IF($V29=1,INDEX('calcA'!$D$130:$EQ$169,$B29,96)+IF(AND($E29=1,MH29=0),25,0),INDEX('calcA'!CU$110:CU$114,$F29+1)+IF(AND($E29=1,MH29=0),1000,0)+IF($H29=1,INDEX('calcA'!$D$180:$EQ$219,$B29,96)*500,0)-IF(AND('calcA'!CT$117=1,XR29&gt;0),300,0))),1000000000))</f>
        <v/>
      </c>
      <c r="RX29">
        <f>IF($B29=0,1000000000,IF(INDEX('calcA'!$D$60:$EQ$99,$B29,97)*IF($W29=1,GT29+ADI29,GT29)=1,IF(AND($E29=2,IF($W29=1,AIX29,MI29)=0),1000000000,IF($V29=1,INDEX('calcA'!$D$130:$EQ$169,$B29,97)+IF(AND($E29=1,MI29=0),25,0),INDEX('calcA'!CV$110:CV$114,$F29+1)+IF(AND($E29=1,MI29=0),1000,0)+IF($H29=1,INDEX('calcA'!$D$180:$EQ$219,$B29,97)*500,0)-IF(AND($U29=1,'calcA'!CV$117=1,GU29=0),300,0))),1000000000))</f>
        <v/>
      </c>
      <c r="RY29">
        <f>IF($B29=0,1000000000,IF(INDEX('calcA'!$D$60:$EQ$99,$B29,98)*IF($W29=1,GU29+ADJ29,GU29)=1,IF(AND($E29=2,IF($W29=1,AIY29,MJ29)=0),1000000000,IF($V29=1,INDEX('calcA'!$D$130:$EQ$169,$B29,98)+IF(AND($E29=1,MJ29=0),25,0),INDEX('calcA'!CW$110:CW$114,$F29+1)+IF(AND($E29=1,MJ29=0),1000,0)+IF($H29=1,INDEX('calcA'!$D$180:$EQ$219,$B29,98)*500,0)-IF(AND('calcA'!CV$117=1,XT29&gt;0),300,0)-IF(AND($U29=1,'calcA'!CW$117=1,GV29=0),300,0))),1000000000))</f>
        <v/>
      </c>
      <c r="RZ29">
        <f>IF($B29=0,1000000000,IF(INDEX('calcA'!$D$60:$EQ$99,$B29,99)*IF($W29=1,GV29+ADK29,GV29)=1,IF(AND($E29=2,IF($W29=1,AIZ29,MK29)=0),1000000000,IF($V29=1,INDEX('calcA'!$D$130:$EQ$169,$B29,99)+IF(AND($E29=1,MK29=0),25,0),INDEX('calcA'!CX$110:CX$114,$F29+1)+IF(AND($E29=1,MK29=0),1000,0)+IF($H29=1,INDEX('calcA'!$D$180:$EQ$219,$B29,99)*500,0)-IF(AND('calcA'!CW$117=1,XU29&gt;0),300,0)-IF(AND($U29=1,'calcA'!CX$117=1,GW29=0),300,0))),1000000000))</f>
        <v/>
      </c>
      <c r="SA29">
        <f>IF($B29=0,1000000000,IF(INDEX('calcA'!$D$60:$EQ$99,$B29,100)*IF($W29=1,GW29+ADL29,GW29)=1,IF(AND($E29=2,IF($W29=1,AJA29,ML29)=0),1000000000,IF($V29=1,INDEX('calcA'!$D$130:$EQ$169,$B29,100)+IF(AND($E29=1,ML29=0),25,0),INDEX('calcA'!CY$110:CY$114,$F29+1)+IF(AND($E29=1,ML29=0),1000,0)+IF($H29=1,INDEX('calcA'!$D$180:$EQ$219,$B29,100)*500,0)-IF(AND('calcA'!CX$117=1,XV29&gt;0),300,0)-IF(AND($U29=1,'calcA'!CY$117=1,GX29=0),300,0))),1000000000))</f>
        <v/>
      </c>
      <c r="SB29">
        <f>IF($B29=0,1000000000,IF(INDEX('calcA'!$D$60:$EQ$99,$B29,101)*IF($W29=1,GX29+ADM29,GX29)=1,IF(AND($E29=2,IF($W29=1,AJB29,MM29)=0),1000000000,IF($V29=1,INDEX('calcA'!$D$130:$EQ$169,$B29,101)+IF(AND($E29=1,MM29=0),25,0),INDEX('calcA'!CZ$110:CZ$114,$F29+1)+IF(AND($E29=1,MM29=0),1000,0)+IF($H29=1,INDEX('calcA'!$D$180:$EQ$219,$B29,101)*500,0)-IF(AND('calcA'!CY$117=1,XW29&gt;0),300,0)-IF(AND($U29=1,'calcA'!CZ$117=1,GY29=0),300,0))),1000000000))</f>
        <v/>
      </c>
      <c r="SC29">
        <f>IF($B29=0,1000000000,IF(INDEX('calcA'!$D$60:$EQ$99,$B29,102)*IF($W29=1,GY29+ADN29,GY29)=1,IF(AND($E29=2,IF($W29=1,AJC29,MN29)=0),1000000000,IF($V29=1,INDEX('calcA'!$D$130:$EQ$169,$B29,102)+IF(AND($E29=1,MN29=0),25,0),INDEX('calcA'!DA$110:DA$114,$F29+1)+IF(AND($E29=1,MN29=0),1000,0)+IF($H29=1,INDEX('calcA'!$D$180:$EQ$219,$B29,102)*500,0)-IF(AND('calcA'!CZ$117=1,XX29&gt;0),300,0)-IF(AND($U29=1,'calcA'!DA$117=1,GZ29=0),300,0))),1000000000))</f>
        <v/>
      </c>
      <c r="SD29">
        <f>IF($B29=0,1000000000,IF(INDEX('calcA'!$D$60:$EQ$99,$B29,103)*IF($W29=1,GZ29+ADO29,GZ29)=1,IF(AND($E29=2,IF($W29=1,AJD29,MO29)=0),1000000000,IF($V29=1,INDEX('calcA'!$D$130:$EQ$169,$B29,103)+IF(AND($E29=1,MO29=0),25,0),INDEX('calcA'!DB$110:DB$114,$F29+1)+IF(AND($E29=1,MO29=0),1000,0)+IF($H29=1,INDEX('calcA'!$D$180:$EQ$219,$B29,103)*500,0)-IF(AND('calcA'!DA$117=1,XY29&gt;0),300,0)-IF(AND($U29=1,'calcA'!DB$117=1,HA29=0),300,0))),1000000000))</f>
        <v/>
      </c>
      <c r="SE29">
        <f>IF($B29=0,1000000000,IF(INDEX('calcA'!$D$60:$EQ$99,$B29,104)*IF($W29=1,HA29+ADP29,HA29)=1,IF(AND($E29=2,IF($W29=1,AJE29,MP29)=0),1000000000,IF($V29=1,INDEX('calcA'!$D$130:$EQ$169,$B29,104)+IF(AND($E29=1,MP29=0),25,0),INDEX('calcA'!DC$110:DC$114,$F29+1)+IF(AND($E29=1,MP29=0),1000,0)+IF($H29=1,INDEX('calcA'!$D$180:$EQ$219,$B29,104)*500,0)-IF(AND('calcA'!DB$117=1,XZ29&gt;0),300,0)-IF(AND($U29=1,'calcA'!DC$117=1,HB29=0),300,0))),1000000000))</f>
        <v/>
      </c>
      <c r="SF29">
        <f>IF($B29=0,1000000000,IF(INDEX('calcA'!$D$60:$EQ$99,$B29,105)*IF($W29=1,HB29+ADQ29,HB29)=1,IF(AND($E29=2,IF($W29=1,AJF29,MQ29)=0),1000000000,IF($V29=1,INDEX('calcA'!$D$130:$EQ$169,$B29,105)+IF(AND($E29=1,MQ29=0),25,0),INDEX('calcA'!DD$110:DD$114,$F29+1)+IF(AND($E29=1,MQ29=0),1000,0)+IF($H29=1,INDEX('calcA'!$D$180:$EQ$219,$B29,105)*500,0)-IF(AND('calcA'!DC$117=1,YA29&gt;0),300,0)-IF(AND($U29=1,'calcA'!DD$117=1,HC29=0),300,0))),1000000000))</f>
        <v/>
      </c>
      <c r="SG29">
        <f>IF($B29=0,1000000000,IF(INDEX('calcA'!$D$60:$EQ$99,$B29,106)*IF($W29=1,HC29+ADR29,HC29)=1,IF(AND($E29=2,IF($W29=1,AJG29,MR29)=0),1000000000,IF($V29=1,INDEX('calcA'!$D$130:$EQ$169,$B29,106)+IF(AND($E29=1,MR29=0),25,0),INDEX('calcA'!DE$110:DE$114,$F29+1)+IF(AND($E29=1,MR29=0),1000,0)+IF($H29=1,INDEX('calcA'!$D$180:$EQ$219,$B29,106)*500,0)-IF(AND('calcA'!DD$117=1,YB29&gt;0),300,0)-IF(AND($U29=1,'calcA'!DE$117=1,HD29=0),300,0))),1000000000))</f>
        <v/>
      </c>
      <c r="SH29">
        <f>IF($B29=0,1000000000,IF(INDEX('calcA'!$D$60:$EQ$99,$B29,107)*IF($W29=1,HD29+ADS29,HD29)=1,IF(AND($E29=2,IF($W29=1,AJH29,MS29)=0),1000000000,IF($V29=1,INDEX('calcA'!$D$130:$EQ$169,$B29,107)+IF(AND($E29=1,MS29=0),25,0),INDEX('calcA'!DF$110:DF$114,$F29+1)+IF(AND($E29=1,MS29=0),1000,0)+IF($H29=1,INDEX('calcA'!$D$180:$EQ$219,$B29,107)*500,0)-IF(AND('calcA'!DE$117=1,YC29&gt;0),300,0)-IF(AND($U29=1,'calcA'!DF$117=1,HE29=0),300,0))),1000000000))</f>
        <v/>
      </c>
      <c r="SI29">
        <f>IF($B29=0,1000000000,IF(INDEX('calcA'!$D$60:$EQ$99,$B29,108)*IF($W29=1,HE29+ADT29,HE29)=1,IF(AND($E29=2,IF($W29=1,AJI29,MT29)=0),1000000000,IF($V29=1,INDEX('calcA'!$D$130:$EQ$169,$B29,108)+IF(AND($E29=1,MT29=0),25,0),INDEX('calcA'!DG$110:DG$114,$F29+1)+IF(AND($E29=1,MT29=0),1000,0)+IF($H29=1,INDEX('calcA'!$D$180:$EQ$219,$B29,108)*500,0)-IF(AND('calcA'!DF$117=1,YD29&gt;0),300,0)-IF(AND($U29=1,'calcA'!DG$117=1,HF29=0),300,0))),1000000000))</f>
        <v/>
      </c>
      <c r="SJ29">
        <f>IF($B29=0,1000000000,IF(INDEX('calcA'!$D$60:$EQ$99,$B29,109)*IF($W29=1,HF29+ADU29,HF29)=1,IF(AND($E29=2,IF($W29=1,AJJ29,MU29)=0),1000000000,IF($V29=1,INDEX('calcA'!$D$130:$EQ$169,$B29,109)+IF(AND($E29=1,MU29=0),25,0),INDEX('calcA'!DH$110:DH$114,$F29+1)+IF(AND($E29=1,MU29=0),1000,0)+IF($H29=1,INDEX('calcA'!$D$180:$EQ$219,$B29,109)*500,0)-IF(AND('calcA'!DG$117=1,YE29&gt;0),300,0)-IF(AND($U29=1,'calcA'!DH$117=1,HG29=0),300,0))),1000000000))</f>
        <v/>
      </c>
      <c r="SK29">
        <f>IF($B29=0,1000000000,IF(INDEX('calcA'!$D$60:$EQ$99,$B29,110)*IF($W29=1,HG29+ADV29,HG29)=1,IF(AND($E29=2,IF($W29=1,AJK29,MV29)=0),1000000000,IF($V29=1,INDEX('calcA'!$D$130:$EQ$169,$B29,110)+IF(AND($E29=1,MV29=0),25,0),INDEX('calcA'!DI$110:DI$114,$F29+1)+IF(AND($E29=1,MV29=0),1000,0)+IF($H29=1,INDEX('calcA'!$D$180:$EQ$219,$B29,110)*500,0)-IF(AND('calcA'!DH$117=1,YF29&gt;0),300,0)-IF(AND($U29=1,'calcA'!DI$117=1,HH29=0),300,0))),1000000000))</f>
        <v/>
      </c>
      <c r="SL29">
        <f>IF($B29=0,1000000000,IF(INDEX('calcA'!$D$60:$EQ$99,$B29,111)*IF($W29=1,HH29+ADW29,HH29)=1,IF(AND($E29=2,IF($W29=1,AJL29,MW29)=0),1000000000,IF($V29=1,INDEX('calcA'!$D$130:$EQ$169,$B29,111)+IF(AND($E29=1,MW29=0),25,0),INDEX('calcA'!DJ$110:DJ$114,$F29+1)+IF(AND($E29=1,MW29=0),1000,0)+IF($H29=1,INDEX('calcA'!$D$180:$EQ$219,$B29,111)*500,0)-IF(AND('calcA'!DI$117=1,YG29&gt;0),300,0)-IF(AND($U29=1,'calcA'!DJ$117=1,HI29=0),300,0))),1000000000))</f>
        <v/>
      </c>
      <c r="SM29">
        <f>IF($B29=0,1000000000,IF(INDEX('calcA'!$D$60:$EQ$99,$B29,112)*IF($W29=1,HI29+ADX29,HI29)=1,IF(AND($E29=2,IF($W29=1,AJM29,MX29)=0),1000000000,IF($V29=1,INDEX('calcA'!$D$130:$EQ$169,$B29,112)+IF(AND($E29=1,MX29=0),25,0),INDEX('calcA'!DK$110:DK$114,$F29+1)+IF(AND($E29=1,MX29=0),1000,0)+IF($H29=1,INDEX('calcA'!$D$180:$EQ$219,$B29,112)*500,0)-IF(AND('calcA'!DJ$117=1,YH29&gt;0),300,0)-IF(AND($U29=1,'calcA'!DK$117=1,HJ29=0),300,0))),1000000000))</f>
        <v/>
      </c>
      <c r="SN29">
        <f>IF($B29=0,1000000000,IF(INDEX('calcA'!$D$60:$EQ$99,$B29,113)*IF($W29=1,HJ29+ADY29,HJ29)=1,IF(AND($E29=2,IF($W29=1,AJN29,MY29)=0),1000000000,IF($V29=1,INDEX('calcA'!$D$130:$EQ$169,$B29,113)+IF(AND($E29=1,MY29=0),25,0),INDEX('calcA'!DL$110:DL$114,$F29+1)+IF(AND($E29=1,MY29=0),1000,0)+IF($H29=1,INDEX('calcA'!$D$180:$EQ$219,$B29,113)*500,0)-IF(AND('calcA'!DK$117=1,YI29&gt;0),300,0)-IF(AND($U29=1,'calcA'!DL$117=1,HK29=0),300,0))),1000000000))</f>
        <v/>
      </c>
      <c r="SO29">
        <f>IF($B29=0,1000000000,IF(INDEX('calcA'!$D$60:$EQ$99,$B29,114)*IF($W29=1,HK29+ADZ29,HK29)=1,IF(AND($E29=2,IF($W29=1,AJO29,MZ29)=0),1000000000,IF($V29=1,INDEX('calcA'!$D$130:$EQ$169,$B29,114)+IF(AND($E29=1,MZ29=0),25,0),INDEX('calcA'!DM$110:DM$114,$F29+1)+IF(AND($E29=1,MZ29=0),1000,0)+IF($H29=1,INDEX('calcA'!$D$180:$EQ$219,$B29,114)*500,0)-IF(AND('calcA'!DL$117=1,YJ29&gt;0),300,0)-IF(AND($U29=1,'calcA'!DM$117=1,HL29=0),300,0))),1000000000))</f>
        <v/>
      </c>
      <c r="SP29">
        <f>IF($B29=0,1000000000,IF(INDEX('calcA'!$D$60:$EQ$99,$B29,115)*IF($W29=1,HL29+AEA29,HL29)=1,IF(AND($E29=2,IF($W29=1,AJP29,NA29)=0),1000000000,IF($V29=1,INDEX('calcA'!$D$130:$EQ$169,$B29,115)+IF(AND($E29=1,NA29=0),25,0),INDEX('calcA'!DN$110:DN$114,$F29+1)+IF(AND($E29=1,NA29=0),1000,0)+IF($H29=1,INDEX('calcA'!$D$180:$EQ$219,$B29,115)*500,0)-IF(AND('calcA'!DM$117=1,YK29&gt;0),300,0)-IF(AND($U29=1,'calcA'!DN$117=1,HM29=0),300,0))),1000000000))</f>
        <v/>
      </c>
      <c r="SQ29">
        <f>IF($B29=0,1000000000,IF(INDEX('calcA'!$D$60:$EQ$99,$B29,116)*IF($W29=1,HM29+AEB29,HM29)=1,IF(AND($E29=2,IF($W29=1,AJQ29,NB29)=0),1000000000,IF($V29=1,INDEX('calcA'!$D$130:$EQ$169,$B29,116)+IF(AND($E29=1,NB29=0),25,0),INDEX('calcA'!DO$110:DO$114,$F29+1)+IF(AND($E29=1,NB29=0),1000,0)+IF($H29=1,INDEX('calcA'!$D$180:$EQ$219,$B29,116)*500,0)-IF(AND('calcA'!DN$117=1,YL29&gt;0),300,0)-IF(AND($U29=1,'calcA'!DO$117=1,HN29=0),300,0))),1000000000))</f>
        <v/>
      </c>
      <c r="SR29">
        <f>IF($B29=0,1000000000,IF(INDEX('calcA'!$D$60:$EQ$99,$B29,117)*IF($W29=1,HN29+AEC29,HN29)=1,IF(AND($E29=2,IF($W29=1,AJR29,NC29)=0),1000000000,IF($V29=1,INDEX('calcA'!$D$130:$EQ$169,$B29,117)+IF(AND($E29=1,NC29=0),25,0),INDEX('calcA'!DP$110:DP$114,$F29+1)+IF(AND($E29=1,NC29=0),1000,0)+IF($H29=1,INDEX('calcA'!$D$180:$EQ$219,$B29,117)*500,0)-IF(AND('calcA'!DO$117=1,YM29&gt;0),300,0)-IF(AND($U29=1,'calcA'!DP$117=1,HO29=0),300,0))),1000000000))</f>
        <v/>
      </c>
      <c r="SS29">
        <f>IF($B29=0,1000000000,IF(INDEX('calcA'!$D$60:$EQ$99,$B29,118)*IF($W29=1,HO29+AED29,HO29)=1,IF(AND($E29=2,IF($W29=1,AJS29,ND29)=0),1000000000,IF($V29=1,INDEX('calcA'!$D$130:$EQ$169,$B29,118)+IF(AND($E29=1,ND29=0),25,0),INDEX('calcA'!DQ$110:DQ$114,$F29+1)+IF(AND($E29=1,ND29=0),1000,0)+IF($H29=1,INDEX('calcA'!$D$180:$EQ$219,$B29,118)*500,0)-IF(AND('calcA'!DP$117=1,YN29&gt;0),300,0)-IF(AND($U29=1,'calcA'!DQ$117=1,HP29=0),300,0))),1000000000))</f>
        <v/>
      </c>
      <c r="ST29">
        <f>IF($B29=0,1000000000,IF(INDEX('calcA'!$D$60:$EQ$99,$B29,119)*IF($W29=1,HP29+AEE29,HP29)=1,IF(AND($E29=2,IF($W29=1,AJT29,NE29)=0),1000000000,IF($V29=1,INDEX('calcA'!$D$130:$EQ$169,$B29,119)+IF(AND($E29=1,NE29=0),25,0),INDEX('calcA'!DR$110:DR$114,$F29+1)+IF(AND($E29=1,NE29=0),1000,0)+IF($H29=1,INDEX('calcA'!$D$180:$EQ$219,$B29,119)*500,0)-IF(AND('calcA'!DQ$117=1,YO29&gt;0),300,0)-IF(AND($U29=1,'calcA'!DR$117=1,HQ29=0),300,0))),1000000000))</f>
        <v/>
      </c>
      <c r="SU29">
        <f>IF($B29=0,1000000000,IF(INDEX('calcA'!$D$60:$EQ$99,$B29,120)*IF($W29=1,HQ29+AEF29,HQ29)=1,IF(AND($E29=2,IF($W29=1,AJU29,NF29)=0),1000000000,IF($V29=1,INDEX('calcA'!$D$130:$EQ$169,$B29,120)+IF(AND($E29=1,NF29=0),25,0),INDEX('calcA'!DS$110:DS$114,$F29+1)+IF(AND($E29=1,NF29=0),1000,0)+IF($H29=1,INDEX('calcA'!$D$180:$EQ$219,$B29,120)*500,0)-IF(AND('calcA'!DR$117=1,YP29&gt;0),300,0))),1000000000))</f>
        <v/>
      </c>
      <c r="SV29">
        <f>IF($B29=0,1000000000,IF(INDEX('calcA'!$D$60:$EQ$99,$B29,121)*IF($W29=1,HR29+AEG29,HR29)=1,IF(AND($E29=2,IF($W29=1,AJV29,NG29)=0),1000000000,IF($V29=1,INDEX('calcA'!$D$130:$EQ$169,$B29,121)+IF(AND($E29=1,NG29=0),25,0),INDEX('calcA'!DT$110:DT$114,$F29+1)+IF(AND($E29=1,NG29=0),1000,0)+IF($H29=1,INDEX('calcA'!$D$180:$EQ$219,$B29,121)*500,0)-IF(AND($U29=1,'calcA'!DT$117=1,HS29=0),300,0))),1000000000))</f>
        <v/>
      </c>
      <c r="SW29">
        <f>IF($B29=0,1000000000,IF(INDEX('calcA'!$D$60:$EQ$99,$B29,122)*IF($W29=1,HS29+AEH29,HS29)=1,IF(AND($E29=2,IF($W29=1,AJW29,NH29)=0),1000000000,IF($V29=1,INDEX('calcA'!$D$130:$EQ$169,$B29,122)+IF(AND($E29=1,NH29=0),25,0),INDEX('calcA'!DU$110:DU$114,$F29+1)+IF(AND($E29=1,NH29=0),1000,0)+IF($H29=1,INDEX('calcA'!$D$180:$EQ$219,$B29,122)*500,0)-IF(AND('calcA'!DT$117=1,YR29&gt;0),300,0)-IF(AND($U29=1,'calcA'!DU$117=1,HT29=0),300,0))),1000000000))</f>
        <v/>
      </c>
      <c r="SX29">
        <f>IF($B29=0,1000000000,IF(INDEX('calcA'!$D$60:$EQ$99,$B29,123)*IF($W29=1,HT29+AEI29,HT29)=1,IF(AND($E29=2,IF($W29=1,AJX29,NI29)=0),1000000000,IF($V29=1,INDEX('calcA'!$D$130:$EQ$169,$B29,123)+IF(AND($E29=1,NI29=0),25,0),INDEX('calcA'!DV$110:DV$114,$F29+1)+IF(AND($E29=1,NI29=0),1000,0)+IF($H29=1,INDEX('calcA'!$D$180:$EQ$219,$B29,123)*500,0)-IF(AND('calcA'!DU$117=1,YS29&gt;0),300,0)-IF(AND($U29=1,'calcA'!DV$117=1,HU29=0),300,0))),1000000000))</f>
        <v/>
      </c>
      <c r="SY29">
        <f>IF($B29=0,1000000000,IF(INDEX('calcA'!$D$60:$EQ$99,$B29,124)*IF($W29=1,HU29+AEJ29,HU29)=1,IF(AND($E29=2,IF($W29=1,AJY29,NJ29)=0),1000000000,IF($V29=1,INDEX('calcA'!$D$130:$EQ$169,$B29,124)+IF(AND($E29=1,NJ29=0),25,0),INDEX('calcA'!DW$110:DW$114,$F29+1)+IF(AND($E29=1,NJ29=0),1000,0)+IF($H29=1,INDEX('calcA'!$D$180:$EQ$219,$B29,124)*500,0)-IF(AND('calcA'!DV$117=1,YT29&gt;0),300,0)-IF(AND($U29=1,'calcA'!DW$117=1,HV29=0),300,0))),1000000000))</f>
        <v/>
      </c>
      <c r="SZ29">
        <f>IF($B29=0,1000000000,IF(INDEX('calcA'!$D$60:$EQ$99,$B29,125)*IF($W29=1,HV29+AEK29,HV29)=1,IF(AND($E29=2,IF($W29=1,AJZ29,NK29)=0),1000000000,IF($V29=1,INDEX('calcA'!$D$130:$EQ$169,$B29,125)+IF(AND($E29=1,NK29=0),25,0),INDEX('calcA'!DX$110:DX$114,$F29+1)+IF(AND($E29=1,NK29=0),1000,0)+IF($H29=1,INDEX('calcA'!$D$180:$EQ$219,$B29,125)*500,0)-IF(AND('calcA'!DW$117=1,YU29&gt;0),300,0)-IF(AND($U29=1,'calcA'!DX$117=1,HW29=0),300,0))),1000000000))</f>
        <v/>
      </c>
      <c r="TA29">
        <f>IF($B29=0,1000000000,IF(INDEX('calcA'!$D$60:$EQ$99,$B29,126)*IF($W29=1,HW29+AEL29,HW29)=1,IF(AND($E29=2,IF($W29=1,AKA29,NL29)=0),1000000000,IF($V29=1,INDEX('calcA'!$D$130:$EQ$169,$B29,126)+IF(AND($E29=1,NL29=0),25,0),INDEX('calcA'!DY$110:DY$114,$F29+1)+IF(AND($E29=1,NL29=0),1000,0)+IF($H29=1,INDEX('calcA'!$D$180:$EQ$219,$B29,126)*500,0)-IF(AND('calcA'!DX$117=1,YV29&gt;0),300,0)-IF(AND($U29=1,'calcA'!DY$117=1,HX29=0),300,0))),1000000000))</f>
        <v/>
      </c>
      <c r="TB29">
        <f>IF($B29=0,1000000000,IF(INDEX('calcA'!$D$60:$EQ$99,$B29,127)*IF($W29=1,HX29+AEM29,HX29)=1,IF(AND($E29=2,IF($W29=1,AKB29,NM29)=0),1000000000,IF($V29=1,INDEX('calcA'!$D$130:$EQ$169,$B29,127)+IF(AND($E29=1,NM29=0),25,0),INDEX('calcA'!DZ$110:DZ$114,$F29+1)+IF(AND($E29=1,NM29=0),1000,0)+IF($H29=1,INDEX('calcA'!$D$180:$EQ$219,$B29,127)*500,0)-IF(AND('calcA'!DY$117=1,YW29&gt;0),300,0)-IF(AND($U29=1,'calcA'!DZ$117=1,HY29=0),300,0))),1000000000))</f>
        <v/>
      </c>
      <c r="TC29">
        <f>IF($B29=0,1000000000,IF(INDEX('calcA'!$D$60:$EQ$99,$B29,128)*IF($W29=1,HY29+AEN29,HY29)=1,IF(AND($E29=2,IF($W29=1,AKC29,NN29)=0),1000000000,IF($V29=1,INDEX('calcA'!$D$130:$EQ$169,$B29,128)+IF(AND($E29=1,NN29=0),25,0),INDEX('calcA'!EA$110:EA$114,$F29+1)+IF(AND($E29=1,NN29=0),1000,0)+IF($H29=1,INDEX('calcA'!$D$180:$EQ$219,$B29,128)*500,0)-IF(AND('calcA'!DZ$117=1,YX29&gt;0),300,0)-IF(AND($U29=1,'calcA'!EA$117=1,HZ29=0),300,0))),1000000000))</f>
        <v/>
      </c>
      <c r="TD29">
        <f>IF($B29=0,1000000000,IF(INDEX('calcA'!$D$60:$EQ$99,$B29,129)*IF($W29=1,HZ29+AEO29,HZ29)=1,IF(AND($E29=2,IF($W29=1,AKD29,NO29)=0),1000000000,IF($V29=1,INDEX('calcA'!$D$130:$EQ$169,$B29,129)+IF(AND($E29=1,NO29=0),25,0),INDEX('calcA'!EB$110:EB$114,$F29+1)+IF(AND($E29=1,NO29=0),1000,0)+IF($H29=1,INDEX('calcA'!$D$180:$EQ$219,$B29,129)*500,0)-IF(AND('calcA'!EA$117=1,YY29&gt;0),300,0)-IF(AND($U29=1,'calcA'!EB$117=1,IA29=0),300,0))),1000000000))</f>
        <v/>
      </c>
      <c r="TE29">
        <f>IF($B29=0,1000000000,IF(INDEX('calcA'!$D$60:$EQ$99,$B29,130)*IF($W29=1,IA29+AEP29,IA29)=1,IF(AND($E29=2,IF($W29=1,AKE29,NP29)=0),1000000000,IF($V29=1,INDEX('calcA'!$D$130:$EQ$169,$B29,130)+IF(AND($E29=1,NP29=0),25,0),INDEX('calcA'!EC$110:EC$114,$F29+1)+IF(AND($E29=1,NP29=0),1000,0)+IF($H29=1,INDEX('calcA'!$D$180:$EQ$219,$B29,130)*500,0)-IF(AND('calcA'!EB$117=1,YZ29&gt;0),300,0)-IF(AND($U29=1,'calcA'!EC$117=1,IB29=0),300,0))),1000000000))</f>
        <v/>
      </c>
      <c r="TF29">
        <f>IF($B29=0,1000000000,IF(INDEX('calcA'!$D$60:$EQ$99,$B29,131)*IF($W29=1,IB29+AEQ29,IB29)=1,IF(AND($E29=2,IF($W29=1,AKF29,NQ29)=0),1000000000,IF($V29=1,INDEX('calcA'!$D$130:$EQ$169,$B29,131)+IF(AND($E29=1,NQ29=0),25,0),INDEX('calcA'!ED$110:ED$114,$F29+1)+IF(AND($E29=1,NQ29=0),1000,0)+IF($H29=1,INDEX('calcA'!$D$180:$EQ$219,$B29,131)*500,0)-IF(AND('calcA'!EC$117=1,ZA29&gt;0),300,0)-IF(AND($U29=1,'calcA'!ED$117=1,IC29=0),300,0))),1000000000))</f>
        <v/>
      </c>
      <c r="TG29">
        <f>IF($B29=0,1000000000,IF(INDEX('calcA'!$D$60:$EQ$99,$B29,132)*IF($W29=1,IC29+AER29,IC29)=1,IF(AND($E29=2,IF($W29=1,AKG29,NR29)=0),1000000000,IF($V29=1,INDEX('calcA'!$D$130:$EQ$169,$B29,132)+IF(AND($E29=1,NR29=0),25,0),INDEX('calcA'!EE$110:EE$114,$F29+1)+IF(AND($E29=1,NR29=0),1000,0)+IF($H29=1,INDEX('calcA'!$D$180:$EQ$219,$B29,132)*500,0)-IF(AND('calcA'!ED$117=1,ZB29&gt;0),300,0)-IF(AND($U29=1,'calcA'!EE$117=1,ID29=0),300,0))),1000000000))</f>
        <v/>
      </c>
      <c r="TH29">
        <f>IF($B29=0,1000000000,IF(INDEX('calcA'!$D$60:$EQ$99,$B29,133)*IF($W29=1,ID29+AES29,ID29)=1,IF(AND($E29=2,IF($W29=1,AKH29,NS29)=0),1000000000,IF($V29=1,INDEX('calcA'!$D$130:$EQ$169,$B29,133)+IF(AND($E29=1,NS29=0),25,0),INDEX('calcA'!EF$110:EF$114,$F29+1)+IF(AND($E29=1,NS29=0),1000,0)+IF($H29=1,INDEX('calcA'!$D$180:$EQ$219,$B29,133)*500,0)-IF(AND('calcA'!EE$117=1,ZC29&gt;0),300,0)-IF(AND($U29=1,'calcA'!EF$117=1,IE29=0),300,0))),1000000000))</f>
        <v/>
      </c>
      <c r="TI29">
        <f>IF($B29=0,1000000000,IF(INDEX('calcA'!$D$60:$EQ$99,$B29,134)*IF($W29=1,IE29+AET29,IE29)=1,IF(AND($E29=2,IF($W29=1,AKI29,NT29)=0),1000000000,IF($V29=1,INDEX('calcA'!$D$130:$EQ$169,$B29,134)+IF(AND($E29=1,NT29=0),25,0),INDEX('calcA'!EG$110:EG$114,$F29+1)+IF(AND($E29=1,NT29=0),1000,0)+IF($H29=1,INDEX('calcA'!$D$180:$EQ$219,$B29,134)*500,0)-IF(AND('calcA'!EF$117=1,ZD29&gt;0),300,0)-IF(AND($U29=1,'calcA'!EG$117=1,IF29=0),300,0))),1000000000))</f>
        <v/>
      </c>
      <c r="TJ29">
        <f>IF($B29=0,1000000000,IF(INDEX('calcA'!$D$60:$EQ$99,$B29,135)*IF($W29=1,IF29+AEU29,IF29)=1,IF(AND($E29=2,IF($W29=1,AKJ29,NU29)=0),1000000000,IF($V29=1,INDEX('calcA'!$D$130:$EQ$169,$B29,135)+IF(AND($E29=1,NU29=0),25,0),INDEX('calcA'!EH$110:EH$114,$F29+1)+IF(AND($E29=1,NU29=0),1000,0)+IF($H29=1,INDEX('calcA'!$D$180:$EQ$219,$B29,135)*500,0)-IF(AND('calcA'!EG$117=1,ZE29&gt;0),300,0)-IF(AND($U29=1,'calcA'!EH$117=1,IG29=0),300,0))),1000000000))</f>
        <v/>
      </c>
      <c r="TK29">
        <f>IF($B29=0,1000000000,IF(INDEX('calcA'!$D$60:$EQ$99,$B29,136)*IF($W29=1,IG29+AEV29,IG29)=1,IF(AND($E29=2,IF($W29=1,AKK29,NV29)=0),1000000000,IF($V29=1,INDEX('calcA'!$D$130:$EQ$169,$B29,136)+IF(AND($E29=1,NV29=0),25,0),INDEX('calcA'!EI$110:EI$114,$F29+1)+IF(AND($E29=1,NV29=0),1000,0)+IF($H29=1,INDEX('calcA'!$D$180:$EQ$219,$B29,136)*500,0)-IF(AND('calcA'!EH$117=1,ZF29&gt;0),300,0)-IF(AND($U29=1,'calcA'!EI$117=1,IH29=0),300,0))),1000000000))</f>
        <v/>
      </c>
      <c r="TL29">
        <f>IF($B29=0,1000000000,IF(INDEX('calcA'!$D$60:$EQ$99,$B29,137)*IF($W29=1,IH29+AEW29,IH29)=1,IF(AND($E29=2,IF($W29=1,AKL29,NW29)=0),1000000000,IF($V29=1,INDEX('calcA'!$D$130:$EQ$169,$B29,137)+IF(AND($E29=1,NW29=0),25,0),INDEX('calcA'!EJ$110:EJ$114,$F29+1)+IF(AND($E29=1,NW29=0),1000,0)+IF($H29=1,INDEX('calcA'!$D$180:$EQ$219,$B29,137)*500,0)-IF(AND('calcA'!EI$117=1,ZG29&gt;0),300,0)-IF(AND($U29=1,'calcA'!EJ$117=1,II29=0),300,0))),1000000000))</f>
        <v/>
      </c>
      <c r="TM29">
        <f>IF($B29=0,1000000000,IF(INDEX('calcA'!$D$60:$EQ$99,$B29,138)*IF($W29=1,II29+AEX29,II29)=1,IF(AND($E29=2,IF($W29=1,AKM29,NX29)=0),1000000000,IF($V29=1,INDEX('calcA'!$D$130:$EQ$169,$B29,138)+IF(AND($E29=1,NX29=0),25,0),INDEX('calcA'!EK$110:EK$114,$F29+1)+IF(AND($E29=1,NX29=0),1000,0)+IF($H29=1,INDEX('calcA'!$D$180:$EQ$219,$B29,138)*500,0)-IF(AND('calcA'!EJ$117=1,ZH29&gt;0),300,0)-IF(AND($U29=1,'calcA'!EK$117=1,IJ29=0),300,0))),1000000000))</f>
        <v/>
      </c>
      <c r="TN29">
        <f>IF($B29=0,1000000000,IF(INDEX('calcA'!$D$60:$EQ$99,$B29,139)*IF($W29=1,IJ29+AEY29,IJ29)=1,IF(AND($E29=2,IF($W29=1,AKN29,NY29)=0),1000000000,IF($V29=1,INDEX('calcA'!$D$130:$EQ$169,$B29,139)+IF(AND($E29=1,NY29=0),25,0),INDEX('calcA'!EL$110:EL$114,$F29+1)+IF(AND($E29=1,NY29=0),1000,0)+IF($H29=1,INDEX('calcA'!$D$180:$EQ$219,$B29,139)*500,0)-IF(AND('calcA'!EK$117=1,ZI29&gt;0),300,0)-IF(AND($U29=1,'calcA'!EL$117=1,IK29=0),300,0))),1000000000))</f>
        <v/>
      </c>
      <c r="TO29">
        <f>IF($B29=0,1000000000,IF(INDEX('calcA'!$D$60:$EQ$99,$B29,140)*IF($W29=1,IK29+AEZ29,IK29)=1,IF(AND($E29=2,IF($W29=1,AKO29,NZ29)=0),1000000000,IF($V29=1,INDEX('calcA'!$D$130:$EQ$169,$B29,140)+IF(AND($E29=1,NZ29=0),25,0),INDEX('calcA'!EM$110:EM$114,$F29+1)+IF(AND($E29=1,NZ29=0),1000,0)+IF($H29=1,INDEX('calcA'!$D$180:$EQ$219,$B29,140)*500,0)-IF(AND('calcA'!EL$117=1,ZJ29&gt;0),300,0)-IF(AND($U29=1,'calcA'!EM$117=1,IL29=0),300,0))),1000000000))</f>
        <v/>
      </c>
      <c r="TP29">
        <f>IF($B29=0,1000000000,IF(INDEX('calcA'!$D$60:$EQ$99,$B29,141)*IF($W29=1,IL29+AFA29,IL29)=1,IF(AND($E29=2,IF($W29=1,AKP29,OA29)=0),1000000000,IF($V29=1,INDEX('calcA'!$D$130:$EQ$169,$B29,141)+IF(AND($E29=1,OA29=0),25,0),INDEX('calcA'!EN$110:EN$114,$F29+1)+IF(AND($E29=1,OA29=0),1000,0)+IF($H29=1,INDEX('calcA'!$D$180:$EQ$219,$B29,141)*500,0)-IF(AND('calcA'!EM$117=1,ZK29&gt;0),300,0)-IF(AND($U29=1,'calcA'!EN$117=1,IM29=0),300,0))),1000000000))</f>
        <v/>
      </c>
      <c r="TQ29">
        <f>IF($B29=0,1000000000,IF(INDEX('calcA'!$D$60:$EQ$99,$B29,142)*IF($W29=1,IM29+AFB29,IM29)=1,IF(AND($E29=2,IF($W29=1,AKQ29,OB29)=0),1000000000,IF($V29=1,INDEX('calcA'!$D$130:$EQ$169,$B29,142)+IF(AND($E29=1,OB29=0),25,0),INDEX('calcA'!EO$110:EO$114,$F29+1)+IF(AND($E29=1,OB29=0),1000,0)+IF($H29=1,INDEX('calcA'!$D$180:$EQ$219,$B29,142)*500,0)-IF(AND('calcA'!EN$117=1,ZL29&gt;0),300,0)-IF(AND($U29=1,'calcA'!EO$117=1,IN29=0),300,0))),1000000000))</f>
        <v/>
      </c>
      <c r="TR29">
        <f>IF($B29=0,1000000000,IF(INDEX('calcA'!$D$60:$EQ$99,$B29,143)*IF($W29=1,IN29+AFC29,IN29)=1,IF(AND($E29=2,IF($W29=1,AKR29,OC29)=0),1000000000,IF($V29=1,INDEX('calcA'!$D$130:$EQ$169,$B29,143)+IF(AND($E29=1,OC29=0),25,0),INDEX('calcA'!EP$110:EP$114,$F29+1)+IF(AND($E29=1,OC29=0),1000,0)+IF($H29=1,INDEX('calcA'!$D$180:$EQ$219,$B29,143)*500,0)-IF(AND('calcA'!EO$117=1,ZM29&gt;0),300,0)-IF(AND($U29=1,'calcA'!EP$117=1,IO29=0),300,0))),1000000000))</f>
        <v/>
      </c>
      <c r="TS29">
        <f>IF($B29=0,1000000000,IF(INDEX('calcA'!$D$60:$EQ$99,$B29,144)*IF($W29=1,IO29+AFD29,IO29)=1,IF(AND($E29=2,IF($W29=1,AKS29,OD29)=0),1000000000,IF($V29=1,INDEX('calcA'!$D$130:$EQ$169,$B29,144)+IF(AND($E29=1,OD29=0),25,0),INDEX('calcA'!EQ$110:EQ$114,$F29+1)+IF(AND($E29=1,OD29=0),1000,0)+IF($H29=1,INDEX('calcA'!$D$180:$EQ$219,$B29,144)*500,0)-IF(AND('calcA'!EP$117=1,ZN29&gt;0),300,0))),1000000000))</f>
        <v/>
      </c>
      <c r="UB29">
        <f>UB28+IF(AND($C28=1,$U28=1),1,0)</f>
        <v/>
      </c>
      <c r="UC29">
        <f>UC28+IF(AND($C28=2,$U28=1),1,0)</f>
        <v/>
      </c>
      <c r="UD29">
        <f>UD28+IF(AND($C28=3,$U28=1),1,0)</f>
        <v/>
      </c>
      <c r="UE29">
        <f>UE28+IF(AND($C28=4,$U28=1),1,0)</f>
        <v/>
      </c>
      <c r="UF29">
        <f>UF28+IF(AND($C28=5,$U28=1),1,0)</f>
        <v/>
      </c>
      <c r="UG29">
        <f>UG28+IF(AND($C28=6,$U28=1),1,0)</f>
        <v/>
      </c>
      <c r="UH29">
        <f>UH28+IF(AND($C28=7,$U28=1),1,0)</f>
        <v/>
      </c>
      <c r="UI29">
        <f>UI28+IF(AND($C28=8,$U28=1),1,0)</f>
        <v/>
      </c>
      <c r="UJ29">
        <f>UJ28+IF(AND($C28=9,$U28=1),1,0)</f>
        <v/>
      </c>
      <c r="UK29">
        <f>UK28+IF(AND($C28=10,$U28=1),1,0)</f>
        <v/>
      </c>
      <c r="UL29">
        <f>UL28+IF(AND($C28=11,$U28=1),1,0)</f>
        <v/>
      </c>
      <c r="UM29">
        <f>UM28+IF(AND($C28=12,$U28=1),1,0)</f>
        <v/>
      </c>
      <c r="UN29">
        <f>UN28+IF(AND($C28=13,$U28=1),1,0)</f>
        <v/>
      </c>
      <c r="UO29">
        <f>UO28+IF(AND($C28=14,$U28=1),1,0)</f>
        <v/>
      </c>
      <c r="UP29">
        <f>UP28+IF(AND($C28=15,$U28=1),1,0)</f>
        <v/>
      </c>
      <c r="UQ29">
        <f>UQ28+IF(AND($C28=16,$U28=1),1,0)</f>
        <v/>
      </c>
      <c r="UR29">
        <f>UR28+IF(AND($C28=17,$U28=1),1,0)</f>
        <v/>
      </c>
      <c r="US29">
        <f>US28+IF(AND($C28=18,$U28=1),1,0)</f>
        <v/>
      </c>
      <c r="UT29">
        <f>UT28+IF(AND($C28=19,$U28=1),1,0)</f>
        <v/>
      </c>
      <c r="UU29">
        <f>UU28+IF(AND($C28=20,$U28=1),1,0)</f>
        <v/>
      </c>
      <c r="UV29">
        <f>UV28+IF(AND($C28=21,$U28=1),1,0)</f>
        <v/>
      </c>
      <c r="UW29">
        <f>UW28+IF(AND($C28=22,$U28=1),1,0)</f>
        <v/>
      </c>
      <c r="UX29">
        <f>UX28+IF(AND($C28=23,$U28=1),1,0)</f>
        <v/>
      </c>
      <c r="UY29">
        <f>UY28+IF(AND($C28=24,$U28=1),1,0)</f>
        <v/>
      </c>
      <c r="UZ29">
        <f>UZ28+IF(AND($C28=25,$U28=1),1,0)</f>
        <v/>
      </c>
      <c r="VA29">
        <f>VA28+IF(AND($C28=26,$U28=1),1,0)</f>
        <v/>
      </c>
      <c r="VB29">
        <f>VB28+IF(AND($C28=27,$U28=1),1,0)</f>
        <v/>
      </c>
      <c r="VC29">
        <f>VC28+IF(AND($C28=28,$U28=1),1,0)</f>
        <v/>
      </c>
      <c r="VD29">
        <f>VD28+IF(AND($C28=29,$U28=1),1,0)</f>
        <v/>
      </c>
      <c r="VE29">
        <f>VE28+IF(AND($C28=30,$U28=1),1,0)</f>
        <v/>
      </c>
      <c r="VF29">
        <f>VF28+IF(AND($C28=31,$U28=1),1,0)</f>
        <v/>
      </c>
      <c r="VG29">
        <f>VG28+IF(AND($C28=32,$U28=1),1,0)</f>
        <v/>
      </c>
      <c r="VH29">
        <f>VH28+IF(AND($C28=33,$U28=1),1,0)</f>
        <v/>
      </c>
      <c r="VI29">
        <f>VI28+IF(AND($C28=34,$U28=1),1,0)</f>
        <v/>
      </c>
      <c r="VJ29">
        <f>VJ28+IF(AND($C28=35,$U28=1),1,0)</f>
        <v/>
      </c>
      <c r="VK29">
        <f>VK28+IF(AND($C28=36,$U28=1),1,0)</f>
        <v/>
      </c>
      <c r="VL29">
        <f>VL28+IF(AND($C28=37,$U28=1),1,0)</f>
        <v/>
      </c>
      <c r="VM29">
        <f>VM28+IF(AND($C28=38,$U28=1),1,0)</f>
        <v/>
      </c>
      <c r="VN29">
        <f>VN28+IF(AND($C28=39,$U28=1),1,0)</f>
        <v/>
      </c>
      <c r="VO29">
        <f>VO28+IF(AND($C28=40,$U28=1),1,0)</f>
        <v/>
      </c>
      <c r="VP29">
        <f>VP28+IF(AND($C28=41,$U28=1),1,0)</f>
        <v/>
      </c>
      <c r="VQ29">
        <f>VQ28+IF(AND($C28=42,$U28=1),1,0)</f>
        <v/>
      </c>
      <c r="VR29">
        <f>VR28+IF(AND($C28=43,$U28=1),1,0)</f>
        <v/>
      </c>
      <c r="VS29">
        <f>VS28+IF(AND($C28=44,$U28=1),1,0)</f>
        <v/>
      </c>
      <c r="VT29">
        <f>VT28+IF(AND($C28=45,$U28=1),1,0)</f>
        <v/>
      </c>
      <c r="VU29">
        <f>VU28+IF(AND($C28=46,$U28=1),1,0)</f>
        <v/>
      </c>
      <c r="VV29">
        <f>VV28+IF(AND($C28=47,$U28=1),1,0)</f>
        <v/>
      </c>
      <c r="VW29">
        <f>VW28+IF(AND($C28=48,$U28=1),1,0)</f>
        <v/>
      </c>
      <c r="VX29">
        <f>VX28+IF(AND($C28=49,$U28=1),1,0)</f>
        <v/>
      </c>
      <c r="VY29">
        <f>VY28+IF(AND($C28=50,$U28=1),1,0)</f>
        <v/>
      </c>
      <c r="VZ29">
        <f>VZ28+IF(AND($C28=51,$U28=1),1,0)</f>
        <v/>
      </c>
      <c r="WA29">
        <f>WA28+IF(AND($C28=52,$U28=1),1,0)</f>
        <v/>
      </c>
      <c r="WB29">
        <f>WB28+IF(AND($C28=53,$U28=1),1,0)</f>
        <v/>
      </c>
      <c r="WC29">
        <f>WC28+IF(AND($C28=54,$U28=1),1,0)</f>
        <v/>
      </c>
      <c r="WD29">
        <f>WD28+IF(AND($C28=55,$U28=1),1,0)</f>
        <v/>
      </c>
      <c r="WE29">
        <f>WE28+IF(AND($C28=56,$U28=1),1,0)</f>
        <v/>
      </c>
      <c r="WF29">
        <f>WF28+IF(AND($C28=57,$U28=1),1,0)</f>
        <v/>
      </c>
      <c r="WG29">
        <f>WG28+IF(AND($C28=58,$U28=1),1,0)</f>
        <v/>
      </c>
      <c r="WH29">
        <f>WH28+IF(AND($C28=59,$U28=1),1,0)</f>
        <v/>
      </c>
      <c r="WI29">
        <f>WI28+IF(AND($C28=60,$U28=1),1,0)</f>
        <v/>
      </c>
      <c r="WJ29">
        <f>WJ28+IF(AND($C28=61,$U28=1),1,0)</f>
        <v/>
      </c>
      <c r="WK29">
        <f>WK28+IF(AND($C28=62,$U28=1),1,0)</f>
        <v/>
      </c>
      <c r="WL29">
        <f>WL28+IF(AND($C28=63,$U28=1),1,0)</f>
        <v/>
      </c>
      <c r="WM29">
        <f>WM28+IF(AND($C28=64,$U28=1),1,0)</f>
        <v/>
      </c>
      <c r="WN29">
        <f>WN28+IF(AND($C28=65,$U28=1),1,0)</f>
        <v/>
      </c>
      <c r="WO29">
        <f>WO28+IF(AND($C28=66,$U28=1),1,0)</f>
        <v/>
      </c>
      <c r="WP29">
        <f>WP28+IF(AND($C28=67,$U28=1),1,0)</f>
        <v/>
      </c>
      <c r="WQ29">
        <f>WQ28+IF(AND($C28=68,$U28=1),1,0)</f>
        <v/>
      </c>
      <c r="WR29">
        <f>WR28+IF(AND($C28=69,$U28=1),1,0)</f>
        <v/>
      </c>
      <c r="WS29">
        <f>WS28+IF(AND($C28=70,$U28=1),1,0)</f>
        <v/>
      </c>
      <c r="WT29">
        <f>WT28+IF(AND($C28=71,$U28=1),1,0)</f>
        <v/>
      </c>
      <c r="WU29">
        <f>WU28+IF(AND($C28=72,$U28=1),1,0)</f>
        <v/>
      </c>
      <c r="WV29">
        <f>WV28+IF(AND($C28=73,$U28=1),1,0)</f>
        <v/>
      </c>
      <c r="WW29">
        <f>WW28+IF(AND($C28=74,$U28=1),1,0)</f>
        <v/>
      </c>
      <c r="WX29">
        <f>WX28+IF(AND($C28=75,$U28=1),1,0)</f>
        <v/>
      </c>
      <c r="WY29">
        <f>WY28+IF(AND($C28=76,$U28=1),1,0)</f>
        <v/>
      </c>
      <c r="WZ29">
        <f>WZ28+IF(AND($C28=77,$U28=1),1,0)</f>
        <v/>
      </c>
      <c r="XA29">
        <f>XA28+IF(AND($C28=78,$U28=1),1,0)</f>
        <v/>
      </c>
      <c r="XB29">
        <f>XB28+IF(AND($C28=79,$U28=1),1,0)</f>
        <v/>
      </c>
      <c r="XC29">
        <f>XC28+IF(AND($C28=80,$U28=1),1,0)</f>
        <v/>
      </c>
      <c r="XD29">
        <f>XD28+IF(AND($C28=81,$U28=1),1,0)</f>
        <v/>
      </c>
      <c r="XE29">
        <f>XE28+IF(AND($C28=82,$U28=1),1,0)</f>
        <v/>
      </c>
      <c r="XF29">
        <f>XF28+IF(AND($C28=83,$U28=1),1,0)</f>
        <v/>
      </c>
      <c r="XG29">
        <f>XG28+IF(AND($C28=84,$U28=1),1,0)</f>
        <v/>
      </c>
      <c r="XH29">
        <f>XH28+IF(AND($C28=85,$U28=1),1,0)</f>
        <v/>
      </c>
      <c r="XI29">
        <f>XI28+IF(AND($C28=86,$U28=1),1,0)</f>
        <v/>
      </c>
      <c r="XJ29">
        <f>XJ28+IF(AND($C28=87,$U28=1),1,0)</f>
        <v/>
      </c>
      <c r="XK29">
        <f>XK28+IF(AND($C28=88,$U28=1),1,0)</f>
        <v/>
      </c>
      <c r="XL29">
        <f>XL28+IF(AND($C28=89,$U28=1),1,0)</f>
        <v/>
      </c>
      <c r="XM29">
        <f>XM28+IF(AND($C28=90,$U28=1),1,0)</f>
        <v/>
      </c>
      <c r="XN29">
        <f>XN28+IF(AND($C28=91,$U28=1),1,0)</f>
        <v/>
      </c>
      <c r="XO29">
        <f>XO28+IF(AND($C28=92,$U28=1),1,0)</f>
        <v/>
      </c>
      <c r="XP29">
        <f>XP28+IF(AND($C28=93,$U28=1),1,0)</f>
        <v/>
      </c>
      <c r="XQ29">
        <f>XQ28+IF(AND($C28=94,$U28=1),1,0)</f>
        <v/>
      </c>
      <c r="XR29">
        <f>XR28+IF(AND($C28=95,$U28=1),1,0)</f>
        <v/>
      </c>
      <c r="XS29">
        <f>XS28+IF(AND($C28=96,$U28=1),1,0)</f>
        <v/>
      </c>
      <c r="XT29">
        <f>XT28+IF(AND($C28=97,$U28=1),1,0)</f>
        <v/>
      </c>
      <c r="XU29">
        <f>XU28+IF(AND($C28=98,$U28=1),1,0)</f>
        <v/>
      </c>
      <c r="XV29">
        <f>XV28+IF(AND($C28=99,$U28=1),1,0)</f>
        <v/>
      </c>
      <c r="XW29">
        <f>XW28+IF(AND($C28=100,$U28=1),1,0)</f>
        <v/>
      </c>
      <c r="XX29">
        <f>XX28+IF(AND($C28=101,$U28=1),1,0)</f>
        <v/>
      </c>
      <c r="XY29">
        <f>XY28+IF(AND($C28=102,$U28=1),1,0)</f>
        <v/>
      </c>
      <c r="XZ29">
        <f>XZ28+IF(AND($C28=103,$U28=1),1,0)</f>
        <v/>
      </c>
      <c r="YA29">
        <f>YA28+IF(AND($C28=104,$U28=1),1,0)</f>
        <v/>
      </c>
      <c r="YB29">
        <f>YB28+IF(AND($C28=105,$U28=1),1,0)</f>
        <v/>
      </c>
      <c r="YC29">
        <f>YC28+IF(AND($C28=106,$U28=1),1,0)</f>
        <v/>
      </c>
      <c r="YD29">
        <f>YD28+IF(AND($C28=107,$U28=1),1,0)</f>
        <v/>
      </c>
      <c r="YE29">
        <f>YE28+IF(AND($C28=108,$U28=1),1,0)</f>
        <v/>
      </c>
      <c r="YF29">
        <f>YF28+IF(AND($C28=109,$U28=1),1,0)</f>
        <v/>
      </c>
      <c r="YG29">
        <f>YG28+IF(AND($C28=110,$U28=1),1,0)</f>
        <v/>
      </c>
      <c r="YH29">
        <f>YH28+IF(AND($C28=111,$U28=1),1,0)</f>
        <v/>
      </c>
      <c r="YI29">
        <f>YI28+IF(AND($C28=112,$U28=1),1,0)</f>
        <v/>
      </c>
      <c r="YJ29">
        <f>YJ28+IF(AND($C28=113,$U28=1),1,0)</f>
        <v/>
      </c>
      <c r="YK29">
        <f>YK28+IF(AND($C28=114,$U28=1),1,0)</f>
        <v/>
      </c>
      <c r="YL29">
        <f>YL28+IF(AND($C28=115,$U28=1),1,0)</f>
        <v/>
      </c>
      <c r="YM29">
        <f>YM28+IF(AND($C28=116,$U28=1),1,0)</f>
        <v/>
      </c>
      <c r="YN29">
        <f>YN28+IF(AND($C28=117,$U28=1),1,0)</f>
        <v/>
      </c>
      <c r="YO29">
        <f>YO28+IF(AND($C28=118,$U28=1),1,0)</f>
        <v/>
      </c>
      <c r="YP29">
        <f>YP28+IF(AND($C28=119,$U28=1),1,0)</f>
        <v/>
      </c>
      <c r="YQ29">
        <f>YQ28+IF(AND($C28=120,$U28=1),1,0)</f>
        <v/>
      </c>
      <c r="YR29">
        <f>YR28+IF(AND($C28=121,$U28=1),1,0)</f>
        <v/>
      </c>
      <c r="YS29">
        <f>YS28+IF(AND($C28=122,$U28=1),1,0)</f>
        <v/>
      </c>
      <c r="YT29">
        <f>YT28+IF(AND($C28=123,$U28=1),1,0)</f>
        <v/>
      </c>
      <c r="YU29">
        <f>YU28+IF(AND($C28=124,$U28=1),1,0)</f>
        <v/>
      </c>
      <c r="YV29">
        <f>YV28+IF(AND($C28=125,$U28=1),1,0)</f>
        <v/>
      </c>
      <c r="YW29">
        <f>YW28+IF(AND($C28=126,$U28=1),1,0)</f>
        <v/>
      </c>
      <c r="YX29">
        <f>YX28+IF(AND($C28=127,$U28=1),1,0)</f>
        <v/>
      </c>
      <c r="YY29">
        <f>YY28+IF(AND($C28=128,$U28=1),1,0)</f>
        <v/>
      </c>
      <c r="YZ29">
        <f>YZ28+IF(AND($C28=129,$U28=1),1,0)</f>
        <v/>
      </c>
      <c r="ZA29">
        <f>ZA28+IF(AND($C28=130,$U28=1),1,0)</f>
        <v/>
      </c>
      <c r="ZB29">
        <f>ZB28+IF(AND($C28=131,$U28=1),1,0)</f>
        <v/>
      </c>
      <c r="ZC29">
        <f>ZC28+IF(AND($C28=132,$U28=1),1,0)</f>
        <v/>
      </c>
      <c r="ZD29">
        <f>ZD28+IF(AND($C28=133,$U28=1),1,0)</f>
        <v/>
      </c>
      <c r="ZE29">
        <f>ZE28+IF(AND($C28=134,$U28=1),1,0)</f>
        <v/>
      </c>
      <c r="ZF29">
        <f>ZF28+IF(AND($C28=135,$U28=1),1,0)</f>
        <v/>
      </c>
      <c r="ZG29">
        <f>ZG28+IF(AND($C28=136,$U28=1),1,0)</f>
        <v/>
      </c>
      <c r="ZH29">
        <f>ZH28+IF(AND($C28=137,$U28=1),1,0)</f>
        <v/>
      </c>
      <c r="ZI29">
        <f>ZI28+IF(AND($C28=138,$U28=1),1,0)</f>
        <v/>
      </c>
      <c r="ZJ29">
        <f>ZJ28+IF(AND($C28=139,$U28=1),1,0)</f>
        <v/>
      </c>
      <c r="ZK29">
        <f>ZK28+IF(AND($C28=140,$U28=1),1,0)</f>
        <v/>
      </c>
      <c r="ZL29">
        <f>ZL28+IF(AND($C28=141,$U28=1),1,0)</f>
        <v/>
      </c>
      <c r="ZM29">
        <f>ZM28+IF(AND($C28=142,$U28=1),1,0)</f>
        <v/>
      </c>
      <c r="ZN29">
        <f>ZN28+IF(AND($C28=143,$U28=1),1,0)</f>
        <v/>
      </c>
      <c r="ZO29">
        <f>ZO28+IF(AND($C28=144,$U28=1),1,0)</f>
        <v/>
      </c>
      <c r="ZQ29">
        <f>IF($C28=1,0,ZQ28+IF(AND($G28=1,$E28=1),1,0))</f>
        <v/>
      </c>
      <c r="ZR29">
        <f>IF($C28=2,0,ZR28+IF(AND($G28=2,$E28=1),1,0))</f>
        <v/>
      </c>
      <c r="ZS29">
        <f>IF($C28=3,0,ZS28+IF(AND($G28=3,$E28=1),1,0))</f>
        <v/>
      </c>
      <c r="ZT29">
        <f>IF($C28=4,0,ZT28+IF(AND($G28=4,$E28=1),1,0))</f>
        <v/>
      </c>
      <c r="ZU29">
        <f>IF($C28=5,0,ZU28+IF(AND($G28=5,$E28=1),1,0))</f>
        <v/>
      </c>
      <c r="ZV29">
        <f>IF($C28=6,0,ZV28+IF(AND($G28=6,$E28=1),1,0))</f>
        <v/>
      </c>
      <c r="ZW29">
        <f>IF($C28=7,0,ZW28+IF(AND($G28=7,$E28=1),1,0))</f>
        <v/>
      </c>
      <c r="ZX29">
        <f>IF($C28=8,0,ZX28+IF(AND($G28=8,$E28=1),1,0))</f>
        <v/>
      </c>
      <c r="ZY29">
        <f>IF($C28=9,0,ZY28+IF(AND($G28=9,$E28=1),1,0))</f>
        <v/>
      </c>
      <c r="ZZ29">
        <f>IF($C28=10,0,ZZ28+IF(AND($G28=10,$E28=1),1,0))</f>
        <v/>
      </c>
      <c r="AAA29">
        <f>IF($C28=11,0,AAA28+IF(AND($G28=11,$E28=1),1,0))</f>
        <v/>
      </c>
      <c r="AAB29">
        <f>IF($C28=12,0,AAB28+IF(AND($G28=12,$E28=1),1,0))</f>
        <v/>
      </c>
      <c r="AAC29">
        <f>IF($C28=13,0,AAC28+IF(AND($G28=13,$E28=1),1,0))</f>
        <v/>
      </c>
      <c r="AAD29">
        <f>IF($C28=14,0,AAD28+IF(AND($G28=14,$E28=1),1,0))</f>
        <v/>
      </c>
      <c r="AAE29">
        <f>IF($C28=15,0,AAE28+IF(AND($G28=15,$E28=1),1,0))</f>
        <v/>
      </c>
      <c r="AAF29">
        <f>IF($C28=16,0,AAF28+IF(AND($G28=16,$E28=1),1,0))</f>
        <v/>
      </c>
      <c r="AAG29">
        <f>IF($C28=17,0,AAG28+IF(AND($G28=17,$E28=1),1,0))</f>
        <v/>
      </c>
      <c r="AAH29">
        <f>IF($C28=18,0,AAH28+IF(AND($G28=18,$E28=1),1,0))</f>
        <v/>
      </c>
      <c r="AAI29">
        <f>IF($C28=19,0,AAI28+IF(AND($G28=19,$E28=1),1,0))</f>
        <v/>
      </c>
      <c r="AAJ29">
        <f>IF($C28=20,0,AAJ28+IF(AND($G28=20,$E28=1),1,0))</f>
        <v/>
      </c>
      <c r="AAK29">
        <f>IF($C28=21,0,AAK28+IF(AND($G28=21,$E28=1),1,0))</f>
        <v/>
      </c>
      <c r="AAL29">
        <f>IF($C28=22,0,AAL28+IF(AND($G28=22,$E28=1),1,0))</f>
        <v/>
      </c>
      <c r="AAM29">
        <f>IF($C28=23,0,AAM28+IF(AND($G28=23,$E28=1),1,0))</f>
        <v/>
      </c>
      <c r="AAN29">
        <f>IF($C28=24,0,AAN28+IF(AND($G28=24,$E28=1),1,0))</f>
        <v/>
      </c>
      <c r="AAO29">
        <f>IF($C28=25,0,AAO28+IF(AND($G28=25,$E28=1),1,0))</f>
        <v/>
      </c>
      <c r="AAP29">
        <f>IF($C28=26,0,AAP28+IF(AND($G28=26,$E28=1),1,0))</f>
        <v/>
      </c>
      <c r="AAQ29">
        <f>IF($C28=27,0,AAQ28+IF(AND($G28=27,$E28=1),1,0))</f>
        <v/>
      </c>
      <c r="AAR29">
        <f>IF($C28=28,0,AAR28+IF(AND($G28=28,$E28=1),1,0))</f>
        <v/>
      </c>
      <c r="AAS29">
        <f>IF($C28=29,0,AAS28+IF(AND($G28=29,$E28=1),1,0))</f>
        <v/>
      </c>
      <c r="AAT29">
        <f>IF($C28=30,0,AAT28+IF(AND($G28=30,$E28=1),1,0))</f>
        <v/>
      </c>
      <c r="AAU29">
        <f>IF($C28=31,0,AAU28+IF(AND($G28=31,$E28=1),1,0))</f>
        <v/>
      </c>
      <c r="AAV29">
        <f>IF($C28=32,0,AAV28+IF(AND($G28=32,$E28=1),1,0))</f>
        <v/>
      </c>
      <c r="AAW29">
        <f>IF($C28=33,0,AAW28+IF(AND($G28=33,$E28=1),1,0))</f>
        <v/>
      </c>
      <c r="AAX29">
        <f>IF($C28=34,0,AAX28+IF(AND($G28=34,$E28=1),1,0))</f>
        <v/>
      </c>
      <c r="AAY29">
        <f>IF($C28=35,0,AAY28+IF(AND($G28=35,$E28=1),1,0))</f>
        <v/>
      </c>
      <c r="AAZ29">
        <f>IF($C28=36,0,AAZ28+IF(AND($G28=36,$E28=1),1,0))</f>
        <v/>
      </c>
      <c r="ABA29">
        <f>IF($C28=37,0,ABA28+IF(AND($G28=37,$E28=1),1,0))</f>
        <v/>
      </c>
      <c r="ABB29">
        <f>IF($C28=38,0,ABB28+IF(AND($G28=38,$E28=1),1,0))</f>
        <v/>
      </c>
      <c r="ABC29">
        <f>IF($C28=39,0,ABC28+IF(AND($G28=39,$E28=1),1,0))</f>
        <v/>
      </c>
      <c r="ABD29">
        <f>IF($C28=40,0,ABD28+IF(AND($G28=40,$E28=1),1,0))</f>
        <v/>
      </c>
      <c r="ABE29">
        <f>IF($C28=41,0,ABE28+IF(AND($G28=41,$E28=1),1,0))</f>
        <v/>
      </c>
      <c r="ABF29">
        <f>IF($C28=42,0,ABF28+IF(AND($G28=42,$E28=1),1,0))</f>
        <v/>
      </c>
      <c r="ABG29">
        <f>IF($C28=43,0,ABG28+IF(AND($G28=43,$E28=1),1,0))</f>
        <v/>
      </c>
      <c r="ABH29">
        <f>IF($C28=44,0,ABH28+IF(AND($G28=44,$E28=1),1,0))</f>
        <v/>
      </c>
      <c r="ABI29">
        <f>IF($C28=45,0,ABI28+IF(AND($G28=45,$E28=1),1,0))</f>
        <v/>
      </c>
      <c r="ABJ29">
        <f>IF($C28=46,0,ABJ28+IF(AND($G28=46,$E28=1),1,0))</f>
        <v/>
      </c>
      <c r="ABK29">
        <f>IF($C28=47,0,ABK28+IF(AND($G28=47,$E28=1),1,0))</f>
        <v/>
      </c>
      <c r="ABL29">
        <f>IF($C28=48,0,ABL28+IF(AND($G28=48,$E28=1),1,0))</f>
        <v/>
      </c>
      <c r="ABM29">
        <f>IF($C28=49,0,ABM28+IF(AND($G28=49,$E28=1),1,0))</f>
        <v/>
      </c>
      <c r="ABN29">
        <f>IF($C28=50,0,ABN28+IF(AND($G28=50,$E28=1),1,0))</f>
        <v/>
      </c>
      <c r="ABO29">
        <f>IF($C28=51,0,ABO28+IF(AND($G28=51,$E28=1),1,0))</f>
        <v/>
      </c>
      <c r="ABP29">
        <f>IF($C28=52,0,ABP28+IF(AND($G28=52,$E28=1),1,0))</f>
        <v/>
      </c>
      <c r="ABQ29">
        <f>IF($C28=53,0,ABQ28+IF(AND($G28=53,$E28=1),1,0))</f>
        <v/>
      </c>
      <c r="ABR29">
        <f>IF($C28=54,0,ABR28+IF(AND($G28=54,$E28=1),1,0))</f>
        <v/>
      </c>
      <c r="ABS29">
        <f>IF($C28=55,0,ABS28+IF(AND($G28=55,$E28=1),1,0))</f>
        <v/>
      </c>
      <c r="ABT29">
        <f>IF($C28=56,0,ABT28+IF(AND($G28=56,$E28=1),1,0))</f>
        <v/>
      </c>
      <c r="ABU29">
        <f>IF($C28=57,0,ABU28+IF(AND($G28=57,$E28=1),1,0))</f>
        <v/>
      </c>
      <c r="ABV29">
        <f>IF($C28=58,0,ABV28+IF(AND($G28=58,$E28=1),1,0))</f>
        <v/>
      </c>
      <c r="ABW29">
        <f>IF($C28=59,0,ABW28+IF(AND($G28=59,$E28=1),1,0))</f>
        <v/>
      </c>
      <c r="ABX29">
        <f>IF($C28=60,0,ABX28+IF(AND($G28=60,$E28=1),1,0))</f>
        <v/>
      </c>
      <c r="ABY29">
        <f>IF($C28=61,0,ABY28+IF(AND($G28=61,$E28=1),1,0))</f>
        <v/>
      </c>
      <c r="ABZ29">
        <f>IF($C28=62,0,ABZ28+IF(AND($G28=62,$E28=1),1,0))</f>
        <v/>
      </c>
      <c r="ACA29">
        <f>IF($C28=63,0,ACA28+IF(AND($G28=63,$E28=1),1,0))</f>
        <v/>
      </c>
      <c r="ACB29">
        <f>IF($C28=64,0,ACB28+IF(AND($G28=64,$E28=1),1,0))</f>
        <v/>
      </c>
      <c r="ACC29">
        <f>IF($C28=65,0,ACC28+IF(AND($G28=65,$E28=1),1,0))</f>
        <v/>
      </c>
      <c r="ACD29">
        <f>IF($C28=66,0,ACD28+IF(AND($G28=66,$E28=1),1,0))</f>
        <v/>
      </c>
      <c r="ACE29">
        <f>IF($C28=67,0,ACE28+IF(AND($G28=67,$E28=1),1,0))</f>
        <v/>
      </c>
      <c r="ACF29">
        <f>IF($C28=68,0,ACF28+IF(AND($G28=68,$E28=1),1,0))</f>
        <v/>
      </c>
      <c r="ACG29">
        <f>IF($C28=69,0,ACG28+IF(AND($G28=69,$E28=1),1,0))</f>
        <v/>
      </c>
      <c r="ACH29">
        <f>IF($C28=70,0,ACH28+IF(AND($G28=70,$E28=1),1,0))</f>
        <v/>
      </c>
      <c r="ACI29">
        <f>IF($C28=71,0,ACI28+IF(AND($G28=71,$E28=1),1,0))</f>
        <v/>
      </c>
      <c r="ACJ29">
        <f>IF($C28=72,0,ACJ28+IF(AND($G28=72,$E28=1),1,0))</f>
        <v/>
      </c>
      <c r="ACK29">
        <f>IF($C28=73,0,ACK28+IF(AND($G28=73,$E28=1),1,0))</f>
        <v/>
      </c>
      <c r="ACL29">
        <f>IF($C28=74,0,ACL28+IF(AND($G28=74,$E28=1),1,0))</f>
        <v/>
      </c>
      <c r="ACM29">
        <f>IF($C28=75,0,ACM28+IF(AND($G28=75,$E28=1),1,0))</f>
        <v/>
      </c>
      <c r="ACN29">
        <f>IF($C28=76,0,ACN28+IF(AND($G28=76,$E28=1),1,0))</f>
        <v/>
      </c>
      <c r="ACO29">
        <f>IF($C28=77,0,ACO28+IF(AND($G28=77,$E28=1),1,0))</f>
        <v/>
      </c>
      <c r="ACP29">
        <f>IF($C28=78,0,ACP28+IF(AND($G28=78,$E28=1),1,0))</f>
        <v/>
      </c>
      <c r="ACQ29">
        <f>IF($C28=79,0,ACQ28+IF(AND($G28=79,$E28=1),1,0))</f>
        <v/>
      </c>
      <c r="ACR29">
        <f>IF($C28=80,0,ACR28+IF(AND($G28=80,$E28=1),1,0))</f>
        <v/>
      </c>
      <c r="ACS29">
        <f>IF($C28=81,0,ACS28+IF(AND($G28=81,$E28=1),1,0))</f>
        <v/>
      </c>
      <c r="ACT29">
        <f>IF($C28=82,0,ACT28+IF(AND($G28=82,$E28=1),1,0))</f>
        <v/>
      </c>
      <c r="ACU29">
        <f>IF($C28=83,0,ACU28+IF(AND($G28=83,$E28=1),1,0))</f>
        <v/>
      </c>
      <c r="ACV29">
        <f>IF($C28=84,0,ACV28+IF(AND($G28=84,$E28=1),1,0))</f>
        <v/>
      </c>
      <c r="ACW29">
        <f>IF($C28=85,0,ACW28+IF(AND($G28=85,$E28=1),1,0))</f>
        <v/>
      </c>
      <c r="ACX29">
        <f>IF($C28=86,0,ACX28+IF(AND($G28=86,$E28=1),1,0))</f>
        <v/>
      </c>
      <c r="ACY29">
        <f>IF($C28=87,0,ACY28+IF(AND($G28=87,$E28=1),1,0))</f>
        <v/>
      </c>
      <c r="ACZ29">
        <f>IF($C28=88,0,ACZ28+IF(AND($G28=88,$E28=1),1,0))</f>
        <v/>
      </c>
      <c r="ADA29">
        <f>IF($C28=89,0,ADA28+IF(AND($G28=89,$E28=1),1,0))</f>
        <v/>
      </c>
      <c r="ADB29">
        <f>IF($C28=90,0,ADB28+IF(AND($G28=90,$E28=1),1,0))</f>
        <v/>
      </c>
      <c r="ADC29">
        <f>IF($C28=91,0,ADC28+IF(AND($G28=91,$E28=1),1,0))</f>
        <v/>
      </c>
      <c r="ADD29">
        <f>IF($C28=92,0,ADD28+IF(AND($G28=92,$E28=1),1,0))</f>
        <v/>
      </c>
      <c r="ADE29">
        <f>IF($C28=93,0,ADE28+IF(AND($G28=93,$E28=1),1,0))</f>
        <v/>
      </c>
      <c r="ADF29">
        <f>IF($C28=94,0,ADF28+IF(AND($G28=94,$E28=1),1,0))</f>
        <v/>
      </c>
      <c r="ADG29">
        <f>IF($C28=95,0,ADG28+IF(AND($G28=95,$E28=1),1,0))</f>
        <v/>
      </c>
      <c r="ADH29">
        <f>IF($C28=96,0,ADH28+IF(AND($G28=96,$E28=1),1,0))</f>
        <v/>
      </c>
      <c r="ADI29">
        <f>IF($C28=97,0,ADI28+IF(AND($G28=97,$E28=1),1,0))</f>
        <v/>
      </c>
      <c r="ADJ29">
        <f>IF($C28=98,0,ADJ28+IF(AND($G28=98,$E28=1),1,0))</f>
        <v/>
      </c>
      <c r="ADK29">
        <f>IF($C28=99,0,ADK28+IF(AND($G28=99,$E28=1),1,0))</f>
        <v/>
      </c>
      <c r="ADL29">
        <f>IF($C28=100,0,ADL28+IF(AND($G28=100,$E28=1),1,0))</f>
        <v/>
      </c>
      <c r="ADM29">
        <f>IF($C28=101,0,ADM28+IF(AND($G28=101,$E28=1),1,0))</f>
        <v/>
      </c>
      <c r="ADN29">
        <f>IF($C28=102,0,ADN28+IF(AND($G28=102,$E28=1),1,0))</f>
        <v/>
      </c>
      <c r="ADO29">
        <f>IF($C28=103,0,ADO28+IF(AND($G28=103,$E28=1),1,0))</f>
        <v/>
      </c>
      <c r="ADP29">
        <f>IF($C28=104,0,ADP28+IF(AND($G28=104,$E28=1),1,0))</f>
        <v/>
      </c>
      <c r="ADQ29">
        <f>IF($C28=105,0,ADQ28+IF(AND($G28=105,$E28=1),1,0))</f>
        <v/>
      </c>
      <c r="ADR29">
        <f>IF($C28=106,0,ADR28+IF(AND($G28=106,$E28=1),1,0))</f>
        <v/>
      </c>
      <c r="ADS29">
        <f>IF($C28=107,0,ADS28+IF(AND($G28=107,$E28=1),1,0))</f>
        <v/>
      </c>
      <c r="ADT29">
        <f>IF($C28=108,0,ADT28+IF(AND($G28=108,$E28=1),1,0))</f>
        <v/>
      </c>
      <c r="ADU29">
        <f>IF($C28=109,0,ADU28+IF(AND($G28=109,$E28=1),1,0))</f>
        <v/>
      </c>
      <c r="ADV29">
        <f>IF($C28=110,0,ADV28+IF(AND($G28=110,$E28=1),1,0))</f>
        <v/>
      </c>
      <c r="ADW29">
        <f>IF($C28=111,0,ADW28+IF(AND($G28=111,$E28=1),1,0))</f>
        <v/>
      </c>
      <c r="ADX29">
        <f>IF($C28=112,0,ADX28+IF(AND($G28=112,$E28=1),1,0))</f>
        <v/>
      </c>
      <c r="ADY29">
        <f>IF($C28=113,0,ADY28+IF(AND($G28=113,$E28=1),1,0))</f>
        <v/>
      </c>
      <c r="ADZ29">
        <f>IF($C28=114,0,ADZ28+IF(AND($G28=114,$E28=1),1,0))</f>
        <v/>
      </c>
      <c r="AEA29">
        <f>IF($C28=115,0,AEA28+IF(AND($G28=115,$E28=1),1,0))</f>
        <v/>
      </c>
      <c r="AEB29">
        <f>IF($C28=116,0,AEB28+IF(AND($G28=116,$E28=1),1,0))</f>
        <v/>
      </c>
      <c r="AEC29">
        <f>IF($C28=117,0,AEC28+IF(AND($G28=117,$E28=1),1,0))</f>
        <v/>
      </c>
      <c r="AED29">
        <f>IF($C28=118,0,AED28+IF(AND($G28=118,$E28=1),1,0))</f>
        <v/>
      </c>
      <c r="AEE29">
        <f>IF($C28=119,0,AEE28+IF(AND($G28=119,$E28=1),1,0))</f>
        <v/>
      </c>
      <c r="AEF29">
        <f>IF($C28=120,0,AEF28+IF(AND($G28=120,$E28=1),1,0))</f>
        <v/>
      </c>
      <c r="AEG29">
        <f>IF($C28=121,0,AEG28+IF(AND($G28=121,$E28=1),1,0))</f>
        <v/>
      </c>
      <c r="AEH29">
        <f>IF($C28=122,0,AEH28+IF(AND($G28=122,$E28=1),1,0))</f>
        <v/>
      </c>
      <c r="AEI29">
        <f>IF($C28=123,0,AEI28+IF(AND($G28=123,$E28=1),1,0))</f>
        <v/>
      </c>
      <c r="AEJ29">
        <f>IF($C28=124,0,AEJ28+IF(AND($G28=124,$E28=1),1,0))</f>
        <v/>
      </c>
      <c r="AEK29">
        <f>IF($C28=125,0,AEK28+IF(AND($G28=125,$E28=1),1,0))</f>
        <v/>
      </c>
      <c r="AEL29">
        <f>IF($C28=126,0,AEL28+IF(AND($G28=126,$E28=1),1,0))</f>
        <v/>
      </c>
      <c r="AEM29">
        <f>IF($C28=127,0,AEM28+IF(AND($G28=127,$E28=1),1,0))</f>
        <v/>
      </c>
      <c r="AEN29">
        <f>IF($C28=128,0,AEN28+IF(AND($G28=128,$E28=1),1,0))</f>
        <v/>
      </c>
      <c r="AEO29">
        <f>IF($C28=129,0,AEO28+IF(AND($G28=129,$E28=1),1,0))</f>
        <v/>
      </c>
      <c r="AEP29">
        <f>IF($C28=130,0,AEP28+IF(AND($G28=130,$E28=1),1,0))</f>
        <v/>
      </c>
      <c r="AEQ29">
        <f>IF($C28=131,0,AEQ28+IF(AND($G28=131,$E28=1),1,0))</f>
        <v/>
      </c>
      <c r="AER29">
        <f>IF($C28=132,0,AER28+IF(AND($G28=132,$E28=1),1,0))</f>
        <v/>
      </c>
      <c r="AES29">
        <f>IF($C28=133,0,AES28+IF(AND($G28=133,$E28=1),1,0))</f>
        <v/>
      </c>
      <c r="AET29">
        <f>IF($C28=134,0,AET28+IF(AND($G28=134,$E28=1),1,0))</f>
        <v/>
      </c>
      <c r="AEU29">
        <f>IF($C28=135,0,AEU28+IF(AND($G28=135,$E28=1),1,0))</f>
        <v/>
      </c>
      <c r="AEV29">
        <f>IF($C28=136,0,AEV28+IF(AND($G28=136,$E28=1),1,0))</f>
        <v/>
      </c>
      <c r="AEW29">
        <f>IF($C28=137,0,AEW28+IF(AND($G28=137,$E28=1),1,0))</f>
        <v/>
      </c>
      <c r="AEX29">
        <f>IF($C28=138,0,AEX28+IF(AND($G28=138,$E28=1),1,0))</f>
        <v/>
      </c>
      <c r="AEY29">
        <f>IF($C28=139,0,AEY28+IF(AND($G28=139,$E28=1),1,0))</f>
        <v/>
      </c>
      <c r="AEZ29">
        <f>IF($C28=140,0,AEZ28+IF(AND($G28=140,$E28=1),1,0))</f>
        <v/>
      </c>
      <c r="AFA29">
        <f>IF($C28=141,0,AFA28+IF(AND($G28=141,$E28=1),1,0))</f>
        <v/>
      </c>
      <c r="AFB29">
        <f>IF($C28=142,0,AFB28+IF(AND($G28=142,$E28=1),1,0))</f>
        <v/>
      </c>
      <c r="AFC29">
        <f>IF($C28=143,0,AFC28+IF(AND($G28=143,$E28=1),1,0))</f>
        <v/>
      </c>
      <c r="AFD29">
        <f>IF($C28=144,0,AFD28+IF(AND($G28=144,$E28=1),1,0))</f>
        <v/>
      </c>
      <c r="AFF29">
        <f>IF('calcA'!D$106=1,DC29+ZR29,1)</f>
        <v/>
      </c>
      <c r="AFG29">
        <f>IF('calcA'!E$106=1,DD29+ZS29,1)</f>
        <v/>
      </c>
      <c r="AFH29">
        <f>IF('calcA'!F$106=1,DE29+ZT29,1)</f>
        <v/>
      </c>
      <c r="AFI29">
        <f>IF('calcA'!G$106=1,DF29+ZU29,1)</f>
        <v/>
      </c>
      <c r="AFJ29">
        <f>IF('calcA'!H$106=1,DG29+ZV29,1)</f>
        <v/>
      </c>
      <c r="AFK29">
        <f>IF('calcA'!I$106=1,DH29+ZW29,1)</f>
        <v/>
      </c>
      <c r="AFL29">
        <f>IF('calcA'!J$106=1,DI29+ZX29,1)</f>
        <v/>
      </c>
      <c r="AFM29">
        <f>IF('calcA'!K$106=1,DJ29+ZY29,1)</f>
        <v/>
      </c>
      <c r="AFN29">
        <f>IF('calcA'!L$106=1,DK29+ZZ29,1)</f>
        <v/>
      </c>
      <c r="AFO29">
        <f>IF('calcA'!M$106=1,DL29+AAA29,1)</f>
        <v/>
      </c>
      <c r="AFP29">
        <f>IF('calcA'!N$106=1,DM29+AAB29,1)</f>
        <v/>
      </c>
      <c r="AFQ29">
        <f>IF('calcA'!O$106=1,DN29+AAC29,1)</f>
        <v/>
      </c>
      <c r="AFR29">
        <f>IF('calcA'!P$106=1,DO29+AAD29,1)</f>
        <v/>
      </c>
      <c r="AFS29">
        <f>IF('calcA'!Q$106=1,DP29+AAE29,1)</f>
        <v/>
      </c>
      <c r="AFT29">
        <f>IF('calcA'!R$106=1,DQ29+AAF29,1)</f>
        <v/>
      </c>
      <c r="AFU29">
        <f>IF('calcA'!S$106=1,DR29+AAG29,1)</f>
        <v/>
      </c>
      <c r="AFV29">
        <f>IF('calcA'!T$106=1,DS29+AAH29,1)</f>
        <v/>
      </c>
      <c r="AFW29">
        <f>IF('calcA'!U$106=1,DT29+AAI29,1)</f>
        <v/>
      </c>
      <c r="AFX29">
        <f>IF('calcA'!V$106=1,DU29+AAJ29,1)</f>
        <v/>
      </c>
      <c r="AFY29">
        <f>IF('calcA'!W$106=1,DV29+AAK29,1)</f>
        <v/>
      </c>
      <c r="AFZ29">
        <f>IF('calcA'!X$106=1,DW29+AAL29,1)</f>
        <v/>
      </c>
      <c r="AGA29">
        <f>IF('calcA'!Y$106=1,DX29+AAM29,1)</f>
        <v/>
      </c>
      <c r="AGB29">
        <f>IF('calcA'!Z$106=1,DY29+AAN29,1)</f>
        <v/>
      </c>
      <c r="AGC29">
        <f>IF('calcA'!AA$106=1,DZ29+AAO29,1)</f>
        <v/>
      </c>
      <c r="AGD29">
        <f>IF('calcA'!AB$106=1,EA29+AAP29,1)</f>
        <v/>
      </c>
      <c r="AGE29">
        <f>IF('calcA'!AC$106=1,EB29+AAQ29,1)</f>
        <v/>
      </c>
      <c r="AGF29">
        <f>IF('calcA'!AD$106=1,EC29+AAR29,1)</f>
        <v/>
      </c>
      <c r="AGG29">
        <f>IF('calcA'!AE$106=1,ED29+AAS29,1)</f>
        <v/>
      </c>
      <c r="AGH29">
        <f>IF('calcA'!AF$106=1,EE29+AAT29,1)</f>
        <v/>
      </c>
      <c r="AGI29">
        <f>IF('calcA'!AG$106=1,EF29+AAU29,1)</f>
        <v/>
      </c>
      <c r="AGJ29">
        <f>IF('calcA'!AH$106=1,EG29+AAV29,1)</f>
        <v/>
      </c>
      <c r="AGK29">
        <f>IF('calcA'!AI$106=1,EH29+AAW29,1)</f>
        <v/>
      </c>
      <c r="AGL29">
        <f>IF('calcA'!AJ$106=1,EI29+AAX29,1)</f>
        <v/>
      </c>
      <c r="AGM29">
        <f>IF('calcA'!AK$106=1,EJ29+AAY29,1)</f>
        <v/>
      </c>
      <c r="AGN29">
        <f>IF('calcA'!AL$106=1,EK29+AAZ29,1)</f>
        <v/>
      </c>
      <c r="AGO29">
        <f>IF('calcA'!AM$106=1,EL29+ABA29,1)</f>
        <v/>
      </c>
      <c r="AGP29">
        <f>IF('calcA'!AN$106=1,EM29+ABB29,1)</f>
        <v/>
      </c>
      <c r="AGQ29">
        <f>IF('calcA'!AO$106=1,EN29+ABC29,1)</f>
        <v/>
      </c>
      <c r="AGR29">
        <f>IF('calcA'!AP$106=1,EO29+ABD29,1)</f>
        <v/>
      </c>
      <c r="AGS29">
        <f>IF('calcA'!AQ$106=1,EP29+ABE29,1)</f>
        <v/>
      </c>
      <c r="AGT29">
        <f>IF('calcA'!AR$106=1,EQ29+ABF29,1)</f>
        <v/>
      </c>
      <c r="AGU29">
        <f>IF('calcA'!AS$106=1,ER29+ABG29,1)</f>
        <v/>
      </c>
      <c r="AGV29">
        <f>IF('calcA'!AT$106=1,ES29+ABH29,1)</f>
        <v/>
      </c>
      <c r="AGW29">
        <f>IF('calcA'!AU$106=1,ET29+ABI29,1)</f>
        <v/>
      </c>
      <c r="AGX29">
        <f>IF('calcA'!AV$106=1,EU29+ABJ29,1)</f>
        <v/>
      </c>
      <c r="AGY29">
        <f>IF('calcA'!AW$106=1,EV29+ABK29,1)</f>
        <v/>
      </c>
      <c r="AGZ29">
        <f>IF('calcA'!AX$106=1,EW29+ABL29,1)</f>
        <v/>
      </c>
      <c r="AHA29">
        <f>IF('calcA'!AY$106=1,EX29+ABM29,1)</f>
        <v/>
      </c>
      <c r="AHB29">
        <f>IF('calcA'!AZ$106=1,EY29+ABN29,1)</f>
        <v/>
      </c>
      <c r="AHC29">
        <f>IF('calcA'!BA$106=1,EZ29+ABO29,1)</f>
        <v/>
      </c>
      <c r="AHD29">
        <f>IF('calcA'!BB$106=1,FA29+ABP29,1)</f>
        <v/>
      </c>
      <c r="AHE29">
        <f>IF('calcA'!BC$106=1,FB29+ABQ29,1)</f>
        <v/>
      </c>
      <c r="AHF29">
        <f>IF('calcA'!BD$106=1,FC29+ABR29,1)</f>
        <v/>
      </c>
      <c r="AHG29">
        <f>IF('calcA'!BE$106=1,FD29+ABS29,1)</f>
        <v/>
      </c>
      <c r="AHH29">
        <f>IF('calcA'!BF$106=1,FE29+ABT29,1)</f>
        <v/>
      </c>
      <c r="AHI29">
        <f>IF('calcA'!BG$106=1,FF29+ABU29,1)</f>
        <v/>
      </c>
      <c r="AHJ29">
        <f>IF('calcA'!BH$106=1,FG29+ABV29,1)</f>
        <v/>
      </c>
      <c r="AHK29">
        <f>IF('calcA'!BI$106=1,FH29+ABW29,1)</f>
        <v/>
      </c>
      <c r="AHL29">
        <f>IF('calcA'!BJ$106=1,FI29+ABX29,1)</f>
        <v/>
      </c>
      <c r="AHM29">
        <f>IF('calcA'!BK$106=1,FJ29+ABY29,1)</f>
        <v/>
      </c>
      <c r="AHN29">
        <f>IF('calcA'!BL$106=1,FK29+ABZ29,1)</f>
        <v/>
      </c>
      <c r="AHO29">
        <f>IF('calcA'!BM$106=1,FL29+ACA29,1)</f>
        <v/>
      </c>
      <c r="AHP29">
        <f>IF('calcA'!BN$106=1,FM29+ACB29,1)</f>
        <v/>
      </c>
      <c r="AHQ29">
        <f>IF('calcA'!BO$106=1,FN29+ACC29,1)</f>
        <v/>
      </c>
      <c r="AHR29">
        <f>IF('calcA'!BP$106=1,FO29+ACD29,1)</f>
        <v/>
      </c>
      <c r="AHS29">
        <f>IF('calcA'!BQ$106=1,FP29+ACE29,1)</f>
        <v/>
      </c>
      <c r="AHT29">
        <f>IF('calcA'!BR$106=1,FQ29+ACF29,1)</f>
        <v/>
      </c>
      <c r="AHU29">
        <f>IF('calcA'!BS$106=1,FR29+ACG29,1)</f>
        <v/>
      </c>
      <c r="AHV29">
        <f>IF('calcA'!BT$106=1,FS29+ACH29,1)</f>
        <v/>
      </c>
      <c r="AHW29">
        <f>IF('calcA'!BU$106=1,FT29+ACI29,1)</f>
        <v/>
      </c>
      <c r="AHX29">
        <f>IF('calcA'!BV$106=1,FU29+ACJ29,1)</f>
        <v/>
      </c>
      <c r="AHY29">
        <f>IF('calcA'!BW$106=1,FV29+ACK29,1)</f>
        <v/>
      </c>
      <c r="AHZ29">
        <f>IF('calcA'!BX$106=1,FW29+ACL29,1)</f>
        <v/>
      </c>
      <c r="AIA29">
        <f>IF('calcA'!BY$106=1,FX29+ACM29,1)</f>
        <v/>
      </c>
      <c r="AIB29">
        <f>IF('calcA'!BZ$106=1,FY29+ACN29,1)</f>
        <v/>
      </c>
      <c r="AIC29">
        <f>IF('calcA'!CA$106=1,FZ29+ACO29,1)</f>
        <v/>
      </c>
      <c r="AID29">
        <f>IF('calcA'!CB$106=1,GA29+ACP29,1)</f>
        <v/>
      </c>
      <c r="AIE29">
        <f>IF('calcA'!CC$106=1,GB29+ACQ29,1)</f>
        <v/>
      </c>
      <c r="AIF29">
        <f>IF('calcA'!CD$106=1,GC29+ACR29,1)</f>
        <v/>
      </c>
      <c r="AIG29">
        <f>IF('calcA'!CE$106=1,GD29+ACS29,1)</f>
        <v/>
      </c>
      <c r="AIH29">
        <f>IF('calcA'!CF$106=1,GE29+ACT29,1)</f>
        <v/>
      </c>
      <c r="AII29">
        <f>IF('calcA'!CG$106=1,GF29+ACU29,1)</f>
        <v/>
      </c>
      <c r="AIJ29">
        <f>IF('calcA'!CH$106=1,GG29+ACV29,1)</f>
        <v/>
      </c>
      <c r="AIK29">
        <f>IF('calcA'!CI$106=1,GH29+ACW29,1)</f>
        <v/>
      </c>
      <c r="AIL29">
        <f>IF('calcA'!CJ$106=1,GI29+ACX29,1)</f>
        <v/>
      </c>
      <c r="AIM29">
        <f>IF('calcA'!CK$106=1,GJ29+ACY29,1)</f>
        <v/>
      </c>
      <c r="AIN29">
        <f>IF('calcA'!CL$106=1,GK29+ACZ29,1)</f>
        <v/>
      </c>
      <c r="AIO29">
        <f>IF('calcA'!CM$106=1,GL29+ADA29,1)</f>
        <v/>
      </c>
      <c r="AIP29">
        <f>IF('calcA'!CN$106=1,GM29+ADB29,1)</f>
        <v/>
      </c>
      <c r="AIQ29">
        <f>IF('calcA'!CO$106=1,GN29+ADC29,1)</f>
        <v/>
      </c>
      <c r="AIR29">
        <f>IF('calcA'!CP$106=1,GO29+ADD29,1)</f>
        <v/>
      </c>
      <c r="AIS29">
        <f>IF('calcA'!CQ$106=1,GP29+ADE29,1)</f>
        <v/>
      </c>
      <c r="AIT29">
        <f>IF('calcA'!CR$106=1,GQ29+ADF29,1)</f>
        <v/>
      </c>
      <c r="AIU29">
        <f>IF('calcA'!CS$106=1,GR29+ADG29,1)</f>
        <v/>
      </c>
      <c r="AIV29">
        <f>IF('calcA'!CT$106=1,GS29+ADH29,1)</f>
        <v/>
      </c>
      <c r="AIW29">
        <f>IF('calcA'!CU$106=1,GT29+ADI29,1)</f>
        <v/>
      </c>
      <c r="AIX29">
        <f>IF('calcA'!CV$106=1,GU29+ADJ29,1)</f>
        <v/>
      </c>
      <c r="AIY29">
        <f>IF('calcA'!CW$106=1,GV29+ADK29,1)</f>
        <v/>
      </c>
      <c r="AIZ29">
        <f>IF('calcA'!CX$106=1,GW29+ADL29,1)</f>
        <v/>
      </c>
      <c r="AJA29">
        <f>IF('calcA'!CY$106=1,GX29+ADM29,1)</f>
        <v/>
      </c>
      <c r="AJB29">
        <f>IF('calcA'!CZ$106=1,GY29+ADN29,1)</f>
        <v/>
      </c>
      <c r="AJC29">
        <f>IF('calcA'!DA$106=1,GZ29+ADO29,1)</f>
        <v/>
      </c>
      <c r="AJD29">
        <f>IF('calcA'!DB$106=1,HA29+ADP29,1)</f>
        <v/>
      </c>
      <c r="AJE29">
        <f>IF('calcA'!DC$106=1,HB29+ADQ29,1)</f>
        <v/>
      </c>
      <c r="AJF29">
        <f>IF('calcA'!DD$106=1,HC29+ADR29,1)</f>
        <v/>
      </c>
      <c r="AJG29">
        <f>IF('calcA'!DE$106=1,HD29+ADS29,1)</f>
        <v/>
      </c>
      <c r="AJH29">
        <f>IF('calcA'!DF$106=1,HE29+ADT29,1)</f>
        <v/>
      </c>
      <c r="AJI29">
        <f>IF('calcA'!DG$106=1,HF29+ADU29,1)</f>
        <v/>
      </c>
      <c r="AJJ29">
        <f>IF('calcA'!DH$106=1,HG29+ADV29,1)</f>
        <v/>
      </c>
      <c r="AJK29">
        <f>IF('calcA'!DI$106=1,HH29+ADW29,1)</f>
        <v/>
      </c>
      <c r="AJL29">
        <f>IF('calcA'!DJ$106=1,HI29+ADX29,1)</f>
        <v/>
      </c>
      <c r="AJM29">
        <f>IF('calcA'!DK$106=1,HJ29+ADY29,1)</f>
        <v/>
      </c>
      <c r="AJN29">
        <f>IF('calcA'!DL$106=1,HK29+ADZ29,1)</f>
        <v/>
      </c>
      <c r="AJO29">
        <f>IF('calcA'!DM$106=1,HL29+AEA29,1)</f>
        <v/>
      </c>
      <c r="AJP29">
        <f>IF('calcA'!DN$106=1,HM29+AEB29,1)</f>
        <v/>
      </c>
      <c r="AJQ29">
        <f>IF('calcA'!DO$106=1,HN29+AEC29,1)</f>
        <v/>
      </c>
      <c r="AJR29">
        <f>IF('calcA'!DP$106=1,HO29+AED29,1)</f>
        <v/>
      </c>
      <c r="AJS29">
        <f>IF('calcA'!DQ$106=1,HP29+AEE29,1)</f>
        <v/>
      </c>
      <c r="AJT29">
        <f>IF('calcA'!DR$106=1,HQ29+AEF29,1)</f>
        <v/>
      </c>
      <c r="AJU29">
        <f>IF('calcA'!DS$106=1,HR29+AEG29,1)</f>
        <v/>
      </c>
      <c r="AJV29">
        <f>IF('calcA'!DT$106=1,HS29+AEH29,1)</f>
        <v/>
      </c>
      <c r="AJW29">
        <f>IF('calcA'!DU$106=1,HT29+AEI29,1)</f>
        <v/>
      </c>
      <c r="AJX29">
        <f>IF('calcA'!DV$106=1,HU29+AEJ29,1)</f>
        <v/>
      </c>
      <c r="AJY29">
        <f>IF('calcA'!DW$106=1,HV29+AEK29,1)</f>
        <v/>
      </c>
      <c r="AJZ29">
        <f>IF('calcA'!DX$106=1,HW29+AEL29,1)</f>
        <v/>
      </c>
      <c r="AKA29">
        <f>IF('calcA'!DY$106=1,HX29+AEM29,1)</f>
        <v/>
      </c>
      <c r="AKB29">
        <f>IF('calcA'!DZ$106=1,HY29+AEN29,1)</f>
        <v/>
      </c>
      <c r="AKC29">
        <f>IF('calcA'!EA$106=1,HZ29+AEO29,1)</f>
        <v/>
      </c>
      <c r="AKD29">
        <f>IF('calcA'!EB$106=1,IA29+AEP29,1)</f>
        <v/>
      </c>
      <c r="AKE29">
        <f>IF('calcA'!EC$106=1,IB29+AEQ29,1)</f>
        <v/>
      </c>
      <c r="AKF29">
        <f>IF('calcA'!ED$106=1,IC29+AER29,1)</f>
        <v/>
      </c>
      <c r="AKG29">
        <f>IF('calcA'!EE$106=1,ID29+AES29,1)</f>
        <v/>
      </c>
      <c r="AKH29">
        <f>IF('calcA'!EF$106=1,IE29+AET29,1)</f>
        <v/>
      </c>
      <c r="AKI29">
        <f>IF('calcA'!EG$106=1,IF29+AEU29,1)</f>
        <v/>
      </c>
      <c r="AKJ29">
        <f>IF('calcA'!EH$106=1,IG29+AEV29,1)</f>
        <v/>
      </c>
      <c r="AKK29">
        <f>IF('calcA'!EI$106=1,IH29+AEW29,1)</f>
        <v/>
      </c>
      <c r="AKL29">
        <f>IF('calcA'!EJ$106=1,II29+AEX29,1)</f>
        <v/>
      </c>
      <c r="AKM29">
        <f>IF('calcA'!EK$106=1,IJ29+AEY29,1)</f>
        <v/>
      </c>
      <c r="AKN29">
        <f>IF('calcA'!EL$106=1,IK29+AEZ29,1)</f>
        <v/>
      </c>
      <c r="AKO29">
        <f>IF('calcA'!EM$106=1,IL29+AFA29,1)</f>
        <v/>
      </c>
      <c r="AKP29">
        <f>IF('calcA'!EN$106=1,IM29+AFB29,1)</f>
        <v/>
      </c>
      <c r="AKQ29">
        <f>IF('calcA'!EO$106=1,IN29+AFC29,1)</f>
        <v/>
      </c>
      <c r="AKR29">
        <f>IF('calcA'!EP$106=1,IO29+AFD29,1)</f>
        <v/>
      </c>
      <c r="AKS29" t="n">
        <v>1</v>
      </c>
    </row>
    <row r="30">
      <c r="A30" t="n">
        <v>28</v>
      </c>
      <c r="B30">
        <f>IF(MIN(BM30:CZ30)&gt;=1000000000,0,MATCH(MIN(BM30:CZ30),BM30:CZ30,0))</f>
        <v/>
      </c>
      <c r="C30">
        <f>IF(MIN(OF30:TS30)&gt;=1000000000,0,MATCH(MIN(OF30:TS30),OF30:TS30,0))</f>
        <v/>
      </c>
      <c r="D30">
        <f>IF(C30&gt;0,INDEX('calcA'!$D$5:$EQ$5,C30),0)</f>
        <v/>
      </c>
      <c r="E30">
        <f>IF(B30=0,0,INDEX('calcA'!$IQ$10:$IQ$54,B30))</f>
        <v/>
      </c>
      <c r="F30">
        <f>IF(B30=0,0,INDEX('calcA'!$IP$10:$IP$54,B30))</f>
        <v/>
      </c>
      <c r="G30">
        <f>IF(AND(C30&gt;0,E30&gt;0),IF(AND(INDEX('calcA'!$D$106:$EQ$106,C30)=1,INDEX($IQ30:$OD30,C30)=1),C30+1,0),0)</f>
        <v/>
      </c>
      <c r="H30">
        <f>IF(B30=0,0,INDEX('calcA'!$IW$10:$IW$54,B30))</f>
        <v/>
      </c>
      <c r="U30">
        <f>IF(B30=0,0,INDEX('calcA'!$IX$10:$IX$54,B30))</f>
        <v/>
      </c>
      <c r="V30">
        <f>IF(B30=0,0,INDEX('calcA'!$JF$10:$JF$54,B30))</f>
        <v/>
      </c>
      <c r="W30">
        <f>IF(B30=0,0,IF(IF(E30=2,SUMPRODUCT(INDEX('calcA'!$D$60:$EQ$99,B30,0),$DB30:$IO30,$IQ30:$OD30),SUMPRODUCT(INDEX('calcA'!$D$60:$EQ$99,B30,0),$DB30:$IO30))=0,1,0))</f>
        <v/>
      </c>
      <c r="X30">
        <f>MAX(X29,IF($B29=1,1,0))</f>
        <v/>
      </c>
      <c r="Y30">
        <f>MAX(Y29,IF($B29=2,1,0))</f>
        <v/>
      </c>
      <c r="Z30">
        <f>MAX(Z29,IF($B29=3,1,0))</f>
        <v/>
      </c>
      <c r="AA30">
        <f>MAX(AA29,IF($B29=4,1,0))</f>
        <v/>
      </c>
      <c r="AB30">
        <f>MAX(AB29,IF($B29=5,1,0))</f>
        <v/>
      </c>
      <c r="AC30">
        <f>MAX(AC29,IF($B29=6,1,0))</f>
        <v/>
      </c>
      <c r="AD30">
        <f>MAX(AD29,IF($B29=7,1,0))</f>
        <v/>
      </c>
      <c r="AE30">
        <f>MAX(AE29,IF($B29=8,1,0))</f>
        <v/>
      </c>
      <c r="AF30">
        <f>MAX(AF29,IF($B29=9,1,0))</f>
        <v/>
      </c>
      <c r="AG30">
        <f>MAX(AG29,IF($B29=10,1,0))</f>
        <v/>
      </c>
      <c r="AH30">
        <f>MAX(AH29,IF($B29=11,1,0))</f>
        <v/>
      </c>
      <c r="AI30">
        <f>MAX(AI29,IF($B29=12,1,0))</f>
        <v/>
      </c>
      <c r="AJ30">
        <f>MAX(AJ29,IF($B29=13,1,0))</f>
        <v/>
      </c>
      <c r="AK30">
        <f>MAX(AK29,IF($B29=14,1,0))</f>
        <v/>
      </c>
      <c r="AL30">
        <f>MAX(AL29,IF($B29=15,1,0))</f>
        <v/>
      </c>
      <c r="AM30">
        <f>MAX(AM29,IF($B29=16,1,0))</f>
        <v/>
      </c>
      <c r="AN30">
        <f>MAX(AN29,IF($B29=17,1,0))</f>
        <v/>
      </c>
      <c r="AO30">
        <f>MAX(AO29,IF($B29=18,1,0))</f>
        <v/>
      </c>
      <c r="AP30">
        <f>MAX(AP29,IF($B29=19,1,0))</f>
        <v/>
      </c>
      <c r="AQ30">
        <f>MAX(AQ29,IF($B29=20,1,0))</f>
        <v/>
      </c>
      <c r="AR30">
        <f>MAX(AR29,IF($B29=21,1,0))</f>
        <v/>
      </c>
      <c r="AS30">
        <f>MAX(AS29,IF($B29=22,1,0))</f>
        <v/>
      </c>
      <c r="AT30">
        <f>MAX(AT29,IF($B29=23,1,0))</f>
        <v/>
      </c>
      <c r="AU30">
        <f>MAX(AU29,IF($B29=24,1,0))</f>
        <v/>
      </c>
      <c r="AV30">
        <f>MAX(AV29,IF($B29=25,1,0))</f>
        <v/>
      </c>
      <c r="AW30">
        <f>MAX(AW29,IF($B29=26,1,0))</f>
        <v/>
      </c>
      <c r="AX30">
        <f>MAX(AX29,IF($B29=27,1,0))</f>
        <v/>
      </c>
      <c r="AY30">
        <f>MAX(AY29,IF($B29=28,1,0))</f>
        <v/>
      </c>
      <c r="AZ30">
        <f>MAX(AZ29,IF($B29=29,1,0))</f>
        <v/>
      </c>
      <c r="BA30">
        <f>MAX(BA29,IF($B29=30,1,0))</f>
        <v/>
      </c>
      <c r="BB30">
        <f>MAX(BB29,IF($B29=31,1,0))</f>
        <v/>
      </c>
      <c r="BC30">
        <f>MAX(BC29,IF($B29=32,1,0))</f>
        <v/>
      </c>
      <c r="BD30">
        <f>MAX(BD29,IF($B29=33,1,0))</f>
        <v/>
      </c>
      <c r="BE30">
        <f>MAX(BE29,IF($B29=34,1,0))</f>
        <v/>
      </c>
      <c r="BF30">
        <f>MAX(BF29,IF($B29=35,1,0))</f>
        <v/>
      </c>
      <c r="BG30">
        <f>MAX(BG29,IF($B29=36,1,0))</f>
        <v/>
      </c>
      <c r="BH30">
        <f>MAX(BH29,IF($B29=37,1,0))</f>
        <v/>
      </c>
      <c r="BI30">
        <f>MAX(BI29,IF($B29=38,1,0))</f>
        <v/>
      </c>
      <c r="BJ30">
        <f>MAX(BJ29,IF($B29=39,1,0))</f>
        <v/>
      </c>
      <c r="BK30">
        <f>MAX(BK29,IF($B29=40,1,0))</f>
        <v/>
      </c>
      <c r="BM30">
        <f>IF(OR(X30=1,calcA!$A$6=0),1000000000,IF('calcA'!$JF$10=1,0,100000000)+IF('calcA'!$IQ$10=2,SUMPRODUCT('calcA'!$D$60:$EQ$60,$DB30:$IO30,$IQ30:$OD30)*1000+SUMPRODUCT('calcA'!$D$60:$EQ$60,$DB30:$IO30+$ZQ30:$AFD30,$AFF30:$AKS30),SUMPRODUCT('calcA'!$D$60:$EQ$60,$DB30:$IO30*1001+$ZQ30:$AFD30))*100+1)</f>
        <v/>
      </c>
      <c r="BN30">
        <f>IF(OR(Y30=1,calcA!$A$6=0),1000000000,IF('calcA'!$JF$11=1,0,100000000)+IF('calcA'!$IQ$11=2,SUMPRODUCT('calcA'!$D$61:$EQ$61,$DB30:$IO30,$IQ30:$OD30)*1000+SUMPRODUCT('calcA'!$D$61:$EQ$61,$DB30:$IO30+$ZQ30:$AFD30,$AFF30:$AKS30),SUMPRODUCT('calcA'!$D$61:$EQ$61,$DB30:$IO30*1001+$ZQ30:$AFD30))*100+2)</f>
        <v/>
      </c>
      <c r="BO30">
        <f>IF(OR(Z30=1,calcA!$A$6=0),1000000000,IF('calcA'!$JF$12=1,0,100000000)+IF('calcA'!$IQ$12=2,SUMPRODUCT('calcA'!$D$62:$EQ$62,$DB30:$IO30,$IQ30:$OD30)*1000+SUMPRODUCT('calcA'!$D$62:$EQ$62,$DB30:$IO30+$ZQ30:$AFD30,$AFF30:$AKS30),SUMPRODUCT('calcA'!$D$62:$EQ$62,$DB30:$IO30*1001+$ZQ30:$AFD30))*100+3)</f>
        <v/>
      </c>
      <c r="BP30">
        <f>IF(OR(AA30=1,calcA!$A$6=0),1000000000,IF('calcA'!$JF$13=1,0,100000000)+IF('calcA'!$IQ$13=2,SUMPRODUCT('calcA'!$D$63:$EQ$63,$DB30:$IO30,$IQ30:$OD30)*1000+SUMPRODUCT('calcA'!$D$63:$EQ$63,$DB30:$IO30+$ZQ30:$AFD30,$AFF30:$AKS30),SUMPRODUCT('calcA'!$D$63:$EQ$63,$DB30:$IO30*1001+$ZQ30:$AFD30))*100+4)</f>
        <v/>
      </c>
      <c r="BQ30">
        <f>IF(OR(AB30=1,calcA!$A$6=0),1000000000,IF('calcA'!$JF$14=1,0,100000000)+IF('calcA'!$IQ$14=2,SUMPRODUCT('calcA'!$D$64:$EQ$64,$DB30:$IO30,$IQ30:$OD30)*1000+SUMPRODUCT('calcA'!$D$64:$EQ$64,$DB30:$IO30+$ZQ30:$AFD30,$AFF30:$AKS30),SUMPRODUCT('calcA'!$D$64:$EQ$64,$DB30:$IO30*1001+$ZQ30:$AFD30))*100+5)</f>
        <v/>
      </c>
      <c r="BR30">
        <f>IF(OR(AC30=1,calcA!$A$6=0),1000000000,IF('calcA'!$JF$15=1,0,100000000)+IF('calcA'!$IQ$15=2,SUMPRODUCT('calcA'!$D$65:$EQ$65,$DB30:$IO30,$IQ30:$OD30)*1000+SUMPRODUCT('calcA'!$D$65:$EQ$65,$DB30:$IO30+$ZQ30:$AFD30,$AFF30:$AKS30),SUMPRODUCT('calcA'!$D$65:$EQ$65,$DB30:$IO30*1001+$ZQ30:$AFD30))*100+6)</f>
        <v/>
      </c>
      <c r="BS30">
        <f>IF(OR(AD30=1,calcA!$A$6=0),1000000000,IF('calcA'!$JF$16=1,0,100000000)+IF('calcA'!$IQ$16=2,SUMPRODUCT('calcA'!$D$66:$EQ$66,$DB30:$IO30,$IQ30:$OD30)*1000+SUMPRODUCT('calcA'!$D$66:$EQ$66,$DB30:$IO30+$ZQ30:$AFD30,$AFF30:$AKS30),SUMPRODUCT('calcA'!$D$66:$EQ$66,$DB30:$IO30*1001+$ZQ30:$AFD30))*100+7)</f>
        <v/>
      </c>
      <c r="BT30">
        <f>IF(OR(AE30=1,calcA!$A$6=0),1000000000,IF('calcA'!$JF$17=1,0,100000000)+IF('calcA'!$IQ$17=2,SUMPRODUCT('calcA'!$D$67:$EQ$67,$DB30:$IO30,$IQ30:$OD30)*1000+SUMPRODUCT('calcA'!$D$67:$EQ$67,$DB30:$IO30+$ZQ30:$AFD30,$AFF30:$AKS30),SUMPRODUCT('calcA'!$D$67:$EQ$67,$DB30:$IO30*1001+$ZQ30:$AFD30))*100+8)</f>
        <v/>
      </c>
      <c r="BU30">
        <f>IF(OR(AF30=1,calcA!$A$6=0),1000000000,IF('calcA'!$JF$18=1,0,100000000)+IF('calcA'!$IQ$18=2,SUMPRODUCT('calcA'!$D$68:$EQ$68,$DB30:$IO30,$IQ30:$OD30)*1000+SUMPRODUCT('calcA'!$D$68:$EQ$68,$DB30:$IO30+$ZQ30:$AFD30,$AFF30:$AKS30),SUMPRODUCT('calcA'!$D$68:$EQ$68,$DB30:$IO30*1001+$ZQ30:$AFD30))*100+9)</f>
        <v/>
      </c>
      <c r="BV30">
        <f>IF(OR(AG30=1,calcA!$A$6=0),1000000000,IF('calcA'!$JF$19=1,0,100000000)+IF('calcA'!$IQ$19=2,SUMPRODUCT('calcA'!$D$69:$EQ$69,$DB30:$IO30,$IQ30:$OD30)*1000+SUMPRODUCT('calcA'!$D$69:$EQ$69,$DB30:$IO30+$ZQ30:$AFD30,$AFF30:$AKS30),SUMPRODUCT('calcA'!$D$69:$EQ$69,$DB30:$IO30*1001+$ZQ30:$AFD30))*100+10)</f>
        <v/>
      </c>
      <c r="BW30">
        <f>IF(OR(AH30=1,calcA!$A$6=0),1000000000,IF('calcA'!$JF$20=1,0,100000000)+IF('calcA'!$IQ$20=2,SUMPRODUCT('calcA'!$D$70:$EQ$70,$DB30:$IO30,$IQ30:$OD30)*1000+SUMPRODUCT('calcA'!$D$70:$EQ$70,$DB30:$IO30+$ZQ30:$AFD30,$AFF30:$AKS30),SUMPRODUCT('calcA'!$D$70:$EQ$70,$DB30:$IO30*1001+$ZQ30:$AFD30))*100+11)</f>
        <v/>
      </c>
      <c r="BX30">
        <f>IF(OR(AI30=1,calcA!$A$6=0),1000000000,IF('calcA'!$JF$21=1,0,100000000)+IF('calcA'!$IQ$21=2,SUMPRODUCT('calcA'!$D$71:$EQ$71,$DB30:$IO30,$IQ30:$OD30)*1000+SUMPRODUCT('calcA'!$D$71:$EQ$71,$DB30:$IO30+$ZQ30:$AFD30,$AFF30:$AKS30),SUMPRODUCT('calcA'!$D$71:$EQ$71,$DB30:$IO30*1001+$ZQ30:$AFD30))*100+12)</f>
        <v/>
      </c>
      <c r="BY30">
        <f>IF(OR(AJ30=1,calcA!$A$6=0),1000000000,IF('calcA'!$JF$22=1,0,100000000)+IF('calcA'!$IQ$22=2,SUMPRODUCT('calcA'!$D$72:$EQ$72,$DB30:$IO30,$IQ30:$OD30)*1000+SUMPRODUCT('calcA'!$D$72:$EQ$72,$DB30:$IO30+$ZQ30:$AFD30,$AFF30:$AKS30),SUMPRODUCT('calcA'!$D$72:$EQ$72,$DB30:$IO30*1001+$ZQ30:$AFD30))*100+13)</f>
        <v/>
      </c>
      <c r="BZ30">
        <f>IF(OR(AK30=1,calcA!$A$6=0),1000000000,IF('calcA'!$JF$23=1,0,100000000)+IF('calcA'!$IQ$23=2,SUMPRODUCT('calcA'!$D$73:$EQ$73,$DB30:$IO30,$IQ30:$OD30)*1000+SUMPRODUCT('calcA'!$D$73:$EQ$73,$DB30:$IO30+$ZQ30:$AFD30,$AFF30:$AKS30),SUMPRODUCT('calcA'!$D$73:$EQ$73,$DB30:$IO30*1001+$ZQ30:$AFD30))*100+14)</f>
        <v/>
      </c>
      <c r="CA30">
        <f>IF(OR(AL30=1,calcA!$A$6=0),1000000000,IF('calcA'!$JF$24=1,0,100000000)+IF('calcA'!$IQ$24=2,SUMPRODUCT('calcA'!$D$74:$EQ$74,$DB30:$IO30,$IQ30:$OD30)*1000+SUMPRODUCT('calcA'!$D$74:$EQ$74,$DB30:$IO30+$ZQ30:$AFD30,$AFF30:$AKS30),SUMPRODUCT('calcA'!$D$74:$EQ$74,$DB30:$IO30*1001+$ZQ30:$AFD30))*100+15)</f>
        <v/>
      </c>
      <c r="CB30">
        <f>IF(OR(AM30=1,calcA!$A$6=0),1000000000,IF('calcA'!$JF$25=1,0,100000000)+IF('calcA'!$IQ$25=2,SUMPRODUCT('calcA'!$D$75:$EQ$75,$DB30:$IO30,$IQ30:$OD30)*1000+SUMPRODUCT('calcA'!$D$75:$EQ$75,$DB30:$IO30+$ZQ30:$AFD30,$AFF30:$AKS30),SUMPRODUCT('calcA'!$D$75:$EQ$75,$DB30:$IO30*1001+$ZQ30:$AFD30))*100+16)</f>
        <v/>
      </c>
      <c r="CC30">
        <f>IF(OR(AN30=1,calcA!$A$6=0),1000000000,IF('calcA'!$JF$26=1,0,100000000)+IF('calcA'!$IQ$26=2,SUMPRODUCT('calcA'!$D$76:$EQ$76,$DB30:$IO30,$IQ30:$OD30)*1000+SUMPRODUCT('calcA'!$D$76:$EQ$76,$DB30:$IO30+$ZQ30:$AFD30,$AFF30:$AKS30),SUMPRODUCT('calcA'!$D$76:$EQ$76,$DB30:$IO30*1001+$ZQ30:$AFD30))*100+17)</f>
        <v/>
      </c>
      <c r="CD30">
        <f>IF(OR(AO30=1,calcA!$A$6=0),1000000000,IF('calcA'!$JF$27=1,0,100000000)+IF('calcA'!$IQ$27=2,SUMPRODUCT('calcA'!$D$77:$EQ$77,$DB30:$IO30,$IQ30:$OD30)*1000+SUMPRODUCT('calcA'!$D$77:$EQ$77,$DB30:$IO30+$ZQ30:$AFD30,$AFF30:$AKS30),SUMPRODUCT('calcA'!$D$77:$EQ$77,$DB30:$IO30*1001+$ZQ30:$AFD30))*100+18)</f>
        <v/>
      </c>
      <c r="CE30">
        <f>IF(OR(AP30=1,calcA!$A$6=0),1000000000,IF('calcA'!$JF$28=1,0,100000000)+IF('calcA'!$IQ$28=2,SUMPRODUCT('calcA'!$D$78:$EQ$78,$DB30:$IO30,$IQ30:$OD30)*1000+SUMPRODUCT('calcA'!$D$78:$EQ$78,$DB30:$IO30+$ZQ30:$AFD30,$AFF30:$AKS30),SUMPRODUCT('calcA'!$D$78:$EQ$78,$DB30:$IO30*1001+$ZQ30:$AFD30))*100+19)</f>
        <v/>
      </c>
      <c r="CF30">
        <f>IF(OR(AQ30=1,calcA!$A$6=0),1000000000,IF('calcA'!$JF$29=1,0,100000000)+IF('calcA'!$IQ$29=2,SUMPRODUCT('calcA'!$D$79:$EQ$79,$DB30:$IO30,$IQ30:$OD30)*1000+SUMPRODUCT('calcA'!$D$79:$EQ$79,$DB30:$IO30+$ZQ30:$AFD30,$AFF30:$AKS30),SUMPRODUCT('calcA'!$D$79:$EQ$79,$DB30:$IO30*1001+$ZQ30:$AFD30))*100+20)</f>
        <v/>
      </c>
      <c r="CG30">
        <f>IF(OR(AR30=1,calcA!$A$6=0),1000000000,IF('calcA'!$JF$30=1,0,100000000)+IF('calcA'!$IQ$30=2,SUMPRODUCT('calcA'!$D$80:$EQ$80,$DB30:$IO30,$IQ30:$OD30)*1000+SUMPRODUCT('calcA'!$D$80:$EQ$80,$DB30:$IO30+$ZQ30:$AFD30,$AFF30:$AKS30),SUMPRODUCT('calcA'!$D$80:$EQ$80,$DB30:$IO30*1001+$ZQ30:$AFD30))*100+21)</f>
        <v/>
      </c>
      <c r="CH30">
        <f>IF(OR(AS30=1,calcA!$A$6=0),1000000000,IF('calcA'!$JF$31=1,0,100000000)+IF('calcA'!$IQ$31=2,SUMPRODUCT('calcA'!$D$81:$EQ$81,$DB30:$IO30,$IQ30:$OD30)*1000+SUMPRODUCT('calcA'!$D$81:$EQ$81,$DB30:$IO30+$ZQ30:$AFD30,$AFF30:$AKS30),SUMPRODUCT('calcA'!$D$81:$EQ$81,$DB30:$IO30*1001+$ZQ30:$AFD30))*100+22)</f>
        <v/>
      </c>
      <c r="CI30">
        <f>IF(OR(AT30=1,calcA!$A$6=0),1000000000,IF('calcA'!$JF$32=1,0,100000000)+IF('calcA'!$IQ$32=2,SUMPRODUCT('calcA'!$D$82:$EQ$82,$DB30:$IO30,$IQ30:$OD30)*1000+SUMPRODUCT('calcA'!$D$82:$EQ$82,$DB30:$IO30+$ZQ30:$AFD30,$AFF30:$AKS30),SUMPRODUCT('calcA'!$D$82:$EQ$82,$DB30:$IO30*1001+$ZQ30:$AFD30))*100+23)</f>
        <v/>
      </c>
      <c r="CJ30">
        <f>IF(OR(AU30=1,calcA!$A$6=0),1000000000,IF('calcA'!$JF$33=1,0,100000000)+IF('calcA'!$IQ$33=2,SUMPRODUCT('calcA'!$D$83:$EQ$83,$DB30:$IO30,$IQ30:$OD30)*1000+SUMPRODUCT('calcA'!$D$83:$EQ$83,$DB30:$IO30+$ZQ30:$AFD30,$AFF30:$AKS30),SUMPRODUCT('calcA'!$D$83:$EQ$83,$DB30:$IO30*1001+$ZQ30:$AFD30))*100+24)</f>
        <v/>
      </c>
      <c r="CK30">
        <f>IF(OR(AV30=1,calcA!$A$6=0),1000000000,IF('calcA'!$JF$34=1,0,100000000)+IF('calcA'!$IQ$34=2,SUMPRODUCT('calcA'!$D$84:$EQ$84,$DB30:$IO30,$IQ30:$OD30)*1000+SUMPRODUCT('calcA'!$D$84:$EQ$84,$DB30:$IO30+$ZQ30:$AFD30,$AFF30:$AKS30),SUMPRODUCT('calcA'!$D$84:$EQ$84,$DB30:$IO30*1001+$ZQ30:$AFD30))*100+25)</f>
        <v/>
      </c>
      <c r="CL30">
        <f>IF(OR(AW30=1,calcA!$A$6=0),1000000000,IF('calcA'!$JF$35=1,0,100000000)+IF('calcA'!$IQ$35=2,SUMPRODUCT('calcA'!$D$85:$EQ$85,$DB30:$IO30,$IQ30:$OD30)*1000+SUMPRODUCT('calcA'!$D$85:$EQ$85,$DB30:$IO30+$ZQ30:$AFD30,$AFF30:$AKS30),SUMPRODUCT('calcA'!$D$85:$EQ$85,$DB30:$IO30*1001+$ZQ30:$AFD30))*100+26)</f>
        <v/>
      </c>
      <c r="CM30">
        <f>IF(OR(AX30=1,calcA!$A$6=0),1000000000,IF('calcA'!$JF$36=1,0,100000000)+IF('calcA'!$IQ$36=2,SUMPRODUCT('calcA'!$D$86:$EQ$86,$DB30:$IO30,$IQ30:$OD30)*1000+SUMPRODUCT('calcA'!$D$86:$EQ$86,$DB30:$IO30+$ZQ30:$AFD30,$AFF30:$AKS30),SUMPRODUCT('calcA'!$D$86:$EQ$86,$DB30:$IO30*1001+$ZQ30:$AFD30))*100+27)</f>
        <v/>
      </c>
      <c r="CN30">
        <f>IF(OR(AY30=1,calcA!$A$6=0),1000000000,IF('calcA'!$JF$37=1,0,100000000)+IF('calcA'!$IQ$37=2,SUMPRODUCT('calcA'!$D$87:$EQ$87,$DB30:$IO30,$IQ30:$OD30)*1000+SUMPRODUCT('calcA'!$D$87:$EQ$87,$DB30:$IO30+$ZQ30:$AFD30,$AFF30:$AKS30),SUMPRODUCT('calcA'!$D$87:$EQ$87,$DB30:$IO30*1001+$ZQ30:$AFD30))*100+28)</f>
        <v/>
      </c>
      <c r="CO30">
        <f>IF(OR(AZ30=1,calcA!$A$6=0),1000000000,IF('calcA'!$JF$38=1,0,100000000)+IF('calcA'!$IQ$38=2,SUMPRODUCT('calcA'!$D$88:$EQ$88,$DB30:$IO30,$IQ30:$OD30)*1000+SUMPRODUCT('calcA'!$D$88:$EQ$88,$DB30:$IO30+$ZQ30:$AFD30,$AFF30:$AKS30),SUMPRODUCT('calcA'!$D$88:$EQ$88,$DB30:$IO30*1001+$ZQ30:$AFD30))*100+29)</f>
        <v/>
      </c>
      <c r="CP30">
        <f>IF(OR(BA30=1,calcA!$A$6=0),1000000000,IF('calcA'!$JF$39=1,0,100000000)+IF('calcA'!$IQ$39=2,SUMPRODUCT('calcA'!$D$89:$EQ$89,$DB30:$IO30,$IQ30:$OD30)*1000+SUMPRODUCT('calcA'!$D$89:$EQ$89,$DB30:$IO30+$ZQ30:$AFD30,$AFF30:$AKS30),SUMPRODUCT('calcA'!$D$89:$EQ$89,$DB30:$IO30*1001+$ZQ30:$AFD30))*100+30)</f>
        <v/>
      </c>
      <c r="CQ30">
        <f>IF(OR(BB30=1,calcA!$A$6=0),1000000000,IF('calcA'!$JF$40=1,0,100000000)+IF('calcA'!$IQ$40=2,SUMPRODUCT('calcA'!$D$90:$EQ$90,$DB30:$IO30,$IQ30:$OD30)*1000+SUMPRODUCT('calcA'!$D$90:$EQ$90,$DB30:$IO30+$ZQ30:$AFD30,$AFF30:$AKS30),SUMPRODUCT('calcA'!$D$90:$EQ$90,$DB30:$IO30*1001+$ZQ30:$AFD30))*100+31)</f>
        <v/>
      </c>
      <c r="CR30">
        <f>IF(OR(BC30=1,calcA!$A$6=0),1000000000,IF('calcA'!$JF$41=1,0,100000000)+IF('calcA'!$IQ$41=2,SUMPRODUCT('calcA'!$D$91:$EQ$91,$DB30:$IO30,$IQ30:$OD30)*1000+SUMPRODUCT('calcA'!$D$91:$EQ$91,$DB30:$IO30+$ZQ30:$AFD30,$AFF30:$AKS30),SUMPRODUCT('calcA'!$D$91:$EQ$91,$DB30:$IO30*1001+$ZQ30:$AFD30))*100+32)</f>
        <v/>
      </c>
      <c r="CS30">
        <f>IF(OR(BD30=1,calcA!$A$6=0),1000000000,IF('calcA'!$JF$42=1,0,100000000)+IF('calcA'!$IQ$42=2,SUMPRODUCT('calcA'!$D$92:$EQ$92,$DB30:$IO30,$IQ30:$OD30)*1000+SUMPRODUCT('calcA'!$D$92:$EQ$92,$DB30:$IO30+$ZQ30:$AFD30,$AFF30:$AKS30),SUMPRODUCT('calcA'!$D$92:$EQ$92,$DB30:$IO30*1001+$ZQ30:$AFD30))*100+33)</f>
        <v/>
      </c>
      <c r="CT30">
        <f>IF(OR(BE30=1,calcA!$A$6=0),1000000000,IF('calcA'!$JF$43=1,0,100000000)+IF('calcA'!$IQ$43=2,SUMPRODUCT('calcA'!$D$93:$EQ$93,$DB30:$IO30,$IQ30:$OD30)*1000+SUMPRODUCT('calcA'!$D$93:$EQ$93,$DB30:$IO30+$ZQ30:$AFD30,$AFF30:$AKS30),SUMPRODUCT('calcA'!$D$93:$EQ$93,$DB30:$IO30*1001+$ZQ30:$AFD30))*100+34)</f>
        <v/>
      </c>
      <c r="CU30">
        <f>IF(OR(BF30=1,calcA!$A$6=0),1000000000,IF('calcA'!$JF$44=1,0,100000000)+IF('calcA'!$IQ$44=2,SUMPRODUCT('calcA'!$D$94:$EQ$94,$DB30:$IO30,$IQ30:$OD30)*1000+SUMPRODUCT('calcA'!$D$94:$EQ$94,$DB30:$IO30+$ZQ30:$AFD30,$AFF30:$AKS30),SUMPRODUCT('calcA'!$D$94:$EQ$94,$DB30:$IO30*1001+$ZQ30:$AFD30))*100+35)</f>
        <v/>
      </c>
      <c r="CV30">
        <f>IF(OR(BG30=1,calcA!$A$6=0),1000000000,IF('calcA'!$JF$45=1,0,100000000)+IF('calcA'!$IQ$45=2,SUMPRODUCT('calcA'!$D$95:$EQ$95,$DB30:$IO30,$IQ30:$OD30)*1000+SUMPRODUCT('calcA'!$D$95:$EQ$95,$DB30:$IO30+$ZQ30:$AFD30,$AFF30:$AKS30),SUMPRODUCT('calcA'!$D$95:$EQ$95,$DB30:$IO30*1001+$ZQ30:$AFD30))*100+36)</f>
        <v/>
      </c>
      <c r="CW30">
        <f>IF(OR(BH30=1,calcA!$A$6=0),1000000000,IF('calcA'!$JF$46=1,0,100000000)+IF('calcA'!$IQ$46=2,SUMPRODUCT('calcA'!$D$96:$EQ$96,$DB30:$IO30,$IQ30:$OD30)*1000+SUMPRODUCT('calcA'!$D$96:$EQ$96,$DB30:$IO30+$ZQ30:$AFD30,$AFF30:$AKS30),SUMPRODUCT('calcA'!$D$96:$EQ$96,$DB30:$IO30*1001+$ZQ30:$AFD30))*100+37)</f>
        <v/>
      </c>
      <c r="CX30">
        <f>IF(OR(BI30=1,calcA!$A$6=0),1000000000,IF('calcA'!$JF$47=1,0,100000000)+IF('calcA'!$IQ$47=2,SUMPRODUCT('calcA'!$D$97:$EQ$97,$DB30:$IO30,$IQ30:$OD30)*1000+SUMPRODUCT('calcA'!$D$97:$EQ$97,$DB30:$IO30+$ZQ30:$AFD30,$AFF30:$AKS30),SUMPRODUCT('calcA'!$D$97:$EQ$97,$DB30:$IO30*1001+$ZQ30:$AFD30))*100+38)</f>
        <v/>
      </c>
      <c r="CY30">
        <f>IF(OR(BJ30=1,calcA!$A$6=0),1000000000,IF('calcA'!$JF$48=1,0,100000000)+IF('calcA'!$IQ$48=2,SUMPRODUCT('calcA'!$D$98:$EQ$98,$DB30:$IO30,$IQ30:$OD30)*1000+SUMPRODUCT('calcA'!$D$98:$EQ$98,$DB30:$IO30+$ZQ30:$AFD30,$AFF30:$AKS30),SUMPRODUCT('calcA'!$D$98:$EQ$98,$DB30:$IO30*1001+$ZQ30:$AFD30))*100+39)</f>
        <v/>
      </c>
      <c r="CZ30">
        <f>IF(OR(BK30=1,calcA!$A$6=0),1000000000,IF('calcA'!$JF$49=1,0,100000000)+IF('calcA'!$IQ$49=2,SUMPRODUCT('calcA'!$D$99:$EQ$99,$DB30:$IO30,$IQ30:$OD30)*1000+SUMPRODUCT('calcA'!$D$99:$EQ$99,$DB30:$IO30+$ZQ30:$AFD30,$AFF30:$AKS30),SUMPRODUCT('calcA'!$D$99:$EQ$99,$DB30:$IO30*1001+$ZQ30:$AFD30))*100+40)</f>
        <v/>
      </c>
      <c r="DB30">
        <f>DB29*IF(OR($C29=1,$G29=1),0,1)</f>
        <v/>
      </c>
      <c r="DC30">
        <f>DC29*IF(OR($C29=2,$G29=2),0,1)</f>
        <v/>
      </c>
      <c r="DD30">
        <f>DD29*IF(OR($C29=3,$G29=3),0,1)</f>
        <v/>
      </c>
      <c r="DE30">
        <f>DE29*IF(OR($C29=4,$G29=4),0,1)</f>
        <v/>
      </c>
      <c r="DF30">
        <f>DF29*IF(OR($C29=5,$G29=5),0,1)</f>
        <v/>
      </c>
      <c r="DG30">
        <f>DG29*IF(OR($C29=6,$G29=6),0,1)</f>
        <v/>
      </c>
      <c r="DH30">
        <f>DH29*IF(OR($C29=7,$G29=7),0,1)</f>
        <v/>
      </c>
      <c r="DI30">
        <f>DI29*IF(OR($C29=8,$G29=8),0,1)</f>
        <v/>
      </c>
      <c r="DJ30">
        <f>DJ29*IF(OR($C29=9,$G29=9),0,1)</f>
        <v/>
      </c>
      <c r="DK30">
        <f>DK29*IF(OR($C29=10,$G29=10),0,1)</f>
        <v/>
      </c>
      <c r="DL30">
        <f>DL29*IF(OR($C29=11,$G29=11),0,1)</f>
        <v/>
      </c>
      <c r="DM30">
        <f>DM29*IF(OR($C29=12,$G29=12),0,1)</f>
        <v/>
      </c>
      <c r="DN30">
        <f>DN29*IF(OR($C29=13,$G29=13),0,1)</f>
        <v/>
      </c>
      <c r="DO30">
        <f>DO29*IF(OR($C29=14,$G29=14),0,1)</f>
        <v/>
      </c>
      <c r="DP30">
        <f>DP29*IF(OR($C29=15,$G29=15),0,1)</f>
        <v/>
      </c>
      <c r="DQ30">
        <f>DQ29*IF(OR($C29=16,$G29=16),0,1)</f>
        <v/>
      </c>
      <c r="DR30">
        <f>DR29*IF(OR($C29=17,$G29=17),0,1)</f>
        <v/>
      </c>
      <c r="DS30">
        <f>DS29*IF(OR($C29=18,$G29=18),0,1)</f>
        <v/>
      </c>
      <c r="DT30">
        <f>DT29*IF(OR($C29=19,$G29=19),0,1)</f>
        <v/>
      </c>
      <c r="DU30">
        <f>DU29*IF(OR($C29=20,$G29=20),0,1)</f>
        <v/>
      </c>
      <c r="DV30">
        <f>DV29*IF(OR($C29=21,$G29=21),0,1)</f>
        <v/>
      </c>
      <c r="DW30">
        <f>DW29*IF(OR($C29=22,$G29=22),0,1)</f>
        <v/>
      </c>
      <c r="DX30">
        <f>DX29*IF(OR($C29=23,$G29=23),0,1)</f>
        <v/>
      </c>
      <c r="DY30">
        <f>DY29*IF(OR($C29=24,$G29=24),0,1)</f>
        <v/>
      </c>
      <c r="DZ30">
        <f>DZ29*IF(OR($C29=25,$G29=25),0,1)</f>
        <v/>
      </c>
      <c r="EA30">
        <f>EA29*IF(OR($C29=26,$G29=26),0,1)</f>
        <v/>
      </c>
      <c r="EB30">
        <f>EB29*IF(OR($C29=27,$G29=27),0,1)</f>
        <v/>
      </c>
      <c r="EC30">
        <f>EC29*IF(OR($C29=28,$G29=28),0,1)</f>
        <v/>
      </c>
      <c r="ED30">
        <f>ED29*IF(OR($C29=29,$G29=29),0,1)</f>
        <v/>
      </c>
      <c r="EE30">
        <f>EE29*IF(OR($C29=30,$G29=30),0,1)</f>
        <v/>
      </c>
      <c r="EF30">
        <f>EF29*IF(OR($C29=31,$G29=31),0,1)</f>
        <v/>
      </c>
      <c r="EG30">
        <f>EG29*IF(OR($C29=32,$G29=32),0,1)</f>
        <v/>
      </c>
      <c r="EH30">
        <f>EH29*IF(OR($C29=33,$G29=33),0,1)</f>
        <v/>
      </c>
      <c r="EI30">
        <f>EI29*IF(OR($C29=34,$G29=34),0,1)</f>
        <v/>
      </c>
      <c r="EJ30">
        <f>EJ29*IF(OR($C29=35,$G29=35),0,1)</f>
        <v/>
      </c>
      <c r="EK30">
        <f>EK29*IF(OR($C29=36,$G29=36),0,1)</f>
        <v/>
      </c>
      <c r="EL30">
        <f>EL29*IF(OR($C29=37,$G29=37),0,1)</f>
        <v/>
      </c>
      <c r="EM30">
        <f>EM29*IF(OR($C29=38,$G29=38),0,1)</f>
        <v/>
      </c>
      <c r="EN30">
        <f>EN29*IF(OR($C29=39,$G29=39),0,1)</f>
        <v/>
      </c>
      <c r="EO30">
        <f>EO29*IF(OR($C29=40,$G29=40),0,1)</f>
        <v/>
      </c>
      <c r="EP30">
        <f>EP29*IF(OR($C29=41,$G29=41),0,1)</f>
        <v/>
      </c>
      <c r="EQ30">
        <f>EQ29*IF(OR($C29=42,$G29=42),0,1)</f>
        <v/>
      </c>
      <c r="ER30">
        <f>ER29*IF(OR($C29=43,$G29=43),0,1)</f>
        <v/>
      </c>
      <c r="ES30">
        <f>ES29*IF(OR($C29=44,$G29=44),0,1)</f>
        <v/>
      </c>
      <c r="ET30">
        <f>ET29*IF(OR($C29=45,$G29=45),0,1)</f>
        <v/>
      </c>
      <c r="EU30">
        <f>EU29*IF(OR($C29=46,$G29=46),0,1)</f>
        <v/>
      </c>
      <c r="EV30">
        <f>EV29*IF(OR($C29=47,$G29=47),0,1)</f>
        <v/>
      </c>
      <c r="EW30">
        <f>EW29*IF(OR($C29=48,$G29=48),0,1)</f>
        <v/>
      </c>
      <c r="EX30">
        <f>EX29*IF(OR($C29=49,$G29=49),0,1)</f>
        <v/>
      </c>
      <c r="EY30">
        <f>EY29*IF(OR($C29=50,$G29=50),0,1)</f>
        <v/>
      </c>
      <c r="EZ30">
        <f>EZ29*IF(OR($C29=51,$G29=51),0,1)</f>
        <v/>
      </c>
      <c r="FA30">
        <f>FA29*IF(OR($C29=52,$G29=52),0,1)</f>
        <v/>
      </c>
      <c r="FB30">
        <f>FB29*IF(OR($C29=53,$G29=53),0,1)</f>
        <v/>
      </c>
      <c r="FC30">
        <f>FC29*IF(OR($C29=54,$G29=54),0,1)</f>
        <v/>
      </c>
      <c r="FD30">
        <f>FD29*IF(OR($C29=55,$G29=55),0,1)</f>
        <v/>
      </c>
      <c r="FE30">
        <f>FE29*IF(OR($C29=56,$G29=56),0,1)</f>
        <v/>
      </c>
      <c r="FF30">
        <f>FF29*IF(OR($C29=57,$G29=57),0,1)</f>
        <v/>
      </c>
      <c r="FG30">
        <f>FG29*IF(OR($C29=58,$G29=58),0,1)</f>
        <v/>
      </c>
      <c r="FH30">
        <f>FH29*IF(OR($C29=59,$G29=59),0,1)</f>
        <v/>
      </c>
      <c r="FI30">
        <f>FI29*IF(OR($C29=60,$G29=60),0,1)</f>
        <v/>
      </c>
      <c r="FJ30">
        <f>FJ29*IF(OR($C29=61,$G29=61),0,1)</f>
        <v/>
      </c>
      <c r="FK30">
        <f>FK29*IF(OR($C29=62,$G29=62),0,1)</f>
        <v/>
      </c>
      <c r="FL30">
        <f>FL29*IF(OR($C29=63,$G29=63),0,1)</f>
        <v/>
      </c>
      <c r="FM30">
        <f>FM29*IF(OR($C29=64,$G29=64),0,1)</f>
        <v/>
      </c>
      <c r="FN30">
        <f>FN29*IF(OR($C29=65,$G29=65),0,1)</f>
        <v/>
      </c>
      <c r="FO30">
        <f>FO29*IF(OR($C29=66,$G29=66),0,1)</f>
        <v/>
      </c>
      <c r="FP30">
        <f>FP29*IF(OR($C29=67,$G29=67),0,1)</f>
        <v/>
      </c>
      <c r="FQ30">
        <f>FQ29*IF(OR($C29=68,$G29=68),0,1)</f>
        <v/>
      </c>
      <c r="FR30">
        <f>FR29*IF(OR($C29=69,$G29=69),0,1)</f>
        <v/>
      </c>
      <c r="FS30">
        <f>FS29*IF(OR($C29=70,$G29=70),0,1)</f>
        <v/>
      </c>
      <c r="FT30">
        <f>FT29*IF(OR($C29=71,$G29=71),0,1)</f>
        <v/>
      </c>
      <c r="FU30">
        <f>FU29*IF(OR($C29=72,$G29=72),0,1)</f>
        <v/>
      </c>
      <c r="FV30">
        <f>FV29*IF(OR($C29=73,$G29=73),0,1)</f>
        <v/>
      </c>
      <c r="FW30">
        <f>FW29*IF(OR($C29=74,$G29=74),0,1)</f>
        <v/>
      </c>
      <c r="FX30">
        <f>FX29*IF(OR($C29=75,$G29=75),0,1)</f>
        <v/>
      </c>
      <c r="FY30">
        <f>FY29*IF(OR($C29=76,$G29=76),0,1)</f>
        <v/>
      </c>
      <c r="FZ30">
        <f>FZ29*IF(OR($C29=77,$G29=77),0,1)</f>
        <v/>
      </c>
      <c r="GA30">
        <f>GA29*IF(OR($C29=78,$G29=78),0,1)</f>
        <v/>
      </c>
      <c r="GB30">
        <f>GB29*IF(OR($C29=79,$G29=79),0,1)</f>
        <v/>
      </c>
      <c r="GC30">
        <f>GC29*IF(OR($C29=80,$G29=80),0,1)</f>
        <v/>
      </c>
      <c r="GD30">
        <f>GD29*IF(OR($C29=81,$G29=81),0,1)</f>
        <v/>
      </c>
      <c r="GE30">
        <f>GE29*IF(OR($C29=82,$G29=82),0,1)</f>
        <v/>
      </c>
      <c r="GF30">
        <f>GF29*IF(OR($C29=83,$G29=83),0,1)</f>
        <v/>
      </c>
      <c r="GG30">
        <f>GG29*IF(OR($C29=84,$G29=84),0,1)</f>
        <v/>
      </c>
      <c r="GH30">
        <f>GH29*IF(OR($C29=85,$G29=85),0,1)</f>
        <v/>
      </c>
      <c r="GI30">
        <f>GI29*IF(OR($C29=86,$G29=86),0,1)</f>
        <v/>
      </c>
      <c r="GJ30">
        <f>GJ29*IF(OR($C29=87,$G29=87),0,1)</f>
        <v/>
      </c>
      <c r="GK30">
        <f>GK29*IF(OR($C29=88,$G29=88),0,1)</f>
        <v/>
      </c>
      <c r="GL30">
        <f>GL29*IF(OR($C29=89,$G29=89),0,1)</f>
        <v/>
      </c>
      <c r="GM30">
        <f>GM29*IF(OR($C29=90,$G29=90),0,1)</f>
        <v/>
      </c>
      <c r="GN30">
        <f>GN29*IF(OR($C29=91,$G29=91),0,1)</f>
        <v/>
      </c>
      <c r="GO30">
        <f>GO29*IF(OR($C29=92,$G29=92),0,1)</f>
        <v/>
      </c>
      <c r="GP30">
        <f>GP29*IF(OR($C29=93,$G29=93),0,1)</f>
        <v/>
      </c>
      <c r="GQ30">
        <f>GQ29*IF(OR($C29=94,$G29=94),0,1)</f>
        <v/>
      </c>
      <c r="GR30">
        <f>GR29*IF(OR($C29=95,$G29=95),0,1)</f>
        <v/>
      </c>
      <c r="GS30">
        <f>GS29*IF(OR($C29=96,$G29=96),0,1)</f>
        <v/>
      </c>
      <c r="GT30">
        <f>GT29*IF(OR($C29=97,$G29=97),0,1)</f>
        <v/>
      </c>
      <c r="GU30">
        <f>GU29*IF(OR($C29=98,$G29=98),0,1)</f>
        <v/>
      </c>
      <c r="GV30">
        <f>GV29*IF(OR($C29=99,$G29=99),0,1)</f>
        <v/>
      </c>
      <c r="GW30">
        <f>GW29*IF(OR($C29=100,$G29=100),0,1)</f>
        <v/>
      </c>
      <c r="GX30">
        <f>GX29*IF(OR($C29=101,$G29=101),0,1)</f>
        <v/>
      </c>
      <c r="GY30">
        <f>GY29*IF(OR($C29=102,$G29=102),0,1)</f>
        <v/>
      </c>
      <c r="GZ30">
        <f>GZ29*IF(OR($C29=103,$G29=103),0,1)</f>
        <v/>
      </c>
      <c r="HA30">
        <f>HA29*IF(OR($C29=104,$G29=104),0,1)</f>
        <v/>
      </c>
      <c r="HB30">
        <f>HB29*IF(OR($C29=105,$G29=105),0,1)</f>
        <v/>
      </c>
      <c r="HC30">
        <f>HC29*IF(OR($C29=106,$G29=106),0,1)</f>
        <v/>
      </c>
      <c r="HD30">
        <f>HD29*IF(OR($C29=107,$G29=107),0,1)</f>
        <v/>
      </c>
      <c r="HE30">
        <f>HE29*IF(OR($C29=108,$G29=108),0,1)</f>
        <v/>
      </c>
      <c r="HF30">
        <f>HF29*IF(OR($C29=109,$G29=109),0,1)</f>
        <v/>
      </c>
      <c r="HG30">
        <f>HG29*IF(OR($C29=110,$G29=110),0,1)</f>
        <v/>
      </c>
      <c r="HH30">
        <f>HH29*IF(OR($C29=111,$G29=111),0,1)</f>
        <v/>
      </c>
      <c r="HI30">
        <f>HI29*IF(OR($C29=112,$G29=112),0,1)</f>
        <v/>
      </c>
      <c r="HJ30">
        <f>HJ29*IF(OR($C29=113,$G29=113),0,1)</f>
        <v/>
      </c>
      <c r="HK30">
        <f>HK29*IF(OR($C29=114,$G29=114),0,1)</f>
        <v/>
      </c>
      <c r="HL30">
        <f>HL29*IF(OR($C29=115,$G29=115),0,1)</f>
        <v/>
      </c>
      <c r="HM30">
        <f>HM29*IF(OR($C29=116,$G29=116),0,1)</f>
        <v/>
      </c>
      <c r="HN30">
        <f>HN29*IF(OR($C29=117,$G29=117),0,1)</f>
        <v/>
      </c>
      <c r="HO30">
        <f>HO29*IF(OR($C29=118,$G29=118),0,1)</f>
        <v/>
      </c>
      <c r="HP30">
        <f>HP29*IF(OR($C29=119,$G29=119),0,1)</f>
        <v/>
      </c>
      <c r="HQ30">
        <f>HQ29*IF(OR($C29=120,$G29=120),0,1)</f>
        <v/>
      </c>
      <c r="HR30">
        <f>HR29*IF(OR($C29=121,$G29=121),0,1)</f>
        <v/>
      </c>
      <c r="HS30">
        <f>HS29*IF(OR($C29=122,$G29=122),0,1)</f>
        <v/>
      </c>
      <c r="HT30">
        <f>HT29*IF(OR($C29=123,$G29=123),0,1)</f>
        <v/>
      </c>
      <c r="HU30">
        <f>HU29*IF(OR($C29=124,$G29=124),0,1)</f>
        <v/>
      </c>
      <c r="HV30">
        <f>HV29*IF(OR($C29=125,$G29=125),0,1)</f>
        <v/>
      </c>
      <c r="HW30">
        <f>HW29*IF(OR($C29=126,$G29=126),0,1)</f>
        <v/>
      </c>
      <c r="HX30">
        <f>HX29*IF(OR($C29=127,$G29=127),0,1)</f>
        <v/>
      </c>
      <c r="HY30">
        <f>HY29*IF(OR($C29=128,$G29=128),0,1)</f>
        <v/>
      </c>
      <c r="HZ30">
        <f>HZ29*IF(OR($C29=129,$G29=129),0,1)</f>
        <v/>
      </c>
      <c r="IA30">
        <f>IA29*IF(OR($C29=130,$G29=130),0,1)</f>
        <v/>
      </c>
      <c r="IB30">
        <f>IB29*IF(OR($C29=131,$G29=131),0,1)</f>
        <v/>
      </c>
      <c r="IC30">
        <f>IC29*IF(OR($C29=132,$G29=132),0,1)</f>
        <v/>
      </c>
      <c r="ID30">
        <f>ID29*IF(OR($C29=133,$G29=133),0,1)</f>
        <v/>
      </c>
      <c r="IE30">
        <f>IE29*IF(OR($C29=134,$G29=134),0,1)</f>
        <v/>
      </c>
      <c r="IF30">
        <f>IF29*IF(OR($C29=135,$G29=135),0,1)</f>
        <v/>
      </c>
      <c r="IG30">
        <f>IG29*IF(OR($C29=136,$G29=136),0,1)</f>
        <v/>
      </c>
      <c r="IH30">
        <f>IH29*IF(OR($C29=137,$G29=137),0,1)</f>
        <v/>
      </c>
      <c r="II30">
        <f>II29*IF(OR($C29=138,$G29=138),0,1)</f>
        <v/>
      </c>
      <c r="IJ30">
        <f>IJ29*IF(OR($C29=139,$G29=139),0,1)</f>
        <v/>
      </c>
      <c r="IK30">
        <f>IK29*IF(OR($C29=140,$G29=140),0,1)</f>
        <v/>
      </c>
      <c r="IL30">
        <f>IL29*IF(OR($C29=141,$G29=141),0,1)</f>
        <v/>
      </c>
      <c r="IM30">
        <f>IM29*IF(OR($C29=142,$G29=142),0,1)</f>
        <v/>
      </c>
      <c r="IN30">
        <f>IN29*IF(OR($C29=143,$G29=143),0,1)</f>
        <v/>
      </c>
      <c r="IO30">
        <f>IO29*IF(OR($C29=144,$G29=144),0,1)</f>
        <v/>
      </c>
      <c r="IQ30">
        <f>IF('calcA'!D$106=1,DC30,1)</f>
        <v/>
      </c>
      <c r="IR30">
        <f>IF('calcA'!E$106=1,DD30,1)</f>
        <v/>
      </c>
      <c r="IS30">
        <f>IF('calcA'!F$106=1,DE30,1)</f>
        <v/>
      </c>
      <c r="IT30">
        <f>IF('calcA'!G$106=1,DF30,1)</f>
        <v/>
      </c>
      <c r="IU30">
        <f>IF('calcA'!H$106=1,DG30,1)</f>
        <v/>
      </c>
      <c r="IV30">
        <f>IF('calcA'!I$106=1,DH30,1)</f>
        <v/>
      </c>
      <c r="IW30">
        <f>IF('calcA'!J$106=1,DI30,1)</f>
        <v/>
      </c>
      <c r="IX30">
        <f>IF('calcA'!K$106=1,DJ30,1)</f>
        <v/>
      </c>
      <c r="IY30">
        <f>IF('calcA'!L$106=1,DK30,1)</f>
        <v/>
      </c>
      <c r="IZ30">
        <f>IF('calcA'!M$106=1,DL30,1)</f>
        <v/>
      </c>
      <c r="JA30">
        <f>IF('calcA'!N$106=1,DM30,1)</f>
        <v/>
      </c>
      <c r="JB30">
        <f>IF('calcA'!O$106=1,DN30,1)</f>
        <v/>
      </c>
      <c r="JC30">
        <f>IF('calcA'!P$106=1,DO30,1)</f>
        <v/>
      </c>
      <c r="JD30">
        <f>IF('calcA'!Q$106=1,DP30,1)</f>
        <v/>
      </c>
      <c r="JE30">
        <f>IF('calcA'!R$106=1,DQ30,1)</f>
        <v/>
      </c>
      <c r="JF30">
        <f>IF('calcA'!S$106=1,DR30,1)</f>
        <v/>
      </c>
      <c r="JG30">
        <f>IF('calcA'!T$106=1,DS30,1)</f>
        <v/>
      </c>
      <c r="JH30">
        <f>IF('calcA'!U$106=1,DT30,1)</f>
        <v/>
      </c>
      <c r="JI30">
        <f>IF('calcA'!V$106=1,DU30,1)</f>
        <v/>
      </c>
      <c r="JJ30">
        <f>IF('calcA'!W$106=1,DV30,1)</f>
        <v/>
      </c>
      <c r="JK30">
        <f>IF('calcA'!X$106=1,DW30,1)</f>
        <v/>
      </c>
      <c r="JL30">
        <f>IF('calcA'!Y$106=1,DX30,1)</f>
        <v/>
      </c>
      <c r="JM30">
        <f>IF('calcA'!Z$106=1,DY30,1)</f>
        <v/>
      </c>
      <c r="JN30">
        <f>IF('calcA'!AA$106=1,DZ30,1)</f>
        <v/>
      </c>
      <c r="JO30">
        <f>IF('calcA'!AB$106=1,EA30,1)</f>
        <v/>
      </c>
      <c r="JP30">
        <f>IF('calcA'!AC$106=1,EB30,1)</f>
        <v/>
      </c>
      <c r="JQ30">
        <f>IF('calcA'!AD$106=1,EC30,1)</f>
        <v/>
      </c>
      <c r="JR30">
        <f>IF('calcA'!AE$106=1,ED30,1)</f>
        <v/>
      </c>
      <c r="JS30">
        <f>IF('calcA'!AF$106=1,EE30,1)</f>
        <v/>
      </c>
      <c r="JT30">
        <f>IF('calcA'!AG$106=1,EF30,1)</f>
        <v/>
      </c>
      <c r="JU30">
        <f>IF('calcA'!AH$106=1,EG30,1)</f>
        <v/>
      </c>
      <c r="JV30">
        <f>IF('calcA'!AI$106=1,EH30,1)</f>
        <v/>
      </c>
      <c r="JW30">
        <f>IF('calcA'!AJ$106=1,EI30,1)</f>
        <v/>
      </c>
      <c r="JX30">
        <f>IF('calcA'!AK$106=1,EJ30,1)</f>
        <v/>
      </c>
      <c r="JY30">
        <f>IF('calcA'!AL$106=1,EK30,1)</f>
        <v/>
      </c>
      <c r="JZ30">
        <f>IF('calcA'!AM$106=1,EL30,1)</f>
        <v/>
      </c>
      <c r="KA30">
        <f>IF('calcA'!AN$106=1,EM30,1)</f>
        <v/>
      </c>
      <c r="KB30">
        <f>IF('calcA'!AO$106=1,EN30,1)</f>
        <v/>
      </c>
      <c r="KC30">
        <f>IF('calcA'!AP$106=1,EO30,1)</f>
        <v/>
      </c>
      <c r="KD30">
        <f>IF('calcA'!AQ$106=1,EP30,1)</f>
        <v/>
      </c>
      <c r="KE30">
        <f>IF('calcA'!AR$106=1,EQ30,1)</f>
        <v/>
      </c>
      <c r="KF30">
        <f>IF('calcA'!AS$106=1,ER30,1)</f>
        <v/>
      </c>
      <c r="KG30">
        <f>IF('calcA'!AT$106=1,ES30,1)</f>
        <v/>
      </c>
      <c r="KH30">
        <f>IF('calcA'!AU$106=1,ET30,1)</f>
        <v/>
      </c>
      <c r="KI30">
        <f>IF('calcA'!AV$106=1,EU30,1)</f>
        <v/>
      </c>
      <c r="KJ30">
        <f>IF('calcA'!AW$106=1,EV30,1)</f>
        <v/>
      </c>
      <c r="KK30">
        <f>IF('calcA'!AX$106=1,EW30,1)</f>
        <v/>
      </c>
      <c r="KL30">
        <f>IF('calcA'!AY$106=1,EX30,1)</f>
        <v/>
      </c>
      <c r="KM30">
        <f>IF('calcA'!AZ$106=1,EY30,1)</f>
        <v/>
      </c>
      <c r="KN30">
        <f>IF('calcA'!BA$106=1,EZ30,1)</f>
        <v/>
      </c>
      <c r="KO30">
        <f>IF('calcA'!BB$106=1,FA30,1)</f>
        <v/>
      </c>
      <c r="KP30">
        <f>IF('calcA'!BC$106=1,FB30,1)</f>
        <v/>
      </c>
      <c r="KQ30">
        <f>IF('calcA'!BD$106=1,FC30,1)</f>
        <v/>
      </c>
      <c r="KR30">
        <f>IF('calcA'!BE$106=1,FD30,1)</f>
        <v/>
      </c>
      <c r="KS30">
        <f>IF('calcA'!BF$106=1,FE30,1)</f>
        <v/>
      </c>
      <c r="KT30">
        <f>IF('calcA'!BG$106=1,FF30,1)</f>
        <v/>
      </c>
      <c r="KU30">
        <f>IF('calcA'!BH$106=1,FG30,1)</f>
        <v/>
      </c>
      <c r="KV30">
        <f>IF('calcA'!BI$106=1,FH30,1)</f>
        <v/>
      </c>
      <c r="KW30">
        <f>IF('calcA'!BJ$106=1,FI30,1)</f>
        <v/>
      </c>
      <c r="KX30">
        <f>IF('calcA'!BK$106=1,FJ30,1)</f>
        <v/>
      </c>
      <c r="KY30">
        <f>IF('calcA'!BL$106=1,FK30,1)</f>
        <v/>
      </c>
      <c r="KZ30">
        <f>IF('calcA'!BM$106=1,FL30,1)</f>
        <v/>
      </c>
      <c r="LA30">
        <f>IF('calcA'!BN$106=1,FM30,1)</f>
        <v/>
      </c>
      <c r="LB30">
        <f>IF('calcA'!BO$106=1,FN30,1)</f>
        <v/>
      </c>
      <c r="LC30">
        <f>IF('calcA'!BP$106=1,FO30,1)</f>
        <v/>
      </c>
      <c r="LD30">
        <f>IF('calcA'!BQ$106=1,FP30,1)</f>
        <v/>
      </c>
      <c r="LE30">
        <f>IF('calcA'!BR$106=1,FQ30,1)</f>
        <v/>
      </c>
      <c r="LF30">
        <f>IF('calcA'!BS$106=1,FR30,1)</f>
        <v/>
      </c>
      <c r="LG30">
        <f>IF('calcA'!BT$106=1,FS30,1)</f>
        <v/>
      </c>
      <c r="LH30">
        <f>IF('calcA'!BU$106=1,FT30,1)</f>
        <v/>
      </c>
      <c r="LI30">
        <f>IF('calcA'!BV$106=1,FU30,1)</f>
        <v/>
      </c>
      <c r="LJ30">
        <f>IF('calcA'!BW$106=1,FV30,1)</f>
        <v/>
      </c>
      <c r="LK30">
        <f>IF('calcA'!BX$106=1,FW30,1)</f>
        <v/>
      </c>
      <c r="LL30">
        <f>IF('calcA'!BY$106=1,FX30,1)</f>
        <v/>
      </c>
      <c r="LM30">
        <f>IF('calcA'!BZ$106=1,FY30,1)</f>
        <v/>
      </c>
      <c r="LN30">
        <f>IF('calcA'!CA$106=1,FZ30,1)</f>
        <v/>
      </c>
      <c r="LO30">
        <f>IF('calcA'!CB$106=1,GA30,1)</f>
        <v/>
      </c>
      <c r="LP30">
        <f>IF('calcA'!CC$106=1,GB30,1)</f>
        <v/>
      </c>
      <c r="LQ30">
        <f>IF('calcA'!CD$106=1,GC30,1)</f>
        <v/>
      </c>
      <c r="LR30">
        <f>IF('calcA'!CE$106=1,GD30,1)</f>
        <v/>
      </c>
      <c r="LS30">
        <f>IF('calcA'!CF$106=1,GE30,1)</f>
        <v/>
      </c>
      <c r="LT30">
        <f>IF('calcA'!CG$106=1,GF30,1)</f>
        <v/>
      </c>
      <c r="LU30">
        <f>IF('calcA'!CH$106=1,GG30,1)</f>
        <v/>
      </c>
      <c r="LV30">
        <f>IF('calcA'!CI$106=1,GH30,1)</f>
        <v/>
      </c>
      <c r="LW30">
        <f>IF('calcA'!CJ$106=1,GI30,1)</f>
        <v/>
      </c>
      <c r="LX30">
        <f>IF('calcA'!CK$106=1,GJ30,1)</f>
        <v/>
      </c>
      <c r="LY30">
        <f>IF('calcA'!CL$106=1,GK30,1)</f>
        <v/>
      </c>
      <c r="LZ30">
        <f>IF('calcA'!CM$106=1,GL30,1)</f>
        <v/>
      </c>
      <c r="MA30">
        <f>IF('calcA'!CN$106=1,GM30,1)</f>
        <v/>
      </c>
      <c r="MB30">
        <f>IF('calcA'!CO$106=1,GN30,1)</f>
        <v/>
      </c>
      <c r="MC30">
        <f>IF('calcA'!CP$106=1,GO30,1)</f>
        <v/>
      </c>
      <c r="MD30">
        <f>IF('calcA'!CQ$106=1,GP30,1)</f>
        <v/>
      </c>
      <c r="ME30">
        <f>IF('calcA'!CR$106=1,GQ30,1)</f>
        <v/>
      </c>
      <c r="MF30">
        <f>IF('calcA'!CS$106=1,GR30,1)</f>
        <v/>
      </c>
      <c r="MG30">
        <f>IF('calcA'!CT$106=1,GS30,1)</f>
        <v/>
      </c>
      <c r="MH30">
        <f>IF('calcA'!CU$106=1,GT30,1)</f>
        <v/>
      </c>
      <c r="MI30">
        <f>IF('calcA'!CV$106=1,GU30,1)</f>
        <v/>
      </c>
      <c r="MJ30">
        <f>IF('calcA'!CW$106=1,GV30,1)</f>
        <v/>
      </c>
      <c r="MK30">
        <f>IF('calcA'!CX$106=1,GW30,1)</f>
        <v/>
      </c>
      <c r="ML30">
        <f>IF('calcA'!CY$106=1,GX30,1)</f>
        <v/>
      </c>
      <c r="MM30">
        <f>IF('calcA'!CZ$106=1,GY30,1)</f>
        <v/>
      </c>
      <c r="MN30">
        <f>IF('calcA'!DA$106=1,GZ30,1)</f>
        <v/>
      </c>
      <c r="MO30">
        <f>IF('calcA'!DB$106=1,HA30,1)</f>
        <v/>
      </c>
      <c r="MP30">
        <f>IF('calcA'!DC$106=1,HB30,1)</f>
        <v/>
      </c>
      <c r="MQ30">
        <f>IF('calcA'!DD$106=1,HC30,1)</f>
        <v/>
      </c>
      <c r="MR30">
        <f>IF('calcA'!DE$106=1,HD30,1)</f>
        <v/>
      </c>
      <c r="MS30">
        <f>IF('calcA'!DF$106=1,HE30,1)</f>
        <v/>
      </c>
      <c r="MT30">
        <f>IF('calcA'!DG$106=1,HF30,1)</f>
        <v/>
      </c>
      <c r="MU30">
        <f>IF('calcA'!DH$106=1,HG30,1)</f>
        <v/>
      </c>
      <c r="MV30">
        <f>IF('calcA'!DI$106=1,HH30,1)</f>
        <v/>
      </c>
      <c r="MW30">
        <f>IF('calcA'!DJ$106=1,HI30,1)</f>
        <v/>
      </c>
      <c r="MX30">
        <f>IF('calcA'!DK$106=1,HJ30,1)</f>
        <v/>
      </c>
      <c r="MY30">
        <f>IF('calcA'!DL$106=1,HK30,1)</f>
        <v/>
      </c>
      <c r="MZ30">
        <f>IF('calcA'!DM$106=1,HL30,1)</f>
        <v/>
      </c>
      <c r="NA30">
        <f>IF('calcA'!DN$106=1,HM30,1)</f>
        <v/>
      </c>
      <c r="NB30">
        <f>IF('calcA'!DO$106=1,HN30,1)</f>
        <v/>
      </c>
      <c r="NC30">
        <f>IF('calcA'!DP$106=1,HO30,1)</f>
        <v/>
      </c>
      <c r="ND30">
        <f>IF('calcA'!DQ$106=1,HP30,1)</f>
        <v/>
      </c>
      <c r="NE30">
        <f>IF('calcA'!DR$106=1,HQ30,1)</f>
        <v/>
      </c>
      <c r="NF30">
        <f>IF('calcA'!DS$106=1,HR30,1)</f>
        <v/>
      </c>
      <c r="NG30">
        <f>IF('calcA'!DT$106=1,HS30,1)</f>
        <v/>
      </c>
      <c r="NH30">
        <f>IF('calcA'!DU$106=1,HT30,1)</f>
        <v/>
      </c>
      <c r="NI30">
        <f>IF('calcA'!DV$106=1,HU30,1)</f>
        <v/>
      </c>
      <c r="NJ30">
        <f>IF('calcA'!DW$106=1,HV30,1)</f>
        <v/>
      </c>
      <c r="NK30">
        <f>IF('calcA'!DX$106=1,HW30,1)</f>
        <v/>
      </c>
      <c r="NL30">
        <f>IF('calcA'!DY$106=1,HX30,1)</f>
        <v/>
      </c>
      <c r="NM30">
        <f>IF('calcA'!DZ$106=1,HY30,1)</f>
        <v/>
      </c>
      <c r="NN30">
        <f>IF('calcA'!EA$106=1,HZ30,1)</f>
        <v/>
      </c>
      <c r="NO30">
        <f>IF('calcA'!EB$106=1,IA30,1)</f>
        <v/>
      </c>
      <c r="NP30">
        <f>IF('calcA'!EC$106=1,IB30,1)</f>
        <v/>
      </c>
      <c r="NQ30">
        <f>IF('calcA'!ED$106=1,IC30,1)</f>
        <v/>
      </c>
      <c r="NR30">
        <f>IF('calcA'!EE$106=1,ID30,1)</f>
        <v/>
      </c>
      <c r="NS30">
        <f>IF('calcA'!EF$106=1,IE30,1)</f>
        <v/>
      </c>
      <c r="NT30">
        <f>IF('calcA'!EG$106=1,IF30,1)</f>
        <v/>
      </c>
      <c r="NU30">
        <f>IF('calcA'!EH$106=1,IG30,1)</f>
        <v/>
      </c>
      <c r="NV30">
        <f>IF('calcA'!EI$106=1,IH30,1)</f>
        <v/>
      </c>
      <c r="NW30">
        <f>IF('calcA'!EJ$106=1,II30,1)</f>
        <v/>
      </c>
      <c r="NX30">
        <f>IF('calcA'!EK$106=1,IJ30,1)</f>
        <v/>
      </c>
      <c r="NY30">
        <f>IF('calcA'!EL$106=1,IK30,1)</f>
        <v/>
      </c>
      <c r="NZ30">
        <f>IF('calcA'!EM$106=1,IL30,1)</f>
        <v/>
      </c>
      <c r="OA30">
        <f>IF('calcA'!EN$106=1,IM30,1)</f>
        <v/>
      </c>
      <c r="OB30">
        <f>IF('calcA'!EO$106=1,IN30,1)</f>
        <v/>
      </c>
      <c r="OC30">
        <f>IF('calcA'!EP$106=1,IO30,1)</f>
        <v/>
      </c>
      <c r="OD30" t="n">
        <v>1</v>
      </c>
      <c r="OF30">
        <f>IF($B30=0,1000000000,IF(INDEX('calcA'!$D$60:$EQ$99,$B30,1)*IF($W30=1,DB30+ZQ30,DB30)=1,IF(AND($E30=2,IF($W30=1,AFF30,IQ30)=0),1000000000,IF($V30=1,INDEX('calcA'!$D$130:$EQ$169,$B30,1)+IF(AND($E30=1,IQ30=0),25,0),INDEX('calcA'!D$110:D$114,$F30+1)+IF(AND($E30=1,IQ30=0),1000,0)+IF($H30=1,INDEX('calcA'!$D$180:$EQ$219,$B30,1)*500,0)-IF(AND($U30=1,'calcA'!D$117=1,DC30=0),300,0))),1000000000))</f>
        <v/>
      </c>
      <c r="OG30">
        <f>IF($B30=0,1000000000,IF(INDEX('calcA'!$D$60:$EQ$99,$B30,2)*IF($W30=1,DC30+ZR30,DC30)=1,IF(AND($E30=2,IF($W30=1,AFG30,IR30)=0),1000000000,IF($V30=1,INDEX('calcA'!$D$130:$EQ$169,$B30,2)+IF(AND($E30=1,IR30=0),25,0),INDEX('calcA'!E$110:E$114,$F30+1)+IF(AND($E30=1,IR30=0),1000,0)+IF($H30=1,INDEX('calcA'!$D$180:$EQ$219,$B30,2)*500,0)-IF(AND('calcA'!D$117=1,UB30&gt;0),300,0)-IF(AND($U30=1,'calcA'!E$117=1,DD30=0),300,0))),1000000000))</f>
        <v/>
      </c>
      <c r="OH30">
        <f>IF($B30=0,1000000000,IF(INDEX('calcA'!$D$60:$EQ$99,$B30,3)*IF($W30=1,DD30+ZS30,DD30)=1,IF(AND($E30=2,IF($W30=1,AFH30,IS30)=0),1000000000,IF($V30=1,INDEX('calcA'!$D$130:$EQ$169,$B30,3)+IF(AND($E30=1,IS30=0),25,0),INDEX('calcA'!F$110:F$114,$F30+1)+IF(AND($E30=1,IS30=0),1000,0)+IF($H30=1,INDEX('calcA'!$D$180:$EQ$219,$B30,3)*500,0)-IF(AND('calcA'!E$117=1,UC30&gt;0),300,0)-IF(AND($U30=1,'calcA'!F$117=1,DE30=0),300,0))),1000000000))</f>
        <v/>
      </c>
      <c r="OI30">
        <f>IF($B30=0,1000000000,IF(INDEX('calcA'!$D$60:$EQ$99,$B30,4)*IF($W30=1,DE30+ZT30,DE30)=1,IF(AND($E30=2,IF($W30=1,AFI30,IT30)=0),1000000000,IF($V30=1,INDEX('calcA'!$D$130:$EQ$169,$B30,4)+IF(AND($E30=1,IT30=0),25,0),INDEX('calcA'!G$110:G$114,$F30+1)+IF(AND($E30=1,IT30=0),1000,0)+IF($H30=1,INDEX('calcA'!$D$180:$EQ$219,$B30,4)*500,0)-IF(AND('calcA'!F$117=1,UD30&gt;0),300,0)-IF(AND($U30=1,'calcA'!G$117=1,DF30=0),300,0))),1000000000))</f>
        <v/>
      </c>
      <c r="OJ30">
        <f>IF($B30=0,1000000000,IF(INDEX('calcA'!$D$60:$EQ$99,$B30,5)*IF($W30=1,DF30+ZU30,DF30)=1,IF(AND($E30=2,IF($W30=1,AFJ30,IU30)=0),1000000000,IF($V30=1,INDEX('calcA'!$D$130:$EQ$169,$B30,5)+IF(AND($E30=1,IU30=0),25,0),INDEX('calcA'!H$110:H$114,$F30+1)+IF(AND($E30=1,IU30=0),1000,0)+IF($H30=1,INDEX('calcA'!$D$180:$EQ$219,$B30,5)*500,0)-IF(AND('calcA'!G$117=1,UE30&gt;0),300,0)-IF(AND($U30=1,'calcA'!H$117=1,DG30=0),300,0))),1000000000))</f>
        <v/>
      </c>
      <c r="OK30">
        <f>IF($B30=0,1000000000,IF(INDEX('calcA'!$D$60:$EQ$99,$B30,6)*IF($W30=1,DG30+ZV30,DG30)=1,IF(AND($E30=2,IF($W30=1,AFK30,IV30)=0),1000000000,IF($V30=1,INDEX('calcA'!$D$130:$EQ$169,$B30,6)+IF(AND($E30=1,IV30=0),25,0),INDEX('calcA'!I$110:I$114,$F30+1)+IF(AND($E30=1,IV30=0),1000,0)+IF($H30=1,INDEX('calcA'!$D$180:$EQ$219,$B30,6)*500,0)-IF(AND('calcA'!H$117=1,UF30&gt;0),300,0)-IF(AND($U30=1,'calcA'!I$117=1,DH30=0),300,0))),1000000000))</f>
        <v/>
      </c>
      <c r="OL30">
        <f>IF($B30=0,1000000000,IF(INDEX('calcA'!$D$60:$EQ$99,$B30,7)*IF($W30=1,DH30+ZW30,DH30)=1,IF(AND($E30=2,IF($W30=1,AFL30,IW30)=0),1000000000,IF($V30=1,INDEX('calcA'!$D$130:$EQ$169,$B30,7)+IF(AND($E30=1,IW30=0),25,0),INDEX('calcA'!J$110:J$114,$F30+1)+IF(AND($E30=1,IW30=0),1000,0)+IF($H30=1,INDEX('calcA'!$D$180:$EQ$219,$B30,7)*500,0)-IF(AND('calcA'!I$117=1,UG30&gt;0),300,0)-IF(AND($U30=1,'calcA'!J$117=1,DI30=0),300,0))),1000000000))</f>
        <v/>
      </c>
      <c r="OM30">
        <f>IF($B30=0,1000000000,IF(INDEX('calcA'!$D$60:$EQ$99,$B30,8)*IF($W30=1,DI30+ZX30,DI30)=1,IF(AND($E30=2,IF($W30=1,AFM30,IX30)=0),1000000000,IF($V30=1,INDEX('calcA'!$D$130:$EQ$169,$B30,8)+IF(AND($E30=1,IX30=0),25,0),INDEX('calcA'!K$110:K$114,$F30+1)+IF(AND($E30=1,IX30=0),1000,0)+IF($H30=1,INDEX('calcA'!$D$180:$EQ$219,$B30,8)*500,0)-IF(AND('calcA'!J$117=1,UH30&gt;0),300,0)-IF(AND($U30=1,'calcA'!K$117=1,DJ30=0),300,0))),1000000000))</f>
        <v/>
      </c>
      <c r="ON30">
        <f>IF($B30=0,1000000000,IF(INDEX('calcA'!$D$60:$EQ$99,$B30,9)*IF($W30=1,DJ30+ZY30,DJ30)=1,IF(AND($E30=2,IF($W30=1,AFN30,IY30)=0),1000000000,IF($V30=1,INDEX('calcA'!$D$130:$EQ$169,$B30,9)+IF(AND($E30=1,IY30=0),25,0),INDEX('calcA'!L$110:L$114,$F30+1)+IF(AND($E30=1,IY30=0),1000,0)+IF($H30=1,INDEX('calcA'!$D$180:$EQ$219,$B30,9)*500,0)-IF(AND('calcA'!K$117=1,UI30&gt;0),300,0)-IF(AND($U30=1,'calcA'!L$117=1,DK30=0),300,0))),1000000000))</f>
        <v/>
      </c>
      <c r="OO30">
        <f>IF($B30=0,1000000000,IF(INDEX('calcA'!$D$60:$EQ$99,$B30,10)*IF($W30=1,DK30+ZZ30,DK30)=1,IF(AND($E30=2,IF($W30=1,AFO30,IZ30)=0),1000000000,IF($V30=1,INDEX('calcA'!$D$130:$EQ$169,$B30,10)+IF(AND($E30=1,IZ30=0),25,0),INDEX('calcA'!M$110:M$114,$F30+1)+IF(AND($E30=1,IZ30=0),1000,0)+IF($H30=1,INDEX('calcA'!$D$180:$EQ$219,$B30,10)*500,0)-IF(AND('calcA'!L$117=1,UJ30&gt;0),300,0)-IF(AND($U30=1,'calcA'!M$117=1,DL30=0),300,0))),1000000000))</f>
        <v/>
      </c>
      <c r="OP30">
        <f>IF($B30=0,1000000000,IF(INDEX('calcA'!$D$60:$EQ$99,$B30,11)*IF($W30=1,DL30+AAA30,DL30)=1,IF(AND($E30=2,IF($W30=1,AFP30,JA30)=0),1000000000,IF($V30=1,INDEX('calcA'!$D$130:$EQ$169,$B30,11)+IF(AND($E30=1,JA30=0),25,0),INDEX('calcA'!N$110:N$114,$F30+1)+IF(AND($E30=1,JA30=0),1000,0)+IF($H30=1,INDEX('calcA'!$D$180:$EQ$219,$B30,11)*500,0)-IF(AND('calcA'!M$117=1,UK30&gt;0),300,0)-IF(AND($U30=1,'calcA'!N$117=1,DM30=0),300,0))),1000000000))</f>
        <v/>
      </c>
      <c r="OQ30">
        <f>IF($B30=0,1000000000,IF(INDEX('calcA'!$D$60:$EQ$99,$B30,12)*IF($W30=1,DM30+AAB30,DM30)=1,IF(AND($E30=2,IF($W30=1,AFQ30,JB30)=0),1000000000,IF($V30=1,INDEX('calcA'!$D$130:$EQ$169,$B30,12)+IF(AND($E30=1,JB30=0),25,0),INDEX('calcA'!O$110:O$114,$F30+1)+IF(AND($E30=1,JB30=0),1000,0)+IF($H30=1,INDEX('calcA'!$D$180:$EQ$219,$B30,12)*500,0)-IF(AND('calcA'!N$117=1,UL30&gt;0),300,0)-IF(AND($U30=1,'calcA'!O$117=1,DN30=0),300,0))),1000000000))</f>
        <v/>
      </c>
      <c r="OR30">
        <f>IF($B30=0,1000000000,IF(INDEX('calcA'!$D$60:$EQ$99,$B30,13)*IF($W30=1,DN30+AAC30,DN30)=1,IF(AND($E30=2,IF($W30=1,AFR30,JC30)=0),1000000000,IF($V30=1,INDEX('calcA'!$D$130:$EQ$169,$B30,13)+IF(AND($E30=1,JC30=0),25,0),INDEX('calcA'!P$110:P$114,$F30+1)+IF(AND($E30=1,JC30=0),1000,0)+IF($H30=1,INDEX('calcA'!$D$180:$EQ$219,$B30,13)*500,0)-IF(AND('calcA'!O$117=1,UM30&gt;0),300,0)-IF(AND($U30=1,'calcA'!P$117=1,DO30=0),300,0))),1000000000))</f>
        <v/>
      </c>
      <c r="OS30">
        <f>IF($B30=0,1000000000,IF(INDEX('calcA'!$D$60:$EQ$99,$B30,14)*IF($W30=1,DO30+AAD30,DO30)=1,IF(AND($E30=2,IF($W30=1,AFS30,JD30)=0),1000000000,IF($V30=1,INDEX('calcA'!$D$130:$EQ$169,$B30,14)+IF(AND($E30=1,JD30=0),25,0),INDEX('calcA'!Q$110:Q$114,$F30+1)+IF(AND($E30=1,JD30=0),1000,0)+IF($H30=1,INDEX('calcA'!$D$180:$EQ$219,$B30,14)*500,0)-IF(AND('calcA'!P$117=1,UN30&gt;0),300,0)-IF(AND($U30=1,'calcA'!Q$117=1,DP30=0),300,0))),1000000000))</f>
        <v/>
      </c>
      <c r="OT30">
        <f>IF($B30=0,1000000000,IF(INDEX('calcA'!$D$60:$EQ$99,$B30,15)*IF($W30=1,DP30+AAE30,DP30)=1,IF(AND($E30=2,IF($W30=1,AFT30,JE30)=0),1000000000,IF($V30=1,INDEX('calcA'!$D$130:$EQ$169,$B30,15)+IF(AND($E30=1,JE30=0),25,0),INDEX('calcA'!R$110:R$114,$F30+1)+IF(AND($E30=1,JE30=0),1000,0)+IF($H30=1,INDEX('calcA'!$D$180:$EQ$219,$B30,15)*500,0)-IF(AND('calcA'!Q$117=1,UO30&gt;0),300,0)-IF(AND($U30=1,'calcA'!R$117=1,DQ30=0),300,0))),1000000000))</f>
        <v/>
      </c>
      <c r="OU30">
        <f>IF($B30=0,1000000000,IF(INDEX('calcA'!$D$60:$EQ$99,$B30,16)*IF($W30=1,DQ30+AAF30,DQ30)=1,IF(AND($E30=2,IF($W30=1,AFU30,JF30)=0),1000000000,IF($V30=1,INDEX('calcA'!$D$130:$EQ$169,$B30,16)+IF(AND($E30=1,JF30=0),25,0),INDEX('calcA'!S$110:S$114,$F30+1)+IF(AND($E30=1,JF30=0),1000,0)+IF($H30=1,INDEX('calcA'!$D$180:$EQ$219,$B30,16)*500,0)-IF(AND('calcA'!R$117=1,UP30&gt;0),300,0)-IF(AND($U30=1,'calcA'!S$117=1,DR30=0),300,0))),1000000000))</f>
        <v/>
      </c>
      <c r="OV30">
        <f>IF($B30=0,1000000000,IF(INDEX('calcA'!$D$60:$EQ$99,$B30,17)*IF($W30=1,DR30+AAG30,DR30)=1,IF(AND($E30=2,IF($W30=1,AFV30,JG30)=0),1000000000,IF($V30=1,INDEX('calcA'!$D$130:$EQ$169,$B30,17)+IF(AND($E30=1,JG30=0),25,0),INDEX('calcA'!T$110:T$114,$F30+1)+IF(AND($E30=1,JG30=0),1000,0)+IF($H30=1,INDEX('calcA'!$D$180:$EQ$219,$B30,17)*500,0)-IF(AND('calcA'!S$117=1,UQ30&gt;0),300,0)-IF(AND($U30=1,'calcA'!T$117=1,DS30=0),300,0))),1000000000))</f>
        <v/>
      </c>
      <c r="OW30">
        <f>IF($B30=0,1000000000,IF(INDEX('calcA'!$D$60:$EQ$99,$B30,18)*IF($W30=1,DS30+AAH30,DS30)=1,IF(AND($E30=2,IF($W30=1,AFW30,JH30)=0),1000000000,IF($V30=1,INDEX('calcA'!$D$130:$EQ$169,$B30,18)+IF(AND($E30=1,JH30=0),25,0),INDEX('calcA'!U$110:U$114,$F30+1)+IF(AND($E30=1,JH30=0),1000,0)+IF($H30=1,INDEX('calcA'!$D$180:$EQ$219,$B30,18)*500,0)-IF(AND('calcA'!T$117=1,UR30&gt;0),300,0)-IF(AND($U30=1,'calcA'!U$117=1,DT30=0),300,0))),1000000000))</f>
        <v/>
      </c>
      <c r="OX30">
        <f>IF($B30=0,1000000000,IF(INDEX('calcA'!$D$60:$EQ$99,$B30,19)*IF($W30=1,DT30+AAI30,DT30)=1,IF(AND($E30=2,IF($W30=1,AFX30,JI30)=0),1000000000,IF($V30=1,INDEX('calcA'!$D$130:$EQ$169,$B30,19)+IF(AND($E30=1,JI30=0),25,0),INDEX('calcA'!V$110:V$114,$F30+1)+IF(AND($E30=1,JI30=0),1000,0)+IF($H30=1,INDEX('calcA'!$D$180:$EQ$219,$B30,19)*500,0)-IF(AND('calcA'!U$117=1,US30&gt;0),300,0)-IF(AND($U30=1,'calcA'!V$117=1,DU30=0),300,0))),1000000000))</f>
        <v/>
      </c>
      <c r="OY30">
        <f>IF($B30=0,1000000000,IF(INDEX('calcA'!$D$60:$EQ$99,$B30,20)*IF($W30=1,DU30+AAJ30,DU30)=1,IF(AND($E30=2,IF($W30=1,AFY30,JJ30)=0),1000000000,IF($V30=1,INDEX('calcA'!$D$130:$EQ$169,$B30,20)+IF(AND($E30=1,JJ30=0),25,0),INDEX('calcA'!W$110:W$114,$F30+1)+IF(AND($E30=1,JJ30=0),1000,0)+IF($H30=1,INDEX('calcA'!$D$180:$EQ$219,$B30,20)*500,0)-IF(AND('calcA'!V$117=1,UT30&gt;0),300,0)-IF(AND($U30=1,'calcA'!W$117=1,DV30=0),300,0))),1000000000))</f>
        <v/>
      </c>
      <c r="OZ30">
        <f>IF($B30=0,1000000000,IF(INDEX('calcA'!$D$60:$EQ$99,$B30,21)*IF($W30=1,DV30+AAK30,DV30)=1,IF(AND($E30=2,IF($W30=1,AFZ30,JK30)=0),1000000000,IF($V30=1,INDEX('calcA'!$D$130:$EQ$169,$B30,21)+IF(AND($E30=1,JK30=0),25,0),INDEX('calcA'!X$110:X$114,$F30+1)+IF(AND($E30=1,JK30=0),1000,0)+IF($H30=1,INDEX('calcA'!$D$180:$EQ$219,$B30,21)*500,0)-IF(AND('calcA'!W$117=1,UU30&gt;0),300,0)-IF(AND($U30=1,'calcA'!X$117=1,DW30=0),300,0))),1000000000))</f>
        <v/>
      </c>
      <c r="PA30">
        <f>IF($B30=0,1000000000,IF(INDEX('calcA'!$D$60:$EQ$99,$B30,22)*IF($W30=1,DW30+AAL30,DW30)=1,IF(AND($E30=2,IF($W30=1,AGA30,JL30)=0),1000000000,IF($V30=1,INDEX('calcA'!$D$130:$EQ$169,$B30,22)+IF(AND($E30=1,JL30=0),25,0),INDEX('calcA'!Y$110:Y$114,$F30+1)+IF(AND($E30=1,JL30=0),1000,0)+IF($H30=1,INDEX('calcA'!$D$180:$EQ$219,$B30,22)*500,0)-IF(AND('calcA'!X$117=1,UV30&gt;0),300,0)-IF(AND($U30=1,'calcA'!Y$117=1,DX30=0),300,0))),1000000000))</f>
        <v/>
      </c>
      <c r="PB30">
        <f>IF($B30=0,1000000000,IF(INDEX('calcA'!$D$60:$EQ$99,$B30,23)*IF($W30=1,DX30+AAM30,DX30)=1,IF(AND($E30=2,IF($W30=1,AGB30,JM30)=0),1000000000,IF($V30=1,INDEX('calcA'!$D$130:$EQ$169,$B30,23)+IF(AND($E30=1,JM30=0),25,0),INDEX('calcA'!Z$110:Z$114,$F30+1)+IF(AND($E30=1,JM30=0),1000,0)+IF($H30=1,INDEX('calcA'!$D$180:$EQ$219,$B30,23)*500,0)-IF(AND('calcA'!Y$117=1,UW30&gt;0),300,0)-IF(AND($U30=1,'calcA'!Z$117=1,DY30=0),300,0))),1000000000))</f>
        <v/>
      </c>
      <c r="PC30">
        <f>IF($B30=0,1000000000,IF(INDEX('calcA'!$D$60:$EQ$99,$B30,24)*IF($W30=1,DY30+AAN30,DY30)=1,IF(AND($E30=2,IF($W30=1,AGC30,JN30)=0),1000000000,IF($V30=1,INDEX('calcA'!$D$130:$EQ$169,$B30,24)+IF(AND($E30=1,JN30=0),25,0),INDEX('calcA'!AA$110:AA$114,$F30+1)+IF(AND($E30=1,JN30=0),1000,0)+IF($H30=1,INDEX('calcA'!$D$180:$EQ$219,$B30,24)*500,0)-IF(AND('calcA'!Z$117=1,UX30&gt;0),300,0))),1000000000))</f>
        <v/>
      </c>
      <c r="PD30">
        <f>IF($B30=0,1000000000,IF(INDEX('calcA'!$D$60:$EQ$99,$B30,25)*IF($W30=1,DZ30+AAO30,DZ30)=1,IF(AND($E30=2,IF($W30=1,AGD30,JO30)=0),1000000000,IF($V30=1,INDEX('calcA'!$D$130:$EQ$169,$B30,25)+IF(AND($E30=1,JO30=0),25,0),INDEX('calcA'!AB$110:AB$114,$F30+1)+IF(AND($E30=1,JO30=0),1000,0)+IF($H30=1,INDEX('calcA'!$D$180:$EQ$219,$B30,25)*500,0)-IF(AND($U30=1,'calcA'!AB$117=1,EA30=0),300,0))),1000000000))</f>
        <v/>
      </c>
      <c r="PE30">
        <f>IF($B30=0,1000000000,IF(INDEX('calcA'!$D$60:$EQ$99,$B30,26)*IF($W30=1,EA30+AAP30,EA30)=1,IF(AND($E30=2,IF($W30=1,AGE30,JP30)=0),1000000000,IF($V30=1,INDEX('calcA'!$D$130:$EQ$169,$B30,26)+IF(AND($E30=1,JP30=0),25,0),INDEX('calcA'!AC$110:AC$114,$F30+1)+IF(AND($E30=1,JP30=0),1000,0)+IF($H30=1,INDEX('calcA'!$D$180:$EQ$219,$B30,26)*500,0)-IF(AND('calcA'!AB$117=1,UZ30&gt;0),300,0)-IF(AND($U30=1,'calcA'!AC$117=1,EB30=0),300,0))),1000000000))</f>
        <v/>
      </c>
      <c r="PF30">
        <f>IF($B30=0,1000000000,IF(INDEX('calcA'!$D$60:$EQ$99,$B30,27)*IF($W30=1,EB30+AAQ30,EB30)=1,IF(AND($E30=2,IF($W30=1,AGF30,JQ30)=0),1000000000,IF($V30=1,INDEX('calcA'!$D$130:$EQ$169,$B30,27)+IF(AND($E30=1,JQ30=0),25,0),INDEX('calcA'!AD$110:AD$114,$F30+1)+IF(AND($E30=1,JQ30=0),1000,0)+IF($H30=1,INDEX('calcA'!$D$180:$EQ$219,$B30,27)*500,0)-IF(AND('calcA'!AC$117=1,VA30&gt;0),300,0)-IF(AND($U30=1,'calcA'!AD$117=1,EC30=0),300,0))),1000000000))</f>
        <v/>
      </c>
      <c r="PG30">
        <f>IF($B30=0,1000000000,IF(INDEX('calcA'!$D$60:$EQ$99,$B30,28)*IF($W30=1,EC30+AAR30,EC30)=1,IF(AND($E30=2,IF($W30=1,AGG30,JR30)=0),1000000000,IF($V30=1,INDEX('calcA'!$D$130:$EQ$169,$B30,28)+IF(AND($E30=1,JR30=0),25,0),INDEX('calcA'!AE$110:AE$114,$F30+1)+IF(AND($E30=1,JR30=0),1000,0)+IF($H30=1,INDEX('calcA'!$D$180:$EQ$219,$B30,28)*500,0)-IF(AND('calcA'!AD$117=1,VB30&gt;0),300,0)-IF(AND($U30=1,'calcA'!AE$117=1,ED30=0),300,0))),1000000000))</f>
        <v/>
      </c>
      <c r="PH30">
        <f>IF($B30=0,1000000000,IF(INDEX('calcA'!$D$60:$EQ$99,$B30,29)*IF($W30=1,ED30+AAS30,ED30)=1,IF(AND($E30=2,IF($W30=1,AGH30,JS30)=0),1000000000,IF($V30=1,INDEX('calcA'!$D$130:$EQ$169,$B30,29)+IF(AND($E30=1,JS30=0),25,0),INDEX('calcA'!AF$110:AF$114,$F30+1)+IF(AND($E30=1,JS30=0),1000,0)+IF($H30=1,INDEX('calcA'!$D$180:$EQ$219,$B30,29)*500,0)-IF(AND('calcA'!AE$117=1,VC30&gt;0),300,0)-IF(AND($U30=1,'calcA'!AF$117=1,EE30=0),300,0))),1000000000))</f>
        <v/>
      </c>
      <c r="PI30">
        <f>IF($B30=0,1000000000,IF(INDEX('calcA'!$D$60:$EQ$99,$B30,30)*IF($W30=1,EE30+AAT30,EE30)=1,IF(AND($E30=2,IF($W30=1,AGI30,JT30)=0),1000000000,IF($V30=1,INDEX('calcA'!$D$130:$EQ$169,$B30,30)+IF(AND($E30=1,JT30=0),25,0),INDEX('calcA'!AG$110:AG$114,$F30+1)+IF(AND($E30=1,JT30=0),1000,0)+IF($H30=1,INDEX('calcA'!$D$180:$EQ$219,$B30,30)*500,0)-IF(AND('calcA'!AF$117=1,VD30&gt;0),300,0)-IF(AND($U30=1,'calcA'!AG$117=1,EF30=0),300,0))),1000000000))</f>
        <v/>
      </c>
      <c r="PJ30">
        <f>IF($B30=0,1000000000,IF(INDEX('calcA'!$D$60:$EQ$99,$B30,31)*IF($W30=1,EF30+AAU30,EF30)=1,IF(AND($E30=2,IF($W30=1,AGJ30,JU30)=0),1000000000,IF($V30=1,INDEX('calcA'!$D$130:$EQ$169,$B30,31)+IF(AND($E30=1,JU30=0),25,0),INDEX('calcA'!AH$110:AH$114,$F30+1)+IF(AND($E30=1,JU30=0),1000,0)+IF($H30=1,INDEX('calcA'!$D$180:$EQ$219,$B30,31)*500,0)-IF(AND('calcA'!AG$117=1,VE30&gt;0),300,0)-IF(AND($U30=1,'calcA'!AH$117=1,EG30=0),300,0))),1000000000))</f>
        <v/>
      </c>
      <c r="PK30">
        <f>IF($B30=0,1000000000,IF(INDEX('calcA'!$D$60:$EQ$99,$B30,32)*IF($W30=1,EG30+AAV30,EG30)=1,IF(AND($E30=2,IF($W30=1,AGK30,JV30)=0),1000000000,IF($V30=1,INDEX('calcA'!$D$130:$EQ$169,$B30,32)+IF(AND($E30=1,JV30=0),25,0),INDEX('calcA'!AI$110:AI$114,$F30+1)+IF(AND($E30=1,JV30=0),1000,0)+IF($H30=1,INDEX('calcA'!$D$180:$EQ$219,$B30,32)*500,0)-IF(AND('calcA'!AH$117=1,VF30&gt;0),300,0)-IF(AND($U30=1,'calcA'!AI$117=1,EH30=0),300,0))),1000000000))</f>
        <v/>
      </c>
      <c r="PL30">
        <f>IF($B30=0,1000000000,IF(INDEX('calcA'!$D$60:$EQ$99,$B30,33)*IF($W30=1,EH30+AAW30,EH30)=1,IF(AND($E30=2,IF($W30=1,AGL30,JW30)=0),1000000000,IF($V30=1,INDEX('calcA'!$D$130:$EQ$169,$B30,33)+IF(AND($E30=1,JW30=0),25,0),INDEX('calcA'!AJ$110:AJ$114,$F30+1)+IF(AND($E30=1,JW30=0),1000,0)+IF($H30=1,INDEX('calcA'!$D$180:$EQ$219,$B30,33)*500,0)-IF(AND('calcA'!AI$117=1,VG30&gt;0),300,0)-IF(AND($U30=1,'calcA'!AJ$117=1,EI30=0),300,0))),1000000000))</f>
        <v/>
      </c>
      <c r="PM30">
        <f>IF($B30=0,1000000000,IF(INDEX('calcA'!$D$60:$EQ$99,$B30,34)*IF($W30=1,EI30+AAX30,EI30)=1,IF(AND($E30=2,IF($W30=1,AGM30,JX30)=0),1000000000,IF($V30=1,INDEX('calcA'!$D$130:$EQ$169,$B30,34)+IF(AND($E30=1,JX30=0),25,0),INDEX('calcA'!AK$110:AK$114,$F30+1)+IF(AND($E30=1,JX30=0),1000,0)+IF($H30=1,INDEX('calcA'!$D$180:$EQ$219,$B30,34)*500,0)-IF(AND('calcA'!AJ$117=1,VH30&gt;0),300,0)-IF(AND($U30=1,'calcA'!AK$117=1,EJ30=0),300,0))),1000000000))</f>
        <v/>
      </c>
      <c r="PN30">
        <f>IF($B30=0,1000000000,IF(INDEX('calcA'!$D$60:$EQ$99,$B30,35)*IF($W30=1,EJ30+AAY30,EJ30)=1,IF(AND($E30=2,IF($W30=1,AGN30,JY30)=0),1000000000,IF($V30=1,INDEX('calcA'!$D$130:$EQ$169,$B30,35)+IF(AND($E30=1,JY30=0),25,0),INDEX('calcA'!AL$110:AL$114,$F30+1)+IF(AND($E30=1,JY30=0),1000,0)+IF($H30=1,INDEX('calcA'!$D$180:$EQ$219,$B30,35)*500,0)-IF(AND('calcA'!AK$117=1,VI30&gt;0),300,0)-IF(AND($U30=1,'calcA'!AL$117=1,EK30=0),300,0))),1000000000))</f>
        <v/>
      </c>
      <c r="PO30">
        <f>IF($B30=0,1000000000,IF(INDEX('calcA'!$D$60:$EQ$99,$B30,36)*IF($W30=1,EK30+AAZ30,EK30)=1,IF(AND($E30=2,IF($W30=1,AGO30,JZ30)=0),1000000000,IF($V30=1,INDEX('calcA'!$D$130:$EQ$169,$B30,36)+IF(AND($E30=1,JZ30=0),25,0),INDEX('calcA'!AM$110:AM$114,$F30+1)+IF(AND($E30=1,JZ30=0),1000,0)+IF($H30=1,INDEX('calcA'!$D$180:$EQ$219,$B30,36)*500,0)-IF(AND('calcA'!AL$117=1,VJ30&gt;0),300,0)-IF(AND($U30=1,'calcA'!AM$117=1,EL30=0),300,0))),1000000000))</f>
        <v/>
      </c>
      <c r="PP30">
        <f>IF($B30=0,1000000000,IF(INDEX('calcA'!$D$60:$EQ$99,$B30,37)*IF($W30=1,EL30+ABA30,EL30)=1,IF(AND($E30=2,IF($W30=1,AGP30,KA30)=0),1000000000,IF($V30=1,INDEX('calcA'!$D$130:$EQ$169,$B30,37)+IF(AND($E30=1,KA30=0),25,0),INDEX('calcA'!AN$110:AN$114,$F30+1)+IF(AND($E30=1,KA30=0),1000,0)+IF($H30=1,INDEX('calcA'!$D$180:$EQ$219,$B30,37)*500,0)-IF(AND('calcA'!AM$117=1,VK30&gt;0),300,0)-IF(AND($U30=1,'calcA'!AN$117=1,EM30=0),300,0))),1000000000))</f>
        <v/>
      </c>
      <c r="PQ30">
        <f>IF($B30=0,1000000000,IF(INDEX('calcA'!$D$60:$EQ$99,$B30,38)*IF($W30=1,EM30+ABB30,EM30)=1,IF(AND($E30=2,IF($W30=1,AGQ30,KB30)=0),1000000000,IF($V30=1,INDEX('calcA'!$D$130:$EQ$169,$B30,38)+IF(AND($E30=1,KB30=0),25,0),INDEX('calcA'!AO$110:AO$114,$F30+1)+IF(AND($E30=1,KB30=0),1000,0)+IF($H30=1,INDEX('calcA'!$D$180:$EQ$219,$B30,38)*500,0)-IF(AND('calcA'!AN$117=1,VL30&gt;0),300,0)-IF(AND($U30=1,'calcA'!AO$117=1,EN30=0),300,0))),1000000000))</f>
        <v/>
      </c>
      <c r="PR30">
        <f>IF($B30=0,1000000000,IF(INDEX('calcA'!$D$60:$EQ$99,$B30,39)*IF($W30=1,EN30+ABC30,EN30)=1,IF(AND($E30=2,IF($W30=1,AGR30,KC30)=0),1000000000,IF($V30=1,INDEX('calcA'!$D$130:$EQ$169,$B30,39)+IF(AND($E30=1,KC30=0),25,0),INDEX('calcA'!AP$110:AP$114,$F30+1)+IF(AND($E30=1,KC30=0),1000,0)+IF($H30=1,INDEX('calcA'!$D$180:$EQ$219,$B30,39)*500,0)-IF(AND('calcA'!AO$117=1,VM30&gt;0),300,0)-IF(AND($U30=1,'calcA'!AP$117=1,EO30=0),300,0))),1000000000))</f>
        <v/>
      </c>
      <c r="PS30">
        <f>IF($B30=0,1000000000,IF(INDEX('calcA'!$D$60:$EQ$99,$B30,40)*IF($W30=1,EO30+ABD30,EO30)=1,IF(AND($E30=2,IF($W30=1,AGS30,KD30)=0),1000000000,IF($V30=1,INDEX('calcA'!$D$130:$EQ$169,$B30,40)+IF(AND($E30=1,KD30=0),25,0),INDEX('calcA'!AQ$110:AQ$114,$F30+1)+IF(AND($E30=1,KD30=0),1000,0)+IF($H30=1,INDEX('calcA'!$D$180:$EQ$219,$B30,40)*500,0)-IF(AND('calcA'!AP$117=1,VN30&gt;0),300,0)-IF(AND($U30=1,'calcA'!AQ$117=1,EP30=0),300,0))),1000000000))</f>
        <v/>
      </c>
      <c r="PT30">
        <f>IF($B30=0,1000000000,IF(INDEX('calcA'!$D$60:$EQ$99,$B30,41)*IF($W30=1,EP30+ABE30,EP30)=1,IF(AND($E30=2,IF($W30=1,AGT30,KE30)=0),1000000000,IF($V30=1,INDEX('calcA'!$D$130:$EQ$169,$B30,41)+IF(AND($E30=1,KE30=0),25,0),INDEX('calcA'!AR$110:AR$114,$F30+1)+IF(AND($E30=1,KE30=0),1000,0)+IF($H30=1,INDEX('calcA'!$D$180:$EQ$219,$B30,41)*500,0)-IF(AND('calcA'!AQ$117=1,VO30&gt;0),300,0)-IF(AND($U30=1,'calcA'!AR$117=1,EQ30=0),300,0))),1000000000))</f>
        <v/>
      </c>
      <c r="PU30">
        <f>IF($B30=0,1000000000,IF(INDEX('calcA'!$D$60:$EQ$99,$B30,42)*IF($W30=1,EQ30+ABF30,EQ30)=1,IF(AND($E30=2,IF($W30=1,AGU30,KF30)=0),1000000000,IF($V30=1,INDEX('calcA'!$D$130:$EQ$169,$B30,42)+IF(AND($E30=1,KF30=0),25,0),INDEX('calcA'!AS$110:AS$114,$F30+1)+IF(AND($E30=1,KF30=0),1000,0)+IF($H30=1,INDEX('calcA'!$D$180:$EQ$219,$B30,42)*500,0)-IF(AND('calcA'!AR$117=1,VP30&gt;0),300,0)-IF(AND($U30=1,'calcA'!AS$117=1,ER30=0),300,0))),1000000000))</f>
        <v/>
      </c>
      <c r="PV30">
        <f>IF($B30=0,1000000000,IF(INDEX('calcA'!$D$60:$EQ$99,$B30,43)*IF($W30=1,ER30+ABG30,ER30)=1,IF(AND($E30=2,IF($W30=1,AGV30,KG30)=0),1000000000,IF($V30=1,INDEX('calcA'!$D$130:$EQ$169,$B30,43)+IF(AND($E30=1,KG30=0),25,0),INDEX('calcA'!AT$110:AT$114,$F30+1)+IF(AND($E30=1,KG30=0),1000,0)+IF($H30=1,INDEX('calcA'!$D$180:$EQ$219,$B30,43)*500,0)-IF(AND('calcA'!AS$117=1,VQ30&gt;0),300,0)-IF(AND($U30=1,'calcA'!AT$117=1,ES30=0),300,0))),1000000000))</f>
        <v/>
      </c>
      <c r="PW30">
        <f>IF($B30=0,1000000000,IF(INDEX('calcA'!$D$60:$EQ$99,$B30,44)*IF($W30=1,ES30+ABH30,ES30)=1,IF(AND($E30=2,IF($W30=1,AGW30,KH30)=0),1000000000,IF($V30=1,INDEX('calcA'!$D$130:$EQ$169,$B30,44)+IF(AND($E30=1,KH30=0),25,0),INDEX('calcA'!AU$110:AU$114,$F30+1)+IF(AND($E30=1,KH30=0),1000,0)+IF($H30=1,INDEX('calcA'!$D$180:$EQ$219,$B30,44)*500,0)-IF(AND('calcA'!AT$117=1,VR30&gt;0),300,0)-IF(AND($U30=1,'calcA'!AU$117=1,ET30=0),300,0))),1000000000))</f>
        <v/>
      </c>
      <c r="PX30">
        <f>IF($B30=0,1000000000,IF(INDEX('calcA'!$D$60:$EQ$99,$B30,45)*IF($W30=1,ET30+ABI30,ET30)=1,IF(AND($E30=2,IF($W30=1,AGX30,KI30)=0),1000000000,IF($V30=1,INDEX('calcA'!$D$130:$EQ$169,$B30,45)+IF(AND($E30=1,KI30=0),25,0),INDEX('calcA'!AV$110:AV$114,$F30+1)+IF(AND($E30=1,KI30=0),1000,0)+IF($H30=1,INDEX('calcA'!$D$180:$EQ$219,$B30,45)*500,0)-IF(AND('calcA'!AU$117=1,VS30&gt;0),300,0)-IF(AND($U30=1,'calcA'!AV$117=1,EU30=0),300,0))),1000000000))</f>
        <v/>
      </c>
      <c r="PY30">
        <f>IF($B30=0,1000000000,IF(INDEX('calcA'!$D$60:$EQ$99,$B30,46)*IF($W30=1,EU30+ABJ30,EU30)=1,IF(AND($E30=2,IF($W30=1,AGY30,KJ30)=0),1000000000,IF($V30=1,INDEX('calcA'!$D$130:$EQ$169,$B30,46)+IF(AND($E30=1,KJ30=0),25,0),INDEX('calcA'!AW$110:AW$114,$F30+1)+IF(AND($E30=1,KJ30=0),1000,0)+IF($H30=1,INDEX('calcA'!$D$180:$EQ$219,$B30,46)*500,0)-IF(AND('calcA'!AV$117=1,VT30&gt;0),300,0)-IF(AND($U30=1,'calcA'!AW$117=1,EV30=0),300,0))),1000000000))</f>
        <v/>
      </c>
      <c r="PZ30">
        <f>IF($B30=0,1000000000,IF(INDEX('calcA'!$D$60:$EQ$99,$B30,47)*IF($W30=1,EV30+ABK30,EV30)=1,IF(AND($E30=2,IF($W30=1,AGZ30,KK30)=0),1000000000,IF($V30=1,INDEX('calcA'!$D$130:$EQ$169,$B30,47)+IF(AND($E30=1,KK30=0),25,0),INDEX('calcA'!AX$110:AX$114,$F30+1)+IF(AND($E30=1,KK30=0),1000,0)+IF($H30=1,INDEX('calcA'!$D$180:$EQ$219,$B30,47)*500,0)-IF(AND('calcA'!AW$117=1,VU30&gt;0),300,0)-IF(AND($U30=1,'calcA'!AX$117=1,EW30=0),300,0))),1000000000))</f>
        <v/>
      </c>
      <c r="QA30">
        <f>IF($B30=0,1000000000,IF(INDEX('calcA'!$D$60:$EQ$99,$B30,48)*IF($W30=1,EW30+ABL30,EW30)=1,IF(AND($E30=2,IF($W30=1,AHA30,KL30)=0),1000000000,IF($V30=1,INDEX('calcA'!$D$130:$EQ$169,$B30,48)+IF(AND($E30=1,KL30=0),25,0),INDEX('calcA'!AY$110:AY$114,$F30+1)+IF(AND($E30=1,KL30=0),1000,0)+IF($H30=1,INDEX('calcA'!$D$180:$EQ$219,$B30,48)*500,0)-IF(AND('calcA'!AX$117=1,VV30&gt;0),300,0))),1000000000))</f>
        <v/>
      </c>
      <c r="QB30">
        <f>IF($B30=0,1000000000,IF(INDEX('calcA'!$D$60:$EQ$99,$B30,49)*IF($W30=1,EX30+ABM30,EX30)=1,IF(AND($E30=2,IF($W30=1,AHB30,KM30)=0),1000000000,IF($V30=1,INDEX('calcA'!$D$130:$EQ$169,$B30,49)+IF(AND($E30=1,KM30=0),25,0),INDEX('calcA'!AZ$110:AZ$114,$F30+1)+IF(AND($E30=1,KM30=0),1000,0)+IF($H30=1,INDEX('calcA'!$D$180:$EQ$219,$B30,49)*500,0)-IF(AND($U30=1,'calcA'!AZ$117=1,EY30=0),300,0))),1000000000))</f>
        <v/>
      </c>
      <c r="QC30">
        <f>IF($B30=0,1000000000,IF(INDEX('calcA'!$D$60:$EQ$99,$B30,50)*IF($W30=1,EY30+ABN30,EY30)=1,IF(AND($E30=2,IF($W30=1,AHC30,KN30)=0),1000000000,IF($V30=1,INDEX('calcA'!$D$130:$EQ$169,$B30,50)+IF(AND($E30=1,KN30=0),25,0),INDEX('calcA'!BA$110:BA$114,$F30+1)+IF(AND($E30=1,KN30=0),1000,0)+IF($H30=1,INDEX('calcA'!$D$180:$EQ$219,$B30,50)*500,0)-IF(AND('calcA'!AZ$117=1,VX30&gt;0),300,0)-IF(AND($U30=1,'calcA'!BA$117=1,EZ30=0),300,0))),1000000000))</f>
        <v/>
      </c>
      <c r="QD30">
        <f>IF($B30=0,1000000000,IF(INDEX('calcA'!$D$60:$EQ$99,$B30,51)*IF($W30=1,EZ30+ABO30,EZ30)=1,IF(AND($E30=2,IF($W30=1,AHD30,KO30)=0),1000000000,IF($V30=1,INDEX('calcA'!$D$130:$EQ$169,$B30,51)+IF(AND($E30=1,KO30=0),25,0),INDEX('calcA'!BB$110:BB$114,$F30+1)+IF(AND($E30=1,KO30=0),1000,0)+IF($H30=1,INDEX('calcA'!$D$180:$EQ$219,$B30,51)*500,0)-IF(AND('calcA'!BA$117=1,VY30&gt;0),300,0)-IF(AND($U30=1,'calcA'!BB$117=1,FA30=0),300,0))),1000000000))</f>
        <v/>
      </c>
      <c r="QE30">
        <f>IF($B30=0,1000000000,IF(INDEX('calcA'!$D$60:$EQ$99,$B30,52)*IF($W30=1,FA30+ABP30,FA30)=1,IF(AND($E30=2,IF($W30=1,AHE30,KP30)=0),1000000000,IF($V30=1,INDEX('calcA'!$D$130:$EQ$169,$B30,52)+IF(AND($E30=1,KP30=0),25,0),INDEX('calcA'!BC$110:BC$114,$F30+1)+IF(AND($E30=1,KP30=0),1000,0)+IF($H30=1,INDEX('calcA'!$D$180:$EQ$219,$B30,52)*500,0)-IF(AND('calcA'!BB$117=1,VZ30&gt;0),300,0)-IF(AND($U30=1,'calcA'!BC$117=1,FB30=0),300,0))),1000000000))</f>
        <v/>
      </c>
      <c r="QF30">
        <f>IF($B30=0,1000000000,IF(INDEX('calcA'!$D$60:$EQ$99,$B30,53)*IF($W30=1,FB30+ABQ30,FB30)=1,IF(AND($E30=2,IF($W30=1,AHF30,KQ30)=0),1000000000,IF($V30=1,INDEX('calcA'!$D$130:$EQ$169,$B30,53)+IF(AND($E30=1,KQ30=0),25,0),INDEX('calcA'!BD$110:BD$114,$F30+1)+IF(AND($E30=1,KQ30=0),1000,0)+IF($H30=1,INDEX('calcA'!$D$180:$EQ$219,$B30,53)*500,0)-IF(AND('calcA'!BC$117=1,WA30&gt;0),300,0)-IF(AND($U30=1,'calcA'!BD$117=1,FC30=0),300,0))),1000000000))</f>
        <v/>
      </c>
      <c r="QG30">
        <f>IF($B30=0,1000000000,IF(INDEX('calcA'!$D$60:$EQ$99,$B30,54)*IF($W30=1,FC30+ABR30,FC30)=1,IF(AND($E30=2,IF($W30=1,AHG30,KR30)=0),1000000000,IF($V30=1,INDEX('calcA'!$D$130:$EQ$169,$B30,54)+IF(AND($E30=1,KR30=0),25,0),INDEX('calcA'!BE$110:BE$114,$F30+1)+IF(AND($E30=1,KR30=0),1000,0)+IF($H30=1,INDEX('calcA'!$D$180:$EQ$219,$B30,54)*500,0)-IF(AND('calcA'!BD$117=1,WB30&gt;0),300,0)-IF(AND($U30=1,'calcA'!BE$117=1,FD30=0),300,0))),1000000000))</f>
        <v/>
      </c>
      <c r="QH30">
        <f>IF($B30=0,1000000000,IF(INDEX('calcA'!$D$60:$EQ$99,$B30,55)*IF($W30=1,FD30+ABS30,FD30)=1,IF(AND($E30=2,IF($W30=1,AHH30,KS30)=0),1000000000,IF($V30=1,INDEX('calcA'!$D$130:$EQ$169,$B30,55)+IF(AND($E30=1,KS30=0),25,0),INDEX('calcA'!BF$110:BF$114,$F30+1)+IF(AND($E30=1,KS30=0),1000,0)+IF($H30=1,INDEX('calcA'!$D$180:$EQ$219,$B30,55)*500,0)-IF(AND('calcA'!BE$117=1,WC30&gt;0),300,0)-IF(AND($U30=1,'calcA'!BF$117=1,FE30=0),300,0))),1000000000))</f>
        <v/>
      </c>
      <c r="QI30">
        <f>IF($B30=0,1000000000,IF(INDEX('calcA'!$D$60:$EQ$99,$B30,56)*IF($W30=1,FE30+ABT30,FE30)=1,IF(AND($E30=2,IF($W30=1,AHI30,KT30)=0),1000000000,IF($V30=1,INDEX('calcA'!$D$130:$EQ$169,$B30,56)+IF(AND($E30=1,KT30=0),25,0),INDEX('calcA'!BG$110:BG$114,$F30+1)+IF(AND($E30=1,KT30=0),1000,0)+IF($H30=1,INDEX('calcA'!$D$180:$EQ$219,$B30,56)*500,0)-IF(AND('calcA'!BF$117=1,WD30&gt;0),300,0)-IF(AND($U30=1,'calcA'!BG$117=1,FF30=0),300,0))),1000000000))</f>
        <v/>
      </c>
      <c r="QJ30">
        <f>IF($B30=0,1000000000,IF(INDEX('calcA'!$D$60:$EQ$99,$B30,57)*IF($W30=1,FF30+ABU30,FF30)=1,IF(AND($E30=2,IF($W30=1,AHJ30,KU30)=0),1000000000,IF($V30=1,INDEX('calcA'!$D$130:$EQ$169,$B30,57)+IF(AND($E30=1,KU30=0),25,0),INDEX('calcA'!BH$110:BH$114,$F30+1)+IF(AND($E30=1,KU30=0),1000,0)+IF($H30=1,INDEX('calcA'!$D$180:$EQ$219,$B30,57)*500,0)-IF(AND('calcA'!BG$117=1,WE30&gt;0),300,0)-IF(AND($U30=1,'calcA'!BH$117=1,FG30=0),300,0))),1000000000))</f>
        <v/>
      </c>
      <c r="QK30">
        <f>IF($B30=0,1000000000,IF(INDEX('calcA'!$D$60:$EQ$99,$B30,58)*IF($W30=1,FG30+ABV30,FG30)=1,IF(AND($E30=2,IF($W30=1,AHK30,KV30)=0),1000000000,IF($V30=1,INDEX('calcA'!$D$130:$EQ$169,$B30,58)+IF(AND($E30=1,KV30=0),25,0),INDEX('calcA'!BI$110:BI$114,$F30+1)+IF(AND($E30=1,KV30=0),1000,0)+IF($H30=1,INDEX('calcA'!$D$180:$EQ$219,$B30,58)*500,0)-IF(AND('calcA'!BH$117=1,WF30&gt;0),300,0)-IF(AND($U30=1,'calcA'!BI$117=1,FH30=0),300,0))),1000000000))</f>
        <v/>
      </c>
      <c r="QL30">
        <f>IF($B30=0,1000000000,IF(INDEX('calcA'!$D$60:$EQ$99,$B30,59)*IF($W30=1,FH30+ABW30,FH30)=1,IF(AND($E30=2,IF($W30=1,AHL30,KW30)=0),1000000000,IF($V30=1,INDEX('calcA'!$D$130:$EQ$169,$B30,59)+IF(AND($E30=1,KW30=0),25,0),INDEX('calcA'!BJ$110:BJ$114,$F30+1)+IF(AND($E30=1,KW30=0),1000,0)+IF($H30=1,INDEX('calcA'!$D$180:$EQ$219,$B30,59)*500,0)-IF(AND('calcA'!BI$117=1,WG30&gt;0),300,0)-IF(AND($U30=1,'calcA'!BJ$117=1,FI30=0),300,0))),1000000000))</f>
        <v/>
      </c>
      <c r="QM30">
        <f>IF($B30=0,1000000000,IF(INDEX('calcA'!$D$60:$EQ$99,$B30,60)*IF($W30=1,FI30+ABX30,FI30)=1,IF(AND($E30=2,IF($W30=1,AHM30,KX30)=0),1000000000,IF($V30=1,INDEX('calcA'!$D$130:$EQ$169,$B30,60)+IF(AND($E30=1,KX30=0),25,0),INDEX('calcA'!BK$110:BK$114,$F30+1)+IF(AND($E30=1,KX30=0),1000,0)+IF($H30=1,INDEX('calcA'!$D$180:$EQ$219,$B30,60)*500,0)-IF(AND('calcA'!BJ$117=1,WH30&gt;0),300,0)-IF(AND($U30=1,'calcA'!BK$117=1,FJ30=0),300,0))),1000000000))</f>
        <v/>
      </c>
      <c r="QN30">
        <f>IF($B30=0,1000000000,IF(INDEX('calcA'!$D$60:$EQ$99,$B30,61)*IF($W30=1,FJ30+ABY30,FJ30)=1,IF(AND($E30=2,IF($W30=1,AHN30,KY30)=0),1000000000,IF($V30=1,INDEX('calcA'!$D$130:$EQ$169,$B30,61)+IF(AND($E30=1,KY30=0),25,0),INDEX('calcA'!BL$110:BL$114,$F30+1)+IF(AND($E30=1,KY30=0),1000,0)+IF($H30=1,INDEX('calcA'!$D$180:$EQ$219,$B30,61)*500,0)-IF(AND('calcA'!BK$117=1,WI30&gt;0),300,0)-IF(AND($U30=1,'calcA'!BL$117=1,FK30=0),300,0))),1000000000))</f>
        <v/>
      </c>
      <c r="QO30">
        <f>IF($B30=0,1000000000,IF(INDEX('calcA'!$D$60:$EQ$99,$B30,62)*IF($W30=1,FK30+ABZ30,FK30)=1,IF(AND($E30=2,IF($W30=1,AHO30,KZ30)=0),1000000000,IF($V30=1,INDEX('calcA'!$D$130:$EQ$169,$B30,62)+IF(AND($E30=1,KZ30=0),25,0),INDEX('calcA'!BM$110:BM$114,$F30+1)+IF(AND($E30=1,KZ30=0),1000,0)+IF($H30=1,INDEX('calcA'!$D$180:$EQ$219,$B30,62)*500,0)-IF(AND('calcA'!BL$117=1,WJ30&gt;0),300,0)-IF(AND($U30=1,'calcA'!BM$117=1,FL30=0),300,0))),1000000000))</f>
        <v/>
      </c>
      <c r="QP30">
        <f>IF($B30=0,1000000000,IF(INDEX('calcA'!$D$60:$EQ$99,$B30,63)*IF($W30=1,FL30+ACA30,FL30)=1,IF(AND($E30=2,IF($W30=1,AHP30,LA30)=0),1000000000,IF($V30=1,INDEX('calcA'!$D$130:$EQ$169,$B30,63)+IF(AND($E30=1,LA30=0),25,0),INDEX('calcA'!BN$110:BN$114,$F30+1)+IF(AND($E30=1,LA30=0),1000,0)+IF($H30=1,INDEX('calcA'!$D$180:$EQ$219,$B30,63)*500,0)-IF(AND('calcA'!BM$117=1,WK30&gt;0),300,0)-IF(AND($U30=1,'calcA'!BN$117=1,FM30=0),300,0))),1000000000))</f>
        <v/>
      </c>
      <c r="QQ30">
        <f>IF($B30=0,1000000000,IF(INDEX('calcA'!$D$60:$EQ$99,$B30,64)*IF($W30=1,FM30+ACB30,FM30)=1,IF(AND($E30=2,IF($W30=1,AHQ30,LB30)=0),1000000000,IF($V30=1,INDEX('calcA'!$D$130:$EQ$169,$B30,64)+IF(AND($E30=1,LB30=0),25,0),INDEX('calcA'!BO$110:BO$114,$F30+1)+IF(AND($E30=1,LB30=0),1000,0)+IF($H30=1,INDEX('calcA'!$D$180:$EQ$219,$B30,64)*500,0)-IF(AND('calcA'!BN$117=1,WL30&gt;0),300,0)-IF(AND($U30=1,'calcA'!BO$117=1,FN30=0),300,0))),1000000000))</f>
        <v/>
      </c>
      <c r="QR30">
        <f>IF($B30=0,1000000000,IF(INDEX('calcA'!$D$60:$EQ$99,$B30,65)*IF($W30=1,FN30+ACC30,FN30)=1,IF(AND($E30=2,IF($W30=1,AHR30,LC30)=0),1000000000,IF($V30=1,INDEX('calcA'!$D$130:$EQ$169,$B30,65)+IF(AND($E30=1,LC30=0),25,0),INDEX('calcA'!BP$110:BP$114,$F30+1)+IF(AND($E30=1,LC30=0),1000,0)+IF($H30=1,INDEX('calcA'!$D$180:$EQ$219,$B30,65)*500,0)-IF(AND('calcA'!BO$117=1,WM30&gt;0),300,0)-IF(AND($U30=1,'calcA'!BP$117=1,FO30=0),300,0))),1000000000))</f>
        <v/>
      </c>
      <c r="QS30">
        <f>IF($B30=0,1000000000,IF(INDEX('calcA'!$D$60:$EQ$99,$B30,66)*IF($W30=1,FO30+ACD30,FO30)=1,IF(AND($E30=2,IF($W30=1,AHS30,LD30)=0),1000000000,IF($V30=1,INDEX('calcA'!$D$130:$EQ$169,$B30,66)+IF(AND($E30=1,LD30=0),25,0),INDEX('calcA'!BQ$110:BQ$114,$F30+1)+IF(AND($E30=1,LD30=0),1000,0)+IF($H30=1,INDEX('calcA'!$D$180:$EQ$219,$B30,66)*500,0)-IF(AND('calcA'!BP$117=1,WN30&gt;0),300,0)-IF(AND($U30=1,'calcA'!BQ$117=1,FP30=0),300,0))),1000000000))</f>
        <v/>
      </c>
      <c r="QT30">
        <f>IF($B30=0,1000000000,IF(INDEX('calcA'!$D$60:$EQ$99,$B30,67)*IF($W30=1,FP30+ACE30,FP30)=1,IF(AND($E30=2,IF($W30=1,AHT30,LE30)=0),1000000000,IF($V30=1,INDEX('calcA'!$D$130:$EQ$169,$B30,67)+IF(AND($E30=1,LE30=0),25,0),INDEX('calcA'!BR$110:BR$114,$F30+1)+IF(AND($E30=1,LE30=0),1000,0)+IF($H30=1,INDEX('calcA'!$D$180:$EQ$219,$B30,67)*500,0)-IF(AND('calcA'!BQ$117=1,WO30&gt;0),300,0)-IF(AND($U30=1,'calcA'!BR$117=1,FQ30=0),300,0))),1000000000))</f>
        <v/>
      </c>
      <c r="QU30">
        <f>IF($B30=0,1000000000,IF(INDEX('calcA'!$D$60:$EQ$99,$B30,68)*IF($W30=1,FQ30+ACF30,FQ30)=1,IF(AND($E30=2,IF($W30=1,AHU30,LF30)=0),1000000000,IF($V30=1,INDEX('calcA'!$D$130:$EQ$169,$B30,68)+IF(AND($E30=1,LF30=0),25,0),INDEX('calcA'!BS$110:BS$114,$F30+1)+IF(AND($E30=1,LF30=0),1000,0)+IF($H30=1,INDEX('calcA'!$D$180:$EQ$219,$B30,68)*500,0)-IF(AND('calcA'!BR$117=1,WP30&gt;0),300,0)-IF(AND($U30=1,'calcA'!BS$117=1,FR30=0),300,0))),1000000000))</f>
        <v/>
      </c>
      <c r="QV30">
        <f>IF($B30=0,1000000000,IF(INDEX('calcA'!$D$60:$EQ$99,$B30,69)*IF($W30=1,FR30+ACG30,FR30)=1,IF(AND($E30=2,IF($W30=1,AHV30,LG30)=0),1000000000,IF($V30=1,INDEX('calcA'!$D$130:$EQ$169,$B30,69)+IF(AND($E30=1,LG30=0),25,0),INDEX('calcA'!BT$110:BT$114,$F30+1)+IF(AND($E30=1,LG30=0),1000,0)+IF($H30=1,INDEX('calcA'!$D$180:$EQ$219,$B30,69)*500,0)-IF(AND('calcA'!BS$117=1,WQ30&gt;0),300,0)-IF(AND($U30=1,'calcA'!BT$117=1,FS30=0),300,0))),1000000000))</f>
        <v/>
      </c>
      <c r="QW30">
        <f>IF($B30=0,1000000000,IF(INDEX('calcA'!$D$60:$EQ$99,$B30,70)*IF($W30=1,FS30+ACH30,FS30)=1,IF(AND($E30=2,IF($W30=1,AHW30,LH30)=0),1000000000,IF($V30=1,INDEX('calcA'!$D$130:$EQ$169,$B30,70)+IF(AND($E30=1,LH30=0),25,0),INDEX('calcA'!BU$110:BU$114,$F30+1)+IF(AND($E30=1,LH30=0),1000,0)+IF($H30=1,INDEX('calcA'!$D$180:$EQ$219,$B30,70)*500,0)-IF(AND('calcA'!BT$117=1,WR30&gt;0),300,0)-IF(AND($U30=1,'calcA'!BU$117=1,FT30=0),300,0))),1000000000))</f>
        <v/>
      </c>
      <c r="QX30">
        <f>IF($B30=0,1000000000,IF(INDEX('calcA'!$D$60:$EQ$99,$B30,71)*IF($W30=1,FT30+ACI30,FT30)=1,IF(AND($E30=2,IF($W30=1,AHX30,LI30)=0),1000000000,IF($V30=1,INDEX('calcA'!$D$130:$EQ$169,$B30,71)+IF(AND($E30=1,LI30=0),25,0),INDEX('calcA'!BV$110:BV$114,$F30+1)+IF(AND($E30=1,LI30=0),1000,0)+IF($H30=1,INDEX('calcA'!$D$180:$EQ$219,$B30,71)*500,0)-IF(AND('calcA'!BU$117=1,WS30&gt;0),300,0)-IF(AND($U30=1,'calcA'!BV$117=1,FU30=0),300,0))),1000000000))</f>
        <v/>
      </c>
      <c r="QY30">
        <f>IF($B30=0,1000000000,IF(INDEX('calcA'!$D$60:$EQ$99,$B30,72)*IF($W30=1,FU30+ACJ30,FU30)=1,IF(AND($E30=2,IF($W30=1,AHY30,LJ30)=0),1000000000,IF($V30=1,INDEX('calcA'!$D$130:$EQ$169,$B30,72)+IF(AND($E30=1,LJ30=0),25,0),INDEX('calcA'!BW$110:BW$114,$F30+1)+IF(AND($E30=1,LJ30=0),1000,0)+IF($H30=1,INDEX('calcA'!$D$180:$EQ$219,$B30,72)*500,0)-IF(AND('calcA'!BV$117=1,WT30&gt;0),300,0))),1000000000))</f>
        <v/>
      </c>
      <c r="QZ30">
        <f>IF($B30=0,1000000000,IF(INDEX('calcA'!$D$60:$EQ$99,$B30,73)*IF($W30=1,FV30+ACK30,FV30)=1,IF(AND($E30=2,IF($W30=1,AHZ30,LK30)=0),1000000000,IF($V30=1,INDEX('calcA'!$D$130:$EQ$169,$B30,73)+IF(AND($E30=1,LK30=0),25,0),INDEX('calcA'!BX$110:BX$114,$F30+1)+IF(AND($E30=1,LK30=0),1000,0)+IF($H30=1,INDEX('calcA'!$D$180:$EQ$219,$B30,73)*500,0)-IF(AND($U30=1,'calcA'!BX$117=1,FW30=0),300,0))),1000000000))</f>
        <v/>
      </c>
      <c r="RA30">
        <f>IF($B30=0,1000000000,IF(INDEX('calcA'!$D$60:$EQ$99,$B30,74)*IF($W30=1,FW30+ACL30,FW30)=1,IF(AND($E30=2,IF($W30=1,AIA30,LL30)=0),1000000000,IF($V30=1,INDEX('calcA'!$D$130:$EQ$169,$B30,74)+IF(AND($E30=1,LL30=0),25,0),INDEX('calcA'!BY$110:BY$114,$F30+1)+IF(AND($E30=1,LL30=0),1000,0)+IF($H30=1,INDEX('calcA'!$D$180:$EQ$219,$B30,74)*500,0)-IF(AND('calcA'!BX$117=1,WV30&gt;0),300,0)-IF(AND($U30=1,'calcA'!BY$117=1,FX30=0),300,0))),1000000000))</f>
        <v/>
      </c>
      <c r="RB30">
        <f>IF($B30=0,1000000000,IF(INDEX('calcA'!$D$60:$EQ$99,$B30,75)*IF($W30=1,FX30+ACM30,FX30)=1,IF(AND($E30=2,IF($W30=1,AIB30,LM30)=0),1000000000,IF($V30=1,INDEX('calcA'!$D$130:$EQ$169,$B30,75)+IF(AND($E30=1,LM30=0),25,0),INDEX('calcA'!BZ$110:BZ$114,$F30+1)+IF(AND($E30=1,LM30=0),1000,0)+IF($H30=1,INDEX('calcA'!$D$180:$EQ$219,$B30,75)*500,0)-IF(AND('calcA'!BY$117=1,WW30&gt;0),300,0)-IF(AND($U30=1,'calcA'!BZ$117=1,FY30=0),300,0))),1000000000))</f>
        <v/>
      </c>
      <c r="RC30">
        <f>IF($B30=0,1000000000,IF(INDEX('calcA'!$D$60:$EQ$99,$B30,76)*IF($W30=1,FY30+ACN30,FY30)=1,IF(AND($E30=2,IF($W30=1,AIC30,LN30)=0),1000000000,IF($V30=1,INDEX('calcA'!$D$130:$EQ$169,$B30,76)+IF(AND($E30=1,LN30=0),25,0),INDEX('calcA'!CA$110:CA$114,$F30+1)+IF(AND($E30=1,LN30=0),1000,0)+IF($H30=1,INDEX('calcA'!$D$180:$EQ$219,$B30,76)*500,0)-IF(AND('calcA'!BZ$117=1,WX30&gt;0),300,0)-IF(AND($U30=1,'calcA'!CA$117=1,FZ30=0),300,0))),1000000000))</f>
        <v/>
      </c>
      <c r="RD30">
        <f>IF($B30=0,1000000000,IF(INDEX('calcA'!$D$60:$EQ$99,$B30,77)*IF($W30=1,FZ30+ACO30,FZ30)=1,IF(AND($E30=2,IF($W30=1,AID30,LO30)=0),1000000000,IF($V30=1,INDEX('calcA'!$D$130:$EQ$169,$B30,77)+IF(AND($E30=1,LO30=0),25,0),INDEX('calcA'!CB$110:CB$114,$F30+1)+IF(AND($E30=1,LO30=0),1000,0)+IF($H30=1,INDEX('calcA'!$D$180:$EQ$219,$B30,77)*500,0)-IF(AND('calcA'!CA$117=1,WY30&gt;0),300,0)-IF(AND($U30=1,'calcA'!CB$117=1,GA30=0),300,0))),1000000000))</f>
        <v/>
      </c>
      <c r="RE30">
        <f>IF($B30=0,1000000000,IF(INDEX('calcA'!$D$60:$EQ$99,$B30,78)*IF($W30=1,GA30+ACP30,GA30)=1,IF(AND($E30=2,IF($W30=1,AIE30,LP30)=0),1000000000,IF($V30=1,INDEX('calcA'!$D$130:$EQ$169,$B30,78)+IF(AND($E30=1,LP30=0),25,0),INDEX('calcA'!CC$110:CC$114,$F30+1)+IF(AND($E30=1,LP30=0),1000,0)+IF($H30=1,INDEX('calcA'!$D$180:$EQ$219,$B30,78)*500,0)-IF(AND('calcA'!CB$117=1,WZ30&gt;0),300,0)-IF(AND($U30=1,'calcA'!CC$117=1,GB30=0),300,0))),1000000000))</f>
        <v/>
      </c>
      <c r="RF30">
        <f>IF($B30=0,1000000000,IF(INDEX('calcA'!$D$60:$EQ$99,$B30,79)*IF($W30=1,GB30+ACQ30,GB30)=1,IF(AND($E30=2,IF($W30=1,AIF30,LQ30)=0),1000000000,IF($V30=1,INDEX('calcA'!$D$130:$EQ$169,$B30,79)+IF(AND($E30=1,LQ30=0),25,0),INDEX('calcA'!CD$110:CD$114,$F30+1)+IF(AND($E30=1,LQ30=0),1000,0)+IF($H30=1,INDEX('calcA'!$D$180:$EQ$219,$B30,79)*500,0)-IF(AND('calcA'!CC$117=1,XA30&gt;0),300,0)-IF(AND($U30=1,'calcA'!CD$117=1,GC30=0),300,0))),1000000000))</f>
        <v/>
      </c>
      <c r="RG30">
        <f>IF($B30=0,1000000000,IF(INDEX('calcA'!$D$60:$EQ$99,$B30,80)*IF($W30=1,GC30+ACR30,GC30)=1,IF(AND($E30=2,IF($W30=1,AIG30,LR30)=0),1000000000,IF($V30=1,INDEX('calcA'!$D$130:$EQ$169,$B30,80)+IF(AND($E30=1,LR30=0),25,0),INDEX('calcA'!CE$110:CE$114,$F30+1)+IF(AND($E30=1,LR30=0),1000,0)+IF($H30=1,INDEX('calcA'!$D$180:$EQ$219,$B30,80)*500,0)-IF(AND('calcA'!CD$117=1,XB30&gt;0),300,0)-IF(AND($U30=1,'calcA'!CE$117=1,GD30=0),300,0))),1000000000))</f>
        <v/>
      </c>
      <c r="RH30">
        <f>IF($B30=0,1000000000,IF(INDEX('calcA'!$D$60:$EQ$99,$B30,81)*IF($W30=1,GD30+ACS30,GD30)=1,IF(AND($E30=2,IF($W30=1,AIH30,LS30)=0),1000000000,IF($V30=1,INDEX('calcA'!$D$130:$EQ$169,$B30,81)+IF(AND($E30=1,LS30=0),25,0),INDEX('calcA'!CF$110:CF$114,$F30+1)+IF(AND($E30=1,LS30=0),1000,0)+IF($H30=1,INDEX('calcA'!$D$180:$EQ$219,$B30,81)*500,0)-IF(AND('calcA'!CE$117=1,XC30&gt;0),300,0)-IF(AND($U30=1,'calcA'!CF$117=1,GE30=0),300,0))),1000000000))</f>
        <v/>
      </c>
      <c r="RI30">
        <f>IF($B30=0,1000000000,IF(INDEX('calcA'!$D$60:$EQ$99,$B30,82)*IF($W30=1,GE30+ACT30,GE30)=1,IF(AND($E30=2,IF($W30=1,AII30,LT30)=0),1000000000,IF($V30=1,INDEX('calcA'!$D$130:$EQ$169,$B30,82)+IF(AND($E30=1,LT30=0),25,0),INDEX('calcA'!CG$110:CG$114,$F30+1)+IF(AND($E30=1,LT30=0),1000,0)+IF($H30=1,INDEX('calcA'!$D$180:$EQ$219,$B30,82)*500,0)-IF(AND('calcA'!CF$117=1,XD30&gt;0),300,0)-IF(AND($U30=1,'calcA'!CG$117=1,GF30=0),300,0))),1000000000))</f>
        <v/>
      </c>
      <c r="RJ30">
        <f>IF($B30=0,1000000000,IF(INDEX('calcA'!$D$60:$EQ$99,$B30,83)*IF($W30=1,GF30+ACU30,GF30)=1,IF(AND($E30=2,IF($W30=1,AIJ30,LU30)=0),1000000000,IF($V30=1,INDEX('calcA'!$D$130:$EQ$169,$B30,83)+IF(AND($E30=1,LU30=0),25,0),INDEX('calcA'!CH$110:CH$114,$F30+1)+IF(AND($E30=1,LU30=0),1000,0)+IF($H30=1,INDEX('calcA'!$D$180:$EQ$219,$B30,83)*500,0)-IF(AND('calcA'!CG$117=1,XE30&gt;0),300,0)-IF(AND($U30=1,'calcA'!CH$117=1,GG30=0),300,0))),1000000000))</f>
        <v/>
      </c>
      <c r="RK30">
        <f>IF($B30=0,1000000000,IF(INDEX('calcA'!$D$60:$EQ$99,$B30,84)*IF($W30=1,GG30+ACV30,GG30)=1,IF(AND($E30=2,IF($W30=1,AIK30,LV30)=0),1000000000,IF($V30=1,INDEX('calcA'!$D$130:$EQ$169,$B30,84)+IF(AND($E30=1,LV30=0),25,0),INDEX('calcA'!CI$110:CI$114,$F30+1)+IF(AND($E30=1,LV30=0),1000,0)+IF($H30=1,INDEX('calcA'!$D$180:$EQ$219,$B30,84)*500,0)-IF(AND('calcA'!CH$117=1,XF30&gt;0),300,0)-IF(AND($U30=1,'calcA'!CI$117=1,GH30=0),300,0))),1000000000))</f>
        <v/>
      </c>
      <c r="RL30">
        <f>IF($B30=0,1000000000,IF(INDEX('calcA'!$D$60:$EQ$99,$B30,85)*IF($W30=1,GH30+ACW30,GH30)=1,IF(AND($E30=2,IF($W30=1,AIL30,LW30)=0),1000000000,IF($V30=1,INDEX('calcA'!$D$130:$EQ$169,$B30,85)+IF(AND($E30=1,LW30=0),25,0),INDEX('calcA'!CJ$110:CJ$114,$F30+1)+IF(AND($E30=1,LW30=0),1000,0)+IF($H30=1,INDEX('calcA'!$D$180:$EQ$219,$B30,85)*500,0)-IF(AND('calcA'!CI$117=1,XG30&gt;0),300,0)-IF(AND($U30=1,'calcA'!CJ$117=1,GI30=0),300,0))),1000000000))</f>
        <v/>
      </c>
      <c r="RM30">
        <f>IF($B30=0,1000000000,IF(INDEX('calcA'!$D$60:$EQ$99,$B30,86)*IF($W30=1,GI30+ACX30,GI30)=1,IF(AND($E30=2,IF($W30=1,AIM30,LX30)=0),1000000000,IF($V30=1,INDEX('calcA'!$D$130:$EQ$169,$B30,86)+IF(AND($E30=1,LX30=0),25,0),INDEX('calcA'!CK$110:CK$114,$F30+1)+IF(AND($E30=1,LX30=0),1000,0)+IF($H30=1,INDEX('calcA'!$D$180:$EQ$219,$B30,86)*500,0)-IF(AND('calcA'!CJ$117=1,XH30&gt;0),300,0)-IF(AND($U30=1,'calcA'!CK$117=1,GJ30=0),300,0))),1000000000))</f>
        <v/>
      </c>
      <c r="RN30">
        <f>IF($B30=0,1000000000,IF(INDEX('calcA'!$D$60:$EQ$99,$B30,87)*IF($W30=1,GJ30+ACY30,GJ30)=1,IF(AND($E30=2,IF($W30=1,AIN30,LY30)=0),1000000000,IF($V30=1,INDEX('calcA'!$D$130:$EQ$169,$B30,87)+IF(AND($E30=1,LY30=0),25,0),INDEX('calcA'!CL$110:CL$114,$F30+1)+IF(AND($E30=1,LY30=0),1000,0)+IF($H30=1,INDEX('calcA'!$D$180:$EQ$219,$B30,87)*500,0)-IF(AND('calcA'!CK$117=1,XI30&gt;0),300,0)-IF(AND($U30=1,'calcA'!CL$117=1,GK30=0),300,0))),1000000000))</f>
        <v/>
      </c>
      <c r="RO30">
        <f>IF($B30=0,1000000000,IF(INDEX('calcA'!$D$60:$EQ$99,$B30,88)*IF($W30=1,GK30+ACZ30,GK30)=1,IF(AND($E30=2,IF($W30=1,AIO30,LZ30)=0),1000000000,IF($V30=1,INDEX('calcA'!$D$130:$EQ$169,$B30,88)+IF(AND($E30=1,LZ30=0),25,0),INDEX('calcA'!CM$110:CM$114,$F30+1)+IF(AND($E30=1,LZ30=0),1000,0)+IF($H30=1,INDEX('calcA'!$D$180:$EQ$219,$B30,88)*500,0)-IF(AND('calcA'!CL$117=1,XJ30&gt;0),300,0)-IF(AND($U30=1,'calcA'!CM$117=1,GL30=0),300,0))),1000000000))</f>
        <v/>
      </c>
      <c r="RP30">
        <f>IF($B30=0,1000000000,IF(INDEX('calcA'!$D$60:$EQ$99,$B30,89)*IF($W30=1,GL30+ADA30,GL30)=1,IF(AND($E30=2,IF($W30=1,AIP30,MA30)=0),1000000000,IF($V30=1,INDEX('calcA'!$D$130:$EQ$169,$B30,89)+IF(AND($E30=1,MA30=0),25,0),INDEX('calcA'!CN$110:CN$114,$F30+1)+IF(AND($E30=1,MA30=0),1000,0)+IF($H30=1,INDEX('calcA'!$D$180:$EQ$219,$B30,89)*500,0)-IF(AND('calcA'!CM$117=1,XK30&gt;0),300,0)-IF(AND($U30=1,'calcA'!CN$117=1,GM30=0),300,0))),1000000000))</f>
        <v/>
      </c>
      <c r="RQ30">
        <f>IF($B30=0,1000000000,IF(INDEX('calcA'!$D$60:$EQ$99,$B30,90)*IF($W30=1,GM30+ADB30,GM30)=1,IF(AND($E30=2,IF($W30=1,AIQ30,MB30)=0),1000000000,IF($V30=1,INDEX('calcA'!$D$130:$EQ$169,$B30,90)+IF(AND($E30=1,MB30=0),25,0),INDEX('calcA'!CO$110:CO$114,$F30+1)+IF(AND($E30=1,MB30=0),1000,0)+IF($H30=1,INDEX('calcA'!$D$180:$EQ$219,$B30,90)*500,0)-IF(AND('calcA'!CN$117=1,XL30&gt;0),300,0)-IF(AND($U30=1,'calcA'!CO$117=1,GN30=0),300,0))),1000000000))</f>
        <v/>
      </c>
      <c r="RR30">
        <f>IF($B30=0,1000000000,IF(INDEX('calcA'!$D$60:$EQ$99,$B30,91)*IF($W30=1,GN30+ADC30,GN30)=1,IF(AND($E30=2,IF($W30=1,AIR30,MC30)=0),1000000000,IF($V30=1,INDEX('calcA'!$D$130:$EQ$169,$B30,91)+IF(AND($E30=1,MC30=0),25,0),INDEX('calcA'!CP$110:CP$114,$F30+1)+IF(AND($E30=1,MC30=0),1000,0)+IF($H30=1,INDEX('calcA'!$D$180:$EQ$219,$B30,91)*500,0)-IF(AND('calcA'!CO$117=1,XM30&gt;0),300,0)-IF(AND($U30=1,'calcA'!CP$117=1,GO30=0),300,0))),1000000000))</f>
        <v/>
      </c>
      <c r="RS30">
        <f>IF($B30=0,1000000000,IF(INDEX('calcA'!$D$60:$EQ$99,$B30,92)*IF($W30=1,GO30+ADD30,GO30)=1,IF(AND($E30=2,IF($W30=1,AIS30,MD30)=0),1000000000,IF($V30=1,INDEX('calcA'!$D$130:$EQ$169,$B30,92)+IF(AND($E30=1,MD30=0),25,0),INDEX('calcA'!CQ$110:CQ$114,$F30+1)+IF(AND($E30=1,MD30=0),1000,0)+IF($H30=1,INDEX('calcA'!$D$180:$EQ$219,$B30,92)*500,0)-IF(AND('calcA'!CP$117=1,XN30&gt;0),300,0)-IF(AND($U30=1,'calcA'!CQ$117=1,GP30=0),300,0))),1000000000))</f>
        <v/>
      </c>
      <c r="RT30">
        <f>IF($B30=0,1000000000,IF(INDEX('calcA'!$D$60:$EQ$99,$B30,93)*IF($W30=1,GP30+ADE30,GP30)=1,IF(AND($E30=2,IF($W30=1,AIT30,ME30)=0),1000000000,IF($V30=1,INDEX('calcA'!$D$130:$EQ$169,$B30,93)+IF(AND($E30=1,ME30=0),25,0),INDEX('calcA'!CR$110:CR$114,$F30+1)+IF(AND($E30=1,ME30=0),1000,0)+IF($H30=1,INDEX('calcA'!$D$180:$EQ$219,$B30,93)*500,0)-IF(AND('calcA'!CQ$117=1,XO30&gt;0),300,0)-IF(AND($U30=1,'calcA'!CR$117=1,GQ30=0),300,0))),1000000000))</f>
        <v/>
      </c>
      <c r="RU30">
        <f>IF($B30=0,1000000000,IF(INDEX('calcA'!$D$60:$EQ$99,$B30,94)*IF($W30=1,GQ30+ADF30,GQ30)=1,IF(AND($E30=2,IF($W30=1,AIU30,MF30)=0),1000000000,IF($V30=1,INDEX('calcA'!$D$130:$EQ$169,$B30,94)+IF(AND($E30=1,MF30=0),25,0),INDEX('calcA'!CS$110:CS$114,$F30+1)+IF(AND($E30=1,MF30=0),1000,0)+IF($H30=1,INDEX('calcA'!$D$180:$EQ$219,$B30,94)*500,0)-IF(AND('calcA'!CR$117=1,XP30&gt;0),300,0)-IF(AND($U30=1,'calcA'!CS$117=1,GR30=0),300,0))),1000000000))</f>
        <v/>
      </c>
      <c r="RV30">
        <f>IF($B30=0,1000000000,IF(INDEX('calcA'!$D$60:$EQ$99,$B30,95)*IF($W30=1,GR30+ADG30,GR30)=1,IF(AND($E30=2,IF($W30=1,AIV30,MG30)=0),1000000000,IF($V30=1,INDEX('calcA'!$D$130:$EQ$169,$B30,95)+IF(AND($E30=1,MG30=0),25,0),INDEX('calcA'!CT$110:CT$114,$F30+1)+IF(AND($E30=1,MG30=0),1000,0)+IF($H30=1,INDEX('calcA'!$D$180:$EQ$219,$B30,95)*500,0)-IF(AND('calcA'!CS$117=1,XQ30&gt;0),300,0)-IF(AND($U30=1,'calcA'!CT$117=1,GS30=0),300,0))),1000000000))</f>
        <v/>
      </c>
      <c r="RW30">
        <f>IF($B30=0,1000000000,IF(INDEX('calcA'!$D$60:$EQ$99,$B30,96)*IF($W30=1,GS30+ADH30,GS30)=1,IF(AND($E30=2,IF($W30=1,AIW30,MH30)=0),1000000000,IF($V30=1,INDEX('calcA'!$D$130:$EQ$169,$B30,96)+IF(AND($E30=1,MH30=0),25,0),INDEX('calcA'!CU$110:CU$114,$F30+1)+IF(AND($E30=1,MH30=0),1000,0)+IF($H30=1,INDEX('calcA'!$D$180:$EQ$219,$B30,96)*500,0)-IF(AND('calcA'!CT$117=1,XR30&gt;0),300,0))),1000000000))</f>
        <v/>
      </c>
      <c r="RX30">
        <f>IF($B30=0,1000000000,IF(INDEX('calcA'!$D$60:$EQ$99,$B30,97)*IF($W30=1,GT30+ADI30,GT30)=1,IF(AND($E30=2,IF($W30=1,AIX30,MI30)=0),1000000000,IF($V30=1,INDEX('calcA'!$D$130:$EQ$169,$B30,97)+IF(AND($E30=1,MI30=0),25,0),INDEX('calcA'!CV$110:CV$114,$F30+1)+IF(AND($E30=1,MI30=0),1000,0)+IF($H30=1,INDEX('calcA'!$D$180:$EQ$219,$B30,97)*500,0)-IF(AND($U30=1,'calcA'!CV$117=1,GU30=0),300,0))),1000000000))</f>
        <v/>
      </c>
      <c r="RY30">
        <f>IF($B30=0,1000000000,IF(INDEX('calcA'!$D$60:$EQ$99,$B30,98)*IF($W30=1,GU30+ADJ30,GU30)=1,IF(AND($E30=2,IF($W30=1,AIY30,MJ30)=0),1000000000,IF($V30=1,INDEX('calcA'!$D$130:$EQ$169,$B30,98)+IF(AND($E30=1,MJ30=0),25,0),INDEX('calcA'!CW$110:CW$114,$F30+1)+IF(AND($E30=1,MJ30=0),1000,0)+IF($H30=1,INDEX('calcA'!$D$180:$EQ$219,$B30,98)*500,0)-IF(AND('calcA'!CV$117=1,XT30&gt;0),300,0)-IF(AND($U30=1,'calcA'!CW$117=1,GV30=0),300,0))),1000000000))</f>
        <v/>
      </c>
      <c r="RZ30">
        <f>IF($B30=0,1000000000,IF(INDEX('calcA'!$D$60:$EQ$99,$B30,99)*IF($W30=1,GV30+ADK30,GV30)=1,IF(AND($E30=2,IF($W30=1,AIZ30,MK30)=0),1000000000,IF($V30=1,INDEX('calcA'!$D$130:$EQ$169,$B30,99)+IF(AND($E30=1,MK30=0),25,0),INDEX('calcA'!CX$110:CX$114,$F30+1)+IF(AND($E30=1,MK30=0),1000,0)+IF($H30=1,INDEX('calcA'!$D$180:$EQ$219,$B30,99)*500,0)-IF(AND('calcA'!CW$117=1,XU30&gt;0),300,0)-IF(AND($U30=1,'calcA'!CX$117=1,GW30=0),300,0))),1000000000))</f>
        <v/>
      </c>
      <c r="SA30">
        <f>IF($B30=0,1000000000,IF(INDEX('calcA'!$D$60:$EQ$99,$B30,100)*IF($W30=1,GW30+ADL30,GW30)=1,IF(AND($E30=2,IF($W30=1,AJA30,ML30)=0),1000000000,IF($V30=1,INDEX('calcA'!$D$130:$EQ$169,$B30,100)+IF(AND($E30=1,ML30=0),25,0),INDEX('calcA'!CY$110:CY$114,$F30+1)+IF(AND($E30=1,ML30=0),1000,0)+IF($H30=1,INDEX('calcA'!$D$180:$EQ$219,$B30,100)*500,0)-IF(AND('calcA'!CX$117=1,XV30&gt;0),300,0)-IF(AND($U30=1,'calcA'!CY$117=1,GX30=0),300,0))),1000000000))</f>
        <v/>
      </c>
      <c r="SB30">
        <f>IF($B30=0,1000000000,IF(INDEX('calcA'!$D$60:$EQ$99,$B30,101)*IF($W30=1,GX30+ADM30,GX30)=1,IF(AND($E30=2,IF($W30=1,AJB30,MM30)=0),1000000000,IF($V30=1,INDEX('calcA'!$D$130:$EQ$169,$B30,101)+IF(AND($E30=1,MM30=0),25,0),INDEX('calcA'!CZ$110:CZ$114,$F30+1)+IF(AND($E30=1,MM30=0),1000,0)+IF($H30=1,INDEX('calcA'!$D$180:$EQ$219,$B30,101)*500,0)-IF(AND('calcA'!CY$117=1,XW30&gt;0),300,0)-IF(AND($U30=1,'calcA'!CZ$117=1,GY30=0),300,0))),1000000000))</f>
        <v/>
      </c>
      <c r="SC30">
        <f>IF($B30=0,1000000000,IF(INDEX('calcA'!$D$60:$EQ$99,$B30,102)*IF($W30=1,GY30+ADN30,GY30)=1,IF(AND($E30=2,IF($W30=1,AJC30,MN30)=0),1000000000,IF($V30=1,INDEX('calcA'!$D$130:$EQ$169,$B30,102)+IF(AND($E30=1,MN30=0),25,0),INDEX('calcA'!DA$110:DA$114,$F30+1)+IF(AND($E30=1,MN30=0),1000,0)+IF($H30=1,INDEX('calcA'!$D$180:$EQ$219,$B30,102)*500,0)-IF(AND('calcA'!CZ$117=1,XX30&gt;0),300,0)-IF(AND($U30=1,'calcA'!DA$117=1,GZ30=0),300,0))),1000000000))</f>
        <v/>
      </c>
      <c r="SD30">
        <f>IF($B30=0,1000000000,IF(INDEX('calcA'!$D$60:$EQ$99,$B30,103)*IF($W30=1,GZ30+ADO30,GZ30)=1,IF(AND($E30=2,IF($W30=1,AJD30,MO30)=0),1000000000,IF($V30=1,INDEX('calcA'!$D$130:$EQ$169,$B30,103)+IF(AND($E30=1,MO30=0),25,0),INDEX('calcA'!DB$110:DB$114,$F30+1)+IF(AND($E30=1,MO30=0),1000,0)+IF($H30=1,INDEX('calcA'!$D$180:$EQ$219,$B30,103)*500,0)-IF(AND('calcA'!DA$117=1,XY30&gt;0),300,0)-IF(AND($U30=1,'calcA'!DB$117=1,HA30=0),300,0))),1000000000))</f>
        <v/>
      </c>
      <c r="SE30">
        <f>IF($B30=0,1000000000,IF(INDEX('calcA'!$D$60:$EQ$99,$B30,104)*IF($W30=1,HA30+ADP30,HA30)=1,IF(AND($E30=2,IF($W30=1,AJE30,MP30)=0),1000000000,IF($V30=1,INDEX('calcA'!$D$130:$EQ$169,$B30,104)+IF(AND($E30=1,MP30=0),25,0),INDEX('calcA'!DC$110:DC$114,$F30+1)+IF(AND($E30=1,MP30=0),1000,0)+IF($H30=1,INDEX('calcA'!$D$180:$EQ$219,$B30,104)*500,0)-IF(AND('calcA'!DB$117=1,XZ30&gt;0),300,0)-IF(AND($U30=1,'calcA'!DC$117=1,HB30=0),300,0))),1000000000))</f>
        <v/>
      </c>
      <c r="SF30">
        <f>IF($B30=0,1000000000,IF(INDEX('calcA'!$D$60:$EQ$99,$B30,105)*IF($W30=1,HB30+ADQ30,HB30)=1,IF(AND($E30=2,IF($W30=1,AJF30,MQ30)=0),1000000000,IF($V30=1,INDEX('calcA'!$D$130:$EQ$169,$B30,105)+IF(AND($E30=1,MQ30=0),25,0),INDEX('calcA'!DD$110:DD$114,$F30+1)+IF(AND($E30=1,MQ30=0),1000,0)+IF($H30=1,INDEX('calcA'!$D$180:$EQ$219,$B30,105)*500,0)-IF(AND('calcA'!DC$117=1,YA30&gt;0),300,0)-IF(AND($U30=1,'calcA'!DD$117=1,HC30=0),300,0))),1000000000))</f>
        <v/>
      </c>
      <c r="SG30">
        <f>IF($B30=0,1000000000,IF(INDEX('calcA'!$D$60:$EQ$99,$B30,106)*IF($W30=1,HC30+ADR30,HC30)=1,IF(AND($E30=2,IF($W30=1,AJG30,MR30)=0),1000000000,IF($V30=1,INDEX('calcA'!$D$130:$EQ$169,$B30,106)+IF(AND($E30=1,MR30=0),25,0),INDEX('calcA'!DE$110:DE$114,$F30+1)+IF(AND($E30=1,MR30=0),1000,0)+IF($H30=1,INDEX('calcA'!$D$180:$EQ$219,$B30,106)*500,0)-IF(AND('calcA'!DD$117=1,YB30&gt;0),300,0)-IF(AND($U30=1,'calcA'!DE$117=1,HD30=0),300,0))),1000000000))</f>
        <v/>
      </c>
      <c r="SH30">
        <f>IF($B30=0,1000000000,IF(INDEX('calcA'!$D$60:$EQ$99,$B30,107)*IF($W30=1,HD30+ADS30,HD30)=1,IF(AND($E30=2,IF($W30=1,AJH30,MS30)=0),1000000000,IF($V30=1,INDEX('calcA'!$D$130:$EQ$169,$B30,107)+IF(AND($E30=1,MS30=0),25,0),INDEX('calcA'!DF$110:DF$114,$F30+1)+IF(AND($E30=1,MS30=0),1000,0)+IF($H30=1,INDEX('calcA'!$D$180:$EQ$219,$B30,107)*500,0)-IF(AND('calcA'!DE$117=1,YC30&gt;0),300,0)-IF(AND($U30=1,'calcA'!DF$117=1,HE30=0),300,0))),1000000000))</f>
        <v/>
      </c>
      <c r="SI30">
        <f>IF($B30=0,1000000000,IF(INDEX('calcA'!$D$60:$EQ$99,$B30,108)*IF($W30=1,HE30+ADT30,HE30)=1,IF(AND($E30=2,IF($W30=1,AJI30,MT30)=0),1000000000,IF($V30=1,INDEX('calcA'!$D$130:$EQ$169,$B30,108)+IF(AND($E30=1,MT30=0),25,0),INDEX('calcA'!DG$110:DG$114,$F30+1)+IF(AND($E30=1,MT30=0),1000,0)+IF($H30=1,INDEX('calcA'!$D$180:$EQ$219,$B30,108)*500,0)-IF(AND('calcA'!DF$117=1,YD30&gt;0),300,0)-IF(AND($U30=1,'calcA'!DG$117=1,HF30=0),300,0))),1000000000))</f>
        <v/>
      </c>
      <c r="SJ30">
        <f>IF($B30=0,1000000000,IF(INDEX('calcA'!$D$60:$EQ$99,$B30,109)*IF($W30=1,HF30+ADU30,HF30)=1,IF(AND($E30=2,IF($W30=1,AJJ30,MU30)=0),1000000000,IF($V30=1,INDEX('calcA'!$D$130:$EQ$169,$B30,109)+IF(AND($E30=1,MU30=0),25,0),INDEX('calcA'!DH$110:DH$114,$F30+1)+IF(AND($E30=1,MU30=0),1000,0)+IF($H30=1,INDEX('calcA'!$D$180:$EQ$219,$B30,109)*500,0)-IF(AND('calcA'!DG$117=1,YE30&gt;0),300,0)-IF(AND($U30=1,'calcA'!DH$117=1,HG30=0),300,0))),1000000000))</f>
        <v/>
      </c>
      <c r="SK30">
        <f>IF($B30=0,1000000000,IF(INDEX('calcA'!$D$60:$EQ$99,$B30,110)*IF($W30=1,HG30+ADV30,HG30)=1,IF(AND($E30=2,IF($W30=1,AJK30,MV30)=0),1000000000,IF($V30=1,INDEX('calcA'!$D$130:$EQ$169,$B30,110)+IF(AND($E30=1,MV30=0),25,0),INDEX('calcA'!DI$110:DI$114,$F30+1)+IF(AND($E30=1,MV30=0),1000,0)+IF($H30=1,INDEX('calcA'!$D$180:$EQ$219,$B30,110)*500,0)-IF(AND('calcA'!DH$117=1,YF30&gt;0),300,0)-IF(AND($U30=1,'calcA'!DI$117=1,HH30=0),300,0))),1000000000))</f>
        <v/>
      </c>
      <c r="SL30">
        <f>IF($B30=0,1000000000,IF(INDEX('calcA'!$D$60:$EQ$99,$B30,111)*IF($W30=1,HH30+ADW30,HH30)=1,IF(AND($E30=2,IF($W30=1,AJL30,MW30)=0),1000000000,IF($V30=1,INDEX('calcA'!$D$130:$EQ$169,$B30,111)+IF(AND($E30=1,MW30=0),25,0),INDEX('calcA'!DJ$110:DJ$114,$F30+1)+IF(AND($E30=1,MW30=0),1000,0)+IF($H30=1,INDEX('calcA'!$D$180:$EQ$219,$B30,111)*500,0)-IF(AND('calcA'!DI$117=1,YG30&gt;0),300,0)-IF(AND($U30=1,'calcA'!DJ$117=1,HI30=0),300,0))),1000000000))</f>
        <v/>
      </c>
      <c r="SM30">
        <f>IF($B30=0,1000000000,IF(INDEX('calcA'!$D$60:$EQ$99,$B30,112)*IF($W30=1,HI30+ADX30,HI30)=1,IF(AND($E30=2,IF($W30=1,AJM30,MX30)=0),1000000000,IF($V30=1,INDEX('calcA'!$D$130:$EQ$169,$B30,112)+IF(AND($E30=1,MX30=0),25,0),INDEX('calcA'!DK$110:DK$114,$F30+1)+IF(AND($E30=1,MX30=0),1000,0)+IF($H30=1,INDEX('calcA'!$D$180:$EQ$219,$B30,112)*500,0)-IF(AND('calcA'!DJ$117=1,YH30&gt;0),300,0)-IF(AND($U30=1,'calcA'!DK$117=1,HJ30=0),300,0))),1000000000))</f>
        <v/>
      </c>
      <c r="SN30">
        <f>IF($B30=0,1000000000,IF(INDEX('calcA'!$D$60:$EQ$99,$B30,113)*IF($W30=1,HJ30+ADY30,HJ30)=1,IF(AND($E30=2,IF($W30=1,AJN30,MY30)=0),1000000000,IF($V30=1,INDEX('calcA'!$D$130:$EQ$169,$B30,113)+IF(AND($E30=1,MY30=0),25,0),INDEX('calcA'!DL$110:DL$114,$F30+1)+IF(AND($E30=1,MY30=0),1000,0)+IF($H30=1,INDEX('calcA'!$D$180:$EQ$219,$B30,113)*500,0)-IF(AND('calcA'!DK$117=1,YI30&gt;0),300,0)-IF(AND($U30=1,'calcA'!DL$117=1,HK30=0),300,0))),1000000000))</f>
        <v/>
      </c>
      <c r="SO30">
        <f>IF($B30=0,1000000000,IF(INDEX('calcA'!$D$60:$EQ$99,$B30,114)*IF($W30=1,HK30+ADZ30,HK30)=1,IF(AND($E30=2,IF($W30=1,AJO30,MZ30)=0),1000000000,IF($V30=1,INDEX('calcA'!$D$130:$EQ$169,$B30,114)+IF(AND($E30=1,MZ30=0),25,0),INDEX('calcA'!DM$110:DM$114,$F30+1)+IF(AND($E30=1,MZ30=0),1000,0)+IF($H30=1,INDEX('calcA'!$D$180:$EQ$219,$B30,114)*500,0)-IF(AND('calcA'!DL$117=1,YJ30&gt;0),300,0)-IF(AND($U30=1,'calcA'!DM$117=1,HL30=0),300,0))),1000000000))</f>
        <v/>
      </c>
      <c r="SP30">
        <f>IF($B30=0,1000000000,IF(INDEX('calcA'!$D$60:$EQ$99,$B30,115)*IF($W30=1,HL30+AEA30,HL30)=1,IF(AND($E30=2,IF($W30=1,AJP30,NA30)=0),1000000000,IF($V30=1,INDEX('calcA'!$D$130:$EQ$169,$B30,115)+IF(AND($E30=1,NA30=0),25,0),INDEX('calcA'!DN$110:DN$114,$F30+1)+IF(AND($E30=1,NA30=0),1000,0)+IF($H30=1,INDEX('calcA'!$D$180:$EQ$219,$B30,115)*500,0)-IF(AND('calcA'!DM$117=1,YK30&gt;0),300,0)-IF(AND($U30=1,'calcA'!DN$117=1,HM30=0),300,0))),1000000000))</f>
        <v/>
      </c>
      <c r="SQ30">
        <f>IF($B30=0,1000000000,IF(INDEX('calcA'!$D$60:$EQ$99,$B30,116)*IF($W30=1,HM30+AEB30,HM30)=1,IF(AND($E30=2,IF($W30=1,AJQ30,NB30)=0),1000000000,IF($V30=1,INDEX('calcA'!$D$130:$EQ$169,$B30,116)+IF(AND($E30=1,NB30=0),25,0),INDEX('calcA'!DO$110:DO$114,$F30+1)+IF(AND($E30=1,NB30=0),1000,0)+IF($H30=1,INDEX('calcA'!$D$180:$EQ$219,$B30,116)*500,0)-IF(AND('calcA'!DN$117=1,YL30&gt;0),300,0)-IF(AND($U30=1,'calcA'!DO$117=1,HN30=0),300,0))),1000000000))</f>
        <v/>
      </c>
      <c r="SR30">
        <f>IF($B30=0,1000000000,IF(INDEX('calcA'!$D$60:$EQ$99,$B30,117)*IF($W30=1,HN30+AEC30,HN30)=1,IF(AND($E30=2,IF($W30=1,AJR30,NC30)=0),1000000000,IF($V30=1,INDEX('calcA'!$D$130:$EQ$169,$B30,117)+IF(AND($E30=1,NC30=0),25,0),INDEX('calcA'!DP$110:DP$114,$F30+1)+IF(AND($E30=1,NC30=0),1000,0)+IF($H30=1,INDEX('calcA'!$D$180:$EQ$219,$B30,117)*500,0)-IF(AND('calcA'!DO$117=1,YM30&gt;0),300,0)-IF(AND($U30=1,'calcA'!DP$117=1,HO30=0),300,0))),1000000000))</f>
        <v/>
      </c>
      <c r="SS30">
        <f>IF($B30=0,1000000000,IF(INDEX('calcA'!$D$60:$EQ$99,$B30,118)*IF($W30=1,HO30+AED30,HO30)=1,IF(AND($E30=2,IF($W30=1,AJS30,ND30)=0),1000000000,IF($V30=1,INDEX('calcA'!$D$130:$EQ$169,$B30,118)+IF(AND($E30=1,ND30=0),25,0),INDEX('calcA'!DQ$110:DQ$114,$F30+1)+IF(AND($E30=1,ND30=0),1000,0)+IF($H30=1,INDEX('calcA'!$D$180:$EQ$219,$B30,118)*500,0)-IF(AND('calcA'!DP$117=1,YN30&gt;0),300,0)-IF(AND($U30=1,'calcA'!DQ$117=1,HP30=0),300,0))),1000000000))</f>
        <v/>
      </c>
      <c r="ST30">
        <f>IF($B30=0,1000000000,IF(INDEX('calcA'!$D$60:$EQ$99,$B30,119)*IF($W30=1,HP30+AEE30,HP30)=1,IF(AND($E30=2,IF($W30=1,AJT30,NE30)=0),1000000000,IF($V30=1,INDEX('calcA'!$D$130:$EQ$169,$B30,119)+IF(AND($E30=1,NE30=0),25,0),INDEX('calcA'!DR$110:DR$114,$F30+1)+IF(AND($E30=1,NE30=0),1000,0)+IF($H30=1,INDEX('calcA'!$D$180:$EQ$219,$B30,119)*500,0)-IF(AND('calcA'!DQ$117=1,YO30&gt;0),300,0)-IF(AND($U30=1,'calcA'!DR$117=1,HQ30=0),300,0))),1000000000))</f>
        <v/>
      </c>
      <c r="SU30">
        <f>IF($B30=0,1000000000,IF(INDEX('calcA'!$D$60:$EQ$99,$B30,120)*IF($W30=1,HQ30+AEF30,HQ30)=1,IF(AND($E30=2,IF($W30=1,AJU30,NF30)=0),1000000000,IF($V30=1,INDEX('calcA'!$D$130:$EQ$169,$B30,120)+IF(AND($E30=1,NF30=0),25,0),INDEX('calcA'!DS$110:DS$114,$F30+1)+IF(AND($E30=1,NF30=0),1000,0)+IF($H30=1,INDEX('calcA'!$D$180:$EQ$219,$B30,120)*500,0)-IF(AND('calcA'!DR$117=1,YP30&gt;0),300,0))),1000000000))</f>
        <v/>
      </c>
      <c r="SV30">
        <f>IF($B30=0,1000000000,IF(INDEX('calcA'!$D$60:$EQ$99,$B30,121)*IF($W30=1,HR30+AEG30,HR30)=1,IF(AND($E30=2,IF($W30=1,AJV30,NG30)=0),1000000000,IF($V30=1,INDEX('calcA'!$D$130:$EQ$169,$B30,121)+IF(AND($E30=1,NG30=0),25,0),INDEX('calcA'!DT$110:DT$114,$F30+1)+IF(AND($E30=1,NG30=0),1000,0)+IF($H30=1,INDEX('calcA'!$D$180:$EQ$219,$B30,121)*500,0)-IF(AND($U30=1,'calcA'!DT$117=1,HS30=0),300,0))),1000000000))</f>
        <v/>
      </c>
      <c r="SW30">
        <f>IF($B30=0,1000000000,IF(INDEX('calcA'!$D$60:$EQ$99,$B30,122)*IF($W30=1,HS30+AEH30,HS30)=1,IF(AND($E30=2,IF($W30=1,AJW30,NH30)=0),1000000000,IF($V30=1,INDEX('calcA'!$D$130:$EQ$169,$B30,122)+IF(AND($E30=1,NH30=0),25,0),INDEX('calcA'!DU$110:DU$114,$F30+1)+IF(AND($E30=1,NH30=0),1000,0)+IF($H30=1,INDEX('calcA'!$D$180:$EQ$219,$B30,122)*500,0)-IF(AND('calcA'!DT$117=1,YR30&gt;0),300,0)-IF(AND($U30=1,'calcA'!DU$117=1,HT30=0),300,0))),1000000000))</f>
        <v/>
      </c>
      <c r="SX30">
        <f>IF($B30=0,1000000000,IF(INDEX('calcA'!$D$60:$EQ$99,$B30,123)*IF($W30=1,HT30+AEI30,HT30)=1,IF(AND($E30=2,IF($W30=1,AJX30,NI30)=0),1000000000,IF($V30=1,INDEX('calcA'!$D$130:$EQ$169,$B30,123)+IF(AND($E30=1,NI30=0),25,0),INDEX('calcA'!DV$110:DV$114,$F30+1)+IF(AND($E30=1,NI30=0),1000,0)+IF($H30=1,INDEX('calcA'!$D$180:$EQ$219,$B30,123)*500,0)-IF(AND('calcA'!DU$117=1,YS30&gt;0),300,0)-IF(AND($U30=1,'calcA'!DV$117=1,HU30=0),300,0))),1000000000))</f>
        <v/>
      </c>
      <c r="SY30">
        <f>IF($B30=0,1000000000,IF(INDEX('calcA'!$D$60:$EQ$99,$B30,124)*IF($W30=1,HU30+AEJ30,HU30)=1,IF(AND($E30=2,IF($W30=1,AJY30,NJ30)=0),1000000000,IF($V30=1,INDEX('calcA'!$D$130:$EQ$169,$B30,124)+IF(AND($E30=1,NJ30=0),25,0),INDEX('calcA'!DW$110:DW$114,$F30+1)+IF(AND($E30=1,NJ30=0),1000,0)+IF($H30=1,INDEX('calcA'!$D$180:$EQ$219,$B30,124)*500,0)-IF(AND('calcA'!DV$117=1,YT30&gt;0),300,0)-IF(AND($U30=1,'calcA'!DW$117=1,HV30=0),300,0))),1000000000))</f>
        <v/>
      </c>
      <c r="SZ30">
        <f>IF($B30=0,1000000000,IF(INDEX('calcA'!$D$60:$EQ$99,$B30,125)*IF($W30=1,HV30+AEK30,HV30)=1,IF(AND($E30=2,IF($W30=1,AJZ30,NK30)=0),1000000000,IF($V30=1,INDEX('calcA'!$D$130:$EQ$169,$B30,125)+IF(AND($E30=1,NK30=0),25,0),INDEX('calcA'!DX$110:DX$114,$F30+1)+IF(AND($E30=1,NK30=0),1000,0)+IF($H30=1,INDEX('calcA'!$D$180:$EQ$219,$B30,125)*500,0)-IF(AND('calcA'!DW$117=1,YU30&gt;0),300,0)-IF(AND($U30=1,'calcA'!DX$117=1,HW30=0),300,0))),1000000000))</f>
        <v/>
      </c>
      <c r="TA30">
        <f>IF($B30=0,1000000000,IF(INDEX('calcA'!$D$60:$EQ$99,$B30,126)*IF($W30=1,HW30+AEL30,HW30)=1,IF(AND($E30=2,IF($W30=1,AKA30,NL30)=0),1000000000,IF($V30=1,INDEX('calcA'!$D$130:$EQ$169,$B30,126)+IF(AND($E30=1,NL30=0),25,0),INDEX('calcA'!DY$110:DY$114,$F30+1)+IF(AND($E30=1,NL30=0),1000,0)+IF($H30=1,INDEX('calcA'!$D$180:$EQ$219,$B30,126)*500,0)-IF(AND('calcA'!DX$117=1,YV30&gt;0),300,0)-IF(AND($U30=1,'calcA'!DY$117=1,HX30=0),300,0))),1000000000))</f>
        <v/>
      </c>
      <c r="TB30">
        <f>IF($B30=0,1000000000,IF(INDEX('calcA'!$D$60:$EQ$99,$B30,127)*IF($W30=1,HX30+AEM30,HX30)=1,IF(AND($E30=2,IF($W30=1,AKB30,NM30)=0),1000000000,IF($V30=1,INDEX('calcA'!$D$130:$EQ$169,$B30,127)+IF(AND($E30=1,NM30=0),25,0),INDEX('calcA'!DZ$110:DZ$114,$F30+1)+IF(AND($E30=1,NM30=0),1000,0)+IF($H30=1,INDEX('calcA'!$D$180:$EQ$219,$B30,127)*500,0)-IF(AND('calcA'!DY$117=1,YW30&gt;0),300,0)-IF(AND($U30=1,'calcA'!DZ$117=1,HY30=0),300,0))),1000000000))</f>
        <v/>
      </c>
      <c r="TC30">
        <f>IF($B30=0,1000000000,IF(INDEX('calcA'!$D$60:$EQ$99,$B30,128)*IF($W30=1,HY30+AEN30,HY30)=1,IF(AND($E30=2,IF($W30=1,AKC30,NN30)=0),1000000000,IF($V30=1,INDEX('calcA'!$D$130:$EQ$169,$B30,128)+IF(AND($E30=1,NN30=0),25,0),INDEX('calcA'!EA$110:EA$114,$F30+1)+IF(AND($E30=1,NN30=0),1000,0)+IF($H30=1,INDEX('calcA'!$D$180:$EQ$219,$B30,128)*500,0)-IF(AND('calcA'!DZ$117=1,YX30&gt;0),300,0)-IF(AND($U30=1,'calcA'!EA$117=1,HZ30=0),300,0))),1000000000))</f>
        <v/>
      </c>
      <c r="TD30">
        <f>IF($B30=0,1000000000,IF(INDEX('calcA'!$D$60:$EQ$99,$B30,129)*IF($W30=1,HZ30+AEO30,HZ30)=1,IF(AND($E30=2,IF($W30=1,AKD30,NO30)=0),1000000000,IF($V30=1,INDEX('calcA'!$D$130:$EQ$169,$B30,129)+IF(AND($E30=1,NO30=0),25,0),INDEX('calcA'!EB$110:EB$114,$F30+1)+IF(AND($E30=1,NO30=0),1000,0)+IF($H30=1,INDEX('calcA'!$D$180:$EQ$219,$B30,129)*500,0)-IF(AND('calcA'!EA$117=1,YY30&gt;0),300,0)-IF(AND($U30=1,'calcA'!EB$117=1,IA30=0),300,0))),1000000000))</f>
        <v/>
      </c>
      <c r="TE30">
        <f>IF($B30=0,1000000000,IF(INDEX('calcA'!$D$60:$EQ$99,$B30,130)*IF($W30=1,IA30+AEP30,IA30)=1,IF(AND($E30=2,IF($W30=1,AKE30,NP30)=0),1000000000,IF($V30=1,INDEX('calcA'!$D$130:$EQ$169,$B30,130)+IF(AND($E30=1,NP30=0),25,0),INDEX('calcA'!EC$110:EC$114,$F30+1)+IF(AND($E30=1,NP30=0),1000,0)+IF($H30=1,INDEX('calcA'!$D$180:$EQ$219,$B30,130)*500,0)-IF(AND('calcA'!EB$117=1,YZ30&gt;0),300,0)-IF(AND($U30=1,'calcA'!EC$117=1,IB30=0),300,0))),1000000000))</f>
        <v/>
      </c>
      <c r="TF30">
        <f>IF($B30=0,1000000000,IF(INDEX('calcA'!$D$60:$EQ$99,$B30,131)*IF($W30=1,IB30+AEQ30,IB30)=1,IF(AND($E30=2,IF($W30=1,AKF30,NQ30)=0),1000000000,IF($V30=1,INDEX('calcA'!$D$130:$EQ$169,$B30,131)+IF(AND($E30=1,NQ30=0),25,0),INDEX('calcA'!ED$110:ED$114,$F30+1)+IF(AND($E30=1,NQ30=0),1000,0)+IF($H30=1,INDEX('calcA'!$D$180:$EQ$219,$B30,131)*500,0)-IF(AND('calcA'!EC$117=1,ZA30&gt;0),300,0)-IF(AND($U30=1,'calcA'!ED$117=1,IC30=0),300,0))),1000000000))</f>
        <v/>
      </c>
      <c r="TG30">
        <f>IF($B30=0,1000000000,IF(INDEX('calcA'!$D$60:$EQ$99,$B30,132)*IF($W30=1,IC30+AER30,IC30)=1,IF(AND($E30=2,IF($W30=1,AKG30,NR30)=0),1000000000,IF($V30=1,INDEX('calcA'!$D$130:$EQ$169,$B30,132)+IF(AND($E30=1,NR30=0),25,0),INDEX('calcA'!EE$110:EE$114,$F30+1)+IF(AND($E30=1,NR30=0),1000,0)+IF($H30=1,INDEX('calcA'!$D$180:$EQ$219,$B30,132)*500,0)-IF(AND('calcA'!ED$117=1,ZB30&gt;0),300,0)-IF(AND($U30=1,'calcA'!EE$117=1,ID30=0),300,0))),1000000000))</f>
        <v/>
      </c>
      <c r="TH30">
        <f>IF($B30=0,1000000000,IF(INDEX('calcA'!$D$60:$EQ$99,$B30,133)*IF($W30=1,ID30+AES30,ID30)=1,IF(AND($E30=2,IF($W30=1,AKH30,NS30)=0),1000000000,IF($V30=1,INDEX('calcA'!$D$130:$EQ$169,$B30,133)+IF(AND($E30=1,NS30=0),25,0),INDEX('calcA'!EF$110:EF$114,$F30+1)+IF(AND($E30=1,NS30=0),1000,0)+IF($H30=1,INDEX('calcA'!$D$180:$EQ$219,$B30,133)*500,0)-IF(AND('calcA'!EE$117=1,ZC30&gt;0),300,0)-IF(AND($U30=1,'calcA'!EF$117=1,IE30=0),300,0))),1000000000))</f>
        <v/>
      </c>
      <c r="TI30">
        <f>IF($B30=0,1000000000,IF(INDEX('calcA'!$D$60:$EQ$99,$B30,134)*IF($W30=1,IE30+AET30,IE30)=1,IF(AND($E30=2,IF($W30=1,AKI30,NT30)=0),1000000000,IF($V30=1,INDEX('calcA'!$D$130:$EQ$169,$B30,134)+IF(AND($E30=1,NT30=0),25,0),INDEX('calcA'!EG$110:EG$114,$F30+1)+IF(AND($E30=1,NT30=0),1000,0)+IF($H30=1,INDEX('calcA'!$D$180:$EQ$219,$B30,134)*500,0)-IF(AND('calcA'!EF$117=1,ZD30&gt;0),300,0)-IF(AND($U30=1,'calcA'!EG$117=1,IF30=0),300,0))),1000000000))</f>
        <v/>
      </c>
      <c r="TJ30">
        <f>IF($B30=0,1000000000,IF(INDEX('calcA'!$D$60:$EQ$99,$B30,135)*IF($W30=1,IF30+AEU30,IF30)=1,IF(AND($E30=2,IF($W30=1,AKJ30,NU30)=0),1000000000,IF($V30=1,INDEX('calcA'!$D$130:$EQ$169,$B30,135)+IF(AND($E30=1,NU30=0),25,0),INDEX('calcA'!EH$110:EH$114,$F30+1)+IF(AND($E30=1,NU30=0),1000,0)+IF($H30=1,INDEX('calcA'!$D$180:$EQ$219,$B30,135)*500,0)-IF(AND('calcA'!EG$117=1,ZE30&gt;0),300,0)-IF(AND($U30=1,'calcA'!EH$117=1,IG30=0),300,0))),1000000000))</f>
        <v/>
      </c>
      <c r="TK30">
        <f>IF($B30=0,1000000000,IF(INDEX('calcA'!$D$60:$EQ$99,$B30,136)*IF($W30=1,IG30+AEV30,IG30)=1,IF(AND($E30=2,IF($W30=1,AKK30,NV30)=0),1000000000,IF($V30=1,INDEX('calcA'!$D$130:$EQ$169,$B30,136)+IF(AND($E30=1,NV30=0),25,0),INDEX('calcA'!EI$110:EI$114,$F30+1)+IF(AND($E30=1,NV30=0),1000,0)+IF($H30=1,INDEX('calcA'!$D$180:$EQ$219,$B30,136)*500,0)-IF(AND('calcA'!EH$117=1,ZF30&gt;0),300,0)-IF(AND($U30=1,'calcA'!EI$117=1,IH30=0),300,0))),1000000000))</f>
        <v/>
      </c>
      <c r="TL30">
        <f>IF($B30=0,1000000000,IF(INDEX('calcA'!$D$60:$EQ$99,$B30,137)*IF($W30=1,IH30+AEW30,IH30)=1,IF(AND($E30=2,IF($W30=1,AKL30,NW30)=0),1000000000,IF($V30=1,INDEX('calcA'!$D$130:$EQ$169,$B30,137)+IF(AND($E30=1,NW30=0),25,0),INDEX('calcA'!EJ$110:EJ$114,$F30+1)+IF(AND($E30=1,NW30=0),1000,0)+IF($H30=1,INDEX('calcA'!$D$180:$EQ$219,$B30,137)*500,0)-IF(AND('calcA'!EI$117=1,ZG30&gt;0),300,0)-IF(AND($U30=1,'calcA'!EJ$117=1,II30=0),300,0))),1000000000))</f>
        <v/>
      </c>
      <c r="TM30">
        <f>IF($B30=0,1000000000,IF(INDEX('calcA'!$D$60:$EQ$99,$B30,138)*IF($W30=1,II30+AEX30,II30)=1,IF(AND($E30=2,IF($W30=1,AKM30,NX30)=0),1000000000,IF($V30=1,INDEX('calcA'!$D$130:$EQ$169,$B30,138)+IF(AND($E30=1,NX30=0),25,0),INDEX('calcA'!EK$110:EK$114,$F30+1)+IF(AND($E30=1,NX30=0),1000,0)+IF($H30=1,INDEX('calcA'!$D$180:$EQ$219,$B30,138)*500,0)-IF(AND('calcA'!EJ$117=1,ZH30&gt;0),300,0)-IF(AND($U30=1,'calcA'!EK$117=1,IJ30=0),300,0))),1000000000))</f>
        <v/>
      </c>
      <c r="TN30">
        <f>IF($B30=0,1000000000,IF(INDEX('calcA'!$D$60:$EQ$99,$B30,139)*IF($W30=1,IJ30+AEY30,IJ30)=1,IF(AND($E30=2,IF($W30=1,AKN30,NY30)=0),1000000000,IF($V30=1,INDEX('calcA'!$D$130:$EQ$169,$B30,139)+IF(AND($E30=1,NY30=0),25,0),INDEX('calcA'!EL$110:EL$114,$F30+1)+IF(AND($E30=1,NY30=0),1000,0)+IF($H30=1,INDEX('calcA'!$D$180:$EQ$219,$B30,139)*500,0)-IF(AND('calcA'!EK$117=1,ZI30&gt;0),300,0)-IF(AND($U30=1,'calcA'!EL$117=1,IK30=0),300,0))),1000000000))</f>
        <v/>
      </c>
      <c r="TO30">
        <f>IF($B30=0,1000000000,IF(INDEX('calcA'!$D$60:$EQ$99,$B30,140)*IF($W30=1,IK30+AEZ30,IK30)=1,IF(AND($E30=2,IF($W30=1,AKO30,NZ30)=0),1000000000,IF($V30=1,INDEX('calcA'!$D$130:$EQ$169,$B30,140)+IF(AND($E30=1,NZ30=0),25,0),INDEX('calcA'!EM$110:EM$114,$F30+1)+IF(AND($E30=1,NZ30=0),1000,0)+IF($H30=1,INDEX('calcA'!$D$180:$EQ$219,$B30,140)*500,0)-IF(AND('calcA'!EL$117=1,ZJ30&gt;0),300,0)-IF(AND($U30=1,'calcA'!EM$117=1,IL30=0),300,0))),1000000000))</f>
        <v/>
      </c>
      <c r="TP30">
        <f>IF($B30=0,1000000000,IF(INDEX('calcA'!$D$60:$EQ$99,$B30,141)*IF($W30=1,IL30+AFA30,IL30)=1,IF(AND($E30=2,IF($W30=1,AKP30,OA30)=0),1000000000,IF($V30=1,INDEX('calcA'!$D$130:$EQ$169,$B30,141)+IF(AND($E30=1,OA30=0),25,0),INDEX('calcA'!EN$110:EN$114,$F30+1)+IF(AND($E30=1,OA30=0),1000,0)+IF($H30=1,INDEX('calcA'!$D$180:$EQ$219,$B30,141)*500,0)-IF(AND('calcA'!EM$117=1,ZK30&gt;0),300,0)-IF(AND($U30=1,'calcA'!EN$117=1,IM30=0),300,0))),1000000000))</f>
        <v/>
      </c>
      <c r="TQ30">
        <f>IF($B30=0,1000000000,IF(INDEX('calcA'!$D$60:$EQ$99,$B30,142)*IF($W30=1,IM30+AFB30,IM30)=1,IF(AND($E30=2,IF($W30=1,AKQ30,OB30)=0),1000000000,IF($V30=1,INDEX('calcA'!$D$130:$EQ$169,$B30,142)+IF(AND($E30=1,OB30=0),25,0),INDEX('calcA'!EO$110:EO$114,$F30+1)+IF(AND($E30=1,OB30=0),1000,0)+IF($H30=1,INDEX('calcA'!$D$180:$EQ$219,$B30,142)*500,0)-IF(AND('calcA'!EN$117=1,ZL30&gt;0),300,0)-IF(AND($U30=1,'calcA'!EO$117=1,IN30=0),300,0))),1000000000))</f>
        <v/>
      </c>
      <c r="TR30">
        <f>IF($B30=0,1000000000,IF(INDEX('calcA'!$D$60:$EQ$99,$B30,143)*IF($W30=1,IN30+AFC30,IN30)=1,IF(AND($E30=2,IF($W30=1,AKR30,OC30)=0),1000000000,IF($V30=1,INDEX('calcA'!$D$130:$EQ$169,$B30,143)+IF(AND($E30=1,OC30=0),25,0),INDEX('calcA'!EP$110:EP$114,$F30+1)+IF(AND($E30=1,OC30=0),1000,0)+IF($H30=1,INDEX('calcA'!$D$180:$EQ$219,$B30,143)*500,0)-IF(AND('calcA'!EO$117=1,ZM30&gt;0),300,0)-IF(AND($U30=1,'calcA'!EP$117=1,IO30=0),300,0))),1000000000))</f>
        <v/>
      </c>
      <c r="TS30">
        <f>IF($B30=0,1000000000,IF(INDEX('calcA'!$D$60:$EQ$99,$B30,144)*IF($W30=1,IO30+AFD30,IO30)=1,IF(AND($E30=2,IF($W30=1,AKS30,OD30)=0),1000000000,IF($V30=1,INDEX('calcA'!$D$130:$EQ$169,$B30,144)+IF(AND($E30=1,OD30=0),25,0),INDEX('calcA'!EQ$110:EQ$114,$F30+1)+IF(AND($E30=1,OD30=0),1000,0)+IF($H30=1,INDEX('calcA'!$D$180:$EQ$219,$B30,144)*500,0)-IF(AND('calcA'!EP$117=1,ZN30&gt;0),300,0))),1000000000))</f>
        <v/>
      </c>
      <c r="UB30">
        <f>UB29+IF(AND($C29=1,$U29=1),1,0)</f>
        <v/>
      </c>
      <c r="UC30">
        <f>UC29+IF(AND($C29=2,$U29=1),1,0)</f>
        <v/>
      </c>
      <c r="UD30">
        <f>UD29+IF(AND($C29=3,$U29=1),1,0)</f>
        <v/>
      </c>
      <c r="UE30">
        <f>UE29+IF(AND($C29=4,$U29=1),1,0)</f>
        <v/>
      </c>
      <c r="UF30">
        <f>UF29+IF(AND($C29=5,$U29=1),1,0)</f>
        <v/>
      </c>
      <c r="UG30">
        <f>UG29+IF(AND($C29=6,$U29=1),1,0)</f>
        <v/>
      </c>
      <c r="UH30">
        <f>UH29+IF(AND($C29=7,$U29=1),1,0)</f>
        <v/>
      </c>
      <c r="UI30">
        <f>UI29+IF(AND($C29=8,$U29=1),1,0)</f>
        <v/>
      </c>
      <c r="UJ30">
        <f>UJ29+IF(AND($C29=9,$U29=1),1,0)</f>
        <v/>
      </c>
      <c r="UK30">
        <f>UK29+IF(AND($C29=10,$U29=1),1,0)</f>
        <v/>
      </c>
      <c r="UL30">
        <f>UL29+IF(AND($C29=11,$U29=1),1,0)</f>
        <v/>
      </c>
      <c r="UM30">
        <f>UM29+IF(AND($C29=12,$U29=1),1,0)</f>
        <v/>
      </c>
      <c r="UN30">
        <f>UN29+IF(AND($C29=13,$U29=1),1,0)</f>
        <v/>
      </c>
      <c r="UO30">
        <f>UO29+IF(AND($C29=14,$U29=1),1,0)</f>
        <v/>
      </c>
      <c r="UP30">
        <f>UP29+IF(AND($C29=15,$U29=1),1,0)</f>
        <v/>
      </c>
      <c r="UQ30">
        <f>UQ29+IF(AND($C29=16,$U29=1),1,0)</f>
        <v/>
      </c>
      <c r="UR30">
        <f>UR29+IF(AND($C29=17,$U29=1),1,0)</f>
        <v/>
      </c>
      <c r="US30">
        <f>US29+IF(AND($C29=18,$U29=1),1,0)</f>
        <v/>
      </c>
      <c r="UT30">
        <f>UT29+IF(AND($C29=19,$U29=1),1,0)</f>
        <v/>
      </c>
      <c r="UU30">
        <f>UU29+IF(AND($C29=20,$U29=1),1,0)</f>
        <v/>
      </c>
      <c r="UV30">
        <f>UV29+IF(AND($C29=21,$U29=1),1,0)</f>
        <v/>
      </c>
      <c r="UW30">
        <f>UW29+IF(AND($C29=22,$U29=1),1,0)</f>
        <v/>
      </c>
      <c r="UX30">
        <f>UX29+IF(AND($C29=23,$U29=1),1,0)</f>
        <v/>
      </c>
      <c r="UY30">
        <f>UY29+IF(AND($C29=24,$U29=1),1,0)</f>
        <v/>
      </c>
      <c r="UZ30">
        <f>UZ29+IF(AND($C29=25,$U29=1),1,0)</f>
        <v/>
      </c>
      <c r="VA30">
        <f>VA29+IF(AND($C29=26,$U29=1),1,0)</f>
        <v/>
      </c>
      <c r="VB30">
        <f>VB29+IF(AND($C29=27,$U29=1),1,0)</f>
        <v/>
      </c>
      <c r="VC30">
        <f>VC29+IF(AND($C29=28,$U29=1),1,0)</f>
        <v/>
      </c>
      <c r="VD30">
        <f>VD29+IF(AND($C29=29,$U29=1),1,0)</f>
        <v/>
      </c>
      <c r="VE30">
        <f>VE29+IF(AND($C29=30,$U29=1),1,0)</f>
        <v/>
      </c>
      <c r="VF30">
        <f>VF29+IF(AND($C29=31,$U29=1),1,0)</f>
        <v/>
      </c>
      <c r="VG30">
        <f>VG29+IF(AND($C29=32,$U29=1),1,0)</f>
        <v/>
      </c>
      <c r="VH30">
        <f>VH29+IF(AND($C29=33,$U29=1),1,0)</f>
        <v/>
      </c>
      <c r="VI30">
        <f>VI29+IF(AND($C29=34,$U29=1),1,0)</f>
        <v/>
      </c>
      <c r="VJ30">
        <f>VJ29+IF(AND($C29=35,$U29=1),1,0)</f>
        <v/>
      </c>
      <c r="VK30">
        <f>VK29+IF(AND($C29=36,$U29=1),1,0)</f>
        <v/>
      </c>
      <c r="VL30">
        <f>VL29+IF(AND($C29=37,$U29=1),1,0)</f>
        <v/>
      </c>
      <c r="VM30">
        <f>VM29+IF(AND($C29=38,$U29=1),1,0)</f>
        <v/>
      </c>
      <c r="VN30">
        <f>VN29+IF(AND($C29=39,$U29=1),1,0)</f>
        <v/>
      </c>
      <c r="VO30">
        <f>VO29+IF(AND($C29=40,$U29=1),1,0)</f>
        <v/>
      </c>
      <c r="VP30">
        <f>VP29+IF(AND($C29=41,$U29=1),1,0)</f>
        <v/>
      </c>
      <c r="VQ30">
        <f>VQ29+IF(AND($C29=42,$U29=1),1,0)</f>
        <v/>
      </c>
      <c r="VR30">
        <f>VR29+IF(AND($C29=43,$U29=1),1,0)</f>
        <v/>
      </c>
      <c r="VS30">
        <f>VS29+IF(AND($C29=44,$U29=1),1,0)</f>
        <v/>
      </c>
      <c r="VT30">
        <f>VT29+IF(AND($C29=45,$U29=1),1,0)</f>
        <v/>
      </c>
      <c r="VU30">
        <f>VU29+IF(AND($C29=46,$U29=1),1,0)</f>
        <v/>
      </c>
      <c r="VV30">
        <f>VV29+IF(AND($C29=47,$U29=1),1,0)</f>
        <v/>
      </c>
      <c r="VW30">
        <f>VW29+IF(AND($C29=48,$U29=1),1,0)</f>
        <v/>
      </c>
      <c r="VX30">
        <f>VX29+IF(AND($C29=49,$U29=1),1,0)</f>
        <v/>
      </c>
      <c r="VY30">
        <f>VY29+IF(AND($C29=50,$U29=1),1,0)</f>
        <v/>
      </c>
      <c r="VZ30">
        <f>VZ29+IF(AND($C29=51,$U29=1),1,0)</f>
        <v/>
      </c>
      <c r="WA30">
        <f>WA29+IF(AND($C29=52,$U29=1),1,0)</f>
        <v/>
      </c>
      <c r="WB30">
        <f>WB29+IF(AND($C29=53,$U29=1),1,0)</f>
        <v/>
      </c>
      <c r="WC30">
        <f>WC29+IF(AND($C29=54,$U29=1),1,0)</f>
        <v/>
      </c>
      <c r="WD30">
        <f>WD29+IF(AND($C29=55,$U29=1),1,0)</f>
        <v/>
      </c>
      <c r="WE30">
        <f>WE29+IF(AND($C29=56,$U29=1),1,0)</f>
        <v/>
      </c>
      <c r="WF30">
        <f>WF29+IF(AND($C29=57,$U29=1),1,0)</f>
        <v/>
      </c>
      <c r="WG30">
        <f>WG29+IF(AND($C29=58,$U29=1),1,0)</f>
        <v/>
      </c>
      <c r="WH30">
        <f>WH29+IF(AND($C29=59,$U29=1),1,0)</f>
        <v/>
      </c>
      <c r="WI30">
        <f>WI29+IF(AND($C29=60,$U29=1),1,0)</f>
        <v/>
      </c>
      <c r="WJ30">
        <f>WJ29+IF(AND($C29=61,$U29=1),1,0)</f>
        <v/>
      </c>
      <c r="WK30">
        <f>WK29+IF(AND($C29=62,$U29=1),1,0)</f>
        <v/>
      </c>
      <c r="WL30">
        <f>WL29+IF(AND($C29=63,$U29=1),1,0)</f>
        <v/>
      </c>
      <c r="WM30">
        <f>WM29+IF(AND($C29=64,$U29=1),1,0)</f>
        <v/>
      </c>
      <c r="WN30">
        <f>WN29+IF(AND($C29=65,$U29=1),1,0)</f>
        <v/>
      </c>
      <c r="WO30">
        <f>WO29+IF(AND($C29=66,$U29=1),1,0)</f>
        <v/>
      </c>
      <c r="WP30">
        <f>WP29+IF(AND($C29=67,$U29=1),1,0)</f>
        <v/>
      </c>
      <c r="WQ30">
        <f>WQ29+IF(AND($C29=68,$U29=1),1,0)</f>
        <v/>
      </c>
      <c r="WR30">
        <f>WR29+IF(AND($C29=69,$U29=1),1,0)</f>
        <v/>
      </c>
      <c r="WS30">
        <f>WS29+IF(AND($C29=70,$U29=1),1,0)</f>
        <v/>
      </c>
      <c r="WT30">
        <f>WT29+IF(AND($C29=71,$U29=1),1,0)</f>
        <v/>
      </c>
      <c r="WU30">
        <f>WU29+IF(AND($C29=72,$U29=1),1,0)</f>
        <v/>
      </c>
      <c r="WV30">
        <f>WV29+IF(AND($C29=73,$U29=1),1,0)</f>
        <v/>
      </c>
      <c r="WW30">
        <f>WW29+IF(AND($C29=74,$U29=1),1,0)</f>
        <v/>
      </c>
      <c r="WX30">
        <f>WX29+IF(AND($C29=75,$U29=1),1,0)</f>
        <v/>
      </c>
      <c r="WY30">
        <f>WY29+IF(AND($C29=76,$U29=1),1,0)</f>
        <v/>
      </c>
      <c r="WZ30">
        <f>WZ29+IF(AND($C29=77,$U29=1),1,0)</f>
        <v/>
      </c>
      <c r="XA30">
        <f>XA29+IF(AND($C29=78,$U29=1),1,0)</f>
        <v/>
      </c>
      <c r="XB30">
        <f>XB29+IF(AND($C29=79,$U29=1),1,0)</f>
        <v/>
      </c>
      <c r="XC30">
        <f>XC29+IF(AND($C29=80,$U29=1),1,0)</f>
        <v/>
      </c>
      <c r="XD30">
        <f>XD29+IF(AND($C29=81,$U29=1),1,0)</f>
        <v/>
      </c>
      <c r="XE30">
        <f>XE29+IF(AND($C29=82,$U29=1),1,0)</f>
        <v/>
      </c>
      <c r="XF30">
        <f>XF29+IF(AND($C29=83,$U29=1),1,0)</f>
        <v/>
      </c>
      <c r="XG30">
        <f>XG29+IF(AND($C29=84,$U29=1),1,0)</f>
        <v/>
      </c>
      <c r="XH30">
        <f>XH29+IF(AND($C29=85,$U29=1),1,0)</f>
        <v/>
      </c>
      <c r="XI30">
        <f>XI29+IF(AND($C29=86,$U29=1),1,0)</f>
        <v/>
      </c>
      <c r="XJ30">
        <f>XJ29+IF(AND($C29=87,$U29=1),1,0)</f>
        <v/>
      </c>
      <c r="XK30">
        <f>XK29+IF(AND($C29=88,$U29=1),1,0)</f>
        <v/>
      </c>
      <c r="XL30">
        <f>XL29+IF(AND($C29=89,$U29=1),1,0)</f>
        <v/>
      </c>
      <c r="XM30">
        <f>XM29+IF(AND($C29=90,$U29=1),1,0)</f>
        <v/>
      </c>
      <c r="XN30">
        <f>XN29+IF(AND($C29=91,$U29=1),1,0)</f>
        <v/>
      </c>
      <c r="XO30">
        <f>XO29+IF(AND($C29=92,$U29=1),1,0)</f>
        <v/>
      </c>
      <c r="XP30">
        <f>XP29+IF(AND($C29=93,$U29=1),1,0)</f>
        <v/>
      </c>
      <c r="XQ30">
        <f>XQ29+IF(AND($C29=94,$U29=1),1,0)</f>
        <v/>
      </c>
      <c r="XR30">
        <f>XR29+IF(AND($C29=95,$U29=1),1,0)</f>
        <v/>
      </c>
      <c r="XS30">
        <f>XS29+IF(AND($C29=96,$U29=1),1,0)</f>
        <v/>
      </c>
      <c r="XT30">
        <f>XT29+IF(AND($C29=97,$U29=1),1,0)</f>
        <v/>
      </c>
      <c r="XU30">
        <f>XU29+IF(AND($C29=98,$U29=1),1,0)</f>
        <v/>
      </c>
      <c r="XV30">
        <f>XV29+IF(AND($C29=99,$U29=1),1,0)</f>
        <v/>
      </c>
      <c r="XW30">
        <f>XW29+IF(AND($C29=100,$U29=1),1,0)</f>
        <v/>
      </c>
      <c r="XX30">
        <f>XX29+IF(AND($C29=101,$U29=1),1,0)</f>
        <v/>
      </c>
      <c r="XY30">
        <f>XY29+IF(AND($C29=102,$U29=1),1,0)</f>
        <v/>
      </c>
      <c r="XZ30">
        <f>XZ29+IF(AND($C29=103,$U29=1),1,0)</f>
        <v/>
      </c>
      <c r="YA30">
        <f>YA29+IF(AND($C29=104,$U29=1),1,0)</f>
        <v/>
      </c>
      <c r="YB30">
        <f>YB29+IF(AND($C29=105,$U29=1),1,0)</f>
        <v/>
      </c>
      <c r="YC30">
        <f>YC29+IF(AND($C29=106,$U29=1),1,0)</f>
        <v/>
      </c>
      <c r="YD30">
        <f>YD29+IF(AND($C29=107,$U29=1),1,0)</f>
        <v/>
      </c>
      <c r="YE30">
        <f>YE29+IF(AND($C29=108,$U29=1),1,0)</f>
        <v/>
      </c>
      <c r="YF30">
        <f>YF29+IF(AND($C29=109,$U29=1),1,0)</f>
        <v/>
      </c>
      <c r="YG30">
        <f>YG29+IF(AND($C29=110,$U29=1),1,0)</f>
        <v/>
      </c>
      <c r="YH30">
        <f>YH29+IF(AND($C29=111,$U29=1),1,0)</f>
        <v/>
      </c>
      <c r="YI30">
        <f>YI29+IF(AND($C29=112,$U29=1),1,0)</f>
        <v/>
      </c>
      <c r="YJ30">
        <f>YJ29+IF(AND($C29=113,$U29=1),1,0)</f>
        <v/>
      </c>
      <c r="YK30">
        <f>YK29+IF(AND($C29=114,$U29=1),1,0)</f>
        <v/>
      </c>
      <c r="YL30">
        <f>YL29+IF(AND($C29=115,$U29=1),1,0)</f>
        <v/>
      </c>
      <c r="YM30">
        <f>YM29+IF(AND($C29=116,$U29=1),1,0)</f>
        <v/>
      </c>
      <c r="YN30">
        <f>YN29+IF(AND($C29=117,$U29=1),1,0)</f>
        <v/>
      </c>
      <c r="YO30">
        <f>YO29+IF(AND($C29=118,$U29=1),1,0)</f>
        <v/>
      </c>
      <c r="YP30">
        <f>YP29+IF(AND($C29=119,$U29=1),1,0)</f>
        <v/>
      </c>
      <c r="YQ30">
        <f>YQ29+IF(AND($C29=120,$U29=1),1,0)</f>
        <v/>
      </c>
      <c r="YR30">
        <f>YR29+IF(AND($C29=121,$U29=1),1,0)</f>
        <v/>
      </c>
      <c r="YS30">
        <f>YS29+IF(AND($C29=122,$U29=1),1,0)</f>
        <v/>
      </c>
      <c r="YT30">
        <f>YT29+IF(AND($C29=123,$U29=1),1,0)</f>
        <v/>
      </c>
      <c r="YU30">
        <f>YU29+IF(AND($C29=124,$U29=1),1,0)</f>
        <v/>
      </c>
      <c r="YV30">
        <f>YV29+IF(AND($C29=125,$U29=1),1,0)</f>
        <v/>
      </c>
      <c r="YW30">
        <f>YW29+IF(AND($C29=126,$U29=1),1,0)</f>
        <v/>
      </c>
      <c r="YX30">
        <f>YX29+IF(AND($C29=127,$U29=1),1,0)</f>
        <v/>
      </c>
      <c r="YY30">
        <f>YY29+IF(AND($C29=128,$U29=1),1,0)</f>
        <v/>
      </c>
      <c r="YZ30">
        <f>YZ29+IF(AND($C29=129,$U29=1),1,0)</f>
        <v/>
      </c>
      <c r="ZA30">
        <f>ZA29+IF(AND($C29=130,$U29=1),1,0)</f>
        <v/>
      </c>
      <c r="ZB30">
        <f>ZB29+IF(AND($C29=131,$U29=1),1,0)</f>
        <v/>
      </c>
      <c r="ZC30">
        <f>ZC29+IF(AND($C29=132,$U29=1),1,0)</f>
        <v/>
      </c>
      <c r="ZD30">
        <f>ZD29+IF(AND($C29=133,$U29=1),1,0)</f>
        <v/>
      </c>
      <c r="ZE30">
        <f>ZE29+IF(AND($C29=134,$U29=1),1,0)</f>
        <v/>
      </c>
      <c r="ZF30">
        <f>ZF29+IF(AND($C29=135,$U29=1),1,0)</f>
        <v/>
      </c>
      <c r="ZG30">
        <f>ZG29+IF(AND($C29=136,$U29=1),1,0)</f>
        <v/>
      </c>
      <c r="ZH30">
        <f>ZH29+IF(AND($C29=137,$U29=1),1,0)</f>
        <v/>
      </c>
      <c r="ZI30">
        <f>ZI29+IF(AND($C29=138,$U29=1),1,0)</f>
        <v/>
      </c>
      <c r="ZJ30">
        <f>ZJ29+IF(AND($C29=139,$U29=1),1,0)</f>
        <v/>
      </c>
      <c r="ZK30">
        <f>ZK29+IF(AND($C29=140,$U29=1),1,0)</f>
        <v/>
      </c>
      <c r="ZL30">
        <f>ZL29+IF(AND($C29=141,$U29=1),1,0)</f>
        <v/>
      </c>
      <c r="ZM30">
        <f>ZM29+IF(AND($C29=142,$U29=1),1,0)</f>
        <v/>
      </c>
      <c r="ZN30">
        <f>ZN29+IF(AND($C29=143,$U29=1),1,0)</f>
        <v/>
      </c>
      <c r="ZO30">
        <f>ZO29+IF(AND($C29=144,$U29=1),1,0)</f>
        <v/>
      </c>
      <c r="ZQ30">
        <f>IF($C29=1,0,ZQ29+IF(AND($G29=1,$E29=1),1,0))</f>
        <v/>
      </c>
      <c r="ZR30">
        <f>IF($C29=2,0,ZR29+IF(AND($G29=2,$E29=1),1,0))</f>
        <v/>
      </c>
      <c r="ZS30">
        <f>IF($C29=3,0,ZS29+IF(AND($G29=3,$E29=1),1,0))</f>
        <v/>
      </c>
      <c r="ZT30">
        <f>IF($C29=4,0,ZT29+IF(AND($G29=4,$E29=1),1,0))</f>
        <v/>
      </c>
      <c r="ZU30">
        <f>IF($C29=5,0,ZU29+IF(AND($G29=5,$E29=1),1,0))</f>
        <v/>
      </c>
      <c r="ZV30">
        <f>IF($C29=6,0,ZV29+IF(AND($G29=6,$E29=1),1,0))</f>
        <v/>
      </c>
      <c r="ZW30">
        <f>IF($C29=7,0,ZW29+IF(AND($G29=7,$E29=1),1,0))</f>
        <v/>
      </c>
      <c r="ZX30">
        <f>IF($C29=8,0,ZX29+IF(AND($G29=8,$E29=1),1,0))</f>
        <v/>
      </c>
      <c r="ZY30">
        <f>IF($C29=9,0,ZY29+IF(AND($G29=9,$E29=1),1,0))</f>
        <v/>
      </c>
      <c r="ZZ30">
        <f>IF($C29=10,0,ZZ29+IF(AND($G29=10,$E29=1),1,0))</f>
        <v/>
      </c>
      <c r="AAA30">
        <f>IF($C29=11,0,AAA29+IF(AND($G29=11,$E29=1),1,0))</f>
        <v/>
      </c>
      <c r="AAB30">
        <f>IF($C29=12,0,AAB29+IF(AND($G29=12,$E29=1),1,0))</f>
        <v/>
      </c>
      <c r="AAC30">
        <f>IF($C29=13,0,AAC29+IF(AND($G29=13,$E29=1),1,0))</f>
        <v/>
      </c>
      <c r="AAD30">
        <f>IF($C29=14,0,AAD29+IF(AND($G29=14,$E29=1),1,0))</f>
        <v/>
      </c>
      <c r="AAE30">
        <f>IF($C29=15,0,AAE29+IF(AND($G29=15,$E29=1),1,0))</f>
        <v/>
      </c>
      <c r="AAF30">
        <f>IF($C29=16,0,AAF29+IF(AND($G29=16,$E29=1),1,0))</f>
        <v/>
      </c>
      <c r="AAG30">
        <f>IF($C29=17,0,AAG29+IF(AND($G29=17,$E29=1),1,0))</f>
        <v/>
      </c>
      <c r="AAH30">
        <f>IF($C29=18,0,AAH29+IF(AND($G29=18,$E29=1),1,0))</f>
        <v/>
      </c>
      <c r="AAI30">
        <f>IF($C29=19,0,AAI29+IF(AND($G29=19,$E29=1),1,0))</f>
        <v/>
      </c>
      <c r="AAJ30">
        <f>IF($C29=20,0,AAJ29+IF(AND($G29=20,$E29=1),1,0))</f>
        <v/>
      </c>
      <c r="AAK30">
        <f>IF($C29=21,0,AAK29+IF(AND($G29=21,$E29=1),1,0))</f>
        <v/>
      </c>
      <c r="AAL30">
        <f>IF($C29=22,0,AAL29+IF(AND($G29=22,$E29=1),1,0))</f>
        <v/>
      </c>
      <c r="AAM30">
        <f>IF($C29=23,0,AAM29+IF(AND($G29=23,$E29=1),1,0))</f>
        <v/>
      </c>
      <c r="AAN30">
        <f>IF($C29=24,0,AAN29+IF(AND($G29=24,$E29=1),1,0))</f>
        <v/>
      </c>
      <c r="AAO30">
        <f>IF($C29=25,0,AAO29+IF(AND($G29=25,$E29=1),1,0))</f>
        <v/>
      </c>
      <c r="AAP30">
        <f>IF($C29=26,0,AAP29+IF(AND($G29=26,$E29=1),1,0))</f>
        <v/>
      </c>
      <c r="AAQ30">
        <f>IF($C29=27,0,AAQ29+IF(AND($G29=27,$E29=1),1,0))</f>
        <v/>
      </c>
      <c r="AAR30">
        <f>IF($C29=28,0,AAR29+IF(AND($G29=28,$E29=1),1,0))</f>
        <v/>
      </c>
      <c r="AAS30">
        <f>IF($C29=29,0,AAS29+IF(AND($G29=29,$E29=1),1,0))</f>
        <v/>
      </c>
      <c r="AAT30">
        <f>IF($C29=30,0,AAT29+IF(AND($G29=30,$E29=1),1,0))</f>
        <v/>
      </c>
      <c r="AAU30">
        <f>IF($C29=31,0,AAU29+IF(AND($G29=31,$E29=1),1,0))</f>
        <v/>
      </c>
      <c r="AAV30">
        <f>IF($C29=32,0,AAV29+IF(AND($G29=32,$E29=1),1,0))</f>
        <v/>
      </c>
      <c r="AAW30">
        <f>IF($C29=33,0,AAW29+IF(AND($G29=33,$E29=1),1,0))</f>
        <v/>
      </c>
      <c r="AAX30">
        <f>IF($C29=34,0,AAX29+IF(AND($G29=34,$E29=1),1,0))</f>
        <v/>
      </c>
      <c r="AAY30">
        <f>IF($C29=35,0,AAY29+IF(AND($G29=35,$E29=1),1,0))</f>
        <v/>
      </c>
      <c r="AAZ30">
        <f>IF($C29=36,0,AAZ29+IF(AND($G29=36,$E29=1),1,0))</f>
        <v/>
      </c>
      <c r="ABA30">
        <f>IF($C29=37,0,ABA29+IF(AND($G29=37,$E29=1),1,0))</f>
        <v/>
      </c>
      <c r="ABB30">
        <f>IF($C29=38,0,ABB29+IF(AND($G29=38,$E29=1),1,0))</f>
        <v/>
      </c>
      <c r="ABC30">
        <f>IF($C29=39,0,ABC29+IF(AND($G29=39,$E29=1),1,0))</f>
        <v/>
      </c>
      <c r="ABD30">
        <f>IF($C29=40,0,ABD29+IF(AND($G29=40,$E29=1),1,0))</f>
        <v/>
      </c>
      <c r="ABE30">
        <f>IF($C29=41,0,ABE29+IF(AND($G29=41,$E29=1),1,0))</f>
        <v/>
      </c>
      <c r="ABF30">
        <f>IF($C29=42,0,ABF29+IF(AND($G29=42,$E29=1),1,0))</f>
        <v/>
      </c>
      <c r="ABG30">
        <f>IF($C29=43,0,ABG29+IF(AND($G29=43,$E29=1),1,0))</f>
        <v/>
      </c>
      <c r="ABH30">
        <f>IF($C29=44,0,ABH29+IF(AND($G29=44,$E29=1),1,0))</f>
        <v/>
      </c>
      <c r="ABI30">
        <f>IF($C29=45,0,ABI29+IF(AND($G29=45,$E29=1),1,0))</f>
        <v/>
      </c>
      <c r="ABJ30">
        <f>IF($C29=46,0,ABJ29+IF(AND($G29=46,$E29=1),1,0))</f>
        <v/>
      </c>
      <c r="ABK30">
        <f>IF($C29=47,0,ABK29+IF(AND($G29=47,$E29=1),1,0))</f>
        <v/>
      </c>
      <c r="ABL30">
        <f>IF($C29=48,0,ABL29+IF(AND($G29=48,$E29=1),1,0))</f>
        <v/>
      </c>
      <c r="ABM30">
        <f>IF($C29=49,0,ABM29+IF(AND($G29=49,$E29=1),1,0))</f>
        <v/>
      </c>
      <c r="ABN30">
        <f>IF($C29=50,0,ABN29+IF(AND($G29=50,$E29=1),1,0))</f>
        <v/>
      </c>
      <c r="ABO30">
        <f>IF($C29=51,0,ABO29+IF(AND($G29=51,$E29=1),1,0))</f>
        <v/>
      </c>
      <c r="ABP30">
        <f>IF($C29=52,0,ABP29+IF(AND($G29=52,$E29=1),1,0))</f>
        <v/>
      </c>
      <c r="ABQ30">
        <f>IF($C29=53,0,ABQ29+IF(AND($G29=53,$E29=1),1,0))</f>
        <v/>
      </c>
      <c r="ABR30">
        <f>IF($C29=54,0,ABR29+IF(AND($G29=54,$E29=1),1,0))</f>
        <v/>
      </c>
      <c r="ABS30">
        <f>IF($C29=55,0,ABS29+IF(AND($G29=55,$E29=1),1,0))</f>
        <v/>
      </c>
      <c r="ABT30">
        <f>IF($C29=56,0,ABT29+IF(AND($G29=56,$E29=1),1,0))</f>
        <v/>
      </c>
      <c r="ABU30">
        <f>IF($C29=57,0,ABU29+IF(AND($G29=57,$E29=1),1,0))</f>
        <v/>
      </c>
      <c r="ABV30">
        <f>IF($C29=58,0,ABV29+IF(AND($G29=58,$E29=1),1,0))</f>
        <v/>
      </c>
      <c r="ABW30">
        <f>IF($C29=59,0,ABW29+IF(AND($G29=59,$E29=1),1,0))</f>
        <v/>
      </c>
      <c r="ABX30">
        <f>IF($C29=60,0,ABX29+IF(AND($G29=60,$E29=1),1,0))</f>
        <v/>
      </c>
      <c r="ABY30">
        <f>IF($C29=61,0,ABY29+IF(AND($G29=61,$E29=1),1,0))</f>
        <v/>
      </c>
      <c r="ABZ30">
        <f>IF($C29=62,0,ABZ29+IF(AND($G29=62,$E29=1),1,0))</f>
        <v/>
      </c>
      <c r="ACA30">
        <f>IF($C29=63,0,ACA29+IF(AND($G29=63,$E29=1),1,0))</f>
        <v/>
      </c>
      <c r="ACB30">
        <f>IF($C29=64,0,ACB29+IF(AND($G29=64,$E29=1),1,0))</f>
        <v/>
      </c>
      <c r="ACC30">
        <f>IF($C29=65,0,ACC29+IF(AND($G29=65,$E29=1),1,0))</f>
        <v/>
      </c>
      <c r="ACD30">
        <f>IF($C29=66,0,ACD29+IF(AND($G29=66,$E29=1),1,0))</f>
        <v/>
      </c>
      <c r="ACE30">
        <f>IF($C29=67,0,ACE29+IF(AND($G29=67,$E29=1),1,0))</f>
        <v/>
      </c>
      <c r="ACF30">
        <f>IF($C29=68,0,ACF29+IF(AND($G29=68,$E29=1),1,0))</f>
        <v/>
      </c>
      <c r="ACG30">
        <f>IF($C29=69,0,ACG29+IF(AND($G29=69,$E29=1),1,0))</f>
        <v/>
      </c>
      <c r="ACH30">
        <f>IF($C29=70,0,ACH29+IF(AND($G29=70,$E29=1),1,0))</f>
        <v/>
      </c>
      <c r="ACI30">
        <f>IF($C29=71,0,ACI29+IF(AND($G29=71,$E29=1),1,0))</f>
        <v/>
      </c>
      <c r="ACJ30">
        <f>IF($C29=72,0,ACJ29+IF(AND($G29=72,$E29=1),1,0))</f>
        <v/>
      </c>
      <c r="ACK30">
        <f>IF($C29=73,0,ACK29+IF(AND($G29=73,$E29=1),1,0))</f>
        <v/>
      </c>
      <c r="ACL30">
        <f>IF($C29=74,0,ACL29+IF(AND($G29=74,$E29=1),1,0))</f>
        <v/>
      </c>
      <c r="ACM30">
        <f>IF($C29=75,0,ACM29+IF(AND($G29=75,$E29=1),1,0))</f>
        <v/>
      </c>
      <c r="ACN30">
        <f>IF($C29=76,0,ACN29+IF(AND($G29=76,$E29=1),1,0))</f>
        <v/>
      </c>
      <c r="ACO30">
        <f>IF($C29=77,0,ACO29+IF(AND($G29=77,$E29=1),1,0))</f>
        <v/>
      </c>
      <c r="ACP30">
        <f>IF($C29=78,0,ACP29+IF(AND($G29=78,$E29=1),1,0))</f>
        <v/>
      </c>
      <c r="ACQ30">
        <f>IF($C29=79,0,ACQ29+IF(AND($G29=79,$E29=1),1,0))</f>
        <v/>
      </c>
      <c r="ACR30">
        <f>IF($C29=80,0,ACR29+IF(AND($G29=80,$E29=1),1,0))</f>
        <v/>
      </c>
      <c r="ACS30">
        <f>IF($C29=81,0,ACS29+IF(AND($G29=81,$E29=1),1,0))</f>
        <v/>
      </c>
      <c r="ACT30">
        <f>IF($C29=82,0,ACT29+IF(AND($G29=82,$E29=1),1,0))</f>
        <v/>
      </c>
      <c r="ACU30">
        <f>IF($C29=83,0,ACU29+IF(AND($G29=83,$E29=1),1,0))</f>
        <v/>
      </c>
      <c r="ACV30">
        <f>IF($C29=84,0,ACV29+IF(AND($G29=84,$E29=1),1,0))</f>
        <v/>
      </c>
      <c r="ACW30">
        <f>IF($C29=85,0,ACW29+IF(AND($G29=85,$E29=1),1,0))</f>
        <v/>
      </c>
      <c r="ACX30">
        <f>IF($C29=86,0,ACX29+IF(AND($G29=86,$E29=1),1,0))</f>
        <v/>
      </c>
      <c r="ACY30">
        <f>IF($C29=87,0,ACY29+IF(AND($G29=87,$E29=1),1,0))</f>
        <v/>
      </c>
      <c r="ACZ30">
        <f>IF($C29=88,0,ACZ29+IF(AND($G29=88,$E29=1),1,0))</f>
        <v/>
      </c>
      <c r="ADA30">
        <f>IF($C29=89,0,ADA29+IF(AND($G29=89,$E29=1),1,0))</f>
        <v/>
      </c>
      <c r="ADB30">
        <f>IF($C29=90,0,ADB29+IF(AND($G29=90,$E29=1),1,0))</f>
        <v/>
      </c>
      <c r="ADC30">
        <f>IF($C29=91,0,ADC29+IF(AND($G29=91,$E29=1),1,0))</f>
        <v/>
      </c>
      <c r="ADD30">
        <f>IF($C29=92,0,ADD29+IF(AND($G29=92,$E29=1),1,0))</f>
        <v/>
      </c>
      <c r="ADE30">
        <f>IF($C29=93,0,ADE29+IF(AND($G29=93,$E29=1),1,0))</f>
        <v/>
      </c>
      <c r="ADF30">
        <f>IF($C29=94,0,ADF29+IF(AND($G29=94,$E29=1),1,0))</f>
        <v/>
      </c>
      <c r="ADG30">
        <f>IF($C29=95,0,ADG29+IF(AND($G29=95,$E29=1),1,0))</f>
        <v/>
      </c>
      <c r="ADH30">
        <f>IF($C29=96,0,ADH29+IF(AND($G29=96,$E29=1),1,0))</f>
        <v/>
      </c>
      <c r="ADI30">
        <f>IF($C29=97,0,ADI29+IF(AND($G29=97,$E29=1),1,0))</f>
        <v/>
      </c>
      <c r="ADJ30">
        <f>IF($C29=98,0,ADJ29+IF(AND($G29=98,$E29=1),1,0))</f>
        <v/>
      </c>
      <c r="ADK30">
        <f>IF($C29=99,0,ADK29+IF(AND($G29=99,$E29=1),1,0))</f>
        <v/>
      </c>
      <c r="ADL30">
        <f>IF($C29=100,0,ADL29+IF(AND($G29=100,$E29=1),1,0))</f>
        <v/>
      </c>
      <c r="ADM30">
        <f>IF($C29=101,0,ADM29+IF(AND($G29=101,$E29=1),1,0))</f>
        <v/>
      </c>
      <c r="ADN30">
        <f>IF($C29=102,0,ADN29+IF(AND($G29=102,$E29=1),1,0))</f>
        <v/>
      </c>
      <c r="ADO30">
        <f>IF($C29=103,0,ADO29+IF(AND($G29=103,$E29=1),1,0))</f>
        <v/>
      </c>
      <c r="ADP30">
        <f>IF($C29=104,0,ADP29+IF(AND($G29=104,$E29=1),1,0))</f>
        <v/>
      </c>
      <c r="ADQ30">
        <f>IF($C29=105,0,ADQ29+IF(AND($G29=105,$E29=1),1,0))</f>
        <v/>
      </c>
      <c r="ADR30">
        <f>IF($C29=106,0,ADR29+IF(AND($G29=106,$E29=1),1,0))</f>
        <v/>
      </c>
      <c r="ADS30">
        <f>IF($C29=107,0,ADS29+IF(AND($G29=107,$E29=1),1,0))</f>
        <v/>
      </c>
      <c r="ADT30">
        <f>IF($C29=108,0,ADT29+IF(AND($G29=108,$E29=1),1,0))</f>
        <v/>
      </c>
      <c r="ADU30">
        <f>IF($C29=109,0,ADU29+IF(AND($G29=109,$E29=1),1,0))</f>
        <v/>
      </c>
      <c r="ADV30">
        <f>IF($C29=110,0,ADV29+IF(AND($G29=110,$E29=1),1,0))</f>
        <v/>
      </c>
      <c r="ADW30">
        <f>IF($C29=111,0,ADW29+IF(AND($G29=111,$E29=1),1,0))</f>
        <v/>
      </c>
      <c r="ADX30">
        <f>IF($C29=112,0,ADX29+IF(AND($G29=112,$E29=1),1,0))</f>
        <v/>
      </c>
      <c r="ADY30">
        <f>IF($C29=113,0,ADY29+IF(AND($G29=113,$E29=1),1,0))</f>
        <v/>
      </c>
      <c r="ADZ30">
        <f>IF($C29=114,0,ADZ29+IF(AND($G29=114,$E29=1),1,0))</f>
        <v/>
      </c>
      <c r="AEA30">
        <f>IF($C29=115,0,AEA29+IF(AND($G29=115,$E29=1),1,0))</f>
        <v/>
      </c>
      <c r="AEB30">
        <f>IF($C29=116,0,AEB29+IF(AND($G29=116,$E29=1),1,0))</f>
        <v/>
      </c>
      <c r="AEC30">
        <f>IF($C29=117,0,AEC29+IF(AND($G29=117,$E29=1),1,0))</f>
        <v/>
      </c>
      <c r="AED30">
        <f>IF($C29=118,0,AED29+IF(AND($G29=118,$E29=1),1,0))</f>
        <v/>
      </c>
      <c r="AEE30">
        <f>IF($C29=119,0,AEE29+IF(AND($G29=119,$E29=1),1,0))</f>
        <v/>
      </c>
      <c r="AEF30">
        <f>IF($C29=120,0,AEF29+IF(AND($G29=120,$E29=1),1,0))</f>
        <v/>
      </c>
      <c r="AEG30">
        <f>IF($C29=121,0,AEG29+IF(AND($G29=121,$E29=1),1,0))</f>
        <v/>
      </c>
      <c r="AEH30">
        <f>IF($C29=122,0,AEH29+IF(AND($G29=122,$E29=1),1,0))</f>
        <v/>
      </c>
      <c r="AEI30">
        <f>IF($C29=123,0,AEI29+IF(AND($G29=123,$E29=1),1,0))</f>
        <v/>
      </c>
      <c r="AEJ30">
        <f>IF($C29=124,0,AEJ29+IF(AND($G29=124,$E29=1),1,0))</f>
        <v/>
      </c>
      <c r="AEK30">
        <f>IF($C29=125,0,AEK29+IF(AND($G29=125,$E29=1),1,0))</f>
        <v/>
      </c>
      <c r="AEL30">
        <f>IF($C29=126,0,AEL29+IF(AND($G29=126,$E29=1),1,0))</f>
        <v/>
      </c>
      <c r="AEM30">
        <f>IF($C29=127,0,AEM29+IF(AND($G29=127,$E29=1),1,0))</f>
        <v/>
      </c>
      <c r="AEN30">
        <f>IF($C29=128,0,AEN29+IF(AND($G29=128,$E29=1),1,0))</f>
        <v/>
      </c>
      <c r="AEO30">
        <f>IF($C29=129,0,AEO29+IF(AND($G29=129,$E29=1),1,0))</f>
        <v/>
      </c>
      <c r="AEP30">
        <f>IF($C29=130,0,AEP29+IF(AND($G29=130,$E29=1),1,0))</f>
        <v/>
      </c>
      <c r="AEQ30">
        <f>IF($C29=131,0,AEQ29+IF(AND($G29=131,$E29=1),1,0))</f>
        <v/>
      </c>
      <c r="AER30">
        <f>IF($C29=132,0,AER29+IF(AND($G29=132,$E29=1),1,0))</f>
        <v/>
      </c>
      <c r="AES30">
        <f>IF($C29=133,0,AES29+IF(AND($G29=133,$E29=1),1,0))</f>
        <v/>
      </c>
      <c r="AET30">
        <f>IF($C29=134,0,AET29+IF(AND($G29=134,$E29=1),1,0))</f>
        <v/>
      </c>
      <c r="AEU30">
        <f>IF($C29=135,0,AEU29+IF(AND($G29=135,$E29=1),1,0))</f>
        <v/>
      </c>
      <c r="AEV30">
        <f>IF($C29=136,0,AEV29+IF(AND($G29=136,$E29=1),1,0))</f>
        <v/>
      </c>
      <c r="AEW30">
        <f>IF($C29=137,0,AEW29+IF(AND($G29=137,$E29=1),1,0))</f>
        <v/>
      </c>
      <c r="AEX30">
        <f>IF($C29=138,0,AEX29+IF(AND($G29=138,$E29=1),1,0))</f>
        <v/>
      </c>
      <c r="AEY30">
        <f>IF($C29=139,0,AEY29+IF(AND($G29=139,$E29=1),1,0))</f>
        <v/>
      </c>
      <c r="AEZ30">
        <f>IF($C29=140,0,AEZ29+IF(AND($G29=140,$E29=1),1,0))</f>
        <v/>
      </c>
      <c r="AFA30">
        <f>IF($C29=141,0,AFA29+IF(AND($G29=141,$E29=1),1,0))</f>
        <v/>
      </c>
      <c r="AFB30">
        <f>IF($C29=142,0,AFB29+IF(AND($G29=142,$E29=1),1,0))</f>
        <v/>
      </c>
      <c r="AFC30">
        <f>IF($C29=143,0,AFC29+IF(AND($G29=143,$E29=1),1,0))</f>
        <v/>
      </c>
      <c r="AFD30">
        <f>IF($C29=144,0,AFD29+IF(AND($G29=144,$E29=1),1,0))</f>
        <v/>
      </c>
      <c r="AFF30">
        <f>IF('calcA'!D$106=1,DC30+ZR30,1)</f>
        <v/>
      </c>
      <c r="AFG30">
        <f>IF('calcA'!E$106=1,DD30+ZS30,1)</f>
        <v/>
      </c>
      <c r="AFH30">
        <f>IF('calcA'!F$106=1,DE30+ZT30,1)</f>
        <v/>
      </c>
      <c r="AFI30">
        <f>IF('calcA'!G$106=1,DF30+ZU30,1)</f>
        <v/>
      </c>
      <c r="AFJ30">
        <f>IF('calcA'!H$106=1,DG30+ZV30,1)</f>
        <v/>
      </c>
      <c r="AFK30">
        <f>IF('calcA'!I$106=1,DH30+ZW30,1)</f>
        <v/>
      </c>
      <c r="AFL30">
        <f>IF('calcA'!J$106=1,DI30+ZX30,1)</f>
        <v/>
      </c>
      <c r="AFM30">
        <f>IF('calcA'!K$106=1,DJ30+ZY30,1)</f>
        <v/>
      </c>
      <c r="AFN30">
        <f>IF('calcA'!L$106=1,DK30+ZZ30,1)</f>
        <v/>
      </c>
      <c r="AFO30">
        <f>IF('calcA'!M$106=1,DL30+AAA30,1)</f>
        <v/>
      </c>
      <c r="AFP30">
        <f>IF('calcA'!N$106=1,DM30+AAB30,1)</f>
        <v/>
      </c>
      <c r="AFQ30">
        <f>IF('calcA'!O$106=1,DN30+AAC30,1)</f>
        <v/>
      </c>
      <c r="AFR30">
        <f>IF('calcA'!P$106=1,DO30+AAD30,1)</f>
        <v/>
      </c>
      <c r="AFS30">
        <f>IF('calcA'!Q$106=1,DP30+AAE30,1)</f>
        <v/>
      </c>
      <c r="AFT30">
        <f>IF('calcA'!R$106=1,DQ30+AAF30,1)</f>
        <v/>
      </c>
      <c r="AFU30">
        <f>IF('calcA'!S$106=1,DR30+AAG30,1)</f>
        <v/>
      </c>
      <c r="AFV30">
        <f>IF('calcA'!T$106=1,DS30+AAH30,1)</f>
        <v/>
      </c>
      <c r="AFW30">
        <f>IF('calcA'!U$106=1,DT30+AAI30,1)</f>
        <v/>
      </c>
      <c r="AFX30">
        <f>IF('calcA'!V$106=1,DU30+AAJ30,1)</f>
        <v/>
      </c>
      <c r="AFY30">
        <f>IF('calcA'!W$106=1,DV30+AAK30,1)</f>
        <v/>
      </c>
      <c r="AFZ30">
        <f>IF('calcA'!X$106=1,DW30+AAL30,1)</f>
        <v/>
      </c>
      <c r="AGA30">
        <f>IF('calcA'!Y$106=1,DX30+AAM30,1)</f>
        <v/>
      </c>
      <c r="AGB30">
        <f>IF('calcA'!Z$106=1,DY30+AAN30,1)</f>
        <v/>
      </c>
      <c r="AGC30">
        <f>IF('calcA'!AA$106=1,DZ30+AAO30,1)</f>
        <v/>
      </c>
      <c r="AGD30">
        <f>IF('calcA'!AB$106=1,EA30+AAP30,1)</f>
        <v/>
      </c>
      <c r="AGE30">
        <f>IF('calcA'!AC$106=1,EB30+AAQ30,1)</f>
        <v/>
      </c>
      <c r="AGF30">
        <f>IF('calcA'!AD$106=1,EC30+AAR30,1)</f>
        <v/>
      </c>
      <c r="AGG30">
        <f>IF('calcA'!AE$106=1,ED30+AAS30,1)</f>
        <v/>
      </c>
      <c r="AGH30">
        <f>IF('calcA'!AF$106=1,EE30+AAT30,1)</f>
        <v/>
      </c>
      <c r="AGI30">
        <f>IF('calcA'!AG$106=1,EF30+AAU30,1)</f>
        <v/>
      </c>
      <c r="AGJ30">
        <f>IF('calcA'!AH$106=1,EG30+AAV30,1)</f>
        <v/>
      </c>
      <c r="AGK30">
        <f>IF('calcA'!AI$106=1,EH30+AAW30,1)</f>
        <v/>
      </c>
      <c r="AGL30">
        <f>IF('calcA'!AJ$106=1,EI30+AAX30,1)</f>
        <v/>
      </c>
      <c r="AGM30">
        <f>IF('calcA'!AK$106=1,EJ30+AAY30,1)</f>
        <v/>
      </c>
      <c r="AGN30">
        <f>IF('calcA'!AL$106=1,EK30+AAZ30,1)</f>
        <v/>
      </c>
      <c r="AGO30">
        <f>IF('calcA'!AM$106=1,EL30+ABA30,1)</f>
        <v/>
      </c>
      <c r="AGP30">
        <f>IF('calcA'!AN$106=1,EM30+ABB30,1)</f>
        <v/>
      </c>
      <c r="AGQ30">
        <f>IF('calcA'!AO$106=1,EN30+ABC30,1)</f>
        <v/>
      </c>
      <c r="AGR30">
        <f>IF('calcA'!AP$106=1,EO30+ABD30,1)</f>
        <v/>
      </c>
      <c r="AGS30">
        <f>IF('calcA'!AQ$106=1,EP30+ABE30,1)</f>
        <v/>
      </c>
      <c r="AGT30">
        <f>IF('calcA'!AR$106=1,EQ30+ABF30,1)</f>
        <v/>
      </c>
      <c r="AGU30">
        <f>IF('calcA'!AS$106=1,ER30+ABG30,1)</f>
        <v/>
      </c>
      <c r="AGV30">
        <f>IF('calcA'!AT$106=1,ES30+ABH30,1)</f>
        <v/>
      </c>
      <c r="AGW30">
        <f>IF('calcA'!AU$106=1,ET30+ABI30,1)</f>
        <v/>
      </c>
      <c r="AGX30">
        <f>IF('calcA'!AV$106=1,EU30+ABJ30,1)</f>
        <v/>
      </c>
      <c r="AGY30">
        <f>IF('calcA'!AW$106=1,EV30+ABK30,1)</f>
        <v/>
      </c>
      <c r="AGZ30">
        <f>IF('calcA'!AX$106=1,EW30+ABL30,1)</f>
        <v/>
      </c>
      <c r="AHA30">
        <f>IF('calcA'!AY$106=1,EX30+ABM30,1)</f>
        <v/>
      </c>
      <c r="AHB30">
        <f>IF('calcA'!AZ$106=1,EY30+ABN30,1)</f>
        <v/>
      </c>
      <c r="AHC30">
        <f>IF('calcA'!BA$106=1,EZ30+ABO30,1)</f>
        <v/>
      </c>
      <c r="AHD30">
        <f>IF('calcA'!BB$106=1,FA30+ABP30,1)</f>
        <v/>
      </c>
      <c r="AHE30">
        <f>IF('calcA'!BC$106=1,FB30+ABQ30,1)</f>
        <v/>
      </c>
      <c r="AHF30">
        <f>IF('calcA'!BD$106=1,FC30+ABR30,1)</f>
        <v/>
      </c>
      <c r="AHG30">
        <f>IF('calcA'!BE$106=1,FD30+ABS30,1)</f>
        <v/>
      </c>
      <c r="AHH30">
        <f>IF('calcA'!BF$106=1,FE30+ABT30,1)</f>
        <v/>
      </c>
      <c r="AHI30">
        <f>IF('calcA'!BG$106=1,FF30+ABU30,1)</f>
        <v/>
      </c>
      <c r="AHJ30">
        <f>IF('calcA'!BH$106=1,FG30+ABV30,1)</f>
        <v/>
      </c>
      <c r="AHK30">
        <f>IF('calcA'!BI$106=1,FH30+ABW30,1)</f>
        <v/>
      </c>
      <c r="AHL30">
        <f>IF('calcA'!BJ$106=1,FI30+ABX30,1)</f>
        <v/>
      </c>
      <c r="AHM30">
        <f>IF('calcA'!BK$106=1,FJ30+ABY30,1)</f>
        <v/>
      </c>
      <c r="AHN30">
        <f>IF('calcA'!BL$106=1,FK30+ABZ30,1)</f>
        <v/>
      </c>
      <c r="AHO30">
        <f>IF('calcA'!BM$106=1,FL30+ACA30,1)</f>
        <v/>
      </c>
      <c r="AHP30">
        <f>IF('calcA'!BN$106=1,FM30+ACB30,1)</f>
        <v/>
      </c>
      <c r="AHQ30">
        <f>IF('calcA'!BO$106=1,FN30+ACC30,1)</f>
        <v/>
      </c>
      <c r="AHR30">
        <f>IF('calcA'!BP$106=1,FO30+ACD30,1)</f>
        <v/>
      </c>
      <c r="AHS30">
        <f>IF('calcA'!BQ$106=1,FP30+ACE30,1)</f>
        <v/>
      </c>
      <c r="AHT30">
        <f>IF('calcA'!BR$106=1,FQ30+ACF30,1)</f>
        <v/>
      </c>
      <c r="AHU30">
        <f>IF('calcA'!BS$106=1,FR30+ACG30,1)</f>
        <v/>
      </c>
      <c r="AHV30">
        <f>IF('calcA'!BT$106=1,FS30+ACH30,1)</f>
        <v/>
      </c>
      <c r="AHW30">
        <f>IF('calcA'!BU$106=1,FT30+ACI30,1)</f>
        <v/>
      </c>
      <c r="AHX30">
        <f>IF('calcA'!BV$106=1,FU30+ACJ30,1)</f>
        <v/>
      </c>
      <c r="AHY30">
        <f>IF('calcA'!BW$106=1,FV30+ACK30,1)</f>
        <v/>
      </c>
      <c r="AHZ30">
        <f>IF('calcA'!BX$106=1,FW30+ACL30,1)</f>
        <v/>
      </c>
      <c r="AIA30">
        <f>IF('calcA'!BY$106=1,FX30+ACM30,1)</f>
        <v/>
      </c>
      <c r="AIB30">
        <f>IF('calcA'!BZ$106=1,FY30+ACN30,1)</f>
        <v/>
      </c>
      <c r="AIC30">
        <f>IF('calcA'!CA$106=1,FZ30+ACO30,1)</f>
        <v/>
      </c>
      <c r="AID30">
        <f>IF('calcA'!CB$106=1,GA30+ACP30,1)</f>
        <v/>
      </c>
      <c r="AIE30">
        <f>IF('calcA'!CC$106=1,GB30+ACQ30,1)</f>
        <v/>
      </c>
      <c r="AIF30">
        <f>IF('calcA'!CD$106=1,GC30+ACR30,1)</f>
        <v/>
      </c>
      <c r="AIG30">
        <f>IF('calcA'!CE$106=1,GD30+ACS30,1)</f>
        <v/>
      </c>
      <c r="AIH30">
        <f>IF('calcA'!CF$106=1,GE30+ACT30,1)</f>
        <v/>
      </c>
      <c r="AII30">
        <f>IF('calcA'!CG$106=1,GF30+ACU30,1)</f>
        <v/>
      </c>
      <c r="AIJ30">
        <f>IF('calcA'!CH$106=1,GG30+ACV30,1)</f>
        <v/>
      </c>
      <c r="AIK30">
        <f>IF('calcA'!CI$106=1,GH30+ACW30,1)</f>
        <v/>
      </c>
      <c r="AIL30">
        <f>IF('calcA'!CJ$106=1,GI30+ACX30,1)</f>
        <v/>
      </c>
      <c r="AIM30">
        <f>IF('calcA'!CK$106=1,GJ30+ACY30,1)</f>
        <v/>
      </c>
      <c r="AIN30">
        <f>IF('calcA'!CL$106=1,GK30+ACZ30,1)</f>
        <v/>
      </c>
      <c r="AIO30">
        <f>IF('calcA'!CM$106=1,GL30+ADA30,1)</f>
        <v/>
      </c>
      <c r="AIP30">
        <f>IF('calcA'!CN$106=1,GM30+ADB30,1)</f>
        <v/>
      </c>
      <c r="AIQ30">
        <f>IF('calcA'!CO$106=1,GN30+ADC30,1)</f>
        <v/>
      </c>
      <c r="AIR30">
        <f>IF('calcA'!CP$106=1,GO30+ADD30,1)</f>
        <v/>
      </c>
      <c r="AIS30">
        <f>IF('calcA'!CQ$106=1,GP30+ADE30,1)</f>
        <v/>
      </c>
      <c r="AIT30">
        <f>IF('calcA'!CR$106=1,GQ30+ADF30,1)</f>
        <v/>
      </c>
      <c r="AIU30">
        <f>IF('calcA'!CS$106=1,GR30+ADG30,1)</f>
        <v/>
      </c>
      <c r="AIV30">
        <f>IF('calcA'!CT$106=1,GS30+ADH30,1)</f>
        <v/>
      </c>
      <c r="AIW30">
        <f>IF('calcA'!CU$106=1,GT30+ADI30,1)</f>
        <v/>
      </c>
      <c r="AIX30">
        <f>IF('calcA'!CV$106=1,GU30+ADJ30,1)</f>
        <v/>
      </c>
      <c r="AIY30">
        <f>IF('calcA'!CW$106=1,GV30+ADK30,1)</f>
        <v/>
      </c>
      <c r="AIZ30">
        <f>IF('calcA'!CX$106=1,GW30+ADL30,1)</f>
        <v/>
      </c>
      <c r="AJA30">
        <f>IF('calcA'!CY$106=1,GX30+ADM30,1)</f>
        <v/>
      </c>
      <c r="AJB30">
        <f>IF('calcA'!CZ$106=1,GY30+ADN30,1)</f>
        <v/>
      </c>
      <c r="AJC30">
        <f>IF('calcA'!DA$106=1,GZ30+ADO30,1)</f>
        <v/>
      </c>
      <c r="AJD30">
        <f>IF('calcA'!DB$106=1,HA30+ADP30,1)</f>
        <v/>
      </c>
      <c r="AJE30">
        <f>IF('calcA'!DC$106=1,HB30+ADQ30,1)</f>
        <v/>
      </c>
      <c r="AJF30">
        <f>IF('calcA'!DD$106=1,HC30+ADR30,1)</f>
        <v/>
      </c>
      <c r="AJG30">
        <f>IF('calcA'!DE$106=1,HD30+ADS30,1)</f>
        <v/>
      </c>
      <c r="AJH30">
        <f>IF('calcA'!DF$106=1,HE30+ADT30,1)</f>
        <v/>
      </c>
      <c r="AJI30">
        <f>IF('calcA'!DG$106=1,HF30+ADU30,1)</f>
        <v/>
      </c>
      <c r="AJJ30">
        <f>IF('calcA'!DH$106=1,HG30+ADV30,1)</f>
        <v/>
      </c>
      <c r="AJK30">
        <f>IF('calcA'!DI$106=1,HH30+ADW30,1)</f>
        <v/>
      </c>
      <c r="AJL30">
        <f>IF('calcA'!DJ$106=1,HI30+ADX30,1)</f>
        <v/>
      </c>
      <c r="AJM30">
        <f>IF('calcA'!DK$106=1,HJ30+ADY30,1)</f>
        <v/>
      </c>
      <c r="AJN30">
        <f>IF('calcA'!DL$106=1,HK30+ADZ30,1)</f>
        <v/>
      </c>
      <c r="AJO30">
        <f>IF('calcA'!DM$106=1,HL30+AEA30,1)</f>
        <v/>
      </c>
      <c r="AJP30">
        <f>IF('calcA'!DN$106=1,HM30+AEB30,1)</f>
        <v/>
      </c>
      <c r="AJQ30">
        <f>IF('calcA'!DO$106=1,HN30+AEC30,1)</f>
        <v/>
      </c>
      <c r="AJR30">
        <f>IF('calcA'!DP$106=1,HO30+AED30,1)</f>
        <v/>
      </c>
      <c r="AJS30">
        <f>IF('calcA'!DQ$106=1,HP30+AEE30,1)</f>
        <v/>
      </c>
      <c r="AJT30">
        <f>IF('calcA'!DR$106=1,HQ30+AEF30,1)</f>
        <v/>
      </c>
      <c r="AJU30">
        <f>IF('calcA'!DS$106=1,HR30+AEG30,1)</f>
        <v/>
      </c>
      <c r="AJV30">
        <f>IF('calcA'!DT$106=1,HS30+AEH30,1)</f>
        <v/>
      </c>
      <c r="AJW30">
        <f>IF('calcA'!DU$106=1,HT30+AEI30,1)</f>
        <v/>
      </c>
      <c r="AJX30">
        <f>IF('calcA'!DV$106=1,HU30+AEJ30,1)</f>
        <v/>
      </c>
      <c r="AJY30">
        <f>IF('calcA'!DW$106=1,HV30+AEK30,1)</f>
        <v/>
      </c>
      <c r="AJZ30">
        <f>IF('calcA'!DX$106=1,HW30+AEL30,1)</f>
        <v/>
      </c>
      <c r="AKA30">
        <f>IF('calcA'!DY$106=1,HX30+AEM30,1)</f>
        <v/>
      </c>
      <c r="AKB30">
        <f>IF('calcA'!DZ$106=1,HY30+AEN30,1)</f>
        <v/>
      </c>
      <c r="AKC30">
        <f>IF('calcA'!EA$106=1,HZ30+AEO30,1)</f>
        <v/>
      </c>
      <c r="AKD30">
        <f>IF('calcA'!EB$106=1,IA30+AEP30,1)</f>
        <v/>
      </c>
      <c r="AKE30">
        <f>IF('calcA'!EC$106=1,IB30+AEQ30,1)</f>
        <v/>
      </c>
      <c r="AKF30">
        <f>IF('calcA'!ED$106=1,IC30+AER30,1)</f>
        <v/>
      </c>
      <c r="AKG30">
        <f>IF('calcA'!EE$106=1,ID30+AES30,1)</f>
        <v/>
      </c>
      <c r="AKH30">
        <f>IF('calcA'!EF$106=1,IE30+AET30,1)</f>
        <v/>
      </c>
      <c r="AKI30">
        <f>IF('calcA'!EG$106=1,IF30+AEU30,1)</f>
        <v/>
      </c>
      <c r="AKJ30">
        <f>IF('calcA'!EH$106=1,IG30+AEV30,1)</f>
        <v/>
      </c>
      <c r="AKK30">
        <f>IF('calcA'!EI$106=1,IH30+AEW30,1)</f>
        <v/>
      </c>
      <c r="AKL30">
        <f>IF('calcA'!EJ$106=1,II30+AEX30,1)</f>
        <v/>
      </c>
      <c r="AKM30">
        <f>IF('calcA'!EK$106=1,IJ30+AEY30,1)</f>
        <v/>
      </c>
      <c r="AKN30">
        <f>IF('calcA'!EL$106=1,IK30+AEZ30,1)</f>
        <v/>
      </c>
      <c r="AKO30">
        <f>IF('calcA'!EM$106=1,IL30+AFA30,1)</f>
        <v/>
      </c>
      <c r="AKP30">
        <f>IF('calcA'!EN$106=1,IM30+AFB30,1)</f>
        <v/>
      </c>
      <c r="AKQ30">
        <f>IF('calcA'!EO$106=1,IN30+AFC30,1)</f>
        <v/>
      </c>
      <c r="AKR30">
        <f>IF('calcA'!EP$106=1,IO30+AFD30,1)</f>
        <v/>
      </c>
      <c r="AKS30" t="n">
        <v>1</v>
      </c>
    </row>
    <row r="31">
      <c r="A31" t="n">
        <v>29</v>
      </c>
      <c r="B31">
        <f>IF(MIN(BM31:CZ31)&gt;=1000000000,0,MATCH(MIN(BM31:CZ31),BM31:CZ31,0))</f>
        <v/>
      </c>
      <c r="C31">
        <f>IF(MIN(OF31:TS31)&gt;=1000000000,0,MATCH(MIN(OF31:TS31),OF31:TS31,0))</f>
        <v/>
      </c>
      <c r="D31">
        <f>IF(C31&gt;0,INDEX('calcA'!$D$5:$EQ$5,C31),0)</f>
        <v/>
      </c>
      <c r="E31">
        <f>IF(B31=0,0,INDEX('calcA'!$IQ$10:$IQ$54,B31))</f>
        <v/>
      </c>
      <c r="F31">
        <f>IF(B31=0,0,INDEX('calcA'!$IP$10:$IP$54,B31))</f>
        <v/>
      </c>
      <c r="G31">
        <f>IF(AND(C31&gt;0,E31&gt;0),IF(AND(INDEX('calcA'!$D$106:$EQ$106,C31)=1,INDEX($IQ31:$OD31,C31)=1),C31+1,0),0)</f>
        <v/>
      </c>
      <c r="H31">
        <f>IF(B31=0,0,INDEX('calcA'!$IW$10:$IW$54,B31))</f>
        <v/>
      </c>
      <c r="U31">
        <f>IF(B31=0,0,INDEX('calcA'!$IX$10:$IX$54,B31))</f>
        <v/>
      </c>
      <c r="V31">
        <f>IF(B31=0,0,INDEX('calcA'!$JF$10:$JF$54,B31))</f>
        <v/>
      </c>
      <c r="W31">
        <f>IF(B31=0,0,IF(IF(E31=2,SUMPRODUCT(INDEX('calcA'!$D$60:$EQ$99,B31,0),$DB31:$IO31,$IQ31:$OD31),SUMPRODUCT(INDEX('calcA'!$D$60:$EQ$99,B31,0),$DB31:$IO31))=0,1,0))</f>
        <v/>
      </c>
      <c r="X31">
        <f>MAX(X30,IF($B30=1,1,0))</f>
        <v/>
      </c>
      <c r="Y31">
        <f>MAX(Y30,IF($B30=2,1,0))</f>
        <v/>
      </c>
      <c r="Z31">
        <f>MAX(Z30,IF($B30=3,1,0))</f>
        <v/>
      </c>
      <c r="AA31">
        <f>MAX(AA30,IF($B30=4,1,0))</f>
        <v/>
      </c>
      <c r="AB31">
        <f>MAX(AB30,IF($B30=5,1,0))</f>
        <v/>
      </c>
      <c r="AC31">
        <f>MAX(AC30,IF($B30=6,1,0))</f>
        <v/>
      </c>
      <c r="AD31">
        <f>MAX(AD30,IF($B30=7,1,0))</f>
        <v/>
      </c>
      <c r="AE31">
        <f>MAX(AE30,IF($B30=8,1,0))</f>
        <v/>
      </c>
      <c r="AF31">
        <f>MAX(AF30,IF($B30=9,1,0))</f>
        <v/>
      </c>
      <c r="AG31">
        <f>MAX(AG30,IF($B30=10,1,0))</f>
        <v/>
      </c>
      <c r="AH31">
        <f>MAX(AH30,IF($B30=11,1,0))</f>
        <v/>
      </c>
      <c r="AI31">
        <f>MAX(AI30,IF($B30=12,1,0))</f>
        <v/>
      </c>
      <c r="AJ31">
        <f>MAX(AJ30,IF($B30=13,1,0))</f>
        <v/>
      </c>
      <c r="AK31">
        <f>MAX(AK30,IF($B30=14,1,0))</f>
        <v/>
      </c>
      <c r="AL31">
        <f>MAX(AL30,IF($B30=15,1,0))</f>
        <v/>
      </c>
      <c r="AM31">
        <f>MAX(AM30,IF($B30=16,1,0))</f>
        <v/>
      </c>
      <c r="AN31">
        <f>MAX(AN30,IF($B30=17,1,0))</f>
        <v/>
      </c>
      <c r="AO31">
        <f>MAX(AO30,IF($B30=18,1,0))</f>
        <v/>
      </c>
      <c r="AP31">
        <f>MAX(AP30,IF($B30=19,1,0))</f>
        <v/>
      </c>
      <c r="AQ31">
        <f>MAX(AQ30,IF($B30=20,1,0))</f>
        <v/>
      </c>
      <c r="AR31">
        <f>MAX(AR30,IF($B30=21,1,0))</f>
        <v/>
      </c>
      <c r="AS31">
        <f>MAX(AS30,IF($B30=22,1,0))</f>
        <v/>
      </c>
      <c r="AT31">
        <f>MAX(AT30,IF($B30=23,1,0))</f>
        <v/>
      </c>
      <c r="AU31">
        <f>MAX(AU30,IF($B30=24,1,0))</f>
        <v/>
      </c>
      <c r="AV31">
        <f>MAX(AV30,IF($B30=25,1,0))</f>
        <v/>
      </c>
      <c r="AW31">
        <f>MAX(AW30,IF($B30=26,1,0))</f>
        <v/>
      </c>
      <c r="AX31">
        <f>MAX(AX30,IF($B30=27,1,0))</f>
        <v/>
      </c>
      <c r="AY31">
        <f>MAX(AY30,IF($B30=28,1,0))</f>
        <v/>
      </c>
      <c r="AZ31">
        <f>MAX(AZ30,IF($B30=29,1,0))</f>
        <v/>
      </c>
      <c r="BA31">
        <f>MAX(BA30,IF($B30=30,1,0))</f>
        <v/>
      </c>
      <c r="BB31">
        <f>MAX(BB30,IF($B30=31,1,0))</f>
        <v/>
      </c>
      <c r="BC31">
        <f>MAX(BC30,IF($B30=32,1,0))</f>
        <v/>
      </c>
      <c r="BD31">
        <f>MAX(BD30,IF($B30=33,1,0))</f>
        <v/>
      </c>
      <c r="BE31">
        <f>MAX(BE30,IF($B30=34,1,0))</f>
        <v/>
      </c>
      <c r="BF31">
        <f>MAX(BF30,IF($B30=35,1,0))</f>
        <v/>
      </c>
      <c r="BG31">
        <f>MAX(BG30,IF($B30=36,1,0))</f>
        <v/>
      </c>
      <c r="BH31">
        <f>MAX(BH30,IF($B30=37,1,0))</f>
        <v/>
      </c>
      <c r="BI31">
        <f>MAX(BI30,IF($B30=38,1,0))</f>
        <v/>
      </c>
      <c r="BJ31">
        <f>MAX(BJ30,IF($B30=39,1,0))</f>
        <v/>
      </c>
      <c r="BK31">
        <f>MAX(BK30,IF($B30=40,1,0))</f>
        <v/>
      </c>
      <c r="BM31">
        <f>IF(OR(X31=1,calcA!$A$6=0),1000000000,IF('calcA'!$JF$10=1,0,100000000)+IF('calcA'!$IQ$10=2,SUMPRODUCT('calcA'!$D$60:$EQ$60,$DB31:$IO31,$IQ31:$OD31)*1000+SUMPRODUCT('calcA'!$D$60:$EQ$60,$DB31:$IO31+$ZQ31:$AFD31,$AFF31:$AKS31),SUMPRODUCT('calcA'!$D$60:$EQ$60,$DB31:$IO31*1001+$ZQ31:$AFD31))*100+1)</f>
        <v/>
      </c>
      <c r="BN31">
        <f>IF(OR(Y31=1,calcA!$A$6=0),1000000000,IF('calcA'!$JF$11=1,0,100000000)+IF('calcA'!$IQ$11=2,SUMPRODUCT('calcA'!$D$61:$EQ$61,$DB31:$IO31,$IQ31:$OD31)*1000+SUMPRODUCT('calcA'!$D$61:$EQ$61,$DB31:$IO31+$ZQ31:$AFD31,$AFF31:$AKS31),SUMPRODUCT('calcA'!$D$61:$EQ$61,$DB31:$IO31*1001+$ZQ31:$AFD31))*100+2)</f>
        <v/>
      </c>
      <c r="BO31">
        <f>IF(OR(Z31=1,calcA!$A$6=0),1000000000,IF('calcA'!$JF$12=1,0,100000000)+IF('calcA'!$IQ$12=2,SUMPRODUCT('calcA'!$D$62:$EQ$62,$DB31:$IO31,$IQ31:$OD31)*1000+SUMPRODUCT('calcA'!$D$62:$EQ$62,$DB31:$IO31+$ZQ31:$AFD31,$AFF31:$AKS31),SUMPRODUCT('calcA'!$D$62:$EQ$62,$DB31:$IO31*1001+$ZQ31:$AFD31))*100+3)</f>
        <v/>
      </c>
      <c r="BP31">
        <f>IF(OR(AA31=1,calcA!$A$6=0),1000000000,IF('calcA'!$JF$13=1,0,100000000)+IF('calcA'!$IQ$13=2,SUMPRODUCT('calcA'!$D$63:$EQ$63,$DB31:$IO31,$IQ31:$OD31)*1000+SUMPRODUCT('calcA'!$D$63:$EQ$63,$DB31:$IO31+$ZQ31:$AFD31,$AFF31:$AKS31),SUMPRODUCT('calcA'!$D$63:$EQ$63,$DB31:$IO31*1001+$ZQ31:$AFD31))*100+4)</f>
        <v/>
      </c>
      <c r="BQ31">
        <f>IF(OR(AB31=1,calcA!$A$6=0),1000000000,IF('calcA'!$JF$14=1,0,100000000)+IF('calcA'!$IQ$14=2,SUMPRODUCT('calcA'!$D$64:$EQ$64,$DB31:$IO31,$IQ31:$OD31)*1000+SUMPRODUCT('calcA'!$D$64:$EQ$64,$DB31:$IO31+$ZQ31:$AFD31,$AFF31:$AKS31),SUMPRODUCT('calcA'!$D$64:$EQ$64,$DB31:$IO31*1001+$ZQ31:$AFD31))*100+5)</f>
        <v/>
      </c>
      <c r="BR31">
        <f>IF(OR(AC31=1,calcA!$A$6=0),1000000000,IF('calcA'!$JF$15=1,0,100000000)+IF('calcA'!$IQ$15=2,SUMPRODUCT('calcA'!$D$65:$EQ$65,$DB31:$IO31,$IQ31:$OD31)*1000+SUMPRODUCT('calcA'!$D$65:$EQ$65,$DB31:$IO31+$ZQ31:$AFD31,$AFF31:$AKS31),SUMPRODUCT('calcA'!$D$65:$EQ$65,$DB31:$IO31*1001+$ZQ31:$AFD31))*100+6)</f>
        <v/>
      </c>
      <c r="BS31">
        <f>IF(OR(AD31=1,calcA!$A$6=0),1000000000,IF('calcA'!$JF$16=1,0,100000000)+IF('calcA'!$IQ$16=2,SUMPRODUCT('calcA'!$D$66:$EQ$66,$DB31:$IO31,$IQ31:$OD31)*1000+SUMPRODUCT('calcA'!$D$66:$EQ$66,$DB31:$IO31+$ZQ31:$AFD31,$AFF31:$AKS31),SUMPRODUCT('calcA'!$D$66:$EQ$66,$DB31:$IO31*1001+$ZQ31:$AFD31))*100+7)</f>
        <v/>
      </c>
      <c r="BT31">
        <f>IF(OR(AE31=1,calcA!$A$6=0),1000000000,IF('calcA'!$JF$17=1,0,100000000)+IF('calcA'!$IQ$17=2,SUMPRODUCT('calcA'!$D$67:$EQ$67,$DB31:$IO31,$IQ31:$OD31)*1000+SUMPRODUCT('calcA'!$D$67:$EQ$67,$DB31:$IO31+$ZQ31:$AFD31,$AFF31:$AKS31),SUMPRODUCT('calcA'!$D$67:$EQ$67,$DB31:$IO31*1001+$ZQ31:$AFD31))*100+8)</f>
        <v/>
      </c>
      <c r="BU31">
        <f>IF(OR(AF31=1,calcA!$A$6=0),1000000000,IF('calcA'!$JF$18=1,0,100000000)+IF('calcA'!$IQ$18=2,SUMPRODUCT('calcA'!$D$68:$EQ$68,$DB31:$IO31,$IQ31:$OD31)*1000+SUMPRODUCT('calcA'!$D$68:$EQ$68,$DB31:$IO31+$ZQ31:$AFD31,$AFF31:$AKS31),SUMPRODUCT('calcA'!$D$68:$EQ$68,$DB31:$IO31*1001+$ZQ31:$AFD31))*100+9)</f>
        <v/>
      </c>
      <c r="BV31">
        <f>IF(OR(AG31=1,calcA!$A$6=0),1000000000,IF('calcA'!$JF$19=1,0,100000000)+IF('calcA'!$IQ$19=2,SUMPRODUCT('calcA'!$D$69:$EQ$69,$DB31:$IO31,$IQ31:$OD31)*1000+SUMPRODUCT('calcA'!$D$69:$EQ$69,$DB31:$IO31+$ZQ31:$AFD31,$AFF31:$AKS31),SUMPRODUCT('calcA'!$D$69:$EQ$69,$DB31:$IO31*1001+$ZQ31:$AFD31))*100+10)</f>
        <v/>
      </c>
      <c r="BW31">
        <f>IF(OR(AH31=1,calcA!$A$6=0),1000000000,IF('calcA'!$JF$20=1,0,100000000)+IF('calcA'!$IQ$20=2,SUMPRODUCT('calcA'!$D$70:$EQ$70,$DB31:$IO31,$IQ31:$OD31)*1000+SUMPRODUCT('calcA'!$D$70:$EQ$70,$DB31:$IO31+$ZQ31:$AFD31,$AFF31:$AKS31),SUMPRODUCT('calcA'!$D$70:$EQ$70,$DB31:$IO31*1001+$ZQ31:$AFD31))*100+11)</f>
        <v/>
      </c>
      <c r="BX31">
        <f>IF(OR(AI31=1,calcA!$A$6=0),1000000000,IF('calcA'!$JF$21=1,0,100000000)+IF('calcA'!$IQ$21=2,SUMPRODUCT('calcA'!$D$71:$EQ$71,$DB31:$IO31,$IQ31:$OD31)*1000+SUMPRODUCT('calcA'!$D$71:$EQ$71,$DB31:$IO31+$ZQ31:$AFD31,$AFF31:$AKS31),SUMPRODUCT('calcA'!$D$71:$EQ$71,$DB31:$IO31*1001+$ZQ31:$AFD31))*100+12)</f>
        <v/>
      </c>
      <c r="BY31">
        <f>IF(OR(AJ31=1,calcA!$A$6=0),1000000000,IF('calcA'!$JF$22=1,0,100000000)+IF('calcA'!$IQ$22=2,SUMPRODUCT('calcA'!$D$72:$EQ$72,$DB31:$IO31,$IQ31:$OD31)*1000+SUMPRODUCT('calcA'!$D$72:$EQ$72,$DB31:$IO31+$ZQ31:$AFD31,$AFF31:$AKS31),SUMPRODUCT('calcA'!$D$72:$EQ$72,$DB31:$IO31*1001+$ZQ31:$AFD31))*100+13)</f>
        <v/>
      </c>
      <c r="BZ31">
        <f>IF(OR(AK31=1,calcA!$A$6=0),1000000000,IF('calcA'!$JF$23=1,0,100000000)+IF('calcA'!$IQ$23=2,SUMPRODUCT('calcA'!$D$73:$EQ$73,$DB31:$IO31,$IQ31:$OD31)*1000+SUMPRODUCT('calcA'!$D$73:$EQ$73,$DB31:$IO31+$ZQ31:$AFD31,$AFF31:$AKS31),SUMPRODUCT('calcA'!$D$73:$EQ$73,$DB31:$IO31*1001+$ZQ31:$AFD31))*100+14)</f>
        <v/>
      </c>
      <c r="CA31">
        <f>IF(OR(AL31=1,calcA!$A$6=0),1000000000,IF('calcA'!$JF$24=1,0,100000000)+IF('calcA'!$IQ$24=2,SUMPRODUCT('calcA'!$D$74:$EQ$74,$DB31:$IO31,$IQ31:$OD31)*1000+SUMPRODUCT('calcA'!$D$74:$EQ$74,$DB31:$IO31+$ZQ31:$AFD31,$AFF31:$AKS31),SUMPRODUCT('calcA'!$D$74:$EQ$74,$DB31:$IO31*1001+$ZQ31:$AFD31))*100+15)</f>
        <v/>
      </c>
      <c r="CB31">
        <f>IF(OR(AM31=1,calcA!$A$6=0),1000000000,IF('calcA'!$JF$25=1,0,100000000)+IF('calcA'!$IQ$25=2,SUMPRODUCT('calcA'!$D$75:$EQ$75,$DB31:$IO31,$IQ31:$OD31)*1000+SUMPRODUCT('calcA'!$D$75:$EQ$75,$DB31:$IO31+$ZQ31:$AFD31,$AFF31:$AKS31),SUMPRODUCT('calcA'!$D$75:$EQ$75,$DB31:$IO31*1001+$ZQ31:$AFD31))*100+16)</f>
        <v/>
      </c>
      <c r="CC31">
        <f>IF(OR(AN31=1,calcA!$A$6=0),1000000000,IF('calcA'!$JF$26=1,0,100000000)+IF('calcA'!$IQ$26=2,SUMPRODUCT('calcA'!$D$76:$EQ$76,$DB31:$IO31,$IQ31:$OD31)*1000+SUMPRODUCT('calcA'!$D$76:$EQ$76,$DB31:$IO31+$ZQ31:$AFD31,$AFF31:$AKS31),SUMPRODUCT('calcA'!$D$76:$EQ$76,$DB31:$IO31*1001+$ZQ31:$AFD31))*100+17)</f>
        <v/>
      </c>
      <c r="CD31">
        <f>IF(OR(AO31=1,calcA!$A$6=0),1000000000,IF('calcA'!$JF$27=1,0,100000000)+IF('calcA'!$IQ$27=2,SUMPRODUCT('calcA'!$D$77:$EQ$77,$DB31:$IO31,$IQ31:$OD31)*1000+SUMPRODUCT('calcA'!$D$77:$EQ$77,$DB31:$IO31+$ZQ31:$AFD31,$AFF31:$AKS31),SUMPRODUCT('calcA'!$D$77:$EQ$77,$DB31:$IO31*1001+$ZQ31:$AFD31))*100+18)</f>
        <v/>
      </c>
      <c r="CE31">
        <f>IF(OR(AP31=1,calcA!$A$6=0),1000000000,IF('calcA'!$JF$28=1,0,100000000)+IF('calcA'!$IQ$28=2,SUMPRODUCT('calcA'!$D$78:$EQ$78,$DB31:$IO31,$IQ31:$OD31)*1000+SUMPRODUCT('calcA'!$D$78:$EQ$78,$DB31:$IO31+$ZQ31:$AFD31,$AFF31:$AKS31),SUMPRODUCT('calcA'!$D$78:$EQ$78,$DB31:$IO31*1001+$ZQ31:$AFD31))*100+19)</f>
        <v/>
      </c>
      <c r="CF31">
        <f>IF(OR(AQ31=1,calcA!$A$6=0),1000000000,IF('calcA'!$JF$29=1,0,100000000)+IF('calcA'!$IQ$29=2,SUMPRODUCT('calcA'!$D$79:$EQ$79,$DB31:$IO31,$IQ31:$OD31)*1000+SUMPRODUCT('calcA'!$D$79:$EQ$79,$DB31:$IO31+$ZQ31:$AFD31,$AFF31:$AKS31),SUMPRODUCT('calcA'!$D$79:$EQ$79,$DB31:$IO31*1001+$ZQ31:$AFD31))*100+20)</f>
        <v/>
      </c>
      <c r="CG31">
        <f>IF(OR(AR31=1,calcA!$A$6=0),1000000000,IF('calcA'!$JF$30=1,0,100000000)+IF('calcA'!$IQ$30=2,SUMPRODUCT('calcA'!$D$80:$EQ$80,$DB31:$IO31,$IQ31:$OD31)*1000+SUMPRODUCT('calcA'!$D$80:$EQ$80,$DB31:$IO31+$ZQ31:$AFD31,$AFF31:$AKS31),SUMPRODUCT('calcA'!$D$80:$EQ$80,$DB31:$IO31*1001+$ZQ31:$AFD31))*100+21)</f>
        <v/>
      </c>
      <c r="CH31">
        <f>IF(OR(AS31=1,calcA!$A$6=0),1000000000,IF('calcA'!$JF$31=1,0,100000000)+IF('calcA'!$IQ$31=2,SUMPRODUCT('calcA'!$D$81:$EQ$81,$DB31:$IO31,$IQ31:$OD31)*1000+SUMPRODUCT('calcA'!$D$81:$EQ$81,$DB31:$IO31+$ZQ31:$AFD31,$AFF31:$AKS31),SUMPRODUCT('calcA'!$D$81:$EQ$81,$DB31:$IO31*1001+$ZQ31:$AFD31))*100+22)</f>
        <v/>
      </c>
      <c r="CI31">
        <f>IF(OR(AT31=1,calcA!$A$6=0),1000000000,IF('calcA'!$JF$32=1,0,100000000)+IF('calcA'!$IQ$32=2,SUMPRODUCT('calcA'!$D$82:$EQ$82,$DB31:$IO31,$IQ31:$OD31)*1000+SUMPRODUCT('calcA'!$D$82:$EQ$82,$DB31:$IO31+$ZQ31:$AFD31,$AFF31:$AKS31),SUMPRODUCT('calcA'!$D$82:$EQ$82,$DB31:$IO31*1001+$ZQ31:$AFD31))*100+23)</f>
        <v/>
      </c>
      <c r="CJ31">
        <f>IF(OR(AU31=1,calcA!$A$6=0),1000000000,IF('calcA'!$JF$33=1,0,100000000)+IF('calcA'!$IQ$33=2,SUMPRODUCT('calcA'!$D$83:$EQ$83,$DB31:$IO31,$IQ31:$OD31)*1000+SUMPRODUCT('calcA'!$D$83:$EQ$83,$DB31:$IO31+$ZQ31:$AFD31,$AFF31:$AKS31),SUMPRODUCT('calcA'!$D$83:$EQ$83,$DB31:$IO31*1001+$ZQ31:$AFD31))*100+24)</f>
        <v/>
      </c>
      <c r="CK31">
        <f>IF(OR(AV31=1,calcA!$A$6=0),1000000000,IF('calcA'!$JF$34=1,0,100000000)+IF('calcA'!$IQ$34=2,SUMPRODUCT('calcA'!$D$84:$EQ$84,$DB31:$IO31,$IQ31:$OD31)*1000+SUMPRODUCT('calcA'!$D$84:$EQ$84,$DB31:$IO31+$ZQ31:$AFD31,$AFF31:$AKS31),SUMPRODUCT('calcA'!$D$84:$EQ$84,$DB31:$IO31*1001+$ZQ31:$AFD31))*100+25)</f>
        <v/>
      </c>
      <c r="CL31">
        <f>IF(OR(AW31=1,calcA!$A$6=0),1000000000,IF('calcA'!$JF$35=1,0,100000000)+IF('calcA'!$IQ$35=2,SUMPRODUCT('calcA'!$D$85:$EQ$85,$DB31:$IO31,$IQ31:$OD31)*1000+SUMPRODUCT('calcA'!$D$85:$EQ$85,$DB31:$IO31+$ZQ31:$AFD31,$AFF31:$AKS31),SUMPRODUCT('calcA'!$D$85:$EQ$85,$DB31:$IO31*1001+$ZQ31:$AFD31))*100+26)</f>
        <v/>
      </c>
      <c r="CM31">
        <f>IF(OR(AX31=1,calcA!$A$6=0),1000000000,IF('calcA'!$JF$36=1,0,100000000)+IF('calcA'!$IQ$36=2,SUMPRODUCT('calcA'!$D$86:$EQ$86,$DB31:$IO31,$IQ31:$OD31)*1000+SUMPRODUCT('calcA'!$D$86:$EQ$86,$DB31:$IO31+$ZQ31:$AFD31,$AFF31:$AKS31),SUMPRODUCT('calcA'!$D$86:$EQ$86,$DB31:$IO31*1001+$ZQ31:$AFD31))*100+27)</f>
        <v/>
      </c>
      <c r="CN31">
        <f>IF(OR(AY31=1,calcA!$A$6=0),1000000000,IF('calcA'!$JF$37=1,0,100000000)+IF('calcA'!$IQ$37=2,SUMPRODUCT('calcA'!$D$87:$EQ$87,$DB31:$IO31,$IQ31:$OD31)*1000+SUMPRODUCT('calcA'!$D$87:$EQ$87,$DB31:$IO31+$ZQ31:$AFD31,$AFF31:$AKS31),SUMPRODUCT('calcA'!$D$87:$EQ$87,$DB31:$IO31*1001+$ZQ31:$AFD31))*100+28)</f>
        <v/>
      </c>
      <c r="CO31">
        <f>IF(OR(AZ31=1,calcA!$A$6=0),1000000000,IF('calcA'!$JF$38=1,0,100000000)+IF('calcA'!$IQ$38=2,SUMPRODUCT('calcA'!$D$88:$EQ$88,$DB31:$IO31,$IQ31:$OD31)*1000+SUMPRODUCT('calcA'!$D$88:$EQ$88,$DB31:$IO31+$ZQ31:$AFD31,$AFF31:$AKS31),SUMPRODUCT('calcA'!$D$88:$EQ$88,$DB31:$IO31*1001+$ZQ31:$AFD31))*100+29)</f>
        <v/>
      </c>
      <c r="CP31">
        <f>IF(OR(BA31=1,calcA!$A$6=0),1000000000,IF('calcA'!$JF$39=1,0,100000000)+IF('calcA'!$IQ$39=2,SUMPRODUCT('calcA'!$D$89:$EQ$89,$DB31:$IO31,$IQ31:$OD31)*1000+SUMPRODUCT('calcA'!$D$89:$EQ$89,$DB31:$IO31+$ZQ31:$AFD31,$AFF31:$AKS31),SUMPRODUCT('calcA'!$D$89:$EQ$89,$DB31:$IO31*1001+$ZQ31:$AFD31))*100+30)</f>
        <v/>
      </c>
      <c r="CQ31">
        <f>IF(OR(BB31=1,calcA!$A$6=0),1000000000,IF('calcA'!$JF$40=1,0,100000000)+IF('calcA'!$IQ$40=2,SUMPRODUCT('calcA'!$D$90:$EQ$90,$DB31:$IO31,$IQ31:$OD31)*1000+SUMPRODUCT('calcA'!$D$90:$EQ$90,$DB31:$IO31+$ZQ31:$AFD31,$AFF31:$AKS31),SUMPRODUCT('calcA'!$D$90:$EQ$90,$DB31:$IO31*1001+$ZQ31:$AFD31))*100+31)</f>
        <v/>
      </c>
      <c r="CR31">
        <f>IF(OR(BC31=1,calcA!$A$6=0),1000000000,IF('calcA'!$JF$41=1,0,100000000)+IF('calcA'!$IQ$41=2,SUMPRODUCT('calcA'!$D$91:$EQ$91,$DB31:$IO31,$IQ31:$OD31)*1000+SUMPRODUCT('calcA'!$D$91:$EQ$91,$DB31:$IO31+$ZQ31:$AFD31,$AFF31:$AKS31),SUMPRODUCT('calcA'!$D$91:$EQ$91,$DB31:$IO31*1001+$ZQ31:$AFD31))*100+32)</f>
        <v/>
      </c>
      <c r="CS31">
        <f>IF(OR(BD31=1,calcA!$A$6=0),1000000000,IF('calcA'!$JF$42=1,0,100000000)+IF('calcA'!$IQ$42=2,SUMPRODUCT('calcA'!$D$92:$EQ$92,$DB31:$IO31,$IQ31:$OD31)*1000+SUMPRODUCT('calcA'!$D$92:$EQ$92,$DB31:$IO31+$ZQ31:$AFD31,$AFF31:$AKS31),SUMPRODUCT('calcA'!$D$92:$EQ$92,$DB31:$IO31*1001+$ZQ31:$AFD31))*100+33)</f>
        <v/>
      </c>
      <c r="CT31">
        <f>IF(OR(BE31=1,calcA!$A$6=0),1000000000,IF('calcA'!$JF$43=1,0,100000000)+IF('calcA'!$IQ$43=2,SUMPRODUCT('calcA'!$D$93:$EQ$93,$DB31:$IO31,$IQ31:$OD31)*1000+SUMPRODUCT('calcA'!$D$93:$EQ$93,$DB31:$IO31+$ZQ31:$AFD31,$AFF31:$AKS31),SUMPRODUCT('calcA'!$D$93:$EQ$93,$DB31:$IO31*1001+$ZQ31:$AFD31))*100+34)</f>
        <v/>
      </c>
      <c r="CU31">
        <f>IF(OR(BF31=1,calcA!$A$6=0),1000000000,IF('calcA'!$JF$44=1,0,100000000)+IF('calcA'!$IQ$44=2,SUMPRODUCT('calcA'!$D$94:$EQ$94,$DB31:$IO31,$IQ31:$OD31)*1000+SUMPRODUCT('calcA'!$D$94:$EQ$94,$DB31:$IO31+$ZQ31:$AFD31,$AFF31:$AKS31),SUMPRODUCT('calcA'!$D$94:$EQ$94,$DB31:$IO31*1001+$ZQ31:$AFD31))*100+35)</f>
        <v/>
      </c>
      <c r="CV31">
        <f>IF(OR(BG31=1,calcA!$A$6=0),1000000000,IF('calcA'!$JF$45=1,0,100000000)+IF('calcA'!$IQ$45=2,SUMPRODUCT('calcA'!$D$95:$EQ$95,$DB31:$IO31,$IQ31:$OD31)*1000+SUMPRODUCT('calcA'!$D$95:$EQ$95,$DB31:$IO31+$ZQ31:$AFD31,$AFF31:$AKS31),SUMPRODUCT('calcA'!$D$95:$EQ$95,$DB31:$IO31*1001+$ZQ31:$AFD31))*100+36)</f>
        <v/>
      </c>
      <c r="CW31">
        <f>IF(OR(BH31=1,calcA!$A$6=0),1000000000,IF('calcA'!$JF$46=1,0,100000000)+IF('calcA'!$IQ$46=2,SUMPRODUCT('calcA'!$D$96:$EQ$96,$DB31:$IO31,$IQ31:$OD31)*1000+SUMPRODUCT('calcA'!$D$96:$EQ$96,$DB31:$IO31+$ZQ31:$AFD31,$AFF31:$AKS31),SUMPRODUCT('calcA'!$D$96:$EQ$96,$DB31:$IO31*1001+$ZQ31:$AFD31))*100+37)</f>
        <v/>
      </c>
      <c r="CX31">
        <f>IF(OR(BI31=1,calcA!$A$6=0),1000000000,IF('calcA'!$JF$47=1,0,100000000)+IF('calcA'!$IQ$47=2,SUMPRODUCT('calcA'!$D$97:$EQ$97,$DB31:$IO31,$IQ31:$OD31)*1000+SUMPRODUCT('calcA'!$D$97:$EQ$97,$DB31:$IO31+$ZQ31:$AFD31,$AFF31:$AKS31),SUMPRODUCT('calcA'!$D$97:$EQ$97,$DB31:$IO31*1001+$ZQ31:$AFD31))*100+38)</f>
        <v/>
      </c>
      <c r="CY31">
        <f>IF(OR(BJ31=1,calcA!$A$6=0),1000000000,IF('calcA'!$JF$48=1,0,100000000)+IF('calcA'!$IQ$48=2,SUMPRODUCT('calcA'!$D$98:$EQ$98,$DB31:$IO31,$IQ31:$OD31)*1000+SUMPRODUCT('calcA'!$D$98:$EQ$98,$DB31:$IO31+$ZQ31:$AFD31,$AFF31:$AKS31),SUMPRODUCT('calcA'!$D$98:$EQ$98,$DB31:$IO31*1001+$ZQ31:$AFD31))*100+39)</f>
        <v/>
      </c>
      <c r="CZ31">
        <f>IF(OR(BK31=1,calcA!$A$6=0),1000000000,IF('calcA'!$JF$49=1,0,100000000)+IF('calcA'!$IQ$49=2,SUMPRODUCT('calcA'!$D$99:$EQ$99,$DB31:$IO31,$IQ31:$OD31)*1000+SUMPRODUCT('calcA'!$D$99:$EQ$99,$DB31:$IO31+$ZQ31:$AFD31,$AFF31:$AKS31),SUMPRODUCT('calcA'!$D$99:$EQ$99,$DB31:$IO31*1001+$ZQ31:$AFD31))*100+40)</f>
        <v/>
      </c>
      <c r="DB31">
        <f>DB30*IF(OR($C30=1,$G30=1),0,1)</f>
        <v/>
      </c>
      <c r="DC31">
        <f>DC30*IF(OR($C30=2,$G30=2),0,1)</f>
        <v/>
      </c>
      <c r="DD31">
        <f>DD30*IF(OR($C30=3,$G30=3),0,1)</f>
        <v/>
      </c>
      <c r="DE31">
        <f>DE30*IF(OR($C30=4,$G30=4),0,1)</f>
        <v/>
      </c>
      <c r="DF31">
        <f>DF30*IF(OR($C30=5,$G30=5),0,1)</f>
        <v/>
      </c>
      <c r="DG31">
        <f>DG30*IF(OR($C30=6,$G30=6),0,1)</f>
        <v/>
      </c>
      <c r="DH31">
        <f>DH30*IF(OR($C30=7,$G30=7),0,1)</f>
        <v/>
      </c>
      <c r="DI31">
        <f>DI30*IF(OR($C30=8,$G30=8),0,1)</f>
        <v/>
      </c>
      <c r="DJ31">
        <f>DJ30*IF(OR($C30=9,$G30=9),0,1)</f>
        <v/>
      </c>
      <c r="DK31">
        <f>DK30*IF(OR($C30=10,$G30=10),0,1)</f>
        <v/>
      </c>
      <c r="DL31">
        <f>DL30*IF(OR($C30=11,$G30=11),0,1)</f>
        <v/>
      </c>
      <c r="DM31">
        <f>DM30*IF(OR($C30=12,$G30=12),0,1)</f>
        <v/>
      </c>
      <c r="DN31">
        <f>DN30*IF(OR($C30=13,$G30=13),0,1)</f>
        <v/>
      </c>
      <c r="DO31">
        <f>DO30*IF(OR($C30=14,$G30=14),0,1)</f>
        <v/>
      </c>
      <c r="DP31">
        <f>DP30*IF(OR($C30=15,$G30=15),0,1)</f>
        <v/>
      </c>
      <c r="DQ31">
        <f>DQ30*IF(OR($C30=16,$G30=16),0,1)</f>
        <v/>
      </c>
      <c r="DR31">
        <f>DR30*IF(OR($C30=17,$G30=17),0,1)</f>
        <v/>
      </c>
      <c r="DS31">
        <f>DS30*IF(OR($C30=18,$G30=18),0,1)</f>
        <v/>
      </c>
      <c r="DT31">
        <f>DT30*IF(OR($C30=19,$G30=19),0,1)</f>
        <v/>
      </c>
      <c r="DU31">
        <f>DU30*IF(OR($C30=20,$G30=20),0,1)</f>
        <v/>
      </c>
      <c r="DV31">
        <f>DV30*IF(OR($C30=21,$G30=21),0,1)</f>
        <v/>
      </c>
      <c r="DW31">
        <f>DW30*IF(OR($C30=22,$G30=22),0,1)</f>
        <v/>
      </c>
      <c r="DX31">
        <f>DX30*IF(OR($C30=23,$G30=23),0,1)</f>
        <v/>
      </c>
      <c r="DY31">
        <f>DY30*IF(OR($C30=24,$G30=24),0,1)</f>
        <v/>
      </c>
      <c r="DZ31">
        <f>DZ30*IF(OR($C30=25,$G30=25),0,1)</f>
        <v/>
      </c>
      <c r="EA31">
        <f>EA30*IF(OR($C30=26,$G30=26),0,1)</f>
        <v/>
      </c>
      <c r="EB31">
        <f>EB30*IF(OR($C30=27,$G30=27),0,1)</f>
        <v/>
      </c>
      <c r="EC31">
        <f>EC30*IF(OR($C30=28,$G30=28),0,1)</f>
        <v/>
      </c>
      <c r="ED31">
        <f>ED30*IF(OR($C30=29,$G30=29),0,1)</f>
        <v/>
      </c>
      <c r="EE31">
        <f>EE30*IF(OR($C30=30,$G30=30),0,1)</f>
        <v/>
      </c>
      <c r="EF31">
        <f>EF30*IF(OR($C30=31,$G30=31),0,1)</f>
        <v/>
      </c>
      <c r="EG31">
        <f>EG30*IF(OR($C30=32,$G30=32),0,1)</f>
        <v/>
      </c>
      <c r="EH31">
        <f>EH30*IF(OR($C30=33,$G30=33),0,1)</f>
        <v/>
      </c>
      <c r="EI31">
        <f>EI30*IF(OR($C30=34,$G30=34),0,1)</f>
        <v/>
      </c>
      <c r="EJ31">
        <f>EJ30*IF(OR($C30=35,$G30=35),0,1)</f>
        <v/>
      </c>
      <c r="EK31">
        <f>EK30*IF(OR($C30=36,$G30=36),0,1)</f>
        <v/>
      </c>
      <c r="EL31">
        <f>EL30*IF(OR($C30=37,$G30=37),0,1)</f>
        <v/>
      </c>
      <c r="EM31">
        <f>EM30*IF(OR($C30=38,$G30=38),0,1)</f>
        <v/>
      </c>
      <c r="EN31">
        <f>EN30*IF(OR($C30=39,$G30=39),0,1)</f>
        <v/>
      </c>
      <c r="EO31">
        <f>EO30*IF(OR($C30=40,$G30=40),0,1)</f>
        <v/>
      </c>
      <c r="EP31">
        <f>EP30*IF(OR($C30=41,$G30=41),0,1)</f>
        <v/>
      </c>
      <c r="EQ31">
        <f>EQ30*IF(OR($C30=42,$G30=42),0,1)</f>
        <v/>
      </c>
      <c r="ER31">
        <f>ER30*IF(OR($C30=43,$G30=43),0,1)</f>
        <v/>
      </c>
      <c r="ES31">
        <f>ES30*IF(OR($C30=44,$G30=44),0,1)</f>
        <v/>
      </c>
      <c r="ET31">
        <f>ET30*IF(OR($C30=45,$G30=45),0,1)</f>
        <v/>
      </c>
      <c r="EU31">
        <f>EU30*IF(OR($C30=46,$G30=46),0,1)</f>
        <v/>
      </c>
      <c r="EV31">
        <f>EV30*IF(OR($C30=47,$G30=47),0,1)</f>
        <v/>
      </c>
      <c r="EW31">
        <f>EW30*IF(OR($C30=48,$G30=48),0,1)</f>
        <v/>
      </c>
      <c r="EX31">
        <f>EX30*IF(OR($C30=49,$G30=49),0,1)</f>
        <v/>
      </c>
      <c r="EY31">
        <f>EY30*IF(OR($C30=50,$G30=50),0,1)</f>
        <v/>
      </c>
      <c r="EZ31">
        <f>EZ30*IF(OR($C30=51,$G30=51),0,1)</f>
        <v/>
      </c>
      <c r="FA31">
        <f>FA30*IF(OR($C30=52,$G30=52),0,1)</f>
        <v/>
      </c>
      <c r="FB31">
        <f>FB30*IF(OR($C30=53,$G30=53),0,1)</f>
        <v/>
      </c>
      <c r="FC31">
        <f>FC30*IF(OR($C30=54,$G30=54),0,1)</f>
        <v/>
      </c>
      <c r="FD31">
        <f>FD30*IF(OR($C30=55,$G30=55),0,1)</f>
        <v/>
      </c>
      <c r="FE31">
        <f>FE30*IF(OR($C30=56,$G30=56),0,1)</f>
        <v/>
      </c>
      <c r="FF31">
        <f>FF30*IF(OR($C30=57,$G30=57),0,1)</f>
        <v/>
      </c>
      <c r="FG31">
        <f>FG30*IF(OR($C30=58,$G30=58),0,1)</f>
        <v/>
      </c>
      <c r="FH31">
        <f>FH30*IF(OR($C30=59,$G30=59),0,1)</f>
        <v/>
      </c>
      <c r="FI31">
        <f>FI30*IF(OR($C30=60,$G30=60),0,1)</f>
        <v/>
      </c>
      <c r="FJ31">
        <f>FJ30*IF(OR($C30=61,$G30=61),0,1)</f>
        <v/>
      </c>
      <c r="FK31">
        <f>FK30*IF(OR($C30=62,$G30=62),0,1)</f>
        <v/>
      </c>
      <c r="FL31">
        <f>FL30*IF(OR($C30=63,$G30=63),0,1)</f>
        <v/>
      </c>
      <c r="FM31">
        <f>FM30*IF(OR($C30=64,$G30=64),0,1)</f>
        <v/>
      </c>
      <c r="FN31">
        <f>FN30*IF(OR($C30=65,$G30=65),0,1)</f>
        <v/>
      </c>
      <c r="FO31">
        <f>FO30*IF(OR($C30=66,$G30=66),0,1)</f>
        <v/>
      </c>
      <c r="FP31">
        <f>FP30*IF(OR($C30=67,$G30=67),0,1)</f>
        <v/>
      </c>
      <c r="FQ31">
        <f>FQ30*IF(OR($C30=68,$G30=68),0,1)</f>
        <v/>
      </c>
      <c r="FR31">
        <f>FR30*IF(OR($C30=69,$G30=69),0,1)</f>
        <v/>
      </c>
      <c r="FS31">
        <f>FS30*IF(OR($C30=70,$G30=70),0,1)</f>
        <v/>
      </c>
      <c r="FT31">
        <f>FT30*IF(OR($C30=71,$G30=71),0,1)</f>
        <v/>
      </c>
      <c r="FU31">
        <f>FU30*IF(OR($C30=72,$G30=72),0,1)</f>
        <v/>
      </c>
      <c r="FV31">
        <f>FV30*IF(OR($C30=73,$G30=73),0,1)</f>
        <v/>
      </c>
      <c r="FW31">
        <f>FW30*IF(OR($C30=74,$G30=74),0,1)</f>
        <v/>
      </c>
      <c r="FX31">
        <f>FX30*IF(OR($C30=75,$G30=75),0,1)</f>
        <v/>
      </c>
      <c r="FY31">
        <f>FY30*IF(OR($C30=76,$G30=76),0,1)</f>
        <v/>
      </c>
      <c r="FZ31">
        <f>FZ30*IF(OR($C30=77,$G30=77),0,1)</f>
        <v/>
      </c>
      <c r="GA31">
        <f>GA30*IF(OR($C30=78,$G30=78),0,1)</f>
        <v/>
      </c>
      <c r="GB31">
        <f>GB30*IF(OR($C30=79,$G30=79),0,1)</f>
        <v/>
      </c>
      <c r="GC31">
        <f>GC30*IF(OR($C30=80,$G30=80),0,1)</f>
        <v/>
      </c>
      <c r="GD31">
        <f>GD30*IF(OR($C30=81,$G30=81),0,1)</f>
        <v/>
      </c>
      <c r="GE31">
        <f>GE30*IF(OR($C30=82,$G30=82),0,1)</f>
        <v/>
      </c>
      <c r="GF31">
        <f>GF30*IF(OR($C30=83,$G30=83),0,1)</f>
        <v/>
      </c>
      <c r="GG31">
        <f>GG30*IF(OR($C30=84,$G30=84),0,1)</f>
        <v/>
      </c>
      <c r="GH31">
        <f>GH30*IF(OR($C30=85,$G30=85),0,1)</f>
        <v/>
      </c>
      <c r="GI31">
        <f>GI30*IF(OR($C30=86,$G30=86),0,1)</f>
        <v/>
      </c>
      <c r="GJ31">
        <f>GJ30*IF(OR($C30=87,$G30=87),0,1)</f>
        <v/>
      </c>
      <c r="GK31">
        <f>GK30*IF(OR($C30=88,$G30=88),0,1)</f>
        <v/>
      </c>
      <c r="GL31">
        <f>GL30*IF(OR($C30=89,$G30=89),0,1)</f>
        <v/>
      </c>
      <c r="GM31">
        <f>GM30*IF(OR($C30=90,$G30=90),0,1)</f>
        <v/>
      </c>
      <c r="GN31">
        <f>GN30*IF(OR($C30=91,$G30=91),0,1)</f>
        <v/>
      </c>
      <c r="GO31">
        <f>GO30*IF(OR($C30=92,$G30=92),0,1)</f>
        <v/>
      </c>
      <c r="GP31">
        <f>GP30*IF(OR($C30=93,$G30=93),0,1)</f>
        <v/>
      </c>
      <c r="GQ31">
        <f>GQ30*IF(OR($C30=94,$G30=94),0,1)</f>
        <v/>
      </c>
      <c r="GR31">
        <f>GR30*IF(OR($C30=95,$G30=95),0,1)</f>
        <v/>
      </c>
      <c r="GS31">
        <f>GS30*IF(OR($C30=96,$G30=96),0,1)</f>
        <v/>
      </c>
      <c r="GT31">
        <f>GT30*IF(OR($C30=97,$G30=97),0,1)</f>
        <v/>
      </c>
      <c r="GU31">
        <f>GU30*IF(OR($C30=98,$G30=98),0,1)</f>
        <v/>
      </c>
      <c r="GV31">
        <f>GV30*IF(OR($C30=99,$G30=99),0,1)</f>
        <v/>
      </c>
      <c r="GW31">
        <f>GW30*IF(OR($C30=100,$G30=100),0,1)</f>
        <v/>
      </c>
      <c r="GX31">
        <f>GX30*IF(OR($C30=101,$G30=101),0,1)</f>
        <v/>
      </c>
      <c r="GY31">
        <f>GY30*IF(OR($C30=102,$G30=102),0,1)</f>
        <v/>
      </c>
      <c r="GZ31">
        <f>GZ30*IF(OR($C30=103,$G30=103),0,1)</f>
        <v/>
      </c>
      <c r="HA31">
        <f>HA30*IF(OR($C30=104,$G30=104),0,1)</f>
        <v/>
      </c>
      <c r="HB31">
        <f>HB30*IF(OR($C30=105,$G30=105),0,1)</f>
        <v/>
      </c>
      <c r="HC31">
        <f>HC30*IF(OR($C30=106,$G30=106),0,1)</f>
        <v/>
      </c>
      <c r="HD31">
        <f>HD30*IF(OR($C30=107,$G30=107),0,1)</f>
        <v/>
      </c>
      <c r="HE31">
        <f>HE30*IF(OR($C30=108,$G30=108),0,1)</f>
        <v/>
      </c>
      <c r="HF31">
        <f>HF30*IF(OR($C30=109,$G30=109),0,1)</f>
        <v/>
      </c>
      <c r="HG31">
        <f>HG30*IF(OR($C30=110,$G30=110),0,1)</f>
        <v/>
      </c>
      <c r="HH31">
        <f>HH30*IF(OR($C30=111,$G30=111),0,1)</f>
        <v/>
      </c>
      <c r="HI31">
        <f>HI30*IF(OR($C30=112,$G30=112),0,1)</f>
        <v/>
      </c>
      <c r="HJ31">
        <f>HJ30*IF(OR($C30=113,$G30=113),0,1)</f>
        <v/>
      </c>
      <c r="HK31">
        <f>HK30*IF(OR($C30=114,$G30=114),0,1)</f>
        <v/>
      </c>
      <c r="HL31">
        <f>HL30*IF(OR($C30=115,$G30=115),0,1)</f>
        <v/>
      </c>
      <c r="HM31">
        <f>HM30*IF(OR($C30=116,$G30=116),0,1)</f>
        <v/>
      </c>
      <c r="HN31">
        <f>HN30*IF(OR($C30=117,$G30=117),0,1)</f>
        <v/>
      </c>
      <c r="HO31">
        <f>HO30*IF(OR($C30=118,$G30=118),0,1)</f>
        <v/>
      </c>
      <c r="HP31">
        <f>HP30*IF(OR($C30=119,$G30=119),0,1)</f>
        <v/>
      </c>
      <c r="HQ31">
        <f>HQ30*IF(OR($C30=120,$G30=120),0,1)</f>
        <v/>
      </c>
      <c r="HR31">
        <f>HR30*IF(OR($C30=121,$G30=121),0,1)</f>
        <v/>
      </c>
      <c r="HS31">
        <f>HS30*IF(OR($C30=122,$G30=122),0,1)</f>
        <v/>
      </c>
      <c r="HT31">
        <f>HT30*IF(OR($C30=123,$G30=123),0,1)</f>
        <v/>
      </c>
      <c r="HU31">
        <f>HU30*IF(OR($C30=124,$G30=124),0,1)</f>
        <v/>
      </c>
      <c r="HV31">
        <f>HV30*IF(OR($C30=125,$G30=125),0,1)</f>
        <v/>
      </c>
      <c r="HW31">
        <f>HW30*IF(OR($C30=126,$G30=126),0,1)</f>
        <v/>
      </c>
      <c r="HX31">
        <f>HX30*IF(OR($C30=127,$G30=127),0,1)</f>
        <v/>
      </c>
      <c r="HY31">
        <f>HY30*IF(OR($C30=128,$G30=128),0,1)</f>
        <v/>
      </c>
      <c r="HZ31">
        <f>HZ30*IF(OR($C30=129,$G30=129),0,1)</f>
        <v/>
      </c>
      <c r="IA31">
        <f>IA30*IF(OR($C30=130,$G30=130),0,1)</f>
        <v/>
      </c>
      <c r="IB31">
        <f>IB30*IF(OR($C30=131,$G30=131),0,1)</f>
        <v/>
      </c>
      <c r="IC31">
        <f>IC30*IF(OR($C30=132,$G30=132),0,1)</f>
        <v/>
      </c>
      <c r="ID31">
        <f>ID30*IF(OR($C30=133,$G30=133),0,1)</f>
        <v/>
      </c>
      <c r="IE31">
        <f>IE30*IF(OR($C30=134,$G30=134),0,1)</f>
        <v/>
      </c>
      <c r="IF31">
        <f>IF30*IF(OR($C30=135,$G30=135),0,1)</f>
        <v/>
      </c>
      <c r="IG31">
        <f>IG30*IF(OR($C30=136,$G30=136),0,1)</f>
        <v/>
      </c>
      <c r="IH31">
        <f>IH30*IF(OR($C30=137,$G30=137),0,1)</f>
        <v/>
      </c>
      <c r="II31">
        <f>II30*IF(OR($C30=138,$G30=138),0,1)</f>
        <v/>
      </c>
      <c r="IJ31">
        <f>IJ30*IF(OR($C30=139,$G30=139),0,1)</f>
        <v/>
      </c>
      <c r="IK31">
        <f>IK30*IF(OR($C30=140,$G30=140),0,1)</f>
        <v/>
      </c>
      <c r="IL31">
        <f>IL30*IF(OR($C30=141,$G30=141),0,1)</f>
        <v/>
      </c>
      <c r="IM31">
        <f>IM30*IF(OR($C30=142,$G30=142),0,1)</f>
        <v/>
      </c>
      <c r="IN31">
        <f>IN30*IF(OR($C30=143,$G30=143),0,1)</f>
        <v/>
      </c>
      <c r="IO31">
        <f>IO30*IF(OR($C30=144,$G30=144),0,1)</f>
        <v/>
      </c>
      <c r="IQ31">
        <f>IF('calcA'!D$106=1,DC31,1)</f>
        <v/>
      </c>
      <c r="IR31">
        <f>IF('calcA'!E$106=1,DD31,1)</f>
        <v/>
      </c>
      <c r="IS31">
        <f>IF('calcA'!F$106=1,DE31,1)</f>
        <v/>
      </c>
      <c r="IT31">
        <f>IF('calcA'!G$106=1,DF31,1)</f>
        <v/>
      </c>
      <c r="IU31">
        <f>IF('calcA'!H$106=1,DG31,1)</f>
        <v/>
      </c>
      <c r="IV31">
        <f>IF('calcA'!I$106=1,DH31,1)</f>
        <v/>
      </c>
      <c r="IW31">
        <f>IF('calcA'!J$106=1,DI31,1)</f>
        <v/>
      </c>
      <c r="IX31">
        <f>IF('calcA'!K$106=1,DJ31,1)</f>
        <v/>
      </c>
      <c r="IY31">
        <f>IF('calcA'!L$106=1,DK31,1)</f>
        <v/>
      </c>
      <c r="IZ31">
        <f>IF('calcA'!M$106=1,DL31,1)</f>
        <v/>
      </c>
      <c r="JA31">
        <f>IF('calcA'!N$106=1,DM31,1)</f>
        <v/>
      </c>
      <c r="JB31">
        <f>IF('calcA'!O$106=1,DN31,1)</f>
        <v/>
      </c>
      <c r="JC31">
        <f>IF('calcA'!P$106=1,DO31,1)</f>
        <v/>
      </c>
      <c r="JD31">
        <f>IF('calcA'!Q$106=1,DP31,1)</f>
        <v/>
      </c>
      <c r="JE31">
        <f>IF('calcA'!R$106=1,DQ31,1)</f>
        <v/>
      </c>
      <c r="JF31">
        <f>IF('calcA'!S$106=1,DR31,1)</f>
        <v/>
      </c>
      <c r="JG31">
        <f>IF('calcA'!T$106=1,DS31,1)</f>
        <v/>
      </c>
      <c r="JH31">
        <f>IF('calcA'!U$106=1,DT31,1)</f>
        <v/>
      </c>
      <c r="JI31">
        <f>IF('calcA'!V$106=1,DU31,1)</f>
        <v/>
      </c>
      <c r="JJ31">
        <f>IF('calcA'!W$106=1,DV31,1)</f>
        <v/>
      </c>
      <c r="JK31">
        <f>IF('calcA'!X$106=1,DW31,1)</f>
        <v/>
      </c>
      <c r="JL31">
        <f>IF('calcA'!Y$106=1,DX31,1)</f>
        <v/>
      </c>
      <c r="JM31">
        <f>IF('calcA'!Z$106=1,DY31,1)</f>
        <v/>
      </c>
      <c r="JN31">
        <f>IF('calcA'!AA$106=1,DZ31,1)</f>
        <v/>
      </c>
      <c r="JO31">
        <f>IF('calcA'!AB$106=1,EA31,1)</f>
        <v/>
      </c>
      <c r="JP31">
        <f>IF('calcA'!AC$106=1,EB31,1)</f>
        <v/>
      </c>
      <c r="JQ31">
        <f>IF('calcA'!AD$106=1,EC31,1)</f>
        <v/>
      </c>
      <c r="JR31">
        <f>IF('calcA'!AE$106=1,ED31,1)</f>
        <v/>
      </c>
      <c r="JS31">
        <f>IF('calcA'!AF$106=1,EE31,1)</f>
        <v/>
      </c>
      <c r="JT31">
        <f>IF('calcA'!AG$106=1,EF31,1)</f>
        <v/>
      </c>
      <c r="JU31">
        <f>IF('calcA'!AH$106=1,EG31,1)</f>
        <v/>
      </c>
      <c r="JV31">
        <f>IF('calcA'!AI$106=1,EH31,1)</f>
        <v/>
      </c>
      <c r="JW31">
        <f>IF('calcA'!AJ$106=1,EI31,1)</f>
        <v/>
      </c>
      <c r="JX31">
        <f>IF('calcA'!AK$106=1,EJ31,1)</f>
        <v/>
      </c>
      <c r="JY31">
        <f>IF('calcA'!AL$106=1,EK31,1)</f>
        <v/>
      </c>
      <c r="JZ31">
        <f>IF('calcA'!AM$106=1,EL31,1)</f>
        <v/>
      </c>
      <c r="KA31">
        <f>IF('calcA'!AN$106=1,EM31,1)</f>
        <v/>
      </c>
      <c r="KB31">
        <f>IF('calcA'!AO$106=1,EN31,1)</f>
        <v/>
      </c>
      <c r="KC31">
        <f>IF('calcA'!AP$106=1,EO31,1)</f>
        <v/>
      </c>
      <c r="KD31">
        <f>IF('calcA'!AQ$106=1,EP31,1)</f>
        <v/>
      </c>
      <c r="KE31">
        <f>IF('calcA'!AR$106=1,EQ31,1)</f>
        <v/>
      </c>
      <c r="KF31">
        <f>IF('calcA'!AS$106=1,ER31,1)</f>
        <v/>
      </c>
      <c r="KG31">
        <f>IF('calcA'!AT$106=1,ES31,1)</f>
        <v/>
      </c>
      <c r="KH31">
        <f>IF('calcA'!AU$106=1,ET31,1)</f>
        <v/>
      </c>
      <c r="KI31">
        <f>IF('calcA'!AV$106=1,EU31,1)</f>
        <v/>
      </c>
      <c r="KJ31">
        <f>IF('calcA'!AW$106=1,EV31,1)</f>
        <v/>
      </c>
      <c r="KK31">
        <f>IF('calcA'!AX$106=1,EW31,1)</f>
        <v/>
      </c>
      <c r="KL31">
        <f>IF('calcA'!AY$106=1,EX31,1)</f>
        <v/>
      </c>
      <c r="KM31">
        <f>IF('calcA'!AZ$106=1,EY31,1)</f>
        <v/>
      </c>
      <c r="KN31">
        <f>IF('calcA'!BA$106=1,EZ31,1)</f>
        <v/>
      </c>
      <c r="KO31">
        <f>IF('calcA'!BB$106=1,FA31,1)</f>
        <v/>
      </c>
      <c r="KP31">
        <f>IF('calcA'!BC$106=1,FB31,1)</f>
        <v/>
      </c>
      <c r="KQ31">
        <f>IF('calcA'!BD$106=1,FC31,1)</f>
        <v/>
      </c>
      <c r="KR31">
        <f>IF('calcA'!BE$106=1,FD31,1)</f>
        <v/>
      </c>
      <c r="KS31">
        <f>IF('calcA'!BF$106=1,FE31,1)</f>
        <v/>
      </c>
      <c r="KT31">
        <f>IF('calcA'!BG$106=1,FF31,1)</f>
        <v/>
      </c>
      <c r="KU31">
        <f>IF('calcA'!BH$106=1,FG31,1)</f>
        <v/>
      </c>
      <c r="KV31">
        <f>IF('calcA'!BI$106=1,FH31,1)</f>
        <v/>
      </c>
      <c r="KW31">
        <f>IF('calcA'!BJ$106=1,FI31,1)</f>
        <v/>
      </c>
      <c r="KX31">
        <f>IF('calcA'!BK$106=1,FJ31,1)</f>
        <v/>
      </c>
      <c r="KY31">
        <f>IF('calcA'!BL$106=1,FK31,1)</f>
        <v/>
      </c>
      <c r="KZ31">
        <f>IF('calcA'!BM$106=1,FL31,1)</f>
        <v/>
      </c>
      <c r="LA31">
        <f>IF('calcA'!BN$106=1,FM31,1)</f>
        <v/>
      </c>
      <c r="LB31">
        <f>IF('calcA'!BO$106=1,FN31,1)</f>
        <v/>
      </c>
      <c r="LC31">
        <f>IF('calcA'!BP$106=1,FO31,1)</f>
        <v/>
      </c>
      <c r="LD31">
        <f>IF('calcA'!BQ$106=1,FP31,1)</f>
        <v/>
      </c>
      <c r="LE31">
        <f>IF('calcA'!BR$106=1,FQ31,1)</f>
        <v/>
      </c>
      <c r="LF31">
        <f>IF('calcA'!BS$106=1,FR31,1)</f>
        <v/>
      </c>
      <c r="LG31">
        <f>IF('calcA'!BT$106=1,FS31,1)</f>
        <v/>
      </c>
      <c r="LH31">
        <f>IF('calcA'!BU$106=1,FT31,1)</f>
        <v/>
      </c>
      <c r="LI31">
        <f>IF('calcA'!BV$106=1,FU31,1)</f>
        <v/>
      </c>
      <c r="LJ31">
        <f>IF('calcA'!BW$106=1,FV31,1)</f>
        <v/>
      </c>
      <c r="LK31">
        <f>IF('calcA'!BX$106=1,FW31,1)</f>
        <v/>
      </c>
      <c r="LL31">
        <f>IF('calcA'!BY$106=1,FX31,1)</f>
        <v/>
      </c>
      <c r="LM31">
        <f>IF('calcA'!BZ$106=1,FY31,1)</f>
        <v/>
      </c>
      <c r="LN31">
        <f>IF('calcA'!CA$106=1,FZ31,1)</f>
        <v/>
      </c>
      <c r="LO31">
        <f>IF('calcA'!CB$106=1,GA31,1)</f>
        <v/>
      </c>
      <c r="LP31">
        <f>IF('calcA'!CC$106=1,GB31,1)</f>
        <v/>
      </c>
      <c r="LQ31">
        <f>IF('calcA'!CD$106=1,GC31,1)</f>
        <v/>
      </c>
      <c r="LR31">
        <f>IF('calcA'!CE$106=1,GD31,1)</f>
        <v/>
      </c>
      <c r="LS31">
        <f>IF('calcA'!CF$106=1,GE31,1)</f>
        <v/>
      </c>
      <c r="LT31">
        <f>IF('calcA'!CG$106=1,GF31,1)</f>
        <v/>
      </c>
      <c r="LU31">
        <f>IF('calcA'!CH$106=1,GG31,1)</f>
        <v/>
      </c>
      <c r="LV31">
        <f>IF('calcA'!CI$106=1,GH31,1)</f>
        <v/>
      </c>
      <c r="LW31">
        <f>IF('calcA'!CJ$106=1,GI31,1)</f>
        <v/>
      </c>
      <c r="LX31">
        <f>IF('calcA'!CK$106=1,GJ31,1)</f>
        <v/>
      </c>
      <c r="LY31">
        <f>IF('calcA'!CL$106=1,GK31,1)</f>
        <v/>
      </c>
      <c r="LZ31">
        <f>IF('calcA'!CM$106=1,GL31,1)</f>
        <v/>
      </c>
      <c r="MA31">
        <f>IF('calcA'!CN$106=1,GM31,1)</f>
        <v/>
      </c>
      <c r="MB31">
        <f>IF('calcA'!CO$106=1,GN31,1)</f>
        <v/>
      </c>
      <c r="MC31">
        <f>IF('calcA'!CP$106=1,GO31,1)</f>
        <v/>
      </c>
      <c r="MD31">
        <f>IF('calcA'!CQ$106=1,GP31,1)</f>
        <v/>
      </c>
      <c r="ME31">
        <f>IF('calcA'!CR$106=1,GQ31,1)</f>
        <v/>
      </c>
      <c r="MF31">
        <f>IF('calcA'!CS$106=1,GR31,1)</f>
        <v/>
      </c>
      <c r="MG31">
        <f>IF('calcA'!CT$106=1,GS31,1)</f>
        <v/>
      </c>
      <c r="MH31">
        <f>IF('calcA'!CU$106=1,GT31,1)</f>
        <v/>
      </c>
      <c r="MI31">
        <f>IF('calcA'!CV$106=1,GU31,1)</f>
        <v/>
      </c>
      <c r="MJ31">
        <f>IF('calcA'!CW$106=1,GV31,1)</f>
        <v/>
      </c>
      <c r="MK31">
        <f>IF('calcA'!CX$106=1,GW31,1)</f>
        <v/>
      </c>
      <c r="ML31">
        <f>IF('calcA'!CY$106=1,GX31,1)</f>
        <v/>
      </c>
      <c r="MM31">
        <f>IF('calcA'!CZ$106=1,GY31,1)</f>
        <v/>
      </c>
      <c r="MN31">
        <f>IF('calcA'!DA$106=1,GZ31,1)</f>
        <v/>
      </c>
      <c r="MO31">
        <f>IF('calcA'!DB$106=1,HA31,1)</f>
        <v/>
      </c>
      <c r="MP31">
        <f>IF('calcA'!DC$106=1,HB31,1)</f>
        <v/>
      </c>
      <c r="MQ31">
        <f>IF('calcA'!DD$106=1,HC31,1)</f>
        <v/>
      </c>
      <c r="MR31">
        <f>IF('calcA'!DE$106=1,HD31,1)</f>
        <v/>
      </c>
      <c r="MS31">
        <f>IF('calcA'!DF$106=1,HE31,1)</f>
        <v/>
      </c>
      <c r="MT31">
        <f>IF('calcA'!DG$106=1,HF31,1)</f>
        <v/>
      </c>
      <c r="MU31">
        <f>IF('calcA'!DH$106=1,HG31,1)</f>
        <v/>
      </c>
      <c r="MV31">
        <f>IF('calcA'!DI$106=1,HH31,1)</f>
        <v/>
      </c>
      <c r="MW31">
        <f>IF('calcA'!DJ$106=1,HI31,1)</f>
        <v/>
      </c>
      <c r="MX31">
        <f>IF('calcA'!DK$106=1,HJ31,1)</f>
        <v/>
      </c>
      <c r="MY31">
        <f>IF('calcA'!DL$106=1,HK31,1)</f>
        <v/>
      </c>
      <c r="MZ31">
        <f>IF('calcA'!DM$106=1,HL31,1)</f>
        <v/>
      </c>
      <c r="NA31">
        <f>IF('calcA'!DN$106=1,HM31,1)</f>
        <v/>
      </c>
      <c r="NB31">
        <f>IF('calcA'!DO$106=1,HN31,1)</f>
        <v/>
      </c>
      <c r="NC31">
        <f>IF('calcA'!DP$106=1,HO31,1)</f>
        <v/>
      </c>
      <c r="ND31">
        <f>IF('calcA'!DQ$106=1,HP31,1)</f>
        <v/>
      </c>
      <c r="NE31">
        <f>IF('calcA'!DR$106=1,HQ31,1)</f>
        <v/>
      </c>
      <c r="NF31">
        <f>IF('calcA'!DS$106=1,HR31,1)</f>
        <v/>
      </c>
      <c r="NG31">
        <f>IF('calcA'!DT$106=1,HS31,1)</f>
        <v/>
      </c>
      <c r="NH31">
        <f>IF('calcA'!DU$106=1,HT31,1)</f>
        <v/>
      </c>
      <c r="NI31">
        <f>IF('calcA'!DV$106=1,HU31,1)</f>
        <v/>
      </c>
      <c r="NJ31">
        <f>IF('calcA'!DW$106=1,HV31,1)</f>
        <v/>
      </c>
      <c r="NK31">
        <f>IF('calcA'!DX$106=1,HW31,1)</f>
        <v/>
      </c>
      <c r="NL31">
        <f>IF('calcA'!DY$106=1,HX31,1)</f>
        <v/>
      </c>
      <c r="NM31">
        <f>IF('calcA'!DZ$106=1,HY31,1)</f>
        <v/>
      </c>
      <c r="NN31">
        <f>IF('calcA'!EA$106=1,HZ31,1)</f>
        <v/>
      </c>
      <c r="NO31">
        <f>IF('calcA'!EB$106=1,IA31,1)</f>
        <v/>
      </c>
      <c r="NP31">
        <f>IF('calcA'!EC$106=1,IB31,1)</f>
        <v/>
      </c>
      <c r="NQ31">
        <f>IF('calcA'!ED$106=1,IC31,1)</f>
        <v/>
      </c>
      <c r="NR31">
        <f>IF('calcA'!EE$106=1,ID31,1)</f>
        <v/>
      </c>
      <c r="NS31">
        <f>IF('calcA'!EF$106=1,IE31,1)</f>
        <v/>
      </c>
      <c r="NT31">
        <f>IF('calcA'!EG$106=1,IF31,1)</f>
        <v/>
      </c>
      <c r="NU31">
        <f>IF('calcA'!EH$106=1,IG31,1)</f>
        <v/>
      </c>
      <c r="NV31">
        <f>IF('calcA'!EI$106=1,IH31,1)</f>
        <v/>
      </c>
      <c r="NW31">
        <f>IF('calcA'!EJ$106=1,II31,1)</f>
        <v/>
      </c>
      <c r="NX31">
        <f>IF('calcA'!EK$106=1,IJ31,1)</f>
        <v/>
      </c>
      <c r="NY31">
        <f>IF('calcA'!EL$106=1,IK31,1)</f>
        <v/>
      </c>
      <c r="NZ31">
        <f>IF('calcA'!EM$106=1,IL31,1)</f>
        <v/>
      </c>
      <c r="OA31">
        <f>IF('calcA'!EN$106=1,IM31,1)</f>
        <v/>
      </c>
      <c r="OB31">
        <f>IF('calcA'!EO$106=1,IN31,1)</f>
        <v/>
      </c>
      <c r="OC31">
        <f>IF('calcA'!EP$106=1,IO31,1)</f>
        <v/>
      </c>
      <c r="OD31" t="n">
        <v>1</v>
      </c>
      <c r="OF31">
        <f>IF($B31=0,1000000000,IF(INDEX('calcA'!$D$60:$EQ$99,$B31,1)*IF($W31=1,DB31+ZQ31,DB31)=1,IF(AND($E31=2,IF($W31=1,AFF31,IQ31)=0),1000000000,IF($V31=1,INDEX('calcA'!$D$130:$EQ$169,$B31,1)+IF(AND($E31=1,IQ31=0),25,0),INDEX('calcA'!D$110:D$114,$F31+1)+IF(AND($E31=1,IQ31=0),1000,0)+IF($H31=1,INDEX('calcA'!$D$180:$EQ$219,$B31,1)*500,0)-IF(AND($U31=1,'calcA'!D$117=1,DC31=0),300,0))),1000000000))</f>
        <v/>
      </c>
      <c r="OG31">
        <f>IF($B31=0,1000000000,IF(INDEX('calcA'!$D$60:$EQ$99,$B31,2)*IF($W31=1,DC31+ZR31,DC31)=1,IF(AND($E31=2,IF($W31=1,AFG31,IR31)=0),1000000000,IF($V31=1,INDEX('calcA'!$D$130:$EQ$169,$B31,2)+IF(AND($E31=1,IR31=0),25,0),INDEX('calcA'!E$110:E$114,$F31+1)+IF(AND($E31=1,IR31=0),1000,0)+IF($H31=1,INDEX('calcA'!$D$180:$EQ$219,$B31,2)*500,0)-IF(AND('calcA'!D$117=1,UB31&gt;0),300,0)-IF(AND($U31=1,'calcA'!E$117=1,DD31=0),300,0))),1000000000))</f>
        <v/>
      </c>
      <c r="OH31">
        <f>IF($B31=0,1000000000,IF(INDEX('calcA'!$D$60:$EQ$99,$B31,3)*IF($W31=1,DD31+ZS31,DD31)=1,IF(AND($E31=2,IF($W31=1,AFH31,IS31)=0),1000000000,IF($V31=1,INDEX('calcA'!$D$130:$EQ$169,$B31,3)+IF(AND($E31=1,IS31=0),25,0),INDEX('calcA'!F$110:F$114,$F31+1)+IF(AND($E31=1,IS31=0),1000,0)+IF($H31=1,INDEX('calcA'!$D$180:$EQ$219,$B31,3)*500,0)-IF(AND('calcA'!E$117=1,UC31&gt;0),300,0)-IF(AND($U31=1,'calcA'!F$117=1,DE31=0),300,0))),1000000000))</f>
        <v/>
      </c>
      <c r="OI31">
        <f>IF($B31=0,1000000000,IF(INDEX('calcA'!$D$60:$EQ$99,$B31,4)*IF($W31=1,DE31+ZT31,DE31)=1,IF(AND($E31=2,IF($W31=1,AFI31,IT31)=0),1000000000,IF($V31=1,INDEX('calcA'!$D$130:$EQ$169,$B31,4)+IF(AND($E31=1,IT31=0),25,0),INDEX('calcA'!G$110:G$114,$F31+1)+IF(AND($E31=1,IT31=0),1000,0)+IF($H31=1,INDEX('calcA'!$D$180:$EQ$219,$B31,4)*500,0)-IF(AND('calcA'!F$117=1,UD31&gt;0),300,0)-IF(AND($U31=1,'calcA'!G$117=1,DF31=0),300,0))),1000000000))</f>
        <v/>
      </c>
      <c r="OJ31">
        <f>IF($B31=0,1000000000,IF(INDEX('calcA'!$D$60:$EQ$99,$B31,5)*IF($W31=1,DF31+ZU31,DF31)=1,IF(AND($E31=2,IF($W31=1,AFJ31,IU31)=0),1000000000,IF($V31=1,INDEX('calcA'!$D$130:$EQ$169,$B31,5)+IF(AND($E31=1,IU31=0),25,0),INDEX('calcA'!H$110:H$114,$F31+1)+IF(AND($E31=1,IU31=0),1000,0)+IF($H31=1,INDEX('calcA'!$D$180:$EQ$219,$B31,5)*500,0)-IF(AND('calcA'!G$117=1,UE31&gt;0),300,0)-IF(AND($U31=1,'calcA'!H$117=1,DG31=0),300,0))),1000000000))</f>
        <v/>
      </c>
      <c r="OK31">
        <f>IF($B31=0,1000000000,IF(INDEX('calcA'!$D$60:$EQ$99,$B31,6)*IF($W31=1,DG31+ZV31,DG31)=1,IF(AND($E31=2,IF($W31=1,AFK31,IV31)=0),1000000000,IF($V31=1,INDEX('calcA'!$D$130:$EQ$169,$B31,6)+IF(AND($E31=1,IV31=0),25,0),INDEX('calcA'!I$110:I$114,$F31+1)+IF(AND($E31=1,IV31=0),1000,0)+IF($H31=1,INDEX('calcA'!$D$180:$EQ$219,$B31,6)*500,0)-IF(AND('calcA'!H$117=1,UF31&gt;0),300,0)-IF(AND($U31=1,'calcA'!I$117=1,DH31=0),300,0))),1000000000))</f>
        <v/>
      </c>
      <c r="OL31">
        <f>IF($B31=0,1000000000,IF(INDEX('calcA'!$D$60:$EQ$99,$B31,7)*IF($W31=1,DH31+ZW31,DH31)=1,IF(AND($E31=2,IF($W31=1,AFL31,IW31)=0),1000000000,IF($V31=1,INDEX('calcA'!$D$130:$EQ$169,$B31,7)+IF(AND($E31=1,IW31=0),25,0),INDEX('calcA'!J$110:J$114,$F31+1)+IF(AND($E31=1,IW31=0),1000,0)+IF($H31=1,INDEX('calcA'!$D$180:$EQ$219,$B31,7)*500,0)-IF(AND('calcA'!I$117=1,UG31&gt;0),300,0)-IF(AND($U31=1,'calcA'!J$117=1,DI31=0),300,0))),1000000000))</f>
        <v/>
      </c>
      <c r="OM31">
        <f>IF($B31=0,1000000000,IF(INDEX('calcA'!$D$60:$EQ$99,$B31,8)*IF($W31=1,DI31+ZX31,DI31)=1,IF(AND($E31=2,IF($W31=1,AFM31,IX31)=0),1000000000,IF($V31=1,INDEX('calcA'!$D$130:$EQ$169,$B31,8)+IF(AND($E31=1,IX31=0),25,0),INDEX('calcA'!K$110:K$114,$F31+1)+IF(AND($E31=1,IX31=0),1000,0)+IF($H31=1,INDEX('calcA'!$D$180:$EQ$219,$B31,8)*500,0)-IF(AND('calcA'!J$117=1,UH31&gt;0),300,0)-IF(AND($U31=1,'calcA'!K$117=1,DJ31=0),300,0))),1000000000))</f>
        <v/>
      </c>
      <c r="ON31">
        <f>IF($B31=0,1000000000,IF(INDEX('calcA'!$D$60:$EQ$99,$B31,9)*IF($W31=1,DJ31+ZY31,DJ31)=1,IF(AND($E31=2,IF($W31=1,AFN31,IY31)=0),1000000000,IF($V31=1,INDEX('calcA'!$D$130:$EQ$169,$B31,9)+IF(AND($E31=1,IY31=0),25,0),INDEX('calcA'!L$110:L$114,$F31+1)+IF(AND($E31=1,IY31=0),1000,0)+IF($H31=1,INDEX('calcA'!$D$180:$EQ$219,$B31,9)*500,0)-IF(AND('calcA'!K$117=1,UI31&gt;0),300,0)-IF(AND($U31=1,'calcA'!L$117=1,DK31=0),300,0))),1000000000))</f>
        <v/>
      </c>
      <c r="OO31">
        <f>IF($B31=0,1000000000,IF(INDEX('calcA'!$D$60:$EQ$99,$B31,10)*IF($W31=1,DK31+ZZ31,DK31)=1,IF(AND($E31=2,IF($W31=1,AFO31,IZ31)=0),1000000000,IF($V31=1,INDEX('calcA'!$D$130:$EQ$169,$B31,10)+IF(AND($E31=1,IZ31=0),25,0),INDEX('calcA'!M$110:M$114,$F31+1)+IF(AND($E31=1,IZ31=0),1000,0)+IF($H31=1,INDEX('calcA'!$D$180:$EQ$219,$B31,10)*500,0)-IF(AND('calcA'!L$117=1,UJ31&gt;0),300,0)-IF(AND($U31=1,'calcA'!M$117=1,DL31=0),300,0))),1000000000))</f>
        <v/>
      </c>
      <c r="OP31">
        <f>IF($B31=0,1000000000,IF(INDEX('calcA'!$D$60:$EQ$99,$B31,11)*IF($W31=1,DL31+AAA31,DL31)=1,IF(AND($E31=2,IF($W31=1,AFP31,JA31)=0),1000000000,IF($V31=1,INDEX('calcA'!$D$130:$EQ$169,$B31,11)+IF(AND($E31=1,JA31=0),25,0),INDEX('calcA'!N$110:N$114,$F31+1)+IF(AND($E31=1,JA31=0),1000,0)+IF($H31=1,INDEX('calcA'!$D$180:$EQ$219,$B31,11)*500,0)-IF(AND('calcA'!M$117=1,UK31&gt;0),300,0)-IF(AND($U31=1,'calcA'!N$117=1,DM31=0),300,0))),1000000000))</f>
        <v/>
      </c>
      <c r="OQ31">
        <f>IF($B31=0,1000000000,IF(INDEX('calcA'!$D$60:$EQ$99,$B31,12)*IF($W31=1,DM31+AAB31,DM31)=1,IF(AND($E31=2,IF($W31=1,AFQ31,JB31)=0),1000000000,IF($V31=1,INDEX('calcA'!$D$130:$EQ$169,$B31,12)+IF(AND($E31=1,JB31=0),25,0),INDEX('calcA'!O$110:O$114,$F31+1)+IF(AND($E31=1,JB31=0),1000,0)+IF($H31=1,INDEX('calcA'!$D$180:$EQ$219,$B31,12)*500,0)-IF(AND('calcA'!N$117=1,UL31&gt;0),300,0)-IF(AND($U31=1,'calcA'!O$117=1,DN31=0),300,0))),1000000000))</f>
        <v/>
      </c>
      <c r="OR31">
        <f>IF($B31=0,1000000000,IF(INDEX('calcA'!$D$60:$EQ$99,$B31,13)*IF($W31=1,DN31+AAC31,DN31)=1,IF(AND($E31=2,IF($W31=1,AFR31,JC31)=0),1000000000,IF($V31=1,INDEX('calcA'!$D$130:$EQ$169,$B31,13)+IF(AND($E31=1,JC31=0),25,0),INDEX('calcA'!P$110:P$114,$F31+1)+IF(AND($E31=1,JC31=0),1000,0)+IF($H31=1,INDEX('calcA'!$D$180:$EQ$219,$B31,13)*500,0)-IF(AND('calcA'!O$117=1,UM31&gt;0),300,0)-IF(AND($U31=1,'calcA'!P$117=1,DO31=0),300,0))),1000000000))</f>
        <v/>
      </c>
      <c r="OS31">
        <f>IF($B31=0,1000000000,IF(INDEX('calcA'!$D$60:$EQ$99,$B31,14)*IF($W31=1,DO31+AAD31,DO31)=1,IF(AND($E31=2,IF($W31=1,AFS31,JD31)=0),1000000000,IF($V31=1,INDEX('calcA'!$D$130:$EQ$169,$B31,14)+IF(AND($E31=1,JD31=0),25,0),INDEX('calcA'!Q$110:Q$114,$F31+1)+IF(AND($E31=1,JD31=0),1000,0)+IF($H31=1,INDEX('calcA'!$D$180:$EQ$219,$B31,14)*500,0)-IF(AND('calcA'!P$117=1,UN31&gt;0),300,0)-IF(AND($U31=1,'calcA'!Q$117=1,DP31=0),300,0))),1000000000))</f>
        <v/>
      </c>
      <c r="OT31">
        <f>IF($B31=0,1000000000,IF(INDEX('calcA'!$D$60:$EQ$99,$B31,15)*IF($W31=1,DP31+AAE31,DP31)=1,IF(AND($E31=2,IF($W31=1,AFT31,JE31)=0),1000000000,IF($V31=1,INDEX('calcA'!$D$130:$EQ$169,$B31,15)+IF(AND($E31=1,JE31=0),25,0),INDEX('calcA'!R$110:R$114,$F31+1)+IF(AND($E31=1,JE31=0),1000,0)+IF($H31=1,INDEX('calcA'!$D$180:$EQ$219,$B31,15)*500,0)-IF(AND('calcA'!Q$117=1,UO31&gt;0),300,0)-IF(AND($U31=1,'calcA'!R$117=1,DQ31=0),300,0))),1000000000))</f>
        <v/>
      </c>
      <c r="OU31">
        <f>IF($B31=0,1000000000,IF(INDEX('calcA'!$D$60:$EQ$99,$B31,16)*IF($W31=1,DQ31+AAF31,DQ31)=1,IF(AND($E31=2,IF($W31=1,AFU31,JF31)=0),1000000000,IF($V31=1,INDEX('calcA'!$D$130:$EQ$169,$B31,16)+IF(AND($E31=1,JF31=0),25,0),INDEX('calcA'!S$110:S$114,$F31+1)+IF(AND($E31=1,JF31=0),1000,0)+IF($H31=1,INDEX('calcA'!$D$180:$EQ$219,$B31,16)*500,0)-IF(AND('calcA'!R$117=1,UP31&gt;0),300,0)-IF(AND($U31=1,'calcA'!S$117=1,DR31=0),300,0))),1000000000))</f>
        <v/>
      </c>
      <c r="OV31">
        <f>IF($B31=0,1000000000,IF(INDEX('calcA'!$D$60:$EQ$99,$B31,17)*IF($W31=1,DR31+AAG31,DR31)=1,IF(AND($E31=2,IF($W31=1,AFV31,JG31)=0),1000000000,IF($V31=1,INDEX('calcA'!$D$130:$EQ$169,$B31,17)+IF(AND($E31=1,JG31=0),25,0),INDEX('calcA'!T$110:T$114,$F31+1)+IF(AND($E31=1,JG31=0),1000,0)+IF($H31=1,INDEX('calcA'!$D$180:$EQ$219,$B31,17)*500,0)-IF(AND('calcA'!S$117=1,UQ31&gt;0),300,0)-IF(AND($U31=1,'calcA'!T$117=1,DS31=0),300,0))),1000000000))</f>
        <v/>
      </c>
      <c r="OW31">
        <f>IF($B31=0,1000000000,IF(INDEX('calcA'!$D$60:$EQ$99,$B31,18)*IF($W31=1,DS31+AAH31,DS31)=1,IF(AND($E31=2,IF($W31=1,AFW31,JH31)=0),1000000000,IF($V31=1,INDEX('calcA'!$D$130:$EQ$169,$B31,18)+IF(AND($E31=1,JH31=0),25,0),INDEX('calcA'!U$110:U$114,$F31+1)+IF(AND($E31=1,JH31=0),1000,0)+IF($H31=1,INDEX('calcA'!$D$180:$EQ$219,$B31,18)*500,0)-IF(AND('calcA'!T$117=1,UR31&gt;0),300,0)-IF(AND($U31=1,'calcA'!U$117=1,DT31=0),300,0))),1000000000))</f>
        <v/>
      </c>
      <c r="OX31">
        <f>IF($B31=0,1000000000,IF(INDEX('calcA'!$D$60:$EQ$99,$B31,19)*IF($W31=1,DT31+AAI31,DT31)=1,IF(AND($E31=2,IF($W31=1,AFX31,JI31)=0),1000000000,IF($V31=1,INDEX('calcA'!$D$130:$EQ$169,$B31,19)+IF(AND($E31=1,JI31=0),25,0),INDEX('calcA'!V$110:V$114,$F31+1)+IF(AND($E31=1,JI31=0),1000,0)+IF($H31=1,INDEX('calcA'!$D$180:$EQ$219,$B31,19)*500,0)-IF(AND('calcA'!U$117=1,US31&gt;0),300,0)-IF(AND($U31=1,'calcA'!V$117=1,DU31=0),300,0))),1000000000))</f>
        <v/>
      </c>
      <c r="OY31">
        <f>IF($B31=0,1000000000,IF(INDEX('calcA'!$D$60:$EQ$99,$B31,20)*IF($W31=1,DU31+AAJ31,DU31)=1,IF(AND($E31=2,IF($W31=1,AFY31,JJ31)=0),1000000000,IF($V31=1,INDEX('calcA'!$D$130:$EQ$169,$B31,20)+IF(AND($E31=1,JJ31=0),25,0),INDEX('calcA'!W$110:W$114,$F31+1)+IF(AND($E31=1,JJ31=0),1000,0)+IF($H31=1,INDEX('calcA'!$D$180:$EQ$219,$B31,20)*500,0)-IF(AND('calcA'!V$117=1,UT31&gt;0),300,0)-IF(AND($U31=1,'calcA'!W$117=1,DV31=0),300,0))),1000000000))</f>
        <v/>
      </c>
      <c r="OZ31">
        <f>IF($B31=0,1000000000,IF(INDEX('calcA'!$D$60:$EQ$99,$B31,21)*IF($W31=1,DV31+AAK31,DV31)=1,IF(AND($E31=2,IF($W31=1,AFZ31,JK31)=0),1000000000,IF($V31=1,INDEX('calcA'!$D$130:$EQ$169,$B31,21)+IF(AND($E31=1,JK31=0),25,0),INDEX('calcA'!X$110:X$114,$F31+1)+IF(AND($E31=1,JK31=0),1000,0)+IF($H31=1,INDEX('calcA'!$D$180:$EQ$219,$B31,21)*500,0)-IF(AND('calcA'!W$117=1,UU31&gt;0),300,0)-IF(AND($U31=1,'calcA'!X$117=1,DW31=0),300,0))),1000000000))</f>
        <v/>
      </c>
      <c r="PA31">
        <f>IF($B31=0,1000000000,IF(INDEX('calcA'!$D$60:$EQ$99,$B31,22)*IF($W31=1,DW31+AAL31,DW31)=1,IF(AND($E31=2,IF($W31=1,AGA31,JL31)=0),1000000000,IF($V31=1,INDEX('calcA'!$D$130:$EQ$169,$B31,22)+IF(AND($E31=1,JL31=0),25,0),INDEX('calcA'!Y$110:Y$114,$F31+1)+IF(AND($E31=1,JL31=0),1000,0)+IF($H31=1,INDEX('calcA'!$D$180:$EQ$219,$B31,22)*500,0)-IF(AND('calcA'!X$117=1,UV31&gt;0),300,0)-IF(AND($U31=1,'calcA'!Y$117=1,DX31=0),300,0))),1000000000))</f>
        <v/>
      </c>
      <c r="PB31">
        <f>IF($B31=0,1000000000,IF(INDEX('calcA'!$D$60:$EQ$99,$B31,23)*IF($W31=1,DX31+AAM31,DX31)=1,IF(AND($E31=2,IF($W31=1,AGB31,JM31)=0),1000000000,IF($V31=1,INDEX('calcA'!$D$130:$EQ$169,$B31,23)+IF(AND($E31=1,JM31=0),25,0),INDEX('calcA'!Z$110:Z$114,$F31+1)+IF(AND($E31=1,JM31=0),1000,0)+IF($H31=1,INDEX('calcA'!$D$180:$EQ$219,$B31,23)*500,0)-IF(AND('calcA'!Y$117=1,UW31&gt;0),300,0)-IF(AND($U31=1,'calcA'!Z$117=1,DY31=0),300,0))),1000000000))</f>
        <v/>
      </c>
      <c r="PC31">
        <f>IF($B31=0,1000000000,IF(INDEX('calcA'!$D$60:$EQ$99,$B31,24)*IF($W31=1,DY31+AAN31,DY31)=1,IF(AND($E31=2,IF($W31=1,AGC31,JN31)=0),1000000000,IF($V31=1,INDEX('calcA'!$D$130:$EQ$169,$B31,24)+IF(AND($E31=1,JN31=0),25,0),INDEX('calcA'!AA$110:AA$114,$F31+1)+IF(AND($E31=1,JN31=0),1000,0)+IF($H31=1,INDEX('calcA'!$D$180:$EQ$219,$B31,24)*500,0)-IF(AND('calcA'!Z$117=1,UX31&gt;0),300,0))),1000000000))</f>
        <v/>
      </c>
      <c r="PD31">
        <f>IF($B31=0,1000000000,IF(INDEX('calcA'!$D$60:$EQ$99,$B31,25)*IF($W31=1,DZ31+AAO31,DZ31)=1,IF(AND($E31=2,IF($W31=1,AGD31,JO31)=0),1000000000,IF($V31=1,INDEX('calcA'!$D$130:$EQ$169,$B31,25)+IF(AND($E31=1,JO31=0),25,0),INDEX('calcA'!AB$110:AB$114,$F31+1)+IF(AND($E31=1,JO31=0),1000,0)+IF($H31=1,INDEX('calcA'!$D$180:$EQ$219,$B31,25)*500,0)-IF(AND($U31=1,'calcA'!AB$117=1,EA31=0),300,0))),1000000000))</f>
        <v/>
      </c>
      <c r="PE31">
        <f>IF($B31=0,1000000000,IF(INDEX('calcA'!$D$60:$EQ$99,$B31,26)*IF($W31=1,EA31+AAP31,EA31)=1,IF(AND($E31=2,IF($W31=1,AGE31,JP31)=0),1000000000,IF($V31=1,INDEX('calcA'!$D$130:$EQ$169,$B31,26)+IF(AND($E31=1,JP31=0),25,0),INDEX('calcA'!AC$110:AC$114,$F31+1)+IF(AND($E31=1,JP31=0),1000,0)+IF($H31=1,INDEX('calcA'!$D$180:$EQ$219,$B31,26)*500,0)-IF(AND('calcA'!AB$117=1,UZ31&gt;0),300,0)-IF(AND($U31=1,'calcA'!AC$117=1,EB31=0),300,0))),1000000000))</f>
        <v/>
      </c>
      <c r="PF31">
        <f>IF($B31=0,1000000000,IF(INDEX('calcA'!$D$60:$EQ$99,$B31,27)*IF($W31=1,EB31+AAQ31,EB31)=1,IF(AND($E31=2,IF($W31=1,AGF31,JQ31)=0),1000000000,IF($V31=1,INDEX('calcA'!$D$130:$EQ$169,$B31,27)+IF(AND($E31=1,JQ31=0),25,0),INDEX('calcA'!AD$110:AD$114,$F31+1)+IF(AND($E31=1,JQ31=0),1000,0)+IF($H31=1,INDEX('calcA'!$D$180:$EQ$219,$B31,27)*500,0)-IF(AND('calcA'!AC$117=1,VA31&gt;0),300,0)-IF(AND($U31=1,'calcA'!AD$117=1,EC31=0),300,0))),1000000000))</f>
        <v/>
      </c>
      <c r="PG31">
        <f>IF($B31=0,1000000000,IF(INDEX('calcA'!$D$60:$EQ$99,$B31,28)*IF($W31=1,EC31+AAR31,EC31)=1,IF(AND($E31=2,IF($W31=1,AGG31,JR31)=0),1000000000,IF($V31=1,INDEX('calcA'!$D$130:$EQ$169,$B31,28)+IF(AND($E31=1,JR31=0),25,0),INDEX('calcA'!AE$110:AE$114,$F31+1)+IF(AND($E31=1,JR31=0),1000,0)+IF($H31=1,INDEX('calcA'!$D$180:$EQ$219,$B31,28)*500,0)-IF(AND('calcA'!AD$117=1,VB31&gt;0),300,0)-IF(AND($U31=1,'calcA'!AE$117=1,ED31=0),300,0))),1000000000))</f>
        <v/>
      </c>
      <c r="PH31">
        <f>IF($B31=0,1000000000,IF(INDEX('calcA'!$D$60:$EQ$99,$B31,29)*IF($W31=1,ED31+AAS31,ED31)=1,IF(AND($E31=2,IF($W31=1,AGH31,JS31)=0),1000000000,IF($V31=1,INDEX('calcA'!$D$130:$EQ$169,$B31,29)+IF(AND($E31=1,JS31=0),25,0),INDEX('calcA'!AF$110:AF$114,$F31+1)+IF(AND($E31=1,JS31=0),1000,0)+IF($H31=1,INDEX('calcA'!$D$180:$EQ$219,$B31,29)*500,0)-IF(AND('calcA'!AE$117=1,VC31&gt;0),300,0)-IF(AND($U31=1,'calcA'!AF$117=1,EE31=0),300,0))),1000000000))</f>
        <v/>
      </c>
      <c r="PI31">
        <f>IF($B31=0,1000000000,IF(INDEX('calcA'!$D$60:$EQ$99,$B31,30)*IF($W31=1,EE31+AAT31,EE31)=1,IF(AND($E31=2,IF($W31=1,AGI31,JT31)=0),1000000000,IF($V31=1,INDEX('calcA'!$D$130:$EQ$169,$B31,30)+IF(AND($E31=1,JT31=0),25,0),INDEX('calcA'!AG$110:AG$114,$F31+1)+IF(AND($E31=1,JT31=0),1000,0)+IF($H31=1,INDEX('calcA'!$D$180:$EQ$219,$B31,30)*500,0)-IF(AND('calcA'!AF$117=1,VD31&gt;0),300,0)-IF(AND($U31=1,'calcA'!AG$117=1,EF31=0),300,0))),1000000000))</f>
        <v/>
      </c>
      <c r="PJ31">
        <f>IF($B31=0,1000000000,IF(INDEX('calcA'!$D$60:$EQ$99,$B31,31)*IF($W31=1,EF31+AAU31,EF31)=1,IF(AND($E31=2,IF($W31=1,AGJ31,JU31)=0),1000000000,IF($V31=1,INDEX('calcA'!$D$130:$EQ$169,$B31,31)+IF(AND($E31=1,JU31=0),25,0),INDEX('calcA'!AH$110:AH$114,$F31+1)+IF(AND($E31=1,JU31=0),1000,0)+IF($H31=1,INDEX('calcA'!$D$180:$EQ$219,$B31,31)*500,0)-IF(AND('calcA'!AG$117=1,VE31&gt;0),300,0)-IF(AND($U31=1,'calcA'!AH$117=1,EG31=0),300,0))),1000000000))</f>
        <v/>
      </c>
      <c r="PK31">
        <f>IF($B31=0,1000000000,IF(INDEX('calcA'!$D$60:$EQ$99,$B31,32)*IF($W31=1,EG31+AAV31,EG31)=1,IF(AND($E31=2,IF($W31=1,AGK31,JV31)=0),1000000000,IF($V31=1,INDEX('calcA'!$D$130:$EQ$169,$B31,32)+IF(AND($E31=1,JV31=0),25,0),INDEX('calcA'!AI$110:AI$114,$F31+1)+IF(AND($E31=1,JV31=0),1000,0)+IF($H31=1,INDEX('calcA'!$D$180:$EQ$219,$B31,32)*500,0)-IF(AND('calcA'!AH$117=1,VF31&gt;0),300,0)-IF(AND($U31=1,'calcA'!AI$117=1,EH31=0),300,0))),1000000000))</f>
        <v/>
      </c>
      <c r="PL31">
        <f>IF($B31=0,1000000000,IF(INDEX('calcA'!$D$60:$EQ$99,$B31,33)*IF($W31=1,EH31+AAW31,EH31)=1,IF(AND($E31=2,IF($W31=1,AGL31,JW31)=0),1000000000,IF($V31=1,INDEX('calcA'!$D$130:$EQ$169,$B31,33)+IF(AND($E31=1,JW31=0),25,0),INDEX('calcA'!AJ$110:AJ$114,$F31+1)+IF(AND($E31=1,JW31=0),1000,0)+IF($H31=1,INDEX('calcA'!$D$180:$EQ$219,$B31,33)*500,0)-IF(AND('calcA'!AI$117=1,VG31&gt;0),300,0)-IF(AND($U31=1,'calcA'!AJ$117=1,EI31=0),300,0))),1000000000))</f>
        <v/>
      </c>
      <c r="PM31">
        <f>IF($B31=0,1000000000,IF(INDEX('calcA'!$D$60:$EQ$99,$B31,34)*IF($W31=1,EI31+AAX31,EI31)=1,IF(AND($E31=2,IF($W31=1,AGM31,JX31)=0),1000000000,IF($V31=1,INDEX('calcA'!$D$130:$EQ$169,$B31,34)+IF(AND($E31=1,JX31=0),25,0),INDEX('calcA'!AK$110:AK$114,$F31+1)+IF(AND($E31=1,JX31=0),1000,0)+IF($H31=1,INDEX('calcA'!$D$180:$EQ$219,$B31,34)*500,0)-IF(AND('calcA'!AJ$117=1,VH31&gt;0),300,0)-IF(AND($U31=1,'calcA'!AK$117=1,EJ31=0),300,0))),1000000000))</f>
        <v/>
      </c>
      <c r="PN31">
        <f>IF($B31=0,1000000000,IF(INDEX('calcA'!$D$60:$EQ$99,$B31,35)*IF($W31=1,EJ31+AAY31,EJ31)=1,IF(AND($E31=2,IF($W31=1,AGN31,JY31)=0),1000000000,IF($V31=1,INDEX('calcA'!$D$130:$EQ$169,$B31,35)+IF(AND($E31=1,JY31=0),25,0),INDEX('calcA'!AL$110:AL$114,$F31+1)+IF(AND($E31=1,JY31=0),1000,0)+IF($H31=1,INDEX('calcA'!$D$180:$EQ$219,$B31,35)*500,0)-IF(AND('calcA'!AK$117=1,VI31&gt;0),300,0)-IF(AND($U31=1,'calcA'!AL$117=1,EK31=0),300,0))),1000000000))</f>
        <v/>
      </c>
      <c r="PO31">
        <f>IF($B31=0,1000000000,IF(INDEX('calcA'!$D$60:$EQ$99,$B31,36)*IF($W31=1,EK31+AAZ31,EK31)=1,IF(AND($E31=2,IF($W31=1,AGO31,JZ31)=0),1000000000,IF($V31=1,INDEX('calcA'!$D$130:$EQ$169,$B31,36)+IF(AND($E31=1,JZ31=0),25,0),INDEX('calcA'!AM$110:AM$114,$F31+1)+IF(AND($E31=1,JZ31=0),1000,0)+IF($H31=1,INDEX('calcA'!$D$180:$EQ$219,$B31,36)*500,0)-IF(AND('calcA'!AL$117=1,VJ31&gt;0),300,0)-IF(AND($U31=1,'calcA'!AM$117=1,EL31=0),300,0))),1000000000))</f>
        <v/>
      </c>
      <c r="PP31">
        <f>IF($B31=0,1000000000,IF(INDEX('calcA'!$D$60:$EQ$99,$B31,37)*IF($W31=1,EL31+ABA31,EL31)=1,IF(AND($E31=2,IF($W31=1,AGP31,KA31)=0),1000000000,IF($V31=1,INDEX('calcA'!$D$130:$EQ$169,$B31,37)+IF(AND($E31=1,KA31=0),25,0),INDEX('calcA'!AN$110:AN$114,$F31+1)+IF(AND($E31=1,KA31=0),1000,0)+IF($H31=1,INDEX('calcA'!$D$180:$EQ$219,$B31,37)*500,0)-IF(AND('calcA'!AM$117=1,VK31&gt;0),300,0)-IF(AND($U31=1,'calcA'!AN$117=1,EM31=0),300,0))),1000000000))</f>
        <v/>
      </c>
      <c r="PQ31">
        <f>IF($B31=0,1000000000,IF(INDEX('calcA'!$D$60:$EQ$99,$B31,38)*IF($W31=1,EM31+ABB31,EM31)=1,IF(AND($E31=2,IF($W31=1,AGQ31,KB31)=0),1000000000,IF($V31=1,INDEX('calcA'!$D$130:$EQ$169,$B31,38)+IF(AND($E31=1,KB31=0),25,0),INDEX('calcA'!AO$110:AO$114,$F31+1)+IF(AND($E31=1,KB31=0),1000,0)+IF($H31=1,INDEX('calcA'!$D$180:$EQ$219,$B31,38)*500,0)-IF(AND('calcA'!AN$117=1,VL31&gt;0),300,0)-IF(AND($U31=1,'calcA'!AO$117=1,EN31=0),300,0))),1000000000))</f>
        <v/>
      </c>
      <c r="PR31">
        <f>IF($B31=0,1000000000,IF(INDEX('calcA'!$D$60:$EQ$99,$B31,39)*IF($W31=1,EN31+ABC31,EN31)=1,IF(AND($E31=2,IF($W31=1,AGR31,KC31)=0),1000000000,IF($V31=1,INDEX('calcA'!$D$130:$EQ$169,$B31,39)+IF(AND($E31=1,KC31=0),25,0),INDEX('calcA'!AP$110:AP$114,$F31+1)+IF(AND($E31=1,KC31=0),1000,0)+IF($H31=1,INDEX('calcA'!$D$180:$EQ$219,$B31,39)*500,0)-IF(AND('calcA'!AO$117=1,VM31&gt;0),300,0)-IF(AND($U31=1,'calcA'!AP$117=1,EO31=0),300,0))),1000000000))</f>
        <v/>
      </c>
      <c r="PS31">
        <f>IF($B31=0,1000000000,IF(INDEX('calcA'!$D$60:$EQ$99,$B31,40)*IF($W31=1,EO31+ABD31,EO31)=1,IF(AND($E31=2,IF($W31=1,AGS31,KD31)=0),1000000000,IF($V31=1,INDEX('calcA'!$D$130:$EQ$169,$B31,40)+IF(AND($E31=1,KD31=0),25,0),INDEX('calcA'!AQ$110:AQ$114,$F31+1)+IF(AND($E31=1,KD31=0),1000,0)+IF($H31=1,INDEX('calcA'!$D$180:$EQ$219,$B31,40)*500,0)-IF(AND('calcA'!AP$117=1,VN31&gt;0),300,0)-IF(AND($U31=1,'calcA'!AQ$117=1,EP31=0),300,0))),1000000000))</f>
        <v/>
      </c>
      <c r="PT31">
        <f>IF($B31=0,1000000000,IF(INDEX('calcA'!$D$60:$EQ$99,$B31,41)*IF($W31=1,EP31+ABE31,EP31)=1,IF(AND($E31=2,IF($W31=1,AGT31,KE31)=0),1000000000,IF($V31=1,INDEX('calcA'!$D$130:$EQ$169,$B31,41)+IF(AND($E31=1,KE31=0),25,0),INDEX('calcA'!AR$110:AR$114,$F31+1)+IF(AND($E31=1,KE31=0),1000,0)+IF($H31=1,INDEX('calcA'!$D$180:$EQ$219,$B31,41)*500,0)-IF(AND('calcA'!AQ$117=1,VO31&gt;0),300,0)-IF(AND($U31=1,'calcA'!AR$117=1,EQ31=0),300,0))),1000000000))</f>
        <v/>
      </c>
      <c r="PU31">
        <f>IF($B31=0,1000000000,IF(INDEX('calcA'!$D$60:$EQ$99,$B31,42)*IF($W31=1,EQ31+ABF31,EQ31)=1,IF(AND($E31=2,IF($W31=1,AGU31,KF31)=0),1000000000,IF($V31=1,INDEX('calcA'!$D$130:$EQ$169,$B31,42)+IF(AND($E31=1,KF31=0),25,0),INDEX('calcA'!AS$110:AS$114,$F31+1)+IF(AND($E31=1,KF31=0),1000,0)+IF($H31=1,INDEX('calcA'!$D$180:$EQ$219,$B31,42)*500,0)-IF(AND('calcA'!AR$117=1,VP31&gt;0),300,0)-IF(AND($U31=1,'calcA'!AS$117=1,ER31=0),300,0))),1000000000))</f>
        <v/>
      </c>
      <c r="PV31">
        <f>IF($B31=0,1000000000,IF(INDEX('calcA'!$D$60:$EQ$99,$B31,43)*IF($W31=1,ER31+ABG31,ER31)=1,IF(AND($E31=2,IF($W31=1,AGV31,KG31)=0),1000000000,IF($V31=1,INDEX('calcA'!$D$130:$EQ$169,$B31,43)+IF(AND($E31=1,KG31=0),25,0),INDEX('calcA'!AT$110:AT$114,$F31+1)+IF(AND($E31=1,KG31=0),1000,0)+IF($H31=1,INDEX('calcA'!$D$180:$EQ$219,$B31,43)*500,0)-IF(AND('calcA'!AS$117=1,VQ31&gt;0),300,0)-IF(AND($U31=1,'calcA'!AT$117=1,ES31=0),300,0))),1000000000))</f>
        <v/>
      </c>
      <c r="PW31">
        <f>IF($B31=0,1000000000,IF(INDEX('calcA'!$D$60:$EQ$99,$B31,44)*IF($W31=1,ES31+ABH31,ES31)=1,IF(AND($E31=2,IF($W31=1,AGW31,KH31)=0),1000000000,IF($V31=1,INDEX('calcA'!$D$130:$EQ$169,$B31,44)+IF(AND($E31=1,KH31=0),25,0),INDEX('calcA'!AU$110:AU$114,$F31+1)+IF(AND($E31=1,KH31=0),1000,0)+IF($H31=1,INDEX('calcA'!$D$180:$EQ$219,$B31,44)*500,0)-IF(AND('calcA'!AT$117=1,VR31&gt;0),300,0)-IF(AND($U31=1,'calcA'!AU$117=1,ET31=0),300,0))),1000000000))</f>
        <v/>
      </c>
      <c r="PX31">
        <f>IF($B31=0,1000000000,IF(INDEX('calcA'!$D$60:$EQ$99,$B31,45)*IF($W31=1,ET31+ABI31,ET31)=1,IF(AND($E31=2,IF($W31=1,AGX31,KI31)=0),1000000000,IF($V31=1,INDEX('calcA'!$D$130:$EQ$169,$B31,45)+IF(AND($E31=1,KI31=0),25,0),INDEX('calcA'!AV$110:AV$114,$F31+1)+IF(AND($E31=1,KI31=0),1000,0)+IF($H31=1,INDEX('calcA'!$D$180:$EQ$219,$B31,45)*500,0)-IF(AND('calcA'!AU$117=1,VS31&gt;0),300,0)-IF(AND($U31=1,'calcA'!AV$117=1,EU31=0),300,0))),1000000000))</f>
        <v/>
      </c>
      <c r="PY31">
        <f>IF($B31=0,1000000000,IF(INDEX('calcA'!$D$60:$EQ$99,$B31,46)*IF($W31=1,EU31+ABJ31,EU31)=1,IF(AND($E31=2,IF($W31=1,AGY31,KJ31)=0),1000000000,IF($V31=1,INDEX('calcA'!$D$130:$EQ$169,$B31,46)+IF(AND($E31=1,KJ31=0),25,0),INDEX('calcA'!AW$110:AW$114,$F31+1)+IF(AND($E31=1,KJ31=0),1000,0)+IF($H31=1,INDEX('calcA'!$D$180:$EQ$219,$B31,46)*500,0)-IF(AND('calcA'!AV$117=1,VT31&gt;0),300,0)-IF(AND($U31=1,'calcA'!AW$117=1,EV31=0),300,0))),1000000000))</f>
        <v/>
      </c>
      <c r="PZ31">
        <f>IF($B31=0,1000000000,IF(INDEX('calcA'!$D$60:$EQ$99,$B31,47)*IF($W31=1,EV31+ABK31,EV31)=1,IF(AND($E31=2,IF($W31=1,AGZ31,KK31)=0),1000000000,IF($V31=1,INDEX('calcA'!$D$130:$EQ$169,$B31,47)+IF(AND($E31=1,KK31=0),25,0),INDEX('calcA'!AX$110:AX$114,$F31+1)+IF(AND($E31=1,KK31=0),1000,0)+IF($H31=1,INDEX('calcA'!$D$180:$EQ$219,$B31,47)*500,0)-IF(AND('calcA'!AW$117=1,VU31&gt;0),300,0)-IF(AND($U31=1,'calcA'!AX$117=1,EW31=0),300,0))),1000000000))</f>
        <v/>
      </c>
      <c r="QA31">
        <f>IF($B31=0,1000000000,IF(INDEX('calcA'!$D$60:$EQ$99,$B31,48)*IF($W31=1,EW31+ABL31,EW31)=1,IF(AND($E31=2,IF($W31=1,AHA31,KL31)=0),1000000000,IF($V31=1,INDEX('calcA'!$D$130:$EQ$169,$B31,48)+IF(AND($E31=1,KL31=0),25,0),INDEX('calcA'!AY$110:AY$114,$F31+1)+IF(AND($E31=1,KL31=0),1000,0)+IF($H31=1,INDEX('calcA'!$D$180:$EQ$219,$B31,48)*500,0)-IF(AND('calcA'!AX$117=1,VV31&gt;0),300,0))),1000000000))</f>
        <v/>
      </c>
      <c r="QB31">
        <f>IF($B31=0,1000000000,IF(INDEX('calcA'!$D$60:$EQ$99,$B31,49)*IF($W31=1,EX31+ABM31,EX31)=1,IF(AND($E31=2,IF($W31=1,AHB31,KM31)=0),1000000000,IF($V31=1,INDEX('calcA'!$D$130:$EQ$169,$B31,49)+IF(AND($E31=1,KM31=0),25,0),INDEX('calcA'!AZ$110:AZ$114,$F31+1)+IF(AND($E31=1,KM31=0),1000,0)+IF($H31=1,INDEX('calcA'!$D$180:$EQ$219,$B31,49)*500,0)-IF(AND($U31=1,'calcA'!AZ$117=1,EY31=0),300,0))),1000000000))</f>
        <v/>
      </c>
      <c r="QC31">
        <f>IF($B31=0,1000000000,IF(INDEX('calcA'!$D$60:$EQ$99,$B31,50)*IF($W31=1,EY31+ABN31,EY31)=1,IF(AND($E31=2,IF($W31=1,AHC31,KN31)=0),1000000000,IF($V31=1,INDEX('calcA'!$D$130:$EQ$169,$B31,50)+IF(AND($E31=1,KN31=0),25,0),INDEX('calcA'!BA$110:BA$114,$F31+1)+IF(AND($E31=1,KN31=0),1000,0)+IF($H31=1,INDEX('calcA'!$D$180:$EQ$219,$B31,50)*500,0)-IF(AND('calcA'!AZ$117=1,VX31&gt;0),300,0)-IF(AND($U31=1,'calcA'!BA$117=1,EZ31=0),300,0))),1000000000))</f>
        <v/>
      </c>
      <c r="QD31">
        <f>IF($B31=0,1000000000,IF(INDEX('calcA'!$D$60:$EQ$99,$B31,51)*IF($W31=1,EZ31+ABO31,EZ31)=1,IF(AND($E31=2,IF($W31=1,AHD31,KO31)=0),1000000000,IF($V31=1,INDEX('calcA'!$D$130:$EQ$169,$B31,51)+IF(AND($E31=1,KO31=0),25,0),INDEX('calcA'!BB$110:BB$114,$F31+1)+IF(AND($E31=1,KO31=0),1000,0)+IF($H31=1,INDEX('calcA'!$D$180:$EQ$219,$B31,51)*500,0)-IF(AND('calcA'!BA$117=1,VY31&gt;0),300,0)-IF(AND($U31=1,'calcA'!BB$117=1,FA31=0),300,0))),1000000000))</f>
        <v/>
      </c>
      <c r="QE31">
        <f>IF($B31=0,1000000000,IF(INDEX('calcA'!$D$60:$EQ$99,$B31,52)*IF($W31=1,FA31+ABP31,FA31)=1,IF(AND($E31=2,IF($W31=1,AHE31,KP31)=0),1000000000,IF($V31=1,INDEX('calcA'!$D$130:$EQ$169,$B31,52)+IF(AND($E31=1,KP31=0),25,0),INDEX('calcA'!BC$110:BC$114,$F31+1)+IF(AND($E31=1,KP31=0),1000,0)+IF($H31=1,INDEX('calcA'!$D$180:$EQ$219,$B31,52)*500,0)-IF(AND('calcA'!BB$117=1,VZ31&gt;0),300,0)-IF(AND($U31=1,'calcA'!BC$117=1,FB31=0),300,0))),1000000000))</f>
        <v/>
      </c>
      <c r="QF31">
        <f>IF($B31=0,1000000000,IF(INDEX('calcA'!$D$60:$EQ$99,$B31,53)*IF($W31=1,FB31+ABQ31,FB31)=1,IF(AND($E31=2,IF($W31=1,AHF31,KQ31)=0),1000000000,IF($V31=1,INDEX('calcA'!$D$130:$EQ$169,$B31,53)+IF(AND($E31=1,KQ31=0),25,0),INDEX('calcA'!BD$110:BD$114,$F31+1)+IF(AND($E31=1,KQ31=0),1000,0)+IF($H31=1,INDEX('calcA'!$D$180:$EQ$219,$B31,53)*500,0)-IF(AND('calcA'!BC$117=1,WA31&gt;0),300,0)-IF(AND($U31=1,'calcA'!BD$117=1,FC31=0),300,0))),1000000000))</f>
        <v/>
      </c>
      <c r="QG31">
        <f>IF($B31=0,1000000000,IF(INDEX('calcA'!$D$60:$EQ$99,$B31,54)*IF($W31=1,FC31+ABR31,FC31)=1,IF(AND($E31=2,IF($W31=1,AHG31,KR31)=0),1000000000,IF($V31=1,INDEX('calcA'!$D$130:$EQ$169,$B31,54)+IF(AND($E31=1,KR31=0),25,0),INDEX('calcA'!BE$110:BE$114,$F31+1)+IF(AND($E31=1,KR31=0),1000,0)+IF($H31=1,INDEX('calcA'!$D$180:$EQ$219,$B31,54)*500,0)-IF(AND('calcA'!BD$117=1,WB31&gt;0),300,0)-IF(AND($U31=1,'calcA'!BE$117=1,FD31=0),300,0))),1000000000))</f>
        <v/>
      </c>
      <c r="QH31">
        <f>IF($B31=0,1000000000,IF(INDEX('calcA'!$D$60:$EQ$99,$B31,55)*IF($W31=1,FD31+ABS31,FD31)=1,IF(AND($E31=2,IF($W31=1,AHH31,KS31)=0),1000000000,IF($V31=1,INDEX('calcA'!$D$130:$EQ$169,$B31,55)+IF(AND($E31=1,KS31=0),25,0),INDEX('calcA'!BF$110:BF$114,$F31+1)+IF(AND($E31=1,KS31=0),1000,0)+IF($H31=1,INDEX('calcA'!$D$180:$EQ$219,$B31,55)*500,0)-IF(AND('calcA'!BE$117=1,WC31&gt;0),300,0)-IF(AND($U31=1,'calcA'!BF$117=1,FE31=0),300,0))),1000000000))</f>
        <v/>
      </c>
      <c r="QI31">
        <f>IF($B31=0,1000000000,IF(INDEX('calcA'!$D$60:$EQ$99,$B31,56)*IF($W31=1,FE31+ABT31,FE31)=1,IF(AND($E31=2,IF($W31=1,AHI31,KT31)=0),1000000000,IF($V31=1,INDEX('calcA'!$D$130:$EQ$169,$B31,56)+IF(AND($E31=1,KT31=0),25,0),INDEX('calcA'!BG$110:BG$114,$F31+1)+IF(AND($E31=1,KT31=0),1000,0)+IF($H31=1,INDEX('calcA'!$D$180:$EQ$219,$B31,56)*500,0)-IF(AND('calcA'!BF$117=1,WD31&gt;0),300,0)-IF(AND($U31=1,'calcA'!BG$117=1,FF31=0),300,0))),1000000000))</f>
        <v/>
      </c>
      <c r="QJ31">
        <f>IF($B31=0,1000000000,IF(INDEX('calcA'!$D$60:$EQ$99,$B31,57)*IF($W31=1,FF31+ABU31,FF31)=1,IF(AND($E31=2,IF($W31=1,AHJ31,KU31)=0),1000000000,IF($V31=1,INDEX('calcA'!$D$130:$EQ$169,$B31,57)+IF(AND($E31=1,KU31=0),25,0),INDEX('calcA'!BH$110:BH$114,$F31+1)+IF(AND($E31=1,KU31=0),1000,0)+IF($H31=1,INDEX('calcA'!$D$180:$EQ$219,$B31,57)*500,0)-IF(AND('calcA'!BG$117=1,WE31&gt;0),300,0)-IF(AND($U31=1,'calcA'!BH$117=1,FG31=0),300,0))),1000000000))</f>
        <v/>
      </c>
      <c r="QK31">
        <f>IF($B31=0,1000000000,IF(INDEX('calcA'!$D$60:$EQ$99,$B31,58)*IF($W31=1,FG31+ABV31,FG31)=1,IF(AND($E31=2,IF($W31=1,AHK31,KV31)=0),1000000000,IF($V31=1,INDEX('calcA'!$D$130:$EQ$169,$B31,58)+IF(AND($E31=1,KV31=0),25,0),INDEX('calcA'!BI$110:BI$114,$F31+1)+IF(AND($E31=1,KV31=0),1000,0)+IF($H31=1,INDEX('calcA'!$D$180:$EQ$219,$B31,58)*500,0)-IF(AND('calcA'!BH$117=1,WF31&gt;0),300,0)-IF(AND($U31=1,'calcA'!BI$117=1,FH31=0),300,0))),1000000000))</f>
        <v/>
      </c>
      <c r="QL31">
        <f>IF($B31=0,1000000000,IF(INDEX('calcA'!$D$60:$EQ$99,$B31,59)*IF($W31=1,FH31+ABW31,FH31)=1,IF(AND($E31=2,IF($W31=1,AHL31,KW31)=0),1000000000,IF($V31=1,INDEX('calcA'!$D$130:$EQ$169,$B31,59)+IF(AND($E31=1,KW31=0),25,0),INDEX('calcA'!BJ$110:BJ$114,$F31+1)+IF(AND($E31=1,KW31=0),1000,0)+IF($H31=1,INDEX('calcA'!$D$180:$EQ$219,$B31,59)*500,0)-IF(AND('calcA'!BI$117=1,WG31&gt;0),300,0)-IF(AND($U31=1,'calcA'!BJ$117=1,FI31=0),300,0))),1000000000))</f>
        <v/>
      </c>
      <c r="QM31">
        <f>IF($B31=0,1000000000,IF(INDEX('calcA'!$D$60:$EQ$99,$B31,60)*IF($W31=1,FI31+ABX31,FI31)=1,IF(AND($E31=2,IF($W31=1,AHM31,KX31)=0),1000000000,IF($V31=1,INDEX('calcA'!$D$130:$EQ$169,$B31,60)+IF(AND($E31=1,KX31=0),25,0),INDEX('calcA'!BK$110:BK$114,$F31+1)+IF(AND($E31=1,KX31=0),1000,0)+IF($H31=1,INDEX('calcA'!$D$180:$EQ$219,$B31,60)*500,0)-IF(AND('calcA'!BJ$117=1,WH31&gt;0),300,0)-IF(AND($U31=1,'calcA'!BK$117=1,FJ31=0),300,0))),1000000000))</f>
        <v/>
      </c>
      <c r="QN31">
        <f>IF($B31=0,1000000000,IF(INDEX('calcA'!$D$60:$EQ$99,$B31,61)*IF($W31=1,FJ31+ABY31,FJ31)=1,IF(AND($E31=2,IF($W31=1,AHN31,KY31)=0),1000000000,IF($V31=1,INDEX('calcA'!$D$130:$EQ$169,$B31,61)+IF(AND($E31=1,KY31=0),25,0),INDEX('calcA'!BL$110:BL$114,$F31+1)+IF(AND($E31=1,KY31=0),1000,0)+IF($H31=1,INDEX('calcA'!$D$180:$EQ$219,$B31,61)*500,0)-IF(AND('calcA'!BK$117=1,WI31&gt;0),300,0)-IF(AND($U31=1,'calcA'!BL$117=1,FK31=0),300,0))),1000000000))</f>
        <v/>
      </c>
      <c r="QO31">
        <f>IF($B31=0,1000000000,IF(INDEX('calcA'!$D$60:$EQ$99,$B31,62)*IF($W31=1,FK31+ABZ31,FK31)=1,IF(AND($E31=2,IF($W31=1,AHO31,KZ31)=0),1000000000,IF($V31=1,INDEX('calcA'!$D$130:$EQ$169,$B31,62)+IF(AND($E31=1,KZ31=0),25,0),INDEX('calcA'!BM$110:BM$114,$F31+1)+IF(AND($E31=1,KZ31=0),1000,0)+IF($H31=1,INDEX('calcA'!$D$180:$EQ$219,$B31,62)*500,0)-IF(AND('calcA'!BL$117=1,WJ31&gt;0),300,0)-IF(AND($U31=1,'calcA'!BM$117=1,FL31=0),300,0))),1000000000))</f>
        <v/>
      </c>
      <c r="QP31">
        <f>IF($B31=0,1000000000,IF(INDEX('calcA'!$D$60:$EQ$99,$B31,63)*IF($W31=1,FL31+ACA31,FL31)=1,IF(AND($E31=2,IF($W31=1,AHP31,LA31)=0),1000000000,IF($V31=1,INDEX('calcA'!$D$130:$EQ$169,$B31,63)+IF(AND($E31=1,LA31=0),25,0),INDEX('calcA'!BN$110:BN$114,$F31+1)+IF(AND($E31=1,LA31=0),1000,0)+IF($H31=1,INDEX('calcA'!$D$180:$EQ$219,$B31,63)*500,0)-IF(AND('calcA'!BM$117=1,WK31&gt;0),300,0)-IF(AND($U31=1,'calcA'!BN$117=1,FM31=0),300,0))),1000000000))</f>
        <v/>
      </c>
      <c r="QQ31">
        <f>IF($B31=0,1000000000,IF(INDEX('calcA'!$D$60:$EQ$99,$B31,64)*IF($W31=1,FM31+ACB31,FM31)=1,IF(AND($E31=2,IF($W31=1,AHQ31,LB31)=0),1000000000,IF($V31=1,INDEX('calcA'!$D$130:$EQ$169,$B31,64)+IF(AND($E31=1,LB31=0),25,0),INDEX('calcA'!BO$110:BO$114,$F31+1)+IF(AND($E31=1,LB31=0),1000,0)+IF($H31=1,INDEX('calcA'!$D$180:$EQ$219,$B31,64)*500,0)-IF(AND('calcA'!BN$117=1,WL31&gt;0),300,0)-IF(AND($U31=1,'calcA'!BO$117=1,FN31=0),300,0))),1000000000))</f>
        <v/>
      </c>
      <c r="QR31">
        <f>IF($B31=0,1000000000,IF(INDEX('calcA'!$D$60:$EQ$99,$B31,65)*IF($W31=1,FN31+ACC31,FN31)=1,IF(AND($E31=2,IF($W31=1,AHR31,LC31)=0),1000000000,IF($V31=1,INDEX('calcA'!$D$130:$EQ$169,$B31,65)+IF(AND($E31=1,LC31=0),25,0),INDEX('calcA'!BP$110:BP$114,$F31+1)+IF(AND($E31=1,LC31=0),1000,0)+IF($H31=1,INDEX('calcA'!$D$180:$EQ$219,$B31,65)*500,0)-IF(AND('calcA'!BO$117=1,WM31&gt;0),300,0)-IF(AND($U31=1,'calcA'!BP$117=1,FO31=0),300,0))),1000000000))</f>
        <v/>
      </c>
      <c r="QS31">
        <f>IF($B31=0,1000000000,IF(INDEX('calcA'!$D$60:$EQ$99,$B31,66)*IF($W31=1,FO31+ACD31,FO31)=1,IF(AND($E31=2,IF($W31=1,AHS31,LD31)=0),1000000000,IF($V31=1,INDEX('calcA'!$D$130:$EQ$169,$B31,66)+IF(AND($E31=1,LD31=0),25,0),INDEX('calcA'!BQ$110:BQ$114,$F31+1)+IF(AND($E31=1,LD31=0),1000,0)+IF($H31=1,INDEX('calcA'!$D$180:$EQ$219,$B31,66)*500,0)-IF(AND('calcA'!BP$117=1,WN31&gt;0),300,0)-IF(AND($U31=1,'calcA'!BQ$117=1,FP31=0),300,0))),1000000000))</f>
        <v/>
      </c>
      <c r="QT31">
        <f>IF($B31=0,1000000000,IF(INDEX('calcA'!$D$60:$EQ$99,$B31,67)*IF($W31=1,FP31+ACE31,FP31)=1,IF(AND($E31=2,IF($W31=1,AHT31,LE31)=0),1000000000,IF($V31=1,INDEX('calcA'!$D$130:$EQ$169,$B31,67)+IF(AND($E31=1,LE31=0),25,0),INDEX('calcA'!BR$110:BR$114,$F31+1)+IF(AND($E31=1,LE31=0),1000,0)+IF($H31=1,INDEX('calcA'!$D$180:$EQ$219,$B31,67)*500,0)-IF(AND('calcA'!BQ$117=1,WO31&gt;0),300,0)-IF(AND($U31=1,'calcA'!BR$117=1,FQ31=0),300,0))),1000000000))</f>
        <v/>
      </c>
      <c r="QU31">
        <f>IF($B31=0,1000000000,IF(INDEX('calcA'!$D$60:$EQ$99,$B31,68)*IF($W31=1,FQ31+ACF31,FQ31)=1,IF(AND($E31=2,IF($W31=1,AHU31,LF31)=0),1000000000,IF($V31=1,INDEX('calcA'!$D$130:$EQ$169,$B31,68)+IF(AND($E31=1,LF31=0),25,0),INDEX('calcA'!BS$110:BS$114,$F31+1)+IF(AND($E31=1,LF31=0),1000,0)+IF($H31=1,INDEX('calcA'!$D$180:$EQ$219,$B31,68)*500,0)-IF(AND('calcA'!BR$117=1,WP31&gt;0),300,0)-IF(AND($U31=1,'calcA'!BS$117=1,FR31=0),300,0))),1000000000))</f>
        <v/>
      </c>
      <c r="QV31">
        <f>IF($B31=0,1000000000,IF(INDEX('calcA'!$D$60:$EQ$99,$B31,69)*IF($W31=1,FR31+ACG31,FR31)=1,IF(AND($E31=2,IF($W31=1,AHV31,LG31)=0),1000000000,IF($V31=1,INDEX('calcA'!$D$130:$EQ$169,$B31,69)+IF(AND($E31=1,LG31=0),25,0),INDEX('calcA'!BT$110:BT$114,$F31+1)+IF(AND($E31=1,LG31=0),1000,0)+IF($H31=1,INDEX('calcA'!$D$180:$EQ$219,$B31,69)*500,0)-IF(AND('calcA'!BS$117=1,WQ31&gt;0),300,0)-IF(AND($U31=1,'calcA'!BT$117=1,FS31=0),300,0))),1000000000))</f>
        <v/>
      </c>
      <c r="QW31">
        <f>IF($B31=0,1000000000,IF(INDEX('calcA'!$D$60:$EQ$99,$B31,70)*IF($W31=1,FS31+ACH31,FS31)=1,IF(AND($E31=2,IF($W31=1,AHW31,LH31)=0),1000000000,IF($V31=1,INDEX('calcA'!$D$130:$EQ$169,$B31,70)+IF(AND($E31=1,LH31=0),25,0),INDEX('calcA'!BU$110:BU$114,$F31+1)+IF(AND($E31=1,LH31=0),1000,0)+IF($H31=1,INDEX('calcA'!$D$180:$EQ$219,$B31,70)*500,0)-IF(AND('calcA'!BT$117=1,WR31&gt;0),300,0)-IF(AND($U31=1,'calcA'!BU$117=1,FT31=0),300,0))),1000000000))</f>
        <v/>
      </c>
      <c r="QX31">
        <f>IF($B31=0,1000000000,IF(INDEX('calcA'!$D$60:$EQ$99,$B31,71)*IF($W31=1,FT31+ACI31,FT31)=1,IF(AND($E31=2,IF($W31=1,AHX31,LI31)=0),1000000000,IF($V31=1,INDEX('calcA'!$D$130:$EQ$169,$B31,71)+IF(AND($E31=1,LI31=0),25,0),INDEX('calcA'!BV$110:BV$114,$F31+1)+IF(AND($E31=1,LI31=0),1000,0)+IF($H31=1,INDEX('calcA'!$D$180:$EQ$219,$B31,71)*500,0)-IF(AND('calcA'!BU$117=1,WS31&gt;0),300,0)-IF(AND($U31=1,'calcA'!BV$117=1,FU31=0),300,0))),1000000000))</f>
        <v/>
      </c>
      <c r="QY31">
        <f>IF($B31=0,1000000000,IF(INDEX('calcA'!$D$60:$EQ$99,$B31,72)*IF($W31=1,FU31+ACJ31,FU31)=1,IF(AND($E31=2,IF($W31=1,AHY31,LJ31)=0),1000000000,IF($V31=1,INDEX('calcA'!$D$130:$EQ$169,$B31,72)+IF(AND($E31=1,LJ31=0),25,0),INDEX('calcA'!BW$110:BW$114,$F31+1)+IF(AND($E31=1,LJ31=0),1000,0)+IF($H31=1,INDEX('calcA'!$D$180:$EQ$219,$B31,72)*500,0)-IF(AND('calcA'!BV$117=1,WT31&gt;0),300,0))),1000000000))</f>
        <v/>
      </c>
      <c r="QZ31">
        <f>IF($B31=0,1000000000,IF(INDEX('calcA'!$D$60:$EQ$99,$B31,73)*IF($W31=1,FV31+ACK31,FV31)=1,IF(AND($E31=2,IF($W31=1,AHZ31,LK31)=0),1000000000,IF($V31=1,INDEX('calcA'!$D$130:$EQ$169,$B31,73)+IF(AND($E31=1,LK31=0),25,0),INDEX('calcA'!BX$110:BX$114,$F31+1)+IF(AND($E31=1,LK31=0),1000,0)+IF($H31=1,INDEX('calcA'!$D$180:$EQ$219,$B31,73)*500,0)-IF(AND($U31=1,'calcA'!BX$117=1,FW31=0),300,0))),1000000000))</f>
        <v/>
      </c>
      <c r="RA31">
        <f>IF($B31=0,1000000000,IF(INDEX('calcA'!$D$60:$EQ$99,$B31,74)*IF($W31=1,FW31+ACL31,FW31)=1,IF(AND($E31=2,IF($W31=1,AIA31,LL31)=0),1000000000,IF($V31=1,INDEX('calcA'!$D$130:$EQ$169,$B31,74)+IF(AND($E31=1,LL31=0),25,0),INDEX('calcA'!BY$110:BY$114,$F31+1)+IF(AND($E31=1,LL31=0),1000,0)+IF($H31=1,INDEX('calcA'!$D$180:$EQ$219,$B31,74)*500,0)-IF(AND('calcA'!BX$117=1,WV31&gt;0),300,0)-IF(AND($U31=1,'calcA'!BY$117=1,FX31=0),300,0))),1000000000))</f>
        <v/>
      </c>
      <c r="RB31">
        <f>IF($B31=0,1000000000,IF(INDEX('calcA'!$D$60:$EQ$99,$B31,75)*IF($W31=1,FX31+ACM31,FX31)=1,IF(AND($E31=2,IF($W31=1,AIB31,LM31)=0),1000000000,IF($V31=1,INDEX('calcA'!$D$130:$EQ$169,$B31,75)+IF(AND($E31=1,LM31=0),25,0),INDEX('calcA'!BZ$110:BZ$114,$F31+1)+IF(AND($E31=1,LM31=0),1000,0)+IF($H31=1,INDEX('calcA'!$D$180:$EQ$219,$B31,75)*500,0)-IF(AND('calcA'!BY$117=1,WW31&gt;0),300,0)-IF(AND($U31=1,'calcA'!BZ$117=1,FY31=0),300,0))),1000000000))</f>
        <v/>
      </c>
      <c r="RC31">
        <f>IF($B31=0,1000000000,IF(INDEX('calcA'!$D$60:$EQ$99,$B31,76)*IF($W31=1,FY31+ACN31,FY31)=1,IF(AND($E31=2,IF($W31=1,AIC31,LN31)=0),1000000000,IF($V31=1,INDEX('calcA'!$D$130:$EQ$169,$B31,76)+IF(AND($E31=1,LN31=0),25,0),INDEX('calcA'!CA$110:CA$114,$F31+1)+IF(AND($E31=1,LN31=0),1000,0)+IF($H31=1,INDEX('calcA'!$D$180:$EQ$219,$B31,76)*500,0)-IF(AND('calcA'!BZ$117=1,WX31&gt;0),300,0)-IF(AND($U31=1,'calcA'!CA$117=1,FZ31=0),300,0))),1000000000))</f>
        <v/>
      </c>
      <c r="RD31">
        <f>IF($B31=0,1000000000,IF(INDEX('calcA'!$D$60:$EQ$99,$B31,77)*IF($W31=1,FZ31+ACO31,FZ31)=1,IF(AND($E31=2,IF($W31=1,AID31,LO31)=0),1000000000,IF($V31=1,INDEX('calcA'!$D$130:$EQ$169,$B31,77)+IF(AND($E31=1,LO31=0),25,0),INDEX('calcA'!CB$110:CB$114,$F31+1)+IF(AND($E31=1,LO31=0),1000,0)+IF($H31=1,INDEX('calcA'!$D$180:$EQ$219,$B31,77)*500,0)-IF(AND('calcA'!CA$117=1,WY31&gt;0),300,0)-IF(AND($U31=1,'calcA'!CB$117=1,GA31=0),300,0))),1000000000))</f>
        <v/>
      </c>
      <c r="RE31">
        <f>IF($B31=0,1000000000,IF(INDEX('calcA'!$D$60:$EQ$99,$B31,78)*IF($W31=1,GA31+ACP31,GA31)=1,IF(AND($E31=2,IF($W31=1,AIE31,LP31)=0),1000000000,IF($V31=1,INDEX('calcA'!$D$130:$EQ$169,$B31,78)+IF(AND($E31=1,LP31=0),25,0),INDEX('calcA'!CC$110:CC$114,$F31+1)+IF(AND($E31=1,LP31=0),1000,0)+IF($H31=1,INDEX('calcA'!$D$180:$EQ$219,$B31,78)*500,0)-IF(AND('calcA'!CB$117=1,WZ31&gt;0),300,0)-IF(AND($U31=1,'calcA'!CC$117=1,GB31=0),300,0))),1000000000))</f>
        <v/>
      </c>
      <c r="RF31">
        <f>IF($B31=0,1000000000,IF(INDEX('calcA'!$D$60:$EQ$99,$B31,79)*IF($W31=1,GB31+ACQ31,GB31)=1,IF(AND($E31=2,IF($W31=1,AIF31,LQ31)=0),1000000000,IF($V31=1,INDEX('calcA'!$D$130:$EQ$169,$B31,79)+IF(AND($E31=1,LQ31=0),25,0),INDEX('calcA'!CD$110:CD$114,$F31+1)+IF(AND($E31=1,LQ31=0),1000,0)+IF($H31=1,INDEX('calcA'!$D$180:$EQ$219,$B31,79)*500,0)-IF(AND('calcA'!CC$117=1,XA31&gt;0),300,0)-IF(AND($U31=1,'calcA'!CD$117=1,GC31=0),300,0))),1000000000))</f>
        <v/>
      </c>
      <c r="RG31">
        <f>IF($B31=0,1000000000,IF(INDEX('calcA'!$D$60:$EQ$99,$B31,80)*IF($W31=1,GC31+ACR31,GC31)=1,IF(AND($E31=2,IF($W31=1,AIG31,LR31)=0),1000000000,IF($V31=1,INDEX('calcA'!$D$130:$EQ$169,$B31,80)+IF(AND($E31=1,LR31=0),25,0),INDEX('calcA'!CE$110:CE$114,$F31+1)+IF(AND($E31=1,LR31=0),1000,0)+IF($H31=1,INDEX('calcA'!$D$180:$EQ$219,$B31,80)*500,0)-IF(AND('calcA'!CD$117=1,XB31&gt;0),300,0)-IF(AND($U31=1,'calcA'!CE$117=1,GD31=0),300,0))),1000000000))</f>
        <v/>
      </c>
      <c r="RH31">
        <f>IF($B31=0,1000000000,IF(INDEX('calcA'!$D$60:$EQ$99,$B31,81)*IF($W31=1,GD31+ACS31,GD31)=1,IF(AND($E31=2,IF($W31=1,AIH31,LS31)=0),1000000000,IF($V31=1,INDEX('calcA'!$D$130:$EQ$169,$B31,81)+IF(AND($E31=1,LS31=0),25,0),INDEX('calcA'!CF$110:CF$114,$F31+1)+IF(AND($E31=1,LS31=0),1000,0)+IF($H31=1,INDEX('calcA'!$D$180:$EQ$219,$B31,81)*500,0)-IF(AND('calcA'!CE$117=1,XC31&gt;0),300,0)-IF(AND($U31=1,'calcA'!CF$117=1,GE31=0),300,0))),1000000000))</f>
        <v/>
      </c>
      <c r="RI31">
        <f>IF($B31=0,1000000000,IF(INDEX('calcA'!$D$60:$EQ$99,$B31,82)*IF($W31=1,GE31+ACT31,GE31)=1,IF(AND($E31=2,IF($W31=1,AII31,LT31)=0),1000000000,IF($V31=1,INDEX('calcA'!$D$130:$EQ$169,$B31,82)+IF(AND($E31=1,LT31=0),25,0),INDEX('calcA'!CG$110:CG$114,$F31+1)+IF(AND($E31=1,LT31=0),1000,0)+IF($H31=1,INDEX('calcA'!$D$180:$EQ$219,$B31,82)*500,0)-IF(AND('calcA'!CF$117=1,XD31&gt;0),300,0)-IF(AND($U31=1,'calcA'!CG$117=1,GF31=0),300,0))),1000000000))</f>
        <v/>
      </c>
      <c r="RJ31">
        <f>IF($B31=0,1000000000,IF(INDEX('calcA'!$D$60:$EQ$99,$B31,83)*IF($W31=1,GF31+ACU31,GF31)=1,IF(AND($E31=2,IF($W31=1,AIJ31,LU31)=0),1000000000,IF($V31=1,INDEX('calcA'!$D$130:$EQ$169,$B31,83)+IF(AND($E31=1,LU31=0),25,0),INDEX('calcA'!CH$110:CH$114,$F31+1)+IF(AND($E31=1,LU31=0),1000,0)+IF($H31=1,INDEX('calcA'!$D$180:$EQ$219,$B31,83)*500,0)-IF(AND('calcA'!CG$117=1,XE31&gt;0),300,0)-IF(AND($U31=1,'calcA'!CH$117=1,GG31=0),300,0))),1000000000))</f>
        <v/>
      </c>
      <c r="RK31">
        <f>IF($B31=0,1000000000,IF(INDEX('calcA'!$D$60:$EQ$99,$B31,84)*IF($W31=1,GG31+ACV31,GG31)=1,IF(AND($E31=2,IF($W31=1,AIK31,LV31)=0),1000000000,IF($V31=1,INDEX('calcA'!$D$130:$EQ$169,$B31,84)+IF(AND($E31=1,LV31=0),25,0),INDEX('calcA'!CI$110:CI$114,$F31+1)+IF(AND($E31=1,LV31=0),1000,0)+IF($H31=1,INDEX('calcA'!$D$180:$EQ$219,$B31,84)*500,0)-IF(AND('calcA'!CH$117=1,XF31&gt;0),300,0)-IF(AND($U31=1,'calcA'!CI$117=1,GH31=0),300,0))),1000000000))</f>
        <v/>
      </c>
      <c r="RL31">
        <f>IF($B31=0,1000000000,IF(INDEX('calcA'!$D$60:$EQ$99,$B31,85)*IF($W31=1,GH31+ACW31,GH31)=1,IF(AND($E31=2,IF($W31=1,AIL31,LW31)=0),1000000000,IF($V31=1,INDEX('calcA'!$D$130:$EQ$169,$B31,85)+IF(AND($E31=1,LW31=0),25,0),INDEX('calcA'!CJ$110:CJ$114,$F31+1)+IF(AND($E31=1,LW31=0),1000,0)+IF($H31=1,INDEX('calcA'!$D$180:$EQ$219,$B31,85)*500,0)-IF(AND('calcA'!CI$117=1,XG31&gt;0),300,0)-IF(AND($U31=1,'calcA'!CJ$117=1,GI31=0),300,0))),1000000000))</f>
        <v/>
      </c>
      <c r="RM31">
        <f>IF($B31=0,1000000000,IF(INDEX('calcA'!$D$60:$EQ$99,$B31,86)*IF($W31=1,GI31+ACX31,GI31)=1,IF(AND($E31=2,IF($W31=1,AIM31,LX31)=0),1000000000,IF($V31=1,INDEX('calcA'!$D$130:$EQ$169,$B31,86)+IF(AND($E31=1,LX31=0),25,0),INDEX('calcA'!CK$110:CK$114,$F31+1)+IF(AND($E31=1,LX31=0),1000,0)+IF($H31=1,INDEX('calcA'!$D$180:$EQ$219,$B31,86)*500,0)-IF(AND('calcA'!CJ$117=1,XH31&gt;0),300,0)-IF(AND($U31=1,'calcA'!CK$117=1,GJ31=0),300,0))),1000000000))</f>
        <v/>
      </c>
      <c r="RN31">
        <f>IF($B31=0,1000000000,IF(INDEX('calcA'!$D$60:$EQ$99,$B31,87)*IF($W31=1,GJ31+ACY31,GJ31)=1,IF(AND($E31=2,IF($W31=1,AIN31,LY31)=0),1000000000,IF($V31=1,INDEX('calcA'!$D$130:$EQ$169,$B31,87)+IF(AND($E31=1,LY31=0),25,0),INDEX('calcA'!CL$110:CL$114,$F31+1)+IF(AND($E31=1,LY31=0),1000,0)+IF($H31=1,INDEX('calcA'!$D$180:$EQ$219,$B31,87)*500,0)-IF(AND('calcA'!CK$117=1,XI31&gt;0),300,0)-IF(AND($U31=1,'calcA'!CL$117=1,GK31=0),300,0))),1000000000))</f>
        <v/>
      </c>
      <c r="RO31">
        <f>IF($B31=0,1000000000,IF(INDEX('calcA'!$D$60:$EQ$99,$B31,88)*IF($W31=1,GK31+ACZ31,GK31)=1,IF(AND($E31=2,IF($W31=1,AIO31,LZ31)=0),1000000000,IF($V31=1,INDEX('calcA'!$D$130:$EQ$169,$B31,88)+IF(AND($E31=1,LZ31=0),25,0),INDEX('calcA'!CM$110:CM$114,$F31+1)+IF(AND($E31=1,LZ31=0),1000,0)+IF($H31=1,INDEX('calcA'!$D$180:$EQ$219,$B31,88)*500,0)-IF(AND('calcA'!CL$117=1,XJ31&gt;0),300,0)-IF(AND($U31=1,'calcA'!CM$117=1,GL31=0),300,0))),1000000000))</f>
        <v/>
      </c>
      <c r="RP31">
        <f>IF($B31=0,1000000000,IF(INDEX('calcA'!$D$60:$EQ$99,$B31,89)*IF($W31=1,GL31+ADA31,GL31)=1,IF(AND($E31=2,IF($W31=1,AIP31,MA31)=0),1000000000,IF($V31=1,INDEX('calcA'!$D$130:$EQ$169,$B31,89)+IF(AND($E31=1,MA31=0),25,0),INDEX('calcA'!CN$110:CN$114,$F31+1)+IF(AND($E31=1,MA31=0),1000,0)+IF($H31=1,INDEX('calcA'!$D$180:$EQ$219,$B31,89)*500,0)-IF(AND('calcA'!CM$117=1,XK31&gt;0),300,0)-IF(AND($U31=1,'calcA'!CN$117=1,GM31=0),300,0))),1000000000))</f>
        <v/>
      </c>
      <c r="RQ31">
        <f>IF($B31=0,1000000000,IF(INDEX('calcA'!$D$60:$EQ$99,$B31,90)*IF($W31=1,GM31+ADB31,GM31)=1,IF(AND($E31=2,IF($W31=1,AIQ31,MB31)=0),1000000000,IF($V31=1,INDEX('calcA'!$D$130:$EQ$169,$B31,90)+IF(AND($E31=1,MB31=0),25,0),INDEX('calcA'!CO$110:CO$114,$F31+1)+IF(AND($E31=1,MB31=0),1000,0)+IF($H31=1,INDEX('calcA'!$D$180:$EQ$219,$B31,90)*500,0)-IF(AND('calcA'!CN$117=1,XL31&gt;0),300,0)-IF(AND($U31=1,'calcA'!CO$117=1,GN31=0),300,0))),1000000000))</f>
        <v/>
      </c>
      <c r="RR31">
        <f>IF($B31=0,1000000000,IF(INDEX('calcA'!$D$60:$EQ$99,$B31,91)*IF($W31=1,GN31+ADC31,GN31)=1,IF(AND($E31=2,IF($W31=1,AIR31,MC31)=0),1000000000,IF($V31=1,INDEX('calcA'!$D$130:$EQ$169,$B31,91)+IF(AND($E31=1,MC31=0),25,0),INDEX('calcA'!CP$110:CP$114,$F31+1)+IF(AND($E31=1,MC31=0),1000,0)+IF($H31=1,INDEX('calcA'!$D$180:$EQ$219,$B31,91)*500,0)-IF(AND('calcA'!CO$117=1,XM31&gt;0),300,0)-IF(AND($U31=1,'calcA'!CP$117=1,GO31=0),300,0))),1000000000))</f>
        <v/>
      </c>
      <c r="RS31">
        <f>IF($B31=0,1000000000,IF(INDEX('calcA'!$D$60:$EQ$99,$B31,92)*IF($W31=1,GO31+ADD31,GO31)=1,IF(AND($E31=2,IF($W31=1,AIS31,MD31)=0),1000000000,IF($V31=1,INDEX('calcA'!$D$130:$EQ$169,$B31,92)+IF(AND($E31=1,MD31=0),25,0),INDEX('calcA'!CQ$110:CQ$114,$F31+1)+IF(AND($E31=1,MD31=0),1000,0)+IF($H31=1,INDEX('calcA'!$D$180:$EQ$219,$B31,92)*500,0)-IF(AND('calcA'!CP$117=1,XN31&gt;0),300,0)-IF(AND($U31=1,'calcA'!CQ$117=1,GP31=0),300,0))),1000000000))</f>
        <v/>
      </c>
      <c r="RT31">
        <f>IF($B31=0,1000000000,IF(INDEX('calcA'!$D$60:$EQ$99,$B31,93)*IF($W31=1,GP31+ADE31,GP31)=1,IF(AND($E31=2,IF($W31=1,AIT31,ME31)=0),1000000000,IF($V31=1,INDEX('calcA'!$D$130:$EQ$169,$B31,93)+IF(AND($E31=1,ME31=0),25,0),INDEX('calcA'!CR$110:CR$114,$F31+1)+IF(AND($E31=1,ME31=0),1000,0)+IF($H31=1,INDEX('calcA'!$D$180:$EQ$219,$B31,93)*500,0)-IF(AND('calcA'!CQ$117=1,XO31&gt;0),300,0)-IF(AND($U31=1,'calcA'!CR$117=1,GQ31=0),300,0))),1000000000))</f>
        <v/>
      </c>
      <c r="RU31">
        <f>IF($B31=0,1000000000,IF(INDEX('calcA'!$D$60:$EQ$99,$B31,94)*IF($W31=1,GQ31+ADF31,GQ31)=1,IF(AND($E31=2,IF($W31=1,AIU31,MF31)=0),1000000000,IF($V31=1,INDEX('calcA'!$D$130:$EQ$169,$B31,94)+IF(AND($E31=1,MF31=0),25,0),INDEX('calcA'!CS$110:CS$114,$F31+1)+IF(AND($E31=1,MF31=0),1000,0)+IF($H31=1,INDEX('calcA'!$D$180:$EQ$219,$B31,94)*500,0)-IF(AND('calcA'!CR$117=1,XP31&gt;0),300,0)-IF(AND($U31=1,'calcA'!CS$117=1,GR31=0),300,0))),1000000000))</f>
        <v/>
      </c>
      <c r="RV31">
        <f>IF($B31=0,1000000000,IF(INDEX('calcA'!$D$60:$EQ$99,$B31,95)*IF($W31=1,GR31+ADG31,GR31)=1,IF(AND($E31=2,IF($W31=1,AIV31,MG31)=0),1000000000,IF($V31=1,INDEX('calcA'!$D$130:$EQ$169,$B31,95)+IF(AND($E31=1,MG31=0),25,0),INDEX('calcA'!CT$110:CT$114,$F31+1)+IF(AND($E31=1,MG31=0),1000,0)+IF($H31=1,INDEX('calcA'!$D$180:$EQ$219,$B31,95)*500,0)-IF(AND('calcA'!CS$117=1,XQ31&gt;0),300,0)-IF(AND($U31=1,'calcA'!CT$117=1,GS31=0),300,0))),1000000000))</f>
        <v/>
      </c>
      <c r="RW31">
        <f>IF($B31=0,1000000000,IF(INDEX('calcA'!$D$60:$EQ$99,$B31,96)*IF($W31=1,GS31+ADH31,GS31)=1,IF(AND($E31=2,IF($W31=1,AIW31,MH31)=0),1000000000,IF($V31=1,INDEX('calcA'!$D$130:$EQ$169,$B31,96)+IF(AND($E31=1,MH31=0),25,0),INDEX('calcA'!CU$110:CU$114,$F31+1)+IF(AND($E31=1,MH31=0),1000,0)+IF($H31=1,INDEX('calcA'!$D$180:$EQ$219,$B31,96)*500,0)-IF(AND('calcA'!CT$117=1,XR31&gt;0),300,0))),1000000000))</f>
        <v/>
      </c>
      <c r="RX31">
        <f>IF($B31=0,1000000000,IF(INDEX('calcA'!$D$60:$EQ$99,$B31,97)*IF($W31=1,GT31+ADI31,GT31)=1,IF(AND($E31=2,IF($W31=1,AIX31,MI31)=0),1000000000,IF($V31=1,INDEX('calcA'!$D$130:$EQ$169,$B31,97)+IF(AND($E31=1,MI31=0),25,0),INDEX('calcA'!CV$110:CV$114,$F31+1)+IF(AND($E31=1,MI31=0),1000,0)+IF($H31=1,INDEX('calcA'!$D$180:$EQ$219,$B31,97)*500,0)-IF(AND($U31=1,'calcA'!CV$117=1,GU31=0),300,0))),1000000000))</f>
        <v/>
      </c>
      <c r="RY31">
        <f>IF($B31=0,1000000000,IF(INDEX('calcA'!$D$60:$EQ$99,$B31,98)*IF($W31=1,GU31+ADJ31,GU31)=1,IF(AND($E31=2,IF($W31=1,AIY31,MJ31)=0),1000000000,IF($V31=1,INDEX('calcA'!$D$130:$EQ$169,$B31,98)+IF(AND($E31=1,MJ31=0),25,0),INDEX('calcA'!CW$110:CW$114,$F31+1)+IF(AND($E31=1,MJ31=0),1000,0)+IF($H31=1,INDEX('calcA'!$D$180:$EQ$219,$B31,98)*500,0)-IF(AND('calcA'!CV$117=1,XT31&gt;0),300,0)-IF(AND($U31=1,'calcA'!CW$117=1,GV31=0),300,0))),1000000000))</f>
        <v/>
      </c>
      <c r="RZ31">
        <f>IF($B31=0,1000000000,IF(INDEX('calcA'!$D$60:$EQ$99,$B31,99)*IF($W31=1,GV31+ADK31,GV31)=1,IF(AND($E31=2,IF($W31=1,AIZ31,MK31)=0),1000000000,IF($V31=1,INDEX('calcA'!$D$130:$EQ$169,$B31,99)+IF(AND($E31=1,MK31=0),25,0),INDEX('calcA'!CX$110:CX$114,$F31+1)+IF(AND($E31=1,MK31=0),1000,0)+IF($H31=1,INDEX('calcA'!$D$180:$EQ$219,$B31,99)*500,0)-IF(AND('calcA'!CW$117=1,XU31&gt;0),300,0)-IF(AND($U31=1,'calcA'!CX$117=1,GW31=0),300,0))),1000000000))</f>
        <v/>
      </c>
      <c r="SA31">
        <f>IF($B31=0,1000000000,IF(INDEX('calcA'!$D$60:$EQ$99,$B31,100)*IF($W31=1,GW31+ADL31,GW31)=1,IF(AND($E31=2,IF($W31=1,AJA31,ML31)=0),1000000000,IF($V31=1,INDEX('calcA'!$D$130:$EQ$169,$B31,100)+IF(AND($E31=1,ML31=0),25,0),INDEX('calcA'!CY$110:CY$114,$F31+1)+IF(AND($E31=1,ML31=0),1000,0)+IF($H31=1,INDEX('calcA'!$D$180:$EQ$219,$B31,100)*500,0)-IF(AND('calcA'!CX$117=1,XV31&gt;0),300,0)-IF(AND($U31=1,'calcA'!CY$117=1,GX31=0),300,0))),1000000000))</f>
        <v/>
      </c>
      <c r="SB31">
        <f>IF($B31=0,1000000000,IF(INDEX('calcA'!$D$60:$EQ$99,$B31,101)*IF($W31=1,GX31+ADM31,GX31)=1,IF(AND($E31=2,IF($W31=1,AJB31,MM31)=0),1000000000,IF($V31=1,INDEX('calcA'!$D$130:$EQ$169,$B31,101)+IF(AND($E31=1,MM31=0),25,0),INDEX('calcA'!CZ$110:CZ$114,$F31+1)+IF(AND($E31=1,MM31=0),1000,0)+IF($H31=1,INDEX('calcA'!$D$180:$EQ$219,$B31,101)*500,0)-IF(AND('calcA'!CY$117=1,XW31&gt;0),300,0)-IF(AND($U31=1,'calcA'!CZ$117=1,GY31=0),300,0))),1000000000))</f>
        <v/>
      </c>
      <c r="SC31">
        <f>IF($B31=0,1000000000,IF(INDEX('calcA'!$D$60:$EQ$99,$B31,102)*IF($W31=1,GY31+ADN31,GY31)=1,IF(AND($E31=2,IF($W31=1,AJC31,MN31)=0),1000000000,IF($V31=1,INDEX('calcA'!$D$130:$EQ$169,$B31,102)+IF(AND($E31=1,MN31=0),25,0),INDEX('calcA'!DA$110:DA$114,$F31+1)+IF(AND($E31=1,MN31=0),1000,0)+IF($H31=1,INDEX('calcA'!$D$180:$EQ$219,$B31,102)*500,0)-IF(AND('calcA'!CZ$117=1,XX31&gt;0),300,0)-IF(AND($U31=1,'calcA'!DA$117=1,GZ31=0),300,0))),1000000000))</f>
        <v/>
      </c>
      <c r="SD31">
        <f>IF($B31=0,1000000000,IF(INDEX('calcA'!$D$60:$EQ$99,$B31,103)*IF($W31=1,GZ31+ADO31,GZ31)=1,IF(AND($E31=2,IF($W31=1,AJD31,MO31)=0),1000000000,IF($V31=1,INDEX('calcA'!$D$130:$EQ$169,$B31,103)+IF(AND($E31=1,MO31=0),25,0),INDEX('calcA'!DB$110:DB$114,$F31+1)+IF(AND($E31=1,MO31=0),1000,0)+IF($H31=1,INDEX('calcA'!$D$180:$EQ$219,$B31,103)*500,0)-IF(AND('calcA'!DA$117=1,XY31&gt;0),300,0)-IF(AND($U31=1,'calcA'!DB$117=1,HA31=0),300,0))),1000000000))</f>
        <v/>
      </c>
      <c r="SE31">
        <f>IF($B31=0,1000000000,IF(INDEX('calcA'!$D$60:$EQ$99,$B31,104)*IF($W31=1,HA31+ADP31,HA31)=1,IF(AND($E31=2,IF($W31=1,AJE31,MP31)=0),1000000000,IF($V31=1,INDEX('calcA'!$D$130:$EQ$169,$B31,104)+IF(AND($E31=1,MP31=0),25,0),INDEX('calcA'!DC$110:DC$114,$F31+1)+IF(AND($E31=1,MP31=0),1000,0)+IF($H31=1,INDEX('calcA'!$D$180:$EQ$219,$B31,104)*500,0)-IF(AND('calcA'!DB$117=1,XZ31&gt;0),300,0)-IF(AND($U31=1,'calcA'!DC$117=1,HB31=0),300,0))),1000000000))</f>
        <v/>
      </c>
      <c r="SF31">
        <f>IF($B31=0,1000000000,IF(INDEX('calcA'!$D$60:$EQ$99,$B31,105)*IF($W31=1,HB31+ADQ31,HB31)=1,IF(AND($E31=2,IF($W31=1,AJF31,MQ31)=0),1000000000,IF($V31=1,INDEX('calcA'!$D$130:$EQ$169,$B31,105)+IF(AND($E31=1,MQ31=0),25,0),INDEX('calcA'!DD$110:DD$114,$F31+1)+IF(AND($E31=1,MQ31=0),1000,0)+IF($H31=1,INDEX('calcA'!$D$180:$EQ$219,$B31,105)*500,0)-IF(AND('calcA'!DC$117=1,YA31&gt;0),300,0)-IF(AND($U31=1,'calcA'!DD$117=1,HC31=0),300,0))),1000000000))</f>
        <v/>
      </c>
      <c r="SG31">
        <f>IF($B31=0,1000000000,IF(INDEX('calcA'!$D$60:$EQ$99,$B31,106)*IF($W31=1,HC31+ADR31,HC31)=1,IF(AND($E31=2,IF($W31=1,AJG31,MR31)=0),1000000000,IF($V31=1,INDEX('calcA'!$D$130:$EQ$169,$B31,106)+IF(AND($E31=1,MR31=0),25,0),INDEX('calcA'!DE$110:DE$114,$F31+1)+IF(AND($E31=1,MR31=0),1000,0)+IF($H31=1,INDEX('calcA'!$D$180:$EQ$219,$B31,106)*500,0)-IF(AND('calcA'!DD$117=1,YB31&gt;0),300,0)-IF(AND($U31=1,'calcA'!DE$117=1,HD31=0),300,0))),1000000000))</f>
        <v/>
      </c>
      <c r="SH31">
        <f>IF($B31=0,1000000000,IF(INDEX('calcA'!$D$60:$EQ$99,$B31,107)*IF($W31=1,HD31+ADS31,HD31)=1,IF(AND($E31=2,IF($W31=1,AJH31,MS31)=0),1000000000,IF($V31=1,INDEX('calcA'!$D$130:$EQ$169,$B31,107)+IF(AND($E31=1,MS31=0),25,0),INDEX('calcA'!DF$110:DF$114,$F31+1)+IF(AND($E31=1,MS31=0),1000,0)+IF($H31=1,INDEX('calcA'!$D$180:$EQ$219,$B31,107)*500,0)-IF(AND('calcA'!DE$117=1,YC31&gt;0),300,0)-IF(AND($U31=1,'calcA'!DF$117=1,HE31=0),300,0))),1000000000))</f>
        <v/>
      </c>
      <c r="SI31">
        <f>IF($B31=0,1000000000,IF(INDEX('calcA'!$D$60:$EQ$99,$B31,108)*IF($W31=1,HE31+ADT31,HE31)=1,IF(AND($E31=2,IF($W31=1,AJI31,MT31)=0),1000000000,IF($V31=1,INDEX('calcA'!$D$130:$EQ$169,$B31,108)+IF(AND($E31=1,MT31=0),25,0),INDEX('calcA'!DG$110:DG$114,$F31+1)+IF(AND($E31=1,MT31=0),1000,0)+IF($H31=1,INDEX('calcA'!$D$180:$EQ$219,$B31,108)*500,0)-IF(AND('calcA'!DF$117=1,YD31&gt;0),300,0)-IF(AND($U31=1,'calcA'!DG$117=1,HF31=0),300,0))),1000000000))</f>
        <v/>
      </c>
      <c r="SJ31">
        <f>IF($B31=0,1000000000,IF(INDEX('calcA'!$D$60:$EQ$99,$B31,109)*IF($W31=1,HF31+ADU31,HF31)=1,IF(AND($E31=2,IF($W31=1,AJJ31,MU31)=0),1000000000,IF($V31=1,INDEX('calcA'!$D$130:$EQ$169,$B31,109)+IF(AND($E31=1,MU31=0),25,0),INDEX('calcA'!DH$110:DH$114,$F31+1)+IF(AND($E31=1,MU31=0),1000,0)+IF($H31=1,INDEX('calcA'!$D$180:$EQ$219,$B31,109)*500,0)-IF(AND('calcA'!DG$117=1,YE31&gt;0),300,0)-IF(AND($U31=1,'calcA'!DH$117=1,HG31=0),300,0))),1000000000))</f>
        <v/>
      </c>
      <c r="SK31">
        <f>IF($B31=0,1000000000,IF(INDEX('calcA'!$D$60:$EQ$99,$B31,110)*IF($W31=1,HG31+ADV31,HG31)=1,IF(AND($E31=2,IF($W31=1,AJK31,MV31)=0),1000000000,IF($V31=1,INDEX('calcA'!$D$130:$EQ$169,$B31,110)+IF(AND($E31=1,MV31=0),25,0),INDEX('calcA'!DI$110:DI$114,$F31+1)+IF(AND($E31=1,MV31=0),1000,0)+IF($H31=1,INDEX('calcA'!$D$180:$EQ$219,$B31,110)*500,0)-IF(AND('calcA'!DH$117=1,YF31&gt;0),300,0)-IF(AND($U31=1,'calcA'!DI$117=1,HH31=0),300,0))),1000000000))</f>
        <v/>
      </c>
      <c r="SL31">
        <f>IF($B31=0,1000000000,IF(INDEX('calcA'!$D$60:$EQ$99,$B31,111)*IF($W31=1,HH31+ADW31,HH31)=1,IF(AND($E31=2,IF($W31=1,AJL31,MW31)=0),1000000000,IF($V31=1,INDEX('calcA'!$D$130:$EQ$169,$B31,111)+IF(AND($E31=1,MW31=0),25,0),INDEX('calcA'!DJ$110:DJ$114,$F31+1)+IF(AND($E31=1,MW31=0),1000,0)+IF($H31=1,INDEX('calcA'!$D$180:$EQ$219,$B31,111)*500,0)-IF(AND('calcA'!DI$117=1,YG31&gt;0),300,0)-IF(AND($U31=1,'calcA'!DJ$117=1,HI31=0),300,0))),1000000000))</f>
        <v/>
      </c>
      <c r="SM31">
        <f>IF($B31=0,1000000000,IF(INDEX('calcA'!$D$60:$EQ$99,$B31,112)*IF($W31=1,HI31+ADX31,HI31)=1,IF(AND($E31=2,IF($W31=1,AJM31,MX31)=0),1000000000,IF($V31=1,INDEX('calcA'!$D$130:$EQ$169,$B31,112)+IF(AND($E31=1,MX31=0),25,0),INDEX('calcA'!DK$110:DK$114,$F31+1)+IF(AND($E31=1,MX31=0),1000,0)+IF($H31=1,INDEX('calcA'!$D$180:$EQ$219,$B31,112)*500,0)-IF(AND('calcA'!DJ$117=1,YH31&gt;0),300,0)-IF(AND($U31=1,'calcA'!DK$117=1,HJ31=0),300,0))),1000000000))</f>
        <v/>
      </c>
      <c r="SN31">
        <f>IF($B31=0,1000000000,IF(INDEX('calcA'!$D$60:$EQ$99,$B31,113)*IF($W31=1,HJ31+ADY31,HJ31)=1,IF(AND($E31=2,IF($W31=1,AJN31,MY31)=0),1000000000,IF($V31=1,INDEX('calcA'!$D$130:$EQ$169,$B31,113)+IF(AND($E31=1,MY31=0),25,0),INDEX('calcA'!DL$110:DL$114,$F31+1)+IF(AND($E31=1,MY31=0),1000,0)+IF($H31=1,INDEX('calcA'!$D$180:$EQ$219,$B31,113)*500,0)-IF(AND('calcA'!DK$117=1,YI31&gt;0),300,0)-IF(AND($U31=1,'calcA'!DL$117=1,HK31=0),300,0))),1000000000))</f>
        <v/>
      </c>
      <c r="SO31">
        <f>IF($B31=0,1000000000,IF(INDEX('calcA'!$D$60:$EQ$99,$B31,114)*IF($W31=1,HK31+ADZ31,HK31)=1,IF(AND($E31=2,IF($W31=1,AJO31,MZ31)=0),1000000000,IF($V31=1,INDEX('calcA'!$D$130:$EQ$169,$B31,114)+IF(AND($E31=1,MZ31=0),25,0),INDEX('calcA'!DM$110:DM$114,$F31+1)+IF(AND($E31=1,MZ31=0),1000,0)+IF($H31=1,INDEX('calcA'!$D$180:$EQ$219,$B31,114)*500,0)-IF(AND('calcA'!DL$117=1,YJ31&gt;0),300,0)-IF(AND($U31=1,'calcA'!DM$117=1,HL31=0),300,0))),1000000000))</f>
        <v/>
      </c>
      <c r="SP31">
        <f>IF($B31=0,1000000000,IF(INDEX('calcA'!$D$60:$EQ$99,$B31,115)*IF($W31=1,HL31+AEA31,HL31)=1,IF(AND($E31=2,IF($W31=1,AJP31,NA31)=0),1000000000,IF($V31=1,INDEX('calcA'!$D$130:$EQ$169,$B31,115)+IF(AND($E31=1,NA31=0),25,0),INDEX('calcA'!DN$110:DN$114,$F31+1)+IF(AND($E31=1,NA31=0),1000,0)+IF($H31=1,INDEX('calcA'!$D$180:$EQ$219,$B31,115)*500,0)-IF(AND('calcA'!DM$117=1,YK31&gt;0),300,0)-IF(AND($U31=1,'calcA'!DN$117=1,HM31=0),300,0))),1000000000))</f>
        <v/>
      </c>
      <c r="SQ31">
        <f>IF($B31=0,1000000000,IF(INDEX('calcA'!$D$60:$EQ$99,$B31,116)*IF($W31=1,HM31+AEB31,HM31)=1,IF(AND($E31=2,IF($W31=1,AJQ31,NB31)=0),1000000000,IF($V31=1,INDEX('calcA'!$D$130:$EQ$169,$B31,116)+IF(AND($E31=1,NB31=0),25,0),INDEX('calcA'!DO$110:DO$114,$F31+1)+IF(AND($E31=1,NB31=0),1000,0)+IF($H31=1,INDEX('calcA'!$D$180:$EQ$219,$B31,116)*500,0)-IF(AND('calcA'!DN$117=1,YL31&gt;0),300,0)-IF(AND($U31=1,'calcA'!DO$117=1,HN31=0),300,0))),1000000000))</f>
        <v/>
      </c>
      <c r="SR31">
        <f>IF($B31=0,1000000000,IF(INDEX('calcA'!$D$60:$EQ$99,$B31,117)*IF($W31=1,HN31+AEC31,HN31)=1,IF(AND($E31=2,IF($W31=1,AJR31,NC31)=0),1000000000,IF($V31=1,INDEX('calcA'!$D$130:$EQ$169,$B31,117)+IF(AND($E31=1,NC31=0),25,0),INDEX('calcA'!DP$110:DP$114,$F31+1)+IF(AND($E31=1,NC31=0),1000,0)+IF($H31=1,INDEX('calcA'!$D$180:$EQ$219,$B31,117)*500,0)-IF(AND('calcA'!DO$117=1,YM31&gt;0),300,0)-IF(AND($U31=1,'calcA'!DP$117=1,HO31=0),300,0))),1000000000))</f>
        <v/>
      </c>
      <c r="SS31">
        <f>IF($B31=0,1000000000,IF(INDEX('calcA'!$D$60:$EQ$99,$B31,118)*IF($W31=1,HO31+AED31,HO31)=1,IF(AND($E31=2,IF($W31=1,AJS31,ND31)=0),1000000000,IF($V31=1,INDEX('calcA'!$D$130:$EQ$169,$B31,118)+IF(AND($E31=1,ND31=0),25,0),INDEX('calcA'!DQ$110:DQ$114,$F31+1)+IF(AND($E31=1,ND31=0),1000,0)+IF($H31=1,INDEX('calcA'!$D$180:$EQ$219,$B31,118)*500,0)-IF(AND('calcA'!DP$117=1,YN31&gt;0),300,0)-IF(AND($U31=1,'calcA'!DQ$117=1,HP31=0),300,0))),1000000000))</f>
        <v/>
      </c>
      <c r="ST31">
        <f>IF($B31=0,1000000000,IF(INDEX('calcA'!$D$60:$EQ$99,$B31,119)*IF($W31=1,HP31+AEE31,HP31)=1,IF(AND($E31=2,IF($W31=1,AJT31,NE31)=0),1000000000,IF($V31=1,INDEX('calcA'!$D$130:$EQ$169,$B31,119)+IF(AND($E31=1,NE31=0),25,0),INDEX('calcA'!DR$110:DR$114,$F31+1)+IF(AND($E31=1,NE31=0),1000,0)+IF($H31=1,INDEX('calcA'!$D$180:$EQ$219,$B31,119)*500,0)-IF(AND('calcA'!DQ$117=1,YO31&gt;0),300,0)-IF(AND($U31=1,'calcA'!DR$117=1,HQ31=0),300,0))),1000000000))</f>
        <v/>
      </c>
      <c r="SU31">
        <f>IF($B31=0,1000000000,IF(INDEX('calcA'!$D$60:$EQ$99,$B31,120)*IF($W31=1,HQ31+AEF31,HQ31)=1,IF(AND($E31=2,IF($W31=1,AJU31,NF31)=0),1000000000,IF($V31=1,INDEX('calcA'!$D$130:$EQ$169,$B31,120)+IF(AND($E31=1,NF31=0),25,0),INDEX('calcA'!DS$110:DS$114,$F31+1)+IF(AND($E31=1,NF31=0),1000,0)+IF($H31=1,INDEX('calcA'!$D$180:$EQ$219,$B31,120)*500,0)-IF(AND('calcA'!DR$117=1,YP31&gt;0),300,0))),1000000000))</f>
        <v/>
      </c>
      <c r="SV31">
        <f>IF($B31=0,1000000000,IF(INDEX('calcA'!$D$60:$EQ$99,$B31,121)*IF($W31=1,HR31+AEG31,HR31)=1,IF(AND($E31=2,IF($W31=1,AJV31,NG31)=0),1000000000,IF($V31=1,INDEX('calcA'!$D$130:$EQ$169,$B31,121)+IF(AND($E31=1,NG31=0),25,0),INDEX('calcA'!DT$110:DT$114,$F31+1)+IF(AND($E31=1,NG31=0),1000,0)+IF($H31=1,INDEX('calcA'!$D$180:$EQ$219,$B31,121)*500,0)-IF(AND($U31=1,'calcA'!DT$117=1,HS31=0),300,0))),1000000000))</f>
        <v/>
      </c>
      <c r="SW31">
        <f>IF($B31=0,1000000000,IF(INDEX('calcA'!$D$60:$EQ$99,$B31,122)*IF($W31=1,HS31+AEH31,HS31)=1,IF(AND($E31=2,IF($W31=1,AJW31,NH31)=0),1000000000,IF($V31=1,INDEX('calcA'!$D$130:$EQ$169,$B31,122)+IF(AND($E31=1,NH31=0),25,0),INDEX('calcA'!DU$110:DU$114,$F31+1)+IF(AND($E31=1,NH31=0),1000,0)+IF($H31=1,INDEX('calcA'!$D$180:$EQ$219,$B31,122)*500,0)-IF(AND('calcA'!DT$117=1,YR31&gt;0),300,0)-IF(AND($U31=1,'calcA'!DU$117=1,HT31=0),300,0))),1000000000))</f>
        <v/>
      </c>
      <c r="SX31">
        <f>IF($B31=0,1000000000,IF(INDEX('calcA'!$D$60:$EQ$99,$B31,123)*IF($W31=1,HT31+AEI31,HT31)=1,IF(AND($E31=2,IF($W31=1,AJX31,NI31)=0),1000000000,IF($V31=1,INDEX('calcA'!$D$130:$EQ$169,$B31,123)+IF(AND($E31=1,NI31=0),25,0),INDEX('calcA'!DV$110:DV$114,$F31+1)+IF(AND($E31=1,NI31=0),1000,0)+IF($H31=1,INDEX('calcA'!$D$180:$EQ$219,$B31,123)*500,0)-IF(AND('calcA'!DU$117=1,YS31&gt;0),300,0)-IF(AND($U31=1,'calcA'!DV$117=1,HU31=0),300,0))),1000000000))</f>
        <v/>
      </c>
      <c r="SY31">
        <f>IF($B31=0,1000000000,IF(INDEX('calcA'!$D$60:$EQ$99,$B31,124)*IF($W31=1,HU31+AEJ31,HU31)=1,IF(AND($E31=2,IF($W31=1,AJY31,NJ31)=0),1000000000,IF($V31=1,INDEX('calcA'!$D$130:$EQ$169,$B31,124)+IF(AND($E31=1,NJ31=0),25,0),INDEX('calcA'!DW$110:DW$114,$F31+1)+IF(AND($E31=1,NJ31=0),1000,0)+IF($H31=1,INDEX('calcA'!$D$180:$EQ$219,$B31,124)*500,0)-IF(AND('calcA'!DV$117=1,YT31&gt;0),300,0)-IF(AND($U31=1,'calcA'!DW$117=1,HV31=0),300,0))),1000000000))</f>
        <v/>
      </c>
      <c r="SZ31">
        <f>IF($B31=0,1000000000,IF(INDEX('calcA'!$D$60:$EQ$99,$B31,125)*IF($W31=1,HV31+AEK31,HV31)=1,IF(AND($E31=2,IF($W31=1,AJZ31,NK31)=0),1000000000,IF($V31=1,INDEX('calcA'!$D$130:$EQ$169,$B31,125)+IF(AND($E31=1,NK31=0),25,0),INDEX('calcA'!DX$110:DX$114,$F31+1)+IF(AND($E31=1,NK31=0),1000,0)+IF($H31=1,INDEX('calcA'!$D$180:$EQ$219,$B31,125)*500,0)-IF(AND('calcA'!DW$117=1,YU31&gt;0),300,0)-IF(AND($U31=1,'calcA'!DX$117=1,HW31=0),300,0))),1000000000))</f>
        <v/>
      </c>
      <c r="TA31">
        <f>IF($B31=0,1000000000,IF(INDEX('calcA'!$D$60:$EQ$99,$B31,126)*IF($W31=1,HW31+AEL31,HW31)=1,IF(AND($E31=2,IF($W31=1,AKA31,NL31)=0),1000000000,IF($V31=1,INDEX('calcA'!$D$130:$EQ$169,$B31,126)+IF(AND($E31=1,NL31=0),25,0),INDEX('calcA'!DY$110:DY$114,$F31+1)+IF(AND($E31=1,NL31=0),1000,0)+IF($H31=1,INDEX('calcA'!$D$180:$EQ$219,$B31,126)*500,0)-IF(AND('calcA'!DX$117=1,YV31&gt;0),300,0)-IF(AND($U31=1,'calcA'!DY$117=1,HX31=0),300,0))),1000000000))</f>
        <v/>
      </c>
      <c r="TB31">
        <f>IF($B31=0,1000000000,IF(INDEX('calcA'!$D$60:$EQ$99,$B31,127)*IF($W31=1,HX31+AEM31,HX31)=1,IF(AND($E31=2,IF($W31=1,AKB31,NM31)=0),1000000000,IF($V31=1,INDEX('calcA'!$D$130:$EQ$169,$B31,127)+IF(AND($E31=1,NM31=0),25,0),INDEX('calcA'!DZ$110:DZ$114,$F31+1)+IF(AND($E31=1,NM31=0),1000,0)+IF($H31=1,INDEX('calcA'!$D$180:$EQ$219,$B31,127)*500,0)-IF(AND('calcA'!DY$117=1,YW31&gt;0),300,0)-IF(AND($U31=1,'calcA'!DZ$117=1,HY31=0),300,0))),1000000000))</f>
        <v/>
      </c>
      <c r="TC31">
        <f>IF($B31=0,1000000000,IF(INDEX('calcA'!$D$60:$EQ$99,$B31,128)*IF($W31=1,HY31+AEN31,HY31)=1,IF(AND($E31=2,IF($W31=1,AKC31,NN31)=0),1000000000,IF($V31=1,INDEX('calcA'!$D$130:$EQ$169,$B31,128)+IF(AND($E31=1,NN31=0),25,0),INDEX('calcA'!EA$110:EA$114,$F31+1)+IF(AND($E31=1,NN31=0),1000,0)+IF($H31=1,INDEX('calcA'!$D$180:$EQ$219,$B31,128)*500,0)-IF(AND('calcA'!DZ$117=1,YX31&gt;0),300,0)-IF(AND($U31=1,'calcA'!EA$117=1,HZ31=0),300,0))),1000000000))</f>
        <v/>
      </c>
      <c r="TD31">
        <f>IF($B31=0,1000000000,IF(INDEX('calcA'!$D$60:$EQ$99,$B31,129)*IF($W31=1,HZ31+AEO31,HZ31)=1,IF(AND($E31=2,IF($W31=1,AKD31,NO31)=0),1000000000,IF($V31=1,INDEX('calcA'!$D$130:$EQ$169,$B31,129)+IF(AND($E31=1,NO31=0),25,0),INDEX('calcA'!EB$110:EB$114,$F31+1)+IF(AND($E31=1,NO31=0),1000,0)+IF($H31=1,INDEX('calcA'!$D$180:$EQ$219,$B31,129)*500,0)-IF(AND('calcA'!EA$117=1,YY31&gt;0),300,0)-IF(AND($U31=1,'calcA'!EB$117=1,IA31=0),300,0))),1000000000))</f>
        <v/>
      </c>
      <c r="TE31">
        <f>IF($B31=0,1000000000,IF(INDEX('calcA'!$D$60:$EQ$99,$B31,130)*IF($W31=1,IA31+AEP31,IA31)=1,IF(AND($E31=2,IF($W31=1,AKE31,NP31)=0),1000000000,IF($V31=1,INDEX('calcA'!$D$130:$EQ$169,$B31,130)+IF(AND($E31=1,NP31=0),25,0),INDEX('calcA'!EC$110:EC$114,$F31+1)+IF(AND($E31=1,NP31=0),1000,0)+IF($H31=1,INDEX('calcA'!$D$180:$EQ$219,$B31,130)*500,0)-IF(AND('calcA'!EB$117=1,YZ31&gt;0),300,0)-IF(AND($U31=1,'calcA'!EC$117=1,IB31=0),300,0))),1000000000))</f>
        <v/>
      </c>
      <c r="TF31">
        <f>IF($B31=0,1000000000,IF(INDEX('calcA'!$D$60:$EQ$99,$B31,131)*IF($W31=1,IB31+AEQ31,IB31)=1,IF(AND($E31=2,IF($W31=1,AKF31,NQ31)=0),1000000000,IF($V31=1,INDEX('calcA'!$D$130:$EQ$169,$B31,131)+IF(AND($E31=1,NQ31=0),25,0),INDEX('calcA'!ED$110:ED$114,$F31+1)+IF(AND($E31=1,NQ31=0),1000,0)+IF($H31=1,INDEX('calcA'!$D$180:$EQ$219,$B31,131)*500,0)-IF(AND('calcA'!EC$117=1,ZA31&gt;0),300,0)-IF(AND($U31=1,'calcA'!ED$117=1,IC31=0),300,0))),1000000000))</f>
        <v/>
      </c>
      <c r="TG31">
        <f>IF($B31=0,1000000000,IF(INDEX('calcA'!$D$60:$EQ$99,$B31,132)*IF($W31=1,IC31+AER31,IC31)=1,IF(AND($E31=2,IF($W31=1,AKG31,NR31)=0),1000000000,IF($V31=1,INDEX('calcA'!$D$130:$EQ$169,$B31,132)+IF(AND($E31=1,NR31=0),25,0),INDEX('calcA'!EE$110:EE$114,$F31+1)+IF(AND($E31=1,NR31=0),1000,0)+IF($H31=1,INDEX('calcA'!$D$180:$EQ$219,$B31,132)*500,0)-IF(AND('calcA'!ED$117=1,ZB31&gt;0),300,0)-IF(AND($U31=1,'calcA'!EE$117=1,ID31=0),300,0))),1000000000))</f>
        <v/>
      </c>
      <c r="TH31">
        <f>IF($B31=0,1000000000,IF(INDEX('calcA'!$D$60:$EQ$99,$B31,133)*IF($W31=1,ID31+AES31,ID31)=1,IF(AND($E31=2,IF($W31=1,AKH31,NS31)=0),1000000000,IF($V31=1,INDEX('calcA'!$D$130:$EQ$169,$B31,133)+IF(AND($E31=1,NS31=0),25,0),INDEX('calcA'!EF$110:EF$114,$F31+1)+IF(AND($E31=1,NS31=0),1000,0)+IF($H31=1,INDEX('calcA'!$D$180:$EQ$219,$B31,133)*500,0)-IF(AND('calcA'!EE$117=1,ZC31&gt;0),300,0)-IF(AND($U31=1,'calcA'!EF$117=1,IE31=0),300,0))),1000000000))</f>
        <v/>
      </c>
      <c r="TI31">
        <f>IF($B31=0,1000000000,IF(INDEX('calcA'!$D$60:$EQ$99,$B31,134)*IF($W31=1,IE31+AET31,IE31)=1,IF(AND($E31=2,IF($W31=1,AKI31,NT31)=0),1000000000,IF($V31=1,INDEX('calcA'!$D$130:$EQ$169,$B31,134)+IF(AND($E31=1,NT31=0),25,0),INDEX('calcA'!EG$110:EG$114,$F31+1)+IF(AND($E31=1,NT31=0),1000,0)+IF($H31=1,INDEX('calcA'!$D$180:$EQ$219,$B31,134)*500,0)-IF(AND('calcA'!EF$117=1,ZD31&gt;0),300,0)-IF(AND($U31=1,'calcA'!EG$117=1,IF31=0),300,0))),1000000000))</f>
        <v/>
      </c>
      <c r="TJ31">
        <f>IF($B31=0,1000000000,IF(INDEX('calcA'!$D$60:$EQ$99,$B31,135)*IF($W31=1,IF31+AEU31,IF31)=1,IF(AND($E31=2,IF($W31=1,AKJ31,NU31)=0),1000000000,IF($V31=1,INDEX('calcA'!$D$130:$EQ$169,$B31,135)+IF(AND($E31=1,NU31=0),25,0),INDEX('calcA'!EH$110:EH$114,$F31+1)+IF(AND($E31=1,NU31=0),1000,0)+IF($H31=1,INDEX('calcA'!$D$180:$EQ$219,$B31,135)*500,0)-IF(AND('calcA'!EG$117=1,ZE31&gt;0),300,0)-IF(AND($U31=1,'calcA'!EH$117=1,IG31=0),300,0))),1000000000))</f>
        <v/>
      </c>
      <c r="TK31">
        <f>IF($B31=0,1000000000,IF(INDEX('calcA'!$D$60:$EQ$99,$B31,136)*IF($W31=1,IG31+AEV31,IG31)=1,IF(AND($E31=2,IF($W31=1,AKK31,NV31)=0),1000000000,IF($V31=1,INDEX('calcA'!$D$130:$EQ$169,$B31,136)+IF(AND($E31=1,NV31=0),25,0),INDEX('calcA'!EI$110:EI$114,$F31+1)+IF(AND($E31=1,NV31=0),1000,0)+IF($H31=1,INDEX('calcA'!$D$180:$EQ$219,$B31,136)*500,0)-IF(AND('calcA'!EH$117=1,ZF31&gt;0),300,0)-IF(AND($U31=1,'calcA'!EI$117=1,IH31=0),300,0))),1000000000))</f>
        <v/>
      </c>
      <c r="TL31">
        <f>IF($B31=0,1000000000,IF(INDEX('calcA'!$D$60:$EQ$99,$B31,137)*IF($W31=1,IH31+AEW31,IH31)=1,IF(AND($E31=2,IF($W31=1,AKL31,NW31)=0),1000000000,IF($V31=1,INDEX('calcA'!$D$130:$EQ$169,$B31,137)+IF(AND($E31=1,NW31=0),25,0),INDEX('calcA'!EJ$110:EJ$114,$F31+1)+IF(AND($E31=1,NW31=0),1000,0)+IF($H31=1,INDEX('calcA'!$D$180:$EQ$219,$B31,137)*500,0)-IF(AND('calcA'!EI$117=1,ZG31&gt;0),300,0)-IF(AND($U31=1,'calcA'!EJ$117=1,II31=0),300,0))),1000000000))</f>
        <v/>
      </c>
      <c r="TM31">
        <f>IF($B31=0,1000000000,IF(INDEX('calcA'!$D$60:$EQ$99,$B31,138)*IF($W31=1,II31+AEX31,II31)=1,IF(AND($E31=2,IF($W31=1,AKM31,NX31)=0),1000000000,IF($V31=1,INDEX('calcA'!$D$130:$EQ$169,$B31,138)+IF(AND($E31=1,NX31=0),25,0),INDEX('calcA'!EK$110:EK$114,$F31+1)+IF(AND($E31=1,NX31=0),1000,0)+IF($H31=1,INDEX('calcA'!$D$180:$EQ$219,$B31,138)*500,0)-IF(AND('calcA'!EJ$117=1,ZH31&gt;0),300,0)-IF(AND($U31=1,'calcA'!EK$117=1,IJ31=0),300,0))),1000000000))</f>
        <v/>
      </c>
      <c r="TN31">
        <f>IF($B31=0,1000000000,IF(INDEX('calcA'!$D$60:$EQ$99,$B31,139)*IF($W31=1,IJ31+AEY31,IJ31)=1,IF(AND($E31=2,IF($W31=1,AKN31,NY31)=0),1000000000,IF($V31=1,INDEX('calcA'!$D$130:$EQ$169,$B31,139)+IF(AND($E31=1,NY31=0),25,0),INDEX('calcA'!EL$110:EL$114,$F31+1)+IF(AND($E31=1,NY31=0),1000,0)+IF($H31=1,INDEX('calcA'!$D$180:$EQ$219,$B31,139)*500,0)-IF(AND('calcA'!EK$117=1,ZI31&gt;0),300,0)-IF(AND($U31=1,'calcA'!EL$117=1,IK31=0),300,0))),1000000000))</f>
        <v/>
      </c>
      <c r="TO31">
        <f>IF($B31=0,1000000000,IF(INDEX('calcA'!$D$60:$EQ$99,$B31,140)*IF($W31=1,IK31+AEZ31,IK31)=1,IF(AND($E31=2,IF($W31=1,AKO31,NZ31)=0),1000000000,IF($V31=1,INDEX('calcA'!$D$130:$EQ$169,$B31,140)+IF(AND($E31=1,NZ31=0),25,0),INDEX('calcA'!EM$110:EM$114,$F31+1)+IF(AND($E31=1,NZ31=0),1000,0)+IF($H31=1,INDEX('calcA'!$D$180:$EQ$219,$B31,140)*500,0)-IF(AND('calcA'!EL$117=1,ZJ31&gt;0),300,0)-IF(AND($U31=1,'calcA'!EM$117=1,IL31=0),300,0))),1000000000))</f>
        <v/>
      </c>
      <c r="TP31">
        <f>IF($B31=0,1000000000,IF(INDEX('calcA'!$D$60:$EQ$99,$B31,141)*IF($W31=1,IL31+AFA31,IL31)=1,IF(AND($E31=2,IF($W31=1,AKP31,OA31)=0),1000000000,IF($V31=1,INDEX('calcA'!$D$130:$EQ$169,$B31,141)+IF(AND($E31=1,OA31=0),25,0),INDEX('calcA'!EN$110:EN$114,$F31+1)+IF(AND($E31=1,OA31=0),1000,0)+IF($H31=1,INDEX('calcA'!$D$180:$EQ$219,$B31,141)*500,0)-IF(AND('calcA'!EM$117=1,ZK31&gt;0),300,0)-IF(AND($U31=1,'calcA'!EN$117=1,IM31=0),300,0))),1000000000))</f>
        <v/>
      </c>
      <c r="TQ31">
        <f>IF($B31=0,1000000000,IF(INDEX('calcA'!$D$60:$EQ$99,$B31,142)*IF($W31=1,IM31+AFB31,IM31)=1,IF(AND($E31=2,IF($W31=1,AKQ31,OB31)=0),1000000000,IF($V31=1,INDEX('calcA'!$D$130:$EQ$169,$B31,142)+IF(AND($E31=1,OB31=0),25,0),INDEX('calcA'!EO$110:EO$114,$F31+1)+IF(AND($E31=1,OB31=0),1000,0)+IF($H31=1,INDEX('calcA'!$D$180:$EQ$219,$B31,142)*500,0)-IF(AND('calcA'!EN$117=1,ZL31&gt;0),300,0)-IF(AND($U31=1,'calcA'!EO$117=1,IN31=0),300,0))),1000000000))</f>
        <v/>
      </c>
      <c r="TR31">
        <f>IF($B31=0,1000000000,IF(INDEX('calcA'!$D$60:$EQ$99,$B31,143)*IF($W31=1,IN31+AFC31,IN31)=1,IF(AND($E31=2,IF($W31=1,AKR31,OC31)=0),1000000000,IF($V31=1,INDEX('calcA'!$D$130:$EQ$169,$B31,143)+IF(AND($E31=1,OC31=0),25,0),INDEX('calcA'!EP$110:EP$114,$F31+1)+IF(AND($E31=1,OC31=0),1000,0)+IF($H31=1,INDEX('calcA'!$D$180:$EQ$219,$B31,143)*500,0)-IF(AND('calcA'!EO$117=1,ZM31&gt;0),300,0)-IF(AND($U31=1,'calcA'!EP$117=1,IO31=0),300,0))),1000000000))</f>
        <v/>
      </c>
      <c r="TS31">
        <f>IF($B31=0,1000000000,IF(INDEX('calcA'!$D$60:$EQ$99,$B31,144)*IF($W31=1,IO31+AFD31,IO31)=1,IF(AND($E31=2,IF($W31=1,AKS31,OD31)=0),1000000000,IF($V31=1,INDEX('calcA'!$D$130:$EQ$169,$B31,144)+IF(AND($E31=1,OD31=0),25,0),INDEX('calcA'!EQ$110:EQ$114,$F31+1)+IF(AND($E31=1,OD31=0),1000,0)+IF($H31=1,INDEX('calcA'!$D$180:$EQ$219,$B31,144)*500,0)-IF(AND('calcA'!EP$117=1,ZN31&gt;0),300,0))),1000000000))</f>
        <v/>
      </c>
      <c r="UB31">
        <f>UB30+IF(AND($C30=1,$U30=1),1,0)</f>
        <v/>
      </c>
      <c r="UC31">
        <f>UC30+IF(AND($C30=2,$U30=1),1,0)</f>
        <v/>
      </c>
      <c r="UD31">
        <f>UD30+IF(AND($C30=3,$U30=1),1,0)</f>
        <v/>
      </c>
      <c r="UE31">
        <f>UE30+IF(AND($C30=4,$U30=1),1,0)</f>
        <v/>
      </c>
      <c r="UF31">
        <f>UF30+IF(AND($C30=5,$U30=1),1,0)</f>
        <v/>
      </c>
      <c r="UG31">
        <f>UG30+IF(AND($C30=6,$U30=1),1,0)</f>
        <v/>
      </c>
      <c r="UH31">
        <f>UH30+IF(AND($C30=7,$U30=1),1,0)</f>
        <v/>
      </c>
      <c r="UI31">
        <f>UI30+IF(AND($C30=8,$U30=1),1,0)</f>
        <v/>
      </c>
      <c r="UJ31">
        <f>UJ30+IF(AND($C30=9,$U30=1),1,0)</f>
        <v/>
      </c>
      <c r="UK31">
        <f>UK30+IF(AND($C30=10,$U30=1),1,0)</f>
        <v/>
      </c>
      <c r="UL31">
        <f>UL30+IF(AND($C30=11,$U30=1),1,0)</f>
        <v/>
      </c>
      <c r="UM31">
        <f>UM30+IF(AND($C30=12,$U30=1),1,0)</f>
        <v/>
      </c>
      <c r="UN31">
        <f>UN30+IF(AND($C30=13,$U30=1),1,0)</f>
        <v/>
      </c>
      <c r="UO31">
        <f>UO30+IF(AND($C30=14,$U30=1),1,0)</f>
        <v/>
      </c>
      <c r="UP31">
        <f>UP30+IF(AND($C30=15,$U30=1),1,0)</f>
        <v/>
      </c>
      <c r="UQ31">
        <f>UQ30+IF(AND($C30=16,$U30=1),1,0)</f>
        <v/>
      </c>
      <c r="UR31">
        <f>UR30+IF(AND($C30=17,$U30=1),1,0)</f>
        <v/>
      </c>
      <c r="US31">
        <f>US30+IF(AND($C30=18,$U30=1),1,0)</f>
        <v/>
      </c>
      <c r="UT31">
        <f>UT30+IF(AND($C30=19,$U30=1),1,0)</f>
        <v/>
      </c>
      <c r="UU31">
        <f>UU30+IF(AND($C30=20,$U30=1),1,0)</f>
        <v/>
      </c>
      <c r="UV31">
        <f>UV30+IF(AND($C30=21,$U30=1),1,0)</f>
        <v/>
      </c>
      <c r="UW31">
        <f>UW30+IF(AND($C30=22,$U30=1),1,0)</f>
        <v/>
      </c>
      <c r="UX31">
        <f>UX30+IF(AND($C30=23,$U30=1),1,0)</f>
        <v/>
      </c>
      <c r="UY31">
        <f>UY30+IF(AND($C30=24,$U30=1),1,0)</f>
        <v/>
      </c>
      <c r="UZ31">
        <f>UZ30+IF(AND($C30=25,$U30=1),1,0)</f>
        <v/>
      </c>
      <c r="VA31">
        <f>VA30+IF(AND($C30=26,$U30=1),1,0)</f>
        <v/>
      </c>
      <c r="VB31">
        <f>VB30+IF(AND($C30=27,$U30=1),1,0)</f>
        <v/>
      </c>
      <c r="VC31">
        <f>VC30+IF(AND($C30=28,$U30=1),1,0)</f>
        <v/>
      </c>
      <c r="VD31">
        <f>VD30+IF(AND($C30=29,$U30=1),1,0)</f>
        <v/>
      </c>
      <c r="VE31">
        <f>VE30+IF(AND($C30=30,$U30=1),1,0)</f>
        <v/>
      </c>
      <c r="VF31">
        <f>VF30+IF(AND($C30=31,$U30=1),1,0)</f>
        <v/>
      </c>
      <c r="VG31">
        <f>VG30+IF(AND($C30=32,$U30=1),1,0)</f>
        <v/>
      </c>
      <c r="VH31">
        <f>VH30+IF(AND($C30=33,$U30=1),1,0)</f>
        <v/>
      </c>
      <c r="VI31">
        <f>VI30+IF(AND($C30=34,$U30=1),1,0)</f>
        <v/>
      </c>
      <c r="VJ31">
        <f>VJ30+IF(AND($C30=35,$U30=1),1,0)</f>
        <v/>
      </c>
      <c r="VK31">
        <f>VK30+IF(AND($C30=36,$U30=1),1,0)</f>
        <v/>
      </c>
      <c r="VL31">
        <f>VL30+IF(AND($C30=37,$U30=1),1,0)</f>
        <v/>
      </c>
      <c r="VM31">
        <f>VM30+IF(AND($C30=38,$U30=1),1,0)</f>
        <v/>
      </c>
      <c r="VN31">
        <f>VN30+IF(AND($C30=39,$U30=1),1,0)</f>
        <v/>
      </c>
      <c r="VO31">
        <f>VO30+IF(AND($C30=40,$U30=1),1,0)</f>
        <v/>
      </c>
      <c r="VP31">
        <f>VP30+IF(AND($C30=41,$U30=1),1,0)</f>
        <v/>
      </c>
      <c r="VQ31">
        <f>VQ30+IF(AND($C30=42,$U30=1),1,0)</f>
        <v/>
      </c>
      <c r="VR31">
        <f>VR30+IF(AND($C30=43,$U30=1),1,0)</f>
        <v/>
      </c>
      <c r="VS31">
        <f>VS30+IF(AND($C30=44,$U30=1),1,0)</f>
        <v/>
      </c>
      <c r="VT31">
        <f>VT30+IF(AND($C30=45,$U30=1),1,0)</f>
        <v/>
      </c>
      <c r="VU31">
        <f>VU30+IF(AND($C30=46,$U30=1),1,0)</f>
        <v/>
      </c>
      <c r="VV31">
        <f>VV30+IF(AND($C30=47,$U30=1),1,0)</f>
        <v/>
      </c>
      <c r="VW31">
        <f>VW30+IF(AND($C30=48,$U30=1),1,0)</f>
        <v/>
      </c>
      <c r="VX31">
        <f>VX30+IF(AND($C30=49,$U30=1),1,0)</f>
        <v/>
      </c>
      <c r="VY31">
        <f>VY30+IF(AND($C30=50,$U30=1),1,0)</f>
        <v/>
      </c>
      <c r="VZ31">
        <f>VZ30+IF(AND($C30=51,$U30=1),1,0)</f>
        <v/>
      </c>
      <c r="WA31">
        <f>WA30+IF(AND($C30=52,$U30=1),1,0)</f>
        <v/>
      </c>
      <c r="WB31">
        <f>WB30+IF(AND($C30=53,$U30=1),1,0)</f>
        <v/>
      </c>
      <c r="WC31">
        <f>WC30+IF(AND($C30=54,$U30=1),1,0)</f>
        <v/>
      </c>
      <c r="WD31">
        <f>WD30+IF(AND($C30=55,$U30=1),1,0)</f>
        <v/>
      </c>
      <c r="WE31">
        <f>WE30+IF(AND($C30=56,$U30=1),1,0)</f>
        <v/>
      </c>
      <c r="WF31">
        <f>WF30+IF(AND($C30=57,$U30=1),1,0)</f>
        <v/>
      </c>
      <c r="WG31">
        <f>WG30+IF(AND($C30=58,$U30=1),1,0)</f>
        <v/>
      </c>
      <c r="WH31">
        <f>WH30+IF(AND($C30=59,$U30=1),1,0)</f>
        <v/>
      </c>
      <c r="WI31">
        <f>WI30+IF(AND($C30=60,$U30=1),1,0)</f>
        <v/>
      </c>
      <c r="WJ31">
        <f>WJ30+IF(AND($C30=61,$U30=1),1,0)</f>
        <v/>
      </c>
      <c r="WK31">
        <f>WK30+IF(AND($C30=62,$U30=1),1,0)</f>
        <v/>
      </c>
      <c r="WL31">
        <f>WL30+IF(AND($C30=63,$U30=1),1,0)</f>
        <v/>
      </c>
      <c r="WM31">
        <f>WM30+IF(AND($C30=64,$U30=1),1,0)</f>
        <v/>
      </c>
      <c r="WN31">
        <f>WN30+IF(AND($C30=65,$U30=1),1,0)</f>
        <v/>
      </c>
      <c r="WO31">
        <f>WO30+IF(AND($C30=66,$U30=1),1,0)</f>
        <v/>
      </c>
      <c r="WP31">
        <f>WP30+IF(AND($C30=67,$U30=1),1,0)</f>
        <v/>
      </c>
      <c r="WQ31">
        <f>WQ30+IF(AND($C30=68,$U30=1),1,0)</f>
        <v/>
      </c>
      <c r="WR31">
        <f>WR30+IF(AND($C30=69,$U30=1),1,0)</f>
        <v/>
      </c>
      <c r="WS31">
        <f>WS30+IF(AND($C30=70,$U30=1),1,0)</f>
        <v/>
      </c>
      <c r="WT31">
        <f>WT30+IF(AND($C30=71,$U30=1),1,0)</f>
        <v/>
      </c>
      <c r="WU31">
        <f>WU30+IF(AND($C30=72,$U30=1),1,0)</f>
        <v/>
      </c>
      <c r="WV31">
        <f>WV30+IF(AND($C30=73,$U30=1),1,0)</f>
        <v/>
      </c>
      <c r="WW31">
        <f>WW30+IF(AND($C30=74,$U30=1),1,0)</f>
        <v/>
      </c>
      <c r="WX31">
        <f>WX30+IF(AND($C30=75,$U30=1),1,0)</f>
        <v/>
      </c>
      <c r="WY31">
        <f>WY30+IF(AND($C30=76,$U30=1),1,0)</f>
        <v/>
      </c>
      <c r="WZ31">
        <f>WZ30+IF(AND($C30=77,$U30=1),1,0)</f>
        <v/>
      </c>
      <c r="XA31">
        <f>XA30+IF(AND($C30=78,$U30=1),1,0)</f>
        <v/>
      </c>
      <c r="XB31">
        <f>XB30+IF(AND($C30=79,$U30=1),1,0)</f>
        <v/>
      </c>
      <c r="XC31">
        <f>XC30+IF(AND($C30=80,$U30=1),1,0)</f>
        <v/>
      </c>
      <c r="XD31">
        <f>XD30+IF(AND($C30=81,$U30=1),1,0)</f>
        <v/>
      </c>
      <c r="XE31">
        <f>XE30+IF(AND($C30=82,$U30=1),1,0)</f>
        <v/>
      </c>
      <c r="XF31">
        <f>XF30+IF(AND($C30=83,$U30=1),1,0)</f>
        <v/>
      </c>
      <c r="XG31">
        <f>XG30+IF(AND($C30=84,$U30=1),1,0)</f>
        <v/>
      </c>
      <c r="XH31">
        <f>XH30+IF(AND($C30=85,$U30=1),1,0)</f>
        <v/>
      </c>
      <c r="XI31">
        <f>XI30+IF(AND($C30=86,$U30=1),1,0)</f>
        <v/>
      </c>
      <c r="XJ31">
        <f>XJ30+IF(AND($C30=87,$U30=1),1,0)</f>
        <v/>
      </c>
      <c r="XK31">
        <f>XK30+IF(AND($C30=88,$U30=1),1,0)</f>
        <v/>
      </c>
      <c r="XL31">
        <f>XL30+IF(AND($C30=89,$U30=1),1,0)</f>
        <v/>
      </c>
      <c r="XM31">
        <f>XM30+IF(AND($C30=90,$U30=1),1,0)</f>
        <v/>
      </c>
      <c r="XN31">
        <f>XN30+IF(AND($C30=91,$U30=1),1,0)</f>
        <v/>
      </c>
      <c r="XO31">
        <f>XO30+IF(AND($C30=92,$U30=1),1,0)</f>
        <v/>
      </c>
      <c r="XP31">
        <f>XP30+IF(AND($C30=93,$U30=1),1,0)</f>
        <v/>
      </c>
      <c r="XQ31">
        <f>XQ30+IF(AND($C30=94,$U30=1),1,0)</f>
        <v/>
      </c>
      <c r="XR31">
        <f>XR30+IF(AND($C30=95,$U30=1),1,0)</f>
        <v/>
      </c>
      <c r="XS31">
        <f>XS30+IF(AND($C30=96,$U30=1),1,0)</f>
        <v/>
      </c>
      <c r="XT31">
        <f>XT30+IF(AND($C30=97,$U30=1),1,0)</f>
        <v/>
      </c>
      <c r="XU31">
        <f>XU30+IF(AND($C30=98,$U30=1),1,0)</f>
        <v/>
      </c>
      <c r="XV31">
        <f>XV30+IF(AND($C30=99,$U30=1),1,0)</f>
        <v/>
      </c>
      <c r="XW31">
        <f>XW30+IF(AND($C30=100,$U30=1),1,0)</f>
        <v/>
      </c>
      <c r="XX31">
        <f>XX30+IF(AND($C30=101,$U30=1),1,0)</f>
        <v/>
      </c>
      <c r="XY31">
        <f>XY30+IF(AND($C30=102,$U30=1),1,0)</f>
        <v/>
      </c>
      <c r="XZ31">
        <f>XZ30+IF(AND($C30=103,$U30=1),1,0)</f>
        <v/>
      </c>
      <c r="YA31">
        <f>YA30+IF(AND($C30=104,$U30=1),1,0)</f>
        <v/>
      </c>
      <c r="YB31">
        <f>YB30+IF(AND($C30=105,$U30=1),1,0)</f>
        <v/>
      </c>
      <c r="YC31">
        <f>YC30+IF(AND($C30=106,$U30=1),1,0)</f>
        <v/>
      </c>
      <c r="YD31">
        <f>YD30+IF(AND($C30=107,$U30=1),1,0)</f>
        <v/>
      </c>
      <c r="YE31">
        <f>YE30+IF(AND($C30=108,$U30=1),1,0)</f>
        <v/>
      </c>
      <c r="YF31">
        <f>YF30+IF(AND($C30=109,$U30=1),1,0)</f>
        <v/>
      </c>
      <c r="YG31">
        <f>YG30+IF(AND($C30=110,$U30=1),1,0)</f>
        <v/>
      </c>
      <c r="YH31">
        <f>YH30+IF(AND($C30=111,$U30=1),1,0)</f>
        <v/>
      </c>
      <c r="YI31">
        <f>YI30+IF(AND($C30=112,$U30=1),1,0)</f>
        <v/>
      </c>
      <c r="YJ31">
        <f>YJ30+IF(AND($C30=113,$U30=1),1,0)</f>
        <v/>
      </c>
      <c r="YK31">
        <f>YK30+IF(AND($C30=114,$U30=1),1,0)</f>
        <v/>
      </c>
      <c r="YL31">
        <f>YL30+IF(AND($C30=115,$U30=1),1,0)</f>
        <v/>
      </c>
      <c r="YM31">
        <f>YM30+IF(AND($C30=116,$U30=1),1,0)</f>
        <v/>
      </c>
      <c r="YN31">
        <f>YN30+IF(AND($C30=117,$U30=1),1,0)</f>
        <v/>
      </c>
      <c r="YO31">
        <f>YO30+IF(AND($C30=118,$U30=1),1,0)</f>
        <v/>
      </c>
      <c r="YP31">
        <f>YP30+IF(AND($C30=119,$U30=1),1,0)</f>
        <v/>
      </c>
      <c r="YQ31">
        <f>YQ30+IF(AND($C30=120,$U30=1),1,0)</f>
        <v/>
      </c>
      <c r="YR31">
        <f>YR30+IF(AND($C30=121,$U30=1),1,0)</f>
        <v/>
      </c>
      <c r="YS31">
        <f>YS30+IF(AND($C30=122,$U30=1),1,0)</f>
        <v/>
      </c>
      <c r="YT31">
        <f>YT30+IF(AND($C30=123,$U30=1),1,0)</f>
        <v/>
      </c>
      <c r="YU31">
        <f>YU30+IF(AND($C30=124,$U30=1),1,0)</f>
        <v/>
      </c>
      <c r="YV31">
        <f>YV30+IF(AND($C30=125,$U30=1),1,0)</f>
        <v/>
      </c>
      <c r="YW31">
        <f>YW30+IF(AND($C30=126,$U30=1),1,0)</f>
        <v/>
      </c>
      <c r="YX31">
        <f>YX30+IF(AND($C30=127,$U30=1),1,0)</f>
        <v/>
      </c>
      <c r="YY31">
        <f>YY30+IF(AND($C30=128,$U30=1),1,0)</f>
        <v/>
      </c>
      <c r="YZ31">
        <f>YZ30+IF(AND($C30=129,$U30=1),1,0)</f>
        <v/>
      </c>
      <c r="ZA31">
        <f>ZA30+IF(AND($C30=130,$U30=1),1,0)</f>
        <v/>
      </c>
      <c r="ZB31">
        <f>ZB30+IF(AND($C30=131,$U30=1),1,0)</f>
        <v/>
      </c>
      <c r="ZC31">
        <f>ZC30+IF(AND($C30=132,$U30=1),1,0)</f>
        <v/>
      </c>
      <c r="ZD31">
        <f>ZD30+IF(AND($C30=133,$U30=1),1,0)</f>
        <v/>
      </c>
      <c r="ZE31">
        <f>ZE30+IF(AND($C30=134,$U30=1),1,0)</f>
        <v/>
      </c>
      <c r="ZF31">
        <f>ZF30+IF(AND($C30=135,$U30=1),1,0)</f>
        <v/>
      </c>
      <c r="ZG31">
        <f>ZG30+IF(AND($C30=136,$U30=1),1,0)</f>
        <v/>
      </c>
      <c r="ZH31">
        <f>ZH30+IF(AND($C30=137,$U30=1),1,0)</f>
        <v/>
      </c>
      <c r="ZI31">
        <f>ZI30+IF(AND($C30=138,$U30=1),1,0)</f>
        <v/>
      </c>
      <c r="ZJ31">
        <f>ZJ30+IF(AND($C30=139,$U30=1),1,0)</f>
        <v/>
      </c>
      <c r="ZK31">
        <f>ZK30+IF(AND($C30=140,$U30=1),1,0)</f>
        <v/>
      </c>
      <c r="ZL31">
        <f>ZL30+IF(AND($C30=141,$U30=1),1,0)</f>
        <v/>
      </c>
      <c r="ZM31">
        <f>ZM30+IF(AND($C30=142,$U30=1),1,0)</f>
        <v/>
      </c>
      <c r="ZN31">
        <f>ZN30+IF(AND($C30=143,$U30=1),1,0)</f>
        <v/>
      </c>
      <c r="ZO31">
        <f>ZO30+IF(AND($C30=144,$U30=1),1,0)</f>
        <v/>
      </c>
      <c r="ZQ31">
        <f>IF($C30=1,0,ZQ30+IF(AND($G30=1,$E30=1),1,0))</f>
        <v/>
      </c>
      <c r="ZR31">
        <f>IF($C30=2,0,ZR30+IF(AND($G30=2,$E30=1),1,0))</f>
        <v/>
      </c>
      <c r="ZS31">
        <f>IF($C30=3,0,ZS30+IF(AND($G30=3,$E30=1),1,0))</f>
        <v/>
      </c>
      <c r="ZT31">
        <f>IF($C30=4,0,ZT30+IF(AND($G30=4,$E30=1),1,0))</f>
        <v/>
      </c>
      <c r="ZU31">
        <f>IF($C30=5,0,ZU30+IF(AND($G30=5,$E30=1),1,0))</f>
        <v/>
      </c>
      <c r="ZV31">
        <f>IF($C30=6,0,ZV30+IF(AND($G30=6,$E30=1),1,0))</f>
        <v/>
      </c>
      <c r="ZW31">
        <f>IF($C30=7,0,ZW30+IF(AND($G30=7,$E30=1),1,0))</f>
        <v/>
      </c>
      <c r="ZX31">
        <f>IF($C30=8,0,ZX30+IF(AND($G30=8,$E30=1),1,0))</f>
        <v/>
      </c>
      <c r="ZY31">
        <f>IF($C30=9,0,ZY30+IF(AND($G30=9,$E30=1),1,0))</f>
        <v/>
      </c>
      <c r="ZZ31">
        <f>IF($C30=10,0,ZZ30+IF(AND($G30=10,$E30=1),1,0))</f>
        <v/>
      </c>
      <c r="AAA31">
        <f>IF($C30=11,0,AAA30+IF(AND($G30=11,$E30=1),1,0))</f>
        <v/>
      </c>
      <c r="AAB31">
        <f>IF($C30=12,0,AAB30+IF(AND($G30=12,$E30=1),1,0))</f>
        <v/>
      </c>
      <c r="AAC31">
        <f>IF($C30=13,0,AAC30+IF(AND($G30=13,$E30=1),1,0))</f>
        <v/>
      </c>
      <c r="AAD31">
        <f>IF($C30=14,0,AAD30+IF(AND($G30=14,$E30=1),1,0))</f>
        <v/>
      </c>
      <c r="AAE31">
        <f>IF($C30=15,0,AAE30+IF(AND($G30=15,$E30=1),1,0))</f>
        <v/>
      </c>
      <c r="AAF31">
        <f>IF($C30=16,0,AAF30+IF(AND($G30=16,$E30=1),1,0))</f>
        <v/>
      </c>
      <c r="AAG31">
        <f>IF($C30=17,0,AAG30+IF(AND($G30=17,$E30=1),1,0))</f>
        <v/>
      </c>
      <c r="AAH31">
        <f>IF($C30=18,0,AAH30+IF(AND($G30=18,$E30=1),1,0))</f>
        <v/>
      </c>
      <c r="AAI31">
        <f>IF($C30=19,0,AAI30+IF(AND($G30=19,$E30=1),1,0))</f>
        <v/>
      </c>
      <c r="AAJ31">
        <f>IF($C30=20,0,AAJ30+IF(AND($G30=20,$E30=1),1,0))</f>
        <v/>
      </c>
      <c r="AAK31">
        <f>IF($C30=21,0,AAK30+IF(AND($G30=21,$E30=1),1,0))</f>
        <v/>
      </c>
      <c r="AAL31">
        <f>IF($C30=22,0,AAL30+IF(AND($G30=22,$E30=1),1,0))</f>
        <v/>
      </c>
      <c r="AAM31">
        <f>IF($C30=23,0,AAM30+IF(AND($G30=23,$E30=1),1,0))</f>
        <v/>
      </c>
      <c r="AAN31">
        <f>IF($C30=24,0,AAN30+IF(AND($G30=24,$E30=1),1,0))</f>
        <v/>
      </c>
      <c r="AAO31">
        <f>IF($C30=25,0,AAO30+IF(AND($G30=25,$E30=1),1,0))</f>
        <v/>
      </c>
      <c r="AAP31">
        <f>IF($C30=26,0,AAP30+IF(AND($G30=26,$E30=1),1,0))</f>
        <v/>
      </c>
      <c r="AAQ31">
        <f>IF($C30=27,0,AAQ30+IF(AND($G30=27,$E30=1),1,0))</f>
        <v/>
      </c>
      <c r="AAR31">
        <f>IF($C30=28,0,AAR30+IF(AND($G30=28,$E30=1),1,0))</f>
        <v/>
      </c>
      <c r="AAS31">
        <f>IF($C30=29,0,AAS30+IF(AND($G30=29,$E30=1),1,0))</f>
        <v/>
      </c>
      <c r="AAT31">
        <f>IF($C30=30,0,AAT30+IF(AND($G30=30,$E30=1),1,0))</f>
        <v/>
      </c>
      <c r="AAU31">
        <f>IF($C30=31,0,AAU30+IF(AND($G30=31,$E30=1),1,0))</f>
        <v/>
      </c>
      <c r="AAV31">
        <f>IF($C30=32,0,AAV30+IF(AND($G30=32,$E30=1),1,0))</f>
        <v/>
      </c>
      <c r="AAW31">
        <f>IF($C30=33,0,AAW30+IF(AND($G30=33,$E30=1),1,0))</f>
        <v/>
      </c>
      <c r="AAX31">
        <f>IF($C30=34,0,AAX30+IF(AND($G30=34,$E30=1),1,0))</f>
        <v/>
      </c>
      <c r="AAY31">
        <f>IF($C30=35,0,AAY30+IF(AND($G30=35,$E30=1),1,0))</f>
        <v/>
      </c>
      <c r="AAZ31">
        <f>IF($C30=36,0,AAZ30+IF(AND($G30=36,$E30=1),1,0))</f>
        <v/>
      </c>
      <c r="ABA31">
        <f>IF($C30=37,0,ABA30+IF(AND($G30=37,$E30=1),1,0))</f>
        <v/>
      </c>
      <c r="ABB31">
        <f>IF($C30=38,0,ABB30+IF(AND($G30=38,$E30=1),1,0))</f>
        <v/>
      </c>
      <c r="ABC31">
        <f>IF($C30=39,0,ABC30+IF(AND($G30=39,$E30=1),1,0))</f>
        <v/>
      </c>
      <c r="ABD31">
        <f>IF($C30=40,0,ABD30+IF(AND($G30=40,$E30=1),1,0))</f>
        <v/>
      </c>
      <c r="ABE31">
        <f>IF($C30=41,0,ABE30+IF(AND($G30=41,$E30=1),1,0))</f>
        <v/>
      </c>
      <c r="ABF31">
        <f>IF($C30=42,0,ABF30+IF(AND($G30=42,$E30=1),1,0))</f>
        <v/>
      </c>
      <c r="ABG31">
        <f>IF($C30=43,0,ABG30+IF(AND($G30=43,$E30=1),1,0))</f>
        <v/>
      </c>
      <c r="ABH31">
        <f>IF($C30=44,0,ABH30+IF(AND($G30=44,$E30=1),1,0))</f>
        <v/>
      </c>
      <c r="ABI31">
        <f>IF($C30=45,0,ABI30+IF(AND($G30=45,$E30=1),1,0))</f>
        <v/>
      </c>
      <c r="ABJ31">
        <f>IF($C30=46,0,ABJ30+IF(AND($G30=46,$E30=1),1,0))</f>
        <v/>
      </c>
      <c r="ABK31">
        <f>IF($C30=47,0,ABK30+IF(AND($G30=47,$E30=1),1,0))</f>
        <v/>
      </c>
      <c r="ABL31">
        <f>IF($C30=48,0,ABL30+IF(AND($G30=48,$E30=1),1,0))</f>
        <v/>
      </c>
      <c r="ABM31">
        <f>IF($C30=49,0,ABM30+IF(AND($G30=49,$E30=1),1,0))</f>
        <v/>
      </c>
      <c r="ABN31">
        <f>IF($C30=50,0,ABN30+IF(AND($G30=50,$E30=1),1,0))</f>
        <v/>
      </c>
      <c r="ABO31">
        <f>IF($C30=51,0,ABO30+IF(AND($G30=51,$E30=1),1,0))</f>
        <v/>
      </c>
      <c r="ABP31">
        <f>IF($C30=52,0,ABP30+IF(AND($G30=52,$E30=1),1,0))</f>
        <v/>
      </c>
      <c r="ABQ31">
        <f>IF($C30=53,0,ABQ30+IF(AND($G30=53,$E30=1),1,0))</f>
        <v/>
      </c>
      <c r="ABR31">
        <f>IF($C30=54,0,ABR30+IF(AND($G30=54,$E30=1),1,0))</f>
        <v/>
      </c>
      <c r="ABS31">
        <f>IF($C30=55,0,ABS30+IF(AND($G30=55,$E30=1),1,0))</f>
        <v/>
      </c>
      <c r="ABT31">
        <f>IF($C30=56,0,ABT30+IF(AND($G30=56,$E30=1),1,0))</f>
        <v/>
      </c>
      <c r="ABU31">
        <f>IF($C30=57,0,ABU30+IF(AND($G30=57,$E30=1),1,0))</f>
        <v/>
      </c>
      <c r="ABV31">
        <f>IF($C30=58,0,ABV30+IF(AND($G30=58,$E30=1),1,0))</f>
        <v/>
      </c>
      <c r="ABW31">
        <f>IF($C30=59,0,ABW30+IF(AND($G30=59,$E30=1),1,0))</f>
        <v/>
      </c>
      <c r="ABX31">
        <f>IF($C30=60,0,ABX30+IF(AND($G30=60,$E30=1),1,0))</f>
        <v/>
      </c>
      <c r="ABY31">
        <f>IF($C30=61,0,ABY30+IF(AND($G30=61,$E30=1),1,0))</f>
        <v/>
      </c>
      <c r="ABZ31">
        <f>IF($C30=62,0,ABZ30+IF(AND($G30=62,$E30=1),1,0))</f>
        <v/>
      </c>
      <c r="ACA31">
        <f>IF($C30=63,0,ACA30+IF(AND($G30=63,$E30=1),1,0))</f>
        <v/>
      </c>
      <c r="ACB31">
        <f>IF($C30=64,0,ACB30+IF(AND($G30=64,$E30=1),1,0))</f>
        <v/>
      </c>
      <c r="ACC31">
        <f>IF($C30=65,0,ACC30+IF(AND($G30=65,$E30=1),1,0))</f>
        <v/>
      </c>
      <c r="ACD31">
        <f>IF($C30=66,0,ACD30+IF(AND($G30=66,$E30=1),1,0))</f>
        <v/>
      </c>
      <c r="ACE31">
        <f>IF($C30=67,0,ACE30+IF(AND($G30=67,$E30=1),1,0))</f>
        <v/>
      </c>
      <c r="ACF31">
        <f>IF($C30=68,0,ACF30+IF(AND($G30=68,$E30=1),1,0))</f>
        <v/>
      </c>
      <c r="ACG31">
        <f>IF($C30=69,0,ACG30+IF(AND($G30=69,$E30=1),1,0))</f>
        <v/>
      </c>
      <c r="ACH31">
        <f>IF($C30=70,0,ACH30+IF(AND($G30=70,$E30=1),1,0))</f>
        <v/>
      </c>
      <c r="ACI31">
        <f>IF($C30=71,0,ACI30+IF(AND($G30=71,$E30=1),1,0))</f>
        <v/>
      </c>
      <c r="ACJ31">
        <f>IF($C30=72,0,ACJ30+IF(AND($G30=72,$E30=1),1,0))</f>
        <v/>
      </c>
      <c r="ACK31">
        <f>IF($C30=73,0,ACK30+IF(AND($G30=73,$E30=1),1,0))</f>
        <v/>
      </c>
      <c r="ACL31">
        <f>IF($C30=74,0,ACL30+IF(AND($G30=74,$E30=1),1,0))</f>
        <v/>
      </c>
      <c r="ACM31">
        <f>IF($C30=75,0,ACM30+IF(AND($G30=75,$E30=1),1,0))</f>
        <v/>
      </c>
      <c r="ACN31">
        <f>IF($C30=76,0,ACN30+IF(AND($G30=76,$E30=1),1,0))</f>
        <v/>
      </c>
      <c r="ACO31">
        <f>IF($C30=77,0,ACO30+IF(AND($G30=77,$E30=1),1,0))</f>
        <v/>
      </c>
      <c r="ACP31">
        <f>IF($C30=78,0,ACP30+IF(AND($G30=78,$E30=1),1,0))</f>
        <v/>
      </c>
      <c r="ACQ31">
        <f>IF($C30=79,0,ACQ30+IF(AND($G30=79,$E30=1),1,0))</f>
        <v/>
      </c>
      <c r="ACR31">
        <f>IF($C30=80,0,ACR30+IF(AND($G30=80,$E30=1),1,0))</f>
        <v/>
      </c>
      <c r="ACS31">
        <f>IF($C30=81,0,ACS30+IF(AND($G30=81,$E30=1),1,0))</f>
        <v/>
      </c>
      <c r="ACT31">
        <f>IF($C30=82,0,ACT30+IF(AND($G30=82,$E30=1),1,0))</f>
        <v/>
      </c>
      <c r="ACU31">
        <f>IF($C30=83,0,ACU30+IF(AND($G30=83,$E30=1),1,0))</f>
        <v/>
      </c>
      <c r="ACV31">
        <f>IF($C30=84,0,ACV30+IF(AND($G30=84,$E30=1),1,0))</f>
        <v/>
      </c>
      <c r="ACW31">
        <f>IF($C30=85,0,ACW30+IF(AND($G30=85,$E30=1),1,0))</f>
        <v/>
      </c>
      <c r="ACX31">
        <f>IF($C30=86,0,ACX30+IF(AND($G30=86,$E30=1),1,0))</f>
        <v/>
      </c>
      <c r="ACY31">
        <f>IF($C30=87,0,ACY30+IF(AND($G30=87,$E30=1),1,0))</f>
        <v/>
      </c>
      <c r="ACZ31">
        <f>IF($C30=88,0,ACZ30+IF(AND($G30=88,$E30=1),1,0))</f>
        <v/>
      </c>
      <c r="ADA31">
        <f>IF($C30=89,0,ADA30+IF(AND($G30=89,$E30=1),1,0))</f>
        <v/>
      </c>
      <c r="ADB31">
        <f>IF($C30=90,0,ADB30+IF(AND($G30=90,$E30=1),1,0))</f>
        <v/>
      </c>
      <c r="ADC31">
        <f>IF($C30=91,0,ADC30+IF(AND($G30=91,$E30=1),1,0))</f>
        <v/>
      </c>
      <c r="ADD31">
        <f>IF($C30=92,0,ADD30+IF(AND($G30=92,$E30=1),1,0))</f>
        <v/>
      </c>
      <c r="ADE31">
        <f>IF($C30=93,0,ADE30+IF(AND($G30=93,$E30=1),1,0))</f>
        <v/>
      </c>
      <c r="ADF31">
        <f>IF($C30=94,0,ADF30+IF(AND($G30=94,$E30=1),1,0))</f>
        <v/>
      </c>
      <c r="ADG31">
        <f>IF($C30=95,0,ADG30+IF(AND($G30=95,$E30=1),1,0))</f>
        <v/>
      </c>
      <c r="ADH31">
        <f>IF($C30=96,0,ADH30+IF(AND($G30=96,$E30=1),1,0))</f>
        <v/>
      </c>
      <c r="ADI31">
        <f>IF($C30=97,0,ADI30+IF(AND($G30=97,$E30=1),1,0))</f>
        <v/>
      </c>
      <c r="ADJ31">
        <f>IF($C30=98,0,ADJ30+IF(AND($G30=98,$E30=1),1,0))</f>
        <v/>
      </c>
      <c r="ADK31">
        <f>IF($C30=99,0,ADK30+IF(AND($G30=99,$E30=1),1,0))</f>
        <v/>
      </c>
      <c r="ADL31">
        <f>IF($C30=100,0,ADL30+IF(AND($G30=100,$E30=1),1,0))</f>
        <v/>
      </c>
      <c r="ADM31">
        <f>IF($C30=101,0,ADM30+IF(AND($G30=101,$E30=1),1,0))</f>
        <v/>
      </c>
      <c r="ADN31">
        <f>IF($C30=102,0,ADN30+IF(AND($G30=102,$E30=1),1,0))</f>
        <v/>
      </c>
      <c r="ADO31">
        <f>IF($C30=103,0,ADO30+IF(AND($G30=103,$E30=1),1,0))</f>
        <v/>
      </c>
      <c r="ADP31">
        <f>IF($C30=104,0,ADP30+IF(AND($G30=104,$E30=1),1,0))</f>
        <v/>
      </c>
      <c r="ADQ31">
        <f>IF($C30=105,0,ADQ30+IF(AND($G30=105,$E30=1),1,0))</f>
        <v/>
      </c>
      <c r="ADR31">
        <f>IF($C30=106,0,ADR30+IF(AND($G30=106,$E30=1),1,0))</f>
        <v/>
      </c>
      <c r="ADS31">
        <f>IF($C30=107,0,ADS30+IF(AND($G30=107,$E30=1),1,0))</f>
        <v/>
      </c>
      <c r="ADT31">
        <f>IF($C30=108,0,ADT30+IF(AND($G30=108,$E30=1),1,0))</f>
        <v/>
      </c>
      <c r="ADU31">
        <f>IF($C30=109,0,ADU30+IF(AND($G30=109,$E30=1),1,0))</f>
        <v/>
      </c>
      <c r="ADV31">
        <f>IF($C30=110,0,ADV30+IF(AND($G30=110,$E30=1),1,0))</f>
        <v/>
      </c>
      <c r="ADW31">
        <f>IF($C30=111,0,ADW30+IF(AND($G30=111,$E30=1),1,0))</f>
        <v/>
      </c>
      <c r="ADX31">
        <f>IF($C30=112,0,ADX30+IF(AND($G30=112,$E30=1),1,0))</f>
        <v/>
      </c>
      <c r="ADY31">
        <f>IF($C30=113,0,ADY30+IF(AND($G30=113,$E30=1),1,0))</f>
        <v/>
      </c>
      <c r="ADZ31">
        <f>IF($C30=114,0,ADZ30+IF(AND($G30=114,$E30=1),1,0))</f>
        <v/>
      </c>
      <c r="AEA31">
        <f>IF($C30=115,0,AEA30+IF(AND($G30=115,$E30=1),1,0))</f>
        <v/>
      </c>
      <c r="AEB31">
        <f>IF($C30=116,0,AEB30+IF(AND($G30=116,$E30=1),1,0))</f>
        <v/>
      </c>
      <c r="AEC31">
        <f>IF($C30=117,0,AEC30+IF(AND($G30=117,$E30=1),1,0))</f>
        <v/>
      </c>
      <c r="AED31">
        <f>IF($C30=118,0,AED30+IF(AND($G30=118,$E30=1),1,0))</f>
        <v/>
      </c>
      <c r="AEE31">
        <f>IF($C30=119,0,AEE30+IF(AND($G30=119,$E30=1),1,0))</f>
        <v/>
      </c>
      <c r="AEF31">
        <f>IF($C30=120,0,AEF30+IF(AND($G30=120,$E30=1),1,0))</f>
        <v/>
      </c>
      <c r="AEG31">
        <f>IF($C30=121,0,AEG30+IF(AND($G30=121,$E30=1),1,0))</f>
        <v/>
      </c>
      <c r="AEH31">
        <f>IF($C30=122,0,AEH30+IF(AND($G30=122,$E30=1),1,0))</f>
        <v/>
      </c>
      <c r="AEI31">
        <f>IF($C30=123,0,AEI30+IF(AND($G30=123,$E30=1),1,0))</f>
        <v/>
      </c>
      <c r="AEJ31">
        <f>IF($C30=124,0,AEJ30+IF(AND($G30=124,$E30=1),1,0))</f>
        <v/>
      </c>
      <c r="AEK31">
        <f>IF($C30=125,0,AEK30+IF(AND($G30=125,$E30=1),1,0))</f>
        <v/>
      </c>
      <c r="AEL31">
        <f>IF($C30=126,0,AEL30+IF(AND($G30=126,$E30=1),1,0))</f>
        <v/>
      </c>
      <c r="AEM31">
        <f>IF($C30=127,0,AEM30+IF(AND($G30=127,$E30=1),1,0))</f>
        <v/>
      </c>
      <c r="AEN31">
        <f>IF($C30=128,0,AEN30+IF(AND($G30=128,$E30=1),1,0))</f>
        <v/>
      </c>
      <c r="AEO31">
        <f>IF($C30=129,0,AEO30+IF(AND($G30=129,$E30=1),1,0))</f>
        <v/>
      </c>
      <c r="AEP31">
        <f>IF($C30=130,0,AEP30+IF(AND($G30=130,$E30=1),1,0))</f>
        <v/>
      </c>
      <c r="AEQ31">
        <f>IF($C30=131,0,AEQ30+IF(AND($G30=131,$E30=1),1,0))</f>
        <v/>
      </c>
      <c r="AER31">
        <f>IF($C30=132,0,AER30+IF(AND($G30=132,$E30=1),1,0))</f>
        <v/>
      </c>
      <c r="AES31">
        <f>IF($C30=133,0,AES30+IF(AND($G30=133,$E30=1),1,0))</f>
        <v/>
      </c>
      <c r="AET31">
        <f>IF($C30=134,0,AET30+IF(AND($G30=134,$E30=1),1,0))</f>
        <v/>
      </c>
      <c r="AEU31">
        <f>IF($C30=135,0,AEU30+IF(AND($G30=135,$E30=1),1,0))</f>
        <v/>
      </c>
      <c r="AEV31">
        <f>IF($C30=136,0,AEV30+IF(AND($G30=136,$E30=1),1,0))</f>
        <v/>
      </c>
      <c r="AEW31">
        <f>IF($C30=137,0,AEW30+IF(AND($G30=137,$E30=1),1,0))</f>
        <v/>
      </c>
      <c r="AEX31">
        <f>IF($C30=138,0,AEX30+IF(AND($G30=138,$E30=1),1,0))</f>
        <v/>
      </c>
      <c r="AEY31">
        <f>IF($C30=139,0,AEY30+IF(AND($G30=139,$E30=1),1,0))</f>
        <v/>
      </c>
      <c r="AEZ31">
        <f>IF($C30=140,0,AEZ30+IF(AND($G30=140,$E30=1),1,0))</f>
        <v/>
      </c>
      <c r="AFA31">
        <f>IF($C30=141,0,AFA30+IF(AND($G30=141,$E30=1),1,0))</f>
        <v/>
      </c>
      <c r="AFB31">
        <f>IF($C30=142,0,AFB30+IF(AND($G30=142,$E30=1),1,0))</f>
        <v/>
      </c>
      <c r="AFC31">
        <f>IF($C30=143,0,AFC30+IF(AND($G30=143,$E30=1),1,0))</f>
        <v/>
      </c>
      <c r="AFD31">
        <f>IF($C30=144,0,AFD30+IF(AND($G30=144,$E30=1),1,0))</f>
        <v/>
      </c>
      <c r="AFF31">
        <f>IF('calcA'!D$106=1,DC31+ZR31,1)</f>
        <v/>
      </c>
      <c r="AFG31">
        <f>IF('calcA'!E$106=1,DD31+ZS31,1)</f>
        <v/>
      </c>
      <c r="AFH31">
        <f>IF('calcA'!F$106=1,DE31+ZT31,1)</f>
        <v/>
      </c>
      <c r="AFI31">
        <f>IF('calcA'!G$106=1,DF31+ZU31,1)</f>
        <v/>
      </c>
      <c r="AFJ31">
        <f>IF('calcA'!H$106=1,DG31+ZV31,1)</f>
        <v/>
      </c>
      <c r="AFK31">
        <f>IF('calcA'!I$106=1,DH31+ZW31,1)</f>
        <v/>
      </c>
      <c r="AFL31">
        <f>IF('calcA'!J$106=1,DI31+ZX31,1)</f>
        <v/>
      </c>
      <c r="AFM31">
        <f>IF('calcA'!K$106=1,DJ31+ZY31,1)</f>
        <v/>
      </c>
      <c r="AFN31">
        <f>IF('calcA'!L$106=1,DK31+ZZ31,1)</f>
        <v/>
      </c>
      <c r="AFO31">
        <f>IF('calcA'!M$106=1,DL31+AAA31,1)</f>
        <v/>
      </c>
      <c r="AFP31">
        <f>IF('calcA'!N$106=1,DM31+AAB31,1)</f>
        <v/>
      </c>
      <c r="AFQ31">
        <f>IF('calcA'!O$106=1,DN31+AAC31,1)</f>
        <v/>
      </c>
      <c r="AFR31">
        <f>IF('calcA'!P$106=1,DO31+AAD31,1)</f>
        <v/>
      </c>
      <c r="AFS31">
        <f>IF('calcA'!Q$106=1,DP31+AAE31,1)</f>
        <v/>
      </c>
      <c r="AFT31">
        <f>IF('calcA'!R$106=1,DQ31+AAF31,1)</f>
        <v/>
      </c>
      <c r="AFU31">
        <f>IF('calcA'!S$106=1,DR31+AAG31,1)</f>
        <v/>
      </c>
      <c r="AFV31">
        <f>IF('calcA'!T$106=1,DS31+AAH31,1)</f>
        <v/>
      </c>
      <c r="AFW31">
        <f>IF('calcA'!U$106=1,DT31+AAI31,1)</f>
        <v/>
      </c>
      <c r="AFX31">
        <f>IF('calcA'!V$106=1,DU31+AAJ31,1)</f>
        <v/>
      </c>
      <c r="AFY31">
        <f>IF('calcA'!W$106=1,DV31+AAK31,1)</f>
        <v/>
      </c>
      <c r="AFZ31">
        <f>IF('calcA'!X$106=1,DW31+AAL31,1)</f>
        <v/>
      </c>
      <c r="AGA31">
        <f>IF('calcA'!Y$106=1,DX31+AAM31,1)</f>
        <v/>
      </c>
      <c r="AGB31">
        <f>IF('calcA'!Z$106=1,DY31+AAN31,1)</f>
        <v/>
      </c>
      <c r="AGC31">
        <f>IF('calcA'!AA$106=1,DZ31+AAO31,1)</f>
        <v/>
      </c>
      <c r="AGD31">
        <f>IF('calcA'!AB$106=1,EA31+AAP31,1)</f>
        <v/>
      </c>
      <c r="AGE31">
        <f>IF('calcA'!AC$106=1,EB31+AAQ31,1)</f>
        <v/>
      </c>
      <c r="AGF31">
        <f>IF('calcA'!AD$106=1,EC31+AAR31,1)</f>
        <v/>
      </c>
      <c r="AGG31">
        <f>IF('calcA'!AE$106=1,ED31+AAS31,1)</f>
        <v/>
      </c>
      <c r="AGH31">
        <f>IF('calcA'!AF$106=1,EE31+AAT31,1)</f>
        <v/>
      </c>
      <c r="AGI31">
        <f>IF('calcA'!AG$106=1,EF31+AAU31,1)</f>
        <v/>
      </c>
      <c r="AGJ31">
        <f>IF('calcA'!AH$106=1,EG31+AAV31,1)</f>
        <v/>
      </c>
      <c r="AGK31">
        <f>IF('calcA'!AI$106=1,EH31+AAW31,1)</f>
        <v/>
      </c>
      <c r="AGL31">
        <f>IF('calcA'!AJ$106=1,EI31+AAX31,1)</f>
        <v/>
      </c>
      <c r="AGM31">
        <f>IF('calcA'!AK$106=1,EJ31+AAY31,1)</f>
        <v/>
      </c>
      <c r="AGN31">
        <f>IF('calcA'!AL$106=1,EK31+AAZ31,1)</f>
        <v/>
      </c>
      <c r="AGO31">
        <f>IF('calcA'!AM$106=1,EL31+ABA31,1)</f>
        <v/>
      </c>
      <c r="AGP31">
        <f>IF('calcA'!AN$106=1,EM31+ABB31,1)</f>
        <v/>
      </c>
      <c r="AGQ31">
        <f>IF('calcA'!AO$106=1,EN31+ABC31,1)</f>
        <v/>
      </c>
      <c r="AGR31">
        <f>IF('calcA'!AP$106=1,EO31+ABD31,1)</f>
        <v/>
      </c>
      <c r="AGS31">
        <f>IF('calcA'!AQ$106=1,EP31+ABE31,1)</f>
        <v/>
      </c>
      <c r="AGT31">
        <f>IF('calcA'!AR$106=1,EQ31+ABF31,1)</f>
        <v/>
      </c>
      <c r="AGU31">
        <f>IF('calcA'!AS$106=1,ER31+ABG31,1)</f>
        <v/>
      </c>
      <c r="AGV31">
        <f>IF('calcA'!AT$106=1,ES31+ABH31,1)</f>
        <v/>
      </c>
      <c r="AGW31">
        <f>IF('calcA'!AU$106=1,ET31+ABI31,1)</f>
        <v/>
      </c>
      <c r="AGX31">
        <f>IF('calcA'!AV$106=1,EU31+ABJ31,1)</f>
        <v/>
      </c>
      <c r="AGY31">
        <f>IF('calcA'!AW$106=1,EV31+ABK31,1)</f>
        <v/>
      </c>
      <c r="AGZ31">
        <f>IF('calcA'!AX$106=1,EW31+ABL31,1)</f>
        <v/>
      </c>
      <c r="AHA31">
        <f>IF('calcA'!AY$106=1,EX31+ABM31,1)</f>
        <v/>
      </c>
      <c r="AHB31">
        <f>IF('calcA'!AZ$106=1,EY31+ABN31,1)</f>
        <v/>
      </c>
      <c r="AHC31">
        <f>IF('calcA'!BA$106=1,EZ31+ABO31,1)</f>
        <v/>
      </c>
      <c r="AHD31">
        <f>IF('calcA'!BB$106=1,FA31+ABP31,1)</f>
        <v/>
      </c>
      <c r="AHE31">
        <f>IF('calcA'!BC$106=1,FB31+ABQ31,1)</f>
        <v/>
      </c>
      <c r="AHF31">
        <f>IF('calcA'!BD$106=1,FC31+ABR31,1)</f>
        <v/>
      </c>
      <c r="AHG31">
        <f>IF('calcA'!BE$106=1,FD31+ABS31,1)</f>
        <v/>
      </c>
      <c r="AHH31">
        <f>IF('calcA'!BF$106=1,FE31+ABT31,1)</f>
        <v/>
      </c>
      <c r="AHI31">
        <f>IF('calcA'!BG$106=1,FF31+ABU31,1)</f>
        <v/>
      </c>
      <c r="AHJ31">
        <f>IF('calcA'!BH$106=1,FG31+ABV31,1)</f>
        <v/>
      </c>
      <c r="AHK31">
        <f>IF('calcA'!BI$106=1,FH31+ABW31,1)</f>
        <v/>
      </c>
      <c r="AHL31">
        <f>IF('calcA'!BJ$106=1,FI31+ABX31,1)</f>
        <v/>
      </c>
      <c r="AHM31">
        <f>IF('calcA'!BK$106=1,FJ31+ABY31,1)</f>
        <v/>
      </c>
      <c r="AHN31">
        <f>IF('calcA'!BL$106=1,FK31+ABZ31,1)</f>
        <v/>
      </c>
      <c r="AHO31">
        <f>IF('calcA'!BM$106=1,FL31+ACA31,1)</f>
        <v/>
      </c>
      <c r="AHP31">
        <f>IF('calcA'!BN$106=1,FM31+ACB31,1)</f>
        <v/>
      </c>
      <c r="AHQ31">
        <f>IF('calcA'!BO$106=1,FN31+ACC31,1)</f>
        <v/>
      </c>
      <c r="AHR31">
        <f>IF('calcA'!BP$106=1,FO31+ACD31,1)</f>
        <v/>
      </c>
      <c r="AHS31">
        <f>IF('calcA'!BQ$106=1,FP31+ACE31,1)</f>
        <v/>
      </c>
      <c r="AHT31">
        <f>IF('calcA'!BR$106=1,FQ31+ACF31,1)</f>
        <v/>
      </c>
      <c r="AHU31">
        <f>IF('calcA'!BS$106=1,FR31+ACG31,1)</f>
        <v/>
      </c>
      <c r="AHV31">
        <f>IF('calcA'!BT$106=1,FS31+ACH31,1)</f>
        <v/>
      </c>
      <c r="AHW31">
        <f>IF('calcA'!BU$106=1,FT31+ACI31,1)</f>
        <v/>
      </c>
      <c r="AHX31">
        <f>IF('calcA'!BV$106=1,FU31+ACJ31,1)</f>
        <v/>
      </c>
      <c r="AHY31">
        <f>IF('calcA'!BW$106=1,FV31+ACK31,1)</f>
        <v/>
      </c>
      <c r="AHZ31">
        <f>IF('calcA'!BX$106=1,FW31+ACL31,1)</f>
        <v/>
      </c>
      <c r="AIA31">
        <f>IF('calcA'!BY$106=1,FX31+ACM31,1)</f>
        <v/>
      </c>
      <c r="AIB31">
        <f>IF('calcA'!BZ$106=1,FY31+ACN31,1)</f>
        <v/>
      </c>
      <c r="AIC31">
        <f>IF('calcA'!CA$106=1,FZ31+ACO31,1)</f>
        <v/>
      </c>
      <c r="AID31">
        <f>IF('calcA'!CB$106=1,GA31+ACP31,1)</f>
        <v/>
      </c>
      <c r="AIE31">
        <f>IF('calcA'!CC$106=1,GB31+ACQ31,1)</f>
        <v/>
      </c>
      <c r="AIF31">
        <f>IF('calcA'!CD$106=1,GC31+ACR31,1)</f>
        <v/>
      </c>
      <c r="AIG31">
        <f>IF('calcA'!CE$106=1,GD31+ACS31,1)</f>
        <v/>
      </c>
      <c r="AIH31">
        <f>IF('calcA'!CF$106=1,GE31+ACT31,1)</f>
        <v/>
      </c>
      <c r="AII31">
        <f>IF('calcA'!CG$106=1,GF31+ACU31,1)</f>
        <v/>
      </c>
      <c r="AIJ31">
        <f>IF('calcA'!CH$106=1,GG31+ACV31,1)</f>
        <v/>
      </c>
      <c r="AIK31">
        <f>IF('calcA'!CI$106=1,GH31+ACW31,1)</f>
        <v/>
      </c>
      <c r="AIL31">
        <f>IF('calcA'!CJ$106=1,GI31+ACX31,1)</f>
        <v/>
      </c>
      <c r="AIM31">
        <f>IF('calcA'!CK$106=1,GJ31+ACY31,1)</f>
        <v/>
      </c>
      <c r="AIN31">
        <f>IF('calcA'!CL$106=1,GK31+ACZ31,1)</f>
        <v/>
      </c>
      <c r="AIO31">
        <f>IF('calcA'!CM$106=1,GL31+ADA31,1)</f>
        <v/>
      </c>
      <c r="AIP31">
        <f>IF('calcA'!CN$106=1,GM31+ADB31,1)</f>
        <v/>
      </c>
      <c r="AIQ31">
        <f>IF('calcA'!CO$106=1,GN31+ADC31,1)</f>
        <v/>
      </c>
      <c r="AIR31">
        <f>IF('calcA'!CP$106=1,GO31+ADD31,1)</f>
        <v/>
      </c>
      <c r="AIS31">
        <f>IF('calcA'!CQ$106=1,GP31+ADE31,1)</f>
        <v/>
      </c>
      <c r="AIT31">
        <f>IF('calcA'!CR$106=1,GQ31+ADF31,1)</f>
        <v/>
      </c>
      <c r="AIU31">
        <f>IF('calcA'!CS$106=1,GR31+ADG31,1)</f>
        <v/>
      </c>
      <c r="AIV31">
        <f>IF('calcA'!CT$106=1,GS31+ADH31,1)</f>
        <v/>
      </c>
      <c r="AIW31">
        <f>IF('calcA'!CU$106=1,GT31+ADI31,1)</f>
        <v/>
      </c>
      <c r="AIX31">
        <f>IF('calcA'!CV$106=1,GU31+ADJ31,1)</f>
        <v/>
      </c>
      <c r="AIY31">
        <f>IF('calcA'!CW$106=1,GV31+ADK31,1)</f>
        <v/>
      </c>
      <c r="AIZ31">
        <f>IF('calcA'!CX$106=1,GW31+ADL31,1)</f>
        <v/>
      </c>
      <c r="AJA31">
        <f>IF('calcA'!CY$106=1,GX31+ADM31,1)</f>
        <v/>
      </c>
      <c r="AJB31">
        <f>IF('calcA'!CZ$106=1,GY31+ADN31,1)</f>
        <v/>
      </c>
      <c r="AJC31">
        <f>IF('calcA'!DA$106=1,GZ31+ADO31,1)</f>
        <v/>
      </c>
      <c r="AJD31">
        <f>IF('calcA'!DB$106=1,HA31+ADP31,1)</f>
        <v/>
      </c>
      <c r="AJE31">
        <f>IF('calcA'!DC$106=1,HB31+ADQ31,1)</f>
        <v/>
      </c>
      <c r="AJF31">
        <f>IF('calcA'!DD$106=1,HC31+ADR31,1)</f>
        <v/>
      </c>
      <c r="AJG31">
        <f>IF('calcA'!DE$106=1,HD31+ADS31,1)</f>
        <v/>
      </c>
      <c r="AJH31">
        <f>IF('calcA'!DF$106=1,HE31+ADT31,1)</f>
        <v/>
      </c>
      <c r="AJI31">
        <f>IF('calcA'!DG$106=1,HF31+ADU31,1)</f>
        <v/>
      </c>
      <c r="AJJ31">
        <f>IF('calcA'!DH$106=1,HG31+ADV31,1)</f>
        <v/>
      </c>
      <c r="AJK31">
        <f>IF('calcA'!DI$106=1,HH31+ADW31,1)</f>
        <v/>
      </c>
      <c r="AJL31">
        <f>IF('calcA'!DJ$106=1,HI31+ADX31,1)</f>
        <v/>
      </c>
      <c r="AJM31">
        <f>IF('calcA'!DK$106=1,HJ31+ADY31,1)</f>
        <v/>
      </c>
      <c r="AJN31">
        <f>IF('calcA'!DL$106=1,HK31+ADZ31,1)</f>
        <v/>
      </c>
      <c r="AJO31">
        <f>IF('calcA'!DM$106=1,HL31+AEA31,1)</f>
        <v/>
      </c>
      <c r="AJP31">
        <f>IF('calcA'!DN$106=1,HM31+AEB31,1)</f>
        <v/>
      </c>
      <c r="AJQ31">
        <f>IF('calcA'!DO$106=1,HN31+AEC31,1)</f>
        <v/>
      </c>
      <c r="AJR31">
        <f>IF('calcA'!DP$106=1,HO31+AED31,1)</f>
        <v/>
      </c>
      <c r="AJS31">
        <f>IF('calcA'!DQ$106=1,HP31+AEE31,1)</f>
        <v/>
      </c>
      <c r="AJT31">
        <f>IF('calcA'!DR$106=1,HQ31+AEF31,1)</f>
        <v/>
      </c>
      <c r="AJU31">
        <f>IF('calcA'!DS$106=1,HR31+AEG31,1)</f>
        <v/>
      </c>
      <c r="AJV31">
        <f>IF('calcA'!DT$106=1,HS31+AEH31,1)</f>
        <v/>
      </c>
      <c r="AJW31">
        <f>IF('calcA'!DU$106=1,HT31+AEI31,1)</f>
        <v/>
      </c>
      <c r="AJX31">
        <f>IF('calcA'!DV$106=1,HU31+AEJ31,1)</f>
        <v/>
      </c>
      <c r="AJY31">
        <f>IF('calcA'!DW$106=1,HV31+AEK31,1)</f>
        <v/>
      </c>
      <c r="AJZ31">
        <f>IF('calcA'!DX$106=1,HW31+AEL31,1)</f>
        <v/>
      </c>
      <c r="AKA31">
        <f>IF('calcA'!DY$106=1,HX31+AEM31,1)</f>
        <v/>
      </c>
      <c r="AKB31">
        <f>IF('calcA'!DZ$106=1,HY31+AEN31,1)</f>
        <v/>
      </c>
      <c r="AKC31">
        <f>IF('calcA'!EA$106=1,HZ31+AEO31,1)</f>
        <v/>
      </c>
      <c r="AKD31">
        <f>IF('calcA'!EB$106=1,IA31+AEP31,1)</f>
        <v/>
      </c>
      <c r="AKE31">
        <f>IF('calcA'!EC$106=1,IB31+AEQ31,1)</f>
        <v/>
      </c>
      <c r="AKF31">
        <f>IF('calcA'!ED$106=1,IC31+AER31,1)</f>
        <v/>
      </c>
      <c r="AKG31">
        <f>IF('calcA'!EE$106=1,ID31+AES31,1)</f>
        <v/>
      </c>
      <c r="AKH31">
        <f>IF('calcA'!EF$106=1,IE31+AET31,1)</f>
        <v/>
      </c>
      <c r="AKI31">
        <f>IF('calcA'!EG$106=1,IF31+AEU31,1)</f>
        <v/>
      </c>
      <c r="AKJ31">
        <f>IF('calcA'!EH$106=1,IG31+AEV31,1)</f>
        <v/>
      </c>
      <c r="AKK31">
        <f>IF('calcA'!EI$106=1,IH31+AEW31,1)</f>
        <v/>
      </c>
      <c r="AKL31">
        <f>IF('calcA'!EJ$106=1,II31+AEX31,1)</f>
        <v/>
      </c>
      <c r="AKM31">
        <f>IF('calcA'!EK$106=1,IJ31+AEY31,1)</f>
        <v/>
      </c>
      <c r="AKN31">
        <f>IF('calcA'!EL$106=1,IK31+AEZ31,1)</f>
        <v/>
      </c>
      <c r="AKO31">
        <f>IF('calcA'!EM$106=1,IL31+AFA31,1)</f>
        <v/>
      </c>
      <c r="AKP31">
        <f>IF('calcA'!EN$106=1,IM31+AFB31,1)</f>
        <v/>
      </c>
      <c r="AKQ31">
        <f>IF('calcA'!EO$106=1,IN31+AFC31,1)</f>
        <v/>
      </c>
      <c r="AKR31">
        <f>IF('calcA'!EP$106=1,IO31+AFD31,1)</f>
        <v/>
      </c>
      <c r="AKS31" t="n">
        <v>1</v>
      </c>
    </row>
    <row r="32">
      <c r="A32" t="n">
        <v>30</v>
      </c>
      <c r="B32">
        <f>IF(MIN(BM32:CZ32)&gt;=1000000000,0,MATCH(MIN(BM32:CZ32),BM32:CZ32,0))</f>
        <v/>
      </c>
      <c r="C32">
        <f>IF(MIN(OF32:TS32)&gt;=1000000000,0,MATCH(MIN(OF32:TS32),OF32:TS32,0))</f>
        <v/>
      </c>
      <c r="D32">
        <f>IF(C32&gt;0,INDEX('calcA'!$D$5:$EQ$5,C32),0)</f>
        <v/>
      </c>
      <c r="E32">
        <f>IF(B32=0,0,INDEX('calcA'!$IQ$10:$IQ$54,B32))</f>
        <v/>
      </c>
      <c r="F32">
        <f>IF(B32=0,0,INDEX('calcA'!$IP$10:$IP$54,B32))</f>
        <v/>
      </c>
      <c r="G32">
        <f>IF(AND(C32&gt;0,E32&gt;0),IF(AND(INDEX('calcA'!$D$106:$EQ$106,C32)=1,INDEX($IQ32:$OD32,C32)=1),C32+1,0),0)</f>
        <v/>
      </c>
      <c r="H32">
        <f>IF(B32=0,0,INDEX('calcA'!$IW$10:$IW$54,B32))</f>
        <v/>
      </c>
      <c r="U32">
        <f>IF(B32=0,0,INDEX('calcA'!$IX$10:$IX$54,B32))</f>
        <v/>
      </c>
      <c r="V32">
        <f>IF(B32=0,0,INDEX('calcA'!$JF$10:$JF$54,B32))</f>
        <v/>
      </c>
      <c r="W32">
        <f>IF(B32=0,0,IF(IF(E32=2,SUMPRODUCT(INDEX('calcA'!$D$60:$EQ$99,B32,0),$DB32:$IO32,$IQ32:$OD32),SUMPRODUCT(INDEX('calcA'!$D$60:$EQ$99,B32,0),$DB32:$IO32))=0,1,0))</f>
        <v/>
      </c>
      <c r="X32">
        <f>MAX(X31,IF($B31=1,1,0))</f>
        <v/>
      </c>
      <c r="Y32">
        <f>MAX(Y31,IF($B31=2,1,0))</f>
        <v/>
      </c>
      <c r="Z32">
        <f>MAX(Z31,IF($B31=3,1,0))</f>
        <v/>
      </c>
      <c r="AA32">
        <f>MAX(AA31,IF($B31=4,1,0))</f>
        <v/>
      </c>
      <c r="AB32">
        <f>MAX(AB31,IF($B31=5,1,0))</f>
        <v/>
      </c>
      <c r="AC32">
        <f>MAX(AC31,IF($B31=6,1,0))</f>
        <v/>
      </c>
      <c r="AD32">
        <f>MAX(AD31,IF($B31=7,1,0))</f>
        <v/>
      </c>
      <c r="AE32">
        <f>MAX(AE31,IF($B31=8,1,0))</f>
        <v/>
      </c>
      <c r="AF32">
        <f>MAX(AF31,IF($B31=9,1,0))</f>
        <v/>
      </c>
      <c r="AG32">
        <f>MAX(AG31,IF($B31=10,1,0))</f>
        <v/>
      </c>
      <c r="AH32">
        <f>MAX(AH31,IF($B31=11,1,0))</f>
        <v/>
      </c>
      <c r="AI32">
        <f>MAX(AI31,IF($B31=12,1,0))</f>
        <v/>
      </c>
      <c r="AJ32">
        <f>MAX(AJ31,IF($B31=13,1,0))</f>
        <v/>
      </c>
      <c r="AK32">
        <f>MAX(AK31,IF($B31=14,1,0))</f>
        <v/>
      </c>
      <c r="AL32">
        <f>MAX(AL31,IF($B31=15,1,0))</f>
        <v/>
      </c>
      <c r="AM32">
        <f>MAX(AM31,IF($B31=16,1,0))</f>
        <v/>
      </c>
      <c r="AN32">
        <f>MAX(AN31,IF($B31=17,1,0))</f>
        <v/>
      </c>
      <c r="AO32">
        <f>MAX(AO31,IF($B31=18,1,0))</f>
        <v/>
      </c>
      <c r="AP32">
        <f>MAX(AP31,IF($B31=19,1,0))</f>
        <v/>
      </c>
      <c r="AQ32">
        <f>MAX(AQ31,IF($B31=20,1,0))</f>
        <v/>
      </c>
      <c r="AR32">
        <f>MAX(AR31,IF($B31=21,1,0))</f>
        <v/>
      </c>
      <c r="AS32">
        <f>MAX(AS31,IF($B31=22,1,0))</f>
        <v/>
      </c>
      <c r="AT32">
        <f>MAX(AT31,IF($B31=23,1,0))</f>
        <v/>
      </c>
      <c r="AU32">
        <f>MAX(AU31,IF($B31=24,1,0))</f>
        <v/>
      </c>
      <c r="AV32">
        <f>MAX(AV31,IF($B31=25,1,0))</f>
        <v/>
      </c>
      <c r="AW32">
        <f>MAX(AW31,IF($B31=26,1,0))</f>
        <v/>
      </c>
      <c r="AX32">
        <f>MAX(AX31,IF($B31=27,1,0))</f>
        <v/>
      </c>
      <c r="AY32">
        <f>MAX(AY31,IF($B31=28,1,0))</f>
        <v/>
      </c>
      <c r="AZ32">
        <f>MAX(AZ31,IF($B31=29,1,0))</f>
        <v/>
      </c>
      <c r="BA32">
        <f>MAX(BA31,IF($B31=30,1,0))</f>
        <v/>
      </c>
      <c r="BB32">
        <f>MAX(BB31,IF($B31=31,1,0))</f>
        <v/>
      </c>
      <c r="BC32">
        <f>MAX(BC31,IF($B31=32,1,0))</f>
        <v/>
      </c>
      <c r="BD32">
        <f>MAX(BD31,IF($B31=33,1,0))</f>
        <v/>
      </c>
      <c r="BE32">
        <f>MAX(BE31,IF($B31=34,1,0))</f>
        <v/>
      </c>
      <c r="BF32">
        <f>MAX(BF31,IF($B31=35,1,0))</f>
        <v/>
      </c>
      <c r="BG32">
        <f>MAX(BG31,IF($B31=36,1,0))</f>
        <v/>
      </c>
      <c r="BH32">
        <f>MAX(BH31,IF($B31=37,1,0))</f>
        <v/>
      </c>
      <c r="BI32">
        <f>MAX(BI31,IF($B31=38,1,0))</f>
        <v/>
      </c>
      <c r="BJ32">
        <f>MAX(BJ31,IF($B31=39,1,0))</f>
        <v/>
      </c>
      <c r="BK32">
        <f>MAX(BK31,IF($B31=40,1,0))</f>
        <v/>
      </c>
      <c r="BM32">
        <f>IF(OR(X32=1,calcA!$A$6=0),1000000000,IF('calcA'!$JF$10=1,0,100000000)+IF('calcA'!$IQ$10=2,SUMPRODUCT('calcA'!$D$60:$EQ$60,$DB32:$IO32,$IQ32:$OD32)*1000+SUMPRODUCT('calcA'!$D$60:$EQ$60,$DB32:$IO32+$ZQ32:$AFD32,$AFF32:$AKS32),SUMPRODUCT('calcA'!$D$60:$EQ$60,$DB32:$IO32*1001+$ZQ32:$AFD32))*100+1)</f>
        <v/>
      </c>
      <c r="BN32">
        <f>IF(OR(Y32=1,calcA!$A$6=0),1000000000,IF('calcA'!$JF$11=1,0,100000000)+IF('calcA'!$IQ$11=2,SUMPRODUCT('calcA'!$D$61:$EQ$61,$DB32:$IO32,$IQ32:$OD32)*1000+SUMPRODUCT('calcA'!$D$61:$EQ$61,$DB32:$IO32+$ZQ32:$AFD32,$AFF32:$AKS32),SUMPRODUCT('calcA'!$D$61:$EQ$61,$DB32:$IO32*1001+$ZQ32:$AFD32))*100+2)</f>
        <v/>
      </c>
      <c r="BO32">
        <f>IF(OR(Z32=1,calcA!$A$6=0),1000000000,IF('calcA'!$JF$12=1,0,100000000)+IF('calcA'!$IQ$12=2,SUMPRODUCT('calcA'!$D$62:$EQ$62,$DB32:$IO32,$IQ32:$OD32)*1000+SUMPRODUCT('calcA'!$D$62:$EQ$62,$DB32:$IO32+$ZQ32:$AFD32,$AFF32:$AKS32),SUMPRODUCT('calcA'!$D$62:$EQ$62,$DB32:$IO32*1001+$ZQ32:$AFD32))*100+3)</f>
        <v/>
      </c>
      <c r="BP32">
        <f>IF(OR(AA32=1,calcA!$A$6=0),1000000000,IF('calcA'!$JF$13=1,0,100000000)+IF('calcA'!$IQ$13=2,SUMPRODUCT('calcA'!$D$63:$EQ$63,$DB32:$IO32,$IQ32:$OD32)*1000+SUMPRODUCT('calcA'!$D$63:$EQ$63,$DB32:$IO32+$ZQ32:$AFD32,$AFF32:$AKS32),SUMPRODUCT('calcA'!$D$63:$EQ$63,$DB32:$IO32*1001+$ZQ32:$AFD32))*100+4)</f>
        <v/>
      </c>
      <c r="BQ32">
        <f>IF(OR(AB32=1,calcA!$A$6=0),1000000000,IF('calcA'!$JF$14=1,0,100000000)+IF('calcA'!$IQ$14=2,SUMPRODUCT('calcA'!$D$64:$EQ$64,$DB32:$IO32,$IQ32:$OD32)*1000+SUMPRODUCT('calcA'!$D$64:$EQ$64,$DB32:$IO32+$ZQ32:$AFD32,$AFF32:$AKS32),SUMPRODUCT('calcA'!$D$64:$EQ$64,$DB32:$IO32*1001+$ZQ32:$AFD32))*100+5)</f>
        <v/>
      </c>
      <c r="BR32">
        <f>IF(OR(AC32=1,calcA!$A$6=0),1000000000,IF('calcA'!$JF$15=1,0,100000000)+IF('calcA'!$IQ$15=2,SUMPRODUCT('calcA'!$D$65:$EQ$65,$DB32:$IO32,$IQ32:$OD32)*1000+SUMPRODUCT('calcA'!$D$65:$EQ$65,$DB32:$IO32+$ZQ32:$AFD32,$AFF32:$AKS32),SUMPRODUCT('calcA'!$D$65:$EQ$65,$DB32:$IO32*1001+$ZQ32:$AFD32))*100+6)</f>
        <v/>
      </c>
      <c r="BS32">
        <f>IF(OR(AD32=1,calcA!$A$6=0),1000000000,IF('calcA'!$JF$16=1,0,100000000)+IF('calcA'!$IQ$16=2,SUMPRODUCT('calcA'!$D$66:$EQ$66,$DB32:$IO32,$IQ32:$OD32)*1000+SUMPRODUCT('calcA'!$D$66:$EQ$66,$DB32:$IO32+$ZQ32:$AFD32,$AFF32:$AKS32),SUMPRODUCT('calcA'!$D$66:$EQ$66,$DB32:$IO32*1001+$ZQ32:$AFD32))*100+7)</f>
        <v/>
      </c>
      <c r="BT32">
        <f>IF(OR(AE32=1,calcA!$A$6=0),1000000000,IF('calcA'!$JF$17=1,0,100000000)+IF('calcA'!$IQ$17=2,SUMPRODUCT('calcA'!$D$67:$EQ$67,$DB32:$IO32,$IQ32:$OD32)*1000+SUMPRODUCT('calcA'!$D$67:$EQ$67,$DB32:$IO32+$ZQ32:$AFD32,$AFF32:$AKS32),SUMPRODUCT('calcA'!$D$67:$EQ$67,$DB32:$IO32*1001+$ZQ32:$AFD32))*100+8)</f>
        <v/>
      </c>
      <c r="BU32">
        <f>IF(OR(AF32=1,calcA!$A$6=0),1000000000,IF('calcA'!$JF$18=1,0,100000000)+IF('calcA'!$IQ$18=2,SUMPRODUCT('calcA'!$D$68:$EQ$68,$DB32:$IO32,$IQ32:$OD32)*1000+SUMPRODUCT('calcA'!$D$68:$EQ$68,$DB32:$IO32+$ZQ32:$AFD32,$AFF32:$AKS32),SUMPRODUCT('calcA'!$D$68:$EQ$68,$DB32:$IO32*1001+$ZQ32:$AFD32))*100+9)</f>
        <v/>
      </c>
      <c r="BV32">
        <f>IF(OR(AG32=1,calcA!$A$6=0),1000000000,IF('calcA'!$JF$19=1,0,100000000)+IF('calcA'!$IQ$19=2,SUMPRODUCT('calcA'!$D$69:$EQ$69,$DB32:$IO32,$IQ32:$OD32)*1000+SUMPRODUCT('calcA'!$D$69:$EQ$69,$DB32:$IO32+$ZQ32:$AFD32,$AFF32:$AKS32),SUMPRODUCT('calcA'!$D$69:$EQ$69,$DB32:$IO32*1001+$ZQ32:$AFD32))*100+10)</f>
        <v/>
      </c>
      <c r="BW32">
        <f>IF(OR(AH32=1,calcA!$A$6=0),1000000000,IF('calcA'!$JF$20=1,0,100000000)+IF('calcA'!$IQ$20=2,SUMPRODUCT('calcA'!$D$70:$EQ$70,$DB32:$IO32,$IQ32:$OD32)*1000+SUMPRODUCT('calcA'!$D$70:$EQ$70,$DB32:$IO32+$ZQ32:$AFD32,$AFF32:$AKS32),SUMPRODUCT('calcA'!$D$70:$EQ$70,$DB32:$IO32*1001+$ZQ32:$AFD32))*100+11)</f>
        <v/>
      </c>
      <c r="BX32">
        <f>IF(OR(AI32=1,calcA!$A$6=0),1000000000,IF('calcA'!$JF$21=1,0,100000000)+IF('calcA'!$IQ$21=2,SUMPRODUCT('calcA'!$D$71:$EQ$71,$DB32:$IO32,$IQ32:$OD32)*1000+SUMPRODUCT('calcA'!$D$71:$EQ$71,$DB32:$IO32+$ZQ32:$AFD32,$AFF32:$AKS32),SUMPRODUCT('calcA'!$D$71:$EQ$71,$DB32:$IO32*1001+$ZQ32:$AFD32))*100+12)</f>
        <v/>
      </c>
      <c r="BY32">
        <f>IF(OR(AJ32=1,calcA!$A$6=0),1000000000,IF('calcA'!$JF$22=1,0,100000000)+IF('calcA'!$IQ$22=2,SUMPRODUCT('calcA'!$D$72:$EQ$72,$DB32:$IO32,$IQ32:$OD32)*1000+SUMPRODUCT('calcA'!$D$72:$EQ$72,$DB32:$IO32+$ZQ32:$AFD32,$AFF32:$AKS32),SUMPRODUCT('calcA'!$D$72:$EQ$72,$DB32:$IO32*1001+$ZQ32:$AFD32))*100+13)</f>
        <v/>
      </c>
      <c r="BZ32">
        <f>IF(OR(AK32=1,calcA!$A$6=0),1000000000,IF('calcA'!$JF$23=1,0,100000000)+IF('calcA'!$IQ$23=2,SUMPRODUCT('calcA'!$D$73:$EQ$73,$DB32:$IO32,$IQ32:$OD32)*1000+SUMPRODUCT('calcA'!$D$73:$EQ$73,$DB32:$IO32+$ZQ32:$AFD32,$AFF32:$AKS32),SUMPRODUCT('calcA'!$D$73:$EQ$73,$DB32:$IO32*1001+$ZQ32:$AFD32))*100+14)</f>
        <v/>
      </c>
      <c r="CA32">
        <f>IF(OR(AL32=1,calcA!$A$6=0),1000000000,IF('calcA'!$JF$24=1,0,100000000)+IF('calcA'!$IQ$24=2,SUMPRODUCT('calcA'!$D$74:$EQ$74,$DB32:$IO32,$IQ32:$OD32)*1000+SUMPRODUCT('calcA'!$D$74:$EQ$74,$DB32:$IO32+$ZQ32:$AFD32,$AFF32:$AKS32),SUMPRODUCT('calcA'!$D$74:$EQ$74,$DB32:$IO32*1001+$ZQ32:$AFD32))*100+15)</f>
        <v/>
      </c>
      <c r="CB32">
        <f>IF(OR(AM32=1,calcA!$A$6=0),1000000000,IF('calcA'!$JF$25=1,0,100000000)+IF('calcA'!$IQ$25=2,SUMPRODUCT('calcA'!$D$75:$EQ$75,$DB32:$IO32,$IQ32:$OD32)*1000+SUMPRODUCT('calcA'!$D$75:$EQ$75,$DB32:$IO32+$ZQ32:$AFD32,$AFF32:$AKS32),SUMPRODUCT('calcA'!$D$75:$EQ$75,$DB32:$IO32*1001+$ZQ32:$AFD32))*100+16)</f>
        <v/>
      </c>
      <c r="CC32">
        <f>IF(OR(AN32=1,calcA!$A$6=0),1000000000,IF('calcA'!$JF$26=1,0,100000000)+IF('calcA'!$IQ$26=2,SUMPRODUCT('calcA'!$D$76:$EQ$76,$DB32:$IO32,$IQ32:$OD32)*1000+SUMPRODUCT('calcA'!$D$76:$EQ$76,$DB32:$IO32+$ZQ32:$AFD32,$AFF32:$AKS32),SUMPRODUCT('calcA'!$D$76:$EQ$76,$DB32:$IO32*1001+$ZQ32:$AFD32))*100+17)</f>
        <v/>
      </c>
      <c r="CD32">
        <f>IF(OR(AO32=1,calcA!$A$6=0),1000000000,IF('calcA'!$JF$27=1,0,100000000)+IF('calcA'!$IQ$27=2,SUMPRODUCT('calcA'!$D$77:$EQ$77,$DB32:$IO32,$IQ32:$OD32)*1000+SUMPRODUCT('calcA'!$D$77:$EQ$77,$DB32:$IO32+$ZQ32:$AFD32,$AFF32:$AKS32),SUMPRODUCT('calcA'!$D$77:$EQ$77,$DB32:$IO32*1001+$ZQ32:$AFD32))*100+18)</f>
        <v/>
      </c>
      <c r="CE32">
        <f>IF(OR(AP32=1,calcA!$A$6=0),1000000000,IF('calcA'!$JF$28=1,0,100000000)+IF('calcA'!$IQ$28=2,SUMPRODUCT('calcA'!$D$78:$EQ$78,$DB32:$IO32,$IQ32:$OD32)*1000+SUMPRODUCT('calcA'!$D$78:$EQ$78,$DB32:$IO32+$ZQ32:$AFD32,$AFF32:$AKS32),SUMPRODUCT('calcA'!$D$78:$EQ$78,$DB32:$IO32*1001+$ZQ32:$AFD32))*100+19)</f>
        <v/>
      </c>
      <c r="CF32">
        <f>IF(OR(AQ32=1,calcA!$A$6=0),1000000000,IF('calcA'!$JF$29=1,0,100000000)+IF('calcA'!$IQ$29=2,SUMPRODUCT('calcA'!$D$79:$EQ$79,$DB32:$IO32,$IQ32:$OD32)*1000+SUMPRODUCT('calcA'!$D$79:$EQ$79,$DB32:$IO32+$ZQ32:$AFD32,$AFF32:$AKS32),SUMPRODUCT('calcA'!$D$79:$EQ$79,$DB32:$IO32*1001+$ZQ32:$AFD32))*100+20)</f>
        <v/>
      </c>
      <c r="CG32">
        <f>IF(OR(AR32=1,calcA!$A$6=0),1000000000,IF('calcA'!$JF$30=1,0,100000000)+IF('calcA'!$IQ$30=2,SUMPRODUCT('calcA'!$D$80:$EQ$80,$DB32:$IO32,$IQ32:$OD32)*1000+SUMPRODUCT('calcA'!$D$80:$EQ$80,$DB32:$IO32+$ZQ32:$AFD32,$AFF32:$AKS32),SUMPRODUCT('calcA'!$D$80:$EQ$80,$DB32:$IO32*1001+$ZQ32:$AFD32))*100+21)</f>
        <v/>
      </c>
      <c r="CH32">
        <f>IF(OR(AS32=1,calcA!$A$6=0),1000000000,IF('calcA'!$JF$31=1,0,100000000)+IF('calcA'!$IQ$31=2,SUMPRODUCT('calcA'!$D$81:$EQ$81,$DB32:$IO32,$IQ32:$OD32)*1000+SUMPRODUCT('calcA'!$D$81:$EQ$81,$DB32:$IO32+$ZQ32:$AFD32,$AFF32:$AKS32),SUMPRODUCT('calcA'!$D$81:$EQ$81,$DB32:$IO32*1001+$ZQ32:$AFD32))*100+22)</f>
        <v/>
      </c>
      <c r="CI32">
        <f>IF(OR(AT32=1,calcA!$A$6=0),1000000000,IF('calcA'!$JF$32=1,0,100000000)+IF('calcA'!$IQ$32=2,SUMPRODUCT('calcA'!$D$82:$EQ$82,$DB32:$IO32,$IQ32:$OD32)*1000+SUMPRODUCT('calcA'!$D$82:$EQ$82,$DB32:$IO32+$ZQ32:$AFD32,$AFF32:$AKS32),SUMPRODUCT('calcA'!$D$82:$EQ$82,$DB32:$IO32*1001+$ZQ32:$AFD32))*100+23)</f>
        <v/>
      </c>
      <c r="CJ32">
        <f>IF(OR(AU32=1,calcA!$A$6=0),1000000000,IF('calcA'!$JF$33=1,0,100000000)+IF('calcA'!$IQ$33=2,SUMPRODUCT('calcA'!$D$83:$EQ$83,$DB32:$IO32,$IQ32:$OD32)*1000+SUMPRODUCT('calcA'!$D$83:$EQ$83,$DB32:$IO32+$ZQ32:$AFD32,$AFF32:$AKS32),SUMPRODUCT('calcA'!$D$83:$EQ$83,$DB32:$IO32*1001+$ZQ32:$AFD32))*100+24)</f>
        <v/>
      </c>
      <c r="CK32">
        <f>IF(OR(AV32=1,calcA!$A$6=0),1000000000,IF('calcA'!$JF$34=1,0,100000000)+IF('calcA'!$IQ$34=2,SUMPRODUCT('calcA'!$D$84:$EQ$84,$DB32:$IO32,$IQ32:$OD32)*1000+SUMPRODUCT('calcA'!$D$84:$EQ$84,$DB32:$IO32+$ZQ32:$AFD32,$AFF32:$AKS32),SUMPRODUCT('calcA'!$D$84:$EQ$84,$DB32:$IO32*1001+$ZQ32:$AFD32))*100+25)</f>
        <v/>
      </c>
      <c r="CL32">
        <f>IF(OR(AW32=1,calcA!$A$6=0),1000000000,IF('calcA'!$JF$35=1,0,100000000)+IF('calcA'!$IQ$35=2,SUMPRODUCT('calcA'!$D$85:$EQ$85,$DB32:$IO32,$IQ32:$OD32)*1000+SUMPRODUCT('calcA'!$D$85:$EQ$85,$DB32:$IO32+$ZQ32:$AFD32,$AFF32:$AKS32),SUMPRODUCT('calcA'!$D$85:$EQ$85,$DB32:$IO32*1001+$ZQ32:$AFD32))*100+26)</f>
        <v/>
      </c>
      <c r="CM32">
        <f>IF(OR(AX32=1,calcA!$A$6=0),1000000000,IF('calcA'!$JF$36=1,0,100000000)+IF('calcA'!$IQ$36=2,SUMPRODUCT('calcA'!$D$86:$EQ$86,$DB32:$IO32,$IQ32:$OD32)*1000+SUMPRODUCT('calcA'!$D$86:$EQ$86,$DB32:$IO32+$ZQ32:$AFD32,$AFF32:$AKS32),SUMPRODUCT('calcA'!$D$86:$EQ$86,$DB32:$IO32*1001+$ZQ32:$AFD32))*100+27)</f>
        <v/>
      </c>
      <c r="CN32">
        <f>IF(OR(AY32=1,calcA!$A$6=0),1000000000,IF('calcA'!$JF$37=1,0,100000000)+IF('calcA'!$IQ$37=2,SUMPRODUCT('calcA'!$D$87:$EQ$87,$DB32:$IO32,$IQ32:$OD32)*1000+SUMPRODUCT('calcA'!$D$87:$EQ$87,$DB32:$IO32+$ZQ32:$AFD32,$AFF32:$AKS32),SUMPRODUCT('calcA'!$D$87:$EQ$87,$DB32:$IO32*1001+$ZQ32:$AFD32))*100+28)</f>
        <v/>
      </c>
      <c r="CO32">
        <f>IF(OR(AZ32=1,calcA!$A$6=0),1000000000,IF('calcA'!$JF$38=1,0,100000000)+IF('calcA'!$IQ$38=2,SUMPRODUCT('calcA'!$D$88:$EQ$88,$DB32:$IO32,$IQ32:$OD32)*1000+SUMPRODUCT('calcA'!$D$88:$EQ$88,$DB32:$IO32+$ZQ32:$AFD32,$AFF32:$AKS32),SUMPRODUCT('calcA'!$D$88:$EQ$88,$DB32:$IO32*1001+$ZQ32:$AFD32))*100+29)</f>
        <v/>
      </c>
      <c r="CP32">
        <f>IF(OR(BA32=1,calcA!$A$6=0),1000000000,IF('calcA'!$JF$39=1,0,100000000)+IF('calcA'!$IQ$39=2,SUMPRODUCT('calcA'!$D$89:$EQ$89,$DB32:$IO32,$IQ32:$OD32)*1000+SUMPRODUCT('calcA'!$D$89:$EQ$89,$DB32:$IO32+$ZQ32:$AFD32,$AFF32:$AKS32),SUMPRODUCT('calcA'!$D$89:$EQ$89,$DB32:$IO32*1001+$ZQ32:$AFD32))*100+30)</f>
        <v/>
      </c>
      <c r="CQ32">
        <f>IF(OR(BB32=1,calcA!$A$6=0),1000000000,IF('calcA'!$JF$40=1,0,100000000)+IF('calcA'!$IQ$40=2,SUMPRODUCT('calcA'!$D$90:$EQ$90,$DB32:$IO32,$IQ32:$OD32)*1000+SUMPRODUCT('calcA'!$D$90:$EQ$90,$DB32:$IO32+$ZQ32:$AFD32,$AFF32:$AKS32),SUMPRODUCT('calcA'!$D$90:$EQ$90,$DB32:$IO32*1001+$ZQ32:$AFD32))*100+31)</f>
        <v/>
      </c>
      <c r="CR32">
        <f>IF(OR(BC32=1,calcA!$A$6=0),1000000000,IF('calcA'!$JF$41=1,0,100000000)+IF('calcA'!$IQ$41=2,SUMPRODUCT('calcA'!$D$91:$EQ$91,$DB32:$IO32,$IQ32:$OD32)*1000+SUMPRODUCT('calcA'!$D$91:$EQ$91,$DB32:$IO32+$ZQ32:$AFD32,$AFF32:$AKS32),SUMPRODUCT('calcA'!$D$91:$EQ$91,$DB32:$IO32*1001+$ZQ32:$AFD32))*100+32)</f>
        <v/>
      </c>
      <c r="CS32">
        <f>IF(OR(BD32=1,calcA!$A$6=0),1000000000,IF('calcA'!$JF$42=1,0,100000000)+IF('calcA'!$IQ$42=2,SUMPRODUCT('calcA'!$D$92:$EQ$92,$DB32:$IO32,$IQ32:$OD32)*1000+SUMPRODUCT('calcA'!$D$92:$EQ$92,$DB32:$IO32+$ZQ32:$AFD32,$AFF32:$AKS32),SUMPRODUCT('calcA'!$D$92:$EQ$92,$DB32:$IO32*1001+$ZQ32:$AFD32))*100+33)</f>
        <v/>
      </c>
      <c r="CT32">
        <f>IF(OR(BE32=1,calcA!$A$6=0),1000000000,IF('calcA'!$JF$43=1,0,100000000)+IF('calcA'!$IQ$43=2,SUMPRODUCT('calcA'!$D$93:$EQ$93,$DB32:$IO32,$IQ32:$OD32)*1000+SUMPRODUCT('calcA'!$D$93:$EQ$93,$DB32:$IO32+$ZQ32:$AFD32,$AFF32:$AKS32),SUMPRODUCT('calcA'!$D$93:$EQ$93,$DB32:$IO32*1001+$ZQ32:$AFD32))*100+34)</f>
        <v/>
      </c>
      <c r="CU32">
        <f>IF(OR(BF32=1,calcA!$A$6=0),1000000000,IF('calcA'!$JF$44=1,0,100000000)+IF('calcA'!$IQ$44=2,SUMPRODUCT('calcA'!$D$94:$EQ$94,$DB32:$IO32,$IQ32:$OD32)*1000+SUMPRODUCT('calcA'!$D$94:$EQ$94,$DB32:$IO32+$ZQ32:$AFD32,$AFF32:$AKS32),SUMPRODUCT('calcA'!$D$94:$EQ$94,$DB32:$IO32*1001+$ZQ32:$AFD32))*100+35)</f>
        <v/>
      </c>
      <c r="CV32">
        <f>IF(OR(BG32=1,calcA!$A$6=0),1000000000,IF('calcA'!$JF$45=1,0,100000000)+IF('calcA'!$IQ$45=2,SUMPRODUCT('calcA'!$D$95:$EQ$95,$DB32:$IO32,$IQ32:$OD32)*1000+SUMPRODUCT('calcA'!$D$95:$EQ$95,$DB32:$IO32+$ZQ32:$AFD32,$AFF32:$AKS32),SUMPRODUCT('calcA'!$D$95:$EQ$95,$DB32:$IO32*1001+$ZQ32:$AFD32))*100+36)</f>
        <v/>
      </c>
      <c r="CW32">
        <f>IF(OR(BH32=1,calcA!$A$6=0),1000000000,IF('calcA'!$JF$46=1,0,100000000)+IF('calcA'!$IQ$46=2,SUMPRODUCT('calcA'!$D$96:$EQ$96,$DB32:$IO32,$IQ32:$OD32)*1000+SUMPRODUCT('calcA'!$D$96:$EQ$96,$DB32:$IO32+$ZQ32:$AFD32,$AFF32:$AKS32),SUMPRODUCT('calcA'!$D$96:$EQ$96,$DB32:$IO32*1001+$ZQ32:$AFD32))*100+37)</f>
        <v/>
      </c>
      <c r="CX32">
        <f>IF(OR(BI32=1,calcA!$A$6=0),1000000000,IF('calcA'!$JF$47=1,0,100000000)+IF('calcA'!$IQ$47=2,SUMPRODUCT('calcA'!$D$97:$EQ$97,$DB32:$IO32,$IQ32:$OD32)*1000+SUMPRODUCT('calcA'!$D$97:$EQ$97,$DB32:$IO32+$ZQ32:$AFD32,$AFF32:$AKS32),SUMPRODUCT('calcA'!$D$97:$EQ$97,$DB32:$IO32*1001+$ZQ32:$AFD32))*100+38)</f>
        <v/>
      </c>
      <c r="CY32">
        <f>IF(OR(BJ32=1,calcA!$A$6=0),1000000000,IF('calcA'!$JF$48=1,0,100000000)+IF('calcA'!$IQ$48=2,SUMPRODUCT('calcA'!$D$98:$EQ$98,$DB32:$IO32,$IQ32:$OD32)*1000+SUMPRODUCT('calcA'!$D$98:$EQ$98,$DB32:$IO32+$ZQ32:$AFD32,$AFF32:$AKS32),SUMPRODUCT('calcA'!$D$98:$EQ$98,$DB32:$IO32*1001+$ZQ32:$AFD32))*100+39)</f>
        <v/>
      </c>
      <c r="CZ32">
        <f>IF(OR(BK32=1,calcA!$A$6=0),1000000000,IF('calcA'!$JF$49=1,0,100000000)+IF('calcA'!$IQ$49=2,SUMPRODUCT('calcA'!$D$99:$EQ$99,$DB32:$IO32,$IQ32:$OD32)*1000+SUMPRODUCT('calcA'!$D$99:$EQ$99,$DB32:$IO32+$ZQ32:$AFD32,$AFF32:$AKS32),SUMPRODUCT('calcA'!$D$99:$EQ$99,$DB32:$IO32*1001+$ZQ32:$AFD32))*100+40)</f>
        <v/>
      </c>
      <c r="DB32">
        <f>DB31*IF(OR($C31=1,$G31=1),0,1)</f>
        <v/>
      </c>
      <c r="DC32">
        <f>DC31*IF(OR($C31=2,$G31=2),0,1)</f>
        <v/>
      </c>
      <c r="DD32">
        <f>DD31*IF(OR($C31=3,$G31=3),0,1)</f>
        <v/>
      </c>
      <c r="DE32">
        <f>DE31*IF(OR($C31=4,$G31=4),0,1)</f>
        <v/>
      </c>
      <c r="DF32">
        <f>DF31*IF(OR($C31=5,$G31=5),0,1)</f>
        <v/>
      </c>
      <c r="DG32">
        <f>DG31*IF(OR($C31=6,$G31=6),0,1)</f>
        <v/>
      </c>
      <c r="DH32">
        <f>DH31*IF(OR($C31=7,$G31=7),0,1)</f>
        <v/>
      </c>
      <c r="DI32">
        <f>DI31*IF(OR($C31=8,$G31=8),0,1)</f>
        <v/>
      </c>
      <c r="DJ32">
        <f>DJ31*IF(OR($C31=9,$G31=9),0,1)</f>
        <v/>
      </c>
      <c r="DK32">
        <f>DK31*IF(OR($C31=10,$G31=10),0,1)</f>
        <v/>
      </c>
      <c r="DL32">
        <f>DL31*IF(OR($C31=11,$G31=11),0,1)</f>
        <v/>
      </c>
      <c r="DM32">
        <f>DM31*IF(OR($C31=12,$G31=12),0,1)</f>
        <v/>
      </c>
      <c r="DN32">
        <f>DN31*IF(OR($C31=13,$G31=13),0,1)</f>
        <v/>
      </c>
      <c r="DO32">
        <f>DO31*IF(OR($C31=14,$G31=14),0,1)</f>
        <v/>
      </c>
      <c r="DP32">
        <f>DP31*IF(OR($C31=15,$G31=15),0,1)</f>
        <v/>
      </c>
      <c r="DQ32">
        <f>DQ31*IF(OR($C31=16,$G31=16),0,1)</f>
        <v/>
      </c>
      <c r="DR32">
        <f>DR31*IF(OR($C31=17,$G31=17),0,1)</f>
        <v/>
      </c>
      <c r="DS32">
        <f>DS31*IF(OR($C31=18,$G31=18),0,1)</f>
        <v/>
      </c>
      <c r="DT32">
        <f>DT31*IF(OR($C31=19,$G31=19),0,1)</f>
        <v/>
      </c>
      <c r="DU32">
        <f>DU31*IF(OR($C31=20,$G31=20),0,1)</f>
        <v/>
      </c>
      <c r="DV32">
        <f>DV31*IF(OR($C31=21,$G31=21),0,1)</f>
        <v/>
      </c>
      <c r="DW32">
        <f>DW31*IF(OR($C31=22,$G31=22),0,1)</f>
        <v/>
      </c>
      <c r="DX32">
        <f>DX31*IF(OR($C31=23,$G31=23),0,1)</f>
        <v/>
      </c>
      <c r="DY32">
        <f>DY31*IF(OR($C31=24,$G31=24),0,1)</f>
        <v/>
      </c>
      <c r="DZ32">
        <f>DZ31*IF(OR($C31=25,$G31=25),0,1)</f>
        <v/>
      </c>
      <c r="EA32">
        <f>EA31*IF(OR($C31=26,$G31=26),0,1)</f>
        <v/>
      </c>
      <c r="EB32">
        <f>EB31*IF(OR($C31=27,$G31=27),0,1)</f>
        <v/>
      </c>
      <c r="EC32">
        <f>EC31*IF(OR($C31=28,$G31=28),0,1)</f>
        <v/>
      </c>
      <c r="ED32">
        <f>ED31*IF(OR($C31=29,$G31=29),0,1)</f>
        <v/>
      </c>
      <c r="EE32">
        <f>EE31*IF(OR($C31=30,$G31=30),0,1)</f>
        <v/>
      </c>
      <c r="EF32">
        <f>EF31*IF(OR($C31=31,$G31=31),0,1)</f>
        <v/>
      </c>
      <c r="EG32">
        <f>EG31*IF(OR($C31=32,$G31=32),0,1)</f>
        <v/>
      </c>
      <c r="EH32">
        <f>EH31*IF(OR($C31=33,$G31=33),0,1)</f>
        <v/>
      </c>
      <c r="EI32">
        <f>EI31*IF(OR($C31=34,$G31=34),0,1)</f>
        <v/>
      </c>
      <c r="EJ32">
        <f>EJ31*IF(OR($C31=35,$G31=35),0,1)</f>
        <v/>
      </c>
      <c r="EK32">
        <f>EK31*IF(OR($C31=36,$G31=36),0,1)</f>
        <v/>
      </c>
      <c r="EL32">
        <f>EL31*IF(OR($C31=37,$G31=37),0,1)</f>
        <v/>
      </c>
      <c r="EM32">
        <f>EM31*IF(OR($C31=38,$G31=38),0,1)</f>
        <v/>
      </c>
      <c r="EN32">
        <f>EN31*IF(OR($C31=39,$G31=39),0,1)</f>
        <v/>
      </c>
      <c r="EO32">
        <f>EO31*IF(OR($C31=40,$G31=40),0,1)</f>
        <v/>
      </c>
      <c r="EP32">
        <f>EP31*IF(OR($C31=41,$G31=41),0,1)</f>
        <v/>
      </c>
      <c r="EQ32">
        <f>EQ31*IF(OR($C31=42,$G31=42),0,1)</f>
        <v/>
      </c>
      <c r="ER32">
        <f>ER31*IF(OR($C31=43,$G31=43),0,1)</f>
        <v/>
      </c>
      <c r="ES32">
        <f>ES31*IF(OR($C31=44,$G31=44),0,1)</f>
        <v/>
      </c>
      <c r="ET32">
        <f>ET31*IF(OR($C31=45,$G31=45),0,1)</f>
        <v/>
      </c>
      <c r="EU32">
        <f>EU31*IF(OR($C31=46,$G31=46),0,1)</f>
        <v/>
      </c>
      <c r="EV32">
        <f>EV31*IF(OR($C31=47,$G31=47),0,1)</f>
        <v/>
      </c>
      <c r="EW32">
        <f>EW31*IF(OR($C31=48,$G31=48),0,1)</f>
        <v/>
      </c>
      <c r="EX32">
        <f>EX31*IF(OR($C31=49,$G31=49),0,1)</f>
        <v/>
      </c>
      <c r="EY32">
        <f>EY31*IF(OR($C31=50,$G31=50),0,1)</f>
        <v/>
      </c>
      <c r="EZ32">
        <f>EZ31*IF(OR($C31=51,$G31=51),0,1)</f>
        <v/>
      </c>
      <c r="FA32">
        <f>FA31*IF(OR($C31=52,$G31=52),0,1)</f>
        <v/>
      </c>
      <c r="FB32">
        <f>FB31*IF(OR($C31=53,$G31=53),0,1)</f>
        <v/>
      </c>
      <c r="FC32">
        <f>FC31*IF(OR($C31=54,$G31=54),0,1)</f>
        <v/>
      </c>
      <c r="FD32">
        <f>FD31*IF(OR($C31=55,$G31=55),0,1)</f>
        <v/>
      </c>
      <c r="FE32">
        <f>FE31*IF(OR($C31=56,$G31=56),0,1)</f>
        <v/>
      </c>
      <c r="FF32">
        <f>FF31*IF(OR($C31=57,$G31=57),0,1)</f>
        <v/>
      </c>
      <c r="FG32">
        <f>FG31*IF(OR($C31=58,$G31=58),0,1)</f>
        <v/>
      </c>
      <c r="FH32">
        <f>FH31*IF(OR($C31=59,$G31=59),0,1)</f>
        <v/>
      </c>
      <c r="FI32">
        <f>FI31*IF(OR($C31=60,$G31=60),0,1)</f>
        <v/>
      </c>
      <c r="FJ32">
        <f>FJ31*IF(OR($C31=61,$G31=61),0,1)</f>
        <v/>
      </c>
      <c r="FK32">
        <f>FK31*IF(OR($C31=62,$G31=62),0,1)</f>
        <v/>
      </c>
      <c r="FL32">
        <f>FL31*IF(OR($C31=63,$G31=63),0,1)</f>
        <v/>
      </c>
      <c r="FM32">
        <f>FM31*IF(OR($C31=64,$G31=64),0,1)</f>
        <v/>
      </c>
      <c r="FN32">
        <f>FN31*IF(OR($C31=65,$G31=65),0,1)</f>
        <v/>
      </c>
      <c r="FO32">
        <f>FO31*IF(OR($C31=66,$G31=66),0,1)</f>
        <v/>
      </c>
      <c r="FP32">
        <f>FP31*IF(OR($C31=67,$G31=67),0,1)</f>
        <v/>
      </c>
      <c r="FQ32">
        <f>FQ31*IF(OR($C31=68,$G31=68),0,1)</f>
        <v/>
      </c>
      <c r="FR32">
        <f>FR31*IF(OR($C31=69,$G31=69),0,1)</f>
        <v/>
      </c>
      <c r="FS32">
        <f>FS31*IF(OR($C31=70,$G31=70),0,1)</f>
        <v/>
      </c>
      <c r="FT32">
        <f>FT31*IF(OR($C31=71,$G31=71),0,1)</f>
        <v/>
      </c>
      <c r="FU32">
        <f>FU31*IF(OR($C31=72,$G31=72),0,1)</f>
        <v/>
      </c>
      <c r="FV32">
        <f>FV31*IF(OR($C31=73,$G31=73),0,1)</f>
        <v/>
      </c>
      <c r="FW32">
        <f>FW31*IF(OR($C31=74,$G31=74),0,1)</f>
        <v/>
      </c>
      <c r="FX32">
        <f>FX31*IF(OR($C31=75,$G31=75),0,1)</f>
        <v/>
      </c>
      <c r="FY32">
        <f>FY31*IF(OR($C31=76,$G31=76),0,1)</f>
        <v/>
      </c>
      <c r="FZ32">
        <f>FZ31*IF(OR($C31=77,$G31=77),0,1)</f>
        <v/>
      </c>
      <c r="GA32">
        <f>GA31*IF(OR($C31=78,$G31=78),0,1)</f>
        <v/>
      </c>
      <c r="GB32">
        <f>GB31*IF(OR($C31=79,$G31=79),0,1)</f>
        <v/>
      </c>
      <c r="GC32">
        <f>GC31*IF(OR($C31=80,$G31=80),0,1)</f>
        <v/>
      </c>
      <c r="GD32">
        <f>GD31*IF(OR($C31=81,$G31=81),0,1)</f>
        <v/>
      </c>
      <c r="GE32">
        <f>GE31*IF(OR($C31=82,$G31=82),0,1)</f>
        <v/>
      </c>
      <c r="GF32">
        <f>GF31*IF(OR($C31=83,$G31=83),0,1)</f>
        <v/>
      </c>
      <c r="GG32">
        <f>GG31*IF(OR($C31=84,$G31=84),0,1)</f>
        <v/>
      </c>
      <c r="GH32">
        <f>GH31*IF(OR($C31=85,$G31=85),0,1)</f>
        <v/>
      </c>
      <c r="GI32">
        <f>GI31*IF(OR($C31=86,$G31=86),0,1)</f>
        <v/>
      </c>
      <c r="GJ32">
        <f>GJ31*IF(OR($C31=87,$G31=87),0,1)</f>
        <v/>
      </c>
      <c r="GK32">
        <f>GK31*IF(OR($C31=88,$G31=88),0,1)</f>
        <v/>
      </c>
      <c r="GL32">
        <f>GL31*IF(OR($C31=89,$G31=89),0,1)</f>
        <v/>
      </c>
      <c r="GM32">
        <f>GM31*IF(OR($C31=90,$G31=90),0,1)</f>
        <v/>
      </c>
      <c r="GN32">
        <f>GN31*IF(OR($C31=91,$G31=91),0,1)</f>
        <v/>
      </c>
      <c r="GO32">
        <f>GO31*IF(OR($C31=92,$G31=92),0,1)</f>
        <v/>
      </c>
      <c r="GP32">
        <f>GP31*IF(OR($C31=93,$G31=93),0,1)</f>
        <v/>
      </c>
      <c r="GQ32">
        <f>GQ31*IF(OR($C31=94,$G31=94),0,1)</f>
        <v/>
      </c>
      <c r="GR32">
        <f>GR31*IF(OR($C31=95,$G31=95),0,1)</f>
        <v/>
      </c>
      <c r="GS32">
        <f>GS31*IF(OR($C31=96,$G31=96),0,1)</f>
        <v/>
      </c>
      <c r="GT32">
        <f>GT31*IF(OR($C31=97,$G31=97),0,1)</f>
        <v/>
      </c>
      <c r="GU32">
        <f>GU31*IF(OR($C31=98,$G31=98),0,1)</f>
        <v/>
      </c>
      <c r="GV32">
        <f>GV31*IF(OR($C31=99,$G31=99),0,1)</f>
        <v/>
      </c>
      <c r="GW32">
        <f>GW31*IF(OR($C31=100,$G31=100),0,1)</f>
        <v/>
      </c>
      <c r="GX32">
        <f>GX31*IF(OR($C31=101,$G31=101),0,1)</f>
        <v/>
      </c>
      <c r="GY32">
        <f>GY31*IF(OR($C31=102,$G31=102),0,1)</f>
        <v/>
      </c>
      <c r="GZ32">
        <f>GZ31*IF(OR($C31=103,$G31=103),0,1)</f>
        <v/>
      </c>
      <c r="HA32">
        <f>HA31*IF(OR($C31=104,$G31=104),0,1)</f>
        <v/>
      </c>
      <c r="HB32">
        <f>HB31*IF(OR($C31=105,$G31=105),0,1)</f>
        <v/>
      </c>
      <c r="HC32">
        <f>HC31*IF(OR($C31=106,$G31=106),0,1)</f>
        <v/>
      </c>
      <c r="HD32">
        <f>HD31*IF(OR($C31=107,$G31=107),0,1)</f>
        <v/>
      </c>
      <c r="HE32">
        <f>HE31*IF(OR($C31=108,$G31=108),0,1)</f>
        <v/>
      </c>
      <c r="HF32">
        <f>HF31*IF(OR($C31=109,$G31=109),0,1)</f>
        <v/>
      </c>
      <c r="HG32">
        <f>HG31*IF(OR($C31=110,$G31=110),0,1)</f>
        <v/>
      </c>
      <c r="HH32">
        <f>HH31*IF(OR($C31=111,$G31=111),0,1)</f>
        <v/>
      </c>
      <c r="HI32">
        <f>HI31*IF(OR($C31=112,$G31=112),0,1)</f>
        <v/>
      </c>
      <c r="HJ32">
        <f>HJ31*IF(OR($C31=113,$G31=113),0,1)</f>
        <v/>
      </c>
      <c r="HK32">
        <f>HK31*IF(OR($C31=114,$G31=114),0,1)</f>
        <v/>
      </c>
      <c r="HL32">
        <f>HL31*IF(OR($C31=115,$G31=115),0,1)</f>
        <v/>
      </c>
      <c r="HM32">
        <f>HM31*IF(OR($C31=116,$G31=116),0,1)</f>
        <v/>
      </c>
      <c r="HN32">
        <f>HN31*IF(OR($C31=117,$G31=117),0,1)</f>
        <v/>
      </c>
      <c r="HO32">
        <f>HO31*IF(OR($C31=118,$G31=118),0,1)</f>
        <v/>
      </c>
      <c r="HP32">
        <f>HP31*IF(OR($C31=119,$G31=119),0,1)</f>
        <v/>
      </c>
      <c r="HQ32">
        <f>HQ31*IF(OR($C31=120,$G31=120),0,1)</f>
        <v/>
      </c>
      <c r="HR32">
        <f>HR31*IF(OR($C31=121,$G31=121),0,1)</f>
        <v/>
      </c>
      <c r="HS32">
        <f>HS31*IF(OR($C31=122,$G31=122),0,1)</f>
        <v/>
      </c>
      <c r="HT32">
        <f>HT31*IF(OR($C31=123,$G31=123),0,1)</f>
        <v/>
      </c>
      <c r="HU32">
        <f>HU31*IF(OR($C31=124,$G31=124),0,1)</f>
        <v/>
      </c>
      <c r="HV32">
        <f>HV31*IF(OR($C31=125,$G31=125),0,1)</f>
        <v/>
      </c>
      <c r="HW32">
        <f>HW31*IF(OR($C31=126,$G31=126),0,1)</f>
        <v/>
      </c>
      <c r="HX32">
        <f>HX31*IF(OR($C31=127,$G31=127),0,1)</f>
        <v/>
      </c>
      <c r="HY32">
        <f>HY31*IF(OR($C31=128,$G31=128),0,1)</f>
        <v/>
      </c>
      <c r="HZ32">
        <f>HZ31*IF(OR($C31=129,$G31=129),0,1)</f>
        <v/>
      </c>
      <c r="IA32">
        <f>IA31*IF(OR($C31=130,$G31=130),0,1)</f>
        <v/>
      </c>
      <c r="IB32">
        <f>IB31*IF(OR($C31=131,$G31=131),0,1)</f>
        <v/>
      </c>
      <c r="IC32">
        <f>IC31*IF(OR($C31=132,$G31=132),0,1)</f>
        <v/>
      </c>
      <c r="ID32">
        <f>ID31*IF(OR($C31=133,$G31=133),0,1)</f>
        <v/>
      </c>
      <c r="IE32">
        <f>IE31*IF(OR($C31=134,$G31=134),0,1)</f>
        <v/>
      </c>
      <c r="IF32">
        <f>IF31*IF(OR($C31=135,$G31=135),0,1)</f>
        <v/>
      </c>
      <c r="IG32">
        <f>IG31*IF(OR($C31=136,$G31=136),0,1)</f>
        <v/>
      </c>
      <c r="IH32">
        <f>IH31*IF(OR($C31=137,$G31=137),0,1)</f>
        <v/>
      </c>
      <c r="II32">
        <f>II31*IF(OR($C31=138,$G31=138),0,1)</f>
        <v/>
      </c>
      <c r="IJ32">
        <f>IJ31*IF(OR($C31=139,$G31=139),0,1)</f>
        <v/>
      </c>
      <c r="IK32">
        <f>IK31*IF(OR($C31=140,$G31=140),0,1)</f>
        <v/>
      </c>
      <c r="IL32">
        <f>IL31*IF(OR($C31=141,$G31=141),0,1)</f>
        <v/>
      </c>
      <c r="IM32">
        <f>IM31*IF(OR($C31=142,$G31=142),0,1)</f>
        <v/>
      </c>
      <c r="IN32">
        <f>IN31*IF(OR($C31=143,$G31=143),0,1)</f>
        <v/>
      </c>
      <c r="IO32">
        <f>IO31*IF(OR($C31=144,$G31=144),0,1)</f>
        <v/>
      </c>
      <c r="IQ32">
        <f>IF('calcA'!D$106=1,DC32,1)</f>
        <v/>
      </c>
      <c r="IR32">
        <f>IF('calcA'!E$106=1,DD32,1)</f>
        <v/>
      </c>
      <c r="IS32">
        <f>IF('calcA'!F$106=1,DE32,1)</f>
        <v/>
      </c>
      <c r="IT32">
        <f>IF('calcA'!G$106=1,DF32,1)</f>
        <v/>
      </c>
      <c r="IU32">
        <f>IF('calcA'!H$106=1,DG32,1)</f>
        <v/>
      </c>
      <c r="IV32">
        <f>IF('calcA'!I$106=1,DH32,1)</f>
        <v/>
      </c>
      <c r="IW32">
        <f>IF('calcA'!J$106=1,DI32,1)</f>
        <v/>
      </c>
      <c r="IX32">
        <f>IF('calcA'!K$106=1,DJ32,1)</f>
        <v/>
      </c>
      <c r="IY32">
        <f>IF('calcA'!L$106=1,DK32,1)</f>
        <v/>
      </c>
      <c r="IZ32">
        <f>IF('calcA'!M$106=1,DL32,1)</f>
        <v/>
      </c>
      <c r="JA32">
        <f>IF('calcA'!N$106=1,DM32,1)</f>
        <v/>
      </c>
      <c r="JB32">
        <f>IF('calcA'!O$106=1,DN32,1)</f>
        <v/>
      </c>
      <c r="JC32">
        <f>IF('calcA'!P$106=1,DO32,1)</f>
        <v/>
      </c>
      <c r="JD32">
        <f>IF('calcA'!Q$106=1,DP32,1)</f>
        <v/>
      </c>
      <c r="JE32">
        <f>IF('calcA'!R$106=1,DQ32,1)</f>
        <v/>
      </c>
      <c r="JF32">
        <f>IF('calcA'!S$106=1,DR32,1)</f>
        <v/>
      </c>
      <c r="JG32">
        <f>IF('calcA'!T$106=1,DS32,1)</f>
        <v/>
      </c>
      <c r="JH32">
        <f>IF('calcA'!U$106=1,DT32,1)</f>
        <v/>
      </c>
      <c r="JI32">
        <f>IF('calcA'!V$106=1,DU32,1)</f>
        <v/>
      </c>
      <c r="JJ32">
        <f>IF('calcA'!W$106=1,DV32,1)</f>
        <v/>
      </c>
      <c r="JK32">
        <f>IF('calcA'!X$106=1,DW32,1)</f>
        <v/>
      </c>
      <c r="JL32">
        <f>IF('calcA'!Y$106=1,DX32,1)</f>
        <v/>
      </c>
      <c r="JM32">
        <f>IF('calcA'!Z$106=1,DY32,1)</f>
        <v/>
      </c>
      <c r="JN32">
        <f>IF('calcA'!AA$106=1,DZ32,1)</f>
        <v/>
      </c>
      <c r="JO32">
        <f>IF('calcA'!AB$106=1,EA32,1)</f>
        <v/>
      </c>
      <c r="JP32">
        <f>IF('calcA'!AC$106=1,EB32,1)</f>
        <v/>
      </c>
      <c r="JQ32">
        <f>IF('calcA'!AD$106=1,EC32,1)</f>
        <v/>
      </c>
      <c r="JR32">
        <f>IF('calcA'!AE$106=1,ED32,1)</f>
        <v/>
      </c>
      <c r="JS32">
        <f>IF('calcA'!AF$106=1,EE32,1)</f>
        <v/>
      </c>
      <c r="JT32">
        <f>IF('calcA'!AG$106=1,EF32,1)</f>
        <v/>
      </c>
      <c r="JU32">
        <f>IF('calcA'!AH$106=1,EG32,1)</f>
        <v/>
      </c>
      <c r="JV32">
        <f>IF('calcA'!AI$106=1,EH32,1)</f>
        <v/>
      </c>
      <c r="JW32">
        <f>IF('calcA'!AJ$106=1,EI32,1)</f>
        <v/>
      </c>
      <c r="JX32">
        <f>IF('calcA'!AK$106=1,EJ32,1)</f>
        <v/>
      </c>
      <c r="JY32">
        <f>IF('calcA'!AL$106=1,EK32,1)</f>
        <v/>
      </c>
      <c r="JZ32">
        <f>IF('calcA'!AM$106=1,EL32,1)</f>
        <v/>
      </c>
      <c r="KA32">
        <f>IF('calcA'!AN$106=1,EM32,1)</f>
        <v/>
      </c>
      <c r="KB32">
        <f>IF('calcA'!AO$106=1,EN32,1)</f>
        <v/>
      </c>
      <c r="KC32">
        <f>IF('calcA'!AP$106=1,EO32,1)</f>
        <v/>
      </c>
      <c r="KD32">
        <f>IF('calcA'!AQ$106=1,EP32,1)</f>
        <v/>
      </c>
      <c r="KE32">
        <f>IF('calcA'!AR$106=1,EQ32,1)</f>
        <v/>
      </c>
      <c r="KF32">
        <f>IF('calcA'!AS$106=1,ER32,1)</f>
        <v/>
      </c>
      <c r="KG32">
        <f>IF('calcA'!AT$106=1,ES32,1)</f>
        <v/>
      </c>
      <c r="KH32">
        <f>IF('calcA'!AU$106=1,ET32,1)</f>
        <v/>
      </c>
      <c r="KI32">
        <f>IF('calcA'!AV$106=1,EU32,1)</f>
        <v/>
      </c>
      <c r="KJ32">
        <f>IF('calcA'!AW$106=1,EV32,1)</f>
        <v/>
      </c>
      <c r="KK32">
        <f>IF('calcA'!AX$106=1,EW32,1)</f>
        <v/>
      </c>
      <c r="KL32">
        <f>IF('calcA'!AY$106=1,EX32,1)</f>
        <v/>
      </c>
      <c r="KM32">
        <f>IF('calcA'!AZ$106=1,EY32,1)</f>
        <v/>
      </c>
      <c r="KN32">
        <f>IF('calcA'!BA$106=1,EZ32,1)</f>
        <v/>
      </c>
      <c r="KO32">
        <f>IF('calcA'!BB$106=1,FA32,1)</f>
        <v/>
      </c>
      <c r="KP32">
        <f>IF('calcA'!BC$106=1,FB32,1)</f>
        <v/>
      </c>
      <c r="KQ32">
        <f>IF('calcA'!BD$106=1,FC32,1)</f>
        <v/>
      </c>
      <c r="KR32">
        <f>IF('calcA'!BE$106=1,FD32,1)</f>
        <v/>
      </c>
      <c r="KS32">
        <f>IF('calcA'!BF$106=1,FE32,1)</f>
        <v/>
      </c>
      <c r="KT32">
        <f>IF('calcA'!BG$106=1,FF32,1)</f>
        <v/>
      </c>
      <c r="KU32">
        <f>IF('calcA'!BH$106=1,FG32,1)</f>
        <v/>
      </c>
      <c r="KV32">
        <f>IF('calcA'!BI$106=1,FH32,1)</f>
        <v/>
      </c>
      <c r="KW32">
        <f>IF('calcA'!BJ$106=1,FI32,1)</f>
        <v/>
      </c>
      <c r="KX32">
        <f>IF('calcA'!BK$106=1,FJ32,1)</f>
        <v/>
      </c>
      <c r="KY32">
        <f>IF('calcA'!BL$106=1,FK32,1)</f>
        <v/>
      </c>
      <c r="KZ32">
        <f>IF('calcA'!BM$106=1,FL32,1)</f>
        <v/>
      </c>
      <c r="LA32">
        <f>IF('calcA'!BN$106=1,FM32,1)</f>
        <v/>
      </c>
      <c r="LB32">
        <f>IF('calcA'!BO$106=1,FN32,1)</f>
        <v/>
      </c>
      <c r="LC32">
        <f>IF('calcA'!BP$106=1,FO32,1)</f>
        <v/>
      </c>
      <c r="LD32">
        <f>IF('calcA'!BQ$106=1,FP32,1)</f>
        <v/>
      </c>
      <c r="LE32">
        <f>IF('calcA'!BR$106=1,FQ32,1)</f>
        <v/>
      </c>
      <c r="LF32">
        <f>IF('calcA'!BS$106=1,FR32,1)</f>
        <v/>
      </c>
      <c r="LG32">
        <f>IF('calcA'!BT$106=1,FS32,1)</f>
        <v/>
      </c>
      <c r="LH32">
        <f>IF('calcA'!BU$106=1,FT32,1)</f>
        <v/>
      </c>
      <c r="LI32">
        <f>IF('calcA'!BV$106=1,FU32,1)</f>
        <v/>
      </c>
      <c r="LJ32">
        <f>IF('calcA'!BW$106=1,FV32,1)</f>
        <v/>
      </c>
      <c r="LK32">
        <f>IF('calcA'!BX$106=1,FW32,1)</f>
        <v/>
      </c>
      <c r="LL32">
        <f>IF('calcA'!BY$106=1,FX32,1)</f>
        <v/>
      </c>
      <c r="LM32">
        <f>IF('calcA'!BZ$106=1,FY32,1)</f>
        <v/>
      </c>
      <c r="LN32">
        <f>IF('calcA'!CA$106=1,FZ32,1)</f>
        <v/>
      </c>
      <c r="LO32">
        <f>IF('calcA'!CB$106=1,GA32,1)</f>
        <v/>
      </c>
      <c r="LP32">
        <f>IF('calcA'!CC$106=1,GB32,1)</f>
        <v/>
      </c>
      <c r="LQ32">
        <f>IF('calcA'!CD$106=1,GC32,1)</f>
        <v/>
      </c>
      <c r="LR32">
        <f>IF('calcA'!CE$106=1,GD32,1)</f>
        <v/>
      </c>
      <c r="LS32">
        <f>IF('calcA'!CF$106=1,GE32,1)</f>
        <v/>
      </c>
      <c r="LT32">
        <f>IF('calcA'!CG$106=1,GF32,1)</f>
        <v/>
      </c>
      <c r="LU32">
        <f>IF('calcA'!CH$106=1,GG32,1)</f>
        <v/>
      </c>
      <c r="LV32">
        <f>IF('calcA'!CI$106=1,GH32,1)</f>
        <v/>
      </c>
      <c r="LW32">
        <f>IF('calcA'!CJ$106=1,GI32,1)</f>
        <v/>
      </c>
      <c r="LX32">
        <f>IF('calcA'!CK$106=1,GJ32,1)</f>
        <v/>
      </c>
      <c r="LY32">
        <f>IF('calcA'!CL$106=1,GK32,1)</f>
        <v/>
      </c>
      <c r="LZ32">
        <f>IF('calcA'!CM$106=1,GL32,1)</f>
        <v/>
      </c>
      <c r="MA32">
        <f>IF('calcA'!CN$106=1,GM32,1)</f>
        <v/>
      </c>
      <c r="MB32">
        <f>IF('calcA'!CO$106=1,GN32,1)</f>
        <v/>
      </c>
      <c r="MC32">
        <f>IF('calcA'!CP$106=1,GO32,1)</f>
        <v/>
      </c>
      <c r="MD32">
        <f>IF('calcA'!CQ$106=1,GP32,1)</f>
        <v/>
      </c>
      <c r="ME32">
        <f>IF('calcA'!CR$106=1,GQ32,1)</f>
        <v/>
      </c>
      <c r="MF32">
        <f>IF('calcA'!CS$106=1,GR32,1)</f>
        <v/>
      </c>
      <c r="MG32">
        <f>IF('calcA'!CT$106=1,GS32,1)</f>
        <v/>
      </c>
      <c r="MH32">
        <f>IF('calcA'!CU$106=1,GT32,1)</f>
        <v/>
      </c>
      <c r="MI32">
        <f>IF('calcA'!CV$106=1,GU32,1)</f>
        <v/>
      </c>
      <c r="MJ32">
        <f>IF('calcA'!CW$106=1,GV32,1)</f>
        <v/>
      </c>
      <c r="MK32">
        <f>IF('calcA'!CX$106=1,GW32,1)</f>
        <v/>
      </c>
      <c r="ML32">
        <f>IF('calcA'!CY$106=1,GX32,1)</f>
        <v/>
      </c>
      <c r="MM32">
        <f>IF('calcA'!CZ$106=1,GY32,1)</f>
        <v/>
      </c>
      <c r="MN32">
        <f>IF('calcA'!DA$106=1,GZ32,1)</f>
        <v/>
      </c>
      <c r="MO32">
        <f>IF('calcA'!DB$106=1,HA32,1)</f>
        <v/>
      </c>
      <c r="MP32">
        <f>IF('calcA'!DC$106=1,HB32,1)</f>
        <v/>
      </c>
      <c r="MQ32">
        <f>IF('calcA'!DD$106=1,HC32,1)</f>
        <v/>
      </c>
      <c r="MR32">
        <f>IF('calcA'!DE$106=1,HD32,1)</f>
        <v/>
      </c>
      <c r="MS32">
        <f>IF('calcA'!DF$106=1,HE32,1)</f>
        <v/>
      </c>
      <c r="MT32">
        <f>IF('calcA'!DG$106=1,HF32,1)</f>
        <v/>
      </c>
      <c r="MU32">
        <f>IF('calcA'!DH$106=1,HG32,1)</f>
        <v/>
      </c>
      <c r="MV32">
        <f>IF('calcA'!DI$106=1,HH32,1)</f>
        <v/>
      </c>
      <c r="MW32">
        <f>IF('calcA'!DJ$106=1,HI32,1)</f>
        <v/>
      </c>
      <c r="MX32">
        <f>IF('calcA'!DK$106=1,HJ32,1)</f>
        <v/>
      </c>
      <c r="MY32">
        <f>IF('calcA'!DL$106=1,HK32,1)</f>
        <v/>
      </c>
      <c r="MZ32">
        <f>IF('calcA'!DM$106=1,HL32,1)</f>
        <v/>
      </c>
      <c r="NA32">
        <f>IF('calcA'!DN$106=1,HM32,1)</f>
        <v/>
      </c>
      <c r="NB32">
        <f>IF('calcA'!DO$106=1,HN32,1)</f>
        <v/>
      </c>
      <c r="NC32">
        <f>IF('calcA'!DP$106=1,HO32,1)</f>
        <v/>
      </c>
      <c r="ND32">
        <f>IF('calcA'!DQ$106=1,HP32,1)</f>
        <v/>
      </c>
      <c r="NE32">
        <f>IF('calcA'!DR$106=1,HQ32,1)</f>
        <v/>
      </c>
      <c r="NF32">
        <f>IF('calcA'!DS$106=1,HR32,1)</f>
        <v/>
      </c>
      <c r="NG32">
        <f>IF('calcA'!DT$106=1,HS32,1)</f>
        <v/>
      </c>
      <c r="NH32">
        <f>IF('calcA'!DU$106=1,HT32,1)</f>
        <v/>
      </c>
      <c r="NI32">
        <f>IF('calcA'!DV$106=1,HU32,1)</f>
        <v/>
      </c>
      <c r="NJ32">
        <f>IF('calcA'!DW$106=1,HV32,1)</f>
        <v/>
      </c>
      <c r="NK32">
        <f>IF('calcA'!DX$106=1,HW32,1)</f>
        <v/>
      </c>
      <c r="NL32">
        <f>IF('calcA'!DY$106=1,HX32,1)</f>
        <v/>
      </c>
      <c r="NM32">
        <f>IF('calcA'!DZ$106=1,HY32,1)</f>
        <v/>
      </c>
      <c r="NN32">
        <f>IF('calcA'!EA$106=1,HZ32,1)</f>
        <v/>
      </c>
      <c r="NO32">
        <f>IF('calcA'!EB$106=1,IA32,1)</f>
        <v/>
      </c>
      <c r="NP32">
        <f>IF('calcA'!EC$106=1,IB32,1)</f>
        <v/>
      </c>
      <c r="NQ32">
        <f>IF('calcA'!ED$106=1,IC32,1)</f>
        <v/>
      </c>
      <c r="NR32">
        <f>IF('calcA'!EE$106=1,ID32,1)</f>
        <v/>
      </c>
      <c r="NS32">
        <f>IF('calcA'!EF$106=1,IE32,1)</f>
        <v/>
      </c>
      <c r="NT32">
        <f>IF('calcA'!EG$106=1,IF32,1)</f>
        <v/>
      </c>
      <c r="NU32">
        <f>IF('calcA'!EH$106=1,IG32,1)</f>
        <v/>
      </c>
      <c r="NV32">
        <f>IF('calcA'!EI$106=1,IH32,1)</f>
        <v/>
      </c>
      <c r="NW32">
        <f>IF('calcA'!EJ$106=1,II32,1)</f>
        <v/>
      </c>
      <c r="NX32">
        <f>IF('calcA'!EK$106=1,IJ32,1)</f>
        <v/>
      </c>
      <c r="NY32">
        <f>IF('calcA'!EL$106=1,IK32,1)</f>
        <v/>
      </c>
      <c r="NZ32">
        <f>IF('calcA'!EM$106=1,IL32,1)</f>
        <v/>
      </c>
      <c r="OA32">
        <f>IF('calcA'!EN$106=1,IM32,1)</f>
        <v/>
      </c>
      <c r="OB32">
        <f>IF('calcA'!EO$106=1,IN32,1)</f>
        <v/>
      </c>
      <c r="OC32">
        <f>IF('calcA'!EP$106=1,IO32,1)</f>
        <v/>
      </c>
      <c r="OD32" t="n">
        <v>1</v>
      </c>
      <c r="OF32">
        <f>IF($B32=0,1000000000,IF(INDEX('calcA'!$D$60:$EQ$99,$B32,1)*IF($W32=1,DB32+ZQ32,DB32)=1,IF(AND($E32=2,IF($W32=1,AFF32,IQ32)=0),1000000000,IF($V32=1,INDEX('calcA'!$D$130:$EQ$169,$B32,1)+IF(AND($E32=1,IQ32=0),25,0),INDEX('calcA'!D$110:D$114,$F32+1)+IF(AND($E32=1,IQ32=0),1000,0)+IF($H32=1,INDEX('calcA'!$D$180:$EQ$219,$B32,1)*500,0)-IF(AND($U32=1,'calcA'!D$117=1,DC32=0),300,0))),1000000000))</f>
        <v/>
      </c>
      <c r="OG32">
        <f>IF($B32=0,1000000000,IF(INDEX('calcA'!$D$60:$EQ$99,$B32,2)*IF($W32=1,DC32+ZR32,DC32)=1,IF(AND($E32=2,IF($W32=1,AFG32,IR32)=0),1000000000,IF($V32=1,INDEX('calcA'!$D$130:$EQ$169,$B32,2)+IF(AND($E32=1,IR32=0),25,0),INDEX('calcA'!E$110:E$114,$F32+1)+IF(AND($E32=1,IR32=0),1000,0)+IF($H32=1,INDEX('calcA'!$D$180:$EQ$219,$B32,2)*500,0)-IF(AND('calcA'!D$117=1,UB32&gt;0),300,0)-IF(AND($U32=1,'calcA'!E$117=1,DD32=0),300,0))),1000000000))</f>
        <v/>
      </c>
      <c r="OH32">
        <f>IF($B32=0,1000000000,IF(INDEX('calcA'!$D$60:$EQ$99,$B32,3)*IF($W32=1,DD32+ZS32,DD32)=1,IF(AND($E32=2,IF($W32=1,AFH32,IS32)=0),1000000000,IF($V32=1,INDEX('calcA'!$D$130:$EQ$169,$B32,3)+IF(AND($E32=1,IS32=0),25,0),INDEX('calcA'!F$110:F$114,$F32+1)+IF(AND($E32=1,IS32=0),1000,0)+IF($H32=1,INDEX('calcA'!$D$180:$EQ$219,$B32,3)*500,0)-IF(AND('calcA'!E$117=1,UC32&gt;0),300,0)-IF(AND($U32=1,'calcA'!F$117=1,DE32=0),300,0))),1000000000))</f>
        <v/>
      </c>
      <c r="OI32">
        <f>IF($B32=0,1000000000,IF(INDEX('calcA'!$D$60:$EQ$99,$B32,4)*IF($W32=1,DE32+ZT32,DE32)=1,IF(AND($E32=2,IF($W32=1,AFI32,IT32)=0),1000000000,IF($V32=1,INDEX('calcA'!$D$130:$EQ$169,$B32,4)+IF(AND($E32=1,IT32=0),25,0),INDEX('calcA'!G$110:G$114,$F32+1)+IF(AND($E32=1,IT32=0),1000,0)+IF($H32=1,INDEX('calcA'!$D$180:$EQ$219,$B32,4)*500,0)-IF(AND('calcA'!F$117=1,UD32&gt;0),300,0)-IF(AND($U32=1,'calcA'!G$117=1,DF32=0),300,0))),1000000000))</f>
        <v/>
      </c>
      <c r="OJ32">
        <f>IF($B32=0,1000000000,IF(INDEX('calcA'!$D$60:$EQ$99,$B32,5)*IF($W32=1,DF32+ZU32,DF32)=1,IF(AND($E32=2,IF($W32=1,AFJ32,IU32)=0),1000000000,IF($V32=1,INDEX('calcA'!$D$130:$EQ$169,$B32,5)+IF(AND($E32=1,IU32=0),25,0),INDEX('calcA'!H$110:H$114,$F32+1)+IF(AND($E32=1,IU32=0),1000,0)+IF($H32=1,INDEX('calcA'!$D$180:$EQ$219,$B32,5)*500,0)-IF(AND('calcA'!G$117=1,UE32&gt;0),300,0)-IF(AND($U32=1,'calcA'!H$117=1,DG32=0),300,0))),1000000000))</f>
        <v/>
      </c>
      <c r="OK32">
        <f>IF($B32=0,1000000000,IF(INDEX('calcA'!$D$60:$EQ$99,$B32,6)*IF($W32=1,DG32+ZV32,DG32)=1,IF(AND($E32=2,IF($W32=1,AFK32,IV32)=0),1000000000,IF($V32=1,INDEX('calcA'!$D$130:$EQ$169,$B32,6)+IF(AND($E32=1,IV32=0),25,0),INDEX('calcA'!I$110:I$114,$F32+1)+IF(AND($E32=1,IV32=0),1000,0)+IF($H32=1,INDEX('calcA'!$D$180:$EQ$219,$B32,6)*500,0)-IF(AND('calcA'!H$117=1,UF32&gt;0),300,0)-IF(AND($U32=1,'calcA'!I$117=1,DH32=0),300,0))),1000000000))</f>
        <v/>
      </c>
      <c r="OL32">
        <f>IF($B32=0,1000000000,IF(INDEX('calcA'!$D$60:$EQ$99,$B32,7)*IF($W32=1,DH32+ZW32,DH32)=1,IF(AND($E32=2,IF($W32=1,AFL32,IW32)=0),1000000000,IF($V32=1,INDEX('calcA'!$D$130:$EQ$169,$B32,7)+IF(AND($E32=1,IW32=0),25,0),INDEX('calcA'!J$110:J$114,$F32+1)+IF(AND($E32=1,IW32=0),1000,0)+IF($H32=1,INDEX('calcA'!$D$180:$EQ$219,$B32,7)*500,0)-IF(AND('calcA'!I$117=1,UG32&gt;0),300,0)-IF(AND($U32=1,'calcA'!J$117=1,DI32=0),300,0))),1000000000))</f>
        <v/>
      </c>
      <c r="OM32">
        <f>IF($B32=0,1000000000,IF(INDEX('calcA'!$D$60:$EQ$99,$B32,8)*IF($W32=1,DI32+ZX32,DI32)=1,IF(AND($E32=2,IF($W32=1,AFM32,IX32)=0),1000000000,IF($V32=1,INDEX('calcA'!$D$130:$EQ$169,$B32,8)+IF(AND($E32=1,IX32=0),25,0),INDEX('calcA'!K$110:K$114,$F32+1)+IF(AND($E32=1,IX32=0),1000,0)+IF($H32=1,INDEX('calcA'!$D$180:$EQ$219,$B32,8)*500,0)-IF(AND('calcA'!J$117=1,UH32&gt;0),300,0)-IF(AND($U32=1,'calcA'!K$117=1,DJ32=0),300,0))),1000000000))</f>
        <v/>
      </c>
      <c r="ON32">
        <f>IF($B32=0,1000000000,IF(INDEX('calcA'!$D$60:$EQ$99,$B32,9)*IF($W32=1,DJ32+ZY32,DJ32)=1,IF(AND($E32=2,IF($W32=1,AFN32,IY32)=0),1000000000,IF($V32=1,INDEX('calcA'!$D$130:$EQ$169,$B32,9)+IF(AND($E32=1,IY32=0),25,0),INDEX('calcA'!L$110:L$114,$F32+1)+IF(AND($E32=1,IY32=0),1000,0)+IF($H32=1,INDEX('calcA'!$D$180:$EQ$219,$B32,9)*500,0)-IF(AND('calcA'!K$117=1,UI32&gt;0),300,0)-IF(AND($U32=1,'calcA'!L$117=1,DK32=0),300,0))),1000000000))</f>
        <v/>
      </c>
      <c r="OO32">
        <f>IF($B32=0,1000000000,IF(INDEX('calcA'!$D$60:$EQ$99,$B32,10)*IF($W32=1,DK32+ZZ32,DK32)=1,IF(AND($E32=2,IF($W32=1,AFO32,IZ32)=0),1000000000,IF($V32=1,INDEX('calcA'!$D$130:$EQ$169,$B32,10)+IF(AND($E32=1,IZ32=0),25,0),INDEX('calcA'!M$110:M$114,$F32+1)+IF(AND($E32=1,IZ32=0),1000,0)+IF($H32=1,INDEX('calcA'!$D$180:$EQ$219,$B32,10)*500,0)-IF(AND('calcA'!L$117=1,UJ32&gt;0),300,0)-IF(AND($U32=1,'calcA'!M$117=1,DL32=0),300,0))),1000000000))</f>
        <v/>
      </c>
      <c r="OP32">
        <f>IF($B32=0,1000000000,IF(INDEX('calcA'!$D$60:$EQ$99,$B32,11)*IF($W32=1,DL32+AAA32,DL32)=1,IF(AND($E32=2,IF($W32=1,AFP32,JA32)=0),1000000000,IF($V32=1,INDEX('calcA'!$D$130:$EQ$169,$B32,11)+IF(AND($E32=1,JA32=0),25,0),INDEX('calcA'!N$110:N$114,$F32+1)+IF(AND($E32=1,JA32=0),1000,0)+IF($H32=1,INDEX('calcA'!$D$180:$EQ$219,$B32,11)*500,0)-IF(AND('calcA'!M$117=1,UK32&gt;0),300,0)-IF(AND($U32=1,'calcA'!N$117=1,DM32=0),300,0))),1000000000))</f>
        <v/>
      </c>
      <c r="OQ32">
        <f>IF($B32=0,1000000000,IF(INDEX('calcA'!$D$60:$EQ$99,$B32,12)*IF($W32=1,DM32+AAB32,DM32)=1,IF(AND($E32=2,IF($W32=1,AFQ32,JB32)=0),1000000000,IF($V32=1,INDEX('calcA'!$D$130:$EQ$169,$B32,12)+IF(AND($E32=1,JB32=0),25,0),INDEX('calcA'!O$110:O$114,$F32+1)+IF(AND($E32=1,JB32=0),1000,0)+IF($H32=1,INDEX('calcA'!$D$180:$EQ$219,$B32,12)*500,0)-IF(AND('calcA'!N$117=1,UL32&gt;0),300,0)-IF(AND($U32=1,'calcA'!O$117=1,DN32=0),300,0))),1000000000))</f>
        <v/>
      </c>
      <c r="OR32">
        <f>IF($B32=0,1000000000,IF(INDEX('calcA'!$D$60:$EQ$99,$B32,13)*IF($W32=1,DN32+AAC32,DN32)=1,IF(AND($E32=2,IF($W32=1,AFR32,JC32)=0),1000000000,IF($V32=1,INDEX('calcA'!$D$130:$EQ$169,$B32,13)+IF(AND($E32=1,JC32=0),25,0),INDEX('calcA'!P$110:P$114,$F32+1)+IF(AND($E32=1,JC32=0),1000,0)+IF($H32=1,INDEX('calcA'!$D$180:$EQ$219,$B32,13)*500,0)-IF(AND('calcA'!O$117=1,UM32&gt;0),300,0)-IF(AND($U32=1,'calcA'!P$117=1,DO32=0),300,0))),1000000000))</f>
        <v/>
      </c>
      <c r="OS32">
        <f>IF($B32=0,1000000000,IF(INDEX('calcA'!$D$60:$EQ$99,$B32,14)*IF($W32=1,DO32+AAD32,DO32)=1,IF(AND($E32=2,IF($W32=1,AFS32,JD32)=0),1000000000,IF($V32=1,INDEX('calcA'!$D$130:$EQ$169,$B32,14)+IF(AND($E32=1,JD32=0),25,0),INDEX('calcA'!Q$110:Q$114,$F32+1)+IF(AND($E32=1,JD32=0),1000,0)+IF($H32=1,INDEX('calcA'!$D$180:$EQ$219,$B32,14)*500,0)-IF(AND('calcA'!P$117=1,UN32&gt;0),300,0)-IF(AND($U32=1,'calcA'!Q$117=1,DP32=0),300,0))),1000000000))</f>
        <v/>
      </c>
      <c r="OT32">
        <f>IF($B32=0,1000000000,IF(INDEX('calcA'!$D$60:$EQ$99,$B32,15)*IF($W32=1,DP32+AAE32,DP32)=1,IF(AND($E32=2,IF($W32=1,AFT32,JE32)=0),1000000000,IF($V32=1,INDEX('calcA'!$D$130:$EQ$169,$B32,15)+IF(AND($E32=1,JE32=0),25,0),INDEX('calcA'!R$110:R$114,$F32+1)+IF(AND($E32=1,JE32=0),1000,0)+IF($H32=1,INDEX('calcA'!$D$180:$EQ$219,$B32,15)*500,0)-IF(AND('calcA'!Q$117=1,UO32&gt;0),300,0)-IF(AND($U32=1,'calcA'!R$117=1,DQ32=0),300,0))),1000000000))</f>
        <v/>
      </c>
      <c r="OU32">
        <f>IF($B32=0,1000000000,IF(INDEX('calcA'!$D$60:$EQ$99,$B32,16)*IF($W32=1,DQ32+AAF32,DQ32)=1,IF(AND($E32=2,IF($W32=1,AFU32,JF32)=0),1000000000,IF($V32=1,INDEX('calcA'!$D$130:$EQ$169,$B32,16)+IF(AND($E32=1,JF32=0),25,0),INDEX('calcA'!S$110:S$114,$F32+1)+IF(AND($E32=1,JF32=0),1000,0)+IF($H32=1,INDEX('calcA'!$D$180:$EQ$219,$B32,16)*500,0)-IF(AND('calcA'!R$117=1,UP32&gt;0),300,0)-IF(AND($U32=1,'calcA'!S$117=1,DR32=0),300,0))),1000000000))</f>
        <v/>
      </c>
      <c r="OV32">
        <f>IF($B32=0,1000000000,IF(INDEX('calcA'!$D$60:$EQ$99,$B32,17)*IF($W32=1,DR32+AAG32,DR32)=1,IF(AND($E32=2,IF($W32=1,AFV32,JG32)=0),1000000000,IF($V32=1,INDEX('calcA'!$D$130:$EQ$169,$B32,17)+IF(AND($E32=1,JG32=0),25,0),INDEX('calcA'!T$110:T$114,$F32+1)+IF(AND($E32=1,JG32=0),1000,0)+IF($H32=1,INDEX('calcA'!$D$180:$EQ$219,$B32,17)*500,0)-IF(AND('calcA'!S$117=1,UQ32&gt;0),300,0)-IF(AND($U32=1,'calcA'!T$117=1,DS32=0),300,0))),1000000000))</f>
        <v/>
      </c>
      <c r="OW32">
        <f>IF($B32=0,1000000000,IF(INDEX('calcA'!$D$60:$EQ$99,$B32,18)*IF($W32=1,DS32+AAH32,DS32)=1,IF(AND($E32=2,IF($W32=1,AFW32,JH32)=0),1000000000,IF($V32=1,INDEX('calcA'!$D$130:$EQ$169,$B32,18)+IF(AND($E32=1,JH32=0),25,0),INDEX('calcA'!U$110:U$114,$F32+1)+IF(AND($E32=1,JH32=0),1000,0)+IF($H32=1,INDEX('calcA'!$D$180:$EQ$219,$B32,18)*500,0)-IF(AND('calcA'!T$117=1,UR32&gt;0),300,0)-IF(AND($U32=1,'calcA'!U$117=1,DT32=0),300,0))),1000000000))</f>
        <v/>
      </c>
      <c r="OX32">
        <f>IF($B32=0,1000000000,IF(INDEX('calcA'!$D$60:$EQ$99,$B32,19)*IF($W32=1,DT32+AAI32,DT32)=1,IF(AND($E32=2,IF($W32=1,AFX32,JI32)=0),1000000000,IF($V32=1,INDEX('calcA'!$D$130:$EQ$169,$B32,19)+IF(AND($E32=1,JI32=0),25,0),INDEX('calcA'!V$110:V$114,$F32+1)+IF(AND($E32=1,JI32=0),1000,0)+IF($H32=1,INDEX('calcA'!$D$180:$EQ$219,$B32,19)*500,0)-IF(AND('calcA'!U$117=1,US32&gt;0),300,0)-IF(AND($U32=1,'calcA'!V$117=1,DU32=0),300,0))),1000000000))</f>
        <v/>
      </c>
      <c r="OY32">
        <f>IF($B32=0,1000000000,IF(INDEX('calcA'!$D$60:$EQ$99,$B32,20)*IF($W32=1,DU32+AAJ32,DU32)=1,IF(AND($E32=2,IF($W32=1,AFY32,JJ32)=0),1000000000,IF($V32=1,INDEX('calcA'!$D$130:$EQ$169,$B32,20)+IF(AND($E32=1,JJ32=0),25,0),INDEX('calcA'!W$110:W$114,$F32+1)+IF(AND($E32=1,JJ32=0),1000,0)+IF($H32=1,INDEX('calcA'!$D$180:$EQ$219,$B32,20)*500,0)-IF(AND('calcA'!V$117=1,UT32&gt;0),300,0)-IF(AND($U32=1,'calcA'!W$117=1,DV32=0),300,0))),1000000000))</f>
        <v/>
      </c>
      <c r="OZ32">
        <f>IF($B32=0,1000000000,IF(INDEX('calcA'!$D$60:$EQ$99,$B32,21)*IF($W32=1,DV32+AAK32,DV32)=1,IF(AND($E32=2,IF($W32=1,AFZ32,JK32)=0),1000000000,IF($V32=1,INDEX('calcA'!$D$130:$EQ$169,$B32,21)+IF(AND($E32=1,JK32=0),25,0),INDEX('calcA'!X$110:X$114,$F32+1)+IF(AND($E32=1,JK32=0),1000,0)+IF($H32=1,INDEX('calcA'!$D$180:$EQ$219,$B32,21)*500,0)-IF(AND('calcA'!W$117=1,UU32&gt;0),300,0)-IF(AND($U32=1,'calcA'!X$117=1,DW32=0),300,0))),1000000000))</f>
        <v/>
      </c>
      <c r="PA32">
        <f>IF($B32=0,1000000000,IF(INDEX('calcA'!$D$60:$EQ$99,$B32,22)*IF($W32=1,DW32+AAL32,DW32)=1,IF(AND($E32=2,IF($W32=1,AGA32,JL32)=0),1000000000,IF($V32=1,INDEX('calcA'!$D$130:$EQ$169,$B32,22)+IF(AND($E32=1,JL32=0),25,0),INDEX('calcA'!Y$110:Y$114,$F32+1)+IF(AND($E32=1,JL32=0),1000,0)+IF($H32=1,INDEX('calcA'!$D$180:$EQ$219,$B32,22)*500,0)-IF(AND('calcA'!X$117=1,UV32&gt;0),300,0)-IF(AND($U32=1,'calcA'!Y$117=1,DX32=0),300,0))),1000000000))</f>
        <v/>
      </c>
      <c r="PB32">
        <f>IF($B32=0,1000000000,IF(INDEX('calcA'!$D$60:$EQ$99,$B32,23)*IF($W32=1,DX32+AAM32,DX32)=1,IF(AND($E32=2,IF($W32=1,AGB32,JM32)=0),1000000000,IF($V32=1,INDEX('calcA'!$D$130:$EQ$169,$B32,23)+IF(AND($E32=1,JM32=0),25,0),INDEX('calcA'!Z$110:Z$114,$F32+1)+IF(AND($E32=1,JM32=0),1000,0)+IF($H32=1,INDEX('calcA'!$D$180:$EQ$219,$B32,23)*500,0)-IF(AND('calcA'!Y$117=1,UW32&gt;0),300,0)-IF(AND($U32=1,'calcA'!Z$117=1,DY32=0),300,0))),1000000000))</f>
        <v/>
      </c>
      <c r="PC32">
        <f>IF($B32=0,1000000000,IF(INDEX('calcA'!$D$60:$EQ$99,$B32,24)*IF($W32=1,DY32+AAN32,DY32)=1,IF(AND($E32=2,IF($W32=1,AGC32,JN32)=0),1000000000,IF($V32=1,INDEX('calcA'!$D$130:$EQ$169,$B32,24)+IF(AND($E32=1,JN32=0),25,0),INDEX('calcA'!AA$110:AA$114,$F32+1)+IF(AND($E32=1,JN32=0),1000,0)+IF($H32=1,INDEX('calcA'!$D$180:$EQ$219,$B32,24)*500,0)-IF(AND('calcA'!Z$117=1,UX32&gt;0),300,0))),1000000000))</f>
        <v/>
      </c>
      <c r="PD32">
        <f>IF($B32=0,1000000000,IF(INDEX('calcA'!$D$60:$EQ$99,$B32,25)*IF($W32=1,DZ32+AAO32,DZ32)=1,IF(AND($E32=2,IF($W32=1,AGD32,JO32)=0),1000000000,IF($V32=1,INDEX('calcA'!$D$130:$EQ$169,$B32,25)+IF(AND($E32=1,JO32=0),25,0),INDEX('calcA'!AB$110:AB$114,$F32+1)+IF(AND($E32=1,JO32=0),1000,0)+IF($H32=1,INDEX('calcA'!$D$180:$EQ$219,$B32,25)*500,0)-IF(AND($U32=1,'calcA'!AB$117=1,EA32=0),300,0))),1000000000))</f>
        <v/>
      </c>
      <c r="PE32">
        <f>IF($B32=0,1000000000,IF(INDEX('calcA'!$D$60:$EQ$99,$B32,26)*IF($W32=1,EA32+AAP32,EA32)=1,IF(AND($E32=2,IF($W32=1,AGE32,JP32)=0),1000000000,IF($V32=1,INDEX('calcA'!$D$130:$EQ$169,$B32,26)+IF(AND($E32=1,JP32=0),25,0),INDEX('calcA'!AC$110:AC$114,$F32+1)+IF(AND($E32=1,JP32=0),1000,0)+IF($H32=1,INDEX('calcA'!$D$180:$EQ$219,$B32,26)*500,0)-IF(AND('calcA'!AB$117=1,UZ32&gt;0),300,0)-IF(AND($U32=1,'calcA'!AC$117=1,EB32=0),300,0))),1000000000))</f>
        <v/>
      </c>
      <c r="PF32">
        <f>IF($B32=0,1000000000,IF(INDEX('calcA'!$D$60:$EQ$99,$B32,27)*IF($W32=1,EB32+AAQ32,EB32)=1,IF(AND($E32=2,IF($W32=1,AGF32,JQ32)=0),1000000000,IF($V32=1,INDEX('calcA'!$D$130:$EQ$169,$B32,27)+IF(AND($E32=1,JQ32=0),25,0),INDEX('calcA'!AD$110:AD$114,$F32+1)+IF(AND($E32=1,JQ32=0),1000,0)+IF($H32=1,INDEX('calcA'!$D$180:$EQ$219,$B32,27)*500,0)-IF(AND('calcA'!AC$117=1,VA32&gt;0),300,0)-IF(AND($U32=1,'calcA'!AD$117=1,EC32=0),300,0))),1000000000))</f>
        <v/>
      </c>
      <c r="PG32">
        <f>IF($B32=0,1000000000,IF(INDEX('calcA'!$D$60:$EQ$99,$B32,28)*IF($W32=1,EC32+AAR32,EC32)=1,IF(AND($E32=2,IF($W32=1,AGG32,JR32)=0),1000000000,IF($V32=1,INDEX('calcA'!$D$130:$EQ$169,$B32,28)+IF(AND($E32=1,JR32=0),25,0),INDEX('calcA'!AE$110:AE$114,$F32+1)+IF(AND($E32=1,JR32=0),1000,0)+IF($H32=1,INDEX('calcA'!$D$180:$EQ$219,$B32,28)*500,0)-IF(AND('calcA'!AD$117=1,VB32&gt;0),300,0)-IF(AND($U32=1,'calcA'!AE$117=1,ED32=0),300,0))),1000000000))</f>
        <v/>
      </c>
      <c r="PH32">
        <f>IF($B32=0,1000000000,IF(INDEX('calcA'!$D$60:$EQ$99,$B32,29)*IF($W32=1,ED32+AAS32,ED32)=1,IF(AND($E32=2,IF($W32=1,AGH32,JS32)=0),1000000000,IF($V32=1,INDEX('calcA'!$D$130:$EQ$169,$B32,29)+IF(AND($E32=1,JS32=0),25,0),INDEX('calcA'!AF$110:AF$114,$F32+1)+IF(AND($E32=1,JS32=0),1000,0)+IF($H32=1,INDEX('calcA'!$D$180:$EQ$219,$B32,29)*500,0)-IF(AND('calcA'!AE$117=1,VC32&gt;0),300,0)-IF(AND($U32=1,'calcA'!AF$117=1,EE32=0),300,0))),1000000000))</f>
        <v/>
      </c>
      <c r="PI32">
        <f>IF($B32=0,1000000000,IF(INDEX('calcA'!$D$60:$EQ$99,$B32,30)*IF($W32=1,EE32+AAT32,EE32)=1,IF(AND($E32=2,IF($W32=1,AGI32,JT32)=0),1000000000,IF($V32=1,INDEX('calcA'!$D$130:$EQ$169,$B32,30)+IF(AND($E32=1,JT32=0),25,0),INDEX('calcA'!AG$110:AG$114,$F32+1)+IF(AND($E32=1,JT32=0),1000,0)+IF($H32=1,INDEX('calcA'!$D$180:$EQ$219,$B32,30)*500,0)-IF(AND('calcA'!AF$117=1,VD32&gt;0),300,0)-IF(AND($U32=1,'calcA'!AG$117=1,EF32=0),300,0))),1000000000))</f>
        <v/>
      </c>
      <c r="PJ32">
        <f>IF($B32=0,1000000000,IF(INDEX('calcA'!$D$60:$EQ$99,$B32,31)*IF($W32=1,EF32+AAU32,EF32)=1,IF(AND($E32=2,IF($W32=1,AGJ32,JU32)=0),1000000000,IF($V32=1,INDEX('calcA'!$D$130:$EQ$169,$B32,31)+IF(AND($E32=1,JU32=0),25,0),INDEX('calcA'!AH$110:AH$114,$F32+1)+IF(AND($E32=1,JU32=0),1000,0)+IF($H32=1,INDEX('calcA'!$D$180:$EQ$219,$B32,31)*500,0)-IF(AND('calcA'!AG$117=1,VE32&gt;0),300,0)-IF(AND($U32=1,'calcA'!AH$117=1,EG32=0),300,0))),1000000000))</f>
        <v/>
      </c>
      <c r="PK32">
        <f>IF($B32=0,1000000000,IF(INDEX('calcA'!$D$60:$EQ$99,$B32,32)*IF($W32=1,EG32+AAV32,EG32)=1,IF(AND($E32=2,IF($W32=1,AGK32,JV32)=0),1000000000,IF($V32=1,INDEX('calcA'!$D$130:$EQ$169,$B32,32)+IF(AND($E32=1,JV32=0),25,0),INDEX('calcA'!AI$110:AI$114,$F32+1)+IF(AND($E32=1,JV32=0),1000,0)+IF($H32=1,INDEX('calcA'!$D$180:$EQ$219,$B32,32)*500,0)-IF(AND('calcA'!AH$117=1,VF32&gt;0),300,0)-IF(AND($U32=1,'calcA'!AI$117=1,EH32=0),300,0))),1000000000))</f>
        <v/>
      </c>
      <c r="PL32">
        <f>IF($B32=0,1000000000,IF(INDEX('calcA'!$D$60:$EQ$99,$B32,33)*IF($W32=1,EH32+AAW32,EH32)=1,IF(AND($E32=2,IF($W32=1,AGL32,JW32)=0),1000000000,IF($V32=1,INDEX('calcA'!$D$130:$EQ$169,$B32,33)+IF(AND($E32=1,JW32=0),25,0),INDEX('calcA'!AJ$110:AJ$114,$F32+1)+IF(AND($E32=1,JW32=0),1000,0)+IF($H32=1,INDEX('calcA'!$D$180:$EQ$219,$B32,33)*500,0)-IF(AND('calcA'!AI$117=1,VG32&gt;0),300,0)-IF(AND($U32=1,'calcA'!AJ$117=1,EI32=0),300,0))),1000000000))</f>
        <v/>
      </c>
      <c r="PM32">
        <f>IF($B32=0,1000000000,IF(INDEX('calcA'!$D$60:$EQ$99,$B32,34)*IF($W32=1,EI32+AAX32,EI32)=1,IF(AND($E32=2,IF($W32=1,AGM32,JX32)=0),1000000000,IF($V32=1,INDEX('calcA'!$D$130:$EQ$169,$B32,34)+IF(AND($E32=1,JX32=0),25,0),INDEX('calcA'!AK$110:AK$114,$F32+1)+IF(AND($E32=1,JX32=0),1000,0)+IF($H32=1,INDEX('calcA'!$D$180:$EQ$219,$B32,34)*500,0)-IF(AND('calcA'!AJ$117=1,VH32&gt;0),300,0)-IF(AND($U32=1,'calcA'!AK$117=1,EJ32=0),300,0))),1000000000))</f>
        <v/>
      </c>
      <c r="PN32">
        <f>IF($B32=0,1000000000,IF(INDEX('calcA'!$D$60:$EQ$99,$B32,35)*IF($W32=1,EJ32+AAY32,EJ32)=1,IF(AND($E32=2,IF($W32=1,AGN32,JY32)=0),1000000000,IF($V32=1,INDEX('calcA'!$D$130:$EQ$169,$B32,35)+IF(AND($E32=1,JY32=0),25,0),INDEX('calcA'!AL$110:AL$114,$F32+1)+IF(AND($E32=1,JY32=0),1000,0)+IF($H32=1,INDEX('calcA'!$D$180:$EQ$219,$B32,35)*500,0)-IF(AND('calcA'!AK$117=1,VI32&gt;0),300,0)-IF(AND($U32=1,'calcA'!AL$117=1,EK32=0),300,0))),1000000000))</f>
        <v/>
      </c>
      <c r="PO32">
        <f>IF($B32=0,1000000000,IF(INDEX('calcA'!$D$60:$EQ$99,$B32,36)*IF($W32=1,EK32+AAZ32,EK32)=1,IF(AND($E32=2,IF($W32=1,AGO32,JZ32)=0),1000000000,IF($V32=1,INDEX('calcA'!$D$130:$EQ$169,$B32,36)+IF(AND($E32=1,JZ32=0),25,0),INDEX('calcA'!AM$110:AM$114,$F32+1)+IF(AND($E32=1,JZ32=0),1000,0)+IF($H32=1,INDEX('calcA'!$D$180:$EQ$219,$B32,36)*500,0)-IF(AND('calcA'!AL$117=1,VJ32&gt;0),300,0)-IF(AND($U32=1,'calcA'!AM$117=1,EL32=0),300,0))),1000000000))</f>
        <v/>
      </c>
      <c r="PP32">
        <f>IF($B32=0,1000000000,IF(INDEX('calcA'!$D$60:$EQ$99,$B32,37)*IF($W32=1,EL32+ABA32,EL32)=1,IF(AND($E32=2,IF($W32=1,AGP32,KA32)=0),1000000000,IF($V32=1,INDEX('calcA'!$D$130:$EQ$169,$B32,37)+IF(AND($E32=1,KA32=0),25,0),INDEX('calcA'!AN$110:AN$114,$F32+1)+IF(AND($E32=1,KA32=0),1000,0)+IF($H32=1,INDEX('calcA'!$D$180:$EQ$219,$B32,37)*500,0)-IF(AND('calcA'!AM$117=1,VK32&gt;0),300,0)-IF(AND($U32=1,'calcA'!AN$117=1,EM32=0),300,0))),1000000000))</f>
        <v/>
      </c>
      <c r="PQ32">
        <f>IF($B32=0,1000000000,IF(INDEX('calcA'!$D$60:$EQ$99,$B32,38)*IF($W32=1,EM32+ABB32,EM32)=1,IF(AND($E32=2,IF($W32=1,AGQ32,KB32)=0),1000000000,IF($V32=1,INDEX('calcA'!$D$130:$EQ$169,$B32,38)+IF(AND($E32=1,KB32=0),25,0),INDEX('calcA'!AO$110:AO$114,$F32+1)+IF(AND($E32=1,KB32=0),1000,0)+IF($H32=1,INDEX('calcA'!$D$180:$EQ$219,$B32,38)*500,0)-IF(AND('calcA'!AN$117=1,VL32&gt;0),300,0)-IF(AND($U32=1,'calcA'!AO$117=1,EN32=0),300,0))),1000000000))</f>
        <v/>
      </c>
      <c r="PR32">
        <f>IF($B32=0,1000000000,IF(INDEX('calcA'!$D$60:$EQ$99,$B32,39)*IF($W32=1,EN32+ABC32,EN32)=1,IF(AND($E32=2,IF($W32=1,AGR32,KC32)=0),1000000000,IF($V32=1,INDEX('calcA'!$D$130:$EQ$169,$B32,39)+IF(AND($E32=1,KC32=0),25,0),INDEX('calcA'!AP$110:AP$114,$F32+1)+IF(AND($E32=1,KC32=0),1000,0)+IF($H32=1,INDEX('calcA'!$D$180:$EQ$219,$B32,39)*500,0)-IF(AND('calcA'!AO$117=1,VM32&gt;0),300,0)-IF(AND($U32=1,'calcA'!AP$117=1,EO32=0),300,0))),1000000000))</f>
        <v/>
      </c>
      <c r="PS32">
        <f>IF($B32=0,1000000000,IF(INDEX('calcA'!$D$60:$EQ$99,$B32,40)*IF($W32=1,EO32+ABD32,EO32)=1,IF(AND($E32=2,IF($W32=1,AGS32,KD32)=0),1000000000,IF($V32=1,INDEX('calcA'!$D$130:$EQ$169,$B32,40)+IF(AND($E32=1,KD32=0),25,0),INDEX('calcA'!AQ$110:AQ$114,$F32+1)+IF(AND($E32=1,KD32=0),1000,0)+IF($H32=1,INDEX('calcA'!$D$180:$EQ$219,$B32,40)*500,0)-IF(AND('calcA'!AP$117=1,VN32&gt;0),300,0)-IF(AND($U32=1,'calcA'!AQ$117=1,EP32=0),300,0))),1000000000))</f>
        <v/>
      </c>
      <c r="PT32">
        <f>IF($B32=0,1000000000,IF(INDEX('calcA'!$D$60:$EQ$99,$B32,41)*IF($W32=1,EP32+ABE32,EP32)=1,IF(AND($E32=2,IF($W32=1,AGT32,KE32)=0),1000000000,IF($V32=1,INDEX('calcA'!$D$130:$EQ$169,$B32,41)+IF(AND($E32=1,KE32=0),25,0),INDEX('calcA'!AR$110:AR$114,$F32+1)+IF(AND($E32=1,KE32=0),1000,0)+IF($H32=1,INDEX('calcA'!$D$180:$EQ$219,$B32,41)*500,0)-IF(AND('calcA'!AQ$117=1,VO32&gt;0),300,0)-IF(AND($U32=1,'calcA'!AR$117=1,EQ32=0),300,0))),1000000000))</f>
        <v/>
      </c>
      <c r="PU32">
        <f>IF($B32=0,1000000000,IF(INDEX('calcA'!$D$60:$EQ$99,$B32,42)*IF($W32=1,EQ32+ABF32,EQ32)=1,IF(AND($E32=2,IF($W32=1,AGU32,KF32)=0),1000000000,IF($V32=1,INDEX('calcA'!$D$130:$EQ$169,$B32,42)+IF(AND($E32=1,KF32=0),25,0),INDEX('calcA'!AS$110:AS$114,$F32+1)+IF(AND($E32=1,KF32=0),1000,0)+IF($H32=1,INDEX('calcA'!$D$180:$EQ$219,$B32,42)*500,0)-IF(AND('calcA'!AR$117=1,VP32&gt;0),300,0)-IF(AND($U32=1,'calcA'!AS$117=1,ER32=0),300,0))),1000000000))</f>
        <v/>
      </c>
      <c r="PV32">
        <f>IF($B32=0,1000000000,IF(INDEX('calcA'!$D$60:$EQ$99,$B32,43)*IF($W32=1,ER32+ABG32,ER32)=1,IF(AND($E32=2,IF($W32=1,AGV32,KG32)=0),1000000000,IF($V32=1,INDEX('calcA'!$D$130:$EQ$169,$B32,43)+IF(AND($E32=1,KG32=0),25,0),INDEX('calcA'!AT$110:AT$114,$F32+1)+IF(AND($E32=1,KG32=0),1000,0)+IF($H32=1,INDEX('calcA'!$D$180:$EQ$219,$B32,43)*500,0)-IF(AND('calcA'!AS$117=1,VQ32&gt;0),300,0)-IF(AND($U32=1,'calcA'!AT$117=1,ES32=0),300,0))),1000000000))</f>
        <v/>
      </c>
      <c r="PW32">
        <f>IF($B32=0,1000000000,IF(INDEX('calcA'!$D$60:$EQ$99,$B32,44)*IF($W32=1,ES32+ABH32,ES32)=1,IF(AND($E32=2,IF($W32=1,AGW32,KH32)=0),1000000000,IF($V32=1,INDEX('calcA'!$D$130:$EQ$169,$B32,44)+IF(AND($E32=1,KH32=0),25,0),INDEX('calcA'!AU$110:AU$114,$F32+1)+IF(AND($E32=1,KH32=0),1000,0)+IF($H32=1,INDEX('calcA'!$D$180:$EQ$219,$B32,44)*500,0)-IF(AND('calcA'!AT$117=1,VR32&gt;0),300,0)-IF(AND($U32=1,'calcA'!AU$117=1,ET32=0),300,0))),1000000000))</f>
        <v/>
      </c>
      <c r="PX32">
        <f>IF($B32=0,1000000000,IF(INDEX('calcA'!$D$60:$EQ$99,$B32,45)*IF($W32=1,ET32+ABI32,ET32)=1,IF(AND($E32=2,IF($W32=1,AGX32,KI32)=0),1000000000,IF($V32=1,INDEX('calcA'!$D$130:$EQ$169,$B32,45)+IF(AND($E32=1,KI32=0),25,0),INDEX('calcA'!AV$110:AV$114,$F32+1)+IF(AND($E32=1,KI32=0),1000,0)+IF($H32=1,INDEX('calcA'!$D$180:$EQ$219,$B32,45)*500,0)-IF(AND('calcA'!AU$117=1,VS32&gt;0),300,0)-IF(AND($U32=1,'calcA'!AV$117=1,EU32=0),300,0))),1000000000))</f>
        <v/>
      </c>
      <c r="PY32">
        <f>IF($B32=0,1000000000,IF(INDEX('calcA'!$D$60:$EQ$99,$B32,46)*IF($W32=1,EU32+ABJ32,EU32)=1,IF(AND($E32=2,IF($W32=1,AGY32,KJ32)=0),1000000000,IF($V32=1,INDEX('calcA'!$D$130:$EQ$169,$B32,46)+IF(AND($E32=1,KJ32=0),25,0),INDEX('calcA'!AW$110:AW$114,$F32+1)+IF(AND($E32=1,KJ32=0),1000,0)+IF($H32=1,INDEX('calcA'!$D$180:$EQ$219,$B32,46)*500,0)-IF(AND('calcA'!AV$117=1,VT32&gt;0),300,0)-IF(AND($U32=1,'calcA'!AW$117=1,EV32=0),300,0))),1000000000))</f>
        <v/>
      </c>
      <c r="PZ32">
        <f>IF($B32=0,1000000000,IF(INDEX('calcA'!$D$60:$EQ$99,$B32,47)*IF($W32=1,EV32+ABK32,EV32)=1,IF(AND($E32=2,IF($W32=1,AGZ32,KK32)=0),1000000000,IF($V32=1,INDEX('calcA'!$D$130:$EQ$169,$B32,47)+IF(AND($E32=1,KK32=0),25,0),INDEX('calcA'!AX$110:AX$114,$F32+1)+IF(AND($E32=1,KK32=0),1000,0)+IF($H32=1,INDEX('calcA'!$D$180:$EQ$219,$B32,47)*500,0)-IF(AND('calcA'!AW$117=1,VU32&gt;0),300,0)-IF(AND($U32=1,'calcA'!AX$117=1,EW32=0),300,0))),1000000000))</f>
        <v/>
      </c>
      <c r="QA32">
        <f>IF($B32=0,1000000000,IF(INDEX('calcA'!$D$60:$EQ$99,$B32,48)*IF($W32=1,EW32+ABL32,EW32)=1,IF(AND($E32=2,IF($W32=1,AHA32,KL32)=0),1000000000,IF($V32=1,INDEX('calcA'!$D$130:$EQ$169,$B32,48)+IF(AND($E32=1,KL32=0),25,0),INDEX('calcA'!AY$110:AY$114,$F32+1)+IF(AND($E32=1,KL32=0),1000,0)+IF($H32=1,INDEX('calcA'!$D$180:$EQ$219,$B32,48)*500,0)-IF(AND('calcA'!AX$117=1,VV32&gt;0),300,0))),1000000000))</f>
        <v/>
      </c>
      <c r="QB32">
        <f>IF($B32=0,1000000000,IF(INDEX('calcA'!$D$60:$EQ$99,$B32,49)*IF($W32=1,EX32+ABM32,EX32)=1,IF(AND($E32=2,IF($W32=1,AHB32,KM32)=0),1000000000,IF($V32=1,INDEX('calcA'!$D$130:$EQ$169,$B32,49)+IF(AND($E32=1,KM32=0),25,0),INDEX('calcA'!AZ$110:AZ$114,$F32+1)+IF(AND($E32=1,KM32=0),1000,0)+IF($H32=1,INDEX('calcA'!$D$180:$EQ$219,$B32,49)*500,0)-IF(AND($U32=1,'calcA'!AZ$117=1,EY32=0),300,0))),1000000000))</f>
        <v/>
      </c>
      <c r="QC32">
        <f>IF($B32=0,1000000000,IF(INDEX('calcA'!$D$60:$EQ$99,$B32,50)*IF($W32=1,EY32+ABN32,EY32)=1,IF(AND($E32=2,IF($W32=1,AHC32,KN32)=0),1000000000,IF($V32=1,INDEX('calcA'!$D$130:$EQ$169,$B32,50)+IF(AND($E32=1,KN32=0),25,0),INDEX('calcA'!BA$110:BA$114,$F32+1)+IF(AND($E32=1,KN32=0),1000,0)+IF($H32=1,INDEX('calcA'!$D$180:$EQ$219,$B32,50)*500,0)-IF(AND('calcA'!AZ$117=1,VX32&gt;0),300,0)-IF(AND($U32=1,'calcA'!BA$117=1,EZ32=0),300,0))),1000000000))</f>
        <v/>
      </c>
      <c r="QD32">
        <f>IF($B32=0,1000000000,IF(INDEX('calcA'!$D$60:$EQ$99,$B32,51)*IF($W32=1,EZ32+ABO32,EZ32)=1,IF(AND($E32=2,IF($W32=1,AHD32,KO32)=0),1000000000,IF($V32=1,INDEX('calcA'!$D$130:$EQ$169,$B32,51)+IF(AND($E32=1,KO32=0),25,0),INDEX('calcA'!BB$110:BB$114,$F32+1)+IF(AND($E32=1,KO32=0),1000,0)+IF($H32=1,INDEX('calcA'!$D$180:$EQ$219,$B32,51)*500,0)-IF(AND('calcA'!BA$117=1,VY32&gt;0),300,0)-IF(AND($U32=1,'calcA'!BB$117=1,FA32=0),300,0))),1000000000))</f>
        <v/>
      </c>
      <c r="QE32">
        <f>IF($B32=0,1000000000,IF(INDEX('calcA'!$D$60:$EQ$99,$B32,52)*IF($W32=1,FA32+ABP32,FA32)=1,IF(AND($E32=2,IF($W32=1,AHE32,KP32)=0),1000000000,IF($V32=1,INDEX('calcA'!$D$130:$EQ$169,$B32,52)+IF(AND($E32=1,KP32=0),25,0),INDEX('calcA'!BC$110:BC$114,$F32+1)+IF(AND($E32=1,KP32=0),1000,0)+IF($H32=1,INDEX('calcA'!$D$180:$EQ$219,$B32,52)*500,0)-IF(AND('calcA'!BB$117=1,VZ32&gt;0),300,0)-IF(AND($U32=1,'calcA'!BC$117=1,FB32=0),300,0))),1000000000))</f>
        <v/>
      </c>
      <c r="QF32">
        <f>IF($B32=0,1000000000,IF(INDEX('calcA'!$D$60:$EQ$99,$B32,53)*IF($W32=1,FB32+ABQ32,FB32)=1,IF(AND($E32=2,IF($W32=1,AHF32,KQ32)=0),1000000000,IF($V32=1,INDEX('calcA'!$D$130:$EQ$169,$B32,53)+IF(AND($E32=1,KQ32=0),25,0),INDEX('calcA'!BD$110:BD$114,$F32+1)+IF(AND($E32=1,KQ32=0),1000,0)+IF($H32=1,INDEX('calcA'!$D$180:$EQ$219,$B32,53)*500,0)-IF(AND('calcA'!BC$117=1,WA32&gt;0),300,0)-IF(AND($U32=1,'calcA'!BD$117=1,FC32=0),300,0))),1000000000))</f>
        <v/>
      </c>
      <c r="QG32">
        <f>IF($B32=0,1000000000,IF(INDEX('calcA'!$D$60:$EQ$99,$B32,54)*IF($W32=1,FC32+ABR32,FC32)=1,IF(AND($E32=2,IF($W32=1,AHG32,KR32)=0),1000000000,IF($V32=1,INDEX('calcA'!$D$130:$EQ$169,$B32,54)+IF(AND($E32=1,KR32=0),25,0),INDEX('calcA'!BE$110:BE$114,$F32+1)+IF(AND($E32=1,KR32=0),1000,0)+IF($H32=1,INDEX('calcA'!$D$180:$EQ$219,$B32,54)*500,0)-IF(AND('calcA'!BD$117=1,WB32&gt;0),300,0)-IF(AND($U32=1,'calcA'!BE$117=1,FD32=0),300,0))),1000000000))</f>
        <v/>
      </c>
      <c r="QH32">
        <f>IF($B32=0,1000000000,IF(INDEX('calcA'!$D$60:$EQ$99,$B32,55)*IF($W32=1,FD32+ABS32,FD32)=1,IF(AND($E32=2,IF($W32=1,AHH32,KS32)=0),1000000000,IF($V32=1,INDEX('calcA'!$D$130:$EQ$169,$B32,55)+IF(AND($E32=1,KS32=0),25,0),INDEX('calcA'!BF$110:BF$114,$F32+1)+IF(AND($E32=1,KS32=0),1000,0)+IF($H32=1,INDEX('calcA'!$D$180:$EQ$219,$B32,55)*500,0)-IF(AND('calcA'!BE$117=1,WC32&gt;0),300,0)-IF(AND($U32=1,'calcA'!BF$117=1,FE32=0),300,0))),1000000000))</f>
        <v/>
      </c>
      <c r="QI32">
        <f>IF($B32=0,1000000000,IF(INDEX('calcA'!$D$60:$EQ$99,$B32,56)*IF($W32=1,FE32+ABT32,FE32)=1,IF(AND($E32=2,IF($W32=1,AHI32,KT32)=0),1000000000,IF($V32=1,INDEX('calcA'!$D$130:$EQ$169,$B32,56)+IF(AND($E32=1,KT32=0),25,0),INDEX('calcA'!BG$110:BG$114,$F32+1)+IF(AND($E32=1,KT32=0),1000,0)+IF($H32=1,INDEX('calcA'!$D$180:$EQ$219,$B32,56)*500,0)-IF(AND('calcA'!BF$117=1,WD32&gt;0),300,0)-IF(AND($U32=1,'calcA'!BG$117=1,FF32=0),300,0))),1000000000))</f>
        <v/>
      </c>
      <c r="QJ32">
        <f>IF($B32=0,1000000000,IF(INDEX('calcA'!$D$60:$EQ$99,$B32,57)*IF($W32=1,FF32+ABU32,FF32)=1,IF(AND($E32=2,IF($W32=1,AHJ32,KU32)=0),1000000000,IF($V32=1,INDEX('calcA'!$D$130:$EQ$169,$B32,57)+IF(AND($E32=1,KU32=0),25,0),INDEX('calcA'!BH$110:BH$114,$F32+1)+IF(AND($E32=1,KU32=0),1000,0)+IF($H32=1,INDEX('calcA'!$D$180:$EQ$219,$B32,57)*500,0)-IF(AND('calcA'!BG$117=1,WE32&gt;0),300,0)-IF(AND($U32=1,'calcA'!BH$117=1,FG32=0),300,0))),1000000000))</f>
        <v/>
      </c>
      <c r="QK32">
        <f>IF($B32=0,1000000000,IF(INDEX('calcA'!$D$60:$EQ$99,$B32,58)*IF($W32=1,FG32+ABV32,FG32)=1,IF(AND($E32=2,IF($W32=1,AHK32,KV32)=0),1000000000,IF($V32=1,INDEX('calcA'!$D$130:$EQ$169,$B32,58)+IF(AND($E32=1,KV32=0),25,0),INDEX('calcA'!BI$110:BI$114,$F32+1)+IF(AND($E32=1,KV32=0),1000,0)+IF($H32=1,INDEX('calcA'!$D$180:$EQ$219,$B32,58)*500,0)-IF(AND('calcA'!BH$117=1,WF32&gt;0),300,0)-IF(AND($U32=1,'calcA'!BI$117=1,FH32=0),300,0))),1000000000))</f>
        <v/>
      </c>
      <c r="QL32">
        <f>IF($B32=0,1000000000,IF(INDEX('calcA'!$D$60:$EQ$99,$B32,59)*IF($W32=1,FH32+ABW32,FH32)=1,IF(AND($E32=2,IF($W32=1,AHL32,KW32)=0),1000000000,IF($V32=1,INDEX('calcA'!$D$130:$EQ$169,$B32,59)+IF(AND($E32=1,KW32=0),25,0),INDEX('calcA'!BJ$110:BJ$114,$F32+1)+IF(AND($E32=1,KW32=0),1000,0)+IF($H32=1,INDEX('calcA'!$D$180:$EQ$219,$B32,59)*500,0)-IF(AND('calcA'!BI$117=1,WG32&gt;0),300,0)-IF(AND($U32=1,'calcA'!BJ$117=1,FI32=0),300,0))),1000000000))</f>
        <v/>
      </c>
      <c r="QM32">
        <f>IF($B32=0,1000000000,IF(INDEX('calcA'!$D$60:$EQ$99,$B32,60)*IF($W32=1,FI32+ABX32,FI32)=1,IF(AND($E32=2,IF($W32=1,AHM32,KX32)=0),1000000000,IF($V32=1,INDEX('calcA'!$D$130:$EQ$169,$B32,60)+IF(AND($E32=1,KX32=0),25,0),INDEX('calcA'!BK$110:BK$114,$F32+1)+IF(AND($E32=1,KX32=0),1000,0)+IF($H32=1,INDEX('calcA'!$D$180:$EQ$219,$B32,60)*500,0)-IF(AND('calcA'!BJ$117=1,WH32&gt;0),300,0)-IF(AND($U32=1,'calcA'!BK$117=1,FJ32=0),300,0))),1000000000))</f>
        <v/>
      </c>
      <c r="QN32">
        <f>IF($B32=0,1000000000,IF(INDEX('calcA'!$D$60:$EQ$99,$B32,61)*IF($W32=1,FJ32+ABY32,FJ32)=1,IF(AND($E32=2,IF($W32=1,AHN32,KY32)=0),1000000000,IF($V32=1,INDEX('calcA'!$D$130:$EQ$169,$B32,61)+IF(AND($E32=1,KY32=0),25,0),INDEX('calcA'!BL$110:BL$114,$F32+1)+IF(AND($E32=1,KY32=0),1000,0)+IF($H32=1,INDEX('calcA'!$D$180:$EQ$219,$B32,61)*500,0)-IF(AND('calcA'!BK$117=1,WI32&gt;0),300,0)-IF(AND($U32=1,'calcA'!BL$117=1,FK32=0),300,0))),1000000000))</f>
        <v/>
      </c>
      <c r="QO32">
        <f>IF($B32=0,1000000000,IF(INDEX('calcA'!$D$60:$EQ$99,$B32,62)*IF($W32=1,FK32+ABZ32,FK32)=1,IF(AND($E32=2,IF($W32=1,AHO32,KZ32)=0),1000000000,IF($V32=1,INDEX('calcA'!$D$130:$EQ$169,$B32,62)+IF(AND($E32=1,KZ32=0),25,0),INDEX('calcA'!BM$110:BM$114,$F32+1)+IF(AND($E32=1,KZ32=0),1000,0)+IF($H32=1,INDEX('calcA'!$D$180:$EQ$219,$B32,62)*500,0)-IF(AND('calcA'!BL$117=1,WJ32&gt;0),300,0)-IF(AND($U32=1,'calcA'!BM$117=1,FL32=0),300,0))),1000000000))</f>
        <v/>
      </c>
      <c r="QP32">
        <f>IF($B32=0,1000000000,IF(INDEX('calcA'!$D$60:$EQ$99,$B32,63)*IF($W32=1,FL32+ACA32,FL32)=1,IF(AND($E32=2,IF($W32=1,AHP32,LA32)=0),1000000000,IF($V32=1,INDEX('calcA'!$D$130:$EQ$169,$B32,63)+IF(AND($E32=1,LA32=0),25,0),INDEX('calcA'!BN$110:BN$114,$F32+1)+IF(AND($E32=1,LA32=0),1000,0)+IF($H32=1,INDEX('calcA'!$D$180:$EQ$219,$B32,63)*500,0)-IF(AND('calcA'!BM$117=1,WK32&gt;0),300,0)-IF(AND($U32=1,'calcA'!BN$117=1,FM32=0),300,0))),1000000000))</f>
        <v/>
      </c>
      <c r="QQ32">
        <f>IF($B32=0,1000000000,IF(INDEX('calcA'!$D$60:$EQ$99,$B32,64)*IF($W32=1,FM32+ACB32,FM32)=1,IF(AND($E32=2,IF($W32=1,AHQ32,LB32)=0),1000000000,IF($V32=1,INDEX('calcA'!$D$130:$EQ$169,$B32,64)+IF(AND($E32=1,LB32=0),25,0),INDEX('calcA'!BO$110:BO$114,$F32+1)+IF(AND($E32=1,LB32=0),1000,0)+IF($H32=1,INDEX('calcA'!$D$180:$EQ$219,$B32,64)*500,0)-IF(AND('calcA'!BN$117=1,WL32&gt;0),300,0)-IF(AND($U32=1,'calcA'!BO$117=1,FN32=0),300,0))),1000000000))</f>
        <v/>
      </c>
      <c r="QR32">
        <f>IF($B32=0,1000000000,IF(INDEX('calcA'!$D$60:$EQ$99,$B32,65)*IF($W32=1,FN32+ACC32,FN32)=1,IF(AND($E32=2,IF($W32=1,AHR32,LC32)=0),1000000000,IF($V32=1,INDEX('calcA'!$D$130:$EQ$169,$B32,65)+IF(AND($E32=1,LC32=0),25,0),INDEX('calcA'!BP$110:BP$114,$F32+1)+IF(AND($E32=1,LC32=0),1000,0)+IF($H32=1,INDEX('calcA'!$D$180:$EQ$219,$B32,65)*500,0)-IF(AND('calcA'!BO$117=1,WM32&gt;0),300,0)-IF(AND($U32=1,'calcA'!BP$117=1,FO32=0),300,0))),1000000000))</f>
        <v/>
      </c>
      <c r="QS32">
        <f>IF($B32=0,1000000000,IF(INDEX('calcA'!$D$60:$EQ$99,$B32,66)*IF($W32=1,FO32+ACD32,FO32)=1,IF(AND($E32=2,IF($W32=1,AHS32,LD32)=0),1000000000,IF($V32=1,INDEX('calcA'!$D$130:$EQ$169,$B32,66)+IF(AND($E32=1,LD32=0),25,0),INDEX('calcA'!BQ$110:BQ$114,$F32+1)+IF(AND($E32=1,LD32=0),1000,0)+IF($H32=1,INDEX('calcA'!$D$180:$EQ$219,$B32,66)*500,0)-IF(AND('calcA'!BP$117=1,WN32&gt;0),300,0)-IF(AND($U32=1,'calcA'!BQ$117=1,FP32=0),300,0))),1000000000))</f>
        <v/>
      </c>
      <c r="QT32">
        <f>IF($B32=0,1000000000,IF(INDEX('calcA'!$D$60:$EQ$99,$B32,67)*IF($W32=1,FP32+ACE32,FP32)=1,IF(AND($E32=2,IF($W32=1,AHT32,LE32)=0),1000000000,IF($V32=1,INDEX('calcA'!$D$130:$EQ$169,$B32,67)+IF(AND($E32=1,LE32=0),25,0),INDEX('calcA'!BR$110:BR$114,$F32+1)+IF(AND($E32=1,LE32=0),1000,0)+IF($H32=1,INDEX('calcA'!$D$180:$EQ$219,$B32,67)*500,0)-IF(AND('calcA'!BQ$117=1,WO32&gt;0),300,0)-IF(AND($U32=1,'calcA'!BR$117=1,FQ32=0),300,0))),1000000000))</f>
        <v/>
      </c>
      <c r="QU32">
        <f>IF($B32=0,1000000000,IF(INDEX('calcA'!$D$60:$EQ$99,$B32,68)*IF($W32=1,FQ32+ACF32,FQ32)=1,IF(AND($E32=2,IF($W32=1,AHU32,LF32)=0),1000000000,IF($V32=1,INDEX('calcA'!$D$130:$EQ$169,$B32,68)+IF(AND($E32=1,LF32=0),25,0),INDEX('calcA'!BS$110:BS$114,$F32+1)+IF(AND($E32=1,LF32=0),1000,0)+IF($H32=1,INDEX('calcA'!$D$180:$EQ$219,$B32,68)*500,0)-IF(AND('calcA'!BR$117=1,WP32&gt;0),300,0)-IF(AND($U32=1,'calcA'!BS$117=1,FR32=0),300,0))),1000000000))</f>
        <v/>
      </c>
      <c r="QV32">
        <f>IF($B32=0,1000000000,IF(INDEX('calcA'!$D$60:$EQ$99,$B32,69)*IF($W32=1,FR32+ACG32,FR32)=1,IF(AND($E32=2,IF($W32=1,AHV32,LG32)=0),1000000000,IF($V32=1,INDEX('calcA'!$D$130:$EQ$169,$B32,69)+IF(AND($E32=1,LG32=0),25,0),INDEX('calcA'!BT$110:BT$114,$F32+1)+IF(AND($E32=1,LG32=0),1000,0)+IF($H32=1,INDEX('calcA'!$D$180:$EQ$219,$B32,69)*500,0)-IF(AND('calcA'!BS$117=1,WQ32&gt;0),300,0)-IF(AND($U32=1,'calcA'!BT$117=1,FS32=0),300,0))),1000000000))</f>
        <v/>
      </c>
      <c r="QW32">
        <f>IF($B32=0,1000000000,IF(INDEX('calcA'!$D$60:$EQ$99,$B32,70)*IF($W32=1,FS32+ACH32,FS32)=1,IF(AND($E32=2,IF($W32=1,AHW32,LH32)=0),1000000000,IF($V32=1,INDEX('calcA'!$D$130:$EQ$169,$B32,70)+IF(AND($E32=1,LH32=0),25,0),INDEX('calcA'!BU$110:BU$114,$F32+1)+IF(AND($E32=1,LH32=0),1000,0)+IF($H32=1,INDEX('calcA'!$D$180:$EQ$219,$B32,70)*500,0)-IF(AND('calcA'!BT$117=1,WR32&gt;0),300,0)-IF(AND($U32=1,'calcA'!BU$117=1,FT32=0),300,0))),1000000000))</f>
        <v/>
      </c>
      <c r="QX32">
        <f>IF($B32=0,1000000000,IF(INDEX('calcA'!$D$60:$EQ$99,$B32,71)*IF($W32=1,FT32+ACI32,FT32)=1,IF(AND($E32=2,IF($W32=1,AHX32,LI32)=0),1000000000,IF($V32=1,INDEX('calcA'!$D$130:$EQ$169,$B32,71)+IF(AND($E32=1,LI32=0),25,0),INDEX('calcA'!BV$110:BV$114,$F32+1)+IF(AND($E32=1,LI32=0),1000,0)+IF($H32=1,INDEX('calcA'!$D$180:$EQ$219,$B32,71)*500,0)-IF(AND('calcA'!BU$117=1,WS32&gt;0),300,0)-IF(AND($U32=1,'calcA'!BV$117=1,FU32=0),300,0))),1000000000))</f>
        <v/>
      </c>
      <c r="QY32">
        <f>IF($B32=0,1000000000,IF(INDEX('calcA'!$D$60:$EQ$99,$B32,72)*IF($W32=1,FU32+ACJ32,FU32)=1,IF(AND($E32=2,IF($W32=1,AHY32,LJ32)=0),1000000000,IF($V32=1,INDEX('calcA'!$D$130:$EQ$169,$B32,72)+IF(AND($E32=1,LJ32=0),25,0),INDEX('calcA'!BW$110:BW$114,$F32+1)+IF(AND($E32=1,LJ32=0),1000,0)+IF($H32=1,INDEX('calcA'!$D$180:$EQ$219,$B32,72)*500,0)-IF(AND('calcA'!BV$117=1,WT32&gt;0),300,0))),1000000000))</f>
        <v/>
      </c>
      <c r="QZ32">
        <f>IF($B32=0,1000000000,IF(INDEX('calcA'!$D$60:$EQ$99,$B32,73)*IF($W32=1,FV32+ACK32,FV32)=1,IF(AND($E32=2,IF($W32=1,AHZ32,LK32)=0),1000000000,IF($V32=1,INDEX('calcA'!$D$130:$EQ$169,$B32,73)+IF(AND($E32=1,LK32=0),25,0),INDEX('calcA'!BX$110:BX$114,$F32+1)+IF(AND($E32=1,LK32=0),1000,0)+IF($H32=1,INDEX('calcA'!$D$180:$EQ$219,$B32,73)*500,0)-IF(AND($U32=1,'calcA'!BX$117=1,FW32=0),300,0))),1000000000))</f>
        <v/>
      </c>
      <c r="RA32">
        <f>IF($B32=0,1000000000,IF(INDEX('calcA'!$D$60:$EQ$99,$B32,74)*IF($W32=1,FW32+ACL32,FW32)=1,IF(AND($E32=2,IF($W32=1,AIA32,LL32)=0),1000000000,IF($V32=1,INDEX('calcA'!$D$130:$EQ$169,$B32,74)+IF(AND($E32=1,LL32=0),25,0),INDEX('calcA'!BY$110:BY$114,$F32+1)+IF(AND($E32=1,LL32=0),1000,0)+IF($H32=1,INDEX('calcA'!$D$180:$EQ$219,$B32,74)*500,0)-IF(AND('calcA'!BX$117=1,WV32&gt;0),300,0)-IF(AND($U32=1,'calcA'!BY$117=1,FX32=0),300,0))),1000000000))</f>
        <v/>
      </c>
      <c r="RB32">
        <f>IF($B32=0,1000000000,IF(INDEX('calcA'!$D$60:$EQ$99,$B32,75)*IF($W32=1,FX32+ACM32,FX32)=1,IF(AND($E32=2,IF($W32=1,AIB32,LM32)=0),1000000000,IF($V32=1,INDEX('calcA'!$D$130:$EQ$169,$B32,75)+IF(AND($E32=1,LM32=0),25,0),INDEX('calcA'!BZ$110:BZ$114,$F32+1)+IF(AND($E32=1,LM32=0),1000,0)+IF($H32=1,INDEX('calcA'!$D$180:$EQ$219,$B32,75)*500,0)-IF(AND('calcA'!BY$117=1,WW32&gt;0),300,0)-IF(AND($U32=1,'calcA'!BZ$117=1,FY32=0),300,0))),1000000000))</f>
        <v/>
      </c>
      <c r="RC32">
        <f>IF($B32=0,1000000000,IF(INDEX('calcA'!$D$60:$EQ$99,$B32,76)*IF($W32=1,FY32+ACN32,FY32)=1,IF(AND($E32=2,IF($W32=1,AIC32,LN32)=0),1000000000,IF($V32=1,INDEX('calcA'!$D$130:$EQ$169,$B32,76)+IF(AND($E32=1,LN32=0),25,0),INDEX('calcA'!CA$110:CA$114,$F32+1)+IF(AND($E32=1,LN32=0),1000,0)+IF($H32=1,INDEX('calcA'!$D$180:$EQ$219,$B32,76)*500,0)-IF(AND('calcA'!BZ$117=1,WX32&gt;0),300,0)-IF(AND($U32=1,'calcA'!CA$117=1,FZ32=0),300,0))),1000000000))</f>
        <v/>
      </c>
      <c r="RD32">
        <f>IF($B32=0,1000000000,IF(INDEX('calcA'!$D$60:$EQ$99,$B32,77)*IF($W32=1,FZ32+ACO32,FZ32)=1,IF(AND($E32=2,IF($W32=1,AID32,LO32)=0),1000000000,IF($V32=1,INDEX('calcA'!$D$130:$EQ$169,$B32,77)+IF(AND($E32=1,LO32=0),25,0),INDEX('calcA'!CB$110:CB$114,$F32+1)+IF(AND($E32=1,LO32=0),1000,0)+IF($H32=1,INDEX('calcA'!$D$180:$EQ$219,$B32,77)*500,0)-IF(AND('calcA'!CA$117=1,WY32&gt;0),300,0)-IF(AND($U32=1,'calcA'!CB$117=1,GA32=0),300,0))),1000000000))</f>
        <v/>
      </c>
      <c r="RE32">
        <f>IF($B32=0,1000000000,IF(INDEX('calcA'!$D$60:$EQ$99,$B32,78)*IF($W32=1,GA32+ACP32,GA32)=1,IF(AND($E32=2,IF($W32=1,AIE32,LP32)=0),1000000000,IF($V32=1,INDEX('calcA'!$D$130:$EQ$169,$B32,78)+IF(AND($E32=1,LP32=0),25,0),INDEX('calcA'!CC$110:CC$114,$F32+1)+IF(AND($E32=1,LP32=0),1000,0)+IF($H32=1,INDEX('calcA'!$D$180:$EQ$219,$B32,78)*500,0)-IF(AND('calcA'!CB$117=1,WZ32&gt;0),300,0)-IF(AND($U32=1,'calcA'!CC$117=1,GB32=0),300,0))),1000000000))</f>
        <v/>
      </c>
      <c r="RF32">
        <f>IF($B32=0,1000000000,IF(INDEX('calcA'!$D$60:$EQ$99,$B32,79)*IF($W32=1,GB32+ACQ32,GB32)=1,IF(AND($E32=2,IF($W32=1,AIF32,LQ32)=0),1000000000,IF($V32=1,INDEX('calcA'!$D$130:$EQ$169,$B32,79)+IF(AND($E32=1,LQ32=0),25,0),INDEX('calcA'!CD$110:CD$114,$F32+1)+IF(AND($E32=1,LQ32=0),1000,0)+IF($H32=1,INDEX('calcA'!$D$180:$EQ$219,$B32,79)*500,0)-IF(AND('calcA'!CC$117=1,XA32&gt;0),300,0)-IF(AND($U32=1,'calcA'!CD$117=1,GC32=0),300,0))),1000000000))</f>
        <v/>
      </c>
      <c r="RG32">
        <f>IF($B32=0,1000000000,IF(INDEX('calcA'!$D$60:$EQ$99,$B32,80)*IF($W32=1,GC32+ACR32,GC32)=1,IF(AND($E32=2,IF($W32=1,AIG32,LR32)=0),1000000000,IF($V32=1,INDEX('calcA'!$D$130:$EQ$169,$B32,80)+IF(AND($E32=1,LR32=0),25,0),INDEX('calcA'!CE$110:CE$114,$F32+1)+IF(AND($E32=1,LR32=0),1000,0)+IF($H32=1,INDEX('calcA'!$D$180:$EQ$219,$B32,80)*500,0)-IF(AND('calcA'!CD$117=1,XB32&gt;0),300,0)-IF(AND($U32=1,'calcA'!CE$117=1,GD32=0),300,0))),1000000000))</f>
        <v/>
      </c>
      <c r="RH32">
        <f>IF($B32=0,1000000000,IF(INDEX('calcA'!$D$60:$EQ$99,$B32,81)*IF($W32=1,GD32+ACS32,GD32)=1,IF(AND($E32=2,IF($W32=1,AIH32,LS32)=0),1000000000,IF($V32=1,INDEX('calcA'!$D$130:$EQ$169,$B32,81)+IF(AND($E32=1,LS32=0),25,0),INDEX('calcA'!CF$110:CF$114,$F32+1)+IF(AND($E32=1,LS32=0),1000,0)+IF($H32=1,INDEX('calcA'!$D$180:$EQ$219,$B32,81)*500,0)-IF(AND('calcA'!CE$117=1,XC32&gt;0),300,0)-IF(AND($U32=1,'calcA'!CF$117=1,GE32=0),300,0))),1000000000))</f>
        <v/>
      </c>
      <c r="RI32">
        <f>IF($B32=0,1000000000,IF(INDEX('calcA'!$D$60:$EQ$99,$B32,82)*IF($W32=1,GE32+ACT32,GE32)=1,IF(AND($E32=2,IF($W32=1,AII32,LT32)=0),1000000000,IF($V32=1,INDEX('calcA'!$D$130:$EQ$169,$B32,82)+IF(AND($E32=1,LT32=0),25,0),INDEX('calcA'!CG$110:CG$114,$F32+1)+IF(AND($E32=1,LT32=0),1000,0)+IF($H32=1,INDEX('calcA'!$D$180:$EQ$219,$B32,82)*500,0)-IF(AND('calcA'!CF$117=1,XD32&gt;0),300,0)-IF(AND($U32=1,'calcA'!CG$117=1,GF32=0),300,0))),1000000000))</f>
        <v/>
      </c>
      <c r="RJ32">
        <f>IF($B32=0,1000000000,IF(INDEX('calcA'!$D$60:$EQ$99,$B32,83)*IF($W32=1,GF32+ACU32,GF32)=1,IF(AND($E32=2,IF($W32=1,AIJ32,LU32)=0),1000000000,IF($V32=1,INDEX('calcA'!$D$130:$EQ$169,$B32,83)+IF(AND($E32=1,LU32=0),25,0),INDEX('calcA'!CH$110:CH$114,$F32+1)+IF(AND($E32=1,LU32=0),1000,0)+IF($H32=1,INDEX('calcA'!$D$180:$EQ$219,$B32,83)*500,0)-IF(AND('calcA'!CG$117=1,XE32&gt;0),300,0)-IF(AND($U32=1,'calcA'!CH$117=1,GG32=0),300,0))),1000000000))</f>
        <v/>
      </c>
      <c r="RK32">
        <f>IF($B32=0,1000000000,IF(INDEX('calcA'!$D$60:$EQ$99,$B32,84)*IF($W32=1,GG32+ACV32,GG32)=1,IF(AND($E32=2,IF($W32=1,AIK32,LV32)=0),1000000000,IF($V32=1,INDEX('calcA'!$D$130:$EQ$169,$B32,84)+IF(AND($E32=1,LV32=0),25,0),INDEX('calcA'!CI$110:CI$114,$F32+1)+IF(AND($E32=1,LV32=0),1000,0)+IF($H32=1,INDEX('calcA'!$D$180:$EQ$219,$B32,84)*500,0)-IF(AND('calcA'!CH$117=1,XF32&gt;0),300,0)-IF(AND($U32=1,'calcA'!CI$117=1,GH32=0),300,0))),1000000000))</f>
        <v/>
      </c>
      <c r="RL32">
        <f>IF($B32=0,1000000000,IF(INDEX('calcA'!$D$60:$EQ$99,$B32,85)*IF($W32=1,GH32+ACW32,GH32)=1,IF(AND($E32=2,IF($W32=1,AIL32,LW32)=0),1000000000,IF($V32=1,INDEX('calcA'!$D$130:$EQ$169,$B32,85)+IF(AND($E32=1,LW32=0),25,0),INDEX('calcA'!CJ$110:CJ$114,$F32+1)+IF(AND($E32=1,LW32=0),1000,0)+IF($H32=1,INDEX('calcA'!$D$180:$EQ$219,$B32,85)*500,0)-IF(AND('calcA'!CI$117=1,XG32&gt;0),300,0)-IF(AND($U32=1,'calcA'!CJ$117=1,GI32=0),300,0))),1000000000))</f>
        <v/>
      </c>
      <c r="RM32">
        <f>IF($B32=0,1000000000,IF(INDEX('calcA'!$D$60:$EQ$99,$B32,86)*IF($W32=1,GI32+ACX32,GI32)=1,IF(AND($E32=2,IF($W32=1,AIM32,LX32)=0),1000000000,IF($V32=1,INDEX('calcA'!$D$130:$EQ$169,$B32,86)+IF(AND($E32=1,LX32=0),25,0),INDEX('calcA'!CK$110:CK$114,$F32+1)+IF(AND($E32=1,LX32=0),1000,0)+IF($H32=1,INDEX('calcA'!$D$180:$EQ$219,$B32,86)*500,0)-IF(AND('calcA'!CJ$117=1,XH32&gt;0),300,0)-IF(AND($U32=1,'calcA'!CK$117=1,GJ32=0),300,0))),1000000000))</f>
        <v/>
      </c>
      <c r="RN32">
        <f>IF($B32=0,1000000000,IF(INDEX('calcA'!$D$60:$EQ$99,$B32,87)*IF($W32=1,GJ32+ACY32,GJ32)=1,IF(AND($E32=2,IF($W32=1,AIN32,LY32)=0),1000000000,IF($V32=1,INDEX('calcA'!$D$130:$EQ$169,$B32,87)+IF(AND($E32=1,LY32=0),25,0),INDEX('calcA'!CL$110:CL$114,$F32+1)+IF(AND($E32=1,LY32=0),1000,0)+IF($H32=1,INDEX('calcA'!$D$180:$EQ$219,$B32,87)*500,0)-IF(AND('calcA'!CK$117=1,XI32&gt;0),300,0)-IF(AND($U32=1,'calcA'!CL$117=1,GK32=0),300,0))),1000000000))</f>
        <v/>
      </c>
      <c r="RO32">
        <f>IF($B32=0,1000000000,IF(INDEX('calcA'!$D$60:$EQ$99,$B32,88)*IF($W32=1,GK32+ACZ32,GK32)=1,IF(AND($E32=2,IF($W32=1,AIO32,LZ32)=0),1000000000,IF($V32=1,INDEX('calcA'!$D$130:$EQ$169,$B32,88)+IF(AND($E32=1,LZ32=0),25,0),INDEX('calcA'!CM$110:CM$114,$F32+1)+IF(AND($E32=1,LZ32=0),1000,0)+IF($H32=1,INDEX('calcA'!$D$180:$EQ$219,$B32,88)*500,0)-IF(AND('calcA'!CL$117=1,XJ32&gt;0),300,0)-IF(AND($U32=1,'calcA'!CM$117=1,GL32=0),300,0))),1000000000))</f>
        <v/>
      </c>
      <c r="RP32">
        <f>IF($B32=0,1000000000,IF(INDEX('calcA'!$D$60:$EQ$99,$B32,89)*IF($W32=1,GL32+ADA32,GL32)=1,IF(AND($E32=2,IF($W32=1,AIP32,MA32)=0),1000000000,IF($V32=1,INDEX('calcA'!$D$130:$EQ$169,$B32,89)+IF(AND($E32=1,MA32=0),25,0),INDEX('calcA'!CN$110:CN$114,$F32+1)+IF(AND($E32=1,MA32=0),1000,0)+IF($H32=1,INDEX('calcA'!$D$180:$EQ$219,$B32,89)*500,0)-IF(AND('calcA'!CM$117=1,XK32&gt;0),300,0)-IF(AND($U32=1,'calcA'!CN$117=1,GM32=0),300,0))),1000000000))</f>
        <v/>
      </c>
      <c r="RQ32">
        <f>IF($B32=0,1000000000,IF(INDEX('calcA'!$D$60:$EQ$99,$B32,90)*IF($W32=1,GM32+ADB32,GM32)=1,IF(AND($E32=2,IF($W32=1,AIQ32,MB32)=0),1000000000,IF($V32=1,INDEX('calcA'!$D$130:$EQ$169,$B32,90)+IF(AND($E32=1,MB32=0),25,0),INDEX('calcA'!CO$110:CO$114,$F32+1)+IF(AND($E32=1,MB32=0),1000,0)+IF($H32=1,INDEX('calcA'!$D$180:$EQ$219,$B32,90)*500,0)-IF(AND('calcA'!CN$117=1,XL32&gt;0),300,0)-IF(AND($U32=1,'calcA'!CO$117=1,GN32=0),300,0))),1000000000))</f>
        <v/>
      </c>
      <c r="RR32">
        <f>IF($B32=0,1000000000,IF(INDEX('calcA'!$D$60:$EQ$99,$B32,91)*IF($W32=1,GN32+ADC32,GN32)=1,IF(AND($E32=2,IF($W32=1,AIR32,MC32)=0),1000000000,IF($V32=1,INDEX('calcA'!$D$130:$EQ$169,$B32,91)+IF(AND($E32=1,MC32=0),25,0),INDEX('calcA'!CP$110:CP$114,$F32+1)+IF(AND($E32=1,MC32=0),1000,0)+IF($H32=1,INDEX('calcA'!$D$180:$EQ$219,$B32,91)*500,0)-IF(AND('calcA'!CO$117=1,XM32&gt;0),300,0)-IF(AND($U32=1,'calcA'!CP$117=1,GO32=0),300,0))),1000000000))</f>
        <v/>
      </c>
      <c r="RS32">
        <f>IF($B32=0,1000000000,IF(INDEX('calcA'!$D$60:$EQ$99,$B32,92)*IF($W32=1,GO32+ADD32,GO32)=1,IF(AND($E32=2,IF($W32=1,AIS32,MD32)=0),1000000000,IF($V32=1,INDEX('calcA'!$D$130:$EQ$169,$B32,92)+IF(AND($E32=1,MD32=0),25,0),INDEX('calcA'!CQ$110:CQ$114,$F32+1)+IF(AND($E32=1,MD32=0),1000,0)+IF($H32=1,INDEX('calcA'!$D$180:$EQ$219,$B32,92)*500,0)-IF(AND('calcA'!CP$117=1,XN32&gt;0),300,0)-IF(AND($U32=1,'calcA'!CQ$117=1,GP32=0),300,0))),1000000000))</f>
        <v/>
      </c>
      <c r="RT32">
        <f>IF($B32=0,1000000000,IF(INDEX('calcA'!$D$60:$EQ$99,$B32,93)*IF($W32=1,GP32+ADE32,GP32)=1,IF(AND($E32=2,IF($W32=1,AIT32,ME32)=0),1000000000,IF($V32=1,INDEX('calcA'!$D$130:$EQ$169,$B32,93)+IF(AND($E32=1,ME32=0),25,0),INDEX('calcA'!CR$110:CR$114,$F32+1)+IF(AND($E32=1,ME32=0),1000,0)+IF($H32=1,INDEX('calcA'!$D$180:$EQ$219,$B32,93)*500,0)-IF(AND('calcA'!CQ$117=1,XO32&gt;0),300,0)-IF(AND($U32=1,'calcA'!CR$117=1,GQ32=0),300,0))),1000000000))</f>
        <v/>
      </c>
      <c r="RU32">
        <f>IF($B32=0,1000000000,IF(INDEX('calcA'!$D$60:$EQ$99,$B32,94)*IF($W32=1,GQ32+ADF32,GQ32)=1,IF(AND($E32=2,IF($W32=1,AIU32,MF32)=0),1000000000,IF($V32=1,INDEX('calcA'!$D$130:$EQ$169,$B32,94)+IF(AND($E32=1,MF32=0),25,0),INDEX('calcA'!CS$110:CS$114,$F32+1)+IF(AND($E32=1,MF32=0),1000,0)+IF($H32=1,INDEX('calcA'!$D$180:$EQ$219,$B32,94)*500,0)-IF(AND('calcA'!CR$117=1,XP32&gt;0),300,0)-IF(AND($U32=1,'calcA'!CS$117=1,GR32=0),300,0))),1000000000))</f>
        <v/>
      </c>
      <c r="RV32">
        <f>IF($B32=0,1000000000,IF(INDEX('calcA'!$D$60:$EQ$99,$B32,95)*IF($W32=1,GR32+ADG32,GR32)=1,IF(AND($E32=2,IF($W32=1,AIV32,MG32)=0),1000000000,IF($V32=1,INDEX('calcA'!$D$130:$EQ$169,$B32,95)+IF(AND($E32=1,MG32=0),25,0),INDEX('calcA'!CT$110:CT$114,$F32+1)+IF(AND($E32=1,MG32=0),1000,0)+IF($H32=1,INDEX('calcA'!$D$180:$EQ$219,$B32,95)*500,0)-IF(AND('calcA'!CS$117=1,XQ32&gt;0),300,0)-IF(AND($U32=1,'calcA'!CT$117=1,GS32=0),300,0))),1000000000))</f>
        <v/>
      </c>
      <c r="RW32">
        <f>IF($B32=0,1000000000,IF(INDEX('calcA'!$D$60:$EQ$99,$B32,96)*IF($W32=1,GS32+ADH32,GS32)=1,IF(AND($E32=2,IF($W32=1,AIW32,MH32)=0),1000000000,IF($V32=1,INDEX('calcA'!$D$130:$EQ$169,$B32,96)+IF(AND($E32=1,MH32=0),25,0),INDEX('calcA'!CU$110:CU$114,$F32+1)+IF(AND($E32=1,MH32=0),1000,0)+IF($H32=1,INDEX('calcA'!$D$180:$EQ$219,$B32,96)*500,0)-IF(AND('calcA'!CT$117=1,XR32&gt;0),300,0))),1000000000))</f>
        <v/>
      </c>
      <c r="RX32">
        <f>IF($B32=0,1000000000,IF(INDEX('calcA'!$D$60:$EQ$99,$B32,97)*IF($W32=1,GT32+ADI32,GT32)=1,IF(AND($E32=2,IF($W32=1,AIX32,MI32)=0),1000000000,IF($V32=1,INDEX('calcA'!$D$130:$EQ$169,$B32,97)+IF(AND($E32=1,MI32=0),25,0),INDEX('calcA'!CV$110:CV$114,$F32+1)+IF(AND($E32=1,MI32=0),1000,0)+IF($H32=1,INDEX('calcA'!$D$180:$EQ$219,$B32,97)*500,0)-IF(AND($U32=1,'calcA'!CV$117=1,GU32=0),300,0))),1000000000))</f>
        <v/>
      </c>
      <c r="RY32">
        <f>IF($B32=0,1000000000,IF(INDEX('calcA'!$D$60:$EQ$99,$B32,98)*IF($W32=1,GU32+ADJ32,GU32)=1,IF(AND($E32=2,IF($W32=1,AIY32,MJ32)=0),1000000000,IF($V32=1,INDEX('calcA'!$D$130:$EQ$169,$B32,98)+IF(AND($E32=1,MJ32=0),25,0),INDEX('calcA'!CW$110:CW$114,$F32+1)+IF(AND($E32=1,MJ32=0),1000,0)+IF($H32=1,INDEX('calcA'!$D$180:$EQ$219,$B32,98)*500,0)-IF(AND('calcA'!CV$117=1,XT32&gt;0),300,0)-IF(AND($U32=1,'calcA'!CW$117=1,GV32=0),300,0))),1000000000))</f>
        <v/>
      </c>
      <c r="RZ32">
        <f>IF($B32=0,1000000000,IF(INDEX('calcA'!$D$60:$EQ$99,$B32,99)*IF($W32=1,GV32+ADK32,GV32)=1,IF(AND($E32=2,IF($W32=1,AIZ32,MK32)=0),1000000000,IF($V32=1,INDEX('calcA'!$D$130:$EQ$169,$B32,99)+IF(AND($E32=1,MK32=0),25,0),INDEX('calcA'!CX$110:CX$114,$F32+1)+IF(AND($E32=1,MK32=0),1000,0)+IF($H32=1,INDEX('calcA'!$D$180:$EQ$219,$B32,99)*500,0)-IF(AND('calcA'!CW$117=1,XU32&gt;0),300,0)-IF(AND($U32=1,'calcA'!CX$117=1,GW32=0),300,0))),1000000000))</f>
        <v/>
      </c>
      <c r="SA32">
        <f>IF($B32=0,1000000000,IF(INDEX('calcA'!$D$60:$EQ$99,$B32,100)*IF($W32=1,GW32+ADL32,GW32)=1,IF(AND($E32=2,IF($W32=1,AJA32,ML32)=0),1000000000,IF($V32=1,INDEX('calcA'!$D$130:$EQ$169,$B32,100)+IF(AND($E32=1,ML32=0),25,0),INDEX('calcA'!CY$110:CY$114,$F32+1)+IF(AND($E32=1,ML32=0),1000,0)+IF($H32=1,INDEX('calcA'!$D$180:$EQ$219,$B32,100)*500,0)-IF(AND('calcA'!CX$117=1,XV32&gt;0),300,0)-IF(AND($U32=1,'calcA'!CY$117=1,GX32=0),300,0))),1000000000))</f>
        <v/>
      </c>
      <c r="SB32">
        <f>IF($B32=0,1000000000,IF(INDEX('calcA'!$D$60:$EQ$99,$B32,101)*IF($W32=1,GX32+ADM32,GX32)=1,IF(AND($E32=2,IF($W32=1,AJB32,MM32)=0),1000000000,IF($V32=1,INDEX('calcA'!$D$130:$EQ$169,$B32,101)+IF(AND($E32=1,MM32=0),25,0),INDEX('calcA'!CZ$110:CZ$114,$F32+1)+IF(AND($E32=1,MM32=0),1000,0)+IF($H32=1,INDEX('calcA'!$D$180:$EQ$219,$B32,101)*500,0)-IF(AND('calcA'!CY$117=1,XW32&gt;0),300,0)-IF(AND($U32=1,'calcA'!CZ$117=1,GY32=0),300,0))),1000000000))</f>
        <v/>
      </c>
      <c r="SC32">
        <f>IF($B32=0,1000000000,IF(INDEX('calcA'!$D$60:$EQ$99,$B32,102)*IF($W32=1,GY32+ADN32,GY32)=1,IF(AND($E32=2,IF($W32=1,AJC32,MN32)=0),1000000000,IF($V32=1,INDEX('calcA'!$D$130:$EQ$169,$B32,102)+IF(AND($E32=1,MN32=0),25,0),INDEX('calcA'!DA$110:DA$114,$F32+1)+IF(AND($E32=1,MN32=0),1000,0)+IF($H32=1,INDEX('calcA'!$D$180:$EQ$219,$B32,102)*500,0)-IF(AND('calcA'!CZ$117=1,XX32&gt;0),300,0)-IF(AND($U32=1,'calcA'!DA$117=1,GZ32=0),300,0))),1000000000))</f>
        <v/>
      </c>
      <c r="SD32">
        <f>IF($B32=0,1000000000,IF(INDEX('calcA'!$D$60:$EQ$99,$B32,103)*IF($W32=1,GZ32+ADO32,GZ32)=1,IF(AND($E32=2,IF($W32=1,AJD32,MO32)=0),1000000000,IF($V32=1,INDEX('calcA'!$D$130:$EQ$169,$B32,103)+IF(AND($E32=1,MO32=0),25,0),INDEX('calcA'!DB$110:DB$114,$F32+1)+IF(AND($E32=1,MO32=0),1000,0)+IF($H32=1,INDEX('calcA'!$D$180:$EQ$219,$B32,103)*500,0)-IF(AND('calcA'!DA$117=1,XY32&gt;0),300,0)-IF(AND($U32=1,'calcA'!DB$117=1,HA32=0),300,0))),1000000000))</f>
        <v/>
      </c>
      <c r="SE32">
        <f>IF($B32=0,1000000000,IF(INDEX('calcA'!$D$60:$EQ$99,$B32,104)*IF($W32=1,HA32+ADP32,HA32)=1,IF(AND($E32=2,IF($W32=1,AJE32,MP32)=0),1000000000,IF($V32=1,INDEX('calcA'!$D$130:$EQ$169,$B32,104)+IF(AND($E32=1,MP32=0),25,0),INDEX('calcA'!DC$110:DC$114,$F32+1)+IF(AND($E32=1,MP32=0),1000,0)+IF($H32=1,INDEX('calcA'!$D$180:$EQ$219,$B32,104)*500,0)-IF(AND('calcA'!DB$117=1,XZ32&gt;0),300,0)-IF(AND($U32=1,'calcA'!DC$117=1,HB32=0),300,0))),1000000000))</f>
        <v/>
      </c>
      <c r="SF32">
        <f>IF($B32=0,1000000000,IF(INDEX('calcA'!$D$60:$EQ$99,$B32,105)*IF($W32=1,HB32+ADQ32,HB32)=1,IF(AND($E32=2,IF($W32=1,AJF32,MQ32)=0),1000000000,IF($V32=1,INDEX('calcA'!$D$130:$EQ$169,$B32,105)+IF(AND($E32=1,MQ32=0),25,0),INDEX('calcA'!DD$110:DD$114,$F32+1)+IF(AND($E32=1,MQ32=0),1000,0)+IF($H32=1,INDEX('calcA'!$D$180:$EQ$219,$B32,105)*500,0)-IF(AND('calcA'!DC$117=1,YA32&gt;0),300,0)-IF(AND($U32=1,'calcA'!DD$117=1,HC32=0),300,0))),1000000000))</f>
        <v/>
      </c>
      <c r="SG32">
        <f>IF($B32=0,1000000000,IF(INDEX('calcA'!$D$60:$EQ$99,$B32,106)*IF($W32=1,HC32+ADR32,HC32)=1,IF(AND($E32=2,IF($W32=1,AJG32,MR32)=0),1000000000,IF($V32=1,INDEX('calcA'!$D$130:$EQ$169,$B32,106)+IF(AND($E32=1,MR32=0),25,0),INDEX('calcA'!DE$110:DE$114,$F32+1)+IF(AND($E32=1,MR32=0),1000,0)+IF($H32=1,INDEX('calcA'!$D$180:$EQ$219,$B32,106)*500,0)-IF(AND('calcA'!DD$117=1,YB32&gt;0),300,0)-IF(AND($U32=1,'calcA'!DE$117=1,HD32=0),300,0))),1000000000))</f>
        <v/>
      </c>
      <c r="SH32">
        <f>IF($B32=0,1000000000,IF(INDEX('calcA'!$D$60:$EQ$99,$B32,107)*IF($W32=1,HD32+ADS32,HD32)=1,IF(AND($E32=2,IF($W32=1,AJH32,MS32)=0),1000000000,IF($V32=1,INDEX('calcA'!$D$130:$EQ$169,$B32,107)+IF(AND($E32=1,MS32=0),25,0),INDEX('calcA'!DF$110:DF$114,$F32+1)+IF(AND($E32=1,MS32=0),1000,0)+IF($H32=1,INDEX('calcA'!$D$180:$EQ$219,$B32,107)*500,0)-IF(AND('calcA'!DE$117=1,YC32&gt;0),300,0)-IF(AND($U32=1,'calcA'!DF$117=1,HE32=0),300,0))),1000000000))</f>
        <v/>
      </c>
      <c r="SI32">
        <f>IF($B32=0,1000000000,IF(INDEX('calcA'!$D$60:$EQ$99,$B32,108)*IF($W32=1,HE32+ADT32,HE32)=1,IF(AND($E32=2,IF($W32=1,AJI32,MT32)=0),1000000000,IF($V32=1,INDEX('calcA'!$D$130:$EQ$169,$B32,108)+IF(AND($E32=1,MT32=0),25,0),INDEX('calcA'!DG$110:DG$114,$F32+1)+IF(AND($E32=1,MT32=0),1000,0)+IF($H32=1,INDEX('calcA'!$D$180:$EQ$219,$B32,108)*500,0)-IF(AND('calcA'!DF$117=1,YD32&gt;0),300,0)-IF(AND($U32=1,'calcA'!DG$117=1,HF32=0),300,0))),1000000000))</f>
        <v/>
      </c>
      <c r="SJ32">
        <f>IF($B32=0,1000000000,IF(INDEX('calcA'!$D$60:$EQ$99,$B32,109)*IF($W32=1,HF32+ADU32,HF32)=1,IF(AND($E32=2,IF($W32=1,AJJ32,MU32)=0),1000000000,IF($V32=1,INDEX('calcA'!$D$130:$EQ$169,$B32,109)+IF(AND($E32=1,MU32=0),25,0),INDEX('calcA'!DH$110:DH$114,$F32+1)+IF(AND($E32=1,MU32=0),1000,0)+IF($H32=1,INDEX('calcA'!$D$180:$EQ$219,$B32,109)*500,0)-IF(AND('calcA'!DG$117=1,YE32&gt;0),300,0)-IF(AND($U32=1,'calcA'!DH$117=1,HG32=0),300,0))),1000000000))</f>
        <v/>
      </c>
      <c r="SK32">
        <f>IF($B32=0,1000000000,IF(INDEX('calcA'!$D$60:$EQ$99,$B32,110)*IF($W32=1,HG32+ADV32,HG32)=1,IF(AND($E32=2,IF($W32=1,AJK32,MV32)=0),1000000000,IF($V32=1,INDEX('calcA'!$D$130:$EQ$169,$B32,110)+IF(AND($E32=1,MV32=0),25,0),INDEX('calcA'!DI$110:DI$114,$F32+1)+IF(AND($E32=1,MV32=0),1000,0)+IF($H32=1,INDEX('calcA'!$D$180:$EQ$219,$B32,110)*500,0)-IF(AND('calcA'!DH$117=1,YF32&gt;0),300,0)-IF(AND($U32=1,'calcA'!DI$117=1,HH32=0),300,0))),1000000000))</f>
        <v/>
      </c>
      <c r="SL32">
        <f>IF($B32=0,1000000000,IF(INDEX('calcA'!$D$60:$EQ$99,$B32,111)*IF($W32=1,HH32+ADW32,HH32)=1,IF(AND($E32=2,IF($W32=1,AJL32,MW32)=0),1000000000,IF($V32=1,INDEX('calcA'!$D$130:$EQ$169,$B32,111)+IF(AND($E32=1,MW32=0),25,0),INDEX('calcA'!DJ$110:DJ$114,$F32+1)+IF(AND($E32=1,MW32=0),1000,0)+IF($H32=1,INDEX('calcA'!$D$180:$EQ$219,$B32,111)*500,0)-IF(AND('calcA'!DI$117=1,YG32&gt;0),300,0)-IF(AND($U32=1,'calcA'!DJ$117=1,HI32=0),300,0))),1000000000))</f>
        <v/>
      </c>
      <c r="SM32">
        <f>IF($B32=0,1000000000,IF(INDEX('calcA'!$D$60:$EQ$99,$B32,112)*IF($W32=1,HI32+ADX32,HI32)=1,IF(AND($E32=2,IF($W32=1,AJM32,MX32)=0),1000000000,IF($V32=1,INDEX('calcA'!$D$130:$EQ$169,$B32,112)+IF(AND($E32=1,MX32=0),25,0),INDEX('calcA'!DK$110:DK$114,$F32+1)+IF(AND($E32=1,MX32=0),1000,0)+IF($H32=1,INDEX('calcA'!$D$180:$EQ$219,$B32,112)*500,0)-IF(AND('calcA'!DJ$117=1,YH32&gt;0),300,0)-IF(AND($U32=1,'calcA'!DK$117=1,HJ32=0),300,0))),1000000000))</f>
        <v/>
      </c>
      <c r="SN32">
        <f>IF($B32=0,1000000000,IF(INDEX('calcA'!$D$60:$EQ$99,$B32,113)*IF($W32=1,HJ32+ADY32,HJ32)=1,IF(AND($E32=2,IF($W32=1,AJN32,MY32)=0),1000000000,IF($V32=1,INDEX('calcA'!$D$130:$EQ$169,$B32,113)+IF(AND($E32=1,MY32=0),25,0),INDEX('calcA'!DL$110:DL$114,$F32+1)+IF(AND($E32=1,MY32=0),1000,0)+IF($H32=1,INDEX('calcA'!$D$180:$EQ$219,$B32,113)*500,0)-IF(AND('calcA'!DK$117=1,YI32&gt;0),300,0)-IF(AND($U32=1,'calcA'!DL$117=1,HK32=0),300,0))),1000000000))</f>
        <v/>
      </c>
      <c r="SO32">
        <f>IF($B32=0,1000000000,IF(INDEX('calcA'!$D$60:$EQ$99,$B32,114)*IF($W32=1,HK32+ADZ32,HK32)=1,IF(AND($E32=2,IF($W32=1,AJO32,MZ32)=0),1000000000,IF($V32=1,INDEX('calcA'!$D$130:$EQ$169,$B32,114)+IF(AND($E32=1,MZ32=0),25,0),INDEX('calcA'!DM$110:DM$114,$F32+1)+IF(AND($E32=1,MZ32=0),1000,0)+IF($H32=1,INDEX('calcA'!$D$180:$EQ$219,$B32,114)*500,0)-IF(AND('calcA'!DL$117=1,YJ32&gt;0),300,0)-IF(AND($U32=1,'calcA'!DM$117=1,HL32=0),300,0))),1000000000))</f>
        <v/>
      </c>
      <c r="SP32">
        <f>IF($B32=0,1000000000,IF(INDEX('calcA'!$D$60:$EQ$99,$B32,115)*IF($W32=1,HL32+AEA32,HL32)=1,IF(AND($E32=2,IF($W32=1,AJP32,NA32)=0),1000000000,IF($V32=1,INDEX('calcA'!$D$130:$EQ$169,$B32,115)+IF(AND($E32=1,NA32=0),25,0),INDEX('calcA'!DN$110:DN$114,$F32+1)+IF(AND($E32=1,NA32=0),1000,0)+IF($H32=1,INDEX('calcA'!$D$180:$EQ$219,$B32,115)*500,0)-IF(AND('calcA'!DM$117=1,YK32&gt;0),300,0)-IF(AND($U32=1,'calcA'!DN$117=1,HM32=0),300,0))),1000000000))</f>
        <v/>
      </c>
      <c r="SQ32">
        <f>IF($B32=0,1000000000,IF(INDEX('calcA'!$D$60:$EQ$99,$B32,116)*IF($W32=1,HM32+AEB32,HM32)=1,IF(AND($E32=2,IF($W32=1,AJQ32,NB32)=0),1000000000,IF($V32=1,INDEX('calcA'!$D$130:$EQ$169,$B32,116)+IF(AND($E32=1,NB32=0),25,0),INDEX('calcA'!DO$110:DO$114,$F32+1)+IF(AND($E32=1,NB32=0),1000,0)+IF($H32=1,INDEX('calcA'!$D$180:$EQ$219,$B32,116)*500,0)-IF(AND('calcA'!DN$117=1,YL32&gt;0),300,0)-IF(AND($U32=1,'calcA'!DO$117=1,HN32=0),300,0))),1000000000))</f>
        <v/>
      </c>
      <c r="SR32">
        <f>IF($B32=0,1000000000,IF(INDEX('calcA'!$D$60:$EQ$99,$B32,117)*IF($W32=1,HN32+AEC32,HN32)=1,IF(AND($E32=2,IF($W32=1,AJR32,NC32)=0),1000000000,IF($V32=1,INDEX('calcA'!$D$130:$EQ$169,$B32,117)+IF(AND($E32=1,NC32=0),25,0),INDEX('calcA'!DP$110:DP$114,$F32+1)+IF(AND($E32=1,NC32=0),1000,0)+IF($H32=1,INDEX('calcA'!$D$180:$EQ$219,$B32,117)*500,0)-IF(AND('calcA'!DO$117=1,YM32&gt;0),300,0)-IF(AND($U32=1,'calcA'!DP$117=1,HO32=0),300,0))),1000000000))</f>
        <v/>
      </c>
      <c r="SS32">
        <f>IF($B32=0,1000000000,IF(INDEX('calcA'!$D$60:$EQ$99,$B32,118)*IF($W32=1,HO32+AED32,HO32)=1,IF(AND($E32=2,IF($W32=1,AJS32,ND32)=0),1000000000,IF($V32=1,INDEX('calcA'!$D$130:$EQ$169,$B32,118)+IF(AND($E32=1,ND32=0),25,0),INDEX('calcA'!DQ$110:DQ$114,$F32+1)+IF(AND($E32=1,ND32=0),1000,0)+IF($H32=1,INDEX('calcA'!$D$180:$EQ$219,$B32,118)*500,0)-IF(AND('calcA'!DP$117=1,YN32&gt;0),300,0)-IF(AND($U32=1,'calcA'!DQ$117=1,HP32=0),300,0))),1000000000))</f>
        <v/>
      </c>
      <c r="ST32">
        <f>IF($B32=0,1000000000,IF(INDEX('calcA'!$D$60:$EQ$99,$B32,119)*IF($W32=1,HP32+AEE32,HP32)=1,IF(AND($E32=2,IF($W32=1,AJT32,NE32)=0),1000000000,IF($V32=1,INDEX('calcA'!$D$130:$EQ$169,$B32,119)+IF(AND($E32=1,NE32=0),25,0),INDEX('calcA'!DR$110:DR$114,$F32+1)+IF(AND($E32=1,NE32=0),1000,0)+IF($H32=1,INDEX('calcA'!$D$180:$EQ$219,$B32,119)*500,0)-IF(AND('calcA'!DQ$117=1,YO32&gt;0),300,0)-IF(AND($U32=1,'calcA'!DR$117=1,HQ32=0),300,0))),1000000000))</f>
        <v/>
      </c>
      <c r="SU32">
        <f>IF($B32=0,1000000000,IF(INDEX('calcA'!$D$60:$EQ$99,$B32,120)*IF($W32=1,HQ32+AEF32,HQ32)=1,IF(AND($E32=2,IF($W32=1,AJU32,NF32)=0),1000000000,IF($V32=1,INDEX('calcA'!$D$130:$EQ$169,$B32,120)+IF(AND($E32=1,NF32=0),25,0),INDEX('calcA'!DS$110:DS$114,$F32+1)+IF(AND($E32=1,NF32=0),1000,0)+IF($H32=1,INDEX('calcA'!$D$180:$EQ$219,$B32,120)*500,0)-IF(AND('calcA'!DR$117=1,YP32&gt;0),300,0))),1000000000))</f>
        <v/>
      </c>
      <c r="SV32">
        <f>IF($B32=0,1000000000,IF(INDEX('calcA'!$D$60:$EQ$99,$B32,121)*IF($W32=1,HR32+AEG32,HR32)=1,IF(AND($E32=2,IF($W32=1,AJV32,NG32)=0),1000000000,IF($V32=1,INDEX('calcA'!$D$130:$EQ$169,$B32,121)+IF(AND($E32=1,NG32=0),25,0),INDEX('calcA'!DT$110:DT$114,$F32+1)+IF(AND($E32=1,NG32=0),1000,0)+IF($H32=1,INDEX('calcA'!$D$180:$EQ$219,$B32,121)*500,0)-IF(AND($U32=1,'calcA'!DT$117=1,HS32=0),300,0))),1000000000))</f>
        <v/>
      </c>
      <c r="SW32">
        <f>IF($B32=0,1000000000,IF(INDEX('calcA'!$D$60:$EQ$99,$B32,122)*IF($W32=1,HS32+AEH32,HS32)=1,IF(AND($E32=2,IF($W32=1,AJW32,NH32)=0),1000000000,IF($V32=1,INDEX('calcA'!$D$130:$EQ$169,$B32,122)+IF(AND($E32=1,NH32=0),25,0),INDEX('calcA'!DU$110:DU$114,$F32+1)+IF(AND($E32=1,NH32=0),1000,0)+IF($H32=1,INDEX('calcA'!$D$180:$EQ$219,$B32,122)*500,0)-IF(AND('calcA'!DT$117=1,YR32&gt;0),300,0)-IF(AND($U32=1,'calcA'!DU$117=1,HT32=0),300,0))),1000000000))</f>
        <v/>
      </c>
      <c r="SX32">
        <f>IF($B32=0,1000000000,IF(INDEX('calcA'!$D$60:$EQ$99,$B32,123)*IF($W32=1,HT32+AEI32,HT32)=1,IF(AND($E32=2,IF($W32=1,AJX32,NI32)=0),1000000000,IF($V32=1,INDEX('calcA'!$D$130:$EQ$169,$B32,123)+IF(AND($E32=1,NI32=0),25,0),INDEX('calcA'!DV$110:DV$114,$F32+1)+IF(AND($E32=1,NI32=0),1000,0)+IF($H32=1,INDEX('calcA'!$D$180:$EQ$219,$B32,123)*500,0)-IF(AND('calcA'!DU$117=1,YS32&gt;0),300,0)-IF(AND($U32=1,'calcA'!DV$117=1,HU32=0),300,0))),1000000000))</f>
        <v/>
      </c>
      <c r="SY32">
        <f>IF($B32=0,1000000000,IF(INDEX('calcA'!$D$60:$EQ$99,$B32,124)*IF($W32=1,HU32+AEJ32,HU32)=1,IF(AND($E32=2,IF($W32=1,AJY32,NJ32)=0),1000000000,IF($V32=1,INDEX('calcA'!$D$130:$EQ$169,$B32,124)+IF(AND($E32=1,NJ32=0),25,0),INDEX('calcA'!DW$110:DW$114,$F32+1)+IF(AND($E32=1,NJ32=0),1000,0)+IF($H32=1,INDEX('calcA'!$D$180:$EQ$219,$B32,124)*500,0)-IF(AND('calcA'!DV$117=1,YT32&gt;0),300,0)-IF(AND($U32=1,'calcA'!DW$117=1,HV32=0),300,0))),1000000000))</f>
        <v/>
      </c>
      <c r="SZ32">
        <f>IF($B32=0,1000000000,IF(INDEX('calcA'!$D$60:$EQ$99,$B32,125)*IF($W32=1,HV32+AEK32,HV32)=1,IF(AND($E32=2,IF($W32=1,AJZ32,NK32)=0),1000000000,IF($V32=1,INDEX('calcA'!$D$130:$EQ$169,$B32,125)+IF(AND($E32=1,NK32=0),25,0),INDEX('calcA'!DX$110:DX$114,$F32+1)+IF(AND($E32=1,NK32=0),1000,0)+IF($H32=1,INDEX('calcA'!$D$180:$EQ$219,$B32,125)*500,0)-IF(AND('calcA'!DW$117=1,YU32&gt;0),300,0)-IF(AND($U32=1,'calcA'!DX$117=1,HW32=0),300,0))),1000000000))</f>
        <v/>
      </c>
      <c r="TA32">
        <f>IF($B32=0,1000000000,IF(INDEX('calcA'!$D$60:$EQ$99,$B32,126)*IF($W32=1,HW32+AEL32,HW32)=1,IF(AND($E32=2,IF($W32=1,AKA32,NL32)=0),1000000000,IF($V32=1,INDEX('calcA'!$D$130:$EQ$169,$B32,126)+IF(AND($E32=1,NL32=0),25,0),INDEX('calcA'!DY$110:DY$114,$F32+1)+IF(AND($E32=1,NL32=0),1000,0)+IF($H32=1,INDEX('calcA'!$D$180:$EQ$219,$B32,126)*500,0)-IF(AND('calcA'!DX$117=1,YV32&gt;0),300,0)-IF(AND($U32=1,'calcA'!DY$117=1,HX32=0),300,0))),1000000000))</f>
        <v/>
      </c>
      <c r="TB32">
        <f>IF($B32=0,1000000000,IF(INDEX('calcA'!$D$60:$EQ$99,$B32,127)*IF($W32=1,HX32+AEM32,HX32)=1,IF(AND($E32=2,IF($W32=1,AKB32,NM32)=0),1000000000,IF($V32=1,INDEX('calcA'!$D$130:$EQ$169,$B32,127)+IF(AND($E32=1,NM32=0),25,0),INDEX('calcA'!DZ$110:DZ$114,$F32+1)+IF(AND($E32=1,NM32=0),1000,0)+IF($H32=1,INDEX('calcA'!$D$180:$EQ$219,$B32,127)*500,0)-IF(AND('calcA'!DY$117=1,YW32&gt;0),300,0)-IF(AND($U32=1,'calcA'!DZ$117=1,HY32=0),300,0))),1000000000))</f>
        <v/>
      </c>
      <c r="TC32">
        <f>IF($B32=0,1000000000,IF(INDEX('calcA'!$D$60:$EQ$99,$B32,128)*IF($W32=1,HY32+AEN32,HY32)=1,IF(AND($E32=2,IF($W32=1,AKC32,NN32)=0),1000000000,IF($V32=1,INDEX('calcA'!$D$130:$EQ$169,$B32,128)+IF(AND($E32=1,NN32=0),25,0),INDEX('calcA'!EA$110:EA$114,$F32+1)+IF(AND($E32=1,NN32=0),1000,0)+IF($H32=1,INDEX('calcA'!$D$180:$EQ$219,$B32,128)*500,0)-IF(AND('calcA'!DZ$117=1,YX32&gt;0),300,0)-IF(AND($U32=1,'calcA'!EA$117=1,HZ32=0),300,0))),1000000000))</f>
        <v/>
      </c>
      <c r="TD32">
        <f>IF($B32=0,1000000000,IF(INDEX('calcA'!$D$60:$EQ$99,$B32,129)*IF($W32=1,HZ32+AEO32,HZ32)=1,IF(AND($E32=2,IF($W32=1,AKD32,NO32)=0),1000000000,IF($V32=1,INDEX('calcA'!$D$130:$EQ$169,$B32,129)+IF(AND($E32=1,NO32=0),25,0),INDEX('calcA'!EB$110:EB$114,$F32+1)+IF(AND($E32=1,NO32=0),1000,0)+IF($H32=1,INDEX('calcA'!$D$180:$EQ$219,$B32,129)*500,0)-IF(AND('calcA'!EA$117=1,YY32&gt;0),300,0)-IF(AND($U32=1,'calcA'!EB$117=1,IA32=0),300,0))),1000000000))</f>
        <v/>
      </c>
      <c r="TE32">
        <f>IF($B32=0,1000000000,IF(INDEX('calcA'!$D$60:$EQ$99,$B32,130)*IF($W32=1,IA32+AEP32,IA32)=1,IF(AND($E32=2,IF($W32=1,AKE32,NP32)=0),1000000000,IF($V32=1,INDEX('calcA'!$D$130:$EQ$169,$B32,130)+IF(AND($E32=1,NP32=0),25,0),INDEX('calcA'!EC$110:EC$114,$F32+1)+IF(AND($E32=1,NP32=0),1000,0)+IF($H32=1,INDEX('calcA'!$D$180:$EQ$219,$B32,130)*500,0)-IF(AND('calcA'!EB$117=1,YZ32&gt;0),300,0)-IF(AND($U32=1,'calcA'!EC$117=1,IB32=0),300,0))),1000000000))</f>
        <v/>
      </c>
      <c r="TF32">
        <f>IF($B32=0,1000000000,IF(INDEX('calcA'!$D$60:$EQ$99,$B32,131)*IF($W32=1,IB32+AEQ32,IB32)=1,IF(AND($E32=2,IF($W32=1,AKF32,NQ32)=0),1000000000,IF($V32=1,INDEX('calcA'!$D$130:$EQ$169,$B32,131)+IF(AND($E32=1,NQ32=0),25,0),INDEX('calcA'!ED$110:ED$114,$F32+1)+IF(AND($E32=1,NQ32=0),1000,0)+IF($H32=1,INDEX('calcA'!$D$180:$EQ$219,$B32,131)*500,0)-IF(AND('calcA'!EC$117=1,ZA32&gt;0),300,0)-IF(AND($U32=1,'calcA'!ED$117=1,IC32=0),300,0))),1000000000))</f>
        <v/>
      </c>
      <c r="TG32">
        <f>IF($B32=0,1000000000,IF(INDEX('calcA'!$D$60:$EQ$99,$B32,132)*IF($W32=1,IC32+AER32,IC32)=1,IF(AND($E32=2,IF($W32=1,AKG32,NR32)=0),1000000000,IF($V32=1,INDEX('calcA'!$D$130:$EQ$169,$B32,132)+IF(AND($E32=1,NR32=0),25,0),INDEX('calcA'!EE$110:EE$114,$F32+1)+IF(AND($E32=1,NR32=0),1000,0)+IF($H32=1,INDEX('calcA'!$D$180:$EQ$219,$B32,132)*500,0)-IF(AND('calcA'!ED$117=1,ZB32&gt;0),300,0)-IF(AND($U32=1,'calcA'!EE$117=1,ID32=0),300,0))),1000000000))</f>
        <v/>
      </c>
      <c r="TH32">
        <f>IF($B32=0,1000000000,IF(INDEX('calcA'!$D$60:$EQ$99,$B32,133)*IF($W32=1,ID32+AES32,ID32)=1,IF(AND($E32=2,IF($W32=1,AKH32,NS32)=0),1000000000,IF($V32=1,INDEX('calcA'!$D$130:$EQ$169,$B32,133)+IF(AND($E32=1,NS32=0),25,0),INDEX('calcA'!EF$110:EF$114,$F32+1)+IF(AND($E32=1,NS32=0),1000,0)+IF($H32=1,INDEX('calcA'!$D$180:$EQ$219,$B32,133)*500,0)-IF(AND('calcA'!EE$117=1,ZC32&gt;0),300,0)-IF(AND($U32=1,'calcA'!EF$117=1,IE32=0),300,0))),1000000000))</f>
        <v/>
      </c>
      <c r="TI32">
        <f>IF($B32=0,1000000000,IF(INDEX('calcA'!$D$60:$EQ$99,$B32,134)*IF($W32=1,IE32+AET32,IE32)=1,IF(AND($E32=2,IF($W32=1,AKI32,NT32)=0),1000000000,IF($V32=1,INDEX('calcA'!$D$130:$EQ$169,$B32,134)+IF(AND($E32=1,NT32=0),25,0),INDEX('calcA'!EG$110:EG$114,$F32+1)+IF(AND($E32=1,NT32=0),1000,0)+IF($H32=1,INDEX('calcA'!$D$180:$EQ$219,$B32,134)*500,0)-IF(AND('calcA'!EF$117=1,ZD32&gt;0),300,0)-IF(AND($U32=1,'calcA'!EG$117=1,IF32=0),300,0))),1000000000))</f>
        <v/>
      </c>
      <c r="TJ32">
        <f>IF($B32=0,1000000000,IF(INDEX('calcA'!$D$60:$EQ$99,$B32,135)*IF($W32=1,IF32+AEU32,IF32)=1,IF(AND($E32=2,IF($W32=1,AKJ32,NU32)=0),1000000000,IF($V32=1,INDEX('calcA'!$D$130:$EQ$169,$B32,135)+IF(AND($E32=1,NU32=0),25,0),INDEX('calcA'!EH$110:EH$114,$F32+1)+IF(AND($E32=1,NU32=0),1000,0)+IF($H32=1,INDEX('calcA'!$D$180:$EQ$219,$B32,135)*500,0)-IF(AND('calcA'!EG$117=1,ZE32&gt;0),300,0)-IF(AND($U32=1,'calcA'!EH$117=1,IG32=0),300,0))),1000000000))</f>
        <v/>
      </c>
      <c r="TK32">
        <f>IF($B32=0,1000000000,IF(INDEX('calcA'!$D$60:$EQ$99,$B32,136)*IF($W32=1,IG32+AEV32,IG32)=1,IF(AND($E32=2,IF($W32=1,AKK32,NV32)=0),1000000000,IF($V32=1,INDEX('calcA'!$D$130:$EQ$169,$B32,136)+IF(AND($E32=1,NV32=0),25,0),INDEX('calcA'!EI$110:EI$114,$F32+1)+IF(AND($E32=1,NV32=0),1000,0)+IF($H32=1,INDEX('calcA'!$D$180:$EQ$219,$B32,136)*500,0)-IF(AND('calcA'!EH$117=1,ZF32&gt;0),300,0)-IF(AND($U32=1,'calcA'!EI$117=1,IH32=0),300,0))),1000000000))</f>
        <v/>
      </c>
      <c r="TL32">
        <f>IF($B32=0,1000000000,IF(INDEX('calcA'!$D$60:$EQ$99,$B32,137)*IF($W32=1,IH32+AEW32,IH32)=1,IF(AND($E32=2,IF($W32=1,AKL32,NW32)=0),1000000000,IF($V32=1,INDEX('calcA'!$D$130:$EQ$169,$B32,137)+IF(AND($E32=1,NW32=0),25,0),INDEX('calcA'!EJ$110:EJ$114,$F32+1)+IF(AND($E32=1,NW32=0),1000,0)+IF($H32=1,INDEX('calcA'!$D$180:$EQ$219,$B32,137)*500,0)-IF(AND('calcA'!EI$117=1,ZG32&gt;0),300,0)-IF(AND($U32=1,'calcA'!EJ$117=1,II32=0),300,0))),1000000000))</f>
        <v/>
      </c>
      <c r="TM32">
        <f>IF($B32=0,1000000000,IF(INDEX('calcA'!$D$60:$EQ$99,$B32,138)*IF($W32=1,II32+AEX32,II32)=1,IF(AND($E32=2,IF($W32=1,AKM32,NX32)=0),1000000000,IF($V32=1,INDEX('calcA'!$D$130:$EQ$169,$B32,138)+IF(AND($E32=1,NX32=0),25,0),INDEX('calcA'!EK$110:EK$114,$F32+1)+IF(AND($E32=1,NX32=0),1000,0)+IF($H32=1,INDEX('calcA'!$D$180:$EQ$219,$B32,138)*500,0)-IF(AND('calcA'!EJ$117=1,ZH32&gt;0),300,0)-IF(AND($U32=1,'calcA'!EK$117=1,IJ32=0),300,0))),1000000000))</f>
        <v/>
      </c>
      <c r="TN32">
        <f>IF($B32=0,1000000000,IF(INDEX('calcA'!$D$60:$EQ$99,$B32,139)*IF($W32=1,IJ32+AEY32,IJ32)=1,IF(AND($E32=2,IF($W32=1,AKN32,NY32)=0),1000000000,IF($V32=1,INDEX('calcA'!$D$130:$EQ$169,$B32,139)+IF(AND($E32=1,NY32=0),25,0),INDEX('calcA'!EL$110:EL$114,$F32+1)+IF(AND($E32=1,NY32=0),1000,0)+IF($H32=1,INDEX('calcA'!$D$180:$EQ$219,$B32,139)*500,0)-IF(AND('calcA'!EK$117=1,ZI32&gt;0),300,0)-IF(AND($U32=1,'calcA'!EL$117=1,IK32=0),300,0))),1000000000))</f>
        <v/>
      </c>
      <c r="TO32">
        <f>IF($B32=0,1000000000,IF(INDEX('calcA'!$D$60:$EQ$99,$B32,140)*IF($W32=1,IK32+AEZ32,IK32)=1,IF(AND($E32=2,IF($W32=1,AKO32,NZ32)=0),1000000000,IF($V32=1,INDEX('calcA'!$D$130:$EQ$169,$B32,140)+IF(AND($E32=1,NZ32=0),25,0),INDEX('calcA'!EM$110:EM$114,$F32+1)+IF(AND($E32=1,NZ32=0),1000,0)+IF($H32=1,INDEX('calcA'!$D$180:$EQ$219,$B32,140)*500,0)-IF(AND('calcA'!EL$117=1,ZJ32&gt;0),300,0)-IF(AND($U32=1,'calcA'!EM$117=1,IL32=0),300,0))),1000000000))</f>
        <v/>
      </c>
      <c r="TP32">
        <f>IF($B32=0,1000000000,IF(INDEX('calcA'!$D$60:$EQ$99,$B32,141)*IF($W32=1,IL32+AFA32,IL32)=1,IF(AND($E32=2,IF($W32=1,AKP32,OA32)=0),1000000000,IF($V32=1,INDEX('calcA'!$D$130:$EQ$169,$B32,141)+IF(AND($E32=1,OA32=0),25,0),INDEX('calcA'!EN$110:EN$114,$F32+1)+IF(AND($E32=1,OA32=0),1000,0)+IF($H32=1,INDEX('calcA'!$D$180:$EQ$219,$B32,141)*500,0)-IF(AND('calcA'!EM$117=1,ZK32&gt;0),300,0)-IF(AND($U32=1,'calcA'!EN$117=1,IM32=0),300,0))),1000000000))</f>
        <v/>
      </c>
      <c r="TQ32">
        <f>IF($B32=0,1000000000,IF(INDEX('calcA'!$D$60:$EQ$99,$B32,142)*IF($W32=1,IM32+AFB32,IM32)=1,IF(AND($E32=2,IF($W32=1,AKQ32,OB32)=0),1000000000,IF($V32=1,INDEX('calcA'!$D$130:$EQ$169,$B32,142)+IF(AND($E32=1,OB32=0),25,0),INDEX('calcA'!EO$110:EO$114,$F32+1)+IF(AND($E32=1,OB32=0),1000,0)+IF($H32=1,INDEX('calcA'!$D$180:$EQ$219,$B32,142)*500,0)-IF(AND('calcA'!EN$117=1,ZL32&gt;0),300,0)-IF(AND($U32=1,'calcA'!EO$117=1,IN32=0),300,0))),1000000000))</f>
        <v/>
      </c>
      <c r="TR32">
        <f>IF($B32=0,1000000000,IF(INDEX('calcA'!$D$60:$EQ$99,$B32,143)*IF($W32=1,IN32+AFC32,IN32)=1,IF(AND($E32=2,IF($W32=1,AKR32,OC32)=0),1000000000,IF($V32=1,INDEX('calcA'!$D$130:$EQ$169,$B32,143)+IF(AND($E32=1,OC32=0),25,0),INDEX('calcA'!EP$110:EP$114,$F32+1)+IF(AND($E32=1,OC32=0),1000,0)+IF($H32=1,INDEX('calcA'!$D$180:$EQ$219,$B32,143)*500,0)-IF(AND('calcA'!EO$117=1,ZM32&gt;0),300,0)-IF(AND($U32=1,'calcA'!EP$117=1,IO32=0),300,0))),1000000000))</f>
        <v/>
      </c>
      <c r="TS32">
        <f>IF($B32=0,1000000000,IF(INDEX('calcA'!$D$60:$EQ$99,$B32,144)*IF($W32=1,IO32+AFD32,IO32)=1,IF(AND($E32=2,IF($W32=1,AKS32,OD32)=0),1000000000,IF($V32=1,INDEX('calcA'!$D$130:$EQ$169,$B32,144)+IF(AND($E32=1,OD32=0),25,0),INDEX('calcA'!EQ$110:EQ$114,$F32+1)+IF(AND($E32=1,OD32=0),1000,0)+IF($H32=1,INDEX('calcA'!$D$180:$EQ$219,$B32,144)*500,0)-IF(AND('calcA'!EP$117=1,ZN32&gt;0),300,0))),1000000000))</f>
        <v/>
      </c>
      <c r="UB32">
        <f>UB31+IF(AND($C31=1,$U31=1),1,0)</f>
        <v/>
      </c>
      <c r="UC32">
        <f>UC31+IF(AND($C31=2,$U31=1),1,0)</f>
        <v/>
      </c>
      <c r="UD32">
        <f>UD31+IF(AND($C31=3,$U31=1),1,0)</f>
        <v/>
      </c>
      <c r="UE32">
        <f>UE31+IF(AND($C31=4,$U31=1),1,0)</f>
        <v/>
      </c>
      <c r="UF32">
        <f>UF31+IF(AND($C31=5,$U31=1),1,0)</f>
        <v/>
      </c>
      <c r="UG32">
        <f>UG31+IF(AND($C31=6,$U31=1),1,0)</f>
        <v/>
      </c>
      <c r="UH32">
        <f>UH31+IF(AND($C31=7,$U31=1),1,0)</f>
        <v/>
      </c>
      <c r="UI32">
        <f>UI31+IF(AND($C31=8,$U31=1),1,0)</f>
        <v/>
      </c>
      <c r="UJ32">
        <f>UJ31+IF(AND($C31=9,$U31=1),1,0)</f>
        <v/>
      </c>
      <c r="UK32">
        <f>UK31+IF(AND($C31=10,$U31=1),1,0)</f>
        <v/>
      </c>
      <c r="UL32">
        <f>UL31+IF(AND($C31=11,$U31=1),1,0)</f>
        <v/>
      </c>
      <c r="UM32">
        <f>UM31+IF(AND($C31=12,$U31=1),1,0)</f>
        <v/>
      </c>
      <c r="UN32">
        <f>UN31+IF(AND($C31=13,$U31=1),1,0)</f>
        <v/>
      </c>
      <c r="UO32">
        <f>UO31+IF(AND($C31=14,$U31=1),1,0)</f>
        <v/>
      </c>
      <c r="UP32">
        <f>UP31+IF(AND($C31=15,$U31=1),1,0)</f>
        <v/>
      </c>
      <c r="UQ32">
        <f>UQ31+IF(AND($C31=16,$U31=1),1,0)</f>
        <v/>
      </c>
      <c r="UR32">
        <f>UR31+IF(AND($C31=17,$U31=1),1,0)</f>
        <v/>
      </c>
      <c r="US32">
        <f>US31+IF(AND($C31=18,$U31=1),1,0)</f>
        <v/>
      </c>
      <c r="UT32">
        <f>UT31+IF(AND($C31=19,$U31=1),1,0)</f>
        <v/>
      </c>
      <c r="UU32">
        <f>UU31+IF(AND($C31=20,$U31=1),1,0)</f>
        <v/>
      </c>
      <c r="UV32">
        <f>UV31+IF(AND($C31=21,$U31=1),1,0)</f>
        <v/>
      </c>
      <c r="UW32">
        <f>UW31+IF(AND($C31=22,$U31=1),1,0)</f>
        <v/>
      </c>
      <c r="UX32">
        <f>UX31+IF(AND($C31=23,$U31=1),1,0)</f>
        <v/>
      </c>
      <c r="UY32">
        <f>UY31+IF(AND($C31=24,$U31=1),1,0)</f>
        <v/>
      </c>
      <c r="UZ32">
        <f>UZ31+IF(AND($C31=25,$U31=1),1,0)</f>
        <v/>
      </c>
      <c r="VA32">
        <f>VA31+IF(AND($C31=26,$U31=1),1,0)</f>
        <v/>
      </c>
      <c r="VB32">
        <f>VB31+IF(AND($C31=27,$U31=1),1,0)</f>
        <v/>
      </c>
      <c r="VC32">
        <f>VC31+IF(AND($C31=28,$U31=1),1,0)</f>
        <v/>
      </c>
      <c r="VD32">
        <f>VD31+IF(AND($C31=29,$U31=1),1,0)</f>
        <v/>
      </c>
      <c r="VE32">
        <f>VE31+IF(AND($C31=30,$U31=1),1,0)</f>
        <v/>
      </c>
      <c r="VF32">
        <f>VF31+IF(AND($C31=31,$U31=1),1,0)</f>
        <v/>
      </c>
      <c r="VG32">
        <f>VG31+IF(AND($C31=32,$U31=1),1,0)</f>
        <v/>
      </c>
      <c r="VH32">
        <f>VH31+IF(AND($C31=33,$U31=1),1,0)</f>
        <v/>
      </c>
      <c r="VI32">
        <f>VI31+IF(AND($C31=34,$U31=1),1,0)</f>
        <v/>
      </c>
      <c r="VJ32">
        <f>VJ31+IF(AND($C31=35,$U31=1),1,0)</f>
        <v/>
      </c>
      <c r="VK32">
        <f>VK31+IF(AND($C31=36,$U31=1),1,0)</f>
        <v/>
      </c>
      <c r="VL32">
        <f>VL31+IF(AND($C31=37,$U31=1),1,0)</f>
        <v/>
      </c>
      <c r="VM32">
        <f>VM31+IF(AND($C31=38,$U31=1),1,0)</f>
        <v/>
      </c>
      <c r="VN32">
        <f>VN31+IF(AND($C31=39,$U31=1),1,0)</f>
        <v/>
      </c>
      <c r="VO32">
        <f>VO31+IF(AND($C31=40,$U31=1),1,0)</f>
        <v/>
      </c>
      <c r="VP32">
        <f>VP31+IF(AND($C31=41,$U31=1),1,0)</f>
        <v/>
      </c>
      <c r="VQ32">
        <f>VQ31+IF(AND($C31=42,$U31=1),1,0)</f>
        <v/>
      </c>
      <c r="VR32">
        <f>VR31+IF(AND($C31=43,$U31=1),1,0)</f>
        <v/>
      </c>
      <c r="VS32">
        <f>VS31+IF(AND($C31=44,$U31=1),1,0)</f>
        <v/>
      </c>
      <c r="VT32">
        <f>VT31+IF(AND($C31=45,$U31=1),1,0)</f>
        <v/>
      </c>
      <c r="VU32">
        <f>VU31+IF(AND($C31=46,$U31=1),1,0)</f>
        <v/>
      </c>
      <c r="VV32">
        <f>VV31+IF(AND($C31=47,$U31=1),1,0)</f>
        <v/>
      </c>
      <c r="VW32">
        <f>VW31+IF(AND($C31=48,$U31=1),1,0)</f>
        <v/>
      </c>
      <c r="VX32">
        <f>VX31+IF(AND($C31=49,$U31=1),1,0)</f>
        <v/>
      </c>
      <c r="VY32">
        <f>VY31+IF(AND($C31=50,$U31=1),1,0)</f>
        <v/>
      </c>
      <c r="VZ32">
        <f>VZ31+IF(AND($C31=51,$U31=1),1,0)</f>
        <v/>
      </c>
      <c r="WA32">
        <f>WA31+IF(AND($C31=52,$U31=1),1,0)</f>
        <v/>
      </c>
      <c r="WB32">
        <f>WB31+IF(AND($C31=53,$U31=1),1,0)</f>
        <v/>
      </c>
      <c r="WC32">
        <f>WC31+IF(AND($C31=54,$U31=1),1,0)</f>
        <v/>
      </c>
      <c r="WD32">
        <f>WD31+IF(AND($C31=55,$U31=1),1,0)</f>
        <v/>
      </c>
      <c r="WE32">
        <f>WE31+IF(AND($C31=56,$U31=1),1,0)</f>
        <v/>
      </c>
      <c r="WF32">
        <f>WF31+IF(AND($C31=57,$U31=1),1,0)</f>
        <v/>
      </c>
      <c r="WG32">
        <f>WG31+IF(AND($C31=58,$U31=1),1,0)</f>
        <v/>
      </c>
      <c r="WH32">
        <f>WH31+IF(AND($C31=59,$U31=1),1,0)</f>
        <v/>
      </c>
      <c r="WI32">
        <f>WI31+IF(AND($C31=60,$U31=1),1,0)</f>
        <v/>
      </c>
      <c r="WJ32">
        <f>WJ31+IF(AND($C31=61,$U31=1),1,0)</f>
        <v/>
      </c>
      <c r="WK32">
        <f>WK31+IF(AND($C31=62,$U31=1),1,0)</f>
        <v/>
      </c>
      <c r="WL32">
        <f>WL31+IF(AND($C31=63,$U31=1),1,0)</f>
        <v/>
      </c>
      <c r="WM32">
        <f>WM31+IF(AND($C31=64,$U31=1),1,0)</f>
        <v/>
      </c>
      <c r="WN32">
        <f>WN31+IF(AND($C31=65,$U31=1),1,0)</f>
        <v/>
      </c>
      <c r="WO32">
        <f>WO31+IF(AND($C31=66,$U31=1),1,0)</f>
        <v/>
      </c>
      <c r="WP32">
        <f>WP31+IF(AND($C31=67,$U31=1),1,0)</f>
        <v/>
      </c>
      <c r="WQ32">
        <f>WQ31+IF(AND($C31=68,$U31=1),1,0)</f>
        <v/>
      </c>
      <c r="WR32">
        <f>WR31+IF(AND($C31=69,$U31=1),1,0)</f>
        <v/>
      </c>
      <c r="WS32">
        <f>WS31+IF(AND($C31=70,$U31=1),1,0)</f>
        <v/>
      </c>
      <c r="WT32">
        <f>WT31+IF(AND($C31=71,$U31=1),1,0)</f>
        <v/>
      </c>
      <c r="WU32">
        <f>WU31+IF(AND($C31=72,$U31=1),1,0)</f>
        <v/>
      </c>
      <c r="WV32">
        <f>WV31+IF(AND($C31=73,$U31=1),1,0)</f>
        <v/>
      </c>
      <c r="WW32">
        <f>WW31+IF(AND($C31=74,$U31=1),1,0)</f>
        <v/>
      </c>
      <c r="WX32">
        <f>WX31+IF(AND($C31=75,$U31=1),1,0)</f>
        <v/>
      </c>
      <c r="WY32">
        <f>WY31+IF(AND($C31=76,$U31=1),1,0)</f>
        <v/>
      </c>
      <c r="WZ32">
        <f>WZ31+IF(AND($C31=77,$U31=1),1,0)</f>
        <v/>
      </c>
      <c r="XA32">
        <f>XA31+IF(AND($C31=78,$U31=1),1,0)</f>
        <v/>
      </c>
      <c r="XB32">
        <f>XB31+IF(AND($C31=79,$U31=1),1,0)</f>
        <v/>
      </c>
      <c r="XC32">
        <f>XC31+IF(AND($C31=80,$U31=1),1,0)</f>
        <v/>
      </c>
      <c r="XD32">
        <f>XD31+IF(AND($C31=81,$U31=1),1,0)</f>
        <v/>
      </c>
      <c r="XE32">
        <f>XE31+IF(AND($C31=82,$U31=1),1,0)</f>
        <v/>
      </c>
      <c r="XF32">
        <f>XF31+IF(AND($C31=83,$U31=1),1,0)</f>
        <v/>
      </c>
      <c r="XG32">
        <f>XG31+IF(AND($C31=84,$U31=1),1,0)</f>
        <v/>
      </c>
      <c r="XH32">
        <f>XH31+IF(AND($C31=85,$U31=1),1,0)</f>
        <v/>
      </c>
      <c r="XI32">
        <f>XI31+IF(AND($C31=86,$U31=1),1,0)</f>
        <v/>
      </c>
      <c r="XJ32">
        <f>XJ31+IF(AND($C31=87,$U31=1),1,0)</f>
        <v/>
      </c>
      <c r="XK32">
        <f>XK31+IF(AND($C31=88,$U31=1),1,0)</f>
        <v/>
      </c>
      <c r="XL32">
        <f>XL31+IF(AND($C31=89,$U31=1),1,0)</f>
        <v/>
      </c>
      <c r="XM32">
        <f>XM31+IF(AND($C31=90,$U31=1),1,0)</f>
        <v/>
      </c>
      <c r="XN32">
        <f>XN31+IF(AND($C31=91,$U31=1),1,0)</f>
        <v/>
      </c>
      <c r="XO32">
        <f>XO31+IF(AND($C31=92,$U31=1),1,0)</f>
        <v/>
      </c>
      <c r="XP32">
        <f>XP31+IF(AND($C31=93,$U31=1),1,0)</f>
        <v/>
      </c>
      <c r="XQ32">
        <f>XQ31+IF(AND($C31=94,$U31=1),1,0)</f>
        <v/>
      </c>
      <c r="XR32">
        <f>XR31+IF(AND($C31=95,$U31=1),1,0)</f>
        <v/>
      </c>
      <c r="XS32">
        <f>XS31+IF(AND($C31=96,$U31=1),1,0)</f>
        <v/>
      </c>
      <c r="XT32">
        <f>XT31+IF(AND($C31=97,$U31=1),1,0)</f>
        <v/>
      </c>
      <c r="XU32">
        <f>XU31+IF(AND($C31=98,$U31=1),1,0)</f>
        <v/>
      </c>
      <c r="XV32">
        <f>XV31+IF(AND($C31=99,$U31=1),1,0)</f>
        <v/>
      </c>
      <c r="XW32">
        <f>XW31+IF(AND($C31=100,$U31=1),1,0)</f>
        <v/>
      </c>
      <c r="XX32">
        <f>XX31+IF(AND($C31=101,$U31=1),1,0)</f>
        <v/>
      </c>
      <c r="XY32">
        <f>XY31+IF(AND($C31=102,$U31=1),1,0)</f>
        <v/>
      </c>
      <c r="XZ32">
        <f>XZ31+IF(AND($C31=103,$U31=1),1,0)</f>
        <v/>
      </c>
      <c r="YA32">
        <f>YA31+IF(AND($C31=104,$U31=1),1,0)</f>
        <v/>
      </c>
      <c r="YB32">
        <f>YB31+IF(AND($C31=105,$U31=1),1,0)</f>
        <v/>
      </c>
      <c r="YC32">
        <f>YC31+IF(AND($C31=106,$U31=1),1,0)</f>
        <v/>
      </c>
      <c r="YD32">
        <f>YD31+IF(AND($C31=107,$U31=1),1,0)</f>
        <v/>
      </c>
      <c r="YE32">
        <f>YE31+IF(AND($C31=108,$U31=1),1,0)</f>
        <v/>
      </c>
      <c r="YF32">
        <f>YF31+IF(AND($C31=109,$U31=1),1,0)</f>
        <v/>
      </c>
      <c r="YG32">
        <f>YG31+IF(AND($C31=110,$U31=1),1,0)</f>
        <v/>
      </c>
      <c r="YH32">
        <f>YH31+IF(AND($C31=111,$U31=1),1,0)</f>
        <v/>
      </c>
      <c r="YI32">
        <f>YI31+IF(AND($C31=112,$U31=1),1,0)</f>
        <v/>
      </c>
      <c r="YJ32">
        <f>YJ31+IF(AND($C31=113,$U31=1),1,0)</f>
        <v/>
      </c>
      <c r="YK32">
        <f>YK31+IF(AND($C31=114,$U31=1),1,0)</f>
        <v/>
      </c>
      <c r="YL32">
        <f>YL31+IF(AND($C31=115,$U31=1),1,0)</f>
        <v/>
      </c>
      <c r="YM32">
        <f>YM31+IF(AND($C31=116,$U31=1),1,0)</f>
        <v/>
      </c>
      <c r="YN32">
        <f>YN31+IF(AND($C31=117,$U31=1),1,0)</f>
        <v/>
      </c>
      <c r="YO32">
        <f>YO31+IF(AND($C31=118,$U31=1),1,0)</f>
        <v/>
      </c>
      <c r="YP32">
        <f>YP31+IF(AND($C31=119,$U31=1),1,0)</f>
        <v/>
      </c>
      <c r="YQ32">
        <f>YQ31+IF(AND($C31=120,$U31=1),1,0)</f>
        <v/>
      </c>
      <c r="YR32">
        <f>YR31+IF(AND($C31=121,$U31=1),1,0)</f>
        <v/>
      </c>
      <c r="YS32">
        <f>YS31+IF(AND($C31=122,$U31=1),1,0)</f>
        <v/>
      </c>
      <c r="YT32">
        <f>YT31+IF(AND($C31=123,$U31=1),1,0)</f>
        <v/>
      </c>
      <c r="YU32">
        <f>YU31+IF(AND($C31=124,$U31=1),1,0)</f>
        <v/>
      </c>
      <c r="YV32">
        <f>YV31+IF(AND($C31=125,$U31=1),1,0)</f>
        <v/>
      </c>
      <c r="YW32">
        <f>YW31+IF(AND($C31=126,$U31=1),1,0)</f>
        <v/>
      </c>
      <c r="YX32">
        <f>YX31+IF(AND($C31=127,$U31=1),1,0)</f>
        <v/>
      </c>
      <c r="YY32">
        <f>YY31+IF(AND($C31=128,$U31=1),1,0)</f>
        <v/>
      </c>
      <c r="YZ32">
        <f>YZ31+IF(AND($C31=129,$U31=1),1,0)</f>
        <v/>
      </c>
      <c r="ZA32">
        <f>ZA31+IF(AND($C31=130,$U31=1),1,0)</f>
        <v/>
      </c>
      <c r="ZB32">
        <f>ZB31+IF(AND($C31=131,$U31=1),1,0)</f>
        <v/>
      </c>
      <c r="ZC32">
        <f>ZC31+IF(AND($C31=132,$U31=1),1,0)</f>
        <v/>
      </c>
      <c r="ZD32">
        <f>ZD31+IF(AND($C31=133,$U31=1),1,0)</f>
        <v/>
      </c>
      <c r="ZE32">
        <f>ZE31+IF(AND($C31=134,$U31=1),1,0)</f>
        <v/>
      </c>
      <c r="ZF32">
        <f>ZF31+IF(AND($C31=135,$U31=1),1,0)</f>
        <v/>
      </c>
      <c r="ZG32">
        <f>ZG31+IF(AND($C31=136,$U31=1),1,0)</f>
        <v/>
      </c>
      <c r="ZH32">
        <f>ZH31+IF(AND($C31=137,$U31=1),1,0)</f>
        <v/>
      </c>
      <c r="ZI32">
        <f>ZI31+IF(AND($C31=138,$U31=1),1,0)</f>
        <v/>
      </c>
      <c r="ZJ32">
        <f>ZJ31+IF(AND($C31=139,$U31=1),1,0)</f>
        <v/>
      </c>
      <c r="ZK32">
        <f>ZK31+IF(AND($C31=140,$U31=1),1,0)</f>
        <v/>
      </c>
      <c r="ZL32">
        <f>ZL31+IF(AND($C31=141,$U31=1),1,0)</f>
        <v/>
      </c>
      <c r="ZM32">
        <f>ZM31+IF(AND($C31=142,$U31=1),1,0)</f>
        <v/>
      </c>
      <c r="ZN32">
        <f>ZN31+IF(AND($C31=143,$U31=1),1,0)</f>
        <v/>
      </c>
      <c r="ZO32">
        <f>ZO31+IF(AND($C31=144,$U31=1),1,0)</f>
        <v/>
      </c>
      <c r="ZQ32">
        <f>IF($C31=1,0,ZQ31+IF(AND($G31=1,$E31=1),1,0))</f>
        <v/>
      </c>
      <c r="ZR32">
        <f>IF($C31=2,0,ZR31+IF(AND($G31=2,$E31=1),1,0))</f>
        <v/>
      </c>
      <c r="ZS32">
        <f>IF($C31=3,0,ZS31+IF(AND($G31=3,$E31=1),1,0))</f>
        <v/>
      </c>
      <c r="ZT32">
        <f>IF($C31=4,0,ZT31+IF(AND($G31=4,$E31=1),1,0))</f>
        <v/>
      </c>
      <c r="ZU32">
        <f>IF($C31=5,0,ZU31+IF(AND($G31=5,$E31=1),1,0))</f>
        <v/>
      </c>
      <c r="ZV32">
        <f>IF($C31=6,0,ZV31+IF(AND($G31=6,$E31=1),1,0))</f>
        <v/>
      </c>
      <c r="ZW32">
        <f>IF($C31=7,0,ZW31+IF(AND($G31=7,$E31=1),1,0))</f>
        <v/>
      </c>
      <c r="ZX32">
        <f>IF($C31=8,0,ZX31+IF(AND($G31=8,$E31=1),1,0))</f>
        <v/>
      </c>
      <c r="ZY32">
        <f>IF($C31=9,0,ZY31+IF(AND($G31=9,$E31=1),1,0))</f>
        <v/>
      </c>
      <c r="ZZ32">
        <f>IF($C31=10,0,ZZ31+IF(AND($G31=10,$E31=1),1,0))</f>
        <v/>
      </c>
      <c r="AAA32">
        <f>IF($C31=11,0,AAA31+IF(AND($G31=11,$E31=1),1,0))</f>
        <v/>
      </c>
      <c r="AAB32">
        <f>IF($C31=12,0,AAB31+IF(AND($G31=12,$E31=1),1,0))</f>
        <v/>
      </c>
      <c r="AAC32">
        <f>IF($C31=13,0,AAC31+IF(AND($G31=13,$E31=1),1,0))</f>
        <v/>
      </c>
      <c r="AAD32">
        <f>IF($C31=14,0,AAD31+IF(AND($G31=14,$E31=1),1,0))</f>
        <v/>
      </c>
      <c r="AAE32">
        <f>IF($C31=15,0,AAE31+IF(AND($G31=15,$E31=1),1,0))</f>
        <v/>
      </c>
      <c r="AAF32">
        <f>IF($C31=16,0,AAF31+IF(AND($G31=16,$E31=1),1,0))</f>
        <v/>
      </c>
      <c r="AAG32">
        <f>IF($C31=17,0,AAG31+IF(AND($G31=17,$E31=1),1,0))</f>
        <v/>
      </c>
      <c r="AAH32">
        <f>IF($C31=18,0,AAH31+IF(AND($G31=18,$E31=1),1,0))</f>
        <v/>
      </c>
      <c r="AAI32">
        <f>IF($C31=19,0,AAI31+IF(AND($G31=19,$E31=1),1,0))</f>
        <v/>
      </c>
      <c r="AAJ32">
        <f>IF($C31=20,0,AAJ31+IF(AND($G31=20,$E31=1),1,0))</f>
        <v/>
      </c>
      <c r="AAK32">
        <f>IF($C31=21,0,AAK31+IF(AND($G31=21,$E31=1),1,0))</f>
        <v/>
      </c>
      <c r="AAL32">
        <f>IF($C31=22,0,AAL31+IF(AND($G31=22,$E31=1),1,0))</f>
        <v/>
      </c>
      <c r="AAM32">
        <f>IF($C31=23,0,AAM31+IF(AND($G31=23,$E31=1),1,0))</f>
        <v/>
      </c>
      <c r="AAN32">
        <f>IF($C31=24,0,AAN31+IF(AND($G31=24,$E31=1),1,0))</f>
        <v/>
      </c>
      <c r="AAO32">
        <f>IF($C31=25,0,AAO31+IF(AND($G31=25,$E31=1),1,0))</f>
        <v/>
      </c>
      <c r="AAP32">
        <f>IF($C31=26,0,AAP31+IF(AND($G31=26,$E31=1),1,0))</f>
        <v/>
      </c>
      <c r="AAQ32">
        <f>IF($C31=27,0,AAQ31+IF(AND($G31=27,$E31=1),1,0))</f>
        <v/>
      </c>
      <c r="AAR32">
        <f>IF($C31=28,0,AAR31+IF(AND($G31=28,$E31=1),1,0))</f>
        <v/>
      </c>
      <c r="AAS32">
        <f>IF($C31=29,0,AAS31+IF(AND($G31=29,$E31=1),1,0))</f>
        <v/>
      </c>
      <c r="AAT32">
        <f>IF($C31=30,0,AAT31+IF(AND($G31=30,$E31=1),1,0))</f>
        <v/>
      </c>
      <c r="AAU32">
        <f>IF($C31=31,0,AAU31+IF(AND($G31=31,$E31=1),1,0))</f>
        <v/>
      </c>
      <c r="AAV32">
        <f>IF($C31=32,0,AAV31+IF(AND($G31=32,$E31=1),1,0))</f>
        <v/>
      </c>
      <c r="AAW32">
        <f>IF($C31=33,0,AAW31+IF(AND($G31=33,$E31=1),1,0))</f>
        <v/>
      </c>
      <c r="AAX32">
        <f>IF($C31=34,0,AAX31+IF(AND($G31=34,$E31=1),1,0))</f>
        <v/>
      </c>
      <c r="AAY32">
        <f>IF($C31=35,0,AAY31+IF(AND($G31=35,$E31=1),1,0))</f>
        <v/>
      </c>
      <c r="AAZ32">
        <f>IF($C31=36,0,AAZ31+IF(AND($G31=36,$E31=1),1,0))</f>
        <v/>
      </c>
      <c r="ABA32">
        <f>IF($C31=37,0,ABA31+IF(AND($G31=37,$E31=1),1,0))</f>
        <v/>
      </c>
      <c r="ABB32">
        <f>IF($C31=38,0,ABB31+IF(AND($G31=38,$E31=1),1,0))</f>
        <v/>
      </c>
      <c r="ABC32">
        <f>IF($C31=39,0,ABC31+IF(AND($G31=39,$E31=1),1,0))</f>
        <v/>
      </c>
      <c r="ABD32">
        <f>IF($C31=40,0,ABD31+IF(AND($G31=40,$E31=1),1,0))</f>
        <v/>
      </c>
      <c r="ABE32">
        <f>IF($C31=41,0,ABE31+IF(AND($G31=41,$E31=1),1,0))</f>
        <v/>
      </c>
      <c r="ABF32">
        <f>IF($C31=42,0,ABF31+IF(AND($G31=42,$E31=1),1,0))</f>
        <v/>
      </c>
      <c r="ABG32">
        <f>IF($C31=43,0,ABG31+IF(AND($G31=43,$E31=1),1,0))</f>
        <v/>
      </c>
      <c r="ABH32">
        <f>IF($C31=44,0,ABH31+IF(AND($G31=44,$E31=1),1,0))</f>
        <v/>
      </c>
      <c r="ABI32">
        <f>IF($C31=45,0,ABI31+IF(AND($G31=45,$E31=1),1,0))</f>
        <v/>
      </c>
      <c r="ABJ32">
        <f>IF($C31=46,0,ABJ31+IF(AND($G31=46,$E31=1),1,0))</f>
        <v/>
      </c>
      <c r="ABK32">
        <f>IF($C31=47,0,ABK31+IF(AND($G31=47,$E31=1),1,0))</f>
        <v/>
      </c>
      <c r="ABL32">
        <f>IF($C31=48,0,ABL31+IF(AND($G31=48,$E31=1),1,0))</f>
        <v/>
      </c>
      <c r="ABM32">
        <f>IF($C31=49,0,ABM31+IF(AND($G31=49,$E31=1),1,0))</f>
        <v/>
      </c>
      <c r="ABN32">
        <f>IF($C31=50,0,ABN31+IF(AND($G31=50,$E31=1),1,0))</f>
        <v/>
      </c>
      <c r="ABO32">
        <f>IF($C31=51,0,ABO31+IF(AND($G31=51,$E31=1),1,0))</f>
        <v/>
      </c>
      <c r="ABP32">
        <f>IF($C31=52,0,ABP31+IF(AND($G31=52,$E31=1),1,0))</f>
        <v/>
      </c>
      <c r="ABQ32">
        <f>IF($C31=53,0,ABQ31+IF(AND($G31=53,$E31=1),1,0))</f>
        <v/>
      </c>
      <c r="ABR32">
        <f>IF($C31=54,0,ABR31+IF(AND($G31=54,$E31=1),1,0))</f>
        <v/>
      </c>
      <c r="ABS32">
        <f>IF($C31=55,0,ABS31+IF(AND($G31=55,$E31=1),1,0))</f>
        <v/>
      </c>
      <c r="ABT32">
        <f>IF($C31=56,0,ABT31+IF(AND($G31=56,$E31=1),1,0))</f>
        <v/>
      </c>
      <c r="ABU32">
        <f>IF($C31=57,0,ABU31+IF(AND($G31=57,$E31=1),1,0))</f>
        <v/>
      </c>
      <c r="ABV32">
        <f>IF($C31=58,0,ABV31+IF(AND($G31=58,$E31=1),1,0))</f>
        <v/>
      </c>
      <c r="ABW32">
        <f>IF($C31=59,0,ABW31+IF(AND($G31=59,$E31=1),1,0))</f>
        <v/>
      </c>
      <c r="ABX32">
        <f>IF($C31=60,0,ABX31+IF(AND($G31=60,$E31=1),1,0))</f>
        <v/>
      </c>
      <c r="ABY32">
        <f>IF($C31=61,0,ABY31+IF(AND($G31=61,$E31=1),1,0))</f>
        <v/>
      </c>
      <c r="ABZ32">
        <f>IF($C31=62,0,ABZ31+IF(AND($G31=62,$E31=1),1,0))</f>
        <v/>
      </c>
      <c r="ACA32">
        <f>IF($C31=63,0,ACA31+IF(AND($G31=63,$E31=1),1,0))</f>
        <v/>
      </c>
      <c r="ACB32">
        <f>IF($C31=64,0,ACB31+IF(AND($G31=64,$E31=1),1,0))</f>
        <v/>
      </c>
      <c r="ACC32">
        <f>IF($C31=65,0,ACC31+IF(AND($G31=65,$E31=1),1,0))</f>
        <v/>
      </c>
      <c r="ACD32">
        <f>IF($C31=66,0,ACD31+IF(AND($G31=66,$E31=1),1,0))</f>
        <v/>
      </c>
      <c r="ACE32">
        <f>IF($C31=67,0,ACE31+IF(AND($G31=67,$E31=1),1,0))</f>
        <v/>
      </c>
      <c r="ACF32">
        <f>IF($C31=68,0,ACF31+IF(AND($G31=68,$E31=1),1,0))</f>
        <v/>
      </c>
      <c r="ACG32">
        <f>IF($C31=69,0,ACG31+IF(AND($G31=69,$E31=1),1,0))</f>
        <v/>
      </c>
      <c r="ACH32">
        <f>IF($C31=70,0,ACH31+IF(AND($G31=70,$E31=1),1,0))</f>
        <v/>
      </c>
      <c r="ACI32">
        <f>IF($C31=71,0,ACI31+IF(AND($G31=71,$E31=1),1,0))</f>
        <v/>
      </c>
      <c r="ACJ32">
        <f>IF($C31=72,0,ACJ31+IF(AND($G31=72,$E31=1),1,0))</f>
        <v/>
      </c>
      <c r="ACK32">
        <f>IF($C31=73,0,ACK31+IF(AND($G31=73,$E31=1),1,0))</f>
        <v/>
      </c>
      <c r="ACL32">
        <f>IF($C31=74,0,ACL31+IF(AND($G31=74,$E31=1),1,0))</f>
        <v/>
      </c>
      <c r="ACM32">
        <f>IF($C31=75,0,ACM31+IF(AND($G31=75,$E31=1),1,0))</f>
        <v/>
      </c>
      <c r="ACN32">
        <f>IF($C31=76,0,ACN31+IF(AND($G31=76,$E31=1),1,0))</f>
        <v/>
      </c>
      <c r="ACO32">
        <f>IF($C31=77,0,ACO31+IF(AND($G31=77,$E31=1),1,0))</f>
        <v/>
      </c>
      <c r="ACP32">
        <f>IF($C31=78,0,ACP31+IF(AND($G31=78,$E31=1),1,0))</f>
        <v/>
      </c>
      <c r="ACQ32">
        <f>IF($C31=79,0,ACQ31+IF(AND($G31=79,$E31=1),1,0))</f>
        <v/>
      </c>
      <c r="ACR32">
        <f>IF($C31=80,0,ACR31+IF(AND($G31=80,$E31=1),1,0))</f>
        <v/>
      </c>
      <c r="ACS32">
        <f>IF($C31=81,0,ACS31+IF(AND($G31=81,$E31=1),1,0))</f>
        <v/>
      </c>
      <c r="ACT32">
        <f>IF($C31=82,0,ACT31+IF(AND($G31=82,$E31=1),1,0))</f>
        <v/>
      </c>
      <c r="ACU32">
        <f>IF($C31=83,0,ACU31+IF(AND($G31=83,$E31=1),1,0))</f>
        <v/>
      </c>
      <c r="ACV32">
        <f>IF($C31=84,0,ACV31+IF(AND($G31=84,$E31=1),1,0))</f>
        <v/>
      </c>
      <c r="ACW32">
        <f>IF($C31=85,0,ACW31+IF(AND($G31=85,$E31=1),1,0))</f>
        <v/>
      </c>
      <c r="ACX32">
        <f>IF($C31=86,0,ACX31+IF(AND($G31=86,$E31=1),1,0))</f>
        <v/>
      </c>
      <c r="ACY32">
        <f>IF($C31=87,0,ACY31+IF(AND($G31=87,$E31=1),1,0))</f>
        <v/>
      </c>
      <c r="ACZ32">
        <f>IF($C31=88,0,ACZ31+IF(AND($G31=88,$E31=1),1,0))</f>
        <v/>
      </c>
      <c r="ADA32">
        <f>IF($C31=89,0,ADA31+IF(AND($G31=89,$E31=1),1,0))</f>
        <v/>
      </c>
      <c r="ADB32">
        <f>IF($C31=90,0,ADB31+IF(AND($G31=90,$E31=1),1,0))</f>
        <v/>
      </c>
      <c r="ADC32">
        <f>IF($C31=91,0,ADC31+IF(AND($G31=91,$E31=1),1,0))</f>
        <v/>
      </c>
      <c r="ADD32">
        <f>IF($C31=92,0,ADD31+IF(AND($G31=92,$E31=1),1,0))</f>
        <v/>
      </c>
      <c r="ADE32">
        <f>IF($C31=93,0,ADE31+IF(AND($G31=93,$E31=1),1,0))</f>
        <v/>
      </c>
      <c r="ADF32">
        <f>IF($C31=94,0,ADF31+IF(AND($G31=94,$E31=1),1,0))</f>
        <v/>
      </c>
      <c r="ADG32">
        <f>IF($C31=95,0,ADG31+IF(AND($G31=95,$E31=1),1,0))</f>
        <v/>
      </c>
      <c r="ADH32">
        <f>IF($C31=96,0,ADH31+IF(AND($G31=96,$E31=1),1,0))</f>
        <v/>
      </c>
      <c r="ADI32">
        <f>IF($C31=97,0,ADI31+IF(AND($G31=97,$E31=1),1,0))</f>
        <v/>
      </c>
      <c r="ADJ32">
        <f>IF($C31=98,0,ADJ31+IF(AND($G31=98,$E31=1),1,0))</f>
        <v/>
      </c>
      <c r="ADK32">
        <f>IF($C31=99,0,ADK31+IF(AND($G31=99,$E31=1),1,0))</f>
        <v/>
      </c>
      <c r="ADL32">
        <f>IF($C31=100,0,ADL31+IF(AND($G31=100,$E31=1),1,0))</f>
        <v/>
      </c>
      <c r="ADM32">
        <f>IF($C31=101,0,ADM31+IF(AND($G31=101,$E31=1),1,0))</f>
        <v/>
      </c>
      <c r="ADN32">
        <f>IF($C31=102,0,ADN31+IF(AND($G31=102,$E31=1),1,0))</f>
        <v/>
      </c>
      <c r="ADO32">
        <f>IF($C31=103,0,ADO31+IF(AND($G31=103,$E31=1),1,0))</f>
        <v/>
      </c>
      <c r="ADP32">
        <f>IF($C31=104,0,ADP31+IF(AND($G31=104,$E31=1),1,0))</f>
        <v/>
      </c>
      <c r="ADQ32">
        <f>IF($C31=105,0,ADQ31+IF(AND($G31=105,$E31=1),1,0))</f>
        <v/>
      </c>
      <c r="ADR32">
        <f>IF($C31=106,0,ADR31+IF(AND($G31=106,$E31=1),1,0))</f>
        <v/>
      </c>
      <c r="ADS32">
        <f>IF($C31=107,0,ADS31+IF(AND($G31=107,$E31=1),1,0))</f>
        <v/>
      </c>
      <c r="ADT32">
        <f>IF($C31=108,0,ADT31+IF(AND($G31=108,$E31=1),1,0))</f>
        <v/>
      </c>
      <c r="ADU32">
        <f>IF($C31=109,0,ADU31+IF(AND($G31=109,$E31=1),1,0))</f>
        <v/>
      </c>
      <c r="ADV32">
        <f>IF($C31=110,0,ADV31+IF(AND($G31=110,$E31=1),1,0))</f>
        <v/>
      </c>
      <c r="ADW32">
        <f>IF($C31=111,0,ADW31+IF(AND($G31=111,$E31=1),1,0))</f>
        <v/>
      </c>
      <c r="ADX32">
        <f>IF($C31=112,0,ADX31+IF(AND($G31=112,$E31=1),1,0))</f>
        <v/>
      </c>
      <c r="ADY32">
        <f>IF($C31=113,0,ADY31+IF(AND($G31=113,$E31=1),1,0))</f>
        <v/>
      </c>
      <c r="ADZ32">
        <f>IF($C31=114,0,ADZ31+IF(AND($G31=114,$E31=1),1,0))</f>
        <v/>
      </c>
      <c r="AEA32">
        <f>IF($C31=115,0,AEA31+IF(AND($G31=115,$E31=1),1,0))</f>
        <v/>
      </c>
      <c r="AEB32">
        <f>IF($C31=116,0,AEB31+IF(AND($G31=116,$E31=1),1,0))</f>
        <v/>
      </c>
      <c r="AEC32">
        <f>IF($C31=117,0,AEC31+IF(AND($G31=117,$E31=1),1,0))</f>
        <v/>
      </c>
      <c r="AED32">
        <f>IF($C31=118,0,AED31+IF(AND($G31=118,$E31=1),1,0))</f>
        <v/>
      </c>
      <c r="AEE32">
        <f>IF($C31=119,0,AEE31+IF(AND($G31=119,$E31=1),1,0))</f>
        <v/>
      </c>
      <c r="AEF32">
        <f>IF($C31=120,0,AEF31+IF(AND($G31=120,$E31=1),1,0))</f>
        <v/>
      </c>
      <c r="AEG32">
        <f>IF($C31=121,0,AEG31+IF(AND($G31=121,$E31=1),1,0))</f>
        <v/>
      </c>
      <c r="AEH32">
        <f>IF($C31=122,0,AEH31+IF(AND($G31=122,$E31=1),1,0))</f>
        <v/>
      </c>
      <c r="AEI32">
        <f>IF($C31=123,0,AEI31+IF(AND($G31=123,$E31=1),1,0))</f>
        <v/>
      </c>
      <c r="AEJ32">
        <f>IF($C31=124,0,AEJ31+IF(AND($G31=124,$E31=1),1,0))</f>
        <v/>
      </c>
      <c r="AEK32">
        <f>IF($C31=125,0,AEK31+IF(AND($G31=125,$E31=1),1,0))</f>
        <v/>
      </c>
      <c r="AEL32">
        <f>IF($C31=126,0,AEL31+IF(AND($G31=126,$E31=1),1,0))</f>
        <v/>
      </c>
      <c r="AEM32">
        <f>IF($C31=127,0,AEM31+IF(AND($G31=127,$E31=1),1,0))</f>
        <v/>
      </c>
      <c r="AEN32">
        <f>IF($C31=128,0,AEN31+IF(AND($G31=128,$E31=1),1,0))</f>
        <v/>
      </c>
      <c r="AEO32">
        <f>IF($C31=129,0,AEO31+IF(AND($G31=129,$E31=1),1,0))</f>
        <v/>
      </c>
      <c r="AEP32">
        <f>IF($C31=130,0,AEP31+IF(AND($G31=130,$E31=1),1,0))</f>
        <v/>
      </c>
      <c r="AEQ32">
        <f>IF($C31=131,0,AEQ31+IF(AND($G31=131,$E31=1),1,0))</f>
        <v/>
      </c>
      <c r="AER32">
        <f>IF($C31=132,0,AER31+IF(AND($G31=132,$E31=1),1,0))</f>
        <v/>
      </c>
      <c r="AES32">
        <f>IF($C31=133,0,AES31+IF(AND($G31=133,$E31=1),1,0))</f>
        <v/>
      </c>
      <c r="AET32">
        <f>IF($C31=134,0,AET31+IF(AND($G31=134,$E31=1),1,0))</f>
        <v/>
      </c>
      <c r="AEU32">
        <f>IF($C31=135,0,AEU31+IF(AND($G31=135,$E31=1),1,0))</f>
        <v/>
      </c>
      <c r="AEV32">
        <f>IF($C31=136,0,AEV31+IF(AND($G31=136,$E31=1),1,0))</f>
        <v/>
      </c>
      <c r="AEW32">
        <f>IF($C31=137,0,AEW31+IF(AND($G31=137,$E31=1),1,0))</f>
        <v/>
      </c>
      <c r="AEX32">
        <f>IF($C31=138,0,AEX31+IF(AND($G31=138,$E31=1),1,0))</f>
        <v/>
      </c>
      <c r="AEY32">
        <f>IF($C31=139,0,AEY31+IF(AND($G31=139,$E31=1),1,0))</f>
        <v/>
      </c>
      <c r="AEZ32">
        <f>IF($C31=140,0,AEZ31+IF(AND($G31=140,$E31=1),1,0))</f>
        <v/>
      </c>
      <c r="AFA32">
        <f>IF($C31=141,0,AFA31+IF(AND($G31=141,$E31=1),1,0))</f>
        <v/>
      </c>
      <c r="AFB32">
        <f>IF($C31=142,0,AFB31+IF(AND($G31=142,$E31=1),1,0))</f>
        <v/>
      </c>
      <c r="AFC32">
        <f>IF($C31=143,0,AFC31+IF(AND($G31=143,$E31=1),1,0))</f>
        <v/>
      </c>
      <c r="AFD32">
        <f>IF($C31=144,0,AFD31+IF(AND($G31=144,$E31=1),1,0))</f>
        <v/>
      </c>
      <c r="AFF32">
        <f>IF('calcA'!D$106=1,DC32+ZR32,1)</f>
        <v/>
      </c>
      <c r="AFG32">
        <f>IF('calcA'!E$106=1,DD32+ZS32,1)</f>
        <v/>
      </c>
      <c r="AFH32">
        <f>IF('calcA'!F$106=1,DE32+ZT32,1)</f>
        <v/>
      </c>
      <c r="AFI32">
        <f>IF('calcA'!G$106=1,DF32+ZU32,1)</f>
        <v/>
      </c>
      <c r="AFJ32">
        <f>IF('calcA'!H$106=1,DG32+ZV32,1)</f>
        <v/>
      </c>
      <c r="AFK32">
        <f>IF('calcA'!I$106=1,DH32+ZW32,1)</f>
        <v/>
      </c>
      <c r="AFL32">
        <f>IF('calcA'!J$106=1,DI32+ZX32,1)</f>
        <v/>
      </c>
      <c r="AFM32">
        <f>IF('calcA'!K$106=1,DJ32+ZY32,1)</f>
        <v/>
      </c>
      <c r="AFN32">
        <f>IF('calcA'!L$106=1,DK32+ZZ32,1)</f>
        <v/>
      </c>
      <c r="AFO32">
        <f>IF('calcA'!M$106=1,DL32+AAA32,1)</f>
        <v/>
      </c>
      <c r="AFP32">
        <f>IF('calcA'!N$106=1,DM32+AAB32,1)</f>
        <v/>
      </c>
      <c r="AFQ32">
        <f>IF('calcA'!O$106=1,DN32+AAC32,1)</f>
        <v/>
      </c>
      <c r="AFR32">
        <f>IF('calcA'!P$106=1,DO32+AAD32,1)</f>
        <v/>
      </c>
      <c r="AFS32">
        <f>IF('calcA'!Q$106=1,DP32+AAE32,1)</f>
        <v/>
      </c>
      <c r="AFT32">
        <f>IF('calcA'!R$106=1,DQ32+AAF32,1)</f>
        <v/>
      </c>
      <c r="AFU32">
        <f>IF('calcA'!S$106=1,DR32+AAG32,1)</f>
        <v/>
      </c>
      <c r="AFV32">
        <f>IF('calcA'!T$106=1,DS32+AAH32,1)</f>
        <v/>
      </c>
      <c r="AFW32">
        <f>IF('calcA'!U$106=1,DT32+AAI32,1)</f>
        <v/>
      </c>
      <c r="AFX32">
        <f>IF('calcA'!V$106=1,DU32+AAJ32,1)</f>
        <v/>
      </c>
      <c r="AFY32">
        <f>IF('calcA'!W$106=1,DV32+AAK32,1)</f>
        <v/>
      </c>
      <c r="AFZ32">
        <f>IF('calcA'!X$106=1,DW32+AAL32,1)</f>
        <v/>
      </c>
      <c r="AGA32">
        <f>IF('calcA'!Y$106=1,DX32+AAM32,1)</f>
        <v/>
      </c>
      <c r="AGB32">
        <f>IF('calcA'!Z$106=1,DY32+AAN32,1)</f>
        <v/>
      </c>
      <c r="AGC32">
        <f>IF('calcA'!AA$106=1,DZ32+AAO32,1)</f>
        <v/>
      </c>
      <c r="AGD32">
        <f>IF('calcA'!AB$106=1,EA32+AAP32,1)</f>
        <v/>
      </c>
      <c r="AGE32">
        <f>IF('calcA'!AC$106=1,EB32+AAQ32,1)</f>
        <v/>
      </c>
      <c r="AGF32">
        <f>IF('calcA'!AD$106=1,EC32+AAR32,1)</f>
        <v/>
      </c>
      <c r="AGG32">
        <f>IF('calcA'!AE$106=1,ED32+AAS32,1)</f>
        <v/>
      </c>
      <c r="AGH32">
        <f>IF('calcA'!AF$106=1,EE32+AAT32,1)</f>
        <v/>
      </c>
      <c r="AGI32">
        <f>IF('calcA'!AG$106=1,EF32+AAU32,1)</f>
        <v/>
      </c>
      <c r="AGJ32">
        <f>IF('calcA'!AH$106=1,EG32+AAV32,1)</f>
        <v/>
      </c>
      <c r="AGK32">
        <f>IF('calcA'!AI$106=1,EH32+AAW32,1)</f>
        <v/>
      </c>
      <c r="AGL32">
        <f>IF('calcA'!AJ$106=1,EI32+AAX32,1)</f>
        <v/>
      </c>
      <c r="AGM32">
        <f>IF('calcA'!AK$106=1,EJ32+AAY32,1)</f>
        <v/>
      </c>
      <c r="AGN32">
        <f>IF('calcA'!AL$106=1,EK32+AAZ32,1)</f>
        <v/>
      </c>
      <c r="AGO32">
        <f>IF('calcA'!AM$106=1,EL32+ABA32,1)</f>
        <v/>
      </c>
      <c r="AGP32">
        <f>IF('calcA'!AN$106=1,EM32+ABB32,1)</f>
        <v/>
      </c>
      <c r="AGQ32">
        <f>IF('calcA'!AO$106=1,EN32+ABC32,1)</f>
        <v/>
      </c>
      <c r="AGR32">
        <f>IF('calcA'!AP$106=1,EO32+ABD32,1)</f>
        <v/>
      </c>
      <c r="AGS32">
        <f>IF('calcA'!AQ$106=1,EP32+ABE32,1)</f>
        <v/>
      </c>
      <c r="AGT32">
        <f>IF('calcA'!AR$106=1,EQ32+ABF32,1)</f>
        <v/>
      </c>
      <c r="AGU32">
        <f>IF('calcA'!AS$106=1,ER32+ABG32,1)</f>
        <v/>
      </c>
      <c r="AGV32">
        <f>IF('calcA'!AT$106=1,ES32+ABH32,1)</f>
        <v/>
      </c>
      <c r="AGW32">
        <f>IF('calcA'!AU$106=1,ET32+ABI32,1)</f>
        <v/>
      </c>
      <c r="AGX32">
        <f>IF('calcA'!AV$106=1,EU32+ABJ32,1)</f>
        <v/>
      </c>
      <c r="AGY32">
        <f>IF('calcA'!AW$106=1,EV32+ABK32,1)</f>
        <v/>
      </c>
      <c r="AGZ32">
        <f>IF('calcA'!AX$106=1,EW32+ABL32,1)</f>
        <v/>
      </c>
      <c r="AHA32">
        <f>IF('calcA'!AY$106=1,EX32+ABM32,1)</f>
        <v/>
      </c>
      <c r="AHB32">
        <f>IF('calcA'!AZ$106=1,EY32+ABN32,1)</f>
        <v/>
      </c>
      <c r="AHC32">
        <f>IF('calcA'!BA$106=1,EZ32+ABO32,1)</f>
        <v/>
      </c>
      <c r="AHD32">
        <f>IF('calcA'!BB$106=1,FA32+ABP32,1)</f>
        <v/>
      </c>
      <c r="AHE32">
        <f>IF('calcA'!BC$106=1,FB32+ABQ32,1)</f>
        <v/>
      </c>
      <c r="AHF32">
        <f>IF('calcA'!BD$106=1,FC32+ABR32,1)</f>
        <v/>
      </c>
      <c r="AHG32">
        <f>IF('calcA'!BE$106=1,FD32+ABS32,1)</f>
        <v/>
      </c>
      <c r="AHH32">
        <f>IF('calcA'!BF$106=1,FE32+ABT32,1)</f>
        <v/>
      </c>
      <c r="AHI32">
        <f>IF('calcA'!BG$106=1,FF32+ABU32,1)</f>
        <v/>
      </c>
      <c r="AHJ32">
        <f>IF('calcA'!BH$106=1,FG32+ABV32,1)</f>
        <v/>
      </c>
      <c r="AHK32">
        <f>IF('calcA'!BI$106=1,FH32+ABW32,1)</f>
        <v/>
      </c>
      <c r="AHL32">
        <f>IF('calcA'!BJ$106=1,FI32+ABX32,1)</f>
        <v/>
      </c>
      <c r="AHM32">
        <f>IF('calcA'!BK$106=1,FJ32+ABY32,1)</f>
        <v/>
      </c>
      <c r="AHN32">
        <f>IF('calcA'!BL$106=1,FK32+ABZ32,1)</f>
        <v/>
      </c>
      <c r="AHO32">
        <f>IF('calcA'!BM$106=1,FL32+ACA32,1)</f>
        <v/>
      </c>
      <c r="AHP32">
        <f>IF('calcA'!BN$106=1,FM32+ACB32,1)</f>
        <v/>
      </c>
      <c r="AHQ32">
        <f>IF('calcA'!BO$106=1,FN32+ACC32,1)</f>
        <v/>
      </c>
      <c r="AHR32">
        <f>IF('calcA'!BP$106=1,FO32+ACD32,1)</f>
        <v/>
      </c>
      <c r="AHS32">
        <f>IF('calcA'!BQ$106=1,FP32+ACE32,1)</f>
        <v/>
      </c>
      <c r="AHT32">
        <f>IF('calcA'!BR$106=1,FQ32+ACF32,1)</f>
        <v/>
      </c>
      <c r="AHU32">
        <f>IF('calcA'!BS$106=1,FR32+ACG32,1)</f>
        <v/>
      </c>
      <c r="AHV32">
        <f>IF('calcA'!BT$106=1,FS32+ACH32,1)</f>
        <v/>
      </c>
      <c r="AHW32">
        <f>IF('calcA'!BU$106=1,FT32+ACI32,1)</f>
        <v/>
      </c>
      <c r="AHX32">
        <f>IF('calcA'!BV$106=1,FU32+ACJ32,1)</f>
        <v/>
      </c>
      <c r="AHY32">
        <f>IF('calcA'!BW$106=1,FV32+ACK32,1)</f>
        <v/>
      </c>
      <c r="AHZ32">
        <f>IF('calcA'!BX$106=1,FW32+ACL32,1)</f>
        <v/>
      </c>
      <c r="AIA32">
        <f>IF('calcA'!BY$106=1,FX32+ACM32,1)</f>
        <v/>
      </c>
      <c r="AIB32">
        <f>IF('calcA'!BZ$106=1,FY32+ACN32,1)</f>
        <v/>
      </c>
      <c r="AIC32">
        <f>IF('calcA'!CA$106=1,FZ32+ACO32,1)</f>
        <v/>
      </c>
      <c r="AID32">
        <f>IF('calcA'!CB$106=1,GA32+ACP32,1)</f>
        <v/>
      </c>
      <c r="AIE32">
        <f>IF('calcA'!CC$106=1,GB32+ACQ32,1)</f>
        <v/>
      </c>
      <c r="AIF32">
        <f>IF('calcA'!CD$106=1,GC32+ACR32,1)</f>
        <v/>
      </c>
      <c r="AIG32">
        <f>IF('calcA'!CE$106=1,GD32+ACS32,1)</f>
        <v/>
      </c>
      <c r="AIH32">
        <f>IF('calcA'!CF$106=1,GE32+ACT32,1)</f>
        <v/>
      </c>
      <c r="AII32">
        <f>IF('calcA'!CG$106=1,GF32+ACU32,1)</f>
        <v/>
      </c>
      <c r="AIJ32">
        <f>IF('calcA'!CH$106=1,GG32+ACV32,1)</f>
        <v/>
      </c>
      <c r="AIK32">
        <f>IF('calcA'!CI$106=1,GH32+ACW32,1)</f>
        <v/>
      </c>
      <c r="AIL32">
        <f>IF('calcA'!CJ$106=1,GI32+ACX32,1)</f>
        <v/>
      </c>
      <c r="AIM32">
        <f>IF('calcA'!CK$106=1,GJ32+ACY32,1)</f>
        <v/>
      </c>
      <c r="AIN32">
        <f>IF('calcA'!CL$106=1,GK32+ACZ32,1)</f>
        <v/>
      </c>
      <c r="AIO32">
        <f>IF('calcA'!CM$106=1,GL32+ADA32,1)</f>
        <v/>
      </c>
      <c r="AIP32">
        <f>IF('calcA'!CN$106=1,GM32+ADB32,1)</f>
        <v/>
      </c>
      <c r="AIQ32">
        <f>IF('calcA'!CO$106=1,GN32+ADC32,1)</f>
        <v/>
      </c>
      <c r="AIR32">
        <f>IF('calcA'!CP$106=1,GO32+ADD32,1)</f>
        <v/>
      </c>
      <c r="AIS32">
        <f>IF('calcA'!CQ$106=1,GP32+ADE32,1)</f>
        <v/>
      </c>
      <c r="AIT32">
        <f>IF('calcA'!CR$106=1,GQ32+ADF32,1)</f>
        <v/>
      </c>
      <c r="AIU32">
        <f>IF('calcA'!CS$106=1,GR32+ADG32,1)</f>
        <v/>
      </c>
      <c r="AIV32">
        <f>IF('calcA'!CT$106=1,GS32+ADH32,1)</f>
        <v/>
      </c>
      <c r="AIW32">
        <f>IF('calcA'!CU$106=1,GT32+ADI32,1)</f>
        <v/>
      </c>
      <c r="AIX32">
        <f>IF('calcA'!CV$106=1,GU32+ADJ32,1)</f>
        <v/>
      </c>
      <c r="AIY32">
        <f>IF('calcA'!CW$106=1,GV32+ADK32,1)</f>
        <v/>
      </c>
      <c r="AIZ32">
        <f>IF('calcA'!CX$106=1,GW32+ADL32,1)</f>
        <v/>
      </c>
      <c r="AJA32">
        <f>IF('calcA'!CY$106=1,GX32+ADM32,1)</f>
        <v/>
      </c>
      <c r="AJB32">
        <f>IF('calcA'!CZ$106=1,GY32+ADN32,1)</f>
        <v/>
      </c>
      <c r="AJC32">
        <f>IF('calcA'!DA$106=1,GZ32+ADO32,1)</f>
        <v/>
      </c>
      <c r="AJD32">
        <f>IF('calcA'!DB$106=1,HA32+ADP32,1)</f>
        <v/>
      </c>
      <c r="AJE32">
        <f>IF('calcA'!DC$106=1,HB32+ADQ32,1)</f>
        <v/>
      </c>
      <c r="AJF32">
        <f>IF('calcA'!DD$106=1,HC32+ADR32,1)</f>
        <v/>
      </c>
      <c r="AJG32">
        <f>IF('calcA'!DE$106=1,HD32+ADS32,1)</f>
        <v/>
      </c>
      <c r="AJH32">
        <f>IF('calcA'!DF$106=1,HE32+ADT32,1)</f>
        <v/>
      </c>
      <c r="AJI32">
        <f>IF('calcA'!DG$106=1,HF32+ADU32,1)</f>
        <v/>
      </c>
      <c r="AJJ32">
        <f>IF('calcA'!DH$106=1,HG32+ADV32,1)</f>
        <v/>
      </c>
      <c r="AJK32">
        <f>IF('calcA'!DI$106=1,HH32+ADW32,1)</f>
        <v/>
      </c>
      <c r="AJL32">
        <f>IF('calcA'!DJ$106=1,HI32+ADX32,1)</f>
        <v/>
      </c>
      <c r="AJM32">
        <f>IF('calcA'!DK$106=1,HJ32+ADY32,1)</f>
        <v/>
      </c>
      <c r="AJN32">
        <f>IF('calcA'!DL$106=1,HK32+ADZ32,1)</f>
        <v/>
      </c>
      <c r="AJO32">
        <f>IF('calcA'!DM$106=1,HL32+AEA32,1)</f>
        <v/>
      </c>
      <c r="AJP32">
        <f>IF('calcA'!DN$106=1,HM32+AEB32,1)</f>
        <v/>
      </c>
      <c r="AJQ32">
        <f>IF('calcA'!DO$106=1,HN32+AEC32,1)</f>
        <v/>
      </c>
      <c r="AJR32">
        <f>IF('calcA'!DP$106=1,HO32+AED32,1)</f>
        <v/>
      </c>
      <c r="AJS32">
        <f>IF('calcA'!DQ$106=1,HP32+AEE32,1)</f>
        <v/>
      </c>
      <c r="AJT32">
        <f>IF('calcA'!DR$106=1,HQ32+AEF32,1)</f>
        <v/>
      </c>
      <c r="AJU32">
        <f>IF('calcA'!DS$106=1,HR32+AEG32,1)</f>
        <v/>
      </c>
      <c r="AJV32">
        <f>IF('calcA'!DT$106=1,HS32+AEH32,1)</f>
        <v/>
      </c>
      <c r="AJW32">
        <f>IF('calcA'!DU$106=1,HT32+AEI32,1)</f>
        <v/>
      </c>
      <c r="AJX32">
        <f>IF('calcA'!DV$106=1,HU32+AEJ32,1)</f>
        <v/>
      </c>
      <c r="AJY32">
        <f>IF('calcA'!DW$106=1,HV32+AEK32,1)</f>
        <v/>
      </c>
      <c r="AJZ32">
        <f>IF('calcA'!DX$106=1,HW32+AEL32,1)</f>
        <v/>
      </c>
      <c r="AKA32">
        <f>IF('calcA'!DY$106=1,HX32+AEM32,1)</f>
        <v/>
      </c>
      <c r="AKB32">
        <f>IF('calcA'!DZ$106=1,HY32+AEN32,1)</f>
        <v/>
      </c>
      <c r="AKC32">
        <f>IF('calcA'!EA$106=1,HZ32+AEO32,1)</f>
        <v/>
      </c>
      <c r="AKD32">
        <f>IF('calcA'!EB$106=1,IA32+AEP32,1)</f>
        <v/>
      </c>
      <c r="AKE32">
        <f>IF('calcA'!EC$106=1,IB32+AEQ32,1)</f>
        <v/>
      </c>
      <c r="AKF32">
        <f>IF('calcA'!ED$106=1,IC32+AER32,1)</f>
        <v/>
      </c>
      <c r="AKG32">
        <f>IF('calcA'!EE$106=1,ID32+AES32,1)</f>
        <v/>
      </c>
      <c r="AKH32">
        <f>IF('calcA'!EF$106=1,IE32+AET32,1)</f>
        <v/>
      </c>
      <c r="AKI32">
        <f>IF('calcA'!EG$106=1,IF32+AEU32,1)</f>
        <v/>
      </c>
      <c r="AKJ32">
        <f>IF('calcA'!EH$106=1,IG32+AEV32,1)</f>
        <v/>
      </c>
      <c r="AKK32">
        <f>IF('calcA'!EI$106=1,IH32+AEW32,1)</f>
        <v/>
      </c>
      <c r="AKL32">
        <f>IF('calcA'!EJ$106=1,II32+AEX32,1)</f>
        <v/>
      </c>
      <c r="AKM32">
        <f>IF('calcA'!EK$106=1,IJ32+AEY32,1)</f>
        <v/>
      </c>
      <c r="AKN32">
        <f>IF('calcA'!EL$106=1,IK32+AEZ32,1)</f>
        <v/>
      </c>
      <c r="AKO32">
        <f>IF('calcA'!EM$106=1,IL32+AFA32,1)</f>
        <v/>
      </c>
      <c r="AKP32">
        <f>IF('calcA'!EN$106=1,IM32+AFB32,1)</f>
        <v/>
      </c>
      <c r="AKQ32">
        <f>IF('calcA'!EO$106=1,IN32+AFC32,1)</f>
        <v/>
      </c>
      <c r="AKR32">
        <f>IF('calcA'!EP$106=1,IO32+AFD32,1)</f>
        <v/>
      </c>
      <c r="AKS32" t="n">
        <v>1</v>
      </c>
    </row>
    <row r="33">
      <c r="A33" t="n">
        <v>31</v>
      </c>
      <c r="B33">
        <f>IF(MIN(BM33:CZ33)&gt;=1000000000,0,MATCH(MIN(BM33:CZ33),BM33:CZ33,0))</f>
        <v/>
      </c>
      <c r="C33">
        <f>IF(MIN(OF33:TS33)&gt;=1000000000,0,MATCH(MIN(OF33:TS33),OF33:TS33,0))</f>
        <v/>
      </c>
      <c r="D33">
        <f>IF(C33&gt;0,INDEX('calcA'!$D$5:$EQ$5,C33),0)</f>
        <v/>
      </c>
      <c r="E33">
        <f>IF(B33=0,0,INDEX('calcA'!$IQ$10:$IQ$54,B33))</f>
        <v/>
      </c>
      <c r="F33">
        <f>IF(B33=0,0,INDEX('calcA'!$IP$10:$IP$54,B33))</f>
        <v/>
      </c>
      <c r="G33">
        <f>IF(AND(C33&gt;0,E33&gt;0),IF(AND(INDEX('calcA'!$D$106:$EQ$106,C33)=1,INDEX($IQ33:$OD33,C33)=1),C33+1,0),0)</f>
        <v/>
      </c>
      <c r="H33">
        <f>IF(B33=0,0,INDEX('calcA'!$IW$10:$IW$54,B33))</f>
        <v/>
      </c>
      <c r="U33">
        <f>IF(B33=0,0,INDEX('calcA'!$IX$10:$IX$54,B33))</f>
        <v/>
      </c>
      <c r="V33">
        <f>IF(B33=0,0,INDEX('calcA'!$JF$10:$JF$54,B33))</f>
        <v/>
      </c>
      <c r="W33">
        <f>IF(B33=0,0,IF(IF(E33=2,SUMPRODUCT(INDEX('calcA'!$D$60:$EQ$99,B33,0),$DB33:$IO33,$IQ33:$OD33),SUMPRODUCT(INDEX('calcA'!$D$60:$EQ$99,B33,0),$DB33:$IO33))=0,1,0))</f>
        <v/>
      </c>
      <c r="X33">
        <f>MAX(X32,IF($B32=1,1,0))</f>
        <v/>
      </c>
      <c r="Y33">
        <f>MAX(Y32,IF($B32=2,1,0))</f>
        <v/>
      </c>
      <c r="Z33">
        <f>MAX(Z32,IF($B32=3,1,0))</f>
        <v/>
      </c>
      <c r="AA33">
        <f>MAX(AA32,IF($B32=4,1,0))</f>
        <v/>
      </c>
      <c r="AB33">
        <f>MAX(AB32,IF($B32=5,1,0))</f>
        <v/>
      </c>
      <c r="AC33">
        <f>MAX(AC32,IF($B32=6,1,0))</f>
        <v/>
      </c>
      <c r="AD33">
        <f>MAX(AD32,IF($B32=7,1,0))</f>
        <v/>
      </c>
      <c r="AE33">
        <f>MAX(AE32,IF($B32=8,1,0))</f>
        <v/>
      </c>
      <c r="AF33">
        <f>MAX(AF32,IF($B32=9,1,0))</f>
        <v/>
      </c>
      <c r="AG33">
        <f>MAX(AG32,IF($B32=10,1,0))</f>
        <v/>
      </c>
      <c r="AH33">
        <f>MAX(AH32,IF($B32=11,1,0))</f>
        <v/>
      </c>
      <c r="AI33">
        <f>MAX(AI32,IF($B32=12,1,0))</f>
        <v/>
      </c>
      <c r="AJ33">
        <f>MAX(AJ32,IF($B32=13,1,0))</f>
        <v/>
      </c>
      <c r="AK33">
        <f>MAX(AK32,IF($B32=14,1,0))</f>
        <v/>
      </c>
      <c r="AL33">
        <f>MAX(AL32,IF($B32=15,1,0))</f>
        <v/>
      </c>
      <c r="AM33">
        <f>MAX(AM32,IF($B32=16,1,0))</f>
        <v/>
      </c>
      <c r="AN33">
        <f>MAX(AN32,IF($B32=17,1,0))</f>
        <v/>
      </c>
      <c r="AO33">
        <f>MAX(AO32,IF($B32=18,1,0))</f>
        <v/>
      </c>
      <c r="AP33">
        <f>MAX(AP32,IF($B32=19,1,0))</f>
        <v/>
      </c>
      <c r="AQ33">
        <f>MAX(AQ32,IF($B32=20,1,0))</f>
        <v/>
      </c>
      <c r="AR33">
        <f>MAX(AR32,IF($B32=21,1,0))</f>
        <v/>
      </c>
      <c r="AS33">
        <f>MAX(AS32,IF($B32=22,1,0))</f>
        <v/>
      </c>
      <c r="AT33">
        <f>MAX(AT32,IF($B32=23,1,0))</f>
        <v/>
      </c>
      <c r="AU33">
        <f>MAX(AU32,IF($B32=24,1,0))</f>
        <v/>
      </c>
      <c r="AV33">
        <f>MAX(AV32,IF($B32=25,1,0))</f>
        <v/>
      </c>
      <c r="AW33">
        <f>MAX(AW32,IF($B32=26,1,0))</f>
        <v/>
      </c>
      <c r="AX33">
        <f>MAX(AX32,IF($B32=27,1,0))</f>
        <v/>
      </c>
      <c r="AY33">
        <f>MAX(AY32,IF($B32=28,1,0))</f>
        <v/>
      </c>
      <c r="AZ33">
        <f>MAX(AZ32,IF($B32=29,1,0))</f>
        <v/>
      </c>
      <c r="BA33">
        <f>MAX(BA32,IF($B32=30,1,0))</f>
        <v/>
      </c>
      <c r="BB33">
        <f>MAX(BB32,IF($B32=31,1,0))</f>
        <v/>
      </c>
      <c r="BC33">
        <f>MAX(BC32,IF($B32=32,1,0))</f>
        <v/>
      </c>
      <c r="BD33">
        <f>MAX(BD32,IF($B32=33,1,0))</f>
        <v/>
      </c>
      <c r="BE33">
        <f>MAX(BE32,IF($B32=34,1,0))</f>
        <v/>
      </c>
      <c r="BF33">
        <f>MAX(BF32,IF($B32=35,1,0))</f>
        <v/>
      </c>
      <c r="BG33">
        <f>MAX(BG32,IF($B32=36,1,0))</f>
        <v/>
      </c>
      <c r="BH33">
        <f>MAX(BH32,IF($B32=37,1,0))</f>
        <v/>
      </c>
      <c r="BI33">
        <f>MAX(BI32,IF($B32=38,1,0))</f>
        <v/>
      </c>
      <c r="BJ33">
        <f>MAX(BJ32,IF($B32=39,1,0))</f>
        <v/>
      </c>
      <c r="BK33">
        <f>MAX(BK32,IF($B32=40,1,0))</f>
        <v/>
      </c>
      <c r="BM33">
        <f>IF(OR(X33=1,calcA!$A$6=0),1000000000,IF('calcA'!$JF$10=1,0,100000000)+IF('calcA'!$IQ$10=2,SUMPRODUCT('calcA'!$D$60:$EQ$60,$DB33:$IO33,$IQ33:$OD33)*1000+SUMPRODUCT('calcA'!$D$60:$EQ$60,$DB33:$IO33+$ZQ33:$AFD33,$AFF33:$AKS33),SUMPRODUCT('calcA'!$D$60:$EQ$60,$DB33:$IO33*1001+$ZQ33:$AFD33))*100+1)</f>
        <v/>
      </c>
      <c r="BN33">
        <f>IF(OR(Y33=1,calcA!$A$6=0),1000000000,IF('calcA'!$JF$11=1,0,100000000)+IF('calcA'!$IQ$11=2,SUMPRODUCT('calcA'!$D$61:$EQ$61,$DB33:$IO33,$IQ33:$OD33)*1000+SUMPRODUCT('calcA'!$D$61:$EQ$61,$DB33:$IO33+$ZQ33:$AFD33,$AFF33:$AKS33),SUMPRODUCT('calcA'!$D$61:$EQ$61,$DB33:$IO33*1001+$ZQ33:$AFD33))*100+2)</f>
        <v/>
      </c>
      <c r="BO33">
        <f>IF(OR(Z33=1,calcA!$A$6=0),1000000000,IF('calcA'!$JF$12=1,0,100000000)+IF('calcA'!$IQ$12=2,SUMPRODUCT('calcA'!$D$62:$EQ$62,$DB33:$IO33,$IQ33:$OD33)*1000+SUMPRODUCT('calcA'!$D$62:$EQ$62,$DB33:$IO33+$ZQ33:$AFD33,$AFF33:$AKS33),SUMPRODUCT('calcA'!$D$62:$EQ$62,$DB33:$IO33*1001+$ZQ33:$AFD33))*100+3)</f>
        <v/>
      </c>
      <c r="BP33">
        <f>IF(OR(AA33=1,calcA!$A$6=0),1000000000,IF('calcA'!$JF$13=1,0,100000000)+IF('calcA'!$IQ$13=2,SUMPRODUCT('calcA'!$D$63:$EQ$63,$DB33:$IO33,$IQ33:$OD33)*1000+SUMPRODUCT('calcA'!$D$63:$EQ$63,$DB33:$IO33+$ZQ33:$AFD33,$AFF33:$AKS33),SUMPRODUCT('calcA'!$D$63:$EQ$63,$DB33:$IO33*1001+$ZQ33:$AFD33))*100+4)</f>
        <v/>
      </c>
      <c r="BQ33">
        <f>IF(OR(AB33=1,calcA!$A$6=0),1000000000,IF('calcA'!$JF$14=1,0,100000000)+IF('calcA'!$IQ$14=2,SUMPRODUCT('calcA'!$D$64:$EQ$64,$DB33:$IO33,$IQ33:$OD33)*1000+SUMPRODUCT('calcA'!$D$64:$EQ$64,$DB33:$IO33+$ZQ33:$AFD33,$AFF33:$AKS33),SUMPRODUCT('calcA'!$D$64:$EQ$64,$DB33:$IO33*1001+$ZQ33:$AFD33))*100+5)</f>
        <v/>
      </c>
      <c r="BR33">
        <f>IF(OR(AC33=1,calcA!$A$6=0),1000000000,IF('calcA'!$JF$15=1,0,100000000)+IF('calcA'!$IQ$15=2,SUMPRODUCT('calcA'!$D$65:$EQ$65,$DB33:$IO33,$IQ33:$OD33)*1000+SUMPRODUCT('calcA'!$D$65:$EQ$65,$DB33:$IO33+$ZQ33:$AFD33,$AFF33:$AKS33),SUMPRODUCT('calcA'!$D$65:$EQ$65,$DB33:$IO33*1001+$ZQ33:$AFD33))*100+6)</f>
        <v/>
      </c>
      <c r="BS33">
        <f>IF(OR(AD33=1,calcA!$A$6=0),1000000000,IF('calcA'!$JF$16=1,0,100000000)+IF('calcA'!$IQ$16=2,SUMPRODUCT('calcA'!$D$66:$EQ$66,$DB33:$IO33,$IQ33:$OD33)*1000+SUMPRODUCT('calcA'!$D$66:$EQ$66,$DB33:$IO33+$ZQ33:$AFD33,$AFF33:$AKS33),SUMPRODUCT('calcA'!$D$66:$EQ$66,$DB33:$IO33*1001+$ZQ33:$AFD33))*100+7)</f>
        <v/>
      </c>
      <c r="BT33">
        <f>IF(OR(AE33=1,calcA!$A$6=0),1000000000,IF('calcA'!$JF$17=1,0,100000000)+IF('calcA'!$IQ$17=2,SUMPRODUCT('calcA'!$D$67:$EQ$67,$DB33:$IO33,$IQ33:$OD33)*1000+SUMPRODUCT('calcA'!$D$67:$EQ$67,$DB33:$IO33+$ZQ33:$AFD33,$AFF33:$AKS33),SUMPRODUCT('calcA'!$D$67:$EQ$67,$DB33:$IO33*1001+$ZQ33:$AFD33))*100+8)</f>
        <v/>
      </c>
      <c r="BU33">
        <f>IF(OR(AF33=1,calcA!$A$6=0),1000000000,IF('calcA'!$JF$18=1,0,100000000)+IF('calcA'!$IQ$18=2,SUMPRODUCT('calcA'!$D$68:$EQ$68,$DB33:$IO33,$IQ33:$OD33)*1000+SUMPRODUCT('calcA'!$D$68:$EQ$68,$DB33:$IO33+$ZQ33:$AFD33,$AFF33:$AKS33),SUMPRODUCT('calcA'!$D$68:$EQ$68,$DB33:$IO33*1001+$ZQ33:$AFD33))*100+9)</f>
        <v/>
      </c>
      <c r="BV33">
        <f>IF(OR(AG33=1,calcA!$A$6=0),1000000000,IF('calcA'!$JF$19=1,0,100000000)+IF('calcA'!$IQ$19=2,SUMPRODUCT('calcA'!$D$69:$EQ$69,$DB33:$IO33,$IQ33:$OD33)*1000+SUMPRODUCT('calcA'!$D$69:$EQ$69,$DB33:$IO33+$ZQ33:$AFD33,$AFF33:$AKS33),SUMPRODUCT('calcA'!$D$69:$EQ$69,$DB33:$IO33*1001+$ZQ33:$AFD33))*100+10)</f>
        <v/>
      </c>
      <c r="BW33">
        <f>IF(OR(AH33=1,calcA!$A$6=0),1000000000,IF('calcA'!$JF$20=1,0,100000000)+IF('calcA'!$IQ$20=2,SUMPRODUCT('calcA'!$D$70:$EQ$70,$DB33:$IO33,$IQ33:$OD33)*1000+SUMPRODUCT('calcA'!$D$70:$EQ$70,$DB33:$IO33+$ZQ33:$AFD33,$AFF33:$AKS33),SUMPRODUCT('calcA'!$D$70:$EQ$70,$DB33:$IO33*1001+$ZQ33:$AFD33))*100+11)</f>
        <v/>
      </c>
      <c r="BX33">
        <f>IF(OR(AI33=1,calcA!$A$6=0),1000000000,IF('calcA'!$JF$21=1,0,100000000)+IF('calcA'!$IQ$21=2,SUMPRODUCT('calcA'!$D$71:$EQ$71,$DB33:$IO33,$IQ33:$OD33)*1000+SUMPRODUCT('calcA'!$D$71:$EQ$71,$DB33:$IO33+$ZQ33:$AFD33,$AFF33:$AKS33),SUMPRODUCT('calcA'!$D$71:$EQ$71,$DB33:$IO33*1001+$ZQ33:$AFD33))*100+12)</f>
        <v/>
      </c>
      <c r="BY33">
        <f>IF(OR(AJ33=1,calcA!$A$6=0),1000000000,IF('calcA'!$JF$22=1,0,100000000)+IF('calcA'!$IQ$22=2,SUMPRODUCT('calcA'!$D$72:$EQ$72,$DB33:$IO33,$IQ33:$OD33)*1000+SUMPRODUCT('calcA'!$D$72:$EQ$72,$DB33:$IO33+$ZQ33:$AFD33,$AFF33:$AKS33),SUMPRODUCT('calcA'!$D$72:$EQ$72,$DB33:$IO33*1001+$ZQ33:$AFD33))*100+13)</f>
        <v/>
      </c>
      <c r="BZ33">
        <f>IF(OR(AK33=1,calcA!$A$6=0),1000000000,IF('calcA'!$JF$23=1,0,100000000)+IF('calcA'!$IQ$23=2,SUMPRODUCT('calcA'!$D$73:$EQ$73,$DB33:$IO33,$IQ33:$OD33)*1000+SUMPRODUCT('calcA'!$D$73:$EQ$73,$DB33:$IO33+$ZQ33:$AFD33,$AFF33:$AKS33),SUMPRODUCT('calcA'!$D$73:$EQ$73,$DB33:$IO33*1001+$ZQ33:$AFD33))*100+14)</f>
        <v/>
      </c>
      <c r="CA33">
        <f>IF(OR(AL33=1,calcA!$A$6=0),1000000000,IF('calcA'!$JF$24=1,0,100000000)+IF('calcA'!$IQ$24=2,SUMPRODUCT('calcA'!$D$74:$EQ$74,$DB33:$IO33,$IQ33:$OD33)*1000+SUMPRODUCT('calcA'!$D$74:$EQ$74,$DB33:$IO33+$ZQ33:$AFD33,$AFF33:$AKS33),SUMPRODUCT('calcA'!$D$74:$EQ$74,$DB33:$IO33*1001+$ZQ33:$AFD33))*100+15)</f>
        <v/>
      </c>
      <c r="CB33">
        <f>IF(OR(AM33=1,calcA!$A$6=0),1000000000,IF('calcA'!$JF$25=1,0,100000000)+IF('calcA'!$IQ$25=2,SUMPRODUCT('calcA'!$D$75:$EQ$75,$DB33:$IO33,$IQ33:$OD33)*1000+SUMPRODUCT('calcA'!$D$75:$EQ$75,$DB33:$IO33+$ZQ33:$AFD33,$AFF33:$AKS33),SUMPRODUCT('calcA'!$D$75:$EQ$75,$DB33:$IO33*1001+$ZQ33:$AFD33))*100+16)</f>
        <v/>
      </c>
      <c r="CC33">
        <f>IF(OR(AN33=1,calcA!$A$6=0),1000000000,IF('calcA'!$JF$26=1,0,100000000)+IF('calcA'!$IQ$26=2,SUMPRODUCT('calcA'!$D$76:$EQ$76,$DB33:$IO33,$IQ33:$OD33)*1000+SUMPRODUCT('calcA'!$D$76:$EQ$76,$DB33:$IO33+$ZQ33:$AFD33,$AFF33:$AKS33),SUMPRODUCT('calcA'!$D$76:$EQ$76,$DB33:$IO33*1001+$ZQ33:$AFD33))*100+17)</f>
        <v/>
      </c>
      <c r="CD33">
        <f>IF(OR(AO33=1,calcA!$A$6=0),1000000000,IF('calcA'!$JF$27=1,0,100000000)+IF('calcA'!$IQ$27=2,SUMPRODUCT('calcA'!$D$77:$EQ$77,$DB33:$IO33,$IQ33:$OD33)*1000+SUMPRODUCT('calcA'!$D$77:$EQ$77,$DB33:$IO33+$ZQ33:$AFD33,$AFF33:$AKS33),SUMPRODUCT('calcA'!$D$77:$EQ$77,$DB33:$IO33*1001+$ZQ33:$AFD33))*100+18)</f>
        <v/>
      </c>
      <c r="CE33">
        <f>IF(OR(AP33=1,calcA!$A$6=0),1000000000,IF('calcA'!$JF$28=1,0,100000000)+IF('calcA'!$IQ$28=2,SUMPRODUCT('calcA'!$D$78:$EQ$78,$DB33:$IO33,$IQ33:$OD33)*1000+SUMPRODUCT('calcA'!$D$78:$EQ$78,$DB33:$IO33+$ZQ33:$AFD33,$AFF33:$AKS33),SUMPRODUCT('calcA'!$D$78:$EQ$78,$DB33:$IO33*1001+$ZQ33:$AFD33))*100+19)</f>
        <v/>
      </c>
      <c r="CF33">
        <f>IF(OR(AQ33=1,calcA!$A$6=0),1000000000,IF('calcA'!$JF$29=1,0,100000000)+IF('calcA'!$IQ$29=2,SUMPRODUCT('calcA'!$D$79:$EQ$79,$DB33:$IO33,$IQ33:$OD33)*1000+SUMPRODUCT('calcA'!$D$79:$EQ$79,$DB33:$IO33+$ZQ33:$AFD33,$AFF33:$AKS33),SUMPRODUCT('calcA'!$D$79:$EQ$79,$DB33:$IO33*1001+$ZQ33:$AFD33))*100+20)</f>
        <v/>
      </c>
      <c r="CG33">
        <f>IF(OR(AR33=1,calcA!$A$6=0),1000000000,IF('calcA'!$JF$30=1,0,100000000)+IF('calcA'!$IQ$30=2,SUMPRODUCT('calcA'!$D$80:$EQ$80,$DB33:$IO33,$IQ33:$OD33)*1000+SUMPRODUCT('calcA'!$D$80:$EQ$80,$DB33:$IO33+$ZQ33:$AFD33,$AFF33:$AKS33),SUMPRODUCT('calcA'!$D$80:$EQ$80,$DB33:$IO33*1001+$ZQ33:$AFD33))*100+21)</f>
        <v/>
      </c>
      <c r="CH33">
        <f>IF(OR(AS33=1,calcA!$A$6=0),1000000000,IF('calcA'!$JF$31=1,0,100000000)+IF('calcA'!$IQ$31=2,SUMPRODUCT('calcA'!$D$81:$EQ$81,$DB33:$IO33,$IQ33:$OD33)*1000+SUMPRODUCT('calcA'!$D$81:$EQ$81,$DB33:$IO33+$ZQ33:$AFD33,$AFF33:$AKS33),SUMPRODUCT('calcA'!$D$81:$EQ$81,$DB33:$IO33*1001+$ZQ33:$AFD33))*100+22)</f>
        <v/>
      </c>
      <c r="CI33">
        <f>IF(OR(AT33=1,calcA!$A$6=0),1000000000,IF('calcA'!$JF$32=1,0,100000000)+IF('calcA'!$IQ$32=2,SUMPRODUCT('calcA'!$D$82:$EQ$82,$DB33:$IO33,$IQ33:$OD33)*1000+SUMPRODUCT('calcA'!$D$82:$EQ$82,$DB33:$IO33+$ZQ33:$AFD33,$AFF33:$AKS33),SUMPRODUCT('calcA'!$D$82:$EQ$82,$DB33:$IO33*1001+$ZQ33:$AFD33))*100+23)</f>
        <v/>
      </c>
      <c r="CJ33">
        <f>IF(OR(AU33=1,calcA!$A$6=0),1000000000,IF('calcA'!$JF$33=1,0,100000000)+IF('calcA'!$IQ$33=2,SUMPRODUCT('calcA'!$D$83:$EQ$83,$DB33:$IO33,$IQ33:$OD33)*1000+SUMPRODUCT('calcA'!$D$83:$EQ$83,$DB33:$IO33+$ZQ33:$AFD33,$AFF33:$AKS33),SUMPRODUCT('calcA'!$D$83:$EQ$83,$DB33:$IO33*1001+$ZQ33:$AFD33))*100+24)</f>
        <v/>
      </c>
      <c r="CK33">
        <f>IF(OR(AV33=1,calcA!$A$6=0),1000000000,IF('calcA'!$JF$34=1,0,100000000)+IF('calcA'!$IQ$34=2,SUMPRODUCT('calcA'!$D$84:$EQ$84,$DB33:$IO33,$IQ33:$OD33)*1000+SUMPRODUCT('calcA'!$D$84:$EQ$84,$DB33:$IO33+$ZQ33:$AFD33,$AFF33:$AKS33),SUMPRODUCT('calcA'!$D$84:$EQ$84,$DB33:$IO33*1001+$ZQ33:$AFD33))*100+25)</f>
        <v/>
      </c>
      <c r="CL33">
        <f>IF(OR(AW33=1,calcA!$A$6=0),1000000000,IF('calcA'!$JF$35=1,0,100000000)+IF('calcA'!$IQ$35=2,SUMPRODUCT('calcA'!$D$85:$EQ$85,$DB33:$IO33,$IQ33:$OD33)*1000+SUMPRODUCT('calcA'!$D$85:$EQ$85,$DB33:$IO33+$ZQ33:$AFD33,$AFF33:$AKS33),SUMPRODUCT('calcA'!$D$85:$EQ$85,$DB33:$IO33*1001+$ZQ33:$AFD33))*100+26)</f>
        <v/>
      </c>
      <c r="CM33">
        <f>IF(OR(AX33=1,calcA!$A$6=0),1000000000,IF('calcA'!$JF$36=1,0,100000000)+IF('calcA'!$IQ$36=2,SUMPRODUCT('calcA'!$D$86:$EQ$86,$DB33:$IO33,$IQ33:$OD33)*1000+SUMPRODUCT('calcA'!$D$86:$EQ$86,$DB33:$IO33+$ZQ33:$AFD33,$AFF33:$AKS33),SUMPRODUCT('calcA'!$D$86:$EQ$86,$DB33:$IO33*1001+$ZQ33:$AFD33))*100+27)</f>
        <v/>
      </c>
      <c r="CN33">
        <f>IF(OR(AY33=1,calcA!$A$6=0),1000000000,IF('calcA'!$JF$37=1,0,100000000)+IF('calcA'!$IQ$37=2,SUMPRODUCT('calcA'!$D$87:$EQ$87,$DB33:$IO33,$IQ33:$OD33)*1000+SUMPRODUCT('calcA'!$D$87:$EQ$87,$DB33:$IO33+$ZQ33:$AFD33,$AFF33:$AKS33),SUMPRODUCT('calcA'!$D$87:$EQ$87,$DB33:$IO33*1001+$ZQ33:$AFD33))*100+28)</f>
        <v/>
      </c>
      <c r="CO33">
        <f>IF(OR(AZ33=1,calcA!$A$6=0),1000000000,IF('calcA'!$JF$38=1,0,100000000)+IF('calcA'!$IQ$38=2,SUMPRODUCT('calcA'!$D$88:$EQ$88,$DB33:$IO33,$IQ33:$OD33)*1000+SUMPRODUCT('calcA'!$D$88:$EQ$88,$DB33:$IO33+$ZQ33:$AFD33,$AFF33:$AKS33),SUMPRODUCT('calcA'!$D$88:$EQ$88,$DB33:$IO33*1001+$ZQ33:$AFD33))*100+29)</f>
        <v/>
      </c>
      <c r="CP33">
        <f>IF(OR(BA33=1,calcA!$A$6=0),1000000000,IF('calcA'!$JF$39=1,0,100000000)+IF('calcA'!$IQ$39=2,SUMPRODUCT('calcA'!$D$89:$EQ$89,$DB33:$IO33,$IQ33:$OD33)*1000+SUMPRODUCT('calcA'!$D$89:$EQ$89,$DB33:$IO33+$ZQ33:$AFD33,$AFF33:$AKS33),SUMPRODUCT('calcA'!$D$89:$EQ$89,$DB33:$IO33*1001+$ZQ33:$AFD33))*100+30)</f>
        <v/>
      </c>
      <c r="CQ33">
        <f>IF(OR(BB33=1,calcA!$A$6=0),1000000000,IF('calcA'!$JF$40=1,0,100000000)+IF('calcA'!$IQ$40=2,SUMPRODUCT('calcA'!$D$90:$EQ$90,$DB33:$IO33,$IQ33:$OD33)*1000+SUMPRODUCT('calcA'!$D$90:$EQ$90,$DB33:$IO33+$ZQ33:$AFD33,$AFF33:$AKS33),SUMPRODUCT('calcA'!$D$90:$EQ$90,$DB33:$IO33*1001+$ZQ33:$AFD33))*100+31)</f>
        <v/>
      </c>
      <c r="CR33">
        <f>IF(OR(BC33=1,calcA!$A$6=0),1000000000,IF('calcA'!$JF$41=1,0,100000000)+IF('calcA'!$IQ$41=2,SUMPRODUCT('calcA'!$D$91:$EQ$91,$DB33:$IO33,$IQ33:$OD33)*1000+SUMPRODUCT('calcA'!$D$91:$EQ$91,$DB33:$IO33+$ZQ33:$AFD33,$AFF33:$AKS33),SUMPRODUCT('calcA'!$D$91:$EQ$91,$DB33:$IO33*1001+$ZQ33:$AFD33))*100+32)</f>
        <v/>
      </c>
      <c r="CS33">
        <f>IF(OR(BD33=1,calcA!$A$6=0),1000000000,IF('calcA'!$JF$42=1,0,100000000)+IF('calcA'!$IQ$42=2,SUMPRODUCT('calcA'!$D$92:$EQ$92,$DB33:$IO33,$IQ33:$OD33)*1000+SUMPRODUCT('calcA'!$D$92:$EQ$92,$DB33:$IO33+$ZQ33:$AFD33,$AFF33:$AKS33),SUMPRODUCT('calcA'!$D$92:$EQ$92,$DB33:$IO33*1001+$ZQ33:$AFD33))*100+33)</f>
        <v/>
      </c>
      <c r="CT33">
        <f>IF(OR(BE33=1,calcA!$A$6=0),1000000000,IF('calcA'!$JF$43=1,0,100000000)+IF('calcA'!$IQ$43=2,SUMPRODUCT('calcA'!$D$93:$EQ$93,$DB33:$IO33,$IQ33:$OD33)*1000+SUMPRODUCT('calcA'!$D$93:$EQ$93,$DB33:$IO33+$ZQ33:$AFD33,$AFF33:$AKS33),SUMPRODUCT('calcA'!$D$93:$EQ$93,$DB33:$IO33*1001+$ZQ33:$AFD33))*100+34)</f>
        <v/>
      </c>
      <c r="CU33">
        <f>IF(OR(BF33=1,calcA!$A$6=0),1000000000,IF('calcA'!$JF$44=1,0,100000000)+IF('calcA'!$IQ$44=2,SUMPRODUCT('calcA'!$D$94:$EQ$94,$DB33:$IO33,$IQ33:$OD33)*1000+SUMPRODUCT('calcA'!$D$94:$EQ$94,$DB33:$IO33+$ZQ33:$AFD33,$AFF33:$AKS33),SUMPRODUCT('calcA'!$D$94:$EQ$94,$DB33:$IO33*1001+$ZQ33:$AFD33))*100+35)</f>
        <v/>
      </c>
      <c r="CV33">
        <f>IF(OR(BG33=1,calcA!$A$6=0),1000000000,IF('calcA'!$JF$45=1,0,100000000)+IF('calcA'!$IQ$45=2,SUMPRODUCT('calcA'!$D$95:$EQ$95,$DB33:$IO33,$IQ33:$OD33)*1000+SUMPRODUCT('calcA'!$D$95:$EQ$95,$DB33:$IO33+$ZQ33:$AFD33,$AFF33:$AKS33),SUMPRODUCT('calcA'!$D$95:$EQ$95,$DB33:$IO33*1001+$ZQ33:$AFD33))*100+36)</f>
        <v/>
      </c>
      <c r="CW33">
        <f>IF(OR(BH33=1,calcA!$A$6=0),1000000000,IF('calcA'!$JF$46=1,0,100000000)+IF('calcA'!$IQ$46=2,SUMPRODUCT('calcA'!$D$96:$EQ$96,$DB33:$IO33,$IQ33:$OD33)*1000+SUMPRODUCT('calcA'!$D$96:$EQ$96,$DB33:$IO33+$ZQ33:$AFD33,$AFF33:$AKS33),SUMPRODUCT('calcA'!$D$96:$EQ$96,$DB33:$IO33*1001+$ZQ33:$AFD33))*100+37)</f>
        <v/>
      </c>
      <c r="CX33">
        <f>IF(OR(BI33=1,calcA!$A$6=0),1000000000,IF('calcA'!$JF$47=1,0,100000000)+IF('calcA'!$IQ$47=2,SUMPRODUCT('calcA'!$D$97:$EQ$97,$DB33:$IO33,$IQ33:$OD33)*1000+SUMPRODUCT('calcA'!$D$97:$EQ$97,$DB33:$IO33+$ZQ33:$AFD33,$AFF33:$AKS33),SUMPRODUCT('calcA'!$D$97:$EQ$97,$DB33:$IO33*1001+$ZQ33:$AFD33))*100+38)</f>
        <v/>
      </c>
      <c r="CY33">
        <f>IF(OR(BJ33=1,calcA!$A$6=0),1000000000,IF('calcA'!$JF$48=1,0,100000000)+IF('calcA'!$IQ$48=2,SUMPRODUCT('calcA'!$D$98:$EQ$98,$DB33:$IO33,$IQ33:$OD33)*1000+SUMPRODUCT('calcA'!$D$98:$EQ$98,$DB33:$IO33+$ZQ33:$AFD33,$AFF33:$AKS33),SUMPRODUCT('calcA'!$D$98:$EQ$98,$DB33:$IO33*1001+$ZQ33:$AFD33))*100+39)</f>
        <v/>
      </c>
      <c r="CZ33">
        <f>IF(OR(BK33=1,calcA!$A$6=0),1000000000,IF('calcA'!$JF$49=1,0,100000000)+IF('calcA'!$IQ$49=2,SUMPRODUCT('calcA'!$D$99:$EQ$99,$DB33:$IO33,$IQ33:$OD33)*1000+SUMPRODUCT('calcA'!$D$99:$EQ$99,$DB33:$IO33+$ZQ33:$AFD33,$AFF33:$AKS33),SUMPRODUCT('calcA'!$D$99:$EQ$99,$DB33:$IO33*1001+$ZQ33:$AFD33))*100+40)</f>
        <v/>
      </c>
      <c r="DB33">
        <f>DB32*IF(OR($C32=1,$G32=1),0,1)</f>
        <v/>
      </c>
      <c r="DC33">
        <f>DC32*IF(OR($C32=2,$G32=2),0,1)</f>
        <v/>
      </c>
      <c r="DD33">
        <f>DD32*IF(OR($C32=3,$G32=3),0,1)</f>
        <v/>
      </c>
      <c r="DE33">
        <f>DE32*IF(OR($C32=4,$G32=4),0,1)</f>
        <v/>
      </c>
      <c r="DF33">
        <f>DF32*IF(OR($C32=5,$G32=5),0,1)</f>
        <v/>
      </c>
      <c r="DG33">
        <f>DG32*IF(OR($C32=6,$G32=6),0,1)</f>
        <v/>
      </c>
      <c r="DH33">
        <f>DH32*IF(OR($C32=7,$G32=7),0,1)</f>
        <v/>
      </c>
      <c r="DI33">
        <f>DI32*IF(OR($C32=8,$G32=8),0,1)</f>
        <v/>
      </c>
      <c r="DJ33">
        <f>DJ32*IF(OR($C32=9,$G32=9),0,1)</f>
        <v/>
      </c>
      <c r="DK33">
        <f>DK32*IF(OR($C32=10,$G32=10),0,1)</f>
        <v/>
      </c>
      <c r="DL33">
        <f>DL32*IF(OR($C32=11,$G32=11),0,1)</f>
        <v/>
      </c>
      <c r="DM33">
        <f>DM32*IF(OR($C32=12,$G32=12),0,1)</f>
        <v/>
      </c>
      <c r="DN33">
        <f>DN32*IF(OR($C32=13,$G32=13),0,1)</f>
        <v/>
      </c>
      <c r="DO33">
        <f>DO32*IF(OR($C32=14,$G32=14),0,1)</f>
        <v/>
      </c>
      <c r="DP33">
        <f>DP32*IF(OR($C32=15,$G32=15),0,1)</f>
        <v/>
      </c>
      <c r="DQ33">
        <f>DQ32*IF(OR($C32=16,$G32=16),0,1)</f>
        <v/>
      </c>
      <c r="DR33">
        <f>DR32*IF(OR($C32=17,$G32=17),0,1)</f>
        <v/>
      </c>
      <c r="DS33">
        <f>DS32*IF(OR($C32=18,$G32=18),0,1)</f>
        <v/>
      </c>
      <c r="DT33">
        <f>DT32*IF(OR($C32=19,$G32=19),0,1)</f>
        <v/>
      </c>
      <c r="DU33">
        <f>DU32*IF(OR($C32=20,$G32=20),0,1)</f>
        <v/>
      </c>
      <c r="DV33">
        <f>DV32*IF(OR($C32=21,$G32=21),0,1)</f>
        <v/>
      </c>
      <c r="DW33">
        <f>DW32*IF(OR($C32=22,$G32=22),0,1)</f>
        <v/>
      </c>
      <c r="DX33">
        <f>DX32*IF(OR($C32=23,$G32=23),0,1)</f>
        <v/>
      </c>
      <c r="DY33">
        <f>DY32*IF(OR($C32=24,$G32=24),0,1)</f>
        <v/>
      </c>
      <c r="DZ33">
        <f>DZ32*IF(OR($C32=25,$G32=25),0,1)</f>
        <v/>
      </c>
      <c r="EA33">
        <f>EA32*IF(OR($C32=26,$G32=26),0,1)</f>
        <v/>
      </c>
      <c r="EB33">
        <f>EB32*IF(OR($C32=27,$G32=27),0,1)</f>
        <v/>
      </c>
      <c r="EC33">
        <f>EC32*IF(OR($C32=28,$G32=28),0,1)</f>
        <v/>
      </c>
      <c r="ED33">
        <f>ED32*IF(OR($C32=29,$G32=29),0,1)</f>
        <v/>
      </c>
      <c r="EE33">
        <f>EE32*IF(OR($C32=30,$G32=30),0,1)</f>
        <v/>
      </c>
      <c r="EF33">
        <f>EF32*IF(OR($C32=31,$G32=31),0,1)</f>
        <v/>
      </c>
      <c r="EG33">
        <f>EG32*IF(OR($C32=32,$G32=32),0,1)</f>
        <v/>
      </c>
      <c r="EH33">
        <f>EH32*IF(OR($C32=33,$G32=33),0,1)</f>
        <v/>
      </c>
      <c r="EI33">
        <f>EI32*IF(OR($C32=34,$G32=34),0,1)</f>
        <v/>
      </c>
      <c r="EJ33">
        <f>EJ32*IF(OR($C32=35,$G32=35),0,1)</f>
        <v/>
      </c>
      <c r="EK33">
        <f>EK32*IF(OR($C32=36,$G32=36),0,1)</f>
        <v/>
      </c>
      <c r="EL33">
        <f>EL32*IF(OR($C32=37,$G32=37),0,1)</f>
        <v/>
      </c>
      <c r="EM33">
        <f>EM32*IF(OR($C32=38,$G32=38),0,1)</f>
        <v/>
      </c>
      <c r="EN33">
        <f>EN32*IF(OR($C32=39,$G32=39),0,1)</f>
        <v/>
      </c>
      <c r="EO33">
        <f>EO32*IF(OR($C32=40,$G32=40),0,1)</f>
        <v/>
      </c>
      <c r="EP33">
        <f>EP32*IF(OR($C32=41,$G32=41),0,1)</f>
        <v/>
      </c>
      <c r="EQ33">
        <f>EQ32*IF(OR($C32=42,$G32=42),0,1)</f>
        <v/>
      </c>
      <c r="ER33">
        <f>ER32*IF(OR($C32=43,$G32=43),0,1)</f>
        <v/>
      </c>
      <c r="ES33">
        <f>ES32*IF(OR($C32=44,$G32=44),0,1)</f>
        <v/>
      </c>
      <c r="ET33">
        <f>ET32*IF(OR($C32=45,$G32=45),0,1)</f>
        <v/>
      </c>
      <c r="EU33">
        <f>EU32*IF(OR($C32=46,$G32=46),0,1)</f>
        <v/>
      </c>
      <c r="EV33">
        <f>EV32*IF(OR($C32=47,$G32=47),0,1)</f>
        <v/>
      </c>
      <c r="EW33">
        <f>EW32*IF(OR($C32=48,$G32=48),0,1)</f>
        <v/>
      </c>
      <c r="EX33">
        <f>EX32*IF(OR($C32=49,$G32=49),0,1)</f>
        <v/>
      </c>
      <c r="EY33">
        <f>EY32*IF(OR($C32=50,$G32=50),0,1)</f>
        <v/>
      </c>
      <c r="EZ33">
        <f>EZ32*IF(OR($C32=51,$G32=51),0,1)</f>
        <v/>
      </c>
      <c r="FA33">
        <f>FA32*IF(OR($C32=52,$G32=52),0,1)</f>
        <v/>
      </c>
      <c r="FB33">
        <f>FB32*IF(OR($C32=53,$G32=53),0,1)</f>
        <v/>
      </c>
      <c r="FC33">
        <f>FC32*IF(OR($C32=54,$G32=54),0,1)</f>
        <v/>
      </c>
      <c r="FD33">
        <f>FD32*IF(OR($C32=55,$G32=55),0,1)</f>
        <v/>
      </c>
      <c r="FE33">
        <f>FE32*IF(OR($C32=56,$G32=56),0,1)</f>
        <v/>
      </c>
      <c r="FF33">
        <f>FF32*IF(OR($C32=57,$G32=57),0,1)</f>
        <v/>
      </c>
      <c r="FG33">
        <f>FG32*IF(OR($C32=58,$G32=58),0,1)</f>
        <v/>
      </c>
      <c r="FH33">
        <f>FH32*IF(OR($C32=59,$G32=59),0,1)</f>
        <v/>
      </c>
      <c r="FI33">
        <f>FI32*IF(OR($C32=60,$G32=60),0,1)</f>
        <v/>
      </c>
      <c r="FJ33">
        <f>FJ32*IF(OR($C32=61,$G32=61),0,1)</f>
        <v/>
      </c>
      <c r="FK33">
        <f>FK32*IF(OR($C32=62,$G32=62),0,1)</f>
        <v/>
      </c>
      <c r="FL33">
        <f>FL32*IF(OR($C32=63,$G32=63),0,1)</f>
        <v/>
      </c>
      <c r="FM33">
        <f>FM32*IF(OR($C32=64,$G32=64),0,1)</f>
        <v/>
      </c>
      <c r="FN33">
        <f>FN32*IF(OR($C32=65,$G32=65),0,1)</f>
        <v/>
      </c>
      <c r="FO33">
        <f>FO32*IF(OR($C32=66,$G32=66),0,1)</f>
        <v/>
      </c>
      <c r="FP33">
        <f>FP32*IF(OR($C32=67,$G32=67),0,1)</f>
        <v/>
      </c>
      <c r="FQ33">
        <f>FQ32*IF(OR($C32=68,$G32=68),0,1)</f>
        <v/>
      </c>
      <c r="FR33">
        <f>FR32*IF(OR($C32=69,$G32=69),0,1)</f>
        <v/>
      </c>
      <c r="FS33">
        <f>FS32*IF(OR($C32=70,$G32=70),0,1)</f>
        <v/>
      </c>
      <c r="FT33">
        <f>FT32*IF(OR($C32=71,$G32=71),0,1)</f>
        <v/>
      </c>
      <c r="FU33">
        <f>FU32*IF(OR($C32=72,$G32=72),0,1)</f>
        <v/>
      </c>
      <c r="FV33">
        <f>FV32*IF(OR($C32=73,$G32=73),0,1)</f>
        <v/>
      </c>
      <c r="FW33">
        <f>FW32*IF(OR($C32=74,$G32=74),0,1)</f>
        <v/>
      </c>
      <c r="FX33">
        <f>FX32*IF(OR($C32=75,$G32=75),0,1)</f>
        <v/>
      </c>
      <c r="FY33">
        <f>FY32*IF(OR($C32=76,$G32=76),0,1)</f>
        <v/>
      </c>
      <c r="FZ33">
        <f>FZ32*IF(OR($C32=77,$G32=77),0,1)</f>
        <v/>
      </c>
      <c r="GA33">
        <f>GA32*IF(OR($C32=78,$G32=78),0,1)</f>
        <v/>
      </c>
      <c r="GB33">
        <f>GB32*IF(OR($C32=79,$G32=79),0,1)</f>
        <v/>
      </c>
      <c r="GC33">
        <f>GC32*IF(OR($C32=80,$G32=80),0,1)</f>
        <v/>
      </c>
      <c r="GD33">
        <f>GD32*IF(OR($C32=81,$G32=81),0,1)</f>
        <v/>
      </c>
      <c r="GE33">
        <f>GE32*IF(OR($C32=82,$G32=82),0,1)</f>
        <v/>
      </c>
      <c r="GF33">
        <f>GF32*IF(OR($C32=83,$G32=83),0,1)</f>
        <v/>
      </c>
      <c r="GG33">
        <f>GG32*IF(OR($C32=84,$G32=84),0,1)</f>
        <v/>
      </c>
      <c r="GH33">
        <f>GH32*IF(OR($C32=85,$G32=85),0,1)</f>
        <v/>
      </c>
      <c r="GI33">
        <f>GI32*IF(OR($C32=86,$G32=86),0,1)</f>
        <v/>
      </c>
      <c r="GJ33">
        <f>GJ32*IF(OR($C32=87,$G32=87),0,1)</f>
        <v/>
      </c>
      <c r="GK33">
        <f>GK32*IF(OR($C32=88,$G32=88),0,1)</f>
        <v/>
      </c>
      <c r="GL33">
        <f>GL32*IF(OR($C32=89,$G32=89),0,1)</f>
        <v/>
      </c>
      <c r="GM33">
        <f>GM32*IF(OR($C32=90,$G32=90),0,1)</f>
        <v/>
      </c>
      <c r="GN33">
        <f>GN32*IF(OR($C32=91,$G32=91),0,1)</f>
        <v/>
      </c>
      <c r="GO33">
        <f>GO32*IF(OR($C32=92,$G32=92),0,1)</f>
        <v/>
      </c>
      <c r="GP33">
        <f>GP32*IF(OR($C32=93,$G32=93),0,1)</f>
        <v/>
      </c>
      <c r="GQ33">
        <f>GQ32*IF(OR($C32=94,$G32=94),0,1)</f>
        <v/>
      </c>
      <c r="GR33">
        <f>GR32*IF(OR($C32=95,$G32=95),0,1)</f>
        <v/>
      </c>
      <c r="GS33">
        <f>GS32*IF(OR($C32=96,$G32=96),0,1)</f>
        <v/>
      </c>
      <c r="GT33">
        <f>GT32*IF(OR($C32=97,$G32=97),0,1)</f>
        <v/>
      </c>
      <c r="GU33">
        <f>GU32*IF(OR($C32=98,$G32=98),0,1)</f>
        <v/>
      </c>
      <c r="GV33">
        <f>GV32*IF(OR($C32=99,$G32=99),0,1)</f>
        <v/>
      </c>
      <c r="GW33">
        <f>GW32*IF(OR($C32=100,$G32=100),0,1)</f>
        <v/>
      </c>
      <c r="GX33">
        <f>GX32*IF(OR($C32=101,$G32=101),0,1)</f>
        <v/>
      </c>
      <c r="GY33">
        <f>GY32*IF(OR($C32=102,$G32=102),0,1)</f>
        <v/>
      </c>
      <c r="GZ33">
        <f>GZ32*IF(OR($C32=103,$G32=103),0,1)</f>
        <v/>
      </c>
      <c r="HA33">
        <f>HA32*IF(OR($C32=104,$G32=104),0,1)</f>
        <v/>
      </c>
      <c r="HB33">
        <f>HB32*IF(OR($C32=105,$G32=105),0,1)</f>
        <v/>
      </c>
      <c r="HC33">
        <f>HC32*IF(OR($C32=106,$G32=106),0,1)</f>
        <v/>
      </c>
      <c r="HD33">
        <f>HD32*IF(OR($C32=107,$G32=107),0,1)</f>
        <v/>
      </c>
      <c r="HE33">
        <f>HE32*IF(OR($C32=108,$G32=108),0,1)</f>
        <v/>
      </c>
      <c r="HF33">
        <f>HF32*IF(OR($C32=109,$G32=109),0,1)</f>
        <v/>
      </c>
      <c r="HG33">
        <f>HG32*IF(OR($C32=110,$G32=110),0,1)</f>
        <v/>
      </c>
      <c r="HH33">
        <f>HH32*IF(OR($C32=111,$G32=111),0,1)</f>
        <v/>
      </c>
      <c r="HI33">
        <f>HI32*IF(OR($C32=112,$G32=112),0,1)</f>
        <v/>
      </c>
      <c r="HJ33">
        <f>HJ32*IF(OR($C32=113,$G32=113),0,1)</f>
        <v/>
      </c>
      <c r="HK33">
        <f>HK32*IF(OR($C32=114,$G32=114),0,1)</f>
        <v/>
      </c>
      <c r="HL33">
        <f>HL32*IF(OR($C32=115,$G32=115),0,1)</f>
        <v/>
      </c>
      <c r="HM33">
        <f>HM32*IF(OR($C32=116,$G32=116),0,1)</f>
        <v/>
      </c>
      <c r="HN33">
        <f>HN32*IF(OR($C32=117,$G32=117),0,1)</f>
        <v/>
      </c>
      <c r="HO33">
        <f>HO32*IF(OR($C32=118,$G32=118),0,1)</f>
        <v/>
      </c>
      <c r="HP33">
        <f>HP32*IF(OR($C32=119,$G32=119),0,1)</f>
        <v/>
      </c>
      <c r="HQ33">
        <f>HQ32*IF(OR($C32=120,$G32=120),0,1)</f>
        <v/>
      </c>
      <c r="HR33">
        <f>HR32*IF(OR($C32=121,$G32=121),0,1)</f>
        <v/>
      </c>
      <c r="HS33">
        <f>HS32*IF(OR($C32=122,$G32=122),0,1)</f>
        <v/>
      </c>
      <c r="HT33">
        <f>HT32*IF(OR($C32=123,$G32=123),0,1)</f>
        <v/>
      </c>
      <c r="HU33">
        <f>HU32*IF(OR($C32=124,$G32=124),0,1)</f>
        <v/>
      </c>
      <c r="HV33">
        <f>HV32*IF(OR($C32=125,$G32=125),0,1)</f>
        <v/>
      </c>
      <c r="HW33">
        <f>HW32*IF(OR($C32=126,$G32=126),0,1)</f>
        <v/>
      </c>
      <c r="HX33">
        <f>HX32*IF(OR($C32=127,$G32=127),0,1)</f>
        <v/>
      </c>
      <c r="HY33">
        <f>HY32*IF(OR($C32=128,$G32=128),0,1)</f>
        <v/>
      </c>
      <c r="HZ33">
        <f>HZ32*IF(OR($C32=129,$G32=129),0,1)</f>
        <v/>
      </c>
      <c r="IA33">
        <f>IA32*IF(OR($C32=130,$G32=130),0,1)</f>
        <v/>
      </c>
      <c r="IB33">
        <f>IB32*IF(OR($C32=131,$G32=131),0,1)</f>
        <v/>
      </c>
      <c r="IC33">
        <f>IC32*IF(OR($C32=132,$G32=132),0,1)</f>
        <v/>
      </c>
      <c r="ID33">
        <f>ID32*IF(OR($C32=133,$G32=133),0,1)</f>
        <v/>
      </c>
      <c r="IE33">
        <f>IE32*IF(OR($C32=134,$G32=134),0,1)</f>
        <v/>
      </c>
      <c r="IF33">
        <f>IF32*IF(OR($C32=135,$G32=135),0,1)</f>
        <v/>
      </c>
      <c r="IG33">
        <f>IG32*IF(OR($C32=136,$G32=136),0,1)</f>
        <v/>
      </c>
      <c r="IH33">
        <f>IH32*IF(OR($C32=137,$G32=137),0,1)</f>
        <v/>
      </c>
      <c r="II33">
        <f>II32*IF(OR($C32=138,$G32=138),0,1)</f>
        <v/>
      </c>
      <c r="IJ33">
        <f>IJ32*IF(OR($C32=139,$G32=139),0,1)</f>
        <v/>
      </c>
      <c r="IK33">
        <f>IK32*IF(OR($C32=140,$G32=140),0,1)</f>
        <v/>
      </c>
      <c r="IL33">
        <f>IL32*IF(OR($C32=141,$G32=141),0,1)</f>
        <v/>
      </c>
      <c r="IM33">
        <f>IM32*IF(OR($C32=142,$G32=142),0,1)</f>
        <v/>
      </c>
      <c r="IN33">
        <f>IN32*IF(OR($C32=143,$G32=143),0,1)</f>
        <v/>
      </c>
      <c r="IO33">
        <f>IO32*IF(OR($C32=144,$G32=144),0,1)</f>
        <v/>
      </c>
      <c r="IQ33">
        <f>IF('calcA'!D$106=1,DC33,1)</f>
        <v/>
      </c>
      <c r="IR33">
        <f>IF('calcA'!E$106=1,DD33,1)</f>
        <v/>
      </c>
      <c r="IS33">
        <f>IF('calcA'!F$106=1,DE33,1)</f>
        <v/>
      </c>
      <c r="IT33">
        <f>IF('calcA'!G$106=1,DF33,1)</f>
        <v/>
      </c>
      <c r="IU33">
        <f>IF('calcA'!H$106=1,DG33,1)</f>
        <v/>
      </c>
      <c r="IV33">
        <f>IF('calcA'!I$106=1,DH33,1)</f>
        <v/>
      </c>
      <c r="IW33">
        <f>IF('calcA'!J$106=1,DI33,1)</f>
        <v/>
      </c>
      <c r="IX33">
        <f>IF('calcA'!K$106=1,DJ33,1)</f>
        <v/>
      </c>
      <c r="IY33">
        <f>IF('calcA'!L$106=1,DK33,1)</f>
        <v/>
      </c>
      <c r="IZ33">
        <f>IF('calcA'!M$106=1,DL33,1)</f>
        <v/>
      </c>
      <c r="JA33">
        <f>IF('calcA'!N$106=1,DM33,1)</f>
        <v/>
      </c>
      <c r="JB33">
        <f>IF('calcA'!O$106=1,DN33,1)</f>
        <v/>
      </c>
      <c r="JC33">
        <f>IF('calcA'!P$106=1,DO33,1)</f>
        <v/>
      </c>
      <c r="JD33">
        <f>IF('calcA'!Q$106=1,DP33,1)</f>
        <v/>
      </c>
      <c r="JE33">
        <f>IF('calcA'!R$106=1,DQ33,1)</f>
        <v/>
      </c>
      <c r="JF33">
        <f>IF('calcA'!S$106=1,DR33,1)</f>
        <v/>
      </c>
      <c r="JG33">
        <f>IF('calcA'!T$106=1,DS33,1)</f>
        <v/>
      </c>
      <c r="JH33">
        <f>IF('calcA'!U$106=1,DT33,1)</f>
        <v/>
      </c>
      <c r="JI33">
        <f>IF('calcA'!V$106=1,DU33,1)</f>
        <v/>
      </c>
      <c r="JJ33">
        <f>IF('calcA'!W$106=1,DV33,1)</f>
        <v/>
      </c>
      <c r="JK33">
        <f>IF('calcA'!X$106=1,DW33,1)</f>
        <v/>
      </c>
      <c r="JL33">
        <f>IF('calcA'!Y$106=1,DX33,1)</f>
        <v/>
      </c>
      <c r="JM33">
        <f>IF('calcA'!Z$106=1,DY33,1)</f>
        <v/>
      </c>
      <c r="JN33">
        <f>IF('calcA'!AA$106=1,DZ33,1)</f>
        <v/>
      </c>
      <c r="JO33">
        <f>IF('calcA'!AB$106=1,EA33,1)</f>
        <v/>
      </c>
      <c r="JP33">
        <f>IF('calcA'!AC$106=1,EB33,1)</f>
        <v/>
      </c>
      <c r="JQ33">
        <f>IF('calcA'!AD$106=1,EC33,1)</f>
        <v/>
      </c>
      <c r="JR33">
        <f>IF('calcA'!AE$106=1,ED33,1)</f>
        <v/>
      </c>
      <c r="JS33">
        <f>IF('calcA'!AF$106=1,EE33,1)</f>
        <v/>
      </c>
      <c r="JT33">
        <f>IF('calcA'!AG$106=1,EF33,1)</f>
        <v/>
      </c>
      <c r="JU33">
        <f>IF('calcA'!AH$106=1,EG33,1)</f>
        <v/>
      </c>
      <c r="JV33">
        <f>IF('calcA'!AI$106=1,EH33,1)</f>
        <v/>
      </c>
      <c r="JW33">
        <f>IF('calcA'!AJ$106=1,EI33,1)</f>
        <v/>
      </c>
      <c r="JX33">
        <f>IF('calcA'!AK$106=1,EJ33,1)</f>
        <v/>
      </c>
      <c r="JY33">
        <f>IF('calcA'!AL$106=1,EK33,1)</f>
        <v/>
      </c>
      <c r="JZ33">
        <f>IF('calcA'!AM$106=1,EL33,1)</f>
        <v/>
      </c>
      <c r="KA33">
        <f>IF('calcA'!AN$106=1,EM33,1)</f>
        <v/>
      </c>
      <c r="KB33">
        <f>IF('calcA'!AO$106=1,EN33,1)</f>
        <v/>
      </c>
      <c r="KC33">
        <f>IF('calcA'!AP$106=1,EO33,1)</f>
        <v/>
      </c>
      <c r="KD33">
        <f>IF('calcA'!AQ$106=1,EP33,1)</f>
        <v/>
      </c>
      <c r="KE33">
        <f>IF('calcA'!AR$106=1,EQ33,1)</f>
        <v/>
      </c>
      <c r="KF33">
        <f>IF('calcA'!AS$106=1,ER33,1)</f>
        <v/>
      </c>
      <c r="KG33">
        <f>IF('calcA'!AT$106=1,ES33,1)</f>
        <v/>
      </c>
      <c r="KH33">
        <f>IF('calcA'!AU$106=1,ET33,1)</f>
        <v/>
      </c>
      <c r="KI33">
        <f>IF('calcA'!AV$106=1,EU33,1)</f>
        <v/>
      </c>
      <c r="KJ33">
        <f>IF('calcA'!AW$106=1,EV33,1)</f>
        <v/>
      </c>
      <c r="KK33">
        <f>IF('calcA'!AX$106=1,EW33,1)</f>
        <v/>
      </c>
      <c r="KL33">
        <f>IF('calcA'!AY$106=1,EX33,1)</f>
        <v/>
      </c>
      <c r="KM33">
        <f>IF('calcA'!AZ$106=1,EY33,1)</f>
        <v/>
      </c>
      <c r="KN33">
        <f>IF('calcA'!BA$106=1,EZ33,1)</f>
        <v/>
      </c>
      <c r="KO33">
        <f>IF('calcA'!BB$106=1,FA33,1)</f>
        <v/>
      </c>
      <c r="KP33">
        <f>IF('calcA'!BC$106=1,FB33,1)</f>
        <v/>
      </c>
      <c r="KQ33">
        <f>IF('calcA'!BD$106=1,FC33,1)</f>
        <v/>
      </c>
      <c r="KR33">
        <f>IF('calcA'!BE$106=1,FD33,1)</f>
        <v/>
      </c>
      <c r="KS33">
        <f>IF('calcA'!BF$106=1,FE33,1)</f>
        <v/>
      </c>
      <c r="KT33">
        <f>IF('calcA'!BG$106=1,FF33,1)</f>
        <v/>
      </c>
      <c r="KU33">
        <f>IF('calcA'!BH$106=1,FG33,1)</f>
        <v/>
      </c>
      <c r="KV33">
        <f>IF('calcA'!BI$106=1,FH33,1)</f>
        <v/>
      </c>
      <c r="KW33">
        <f>IF('calcA'!BJ$106=1,FI33,1)</f>
        <v/>
      </c>
      <c r="KX33">
        <f>IF('calcA'!BK$106=1,FJ33,1)</f>
        <v/>
      </c>
      <c r="KY33">
        <f>IF('calcA'!BL$106=1,FK33,1)</f>
        <v/>
      </c>
      <c r="KZ33">
        <f>IF('calcA'!BM$106=1,FL33,1)</f>
        <v/>
      </c>
      <c r="LA33">
        <f>IF('calcA'!BN$106=1,FM33,1)</f>
        <v/>
      </c>
      <c r="LB33">
        <f>IF('calcA'!BO$106=1,FN33,1)</f>
        <v/>
      </c>
      <c r="LC33">
        <f>IF('calcA'!BP$106=1,FO33,1)</f>
        <v/>
      </c>
      <c r="LD33">
        <f>IF('calcA'!BQ$106=1,FP33,1)</f>
        <v/>
      </c>
      <c r="LE33">
        <f>IF('calcA'!BR$106=1,FQ33,1)</f>
        <v/>
      </c>
      <c r="LF33">
        <f>IF('calcA'!BS$106=1,FR33,1)</f>
        <v/>
      </c>
      <c r="LG33">
        <f>IF('calcA'!BT$106=1,FS33,1)</f>
        <v/>
      </c>
      <c r="LH33">
        <f>IF('calcA'!BU$106=1,FT33,1)</f>
        <v/>
      </c>
      <c r="LI33">
        <f>IF('calcA'!BV$106=1,FU33,1)</f>
        <v/>
      </c>
      <c r="LJ33">
        <f>IF('calcA'!BW$106=1,FV33,1)</f>
        <v/>
      </c>
      <c r="LK33">
        <f>IF('calcA'!BX$106=1,FW33,1)</f>
        <v/>
      </c>
      <c r="LL33">
        <f>IF('calcA'!BY$106=1,FX33,1)</f>
        <v/>
      </c>
      <c r="LM33">
        <f>IF('calcA'!BZ$106=1,FY33,1)</f>
        <v/>
      </c>
      <c r="LN33">
        <f>IF('calcA'!CA$106=1,FZ33,1)</f>
        <v/>
      </c>
      <c r="LO33">
        <f>IF('calcA'!CB$106=1,GA33,1)</f>
        <v/>
      </c>
      <c r="LP33">
        <f>IF('calcA'!CC$106=1,GB33,1)</f>
        <v/>
      </c>
      <c r="LQ33">
        <f>IF('calcA'!CD$106=1,GC33,1)</f>
        <v/>
      </c>
      <c r="LR33">
        <f>IF('calcA'!CE$106=1,GD33,1)</f>
        <v/>
      </c>
      <c r="LS33">
        <f>IF('calcA'!CF$106=1,GE33,1)</f>
        <v/>
      </c>
      <c r="LT33">
        <f>IF('calcA'!CG$106=1,GF33,1)</f>
        <v/>
      </c>
      <c r="LU33">
        <f>IF('calcA'!CH$106=1,GG33,1)</f>
        <v/>
      </c>
      <c r="LV33">
        <f>IF('calcA'!CI$106=1,GH33,1)</f>
        <v/>
      </c>
      <c r="LW33">
        <f>IF('calcA'!CJ$106=1,GI33,1)</f>
        <v/>
      </c>
      <c r="LX33">
        <f>IF('calcA'!CK$106=1,GJ33,1)</f>
        <v/>
      </c>
      <c r="LY33">
        <f>IF('calcA'!CL$106=1,GK33,1)</f>
        <v/>
      </c>
      <c r="LZ33">
        <f>IF('calcA'!CM$106=1,GL33,1)</f>
        <v/>
      </c>
      <c r="MA33">
        <f>IF('calcA'!CN$106=1,GM33,1)</f>
        <v/>
      </c>
      <c r="MB33">
        <f>IF('calcA'!CO$106=1,GN33,1)</f>
        <v/>
      </c>
      <c r="MC33">
        <f>IF('calcA'!CP$106=1,GO33,1)</f>
        <v/>
      </c>
      <c r="MD33">
        <f>IF('calcA'!CQ$106=1,GP33,1)</f>
        <v/>
      </c>
      <c r="ME33">
        <f>IF('calcA'!CR$106=1,GQ33,1)</f>
        <v/>
      </c>
      <c r="MF33">
        <f>IF('calcA'!CS$106=1,GR33,1)</f>
        <v/>
      </c>
      <c r="MG33">
        <f>IF('calcA'!CT$106=1,GS33,1)</f>
        <v/>
      </c>
      <c r="MH33">
        <f>IF('calcA'!CU$106=1,GT33,1)</f>
        <v/>
      </c>
      <c r="MI33">
        <f>IF('calcA'!CV$106=1,GU33,1)</f>
        <v/>
      </c>
      <c r="MJ33">
        <f>IF('calcA'!CW$106=1,GV33,1)</f>
        <v/>
      </c>
      <c r="MK33">
        <f>IF('calcA'!CX$106=1,GW33,1)</f>
        <v/>
      </c>
      <c r="ML33">
        <f>IF('calcA'!CY$106=1,GX33,1)</f>
        <v/>
      </c>
      <c r="MM33">
        <f>IF('calcA'!CZ$106=1,GY33,1)</f>
        <v/>
      </c>
      <c r="MN33">
        <f>IF('calcA'!DA$106=1,GZ33,1)</f>
        <v/>
      </c>
      <c r="MO33">
        <f>IF('calcA'!DB$106=1,HA33,1)</f>
        <v/>
      </c>
      <c r="MP33">
        <f>IF('calcA'!DC$106=1,HB33,1)</f>
        <v/>
      </c>
      <c r="MQ33">
        <f>IF('calcA'!DD$106=1,HC33,1)</f>
        <v/>
      </c>
      <c r="MR33">
        <f>IF('calcA'!DE$106=1,HD33,1)</f>
        <v/>
      </c>
      <c r="MS33">
        <f>IF('calcA'!DF$106=1,HE33,1)</f>
        <v/>
      </c>
      <c r="MT33">
        <f>IF('calcA'!DG$106=1,HF33,1)</f>
        <v/>
      </c>
      <c r="MU33">
        <f>IF('calcA'!DH$106=1,HG33,1)</f>
        <v/>
      </c>
      <c r="MV33">
        <f>IF('calcA'!DI$106=1,HH33,1)</f>
        <v/>
      </c>
      <c r="MW33">
        <f>IF('calcA'!DJ$106=1,HI33,1)</f>
        <v/>
      </c>
      <c r="MX33">
        <f>IF('calcA'!DK$106=1,HJ33,1)</f>
        <v/>
      </c>
      <c r="MY33">
        <f>IF('calcA'!DL$106=1,HK33,1)</f>
        <v/>
      </c>
      <c r="MZ33">
        <f>IF('calcA'!DM$106=1,HL33,1)</f>
        <v/>
      </c>
      <c r="NA33">
        <f>IF('calcA'!DN$106=1,HM33,1)</f>
        <v/>
      </c>
      <c r="NB33">
        <f>IF('calcA'!DO$106=1,HN33,1)</f>
        <v/>
      </c>
      <c r="NC33">
        <f>IF('calcA'!DP$106=1,HO33,1)</f>
        <v/>
      </c>
      <c r="ND33">
        <f>IF('calcA'!DQ$106=1,HP33,1)</f>
        <v/>
      </c>
      <c r="NE33">
        <f>IF('calcA'!DR$106=1,HQ33,1)</f>
        <v/>
      </c>
      <c r="NF33">
        <f>IF('calcA'!DS$106=1,HR33,1)</f>
        <v/>
      </c>
      <c r="NG33">
        <f>IF('calcA'!DT$106=1,HS33,1)</f>
        <v/>
      </c>
      <c r="NH33">
        <f>IF('calcA'!DU$106=1,HT33,1)</f>
        <v/>
      </c>
      <c r="NI33">
        <f>IF('calcA'!DV$106=1,HU33,1)</f>
        <v/>
      </c>
      <c r="NJ33">
        <f>IF('calcA'!DW$106=1,HV33,1)</f>
        <v/>
      </c>
      <c r="NK33">
        <f>IF('calcA'!DX$106=1,HW33,1)</f>
        <v/>
      </c>
      <c r="NL33">
        <f>IF('calcA'!DY$106=1,HX33,1)</f>
        <v/>
      </c>
      <c r="NM33">
        <f>IF('calcA'!DZ$106=1,HY33,1)</f>
        <v/>
      </c>
      <c r="NN33">
        <f>IF('calcA'!EA$106=1,HZ33,1)</f>
        <v/>
      </c>
      <c r="NO33">
        <f>IF('calcA'!EB$106=1,IA33,1)</f>
        <v/>
      </c>
      <c r="NP33">
        <f>IF('calcA'!EC$106=1,IB33,1)</f>
        <v/>
      </c>
      <c r="NQ33">
        <f>IF('calcA'!ED$106=1,IC33,1)</f>
        <v/>
      </c>
      <c r="NR33">
        <f>IF('calcA'!EE$106=1,ID33,1)</f>
        <v/>
      </c>
      <c r="NS33">
        <f>IF('calcA'!EF$106=1,IE33,1)</f>
        <v/>
      </c>
      <c r="NT33">
        <f>IF('calcA'!EG$106=1,IF33,1)</f>
        <v/>
      </c>
      <c r="NU33">
        <f>IF('calcA'!EH$106=1,IG33,1)</f>
        <v/>
      </c>
      <c r="NV33">
        <f>IF('calcA'!EI$106=1,IH33,1)</f>
        <v/>
      </c>
      <c r="NW33">
        <f>IF('calcA'!EJ$106=1,II33,1)</f>
        <v/>
      </c>
      <c r="NX33">
        <f>IF('calcA'!EK$106=1,IJ33,1)</f>
        <v/>
      </c>
      <c r="NY33">
        <f>IF('calcA'!EL$106=1,IK33,1)</f>
        <v/>
      </c>
      <c r="NZ33">
        <f>IF('calcA'!EM$106=1,IL33,1)</f>
        <v/>
      </c>
      <c r="OA33">
        <f>IF('calcA'!EN$106=1,IM33,1)</f>
        <v/>
      </c>
      <c r="OB33">
        <f>IF('calcA'!EO$106=1,IN33,1)</f>
        <v/>
      </c>
      <c r="OC33">
        <f>IF('calcA'!EP$106=1,IO33,1)</f>
        <v/>
      </c>
      <c r="OD33" t="n">
        <v>1</v>
      </c>
      <c r="OF33">
        <f>IF($B33=0,1000000000,IF(INDEX('calcA'!$D$60:$EQ$99,$B33,1)*IF($W33=1,DB33+ZQ33,DB33)=1,IF(AND($E33=2,IF($W33=1,AFF33,IQ33)=0),1000000000,IF($V33=1,INDEX('calcA'!$D$130:$EQ$169,$B33,1)+IF(AND($E33=1,IQ33=0),25,0),INDEX('calcA'!D$110:D$114,$F33+1)+IF(AND($E33=1,IQ33=0),1000,0)+IF($H33=1,INDEX('calcA'!$D$180:$EQ$219,$B33,1)*500,0)-IF(AND($U33=1,'calcA'!D$117=1,DC33=0),300,0))),1000000000))</f>
        <v/>
      </c>
      <c r="OG33">
        <f>IF($B33=0,1000000000,IF(INDEX('calcA'!$D$60:$EQ$99,$B33,2)*IF($W33=1,DC33+ZR33,DC33)=1,IF(AND($E33=2,IF($W33=1,AFG33,IR33)=0),1000000000,IF($V33=1,INDEX('calcA'!$D$130:$EQ$169,$B33,2)+IF(AND($E33=1,IR33=0),25,0),INDEX('calcA'!E$110:E$114,$F33+1)+IF(AND($E33=1,IR33=0),1000,0)+IF($H33=1,INDEX('calcA'!$D$180:$EQ$219,$B33,2)*500,0)-IF(AND('calcA'!D$117=1,UB33&gt;0),300,0)-IF(AND($U33=1,'calcA'!E$117=1,DD33=0),300,0))),1000000000))</f>
        <v/>
      </c>
      <c r="OH33">
        <f>IF($B33=0,1000000000,IF(INDEX('calcA'!$D$60:$EQ$99,$B33,3)*IF($W33=1,DD33+ZS33,DD33)=1,IF(AND($E33=2,IF($W33=1,AFH33,IS33)=0),1000000000,IF($V33=1,INDEX('calcA'!$D$130:$EQ$169,$B33,3)+IF(AND($E33=1,IS33=0),25,0),INDEX('calcA'!F$110:F$114,$F33+1)+IF(AND($E33=1,IS33=0),1000,0)+IF($H33=1,INDEX('calcA'!$D$180:$EQ$219,$B33,3)*500,0)-IF(AND('calcA'!E$117=1,UC33&gt;0),300,0)-IF(AND($U33=1,'calcA'!F$117=1,DE33=0),300,0))),1000000000))</f>
        <v/>
      </c>
      <c r="OI33">
        <f>IF($B33=0,1000000000,IF(INDEX('calcA'!$D$60:$EQ$99,$B33,4)*IF($W33=1,DE33+ZT33,DE33)=1,IF(AND($E33=2,IF($W33=1,AFI33,IT33)=0),1000000000,IF($V33=1,INDEX('calcA'!$D$130:$EQ$169,$B33,4)+IF(AND($E33=1,IT33=0),25,0),INDEX('calcA'!G$110:G$114,$F33+1)+IF(AND($E33=1,IT33=0),1000,0)+IF($H33=1,INDEX('calcA'!$D$180:$EQ$219,$B33,4)*500,0)-IF(AND('calcA'!F$117=1,UD33&gt;0),300,0)-IF(AND($U33=1,'calcA'!G$117=1,DF33=0),300,0))),1000000000))</f>
        <v/>
      </c>
      <c r="OJ33">
        <f>IF($B33=0,1000000000,IF(INDEX('calcA'!$D$60:$EQ$99,$B33,5)*IF($W33=1,DF33+ZU33,DF33)=1,IF(AND($E33=2,IF($W33=1,AFJ33,IU33)=0),1000000000,IF($V33=1,INDEX('calcA'!$D$130:$EQ$169,$B33,5)+IF(AND($E33=1,IU33=0),25,0),INDEX('calcA'!H$110:H$114,$F33+1)+IF(AND($E33=1,IU33=0),1000,0)+IF($H33=1,INDEX('calcA'!$D$180:$EQ$219,$B33,5)*500,0)-IF(AND('calcA'!G$117=1,UE33&gt;0),300,0)-IF(AND($U33=1,'calcA'!H$117=1,DG33=0),300,0))),1000000000))</f>
        <v/>
      </c>
      <c r="OK33">
        <f>IF($B33=0,1000000000,IF(INDEX('calcA'!$D$60:$EQ$99,$B33,6)*IF($W33=1,DG33+ZV33,DG33)=1,IF(AND($E33=2,IF($W33=1,AFK33,IV33)=0),1000000000,IF($V33=1,INDEX('calcA'!$D$130:$EQ$169,$B33,6)+IF(AND($E33=1,IV33=0),25,0),INDEX('calcA'!I$110:I$114,$F33+1)+IF(AND($E33=1,IV33=0),1000,0)+IF($H33=1,INDEX('calcA'!$D$180:$EQ$219,$B33,6)*500,0)-IF(AND('calcA'!H$117=1,UF33&gt;0),300,0)-IF(AND($U33=1,'calcA'!I$117=1,DH33=0),300,0))),1000000000))</f>
        <v/>
      </c>
      <c r="OL33">
        <f>IF($B33=0,1000000000,IF(INDEX('calcA'!$D$60:$EQ$99,$B33,7)*IF($W33=1,DH33+ZW33,DH33)=1,IF(AND($E33=2,IF($W33=1,AFL33,IW33)=0),1000000000,IF($V33=1,INDEX('calcA'!$D$130:$EQ$169,$B33,7)+IF(AND($E33=1,IW33=0),25,0),INDEX('calcA'!J$110:J$114,$F33+1)+IF(AND($E33=1,IW33=0),1000,0)+IF($H33=1,INDEX('calcA'!$D$180:$EQ$219,$B33,7)*500,0)-IF(AND('calcA'!I$117=1,UG33&gt;0),300,0)-IF(AND($U33=1,'calcA'!J$117=1,DI33=0),300,0))),1000000000))</f>
        <v/>
      </c>
      <c r="OM33">
        <f>IF($B33=0,1000000000,IF(INDEX('calcA'!$D$60:$EQ$99,$B33,8)*IF($W33=1,DI33+ZX33,DI33)=1,IF(AND($E33=2,IF($W33=1,AFM33,IX33)=0),1000000000,IF($V33=1,INDEX('calcA'!$D$130:$EQ$169,$B33,8)+IF(AND($E33=1,IX33=0),25,0),INDEX('calcA'!K$110:K$114,$F33+1)+IF(AND($E33=1,IX33=0),1000,0)+IF($H33=1,INDEX('calcA'!$D$180:$EQ$219,$B33,8)*500,0)-IF(AND('calcA'!J$117=1,UH33&gt;0),300,0)-IF(AND($U33=1,'calcA'!K$117=1,DJ33=0),300,0))),1000000000))</f>
        <v/>
      </c>
      <c r="ON33">
        <f>IF($B33=0,1000000000,IF(INDEX('calcA'!$D$60:$EQ$99,$B33,9)*IF($W33=1,DJ33+ZY33,DJ33)=1,IF(AND($E33=2,IF($W33=1,AFN33,IY33)=0),1000000000,IF($V33=1,INDEX('calcA'!$D$130:$EQ$169,$B33,9)+IF(AND($E33=1,IY33=0),25,0),INDEX('calcA'!L$110:L$114,$F33+1)+IF(AND($E33=1,IY33=0),1000,0)+IF($H33=1,INDEX('calcA'!$D$180:$EQ$219,$B33,9)*500,0)-IF(AND('calcA'!K$117=1,UI33&gt;0),300,0)-IF(AND($U33=1,'calcA'!L$117=1,DK33=0),300,0))),1000000000))</f>
        <v/>
      </c>
      <c r="OO33">
        <f>IF($B33=0,1000000000,IF(INDEX('calcA'!$D$60:$EQ$99,$B33,10)*IF($W33=1,DK33+ZZ33,DK33)=1,IF(AND($E33=2,IF($W33=1,AFO33,IZ33)=0),1000000000,IF($V33=1,INDEX('calcA'!$D$130:$EQ$169,$B33,10)+IF(AND($E33=1,IZ33=0),25,0),INDEX('calcA'!M$110:M$114,$F33+1)+IF(AND($E33=1,IZ33=0),1000,0)+IF($H33=1,INDEX('calcA'!$D$180:$EQ$219,$B33,10)*500,0)-IF(AND('calcA'!L$117=1,UJ33&gt;0),300,0)-IF(AND($U33=1,'calcA'!M$117=1,DL33=0),300,0))),1000000000))</f>
        <v/>
      </c>
      <c r="OP33">
        <f>IF($B33=0,1000000000,IF(INDEX('calcA'!$D$60:$EQ$99,$B33,11)*IF($W33=1,DL33+AAA33,DL33)=1,IF(AND($E33=2,IF($W33=1,AFP33,JA33)=0),1000000000,IF($V33=1,INDEX('calcA'!$D$130:$EQ$169,$B33,11)+IF(AND($E33=1,JA33=0),25,0),INDEX('calcA'!N$110:N$114,$F33+1)+IF(AND($E33=1,JA33=0),1000,0)+IF($H33=1,INDEX('calcA'!$D$180:$EQ$219,$B33,11)*500,0)-IF(AND('calcA'!M$117=1,UK33&gt;0),300,0)-IF(AND($U33=1,'calcA'!N$117=1,DM33=0),300,0))),1000000000))</f>
        <v/>
      </c>
      <c r="OQ33">
        <f>IF($B33=0,1000000000,IF(INDEX('calcA'!$D$60:$EQ$99,$B33,12)*IF($W33=1,DM33+AAB33,DM33)=1,IF(AND($E33=2,IF($W33=1,AFQ33,JB33)=0),1000000000,IF($V33=1,INDEX('calcA'!$D$130:$EQ$169,$B33,12)+IF(AND($E33=1,JB33=0),25,0),INDEX('calcA'!O$110:O$114,$F33+1)+IF(AND($E33=1,JB33=0),1000,0)+IF($H33=1,INDEX('calcA'!$D$180:$EQ$219,$B33,12)*500,0)-IF(AND('calcA'!N$117=1,UL33&gt;0),300,0)-IF(AND($U33=1,'calcA'!O$117=1,DN33=0),300,0))),1000000000))</f>
        <v/>
      </c>
      <c r="OR33">
        <f>IF($B33=0,1000000000,IF(INDEX('calcA'!$D$60:$EQ$99,$B33,13)*IF($W33=1,DN33+AAC33,DN33)=1,IF(AND($E33=2,IF($W33=1,AFR33,JC33)=0),1000000000,IF($V33=1,INDEX('calcA'!$D$130:$EQ$169,$B33,13)+IF(AND($E33=1,JC33=0),25,0),INDEX('calcA'!P$110:P$114,$F33+1)+IF(AND($E33=1,JC33=0),1000,0)+IF($H33=1,INDEX('calcA'!$D$180:$EQ$219,$B33,13)*500,0)-IF(AND('calcA'!O$117=1,UM33&gt;0),300,0)-IF(AND($U33=1,'calcA'!P$117=1,DO33=0),300,0))),1000000000))</f>
        <v/>
      </c>
      <c r="OS33">
        <f>IF($B33=0,1000000000,IF(INDEX('calcA'!$D$60:$EQ$99,$B33,14)*IF($W33=1,DO33+AAD33,DO33)=1,IF(AND($E33=2,IF($W33=1,AFS33,JD33)=0),1000000000,IF($V33=1,INDEX('calcA'!$D$130:$EQ$169,$B33,14)+IF(AND($E33=1,JD33=0),25,0),INDEX('calcA'!Q$110:Q$114,$F33+1)+IF(AND($E33=1,JD33=0),1000,0)+IF($H33=1,INDEX('calcA'!$D$180:$EQ$219,$B33,14)*500,0)-IF(AND('calcA'!P$117=1,UN33&gt;0),300,0)-IF(AND($U33=1,'calcA'!Q$117=1,DP33=0),300,0))),1000000000))</f>
        <v/>
      </c>
      <c r="OT33">
        <f>IF($B33=0,1000000000,IF(INDEX('calcA'!$D$60:$EQ$99,$B33,15)*IF($W33=1,DP33+AAE33,DP33)=1,IF(AND($E33=2,IF($W33=1,AFT33,JE33)=0),1000000000,IF($V33=1,INDEX('calcA'!$D$130:$EQ$169,$B33,15)+IF(AND($E33=1,JE33=0),25,0),INDEX('calcA'!R$110:R$114,$F33+1)+IF(AND($E33=1,JE33=0),1000,0)+IF($H33=1,INDEX('calcA'!$D$180:$EQ$219,$B33,15)*500,0)-IF(AND('calcA'!Q$117=1,UO33&gt;0),300,0)-IF(AND($U33=1,'calcA'!R$117=1,DQ33=0),300,0))),1000000000))</f>
        <v/>
      </c>
      <c r="OU33">
        <f>IF($B33=0,1000000000,IF(INDEX('calcA'!$D$60:$EQ$99,$B33,16)*IF($W33=1,DQ33+AAF33,DQ33)=1,IF(AND($E33=2,IF($W33=1,AFU33,JF33)=0),1000000000,IF($V33=1,INDEX('calcA'!$D$130:$EQ$169,$B33,16)+IF(AND($E33=1,JF33=0),25,0),INDEX('calcA'!S$110:S$114,$F33+1)+IF(AND($E33=1,JF33=0),1000,0)+IF($H33=1,INDEX('calcA'!$D$180:$EQ$219,$B33,16)*500,0)-IF(AND('calcA'!R$117=1,UP33&gt;0),300,0)-IF(AND($U33=1,'calcA'!S$117=1,DR33=0),300,0))),1000000000))</f>
        <v/>
      </c>
      <c r="OV33">
        <f>IF($B33=0,1000000000,IF(INDEX('calcA'!$D$60:$EQ$99,$B33,17)*IF($W33=1,DR33+AAG33,DR33)=1,IF(AND($E33=2,IF($W33=1,AFV33,JG33)=0),1000000000,IF($V33=1,INDEX('calcA'!$D$130:$EQ$169,$B33,17)+IF(AND($E33=1,JG33=0),25,0),INDEX('calcA'!T$110:T$114,$F33+1)+IF(AND($E33=1,JG33=0),1000,0)+IF($H33=1,INDEX('calcA'!$D$180:$EQ$219,$B33,17)*500,0)-IF(AND('calcA'!S$117=1,UQ33&gt;0),300,0)-IF(AND($U33=1,'calcA'!T$117=1,DS33=0),300,0))),1000000000))</f>
        <v/>
      </c>
      <c r="OW33">
        <f>IF($B33=0,1000000000,IF(INDEX('calcA'!$D$60:$EQ$99,$B33,18)*IF($W33=1,DS33+AAH33,DS33)=1,IF(AND($E33=2,IF($W33=1,AFW33,JH33)=0),1000000000,IF($V33=1,INDEX('calcA'!$D$130:$EQ$169,$B33,18)+IF(AND($E33=1,JH33=0),25,0),INDEX('calcA'!U$110:U$114,$F33+1)+IF(AND($E33=1,JH33=0),1000,0)+IF($H33=1,INDEX('calcA'!$D$180:$EQ$219,$B33,18)*500,0)-IF(AND('calcA'!T$117=1,UR33&gt;0),300,0)-IF(AND($U33=1,'calcA'!U$117=1,DT33=0),300,0))),1000000000))</f>
        <v/>
      </c>
      <c r="OX33">
        <f>IF($B33=0,1000000000,IF(INDEX('calcA'!$D$60:$EQ$99,$B33,19)*IF($W33=1,DT33+AAI33,DT33)=1,IF(AND($E33=2,IF($W33=1,AFX33,JI33)=0),1000000000,IF($V33=1,INDEX('calcA'!$D$130:$EQ$169,$B33,19)+IF(AND($E33=1,JI33=0),25,0),INDEX('calcA'!V$110:V$114,$F33+1)+IF(AND($E33=1,JI33=0),1000,0)+IF($H33=1,INDEX('calcA'!$D$180:$EQ$219,$B33,19)*500,0)-IF(AND('calcA'!U$117=1,US33&gt;0),300,0)-IF(AND($U33=1,'calcA'!V$117=1,DU33=0),300,0))),1000000000))</f>
        <v/>
      </c>
      <c r="OY33">
        <f>IF($B33=0,1000000000,IF(INDEX('calcA'!$D$60:$EQ$99,$B33,20)*IF($W33=1,DU33+AAJ33,DU33)=1,IF(AND($E33=2,IF($W33=1,AFY33,JJ33)=0),1000000000,IF($V33=1,INDEX('calcA'!$D$130:$EQ$169,$B33,20)+IF(AND($E33=1,JJ33=0),25,0),INDEX('calcA'!W$110:W$114,$F33+1)+IF(AND($E33=1,JJ33=0),1000,0)+IF($H33=1,INDEX('calcA'!$D$180:$EQ$219,$B33,20)*500,0)-IF(AND('calcA'!V$117=1,UT33&gt;0),300,0)-IF(AND($U33=1,'calcA'!W$117=1,DV33=0),300,0))),1000000000))</f>
        <v/>
      </c>
      <c r="OZ33">
        <f>IF($B33=0,1000000000,IF(INDEX('calcA'!$D$60:$EQ$99,$B33,21)*IF($W33=1,DV33+AAK33,DV33)=1,IF(AND($E33=2,IF($W33=1,AFZ33,JK33)=0),1000000000,IF($V33=1,INDEX('calcA'!$D$130:$EQ$169,$B33,21)+IF(AND($E33=1,JK33=0),25,0),INDEX('calcA'!X$110:X$114,$F33+1)+IF(AND($E33=1,JK33=0),1000,0)+IF($H33=1,INDEX('calcA'!$D$180:$EQ$219,$B33,21)*500,0)-IF(AND('calcA'!W$117=1,UU33&gt;0),300,0)-IF(AND($U33=1,'calcA'!X$117=1,DW33=0),300,0))),1000000000))</f>
        <v/>
      </c>
      <c r="PA33">
        <f>IF($B33=0,1000000000,IF(INDEX('calcA'!$D$60:$EQ$99,$B33,22)*IF($W33=1,DW33+AAL33,DW33)=1,IF(AND($E33=2,IF($W33=1,AGA33,JL33)=0),1000000000,IF($V33=1,INDEX('calcA'!$D$130:$EQ$169,$B33,22)+IF(AND($E33=1,JL33=0),25,0),INDEX('calcA'!Y$110:Y$114,$F33+1)+IF(AND($E33=1,JL33=0),1000,0)+IF($H33=1,INDEX('calcA'!$D$180:$EQ$219,$B33,22)*500,0)-IF(AND('calcA'!X$117=1,UV33&gt;0),300,0)-IF(AND($U33=1,'calcA'!Y$117=1,DX33=0),300,0))),1000000000))</f>
        <v/>
      </c>
      <c r="PB33">
        <f>IF($B33=0,1000000000,IF(INDEX('calcA'!$D$60:$EQ$99,$B33,23)*IF($W33=1,DX33+AAM33,DX33)=1,IF(AND($E33=2,IF($W33=1,AGB33,JM33)=0),1000000000,IF($V33=1,INDEX('calcA'!$D$130:$EQ$169,$B33,23)+IF(AND($E33=1,JM33=0),25,0),INDEX('calcA'!Z$110:Z$114,$F33+1)+IF(AND($E33=1,JM33=0),1000,0)+IF($H33=1,INDEX('calcA'!$D$180:$EQ$219,$B33,23)*500,0)-IF(AND('calcA'!Y$117=1,UW33&gt;0),300,0)-IF(AND($U33=1,'calcA'!Z$117=1,DY33=0),300,0))),1000000000))</f>
        <v/>
      </c>
      <c r="PC33">
        <f>IF($B33=0,1000000000,IF(INDEX('calcA'!$D$60:$EQ$99,$B33,24)*IF($W33=1,DY33+AAN33,DY33)=1,IF(AND($E33=2,IF($W33=1,AGC33,JN33)=0),1000000000,IF($V33=1,INDEX('calcA'!$D$130:$EQ$169,$B33,24)+IF(AND($E33=1,JN33=0),25,0),INDEX('calcA'!AA$110:AA$114,$F33+1)+IF(AND($E33=1,JN33=0),1000,0)+IF($H33=1,INDEX('calcA'!$D$180:$EQ$219,$B33,24)*500,0)-IF(AND('calcA'!Z$117=1,UX33&gt;0),300,0))),1000000000))</f>
        <v/>
      </c>
      <c r="PD33">
        <f>IF($B33=0,1000000000,IF(INDEX('calcA'!$D$60:$EQ$99,$B33,25)*IF($W33=1,DZ33+AAO33,DZ33)=1,IF(AND($E33=2,IF($W33=1,AGD33,JO33)=0),1000000000,IF($V33=1,INDEX('calcA'!$D$130:$EQ$169,$B33,25)+IF(AND($E33=1,JO33=0),25,0),INDEX('calcA'!AB$110:AB$114,$F33+1)+IF(AND($E33=1,JO33=0),1000,0)+IF($H33=1,INDEX('calcA'!$D$180:$EQ$219,$B33,25)*500,0)-IF(AND($U33=1,'calcA'!AB$117=1,EA33=0),300,0))),1000000000))</f>
        <v/>
      </c>
      <c r="PE33">
        <f>IF($B33=0,1000000000,IF(INDEX('calcA'!$D$60:$EQ$99,$B33,26)*IF($W33=1,EA33+AAP33,EA33)=1,IF(AND($E33=2,IF($W33=1,AGE33,JP33)=0),1000000000,IF($V33=1,INDEX('calcA'!$D$130:$EQ$169,$B33,26)+IF(AND($E33=1,JP33=0),25,0),INDEX('calcA'!AC$110:AC$114,$F33+1)+IF(AND($E33=1,JP33=0),1000,0)+IF($H33=1,INDEX('calcA'!$D$180:$EQ$219,$B33,26)*500,0)-IF(AND('calcA'!AB$117=1,UZ33&gt;0),300,0)-IF(AND($U33=1,'calcA'!AC$117=1,EB33=0),300,0))),1000000000))</f>
        <v/>
      </c>
      <c r="PF33">
        <f>IF($B33=0,1000000000,IF(INDEX('calcA'!$D$60:$EQ$99,$B33,27)*IF($W33=1,EB33+AAQ33,EB33)=1,IF(AND($E33=2,IF($W33=1,AGF33,JQ33)=0),1000000000,IF($V33=1,INDEX('calcA'!$D$130:$EQ$169,$B33,27)+IF(AND($E33=1,JQ33=0),25,0),INDEX('calcA'!AD$110:AD$114,$F33+1)+IF(AND($E33=1,JQ33=0),1000,0)+IF($H33=1,INDEX('calcA'!$D$180:$EQ$219,$B33,27)*500,0)-IF(AND('calcA'!AC$117=1,VA33&gt;0),300,0)-IF(AND($U33=1,'calcA'!AD$117=1,EC33=0),300,0))),1000000000))</f>
        <v/>
      </c>
      <c r="PG33">
        <f>IF($B33=0,1000000000,IF(INDEX('calcA'!$D$60:$EQ$99,$B33,28)*IF($W33=1,EC33+AAR33,EC33)=1,IF(AND($E33=2,IF($W33=1,AGG33,JR33)=0),1000000000,IF($V33=1,INDEX('calcA'!$D$130:$EQ$169,$B33,28)+IF(AND($E33=1,JR33=0),25,0),INDEX('calcA'!AE$110:AE$114,$F33+1)+IF(AND($E33=1,JR33=0),1000,0)+IF($H33=1,INDEX('calcA'!$D$180:$EQ$219,$B33,28)*500,0)-IF(AND('calcA'!AD$117=1,VB33&gt;0),300,0)-IF(AND($U33=1,'calcA'!AE$117=1,ED33=0),300,0))),1000000000))</f>
        <v/>
      </c>
      <c r="PH33">
        <f>IF($B33=0,1000000000,IF(INDEX('calcA'!$D$60:$EQ$99,$B33,29)*IF($W33=1,ED33+AAS33,ED33)=1,IF(AND($E33=2,IF($W33=1,AGH33,JS33)=0),1000000000,IF($V33=1,INDEX('calcA'!$D$130:$EQ$169,$B33,29)+IF(AND($E33=1,JS33=0),25,0),INDEX('calcA'!AF$110:AF$114,$F33+1)+IF(AND($E33=1,JS33=0),1000,0)+IF($H33=1,INDEX('calcA'!$D$180:$EQ$219,$B33,29)*500,0)-IF(AND('calcA'!AE$117=1,VC33&gt;0),300,0)-IF(AND($U33=1,'calcA'!AF$117=1,EE33=0),300,0))),1000000000))</f>
        <v/>
      </c>
      <c r="PI33">
        <f>IF($B33=0,1000000000,IF(INDEX('calcA'!$D$60:$EQ$99,$B33,30)*IF($W33=1,EE33+AAT33,EE33)=1,IF(AND($E33=2,IF($W33=1,AGI33,JT33)=0),1000000000,IF($V33=1,INDEX('calcA'!$D$130:$EQ$169,$B33,30)+IF(AND($E33=1,JT33=0),25,0),INDEX('calcA'!AG$110:AG$114,$F33+1)+IF(AND($E33=1,JT33=0),1000,0)+IF($H33=1,INDEX('calcA'!$D$180:$EQ$219,$B33,30)*500,0)-IF(AND('calcA'!AF$117=1,VD33&gt;0),300,0)-IF(AND($U33=1,'calcA'!AG$117=1,EF33=0),300,0))),1000000000))</f>
        <v/>
      </c>
      <c r="PJ33">
        <f>IF($B33=0,1000000000,IF(INDEX('calcA'!$D$60:$EQ$99,$B33,31)*IF($W33=1,EF33+AAU33,EF33)=1,IF(AND($E33=2,IF($W33=1,AGJ33,JU33)=0),1000000000,IF($V33=1,INDEX('calcA'!$D$130:$EQ$169,$B33,31)+IF(AND($E33=1,JU33=0),25,0),INDEX('calcA'!AH$110:AH$114,$F33+1)+IF(AND($E33=1,JU33=0),1000,0)+IF($H33=1,INDEX('calcA'!$D$180:$EQ$219,$B33,31)*500,0)-IF(AND('calcA'!AG$117=1,VE33&gt;0),300,0)-IF(AND($U33=1,'calcA'!AH$117=1,EG33=0),300,0))),1000000000))</f>
        <v/>
      </c>
      <c r="PK33">
        <f>IF($B33=0,1000000000,IF(INDEX('calcA'!$D$60:$EQ$99,$B33,32)*IF($W33=1,EG33+AAV33,EG33)=1,IF(AND($E33=2,IF($W33=1,AGK33,JV33)=0),1000000000,IF($V33=1,INDEX('calcA'!$D$130:$EQ$169,$B33,32)+IF(AND($E33=1,JV33=0),25,0),INDEX('calcA'!AI$110:AI$114,$F33+1)+IF(AND($E33=1,JV33=0),1000,0)+IF($H33=1,INDEX('calcA'!$D$180:$EQ$219,$B33,32)*500,0)-IF(AND('calcA'!AH$117=1,VF33&gt;0),300,0)-IF(AND($U33=1,'calcA'!AI$117=1,EH33=0),300,0))),1000000000))</f>
        <v/>
      </c>
      <c r="PL33">
        <f>IF($B33=0,1000000000,IF(INDEX('calcA'!$D$60:$EQ$99,$B33,33)*IF($W33=1,EH33+AAW33,EH33)=1,IF(AND($E33=2,IF($W33=1,AGL33,JW33)=0),1000000000,IF($V33=1,INDEX('calcA'!$D$130:$EQ$169,$B33,33)+IF(AND($E33=1,JW33=0),25,0),INDEX('calcA'!AJ$110:AJ$114,$F33+1)+IF(AND($E33=1,JW33=0),1000,0)+IF($H33=1,INDEX('calcA'!$D$180:$EQ$219,$B33,33)*500,0)-IF(AND('calcA'!AI$117=1,VG33&gt;0),300,0)-IF(AND($U33=1,'calcA'!AJ$117=1,EI33=0),300,0))),1000000000))</f>
        <v/>
      </c>
      <c r="PM33">
        <f>IF($B33=0,1000000000,IF(INDEX('calcA'!$D$60:$EQ$99,$B33,34)*IF($W33=1,EI33+AAX33,EI33)=1,IF(AND($E33=2,IF($W33=1,AGM33,JX33)=0),1000000000,IF($V33=1,INDEX('calcA'!$D$130:$EQ$169,$B33,34)+IF(AND($E33=1,JX33=0),25,0),INDEX('calcA'!AK$110:AK$114,$F33+1)+IF(AND($E33=1,JX33=0),1000,0)+IF($H33=1,INDEX('calcA'!$D$180:$EQ$219,$B33,34)*500,0)-IF(AND('calcA'!AJ$117=1,VH33&gt;0),300,0)-IF(AND($U33=1,'calcA'!AK$117=1,EJ33=0),300,0))),1000000000))</f>
        <v/>
      </c>
      <c r="PN33">
        <f>IF($B33=0,1000000000,IF(INDEX('calcA'!$D$60:$EQ$99,$B33,35)*IF($W33=1,EJ33+AAY33,EJ33)=1,IF(AND($E33=2,IF($W33=1,AGN33,JY33)=0),1000000000,IF($V33=1,INDEX('calcA'!$D$130:$EQ$169,$B33,35)+IF(AND($E33=1,JY33=0),25,0),INDEX('calcA'!AL$110:AL$114,$F33+1)+IF(AND($E33=1,JY33=0),1000,0)+IF($H33=1,INDEX('calcA'!$D$180:$EQ$219,$B33,35)*500,0)-IF(AND('calcA'!AK$117=1,VI33&gt;0),300,0)-IF(AND($U33=1,'calcA'!AL$117=1,EK33=0),300,0))),1000000000))</f>
        <v/>
      </c>
      <c r="PO33">
        <f>IF($B33=0,1000000000,IF(INDEX('calcA'!$D$60:$EQ$99,$B33,36)*IF($W33=1,EK33+AAZ33,EK33)=1,IF(AND($E33=2,IF($W33=1,AGO33,JZ33)=0),1000000000,IF($V33=1,INDEX('calcA'!$D$130:$EQ$169,$B33,36)+IF(AND($E33=1,JZ33=0),25,0),INDEX('calcA'!AM$110:AM$114,$F33+1)+IF(AND($E33=1,JZ33=0),1000,0)+IF($H33=1,INDEX('calcA'!$D$180:$EQ$219,$B33,36)*500,0)-IF(AND('calcA'!AL$117=1,VJ33&gt;0),300,0)-IF(AND($U33=1,'calcA'!AM$117=1,EL33=0),300,0))),1000000000))</f>
        <v/>
      </c>
      <c r="PP33">
        <f>IF($B33=0,1000000000,IF(INDEX('calcA'!$D$60:$EQ$99,$B33,37)*IF($W33=1,EL33+ABA33,EL33)=1,IF(AND($E33=2,IF($W33=1,AGP33,KA33)=0),1000000000,IF($V33=1,INDEX('calcA'!$D$130:$EQ$169,$B33,37)+IF(AND($E33=1,KA33=0),25,0),INDEX('calcA'!AN$110:AN$114,$F33+1)+IF(AND($E33=1,KA33=0),1000,0)+IF($H33=1,INDEX('calcA'!$D$180:$EQ$219,$B33,37)*500,0)-IF(AND('calcA'!AM$117=1,VK33&gt;0),300,0)-IF(AND($U33=1,'calcA'!AN$117=1,EM33=0),300,0))),1000000000))</f>
        <v/>
      </c>
      <c r="PQ33">
        <f>IF($B33=0,1000000000,IF(INDEX('calcA'!$D$60:$EQ$99,$B33,38)*IF($W33=1,EM33+ABB33,EM33)=1,IF(AND($E33=2,IF($W33=1,AGQ33,KB33)=0),1000000000,IF($V33=1,INDEX('calcA'!$D$130:$EQ$169,$B33,38)+IF(AND($E33=1,KB33=0),25,0),INDEX('calcA'!AO$110:AO$114,$F33+1)+IF(AND($E33=1,KB33=0),1000,0)+IF($H33=1,INDEX('calcA'!$D$180:$EQ$219,$B33,38)*500,0)-IF(AND('calcA'!AN$117=1,VL33&gt;0),300,0)-IF(AND($U33=1,'calcA'!AO$117=1,EN33=0),300,0))),1000000000))</f>
        <v/>
      </c>
      <c r="PR33">
        <f>IF($B33=0,1000000000,IF(INDEX('calcA'!$D$60:$EQ$99,$B33,39)*IF($W33=1,EN33+ABC33,EN33)=1,IF(AND($E33=2,IF($W33=1,AGR33,KC33)=0),1000000000,IF($V33=1,INDEX('calcA'!$D$130:$EQ$169,$B33,39)+IF(AND($E33=1,KC33=0),25,0),INDEX('calcA'!AP$110:AP$114,$F33+1)+IF(AND($E33=1,KC33=0),1000,0)+IF($H33=1,INDEX('calcA'!$D$180:$EQ$219,$B33,39)*500,0)-IF(AND('calcA'!AO$117=1,VM33&gt;0),300,0)-IF(AND($U33=1,'calcA'!AP$117=1,EO33=0),300,0))),1000000000))</f>
        <v/>
      </c>
      <c r="PS33">
        <f>IF($B33=0,1000000000,IF(INDEX('calcA'!$D$60:$EQ$99,$B33,40)*IF($W33=1,EO33+ABD33,EO33)=1,IF(AND($E33=2,IF($W33=1,AGS33,KD33)=0),1000000000,IF($V33=1,INDEX('calcA'!$D$130:$EQ$169,$B33,40)+IF(AND($E33=1,KD33=0),25,0),INDEX('calcA'!AQ$110:AQ$114,$F33+1)+IF(AND($E33=1,KD33=0),1000,0)+IF($H33=1,INDEX('calcA'!$D$180:$EQ$219,$B33,40)*500,0)-IF(AND('calcA'!AP$117=1,VN33&gt;0),300,0)-IF(AND($U33=1,'calcA'!AQ$117=1,EP33=0),300,0))),1000000000))</f>
        <v/>
      </c>
      <c r="PT33">
        <f>IF($B33=0,1000000000,IF(INDEX('calcA'!$D$60:$EQ$99,$B33,41)*IF($W33=1,EP33+ABE33,EP33)=1,IF(AND($E33=2,IF($W33=1,AGT33,KE33)=0),1000000000,IF($V33=1,INDEX('calcA'!$D$130:$EQ$169,$B33,41)+IF(AND($E33=1,KE33=0),25,0),INDEX('calcA'!AR$110:AR$114,$F33+1)+IF(AND($E33=1,KE33=0),1000,0)+IF($H33=1,INDEX('calcA'!$D$180:$EQ$219,$B33,41)*500,0)-IF(AND('calcA'!AQ$117=1,VO33&gt;0),300,0)-IF(AND($U33=1,'calcA'!AR$117=1,EQ33=0),300,0))),1000000000))</f>
        <v/>
      </c>
      <c r="PU33">
        <f>IF($B33=0,1000000000,IF(INDEX('calcA'!$D$60:$EQ$99,$B33,42)*IF($W33=1,EQ33+ABF33,EQ33)=1,IF(AND($E33=2,IF($W33=1,AGU33,KF33)=0),1000000000,IF($V33=1,INDEX('calcA'!$D$130:$EQ$169,$B33,42)+IF(AND($E33=1,KF33=0),25,0),INDEX('calcA'!AS$110:AS$114,$F33+1)+IF(AND($E33=1,KF33=0),1000,0)+IF($H33=1,INDEX('calcA'!$D$180:$EQ$219,$B33,42)*500,0)-IF(AND('calcA'!AR$117=1,VP33&gt;0),300,0)-IF(AND($U33=1,'calcA'!AS$117=1,ER33=0),300,0))),1000000000))</f>
        <v/>
      </c>
      <c r="PV33">
        <f>IF($B33=0,1000000000,IF(INDEX('calcA'!$D$60:$EQ$99,$B33,43)*IF($W33=1,ER33+ABG33,ER33)=1,IF(AND($E33=2,IF($W33=1,AGV33,KG33)=0),1000000000,IF($V33=1,INDEX('calcA'!$D$130:$EQ$169,$B33,43)+IF(AND($E33=1,KG33=0),25,0),INDEX('calcA'!AT$110:AT$114,$F33+1)+IF(AND($E33=1,KG33=0),1000,0)+IF($H33=1,INDEX('calcA'!$D$180:$EQ$219,$B33,43)*500,0)-IF(AND('calcA'!AS$117=1,VQ33&gt;0),300,0)-IF(AND($U33=1,'calcA'!AT$117=1,ES33=0),300,0))),1000000000))</f>
        <v/>
      </c>
      <c r="PW33">
        <f>IF($B33=0,1000000000,IF(INDEX('calcA'!$D$60:$EQ$99,$B33,44)*IF($W33=1,ES33+ABH33,ES33)=1,IF(AND($E33=2,IF($W33=1,AGW33,KH33)=0),1000000000,IF($V33=1,INDEX('calcA'!$D$130:$EQ$169,$B33,44)+IF(AND($E33=1,KH33=0),25,0),INDEX('calcA'!AU$110:AU$114,$F33+1)+IF(AND($E33=1,KH33=0),1000,0)+IF($H33=1,INDEX('calcA'!$D$180:$EQ$219,$B33,44)*500,0)-IF(AND('calcA'!AT$117=1,VR33&gt;0),300,0)-IF(AND($U33=1,'calcA'!AU$117=1,ET33=0),300,0))),1000000000))</f>
        <v/>
      </c>
      <c r="PX33">
        <f>IF($B33=0,1000000000,IF(INDEX('calcA'!$D$60:$EQ$99,$B33,45)*IF($W33=1,ET33+ABI33,ET33)=1,IF(AND($E33=2,IF($W33=1,AGX33,KI33)=0),1000000000,IF($V33=1,INDEX('calcA'!$D$130:$EQ$169,$B33,45)+IF(AND($E33=1,KI33=0),25,0),INDEX('calcA'!AV$110:AV$114,$F33+1)+IF(AND($E33=1,KI33=0),1000,0)+IF($H33=1,INDEX('calcA'!$D$180:$EQ$219,$B33,45)*500,0)-IF(AND('calcA'!AU$117=1,VS33&gt;0),300,0)-IF(AND($U33=1,'calcA'!AV$117=1,EU33=0),300,0))),1000000000))</f>
        <v/>
      </c>
      <c r="PY33">
        <f>IF($B33=0,1000000000,IF(INDEX('calcA'!$D$60:$EQ$99,$B33,46)*IF($W33=1,EU33+ABJ33,EU33)=1,IF(AND($E33=2,IF($W33=1,AGY33,KJ33)=0),1000000000,IF($V33=1,INDEX('calcA'!$D$130:$EQ$169,$B33,46)+IF(AND($E33=1,KJ33=0),25,0),INDEX('calcA'!AW$110:AW$114,$F33+1)+IF(AND($E33=1,KJ33=0),1000,0)+IF($H33=1,INDEX('calcA'!$D$180:$EQ$219,$B33,46)*500,0)-IF(AND('calcA'!AV$117=1,VT33&gt;0),300,0)-IF(AND($U33=1,'calcA'!AW$117=1,EV33=0),300,0))),1000000000))</f>
        <v/>
      </c>
      <c r="PZ33">
        <f>IF($B33=0,1000000000,IF(INDEX('calcA'!$D$60:$EQ$99,$B33,47)*IF($W33=1,EV33+ABK33,EV33)=1,IF(AND($E33=2,IF($W33=1,AGZ33,KK33)=0),1000000000,IF($V33=1,INDEX('calcA'!$D$130:$EQ$169,$B33,47)+IF(AND($E33=1,KK33=0),25,0),INDEX('calcA'!AX$110:AX$114,$F33+1)+IF(AND($E33=1,KK33=0),1000,0)+IF($H33=1,INDEX('calcA'!$D$180:$EQ$219,$B33,47)*500,0)-IF(AND('calcA'!AW$117=1,VU33&gt;0),300,0)-IF(AND($U33=1,'calcA'!AX$117=1,EW33=0),300,0))),1000000000))</f>
        <v/>
      </c>
      <c r="QA33">
        <f>IF($B33=0,1000000000,IF(INDEX('calcA'!$D$60:$EQ$99,$B33,48)*IF($W33=1,EW33+ABL33,EW33)=1,IF(AND($E33=2,IF($W33=1,AHA33,KL33)=0),1000000000,IF($V33=1,INDEX('calcA'!$D$130:$EQ$169,$B33,48)+IF(AND($E33=1,KL33=0),25,0),INDEX('calcA'!AY$110:AY$114,$F33+1)+IF(AND($E33=1,KL33=0),1000,0)+IF($H33=1,INDEX('calcA'!$D$180:$EQ$219,$B33,48)*500,0)-IF(AND('calcA'!AX$117=1,VV33&gt;0),300,0))),1000000000))</f>
        <v/>
      </c>
      <c r="QB33">
        <f>IF($B33=0,1000000000,IF(INDEX('calcA'!$D$60:$EQ$99,$B33,49)*IF($W33=1,EX33+ABM33,EX33)=1,IF(AND($E33=2,IF($W33=1,AHB33,KM33)=0),1000000000,IF($V33=1,INDEX('calcA'!$D$130:$EQ$169,$B33,49)+IF(AND($E33=1,KM33=0),25,0),INDEX('calcA'!AZ$110:AZ$114,$F33+1)+IF(AND($E33=1,KM33=0),1000,0)+IF($H33=1,INDEX('calcA'!$D$180:$EQ$219,$B33,49)*500,0)-IF(AND($U33=1,'calcA'!AZ$117=1,EY33=0),300,0))),1000000000))</f>
        <v/>
      </c>
      <c r="QC33">
        <f>IF($B33=0,1000000000,IF(INDEX('calcA'!$D$60:$EQ$99,$B33,50)*IF($W33=1,EY33+ABN33,EY33)=1,IF(AND($E33=2,IF($W33=1,AHC33,KN33)=0),1000000000,IF($V33=1,INDEX('calcA'!$D$130:$EQ$169,$B33,50)+IF(AND($E33=1,KN33=0),25,0),INDEX('calcA'!BA$110:BA$114,$F33+1)+IF(AND($E33=1,KN33=0),1000,0)+IF($H33=1,INDEX('calcA'!$D$180:$EQ$219,$B33,50)*500,0)-IF(AND('calcA'!AZ$117=1,VX33&gt;0),300,0)-IF(AND($U33=1,'calcA'!BA$117=1,EZ33=0),300,0))),1000000000))</f>
        <v/>
      </c>
      <c r="QD33">
        <f>IF($B33=0,1000000000,IF(INDEX('calcA'!$D$60:$EQ$99,$B33,51)*IF($W33=1,EZ33+ABO33,EZ33)=1,IF(AND($E33=2,IF($W33=1,AHD33,KO33)=0),1000000000,IF($V33=1,INDEX('calcA'!$D$130:$EQ$169,$B33,51)+IF(AND($E33=1,KO33=0),25,0),INDEX('calcA'!BB$110:BB$114,$F33+1)+IF(AND($E33=1,KO33=0),1000,0)+IF($H33=1,INDEX('calcA'!$D$180:$EQ$219,$B33,51)*500,0)-IF(AND('calcA'!BA$117=1,VY33&gt;0),300,0)-IF(AND($U33=1,'calcA'!BB$117=1,FA33=0),300,0))),1000000000))</f>
        <v/>
      </c>
      <c r="QE33">
        <f>IF($B33=0,1000000000,IF(INDEX('calcA'!$D$60:$EQ$99,$B33,52)*IF($W33=1,FA33+ABP33,FA33)=1,IF(AND($E33=2,IF($W33=1,AHE33,KP33)=0),1000000000,IF($V33=1,INDEX('calcA'!$D$130:$EQ$169,$B33,52)+IF(AND($E33=1,KP33=0),25,0),INDEX('calcA'!BC$110:BC$114,$F33+1)+IF(AND($E33=1,KP33=0),1000,0)+IF($H33=1,INDEX('calcA'!$D$180:$EQ$219,$B33,52)*500,0)-IF(AND('calcA'!BB$117=1,VZ33&gt;0),300,0)-IF(AND($U33=1,'calcA'!BC$117=1,FB33=0),300,0))),1000000000))</f>
        <v/>
      </c>
      <c r="QF33">
        <f>IF($B33=0,1000000000,IF(INDEX('calcA'!$D$60:$EQ$99,$B33,53)*IF($W33=1,FB33+ABQ33,FB33)=1,IF(AND($E33=2,IF($W33=1,AHF33,KQ33)=0),1000000000,IF($V33=1,INDEX('calcA'!$D$130:$EQ$169,$B33,53)+IF(AND($E33=1,KQ33=0),25,0),INDEX('calcA'!BD$110:BD$114,$F33+1)+IF(AND($E33=1,KQ33=0),1000,0)+IF($H33=1,INDEX('calcA'!$D$180:$EQ$219,$B33,53)*500,0)-IF(AND('calcA'!BC$117=1,WA33&gt;0),300,0)-IF(AND($U33=1,'calcA'!BD$117=1,FC33=0),300,0))),1000000000))</f>
        <v/>
      </c>
      <c r="QG33">
        <f>IF($B33=0,1000000000,IF(INDEX('calcA'!$D$60:$EQ$99,$B33,54)*IF($W33=1,FC33+ABR33,FC33)=1,IF(AND($E33=2,IF($W33=1,AHG33,KR33)=0),1000000000,IF($V33=1,INDEX('calcA'!$D$130:$EQ$169,$B33,54)+IF(AND($E33=1,KR33=0),25,0),INDEX('calcA'!BE$110:BE$114,$F33+1)+IF(AND($E33=1,KR33=0),1000,0)+IF($H33=1,INDEX('calcA'!$D$180:$EQ$219,$B33,54)*500,0)-IF(AND('calcA'!BD$117=1,WB33&gt;0),300,0)-IF(AND($U33=1,'calcA'!BE$117=1,FD33=0),300,0))),1000000000))</f>
        <v/>
      </c>
      <c r="QH33">
        <f>IF($B33=0,1000000000,IF(INDEX('calcA'!$D$60:$EQ$99,$B33,55)*IF($W33=1,FD33+ABS33,FD33)=1,IF(AND($E33=2,IF($W33=1,AHH33,KS33)=0),1000000000,IF($V33=1,INDEX('calcA'!$D$130:$EQ$169,$B33,55)+IF(AND($E33=1,KS33=0),25,0),INDEX('calcA'!BF$110:BF$114,$F33+1)+IF(AND($E33=1,KS33=0),1000,0)+IF($H33=1,INDEX('calcA'!$D$180:$EQ$219,$B33,55)*500,0)-IF(AND('calcA'!BE$117=1,WC33&gt;0),300,0)-IF(AND($U33=1,'calcA'!BF$117=1,FE33=0),300,0))),1000000000))</f>
        <v/>
      </c>
      <c r="QI33">
        <f>IF($B33=0,1000000000,IF(INDEX('calcA'!$D$60:$EQ$99,$B33,56)*IF($W33=1,FE33+ABT33,FE33)=1,IF(AND($E33=2,IF($W33=1,AHI33,KT33)=0),1000000000,IF($V33=1,INDEX('calcA'!$D$130:$EQ$169,$B33,56)+IF(AND($E33=1,KT33=0),25,0),INDEX('calcA'!BG$110:BG$114,$F33+1)+IF(AND($E33=1,KT33=0),1000,0)+IF($H33=1,INDEX('calcA'!$D$180:$EQ$219,$B33,56)*500,0)-IF(AND('calcA'!BF$117=1,WD33&gt;0),300,0)-IF(AND($U33=1,'calcA'!BG$117=1,FF33=0),300,0))),1000000000))</f>
        <v/>
      </c>
      <c r="QJ33">
        <f>IF($B33=0,1000000000,IF(INDEX('calcA'!$D$60:$EQ$99,$B33,57)*IF($W33=1,FF33+ABU33,FF33)=1,IF(AND($E33=2,IF($W33=1,AHJ33,KU33)=0),1000000000,IF($V33=1,INDEX('calcA'!$D$130:$EQ$169,$B33,57)+IF(AND($E33=1,KU33=0),25,0),INDEX('calcA'!BH$110:BH$114,$F33+1)+IF(AND($E33=1,KU33=0),1000,0)+IF($H33=1,INDEX('calcA'!$D$180:$EQ$219,$B33,57)*500,0)-IF(AND('calcA'!BG$117=1,WE33&gt;0),300,0)-IF(AND($U33=1,'calcA'!BH$117=1,FG33=0),300,0))),1000000000))</f>
        <v/>
      </c>
      <c r="QK33">
        <f>IF($B33=0,1000000000,IF(INDEX('calcA'!$D$60:$EQ$99,$B33,58)*IF($W33=1,FG33+ABV33,FG33)=1,IF(AND($E33=2,IF($W33=1,AHK33,KV33)=0),1000000000,IF($V33=1,INDEX('calcA'!$D$130:$EQ$169,$B33,58)+IF(AND($E33=1,KV33=0),25,0),INDEX('calcA'!BI$110:BI$114,$F33+1)+IF(AND($E33=1,KV33=0),1000,0)+IF($H33=1,INDEX('calcA'!$D$180:$EQ$219,$B33,58)*500,0)-IF(AND('calcA'!BH$117=1,WF33&gt;0),300,0)-IF(AND($U33=1,'calcA'!BI$117=1,FH33=0),300,0))),1000000000))</f>
        <v/>
      </c>
      <c r="QL33">
        <f>IF($B33=0,1000000000,IF(INDEX('calcA'!$D$60:$EQ$99,$B33,59)*IF($W33=1,FH33+ABW33,FH33)=1,IF(AND($E33=2,IF($W33=1,AHL33,KW33)=0),1000000000,IF($V33=1,INDEX('calcA'!$D$130:$EQ$169,$B33,59)+IF(AND($E33=1,KW33=0),25,0),INDEX('calcA'!BJ$110:BJ$114,$F33+1)+IF(AND($E33=1,KW33=0),1000,0)+IF($H33=1,INDEX('calcA'!$D$180:$EQ$219,$B33,59)*500,0)-IF(AND('calcA'!BI$117=1,WG33&gt;0),300,0)-IF(AND($U33=1,'calcA'!BJ$117=1,FI33=0),300,0))),1000000000))</f>
        <v/>
      </c>
      <c r="QM33">
        <f>IF($B33=0,1000000000,IF(INDEX('calcA'!$D$60:$EQ$99,$B33,60)*IF($W33=1,FI33+ABX33,FI33)=1,IF(AND($E33=2,IF($W33=1,AHM33,KX33)=0),1000000000,IF($V33=1,INDEX('calcA'!$D$130:$EQ$169,$B33,60)+IF(AND($E33=1,KX33=0),25,0),INDEX('calcA'!BK$110:BK$114,$F33+1)+IF(AND($E33=1,KX33=0),1000,0)+IF($H33=1,INDEX('calcA'!$D$180:$EQ$219,$B33,60)*500,0)-IF(AND('calcA'!BJ$117=1,WH33&gt;0),300,0)-IF(AND($U33=1,'calcA'!BK$117=1,FJ33=0),300,0))),1000000000))</f>
        <v/>
      </c>
      <c r="QN33">
        <f>IF($B33=0,1000000000,IF(INDEX('calcA'!$D$60:$EQ$99,$B33,61)*IF($W33=1,FJ33+ABY33,FJ33)=1,IF(AND($E33=2,IF($W33=1,AHN33,KY33)=0),1000000000,IF($V33=1,INDEX('calcA'!$D$130:$EQ$169,$B33,61)+IF(AND($E33=1,KY33=0),25,0),INDEX('calcA'!BL$110:BL$114,$F33+1)+IF(AND($E33=1,KY33=0),1000,0)+IF($H33=1,INDEX('calcA'!$D$180:$EQ$219,$B33,61)*500,0)-IF(AND('calcA'!BK$117=1,WI33&gt;0),300,0)-IF(AND($U33=1,'calcA'!BL$117=1,FK33=0),300,0))),1000000000))</f>
        <v/>
      </c>
      <c r="QO33">
        <f>IF($B33=0,1000000000,IF(INDEX('calcA'!$D$60:$EQ$99,$B33,62)*IF($W33=1,FK33+ABZ33,FK33)=1,IF(AND($E33=2,IF($W33=1,AHO33,KZ33)=0),1000000000,IF($V33=1,INDEX('calcA'!$D$130:$EQ$169,$B33,62)+IF(AND($E33=1,KZ33=0),25,0),INDEX('calcA'!BM$110:BM$114,$F33+1)+IF(AND($E33=1,KZ33=0),1000,0)+IF($H33=1,INDEX('calcA'!$D$180:$EQ$219,$B33,62)*500,0)-IF(AND('calcA'!BL$117=1,WJ33&gt;0),300,0)-IF(AND($U33=1,'calcA'!BM$117=1,FL33=0),300,0))),1000000000))</f>
        <v/>
      </c>
      <c r="QP33">
        <f>IF($B33=0,1000000000,IF(INDEX('calcA'!$D$60:$EQ$99,$B33,63)*IF($W33=1,FL33+ACA33,FL33)=1,IF(AND($E33=2,IF($W33=1,AHP33,LA33)=0),1000000000,IF($V33=1,INDEX('calcA'!$D$130:$EQ$169,$B33,63)+IF(AND($E33=1,LA33=0),25,0),INDEX('calcA'!BN$110:BN$114,$F33+1)+IF(AND($E33=1,LA33=0),1000,0)+IF($H33=1,INDEX('calcA'!$D$180:$EQ$219,$B33,63)*500,0)-IF(AND('calcA'!BM$117=1,WK33&gt;0),300,0)-IF(AND($U33=1,'calcA'!BN$117=1,FM33=0),300,0))),1000000000))</f>
        <v/>
      </c>
      <c r="QQ33">
        <f>IF($B33=0,1000000000,IF(INDEX('calcA'!$D$60:$EQ$99,$B33,64)*IF($W33=1,FM33+ACB33,FM33)=1,IF(AND($E33=2,IF($W33=1,AHQ33,LB33)=0),1000000000,IF($V33=1,INDEX('calcA'!$D$130:$EQ$169,$B33,64)+IF(AND($E33=1,LB33=0),25,0),INDEX('calcA'!BO$110:BO$114,$F33+1)+IF(AND($E33=1,LB33=0),1000,0)+IF($H33=1,INDEX('calcA'!$D$180:$EQ$219,$B33,64)*500,0)-IF(AND('calcA'!BN$117=1,WL33&gt;0),300,0)-IF(AND($U33=1,'calcA'!BO$117=1,FN33=0),300,0))),1000000000))</f>
        <v/>
      </c>
      <c r="QR33">
        <f>IF($B33=0,1000000000,IF(INDEX('calcA'!$D$60:$EQ$99,$B33,65)*IF($W33=1,FN33+ACC33,FN33)=1,IF(AND($E33=2,IF($W33=1,AHR33,LC33)=0),1000000000,IF($V33=1,INDEX('calcA'!$D$130:$EQ$169,$B33,65)+IF(AND($E33=1,LC33=0),25,0),INDEX('calcA'!BP$110:BP$114,$F33+1)+IF(AND($E33=1,LC33=0),1000,0)+IF($H33=1,INDEX('calcA'!$D$180:$EQ$219,$B33,65)*500,0)-IF(AND('calcA'!BO$117=1,WM33&gt;0),300,0)-IF(AND($U33=1,'calcA'!BP$117=1,FO33=0),300,0))),1000000000))</f>
        <v/>
      </c>
      <c r="QS33">
        <f>IF($B33=0,1000000000,IF(INDEX('calcA'!$D$60:$EQ$99,$B33,66)*IF($W33=1,FO33+ACD33,FO33)=1,IF(AND($E33=2,IF($W33=1,AHS33,LD33)=0),1000000000,IF($V33=1,INDEX('calcA'!$D$130:$EQ$169,$B33,66)+IF(AND($E33=1,LD33=0),25,0),INDEX('calcA'!BQ$110:BQ$114,$F33+1)+IF(AND($E33=1,LD33=0),1000,0)+IF($H33=1,INDEX('calcA'!$D$180:$EQ$219,$B33,66)*500,0)-IF(AND('calcA'!BP$117=1,WN33&gt;0),300,0)-IF(AND($U33=1,'calcA'!BQ$117=1,FP33=0),300,0))),1000000000))</f>
        <v/>
      </c>
      <c r="QT33">
        <f>IF($B33=0,1000000000,IF(INDEX('calcA'!$D$60:$EQ$99,$B33,67)*IF($W33=1,FP33+ACE33,FP33)=1,IF(AND($E33=2,IF($W33=1,AHT33,LE33)=0),1000000000,IF($V33=1,INDEX('calcA'!$D$130:$EQ$169,$B33,67)+IF(AND($E33=1,LE33=0),25,0),INDEX('calcA'!BR$110:BR$114,$F33+1)+IF(AND($E33=1,LE33=0),1000,0)+IF($H33=1,INDEX('calcA'!$D$180:$EQ$219,$B33,67)*500,0)-IF(AND('calcA'!BQ$117=1,WO33&gt;0),300,0)-IF(AND($U33=1,'calcA'!BR$117=1,FQ33=0),300,0))),1000000000))</f>
        <v/>
      </c>
      <c r="QU33">
        <f>IF($B33=0,1000000000,IF(INDEX('calcA'!$D$60:$EQ$99,$B33,68)*IF($W33=1,FQ33+ACF33,FQ33)=1,IF(AND($E33=2,IF($W33=1,AHU33,LF33)=0),1000000000,IF($V33=1,INDEX('calcA'!$D$130:$EQ$169,$B33,68)+IF(AND($E33=1,LF33=0),25,0),INDEX('calcA'!BS$110:BS$114,$F33+1)+IF(AND($E33=1,LF33=0),1000,0)+IF($H33=1,INDEX('calcA'!$D$180:$EQ$219,$B33,68)*500,0)-IF(AND('calcA'!BR$117=1,WP33&gt;0),300,0)-IF(AND($U33=1,'calcA'!BS$117=1,FR33=0),300,0))),1000000000))</f>
        <v/>
      </c>
      <c r="QV33">
        <f>IF($B33=0,1000000000,IF(INDEX('calcA'!$D$60:$EQ$99,$B33,69)*IF($W33=1,FR33+ACG33,FR33)=1,IF(AND($E33=2,IF($W33=1,AHV33,LG33)=0),1000000000,IF($V33=1,INDEX('calcA'!$D$130:$EQ$169,$B33,69)+IF(AND($E33=1,LG33=0),25,0),INDEX('calcA'!BT$110:BT$114,$F33+1)+IF(AND($E33=1,LG33=0),1000,0)+IF($H33=1,INDEX('calcA'!$D$180:$EQ$219,$B33,69)*500,0)-IF(AND('calcA'!BS$117=1,WQ33&gt;0),300,0)-IF(AND($U33=1,'calcA'!BT$117=1,FS33=0),300,0))),1000000000))</f>
        <v/>
      </c>
      <c r="QW33">
        <f>IF($B33=0,1000000000,IF(INDEX('calcA'!$D$60:$EQ$99,$B33,70)*IF($W33=1,FS33+ACH33,FS33)=1,IF(AND($E33=2,IF($W33=1,AHW33,LH33)=0),1000000000,IF($V33=1,INDEX('calcA'!$D$130:$EQ$169,$B33,70)+IF(AND($E33=1,LH33=0),25,0),INDEX('calcA'!BU$110:BU$114,$F33+1)+IF(AND($E33=1,LH33=0),1000,0)+IF($H33=1,INDEX('calcA'!$D$180:$EQ$219,$B33,70)*500,0)-IF(AND('calcA'!BT$117=1,WR33&gt;0),300,0)-IF(AND($U33=1,'calcA'!BU$117=1,FT33=0),300,0))),1000000000))</f>
        <v/>
      </c>
      <c r="QX33">
        <f>IF($B33=0,1000000000,IF(INDEX('calcA'!$D$60:$EQ$99,$B33,71)*IF($W33=1,FT33+ACI33,FT33)=1,IF(AND($E33=2,IF($W33=1,AHX33,LI33)=0),1000000000,IF($V33=1,INDEX('calcA'!$D$130:$EQ$169,$B33,71)+IF(AND($E33=1,LI33=0),25,0),INDEX('calcA'!BV$110:BV$114,$F33+1)+IF(AND($E33=1,LI33=0),1000,0)+IF($H33=1,INDEX('calcA'!$D$180:$EQ$219,$B33,71)*500,0)-IF(AND('calcA'!BU$117=1,WS33&gt;0),300,0)-IF(AND($U33=1,'calcA'!BV$117=1,FU33=0),300,0))),1000000000))</f>
        <v/>
      </c>
      <c r="QY33">
        <f>IF($B33=0,1000000000,IF(INDEX('calcA'!$D$60:$EQ$99,$B33,72)*IF($W33=1,FU33+ACJ33,FU33)=1,IF(AND($E33=2,IF($W33=1,AHY33,LJ33)=0),1000000000,IF($V33=1,INDEX('calcA'!$D$130:$EQ$169,$B33,72)+IF(AND($E33=1,LJ33=0),25,0),INDEX('calcA'!BW$110:BW$114,$F33+1)+IF(AND($E33=1,LJ33=0),1000,0)+IF($H33=1,INDEX('calcA'!$D$180:$EQ$219,$B33,72)*500,0)-IF(AND('calcA'!BV$117=1,WT33&gt;0),300,0))),1000000000))</f>
        <v/>
      </c>
      <c r="QZ33">
        <f>IF($B33=0,1000000000,IF(INDEX('calcA'!$D$60:$EQ$99,$B33,73)*IF($W33=1,FV33+ACK33,FV33)=1,IF(AND($E33=2,IF($W33=1,AHZ33,LK33)=0),1000000000,IF($V33=1,INDEX('calcA'!$D$130:$EQ$169,$B33,73)+IF(AND($E33=1,LK33=0),25,0),INDEX('calcA'!BX$110:BX$114,$F33+1)+IF(AND($E33=1,LK33=0),1000,0)+IF($H33=1,INDEX('calcA'!$D$180:$EQ$219,$B33,73)*500,0)-IF(AND($U33=1,'calcA'!BX$117=1,FW33=0),300,0))),1000000000))</f>
        <v/>
      </c>
      <c r="RA33">
        <f>IF($B33=0,1000000000,IF(INDEX('calcA'!$D$60:$EQ$99,$B33,74)*IF($W33=1,FW33+ACL33,FW33)=1,IF(AND($E33=2,IF($W33=1,AIA33,LL33)=0),1000000000,IF($V33=1,INDEX('calcA'!$D$130:$EQ$169,$B33,74)+IF(AND($E33=1,LL33=0),25,0),INDEX('calcA'!BY$110:BY$114,$F33+1)+IF(AND($E33=1,LL33=0),1000,0)+IF($H33=1,INDEX('calcA'!$D$180:$EQ$219,$B33,74)*500,0)-IF(AND('calcA'!BX$117=1,WV33&gt;0),300,0)-IF(AND($U33=1,'calcA'!BY$117=1,FX33=0),300,0))),1000000000))</f>
        <v/>
      </c>
      <c r="RB33">
        <f>IF($B33=0,1000000000,IF(INDEX('calcA'!$D$60:$EQ$99,$B33,75)*IF($W33=1,FX33+ACM33,FX33)=1,IF(AND($E33=2,IF($W33=1,AIB33,LM33)=0),1000000000,IF($V33=1,INDEX('calcA'!$D$130:$EQ$169,$B33,75)+IF(AND($E33=1,LM33=0),25,0),INDEX('calcA'!BZ$110:BZ$114,$F33+1)+IF(AND($E33=1,LM33=0),1000,0)+IF($H33=1,INDEX('calcA'!$D$180:$EQ$219,$B33,75)*500,0)-IF(AND('calcA'!BY$117=1,WW33&gt;0),300,0)-IF(AND($U33=1,'calcA'!BZ$117=1,FY33=0),300,0))),1000000000))</f>
        <v/>
      </c>
      <c r="RC33">
        <f>IF($B33=0,1000000000,IF(INDEX('calcA'!$D$60:$EQ$99,$B33,76)*IF($W33=1,FY33+ACN33,FY33)=1,IF(AND($E33=2,IF($W33=1,AIC33,LN33)=0),1000000000,IF($V33=1,INDEX('calcA'!$D$130:$EQ$169,$B33,76)+IF(AND($E33=1,LN33=0),25,0),INDEX('calcA'!CA$110:CA$114,$F33+1)+IF(AND($E33=1,LN33=0),1000,0)+IF($H33=1,INDEX('calcA'!$D$180:$EQ$219,$B33,76)*500,0)-IF(AND('calcA'!BZ$117=1,WX33&gt;0),300,0)-IF(AND($U33=1,'calcA'!CA$117=1,FZ33=0),300,0))),1000000000))</f>
        <v/>
      </c>
      <c r="RD33">
        <f>IF($B33=0,1000000000,IF(INDEX('calcA'!$D$60:$EQ$99,$B33,77)*IF($W33=1,FZ33+ACO33,FZ33)=1,IF(AND($E33=2,IF($W33=1,AID33,LO33)=0),1000000000,IF($V33=1,INDEX('calcA'!$D$130:$EQ$169,$B33,77)+IF(AND($E33=1,LO33=0),25,0),INDEX('calcA'!CB$110:CB$114,$F33+1)+IF(AND($E33=1,LO33=0),1000,0)+IF($H33=1,INDEX('calcA'!$D$180:$EQ$219,$B33,77)*500,0)-IF(AND('calcA'!CA$117=1,WY33&gt;0),300,0)-IF(AND($U33=1,'calcA'!CB$117=1,GA33=0),300,0))),1000000000))</f>
        <v/>
      </c>
      <c r="RE33">
        <f>IF($B33=0,1000000000,IF(INDEX('calcA'!$D$60:$EQ$99,$B33,78)*IF($W33=1,GA33+ACP33,GA33)=1,IF(AND($E33=2,IF($W33=1,AIE33,LP33)=0),1000000000,IF($V33=1,INDEX('calcA'!$D$130:$EQ$169,$B33,78)+IF(AND($E33=1,LP33=0),25,0),INDEX('calcA'!CC$110:CC$114,$F33+1)+IF(AND($E33=1,LP33=0),1000,0)+IF($H33=1,INDEX('calcA'!$D$180:$EQ$219,$B33,78)*500,0)-IF(AND('calcA'!CB$117=1,WZ33&gt;0),300,0)-IF(AND($U33=1,'calcA'!CC$117=1,GB33=0),300,0))),1000000000))</f>
        <v/>
      </c>
      <c r="RF33">
        <f>IF($B33=0,1000000000,IF(INDEX('calcA'!$D$60:$EQ$99,$B33,79)*IF($W33=1,GB33+ACQ33,GB33)=1,IF(AND($E33=2,IF($W33=1,AIF33,LQ33)=0),1000000000,IF($V33=1,INDEX('calcA'!$D$130:$EQ$169,$B33,79)+IF(AND($E33=1,LQ33=0),25,0),INDEX('calcA'!CD$110:CD$114,$F33+1)+IF(AND($E33=1,LQ33=0),1000,0)+IF($H33=1,INDEX('calcA'!$D$180:$EQ$219,$B33,79)*500,0)-IF(AND('calcA'!CC$117=1,XA33&gt;0),300,0)-IF(AND($U33=1,'calcA'!CD$117=1,GC33=0),300,0))),1000000000))</f>
        <v/>
      </c>
      <c r="RG33">
        <f>IF($B33=0,1000000000,IF(INDEX('calcA'!$D$60:$EQ$99,$B33,80)*IF($W33=1,GC33+ACR33,GC33)=1,IF(AND($E33=2,IF($W33=1,AIG33,LR33)=0),1000000000,IF($V33=1,INDEX('calcA'!$D$130:$EQ$169,$B33,80)+IF(AND($E33=1,LR33=0),25,0),INDEX('calcA'!CE$110:CE$114,$F33+1)+IF(AND($E33=1,LR33=0),1000,0)+IF($H33=1,INDEX('calcA'!$D$180:$EQ$219,$B33,80)*500,0)-IF(AND('calcA'!CD$117=1,XB33&gt;0),300,0)-IF(AND($U33=1,'calcA'!CE$117=1,GD33=0),300,0))),1000000000))</f>
        <v/>
      </c>
      <c r="RH33">
        <f>IF($B33=0,1000000000,IF(INDEX('calcA'!$D$60:$EQ$99,$B33,81)*IF($W33=1,GD33+ACS33,GD33)=1,IF(AND($E33=2,IF($W33=1,AIH33,LS33)=0),1000000000,IF($V33=1,INDEX('calcA'!$D$130:$EQ$169,$B33,81)+IF(AND($E33=1,LS33=0),25,0),INDEX('calcA'!CF$110:CF$114,$F33+1)+IF(AND($E33=1,LS33=0),1000,0)+IF($H33=1,INDEX('calcA'!$D$180:$EQ$219,$B33,81)*500,0)-IF(AND('calcA'!CE$117=1,XC33&gt;0),300,0)-IF(AND($U33=1,'calcA'!CF$117=1,GE33=0),300,0))),1000000000))</f>
        <v/>
      </c>
      <c r="RI33">
        <f>IF($B33=0,1000000000,IF(INDEX('calcA'!$D$60:$EQ$99,$B33,82)*IF($W33=1,GE33+ACT33,GE33)=1,IF(AND($E33=2,IF($W33=1,AII33,LT33)=0),1000000000,IF($V33=1,INDEX('calcA'!$D$130:$EQ$169,$B33,82)+IF(AND($E33=1,LT33=0),25,0),INDEX('calcA'!CG$110:CG$114,$F33+1)+IF(AND($E33=1,LT33=0),1000,0)+IF($H33=1,INDEX('calcA'!$D$180:$EQ$219,$B33,82)*500,0)-IF(AND('calcA'!CF$117=1,XD33&gt;0),300,0)-IF(AND($U33=1,'calcA'!CG$117=1,GF33=0),300,0))),1000000000))</f>
        <v/>
      </c>
      <c r="RJ33">
        <f>IF($B33=0,1000000000,IF(INDEX('calcA'!$D$60:$EQ$99,$B33,83)*IF($W33=1,GF33+ACU33,GF33)=1,IF(AND($E33=2,IF($W33=1,AIJ33,LU33)=0),1000000000,IF($V33=1,INDEX('calcA'!$D$130:$EQ$169,$B33,83)+IF(AND($E33=1,LU33=0),25,0),INDEX('calcA'!CH$110:CH$114,$F33+1)+IF(AND($E33=1,LU33=0),1000,0)+IF($H33=1,INDEX('calcA'!$D$180:$EQ$219,$B33,83)*500,0)-IF(AND('calcA'!CG$117=1,XE33&gt;0),300,0)-IF(AND($U33=1,'calcA'!CH$117=1,GG33=0),300,0))),1000000000))</f>
        <v/>
      </c>
      <c r="RK33">
        <f>IF($B33=0,1000000000,IF(INDEX('calcA'!$D$60:$EQ$99,$B33,84)*IF($W33=1,GG33+ACV33,GG33)=1,IF(AND($E33=2,IF($W33=1,AIK33,LV33)=0),1000000000,IF($V33=1,INDEX('calcA'!$D$130:$EQ$169,$B33,84)+IF(AND($E33=1,LV33=0),25,0),INDEX('calcA'!CI$110:CI$114,$F33+1)+IF(AND($E33=1,LV33=0),1000,0)+IF($H33=1,INDEX('calcA'!$D$180:$EQ$219,$B33,84)*500,0)-IF(AND('calcA'!CH$117=1,XF33&gt;0),300,0)-IF(AND($U33=1,'calcA'!CI$117=1,GH33=0),300,0))),1000000000))</f>
        <v/>
      </c>
      <c r="RL33">
        <f>IF($B33=0,1000000000,IF(INDEX('calcA'!$D$60:$EQ$99,$B33,85)*IF($W33=1,GH33+ACW33,GH33)=1,IF(AND($E33=2,IF($W33=1,AIL33,LW33)=0),1000000000,IF($V33=1,INDEX('calcA'!$D$130:$EQ$169,$B33,85)+IF(AND($E33=1,LW33=0),25,0),INDEX('calcA'!CJ$110:CJ$114,$F33+1)+IF(AND($E33=1,LW33=0),1000,0)+IF($H33=1,INDEX('calcA'!$D$180:$EQ$219,$B33,85)*500,0)-IF(AND('calcA'!CI$117=1,XG33&gt;0),300,0)-IF(AND($U33=1,'calcA'!CJ$117=1,GI33=0),300,0))),1000000000))</f>
        <v/>
      </c>
      <c r="RM33">
        <f>IF($B33=0,1000000000,IF(INDEX('calcA'!$D$60:$EQ$99,$B33,86)*IF($W33=1,GI33+ACX33,GI33)=1,IF(AND($E33=2,IF($W33=1,AIM33,LX33)=0),1000000000,IF($V33=1,INDEX('calcA'!$D$130:$EQ$169,$B33,86)+IF(AND($E33=1,LX33=0),25,0),INDEX('calcA'!CK$110:CK$114,$F33+1)+IF(AND($E33=1,LX33=0),1000,0)+IF($H33=1,INDEX('calcA'!$D$180:$EQ$219,$B33,86)*500,0)-IF(AND('calcA'!CJ$117=1,XH33&gt;0),300,0)-IF(AND($U33=1,'calcA'!CK$117=1,GJ33=0),300,0))),1000000000))</f>
        <v/>
      </c>
      <c r="RN33">
        <f>IF($B33=0,1000000000,IF(INDEX('calcA'!$D$60:$EQ$99,$B33,87)*IF($W33=1,GJ33+ACY33,GJ33)=1,IF(AND($E33=2,IF($W33=1,AIN33,LY33)=0),1000000000,IF($V33=1,INDEX('calcA'!$D$130:$EQ$169,$B33,87)+IF(AND($E33=1,LY33=0),25,0),INDEX('calcA'!CL$110:CL$114,$F33+1)+IF(AND($E33=1,LY33=0),1000,0)+IF($H33=1,INDEX('calcA'!$D$180:$EQ$219,$B33,87)*500,0)-IF(AND('calcA'!CK$117=1,XI33&gt;0),300,0)-IF(AND($U33=1,'calcA'!CL$117=1,GK33=0),300,0))),1000000000))</f>
        <v/>
      </c>
      <c r="RO33">
        <f>IF($B33=0,1000000000,IF(INDEX('calcA'!$D$60:$EQ$99,$B33,88)*IF($W33=1,GK33+ACZ33,GK33)=1,IF(AND($E33=2,IF($W33=1,AIO33,LZ33)=0),1000000000,IF($V33=1,INDEX('calcA'!$D$130:$EQ$169,$B33,88)+IF(AND($E33=1,LZ33=0),25,0),INDEX('calcA'!CM$110:CM$114,$F33+1)+IF(AND($E33=1,LZ33=0),1000,0)+IF($H33=1,INDEX('calcA'!$D$180:$EQ$219,$B33,88)*500,0)-IF(AND('calcA'!CL$117=1,XJ33&gt;0),300,0)-IF(AND($U33=1,'calcA'!CM$117=1,GL33=0),300,0))),1000000000))</f>
        <v/>
      </c>
      <c r="RP33">
        <f>IF($B33=0,1000000000,IF(INDEX('calcA'!$D$60:$EQ$99,$B33,89)*IF($W33=1,GL33+ADA33,GL33)=1,IF(AND($E33=2,IF($W33=1,AIP33,MA33)=0),1000000000,IF($V33=1,INDEX('calcA'!$D$130:$EQ$169,$B33,89)+IF(AND($E33=1,MA33=0),25,0),INDEX('calcA'!CN$110:CN$114,$F33+1)+IF(AND($E33=1,MA33=0),1000,0)+IF($H33=1,INDEX('calcA'!$D$180:$EQ$219,$B33,89)*500,0)-IF(AND('calcA'!CM$117=1,XK33&gt;0),300,0)-IF(AND($U33=1,'calcA'!CN$117=1,GM33=0),300,0))),1000000000))</f>
        <v/>
      </c>
      <c r="RQ33">
        <f>IF($B33=0,1000000000,IF(INDEX('calcA'!$D$60:$EQ$99,$B33,90)*IF($W33=1,GM33+ADB33,GM33)=1,IF(AND($E33=2,IF($W33=1,AIQ33,MB33)=0),1000000000,IF($V33=1,INDEX('calcA'!$D$130:$EQ$169,$B33,90)+IF(AND($E33=1,MB33=0),25,0),INDEX('calcA'!CO$110:CO$114,$F33+1)+IF(AND($E33=1,MB33=0),1000,0)+IF($H33=1,INDEX('calcA'!$D$180:$EQ$219,$B33,90)*500,0)-IF(AND('calcA'!CN$117=1,XL33&gt;0),300,0)-IF(AND($U33=1,'calcA'!CO$117=1,GN33=0),300,0))),1000000000))</f>
        <v/>
      </c>
      <c r="RR33">
        <f>IF($B33=0,1000000000,IF(INDEX('calcA'!$D$60:$EQ$99,$B33,91)*IF($W33=1,GN33+ADC33,GN33)=1,IF(AND($E33=2,IF($W33=1,AIR33,MC33)=0),1000000000,IF($V33=1,INDEX('calcA'!$D$130:$EQ$169,$B33,91)+IF(AND($E33=1,MC33=0),25,0),INDEX('calcA'!CP$110:CP$114,$F33+1)+IF(AND($E33=1,MC33=0),1000,0)+IF($H33=1,INDEX('calcA'!$D$180:$EQ$219,$B33,91)*500,0)-IF(AND('calcA'!CO$117=1,XM33&gt;0),300,0)-IF(AND($U33=1,'calcA'!CP$117=1,GO33=0),300,0))),1000000000))</f>
        <v/>
      </c>
      <c r="RS33">
        <f>IF($B33=0,1000000000,IF(INDEX('calcA'!$D$60:$EQ$99,$B33,92)*IF($W33=1,GO33+ADD33,GO33)=1,IF(AND($E33=2,IF($W33=1,AIS33,MD33)=0),1000000000,IF($V33=1,INDEX('calcA'!$D$130:$EQ$169,$B33,92)+IF(AND($E33=1,MD33=0),25,0),INDEX('calcA'!CQ$110:CQ$114,$F33+1)+IF(AND($E33=1,MD33=0),1000,0)+IF($H33=1,INDEX('calcA'!$D$180:$EQ$219,$B33,92)*500,0)-IF(AND('calcA'!CP$117=1,XN33&gt;0),300,0)-IF(AND($U33=1,'calcA'!CQ$117=1,GP33=0),300,0))),1000000000))</f>
        <v/>
      </c>
      <c r="RT33">
        <f>IF($B33=0,1000000000,IF(INDEX('calcA'!$D$60:$EQ$99,$B33,93)*IF($W33=1,GP33+ADE33,GP33)=1,IF(AND($E33=2,IF($W33=1,AIT33,ME33)=0),1000000000,IF($V33=1,INDEX('calcA'!$D$130:$EQ$169,$B33,93)+IF(AND($E33=1,ME33=0),25,0),INDEX('calcA'!CR$110:CR$114,$F33+1)+IF(AND($E33=1,ME33=0),1000,0)+IF($H33=1,INDEX('calcA'!$D$180:$EQ$219,$B33,93)*500,0)-IF(AND('calcA'!CQ$117=1,XO33&gt;0),300,0)-IF(AND($U33=1,'calcA'!CR$117=1,GQ33=0),300,0))),1000000000))</f>
        <v/>
      </c>
      <c r="RU33">
        <f>IF($B33=0,1000000000,IF(INDEX('calcA'!$D$60:$EQ$99,$B33,94)*IF($W33=1,GQ33+ADF33,GQ33)=1,IF(AND($E33=2,IF($W33=1,AIU33,MF33)=0),1000000000,IF($V33=1,INDEX('calcA'!$D$130:$EQ$169,$B33,94)+IF(AND($E33=1,MF33=0),25,0),INDEX('calcA'!CS$110:CS$114,$F33+1)+IF(AND($E33=1,MF33=0),1000,0)+IF($H33=1,INDEX('calcA'!$D$180:$EQ$219,$B33,94)*500,0)-IF(AND('calcA'!CR$117=1,XP33&gt;0),300,0)-IF(AND($U33=1,'calcA'!CS$117=1,GR33=0),300,0))),1000000000))</f>
        <v/>
      </c>
      <c r="RV33">
        <f>IF($B33=0,1000000000,IF(INDEX('calcA'!$D$60:$EQ$99,$B33,95)*IF($W33=1,GR33+ADG33,GR33)=1,IF(AND($E33=2,IF($W33=1,AIV33,MG33)=0),1000000000,IF($V33=1,INDEX('calcA'!$D$130:$EQ$169,$B33,95)+IF(AND($E33=1,MG33=0),25,0),INDEX('calcA'!CT$110:CT$114,$F33+1)+IF(AND($E33=1,MG33=0),1000,0)+IF($H33=1,INDEX('calcA'!$D$180:$EQ$219,$B33,95)*500,0)-IF(AND('calcA'!CS$117=1,XQ33&gt;0),300,0)-IF(AND($U33=1,'calcA'!CT$117=1,GS33=0),300,0))),1000000000))</f>
        <v/>
      </c>
      <c r="RW33">
        <f>IF($B33=0,1000000000,IF(INDEX('calcA'!$D$60:$EQ$99,$B33,96)*IF($W33=1,GS33+ADH33,GS33)=1,IF(AND($E33=2,IF($W33=1,AIW33,MH33)=0),1000000000,IF($V33=1,INDEX('calcA'!$D$130:$EQ$169,$B33,96)+IF(AND($E33=1,MH33=0),25,0),INDEX('calcA'!CU$110:CU$114,$F33+1)+IF(AND($E33=1,MH33=0),1000,0)+IF($H33=1,INDEX('calcA'!$D$180:$EQ$219,$B33,96)*500,0)-IF(AND('calcA'!CT$117=1,XR33&gt;0),300,0))),1000000000))</f>
        <v/>
      </c>
      <c r="RX33">
        <f>IF($B33=0,1000000000,IF(INDEX('calcA'!$D$60:$EQ$99,$B33,97)*IF($W33=1,GT33+ADI33,GT33)=1,IF(AND($E33=2,IF($W33=1,AIX33,MI33)=0),1000000000,IF($V33=1,INDEX('calcA'!$D$130:$EQ$169,$B33,97)+IF(AND($E33=1,MI33=0),25,0),INDEX('calcA'!CV$110:CV$114,$F33+1)+IF(AND($E33=1,MI33=0),1000,0)+IF($H33=1,INDEX('calcA'!$D$180:$EQ$219,$B33,97)*500,0)-IF(AND($U33=1,'calcA'!CV$117=1,GU33=0),300,0))),1000000000))</f>
        <v/>
      </c>
      <c r="RY33">
        <f>IF($B33=0,1000000000,IF(INDEX('calcA'!$D$60:$EQ$99,$B33,98)*IF($W33=1,GU33+ADJ33,GU33)=1,IF(AND($E33=2,IF($W33=1,AIY33,MJ33)=0),1000000000,IF($V33=1,INDEX('calcA'!$D$130:$EQ$169,$B33,98)+IF(AND($E33=1,MJ33=0),25,0),INDEX('calcA'!CW$110:CW$114,$F33+1)+IF(AND($E33=1,MJ33=0),1000,0)+IF($H33=1,INDEX('calcA'!$D$180:$EQ$219,$B33,98)*500,0)-IF(AND('calcA'!CV$117=1,XT33&gt;0),300,0)-IF(AND($U33=1,'calcA'!CW$117=1,GV33=0),300,0))),1000000000))</f>
        <v/>
      </c>
      <c r="RZ33">
        <f>IF($B33=0,1000000000,IF(INDEX('calcA'!$D$60:$EQ$99,$B33,99)*IF($W33=1,GV33+ADK33,GV33)=1,IF(AND($E33=2,IF($W33=1,AIZ33,MK33)=0),1000000000,IF($V33=1,INDEX('calcA'!$D$130:$EQ$169,$B33,99)+IF(AND($E33=1,MK33=0),25,0),INDEX('calcA'!CX$110:CX$114,$F33+1)+IF(AND($E33=1,MK33=0),1000,0)+IF($H33=1,INDEX('calcA'!$D$180:$EQ$219,$B33,99)*500,0)-IF(AND('calcA'!CW$117=1,XU33&gt;0),300,0)-IF(AND($U33=1,'calcA'!CX$117=1,GW33=0),300,0))),1000000000))</f>
        <v/>
      </c>
      <c r="SA33">
        <f>IF($B33=0,1000000000,IF(INDEX('calcA'!$D$60:$EQ$99,$B33,100)*IF($W33=1,GW33+ADL33,GW33)=1,IF(AND($E33=2,IF($W33=1,AJA33,ML33)=0),1000000000,IF($V33=1,INDEX('calcA'!$D$130:$EQ$169,$B33,100)+IF(AND($E33=1,ML33=0),25,0),INDEX('calcA'!CY$110:CY$114,$F33+1)+IF(AND($E33=1,ML33=0),1000,0)+IF($H33=1,INDEX('calcA'!$D$180:$EQ$219,$B33,100)*500,0)-IF(AND('calcA'!CX$117=1,XV33&gt;0),300,0)-IF(AND($U33=1,'calcA'!CY$117=1,GX33=0),300,0))),1000000000))</f>
        <v/>
      </c>
      <c r="SB33">
        <f>IF($B33=0,1000000000,IF(INDEX('calcA'!$D$60:$EQ$99,$B33,101)*IF($W33=1,GX33+ADM33,GX33)=1,IF(AND($E33=2,IF($W33=1,AJB33,MM33)=0),1000000000,IF($V33=1,INDEX('calcA'!$D$130:$EQ$169,$B33,101)+IF(AND($E33=1,MM33=0),25,0),INDEX('calcA'!CZ$110:CZ$114,$F33+1)+IF(AND($E33=1,MM33=0),1000,0)+IF($H33=1,INDEX('calcA'!$D$180:$EQ$219,$B33,101)*500,0)-IF(AND('calcA'!CY$117=1,XW33&gt;0),300,0)-IF(AND($U33=1,'calcA'!CZ$117=1,GY33=0),300,0))),1000000000))</f>
        <v/>
      </c>
      <c r="SC33">
        <f>IF($B33=0,1000000000,IF(INDEX('calcA'!$D$60:$EQ$99,$B33,102)*IF($W33=1,GY33+ADN33,GY33)=1,IF(AND($E33=2,IF($W33=1,AJC33,MN33)=0),1000000000,IF($V33=1,INDEX('calcA'!$D$130:$EQ$169,$B33,102)+IF(AND($E33=1,MN33=0),25,0),INDEX('calcA'!DA$110:DA$114,$F33+1)+IF(AND($E33=1,MN33=0),1000,0)+IF($H33=1,INDEX('calcA'!$D$180:$EQ$219,$B33,102)*500,0)-IF(AND('calcA'!CZ$117=1,XX33&gt;0),300,0)-IF(AND($U33=1,'calcA'!DA$117=1,GZ33=0),300,0))),1000000000))</f>
        <v/>
      </c>
      <c r="SD33">
        <f>IF($B33=0,1000000000,IF(INDEX('calcA'!$D$60:$EQ$99,$B33,103)*IF($W33=1,GZ33+ADO33,GZ33)=1,IF(AND($E33=2,IF($W33=1,AJD33,MO33)=0),1000000000,IF($V33=1,INDEX('calcA'!$D$130:$EQ$169,$B33,103)+IF(AND($E33=1,MO33=0),25,0),INDEX('calcA'!DB$110:DB$114,$F33+1)+IF(AND($E33=1,MO33=0),1000,0)+IF($H33=1,INDEX('calcA'!$D$180:$EQ$219,$B33,103)*500,0)-IF(AND('calcA'!DA$117=1,XY33&gt;0),300,0)-IF(AND($U33=1,'calcA'!DB$117=1,HA33=0),300,0))),1000000000))</f>
        <v/>
      </c>
      <c r="SE33">
        <f>IF($B33=0,1000000000,IF(INDEX('calcA'!$D$60:$EQ$99,$B33,104)*IF($W33=1,HA33+ADP33,HA33)=1,IF(AND($E33=2,IF($W33=1,AJE33,MP33)=0),1000000000,IF($V33=1,INDEX('calcA'!$D$130:$EQ$169,$B33,104)+IF(AND($E33=1,MP33=0),25,0),INDEX('calcA'!DC$110:DC$114,$F33+1)+IF(AND($E33=1,MP33=0),1000,0)+IF($H33=1,INDEX('calcA'!$D$180:$EQ$219,$B33,104)*500,0)-IF(AND('calcA'!DB$117=1,XZ33&gt;0),300,0)-IF(AND($U33=1,'calcA'!DC$117=1,HB33=0),300,0))),1000000000))</f>
        <v/>
      </c>
      <c r="SF33">
        <f>IF($B33=0,1000000000,IF(INDEX('calcA'!$D$60:$EQ$99,$B33,105)*IF($W33=1,HB33+ADQ33,HB33)=1,IF(AND($E33=2,IF($W33=1,AJF33,MQ33)=0),1000000000,IF($V33=1,INDEX('calcA'!$D$130:$EQ$169,$B33,105)+IF(AND($E33=1,MQ33=0),25,0),INDEX('calcA'!DD$110:DD$114,$F33+1)+IF(AND($E33=1,MQ33=0),1000,0)+IF($H33=1,INDEX('calcA'!$D$180:$EQ$219,$B33,105)*500,0)-IF(AND('calcA'!DC$117=1,YA33&gt;0),300,0)-IF(AND($U33=1,'calcA'!DD$117=1,HC33=0),300,0))),1000000000))</f>
        <v/>
      </c>
      <c r="SG33">
        <f>IF($B33=0,1000000000,IF(INDEX('calcA'!$D$60:$EQ$99,$B33,106)*IF($W33=1,HC33+ADR33,HC33)=1,IF(AND($E33=2,IF($W33=1,AJG33,MR33)=0),1000000000,IF($V33=1,INDEX('calcA'!$D$130:$EQ$169,$B33,106)+IF(AND($E33=1,MR33=0),25,0),INDEX('calcA'!DE$110:DE$114,$F33+1)+IF(AND($E33=1,MR33=0),1000,0)+IF($H33=1,INDEX('calcA'!$D$180:$EQ$219,$B33,106)*500,0)-IF(AND('calcA'!DD$117=1,YB33&gt;0),300,0)-IF(AND($U33=1,'calcA'!DE$117=1,HD33=0),300,0))),1000000000))</f>
        <v/>
      </c>
      <c r="SH33">
        <f>IF($B33=0,1000000000,IF(INDEX('calcA'!$D$60:$EQ$99,$B33,107)*IF($W33=1,HD33+ADS33,HD33)=1,IF(AND($E33=2,IF($W33=1,AJH33,MS33)=0),1000000000,IF($V33=1,INDEX('calcA'!$D$130:$EQ$169,$B33,107)+IF(AND($E33=1,MS33=0),25,0),INDEX('calcA'!DF$110:DF$114,$F33+1)+IF(AND($E33=1,MS33=0),1000,0)+IF($H33=1,INDEX('calcA'!$D$180:$EQ$219,$B33,107)*500,0)-IF(AND('calcA'!DE$117=1,YC33&gt;0),300,0)-IF(AND($U33=1,'calcA'!DF$117=1,HE33=0),300,0))),1000000000))</f>
        <v/>
      </c>
      <c r="SI33">
        <f>IF($B33=0,1000000000,IF(INDEX('calcA'!$D$60:$EQ$99,$B33,108)*IF($W33=1,HE33+ADT33,HE33)=1,IF(AND($E33=2,IF($W33=1,AJI33,MT33)=0),1000000000,IF($V33=1,INDEX('calcA'!$D$130:$EQ$169,$B33,108)+IF(AND($E33=1,MT33=0),25,0),INDEX('calcA'!DG$110:DG$114,$F33+1)+IF(AND($E33=1,MT33=0),1000,0)+IF($H33=1,INDEX('calcA'!$D$180:$EQ$219,$B33,108)*500,0)-IF(AND('calcA'!DF$117=1,YD33&gt;0),300,0)-IF(AND($U33=1,'calcA'!DG$117=1,HF33=0),300,0))),1000000000))</f>
        <v/>
      </c>
      <c r="SJ33">
        <f>IF($B33=0,1000000000,IF(INDEX('calcA'!$D$60:$EQ$99,$B33,109)*IF($W33=1,HF33+ADU33,HF33)=1,IF(AND($E33=2,IF($W33=1,AJJ33,MU33)=0),1000000000,IF($V33=1,INDEX('calcA'!$D$130:$EQ$169,$B33,109)+IF(AND($E33=1,MU33=0),25,0),INDEX('calcA'!DH$110:DH$114,$F33+1)+IF(AND($E33=1,MU33=0),1000,0)+IF($H33=1,INDEX('calcA'!$D$180:$EQ$219,$B33,109)*500,0)-IF(AND('calcA'!DG$117=1,YE33&gt;0),300,0)-IF(AND($U33=1,'calcA'!DH$117=1,HG33=0),300,0))),1000000000))</f>
        <v/>
      </c>
      <c r="SK33">
        <f>IF($B33=0,1000000000,IF(INDEX('calcA'!$D$60:$EQ$99,$B33,110)*IF($W33=1,HG33+ADV33,HG33)=1,IF(AND($E33=2,IF($W33=1,AJK33,MV33)=0),1000000000,IF($V33=1,INDEX('calcA'!$D$130:$EQ$169,$B33,110)+IF(AND($E33=1,MV33=0),25,0),INDEX('calcA'!DI$110:DI$114,$F33+1)+IF(AND($E33=1,MV33=0),1000,0)+IF($H33=1,INDEX('calcA'!$D$180:$EQ$219,$B33,110)*500,0)-IF(AND('calcA'!DH$117=1,YF33&gt;0),300,0)-IF(AND($U33=1,'calcA'!DI$117=1,HH33=0),300,0))),1000000000))</f>
        <v/>
      </c>
      <c r="SL33">
        <f>IF($B33=0,1000000000,IF(INDEX('calcA'!$D$60:$EQ$99,$B33,111)*IF($W33=1,HH33+ADW33,HH33)=1,IF(AND($E33=2,IF($W33=1,AJL33,MW33)=0),1000000000,IF($V33=1,INDEX('calcA'!$D$130:$EQ$169,$B33,111)+IF(AND($E33=1,MW33=0),25,0),INDEX('calcA'!DJ$110:DJ$114,$F33+1)+IF(AND($E33=1,MW33=0),1000,0)+IF($H33=1,INDEX('calcA'!$D$180:$EQ$219,$B33,111)*500,0)-IF(AND('calcA'!DI$117=1,YG33&gt;0),300,0)-IF(AND($U33=1,'calcA'!DJ$117=1,HI33=0),300,0))),1000000000))</f>
        <v/>
      </c>
      <c r="SM33">
        <f>IF($B33=0,1000000000,IF(INDEX('calcA'!$D$60:$EQ$99,$B33,112)*IF($W33=1,HI33+ADX33,HI33)=1,IF(AND($E33=2,IF($W33=1,AJM33,MX33)=0),1000000000,IF($V33=1,INDEX('calcA'!$D$130:$EQ$169,$B33,112)+IF(AND($E33=1,MX33=0),25,0),INDEX('calcA'!DK$110:DK$114,$F33+1)+IF(AND($E33=1,MX33=0),1000,0)+IF($H33=1,INDEX('calcA'!$D$180:$EQ$219,$B33,112)*500,0)-IF(AND('calcA'!DJ$117=1,YH33&gt;0),300,0)-IF(AND($U33=1,'calcA'!DK$117=1,HJ33=0),300,0))),1000000000))</f>
        <v/>
      </c>
      <c r="SN33">
        <f>IF($B33=0,1000000000,IF(INDEX('calcA'!$D$60:$EQ$99,$B33,113)*IF($W33=1,HJ33+ADY33,HJ33)=1,IF(AND($E33=2,IF($W33=1,AJN33,MY33)=0),1000000000,IF($V33=1,INDEX('calcA'!$D$130:$EQ$169,$B33,113)+IF(AND($E33=1,MY33=0),25,0),INDEX('calcA'!DL$110:DL$114,$F33+1)+IF(AND($E33=1,MY33=0),1000,0)+IF($H33=1,INDEX('calcA'!$D$180:$EQ$219,$B33,113)*500,0)-IF(AND('calcA'!DK$117=1,YI33&gt;0),300,0)-IF(AND($U33=1,'calcA'!DL$117=1,HK33=0),300,0))),1000000000))</f>
        <v/>
      </c>
      <c r="SO33">
        <f>IF($B33=0,1000000000,IF(INDEX('calcA'!$D$60:$EQ$99,$B33,114)*IF($W33=1,HK33+ADZ33,HK33)=1,IF(AND($E33=2,IF($W33=1,AJO33,MZ33)=0),1000000000,IF($V33=1,INDEX('calcA'!$D$130:$EQ$169,$B33,114)+IF(AND($E33=1,MZ33=0),25,0),INDEX('calcA'!DM$110:DM$114,$F33+1)+IF(AND($E33=1,MZ33=0),1000,0)+IF($H33=1,INDEX('calcA'!$D$180:$EQ$219,$B33,114)*500,0)-IF(AND('calcA'!DL$117=1,YJ33&gt;0),300,0)-IF(AND($U33=1,'calcA'!DM$117=1,HL33=0),300,0))),1000000000))</f>
        <v/>
      </c>
      <c r="SP33">
        <f>IF($B33=0,1000000000,IF(INDEX('calcA'!$D$60:$EQ$99,$B33,115)*IF($W33=1,HL33+AEA33,HL33)=1,IF(AND($E33=2,IF($W33=1,AJP33,NA33)=0),1000000000,IF($V33=1,INDEX('calcA'!$D$130:$EQ$169,$B33,115)+IF(AND($E33=1,NA33=0),25,0),INDEX('calcA'!DN$110:DN$114,$F33+1)+IF(AND($E33=1,NA33=0),1000,0)+IF($H33=1,INDEX('calcA'!$D$180:$EQ$219,$B33,115)*500,0)-IF(AND('calcA'!DM$117=1,YK33&gt;0),300,0)-IF(AND($U33=1,'calcA'!DN$117=1,HM33=0),300,0))),1000000000))</f>
        <v/>
      </c>
      <c r="SQ33">
        <f>IF($B33=0,1000000000,IF(INDEX('calcA'!$D$60:$EQ$99,$B33,116)*IF($W33=1,HM33+AEB33,HM33)=1,IF(AND($E33=2,IF($W33=1,AJQ33,NB33)=0),1000000000,IF($V33=1,INDEX('calcA'!$D$130:$EQ$169,$B33,116)+IF(AND($E33=1,NB33=0),25,0),INDEX('calcA'!DO$110:DO$114,$F33+1)+IF(AND($E33=1,NB33=0),1000,0)+IF($H33=1,INDEX('calcA'!$D$180:$EQ$219,$B33,116)*500,0)-IF(AND('calcA'!DN$117=1,YL33&gt;0),300,0)-IF(AND($U33=1,'calcA'!DO$117=1,HN33=0),300,0))),1000000000))</f>
        <v/>
      </c>
      <c r="SR33">
        <f>IF($B33=0,1000000000,IF(INDEX('calcA'!$D$60:$EQ$99,$B33,117)*IF($W33=1,HN33+AEC33,HN33)=1,IF(AND($E33=2,IF($W33=1,AJR33,NC33)=0),1000000000,IF($V33=1,INDEX('calcA'!$D$130:$EQ$169,$B33,117)+IF(AND($E33=1,NC33=0),25,0),INDEX('calcA'!DP$110:DP$114,$F33+1)+IF(AND($E33=1,NC33=0),1000,0)+IF($H33=1,INDEX('calcA'!$D$180:$EQ$219,$B33,117)*500,0)-IF(AND('calcA'!DO$117=1,YM33&gt;0),300,0)-IF(AND($U33=1,'calcA'!DP$117=1,HO33=0),300,0))),1000000000))</f>
        <v/>
      </c>
      <c r="SS33">
        <f>IF($B33=0,1000000000,IF(INDEX('calcA'!$D$60:$EQ$99,$B33,118)*IF($W33=1,HO33+AED33,HO33)=1,IF(AND($E33=2,IF($W33=1,AJS33,ND33)=0),1000000000,IF($V33=1,INDEX('calcA'!$D$130:$EQ$169,$B33,118)+IF(AND($E33=1,ND33=0),25,0),INDEX('calcA'!DQ$110:DQ$114,$F33+1)+IF(AND($E33=1,ND33=0),1000,0)+IF($H33=1,INDEX('calcA'!$D$180:$EQ$219,$B33,118)*500,0)-IF(AND('calcA'!DP$117=1,YN33&gt;0),300,0)-IF(AND($U33=1,'calcA'!DQ$117=1,HP33=0),300,0))),1000000000))</f>
        <v/>
      </c>
      <c r="ST33">
        <f>IF($B33=0,1000000000,IF(INDEX('calcA'!$D$60:$EQ$99,$B33,119)*IF($W33=1,HP33+AEE33,HP33)=1,IF(AND($E33=2,IF($W33=1,AJT33,NE33)=0),1000000000,IF($V33=1,INDEX('calcA'!$D$130:$EQ$169,$B33,119)+IF(AND($E33=1,NE33=0),25,0),INDEX('calcA'!DR$110:DR$114,$F33+1)+IF(AND($E33=1,NE33=0),1000,0)+IF($H33=1,INDEX('calcA'!$D$180:$EQ$219,$B33,119)*500,0)-IF(AND('calcA'!DQ$117=1,YO33&gt;0),300,0)-IF(AND($U33=1,'calcA'!DR$117=1,HQ33=0),300,0))),1000000000))</f>
        <v/>
      </c>
      <c r="SU33">
        <f>IF($B33=0,1000000000,IF(INDEX('calcA'!$D$60:$EQ$99,$B33,120)*IF($W33=1,HQ33+AEF33,HQ33)=1,IF(AND($E33=2,IF($W33=1,AJU33,NF33)=0),1000000000,IF($V33=1,INDEX('calcA'!$D$130:$EQ$169,$B33,120)+IF(AND($E33=1,NF33=0),25,0),INDEX('calcA'!DS$110:DS$114,$F33+1)+IF(AND($E33=1,NF33=0),1000,0)+IF($H33=1,INDEX('calcA'!$D$180:$EQ$219,$B33,120)*500,0)-IF(AND('calcA'!DR$117=1,YP33&gt;0),300,0))),1000000000))</f>
        <v/>
      </c>
      <c r="SV33">
        <f>IF($B33=0,1000000000,IF(INDEX('calcA'!$D$60:$EQ$99,$B33,121)*IF($W33=1,HR33+AEG33,HR33)=1,IF(AND($E33=2,IF($W33=1,AJV33,NG33)=0),1000000000,IF($V33=1,INDEX('calcA'!$D$130:$EQ$169,$B33,121)+IF(AND($E33=1,NG33=0),25,0),INDEX('calcA'!DT$110:DT$114,$F33+1)+IF(AND($E33=1,NG33=0),1000,0)+IF($H33=1,INDEX('calcA'!$D$180:$EQ$219,$B33,121)*500,0)-IF(AND($U33=1,'calcA'!DT$117=1,HS33=0),300,0))),1000000000))</f>
        <v/>
      </c>
      <c r="SW33">
        <f>IF($B33=0,1000000000,IF(INDEX('calcA'!$D$60:$EQ$99,$B33,122)*IF($W33=1,HS33+AEH33,HS33)=1,IF(AND($E33=2,IF($W33=1,AJW33,NH33)=0),1000000000,IF($V33=1,INDEX('calcA'!$D$130:$EQ$169,$B33,122)+IF(AND($E33=1,NH33=0),25,0),INDEX('calcA'!DU$110:DU$114,$F33+1)+IF(AND($E33=1,NH33=0),1000,0)+IF($H33=1,INDEX('calcA'!$D$180:$EQ$219,$B33,122)*500,0)-IF(AND('calcA'!DT$117=1,YR33&gt;0),300,0)-IF(AND($U33=1,'calcA'!DU$117=1,HT33=0),300,0))),1000000000))</f>
        <v/>
      </c>
      <c r="SX33">
        <f>IF($B33=0,1000000000,IF(INDEX('calcA'!$D$60:$EQ$99,$B33,123)*IF($W33=1,HT33+AEI33,HT33)=1,IF(AND($E33=2,IF($W33=1,AJX33,NI33)=0),1000000000,IF($V33=1,INDEX('calcA'!$D$130:$EQ$169,$B33,123)+IF(AND($E33=1,NI33=0),25,0),INDEX('calcA'!DV$110:DV$114,$F33+1)+IF(AND($E33=1,NI33=0),1000,0)+IF($H33=1,INDEX('calcA'!$D$180:$EQ$219,$B33,123)*500,0)-IF(AND('calcA'!DU$117=1,YS33&gt;0),300,0)-IF(AND($U33=1,'calcA'!DV$117=1,HU33=0),300,0))),1000000000))</f>
        <v/>
      </c>
      <c r="SY33">
        <f>IF($B33=0,1000000000,IF(INDEX('calcA'!$D$60:$EQ$99,$B33,124)*IF($W33=1,HU33+AEJ33,HU33)=1,IF(AND($E33=2,IF($W33=1,AJY33,NJ33)=0),1000000000,IF($V33=1,INDEX('calcA'!$D$130:$EQ$169,$B33,124)+IF(AND($E33=1,NJ33=0),25,0),INDEX('calcA'!DW$110:DW$114,$F33+1)+IF(AND($E33=1,NJ33=0),1000,0)+IF($H33=1,INDEX('calcA'!$D$180:$EQ$219,$B33,124)*500,0)-IF(AND('calcA'!DV$117=1,YT33&gt;0),300,0)-IF(AND($U33=1,'calcA'!DW$117=1,HV33=0),300,0))),1000000000))</f>
        <v/>
      </c>
      <c r="SZ33">
        <f>IF($B33=0,1000000000,IF(INDEX('calcA'!$D$60:$EQ$99,$B33,125)*IF($W33=1,HV33+AEK33,HV33)=1,IF(AND($E33=2,IF($W33=1,AJZ33,NK33)=0),1000000000,IF($V33=1,INDEX('calcA'!$D$130:$EQ$169,$B33,125)+IF(AND($E33=1,NK33=0),25,0),INDEX('calcA'!DX$110:DX$114,$F33+1)+IF(AND($E33=1,NK33=0),1000,0)+IF($H33=1,INDEX('calcA'!$D$180:$EQ$219,$B33,125)*500,0)-IF(AND('calcA'!DW$117=1,YU33&gt;0),300,0)-IF(AND($U33=1,'calcA'!DX$117=1,HW33=0),300,0))),1000000000))</f>
        <v/>
      </c>
      <c r="TA33">
        <f>IF($B33=0,1000000000,IF(INDEX('calcA'!$D$60:$EQ$99,$B33,126)*IF($W33=1,HW33+AEL33,HW33)=1,IF(AND($E33=2,IF($W33=1,AKA33,NL33)=0),1000000000,IF($V33=1,INDEX('calcA'!$D$130:$EQ$169,$B33,126)+IF(AND($E33=1,NL33=0),25,0),INDEX('calcA'!DY$110:DY$114,$F33+1)+IF(AND($E33=1,NL33=0),1000,0)+IF($H33=1,INDEX('calcA'!$D$180:$EQ$219,$B33,126)*500,0)-IF(AND('calcA'!DX$117=1,YV33&gt;0),300,0)-IF(AND($U33=1,'calcA'!DY$117=1,HX33=0),300,0))),1000000000))</f>
        <v/>
      </c>
      <c r="TB33">
        <f>IF($B33=0,1000000000,IF(INDEX('calcA'!$D$60:$EQ$99,$B33,127)*IF($W33=1,HX33+AEM33,HX33)=1,IF(AND($E33=2,IF($W33=1,AKB33,NM33)=0),1000000000,IF($V33=1,INDEX('calcA'!$D$130:$EQ$169,$B33,127)+IF(AND($E33=1,NM33=0),25,0),INDEX('calcA'!DZ$110:DZ$114,$F33+1)+IF(AND($E33=1,NM33=0),1000,0)+IF($H33=1,INDEX('calcA'!$D$180:$EQ$219,$B33,127)*500,0)-IF(AND('calcA'!DY$117=1,YW33&gt;0),300,0)-IF(AND($U33=1,'calcA'!DZ$117=1,HY33=0),300,0))),1000000000))</f>
        <v/>
      </c>
      <c r="TC33">
        <f>IF($B33=0,1000000000,IF(INDEX('calcA'!$D$60:$EQ$99,$B33,128)*IF($W33=1,HY33+AEN33,HY33)=1,IF(AND($E33=2,IF($W33=1,AKC33,NN33)=0),1000000000,IF($V33=1,INDEX('calcA'!$D$130:$EQ$169,$B33,128)+IF(AND($E33=1,NN33=0),25,0),INDEX('calcA'!EA$110:EA$114,$F33+1)+IF(AND($E33=1,NN33=0),1000,0)+IF($H33=1,INDEX('calcA'!$D$180:$EQ$219,$B33,128)*500,0)-IF(AND('calcA'!DZ$117=1,YX33&gt;0),300,0)-IF(AND($U33=1,'calcA'!EA$117=1,HZ33=0),300,0))),1000000000))</f>
        <v/>
      </c>
      <c r="TD33">
        <f>IF($B33=0,1000000000,IF(INDEX('calcA'!$D$60:$EQ$99,$B33,129)*IF($W33=1,HZ33+AEO33,HZ33)=1,IF(AND($E33=2,IF($W33=1,AKD33,NO33)=0),1000000000,IF($V33=1,INDEX('calcA'!$D$130:$EQ$169,$B33,129)+IF(AND($E33=1,NO33=0),25,0),INDEX('calcA'!EB$110:EB$114,$F33+1)+IF(AND($E33=1,NO33=0),1000,0)+IF($H33=1,INDEX('calcA'!$D$180:$EQ$219,$B33,129)*500,0)-IF(AND('calcA'!EA$117=1,YY33&gt;0),300,0)-IF(AND($U33=1,'calcA'!EB$117=1,IA33=0),300,0))),1000000000))</f>
        <v/>
      </c>
      <c r="TE33">
        <f>IF($B33=0,1000000000,IF(INDEX('calcA'!$D$60:$EQ$99,$B33,130)*IF($W33=1,IA33+AEP33,IA33)=1,IF(AND($E33=2,IF($W33=1,AKE33,NP33)=0),1000000000,IF($V33=1,INDEX('calcA'!$D$130:$EQ$169,$B33,130)+IF(AND($E33=1,NP33=0),25,0),INDEX('calcA'!EC$110:EC$114,$F33+1)+IF(AND($E33=1,NP33=0),1000,0)+IF($H33=1,INDEX('calcA'!$D$180:$EQ$219,$B33,130)*500,0)-IF(AND('calcA'!EB$117=1,YZ33&gt;0),300,0)-IF(AND($U33=1,'calcA'!EC$117=1,IB33=0),300,0))),1000000000))</f>
        <v/>
      </c>
      <c r="TF33">
        <f>IF($B33=0,1000000000,IF(INDEX('calcA'!$D$60:$EQ$99,$B33,131)*IF($W33=1,IB33+AEQ33,IB33)=1,IF(AND($E33=2,IF($W33=1,AKF33,NQ33)=0),1000000000,IF($V33=1,INDEX('calcA'!$D$130:$EQ$169,$B33,131)+IF(AND($E33=1,NQ33=0),25,0),INDEX('calcA'!ED$110:ED$114,$F33+1)+IF(AND($E33=1,NQ33=0),1000,0)+IF($H33=1,INDEX('calcA'!$D$180:$EQ$219,$B33,131)*500,0)-IF(AND('calcA'!EC$117=1,ZA33&gt;0),300,0)-IF(AND($U33=1,'calcA'!ED$117=1,IC33=0),300,0))),1000000000))</f>
        <v/>
      </c>
      <c r="TG33">
        <f>IF($B33=0,1000000000,IF(INDEX('calcA'!$D$60:$EQ$99,$B33,132)*IF($W33=1,IC33+AER33,IC33)=1,IF(AND($E33=2,IF($W33=1,AKG33,NR33)=0),1000000000,IF($V33=1,INDEX('calcA'!$D$130:$EQ$169,$B33,132)+IF(AND($E33=1,NR33=0),25,0),INDEX('calcA'!EE$110:EE$114,$F33+1)+IF(AND($E33=1,NR33=0),1000,0)+IF($H33=1,INDEX('calcA'!$D$180:$EQ$219,$B33,132)*500,0)-IF(AND('calcA'!ED$117=1,ZB33&gt;0),300,0)-IF(AND($U33=1,'calcA'!EE$117=1,ID33=0),300,0))),1000000000))</f>
        <v/>
      </c>
      <c r="TH33">
        <f>IF($B33=0,1000000000,IF(INDEX('calcA'!$D$60:$EQ$99,$B33,133)*IF($W33=1,ID33+AES33,ID33)=1,IF(AND($E33=2,IF($W33=1,AKH33,NS33)=0),1000000000,IF($V33=1,INDEX('calcA'!$D$130:$EQ$169,$B33,133)+IF(AND($E33=1,NS33=0),25,0),INDEX('calcA'!EF$110:EF$114,$F33+1)+IF(AND($E33=1,NS33=0),1000,0)+IF($H33=1,INDEX('calcA'!$D$180:$EQ$219,$B33,133)*500,0)-IF(AND('calcA'!EE$117=1,ZC33&gt;0),300,0)-IF(AND($U33=1,'calcA'!EF$117=1,IE33=0),300,0))),1000000000))</f>
        <v/>
      </c>
      <c r="TI33">
        <f>IF($B33=0,1000000000,IF(INDEX('calcA'!$D$60:$EQ$99,$B33,134)*IF($W33=1,IE33+AET33,IE33)=1,IF(AND($E33=2,IF($W33=1,AKI33,NT33)=0),1000000000,IF($V33=1,INDEX('calcA'!$D$130:$EQ$169,$B33,134)+IF(AND($E33=1,NT33=0),25,0),INDEX('calcA'!EG$110:EG$114,$F33+1)+IF(AND($E33=1,NT33=0),1000,0)+IF($H33=1,INDEX('calcA'!$D$180:$EQ$219,$B33,134)*500,0)-IF(AND('calcA'!EF$117=1,ZD33&gt;0),300,0)-IF(AND($U33=1,'calcA'!EG$117=1,IF33=0),300,0))),1000000000))</f>
        <v/>
      </c>
      <c r="TJ33">
        <f>IF($B33=0,1000000000,IF(INDEX('calcA'!$D$60:$EQ$99,$B33,135)*IF($W33=1,IF33+AEU33,IF33)=1,IF(AND($E33=2,IF($W33=1,AKJ33,NU33)=0),1000000000,IF($V33=1,INDEX('calcA'!$D$130:$EQ$169,$B33,135)+IF(AND($E33=1,NU33=0),25,0),INDEX('calcA'!EH$110:EH$114,$F33+1)+IF(AND($E33=1,NU33=0),1000,0)+IF($H33=1,INDEX('calcA'!$D$180:$EQ$219,$B33,135)*500,0)-IF(AND('calcA'!EG$117=1,ZE33&gt;0),300,0)-IF(AND($U33=1,'calcA'!EH$117=1,IG33=0),300,0))),1000000000))</f>
        <v/>
      </c>
      <c r="TK33">
        <f>IF($B33=0,1000000000,IF(INDEX('calcA'!$D$60:$EQ$99,$B33,136)*IF($W33=1,IG33+AEV33,IG33)=1,IF(AND($E33=2,IF($W33=1,AKK33,NV33)=0),1000000000,IF($V33=1,INDEX('calcA'!$D$130:$EQ$169,$B33,136)+IF(AND($E33=1,NV33=0),25,0),INDEX('calcA'!EI$110:EI$114,$F33+1)+IF(AND($E33=1,NV33=0),1000,0)+IF($H33=1,INDEX('calcA'!$D$180:$EQ$219,$B33,136)*500,0)-IF(AND('calcA'!EH$117=1,ZF33&gt;0),300,0)-IF(AND($U33=1,'calcA'!EI$117=1,IH33=0),300,0))),1000000000))</f>
        <v/>
      </c>
      <c r="TL33">
        <f>IF($B33=0,1000000000,IF(INDEX('calcA'!$D$60:$EQ$99,$B33,137)*IF($W33=1,IH33+AEW33,IH33)=1,IF(AND($E33=2,IF($W33=1,AKL33,NW33)=0),1000000000,IF($V33=1,INDEX('calcA'!$D$130:$EQ$169,$B33,137)+IF(AND($E33=1,NW33=0),25,0),INDEX('calcA'!EJ$110:EJ$114,$F33+1)+IF(AND($E33=1,NW33=0),1000,0)+IF($H33=1,INDEX('calcA'!$D$180:$EQ$219,$B33,137)*500,0)-IF(AND('calcA'!EI$117=1,ZG33&gt;0),300,0)-IF(AND($U33=1,'calcA'!EJ$117=1,II33=0),300,0))),1000000000))</f>
        <v/>
      </c>
      <c r="TM33">
        <f>IF($B33=0,1000000000,IF(INDEX('calcA'!$D$60:$EQ$99,$B33,138)*IF($W33=1,II33+AEX33,II33)=1,IF(AND($E33=2,IF($W33=1,AKM33,NX33)=0),1000000000,IF($V33=1,INDEX('calcA'!$D$130:$EQ$169,$B33,138)+IF(AND($E33=1,NX33=0),25,0),INDEX('calcA'!EK$110:EK$114,$F33+1)+IF(AND($E33=1,NX33=0),1000,0)+IF($H33=1,INDEX('calcA'!$D$180:$EQ$219,$B33,138)*500,0)-IF(AND('calcA'!EJ$117=1,ZH33&gt;0),300,0)-IF(AND($U33=1,'calcA'!EK$117=1,IJ33=0),300,0))),1000000000))</f>
        <v/>
      </c>
      <c r="TN33">
        <f>IF($B33=0,1000000000,IF(INDEX('calcA'!$D$60:$EQ$99,$B33,139)*IF($W33=1,IJ33+AEY33,IJ33)=1,IF(AND($E33=2,IF($W33=1,AKN33,NY33)=0),1000000000,IF($V33=1,INDEX('calcA'!$D$130:$EQ$169,$B33,139)+IF(AND($E33=1,NY33=0),25,0),INDEX('calcA'!EL$110:EL$114,$F33+1)+IF(AND($E33=1,NY33=0),1000,0)+IF($H33=1,INDEX('calcA'!$D$180:$EQ$219,$B33,139)*500,0)-IF(AND('calcA'!EK$117=1,ZI33&gt;0),300,0)-IF(AND($U33=1,'calcA'!EL$117=1,IK33=0),300,0))),1000000000))</f>
        <v/>
      </c>
      <c r="TO33">
        <f>IF($B33=0,1000000000,IF(INDEX('calcA'!$D$60:$EQ$99,$B33,140)*IF($W33=1,IK33+AEZ33,IK33)=1,IF(AND($E33=2,IF($W33=1,AKO33,NZ33)=0),1000000000,IF($V33=1,INDEX('calcA'!$D$130:$EQ$169,$B33,140)+IF(AND($E33=1,NZ33=0),25,0),INDEX('calcA'!EM$110:EM$114,$F33+1)+IF(AND($E33=1,NZ33=0),1000,0)+IF($H33=1,INDEX('calcA'!$D$180:$EQ$219,$B33,140)*500,0)-IF(AND('calcA'!EL$117=1,ZJ33&gt;0),300,0)-IF(AND($U33=1,'calcA'!EM$117=1,IL33=0),300,0))),1000000000))</f>
        <v/>
      </c>
      <c r="TP33">
        <f>IF($B33=0,1000000000,IF(INDEX('calcA'!$D$60:$EQ$99,$B33,141)*IF($W33=1,IL33+AFA33,IL33)=1,IF(AND($E33=2,IF($W33=1,AKP33,OA33)=0),1000000000,IF($V33=1,INDEX('calcA'!$D$130:$EQ$169,$B33,141)+IF(AND($E33=1,OA33=0),25,0),INDEX('calcA'!EN$110:EN$114,$F33+1)+IF(AND($E33=1,OA33=0),1000,0)+IF($H33=1,INDEX('calcA'!$D$180:$EQ$219,$B33,141)*500,0)-IF(AND('calcA'!EM$117=1,ZK33&gt;0),300,0)-IF(AND($U33=1,'calcA'!EN$117=1,IM33=0),300,0))),1000000000))</f>
        <v/>
      </c>
      <c r="TQ33">
        <f>IF($B33=0,1000000000,IF(INDEX('calcA'!$D$60:$EQ$99,$B33,142)*IF($W33=1,IM33+AFB33,IM33)=1,IF(AND($E33=2,IF($W33=1,AKQ33,OB33)=0),1000000000,IF($V33=1,INDEX('calcA'!$D$130:$EQ$169,$B33,142)+IF(AND($E33=1,OB33=0),25,0),INDEX('calcA'!EO$110:EO$114,$F33+1)+IF(AND($E33=1,OB33=0),1000,0)+IF($H33=1,INDEX('calcA'!$D$180:$EQ$219,$B33,142)*500,0)-IF(AND('calcA'!EN$117=1,ZL33&gt;0),300,0)-IF(AND($U33=1,'calcA'!EO$117=1,IN33=0),300,0))),1000000000))</f>
        <v/>
      </c>
      <c r="TR33">
        <f>IF($B33=0,1000000000,IF(INDEX('calcA'!$D$60:$EQ$99,$B33,143)*IF($W33=1,IN33+AFC33,IN33)=1,IF(AND($E33=2,IF($W33=1,AKR33,OC33)=0),1000000000,IF($V33=1,INDEX('calcA'!$D$130:$EQ$169,$B33,143)+IF(AND($E33=1,OC33=0),25,0),INDEX('calcA'!EP$110:EP$114,$F33+1)+IF(AND($E33=1,OC33=0),1000,0)+IF($H33=1,INDEX('calcA'!$D$180:$EQ$219,$B33,143)*500,0)-IF(AND('calcA'!EO$117=1,ZM33&gt;0),300,0)-IF(AND($U33=1,'calcA'!EP$117=1,IO33=0),300,0))),1000000000))</f>
        <v/>
      </c>
      <c r="TS33">
        <f>IF($B33=0,1000000000,IF(INDEX('calcA'!$D$60:$EQ$99,$B33,144)*IF($W33=1,IO33+AFD33,IO33)=1,IF(AND($E33=2,IF($W33=1,AKS33,OD33)=0),1000000000,IF($V33=1,INDEX('calcA'!$D$130:$EQ$169,$B33,144)+IF(AND($E33=1,OD33=0),25,0),INDEX('calcA'!EQ$110:EQ$114,$F33+1)+IF(AND($E33=1,OD33=0),1000,0)+IF($H33=1,INDEX('calcA'!$D$180:$EQ$219,$B33,144)*500,0)-IF(AND('calcA'!EP$117=1,ZN33&gt;0),300,0))),1000000000))</f>
        <v/>
      </c>
      <c r="UB33">
        <f>UB32+IF(AND($C32=1,$U32=1),1,0)</f>
        <v/>
      </c>
      <c r="UC33">
        <f>UC32+IF(AND($C32=2,$U32=1),1,0)</f>
        <v/>
      </c>
      <c r="UD33">
        <f>UD32+IF(AND($C32=3,$U32=1),1,0)</f>
        <v/>
      </c>
      <c r="UE33">
        <f>UE32+IF(AND($C32=4,$U32=1),1,0)</f>
        <v/>
      </c>
      <c r="UF33">
        <f>UF32+IF(AND($C32=5,$U32=1),1,0)</f>
        <v/>
      </c>
      <c r="UG33">
        <f>UG32+IF(AND($C32=6,$U32=1),1,0)</f>
        <v/>
      </c>
      <c r="UH33">
        <f>UH32+IF(AND($C32=7,$U32=1),1,0)</f>
        <v/>
      </c>
      <c r="UI33">
        <f>UI32+IF(AND($C32=8,$U32=1),1,0)</f>
        <v/>
      </c>
      <c r="UJ33">
        <f>UJ32+IF(AND($C32=9,$U32=1),1,0)</f>
        <v/>
      </c>
      <c r="UK33">
        <f>UK32+IF(AND($C32=10,$U32=1),1,0)</f>
        <v/>
      </c>
      <c r="UL33">
        <f>UL32+IF(AND($C32=11,$U32=1),1,0)</f>
        <v/>
      </c>
      <c r="UM33">
        <f>UM32+IF(AND($C32=12,$U32=1),1,0)</f>
        <v/>
      </c>
      <c r="UN33">
        <f>UN32+IF(AND($C32=13,$U32=1),1,0)</f>
        <v/>
      </c>
      <c r="UO33">
        <f>UO32+IF(AND($C32=14,$U32=1),1,0)</f>
        <v/>
      </c>
      <c r="UP33">
        <f>UP32+IF(AND($C32=15,$U32=1),1,0)</f>
        <v/>
      </c>
      <c r="UQ33">
        <f>UQ32+IF(AND($C32=16,$U32=1),1,0)</f>
        <v/>
      </c>
      <c r="UR33">
        <f>UR32+IF(AND($C32=17,$U32=1),1,0)</f>
        <v/>
      </c>
      <c r="US33">
        <f>US32+IF(AND($C32=18,$U32=1),1,0)</f>
        <v/>
      </c>
      <c r="UT33">
        <f>UT32+IF(AND($C32=19,$U32=1),1,0)</f>
        <v/>
      </c>
      <c r="UU33">
        <f>UU32+IF(AND($C32=20,$U32=1),1,0)</f>
        <v/>
      </c>
      <c r="UV33">
        <f>UV32+IF(AND($C32=21,$U32=1),1,0)</f>
        <v/>
      </c>
      <c r="UW33">
        <f>UW32+IF(AND($C32=22,$U32=1),1,0)</f>
        <v/>
      </c>
      <c r="UX33">
        <f>UX32+IF(AND($C32=23,$U32=1),1,0)</f>
        <v/>
      </c>
      <c r="UY33">
        <f>UY32+IF(AND($C32=24,$U32=1),1,0)</f>
        <v/>
      </c>
      <c r="UZ33">
        <f>UZ32+IF(AND($C32=25,$U32=1),1,0)</f>
        <v/>
      </c>
      <c r="VA33">
        <f>VA32+IF(AND($C32=26,$U32=1),1,0)</f>
        <v/>
      </c>
      <c r="VB33">
        <f>VB32+IF(AND($C32=27,$U32=1),1,0)</f>
        <v/>
      </c>
      <c r="VC33">
        <f>VC32+IF(AND($C32=28,$U32=1),1,0)</f>
        <v/>
      </c>
      <c r="VD33">
        <f>VD32+IF(AND($C32=29,$U32=1),1,0)</f>
        <v/>
      </c>
      <c r="VE33">
        <f>VE32+IF(AND($C32=30,$U32=1),1,0)</f>
        <v/>
      </c>
      <c r="VF33">
        <f>VF32+IF(AND($C32=31,$U32=1),1,0)</f>
        <v/>
      </c>
      <c r="VG33">
        <f>VG32+IF(AND($C32=32,$U32=1),1,0)</f>
        <v/>
      </c>
      <c r="VH33">
        <f>VH32+IF(AND($C32=33,$U32=1),1,0)</f>
        <v/>
      </c>
      <c r="VI33">
        <f>VI32+IF(AND($C32=34,$U32=1),1,0)</f>
        <v/>
      </c>
      <c r="VJ33">
        <f>VJ32+IF(AND($C32=35,$U32=1),1,0)</f>
        <v/>
      </c>
      <c r="VK33">
        <f>VK32+IF(AND($C32=36,$U32=1),1,0)</f>
        <v/>
      </c>
      <c r="VL33">
        <f>VL32+IF(AND($C32=37,$U32=1),1,0)</f>
        <v/>
      </c>
      <c r="VM33">
        <f>VM32+IF(AND($C32=38,$U32=1),1,0)</f>
        <v/>
      </c>
      <c r="VN33">
        <f>VN32+IF(AND($C32=39,$U32=1),1,0)</f>
        <v/>
      </c>
      <c r="VO33">
        <f>VO32+IF(AND($C32=40,$U32=1),1,0)</f>
        <v/>
      </c>
      <c r="VP33">
        <f>VP32+IF(AND($C32=41,$U32=1),1,0)</f>
        <v/>
      </c>
      <c r="VQ33">
        <f>VQ32+IF(AND($C32=42,$U32=1),1,0)</f>
        <v/>
      </c>
      <c r="VR33">
        <f>VR32+IF(AND($C32=43,$U32=1),1,0)</f>
        <v/>
      </c>
      <c r="VS33">
        <f>VS32+IF(AND($C32=44,$U32=1),1,0)</f>
        <v/>
      </c>
      <c r="VT33">
        <f>VT32+IF(AND($C32=45,$U32=1),1,0)</f>
        <v/>
      </c>
      <c r="VU33">
        <f>VU32+IF(AND($C32=46,$U32=1),1,0)</f>
        <v/>
      </c>
      <c r="VV33">
        <f>VV32+IF(AND($C32=47,$U32=1),1,0)</f>
        <v/>
      </c>
      <c r="VW33">
        <f>VW32+IF(AND($C32=48,$U32=1),1,0)</f>
        <v/>
      </c>
      <c r="VX33">
        <f>VX32+IF(AND($C32=49,$U32=1),1,0)</f>
        <v/>
      </c>
      <c r="VY33">
        <f>VY32+IF(AND($C32=50,$U32=1),1,0)</f>
        <v/>
      </c>
      <c r="VZ33">
        <f>VZ32+IF(AND($C32=51,$U32=1),1,0)</f>
        <v/>
      </c>
      <c r="WA33">
        <f>WA32+IF(AND($C32=52,$U32=1),1,0)</f>
        <v/>
      </c>
      <c r="WB33">
        <f>WB32+IF(AND($C32=53,$U32=1),1,0)</f>
        <v/>
      </c>
      <c r="WC33">
        <f>WC32+IF(AND($C32=54,$U32=1),1,0)</f>
        <v/>
      </c>
      <c r="WD33">
        <f>WD32+IF(AND($C32=55,$U32=1),1,0)</f>
        <v/>
      </c>
      <c r="WE33">
        <f>WE32+IF(AND($C32=56,$U32=1),1,0)</f>
        <v/>
      </c>
      <c r="WF33">
        <f>WF32+IF(AND($C32=57,$U32=1),1,0)</f>
        <v/>
      </c>
      <c r="WG33">
        <f>WG32+IF(AND($C32=58,$U32=1),1,0)</f>
        <v/>
      </c>
      <c r="WH33">
        <f>WH32+IF(AND($C32=59,$U32=1),1,0)</f>
        <v/>
      </c>
      <c r="WI33">
        <f>WI32+IF(AND($C32=60,$U32=1),1,0)</f>
        <v/>
      </c>
      <c r="WJ33">
        <f>WJ32+IF(AND($C32=61,$U32=1),1,0)</f>
        <v/>
      </c>
      <c r="WK33">
        <f>WK32+IF(AND($C32=62,$U32=1),1,0)</f>
        <v/>
      </c>
      <c r="WL33">
        <f>WL32+IF(AND($C32=63,$U32=1),1,0)</f>
        <v/>
      </c>
      <c r="WM33">
        <f>WM32+IF(AND($C32=64,$U32=1),1,0)</f>
        <v/>
      </c>
      <c r="WN33">
        <f>WN32+IF(AND($C32=65,$U32=1),1,0)</f>
        <v/>
      </c>
      <c r="WO33">
        <f>WO32+IF(AND($C32=66,$U32=1),1,0)</f>
        <v/>
      </c>
      <c r="WP33">
        <f>WP32+IF(AND($C32=67,$U32=1),1,0)</f>
        <v/>
      </c>
      <c r="WQ33">
        <f>WQ32+IF(AND($C32=68,$U32=1),1,0)</f>
        <v/>
      </c>
      <c r="WR33">
        <f>WR32+IF(AND($C32=69,$U32=1),1,0)</f>
        <v/>
      </c>
      <c r="WS33">
        <f>WS32+IF(AND($C32=70,$U32=1),1,0)</f>
        <v/>
      </c>
      <c r="WT33">
        <f>WT32+IF(AND($C32=71,$U32=1),1,0)</f>
        <v/>
      </c>
      <c r="WU33">
        <f>WU32+IF(AND($C32=72,$U32=1),1,0)</f>
        <v/>
      </c>
      <c r="WV33">
        <f>WV32+IF(AND($C32=73,$U32=1),1,0)</f>
        <v/>
      </c>
      <c r="WW33">
        <f>WW32+IF(AND($C32=74,$U32=1),1,0)</f>
        <v/>
      </c>
      <c r="WX33">
        <f>WX32+IF(AND($C32=75,$U32=1),1,0)</f>
        <v/>
      </c>
      <c r="WY33">
        <f>WY32+IF(AND($C32=76,$U32=1),1,0)</f>
        <v/>
      </c>
      <c r="WZ33">
        <f>WZ32+IF(AND($C32=77,$U32=1),1,0)</f>
        <v/>
      </c>
      <c r="XA33">
        <f>XA32+IF(AND($C32=78,$U32=1),1,0)</f>
        <v/>
      </c>
      <c r="XB33">
        <f>XB32+IF(AND($C32=79,$U32=1),1,0)</f>
        <v/>
      </c>
      <c r="XC33">
        <f>XC32+IF(AND($C32=80,$U32=1),1,0)</f>
        <v/>
      </c>
      <c r="XD33">
        <f>XD32+IF(AND($C32=81,$U32=1),1,0)</f>
        <v/>
      </c>
      <c r="XE33">
        <f>XE32+IF(AND($C32=82,$U32=1),1,0)</f>
        <v/>
      </c>
      <c r="XF33">
        <f>XF32+IF(AND($C32=83,$U32=1),1,0)</f>
        <v/>
      </c>
      <c r="XG33">
        <f>XG32+IF(AND($C32=84,$U32=1),1,0)</f>
        <v/>
      </c>
      <c r="XH33">
        <f>XH32+IF(AND($C32=85,$U32=1),1,0)</f>
        <v/>
      </c>
      <c r="XI33">
        <f>XI32+IF(AND($C32=86,$U32=1),1,0)</f>
        <v/>
      </c>
      <c r="XJ33">
        <f>XJ32+IF(AND($C32=87,$U32=1),1,0)</f>
        <v/>
      </c>
      <c r="XK33">
        <f>XK32+IF(AND($C32=88,$U32=1),1,0)</f>
        <v/>
      </c>
      <c r="XL33">
        <f>XL32+IF(AND($C32=89,$U32=1),1,0)</f>
        <v/>
      </c>
      <c r="XM33">
        <f>XM32+IF(AND($C32=90,$U32=1),1,0)</f>
        <v/>
      </c>
      <c r="XN33">
        <f>XN32+IF(AND($C32=91,$U32=1),1,0)</f>
        <v/>
      </c>
      <c r="XO33">
        <f>XO32+IF(AND($C32=92,$U32=1),1,0)</f>
        <v/>
      </c>
      <c r="XP33">
        <f>XP32+IF(AND($C32=93,$U32=1),1,0)</f>
        <v/>
      </c>
      <c r="XQ33">
        <f>XQ32+IF(AND($C32=94,$U32=1),1,0)</f>
        <v/>
      </c>
      <c r="XR33">
        <f>XR32+IF(AND($C32=95,$U32=1),1,0)</f>
        <v/>
      </c>
      <c r="XS33">
        <f>XS32+IF(AND($C32=96,$U32=1),1,0)</f>
        <v/>
      </c>
      <c r="XT33">
        <f>XT32+IF(AND($C32=97,$U32=1),1,0)</f>
        <v/>
      </c>
      <c r="XU33">
        <f>XU32+IF(AND($C32=98,$U32=1),1,0)</f>
        <v/>
      </c>
      <c r="XV33">
        <f>XV32+IF(AND($C32=99,$U32=1),1,0)</f>
        <v/>
      </c>
      <c r="XW33">
        <f>XW32+IF(AND($C32=100,$U32=1),1,0)</f>
        <v/>
      </c>
      <c r="XX33">
        <f>XX32+IF(AND($C32=101,$U32=1),1,0)</f>
        <v/>
      </c>
      <c r="XY33">
        <f>XY32+IF(AND($C32=102,$U32=1),1,0)</f>
        <v/>
      </c>
      <c r="XZ33">
        <f>XZ32+IF(AND($C32=103,$U32=1),1,0)</f>
        <v/>
      </c>
      <c r="YA33">
        <f>YA32+IF(AND($C32=104,$U32=1),1,0)</f>
        <v/>
      </c>
      <c r="YB33">
        <f>YB32+IF(AND($C32=105,$U32=1),1,0)</f>
        <v/>
      </c>
      <c r="YC33">
        <f>YC32+IF(AND($C32=106,$U32=1),1,0)</f>
        <v/>
      </c>
      <c r="YD33">
        <f>YD32+IF(AND($C32=107,$U32=1),1,0)</f>
        <v/>
      </c>
      <c r="YE33">
        <f>YE32+IF(AND($C32=108,$U32=1),1,0)</f>
        <v/>
      </c>
      <c r="YF33">
        <f>YF32+IF(AND($C32=109,$U32=1),1,0)</f>
        <v/>
      </c>
      <c r="YG33">
        <f>YG32+IF(AND($C32=110,$U32=1),1,0)</f>
        <v/>
      </c>
      <c r="YH33">
        <f>YH32+IF(AND($C32=111,$U32=1),1,0)</f>
        <v/>
      </c>
      <c r="YI33">
        <f>YI32+IF(AND($C32=112,$U32=1),1,0)</f>
        <v/>
      </c>
      <c r="YJ33">
        <f>YJ32+IF(AND($C32=113,$U32=1),1,0)</f>
        <v/>
      </c>
      <c r="YK33">
        <f>YK32+IF(AND($C32=114,$U32=1),1,0)</f>
        <v/>
      </c>
      <c r="YL33">
        <f>YL32+IF(AND($C32=115,$U32=1),1,0)</f>
        <v/>
      </c>
      <c r="YM33">
        <f>YM32+IF(AND($C32=116,$U32=1),1,0)</f>
        <v/>
      </c>
      <c r="YN33">
        <f>YN32+IF(AND($C32=117,$U32=1),1,0)</f>
        <v/>
      </c>
      <c r="YO33">
        <f>YO32+IF(AND($C32=118,$U32=1),1,0)</f>
        <v/>
      </c>
      <c r="YP33">
        <f>YP32+IF(AND($C32=119,$U32=1),1,0)</f>
        <v/>
      </c>
      <c r="YQ33">
        <f>YQ32+IF(AND($C32=120,$U32=1),1,0)</f>
        <v/>
      </c>
      <c r="YR33">
        <f>YR32+IF(AND($C32=121,$U32=1),1,0)</f>
        <v/>
      </c>
      <c r="YS33">
        <f>YS32+IF(AND($C32=122,$U32=1),1,0)</f>
        <v/>
      </c>
      <c r="YT33">
        <f>YT32+IF(AND($C32=123,$U32=1),1,0)</f>
        <v/>
      </c>
      <c r="YU33">
        <f>YU32+IF(AND($C32=124,$U32=1),1,0)</f>
        <v/>
      </c>
      <c r="YV33">
        <f>YV32+IF(AND($C32=125,$U32=1),1,0)</f>
        <v/>
      </c>
      <c r="YW33">
        <f>YW32+IF(AND($C32=126,$U32=1),1,0)</f>
        <v/>
      </c>
      <c r="YX33">
        <f>YX32+IF(AND($C32=127,$U32=1),1,0)</f>
        <v/>
      </c>
      <c r="YY33">
        <f>YY32+IF(AND($C32=128,$U32=1),1,0)</f>
        <v/>
      </c>
      <c r="YZ33">
        <f>YZ32+IF(AND($C32=129,$U32=1),1,0)</f>
        <v/>
      </c>
      <c r="ZA33">
        <f>ZA32+IF(AND($C32=130,$U32=1),1,0)</f>
        <v/>
      </c>
      <c r="ZB33">
        <f>ZB32+IF(AND($C32=131,$U32=1),1,0)</f>
        <v/>
      </c>
      <c r="ZC33">
        <f>ZC32+IF(AND($C32=132,$U32=1),1,0)</f>
        <v/>
      </c>
      <c r="ZD33">
        <f>ZD32+IF(AND($C32=133,$U32=1),1,0)</f>
        <v/>
      </c>
      <c r="ZE33">
        <f>ZE32+IF(AND($C32=134,$U32=1),1,0)</f>
        <v/>
      </c>
      <c r="ZF33">
        <f>ZF32+IF(AND($C32=135,$U32=1),1,0)</f>
        <v/>
      </c>
      <c r="ZG33">
        <f>ZG32+IF(AND($C32=136,$U32=1),1,0)</f>
        <v/>
      </c>
      <c r="ZH33">
        <f>ZH32+IF(AND($C32=137,$U32=1),1,0)</f>
        <v/>
      </c>
      <c r="ZI33">
        <f>ZI32+IF(AND($C32=138,$U32=1),1,0)</f>
        <v/>
      </c>
      <c r="ZJ33">
        <f>ZJ32+IF(AND($C32=139,$U32=1),1,0)</f>
        <v/>
      </c>
      <c r="ZK33">
        <f>ZK32+IF(AND($C32=140,$U32=1),1,0)</f>
        <v/>
      </c>
      <c r="ZL33">
        <f>ZL32+IF(AND($C32=141,$U32=1),1,0)</f>
        <v/>
      </c>
      <c r="ZM33">
        <f>ZM32+IF(AND($C32=142,$U32=1),1,0)</f>
        <v/>
      </c>
      <c r="ZN33">
        <f>ZN32+IF(AND($C32=143,$U32=1),1,0)</f>
        <v/>
      </c>
      <c r="ZO33">
        <f>ZO32+IF(AND($C32=144,$U32=1),1,0)</f>
        <v/>
      </c>
      <c r="ZQ33">
        <f>IF($C32=1,0,ZQ32+IF(AND($G32=1,$E32=1),1,0))</f>
        <v/>
      </c>
      <c r="ZR33">
        <f>IF($C32=2,0,ZR32+IF(AND($G32=2,$E32=1),1,0))</f>
        <v/>
      </c>
      <c r="ZS33">
        <f>IF($C32=3,0,ZS32+IF(AND($G32=3,$E32=1),1,0))</f>
        <v/>
      </c>
      <c r="ZT33">
        <f>IF($C32=4,0,ZT32+IF(AND($G32=4,$E32=1),1,0))</f>
        <v/>
      </c>
      <c r="ZU33">
        <f>IF($C32=5,0,ZU32+IF(AND($G32=5,$E32=1),1,0))</f>
        <v/>
      </c>
      <c r="ZV33">
        <f>IF($C32=6,0,ZV32+IF(AND($G32=6,$E32=1),1,0))</f>
        <v/>
      </c>
      <c r="ZW33">
        <f>IF($C32=7,0,ZW32+IF(AND($G32=7,$E32=1),1,0))</f>
        <v/>
      </c>
      <c r="ZX33">
        <f>IF($C32=8,0,ZX32+IF(AND($G32=8,$E32=1),1,0))</f>
        <v/>
      </c>
      <c r="ZY33">
        <f>IF($C32=9,0,ZY32+IF(AND($G32=9,$E32=1),1,0))</f>
        <v/>
      </c>
      <c r="ZZ33">
        <f>IF($C32=10,0,ZZ32+IF(AND($G32=10,$E32=1),1,0))</f>
        <v/>
      </c>
      <c r="AAA33">
        <f>IF($C32=11,0,AAA32+IF(AND($G32=11,$E32=1),1,0))</f>
        <v/>
      </c>
      <c r="AAB33">
        <f>IF($C32=12,0,AAB32+IF(AND($G32=12,$E32=1),1,0))</f>
        <v/>
      </c>
      <c r="AAC33">
        <f>IF($C32=13,0,AAC32+IF(AND($G32=13,$E32=1),1,0))</f>
        <v/>
      </c>
      <c r="AAD33">
        <f>IF($C32=14,0,AAD32+IF(AND($G32=14,$E32=1),1,0))</f>
        <v/>
      </c>
      <c r="AAE33">
        <f>IF($C32=15,0,AAE32+IF(AND($G32=15,$E32=1),1,0))</f>
        <v/>
      </c>
      <c r="AAF33">
        <f>IF($C32=16,0,AAF32+IF(AND($G32=16,$E32=1),1,0))</f>
        <v/>
      </c>
      <c r="AAG33">
        <f>IF($C32=17,0,AAG32+IF(AND($G32=17,$E32=1),1,0))</f>
        <v/>
      </c>
      <c r="AAH33">
        <f>IF($C32=18,0,AAH32+IF(AND($G32=18,$E32=1),1,0))</f>
        <v/>
      </c>
      <c r="AAI33">
        <f>IF($C32=19,0,AAI32+IF(AND($G32=19,$E32=1),1,0))</f>
        <v/>
      </c>
      <c r="AAJ33">
        <f>IF($C32=20,0,AAJ32+IF(AND($G32=20,$E32=1),1,0))</f>
        <v/>
      </c>
      <c r="AAK33">
        <f>IF($C32=21,0,AAK32+IF(AND($G32=21,$E32=1),1,0))</f>
        <v/>
      </c>
      <c r="AAL33">
        <f>IF($C32=22,0,AAL32+IF(AND($G32=22,$E32=1),1,0))</f>
        <v/>
      </c>
      <c r="AAM33">
        <f>IF($C32=23,0,AAM32+IF(AND($G32=23,$E32=1),1,0))</f>
        <v/>
      </c>
      <c r="AAN33">
        <f>IF($C32=24,0,AAN32+IF(AND($G32=24,$E32=1),1,0))</f>
        <v/>
      </c>
      <c r="AAO33">
        <f>IF($C32=25,0,AAO32+IF(AND($G32=25,$E32=1),1,0))</f>
        <v/>
      </c>
      <c r="AAP33">
        <f>IF($C32=26,0,AAP32+IF(AND($G32=26,$E32=1),1,0))</f>
        <v/>
      </c>
      <c r="AAQ33">
        <f>IF($C32=27,0,AAQ32+IF(AND($G32=27,$E32=1),1,0))</f>
        <v/>
      </c>
      <c r="AAR33">
        <f>IF($C32=28,0,AAR32+IF(AND($G32=28,$E32=1),1,0))</f>
        <v/>
      </c>
      <c r="AAS33">
        <f>IF($C32=29,0,AAS32+IF(AND($G32=29,$E32=1),1,0))</f>
        <v/>
      </c>
      <c r="AAT33">
        <f>IF($C32=30,0,AAT32+IF(AND($G32=30,$E32=1),1,0))</f>
        <v/>
      </c>
      <c r="AAU33">
        <f>IF($C32=31,0,AAU32+IF(AND($G32=31,$E32=1),1,0))</f>
        <v/>
      </c>
      <c r="AAV33">
        <f>IF($C32=32,0,AAV32+IF(AND($G32=32,$E32=1),1,0))</f>
        <v/>
      </c>
      <c r="AAW33">
        <f>IF($C32=33,0,AAW32+IF(AND($G32=33,$E32=1),1,0))</f>
        <v/>
      </c>
      <c r="AAX33">
        <f>IF($C32=34,0,AAX32+IF(AND($G32=34,$E32=1),1,0))</f>
        <v/>
      </c>
      <c r="AAY33">
        <f>IF($C32=35,0,AAY32+IF(AND($G32=35,$E32=1),1,0))</f>
        <v/>
      </c>
      <c r="AAZ33">
        <f>IF($C32=36,0,AAZ32+IF(AND($G32=36,$E32=1),1,0))</f>
        <v/>
      </c>
      <c r="ABA33">
        <f>IF($C32=37,0,ABA32+IF(AND($G32=37,$E32=1),1,0))</f>
        <v/>
      </c>
      <c r="ABB33">
        <f>IF($C32=38,0,ABB32+IF(AND($G32=38,$E32=1),1,0))</f>
        <v/>
      </c>
      <c r="ABC33">
        <f>IF($C32=39,0,ABC32+IF(AND($G32=39,$E32=1),1,0))</f>
        <v/>
      </c>
      <c r="ABD33">
        <f>IF($C32=40,0,ABD32+IF(AND($G32=40,$E32=1),1,0))</f>
        <v/>
      </c>
      <c r="ABE33">
        <f>IF($C32=41,0,ABE32+IF(AND($G32=41,$E32=1),1,0))</f>
        <v/>
      </c>
      <c r="ABF33">
        <f>IF($C32=42,0,ABF32+IF(AND($G32=42,$E32=1),1,0))</f>
        <v/>
      </c>
      <c r="ABG33">
        <f>IF($C32=43,0,ABG32+IF(AND($G32=43,$E32=1),1,0))</f>
        <v/>
      </c>
      <c r="ABH33">
        <f>IF($C32=44,0,ABH32+IF(AND($G32=44,$E32=1),1,0))</f>
        <v/>
      </c>
      <c r="ABI33">
        <f>IF($C32=45,0,ABI32+IF(AND($G32=45,$E32=1),1,0))</f>
        <v/>
      </c>
      <c r="ABJ33">
        <f>IF($C32=46,0,ABJ32+IF(AND($G32=46,$E32=1),1,0))</f>
        <v/>
      </c>
      <c r="ABK33">
        <f>IF($C32=47,0,ABK32+IF(AND($G32=47,$E32=1),1,0))</f>
        <v/>
      </c>
      <c r="ABL33">
        <f>IF($C32=48,0,ABL32+IF(AND($G32=48,$E32=1),1,0))</f>
        <v/>
      </c>
      <c r="ABM33">
        <f>IF($C32=49,0,ABM32+IF(AND($G32=49,$E32=1),1,0))</f>
        <v/>
      </c>
      <c r="ABN33">
        <f>IF($C32=50,0,ABN32+IF(AND($G32=50,$E32=1),1,0))</f>
        <v/>
      </c>
      <c r="ABO33">
        <f>IF($C32=51,0,ABO32+IF(AND($G32=51,$E32=1),1,0))</f>
        <v/>
      </c>
      <c r="ABP33">
        <f>IF($C32=52,0,ABP32+IF(AND($G32=52,$E32=1),1,0))</f>
        <v/>
      </c>
      <c r="ABQ33">
        <f>IF($C32=53,0,ABQ32+IF(AND($G32=53,$E32=1),1,0))</f>
        <v/>
      </c>
      <c r="ABR33">
        <f>IF($C32=54,0,ABR32+IF(AND($G32=54,$E32=1),1,0))</f>
        <v/>
      </c>
      <c r="ABS33">
        <f>IF($C32=55,0,ABS32+IF(AND($G32=55,$E32=1),1,0))</f>
        <v/>
      </c>
      <c r="ABT33">
        <f>IF($C32=56,0,ABT32+IF(AND($G32=56,$E32=1),1,0))</f>
        <v/>
      </c>
      <c r="ABU33">
        <f>IF($C32=57,0,ABU32+IF(AND($G32=57,$E32=1),1,0))</f>
        <v/>
      </c>
      <c r="ABV33">
        <f>IF($C32=58,0,ABV32+IF(AND($G32=58,$E32=1),1,0))</f>
        <v/>
      </c>
      <c r="ABW33">
        <f>IF($C32=59,0,ABW32+IF(AND($G32=59,$E32=1),1,0))</f>
        <v/>
      </c>
      <c r="ABX33">
        <f>IF($C32=60,0,ABX32+IF(AND($G32=60,$E32=1),1,0))</f>
        <v/>
      </c>
      <c r="ABY33">
        <f>IF($C32=61,0,ABY32+IF(AND($G32=61,$E32=1),1,0))</f>
        <v/>
      </c>
      <c r="ABZ33">
        <f>IF($C32=62,0,ABZ32+IF(AND($G32=62,$E32=1),1,0))</f>
        <v/>
      </c>
      <c r="ACA33">
        <f>IF($C32=63,0,ACA32+IF(AND($G32=63,$E32=1),1,0))</f>
        <v/>
      </c>
      <c r="ACB33">
        <f>IF($C32=64,0,ACB32+IF(AND($G32=64,$E32=1),1,0))</f>
        <v/>
      </c>
      <c r="ACC33">
        <f>IF($C32=65,0,ACC32+IF(AND($G32=65,$E32=1),1,0))</f>
        <v/>
      </c>
      <c r="ACD33">
        <f>IF($C32=66,0,ACD32+IF(AND($G32=66,$E32=1),1,0))</f>
        <v/>
      </c>
      <c r="ACE33">
        <f>IF($C32=67,0,ACE32+IF(AND($G32=67,$E32=1),1,0))</f>
        <v/>
      </c>
      <c r="ACF33">
        <f>IF($C32=68,0,ACF32+IF(AND($G32=68,$E32=1),1,0))</f>
        <v/>
      </c>
      <c r="ACG33">
        <f>IF($C32=69,0,ACG32+IF(AND($G32=69,$E32=1),1,0))</f>
        <v/>
      </c>
      <c r="ACH33">
        <f>IF($C32=70,0,ACH32+IF(AND($G32=70,$E32=1),1,0))</f>
        <v/>
      </c>
      <c r="ACI33">
        <f>IF($C32=71,0,ACI32+IF(AND($G32=71,$E32=1),1,0))</f>
        <v/>
      </c>
      <c r="ACJ33">
        <f>IF($C32=72,0,ACJ32+IF(AND($G32=72,$E32=1),1,0))</f>
        <v/>
      </c>
      <c r="ACK33">
        <f>IF($C32=73,0,ACK32+IF(AND($G32=73,$E32=1),1,0))</f>
        <v/>
      </c>
      <c r="ACL33">
        <f>IF($C32=74,0,ACL32+IF(AND($G32=74,$E32=1),1,0))</f>
        <v/>
      </c>
      <c r="ACM33">
        <f>IF($C32=75,0,ACM32+IF(AND($G32=75,$E32=1),1,0))</f>
        <v/>
      </c>
      <c r="ACN33">
        <f>IF($C32=76,0,ACN32+IF(AND($G32=76,$E32=1),1,0))</f>
        <v/>
      </c>
      <c r="ACO33">
        <f>IF($C32=77,0,ACO32+IF(AND($G32=77,$E32=1),1,0))</f>
        <v/>
      </c>
      <c r="ACP33">
        <f>IF($C32=78,0,ACP32+IF(AND($G32=78,$E32=1),1,0))</f>
        <v/>
      </c>
      <c r="ACQ33">
        <f>IF($C32=79,0,ACQ32+IF(AND($G32=79,$E32=1),1,0))</f>
        <v/>
      </c>
      <c r="ACR33">
        <f>IF($C32=80,0,ACR32+IF(AND($G32=80,$E32=1),1,0))</f>
        <v/>
      </c>
      <c r="ACS33">
        <f>IF($C32=81,0,ACS32+IF(AND($G32=81,$E32=1),1,0))</f>
        <v/>
      </c>
      <c r="ACT33">
        <f>IF($C32=82,0,ACT32+IF(AND($G32=82,$E32=1),1,0))</f>
        <v/>
      </c>
      <c r="ACU33">
        <f>IF($C32=83,0,ACU32+IF(AND($G32=83,$E32=1),1,0))</f>
        <v/>
      </c>
      <c r="ACV33">
        <f>IF($C32=84,0,ACV32+IF(AND($G32=84,$E32=1),1,0))</f>
        <v/>
      </c>
      <c r="ACW33">
        <f>IF($C32=85,0,ACW32+IF(AND($G32=85,$E32=1),1,0))</f>
        <v/>
      </c>
      <c r="ACX33">
        <f>IF($C32=86,0,ACX32+IF(AND($G32=86,$E32=1),1,0))</f>
        <v/>
      </c>
      <c r="ACY33">
        <f>IF($C32=87,0,ACY32+IF(AND($G32=87,$E32=1),1,0))</f>
        <v/>
      </c>
      <c r="ACZ33">
        <f>IF($C32=88,0,ACZ32+IF(AND($G32=88,$E32=1),1,0))</f>
        <v/>
      </c>
      <c r="ADA33">
        <f>IF($C32=89,0,ADA32+IF(AND($G32=89,$E32=1),1,0))</f>
        <v/>
      </c>
      <c r="ADB33">
        <f>IF($C32=90,0,ADB32+IF(AND($G32=90,$E32=1),1,0))</f>
        <v/>
      </c>
      <c r="ADC33">
        <f>IF($C32=91,0,ADC32+IF(AND($G32=91,$E32=1),1,0))</f>
        <v/>
      </c>
      <c r="ADD33">
        <f>IF($C32=92,0,ADD32+IF(AND($G32=92,$E32=1),1,0))</f>
        <v/>
      </c>
      <c r="ADE33">
        <f>IF($C32=93,0,ADE32+IF(AND($G32=93,$E32=1),1,0))</f>
        <v/>
      </c>
      <c r="ADF33">
        <f>IF($C32=94,0,ADF32+IF(AND($G32=94,$E32=1),1,0))</f>
        <v/>
      </c>
      <c r="ADG33">
        <f>IF($C32=95,0,ADG32+IF(AND($G32=95,$E32=1),1,0))</f>
        <v/>
      </c>
      <c r="ADH33">
        <f>IF($C32=96,0,ADH32+IF(AND($G32=96,$E32=1),1,0))</f>
        <v/>
      </c>
      <c r="ADI33">
        <f>IF($C32=97,0,ADI32+IF(AND($G32=97,$E32=1),1,0))</f>
        <v/>
      </c>
      <c r="ADJ33">
        <f>IF($C32=98,0,ADJ32+IF(AND($G32=98,$E32=1),1,0))</f>
        <v/>
      </c>
      <c r="ADK33">
        <f>IF($C32=99,0,ADK32+IF(AND($G32=99,$E32=1),1,0))</f>
        <v/>
      </c>
      <c r="ADL33">
        <f>IF($C32=100,0,ADL32+IF(AND($G32=100,$E32=1),1,0))</f>
        <v/>
      </c>
      <c r="ADM33">
        <f>IF($C32=101,0,ADM32+IF(AND($G32=101,$E32=1),1,0))</f>
        <v/>
      </c>
      <c r="ADN33">
        <f>IF($C32=102,0,ADN32+IF(AND($G32=102,$E32=1),1,0))</f>
        <v/>
      </c>
      <c r="ADO33">
        <f>IF($C32=103,0,ADO32+IF(AND($G32=103,$E32=1),1,0))</f>
        <v/>
      </c>
      <c r="ADP33">
        <f>IF($C32=104,0,ADP32+IF(AND($G32=104,$E32=1),1,0))</f>
        <v/>
      </c>
      <c r="ADQ33">
        <f>IF($C32=105,0,ADQ32+IF(AND($G32=105,$E32=1),1,0))</f>
        <v/>
      </c>
      <c r="ADR33">
        <f>IF($C32=106,0,ADR32+IF(AND($G32=106,$E32=1),1,0))</f>
        <v/>
      </c>
      <c r="ADS33">
        <f>IF($C32=107,0,ADS32+IF(AND($G32=107,$E32=1),1,0))</f>
        <v/>
      </c>
      <c r="ADT33">
        <f>IF($C32=108,0,ADT32+IF(AND($G32=108,$E32=1),1,0))</f>
        <v/>
      </c>
      <c r="ADU33">
        <f>IF($C32=109,0,ADU32+IF(AND($G32=109,$E32=1),1,0))</f>
        <v/>
      </c>
      <c r="ADV33">
        <f>IF($C32=110,0,ADV32+IF(AND($G32=110,$E32=1),1,0))</f>
        <v/>
      </c>
      <c r="ADW33">
        <f>IF($C32=111,0,ADW32+IF(AND($G32=111,$E32=1),1,0))</f>
        <v/>
      </c>
      <c r="ADX33">
        <f>IF($C32=112,0,ADX32+IF(AND($G32=112,$E32=1),1,0))</f>
        <v/>
      </c>
      <c r="ADY33">
        <f>IF($C32=113,0,ADY32+IF(AND($G32=113,$E32=1),1,0))</f>
        <v/>
      </c>
      <c r="ADZ33">
        <f>IF($C32=114,0,ADZ32+IF(AND($G32=114,$E32=1),1,0))</f>
        <v/>
      </c>
      <c r="AEA33">
        <f>IF($C32=115,0,AEA32+IF(AND($G32=115,$E32=1),1,0))</f>
        <v/>
      </c>
      <c r="AEB33">
        <f>IF($C32=116,0,AEB32+IF(AND($G32=116,$E32=1),1,0))</f>
        <v/>
      </c>
      <c r="AEC33">
        <f>IF($C32=117,0,AEC32+IF(AND($G32=117,$E32=1),1,0))</f>
        <v/>
      </c>
      <c r="AED33">
        <f>IF($C32=118,0,AED32+IF(AND($G32=118,$E32=1),1,0))</f>
        <v/>
      </c>
      <c r="AEE33">
        <f>IF($C32=119,0,AEE32+IF(AND($G32=119,$E32=1),1,0))</f>
        <v/>
      </c>
      <c r="AEF33">
        <f>IF($C32=120,0,AEF32+IF(AND($G32=120,$E32=1),1,0))</f>
        <v/>
      </c>
      <c r="AEG33">
        <f>IF($C32=121,0,AEG32+IF(AND($G32=121,$E32=1),1,0))</f>
        <v/>
      </c>
      <c r="AEH33">
        <f>IF($C32=122,0,AEH32+IF(AND($G32=122,$E32=1),1,0))</f>
        <v/>
      </c>
      <c r="AEI33">
        <f>IF($C32=123,0,AEI32+IF(AND($G32=123,$E32=1),1,0))</f>
        <v/>
      </c>
      <c r="AEJ33">
        <f>IF($C32=124,0,AEJ32+IF(AND($G32=124,$E32=1),1,0))</f>
        <v/>
      </c>
      <c r="AEK33">
        <f>IF($C32=125,0,AEK32+IF(AND($G32=125,$E32=1),1,0))</f>
        <v/>
      </c>
      <c r="AEL33">
        <f>IF($C32=126,0,AEL32+IF(AND($G32=126,$E32=1),1,0))</f>
        <v/>
      </c>
      <c r="AEM33">
        <f>IF($C32=127,0,AEM32+IF(AND($G32=127,$E32=1),1,0))</f>
        <v/>
      </c>
      <c r="AEN33">
        <f>IF($C32=128,0,AEN32+IF(AND($G32=128,$E32=1),1,0))</f>
        <v/>
      </c>
      <c r="AEO33">
        <f>IF($C32=129,0,AEO32+IF(AND($G32=129,$E32=1),1,0))</f>
        <v/>
      </c>
      <c r="AEP33">
        <f>IF($C32=130,0,AEP32+IF(AND($G32=130,$E32=1),1,0))</f>
        <v/>
      </c>
      <c r="AEQ33">
        <f>IF($C32=131,0,AEQ32+IF(AND($G32=131,$E32=1),1,0))</f>
        <v/>
      </c>
      <c r="AER33">
        <f>IF($C32=132,0,AER32+IF(AND($G32=132,$E32=1),1,0))</f>
        <v/>
      </c>
      <c r="AES33">
        <f>IF($C32=133,0,AES32+IF(AND($G32=133,$E32=1),1,0))</f>
        <v/>
      </c>
      <c r="AET33">
        <f>IF($C32=134,0,AET32+IF(AND($G32=134,$E32=1),1,0))</f>
        <v/>
      </c>
      <c r="AEU33">
        <f>IF($C32=135,0,AEU32+IF(AND($G32=135,$E32=1),1,0))</f>
        <v/>
      </c>
      <c r="AEV33">
        <f>IF($C32=136,0,AEV32+IF(AND($G32=136,$E32=1),1,0))</f>
        <v/>
      </c>
      <c r="AEW33">
        <f>IF($C32=137,0,AEW32+IF(AND($G32=137,$E32=1),1,0))</f>
        <v/>
      </c>
      <c r="AEX33">
        <f>IF($C32=138,0,AEX32+IF(AND($G32=138,$E32=1),1,0))</f>
        <v/>
      </c>
      <c r="AEY33">
        <f>IF($C32=139,0,AEY32+IF(AND($G32=139,$E32=1),1,0))</f>
        <v/>
      </c>
      <c r="AEZ33">
        <f>IF($C32=140,0,AEZ32+IF(AND($G32=140,$E32=1),1,0))</f>
        <v/>
      </c>
      <c r="AFA33">
        <f>IF($C32=141,0,AFA32+IF(AND($G32=141,$E32=1),1,0))</f>
        <v/>
      </c>
      <c r="AFB33">
        <f>IF($C32=142,0,AFB32+IF(AND($G32=142,$E32=1),1,0))</f>
        <v/>
      </c>
      <c r="AFC33">
        <f>IF($C32=143,0,AFC32+IF(AND($G32=143,$E32=1),1,0))</f>
        <v/>
      </c>
      <c r="AFD33">
        <f>IF($C32=144,0,AFD32+IF(AND($G32=144,$E32=1),1,0))</f>
        <v/>
      </c>
      <c r="AFF33">
        <f>IF('calcA'!D$106=1,DC33+ZR33,1)</f>
        <v/>
      </c>
      <c r="AFG33">
        <f>IF('calcA'!E$106=1,DD33+ZS33,1)</f>
        <v/>
      </c>
      <c r="AFH33">
        <f>IF('calcA'!F$106=1,DE33+ZT33,1)</f>
        <v/>
      </c>
      <c r="AFI33">
        <f>IF('calcA'!G$106=1,DF33+ZU33,1)</f>
        <v/>
      </c>
      <c r="AFJ33">
        <f>IF('calcA'!H$106=1,DG33+ZV33,1)</f>
        <v/>
      </c>
      <c r="AFK33">
        <f>IF('calcA'!I$106=1,DH33+ZW33,1)</f>
        <v/>
      </c>
      <c r="AFL33">
        <f>IF('calcA'!J$106=1,DI33+ZX33,1)</f>
        <v/>
      </c>
      <c r="AFM33">
        <f>IF('calcA'!K$106=1,DJ33+ZY33,1)</f>
        <v/>
      </c>
      <c r="AFN33">
        <f>IF('calcA'!L$106=1,DK33+ZZ33,1)</f>
        <v/>
      </c>
      <c r="AFO33">
        <f>IF('calcA'!M$106=1,DL33+AAA33,1)</f>
        <v/>
      </c>
      <c r="AFP33">
        <f>IF('calcA'!N$106=1,DM33+AAB33,1)</f>
        <v/>
      </c>
      <c r="AFQ33">
        <f>IF('calcA'!O$106=1,DN33+AAC33,1)</f>
        <v/>
      </c>
      <c r="AFR33">
        <f>IF('calcA'!P$106=1,DO33+AAD33,1)</f>
        <v/>
      </c>
      <c r="AFS33">
        <f>IF('calcA'!Q$106=1,DP33+AAE33,1)</f>
        <v/>
      </c>
      <c r="AFT33">
        <f>IF('calcA'!R$106=1,DQ33+AAF33,1)</f>
        <v/>
      </c>
      <c r="AFU33">
        <f>IF('calcA'!S$106=1,DR33+AAG33,1)</f>
        <v/>
      </c>
      <c r="AFV33">
        <f>IF('calcA'!T$106=1,DS33+AAH33,1)</f>
        <v/>
      </c>
      <c r="AFW33">
        <f>IF('calcA'!U$106=1,DT33+AAI33,1)</f>
        <v/>
      </c>
      <c r="AFX33">
        <f>IF('calcA'!V$106=1,DU33+AAJ33,1)</f>
        <v/>
      </c>
      <c r="AFY33">
        <f>IF('calcA'!W$106=1,DV33+AAK33,1)</f>
        <v/>
      </c>
      <c r="AFZ33">
        <f>IF('calcA'!X$106=1,DW33+AAL33,1)</f>
        <v/>
      </c>
      <c r="AGA33">
        <f>IF('calcA'!Y$106=1,DX33+AAM33,1)</f>
        <v/>
      </c>
      <c r="AGB33">
        <f>IF('calcA'!Z$106=1,DY33+AAN33,1)</f>
        <v/>
      </c>
      <c r="AGC33">
        <f>IF('calcA'!AA$106=1,DZ33+AAO33,1)</f>
        <v/>
      </c>
      <c r="AGD33">
        <f>IF('calcA'!AB$106=1,EA33+AAP33,1)</f>
        <v/>
      </c>
      <c r="AGE33">
        <f>IF('calcA'!AC$106=1,EB33+AAQ33,1)</f>
        <v/>
      </c>
      <c r="AGF33">
        <f>IF('calcA'!AD$106=1,EC33+AAR33,1)</f>
        <v/>
      </c>
      <c r="AGG33">
        <f>IF('calcA'!AE$106=1,ED33+AAS33,1)</f>
        <v/>
      </c>
      <c r="AGH33">
        <f>IF('calcA'!AF$106=1,EE33+AAT33,1)</f>
        <v/>
      </c>
      <c r="AGI33">
        <f>IF('calcA'!AG$106=1,EF33+AAU33,1)</f>
        <v/>
      </c>
      <c r="AGJ33">
        <f>IF('calcA'!AH$106=1,EG33+AAV33,1)</f>
        <v/>
      </c>
      <c r="AGK33">
        <f>IF('calcA'!AI$106=1,EH33+AAW33,1)</f>
        <v/>
      </c>
      <c r="AGL33">
        <f>IF('calcA'!AJ$106=1,EI33+AAX33,1)</f>
        <v/>
      </c>
      <c r="AGM33">
        <f>IF('calcA'!AK$106=1,EJ33+AAY33,1)</f>
        <v/>
      </c>
      <c r="AGN33">
        <f>IF('calcA'!AL$106=1,EK33+AAZ33,1)</f>
        <v/>
      </c>
      <c r="AGO33">
        <f>IF('calcA'!AM$106=1,EL33+ABA33,1)</f>
        <v/>
      </c>
      <c r="AGP33">
        <f>IF('calcA'!AN$106=1,EM33+ABB33,1)</f>
        <v/>
      </c>
      <c r="AGQ33">
        <f>IF('calcA'!AO$106=1,EN33+ABC33,1)</f>
        <v/>
      </c>
      <c r="AGR33">
        <f>IF('calcA'!AP$106=1,EO33+ABD33,1)</f>
        <v/>
      </c>
      <c r="AGS33">
        <f>IF('calcA'!AQ$106=1,EP33+ABE33,1)</f>
        <v/>
      </c>
      <c r="AGT33">
        <f>IF('calcA'!AR$106=1,EQ33+ABF33,1)</f>
        <v/>
      </c>
      <c r="AGU33">
        <f>IF('calcA'!AS$106=1,ER33+ABG33,1)</f>
        <v/>
      </c>
      <c r="AGV33">
        <f>IF('calcA'!AT$106=1,ES33+ABH33,1)</f>
        <v/>
      </c>
      <c r="AGW33">
        <f>IF('calcA'!AU$106=1,ET33+ABI33,1)</f>
        <v/>
      </c>
      <c r="AGX33">
        <f>IF('calcA'!AV$106=1,EU33+ABJ33,1)</f>
        <v/>
      </c>
      <c r="AGY33">
        <f>IF('calcA'!AW$106=1,EV33+ABK33,1)</f>
        <v/>
      </c>
      <c r="AGZ33">
        <f>IF('calcA'!AX$106=1,EW33+ABL33,1)</f>
        <v/>
      </c>
      <c r="AHA33">
        <f>IF('calcA'!AY$106=1,EX33+ABM33,1)</f>
        <v/>
      </c>
      <c r="AHB33">
        <f>IF('calcA'!AZ$106=1,EY33+ABN33,1)</f>
        <v/>
      </c>
      <c r="AHC33">
        <f>IF('calcA'!BA$106=1,EZ33+ABO33,1)</f>
        <v/>
      </c>
      <c r="AHD33">
        <f>IF('calcA'!BB$106=1,FA33+ABP33,1)</f>
        <v/>
      </c>
      <c r="AHE33">
        <f>IF('calcA'!BC$106=1,FB33+ABQ33,1)</f>
        <v/>
      </c>
      <c r="AHF33">
        <f>IF('calcA'!BD$106=1,FC33+ABR33,1)</f>
        <v/>
      </c>
      <c r="AHG33">
        <f>IF('calcA'!BE$106=1,FD33+ABS33,1)</f>
        <v/>
      </c>
      <c r="AHH33">
        <f>IF('calcA'!BF$106=1,FE33+ABT33,1)</f>
        <v/>
      </c>
      <c r="AHI33">
        <f>IF('calcA'!BG$106=1,FF33+ABU33,1)</f>
        <v/>
      </c>
      <c r="AHJ33">
        <f>IF('calcA'!BH$106=1,FG33+ABV33,1)</f>
        <v/>
      </c>
      <c r="AHK33">
        <f>IF('calcA'!BI$106=1,FH33+ABW33,1)</f>
        <v/>
      </c>
      <c r="AHL33">
        <f>IF('calcA'!BJ$106=1,FI33+ABX33,1)</f>
        <v/>
      </c>
      <c r="AHM33">
        <f>IF('calcA'!BK$106=1,FJ33+ABY33,1)</f>
        <v/>
      </c>
      <c r="AHN33">
        <f>IF('calcA'!BL$106=1,FK33+ABZ33,1)</f>
        <v/>
      </c>
      <c r="AHO33">
        <f>IF('calcA'!BM$106=1,FL33+ACA33,1)</f>
        <v/>
      </c>
      <c r="AHP33">
        <f>IF('calcA'!BN$106=1,FM33+ACB33,1)</f>
        <v/>
      </c>
      <c r="AHQ33">
        <f>IF('calcA'!BO$106=1,FN33+ACC33,1)</f>
        <v/>
      </c>
      <c r="AHR33">
        <f>IF('calcA'!BP$106=1,FO33+ACD33,1)</f>
        <v/>
      </c>
      <c r="AHS33">
        <f>IF('calcA'!BQ$106=1,FP33+ACE33,1)</f>
        <v/>
      </c>
      <c r="AHT33">
        <f>IF('calcA'!BR$106=1,FQ33+ACF33,1)</f>
        <v/>
      </c>
      <c r="AHU33">
        <f>IF('calcA'!BS$106=1,FR33+ACG33,1)</f>
        <v/>
      </c>
      <c r="AHV33">
        <f>IF('calcA'!BT$106=1,FS33+ACH33,1)</f>
        <v/>
      </c>
      <c r="AHW33">
        <f>IF('calcA'!BU$106=1,FT33+ACI33,1)</f>
        <v/>
      </c>
      <c r="AHX33">
        <f>IF('calcA'!BV$106=1,FU33+ACJ33,1)</f>
        <v/>
      </c>
      <c r="AHY33">
        <f>IF('calcA'!BW$106=1,FV33+ACK33,1)</f>
        <v/>
      </c>
      <c r="AHZ33">
        <f>IF('calcA'!BX$106=1,FW33+ACL33,1)</f>
        <v/>
      </c>
      <c r="AIA33">
        <f>IF('calcA'!BY$106=1,FX33+ACM33,1)</f>
        <v/>
      </c>
      <c r="AIB33">
        <f>IF('calcA'!BZ$106=1,FY33+ACN33,1)</f>
        <v/>
      </c>
      <c r="AIC33">
        <f>IF('calcA'!CA$106=1,FZ33+ACO33,1)</f>
        <v/>
      </c>
      <c r="AID33">
        <f>IF('calcA'!CB$106=1,GA33+ACP33,1)</f>
        <v/>
      </c>
      <c r="AIE33">
        <f>IF('calcA'!CC$106=1,GB33+ACQ33,1)</f>
        <v/>
      </c>
      <c r="AIF33">
        <f>IF('calcA'!CD$106=1,GC33+ACR33,1)</f>
        <v/>
      </c>
      <c r="AIG33">
        <f>IF('calcA'!CE$106=1,GD33+ACS33,1)</f>
        <v/>
      </c>
      <c r="AIH33">
        <f>IF('calcA'!CF$106=1,GE33+ACT33,1)</f>
        <v/>
      </c>
      <c r="AII33">
        <f>IF('calcA'!CG$106=1,GF33+ACU33,1)</f>
        <v/>
      </c>
      <c r="AIJ33">
        <f>IF('calcA'!CH$106=1,GG33+ACV33,1)</f>
        <v/>
      </c>
      <c r="AIK33">
        <f>IF('calcA'!CI$106=1,GH33+ACW33,1)</f>
        <v/>
      </c>
      <c r="AIL33">
        <f>IF('calcA'!CJ$106=1,GI33+ACX33,1)</f>
        <v/>
      </c>
      <c r="AIM33">
        <f>IF('calcA'!CK$106=1,GJ33+ACY33,1)</f>
        <v/>
      </c>
      <c r="AIN33">
        <f>IF('calcA'!CL$106=1,GK33+ACZ33,1)</f>
        <v/>
      </c>
      <c r="AIO33">
        <f>IF('calcA'!CM$106=1,GL33+ADA33,1)</f>
        <v/>
      </c>
      <c r="AIP33">
        <f>IF('calcA'!CN$106=1,GM33+ADB33,1)</f>
        <v/>
      </c>
      <c r="AIQ33">
        <f>IF('calcA'!CO$106=1,GN33+ADC33,1)</f>
        <v/>
      </c>
      <c r="AIR33">
        <f>IF('calcA'!CP$106=1,GO33+ADD33,1)</f>
        <v/>
      </c>
      <c r="AIS33">
        <f>IF('calcA'!CQ$106=1,GP33+ADE33,1)</f>
        <v/>
      </c>
      <c r="AIT33">
        <f>IF('calcA'!CR$106=1,GQ33+ADF33,1)</f>
        <v/>
      </c>
      <c r="AIU33">
        <f>IF('calcA'!CS$106=1,GR33+ADG33,1)</f>
        <v/>
      </c>
      <c r="AIV33">
        <f>IF('calcA'!CT$106=1,GS33+ADH33,1)</f>
        <v/>
      </c>
      <c r="AIW33">
        <f>IF('calcA'!CU$106=1,GT33+ADI33,1)</f>
        <v/>
      </c>
      <c r="AIX33">
        <f>IF('calcA'!CV$106=1,GU33+ADJ33,1)</f>
        <v/>
      </c>
      <c r="AIY33">
        <f>IF('calcA'!CW$106=1,GV33+ADK33,1)</f>
        <v/>
      </c>
      <c r="AIZ33">
        <f>IF('calcA'!CX$106=1,GW33+ADL33,1)</f>
        <v/>
      </c>
      <c r="AJA33">
        <f>IF('calcA'!CY$106=1,GX33+ADM33,1)</f>
        <v/>
      </c>
      <c r="AJB33">
        <f>IF('calcA'!CZ$106=1,GY33+ADN33,1)</f>
        <v/>
      </c>
      <c r="AJC33">
        <f>IF('calcA'!DA$106=1,GZ33+ADO33,1)</f>
        <v/>
      </c>
      <c r="AJD33">
        <f>IF('calcA'!DB$106=1,HA33+ADP33,1)</f>
        <v/>
      </c>
      <c r="AJE33">
        <f>IF('calcA'!DC$106=1,HB33+ADQ33,1)</f>
        <v/>
      </c>
      <c r="AJF33">
        <f>IF('calcA'!DD$106=1,HC33+ADR33,1)</f>
        <v/>
      </c>
      <c r="AJG33">
        <f>IF('calcA'!DE$106=1,HD33+ADS33,1)</f>
        <v/>
      </c>
      <c r="AJH33">
        <f>IF('calcA'!DF$106=1,HE33+ADT33,1)</f>
        <v/>
      </c>
      <c r="AJI33">
        <f>IF('calcA'!DG$106=1,HF33+ADU33,1)</f>
        <v/>
      </c>
      <c r="AJJ33">
        <f>IF('calcA'!DH$106=1,HG33+ADV33,1)</f>
        <v/>
      </c>
      <c r="AJK33">
        <f>IF('calcA'!DI$106=1,HH33+ADW33,1)</f>
        <v/>
      </c>
      <c r="AJL33">
        <f>IF('calcA'!DJ$106=1,HI33+ADX33,1)</f>
        <v/>
      </c>
      <c r="AJM33">
        <f>IF('calcA'!DK$106=1,HJ33+ADY33,1)</f>
        <v/>
      </c>
      <c r="AJN33">
        <f>IF('calcA'!DL$106=1,HK33+ADZ33,1)</f>
        <v/>
      </c>
      <c r="AJO33">
        <f>IF('calcA'!DM$106=1,HL33+AEA33,1)</f>
        <v/>
      </c>
      <c r="AJP33">
        <f>IF('calcA'!DN$106=1,HM33+AEB33,1)</f>
        <v/>
      </c>
      <c r="AJQ33">
        <f>IF('calcA'!DO$106=1,HN33+AEC33,1)</f>
        <v/>
      </c>
      <c r="AJR33">
        <f>IF('calcA'!DP$106=1,HO33+AED33,1)</f>
        <v/>
      </c>
      <c r="AJS33">
        <f>IF('calcA'!DQ$106=1,HP33+AEE33,1)</f>
        <v/>
      </c>
      <c r="AJT33">
        <f>IF('calcA'!DR$106=1,HQ33+AEF33,1)</f>
        <v/>
      </c>
      <c r="AJU33">
        <f>IF('calcA'!DS$106=1,HR33+AEG33,1)</f>
        <v/>
      </c>
      <c r="AJV33">
        <f>IF('calcA'!DT$106=1,HS33+AEH33,1)</f>
        <v/>
      </c>
      <c r="AJW33">
        <f>IF('calcA'!DU$106=1,HT33+AEI33,1)</f>
        <v/>
      </c>
      <c r="AJX33">
        <f>IF('calcA'!DV$106=1,HU33+AEJ33,1)</f>
        <v/>
      </c>
      <c r="AJY33">
        <f>IF('calcA'!DW$106=1,HV33+AEK33,1)</f>
        <v/>
      </c>
      <c r="AJZ33">
        <f>IF('calcA'!DX$106=1,HW33+AEL33,1)</f>
        <v/>
      </c>
      <c r="AKA33">
        <f>IF('calcA'!DY$106=1,HX33+AEM33,1)</f>
        <v/>
      </c>
      <c r="AKB33">
        <f>IF('calcA'!DZ$106=1,HY33+AEN33,1)</f>
        <v/>
      </c>
      <c r="AKC33">
        <f>IF('calcA'!EA$106=1,HZ33+AEO33,1)</f>
        <v/>
      </c>
      <c r="AKD33">
        <f>IF('calcA'!EB$106=1,IA33+AEP33,1)</f>
        <v/>
      </c>
      <c r="AKE33">
        <f>IF('calcA'!EC$106=1,IB33+AEQ33,1)</f>
        <v/>
      </c>
      <c r="AKF33">
        <f>IF('calcA'!ED$106=1,IC33+AER33,1)</f>
        <v/>
      </c>
      <c r="AKG33">
        <f>IF('calcA'!EE$106=1,ID33+AES33,1)</f>
        <v/>
      </c>
      <c r="AKH33">
        <f>IF('calcA'!EF$106=1,IE33+AET33,1)</f>
        <v/>
      </c>
      <c r="AKI33">
        <f>IF('calcA'!EG$106=1,IF33+AEU33,1)</f>
        <v/>
      </c>
      <c r="AKJ33">
        <f>IF('calcA'!EH$106=1,IG33+AEV33,1)</f>
        <v/>
      </c>
      <c r="AKK33">
        <f>IF('calcA'!EI$106=1,IH33+AEW33,1)</f>
        <v/>
      </c>
      <c r="AKL33">
        <f>IF('calcA'!EJ$106=1,II33+AEX33,1)</f>
        <v/>
      </c>
      <c r="AKM33">
        <f>IF('calcA'!EK$106=1,IJ33+AEY33,1)</f>
        <v/>
      </c>
      <c r="AKN33">
        <f>IF('calcA'!EL$106=1,IK33+AEZ33,1)</f>
        <v/>
      </c>
      <c r="AKO33">
        <f>IF('calcA'!EM$106=1,IL33+AFA33,1)</f>
        <v/>
      </c>
      <c r="AKP33">
        <f>IF('calcA'!EN$106=1,IM33+AFB33,1)</f>
        <v/>
      </c>
      <c r="AKQ33">
        <f>IF('calcA'!EO$106=1,IN33+AFC33,1)</f>
        <v/>
      </c>
      <c r="AKR33">
        <f>IF('calcA'!EP$106=1,IO33+AFD33,1)</f>
        <v/>
      </c>
      <c r="AKS33" t="n">
        <v>1</v>
      </c>
    </row>
    <row r="34">
      <c r="A34" t="n">
        <v>32</v>
      </c>
      <c r="B34">
        <f>IF(MIN(BM34:CZ34)&gt;=1000000000,0,MATCH(MIN(BM34:CZ34),BM34:CZ34,0))</f>
        <v/>
      </c>
      <c r="C34">
        <f>IF(MIN(OF34:TS34)&gt;=1000000000,0,MATCH(MIN(OF34:TS34),OF34:TS34,0))</f>
        <v/>
      </c>
      <c r="D34">
        <f>IF(C34&gt;0,INDEX('calcA'!$D$5:$EQ$5,C34),0)</f>
        <v/>
      </c>
      <c r="E34">
        <f>IF(B34=0,0,INDEX('calcA'!$IQ$10:$IQ$54,B34))</f>
        <v/>
      </c>
      <c r="F34">
        <f>IF(B34=0,0,INDEX('calcA'!$IP$10:$IP$54,B34))</f>
        <v/>
      </c>
      <c r="G34">
        <f>IF(AND(C34&gt;0,E34&gt;0),IF(AND(INDEX('calcA'!$D$106:$EQ$106,C34)=1,INDEX($IQ34:$OD34,C34)=1),C34+1,0),0)</f>
        <v/>
      </c>
      <c r="H34">
        <f>IF(B34=0,0,INDEX('calcA'!$IW$10:$IW$54,B34))</f>
        <v/>
      </c>
      <c r="U34">
        <f>IF(B34=0,0,INDEX('calcA'!$IX$10:$IX$54,B34))</f>
        <v/>
      </c>
      <c r="V34">
        <f>IF(B34=0,0,INDEX('calcA'!$JF$10:$JF$54,B34))</f>
        <v/>
      </c>
      <c r="W34">
        <f>IF(B34=0,0,IF(IF(E34=2,SUMPRODUCT(INDEX('calcA'!$D$60:$EQ$99,B34,0),$DB34:$IO34,$IQ34:$OD34),SUMPRODUCT(INDEX('calcA'!$D$60:$EQ$99,B34,0),$DB34:$IO34))=0,1,0))</f>
        <v/>
      </c>
      <c r="X34">
        <f>MAX(X33,IF($B33=1,1,0))</f>
        <v/>
      </c>
      <c r="Y34">
        <f>MAX(Y33,IF($B33=2,1,0))</f>
        <v/>
      </c>
      <c r="Z34">
        <f>MAX(Z33,IF($B33=3,1,0))</f>
        <v/>
      </c>
      <c r="AA34">
        <f>MAX(AA33,IF($B33=4,1,0))</f>
        <v/>
      </c>
      <c r="AB34">
        <f>MAX(AB33,IF($B33=5,1,0))</f>
        <v/>
      </c>
      <c r="AC34">
        <f>MAX(AC33,IF($B33=6,1,0))</f>
        <v/>
      </c>
      <c r="AD34">
        <f>MAX(AD33,IF($B33=7,1,0))</f>
        <v/>
      </c>
      <c r="AE34">
        <f>MAX(AE33,IF($B33=8,1,0))</f>
        <v/>
      </c>
      <c r="AF34">
        <f>MAX(AF33,IF($B33=9,1,0))</f>
        <v/>
      </c>
      <c r="AG34">
        <f>MAX(AG33,IF($B33=10,1,0))</f>
        <v/>
      </c>
      <c r="AH34">
        <f>MAX(AH33,IF($B33=11,1,0))</f>
        <v/>
      </c>
      <c r="AI34">
        <f>MAX(AI33,IF($B33=12,1,0))</f>
        <v/>
      </c>
      <c r="AJ34">
        <f>MAX(AJ33,IF($B33=13,1,0))</f>
        <v/>
      </c>
      <c r="AK34">
        <f>MAX(AK33,IF($B33=14,1,0))</f>
        <v/>
      </c>
      <c r="AL34">
        <f>MAX(AL33,IF($B33=15,1,0))</f>
        <v/>
      </c>
      <c r="AM34">
        <f>MAX(AM33,IF($B33=16,1,0))</f>
        <v/>
      </c>
      <c r="AN34">
        <f>MAX(AN33,IF($B33=17,1,0))</f>
        <v/>
      </c>
      <c r="AO34">
        <f>MAX(AO33,IF($B33=18,1,0))</f>
        <v/>
      </c>
      <c r="AP34">
        <f>MAX(AP33,IF($B33=19,1,0))</f>
        <v/>
      </c>
      <c r="AQ34">
        <f>MAX(AQ33,IF($B33=20,1,0))</f>
        <v/>
      </c>
      <c r="AR34">
        <f>MAX(AR33,IF($B33=21,1,0))</f>
        <v/>
      </c>
      <c r="AS34">
        <f>MAX(AS33,IF($B33=22,1,0))</f>
        <v/>
      </c>
      <c r="AT34">
        <f>MAX(AT33,IF($B33=23,1,0))</f>
        <v/>
      </c>
      <c r="AU34">
        <f>MAX(AU33,IF($B33=24,1,0))</f>
        <v/>
      </c>
      <c r="AV34">
        <f>MAX(AV33,IF($B33=25,1,0))</f>
        <v/>
      </c>
      <c r="AW34">
        <f>MAX(AW33,IF($B33=26,1,0))</f>
        <v/>
      </c>
      <c r="AX34">
        <f>MAX(AX33,IF($B33=27,1,0))</f>
        <v/>
      </c>
      <c r="AY34">
        <f>MAX(AY33,IF($B33=28,1,0))</f>
        <v/>
      </c>
      <c r="AZ34">
        <f>MAX(AZ33,IF($B33=29,1,0))</f>
        <v/>
      </c>
      <c r="BA34">
        <f>MAX(BA33,IF($B33=30,1,0))</f>
        <v/>
      </c>
      <c r="BB34">
        <f>MAX(BB33,IF($B33=31,1,0))</f>
        <v/>
      </c>
      <c r="BC34">
        <f>MAX(BC33,IF($B33=32,1,0))</f>
        <v/>
      </c>
      <c r="BD34">
        <f>MAX(BD33,IF($B33=33,1,0))</f>
        <v/>
      </c>
      <c r="BE34">
        <f>MAX(BE33,IF($B33=34,1,0))</f>
        <v/>
      </c>
      <c r="BF34">
        <f>MAX(BF33,IF($B33=35,1,0))</f>
        <v/>
      </c>
      <c r="BG34">
        <f>MAX(BG33,IF($B33=36,1,0))</f>
        <v/>
      </c>
      <c r="BH34">
        <f>MAX(BH33,IF($B33=37,1,0))</f>
        <v/>
      </c>
      <c r="BI34">
        <f>MAX(BI33,IF($B33=38,1,0))</f>
        <v/>
      </c>
      <c r="BJ34">
        <f>MAX(BJ33,IF($B33=39,1,0))</f>
        <v/>
      </c>
      <c r="BK34">
        <f>MAX(BK33,IF($B33=40,1,0))</f>
        <v/>
      </c>
      <c r="BM34">
        <f>IF(OR(X34=1,calcA!$A$6=0),1000000000,IF('calcA'!$JF$10=1,0,100000000)+IF('calcA'!$IQ$10=2,SUMPRODUCT('calcA'!$D$60:$EQ$60,$DB34:$IO34,$IQ34:$OD34)*1000+SUMPRODUCT('calcA'!$D$60:$EQ$60,$DB34:$IO34+$ZQ34:$AFD34,$AFF34:$AKS34),SUMPRODUCT('calcA'!$D$60:$EQ$60,$DB34:$IO34*1001+$ZQ34:$AFD34))*100+1)</f>
        <v/>
      </c>
      <c r="BN34">
        <f>IF(OR(Y34=1,calcA!$A$6=0),1000000000,IF('calcA'!$JF$11=1,0,100000000)+IF('calcA'!$IQ$11=2,SUMPRODUCT('calcA'!$D$61:$EQ$61,$DB34:$IO34,$IQ34:$OD34)*1000+SUMPRODUCT('calcA'!$D$61:$EQ$61,$DB34:$IO34+$ZQ34:$AFD34,$AFF34:$AKS34),SUMPRODUCT('calcA'!$D$61:$EQ$61,$DB34:$IO34*1001+$ZQ34:$AFD34))*100+2)</f>
        <v/>
      </c>
      <c r="BO34">
        <f>IF(OR(Z34=1,calcA!$A$6=0),1000000000,IF('calcA'!$JF$12=1,0,100000000)+IF('calcA'!$IQ$12=2,SUMPRODUCT('calcA'!$D$62:$EQ$62,$DB34:$IO34,$IQ34:$OD34)*1000+SUMPRODUCT('calcA'!$D$62:$EQ$62,$DB34:$IO34+$ZQ34:$AFD34,$AFF34:$AKS34),SUMPRODUCT('calcA'!$D$62:$EQ$62,$DB34:$IO34*1001+$ZQ34:$AFD34))*100+3)</f>
        <v/>
      </c>
      <c r="BP34">
        <f>IF(OR(AA34=1,calcA!$A$6=0),1000000000,IF('calcA'!$JF$13=1,0,100000000)+IF('calcA'!$IQ$13=2,SUMPRODUCT('calcA'!$D$63:$EQ$63,$DB34:$IO34,$IQ34:$OD34)*1000+SUMPRODUCT('calcA'!$D$63:$EQ$63,$DB34:$IO34+$ZQ34:$AFD34,$AFF34:$AKS34),SUMPRODUCT('calcA'!$D$63:$EQ$63,$DB34:$IO34*1001+$ZQ34:$AFD34))*100+4)</f>
        <v/>
      </c>
      <c r="BQ34">
        <f>IF(OR(AB34=1,calcA!$A$6=0),1000000000,IF('calcA'!$JF$14=1,0,100000000)+IF('calcA'!$IQ$14=2,SUMPRODUCT('calcA'!$D$64:$EQ$64,$DB34:$IO34,$IQ34:$OD34)*1000+SUMPRODUCT('calcA'!$D$64:$EQ$64,$DB34:$IO34+$ZQ34:$AFD34,$AFF34:$AKS34),SUMPRODUCT('calcA'!$D$64:$EQ$64,$DB34:$IO34*1001+$ZQ34:$AFD34))*100+5)</f>
        <v/>
      </c>
      <c r="BR34">
        <f>IF(OR(AC34=1,calcA!$A$6=0),1000000000,IF('calcA'!$JF$15=1,0,100000000)+IF('calcA'!$IQ$15=2,SUMPRODUCT('calcA'!$D$65:$EQ$65,$DB34:$IO34,$IQ34:$OD34)*1000+SUMPRODUCT('calcA'!$D$65:$EQ$65,$DB34:$IO34+$ZQ34:$AFD34,$AFF34:$AKS34),SUMPRODUCT('calcA'!$D$65:$EQ$65,$DB34:$IO34*1001+$ZQ34:$AFD34))*100+6)</f>
        <v/>
      </c>
      <c r="BS34">
        <f>IF(OR(AD34=1,calcA!$A$6=0),1000000000,IF('calcA'!$JF$16=1,0,100000000)+IF('calcA'!$IQ$16=2,SUMPRODUCT('calcA'!$D$66:$EQ$66,$DB34:$IO34,$IQ34:$OD34)*1000+SUMPRODUCT('calcA'!$D$66:$EQ$66,$DB34:$IO34+$ZQ34:$AFD34,$AFF34:$AKS34),SUMPRODUCT('calcA'!$D$66:$EQ$66,$DB34:$IO34*1001+$ZQ34:$AFD34))*100+7)</f>
        <v/>
      </c>
      <c r="BT34">
        <f>IF(OR(AE34=1,calcA!$A$6=0),1000000000,IF('calcA'!$JF$17=1,0,100000000)+IF('calcA'!$IQ$17=2,SUMPRODUCT('calcA'!$D$67:$EQ$67,$DB34:$IO34,$IQ34:$OD34)*1000+SUMPRODUCT('calcA'!$D$67:$EQ$67,$DB34:$IO34+$ZQ34:$AFD34,$AFF34:$AKS34),SUMPRODUCT('calcA'!$D$67:$EQ$67,$DB34:$IO34*1001+$ZQ34:$AFD34))*100+8)</f>
        <v/>
      </c>
      <c r="BU34">
        <f>IF(OR(AF34=1,calcA!$A$6=0),1000000000,IF('calcA'!$JF$18=1,0,100000000)+IF('calcA'!$IQ$18=2,SUMPRODUCT('calcA'!$D$68:$EQ$68,$DB34:$IO34,$IQ34:$OD34)*1000+SUMPRODUCT('calcA'!$D$68:$EQ$68,$DB34:$IO34+$ZQ34:$AFD34,$AFF34:$AKS34),SUMPRODUCT('calcA'!$D$68:$EQ$68,$DB34:$IO34*1001+$ZQ34:$AFD34))*100+9)</f>
        <v/>
      </c>
      <c r="BV34">
        <f>IF(OR(AG34=1,calcA!$A$6=0),1000000000,IF('calcA'!$JF$19=1,0,100000000)+IF('calcA'!$IQ$19=2,SUMPRODUCT('calcA'!$D$69:$EQ$69,$DB34:$IO34,$IQ34:$OD34)*1000+SUMPRODUCT('calcA'!$D$69:$EQ$69,$DB34:$IO34+$ZQ34:$AFD34,$AFF34:$AKS34),SUMPRODUCT('calcA'!$D$69:$EQ$69,$DB34:$IO34*1001+$ZQ34:$AFD34))*100+10)</f>
        <v/>
      </c>
      <c r="BW34">
        <f>IF(OR(AH34=1,calcA!$A$6=0),1000000000,IF('calcA'!$JF$20=1,0,100000000)+IF('calcA'!$IQ$20=2,SUMPRODUCT('calcA'!$D$70:$EQ$70,$DB34:$IO34,$IQ34:$OD34)*1000+SUMPRODUCT('calcA'!$D$70:$EQ$70,$DB34:$IO34+$ZQ34:$AFD34,$AFF34:$AKS34),SUMPRODUCT('calcA'!$D$70:$EQ$70,$DB34:$IO34*1001+$ZQ34:$AFD34))*100+11)</f>
        <v/>
      </c>
      <c r="BX34">
        <f>IF(OR(AI34=1,calcA!$A$6=0),1000000000,IF('calcA'!$JF$21=1,0,100000000)+IF('calcA'!$IQ$21=2,SUMPRODUCT('calcA'!$D$71:$EQ$71,$DB34:$IO34,$IQ34:$OD34)*1000+SUMPRODUCT('calcA'!$D$71:$EQ$71,$DB34:$IO34+$ZQ34:$AFD34,$AFF34:$AKS34),SUMPRODUCT('calcA'!$D$71:$EQ$71,$DB34:$IO34*1001+$ZQ34:$AFD34))*100+12)</f>
        <v/>
      </c>
      <c r="BY34">
        <f>IF(OR(AJ34=1,calcA!$A$6=0),1000000000,IF('calcA'!$JF$22=1,0,100000000)+IF('calcA'!$IQ$22=2,SUMPRODUCT('calcA'!$D$72:$EQ$72,$DB34:$IO34,$IQ34:$OD34)*1000+SUMPRODUCT('calcA'!$D$72:$EQ$72,$DB34:$IO34+$ZQ34:$AFD34,$AFF34:$AKS34),SUMPRODUCT('calcA'!$D$72:$EQ$72,$DB34:$IO34*1001+$ZQ34:$AFD34))*100+13)</f>
        <v/>
      </c>
      <c r="BZ34">
        <f>IF(OR(AK34=1,calcA!$A$6=0),1000000000,IF('calcA'!$JF$23=1,0,100000000)+IF('calcA'!$IQ$23=2,SUMPRODUCT('calcA'!$D$73:$EQ$73,$DB34:$IO34,$IQ34:$OD34)*1000+SUMPRODUCT('calcA'!$D$73:$EQ$73,$DB34:$IO34+$ZQ34:$AFD34,$AFF34:$AKS34),SUMPRODUCT('calcA'!$D$73:$EQ$73,$DB34:$IO34*1001+$ZQ34:$AFD34))*100+14)</f>
        <v/>
      </c>
      <c r="CA34">
        <f>IF(OR(AL34=1,calcA!$A$6=0),1000000000,IF('calcA'!$JF$24=1,0,100000000)+IF('calcA'!$IQ$24=2,SUMPRODUCT('calcA'!$D$74:$EQ$74,$DB34:$IO34,$IQ34:$OD34)*1000+SUMPRODUCT('calcA'!$D$74:$EQ$74,$DB34:$IO34+$ZQ34:$AFD34,$AFF34:$AKS34),SUMPRODUCT('calcA'!$D$74:$EQ$74,$DB34:$IO34*1001+$ZQ34:$AFD34))*100+15)</f>
        <v/>
      </c>
      <c r="CB34">
        <f>IF(OR(AM34=1,calcA!$A$6=0),1000000000,IF('calcA'!$JF$25=1,0,100000000)+IF('calcA'!$IQ$25=2,SUMPRODUCT('calcA'!$D$75:$EQ$75,$DB34:$IO34,$IQ34:$OD34)*1000+SUMPRODUCT('calcA'!$D$75:$EQ$75,$DB34:$IO34+$ZQ34:$AFD34,$AFF34:$AKS34),SUMPRODUCT('calcA'!$D$75:$EQ$75,$DB34:$IO34*1001+$ZQ34:$AFD34))*100+16)</f>
        <v/>
      </c>
      <c r="CC34">
        <f>IF(OR(AN34=1,calcA!$A$6=0),1000000000,IF('calcA'!$JF$26=1,0,100000000)+IF('calcA'!$IQ$26=2,SUMPRODUCT('calcA'!$D$76:$EQ$76,$DB34:$IO34,$IQ34:$OD34)*1000+SUMPRODUCT('calcA'!$D$76:$EQ$76,$DB34:$IO34+$ZQ34:$AFD34,$AFF34:$AKS34),SUMPRODUCT('calcA'!$D$76:$EQ$76,$DB34:$IO34*1001+$ZQ34:$AFD34))*100+17)</f>
        <v/>
      </c>
      <c r="CD34">
        <f>IF(OR(AO34=1,calcA!$A$6=0),1000000000,IF('calcA'!$JF$27=1,0,100000000)+IF('calcA'!$IQ$27=2,SUMPRODUCT('calcA'!$D$77:$EQ$77,$DB34:$IO34,$IQ34:$OD34)*1000+SUMPRODUCT('calcA'!$D$77:$EQ$77,$DB34:$IO34+$ZQ34:$AFD34,$AFF34:$AKS34),SUMPRODUCT('calcA'!$D$77:$EQ$77,$DB34:$IO34*1001+$ZQ34:$AFD34))*100+18)</f>
        <v/>
      </c>
      <c r="CE34">
        <f>IF(OR(AP34=1,calcA!$A$6=0),1000000000,IF('calcA'!$JF$28=1,0,100000000)+IF('calcA'!$IQ$28=2,SUMPRODUCT('calcA'!$D$78:$EQ$78,$DB34:$IO34,$IQ34:$OD34)*1000+SUMPRODUCT('calcA'!$D$78:$EQ$78,$DB34:$IO34+$ZQ34:$AFD34,$AFF34:$AKS34),SUMPRODUCT('calcA'!$D$78:$EQ$78,$DB34:$IO34*1001+$ZQ34:$AFD34))*100+19)</f>
        <v/>
      </c>
      <c r="CF34">
        <f>IF(OR(AQ34=1,calcA!$A$6=0),1000000000,IF('calcA'!$JF$29=1,0,100000000)+IF('calcA'!$IQ$29=2,SUMPRODUCT('calcA'!$D$79:$EQ$79,$DB34:$IO34,$IQ34:$OD34)*1000+SUMPRODUCT('calcA'!$D$79:$EQ$79,$DB34:$IO34+$ZQ34:$AFD34,$AFF34:$AKS34),SUMPRODUCT('calcA'!$D$79:$EQ$79,$DB34:$IO34*1001+$ZQ34:$AFD34))*100+20)</f>
        <v/>
      </c>
      <c r="CG34">
        <f>IF(OR(AR34=1,calcA!$A$6=0),1000000000,IF('calcA'!$JF$30=1,0,100000000)+IF('calcA'!$IQ$30=2,SUMPRODUCT('calcA'!$D$80:$EQ$80,$DB34:$IO34,$IQ34:$OD34)*1000+SUMPRODUCT('calcA'!$D$80:$EQ$80,$DB34:$IO34+$ZQ34:$AFD34,$AFF34:$AKS34),SUMPRODUCT('calcA'!$D$80:$EQ$80,$DB34:$IO34*1001+$ZQ34:$AFD34))*100+21)</f>
        <v/>
      </c>
      <c r="CH34">
        <f>IF(OR(AS34=1,calcA!$A$6=0),1000000000,IF('calcA'!$JF$31=1,0,100000000)+IF('calcA'!$IQ$31=2,SUMPRODUCT('calcA'!$D$81:$EQ$81,$DB34:$IO34,$IQ34:$OD34)*1000+SUMPRODUCT('calcA'!$D$81:$EQ$81,$DB34:$IO34+$ZQ34:$AFD34,$AFF34:$AKS34),SUMPRODUCT('calcA'!$D$81:$EQ$81,$DB34:$IO34*1001+$ZQ34:$AFD34))*100+22)</f>
        <v/>
      </c>
      <c r="CI34">
        <f>IF(OR(AT34=1,calcA!$A$6=0),1000000000,IF('calcA'!$JF$32=1,0,100000000)+IF('calcA'!$IQ$32=2,SUMPRODUCT('calcA'!$D$82:$EQ$82,$DB34:$IO34,$IQ34:$OD34)*1000+SUMPRODUCT('calcA'!$D$82:$EQ$82,$DB34:$IO34+$ZQ34:$AFD34,$AFF34:$AKS34),SUMPRODUCT('calcA'!$D$82:$EQ$82,$DB34:$IO34*1001+$ZQ34:$AFD34))*100+23)</f>
        <v/>
      </c>
      <c r="CJ34">
        <f>IF(OR(AU34=1,calcA!$A$6=0),1000000000,IF('calcA'!$JF$33=1,0,100000000)+IF('calcA'!$IQ$33=2,SUMPRODUCT('calcA'!$D$83:$EQ$83,$DB34:$IO34,$IQ34:$OD34)*1000+SUMPRODUCT('calcA'!$D$83:$EQ$83,$DB34:$IO34+$ZQ34:$AFD34,$AFF34:$AKS34),SUMPRODUCT('calcA'!$D$83:$EQ$83,$DB34:$IO34*1001+$ZQ34:$AFD34))*100+24)</f>
        <v/>
      </c>
      <c r="CK34">
        <f>IF(OR(AV34=1,calcA!$A$6=0),1000000000,IF('calcA'!$JF$34=1,0,100000000)+IF('calcA'!$IQ$34=2,SUMPRODUCT('calcA'!$D$84:$EQ$84,$DB34:$IO34,$IQ34:$OD34)*1000+SUMPRODUCT('calcA'!$D$84:$EQ$84,$DB34:$IO34+$ZQ34:$AFD34,$AFF34:$AKS34),SUMPRODUCT('calcA'!$D$84:$EQ$84,$DB34:$IO34*1001+$ZQ34:$AFD34))*100+25)</f>
        <v/>
      </c>
      <c r="CL34">
        <f>IF(OR(AW34=1,calcA!$A$6=0),1000000000,IF('calcA'!$JF$35=1,0,100000000)+IF('calcA'!$IQ$35=2,SUMPRODUCT('calcA'!$D$85:$EQ$85,$DB34:$IO34,$IQ34:$OD34)*1000+SUMPRODUCT('calcA'!$D$85:$EQ$85,$DB34:$IO34+$ZQ34:$AFD34,$AFF34:$AKS34),SUMPRODUCT('calcA'!$D$85:$EQ$85,$DB34:$IO34*1001+$ZQ34:$AFD34))*100+26)</f>
        <v/>
      </c>
      <c r="CM34">
        <f>IF(OR(AX34=1,calcA!$A$6=0),1000000000,IF('calcA'!$JF$36=1,0,100000000)+IF('calcA'!$IQ$36=2,SUMPRODUCT('calcA'!$D$86:$EQ$86,$DB34:$IO34,$IQ34:$OD34)*1000+SUMPRODUCT('calcA'!$D$86:$EQ$86,$DB34:$IO34+$ZQ34:$AFD34,$AFF34:$AKS34),SUMPRODUCT('calcA'!$D$86:$EQ$86,$DB34:$IO34*1001+$ZQ34:$AFD34))*100+27)</f>
        <v/>
      </c>
      <c r="CN34">
        <f>IF(OR(AY34=1,calcA!$A$6=0),1000000000,IF('calcA'!$JF$37=1,0,100000000)+IF('calcA'!$IQ$37=2,SUMPRODUCT('calcA'!$D$87:$EQ$87,$DB34:$IO34,$IQ34:$OD34)*1000+SUMPRODUCT('calcA'!$D$87:$EQ$87,$DB34:$IO34+$ZQ34:$AFD34,$AFF34:$AKS34),SUMPRODUCT('calcA'!$D$87:$EQ$87,$DB34:$IO34*1001+$ZQ34:$AFD34))*100+28)</f>
        <v/>
      </c>
      <c r="CO34">
        <f>IF(OR(AZ34=1,calcA!$A$6=0),1000000000,IF('calcA'!$JF$38=1,0,100000000)+IF('calcA'!$IQ$38=2,SUMPRODUCT('calcA'!$D$88:$EQ$88,$DB34:$IO34,$IQ34:$OD34)*1000+SUMPRODUCT('calcA'!$D$88:$EQ$88,$DB34:$IO34+$ZQ34:$AFD34,$AFF34:$AKS34),SUMPRODUCT('calcA'!$D$88:$EQ$88,$DB34:$IO34*1001+$ZQ34:$AFD34))*100+29)</f>
        <v/>
      </c>
      <c r="CP34">
        <f>IF(OR(BA34=1,calcA!$A$6=0),1000000000,IF('calcA'!$JF$39=1,0,100000000)+IF('calcA'!$IQ$39=2,SUMPRODUCT('calcA'!$D$89:$EQ$89,$DB34:$IO34,$IQ34:$OD34)*1000+SUMPRODUCT('calcA'!$D$89:$EQ$89,$DB34:$IO34+$ZQ34:$AFD34,$AFF34:$AKS34),SUMPRODUCT('calcA'!$D$89:$EQ$89,$DB34:$IO34*1001+$ZQ34:$AFD34))*100+30)</f>
        <v/>
      </c>
      <c r="CQ34">
        <f>IF(OR(BB34=1,calcA!$A$6=0),1000000000,IF('calcA'!$JF$40=1,0,100000000)+IF('calcA'!$IQ$40=2,SUMPRODUCT('calcA'!$D$90:$EQ$90,$DB34:$IO34,$IQ34:$OD34)*1000+SUMPRODUCT('calcA'!$D$90:$EQ$90,$DB34:$IO34+$ZQ34:$AFD34,$AFF34:$AKS34),SUMPRODUCT('calcA'!$D$90:$EQ$90,$DB34:$IO34*1001+$ZQ34:$AFD34))*100+31)</f>
        <v/>
      </c>
      <c r="CR34">
        <f>IF(OR(BC34=1,calcA!$A$6=0),1000000000,IF('calcA'!$JF$41=1,0,100000000)+IF('calcA'!$IQ$41=2,SUMPRODUCT('calcA'!$D$91:$EQ$91,$DB34:$IO34,$IQ34:$OD34)*1000+SUMPRODUCT('calcA'!$D$91:$EQ$91,$DB34:$IO34+$ZQ34:$AFD34,$AFF34:$AKS34),SUMPRODUCT('calcA'!$D$91:$EQ$91,$DB34:$IO34*1001+$ZQ34:$AFD34))*100+32)</f>
        <v/>
      </c>
      <c r="CS34">
        <f>IF(OR(BD34=1,calcA!$A$6=0),1000000000,IF('calcA'!$JF$42=1,0,100000000)+IF('calcA'!$IQ$42=2,SUMPRODUCT('calcA'!$D$92:$EQ$92,$DB34:$IO34,$IQ34:$OD34)*1000+SUMPRODUCT('calcA'!$D$92:$EQ$92,$DB34:$IO34+$ZQ34:$AFD34,$AFF34:$AKS34),SUMPRODUCT('calcA'!$D$92:$EQ$92,$DB34:$IO34*1001+$ZQ34:$AFD34))*100+33)</f>
        <v/>
      </c>
      <c r="CT34">
        <f>IF(OR(BE34=1,calcA!$A$6=0),1000000000,IF('calcA'!$JF$43=1,0,100000000)+IF('calcA'!$IQ$43=2,SUMPRODUCT('calcA'!$D$93:$EQ$93,$DB34:$IO34,$IQ34:$OD34)*1000+SUMPRODUCT('calcA'!$D$93:$EQ$93,$DB34:$IO34+$ZQ34:$AFD34,$AFF34:$AKS34),SUMPRODUCT('calcA'!$D$93:$EQ$93,$DB34:$IO34*1001+$ZQ34:$AFD34))*100+34)</f>
        <v/>
      </c>
      <c r="CU34">
        <f>IF(OR(BF34=1,calcA!$A$6=0),1000000000,IF('calcA'!$JF$44=1,0,100000000)+IF('calcA'!$IQ$44=2,SUMPRODUCT('calcA'!$D$94:$EQ$94,$DB34:$IO34,$IQ34:$OD34)*1000+SUMPRODUCT('calcA'!$D$94:$EQ$94,$DB34:$IO34+$ZQ34:$AFD34,$AFF34:$AKS34),SUMPRODUCT('calcA'!$D$94:$EQ$94,$DB34:$IO34*1001+$ZQ34:$AFD34))*100+35)</f>
        <v/>
      </c>
      <c r="CV34">
        <f>IF(OR(BG34=1,calcA!$A$6=0),1000000000,IF('calcA'!$JF$45=1,0,100000000)+IF('calcA'!$IQ$45=2,SUMPRODUCT('calcA'!$D$95:$EQ$95,$DB34:$IO34,$IQ34:$OD34)*1000+SUMPRODUCT('calcA'!$D$95:$EQ$95,$DB34:$IO34+$ZQ34:$AFD34,$AFF34:$AKS34),SUMPRODUCT('calcA'!$D$95:$EQ$95,$DB34:$IO34*1001+$ZQ34:$AFD34))*100+36)</f>
        <v/>
      </c>
      <c r="CW34">
        <f>IF(OR(BH34=1,calcA!$A$6=0),1000000000,IF('calcA'!$JF$46=1,0,100000000)+IF('calcA'!$IQ$46=2,SUMPRODUCT('calcA'!$D$96:$EQ$96,$DB34:$IO34,$IQ34:$OD34)*1000+SUMPRODUCT('calcA'!$D$96:$EQ$96,$DB34:$IO34+$ZQ34:$AFD34,$AFF34:$AKS34),SUMPRODUCT('calcA'!$D$96:$EQ$96,$DB34:$IO34*1001+$ZQ34:$AFD34))*100+37)</f>
        <v/>
      </c>
      <c r="CX34">
        <f>IF(OR(BI34=1,calcA!$A$6=0),1000000000,IF('calcA'!$JF$47=1,0,100000000)+IF('calcA'!$IQ$47=2,SUMPRODUCT('calcA'!$D$97:$EQ$97,$DB34:$IO34,$IQ34:$OD34)*1000+SUMPRODUCT('calcA'!$D$97:$EQ$97,$DB34:$IO34+$ZQ34:$AFD34,$AFF34:$AKS34),SUMPRODUCT('calcA'!$D$97:$EQ$97,$DB34:$IO34*1001+$ZQ34:$AFD34))*100+38)</f>
        <v/>
      </c>
      <c r="CY34">
        <f>IF(OR(BJ34=1,calcA!$A$6=0),1000000000,IF('calcA'!$JF$48=1,0,100000000)+IF('calcA'!$IQ$48=2,SUMPRODUCT('calcA'!$D$98:$EQ$98,$DB34:$IO34,$IQ34:$OD34)*1000+SUMPRODUCT('calcA'!$D$98:$EQ$98,$DB34:$IO34+$ZQ34:$AFD34,$AFF34:$AKS34),SUMPRODUCT('calcA'!$D$98:$EQ$98,$DB34:$IO34*1001+$ZQ34:$AFD34))*100+39)</f>
        <v/>
      </c>
      <c r="CZ34">
        <f>IF(OR(BK34=1,calcA!$A$6=0),1000000000,IF('calcA'!$JF$49=1,0,100000000)+IF('calcA'!$IQ$49=2,SUMPRODUCT('calcA'!$D$99:$EQ$99,$DB34:$IO34,$IQ34:$OD34)*1000+SUMPRODUCT('calcA'!$D$99:$EQ$99,$DB34:$IO34+$ZQ34:$AFD34,$AFF34:$AKS34),SUMPRODUCT('calcA'!$D$99:$EQ$99,$DB34:$IO34*1001+$ZQ34:$AFD34))*100+40)</f>
        <v/>
      </c>
      <c r="DB34">
        <f>DB33*IF(OR($C33=1,$G33=1),0,1)</f>
        <v/>
      </c>
      <c r="DC34">
        <f>DC33*IF(OR($C33=2,$G33=2),0,1)</f>
        <v/>
      </c>
      <c r="DD34">
        <f>DD33*IF(OR($C33=3,$G33=3),0,1)</f>
        <v/>
      </c>
      <c r="DE34">
        <f>DE33*IF(OR($C33=4,$G33=4),0,1)</f>
        <v/>
      </c>
      <c r="DF34">
        <f>DF33*IF(OR($C33=5,$G33=5),0,1)</f>
        <v/>
      </c>
      <c r="DG34">
        <f>DG33*IF(OR($C33=6,$G33=6),0,1)</f>
        <v/>
      </c>
      <c r="DH34">
        <f>DH33*IF(OR($C33=7,$G33=7),0,1)</f>
        <v/>
      </c>
      <c r="DI34">
        <f>DI33*IF(OR($C33=8,$G33=8),0,1)</f>
        <v/>
      </c>
      <c r="DJ34">
        <f>DJ33*IF(OR($C33=9,$G33=9),0,1)</f>
        <v/>
      </c>
      <c r="DK34">
        <f>DK33*IF(OR($C33=10,$G33=10),0,1)</f>
        <v/>
      </c>
      <c r="DL34">
        <f>DL33*IF(OR($C33=11,$G33=11),0,1)</f>
        <v/>
      </c>
      <c r="DM34">
        <f>DM33*IF(OR($C33=12,$G33=12),0,1)</f>
        <v/>
      </c>
      <c r="DN34">
        <f>DN33*IF(OR($C33=13,$G33=13),0,1)</f>
        <v/>
      </c>
      <c r="DO34">
        <f>DO33*IF(OR($C33=14,$G33=14),0,1)</f>
        <v/>
      </c>
      <c r="DP34">
        <f>DP33*IF(OR($C33=15,$G33=15),0,1)</f>
        <v/>
      </c>
      <c r="DQ34">
        <f>DQ33*IF(OR($C33=16,$G33=16),0,1)</f>
        <v/>
      </c>
      <c r="DR34">
        <f>DR33*IF(OR($C33=17,$G33=17),0,1)</f>
        <v/>
      </c>
      <c r="DS34">
        <f>DS33*IF(OR($C33=18,$G33=18),0,1)</f>
        <v/>
      </c>
      <c r="DT34">
        <f>DT33*IF(OR($C33=19,$G33=19),0,1)</f>
        <v/>
      </c>
      <c r="DU34">
        <f>DU33*IF(OR($C33=20,$G33=20),0,1)</f>
        <v/>
      </c>
      <c r="DV34">
        <f>DV33*IF(OR($C33=21,$G33=21),0,1)</f>
        <v/>
      </c>
      <c r="DW34">
        <f>DW33*IF(OR($C33=22,$G33=22),0,1)</f>
        <v/>
      </c>
      <c r="DX34">
        <f>DX33*IF(OR($C33=23,$G33=23),0,1)</f>
        <v/>
      </c>
      <c r="DY34">
        <f>DY33*IF(OR($C33=24,$G33=24),0,1)</f>
        <v/>
      </c>
      <c r="DZ34">
        <f>DZ33*IF(OR($C33=25,$G33=25),0,1)</f>
        <v/>
      </c>
      <c r="EA34">
        <f>EA33*IF(OR($C33=26,$G33=26),0,1)</f>
        <v/>
      </c>
      <c r="EB34">
        <f>EB33*IF(OR($C33=27,$G33=27),0,1)</f>
        <v/>
      </c>
      <c r="EC34">
        <f>EC33*IF(OR($C33=28,$G33=28),0,1)</f>
        <v/>
      </c>
      <c r="ED34">
        <f>ED33*IF(OR($C33=29,$G33=29),0,1)</f>
        <v/>
      </c>
      <c r="EE34">
        <f>EE33*IF(OR($C33=30,$G33=30),0,1)</f>
        <v/>
      </c>
      <c r="EF34">
        <f>EF33*IF(OR($C33=31,$G33=31),0,1)</f>
        <v/>
      </c>
      <c r="EG34">
        <f>EG33*IF(OR($C33=32,$G33=32),0,1)</f>
        <v/>
      </c>
      <c r="EH34">
        <f>EH33*IF(OR($C33=33,$G33=33),0,1)</f>
        <v/>
      </c>
      <c r="EI34">
        <f>EI33*IF(OR($C33=34,$G33=34),0,1)</f>
        <v/>
      </c>
      <c r="EJ34">
        <f>EJ33*IF(OR($C33=35,$G33=35),0,1)</f>
        <v/>
      </c>
      <c r="EK34">
        <f>EK33*IF(OR($C33=36,$G33=36),0,1)</f>
        <v/>
      </c>
      <c r="EL34">
        <f>EL33*IF(OR($C33=37,$G33=37),0,1)</f>
        <v/>
      </c>
      <c r="EM34">
        <f>EM33*IF(OR($C33=38,$G33=38),0,1)</f>
        <v/>
      </c>
      <c r="EN34">
        <f>EN33*IF(OR($C33=39,$G33=39),0,1)</f>
        <v/>
      </c>
      <c r="EO34">
        <f>EO33*IF(OR($C33=40,$G33=40),0,1)</f>
        <v/>
      </c>
      <c r="EP34">
        <f>EP33*IF(OR($C33=41,$G33=41),0,1)</f>
        <v/>
      </c>
      <c r="EQ34">
        <f>EQ33*IF(OR($C33=42,$G33=42),0,1)</f>
        <v/>
      </c>
      <c r="ER34">
        <f>ER33*IF(OR($C33=43,$G33=43),0,1)</f>
        <v/>
      </c>
      <c r="ES34">
        <f>ES33*IF(OR($C33=44,$G33=44),0,1)</f>
        <v/>
      </c>
      <c r="ET34">
        <f>ET33*IF(OR($C33=45,$G33=45),0,1)</f>
        <v/>
      </c>
      <c r="EU34">
        <f>EU33*IF(OR($C33=46,$G33=46),0,1)</f>
        <v/>
      </c>
      <c r="EV34">
        <f>EV33*IF(OR($C33=47,$G33=47),0,1)</f>
        <v/>
      </c>
      <c r="EW34">
        <f>EW33*IF(OR($C33=48,$G33=48),0,1)</f>
        <v/>
      </c>
      <c r="EX34">
        <f>EX33*IF(OR($C33=49,$G33=49),0,1)</f>
        <v/>
      </c>
      <c r="EY34">
        <f>EY33*IF(OR($C33=50,$G33=50),0,1)</f>
        <v/>
      </c>
      <c r="EZ34">
        <f>EZ33*IF(OR($C33=51,$G33=51),0,1)</f>
        <v/>
      </c>
      <c r="FA34">
        <f>FA33*IF(OR($C33=52,$G33=52),0,1)</f>
        <v/>
      </c>
      <c r="FB34">
        <f>FB33*IF(OR($C33=53,$G33=53),0,1)</f>
        <v/>
      </c>
      <c r="FC34">
        <f>FC33*IF(OR($C33=54,$G33=54),0,1)</f>
        <v/>
      </c>
      <c r="FD34">
        <f>FD33*IF(OR($C33=55,$G33=55),0,1)</f>
        <v/>
      </c>
      <c r="FE34">
        <f>FE33*IF(OR($C33=56,$G33=56),0,1)</f>
        <v/>
      </c>
      <c r="FF34">
        <f>FF33*IF(OR($C33=57,$G33=57),0,1)</f>
        <v/>
      </c>
      <c r="FG34">
        <f>FG33*IF(OR($C33=58,$G33=58),0,1)</f>
        <v/>
      </c>
      <c r="FH34">
        <f>FH33*IF(OR($C33=59,$G33=59),0,1)</f>
        <v/>
      </c>
      <c r="FI34">
        <f>FI33*IF(OR($C33=60,$G33=60),0,1)</f>
        <v/>
      </c>
      <c r="FJ34">
        <f>FJ33*IF(OR($C33=61,$G33=61),0,1)</f>
        <v/>
      </c>
      <c r="FK34">
        <f>FK33*IF(OR($C33=62,$G33=62),0,1)</f>
        <v/>
      </c>
      <c r="FL34">
        <f>FL33*IF(OR($C33=63,$G33=63),0,1)</f>
        <v/>
      </c>
      <c r="FM34">
        <f>FM33*IF(OR($C33=64,$G33=64),0,1)</f>
        <v/>
      </c>
      <c r="FN34">
        <f>FN33*IF(OR($C33=65,$G33=65),0,1)</f>
        <v/>
      </c>
      <c r="FO34">
        <f>FO33*IF(OR($C33=66,$G33=66),0,1)</f>
        <v/>
      </c>
      <c r="FP34">
        <f>FP33*IF(OR($C33=67,$G33=67),0,1)</f>
        <v/>
      </c>
      <c r="FQ34">
        <f>FQ33*IF(OR($C33=68,$G33=68),0,1)</f>
        <v/>
      </c>
      <c r="FR34">
        <f>FR33*IF(OR($C33=69,$G33=69),0,1)</f>
        <v/>
      </c>
      <c r="FS34">
        <f>FS33*IF(OR($C33=70,$G33=70),0,1)</f>
        <v/>
      </c>
      <c r="FT34">
        <f>FT33*IF(OR($C33=71,$G33=71),0,1)</f>
        <v/>
      </c>
      <c r="FU34">
        <f>FU33*IF(OR($C33=72,$G33=72),0,1)</f>
        <v/>
      </c>
      <c r="FV34">
        <f>FV33*IF(OR($C33=73,$G33=73),0,1)</f>
        <v/>
      </c>
      <c r="FW34">
        <f>FW33*IF(OR($C33=74,$G33=74),0,1)</f>
        <v/>
      </c>
      <c r="FX34">
        <f>FX33*IF(OR($C33=75,$G33=75),0,1)</f>
        <v/>
      </c>
      <c r="FY34">
        <f>FY33*IF(OR($C33=76,$G33=76),0,1)</f>
        <v/>
      </c>
      <c r="FZ34">
        <f>FZ33*IF(OR($C33=77,$G33=77),0,1)</f>
        <v/>
      </c>
      <c r="GA34">
        <f>GA33*IF(OR($C33=78,$G33=78),0,1)</f>
        <v/>
      </c>
      <c r="GB34">
        <f>GB33*IF(OR($C33=79,$G33=79),0,1)</f>
        <v/>
      </c>
      <c r="GC34">
        <f>GC33*IF(OR($C33=80,$G33=80),0,1)</f>
        <v/>
      </c>
      <c r="GD34">
        <f>GD33*IF(OR($C33=81,$G33=81),0,1)</f>
        <v/>
      </c>
      <c r="GE34">
        <f>GE33*IF(OR($C33=82,$G33=82),0,1)</f>
        <v/>
      </c>
      <c r="GF34">
        <f>GF33*IF(OR($C33=83,$G33=83),0,1)</f>
        <v/>
      </c>
      <c r="GG34">
        <f>GG33*IF(OR($C33=84,$G33=84),0,1)</f>
        <v/>
      </c>
      <c r="GH34">
        <f>GH33*IF(OR($C33=85,$G33=85),0,1)</f>
        <v/>
      </c>
      <c r="GI34">
        <f>GI33*IF(OR($C33=86,$G33=86),0,1)</f>
        <v/>
      </c>
      <c r="GJ34">
        <f>GJ33*IF(OR($C33=87,$G33=87),0,1)</f>
        <v/>
      </c>
      <c r="GK34">
        <f>GK33*IF(OR($C33=88,$G33=88),0,1)</f>
        <v/>
      </c>
      <c r="GL34">
        <f>GL33*IF(OR($C33=89,$G33=89),0,1)</f>
        <v/>
      </c>
      <c r="GM34">
        <f>GM33*IF(OR($C33=90,$G33=90),0,1)</f>
        <v/>
      </c>
      <c r="GN34">
        <f>GN33*IF(OR($C33=91,$G33=91),0,1)</f>
        <v/>
      </c>
      <c r="GO34">
        <f>GO33*IF(OR($C33=92,$G33=92),0,1)</f>
        <v/>
      </c>
      <c r="GP34">
        <f>GP33*IF(OR($C33=93,$G33=93),0,1)</f>
        <v/>
      </c>
      <c r="GQ34">
        <f>GQ33*IF(OR($C33=94,$G33=94),0,1)</f>
        <v/>
      </c>
      <c r="GR34">
        <f>GR33*IF(OR($C33=95,$G33=95),0,1)</f>
        <v/>
      </c>
      <c r="GS34">
        <f>GS33*IF(OR($C33=96,$G33=96),0,1)</f>
        <v/>
      </c>
      <c r="GT34">
        <f>GT33*IF(OR($C33=97,$G33=97),0,1)</f>
        <v/>
      </c>
      <c r="GU34">
        <f>GU33*IF(OR($C33=98,$G33=98),0,1)</f>
        <v/>
      </c>
      <c r="GV34">
        <f>GV33*IF(OR($C33=99,$G33=99),0,1)</f>
        <v/>
      </c>
      <c r="GW34">
        <f>GW33*IF(OR($C33=100,$G33=100),0,1)</f>
        <v/>
      </c>
      <c r="GX34">
        <f>GX33*IF(OR($C33=101,$G33=101),0,1)</f>
        <v/>
      </c>
      <c r="GY34">
        <f>GY33*IF(OR($C33=102,$G33=102),0,1)</f>
        <v/>
      </c>
      <c r="GZ34">
        <f>GZ33*IF(OR($C33=103,$G33=103),0,1)</f>
        <v/>
      </c>
      <c r="HA34">
        <f>HA33*IF(OR($C33=104,$G33=104),0,1)</f>
        <v/>
      </c>
      <c r="HB34">
        <f>HB33*IF(OR($C33=105,$G33=105),0,1)</f>
        <v/>
      </c>
      <c r="HC34">
        <f>HC33*IF(OR($C33=106,$G33=106),0,1)</f>
        <v/>
      </c>
      <c r="HD34">
        <f>HD33*IF(OR($C33=107,$G33=107),0,1)</f>
        <v/>
      </c>
      <c r="HE34">
        <f>HE33*IF(OR($C33=108,$G33=108),0,1)</f>
        <v/>
      </c>
      <c r="HF34">
        <f>HF33*IF(OR($C33=109,$G33=109),0,1)</f>
        <v/>
      </c>
      <c r="HG34">
        <f>HG33*IF(OR($C33=110,$G33=110),0,1)</f>
        <v/>
      </c>
      <c r="HH34">
        <f>HH33*IF(OR($C33=111,$G33=111),0,1)</f>
        <v/>
      </c>
      <c r="HI34">
        <f>HI33*IF(OR($C33=112,$G33=112),0,1)</f>
        <v/>
      </c>
      <c r="HJ34">
        <f>HJ33*IF(OR($C33=113,$G33=113),0,1)</f>
        <v/>
      </c>
      <c r="HK34">
        <f>HK33*IF(OR($C33=114,$G33=114),0,1)</f>
        <v/>
      </c>
      <c r="HL34">
        <f>HL33*IF(OR($C33=115,$G33=115),0,1)</f>
        <v/>
      </c>
      <c r="HM34">
        <f>HM33*IF(OR($C33=116,$G33=116),0,1)</f>
        <v/>
      </c>
      <c r="HN34">
        <f>HN33*IF(OR($C33=117,$G33=117),0,1)</f>
        <v/>
      </c>
      <c r="HO34">
        <f>HO33*IF(OR($C33=118,$G33=118),0,1)</f>
        <v/>
      </c>
      <c r="HP34">
        <f>HP33*IF(OR($C33=119,$G33=119),0,1)</f>
        <v/>
      </c>
      <c r="HQ34">
        <f>HQ33*IF(OR($C33=120,$G33=120),0,1)</f>
        <v/>
      </c>
      <c r="HR34">
        <f>HR33*IF(OR($C33=121,$G33=121),0,1)</f>
        <v/>
      </c>
      <c r="HS34">
        <f>HS33*IF(OR($C33=122,$G33=122),0,1)</f>
        <v/>
      </c>
      <c r="HT34">
        <f>HT33*IF(OR($C33=123,$G33=123),0,1)</f>
        <v/>
      </c>
      <c r="HU34">
        <f>HU33*IF(OR($C33=124,$G33=124),0,1)</f>
        <v/>
      </c>
      <c r="HV34">
        <f>HV33*IF(OR($C33=125,$G33=125),0,1)</f>
        <v/>
      </c>
      <c r="HW34">
        <f>HW33*IF(OR($C33=126,$G33=126),0,1)</f>
        <v/>
      </c>
      <c r="HX34">
        <f>HX33*IF(OR($C33=127,$G33=127),0,1)</f>
        <v/>
      </c>
      <c r="HY34">
        <f>HY33*IF(OR($C33=128,$G33=128),0,1)</f>
        <v/>
      </c>
      <c r="HZ34">
        <f>HZ33*IF(OR($C33=129,$G33=129),0,1)</f>
        <v/>
      </c>
      <c r="IA34">
        <f>IA33*IF(OR($C33=130,$G33=130),0,1)</f>
        <v/>
      </c>
      <c r="IB34">
        <f>IB33*IF(OR($C33=131,$G33=131),0,1)</f>
        <v/>
      </c>
      <c r="IC34">
        <f>IC33*IF(OR($C33=132,$G33=132),0,1)</f>
        <v/>
      </c>
      <c r="ID34">
        <f>ID33*IF(OR($C33=133,$G33=133),0,1)</f>
        <v/>
      </c>
      <c r="IE34">
        <f>IE33*IF(OR($C33=134,$G33=134),0,1)</f>
        <v/>
      </c>
      <c r="IF34">
        <f>IF33*IF(OR($C33=135,$G33=135),0,1)</f>
        <v/>
      </c>
      <c r="IG34">
        <f>IG33*IF(OR($C33=136,$G33=136),0,1)</f>
        <v/>
      </c>
      <c r="IH34">
        <f>IH33*IF(OR($C33=137,$G33=137),0,1)</f>
        <v/>
      </c>
      <c r="II34">
        <f>II33*IF(OR($C33=138,$G33=138),0,1)</f>
        <v/>
      </c>
      <c r="IJ34">
        <f>IJ33*IF(OR($C33=139,$G33=139),0,1)</f>
        <v/>
      </c>
      <c r="IK34">
        <f>IK33*IF(OR($C33=140,$G33=140),0,1)</f>
        <v/>
      </c>
      <c r="IL34">
        <f>IL33*IF(OR($C33=141,$G33=141),0,1)</f>
        <v/>
      </c>
      <c r="IM34">
        <f>IM33*IF(OR($C33=142,$G33=142),0,1)</f>
        <v/>
      </c>
      <c r="IN34">
        <f>IN33*IF(OR($C33=143,$G33=143),0,1)</f>
        <v/>
      </c>
      <c r="IO34">
        <f>IO33*IF(OR($C33=144,$G33=144),0,1)</f>
        <v/>
      </c>
      <c r="IQ34">
        <f>IF('calcA'!D$106=1,DC34,1)</f>
        <v/>
      </c>
      <c r="IR34">
        <f>IF('calcA'!E$106=1,DD34,1)</f>
        <v/>
      </c>
      <c r="IS34">
        <f>IF('calcA'!F$106=1,DE34,1)</f>
        <v/>
      </c>
      <c r="IT34">
        <f>IF('calcA'!G$106=1,DF34,1)</f>
        <v/>
      </c>
      <c r="IU34">
        <f>IF('calcA'!H$106=1,DG34,1)</f>
        <v/>
      </c>
      <c r="IV34">
        <f>IF('calcA'!I$106=1,DH34,1)</f>
        <v/>
      </c>
      <c r="IW34">
        <f>IF('calcA'!J$106=1,DI34,1)</f>
        <v/>
      </c>
      <c r="IX34">
        <f>IF('calcA'!K$106=1,DJ34,1)</f>
        <v/>
      </c>
      <c r="IY34">
        <f>IF('calcA'!L$106=1,DK34,1)</f>
        <v/>
      </c>
      <c r="IZ34">
        <f>IF('calcA'!M$106=1,DL34,1)</f>
        <v/>
      </c>
      <c r="JA34">
        <f>IF('calcA'!N$106=1,DM34,1)</f>
        <v/>
      </c>
      <c r="JB34">
        <f>IF('calcA'!O$106=1,DN34,1)</f>
        <v/>
      </c>
      <c r="JC34">
        <f>IF('calcA'!P$106=1,DO34,1)</f>
        <v/>
      </c>
      <c r="JD34">
        <f>IF('calcA'!Q$106=1,DP34,1)</f>
        <v/>
      </c>
      <c r="JE34">
        <f>IF('calcA'!R$106=1,DQ34,1)</f>
        <v/>
      </c>
      <c r="JF34">
        <f>IF('calcA'!S$106=1,DR34,1)</f>
        <v/>
      </c>
      <c r="JG34">
        <f>IF('calcA'!T$106=1,DS34,1)</f>
        <v/>
      </c>
      <c r="JH34">
        <f>IF('calcA'!U$106=1,DT34,1)</f>
        <v/>
      </c>
      <c r="JI34">
        <f>IF('calcA'!V$106=1,DU34,1)</f>
        <v/>
      </c>
      <c r="JJ34">
        <f>IF('calcA'!W$106=1,DV34,1)</f>
        <v/>
      </c>
      <c r="JK34">
        <f>IF('calcA'!X$106=1,DW34,1)</f>
        <v/>
      </c>
      <c r="JL34">
        <f>IF('calcA'!Y$106=1,DX34,1)</f>
        <v/>
      </c>
      <c r="JM34">
        <f>IF('calcA'!Z$106=1,DY34,1)</f>
        <v/>
      </c>
      <c r="JN34">
        <f>IF('calcA'!AA$106=1,DZ34,1)</f>
        <v/>
      </c>
      <c r="JO34">
        <f>IF('calcA'!AB$106=1,EA34,1)</f>
        <v/>
      </c>
      <c r="JP34">
        <f>IF('calcA'!AC$106=1,EB34,1)</f>
        <v/>
      </c>
      <c r="JQ34">
        <f>IF('calcA'!AD$106=1,EC34,1)</f>
        <v/>
      </c>
      <c r="JR34">
        <f>IF('calcA'!AE$106=1,ED34,1)</f>
        <v/>
      </c>
      <c r="JS34">
        <f>IF('calcA'!AF$106=1,EE34,1)</f>
        <v/>
      </c>
      <c r="JT34">
        <f>IF('calcA'!AG$106=1,EF34,1)</f>
        <v/>
      </c>
      <c r="JU34">
        <f>IF('calcA'!AH$106=1,EG34,1)</f>
        <v/>
      </c>
      <c r="JV34">
        <f>IF('calcA'!AI$106=1,EH34,1)</f>
        <v/>
      </c>
      <c r="JW34">
        <f>IF('calcA'!AJ$106=1,EI34,1)</f>
        <v/>
      </c>
      <c r="JX34">
        <f>IF('calcA'!AK$106=1,EJ34,1)</f>
        <v/>
      </c>
      <c r="JY34">
        <f>IF('calcA'!AL$106=1,EK34,1)</f>
        <v/>
      </c>
      <c r="JZ34">
        <f>IF('calcA'!AM$106=1,EL34,1)</f>
        <v/>
      </c>
      <c r="KA34">
        <f>IF('calcA'!AN$106=1,EM34,1)</f>
        <v/>
      </c>
      <c r="KB34">
        <f>IF('calcA'!AO$106=1,EN34,1)</f>
        <v/>
      </c>
      <c r="KC34">
        <f>IF('calcA'!AP$106=1,EO34,1)</f>
        <v/>
      </c>
      <c r="KD34">
        <f>IF('calcA'!AQ$106=1,EP34,1)</f>
        <v/>
      </c>
      <c r="KE34">
        <f>IF('calcA'!AR$106=1,EQ34,1)</f>
        <v/>
      </c>
      <c r="KF34">
        <f>IF('calcA'!AS$106=1,ER34,1)</f>
        <v/>
      </c>
      <c r="KG34">
        <f>IF('calcA'!AT$106=1,ES34,1)</f>
        <v/>
      </c>
      <c r="KH34">
        <f>IF('calcA'!AU$106=1,ET34,1)</f>
        <v/>
      </c>
      <c r="KI34">
        <f>IF('calcA'!AV$106=1,EU34,1)</f>
        <v/>
      </c>
      <c r="KJ34">
        <f>IF('calcA'!AW$106=1,EV34,1)</f>
        <v/>
      </c>
      <c r="KK34">
        <f>IF('calcA'!AX$106=1,EW34,1)</f>
        <v/>
      </c>
      <c r="KL34">
        <f>IF('calcA'!AY$106=1,EX34,1)</f>
        <v/>
      </c>
      <c r="KM34">
        <f>IF('calcA'!AZ$106=1,EY34,1)</f>
        <v/>
      </c>
      <c r="KN34">
        <f>IF('calcA'!BA$106=1,EZ34,1)</f>
        <v/>
      </c>
      <c r="KO34">
        <f>IF('calcA'!BB$106=1,FA34,1)</f>
        <v/>
      </c>
      <c r="KP34">
        <f>IF('calcA'!BC$106=1,FB34,1)</f>
        <v/>
      </c>
      <c r="KQ34">
        <f>IF('calcA'!BD$106=1,FC34,1)</f>
        <v/>
      </c>
      <c r="KR34">
        <f>IF('calcA'!BE$106=1,FD34,1)</f>
        <v/>
      </c>
      <c r="KS34">
        <f>IF('calcA'!BF$106=1,FE34,1)</f>
        <v/>
      </c>
      <c r="KT34">
        <f>IF('calcA'!BG$106=1,FF34,1)</f>
        <v/>
      </c>
      <c r="KU34">
        <f>IF('calcA'!BH$106=1,FG34,1)</f>
        <v/>
      </c>
      <c r="KV34">
        <f>IF('calcA'!BI$106=1,FH34,1)</f>
        <v/>
      </c>
      <c r="KW34">
        <f>IF('calcA'!BJ$106=1,FI34,1)</f>
        <v/>
      </c>
      <c r="KX34">
        <f>IF('calcA'!BK$106=1,FJ34,1)</f>
        <v/>
      </c>
      <c r="KY34">
        <f>IF('calcA'!BL$106=1,FK34,1)</f>
        <v/>
      </c>
      <c r="KZ34">
        <f>IF('calcA'!BM$106=1,FL34,1)</f>
        <v/>
      </c>
      <c r="LA34">
        <f>IF('calcA'!BN$106=1,FM34,1)</f>
        <v/>
      </c>
      <c r="LB34">
        <f>IF('calcA'!BO$106=1,FN34,1)</f>
        <v/>
      </c>
      <c r="LC34">
        <f>IF('calcA'!BP$106=1,FO34,1)</f>
        <v/>
      </c>
      <c r="LD34">
        <f>IF('calcA'!BQ$106=1,FP34,1)</f>
        <v/>
      </c>
      <c r="LE34">
        <f>IF('calcA'!BR$106=1,FQ34,1)</f>
        <v/>
      </c>
      <c r="LF34">
        <f>IF('calcA'!BS$106=1,FR34,1)</f>
        <v/>
      </c>
      <c r="LG34">
        <f>IF('calcA'!BT$106=1,FS34,1)</f>
        <v/>
      </c>
      <c r="LH34">
        <f>IF('calcA'!BU$106=1,FT34,1)</f>
        <v/>
      </c>
      <c r="LI34">
        <f>IF('calcA'!BV$106=1,FU34,1)</f>
        <v/>
      </c>
      <c r="LJ34">
        <f>IF('calcA'!BW$106=1,FV34,1)</f>
        <v/>
      </c>
      <c r="LK34">
        <f>IF('calcA'!BX$106=1,FW34,1)</f>
        <v/>
      </c>
      <c r="LL34">
        <f>IF('calcA'!BY$106=1,FX34,1)</f>
        <v/>
      </c>
      <c r="LM34">
        <f>IF('calcA'!BZ$106=1,FY34,1)</f>
        <v/>
      </c>
      <c r="LN34">
        <f>IF('calcA'!CA$106=1,FZ34,1)</f>
        <v/>
      </c>
      <c r="LO34">
        <f>IF('calcA'!CB$106=1,GA34,1)</f>
        <v/>
      </c>
      <c r="LP34">
        <f>IF('calcA'!CC$106=1,GB34,1)</f>
        <v/>
      </c>
      <c r="LQ34">
        <f>IF('calcA'!CD$106=1,GC34,1)</f>
        <v/>
      </c>
      <c r="LR34">
        <f>IF('calcA'!CE$106=1,GD34,1)</f>
        <v/>
      </c>
      <c r="LS34">
        <f>IF('calcA'!CF$106=1,GE34,1)</f>
        <v/>
      </c>
      <c r="LT34">
        <f>IF('calcA'!CG$106=1,GF34,1)</f>
        <v/>
      </c>
      <c r="LU34">
        <f>IF('calcA'!CH$106=1,GG34,1)</f>
        <v/>
      </c>
      <c r="LV34">
        <f>IF('calcA'!CI$106=1,GH34,1)</f>
        <v/>
      </c>
      <c r="LW34">
        <f>IF('calcA'!CJ$106=1,GI34,1)</f>
        <v/>
      </c>
      <c r="LX34">
        <f>IF('calcA'!CK$106=1,GJ34,1)</f>
        <v/>
      </c>
      <c r="LY34">
        <f>IF('calcA'!CL$106=1,GK34,1)</f>
        <v/>
      </c>
      <c r="LZ34">
        <f>IF('calcA'!CM$106=1,GL34,1)</f>
        <v/>
      </c>
      <c r="MA34">
        <f>IF('calcA'!CN$106=1,GM34,1)</f>
        <v/>
      </c>
      <c r="MB34">
        <f>IF('calcA'!CO$106=1,GN34,1)</f>
        <v/>
      </c>
      <c r="MC34">
        <f>IF('calcA'!CP$106=1,GO34,1)</f>
        <v/>
      </c>
      <c r="MD34">
        <f>IF('calcA'!CQ$106=1,GP34,1)</f>
        <v/>
      </c>
      <c r="ME34">
        <f>IF('calcA'!CR$106=1,GQ34,1)</f>
        <v/>
      </c>
      <c r="MF34">
        <f>IF('calcA'!CS$106=1,GR34,1)</f>
        <v/>
      </c>
      <c r="MG34">
        <f>IF('calcA'!CT$106=1,GS34,1)</f>
        <v/>
      </c>
      <c r="MH34">
        <f>IF('calcA'!CU$106=1,GT34,1)</f>
        <v/>
      </c>
      <c r="MI34">
        <f>IF('calcA'!CV$106=1,GU34,1)</f>
        <v/>
      </c>
      <c r="MJ34">
        <f>IF('calcA'!CW$106=1,GV34,1)</f>
        <v/>
      </c>
      <c r="MK34">
        <f>IF('calcA'!CX$106=1,GW34,1)</f>
        <v/>
      </c>
      <c r="ML34">
        <f>IF('calcA'!CY$106=1,GX34,1)</f>
        <v/>
      </c>
      <c r="MM34">
        <f>IF('calcA'!CZ$106=1,GY34,1)</f>
        <v/>
      </c>
      <c r="MN34">
        <f>IF('calcA'!DA$106=1,GZ34,1)</f>
        <v/>
      </c>
      <c r="MO34">
        <f>IF('calcA'!DB$106=1,HA34,1)</f>
        <v/>
      </c>
      <c r="MP34">
        <f>IF('calcA'!DC$106=1,HB34,1)</f>
        <v/>
      </c>
      <c r="MQ34">
        <f>IF('calcA'!DD$106=1,HC34,1)</f>
        <v/>
      </c>
      <c r="MR34">
        <f>IF('calcA'!DE$106=1,HD34,1)</f>
        <v/>
      </c>
      <c r="MS34">
        <f>IF('calcA'!DF$106=1,HE34,1)</f>
        <v/>
      </c>
      <c r="MT34">
        <f>IF('calcA'!DG$106=1,HF34,1)</f>
        <v/>
      </c>
      <c r="MU34">
        <f>IF('calcA'!DH$106=1,HG34,1)</f>
        <v/>
      </c>
      <c r="MV34">
        <f>IF('calcA'!DI$106=1,HH34,1)</f>
        <v/>
      </c>
      <c r="MW34">
        <f>IF('calcA'!DJ$106=1,HI34,1)</f>
        <v/>
      </c>
      <c r="MX34">
        <f>IF('calcA'!DK$106=1,HJ34,1)</f>
        <v/>
      </c>
      <c r="MY34">
        <f>IF('calcA'!DL$106=1,HK34,1)</f>
        <v/>
      </c>
      <c r="MZ34">
        <f>IF('calcA'!DM$106=1,HL34,1)</f>
        <v/>
      </c>
      <c r="NA34">
        <f>IF('calcA'!DN$106=1,HM34,1)</f>
        <v/>
      </c>
      <c r="NB34">
        <f>IF('calcA'!DO$106=1,HN34,1)</f>
        <v/>
      </c>
      <c r="NC34">
        <f>IF('calcA'!DP$106=1,HO34,1)</f>
        <v/>
      </c>
      <c r="ND34">
        <f>IF('calcA'!DQ$106=1,HP34,1)</f>
        <v/>
      </c>
      <c r="NE34">
        <f>IF('calcA'!DR$106=1,HQ34,1)</f>
        <v/>
      </c>
      <c r="NF34">
        <f>IF('calcA'!DS$106=1,HR34,1)</f>
        <v/>
      </c>
      <c r="NG34">
        <f>IF('calcA'!DT$106=1,HS34,1)</f>
        <v/>
      </c>
      <c r="NH34">
        <f>IF('calcA'!DU$106=1,HT34,1)</f>
        <v/>
      </c>
      <c r="NI34">
        <f>IF('calcA'!DV$106=1,HU34,1)</f>
        <v/>
      </c>
      <c r="NJ34">
        <f>IF('calcA'!DW$106=1,HV34,1)</f>
        <v/>
      </c>
      <c r="NK34">
        <f>IF('calcA'!DX$106=1,HW34,1)</f>
        <v/>
      </c>
      <c r="NL34">
        <f>IF('calcA'!DY$106=1,HX34,1)</f>
        <v/>
      </c>
      <c r="NM34">
        <f>IF('calcA'!DZ$106=1,HY34,1)</f>
        <v/>
      </c>
      <c r="NN34">
        <f>IF('calcA'!EA$106=1,HZ34,1)</f>
        <v/>
      </c>
      <c r="NO34">
        <f>IF('calcA'!EB$106=1,IA34,1)</f>
        <v/>
      </c>
      <c r="NP34">
        <f>IF('calcA'!EC$106=1,IB34,1)</f>
        <v/>
      </c>
      <c r="NQ34">
        <f>IF('calcA'!ED$106=1,IC34,1)</f>
        <v/>
      </c>
      <c r="NR34">
        <f>IF('calcA'!EE$106=1,ID34,1)</f>
        <v/>
      </c>
      <c r="NS34">
        <f>IF('calcA'!EF$106=1,IE34,1)</f>
        <v/>
      </c>
      <c r="NT34">
        <f>IF('calcA'!EG$106=1,IF34,1)</f>
        <v/>
      </c>
      <c r="NU34">
        <f>IF('calcA'!EH$106=1,IG34,1)</f>
        <v/>
      </c>
      <c r="NV34">
        <f>IF('calcA'!EI$106=1,IH34,1)</f>
        <v/>
      </c>
      <c r="NW34">
        <f>IF('calcA'!EJ$106=1,II34,1)</f>
        <v/>
      </c>
      <c r="NX34">
        <f>IF('calcA'!EK$106=1,IJ34,1)</f>
        <v/>
      </c>
      <c r="NY34">
        <f>IF('calcA'!EL$106=1,IK34,1)</f>
        <v/>
      </c>
      <c r="NZ34">
        <f>IF('calcA'!EM$106=1,IL34,1)</f>
        <v/>
      </c>
      <c r="OA34">
        <f>IF('calcA'!EN$106=1,IM34,1)</f>
        <v/>
      </c>
      <c r="OB34">
        <f>IF('calcA'!EO$106=1,IN34,1)</f>
        <v/>
      </c>
      <c r="OC34">
        <f>IF('calcA'!EP$106=1,IO34,1)</f>
        <v/>
      </c>
      <c r="OD34" t="n">
        <v>1</v>
      </c>
      <c r="OF34">
        <f>IF($B34=0,1000000000,IF(INDEX('calcA'!$D$60:$EQ$99,$B34,1)*IF($W34=1,DB34+ZQ34,DB34)=1,IF(AND($E34=2,IF($W34=1,AFF34,IQ34)=0),1000000000,IF($V34=1,INDEX('calcA'!$D$130:$EQ$169,$B34,1)+IF(AND($E34=1,IQ34=0),25,0),INDEX('calcA'!D$110:D$114,$F34+1)+IF(AND($E34=1,IQ34=0),1000,0)+IF($H34=1,INDEX('calcA'!$D$180:$EQ$219,$B34,1)*500,0)-IF(AND($U34=1,'calcA'!D$117=1,DC34=0),300,0))),1000000000))</f>
        <v/>
      </c>
      <c r="OG34">
        <f>IF($B34=0,1000000000,IF(INDEX('calcA'!$D$60:$EQ$99,$B34,2)*IF($W34=1,DC34+ZR34,DC34)=1,IF(AND($E34=2,IF($W34=1,AFG34,IR34)=0),1000000000,IF($V34=1,INDEX('calcA'!$D$130:$EQ$169,$B34,2)+IF(AND($E34=1,IR34=0),25,0),INDEX('calcA'!E$110:E$114,$F34+1)+IF(AND($E34=1,IR34=0),1000,0)+IF($H34=1,INDEX('calcA'!$D$180:$EQ$219,$B34,2)*500,0)-IF(AND('calcA'!D$117=1,UB34&gt;0),300,0)-IF(AND($U34=1,'calcA'!E$117=1,DD34=0),300,0))),1000000000))</f>
        <v/>
      </c>
      <c r="OH34">
        <f>IF($B34=0,1000000000,IF(INDEX('calcA'!$D$60:$EQ$99,$B34,3)*IF($W34=1,DD34+ZS34,DD34)=1,IF(AND($E34=2,IF($W34=1,AFH34,IS34)=0),1000000000,IF($V34=1,INDEX('calcA'!$D$130:$EQ$169,$B34,3)+IF(AND($E34=1,IS34=0),25,0),INDEX('calcA'!F$110:F$114,$F34+1)+IF(AND($E34=1,IS34=0),1000,0)+IF($H34=1,INDEX('calcA'!$D$180:$EQ$219,$B34,3)*500,0)-IF(AND('calcA'!E$117=1,UC34&gt;0),300,0)-IF(AND($U34=1,'calcA'!F$117=1,DE34=0),300,0))),1000000000))</f>
        <v/>
      </c>
      <c r="OI34">
        <f>IF($B34=0,1000000000,IF(INDEX('calcA'!$D$60:$EQ$99,$B34,4)*IF($W34=1,DE34+ZT34,DE34)=1,IF(AND($E34=2,IF($W34=1,AFI34,IT34)=0),1000000000,IF($V34=1,INDEX('calcA'!$D$130:$EQ$169,$B34,4)+IF(AND($E34=1,IT34=0),25,0),INDEX('calcA'!G$110:G$114,$F34+1)+IF(AND($E34=1,IT34=0),1000,0)+IF($H34=1,INDEX('calcA'!$D$180:$EQ$219,$B34,4)*500,0)-IF(AND('calcA'!F$117=1,UD34&gt;0),300,0)-IF(AND($U34=1,'calcA'!G$117=1,DF34=0),300,0))),1000000000))</f>
        <v/>
      </c>
      <c r="OJ34">
        <f>IF($B34=0,1000000000,IF(INDEX('calcA'!$D$60:$EQ$99,$B34,5)*IF($W34=1,DF34+ZU34,DF34)=1,IF(AND($E34=2,IF($W34=1,AFJ34,IU34)=0),1000000000,IF($V34=1,INDEX('calcA'!$D$130:$EQ$169,$B34,5)+IF(AND($E34=1,IU34=0),25,0),INDEX('calcA'!H$110:H$114,$F34+1)+IF(AND($E34=1,IU34=0),1000,0)+IF($H34=1,INDEX('calcA'!$D$180:$EQ$219,$B34,5)*500,0)-IF(AND('calcA'!G$117=1,UE34&gt;0),300,0)-IF(AND($U34=1,'calcA'!H$117=1,DG34=0),300,0))),1000000000))</f>
        <v/>
      </c>
      <c r="OK34">
        <f>IF($B34=0,1000000000,IF(INDEX('calcA'!$D$60:$EQ$99,$B34,6)*IF($W34=1,DG34+ZV34,DG34)=1,IF(AND($E34=2,IF($W34=1,AFK34,IV34)=0),1000000000,IF($V34=1,INDEX('calcA'!$D$130:$EQ$169,$B34,6)+IF(AND($E34=1,IV34=0),25,0),INDEX('calcA'!I$110:I$114,$F34+1)+IF(AND($E34=1,IV34=0),1000,0)+IF($H34=1,INDEX('calcA'!$D$180:$EQ$219,$B34,6)*500,0)-IF(AND('calcA'!H$117=1,UF34&gt;0),300,0)-IF(AND($U34=1,'calcA'!I$117=1,DH34=0),300,0))),1000000000))</f>
        <v/>
      </c>
      <c r="OL34">
        <f>IF($B34=0,1000000000,IF(INDEX('calcA'!$D$60:$EQ$99,$B34,7)*IF($W34=1,DH34+ZW34,DH34)=1,IF(AND($E34=2,IF($W34=1,AFL34,IW34)=0),1000000000,IF($V34=1,INDEX('calcA'!$D$130:$EQ$169,$B34,7)+IF(AND($E34=1,IW34=0),25,0),INDEX('calcA'!J$110:J$114,$F34+1)+IF(AND($E34=1,IW34=0),1000,0)+IF($H34=1,INDEX('calcA'!$D$180:$EQ$219,$B34,7)*500,0)-IF(AND('calcA'!I$117=1,UG34&gt;0),300,0)-IF(AND($U34=1,'calcA'!J$117=1,DI34=0),300,0))),1000000000))</f>
        <v/>
      </c>
      <c r="OM34">
        <f>IF($B34=0,1000000000,IF(INDEX('calcA'!$D$60:$EQ$99,$B34,8)*IF($W34=1,DI34+ZX34,DI34)=1,IF(AND($E34=2,IF($W34=1,AFM34,IX34)=0),1000000000,IF($V34=1,INDEX('calcA'!$D$130:$EQ$169,$B34,8)+IF(AND($E34=1,IX34=0),25,0),INDEX('calcA'!K$110:K$114,$F34+1)+IF(AND($E34=1,IX34=0),1000,0)+IF($H34=1,INDEX('calcA'!$D$180:$EQ$219,$B34,8)*500,0)-IF(AND('calcA'!J$117=1,UH34&gt;0),300,0)-IF(AND($U34=1,'calcA'!K$117=1,DJ34=0),300,0))),1000000000))</f>
        <v/>
      </c>
      <c r="ON34">
        <f>IF($B34=0,1000000000,IF(INDEX('calcA'!$D$60:$EQ$99,$B34,9)*IF($W34=1,DJ34+ZY34,DJ34)=1,IF(AND($E34=2,IF($W34=1,AFN34,IY34)=0),1000000000,IF($V34=1,INDEX('calcA'!$D$130:$EQ$169,$B34,9)+IF(AND($E34=1,IY34=0),25,0),INDEX('calcA'!L$110:L$114,$F34+1)+IF(AND($E34=1,IY34=0),1000,0)+IF($H34=1,INDEX('calcA'!$D$180:$EQ$219,$B34,9)*500,0)-IF(AND('calcA'!K$117=1,UI34&gt;0),300,0)-IF(AND($U34=1,'calcA'!L$117=1,DK34=0),300,0))),1000000000))</f>
        <v/>
      </c>
      <c r="OO34">
        <f>IF($B34=0,1000000000,IF(INDEX('calcA'!$D$60:$EQ$99,$B34,10)*IF($W34=1,DK34+ZZ34,DK34)=1,IF(AND($E34=2,IF($W34=1,AFO34,IZ34)=0),1000000000,IF($V34=1,INDEX('calcA'!$D$130:$EQ$169,$B34,10)+IF(AND($E34=1,IZ34=0),25,0),INDEX('calcA'!M$110:M$114,$F34+1)+IF(AND($E34=1,IZ34=0),1000,0)+IF($H34=1,INDEX('calcA'!$D$180:$EQ$219,$B34,10)*500,0)-IF(AND('calcA'!L$117=1,UJ34&gt;0),300,0)-IF(AND($U34=1,'calcA'!M$117=1,DL34=0),300,0))),1000000000))</f>
        <v/>
      </c>
      <c r="OP34">
        <f>IF($B34=0,1000000000,IF(INDEX('calcA'!$D$60:$EQ$99,$B34,11)*IF($W34=1,DL34+AAA34,DL34)=1,IF(AND($E34=2,IF($W34=1,AFP34,JA34)=0),1000000000,IF($V34=1,INDEX('calcA'!$D$130:$EQ$169,$B34,11)+IF(AND($E34=1,JA34=0),25,0),INDEX('calcA'!N$110:N$114,$F34+1)+IF(AND($E34=1,JA34=0),1000,0)+IF($H34=1,INDEX('calcA'!$D$180:$EQ$219,$B34,11)*500,0)-IF(AND('calcA'!M$117=1,UK34&gt;0),300,0)-IF(AND($U34=1,'calcA'!N$117=1,DM34=0),300,0))),1000000000))</f>
        <v/>
      </c>
      <c r="OQ34">
        <f>IF($B34=0,1000000000,IF(INDEX('calcA'!$D$60:$EQ$99,$B34,12)*IF($W34=1,DM34+AAB34,DM34)=1,IF(AND($E34=2,IF($W34=1,AFQ34,JB34)=0),1000000000,IF($V34=1,INDEX('calcA'!$D$130:$EQ$169,$B34,12)+IF(AND($E34=1,JB34=0),25,0),INDEX('calcA'!O$110:O$114,$F34+1)+IF(AND($E34=1,JB34=0),1000,0)+IF($H34=1,INDEX('calcA'!$D$180:$EQ$219,$B34,12)*500,0)-IF(AND('calcA'!N$117=1,UL34&gt;0),300,0)-IF(AND($U34=1,'calcA'!O$117=1,DN34=0),300,0))),1000000000))</f>
        <v/>
      </c>
      <c r="OR34">
        <f>IF($B34=0,1000000000,IF(INDEX('calcA'!$D$60:$EQ$99,$B34,13)*IF($W34=1,DN34+AAC34,DN34)=1,IF(AND($E34=2,IF($W34=1,AFR34,JC34)=0),1000000000,IF($V34=1,INDEX('calcA'!$D$130:$EQ$169,$B34,13)+IF(AND($E34=1,JC34=0),25,0),INDEX('calcA'!P$110:P$114,$F34+1)+IF(AND($E34=1,JC34=0),1000,0)+IF($H34=1,INDEX('calcA'!$D$180:$EQ$219,$B34,13)*500,0)-IF(AND('calcA'!O$117=1,UM34&gt;0),300,0)-IF(AND($U34=1,'calcA'!P$117=1,DO34=0),300,0))),1000000000))</f>
        <v/>
      </c>
      <c r="OS34">
        <f>IF($B34=0,1000000000,IF(INDEX('calcA'!$D$60:$EQ$99,$B34,14)*IF($W34=1,DO34+AAD34,DO34)=1,IF(AND($E34=2,IF($W34=1,AFS34,JD34)=0),1000000000,IF($V34=1,INDEX('calcA'!$D$130:$EQ$169,$B34,14)+IF(AND($E34=1,JD34=0),25,0),INDEX('calcA'!Q$110:Q$114,$F34+1)+IF(AND($E34=1,JD34=0),1000,0)+IF($H34=1,INDEX('calcA'!$D$180:$EQ$219,$B34,14)*500,0)-IF(AND('calcA'!P$117=1,UN34&gt;0),300,0)-IF(AND($U34=1,'calcA'!Q$117=1,DP34=0),300,0))),1000000000))</f>
        <v/>
      </c>
      <c r="OT34">
        <f>IF($B34=0,1000000000,IF(INDEX('calcA'!$D$60:$EQ$99,$B34,15)*IF($W34=1,DP34+AAE34,DP34)=1,IF(AND($E34=2,IF($W34=1,AFT34,JE34)=0),1000000000,IF($V34=1,INDEX('calcA'!$D$130:$EQ$169,$B34,15)+IF(AND($E34=1,JE34=0),25,0),INDEX('calcA'!R$110:R$114,$F34+1)+IF(AND($E34=1,JE34=0),1000,0)+IF($H34=1,INDEX('calcA'!$D$180:$EQ$219,$B34,15)*500,0)-IF(AND('calcA'!Q$117=1,UO34&gt;0),300,0)-IF(AND($U34=1,'calcA'!R$117=1,DQ34=0),300,0))),1000000000))</f>
        <v/>
      </c>
      <c r="OU34">
        <f>IF($B34=0,1000000000,IF(INDEX('calcA'!$D$60:$EQ$99,$B34,16)*IF($W34=1,DQ34+AAF34,DQ34)=1,IF(AND($E34=2,IF($W34=1,AFU34,JF34)=0),1000000000,IF($V34=1,INDEX('calcA'!$D$130:$EQ$169,$B34,16)+IF(AND($E34=1,JF34=0),25,0),INDEX('calcA'!S$110:S$114,$F34+1)+IF(AND($E34=1,JF34=0),1000,0)+IF($H34=1,INDEX('calcA'!$D$180:$EQ$219,$B34,16)*500,0)-IF(AND('calcA'!R$117=1,UP34&gt;0),300,0)-IF(AND($U34=1,'calcA'!S$117=1,DR34=0),300,0))),1000000000))</f>
        <v/>
      </c>
      <c r="OV34">
        <f>IF($B34=0,1000000000,IF(INDEX('calcA'!$D$60:$EQ$99,$B34,17)*IF($W34=1,DR34+AAG34,DR34)=1,IF(AND($E34=2,IF($W34=1,AFV34,JG34)=0),1000000000,IF($V34=1,INDEX('calcA'!$D$130:$EQ$169,$B34,17)+IF(AND($E34=1,JG34=0),25,0),INDEX('calcA'!T$110:T$114,$F34+1)+IF(AND($E34=1,JG34=0),1000,0)+IF($H34=1,INDEX('calcA'!$D$180:$EQ$219,$B34,17)*500,0)-IF(AND('calcA'!S$117=1,UQ34&gt;0),300,0)-IF(AND($U34=1,'calcA'!T$117=1,DS34=0),300,0))),1000000000))</f>
        <v/>
      </c>
      <c r="OW34">
        <f>IF($B34=0,1000000000,IF(INDEX('calcA'!$D$60:$EQ$99,$B34,18)*IF($W34=1,DS34+AAH34,DS34)=1,IF(AND($E34=2,IF($W34=1,AFW34,JH34)=0),1000000000,IF($V34=1,INDEX('calcA'!$D$130:$EQ$169,$B34,18)+IF(AND($E34=1,JH34=0),25,0),INDEX('calcA'!U$110:U$114,$F34+1)+IF(AND($E34=1,JH34=0),1000,0)+IF($H34=1,INDEX('calcA'!$D$180:$EQ$219,$B34,18)*500,0)-IF(AND('calcA'!T$117=1,UR34&gt;0),300,0)-IF(AND($U34=1,'calcA'!U$117=1,DT34=0),300,0))),1000000000))</f>
        <v/>
      </c>
      <c r="OX34">
        <f>IF($B34=0,1000000000,IF(INDEX('calcA'!$D$60:$EQ$99,$B34,19)*IF($W34=1,DT34+AAI34,DT34)=1,IF(AND($E34=2,IF($W34=1,AFX34,JI34)=0),1000000000,IF($V34=1,INDEX('calcA'!$D$130:$EQ$169,$B34,19)+IF(AND($E34=1,JI34=0),25,0),INDEX('calcA'!V$110:V$114,$F34+1)+IF(AND($E34=1,JI34=0),1000,0)+IF($H34=1,INDEX('calcA'!$D$180:$EQ$219,$B34,19)*500,0)-IF(AND('calcA'!U$117=1,US34&gt;0),300,0)-IF(AND($U34=1,'calcA'!V$117=1,DU34=0),300,0))),1000000000))</f>
        <v/>
      </c>
      <c r="OY34">
        <f>IF($B34=0,1000000000,IF(INDEX('calcA'!$D$60:$EQ$99,$B34,20)*IF($W34=1,DU34+AAJ34,DU34)=1,IF(AND($E34=2,IF($W34=1,AFY34,JJ34)=0),1000000000,IF($V34=1,INDEX('calcA'!$D$130:$EQ$169,$B34,20)+IF(AND($E34=1,JJ34=0),25,0),INDEX('calcA'!W$110:W$114,$F34+1)+IF(AND($E34=1,JJ34=0),1000,0)+IF($H34=1,INDEX('calcA'!$D$180:$EQ$219,$B34,20)*500,0)-IF(AND('calcA'!V$117=1,UT34&gt;0),300,0)-IF(AND($U34=1,'calcA'!W$117=1,DV34=0),300,0))),1000000000))</f>
        <v/>
      </c>
      <c r="OZ34">
        <f>IF($B34=0,1000000000,IF(INDEX('calcA'!$D$60:$EQ$99,$B34,21)*IF($W34=1,DV34+AAK34,DV34)=1,IF(AND($E34=2,IF($W34=1,AFZ34,JK34)=0),1000000000,IF($V34=1,INDEX('calcA'!$D$130:$EQ$169,$B34,21)+IF(AND($E34=1,JK34=0),25,0),INDEX('calcA'!X$110:X$114,$F34+1)+IF(AND($E34=1,JK34=0),1000,0)+IF($H34=1,INDEX('calcA'!$D$180:$EQ$219,$B34,21)*500,0)-IF(AND('calcA'!W$117=1,UU34&gt;0),300,0)-IF(AND($U34=1,'calcA'!X$117=1,DW34=0),300,0))),1000000000))</f>
        <v/>
      </c>
      <c r="PA34">
        <f>IF($B34=0,1000000000,IF(INDEX('calcA'!$D$60:$EQ$99,$B34,22)*IF($W34=1,DW34+AAL34,DW34)=1,IF(AND($E34=2,IF($W34=1,AGA34,JL34)=0),1000000000,IF($V34=1,INDEX('calcA'!$D$130:$EQ$169,$B34,22)+IF(AND($E34=1,JL34=0),25,0),INDEX('calcA'!Y$110:Y$114,$F34+1)+IF(AND($E34=1,JL34=0),1000,0)+IF($H34=1,INDEX('calcA'!$D$180:$EQ$219,$B34,22)*500,0)-IF(AND('calcA'!X$117=1,UV34&gt;0),300,0)-IF(AND($U34=1,'calcA'!Y$117=1,DX34=0),300,0))),1000000000))</f>
        <v/>
      </c>
      <c r="PB34">
        <f>IF($B34=0,1000000000,IF(INDEX('calcA'!$D$60:$EQ$99,$B34,23)*IF($W34=1,DX34+AAM34,DX34)=1,IF(AND($E34=2,IF($W34=1,AGB34,JM34)=0),1000000000,IF($V34=1,INDEX('calcA'!$D$130:$EQ$169,$B34,23)+IF(AND($E34=1,JM34=0),25,0),INDEX('calcA'!Z$110:Z$114,$F34+1)+IF(AND($E34=1,JM34=0),1000,0)+IF($H34=1,INDEX('calcA'!$D$180:$EQ$219,$B34,23)*500,0)-IF(AND('calcA'!Y$117=1,UW34&gt;0),300,0)-IF(AND($U34=1,'calcA'!Z$117=1,DY34=0),300,0))),1000000000))</f>
        <v/>
      </c>
      <c r="PC34">
        <f>IF($B34=0,1000000000,IF(INDEX('calcA'!$D$60:$EQ$99,$B34,24)*IF($W34=1,DY34+AAN34,DY34)=1,IF(AND($E34=2,IF($W34=1,AGC34,JN34)=0),1000000000,IF($V34=1,INDEX('calcA'!$D$130:$EQ$169,$B34,24)+IF(AND($E34=1,JN34=0),25,0),INDEX('calcA'!AA$110:AA$114,$F34+1)+IF(AND($E34=1,JN34=0),1000,0)+IF($H34=1,INDEX('calcA'!$D$180:$EQ$219,$B34,24)*500,0)-IF(AND('calcA'!Z$117=1,UX34&gt;0),300,0))),1000000000))</f>
        <v/>
      </c>
      <c r="PD34">
        <f>IF($B34=0,1000000000,IF(INDEX('calcA'!$D$60:$EQ$99,$B34,25)*IF($W34=1,DZ34+AAO34,DZ34)=1,IF(AND($E34=2,IF($W34=1,AGD34,JO34)=0),1000000000,IF($V34=1,INDEX('calcA'!$D$130:$EQ$169,$B34,25)+IF(AND($E34=1,JO34=0),25,0),INDEX('calcA'!AB$110:AB$114,$F34+1)+IF(AND($E34=1,JO34=0),1000,0)+IF($H34=1,INDEX('calcA'!$D$180:$EQ$219,$B34,25)*500,0)-IF(AND($U34=1,'calcA'!AB$117=1,EA34=0),300,0))),1000000000))</f>
        <v/>
      </c>
      <c r="PE34">
        <f>IF($B34=0,1000000000,IF(INDEX('calcA'!$D$60:$EQ$99,$B34,26)*IF($W34=1,EA34+AAP34,EA34)=1,IF(AND($E34=2,IF($W34=1,AGE34,JP34)=0),1000000000,IF($V34=1,INDEX('calcA'!$D$130:$EQ$169,$B34,26)+IF(AND($E34=1,JP34=0),25,0),INDEX('calcA'!AC$110:AC$114,$F34+1)+IF(AND($E34=1,JP34=0),1000,0)+IF($H34=1,INDEX('calcA'!$D$180:$EQ$219,$B34,26)*500,0)-IF(AND('calcA'!AB$117=1,UZ34&gt;0),300,0)-IF(AND($U34=1,'calcA'!AC$117=1,EB34=0),300,0))),1000000000))</f>
        <v/>
      </c>
      <c r="PF34">
        <f>IF($B34=0,1000000000,IF(INDEX('calcA'!$D$60:$EQ$99,$B34,27)*IF($W34=1,EB34+AAQ34,EB34)=1,IF(AND($E34=2,IF($W34=1,AGF34,JQ34)=0),1000000000,IF($V34=1,INDEX('calcA'!$D$130:$EQ$169,$B34,27)+IF(AND($E34=1,JQ34=0),25,0),INDEX('calcA'!AD$110:AD$114,$F34+1)+IF(AND($E34=1,JQ34=0),1000,0)+IF($H34=1,INDEX('calcA'!$D$180:$EQ$219,$B34,27)*500,0)-IF(AND('calcA'!AC$117=1,VA34&gt;0),300,0)-IF(AND($U34=1,'calcA'!AD$117=1,EC34=0),300,0))),1000000000))</f>
        <v/>
      </c>
      <c r="PG34">
        <f>IF($B34=0,1000000000,IF(INDEX('calcA'!$D$60:$EQ$99,$B34,28)*IF($W34=1,EC34+AAR34,EC34)=1,IF(AND($E34=2,IF($W34=1,AGG34,JR34)=0),1000000000,IF($V34=1,INDEX('calcA'!$D$130:$EQ$169,$B34,28)+IF(AND($E34=1,JR34=0),25,0),INDEX('calcA'!AE$110:AE$114,$F34+1)+IF(AND($E34=1,JR34=0),1000,0)+IF($H34=1,INDEX('calcA'!$D$180:$EQ$219,$B34,28)*500,0)-IF(AND('calcA'!AD$117=1,VB34&gt;0),300,0)-IF(AND($U34=1,'calcA'!AE$117=1,ED34=0),300,0))),1000000000))</f>
        <v/>
      </c>
      <c r="PH34">
        <f>IF($B34=0,1000000000,IF(INDEX('calcA'!$D$60:$EQ$99,$B34,29)*IF($W34=1,ED34+AAS34,ED34)=1,IF(AND($E34=2,IF($W34=1,AGH34,JS34)=0),1000000000,IF($V34=1,INDEX('calcA'!$D$130:$EQ$169,$B34,29)+IF(AND($E34=1,JS34=0),25,0),INDEX('calcA'!AF$110:AF$114,$F34+1)+IF(AND($E34=1,JS34=0),1000,0)+IF($H34=1,INDEX('calcA'!$D$180:$EQ$219,$B34,29)*500,0)-IF(AND('calcA'!AE$117=1,VC34&gt;0),300,0)-IF(AND($U34=1,'calcA'!AF$117=1,EE34=0),300,0))),1000000000))</f>
        <v/>
      </c>
      <c r="PI34">
        <f>IF($B34=0,1000000000,IF(INDEX('calcA'!$D$60:$EQ$99,$B34,30)*IF($W34=1,EE34+AAT34,EE34)=1,IF(AND($E34=2,IF($W34=1,AGI34,JT34)=0),1000000000,IF($V34=1,INDEX('calcA'!$D$130:$EQ$169,$B34,30)+IF(AND($E34=1,JT34=0),25,0),INDEX('calcA'!AG$110:AG$114,$F34+1)+IF(AND($E34=1,JT34=0),1000,0)+IF($H34=1,INDEX('calcA'!$D$180:$EQ$219,$B34,30)*500,0)-IF(AND('calcA'!AF$117=1,VD34&gt;0),300,0)-IF(AND($U34=1,'calcA'!AG$117=1,EF34=0),300,0))),1000000000))</f>
        <v/>
      </c>
      <c r="PJ34">
        <f>IF($B34=0,1000000000,IF(INDEX('calcA'!$D$60:$EQ$99,$B34,31)*IF($W34=1,EF34+AAU34,EF34)=1,IF(AND($E34=2,IF($W34=1,AGJ34,JU34)=0),1000000000,IF($V34=1,INDEX('calcA'!$D$130:$EQ$169,$B34,31)+IF(AND($E34=1,JU34=0),25,0),INDEX('calcA'!AH$110:AH$114,$F34+1)+IF(AND($E34=1,JU34=0),1000,0)+IF($H34=1,INDEX('calcA'!$D$180:$EQ$219,$B34,31)*500,0)-IF(AND('calcA'!AG$117=1,VE34&gt;0),300,0)-IF(AND($U34=1,'calcA'!AH$117=1,EG34=0),300,0))),1000000000))</f>
        <v/>
      </c>
      <c r="PK34">
        <f>IF($B34=0,1000000000,IF(INDEX('calcA'!$D$60:$EQ$99,$B34,32)*IF($W34=1,EG34+AAV34,EG34)=1,IF(AND($E34=2,IF($W34=1,AGK34,JV34)=0),1000000000,IF($V34=1,INDEX('calcA'!$D$130:$EQ$169,$B34,32)+IF(AND($E34=1,JV34=0),25,0),INDEX('calcA'!AI$110:AI$114,$F34+1)+IF(AND($E34=1,JV34=0),1000,0)+IF($H34=1,INDEX('calcA'!$D$180:$EQ$219,$B34,32)*500,0)-IF(AND('calcA'!AH$117=1,VF34&gt;0),300,0)-IF(AND($U34=1,'calcA'!AI$117=1,EH34=0),300,0))),1000000000))</f>
        <v/>
      </c>
      <c r="PL34">
        <f>IF($B34=0,1000000000,IF(INDEX('calcA'!$D$60:$EQ$99,$B34,33)*IF($W34=1,EH34+AAW34,EH34)=1,IF(AND($E34=2,IF($W34=1,AGL34,JW34)=0),1000000000,IF($V34=1,INDEX('calcA'!$D$130:$EQ$169,$B34,33)+IF(AND($E34=1,JW34=0),25,0),INDEX('calcA'!AJ$110:AJ$114,$F34+1)+IF(AND($E34=1,JW34=0),1000,0)+IF($H34=1,INDEX('calcA'!$D$180:$EQ$219,$B34,33)*500,0)-IF(AND('calcA'!AI$117=1,VG34&gt;0),300,0)-IF(AND($U34=1,'calcA'!AJ$117=1,EI34=0),300,0))),1000000000))</f>
        <v/>
      </c>
      <c r="PM34">
        <f>IF($B34=0,1000000000,IF(INDEX('calcA'!$D$60:$EQ$99,$B34,34)*IF($W34=1,EI34+AAX34,EI34)=1,IF(AND($E34=2,IF($W34=1,AGM34,JX34)=0),1000000000,IF($V34=1,INDEX('calcA'!$D$130:$EQ$169,$B34,34)+IF(AND($E34=1,JX34=0),25,0),INDEX('calcA'!AK$110:AK$114,$F34+1)+IF(AND($E34=1,JX34=0),1000,0)+IF($H34=1,INDEX('calcA'!$D$180:$EQ$219,$B34,34)*500,0)-IF(AND('calcA'!AJ$117=1,VH34&gt;0),300,0)-IF(AND($U34=1,'calcA'!AK$117=1,EJ34=0),300,0))),1000000000))</f>
        <v/>
      </c>
      <c r="PN34">
        <f>IF($B34=0,1000000000,IF(INDEX('calcA'!$D$60:$EQ$99,$B34,35)*IF($W34=1,EJ34+AAY34,EJ34)=1,IF(AND($E34=2,IF($W34=1,AGN34,JY34)=0),1000000000,IF($V34=1,INDEX('calcA'!$D$130:$EQ$169,$B34,35)+IF(AND($E34=1,JY34=0),25,0),INDEX('calcA'!AL$110:AL$114,$F34+1)+IF(AND($E34=1,JY34=0),1000,0)+IF($H34=1,INDEX('calcA'!$D$180:$EQ$219,$B34,35)*500,0)-IF(AND('calcA'!AK$117=1,VI34&gt;0),300,0)-IF(AND($U34=1,'calcA'!AL$117=1,EK34=0),300,0))),1000000000))</f>
        <v/>
      </c>
      <c r="PO34">
        <f>IF($B34=0,1000000000,IF(INDEX('calcA'!$D$60:$EQ$99,$B34,36)*IF($W34=1,EK34+AAZ34,EK34)=1,IF(AND($E34=2,IF($W34=1,AGO34,JZ34)=0),1000000000,IF($V34=1,INDEX('calcA'!$D$130:$EQ$169,$B34,36)+IF(AND($E34=1,JZ34=0),25,0),INDEX('calcA'!AM$110:AM$114,$F34+1)+IF(AND($E34=1,JZ34=0),1000,0)+IF($H34=1,INDEX('calcA'!$D$180:$EQ$219,$B34,36)*500,0)-IF(AND('calcA'!AL$117=1,VJ34&gt;0),300,0)-IF(AND($U34=1,'calcA'!AM$117=1,EL34=0),300,0))),1000000000))</f>
        <v/>
      </c>
      <c r="PP34">
        <f>IF($B34=0,1000000000,IF(INDEX('calcA'!$D$60:$EQ$99,$B34,37)*IF($W34=1,EL34+ABA34,EL34)=1,IF(AND($E34=2,IF($W34=1,AGP34,KA34)=0),1000000000,IF($V34=1,INDEX('calcA'!$D$130:$EQ$169,$B34,37)+IF(AND($E34=1,KA34=0),25,0),INDEX('calcA'!AN$110:AN$114,$F34+1)+IF(AND($E34=1,KA34=0),1000,0)+IF($H34=1,INDEX('calcA'!$D$180:$EQ$219,$B34,37)*500,0)-IF(AND('calcA'!AM$117=1,VK34&gt;0),300,0)-IF(AND($U34=1,'calcA'!AN$117=1,EM34=0),300,0))),1000000000))</f>
        <v/>
      </c>
      <c r="PQ34">
        <f>IF($B34=0,1000000000,IF(INDEX('calcA'!$D$60:$EQ$99,$B34,38)*IF($W34=1,EM34+ABB34,EM34)=1,IF(AND($E34=2,IF($W34=1,AGQ34,KB34)=0),1000000000,IF($V34=1,INDEX('calcA'!$D$130:$EQ$169,$B34,38)+IF(AND($E34=1,KB34=0),25,0),INDEX('calcA'!AO$110:AO$114,$F34+1)+IF(AND($E34=1,KB34=0),1000,0)+IF($H34=1,INDEX('calcA'!$D$180:$EQ$219,$B34,38)*500,0)-IF(AND('calcA'!AN$117=1,VL34&gt;0),300,0)-IF(AND($U34=1,'calcA'!AO$117=1,EN34=0),300,0))),1000000000))</f>
        <v/>
      </c>
      <c r="PR34">
        <f>IF($B34=0,1000000000,IF(INDEX('calcA'!$D$60:$EQ$99,$B34,39)*IF($W34=1,EN34+ABC34,EN34)=1,IF(AND($E34=2,IF($W34=1,AGR34,KC34)=0),1000000000,IF($V34=1,INDEX('calcA'!$D$130:$EQ$169,$B34,39)+IF(AND($E34=1,KC34=0),25,0),INDEX('calcA'!AP$110:AP$114,$F34+1)+IF(AND($E34=1,KC34=0),1000,0)+IF($H34=1,INDEX('calcA'!$D$180:$EQ$219,$B34,39)*500,0)-IF(AND('calcA'!AO$117=1,VM34&gt;0),300,0)-IF(AND($U34=1,'calcA'!AP$117=1,EO34=0),300,0))),1000000000))</f>
        <v/>
      </c>
      <c r="PS34">
        <f>IF($B34=0,1000000000,IF(INDEX('calcA'!$D$60:$EQ$99,$B34,40)*IF($W34=1,EO34+ABD34,EO34)=1,IF(AND($E34=2,IF($W34=1,AGS34,KD34)=0),1000000000,IF($V34=1,INDEX('calcA'!$D$130:$EQ$169,$B34,40)+IF(AND($E34=1,KD34=0),25,0),INDEX('calcA'!AQ$110:AQ$114,$F34+1)+IF(AND($E34=1,KD34=0),1000,0)+IF($H34=1,INDEX('calcA'!$D$180:$EQ$219,$B34,40)*500,0)-IF(AND('calcA'!AP$117=1,VN34&gt;0),300,0)-IF(AND($U34=1,'calcA'!AQ$117=1,EP34=0),300,0))),1000000000))</f>
        <v/>
      </c>
      <c r="PT34">
        <f>IF($B34=0,1000000000,IF(INDEX('calcA'!$D$60:$EQ$99,$B34,41)*IF($W34=1,EP34+ABE34,EP34)=1,IF(AND($E34=2,IF($W34=1,AGT34,KE34)=0),1000000000,IF($V34=1,INDEX('calcA'!$D$130:$EQ$169,$B34,41)+IF(AND($E34=1,KE34=0),25,0),INDEX('calcA'!AR$110:AR$114,$F34+1)+IF(AND($E34=1,KE34=0),1000,0)+IF($H34=1,INDEX('calcA'!$D$180:$EQ$219,$B34,41)*500,0)-IF(AND('calcA'!AQ$117=1,VO34&gt;0),300,0)-IF(AND($U34=1,'calcA'!AR$117=1,EQ34=0),300,0))),1000000000))</f>
        <v/>
      </c>
      <c r="PU34">
        <f>IF($B34=0,1000000000,IF(INDEX('calcA'!$D$60:$EQ$99,$B34,42)*IF($W34=1,EQ34+ABF34,EQ34)=1,IF(AND($E34=2,IF($W34=1,AGU34,KF34)=0),1000000000,IF($V34=1,INDEX('calcA'!$D$130:$EQ$169,$B34,42)+IF(AND($E34=1,KF34=0),25,0),INDEX('calcA'!AS$110:AS$114,$F34+1)+IF(AND($E34=1,KF34=0),1000,0)+IF($H34=1,INDEX('calcA'!$D$180:$EQ$219,$B34,42)*500,0)-IF(AND('calcA'!AR$117=1,VP34&gt;0),300,0)-IF(AND($U34=1,'calcA'!AS$117=1,ER34=0),300,0))),1000000000))</f>
        <v/>
      </c>
      <c r="PV34">
        <f>IF($B34=0,1000000000,IF(INDEX('calcA'!$D$60:$EQ$99,$B34,43)*IF($W34=1,ER34+ABG34,ER34)=1,IF(AND($E34=2,IF($W34=1,AGV34,KG34)=0),1000000000,IF($V34=1,INDEX('calcA'!$D$130:$EQ$169,$B34,43)+IF(AND($E34=1,KG34=0),25,0),INDEX('calcA'!AT$110:AT$114,$F34+1)+IF(AND($E34=1,KG34=0),1000,0)+IF($H34=1,INDEX('calcA'!$D$180:$EQ$219,$B34,43)*500,0)-IF(AND('calcA'!AS$117=1,VQ34&gt;0),300,0)-IF(AND($U34=1,'calcA'!AT$117=1,ES34=0),300,0))),1000000000))</f>
        <v/>
      </c>
      <c r="PW34">
        <f>IF($B34=0,1000000000,IF(INDEX('calcA'!$D$60:$EQ$99,$B34,44)*IF($W34=1,ES34+ABH34,ES34)=1,IF(AND($E34=2,IF($W34=1,AGW34,KH34)=0),1000000000,IF($V34=1,INDEX('calcA'!$D$130:$EQ$169,$B34,44)+IF(AND($E34=1,KH34=0),25,0),INDEX('calcA'!AU$110:AU$114,$F34+1)+IF(AND($E34=1,KH34=0),1000,0)+IF($H34=1,INDEX('calcA'!$D$180:$EQ$219,$B34,44)*500,0)-IF(AND('calcA'!AT$117=1,VR34&gt;0),300,0)-IF(AND($U34=1,'calcA'!AU$117=1,ET34=0),300,0))),1000000000))</f>
        <v/>
      </c>
      <c r="PX34">
        <f>IF($B34=0,1000000000,IF(INDEX('calcA'!$D$60:$EQ$99,$B34,45)*IF($W34=1,ET34+ABI34,ET34)=1,IF(AND($E34=2,IF($W34=1,AGX34,KI34)=0),1000000000,IF($V34=1,INDEX('calcA'!$D$130:$EQ$169,$B34,45)+IF(AND($E34=1,KI34=0),25,0),INDEX('calcA'!AV$110:AV$114,$F34+1)+IF(AND($E34=1,KI34=0),1000,0)+IF($H34=1,INDEX('calcA'!$D$180:$EQ$219,$B34,45)*500,0)-IF(AND('calcA'!AU$117=1,VS34&gt;0),300,0)-IF(AND($U34=1,'calcA'!AV$117=1,EU34=0),300,0))),1000000000))</f>
        <v/>
      </c>
      <c r="PY34">
        <f>IF($B34=0,1000000000,IF(INDEX('calcA'!$D$60:$EQ$99,$B34,46)*IF($W34=1,EU34+ABJ34,EU34)=1,IF(AND($E34=2,IF($W34=1,AGY34,KJ34)=0),1000000000,IF($V34=1,INDEX('calcA'!$D$130:$EQ$169,$B34,46)+IF(AND($E34=1,KJ34=0),25,0),INDEX('calcA'!AW$110:AW$114,$F34+1)+IF(AND($E34=1,KJ34=0),1000,0)+IF($H34=1,INDEX('calcA'!$D$180:$EQ$219,$B34,46)*500,0)-IF(AND('calcA'!AV$117=1,VT34&gt;0),300,0)-IF(AND($U34=1,'calcA'!AW$117=1,EV34=0),300,0))),1000000000))</f>
        <v/>
      </c>
      <c r="PZ34">
        <f>IF($B34=0,1000000000,IF(INDEX('calcA'!$D$60:$EQ$99,$B34,47)*IF($W34=1,EV34+ABK34,EV34)=1,IF(AND($E34=2,IF($W34=1,AGZ34,KK34)=0),1000000000,IF($V34=1,INDEX('calcA'!$D$130:$EQ$169,$B34,47)+IF(AND($E34=1,KK34=0),25,0),INDEX('calcA'!AX$110:AX$114,$F34+1)+IF(AND($E34=1,KK34=0),1000,0)+IF($H34=1,INDEX('calcA'!$D$180:$EQ$219,$B34,47)*500,0)-IF(AND('calcA'!AW$117=1,VU34&gt;0),300,0)-IF(AND($U34=1,'calcA'!AX$117=1,EW34=0),300,0))),1000000000))</f>
        <v/>
      </c>
      <c r="QA34">
        <f>IF($B34=0,1000000000,IF(INDEX('calcA'!$D$60:$EQ$99,$B34,48)*IF($W34=1,EW34+ABL34,EW34)=1,IF(AND($E34=2,IF($W34=1,AHA34,KL34)=0),1000000000,IF($V34=1,INDEX('calcA'!$D$130:$EQ$169,$B34,48)+IF(AND($E34=1,KL34=0),25,0),INDEX('calcA'!AY$110:AY$114,$F34+1)+IF(AND($E34=1,KL34=0),1000,0)+IF($H34=1,INDEX('calcA'!$D$180:$EQ$219,$B34,48)*500,0)-IF(AND('calcA'!AX$117=1,VV34&gt;0),300,0))),1000000000))</f>
        <v/>
      </c>
      <c r="QB34">
        <f>IF($B34=0,1000000000,IF(INDEX('calcA'!$D$60:$EQ$99,$B34,49)*IF($W34=1,EX34+ABM34,EX34)=1,IF(AND($E34=2,IF($W34=1,AHB34,KM34)=0),1000000000,IF($V34=1,INDEX('calcA'!$D$130:$EQ$169,$B34,49)+IF(AND($E34=1,KM34=0),25,0),INDEX('calcA'!AZ$110:AZ$114,$F34+1)+IF(AND($E34=1,KM34=0),1000,0)+IF($H34=1,INDEX('calcA'!$D$180:$EQ$219,$B34,49)*500,0)-IF(AND($U34=1,'calcA'!AZ$117=1,EY34=0),300,0))),1000000000))</f>
        <v/>
      </c>
      <c r="QC34">
        <f>IF($B34=0,1000000000,IF(INDEX('calcA'!$D$60:$EQ$99,$B34,50)*IF($W34=1,EY34+ABN34,EY34)=1,IF(AND($E34=2,IF($W34=1,AHC34,KN34)=0),1000000000,IF($V34=1,INDEX('calcA'!$D$130:$EQ$169,$B34,50)+IF(AND($E34=1,KN34=0),25,0),INDEX('calcA'!BA$110:BA$114,$F34+1)+IF(AND($E34=1,KN34=0),1000,0)+IF($H34=1,INDEX('calcA'!$D$180:$EQ$219,$B34,50)*500,0)-IF(AND('calcA'!AZ$117=1,VX34&gt;0),300,0)-IF(AND($U34=1,'calcA'!BA$117=1,EZ34=0),300,0))),1000000000))</f>
        <v/>
      </c>
      <c r="QD34">
        <f>IF($B34=0,1000000000,IF(INDEX('calcA'!$D$60:$EQ$99,$B34,51)*IF($W34=1,EZ34+ABO34,EZ34)=1,IF(AND($E34=2,IF($W34=1,AHD34,KO34)=0),1000000000,IF($V34=1,INDEX('calcA'!$D$130:$EQ$169,$B34,51)+IF(AND($E34=1,KO34=0),25,0),INDEX('calcA'!BB$110:BB$114,$F34+1)+IF(AND($E34=1,KO34=0),1000,0)+IF($H34=1,INDEX('calcA'!$D$180:$EQ$219,$B34,51)*500,0)-IF(AND('calcA'!BA$117=1,VY34&gt;0),300,0)-IF(AND($U34=1,'calcA'!BB$117=1,FA34=0),300,0))),1000000000))</f>
        <v/>
      </c>
      <c r="QE34">
        <f>IF($B34=0,1000000000,IF(INDEX('calcA'!$D$60:$EQ$99,$B34,52)*IF($W34=1,FA34+ABP34,FA34)=1,IF(AND($E34=2,IF($W34=1,AHE34,KP34)=0),1000000000,IF($V34=1,INDEX('calcA'!$D$130:$EQ$169,$B34,52)+IF(AND($E34=1,KP34=0),25,0),INDEX('calcA'!BC$110:BC$114,$F34+1)+IF(AND($E34=1,KP34=0),1000,0)+IF($H34=1,INDEX('calcA'!$D$180:$EQ$219,$B34,52)*500,0)-IF(AND('calcA'!BB$117=1,VZ34&gt;0),300,0)-IF(AND($U34=1,'calcA'!BC$117=1,FB34=0),300,0))),1000000000))</f>
        <v/>
      </c>
      <c r="QF34">
        <f>IF($B34=0,1000000000,IF(INDEX('calcA'!$D$60:$EQ$99,$B34,53)*IF($W34=1,FB34+ABQ34,FB34)=1,IF(AND($E34=2,IF($W34=1,AHF34,KQ34)=0),1000000000,IF($V34=1,INDEX('calcA'!$D$130:$EQ$169,$B34,53)+IF(AND($E34=1,KQ34=0),25,0),INDEX('calcA'!BD$110:BD$114,$F34+1)+IF(AND($E34=1,KQ34=0),1000,0)+IF($H34=1,INDEX('calcA'!$D$180:$EQ$219,$B34,53)*500,0)-IF(AND('calcA'!BC$117=1,WA34&gt;0),300,0)-IF(AND($U34=1,'calcA'!BD$117=1,FC34=0),300,0))),1000000000))</f>
        <v/>
      </c>
      <c r="QG34">
        <f>IF($B34=0,1000000000,IF(INDEX('calcA'!$D$60:$EQ$99,$B34,54)*IF($W34=1,FC34+ABR34,FC34)=1,IF(AND($E34=2,IF($W34=1,AHG34,KR34)=0),1000000000,IF($V34=1,INDEX('calcA'!$D$130:$EQ$169,$B34,54)+IF(AND($E34=1,KR34=0),25,0),INDEX('calcA'!BE$110:BE$114,$F34+1)+IF(AND($E34=1,KR34=0),1000,0)+IF($H34=1,INDEX('calcA'!$D$180:$EQ$219,$B34,54)*500,0)-IF(AND('calcA'!BD$117=1,WB34&gt;0),300,0)-IF(AND($U34=1,'calcA'!BE$117=1,FD34=0),300,0))),1000000000))</f>
        <v/>
      </c>
      <c r="QH34">
        <f>IF($B34=0,1000000000,IF(INDEX('calcA'!$D$60:$EQ$99,$B34,55)*IF($W34=1,FD34+ABS34,FD34)=1,IF(AND($E34=2,IF($W34=1,AHH34,KS34)=0),1000000000,IF($V34=1,INDEX('calcA'!$D$130:$EQ$169,$B34,55)+IF(AND($E34=1,KS34=0),25,0),INDEX('calcA'!BF$110:BF$114,$F34+1)+IF(AND($E34=1,KS34=0),1000,0)+IF($H34=1,INDEX('calcA'!$D$180:$EQ$219,$B34,55)*500,0)-IF(AND('calcA'!BE$117=1,WC34&gt;0),300,0)-IF(AND($U34=1,'calcA'!BF$117=1,FE34=0),300,0))),1000000000))</f>
        <v/>
      </c>
      <c r="QI34">
        <f>IF($B34=0,1000000000,IF(INDEX('calcA'!$D$60:$EQ$99,$B34,56)*IF($W34=1,FE34+ABT34,FE34)=1,IF(AND($E34=2,IF($W34=1,AHI34,KT34)=0),1000000000,IF($V34=1,INDEX('calcA'!$D$130:$EQ$169,$B34,56)+IF(AND($E34=1,KT34=0),25,0),INDEX('calcA'!BG$110:BG$114,$F34+1)+IF(AND($E34=1,KT34=0),1000,0)+IF($H34=1,INDEX('calcA'!$D$180:$EQ$219,$B34,56)*500,0)-IF(AND('calcA'!BF$117=1,WD34&gt;0),300,0)-IF(AND($U34=1,'calcA'!BG$117=1,FF34=0),300,0))),1000000000))</f>
        <v/>
      </c>
      <c r="QJ34">
        <f>IF($B34=0,1000000000,IF(INDEX('calcA'!$D$60:$EQ$99,$B34,57)*IF($W34=1,FF34+ABU34,FF34)=1,IF(AND($E34=2,IF($W34=1,AHJ34,KU34)=0),1000000000,IF($V34=1,INDEX('calcA'!$D$130:$EQ$169,$B34,57)+IF(AND($E34=1,KU34=0),25,0),INDEX('calcA'!BH$110:BH$114,$F34+1)+IF(AND($E34=1,KU34=0),1000,0)+IF($H34=1,INDEX('calcA'!$D$180:$EQ$219,$B34,57)*500,0)-IF(AND('calcA'!BG$117=1,WE34&gt;0),300,0)-IF(AND($U34=1,'calcA'!BH$117=1,FG34=0),300,0))),1000000000))</f>
        <v/>
      </c>
      <c r="QK34">
        <f>IF($B34=0,1000000000,IF(INDEX('calcA'!$D$60:$EQ$99,$B34,58)*IF($W34=1,FG34+ABV34,FG34)=1,IF(AND($E34=2,IF($W34=1,AHK34,KV34)=0),1000000000,IF($V34=1,INDEX('calcA'!$D$130:$EQ$169,$B34,58)+IF(AND($E34=1,KV34=0),25,0),INDEX('calcA'!BI$110:BI$114,$F34+1)+IF(AND($E34=1,KV34=0),1000,0)+IF($H34=1,INDEX('calcA'!$D$180:$EQ$219,$B34,58)*500,0)-IF(AND('calcA'!BH$117=1,WF34&gt;0),300,0)-IF(AND($U34=1,'calcA'!BI$117=1,FH34=0),300,0))),1000000000))</f>
        <v/>
      </c>
      <c r="QL34">
        <f>IF($B34=0,1000000000,IF(INDEX('calcA'!$D$60:$EQ$99,$B34,59)*IF($W34=1,FH34+ABW34,FH34)=1,IF(AND($E34=2,IF($W34=1,AHL34,KW34)=0),1000000000,IF($V34=1,INDEX('calcA'!$D$130:$EQ$169,$B34,59)+IF(AND($E34=1,KW34=0),25,0),INDEX('calcA'!BJ$110:BJ$114,$F34+1)+IF(AND($E34=1,KW34=0),1000,0)+IF($H34=1,INDEX('calcA'!$D$180:$EQ$219,$B34,59)*500,0)-IF(AND('calcA'!BI$117=1,WG34&gt;0),300,0)-IF(AND($U34=1,'calcA'!BJ$117=1,FI34=0),300,0))),1000000000))</f>
        <v/>
      </c>
      <c r="QM34">
        <f>IF($B34=0,1000000000,IF(INDEX('calcA'!$D$60:$EQ$99,$B34,60)*IF($W34=1,FI34+ABX34,FI34)=1,IF(AND($E34=2,IF($W34=1,AHM34,KX34)=0),1000000000,IF($V34=1,INDEX('calcA'!$D$130:$EQ$169,$B34,60)+IF(AND($E34=1,KX34=0),25,0),INDEX('calcA'!BK$110:BK$114,$F34+1)+IF(AND($E34=1,KX34=0),1000,0)+IF($H34=1,INDEX('calcA'!$D$180:$EQ$219,$B34,60)*500,0)-IF(AND('calcA'!BJ$117=1,WH34&gt;0),300,0)-IF(AND($U34=1,'calcA'!BK$117=1,FJ34=0),300,0))),1000000000))</f>
        <v/>
      </c>
      <c r="QN34">
        <f>IF($B34=0,1000000000,IF(INDEX('calcA'!$D$60:$EQ$99,$B34,61)*IF($W34=1,FJ34+ABY34,FJ34)=1,IF(AND($E34=2,IF($W34=1,AHN34,KY34)=0),1000000000,IF($V34=1,INDEX('calcA'!$D$130:$EQ$169,$B34,61)+IF(AND($E34=1,KY34=0),25,0),INDEX('calcA'!BL$110:BL$114,$F34+1)+IF(AND($E34=1,KY34=0),1000,0)+IF($H34=1,INDEX('calcA'!$D$180:$EQ$219,$B34,61)*500,0)-IF(AND('calcA'!BK$117=1,WI34&gt;0),300,0)-IF(AND($U34=1,'calcA'!BL$117=1,FK34=0),300,0))),1000000000))</f>
        <v/>
      </c>
      <c r="QO34">
        <f>IF($B34=0,1000000000,IF(INDEX('calcA'!$D$60:$EQ$99,$B34,62)*IF($W34=1,FK34+ABZ34,FK34)=1,IF(AND($E34=2,IF($W34=1,AHO34,KZ34)=0),1000000000,IF($V34=1,INDEX('calcA'!$D$130:$EQ$169,$B34,62)+IF(AND($E34=1,KZ34=0),25,0),INDEX('calcA'!BM$110:BM$114,$F34+1)+IF(AND($E34=1,KZ34=0),1000,0)+IF($H34=1,INDEX('calcA'!$D$180:$EQ$219,$B34,62)*500,0)-IF(AND('calcA'!BL$117=1,WJ34&gt;0),300,0)-IF(AND($U34=1,'calcA'!BM$117=1,FL34=0),300,0))),1000000000))</f>
        <v/>
      </c>
      <c r="QP34">
        <f>IF($B34=0,1000000000,IF(INDEX('calcA'!$D$60:$EQ$99,$B34,63)*IF($W34=1,FL34+ACA34,FL34)=1,IF(AND($E34=2,IF($W34=1,AHP34,LA34)=0),1000000000,IF($V34=1,INDEX('calcA'!$D$130:$EQ$169,$B34,63)+IF(AND($E34=1,LA34=0),25,0),INDEX('calcA'!BN$110:BN$114,$F34+1)+IF(AND($E34=1,LA34=0),1000,0)+IF($H34=1,INDEX('calcA'!$D$180:$EQ$219,$B34,63)*500,0)-IF(AND('calcA'!BM$117=1,WK34&gt;0),300,0)-IF(AND($U34=1,'calcA'!BN$117=1,FM34=0),300,0))),1000000000))</f>
        <v/>
      </c>
      <c r="QQ34">
        <f>IF($B34=0,1000000000,IF(INDEX('calcA'!$D$60:$EQ$99,$B34,64)*IF($W34=1,FM34+ACB34,FM34)=1,IF(AND($E34=2,IF($W34=1,AHQ34,LB34)=0),1000000000,IF($V34=1,INDEX('calcA'!$D$130:$EQ$169,$B34,64)+IF(AND($E34=1,LB34=0),25,0),INDEX('calcA'!BO$110:BO$114,$F34+1)+IF(AND($E34=1,LB34=0),1000,0)+IF($H34=1,INDEX('calcA'!$D$180:$EQ$219,$B34,64)*500,0)-IF(AND('calcA'!BN$117=1,WL34&gt;0),300,0)-IF(AND($U34=1,'calcA'!BO$117=1,FN34=0),300,0))),1000000000))</f>
        <v/>
      </c>
      <c r="QR34">
        <f>IF($B34=0,1000000000,IF(INDEX('calcA'!$D$60:$EQ$99,$B34,65)*IF($W34=1,FN34+ACC34,FN34)=1,IF(AND($E34=2,IF($W34=1,AHR34,LC34)=0),1000000000,IF($V34=1,INDEX('calcA'!$D$130:$EQ$169,$B34,65)+IF(AND($E34=1,LC34=0),25,0),INDEX('calcA'!BP$110:BP$114,$F34+1)+IF(AND($E34=1,LC34=0),1000,0)+IF($H34=1,INDEX('calcA'!$D$180:$EQ$219,$B34,65)*500,0)-IF(AND('calcA'!BO$117=1,WM34&gt;0),300,0)-IF(AND($U34=1,'calcA'!BP$117=1,FO34=0),300,0))),1000000000))</f>
        <v/>
      </c>
      <c r="QS34">
        <f>IF($B34=0,1000000000,IF(INDEX('calcA'!$D$60:$EQ$99,$B34,66)*IF($W34=1,FO34+ACD34,FO34)=1,IF(AND($E34=2,IF($W34=1,AHS34,LD34)=0),1000000000,IF($V34=1,INDEX('calcA'!$D$130:$EQ$169,$B34,66)+IF(AND($E34=1,LD34=0),25,0),INDEX('calcA'!BQ$110:BQ$114,$F34+1)+IF(AND($E34=1,LD34=0),1000,0)+IF($H34=1,INDEX('calcA'!$D$180:$EQ$219,$B34,66)*500,0)-IF(AND('calcA'!BP$117=1,WN34&gt;0),300,0)-IF(AND($U34=1,'calcA'!BQ$117=1,FP34=0),300,0))),1000000000))</f>
        <v/>
      </c>
      <c r="QT34">
        <f>IF($B34=0,1000000000,IF(INDEX('calcA'!$D$60:$EQ$99,$B34,67)*IF($W34=1,FP34+ACE34,FP34)=1,IF(AND($E34=2,IF($W34=1,AHT34,LE34)=0),1000000000,IF($V34=1,INDEX('calcA'!$D$130:$EQ$169,$B34,67)+IF(AND($E34=1,LE34=0),25,0),INDEX('calcA'!BR$110:BR$114,$F34+1)+IF(AND($E34=1,LE34=0),1000,0)+IF($H34=1,INDEX('calcA'!$D$180:$EQ$219,$B34,67)*500,0)-IF(AND('calcA'!BQ$117=1,WO34&gt;0),300,0)-IF(AND($U34=1,'calcA'!BR$117=1,FQ34=0),300,0))),1000000000))</f>
        <v/>
      </c>
      <c r="QU34">
        <f>IF($B34=0,1000000000,IF(INDEX('calcA'!$D$60:$EQ$99,$B34,68)*IF($W34=1,FQ34+ACF34,FQ34)=1,IF(AND($E34=2,IF($W34=1,AHU34,LF34)=0),1000000000,IF($V34=1,INDEX('calcA'!$D$130:$EQ$169,$B34,68)+IF(AND($E34=1,LF34=0),25,0),INDEX('calcA'!BS$110:BS$114,$F34+1)+IF(AND($E34=1,LF34=0),1000,0)+IF($H34=1,INDEX('calcA'!$D$180:$EQ$219,$B34,68)*500,0)-IF(AND('calcA'!BR$117=1,WP34&gt;0),300,0)-IF(AND($U34=1,'calcA'!BS$117=1,FR34=0),300,0))),1000000000))</f>
        <v/>
      </c>
      <c r="QV34">
        <f>IF($B34=0,1000000000,IF(INDEX('calcA'!$D$60:$EQ$99,$B34,69)*IF($W34=1,FR34+ACG34,FR34)=1,IF(AND($E34=2,IF($W34=1,AHV34,LG34)=0),1000000000,IF($V34=1,INDEX('calcA'!$D$130:$EQ$169,$B34,69)+IF(AND($E34=1,LG34=0),25,0),INDEX('calcA'!BT$110:BT$114,$F34+1)+IF(AND($E34=1,LG34=0),1000,0)+IF($H34=1,INDEX('calcA'!$D$180:$EQ$219,$B34,69)*500,0)-IF(AND('calcA'!BS$117=1,WQ34&gt;0),300,0)-IF(AND($U34=1,'calcA'!BT$117=1,FS34=0),300,0))),1000000000))</f>
        <v/>
      </c>
      <c r="QW34">
        <f>IF($B34=0,1000000000,IF(INDEX('calcA'!$D$60:$EQ$99,$B34,70)*IF($W34=1,FS34+ACH34,FS34)=1,IF(AND($E34=2,IF($W34=1,AHW34,LH34)=0),1000000000,IF($V34=1,INDEX('calcA'!$D$130:$EQ$169,$B34,70)+IF(AND($E34=1,LH34=0),25,0),INDEX('calcA'!BU$110:BU$114,$F34+1)+IF(AND($E34=1,LH34=0),1000,0)+IF($H34=1,INDEX('calcA'!$D$180:$EQ$219,$B34,70)*500,0)-IF(AND('calcA'!BT$117=1,WR34&gt;0),300,0)-IF(AND($U34=1,'calcA'!BU$117=1,FT34=0),300,0))),1000000000))</f>
        <v/>
      </c>
      <c r="QX34">
        <f>IF($B34=0,1000000000,IF(INDEX('calcA'!$D$60:$EQ$99,$B34,71)*IF($W34=1,FT34+ACI34,FT34)=1,IF(AND($E34=2,IF($W34=1,AHX34,LI34)=0),1000000000,IF($V34=1,INDEX('calcA'!$D$130:$EQ$169,$B34,71)+IF(AND($E34=1,LI34=0),25,0),INDEX('calcA'!BV$110:BV$114,$F34+1)+IF(AND($E34=1,LI34=0),1000,0)+IF($H34=1,INDEX('calcA'!$D$180:$EQ$219,$B34,71)*500,0)-IF(AND('calcA'!BU$117=1,WS34&gt;0),300,0)-IF(AND($U34=1,'calcA'!BV$117=1,FU34=0),300,0))),1000000000))</f>
        <v/>
      </c>
      <c r="QY34">
        <f>IF($B34=0,1000000000,IF(INDEX('calcA'!$D$60:$EQ$99,$B34,72)*IF($W34=1,FU34+ACJ34,FU34)=1,IF(AND($E34=2,IF($W34=1,AHY34,LJ34)=0),1000000000,IF($V34=1,INDEX('calcA'!$D$130:$EQ$169,$B34,72)+IF(AND($E34=1,LJ34=0),25,0),INDEX('calcA'!BW$110:BW$114,$F34+1)+IF(AND($E34=1,LJ34=0),1000,0)+IF($H34=1,INDEX('calcA'!$D$180:$EQ$219,$B34,72)*500,0)-IF(AND('calcA'!BV$117=1,WT34&gt;0),300,0))),1000000000))</f>
        <v/>
      </c>
      <c r="QZ34">
        <f>IF($B34=0,1000000000,IF(INDEX('calcA'!$D$60:$EQ$99,$B34,73)*IF($W34=1,FV34+ACK34,FV34)=1,IF(AND($E34=2,IF($W34=1,AHZ34,LK34)=0),1000000000,IF($V34=1,INDEX('calcA'!$D$130:$EQ$169,$B34,73)+IF(AND($E34=1,LK34=0),25,0),INDEX('calcA'!BX$110:BX$114,$F34+1)+IF(AND($E34=1,LK34=0),1000,0)+IF($H34=1,INDEX('calcA'!$D$180:$EQ$219,$B34,73)*500,0)-IF(AND($U34=1,'calcA'!BX$117=1,FW34=0),300,0))),1000000000))</f>
        <v/>
      </c>
      <c r="RA34">
        <f>IF($B34=0,1000000000,IF(INDEX('calcA'!$D$60:$EQ$99,$B34,74)*IF($W34=1,FW34+ACL34,FW34)=1,IF(AND($E34=2,IF($W34=1,AIA34,LL34)=0),1000000000,IF($V34=1,INDEX('calcA'!$D$130:$EQ$169,$B34,74)+IF(AND($E34=1,LL34=0),25,0),INDEX('calcA'!BY$110:BY$114,$F34+1)+IF(AND($E34=1,LL34=0),1000,0)+IF($H34=1,INDEX('calcA'!$D$180:$EQ$219,$B34,74)*500,0)-IF(AND('calcA'!BX$117=1,WV34&gt;0),300,0)-IF(AND($U34=1,'calcA'!BY$117=1,FX34=0),300,0))),1000000000))</f>
        <v/>
      </c>
      <c r="RB34">
        <f>IF($B34=0,1000000000,IF(INDEX('calcA'!$D$60:$EQ$99,$B34,75)*IF($W34=1,FX34+ACM34,FX34)=1,IF(AND($E34=2,IF($W34=1,AIB34,LM34)=0),1000000000,IF($V34=1,INDEX('calcA'!$D$130:$EQ$169,$B34,75)+IF(AND($E34=1,LM34=0),25,0),INDEX('calcA'!BZ$110:BZ$114,$F34+1)+IF(AND($E34=1,LM34=0),1000,0)+IF($H34=1,INDEX('calcA'!$D$180:$EQ$219,$B34,75)*500,0)-IF(AND('calcA'!BY$117=1,WW34&gt;0),300,0)-IF(AND($U34=1,'calcA'!BZ$117=1,FY34=0),300,0))),1000000000))</f>
        <v/>
      </c>
      <c r="RC34">
        <f>IF($B34=0,1000000000,IF(INDEX('calcA'!$D$60:$EQ$99,$B34,76)*IF($W34=1,FY34+ACN34,FY34)=1,IF(AND($E34=2,IF($W34=1,AIC34,LN34)=0),1000000000,IF($V34=1,INDEX('calcA'!$D$130:$EQ$169,$B34,76)+IF(AND($E34=1,LN34=0),25,0),INDEX('calcA'!CA$110:CA$114,$F34+1)+IF(AND($E34=1,LN34=0),1000,0)+IF($H34=1,INDEX('calcA'!$D$180:$EQ$219,$B34,76)*500,0)-IF(AND('calcA'!BZ$117=1,WX34&gt;0),300,0)-IF(AND($U34=1,'calcA'!CA$117=1,FZ34=0),300,0))),1000000000))</f>
        <v/>
      </c>
      <c r="RD34">
        <f>IF($B34=0,1000000000,IF(INDEX('calcA'!$D$60:$EQ$99,$B34,77)*IF($W34=1,FZ34+ACO34,FZ34)=1,IF(AND($E34=2,IF($W34=1,AID34,LO34)=0),1000000000,IF($V34=1,INDEX('calcA'!$D$130:$EQ$169,$B34,77)+IF(AND($E34=1,LO34=0),25,0),INDEX('calcA'!CB$110:CB$114,$F34+1)+IF(AND($E34=1,LO34=0),1000,0)+IF($H34=1,INDEX('calcA'!$D$180:$EQ$219,$B34,77)*500,0)-IF(AND('calcA'!CA$117=1,WY34&gt;0),300,0)-IF(AND($U34=1,'calcA'!CB$117=1,GA34=0),300,0))),1000000000))</f>
        <v/>
      </c>
      <c r="RE34">
        <f>IF($B34=0,1000000000,IF(INDEX('calcA'!$D$60:$EQ$99,$B34,78)*IF($W34=1,GA34+ACP34,GA34)=1,IF(AND($E34=2,IF($W34=1,AIE34,LP34)=0),1000000000,IF($V34=1,INDEX('calcA'!$D$130:$EQ$169,$B34,78)+IF(AND($E34=1,LP34=0),25,0),INDEX('calcA'!CC$110:CC$114,$F34+1)+IF(AND($E34=1,LP34=0),1000,0)+IF($H34=1,INDEX('calcA'!$D$180:$EQ$219,$B34,78)*500,0)-IF(AND('calcA'!CB$117=1,WZ34&gt;0),300,0)-IF(AND($U34=1,'calcA'!CC$117=1,GB34=0),300,0))),1000000000))</f>
        <v/>
      </c>
      <c r="RF34">
        <f>IF($B34=0,1000000000,IF(INDEX('calcA'!$D$60:$EQ$99,$B34,79)*IF($W34=1,GB34+ACQ34,GB34)=1,IF(AND($E34=2,IF($W34=1,AIF34,LQ34)=0),1000000000,IF($V34=1,INDEX('calcA'!$D$130:$EQ$169,$B34,79)+IF(AND($E34=1,LQ34=0),25,0),INDEX('calcA'!CD$110:CD$114,$F34+1)+IF(AND($E34=1,LQ34=0),1000,0)+IF($H34=1,INDEX('calcA'!$D$180:$EQ$219,$B34,79)*500,0)-IF(AND('calcA'!CC$117=1,XA34&gt;0),300,0)-IF(AND($U34=1,'calcA'!CD$117=1,GC34=0),300,0))),1000000000))</f>
        <v/>
      </c>
      <c r="RG34">
        <f>IF($B34=0,1000000000,IF(INDEX('calcA'!$D$60:$EQ$99,$B34,80)*IF($W34=1,GC34+ACR34,GC34)=1,IF(AND($E34=2,IF($W34=1,AIG34,LR34)=0),1000000000,IF($V34=1,INDEX('calcA'!$D$130:$EQ$169,$B34,80)+IF(AND($E34=1,LR34=0),25,0),INDEX('calcA'!CE$110:CE$114,$F34+1)+IF(AND($E34=1,LR34=0),1000,0)+IF($H34=1,INDEX('calcA'!$D$180:$EQ$219,$B34,80)*500,0)-IF(AND('calcA'!CD$117=1,XB34&gt;0),300,0)-IF(AND($U34=1,'calcA'!CE$117=1,GD34=0),300,0))),1000000000))</f>
        <v/>
      </c>
      <c r="RH34">
        <f>IF($B34=0,1000000000,IF(INDEX('calcA'!$D$60:$EQ$99,$B34,81)*IF($W34=1,GD34+ACS34,GD34)=1,IF(AND($E34=2,IF($W34=1,AIH34,LS34)=0),1000000000,IF($V34=1,INDEX('calcA'!$D$130:$EQ$169,$B34,81)+IF(AND($E34=1,LS34=0),25,0),INDEX('calcA'!CF$110:CF$114,$F34+1)+IF(AND($E34=1,LS34=0),1000,0)+IF($H34=1,INDEX('calcA'!$D$180:$EQ$219,$B34,81)*500,0)-IF(AND('calcA'!CE$117=1,XC34&gt;0),300,0)-IF(AND($U34=1,'calcA'!CF$117=1,GE34=0),300,0))),1000000000))</f>
        <v/>
      </c>
      <c r="RI34">
        <f>IF($B34=0,1000000000,IF(INDEX('calcA'!$D$60:$EQ$99,$B34,82)*IF($W34=1,GE34+ACT34,GE34)=1,IF(AND($E34=2,IF($W34=1,AII34,LT34)=0),1000000000,IF($V34=1,INDEX('calcA'!$D$130:$EQ$169,$B34,82)+IF(AND($E34=1,LT34=0),25,0),INDEX('calcA'!CG$110:CG$114,$F34+1)+IF(AND($E34=1,LT34=0),1000,0)+IF($H34=1,INDEX('calcA'!$D$180:$EQ$219,$B34,82)*500,0)-IF(AND('calcA'!CF$117=1,XD34&gt;0),300,0)-IF(AND($U34=1,'calcA'!CG$117=1,GF34=0),300,0))),1000000000))</f>
        <v/>
      </c>
      <c r="RJ34">
        <f>IF($B34=0,1000000000,IF(INDEX('calcA'!$D$60:$EQ$99,$B34,83)*IF($W34=1,GF34+ACU34,GF34)=1,IF(AND($E34=2,IF($W34=1,AIJ34,LU34)=0),1000000000,IF($V34=1,INDEX('calcA'!$D$130:$EQ$169,$B34,83)+IF(AND($E34=1,LU34=0),25,0),INDEX('calcA'!CH$110:CH$114,$F34+1)+IF(AND($E34=1,LU34=0),1000,0)+IF($H34=1,INDEX('calcA'!$D$180:$EQ$219,$B34,83)*500,0)-IF(AND('calcA'!CG$117=1,XE34&gt;0),300,0)-IF(AND($U34=1,'calcA'!CH$117=1,GG34=0),300,0))),1000000000))</f>
        <v/>
      </c>
      <c r="RK34">
        <f>IF($B34=0,1000000000,IF(INDEX('calcA'!$D$60:$EQ$99,$B34,84)*IF($W34=1,GG34+ACV34,GG34)=1,IF(AND($E34=2,IF($W34=1,AIK34,LV34)=0),1000000000,IF($V34=1,INDEX('calcA'!$D$130:$EQ$169,$B34,84)+IF(AND($E34=1,LV34=0),25,0),INDEX('calcA'!CI$110:CI$114,$F34+1)+IF(AND($E34=1,LV34=0),1000,0)+IF($H34=1,INDEX('calcA'!$D$180:$EQ$219,$B34,84)*500,0)-IF(AND('calcA'!CH$117=1,XF34&gt;0),300,0)-IF(AND($U34=1,'calcA'!CI$117=1,GH34=0),300,0))),1000000000))</f>
        <v/>
      </c>
      <c r="RL34">
        <f>IF($B34=0,1000000000,IF(INDEX('calcA'!$D$60:$EQ$99,$B34,85)*IF($W34=1,GH34+ACW34,GH34)=1,IF(AND($E34=2,IF($W34=1,AIL34,LW34)=0),1000000000,IF($V34=1,INDEX('calcA'!$D$130:$EQ$169,$B34,85)+IF(AND($E34=1,LW34=0),25,0),INDEX('calcA'!CJ$110:CJ$114,$F34+1)+IF(AND($E34=1,LW34=0),1000,0)+IF($H34=1,INDEX('calcA'!$D$180:$EQ$219,$B34,85)*500,0)-IF(AND('calcA'!CI$117=1,XG34&gt;0),300,0)-IF(AND($U34=1,'calcA'!CJ$117=1,GI34=0),300,0))),1000000000))</f>
        <v/>
      </c>
      <c r="RM34">
        <f>IF($B34=0,1000000000,IF(INDEX('calcA'!$D$60:$EQ$99,$B34,86)*IF($W34=1,GI34+ACX34,GI34)=1,IF(AND($E34=2,IF($W34=1,AIM34,LX34)=0),1000000000,IF($V34=1,INDEX('calcA'!$D$130:$EQ$169,$B34,86)+IF(AND($E34=1,LX34=0),25,0),INDEX('calcA'!CK$110:CK$114,$F34+1)+IF(AND($E34=1,LX34=0),1000,0)+IF($H34=1,INDEX('calcA'!$D$180:$EQ$219,$B34,86)*500,0)-IF(AND('calcA'!CJ$117=1,XH34&gt;0),300,0)-IF(AND($U34=1,'calcA'!CK$117=1,GJ34=0),300,0))),1000000000))</f>
        <v/>
      </c>
      <c r="RN34">
        <f>IF($B34=0,1000000000,IF(INDEX('calcA'!$D$60:$EQ$99,$B34,87)*IF($W34=1,GJ34+ACY34,GJ34)=1,IF(AND($E34=2,IF($W34=1,AIN34,LY34)=0),1000000000,IF($V34=1,INDEX('calcA'!$D$130:$EQ$169,$B34,87)+IF(AND($E34=1,LY34=0),25,0),INDEX('calcA'!CL$110:CL$114,$F34+1)+IF(AND($E34=1,LY34=0),1000,0)+IF($H34=1,INDEX('calcA'!$D$180:$EQ$219,$B34,87)*500,0)-IF(AND('calcA'!CK$117=1,XI34&gt;0),300,0)-IF(AND($U34=1,'calcA'!CL$117=1,GK34=0),300,0))),1000000000))</f>
        <v/>
      </c>
      <c r="RO34">
        <f>IF($B34=0,1000000000,IF(INDEX('calcA'!$D$60:$EQ$99,$B34,88)*IF($W34=1,GK34+ACZ34,GK34)=1,IF(AND($E34=2,IF($W34=1,AIO34,LZ34)=0),1000000000,IF($V34=1,INDEX('calcA'!$D$130:$EQ$169,$B34,88)+IF(AND($E34=1,LZ34=0),25,0),INDEX('calcA'!CM$110:CM$114,$F34+1)+IF(AND($E34=1,LZ34=0),1000,0)+IF($H34=1,INDEX('calcA'!$D$180:$EQ$219,$B34,88)*500,0)-IF(AND('calcA'!CL$117=1,XJ34&gt;0),300,0)-IF(AND($U34=1,'calcA'!CM$117=1,GL34=0),300,0))),1000000000))</f>
        <v/>
      </c>
      <c r="RP34">
        <f>IF($B34=0,1000000000,IF(INDEX('calcA'!$D$60:$EQ$99,$B34,89)*IF($W34=1,GL34+ADA34,GL34)=1,IF(AND($E34=2,IF($W34=1,AIP34,MA34)=0),1000000000,IF($V34=1,INDEX('calcA'!$D$130:$EQ$169,$B34,89)+IF(AND($E34=1,MA34=0),25,0),INDEX('calcA'!CN$110:CN$114,$F34+1)+IF(AND($E34=1,MA34=0),1000,0)+IF($H34=1,INDEX('calcA'!$D$180:$EQ$219,$B34,89)*500,0)-IF(AND('calcA'!CM$117=1,XK34&gt;0),300,0)-IF(AND($U34=1,'calcA'!CN$117=1,GM34=0),300,0))),1000000000))</f>
        <v/>
      </c>
      <c r="RQ34">
        <f>IF($B34=0,1000000000,IF(INDEX('calcA'!$D$60:$EQ$99,$B34,90)*IF($W34=1,GM34+ADB34,GM34)=1,IF(AND($E34=2,IF($W34=1,AIQ34,MB34)=0),1000000000,IF($V34=1,INDEX('calcA'!$D$130:$EQ$169,$B34,90)+IF(AND($E34=1,MB34=0),25,0),INDEX('calcA'!CO$110:CO$114,$F34+1)+IF(AND($E34=1,MB34=0),1000,0)+IF($H34=1,INDEX('calcA'!$D$180:$EQ$219,$B34,90)*500,0)-IF(AND('calcA'!CN$117=1,XL34&gt;0),300,0)-IF(AND($U34=1,'calcA'!CO$117=1,GN34=0),300,0))),1000000000))</f>
        <v/>
      </c>
      <c r="RR34">
        <f>IF($B34=0,1000000000,IF(INDEX('calcA'!$D$60:$EQ$99,$B34,91)*IF($W34=1,GN34+ADC34,GN34)=1,IF(AND($E34=2,IF($W34=1,AIR34,MC34)=0),1000000000,IF($V34=1,INDEX('calcA'!$D$130:$EQ$169,$B34,91)+IF(AND($E34=1,MC34=0),25,0),INDEX('calcA'!CP$110:CP$114,$F34+1)+IF(AND($E34=1,MC34=0),1000,0)+IF($H34=1,INDEX('calcA'!$D$180:$EQ$219,$B34,91)*500,0)-IF(AND('calcA'!CO$117=1,XM34&gt;0),300,0)-IF(AND($U34=1,'calcA'!CP$117=1,GO34=0),300,0))),1000000000))</f>
        <v/>
      </c>
      <c r="RS34">
        <f>IF($B34=0,1000000000,IF(INDEX('calcA'!$D$60:$EQ$99,$B34,92)*IF($W34=1,GO34+ADD34,GO34)=1,IF(AND($E34=2,IF($W34=1,AIS34,MD34)=0),1000000000,IF($V34=1,INDEX('calcA'!$D$130:$EQ$169,$B34,92)+IF(AND($E34=1,MD34=0),25,0),INDEX('calcA'!CQ$110:CQ$114,$F34+1)+IF(AND($E34=1,MD34=0),1000,0)+IF($H34=1,INDEX('calcA'!$D$180:$EQ$219,$B34,92)*500,0)-IF(AND('calcA'!CP$117=1,XN34&gt;0),300,0)-IF(AND($U34=1,'calcA'!CQ$117=1,GP34=0),300,0))),1000000000))</f>
        <v/>
      </c>
      <c r="RT34">
        <f>IF($B34=0,1000000000,IF(INDEX('calcA'!$D$60:$EQ$99,$B34,93)*IF($W34=1,GP34+ADE34,GP34)=1,IF(AND($E34=2,IF($W34=1,AIT34,ME34)=0),1000000000,IF($V34=1,INDEX('calcA'!$D$130:$EQ$169,$B34,93)+IF(AND($E34=1,ME34=0),25,0),INDEX('calcA'!CR$110:CR$114,$F34+1)+IF(AND($E34=1,ME34=0),1000,0)+IF($H34=1,INDEX('calcA'!$D$180:$EQ$219,$B34,93)*500,0)-IF(AND('calcA'!CQ$117=1,XO34&gt;0),300,0)-IF(AND($U34=1,'calcA'!CR$117=1,GQ34=0),300,0))),1000000000))</f>
        <v/>
      </c>
      <c r="RU34">
        <f>IF($B34=0,1000000000,IF(INDEX('calcA'!$D$60:$EQ$99,$B34,94)*IF($W34=1,GQ34+ADF34,GQ34)=1,IF(AND($E34=2,IF($W34=1,AIU34,MF34)=0),1000000000,IF($V34=1,INDEX('calcA'!$D$130:$EQ$169,$B34,94)+IF(AND($E34=1,MF34=0),25,0),INDEX('calcA'!CS$110:CS$114,$F34+1)+IF(AND($E34=1,MF34=0),1000,0)+IF($H34=1,INDEX('calcA'!$D$180:$EQ$219,$B34,94)*500,0)-IF(AND('calcA'!CR$117=1,XP34&gt;0),300,0)-IF(AND($U34=1,'calcA'!CS$117=1,GR34=0),300,0))),1000000000))</f>
        <v/>
      </c>
      <c r="RV34">
        <f>IF($B34=0,1000000000,IF(INDEX('calcA'!$D$60:$EQ$99,$B34,95)*IF($W34=1,GR34+ADG34,GR34)=1,IF(AND($E34=2,IF($W34=1,AIV34,MG34)=0),1000000000,IF($V34=1,INDEX('calcA'!$D$130:$EQ$169,$B34,95)+IF(AND($E34=1,MG34=0),25,0),INDEX('calcA'!CT$110:CT$114,$F34+1)+IF(AND($E34=1,MG34=0),1000,0)+IF($H34=1,INDEX('calcA'!$D$180:$EQ$219,$B34,95)*500,0)-IF(AND('calcA'!CS$117=1,XQ34&gt;0),300,0)-IF(AND($U34=1,'calcA'!CT$117=1,GS34=0),300,0))),1000000000))</f>
        <v/>
      </c>
      <c r="RW34">
        <f>IF($B34=0,1000000000,IF(INDEX('calcA'!$D$60:$EQ$99,$B34,96)*IF($W34=1,GS34+ADH34,GS34)=1,IF(AND($E34=2,IF($W34=1,AIW34,MH34)=0),1000000000,IF($V34=1,INDEX('calcA'!$D$130:$EQ$169,$B34,96)+IF(AND($E34=1,MH34=0),25,0),INDEX('calcA'!CU$110:CU$114,$F34+1)+IF(AND($E34=1,MH34=0),1000,0)+IF($H34=1,INDEX('calcA'!$D$180:$EQ$219,$B34,96)*500,0)-IF(AND('calcA'!CT$117=1,XR34&gt;0),300,0))),1000000000))</f>
        <v/>
      </c>
      <c r="RX34">
        <f>IF($B34=0,1000000000,IF(INDEX('calcA'!$D$60:$EQ$99,$B34,97)*IF($W34=1,GT34+ADI34,GT34)=1,IF(AND($E34=2,IF($W34=1,AIX34,MI34)=0),1000000000,IF($V34=1,INDEX('calcA'!$D$130:$EQ$169,$B34,97)+IF(AND($E34=1,MI34=0),25,0),INDEX('calcA'!CV$110:CV$114,$F34+1)+IF(AND($E34=1,MI34=0),1000,0)+IF($H34=1,INDEX('calcA'!$D$180:$EQ$219,$B34,97)*500,0)-IF(AND($U34=1,'calcA'!CV$117=1,GU34=0),300,0))),1000000000))</f>
        <v/>
      </c>
      <c r="RY34">
        <f>IF($B34=0,1000000000,IF(INDEX('calcA'!$D$60:$EQ$99,$B34,98)*IF($W34=1,GU34+ADJ34,GU34)=1,IF(AND($E34=2,IF($W34=1,AIY34,MJ34)=0),1000000000,IF($V34=1,INDEX('calcA'!$D$130:$EQ$169,$B34,98)+IF(AND($E34=1,MJ34=0),25,0),INDEX('calcA'!CW$110:CW$114,$F34+1)+IF(AND($E34=1,MJ34=0),1000,0)+IF($H34=1,INDEX('calcA'!$D$180:$EQ$219,$B34,98)*500,0)-IF(AND('calcA'!CV$117=1,XT34&gt;0),300,0)-IF(AND($U34=1,'calcA'!CW$117=1,GV34=0),300,0))),1000000000))</f>
        <v/>
      </c>
      <c r="RZ34">
        <f>IF($B34=0,1000000000,IF(INDEX('calcA'!$D$60:$EQ$99,$B34,99)*IF($W34=1,GV34+ADK34,GV34)=1,IF(AND($E34=2,IF($W34=1,AIZ34,MK34)=0),1000000000,IF($V34=1,INDEX('calcA'!$D$130:$EQ$169,$B34,99)+IF(AND($E34=1,MK34=0),25,0),INDEX('calcA'!CX$110:CX$114,$F34+1)+IF(AND($E34=1,MK34=0),1000,0)+IF($H34=1,INDEX('calcA'!$D$180:$EQ$219,$B34,99)*500,0)-IF(AND('calcA'!CW$117=1,XU34&gt;0),300,0)-IF(AND($U34=1,'calcA'!CX$117=1,GW34=0),300,0))),1000000000))</f>
        <v/>
      </c>
      <c r="SA34">
        <f>IF($B34=0,1000000000,IF(INDEX('calcA'!$D$60:$EQ$99,$B34,100)*IF($W34=1,GW34+ADL34,GW34)=1,IF(AND($E34=2,IF($W34=1,AJA34,ML34)=0),1000000000,IF($V34=1,INDEX('calcA'!$D$130:$EQ$169,$B34,100)+IF(AND($E34=1,ML34=0),25,0),INDEX('calcA'!CY$110:CY$114,$F34+1)+IF(AND($E34=1,ML34=0),1000,0)+IF($H34=1,INDEX('calcA'!$D$180:$EQ$219,$B34,100)*500,0)-IF(AND('calcA'!CX$117=1,XV34&gt;0),300,0)-IF(AND($U34=1,'calcA'!CY$117=1,GX34=0),300,0))),1000000000))</f>
        <v/>
      </c>
      <c r="SB34">
        <f>IF($B34=0,1000000000,IF(INDEX('calcA'!$D$60:$EQ$99,$B34,101)*IF($W34=1,GX34+ADM34,GX34)=1,IF(AND($E34=2,IF($W34=1,AJB34,MM34)=0),1000000000,IF($V34=1,INDEX('calcA'!$D$130:$EQ$169,$B34,101)+IF(AND($E34=1,MM34=0),25,0),INDEX('calcA'!CZ$110:CZ$114,$F34+1)+IF(AND($E34=1,MM34=0),1000,0)+IF($H34=1,INDEX('calcA'!$D$180:$EQ$219,$B34,101)*500,0)-IF(AND('calcA'!CY$117=1,XW34&gt;0),300,0)-IF(AND($U34=1,'calcA'!CZ$117=1,GY34=0),300,0))),1000000000))</f>
        <v/>
      </c>
      <c r="SC34">
        <f>IF($B34=0,1000000000,IF(INDEX('calcA'!$D$60:$EQ$99,$B34,102)*IF($W34=1,GY34+ADN34,GY34)=1,IF(AND($E34=2,IF($W34=1,AJC34,MN34)=0),1000000000,IF($V34=1,INDEX('calcA'!$D$130:$EQ$169,$B34,102)+IF(AND($E34=1,MN34=0),25,0),INDEX('calcA'!DA$110:DA$114,$F34+1)+IF(AND($E34=1,MN34=0),1000,0)+IF($H34=1,INDEX('calcA'!$D$180:$EQ$219,$B34,102)*500,0)-IF(AND('calcA'!CZ$117=1,XX34&gt;0),300,0)-IF(AND($U34=1,'calcA'!DA$117=1,GZ34=0),300,0))),1000000000))</f>
        <v/>
      </c>
      <c r="SD34">
        <f>IF($B34=0,1000000000,IF(INDEX('calcA'!$D$60:$EQ$99,$B34,103)*IF($W34=1,GZ34+ADO34,GZ34)=1,IF(AND($E34=2,IF($W34=1,AJD34,MO34)=0),1000000000,IF($V34=1,INDEX('calcA'!$D$130:$EQ$169,$B34,103)+IF(AND($E34=1,MO34=0),25,0),INDEX('calcA'!DB$110:DB$114,$F34+1)+IF(AND($E34=1,MO34=0),1000,0)+IF($H34=1,INDEX('calcA'!$D$180:$EQ$219,$B34,103)*500,0)-IF(AND('calcA'!DA$117=1,XY34&gt;0),300,0)-IF(AND($U34=1,'calcA'!DB$117=1,HA34=0),300,0))),1000000000))</f>
        <v/>
      </c>
      <c r="SE34">
        <f>IF($B34=0,1000000000,IF(INDEX('calcA'!$D$60:$EQ$99,$B34,104)*IF($W34=1,HA34+ADP34,HA34)=1,IF(AND($E34=2,IF($W34=1,AJE34,MP34)=0),1000000000,IF($V34=1,INDEX('calcA'!$D$130:$EQ$169,$B34,104)+IF(AND($E34=1,MP34=0),25,0),INDEX('calcA'!DC$110:DC$114,$F34+1)+IF(AND($E34=1,MP34=0),1000,0)+IF($H34=1,INDEX('calcA'!$D$180:$EQ$219,$B34,104)*500,0)-IF(AND('calcA'!DB$117=1,XZ34&gt;0),300,0)-IF(AND($U34=1,'calcA'!DC$117=1,HB34=0),300,0))),1000000000))</f>
        <v/>
      </c>
      <c r="SF34">
        <f>IF($B34=0,1000000000,IF(INDEX('calcA'!$D$60:$EQ$99,$B34,105)*IF($W34=1,HB34+ADQ34,HB34)=1,IF(AND($E34=2,IF($W34=1,AJF34,MQ34)=0),1000000000,IF($V34=1,INDEX('calcA'!$D$130:$EQ$169,$B34,105)+IF(AND($E34=1,MQ34=0),25,0),INDEX('calcA'!DD$110:DD$114,$F34+1)+IF(AND($E34=1,MQ34=0),1000,0)+IF($H34=1,INDEX('calcA'!$D$180:$EQ$219,$B34,105)*500,0)-IF(AND('calcA'!DC$117=1,YA34&gt;0),300,0)-IF(AND($U34=1,'calcA'!DD$117=1,HC34=0),300,0))),1000000000))</f>
        <v/>
      </c>
      <c r="SG34">
        <f>IF($B34=0,1000000000,IF(INDEX('calcA'!$D$60:$EQ$99,$B34,106)*IF($W34=1,HC34+ADR34,HC34)=1,IF(AND($E34=2,IF($W34=1,AJG34,MR34)=0),1000000000,IF($V34=1,INDEX('calcA'!$D$130:$EQ$169,$B34,106)+IF(AND($E34=1,MR34=0),25,0),INDEX('calcA'!DE$110:DE$114,$F34+1)+IF(AND($E34=1,MR34=0),1000,0)+IF($H34=1,INDEX('calcA'!$D$180:$EQ$219,$B34,106)*500,0)-IF(AND('calcA'!DD$117=1,YB34&gt;0),300,0)-IF(AND($U34=1,'calcA'!DE$117=1,HD34=0),300,0))),1000000000))</f>
        <v/>
      </c>
      <c r="SH34">
        <f>IF($B34=0,1000000000,IF(INDEX('calcA'!$D$60:$EQ$99,$B34,107)*IF($W34=1,HD34+ADS34,HD34)=1,IF(AND($E34=2,IF($W34=1,AJH34,MS34)=0),1000000000,IF($V34=1,INDEX('calcA'!$D$130:$EQ$169,$B34,107)+IF(AND($E34=1,MS34=0),25,0),INDEX('calcA'!DF$110:DF$114,$F34+1)+IF(AND($E34=1,MS34=0),1000,0)+IF($H34=1,INDEX('calcA'!$D$180:$EQ$219,$B34,107)*500,0)-IF(AND('calcA'!DE$117=1,YC34&gt;0),300,0)-IF(AND($U34=1,'calcA'!DF$117=1,HE34=0),300,0))),1000000000))</f>
        <v/>
      </c>
      <c r="SI34">
        <f>IF($B34=0,1000000000,IF(INDEX('calcA'!$D$60:$EQ$99,$B34,108)*IF($W34=1,HE34+ADT34,HE34)=1,IF(AND($E34=2,IF($W34=1,AJI34,MT34)=0),1000000000,IF($V34=1,INDEX('calcA'!$D$130:$EQ$169,$B34,108)+IF(AND($E34=1,MT34=0),25,0),INDEX('calcA'!DG$110:DG$114,$F34+1)+IF(AND($E34=1,MT34=0),1000,0)+IF($H34=1,INDEX('calcA'!$D$180:$EQ$219,$B34,108)*500,0)-IF(AND('calcA'!DF$117=1,YD34&gt;0),300,0)-IF(AND($U34=1,'calcA'!DG$117=1,HF34=0),300,0))),1000000000))</f>
        <v/>
      </c>
      <c r="SJ34">
        <f>IF($B34=0,1000000000,IF(INDEX('calcA'!$D$60:$EQ$99,$B34,109)*IF($W34=1,HF34+ADU34,HF34)=1,IF(AND($E34=2,IF($W34=1,AJJ34,MU34)=0),1000000000,IF($V34=1,INDEX('calcA'!$D$130:$EQ$169,$B34,109)+IF(AND($E34=1,MU34=0),25,0),INDEX('calcA'!DH$110:DH$114,$F34+1)+IF(AND($E34=1,MU34=0),1000,0)+IF($H34=1,INDEX('calcA'!$D$180:$EQ$219,$B34,109)*500,0)-IF(AND('calcA'!DG$117=1,YE34&gt;0),300,0)-IF(AND($U34=1,'calcA'!DH$117=1,HG34=0),300,0))),1000000000))</f>
        <v/>
      </c>
      <c r="SK34">
        <f>IF($B34=0,1000000000,IF(INDEX('calcA'!$D$60:$EQ$99,$B34,110)*IF($W34=1,HG34+ADV34,HG34)=1,IF(AND($E34=2,IF($W34=1,AJK34,MV34)=0),1000000000,IF($V34=1,INDEX('calcA'!$D$130:$EQ$169,$B34,110)+IF(AND($E34=1,MV34=0),25,0),INDEX('calcA'!DI$110:DI$114,$F34+1)+IF(AND($E34=1,MV34=0),1000,0)+IF($H34=1,INDEX('calcA'!$D$180:$EQ$219,$B34,110)*500,0)-IF(AND('calcA'!DH$117=1,YF34&gt;0),300,0)-IF(AND($U34=1,'calcA'!DI$117=1,HH34=0),300,0))),1000000000))</f>
        <v/>
      </c>
      <c r="SL34">
        <f>IF($B34=0,1000000000,IF(INDEX('calcA'!$D$60:$EQ$99,$B34,111)*IF($W34=1,HH34+ADW34,HH34)=1,IF(AND($E34=2,IF($W34=1,AJL34,MW34)=0),1000000000,IF($V34=1,INDEX('calcA'!$D$130:$EQ$169,$B34,111)+IF(AND($E34=1,MW34=0),25,0),INDEX('calcA'!DJ$110:DJ$114,$F34+1)+IF(AND($E34=1,MW34=0),1000,0)+IF($H34=1,INDEX('calcA'!$D$180:$EQ$219,$B34,111)*500,0)-IF(AND('calcA'!DI$117=1,YG34&gt;0),300,0)-IF(AND($U34=1,'calcA'!DJ$117=1,HI34=0),300,0))),1000000000))</f>
        <v/>
      </c>
      <c r="SM34">
        <f>IF($B34=0,1000000000,IF(INDEX('calcA'!$D$60:$EQ$99,$B34,112)*IF($W34=1,HI34+ADX34,HI34)=1,IF(AND($E34=2,IF($W34=1,AJM34,MX34)=0),1000000000,IF($V34=1,INDEX('calcA'!$D$130:$EQ$169,$B34,112)+IF(AND($E34=1,MX34=0),25,0),INDEX('calcA'!DK$110:DK$114,$F34+1)+IF(AND($E34=1,MX34=0),1000,0)+IF($H34=1,INDEX('calcA'!$D$180:$EQ$219,$B34,112)*500,0)-IF(AND('calcA'!DJ$117=1,YH34&gt;0),300,0)-IF(AND($U34=1,'calcA'!DK$117=1,HJ34=0),300,0))),1000000000))</f>
        <v/>
      </c>
      <c r="SN34">
        <f>IF($B34=0,1000000000,IF(INDEX('calcA'!$D$60:$EQ$99,$B34,113)*IF($W34=1,HJ34+ADY34,HJ34)=1,IF(AND($E34=2,IF($W34=1,AJN34,MY34)=0),1000000000,IF($V34=1,INDEX('calcA'!$D$130:$EQ$169,$B34,113)+IF(AND($E34=1,MY34=0),25,0),INDEX('calcA'!DL$110:DL$114,$F34+1)+IF(AND($E34=1,MY34=0),1000,0)+IF($H34=1,INDEX('calcA'!$D$180:$EQ$219,$B34,113)*500,0)-IF(AND('calcA'!DK$117=1,YI34&gt;0),300,0)-IF(AND($U34=1,'calcA'!DL$117=1,HK34=0),300,0))),1000000000))</f>
        <v/>
      </c>
      <c r="SO34">
        <f>IF($B34=0,1000000000,IF(INDEX('calcA'!$D$60:$EQ$99,$B34,114)*IF($W34=1,HK34+ADZ34,HK34)=1,IF(AND($E34=2,IF($W34=1,AJO34,MZ34)=0),1000000000,IF($V34=1,INDEX('calcA'!$D$130:$EQ$169,$B34,114)+IF(AND($E34=1,MZ34=0),25,0),INDEX('calcA'!DM$110:DM$114,$F34+1)+IF(AND($E34=1,MZ34=0),1000,0)+IF($H34=1,INDEX('calcA'!$D$180:$EQ$219,$B34,114)*500,0)-IF(AND('calcA'!DL$117=1,YJ34&gt;0),300,0)-IF(AND($U34=1,'calcA'!DM$117=1,HL34=0),300,0))),1000000000))</f>
        <v/>
      </c>
      <c r="SP34">
        <f>IF($B34=0,1000000000,IF(INDEX('calcA'!$D$60:$EQ$99,$B34,115)*IF($W34=1,HL34+AEA34,HL34)=1,IF(AND($E34=2,IF($W34=1,AJP34,NA34)=0),1000000000,IF($V34=1,INDEX('calcA'!$D$130:$EQ$169,$B34,115)+IF(AND($E34=1,NA34=0),25,0),INDEX('calcA'!DN$110:DN$114,$F34+1)+IF(AND($E34=1,NA34=0),1000,0)+IF($H34=1,INDEX('calcA'!$D$180:$EQ$219,$B34,115)*500,0)-IF(AND('calcA'!DM$117=1,YK34&gt;0),300,0)-IF(AND($U34=1,'calcA'!DN$117=1,HM34=0),300,0))),1000000000))</f>
        <v/>
      </c>
      <c r="SQ34">
        <f>IF($B34=0,1000000000,IF(INDEX('calcA'!$D$60:$EQ$99,$B34,116)*IF($W34=1,HM34+AEB34,HM34)=1,IF(AND($E34=2,IF($W34=1,AJQ34,NB34)=0),1000000000,IF($V34=1,INDEX('calcA'!$D$130:$EQ$169,$B34,116)+IF(AND($E34=1,NB34=0),25,0),INDEX('calcA'!DO$110:DO$114,$F34+1)+IF(AND($E34=1,NB34=0),1000,0)+IF($H34=1,INDEX('calcA'!$D$180:$EQ$219,$B34,116)*500,0)-IF(AND('calcA'!DN$117=1,YL34&gt;0),300,0)-IF(AND($U34=1,'calcA'!DO$117=1,HN34=0),300,0))),1000000000))</f>
        <v/>
      </c>
      <c r="SR34">
        <f>IF($B34=0,1000000000,IF(INDEX('calcA'!$D$60:$EQ$99,$B34,117)*IF($W34=1,HN34+AEC34,HN34)=1,IF(AND($E34=2,IF($W34=1,AJR34,NC34)=0),1000000000,IF($V34=1,INDEX('calcA'!$D$130:$EQ$169,$B34,117)+IF(AND($E34=1,NC34=0),25,0),INDEX('calcA'!DP$110:DP$114,$F34+1)+IF(AND($E34=1,NC34=0),1000,0)+IF($H34=1,INDEX('calcA'!$D$180:$EQ$219,$B34,117)*500,0)-IF(AND('calcA'!DO$117=1,YM34&gt;0),300,0)-IF(AND($U34=1,'calcA'!DP$117=1,HO34=0),300,0))),1000000000))</f>
        <v/>
      </c>
      <c r="SS34">
        <f>IF($B34=0,1000000000,IF(INDEX('calcA'!$D$60:$EQ$99,$B34,118)*IF($W34=1,HO34+AED34,HO34)=1,IF(AND($E34=2,IF($W34=1,AJS34,ND34)=0),1000000000,IF($V34=1,INDEX('calcA'!$D$130:$EQ$169,$B34,118)+IF(AND($E34=1,ND34=0),25,0),INDEX('calcA'!DQ$110:DQ$114,$F34+1)+IF(AND($E34=1,ND34=0),1000,0)+IF($H34=1,INDEX('calcA'!$D$180:$EQ$219,$B34,118)*500,0)-IF(AND('calcA'!DP$117=1,YN34&gt;0),300,0)-IF(AND($U34=1,'calcA'!DQ$117=1,HP34=0),300,0))),1000000000))</f>
        <v/>
      </c>
      <c r="ST34">
        <f>IF($B34=0,1000000000,IF(INDEX('calcA'!$D$60:$EQ$99,$B34,119)*IF($W34=1,HP34+AEE34,HP34)=1,IF(AND($E34=2,IF($W34=1,AJT34,NE34)=0),1000000000,IF($V34=1,INDEX('calcA'!$D$130:$EQ$169,$B34,119)+IF(AND($E34=1,NE34=0),25,0),INDEX('calcA'!DR$110:DR$114,$F34+1)+IF(AND($E34=1,NE34=0),1000,0)+IF($H34=1,INDEX('calcA'!$D$180:$EQ$219,$B34,119)*500,0)-IF(AND('calcA'!DQ$117=1,YO34&gt;0),300,0)-IF(AND($U34=1,'calcA'!DR$117=1,HQ34=0),300,0))),1000000000))</f>
        <v/>
      </c>
      <c r="SU34">
        <f>IF($B34=0,1000000000,IF(INDEX('calcA'!$D$60:$EQ$99,$B34,120)*IF($W34=1,HQ34+AEF34,HQ34)=1,IF(AND($E34=2,IF($W34=1,AJU34,NF34)=0),1000000000,IF($V34=1,INDEX('calcA'!$D$130:$EQ$169,$B34,120)+IF(AND($E34=1,NF34=0),25,0),INDEX('calcA'!DS$110:DS$114,$F34+1)+IF(AND($E34=1,NF34=0),1000,0)+IF($H34=1,INDEX('calcA'!$D$180:$EQ$219,$B34,120)*500,0)-IF(AND('calcA'!DR$117=1,YP34&gt;0),300,0))),1000000000))</f>
        <v/>
      </c>
      <c r="SV34">
        <f>IF($B34=0,1000000000,IF(INDEX('calcA'!$D$60:$EQ$99,$B34,121)*IF($W34=1,HR34+AEG34,HR34)=1,IF(AND($E34=2,IF($W34=1,AJV34,NG34)=0),1000000000,IF($V34=1,INDEX('calcA'!$D$130:$EQ$169,$B34,121)+IF(AND($E34=1,NG34=0),25,0),INDEX('calcA'!DT$110:DT$114,$F34+1)+IF(AND($E34=1,NG34=0),1000,0)+IF($H34=1,INDEX('calcA'!$D$180:$EQ$219,$B34,121)*500,0)-IF(AND($U34=1,'calcA'!DT$117=1,HS34=0),300,0))),1000000000))</f>
        <v/>
      </c>
      <c r="SW34">
        <f>IF($B34=0,1000000000,IF(INDEX('calcA'!$D$60:$EQ$99,$B34,122)*IF($W34=1,HS34+AEH34,HS34)=1,IF(AND($E34=2,IF($W34=1,AJW34,NH34)=0),1000000000,IF($V34=1,INDEX('calcA'!$D$130:$EQ$169,$B34,122)+IF(AND($E34=1,NH34=0),25,0),INDEX('calcA'!DU$110:DU$114,$F34+1)+IF(AND($E34=1,NH34=0),1000,0)+IF($H34=1,INDEX('calcA'!$D$180:$EQ$219,$B34,122)*500,0)-IF(AND('calcA'!DT$117=1,YR34&gt;0),300,0)-IF(AND($U34=1,'calcA'!DU$117=1,HT34=0),300,0))),1000000000))</f>
        <v/>
      </c>
      <c r="SX34">
        <f>IF($B34=0,1000000000,IF(INDEX('calcA'!$D$60:$EQ$99,$B34,123)*IF($W34=1,HT34+AEI34,HT34)=1,IF(AND($E34=2,IF($W34=1,AJX34,NI34)=0),1000000000,IF($V34=1,INDEX('calcA'!$D$130:$EQ$169,$B34,123)+IF(AND($E34=1,NI34=0),25,0),INDEX('calcA'!DV$110:DV$114,$F34+1)+IF(AND($E34=1,NI34=0),1000,0)+IF($H34=1,INDEX('calcA'!$D$180:$EQ$219,$B34,123)*500,0)-IF(AND('calcA'!DU$117=1,YS34&gt;0),300,0)-IF(AND($U34=1,'calcA'!DV$117=1,HU34=0),300,0))),1000000000))</f>
        <v/>
      </c>
      <c r="SY34">
        <f>IF($B34=0,1000000000,IF(INDEX('calcA'!$D$60:$EQ$99,$B34,124)*IF($W34=1,HU34+AEJ34,HU34)=1,IF(AND($E34=2,IF($W34=1,AJY34,NJ34)=0),1000000000,IF($V34=1,INDEX('calcA'!$D$130:$EQ$169,$B34,124)+IF(AND($E34=1,NJ34=0),25,0),INDEX('calcA'!DW$110:DW$114,$F34+1)+IF(AND($E34=1,NJ34=0),1000,0)+IF($H34=1,INDEX('calcA'!$D$180:$EQ$219,$B34,124)*500,0)-IF(AND('calcA'!DV$117=1,YT34&gt;0),300,0)-IF(AND($U34=1,'calcA'!DW$117=1,HV34=0),300,0))),1000000000))</f>
        <v/>
      </c>
      <c r="SZ34">
        <f>IF($B34=0,1000000000,IF(INDEX('calcA'!$D$60:$EQ$99,$B34,125)*IF($W34=1,HV34+AEK34,HV34)=1,IF(AND($E34=2,IF($W34=1,AJZ34,NK34)=0),1000000000,IF($V34=1,INDEX('calcA'!$D$130:$EQ$169,$B34,125)+IF(AND($E34=1,NK34=0),25,0),INDEX('calcA'!DX$110:DX$114,$F34+1)+IF(AND($E34=1,NK34=0),1000,0)+IF($H34=1,INDEX('calcA'!$D$180:$EQ$219,$B34,125)*500,0)-IF(AND('calcA'!DW$117=1,YU34&gt;0),300,0)-IF(AND($U34=1,'calcA'!DX$117=1,HW34=0),300,0))),1000000000))</f>
        <v/>
      </c>
      <c r="TA34">
        <f>IF($B34=0,1000000000,IF(INDEX('calcA'!$D$60:$EQ$99,$B34,126)*IF($W34=1,HW34+AEL34,HW34)=1,IF(AND($E34=2,IF($W34=1,AKA34,NL34)=0),1000000000,IF($V34=1,INDEX('calcA'!$D$130:$EQ$169,$B34,126)+IF(AND($E34=1,NL34=0),25,0),INDEX('calcA'!DY$110:DY$114,$F34+1)+IF(AND($E34=1,NL34=0),1000,0)+IF($H34=1,INDEX('calcA'!$D$180:$EQ$219,$B34,126)*500,0)-IF(AND('calcA'!DX$117=1,YV34&gt;0),300,0)-IF(AND($U34=1,'calcA'!DY$117=1,HX34=0),300,0))),1000000000))</f>
        <v/>
      </c>
      <c r="TB34">
        <f>IF($B34=0,1000000000,IF(INDEX('calcA'!$D$60:$EQ$99,$B34,127)*IF($W34=1,HX34+AEM34,HX34)=1,IF(AND($E34=2,IF($W34=1,AKB34,NM34)=0),1000000000,IF($V34=1,INDEX('calcA'!$D$130:$EQ$169,$B34,127)+IF(AND($E34=1,NM34=0),25,0),INDEX('calcA'!DZ$110:DZ$114,$F34+1)+IF(AND($E34=1,NM34=0),1000,0)+IF($H34=1,INDEX('calcA'!$D$180:$EQ$219,$B34,127)*500,0)-IF(AND('calcA'!DY$117=1,YW34&gt;0),300,0)-IF(AND($U34=1,'calcA'!DZ$117=1,HY34=0),300,0))),1000000000))</f>
        <v/>
      </c>
      <c r="TC34">
        <f>IF($B34=0,1000000000,IF(INDEX('calcA'!$D$60:$EQ$99,$B34,128)*IF($W34=1,HY34+AEN34,HY34)=1,IF(AND($E34=2,IF($W34=1,AKC34,NN34)=0),1000000000,IF($V34=1,INDEX('calcA'!$D$130:$EQ$169,$B34,128)+IF(AND($E34=1,NN34=0),25,0),INDEX('calcA'!EA$110:EA$114,$F34+1)+IF(AND($E34=1,NN34=0),1000,0)+IF($H34=1,INDEX('calcA'!$D$180:$EQ$219,$B34,128)*500,0)-IF(AND('calcA'!DZ$117=1,YX34&gt;0),300,0)-IF(AND($U34=1,'calcA'!EA$117=1,HZ34=0),300,0))),1000000000))</f>
        <v/>
      </c>
      <c r="TD34">
        <f>IF($B34=0,1000000000,IF(INDEX('calcA'!$D$60:$EQ$99,$B34,129)*IF($W34=1,HZ34+AEO34,HZ34)=1,IF(AND($E34=2,IF($W34=1,AKD34,NO34)=0),1000000000,IF($V34=1,INDEX('calcA'!$D$130:$EQ$169,$B34,129)+IF(AND($E34=1,NO34=0),25,0),INDEX('calcA'!EB$110:EB$114,$F34+1)+IF(AND($E34=1,NO34=0),1000,0)+IF($H34=1,INDEX('calcA'!$D$180:$EQ$219,$B34,129)*500,0)-IF(AND('calcA'!EA$117=1,YY34&gt;0),300,0)-IF(AND($U34=1,'calcA'!EB$117=1,IA34=0),300,0))),1000000000))</f>
        <v/>
      </c>
      <c r="TE34">
        <f>IF($B34=0,1000000000,IF(INDEX('calcA'!$D$60:$EQ$99,$B34,130)*IF($W34=1,IA34+AEP34,IA34)=1,IF(AND($E34=2,IF($W34=1,AKE34,NP34)=0),1000000000,IF($V34=1,INDEX('calcA'!$D$130:$EQ$169,$B34,130)+IF(AND($E34=1,NP34=0),25,0),INDEX('calcA'!EC$110:EC$114,$F34+1)+IF(AND($E34=1,NP34=0),1000,0)+IF($H34=1,INDEX('calcA'!$D$180:$EQ$219,$B34,130)*500,0)-IF(AND('calcA'!EB$117=1,YZ34&gt;0),300,0)-IF(AND($U34=1,'calcA'!EC$117=1,IB34=0),300,0))),1000000000))</f>
        <v/>
      </c>
      <c r="TF34">
        <f>IF($B34=0,1000000000,IF(INDEX('calcA'!$D$60:$EQ$99,$B34,131)*IF($W34=1,IB34+AEQ34,IB34)=1,IF(AND($E34=2,IF($W34=1,AKF34,NQ34)=0),1000000000,IF($V34=1,INDEX('calcA'!$D$130:$EQ$169,$B34,131)+IF(AND($E34=1,NQ34=0),25,0),INDEX('calcA'!ED$110:ED$114,$F34+1)+IF(AND($E34=1,NQ34=0),1000,0)+IF($H34=1,INDEX('calcA'!$D$180:$EQ$219,$B34,131)*500,0)-IF(AND('calcA'!EC$117=1,ZA34&gt;0),300,0)-IF(AND($U34=1,'calcA'!ED$117=1,IC34=0),300,0))),1000000000))</f>
        <v/>
      </c>
      <c r="TG34">
        <f>IF($B34=0,1000000000,IF(INDEX('calcA'!$D$60:$EQ$99,$B34,132)*IF($W34=1,IC34+AER34,IC34)=1,IF(AND($E34=2,IF($W34=1,AKG34,NR34)=0),1000000000,IF($V34=1,INDEX('calcA'!$D$130:$EQ$169,$B34,132)+IF(AND($E34=1,NR34=0),25,0),INDEX('calcA'!EE$110:EE$114,$F34+1)+IF(AND($E34=1,NR34=0),1000,0)+IF($H34=1,INDEX('calcA'!$D$180:$EQ$219,$B34,132)*500,0)-IF(AND('calcA'!ED$117=1,ZB34&gt;0),300,0)-IF(AND($U34=1,'calcA'!EE$117=1,ID34=0),300,0))),1000000000))</f>
        <v/>
      </c>
      <c r="TH34">
        <f>IF($B34=0,1000000000,IF(INDEX('calcA'!$D$60:$EQ$99,$B34,133)*IF($W34=1,ID34+AES34,ID34)=1,IF(AND($E34=2,IF($W34=1,AKH34,NS34)=0),1000000000,IF($V34=1,INDEX('calcA'!$D$130:$EQ$169,$B34,133)+IF(AND($E34=1,NS34=0),25,0),INDEX('calcA'!EF$110:EF$114,$F34+1)+IF(AND($E34=1,NS34=0),1000,0)+IF($H34=1,INDEX('calcA'!$D$180:$EQ$219,$B34,133)*500,0)-IF(AND('calcA'!EE$117=1,ZC34&gt;0),300,0)-IF(AND($U34=1,'calcA'!EF$117=1,IE34=0),300,0))),1000000000))</f>
        <v/>
      </c>
      <c r="TI34">
        <f>IF($B34=0,1000000000,IF(INDEX('calcA'!$D$60:$EQ$99,$B34,134)*IF($W34=1,IE34+AET34,IE34)=1,IF(AND($E34=2,IF($W34=1,AKI34,NT34)=0),1000000000,IF($V34=1,INDEX('calcA'!$D$130:$EQ$169,$B34,134)+IF(AND($E34=1,NT34=0),25,0),INDEX('calcA'!EG$110:EG$114,$F34+1)+IF(AND($E34=1,NT34=0),1000,0)+IF($H34=1,INDEX('calcA'!$D$180:$EQ$219,$B34,134)*500,0)-IF(AND('calcA'!EF$117=1,ZD34&gt;0),300,0)-IF(AND($U34=1,'calcA'!EG$117=1,IF34=0),300,0))),1000000000))</f>
        <v/>
      </c>
      <c r="TJ34">
        <f>IF($B34=0,1000000000,IF(INDEX('calcA'!$D$60:$EQ$99,$B34,135)*IF($W34=1,IF34+AEU34,IF34)=1,IF(AND($E34=2,IF($W34=1,AKJ34,NU34)=0),1000000000,IF($V34=1,INDEX('calcA'!$D$130:$EQ$169,$B34,135)+IF(AND($E34=1,NU34=0),25,0),INDEX('calcA'!EH$110:EH$114,$F34+1)+IF(AND($E34=1,NU34=0),1000,0)+IF($H34=1,INDEX('calcA'!$D$180:$EQ$219,$B34,135)*500,0)-IF(AND('calcA'!EG$117=1,ZE34&gt;0),300,0)-IF(AND($U34=1,'calcA'!EH$117=1,IG34=0),300,0))),1000000000))</f>
        <v/>
      </c>
      <c r="TK34">
        <f>IF($B34=0,1000000000,IF(INDEX('calcA'!$D$60:$EQ$99,$B34,136)*IF($W34=1,IG34+AEV34,IG34)=1,IF(AND($E34=2,IF($W34=1,AKK34,NV34)=0),1000000000,IF($V34=1,INDEX('calcA'!$D$130:$EQ$169,$B34,136)+IF(AND($E34=1,NV34=0),25,0),INDEX('calcA'!EI$110:EI$114,$F34+1)+IF(AND($E34=1,NV34=0),1000,0)+IF($H34=1,INDEX('calcA'!$D$180:$EQ$219,$B34,136)*500,0)-IF(AND('calcA'!EH$117=1,ZF34&gt;0),300,0)-IF(AND($U34=1,'calcA'!EI$117=1,IH34=0),300,0))),1000000000))</f>
        <v/>
      </c>
      <c r="TL34">
        <f>IF($B34=0,1000000000,IF(INDEX('calcA'!$D$60:$EQ$99,$B34,137)*IF($W34=1,IH34+AEW34,IH34)=1,IF(AND($E34=2,IF($W34=1,AKL34,NW34)=0),1000000000,IF($V34=1,INDEX('calcA'!$D$130:$EQ$169,$B34,137)+IF(AND($E34=1,NW34=0),25,0),INDEX('calcA'!EJ$110:EJ$114,$F34+1)+IF(AND($E34=1,NW34=0),1000,0)+IF($H34=1,INDEX('calcA'!$D$180:$EQ$219,$B34,137)*500,0)-IF(AND('calcA'!EI$117=1,ZG34&gt;0),300,0)-IF(AND($U34=1,'calcA'!EJ$117=1,II34=0),300,0))),1000000000))</f>
        <v/>
      </c>
      <c r="TM34">
        <f>IF($B34=0,1000000000,IF(INDEX('calcA'!$D$60:$EQ$99,$B34,138)*IF($W34=1,II34+AEX34,II34)=1,IF(AND($E34=2,IF($W34=1,AKM34,NX34)=0),1000000000,IF($V34=1,INDEX('calcA'!$D$130:$EQ$169,$B34,138)+IF(AND($E34=1,NX34=0),25,0),INDEX('calcA'!EK$110:EK$114,$F34+1)+IF(AND($E34=1,NX34=0),1000,0)+IF($H34=1,INDEX('calcA'!$D$180:$EQ$219,$B34,138)*500,0)-IF(AND('calcA'!EJ$117=1,ZH34&gt;0),300,0)-IF(AND($U34=1,'calcA'!EK$117=1,IJ34=0),300,0))),1000000000))</f>
        <v/>
      </c>
      <c r="TN34">
        <f>IF($B34=0,1000000000,IF(INDEX('calcA'!$D$60:$EQ$99,$B34,139)*IF($W34=1,IJ34+AEY34,IJ34)=1,IF(AND($E34=2,IF($W34=1,AKN34,NY34)=0),1000000000,IF($V34=1,INDEX('calcA'!$D$130:$EQ$169,$B34,139)+IF(AND($E34=1,NY34=0),25,0),INDEX('calcA'!EL$110:EL$114,$F34+1)+IF(AND($E34=1,NY34=0),1000,0)+IF($H34=1,INDEX('calcA'!$D$180:$EQ$219,$B34,139)*500,0)-IF(AND('calcA'!EK$117=1,ZI34&gt;0),300,0)-IF(AND($U34=1,'calcA'!EL$117=1,IK34=0),300,0))),1000000000))</f>
        <v/>
      </c>
      <c r="TO34">
        <f>IF($B34=0,1000000000,IF(INDEX('calcA'!$D$60:$EQ$99,$B34,140)*IF($W34=1,IK34+AEZ34,IK34)=1,IF(AND($E34=2,IF($W34=1,AKO34,NZ34)=0),1000000000,IF($V34=1,INDEX('calcA'!$D$130:$EQ$169,$B34,140)+IF(AND($E34=1,NZ34=0),25,0),INDEX('calcA'!EM$110:EM$114,$F34+1)+IF(AND($E34=1,NZ34=0),1000,0)+IF($H34=1,INDEX('calcA'!$D$180:$EQ$219,$B34,140)*500,0)-IF(AND('calcA'!EL$117=1,ZJ34&gt;0),300,0)-IF(AND($U34=1,'calcA'!EM$117=1,IL34=0),300,0))),1000000000))</f>
        <v/>
      </c>
      <c r="TP34">
        <f>IF($B34=0,1000000000,IF(INDEX('calcA'!$D$60:$EQ$99,$B34,141)*IF($W34=1,IL34+AFA34,IL34)=1,IF(AND($E34=2,IF($W34=1,AKP34,OA34)=0),1000000000,IF($V34=1,INDEX('calcA'!$D$130:$EQ$169,$B34,141)+IF(AND($E34=1,OA34=0),25,0),INDEX('calcA'!EN$110:EN$114,$F34+1)+IF(AND($E34=1,OA34=0),1000,0)+IF($H34=1,INDEX('calcA'!$D$180:$EQ$219,$B34,141)*500,0)-IF(AND('calcA'!EM$117=1,ZK34&gt;0),300,0)-IF(AND($U34=1,'calcA'!EN$117=1,IM34=0),300,0))),1000000000))</f>
        <v/>
      </c>
      <c r="TQ34">
        <f>IF($B34=0,1000000000,IF(INDEX('calcA'!$D$60:$EQ$99,$B34,142)*IF($W34=1,IM34+AFB34,IM34)=1,IF(AND($E34=2,IF($W34=1,AKQ34,OB34)=0),1000000000,IF($V34=1,INDEX('calcA'!$D$130:$EQ$169,$B34,142)+IF(AND($E34=1,OB34=0),25,0),INDEX('calcA'!EO$110:EO$114,$F34+1)+IF(AND($E34=1,OB34=0),1000,0)+IF($H34=1,INDEX('calcA'!$D$180:$EQ$219,$B34,142)*500,0)-IF(AND('calcA'!EN$117=1,ZL34&gt;0),300,0)-IF(AND($U34=1,'calcA'!EO$117=1,IN34=0),300,0))),1000000000))</f>
        <v/>
      </c>
      <c r="TR34">
        <f>IF($B34=0,1000000000,IF(INDEX('calcA'!$D$60:$EQ$99,$B34,143)*IF($W34=1,IN34+AFC34,IN34)=1,IF(AND($E34=2,IF($W34=1,AKR34,OC34)=0),1000000000,IF($V34=1,INDEX('calcA'!$D$130:$EQ$169,$B34,143)+IF(AND($E34=1,OC34=0),25,0),INDEX('calcA'!EP$110:EP$114,$F34+1)+IF(AND($E34=1,OC34=0),1000,0)+IF($H34=1,INDEX('calcA'!$D$180:$EQ$219,$B34,143)*500,0)-IF(AND('calcA'!EO$117=1,ZM34&gt;0),300,0)-IF(AND($U34=1,'calcA'!EP$117=1,IO34=0),300,0))),1000000000))</f>
        <v/>
      </c>
      <c r="TS34">
        <f>IF($B34=0,1000000000,IF(INDEX('calcA'!$D$60:$EQ$99,$B34,144)*IF($W34=1,IO34+AFD34,IO34)=1,IF(AND($E34=2,IF($W34=1,AKS34,OD34)=0),1000000000,IF($V34=1,INDEX('calcA'!$D$130:$EQ$169,$B34,144)+IF(AND($E34=1,OD34=0),25,0),INDEX('calcA'!EQ$110:EQ$114,$F34+1)+IF(AND($E34=1,OD34=0),1000,0)+IF($H34=1,INDEX('calcA'!$D$180:$EQ$219,$B34,144)*500,0)-IF(AND('calcA'!EP$117=1,ZN34&gt;0),300,0))),1000000000))</f>
        <v/>
      </c>
      <c r="UB34">
        <f>UB33+IF(AND($C33=1,$U33=1),1,0)</f>
        <v/>
      </c>
      <c r="UC34">
        <f>UC33+IF(AND($C33=2,$U33=1),1,0)</f>
        <v/>
      </c>
      <c r="UD34">
        <f>UD33+IF(AND($C33=3,$U33=1),1,0)</f>
        <v/>
      </c>
      <c r="UE34">
        <f>UE33+IF(AND($C33=4,$U33=1),1,0)</f>
        <v/>
      </c>
      <c r="UF34">
        <f>UF33+IF(AND($C33=5,$U33=1),1,0)</f>
        <v/>
      </c>
      <c r="UG34">
        <f>UG33+IF(AND($C33=6,$U33=1),1,0)</f>
        <v/>
      </c>
      <c r="UH34">
        <f>UH33+IF(AND($C33=7,$U33=1),1,0)</f>
        <v/>
      </c>
      <c r="UI34">
        <f>UI33+IF(AND($C33=8,$U33=1),1,0)</f>
        <v/>
      </c>
      <c r="UJ34">
        <f>UJ33+IF(AND($C33=9,$U33=1),1,0)</f>
        <v/>
      </c>
      <c r="UK34">
        <f>UK33+IF(AND($C33=10,$U33=1),1,0)</f>
        <v/>
      </c>
      <c r="UL34">
        <f>UL33+IF(AND($C33=11,$U33=1),1,0)</f>
        <v/>
      </c>
      <c r="UM34">
        <f>UM33+IF(AND($C33=12,$U33=1),1,0)</f>
        <v/>
      </c>
      <c r="UN34">
        <f>UN33+IF(AND($C33=13,$U33=1),1,0)</f>
        <v/>
      </c>
      <c r="UO34">
        <f>UO33+IF(AND($C33=14,$U33=1),1,0)</f>
        <v/>
      </c>
      <c r="UP34">
        <f>UP33+IF(AND($C33=15,$U33=1),1,0)</f>
        <v/>
      </c>
      <c r="UQ34">
        <f>UQ33+IF(AND($C33=16,$U33=1),1,0)</f>
        <v/>
      </c>
      <c r="UR34">
        <f>UR33+IF(AND($C33=17,$U33=1),1,0)</f>
        <v/>
      </c>
      <c r="US34">
        <f>US33+IF(AND($C33=18,$U33=1),1,0)</f>
        <v/>
      </c>
      <c r="UT34">
        <f>UT33+IF(AND($C33=19,$U33=1),1,0)</f>
        <v/>
      </c>
      <c r="UU34">
        <f>UU33+IF(AND($C33=20,$U33=1),1,0)</f>
        <v/>
      </c>
      <c r="UV34">
        <f>UV33+IF(AND($C33=21,$U33=1),1,0)</f>
        <v/>
      </c>
      <c r="UW34">
        <f>UW33+IF(AND($C33=22,$U33=1),1,0)</f>
        <v/>
      </c>
      <c r="UX34">
        <f>UX33+IF(AND($C33=23,$U33=1),1,0)</f>
        <v/>
      </c>
      <c r="UY34">
        <f>UY33+IF(AND($C33=24,$U33=1),1,0)</f>
        <v/>
      </c>
      <c r="UZ34">
        <f>UZ33+IF(AND($C33=25,$U33=1),1,0)</f>
        <v/>
      </c>
      <c r="VA34">
        <f>VA33+IF(AND($C33=26,$U33=1),1,0)</f>
        <v/>
      </c>
      <c r="VB34">
        <f>VB33+IF(AND($C33=27,$U33=1),1,0)</f>
        <v/>
      </c>
      <c r="VC34">
        <f>VC33+IF(AND($C33=28,$U33=1),1,0)</f>
        <v/>
      </c>
      <c r="VD34">
        <f>VD33+IF(AND($C33=29,$U33=1),1,0)</f>
        <v/>
      </c>
      <c r="VE34">
        <f>VE33+IF(AND($C33=30,$U33=1),1,0)</f>
        <v/>
      </c>
      <c r="VF34">
        <f>VF33+IF(AND($C33=31,$U33=1),1,0)</f>
        <v/>
      </c>
      <c r="VG34">
        <f>VG33+IF(AND($C33=32,$U33=1),1,0)</f>
        <v/>
      </c>
      <c r="VH34">
        <f>VH33+IF(AND($C33=33,$U33=1),1,0)</f>
        <v/>
      </c>
      <c r="VI34">
        <f>VI33+IF(AND($C33=34,$U33=1),1,0)</f>
        <v/>
      </c>
      <c r="VJ34">
        <f>VJ33+IF(AND($C33=35,$U33=1),1,0)</f>
        <v/>
      </c>
      <c r="VK34">
        <f>VK33+IF(AND($C33=36,$U33=1),1,0)</f>
        <v/>
      </c>
      <c r="VL34">
        <f>VL33+IF(AND($C33=37,$U33=1),1,0)</f>
        <v/>
      </c>
      <c r="VM34">
        <f>VM33+IF(AND($C33=38,$U33=1),1,0)</f>
        <v/>
      </c>
      <c r="VN34">
        <f>VN33+IF(AND($C33=39,$U33=1),1,0)</f>
        <v/>
      </c>
      <c r="VO34">
        <f>VO33+IF(AND($C33=40,$U33=1),1,0)</f>
        <v/>
      </c>
      <c r="VP34">
        <f>VP33+IF(AND($C33=41,$U33=1),1,0)</f>
        <v/>
      </c>
      <c r="VQ34">
        <f>VQ33+IF(AND($C33=42,$U33=1),1,0)</f>
        <v/>
      </c>
      <c r="VR34">
        <f>VR33+IF(AND($C33=43,$U33=1),1,0)</f>
        <v/>
      </c>
      <c r="VS34">
        <f>VS33+IF(AND($C33=44,$U33=1),1,0)</f>
        <v/>
      </c>
      <c r="VT34">
        <f>VT33+IF(AND($C33=45,$U33=1),1,0)</f>
        <v/>
      </c>
      <c r="VU34">
        <f>VU33+IF(AND($C33=46,$U33=1),1,0)</f>
        <v/>
      </c>
      <c r="VV34">
        <f>VV33+IF(AND($C33=47,$U33=1),1,0)</f>
        <v/>
      </c>
      <c r="VW34">
        <f>VW33+IF(AND($C33=48,$U33=1),1,0)</f>
        <v/>
      </c>
      <c r="VX34">
        <f>VX33+IF(AND($C33=49,$U33=1),1,0)</f>
        <v/>
      </c>
      <c r="VY34">
        <f>VY33+IF(AND($C33=50,$U33=1),1,0)</f>
        <v/>
      </c>
      <c r="VZ34">
        <f>VZ33+IF(AND($C33=51,$U33=1),1,0)</f>
        <v/>
      </c>
      <c r="WA34">
        <f>WA33+IF(AND($C33=52,$U33=1),1,0)</f>
        <v/>
      </c>
      <c r="WB34">
        <f>WB33+IF(AND($C33=53,$U33=1),1,0)</f>
        <v/>
      </c>
      <c r="WC34">
        <f>WC33+IF(AND($C33=54,$U33=1),1,0)</f>
        <v/>
      </c>
      <c r="WD34">
        <f>WD33+IF(AND($C33=55,$U33=1),1,0)</f>
        <v/>
      </c>
      <c r="WE34">
        <f>WE33+IF(AND($C33=56,$U33=1),1,0)</f>
        <v/>
      </c>
      <c r="WF34">
        <f>WF33+IF(AND($C33=57,$U33=1),1,0)</f>
        <v/>
      </c>
      <c r="WG34">
        <f>WG33+IF(AND($C33=58,$U33=1),1,0)</f>
        <v/>
      </c>
      <c r="WH34">
        <f>WH33+IF(AND($C33=59,$U33=1),1,0)</f>
        <v/>
      </c>
      <c r="WI34">
        <f>WI33+IF(AND($C33=60,$U33=1),1,0)</f>
        <v/>
      </c>
      <c r="WJ34">
        <f>WJ33+IF(AND($C33=61,$U33=1),1,0)</f>
        <v/>
      </c>
      <c r="WK34">
        <f>WK33+IF(AND($C33=62,$U33=1),1,0)</f>
        <v/>
      </c>
      <c r="WL34">
        <f>WL33+IF(AND($C33=63,$U33=1),1,0)</f>
        <v/>
      </c>
      <c r="WM34">
        <f>WM33+IF(AND($C33=64,$U33=1),1,0)</f>
        <v/>
      </c>
      <c r="WN34">
        <f>WN33+IF(AND($C33=65,$U33=1),1,0)</f>
        <v/>
      </c>
      <c r="WO34">
        <f>WO33+IF(AND($C33=66,$U33=1),1,0)</f>
        <v/>
      </c>
      <c r="WP34">
        <f>WP33+IF(AND($C33=67,$U33=1),1,0)</f>
        <v/>
      </c>
      <c r="WQ34">
        <f>WQ33+IF(AND($C33=68,$U33=1),1,0)</f>
        <v/>
      </c>
      <c r="WR34">
        <f>WR33+IF(AND($C33=69,$U33=1),1,0)</f>
        <v/>
      </c>
      <c r="WS34">
        <f>WS33+IF(AND($C33=70,$U33=1),1,0)</f>
        <v/>
      </c>
      <c r="WT34">
        <f>WT33+IF(AND($C33=71,$U33=1),1,0)</f>
        <v/>
      </c>
      <c r="WU34">
        <f>WU33+IF(AND($C33=72,$U33=1),1,0)</f>
        <v/>
      </c>
      <c r="WV34">
        <f>WV33+IF(AND($C33=73,$U33=1),1,0)</f>
        <v/>
      </c>
      <c r="WW34">
        <f>WW33+IF(AND($C33=74,$U33=1),1,0)</f>
        <v/>
      </c>
      <c r="WX34">
        <f>WX33+IF(AND($C33=75,$U33=1),1,0)</f>
        <v/>
      </c>
      <c r="WY34">
        <f>WY33+IF(AND($C33=76,$U33=1),1,0)</f>
        <v/>
      </c>
      <c r="WZ34">
        <f>WZ33+IF(AND($C33=77,$U33=1),1,0)</f>
        <v/>
      </c>
      <c r="XA34">
        <f>XA33+IF(AND($C33=78,$U33=1),1,0)</f>
        <v/>
      </c>
      <c r="XB34">
        <f>XB33+IF(AND($C33=79,$U33=1),1,0)</f>
        <v/>
      </c>
      <c r="XC34">
        <f>XC33+IF(AND($C33=80,$U33=1),1,0)</f>
        <v/>
      </c>
      <c r="XD34">
        <f>XD33+IF(AND($C33=81,$U33=1),1,0)</f>
        <v/>
      </c>
      <c r="XE34">
        <f>XE33+IF(AND($C33=82,$U33=1),1,0)</f>
        <v/>
      </c>
      <c r="XF34">
        <f>XF33+IF(AND($C33=83,$U33=1),1,0)</f>
        <v/>
      </c>
      <c r="XG34">
        <f>XG33+IF(AND($C33=84,$U33=1),1,0)</f>
        <v/>
      </c>
      <c r="XH34">
        <f>XH33+IF(AND($C33=85,$U33=1),1,0)</f>
        <v/>
      </c>
      <c r="XI34">
        <f>XI33+IF(AND($C33=86,$U33=1),1,0)</f>
        <v/>
      </c>
      <c r="XJ34">
        <f>XJ33+IF(AND($C33=87,$U33=1),1,0)</f>
        <v/>
      </c>
      <c r="XK34">
        <f>XK33+IF(AND($C33=88,$U33=1),1,0)</f>
        <v/>
      </c>
      <c r="XL34">
        <f>XL33+IF(AND($C33=89,$U33=1),1,0)</f>
        <v/>
      </c>
      <c r="XM34">
        <f>XM33+IF(AND($C33=90,$U33=1),1,0)</f>
        <v/>
      </c>
      <c r="XN34">
        <f>XN33+IF(AND($C33=91,$U33=1),1,0)</f>
        <v/>
      </c>
      <c r="XO34">
        <f>XO33+IF(AND($C33=92,$U33=1),1,0)</f>
        <v/>
      </c>
      <c r="XP34">
        <f>XP33+IF(AND($C33=93,$U33=1),1,0)</f>
        <v/>
      </c>
      <c r="XQ34">
        <f>XQ33+IF(AND($C33=94,$U33=1),1,0)</f>
        <v/>
      </c>
      <c r="XR34">
        <f>XR33+IF(AND($C33=95,$U33=1),1,0)</f>
        <v/>
      </c>
      <c r="XS34">
        <f>XS33+IF(AND($C33=96,$U33=1),1,0)</f>
        <v/>
      </c>
      <c r="XT34">
        <f>XT33+IF(AND($C33=97,$U33=1),1,0)</f>
        <v/>
      </c>
      <c r="XU34">
        <f>XU33+IF(AND($C33=98,$U33=1),1,0)</f>
        <v/>
      </c>
      <c r="XV34">
        <f>XV33+IF(AND($C33=99,$U33=1),1,0)</f>
        <v/>
      </c>
      <c r="XW34">
        <f>XW33+IF(AND($C33=100,$U33=1),1,0)</f>
        <v/>
      </c>
      <c r="XX34">
        <f>XX33+IF(AND($C33=101,$U33=1),1,0)</f>
        <v/>
      </c>
      <c r="XY34">
        <f>XY33+IF(AND($C33=102,$U33=1),1,0)</f>
        <v/>
      </c>
      <c r="XZ34">
        <f>XZ33+IF(AND($C33=103,$U33=1),1,0)</f>
        <v/>
      </c>
      <c r="YA34">
        <f>YA33+IF(AND($C33=104,$U33=1),1,0)</f>
        <v/>
      </c>
      <c r="YB34">
        <f>YB33+IF(AND($C33=105,$U33=1),1,0)</f>
        <v/>
      </c>
      <c r="YC34">
        <f>YC33+IF(AND($C33=106,$U33=1),1,0)</f>
        <v/>
      </c>
      <c r="YD34">
        <f>YD33+IF(AND($C33=107,$U33=1),1,0)</f>
        <v/>
      </c>
      <c r="YE34">
        <f>YE33+IF(AND($C33=108,$U33=1),1,0)</f>
        <v/>
      </c>
      <c r="YF34">
        <f>YF33+IF(AND($C33=109,$U33=1),1,0)</f>
        <v/>
      </c>
      <c r="YG34">
        <f>YG33+IF(AND($C33=110,$U33=1),1,0)</f>
        <v/>
      </c>
      <c r="YH34">
        <f>YH33+IF(AND($C33=111,$U33=1),1,0)</f>
        <v/>
      </c>
      <c r="YI34">
        <f>YI33+IF(AND($C33=112,$U33=1),1,0)</f>
        <v/>
      </c>
      <c r="YJ34">
        <f>YJ33+IF(AND($C33=113,$U33=1),1,0)</f>
        <v/>
      </c>
      <c r="YK34">
        <f>YK33+IF(AND($C33=114,$U33=1),1,0)</f>
        <v/>
      </c>
      <c r="YL34">
        <f>YL33+IF(AND($C33=115,$U33=1),1,0)</f>
        <v/>
      </c>
      <c r="YM34">
        <f>YM33+IF(AND($C33=116,$U33=1),1,0)</f>
        <v/>
      </c>
      <c r="YN34">
        <f>YN33+IF(AND($C33=117,$U33=1),1,0)</f>
        <v/>
      </c>
      <c r="YO34">
        <f>YO33+IF(AND($C33=118,$U33=1),1,0)</f>
        <v/>
      </c>
      <c r="YP34">
        <f>YP33+IF(AND($C33=119,$U33=1),1,0)</f>
        <v/>
      </c>
      <c r="YQ34">
        <f>YQ33+IF(AND($C33=120,$U33=1),1,0)</f>
        <v/>
      </c>
      <c r="YR34">
        <f>YR33+IF(AND($C33=121,$U33=1),1,0)</f>
        <v/>
      </c>
      <c r="YS34">
        <f>YS33+IF(AND($C33=122,$U33=1),1,0)</f>
        <v/>
      </c>
      <c r="YT34">
        <f>YT33+IF(AND($C33=123,$U33=1),1,0)</f>
        <v/>
      </c>
      <c r="YU34">
        <f>YU33+IF(AND($C33=124,$U33=1),1,0)</f>
        <v/>
      </c>
      <c r="YV34">
        <f>YV33+IF(AND($C33=125,$U33=1),1,0)</f>
        <v/>
      </c>
      <c r="YW34">
        <f>YW33+IF(AND($C33=126,$U33=1),1,0)</f>
        <v/>
      </c>
      <c r="YX34">
        <f>YX33+IF(AND($C33=127,$U33=1),1,0)</f>
        <v/>
      </c>
      <c r="YY34">
        <f>YY33+IF(AND($C33=128,$U33=1),1,0)</f>
        <v/>
      </c>
      <c r="YZ34">
        <f>YZ33+IF(AND($C33=129,$U33=1),1,0)</f>
        <v/>
      </c>
      <c r="ZA34">
        <f>ZA33+IF(AND($C33=130,$U33=1),1,0)</f>
        <v/>
      </c>
      <c r="ZB34">
        <f>ZB33+IF(AND($C33=131,$U33=1),1,0)</f>
        <v/>
      </c>
      <c r="ZC34">
        <f>ZC33+IF(AND($C33=132,$U33=1),1,0)</f>
        <v/>
      </c>
      <c r="ZD34">
        <f>ZD33+IF(AND($C33=133,$U33=1),1,0)</f>
        <v/>
      </c>
      <c r="ZE34">
        <f>ZE33+IF(AND($C33=134,$U33=1),1,0)</f>
        <v/>
      </c>
      <c r="ZF34">
        <f>ZF33+IF(AND($C33=135,$U33=1),1,0)</f>
        <v/>
      </c>
      <c r="ZG34">
        <f>ZG33+IF(AND($C33=136,$U33=1),1,0)</f>
        <v/>
      </c>
      <c r="ZH34">
        <f>ZH33+IF(AND($C33=137,$U33=1),1,0)</f>
        <v/>
      </c>
      <c r="ZI34">
        <f>ZI33+IF(AND($C33=138,$U33=1),1,0)</f>
        <v/>
      </c>
      <c r="ZJ34">
        <f>ZJ33+IF(AND($C33=139,$U33=1),1,0)</f>
        <v/>
      </c>
      <c r="ZK34">
        <f>ZK33+IF(AND($C33=140,$U33=1),1,0)</f>
        <v/>
      </c>
      <c r="ZL34">
        <f>ZL33+IF(AND($C33=141,$U33=1),1,0)</f>
        <v/>
      </c>
      <c r="ZM34">
        <f>ZM33+IF(AND($C33=142,$U33=1),1,0)</f>
        <v/>
      </c>
      <c r="ZN34">
        <f>ZN33+IF(AND($C33=143,$U33=1),1,0)</f>
        <v/>
      </c>
      <c r="ZO34">
        <f>ZO33+IF(AND($C33=144,$U33=1),1,0)</f>
        <v/>
      </c>
      <c r="ZQ34">
        <f>IF($C33=1,0,ZQ33+IF(AND($G33=1,$E33=1),1,0))</f>
        <v/>
      </c>
      <c r="ZR34">
        <f>IF($C33=2,0,ZR33+IF(AND($G33=2,$E33=1),1,0))</f>
        <v/>
      </c>
      <c r="ZS34">
        <f>IF($C33=3,0,ZS33+IF(AND($G33=3,$E33=1),1,0))</f>
        <v/>
      </c>
      <c r="ZT34">
        <f>IF($C33=4,0,ZT33+IF(AND($G33=4,$E33=1),1,0))</f>
        <v/>
      </c>
      <c r="ZU34">
        <f>IF($C33=5,0,ZU33+IF(AND($G33=5,$E33=1),1,0))</f>
        <v/>
      </c>
      <c r="ZV34">
        <f>IF($C33=6,0,ZV33+IF(AND($G33=6,$E33=1),1,0))</f>
        <v/>
      </c>
      <c r="ZW34">
        <f>IF($C33=7,0,ZW33+IF(AND($G33=7,$E33=1),1,0))</f>
        <v/>
      </c>
      <c r="ZX34">
        <f>IF($C33=8,0,ZX33+IF(AND($G33=8,$E33=1),1,0))</f>
        <v/>
      </c>
      <c r="ZY34">
        <f>IF($C33=9,0,ZY33+IF(AND($G33=9,$E33=1),1,0))</f>
        <v/>
      </c>
      <c r="ZZ34">
        <f>IF($C33=10,0,ZZ33+IF(AND($G33=10,$E33=1),1,0))</f>
        <v/>
      </c>
      <c r="AAA34">
        <f>IF($C33=11,0,AAA33+IF(AND($G33=11,$E33=1),1,0))</f>
        <v/>
      </c>
      <c r="AAB34">
        <f>IF($C33=12,0,AAB33+IF(AND($G33=12,$E33=1),1,0))</f>
        <v/>
      </c>
      <c r="AAC34">
        <f>IF($C33=13,0,AAC33+IF(AND($G33=13,$E33=1),1,0))</f>
        <v/>
      </c>
      <c r="AAD34">
        <f>IF($C33=14,0,AAD33+IF(AND($G33=14,$E33=1),1,0))</f>
        <v/>
      </c>
      <c r="AAE34">
        <f>IF($C33=15,0,AAE33+IF(AND($G33=15,$E33=1),1,0))</f>
        <v/>
      </c>
      <c r="AAF34">
        <f>IF($C33=16,0,AAF33+IF(AND($G33=16,$E33=1),1,0))</f>
        <v/>
      </c>
      <c r="AAG34">
        <f>IF($C33=17,0,AAG33+IF(AND($G33=17,$E33=1),1,0))</f>
        <v/>
      </c>
      <c r="AAH34">
        <f>IF($C33=18,0,AAH33+IF(AND($G33=18,$E33=1),1,0))</f>
        <v/>
      </c>
      <c r="AAI34">
        <f>IF($C33=19,0,AAI33+IF(AND($G33=19,$E33=1),1,0))</f>
        <v/>
      </c>
      <c r="AAJ34">
        <f>IF($C33=20,0,AAJ33+IF(AND($G33=20,$E33=1),1,0))</f>
        <v/>
      </c>
      <c r="AAK34">
        <f>IF($C33=21,0,AAK33+IF(AND($G33=21,$E33=1),1,0))</f>
        <v/>
      </c>
      <c r="AAL34">
        <f>IF($C33=22,0,AAL33+IF(AND($G33=22,$E33=1),1,0))</f>
        <v/>
      </c>
      <c r="AAM34">
        <f>IF($C33=23,0,AAM33+IF(AND($G33=23,$E33=1),1,0))</f>
        <v/>
      </c>
      <c r="AAN34">
        <f>IF($C33=24,0,AAN33+IF(AND($G33=24,$E33=1),1,0))</f>
        <v/>
      </c>
      <c r="AAO34">
        <f>IF($C33=25,0,AAO33+IF(AND($G33=25,$E33=1),1,0))</f>
        <v/>
      </c>
      <c r="AAP34">
        <f>IF($C33=26,0,AAP33+IF(AND($G33=26,$E33=1),1,0))</f>
        <v/>
      </c>
      <c r="AAQ34">
        <f>IF($C33=27,0,AAQ33+IF(AND($G33=27,$E33=1),1,0))</f>
        <v/>
      </c>
      <c r="AAR34">
        <f>IF($C33=28,0,AAR33+IF(AND($G33=28,$E33=1),1,0))</f>
        <v/>
      </c>
      <c r="AAS34">
        <f>IF($C33=29,0,AAS33+IF(AND($G33=29,$E33=1),1,0))</f>
        <v/>
      </c>
      <c r="AAT34">
        <f>IF($C33=30,0,AAT33+IF(AND($G33=30,$E33=1),1,0))</f>
        <v/>
      </c>
      <c r="AAU34">
        <f>IF($C33=31,0,AAU33+IF(AND($G33=31,$E33=1),1,0))</f>
        <v/>
      </c>
      <c r="AAV34">
        <f>IF($C33=32,0,AAV33+IF(AND($G33=32,$E33=1),1,0))</f>
        <v/>
      </c>
      <c r="AAW34">
        <f>IF($C33=33,0,AAW33+IF(AND($G33=33,$E33=1),1,0))</f>
        <v/>
      </c>
      <c r="AAX34">
        <f>IF($C33=34,0,AAX33+IF(AND($G33=34,$E33=1),1,0))</f>
        <v/>
      </c>
      <c r="AAY34">
        <f>IF($C33=35,0,AAY33+IF(AND($G33=35,$E33=1),1,0))</f>
        <v/>
      </c>
      <c r="AAZ34">
        <f>IF($C33=36,0,AAZ33+IF(AND($G33=36,$E33=1),1,0))</f>
        <v/>
      </c>
      <c r="ABA34">
        <f>IF($C33=37,0,ABA33+IF(AND($G33=37,$E33=1),1,0))</f>
        <v/>
      </c>
      <c r="ABB34">
        <f>IF($C33=38,0,ABB33+IF(AND($G33=38,$E33=1),1,0))</f>
        <v/>
      </c>
      <c r="ABC34">
        <f>IF($C33=39,0,ABC33+IF(AND($G33=39,$E33=1),1,0))</f>
        <v/>
      </c>
      <c r="ABD34">
        <f>IF($C33=40,0,ABD33+IF(AND($G33=40,$E33=1),1,0))</f>
        <v/>
      </c>
      <c r="ABE34">
        <f>IF($C33=41,0,ABE33+IF(AND($G33=41,$E33=1),1,0))</f>
        <v/>
      </c>
      <c r="ABF34">
        <f>IF($C33=42,0,ABF33+IF(AND($G33=42,$E33=1),1,0))</f>
        <v/>
      </c>
      <c r="ABG34">
        <f>IF($C33=43,0,ABG33+IF(AND($G33=43,$E33=1),1,0))</f>
        <v/>
      </c>
      <c r="ABH34">
        <f>IF($C33=44,0,ABH33+IF(AND($G33=44,$E33=1),1,0))</f>
        <v/>
      </c>
      <c r="ABI34">
        <f>IF($C33=45,0,ABI33+IF(AND($G33=45,$E33=1),1,0))</f>
        <v/>
      </c>
      <c r="ABJ34">
        <f>IF($C33=46,0,ABJ33+IF(AND($G33=46,$E33=1),1,0))</f>
        <v/>
      </c>
      <c r="ABK34">
        <f>IF($C33=47,0,ABK33+IF(AND($G33=47,$E33=1),1,0))</f>
        <v/>
      </c>
      <c r="ABL34">
        <f>IF($C33=48,0,ABL33+IF(AND($G33=48,$E33=1),1,0))</f>
        <v/>
      </c>
      <c r="ABM34">
        <f>IF($C33=49,0,ABM33+IF(AND($G33=49,$E33=1),1,0))</f>
        <v/>
      </c>
      <c r="ABN34">
        <f>IF($C33=50,0,ABN33+IF(AND($G33=50,$E33=1),1,0))</f>
        <v/>
      </c>
      <c r="ABO34">
        <f>IF($C33=51,0,ABO33+IF(AND($G33=51,$E33=1),1,0))</f>
        <v/>
      </c>
      <c r="ABP34">
        <f>IF($C33=52,0,ABP33+IF(AND($G33=52,$E33=1),1,0))</f>
        <v/>
      </c>
      <c r="ABQ34">
        <f>IF($C33=53,0,ABQ33+IF(AND($G33=53,$E33=1),1,0))</f>
        <v/>
      </c>
      <c r="ABR34">
        <f>IF($C33=54,0,ABR33+IF(AND($G33=54,$E33=1),1,0))</f>
        <v/>
      </c>
      <c r="ABS34">
        <f>IF($C33=55,0,ABS33+IF(AND($G33=55,$E33=1),1,0))</f>
        <v/>
      </c>
      <c r="ABT34">
        <f>IF($C33=56,0,ABT33+IF(AND($G33=56,$E33=1),1,0))</f>
        <v/>
      </c>
      <c r="ABU34">
        <f>IF($C33=57,0,ABU33+IF(AND($G33=57,$E33=1),1,0))</f>
        <v/>
      </c>
      <c r="ABV34">
        <f>IF($C33=58,0,ABV33+IF(AND($G33=58,$E33=1),1,0))</f>
        <v/>
      </c>
      <c r="ABW34">
        <f>IF($C33=59,0,ABW33+IF(AND($G33=59,$E33=1),1,0))</f>
        <v/>
      </c>
      <c r="ABX34">
        <f>IF($C33=60,0,ABX33+IF(AND($G33=60,$E33=1),1,0))</f>
        <v/>
      </c>
      <c r="ABY34">
        <f>IF($C33=61,0,ABY33+IF(AND($G33=61,$E33=1),1,0))</f>
        <v/>
      </c>
      <c r="ABZ34">
        <f>IF($C33=62,0,ABZ33+IF(AND($G33=62,$E33=1),1,0))</f>
        <v/>
      </c>
      <c r="ACA34">
        <f>IF($C33=63,0,ACA33+IF(AND($G33=63,$E33=1),1,0))</f>
        <v/>
      </c>
      <c r="ACB34">
        <f>IF($C33=64,0,ACB33+IF(AND($G33=64,$E33=1),1,0))</f>
        <v/>
      </c>
      <c r="ACC34">
        <f>IF($C33=65,0,ACC33+IF(AND($G33=65,$E33=1),1,0))</f>
        <v/>
      </c>
      <c r="ACD34">
        <f>IF($C33=66,0,ACD33+IF(AND($G33=66,$E33=1),1,0))</f>
        <v/>
      </c>
      <c r="ACE34">
        <f>IF($C33=67,0,ACE33+IF(AND($G33=67,$E33=1),1,0))</f>
        <v/>
      </c>
      <c r="ACF34">
        <f>IF($C33=68,0,ACF33+IF(AND($G33=68,$E33=1),1,0))</f>
        <v/>
      </c>
      <c r="ACG34">
        <f>IF($C33=69,0,ACG33+IF(AND($G33=69,$E33=1),1,0))</f>
        <v/>
      </c>
      <c r="ACH34">
        <f>IF($C33=70,0,ACH33+IF(AND($G33=70,$E33=1),1,0))</f>
        <v/>
      </c>
      <c r="ACI34">
        <f>IF($C33=71,0,ACI33+IF(AND($G33=71,$E33=1),1,0))</f>
        <v/>
      </c>
      <c r="ACJ34">
        <f>IF($C33=72,0,ACJ33+IF(AND($G33=72,$E33=1),1,0))</f>
        <v/>
      </c>
      <c r="ACK34">
        <f>IF($C33=73,0,ACK33+IF(AND($G33=73,$E33=1),1,0))</f>
        <v/>
      </c>
      <c r="ACL34">
        <f>IF($C33=74,0,ACL33+IF(AND($G33=74,$E33=1),1,0))</f>
        <v/>
      </c>
      <c r="ACM34">
        <f>IF($C33=75,0,ACM33+IF(AND($G33=75,$E33=1),1,0))</f>
        <v/>
      </c>
      <c r="ACN34">
        <f>IF($C33=76,0,ACN33+IF(AND($G33=76,$E33=1),1,0))</f>
        <v/>
      </c>
      <c r="ACO34">
        <f>IF($C33=77,0,ACO33+IF(AND($G33=77,$E33=1),1,0))</f>
        <v/>
      </c>
      <c r="ACP34">
        <f>IF($C33=78,0,ACP33+IF(AND($G33=78,$E33=1),1,0))</f>
        <v/>
      </c>
      <c r="ACQ34">
        <f>IF($C33=79,0,ACQ33+IF(AND($G33=79,$E33=1),1,0))</f>
        <v/>
      </c>
      <c r="ACR34">
        <f>IF($C33=80,0,ACR33+IF(AND($G33=80,$E33=1),1,0))</f>
        <v/>
      </c>
      <c r="ACS34">
        <f>IF($C33=81,0,ACS33+IF(AND($G33=81,$E33=1),1,0))</f>
        <v/>
      </c>
      <c r="ACT34">
        <f>IF($C33=82,0,ACT33+IF(AND($G33=82,$E33=1),1,0))</f>
        <v/>
      </c>
      <c r="ACU34">
        <f>IF($C33=83,0,ACU33+IF(AND($G33=83,$E33=1),1,0))</f>
        <v/>
      </c>
      <c r="ACV34">
        <f>IF($C33=84,0,ACV33+IF(AND($G33=84,$E33=1),1,0))</f>
        <v/>
      </c>
      <c r="ACW34">
        <f>IF($C33=85,0,ACW33+IF(AND($G33=85,$E33=1),1,0))</f>
        <v/>
      </c>
      <c r="ACX34">
        <f>IF($C33=86,0,ACX33+IF(AND($G33=86,$E33=1),1,0))</f>
        <v/>
      </c>
      <c r="ACY34">
        <f>IF($C33=87,0,ACY33+IF(AND($G33=87,$E33=1),1,0))</f>
        <v/>
      </c>
      <c r="ACZ34">
        <f>IF($C33=88,0,ACZ33+IF(AND($G33=88,$E33=1),1,0))</f>
        <v/>
      </c>
      <c r="ADA34">
        <f>IF($C33=89,0,ADA33+IF(AND($G33=89,$E33=1),1,0))</f>
        <v/>
      </c>
      <c r="ADB34">
        <f>IF($C33=90,0,ADB33+IF(AND($G33=90,$E33=1),1,0))</f>
        <v/>
      </c>
      <c r="ADC34">
        <f>IF($C33=91,0,ADC33+IF(AND($G33=91,$E33=1),1,0))</f>
        <v/>
      </c>
      <c r="ADD34">
        <f>IF($C33=92,0,ADD33+IF(AND($G33=92,$E33=1),1,0))</f>
        <v/>
      </c>
      <c r="ADE34">
        <f>IF($C33=93,0,ADE33+IF(AND($G33=93,$E33=1),1,0))</f>
        <v/>
      </c>
      <c r="ADF34">
        <f>IF($C33=94,0,ADF33+IF(AND($G33=94,$E33=1),1,0))</f>
        <v/>
      </c>
      <c r="ADG34">
        <f>IF($C33=95,0,ADG33+IF(AND($G33=95,$E33=1),1,0))</f>
        <v/>
      </c>
      <c r="ADH34">
        <f>IF($C33=96,0,ADH33+IF(AND($G33=96,$E33=1),1,0))</f>
        <v/>
      </c>
      <c r="ADI34">
        <f>IF($C33=97,0,ADI33+IF(AND($G33=97,$E33=1),1,0))</f>
        <v/>
      </c>
      <c r="ADJ34">
        <f>IF($C33=98,0,ADJ33+IF(AND($G33=98,$E33=1),1,0))</f>
        <v/>
      </c>
      <c r="ADK34">
        <f>IF($C33=99,0,ADK33+IF(AND($G33=99,$E33=1),1,0))</f>
        <v/>
      </c>
      <c r="ADL34">
        <f>IF($C33=100,0,ADL33+IF(AND($G33=100,$E33=1),1,0))</f>
        <v/>
      </c>
      <c r="ADM34">
        <f>IF($C33=101,0,ADM33+IF(AND($G33=101,$E33=1),1,0))</f>
        <v/>
      </c>
      <c r="ADN34">
        <f>IF($C33=102,0,ADN33+IF(AND($G33=102,$E33=1),1,0))</f>
        <v/>
      </c>
      <c r="ADO34">
        <f>IF($C33=103,0,ADO33+IF(AND($G33=103,$E33=1),1,0))</f>
        <v/>
      </c>
      <c r="ADP34">
        <f>IF($C33=104,0,ADP33+IF(AND($G33=104,$E33=1),1,0))</f>
        <v/>
      </c>
      <c r="ADQ34">
        <f>IF($C33=105,0,ADQ33+IF(AND($G33=105,$E33=1),1,0))</f>
        <v/>
      </c>
      <c r="ADR34">
        <f>IF($C33=106,0,ADR33+IF(AND($G33=106,$E33=1),1,0))</f>
        <v/>
      </c>
      <c r="ADS34">
        <f>IF($C33=107,0,ADS33+IF(AND($G33=107,$E33=1),1,0))</f>
        <v/>
      </c>
      <c r="ADT34">
        <f>IF($C33=108,0,ADT33+IF(AND($G33=108,$E33=1),1,0))</f>
        <v/>
      </c>
      <c r="ADU34">
        <f>IF($C33=109,0,ADU33+IF(AND($G33=109,$E33=1),1,0))</f>
        <v/>
      </c>
      <c r="ADV34">
        <f>IF($C33=110,0,ADV33+IF(AND($G33=110,$E33=1),1,0))</f>
        <v/>
      </c>
      <c r="ADW34">
        <f>IF($C33=111,0,ADW33+IF(AND($G33=111,$E33=1),1,0))</f>
        <v/>
      </c>
      <c r="ADX34">
        <f>IF($C33=112,0,ADX33+IF(AND($G33=112,$E33=1),1,0))</f>
        <v/>
      </c>
      <c r="ADY34">
        <f>IF($C33=113,0,ADY33+IF(AND($G33=113,$E33=1),1,0))</f>
        <v/>
      </c>
      <c r="ADZ34">
        <f>IF($C33=114,0,ADZ33+IF(AND($G33=114,$E33=1),1,0))</f>
        <v/>
      </c>
      <c r="AEA34">
        <f>IF($C33=115,0,AEA33+IF(AND($G33=115,$E33=1),1,0))</f>
        <v/>
      </c>
      <c r="AEB34">
        <f>IF($C33=116,0,AEB33+IF(AND($G33=116,$E33=1),1,0))</f>
        <v/>
      </c>
      <c r="AEC34">
        <f>IF($C33=117,0,AEC33+IF(AND($G33=117,$E33=1),1,0))</f>
        <v/>
      </c>
      <c r="AED34">
        <f>IF($C33=118,0,AED33+IF(AND($G33=118,$E33=1),1,0))</f>
        <v/>
      </c>
      <c r="AEE34">
        <f>IF($C33=119,0,AEE33+IF(AND($G33=119,$E33=1),1,0))</f>
        <v/>
      </c>
      <c r="AEF34">
        <f>IF($C33=120,0,AEF33+IF(AND($G33=120,$E33=1),1,0))</f>
        <v/>
      </c>
      <c r="AEG34">
        <f>IF($C33=121,0,AEG33+IF(AND($G33=121,$E33=1),1,0))</f>
        <v/>
      </c>
      <c r="AEH34">
        <f>IF($C33=122,0,AEH33+IF(AND($G33=122,$E33=1),1,0))</f>
        <v/>
      </c>
      <c r="AEI34">
        <f>IF($C33=123,0,AEI33+IF(AND($G33=123,$E33=1),1,0))</f>
        <v/>
      </c>
      <c r="AEJ34">
        <f>IF($C33=124,0,AEJ33+IF(AND($G33=124,$E33=1),1,0))</f>
        <v/>
      </c>
      <c r="AEK34">
        <f>IF($C33=125,0,AEK33+IF(AND($G33=125,$E33=1),1,0))</f>
        <v/>
      </c>
      <c r="AEL34">
        <f>IF($C33=126,0,AEL33+IF(AND($G33=126,$E33=1),1,0))</f>
        <v/>
      </c>
      <c r="AEM34">
        <f>IF($C33=127,0,AEM33+IF(AND($G33=127,$E33=1),1,0))</f>
        <v/>
      </c>
      <c r="AEN34">
        <f>IF($C33=128,0,AEN33+IF(AND($G33=128,$E33=1),1,0))</f>
        <v/>
      </c>
      <c r="AEO34">
        <f>IF($C33=129,0,AEO33+IF(AND($G33=129,$E33=1),1,0))</f>
        <v/>
      </c>
      <c r="AEP34">
        <f>IF($C33=130,0,AEP33+IF(AND($G33=130,$E33=1),1,0))</f>
        <v/>
      </c>
      <c r="AEQ34">
        <f>IF($C33=131,0,AEQ33+IF(AND($G33=131,$E33=1),1,0))</f>
        <v/>
      </c>
      <c r="AER34">
        <f>IF($C33=132,0,AER33+IF(AND($G33=132,$E33=1),1,0))</f>
        <v/>
      </c>
      <c r="AES34">
        <f>IF($C33=133,0,AES33+IF(AND($G33=133,$E33=1),1,0))</f>
        <v/>
      </c>
      <c r="AET34">
        <f>IF($C33=134,0,AET33+IF(AND($G33=134,$E33=1),1,0))</f>
        <v/>
      </c>
      <c r="AEU34">
        <f>IF($C33=135,0,AEU33+IF(AND($G33=135,$E33=1),1,0))</f>
        <v/>
      </c>
      <c r="AEV34">
        <f>IF($C33=136,0,AEV33+IF(AND($G33=136,$E33=1),1,0))</f>
        <v/>
      </c>
      <c r="AEW34">
        <f>IF($C33=137,0,AEW33+IF(AND($G33=137,$E33=1),1,0))</f>
        <v/>
      </c>
      <c r="AEX34">
        <f>IF($C33=138,0,AEX33+IF(AND($G33=138,$E33=1),1,0))</f>
        <v/>
      </c>
      <c r="AEY34">
        <f>IF($C33=139,0,AEY33+IF(AND($G33=139,$E33=1),1,0))</f>
        <v/>
      </c>
      <c r="AEZ34">
        <f>IF($C33=140,0,AEZ33+IF(AND($G33=140,$E33=1),1,0))</f>
        <v/>
      </c>
      <c r="AFA34">
        <f>IF($C33=141,0,AFA33+IF(AND($G33=141,$E33=1),1,0))</f>
        <v/>
      </c>
      <c r="AFB34">
        <f>IF($C33=142,0,AFB33+IF(AND($G33=142,$E33=1),1,0))</f>
        <v/>
      </c>
      <c r="AFC34">
        <f>IF($C33=143,0,AFC33+IF(AND($G33=143,$E33=1),1,0))</f>
        <v/>
      </c>
      <c r="AFD34">
        <f>IF($C33=144,0,AFD33+IF(AND($G33=144,$E33=1),1,0))</f>
        <v/>
      </c>
      <c r="AFF34">
        <f>IF('calcA'!D$106=1,DC34+ZR34,1)</f>
        <v/>
      </c>
      <c r="AFG34">
        <f>IF('calcA'!E$106=1,DD34+ZS34,1)</f>
        <v/>
      </c>
      <c r="AFH34">
        <f>IF('calcA'!F$106=1,DE34+ZT34,1)</f>
        <v/>
      </c>
      <c r="AFI34">
        <f>IF('calcA'!G$106=1,DF34+ZU34,1)</f>
        <v/>
      </c>
      <c r="AFJ34">
        <f>IF('calcA'!H$106=1,DG34+ZV34,1)</f>
        <v/>
      </c>
      <c r="AFK34">
        <f>IF('calcA'!I$106=1,DH34+ZW34,1)</f>
        <v/>
      </c>
      <c r="AFL34">
        <f>IF('calcA'!J$106=1,DI34+ZX34,1)</f>
        <v/>
      </c>
      <c r="AFM34">
        <f>IF('calcA'!K$106=1,DJ34+ZY34,1)</f>
        <v/>
      </c>
      <c r="AFN34">
        <f>IF('calcA'!L$106=1,DK34+ZZ34,1)</f>
        <v/>
      </c>
      <c r="AFO34">
        <f>IF('calcA'!M$106=1,DL34+AAA34,1)</f>
        <v/>
      </c>
      <c r="AFP34">
        <f>IF('calcA'!N$106=1,DM34+AAB34,1)</f>
        <v/>
      </c>
      <c r="AFQ34">
        <f>IF('calcA'!O$106=1,DN34+AAC34,1)</f>
        <v/>
      </c>
      <c r="AFR34">
        <f>IF('calcA'!P$106=1,DO34+AAD34,1)</f>
        <v/>
      </c>
      <c r="AFS34">
        <f>IF('calcA'!Q$106=1,DP34+AAE34,1)</f>
        <v/>
      </c>
      <c r="AFT34">
        <f>IF('calcA'!R$106=1,DQ34+AAF34,1)</f>
        <v/>
      </c>
      <c r="AFU34">
        <f>IF('calcA'!S$106=1,DR34+AAG34,1)</f>
        <v/>
      </c>
      <c r="AFV34">
        <f>IF('calcA'!T$106=1,DS34+AAH34,1)</f>
        <v/>
      </c>
      <c r="AFW34">
        <f>IF('calcA'!U$106=1,DT34+AAI34,1)</f>
        <v/>
      </c>
      <c r="AFX34">
        <f>IF('calcA'!V$106=1,DU34+AAJ34,1)</f>
        <v/>
      </c>
      <c r="AFY34">
        <f>IF('calcA'!W$106=1,DV34+AAK34,1)</f>
        <v/>
      </c>
      <c r="AFZ34">
        <f>IF('calcA'!X$106=1,DW34+AAL34,1)</f>
        <v/>
      </c>
      <c r="AGA34">
        <f>IF('calcA'!Y$106=1,DX34+AAM34,1)</f>
        <v/>
      </c>
      <c r="AGB34">
        <f>IF('calcA'!Z$106=1,DY34+AAN34,1)</f>
        <v/>
      </c>
      <c r="AGC34">
        <f>IF('calcA'!AA$106=1,DZ34+AAO34,1)</f>
        <v/>
      </c>
      <c r="AGD34">
        <f>IF('calcA'!AB$106=1,EA34+AAP34,1)</f>
        <v/>
      </c>
      <c r="AGE34">
        <f>IF('calcA'!AC$106=1,EB34+AAQ34,1)</f>
        <v/>
      </c>
      <c r="AGF34">
        <f>IF('calcA'!AD$106=1,EC34+AAR34,1)</f>
        <v/>
      </c>
      <c r="AGG34">
        <f>IF('calcA'!AE$106=1,ED34+AAS34,1)</f>
        <v/>
      </c>
      <c r="AGH34">
        <f>IF('calcA'!AF$106=1,EE34+AAT34,1)</f>
        <v/>
      </c>
      <c r="AGI34">
        <f>IF('calcA'!AG$106=1,EF34+AAU34,1)</f>
        <v/>
      </c>
      <c r="AGJ34">
        <f>IF('calcA'!AH$106=1,EG34+AAV34,1)</f>
        <v/>
      </c>
      <c r="AGK34">
        <f>IF('calcA'!AI$106=1,EH34+AAW34,1)</f>
        <v/>
      </c>
      <c r="AGL34">
        <f>IF('calcA'!AJ$106=1,EI34+AAX34,1)</f>
        <v/>
      </c>
      <c r="AGM34">
        <f>IF('calcA'!AK$106=1,EJ34+AAY34,1)</f>
        <v/>
      </c>
      <c r="AGN34">
        <f>IF('calcA'!AL$106=1,EK34+AAZ34,1)</f>
        <v/>
      </c>
      <c r="AGO34">
        <f>IF('calcA'!AM$106=1,EL34+ABA34,1)</f>
        <v/>
      </c>
      <c r="AGP34">
        <f>IF('calcA'!AN$106=1,EM34+ABB34,1)</f>
        <v/>
      </c>
      <c r="AGQ34">
        <f>IF('calcA'!AO$106=1,EN34+ABC34,1)</f>
        <v/>
      </c>
      <c r="AGR34">
        <f>IF('calcA'!AP$106=1,EO34+ABD34,1)</f>
        <v/>
      </c>
      <c r="AGS34">
        <f>IF('calcA'!AQ$106=1,EP34+ABE34,1)</f>
        <v/>
      </c>
      <c r="AGT34">
        <f>IF('calcA'!AR$106=1,EQ34+ABF34,1)</f>
        <v/>
      </c>
      <c r="AGU34">
        <f>IF('calcA'!AS$106=1,ER34+ABG34,1)</f>
        <v/>
      </c>
      <c r="AGV34">
        <f>IF('calcA'!AT$106=1,ES34+ABH34,1)</f>
        <v/>
      </c>
      <c r="AGW34">
        <f>IF('calcA'!AU$106=1,ET34+ABI34,1)</f>
        <v/>
      </c>
      <c r="AGX34">
        <f>IF('calcA'!AV$106=1,EU34+ABJ34,1)</f>
        <v/>
      </c>
      <c r="AGY34">
        <f>IF('calcA'!AW$106=1,EV34+ABK34,1)</f>
        <v/>
      </c>
      <c r="AGZ34">
        <f>IF('calcA'!AX$106=1,EW34+ABL34,1)</f>
        <v/>
      </c>
      <c r="AHA34">
        <f>IF('calcA'!AY$106=1,EX34+ABM34,1)</f>
        <v/>
      </c>
      <c r="AHB34">
        <f>IF('calcA'!AZ$106=1,EY34+ABN34,1)</f>
        <v/>
      </c>
      <c r="AHC34">
        <f>IF('calcA'!BA$106=1,EZ34+ABO34,1)</f>
        <v/>
      </c>
      <c r="AHD34">
        <f>IF('calcA'!BB$106=1,FA34+ABP34,1)</f>
        <v/>
      </c>
      <c r="AHE34">
        <f>IF('calcA'!BC$106=1,FB34+ABQ34,1)</f>
        <v/>
      </c>
      <c r="AHF34">
        <f>IF('calcA'!BD$106=1,FC34+ABR34,1)</f>
        <v/>
      </c>
      <c r="AHG34">
        <f>IF('calcA'!BE$106=1,FD34+ABS34,1)</f>
        <v/>
      </c>
      <c r="AHH34">
        <f>IF('calcA'!BF$106=1,FE34+ABT34,1)</f>
        <v/>
      </c>
      <c r="AHI34">
        <f>IF('calcA'!BG$106=1,FF34+ABU34,1)</f>
        <v/>
      </c>
      <c r="AHJ34">
        <f>IF('calcA'!BH$106=1,FG34+ABV34,1)</f>
        <v/>
      </c>
      <c r="AHK34">
        <f>IF('calcA'!BI$106=1,FH34+ABW34,1)</f>
        <v/>
      </c>
      <c r="AHL34">
        <f>IF('calcA'!BJ$106=1,FI34+ABX34,1)</f>
        <v/>
      </c>
      <c r="AHM34">
        <f>IF('calcA'!BK$106=1,FJ34+ABY34,1)</f>
        <v/>
      </c>
      <c r="AHN34">
        <f>IF('calcA'!BL$106=1,FK34+ABZ34,1)</f>
        <v/>
      </c>
      <c r="AHO34">
        <f>IF('calcA'!BM$106=1,FL34+ACA34,1)</f>
        <v/>
      </c>
      <c r="AHP34">
        <f>IF('calcA'!BN$106=1,FM34+ACB34,1)</f>
        <v/>
      </c>
      <c r="AHQ34">
        <f>IF('calcA'!BO$106=1,FN34+ACC34,1)</f>
        <v/>
      </c>
      <c r="AHR34">
        <f>IF('calcA'!BP$106=1,FO34+ACD34,1)</f>
        <v/>
      </c>
      <c r="AHS34">
        <f>IF('calcA'!BQ$106=1,FP34+ACE34,1)</f>
        <v/>
      </c>
      <c r="AHT34">
        <f>IF('calcA'!BR$106=1,FQ34+ACF34,1)</f>
        <v/>
      </c>
      <c r="AHU34">
        <f>IF('calcA'!BS$106=1,FR34+ACG34,1)</f>
        <v/>
      </c>
      <c r="AHV34">
        <f>IF('calcA'!BT$106=1,FS34+ACH34,1)</f>
        <v/>
      </c>
      <c r="AHW34">
        <f>IF('calcA'!BU$106=1,FT34+ACI34,1)</f>
        <v/>
      </c>
      <c r="AHX34">
        <f>IF('calcA'!BV$106=1,FU34+ACJ34,1)</f>
        <v/>
      </c>
      <c r="AHY34">
        <f>IF('calcA'!BW$106=1,FV34+ACK34,1)</f>
        <v/>
      </c>
      <c r="AHZ34">
        <f>IF('calcA'!BX$106=1,FW34+ACL34,1)</f>
        <v/>
      </c>
      <c r="AIA34">
        <f>IF('calcA'!BY$106=1,FX34+ACM34,1)</f>
        <v/>
      </c>
      <c r="AIB34">
        <f>IF('calcA'!BZ$106=1,FY34+ACN34,1)</f>
        <v/>
      </c>
      <c r="AIC34">
        <f>IF('calcA'!CA$106=1,FZ34+ACO34,1)</f>
        <v/>
      </c>
      <c r="AID34">
        <f>IF('calcA'!CB$106=1,GA34+ACP34,1)</f>
        <v/>
      </c>
      <c r="AIE34">
        <f>IF('calcA'!CC$106=1,GB34+ACQ34,1)</f>
        <v/>
      </c>
      <c r="AIF34">
        <f>IF('calcA'!CD$106=1,GC34+ACR34,1)</f>
        <v/>
      </c>
      <c r="AIG34">
        <f>IF('calcA'!CE$106=1,GD34+ACS34,1)</f>
        <v/>
      </c>
      <c r="AIH34">
        <f>IF('calcA'!CF$106=1,GE34+ACT34,1)</f>
        <v/>
      </c>
      <c r="AII34">
        <f>IF('calcA'!CG$106=1,GF34+ACU34,1)</f>
        <v/>
      </c>
      <c r="AIJ34">
        <f>IF('calcA'!CH$106=1,GG34+ACV34,1)</f>
        <v/>
      </c>
      <c r="AIK34">
        <f>IF('calcA'!CI$106=1,GH34+ACW34,1)</f>
        <v/>
      </c>
      <c r="AIL34">
        <f>IF('calcA'!CJ$106=1,GI34+ACX34,1)</f>
        <v/>
      </c>
      <c r="AIM34">
        <f>IF('calcA'!CK$106=1,GJ34+ACY34,1)</f>
        <v/>
      </c>
      <c r="AIN34">
        <f>IF('calcA'!CL$106=1,GK34+ACZ34,1)</f>
        <v/>
      </c>
      <c r="AIO34">
        <f>IF('calcA'!CM$106=1,GL34+ADA34,1)</f>
        <v/>
      </c>
      <c r="AIP34">
        <f>IF('calcA'!CN$106=1,GM34+ADB34,1)</f>
        <v/>
      </c>
      <c r="AIQ34">
        <f>IF('calcA'!CO$106=1,GN34+ADC34,1)</f>
        <v/>
      </c>
      <c r="AIR34">
        <f>IF('calcA'!CP$106=1,GO34+ADD34,1)</f>
        <v/>
      </c>
      <c r="AIS34">
        <f>IF('calcA'!CQ$106=1,GP34+ADE34,1)</f>
        <v/>
      </c>
      <c r="AIT34">
        <f>IF('calcA'!CR$106=1,GQ34+ADF34,1)</f>
        <v/>
      </c>
      <c r="AIU34">
        <f>IF('calcA'!CS$106=1,GR34+ADG34,1)</f>
        <v/>
      </c>
      <c r="AIV34">
        <f>IF('calcA'!CT$106=1,GS34+ADH34,1)</f>
        <v/>
      </c>
      <c r="AIW34">
        <f>IF('calcA'!CU$106=1,GT34+ADI34,1)</f>
        <v/>
      </c>
      <c r="AIX34">
        <f>IF('calcA'!CV$106=1,GU34+ADJ34,1)</f>
        <v/>
      </c>
      <c r="AIY34">
        <f>IF('calcA'!CW$106=1,GV34+ADK34,1)</f>
        <v/>
      </c>
      <c r="AIZ34">
        <f>IF('calcA'!CX$106=1,GW34+ADL34,1)</f>
        <v/>
      </c>
      <c r="AJA34">
        <f>IF('calcA'!CY$106=1,GX34+ADM34,1)</f>
        <v/>
      </c>
      <c r="AJB34">
        <f>IF('calcA'!CZ$106=1,GY34+ADN34,1)</f>
        <v/>
      </c>
      <c r="AJC34">
        <f>IF('calcA'!DA$106=1,GZ34+ADO34,1)</f>
        <v/>
      </c>
      <c r="AJD34">
        <f>IF('calcA'!DB$106=1,HA34+ADP34,1)</f>
        <v/>
      </c>
      <c r="AJE34">
        <f>IF('calcA'!DC$106=1,HB34+ADQ34,1)</f>
        <v/>
      </c>
      <c r="AJF34">
        <f>IF('calcA'!DD$106=1,HC34+ADR34,1)</f>
        <v/>
      </c>
      <c r="AJG34">
        <f>IF('calcA'!DE$106=1,HD34+ADS34,1)</f>
        <v/>
      </c>
      <c r="AJH34">
        <f>IF('calcA'!DF$106=1,HE34+ADT34,1)</f>
        <v/>
      </c>
      <c r="AJI34">
        <f>IF('calcA'!DG$106=1,HF34+ADU34,1)</f>
        <v/>
      </c>
      <c r="AJJ34">
        <f>IF('calcA'!DH$106=1,HG34+ADV34,1)</f>
        <v/>
      </c>
      <c r="AJK34">
        <f>IF('calcA'!DI$106=1,HH34+ADW34,1)</f>
        <v/>
      </c>
      <c r="AJL34">
        <f>IF('calcA'!DJ$106=1,HI34+ADX34,1)</f>
        <v/>
      </c>
      <c r="AJM34">
        <f>IF('calcA'!DK$106=1,HJ34+ADY34,1)</f>
        <v/>
      </c>
      <c r="AJN34">
        <f>IF('calcA'!DL$106=1,HK34+ADZ34,1)</f>
        <v/>
      </c>
      <c r="AJO34">
        <f>IF('calcA'!DM$106=1,HL34+AEA34,1)</f>
        <v/>
      </c>
      <c r="AJP34">
        <f>IF('calcA'!DN$106=1,HM34+AEB34,1)</f>
        <v/>
      </c>
      <c r="AJQ34">
        <f>IF('calcA'!DO$106=1,HN34+AEC34,1)</f>
        <v/>
      </c>
      <c r="AJR34">
        <f>IF('calcA'!DP$106=1,HO34+AED34,1)</f>
        <v/>
      </c>
      <c r="AJS34">
        <f>IF('calcA'!DQ$106=1,HP34+AEE34,1)</f>
        <v/>
      </c>
      <c r="AJT34">
        <f>IF('calcA'!DR$106=1,HQ34+AEF34,1)</f>
        <v/>
      </c>
      <c r="AJU34">
        <f>IF('calcA'!DS$106=1,HR34+AEG34,1)</f>
        <v/>
      </c>
      <c r="AJV34">
        <f>IF('calcA'!DT$106=1,HS34+AEH34,1)</f>
        <v/>
      </c>
      <c r="AJW34">
        <f>IF('calcA'!DU$106=1,HT34+AEI34,1)</f>
        <v/>
      </c>
      <c r="AJX34">
        <f>IF('calcA'!DV$106=1,HU34+AEJ34,1)</f>
        <v/>
      </c>
      <c r="AJY34">
        <f>IF('calcA'!DW$106=1,HV34+AEK34,1)</f>
        <v/>
      </c>
      <c r="AJZ34">
        <f>IF('calcA'!DX$106=1,HW34+AEL34,1)</f>
        <v/>
      </c>
      <c r="AKA34">
        <f>IF('calcA'!DY$106=1,HX34+AEM34,1)</f>
        <v/>
      </c>
      <c r="AKB34">
        <f>IF('calcA'!DZ$106=1,HY34+AEN34,1)</f>
        <v/>
      </c>
      <c r="AKC34">
        <f>IF('calcA'!EA$106=1,HZ34+AEO34,1)</f>
        <v/>
      </c>
      <c r="AKD34">
        <f>IF('calcA'!EB$106=1,IA34+AEP34,1)</f>
        <v/>
      </c>
      <c r="AKE34">
        <f>IF('calcA'!EC$106=1,IB34+AEQ34,1)</f>
        <v/>
      </c>
      <c r="AKF34">
        <f>IF('calcA'!ED$106=1,IC34+AER34,1)</f>
        <v/>
      </c>
      <c r="AKG34">
        <f>IF('calcA'!EE$106=1,ID34+AES34,1)</f>
        <v/>
      </c>
      <c r="AKH34">
        <f>IF('calcA'!EF$106=1,IE34+AET34,1)</f>
        <v/>
      </c>
      <c r="AKI34">
        <f>IF('calcA'!EG$106=1,IF34+AEU34,1)</f>
        <v/>
      </c>
      <c r="AKJ34">
        <f>IF('calcA'!EH$106=1,IG34+AEV34,1)</f>
        <v/>
      </c>
      <c r="AKK34">
        <f>IF('calcA'!EI$106=1,IH34+AEW34,1)</f>
        <v/>
      </c>
      <c r="AKL34">
        <f>IF('calcA'!EJ$106=1,II34+AEX34,1)</f>
        <v/>
      </c>
      <c r="AKM34">
        <f>IF('calcA'!EK$106=1,IJ34+AEY34,1)</f>
        <v/>
      </c>
      <c r="AKN34">
        <f>IF('calcA'!EL$106=1,IK34+AEZ34,1)</f>
        <v/>
      </c>
      <c r="AKO34">
        <f>IF('calcA'!EM$106=1,IL34+AFA34,1)</f>
        <v/>
      </c>
      <c r="AKP34">
        <f>IF('calcA'!EN$106=1,IM34+AFB34,1)</f>
        <v/>
      </c>
      <c r="AKQ34">
        <f>IF('calcA'!EO$106=1,IN34+AFC34,1)</f>
        <v/>
      </c>
      <c r="AKR34">
        <f>IF('calcA'!EP$106=1,IO34+AFD34,1)</f>
        <v/>
      </c>
      <c r="AKS34" t="n">
        <v>1</v>
      </c>
    </row>
    <row r="35">
      <c r="A35" t="n">
        <v>33</v>
      </c>
      <c r="B35">
        <f>IF(MIN(BM35:CZ35)&gt;=1000000000,0,MATCH(MIN(BM35:CZ35),BM35:CZ35,0))</f>
        <v/>
      </c>
      <c r="C35">
        <f>IF(MIN(OF35:TS35)&gt;=1000000000,0,MATCH(MIN(OF35:TS35),OF35:TS35,0))</f>
        <v/>
      </c>
      <c r="D35">
        <f>IF(C35&gt;0,INDEX('calcA'!$D$5:$EQ$5,C35),0)</f>
        <v/>
      </c>
      <c r="E35">
        <f>IF(B35=0,0,INDEX('calcA'!$IQ$10:$IQ$54,B35))</f>
        <v/>
      </c>
      <c r="F35">
        <f>IF(B35=0,0,INDEX('calcA'!$IP$10:$IP$54,B35))</f>
        <v/>
      </c>
      <c r="G35">
        <f>IF(AND(C35&gt;0,E35&gt;0),IF(AND(INDEX('calcA'!$D$106:$EQ$106,C35)=1,INDEX($IQ35:$OD35,C35)=1),C35+1,0),0)</f>
        <v/>
      </c>
      <c r="H35">
        <f>IF(B35=0,0,INDEX('calcA'!$IW$10:$IW$54,B35))</f>
        <v/>
      </c>
      <c r="U35">
        <f>IF(B35=0,0,INDEX('calcA'!$IX$10:$IX$54,B35))</f>
        <v/>
      </c>
      <c r="V35">
        <f>IF(B35=0,0,INDEX('calcA'!$JF$10:$JF$54,B35))</f>
        <v/>
      </c>
      <c r="W35">
        <f>IF(B35=0,0,IF(IF(E35=2,SUMPRODUCT(INDEX('calcA'!$D$60:$EQ$99,B35,0),$DB35:$IO35,$IQ35:$OD35),SUMPRODUCT(INDEX('calcA'!$D$60:$EQ$99,B35,0),$DB35:$IO35))=0,1,0))</f>
        <v/>
      </c>
      <c r="X35">
        <f>MAX(X34,IF($B34=1,1,0))</f>
        <v/>
      </c>
      <c r="Y35">
        <f>MAX(Y34,IF($B34=2,1,0))</f>
        <v/>
      </c>
      <c r="Z35">
        <f>MAX(Z34,IF($B34=3,1,0))</f>
        <v/>
      </c>
      <c r="AA35">
        <f>MAX(AA34,IF($B34=4,1,0))</f>
        <v/>
      </c>
      <c r="AB35">
        <f>MAX(AB34,IF($B34=5,1,0))</f>
        <v/>
      </c>
      <c r="AC35">
        <f>MAX(AC34,IF($B34=6,1,0))</f>
        <v/>
      </c>
      <c r="AD35">
        <f>MAX(AD34,IF($B34=7,1,0))</f>
        <v/>
      </c>
      <c r="AE35">
        <f>MAX(AE34,IF($B34=8,1,0))</f>
        <v/>
      </c>
      <c r="AF35">
        <f>MAX(AF34,IF($B34=9,1,0))</f>
        <v/>
      </c>
      <c r="AG35">
        <f>MAX(AG34,IF($B34=10,1,0))</f>
        <v/>
      </c>
      <c r="AH35">
        <f>MAX(AH34,IF($B34=11,1,0))</f>
        <v/>
      </c>
      <c r="AI35">
        <f>MAX(AI34,IF($B34=12,1,0))</f>
        <v/>
      </c>
      <c r="AJ35">
        <f>MAX(AJ34,IF($B34=13,1,0))</f>
        <v/>
      </c>
      <c r="AK35">
        <f>MAX(AK34,IF($B34=14,1,0))</f>
        <v/>
      </c>
      <c r="AL35">
        <f>MAX(AL34,IF($B34=15,1,0))</f>
        <v/>
      </c>
      <c r="AM35">
        <f>MAX(AM34,IF($B34=16,1,0))</f>
        <v/>
      </c>
      <c r="AN35">
        <f>MAX(AN34,IF($B34=17,1,0))</f>
        <v/>
      </c>
      <c r="AO35">
        <f>MAX(AO34,IF($B34=18,1,0))</f>
        <v/>
      </c>
      <c r="AP35">
        <f>MAX(AP34,IF($B34=19,1,0))</f>
        <v/>
      </c>
      <c r="AQ35">
        <f>MAX(AQ34,IF($B34=20,1,0))</f>
        <v/>
      </c>
      <c r="AR35">
        <f>MAX(AR34,IF($B34=21,1,0))</f>
        <v/>
      </c>
      <c r="AS35">
        <f>MAX(AS34,IF($B34=22,1,0))</f>
        <v/>
      </c>
      <c r="AT35">
        <f>MAX(AT34,IF($B34=23,1,0))</f>
        <v/>
      </c>
      <c r="AU35">
        <f>MAX(AU34,IF($B34=24,1,0))</f>
        <v/>
      </c>
      <c r="AV35">
        <f>MAX(AV34,IF($B34=25,1,0))</f>
        <v/>
      </c>
      <c r="AW35">
        <f>MAX(AW34,IF($B34=26,1,0))</f>
        <v/>
      </c>
      <c r="AX35">
        <f>MAX(AX34,IF($B34=27,1,0))</f>
        <v/>
      </c>
      <c r="AY35">
        <f>MAX(AY34,IF($B34=28,1,0))</f>
        <v/>
      </c>
      <c r="AZ35">
        <f>MAX(AZ34,IF($B34=29,1,0))</f>
        <v/>
      </c>
      <c r="BA35">
        <f>MAX(BA34,IF($B34=30,1,0))</f>
        <v/>
      </c>
      <c r="BB35">
        <f>MAX(BB34,IF($B34=31,1,0))</f>
        <v/>
      </c>
      <c r="BC35">
        <f>MAX(BC34,IF($B34=32,1,0))</f>
        <v/>
      </c>
      <c r="BD35">
        <f>MAX(BD34,IF($B34=33,1,0))</f>
        <v/>
      </c>
      <c r="BE35">
        <f>MAX(BE34,IF($B34=34,1,0))</f>
        <v/>
      </c>
      <c r="BF35">
        <f>MAX(BF34,IF($B34=35,1,0))</f>
        <v/>
      </c>
      <c r="BG35">
        <f>MAX(BG34,IF($B34=36,1,0))</f>
        <v/>
      </c>
      <c r="BH35">
        <f>MAX(BH34,IF($B34=37,1,0))</f>
        <v/>
      </c>
      <c r="BI35">
        <f>MAX(BI34,IF($B34=38,1,0))</f>
        <v/>
      </c>
      <c r="BJ35">
        <f>MAX(BJ34,IF($B34=39,1,0))</f>
        <v/>
      </c>
      <c r="BK35">
        <f>MAX(BK34,IF($B34=40,1,0))</f>
        <v/>
      </c>
      <c r="BM35">
        <f>IF(OR(X35=1,calcA!$A$6=0),1000000000,IF('calcA'!$JF$10=1,0,100000000)+IF('calcA'!$IQ$10=2,SUMPRODUCT('calcA'!$D$60:$EQ$60,$DB35:$IO35,$IQ35:$OD35)*1000+SUMPRODUCT('calcA'!$D$60:$EQ$60,$DB35:$IO35+$ZQ35:$AFD35,$AFF35:$AKS35),SUMPRODUCT('calcA'!$D$60:$EQ$60,$DB35:$IO35*1001+$ZQ35:$AFD35))*100+1)</f>
        <v/>
      </c>
      <c r="BN35">
        <f>IF(OR(Y35=1,calcA!$A$6=0),1000000000,IF('calcA'!$JF$11=1,0,100000000)+IF('calcA'!$IQ$11=2,SUMPRODUCT('calcA'!$D$61:$EQ$61,$DB35:$IO35,$IQ35:$OD35)*1000+SUMPRODUCT('calcA'!$D$61:$EQ$61,$DB35:$IO35+$ZQ35:$AFD35,$AFF35:$AKS35),SUMPRODUCT('calcA'!$D$61:$EQ$61,$DB35:$IO35*1001+$ZQ35:$AFD35))*100+2)</f>
        <v/>
      </c>
      <c r="BO35">
        <f>IF(OR(Z35=1,calcA!$A$6=0),1000000000,IF('calcA'!$JF$12=1,0,100000000)+IF('calcA'!$IQ$12=2,SUMPRODUCT('calcA'!$D$62:$EQ$62,$DB35:$IO35,$IQ35:$OD35)*1000+SUMPRODUCT('calcA'!$D$62:$EQ$62,$DB35:$IO35+$ZQ35:$AFD35,$AFF35:$AKS35),SUMPRODUCT('calcA'!$D$62:$EQ$62,$DB35:$IO35*1001+$ZQ35:$AFD35))*100+3)</f>
        <v/>
      </c>
      <c r="BP35">
        <f>IF(OR(AA35=1,calcA!$A$6=0),1000000000,IF('calcA'!$JF$13=1,0,100000000)+IF('calcA'!$IQ$13=2,SUMPRODUCT('calcA'!$D$63:$EQ$63,$DB35:$IO35,$IQ35:$OD35)*1000+SUMPRODUCT('calcA'!$D$63:$EQ$63,$DB35:$IO35+$ZQ35:$AFD35,$AFF35:$AKS35),SUMPRODUCT('calcA'!$D$63:$EQ$63,$DB35:$IO35*1001+$ZQ35:$AFD35))*100+4)</f>
        <v/>
      </c>
      <c r="BQ35">
        <f>IF(OR(AB35=1,calcA!$A$6=0),1000000000,IF('calcA'!$JF$14=1,0,100000000)+IF('calcA'!$IQ$14=2,SUMPRODUCT('calcA'!$D$64:$EQ$64,$DB35:$IO35,$IQ35:$OD35)*1000+SUMPRODUCT('calcA'!$D$64:$EQ$64,$DB35:$IO35+$ZQ35:$AFD35,$AFF35:$AKS35),SUMPRODUCT('calcA'!$D$64:$EQ$64,$DB35:$IO35*1001+$ZQ35:$AFD35))*100+5)</f>
        <v/>
      </c>
      <c r="BR35">
        <f>IF(OR(AC35=1,calcA!$A$6=0),1000000000,IF('calcA'!$JF$15=1,0,100000000)+IF('calcA'!$IQ$15=2,SUMPRODUCT('calcA'!$D$65:$EQ$65,$DB35:$IO35,$IQ35:$OD35)*1000+SUMPRODUCT('calcA'!$D$65:$EQ$65,$DB35:$IO35+$ZQ35:$AFD35,$AFF35:$AKS35),SUMPRODUCT('calcA'!$D$65:$EQ$65,$DB35:$IO35*1001+$ZQ35:$AFD35))*100+6)</f>
        <v/>
      </c>
      <c r="BS35">
        <f>IF(OR(AD35=1,calcA!$A$6=0),1000000000,IF('calcA'!$JF$16=1,0,100000000)+IF('calcA'!$IQ$16=2,SUMPRODUCT('calcA'!$D$66:$EQ$66,$DB35:$IO35,$IQ35:$OD35)*1000+SUMPRODUCT('calcA'!$D$66:$EQ$66,$DB35:$IO35+$ZQ35:$AFD35,$AFF35:$AKS35),SUMPRODUCT('calcA'!$D$66:$EQ$66,$DB35:$IO35*1001+$ZQ35:$AFD35))*100+7)</f>
        <v/>
      </c>
      <c r="BT35">
        <f>IF(OR(AE35=1,calcA!$A$6=0),1000000000,IF('calcA'!$JF$17=1,0,100000000)+IF('calcA'!$IQ$17=2,SUMPRODUCT('calcA'!$D$67:$EQ$67,$DB35:$IO35,$IQ35:$OD35)*1000+SUMPRODUCT('calcA'!$D$67:$EQ$67,$DB35:$IO35+$ZQ35:$AFD35,$AFF35:$AKS35),SUMPRODUCT('calcA'!$D$67:$EQ$67,$DB35:$IO35*1001+$ZQ35:$AFD35))*100+8)</f>
        <v/>
      </c>
      <c r="BU35">
        <f>IF(OR(AF35=1,calcA!$A$6=0),1000000000,IF('calcA'!$JF$18=1,0,100000000)+IF('calcA'!$IQ$18=2,SUMPRODUCT('calcA'!$D$68:$EQ$68,$DB35:$IO35,$IQ35:$OD35)*1000+SUMPRODUCT('calcA'!$D$68:$EQ$68,$DB35:$IO35+$ZQ35:$AFD35,$AFF35:$AKS35),SUMPRODUCT('calcA'!$D$68:$EQ$68,$DB35:$IO35*1001+$ZQ35:$AFD35))*100+9)</f>
        <v/>
      </c>
      <c r="BV35">
        <f>IF(OR(AG35=1,calcA!$A$6=0),1000000000,IF('calcA'!$JF$19=1,0,100000000)+IF('calcA'!$IQ$19=2,SUMPRODUCT('calcA'!$D$69:$EQ$69,$DB35:$IO35,$IQ35:$OD35)*1000+SUMPRODUCT('calcA'!$D$69:$EQ$69,$DB35:$IO35+$ZQ35:$AFD35,$AFF35:$AKS35),SUMPRODUCT('calcA'!$D$69:$EQ$69,$DB35:$IO35*1001+$ZQ35:$AFD35))*100+10)</f>
        <v/>
      </c>
      <c r="BW35">
        <f>IF(OR(AH35=1,calcA!$A$6=0),1000000000,IF('calcA'!$JF$20=1,0,100000000)+IF('calcA'!$IQ$20=2,SUMPRODUCT('calcA'!$D$70:$EQ$70,$DB35:$IO35,$IQ35:$OD35)*1000+SUMPRODUCT('calcA'!$D$70:$EQ$70,$DB35:$IO35+$ZQ35:$AFD35,$AFF35:$AKS35),SUMPRODUCT('calcA'!$D$70:$EQ$70,$DB35:$IO35*1001+$ZQ35:$AFD35))*100+11)</f>
        <v/>
      </c>
      <c r="BX35">
        <f>IF(OR(AI35=1,calcA!$A$6=0),1000000000,IF('calcA'!$JF$21=1,0,100000000)+IF('calcA'!$IQ$21=2,SUMPRODUCT('calcA'!$D$71:$EQ$71,$DB35:$IO35,$IQ35:$OD35)*1000+SUMPRODUCT('calcA'!$D$71:$EQ$71,$DB35:$IO35+$ZQ35:$AFD35,$AFF35:$AKS35),SUMPRODUCT('calcA'!$D$71:$EQ$71,$DB35:$IO35*1001+$ZQ35:$AFD35))*100+12)</f>
        <v/>
      </c>
      <c r="BY35">
        <f>IF(OR(AJ35=1,calcA!$A$6=0),1000000000,IF('calcA'!$JF$22=1,0,100000000)+IF('calcA'!$IQ$22=2,SUMPRODUCT('calcA'!$D$72:$EQ$72,$DB35:$IO35,$IQ35:$OD35)*1000+SUMPRODUCT('calcA'!$D$72:$EQ$72,$DB35:$IO35+$ZQ35:$AFD35,$AFF35:$AKS35),SUMPRODUCT('calcA'!$D$72:$EQ$72,$DB35:$IO35*1001+$ZQ35:$AFD35))*100+13)</f>
        <v/>
      </c>
      <c r="BZ35">
        <f>IF(OR(AK35=1,calcA!$A$6=0),1000000000,IF('calcA'!$JF$23=1,0,100000000)+IF('calcA'!$IQ$23=2,SUMPRODUCT('calcA'!$D$73:$EQ$73,$DB35:$IO35,$IQ35:$OD35)*1000+SUMPRODUCT('calcA'!$D$73:$EQ$73,$DB35:$IO35+$ZQ35:$AFD35,$AFF35:$AKS35),SUMPRODUCT('calcA'!$D$73:$EQ$73,$DB35:$IO35*1001+$ZQ35:$AFD35))*100+14)</f>
        <v/>
      </c>
      <c r="CA35">
        <f>IF(OR(AL35=1,calcA!$A$6=0),1000000000,IF('calcA'!$JF$24=1,0,100000000)+IF('calcA'!$IQ$24=2,SUMPRODUCT('calcA'!$D$74:$EQ$74,$DB35:$IO35,$IQ35:$OD35)*1000+SUMPRODUCT('calcA'!$D$74:$EQ$74,$DB35:$IO35+$ZQ35:$AFD35,$AFF35:$AKS35),SUMPRODUCT('calcA'!$D$74:$EQ$74,$DB35:$IO35*1001+$ZQ35:$AFD35))*100+15)</f>
        <v/>
      </c>
      <c r="CB35">
        <f>IF(OR(AM35=1,calcA!$A$6=0),1000000000,IF('calcA'!$JF$25=1,0,100000000)+IF('calcA'!$IQ$25=2,SUMPRODUCT('calcA'!$D$75:$EQ$75,$DB35:$IO35,$IQ35:$OD35)*1000+SUMPRODUCT('calcA'!$D$75:$EQ$75,$DB35:$IO35+$ZQ35:$AFD35,$AFF35:$AKS35),SUMPRODUCT('calcA'!$D$75:$EQ$75,$DB35:$IO35*1001+$ZQ35:$AFD35))*100+16)</f>
        <v/>
      </c>
      <c r="CC35">
        <f>IF(OR(AN35=1,calcA!$A$6=0),1000000000,IF('calcA'!$JF$26=1,0,100000000)+IF('calcA'!$IQ$26=2,SUMPRODUCT('calcA'!$D$76:$EQ$76,$DB35:$IO35,$IQ35:$OD35)*1000+SUMPRODUCT('calcA'!$D$76:$EQ$76,$DB35:$IO35+$ZQ35:$AFD35,$AFF35:$AKS35),SUMPRODUCT('calcA'!$D$76:$EQ$76,$DB35:$IO35*1001+$ZQ35:$AFD35))*100+17)</f>
        <v/>
      </c>
      <c r="CD35">
        <f>IF(OR(AO35=1,calcA!$A$6=0),1000000000,IF('calcA'!$JF$27=1,0,100000000)+IF('calcA'!$IQ$27=2,SUMPRODUCT('calcA'!$D$77:$EQ$77,$DB35:$IO35,$IQ35:$OD35)*1000+SUMPRODUCT('calcA'!$D$77:$EQ$77,$DB35:$IO35+$ZQ35:$AFD35,$AFF35:$AKS35),SUMPRODUCT('calcA'!$D$77:$EQ$77,$DB35:$IO35*1001+$ZQ35:$AFD35))*100+18)</f>
        <v/>
      </c>
      <c r="CE35">
        <f>IF(OR(AP35=1,calcA!$A$6=0),1000000000,IF('calcA'!$JF$28=1,0,100000000)+IF('calcA'!$IQ$28=2,SUMPRODUCT('calcA'!$D$78:$EQ$78,$DB35:$IO35,$IQ35:$OD35)*1000+SUMPRODUCT('calcA'!$D$78:$EQ$78,$DB35:$IO35+$ZQ35:$AFD35,$AFF35:$AKS35),SUMPRODUCT('calcA'!$D$78:$EQ$78,$DB35:$IO35*1001+$ZQ35:$AFD35))*100+19)</f>
        <v/>
      </c>
      <c r="CF35">
        <f>IF(OR(AQ35=1,calcA!$A$6=0),1000000000,IF('calcA'!$JF$29=1,0,100000000)+IF('calcA'!$IQ$29=2,SUMPRODUCT('calcA'!$D$79:$EQ$79,$DB35:$IO35,$IQ35:$OD35)*1000+SUMPRODUCT('calcA'!$D$79:$EQ$79,$DB35:$IO35+$ZQ35:$AFD35,$AFF35:$AKS35),SUMPRODUCT('calcA'!$D$79:$EQ$79,$DB35:$IO35*1001+$ZQ35:$AFD35))*100+20)</f>
        <v/>
      </c>
      <c r="CG35">
        <f>IF(OR(AR35=1,calcA!$A$6=0),1000000000,IF('calcA'!$JF$30=1,0,100000000)+IF('calcA'!$IQ$30=2,SUMPRODUCT('calcA'!$D$80:$EQ$80,$DB35:$IO35,$IQ35:$OD35)*1000+SUMPRODUCT('calcA'!$D$80:$EQ$80,$DB35:$IO35+$ZQ35:$AFD35,$AFF35:$AKS35),SUMPRODUCT('calcA'!$D$80:$EQ$80,$DB35:$IO35*1001+$ZQ35:$AFD35))*100+21)</f>
        <v/>
      </c>
      <c r="CH35">
        <f>IF(OR(AS35=1,calcA!$A$6=0),1000000000,IF('calcA'!$JF$31=1,0,100000000)+IF('calcA'!$IQ$31=2,SUMPRODUCT('calcA'!$D$81:$EQ$81,$DB35:$IO35,$IQ35:$OD35)*1000+SUMPRODUCT('calcA'!$D$81:$EQ$81,$DB35:$IO35+$ZQ35:$AFD35,$AFF35:$AKS35),SUMPRODUCT('calcA'!$D$81:$EQ$81,$DB35:$IO35*1001+$ZQ35:$AFD35))*100+22)</f>
        <v/>
      </c>
      <c r="CI35">
        <f>IF(OR(AT35=1,calcA!$A$6=0),1000000000,IF('calcA'!$JF$32=1,0,100000000)+IF('calcA'!$IQ$32=2,SUMPRODUCT('calcA'!$D$82:$EQ$82,$DB35:$IO35,$IQ35:$OD35)*1000+SUMPRODUCT('calcA'!$D$82:$EQ$82,$DB35:$IO35+$ZQ35:$AFD35,$AFF35:$AKS35),SUMPRODUCT('calcA'!$D$82:$EQ$82,$DB35:$IO35*1001+$ZQ35:$AFD35))*100+23)</f>
        <v/>
      </c>
      <c r="CJ35">
        <f>IF(OR(AU35=1,calcA!$A$6=0),1000000000,IF('calcA'!$JF$33=1,0,100000000)+IF('calcA'!$IQ$33=2,SUMPRODUCT('calcA'!$D$83:$EQ$83,$DB35:$IO35,$IQ35:$OD35)*1000+SUMPRODUCT('calcA'!$D$83:$EQ$83,$DB35:$IO35+$ZQ35:$AFD35,$AFF35:$AKS35),SUMPRODUCT('calcA'!$D$83:$EQ$83,$DB35:$IO35*1001+$ZQ35:$AFD35))*100+24)</f>
        <v/>
      </c>
      <c r="CK35">
        <f>IF(OR(AV35=1,calcA!$A$6=0),1000000000,IF('calcA'!$JF$34=1,0,100000000)+IF('calcA'!$IQ$34=2,SUMPRODUCT('calcA'!$D$84:$EQ$84,$DB35:$IO35,$IQ35:$OD35)*1000+SUMPRODUCT('calcA'!$D$84:$EQ$84,$DB35:$IO35+$ZQ35:$AFD35,$AFF35:$AKS35),SUMPRODUCT('calcA'!$D$84:$EQ$84,$DB35:$IO35*1001+$ZQ35:$AFD35))*100+25)</f>
        <v/>
      </c>
      <c r="CL35">
        <f>IF(OR(AW35=1,calcA!$A$6=0),1000000000,IF('calcA'!$JF$35=1,0,100000000)+IF('calcA'!$IQ$35=2,SUMPRODUCT('calcA'!$D$85:$EQ$85,$DB35:$IO35,$IQ35:$OD35)*1000+SUMPRODUCT('calcA'!$D$85:$EQ$85,$DB35:$IO35+$ZQ35:$AFD35,$AFF35:$AKS35),SUMPRODUCT('calcA'!$D$85:$EQ$85,$DB35:$IO35*1001+$ZQ35:$AFD35))*100+26)</f>
        <v/>
      </c>
      <c r="CM35">
        <f>IF(OR(AX35=1,calcA!$A$6=0),1000000000,IF('calcA'!$JF$36=1,0,100000000)+IF('calcA'!$IQ$36=2,SUMPRODUCT('calcA'!$D$86:$EQ$86,$DB35:$IO35,$IQ35:$OD35)*1000+SUMPRODUCT('calcA'!$D$86:$EQ$86,$DB35:$IO35+$ZQ35:$AFD35,$AFF35:$AKS35),SUMPRODUCT('calcA'!$D$86:$EQ$86,$DB35:$IO35*1001+$ZQ35:$AFD35))*100+27)</f>
        <v/>
      </c>
      <c r="CN35">
        <f>IF(OR(AY35=1,calcA!$A$6=0),1000000000,IF('calcA'!$JF$37=1,0,100000000)+IF('calcA'!$IQ$37=2,SUMPRODUCT('calcA'!$D$87:$EQ$87,$DB35:$IO35,$IQ35:$OD35)*1000+SUMPRODUCT('calcA'!$D$87:$EQ$87,$DB35:$IO35+$ZQ35:$AFD35,$AFF35:$AKS35),SUMPRODUCT('calcA'!$D$87:$EQ$87,$DB35:$IO35*1001+$ZQ35:$AFD35))*100+28)</f>
        <v/>
      </c>
      <c r="CO35">
        <f>IF(OR(AZ35=1,calcA!$A$6=0),1000000000,IF('calcA'!$JF$38=1,0,100000000)+IF('calcA'!$IQ$38=2,SUMPRODUCT('calcA'!$D$88:$EQ$88,$DB35:$IO35,$IQ35:$OD35)*1000+SUMPRODUCT('calcA'!$D$88:$EQ$88,$DB35:$IO35+$ZQ35:$AFD35,$AFF35:$AKS35),SUMPRODUCT('calcA'!$D$88:$EQ$88,$DB35:$IO35*1001+$ZQ35:$AFD35))*100+29)</f>
        <v/>
      </c>
      <c r="CP35">
        <f>IF(OR(BA35=1,calcA!$A$6=0),1000000000,IF('calcA'!$JF$39=1,0,100000000)+IF('calcA'!$IQ$39=2,SUMPRODUCT('calcA'!$D$89:$EQ$89,$DB35:$IO35,$IQ35:$OD35)*1000+SUMPRODUCT('calcA'!$D$89:$EQ$89,$DB35:$IO35+$ZQ35:$AFD35,$AFF35:$AKS35),SUMPRODUCT('calcA'!$D$89:$EQ$89,$DB35:$IO35*1001+$ZQ35:$AFD35))*100+30)</f>
        <v/>
      </c>
      <c r="CQ35">
        <f>IF(OR(BB35=1,calcA!$A$6=0),1000000000,IF('calcA'!$JF$40=1,0,100000000)+IF('calcA'!$IQ$40=2,SUMPRODUCT('calcA'!$D$90:$EQ$90,$DB35:$IO35,$IQ35:$OD35)*1000+SUMPRODUCT('calcA'!$D$90:$EQ$90,$DB35:$IO35+$ZQ35:$AFD35,$AFF35:$AKS35),SUMPRODUCT('calcA'!$D$90:$EQ$90,$DB35:$IO35*1001+$ZQ35:$AFD35))*100+31)</f>
        <v/>
      </c>
      <c r="CR35">
        <f>IF(OR(BC35=1,calcA!$A$6=0),1000000000,IF('calcA'!$JF$41=1,0,100000000)+IF('calcA'!$IQ$41=2,SUMPRODUCT('calcA'!$D$91:$EQ$91,$DB35:$IO35,$IQ35:$OD35)*1000+SUMPRODUCT('calcA'!$D$91:$EQ$91,$DB35:$IO35+$ZQ35:$AFD35,$AFF35:$AKS35),SUMPRODUCT('calcA'!$D$91:$EQ$91,$DB35:$IO35*1001+$ZQ35:$AFD35))*100+32)</f>
        <v/>
      </c>
      <c r="CS35">
        <f>IF(OR(BD35=1,calcA!$A$6=0),1000000000,IF('calcA'!$JF$42=1,0,100000000)+IF('calcA'!$IQ$42=2,SUMPRODUCT('calcA'!$D$92:$EQ$92,$DB35:$IO35,$IQ35:$OD35)*1000+SUMPRODUCT('calcA'!$D$92:$EQ$92,$DB35:$IO35+$ZQ35:$AFD35,$AFF35:$AKS35),SUMPRODUCT('calcA'!$D$92:$EQ$92,$DB35:$IO35*1001+$ZQ35:$AFD35))*100+33)</f>
        <v/>
      </c>
      <c r="CT35">
        <f>IF(OR(BE35=1,calcA!$A$6=0),1000000000,IF('calcA'!$JF$43=1,0,100000000)+IF('calcA'!$IQ$43=2,SUMPRODUCT('calcA'!$D$93:$EQ$93,$DB35:$IO35,$IQ35:$OD35)*1000+SUMPRODUCT('calcA'!$D$93:$EQ$93,$DB35:$IO35+$ZQ35:$AFD35,$AFF35:$AKS35),SUMPRODUCT('calcA'!$D$93:$EQ$93,$DB35:$IO35*1001+$ZQ35:$AFD35))*100+34)</f>
        <v/>
      </c>
      <c r="CU35">
        <f>IF(OR(BF35=1,calcA!$A$6=0),1000000000,IF('calcA'!$JF$44=1,0,100000000)+IF('calcA'!$IQ$44=2,SUMPRODUCT('calcA'!$D$94:$EQ$94,$DB35:$IO35,$IQ35:$OD35)*1000+SUMPRODUCT('calcA'!$D$94:$EQ$94,$DB35:$IO35+$ZQ35:$AFD35,$AFF35:$AKS35),SUMPRODUCT('calcA'!$D$94:$EQ$94,$DB35:$IO35*1001+$ZQ35:$AFD35))*100+35)</f>
        <v/>
      </c>
      <c r="CV35">
        <f>IF(OR(BG35=1,calcA!$A$6=0),1000000000,IF('calcA'!$JF$45=1,0,100000000)+IF('calcA'!$IQ$45=2,SUMPRODUCT('calcA'!$D$95:$EQ$95,$DB35:$IO35,$IQ35:$OD35)*1000+SUMPRODUCT('calcA'!$D$95:$EQ$95,$DB35:$IO35+$ZQ35:$AFD35,$AFF35:$AKS35),SUMPRODUCT('calcA'!$D$95:$EQ$95,$DB35:$IO35*1001+$ZQ35:$AFD35))*100+36)</f>
        <v/>
      </c>
      <c r="CW35">
        <f>IF(OR(BH35=1,calcA!$A$6=0),1000000000,IF('calcA'!$JF$46=1,0,100000000)+IF('calcA'!$IQ$46=2,SUMPRODUCT('calcA'!$D$96:$EQ$96,$DB35:$IO35,$IQ35:$OD35)*1000+SUMPRODUCT('calcA'!$D$96:$EQ$96,$DB35:$IO35+$ZQ35:$AFD35,$AFF35:$AKS35),SUMPRODUCT('calcA'!$D$96:$EQ$96,$DB35:$IO35*1001+$ZQ35:$AFD35))*100+37)</f>
        <v/>
      </c>
      <c r="CX35">
        <f>IF(OR(BI35=1,calcA!$A$6=0),1000000000,IF('calcA'!$JF$47=1,0,100000000)+IF('calcA'!$IQ$47=2,SUMPRODUCT('calcA'!$D$97:$EQ$97,$DB35:$IO35,$IQ35:$OD35)*1000+SUMPRODUCT('calcA'!$D$97:$EQ$97,$DB35:$IO35+$ZQ35:$AFD35,$AFF35:$AKS35),SUMPRODUCT('calcA'!$D$97:$EQ$97,$DB35:$IO35*1001+$ZQ35:$AFD35))*100+38)</f>
        <v/>
      </c>
      <c r="CY35">
        <f>IF(OR(BJ35=1,calcA!$A$6=0),1000000000,IF('calcA'!$JF$48=1,0,100000000)+IF('calcA'!$IQ$48=2,SUMPRODUCT('calcA'!$D$98:$EQ$98,$DB35:$IO35,$IQ35:$OD35)*1000+SUMPRODUCT('calcA'!$D$98:$EQ$98,$DB35:$IO35+$ZQ35:$AFD35,$AFF35:$AKS35),SUMPRODUCT('calcA'!$D$98:$EQ$98,$DB35:$IO35*1001+$ZQ35:$AFD35))*100+39)</f>
        <v/>
      </c>
      <c r="CZ35">
        <f>IF(OR(BK35=1,calcA!$A$6=0),1000000000,IF('calcA'!$JF$49=1,0,100000000)+IF('calcA'!$IQ$49=2,SUMPRODUCT('calcA'!$D$99:$EQ$99,$DB35:$IO35,$IQ35:$OD35)*1000+SUMPRODUCT('calcA'!$D$99:$EQ$99,$DB35:$IO35+$ZQ35:$AFD35,$AFF35:$AKS35),SUMPRODUCT('calcA'!$D$99:$EQ$99,$DB35:$IO35*1001+$ZQ35:$AFD35))*100+40)</f>
        <v/>
      </c>
      <c r="DB35">
        <f>DB34*IF(OR($C34=1,$G34=1),0,1)</f>
        <v/>
      </c>
      <c r="DC35">
        <f>DC34*IF(OR($C34=2,$G34=2),0,1)</f>
        <v/>
      </c>
      <c r="DD35">
        <f>DD34*IF(OR($C34=3,$G34=3),0,1)</f>
        <v/>
      </c>
      <c r="DE35">
        <f>DE34*IF(OR($C34=4,$G34=4),0,1)</f>
        <v/>
      </c>
      <c r="DF35">
        <f>DF34*IF(OR($C34=5,$G34=5),0,1)</f>
        <v/>
      </c>
      <c r="DG35">
        <f>DG34*IF(OR($C34=6,$G34=6),0,1)</f>
        <v/>
      </c>
      <c r="DH35">
        <f>DH34*IF(OR($C34=7,$G34=7),0,1)</f>
        <v/>
      </c>
      <c r="DI35">
        <f>DI34*IF(OR($C34=8,$G34=8),0,1)</f>
        <v/>
      </c>
      <c r="DJ35">
        <f>DJ34*IF(OR($C34=9,$G34=9),0,1)</f>
        <v/>
      </c>
      <c r="DK35">
        <f>DK34*IF(OR($C34=10,$G34=10),0,1)</f>
        <v/>
      </c>
      <c r="DL35">
        <f>DL34*IF(OR($C34=11,$G34=11),0,1)</f>
        <v/>
      </c>
      <c r="DM35">
        <f>DM34*IF(OR($C34=12,$G34=12),0,1)</f>
        <v/>
      </c>
      <c r="DN35">
        <f>DN34*IF(OR($C34=13,$G34=13),0,1)</f>
        <v/>
      </c>
      <c r="DO35">
        <f>DO34*IF(OR($C34=14,$G34=14),0,1)</f>
        <v/>
      </c>
      <c r="DP35">
        <f>DP34*IF(OR($C34=15,$G34=15),0,1)</f>
        <v/>
      </c>
      <c r="DQ35">
        <f>DQ34*IF(OR($C34=16,$G34=16),0,1)</f>
        <v/>
      </c>
      <c r="DR35">
        <f>DR34*IF(OR($C34=17,$G34=17),0,1)</f>
        <v/>
      </c>
      <c r="DS35">
        <f>DS34*IF(OR($C34=18,$G34=18),0,1)</f>
        <v/>
      </c>
      <c r="DT35">
        <f>DT34*IF(OR($C34=19,$G34=19),0,1)</f>
        <v/>
      </c>
      <c r="DU35">
        <f>DU34*IF(OR($C34=20,$G34=20),0,1)</f>
        <v/>
      </c>
      <c r="DV35">
        <f>DV34*IF(OR($C34=21,$G34=21),0,1)</f>
        <v/>
      </c>
      <c r="DW35">
        <f>DW34*IF(OR($C34=22,$G34=22),0,1)</f>
        <v/>
      </c>
      <c r="DX35">
        <f>DX34*IF(OR($C34=23,$G34=23),0,1)</f>
        <v/>
      </c>
      <c r="DY35">
        <f>DY34*IF(OR($C34=24,$G34=24),0,1)</f>
        <v/>
      </c>
      <c r="DZ35">
        <f>DZ34*IF(OR($C34=25,$G34=25),0,1)</f>
        <v/>
      </c>
      <c r="EA35">
        <f>EA34*IF(OR($C34=26,$G34=26),0,1)</f>
        <v/>
      </c>
      <c r="EB35">
        <f>EB34*IF(OR($C34=27,$G34=27),0,1)</f>
        <v/>
      </c>
      <c r="EC35">
        <f>EC34*IF(OR($C34=28,$G34=28),0,1)</f>
        <v/>
      </c>
      <c r="ED35">
        <f>ED34*IF(OR($C34=29,$G34=29),0,1)</f>
        <v/>
      </c>
      <c r="EE35">
        <f>EE34*IF(OR($C34=30,$G34=30),0,1)</f>
        <v/>
      </c>
      <c r="EF35">
        <f>EF34*IF(OR($C34=31,$G34=31),0,1)</f>
        <v/>
      </c>
      <c r="EG35">
        <f>EG34*IF(OR($C34=32,$G34=32),0,1)</f>
        <v/>
      </c>
      <c r="EH35">
        <f>EH34*IF(OR($C34=33,$G34=33),0,1)</f>
        <v/>
      </c>
      <c r="EI35">
        <f>EI34*IF(OR($C34=34,$G34=34),0,1)</f>
        <v/>
      </c>
      <c r="EJ35">
        <f>EJ34*IF(OR($C34=35,$G34=35),0,1)</f>
        <v/>
      </c>
      <c r="EK35">
        <f>EK34*IF(OR($C34=36,$G34=36),0,1)</f>
        <v/>
      </c>
      <c r="EL35">
        <f>EL34*IF(OR($C34=37,$G34=37),0,1)</f>
        <v/>
      </c>
      <c r="EM35">
        <f>EM34*IF(OR($C34=38,$G34=38),0,1)</f>
        <v/>
      </c>
      <c r="EN35">
        <f>EN34*IF(OR($C34=39,$G34=39),0,1)</f>
        <v/>
      </c>
      <c r="EO35">
        <f>EO34*IF(OR($C34=40,$G34=40),0,1)</f>
        <v/>
      </c>
      <c r="EP35">
        <f>EP34*IF(OR($C34=41,$G34=41),0,1)</f>
        <v/>
      </c>
      <c r="EQ35">
        <f>EQ34*IF(OR($C34=42,$G34=42),0,1)</f>
        <v/>
      </c>
      <c r="ER35">
        <f>ER34*IF(OR($C34=43,$G34=43),0,1)</f>
        <v/>
      </c>
      <c r="ES35">
        <f>ES34*IF(OR($C34=44,$G34=44),0,1)</f>
        <v/>
      </c>
      <c r="ET35">
        <f>ET34*IF(OR($C34=45,$G34=45),0,1)</f>
        <v/>
      </c>
      <c r="EU35">
        <f>EU34*IF(OR($C34=46,$G34=46),0,1)</f>
        <v/>
      </c>
      <c r="EV35">
        <f>EV34*IF(OR($C34=47,$G34=47),0,1)</f>
        <v/>
      </c>
      <c r="EW35">
        <f>EW34*IF(OR($C34=48,$G34=48),0,1)</f>
        <v/>
      </c>
      <c r="EX35">
        <f>EX34*IF(OR($C34=49,$G34=49),0,1)</f>
        <v/>
      </c>
      <c r="EY35">
        <f>EY34*IF(OR($C34=50,$G34=50),0,1)</f>
        <v/>
      </c>
      <c r="EZ35">
        <f>EZ34*IF(OR($C34=51,$G34=51),0,1)</f>
        <v/>
      </c>
      <c r="FA35">
        <f>FA34*IF(OR($C34=52,$G34=52),0,1)</f>
        <v/>
      </c>
      <c r="FB35">
        <f>FB34*IF(OR($C34=53,$G34=53),0,1)</f>
        <v/>
      </c>
      <c r="FC35">
        <f>FC34*IF(OR($C34=54,$G34=54),0,1)</f>
        <v/>
      </c>
      <c r="FD35">
        <f>FD34*IF(OR($C34=55,$G34=55),0,1)</f>
        <v/>
      </c>
      <c r="FE35">
        <f>FE34*IF(OR($C34=56,$G34=56),0,1)</f>
        <v/>
      </c>
      <c r="FF35">
        <f>FF34*IF(OR($C34=57,$G34=57),0,1)</f>
        <v/>
      </c>
      <c r="FG35">
        <f>FG34*IF(OR($C34=58,$G34=58),0,1)</f>
        <v/>
      </c>
      <c r="FH35">
        <f>FH34*IF(OR($C34=59,$G34=59),0,1)</f>
        <v/>
      </c>
      <c r="FI35">
        <f>FI34*IF(OR($C34=60,$G34=60),0,1)</f>
        <v/>
      </c>
      <c r="FJ35">
        <f>FJ34*IF(OR($C34=61,$G34=61),0,1)</f>
        <v/>
      </c>
      <c r="FK35">
        <f>FK34*IF(OR($C34=62,$G34=62),0,1)</f>
        <v/>
      </c>
      <c r="FL35">
        <f>FL34*IF(OR($C34=63,$G34=63),0,1)</f>
        <v/>
      </c>
      <c r="FM35">
        <f>FM34*IF(OR($C34=64,$G34=64),0,1)</f>
        <v/>
      </c>
      <c r="FN35">
        <f>FN34*IF(OR($C34=65,$G34=65),0,1)</f>
        <v/>
      </c>
      <c r="FO35">
        <f>FO34*IF(OR($C34=66,$G34=66),0,1)</f>
        <v/>
      </c>
      <c r="FP35">
        <f>FP34*IF(OR($C34=67,$G34=67),0,1)</f>
        <v/>
      </c>
      <c r="FQ35">
        <f>FQ34*IF(OR($C34=68,$G34=68),0,1)</f>
        <v/>
      </c>
      <c r="FR35">
        <f>FR34*IF(OR($C34=69,$G34=69),0,1)</f>
        <v/>
      </c>
      <c r="FS35">
        <f>FS34*IF(OR($C34=70,$G34=70),0,1)</f>
        <v/>
      </c>
      <c r="FT35">
        <f>FT34*IF(OR($C34=71,$G34=71),0,1)</f>
        <v/>
      </c>
      <c r="FU35">
        <f>FU34*IF(OR($C34=72,$G34=72),0,1)</f>
        <v/>
      </c>
      <c r="FV35">
        <f>FV34*IF(OR($C34=73,$G34=73),0,1)</f>
        <v/>
      </c>
      <c r="FW35">
        <f>FW34*IF(OR($C34=74,$G34=74),0,1)</f>
        <v/>
      </c>
      <c r="FX35">
        <f>FX34*IF(OR($C34=75,$G34=75),0,1)</f>
        <v/>
      </c>
      <c r="FY35">
        <f>FY34*IF(OR($C34=76,$G34=76),0,1)</f>
        <v/>
      </c>
      <c r="FZ35">
        <f>FZ34*IF(OR($C34=77,$G34=77),0,1)</f>
        <v/>
      </c>
      <c r="GA35">
        <f>GA34*IF(OR($C34=78,$G34=78),0,1)</f>
        <v/>
      </c>
      <c r="GB35">
        <f>GB34*IF(OR($C34=79,$G34=79),0,1)</f>
        <v/>
      </c>
      <c r="GC35">
        <f>GC34*IF(OR($C34=80,$G34=80),0,1)</f>
        <v/>
      </c>
      <c r="GD35">
        <f>GD34*IF(OR($C34=81,$G34=81),0,1)</f>
        <v/>
      </c>
      <c r="GE35">
        <f>GE34*IF(OR($C34=82,$G34=82),0,1)</f>
        <v/>
      </c>
      <c r="GF35">
        <f>GF34*IF(OR($C34=83,$G34=83),0,1)</f>
        <v/>
      </c>
      <c r="GG35">
        <f>GG34*IF(OR($C34=84,$G34=84),0,1)</f>
        <v/>
      </c>
      <c r="GH35">
        <f>GH34*IF(OR($C34=85,$G34=85),0,1)</f>
        <v/>
      </c>
      <c r="GI35">
        <f>GI34*IF(OR($C34=86,$G34=86),0,1)</f>
        <v/>
      </c>
      <c r="GJ35">
        <f>GJ34*IF(OR($C34=87,$G34=87),0,1)</f>
        <v/>
      </c>
      <c r="GK35">
        <f>GK34*IF(OR($C34=88,$G34=88),0,1)</f>
        <v/>
      </c>
      <c r="GL35">
        <f>GL34*IF(OR($C34=89,$G34=89),0,1)</f>
        <v/>
      </c>
      <c r="GM35">
        <f>GM34*IF(OR($C34=90,$G34=90),0,1)</f>
        <v/>
      </c>
      <c r="GN35">
        <f>GN34*IF(OR($C34=91,$G34=91),0,1)</f>
        <v/>
      </c>
      <c r="GO35">
        <f>GO34*IF(OR($C34=92,$G34=92),0,1)</f>
        <v/>
      </c>
      <c r="GP35">
        <f>GP34*IF(OR($C34=93,$G34=93),0,1)</f>
        <v/>
      </c>
      <c r="GQ35">
        <f>GQ34*IF(OR($C34=94,$G34=94),0,1)</f>
        <v/>
      </c>
      <c r="GR35">
        <f>GR34*IF(OR($C34=95,$G34=95),0,1)</f>
        <v/>
      </c>
      <c r="GS35">
        <f>GS34*IF(OR($C34=96,$G34=96),0,1)</f>
        <v/>
      </c>
      <c r="GT35">
        <f>GT34*IF(OR($C34=97,$G34=97),0,1)</f>
        <v/>
      </c>
      <c r="GU35">
        <f>GU34*IF(OR($C34=98,$G34=98),0,1)</f>
        <v/>
      </c>
      <c r="GV35">
        <f>GV34*IF(OR($C34=99,$G34=99),0,1)</f>
        <v/>
      </c>
      <c r="GW35">
        <f>GW34*IF(OR($C34=100,$G34=100),0,1)</f>
        <v/>
      </c>
      <c r="GX35">
        <f>GX34*IF(OR($C34=101,$G34=101),0,1)</f>
        <v/>
      </c>
      <c r="GY35">
        <f>GY34*IF(OR($C34=102,$G34=102),0,1)</f>
        <v/>
      </c>
      <c r="GZ35">
        <f>GZ34*IF(OR($C34=103,$G34=103),0,1)</f>
        <v/>
      </c>
      <c r="HA35">
        <f>HA34*IF(OR($C34=104,$G34=104),0,1)</f>
        <v/>
      </c>
      <c r="HB35">
        <f>HB34*IF(OR($C34=105,$G34=105),0,1)</f>
        <v/>
      </c>
      <c r="HC35">
        <f>HC34*IF(OR($C34=106,$G34=106),0,1)</f>
        <v/>
      </c>
      <c r="HD35">
        <f>HD34*IF(OR($C34=107,$G34=107),0,1)</f>
        <v/>
      </c>
      <c r="HE35">
        <f>HE34*IF(OR($C34=108,$G34=108),0,1)</f>
        <v/>
      </c>
      <c r="HF35">
        <f>HF34*IF(OR($C34=109,$G34=109),0,1)</f>
        <v/>
      </c>
      <c r="HG35">
        <f>HG34*IF(OR($C34=110,$G34=110),0,1)</f>
        <v/>
      </c>
      <c r="HH35">
        <f>HH34*IF(OR($C34=111,$G34=111),0,1)</f>
        <v/>
      </c>
      <c r="HI35">
        <f>HI34*IF(OR($C34=112,$G34=112),0,1)</f>
        <v/>
      </c>
      <c r="HJ35">
        <f>HJ34*IF(OR($C34=113,$G34=113),0,1)</f>
        <v/>
      </c>
      <c r="HK35">
        <f>HK34*IF(OR($C34=114,$G34=114),0,1)</f>
        <v/>
      </c>
      <c r="HL35">
        <f>HL34*IF(OR($C34=115,$G34=115),0,1)</f>
        <v/>
      </c>
      <c r="HM35">
        <f>HM34*IF(OR($C34=116,$G34=116),0,1)</f>
        <v/>
      </c>
      <c r="HN35">
        <f>HN34*IF(OR($C34=117,$G34=117),0,1)</f>
        <v/>
      </c>
      <c r="HO35">
        <f>HO34*IF(OR($C34=118,$G34=118),0,1)</f>
        <v/>
      </c>
      <c r="HP35">
        <f>HP34*IF(OR($C34=119,$G34=119),0,1)</f>
        <v/>
      </c>
      <c r="HQ35">
        <f>HQ34*IF(OR($C34=120,$G34=120),0,1)</f>
        <v/>
      </c>
      <c r="HR35">
        <f>HR34*IF(OR($C34=121,$G34=121),0,1)</f>
        <v/>
      </c>
      <c r="HS35">
        <f>HS34*IF(OR($C34=122,$G34=122),0,1)</f>
        <v/>
      </c>
      <c r="HT35">
        <f>HT34*IF(OR($C34=123,$G34=123),0,1)</f>
        <v/>
      </c>
      <c r="HU35">
        <f>HU34*IF(OR($C34=124,$G34=124),0,1)</f>
        <v/>
      </c>
      <c r="HV35">
        <f>HV34*IF(OR($C34=125,$G34=125),0,1)</f>
        <v/>
      </c>
      <c r="HW35">
        <f>HW34*IF(OR($C34=126,$G34=126),0,1)</f>
        <v/>
      </c>
      <c r="HX35">
        <f>HX34*IF(OR($C34=127,$G34=127),0,1)</f>
        <v/>
      </c>
      <c r="HY35">
        <f>HY34*IF(OR($C34=128,$G34=128),0,1)</f>
        <v/>
      </c>
      <c r="HZ35">
        <f>HZ34*IF(OR($C34=129,$G34=129),0,1)</f>
        <v/>
      </c>
      <c r="IA35">
        <f>IA34*IF(OR($C34=130,$G34=130),0,1)</f>
        <v/>
      </c>
      <c r="IB35">
        <f>IB34*IF(OR($C34=131,$G34=131),0,1)</f>
        <v/>
      </c>
      <c r="IC35">
        <f>IC34*IF(OR($C34=132,$G34=132),0,1)</f>
        <v/>
      </c>
      <c r="ID35">
        <f>ID34*IF(OR($C34=133,$G34=133),0,1)</f>
        <v/>
      </c>
      <c r="IE35">
        <f>IE34*IF(OR($C34=134,$G34=134),0,1)</f>
        <v/>
      </c>
      <c r="IF35">
        <f>IF34*IF(OR($C34=135,$G34=135),0,1)</f>
        <v/>
      </c>
      <c r="IG35">
        <f>IG34*IF(OR($C34=136,$G34=136),0,1)</f>
        <v/>
      </c>
      <c r="IH35">
        <f>IH34*IF(OR($C34=137,$G34=137),0,1)</f>
        <v/>
      </c>
      <c r="II35">
        <f>II34*IF(OR($C34=138,$G34=138),0,1)</f>
        <v/>
      </c>
      <c r="IJ35">
        <f>IJ34*IF(OR($C34=139,$G34=139),0,1)</f>
        <v/>
      </c>
      <c r="IK35">
        <f>IK34*IF(OR($C34=140,$G34=140),0,1)</f>
        <v/>
      </c>
      <c r="IL35">
        <f>IL34*IF(OR($C34=141,$G34=141),0,1)</f>
        <v/>
      </c>
      <c r="IM35">
        <f>IM34*IF(OR($C34=142,$G34=142),0,1)</f>
        <v/>
      </c>
      <c r="IN35">
        <f>IN34*IF(OR($C34=143,$G34=143),0,1)</f>
        <v/>
      </c>
      <c r="IO35">
        <f>IO34*IF(OR($C34=144,$G34=144),0,1)</f>
        <v/>
      </c>
      <c r="IQ35">
        <f>IF('calcA'!D$106=1,DC35,1)</f>
        <v/>
      </c>
      <c r="IR35">
        <f>IF('calcA'!E$106=1,DD35,1)</f>
        <v/>
      </c>
      <c r="IS35">
        <f>IF('calcA'!F$106=1,DE35,1)</f>
        <v/>
      </c>
      <c r="IT35">
        <f>IF('calcA'!G$106=1,DF35,1)</f>
        <v/>
      </c>
      <c r="IU35">
        <f>IF('calcA'!H$106=1,DG35,1)</f>
        <v/>
      </c>
      <c r="IV35">
        <f>IF('calcA'!I$106=1,DH35,1)</f>
        <v/>
      </c>
      <c r="IW35">
        <f>IF('calcA'!J$106=1,DI35,1)</f>
        <v/>
      </c>
      <c r="IX35">
        <f>IF('calcA'!K$106=1,DJ35,1)</f>
        <v/>
      </c>
      <c r="IY35">
        <f>IF('calcA'!L$106=1,DK35,1)</f>
        <v/>
      </c>
      <c r="IZ35">
        <f>IF('calcA'!M$106=1,DL35,1)</f>
        <v/>
      </c>
      <c r="JA35">
        <f>IF('calcA'!N$106=1,DM35,1)</f>
        <v/>
      </c>
      <c r="JB35">
        <f>IF('calcA'!O$106=1,DN35,1)</f>
        <v/>
      </c>
      <c r="JC35">
        <f>IF('calcA'!P$106=1,DO35,1)</f>
        <v/>
      </c>
      <c r="JD35">
        <f>IF('calcA'!Q$106=1,DP35,1)</f>
        <v/>
      </c>
      <c r="JE35">
        <f>IF('calcA'!R$106=1,DQ35,1)</f>
        <v/>
      </c>
      <c r="JF35">
        <f>IF('calcA'!S$106=1,DR35,1)</f>
        <v/>
      </c>
      <c r="JG35">
        <f>IF('calcA'!T$106=1,DS35,1)</f>
        <v/>
      </c>
      <c r="JH35">
        <f>IF('calcA'!U$106=1,DT35,1)</f>
        <v/>
      </c>
      <c r="JI35">
        <f>IF('calcA'!V$106=1,DU35,1)</f>
        <v/>
      </c>
      <c r="JJ35">
        <f>IF('calcA'!W$106=1,DV35,1)</f>
        <v/>
      </c>
      <c r="JK35">
        <f>IF('calcA'!X$106=1,DW35,1)</f>
        <v/>
      </c>
      <c r="JL35">
        <f>IF('calcA'!Y$106=1,DX35,1)</f>
        <v/>
      </c>
      <c r="JM35">
        <f>IF('calcA'!Z$106=1,DY35,1)</f>
        <v/>
      </c>
      <c r="JN35">
        <f>IF('calcA'!AA$106=1,DZ35,1)</f>
        <v/>
      </c>
      <c r="JO35">
        <f>IF('calcA'!AB$106=1,EA35,1)</f>
        <v/>
      </c>
      <c r="JP35">
        <f>IF('calcA'!AC$106=1,EB35,1)</f>
        <v/>
      </c>
      <c r="JQ35">
        <f>IF('calcA'!AD$106=1,EC35,1)</f>
        <v/>
      </c>
      <c r="JR35">
        <f>IF('calcA'!AE$106=1,ED35,1)</f>
        <v/>
      </c>
      <c r="JS35">
        <f>IF('calcA'!AF$106=1,EE35,1)</f>
        <v/>
      </c>
      <c r="JT35">
        <f>IF('calcA'!AG$106=1,EF35,1)</f>
        <v/>
      </c>
      <c r="JU35">
        <f>IF('calcA'!AH$106=1,EG35,1)</f>
        <v/>
      </c>
      <c r="JV35">
        <f>IF('calcA'!AI$106=1,EH35,1)</f>
        <v/>
      </c>
      <c r="JW35">
        <f>IF('calcA'!AJ$106=1,EI35,1)</f>
        <v/>
      </c>
      <c r="JX35">
        <f>IF('calcA'!AK$106=1,EJ35,1)</f>
        <v/>
      </c>
      <c r="JY35">
        <f>IF('calcA'!AL$106=1,EK35,1)</f>
        <v/>
      </c>
      <c r="JZ35">
        <f>IF('calcA'!AM$106=1,EL35,1)</f>
        <v/>
      </c>
      <c r="KA35">
        <f>IF('calcA'!AN$106=1,EM35,1)</f>
        <v/>
      </c>
      <c r="KB35">
        <f>IF('calcA'!AO$106=1,EN35,1)</f>
        <v/>
      </c>
      <c r="KC35">
        <f>IF('calcA'!AP$106=1,EO35,1)</f>
        <v/>
      </c>
      <c r="KD35">
        <f>IF('calcA'!AQ$106=1,EP35,1)</f>
        <v/>
      </c>
      <c r="KE35">
        <f>IF('calcA'!AR$106=1,EQ35,1)</f>
        <v/>
      </c>
      <c r="KF35">
        <f>IF('calcA'!AS$106=1,ER35,1)</f>
        <v/>
      </c>
      <c r="KG35">
        <f>IF('calcA'!AT$106=1,ES35,1)</f>
        <v/>
      </c>
      <c r="KH35">
        <f>IF('calcA'!AU$106=1,ET35,1)</f>
        <v/>
      </c>
      <c r="KI35">
        <f>IF('calcA'!AV$106=1,EU35,1)</f>
        <v/>
      </c>
      <c r="KJ35">
        <f>IF('calcA'!AW$106=1,EV35,1)</f>
        <v/>
      </c>
      <c r="KK35">
        <f>IF('calcA'!AX$106=1,EW35,1)</f>
        <v/>
      </c>
      <c r="KL35">
        <f>IF('calcA'!AY$106=1,EX35,1)</f>
        <v/>
      </c>
      <c r="KM35">
        <f>IF('calcA'!AZ$106=1,EY35,1)</f>
        <v/>
      </c>
      <c r="KN35">
        <f>IF('calcA'!BA$106=1,EZ35,1)</f>
        <v/>
      </c>
      <c r="KO35">
        <f>IF('calcA'!BB$106=1,FA35,1)</f>
        <v/>
      </c>
      <c r="KP35">
        <f>IF('calcA'!BC$106=1,FB35,1)</f>
        <v/>
      </c>
      <c r="KQ35">
        <f>IF('calcA'!BD$106=1,FC35,1)</f>
        <v/>
      </c>
      <c r="KR35">
        <f>IF('calcA'!BE$106=1,FD35,1)</f>
        <v/>
      </c>
      <c r="KS35">
        <f>IF('calcA'!BF$106=1,FE35,1)</f>
        <v/>
      </c>
      <c r="KT35">
        <f>IF('calcA'!BG$106=1,FF35,1)</f>
        <v/>
      </c>
      <c r="KU35">
        <f>IF('calcA'!BH$106=1,FG35,1)</f>
        <v/>
      </c>
      <c r="KV35">
        <f>IF('calcA'!BI$106=1,FH35,1)</f>
        <v/>
      </c>
      <c r="KW35">
        <f>IF('calcA'!BJ$106=1,FI35,1)</f>
        <v/>
      </c>
      <c r="KX35">
        <f>IF('calcA'!BK$106=1,FJ35,1)</f>
        <v/>
      </c>
      <c r="KY35">
        <f>IF('calcA'!BL$106=1,FK35,1)</f>
        <v/>
      </c>
      <c r="KZ35">
        <f>IF('calcA'!BM$106=1,FL35,1)</f>
        <v/>
      </c>
      <c r="LA35">
        <f>IF('calcA'!BN$106=1,FM35,1)</f>
        <v/>
      </c>
      <c r="LB35">
        <f>IF('calcA'!BO$106=1,FN35,1)</f>
        <v/>
      </c>
      <c r="LC35">
        <f>IF('calcA'!BP$106=1,FO35,1)</f>
        <v/>
      </c>
      <c r="LD35">
        <f>IF('calcA'!BQ$106=1,FP35,1)</f>
        <v/>
      </c>
      <c r="LE35">
        <f>IF('calcA'!BR$106=1,FQ35,1)</f>
        <v/>
      </c>
      <c r="LF35">
        <f>IF('calcA'!BS$106=1,FR35,1)</f>
        <v/>
      </c>
      <c r="LG35">
        <f>IF('calcA'!BT$106=1,FS35,1)</f>
        <v/>
      </c>
      <c r="LH35">
        <f>IF('calcA'!BU$106=1,FT35,1)</f>
        <v/>
      </c>
      <c r="LI35">
        <f>IF('calcA'!BV$106=1,FU35,1)</f>
        <v/>
      </c>
      <c r="LJ35">
        <f>IF('calcA'!BW$106=1,FV35,1)</f>
        <v/>
      </c>
      <c r="LK35">
        <f>IF('calcA'!BX$106=1,FW35,1)</f>
        <v/>
      </c>
      <c r="LL35">
        <f>IF('calcA'!BY$106=1,FX35,1)</f>
        <v/>
      </c>
      <c r="LM35">
        <f>IF('calcA'!BZ$106=1,FY35,1)</f>
        <v/>
      </c>
      <c r="LN35">
        <f>IF('calcA'!CA$106=1,FZ35,1)</f>
        <v/>
      </c>
      <c r="LO35">
        <f>IF('calcA'!CB$106=1,GA35,1)</f>
        <v/>
      </c>
      <c r="LP35">
        <f>IF('calcA'!CC$106=1,GB35,1)</f>
        <v/>
      </c>
      <c r="LQ35">
        <f>IF('calcA'!CD$106=1,GC35,1)</f>
        <v/>
      </c>
      <c r="LR35">
        <f>IF('calcA'!CE$106=1,GD35,1)</f>
        <v/>
      </c>
      <c r="LS35">
        <f>IF('calcA'!CF$106=1,GE35,1)</f>
        <v/>
      </c>
      <c r="LT35">
        <f>IF('calcA'!CG$106=1,GF35,1)</f>
        <v/>
      </c>
      <c r="LU35">
        <f>IF('calcA'!CH$106=1,GG35,1)</f>
        <v/>
      </c>
      <c r="LV35">
        <f>IF('calcA'!CI$106=1,GH35,1)</f>
        <v/>
      </c>
      <c r="LW35">
        <f>IF('calcA'!CJ$106=1,GI35,1)</f>
        <v/>
      </c>
      <c r="LX35">
        <f>IF('calcA'!CK$106=1,GJ35,1)</f>
        <v/>
      </c>
      <c r="LY35">
        <f>IF('calcA'!CL$106=1,GK35,1)</f>
        <v/>
      </c>
      <c r="LZ35">
        <f>IF('calcA'!CM$106=1,GL35,1)</f>
        <v/>
      </c>
      <c r="MA35">
        <f>IF('calcA'!CN$106=1,GM35,1)</f>
        <v/>
      </c>
      <c r="MB35">
        <f>IF('calcA'!CO$106=1,GN35,1)</f>
        <v/>
      </c>
      <c r="MC35">
        <f>IF('calcA'!CP$106=1,GO35,1)</f>
        <v/>
      </c>
      <c r="MD35">
        <f>IF('calcA'!CQ$106=1,GP35,1)</f>
        <v/>
      </c>
      <c r="ME35">
        <f>IF('calcA'!CR$106=1,GQ35,1)</f>
        <v/>
      </c>
      <c r="MF35">
        <f>IF('calcA'!CS$106=1,GR35,1)</f>
        <v/>
      </c>
      <c r="MG35">
        <f>IF('calcA'!CT$106=1,GS35,1)</f>
        <v/>
      </c>
      <c r="MH35">
        <f>IF('calcA'!CU$106=1,GT35,1)</f>
        <v/>
      </c>
      <c r="MI35">
        <f>IF('calcA'!CV$106=1,GU35,1)</f>
        <v/>
      </c>
      <c r="MJ35">
        <f>IF('calcA'!CW$106=1,GV35,1)</f>
        <v/>
      </c>
      <c r="MK35">
        <f>IF('calcA'!CX$106=1,GW35,1)</f>
        <v/>
      </c>
      <c r="ML35">
        <f>IF('calcA'!CY$106=1,GX35,1)</f>
        <v/>
      </c>
      <c r="MM35">
        <f>IF('calcA'!CZ$106=1,GY35,1)</f>
        <v/>
      </c>
      <c r="MN35">
        <f>IF('calcA'!DA$106=1,GZ35,1)</f>
        <v/>
      </c>
      <c r="MO35">
        <f>IF('calcA'!DB$106=1,HA35,1)</f>
        <v/>
      </c>
      <c r="MP35">
        <f>IF('calcA'!DC$106=1,HB35,1)</f>
        <v/>
      </c>
      <c r="MQ35">
        <f>IF('calcA'!DD$106=1,HC35,1)</f>
        <v/>
      </c>
      <c r="MR35">
        <f>IF('calcA'!DE$106=1,HD35,1)</f>
        <v/>
      </c>
      <c r="MS35">
        <f>IF('calcA'!DF$106=1,HE35,1)</f>
        <v/>
      </c>
      <c r="MT35">
        <f>IF('calcA'!DG$106=1,HF35,1)</f>
        <v/>
      </c>
      <c r="MU35">
        <f>IF('calcA'!DH$106=1,HG35,1)</f>
        <v/>
      </c>
      <c r="MV35">
        <f>IF('calcA'!DI$106=1,HH35,1)</f>
        <v/>
      </c>
      <c r="MW35">
        <f>IF('calcA'!DJ$106=1,HI35,1)</f>
        <v/>
      </c>
      <c r="MX35">
        <f>IF('calcA'!DK$106=1,HJ35,1)</f>
        <v/>
      </c>
      <c r="MY35">
        <f>IF('calcA'!DL$106=1,HK35,1)</f>
        <v/>
      </c>
      <c r="MZ35">
        <f>IF('calcA'!DM$106=1,HL35,1)</f>
        <v/>
      </c>
      <c r="NA35">
        <f>IF('calcA'!DN$106=1,HM35,1)</f>
        <v/>
      </c>
      <c r="NB35">
        <f>IF('calcA'!DO$106=1,HN35,1)</f>
        <v/>
      </c>
      <c r="NC35">
        <f>IF('calcA'!DP$106=1,HO35,1)</f>
        <v/>
      </c>
      <c r="ND35">
        <f>IF('calcA'!DQ$106=1,HP35,1)</f>
        <v/>
      </c>
      <c r="NE35">
        <f>IF('calcA'!DR$106=1,HQ35,1)</f>
        <v/>
      </c>
      <c r="NF35">
        <f>IF('calcA'!DS$106=1,HR35,1)</f>
        <v/>
      </c>
      <c r="NG35">
        <f>IF('calcA'!DT$106=1,HS35,1)</f>
        <v/>
      </c>
      <c r="NH35">
        <f>IF('calcA'!DU$106=1,HT35,1)</f>
        <v/>
      </c>
      <c r="NI35">
        <f>IF('calcA'!DV$106=1,HU35,1)</f>
        <v/>
      </c>
      <c r="NJ35">
        <f>IF('calcA'!DW$106=1,HV35,1)</f>
        <v/>
      </c>
      <c r="NK35">
        <f>IF('calcA'!DX$106=1,HW35,1)</f>
        <v/>
      </c>
      <c r="NL35">
        <f>IF('calcA'!DY$106=1,HX35,1)</f>
        <v/>
      </c>
      <c r="NM35">
        <f>IF('calcA'!DZ$106=1,HY35,1)</f>
        <v/>
      </c>
      <c r="NN35">
        <f>IF('calcA'!EA$106=1,HZ35,1)</f>
        <v/>
      </c>
      <c r="NO35">
        <f>IF('calcA'!EB$106=1,IA35,1)</f>
        <v/>
      </c>
      <c r="NP35">
        <f>IF('calcA'!EC$106=1,IB35,1)</f>
        <v/>
      </c>
      <c r="NQ35">
        <f>IF('calcA'!ED$106=1,IC35,1)</f>
        <v/>
      </c>
      <c r="NR35">
        <f>IF('calcA'!EE$106=1,ID35,1)</f>
        <v/>
      </c>
      <c r="NS35">
        <f>IF('calcA'!EF$106=1,IE35,1)</f>
        <v/>
      </c>
      <c r="NT35">
        <f>IF('calcA'!EG$106=1,IF35,1)</f>
        <v/>
      </c>
      <c r="NU35">
        <f>IF('calcA'!EH$106=1,IG35,1)</f>
        <v/>
      </c>
      <c r="NV35">
        <f>IF('calcA'!EI$106=1,IH35,1)</f>
        <v/>
      </c>
      <c r="NW35">
        <f>IF('calcA'!EJ$106=1,II35,1)</f>
        <v/>
      </c>
      <c r="NX35">
        <f>IF('calcA'!EK$106=1,IJ35,1)</f>
        <v/>
      </c>
      <c r="NY35">
        <f>IF('calcA'!EL$106=1,IK35,1)</f>
        <v/>
      </c>
      <c r="NZ35">
        <f>IF('calcA'!EM$106=1,IL35,1)</f>
        <v/>
      </c>
      <c r="OA35">
        <f>IF('calcA'!EN$106=1,IM35,1)</f>
        <v/>
      </c>
      <c r="OB35">
        <f>IF('calcA'!EO$106=1,IN35,1)</f>
        <v/>
      </c>
      <c r="OC35">
        <f>IF('calcA'!EP$106=1,IO35,1)</f>
        <v/>
      </c>
      <c r="OD35" t="n">
        <v>1</v>
      </c>
      <c r="OF35">
        <f>IF($B35=0,1000000000,IF(INDEX('calcA'!$D$60:$EQ$99,$B35,1)*IF($W35=1,DB35+ZQ35,DB35)=1,IF(AND($E35=2,IF($W35=1,AFF35,IQ35)=0),1000000000,IF($V35=1,INDEX('calcA'!$D$130:$EQ$169,$B35,1)+IF(AND($E35=1,IQ35=0),25,0),INDEX('calcA'!D$110:D$114,$F35+1)+IF(AND($E35=1,IQ35=0),1000,0)+IF($H35=1,INDEX('calcA'!$D$180:$EQ$219,$B35,1)*500,0)-IF(AND($U35=1,'calcA'!D$117=1,DC35=0),300,0))),1000000000))</f>
        <v/>
      </c>
      <c r="OG35">
        <f>IF($B35=0,1000000000,IF(INDEX('calcA'!$D$60:$EQ$99,$B35,2)*IF($W35=1,DC35+ZR35,DC35)=1,IF(AND($E35=2,IF($W35=1,AFG35,IR35)=0),1000000000,IF($V35=1,INDEX('calcA'!$D$130:$EQ$169,$B35,2)+IF(AND($E35=1,IR35=0),25,0),INDEX('calcA'!E$110:E$114,$F35+1)+IF(AND($E35=1,IR35=0),1000,0)+IF($H35=1,INDEX('calcA'!$D$180:$EQ$219,$B35,2)*500,0)-IF(AND('calcA'!D$117=1,UB35&gt;0),300,0)-IF(AND($U35=1,'calcA'!E$117=1,DD35=0),300,0))),1000000000))</f>
        <v/>
      </c>
      <c r="OH35">
        <f>IF($B35=0,1000000000,IF(INDEX('calcA'!$D$60:$EQ$99,$B35,3)*IF($W35=1,DD35+ZS35,DD35)=1,IF(AND($E35=2,IF($W35=1,AFH35,IS35)=0),1000000000,IF($V35=1,INDEX('calcA'!$D$130:$EQ$169,$B35,3)+IF(AND($E35=1,IS35=0),25,0),INDEX('calcA'!F$110:F$114,$F35+1)+IF(AND($E35=1,IS35=0),1000,0)+IF($H35=1,INDEX('calcA'!$D$180:$EQ$219,$B35,3)*500,0)-IF(AND('calcA'!E$117=1,UC35&gt;0),300,0)-IF(AND($U35=1,'calcA'!F$117=1,DE35=0),300,0))),1000000000))</f>
        <v/>
      </c>
      <c r="OI35">
        <f>IF($B35=0,1000000000,IF(INDEX('calcA'!$D$60:$EQ$99,$B35,4)*IF($W35=1,DE35+ZT35,DE35)=1,IF(AND($E35=2,IF($W35=1,AFI35,IT35)=0),1000000000,IF($V35=1,INDEX('calcA'!$D$130:$EQ$169,$B35,4)+IF(AND($E35=1,IT35=0),25,0),INDEX('calcA'!G$110:G$114,$F35+1)+IF(AND($E35=1,IT35=0),1000,0)+IF($H35=1,INDEX('calcA'!$D$180:$EQ$219,$B35,4)*500,0)-IF(AND('calcA'!F$117=1,UD35&gt;0),300,0)-IF(AND($U35=1,'calcA'!G$117=1,DF35=0),300,0))),1000000000))</f>
        <v/>
      </c>
      <c r="OJ35">
        <f>IF($B35=0,1000000000,IF(INDEX('calcA'!$D$60:$EQ$99,$B35,5)*IF($W35=1,DF35+ZU35,DF35)=1,IF(AND($E35=2,IF($W35=1,AFJ35,IU35)=0),1000000000,IF($V35=1,INDEX('calcA'!$D$130:$EQ$169,$B35,5)+IF(AND($E35=1,IU35=0),25,0),INDEX('calcA'!H$110:H$114,$F35+1)+IF(AND($E35=1,IU35=0),1000,0)+IF($H35=1,INDEX('calcA'!$D$180:$EQ$219,$B35,5)*500,0)-IF(AND('calcA'!G$117=1,UE35&gt;0),300,0)-IF(AND($U35=1,'calcA'!H$117=1,DG35=0),300,0))),1000000000))</f>
        <v/>
      </c>
      <c r="OK35">
        <f>IF($B35=0,1000000000,IF(INDEX('calcA'!$D$60:$EQ$99,$B35,6)*IF($W35=1,DG35+ZV35,DG35)=1,IF(AND($E35=2,IF($W35=1,AFK35,IV35)=0),1000000000,IF($V35=1,INDEX('calcA'!$D$130:$EQ$169,$B35,6)+IF(AND($E35=1,IV35=0),25,0),INDEX('calcA'!I$110:I$114,$F35+1)+IF(AND($E35=1,IV35=0),1000,0)+IF($H35=1,INDEX('calcA'!$D$180:$EQ$219,$B35,6)*500,0)-IF(AND('calcA'!H$117=1,UF35&gt;0),300,0)-IF(AND($U35=1,'calcA'!I$117=1,DH35=0),300,0))),1000000000))</f>
        <v/>
      </c>
      <c r="OL35">
        <f>IF($B35=0,1000000000,IF(INDEX('calcA'!$D$60:$EQ$99,$B35,7)*IF($W35=1,DH35+ZW35,DH35)=1,IF(AND($E35=2,IF($W35=1,AFL35,IW35)=0),1000000000,IF($V35=1,INDEX('calcA'!$D$130:$EQ$169,$B35,7)+IF(AND($E35=1,IW35=0),25,0),INDEX('calcA'!J$110:J$114,$F35+1)+IF(AND($E35=1,IW35=0),1000,0)+IF($H35=1,INDEX('calcA'!$D$180:$EQ$219,$B35,7)*500,0)-IF(AND('calcA'!I$117=1,UG35&gt;0),300,0)-IF(AND($U35=1,'calcA'!J$117=1,DI35=0),300,0))),1000000000))</f>
        <v/>
      </c>
      <c r="OM35">
        <f>IF($B35=0,1000000000,IF(INDEX('calcA'!$D$60:$EQ$99,$B35,8)*IF($W35=1,DI35+ZX35,DI35)=1,IF(AND($E35=2,IF($W35=1,AFM35,IX35)=0),1000000000,IF($V35=1,INDEX('calcA'!$D$130:$EQ$169,$B35,8)+IF(AND($E35=1,IX35=0),25,0),INDEX('calcA'!K$110:K$114,$F35+1)+IF(AND($E35=1,IX35=0),1000,0)+IF($H35=1,INDEX('calcA'!$D$180:$EQ$219,$B35,8)*500,0)-IF(AND('calcA'!J$117=1,UH35&gt;0),300,0)-IF(AND($U35=1,'calcA'!K$117=1,DJ35=0),300,0))),1000000000))</f>
        <v/>
      </c>
      <c r="ON35">
        <f>IF($B35=0,1000000000,IF(INDEX('calcA'!$D$60:$EQ$99,$B35,9)*IF($W35=1,DJ35+ZY35,DJ35)=1,IF(AND($E35=2,IF($W35=1,AFN35,IY35)=0),1000000000,IF($V35=1,INDEX('calcA'!$D$130:$EQ$169,$B35,9)+IF(AND($E35=1,IY35=0),25,0),INDEX('calcA'!L$110:L$114,$F35+1)+IF(AND($E35=1,IY35=0),1000,0)+IF($H35=1,INDEX('calcA'!$D$180:$EQ$219,$B35,9)*500,0)-IF(AND('calcA'!K$117=1,UI35&gt;0),300,0)-IF(AND($U35=1,'calcA'!L$117=1,DK35=0),300,0))),1000000000))</f>
        <v/>
      </c>
      <c r="OO35">
        <f>IF($B35=0,1000000000,IF(INDEX('calcA'!$D$60:$EQ$99,$B35,10)*IF($W35=1,DK35+ZZ35,DK35)=1,IF(AND($E35=2,IF($W35=1,AFO35,IZ35)=0),1000000000,IF($V35=1,INDEX('calcA'!$D$130:$EQ$169,$B35,10)+IF(AND($E35=1,IZ35=0),25,0),INDEX('calcA'!M$110:M$114,$F35+1)+IF(AND($E35=1,IZ35=0),1000,0)+IF($H35=1,INDEX('calcA'!$D$180:$EQ$219,$B35,10)*500,0)-IF(AND('calcA'!L$117=1,UJ35&gt;0),300,0)-IF(AND($U35=1,'calcA'!M$117=1,DL35=0),300,0))),1000000000))</f>
        <v/>
      </c>
      <c r="OP35">
        <f>IF($B35=0,1000000000,IF(INDEX('calcA'!$D$60:$EQ$99,$B35,11)*IF($W35=1,DL35+AAA35,DL35)=1,IF(AND($E35=2,IF($W35=1,AFP35,JA35)=0),1000000000,IF($V35=1,INDEX('calcA'!$D$130:$EQ$169,$B35,11)+IF(AND($E35=1,JA35=0),25,0),INDEX('calcA'!N$110:N$114,$F35+1)+IF(AND($E35=1,JA35=0),1000,0)+IF($H35=1,INDEX('calcA'!$D$180:$EQ$219,$B35,11)*500,0)-IF(AND('calcA'!M$117=1,UK35&gt;0),300,0)-IF(AND($U35=1,'calcA'!N$117=1,DM35=0),300,0))),1000000000))</f>
        <v/>
      </c>
      <c r="OQ35">
        <f>IF($B35=0,1000000000,IF(INDEX('calcA'!$D$60:$EQ$99,$B35,12)*IF($W35=1,DM35+AAB35,DM35)=1,IF(AND($E35=2,IF($W35=1,AFQ35,JB35)=0),1000000000,IF($V35=1,INDEX('calcA'!$D$130:$EQ$169,$B35,12)+IF(AND($E35=1,JB35=0),25,0),INDEX('calcA'!O$110:O$114,$F35+1)+IF(AND($E35=1,JB35=0),1000,0)+IF($H35=1,INDEX('calcA'!$D$180:$EQ$219,$B35,12)*500,0)-IF(AND('calcA'!N$117=1,UL35&gt;0),300,0)-IF(AND($U35=1,'calcA'!O$117=1,DN35=0),300,0))),1000000000))</f>
        <v/>
      </c>
      <c r="OR35">
        <f>IF($B35=0,1000000000,IF(INDEX('calcA'!$D$60:$EQ$99,$B35,13)*IF($W35=1,DN35+AAC35,DN35)=1,IF(AND($E35=2,IF($W35=1,AFR35,JC35)=0),1000000000,IF($V35=1,INDEX('calcA'!$D$130:$EQ$169,$B35,13)+IF(AND($E35=1,JC35=0),25,0),INDEX('calcA'!P$110:P$114,$F35+1)+IF(AND($E35=1,JC35=0),1000,0)+IF($H35=1,INDEX('calcA'!$D$180:$EQ$219,$B35,13)*500,0)-IF(AND('calcA'!O$117=1,UM35&gt;0),300,0)-IF(AND($U35=1,'calcA'!P$117=1,DO35=0),300,0))),1000000000))</f>
        <v/>
      </c>
      <c r="OS35">
        <f>IF($B35=0,1000000000,IF(INDEX('calcA'!$D$60:$EQ$99,$B35,14)*IF($W35=1,DO35+AAD35,DO35)=1,IF(AND($E35=2,IF($W35=1,AFS35,JD35)=0),1000000000,IF($V35=1,INDEX('calcA'!$D$130:$EQ$169,$B35,14)+IF(AND($E35=1,JD35=0),25,0),INDEX('calcA'!Q$110:Q$114,$F35+1)+IF(AND($E35=1,JD35=0),1000,0)+IF($H35=1,INDEX('calcA'!$D$180:$EQ$219,$B35,14)*500,0)-IF(AND('calcA'!P$117=1,UN35&gt;0),300,0)-IF(AND($U35=1,'calcA'!Q$117=1,DP35=0),300,0))),1000000000))</f>
        <v/>
      </c>
      <c r="OT35">
        <f>IF($B35=0,1000000000,IF(INDEX('calcA'!$D$60:$EQ$99,$B35,15)*IF($W35=1,DP35+AAE35,DP35)=1,IF(AND($E35=2,IF($W35=1,AFT35,JE35)=0),1000000000,IF($V35=1,INDEX('calcA'!$D$130:$EQ$169,$B35,15)+IF(AND($E35=1,JE35=0),25,0),INDEX('calcA'!R$110:R$114,$F35+1)+IF(AND($E35=1,JE35=0),1000,0)+IF($H35=1,INDEX('calcA'!$D$180:$EQ$219,$B35,15)*500,0)-IF(AND('calcA'!Q$117=1,UO35&gt;0),300,0)-IF(AND($U35=1,'calcA'!R$117=1,DQ35=0),300,0))),1000000000))</f>
        <v/>
      </c>
      <c r="OU35">
        <f>IF($B35=0,1000000000,IF(INDEX('calcA'!$D$60:$EQ$99,$B35,16)*IF($W35=1,DQ35+AAF35,DQ35)=1,IF(AND($E35=2,IF($W35=1,AFU35,JF35)=0),1000000000,IF($V35=1,INDEX('calcA'!$D$130:$EQ$169,$B35,16)+IF(AND($E35=1,JF35=0),25,0),INDEX('calcA'!S$110:S$114,$F35+1)+IF(AND($E35=1,JF35=0),1000,0)+IF($H35=1,INDEX('calcA'!$D$180:$EQ$219,$B35,16)*500,0)-IF(AND('calcA'!R$117=1,UP35&gt;0),300,0)-IF(AND($U35=1,'calcA'!S$117=1,DR35=0),300,0))),1000000000))</f>
        <v/>
      </c>
      <c r="OV35">
        <f>IF($B35=0,1000000000,IF(INDEX('calcA'!$D$60:$EQ$99,$B35,17)*IF($W35=1,DR35+AAG35,DR35)=1,IF(AND($E35=2,IF($W35=1,AFV35,JG35)=0),1000000000,IF($V35=1,INDEX('calcA'!$D$130:$EQ$169,$B35,17)+IF(AND($E35=1,JG35=0),25,0),INDEX('calcA'!T$110:T$114,$F35+1)+IF(AND($E35=1,JG35=0),1000,0)+IF($H35=1,INDEX('calcA'!$D$180:$EQ$219,$B35,17)*500,0)-IF(AND('calcA'!S$117=1,UQ35&gt;0),300,0)-IF(AND($U35=1,'calcA'!T$117=1,DS35=0),300,0))),1000000000))</f>
        <v/>
      </c>
      <c r="OW35">
        <f>IF($B35=0,1000000000,IF(INDEX('calcA'!$D$60:$EQ$99,$B35,18)*IF($W35=1,DS35+AAH35,DS35)=1,IF(AND($E35=2,IF($W35=1,AFW35,JH35)=0),1000000000,IF($V35=1,INDEX('calcA'!$D$130:$EQ$169,$B35,18)+IF(AND($E35=1,JH35=0),25,0),INDEX('calcA'!U$110:U$114,$F35+1)+IF(AND($E35=1,JH35=0),1000,0)+IF($H35=1,INDEX('calcA'!$D$180:$EQ$219,$B35,18)*500,0)-IF(AND('calcA'!T$117=1,UR35&gt;0),300,0)-IF(AND($U35=1,'calcA'!U$117=1,DT35=0),300,0))),1000000000))</f>
        <v/>
      </c>
      <c r="OX35">
        <f>IF($B35=0,1000000000,IF(INDEX('calcA'!$D$60:$EQ$99,$B35,19)*IF($W35=1,DT35+AAI35,DT35)=1,IF(AND($E35=2,IF($W35=1,AFX35,JI35)=0),1000000000,IF($V35=1,INDEX('calcA'!$D$130:$EQ$169,$B35,19)+IF(AND($E35=1,JI35=0),25,0),INDEX('calcA'!V$110:V$114,$F35+1)+IF(AND($E35=1,JI35=0),1000,0)+IF($H35=1,INDEX('calcA'!$D$180:$EQ$219,$B35,19)*500,0)-IF(AND('calcA'!U$117=1,US35&gt;0),300,0)-IF(AND($U35=1,'calcA'!V$117=1,DU35=0),300,0))),1000000000))</f>
        <v/>
      </c>
      <c r="OY35">
        <f>IF($B35=0,1000000000,IF(INDEX('calcA'!$D$60:$EQ$99,$B35,20)*IF($W35=1,DU35+AAJ35,DU35)=1,IF(AND($E35=2,IF($W35=1,AFY35,JJ35)=0),1000000000,IF($V35=1,INDEX('calcA'!$D$130:$EQ$169,$B35,20)+IF(AND($E35=1,JJ35=0),25,0),INDEX('calcA'!W$110:W$114,$F35+1)+IF(AND($E35=1,JJ35=0),1000,0)+IF($H35=1,INDEX('calcA'!$D$180:$EQ$219,$B35,20)*500,0)-IF(AND('calcA'!V$117=1,UT35&gt;0),300,0)-IF(AND($U35=1,'calcA'!W$117=1,DV35=0),300,0))),1000000000))</f>
        <v/>
      </c>
      <c r="OZ35">
        <f>IF($B35=0,1000000000,IF(INDEX('calcA'!$D$60:$EQ$99,$B35,21)*IF($W35=1,DV35+AAK35,DV35)=1,IF(AND($E35=2,IF($W35=1,AFZ35,JK35)=0),1000000000,IF($V35=1,INDEX('calcA'!$D$130:$EQ$169,$B35,21)+IF(AND($E35=1,JK35=0),25,0),INDEX('calcA'!X$110:X$114,$F35+1)+IF(AND($E35=1,JK35=0),1000,0)+IF($H35=1,INDEX('calcA'!$D$180:$EQ$219,$B35,21)*500,0)-IF(AND('calcA'!W$117=1,UU35&gt;0),300,0)-IF(AND($U35=1,'calcA'!X$117=1,DW35=0),300,0))),1000000000))</f>
        <v/>
      </c>
      <c r="PA35">
        <f>IF($B35=0,1000000000,IF(INDEX('calcA'!$D$60:$EQ$99,$B35,22)*IF($W35=1,DW35+AAL35,DW35)=1,IF(AND($E35=2,IF($W35=1,AGA35,JL35)=0),1000000000,IF($V35=1,INDEX('calcA'!$D$130:$EQ$169,$B35,22)+IF(AND($E35=1,JL35=0),25,0),INDEX('calcA'!Y$110:Y$114,$F35+1)+IF(AND($E35=1,JL35=0),1000,0)+IF($H35=1,INDEX('calcA'!$D$180:$EQ$219,$B35,22)*500,0)-IF(AND('calcA'!X$117=1,UV35&gt;0),300,0)-IF(AND($U35=1,'calcA'!Y$117=1,DX35=0),300,0))),1000000000))</f>
        <v/>
      </c>
      <c r="PB35">
        <f>IF($B35=0,1000000000,IF(INDEX('calcA'!$D$60:$EQ$99,$B35,23)*IF($W35=1,DX35+AAM35,DX35)=1,IF(AND($E35=2,IF($W35=1,AGB35,JM35)=0),1000000000,IF($V35=1,INDEX('calcA'!$D$130:$EQ$169,$B35,23)+IF(AND($E35=1,JM35=0),25,0),INDEX('calcA'!Z$110:Z$114,$F35+1)+IF(AND($E35=1,JM35=0),1000,0)+IF($H35=1,INDEX('calcA'!$D$180:$EQ$219,$B35,23)*500,0)-IF(AND('calcA'!Y$117=1,UW35&gt;0),300,0)-IF(AND($U35=1,'calcA'!Z$117=1,DY35=0),300,0))),1000000000))</f>
        <v/>
      </c>
      <c r="PC35">
        <f>IF($B35=0,1000000000,IF(INDEX('calcA'!$D$60:$EQ$99,$B35,24)*IF($W35=1,DY35+AAN35,DY35)=1,IF(AND($E35=2,IF($W35=1,AGC35,JN35)=0),1000000000,IF($V35=1,INDEX('calcA'!$D$130:$EQ$169,$B35,24)+IF(AND($E35=1,JN35=0),25,0),INDEX('calcA'!AA$110:AA$114,$F35+1)+IF(AND($E35=1,JN35=0),1000,0)+IF($H35=1,INDEX('calcA'!$D$180:$EQ$219,$B35,24)*500,0)-IF(AND('calcA'!Z$117=1,UX35&gt;0),300,0))),1000000000))</f>
        <v/>
      </c>
      <c r="PD35">
        <f>IF($B35=0,1000000000,IF(INDEX('calcA'!$D$60:$EQ$99,$B35,25)*IF($W35=1,DZ35+AAO35,DZ35)=1,IF(AND($E35=2,IF($W35=1,AGD35,JO35)=0),1000000000,IF($V35=1,INDEX('calcA'!$D$130:$EQ$169,$B35,25)+IF(AND($E35=1,JO35=0),25,0),INDEX('calcA'!AB$110:AB$114,$F35+1)+IF(AND($E35=1,JO35=0),1000,0)+IF($H35=1,INDEX('calcA'!$D$180:$EQ$219,$B35,25)*500,0)-IF(AND($U35=1,'calcA'!AB$117=1,EA35=0),300,0))),1000000000))</f>
        <v/>
      </c>
      <c r="PE35">
        <f>IF($B35=0,1000000000,IF(INDEX('calcA'!$D$60:$EQ$99,$B35,26)*IF($W35=1,EA35+AAP35,EA35)=1,IF(AND($E35=2,IF($W35=1,AGE35,JP35)=0),1000000000,IF($V35=1,INDEX('calcA'!$D$130:$EQ$169,$B35,26)+IF(AND($E35=1,JP35=0),25,0),INDEX('calcA'!AC$110:AC$114,$F35+1)+IF(AND($E35=1,JP35=0),1000,0)+IF($H35=1,INDEX('calcA'!$D$180:$EQ$219,$B35,26)*500,0)-IF(AND('calcA'!AB$117=1,UZ35&gt;0),300,0)-IF(AND($U35=1,'calcA'!AC$117=1,EB35=0),300,0))),1000000000))</f>
        <v/>
      </c>
      <c r="PF35">
        <f>IF($B35=0,1000000000,IF(INDEX('calcA'!$D$60:$EQ$99,$B35,27)*IF($W35=1,EB35+AAQ35,EB35)=1,IF(AND($E35=2,IF($W35=1,AGF35,JQ35)=0),1000000000,IF($V35=1,INDEX('calcA'!$D$130:$EQ$169,$B35,27)+IF(AND($E35=1,JQ35=0),25,0),INDEX('calcA'!AD$110:AD$114,$F35+1)+IF(AND($E35=1,JQ35=0),1000,0)+IF($H35=1,INDEX('calcA'!$D$180:$EQ$219,$B35,27)*500,0)-IF(AND('calcA'!AC$117=1,VA35&gt;0),300,0)-IF(AND($U35=1,'calcA'!AD$117=1,EC35=0),300,0))),1000000000))</f>
        <v/>
      </c>
      <c r="PG35">
        <f>IF($B35=0,1000000000,IF(INDEX('calcA'!$D$60:$EQ$99,$B35,28)*IF($W35=1,EC35+AAR35,EC35)=1,IF(AND($E35=2,IF($W35=1,AGG35,JR35)=0),1000000000,IF($V35=1,INDEX('calcA'!$D$130:$EQ$169,$B35,28)+IF(AND($E35=1,JR35=0),25,0),INDEX('calcA'!AE$110:AE$114,$F35+1)+IF(AND($E35=1,JR35=0),1000,0)+IF($H35=1,INDEX('calcA'!$D$180:$EQ$219,$B35,28)*500,0)-IF(AND('calcA'!AD$117=1,VB35&gt;0),300,0)-IF(AND($U35=1,'calcA'!AE$117=1,ED35=0),300,0))),1000000000))</f>
        <v/>
      </c>
      <c r="PH35">
        <f>IF($B35=0,1000000000,IF(INDEX('calcA'!$D$60:$EQ$99,$B35,29)*IF($W35=1,ED35+AAS35,ED35)=1,IF(AND($E35=2,IF($W35=1,AGH35,JS35)=0),1000000000,IF($V35=1,INDEX('calcA'!$D$130:$EQ$169,$B35,29)+IF(AND($E35=1,JS35=0),25,0),INDEX('calcA'!AF$110:AF$114,$F35+1)+IF(AND($E35=1,JS35=0),1000,0)+IF($H35=1,INDEX('calcA'!$D$180:$EQ$219,$B35,29)*500,0)-IF(AND('calcA'!AE$117=1,VC35&gt;0),300,0)-IF(AND($U35=1,'calcA'!AF$117=1,EE35=0),300,0))),1000000000))</f>
        <v/>
      </c>
      <c r="PI35">
        <f>IF($B35=0,1000000000,IF(INDEX('calcA'!$D$60:$EQ$99,$B35,30)*IF($W35=1,EE35+AAT35,EE35)=1,IF(AND($E35=2,IF($W35=1,AGI35,JT35)=0),1000000000,IF($V35=1,INDEX('calcA'!$D$130:$EQ$169,$B35,30)+IF(AND($E35=1,JT35=0),25,0),INDEX('calcA'!AG$110:AG$114,$F35+1)+IF(AND($E35=1,JT35=0),1000,0)+IF($H35=1,INDEX('calcA'!$D$180:$EQ$219,$B35,30)*500,0)-IF(AND('calcA'!AF$117=1,VD35&gt;0),300,0)-IF(AND($U35=1,'calcA'!AG$117=1,EF35=0),300,0))),1000000000))</f>
        <v/>
      </c>
      <c r="PJ35">
        <f>IF($B35=0,1000000000,IF(INDEX('calcA'!$D$60:$EQ$99,$B35,31)*IF($W35=1,EF35+AAU35,EF35)=1,IF(AND($E35=2,IF($W35=1,AGJ35,JU35)=0),1000000000,IF($V35=1,INDEX('calcA'!$D$130:$EQ$169,$B35,31)+IF(AND($E35=1,JU35=0),25,0),INDEX('calcA'!AH$110:AH$114,$F35+1)+IF(AND($E35=1,JU35=0),1000,0)+IF($H35=1,INDEX('calcA'!$D$180:$EQ$219,$B35,31)*500,0)-IF(AND('calcA'!AG$117=1,VE35&gt;0),300,0)-IF(AND($U35=1,'calcA'!AH$117=1,EG35=0),300,0))),1000000000))</f>
        <v/>
      </c>
      <c r="PK35">
        <f>IF($B35=0,1000000000,IF(INDEX('calcA'!$D$60:$EQ$99,$B35,32)*IF($W35=1,EG35+AAV35,EG35)=1,IF(AND($E35=2,IF($W35=1,AGK35,JV35)=0),1000000000,IF($V35=1,INDEX('calcA'!$D$130:$EQ$169,$B35,32)+IF(AND($E35=1,JV35=0),25,0),INDEX('calcA'!AI$110:AI$114,$F35+1)+IF(AND($E35=1,JV35=0),1000,0)+IF($H35=1,INDEX('calcA'!$D$180:$EQ$219,$B35,32)*500,0)-IF(AND('calcA'!AH$117=1,VF35&gt;0),300,0)-IF(AND($U35=1,'calcA'!AI$117=1,EH35=0),300,0))),1000000000))</f>
        <v/>
      </c>
      <c r="PL35">
        <f>IF($B35=0,1000000000,IF(INDEX('calcA'!$D$60:$EQ$99,$B35,33)*IF($W35=1,EH35+AAW35,EH35)=1,IF(AND($E35=2,IF($W35=1,AGL35,JW35)=0),1000000000,IF($V35=1,INDEX('calcA'!$D$130:$EQ$169,$B35,33)+IF(AND($E35=1,JW35=0),25,0),INDEX('calcA'!AJ$110:AJ$114,$F35+1)+IF(AND($E35=1,JW35=0),1000,0)+IF($H35=1,INDEX('calcA'!$D$180:$EQ$219,$B35,33)*500,0)-IF(AND('calcA'!AI$117=1,VG35&gt;0),300,0)-IF(AND($U35=1,'calcA'!AJ$117=1,EI35=0),300,0))),1000000000))</f>
        <v/>
      </c>
      <c r="PM35">
        <f>IF($B35=0,1000000000,IF(INDEX('calcA'!$D$60:$EQ$99,$B35,34)*IF($W35=1,EI35+AAX35,EI35)=1,IF(AND($E35=2,IF($W35=1,AGM35,JX35)=0),1000000000,IF($V35=1,INDEX('calcA'!$D$130:$EQ$169,$B35,34)+IF(AND($E35=1,JX35=0),25,0),INDEX('calcA'!AK$110:AK$114,$F35+1)+IF(AND($E35=1,JX35=0),1000,0)+IF($H35=1,INDEX('calcA'!$D$180:$EQ$219,$B35,34)*500,0)-IF(AND('calcA'!AJ$117=1,VH35&gt;0),300,0)-IF(AND($U35=1,'calcA'!AK$117=1,EJ35=0),300,0))),1000000000))</f>
        <v/>
      </c>
      <c r="PN35">
        <f>IF($B35=0,1000000000,IF(INDEX('calcA'!$D$60:$EQ$99,$B35,35)*IF($W35=1,EJ35+AAY35,EJ35)=1,IF(AND($E35=2,IF($W35=1,AGN35,JY35)=0),1000000000,IF($V35=1,INDEX('calcA'!$D$130:$EQ$169,$B35,35)+IF(AND($E35=1,JY35=0),25,0),INDEX('calcA'!AL$110:AL$114,$F35+1)+IF(AND($E35=1,JY35=0),1000,0)+IF($H35=1,INDEX('calcA'!$D$180:$EQ$219,$B35,35)*500,0)-IF(AND('calcA'!AK$117=1,VI35&gt;0),300,0)-IF(AND($U35=1,'calcA'!AL$117=1,EK35=0),300,0))),1000000000))</f>
        <v/>
      </c>
      <c r="PO35">
        <f>IF($B35=0,1000000000,IF(INDEX('calcA'!$D$60:$EQ$99,$B35,36)*IF($W35=1,EK35+AAZ35,EK35)=1,IF(AND($E35=2,IF($W35=1,AGO35,JZ35)=0),1000000000,IF($V35=1,INDEX('calcA'!$D$130:$EQ$169,$B35,36)+IF(AND($E35=1,JZ35=0),25,0),INDEX('calcA'!AM$110:AM$114,$F35+1)+IF(AND($E35=1,JZ35=0),1000,0)+IF($H35=1,INDEX('calcA'!$D$180:$EQ$219,$B35,36)*500,0)-IF(AND('calcA'!AL$117=1,VJ35&gt;0),300,0)-IF(AND($U35=1,'calcA'!AM$117=1,EL35=0),300,0))),1000000000))</f>
        <v/>
      </c>
      <c r="PP35">
        <f>IF($B35=0,1000000000,IF(INDEX('calcA'!$D$60:$EQ$99,$B35,37)*IF($W35=1,EL35+ABA35,EL35)=1,IF(AND($E35=2,IF($W35=1,AGP35,KA35)=0),1000000000,IF($V35=1,INDEX('calcA'!$D$130:$EQ$169,$B35,37)+IF(AND($E35=1,KA35=0),25,0),INDEX('calcA'!AN$110:AN$114,$F35+1)+IF(AND($E35=1,KA35=0),1000,0)+IF($H35=1,INDEX('calcA'!$D$180:$EQ$219,$B35,37)*500,0)-IF(AND('calcA'!AM$117=1,VK35&gt;0),300,0)-IF(AND($U35=1,'calcA'!AN$117=1,EM35=0),300,0))),1000000000))</f>
        <v/>
      </c>
      <c r="PQ35">
        <f>IF($B35=0,1000000000,IF(INDEX('calcA'!$D$60:$EQ$99,$B35,38)*IF($W35=1,EM35+ABB35,EM35)=1,IF(AND($E35=2,IF($W35=1,AGQ35,KB35)=0),1000000000,IF($V35=1,INDEX('calcA'!$D$130:$EQ$169,$B35,38)+IF(AND($E35=1,KB35=0),25,0),INDEX('calcA'!AO$110:AO$114,$F35+1)+IF(AND($E35=1,KB35=0),1000,0)+IF($H35=1,INDEX('calcA'!$D$180:$EQ$219,$B35,38)*500,0)-IF(AND('calcA'!AN$117=1,VL35&gt;0),300,0)-IF(AND($U35=1,'calcA'!AO$117=1,EN35=0),300,0))),1000000000))</f>
        <v/>
      </c>
      <c r="PR35">
        <f>IF($B35=0,1000000000,IF(INDEX('calcA'!$D$60:$EQ$99,$B35,39)*IF($W35=1,EN35+ABC35,EN35)=1,IF(AND($E35=2,IF($W35=1,AGR35,KC35)=0),1000000000,IF($V35=1,INDEX('calcA'!$D$130:$EQ$169,$B35,39)+IF(AND($E35=1,KC35=0),25,0),INDEX('calcA'!AP$110:AP$114,$F35+1)+IF(AND($E35=1,KC35=0),1000,0)+IF($H35=1,INDEX('calcA'!$D$180:$EQ$219,$B35,39)*500,0)-IF(AND('calcA'!AO$117=1,VM35&gt;0),300,0)-IF(AND($U35=1,'calcA'!AP$117=1,EO35=0),300,0))),1000000000))</f>
        <v/>
      </c>
      <c r="PS35">
        <f>IF($B35=0,1000000000,IF(INDEX('calcA'!$D$60:$EQ$99,$B35,40)*IF($W35=1,EO35+ABD35,EO35)=1,IF(AND($E35=2,IF($W35=1,AGS35,KD35)=0),1000000000,IF($V35=1,INDEX('calcA'!$D$130:$EQ$169,$B35,40)+IF(AND($E35=1,KD35=0),25,0),INDEX('calcA'!AQ$110:AQ$114,$F35+1)+IF(AND($E35=1,KD35=0),1000,0)+IF($H35=1,INDEX('calcA'!$D$180:$EQ$219,$B35,40)*500,0)-IF(AND('calcA'!AP$117=1,VN35&gt;0),300,0)-IF(AND($U35=1,'calcA'!AQ$117=1,EP35=0),300,0))),1000000000))</f>
        <v/>
      </c>
      <c r="PT35">
        <f>IF($B35=0,1000000000,IF(INDEX('calcA'!$D$60:$EQ$99,$B35,41)*IF($W35=1,EP35+ABE35,EP35)=1,IF(AND($E35=2,IF($W35=1,AGT35,KE35)=0),1000000000,IF($V35=1,INDEX('calcA'!$D$130:$EQ$169,$B35,41)+IF(AND($E35=1,KE35=0),25,0),INDEX('calcA'!AR$110:AR$114,$F35+1)+IF(AND($E35=1,KE35=0),1000,0)+IF($H35=1,INDEX('calcA'!$D$180:$EQ$219,$B35,41)*500,0)-IF(AND('calcA'!AQ$117=1,VO35&gt;0),300,0)-IF(AND($U35=1,'calcA'!AR$117=1,EQ35=0),300,0))),1000000000))</f>
        <v/>
      </c>
      <c r="PU35">
        <f>IF($B35=0,1000000000,IF(INDEX('calcA'!$D$60:$EQ$99,$B35,42)*IF($W35=1,EQ35+ABF35,EQ35)=1,IF(AND($E35=2,IF($W35=1,AGU35,KF35)=0),1000000000,IF($V35=1,INDEX('calcA'!$D$130:$EQ$169,$B35,42)+IF(AND($E35=1,KF35=0),25,0),INDEX('calcA'!AS$110:AS$114,$F35+1)+IF(AND($E35=1,KF35=0),1000,0)+IF($H35=1,INDEX('calcA'!$D$180:$EQ$219,$B35,42)*500,0)-IF(AND('calcA'!AR$117=1,VP35&gt;0),300,0)-IF(AND($U35=1,'calcA'!AS$117=1,ER35=0),300,0))),1000000000))</f>
        <v/>
      </c>
      <c r="PV35">
        <f>IF($B35=0,1000000000,IF(INDEX('calcA'!$D$60:$EQ$99,$B35,43)*IF($W35=1,ER35+ABG35,ER35)=1,IF(AND($E35=2,IF($W35=1,AGV35,KG35)=0),1000000000,IF($V35=1,INDEX('calcA'!$D$130:$EQ$169,$B35,43)+IF(AND($E35=1,KG35=0),25,0),INDEX('calcA'!AT$110:AT$114,$F35+1)+IF(AND($E35=1,KG35=0),1000,0)+IF($H35=1,INDEX('calcA'!$D$180:$EQ$219,$B35,43)*500,0)-IF(AND('calcA'!AS$117=1,VQ35&gt;0),300,0)-IF(AND($U35=1,'calcA'!AT$117=1,ES35=0),300,0))),1000000000))</f>
        <v/>
      </c>
      <c r="PW35">
        <f>IF($B35=0,1000000000,IF(INDEX('calcA'!$D$60:$EQ$99,$B35,44)*IF($W35=1,ES35+ABH35,ES35)=1,IF(AND($E35=2,IF($W35=1,AGW35,KH35)=0),1000000000,IF($V35=1,INDEX('calcA'!$D$130:$EQ$169,$B35,44)+IF(AND($E35=1,KH35=0),25,0),INDEX('calcA'!AU$110:AU$114,$F35+1)+IF(AND($E35=1,KH35=0),1000,0)+IF($H35=1,INDEX('calcA'!$D$180:$EQ$219,$B35,44)*500,0)-IF(AND('calcA'!AT$117=1,VR35&gt;0),300,0)-IF(AND($U35=1,'calcA'!AU$117=1,ET35=0),300,0))),1000000000))</f>
        <v/>
      </c>
      <c r="PX35">
        <f>IF($B35=0,1000000000,IF(INDEX('calcA'!$D$60:$EQ$99,$B35,45)*IF($W35=1,ET35+ABI35,ET35)=1,IF(AND($E35=2,IF($W35=1,AGX35,KI35)=0),1000000000,IF($V35=1,INDEX('calcA'!$D$130:$EQ$169,$B35,45)+IF(AND($E35=1,KI35=0),25,0),INDEX('calcA'!AV$110:AV$114,$F35+1)+IF(AND($E35=1,KI35=0),1000,0)+IF($H35=1,INDEX('calcA'!$D$180:$EQ$219,$B35,45)*500,0)-IF(AND('calcA'!AU$117=1,VS35&gt;0),300,0)-IF(AND($U35=1,'calcA'!AV$117=1,EU35=0),300,0))),1000000000))</f>
        <v/>
      </c>
      <c r="PY35">
        <f>IF($B35=0,1000000000,IF(INDEX('calcA'!$D$60:$EQ$99,$B35,46)*IF($W35=1,EU35+ABJ35,EU35)=1,IF(AND($E35=2,IF($W35=1,AGY35,KJ35)=0),1000000000,IF($V35=1,INDEX('calcA'!$D$130:$EQ$169,$B35,46)+IF(AND($E35=1,KJ35=0),25,0),INDEX('calcA'!AW$110:AW$114,$F35+1)+IF(AND($E35=1,KJ35=0),1000,0)+IF($H35=1,INDEX('calcA'!$D$180:$EQ$219,$B35,46)*500,0)-IF(AND('calcA'!AV$117=1,VT35&gt;0),300,0)-IF(AND($U35=1,'calcA'!AW$117=1,EV35=0),300,0))),1000000000))</f>
        <v/>
      </c>
      <c r="PZ35">
        <f>IF($B35=0,1000000000,IF(INDEX('calcA'!$D$60:$EQ$99,$B35,47)*IF($W35=1,EV35+ABK35,EV35)=1,IF(AND($E35=2,IF($W35=1,AGZ35,KK35)=0),1000000000,IF($V35=1,INDEX('calcA'!$D$130:$EQ$169,$B35,47)+IF(AND($E35=1,KK35=0),25,0),INDEX('calcA'!AX$110:AX$114,$F35+1)+IF(AND($E35=1,KK35=0),1000,0)+IF($H35=1,INDEX('calcA'!$D$180:$EQ$219,$B35,47)*500,0)-IF(AND('calcA'!AW$117=1,VU35&gt;0),300,0)-IF(AND($U35=1,'calcA'!AX$117=1,EW35=0),300,0))),1000000000))</f>
        <v/>
      </c>
      <c r="QA35">
        <f>IF($B35=0,1000000000,IF(INDEX('calcA'!$D$60:$EQ$99,$B35,48)*IF($W35=1,EW35+ABL35,EW35)=1,IF(AND($E35=2,IF($W35=1,AHA35,KL35)=0),1000000000,IF($V35=1,INDEX('calcA'!$D$130:$EQ$169,$B35,48)+IF(AND($E35=1,KL35=0),25,0),INDEX('calcA'!AY$110:AY$114,$F35+1)+IF(AND($E35=1,KL35=0),1000,0)+IF($H35=1,INDEX('calcA'!$D$180:$EQ$219,$B35,48)*500,0)-IF(AND('calcA'!AX$117=1,VV35&gt;0),300,0))),1000000000))</f>
        <v/>
      </c>
      <c r="QB35">
        <f>IF($B35=0,1000000000,IF(INDEX('calcA'!$D$60:$EQ$99,$B35,49)*IF($W35=1,EX35+ABM35,EX35)=1,IF(AND($E35=2,IF($W35=1,AHB35,KM35)=0),1000000000,IF($V35=1,INDEX('calcA'!$D$130:$EQ$169,$B35,49)+IF(AND($E35=1,KM35=0),25,0),INDEX('calcA'!AZ$110:AZ$114,$F35+1)+IF(AND($E35=1,KM35=0),1000,0)+IF($H35=1,INDEX('calcA'!$D$180:$EQ$219,$B35,49)*500,0)-IF(AND($U35=1,'calcA'!AZ$117=1,EY35=0),300,0))),1000000000))</f>
        <v/>
      </c>
      <c r="QC35">
        <f>IF($B35=0,1000000000,IF(INDEX('calcA'!$D$60:$EQ$99,$B35,50)*IF($W35=1,EY35+ABN35,EY35)=1,IF(AND($E35=2,IF($W35=1,AHC35,KN35)=0),1000000000,IF($V35=1,INDEX('calcA'!$D$130:$EQ$169,$B35,50)+IF(AND($E35=1,KN35=0),25,0),INDEX('calcA'!BA$110:BA$114,$F35+1)+IF(AND($E35=1,KN35=0),1000,0)+IF($H35=1,INDEX('calcA'!$D$180:$EQ$219,$B35,50)*500,0)-IF(AND('calcA'!AZ$117=1,VX35&gt;0),300,0)-IF(AND($U35=1,'calcA'!BA$117=1,EZ35=0),300,0))),1000000000))</f>
        <v/>
      </c>
      <c r="QD35">
        <f>IF($B35=0,1000000000,IF(INDEX('calcA'!$D$60:$EQ$99,$B35,51)*IF($W35=1,EZ35+ABO35,EZ35)=1,IF(AND($E35=2,IF($W35=1,AHD35,KO35)=0),1000000000,IF($V35=1,INDEX('calcA'!$D$130:$EQ$169,$B35,51)+IF(AND($E35=1,KO35=0),25,0),INDEX('calcA'!BB$110:BB$114,$F35+1)+IF(AND($E35=1,KO35=0),1000,0)+IF($H35=1,INDEX('calcA'!$D$180:$EQ$219,$B35,51)*500,0)-IF(AND('calcA'!BA$117=1,VY35&gt;0),300,0)-IF(AND($U35=1,'calcA'!BB$117=1,FA35=0),300,0))),1000000000))</f>
        <v/>
      </c>
      <c r="QE35">
        <f>IF($B35=0,1000000000,IF(INDEX('calcA'!$D$60:$EQ$99,$B35,52)*IF($W35=1,FA35+ABP35,FA35)=1,IF(AND($E35=2,IF($W35=1,AHE35,KP35)=0),1000000000,IF($V35=1,INDEX('calcA'!$D$130:$EQ$169,$B35,52)+IF(AND($E35=1,KP35=0),25,0),INDEX('calcA'!BC$110:BC$114,$F35+1)+IF(AND($E35=1,KP35=0),1000,0)+IF($H35=1,INDEX('calcA'!$D$180:$EQ$219,$B35,52)*500,0)-IF(AND('calcA'!BB$117=1,VZ35&gt;0),300,0)-IF(AND($U35=1,'calcA'!BC$117=1,FB35=0),300,0))),1000000000))</f>
        <v/>
      </c>
      <c r="QF35">
        <f>IF($B35=0,1000000000,IF(INDEX('calcA'!$D$60:$EQ$99,$B35,53)*IF($W35=1,FB35+ABQ35,FB35)=1,IF(AND($E35=2,IF($W35=1,AHF35,KQ35)=0),1000000000,IF($V35=1,INDEX('calcA'!$D$130:$EQ$169,$B35,53)+IF(AND($E35=1,KQ35=0),25,0),INDEX('calcA'!BD$110:BD$114,$F35+1)+IF(AND($E35=1,KQ35=0),1000,0)+IF($H35=1,INDEX('calcA'!$D$180:$EQ$219,$B35,53)*500,0)-IF(AND('calcA'!BC$117=1,WA35&gt;0),300,0)-IF(AND($U35=1,'calcA'!BD$117=1,FC35=0),300,0))),1000000000))</f>
        <v/>
      </c>
      <c r="QG35">
        <f>IF($B35=0,1000000000,IF(INDEX('calcA'!$D$60:$EQ$99,$B35,54)*IF($W35=1,FC35+ABR35,FC35)=1,IF(AND($E35=2,IF($W35=1,AHG35,KR35)=0),1000000000,IF($V35=1,INDEX('calcA'!$D$130:$EQ$169,$B35,54)+IF(AND($E35=1,KR35=0),25,0),INDEX('calcA'!BE$110:BE$114,$F35+1)+IF(AND($E35=1,KR35=0),1000,0)+IF($H35=1,INDEX('calcA'!$D$180:$EQ$219,$B35,54)*500,0)-IF(AND('calcA'!BD$117=1,WB35&gt;0),300,0)-IF(AND($U35=1,'calcA'!BE$117=1,FD35=0),300,0))),1000000000))</f>
        <v/>
      </c>
      <c r="QH35">
        <f>IF($B35=0,1000000000,IF(INDEX('calcA'!$D$60:$EQ$99,$B35,55)*IF($W35=1,FD35+ABS35,FD35)=1,IF(AND($E35=2,IF($W35=1,AHH35,KS35)=0),1000000000,IF($V35=1,INDEX('calcA'!$D$130:$EQ$169,$B35,55)+IF(AND($E35=1,KS35=0),25,0),INDEX('calcA'!BF$110:BF$114,$F35+1)+IF(AND($E35=1,KS35=0),1000,0)+IF($H35=1,INDEX('calcA'!$D$180:$EQ$219,$B35,55)*500,0)-IF(AND('calcA'!BE$117=1,WC35&gt;0),300,0)-IF(AND($U35=1,'calcA'!BF$117=1,FE35=0),300,0))),1000000000))</f>
        <v/>
      </c>
      <c r="QI35">
        <f>IF($B35=0,1000000000,IF(INDEX('calcA'!$D$60:$EQ$99,$B35,56)*IF($W35=1,FE35+ABT35,FE35)=1,IF(AND($E35=2,IF($W35=1,AHI35,KT35)=0),1000000000,IF($V35=1,INDEX('calcA'!$D$130:$EQ$169,$B35,56)+IF(AND($E35=1,KT35=0),25,0),INDEX('calcA'!BG$110:BG$114,$F35+1)+IF(AND($E35=1,KT35=0),1000,0)+IF($H35=1,INDEX('calcA'!$D$180:$EQ$219,$B35,56)*500,0)-IF(AND('calcA'!BF$117=1,WD35&gt;0),300,0)-IF(AND($U35=1,'calcA'!BG$117=1,FF35=0),300,0))),1000000000))</f>
        <v/>
      </c>
      <c r="QJ35">
        <f>IF($B35=0,1000000000,IF(INDEX('calcA'!$D$60:$EQ$99,$B35,57)*IF($W35=1,FF35+ABU35,FF35)=1,IF(AND($E35=2,IF($W35=1,AHJ35,KU35)=0),1000000000,IF($V35=1,INDEX('calcA'!$D$130:$EQ$169,$B35,57)+IF(AND($E35=1,KU35=0),25,0),INDEX('calcA'!BH$110:BH$114,$F35+1)+IF(AND($E35=1,KU35=0),1000,0)+IF($H35=1,INDEX('calcA'!$D$180:$EQ$219,$B35,57)*500,0)-IF(AND('calcA'!BG$117=1,WE35&gt;0),300,0)-IF(AND($U35=1,'calcA'!BH$117=1,FG35=0),300,0))),1000000000))</f>
        <v/>
      </c>
      <c r="QK35">
        <f>IF($B35=0,1000000000,IF(INDEX('calcA'!$D$60:$EQ$99,$B35,58)*IF($W35=1,FG35+ABV35,FG35)=1,IF(AND($E35=2,IF($W35=1,AHK35,KV35)=0),1000000000,IF($V35=1,INDEX('calcA'!$D$130:$EQ$169,$B35,58)+IF(AND($E35=1,KV35=0),25,0),INDEX('calcA'!BI$110:BI$114,$F35+1)+IF(AND($E35=1,KV35=0),1000,0)+IF($H35=1,INDEX('calcA'!$D$180:$EQ$219,$B35,58)*500,0)-IF(AND('calcA'!BH$117=1,WF35&gt;0),300,0)-IF(AND($U35=1,'calcA'!BI$117=1,FH35=0),300,0))),1000000000))</f>
        <v/>
      </c>
      <c r="QL35">
        <f>IF($B35=0,1000000000,IF(INDEX('calcA'!$D$60:$EQ$99,$B35,59)*IF($W35=1,FH35+ABW35,FH35)=1,IF(AND($E35=2,IF($W35=1,AHL35,KW35)=0),1000000000,IF($V35=1,INDEX('calcA'!$D$130:$EQ$169,$B35,59)+IF(AND($E35=1,KW35=0),25,0),INDEX('calcA'!BJ$110:BJ$114,$F35+1)+IF(AND($E35=1,KW35=0),1000,0)+IF($H35=1,INDEX('calcA'!$D$180:$EQ$219,$B35,59)*500,0)-IF(AND('calcA'!BI$117=1,WG35&gt;0),300,0)-IF(AND($U35=1,'calcA'!BJ$117=1,FI35=0),300,0))),1000000000))</f>
        <v/>
      </c>
      <c r="QM35">
        <f>IF($B35=0,1000000000,IF(INDEX('calcA'!$D$60:$EQ$99,$B35,60)*IF($W35=1,FI35+ABX35,FI35)=1,IF(AND($E35=2,IF($W35=1,AHM35,KX35)=0),1000000000,IF($V35=1,INDEX('calcA'!$D$130:$EQ$169,$B35,60)+IF(AND($E35=1,KX35=0),25,0),INDEX('calcA'!BK$110:BK$114,$F35+1)+IF(AND($E35=1,KX35=0),1000,0)+IF($H35=1,INDEX('calcA'!$D$180:$EQ$219,$B35,60)*500,0)-IF(AND('calcA'!BJ$117=1,WH35&gt;0),300,0)-IF(AND($U35=1,'calcA'!BK$117=1,FJ35=0),300,0))),1000000000))</f>
        <v/>
      </c>
      <c r="QN35">
        <f>IF($B35=0,1000000000,IF(INDEX('calcA'!$D$60:$EQ$99,$B35,61)*IF($W35=1,FJ35+ABY35,FJ35)=1,IF(AND($E35=2,IF($W35=1,AHN35,KY35)=0),1000000000,IF($V35=1,INDEX('calcA'!$D$130:$EQ$169,$B35,61)+IF(AND($E35=1,KY35=0),25,0),INDEX('calcA'!BL$110:BL$114,$F35+1)+IF(AND($E35=1,KY35=0),1000,0)+IF($H35=1,INDEX('calcA'!$D$180:$EQ$219,$B35,61)*500,0)-IF(AND('calcA'!BK$117=1,WI35&gt;0),300,0)-IF(AND($U35=1,'calcA'!BL$117=1,FK35=0),300,0))),1000000000))</f>
        <v/>
      </c>
      <c r="QO35">
        <f>IF($B35=0,1000000000,IF(INDEX('calcA'!$D$60:$EQ$99,$B35,62)*IF($W35=1,FK35+ABZ35,FK35)=1,IF(AND($E35=2,IF($W35=1,AHO35,KZ35)=0),1000000000,IF($V35=1,INDEX('calcA'!$D$130:$EQ$169,$B35,62)+IF(AND($E35=1,KZ35=0),25,0),INDEX('calcA'!BM$110:BM$114,$F35+1)+IF(AND($E35=1,KZ35=0),1000,0)+IF($H35=1,INDEX('calcA'!$D$180:$EQ$219,$B35,62)*500,0)-IF(AND('calcA'!BL$117=1,WJ35&gt;0),300,0)-IF(AND($U35=1,'calcA'!BM$117=1,FL35=0),300,0))),1000000000))</f>
        <v/>
      </c>
      <c r="QP35">
        <f>IF($B35=0,1000000000,IF(INDEX('calcA'!$D$60:$EQ$99,$B35,63)*IF($W35=1,FL35+ACA35,FL35)=1,IF(AND($E35=2,IF($W35=1,AHP35,LA35)=0),1000000000,IF($V35=1,INDEX('calcA'!$D$130:$EQ$169,$B35,63)+IF(AND($E35=1,LA35=0),25,0),INDEX('calcA'!BN$110:BN$114,$F35+1)+IF(AND($E35=1,LA35=0),1000,0)+IF($H35=1,INDEX('calcA'!$D$180:$EQ$219,$B35,63)*500,0)-IF(AND('calcA'!BM$117=1,WK35&gt;0),300,0)-IF(AND($U35=1,'calcA'!BN$117=1,FM35=0),300,0))),1000000000))</f>
        <v/>
      </c>
      <c r="QQ35">
        <f>IF($B35=0,1000000000,IF(INDEX('calcA'!$D$60:$EQ$99,$B35,64)*IF($W35=1,FM35+ACB35,FM35)=1,IF(AND($E35=2,IF($W35=1,AHQ35,LB35)=0),1000000000,IF($V35=1,INDEX('calcA'!$D$130:$EQ$169,$B35,64)+IF(AND($E35=1,LB35=0),25,0),INDEX('calcA'!BO$110:BO$114,$F35+1)+IF(AND($E35=1,LB35=0),1000,0)+IF($H35=1,INDEX('calcA'!$D$180:$EQ$219,$B35,64)*500,0)-IF(AND('calcA'!BN$117=1,WL35&gt;0),300,0)-IF(AND($U35=1,'calcA'!BO$117=1,FN35=0),300,0))),1000000000))</f>
        <v/>
      </c>
      <c r="QR35">
        <f>IF($B35=0,1000000000,IF(INDEX('calcA'!$D$60:$EQ$99,$B35,65)*IF($W35=1,FN35+ACC35,FN35)=1,IF(AND($E35=2,IF($W35=1,AHR35,LC35)=0),1000000000,IF($V35=1,INDEX('calcA'!$D$130:$EQ$169,$B35,65)+IF(AND($E35=1,LC35=0),25,0),INDEX('calcA'!BP$110:BP$114,$F35+1)+IF(AND($E35=1,LC35=0),1000,0)+IF($H35=1,INDEX('calcA'!$D$180:$EQ$219,$B35,65)*500,0)-IF(AND('calcA'!BO$117=1,WM35&gt;0),300,0)-IF(AND($U35=1,'calcA'!BP$117=1,FO35=0),300,0))),1000000000))</f>
        <v/>
      </c>
      <c r="QS35">
        <f>IF($B35=0,1000000000,IF(INDEX('calcA'!$D$60:$EQ$99,$B35,66)*IF($W35=1,FO35+ACD35,FO35)=1,IF(AND($E35=2,IF($W35=1,AHS35,LD35)=0),1000000000,IF($V35=1,INDEX('calcA'!$D$130:$EQ$169,$B35,66)+IF(AND($E35=1,LD35=0),25,0),INDEX('calcA'!BQ$110:BQ$114,$F35+1)+IF(AND($E35=1,LD35=0),1000,0)+IF($H35=1,INDEX('calcA'!$D$180:$EQ$219,$B35,66)*500,0)-IF(AND('calcA'!BP$117=1,WN35&gt;0),300,0)-IF(AND($U35=1,'calcA'!BQ$117=1,FP35=0),300,0))),1000000000))</f>
        <v/>
      </c>
      <c r="QT35">
        <f>IF($B35=0,1000000000,IF(INDEX('calcA'!$D$60:$EQ$99,$B35,67)*IF($W35=1,FP35+ACE35,FP35)=1,IF(AND($E35=2,IF($W35=1,AHT35,LE35)=0),1000000000,IF($V35=1,INDEX('calcA'!$D$130:$EQ$169,$B35,67)+IF(AND($E35=1,LE35=0),25,0),INDEX('calcA'!BR$110:BR$114,$F35+1)+IF(AND($E35=1,LE35=0),1000,0)+IF($H35=1,INDEX('calcA'!$D$180:$EQ$219,$B35,67)*500,0)-IF(AND('calcA'!BQ$117=1,WO35&gt;0),300,0)-IF(AND($U35=1,'calcA'!BR$117=1,FQ35=0),300,0))),1000000000))</f>
        <v/>
      </c>
      <c r="QU35">
        <f>IF($B35=0,1000000000,IF(INDEX('calcA'!$D$60:$EQ$99,$B35,68)*IF($W35=1,FQ35+ACF35,FQ35)=1,IF(AND($E35=2,IF($W35=1,AHU35,LF35)=0),1000000000,IF($V35=1,INDEX('calcA'!$D$130:$EQ$169,$B35,68)+IF(AND($E35=1,LF35=0),25,0),INDEX('calcA'!BS$110:BS$114,$F35+1)+IF(AND($E35=1,LF35=0),1000,0)+IF($H35=1,INDEX('calcA'!$D$180:$EQ$219,$B35,68)*500,0)-IF(AND('calcA'!BR$117=1,WP35&gt;0),300,0)-IF(AND($U35=1,'calcA'!BS$117=1,FR35=0),300,0))),1000000000))</f>
        <v/>
      </c>
      <c r="QV35">
        <f>IF($B35=0,1000000000,IF(INDEX('calcA'!$D$60:$EQ$99,$B35,69)*IF($W35=1,FR35+ACG35,FR35)=1,IF(AND($E35=2,IF($W35=1,AHV35,LG35)=0),1000000000,IF($V35=1,INDEX('calcA'!$D$130:$EQ$169,$B35,69)+IF(AND($E35=1,LG35=0),25,0),INDEX('calcA'!BT$110:BT$114,$F35+1)+IF(AND($E35=1,LG35=0),1000,0)+IF($H35=1,INDEX('calcA'!$D$180:$EQ$219,$B35,69)*500,0)-IF(AND('calcA'!BS$117=1,WQ35&gt;0),300,0)-IF(AND($U35=1,'calcA'!BT$117=1,FS35=0),300,0))),1000000000))</f>
        <v/>
      </c>
      <c r="QW35">
        <f>IF($B35=0,1000000000,IF(INDEX('calcA'!$D$60:$EQ$99,$B35,70)*IF($W35=1,FS35+ACH35,FS35)=1,IF(AND($E35=2,IF($W35=1,AHW35,LH35)=0),1000000000,IF($V35=1,INDEX('calcA'!$D$130:$EQ$169,$B35,70)+IF(AND($E35=1,LH35=0),25,0),INDEX('calcA'!BU$110:BU$114,$F35+1)+IF(AND($E35=1,LH35=0),1000,0)+IF($H35=1,INDEX('calcA'!$D$180:$EQ$219,$B35,70)*500,0)-IF(AND('calcA'!BT$117=1,WR35&gt;0),300,0)-IF(AND($U35=1,'calcA'!BU$117=1,FT35=0),300,0))),1000000000))</f>
        <v/>
      </c>
      <c r="QX35">
        <f>IF($B35=0,1000000000,IF(INDEX('calcA'!$D$60:$EQ$99,$B35,71)*IF($W35=1,FT35+ACI35,FT35)=1,IF(AND($E35=2,IF($W35=1,AHX35,LI35)=0),1000000000,IF($V35=1,INDEX('calcA'!$D$130:$EQ$169,$B35,71)+IF(AND($E35=1,LI35=0),25,0),INDEX('calcA'!BV$110:BV$114,$F35+1)+IF(AND($E35=1,LI35=0),1000,0)+IF($H35=1,INDEX('calcA'!$D$180:$EQ$219,$B35,71)*500,0)-IF(AND('calcA'!BU$117=1,WS35&gt;0),300,0)-IF(AND($U35=1,'calcA'!BV$117=1,FU35=0),300,0))),1000000000))</f>
        <v/>
      </c>
      <c r="QY35">
        <f>IF($B35=0,1000000000,IF(INDEX('calcA'!$D$60:$EQ$99,$B35,72)*IF($W35=1,FU35+ACJ35,FU35)=1,IF(AND($E35=2,IF($W35=1,AHY35,LJ35)=0),1000000000,IF($V35=1,INDEX('calcA'!$D$130:$EQ$169,$B35,72)+IF(AND($E35=1,LJ35=0),25,0),INDEX('calcA'!BW$110:BW$114,$F35+1)+IF(AND($E35=1,LJ35=0),1000,0)+IF($H35=1,INDEX('calcA'!$D$180:$EQ$219,$B35,72)*500,0)-IF(AND('calcA'!BV$117=1,WT35&gt;0),300,0))),1000000000))</f>
        <v/>
      </c>
      <c r="QZ35">
        <f>IF($B35=0,1000000000,IF(INDEX('calcA'!$D$60:$EQ$99,$B35,73)*IF($W35=1,FV35+ACK35,FV35)=1,IF(AND($E35=2,IF($W35=1,AHZ35,LK35)=0),1000000000,IF($V35=1,INDEX('calcA'!$D$130:$EQ$169,$B35,73)+IF(AND($E35=1,LK35=0),25,0),INDEX('calcA'!BX$110:BX$114,$F35+1)+IF(AND($E35=1,LK35=0),1000,0)+IF($H35=1,INDEX('calcA'!$D$180:$EQ$219,$B35,73)*500,0)-IF(AND($U35=1,'calcA'!BX$117=1,FW35=0),300,0))),1000000000))</f>
        <v/>
      </c>
      <c r="RA35">
        <f>IF($B35=0,1000000000,IF(INDEX('calcA'!$D$60:$EQ$99,$B35,74)*IF($W35=1,FW35+ACL35,FW35)=1,IF(AND($E35=2,IF($W35=1,AIA35,LL35)=0),1000000000,IF($V35=1,INDEX('calcA'!$D$130:$EQ$169,$B35,74)+IF(AND($E35=1,LL35=0),25,0),INDEX('calcA'!BY$110:BY$114,$F35+1)+IF(AND($E35=1,LL35=0),1000,0)+IF($H35=1,INDEX('calcA'!$D$180:$EQ$219,$B35,74)*500,0)-IF(AND('calcA'!BX$117=1,WV35&gt;0),300,0)-IF(AND($U35=1,'calcA'!BY$117=1,FX35=0),300,0))),1000000000))</f>
        <v/>
      </c>
      <c r="RB35">
        <f>IF($B35=0,1000000000,IF(INDEX('calcA'!$D$60:$EQ$99,$B35,75)*IF($W35=1,FX35+ACM35,FX35)=1,IF(AND($E35=2,IF($W35=1,AIB35,LM35)=0),1000000000,IF($V35=1,INDEX('calcA'!$D$130:$EQ$169,$B35,75)+IF(AND($E35=1,LM35=0),25,0),INDEX('calcA'!BZ$110:BZ$114,$F35+1)+IF(AND($E35=1,LM35=0),1000,0)+IF($H35=1,INDEX('calcA'!$D$180:$EQ$219,$B35,75)*500,0)-IF(AND('calcA'!BY$117=1,WW35&gt;0),300,0)-IF(AND($U35=1,'calcA'!BZ$117=1,FY35=0),300,0))),1000000000))</f>
        <v/>
      </c>
      <c r="RC35">
        <f>IF($B35=0,1000000000,IF(INDEX('calcA'!$D$60:$EQ$99,$B35,76)*IF($W35=1,FY35+ACN35,FY35)=1,IF(AND($E35=2,IF($W35=1,AIC35,LN35)=0),1000000000,IF($V35=1,INDEX('calcA'!$D$130:$EQ$169,$B35,76)+IF(AND($E35=1,LN35=0),25,0),INDEX('calcA'!CA$110:CA$114,$F35+1)+IF(AND($E35=1,LN35=0),1000,0)+IF($H35=1,INDEX('calcA'!$D$180:$EQ$219,$B35,76)*500,0)-IF(AND('calcA'!BZ$117=1,WX35&gt;0),300,0)-IF(AND($U35=1,'calcA'!CA$117=1,FZ35=0),300,0))),1000000000))</f>
        <v/>
      </c>
      <c r="RD35">
        <f>IF($B35=0,1000000000,IF(INDEX('calcA'!$D$60:$EQ$99,$B35,77)*IF($W35=1,FZ35+ACO35,FZ35)=1,IF(AND($E35=2,IF($W35=1,AID35,LO35)=0),1000000000,IF($V35=1,INDEX('calcA'!$D$130:$EQ$169,$B35,77)+IF(AND($E35=1,LO35=0),25,0),INDEX('calcA'!CB$110:CB$114,$F35+1)+IF(AND($E35=1,LO35=0),1000,0)+IF($H35=1,INDEX('calcA'!$D$180:$EQ$219,$B35,77)*500,0)-IF(AND('calcA'!CA$117=1,WY35&gt;0),300,0)-IF(AND($U35=1,'calcA'!CB$117=1,GA35=0),300,0))),1000000000))</f>
        <v/>
      </c>
      <c r="RE35">
        <f>IF($B35=0,1000000000,IF(INDEX('calcA'!$D$60:$EQ$99,$B35,78)*IF($W35=1,GA35+ACP35,GA35)=1,IF(AND($E35=2,IF($W35=1,AIE35,LP35)=0),1000000000,IF($V35=1,INDEX('calcA'!$D$130:$EQ$169,$B35,78)+IF(AND($E35=1,LP35=0),25,0),INDEX('calcA'!CC$110:CC$114,$F35+1)+IF(AND($E35=1,LP35=0),1000,0)+IF($H35=1,INDEX('calcA'!$D$180:$EQ$219,$B35,78)*500,0)-IF(AND('calcA'!CB$117=1,WZ35&gt;0),300,0)-IF(AND($U35=1,'calcA'!CC$117=1,GB35=0),300,0))),1000000000))</f>
        <v/>
      </c>
      <c r="RF35">
        <f>IF($B35=0,1000000000,IF(INDEX('calcA'!$D$60:$EQ$99,$B35,79)*IF($W35=1,GB35+ACQ35,GB35)=1,IF(AND($E35=2,IF($W35=1,AIF35,LQ35)=0),1000000000,IF($V35=1,INDEX('calcA'!$D$130:$EQ$169,$B35,79)+IF(AND($E35=1,LQ35=0),25,0),INDEX('calcA'!CD$110:CD$114,$F35+1)+IF(AND($E35=1,LQ35=0),1000,0)+IF($H35=1,INDEX('calcA'!$D$180:$EQ$219,$B35,79)*500,0)-IF(AND('calcA'!CC$117=1,XA35&gt;0),300,0)-IF(AND($U35=1,'calcA'!CD$117=1,GC35=0),300,0))),1000000000))</f>
        <v/>
      </c>
      <c r="RG35">
        <f>IF($B35=0,1000000000,IF(INDEX('calcA'!$D$60:$EQ$99,$B35,80)*IF($W35=1,GC35+ACR35,GC35)=1,IF(AND($E35=2,IF($W35=1,AIG35,LR35)=0),1000000000,IF($V35=1,INDEX('calcA'!$D$130:$EQ$169,$B35,80)+IF(AND($E35=1,LR35=0),25,0),INDEX('calcA'!CE$110:CE$114,$F35+1)+IF(AND($E35=1,LR35=0),1000,0)+IF($H35=1,INDEX('calcA'!$D$180:$EQ$219,$B35,80)*500,0)-IF(AND('calcA'!CD$117=1,XB35&gt;0),300,0)-IF(AND($U35=1,'calcA'!CE$117=1,GD35=0),300,0))),1000000000))</f>
        <v/>
      </c>
      <c r="RH35">
        <f>IF($B35=0,1000000000,IF(INDEX('calcA'!$D$60:$EQ$99,$B35,81)*IF($W35=1,GD35+ACS35,GD35)=1,IF(AND($E35=2,IF($W35=1,AIH35,LS35)=0),1000000000,IF($V35=1,INDEX('calcA'!$D$130:$EQ$169,$B35,81)+IF(AND($E35=1,LS35=0),25,0),INDEX('calcA'!CF$110:CF$114,$F35+1)+IF(AND($E35=1,LS35=0),1000,0)+IF($H35=1,INDEX('calcA'!$D$180:$EQ$219,$B35,81)*500,0)-IF(AND('calcA'!CE$117=1,XC35&gt;0),300,0)-IF(AND($U35=1,'calcA'!CF$117=1,GE35=0),300,0))),1000000000))</f>
        <v/>
      </c>
      <c r="RI35">
        <f>IF($B35=0,1000000000,IF(INDEX('calcA'!$D$60:$EQ$99,$B35,82)*IF($W35=1,GE35+ACT35,GE35)=1,IF(AND($E35=2,IF($W35=1,AII35,LT35)=0),1000000000,IF($V35=1,INDEX('calcA'!$D$130:$EQ$169,$B35,82)+IF(AND($E35=1,LT35=0),25,0),INDEX('calcA'!CG$110:CG$114,$F35+1)+IF(AND($E35=1,LT35=0),1000,0)+IF($H35=1,INDEX('calcA'!$D$180:$EQ$219,$B35,82)*500,0)-IF(AND('calcA'!CF$117=1,XD35&gt;0),300,0)-IF(AND($U35=1,'calcA'!CG$117=1,GF35=0),300,0))),1000000000))</f>
        <v/>
      </c>
      <c r="RJ35">
        <f>IF($B35=0,1000000000,IF(INDEX('calcA'!$D$60:$EQ$99,$B35,83)*IF($W35=1,GF35+ACU35,GF35)=1,IF(AND($E35=2,IF($W35=1,AIJ35,LU35)=0),1000000000,IF($V35=1,INDEX('calcA'!$D$130:$EQ$169,$B35,83)+IF(AND($E35=1,LU35=0),25,0),INDEX('calcA'!CH$110:CH$114,$F35+1)+IF(AND($E35=1,LU35=0),1000,0)+IF($H35=1,INDEX('calcA'!$D$180:$EQ$219,$B35,83)*500,0)-IF(AND('calcA'!CG$117=1,XE35&gt;0),300,0)-IF(AND($U35=1,'calcA'!CH$117=1,GG35=0),300,0))),1000000000))</f>
        <v/>
      </c>
      <c r="RK35">
        <f>IF($B35=0,1000000000,IF(INDEX('calcA'!$D$60:$EQ$99,$B35,84)*IF($W35=1,GG35+ACV35,GG35)=1,IF(AND($E35=2,IF($W35=1,AIK35,LV35)=0),1000000000,IF($V35=1,INDEX('calcA'!$D$130:$EQ$169,$B35,84)+IF(AND($E35=1,LV35=0),25,0),INDEX('calcA'!CI$110:CI$114,$F35+1)+IF(AND($E35=1,LV35=0),1000,0)+IF($H35=1,INDEX('calcA'!$D$180:$EQ$219,$B35,84)*500,0)-IF(AND('calcA'!CH$117=1,XF35&gt;0),300,0)-IF(AND($U35=1,'calcA'!CI$117=1,GH35=0),300,0))),1000000000))</f>
        <v/>
      </c>
      <c r="RL35">
        <f>IF($B35=0,1000000000,IF(INDEX('calcA'!$D$60:$EQ$99,$B35,85)*IF($W35=1,GH35+ACW35,GH35)=1,IF(AND($E35=2,IF($W35=1,AIL35,LW35)=0),1000000000,IF($V35=1,INDEX('calcA'!$D$130:$EQ$169,$B35,85)+IF(AND($E35=1,LW35=0),25,0),INDEX('calcA'!CJ$110:CJ$114,$F35+1)+IF(AND($E35=1,LW35=0),1000,0)+IF($H35=1,INDEX('calcA'!$D$180:$EQ$219,$B35,85)*500,0)-IF(AND('calcA'!CI$117=1,XG35&gt;0),300,0)-IF(AND($U35=1,'calcA'!CJ$117=1,GI35=0),300,0))),1000000000))</f>
        <v/>
      </c>
      <c r="RM35">
        <f>IF($B35=0,1000000000,IF(INDEX('calcA'!$D$60:$EQ$99,$B35,86)*IF($W35=1,GI35+ACX35,GI35)=1,IF(AND($E35=2,IF($W35=1,AIM35,LX35)=0),1000000000,IF($V35=1,INDEX('calcA'!$D$130:$EQ$169,$B35,86)+IF(AND($E35=1,LX35=0),25,0),INDEX('calcA'!CK$110:CK$114,$F35+1)+IF(AND($E35=1,LX35=0),1000,0)+IF($H35=1,INDEX('calcA'!$D$180:$EQ$219,$B35,86)*500,0)-IF(AND('calcA'!CJ$117=1,XH35&gt;0),300,0)-IF(AND($U35=1,'calcA'!CK$117=1,GJ35=0),300,0))),1000000000))</f>
        <v/>
      </c>
      <c r="RN35">
        <f>IF($B35=0,1000000000,IF(INDEX('calcA'!$D$60:$EQ$99,$B35,87)*IF($W35=1,GJ35+ACY35,GJ35)=1,IF(AND($E35=2,IF($W35=1,AIN35,LY35)=0),1000000000,IF($V35=1,INDEX('calcA'!$D$130:$EQ$169,$B35,87)+IF(AND($E35=1,LY35=0),25,0),INDEX('calcA'!CL$110:CL$114,$F35+1)+IF(AND($E35=1,LY35=0),1000,0)+IF($H35=1,INDEX('calcA'!$D$180:$EQ$219,$B35,87)*500,0)-IF(AND('calcA'!CK$117=1,XI35&gt;0),300,0)-IF(AND($U35=1,'calcA'!CL$117=1,GK35=0),300,0))),1000000000))</f>
        <v/>
      </c>
      <c r="RO35">
        <f>IF($B35=0,1000000000,IF(INDEX('calcA'!$D$60:$EQ$99,$B35,88)*IF($W35=1,GK35+ACZ35,GK35)=1,IF(AND($E35=2,IF($W35=1,AIO35,LZ35)=0),1000000000,IF($V35=1,INDEX('calcA'!$D$130:$EQ$169,$B35,88)+IF(AND($E35=1,LZ35=0),25,0),INDEX('calcA'!CM$110:CM$114,$F35+1)+IF(AND($E35=1,LZ35=0),1000,0)+IF($H35=1,INDEX('calcA'!$D$180:$EQ$219,$B35,88)*500,0)-IF(AND('calcA'!CL$117=1,XJ35&gt;0),300,0)-IF(AND($U35=1,'calcA'!CM$117=1,GL35=0),300,0))),1000000000))</f>
        <v/>
      </c>
      <c r="RP35">
        <f>IF($B35=0,1000000000,IF(INDEX('calcA'!$D$60:$EQ$99,$B35,89)*IF($W35=1,GL35+ADA35,GL35)=1,IF(AND($E35=2,IF($W35=1,AIP35,MA35)=0),1000000000,IF($V35=1,INDEX('calcA'!$D$130:$EQ$169,$B35,89)+IF(AND($E35=1,MA35=0),25,0),INDEX('calcA'!CN$110:CN$114,$F35+1)+IF(AND($E35=1,MA35=0),1000,0)+IF($H35=1,INDEX('calcA'!$D$180:$EQ$219,$B35,89)*500,0)-IF(AND('calcA'!CM$117=1,XK35&gt;0),300,0)-IF(AND($U35=1,'calcA'!CN$117=1,GM35=0),300,0))),1000000000))</f>
        <v/>
      </c>
      <c r="RQ35">
        <f>IF($B35=0,1000000000,IF(INDEX('calcA'!$D$60:$EQ$99,$B35,90)*IF($W35=1,GM35+ADB35,GM35)=1,IF(AND($E35=2,IF($W35=1,AIQ35,MB35)=0),1000000000,IF($V35=1,INDEX('calcA'!$D$130:$EQ$169,$B35,90)+IF(AND($E35=1,MB35=0),25,0),INDEX('calcA'!CO$110:CO$114,$F35+1)+IF(AND($E35=1,MB35=0),1000,0)+IF($H35=1,INDEX('calcA'!$D$180:$EQ$219,$B35,90)*500,0)-IF(AND('calcA'!CN$117=1,XL35&gt;0),300,0)-IF(AND($U35=1,'calcA'!CO$117=1,GN35=0),300,0))),1000000000))</f>
        <v/>
      </c>
      <c r="RR35">
        <f>IF($B35=0,1000000000,IF(INDEX('calcA'!$D$60:$EQ$99,$B35,91)*IF($W35=1,GN35+ADC35,GN35)=1,IF(AND($E35=2,IF($W35=1,AIR35,MC35)=0),1000000000,IF($V35=1,INDEX('calcA'!$D$130:$EQ$169,$B35,91)+IF(AND($E35=1,MC35=0),25,0),INDEX('calcA'!CP$110:CP$114,$F35+1)+IF(AND($E35=1,MC35=0),1000,0)+IF($H35=1,INDEX('calcA'!$D$180:$EQ$219,$B35,91)*500,0)-IF(AND('calcA'!CO$117=1,XM35&gt;0),300,0)-IF(AND($U35=1,'calcA'!CP$117=1,GO35=0),300,0))),1000000000))</f>
        <v/>
      </c>
      <c r="RS35">
        <f>IF($B35=0,1000000000,IF(INDEX('calcA'!$D$60:$EQ$99,$B35,92)*IF($W35=1,GO35+ADD35,GO35)=1,IF(AND($E35=2,IF($W35=1,AIS35,MD35)=0),1000000000,IF($V35=1,INDEX('calcA'!$D$130:$EQ$169,$B35,92)+IF(AND($E35=1,MD35=0),25,0),INDEX('calcA'!CQ$110:CQ$114,$F35+1)+IF(AND($E35=1,MD35=0),1000,0)+IF($H35=1,INDEX('calcA'!$D$180:$EQ$219,$B35,92)*500,0)-IF(AND('calcA'!CP$117=1,XN35&gt;0),300,0)-IF(AND($U35=1,'calcA'!CQ$117=1,GP35=0),300,0))),1000000000))</f>
        <v/>
      </c>
      <c r="RT35">
        <f>IF($B35=0,1000000000,IF(INDEX('calcA'!$D$60:$EQ$99,$B35,93)*IF($W35=1,GP35+ADE35,GP35)=1,IF(AND($E35=2,IF($W35=1,AIT35,ME35)=0),1000000000,IF($V35=1,INDEX('calcA'!$D$130:$EQ$169,$B35,93)+IF(AND($E35=1,ME35=0),25,0),INDEX('calcA'!CR$110:CR$114,$F35+1)+IF(AND($E35=1,ME35=0),1000,0)+IF($H35=1,INDEX('calcA'!$D$180:$EQ$219,$B35,93)*500,0)-IF(AND('calcA'!CQ$117=1,XO35&gt;0),300,0)-IF(AND($U35=1,'calcA'!CR$117=1,GQ35=0),300,0))),1000000000))</f>
        <v/>
      </c>
      <c r="RU35">
        <f>IF($B35=0,1000000000,IF(INDEX('calcA'!$D$60:$EQ$99,$B35,94)*IF($W35=1,GQ35+ADF35,GQ35)=1,IF(AND($E35=2,IF($W35=1,AIU35,MF35)=0),1000000000,IF($V35=1,INDEX('calcA'!$D$130:$EQ$169,$B35,94)+IF(AND($E35=1,MF35=0),25,0),INDEX('calcA'!CS$110:CS$114,$F35+1)+IF(AND($E35=1,MF35=0),1000,0)+IF($H35=1,INDEX('calcA'!$D$180:$EQ$219,$B35,94)*500,0)-IF(AND('calcA'!CR$117=1,XP35&gt;0),300,0)-IF(AND($U35=1,'calcA'!CS$117=1,GR35=0),300,0))),1000000000))</f>
        <v/>
      </c>
      <c r="RV35">
        <f>IF($B35=0,1000000000,IF(INDEX('calcA'!$D$60:$EQ$99,$B35,95)*IF($W35=1,GR35+ADG35,GR35)=1,IF(AND($E35=2,IF($W35=1,AIV35,MG35)=0),1000000000,IF($V35=1,INDEX('calcA'!$D$130:$EQ$169,$B35,95)+IF(AND($E35=1,MG35=0),25,0),INDEX('calcA'!CT$110:CT$114,$F35+1)+IF(AND($E35=1,MG35=0),1000,0)+IF($H35=1,INDEX('calcA'!$D$180:$EQ$219,$B35,95)*500,0)-IF(AND('calcA'!CS$117=1,XQ35&gt;0),300,0)-IF(AND($U35=1,'calcA'!CT$117=1,GS35=0),300,0))),1000000000))</f>
        <v/>
      </c>
      <c r="RW35">
        <f>IF($B35=0,1000000000,IF(INDEX('calcA'!$D$60:$EQ$99,$B35,96)*IF($W35=1,GS35+ADH35,GS35)=1,IF(AND($E35=2,IF($W35=1,AIW35,MH35)=0),1000000000,IF($V35=1,INDEX('calcA'!$D$130:$EQ$169,$B35,96)+IF(AND($E35=1,MH35=0),25,0),INDEX('calcA'!CU$110:CU$114,$F35+1)+IF(AND($E35=1,MH35=0),1000,0)+IF($H35=1,INDEX('calcA'!$D$180:$EQ$219,$B35,96)*500,0)-IF(AND('calcA'!CT$117=1,XR35&gt;0),300,0))),1000000000))</f>
        <v/>
      </c>
      <c r="RX35">
        <f>IF($B35=0,1000000000,IF(INDEX('calcA'!$D$60:$EQ$99,$B35,97)*IF($W35=1,GT35+ADI35,GT35)=1,IF(AND($E35=2,IF($W35=1,AIX35,MI35)=0),1000000000,IF($V35=1,INDEX('calcA'!$D$130:$EQ$169,$B35,97)+IF(AND($E35=1,MI35=0),25,0),INDEX('calcA'!CV$110:CV$114,$F35+1)+IF(AND($E35=1,MI35=0),1000,0)+IF($H35=1,INDEX('calcA'!$D$180:$EQ$219,$B35,97)*500,0)-IF(AND($U35=1,'calcA'!CV$117=1,GU35=0),300,0))),1000000000))</f>
        <v/>
      </c>
      <c r="RY35">
        <f>IF($B35=0,1000000000,IF(INDEX('calcA'!$D$60:$EQ$99,$B35,98)*IF($W35=1,GU35+ADJ35,GU35)=1,IF(AND($E35=2,IF($W35=1,AIY35,MJ35)=0),1000000000,IF($V35=1,INDEX('calcA'!$D$130:$EQ$169,$B35,98)+IF(AND($E35=1,MJ35=0),25,0),INDEX('calcA'!CW$110:CW$114,$F35+1)+IF(AND($E35=1,MJ35=0),1000,0)+IF($H35=1,INDEX('calcA'!$D$180:$EQ$219,$B35,98)*500,0)-IF(AND('calcA'!CV$117=1,XT35&gt;0),300,0)-IF(AND($U35=1,'calcA'!CW$117=1,GV35=0),300,0))),1000000000))</f>
        <v/>
      </c>
      <c r="RZ35">
        <f>IF($B35=0,1000000000,IF(INDEX('calcA'!$D$60:$EQ$99,$B35,99)*IF($W35=1,GV35+ADK35,GV35)=1,IF(AND($E35=2,IF($W35=1,AIZ35,MK35)=0),1000000000,IF($V35=1,INDEX('calcA'!$D$130:$EQ$169,$B35,99)+IF(AND($E35=1,MK35=0),25,0),INDEX('calcA'!CX$110:CX$114,$F35+1)+IF(AND($E35=1,MK35=0),1000,0)+IF($H35=1,INDEX('calcA'!$D$180:$EQ$219,$B35,99)*500,0)-IF(AND('calcA'!CW$117=1,XU35&gt;0),300,0)-IF(AND($U35=1,'calcA'!CX$117=1,GW35=0),300,0))),1000000000))</f>
        <v/>
      </c>
      <c r="SA35">
        <f>IF($B35=0,1000000000,IF(INDEX('calcA'!$D$60:$EQ$99,$B35,100)*IF($W35=1,GW35+ADL35,GW35)=1,IF(AND($E35=2,IF($W35=1,AJA35,ML35)=0),1000000000,IF($V35=1,INDEX('calcA'!$D$130:$EQ$169,$B35,100)+IF(AND($E35=1,ML35=0),25,0),INDEX('calcA'!CY$110:CY$114,$F35+1)+IF(AND($E35=1,ML35=0),1000,0)+IF($H35=1,INDEX('calcA'!$D$180:$EQ$219,$B35,100)*500,0)-IF(AND('calcA'!CX$117=1,XV35&gt;0),300,0)-IF(AND($U35=1,'calcA'!CY$117=1,GX35=0),300,0))),1000000000))</f>
        <v/>
      </c>
      <c r="SB35">
        <f>IF($B35=0,1000000000,IF(INDEX('calcA'!$D$60:$EQ$99,$B35,101)*IF($W35=1,GX35+ADM35,GX35)=1,IF(AND($E35=2,IF($W35=1,AJB35,MM35)=0),1000000000,IF($V35=1,INDEX('calcA'!$D$130:$EQ$169,$B35,101)+IF(AND($E35=1,MM35=0),25,0),INDEX('calcA'!CZ$110:CZ$114,$F35+1)+IF(AND($E35=1,MM35=0),1000,0)+IF($H35=1,INDEX('calcA'!$D$180:$EQ$219,$B35,101)*500,0)-IF(AND('calcA'!CY$117=1,XW35&gt;0),300,0)-IF(AND($U35=1,'calcA'!CZ$117=1,GY35=0),300,0))),1000000000))</f>
        <v/>
      </c>
      <c r="SC35">
        <f>IF($B35=0,1000000000,IF(INDEX('calcA'!$D$60:$EQ$99,$B35,102)*IF($W35=1,GY35+ADN35,GY35)=1,IF(AND($E35=2,IF($W35=1,AJC35,MN35)=0),1000000000,IF($V35=1,INDEX('calcA'!$D$130:$EQ$169,$B35,102)+IF(AND($E35=1,MN35=0),25,0),INDEX('calcA'!DA$110:DA$114,$F35+1)+IF(AND($E35=1,MN35=0),1000,0)+IF($H35=1,INDEX('calcA'!$D$180:$EQ$219,$B35,102)*500,0)-IF(AND('calcA'!CZ$117=1,XX35&gt;0),300,0)-IF(AND($U35=1,'calcA'!DA$117=1,GZ35=0),300,0))),1000000000))</f>
        <v/>
      </c>
      <c r="SD35">
        <f>IF($B35=0,1000000000,IF(INDEX('calcA'!$D$60:$EQ$99,$B35,103)*IF($W35=1,GZ35+ADO35,GZ35)=1,IF(AND($E35=2,IF($W35=1,AJD35,MO35)=0),1000000000,IF($V35=1,INDEX('calcA'!$D$130:$EQ$169,$B35,103)+IF(AND($E35=1,MO35=0),25,0),INDEX('calcA'!DB$110:DB$114,$F35+1)+IF(AND($E35=1,MO35=0),1000,0)+IF($H35=1,INDEX('calcA'!$D$180:$EQ$219,$B35,103)*500,0)-IF(AND('calcA'!DA$117=1,XY35&gt;0),300,0)-IF(AND($U35=1,'calcA'!DB$117=1,HA35=0),300,0))),1000000000))</f>
        <v/>
      </c>
      <c r="SE35">
        <f>IF($B35=0,1000000000,IF(INDEX('calcA'!$D$60:$EQ$99,$B35,104)*IF($W35=1,HA35+ADP35,HA35)=1,IF(AND($E35=2,IF($W35=1,AJE35,MP35)=0),1000000000,IF($V35=1,INDEX('calcA'!$D$130:$EQ$169,$B35,104)+IF(AND($E35=1,MP35=0),25,0),INDEX('calcA'!DC$110:DC$114,$F35+1)+IF(AND($E35=1,MP35=0),1000,0)+IF($H35=1,INDEX('calcA'!$D$180:$EQ$219,$B35,104)*500,0)-IF(AND('calcA'!DB$117=1,XZ35&gt;0),300,0)-IF(AND($U35=1,'calcA'!DC$117=1,HB35=0),300,0))),1000000000))</f>
        <v/>
      </c>
      <c r="SF35">
        <f>IF($B35=0,1000000000,IF(INDEX('calcA'!$D$60:$EQ$99,$B35,105)*IF($W35=1,HB35+ADQ35,HB35)=1,IF(AND($E35=2,IF($W35=1,AJF35,MQ35)=0),1000000000,IF($V35=1,INDEX('calcA'!$D$130:$EQ$169,$B35,105)+IF(AND($E35=1,MQ35=0),25,0),INDEX('calcA'!DD$110:DD$114,$F35+1)+IF(AND($E35=1,MQ35=0),1000,0)+IF($H35=1,INDEX('calcA'!$D$180:$EQ$219,$B35,105)*500,0)-IF(AND('calcA'!DC$117=1,YA35&gt;0),300,0)-IF(AND($U35=1,'calcA'!DD$117=1,HC35=0),300,0))),1000000000))</f>
        <v/>
      </c>
      <c r="SG35">
        <f>IF($B35=0,1000000000,IF(INDEX('calcA'!$D$60:$EQ$99,$B35,106)*IF($W35=1,HC35+ADR35,HC35)=1,IF(AND($E35=2,IF($W35=1,AJG35,MR35)=0),1000000000,IF($V35=1,INDEX('calcA'!$D$130:$EQ$169,$B35,106)+IF(AND($E35=1,MR35=0),25,0),INDEX('calcA'!DE$110:DE$114,$F35+1)+IF(AND($E35=1,MR35=0),1000,0)+IF($H35=1,INDEX('calcA'!$D$180:$EQ$219,$B35,106)*500,0)-IF(AND('calcA'!DD$117=1,YB35&gt;0),300,0)-IF(AND($U35=1,'calcA'!DE$117=1,HD35=0),300,0))),1000000000))</f>
        <v/>
      </c>
      <c r="SH35">
        <f>IF($B35=0,1000000000,IF(INDEX('calcA'!$D$60:$EQ$99,$B35,107)*IF($W35=1,HD35+ADS35,HD35)=1,IF(AND($E35=2,IF($W35=1,AJH35,MS35)=0),1000000000,IF($V35=1,INDEX('calcA'!$D$130:$EQ$169,$B35,107)+IF(AND($E35=1,MS35=0),25,0),INDEX('calcA'!DF$110:DF$114,$F35+1)+IF(AND($E35=1,MS35=0),1000,0)+IF($H35=1,INDEX('calcA'!$D$180:$EQ$219,$B35,107)*500,0)-IF(AND('calcA'!DE$117=1,YC35&gt;0),300,0)-IF(AND($U35=1,'calcA'!DF$117=1,HE35=0),300,0))),1000000000))</f>
        <v/>
      </c>
      <c r="SI35">
        <f>IF($B35=0,1000000000,IF(INDEX('calcA'!$D$60:$EQ$99,$B35,108)*IF($W35=1,HE35+ADT35,HE35)=1,IF(AND($E35=2,IF($W35=1,AJI35,MT35)=0),1000000000,IF($V35=1,INDEX('calcA'!$D$130:$EQ$169,$B35,108)+IF(AND($E35=1,MT35=0),25,0),INDEX('calcA'!DG$110:DG$114,$F35+1)+IF(AND($E35=1,MT35=0),1000,0)+IF($H35=1,INDEX('calcA'!$D$180:$EQ$219,$B35,108)*500,0)-IF(AND('calcA'!DF$117=1,YD35&gt;0),300,0)-IF(AND($U35=1,'calcA'!DG$117=1,HF35=0),300,0))),1000000000))</f>
        <v/>
      </c>
      <c r="SJ35">
        <f>IF($B35=0,1000000000,IF(INDEX('calcA'!$D$60:$EQ$99,$B35,109)*IF($W35=1,HF35+ADU35,HF35)=1,IF(AND($E35=2,IF($W35=1,AJJ35,MU35)=0),1000000000,IF($V35=1,INDEX('calcA'!$D$130:$EQ$169,$B35,109)+IF(AND($E35=1,MU35=0),25,0),INDEX('calcA'!DH$110:DH$114,$F35+1)+IF(AND($E35=1,MU35=0),1000,0)+IF($H35=1,INDEX('calcA'!$D$180:$EQ$219,$B35,109)*500,0)-IF(AND('calcA'!DG$117=1,YE35&gt;0),300,0)-IF(AND($U35=1,'calcA'!DH$117=1,HG35=0),300,0))),1000000000))</f>
        <v/>
      </c>
      <c r="SK35">
        <f>IF($B35=0,1000000000,IF(INDEX('calcA'!$D$60:$EQ$99,$B35,110)*IF($W35=1,HG35+ADV35,HG35)=1,IF(AND($E35=2,IF($W35=1,AJK35,MV35)=0),1000000000,IF($V35=1,INDEX('calcA'!$D$130:$EQ$169,$B35,110)+IF(AND($E35=1,MV35=0),25,0),INDEX('calcA'!DI$110:DI$114,$F35+1)+IF(AND($E35=1,MV35=0),1000,0)+IF($H35=1,INDEX('calcA'!$D$180:$EQ$219,$B35,110)*500,0)-IF(AND('calcA'!DH$117=1,YF35&gt;0),300,0)-IF(AND($U35=1,'calcA'!DI$117=1,HH35=0),300,0))),1000000000))</f>
        <v/>
      </c>
      <c r="SL35">
        <f>IF($B35=0,1000000000,IF(INDEX('calcA'!$D$60:$EQ$99,$B35,111)*IF($W35=1,HH35+ADW35,HH35)=1,IF(AND($E35=2,IF($W35=1,AJL35,MW35)=0),1000000000,IF($V35=1,INDEX('calcA'!$D$130:$EQ$169,$B35,111)+IF(AND($E35=1,MW35=0),25,0),INDEX('calcA'!DJ$110:DJ$114,$F35+1)+IF(AND($E35=1,MW35=0),1000,0)+IF($H35=1,INDEX('calcA'!$D$180:$EQ$219,$B35,111)*500,0)-IF(AND('calcA'!DI$117=1,YG35&gt;0),300,0)-IF(AND($U35=1,'calcA'!DJ$117=1,HI35=0),300,0))),1000000000))</f>
        <v/>
      </c>
      <c r="SM35">
        <f>IF($B35=0,1000000000,IF(INDEX('calcA'!$D$60:$EQ$99,$B35,112)*IF($W35=1,HI35+ADX35,HI35)=1,IF(AND($E35=2,IF($W35=1,AJM35,MX35)=0),1000000000,IF($V35=1,INDEX('calcA'!$D$130:$EQ$169,$B35,112)+IF(AND($E35=1,MX35=0),25,0),INDEX('calcA'!DK$110:DK$114,$F35+1)+IF(AND($E35=1,MX35=0),1000,0)+IF($H35=1,INDEX('calcA'!$D$180:$EQ$219,$B35,112)*500,0)-IF(AND('calcA'!DJ$117=1,YH35&gt;0),300,0)-IF(AND($U35=1,'calcA'!DK$117=1,HJ35=0),300,0))),1000000000))</f>
        <v/>
      </c>
      <c r="SN35">
        <f>IF($B35=0,1000000000,IF(INDEX('calcA'!$D$60:$EQ$99,$B35,113)*IF($W35=1,HJ35+ADY35,HJ35)=1,IF(AND($E35=2,IF($W35=1,AJN35,MY35)=0),1000000000,IF($V35=1,INDEX('calcA'!$D$130:$EQ$169,$B35,113)+IF(AND($E35=1,MY35=0),25,0),INDEX('calcA'!DL$110:DL$114,$F35+1)+IF(AND($E35=1,MY35=0),1000,0)+IF($H35=1,INDEX('calcA'!$D$180:$EQ$219,$B35,113)*500,0)-IF(AND('calcA'!DK$117=1,YI35&gt;0),300,0)-IF(AND($U35=1,'calcA'!DL$117=1,HK35=0),300,0))),1000000000))</f>
        <v/>
      </c>
      <c r="SO35">
        <f>IF($B35=0,1000000000,IF(INDEX('calcA'!$D$60:$EQ$99,$B35,114)*IF($W35=1,HK35+ADZ35,HK35)=1,IF(AND($E35=2,IF($W35=1,AJO35,MZ35)=0),1000000000,IF($V35=1,INDEX('calcA'!$D$130:$EQ$169,$B35,114)+IF(AND($E35=1,MZ35=0),25,0),INDEX('calcA'!DM$110:DM$114,$F35+1)+IF(AND($E35=1,MZ35=0),1000,0)+IF($H35=1,INDEX('calcA'!$D$180:$EQ$219,$B35,114)*500,0)-IF(AND('calcA'!DL$117=1,YJ35&gt;0),300,0)-IF(AND($U35=1,'calcA'!DM$117=1,HL35=0),300,0))),1000000000))</f>
        <v/>
      </c>
      <c r="SP35">
        <f>IF($B35=0,1000000000,IF(INDEX('calcA'!$D$60:$EQ$99,$B35,115)*IF($W35=1,HL35+AEA35,HL35)=1,IF(AND($E35=2,IF($W35=1,AJP35,NA35)=0),1000000000,IF($V35=1,INDEX('calcA'!$D$130:$EQ$169,$B35,115)+IF(AND($E35=1,NA35=0),25,0),INDEX('calcA'!DN$110:DN$114,$F35+1)+IF(AND($E35=1,NA35=0),1000,0)+IF($H35=1,INDEX('calcA'!$D$180:$EQ$219,$B35,115)*500,0)-IF(AND('calcA'!DM$117=1,YK35&gt;0),300,0)-IF(AND($U35=1,'calcA'!DN$117=1,HM35=0),300,0))),1000000000))</f>
        <v/>
      </c>
      <c r="SQ35">
        <f>IF($B35=0,1000000000,IF(INDEX('calcA'!$D$60:$EQ$99,$B35,116)*IF($W35=1,HM35+AEB35,HM35)=1,IF(AND($E35=2,IF($W35=1,AJQ35,NB35)=0),1000000000,IF($V35=1,INDEX('calcA'!$D$130:$EQ$169,$B35,116)+IF(AND($E35=1,NB35=0),25,0),INDEX('calcA'!DO$110:DO$114,$F35+1)+IF(AND($E35=1,NB35=0),1000,0)+IF($H35=1,INDEX('calcA'!$D$180:$EQ$219,$B35,116)*500,0)-IF(AND('calcA'!DN$117=1,YL35&gt;0),300,0)-IF(AND($U35=1,'calcA'!DO$117=1,HN35=0),300,0))),1000000000))</f>
        <v/>
      </c>
      <c r="SR35">
        <f>IF($B35=0,1000000000,IF(INDEX('calcA'!$D$60:$EQ$99,$B35,117)*IF($W35=1,HN35+AEC35,HN35)=1,IF(AND($E35=2,IF($W35=1,AJR35,NC35)=0),1000000000,IF($V35=1,INDEX('calcA'!$D$130:$EQ$169,$B35,117)+IF(AND($E35=1,NC35=0),25,0),INDEX('calcA'!DP$110:DP$114,$F35+1)+IF(AND($E35=1,NC35=0),1000,0)+IF($H35=1,INDEX('calcA'!$D$180:$EQ$219,$B35,117)*500,0)-IF(AND('calcA'!DO$117=1,YM35&gt;0),300,0)-IF(AND($U35=1,'calcA'!DP$117=1,HO35=0),300,0))),1000000000))</f>
        <v/>
      </c>
      <c r="SS35">
        <f>IF($B35=0,1000000000,IF(INDEX('calcA'!$D$60:$EQ$99,$B35,118)*IF($W35=1,HO35+AED35,HO35)=1,IF(AND($E35=2,IF($W35=1,AJS35,ND35)=0),1000000000,IF($V35=1,INDEX('calcA'!$D$130:$EQ$169,$B35,118)+IF(AND($E35=1,ND35=0),25,0),INDEX('calcA'!DQ$110:DQ$114,$F35+1)+IF(AND($E35=1,ND35=0),1000,0)+IF($H35=1,INDEX('calcA'!$D$180:$EQ$219,$B35,118)*500,0)-IF(AND('calcA'!DP$117=1,YN35&gt;0),300,0)-IF(AND($U35=1,'calcA'!DQ$117=1,HP35=0),300,0))),1000000000))</f>
        <v/>
      </c>
      <c r="ST35">
        <f>IF($B35=0,1000000000,IF(INDEX('calcA'!$D$60:$EQ$99,$B35,119)*IF($W35=1,HP35+AEE35,HP35)=1,IF(AND($E35=2,IF($W35=1,AJT35,NE35)=0),1000000000,IF($V35=1,INDEX('calcA'!$D$130:$EQ$169,$B35,119)+IF(AND($E35=1,NE35=0),25,0),INDEX('calcA'!DR$110:DR$114,$F35+1)+IF(AND($E35=1,NE35=0),1000,0)+IF($H35=1,INDEX('calcA'!$D$180:$EQ$219,$B35,119)*500,0)-IF(AND('calcA'!DQ$117=1,YO35&gt;0),300,0)-IF(AND($U35=1,'calcA'!DR$117=1,HQ35=0),300,0))),1000000000))</f>
        <v/>
      </c>
      <c r="SU35">
        <f>IF($B35=0,1000000000,IF(INDEX('calcA'!$D$60:$EQ$99,$B35,120)*IF($W35=1,HQ35+AEF35,HQ35)=1,IF(AND($E35=2,IF($W35=1,AJU35,NF35)=0),1000000000,IF($V35=1,INDEX('calcA'!$D$130:$EQ$169,$B35,120)+IF(AND($E35=1,NF35=0),25,0),INDEX('calcA'!DS$110:DS$114,$F35+1)+IF(AND($E35=1,NF35=0),1000,0)+IF($H35=1,INDEX('calcA'!$D$180:$EQ$219,$B35,120)*500,0)-IF(AND('calcA'!DR$117=1,YP35&gt;0),300,0))),1000000000))</f>
        <v/>
      </c>
      <c r="SV35">
        <f>IF($B35=0,1000000000,IF(INDEX('calcA'!$D$60:$EQ$99,$B35,121)*IF($W35=1,HR35+AEG35,HR35)=1,IF(AND($E35=2,IF($W35=1,AJV35,NG35)=0),1000000000,IF($V35=1,INDEX('calcA'!$D$130:$EQ$169,$B35,121)+IF(AND($E35=1,NG35=0),25,0),INDEX('calcA'!DT$110:DT$114,$F35+1)+IF(AND($E35=1,NG35=0),1000,0)+IF($H35=1,INDEX('calcA'!$D$180:$EQ$219,$B35,121)*500,0)-IF(AND($U35=1,'calcA'!DT$117=1,HS35=0),300,0))),1000000000))</f>
        <v/>
      </c>
      <c r="SW35">
        <f>IF($B35=0,1000000000,IF(INDEX('calcA'!$D$60:$EQ$99,$B35,122)*IF($W35=1,HS35+AEH35,HS35)=1,IF(AND($E35=2,IF($W35=1,AJW35,NH35)=0),1000000000,IF($V35=1,INDEX('calcA'!$D$130:$EQ$169,$B35,122)+IF(AND($E35=1,NH35=0),25,0),INDEX('calcA'!DU$110:DU$114,$F35+1)+IF(AND($E35=1,NH35=0),1000,0)+IF($H35=1,INDEX('calcA'!$D$180:$EQ$219,$B35,122)*500,0)-IF(AND('calcA'!DT$117=1,YR35&gt;0),300,0)-IF(AND($U35=1,'calcA'!DU$117=1,HT35=0),300,0))),1000000000))</f>
        <v/>
      </c>
      <c r="SX35">
        <f>IF($B35=0,1000000000,IF(INDEX('calcA'!$D$60:$EQ$99,$B35,123)*IF($W35=1,HT35+AEI35,HT35)=1,IF(AND($E35=2,IF($W35=1,AJX35,NI35)=0),1000000000,IF($V35=1,INDEX('calcA'!$D$130:$EQ$169,$B35,123)+IF(AND($E35=1,NI35=0),25,0),INDEX('calcA'!DV$110:DV$114,$F35+1)+IF(AND($E35=1,NI35=0),1000,0)+IF($H35=1,INDEX('calcA'!$D$180:$EQ$219,$B35,123)*500,0)-IF(AND('calcA'!DU$117=1,YS35&gt;0),300,0)-IF(AND($U35=1,'calcA'!DV$117=1,HU35=0),300,0))),1000000000))</f>
        <v/>
      </c>
      <c r="SY35">
        <f>IF($B35=0,1000000000,IF(INDEX('calcA'!$D$60:$EQ$99,$B35,124)*IF($W35=1,HU35+AEJ35,HU35)=1,IF(AND($E35=2,IF($W35=1,AJY35,NJ35)=0),1000000000,IF($V35=1,INDEX('calcA'!$D$130:$EQ$169,$B35,124)+IF(AND($E35=1,NJ35=0),25,0),INDEX('calcA'!DW$110:DW$114,$F35+1)+IF(AND($E35=1,NJ35=0),1000,0)+IF($H35=1,INDEX('calcA'!$D$180:$EQ$219,$B35,124)*500,0)-IF(AND('calcA'!DV$117=1,YT35&gt;0),300,0)-IF(AND($U35=1,'calcA'!DW$117=1,HV35=0),300,0))),1000000000))</f>
        <v/>
      </c>
      <c r="SZ35">
        <f>IF($B35=0,1000000000,IF(INDEX('calcA'!$D$60:$EQ$99,$B35,125)*IF($W35=1,HV35+AEK35,HV35)=1,IF(AND($E35=2,IF($W35=1,AJZ35,NK35)=0),1000000000,IF($V35=1,INDEX('calcA'!$D$130:$EQ$169,$B35,125)+IF(AND($E35=1,NK35=0),25,0),INDEX('calcA'!DX$110:DX$114,$F35+1)+IF(AND($E35=1,NK35=0),1000,0)+IF($H35=1,INDEX('calcA'!$D$180:$EQ$219,$B35,125)*500,0)-IF(AND('calcA'!DW$117=1,YU35&gt;0),300,0)-IF(AND($U35=1,'calcA'!DX$117=1,HW35=0),300,0))),1000000000))</f>
        <v/>
      </c>
      <c r="TA35">
        <f>IF($B35=0,1000000000,IF(INDEX('calcA'!$D$60:$EQ$99,$B35,126)*IF($W35=1,HW35+AEL35,HW35)=1,IF(AND($E35=2,IF($W35=1,AKA35,NL35)=0),1000000000,IF($V35=1,INDEX('calcA'!$D$130:$EQ$169,$B35,126)+IF(AND($E35=1,NL35=0),25,0),INDEX('calcA'!DY$110:DY$114,$F35+1)+IF(AND($E35=1,NL35=0),1000,0)+IF($H35=1,INDEX('calcA'!$D$180:$EQ$219,$B35,126)*500,0)-IF(AND('calcA'!DX$117=1,YV35&gt;0),300,0)-IF(AND($U35=1,'calcA'!DY$117=1,HX35=0),300,0))),1000000000))</f>
        <v/>
      </c>
      <c r="TB35">
        <f>IF($B35=0,1000000000,IF(INDEX('calcA'!$D$60:$EQ$99,$B35,127)*IF($W35=1,HX35+AEM35,HX35)=1,IF(AND($E35=2,IF($W35=1,AKB35,NM35)=0),1000000000,IF($V35=1,INDEX('calcA'!$D$130:$EQ$169,$B35,127)+IF(AND($E35=1,NM35=0),25,0),INDEX('calcA'!DZ$110:DZ$114,$F35+1)+IF(AND($E35=1,NM35=0),1000,0)+IF($H35=1,INDEX('calcA'!$D$180:$EQ$219,$B35,127)*500,0)-IF(AND('calcA'!DY$117=1,YW35&gt;0),300,0)-IF(AND($U35=1,'calcA'!DZ$117=1,HY35=0),300,0))),1000000000))</f>
        <v/>
      </c>
      <c r="TC35">
        <f>IF($B35=0,1000000000,IF(INDEX('calcA'!$D$60:$EQ$99,$B35,128)*IF($W35=1,HY35+AEN35,HY35)=1,IF(AND($E35=2,IF($W35=1,AKC35,NN35)=0),1000000000,IF($V35=1,INDEX('calcA'!$D$130:$EQ$169,$B35,128)+IF(AND($E35=1,NN35=0),25,0),INDEX('calcA'!EA$110:EA$114,$F35+1)+IF(AND($E35=1,NN35=0),1000,0)+IF($H35=1,INDEX('calcA'!$D$180:$EQ$219,$B35,128)*500,0)-IF(AND('calcA'!DZ$117=1,YX35&gt;0),300,0)-IF(AND($U35=1,'calcA'!EA$117=1,HZ35=0),300,0))),1000000000))</f>
        <v/>
      </c>
      <c r="TD35">
        <f>IF($B35=0,1000000000,IF(INDEX('calcA'!$D$60:$EQ$99,$B35,129)*IF($W35=1,HZ35+AEO35,HZ35)=1,IF(AND($E35=2,IF($W35=1,AKD35,NO35)=0),1000000000,IF($V35=1,INDEX('calcA'!$D$130:$EQ$169,$B35,129)+IF(AND($E35=1,NO35=0),25,0),INDEX('calcA'!EB$110:EB$114,$F35+1)+IF(AND($E35=1,NO35=0),1000,0)+IF($H35=1,INDEX('calcA'!$D$180:$EQ$219,$B35,129)*500,0)-IF(AND('calcA'!EA$117=1,YY35&gt;0),300,0)-IF(AND($U35=1,'calcA'!EB$117=1,IA35=0),300,0))),1000000000))</f>
        <v/>
      </c>
      <c r="TE35">
        <f>IF($B35=0,1000000000,IF(INDEX('calcA'!$D$60:$EQ$99,$B35,130)*IF($W35=1,IA35+AEP35,IA35)=1,IF(AND($E35=2,IF($W35=1,AKE35,NP35)=0),1000000000,IF($V35=1,INDEX('calcA'!$D$130:$EQ$169,$B35,130)+IF(AND($E35=1,NP35=0),25,0),INDEX('calcA'!EC$110:EC$114,$F35+1)+IF(AND($E35=1,NP35=0),1000,0)+IF($H35=1,INDEX('calcA'!$D$180:$EQ$219,$B35,130)*500,0)-IF(AND('calcA'!EB$117=1,YZ35&gt;0),300,0)-IF(AND($U35=1,'calcA'!EC$117=1,IB35=0),300,0))),1000000000))</f>
        <v/>
      </c>
      <c r="TF35">
        <f>IF($B35=0,1000000000,IF(INDEX('calcA'!$D$60:$EQ$99,$B35,131)*IF($W35=1,IB35+AEQ35,IB35)=1,IF(AND($E35=2,IF($W35=1,AKF35,NQ35)=0),1000000000,IF($V35=1,INDEX('calcA'!$D$130:$EQ$169,$B35,131)+IF(AND($E35=1,NQ35=0),25,0),INDEX('calcA'!ED$110:ED$114,$F35+1)+IF(AND($E35=1,NQ35=0),1000,0)+IF($H35=1,INDEX('calcA'!$D$180:$EQ$219,$B35,131)*500,0)-IF(AND('calcA'!EC$117=1,ZA35&gt;0),300,0)-IF(AND($U35=1,'calcA'!ED$117=1,IC35=0),300,0))),1000000000))</f>
        <v/>
      </c>
      <c r="TG35">
        <f>IF($B35=0,1000000000,IF(INDEX('calcA'!$D$60:$EQ$99,$B35,132)*IF($W35=1,IC35+AER35,IC35)=1,IF(AND($E35=2,IF($W35=1,AKG35,NR35)=0),1000000000,IF($V35=1,INDEX('calcA'!$D$130:$EQ$169,$B35,132)+IF(AND($E35=1,NR35=0),25,0),INDEX('calcA'!EE$110:EE$114,$F35+1)+IF(AND($E35=1,NR35=0),1000,0)+IF($H35=1,INDEX('calcA'!$D$180:$EQ$219,$B35,132)*500,0)-IF(AND('calcA'!ED$117=1,ZB35&gt;0),300,0)-IF(AND($U35=1,'calcA'!EE$117=1,ID35=0),300,0))),1000000000))</f>
        <v/>
      </c>
      <c r="TH35">
        <f>IF($B35=0,1000000000,IF(INDEX('calcA'!$D$60:$EQ$99,$B35,133)*IF($W35=1,ID35+AES35,ID35)=1,IF(AND($E35=2,IF($W35=1,AKH35,NS35)=0),1000000000,IF($V35=1,INDEX('calcA'!$D$130:$EQ$169,$B35,133)+IF(AND($E35=1,NS35=0),25,0),INDEX('calcA'!EF$110:EF$114,$F35+1)+IF(AND($E35=1,NS35=0),1000,0)+IF($H35=1,INDEX('calcA'!$D$180:$EQ$219,$B35,133)*500,0)-IF(AND('calcA'!EE$117=1,ZC35&gt;0),300,0)-IF(AND($U35=1,'calcA'!EF$117=1,IE35=0),300,0))),1000000000))</f>
        <v/>
      </c>
      <c r="TI35">
        <f>IF($B35=0,1000000000,IF(INDEX('calcA'!$D$60:$EQ$99,$B35,134)*IF($W35=1,IE35+AET35,IE35)=1,IF(AND($E35=2,IF($W35=1,AKI35,NT35)=0),1000000000,IF($V35=1,INDEX('calcA'!$D$130:$EQ$169,$B35,134)+IF(AND($E35=1,NT35=0),25,0),INDEX('calcA'!EG$110:EG$114,$F35+1)+IF(AND($E35=1,NT35=0),1000,0)+IF($H35=1,INDEX('calcA'!$D$180:$EQ$219,$B35,134)*500,0)-IF(AND('calcA'!EF$117=1,ZD35&gt;0),300,0)-IF(AND($U35=1,'calcA'!EG$117=1,IF35=0),300,0))),1000000000))</f>
        <v/>
      </c>
      <c r="TJ35">
        <f>IF($B35=0,1000000000,IF(INDEX('calcA'!$D$60:$EQ$99,$B35,135)*IF($W35=1,IF35+AEU35,IF35)=1,IF(AND($E35=2,IF($W35=1,AKJ35,NU35)=0),1000000000,IF($V35=1,INDEX('calcA'!$D$130:$EQ$169,$B35,135)+IF(AND($E35=1,NU35=0),25,0),INDEX('calcA'!EH$110:EH$114,$F35+1)+IF(AND($E35=1,NU35=0),1000,0)+IF($H35=1,INDEX('calcA'!$D$180:$EQ$219,$B35,135)*500,0)-IF(AND('calcA'!EG$117=1,ZE35&gt;0),300,0)-IF(AND($U35=1,'calcA'!EH$117=1,IG35=0),300,0))),1000000000))</f>
        <v/>
      </c>
      <c r="TK35">
        <f>IF($B35=0,1000000000,IF(INDEX('calcA'!$D$60:$EQ$99,$B35,136)*IF($W35=1,IG35+AEV35,IG35)=1,IF(AND($E35=2,IF($W35=1,AKK35,NV35)=0),1000000000,IF($V35=1,INDEX('calcA'!$D$130:$EQ$169,$B35,136)+IF(AND($E35=1,NV35=0),25,0),INDEX('calcA'!EI$110:EI$114,$F35+1)+IF(AND($E35=1,NV35=0),1000,0)+IF($H35=1,INDEX('calcA'!$D$180:$EQ$219,$B35,136)*500,0)-IF(AND('calcA'!EH$117=1,ZF35&gt;0),300,0)-IF(AND($U35=1,'calcA'!EI$117=1,IH35=0),300,0))),1000000000))</f>
        <v/>
      </c>
      <c r="TL35">
        <f>IF($B35=0,1000000000,IF(INDEX('calcA'!$D$60:$EQ$99,$B35,137)*IF($W35=1,IH35+AEW35,IH35)=1,IF(AND($E35=2,IF($W35=1,AKL35,NW35)=0),1000000000,IF($V35=1,INDEX('calcA'!$D$130:$EQ$169,$B35,137)+IF(AND($E35=1,NW35=0),25,0),INDEX('calcA'!EJ$110:EJ$114,$F35+1)+IF(AND($E35=1,NW35=0),1000,0)+IF($H35=1,INDEX('calcA'!$D$180:$EQ$219,$B35,137)*500,0)-IF(AND('calcA'!EI$117=1,ZG35&gt;0),300,0)-IF(AND($U35=1,'calcA'!EJ$117=1,II35=0),300,0))),1000000000))</f>
        <v/>
      </c>
      <c r="TM35">
        <f>IF($B35=0,1000000000,IF(INDEX('calcA'!$D$60:$EQ$99,$B35,138)*IF($W35=1,II35+AEX35,II35)=1,IF(AND($E35=2,IF($W35=1,AKM35,NX35)=0),1000000000,IF($V35=1,INDEX('calcA'!$D$130:$EQ$169,$B35,138)+IF(AND($E35=1,NX35=0),25,0),INDEX('calcA'!EK$110:EK$114,$F35+1)+IF(AND($E35=1,NX35=0),1000,0)+IF($H35=1,INDEX('calcA'!$D$180:$EQ$219,$B35,138)*500,0)-IF(AND('calcA'!EJ$117=1,ZH35&gt;0),300,0)-IF(AND($U35=1,'calcA'!EK$117=1,IJ35=0),300,0))),1000000000))</f>
        <v/>
      </c>
      <c r="TN35">
        <f>IF($B35=0,1000000000,IF(INDEX('calcA'!$D$60:$EQ$99,$B35,139)*IF($W35=1,IJ35+AEY35,IJ35)=1,IF(AND($E35=2,IF($W35=1,AKN35,NY35)=0),1000000000,IF($V35=1,INDEX('calcA'!$D$130:$EQ$169,$B35,139)+IF(AND($E35=1,NY35=0),25,0),INDEX('calcA'!EL$110:EL$114,$F35+1)+IF(AND($E35=1,NY35=0),1000,0)+IF($H35=1,INDEX('calcA'!$D$180:$EQ$219,$B35,139)*500,0)-IF(AND('calcA'!EK$117=1,ZI35&gt;0),300,0)-IF(AND($U35=1,'calcA'!EL$117=1,IK35=0),300,0))),1000000000))</f>
        <v/>
      </c>
      <c r="TO35">
        <f>IF($B35=0,1000000000,IF(INDEX('calcA'!$D$60:$EQ$99,$B35,140)*IF($W35=1,IK35+AEZ35,IK35)=1,IF(AND($E35=2,IF($W35=1,AKO35,NZ35)=0),1000000000,IF($V35=1,INDEX('calcA'!$D$130:$EQ$169,$B35,140)+IF(AND($E35=1,NZ35=0),25,0),INDEX('calcA'!EM$110:EM$114,$F35+1)+IF(AND($E35=1,NZ35=0),1000,0)+IF($H35=1,INDEX('calcA'!$D$180:$EQ$219,$B35,140)*500,0)-IF(AND('calcA'!EL$117=1,ZJ35&gt;0),300,0)-IF(AND($U35=1,'calcA'!EM$117=1,IL35=0),300,0))),1000000000))</f>
        <v/>
      </c>
      <c r="TP35">
        <f>IF($B35=0,1000000000,IF(INDEX('calcA'!$D$60:$EQ$99,$B35,141)*IF($W35=1,IL35+AFA35,IL35)=1,IF(AND($E35=2,IF($W35=1,AKP35,OA35)=0),1000000000,IF($V35=1,INDEX('calcA'!$D$130:$EQ$169,$B35,141)+IF(AND($E35=1,OA35=0),25,0),INDEX('calcA'!EN$110:EN$114,$F35+1)+IF(AND($E35=1,OA35=0),1000,0)+IF($H35=1,INDEX('calcA'!$D$180:$EQ$219,$B35,141)*500,0)-IF(AND('calcA'!EM$117=1,ZK35&gt;0),300,0)-IF(AND($U35=1,'calcA'!EN$117=1,IM35=0),300,0))),1000000000))</f>
        <v/>
      </c>
      <c r="TQ35">
        <f>IF($B35=0,1000000000,IF(INDEX('calcA'!$D$60:$EQ$99,$B35,142)*IF($W35=1,IM35+AFB35,IM35)=1,IF(AND($E35=2,IF($W35=1,AKQ35,OB35)=0),1000000000,IF($V35=1,INDEX('calcA'!$D$130:$EQ$169,$B35,142)+IF(AND($E35=1,OB35=0),25,0),INDEX('calcA'!EO$110:EO$114,$F35+1)+IF(AND($E35=1,OB35=0),1000,0)+IF($H35=1,INDEX('calcA'!$D$180:$EQ$219,$B35,142)*500,0)-IF(AND('calcA'!EN$117=1,ZL35&gt;0),300,0)-IF(AND($U35=1,'calcA'!EO$117=1,IN35=0),300,0))),1000000000))</f>
        <v/>
      </c>
      <c r="TR35">
        <f>IF($B35=0,1000000000,IF(INDEX('calcA'!$D$60:$EQ$99,$B35,143)*IF($W35=1,IN35+AFC35,IN35)=1,IF(AND($E35=2,IF($W35=1,AKR35,OC35)=0),1000000000,IF($V35=1,INDEX('calcA'!$D$130:$EQ$169,$B35,143)+IF(AND($E35=1,OC35=0),25,0),INDEX('calcA'!EP$110:EP$114,$F35+1)+IF(AND($E35=1,OC35=0),1000,0)+IF($H35=1,INDEX('calcA'!$D$180:$EQ$219,$B35,143)*500,0)-IF(AND('calcA'!EO$117=1,ZM35&gt;0),300,0)-IF(AND($U35=1,'calcA'!EP$117=1,IO35=0),300,0))),1000000000))</f>
        <v/>
      </c>
      <c r="TS35">
        <f>IF($B35=0,1000000000,IF(INDEX('calcA'!$D$60:$EQ$99,$B35,144)*IF($W35=1,IO35+AFD35,IO35)=1,IF(AND($E35=2,IF($W35=1,AKS35,OD35)=0),1000000000,IF($V35=1,INDEX('calcA'!$D$130:$EQ$169,$B35,144)+IF(AND($E35=1,OD35=0),25,0),INDEX('calcA'!EQ$110:EQ$114,$F35+1)+IF(AND($E35=1,OD35=0),1000,0)+IF($H35=1,INDEX('calcA'!$D$180:$EQ$219,$B35,144)*500,0)-IF(AND('calcA'!EP$117=1,ZN35&gt;0),300,0))),1000000000))</f>
        <v/>
      </c>
      <c r="UB35">
        <f>UB34+IF(AND($C34=1,$U34=1),1,0)</f>
        <v/>
      </c>
      <c r="UC35">
        <f>UC34+IF(AND($C34=2,$U34=1),1,0)</f>
        <v/>
      </c>
      <c r="UD35">
        <f>UD34+IF(AND($C34=3,$U34=1),1,0)</f>
        <v/>
      </c>
      <c r="UE35">
        <f>UE34+IF(AND($C34=4,$U34=1),1,0)</f>
        <v/>
      </c>
      <c r="UF35">
        <f>UF34+IF(AND($C34=5,$U34=1),1,0)</f>
        <v/>
      </c>
      <c r="UG35">
        <f>UG34+IF(AND($C34=6,$U34=1),1,0)</f>
        <v/>
      </c>
      <c r="UH35">
        <f>UH34+IF(AND($C34=7,$U34=1),1,0)</f>
        <v/>
      </c>
      <c r="UI35">
        <f>UI34+IF(AND($C34=8,$U34=1),1,0)</f>
        <v/>
      </c>
      <c r="UJ35">
        <f>UJ34+IF(AND($C34=9,$U34=1),1,0)</f>
        <v/>
      </c>
      <c r="UK35">
        <f>UK34+IF(AND($C34=10,$U34=1),1,0)</f>
        <v/>
      </c>
      <c r="UL35">
        <f>UL34+IF(AND($C34=11,$U34=1),1,0)</f>
        <v/>
      </c>
      <c r="UM35">
        <f>UM34+IF(AND($C34=12,$U34=1),1,0)</f>
        <v/>
      </c>
      <c r="UN35">
        <f>UN34+IF(AND($C34=13,$U34=1),1,0)</f>
        <v/>
      </c>
      <c r="UO35">
        <f>UO34+IF(AND($C34=14,$U34=1),1,0)</f>
        <v/>
      </c>
      <c r="UP35">
        <f>UP34+IF(AND($C34=15,$U34=1),1,0)</f>
        <v/>
      </c>
      <c r="UQ35">
        <f>UQ34+IF(AND($C34=16,$U34=1),1,0)</f>
        <v/>
      </c>
      <c r="UR35">
        <f>UR34+IF(AND($C34=17,$U34=1),1,0)</f>
        <v/>
      </c>
      <c r="US35">
        <f>US34+IF(AND($C34=18,$U34=1),1,0)</f>
        <v/>
      </c>
      <c r="UT35">
        <f>UT34+IF(AND($C34=19,$U34=1),1,0)</f>
        <v/>
      </c>
      <c r="UU35">
        <f>UU34+IF(AND($C34=20,$U34=1),1,0)</f>
        <v/>
      </c>
      <c r="UV35">
        <f>UV34+IF(AND($C34=21,$U34=1),1,0)</f>
        <v/>
      </c>
      <c r="UW35">
        <f>UW34+IF(AND($C34=22,$U34=1),1,0)</f>
        <v/>
      </c>
      <c r="UX35">
        <f>UX34+IF(AND($C34=23,$U34=1),1,0)</f>
        <v/>
      </c>
      <c r="UY35">
        <f>UY34+IF(AND($C34=24,$U34=1),1,0)</f>
        <v/>
      </c>
      <c r="UZ35">
        <f>UZ34+IF(AND($C34=25,$U34=1),1,0)</f>
        <v/>
      </c>
      <c r="VA35">
        <f>VA34+IF(AND($C34=26,$U34=1),1,0)</f>
        <v/>
      </c>
      <c r="VB35">
        <f>VB34+IF(AND($C34=27,$U34=1),1,0)</f>
        <v/>
      </c>
      <c r="VC35">
        <f>VC34+IF(AND($C34=28,$U34=1),1,0)</f>
        <v/>
      </c>
      <c r="VD35">
        <f>VD34+IF(AND($C34=29,$U34=1),1,0)</f>
        <v/>
      </c>
      <c r="VE35">
        <f>VE34+IF(AND($C34=30,$U34=1),1,0)</f>
        <v/>
      </c>
      <c r="VF35">
        <f>VF34+IF(AND($C34=31,$U34=1),1,0)</f>
        <v/>
      </c>
      <c r="VG35">
        <f>VG34+IF(AND($C34=32,$U34=1),1,0)</f>
        <v/>
      </c>
      <c r="VH35">
        <f>VH34+IF(AND($C34=33,$U34=1),1,0)</f>
        <v/>
      </c>
      <c r="VI35">
        <f>VI34+IF(AND($C34=34,$U34=1),1,0)</f>
        <v/>
      </c>
      <c r="VJ35">
        <f>VJ34+IF(AND($C34=35,$U34=1),1,0)</f>
        <v/>
      </c>
      <c r="VK35">
        <f>VK34+IF(AND($C34=36,$U34=1),1,0)</f>
        <v/>
      </c>
      <c r="VL35">
        <f>VL34+IF(AND($C34=37,$U34=1),1,0)</f>
        <v/>
      </c>
      <c r="VM35">
        <f>VM34+IF(AND($C34=38,$U34=1),1,0)</f>
        <v/>
      </c>
      <c r="VN35">
        <f>VN34+IF(AND($C34=39,$U34=1),1,0)</f>
        <v/>
      </c>
      <c r="VO35">
        <f>VO34+IF(AND($C34=40,$U34=1),1,0)</f>
        <v/>
      </c>
      <c r="VP35">
        <f>VP34+IF(AND($C34=41,$U34=1),1,0)</f>
        <v/>
      </c>
      <c r="VQ35">
        <f>VQ34+IF(AND($C34=42,$U34=1),1,0)</f>
        <v/>
      </c>
      <c r="VR35">
        <f>VR34+IF(AND($C34=43,$U34=1),1,0)</f>
        <v/>
      </c>
      <c r="VS35">
        <f>VS34+IF(AND($C34=44,$U34=1),1,0)</f>
        <v/>
      </c>
      <c r="VT35">
        <f>VT34+IF(AND($C34=45,$U34=1),1,0)</f>
        <v/>
      </c>
      <c r="VU35">
        <f>VU34+IF(AND($C34=46,$U34=1),1,0)</f>
        <v/>
      </c>
      <c r="VV35">
        <f>VV34+IF(AND($C34=47,$U34=1),1,0)</f>
        <v/>
      </c>
      <c r="VW35">
        <f>VW34+IF(AND($C34=48,$U34=1),1,0)</f>
        <v/>
      </c>
      <c r="VX35">
        <f>VX34+IF(AND($C34=49,$U34=1),1,0)</f>
        <v/>
      </c>
      <c r="VY35">
        <f>VY34+IF(AND($C34=50,$U34=1),1,0)</f>
        <v/>
      </c>
      <c r="VZ35">
        <f>VZ34+IF(AND($C34=51,$U34=1),1,0)</f>
        <v/>
      </c>
      <c r="WA35">
        <f>WA34+IF(AND($C34=52,$U34=1),1,0)</f>
        <v/>
      </c>
      <c r="WB35">
        <f>WB34+IF(AND($C34=53,$U34=1),1,0)</f>
        <v/>
      </c>
      <c r="WC35">
        <f>WC34+IF(AND($C34=54,$U34=1),1,0)</f>
        <v/>
      </c>
      <c r="WD35">
        <f>WD34+IF(AND($C34=55,$U34=1),1,0)</f>
        <v/>
      </c>
      <c r="WE35">
        <f>WE34+IF(AND($C34=56,$U34=1),1,0)</f>
        <v/>
      </c>
      <c r="WF35">
        <f>WF34+IF(AND($C34=57,$U34=1),1,0)</f>
        <v/>
      </c>
      <c r="WG35">
        <f>WG34+IF(AND($C34=58,$U34=1),1,0)</f>
        <v/>
      </c>
      <c r="WH35">
        <f>WH34+IF(AND($C34=59,$U34=1),1,0)</f>
        <v/>
      </c>
      <c r="WI35">
        <f>WI34+IF(AND($C34=60,$U34=1),1,0)</f>
        <v/>
      </c>
      <c r="WJ35">
        <f>WJ34+IF(AND($C34=61,$U34=1),1,0)</f>
        <v/>
      </c>
      <c r="WK35">
        <f>WK34+IF(AND($C34=62,$U34=1),1,0)</f>
        <v/>
      </c>
      <c r="WL35">
        <f>WL34+IF(AND($C34=63,$U34=1),1,0)</f>
        <v/>
      </c>
      <c r="WM35">
        <f>WM34+IF(AND($C34=64,$U34=1),1,0)</f>
        <v/>
      </c>
      <c r="WN35">
        <f>WN34+IF(AND($C34=65,$U34=1),1,0)</f>
        <v/>
      </c>
      <c r="WO35">
        <f>WO34+IF(AND($C34=66,$U34=1),1,0)</f>
        <v/>
      </c>
      <c r="WP35">
        <f>WP34+IF(AND($C34=67,$U34=1),1,0)</f>
        <v/>
      </c>
      <c r="WQ35">
        <f>WQ34+IF(AND($C34=68,$U34=1),1,0)</f>
        <v/>
      </c>
      <c r="WR35">
        <f>WR34+IF(AND($C34=69,$U34=1),1,0)</f>
        <v/>
      </c>
      <c r="WS35">
        <f>WS34+IF(AND($C34=70,$U34=1),1,0)</f>
        <v/>
      </c>
      <c r="WT35">
        <f>WT34+IF(AND($C34=71,$U34=1),1,0)</f>
        <v/>
      </c>
      <c r="WU35">
        <f>WU34+IF(AND($C34=72,$U34=1),1,0)</f>
        <v/>
      </c>
      <c r="WV35">
        <f>WV34+IF(AND($C34=73,$U34=1),1,0)</f>
        <v/>
      </c>
      <c r="WW35">
        <f>WW34+IF(AND($C34=74,$U34=1),1,0)</f>
        <v/>
      </c>
      <c r="WX35">
        <f>WX34+IF(AND($C34=75,$U34=1),1,0)</f>
        <v/>
      </c>
      <c r="WY35">
        <f>WY34+IF(AND($C34=76,$U34=1),1,0)</f>
        <v/>
      </c>
      <c r="WZ35">
        <f>WZ34+IF(AND($C34=77,$U34=1),1,0)</f>
        <v/>
      </c>
      <c r="XA35">
        <f>XA34+IF(AND($C34=78,$U34=1),1,0)</f>
        <v/>
      </c>
      <c r="XB35">
        <f>XB34+IF(AND($C34=79,$U34=1),1,0)</f>
        <v/>
      </c>
      <c r="XC35">
        <f>XC34+IF(AND($C34=80,$U34=1),1,0)</f>
        <v/>
      </c>
      <c r="XD35">
        <f>XD34+IF(AND($C34=81,$U34=1),1,0)</f>
        <v/>
      </c>
      <c r="XE35">
        <f>XE34+IF(AND($C34=82,$U34=1),1,0)</f>
        <v/>
      </c>
      <c r="XF35">
        <f>XF34+IF(AND($C34=83,$U34=1),1,0)</f>
        <v/>
      </c>
      <c r="XG35">
        <f>XG34+IF(AND($C34=84,$U34=1),1,0)</f>
        <v/>
      </c>
      <c r="XH35">
        <f>XH34+IF(AND($C34=85,$U34=1),1,0)</f>
        <v/>
      </c>
      <c r="XI35">
        <f>XI34+IF(AND($C34=86,$U34=1),1,0)</f>
        <v/>
      </c>
      <c r="XJ35">
        <f>XJ34+IF(AND($C34=87,$U34=1),1,0)</f>
        <v/>
      </c>
      <c r="XK35">
        <f>XK34+IF(AND($C34=88,$U34=1),1,0)</f>
        <v/>
      </c>
      <c r="XL35">
        <f>XL34+IF(AND($C34=89,$U34=1),1,0)</f>
        <v/>
      </c>
      <c r="XM35">
        <f>XM34+IF(AND($C34=90,$U34=1),1,0)</f>
        <v/>
      </c>
      <c r="XN35">
        <f>XN34+IF(AND($C34=91,$U34=1),1,0)</f>
        <v/>
      </c>
      <c r="XO35">
        <f>XO34+IF(AND($C34=92,$U34=1),1,0)</f>
        <v/>
      </c>
      <c r="XP35">
        <f>XP34+IF(AND($C34=93,$U34=1),1,0)</f>
        <v/>
      </c>
      <c r="XQ35">
        <f>XQ34+IF(AND($C34=94,$U34=1),1,0)</f>
        <v/>
      </c>
      <c r="XR35">
        <f>XR34+IF(AND($C34=95,$U34=1),1,0)</f>
        <v/>
      </c>
      <c r="XS35">
        <f>XS34+IF(AND($C34=96,$U34=1),1,0)</f>
        <v/>
      </c>
      <c r="XT35">
        <f>XT34+IF(AND($C34=97,$U34=1),1,0)</f>
        <v/>
      </c>
      <c r="XU35">
        <f>XU34+IF(AND($C34=98,$U34=1),1,0)</f>
        <v/>
      </c>
      <c r="XV35">
        <f>XV34+IF(AND($C34=99,$U34=1),1,0)</f>
        <v/>
      </c>
      <c r="XW35">
        <f>XW34+IF(AND($C34=100,$U34=1),1,0)</f>
        <v/>
      </c>
      <c r="XX35">
        <f>XX34+IF(AND($C34=101,$U34=1),1,0)</f>
        <v/>
      </c>
      <c r="XY35">
        <f>XY34+IF(AND($C34=102,$U34=1),1,0)</f>
        <v/>
      </c>
      <c r="XZ35">
        <f>XZ34+IF(AND($C34=103,$U34=1),1,0)</f>
        <v/>
      </c>
      <c r="YA35">
        <f>YA34+IF(AND($C34=104,$U34=1),1,0)</f>
        <v/>
      </c>
      <c r="YB35">
        <f>YB34+IF(AND($C34=105,$U34=1),1,0)</f>
        <v/>
      </c>
      <c r="YC35">
        <f>YC34+IF(AND($C34=106,$U34=1),1,0)</f>
        <v/>
      </c>
      <c r="YD35">
        <f>YD34+IF(AND($C34=107,$U34=1),1,0)</f>
        <v/>
      </c>
      <c r="YE35">
        <f>YE34+IF(AND($C34=108,$U34=1),1,0)</f>
        <v/>
      </c>
      <c r="YF35">
        <f>YF34+IF(AND($C34=109,$U34=1),1,0)</f>
        <v/>
      </c>
      <c r="YG35">
        <f>YG34+IF(AND($C34=110,$U34=1),1,0)</f>
        <v/>
      </c>
      <c r="YH35">
        <f>YH34+IF(AND($C34=111,$U34=1),1,0)</f>
        <v/>
      </c>
      <c r="YI35">
        <f>YI34+IF(AND($C34=112,$U34=1),1,0)</f>
        <v/>
      </c>
      <c r="YJ35">
        <f>YJ34+IF(AND($C34=113,$U34=1),1,0)</f>
        <v/>
      </c>
      <c r="YK35">
        <f>YK34+IF(AND($C34=114,$U34=1),1,0)</f>
        <v/>
      </c>
      <c r="YL35">
        <f>YL34+IF(AND($C34=115,$U34=1),1,0)</f>
        <v/>
      </c>
      <c r="YM35">
        <f>YM34+IF(AND($C34=116,$U34=1),1,0)</f>
        <v/>
      </c>
      <c r="YN35">
        <f>YN34+IF(AND($C34=117,$U34=1),1,0)</f>
        <v/>
      </c>
      <c r="YO35">
        <f>YO34+IF(AND($C34=118,$U34=1),1,0)</f>
        <v/>
      </c>
      <c r="YP35">
        <f>YP34+IF(AND($C34=119,$U34=1),1,0)</f>
        <v/>
      </c>
      <c r="YQ35">
        <f>YQ34+IF(AND($C34=120,$U34=1),1,0)</f>
        <v/>
      </c>
      <c r="YR35">
        <f>YR34+IF(AND($C34=121,$U34=1),1,0)</f>
        <v/>
      </c>
      <c r="YS35">
        <f>YS34+IF(AND($C34=122,$U34=1),1,0)</f>
        <v/>
      </c>
      <c r="YT35">
        <f>YT34+IF(AND($C34=123,$U34=1),1,0)</f>
        <v/>
      </c>
      <c r="YU35">
        <f>YU34+IF(AND($C34=124,$U34=1),1,0)</f>
        <v/>
      </c>
      <c r="YV35">
        <f>YV34+IF(AND($C34=125,$U34=1),1,0)</f>
        <v/>
      </c>
      <c r="YW35">
        <f>YW34+IF(AND($C34=126,$U34=1),1,0)</f>
        <v/>
      </c>
      <c r="YX35">
        <f>YX34+IF(AND($C34=127,$U34=1),1,0)</f>
        <v/>
      </c>
      <c r="YY35">
        <f>YY34+IF(AND($C34=128,$U34=1),1,0)</f>
        <v/>
      </c>
      <c r="YZ35">
        <f>YZ34+IF(AND($C34=129,$U34=1),1,0)</f>
        <v/>
      </c>
      <c r="ZA35">
        <f>ZA34+IF(AND($C34=130,$U34=1),1,0)</f>
        <v/>
      </c>
      <c r="ZB35">
        <f>ZB34+IF(AND($C34=131,$U34=1),1,0)</f>
        <v/>
      </c>
      <c r="ZC35">
        <f>ZC34+IF(AND($C34=132,$U34=1),1,0)</f>
        <v/>
      </c>
      <c r="ZD35">
        <f>ZD34+IF(AND($C34=133,$U34=1),1,0)</f>
        <v/>
      </c>
      <c r="ZE35">
        <f>ZE34+IF(AND($C34=134,$U34=1),1,0)</f>
        <v/>
      </c>
      <c r="ZF35">
        <f>ZF34+IF(AND($C34=135,$U34=1),1,0)</f>
        <v/>
      </c>
      <c r="ZG35">
        <f>ZG34+IF(AND($C34=136,$U34=1),1,0)</f>
        <v/>
      </c>
      <c r="ZH35">
        <f>ZH34+IF(AND($C34=137,$U34=1),1,0)</f>
        <v/>
      </c>
      <c r="ZI35">
        <f>ZI34+IF(AND($C34=138,$U34=1),1,0)</f>
        <v/>
      </c>
      <c r="ZJ35">
        <f>ZJ34+IF(AND($C34=139,$U34=1),1,0)</f>
        <v/>
      </c>
      <c r="ZK35">
        <f>ZK34+IF(AND($C34=140,$U34=1),1,0)</f>
        <v/>
      </c>
      <c r="ZL35">
        <f>ZL34+IF(AND($C34=141,$U34=1),1,0)</f>
        <v/>
      </c>
      <c r="ZM35">
        <f>ZM34+IF(AND($C34=142,$U34=1),1,0)</f>
        <v/>
      </c>
      <c r="ZN35">
        <f>ZN34+IF(AND($C34=143,$U34=1),1,0)</f>
        <v/>
      </c>
      <c r="ZO35">
        <f>ZO34+IF(AND($C34=144,$U34=1),1,0)</f>
        <v/>
      </c>
      <c r="ZQ35">
        <f>IF($C34=1,0,ZQ34+IF(AND($G34=1,$E34=1),1,0))</f>
        <v/>
      </c>
      <c r="ZR35">
        <f>IF($C34=2,0,ZR34+IF(AND($G34=2,$E34=1),1,0))</f>
        <v/>
      </c>
      <c r="ZS35">
        <f>IF($C34=3,0,ZS34+IF(AND($G34=3,$E34=1),1,0))</f>
        <v/>
      </c>
      <c r="ZT35">
        <f>IF($C34=4,0,ZT34+IF(AND($G34=4,$E34=1),1,0))</f>
        <v/>
      </c>
      <c r="ZU35">
        <f>IF($C34=5,0,ZU34+IF(AND($G34=5,$E34=1),1,0))</f>
        <v/>
      </c>
      <c r="ZV35">
        <f>IF($C34=6,0,ZV34+IF(AND($G34=6,$E34=1),1,0))</f>
        <v/>
      </c>
      <c r="ZW35">
        <f>IF($C34=7,0,ZW34+IF(AND($G34=7,$E34=1),1,0))</f>
        <v/>
      </c>
      <c r="ZX35">
        <f>IF($C34=8,0,ZX34+IF(AND($G34=8,$E34=1),1,0))</f>
        <v/>
      </c>
      <c r="ZY35">
        <f>IF($C34=9,0,ZY34+IF(AND($G34=9,$E34=1),1,0))</f>
        <v/>
      </c>
      <c r="ZZ35">
        <f>IF($C34=10,0,ZZ34+IF(AND($G34=10,$E34=1),1,0))</f>
        <v/>
      </c>
      <c r="AAA35">
        <f>IF($C34=11,0,AAA34+IF(AND($G34=11,$E34=1),1,0))</f>
        <v/>
      </c>
      <c r="AAB35">
        <f>IF($C34=12,0,AAB34+IF(AND($G34=12,$E34=1),1,0))</f>
        <v/>
      </c>
      <c r="AAC35">
        <f>IF($C34=13,0,AAC34+IF(AND($G34=13,$E34=1),1,0))</f>
        <v/>
      </c>
      <c r="AAD35">
        <f>IF($C34=14,0,AAD34+IF(AND($G34=14,$E34=1),1,0))</f>
        <v/>
      </c>
      <c r="AAE35">
        <f>IF($C34=15,0,AAE34+IF(AND($G34=15,$E34=1),1,0))</f>
        <v/>
      </c>
      <c r="AAF35">
        <f>IF($C34=16,0,AAF34+IF(AND($G34=16,$E34=1),1,0))</f>
        <v/>
      </c>
      <c r="AAG35">
        <f>IF($C34=17,0,AAG34+IF(AND($G34=17,$E34=1),1,0))</f>
        <v/>
      </c>
      <c r="AAH35">
        <f>IF($C34=18,0,AAH34+IF(AND($G34=18,$E34=1),1,0))</f>
        <v/>
      </c>
      <c r="AAI35">
        <f>IF($C34=19,0,AAI34+IF(AND($G34=19,$E34=1),1,0))</f>
        <v/>
      </c>
      <c r="AAJ35">
        <f>IF($C34=20,0,AAJ34+IF(AND($G34=20,$E34=1),1,0))</f>
        <v/>
      </c>
      <c r="AAK35">
        <f>IF($C34=21,0,AAK34+IF(AND($G34=21,$E34=1),1,0))</f>
        <v/>
      </c>
      <c r="AAL35">
        <f>IF($C34=22,0,AAL34+IF(AND($G34=22,$E34=1),1,0))</f>
        <v/>
      </c>
      <c r="AAM35">
        <f>IF($C34=23,0,AAM34+IF(AND($G34=23,$E34=1),1,0))</f>
        <v/>
      </c>
      <c r="AAN35">
        <f>IF($C34=24,0,AAN34+IF(AND($G34=24,$E34=1),1,0))</f>
        <v/>
      </c>
      <c r="AAO35">
        <f>IF($C34=25,0,AAO34+IF(AND($G34=25,$E34=1),1,0))</f>
        <v/>
      </c>
      <c r="AAP35">
        <f>IF($C34=26,0,AAP34+IF(AND($G34=26,$E34=1),1,0))</f>
        <v/>
      </c>
      <c r="AAQ35">
        <f>IF($C34=27,0,AAQ34+IF(AND($G34=27,$E34=1),1,0))</f>
        <v/>
      </c>
      <c r="AAR35">
        <f>IF($C34=28,0,AAR34+IF(AND($G34=28,$E34=1),1,0))</f>
        <v/>
      </c>
      <c r="AAS35">
        <f>IF($C34=29,0,AAS34+IF(AND($G34=29,$E34=1),1,0))</f>
        <v/>
      </c>
      <c r="AAT35">
        <f>IF($C34=30,0,AAT34+IF(AND($G34=30,$E34=1),1,0))</f>
        <v/>
      </c>
      <c r="AAU35">
        <f>IF($C34=31,0,AAU34+IF(AND($G34=31,$E34=1),1,0))</f>
        <v/>
      </c>
      <c r="AAV35">
        <f>IF($C34=32,0,AAV34+IF(AND($G34=32,$E34=1),1,0))</f>
        <v/>
      </c>
      <c r="AAW35">
        <f>IF($C34=33,0,AAW34+IF(AND($G34=33,$E34=1),1,0))</f>
        <v/>
      </c>
      <c r="AAX35">
        <f>IF($C34=34,0,AAX34+IF(AND($G34=34,$E34=1),1,0))</f>
        <v/>
      </c>
      <c r="AAY35">
        <f>IF($C34=35,0,AAY34+IF(AND($G34=35,$E34=1),1,0))</f>
        <v/>
      </c>
      <c r="AAZ35">
        <f>IF($C34=36,0,AAZ34+IF(AND($G34=36,$E34=1),1,0))</f>
        <v/>
      </c>
      <c r="ABA35">
        <f>IF($C34=37,0,ABA34+IF(AND($G34=37,$E34=1),1,0))</f>
        <v/>
      </c>
      <c r="ABB35">
        <f>IF($C34=38,0,ABB34+IF(AND($G34=38,$E34=1),1,0))</f>
        <v/>
      </c>
      <c r="ABC35">
        <f>IF($C34=39,0,ABC34+IF(AND($G34=39,$E34=1),1,0))</f>
        <v/>
      </c>
      <c r="ABD35">
        <f>IF($C34=40,0,ABD34+IF(AND($G34=40,$E34=1),1,0))</f>
        <v/>
      </c>
      <c r="ABE35">
        <f>IF($C34=41,0,ABE34+IF(AND($G34=41,$E34=1),1,0))</f>
        <v/>
      </c>
      <c r="ABF35">
        <f>IF($C34=42,0,ABF34+IF(AND($G34=42,$E34=1),1,0))</f>
        <v/>
      </c>
      <c r="ABG35">
        <f>IF($C34=43,0,ABG34+IF(AND($G34=43,$E34=1),1,0))</f>
        <v/>
      </c>
      <c r="ABH35">
        <f>IF($C34=44,0,ABH34+IF(AND($G34=44,$E34=1),1,0))</f>
        <v/>
      </c>
      <c r="ABI35">
        <f>IF($C34=45,0,ABI34+IF(AND($G34=45,$E34=1),1,0))</f>
        <v/>
      </c>
      <c r="ABJ35">
        <f>IF($C34=46,0,ABJ34+IF(AND($G34=46,$E34=1),1,0))</f>
        <v/>
      </c>
      <c r="ABK35">
        <f>IF($C34=47,0,ABK34+IF(AND($G34=47,$E34=1),1,0))</f>
        <v/>
      </c>
      <c r="ABL35">
        <f>IF($C34=48,0,ABL34+IF(AND($G34=48,$E34=1),1,0))</f>
        <v/>
      </c>
      <c r="ABM35">
        <f>IF($C34=49,0,ABM34+IF(AND($G34=49,$E34=1),1,0))</f>
        <v/>
      </c>
      <c r="ABN35">
        <f>IF($C34=50,0,ABN34+IF(AND($G34=50,$E34=1),1,0))</f>
        <v/>
      </c>
      <c r="ABO35">
        <f>IF($C34=51,0,ABO34+IF(AND($G34=51,$E34=1),1,0))</f>
        <v/>
      </c>
      <c r="ABP35">
        <f>IF($C34=52,0,ABP34+IF(AND($G34=52,$E34=1),1,0))</f>
        <v/>
      </c>
      <c r="ABQ35">
        <f>IF($C34=53,0,ABQ34+IF(AND($G34=53,$E34=1),1,0))</f>
        <v/>
      </c>
      <c r="ABR35">
        <f>IF($C34=54,0,ABR34+IF(AND($G34=54,$E34=1),1,0))</f>
        <v/>
      </c>
      <c r="ABS35">
        <f>IF($C34=55,0,ABS34+IF(AND($G34=55,$E34=1),1,0))</f>
        <v/>
      </c>
      <c r="ABT35">
        <f>IF($C34=56,0,ABT34+IF(AND($G34=56,$E34=1),1,0))</f>
        <v/>
      </c>
      <c r="ABU35">
        <f>IF($C34=57,0,ABU34+IF(AND($G34=57,$E34=1),1,0))</f>
        <v/>
      </c>
      <c r="ABV35">
        <f>IF($C34=58,0,ABV34+IF(AND($G34=58,$E34=1),1,0))</f>
        <v/>
      </c>
      <c r="ABW35">
        <f>IF($C34=59,0,ABW34+IF(AND($G34=59,$E34=1),1,0))</f>
        <v/>
      </c>
      <c r="ABX35">
        <f>IF($C34=60,0,ABX34+IF(AND($G34=60,$E34=1),1,0))</f>
        <v/>
      </c>
      <c r="ABY35">
        <f>IF($C34=61,0,ABY34+IF(AND($G34=61,$E34=1),1,0))</f>
        <v/>
      </c>
      <c r="ABZ35">
        <f>IF($C34=62,0,ABZ34+IF(AND($G34=62,$E34=1),1,0))</f>
        <v/>
      </c>
      <c r="ACA35">
        <f>IF($C34=63,0,ACA34+IF(AND($G34=63,$E34=1),1,0))</f>
        <v/>
      </c>
      <c r="ACB35">
        <f>IF($C34=64,0,ACB34+IF(AND($G34=64,$E34=1),1,0))</f>
        <v/>
      </c>
      <c r="ACC35">
        <f>IF($C34=65,0,ACC34+IF(AND($G34=65,$E34=1),1,0))</f>
        <v/>
      </c>
      <c r="ACD35">
        <f>IF($C34=66,0,ACD34+IF(AND($G34=66,$E34=1),1,0))</f>
        <v/>
      </c>
      <c r="ACE35">
        <f>IF($C34=67,0,ACE34+IF(AND($G34=67,$E34=1),1,0))</f>
        <v/>
      </c>
      <c r="ACF35">
        <f>IF($C34=68,0,ACF34+IF(AND($G34=68,$E34=1),1,0))</f>
        <v/>
      </c>
      <c r="ACG35">
        <f>IF($C34=69,0,ACG34+IF(AND($G34=69,$E34=1),1,0))</f>
        <v/>
      </c>
      <c r="ACH35">
        <f>IF($C34=70,0,ACH34+IF(AND($G34=70,$E34=1),1,0))</f>
        <v/>
      </c>
      <c r="ACI35">
        <f>IF($C34=71,0,ACI34+IF(AND($G34=71,$E34=1),1,0))</f>
        <v/>
      </c>
      <c r="ACJ35">
        <f>IF($C34=72,0,ACJ34+IF(AND($G34=72,$E34=1),1,0))</f>
        <v/>
      </c>
      <c r="ACK35">
        <f>IF($C34=73,0,ACK34+IF(AND($G34=73,$E34=1),1,0))</f>
        <v/>
      </c>
      <c r="ACL35">
        <f>IF($C34=74,0,ACL34+IF(AND($G34=74,$E34=1),1,0))</f>
        <v/>
      </c>
      <c r="ACM35">
        <f>IF($C34=75,0,ACM34+IF(AND($G34=75,$E34=1),1,0))</f>
        <v/>
      </c>
      <c r="ACN35">
        <f>IF($C34=76,0,ACN34+IF(AND($G34=76,$E34=1),1,0))</f>
        <v/>
      </c>
      <c r="ACO35">
        <f>IF($C34=77,0,ACO34+IF(AND($G34=77,$E34=1),1,0))</f>
        <v/>
      </c>
      <c r="ACP35">
        <f>IF($C34=78,0,ACP34+IF(AND($G34=78,$E34=1),1,0))</f>
        <v/>
      </c>
      <c r="ACQ35">
        <f>IF($C34=79,0,ACQ34+IF(AND($G34=79,$E34=1),1,0))</f>
        <v/>
      </c>
      <c r="ACR35">
        <f>IF($C34=80,0,ACR34+IF(AND($G34=80,$E34=1),1,0))</f>
        <v/>
      </c>
      <c r="ACS35">
        <f>IF($C34=81,0,ACS34+IF(AND($G34=81,$E34=1),1,0))</f>
        <v/>
      </c>
      <c r="ACT35">
        <f>IF($C34=82,0,ACT34+IF(AND($G34=82,$E34=1),1,0))</f>
        <v/>
      </c>
      <c r="ACU35">
        <f>IF($C34=83,0,ACU34+IF(AND($G34=83,$E34=1),1,0))</f>
        <v/>
      </c>
      <c r="ACV35">
        <f>IF($C34=84,0,ACV34+IF(AND($G34=84,$E34=1),1,0))</f>
        <v/>
      </c>
      <c r="ACW35">
        <f>IF($C34=85,0,ACW34+IF(AND($G34=85,$E34=1),1,0))</f>
        <v/>
      </c>
      <c r="ACX35">
        <f>IF($C34=86,0,ACX34+IF(AND($G34=86,$E34=1),1,0))</f>
        <v/>
      </c>
      <c r="ACY35">
        <f>IF($C34=87,0,ACY34+IF(AND($G34=87,$E34=1),1,0))</f>
        <v/>
      </c>
      <c r="ACZ35">
        <f>IF($C34=88,0,ACZ34+IF(AND($G34=88,$E34=1),1,0))</f>
        <v/>
      </c>
      <c r="ADA35">
        <f>IF($C34=89,0,ADA34+IF(AND($G34=89,$E34=1),1,0))</f>
        <v/>
      </c>
      <c r="ADB35">
        <f>IF($C34=90,0,ADB34+IF(AND($G34=90,$E34=1),1,0))</f>
        <v/>
      </c>
      <c r="ADC35">
        <f>IF($C34=91,0,ADC34+IF(AND($G34=91,$E34=1),1,0))</f>
        <v/>
      </c>
      <c r="ADD35">
        <f>IF($C34=92,0,ADD34+IF(AND($G34=92,$E34=1),1,0))</f>
        <v/>
      </c>
      <c r="ADE35">
        <f>IF($C34=93,0,ADE34+IF(AND($G34=93,$E34=1),1,0))</f>
        <v/>
      </c>
      <c r="ADF35">
        <f>IF($C34=94,0,ADF34+IF(AND($G34=94,$E34=1),1,0))</f>
        <v/>
      </c>
      <c r="ADG35">
        <f>IF($C34=95,0,ADG34+IF(AND($G34=95,$E34=1),1,0))</f>
        <v/>
      </c>
      <c r="ADH35">
        <f>IF($C34=96,0,ADH34+IF(AND($G34=96,$E34=1),1,0))</f>
        <v/>
      </c>
      <c r="ADI35">
        <f>IF($C34=97,0,ADI34+IF(AND($G34=97,$E34=1),1,0))</f>
        <v/>
      </c>
      <c r="ADJ35">
        <f>IF($C34=98,0,ADJ34+IF(AND($G34=98,$E34=1),1,0))</f>
        <v/>
      </c>
      <c r="ADK35">
        <f>IF($C34=99,0,ADK34+IF(AND($G34=99,$E34=1),1,0))</f>
        <v/>
      </c>
      <c r="ADL35">
        <f>IF($C34=100,0,ADL34+IF(AND($G34=100,$E34=1),1,0))</f>
        <v/>
      </c>
      <c r="ADM35">
        <f>IF($C34=101,0,ADM34+IF(AND($G34=101,$E34=1),1,0))</f>
        <v/>
      </c>
      <c r="ADN35">
        <f>IF($C34=102,0,ADN34+IF(AND($G34=102,$E34=1),1,0))</f>
        <v/>
      </c>
      <c r="ADO35">
        <f>IF($C34=103,0,ADO34+IF(AND($G34=103,$E34=1),1,0))</f>
        <v/>
      </c>
      <c r="ADP35">
        <f>IF($C34=104,0,ADP34+IF(AND($G34=104,$E34=1),1,0))</f>
        <v/>
      </c>
      <c r="ADQ35">
        <f>IF($C34=105,0,ADQ34+IF(AND($G34=105,$E34=1),1,0))</f>
        <v/>
      </c>
      <c r="ADR35">
        <f>IF($C34=106,0,ADR34+IF(AND($G34=106,$E34=1),1,0))</f>
        <v/>
      </c>
      <c r="ADS35">
        <f>IF($C34=107,0,ADS34+IF(AND($G34=107,$E34=1),1,0))</f>
        <v/>
      </c>
      <c r="ADT35">
        <f>IF($C34=108,0,ADT34+IF(AND($G34=108,$E34=1),1,0))</f>
        <v/>
      </c>
      <c r="ADU35">
        <f>IF($C34=109,0,ADU34+IF(AND($G34=109,$E34=1),1,0))</f>
        <v/>
      </c>
      <c r="ADV35">
        <f>IF($C34=110,0,ADV34+IF(AND($G34=110,$E34=1),1,0))</f>
        <v/>
      </c>
      <c r="ADW35">
        <f>IF($C34=111,0,ADW34+IF(AND($G34=111,$E34=1),1,0))</f>
        <v/>
      </c>
      <c r="ADX35">
        <f>IF($C34=112,0,ADX34+IF(AND($G34=112,$E34=1),1,0))</f>
        <v/>
      </c>
      <c r="ADY35">
        <f>IF($C34=113,0,ADY34+IF(AND($G34=113,$E34=1),1,0))</f>
        <v/>
      </c>
      <c r="ADZ35">
        <f>IF($C34=114,0,ADZ34+IF(AND($G34=114,$E34=1),1,0))</f>
        <v/>
      </c>
      <c r="AEA35">
        <f>IF($C34=115,0,AEA34+IF(AND($G34=115,$E34=1),1,0))</f>
        <v/>
      </c>
      <c r="AEB35">
        <f>IF($C34=116,0,AEB34+IF(AND($G34=116,$E34=1),1,0))</f>
        <v/>
      </c>
      <c r="AEC35">
        <f>IF($C34=117,0,AEC34+IF(AND($G34=117,$E34=1),1,0))</f>
        <v/>
      </c>
      <c r="AED35">
        <f>IF($C34=118,0,AED34+IF(AND($G34=118,$E34=1),1,0))</f>
        <v/>
      </c>
      <c r="AEE35">
        <f>IF($C34=119,0,AEE34+IF(AND($G34=119,$E34=1),1,0))</f>
        <v/>
      </c>
      <c r="AEF35">
        <f>IF($C34=120,0,AEF34+IF(AND($G34=120,$E34=1),1,0))</f>
        <v/>
      </c>
      <c r="AEG35">
        <f>IF($C34=121,0,AEG34+IF(AND($G34=121,$E34=1),1,0))</f>
        <v/>
      </c>
      <c r="AEH35">
        <f>IF($C34=122,0,AEH34+IF(AND($G34=122,$E34=1),1,0))</f>
        <v/>
      </c>
      <c r="AEI35">
        <f>IF($C34=123,0,AEI34+IF(AND($G34=123,$E34=1),1,0))</f>
        <v/>
      </c>
      <c r="AEJ35">
        <f>IF($C34=124,0,AEJ34+IF(AND($G34=124,$E34=1),1,0))</f>
        <v/>
      </c>
      <c r="AEK35">
        <f>IF($C34=125,0,AEK34+IF(AND($G34=125,$E34=1),1,0))</f>
        <v/>
      </c>
      <c r="AEL35">
        <f>IF($C34=126,0,AEL34+IF(AND($G34=126,$E34=1),1,0))</f>
        <v/>
      </c>
      <c r="AEM35">
        <f>IF($C34=127,0,AEM34+IF(AND($G34=127,$E34=1),1,0))</f>
        <v/>
      </c>
      <c r="AEN35">
        <f>IF($C34=128,0,AEN34+IF(AND($G34=128,$E34=1),1,0))</f>
        <v/>
      </c>
      <c r="AEO35">
        <f>IF($C34=129,0,AEO34+IF(AND($G34=129,$E34=1),1,0))</f>
        <v/>
      </c>
      <c r="AEP35">
        <f>IF($C34=130,0,AEP34+IF(AND($G34=130,$E34=1),1,0))</f>
        <v/>
      </c>
      <c r="AEQ35">
        <f>IF($C34=131,0,AEQ34+IF(AND($G34=131,$E34=1),1,0))</f>
        <v/>
      </c>
      <c r="AER35">
        <f>IF($C34=132,0,AER34+IF(AND($G34=132,$E34=1),1,0))</f>
        <v/>
      </c>
      <c r="AES35">
        <f>IF($C34=133,0,AES34+IF(AND($G34=133,$E34=1),1,0))</f>
        <v/>
      </c>
      <c r="AET35">
        <f>IF($C34=134,0,AET34+IF(AND($G34=134,$E34=1),1,0))</f>
        <v/>
      </c>
      <c r="AEU35">
        <f>IF($C34=135,0,AEU34+IF(AND($G34=135,$E34=1),1,0))</f>
        <v/>
      </c>
      <c r="AEV35">
        <f>IF($C34=136,0,AEV34+IF(AND($G34=136,$E34=1),1,0))</f>
        <v/>
      </c>
      <c r="AEW35">
        <f>IF($C34=137,0,AEW34+IF(AND($G34=137,$E34=1),1,0))</f>
        <v/>
      </c>
      <c r="AEX35">
        <f>IF($C34=138,0,AEX34+IF(AND($G34=138,$E34=1),1,0))</f>
        <v/>
      </c>
      <c r="AEY35">
        <f>IF($C34=139,0,AEY34+IF(AND($G34=139,$E34=1),1,0))</f>
        <v/>
      </c>
      <c r="AEZ35">
        <f>IF($C34=140,0,AEZ34+IF(AND($G34=140,$E34=1),1,0))</f>
        <v/>
      </c>
      <c r="AFA35">
        <f>IF($C34=141,0,AFA34+IF(AND($G34=141,$E34=1),1,0))</f>
        <v/>
      </c>
      <c r="AFB35">
        <f>IF($C34=142,0,AFB34+IF(AND($G34=142,$E34=1),1,0))</f>
        <v/>
      </c>
      <c r="AFC35">
        <f>IF($C34=143,0,AFC34+IF(AND($G34=143,$E34=1),1,0))</f>
        <v/>
      </c>
      <c r="AFD35">
        <f>IF($C34=144,0,AFD34+IF(AND($G34=144,$E34=1),1,0))</f>
        <v/>
      </c>
      <c r="AFF35">
        <f>IF('calcA'!D$106=1,DC35+ZR35,1)</f>
        <v/>
      </c>
      <c r="AFG35">
        <f>IF('calcA'!E$106=1,DD35+ZS35,1)</f>
        <v/>
      </c>
      <c r="AFH35">
        <f>IF('calcA'!F$106=1,DE35+ZT35,1)</f>
        <v/>
      </c>
      <c r="AFI35">
        <f>IF('calcA'!G$106=1,DF35+ZU35,1)</f>
        <v/>
      </c>
      <c r="AFJ35">
        <f>IF('calcA'!H$106=1,DG35+ZV35,1)</f>
        <v/>
      </c>
      <c r="AFK35">
        <f>IF('calcA'!I$106=1,DH35+ZW35,1)</f>
        <v/>
      </c>
      <c r="AFL35">
        <f>IF('calcA'!J$106=1,DI35+ZX35,1)</f>
        <v/>
      </c>
      <c r="AFM35">
        <f>IF('calcA'!K$106=1,DJ35+ZY35,1)</f>
        <v/>
      </c>
      <c r="AFN35">
        <f>IF('calcA'!L$106=1,DK35+ZZ35,1)</f>
        <v/>
      </c>
      <c r="AFO35">
        <f>IF('calcA'!M$106=1,DL35+AAA35,1)</f>
        <v/>
      </c>
      <c r="AFP35">
        <f>IF('calcA'!N$106=1,DM35+AAB35,1)</f>
        <v/>
      </c>
      <c r="AFQ35">
        <f>IF('calcA'!O$106=1,DN35+AAC35,1)</f>
        <v/>
      </c>
      <c r="AFR35">
        <f>IF('calcA'!P$106=1,DO35+AAD35,1)</f>
        <v/>
      </c>
      <c r="AFS35">
        <f>IF('calcA'!Q$106=1,DP35+AAE35,1)</f>
        <v/>
      </c>
      <c r="AFT35">
        <f>IF('calcA'!R$106=1,DQ35+AAF35,1)</f>
        <v/>
      </c>
      <c r="AFU35">
        <f>IF('calcA'!S$106=1,DR35+AAG35,1)</f>
        <v/>
      </c>
      <c r="AFV35">
        <f>IF('calcA'!T$106=1,DS35+AAH35,1)</f>
        <v/>
      </c>
      <c r="AFW35">
        <f>IF('calcA'!U$106=1,DT35+AAI35,1)</f>
        <v/>
      </c>
      <c r="AFX35">
        <f>IF('calcA'!V$106=1,DU35+AAJ35,1)</f>
        <v/>
      </c>
      <c r="AFY35">
        <f>IF('calcA'!W$106=1,DV35+AAK35,1)</f>
        <v/>
      </c>
      <c r="AFZ35">
        <f>IF('calcA'!X$106=1,DW35+AAL35,1)</f>
        <v/>
      </c>
      <c r="AGA35">
        <f>IF('calcA'!Y$106=1,DX35+AAM35,1)</f>
        <v/>
      </c>
      <c r="AGB35">
        <f>IF('calcA'!Z$106=1,DY35+AAN35,1)</f>
        <v/>
      </c>
      <c r="AGC35">
        <f>IF('calcA'!AA$106=1,DZ35+AAO35,1)</f>
        <v/>
      </c>
      <c r="AGD35">
        <f>IF('calcA'!AB$106=1,EA35+AAP35,1)</f>
        <v/>
      </c>
      <c r="AGE35">
        <f>IF('calcA'!AC$106=1,EB35+AAQ35,1)</f>
        <v/>
      </c>
      <c r="AGF35">
        <f>IF('calcA'!AD$106=1,EC35+AAR35,1)</f>
        <v/>
      </c>
      <c r="AGG35">
        <f>IF('calcA'!AE$106=1,ED35+AAS35,1)</f>
        <v/>
      </c>
      <c r="AGH35">
        <f>IF('calcA'!AF$106=1,EE35+AAT35,1)</f>
        <v/>
      </c>
      <c r="AGI35">
        <f>IF('calcA'!AG$106=1,EF35+AAU35,1)</f>
        <v/>
      </c>
      <c r="AGJ35">
        <f>IF('calcA'!AH$106=1,EG35+AAV35,1)</f>
        <v/>
      </c>
      <c r="AGK35">
        <f>IF('calcA'!AI$106=1,EH35+AAW35,1)</f>
        <v/>
      </c>
      <c r="AGL35">
        <f>IF('calcA'!AJ$106=1,EI35+AAX35,1)</f>
        <v/>
      </c>
      <c r="AGM35">
        <f>IF('calcA'!AK$106=1,EJ35+AAY35,1)</f>
        <v/>
      </c>
      <c r="AGN35">
        <f>IF('calcA'!AL$106=1,EK35+AAZ35,1)</f>
        <v/>
      </c>
      <c r="AGO35">
        <f>IF('calcA'!AM$106=1,EL35+ABA35,1)</f>
        <v/>
      </c>
      <c r="AGP35">
        <f>IF('calcA'!AN$106=1,EM35+ABB35,1)</f>
        <v/>
      </c>
      <c r="AGQ35">
        <f>IF('calcA'!AO$106=1,EN35+ABC35,1)</f>
        <v/>
      </c>
      <c r="AGR35">
        <f>IF('calcA'!AP$106=1,EO35+ABD35,1)</f>
        <v/>
      </c>
      <c r="AGS35">
        <f>IF('calcA'!AQ$106=1,EP35+ABE35,1)</f>
        <v/>
      </c>
      <c r="AGT35">
        <f>IF('calcA'!AR$106=1,EQ35+ABF35,1)</f>
        <v/>
      </c>
      <c r="AGU35">
        <f>IF('calcA'!AS$106=1,ER35+ABG35,1)</f>
        <v/>
      </c>
      <c r="AGV35">
        <f>IF('calcA'!AT$106=1,ES35+ABH35,1)</f>
        <v/>
      </c>
      <c r="AGW35">
        <f>IF('calcA'!AU$106=1,ET35+ABI35,1)</f>
        <v/>
      </c>
      <c r="AGX35">
        <f>IF('calcA'!AV$106=1,EU35+ABJ35,1)</f>
        <v/>
      </c>
      <c r="AGY35">
        <f>IF('calcA'!AW$106=1,EV35+ABK35,1)</f>
        <v/>
      </c>
      <c r="AGZ35">
        <f>IF('calcA'!AX$106=1,EW35+ABL35,1)</f>
        <v/>
      </c>
      <c r="AHA35">
        <f>IF('calcA'!AY$106=1,EX35+ABM35,1)</f>
        <v/>
      </c>
      <c r="AHB35">
        <f>IF('calcA'!AZ$106=1,EY35+ABN35,1)</f>
        <v/>
      </c>
      <c r="AHC35">
        <f>IF('calcA'!BA$106=1,EZ35+ABO35,1)</f>
        <v/>
      </c>
      <c r="AHD35">
        <f>IF('calcA'!BB$106=1,FA35+ABP35,1)</f>
        <v/>
      </c>
      <c r="AHE35">
        <f>IF('calcA'!BC$106=1,FB35+ABQ35,1)</f>
        <v/>
      </c>
      <c r="AHF35">
        <f>IF('calcA'!BD$106=1,FC35+ABR35,1)</f>
        <v/>
      </c>
      <c r="AHG35">
        <f>IF('calcA'!BE$106=1,FD35+ABS35,1)</f>
        <v/>
      </c>
      <c r="AHH35">
        <f>IF('calcA'!BF$106=1,FE35+ABT35,1)</f>
        <v/>
      </c>
      <c r="AHI35">
        <f>IF('calcA'!BG$106=1,FF35+ABU35,1)</f>
        <v/>
      </c>
      <c r="AHJ35">
        <f>IF('calcA'!BH$106=1,FG35+ABV35,1)</f>
        <v/>
      </c>
      <c r="AHK35">
        <f>IF('calcA'!BI$106=1,FH35+ABW35,1)</f>
        <v/>
      </c>
      <c r="AHL35">
        <f>IF('calcA'!BJ$106=1,FI35+ABX35,1)</f>
        <v/>
      </c>
      <c r="AHM35">
        <f>IF('calcA'!BK$106=1,FJ35+ABY35,1)</f>
        <v/>
      </c>
      <c r="AHN35">
        <f>IF('calcA'!BL$106=1,FK35+ABZ35,1)</f>
        <v/>
      </c>
      <c r="AHO35">
        <f>IF('calcA'!BM$106=1,FL35+ACA35,1)</f>
        <v/>
      </c>
      <c r="AHP35">
        <f>IF('calcA'!BN$106=1,FM35+ACB35,1)</f>
        <v/>
      </c>
      <c r="AHQ35">
        <f>IF('calcA'!BO$106=1,FN35+ACC35,1)</f>
        <v/>
      </c>
      <c r="AHR35">
        <f>IF('calcA'!BP$106=1,FO35+ACD35,1)</f>
        <v/>
      </c>
      <c r="AHS35">
        <f>IF('calcA'!BQ$106=1,FP35+ACE35,1)</f>
        <v/>
      </c>
      <c r="AHT35">
        <f>IF('calcA'!BR$106=1,FQ35+ACF35,1)</f>
        <v/>
      </c>
      <c r="AHU35">
        <f>IF('calcA'!BS$106=1,FR35+ACG35,1)</f>
        <v/>
      </c>
      <c r="AHV35">
        <f>IF('calcA'!BT$106=1,FS35+ACH35,1)</f>
        <v/>
      </c>
      <c r="AHW35">
        <f>IF('calcA'!BU$106=1,FT35+ACI35,1)</f>
        <v/>
      </c>
      <c r="AHX35">
        <f>IF('calcA'!BV$106=1,FU35+ACJ35,1)</f>
        <v/>
      </c>
      <c r="AHY35">
        <f>IF('calcA'!BW$106=1,FV35+ACK35,1)</f>
        <v/>
      </c>
      <c r="AHZ35">
        <f>IF('calcA'!BX$106=1,FW35+ACL35,1)</f>
        <v/>
      </c>
      <c r="AIA35">
        <f>IF('calcA'!BY$106=1,FX35+ACM35,1)</f>
        <v/>
      </c>
      <c r="AIB35">
        <f>IF('calcA'!BZ$106=1,FY35+ACN35,1)</f>
        <v/>
      </c>
      <c r="AIC35">
        <f>IF('calcA'!CA$106=1,FZ35+ACO35,1)</f>
        <v/>
      </c>
      <c r="AID35">
        <f>IF('calcA'!CB$106=1,GA35+ACP35,1)</f>
        <v/>
      </c>
      <c r="AIE35">
        <f>IF('calcA'!CC$106=1,GB35+ACQ35,1)</f>
        <v/>
      </c>
      <c r="AIF35">
        <f>IF('calcA'!CD$106=1,GC35+ACR35,1)</f>
        <v/>
      </c>
      <c r="AIG35">
        <f>IF('calcA'!CE$106=1,GD35+ACS35,1)</f>
        <v/>
      </c>
      <c r="AIH35">
        <f>IF('calcA'!CF$106=1,GE35+ACT35,1)</f>
        <v/>
      </c>
      <c r="AII35">
        <f>IF('calcA'!CG$106=1,GF35+ACU35,1)</f>
        <v/>
      </c>
      <c r="AIJ35">
        <f>IF('calcA'!CH$106=1,GG35+ACV35,1)</f>
        <v/>
      </c>
      <c r="AIK35">
        <f>IF('calcA'!CI$106=1,GH35+ACW35,1)</f>
        <v/>
      </c>
      <c r="AIL35">
        <f>IF('calcA'!CJ$106=1,GI35+ACX35,1)</f>
        <v/>
      </c>
      <c r="AIM35">
        <f>IF('calcA'!CK$106=1,GJ35+ACY35,1)</f>
        <v/>
      </c>
      <c r="AIN35">
        <f>IF('calcA'!CL$106=1,GK35+ACZ35,1)</f>
        <v/>
      </c>
      <c r="AIO35">
        <f>IF('calcA'!CM$106=1,GL35+ADA35,1)</f>
        <v/>
      </c>
      <c r="AIP35">
        <f>IF('calcA'!CN$106=1,GM35+ADB35,1)</f>
        <v/>
      </c>
      <c r="AIQ35">
        <f>IF('calcA'!CO$106=1,GN35+ADC35,1)</f>
        <v/>
      </c>
      <c r="AIR35">
        <f>IF('calcA'!CP$106=1,GO35+ADD35,1)</f>
        <v/>
      </c>
      <c r="AIS35">
        <f>IF('calcA'!CQ$106=1,GP35+ADE35,1)</f>
        <v/>
      </c>
      <c r="AIT35">
        <f>IF('calcA'!CR$106=1,GQ35+ADF35,1)</f>
        <v/>
      </c>
      <c r="AIU35">
        <f>IF('calcA'!CS$106=1,GR35+ADG35,1)</f>
        <v/>
      </c>
      <c r="AIV35">
        <f>IF('calcA'!CT$106=1,GS35+ADH35,1)</f>
        <v/>
      </c>
      <c r="AIW35">
        <f>IF('calcA'!CU$106=1,GT35+ADI35,1)</f>
        <v/>
      </c>
      <c r="AIX35">
        <f>IF('calcA'!CV$106=1,GU35+ADJ35,1)</f>
        <v/>
      </c>
      <c r="AIY35">
        <f>IF('calcA'!CW$106=1,GV35+ADK35,1)</f>
        <v/>
      </c>
      <c r="AIZ35">
        <f>IF('calcA'!CX$106=1,GW35+ADL35,1)</f>
        <v/>
      </c>
      <c r="AJA35">
        <f>IF('calcA'!CY$106=1,GX35+ADM35,1)</f>
        <v/>
      </c>
      <c r="AJB35">
        <f>IF('calcA'!CZ$106=1,GY35+ADN35,1)</f>
        <v/>
      </c>
      <c r="AJC35">
        <f>IF('calcA'!DA$106=1,GZ35+ADO35,1)</f>
        <v/>
      </c>
      <c r="AJD35">
        <f>IF('calcA'!DB$106=1,HA35+ADP35,1)</f>
        <v/>
      </c>
      <c r="AJE35">
        <f>IF('calcA'!DC$106=1,HB35+ADQ35,1)</f>
        <v/>
      </c>
      <c r="AJF35">
        <f>IF('calcA'!DD$106=1,HC35+ADR35,1)</f>
        <v/>
      </c>
      <c r="AJG35">
        <f>IF('calcA'!DE$106=1,HD35+ADS35,1)</f>
        <v/>
      </c>
      <c r="AJH35">
        <f>IF('calcA'!DF$106=1,HE35+ADT35,1)</f>
        <v/>
      </c>
      <c r="AJI35">
        <f>IF('calcA'!DG$106=1,HF35+ADU35,1)</f>
        <v/>
      </c>
      <c r="AJJ35">
        <f>IF('calcA'!DH$106=1,HG35+ADV35,1)</f>
        <v/>
      </c>
      <c r="AJK35">
        <f>IF('calcA'!DI$106=1,HH35+ADW35,1)</f>
        <v/>
      </c>
      <c r="AJL35">
        <f>IF('calcA'!DJ$106=1,HI35+ADX35,1)</f>
        <v/>
      </c>
      <c r="AJM35">
        <f>IF('calcA'!DK$106=1,HJ35+ADY35,1)</f>
        <v/>
      </c>
      <c r="AJN35">
        <f>IF('calcA'!DL$106=1,HK35+ADZ35,1)</f>
        <v/>
      </c>
      <c r="AJO35">
        <f>IF('calcA'!DM$106=1,HL35+AEA35,1)</f>
        <v/>
      </c>
      <c r="AJP35">
        <f>IF('calcA'!DN$106=1,HM35+AEB35,1)</f>
        <v/>
      </c>
      <c r="AJQ35">
        <f>IF('calcA'!DO$106=1,HN35+AEC35,1)</f>
        <v/>
      </c>
      <c r="AJR35">
        <f>IF('calcA'!DP$106=1,HO35+AED35,1)</f>
        <v/>
      </c>
      <c r="AJS35">
        <f>IF('calcA'!DQ$106=1,HP35+AEE35,1)</f>
        <v/>
      </c>
      <c r="AJT35">
        <f>IF('calcA'!DR$106=1,HQ35+AEF35,1)</f>
        <v/>
      </c>
      <c r="AJU35">
        <f>IF('calcA'!DS$106=1,HR35+AEG35,1)</f>
        <v/>
      </c>
      <c r="AJV35">
        <f>IF('calcA'!DT$106=1,HS35+AEH35,1)</f>
        <v/>
      </c>
      <c r="AJW35">
        <f>IF('calcA'!DU$106=1,HT35+AEI35,1)</f>
        <v/>
      </c>
      <c r="AJX35">
        <f>IF('calcA'!DV$106=1,HU35+AEJ35,1)</f>
        <v/>
      </c>
      <c r="AJY35">
        <f>IF('calcA'!DW$106=1,HV35+AEK35,1)</f>
        <v/>
      </c>
      <c r="AJZ35">
        <f>IF('calcA'!DX$106=1,HW35+AEL35,1)</f>
        <v/>
      </c>
      <c r="AKA35">
        <f>IF('calcA'!DY$106=1,HX35+AEM35,1)</f>
        <v/>
      </c>
      <c r="AKB35">
        <f>IF('calcA'!DZ$106=1,HY35+AEN35,1)</f>
        <v/>
      </c>
      <c r="AKC35">
        <f>IF('calcA'!EA$106=1,HZ35+AEO35,1)</f>
        <v/>
      </c>
      <c r="AKD35">
        <f>IF('calcA'!EB$106=1,IA35+AEP35,1)</f>
        <v/>
      </c>
      <c r="AKE35">
        <f>IF('calcA'!EC$106=1,IB35+AEQ35,1)</f>
        <v/>
      </c>
      <c r="AKF35">
        <f>IF('calcA'!ED$106=1,IC35+AER35,1)</f>
        <v/>
      </c>
      <c r="AKG35">
        <f>IF('calcA'!EE$106=1,ID35+AES35,1)</f>
        <v/>
      </c>
      <c r="AKH35">
        <f>IF('calcA'!EF$106=1,IE35+AET35,1)</f>
        <v/>
      </c>
      <c r="AKI35">
        <f>IF('calcA'!EG$106=1,IF35+AEU35,1)</f>
        <v/>
      </c>
      <c r="AKJ35">
        <f>IF('calcA'!EH$106=1,IG35+AEV35,1)</f>
        <v/>
      </c>
      <c r="AKK35">
        <f>IF('calcA'!EI$106=1,IH35+AEW35,1)</f>
        <v/>
      </c>
      <c r="AKL35">
        <f>IF('calcA'!EJ$106=1,II35+AEX35,1)</f>
        <v/>
      </c>
      <c r="AKM35">
        <f>IF('calcA'!EK$106=1,IJ35+AEY35,1)</f>
        <v/>
      </c>
      <c r="AKN35">
        <f>IF('calcA'!EL$106=1,IK35+AEZ35,1)</f>
        <v/>
      </c>
      <c r="AKO35">
        <f>IF('calcA'!EM$106=1,IL35+AFA35,1)</f>
        <v/>
      </c>
      <c r="AKP35">
        <f>IF('calcA'!EN$106=1,IM35+AFB35,1)</f>
        <v/>
      </c>
      <c r="AKQ35">
        <f>IF('calcA'!EO$106=1,IN35+AFC35,1)</f>
        <v/>
      </c>
      <c r="AKR35">
        <f>IF('calcA'!EP$106=1,IO35+AFD35,1)</f>
        <v/>
      </c>
      <c r="AKS35" t="n">
        <v>1</v>
      </c>
    </row>
    <row r="36">
      <c r="A36" t="n">
        <v>34</v>
      </c>
      <c r="B36">
        <f>IF(MIN(BM36:CZ36)&gt;=1000000000,0,MATCH(MIN(BM36:CZ36),BM36:CZ36,0))</f>
        <v/>
      </c>
      <c r="C36">
        <f>IF(MIN(OF36:TS36)&gt;=1000000000,0,MATCH(MIN(OF36:TS36),OF36:TS36,0))</f>
        <v/>
      </c>
      <c r="D36">
        <f>IF(C36&gt;0,INDEX('calcA'!$D$5:$EQ$5,C36),0)</f>
        <v/>
      </c>
      <c r="E36">
        <f>IF(B36=0,0,INDEX('calcA'!$IQ$10:$IQ$54,B36))</f>
        <v/>
      </c>
      <c r="F36">
        <f>IF(B36=0,0,INDEX('calcA'!$IP$10:$IP$54,B36))</f>
        <v/>
      </c>
      <c r="G36">
        <f>IF(AND(C36&gt;0,E36&gt;0),IF(AND(INDEX('calcA'!$D$106:$EQ$106,C36)=1,INDEX($IQ36:$OD36,C36)=1),C36+1,0),0)</f>
        <v/>
      </c>
      <c r="H36">
        <f>IF(B36=0,0,INDEX('calcA'!$IW$10:$IW$54,B36))</f>
        <v/>
      </c>
      <c r="U36">
        <f>IF(B36=0,0,INDEX('calcA'!$IX$10:$IX$54,B36))</f>
        <v/>
      </c>
      <c r="V36">
        <f>IF(B36=0,0,INDEX('calcA'!$JF$10:$JF$54,B36))</f>
        <v/>
      </c>
      <c r="W36">
        <f>IF(B36=0,0,IF(IF(E36=2,SUMPRODUCT(INDEX('calcA'!$D$60:$EQ$99,B36,0),$DB36:$IO36,$IQ36:$OD36),SUMPRODUCT(INDEX('calcA'!$D$60:$EQ$99,B36,0),$DB36:$IO36))=0,1,0))</f>
        <v/>
      </c>
      <c r="X36">
        <f>MAX(X35,IF($B35=1,1,0))</f>
        <v/>
      </c>
      <c r="Y36">
        <f>MAX(Y35,IF($B35=2,1,0))</f>
        <v/>
      </c>
      <c r="Z36">
        <f>MAX(Z35,IF($B35=3,1,0))</f>
        <v/>
      </c>
      <c r="AA36">
        <f>MAX(AA35,IF($B35=4,1,0))</f>
        <v/>
      </c>
      <c r="AB36">
        <f>MAX(AB35,IF($B35=5,1,0))</f>
        <v/>
      </c>
      <c r="AC36">
        <f>MAX(AC35,IF($B35=6,1,0))</f>
        <v/>
      </c>
      <c r="AD36">
        <f>MAX(AD35,IF($B35=7,1,0))</f>
        <v/>
      </c>
      <c r="AE36">
        <f>MAX(AE35,IF($B35=8,1,0))</f>
        <v/>
      </c>
      <c r="AF36">
        <f>MAX(AF35,IF($B35=9,1,0))</f>
        <v/>
      </c>
      <c r="AG36">
        <f>MAX(AG35,IF($B35=10,1,0))</f>
        <v/>
      </c>
      <c r="AH36">
        <f>MAX(AH35,IF($B35=11,1,0))</f>
        <v/>
      </c>
      <c r="AI36">
        <f>MAX(AI35,IF($B35=12,1,0))</f>
        <v/>
      </c>
      <c r="AJ36">
        <f>MAX(AJ35,IF($B35=13,1,0))</f>
        <v/>
      </c>
      <c r="AK36">
        <f>MAX(AK35,IF($B35=14,1,0))</f>
        <v/>
      </c>
      <c r="AL36">
        <f>MAX(AL35,IF($B35=15,1,0))</f>
        <v/>
      </c>
      <c r="AM36">
        <f>MAX(AM35,IF($B35=16,1,0))</f>
        <v/>
      </c>
      <c r="AN36">
        <f>MAX(AN35,IF($B35=17,1,0))</f>
        <v/>
      </c>
      <c r="AO36">
        <f>MAX(AO35,IF($B35=18,1,0))</f>
        <v/>
      </c>
      <c r="AP36">
        <f>MAX(AP35,IF($B35=19,1,0))</f>
        <v/>
      </c>
      <c r="AQ36">
        <f>MAX(AQ35,IF($B35=20,1,0))</f>
        <v/>
      </c>
      <c r="AR36">
        <f>MAX(AR35,IF($B35=21,1,0))</f>
        <v/>
      </c>
      <c r="AS36">
        <f>MAX(AS35,IF($B35=22,1,0))</f>
        <v/>
      </c>
      <c r="AT36">
        <f>MAX(AT35,IF($B35=23,1,0))</f>
        <v/>
      </c>
      <c r="AU36">
        <f>MAX(AU35,IF($B35=24,1,0))</f>
        <v/>
      </c>
      <c r="AV36">
        <f>MAX(AV35,IF($B35=25,1,0))</f>
        <v/>
      </c>
      <c r="AW36">
        <f>MAX(AW35,IF($B35=26,1,0))</f>
        <v/>
      </c>
      <c r="AX36">
        <f>MAX(AX35,IF($B35=27,1,0))</f>
        <v/>
      </c>
      <c r="AY36">
        <f>MAX(AY35,IF($B35=28,1,0))</f>
        <v/>
      </c>
      <c r="AZ36">
        <f>MAX(AZ35,IF($B35=29,1,0))</f>
        <v/>
      </c>
      <c r="BA36">
        <f>MAX(BA35,IF($B35=30,1,0))</f>
        <v/>
      </c>
      <c r="BB36">
        <f>MAX(BB35,IF($B35=31,1,0))</f>
        <v/>
      </c>
      <c r="BC36">
        <f>MAX(BC35,IF($B35=32,1,0))</f>
        <v/>
      </c>
      <c r="BD36">
        <f>MAX(BD35,IF($B35=33,1,0))</f>
        <v/>
      </c>
      <c r="BE36">
        <f>MAX(BE35,IF($B35=34,1,0))</f>
        <v/>
      </c>
      <c r="BF36">
        <f>MAX(BF35,IF($B35=35,1,0))</f>
        <v/>
      </c>
      <c r="BG36">
        <f>MAX(BG35,IF($B35=36,1,0))</f>
        <v/>
      </c>
      <c r="BH36">
        <f>MAX(BH35,IF($B35=37,1,0))</f>
        <v/>
      </c>
      <c r="BI36">
        <f>MAX(BI35,IF($B35=38,1,0))</f>
        <v/>
      </c>
      <c r="BJ36">
        <f>MAX(BJ35,IF($B35=39,1,0))</f>
        <v/>
      </c>
      <c r="BK36">
        <f>MAX(BK35,IF($B35=40,1,0))</f>
        <v/>
      </c>
      <c r="BM36">
        <f>IF(OR(X36=1,calcA!$A$6=0),1000000000,IF('calcA'!$JF$10=1,0,100000000)+IF('calcA'!$IQ$10=2,SUMPRODUCT('calcA'!$D$60:$EQ$60,$DB36:$IO36,$IQ36:$OD36)*1000+SUMPRODUCT('calcA'!$D$60:$EQ$60,$DB36:$IO36+$ZQ36:$AFD36,$AFF36:$AKS36),SUMPRODUCT('calcA'!$D$60:$EQ$60,$DB36:$IO36*1001+$ZQ36:$AFD36))*100+1)</f>
        <v/>
      </c>
      <c r="BN36">
        <f>IF(OR(Y36=1,calcA!$A$6=0),1000000000,IF('calcA'!$JF$11=1,0,100000000)+IF('calcA'!$IQ$11=2,SUMPRODUCT('calcA'!$D$61:$EQ$61,$DB36:$IO36,$IQ36:$OD36)*1000+SUMPRODUCT('calcA'!$D$61:$EQ$61,$DB36:$IO36+$ZQ36:$AFD36,$AFF36:$AKS36),SUMPRODUCT('calcA'!$D$61:$EQ$61,$DB36:$IO36*1001+$ZQ36:$AFD36))*100+2)</f>
        <v/>
      </c>
      <c r="BO36">
        <f>IF(OR(Z36=1,calcA!$A$6=0),1000000000,IF('calcA'!$JF$12=1,0,100000000)+IF('calcA'!$IQ$12=2,SUMPRODUCT('calcA'!$D$62:$EQ$62,$DB36:$IO36,$IQ36:$OD36)*1000+SUMPRODUCT('calcA'!$D$62:$EQ$62,$DB36:$IO36+$ZQ36:$AFD36,$AFF36:$AKS36),SUMPRODUCT('calcA'!$D$62:$EQ$62,$DB36:$IO36*1001+$ZQ36:$AFD36))*100+3)</f>
        <v/>
      </c>
      <c r="BP36">
        <f>IF(OR(AA36=1,calcA!$A$6=0),1000000000,IF('calcA'!$JF$13=1,0,100000000)+IF('calcA'!$IQ$13=2,SUMPRODUCT('calcA'!$D$63:$EQ$63,$DB36:$IO36,$IQ36:$OD36)*1000+SUMPRODUCT('calcA'!$D$63:$EQ$63,$DB36:$IO36+$ZQ36:$AFD36,$AFF36:$AKS36),SUMPRODUCT('calcA'!$D$63:$EQ$63,$DB36:$IO36*1001+$ZQ36:$AFD36))*100+4)</f>
        <v/>
      </c>
      <c r="BQ36">
        <f>IF(OR(AB36=1,calcA!$A$6=0),1000000000,IF('calcA'!$JF$14=1,0,100000000)+IF('calcA'!$IQ$14=2,SUMPRODUCT('calcA'!$D$64:$EQ$64,$DB36:$IO36,$IQ36:$OD36)*1000+SUMPRODUCT('calcA'!$D$64:$EQ$64,$DB36:$IO36+$ZQ36:$AFD36,$AFF36:$AKS36),SUMPRODUCT('calcA'!$D$64:$EQ$64,$DB36:$IO36*1001+$ZQ36:$AFD36))*100+5)</f>
        <v/>
      </c>
      <c r="BR36">
        <f>IF(OR(AC36=1,calcA!$A$6=0),1000000000,IF('calcA'!$JF$15=1,0,100000000)+IF('calcA'!$IQ$15=2,SUMPRODUCT('calcA'!$D$65:$EQ$65,$DB36:$IO36,$IQ36:$OD36)*1000+SUMPRODUCT('calcA'!$D$65:$EQ$65,$DB36:$IO36+$ZQ36:$AFD36,$AFF36:$AKS36),SUMPRODUCT('calcA'!$D$65:$EQ$65,$DB36:$IO36*1001+$ZQ36:$AFD36))*100+6)</f>
        <v/>
      </c>
      <c r="BS36">
        <f>IF(OR(AD36=1,calcA!$A$6=0),1000000000,IF('calcA'!$JF$16=1,0,100000000)+IF('calcA'!$IQ$16=2,SUMPRODUCT('calcA'!$D$66:$EQ$66,$DB36:$IO36,$IQ36:$OD36)*1000+SUMPRODUCT('calcA'!$D$66:$EQ$66,$DB36:$IO36+$ZQ36:$AFD36,$AFF36:$AKS36),SUMPRODUCT('calcA'!$D$66:$EQ$66,$DB36:$IO36*1001+$ZQ36:$AFD36))*100+7)</f>
        <v/>
      </c>
      <c r="BT36">
        <f>IF(OR(AE36=1,calcA!$A$6=0),1000000000,IF('calcA'!$JF$17=1,0,100000000)+IF('calcA'!$IQ$17=2,SUMPRODUCT('calcA'!$D$67:$EQ$67,$DB36:$IO36,$IQ36:$OD36)*1000+SUMPRODUCT('calcA'!$D$67:$EQ$67,$DB36:$IO36+$ZQ36:$AFD36,$AFF36:$AKS36),SUMPRODUCT('calcA'!$D$67:$EQ$67,$DB36:$IO36*1001+$ZQ36:$AFD36))*100+8)</f>
        <v/>
      </c>
      <c r="BU36">
        <f>IF(OR(AF36=1,calcA!$A$6=0),1000000000,IF('calcA'!$JF$18=1,0,100000000)+IF('calcA'!$IQ$18=2,SUMPRODUCT('calcA'!$D$68:$EQ$68,$DB36:$IO36,$IQ36:$OD36)*1000+SUMPRODUCT('calcA'!$D$68:$EQ$68,$DB36:$IO36+$ZQ36:$AFD36,$AFF36:$AKS36),SUMPRODUCT('calcA'!$D$68:$EQ$68,$DB36:$IO36*1001+$ZQ36:$AFD36))*100+9)</f>
        <v/>
      </c>
      <c r="BV36">
        <f>IF(OR(AG36=1,calcA!$A$6=0),1000000000,IF('calcA'!$JF$19=1,0,100000000)+IF('calcA'!$IQ$19=2,SUMPRODUCT('calcA'!$D$69:$EQ$69,$DB36:$IO36,$IQ36:$OD36)*1000+SUMPRODUCT('calcA'!$D$69:$EQ$69,$DB36:$IO36+$ZQ36:$AFD36,$AFF36:$AKS36),SUMPRODUCT('calcA'!$D$69:$EQ$69,$DB36:$IO36*1001+$ZQ36:$AFD36))*100+10)</f>
        <v/>
      </c>
      <c r="BW36">
        <f>IF(OR(AH36=1,calcA!$A$6=0),1000000000,IF('calcA'!$JF$20=1,0,100000000)+IF('calcA'!$IQ$20=2,SUMPRODUCT('calcA'!$D$70:$EQ$70,$DB36:$IO36,$IQ36:$OD36)*1000+SUMPRODUCT('calcA'!$D$70:$EQ$70,$DB36:$IO36+$ZQ36:$AFD36,$AFF36:$AKS36),SUMPRODUCT('calcA'!$D$70:$EQ$70,$DB36:$IO36*1001+$ZQ36:$AFD36))*100+11)</f>
        <v/>
      </c>
      <c r="BX36">
        <f>IF(OR(AI36=1,calcA!$A$6=0),1000000000,IF('calcA'!$JF$21=1,0,100000000)+IF('calcA'!$IQ$21=2,SUMPRODUCT('calcA'!$D$71:$EQ$71,$DB36:$IO36,$IQ36:$OD36)*1000+SUMPRODUCT('calcA'!$D$71:$EQ$71,$DB36:$IO36+$ZQ36:$AFD36,$AFF36:$AKS36),SUMPRODUCT('calcA'!$D$71:$EQ$71,$DB36:$IO36*1001+$ZQ36:$AFD36))*100+12)</f>
        <v/>
      </c>
      <c r="BY36">
        <f>IF(OR(AJ36=1,calcA!$A$6=0),1000000000,IF('calcA'!$JF$22=1,0,100000000)+IF('calcA'!$IQ$22=2,SUMPRODUCT('calcA'!$D$72:$EQ$72,$DB36:$IO36,$IQ36:$OD36)*1000+SUMPRODUCT('calcA'!$D$72:$EQ$72,$DB36:$IO36+$ZQ36:$AFD36,$AFF36:$AKS36),SUMPRODUCT('calcA'!$D$72:$EQ$72,$DB36:$IO36*1001+$ZQ36:$AFD36))*100+13)</f>
        <v/>
      </c>
      <c r="BZ36">
        <f>IF(OR(AK36=1,calcA!$A$6=0),1000000000,IF('calcA'!$JF$23=1,0,100000000)+IF('calcA'!$IQ$23=2,SUMPRODUCT('calcA'!$D$73:$EQ$73,$DB36:$IO36,$IQ36:$OD36)*1000+SUMPRODUCT('calcA'!$D$73:$EQ$73,$DB36:$IO36+$ZQ36:$AFD36,$AFF36:$AKS36),SUMPRODUCT('calcA'!$D$73:$EQ$73,$DB36:$IO36*1001+$ZQ36:$AFD36))*100+14)</f>
        <v/>
      </c>
      <c r="CA36">
        <f>IF(OR(AL36=1,calcA!$A$6=0),1000000000,IF('calcA'!$JF$24=1,0,100000000)+IF('calcA'!$IQ$24=2,SUMPRODUCT('calcA'!$D$74:$EQ$74,$DB36:$IO36,$IQ36:$OD36)*1000+SUMPRODUCT('calcA'!$D$74:$EQ$74,$DB36:$IO36+$ZQ36:$AFD36,$AFF36:$AKS36),SUMPRODUCT('calcA'!$D$74:$EQ$74,$DB36:$IO36*1001+$ZQ36:$AFD36))*100+15)</f>
        <v/>
      </c>
      <c r="CB36">
        <f>IF(OR(AM36=1,calcA!$A$6=0),1000000000,IF('calcA'!$JF$25=1,0,100000000)+IF('calcA'!$IQ$25=2,SUMPRODUCT('calcA'!$D$75:$EQ$75,$DB36:$IO36,$IQ36:$OD36)*1000+SUMPRODUCT('calcA'!$D$75:$EQ$75,$DB36:$IO36+$ZQ36:$AFD36,$AFF36:$AKS36),SUMPRODUCT('calcA'!$D$75:$EQ$75,$DB36:$IO36*1001+$ZQ36:$AFD36))*100+16)</f>
        <v/>
      </c>
      <c r="CC36">
        <f>IF(OR(AN36=1,calcA!$A$6=0),1000000000,IF('calcA'!$JF$26=1,0,100000000)+IF('calcA'!$IQ$26=2,SUMPRODUCT('calcA'!$D$76:$EQ$76,$DB36:$IO36,$IQ36:$OD36)*1000+SUMPRODUCT('calcA'!$D$76:$EQ$76,$DB36:$IO36+$ZQ36:$AFD36,$AFF36:$AKS36),SUMPRODUCT('calcA'!$D$76:$EQ$76,$DB36:$IO36*1001+$ZQ36:$AFD36))*100+17)</f>
        <v/>
      </c>
      <c r="CD36">
        <f>IF(OR(AO36=1,calcA!$A$6=0),1000000000,IF('calcA'!$JF$27=1,0,100000000)+IF('calcA'!$IQ$27=2,SUMPRODUCT('calcA'!$D$77:$EQ$77,$DB36:$IO36,$IQ36:$OD36)*1000+SUMPRODUCT('calcA'!$D$77:$EQ$77,$DB36:$IO36+$ZQ36:$AFD36,$AFF36:$AKS36),SUMPRODUCT('calcA'!$D$77:$EQ$77,$DB36:$IO36*1001+$ZQ36:$AFD36))*100+18)</f>
        <v/>
      </c>
      <c r="CE36">
        <f>IF(OR(AP36=1,calcA!$A$6=0),1000000000,IF('calcA'!$JF$28=1,0,100000000)+IF('calcA'!$IQ$28=2,SUMPRODUCT('calcA'!$D$78:$EQ$78,$DB36:$IO36,$IQ36:$OD36)*1000+SUMPRODUCT('calcA'!$D$78:$EQ$78,$DB36:$IO36+$ZQ36:$AFD36,$AFF36:$AKS36),SUMPRODUCT('calcA'!$D$78:$EQ$78,$DB36:$IO36*1001+$ZQ36:$AFD36))*100+19)</f>
        <v/>
      </c>
      <c r="CF36">
        <f>IF(OR(AQ36=1,calcA!$A$6=0),1000000000,IF('calcA'!$JF$29=1,0,100000000)+IF('calcA'!$IQ$29=2,SUMPRODUCT('calcA'!$D$79:$EQ$79,$DB36:$IO36,$IQ36:$OD36)*1000+SUMPRODUCT('calcA'!$D$79:$EQ$79,$DB36:$IO36+$ZQ36:$AFD36,$AFF36:$AKS36),SUMPRODUCT('calcA'!$D$79:$EQ$79,$DB36:$IO36*1001+$ZQ36:$AFD36))*100+20)</f>
        <v/>
      </c>
      <c r="CG36">
        <f>IF(OR(AR36=1,calcA!$A$6=0),1000000000,IF('calcA'!$JF$30=1,0,100000000)+IF('calcA'!$IQ$30=2,SUMPRODUCT('calcA'!$D$80:$EQ$80,$DB36:$IO36,$IQ36:$OD36)*1000+SUMPRODUCT('calcA'!$D$80:$EQ$80,$DB36:$IO36+$ZQ36:$AFD36,$AFF36:$AKS36),SUMPRODUCT('calcA'!$D$80:$EQ$80,$DB36:$IO36*1001+$ZQ36:$AFD36))*100+21)</f>
        <v/>
      </c>
      <c r="CH36">
        <f>IF(OR(AS36=1,calcA!$A$6=0),1000000000,IF('calcA'!$JF$31=1,0,100000000)+IF('calcA'!$IQ$31=2,SUMPRODUCT('calcA'!$D$81:$EQ$81,$DB36:$IO36,$IQ36:$OD36)*1000+SUMPRODUCT('calcA'!$D$81:$EQ$81,$DB36:$IO36+$ZQ36:$AFD36,$AFF36:$AKS36),SUMPRODUCT('calcA'!$D$81:$EQ$81,$DB36:$IO36*1001+$ZQ36:$AFD36))*100+22)</f>
        <v/>
      </c>
      <c r="CI36">
        <f>IF(OR(AT36=1,calcA!$A$6=0),1000000000,IF('calcA'!$JF$32=1,0,100000000)+IF('calcA'!$IQ$32=2,SUMPRODUCT('calcA'!$D$82:$EQ$82,$DB36:$IO36,$IQ36:$OD36)*1000+SUMPRODUCT('calcA'!$D$82:$EQ$82,$DB36:$IO36+$ZQ36:$AFD36,$AFF36:$AKS36),SUMPRODUCT('calcA'!$D$82:$EQ$82,$DB36:$IO36*1001+$ZQ36:$AFD36))*100+23)</f>
        <v/>
      </c>
      <c r="CJ36">
        <f>IF(OR(AU36=1,calcA!$A$6=0),1000000000,IF('calcA'!$JF$33=1,0,100000000)+IF('calcA'!$IQ$33=2,SUMPRODUCT('calcA'!$D$83:$EQ$83,$DB36:$IO36,$IQ36:$OD36)*1000+SUMPRODUCT('calcA'!$D$83:$EQ$83,$DB36:$IO36+$ZQ36:$AFD36,$AFF36:$AKS36),SUMPRODUCT('calcA'!$D$83:$EQ$83,$DB36:$IO36*1001+$ZQ36:$AFD36))*100+24)</f>
        <v/>
      </c>
      <c r="CK36">
        <f>IF(OR(AV36=1,calcA!$A$6=0),1000000000,IF('calcA'!$JF$34=1,0,100000000)+IF('calcA'!$IQ$34=2,SUMPRODUCT('calcA'!$D$84:$EQ$84,$DB36:$IO36,$IQ36:$OD36)*1000+SUMPRODUCT('calcA'!$D$84:$EQ$84,$DB36:$IO36+$ZQ36:$AFD36,$AFF36:$AKS36),SUMPRODUCT('calcA'!$D$84:$EQ$84,$DB36:$IO36*1001+$ZQ36:$AFD36))*100+25)</f>
        <v/>
      </c>
      <c r="CL36">
        <f>IF(OR(AW36=1,calcA!$A$6=0),1000000000,IF('calcA'!$JF$35=1,0,100000000)+IF('calcA'!$IQ$35=2,SUMPRODUCT('calcA'!$D$85:$EQ$85,$DB36:$IO36,$IQ36:$OD36)*1000+SUMPRODUCT('calcA'!$D$85:$EQ$85,$DB36:$IO36+$ZQ36:$AFD36,$AFF36:$AKS36),SUMPRODUCT('calcA'!$D$85:$EQ$85,$DB36:$IO36*1001+$ZQ36:$AFD36))*100+26)</f>
        <v/>
      </c>
      <c r="CM36">
        <f>IF(OR(AX36=1,calcA!$A$6=0),1000000000,IF('calcA'!$JF$36=1,0,100000000)+IF('calcA'!$IQ$36=2,SUMPRODUCT('calcA'!$D$86:$EQ$86,$DB36:$IO36,$IQ36:$OD36)*1000+SUMPRODUCT('calcA'!$D$86:$EQ$86,$DB36:$IO36+$ZQ36:$AFD36,$AFF36:$AKS36),SUMPRODUCT('calcA'!$D$86:$EQ$86,$DB36:$IO36*1001+$ZQ36:$AFD36))*100+27)</f>
        <v/>
      </c>
      <c r="CN36">
        <f>IF(OR(AY36=1,calcA!$A$6=0),1000000000,IF('calcA'!$JF$37=1,0,100000000)+IF('calcA'!$IQ$37=2,SUMPRODUCT('calcA'!$D$87:$EQ$87,$DB36:$IO36,$IQ36:$OD36)*1000+SUMPRODUCT('calcA'!$D$87:$EQ$87,$DB36:$IO36+$ZQ36:$AFD36,$AFF36:$AKS36),SUMPRODUCT('calcA'!$D$87:$EQ$87,$DB36:$IO36*1001+$ZQ36:$AFD36))*100+28)</f>
        <v/>
      </c>
      <c r="CO36">
        <f>IF(OR(AZ36=1,calcA!$A$6=0),1000000000,IF('calcA'!$JF$38=1,0,100000000)+IF('calcA'!$IQ$38=2,SUMPRODUCT('calcA'!$D$88:$EQ$88,$DB36:$IO36,$IQ36:$OD36)*1000+SUMPRODUCT('calcA'!$D$88:$EQ$88,$DB36:$IO36+$ZQ36:$AFD36,$AFF36:$AKS36),SUMPRODUCT('calcA'!$D$88:$EQ$88,$DB36:$IO36*1001+$ZQ36:$AFD36))*100+29)</f>
        <v/>
      </c>
      <c r="CP36">
        <f>IF(OR(BA36=1,calcA!$A$6=0),1000000000,IF('calcA'!$JF$39=1,0,100000000)+IF('calcA'!$IQ$39=2,SUMPRODUCT('calcA'!$D$89:$EQ$89,$DB36:$IO36,$IQ36:$OD36)*1000+SUMPRODUCT('calcA'!$D$89:$EQ$89,$DB36:$IO36+$ZQ36:$AFD36,$AFF36:$AKS36),SUMPRODUCT('calcA'!$D$89:$EQ$89,$DB36:$IO36*1001+$ZQ36:$AFD36))*100+30)</f>
        <v/>
      </c>
      <c r="CQ36">
        <f>IF(OR(BB36=1,calcA!$A$6=0),1000000000,IF('calcA'!$JF$40=1,0,100000000)+IF('calcA'!$IQ$40=2,SUMPRODUCT('calcA'!$D$90:$EQ$90,$DB36:$IO36,$IQ36:$OD36)*1000+SUMPRODUCT('calcA'!$D$90:$EQ$90,$DB36:$IO36+$ZQ36:$AFD36,$AFF36:$AKS36),SUMPRODUCT('calcA'!$D$90:$EQ$90,$DB36:$IO36*1001+$ZQ36:$AFD36))*100+31)</f>
        <v/>
      </c>
      <c r="CR36">
        <f>IF(OR(BC36=1,calcA!$A$6=0),1000000000,IF('calcA'!$JF$41=1,0,100000000)+IF('calcA'!$IQ$41=2,SUMPRODUCT('calcA'!$D$91:$EQ$91,$DB36:$IO36,$IQ36:$OD36)*1000+SUMPRODUCT('calcA'!$D$91:$EQ$91,$DB36:$IO36+$ZQ36:$AFD36,$AFF36:$AKS36),SUMPRODUCT('calcA'!$D$91:$EQ$91,$DB36:$IO36*1001+$ZQ36:$AFD36))*100+32)</f>
        <v/>
      </c>
      <c r="CS36">
        <f>IF(OR(BD36=1,calcA!$A$6=0),1000000000,IF('calcA'!$JF$42=1,0,100000000)+IF('calcA'!$IQ$42=2,SUMPRODUCT('calcA'!$D$92:$EQ$92,$DB36:$IO36,$IQ36:$OD36)*1000+SUMPRODUCT('calcA'!$D$92:$EQ$92,$DB36:$IO36+$ZQ36:$AFD36,$AFF36:$AKS36),SUMPRODUCT('calcA'!$D$92:$EQ$92,$DB36:$IO36*1001+$ZQ36:$AFD36))*100+33)</f>
        <v/>
      </c>
      <c r="CT36">
        <f>IF(OR(BE36=1,calcA!$A$6=0),1000000000,IF('calcA'!$JF$43=1,0,100000000)+IF('calcA'!$IQ$43=2,SUMPRODUCT('calcA'!$D$93:$EQ$93,$DB36:$IO36,$IQ36:$OD36)*1000+SUMPRODUCT('calcA'!$D$93:$EQ$93,$DB36:$IO36+$ZQ36:$AFD36,$AFF36:$AKS36),SUMPRODUCT('calcA'!$D$93:$EQ$93,$DB36:$IO36*1001+$ZQ36:$AFD36))*100+34)</f>
        <v/>
      </c>
      <c r="CU36">
        <f>IF(OR(BF36=1,calcA!$A$6=0),1000000000,IF('calcA'!$JF$44=1,0,100000000)+IF('calcA'!$IQ$44=2,SUMPRODUCT('calcA'!$D$94:$EQ$94,$DB36:$IO36,$IQ36:$OD36)*1000+SUMPRODUCT('calcA'!$D$94:$EQ$94,$DB36:$IO36+$ZQ36:$AFD36,$AFF36:$AKS36),SUMPRODUCT('calcA'!$D$94:$EQ$94,$DB36:$IO36*1001+$ZQ36:$AFD36))*100+35)</f>
        <v/>
      </c>
      <c r="CV36">
        <f>IF(OR(BG36=1,calcA!$A$6=0),1000000000,IF('calcA'!$JF$45=1,0,100000000)+IF('calcA'!$IQ$45=2,SUMPRODUCT('calcA'!$D$95:$EQ$95,$DB36:$IO36,$IQ36:$OD36)*1000+SUMPRODUCT('calcA'!$D$95:$EQ$95,$DB36:$IO36+$ZQ36:$AFD36,$AFF36:$AKS36),SUMPRODUCT('calcA'!$D$95:$EQ$95,$DB36:$IO36*1001+$ZQ36:$AFD36))*100+36)</f>
        <v/>
      </c>
      <c r="CW36">
        <f>IF(OR(BH36=1,calcA!$A$6=0),1000000000,IF('calcA'!$JF$46=1,0,100000000)+IF('calcA'!$IQ$46=2,SUMPRODUCT('calcA'!$D$96:$EQ$96,$DB36:$IO36,$IQ36:$OD36)*1000+SUMPRODUCT('calcA'!$D$96:$EQ$96,$DB36:$IO36+$ZQ36:$AFD36,$AFF36:$AKS36),SUMPRODUCT('calcA'!$D$96:$EQ$96,$DB36:$IO36*1001+$ZQ36:$AFD36))*100+37)</f>
        <v/>
      </c>
      <c r="CX36">
        <f>IF(OR(BI36=1,calcA!$A$6=0),1000000000,IF('calcA'!$JF$47=1,0,100000000)+IF('calcA'!$IQ$47=2,SUMPRODUCT('calcA'!$D$97:$EQ$97,$DB36:$IO36,$IQ36:$OD36)*1000+SUMPRODUCT('calcA'!$D$97:$EQ$97,$DB36:$IO36+$ZQ36:$AFD36,$AFF36:$AKS36),SUMPRODUCT('calcA'!$D$97:$EQ$97,$DB36:$IO36*1001+$ZQ36:$AFD36))*100+38)</f>
        <v/>
      </c>
      <c r="CY36">
        <f>IF(OR(BJ36=1,calcA!$A$6=0),1000000000,IF('calcA'!$JF$48=1,0,100000000)+IF('calcA'!$IQ$48=2,SUMPRODUCT('calcA'!$D$98:$EQ$98,$DB36:$IO36,$IQ36:$OD36)*1000+SUMPRODUCT('calcA'!$D$98:$EQ$98,$DB36:$IO36+$ZQ36:$AFD36,$AFF36:$AKS36),SUMPRODUCT('calcA'!$D$98:$EQ$98,$DB36:$IO36*1001+$ZQ36:$AFD36))*100+39)</f>
        <v/>
      </c>
      <c r="CZ36">
        <f>IF(OR(BK36=1,calcA!$A$6=0),1000000000,IF('calcA'!$JF$49=1,0,100000000)+IF('calcA'!$IQ$49=2,SUMPRODUCT('calcA'!$D$99:$EQ$99,$DB36:$IO36,$IQ36:$OD36)*1000+SUMPRODUCT('calcA'!$D$99:$EQ$99,$DB36:$IO36+$ZQ36:$AFD36,$AFF36:$AKS36),SUMPRODUCT('calcA'!$D$99:$EQ$99,$DB36:$IO36*1001+$ZQ36:$AFD36))*100+40)</f>
        <v/>
      </c>
      <c r="DB36">
        <f>DB35*IF(OR($C35=1,$G35=1),0,1)</f>
        <v/>
      </c>
      <c r="DC36">
        <f>DC35*IF(OR($C35=2,$G35=2),0,1)</f>
        <v/>
      </c>
      <c r="DD36">
        <f>DD35*IF(OR($C35=3,$G35=3),0,1)</f>
        <v/>
      </c>
      <c r="DE36">
        <f>DE35*IF(OR($C35=4,$G35=4),0,1)</f>
        <v/>
      </c>
      <c r="DF36">
        <f>DF35*IF(OR($C35=5,$G35=5),0,1)</f>
        <v/>
      </c>
      <c r="DG36">
        <f>DG35*IF(OR($C35=6,$G35=6),0,1)</f>
        <v/>
      </c>
      <c r="DH36">
        <f>DH35*IF(OR($C35=7,$G35=7),0,1)</f>
        <v/>
      </c>
      <c r="DI36">
        <f>DI35*IF(OR($C35=8,$G35=8),0,1)</f>
        <v/>
      </c>
      <c r="DJ36">
        <f>DJ35*IF(OR($C35=9,$G35=9),0,1)</f>
        <v/>
      </c>
      <c r="DK36">
        <f>DK35*IF(OR($C35=10,$G35=10),0,1)</f>
        <v/>
      </c>
      <c r="DL36">
        <f>DL35*IF(OR($C35=11,$G35=11),0,1)</f>
        <v/>
      </c>
      <c r="DM36">
        <f>DM35*IF(OR($C35=12,$G35=12),0,1)</f>
        <v/>
      </c>
      <c r="DN36">
        <f>DN35*IF(OR($C35=13,$G35=13),0,1)</f>
        <v/>
      </c>
      <c r="DO36">
        <f>DO35*IF(OR($C35=14,$G35=14),0,1)</f>
        <v/>
      </c>
      <c r="DP36">
        <f>DP35*IF(OR($C35=15,$G35=15),0,1)</f>
        <v/>
      </c>
      <c r="DQ36">
        <f>DQ35*IF(OR($C35=16,$G35=16),0,1)</f>
        <v/>
      </c>
      <c r="DR36">
        <f>DR35*IF(OR($C35=17,$G35=17),0,1)</f>
        <v/>
      </c>
      <c r="DS36">
        <f>DS35*IF(OR($C35=18,$G35=18),0,1)</f>
        <v/>
      </c>
      <c r="DT36">
        <f>DT35*IF(OR($C35=19,$G35=19),0,1)</f>
        <v/>
      </c>
      <c r="DU36">
        <f>DU35*IF(OR($C35=20,$G35=20),0,1)</f>
        <v/>
      </c>
      <c r="DV36">
        <f>DV35*IF(OR($C35=21,$G35=21),0,1)</f>
        <v/>
      </c>
      <c r="DW36">
        <f>DW35*IF(OR($C35=22,$G35=22),0,1)</f>
        <v/>
      </c>
      <c r="DX36">
        <f>DX35*IF(OR($C35=23,$G35=23),0,1)</f>
        <v/>
      </c>
      <c r="DY36">
        <f>DY35*IF(OR($C35=24,$G35=24),0,1)</f>
        <v/>
      </c>
      <c r="DZ36">
        <f>DZ35*IF(OR($C35=25,$G35=25),0,1)</f>
        <v/>
      </c>
      <c r="EA36">
        <f>EA35*IF(OR($C35=26,$G35=26),0,1)</f>
        <v/>
      </c>
      <c r="EB36">
        <f>EB35*IF(OR($C35=27,$G35=27),0,1)</f>
        <v/>
      </c>
      <c r="EC36">
        <f>EC35*IF(OR($C35=28,$G35=28),0,1)</f>
        <v/>
      </c>
      <c r="ED36">
        <f>ED35*IF(OR($C35=29,$G35=29),0,1)</f>
        <v/>
      </c>
      <c r="EE36">
        <f>EE35*IF(OR($C35=30,$G35=30),0,1)</f>
        <v/>
      </c>
      <c r="EF36">
        <f>EF35*IF(OR($C35=31,$G35=31),0,1)</f>
        <v/>
      </c>
      <c r="EG36">
        <f>EG35*IF(OR($C35=32,$G35=32),0,1)</f>
        <v/>
      </c>
      <c r="EH36">
        <f>EH35*IF(OR($C35=33,$G35=33),0,1)</f>
        <v/>
      </c>
      <c r="EI36">
        <f>EI35*IF(OR($C35=34,$G35=34),0,1)</f>
        <v/>
      </c>
      <c r="EJ36">
        <f>EJ35*IF(OR($C35=35,$G35=35),0,1)</f>
        <v/>
      </c>
      <c r="EK36">
        <f>EK35*IF(OR($C35=36,$G35=36),0,1)</f>
        <v/>
      </c>
      <c r="EL36">
        <f>EL35*IF(OR($C35=37,$G35=37),0,1)</f>
        <v/>
      </c>
      <c r="EM36">
        <f>EM35*IF(OR($C35=38,$G35=38),0,1)</f>
        <v/>
      </c>
      <c r="EN36">
        <f>EN35*IF(OR($C35=39,$G35=39),0,1)</f>
        <v/>
      </c>
      <c r="EO36">
        <f>EO35*IF(OR($C35=40,$G35=40),0,1)</f>
        <v/>
      </c>
      <c r="EP36">
        <f>EP35*IF(OR($C35=41,$G35=41),0,1)</f>
        <v/>
      </c>
      <c r="EQ36">
        <f>EQ35*IF(OR($C35=42,$G35=42),0,1)</f>
        <v/>
      </c>
      <c r="ER36">
        <f>ER35*IF(OR($C35=43,$G35=43),0,1)</f>
        <v/>
      </c>
      <c r="ES36">
        <f>ES35*IF(OR($C35=44,$G35=44),0,1)</f>
        <v/>
      </c>
      <c r="ET36">
        <f>ET35*IF(OR($C35=45,$G35=45),0,1)</f>
        <v/>
      </c>
      <c r="EU36">
        <f>EU35*IF(OR($C35=46,$G35=46),0,1)</f>
        <v/>
      </c>
      <c r="EV36">
        <f>EV35*IF(OR($C35=47,$G35=47),0,1)</f>
        <v/>
      </c>
      <c r="EW36">
        <f>EW35*IF(OR($C35=48,$G35=48),0,1)</f>
        <v/>
      </c>
      <c r="EX36">
        <f>EX35*IF(OR($C35=49,$G35=49),0,1)</f>
        <v/>
      </c>
      <c r="EY36">
        <f>EY35*IF(OR($C35=50,$G35=50),0,1)</f>
        <v/>
      </c>
      <c r="EZ36">
        <f>EZ35*IF(OR($C35=51,$G35=51),0,1)</f>
        <v/>
      </c>
      <c r="FA36">
        <f>FA35*IF(OR($C35=52,$G35=52),0,1)</f>
        <v/>
      </c>
      <c r="FB36">
        <f>FB35*IF(OR($C35=53,$G35=53),0,1)</f>
        <v/>
      </c>
      <c r="FC36">
        <f>FC35*IF(OR($C35=54,$G35=54),0,1)</f>
        <v/>
      </c>
      <c r="FD36">
        <f>FD35*IF(OR($C35=55,$G35=55),0,1)</f>
        <v/>
      </c>
      <c r="FE36">
        <f>FE35*IF(OR($C35=56,$G35=56),0,1)</f>
        <v/>
      </c>
      <c r="FF36">
        <f>FF35*IF(OR($C35=57,$G35=57),0,1)</f>
        <v/>
      </c>
      <c r="FG36">
        <f>FG35*IF(OR($C35=58,$G35=58),0,1)</f>
        <v/>
      </c>
      <c r="FH36">
        <f>FH35*IF(OR($C35=59,$G35=59),0,1)</f>
        <v/>
      </c>
      <c r="FI36">
        <f>FI35*IF(OR($C35=60,$G35=60),0,1)</f>
        <v/>
      </c>
      <c r="FJ36">
        <f>FJ35*IF(OR($C35=61,$G35=61),0,1)</f>
        <v/>
      </c>
      <c r="FK36">
        <f>FK35*IF(OR($C35=62,$G35=62),0,1)</f>
        <v/>
      </c>
      <c r="FL36">
        <f>FL35*IF(OR($C35=63,$G35=63),0,1)</f>
        <v/>
      </c>
      <c r="FM36">
        <f>FM35*IF(OR($C35=64,$G35=64),0,1)</f>
        <v/>
      </c>
      <c r="FN36">
        <f>FN35*IF(OR($C35=65,$G35=65),0,1)</f>
        <v/>
      </c>
      <c r="FO36">
        <f>FO35*IF(OR($C35=66,$G35=66),0,1)</f>
        <v/>
      </c>
      <c r="FP36">
        <f>FP35*IF(OR($C35=67,$G35=67),0,1)</f>
        <v/>
      </c>
      <c r="FQ36">
        <f>FQ35*IF(OR($C35=68,$G35=68),0,1)</f>
        <v/>
      </c>
      <c r="FR36">
        <f>FR35*IF(OR($C35=69,$G35=69),0,1)</f>
        <v/>
      </c>
      <c r="FS36">
        <f>FS35*IF(OR($C35=70,$G35=70),0,1)</f>
        <v/>
      </c>
      <c r="FT36">
        <f>FT35*IF(OR($C35=71,$G35=71),0,1)</f>
        <v/>
      </c>
      <c r="FU36">
        <f>FU35*IF(OR($C35=72,$G35=72),0,1)</f>
        <v/>
      </c>
      <c r="FV36">
        <f>FV35*IF(OR($C35=73,$G35=73),0,1)</f>
        <v/>
      </c>
      <c r="FW36">
        <f>FW35*IF(OR($C35=74,$G35=74),0,1)</f>
        <v/>
      </c>
      <c r="FX36">
        <f>FX35*IF(OR($C35=75,$G35=75),0,1)</f>
        <v/>
      </c>
      <c r="FY36">
        <f>FY35*IF(OR($C35=76,$G35=76),0,1)</f>
        <v/>
      </c>
      <c r="FZ36">
        <f>FZ35*IF(OR($C35=77,$G35=77),0,1)</f>
        <v/>
      </c>
      <c r="GA36">
        <f>GA35*IF(OR($C35=78,$G35=78),0,1)</f>
        <v/>
      </c>
      <c r="GB36">
        <f>GB35*IF(OR($C35=79,$G35=79),0,1)</f>
        <v/>
      </c>
      <c r="GC36">
        <f>GC35*IF(OR($C35=80,$G35=80),0,1)</f>
        <v/>
      </c>
      <c r="GD36">
        <f>GD35*IF(OR($C35=81,$G35=81),0,1)</f>
        <v/>
      </c>
      <c r="GE36">
        <f>GE35*IF(OR($C35=82,$G35=82),0,1)</f>
        <v/>
      </c>
      <c r="GF36">
        <f>GF35*IF(OR($C35=83,$G35=83),0,1)</f>
        <v/>
      </c>
      <c r="GG36">
        <f>GG35*IF(OR($C35=84,$G35=84),0,1)</f>
        <v/>
      </c>
      <c r="GH36">
        <f>GH35*IF(OR($C35=85,$G35=85),0,1)</f>
        <v/>
      </c>
      <c r="GI36">
        <f>GI35*IF(OR($C35=86,$G35=86),0,1)</f>
        <v/>
      </c>
      <c r="GJ36">
        <f>GJ35*IF(OR($C35=87,$G35=87),0,1)</f>
        <v/>
      </c>
      <c r="GK36">
        <f>GK35*IF(OR($C35=88,$G35=88),0,1)</f>
        <v/>
      </c>
      <c r="GL36">
        <f>GL35*IF(OR($C35=89,$G35=89),0,1)</f>
        <v/>
      </c>
      <c r="GM36">
        <f>GM35*IF(OR($C35=90,$G35=90),0,1)</f>
        <v/>
      </c>
      <c r="GN36">
        <f>GN35*IF(OR($C35=91,$G35=91),0,1)</f>
        <v/>
      </c>
      <c r="GO36">
        <f>GO35*IF(OR($C35=92,$G35=92),0,1)</f>
        <v/>
      </c>
      <c r="GP36">
        <f>GP35*IF(OR($C35=93,$G35=93),0,1)</f>
        <v/>
      </c>
      <c r="GQ36">
        <f>GQ35*IF(OR($C35=94,$G35=94),0,1)</f>
        <v/>
      </c>
      <c r="GR36">
        <f>GR35*IF(OR($C35=95,$G35=95),0,1)</f>
        <v/>
      </c>
      <c r="GS36">
        <f>GS35*IF(OR($C35=96,$G35=96),0,1)</f>
        <v/>
      </c>
      <c r="GT36">
        <f>GT35*IF(OR($C35=97,$G35=97),0,1)</f>
        <v/>
      </c>
      <c r="GU36">
        <f>GU35*IF(OR($C35=98,$G35=98),0,1)</f>
        <v/>
      </c>
      <c r="GV36">
        <f>GV35*IF(OR($C35=99,$G35=99),0,1)</f>
        <v/>
      </c>
      <c r="GW36">
        <f>GW35*IF(OR($C35=100,$G35=100),0,1)</f>
        <v/>
      </c>
      <c r="GX36">
        <f>GX35*IF(OR($C35=101,$G35=101),0,1)</f>
        <v/>
      </c>
      <c r="GY36">
        <f>GY35*IF(OR($C35=102,$G35=102),0,1)</f>
        <v/>
      </c>
      <c r="GZ36">
        <f>GZ35*IF(OR($C35=103,$G35=103),0,1)</f>
        <v/>
      </c>
      <c r="HA36">
        <f>HA35*IF(OR($C35=104,$G35=104),0,1)</f>
        <v/>
      </c>
      <c r="HB36">
        <f>HB35*IF(OR($C35=105,$G35=105),0,1)</f>
        <v/>
      </c>
      <c r="HC36">
        <f>HC35*IF(OR($C35=106,$G35=106),0,1)</f>
        <v/>
      </c>
      <c r="HD36">
        <f>HD35*IF(OR($C35=107,$G35=107),0,1)</f>
        <v/>
      </c>
      <c r="HE36">
        <f>HE35*IF(OR($C35=108,$G35=108),0,1)</f>
        <v/>
      </c>
      <c r="HF36">
        <f>HF35*IF(OR($C35=109,$G35=109),0,1)</f>
        <v/>
      </c>
      <c r="HG36">
        <f>HG35*IF(OR($C35=110,$G35=110),0,1)</f>
        <v/>
      </c>
      <c r="HH36">
        <f>HH35*IF(OR($C35=111,$G35=111),0,1)</f>
        <v/>
      </c>
      <c r="HI36">
        <f>HI35*IF(OR($C35=112,$G35=112),0,1)</f>
        <v/>
      </c>
      <c r="HJ36">
        <f>HJ35*IF(OR($C35=113,$G35=113),0,1)</f>
        <v/>
      </c>
      <c r="HK36">
        <f>HK35*IF(OR($C35=114,$G35=114),0,1)</f>
        <v/>
      </c>
      <c r="HL36">
        <f>HL35*IF(OR($C35=115,$G35=115),0,1)</f>
        <v/>
      </c>
      <c r="HM36">
        <f>HM35*IF(OR($C35=116,$G35=116),0,1)</f>
        <v/>
      </c>
      <c r="HN36">
        <f>HN35*IF(OR($C35=117,$G35=117),0,1)</f>
        <v/>
      </c>
      <c r="HO36">
        <f>HO35*IF(OR($C35=118,$G35=118),0,1)</f>
        <v/>
      </c>
      <c r="HP36">
        <f>HP35*IF(OR($C35=119,$G35=119),0,1)</f>
        <v/>
      </c>
      <c r="HQ36">
        <f>HQ35*IF(OR($C35=120,$G35=120),0,1)</f>
        <v/>
      </c>
      <c r="HR36">
        <f>HR35*IF(OR($C35=121,$G35=121),0,1)</f>
        <v/>
      </c>
      <c r="HS36">
        <f>HS35*IF(OR($C35=122,$G35=122),0,1)</f>
        <v/>
      </c>
      <c r="HT36">
        <f>HT35*IF(OR($C35=123,$G35=123),0,1)</f>
        <v/>
      </c>
      <c r="HU36">
        <f>HU35*IF(OR($C35=124,$G35=124),0,1)</f>
        <v/>
      </c>
      <c r="HV36">
        <f>HV35*IF(OR($C35=125,$G35=125),0,1)</f>
        <v/>
      </c>
      <c r="HW36">
        <f>HW35*IF(OR($C35=126,$G35=126),0,1)</f>
        <v/>
      </c>
      <c r="HX36">
        <f>HX35*IF(OR($C35=127,$G35=127),0,1)</f>
        <v/>
      </c>
      <c r="HY36">
        <f>HY35*IF(OR($C35=128,$G35=128),0,1)</f>
        <v/>
      </c>
      <c r="HZ36">
        <f>HZ35*IF(OR($C35=129,$G35=129),0,1)</f>
        <v/>
      </c>
      <c r="IA36">
        <f>IA35*IF(OR($C35=130,$G35=130),0,1)</f>
        <v/>
      </c>
      <c r="IB36">
        <f>IB35*IF(OR($C35=131,$G35=131),0,1)</f>
        <v/>
      </c>
      <c r="IC36">
        <f>IC35*IF(OR($C35=132,$G35=132),0,1)</f>
        <v/>
      </c>
      <c r="ID36">
        <f>ID35*IF(OR($C35=133,$G35=133),0,1)</f>
        <v/>
      </c>
      <c r="IE36">
        <f>IE35*IF(OR($C35=134,$G35=134),0,1)</f>
        <v/>
      </c>
      <c r="IF36">
        <f>IF35*IF(OR($C35=135,$G35=135),0,1)</f>
        <v/>
      </c>
      <c r="IG36">
        <f>IG35*IF(OR($C35=136,$G35=136),0,1)</f>
        <v/>
      </c>
      <c r="IH36">
        <f>IH35*IF(OR($C35=137,$G35=137),0,1)</f>
        <v/>
      </c>
      <c r="II36">
        <f>II35*IF(OR($C35=138,$G35=138),0,1)</f>
        <v/>
      </c>
      <c r="IJ36">
        <f>IJ35*IF(OR($C35=139,$G35=139),0,1)</f>
        <v/>
      </c>
      <c r="IK36">
        <f>IK35*IF(OR($C35=140,$G35=140),0,1)</f>
        <v/>
      </c>
      <c r="IL36">
        <f>IL35*IF(OR($C35=141,$G35=141),0,1)</f>
        <v/>
      </c>
      <c r="IM36">
        <f>IM35*IF(OR($C35=142,$G35=142),0,1)</f>
        <v/>
      </c>
      <c r="IN36">
        <f>IN35*IF(OR($C35=143,$G35=143),0,1)</f>
        <v/>
      </c>
      <c r="IO36">
        <f>IO35*IF(OR($C35=144,$G35=144),0,1)</f>
        <v/>
      </c>
      <c r="IQ36">
        <f>IF('calcA'!D$106=1,DC36,1)</f>
        <v/>
      </c>
      <c r="IR36">
        <f>IF('calcA'!E$106=1,DD36,1)</f>
        <v/>
      </c>
      <c r="IS36">
        <f>IF('calcA'!F$106=1,DE36,1)</f>
        <v/>
      </c>
      <c r="IT36">
        <f>IF('calcA'!G$106=1,DF36,1)</f>
        <v/>
      </c>
      <c r="IU36">
        <f>IF('calcA'!H$106=1,DG36,1)</f>
        <v/>
      </c>
      <c r="IV36">
        <f>IF('calcA'!I$106=1,DH36,1)</f>
        <v/>
      </c>
      <c r="IW36">
        <f>IF('calcA'!J$106=1,DI36,1)</f>
        <v/>
      </c>
      <c r="IX36">
        <f>IF('calcA'!K$106=1,DJ36,1)</f>
        <v/>
      </c>
      <c r="IY36">
        <f>IF('calcA'!L$106=1,DK36,1)</f>
        <v/>
      </c>
      <c r="IZ36">
        <f>IF('calcA'!M$106=1,DL36,1)</f>
        <v/>
      </c>
      <c r="JA36">
        <f>IF('calcA'!N$106=1,DM36,1)</f>
        <v/>
      </c>
      <c r="JB36">
        <f>IF('calcA'!O$106=1,DN36,1)</f>
        <v/>
      </c>
      <c r="JC36">
        <f>IF('calcA'!P$106=1,DO36,1)</f>
        <v/>
      </c>
      <c r="JD36">
        <f>IF('calcA'!Q$106=1,DP36,1)</f>
        <v/>
      </c>
      <c r="JE36">
        <f>IF('calcA'!R$106=1,DQ36,1)</f>
        <v/>
      </c>
      <c r="JF36">
        <f>IF('calcA'!S$106=1,DR36,1)</f>
        <v/>
      </c>
      <c r="JG36">
        <f>IF('calcA'!T$106=1,DS36,1)</f>
        <v/>
      </c>
      <c r="JH36">
        <f>IF('calcA'!U$106=1,DT36,1)</f>
        <v/>
      </c>
      <c r="JI36">
        <f>IF('calcA'!V$106=1,DU36,1)</f>
        <v/>
      </c>
      <c r="JJ36">
        <f>IF('calcA'!W$106=1,DV36,1)</f>
        <v/>
      </c>
      <c r="JK36">
        <f>IF('calcA'!X$106=1,DW36,1)</f>
        <v/>
      </c>
      <c r="JL36">
        <f>IF('calcA'!Y$106=1,DX36,1)</f>
        <v/>
      </c>
      <c r="JM36">
        <f>IF('calcA'!Z$106=1,DY36,1)</f>
        <v/>
      </c>
      <c r="JN36">
        <f>IF('calcA'!AA$106=1,DZ36,1)</f>
        <v/>
      </c>
      <c r="JO36">
        <f>IF('calcA'!AB$106=1,EA36,1)</f>
        <v/>
      </c>
      <c r="JP36">
        <f>IF('calcA'!AC$106=1,EB36,1)</f>
        <v/>
      </c>
      <c r="JQ36">
        <f>IF('calcA'!AD$106=1,EC36,1)</f>
        <v/>
      </c>
      <c r="JR36">
        <f>IF('calcA'!AE$106=1,ED36,1)</f>
        <v/>
      </c>
      <c r="JS36">
        <f>IF('calcA'!AF$106=1,EE36,1)</f>
        <v/>
      </c>
      <c r="JT36">
        <f>IF('calcA'!AG$106=1,EF36,1)</f>
        <v/>
      </c>
      <c r="JU36">
        <f>IF('calcA'!AH$106=1,EG36,1)</f>
        <v/>
      </c>
      <c r="JV36">
        <f>IF('calcA'!AI$106=1,EH36,1)</f>
        <v/>
      </c>
      <c r="JW36">
        <f>IF('calcA'!AJ$106=1,EI36,1)</f>
        <v/>
      </c>
      <c r="JX36">
        <f>IF('calcA'!AK$106=1,EJ36,1)</f>
        <v/>
      </c>
      <c r="JY36">
        <f>IF('calcA'!AL$106=1,EK36,1)</f>
        <v/>
      </c>
      <c r="JZ36">
        <f>IF('calcA'!AM$106=1,EL36,1)</f>
        <v/>
      </c>
      <c r="KA36">
        <f>IF('calcA'!AN$106=1,EM36,1)</f>
        <v/>
      </c>
      <c r="KB36">
        <f>IF('calcA'!AO$106=1,EN36,1)</f>
        <v/>
      </c>
      <c r="KC36">
        <f>IF('calcA'!AP$106=1,EO36,1)</f>
        <v/>
      </c>
      <c r="KD36">
        <f>IF('calcA'!AQ$106=1,EP36,1)</f>
        <v/>
      </c>
      <c r="KE36">
        <f>IF('calcA'!AR$106=1,EQ36,1)</f>
        <v/>
      </c>
      <c r="KF36">
        <f>IF('calcA'!AS$106=1,ER36,1)</f>
        <v/>
      </c>
      <c r="KG36">
        <f>IF('calcA'!AT$106=1,ES36,1)</f>
        <v/>
      </c>
      <c r="KH36">
        <f>IF('calcA'!AU$106=1,ET36,1)</f>
        <v/>
      </c>
      <c r="KI36">
        <f>IF('calcA'!AV$106=1,EU36,1)</f>
        <v/>
      </c>
      <c r="KJ36">
        <f>IF('calcA'!AW$106=1,EV36,1)</f>
        <v/>
      </c>
      <c r="KK36">
        <f>IF('calcA'!AX$106=1,EW36,1)</f>
        <v/>
      </c>
      <c r="KL36">
        <f>IF('calcA'!AY$106=1,EX36,1)</f>
        <v/>
      </c>
      <c r="KM36">
        <f>IF('calcA'!AZ$106=1,EY36,1)</f>
        <v/>
      </c>
      <c r="KN36">
        <f>IF('calcA'!BA$106=1,EZ36,1)</f>
        <v/>
      </c>
      <c r="KO36">
        <f>IF('calcA'!BB$106=1,FA36,1)</f>
        <v/>
      </c>
      <c r="KP36">
        <f>IF('calcA'!BC$106=1,FB36,1)</f>
        <v/>
      </c>
      <c r="KQ36">
        <f>IF('calcA'!BD$106=1,FC36,1)</f>
        <v/>
      </c>
      <c r="KR36">
        <f>IF('calcA'!BE$106=1,FD36,1)</f>
        <v/>
      </c>
      <c r="KS36">
        <f>IF('calcA'!BF$106=1,FE36,1)</f>
        <v/>
      </c>
      <c r="KT36">
        <f>IF('calcA'!BG$106=1,FF36,1)</f>
        <v/>
      </c>
      <c r="KU36">
        <f>IF('calcA'!BH$106=1,FG36,1)</f>
        <v/>
      </c>
      <c r="KV36">
        <f>IF('calcA'!BI$106=1,FH36,1)</f>
        <v/>
      </c>
      <c r="KW36">
        <f>IF('calcA'!BJ$106=1,FI36,1)</f>
        <v/>
      </c>
      <c r="KX36">
        <f>IF('calcA'!BK$106=1,FJ36,1)</f>
        <v/>
      </c>
      <c r="KY36">
        <f>IF('calcA'!BL$106=1,FK36,1)</f>
        <v/>
      </c>
      <c r="KZ36">
        <f>IF('calcA'!BM$106=1,FL36,1)</f>
        <v/>
      </c>
      <c r="LA36">
        <f>IF('calcA'!BN$106=1,FM36,1)</f>
        <v/>
      </c>
      <c r="LB36">
        <f>IF('calcA'!BO$106=1,FN36,1)</f>
        <v/>
      </c>
      <c r="LC36">
        <f>IF('calcA'!BP$106=1,FO36,1)</f>
        <v/>
      </c>
      <c r="LD36">
        <f>IF('calcA'!BQ$106=1,FP36,1)</f>
        <v/>
      </c>
      <c r="LE36">
        <f>IF('calcA'!BR$106=1,FQ36,1)</f>
        <v/>
      </c>
      <c r="LF36">
        <f>IF('calcA'!BS$106=1,FR36,1)</f>
        <v/>
      </c>
      <c r="LG36">
        <f>IF('calcA'!BT$106=1,FS36,1)</f>
        <v/>
      </c>
      <c r="LH36">
        <f>IF('calcA'!BU$106=1,FT36,1)</f>
        <v/>
      </c>
      <c r="LI36">
        <f>IF('calcA'!BV$106=1,FU36,1)</f>
        <v/>
      </c>
      <c r="LJ36">
        <f>IF('calcA'!BW$106=1,FV36,1)</f>
        <v/>
      </c>
      <c r="LK36">
        <f>IF('calcA'!BX$106=1,FW36,1)</f>
        <v/>
      </c>
      <c r="LL36">
        <f>IF('calcA'!BY$106=1,FX36,1)</f>
        <v/>
      </c>
      <c r="LM36">
        <f>IF('calcA'!BZ$106=1,FY36,1)</f>
        <v/>
      </c>
      <c r="LN36">
        <f>IF('calcA'!CA$106=1,FZ36,1)</f>
        <v/>
      </c>
      <c r="LO36">
        <f>IF('calcA'!CB$106=1,GA36,1)</f>
        <v/>
      </c>
      <c r="LP36">
        <f>IF('calcA'!CC$106=1,GB36,1)</f>
        <v/>
      </c>
      <c r="LQ36">
        <f>IF('calcA'!CD$106=1,GC36,1)</f>
        <v/>
      </c>
      <c r="LR36">
        <f>IF('calcA'!CE$106=1,GD36,1)</f>
        <v/>
      </c>
      <c r="LS36">
        <f>IF('calcA'!CF$106=1,GE36,1)</f>
        <v/>
      </c>
      <c r="LT36">
        <f>IF('calcA'!CG$106=1,GF36,1)</f>
        <v/>
      </c>
      <c r="LU36">
        <f>IF('calcA'!CH$106=1,GG36,1)</f>
        <v/>
      </c>
      <c r="LV36">
        <f>IF('calcA'!CI$106=1,GH36,1)</f>
        <v/>
      </c>
      <c r="LW36">
        <f>IF('calcA'!CJ$106=1,GI36,1)</f>
        <v/>
      </c>
      <c r="LX36">
        <f>IF('calcA'!CK$106=1,GJ36,1)</f>
        <v/>
      </c>
      <c r="LY36">
        <f>IF('calcA'!CL$106=1,GK36,1)</f>
        <v/>
      </c>
      <c r="LZ36">
        <f>IF('calcA'!CM$106=1,GL36,1)</f>
        <v/>
      </c>
      <c r="MA36">
        <f>IF('calcA'!CN$106=1,GM36,1)</f>
        <v/>
      </c>
      <c r="MB36">
        <f>IF('calcA'!CO$106=1,GN36,1)</f>
        <v/>
      </c>
      <c r="MC36">
        <f>IF('calcA'!CP$106=1,GO36,1)</f>
        <v/>
      </c>
      <c r="MD36">
        <f>IF('calcA'!CQ$106=1,GP36,1)</f>
        <v/>
      </c>
      <c r="ME36">
        <f>IF('calcA'!CR$106=1,GQ36,1)</f>
        <v/>
      </c>
      <c r="MF36">
        <f>IF('calcA'!CS$106=1,GR36,1)</f>
        <v/>
      </c>
      <c r="MG36">
        <f>IF('calcA'!CT$106=1,GS36,1)</f>
        <v/>
      </c>
      <c r="MH36">
        <f>IF('calcA'!CU$106=1,GT36,1)</f>
        <v/>
      </c>
      <c r="MI36">
        <f>IF('calcA'!CV$106=1,GU36,1)</f>
        <v/>
      </c>
      <c r="MJ36">
        <f>IF('calcA'!CW$106=1,GV36,1)</f>
        <v/>
      </c>
      <c r="MK36">
        <f>IF('calcA'!CX$106=1,GW36,1)</f>
        <v/>
      </c>
      <c r="ML36">
        <f>IF('calcA'!CY$106=1,GX36,1)</f>
        <v/>
      </c>
      <c r="MM36">
        <f>IF('calcA'!CZ$106=1,GY36,1)</f>
        <v/>
      </c>
      <c r="MN36">
        <f>IF('calcA'!DA$106=1,GZ36,1)</f>
        <v/>
      </c>
      <c r="MO36">
        <f>IF('calcA'!DB$106=1,HA36,1)</f>
        <v/>
      </c>
      <c r="MP36">
        <f>IF('calcA'!DC$106=1,HB36,1)</f>
        <v/>
      </c>
      <c r="MQ36">
        <f>IF('calcA'!DD$106=1,HC36,1)</f>
        <v/>
      </c>
      <c r="MR36">
        <f>IF('calcA'!DE$106=1,HD36,1)</f>
        <v/>
      </c>
      <c r="MS36">
        <f>IF('calcA'!DF$106=1,HE36,1)</f>
        <v/>
      </c>
      <c r="MT36">
        <f>IF('calcA'!DG$106=1,HF36,1)</f>
        <v/>
      </c>
      <c r="MU36">
        <f>IF('calcA'!DH$106=1,HG36,1)</f>
        <v/>
      </c>
      <c r="MV36">
        <f>IF('calcA'!DI$106=1,HH36,1)</f>
        <v/>
      </c>
      <c r="MW36">
        <f>IF('calcA'!DJ$106=1,HI36,1)</f>
        <v/>
      </c>
      <c r="MX36">
        <f>IF('calcA'!DK$106=1,HJ36,1)</f>
        <v/>
      </c>
      <c r="MY36">
        <f>IF('calcA'!DL$106=1,HK36,1)</f>
        <v/>
      </c>
      <c r="MZ36">
        <f>IF('calcA'!DM$106=1,HL36,1)</f>
        <v/>
      </c>
      <c r="NA36">
        <f>IF('calcA'!DN$106=1,HM36,1)</f>
        <v/>
      </c>
      <c r="NB36">
        <f>IF('calcA'!DO$106=1,HN36,1)</f>
        <v/>
      </c>
      <c r="NC36">
        <f>IF('calcA'!DP$106=1,HO36,1)</f>
        <v/>
      </c>
      <c r="ND36">
        <f>IF('calcA'!DQ$106=1,HP36,1)</f>
        <v/>
      </c>
      <c r="NE36">
        <f>IF('calcA'!DR$106=1,HQ36,1)</f>
        <v/>
      </c>
      <c r="NF36">
        <f>IF('calcA'!DS$106=1,HR36,1)</f>
        <v/>
      </c>
      <c r="NG36">
        <f>IF('calcA'!DT$106=1,HS36,1)</f>
        <v/>
      </c>
      <c r="NH36">
        <f>IF('calcA'!DU$106=1,HT36,1)</f>
        <v/>
      </c>
      <c r="NI36">
        <f>IF('calcA'!DV$106=1,HU36,1)</f>
        <v/>
      </c>
      <c r="NJ36">
        <f>IF('calcA'!DW$106=1,HV36,1)</f>
        <v/>
      </c>
      <c r="NK36">
        <f>IF('calcA'!DX$106=1,HW36,1)</f>
        <v/>
      </c>
      <c r="NL36">
        <f>IF('calcA'!DY$106=1,HX36,1)</f>
        <v/>
      </c>
      <c r="NM36">
        <f>IF('calcA'!DZ$106=1,HY36,1)</f>
        <v/>
      </c>
      <c r="NN36">
        <f>IF('calcA'!EA$106=1,HZ36,1)</f>
        <v/>
      </c>
      <c r="NO36">
        <f>IF('calcA'!EB$106=1,IA36,1)</f>
        <v/>
      </c>
      <c r="NP36">
        <f>IF('calcA'!EC$106=1,IB36,1)</f>
        <v/>
      </c>
      <c r="NQ36">
        <f>IF('calcA'!ED$106=1,IC36,1)</f>
        <v/>
      </c>
      <c r="NR36">
        <f>IF('calcA'!EE$106=1,ID36,1)</f>
        <v/>
      </c>
      <c r="NS36">
        <f>IF('calcA'!EF$106=1,IE36,1)</f>
        <v/>
      </c>
      <c r="NT36">
        <f>IF('calcA'!EG$106=1,IF36,1)</f>
        <v/>
      </c>
      <c r="NU36">
        <f>IF('calcA'!EH$106=1,IG36,1)</f>
        <v/>
      </c>
      <c r="NV36">
        <f>IF('calcA'!EI$106=1,IH36,1)</f>
        <v/>
      </c>
      <c r="NW36">
        <f>IF('calcA'!EJ$106=1,II36,1)</f>
        <v/>
      </c>
      <c r="NX36">
        <f>IF('calcA'!EK$106=1,IJ36,1)</f>
        <v/>
      </c>
      <c r="NY36">
        <f>IF('calcA'!EL$106=1,IK36,1)</f>
        <v/>
      </c>
      <c r="NZ36">
        <f>IF('calcA'!EM$106=1,IL36,1)</f>
        <v/>
      </c>
      <c r="OA36">
        <f>IF('calcA'!EN$106=1,IM36,1)</f>
        <v/>
      </c>
      <c r="OB36">
        <f>IF('calcA'!EO$106=1,IN36,1)</f>
        <v/>
      </c>
      <c r="OC36">
        <f>IF('calcA'!EP$106=1,IO36,1)</f>
        <v/>
      </c>
      <c r="OD36" t="n">
        <v>1</v>
      </c>
      <c r="OF36">
        <f>IF($B36=0,1000000000,IF(INDEX('calcA'!$D$60:$EQ$99,$B36,1)*IF($W36=1,DB36+ZQ36,DB36)=1,IF(AND($E36=2,IF($W36=1,AFF36,IQ36)=0),1000000000,IF($V36=1,INDEX('calcA'!$D$130:$EQ$169,$B36,1)+IF(AND($E36=1,IQ36=0),25,0),INDEX('calcA'!D$110:D$114,$F36+1)+IF(AND($E36=1,IQ36=0),1000,0)+IF($H36=1,INDEX('calcA'!$D$180:$EQ$219,$B36,1)*500,0)-IF(AND($U36=1,'calcA'!D$117=1,DC36=0),300,0))),1000000000))</f>
        <v/>
      </c>
      <c r="OG36">
        <f>IF($B36=0,1000000000,IF(INDEX('calcA'!$D$60:$EQ$99,$B36,2)*IF($W36=1,DC36+ZR36,DC36)=1,IF(AND($E36=2,IF($W36=1,AFG36,IR36)=0),1000000000,IF($V36=1,INDEX('calcA'!$D$130:$EQ$169,$B36,2)+IF(AND($E36=1,IR36=0),25,0),INDEX('calcA'!E$110:E$114,$F36+1)+IF(AND($E36=1,IR36=0),1000,0)+IF($H36=1,INDEX('calcA'!$D$180:$EQ$219,$B36,2)*500,0)-IF(AND('calcA'!D$117=1,UB36&gt;0),300,0)-IF(AND($U36=1,'calcA'!E$117=1,DD36=0),300,0))),1000000000))</f>
        <v/>
      </c>
      <c r="OH36">
        <f>IF($B36=0,1000000000,IF(INDEX('calcA'!$D$60:$EQ$99,$B36,3)*IF($W36=1,DD36+ZS36,DD36)=1,IF(AND($E36=2,IF($W36=1,AFH36,IS36)=0),1000000000,IF($V36=1,INDEX('calcA'!$D$130:$EQ$169,$B36,3)+IF(AND($E36=1,IS36=0),25,0),INDEX('calcA'!F$110:F$114,$F36+1)+IF(AND($E36=1,IS36=0),1000,0)+IF($H36=1,INDEX('calcA'!$D$180:$EQ$219,$B36,3)*500,0)-IF(AND('calcA'!E$117=1,UC36&gt;0),300,0)-IF(AND($U36=1,'calcA'!F$117=1,DE36=0),300,0))),1000000000))</f>
        <v/>
      </c>
      <c r="OI36">
        <f>IF($B36=0,1000000000,IF(INDEX('calcA'!$D$60:$EQ$99,$B36,4)*IF($W36=1,DE36+ZT36,DE36)=1,IF(AND($E36=2,IF($W36=1,AFI36,IT36)=0),1000000000,IF($V36=1,INDEX('calcA'!$D$130:$EQ$169,$B36,4)+IF(AND($E36=1,IT36=0),25,0),INDEX('calcA'!G$110:G$114,$F36+1)+IF(AND($E36=1,IT36=0),1000,0)+IF($H36=1,INDEX('calcA'!$D$180:$EQ$219,$B36,4)*500,0)-IF(AND('calcA'!F$117=1,UD36&gt;0),300,0)-IF(AND($U36=1,'calcA'!G$117=1,DF36=0),300,0))),1000000000))</f>
        <v/>
      </c>
      <c r="OJ36">
        <f>IF($B36=0,1000000000,IF(INDEX('calcA'!$D$60:$EQ$99,$B36,5)*IF($W36=1,DF36+ZU36,DF36)=1,IF(AND($E36=2,IF($W36=1,AFJ36,IU36)=0),1000000000,IF($V36=1,INDEX('calcA'!$D$130:$EQ$169,$B36,5)+IF(AND($E36=1,IU36=0),25,0),INDEX('calcA'!H$110:H$114,$F36+1)+IF(AND($E36=1,IU36=0),1000,0)+IF($H36=1,INDEX('calcA'!$D$180:$EQ$219,$B36,5)*500,0)-IF(AND('calcA'!G$117=1,UE36&gt;0),300,0)-IF(AND($U36=1,'calcA'!H$117=1,DG36=0),300,0))),1000000000))</f>
        <v/>
      </c>
      <c r="OK36">
        <f>IF($B36=0,1000000000,IF(INDEX('calcA'!$D$60:$EQ$99,$B36,6)*IF($W36=1,DG36+ZV36,DG36)=1,IF(AND($E36=2,IF($W36=1,AFK36,IV36)=0),1000000000,IF($V36=1,INDEX('calcA'!$D$130:$EQ$169,$B36,6)+IF(AND($E36=1,IV36=0),25,0),INDEX('calcA'!I$110:I$114,$F36+1)+IF(AND($E36=1,IV36=0),1000,0)+IF($H36=1,INDEX('calcA'!$D$180:$EQ$219,$B36,6)*500,0)-IF(AND('calcA'!H$117=1,UF36&gt;0),300,0)-IF(AND($U36=1,'calcA'!I$117=1,DH36=0),300,0))),1000000000))</f>
        <v/>
      </c>
      <c r="OL36">
        <f>IF($B36=0,1000000000,IF(INDEX('calcA'!$D$60:$EQ$99,$B36,7)*IF($W36=1,DH36+ZW36,DH36)=1,IF(AND($E36=2,IF($W36=1,AFL36,IW36)=0),1000000000,IF($V36=1,INDEX('calcA'!$D$130:$EQ$169,$B36,7)+IF(AND($E36=1,IW36=0),25,0),INDEX('calcA'!J$110:J$114,$F36+1)+IF(AND($E36=1,IW36=0),1000,0)+IF($H36=1,INDEX('calcA'!$D$180:$EQ$219,$B36,7)*500,0)-IF(AND('calcA'!I$117=1,UG36&gt;0),300,0)-IF(AND($U36=1,'calcA'!J$117=1,DI36=0),300,0))),1000000000))</f>
        <v/>
      </c>
      <c r="OM36">
        <f>IF($B36=0,1000000000,IF(INDEX('calcA'!$D$60:$EQ$99,$B36,8)*IF($W36=1,DI36+ZX36,DI36)=1,IF(AND($E36=2,IF($W36=1,AFM36,IX36)=0),1000000000,IF($V36=1,INDEX('calcA'!$D$130:$EQ$169,$B36,8)+IF(AND($E36=1,IX36=0),25,0),INDEX('calcA'!K$110:K$114,$F36+1)+IF(AND($E36=1,IX36=0),1000,0)+IF($H36=1,INDEX('calcA'!$D$180:$EQ$219,$B36,8)*500,0)-IF(AND('calcA'!J$117=1,UH36&gt;0),300,0)-IF(AND($U36=1,'calcA'!K$117=1,DJ36=0),300,0))),1000000000))</f>
        <v/>
      </c>
      <c r="ON36">
        <f>IF($B36=0,1000000000,IF(INDEX('calcA'!$D$60:$EQ$99,$B36,9)*IF($W36=1,DJ36+ZY36,DJ36)=1,IF(AND($E36=2,IF($W36=1,AFN36,IY36)=0),1000000000,IF($V36=1,INDEX('calcA'!$D$130:$EQ$169,$B36,9)+IF(AND($E36=1,IY36=0),25,0),INDEX('calcA'!L$110:L$114,$F36+1)+IF(AND($E36=1,IY36=0),1000,0)+IF($H36=1,INDEX('calcA'!$D$180:$EQ$219,$B36,9)*500,0)-IF(AND('calcA'!K$117=1,UI36&gt;0),300,0)-IF(AND($U36=1,'calcA'!L$117=1,DK36=0),300,0))),1000000000))</f>
        <v/>
      </c>
      <c r="OO36">
        <f>IF($B36=0,1000000000,IF(INDEX('calcA'!$D$60:$EQ$99,$B36,10)*IF($W36=1,DK36+ZZ36,DK36)=1,IF(AND($E36=2,IF($W36=1,AFO36,IZ36)=0),1000000000,IF($V36=1,INDEX('calcA'!$D$130:$EQ$169,$B36,10)+IF(AND($E36=1,IZ36=0),25,0),INDEX('calcA'!M$110:M$114,$F36+1)+IF(AND($E36=1,IZ36=0),1000,0)+IF($H36=1,INDEX('calcA'!$D$180:$EQ$219,$B36,10)*500,0)-IF(AND('calcA'!L$117=1,UJ36&gt;0),300,0)-IF(AND($U36=1,'calcA'!M$117=1,DL36=0),300,0))),1000000000))</f>
        <v/>
      </c>
      <c r="OP36">
        <f>IF($B36=0,1000000000,IF(INDEX('calcA'!$D$60:$EQ$99,$B36,11)*IF($W36=1,DL36+AAA36,DL36)=1,IF(AND($E36=2,IF($W36=1,AFP36,JA36)=0),1000000000,IF($V36=1,INDEX('calcA'!$D$130:$EQ$169,$B36,11)+IF(AND($E36=1,JA36=0),25,0),INDEX('calcA'!N$110:N$114,$F36+1)+IF(AND($E36=1,JA36=0),1000,0)+IF($H36=1,INDEX('calcA'!$D$180:$EQ$219,$B36,11)*500,0)-IF(AND('calcA'!M$117=1,UK36&gt;0),300,0)-IF(AND($U36=1,'calcA'!N$117=1,DM36=0),300,0))),1000000000))</f>
        <v/>
      </c>
      <c r="OQ36">
        <f>IF($B36=0,1000000000,IF(INDEX('calcA'!$D$60:$EQ$99,$B36,12)*IF($W36=1,DM36+AAB36,DM36)=1,IF(AND($E36=2,IF($W36=1,AFQ36,JB36)=0),1000000000,IF($V36=1,INDEX('calcA'!$D$130:$EQ$169,$B36,12)+IF(AND($E36=1,JB36=0),25,0),INDEX('calcA'!O$110:O$114,$F36+1)+IF(AND($E36=1,JB36=0),1000,0)+IF($H36=1,INDEX('calcA'!$D$180:$EQ$219,$B36,12)*500,0)-IF(AND('calcA'!N$117=1,UL36&gt;0),300,0)-IF(AND($U36=1,'calcA'!O$117=1,DN36=0),300,0))),1000000000))</f>
        <v/>
      </c>
      <c r="OR36">
        <f>IF($B36=0,1000000000,IF(INDEX('calcA'!$D$60:$EQ$99,$B36,13)*IF($W36=1,DN36+AAC36,DN36)=1,IF(AND($E36=2,IF($W36=1,AFR36,JC36)=0),1000000000,IF($V36=1,INDEX('calcA'!$D$130:$EQ$169,$B36,13)+IF(AND($E36=1,JC36=0),25,0),INDEX('calcA'!P$110:P$114,$F36+1)+IF(AND($E36=1,JC36=0),1000,0)+IF($H36=1,INDEX('calcA'!$D$180:$EQ$219,$B36,13)*500,0)-IF(AND('calcA'!O$117=1,UM36&gt;0),300,0)-IF(AND($U36=1,'calcA'!P$117=1,DO36=0),300,0))),1000000000))</f>
        <v/>
      </c>
      <c r="OS36">
        <f>IF($B36=0,1000000000,IF(INDEX('calcA'!$D$60:$EQ$99,$B36,14)*IF($W36=1,DO36+AAD36,DO36)=1,IF(AND($E36=2,IF($W36=1,AFS36,JD36)=0),1000000000,IF($V36=1,INDEX('calcA'!$D$130:$EQ$169,$B36,14)+IF(AND($E36=1,JD36=0),25,0),INDEX('calcA'!Q$110:Q$114,$F36+1)+IF(AND($E36=1,JD36=0),1000,0)+IF($H36=1,INDEX('calcA'!$D$180:$EQ$219,$B36,14)*500,0)-IF(AND('calcA'!P$117=1,UN36&gt;0),300,0)-IF(AND($U36=1,'calcA'!Q$117=1,DP36=0),300,0))),1000000000))</f>
        <v/>
      </c>
      <c r="OT36">
        <f>IF($B36=0,1000000000,IF(INDEX('calcA'!$D$60:$EQ$99,$B36,15)*IF($W36=1,DP36+AAE36,DP36)=1,IF(AND($E36=2,IF($W36=1,AFT36,JE36)=0),1000000000,IF($V36=1,INDEX('calcA'!$D$130:$EQ$169,$B36,15)+IF(AND($E36=1,JE36=0),25,0),INDEX('calcA'!R$110:R$114,$F36+1)+IF(AND($E36=1,JE36=0),1000,0)+IF($H36=1,INDEX('calcA'!$D$180:$EQ$219,$B36,15)*500,0)-IF(AND('calcA'!Q$117=1,UO36&gt;0),300,0)-IF(AND($U36=1,'calcA'!R$117=1,DQ36=0),300,0))),1000000000))</f>
        <v/>
      </c>
      <c r="OU36">
        <f>IF($B36=0,1000000000,IF(INDEX('calcA'!$D$60:$EQ$99,$B36,16)*IF($W36=1,DQ36+AAF36,DQ36)=1,IF(AND($E36=2,IF($W36=1,AFU36,JF36)=0),1000000000,IF($V36=1,INDEX('calcA'!$D$130:$EQ$169,$B36,16)+IF(AND($E36=1,JF36=0),25,0),INDEX('calcA'!S$110:S$114,$F36+1)+IF(AND($E36=1,JF36=0),1000,0)+IF($H36=1,INDEX('calcA'!$D$180:$EQ$219,$B36,16)*500,0)-IF(AND('calcA'!R$117=1,UP36&gt;0),300,0)-IF(AND($U36=1,'calcA'!S$117=1,DR36=0),300,0))),1000000000))</f>
        <v/>
      </c>
      <c r="OV36">
        <f>IF($B36=0,1000000000,IF(INDEX('calcA'!$D$60:$EQ$99,$B36,17)*IF($W36=1,DR36+AAG36,DR36)=1,IF(AND($E36=2,IF($W36=1,AFV36,JG36)=0),1000000000,IF($V36=1,INDEX('calcA'!$D$130:$EQ$169,$B36,17)+IF(AND($E36=1,JG36=0),25,0),INDEX('calcA'!T$110:T$114,$F36+1)+IF(AND($E36=1,JG36=0),1000,0)+IF($H36=1,INDEX('calcA'!$D$180:$EQ$219,$B36,17)*500,0)-IF(AND('calcA'!S$117=1,UQ36&gt;0),300,0)-IF(AND($U36=1,'calcA'!T$117=1,DS36=0),300,0))),1000000000))</f>
        <v/>
      </c>
      <c r="OW36">
        <f>IF($B36=0,1000000000,IF(INDEX('calcA'!$D$60:$EQ$99,$B36,18)*IF($W36=1,DS36+AAH36,DS36)=1,IF(AND($E36=2,IF($W36=1,AFW36,JH36)=0),1000000000,IF($V36=1,INDEX('calcA'!$D$130:$EQ$169,$B36,18)+IF(AND($E36=1,JH36=0),25,0),INDEX('calcA'!U$110:U$114,$F36+1)+IF(AND($E36=1,JH36=0),1000,0)+IF($H36=1,INDEX('calcA'!$D$180:$EQ$219,$B36,18)*500,0)-IF(AND('calcA'!T$117=1,UR36&gt;0),300,0)-IF(AND($U36=1,'calcA'!U$117=1,DT36=0),300,0))),1000000000))</f>
        <v/>
      </c>
      <c r="OX36">
        <f>IF($B36=0,1000000000,IF(INDEX('calcA'!$D$60:$EQ$99,$B36,19)*IF($W36=1,DT36+AAI36,DT36)=1,IF(AND($E36=2,IF($W36=1,AFX36,JI36)=0),1000000000,IF($V36=1,INDEX('calcA'!$D$130:$EQ$169,$B36,19)+IF(AND($E36=1,JI36=0),25,0),INDEX('calcA'!V$110:V$114,$F36+1)+IF(AND($E36=1,JI36=0),1000,0)+IF($H36=1,INDEX('calcA'!$D$180:$EQ$219,$B36,19)*500,0)-IF(AND('calcA'!U$117=1,US36&gt;0),300,0)-IF(AND($U36=1,'calcA'!V$117=1,DU36=0),300,0))),1000000000))</f>
        <v/>
      </c>
      <c r="OY36">
        <f>IF($B36=0,1000000000,IF(INDEX('calcA'!$D$60:$EQ$99,$B36,20)*IF($W36=1,DU36+AAJ36,DU36)=1,IF(AND($E36=2,IF($W36=1,AFY36,JJ36)=0),1000000000,IF($V36=1,INDEX('calcA'!$D$130:$EQ$169,$B36,20)+IF(AND($E36=1,JJ36=0),25,0),INDEX('calcA'!W$110:W$114,$F36+1)+IF(AND($E36=1,JJ36=0),1000,0)+IF($H36=1,INDEX('calcA'!$D$180:$EQ$219,$B36,20)*500,0)-IF(AND('calcA'!V$117=1,UT36&gt;0),300,0)-IF(AND($U36=1,'calcA'!W$117=1,DV36=0),300,0))),1000000000))</f>
        <v/>
      </c>
      <c r="OZ36">
        <f>IF($B36=0,1000000000,IF(INDEX('calcA'!$D$60:$EQ$99,$B36,21)*IF($W36=1,DV36+AAK36,DV36)=1,IF(AND($E36=2,IF($W36=1,AFZ36,JK36)=0),1000000000,IF($V36=1,INDEX('calcA'!$D$130:$EQ$169,$B36,21)+IF(AND($E36=1,JK36=0),25,0),INDEX('calcA'!X$110:X$114,$F36+1)+IF(AND($E36=1,JK36=0),1000,0)+IF($H36=1,INDEX('calcA'!$D$180:$EQ$219,$B36,21)*500,0)-IF(AND('calcA'!W$117=1,UU36&gt;0),300,0)-IF(AND($U36=1,'calcA'!X$117=1,DW36=0),300,0))),1000000000))</f>
        <v/>
      </c>
      <c r="PA36">
        <f>IF($B36=0,1000000000,IF(INDEX('calcA'!$D$60:$EQ$99,$B36,22)*IF($W36=1,DW36+AAL36,DW36)=1,IF(AND($E36=2,IF($W36=1,AGA36,JL36)=0),1000000000,IF($V36=1,INDEX('calcA'!$D$130:$EQ$169,$B36,22)+IF(AND($E36=1,JL36=0),25,0),INDEX('calcA'!Y$110:Y$114,$F36+1)+IF(AND($E36=1,JL36=0),1000,0)+IF($H36=1,INDEX('calcA'!$D$180:$EQ$219,$B36,22)*500,0)-IF(AND('calcA'!X$117=1,UV36&gt;0),300,0)-IF(AND($U36=1,'calcA'!Y$117=1,DX36=0),300,0))),1000000000))</f>
        <v/>
      </c>
      <c r="PB36">
        <f>IF($B36=0,1000000000,IF(INDEX('calcA'!$D$60:$EQ$99,$B36,23)*IF($W36=1,DX36+AAM36,DX36)=1,IF(AND($E36=2,IF($W36=1,AGB36,JM36)=0),1000000000,IF($V36=1,INDEX('calcA'!$D$130:$EQ$169,$B36,23)+IF(AND($E36=1,JM36=0),25,0),INDEX('calcA'!Z$110:Z$114,$F36+1)+IF(AND($E36=1,JM36=0),1000,0)+IF($H36=1,INDEX('calcA'!$D$180:$EQ$219,$B36,23)*500,0)-IF(AND('calcA'!Y$117=1,UW36&gt;0),300,0)-IF(AND($U36=1,'calcA'!Z$117=1,DY36=0),300,0))),1000000000))</f>
        <v/>
      </c>
      <c r="PC36">
        <f>IF($B36=0,1000000000,IF(INDEX('calcA'!$D$60:$EQ$99,$B36,24)*IF($W36=1,DY36+AAN36,DY36)=1,IF(AND($E36=2,IF($W36=1,AGC36,JN36)=0),1000000000,IF($V36=1,INDEX('calcA'!$D$130:$EQ$169,$B36,24)+IF(AND($E36=1,JN36=0),25,0),INDEX('calcA'!AA$110:AA$114,$F36+1)+IF(AND($E36=1,JN36=0),1000,0)+IF($H36=1,INDEX('calcA'!$D$180:$EQ$219,$B36,24)*500,0)-IF(AND('calcA'!Z$117=1,UX36&gt;0),300,0))),1000000000))</f>
        <v/>
      </c>
      <c r="PD36">
        <f>IF($B36=0,1000000000,IF(INDEX('calcA'!$D$60:$EQ$99,$B36,25)*IF($W36=1,DZ36+AAO36,DZ36)=1,IF(AND($E36=2,IF($W36=1,AGD36,JO36)=0),1000000000,IF($V36=1,INDEX('calcA'!$D$130:$EQ$169,$B36,25)+IF(AND($E36=1,JO36=0),25,0),INDEX('calcA'!AB$110:AB$114,$F36+1)+IF(AND($E36=1,JO36=0),1000,0)+IF($H36=1,INDEX('calcA'!$D$180:$EQ$219,$B36,25)*500,0)-IF(AND($U36=1,'calcA'!AB$117=1,EA36=0),300,0))),1000000000))</f>
        <v/>
      </c>
      <c r="PE36">
        <f>IF($B36=0,1000000000,IF(INDEX('calcA'!$D$60:$EQ$99,$B36,26)*IF($W36=1,EA36+AAP36,EA36)=1,IF(AND($E36=2,IF($W36=1,AGE36,JP36)=0),1000000000,IF($V36=1,INDEX('calcA'!$D$130:$EQ$169,$B36,26)+IF(AND($E36=1,JP36=0),25,0),INDEX('calcA'!AC$110:AC$114,$F36+1)+IF(AND($E36=1,JP36=0),1000,0)+IF($H36=1,INDEX('calcA'!$D$180:$EQ$219,$B36,26)*500,0)-IF(AND('calcA'!AB$117=1,UZ36&gt;0),300,0)-IF(AND($U36=1,'calcA'!AC$117=1,EB36=0),300,0))),1000000000))</f>
        <v/>
      </c>
      <c r="PF36">
        <f>IF($B36=0,1000000000,IF(INDEX('calcA'!$D$60:$EQ$99,$B36,27)*IF($W36=1,EB36+AAQ36,EB36)=1,IF(AND($E36=2,IF($W36=1,AGF36,JQ36)=0),1000000000,IF($V36=1,INDEX('calcA'!$D$130:$EQ$169,$B36,27)+IF(AND($E36=1,JQ36=0),25,0),INDEX('calcA'!AD$110:AD$114,$F36+1)+IF(AND($E36=1,JQ36=0),1000,0)+IF($H36=1,INDEX('calcA'!$D$180:$EQ$219,$B36,27)*500,0)-IF(AND('calcA'!AC$117=1,VA36&gt;0),300,0)-IF(AND($U36=1,'calcA'!AD$117=1,EC36=0),300,0))),1000000000))</f>
        <v/>
      </c>
      <c r="PG36">
        <f>IF($B36=0,1000000000,IF(INDEX('calcA'!$D$60:$EQ$99,$B36,28)*IF($W36=1,EC36+AAR36,EC36)=1,IF(AND($E36=2,IF($W36=1,AGG36,JR36)=0),1000000000,IF($V36=1,INDEX('calcA'!$D$130:$EQ$169,$B36,28)+IF(AND($E36=1,JR36=0),25,0),INDEX('calcA'!AE$110:AE$114,$F36+1)+IF(AND($E36=1,JR36=0),1000,0)+IF($H36=1,INDEX('calcA'!$D$180:$EQ$219,$B36,28)*500,0)-IF(AND('calcA'!AD$117=1,VB36&gt;0),300,0)-IF(AND($U36=1,'calcA'!AE$117=1,ED36=0),300,0))),1000000000))</f>
        <v/>
      </c>
      <c r="PH36">
        <f>IF($B36=0,1000000000,IF(INDEX('calcA'!$D$60:$EQ$99,$B36,29)*IF($W36=1,ED36+AAS36,ED36)=1,IF(AND($E36=2,IF($W36=1,AGH36,JS36)=0),1000000000,IF($V36=1,INDEX('calcA'!$D$130:$EQ$169,$B36,29)+IF(AND($E36=1,JS36=0),25,0),INDEX('calcA'!AF$110:AF$114,$F36+1)+IF(AND($E36=1,JS36=0),1000,0)+IF($H36=1,INDEX('calcA'!$D$180:$EQ$219,$B36,29)*500,0)-IF(AND('calcA'!AE$117=1,VC36&gt;0),300,0)-IF(AND($U36=1,'calcA'!AF$117=1,EE36=0),300,0))),1000000000))</f>
        <v/>
      </c>
      <c r="PI36">
        <f>IF($B36=0,1000000000,IF(INDEX('calcA'!$D$60:$EQ$99,$B36,30)*IF($W36=1,EE36+AAT36,EE36)=1,IF(AND($E36=2,IF($W36=1,AGI36,JT36)=0),1000000000,IF($V36=1,INDEX('calcA'!$D$130:$EQ$169,$B36,30)+IF(AND($E36=1,JT36=0),25,0),INDEX('calcA'!AG$110:AG$114,$F36+1)+IF(AND($E36=1,JT36=0),1000,0)+IF($H36=1,INDEX('calcA'!$D$180:$EQ$219,$B36,30)*500,0)-IF(AND('calcA'!AF$117=1,VD36&gt;0),300,0)-IF(AND($U36=1,'calcA'!AG$117=1,EF36=0),300,0))),1000000000))</f>
        <v/>
      </c>
      <c r="PJ36">
        <f>IF($B36=0,1000000000,IF(INDEX('calcA'!$D$60:$EQ$99,$B36,31)*IF($W36=1,EF36+AAU36,EF36)=1,IF(AND($E36=2,IF($W36=1,AGJ36,JU36)=0),1000000000,IF($V36=1,INDEX('calcA'!$D$130:$EQ$169,$B36,31)+IF(AND($E36=1,JU36=0),25,0),INDEX('calcA'!AH$110:AH$114,$F36+1)+IF(AND($E36=1,JU36=0),1000,0)+IF($H36=1,INDEX('calcA'!$D$180:$EQ$219,$B36,31)*500,0)-IF(AND('calcA'!AG$117=1,VE36&gt;0),300,0)-IF(AND($U36=1,'calcA'!AH$117=1,EG36=0),300,0))),1000000000))</f>
        <v/>
      </c>
      <c r="PK36">
        <f>IF($B36=0,1000000000,IF(INDEX('calcA'!$D$60:$EQ$99,$B36,32)*IF($W36=1,EG36+AAV36,EG36)=1,IF(AND($E36=2,IF($W36=1,AGK36,JV36)=0),1000000000,IF($V36=1,INDEX('calcA'!$D$130:$EQ$169,$B36,32)+IF(AND($E36=1,JV36=0),25,0),INDEX('calcA'!AI$110:AI$114,$F36+1)+IF(AND($E36=1,JV36=0),1000,0)+IF($H36=1,INDEX('calcA'!$D$180:$EQ$219,$B36,32)*500,0)-IF(AND('calcA'!AH$117=1,VF36&gt;0),300,0)-IF(AND($U36=1,'calcA'!AI$117=1,EH36=0),300,0))),1000000000))</f>
        <v/>
      </c>
      <c r="PL36">
        <f>IF($B36=0,1000000000,IF(INDEX('calcA'!$D$60:$EQ$99,$B36,33)*IF($W36=1,EH36+AAW36,EH36)=1,IF(AND($E36=2,IF($W36=1,AGL36,JW36)=0),1000000000,IF($V36=1,INDEX('calcA'!$D$130:$EQ$169,$B36,33)+IF(AND($E36=1,JW36=0),25,0),INDEX('calcA'!AJ$110:AJ$114,$F36+1)+IF(AND($E36=1,JW36=0),1000,0)+IF($H36=1,INDEX('calcA'!$D$180:$EQ$219,$B36,33)*500,0)-IF(AND('calcA'!AI$117=1,VG36&gt;0),300,0)-IF(AND($U36=1,'calcA'!AJ$117=1,EI36=0),300,0))),1000000000))</f>
        <v/>
      </c>
      <c r="PM36">
        <f>IF($B36=0,1000000000,IF(INDEX('calcA'!$D$60:$EQ$99,$B36,34)*IF($W36=1,EI36+AAX36,EI36)=1,IF(AND($E36=2,IF($W36=1,AGM36,JX36)=0),1000000000,IF($V36=1,INDEX('calcA'!$D$130:$EQ$169,$B36,34)+IF(AND($E36=1,JX36=0),25,0),INDEX('calcA'!AK$110:AK$114,$F36+1)+IF(AND($E36=1,JX36=0),1000,0)+IF($H36=1,INDEX('calcA'!$D$180:$EQ$219,$B36,34)*500,0)-IF(AND('calcA'!AJ$117=1,VH36&gt;0),300,0)-IF(AND($U36=1,'calcA'!AK$117=1,EJ36=0),300,0))),1000000000))</f>
        <v/>
      </c>
      <c r="PN36">
        <f>IF($B36=0,1000000000,IF(INDEX('calcA'!$D$60:$EQ$99,$B36,35)*IF($W36=1,EJ36+AAY36,EJ36)=1,IF(AND($E36=2,IF($W36=1,AGN36,JY36)=0),1000000000,IF($V36=1,INDEX('calcA'!$D$130:$EQ$169,$B36,35)+IF(AND($E36=1,JY36=0),25,0),INDEX('calcA'!AL$110:AL$114,$F36+1)+IF(AND($E36=1,JY36=0),1000,0)+IF($H36=1,INDEX('calcA'!$D$180:$EQ$219,$B36,35)*500,0)-IF(AND('calcA'!AK$117=1,VI36&gt;0),300,0)-IF(AND($U36=1,'calcA'!AL$117=1,EK36=0),300,0))),1000000000))</f>
        <v/>
      </c>
      <c r="PO36">
        <f>IF($B36=0,1000000000,IF(INDEX('calcA'!$D$60:$EQ$99,$B36,36)*IF($W36=1,EK36+AAZ36,EK36)=1,IF(AND($E36=2,IF($W36=1,AGO36,JZ36)=0),1000000000,IF($V36=1,INDEX('calcA'!$D$130:$EQ$169,$B36,36)+IF(AND($E36=1,JZ36=0),25,0),INDEX('calcA'!AM$110:AM$114,$F36+1)+IF(AND($E36=1,JZ36=0),1000,0)+IF($H36=1,INDEX('calcA'!$D$180:$EQ$219,$B36,36)*500,0)-IF(AND('calcA'!AL$117=1,VJ36&gt;0),300,0)-IF(AND($U36=1,'calcA'!AM$117=1,EL36=0),300,0))),1000000000))</f>
        <v/>
      </c>
      <c r="PP36">
        <f>IF($B36=0,1000000000,IF(INDEX('calcA'!$D$60:$EQ$99,$B36,37)*IF($W36=1,EL36+ABA36,EL36)=1,IF(AND($E36=2,IF($W36=1,AGP36,KA36)=0),1000000000,IF($V36=1,INDEX('calcA'!$D$130:$EQ$169,$B36,37)+IF(AND($E36=1,KA36=0),25,0),INDEX('calcA'!AN$110:AN$114,$F36+1)+IF(AND($E36=1,KA36=0),1000,0)+IF($H36=1,INDEX('calcA'!$D$180:$EQ$219,$B36,37)*500,0)-IF(AND('calcA'!AM$117=1,VK36&gt;0),300,0)-IF(AND($U36=1,'calcA'!AN$117=1,EM36=0),300,0))),1000000000))</f>
        <v/>
      </c>
      <c r="PQ36">
        <f>IF($B36=0,1000000000,IF(INDEX('calcA'!$D$60:$EQ$99,$B36,38)*IF($W36=1,EM36+ABB36,EM36)=1,IF(AND($E36=2,IF($W36=1,AGQ36,KB36)=0),1000000000,IF($V36=1,INDEX('calcA'!$D$130:$EQ$169,$B36,38)+IF(AND($E36=1,KB36=0),25,0),INDEX('calcA'!AO$110:AO$114,$F36+1)+IF(AND($E36=1,KB36=0),1000,0)+IF($H36=1,INDEX('calcA'!$D$180:$EQ$219,$B36,38)*500,0)-IF(AND('calcA'!AN$117=1,VL36&gt;0),300,0)-IF(AND($U36=1,'calcA'!AO$117=1,EN36=0),300,0))),1000000000))</f>
        <v/>
      </c>
      <c r="PR36">
        <f>IF($B36=0,1000000000,IF(INDEX('calcA'!$D$60:$EQ$99,$B36,39)*IF($W36=1,EN36+ABC36,EN36)=1,IF(AND($E36=2,IF($W36=1,AGR36,KC36)=0),1000000000,IF($V36=1,INDEX('calcA'!$D$130:$EQ$169,$B36,39)+IF(AND($E36=1,KC36=0),25,0),INDEX('calcA'!AP$110:AP$114,$F36+1)+IF(AND($E36=1,KC36=0),1000,0)+IF($H36=1,INDEX('calcA'!$D$180:$EQ$219,$B36,39)*500,0)-IF(AND('calcA'!AO$117=1,VM36&gt;0),300,0)-IF(AND($U36=1,'calcA'!AP$117=1,EO36=0),300,0))),1000000000))</f>
        <v/>
      </c>
      <c r="PS36">
        <f>IF($B36=0,1000000000,IF(INDEX('calcA'!$D$60:$EQ$99,$B36,40)*IF($W36=1,EO36+ABD36,EO36)=1,IF(AND($E36=2,IF($W36=1,AGS36,KD36)=0),1000000000,IF($V36=1,INDEX('calcA'!$D$130:$EQ$169,$B36,40)+IF(AND($E36=1,KD36=0),25,0),INDEX('calcA'!AQ$110:AQ$114,$F36+1)+IF(AND($E36=1,KD36=0),1000,0)+IF($H36=1,INDEX('calcA'!$D$180:$EQ$219,$B36,40)*500,0)-IF(AND('calcA'!AP$117=1,VN36&gt;0),300,0)-IF(AND($U36=1,'calcA'!AQ$117=1,EP36=0),300,0))),1000000000))</f>
        <v/>
      </c>
      <c r="PT36">
        <f>IF($B36=0,1000000000,IF(INDEX('calcA'!$D$60:$EQ$99,$B36,41)*IF($W36=1,EP36+ABE36,EP36)=1,IF(AND($E36=2,IF($W36=1,AGT36,KE36)=0),1000000000,IF($V36=1,INDEX('calcA'!$D$130:$EQ$169,$B36,41)+IF(AND($E36=1,KE36=0),25,0),INDEX('calcA'!AR$110:AR$114,$F36+1)+IF(AND($E36=1,KE36=0),1000,0)+IF($H36=1,INDEX('calcA'!$D$180:$EQ$219,$B36,41)*500,0)-IF(AND('calcA'!AQ$117=1,VO36&gt;0),300,0)-IF(AND($U36=1,'calcA'!AR$117=1,EQ36=0),300,0))),1000000000))</f>
        <v/>
      </c>
      <c r="PU36">
        <f>IF($B36=0,1000000000,IF(INDEX('calcA'!$D$60:$EQ$99,$B36,42)*IF($W36=1,EQ36+ABF36,EQ36)=1,IF(AND($E36=2,IF($W36=1,AGU36,KF36)=0),1000000000,IF($V36=1,INDEX('calcA'!$D$130:$EQ$169,$B36,42)+IF(AND($E36=1,KF36=0),25,0),INDEX('calcA'!AS$110:AS$114,$F36+1)+IF(AND($E36=1,KF36=0),1000,0)+IF($H36=1,INDEX('calcA'!$D$180:$EQ$219,$B36,42)*500,0)-IF(AND('calcA'!AR$117=1,VP36&gt;0),300,0)-IF(AND($U36=1,'calcA'!AS$117=1,ER36=0),300,0))),1000000000))</f>
        <v/>
      </c>
      <c r="PV36">
        <f>IF($B36=0,1000000000,IF(INDEX('calcA'!$D$60:$EQ$99,$B36,43)*IF($W36=1,ER36+ABG36,ER36)=1,IF(AND($E36=2,IF($W36=1,AGV36,KG36)=0),1000000000,IF($V36=1,INDEX('calcA'!$D$130:$EQ$169,$B36,43)+IF(AND($E36=1,KG36=0),25,0),INDEX('calcA'!AT$110:AT$114,$F36+1)+IF(AND($E36=1,KG36=0),1000,0)+IF($H36=1,INDEX('calcA'!$D$180:$EQ$219,$B36,43)*500,0)-IF(AND('calcA'!AS$117=1,VQ36&gt;0),300,0)-IF(AND($U36=1,'calcA'!AT$117=1,ES36=0),300,0))),1000000000))</f>
        <v/>
      </c>
      <c r="PW36">
        <f>IF($B36=0,1000000000,IF(INDEX('calcA'!$D$60:$EQ$99,$B36,44)*IF($W36=1,ES36+ABH36,ES36)=1,IF(AND($E36=2,IF($W36=1,AGW36,KH36)=0),1000000000,IF($V36=1,INDEX('calcA'!$D$130:$EQ$169,$B36,44)+IF(AND($E36=1,KH36=0),25,0),INDEX('calcA'!AU$110:AU$114,$F36+1)+IF(AND($E36=1,KH36=0),1000,0)+IF($H36=1,INDEX('calcA'!$D$180:$EQ$219,$B36,44)*500,0)-IF(AND('calcA'!AT$117=1,VR36&gt;0),300,0)-IF(AND($U36=1,'calcA'!AU$117=1,ET36=0),300,0))),1000000000))</f>
        <v/>
      </c>
      <c r="PX36">
        <f>IF($B36=0,1000000000,IF(INDEX('calcA'!$D$60:$EQ$99,$B36,45)*IF($W36=1,ET36+ABI36,ET36)=1,IF(AND($E36=2,IF($W36=1,AGX36,KI36)=0),1000000000,IF($V36=1,INDEX('calcA'!$D$130:$EQ$169,$B36,45)+IF(AND($E36=1,KI36=0),25,0),INDEX('calcA'!AV$110:AV$114,$F36+1)+IF(AND($E36=1,KI36=0),1000,0)+IF($H36=1,INDEX('calcA'!$D$180:$EQ$219,$B36,45)*500,0)-IF(AND('calcA'!AU$117=1,VS36&gt;0),300,0)-IF(AND($U36=1,'calcA'!AV$117=1,EU36=0),300,0))),1000000000))</f>
        <v/>
      </c>
      <c r="PY36">
        <f>IF($B36=0,1000000000,IF(INDEX('calcA'!$D$60:$EQ$99,$B36,46)*IF($W36=1,EU36+ABJ36,EU36)=1,IF(AND($E36=2,IF($W36=1,AGY36,KJ36)=0),1000000000,IF($V36=1,INDEX('calcA'!$D$130:$EQ$169,$B36,46)+IF(AND($E36=1,KJ36=0),25,0),INDEX('calcA'!AW$110:AW$114,$F36+1)+IF(AND($E36=1,KJ36=0),1000,0)+IF($H36=1,INDEX('calcA'!$D$180:$EQ$219,$B36,46)*500,0)-IF(AND('calcA'!AV$117=1,VT36&gt;0),300,0)-IF(AND($U36=1,'calcA'!AW$117=1,EV36=0),300,0))),1000000000))</f>
        <v/>
      </c>
      <c r="PZ36">
        <f>IF($B36=0,1000000000,IF(INDEX('calcA'!$D$60:$EQ$99,$B36,47)*IF($W36=1,EV36+ABK36,EV36)=1,IF(AND($E36=2,IF($W36=1,AGZ36,KK36)=0),1000000000,IF($V36=1,INDEX('calcA'!$D$130:$EQ$169,$B36,47)+IF(AND($E36=1,KK36=0),25,0),INDEX('calcA'!AX$110:AX$114,$F36+1)+IF(AND($E36=1,KK36=0),1000,0)+IF($H36=1,INDEX('calcA'!$D$180:$EQ$219,$B36,47)*500,0)-IF(AND('calcA'!AW$117=1,VU36&gt;0),300,0)-IF(AND($U36=1,'calcA'!AX$117=1,EW36=0),300,0))),1000000000))</f>
        <v/>
      </c>
      <c r="QA36">
        <f>IF($B36=0,1000000000,IF(INDEX('calcA'!$D$60:$EQ$99,$B36,48)*IF($W36=1,EW36+ABL36,EW36)=1,IF(AND($E36=2,IF($W36=1,AHA36,KL36)=0),1000000000,IF($V36=1,INDEX('calcA'!$D$130:$EQ$169,$B36,48)+IF(AND($E36=1,KL36=0),25,0),INDEX('calcA'!AY$110:AY$114,$F36+1)+IF(AND($E36=1,KL36=0),1000,0)+IF($H36=1,INDEX('calcA'!$D$180:$EQ$219,$B36,48)*500,0)-IF(AND('calcA'!AX$117=1,VV36&gt;0),300,0))),1000000000))</f>
        <v/>
      </c>
      <c r="QB36">
        <f>IF($B36=0,1000000000,IF(INDEX('calcA'!$D$60:$EQ$99,$B36,49)*IF($W36=1,EX36+ABM36,EX36)=1,IF(AND($E36=2,IF($W36=1,AHB36,KM36)=0),1000000000,IF($V36=1,INDEX('calcA'!$D$130:$EQ$169,$B36,49)+IF(AND($E36=1,KM36=0),25,0),INDEX('calcA'!AZ$110:AZ$114,$F36+1)+IF(AND($E36=1,KM36=0),1000,0)+IF($H36=1,INDEX('calcA'!$D$180:$EQ$219,$B36,49)*500,0)-IF(AND($U36=1,'calcA'!AZ$117=1,EY36=0),300,0))),1000000000))</f>
        <v/>
      </c>
      <c r="QC36">
        <f>IF($B36=0,1000000000,IF(INDEX('calcA'!$D$60:$EQ$99,$B36,50)*IF($W36=1,EY36+ABN36,EY36)=1,IF(AND($E36=2,IF($W36=1,AHC36,KN36)=0),1000000000,IF($V36=1,INDEX('calcA'!$D$130:$EQ$169,$B36,50)+IF(AND($E36=1,KN36=0),25,0),INDEX('calcA'!BA$110:BA$114,$F36+1)+IF(AND($E36=1,KN36=0),1000,0)+IF($H36=1,INDEX('calcA'!$D$180:$EQ$219,$B36,50)*500,0)-IF(AND('calcA'!AZ$117=1,VX36&gt;0),300,0)-IF(AND($U36=1,'calcA'!BA$117=1,EZ36=0),300,0))),1000000000))</f>
        <v/>
      </c>
      <c r="QD36">
        <f>IF($B36=0,1000000000,IF(INDEX('calcA'!$D$60:$EQ$99,$B36,51)*IF($W36=1,EZ36+ABO36,EZ36)=1,IF(AND($E36=2,IF($W36=1,AHD36,KO36)=0),1000000000,IF($V36=1,INDEX('calcA'!$D$130:$EQ$169,$B36,51)+IF(AND($E36=1,KO36=0),25,0),INDEX('calcA'!BB$110:BB$114,$F36+1)+IF(AND($E36=1,KO36=0),1000,0)+IF($H36=1,INDEX('calcA'!$D$180:$EQ$219,$B36,51)*500,0)-IF(AND('calcA'!BA$117=1,VY36&gt;0),300,0)-IF(AND($U36=1,'calcA'!BB$117=1,FA36=0),300,0))),1000000000))</f>
        <v/>
      </c>
      <c r="QE36">
        <f>IF($B36=0,1000000000,IF(INDEX('calcA'!$D$60:$EQ$99,$B36,52)*IF($W36=1,FA36+ABP36,FA36)=1,IF(AND($E36=2,IF($W36=1,AHE36,KP36)=0),1000000000,IF($V36=1,INDEX('calcA'!$D$130:$EQ$169,$B36,52)+IF(AND($E36=1,KP36=0),25,0),INDEX('calcA'!BC$110:BC$114,$F36+1)+IF(AND($E36=1,KP36=0),1000,0)+IF($H36=1,INDEX('calcA'!$D$180:$EQ$219,$B36,52)*500,0)-IF(AND('calcA'!BB$117=1,VZ36&gt;0),300,0)-IF(AND($U36=1,'calcA'!BC$117=1,FB36=0),300,0))),1000000000))</f>
        <v/>
      </c>
      <c r="QF36">
        <f>IF($B36=0,1000000000,IF(INDEX('calcA'!$D$60:$EQ$99,$B36,53)*IF($W36=1,FB36+ABQ36,FB36)=1,IF(AND($E36=2,IF($W36=1,AHF36,KQ36)=0),1000000000,IF($V36=1,INDEX('calcA'!$D$130:$EQ$169,$B36,53)+IF(AND($E36=1,KQ36=0),25,0),INDEX('calcA'!BD$110:BD$114,$F36+1)+IF(AND($E36=1,KQ36=0),1000,0)+IF($H36=1,INDEX('calcA'!$D$180:$EQ$219,$B36,53)*500,0)-IF(AND('calcA'!BC$117=1,WA36&gt;0),300,0)-IF(AND($U36=1,'calcA'!BD$117=1,FC36=0),300,0))),1000000000))</f>
        <v/>
      </c>
      <c r="QG36">
        <f>IF($B36=0,1000000000,IF(INDEX('calcA'!$D$60:$EQ$99,$B36,54)*IF($W36=1,FC36+ABR36,FC36)=1,IF(AND($E36=2,IF($W36=1,AHG36,KR36)=0),1000000000,IF($V36=1,INDEX('calcA'!$D$130:$EQ$169,$B36,54)+IF(AND($E36=1,KR36=0),25,0),INDEX('calcA'!BE$110:BE$114,$F36+1)+IF(AND($E36=1,KR36=0),1000,0)+IF($H36=1,INDEX('calcA'!$D$180:$EQ$219,$B36,54)*500,0)-IF(AND('calcA'!BD$117=1,WB36&gt;0),300,0)-IF(AND($U36=1,'calcA'!BE$117=1,FD36=0),300,0))),1000000000))</f>
        <v/>
      </c>
      <c r="QH36">
        <f>IF($B36=0,1000000000,IF(INDEX('calcA'!$D$60:$EQ$99,$B36,55)*IF($W36=1,FD36+ABS36,FD36)=1,IF(AND($E36=2,IF($W36=1,AHH36,KS36)=0),1000000000,IF($V36=1,INDEX('calcA'!$D$130:$EQ$169,$B36,55)+IF(AND($E36=1,KS36=0),25,0),INDEX('calcA'!BF$110:BF$114,$F36+1)+IF(AND($E36=1,KS36=0),1000,0)+IF($H36=1,INDEX('calcA'!$D$180:$EQ$219,$B36,55)*500,0)-IF(AND('calcA'!BE$117=1,WC36&gt;0),300,0)-IF(AND($U36=1,'calcA'!BF$117=1,FE36=0),300,0))),1000000000))</f>
        <v/>
      </c>
      <c r="QI36">
        <f>IF($B36=0,1000000000,IF(INDEX('calcA'!$D$60:$EQ$99,$B36,56)*IF($W36=1,FE36+ABT36,FE36)=1,IF(AND($E36=2,IF($W36=1,AHI36,KT36)=0),1000000000,IF($V36=1,INDEX('calcA'!$D$130:$EQ$169,$B36,56)+IF(AND($E36=1,KT36=0),25,0),INDEX('calcA'!BG$110:BG$114,$F36+1)+IF(AND($E36=1,KT36=0),1000,0)+IF($H36=1,INDEX('calcA'!$D$180:$EQ$219,$B36,56)*500,0)-IF(AND('calcA'!BF$117=1,WD36&gt;0),300,0)-IF(AND($U36=1,'calcA'!BG$117=1,FF36=0),300,0))),1000000000))</f>
        <v/>
      </c>
      <c r="QJ36">
        <f>IF($B36=0,1000000000,IF(INDEX('calcA'!$D$60:$EQ$99,$B36,57)*IF($W36=1,FF36+ABU36,FF36)=1,IF(AND($E36=2,IF($W36=1,AHJ36,KU36)=0),1000000000,IF($V36=1,INDEX('calcA'!$D$130:$EQ$169,$B36,57)+IF(AND($E36=1,KU36=0),25,0),INDEX('calcA'!BH$110:BH$114,$F36+1)+IF(AND($E36=1,KU36=0),1000,0)+IF($H36=1,INDEX('calcA'!$D$180:$EQ$219,$B36,57)*500,0)-IF(AND('calcA'!BG$117=1,WE36&gt;0),300,0)-IF(AND($U36=1,'calcA'!BH$117=1,FG36=0),300,0))),1000000000))</f>
        <v/>
      </c>
      <c r="QK36">
        <f>IF($B36=0,1000000000,IF(INDEX('calcA'!$D$60:$EQ$99,$B36,58)*IF($W36=1,FG36+ABV36,FG36)=1,IF(AND($E36=2,IF($W36=1,AHK36,KV36)=0),1000000000,IF($V36=1,INDEX('calcA'!$D$130:$EQ$169,$B36,58)+IF(AND($E36=1,KV36=0),25,0),INDEX('calcA'!BI$110:BI$114,$F36+1)+IF(AND($E36=1,KV36=0),1000,0)+IF($H36=1,INDEX('calcA'!$D$180:$EQ$219,$B36,58)*500,0)-IF(AND('calcA'!BH$117=1,WF36&gt;0),300,0)-IF(AND($U36=1,'calcA'!BI$117=1,FH36=0),300,0))),1000000000))</f>
        <v/>
      </c>
      <c r="QL36">
        <f>IF($B36=0,1000000000,IF(INDEX('calcA'!$D$60:$EQ$99,$B36,59)*IF($W36=1,FH36+ABW36,FH36)=1,IF(AND($E36=2,IF($W36=1,AHL36,KW36)=0),1000000000,IF($V36=1,INDEX('calcA'!$D$130:$EQ$169,$B36,59)+IF(AND($E36=1,KW36=0),25,0),INDEX('calcA'!BJ$110:BJ$114,$F36+1)+IF(AND($E36=1,KW36=0),1000,0)+IF($H36=1,INDEX('calcA'!$D$180:$EQ$219,$B36,59)*500,0)-IF(AND('calcA'!BI$117=1,WG36&gt;0),300,0)-IF(AND($U36=1,'calcA'!BJ$117=1,FI36=0),300,0))),1000000000))</f>
        <v/>
      </c>
      <c r="QM36">
        <f>IF($B36=0,1000000000,IF(INDEX('calcA'!$D$60:$EQ$99,$B36,60)*IF($W36=1,FI36+ABX36,FI36)=1,IF(AND($E36=2,IF($W36=1,AHM36,KX36)=0),1000000000,IF($V36=1,INDEX('calcA'!$D$130:$EQ$169,$B36,60)+IF(AND($E36=1,KX36=0),25,0),INDEX('calcA'!BK$110:BK$114,$F36+1)+IF(AND($E36=1,KX36=0),1000,0)+IF($H36=1,INDEX('calcA'!$D$180:$EQ$219,$B36,60)*500,0)-IF(AND('calcA'!BJ$117=1,WH36&gt;0),300,0)-IF(AND($U36=1,'calcA'!BK$117=1,FJ36=0),300,0))),1000000000))</f>
        <v/>
      </c>
      <c r="QN36">
        <f>IF($B36=0,1000000000,IF(INDEX('calcA'!$D$60:$EQ$99,$B36,61)*IF($W36=1,FJ36+ABY36,FJ36)=1,IF(AND($E36=2,IF($W36=1,AHN36,KY36)=0),1000000000,IF($V36=1,INDEX('calcA'!$D$130:$EQ$169,$B36,61)+IF(AND($E36=1,KY36=0),25,0),INDEX('calcA'!BL$110:BL$114,$F36+1)+IF(AND($E36=1,KY36=0),1000,0)+IF($H36=1,INDEX('calcA'!$D$180:$EQ$219,$B36,61)*500,0)-IF(AND('calcA'!BK$117=1,WI36&gt;0),300,0)-IF(AND($U36=1,'calcA'!BL$117=1,FK36=0),300,0))),1000000000))</f>
        <v/>
      </c>
      <c r="QO36">
        <f>IF($B36=0,1000000000,IF(INDEX('calcA'!$D$60:$EQ$99,$B36,62)*IF($W36=1,FK36+ABZ36,FK36)=1,IF(AND($E36=2,IF($W36=1,AHO36,KZ36)=0),1000000000,IF($V36=1,INDEX('calcA'!$D$130:$EQ$169,$B36,62)+IF(AND($E36=1,KZ36=0),25,0),INDEX('calcA'!BM$110:BM$114,$F36+1)+IF(AND($E36=1,KZ36=0),1000,0)+IF($H36=1,INDEX('calcA'!$D$180:$EQ$219,$B36,62)*500,0)-IF(AND('calcA'!BL$117=1,WJ36&gt;0),300,0)-IF(AND($U36=1,'calcA'!BM$117=1,FL36=0),300,0))),1000000000))</f>
        <v/>
      </c>
      <c r="QP36">
        <f>IF($B36=0,1000000000,IF(INDEX('calcA'!$D$60:$EQ$99,$B36,63)*IF($W36=1,FL36+ACA36,FL36)=1,IF(AND($E36=2,IF($W36=1,AHP36,LA36)=0),1000000000,IF($V36=1,INDEX('calcA'!$D$130:$EQ$169,$B36,63)+IF(AND($E36=1,LA36=0),25,0),INDEX('calcA'!BN$110:BN$114,$F36+1)+IF(AND($E36=1,LA36=0),1000,0)+IF($H36=1,INDEX('calcA'!$D$180:$EQ$219,$B36,63)*500,0)-IF(AND('calcA'!BM$117=1,WK36&gt;0),300,0)-IF(AND($U36=1,'calcA'!BN$117=1,FM36=0),300,0))),1000000000))</f>
        <v/>
      </c>
      <c r="QQ36">
        <f>IF($B36=0,1000000000,IF(INDEX('calcA'!$D$60:$EQ$99,$B36,64)*IF($W36=1,FM36+ACB36,FM36)=1,IF(AND($E36=2,IF($W36=1,AHQ36,LB36)=0),1000000000,IF($V36=1,INDEX('calcA'!$D$130:$EQ$169,$B36,64)+IF(AND($E36=1,LB36=0),25,0),INDEX('calcA'!BO$110:BO$114,$F36+1)+IF(AND($E36=1,LB36=0),1000,0)+IF($H36=1,INDEX('calcA'!$D$180:$EQ$219,$B36,64)*500,0)-IF(AND('calcA'!BN$117=1,WL36&gt;0),300,0)-IF(AND($U36=1,'calcA'!BO$117=1,FN36=0),300,0))),1000000000))</f>
        <v/>
      </c>
      <c r="QR36">
        <f>IF($B36=0,1000000000,IF(INDEX('calcA'!$D$60:$EQ$99,$B36,65)*IF($W36=1,FN36+ACC36,FN36)=1,IF(AND($E36=2,IF($W36=1,AHR36,LC36)=0),1000000000,IF($V36=1,INDEX('calcA'!$D$130:$EQ$169,$B36,65)+IF(AND($E36=1,LC36=0),25,0),INDEX('calcA'!BP$110:BP$114,$F36+1)+IF(AND($E36=1,LC36=0),1000,0)+IF($H36=1,INDEX('calcA'!$D$180:$EQ$219,$B36,65)*500,0)-IF(AND('calcA'!BO$117=1,WM36&gt;0),300,0)-IF(AND($U36=1,'calcA'!BP$117=1,FO36=0),300,0))),1000000000))</f>
        <v/>
      </c>
      <c r="QS36">
        <f>IF($B36=0,1000000000,IF(INDEX('calcA'!$D$60:$EQ$99,$B36,66)*IF($W36=1,FO36+ACD36,FO36)=1,IF(AND($E36=2,IF($W36=1,AHS36,LD36)=0),1000000000,IF($V36=1,INDEX('calcA'!$D$130:$EQ$169,$B36,66)+IF(AND($E36=1,LD36=0),25,0),INDEX('calcA'!BQ$110:BQ$114,$F36+1)+IF(AND($E36=1,LD36=0),1000,0)+IF($H36=1,INDEX('calcA'!$D$180:$EQ$219,$B36,66)*500,0)-IF(AND('calcA'!BP$117=1,WN36&gt;0),300,0)-IF(AND($U36=1,'calcA'!BQ$117=1,FP36=0),300,0))),1000000000))</f>
        <v/>
      </c>
      <c r="QT36">
        <f>IF($B36=0,1000000000,IF(INDEX('calcA'!$D$60:$EQ$99,$B36,67)*IF($W36=1,FP36+ACE36,FP36)=1,IF(AND($E36=2,IF($W36=1,AHT36,LE36)=0),1000000000,IF($V36=1,INDEX('calcA'!$D$130:$EQ$169,$B36,67)+IF(AND($E36=1,LE36=0),25,0),INDEX('calcA'!BR$110:BR$114,$F36+1)+IF(AND($E36=1,LE36=0),1000,0)+IF($H36=1,INDEX('calcA'!$D$180:$EQ$219,$B36,67)*500,0)-IF(AND('calcA'!BQ$117=1,WO36&gt;0),300,0)-IF(AND($U36=1,'calcA'!BR$117=1,FQ36=0),300,0))),1000000000))</f>
        <v/>
      </c>
      <c r="QU36">
        <f>IF($B36=0,1000000000,IF(INDEX('calcA'!$D$60:$EQ$99,$B36,68)*IF($W36=1,FQ36+ACF36,FQ36)=1,IF(AND($E36=2,IF($W36=1,AHU36,LF36)=0),1000000000,IF($V36=1,INDEX('calcA'!$D$130:$EQ$169,$B36,68)+IF(AND($E36=1,LF36=0),25,0),INDEX('calcA'!BS$110:BS$114,$F36+1)+IF(AND($E36=1,LF36=0),1000,0)+IF($H36=1,INDEX('calcA'!$D$180:$EQ$219,$B36,68)*500,0)-IF(AND('calcA'!BR$117=1,WP36&gt;0),300,0)-IF(AND($U36=1,'calcA'!BS$117=1,FR36=0),300,0))),1000000000))</f>
        <v/>
      </c>
      <c r="QV36">
        <f>IF($B36=0,1000000000,IF(INDEX('calcA'!$D$60:$EQ$99,$B36,69)*IF($W36=1,FR36+ACG36,FR36)=1,IF(AND($E36=2,IF($W36=1,AHV36,LG36)=0),1000000000,IF($V36=1,INDEX('calcA'!$D$130:$EQ$169,$B36,69)+IF(AND($E36=1,LG36=0),25,0),INDEX('calcA'!BT$110:BT$114,$F36+1)+IF(AND($E36=1,LG36=0),1000,0)+IF($H36=1,INDEX('calcA'!$D$180:$EQ$219,$B36,69)*500,0)-IF(AND('calcA'!BS$117=1,WQ36&gt;0),300,0)-IF(AND($U36=1,'calcA'!BT$117=1,FS36=0),300,0))),1000000000))</f>
        <v/>
      </c>
      <c r="QW36">
        <f>IF($B36=0,1000000000,IF(INDEX('calcA'!$D$60:$EQ$99,$B36,70)*IF($W36=1,FS36+ACH36,FS36)=1,IF(AND($E36=2,IF($W36=1,AHW36,LH36)=0),1000000000,IF($V36=1,INDEX('calcA'!$D$130:$EQ$169,$B36,70)+IF(AND($E36=1,LH36=0),25,0),INDEX('calcA'!BU$110:BU$114,$F36+1)+IF(AND($E36=1,LH36=0),1000,0)+IF($H36=1,INDEX('calcA'!$D$180:$EQ$219,$B36,70)*500,0)-IF(AND('calcA'!BT$117=1,WR36&gt;0),300,0)-IF(AND($U36=1,'calcA'!BU$117=1,FT36=0),300,0))),1000000000))</f>
        <v/>
      </c>
      <c r="QX36">
        <f>IF($B36=0,1000000000,IF(INDEX('calcA'!$D$60:$EQ$99,$B36,71)*IF($W36=1,FT36+ACI36,FT36)=1,IF(AND($E36=2,IF($W36=1,AHX36,LI36)=0),1000000000,IF($V36=1,INDEX('calcA'!$D$130:$EQ$169,$B36,71)+IF(AND($E36=1,LI36=0),25,0),INDEX('calcA'!BV$110:BV$114,$F36+1)+IF(AND($E36=1,LI36=0),1000,0)+IF($H36=1,INDEX('calcA'!$D$180:$EQ$219,$B36,71)*500,0)-IF(AND('calcA'!BU$117=1,WS36&gt;0),300,0)-IF(AND($U36=1,'calcA'!BV$117=1,FU36=0),300,0))),1000000000))</f>
        <v/>
      </c>
      <c r="QY36">
        <f>IF($B36=0,1000000000,IF(INDEX('calcA'!$D$60:$EQ$99,$B36,72)*IF($W36=1,FU36+ACJ36,FU36)=1,IF(AND($E36=2,IF($W36=1,AHY36,LJ36)=0),1000000000,IF($V36=1,INDEX('calcA'!$D$130:$EQ$169,$B36,72)+IF(AND($E36=1,LJ36=0),25,0),INDEX('calcA'!BW$110:BW$114,$F36+1)+IF(AND($E36=1,LJ36=0),1000,0)+IF($H36=1,INDEX('calcA'!$D$180:$EQ$219,$B36,72)*500,0)-IF(AND('calcA'!BV$117=1,WT36&gt;0),300,0))),1000000000))</f>
        <v/>
      </c>
      <c r="QZ36">
        <f>IF($B36=0,1000000000,IF(INDEX('calcA'!$D$60:$EQ$99,$B36,73)*IF($W36=1,FV36+ACK36,FV36)=1,IF(AND($E36=2,IF($W36=1,AHZ36,LK36)=0),1000000000,IF($V36=1,INDEX('calcA'!$D$130:$EQ$169,$B36,73)+IF(AND($E36=1,LK36=0),25,0),INDEX('calcA'!BX$110:BX$114,$F36+1)+IF(AND($E36=1,LK36=0),1000,0)+IF($H36=1,INDEX('calcA'!$D$180:$EQ$219,$B36,73)*500,0)-IF(AND($U36=1,'calcA'!BX$117=1,FW36=0),300,0))),1000000000))</f>
        <v/>
      </c>
      <c r="RA36">
        <f>IF($B36=0,1000000000,IF(INDEX('calcA'!$D$60:$EQ$99,$B36,74)*IF($W36=1,FW36+ACL36,FW36)=1,IF(AND($E36=2,IF($W36=1,AIA36,LL36)=0),1000000000,IF($V36=1,INDEX('calcA'!$D$130:$EQ$169,$B36,74)+IF(AND($E36=1,LL36=0),25,0),INDEX('calcA'!BY$110:BY$114,$F36+1)+IF(AND($E36=1,LL36=0),1000,0)+IF($H36=1,INDEX('calcA'!$D$180:$EQ$219,$B36,74)*500,0)-IF(AND('calcA'!BX$117=1,WV36&gt;0),300,0)-IF(AND($U36=1,'calcA'!BY$117=1,FX36=0),300,0))),1000000000))</f>
        <v/>
      </c>
      <c r="RB36">
        <f>IF($B36=0,1000000000,IF(INDEX('calcA'!$D$60:$EQ$99,$B36,75)*IF($W36=1,FX36+ACM36,FX36)=1,IF(AND($E36=2,IF($W36=1,AIB36,LM36)=0),1000000000,IF($V36=1,INDEX('calcA'!$D$130:$EQ$169,$B36,75)+IF(AND($E36=1,LM36=0),25,0),INDEX('calcA'!BZ$110:BZ$114,$F36+1)+IF(AND($E36=1,LM36=0),1000,0)+IF($H36=1,INDEX('calcA'!$D$180:$EQ$219,$B36,75)*500,0)-IF(AND('calcA'!BY$117=1,WW36&gt;0),300,0)-IF(AND($U36=1,'calcA'!BZ$117=1,FY36=0),300,0))),1000000000))</f>
        <v/>
      </c>
      <c r="RC36">
        <f>IF($B36=0,1000000000,IF(INDEX('calcA'!$D$60:$EQ$99,$B36,76)*IF($W36=1,FY36+ACN36,FY36)=1,IF(AND($E36=2,IF($W36=1,AIC36,LN36)=0),1000000000,IF($V36=1,INDEX('calcA'!$D$130:$EQ$169,$B36,76)+IF(AND($E36=1,LN36=0),25,0),INDEX('calcA'!CA$110:CA$114,$F36+1)+IF(AND($E36=1,LN36=0),1000,0)+IF($H36=1,INDEX('calcA'!$D$180:$EQ$219,$B36,76)*500,0)-IF(AND('calcA'!BZ$117=1,WX36&gt;0),300,0)-IF(AND($U36=1,'calcA'!CA$117=1,FZ36=0),300,0))),1000000000))</f>
        <v/>
      </c>
      <c r="RD36">
        <f>IF($B36=0,1000000000,IF(INDEX('calcA'!$D$60:$EQ$99,$B36,77)*IF($W36=1,FZ36+ACO36,FZ36)=1,IF(AND($E36=2,IF($W36=1,AID36,LO36)=0),1000000000,IF($V36=1,INDEX('calcA'!$D$130:$EQ$169,$B36,77)+IF(AND($E36=1,LO36=0),25,0),INDEX('calcA'!CB$110:CB$114,$F36+1)+IF(AND($E36=1,LO36=0),1000,0)+IF($H36=1,INDEX('calcA'!$D$180:$EQ$219,$B36,77)*500,0)-IF(AND('calcA'!CA$117=1,WY36&gt;0),300,0)-IF(AND($U36=1,'calcA'!CB$117=1,GA36=0),300,0))),1000000000))</f>
        <v/>
      </c>
      <c r="RE36">
        <f>IF($B36=0,1000000000,IF(INDEX('calcA'!$D$60:$EQ$99,$B36,78)*IF($W36=1,GA36+ACP36,GA36)=1,IF(AND($E36=2,IF($W36=1,AIE36,LP36)=0),1000000000,IF($V36=1,INDEX('calcA'!$D$130:$EQ$169,$B36,78)+IF(AND($E36=1,LP36=0),25,0),INDEX('calcA'!CC$110:CC$114,$F36+1)+IF(AND($E36=1,LP36=0),1000,0)+IF($H36=1,INDEX('calcA'!$D$180:$EQ$219,$B36,78)*500,0)-IF(AND('calcA'!CB$117=1,WZ36&gt;0),300,0)-IF(AND($U36=1,'calcA'!CC$117=1,GB36=0),300,0))),1000000000))</f>
        <v/>
      </c>
      <c r="RF36">
        <f>IF($B36=0,1000000000,IF(INDEX('calcA'!$D$60:$EQ$99,$B36,79)*IF($W36=1,GB36+ACQ36,GB36)=1,IF(AND($E36=2,IF($W36=1,AIF36,LQ36)=0),1000000000,IF($V36=1,INDEX('calcA'!$D$130:$EQ$169,$B36,79)+IF(AND($E36=1,LQ36=0),25,0),INDEX('calcA'!CD$110:CD$114,$F36+1)+IF(AND($E36=1,LQ36=0),1000,0)+IF($H36=1,INDEX('calcA'!$D$180:$EQ$219,$B36,79)*500,0)-IF(AND('calcA'!CC$117=1,XA36&gt;0),300,0)-IF(AND($U36=1,'calcA'!CD$117=1,GC36=0),300,0))),1000000000))</f>
        <v/>
      </c>
      <c r="RG36">
        <f>IF($B36=0,1000000000,IF(INDEX('calcA'!$D$60:$EQ$99,$B36,80)*IF($W36=1,GC36+ACR36,GC36)=1,IF(AND($E36=2,IF($W36=1,AIG36,LR36)=0),1000000000,IF($V36=1,INDEX('calcA'!$D$130:$EQ$169,$B36,80)+IF(AND($E36=1,LR36=0),25,0),INDEX('calcA'!CE$110:CE$114,$F36+1)+IF(AND($E36=1,LR36=0),1000,0)+IF($H36=1,INDEX('calcA'!$D$180:$EQ$219,$B36,80)*500,0)-IF(AND('calcA'!CD$117=1,XB36&gt;0),300,0)-IF(AND($U36=1,'calcA'!CE$117=1,GD36=0),300,0))),1000000000))</f>
        <v/>
      </c>
      <c r="RH36">
        <f>IF($B36=0,1000000000,IF(INDEX('calcA'!$D$60:$EQ$99,$B36,81)*IF($W36=1,GD36+ACS36,GD36)=1,IF(AND($E36=2,IF($W36=1,AIH36,LS36)=0),1000000000,IF($V36=1,INDEX('calcA'!$D$130:$EQ$169,$B36,81)+IF(AND($E36=1,LS36=0),25,0),INDEX('calcA'!CF$110:CF$114,$F36+1)+IF(AND($E36=1,LS36=0),1000,0)+IF($H36=1,INDEX('calcA'!$D$180:$EQ$219,$B36,81)*500,0)-IF(AND('calcA'!CE$117=1,XC36&gt;0),300,0)-IF(AND($U36=1,'calcA'!CF$117=1,GE36=0),300,0))),1000000000))</f>
        <v/>
      </c>
      <c r="RI36">
        <f>IF($B36=0,1000000000,IF(INDEX('calcA'!$D$60:$EQ$99,$B36,82)*IF($W36=1,GE36+ACT36,GE36)=1,IF(AND($E36=2,IF($W36=1,AII36,LT36)=0),1000000000,IF($V36=1,INDEX('calcA'!$D$130:$EQ$169,$B36,82)+IF(AND($E36=1,LT36=0),25,0),INDEX('calcA'!CG$110:CG$114,$F36+1)+IF(AND($E36=1,LT36=0),1000,0)+IF($H36=1,INDEX('calcA'!$D$180:$EQ$219,$B36,82)*500,0)-IF(AND('calcA'!CF$117=1,XD36&gt;0),300,0)-IF(AND($U36=1,'calcA'!CG$117=1,GF36=0),300,0))),1000000000))</f>
        <v/>
      </c>
      <c r="RJ36">
        <f>IF($B36=0,1000000000,IF(INDEX('calcA'!$D$60:$EQ$99,$B36,83)*IF($W36=1,GF36+ACU36,GF36)=1,IF(AND($E36=2,IF($W36=1,AIJ36,LU36)=0),1000000000,IF($V36=1,INDEX('calcA'!$D$130:$EQ$169,$B36,83)+IF(AND($E36=1,LU36=0),25,0),INDEX('calcA'!CH$110:CH$114,$F36+1)+IF(AND($E36=1,LU36=0),1000,0)+IF($H36=1,INDEX('calcA'!$D$180:$EQ$219,$B36,83)*500,0)-IF(AND('calcA'!CG$117=1,XE36&gt;0),300,0)-IF(AND($U36=1,'calcA'!CH$117=1,GG36=0),300,0))),1000000000))</f>
        <v/>
      </c>
      <c r="RK36">
        <f>IF($B36=0,1000000000,IF(INDEX('calcA'!$D$60:$EQ$99,$B36,84)*IF($W36=1,GG36+ACV36,GG36)=1,IF(AND($E36=2,IF($W36=1,AIK36,LV36)=0),1000000000,IF($V36=1,INDEX('calcA'!$D$130:$EQ$169,$B36,84)+IF(AND($E36=1,LV36=0),25,0),INDEX('calcA'!CI$110:CI$114,$F36+1)+IF(AND($E36=1,LV36=0),1000,0)+IF($H36=1,INDEX('calcA'!$D$180:$EQ$219,$B36,84)*500,0)-IF(AND('calcA'!CH$117=1,XF36&gt;0),300,0)-IF(AND($U36=1,'calcA'!CI$117=1,GH36=0),300,0))),1000000000))</f>
        <v/>
      </c>
      <c r="RL36">
        <f>IF($B36=0,1000000000,IF(INDEX('calcA'!$D$60:$EQ$99,$B36,85)*IF($W36=1,GH36+ACW36,GH36)=1,IF(AND($E36=2,IF($W36=1,AIL36,LW36)=0),1000000000,IF($V36=1,INDEX('calcA'!$D$130:$EQ$169,$B36,85)+IF(AND($E36=1,LW36=0),25,0),INDEX('calcA'!CJ$110:CJ$114,$F36+1)+IF(AND($E36=1,LW36=0),1000,0)+IF($H36=1,INDEX('calcA'!$D$180:$EQ$219,$B36,85)*500,0)-IF(AND('calcA'!CI$117=1,XG36&gt;0),300,0)-IF(AND($U36=1,'calcA'!CJ$117=1,GI36=0),300,0))),1000000000))</f>
        <v/>
      </c>
      <c r="RM36">
        <f>IF($B36=0,1000000000,IF(INDEX('calcA'!$D$60:$EQ$99,$B36,86)*IF($W36=1,GI36+ACX36,GI36)=1,IF(AND($E36=2,IF($W36=1,AIM36,LX36)=0),1000000000,IF($V36=1,INDEX('calcA'!$D$130:$EQ$169,$B36,86)+IF(AND($E36=1,LX36=0),25,0),INDEX('calcA'!CK$110:CK$114,$F36+1)+IF(AND($E36=1,LX36=0),1000,0)+IF($H36=1,INDEX('calcA'!$D$180:$EQ$219,$B36,86)*500,0)-IF(AND('calcA'!CJ$117=1,XH36&gt;0),300,0)-IF(AND($U36=1,'calcA'!CK$117=1,GJ36=0),300,0))),1000000000))</f>
        <v/>
      </c>
      <c r="RN36">
        <f>IF($B36=0,1000000000,IF(INDEX('calcA'!$D$60:$EQ$99,$B36,87)*IF($W36=1,GJ36+ACY36,GJ36)=1,IF(AND($E36=2,IF($W36=1,AIN36,LY36)=0),1000000000,IF($V36=1,INDEX('calcA'!$D$130:$EQ$169,$B36,87)+IF(AND($E36=1,LY36=0),25,0),INDEX('calcA'!CL$110:CL$114,$F36+1)+IF(AND($E36=1,LY36=0),1000,0)+IF($H36=1,INDEX('calcA'!$D$180:$EQ$219,$B36,87)*500,0)-IF(AND('calcA'!CK$117=1,XI36&gt;0),300,0)-IF(AND($U36=1,'calcA'!CL$117=1,GK36=0),300,0))),1000000000))</f>
        <v/>
      </c>
      <c r="RO36">
        <f>IF($B36=0,1000000000,IF(INDEX('calcA'!$D$60:$EQ$99,$B36,88)*IF($W36=1,GK36+ACZ36,GK36)=1,IF(AND($E36=2,IF($W36=1,AIO36,LZ36)=0),1000000000,IF($V36=1,INDEX('calcA'!$D$130:$EQ$169,$B36,88)+IF(AND($E36=1,LZ36=0),25,0),INDEX('calcA'!CM$110:CM$114,$F36+1)+IF(AND($E36=1,LZ36=0),1000,0)+IF($H36=1,INDEX('calcA'!$D$180:$EQ$219,$B36,88)*500,0)-IF(AND('calcA'!CL$117=1,XJ36&gt;0),300,0)-IF(AND($U36=1,'calcA'!CM$117=1,GL36=0),300,0))),1000000000))</f>
        <v/>
      </c>
      <c r="RP36">
        <f>IF($B36=0,1000000000,IF(INDEX('calcA'!$D$60:$EQ$99,$B36,89)*IF($W36=1,GL36+ADA36,GL36)=1,IF(AND($E36=2,IF($W36=1,AIP36,MA36)=0),1000000000,IF($V36=1,INDEX('calcA'!$D$130:$EQ$169,$B36,89)+IF(AND($E36=1,MA36=0),25,0),INDEX('calcA'!CN$110:CN$114,$F36+1)+IF(AND($E36=1,MA36=0),1000,0)+IF($H36=1,INDEX('calcA'!$D$180:$EQ$219,$B36,89)*500,0)-IF(AND('calcA'!CM$117=1,XK36&gt;0),300,0)-IF(AND($U36=1,'calcA'!CN$117=1,GM36=0),300,0))),1000000000))</f>
        <v/>
      </c>
      <c r="RQ36">
        <f>IF($B36=0,1000000000,IF(INDEX('calcA'!$D$60:$EQ$99,$B36,90)*IF($W36=1,GM36+ADB36,GM36)=1,IF(AND($E36=2,IF($W36=1,AIQ36,MB36)=0),1000000000,IF($V36=1,INDEX('calcA'!$D$130:$EQ$169,$B36,90)+IF(AND($E36=1,MB36=0),25,0),INDEX('calcA'!CO$110:CO$114,$F36+1)+IF(AND($E36=1,MB36=0),1000,0)+IF($H36=1,INDEX('calcA'!$D$180:$EQ$219,$B36,90)*500,0)-IF(AND('calcA'!CN$117=1,XL36&gt;0),300,0)-IF(AND($U36=1,'calcA'!CO$117=1,GN36=0),300,0))),1000000000))</f>
        <v/>
      </c>
      <c r="RR36">
        <f>IF($B36=0,1000000000,IF(INDEX('calcA'!$D$60:$EQ$99,$B36,91)*IF($W36=1,GN36+ADC36,GN36)=1,IF(AND($E36=2,IF($W36=1,AIR36,MC36)=0),1000000000,IF($V36=1,INDEX('calcA'!$D$130:$EQ$169,$B36,91)+IF(AND($E36=1,MC36=0),25,0),INDEX('calcA'!CP$110:CP$114,$F36+1)+IF(AND($E36=1,MC36=0),1000,0)+IF($H36=1,INDEX('calcA'!$D$180:$EQ$219,$B36,91)*500,0)-IF(AND('calcA'!CO$117=1,XM36&gt;0),300,0)-IF(AND($U36=1,'calcA'!CP$117=1,GO36=0),300,0))),1000000000))</f>
        <v/>
      </c>
      <c r="RS36">
        <f>IF($B36=0,1000000000,IF(INDEX('calcA'!$D$60:$EQ$99,$B36,92)*IF($W36=1,GO36+ADD36,GO36)=1,IF(AND($E36=2,IF($W36=1,AIS36,MD36)=0),1000000000,IF($V36=1,INDEX('calcA'!$D$130:$EQ$169,$B36,92)+IF(AND($E36=1,MD36=0),25,0),INDEX('calcA'!CQ$110:CQ$114,$F36+1)+IF(AND($E36=1,MD36=0),1000,0)+IF($H36=1,INDEX('calcA'!$D$180:$EQ$219,$B36,92)*500,0)-IF(AND('calcA'!CP$117=1,XN36&gt;0),300,0)-IF(AND($U36=1,'calcA'!CQ$117=1,GP36=0),300,0))),1000000000))</f>
        <v/>
      </c>
      <c r="RT36">
        <f>IF($B36=0,1000000000,IF(INDEX('calcA'!$D$60:$EQ$99,$B36,93)*IF($W36=1,GP36+ADE36,GP36)=1,IF(AND($E36=2,IF($W36=1,AIT36,ME36)=0),1000000000,IF($V36=1,INDEX('calcA'!$D$130:$EQ$169,$B36,93)+IF(AND($E36=1,ME36=0),25,0),INDEX('calcA'!CR$110:CR$114,$F36+1)+IF(AND($E36=1,ME36=0),1000,0)+IF($H36=1,INDEX('calcA'!$D$180:$EQ$219,$B36,93)*500,0)-IF(AND('calcA'!CQ$117=1,XO36&gt;0),300,0)-IF(AND($U36=1,'calcA'!CR$117=1,GQ36=0),300,0))),1000000000))</f>
        <v/>
      </c>
      <c r="RU36">
        <f>IF($B36=0,1000000000,IF(INDEX('calcA'!$D$60:$EQ$99,$B36,94)*IF($W36=1,GQ36+ADF36,GQ36)=1,IF(AND($E36=2,IF($W36=1,AIU36,MF36)=0),1000000000,IF($V36=1,INDEX('calcA'!$D$130:$EQ$169,$B36,94)+IF(AND($E36=1,MF36=0),25,0),INDEX('calcA'!CS$110:CS$114,$F36+1)+IF(AND($E36=1,MF36=0),1000,0)+IF($H36=1,INDEX('calcA'!$D$180:$EQ$219,$B36,94)*500,0)-IF(AND('calcA'!CR$117=1,XP36&gt;0),300,0)-IF(AND($U36=1,'calcA'!CS$117=1,GR36=0),300,0))),1000000000))</f>
        <v/>
      </c>
      <c r="RV36">
        <f>IF($B36=0,1000000000,IF(INDEX('calcA'!$D$60:$EQ$99,$B36,95)*IF($W36=1,GR36+ADG36,GR36)=1,IF(AND($E36=2,IF($W36=1,AIV36,MG36)=0),1000000000,IF($V36=1,INDEX('calcA'!$D$130:$EQ$169,$B36,95)+IF(AND($E36=1,MG36=0),25,0),INDEX('calcA'!CT$110:CT$114,$F36+1)+IF(AND($E36=1,MG36=0),1000,0)+IF($H36=1,INDEX('calcA'!$D$180:$EQ$219,$B36,95)*500,0)-IF(AND('calcA'!CS$117=1,XQ36&gt;0),300,0)-IF(AND($U36=1,'calcA'!CT$117=1,GS36=0),300,0))),1000000000))</f>
        <v/>
      </c>
      <c r="RW36">
        <f>IF($B36=0,1000000000,IF(INDEX('calcA'!$D$60:$EQ$99,$B36,96)*IF($W36=1,GS36+ADH36,GS36)=1,IF(AND($E36=2,IF($W36=1,AIW36,MH36)=0),1000000000,IF($V36=1,INDEX('calcA'!$D$130:$EQ$169,$B36,96)+IF(AND($E36=1,MH36=0),25,0),INDEX('calcA'!CU$110:CU$114,$F36+1)+IF(AND($E36=1,MH36=0),1000,0)+IF($H36=1,INDEX('calcA'!$D$180:$EQ$219,$B36,96)*500,0)-IF(AND('calcA'!CT$117=1,XR36&gt;0),300,0))),1000000000))</f>
        <v/>
      </c>
      <c r="RX36">
        <f>IF($B36=0,1000000000,IF(INDEX('calcA'!$D$60:$EQ$99,$B36,97)*IF($W36=1,GT36+ADI36,GT36)=1,IF(AND($E36=2,IF($W36=1,AIX36,MI36)=0),1000000000,IF($V36=1,INDEX('calcA'!$D$130:$EQ$169,$B36,97)+IF(AND($E36=1,MI36=0),25,0),INDEX('calcA'!CV$110:CV$114,$F36+1)+IF(AND($E36=1,MI36=0),1000,0)+IF($H36=1,INDEX('calcA'!$D$180:$EQ$219,$B36,97)*500,0)-IF(AND($U36=1,'calcA'!CV$117=1,GU36=0),300,0))),1000000000))</f>
        <v/>
      </c>
      <c r="RY36">
        <f>IF($B36=0,1000000000,IF(INDEX('calcA'!$D$60:$EQ$99,$B36,98)*IF($W36=1,GU36+ADJ36,GU36)=1,IF(AND($E36=2,IF($W36=1,AIY36,MJ36)=0),1000000000,IF($V36=1,INDEX('calcA'!$D$130:$EQ$169,$B36,98)+IF(AND($E36=1,MJ36=0),25,0),INDEX('calcA'!CW$110:CW$114,$F36+1)+IF(AND($E36=1,MJ36=0),1000,0)+IF($H36=1,INDEX('calcA'!$D$180:$EQ$219,$B36,98)*500,0)-IF(AND('calcA'!CV$117=1,XT36&gt;0),300,0)-IF(AND($U36=1,'calcA'!CW$117=1,GV36=0),300,0))),1000000000))</f>
        <v/>
      </c>
      <c r="RZ36">
        <f>IF($B36=0,1000000000,IF(INDEX('calcA'!$D$60:$EQ$99,$B36,99)*IF($W36=1,GV36+ADK36,GV36)=1,IF(AND($E36=2,IF($W36=1,AIZ36,MK36)=0),1000000000,IF($V36=1,INDEX('calcA'!$D$130:$EQ$169,$B36,99)+IF(AND($E36=1,MK36=0),25,0),INDEX('calcA'!CX$110:CX$114,$F36+1)+IF(AND($E36=1,MK36=0),1000,0)+IF($H36=1,INDEX('calcA'!$D$180:$EQ$219,$B36,99)*500,0)-IF(AND('calcA'!CW$117=1,XU36&gt;0),300,0)-IF(AND($U36=1,'calcA'!CX$117=1,GW36=0),300,0))),1000000000))</f>
        <v/>
      </c>
      <c r="SA36">
        <f>IF($B36=0,1000000000,IF(INDEX('calcA'!$D$60:$EQ$99,$B36,100)*IF($W36=1,GW36+ADL36,GW36)=1,IF(AND($E36=2,IF($W36=1,AJA36,ML36)=0),1000000000,IF($V36=1,INDEX('calcA'!$D$130:$EQ$169,$B36,100)+IF(AND($E36=1,ML36=0),25,0),INDEX('calcA'!CY$110:CY$114,$F36+1)+IF(AND($E36=1,ML36=0),1000,0)+IF($H36=1,INDEX('calcA'!$D$180:$EQ$219,$B36,100)*500,0)-IF(AND('calcA'!CX$117=1,XV36&gt;0),300,0)-IF(AND($U36=1,'calcA'!CY$117=1,GX36=0),300,0))),1000000000))</f>
        <v/>
      </c>
      <c r="SB36">
        <f>IF($B36=0,1000000000,IF(INDEX('calcA'!$D$60:$EQ$99,$B36,101)*IF($W36=1,GX36+ADM36,GX36)=1,IF(AND($E36=2,IF($W36=1,AJB36,MM36)=0),1000000000,IF($V36=1,INDEX('calcA'!$D$130:$EQ$169,$B36,101)+IF(AND($E36=1,MM36=0),25,0),INDEX('calcA'!CZ$110:CZ$114,$F36+1)+IF(AND($E36=1,MM36=0),1000,0)+IF($H36=1,INDEX('calcA'!$D$180:$EQ$219,$B36,101)*500,0)-IF(AND('calcA'!CY$117=1,XW36&gt;0),300,0)-IF(AND($U36=1,'calcA'!CZ$117=1,GY36=0),300,0))),1000000000))</f>
        <v/>
      </c>
      <c r="SC36">
        <f>IF($B36=0,1000000000,IF(INDEX('calcA'!$D$60:$EQ$99,$B36,102)*IF($W36=1,GY36+ADN36,GY36)=1,IF(AND($E36=2,IF($W36=1,AJC36,MN36)=0),1000000000,IF($V36=1,INDEX('calcA'!$D$130:$EQ$169,$B36,102)+IF(AND($E36=1,MN36=0),25,0),INDEX('calcA'!DA$110:DA$114,$F36+1)+IF(AND($E36=1,MN36=0),1000,0)+IF($H36=1,INDEX('calcA'!$D$180:$EQ$219,$B36,102)*500,0)-IF(AND('calcA'!CZ$117=1,XX36&gt;0),300,0)-IF(AND($U36=1,'calcA'!DA$117=1,GZ36=0),300,0))),1000000000))</f>
        <v/>
      </c>
      <c r="SD36">
        <f>IF($B36=0,1000000000,IF(INDEX('calcA'!$D$60:$EQ$99,$B36,103)*IF($W36=1,GZ36+ADO36,GZ36)=1,IF(AND($E36=2,IF($W36=1,AJD36,MO36)=0),1000000000,IF($V36=1,INDEX('calcA'!$D$130:$EQ$169,$B36,103)+IF(AND($E36=1,MO36=0),25,0),INDEX('calcA'!DB$110:DB$114,$F36+1)+IF(AND($E36=1,MO36=0),1000,0)+IF($H36=1,INDEX('calcA'!$D$180:$EQ$219,$B36,103)*500,0)-IF(AND('calcA'!DA$117=1,XY36&gt;0),300,0)-IF(AND($U36=1,'calcA'!DB$117=1,HA36=0),300,0))),1000000000))</f>
        <v/>
      </c>
      <c r="SE36">
        <f>IF($B36=0,1000000000,IF(INDEX('calcA'!$D$60:$EQ$99,$B36,104)*IF($W36=1,HA36+ADP36,HA36)=1,IF(AND($E36=2,IF($W36=1,AJE36,MP36)=0),1000000000,IF($V36=1,INDEX('calcA'!$D$130:$EQ$169,$B36,104)+IF(AND($E36=1,MP36=0),25,0),INDEX('calcA'!DC$110:DC$114,$F36+1)+IF(AND($E36=1,MP36=0),1000,0)+IF($H36=1,INDEX('calcA'!$D$180:$EQ$219,$B36,104)*500,0)-IF(AND('calcA'!DB$117=1,XZ36&gt;0),300,0)-IF(AND($U36=1,'calcA'!DC$117=1,HB36=0),300,0))),1000000000))</f>
        <v/>
      </c>
      <c r="SF36">
        <f>IF($B36=0,1000000000,IF(INDEX('calcA'!$D$60:$EQ$99,$B36,105)*IF($W36=1,HB36+ADQ36,HB36)=1,IF(AND($E36=2,IF($W36=1,AJF36,MQ36)=0),1000000000,IF($V36=1,INDEX('calcA'!$D$130:$EQ$169,$B36,105)+IF(AND($E36=1,MQ36=0),25,0),INDEX('calcA'!DD$110:DD$114,$F36+1)+IF(AND($E36=1,MQ36=0),1000,0)+IF($H36=1,INDEX('calcA'!$D$180:$EQ$219,$B36,105)*500,0)-IF(AND('calcA'!DC$117=1,YA36&gt;0),300,0)-IF(AND($U36=1,'calcA'!DD$117=1,HC36=0),300,0))),1000000000))</f>
        <v/>
      </c>
      <c r="SG36">
        <f>IF($B36=0,1000000000,IF(INDEX('calcA'!$D$60:$EQ$99,$B36,106)*IF($W36=1,HC36+ADR36,HC36)=1,IF(AND($E36=2,IF($W36=1,AJG36,MR36)=0),1000000000,IF($V36=1,INDEX('calcA'!$D$130:$EQ$169,$B36,106)+IF(AND($E36=1,MR36=0),25,0),INDEX('calcA'!DE$110:DE$114,$F36+1)+IF(AND($E36=1,MR36=0),1000,0)+IF($H36=1,INDEX('calcA'!$D$180:$EQ$219,$B36,106)*500,0)-IF(AND('calcA'!DD$117=1,YB36&gt;0),300,0)-IF(AND($U36=1,'calcA'!DE$117=1,HD36=0),300,0))),1000000000))</f>
        <v/>
      </c>
      <c r="SH36">
        <f>IF($B36=0,1000000000,IF(INDEX('calcA'!$D$60:$EQ$99,$B36,107)*IF($W36=1,HD36+ADS36,HD36)=1,IF(AND($E36=2,IF($W36=1,AJH36,MS36)=0),1000000000,IF($V36=1,INDEX('calcA'!$D$130:$EQ$169,$B36,107)+IF(AND($E36=1,MS36=0),25,0),INDEX('calcA'!DF$110:DF$114,$F36+1)+IF(AND($E36=1,MS36=0),1000,0)+IF($H36=1,INDEX('calcA'!$D$180:$EQ$219,$B36,107)*500,0)-IF(AND('calcA'!DE$117=1,YC36&gt;0),300,0)-IF(AND($U36=1,'calcA'!DF$117=1,HE36=0),300,0))),1000000000))</f>
        <v/>
      </c>
      <c r="SI36">
        <f>IF($B36=0,1000000000,IF(INDEX('calcA'!$D$60:$EQ$99,$B36,108)*IF($W36=1,HE36+ADT36,HE36)=1,IF(AND($E36=2,IF($W36=1,AJI36,MT36)=0),1000000000,IF($V36=1,INDEX('calcA'!$D$130:$EQ$169,$B36,108)+IF(AND($E36=1,MT36=0),25,0),INDEX('calcA'!DG$110:DG$114,$F36+1)+IF(AND($E36=1,MT36=0),1000,0)+IF($H36=1,INDEX('calcA'!$D$180:$EQ$219,$B36,108)*500,0)-IF(AND('calcA'!DF$117=1,YD36&gt;0),300,0)-IF(AND($U36=1,'calcA'!DG$117=1,HF36=0),300,0))),1000000000))</f>
        <v/>
      </c>
      <c r="SJ36">
        <f>IF($B36=0,1000000000,IF(INDEX('calcA'!$D$60:$EQ$99,$B36,109)*IF($W36=1,HF36+ADU36,HF36)=1,IF(AND($E36=2,IF($W36=1,AJJ36,MU36)=0),1000000000,IF($V36=1,INDEX('calcA'!$D$130:$EQ$169,$B36,109)+IF(AND($E36=1,MU36=0),25,0),INDEX('calcA'!DH$110:DH$114,$F36+1)+IF(AND($E36=1,MU36=0),1000,0)+IF($H36=1,INDEX('calcA'!$D$180:$EQ$219,$B36,109)*500,0)-IF(AND('calcA'!DG$117=1,YE36&gt;0),300,0)-IF(AND($U36=1,'calcA'!DH$117=1,HG36=0),300,0))),1000000000))</f>
        <v/>
      </c>
      <c r="SK36">
        <f>IF($B36=0,1000000000,IF(INDEX('calcA'!$D$60:$EQ$99,$B36,110)*IF($W36=1,HG36+ADV36,HG36)=1,IF(AND($E36=2,IF($W36=1,AJK36,MV36)=0),1000000000,IF($V36=1,INDEX('calcA'!$D$130:$EQ$169,$B36,110)+IF(AND($E36=1,MV36=0),25,0),INDEX('calcA'!DI$110:DI$114,$F36+1)+IF(AND($E36=1,MV36=0),1000,0)+IF($H36=1,INDEX('calcA'!$D$180:$EQ$219,$B36,110)*500,0)-IF(AND('calcA'!DH$117=1,YF36&gt;0),300,0)-IF(AND($U36=1,'calcA'!DI$117=1,HH36=0),300,0))),1000000000))</f>
        <v/>
      </c>
      <c r="SL36">
        <f>IF($B36=0,1000000000,IF(INDEX('calcA'!$D$60:$EQ$99,$B36,111)*IF($W36=1,HH36+ADW36,HH36)=1,IF(AND($E36=2,IF($W36=1,AJL36,MW36)=0),1000000000,IF($V36=1,INDEX('calcA'!$D$130:$EQ$169,$B36,111)+IF(AND($E36=1,MW36=0),25,0),INDEX('calcA'!DJ$110:DJ$114,$F36+1)+IF(AND($E36=1,MW36=0),1000,0)+IF($H36=1,INDEX('calcA'!$D$180:$EQ$219,$B36,111)*500,0)-IF(AND('calcA'!DI$117=1,YG36&gt;0),300,0)-IF(AND($U36=1,'calcA'!DJ$117=1,HI36=0),300,0))),1000000000))</f>
        <v/>
      </c>
      <c r="SM36">
        <f>IF($B36=0,1000000000,IF(INDEX('calcA'!$D$60:$EQ$99,$B36,112)*IF($W36=1,HI36+ADX36,HI36)=1,IF(AND($E36=2,IF($W36=1,AJM36,MX36)=0),1000000000,IF($V36=1,INDEX('calcA'!$D$130:$EQ$169,$B36,112)+IF(AND($E36=1,MX36=0),25,0),INDEX('calcA'!DK$110:DK$114,$F36+1)+IF(AND($E36=1,MX36=0),1000,0)+IF($H36=1,INDEX('calcA'!$D$180:$EQ$219,$B36,112)*500,0)-IF(AND('calcA'!DJ$117=1,YH36&gt;0),300,0)-IF(AND($U36=1,'calcA'!DK$117=1,HJ36=0),300,0))),1000000000))</f>
        <v/>
      </c>
      <c r="SN36">
        <f>IF($B36=0,1000000000,IF(INDEX('calcA'!$D$60:$EQ$99,$B36,113)*IF($W36=1,HJ36+ADY36,HJ36)=1,IF(AND($E36=2,IF($W36=1,AJN36,MY36)=0),1000000000,IF($V36=1,INDEX('calcA'!$D$130:$EQ$169,$B36,113)+IF(AND($E36=1,MY36=0),25,0),INDEX('calcA'!DL$110:DL$114,$F36+1)+IF(AND($E36=1,MY36=0),1000,0)+IF($H36=1,INDEX('calcA'!$D$180:$EQ$219,$B36,113)*500,0)-IF(AND('calcA'!DK$117=1,YI36&gt;0),300,0)-IF(AND($U36=1,'calcA'!DL$117=1,HK36=0),300,0))),1000000000))</f>
        <v/>
      </c>
      <c r="SO36">
        <f>IF($B36=0,1000000000,IF(INDEX('calcA'!$D$60:$EQ$99,$B36,114)*IF($W36=1,HK36+ADZ36,HK36)=1,IF(AND($E36=2,IF($W36=1,AJO36,MZ36)=0),1000000000,IF($V36=1,INDEX('calcA'!$D$130:$EQ$169,$B36,114)+IF(AND($E36=1,MZ36=0),25,0),INDEX('calcA'!DM$110:DM$114,$F36+1)+IF(AND($E36=1,MZ36=0),1000,0)+IF($H36=1,INDEX('calcA'!$D$180:$EQ$219,$B36,114)*500,0)-IF(AND('calcA'!DL$117=1,YJ36&gt;0),300,0)-IF(AND($U36=1,'calcA'!DM$117=1,HL36=0),300,0))),1000000000))</f>
        <v/>
      </c>
      <c r="SP36">
        <f>IF($B36=0,1000000000,IF(INDEX('calcA'!$D$60:$EQ$99,$B36,115)*IF($W36=1,HL36+AEA36,HL36)=1,IF(AND($E36=2,IF($W36=1,AJP36,NA36)=0),1000000000,IF($V36=1,INDEX('calcA'!$D$130:$EQ$169,$B36,115)+IF(AND($E36=1,NA36=0),25,0),INDEX('calcA'!DN$110:DN$114,$F36+1)+IF(AND($E36=1,NA36=0),1000,0)+IF($H36=1,INDEX('calcA'!$D$180:$EQ$219,$B36,115)*500,0)-IF(AND('calcA'!DM$117=1,YK36&gt;0),300,0)-IF(AND($U36=1,'calcA'!DN$117=1,HM36=0),300,0))),1000000000))</f>
        <v/>
      </c>
      <c r="SQ36">
        <f>IF($B36=0,1000000000,IF(INDEX('calcA'!$D$60:$EQ$99,$B36,116)*IF($W36=1,HM36+AEB36,HM36)=1,IF(AND($E36=2,IF($W36=1,AJQ36,NB36)=0),1000000000,IF($V36=1,INDEX('calcA'!$D$130:$EQ$169,$B36,116)+IF(AND($E36=1,NB36=0),25,0),INDEX('calcA'!DO$110:DO$114,$F36+1)+IF(AND($E36=1,NB36=0),1000,0)+IF($H36=1,INDEX('calcA'!$D$180:$EQ$219,$B36,116)*500,0)-IF(AND('calcA'!DN$117=1,YL36&gt;0),300,0)-IF(AND($U36=1,'calcA'!DO$117=1,HN36=0),300,0))),1000000000))</f>
        <v/>
      </c>
      <c r="SR36">
        <f>IF($B36=0,1000000000,IF(INDEX('calcA'!$D$60:$EQ$99,$B36,117)*IF($W36=1,HN36+AEC36,HN36)=1,IF(AND($E36=2,IF($W36=1,AJR36,NC36)=0),1000000000,IF($V36=1,INDEX('calcA'!$D$130:$EQ$169,$B36,117)+IF(AND($E36=1,NC36=0),25,0),INDEX('calcA'!DP$110:DP$114,$F36+1)+IF(AND($E36=1,NC36=0),1000,0)+IF($H36=1,INDEX('calcA'!$D$180:$EQ$219,$B36,117)*500,0)-IF(AND('calcA'!DO$117=1,YM36&gt;0),300,0)-IF(AND($U36=1,'calcA'!DP$117=1,HO36=0),300,0))),1000000000))</f>
        <v/>
      </c>
      <c r="SS36">
        <f>IF($B36=0,1000000000,IF(INDEX('calcA'!$D$60:$EQ$99,$B36,118)*IF($W36=1,HO36+AED36,HO36)=1,IF(AND($E36=2,IF($W36=1,AJS36,ND36)=0),1000000000,IF($V36=1,INDEX('calcA'!$D$130:$EQ$169,$B36,118)+IF(AND($E36=1,ND36=0),25,0),INDEX('calcA'!DQ$110:DQ$114,$F36+1)+IF(AND($E36=1,ND36=0),1000,0)+IF($H36=1,INDEX('calcA'!$D$180:$EQ$219,$B36,118)*500,0)-IF(AND('calcA'!DP$117=1,YN36&gt;0),300,0)-IF(AND($U36=1,'calcA'!DQ$117=1,HP36=0),300,0))),1000000000))</f>
        <v/>
      </c>
      <c r="ST36">
        <f>IF($B36=0,1000000000,IF(INDEX('calcA'!$D$60:$EQ$99,$B36,119)*IF($W36=1,HP36+AEE36,HP36)=1,IF(AND($E36=2,IF($W36=1,AJT36,NE36)=0),1000000000,IF($V36=1,INDEX('calcA'!$D$130:$EQ$169,$B36,119)+IF(AND($E36=1,NE36=0),25,0),INDEX('calcA'!DR$110:DR$114,$F36+1)+IF(AND($E36=1,NE36=0),1000,0)+IF($H36=1,INDEX('calcA'!$D$180:$EQ$219,$B36,119)*500,0)-IF(AND('calcA'!DQ$117=1,YO36&gt;0),300,0)-IF(AND($U36=1,'calcA'!DR$117=1,HQ36=0),300,0))),1000000000))</f>
        <v/>
      </c>
      <c r="SU36">
        <f>IF($B36=0,1000000000,IF(INDEX('calcA'!$D$60:$EQ$99,$B36,120)*IF($W36=1,HQ36+AEF36,HQ36)=1,IF(AND($E36=2,IF($W36=1,AJU36,NF36)=0),1000000000,IF($V36=1,INDEX('calcA'!$D$130:$EQ$169,$B36,120)+IF(AND($E36=1,NF36=0),25,0),INDEX('calcA'!DS$110:DS$114,$F36+1)+IF(AND($E36=1,NF36=0),1000,0)+IF($H36=1,INDEX('calcA'!$D$180:$EQ$219,$B36,120)*500,0)-IF(AND('calcA'!DR$117=1,YP36&gt;0),300,0))),1000000000))</f>
        <v/>
      </c>
      <c r="SV36">
        <f>IF($B36=0,1000000000,IF(INDEX('calcA'!$D$60:$EQ$99,$B36,121)*IF($W36=1,HR36+AEG36,HR36)=1,IF(AND($E36=2,IF($W36=1,AJV36,NG36)=0),1000000000,IF($V36=1,INDEX('calcA'!$D$130:$EQ$169,$B36,121)+IF(AND($E36=1,NG36=0),25,0),INDEX('calcA'!DT$110:DT$114,$F36+1)+IF(AND($E36=1,NG36=0),1000,0)+IF($H36=1,INDEX('calcA'!$D$180:$EQ$219,$B36,121)*500,0)-IF(AND($U36=1,'calcA'!DT$117=1,HS36=0),300,0))),1000000000))</f>
        <v/>
      </c>
      <c r="SW36">
        <f>IF($B36=0,1000000000,IF(INDEX('calcA'!$D$60:$EQ$99,$B36,122)*IF($W36=1,HS36+AEH36,HS36)=1,IF(AND($E36=2,IF($W36=1,AJW36,NH36)=0),1000000000,IF($V36=1,INDEX('calcA'!$D$130:$EQ$169,$B36,122)+IF(AND($E36=1,NH36=0),25,0),INDEX('calcA'!DU$110:DU$114,$F36+1)+IF(AND($E36=1,NH36=0),1000,0)+IF($H36=1,INDEX('calcA'!$D$180:$EQ$219,$B36,122)*500,0)-IF(AND('calcA'!DT$117=1,YR36&gt;0),300,0)-IF(AND($U36=1,'calcA'!DU$117=1,HT36=0),300,0))),1000000000))</f>
        <v/>
      </c>
      <c r="SX36">
        <f>IF($B36=0,1000000000,IF(INDEX('calcA'!$D$60:$EQ$99,$B36,123)*IF($W36=1,HT36+AEI36,HT36)=1,IF(AND($E36=2,IF($W36=1,AJX36,NI36)=0),1000000000,IF($V36=1,INDEX('calcA'!$D$130:$EQ$169,$B36,123)+IF(AND($E36=1,NI36=0),25,0),INDEX('calcA'!DV$110:DV$114,$F36+1)+IF(AND($E36=1,NI36=0),1000,0)+IF($H36=1,INDEX('calcA'!$D$180:$EQ$219,$B36,123)*500,0)-IF(AND('calcA'!DU$117=1,YS36&gt;0),300,0)-IF(AND($U36=1,'calcA'!DV$117=1,HU36=0),300,0))),1000000000))</f>
        <v/>
      </c>
      <c r="SY36">
        <f>IF($B36=0,1000000000,IF(INDEX('calcA'!$D$60:$EQ$99,$B36,124)*IF($W36=1,HU36+AEJ36,HU36)=1,IF(AND($E36=2,IF($W36=1,AJY36,NJ36)=0),1000000000,IF($V36=1,INDEX('calcA'!$D$130:$EQ$169,$B36,124)+IF(AND($E36=1,NJ36=0),25,0),INDEX('calcA'!DW$110:DW$114,$F36+1)+IF(AND($E36=1,NJ36=0),1000,0)+IF($H36=1,INDEX('calcA'!$D$180:$EQ$219,$B36,124)*500,0)-IF(AND('calcA'!DV$117=1,YT36&gt;0),300,0)-IF(AND($U36=1,'calcA'!DW$117=1,HV36=0),300,0))),1000000000))</f>
        <v/>
      </c>
      <c r="SZ36">
        <f>IF($B36=0,1000000000,IF(INDEX('calcA'!$D$60:$EQ$99,$B36,125)*IF($W36=1,HV36+AEK36,HV36)=1,IF(AND($E36=2,IF($W36=1,AJZ36,NK36)=0),1000000000,IF($V36=1,INDEX('calcA'!$D$130:$EQ$169,$B36,125)+IF(AND($E36=1,NK36=0),25,0),INDEX('calcA'!DX$110:DX$114,$F36+1)+IF(AND($E36=1,NK36=0),1000,0)+IF($H36=1,INDEX('calcA'!$D$180:$EQ$219,$B36,125)*500,0)-IF(AND('calcA'!DW$117=1,YU36&gt;0),300,0)-IF(AND($U36=1,'calcA'!DX$117=1,HW36=0),300,0))),1000000000))</f>
        <v/>
      </c>
      <c r="TA36">
        <f>IF($B36=0,1000000000,IF(INDEX('calcA'!$D$60:$EQ$99,$B36,126)*IF($W36=1,HW36+AEL36,HW36)=1,IF(AND($E36=2,IF($W36=1,AKA36,NL36)=0),1000000000,IF($V36=1,INDEX('calcA'!$D$130:$EQ$169,$B36,126)+IF(AND($E36=1,NL36=0),25,0),INDEX('calcA'!DY$110:DY$114,$F36+1)+IF(AND($E36=1,NL36=0),1000,0)+IF($H36=1,INDEX('calcA'!$D$180:$EQ$219,$B36,126)*500,0)-IF(AND('calcA'!DX$117=1,YV36&gt;0),300,0)-IF(AND($U36=1,'calcA'!DY$117=1,HX36=0),300,0))),1000000000))</f>
        <v/>
      </c>
      <c r="TB36">
        <f>IF($B36=0,1000000000,IF(INDEX('calcA'!$D$60:$EQ$99,$B36,127)*IF($W36=1,HX36+AEM36,HX36)=1,IF(AND($E36=2,IF($W36=1,AKB36,NM36)=0),1000000000,IF($V36=1,INDEX('calcA'!$D$130:$EQ$169,$B36,127)+IF(AND($E36=1,NM36=0),25,0),INDEX('calcA'!DZ$110:DZ$114,$F36+1)+IF(AND($E36=1,NM36=0),1000,0)+IF($H36=1,INDEX('calcA'!$D$180:$EQ$219,$B36,127)*500,0)-IF(AND('calcA'!DY$117=1,YW36&gt;0),300,0)-IF(AND($U36=1,'calcA'!DZ$117=1,HY36=0),300,0))),1000000000))</f>
        <v/>
      </c>
      <c r="TC36">
        <f>IF($B36=0,1000000000,IF(INDEX('calcA'!$D$60:$EQ$99,$B36,128)*IF($W36=1,HY36+AEN36,HY36)=1,IF(AND($E36=2,IF($W36=1,AKC36,NN36)=0),1000000000,IF($V36=1,INDEX('calcA'!$D$130:$EQ$169,$B36,128)+IF(AND($E36=1,NN36=0),25,0),INDEX('calcA'!EA$110:EA$114,$F36+1)+IF(AND($E36=1,NN36=0),1000,0)+IF($H36=1,INDEX('calcA'!$D$180:$EQ$219,$B36,128)*500,0)-IF(AND('calcA'!DZ$117=1,YX36&gt;0),300,0)-IF(AND($U36=1,'calcA'!EA$117=1,HZ36=0),300,0))),1000000000))</f>
        <v/>
      </c>
      <c r="TD36">
        <f>IF($B36=0,1000000000,IF(INDEX('calcA'!$D$60:$EQ$99,$B36,129)*IF($W36=1,HZ36+AEO36,HZ36)=1,IF(AND($E36=2,IF($W36=1,AKD36,NO36)=0),1000000000,IF($V36=1,INDEX('calcA'!$D$130:$EQ$169,$B36,129)+IF(AND($E36=1,NO36=0),25,0),INDEX('calcA'!EB$110:EB$114,$F36+1)+IF(AND($E36=1,NO36=0),1000,0)+IF($H36=1,INDEX('calcA'!$D$180:$EQ$219,$B36,129)*500,0)-IF(AND('calcA'!EA$117=1,YY36&gt;0),300,0)-IF(AND($U36=1,'calcA'!EB$117=1,IA36=0),300,0))),1000000000))</f>
        <v/>
      </c>
      <c r="TE36">
        <f>IF($B36=0,1000000000,IF(INDEX('calcA'!$D$60:$EQ$99,$B36,130)*IF($W36=1,IA36+AEP36,IA36)=1,IF(AND($E36=2,IF($W36=1,AKE36,NP36)=0),1000000000,IF($V36=1,INDEX('calcA'!$D$130:$EQ$169,$B36,130)+IF(AND($E36=1,NP36=0),25,0),INDEX('calcA'!EC$110:EC$114,$F36+1)+IF(AND($E36=1,NP36=0),1000,0)+IF($H36=1,INDEX('calcA'!$D$180:$EQ$219,$B36,130)*500,0)-IF(AND('calcA'!EB$117=1,YZ36&gt;0),300,0)-IF(AND($U36=1,'calcA'!EC$117=1,IB36=0),300,0))),1000000000))</f>
        <v/>
      </c>
      <c r="TF36">
        <f>IF($B36=0,1000000000,IF(INDEX('calcA'!$D$60:$EQ$99,$B36,131)*IF($W36=1,IB36+AEQ36,IB36)=1,IF(AND($E36=2,IF($W36=1,AKF36,NQ36)=0),1000000000,IF($V36=1,INDEX('calcA'!$D$130:$EQ$169,$B36,131)+IF(AND($E36=1,NQ36=0),25,0),INDEX('calcA'!ED$110:ED$114,$F36+1)+IF(AND($E36=1,NQ36=0),1000,0)+IF($H36=1,INDEX('calcA'!$D$180:$EQ$219,$B36,131)*500,0)-IF(AND('calcA'!EC$117=1,ZA36&gt;0),300,0)-IF(AND($U36=1,'calcA'!ED$117=1,IC36=0),300,0))),1000000000))</f>
        <v/>
      </c>
      <c r="TG36">
        <f>IF($B36=0,1000000000,IF(INDEX('calcA'!$D$60:$EQ$99,$B36,132)*IF($W36=1,IC36+AER36,IC36)=1,IF(AND($E36=2,IF($W36=1,AKG36,NR36)=0),1000000000,IF($V36=1,INDEX('calcA'!$D$130:$EQ$169,$B36,132)+IF(AND($E36=1,NR36=0),25,0),INDEX('calcA'!EE$110:EE$114,$F36+1)+IF(AND($E36=1,NR36=0),1000,0)+IF($H36=1,INDEX('calcA'!$D$180:$EQ$219,$B36,132)*500,0)-IF(AND('calcA'!ED$117=1,ZB36&gt;0),300,0)-IF(AND($U36=1,'calcA'!EE$117=1,ID36=0),300,0))),1000000000))</f>
        <v/>
      </c>
      <c r="TH36">
        <f>IF($B36=0,1000000000,IF(INDEX('calcA'!$D$60:$EQ$99,$B36,133)*IF($W36=1,ID36+AES36,ID36)=1,IF(AND($E36=2,IF($W36=1,AKH36,NS36)=0),1000000000,IF($V36=1,INDEX('calcA'!$D$130:$EQ$169,$B36,133)+IF(AND($E36=1,NS36=0),25,0),INDEX('calcA'!EF$110:EF$114,$F36+1)+IF(AND($E36=1,NS36=0),1000,0)+IF($H36=1,INDEX('calcA'!$D$180:$EQ$219,$B36,133)*500,0)-IF(AND('calcA'!EE$117=1,ZC36&gt;0),300,0)-IF(AND($U36=1,'calcA'!EF$117=1,IE36=0),300,0))),1000000000))</f>
        <v/>
      </c>
      <c r="TI36">
        <f>IF($B36=0,1000000000,IF(INDEX('calcA'!$D$60:$EQ$99,$B36,134)*IF($W36=1,IE36+AET36,IE36)=1,IF(AND($E36=2,IF($W36=1,AKI36,NT36)=0),1000000000,IF($V36=1,INDEX('calcA'!$D$130:$EQ$169,$B36,134)+IF(AND($E36=1,NT36=0),25,0),INDEX('calcA'!EG$110:EG$114,$F36+1)+IF(AND($E36=1,NT36=0),1000,0)+IF($H36=1,INDEX('calcA'!$D$180:$EQ$219,$B36,134)*500,0)-IF(AND('calcA'!EF$117=1,ZD36&gt;0),300,0)-IF(AND($U36=1,'calcA'!EG$117=1,IF36=0),300,0))),1000000000))</f>
        <v/>
      </c>
      <c r="TJ36">
        <f>IF($B36=0,1000000000,IF(INDEX('calcA'!$D$60:$EQ$99,$B36,135)*IF($W36=1,IF36+AEU36,IF36)=1,IF(AND($E36=2,IF($W36=1,AKJ36,NU36)=0),1000000000,IF($V36=1,INDEX('calcA'!$D$130:$EQ$169,$B36,135)+IF(AND($E36=1,NU36=0),25,0),INDEX('calcA'!EH$110:EH$114,$F36+1)+IF(AND($E36=1,NU36=0),1000,0)+IF($H36=1,INDEX('calcA'!$D$180:$EQ$219,$B36,135)*500,0)-IF(AND('calcA'!EG$117=1,ZE36&gt;0),300,0)-IF(AND($U36=1,'calcA'!EH$117=1,IG36=0),300,0))),1000000000))</f>
        <v/>
      </c>
      <c r="TK36">
        <f>IF($B36=0,1000000000,IF(INDEX('calcA'!$D$60:$EQ$99,$B36,136)*IF($W36=1,IG36+AEV36,IG36)=1,IF(AND($E36=2,IF($W36=1,AKK36,NV36)=0),1000000000,IF($V36=1,INDEX('calcA'!$D$130:$EQ$169,$B36,136)+IF(AND($E36=1,NV36=0),25,0),INDEX('calcA'!EI$110:EI$114,$F36+1)+IF(AND($E36=1,NV36=0),1000,0)+IF($H36=1,INDEX('calcA'!$D$180:$EQ$219,$B36,136)*500,0)-IF(AND('calcA'!EH$117=1,ZF36&gt;0),300,0)-IF(AND($U36=1,'calcA'!EI$117=1,IH36=0),300,0))),1000000000))</f>
        <v/>
      </c>
      <c r="TL36">
        <f>IF($B36=0,1000000000,IF(INDEX('calcA'!$D$60:$EQ$99,$B36,137)*IF($W36=1,IH36+AEW36,IH36)=1,IF(AND($E36=2,IF($W36=1,AKL36,NW36)=0),1000000000,IF($V36=1,INDEX('calcA'!$D$130:$EQ$169,$B36,137)+IF(AND($E36=1,NW36=0),25,0),INDEX('calcA'!EJ$110:EJ$114,$F36+1)+IF(AND($E36=1,NW36=0),1000,0)+IF($H36=1,INDEX('calcA'!$D$180:$EQ$219,$B36,137)*500,0)-IF(AND('calcA'!EI$117=1,ZG36&gt;0),300,0)-IF(AND($U36=1,'calcA'!EJ$117=1,II36=0),300,0))),1000000000))</f>
        <v/>
      </c>
      <c r="TM36">
        <f>IF($B36=0,1000000000,IF(INDEX('calcA'!$D$60:$EQ$99,$B36,138)*IF($W36=1,II36+AEX36,II36)=1,IF(AND($E36=2,IF($W36=1,AKM36,NX36)=0),1000000000,IF($V36=1,INDEX('calcA'!$D$130:$EQ$169,$B36,138)+IF(AND($E36=1,NX36=0),25,0),INDEX('calcA'!EK$110:EK$114,$F36+1)+IF(AND($E36=1,NX36=0),1000,0)+IF($H36=1,INDEX('calcA'!$D$180:$EQ$219,$B36,138)*500,0)-IF(AND('calcA'!EJ$117=1,ZH36&gt;0),300,0)-IF(AND($U36=1,'calcA'!EK$117=1,IJ36=0),300,0))),1000000000))</f>
        <v/>
      </c>
      <c r="TN36">
        <f>IF($B36=0,1000000000,IF(INDEX('calcA'!$D$60:$EQ$99,$B36,139)*IF($W36=1,IJ36+AEY36,IJ36)=1,IF(AND($E36=2,IF($W36=1,AKN36,NY36)=0),1000000000,IF($V36=1,INDEX('calcA'!$D$130:$EQ$169,$B36,139)+IF(AND($E36=1,NY36=0),25,0),INDEX('calcA'!EL$110:EL$114,$F36+1)+IF(AND($E36=1,NY36=0),1000,0)+IF($H36=1,INDEX('calcA'!$D$180:$EQ$219,$B36,139)*500,0)-IF(AND('calcA'!EK$117=1,ZI36&gt;0),300,0)-IF(AND($U36=1,'calcA'!EL$117=1,IK36=0),300,0))),1000000000))</f>
        <v/>
      </c>
      <c r="TO36">
        <f>IF($B36=0,1000000000,IF(INDEX('calcA'!$D$60:$EQ$99,$B36,140)*IF($W36=1,IK36+AEZ36,IK36)=1,IF(AND($E36=2,IF($W36=1,AKO36,NZ36)=0),1000000000,IF($V36=1,INDEX('calcA'!$D$130:$EQ$169,$B36,140)+IF(AND($E36=1,NZ36=0),25,0),INDEX('calcA'!EM$110:EM$114,$F36+1)+IF(AND($E36=1,NZ36=0),1000,0)+IF($H36=1,INDEX('calcA'!$D$180:$EQ$219,$B36,140)*500,0)-IF(AND('calcA'!EL$117=1,ZJ36&gt;0),300,0)-IF(AND($U36=1,'calcA'!EM$117=1,IL36=0),300,0))),1000000000))</f>
        <v/>
      </c>
      <c r="TP36">
        <f>IF($B36=0,1000000000,IF(INDEX('calcA'!$D$60:$EQ$99,$B36,141)*IF($W36=1,IL36+AFA36,IL36)=1,IF(AND($E36=2,IF($W36=1,AKP36,OA36)=0),1000000000,IF($V36=1,INDEX('calcA'!$D$130:$EQ$169,$B36,141)+IF(AND($E36=1,OA36=0),25,0),INDEX('calcA'!EN$110:EN$114,$F36+1)+IF(AND($E36=1,OA36=0),1000,0)+IF($H36=1,INDEX('calcA'!$D$180:$EQ$219,$B36,141)*500,0)-IF(AND('calcA'!EM$117=1,ZK36&gt;0),300,0)-IF(AND($U36=1,'calcA'!EN$117=1,IM36=0),300,0))),1000000000))</f>
        <v/>
      </c>
      <c r="TQ36">
        <f>IF($B36=0,1000000000,IF(INDEX('calcA'!$D$60:$EQ$99,$B36,142)*IF($W36=1,IM36+AFB36,IM36)=1,IF(AND($E36=2,IF($W36=1,AKQ36,OB36)=0),1000000000,IF($V36=1,INDEX('calcA'!$D$130:$EQ$169,$B36,142)+IF(AND($E36=1,OB36=0),25,0),INDEX('calcA'!EO$110:EO$114,$F36+1)+IF(AND($E36=1,OB36=0),1000,0)+IF($H36=1,INDEX('calcA'!$D$180:$EQ$219,$B36,142)*500,0)-IF(AND('calcA'!EN$117=1,ZL36&gt;0),300,0)-IF(AND($U36=1,'calcA'!EO$117=1,IN36=0),300,0))),1000000000))</f>
        <v/>
      </c>
      <c r="TR36">
        <f>IF($B36=0,1000000000,IF(INDEX('calcA'!$D$60:$EQ$99,$B36,143)*IF($W36=1,IN36+AFC36,IN36)=1,IF(AND($E36=2,IF($W36=1,AKR36,OC36)=0),1000000000,IF($V36=1,INDEX('calcA'!$D$130:$EQ$169,$B36,143)+IF(AND($E36=1,OC36=0),25,0),INDEX('calcA'!EP$110:EP$114,$F36+1)+IF(AND($E36=1,OC36=0),1000,0)+IF($H36=1,INDEX('calcA'!$D$180:$EQ$219,$B36,143)*500,0)-IF(AND('calcA'!EO$117=1,ZM36&gt;0),300,0)-IF(AND($U36=1,'calcA'!EP$117=1,IO36=0),300,0))),1000000000))</f>
        <v/>
      </c>
      <c r="TS36">
        <f>IF($B36=0,1000000000,IF(INDEX('calcA'!$D$60:$EQ$99,$B36,144)*IF($W36=1,IO36+AFD36,IO36)=1,IF(AND($E36=2,IF($W36=1,AKS36,OD36)=0),1000000000,IF($V36=1,INDEX('calcA'!$D$130:$EQ$169,$B36,144)+IF(AND($E36=1,OD36=0),25,0),INDEX('calcA'!EQ$110:EQ$114,$F36+1)+IF(AND($E36=1,OD36=0),1000,0)+IF($H36=1,INDEX('calcA'!$D$180:$EQ$219,$B36,144)*500,0)-IF(AND('calcA'!EP$117=1,ZN36&gt;0),300,0))),1000000000))</f>
        <v/>
      </c>
      <c r="UB36">
        <f>UB35+IF(AND($C35=1,$U35=1),1,0)</f>
        <v/>
      </c>
      <c r="UC36">
        <f>UC35+IF(AND($C35=2,$U35=1),1,0)</f>
        <v/>
      </c>
      <c r="UD36">
        <f>UD35+IF(AND($C35=3,$U35=1),1,0)</f>
        <v/>
      </c>
      <c r="UE36">
        <f>UE35+IF(AND($C35=4,$U35=1),1,0)</f>
        <v/>
      </c>
      <c r="UF36">
        <f>UF35+IF(AND($C35=5,$U35=1),1,0)</f>
        <v/>
      </c>
      <c r="UG36">
        <f>UG35+IF(AND($C35=6,$U35=1),1,0)</f>
        <v/>
      </c>
      <c r="UH36">
        <f>UH35+IF(AND($C35=7,$U35=1),1,0)</f>
        <v/>
      </c>
      <c r="UI36">
        <f>UI35+IF(AND($C35=8,$U35=1),1,0)</f>
        <v/>
      </c>
      <c r="UJ36">
        <f>UJ35+IF(AND($C35=9,$U35=1),1,0)</f>
        <v/>
      </c>
      <c r="UK36">
        <f>UK35+IF(AND($C35=10,$U35=1),1,0)</f>
        <v/>
      </c>
      <c r="UL36">
        <f>UL35+IF(AND($C35=11,$U35=1),1,0)</f>
        <v/>
      </c>
      <c r="UM36">
        <f>UM35+IF(AND($C35=12,$U35=1),1,0)</f>
        <v/>
      </c>
      <c r="UN36">
        <f>UN35+IF(AND($C35=13,$U35=1),1,0)</f>
        <v/>
      </c>
      <c r="UO36">
        <f>UO35+IF(AND($C35=14,$U35=1),1,0)</f>
        <v/>
      </c>
      <c r="UP36">
        <f>UP35+IF(AND($C35=15,$U35=1),1,0)</f>
        <v/>
      </c>
      <c r="UQ36">
        <f>UQ35+IF(AND($C35=16,$U35=1),1,0)</f>
        <v/>
      </c>
      <c r="UR36">
        <f>UR35+IF(AND($C35=17,$U35=1),1,0)</f>
        <v/>
      </c>
      <c r="US36">
        <f>US35+IF(AND($C35=18,$U35=1),1,0)</f>
        <v/>
      </c>
      <c r="UT36">
        <f>UT35+IF(AND($C35=19,$U35=1),1,0)</f>
        <v/>
      </c>
      <c r="UU36">
        <f>UU35+IF(AND($C35=20,$U35=1),1,0)</f>
        <v/>
      </c>
      <c r="UV36">
        <f>UV35+IF(AND($C35=21,$U35=1),1,0)</f>
        <v/>
      </c>
      <c r="UW36">
        <f>UW35+IF(AND($C35=22,$U35=1),1,0)</f>
        <v/>
      </c>
      <c r="UX36">
        <f>UX35+IF(AND($C35=23,$U35=1),1,0)</f>
        <v/>
      </c>
      <c r="UY36">
        <f>UY35+IF(AND($C35=24,$U35=1),1,0)</f>
        <v/>
      </c>
      <c r="UZ36">
        <f>UZ35+IF(AND($C35=25,$U35=1),1,0)</f>
        <v/>
      </c>
      <c r="VA36">
        <f>VA35+IF(AND($C35=26,$U35=1),1,0)</f>
        <v/>
      </c>
      <c r="VB36">
        <f>VB35+IF(AND($C35=27,$U35=1),1,0)</f>
        <v/>
      </c>
      <c r="VC36">
        <f>VC35+IF(AND($C35=28,$U35=1),1,0)</f>
        <v/>
      </c>
      <c r="VD36">
        <f>VD35+IF(AND($C35=29,$U35=1),1,0)</f>
        <v/>
      </c>
      <c r="VE36">
        <f>VE35+IF(AND($C35=30,$U35=1),1,0)</f>
        <v/>
      </c>
      <c r="VF36">
        <f>VF35+IF(AND($C35=31,$U35=1),1,0)</f>
        <v/>
      </c>
      <c r="VG36">
        <f>VG35+IF(AND($C35=32,$U35=1),1,0)</f>
        <v/>
      </c>
      <c r="VH36">
        <f>VH35+IF(AND($C35=33,$U35=1),1,0)</f>
        <v/>
      </c>
      <c r="VI36">
        <f>VI35+IF(AND($C35=34,$U35=1),1,0)</f>
        <v/>
      </c>
      <c r="VJ36">
        <f>VJ35+IF(AND($C35=35,$U35=1),1,0)</f>
        <v/>
      </c>
      <c r="VK36">
        <f>VK35+IF(AND($C35=36,$U35=1),1,0)</f>
        <v/>
      </c>
      <c r="VL36">
        <f>VL35+IF(AND($C35=37,$U35=1),1,0)</f>
        <v/>
      </c>
      <c r="VM36">
        <f>VM35+IF(AND($C35=38,$U35=1),1,0)</f>
        <v/>
      </c>
      <c r="VN36">
        <f>VN35+IF(AND($C35=39,$U35=1),1,0)</f>
        <v/>
      </c>
      <c r="VO36">
        <f>VO35+IF(AND($C35=40,$U35=1),1,0)</f>
        <v/>
      </c>
      <c r="VP36">
        <f>VP35+IF(AND($C35=41,$U35=1),1,0)</f>
        <v/>
      </c>
      <c r="VQ36">
        <f>VQ35+IF(AND($C35=42,$U35=1),1,0)</f>
        <v/>
      </c>
      <c r="VR36">
        <f>VR35+IF(AND($C35=43,$U35=1),1,0)</f>
        <v/>
      </c>
      <c r="VS36">
        <f>VS35+IF(AND($C35=44,$U35=1),1,0)</f>
        <v/>
      </c>
      <c r="VT36">
        <f>VT35+IF(AND($C35=45,$U35=1),1,0)</f>
        <v/>
      </c>
      <c r="VU36">
        <f>VU35+IF(AND($C35=46,$U35=1),1,0)</f>
        <v/>
      </c>
      <c r="VV36">
        <f>VV35+IF(AND($C35=47,$U35=1),1,0)</f>
        <v/>
      </c>
      <c r="VW36">
        <f>VW35+IF(AND($C35=48,$U35=1),1,0)</f>
        <v/>
      </c>
      <c r="VX36">
        <f>VX35+IF(AND($C35=49,$U35=1),1,0)</f>
        <v/>
      </c>
      <c r="VY36">
        <f>VY35+IF(AND($C35=50,$U35=1),1,0)</f>
        <v/>
      </c>
      <c r="VZ36">
        <f>VZ35+IF(AND($C35=51,$U35=1),1,0)</f>
        <v/>
      </c>
      <c r="WA36">
        <f>WA35+IF(AND($C35=52,$U35=1),1,0)</f>
        <v/>
      </c>
      <c r="WB36">
        <f>WB35+IF(AND($C35=53,$U35=1),1,0)</f>
        <v/>
      </c>
      <c r="WC36">
        <f>WC35+IF(AND($C35=54,$U35=1),1,0)</f>
        <v/>
      </c>
      <c r="WD36">
        <f>WD35+IF(AND($C35=55,$U35=1),1,0)</f>
        <v/>
      </c>
      <c r="WE36">
        <f>WE35+IF(AND($C35=56,$U35=1),1,0)</f>
        <v/>
      </c>
      <c r="WF36">
        <f>WF35+IF(AND($C35=57,$U35=1),1,0)</f>
        <v/>
      </c>
      <c r="WG36">
        <f>WG35+IF(AND($C35=58,$U35=1),1,0)</f>
        <v/>
      </c>
      <c r="WH36">
        <f>WH35+IF(AND($C35=59,$U35=1),1,0)</f>
        <v/>
      </c>
      <c r="WI36">
        <f>WI35+IF(AND($C35=60,$U35=1),1,0)</f>
        <v/>
      </c>
      <c r="WJ36">
        <f>WJ35+IF(AND($C35=61,$U35=1),1,0)</f>
        <v/>
      </c>
      <c r="WK36">
        <f>WK35+IF(AND($C35=62,$U35=1),1,0)</f>
        <v/>
      </c>
      <c r="WL36">
        <f>WL35+IF(AND($C35=63,$U35=1),1,0)</f>
        <v/>
      </c>
      <c r="WM36">
        <f>WM35+IF(AND($C35=64,$U35=1),1,0)</f>
        <v/>
      </c>
      <c r="WN36">
        <f>WN35+IF(AND($C35=65,$U35=1),1,0)</f>
        <v/>
      </c>
      <c r="WO36">
        <f>WO35+IF(AND($C35=66,$U35=1),1,0)</f>
        <v/>
      </c>
      <c r="WP36">
        <f>WP35+IF(AND($C35=67,$U35=1),1,0)</f>
        <v/>
      </c>
      <c r="WQ36">
        <f>WQ35+IF(AND($C35=68,$U35=1),1,0)</f>
        <v/>
      </c>
      <c r="WR36">
        <f>WR35+IF(AND($C35=69,$U35=1),1,0)</f>
        <v/>
      </c>
      <c r="WS36">
        <f>WS35+IF(AND($C35=70,$U35=1),1,0)</f>
        <v/>
      </c>
      <c r="WT36">
        <f>WT35+IF(AND($C35=71,$U35=1),1,0)</f>
        <v/>
      </c>
      <c r="WU36">
        <f>WU35+IF(AND($C35=72,$U35=1),1,0)</f>
        <v/>
      </c>
      <c r="WV36">
        <f>WV35+IF(AND($C35=73,$U35=1),1,0)</f>
        <v/>
      </c>
      <c r="WW36">
        <f>WW35+IF(AND($C35=74,$U35=1),1,0)</f>
        <v/>
      </c>
      <c r="WX36">
        <f>WX35+IF(AND($C35=75,$U35=1),1,0)</f>
        <v/>
      </c>
      <c r="WY36">
        <f>WY35+IF(AND($C35=76,$U35=1),1,0)</f>
        <v/>
      </c>
      <c r="WZ36">
        <f>WZ35+IF(AND($C35=77,$U35=1),1,0)</f>
        <v/>
      </c>
      <c r="XA36">
        <f>XA35+IF(AND($C35=78,$U35=1),1,0)</f>
        <v/>
      </c>
      <c r="XB36">
        <f>XB35+IF(AND($C35=79,$U35=1),1,0)</f>
        <v/>
      </c>
      <c r="XC36">
        <f>XC35+IF(AND($C35=80,$U35=1),1,0)</f>
        <v/>
      </c>
      <c r="XD36">
        <f>XD35+IF(AND($C35=81,$U35=1),1,0)</f>
        <v/>
      </c>
      <c r="XE36">
        <f>XE35+IF(AND($C35=82,$U35=1),1,0)</f>
        <v/>
      </c>
      <c r="XF36">
        <f>XF35+IF(AND($C35=83,$U35=1),1,0)</f>
        <v/>
      </c>
      <c r="XG36">
        <f>XG35+IF(AND($C35=84,$U35=1),1,0)</f>
        <v/>
      </c>
      <c r="XH36">
        <f>XH35+IF(AND($C35=85,$U35=1),1,0)</f>
        <v/>
      </c>
      <c r="XI36">
        <f>XI35+IF(AND($C35=86,$U35=1),1,0)</f>
        <v/>
      </c>
      <c r="XJ36">
        <f>XJ35+IF(AND($C35=87,$U35=1),1,0)</f>
        <v/>
      </c>
      <c r="XK36">
        <f>XK35+IF(AND($C35=88,$U35=1),1,0)</f>
        <v/>
      </c>
      <c r="XL36">
        <f>XL35+IF(AND($C35=89,$U35=1),1,0)</f>
        <v/>
      </c>
      <c r="XM36">
        <f>XM35+IF(AND($C35=90,$U35=1),1,0)</f>
        <v/>
      </c>
      <c r="XN36">
        <f>XN35+IF(AND($C35=91,$U35=1),1,0)</f>
        <v/>
      </c>
      <c r="XO36">
        <f>XO35+IF(AND($C35=92,$U35=1),1,0)</f>
        <v/>
      </c>
      <c r="XP36">
        <f>XP35+IF(AND($C35=93,$U35=1),1,0)</f>
        <v/>
      </c>
      <c r="XQ36">
        <f>XQ35+IF(AND($C35=94,$U35=1),1,0)</f>
        <v/>
      </c>
      <c r="XR36">
        <f>XR35+IF(AND($C35=95,$U35=1),1,0)</f>
        <v/>
      </c>
      <c r="XS36">
        <f>XS35+IF(AND($C35=96,$U35=1),1,0)</f>
        <v/>
      </c>
      <c r="XT36">
        <f>XT35+IF(AND($C35=97,$U35=1),1,0)</f>
        <v/>
      </c>
      <c r="XU36">
        <f>XU35+IF(AND($C35=98,$U35=1),1,0)</f>
        <v/>
      </c>
      <c r="XV36">
        <f>XV35+IF(AND($C35=99,$U35=1),1,0)</f>
        <v/>
      </c>
      <c r="XW36">
        <f>XW35+IF(AND($C35=100,$U35=1),1,0)</f>
        <v/>
      </c>
      <c r="XX36">
        <f>XX35+IF(AND($C35=101,$U35=1),1,0)</f>
        <v/>
      </c>
      <c r="XY36">
        <f>XY35+IF(AND($C35=102,$U35=1),1,0)</f>
        <v/>
      </c>
      <c r="XZ36">
        <f>XZ35+IF(AND($C35=103,$U35=1),1,0)</f>
        <v/>
      </c>
      <c r="YA36">
        <f>YA35+IF(AND($C35=104,$U35=1),1,0)</f>
        <v/>
      </c>
      <c r="YB36">
        <f>YB35+IF(AND($C35=105,$U35=1),1,0)</f>
        <v/>
      </c>
      <c r="YC36">
        <f>YC35+IF(AND($C35=106,$U35=1),1,0)</f>
        <v/>
      </c>
      <c r="YD36">
        <f>YD35+IF(AND($C35=107,$U35=1),1,0)</f>
        <v/>
      </c>
      <c r="YE36">
        <f>YE35+IF(AND($C35=108,$U35=1),1,0)</f>
        <v/>
      </c>
      <c r="YF36">
        <f>YF35+IF(AND($C35=109,$U35=1),1,0)</f>
        <v/>
      </c>
      <c r="YG36">
        <f>YG35+IF(AND($C35=110,$U35=1),1,0)</f>
        <v/>
      </c>
      <c r="YH36">
        <f>YH35+IF(AND($C35=111,$U35=1),1,0)</f>
        <v/>
      </c>
      <c r="YI36">
        <f>YI35+IF(AND($C35=112,$U35=1),1,0)</f>
        <v/>
      </c>
      <c r="YJ36">
        <f>YJ35+IF(AND($C35=113,$U35=1),1,0)</f>
        <v/>
      </c>
      <c r="YK36">
        <f>YK35+IF(AND($C35=114,$U35=1),1,0)</f>
        <v/>
      </c>
      <c r="YL36">
        <f>YL35+IF(AND($C35=115,$U35=1),1,0)</f>
        <v/>
      </c>
      <c r="YM36">
        <f>YM35+IF(AND($C35=116,$U35=1),1,0)</f>
        <v/>
      </c>
      <c r="YN36">
        <f>YN35+IF(AND($C35=117,$U35=1),1,0)</f>
        <v/>
      </c>
      <c r="YO36">
        <f>YO35+IF(AND($C35=118,$U35=1),1,0)</f>
        <v/>
      </c>
      <c r="YP36">
        <f>YP35+IF(AND($C35=119,$U35=1),1,0)</f>
        <v/>
      </c>
      <c r="YQ36">
        <f>YQ35+IF(AND($C35=120,$U35=1),1,0)</f>
        <v/>
      </c>
      <c r="YR36">
        <f>YR35+IF(AND($C35=121,$U35=1),1,0)</f>
        <v/>
      </c>
      <c r="YS36">
        <f>YS35+IF(AND($C35=122,$U35=1),1,0)</f>
        <v/>
      </c>
      <c r="YT36">
        <f>YT35+IF(AND($C35=123,$U35=1),1,0)</f>
        <v/>
      </c>
      <c r="YU36">
        <f>YU35+IF(AND($C35=124,$U35=1),1,0)</f>
        <v/>
      </c>
      <c r="YV36">
        <f>YV35+IF(AND($C35=125,$U35=1),1,0)</f>
        <v/>
      </c>
      <c r="YW36">
        <f>YW35+IF(AND($C35=126,$U35=1),1,0)</f>
        <v/>
      </c>
      <c r="YX36">
        <f>YX35+IF(AND($C35=127,$U35=1),1,0)</f>
        <v/>
      </c>
      <c r="YY36">
        <f>YY35+IF(AND($C35=128,$U35=1),1,0)</f>
        <v/>
      </c>
      <c r="YZ36">
        <f>YZ35+IF(AND($C35=129,$U35=1),1,0)</f>
        <v/>
      </c>
      <c r="ZA36">
        <f>ZA35+IF(AND($C35=130,$U35=1),1,0)</f>
        <v/>
      </c>
      <c r="ZB36">
        <f>ZB35+IF(AND($C35=131,$U35=1),1,0)</f>
        <v/>
      </c>
      <c r="ZC36">
        <f>ZC35+IF(AND($C35=132,$U35=1),1,0)</f>
        <v/>
      </c>
      <c r="ZD36">
        <f>ZD35+IF(AND($C35=133,$U35=1),1,0)</f>
        <v/>
      </c>
      <c r="ZE36">
        <f>ZE35+IF(AND($C35=134,$U35=1),1,0)</f>
        <v/>
      </c>
      <c r="ZF36">
        <f>ZF35+IF(AND($C35=135,$U35=1),1,0)</f>
        <v/>
      </c>
      <c r="ZG36">
        <f>ZG35+IF(AND($C35=136,$U35=1),1,0)</f>
        <v/>
      </c>
      <c r="ZH36">
        <f>ZH35+IF(AND($C35=137,$U35=1),1,0)</f>
        <v/>
      </c>
      <c r="ZI36">
        <f>ZI35+IF(AND($C35=138,$U35=1),1,0)</f>
        <v/>
      </c>
      <c r="ZJ36">
        <f>ZJ35+IF(AND($C35=139,$U35=1),1,0)</f>
        <v/>
      </c>
      <c r="ZK36">
        <f>ZK35+IF(AND($C35=140,$U35=1),1,0)</f>
        <v/>
      </c>
      <c r="ZL36">
        <f>ZL35+IF(AND($C35=141,$U35=1),1,0)</f>
        <v/>
      </c>
      <c r="ZM36">
        <f>ZM35+IF(AND($C35=142,$U35=1),1,0)</f>
        <v/>
      </c>
      <c r="ZN36">
        <f>ZN35+IF(AND($C35=143,$U35=1),1,0)</f>
        <v/>
      </c>
      <c r="ZO36">
        <f>ZO35+IF(AND($C35=144,$U35=1),1,0)</f>
        <v/>
      </c>
      <c r="ZQ36">
        <f>IF($C35=1,0,ZQ35+IF(AND($G35=1,$E35=1),1,0))</f>
        <v/>
      </c>
      <c r="ZR36">
        <f>IF($C35=2,0,ZR35+IF(AND($G35=2,$E35=1),1,0))</f>
        <v/>
      </c>
      <c r="ZS36">
        <f>IF($C35=3,0,ZS35+IF(AND($G35=3,$E35=1),1,0))</f>
        <v/>
      </c>
      <c r="ZT36">
        <f>IF($C35=4,0,ZT35+IF(AND($G35=4,$E35=1),1,0))</f>
        <v/>
      </c>
      <c r="ZU36">
        <f>IF($C35=5,0,ZU35+IF(AND($G35=5,$E35=1),1,0))</f>
        <v/>
      </c>
      <c r="ZV36">
        <f>IF($C35=6,0,ZV35+IF(AND($G35=6,$E35=1),1,0))</f>
        <v/>
      </c>
      <c r="ZW36">
        <f>IF($C35=7,0,ZW35+IF(AND($G35=7,$E35=1),1,0))</f>
        <v/>
      </c>
      <c r="ZX36">
        <f>IF($C35=8,0,ZX35+IF(AND($G35=8,$E35=1),1,0))</f>
        <v/>
      </c>
      <c r="ZY36">
        <f>IF($C35=9,0,ZY35+IF(AND($G35=9,$E35=1),1,0))</f>
        <v/>
      </c>
      <c r="ZZ36">
        <f>IF($C35=10,0,ZZ35+IF(AND($G35=10,$E35=1),1,0))</f>
        <v/>
      </c>
      <c r="AAA36">
        <f>IF($C35=11,0,AAA35+IF(AND($G35=11,$E35=1),1,0))</f>
        <v/>
      </c>
      <c r="AAB36">
        <f>IF($C35=12,0,AAB35+IF(AND($G35=12,$E35=1),1,0))</f>
        <v/>
      </c>
      <c r="AAC36">
        <f>IF($C35=13,0,AAC35+IF(AND($G35=13,$E35=1),1,0))</f>
        <v/>
      </c>
      <c r="AAD36">
        <f>IF($C35=14,0,AAD35+IF(AND($G35=14,$E35=1),1,0))</f>
        <v/>
      </c>
      <c r="AAE36">
        <f>IF($C35=15,0,AAE35+IF(AND($G35=15,$E35=1),1,0))</f>
        <v/>
      </c>
      <c r="AAF36">
        <f>IF($C35=16,0,AAF35+IF(AND($G35=16,$E35=1),1,0))</f>
        <v/>
      </c>
      <c r="AAG36">
        <f>IF($C35=17,0,AAG35+IF(AND($G35=17,$E35=1),1,0))</f>
        <v/>
      </c>
      <c r="AAH36">
        <f>IF($C35=18,0,AAH35+IF(AND($G35=18,$E35=1),1,0))</f>
        <v/>
      </c>
      <c r="AAI36">
        <f>IF($C35=19,0,AAI35+IF(AND($G35=19,$E35=1),1,0))</f>
        <v/>
      </c>
      <c r="AAJ36">
        <f>IF($C35=20,0,AAJ35+IF(AND($G35=20,$E35=1),1,0))</f>
        <v/>
      </c>
      <c r="AAK36">
        <f>IF($C35=21,0,AAK35+IF(AND($G35=21,$E35=1),1,0))</f>
        <v/>
      </c>
      <c r="AAL36">
        <f>IF($C35=22,0,AAL35+IF(AND($G35=22,$E35=1),1,0))</f>
        <v/>
      </c>
      <c r="AAM36">
        <f>IF($C35=23,0,AAM35+IF(AND($G35=23,$E35=1),1,0))</f>
        <v/>
      </c>
      <c r="AAN36">
        <f>IF($C35=24,0,AAN35+IF(AND($G35=24,$E35=1),1,0))</f>
        <v/>
      </c>
      <c r="AAO36">
        <f>IF($C35=25,0,AAO35+IF(AND($G35=25,$E35=1),1,0))</f>
        <v/>
      </c>
      <c r="AAP36">
        <f>IF($C35=26,0,AAP35+IF(AND($G35=26,$E35=1),1,0))</f>
        <v/>
      </c>
      <c r="AAQ36">
        <f>IF($C35=27,0,AAQ35+IF(AND($G35=27,$E35=1),1,0))</f>
        <v/>
      </c>
      <c r="AAR36">
        <f>IF($C35=28,0,AAR35+IF(AND($G35=28,$E35=1),1,0))</f>
        <v/>
      </c>
      <c r="AAS36">
        <f>IF($C35=29,0,AAS35+IF(AND($G35=29,$E35=1),1,0))</f>
        <v/>
      </c>
      <c r="AAT36">
        <f>IF($C35=30,0,AAT35+IF(AND($G35=30,$E35=1),1,0))</f>
        <v/>
      </c>
      <c r="AAU36">
        <f>IF($C35=31,0,AAU35+IF(AND($G35=31,$E35=1),1,0))</f>
        <v/>
      </c>
      <c r="AAV36">
        <f>IF($C35=32,0,AAV35+IF(AND($G35=32,$E35=1),1,0))</f>
        <v/>
      </c>
      <c r="AAW36">
        <f>IF($C35=33,0,AAW35+IF(AND($G35=33,$E35=1),1,0))</f>
        <v/>
      </c>
      <c r="AAX36">
        <f>IF($C35=34,0,AAX35+IF(AND($G35=34,$E35=1),1,0))</f>
        <v/>
      </c>
      <c r="AAY36">
        <f>IF($C35=35,0,AAY35+IF(AND($G35=35,$E35=1),1,0))</f>
        <v/>
      </c>
      <c r="AAZ36">
        <f>IF($C35=36,0,AAZ35+IF(AND($G35=36,$E35=1),1,0))</f>
        <v/>
      </c>
      <c r="ABA36">
        <f>IF($C35=37,0,ABA35+IF(AND($G35=37,$E35=1),1,0))</f>
        <v/>
      </c>
      <c r="ABB36">
        <f>IF($C35=38,0,ABB35+IF(AND($G35=38,$E35=1),1,0))</f>
        <v/>
      </c>
      <c r="ABC36">
        <f>IF($C35=39,0,ABC35+IF(AND($G35=39,$E35=1),1,0))</f>
        <v/>
      </c>
      <c r="ABD36">
        <f>IF($C35=40,0,ABD35+IF(AND($G35=40,$E35=1),1,0))</f>
        <v/>
      </c>
      <c r="ABE36">
        <f>IF($C35=41,0,ABE35+IF(AND($G35=41,$E35=1),1,0))</f>
        <v/>
      </c>
      <c r="ABF36">
        <f>IF($C35=42,0,ABF35+IF(AND($G35=42,$E35=1),1,0))</f>
        <v/>
      </c>
      <c r="ABG36">
        <f>IF($C35=43,0,ABG35+IF(AND($G35=43,$E35=1),1,0))</f>
        <v/>
      </c>
      <c r="ABH36">
        <f>IF($C35=44,0,ABH35+IF(AND($G35=44,$E35=1),1,0))</f>
        <v/>
      </c>
      <c r="ABI36">
        <f>IF($C35=45,0,ABI35+IF(AND($G35=45,$E35=1),1,0))</f>
        <v/>
      </c>
      <c r="ABJ36">
        <f>IF($C35=46,0,ABJ35+IF(AND($G35=46,$E35=1),1,0))</f>
        <v/>
      </c>
      <c r="ABK36">
        <f>IF($C35=47,0,ABK35+IF(AND($G35=47,$E35=1),1,0))</f>
        <v/>
      </c>
      <c r="ABL36">
        <f>IF($C35=48,0,ABL35+IF(AND($G35=48,$E35=1),1,0))</f>
        <v/>
      </c>
      <c r="ABM36">
        <f>IF($C35=49,0,ABM35+IF(AND($G35=49,$E35=1),1,0))</f>
        <v/>
      </c>
      <c r="ABN36">
        <f>IF($C35=50,0,ABN35+IF(AND($G35=50,$E35=1),1,0))</f>
        <v/>
      </c>
      <c r="ABO36">
        <f>IF($C35=51,0,ABO35+IF(AND($G35=51,$E35=1),1,0))</f>
        <v/>
      </c>
      <c r="ABP36">
        <f>IF($C35=52,0,ABP35+IF(AND($G35=52,$E35=1),1,0))</f>
        <v/>
      </c>
      <c r="ABQ36">
        <f>IF($C35=53,0,ABQ35+IF(AND($G35=53,$E35=1),1,0))</f>
        <v/>
      </c>
      <c r="ABR36">
        <f>IF($C35=54,0,ABR35+IF(AND($G35=54,$E35=1),1,0))</f>
        <v/>
      </c>
      <c r="ABS36">
        <f>IF($C35=55,0,ABS35+IF(AND($G35=55,$E35=1),1,0))</f>
        <v/>
      </c>
      <c r="ABT36">
        <f>IF($C35=56,0,ABT35+IF(AND($G35=56,$E35=1),1,0))</f>
        <v/>
      </c>
      <c r="ABU36">
        <f>IF($C35=57,0,ABU35+IF(AND($G35=57,$E35=1),1,0))</f>
        <v/>
      </c>
      <c r="ABV36">
        <f>IF($C35=58,0,ABV35+IF(AND($G35=58,$E35=1),1,0))</f>
        <v/>
      </c>
      <c r="ABW36">
        <f>IF($C35=59,0,ABW35+IF(AND($G35=59,$E35=1),1,0))</f>
        <v/>
      </c>
      <c r="ABX36">
        <f>IF($C35=60,0,ABX35+IF(AND($G35=60,$E35=1),1,0))</f>
        <v/>
      </c>
      <c r="ABY36">
        <f>IF($C35=61,0,ABY35+IF(AND($G35=61,$E35=1),1,0))</f>
        <v/>
      </c>
      <c r="ABZ36">
        <f>IF($C35=62,0,ABZ35+IF(AND($G35=62,$E35=1),1,0))</f>
        <v/>
      </c>
      <c r="ACA36">
        <f>IF($C35=63,0,ACA35+IF(AND($G35=63,$E35=1),1,0))</f>
        <v/>
      </c>
      <c r="ACB36">
        <f>IF($C35=64,0,ACB35+IF(AND($G35=64,$E35=1),1,0))</f>
        <v/>
      </c>
      <c r="ACC36">
        <f>IF($C35=65,0,ACC35+IF(AND($G35=65,$E35=1),1,0))</f>
        <v/>
      </c>
      <c r="ACD36">
        <f>IF($C35=66,0,ACD35+IF(AND($G35=66,$E35=1),1,0))</f>
        <v/>
      </c>
      <c r="ACE36">
        <f>IF($C35=67,0,ACE35+IF(AND($G35=67,$E35=1),1,0))</f>
        <v/>
      </c>
      <c r="ACF36">
        <f>IF($C35=68,0,ACF35+IF(AND($G35=68,$E35=1),1,0))</f>
        <v/>
      </c>
      <c r="ACG36">
        <f>IF($C35=69,0,ACG35+IF(AND($G35=69,$E35=1),1,0))</f>
        <v/>
      </c>
      <c r="ACH36">
        <f>IF($C35=70,0,ACH35+IF(AND($G35=70,$E35=1),1,0))</f>
        <v/>
      </c>
      <c r="ACI36">
        <f>IF($C35=71,0,ACI35+IF(AND($G35=71,$E35=1),1,0))</f>
        <v/>
      </c>
      <c r="ACJ36">
        <f>IF($C35=72,0,ACJ35+IF(AND($G35=72,$E35=1),1,0))</f>
        <v/>
      </c>
      <c r="ACK36">
        <f>IF($C35=73,0,ACK35+IF(AND($G35=73,$E35=1),1,0))</f>
        <v/>
      </c>
      <c r="ACL36">
        <f>IF($C35=74,0,ACL35+IF(AND($G35=74,$E35=1),1,0))</f>
        <v/>
      </c>
      <c r="ACM36">
        <f>IF($C35=75,0,ACM35+IF(AND($G35=75,$E35=1),1,0))</f>
        <v/>
      </c>
      <c r="ACN36">
        <f>IF($C35=76,0,ACN35+IF(AND($G35=76,$E35=1),1,0))</f>
        <v/>
      </c>
      <c r="ACO36">
        <f>IF($C35=77,0,ACO35+IF(AND($G35=77,$E35=1),1,0))</f>
        <v/>
      </c>
      <c r="ACP36">
        <f>IF($C35=78,0,ACP35+IF(AND($G35=78,$E35=1),1,0))</f>
        <v/>
      </c>
      <c r="ACQ36">
        <f>IF($C35=79,0,ACQ35+IF(AND($G35=79,$E35=1),1,0))</f>
        <v/>
      </c>
      <c r="ACR36">
        <f>IF($C35=80,0,ACR35+IF(AND($G35=80,$E35=1),1,0))</f>
        <v/>
      </c>
      <c r="ACS36">
        <f>IF($C35=81,0,ACS35+IF(AND($G35=81,$E35=1),1,0))</f>
        <v/>
      </c>
      <c r="ACT36">
        <f>IF($C35=82,0,ACT35+IF(AND($G35=82,$E35=1),1,0))</f>
        <v/>
      </c>
      <c r="ACU36">
        <f>IF($C35=83,0,ACU35+IF(AND($G35=83,$E35=1),1,0))</f>
        <v/>
      </c>
      <c r="ACV36">
        <f>IF($C35=84,0,ACV35+IF(AND($G35=84,$E35=1),1,0))</f>
        <v/>
      </c>
      <c r="ACW36">
        <f>IF($C35=85,0,ACW35+IF(AND($G35=85,$E35=1),1,0))</f>
        <v/>
      </c>
      <c r="ACX36">
        <f>IF($C35=86,0,ACX35+IF(AND($G35=86,$E35=1),1,0))</f>
        <v/>
      </c>
      <c r="ACY36">
        <f>IF($C35=87,0,ACY35+IF(AND($G35=87,$E35=1),1,0))</f>
        <v/>
      </c>
      <c r="ACZ36">
        <f>IF($C35=88,0,ACZ35+IF(AND($G35=88,$E35=1),1,0))</f>
        <v/>
      </c>
      <c r="ADA36">
        <f>IF($C35=89,0,ADA35+IF(AND($G35=89,$E35=1),1,0))</f>
        <v/>
      </c>
      <c r="ADB36">
        <f>IF($C35=90,0,ADB35+IF(AND($G35=90,$E35=1),1,0))</f>
        <v/>
      </c>
      <c r="ADC36">
        <f>IF($C35=91,0,ADC35+IF(AND($G35=91,$E35=1),1,0))</f>
        <v/>
      </c>
      <c r="ADD36">
        <f>IF($C35=92,0,ADD35+IF(AND($G35=92,$E35=1),1,0))</f>
        <v/>
      </c>
      <c r="ADE36">
        <f>IF($C35=93,0,ADE35+IF(AND($G35=93,$E35=1),1,0))</f>
        <v/>
      </c>
      <c r="ADF36">
        <f>IF($C35=94,0,ADF35+IF(AND($G35=94,$E35=1),1,0))</f>
        <v/>
      </c>
      <c r="ADG36">
        <f>IF($C35=95,0,ADG35+IF(AND($G35=95,$E35=1),1,0))</f>
        <v/>
      </c>
      <c r="ADH36">
        <f>IF($C35=96,0,ADH35+IF(AND($G35=96,$E35=1),1,0))</f>
        <v/>
      </c>
      <c r="ADI36">
        <f>IF($C35=97,0,ADI35+IF(AND($G35=97,$E35=1),1,0))</f>
        <v/>
      </c>
      <c r="ADJ36">
        <f>IF($C35=98,0,ADJ35+IF(AND($G35=98,$E35=1),1,0))</f>
        <v/>
      </c>
      <c r="ADK36">
        <f>IF($C35=99,0,ADK35+IF(AND($G35=99,$E35=1),1,0))</f>
        <v/>
      </c>
      <c r="ADL36">
        <f>IF($C35=100,0,ADL35+IF(AND($G35=100,$E35=1),1,0))</f>
        <v/>
      </c>
      <c r="ADM36">
        <f>IF($C35=101,0,ADM35+IF(AND($G35=101,$E35=1),1,0))</f>
        <v/>
      </c>
      <c r="ADN36">
        <f>IF($C35=102,0,ADN35+IF(AND($G35=102,$E35=1),1,0))</f>
        <v/>
      </c>
      <c r="ADO36">
        <f>IF($C35=103,0,ADO35+IF(AND($G35=103,$E35=1),1,0))</f>
        <v/>
      </c>
      <c r="ADP36">
        <f>IF($C35=104,0,ADP35+IF(AND($G35=104,$E35=1),1,0))</f>
        <v/>
      </c>
      <c r="ADQ36">
        <f>IF($C35=105,0,ADQ35+IF(AND($G35=105,$E35=1),1,0))</f>
        <v/>
      </c>
      <c r="ADR36">
        <f>IF($C35=106,0,ADR35+IF(AND($G35=106,$E35=1),1,0))</f>
        <v/>
      </c>
      <c r="ADS36">
        <f>IF($C35=107,0,ADS35+IF(AND($G35=107,$E35=1),1,0))</f>
        <v/>
      </c>
      <c r="ADT36">
        <f>IF($C35=108,0,ADT35+IF(AND($G35=108,$E35=1),1,0))</f>
        <v/>
      </c>
      <c r="ADU36">
        <f>IF($C35=109,0,ADU35+IF(AND($G35=109,$E35=1),1,0))</f>
        <v/>
      </c>
      <c r="ADV36">
        <f>IF($C35=110,0,ADV35+IF(AND($G35=110,$E35=1),1,0))</f>
        <v/>
      </c>
      <c r="ADW36">
        <f>IF($C35=111,0,ADW35+IF(AND($G35=111,$E35=1),1,0))</f>
        <v/>
      </c>
      <c r="ADX36">
        <f>IF($C35=112,0,ADX35+IF(AND($G35=112,$E35=1),1,0))</f>
        <v/>
      </c>
      <c r="ADY36">
        <f>IF($C35=113,0,ADY35+IF(AND($G35=113,$E35=1),1,0))</f>
        <v/>
      </c>
      <c r="ADZ36">
        <f>IF($C35=114,0,ADZ35+IF(AND($G35=114,$E35=1),1,0))</f>
        <v/>
      </c>
      <c r="AEA36">
        <f>IF($C35=115,0,AEA35+IF(AND($G35=115,$E35=1),1,0))</f>
        <v/>
      </c>
      <c r="AEB36">
        <f>IF($C35=116,0,AEB35+IF(AND($G35=116,$E35=1),1,0))</f>
        <v/>
      </c>
      <c r="AEC36">
        <f>IF($C35=117,0,AEC35+IF(AND($G35=117,$E35=1),1,0))</f>
        <v/>
      </c>
      <c r="AED36">
        <f>IF($C35=118,0,AED35+IF(AND($G35=118,$E35=1),1,0))</f>
        <v/>
      </c>
      <c r="AEE36">
        <f>IF($C35=119,0,AEE35+IF(AND($G35=119,$E35=1),1,0))</f>
        <v/>
      </c>
      <c r="AEF36">
        <f>IF($C35=120,0,AEF35+IF(AND($G35=120,$E35=1),1,0))</f>
        <v/>
      </c>
      <c r="AEG36">
        <f>IF($C35=121,0,AEG35+IF(AND($G35=121,$E35=1),1,0))</f>
        <v/>
      </c>
      <c r="AEH36">
        <f>IF($C35=122,0,AEH35+IF(AND($G35=122,$E35=1),1,0))</f>
        <v/>
      </c>
      <c r="AEI36">
        <f>IF($C35=123,0,AEI35+IF(AND($G35=123,$E35=1),1,0))</f>
        <v/>
      </c>
      <c r="AEJ36">
        <f>IF($C35=124,0,AEJ35+IF(AND($G35=124,$E35=1),1,0))</f>
        <v/>
      </c>
      <c r="AEK36">
        <f>IF($C35=125,0,AEK35+IF(AND($G35=125,$E35=1),1,0))</f>
        <v/>
      </c>
      <c r="AEL36">
        <f>IF($C35=126,0,AEL35+IF(AND($G35=126,$E35=1),1,0))</f>
        <v/>
      </c>
      <c r="AEM36">
        <f>IF($C35=127,0,AEM35+IF(AND($G35=127,$E35=1),1,0))</f>
        <v/>
      </c>
      <c r="AEN36">
        <f>IF($C35=128,0,AEN35+IF(AND($G35=128,$E35=1),1,0))</f>
        <v/>
      </c>
      <c r="AEO36">
        <f>IF($C35=129,0,AEO35+IF(AND($G35=129,$E35=1),1,0))</f>
        <v/>
      </c>
      <c r="AEP36">
        <f>IF($C35=130,0,AEP35+IF(AND($G35=130,$E35=1),1,0))</f>
        <v/>
      </c>
      <c r="AEQ36">
        <f>IF($C35=131,0,AEQ35+IF(AND($G35=131,$E35=1),1,0))</f>
        <v/>
      </c>
      <c r="AER36">
        <f>IF($C35=132,0,AER35+IF(AND($G35=132,$E35=1),1,0))</f>
        <v/>
      </c>
      <c r="AES36">
        <f>IF($C35=133,0,AES35+IF(AND($G35=133,$E35=1),1,0))</f>
        <v/>
      </c>
      <c r="AET36">
        <f>IF($C35=134,0,AET35+IF(AND($G35=134,$E35=1),1,0))</f>
        <v/>
      </c>
      <c r="AEU36">
        <f>IF($C35=135,0,AEU35+IF(AND($G35=135,$E35=1),1,0))</f>
        <v/>
      </c>
      <c r="AEV36">
        <f>IF($C35=136,0,AEV35+IF(AND($G35=136,$E35=1),1,0))</f>
        <v/>
      </c>
      <c r="AEW36">
        <f>IF($C35=137,0,AEW35+IF(AND($G35=137,$E35=1),1,0))</f>
        <v/>
      </c>
      <c r="AEX36">
        <f>IF($C35=138,0,AEX35+IF(AND($G35=138,$E35=1),1,0))</f>
        <v/>
      </c>
      <c r="AEY36">
        <f>IF($C35=139,0,AEY35+IF(AND($G35=139,$E35=1),1,0))</f>
        <v/>
      </c>
      <c r="AEZ36">
        <f>IF($C35=140,0,AEZ35+IF(AND($G35=140,$E35=1),1,0))</f>
        <v/>
      </c>
      <c r="AFA36">
        <f>IF($C35=141,0,AFA35+IF(AND($G35=141,$E35=1),1,0))</f>
        <v/>
      </c>
      <c r="AFB36">
        <f>IF($C35=142,0,AFB35+IF(AND($G35=142,$E35=1),1,0))</f>
        <v/>
      </c>
      <c r="AFC36">
        <f>IF($C35=143,0,AFC35+IF(AND($G35=143,$E35=1),1,0))</f>
        <v/>
      </c>
      <c r="AFD36">
        <f>IF($C35=144,0,AFD35+IF(AND($G35=144,$E35=1),1,0))</f>
        <v/>
      </c>
      <c r="AFF36">
        <f>IF('calcA'!D$106=1,DC36+ZR36,1)</f>
        <v/>
      </c>
      <c r="AFG36">
        <f>IF('calcA'!E$106=1,DD36+ZS36,1)</f>
        <v/>
      </c>
      <c r="AFH36">
        <f>IF('calcA'!F$106=1,DE36+ZT36,1)</f>
        <v/>
      </c>
      <c r="AFI36">
        <f>IF('calcA'!G$106=1,DF36+ZU36,1)</f>
        <v/>
      </c>
      <c r="AFJ36">
        <f>IF('calcA'!H$106=1,DG36+ZV36,1)</f>
        <v/>
      </c>
      <c r="AFK36">
        <f>IF('calcA'!I$106=1,DH36+ZW36,1)</f>
        <v/>
      </c>
      <c r="AFL36">
        <f>IF('calcA'!J$106=1,DI36+ZX36,1)</f>
        <v/>
      </c>
      <c r="AFM36">
        <f>IF('calcA'!K$106=1,DJ36+ZY36,1)</f>
        <v/>
      </c>
      <c r="AFN36">
        <f>IF('calcA'!L$106=1,DK36+ZZ36,1)</f>
        <v/>
      </c>
      <c r="AFO36">
        <f>IF('calcA'!M$106=1,DL36+AAA36,1)</f>
        <v/>
      </c>
      <c r="AFP36">
        <f>IF('calcA'!N$106=1,DM36+AAB36,1)</f>
        <v/>
      </c>
      <c r="AFQ36">
        <f>IF('calcA'!O$106=1,DN36+AAC36,1)</f>
        <v/>
      </c>
      <c r="AFR36">
        <f>IF('calcA'!P$106=1,DO36+AAD36,1)</f>
        <v/>
      </c>
      <c r="AFS36">
        <f>IF('calcA'!Q$106=1,DP36+AAE36,1)</f>
        <v/>
      </c>
      <c r="AFT36">
        <f>IF('calcA'!R$106=1,DQ36+AAF36,1)</f>
        <v/>
      </c>
      <c r="AFU36">
        <f>IF('calcA'!S$106=1,DR36+AAG36,1)</f>
        <v/>
      </c>
      <c r="AFV36">
        <f>IF('calcA'!T$106=1,DS36+AAH36,1)</f>
        <v/>
      </c>
      <c r="AFW36">
        <f>IF('calcA'!U$106=1,DT36+AAI36,1)</f>
        <v/>
      </c>
      <c r="AFX36">
        <f>IF('calcA'!V$106=1,DU36+AAJ36,1)</f>
        <v/>
      </c>
      <c r="AFY36">
        <f>IF('calcA'!W$106=1,DV36+AAK36,1)</f>
        <v/>
      </c>
      <c r="AFZ36">
        <f>IF('calcA'!X$106=1,DW36+AAL36,1)</f>
        <v/>
      </c>
      <c r="AGA36">
        <f>IF('calcA'!Y$106=1,DX36+AAM36,1)</f>
        <v/>
      </c>
      <c r="AGB36">
        <f>IF('calcA'!Z$106=1,DY36+AAN36,1)</f>
        <v/>
      </c>
      <c r="AGC36">
        <f>IF('calcA'!AA$106=1,DZ36+AAO36,1)</f>
        <v/>
      </c>
      <c r="AGD36">
        <f>IF('calcA'!AB$106=1,EA36+AAP36,1)</f>
        <v/>
      </c>
      <c r="AGE36">
        <f>IF('calcA'!AC$106=1,EB36+AAQ36,1)</f>
        <v/>
      </c>
      <c r="AGF36">
        <f>IF('calcA'!AD$106=1,EC36+AAR36,1)</f>
        <v/>
      </c>
      <c r="AGG36">
        <f>IF('calcA'!AE$106=1,ED36+AAS36,1)</f>
        <v/>
      </c>
      <c r="AGH36">
        <f>IF('calcA'!AF$106=1,EE36+AAT36,1)</f>
        <v/>
      </c>
      <c r="AGI36">
        <f>IF('calcA'!AG$106=1,EF36+AAU36,1)</f>
        <v/>
      </c>
      <c r="AGJ36">
        <f>IF('calcA'!AH$106=1,EG36+AAV36,1)</f>
        <v/>
      </c>
      <c r="AGK36">
        <f>IF('calcA'!AI$106=1,EH36+AAW36,1)</f>
        <v/>
      </c>
      <c r="AGL36">
        <f>IF('calcA'!AJ$106=1,EI36+AAX36,1)</f>
        <v/>
      </c>
      <c r="AGM36">
        <f>IF('calcA'!AK$106=1,EJ36+AAY36,1)</f>
        <v/>
      </c>
      <c r="AGN36">
        <f>IF('calcA'!AL$106=1,EK36+AAZ36,1)</f>
        <v/>
      </c>
      <c r="AGO36">
        <f>IF('calcA'!AM$106=1,EL36+ABA36,1)</f>
        <v/>
      </c>
      <c r="AGP36">
        <f>IF('calcA'!AN$106=1,EM36+ABB36,1)</f>
        <v/>
      </c>
      <c r="AGQ36">
        <f>IF('calcA'!AO$106=1,EN36+ABC36,1)</f>
        <v/>
      </c>
      <c r="AGR36">
        <f>IF('calcA'!AP$106=1,EO36+ABD36,1)</f>
        <v/>
      </c>
      <c r="AGS36">
        <f>IF('calcA'!AQ$106=1,EP36+ABE36,1)</f>
        <v/>
      </c>
      <c r="AGT36">
        <f>IF('calcA'!AR$106=1,EQ36+ABF36,1)</f>
        <v/>
      </c>
      <c r="AGU36">
        <f>IF('calcA'!AS$106=1,ER36+ABG36,1)</f>
        <v/>
      </c>
      <c r="AGV36">
        <f>IF('calcA'!AT$106=1,ES36+ABH36,1)</f>
        <v/>
      </c>
      <c r="AGW36">
        <f>IF('calcA'!AU$106=1,ET36+ABI36,1)</f>
        <v/>
      </c>
      <c r="AGX36">
        <f>IF('calcA'!AV$106=1,EU36+ABJ36,1)</f>
        <v/>
      </c>
      <c r="AGY36">
        <f>IF('calcA'!AW$106=1,EV36+ABK36,1)</f>
        <v/>
      </c>
      <c r="AGZ36">
        <f>IF('calcA'!AX$106=1,EW36+ABL36,1)</f>
        <v/>
      </c>
      <c r="AHA36">
        <f>IF('calcA'!AY$106=1,EX36+ABM36,1)</f>
        <v/>
      </c>
      <c r="AHB36">
        <f>IF('calcA'!AZ$106=1,EY36+ABN36,1)</f>
        <v/>
      </c>
      <c r="AHC36">
        <f>IF('calcA'!BA$106=1,EZ36+ABO36,1)</f>
        <v/>
      </c>
      <c r="AHD36">
        <f>IF('calcA'!BB$106=1,FA36+ABP36,1)</f>
        <v/>
      </c>
      <c r="AHE36">
        <f>IF('calcA'!BC$106=1,FB36+ABQ36,1)</f>
        <v/>
      </c>
      <c r="AHF36">
        <f>IF('calcA'!BD$106=1,FC36+ABR36,1)</f>
        <v/>
      </c>
      <c r="AHG36">
        <f>IF('calcA'!BE$106=1,FD36+ABS36,1)</f>
        <v/>
      </c>
      <c r="AHH36">
        <f>IF('calcA'!BF$106=1,FE36+ABT36,1)</f>
        <v/>
      </c>
      <c r="AHI36">
        <f>IF('calcA'!BG$106=1,FF36+ABU36,1)</f>
        <v/>
      </c>
      <c r="AHJ36">
        <f>IF('calcA'!BH$106=1,FG36+ABV36,1)</f>
        <v/>
      </c>
      <c r="AHK36">
        <f>IF('calcA'!BI$106=1,FH36+ABW36,1)</f>
        <v/>
      </c>
      <c r="AHL36">
        <f>IF('calcA'!BJ$106=1,FI36+ABX36,1)</f>
        <v/>
      </c>
      <c r="AHM36">
        <f>IF('calcA'!BK$106=1,FJ36+ABY36,1)</f>
        <v/>
      </c>
      <c r="AHN36">
        <f>IF('calcA'!BL$106=1,FK36+ABZ36,1)</f>
        <v/>
      </c>
      <c r="AHO36">
        <f>IF('calcA'!BM$106=1,FL36+ACA36,1)</f>
        <v/>
      </c>
      <c r="AHP36">
        <f>IF('calcA'!BN$106=1,FM36+ACB36,1)</f>
        <v/>
      </c>
      <c r="AHQ36">
        <f>IF('calcA'!BO$106=1,FN36+ACC36,1)</f>
        <v/>
      </c>
      <c r="AHR36">
        <f>IF('calcA'!BP$106=1,FO36+ACD36,1)</f>
        <v/>
      </c>
      <c r="AHS36">
        <f>IF('calcA'!BQ$106=1,FP36+ACE36,1)</f>
        <v/>
      </c>
      <c r="AHT36">
        <f>IF('calcA'!BR$106=1,FQ36+ACF36,1)</f>
        <v/>
      </c>
      <c r="AHU36">
        <f>IF('calcA'!BS$106=1,FR36+ACG36,1)</f>
        <v/>
      </c>
      <c r="AHV36">
        <f>IF('calcA'!BT$106=1,FS36+ACH36,1)</f>
        <v/>
      </c>
      <c r="AHW36">
        <f>IF('calcA'!BU$106=1,FT36+ACI36,1)</f>
        <v/>
      </c>
      <c r="AHX36">
        <f>IF('calcA'!BV$106=1,FU36+ACJ36,1)</f>
        <v/>
      </c>
      <c r="AHY36">
        <f>IF('calcA'!BW$106=1,FV36+ACK36,1)</f>
        <v/>
      </c>
      <c r="AHZ36">
        <f>IF('calcA'!BX$106=1,FW36+ACL36,1)</f>
        <v/>
      </c>
      <c r="AIA36">
        <f>IF('calcA'!BY$106=1,FX36+ACM36,1)</f>
        <v/>
      </c>
      <c r="AIB36">
        <f>IF('calcA'!BZ$106=1,FY36+ACN36,1)</f>
        <v/>
      </c>
      <c r="AIC36">
        <f>IF('calcA'!CA$106=1,FZ36+ACO36,1)</f>
        <v/>
      </c>
      <c r="AID36">
        <f>IF('calcA'!CB$106=1,GA36+ACP36,1)</f>
        <v/>
      </c>
      <c r="AIE36">
        <f>IF('calcA'!CC$106=1,GB36+ACQ36,1)</f>
        <v/>
      </c>
      <c r="AIF36">
        <f>IF('calcA'!CD$106=1,GC36+ACR36,1)</f>
        <v/>
      </c>
      <c r="AIG36">
        <f>IF('calcA'!CE$106=1,GD36+ACS36,1)</f>
        <v/>
      </c>
      <c r="AIH36">
        <f>IF('calcA'!CF$106=1,GE36+ACT36,1)</f>
        <v/>
      </c>
      <c r="AII36">
        <f>IF('calcA'!CG$106=1,GF36+ACU36,1)</f>
        <v/>
      </c>
      <c r="AIJ36">
        <f>IF('calcA'!CH$106=1,GG36+ACV36,1)</f>
        <v/>
      </c>
      <c r="AIK36">
        <f>IF('calcA'!CI$106=1,GH36+ACW36,1)</f>
        <v/>
      </c>
      <c r="AIL36">
        <f>IF('calcA'!CJ$106=1,GI36+ACX36,1)</f>
        <v/>
      </c>
      <c r="AIM36">
        <f>IF('calcA'!CK$106=1,GJ36+ACY36,1)</f>
        <v/>
      </c>
      <c r="AIN36">
        <f>IF('calcA'!CL$106=1,GK36+ACZ36,1)</f>
        <v/>
      </c>
      <c r="AIO36">
        <f>IF('calcA'!CM$106=1,GL36+ADA36,1)</f>
        <v/>
      </c>
      <c r="AIP36">
        <f>IF('calcA'!CN$106=1,GM36+ADB36,1)</f>
        <v/>
      </c>
      <c r="AIQ36">
        <f>IF('calcA'!CO$106=1,GN36+ADC36,1)</f>
        <v/>
      </c>
      <c r="AIR36">
        <f>IF('calcA'!CP$106=1,GO36+ADD36,1)</f>
        <v/>
      </c>
      <c r="AIS36">
        <f>IF('calcA'!CQ$106=1,GP36+ADE36,1)</f>
        <v/>
      </c>
      <c r="AIT36">
        <f>IF('calcA'!CR$106=1,GQ36+ADF36,1)</f>
        <v/>
      </c>
      <c r="AIU36">
        <f>IF('calcA'!CS$106=1,GR36+ADG36,1)</f>
        <v/>
      </c>
      <c r="AIV36">
        <f>IF('calcA'!CT$106=1,GS36+ADH36,1)</f>
        <v/>
      </c>
      <c r="AIW36">
        <f>IF('calcA'!CU$106=1,GT36+ADI36,1)</f>
        <v/>
      </c>
      <c r="AIX36">
        <f>IF('calcA'!CV$106=1,GU36+ADJ36,1)</f>
        <v/>
      </c>
      <c r="AIY36">
        <f>IF('calcA'!CW$106=1,GV36+ADK36,1)</f>
        <v/>
      </c>
      <c r="AIZ36">
        <f>IF('calcA'!CX$106=1,GW36+ADL36,1)</f>
        <v/>
      </c>
      <c r="AJA36">
        <f>IF('calcA'!CY$106=1,GX36+ADM36,1)</f>
        <v/>
      </c>
      <c r="AJB36">
        <f>IF('calcA'!CZ$106=1,GY36+ADN36,1)</f>
        <v/>
      </c>
      <c r="AJC36">
        <f>IF('calcA'!DA$106=1,GZ36+ADO36,1)</f>
        <v/>
      </c>
      <c r="AJD36">
        <f>IF('calcA'!DB$106=1,HA36+ADP36,1)</f>
        <v/>
      </c>
      <c r="AJE36">
        <f>IF('calcA'!DC$106=1,HB36+ADQ36,1)</f>
        <v/>
      </c>
      <c r="AJF36">
        <f>IF('calcA'!DD$106=1,HC36+ADR36,1)</f>
        <v/>
      </c>
      <c r="AJG36">
        <f>IF('calcA'!DE$106=1,HD36+ADS36,1)</f>
        <v/>
      </c>
      <c r="AJH36">
        <f>IF('calcA'!DF$106=1,HE36+ADT36,1)</f>
        <v/>
      </c>
      <c r="AJI36">
        <f>IF('calcA'!DG$106=1,HF36+ADU36,1)</f>
        <v/>
      </c>
      <c r="AJJ36">
        <f>IF('calcA'!DH$106=1,HG36+ADV36,1)</f>
        <v/>
      </c>
      <c r="AJK36">
        <f>IF('calcA'!DI$106=1,HH36+ADW36,1)</f>
        <v/>
      </c>
      <c r="AJL36">
        <f>IF('calcA'!DJ$106=1,HI36+ADX36,1)</f>
        <v/>
      </c>
      <c r="AJM36">
        <f>IF('calcA'!DK$106=1,HJ36+ADY36,1)</f>
        <v/>
      </c>
      <c r="AJN36">
        <f>IF('calcA'!DL$106=1,HK36+ADZ36,1)</f>
        <v/>
      </c>
      <c r="AJO36">
        <f>IF('calcA'!DM$106=1,HL36+AEA36,1)</f>
        <v/>
      </c>
      <c r="AJP36">
        <f>IF('calcA'!DN$106=1,HM36+AEB36,1)</f>
        <v/>
      </c>
      <c r="AJQ36">
        <f>IF('calcA'!DO$106=1,HN36+AEC36,1)</f>
        <v/>
      </c>
      <c r="AJR36">
        <f>IF('calcA'!DP$106=1,HO36+AED36,1)</f>
        <v/>
      </c>
      <c r="AJS36">
        <f>IF('calcA'!DQ$106=1,HP36+AEE36,1)</f>
        <v/>
      </c>
      <c r="AJT36">
        <f>IF('calcA'!DR$106=1,HQ36+AEF36,1)</f>
        <v/>
      </c>
      <c r="AJU36">
        <f>IF('calcA'!DS$106=1,HR36+AEG36,1)</f>
        <v/>
      </c>
      <c r="AJV36">
        <f>IF('calcA'!DT$106=1,HS36+AEH36,1)</f>
        <v/>
      </c>
      <c r="AJW36">
        <f>IF('calcA'!DU$106=1,HT36+AEI36,1)</f>
        <v/>
      </c>
      <c r="AJX36">
        <f>IF('calcA'!DV$106=1,HU36+AEJ36,1)</f>
        <v/>
      </c>
      <c r="AJY36">
        <f>IF('calcA'!DW$106=1,HV36+AEK36,1)</f>
        <v/>
      </c>
      <c r="AJZ36">
        <f>IF('calcA'!DX$106=1,HW36+AEL36,1)</f>
        <v/>
      </c>
      <c r="AKA36">
        <f>IF('calcA'!DY$106=1,HX36+AEM36,1)</f>
        <v/>
      </c>
      <c r="AKB36">
        <f>IF('calcA'!DZ$106=1,HY36+AEN36,1)</f>
        <v/>
      </c>
      <c r="AKC36">
        <f>IF('calcA'!EA$106=1,HZ36+AEO36,1)</f>
        <v/>
      </c>
      <c r="AKD36">
        <f>IF('calcA'!EB$106=1,IA36+AEP36,1)</f>
        <v/>
      </c>
      <c r="AKE36">
        <f>IF('calcA'!EC$106=1,IB36+AEQ36,1)</f>
        <v/>
      </c>
      <c r="AKF36">
        <f>IF('calcA'!ED$106=1,IC36+AER36,1)</f>
        <v/>
      </c>
      <c r="AKG36">
        <f>IF('calcA'!EE$106=1,ID36+AES36,1)</f>
        <v/>
      </c>
      <c r="AKH36">
        <f>IF('calcA'!EF$106=1,IE36+AET36,1)</f>
        <v/>
      </c>
      <c r="AKI36">
        <f>IF('calcA'!EG$106=1,IF36+AEU36,1)</f>
        <v/>
      </c>
      <c r="AKJ36">
        <f>IF('calcA'!EH$106=1,IG36+AEV36,1)</f>
        <v/>
      </c>
      <c r="AKK36">
        <f>IF('calcA'!EI$106=1,IH36+AEW36,1)</f>
        <v/>
      </c>
      <c r="AKL36">
        <f>IF('calcA'!EJ$106=1,II36+AEX36,1)</f>
        <v/>
      </c>
      <c r="AKM36">
        <f>IF('calcA'!EK$106=1,IJ36+AEY36,1)</f>
        <v/>
      </c>
      <c r="AKN36">
        <f>IF('calcA'!EL$106=1,IK36+AEZ36,1)</f>
        <v/>
      </c>
      <c r="AKO36">
        <f>IF('calcA'!EM$106=1,IL36+AFA36,1)</f>
        <v/>
      </c>
      <c r="AKP36">
        <f>IF('calcA'!EN$106=1,IM36+AFB36,1)</f>
        <v/>
      </c>
      <c r="AKQ36">
        <f>IF('calcA'!EO$106=1,IN36+AFC36,1)</f>
        <v/>
      </c>
      <c r="AKR36">
        <f>IF('calcA'!EP$106=1,IO36+AFD36,1)</f>
        <v/>
      </c>
      <c r="AKS36" t="n">
        <v>1</v>
      </c>
    </row>
    <row r="37">
      <c r="A37" t="n">
        <v>35</v>
      </c>
      <c r="B37">
        <f>IF(MIN(BM37:CZ37)&gt;=1000000000,0,MATCH(MIN(BM37:CZ37),BM37:CZ37,0))</f>
        <v/>
      </c>
      <c r="C37">
        <f>IF(MIN(OF37:TS37)&gt;=1000000000,0,MATCH(MIN(OF37:TS37),OF37:TS37,0))</f>
        <v/>
      </c>
      <c r="D37">
        <f>IF(C37&gt;0,INDEX('calcA'!$D$5:$EQ$5,C37),0)</f>
        <v/>
      </c>
      <c r="E37">
        <f>IF(B37=0,0,INDEX('calcA'!$IQ$10:$IQ$54,B37))</f>
        <v/>
      </c>
      <c r="F37">
        <f>IF(B37=0,0,INDEX('calcA'!$IP$10:$IP$54,B37))</f>
        <v/>
      </c>
      <c r="G37">
        <f>IF(AND(C37&gt;0,E37&gt;0),IF(AND(INDEX('calcA'!$D$106:$EQ$106,C37)=1,INDEX($IQ37:$OD37,C37)=1),C37+1,0),0)</f>
        <v/>
      </c>
      <c r="H37">
        <f>IF(B37=0,0,INDEX('calcA'!$IW$10:$IW$54,B37))</f>
        <v/>
      </c>
      <c r="U37">
        <f>IF(B37=0,0,INDEX('calcA'!$IX$10:$IX$54,B37))</f>
        <v/>
      </c>
      <c r="V37">
        <f>IF(B37=0,0,INDEX('calcA'!$JF$10:$JF$54,B37))</f>
        <v/>
      </c>
      <c r="W37">
        <f>IF(B37=0,0,IF(IF(E37=2,SUMPRODUCT(INDEX('calcA'!$D$60:$EQ$99,B37,0),$DB37:$IO37,$IQ37:$OD37),SUMPRODUCT(INDEX('calcA'!$D$60:$EQ$99,B37,0),$DB37:$IO37))=0,1,0))</f>
        <v/>
      </c>
      <c r="X37">
        <f>MAX(X36,IF($B36=1,1,0))</f>
        <v/>
      </c>
      <c r="Y37">
        <f>MAX(Y36,IF($B36=2,1,0))</f>
        <v/>
      </c>
      <c r="Z37">
        <f>MAX(Z36,IF($B36=3,1,0))</f>
        <v/>
      </c>
      <c r="AA37">
        <f>MAX(AA36,IF($B36=4,1,0))</f>
        <v/>
      </c>
      <c r="AB37">
        <f>MAX(AB36,IF($B36=5,1,0))</f>
        <v/>
      </c>
      <c r="AC37">
        <f>MAX(AC36,IF($B36=6,1,0))</f>
        <v/>
      </c>
      <c r="AD37">
        <f>MAX(AD36,IF($B36=7,1,0))</f>
        <v/>
      </c>
      <c r="AE37">
        <f>MAX(AE36,IF($B36=8,1,0))</f>
        <v/>
      </c>
      <c r="AF37">
        <f>MAX(AF36,IF($B36=9,1,0))</f>
        <v/>
      </c>
      <c r="AG37">
        <f>MAX(AG36,IF($B36=10,1,0))</f>
        <v/>
      </c>
      <c r="AH37">
        <f>MAX(AH36,IF($B36=11,1,0))</f>
        <v/>
      </c>
      <c r="AI37">
        <f>MAX(AI36,IF($B36=12,1,0))</f>
        <v/>
      </c>
      <c r="AJ37">
        <f>MAX(AJ36,IF($B36=13,1,0))</f>
        <v/>
      </c>
      <c r="AK37">
        <f>MAX(AK36,IF($B36=14,1,0))</f>
        <v/>
      </c>
      <c r="AL37">
        <f>MAX(AL36,IF($B36=15,1,0))</f>
        <v/>
      </c>
      <c r="AM37">
        <f>MAX(AM36,IF($B36=16,1,0))</f>
        <v/>
      </c>
      <c r="AN37">
        <f>MAX(AN36,IF($B36=17,1,0))</f>
        <v/>
      </c>
      <c r="AO37">
        <f>MAX(AO36,IF($B36=18,1,0))</f>
        <v/>
      </c>
      <c r="AP37">
        <f>MAX(AP36,IF($B36=19,1,0))</f>
        <v/>
      </c>
      <c r="AQ37">
        <f>MAX(AQ36,IF($B36=20,1,0))</f>
        <v/>
      </c>
      <c r="AR37">
        <f>MAX(AR36,IF($B36=21,1,0))</f>
        <v/>
      </c>
      <c r="AS37">
        <f>MAX(AS36,IF($B36=22,1,0))</f>
        <v/>
      </c>
      <c r="AT37">
        <f>MAX(AT36,IF($B36=23,1,0))</f>
        <v/>
      </c>
      <c r="AU37">
        <f>MAX(AU36,IF($B36=24,1,0))</f>
        <v/>
      </c>
      <c r="AV37">
        <f>MAX(AV36,IF($B36=25,1,0))</f>
        <v/>
      </c>
      <c r="AW37">
        <f>MAX(AW36,IF($B36=26,1,0))</f>
        <v/>
      </c>
      <c r="AX37">
        <f>MAX(AX36,IF($B36=27,1,0))</f>
        <v/>
      </c>
      <c r="AY37">
        <f>MAX(AY36,IF($B36=28,1,0))</f>
        <v/>
      </c>
      <c r="AZ37">
        <f>MAX(AZ36,IF($B36=29,1,0))</f>
        <v/>
      </c>
      <c r="BA37">
        <f>MAX(BA36,IF($B36=30,1,0))</f>
        <v/>
      </c>
      <c r="BB37">
        <f>MAX(BB36,IF($B36=31,1,0))</f>
        <v/>
      </c>
      <c r="BC37">
        <f>MAX(BC36,IF($B36=32,1,0))</f>
        <v/>
      </c>
      <c r="BD37">
        <f>MAX(BD36,IF($B36=33,1,0))</f>
        <v/>
      </c>
      <c r="BE37">
        <f>MAX(BE36,IF($B36=34,1,0))</f>
        <v/>
      </c>
      <c r="BF37">
        <f>MAX(BF36,IF($B36=35,1,0))</f>
        <v/>
      </c>
      <c r="BG37">
        <f>MAX(BG36,IF($B36=36,1,0))</f>
        <v/>
      </c>
      <c r="BH37">
        <f>MAX(BH36,IF($B36=37,1,0))</f>
        <v/>
      </c>
      <c r="BI37">
        <f>MAX(BI36,IF($B36=38,1,0))</f>
        <v/>
      </c>
      <c r="BJ37">
        <f>MAX(BJ36,IF($B36=39,1,0))</f>
        <v/>
      </c>
      <c r="BK37">
        <f>MAX(BK36,IF($B36=40,1,0))</f>
        <v/>
      </c>
      <c r="BM37">
        <f>IF(OR(X37=1,calcA!$A$6=0),1000000000,IF('calcA'!$JF$10=1,0,100000000)+IF('calcA'!$IQ$10=2,SUMPRODUCT('calcA'!$D$60:$EQ$60,$DB37:$IO37,$IQ37:$OD37)*1000+SUMPRODUCT('calcA'!$D$60:$EQ$60,$DB37:$IO37+$ZQ37:$AFD37,$AFF37:$AKS37),SUMPRODUCT('calcA'!$D$60:$EQ$60,$DB37:$IO37*1001+$ZQ37:$AFD37))*100+1)</f>
        <v/>
      </c>
      <c r="BN37">
        <f>IF(OR(Y37=1,calcA!$A$6=0),1000000000,IF('calcA'!$JF$11=1,0,100000000)+IF('calcA'!$IQ$11=2,SUMPRODUCT('calcA'!$D$61:$EQ$61,$DB37:$IO37,$IQ37:$OD37)*1000+SUMPRODUCT('calcA'!$D$61:$EQ$61,$DB37:$IO37+$ZQ37:$AFD37,$AFF37:$AKS37),SUMPRODUCT('calcA'!$D$61:$EQ$61,$DB37:$IO37*1001+$ZQ37:$AFD37))*100+2)</f>
        <v/>
      </c>
      <c r="BO37">
        <f>IF(OR(Z37=1,calcA!$A$6=0),1000000000,IF('calcA'!$JF$12=1,0,100000000)+IF('calcA'!$IQ$12=2,SUMPRODUCT('calcA'!$D$62:$EQ$62,$DB37:$IO37,$IQ37:$OD37)*1000+SUMPRODUCT('calcA'!$D$62:$EQ$62,$DB37:$IO37+$ZQ37:$AFD37,$AFF37:$AKS37),SUMPRODUCT('calcA'!$D$62:$EQ$62,$DB37:$IO37*1001+$ZQ37:$AFD37))*100+3)</f>
        <v/>
      </c>
      <c r="BP37">
        <f>IF(OR(AA37=1,calcA!$A$6=0),1000000000,IF('calcA'!$JF$13=1,0,100000000)+IF('calcA'!$IQ$13=2,SUMPRODUCT('calcA'!$D$63:$EQ$63,$DB37:$IO37,$IQ37:$OD37)*1000+SUMPRODUCT('calcA'!$D$63:$EQ$63,$DB37:$IO37+$ZQ37:$AFD37,$AFF37:$AKS37),SUMPRODUCT('calcA'!$D$63:$EQ$63,$DB37:$IO37*1001+$ZQ37:$AFD37))*100+4)</f>
        <v/>
      </c>
      <c r="BQ37">
        <f>IF(OR(AB37=1,calcA!$A$6=0),1000000000,IF('calcA'!$JF$14=1,0,100000000)+IF('calcA'!$IQ$14=2,SUMPRODUCT('calcA'!$D$64:$EQ$64,$DB37:$IO37,$IQ37:$OD37)*1000+SUMPRODUCT('calcA'!$D$64:$EQ$64,$DB37:$IO37+$ZQ37:$AFD37,$AFF37:$AKS37),SUMPRODUCT('calcA'!$D$64:$EQ$64,$DB37:$IO37*1001+$ZQ37:$AFD37))*100+5)</f>
        <v/>
      </c>
      <c r="BR37">
        <f>IF(OR(AC37=1,calcA!$A$6=0),1000000000,IF('calcA'!$JF$15=1,0,100000000)+IF('calcA'!$IQ$15=2,SUMPRODUCT('calcA'!$D$65:$EQ$65,$DB37:$IO37,$IQ37:$OD37)*1000+SUMPRODUCT('calcA'!$D$65:$EQ$65,$DB37:$IO37+$ZQ37:$AFD37,$AFF37:$AKS37),SUMPRODUCT('calcA'!$D$65:$EQ$65,$DB37:$IO37*1001+$ZQ37:$AFD37))*100+6)</f>
        <v/>
      </c>
      <c r="BS37">
        <f>IF(OR(AD37=1,calcA!$A$6=0),1000000000,IF('calcA'!$JF$16=1,0,100000000)+IF('calcA'!$IQ$16=2,SUMPRODUCT('calcA'!$D$66:$EQ$66,$DB37:$IO37,$IQ37:$OD37)*1000+SUMPRODUCT('calcA'!$D$66:$EQ$66,$DB37:$IO37+$ZQ37:$AFD37,$AFF37:$AKS37),SUMPRODUCT('calcA'!$D$66:$EQ$66,$DB37:$IO37*1001+$ZQ37:$AFD37))*100+7)</f>
        <v/>
      </c>
      <c r="BT37">
        <f>IF(OR(AE37=1,calcA!$A$6=0),1000000000,IF('calcA'!$JF$17=1,0,100000000)+IF('calcA'!$IQ$17=2,SUMPRODUCT('calcA'!$D$67:$EQ$67,$DB37:$IO37,$IQ37:$OD37)*1000+SUMPRODUCT('calcA'!$D$67:$EQ$67,$DB37:$IO37+$ZQ37:$AFD37,$AFF37:$AKS37),SUMPRODUCT('calcA'!$D$67:$EQ$67,$DB37:$IO37*1001+$ZQ37:$AFD37))*100+8)</f>
        <v/>
      </c>
      <c r="BU37">
        <f>IF(OR(AF37=1,calcA!$A$6=0),1000000000,IF('calcA'!$JF$18=1,0,100000000)+IF('calcA'!$IQ$18=2,SUMPRODUCT('calcA'!$D$68:$EQ$68,$DB37:$IO37,$IQ37:$OD37)*1000+SUMPRODUCT('calcA'!$D$68:$EQ$68,$DB37:$IO37+$ZQ37:$AFD37,$AFF37:$AKS37),SUMPRODUCT('calcA'!$D$68:$EQ$68,$DB37:$IO37*1001+$ZQ37:$AFD37))*100+9)</f>
        <v/>
      </c>
      <c r="BV37">
        <f>IF(OR(AG37=1,calcA!$A$6=0),1000000000,IF('calcA'!$JF$19=1,0,100000000)+IF('calcA'!$IQ$19=2,SUMPRODUCT('calcA'!$D$69:$EQ$69,$DB37:$IO37,$IQ37:$OD37)*1000+SUMPRODUCT('calcA'!$D$69:$EQ$69,$DB37:$IO37+$ZQ37:$AFD37,$AFF37:$AKS37),SUMPRODUCT('calcA'!$D$69:$EQ$69,$DB37:$IO37*1001+$ZQ37:$AFD37))*100+10)</f>
        <v/>
      </c>
      <c r="BW37">
        <f>IF(OR(AH37=1,calcA!$A$6=0),1000000000,IF('calcA'!$JF$20=1,0,100000000)+IF('calcA'!$IQ$20=2,SUMPRODUCT('calcA'!$D$70:$EQ$70,$DB37:$IO37,$IQ37:$OD37)*1000+SUMPRODUCT('calcA'!$D$70:$EQ$70,$DB37:$IO37+$ZQ37:$AFD37,$AFF37:$AKS37),SUMPRODUCT('calcA'!$D$70:$EQ$70,$DB37:$IO37*1001+$ZQ37:$AFD37))*100+11)</f>
        <v/>
      </c>
      <c r="BX37">
        <f>IF(OR(AI37=1,calcA!$A$6=0),1000000000,IF('calcA'!$JF$21=1,0,100000000)+IF('calcA'!$IQ$21=2,SUMPRODUCT('calcA'!$D$71:$EQ$71,$DB37:$IO37,$IQ37:$OD37)*1000+SUMPRODUCT('calcA'!$D$71:$EQ$71,$DB37:$IO37+$ZQ37:$AFD37,$AFF37:$AKS37),SUMPRODUCT('calcA'!$D$71:$EQ$71,$DB37:$IO37*1001+$ZQ37:$AFD37))*100+12)</f>
        <v/>
      </c>
      <c r="BY37">
        <f>IF(OR(AJ37=1,calcA!$A$6=0),1000000000,IF('calcA'!$JF$22=1,0,100000000)+IF('calcA'!$IQ$22=2,SUMPRODUCT('calcA'!$D$72:$EQ$72,$DB37:$IO37,$IQ37:$OD37)*1000+SUMPRODUCT('calcA'!$D$72:$EQ$72,$DB37:$IO37+$ZQ37:$AFD37,$AFF37:$AKS37),SUMPRODUCT('calcA'!$D$72:$EQ$72,$DB37:$IO37*1001+$ZQ37:$AFD37))*100+13)</f>
        <v/>
      </c>
      <c r="BZ37">
        <f>IF(OR(AK37=1,calcA!$A$6=0),1000000000,IF('calcA'!$JF$23=1,0,100000000)+IF('calcA'!$IQ$23=2,SUMPRODUCT('calcA'!$D$73:$EQ$73,$DB37:$IO37,$IQ37:$OD37)*1000+SUMPRODUCT('calcA'!$D$73:$EQ$73,$DB37:$IO37+$ZQ37:$AFD37,$AFF37:$AKS37),SUMPRODUCT('calcA'!$D$73:$EQ$73,$DB37:$IO37*1001+$ZQ37:$AFD37))*100+14)</f>
        <v/>
      </c>
      <c r="CA37">
        <f>IF(OR(AL37=1,calcA!$A$6=0),1000000000,IF('calcA'!$JF$24=1,0,100000000)+IF('calcA'!$IQ$24=2,SUMPRODUCT('calcA'!$D$74:$EQ$74,$DB37:$IO37,$IQ37:$OD37)*1000+SUMPRODUCT('calcA'!$D$74:$EQ$74,$DB37:$IO37+$ZQ37:$AFD37,$AFF37:$AKS37),SUMPRODUCT('calcA'!$D$74:$EQ$74,$DB37:$IO37*1001+$ZQ37:$AFD37))*100+15)</f>
        <v/>
      </c>
      <c r="CB37">
        <f>IF(OR(AM37=1,calcA!$A$6=0),1000000000,IF('calcA'!$JF$25=1,0,100000000)+IF('calcA'!$IQ$25=2,SUMPRODUCT('calcA'!$D$75:$EQ$75,$DB37:$IO37,$IQ37:$OD37)*1000+SUMPRODUCT('calcA'!$D$75:$EQ$75,$DB37:$IO37+$ZQ37:$AFD37,$AFF37:$AKS37),SUMPRODUCT('calcA'!$D$75:$EQ$75,$DB37:$IO37*1001+$ZQ37:$AFD37))*100+16)</f>
        <v/>
      </c>
      <c r="CC37">
        <f>IF(OR(AN37=1,calcA!$A$6=0),1000000000,IF('calcA'!$JF$26=1,0,100000000)+IF('calcA'!$IQ$26=2,SUMPRODUCT('calcA'!$D$76:$EQ$76,$DB37:$IO37,$IQ37:$OD37)*1000+SUMPRODUCT('calcA'!$D$76:$EQ$76,$DB37:$IO37+$ZQ37:$AFD37,$AFF37:$AKS37),SUMPRODUCT('calcA'!$D$76:$EQ$76,$DB37:$IO37*1001+$ZQ37:$AFD37))*100+17)</f>
        <v/>
      </c>
      <c r="CD37">
        <f>IF(OR(AO37=1,calcA!$A$6=0),1000000000,IF('calcA'!$JF$27=1,0,100000000)+IF('calcA'!$IQ$27=2,SUMPRODUCT('calcA'!$D$77:$EQ$77,$DB37:$IO37,$IQ37:$OD37)*1000+SUMPRODUCT('calcA'!$D$77:$EQ$77,$DB37:$IO37+$ZQ37:$AFD37,$AFF37:$AKS37),SUMPRODUCT('calcA'!$D$77:$EQ$77,$DB37:$IO37*1001+$ZQ37:$AFD37))*100+18)</f>
        <v/>
      </c>
      <c r="CE37">
        <f>IF(OR(AP37=1,calcA!$A$6=0),1000000000,IF('calcA'!$JF$28=1,0,100000000)+IF('calcA'!$IQ$28=2,SUMPRODUCT('calcA'!$D$78:$EQ$78,$DB37:$IO37,$IQ37:$OD37)*1000+SUMPRODUCT('calcA'!$D$78:$EQ$78,$DB37:$IO37+$ZQ37:$AFD37,$AFF37:$AKS37),SUMPRODUCT('calcA'!$D$78:$EQ$78,$DB37:$IO37*1001+$ZQ37:$AFD37))*100+19)</f>
        <v/>
      </c>
      <c r="CF37">
        <f>IF(OR(AQ37=1,calcA!$A$6=0),1000000000,IF('calcA'!$JF$29=1,0,100000000)+IF('calcA'!$IQ$29=2,SUMPRODUCT('calcA'!$D$79:$EQ$79,$DB37:$IO37,$IQ37:$OD37)*1000+SUMPRODUCT('calcA'!$D$79:$EQ$79,$DB37:$IO37+$ZQ37:$AFD37,$AFF37:$AKS37),SUMPRODUCT('calcA'!$D$79:$EQ$79,$DB37:$IO37*1001+$ZQ37:$AFD37))*100+20)</f>
        <v/>
      </c>
      <c r="CG37">
        <f>IF(OR(AR37=1,calcA!$A$6=0),1000000000,IF('calcA'!$JF$30=1,0,100000000)+IF('calcA'!$IQ$30=2,SUMPRODUCT('calcA'!$D$80:$EQ$80,$DB37:$IO37,$IQ37:$OD37)*1000+SUMPRODUCT('calcA'!$D$80:$EQ$80,$DB37:$IO37+$ZQ37:$AFD37,$AFF37:$AKS37),SUMPRODUCT('calcA'!$D$80:$EQ$80,$DB37:$IO37*1001+$ZQ37:$AFD37))*100+21)</f>
        <v/>
      </c>
      <c r="CH37">
        <f>IF(OR(AS37=1,calcA!$A$6=0),1000000000,IF('calcA'!$JF$31=1,0,100000000)+IF('calcA'!$IQ$31=2,SUMPRODUCT('calcA'!$D$81:$EQ$81,$DB37:$IO37,$IQ37:$OD37)*1000+SUMPRODUCT('calcA'!$D$81:$EQ$81,$DB37:$IO37+$ZQ37:$AFD37,$AFF37:$AKS37),SUMPRODUCT('calcA'!$D$81:$EQ$81,$DB37:$IO37*1001+$ZQ37:$AFD37))*100+22)</f>
        <v/>
      </c>
      <c r="CI37">
        <f>IF(OR(AT37=1,calcA!$A$6=0),1000000000,IF('calcA'!$JF$32=1,0,100000000)+IF('calcA'!$IQ$32=2,SUMPRODUCT('calcA'!$D$82:$EQ$82,$DB37:$IO37,$IQ37:$OD37)*1000+SUMPRODUCT('calcA'!$D$82:$EQ$82,$DB37:$IO37+$ZQ37:$AFD37,$AFF37:$AKS37),SUMPRODUCT('calcA'!$D$82:$EQ$82,$DB37:$IO37*1001+$ZQ37:$AFD37))*100+23)</f>
        <v/>
      </c>
      <c r="CJ37">
        <f>IF(OR(AU37=1,calcA!$A$6=0),1000000000,IF('calcA'!$JF$33=1,0,100000000)+IF('calcA'!$IQ$33=2,SUMPRODUCT('calcA'!$D$83:$EQ$83,$DB37:$IO37,$IQ37:$OD37)*1000+SUMPRODUCT('calcA'!$D$83:$EQ$83,$DB37:$IO37+$ZQ37:$AFD37,$AFF37:$AKS37),SUMPRODUCT('calcA'!$D$83:$EQ$83,$DB37:$IO37*1001+$ZQ37:$AFD37))*100+24)</f>
        <v/>
      </c>
      <c r="CK37">
        <f>IF(OR(AV37=1,calcA!$A$6=0),1000000000,IF('calcA'!$JF$34=1,0,100000000)+IF('calcA'!$IQ$34=2,SUMPRODUCT('calcA'!$D$84:$EQ$84,$DB37:$IO37,$IQ37:$OD37)*1000+SUMPRODUCT('calcA'!$D$84:$EQ$84,$DB37:$IO37+$ZQ37:$AFD37,$AFF37:$AKS37),SUMPRODUCT('calcA'!$D$84:$EQ$84,$DB37:$IO37*1001+$ZQ37:$AFD37))*100+25)</f>
        <v/>
      </c>
      <c r="CL37">
        <f>IF(OR(AW37=1,calcA!$A$6=0),1000000000,IF('calcA'!$JF$35=1,0,100000000)+IF('calcA'!$IQ$35=2,SUMPRODUCT('calcA'!$D$85:$EQ$85,$DB37:$IO37,$IQ37:$OD37)*1000+SUMPRODUCT('calcA'!$D$85:$EQ$85,$DB37:$IO37+$ZQ37:$AFD37,$AFF37:$AKS37),SUMPRODUCT('calcA'!$D$85:$EQ$85,$DB37:$IO37*1001+$ZQ37:$AFD37))*100+26)</f>
        <v/>
      </c>
      <c r="CM37">
        <f>IF(OR(AX37=1,calcA!$A$6=0),1000000000,IF('calcA'!$JF$36=1,0,100000000)+IF('calcA'!$IQ$36=2,SUMPRODUCT('calcA'!$D$86:$EQ$86,$DB37:$IO37,$IQ37:$OD37)*1000+SUMPRODUCT('calcA'!$D$86:$EQ$86,$DB37:$IO37+$ZQ37:$AFD37,$AFF37:$AKS37),SUMPRODUCT('calcA'!$D$86:$EQ$86,$DB37:$IO37*1001+$ZQ37:$AFD37))*100+27)</f>
        <v/>
      </c>
      <c r="CN37">
        <f>IF(OR(AY37=1,calcA!$A$6=0),1000000000,IF('calcA'!$JF$37=1,0,100000000)+IF('calcA'!$IQ$37=2,SUMPRODUCT('calcA'!$D$87:$EQ$87,$DB37:$IO37,$IQ37:$OD37)*1000+SUMPRODUCT('calcA'!$D$87:$EQ$87,$DB37:$IO37+$ZQ37:$AFD37,$AFF37:$AKS37),SUMPRODUCT('calcA'!$D$87:$EQ$87,$DB37:$IO37*1001+$ZQ37:$AFD37))*100+28)</f>
        <v/>
      </c>
      <c r="CO37">
        <f>IF(OR(AZ37=1,calcA!$A$6=0),1000000000,IF('calcA'!$JF$38=1,0,100000000)+IF('calcA'!$IQ$38=2,SUMPRODUCT('calcA'!$D$88:$EQ$88,$DB37:$IO37,$IQ37:$OD37)*1000+SUMPRODUCT('calcA'!$D$88:$EQ$88,$DB37:$IO37+$ZQ37:$AFD37,$AFF37:$AKS37),SUMPRODUCT('calcA'!$D$88:$EQ$88,$DB37:$IO37*1001+$ZQ37:$AFD37))*100+29)</f>
        <v/>
      </c>
      <c r="CP37">
        <f>IF(OR(BA37=1,calcA!$A$6=0),1000000000,IF('calcA'!$JF$39=1,0,100000000)+IF('calcA'!$IQ$39=2,SUMPRODUCT('calcA'!$D$89:$EQ$89,$DB37:$IO37,$IQ37:$OD37)*1000+SUMPRODUCT('calcA'!$D$89:$EQ$89,$DB37:$IO37+$ZQ37:$AFD37,$AFF37:$AKS37),SUMPRODUCT('calcA'!$D$89:$EQ$89,$DB37:$IO37*1001+$ZQ37:$AFD37))*100+30)</f>
        <v/>
      </c>
      <c r="CQ37">
        <f>IF(OR(BB37=1,calcA!$A$6=0),1000000000,IF('calcA'!$JF$40=1,0,100000000)+IF('calcA'!$IQ$40=2,SUMPRODUCT('calcA'!$D$90:$EQ$90,$DB37:$IO37,$IQ37:$OD37)*1000+SUMPRODUCT('calcA'!$D$90:$EQ$90,$DB37:$IO37+$ZQ37:$AFD37,$AFF37:$AKS37),SUMPRODUCT('calcA'!$D$90:$EQ$90,$DB37:$IO37*1001+$ZQ37:$AFD37))*100+31)</f>
        <v/>
      </c>
      <c r="CR37">
        <f>IF(OR(BC37=1,calcA!$A$6=0),1000000000,IF('calcA'!$JF$41=1,0,100000000)+IF('calcA'!$IQ$41=2,SUMPRODUCT('calcA'!$D$91:$EQ$91,$DB37:$IO37,$IQ37:$OD37)*1000+SUMPRODUCT('calcA'!$D$91:$EQ$91,$DB37:$IO37+$ZQ37:$AFD37,$AFF37:$AKS37),SUMPRODUCT('calcA'!$D$91:$EQ$91,$DB37:$IO37*1001+$ZQ37:$AFD37))*100+32)</f>
        <v/>
      </c>
      <c r="CS37">
        <f>IF(OR(BD37=1,calcA!$A$6=0),1000000000,IF('calcA'!$JF$42=1,0,100000000)+IF('calcA'!$IQ$42=2,SUMPRODUCT('calcA'!$D$92:$EQ$92,$DB37:$IO37,$IQ37:$OD37)*1000+SUMPRODUCT('calcA'!$D$92:$EQ$92,$DB37:$IO37+$ZQ37:$AFD37,$AFF37:$AKS37),SUMPRODUCT('calcA'!$D$92:$EQ$92,$DB37:$IO37*1001+$ZQ37:$AFD37))*100+33)</f>
        <v/>
      </c>
      <c r="CT37">
        <f>IF(OR(BE37=1,calcA!$A$6=0),1000000000,IF('calcA'!$JF$43=1,0,100000000)+IF('calcA'!$IQ$43=2,SUMPRODUCT('calcA'!$D$93:$EQ$93,$DB37:$IO37,$IQ37:$OD37)*1000+SUMPRODUCT('calcA'!$D$93:$EQ$93,$DB37:$IO37+$ZQ37:$AFD37,$AFF37:$AKS37),SUMPRODUCT('calcA'!$D$93:$EQ$93,$DB37:$IO37*1001+$ZQ37:$AFD37))*100+34)</f>
        <v/>
      </c>
      <c r="CU37">
        <f>IF(OR(BF37=1,calcA!$A$6=0),1000000000,IF('calcA'!$JF$44=1,0,100000000)+IF('calcA'!$IQ$44=2,SUMPRODUCT('calcA'!$D$94:$EQ$94,$DB37:$IO37,$IQ37:$OD37)*1000+SUMPRODUCT('calcA'!$D$94:$EQ$94,$DB37:$IO37+$ZQ37:$AFD37,$AFF37:$AKS37),SUMPRODUCT('calcA'!$D$94:$EQ$94,$DB37:$IO37*1001+$ZQ37:$AFD37))*100+35)</f>
        <v/>
      </c>
      <c r="CV37">
        <f>IF(OR(BG37=1,calcA!$A$6=0),1000000000,IF('calcA'!$JF$45=1,0,100000000)+IF('calcA'!$IQ$45=2,SUMPRODUCT('calcA'!$D$95:$EQ$95,$DB37:$IO37,$IQ37:$OD37)*1000+SUMPRODUCT('calcA'!$D$95:$EQ$95,$DB37:$IO37+$ZQ37:$AFD37,$AFF37:$AKS37),SUMPRODUCT('calcA'!$D$95:$EQ$95,$DB37:$IO37*1001+$ZQ37:$AFD37))*100+36)</f>
        <v/>
      </c>
      <c r="CW37">
        <f>IF(OR(BH37=1,calcA!$A$6=0),1000000000,IF('calcA'!$JF$46=1,0,100000000)+IF('calcA'!$IQ$46=2,SUMPRODUCT('calcA'!$D$96:$EQ$96,$DB37:$IO37,$IQ37:$OD37)*1000+SUMPRODUCT('calcA'!$D$96:$EQ$96,$DB37:$IO37+$ZQ37:$AFD37,$AFF37:$AKS37),SUMPRODUCT('calcA'!$D$96:$EQ$96,$DB37:$IO37*1001+$ZQ37:$AFD37))*100+37)</f>
        <v/>
      </c>
      <c r="CX37">
        <f>IF(OR(BI37=1,calcA!$A$6=0),1000000000,IF('calcA'!$JF$47=1,0,100000000)+IF('calcA'!$IQ$47=2,SUMPRODUCT('calcA'!$D$97:$EQ$97,$DB37:$IO37,$IQ37:$OD37)*1000+SUMPRODUCT('calcA'!$D$97:$EQ$97,$DB37:$IO37+$ZQ37:$AFD37,$AFF37:$AKS37),SUMPRODUCT('calcA'!$D$97:$EQ$97,$DB37:$IO37*1001+$ZQ37:$AFD37))*100+38)</f>
        <v/>
      </c>
      <c r="CY37">
        <f>IF(OR(BJ37=1,calcA!$A$6=0),1000000000,IF('calcA'!$JF$48=1,0,100000000)+IF('calcA'!$IQ$48=2,SUMPRODUCT('calcA'!$D$98:$EQ$98,$DB37:$IO37,$IQ37:$OD37)*1000+SUMPRODUCT('calcA'!$D$98:$EQ$98,$DB37:$IO37+$ZQ37:$AFD37,$AFF37:$AKS37),SUMPRODUCT('calcA'!$D$98:$EQ$98,$DB37:$IO37*1001+$ZQ37:$AFD37))*100+39)</f>
        <v/>
      </c>
      <c r="CZ37">
        <f>IF(OR(BK37=1,calcA!$A$6=0),1000000000,IF('calcA'!$JF$49=1,0,100000000)+IF('calcA'!$IQ$49=2,SUMPRODUCT('calcA'!$D$99:$EQ$99,$DB37:$IO37,$IQ37:$OD37)*1000+SUMPRODUCT('calcA'!$D$99:$EQ$99,$DB37:$IO37+$ZQ37:$AFD37,$AFF37:$AKS37),SUMPRODUCT('calcA'!$D$99:$EQ$99,$DB37:$IO37*1001+$ZQ37:$AFD37))*100+40)</f>
        <v/>
      </c>
      <c r="DB37">
        <f>DB36*IF(OR($C36=1,$G36=1),0,1)</f>
        <v/>
      </c>
      <c r="DC37">
        <f>DC36*IF(OR($C36=2,$G36=2),0,1)</f>
        <v/>
      </c>
      <c r="DD37">
        <f>DD36*IF(OR($C36=3,$G36=3),0,1)</f>
        <v/>
      </c>
      <c r="DE37">
        <f>DE36*IF(OR($C36=4,$G36=4),0,1)</f>
        <v/>
      </c>
      <c r="DF37">
        <f>DF36*IF(OR($C36=5,$G36=5),0,1)</f>
        <v/>
      </c>
      <c r="DG37">
        <f>DG36*IF(OR($C36=6,$G36=6),0,1)</f>
        <v/>
      </c>
      <c r="DH37">
        <f>DH36*IF(OR($C36=7,$G36=7),0,1)</f>
        <v/>
      </c>
      <c r="DI37">
        <f>DI36*IF(OR($C36=8,$G36=8),0,1)</f>
        <v/>
      </c>
      <c r="DJ37">
        <f>DJ36*IF(OR($C36=9,$G36=9),0,1)</f>
        <v/>
      </c>
      <c r="DK37">
        <f>DK36*IF(OR($C36=10,$G36=10),0,1)</f>
        <v/>
      </c>
      <c r="DL37">
        <f>DL36*IF(OR($C36=11,$G36=11),0,1)</f>
        <v/>
      </c>
      <c r="DM37">
        <f>DM36*IF(OR($C36=12,$G36=12),0,1)</f>
        <v/>
      </c>
      <c r="DN37">
        <f>DN36*IF(OR($C36=13,$G36=13),0,1)</f>
        <v/>
      </c>
      <c r="DO37">
        <f>DO36*IF(OR($C36=14,$G36=14),0,1)</f>
        <v/>
      </c>
      <c r="DP37">
        <f>DP36*IF(OR($C36=15,$G36=15),0,1)</f>
        <v/>
      </c>
      <c r="DQ37">
        <f>DQ36*IF(OR($C36=16,$G36=16),0,1)</f>
        <v/>
      </c>
      <c r="DR37">
        <f>DR36*IF(OR($C36=17,$G36=17),0,1)</f>
        <v/>
      </c>
      <c r="DS37">
        <f>DS36*IF(OR($C36=18,$G36=18),0,1)</f>
        <v/>
      </c>
      <c r="DT37">
        <f>DT36*IF(OR($C36=19,$G36=19),0,1)</f>
        <v/>
      </c>
      <c r="DU37">
        <f>DU36*IF(OR($C36=20,$G36=20),0,1)</f>
        <v/>
      </c>
      <c r="DV37">
        <f>DV36*IF(OR($C36=21,$G36=21),0,1)</f>
        <v/>
      </c>
      <c r="DW37">
        <f>DW36*IF(OR($C36=22,$G36=22),0,1)</f>
        <v/>
      </c>
      <c r="DX37">
        <f>DX36*IF(OR($C36=23,$G36=23),0,1)</f>
        <v/>
      </c>
      <c r="DY37">
        <f>DY36*IF(OR($C36=24,$G36=24),0,1)</f>
        <v/>
      </c>
      <c r="DZ37">
        <f>DZ36*IF(OR($C36=25,$G36=25),0,1)</f>
        <v/>
      </c>
      <c r="EA37">
        <f>EA36*IF(OR($C36=26,$G36=26),0,1)</f>
        <v/>
      </c>
      <c r="EB37">
        <f>EB36*IF(OR($C36=27,$G36=27),0,1)</f>
        <v/>
      </c>
      <c r="EC37">
        <f>EC36*IF(OR($C36=28,$G36=28),0,1)</f>
        <v/>
      </c>
      <c r="ED37">
        <f>ED36*IF(OR($C36=29,$G36=29),0,1)</f>
        <v/>
      </c>
      <c r="EE37">
        <f>EE36*IF(OR($C36=30,$G36=30),0,1)</f>
        <v/>
      </c>
      <c r="EF37">
        <f>EF36*IF(OR($C36=31,$G36=31),0,1)</f>
        <v/>
      </c>
      <c r="EG37">
        <f>EG36*IF(OR($C36=32,$G36=32),0,1)</f>
        <v/>
      </c>
      <c r="EH37">
        <f>EH36*IF(OR($C36=33,$G36=33),0,1)</f>
        <v/>
      </c>
      <c r="EI37">
        <f>EI36*IF(OR($C36=34,$G36=34),0,1)</f>
        <v/>
      </c>
      <c r="EJ37">
        <f>EJ36*IF(OR($C36=35,$G36=35),0,1)</f>
        <v/>
      </c>
      <c r="EK37">
        <f>EK36*IF(OR($C36=36,$G36=36),0,1)</f>
        <v/>
      </c>
      <c r="EL37">
        <f>EL36*IF(OR($C36=37,$G36=37),0,1)</f>
        <v/>
      </c>
      <c r="EM37">
        <f>EM36*IF(OR($C36=38,$G36=38),0,1)</f>
        <v/>
      </c>
      <c r="EN37">
        <f>EN36*IF(OR($C36=39,$G36=39),0,1)</f>
        <v/>
      </c>
      <c r="EO37">
        <f>EO36*IF(OR($C36=40,$G36=40),0,1)</f>
        <v/>
      </c>
      <c r="EP37">
        <f>EP36*IF(OR($C36=41,$G36=41),0,1)</f>
        <v/>
      </c>
      <c r="EQ37">
        <f>EQ36*IF(OR($C36=42,$G36=42),0,1)</f>
        <v/>
      </c>
      <c r="ER37">
        <f>ER36*IF(OR($C36=43,$G36=43),0,1)</f>
        <v/>
      </c>
      <c r="ES37">
        <f>ES36*IF(OR($C36=44,$G36=44),0,1)</f>
        <v/>
      </c>
      <c r="ET37">
        <f>ET36*IF(OR($C36=45,$G36=45),0,1)</f>
        <v/>
      </c>
      <c r="EU37">
        <f>EU36*IF(OR($C36=46,$G36=46),0,1)</f>
        <v/>
      </c>
      <c r="EV37">
        <f>EV36*IF(OR($C36=47,$G36=47),0,1)</f>
        <v/>
      </c>
      <c r="EW37">
        <f>EW36*IF(OR($C36=48,$G36=48),0,1)</f>
        <v/>
      </c>
      <c r="EX37">
        <f>EX36*IF(OR($C36=49,$G36=49),0,1)</f>
        <v/>
      </c>
      <c r="EY37">
        <f>EY36*IF(OR($C36=50,$G36=50),0,1)</f>
        <v/>
      </c>
      <c r="EZ37">
        <f>EZ36*IF(OR($C36=51,$G36=51),0,1)</f>
        <v/>
      </c>
      <c r="FA37">
        <f>FA36*IF(OR($C36=52,$G36=52),0,1)</f>
        <v/>
      </c>
      <c r="FB37">
        <f>FB36*IF(OR($C36=53,$G36=53),0,1)</f>
        <v/>
      </c>
      <c r="FC37">
        <f>FC36*IF(OR($C36=54,$G36=54),0,1)</f>
        <v/>
      </c>
      <c r="FD37">
        <f>FD36*IF(OR($C36=55,$G36=55),0,1)</f>
        <v/>
      </c>
      <c r="FE37">
        <f>FE36*IF(OR($C36=56,$G36=56),0,1)</f>
        <v/>
      </c>
      <c r="FF37">
        <f>FF36*IF(OR($C36=57,$G36=57),0,1)</f>
        <v/>
      </c>
      <c r="FG37">
        <f>FG36*IF(OR($C36=58,$G36=58),0,1)</f>
        <v/>
      </c>
      <c r="FH37">
        <f>FH36*IF(OR($C36=59,$G36=59),0,1)</f>
        <v/>
      </c>
      <c r="FI37">
        <f>FI36*IF(OR($C36=60,$G36=60),0,1)</f>
        <v/>
      </c>
      <c r="FJ37">
        <f>FJ36*IF(OR($C36=61,$G36=61),0,1)</f>
        <v/>
      </c>
      <c r="FK37">
        <f>FK36*IF(OR($C36=62,$G36=62),0,1)</f>
        <v/>
      </c>
      <c r="FL37">
        <f>FL36*IF(OR($C36=63,$G36=63),0,1)</f>
        <v/>
      </c>
      <c r="FM37">
        <f>FM36*IF(OR($C36=64,$G36=64),0,1)</f>
        <v/>
      </c>
      <c r="FN37">
        <f>FN36*IF(OR($C36=65,$G36=65),0,1)</f>
        <v/>
      </c>
      <c r="FO37">
        <f>FO36*IF(OR($C36=66,$G36=66),0,1)</f>
        <v/>
      </c>
      <c r="FP37">
        <f>FP36*IF(OR($C36=67,$G36=67),0,1)</f>
        <v/>
      </c>
      <c r="FQ37">
        <f>FQ36*IF(OR($C36=68,$G36=68),0,1)</f>
        <v/>
      </c>
      <c r="FR37">
        <f>FR36*IF(OR($C36=69,$G36=69),0,1)</f>
        <v/>
      </c>
      <c r="FS37">
        <f>FS36*IF(OR($C36=70,$G36=70),0,1)</f>
        <v/>
      </c>
      <c r="FT37">
        <f>FT36*IF(OR($C36=71,$G36=71),0,1)</f>
        <v/>
      </c>
      <c r="FU37">
        <f>FU36*IF(OR($C36=72,$G36=72),0,1)</f>
        <v/>
      </c>
      <c r="FV37">
        <f>FV36*IF(OR($C36=73,$G36=73),0,1)</f>
        <v/>
      </c>
      <c r="FW37">
        <f>FW36*IF(OR($C36=74,$G36=74),0,1)</f>
        <v/>
      </c>
      <c r="FX37">
        <f>FX36*IF(OR($C36=75,$G36=75),0,1)</f>
        <v/>
      </c>
      <c r="FY37">
        <f>FY36*IF(OR($C36=76,$G36=76),0,1)</f>
        <v/>
      </c>
      <c r="FZ37">
        <f>FZ36*IF(OR($C36=77,$G36=77),0,1)</f>
        <v/>
      </c>
      <c r="GA37">
        <f>GA36*IF(OR($C36=78,$G36=78),0,1)</f>
        <v/>
      </c>
      <c r="GB37">
        <f>GB36*IF(OR($C36=79,$G36=79),0,1)</f>
        <v/>
      </c>
      <c r="GC37">
        <f>GC36*IF(OR($C36=80,$G36=80),0,1)</f>
        <v/>
      </c>
      <c r="GD37">
        <f>GD36*IF(OR($C36=81,$G36=81),0,1)</f>
        <v/>
      </c>
      <c r="GE37">
        <f>GE36*IF(OR($C36=82,$G36=82),0,1)</f>
        <v/>
      </c>
      <c r="GF37">
        <f>GF36*IF(OR($C36=83,$G36=83),0,1)</f>
        <v/>
      </c>
      <c r="GG37">
        <f>GG36*IF(OR($C36=84,$G36=84),0,1)</f>
        <v/>
      </c>
      <c r="GH37">
        <f>GH36*IF(OR($C36=85,$G36=85),0,1)</f>
        <v/>
      </c>
      <c r="GI37">
        <f>GI36*IF(OR($C36=86,$G36=86),0,1)</f>
        <v/>
      </c>
      <c r="GJ37">
        <f>GJ36*IF(OR($C36=87,$G36=87),0,1)</f>
        <v/>
      </c>
      <c r="GK37">
        <f>GK36*IF(OR($C36=88,$G36=88),0,1)</f>
        <v/>
      </c>
      <c r="GL37">
        <f>GL36*IF(OR($C36=89,$G36=89),0,1)</f>
        <v/>
      </c>
      <c r="GM37">
        <f>GM36*IF(OR($C36=90,$G36=90),0,1)</f>
        <v/>
      </c>
      <c r="GN37">
        <f>GN36*IF(OR($C36=91,$G36=91),0,1)</f>
        <v/>
      </c>
      <c r="GO37">
        <f>GO36*IF(OR($C36=92,$G36=92),0,1)</f>
        <v/>
      </c>
      <c r="GP37">
        <f>GP36*IF(OR($C36=93,$G36=93),0,1)</f>
        <v/>
      </c>
      <c r="GQ37">
        <f>GQ36*IF(OR($C36=94,$G36=94),0,1)</f>
        <v/>
      </c>
      <c r="GR37">
        <f>GR36*IF(OR($C36=95,$G36=95),0,1)</f>
        <v/>
      </c>
      <c r="GS37">
        <f>GS36*IF(OR($C36=96,$G36=96),0,1)</f>
        <v/>
      </c>
      <c r="GT37">
        <f>GT36*IF(OR($C36=97,$G36=97),0,1)</f>
        <v/>
      </c>
      <c r="GU37">
        <f>GU36*IF(OR($C36=98,$G36=98),0,1)</f>
        <v/>
      </c>
      <c r="GV37">
        <f>GV36*IF(OR($C36=99,$G36=99),0,1)</f>
        <v/>
      </c>
      <c r="GW37">
        <f>GW36*IF(OR($C36=100,$G36=100),0,1)</f>
        <v/>
      </c>
      <c r="GX37">
        <f>GX36*IF(OR($C36=101,$G36=101),0,1)</f>
        <v/>
      </c>
      <c r="GY37">
        <f>GY36*IF(OR($C36=102,$G36=102),0,1)</f>
        <v/>
      </c>
      <c r="GZ37">
        <f>GZ36*IF(OR($C36=103,$G36=103),0,1)</f>
        <v/>
      </c>
      <c r="HA37">
        <f>HA36*IF(OR($C36=104,$G36=104),0,1)</f>
        <v/>
      </c>
      <c r="HB37">
        <f>HB36*IF(OR($C36=105,$G36=105),0,1)</f>
        <v/>
      </c>
      <c r="HC37">
        <f>HC36*IF(OR($C36=106,$G36=106),0,1)</f>
        <v/>
      </c>
      <c r="HD37">
        <f>HD36*IF(OR($C36=107,$G36=107),0,1)</f>
        <v/>
      </c>
      <c r="HE37">
        <f>HE36*IF(OR($C36=108,$G36=108),0,1)</f>
        <v/>
      </c>
      <c r="HF37">
        <f>HF36*IF(OR($C36=109,$G36=109),0,1)</f>
        <v/>
      </c>
      <c r="HG37">
        <f>HG36*IF(OR($C36=110,$G36=110),0,1)</f>
        <v/>
      </c>
      <c r="HH37">
        <f>HH36*IF(OR($C36=111,$G36=111),0,1)</f>
        <v/>
      </c>
      <c r="HI37">
        <f>HI36*IF(OR($C36=112,$G36=112),0,1)</f>
        <v/>
      </c>
      <c r="HJ37">
        <f>HJ36*IF(OR($C36=113,$G36=113),0,1)</f>
        <v/>
      </c>
      <c r="HK37">
        <f>HK36*IF(OR($C36=114,$G36=114),0,1)</f>
        <v/>
      </c>
      <c r="HL37">
        <f>HL36*IF(OR($C36=115,$G36=115),0,1)</f>
        <v/>
      </c>
      <c r="HM37">
        <f>HM36*IF(OR($C36=116,$G36=116),0,1)</f>
        <v/>
      </c>
      <c r="HN37">
        <f>HN36*IF(OR($C36=117,$G36=117),0,1)</f>
        <v/>
      </c>
      <c r="HO37">
        <f>HO36*IF(OR($C36=118,$G36=118),0,1)</f>
        <v/>
      </c>
      <c r="HP37">
        <f>HP36*IF(OR($C36=119,$G36=119),0,1)</f>
        <v/>
      </c>
      <c r="HQ37">
        <f>HQ36*IF(OR($C36=120,$G36=120),0,1)</f>
        <v/>
      </c>
      <c r="HR37">
        <f>HR36*IF(OR($C36=121,$G36=121),0,1)</f>
        <v/>
      </c>
      <c r="HS37">
        <f>HS36*IF(OR($C36=122,$G36=122),0,1)</f>
        <v/>
      </c>
      <c r="HT37">
        <f>HT36*IF(OR($C36=123,$G36=123),0,1)</f>
        <v/>
      </c>
      <c r="HU37">
        <f>HU36*IF(OR($C36=124,$G36=124),0,1)</f>
        <v/>
      </c>
      <c r="HV37">
        <f>HV36*IF(OR($C36=125,$G36=125),0,1)</f>
        <v/>
      </c>
      <c r="HW37">
        <f>HW36*IF(OR($C36=126,$G36=126),0,1)</f>
        <v/>
      </c>
      <c r="HX37">
        <f>HX36*IF(OR($C36=127,$G36=127),0,1)</f>
        <v/>
      </c>
      <c r="HY37">
        <f>HY36*IF(OR($C36=128,$G36=128),0,1)</f>
        <v/>
      </c>
      <c r="HZ37">
        <f>HZ36*IF(OR($C36=129,$G36=129),0,1)</f>
        <v/>
      </c>
      <c r="IA37">
        <f>IA36*IF(OR($C36=130,$G36=130),0,1)</f>
        <v/>
      </c>
      <c r="IB37">
        <f>IB36*IF(OR($C36=131,$G36=131),0,1)</f>
        <v/>
      </c>
      <c r="IC37">
        <f>IC36*IF(OR($C36=132,$G36=132),0,1)</f>
        <v/>
      </c>
      <c r="ID37">
        <f>ID36*IF(OR($C36=133,$G36=133),0,1)</f>
        <v/>
      </c>
      <c r="IE37">
        <f>IE36*IF(OR($C36=134,$G36=134),0,1)</f>
        <v/>
      </c>
      <c r="IF37">
        <f>IF36*IF(OR($C36=135,$G36=135),0,1)</f>
        <v/>
      </c>
      <c r="IG37">
        <f>IG36*IF(OR($C36=136,$G36=136),0,1)</f>
        <v/>
      </c>
      <c r="IH37">
        <f>IH36*IF(OR($C36=137,$G36=137),0,1)</f>
        <v/>
      </c>
      <c r="II37">
        <f>II36*IF(OR($C36=138,$G36=138),0,1)</f>
        <v/>
      </c>
      <c r="IJ37">
        <f>IJ36*IF(OR($C36=139,$G36=139),0,1)</f>
        <v/>
      </c>
      <c r="IK37">
        <f>IK36*IF(OR($C36=140,$G36=140),0,1)</f>
        <v/>
      </c>
      <c r="IL37">
        <f>IL36*IF(OR($C36=141,$G36=141),0,1)</f>
        <v/>
      </c>
      <c r="IM37">
        <f>IM36*IF(OR($C36=142,$G36=142),0,1)</f>
        <v/>
      </c>
      <c r="IN37">
        <f>IN36*IF(OR($C36=143,$G36=143),0,1)</f>
        <v/>
      </c>
      <c r="IO37">
        <f>IO36*IF(OR($C36=144,$G36=144),0,1)</f>
        <v/>
      </c>
      <c r="IQ37">
        <f>IF('calcA'!D$106=1,DC37,1)</f>
        <v/>
      </c>
      <c r="IR37">
        <f>IF('calcA'!E$106=1,DD37,1)</f>
        <v/>
      </c>
      <c r="IS37">
        <f>IF('calcA'!F$106=1,DE37,1)</f>
        <v/>
      </c>
      <c r="IT37">
        <f>IF('calcA'!G$106=1,DF37,1)</f>
        <v/>
      </c>
      <c r="IU37">
        <f>IF('calcA'!H$106=1,DG37,1)</f>
        <v/>
      </c>
      <c r="IV37">
        <f>IF('calcA'!I$106=1,DH37,1)</f>
        <v/>
      </c>
      <c r="IW37">
        <f>IF('calcA'!J$106=1,DI37,1)</f>
        <v/>
      </c>
      <c r="IX37">
        <f>IF('calcA'!K$106=1,DJ37,1)</f>
        <v/>
      </c>
      <c r="IY37">
        <f>IF('calcA'!L$106=1,DK37,1)</f>
        <v/>
      </c>
      <c r="IZ37">
        <f>IF('calcA'!M$106=1,DL37,1)</f>
        <v/>
      </c>
      <c r="JA37">
        <f>IF('calcA'!N$106=1,DM37,1)</f>
        <v/>
      </c>
      <c r="JB37">
        <f>IF('calcA'!O$106=1,DN37,1)</f>
        <v/>
      </c>
      <c r="JC37">
        <f>IF('calcA'!P$106=1,DO37,1)</f>
        <v/>
      </c>
      <c r="JD37">
        <f>IF('calcA'!Q$106=1,DP37,1)</f>
        <v/>
      </c>
      <c r="JE37">
        <f>IF('calcA'!R$106=1,DQ37,1)</f>
        <v/>
      </c>
      <c r="JF37">
        <f>IF('calcA'!S$106=1,DR37,1)</f>
        <v/>
      </c>
      <c r="JG37">
        <f>IF('calcA'!T$106=1,DS37,1)</f>
        <v/>
      </c>
      <c r="JH37">
        <f>IF('calcA'!U$106=1,DT37,1)</f>
        <v/>
      </c>
      <c r="JI37">
        <f>IF('calcA'!V$106=1,DU37,1)</f>
        <v/>
      </c>
      <c r="JJ37">
        <f>IF('calcA'!W$106=1,DV37,1)</f>
        <v/>
      </c>
      <c r="JK37">
        <f>IF('calcA'!X$106=1,DW37,1)</f>
        <v/>
      </c>
      <c r="JL37">
        <f>IF('calcA'!Y$106=1,DX37,1)</f>
        <v/>
      </c>
      <c r="JM37">
        <f>IF('calcA'!Z$106=1,DY37,1)</f>
        <v/>
      </c>
      <c r="JN37">
        <f>IF('calcA'!AA$106=1,DZ37,1)</f>
        <v/>
      </c>
      <c r="JO37">
        <f>IF('calcA'!AB$106=1,EA37,1)</f>
        <v/>
      </c>
      <c r="JP37">
        <f>IF('calcA'!AC$106=1,EB37,1)</f>
        <v/>
      </c>
      <c r="JQ37">
        <f>IF('calcA'!AD$106=1,EC37,1)</f>
        <v/>
      </c>
      <c r="JR37">
        <f>IF('calcA'!AE$106=1,ED37,1)</f>
        <v/>
      </c>
      <c r="JS37">
        <f>IF('calcA'!AF$106=1,EE37,1)</f>
        <v/>
      </c>
      <c r="JT37">
        <f>IF('calcA'!AG$106=1,EF37,1)</f>
        <v/>
      </c>
      <c r="JU37">
        <f>IF('calcA'!AH$106=1,EG37,1)</f>
        <v/>
      </c>
      <c r="JV37">
        <f>IF('calcA'!AI$106=1,EH37,1)</f>
        <v/>
      </c>
      <c r="JW37">
        <f>IF('calcA'!AJ$106=1,EI37,1)</f>
        <v/>
      </c>
      <c r="JX37">
        <f>IF('calcA'!AK$106=1,EJ37,1)</f>
        <v/>
      </c>
      <c r="JY37">
        <f>IF('calcA'!AL$106=1,EK37,1)</f>
        <v/>
      </c>
      <c r="JZ37">
        <f>IF('calcA'!AM$106=1,EL37,1)</f>
        <v/>
      </c>
      <c r="KA37">
        <f>IF('calcA'!AN$106=1,EM37,1)</f>
        <v/>
      </c>
      <c r="KB37">
        <f>IF('calcA'!AO$106=1,EN37,1)</f>
        <v/>
      </c>
      <c r="KC37">
        <f>IF('calcA'!AP$106=1,EO37,1)</f>
        <v/>
      </c>
      <c r="KD37">
        <f>IF('calcA'!AQ$106=1,EP37,1)</f>
        <v/>
      </c>
      <c r="KE37">
        <f>IF('calcA'!AR$106=1,EQ37,1)</f>
        <v/>
      </c>
      <c r="KF37">
        <f>IF('calcA'!AS$106=1,ER37,1)</f>
        <v/>
      </c>
      <c r="KG37">
        <f>IF('calcA'!AT$106=1,ES37,1)</f>
        <v/>
      </c>
      <c r="KH37">
        <f>IF('calcA'!AU$106=1,ET37,1)</f>
        <v/>
      </c>
      <c r="KI37">
        <f>IF('calcA'!AV$106=1,EU37,1)</f>
        <v/>
      </c>
      <c r="KJ37">
        <f>IF('calcA'!AW$106=1,EV37,1)</f>
        <v/>
      </c>
      <c r="KK37">
        <f>IF('calcA'!AX$106=1,EW37,1)</f>
        <v/>
      </c>
      <c r="KL37">
        <f>IF('calcA'!AY$106=1,EX37,1)</f>
        <v/>
      </c>
      <c r="KM37">
        <f>IF('calcA'!AZ$106=1,EY37,1)</f>
        <v/>
      </c>
      <c r="KN37">
        <f>IF('calcA'!BA$106=1,EZ37,1)</f>
        <v/>
      </c>
      <c r="KO37">
        <f>IF('calcA'!BB$106=1,FA37,1)</f>
        <v/>
      </c>
      <c r="KP37">
        <f>IF('calcA'!BC$106=1,FB37,1)</f>
        <v/>
      </c>
      <c r="KQ37">
        <f>IF('calcA'!BD$106=1,FC37,1)</f>
        <v/>
      </c>
      <c r="KR37">
        <f>IF('calcA'!BE$106=1,FD37,1)</f>
        <v/>
      </c>
      <c r="KS37">
        <f>IF('calcA'!BF$106=1,FE37,1)</f>
        <v/>
      </c>
      <c r="KT37">
        <f>IF('calcA'!BG$106=1,FF37,1)</f>
        <v/>
      </c>
      <c r="KU37">
        <f>IF('calcA'!BH$106=1,FG37,1)</f>
        <v/>
      </c>
      <c r="KV37">
        <f>IF('calcA'!BI$106=1,FH37,1)</f>
        <v/>
      </c>
      <c r="KW37">
        <f>IF('calcA'!BJ$106=1,FI37,1)</f>
        <v/>
      </c>
      <c r="KX37">
        <f>IF('calcA'!BK$106=1,FJ37,1)</f>
        <v/>
      </c>
      <c r="KY37">
        <f>IF('calcA'!BL$106=1,FK37,1)</f>
        <v/>
      </c>
      <c r="KZ37">
        <f>IF('calcA'!BM$106=1,FL37,1)</f>
        <v/>
      </c>
      <c r="LA37">
        <f>IF('calcA'!BN$106=1,FM37,1)</f>
        <v/>
      </c>
      <c r="LB37">
        <f>IF('calcA'!BO$106=1,FN37,1)</f>
        <v/>
      </c>
      <c r="LC37">
        <f>IF('calcA'!BP$106=1,FO37,1)</f>
        <v/>
      </c>
      <c r="LD37">
        <f>IF('calcA'!BQ$106=1,FP37,1)</f>
        <v/>
      </c>
      <c r="LE37">
        <f>IF('calcA'!BR$106=1,FQ37,1)</f>
        <v/>
      </c>
      <c r="LF37">
        <f>IF('calcA'!BS$106=1,FR37,1)</f>
        <v/>
      </c>
      <c r="LG37">
        <f>IF('calcA'!BT$106=1,FS37,1)</f>
        <v/>
      </c>
      <c r="LH37">
        <f>IF('calcA'!BU$106=1,FT37,1)</f>
        <v/>
      </c>
      <c r="LI37">
        <f>IF('calcA'!BV$106=1,FU37,1)</f>
        <v/>
      </c>
      <c r="LJ37">
        <f>IF('calcA'!BW$106=1,FV37,1)</f>
        <v/>
      </c>
      <c r="LK37">
        <f>IF('calcA'!BX$106=1,FW37,1)</f>
        <v/>
      </c>
      <c r="LL37">
        <f>IF('calcA'!BY$106=1,FX37,1)</f>
        <v/>
      </c>
      <c r="LM37">
        <f>IF('calcA'!BZ$106=1,FY37,1)</f>
        <v/>
      </c>
      <c r="LN37">
        <f>IF('calcA'!CA$106=1,FZ37,1)</f>
        <v/>
      </c>
      <c r="LO37">
        <f>IF('calcA'!CB$106=1,GA37,1)</f>
        <v/>
      </c>
      <c r="LP37">
        <f>IF('calcA'!CC$106=1,GB37,1)</f>
        <v/>
      </c>
      <c r="LQ37">
        <f>IF('calcA'!CD$106=1,GC37,1)</f>
        <v/>
      </c>
      <c r="LR37">
        <f>IF('calcA'!CE$106=1,GD37,1)</f>
        <v/>
      </c>
      <c r="LS37">
        <f>IF('calcA'!CF$106=1,GE37,1)</f>
        <v/>
      </c>
      <c r="LT37">
        <f>IF('calcA'!CG$106=1,GF37,1)</f>
        <v/>
      </c>
      <c r="LU37">
        <f>IF('calcA'!CH$106=1,GG37,1)</f>
        <v/>
      </c>
      <c r="LV37">
        <f>IF('calcA'!CI$106=1,GH37,1)</f>
        <v/>
      </c>
      <c r="LW37">
        <f>IF('calcA'!CJ$106=1,GI37,1)</f>
        <v/>
      </c>
      <c r="LX37">
        <f>IF('calcA'!CK$106=1,GJ37,1)</f>
        <v/>
      </c>
      <c r="LY37">
        <f>IF('calcA'!CL$106=1,GK37,1)</f>
        <v/>
      </c>
      <c r="LZ37">
        <f>IF('calcA'!CM$106=1,GL37,1)</f>
        <v/>
      </c>
      <c r="MA37">
        <f>IF('calcA'!CN$106=1,GM37,1)</f>
        <v/>
      </c>
      <c r="MB37">
        <f>IF('calcA'!CO$106=1,GN37,1)</f>
        <v/>
      </c>
      <c r="MC37">
        <f>IF('calcA'!CP$106=1,GO37,1)</f>
        <v/>
      </c>
      <c r="MD37">
        <f>IF('calcA'!CQ$106=1,GP37,1)</f>
        <v/>
      </c>
      <c r="ME37">
        <f>IF('calcA'!CR$106=1,GQ37,1)</f>
        <v/>
      </c>
      <c r="MF37">
        <f>IF('calcA'!CS$106=1,GR37,1)</f>
        <v/>
      </c>
      <c r="MG37">
        <f>IF('calcA'!CT$106=1,GS37,1)</f>
        <v/>
      </c>
      <c r="MH37">
        <f>IF('calcA'!CU$106=1,GT37,1)</f>
        <v/>
      </c>
      <c r="MI37">
        <f>IF('calcA'!CV$106=1,GU37,1)</f>
        <v/>
      </c>
      <c r="MJ37">
        <f>IF('calcA'!CW$106=1,GV37,1)</f>
        <v/>
      </c>
      <c r="MK37">
        <f>IF('calcA'!CX$106=1,GW37,1)</f>
        <v/>
      </c>
      <c r="ML37">
        <f>IF('calcA'!CY$106=1,GX37,1)</f>
        <v/>
      </c>
      <c r="MM37">
        <f>IF('calcA'!CZ$106=1,GY37,1)</f>
        <v/>
      </c>
      <c r="MN37">
        <f>IF('calcA'!DA$106=1,GZ37,1)</f>
        <v/>
      </c>
      <c r="MO37">
        <f>IF('calcA'!DB$106=1,HA37,1)</f>
        <v/>
      </c>
      <c r="MP37">
        <f>IF('calcA'!DC$106=1,HB37,1)</f>
        <v/>
      </c>
      <c r="MQ37">
        <f>IF('calcA'!DD$106=1,HC37,1)</f>
        <v/>
      </c>
      <c r="MR37">
        <f>IF('calcA'!DE$106=1,HD37,1)</f>
        <v/>
      </c>
      <c r="MS37">
        <f>IF('calcA'!DF$106=1,HE37,1)</f>
        <v/>
      </c>
      <c r="MT37">
        <f>IF('calcA'!DG$106=1,HF37,1)</f>
        <v/>
      </c>
      <c r="MU37">
        <f>IF('calcA'!DH$106=1,HG37,1)</f>
        <v/>
      </c>
      <c r="MV37">
        <f>IF('calcA'!DI$106=1,HH37,1)</f>
        <v/>
      </c>
      <c r="MW37">
        <f>IF('calcA'!DJ$106=1,HI37,1)</f>
        <v/>
      </c>
      <c r="MX37">
        <f>IF('calcA'!DK$106=1,HJ37,1)</f>
        <v/>
      </c>
      <c r="MY37">
        <f>IF('calcA'!DL$106=1,HK37,1)</f>
        <v/>
      </c>
      <c r="MZ37">
        <f>IF('calcA'!DM$106=1,HL37,1)</f>
        <v/>
      </c>
      <c r="NA37">
        <f>IF('calcA'!DN$106=1,HM37,1)</f>
        <v/>
      </c>
      <c r="NB37">
        <f>IF('calcA'!DO$106=1,HN37,1)</f>
        <v/>
      </c>
      <c r="NC37">
        <f>IF('calcA'!DP$106=1,HO37,1)</f>
        <v/>
      </c>
      <c r="ND37">
        <f>IF('calcA'!DQ$106=1,HP37,1)</f>
        <v/>
      </c>
      <c r="NE37">
        <f>IF('calcA'!DR$106=1,HQ37,1)</f>
        <v/>
      </c>
      <c r="NF37">
        <f>IF('calcA'!DS$106=1,HR37,1)</f>
        <v/>
      </c>
      <c r="NG37">
        <f>IF('calcA'!DT$106=1,HS37,1)</f>
        <v/>
      </c>
      <c r="NH37">
        <f>IF('calcA'!DU$106=1,HT37,1)</f>
        <v/>
      </c>
      <c r="NI37">
        <f>IF('calcA'!DV$106=1,HU37,1)</f>
        <v/>
      </c>
      <c r="NJ37">
        <f>IF('calcA'!DW$106=1,HV37,1)</f>
        <v/>
      </c>
      <c r="NK37">
        <f>IF('calcA'!DX$106=1,HW37,1)</f>
        <v/>
      </c>
      <c r="NL37">
        <f>IF('calcA'!DY$106=1,HX37,1)</f>
        <v/>
      </c>
      <c r="NM37">
        <f>IF('calcA'!DZ$106=1,HY37,1)</f>
        <v/>
      </c>
      <c r="NN37">
        <f>IF('calcA'!EA$106=1,HZ37,1)</f>
        <v/>
      </c>
      <c r="NO37">
        <f>IF('calcA'!EB$106=1,IA37,1)</f>
        <v/>
      </c>
      <c r="NP37">
        <f>IF('calcA'!EC$106=1,IB37,1)</f>
        <v/>
      </c>
      <c r="NQ37">
        <f>IF('calcA'!ED$106=1,IC37,1)</f>
        <v/>
      </c>
      <c r="NR37">
        <f>IF('calcA'!EE$106=1,ID37,1)</f>
        <v/>
      </c>
      <c r="NS37">
        <f>IF('calcA'!EF$106=1,IE37,1)</f>
        <v/>
      </c>
      <c r="NT37">
        <f>IF('calcA'!EG$106=1,IF37,1)</f>
        <v/>
      </c>
      <c r="NU37">
        <f>IF('calcA'!EH$106=1,IG37,1)</f>
        <v/>
      </c>
      <c r="NV37">
        <f>IF('calcA'!EI$106=1,IH37,1)</f>
        <v/>
      </c>
      <c r="NW37">
        <f>IF('calcA'!EJ$106=1,II37,1)</f>
        <v/>
      </c>
      <c r="NX37">
        <f>IF('calcA'!EK$106=1,IJ37,1)</f>
        <v/>
      </c>
      <c r="NY37">
        <f>IF('calcA'!EL$106=1,IK37,1)</f>
        <v/>
      </c>
      <c r="NZ37">
        <f>IF('calcA'!EM$106=1,IL37,1)</f>
        <v/>
      </c>
      <c r="OA37">
        <f>IF('calcA'!EN$106=1,IM37,1)</f>
        <v/>
      </c>
      <c r="OB37">
        <f>IF('calcA'!EO$106=1,IN37,1)</f>
        <v/>
      </c>
      <c r="OC37">
        <f>IF('calcA'!EP$106=1,IO37,1)</f>
        <v/>
      </c>
      <c r="OD37" t="n">
        <v>1</v>
      </c>
      <c r="OF37">
        <f>IF($B37=0,1000000000,IF(INDEX('calcA'!$D$60:$EQ$99,$B37,1)*IF($W37=1,DB37+ZQ37,DB37)=1,IF(AND($E37=2,IF($W37=1,AFF37,IQ37)=0),1000000000,IF($V37=1,INDEX('calcA'!$D$130:$EQ$169,$B37,1)+IF(AND($E37=1,IQ37=0),25,0),INDEX('calcA'!D$110:D$114,$F37+1)+IF(AND($E37=1,IQ37=0),1000,0)+IF($H37=1,INDEX('calcA'!$D$180:$EQ$219,$B37,1)*500,0)-IF(AND($U37=1,'calcA'!D$117=1,DC37=0),300,0))),1000000000))</f>
        <v/>
      </c>
      <c r="OG37">
        <f>IF($B37=0,1000000000,IF(INDEX('calcA'!$D$60:$EQ$99,$B37,2)*IF($W37=1,DC37+ZR37,DC37)=1,IF(AND($E37=2,IF($W37=1,AFG37,IR37)=0),1000000000,IF($V37=1,INDEX('calcA'!$D$130:$EQ$169,$B37,2)+IF(AND($E37=1,IR37=0),25,0),INDEX('calcA'!E$110:E$114,$F37+1)+IF(AND($E37=1,IR37=0),1000,0)+IF($H37=1,INDEX('calcA'!$D$180:$EQ$219,$B37,2)*500,0)-IF(AND('calcA'!D$117=1,UB37&gt;0),300,0)-IF(AND($U37=1,'calcA'!E$117=1,DD37=0),300,0))),1000000000))</f>
        <v/>
      </c>
      <c r="OH37">
        <f>IF($B37=0,1000000000,IF(INDEX('calcA'!$D$60:$EQ$99,$B37,3)*IF($W37=1,DD37+ZS37,DD37)=1,IF(AND($E37=2,IF($W37=1,AFH37,IS37)=0),1000000000,IF($V37=1,INDEX('calcA'!$D$130:$EQ$169,$B37,3)+IF(AND($E37=1,IS37=0),25,0),INDEX('calcA'!F$110:F$114,$F37+1)+IF(AND($E37=1,IS37=0),1000,0)+IF($H37=1,INDEX('calcA'!$D$180:$EQ$219,$B37,3)*500,0)-IF(AND('calcA'!E$117=1,UC37&gt;0),300,0)-IF(AND($U37=1,'calcA'!F$117=1,DE37=0),300,0))),1000000000))</f>
        <v/>
      </c>
      <c r="OI37">
        <f>IF($B37=0,1000000000,IF(INDEX('calcA'!$D$60:$EQ$99,$B37,4)*IF($W37=1,DE37+ZT37,DE37)=1,IF(AND($E37=2,IF($W37=1,AFI37,IT37)=0),1000000000,IF($V37=1,INDEX('calcA'!$D$130:$EQ$169,$B37,4)+IF(AND($E37=1,IT37=0),25,0),INDEX('calcA'!G$110:G$114,$F37+1)+IF(AND($E37=1,IT37=0),1000,0)+IF($H37=1,INDEX('calcA'!$D$180:$EQ$219,$B37,4)*500,0)-IF(AND('calcA'!F$117=1,UD37&gt;0),300,0)-IF(AND($U37=1,'calcA'!G$117=1,DF37=0),300,0))),1000000000))</f>
        <v/>
      </c>
      <c r="OJ37">
        <f>IF($B37=0,1000000000,IF(INDEX('calcA'!$D$60:$EQ$99,$B37,5)*IF($W37=1,DF37+ZU37,DF37)=1,IF(AND($E37=2,IF($W37=1,AFJ37,IU37)=0),1000000000,IF($V37=1,INDEX('calcA'!$D$130:$EQ$169,$B37,5)+IF(AND($E37=1,IU37=0),25,0),INDEX('calcA'!H$110:H$114,$F37+1)+IF(AND($E37=1,IU37=0),1000,0)+IF($H37=1,INDEX('calcA'!$D$180:$EQ$219,$B37,5)*500,0)-IF(AND('calcA'!G$117=1,UE37&gt;0),300,0)-IF(AND($U37=1,'calcA'!H$117=1,DG37=0),300,0))),1000000000))</f>
        <v/>
      </c>
      <c r="OK37">
        <f>IF($B37=0,1000000000,IF(INDEX('calcA'!$D$60:$EQ$99,$B37,6)*IF($W37=1,DG37+ZV37,DG37)=1,IF(AND($E37=2,IF($W37=1,AFK37,IV37)=0),1000000000,IF($V37=1,INDEX('calcA'!$D$130:$EQ$169,$B37,6)+IF(AND($E37=1,IV37=0),25,0),INDEX('calcA'!I$110:I$114,$F37+1)+IF(AND($E37=1,IV37=0),1000,0)+IF($H37=1,INDEX('calcA'!$D$180:$EQ$219,$B37,6)*500,0)-IF(AND('calcA'!H$117=1,UF37&gt;0),300,0)-IF(AND($U37=1,'calcA'!I$117=1,DH37=0),300,0))),1000000000))</f>
        <v/>
      </c>
      <c r="OL37">
        <f>IF($B37=0,1000000000,IF(INDEX('calcA'!$D$60:$EQ$99,$B37,7)*IF($W37=1,DH37+ZW37,DH37)=1,IF(AND($E37=2,IF($W37=1,AFL37,IW37)=0),1000000000,IF($V37=1,INDEX('calcA'!$D$130:$EQ$169,$B37,7)+IF(AND($E37=1,IW37=0),25,0),INDEX('calcA'!J$110:J$114,$F37+1)+IF(AND($E37=1,IW37=0),1000,0)+IF($H37=1,INDEX('calcA'!$D$180:$EQ$219,$B37,7)*500,0)-IF(AND('calcA'!I$117=1,UG37&gt;0),300,0)-IF(AND($U37=1,'calcA'!J$117=1,DI37=0),300,0))),1000000000))</f>
        <v/>
      </c>
      <c r="OM37">
        <f>IF($B37=0,1000000000,IF(INDEX('calcA'!$D$60:$EQ$99,$B37,8)*IF($W37=1,DI37+ZX37,DI37)=1,IF(AND($E37=2,IF($W37=1,AFM37,IX37)=0),1000000000,IF($V37=1,INDEX('calcA'!$D$130:$EQ$169,$B37,8)+IF(AND($E37=1,IX37=0),25,0),INDEX('calcA'!K$110:K$114,$F37+1)+IF(AND($E37=1,IX37=0),1000,0)+IF($H37=1,INDEX('calcA'!$D$180:$EQ$219,$B37,8)*500,0)-IF(AND('calcA'!J$117=1,UH37&gt;0),300,0)-IF(AND($U37=1,'calcA'!K$117=1,DJ37=0),300,0))),1000000000))</f>
        <v/>
      </c>
      <c r="ON37">
        <f>IF($B37=0,1000000000,IF(INDEX('calcA'!$D$60:$EQ$99,$B37,9)*IF($W37=1,DJ37+ZY37,DJ37)=1,IF(AND($E37=2,IF($W37=1,AFN37,IY37)=0),1000000000,IF($V37=1,INDEX('calcA'!$D$130:$EQ$169,$B37,9)+IF(AND($E37=1,IY37=0),25,0),INDEX('calcA'!L$110:L$114,$F37+1)+IF(AND($E37=1,IY37=0),1000,0)+IF($H37=1,INDEX('calcA'!$D$180:$EQ$219,$B37,9)*500,0)-IF(AND('calcA'!K$117=1,UI37&gt;0),300,0)-IF(AND($U37=1,'calcA'!L$117=1,DK37=0),300,0))),1000000000))</f>
        <v/>
      </c>
      <c r="OO37">
        <f>IF($B37=0,1000000000,IF(INDEX('calcA'!$D$60:$EQ$99,$B37,10)*IF($W37=1,DK37+ZZ37,DK37)=1,IF(AND($E37=2,IF($W37=1,AFO37,IZ37)=0),1000000000,IF($V37=1,INDEX('calcA'!$D$130:$EQ$169,$B37,10)+IF(AND($E37=1,IZ37=0),25,0),INDEX('calcA'!M$110:M$114,$F37+1)+IF(AND($E37=1,IZ37=0),1000,0)+IF($H37=1,INDEX('calcA'!$D$180:$EQ$219,$B37,10)*500,0)-IF(AND('calcA'!L$117=1,UJ37&gt;0),300,0)-IF(AND($U37=1,'calcA'!M$117=1,DL37=0),300,0))),1000000000))</f>
        <v/>
      </c>
      <c r="OP37">
        <f>IF($B37=0,1000000000,IF(INDEX('calcA'!$D$60:$EQ$99,$B37,11)*IF($W37=1,DL37+AAA37,DL37)=1,IF(AND($E37=2,IF($W37=1,AFP37,JA37)=0),1000000000,IF($V37=1,INDEX('calcA'!$D$130:$EQ$169,$B37,11)+IF(AND($E37=1,JA37=0),25,0),INDEX('calcA'!N$110:N$114,$F37+1)+IF(AND($E37=1,JA37=0),1000,0)+IF($H37=1,INDEX('calcA'!$D$180:$EQ$219,$B37,11)*500,0)-IF(AND('calcA'!M$117=1,UK37&gt;0),300,0)-IF(AND($U37=1,'calcA'!N$117=1,DM37=0),300,0))),1000000000))</f>
        <v/>
      </c>
      <c r="OQ37">
        <f>IF($B37=0,1000000000,IF(INDEX('calcA'!$D$60:$EQ$99,$B37,12)*IF($W37=1,DM37+AAB37,DM37)=1,IF(AND($E37=2,IF($W37=1,AFQ37,JB37)=0),1000000000,IF($V37=1,INDEX('calcA'!$D$130:$EQ$169,$B37,12)+IF(AND($E37=1,JB37=0),25,0),INDEX('calcA'!O$110:O$114,$F37+1)+IF(AND($E37=1,JB37=0),1000,0)+IF($H37=1,INDEX('calcA'!$D$180:$EQ$219,$B37,12)*500,0)-IF(AND('calcA'!N$117=1,UL37&gt;0),300,0)-IF(AND($U37=1,'calcA'!O$117=1,DN37=0),300,0))),1000000000))</f>
        <v/>
      </c>
      <c r="OR37">
        <f>IF($B37=0,1000000000,IF(INDEX('calcA'!$D$60:$EQ$99,$B37,13)*IF($W37=1,DN37+AAC37,DN37)=1,IF(AND($E37=2,IF($W37=1,AFR37,JC37)=0),1000000000,IF($V37=1,INDEX('calcA'!$D$130:$EQ$169,$B37,13)+IF(AND($E37=1,JC37=0),25,0),INDEX('calcA'!P$110:P$114,$F37+1)+IF(AND($E37=1,JC37=0),1000,0)+IF($H37=1,INDEX('calcA'!$D$180:$EQ$219,$B37,13)*500,0)-IF(AND('calcA'!O$117=1,UM37&gt;0),300,0)-IF(AND($U37=1,'calcA'!P$117=1,DO37=0),300,0))),1000000000))</f>
        <v/>
      </c>
      <c r="OS37">
        <f>IF($B37=0,1000000000,IF(INDEX('calcA'!$D$60:$EQ$99,$B37,14)*IF($W37=1,DO37+AAD37,DO37)=1,IF(AND($E37=2,IF($W37=1,AFS37,JD37)=0),1000000000,IF($V37=1,INDEX('calcA'!$D$130:$EQ$169,$B37,14)+IF(AND($E37=1,JD37=0),25,0),INDEX('calcA'!Q$110:Q$114,$F37+1)+IF(AND($E37=1,JD37=0),1000,0)+IF($H37=1,INDEX('calcA'!$D$180:$EQ$219,$B37,14)*500,0)-IF(AND('calcA'!P$117=1,UN37&gt;0),300,0)-IF(AND($U37=1,'calcA'!Q$117=1,DP37=0),300,0))),1000000000))</f>
        <v/>
      </c>
      <c r="OT37">
        <f>IF($B37=0,1000000000,IF(INDEX('calcA'!$D$60:$EQ$99,$B37,15)*IF($W37=1,DP37+AAE37,DP37)=1,IF(AND($E37=2,IF($W37=1,AFT37,JE37)=0),1000000000,IF($V37=1,INDEX('calcA'!$D$130:$EQ$169,$B37,15)+IF(AND($E37=1,JE37=0),25,0),INDEX('calcA'!R$110:R$114,$F37+1)+IF(AND($E37=1,JE37=0),1000,0)+IF($H37=1,INDEX('calcA'!$D$180:$EQ$219,$B37,15)*500,0)-IF(AND('calcA'!Q$117=1,UO37&gt;0),300,0)-IF(AND($U37=1,'calcA'!R$117=1,DQ37=0),300,0))),1000000000))</f>
        <v/>
      </c>
      <c r="OU37">
        <f>IF($B37=0,1000000000,IF(INDEX('calcA'!$D$60:$EQ$99,$B37,16)*IF($W37=1,DQ37+AAF37,DQ37)=1,IF(AND($E37=2,IF($W37=1,AFU37,JF37)=0),1000000000,IF($V37=1,INDEX('calcA'!$D$130:$EQ$169,$B37,16)+IF(AND($E37=1,JF37=0),25,0),INDEX('calcA'!S$110:S$114,$F37+1)+IF(AND($E37=1,JF37=0),1000,0)+IF($H37=1,INDEX('calcA'!$D$180:$EQ$219,$B37,16)*500,0)-IF(AND('calcA'!R$117=1,UP37&gt;0),300,0)-IF(AND($U37=1,'calcA'!S$117=1,DR37=0),300,0))),1000000000))</f>
        <v/>
      </c>
      <c r="OV37">
        <f>IF($B37=0,1000000000,IF(INDEX('calcA'!$D$60:$EQ$99,$B37,17)*IF($W37=1,DR37+AAG37,DR37)=1,IF(AND($E37=2,IF($W37=1,AFV37,JG37)=0),1000000000,IF($V37=1,INDEX('calcA'!$D$130:$EQ$169,$B37,17)+IF(AND($E37=1,JG37=0),25,0),INDEX('calcA'!T$110:T$114,$F37+1)+IF(AND($E37=1,JG37=0),1000,0)+IF($H37=1,INDEX('calcA'!$D$180:$EQ$219,$B37,17)*500,0)-IF(AND('calcA'!S$117=1,UQ37&gt;0),300,0)-IF(AND($U37=1,'calcA'!T$117=1,DS37=0),300,0))),1000000000))</f>
        <v/>
      </c>
      <c r="OW37">
        <f>IF($B37=0,1000000000,IF(INDEX('calcA'!$D$60:$EQ$99,$B37,18)*IF($W37=1,DS37+AAH37,DS37)=1,IF(AND($E37=2,IF($W37=1,AFW37,JH37)=0),1000000000,IF($V37=1,INDEX('calcA'!$D$130:$EQ$169,$B37,18)+IF(AND($E37=1,JH37=0),25,0),INDEX('calcA'!U$110:U$114,$F37+1)+IF(AND($E37=1,JH37=0),1000,0)+IF($H37=1,INDEX('calcA'!$D$180:$EQ$219,$B37,18)*500,0)-IF(AND('calcA'!T$117=1,UR37&gt;0),300,0)-IF(AND($U37=1,'calcA'!U$117=1,DT37=0),300,0))),1000000000))</f>
        <v/>
      </c>
      <c r="OX37">
        <f>IF($B37=0,1000000000,IF(INDEX('calcA'!$D$60:$EQ$99,$B37,19)*IF($W37=1,DT37+AAI37,DT37)=1,IF(AND($E37=2,IF($W37=1,AFX37,JI37)=0),1000000000,IF($V37=1,INDEX('calcA'!$D$130:$EQ$169,$B37,19)+IF(AND($E37=1,JI37=0),25,0),INDEX('calcA'!V$110:V$114,$F37+1)+IF(AND($E37=1,JI37=0),1000,0)+IF($H37=1,INDEX('calcA'!$D$180:$EQ$219,$B37,19)*500,0)-IF(AND('calcA'!U$117=1,US37&gt;0),300,0)-IF(AND($U37=1,'calcA'!V$117=1,DU37=0),300,0))),1000000000))</f>
        <v/>
      </c>
      <c r="OY37">
        <f>IF($B37=0,1000000000,IF(INDEX('calcA'!$D$60:$EQ$99,$B37,20)*IF($W37=1,DU37+AAJ37,DU37)=1,IF(AND($E37=2,IF($W37=1,AFY37,JJ37)=0),1000000000,IF($V37=1,INDEX('calcA'!$D$130:$EQ$169,$B37,20)+IF(AND($E37=1,JJ37=0),25,0),INDEX('calcA'!W$110:W$114,$F37+1)+IF(AND($E37=1,JJ37=0),1000,0)+IF($H37=1,INDEX('calcA'!$D$180:$EQ$219,$B37,20)*500,0)-IF(AND('calcA'!V$117=1,UT37&gt;0),300,0)-IF(AND($U37=1,'calcA'!W$117=1,DV37=0),300,0))),1000000000))</f>
        <v/>
      </c>
      <c r="OZ37">
        <f>IF($B37=0,1000000000,IF(INDEX('calcA'!$D$60:$EQ$99,$B37,21)*IF($W37=1,DV37+AAK37,DV37)=1,IF(AND($E37=2,IF($W37=1,AFZ37,JK37)=0),1000000000,IF($V37=1,INDEX('calcA'!$D$130:$EQ$169,$B37,21)+IF(AND($E37=1,JK37=0),25,0),INDEX('calcA'!X$110:X$114,$F37+1)+IF(AND($E37=1,JK37=0),1000,0)+IF($H37=1,INDEX('calcA'!$D$180:$EQ$219,$B37,21)*500,0)-IF(AND('calcA'!W$117=1,UU37&gt;0),300,0)-IF(AND($U37=1,'calcA'!X$117=1,DW37=0),300,0))),1000000000))</f>
        <v/>
      </c>
      <c r="PA37">
        <f>IF($B37=0,1000000000,IF(INDEX('calcA'!$D$60:$EQ$99,$B37,22)*IF($W37=1,DW37+AAL37,DW37)=1,IF(AND($E37=2,IF($W37=1,AGA37,JL37)=0),1000000000,IF($V37=1,INDEX('calcA'!$D$130:$EQ$169,$B37,22)+IF(AND($E37=1,JL37=0),25,0),INDEX('calcA'!Y$110:Y$114,$F37+1)+IF(AND($E37=1,JL37=0),1000,0)+IF($H37=1,INDEX('calcA'!$D$180:$EQ$219,$B37,22)*500,0)-IF(AND('calcA'!X$117=1,UV37&gt;0),300,0)-IF(AND($U37=1,'calcA'!Y$117=1,DX37=0),300,0))),1000000000))</f>
        <v/>
      </c>
      <c r="PB37">
        <f>IF($B37=0,1000000000,IF(INDEX('calcA'!$D$60:$EQ$99,$B37,23)*IF($W37=1,DX37+AAM37,DX37)=1,IF(AND($E37=2,IF($W37=1,AGB37,JM37)=0),1000000000,IF($V37=1,INDEX('calcA'!$D$130:$EQ$169,$B37,23)+IF(AND($E37=1,JM37=0),25,0),INDEX('calcA'!Z$110:Z$114,$F37+1)+IF(AND($E37=1,JM37=0),1000,0)+IF($H37=1,INDEX('calcA'!$D$180:$EQ$219,$B37,23)*500,0)-IF(AND('calcA'!Y$117=1,UW37&gt;0),300,0)-IF(AND($U37=1,'calcA'!Z$117=1,DY37=0),300,0))),1000000000))</f>
        <v/>
      </c>
      <c r="PC37">
        <f>IF($B37=0,1000000000,IF(INDEX('calcA'!$D$60:$EQ$99,$B37,24)*IF($W37=1,DY37+AAN37,DY37)=1,IF(AND($E37=2,IF($W37=1,AGC37,JN37)=0),1000000000,IF($V37=1,INDEX('calcA'!$D$130:$EQ$169,$B37,24)+IF(AND($E37=1,JN37=0),25,0),INDEX('calcA'!AA$110:AA$114,$F37+1)+IF(AND($E37=1,JN37=0),1000,0)+IF($H37=1,INDEX('calcA'!$D$180:$EQ$219,$B37,24)*500,0)-IF(AND('calcA'!Z$117=1,UX37&gt;0),300,0))),1000000000))</f>
        <v/>
      </c>
      <c r="PD37">
        <f>IF($B37=0,1000000000,IF(INDEX('calcA'!$D$60:$EQ$99,$B37,25)*IF($W37=1,DZ37+AAO37,DZ37)=1,IF(AND($E37=2,IF($W37=1,AGD37,JO37)=0),1000000000,IF($V37=1,INDEX('calcA'!$D$130:$EQ$169,$B37,25)+IF(AND($E37=1,JO37=0),25,0),INDEX('calcA'!AB$110:AB$114,$F37+1)+IF(AND($E37=1,JO37=0),1000,0)+IF($H37=1,INDEX('calcA'!$D$180:$EQ$219,$B37,25)*500,0)-IF(AND($U37=1,'calcA'!AB$117=1,EA37=0),300,0))),1000000000))</f>
        <v/>
      </c>
      <c r="PE37">
        <f>IF($B37=0,1000000000,IF(INDEX('calcA'!$D$60:$EQ$99,$B37,26)*IF($W37=1,EA37+AAP37,EA37)=1,IF(AND($E37=2,IF($W37=1,AGE37,JP37)=0),1000000000,IF($V37=1,INDEX('calcA'!$D$130:$EQ$169,$B37,26)+IF(AND($E37=1,JP37=0),25,0),INDEX('calcA'!AC$110:AC$114,$F37+1)+IF(AND($E37=1,JP37=0),1000,0)+IF($H37=1,INDEX('calcA'!$D$180:$EQ$219,$B37,26)*500,0)-IF(AND('calcA'!AB$117=1,UZ37&gt;0),300,0)-IF(AND($U37=1,'calcA'!AC$117=1,EB37=0),300,0))),1000000000))</f>
        <v/>
      </c>
      <c r="PF37">
        <f>IF($B37=0,1000000000,IF(INDEX('calcA'!$D$60:$EQ$99,$B37,27)*IF($W37=1,EB37+AAQ37,EB37)=1,IF(AND($E37=2,IF($W37=1,AGF37,JQ37)=0),1000000000,IF($V37=1,INDEX('calcA'!$D$130:$EQ$169,$B37,27)+IF(AND($E37=1,JQ37=0),25,0),INDEX('calcA'!AD$110:AD$114,$F37+1)+IF(AND($E37=1,JQ37=0),1000,0)+IF($H37=1,INDEX('calcA'!$D$180:$EQ$219,$B37,27)*500,0)-IF(AND('calcA'!AC$117=1,VA37&gt;0),300,0)-IF(AND($U37=1,'calcA'!AD$117=1,EC37=0),300,0))),1000000000))</f>
        <v/>
      </c>
      <c r="PG37">
        <f>IF($B37=0,1000000000,IF(INDEX('calcA'!$D$60:$EQ$99,$B37,28)*IF($W37=1,EC37+AAR37,EC37)=1,IF(AND($E37=2,IF($W37=1,AGG37,JR37)=0),1000000000,IF($V37=1,INDEX('calcA'!$D$130:$EQ$169,$B37,28)+IF(AND($E37=1,JR37=0),25,0),INDEX('calcA'!AE$110:AE$114,$F37+1)+IF(AND($E37=1,JR37=0),1000,0)+IF($H37=1,INDEX('calcA'!$D$180:$EQ$219,$B37,28)*500,0)-IF(AND('calcA'!AD$117=1,VB37&gt;0),300,0)-IF(AND($U37=1,'calcA'!AE$117=1,ED37=0),300,0))),1000000000))</f>
        <v/>
      </c>
      <c r="PH37">
        <f>IF($B37=0,1000000000,IF(INDEX('calcA'!$D$60:$EQ$99,$B37,29)*IF($W37=1,ED37+AAS37,ED37)=1,IF(AND($E37=2,IF($W37=1,AGH37,JS37)=0),1000000000,IF($V37=1,INDEX('calcA'!$D$130:$EQ$169,$B37,29)+IF(AND($E37=1,JS37=0),25,0),INDEX('calcA'!AF$110:AF$114,$F37+1)+IF(AND($E37=1,JS37=0),1000,0)+IF($H37=1,INDEX('calcA'!$D$180:$EQ$219,$B37,29)*500,0)-IF(AND('calcA'!AE$117=1,VC37&gt;0),300,0)-IF(AND($U37=1,'calcA'!AF$117=1,EE37=0),300,0))),1000000000))</f>
        <v/>
      </c>
      <c r="PI37">
        <f>IF($B37=0,1000000000,IF(INDEX('calcA'!$D$60:$EQ$99,$B37,30)*IF($W37=1,EE37+AAT37,EE37)=1,IF(AND($E37=2,IF($W37=1,AGI37,JT37)=0),1000000000,IF($V37=1,INDEX('calcA'!$D$130:$EQ$169,$B37,30)+IF(AND($E37=1,JT37=0),25,0),INDEX('calcA'!AG$110:AG$114,$F37+1)+IF(AND($E37=1,JT37=0),1000,0)+IF($H37=1,INDEX('calcA'!$D$180:$EQ$219,$B37,30)*500,0)-IF(AND('calcA'!AF$117=1,VD37&gt;0),300,0)-IF(AND($U37=1,'calcA'!AG$117=1,EF37=0),300,0))),1000000000))</f>
        <v/>
      </c>
      <c r="PJ37">
        <f>IF($B37=0,1000000000,IF(INDEX('calcA'!$D$60:$EQ$99,$B37,31)*IF($W37=1,EF37+AAU37,EF37)=1,IF(AND($E37=2,IF($W37=1,AGJ37,JU37)=0),1000000000,IF($V37=1,INDEX('calcA'!$D$130:$EQ$169,$B37,31)+IF(AND($E37=1,JU37=0),25,0),INDEX('calcA'!AH$110:AH$114,$F37+1)+IF(AND($E37=1,JU37=0),1000,0)+IF($H37=1,INDEX('calcA'!$D$180:$EQ$219,$B37,31)*500,0)-IF(AND('calcA'!AG$117=1,VE37&gt;0),300,0)-IF(AND($U37=1,'calcA'!AH$117=1,EG37=0),300,0))),1000000000))</f>
        <v/>
      </c>
      <c r="PK37">
        <f>IF($B37=0,1000000000,IF(INDEX('calcA'!$D$60:$EQ$99,$B37,32)*IF($W37=1,EG37+AAV37,EG37)=1,IF(AND($E37=2,IF($W37=1,AGK37,JV37)=0),1000000000,IF($V37=1,INDEX('calcA'!$D$130:$EQ$169,$B37,32)+IF(AND($E37=1,JV37=0),25,0),INDEX('calcA'!AI$110:AI$114,$F37+1)+IF(AND($E37=1,JV37=0),1000,0)+IF($H37=1,INDEX('calcA'!$D$180:$EQ$219,$B37,32)*500,0)-IF(AND('calcA'!AH$117=1,VF37&gt;0),300,0)-IF(AND($U37=1,'calcA'!AI$117=1,EH37=0),300,0))),1000000000))</f>
        <v/>
      </c>
      <c r="PL37">
        <f>IF($B37=0,1000000000,IF(INDEX('calcA'!$D$60:$EQ$99,$B37,33)*IF($W37=1,EH37+AAW37,EH37)=1,IF(AND($E37=2,IF($W37=1,AGL37,JW37)=0),1000000000,IF($V37=1,INDEX('calcA'!$D$130:$EQ$169,$B37,33)+IF(AND($E37=1,JW37=0),25,0),INDEX('calcA'!AJ$110:AJ$114,$F37+1)+IF(AND($E37=1,JW37=0),1000,0)+IF($H37=1,INDEX('calcA'!$D$180:$EQ$219,$B37,33)*500,0)-IF(AND('calcA'!AI$117=1,VG37&gt;0),300,0)-IF(AND($U37=1,'calcA'!AJ$117=1,EI37=0),300,0))),1000000000))</f>
        <v/>
      </c>
      <c r="PM37">
        <f>IF($B37=0,1000000000,IF(INDEX('calcA'!$D$60:$EQ$99,$B37,34)*IF($W37=1,EI37+AAX37,EI37)=1,IF(AND($E37=2,IF($W37=1,AGM37,JX37)=0),1000000000,IF($V37=1,INDEX('calcA'!$D$130:$EQ$169,$B37,34)+IF(AND($E37=1,JX37=0),25,0),INDEX('calcA'!AK$110:AK$114,$F37+1)+IF(AND($E37=1,JX37=0),1000,0)+IF($H37=1,INDEX('calcA'!$D$180:$EQ$219,$B37,34)*500,0)-IF(AND('calcA'!AJ$117=1,VH37&gt;0),300,0)-IF(AND($U37=1,'calcA'!AK$117=1,EJ37=0),300,0))),1000000000))</f>
        <v/>
      </c>
      <c r="PN37">
        <f>IF($B37=0,1000000000,IF(INDEX('calcA'!$D$60:$EQ$99,$B37,35)*IF($W37=1,EJ37+AAY37,EJ37)=1,IF(AND($E37=2,IF($W37=1,AGN37,JY37)=0),1000000000,IF($V37=1,INDEX('calcA'!$D$130:$EQ$169,$B37,35)+IF(AND($E37=1,JY37=0),25,0),INDEX('calcA'!AL$110:AL$114,$F37+1)+IF(AND($E37=1,JY37=0),1000,0)+IF($H37=1,INDEX('calcA'!$D$180:$EQ$219,$B37,35)*500,0)-IF(AND('calcA'!AK$117=1,VI37&gt;0),300,0)-IF(AND($U37=1,'calcA'!AL$117=1,EK37=0),300,0))),1000000000))</f>
        <v/>
      </c>
      <c r="PO37">
        <f>IF($B37=0,1000000000,IF(INDEX('calcA'!$D$60:$EQ$99,$B37,36)*IF($W37=1,EK37+AAZ37,EK37)=1,IF(AND($E37=2,IF($W37=1,AGO37,JZ37)=0),1000000000,IF($V37=1,INDEX('calcA'!$D$130:$EQ$169,$B37,36)+IF(AND($E37=1,JZ37=0),25,0),INDEX('calcA'!AM$110:AM$114,$F37+1)+IF(AND($E37=1,JZ37=0),1000,0)+IF($H37=1,INDEX('calcA'!$D$180:$EQ$219,$B37,36)*500,0)-IF(AND('calcA'!AL$117=1,VJ37&gt;0),300,0)-IF(AND($U37=1,'calcA'!AM$117=1,EL37=0),300,0))),1000000000))</f>
        <v/>
      </c>
      <c r="PP37">
        <f>IF($B37=0,1000000000,IF(INDEX('calcA'!$D$60:$EQ$99,$B37,37)*IF($W37=1,EL37+ABA37,EL37)=1,IF(AND($E37=2,IF($W37=1,AGP37,KA37)=0),1000000000,IF($V37=1,INDEX('calcA'!$D$130:$EQ$169,$B37,37)+IF(AND($E37=1,KA37=0),25,0),INDEX('calcA'!AN$110:AN$114,$F37+1)+IF(AND($E37=1,KA37=0),1000,0)+IF($H37=1,INDEX('calcA'!$D$180:$EQ$219,$B37,37)*500,0)-IF(AND('calcA'!AM$117=1,VK37&gt;0),300,0)-IF(AND($U37=1,'calcA'!AN$117=1,EM37=0),300,0))),1000000000))</f>
        <v/>
      </c>
      <c r="PQ37">
        <f>IF($B37=0,1000000000,IF(INDEX('calcA'!$D$60:$EQ$99,$B37,38)*IF($W37=1,EM37+ABB37,EM37)=1,IF(AND($E37=2,IF($W37=1,AGQ37,KB37)=0),1000000000,IF($V37=1,INDEX('calcA'!$D$130:$EQ$169,$B37,38)+IF(AND($E37=1,KB37=0),25,0),INDEX('calcA'!AO$110:AO$114,$F37+1)+IF(AND($E37=1,KB37=0),1000,0)+IF($H37=1,INDEX('calcA'!$D$180:$EQ$219,$B37,38)*500,0)-IF(AND('calcA'!AN$117=1,VL37&gt;0),300,0)-IF(AND($U37=1,'calcA'!AO$117=1,EN37=0),300,0))),1000000000))</f>
        <v/>
      </c>
      <c r="PR37">
        <f>IF($B37=0,1000000000,IF(INDEX('calcA'!$D$60:$EQ$99,$B37,39)*IF($W37=1,EN37+ABC37,EN37)=1,IF(AND($E37=2,IF($W37=1,AGR37,KC37)=0),1000000000,IF($V37=1,INDEX('calcA'!$D$130:$EQ$169,$B37,39)+IF(AND($E37=1,KC37=0),25,0),INDEX('calcA'!AP$110:AP$114,$F37+1)+IF(AND($E37=1,KC37=0),1000,0)+IF($H37=1,INDEX('calcA'!$D$180:$EQ$219,$B37,39)*500,0)-IF(AND('calcA'!AO$117=1,VM37&gt;0),300,0)-IF(AND($U37=1,'calcA'!AP$117=1,EO37=0),300,0))),1000000000))</f>
        <v/>
      </c>
      <c r="PS37">
        <f>IF($B37=0,1000000000,IF(INDEX('calcA'!$D$60:$EQ$99,$B37,40)*IF($W37=1,EO37+ABD37,EO37)=1,IF(AND($E37=2,IF($W37=1,AGS37,KD37)=0),1000000000,IF($V37=1,INDEX('calcA'!$D$130:$EQ$169,$B37,40)+IF(AND($E37=1,KD37=0),25,0),INDEX('calcA'!AQ$110:AQ$114,$F37+1)+IF(AND($E37=1,KD37=0),1000,0)+IF($H37=1,INDEX('calcA'!$D$180:$EQ$219,$B37,40)*500,0)-IF(AND('calcA'!AP$117=1,VN37&gt;0),300,0)-IF(AND($U37=1,'calcA'!AQ$117=1,EP37=0),300,0))),1000000000))</f>
        <v/>
      </c>
      <c r="PT37">
        <f>IF($B37=0,1000000000,IF(INDEX('calcA'!$D$60:$EQ$99,$B37,41)*IF($W37=1,EP37+ABE37,EP37)=1,IF(AND($E37=2,IF($W37=1,AGT37,KE37)=0),1000000000,IF($V37=1,INDEX('calcA'!$D$130:$EQ$169,$B37,41)+IF(AND($E37=1,KE37=0),25,0),INDEX('calcA'!AR$110:AR$114,$F37+1)+IF(AND($E37=1,KE37=0),1000,0)+IF($H37=1,INDEX('calcA'!$D$180:$EQ$219,$B37,41)*500,0)-IF(AND('calcA'!AQ$117=1,VO37&gt;0),300,0)-IF(AND($U37=1,'calcA'!AR$117=1,EQ37=0),300,0))),1000000000))</f>
        <v/>
      </c>
      <c r="PU37">
        <f>IF($B37=0,1000000000,IF(INDEX('calcA'!$D$60:$EQ$99,$B37,42)*IF($W37=1,EQ37+ABF37,EQ37)=1,IF(AND($E37=2,IF($W37=1,AGU37,KF37)=0),1000000000,IF($V37=1,INDEX('calcA'!$D$130:$EQ$169,$B37,42)+IF(AND($E37=1,KF37=0),25,0),INDEX('calcA'!AS$110:AS$114,$F37+1)+IF(AND($E37=1,KF37=0),1000,0)+IF($H37=1,INDEX('calcA'!$D$180:$EQ$219,$B37,42)*500,0)-IF(AND('calcA'!AR$117=1,VP37&gt;0),300,0)-IF(AND($U37=1,'calcA'!AS$117=1,ER37=0),300,0))),1000000000))</f>
        <v/>
      </c>
      <c r="PV37">
        <f>IF($B37=0,1000000000,IF(INDEX('calcA'!$D$60:$EQ$99,$B37,43)*IF($W37=1,ER37+ABG37,ER37)=1,IF(AND($E37=2,IF($W37=1,AGV37,KG37)=0),1000000000,IF($V37=1,INDEX('calcA'!$D$130:$EQ$169,$B37,43)+IF(AND($E37=1,KG37=0),25,0),INDEX('calcA'!AT$110:AT$114,$F37+1)+IF(AND($E37=1,KG37=0),1000,0)+IF($H37=1,INDEX('calcA'!$D$180:$EQ$219,$B37,43)*500,0)-IF(AND('calcA'!AS$117=1,VQ37&gt;0),300,0)-IF(AND($U37=1,'calcA'!AT$117=1,ES37=0),300,0))),1000000000))</f>
        <v/>
      </c>
      <c r="PW37">
        <f>IF($B37=0,1000000000,IF(INDEX('calcA'!$D$60:$EQ$99,$B37,44)*IF($W37=1,ES37+ABH37,ES37)=1,IF(AND($E37=2,IF($W37=1,AGW37,KH37)=0),1000000000,IF($V37=1,INDEX('calcA'!$D$130:$EQ$169,$B37,44)+IF(AND($E37=1,KH37=0),25,0),INDEX('calcA'!AU$110:AU$114,$F37+1)+IF(AND($E37=1,KH37=0),1000,0)+IF($H37=1,INDEX('calcA'!$D$180:$EQ$219,$B37,44)*500,0)-IF(AND('calcA'!AT$117=1,VR37&gt;0),300,0)-IF(AND($U37=1,'calcA'!AU$117=1,ET37=0),300,0))),1000000000))</f>
        <v/>
      </c>
      <c r="PX37">
        <f>IF($B37=0,1000000000,IF(INDEX('calcA'!$D$60:$EQ$99,$B37,45)*IF($W37=1,ET37+ABI37,ET37)=1,IF(AND($E37=2,IF($W37=1,AGX37,KI37)=0),1000000000,IF($V37=1,INDEX('calcA'!$D$130:$EQ$169,$B37,45)+IF(AND($E37=1,KI37=0),25,0),INDEX('calcA'!AV$110:AV$114,$F37+1)+IF(AND($E37=1,KI37=0),1000,0)+IF($H37=1,INDEX('calcA'!$D$180:$EQ$219,$B37,45)*500,0)-IF(AND('calcA'!AU$117=1,VS37&gt;0),300,0)-IF(AND($U37=1,'calcA'!AV$117=1,EU37=0),300,0))),1000000000))</f>
        <v/>
      </c>
      <c r="PY37">
        <f>IF($B37=0,1000000000,IF(INDEX('calcA'!$D$60:$EQ$99,$B37,46)*IF($W37=1,EU37+ABJ37,EU37)=1,IF(AND($E37=2,IF($W37=1,AGY37,KJ37)=0),1000000000,IF($V37=1,INDEX('calcA'!$D$130:$EQ$169,$B37,46)+IF(AND($E37=1,KJ37=0),25,0),INDEX('calcA'!AW$110:AW$114,$F37+1)+IF(AND($E37=1,KJ37=0),1000,0)+IF($H37=1,INDEX('calcA'!$D$180:$EQ$219,$B37,46)*500,0)-IF(AND('calcA'!AV$117=1,VT37&gt;0),300,0)-IF(AND($U37=1,'calcA'!AW$117=1,EV37=0),300,0))),1000000000))</f>
        <v/>
      </c>
      <c r="PZ37">
        <f>IF($B37=0,1000000000,IF(INDEX('calcA'!$D$60:$EQ$99,$B37,47)*IF($W37=1,EV37+ABK37,EV37)=1,IF(AND($E37=2,IF($W37=1,AGZ37,KK37)=0),1000000000,IF($V37=1,INDEX('calcA'!$D$130:$EQ$169,$B37,47)+IF(AND($E37=1,KK37=0),25,0),INDEX('calcA'!AX$110:AX$114,$F37+1)+IF(AND($E37=1,KK37=0),1000,0)+IF($H37=1,INDEX('calcA'!$D$180:$EQ$219,$B37,47)*500,0)-IF(AND('calcA'!AW$117=1,VU37&gt;0),300,0)-IF(AND($U37=1,'calcA'!AX$117=1,EW37=0),300,0))),1000000000))</f>
        <v/>
      </c>
      <c r="QA37">
        <f>IF($B37=0,1000000000,IF(INDEX('calcA'!$D$60:$EQ$99,$B37,48)*IF($W37=1,EW37+ABL37,EW37)=1,IF(AND($E37=2,IF($W37=1,AHA37,KL37)=0),1000000000,IF($V37=1,INDEX('calcA'!$D$130:$EQ$169,$B37,48)+IF(AND($E37=1,KL37=0),25,0),INDEX('calcA'!AY$110:AY$114,$F37+1)+IF(AND($E37=1,KL37=0),1000,0)+IF($H37=1,INDEX('calcA'!$D$180:$EQ$219,$B37,48)*500,0)-IF(AND('calcA'!AX$117=1,VV37&gt;0),300,0))),1000000000))</f>
        <v/>
      </c>
      <c r="QB37">
        <f>IF($B37=0,1000000000,IF(INDEX('calcA'!$D$60:$EQ$99,$B37,49)*IF($W37=1,EX37+ABM37,EX37)=1,IF(AND($E37=2,IF($W37=1,AHB37,KM37)=0),1000000000,IF($V37=1,INDEX('calcA'!$D$130:$EQ$169,$B37,49)+IF(AND($E37=1,KM37=0),25,0),INDEX('calcA'!AZ$110:AZ$114,$F37+1)+IF(AND($E37=1,KM37=0),1000,0)+IF($H37=1,INDEX('calcA'!$D$180:$EQ$219,$B37,49)*500,0)-IF(AND($U37=1,'calcA'!AZ$117=1,EY37=0),300,0))),1000000000))</f>
        <v/>
      </c>
      <c r="QC37">
        <f>IF($B37=0,1000000000,IF(INDEX('calcA'!$D$60:$EQ$99,$B37,50)*IF($W37=1,EY37+ABN37,EY37)=1,IF(AND($E37=2,IF($W37=1,AHC37,KN37)=0),1000000000,IF($V37=1,INDEX('calcA'!$D$130:$EQ$169,$B37,50)+IF(AND($E37=1,KN37=0),25,0),INDEX('calcA'!BA$110:BA$114,$F37+1)+IF(AND($E37=1,KN37=0),1000,0)+IF($H37=1,INDEX('calcA'!$D$180:$EQ$219,$B37,50)*500,0)-IF(AND('calcA'!AZ$117=1,VX37&gt;0),300,0)-IF(AND($U37=1,'calcA'!BA$117=1,EZ37=0),300,0))),1000000000))</f>
        <v/>
      </c>
      <c r="QD37">
        <f>IF($B37=0,1000000000,IF(INDEX('calcA'!$D$60:$EQ$99,$B37,51)*IF($W37=1,EZ37+ABO37,EZ37)=1,IF(AND($E37=2,IF($W37=1,AHD37,KO37)=0),1000000000,IF($V37=1,INDEX('calcA'!$D$130:$EQ$169,$B37,51)+IF(AND($E37=1,KO37=0),25,0),INDEX('calcA'!BB$110:BB$114,$F37+1)+IF(AND($E37=1,KO37=0),1000,0)+IF($H37=1,INDEX('calcA'!$D$180:$EQ$219,$B37,51)*500,0)-IF(AND('calcA'!BA$117=1,VY37&gt;0),300,0)-IF(AND($U37=1,'calcA'!BB$117=1,FA37=0),300,0))),1000000000))</f>
        <v/>
      </c>
      <c r="QE37">
        <f>IF($B37=0,1000000000,IF(INDEX('calcA'!$D$60:$EQ$99,$B37,52)*IF($W37=1,FA37+ABP37,FA37)=1,IF(AND($E37=2,IF($W37=1,AHE37,KP37)=0),1000000000,IF($V37=1,INDEX('calcA'!$D$130:$EQ$169,$B37,52)+IF(AND($E37=1,KP37=0),25,0),INDEX('calcA'!BC$110:BC$114,$F37+1)+IF(AND($E37=1,KP37=0),1000,0)+IF($H37=1,INDEX('calcA'!$D$180:$EQ$219,$B37,52)*500,0)-IF(AND('calcA'!BB$117=1,VZ37&gt;0),300,0)-IF(AND($U37=1,'calcA'!BC$117=1,FB37=0),300,0))),1000000000))</f>
        <v/>
      </c>
      <c r="QF37">
        <f>IF($B37=0,1000000000,IF(INDEX('calcA'!$D$60:$EQ$99,$B37,53)*IF($W37=1,FB37+ABQ37,FB37)=1,IF(AND($E37=2,IF($W37=1,AHF37,KQ37)=0),1000000000,IF($V37=1,INDEX('calcA'!$D$130:$EQ$169,$B37,53)+IF(AND($E37=1,KQ37=0),25,0),INDEX('calcA'!BD$110:BD$114,$F37+1)+IF(AND($E37=1,KQ37=0),1000,0)+IF($H37=1,INDEX('calcA'!$D$180:$EQ$219,$B37,53)*500,0)-IF(AND('calcA'!BC$117=1,WA37&gt;0),300,0)-IF(AND($U37=1,'calcA'!BD$117=1,FC37=0),300,0))),1000000000))</f>
        <v/>
      </c>
      <c r="QG37">
        <f>IF($B37=0,1000000000,IF(INDEX('calcA'!$D$60:$EQ$99,$B37,54)*IF($W37=1,FC37+ABR37,FC37)=1,IF(AND($E37=2,IF($W37=1,AHG37,KR37)=0),1000000000,IF($V37=1,INDEX('calcA'!$D$130:$EQ$169,$B37,54)+IF(AND($E37=1,KR37=0),25,0),INDEX('calcA'!BE$110:BE$114,$F37+1)+IF(AND($E37=1,KR37=0),1000,0)+IF($H37=1,INDEX('calcA'!$D$180:$EQ$219,$B37,54)*500,0)-IF(AND('calcA'!BD$117=1,WB37&gt;0),300,0)-IF(AND($U37=1,'calcA'!BE$117=1,FD37=0),300,0))),1000000000))</f>
        <v/>
      </c>
      <c r="QH37">
        <f>IF($B37=0,1000000000,IF(INDEX('calcA'!$D$60:$EQ$99,$B37,55)*IF($W37=1,FD37+ABS37,FD37)=1,IF(AND($E37=2,IF($W37=1,AHH37,KS37)=0),1000000000,IF($V37=1,INDEX('calcA'!$D$130:$EQ$169,$B37,55)+IF(AND($E37=1,KS37=0),25,0),INDEX('calcA'!BF$110:BF$114,$F37+1)+IF(AND($E37=1,KS37=0),1000,0)+IF($H37=1,INDEX('calcA'!$D$180:$EQ$219,$B37,55)*500,0)-IF(AND('calcA'!BE$117=1,WC37&gt;0),300,0)-IF(AND($U37=1,'calcA'!BF$117=1,FE37=0),300,0))),1000000000))</f>
        <v/>
      </c>
      <c r="QI37">
        <f>IF($B37=0,1000000000,IF(INDEX('calcA'!$D$60:$EQ$99,$B37,56)*IF($W37=1,FE37+ABT37,FE37)=1,IF(AND($E37=2,IF($W37=1,AHI37,KT37)=0),1000000000,IF($V37=1,INDEX('calcA'!$D$130:$EQ$169,$B37,56)+IF(AND($E37=1,KT37=0),25,0),INDEX('calcA'!BG$110:BG$114,$F37+1)+IF(AND($E37=1,KT37=0),1000,0)+IF($H37=1,INDEX('calcA'!$D$180:$EQ$219,$B37,56)*500,0)-IF(AND('calcA'!BF$117=1,WD37&gt;0),300,0)-IF(AND($U37=1,'calcA'!BG$117=1,FF37=0),300,0))),1000000000))</f>
        <v/>
      </c>
      <c r="QJ37">
        <f>IF($B37=0,1000000000,IF(INDEX('calcA'!$D$60:$EQ$99,$B37,57)*IF($W37=1,FF37+ABU37,FF37)=1,IF(AND($E37=2,IF($W37=1,AHJ37,KU37)=0),1000000000,IF($V37=1,INDEX('calcA'!$D$130:$EQ$169,$B37,57)+IF(AND($E37=1,KU37=0),25,0),INDEX('calcA'!BH$110:BH$114,$F37+1)+IF(AND($E37=1,KU37=0),1000,0)+IF($H37=1,INDEX('calcA'!$D$180:$EQ$219,$B37,57)*500,0)-IF(AND('calcA'!BG$117=1,WE37&gt;0),300,0)-IF(AND($U37=1,'calcA'!BH$117=1,FG37=0),300,0))),1000000000))</f>
        <v/>
      </c>
      <c r="QK37">
        <f>IF($B37=0,1000000000,IF(INDEX('calcA'!$D$60:$EQ$99,$B37,58)*IF($W37=1,FG37+ABV37,FG37)=1,IF(AND($E37=2,IF($W37=1,AHK37,KV37)=0),1000000000,IF($V37=1,INDEX('calcA'!$D$130:$EQ$169,$B37,58)+IF(AND($E37=1,KV37=0),25,0),INDEX('calcA'!BI$110:BI$114,$F37+1)+IF(AND($E37=1,KV37=0),1000,0)+IF($H37=1,INDEX('calcA'!$D$180:$EQ$219,$B37,58)*500,0)-IF(AND('calcA'!BH$117=1,WF37&gt;0),300,0)-IF(AND($U37=1,'calcA'!BI$117=1,FH37=0),300,0))),1000000000))</f>
        <v/>
      </c>
      <c r="QL37">
        <f>IF($B37=0,1000000000,IF(INDEX('calcA'!$D$60:$EQ$99,$B37,59)*IF($W37=1,FH37+ABW37,FH37)=1,IF(AND($E37=2,IF($W37=1,AHL37,KW37)=0),1000000000,IF($V37=1,INDEX('calcA'!$D$130:$EQ$169,$B37,59)+IF(AND($E37=1,KW37=0),25,0),INDEX('calcA'!BJ$110:BJ$114,$F37+1)+IF(AND($E37=1,KW37=0),1000,0)+IF($H37=1,INDEX('calcA'!$D$180:$EQ$219,$B37,59)*500,0)-IF(AND('calcA'!BI$117=1,WG37&gt;0),300,0)-IF(AND($U37=1,'calcA'!BJ$117=1,FI37=0),300,0))),1000000000))</f>
        <v/>
      </c>
      <c r="QM37">
        <f>IF($B37=0,1000000000,IF(INDEX('calcA'!$D$60:$EQ$99,$B37,60)*IF($W37=1,FI37+ABX37,FI37)=1,IF(AND($E37=2,IF($W37=1,AHM37,KX37)=0),1000000000,IF($V37=1,INDEX('calcA'!$D$130:$EQ$169,$B37,60)+IF(AND($E37=1,KX37=0),25,0),INDEX('calcA'!BK$110:BK$114,$F37+1)+IF(AND($E37=1,KX37=0),1000,0)+IF($H37=1,INDEX('calcA'!$D$180:$EQ$219,$B37,60)*500,0)-IF(AND('calcA'!BJ$117=1,WH37&gt;0),300,0)-IF(AND($U37=1,'calcA'!BK$117=1,FJ37=0),300,0))),1000000000))</f>
        <v/>
      </c>
      <c r="QN37">
        <f>IF($B37=0,1000000000,IF(INDEX('calcA'!$D$60:$EQ$99,$B37,61)*IF($W37=1,FJ37+ABY37,FJ37)=1,IF(AND($E37=2,IF($W37=1,AHN37,KY37)=0),1000000000,IF($V37=1,INDEX('calcA'!$D$130:$EQ$169,$B37,61)+IF(AND($E37=1,KY37=0),25,0),INDEX('calcA'!BL$110:BL$114,$F37+1)+IF(AND($E37=1,KY37=0),1000,0)+IF($H37=1,INDEX('calcA'!$D$180:$EQ$219,$B37,61)*500,0)-IF(AND('calcA'!BK$117=1,WI37&gt;0),300,0)-IF(AND($U37=1,'calcA'!BL$117=1,FK37=0),300,0))),1000000000))</f>
        <v/>
      </c>
      <c r="QO37">
        <f>IF($B37=0,1000000000,IF(INDEX('calcA'!$D$60:$EQ$99,$B37,62)*IF($W37=1,FK37+ABZ37,FK37)=1,IF(AND($E37=2,IF($W37=1,AHO37,KZ37)=0),1000000000,IF($V37=1,INDEX('calcA'!$D$130:$EQ$169,$B37,62)+IF(AND($E37=1,KZ37=0),25,0),INDEX('calcA'!BM$110:BM$114,$F37+1)+IF(AND($E37=1,KZ37=0),1000,0)+IF($H37=1,INDEX('calcA'!$D$180:$EQ$219,$B37,62)*500,0)-IF(AND('calcA'!BL$117=1,WJ37&gt;0),300,0)-IF(AND($U37=1,'calcA'!BM$117=1,FL37=0),300,0))),1000000000))</f>
        <v/>
      </c>
      <c r="QP37">
        <f>IF($B37=0,1000000000,IF(INDEX('calcA'!$D$60:$EQ$99,$B37,63)*IF($W37=1,FL37+ACA37,FL37)=1,IF(AND($E37=2,IF($W37=1,AHP37,LA37)=0),1000000000,IF($V37=1,INDEX('calcA'!$D$130:$EQ$169,$B37,63)+IF(AND($E37=1,LA37=0),25,0),INDEX('calcA'!BN$110:BN$114,$F37+1)+IF(AND($E37=1,LA37=0),1000,0)+IF($H37=1,INDEX('calcA'!$D$180:$EQ$219,$B37,63)*500,0)-IF(AND('calcA'!BM$117=1,WK37&gt;0),300,0)-IF(AND($U37=1,'calcA'!BN$117=1,FM37=0),300,0))),1000000000))</f>
        <v/>
      </c>
      <c r="QQ37">
        <f>IF($B37=0,1000000000,IF(INDEX('calcA'!$D$60:$EQ$99,$B37,64)*IF($W37=1,FM37+ACB37,FM37)=1,IF(AND($E37=2,IF($W37=1,AHQ37,LB37)=0),1000000000,IF($V37=1,INDEX('calcA'!$D$130:$EQ$169,$B37,64)+IF(AND($E37=1,LB37=0),25,0),INDEX('calcA'!BO$110:BO$114,$F37+1)+IF(AND($E37=1,LB37=0),1000,0)+IF($H37=1,INDEX('calcA'!$D$180:$EQ$219,$B37,64)*500,0)-IF(AND('calcA'!BN$117=1,WL37&gt;0),300,0)-IF(AND($U37=1,'calcA'!BO$117=1,FN37=0),300,0))),1000000000))</f>
        <v/>
      </c>
      <c r="QR37">
        <f>IF($B37=0,1000000000,IF(INDEX('calcA'!$D$60:$EQ$99,$B37,65)*IF($W37=1,FN37+ACC37,FN37)=1,IF(AND($E37=2,IF($W37=1,AHR37,LC37)=0),1000000000,IF($V37=1,INDEX('calcA'!$D$130:$EQ$169,$B37,65)+IF(AND($E37=1,LC37=0),25,0),INDEX('calcA'!BP$110:BP$114,$F37+1)+IF(AND($E37=1,LC37=0),1000,0)+IF($H37=1,INDEX('calcA'!$D$180:$EQ$219,$B37,65)*500,0)-IF(AND('calcA'!BO$117=1,WM37&gt;0),300,0)-IF(AND($U37=1,'calcA'!BP$117=1,FO37=0),300,0))),1000000000))</f>
        <v/>
      </c>
      <c r="QS37">
        <f>IF($B37=0,1000000000,IF(INDEX('calcA'!$D$60:$EQ$99,$B37,66)*IF($W37=1,FO37+ACD37,FO37)=1,IF(AND($E37=2,IF($W37=1,AHS37,LD37)=0),1000000000,IF($V37=1,INDEX('calcA'!$D$130:$EQ$169,$B37,66)+IF(AND($E37=1,LD37=0),25,0),INDEX('calcA'!BQ$110:BQ$114,$F37+1)+IF(AND($E37=1,LD37=0),1000,0)+IF($H37=1,INDEX('calcA'!$D$180:$EQ$219,$B37,66)*500,0)-IF(AND('calcA'!BP$117=1,WN37&gt;0),300,0)-IF(AND($U37=1,'calcA'!BQ$117=1,FP37=0),300,0))),1000000000))</f>
        <v/>
      </c>
      <c r="QT37">
        <f>IF($B37=0,1000000000,IF(INDEX('calcA'!$D$60:$EQ$99,$B37,67)*IF($W37=1,FP37+ACE37,FP37)=1,IF(AND($E37=2,IF($W37=1,AHT37,LE37)=0),1000000000,IF($V37=1,INDEX('calcA'!$D$130:$EQ$169,$B37,67)+IF(AND($E37=1,LE37=0),25,0),INDEX('calcA'!BR$110:BR$114,$F37+1)+IF(AND($E37=1,LE37=0),1000,0)+IF($H37=1,INDEX('calcA'!$D$180:$EQ$219,$B37,67)*500,0)-IF(AND('calcA'!BQ$117=1,WO37&gt;0),300,0)-IF(AND($U37=1,'calcA'!BR$117=1,FQ37=0),300,0))),1000000000))</f>
        <v/>
      </c>
      <c r="QU37">
        <f>IF($B37=0,1000000000,IF(INDEX('calcA'!$D$60:$EQ$99,$B37,68)*IF($W37=1,FQ37+ACF37,FQ37)=1,IF(AND($E37=2,IF($W37=1,AHU37,LF37)=0),1000000000,IF($V37=1,INDEX('calcA'!$D$130:$EQ$169,$B37,68)+IF(AND($E37=1,LF37=0),25,0),INDEX('calcA'!BS$110:BS$114,$F37+1)+IF(AND($E37=1,LF37=0),1000,0)+IF($H37=1,INDEX('calcA'!$D$180:$EQ$219,$B37,68)*500,0)-IF(AND('calcA'!BR$117=1,WP37&gt;0),300,0)-IF(AND($U37=1,'calcA'!BS$117=1,FR37=0),300,0))),1000000000))</f>
        <v/>
      </c>
      <c r="QV37">
        <f>IF($B37=0,1000000000,IF(INDEX('calcA'!$D$60:$EQ$99,$B37,69)*IF($W37=1,FR37+ACG37,FR37)=1,IF(AND($E37=2,IF($W37=1,AHV37,LG37)=0),1000000000,IF($V37=1,INDEX('calcA'!$D$130:$EQ$169,$B37,69)+IF(AND($E37=1,LG37=0),25,0),INDEX('calcA'!BT$110:BT$114,$F37+1)+IF(AND($E37=1,LG37=0),1000,0)+IF($H37=1,INDEX('calcA'!$D$180:$EQ$219,$B37,69)*500,0)-IF(AND('calcA'!BS$117=1,WQ37&gt;0),300,0)-IF(AND($U37=1,'calcA'!BT$117=1,FS37=0),300,0))),1000000000))</f>
        <v/>
      </c>
      <c r="QW37">
        <f>IF($B37=0,1000000000,IF(INDEX('calcA'!$D$60:$EQ$99,$B37,70)*IF($W37=1,FS37+ACH37,FS37)=1,IF(AND($E37=2,IF($W37=1,AHW37,LH37)=0),1000000000,IF($V37=1,INDEX('calcA'!$D$130:$EQ$169,$B37,70)+IF(AND($E37=1,LH37=0),25,0),INDEX('calcA'!BU$110:BU$114,$F37+1)+IF(AND($E37=1,LH37=0),1000,0)+IF($H37=1,INDEX('calcA'!$D$180:$EQ$219,$B37,70)*500,0)-IF(AND('calcA'!BT$117=1,WR37&gt;0),300,0)-IF(AND($U37=1,'calcA'!BU$117=1,FT37=0),300,0))),1000000000))</f>
        <v/>
      </c>
      <c r="QX37">
        <f>IF($B37=0,1000000000,IF(INDEX('calcA'!$D$60:$EQ$99,$B37,71)*IF($W37=1,FT37+ACI37,FT37)=1,IF(AND($E37=2,IF($W37=1,AHX37,LI37)=0),1000000000,IF($V37=1,INDEX('calcA'!$D$130:$EQ$169,$B37,71)+IF(AND($E37=1,LI37=0),25,0),INDEX('calcA'!BV$110:BV$114,$F37+1)+IF(AND($E37=1,LI37=0),1000,0)+IF($H37=1,INDEX('calcA'!$D$180:$EQ$219,$B37,71)*500,0)-IF(AND('calcA'!BU$117=1,WS37&gt;0),300,0)-IF(AND($U37=1,'calcA'!BV$117=1,FU37=0),300,0))),1000000000))</f>
        <v/>
      </c>
      <c r="QY37">
        <f>IF($B37=0,1000000000,IF(INDEX('calcA'!$D$60:$EQ$99,$B37,72)*IF($W37=1,FU37+ACJ37,FU37)=1,IF(AND($E37=2,IF($W37=1,AHY37,LJ37)=0),1000000000,IF($V37=1,INDEX('calcA'!$D$130:$EQ$169,$B37,72)+IF(AND($E37=1,LJ37=0),25,0),INDEX('calcA'!BW$110:BW$114,$F37+1)+IF(AND($E37=1,LJ37=0),1000,0)+IF($H37=1,INDEX('calcA'!$D$180:$EQ$219,$B37,72)*500,0)-IF(AND('calcA'!BV$117=1,WT37&gt;0),300,0))),1000000000))</f>
        <v/>
      </c>
      <c r="QZ37">
        <f>IF($B37=0,1000000000,IF(INDEX('calcA'!$D$60:$EQ$99,$B37,73)*IF($W37=1,FV37+ACK37,FV37)=1,IF(AND($E37=2,IF($W37=1,AHZ37,LK37)=0),1000000000,IF($V37=1,INDEX('calcA'!$D$130:$EQ$169,$B37,73)+IF(AND($E37=1,LK37=0),25,0),INDEX('calcA'!BX$110:BX$114,$F37+1)+IF(AND($E37=1,LK37=0),1000,0)+IF($H37=1,INDEX('calcA'!$D$180:$EQ$219,$B37,73)*500,0)-IF(AND($U37=1,'calcA'!BX$117=1,FW37=0),300,0))),1000000000))</f>
        <v/>
      </c>
      <c r="RA37">
        <f>IF($B37=0,1000000000,IF(INDEX('calcA'!$D$60:$EQ$99,$B37,74)*IF($W37=1,FW37+ACL37,FW37)=1,IF(AND($E37=2,IF($W37=1,AIA37,LL37)=0),1000000000,IF($V37=1,INDEX('calcA'!$D$130:$EQ$169,$B37,74)+IF(AND($E37=1,LL37=0),25,0),INDEX('calcA'!BY$110:BY$114,$F37+1)+IF(AND($E37=1,LL37=0),1000,0)+IF($H37=1,INDEX('calcA'!$D$180:$EQ$219,$B37,74)*500,0)-IF(AND('calcA'!BX$117=1,WV37&gt;0),300,0)-IF(AND($U37=1,'calcA'!BY$117=1,FX37=0),300,0))),1000000000))</f>
        <v/>
      </c>
      <c r="RB37">
        <f>IF($B37=0,1000000000,IF(INDEX('calcA'!$D$60:$EQ$99,$B37,75)*IF($W37=1,FX37+ACM37,FX37)=1,IF(AND($E37=2,IF($W37=1,AIB37,LM37)=0),1000000000,IF($V37=1,INDEX('calcA'!$D$130:$EQ$169,$B37,75)+IF(AND($E37=1,LM37=0),25,0),INDEX('calcA'!BZ$110:BZ$114,$F37+1)+IF(AND($E37=1,LM37=0),1000,0)+IF($H37=1,INDEX('calcA'!$D$180:$EQ$219,$B37,75)*500,0)-IF(AND('calcA'!BY$117=1,WW37&gt;0),300,0)-IF(AND($U37=1,'calcA'!BZ$117=1,FY37=0),300,0))),1000000000))</f>
        <v/>
      </c>
      <c r="RC37">
        <f>IF($B37=0,1000000000,IF(INDEX('calcA'!$D$60:$EQ$99,$B37,76)*IF($W37=1,FY37+ACN37,FY37)=1,IF(AND($E37=2,IF($W37=1,AIC37,LN37)=0),1000000000,IF($V37=1,INDEX('calcA'!$D$130:$EQ$169,$B37,76)+IF(AND($E37=1,LN37=0),25,0),INDEX('calcA'!CA$110:CA$114,$F37+1)+IF(AND($E37=1,LN37=0),1000,0)+IF($H37=1,INDEX('calcA'!$D$180:$EQ$219,$B37,76)*500,0)-IF(AND('calcA'!BZ$117=1,WX37&gt;0),300,0)-IF(AND($U37=1,'calcA'!CA$117=1,FZ37=0),300,0))),1000000000))</f>
        <v/>
      </c>
      <c r="RD37">
        <f>IF($B37=0,1000000000,IF(INDEX('calcA'!$D$60:$EQ$99,$B37,77)*IF($W37=1,FZ37+ACO37,FZ37)=1,IF(AND($E37=2,IF($W37=1,AID37,LO37)=0),1000000000,IF($V37=1,INDEX('calcA'!$D$130:$EQ$169,$B37,77)+IF(AND($E37=1,LO37=0),25,0),INDEX('calcA'!CB$110:CB$114,$F37+1)+IF(AND($E37=1,LO37=0),1000,0)+IF($H37=1,INDEX('calcA'!$D$180:$EQ$219,$B37,77)*500,0)-IF(AND('calcA'!CA$117=1,WY37&gt;0),300,0)-IF(AND($U37=1,'calcA'!CB$117=1,GA37=0),300,0))),1000000000))</f>
        <v/>
      </c>
      <c r="RE37">
        <f>IF($B37=0,1000000000,IF(INDEX('calcA'!$D$60:$EQ$99,$B37,78)*IF($W37=1,GA37+ACP37,GA37)=1,IF(AND($E37=2,IF($W37=1,AIE37,LP37)=0),1000000000,IF($V37=1,INDEX('calcA'!$D$130:$EQ$169,$B37,78)+IF(AND($E37=1,LP37=0),25,0),INDEX('calcA'!CC$110:CC$114,$F37+1)+IF(AND($E37=1,LP37=0),1000,0)+IF($H37=1,INDEX('calcA'!$D$180:$EQ$219,$B37,78)*500,0)-IF(AND('calcA'!CB$117=1,WZ37&gt;0),300,0)-IF(AND($U37=1,'calcA'!CC$117=1,GB37=0),300,0))),1000000000))</f>
        <v/>
      </c>
      <c r="RF37">
        <f>IF($B37=0,1000000000,IF(INDEX('calcA'!$D$60:$EQ$99,$B37,79)*IF($W37=1,GB37+ACQ37,GB37)=1,IF(AND($E37=2,IF($W37=1,AIF37,LQ37)=0),1000000000,IF($V37=1,INDEX('calcA'!$D$130:$EQ$169,$B37,79)+IF(AND($E37=1,LQ37=0),25,0),INDEX('calcA'!CD$110:CD$114,$F37+1)+IF(AND($E37=1,LQ37=0),1000,0)+IF($H37=1,INDEX('calcA'!$D$180:$EQ$219,$B37,79)*500,0)-IF(AND('calcA'!CC$117=1,XA37&gt;0),300,0)-IF(AND($U37=1,'calcA'!CD$117=1,GC37=0),300,0))),1000000000))</f>
        <v/>
      </c>
      <c r="RG37">
        <f>IF($B37=0,1000000000,IF(INDEX('calcA'!$D$60:$EQ$99,$B37,80)*IF($W37=1,GC37+ACR37,GC37)=1,IF(AND($E37=2,IF($W37=1,AIG37,LR37)=0),1000000000,IF($V37=1,INDEX('calcA'!$D$130:$EQ$169,$B37,80)+IF(AND($E37=1,LR37=0),25,0),INDEX('calcA'!CE$110:CE$114,$F37+1)+IF(AND($E37=1,LR37=0),1000,0)+IF($H37=1,INDEX('calcA'!$D$180:$EQ$219,$B37,80)*500,0)-IF(AND('calcA'!CD$117=1,XB37&gt;0),300,0)-IF(AND($U37=1,'calcA'!CE$117=1,GD37=0),300,0))),1000000000))</f>
        <v/>
      </c>
      <c r="RH37">
        <f>IF($B37=0,1000000000,IF(INDEX('calcA'!$D$60:$EQ$99,$B37,81)*IF($W37=1,GD37+ACS37,GD37)=1,IF(AND($E37=2,IF($W37=1,AIH37,LS37)=0),1000000000,IF($V37=1,INDEX('calcA'!$D$130:$EQ$169,$B37,81)+IF(AND($E37=1,LS37=0),25,0),INDEX('calcA'!CF$110:CF$114,$F37+1)+IF(AND($E37=1,LS37=0),1000,0)+IF($H37=1,INDEX('calcA'!$D$180:$EQ$219,$B37,81)*500,0)-IF(AND('calcA'!CE$117=1,XC37&gt;0),300,0)-IF(AND($U37=1,'calcA'!CF$117=1,GE37=0),300,0))),1000000000))</f>
        <v/>
      </c>
      <c r="RI37">
        <f>IF($B37=0,1000000000,IF(INDEX('calcA'!$D$60:$EQ$99,$B37,82)*IF($W37=1,GE37+ACT37,GE37)=1,IF(AND($E37=2,IF($W37=1,AII37,LT37)=0),1000000000,IF($V37=1,INDEX('calcA'!$D$130:$EQ$169,$B37,82)+IF(AND($E37=1,LT37=0),25,0),INDEX('calcA'!CG$110:CG$114,$F37+1)+IF(AND($E37=1,LT37=0),1000,0)+IF($H37=1,INDEX('calcA'!$D$180:$EQ$219,$B37,82)*500,0)-IF(AND('calcA'!CF$117=1,XD37&gt;0),300,0)-IF(AND($U37=1,'calcA'!CG$117=1,GF37=0),300,0))),1000000000))</f>
        <v/>
      </c>
      <c r="RJ37">
        <f>IF($B37=0,1000000000,IF(INDEX('calcA'!$D$60:$EQ$99,$B37,83)*IF($W37=1,GF37+ACU37,GF37)=1,IF(AND($E37=2,IF($W37=1,AIJ37,LU37)=0),1000000000,IF($V37=1,INDEX('calcA'!$D$130:$EQ$169,$B37,83)+IF(AND($E37=1,LU37=0),25,0),INDEX('calcA'!CH$110:CH$114,$F37+1)+IF(AND($E37=1,LU37=0),1000,0)+IF($H37=1,INDEX('calcA'!$D$180:$EQ$219,$B37,83)*500,0)-IF(AND('calcA'!CG$117=1,XE37&gt;0),300,0)-IF(AND($U37=1,'calcA'!CH$117=1,GG37=0),300,0))),1000000000))</f>
        <v/>
      </c>
      <c r="RK37">
        <f>IF($B37=0,1000000000,IF(INDEX('calcA'!$D$60:$EQ$99,$B37,84)*IF($W37=1,GG37+ACV37,GG37)=1,IF(AND($E37=2,IF($W37=1,AIK37,LV37)=0),1000000000,IF($V37=1,INDEX('calcA'!$D$130:$EQ$169,$B37,84)+IF(AND($E37=1,LV37=0),25,0),INDEX('calcA'!CI$110:CI$114,$F37+1)+IF(AND($E37=1,LV37=0),1000,0)+IF($H37=1,INDEX('calcA'!$D$180:$EQ$219,$B37,84)*500,0)-IF(AND('calcA'!CH$117=1,XF37&gt;0),300,0)-IF(AND($U37=1,'calcA'!CI$117=1,GH37=0),300,0))),1000000000))</f>
        <v/>
      </c>
      <c r="RL37">
        <f>IF($B37=0,1000000000,IF(INDEX('calcA'!$D$60:$EQ$99,$B37,85)*IF($W37=1,GH37+ACW37,GH37)=1,IF(AND($E37=2,IF($W37=1,AIL37,LW37)=0),1000000000,IF($V37=1,INDEX('calcA'!$D$130:$EQ$169,$B37,85)+IF(AND($E37=1,LW37=0),25,0),INDEX('calcA'!CJ$110:CJ$114,$F37+1)+IF(AND($E37=1,LW37=0),1000,0)+IF($H37=1,INDEX('calcA'!$D$180:$EQ$219,$B37,85)*500,0)-IF(AND('calcA'!CI$117=1,XG37&gt;0),300,0)-IF(AND($U37=1,'calcA'!CJ$117=1,GI37=0),300,0))),1000000000))</f>
        <v/>
      </c>
      <c r="RM37">
        <f>IF($B37=0,1000000000,IF(INDEX('calcA'!$D$60:$EQ$99,$B37,86)*IF($W37=1,GI37+ACX37,GI37)=1,IF(AND($E37=2,IF($W37=1,AIM37,LX37)=0),1000000000,IF($V37=1,INDEX('calcA'!$D$130:$EQ$169,$B37,86)+IF(AND($E37=1,LX37=0),25,0),INDEX('calcA'!CK$110:CK$114,$F37+1)+IF(AND($E37=1,LX37=0),1000,0)+IF($H37=1,INDEX('calcA'!$D$180:$EQ$219,$B37,86)*500,0)-IF(AND('calcA'!CJ$117=1,XH37&gt;0),300,0)-IF(AND($U37=1,'calcA'!CK$117=1,GJ37=0),300,0))),1000000000))</f>
        <v/>
      </c>
      <c r="RN37">
        <f>IF($B37=0,1000000000,IF(INDEX('calcA'!$D$60:$EQ$99,$B37,87)*IF($W37=1,GJ37+ACY37,GJ37)=1,IF(AND($E37=2,IF($W37=1,AIN37,LY37)=0),1000000000,IF($V37=1,INDEX('calcA'!$D$130:$EQ$169,$B37,87)+IF(AND($E37=1,LY37=0),25,0),INDEX('calcA'!CL$110:CL$114,$F37+1)+IF(AND($E37=1,LY37=0),1000,0)+IF($H37=1,INDEX('calcA'!$D$180:$EQ$219,$B37,87)*500,0)-IF(AND('calcA'!CK$117=1,XI37&gt;0),300,0)-IF(AND($U37=1,'calcA'!CL$117=1,GK37=0),300,0))),1000000000))</f>
        <v/>
      </c>
      <c r="RO37">
        <f>IF($B37=0,1000000000,IF(INDEX('calcA'!$D$60:$EQ$99,$B37,88)*IF($W37=1,GK37+ACZ37,GK37)=1,IF(AND($E37=2,IF($W37=1,AIO37,LZ37)=0),1000000000,IF($V37=1,INDEX('calcA'!$D$130:$EQ$169,$B37,88)+IF(AND($E37=1,LZ37=0),25,0),INDEX('calcA'!CM$110:CM$114,$F37+1)+IF(AND($E37=1,LZ37=0),1000,0)+IF($H37=1,INDEX('calcA'!$D$180:$EQ$219,$B37,88)*500,0)-IF(AND('calcA'!CL$117=1,XJ37&gt;0),300,0)-IF(AND($U37=1,'calcA'!CM$117=1,GL37=0),300,0))),1000000000))</f>
        <v/>
      </c>
      <c r="RP37">
        <f>IF($B37=0,1000000000,IF(INDEX('calcA'!$D$60:$EQ$99,$B37,89)*IF($W37=1,GL37+ADA37,GL37)=1,IF(AND($E37=2,IF($W37=1,AIP37,MA37)=0),1000000000,IF($V37=1,INDEX('calcA'!$D$130:$EQ$169,$B37,89)+IF(AND($E37=1,MA37=0),25,0),INDEX('calcA'!CN$110:CN$114,$F37+1)+IF(AND($E37=1,MA37=0),1000,0)+IF($H37=1,INDEX('calcA'!$D$180:$EQ$219,$B37,89)*500,0)-IF(AND('calcA'!CM$117=1,XK37&gt;0),300,0)-IF(AND($U37=1,'calcA'!CN$117=1,GM37=0),300,0))),1000000000))</f>
        <v/>
      </c>
      <c r="RQ37">
        <f>IF($B37=0,1000000000,IF(INDEX('calcA'!$D$60:$EQ$99,$B37,90)*IF($W37=1,GM37+ADB37,GM37)=1,IF(AND($E37=2,IF($W37=1,AIQ37,MB37)=0),1000000000,IF($V37=1,INDEX('calcA'!$D$130:$EQ$169,$B37,90)+IF(AND($E37=1,MB37=0),25,0),INDEX('calcA'!CO$110:CO$114,$F37+1)+IF(AND($E37=1,MB37=0),1000,0)+IF($H37=1,INDEX('calcA'!$D$180:$EQ$219,$B37,90)*500,0)-IF(AND('calcA'!CN$117=1,XL37&gt;0),300,0)-IF(AND($U37=1,'calcA'!CO$117=1,GN37=0),300,0))),1000000000))</f>
        <v/>
      </c>
      <c r="RR37">
        <f>IF($B37=0,1000000000,IF(INDEX('calcA'!$D$60:$EQ$99,$B37,91)*IF($W37=1,GN37+ADC37,GN37)=1,IF(AND($E37=2,IF($W37=1,AIR37,MC37)=0),1000000000,IF($V37=1,INDEX('calcA'!$D$130:$EQ$169,$B37,91)+IF(AND($E37=1,MC37=0),25,0),INDEX('calcA'!CP$110:CP$114,$F37+1)+IF(AND($E37=1,MC37=0),1000,0)+IF($H37=1,INDEX('calcA'!$D$180:$EQ$219,$B37,91)*500,0)-IF(AND('calcA'!CO$117=1,XM37&gt;0),300,0)-IF(AND($U37=1,'calcA'!CP$117=1,GO37=0),300,0))),1000000000))</f>
        <v/>
      </c>
      <c r="RS37">
        <f>IF($B37=0,1000000000,IF(INDEX('calcA'!$D$60:$EQ$99,$B37,92)*IF($W37=1,GO37+ADD37,GO37)=1,IF(AND($E37=2,IF($W37=1,AIS37,MD37)=0),1000000000,IF($V37=1,INDEX('calcA'!$D$130:$EQ$169,$B37,92)+IF(AND($E37=1,MD37=0),25,0),INDEX('calcA'!CQ$110:CQ$114,$F37+1)+IF(AND($E37=1,MD37=0),1000,0)+IF($H37=1,INDEX('calcA'!$D$180:$EQ$219,$B37,92)*500,0)-IF(AND('calcA'!CP$117=1,XN37&gt;0),300,0)-IF(AND($U37=1,'calcA'!CQ$117=1,GP37=0),300,0))),1000000000))</f>
        <v/>
      </c>
      <c r="RT37">
        <f>IF($B37=0,1000000000,IF(INDEX('calcA'!$D$60:$EQ$99,$B37,93)*IF($W37=1,GP37+ADE37,GP37)=1,IF(AND($E37=2,IF($W37=1,AIT37,ME37)=0),1000000000,IF($V37=1,INDEX('calcA'!$D$130:$EQ$169,$B37,93)+IF(AND($E37=1,ME37=0),25,0),INDEX('calcA'!CR$110:CR$114,$F37+1)+IF(AND($E37=1,ME37=0),1000,0)+IF($H37=1,INDEX('calcA'!$D$180:$EQ$219,$B37,93)*500,0)-IF(AND('calcA'!CQ$117=1,XO37&gt;0),300,0)-IF(AND($U37=1,'calcA'!CR$117=1,GQ37=0),300,0))),1000000000))</f>
        <v/>
      </c>
      <c r="RU37">
        <f>IF($B37=0,1000000000,IF(INDEX('calcA'!$D$60:$EQ$99,$B37,94)*IF($W37=1,GQ37+ADF37,GQ37)=1,IF(AND($E37=2,IF($W37=1,AIU37,MF37)=0),1000000000,IF($V37=1,INDEX('calcA'!$D$130:$EQ$169,$B37,94)+IF(AND($E37=1,MF37=0),25,0),INDEX('calcA'!CS$110:CS$114,$F37+1)+IF(AND($E37=1,MF37=0),1000,0)+IF($H37=1,INDEX('calcA'!$D$180:$EQ$219,$B37,94)*500,0)-IF(AND('calcA'!CR$117=1,XP37&gt;0),300,0)-IF(AND($U37=1,'calcA'!CS$117=1,GR37=0),300,0))),1000000000))</f>
        <v/>
      </c>
      <c r="RV37">
        <f>IF($B37=0,1000000000,IF(INDEX('calcA'!$D$60:$EQ$99,$B37,95)*IF($W37=1,GR37+ADG37,GR37)=1,IF(AND($E37=2,IF($W37=1,AIV37,MG37)=0),1000000000,IF($V37=1,INDEX('calcA'!$D$130:$EQ$169,$B37,95)+IF(AND($E37=1,MG37=0),25,0),INDEX('calcA'!CT$110:CT$114,$F37+1)+IF(AND($E37=1,MG37=0),1000,0)+IF($H37=1,INDEX('calcA'!$D$180:$EQ$219,$B37,95)*500,0)-IF(AND('calcA'!CS$117=1,XQ37&gt;0),300,0)-IF(AND($U37=1,'calcA'!CT$117=1,GS37=0),300,0))),1000000000))</f>
        <v/>
      </c>
      <c r="RW37">
        <f>IF($B37=0,1000000000,IF(INDEX('calcA'!$D$60:$EQ$99,$B37,96)*IF($W37=1,GS37+ADH37,GS37)=1,IF(AND($E37=2,IF($W37=1,AIW37,MH37)=0),1000000000,IF($V37=1,INDEX('calcA'!$D$130:$EQ$169,$B37,96)+IF(AND($E37=1,MH37=0),25,0),INDEX('calcA'!CU$110:CU$114,$F37+1)+IF(AND($E37=1,MH37=0),1000,0)+IF($H37=1,INDEX('calcA'!$D$180:$EQ$219,$B37,96)*500,0)-IF(AND('calcA'!CT$117=1,XR37&gt;0),300,0))),1000000000))</f>
        <v/>
      </c>
      <c r="RX37">
        <f>IF($B37=0,1000000000,IF(INDEX('calcA'!$D$60:$EQ$99,$B37,97)*IF($W37=1,GT37+ADI37,GT37)=1,IF(AND($E37=2,IF($W37=1,AIX37,MI37)=0),1000000000,IF($V37=1,INDEX('calcA'!$D$130:$EQ$169,$B37,97)+IF(AND($E37=1,MI37=0),25,0),INDEX('calcA'!CV$110:CV$114,$F37+1)+IF(AND($E37=1,MI37=0),1000,0)+IF($H37=1,INDEX('calcA'!$D$180:$EQ$219,$B37,97)*500,0)-IF(AND($U37=1,'calcA'!CV$117=1,GU37=0),300,0))),1000000000))</f>
        <v/>
      </c>
      <c r="RY37">
        <f>IF($B37=0,1000000000,IF(INDEX('calcA'!$D$60:$EQ$99,$B37,98)*IF($W37=1,GU37+ADJ37,GU37)=1,IF(AND($E37=2,IF($W37=1,AIY37,MJ37)=0),1000000000,IF($V37=1,INDEX('calcA'!$D$130:$EQ$169,$B37,98)+IF(AND($E37=1,MJ37=0),25,0),INDEX('calcA'!CW$110:CW$114,$F37+1)+IF(AND($E37=1,MJ37=0),1000,0)+IF($H37=1,INDEX('calcA'!$D$180:$EQ$219,$B37,98)*500,0)-IF(AND('calcA'!CV$117=1,XT37&gt;0),300,0)-IF(AND($U37=1,'calcA'!CW$117=1,GV37=0),300,0))),1000000000))</f>
        <v/>
      </c>
      <c r="RZ37">
        <f>IF($B37=0,1000000000,IF(INDEX('calcA'!$D$60:$EQ$99,$B37,99)*IF($W37=1,GV37+ADK37,GV37)=1,IF(AND($E37=2,IF($W37=1,AIZ37,MK37)=0),1000000000,IF($V37=1,INDEX('calcA'!$D$130:$EQ$169,$B37,99)+IF(AND($E37=1,MK37=0),25,0),INDEX('calcA'!CX$110:CX$114,$F37+1)+IF(AND($E37=1,MK37=0),1000,0)+IF($H37=1,INDEX('calcA'!$D$180:$EQ$219,$B37,99)*500,0)-IF(AND('calcA'!CW$117=1,XU37&gt;0),300,0)-IF(AND($U37=1,'calcA'!CX$117=1,GW37=0),300,0))),1000000000))</f>
        <v/>
      </c>
      <c r="SA37">
        <f>IF($B37=0,1000000000,IF(INDEX('calcA'!$D$60:$EQ$99,$B37,100)*IF($W37=1,GW37+ADL37,GW37)=1,IF(AND($E37=2,IF($W37=1,AJA37,ML37)=0),1000000000,IF($V37=1,INDEX('calcA'!$D$130:$EQ$169,$B37,100)+IF(AND($E37=1,ML37=0),25,0),INDEX('calcA'!CY$110:CY$114,$F37+1)+IF(AND($E37=1,ML37=0),1000,0)+IF($H37=1,INDEX('calcA'!$D$180:$EQ$219,$B37,100)*500,0)-IF(AND('calcA'!CX$117=1,XV37&gt;0),300,0)-IF(AND($U37=1,'calcA'!CY$117=1,GX37=0),300,0))),1000000000))</f>
        <v/>
      </c>
      <c r="SB37">
        <f>IF($B37=0,1000000000,IF(INDEX('calcA'!$D$60:$EQ$99,$B37,101)*IF($W37=1,GX37+ADM37,GX37)=1,IF(AND($E37=2,IF($W37=1,AJB37,MM37)=0),1000000000,IF($V37=1,INDEX('calcA'!$D$130:$EQ$169,$B37,101)+IF(AND($E37=1,MM37=0),25,0),INDEX('calcA'!CZ$110:CZ$114,$F37+1)+IF(AND($E37=1,MM37=0),1000,0)+IF($H37=1,INDEX('calcA'!$D$180:$EQ$219,$B37,101)*500,0)-IF(AND('calcA'!CY$117=1,XW37&gt;0),300,0)-IF(AND($U37=1,'calcA'!CZ$117=1,GY37=0),300,0))),1000000000))</f>
        <v/>
      </c>
      <c r="SC37">
        <f>IF($B37=0,1000000000,IF(INDEX('calcA'!$D$60:$EQ$99,$B37,102)*IF($W37=1,GY37+ADN37,GY37)=1,IF(AND($E37=2,IF($W37=1,AJC37,MN37)=0),1000000000,IF($V37=1,INDEX('calcA'!$D$130:$EQ$169,$B37,102)+IF(AND($E37=1,MN37=0),25,0),INDEX('calcA'!DA$110:DA$114,$F37+1)+IF(AND($E37=1,MN37=0),1000,0)+IF($H37=1,INDEX('calcA'!$D$180:$EQ$219,$B37,102)*500,0)-IF(AND('calcA'!CZ$117=1,XX37&gt;0),300,0)-IF(AND($U37=1,'calcA'!DA$117=1,GZ37=0),300,0))),1000000000))</f>
        <v/>
      </c>
      <c r="SD37">
        <f>IF($B37=0,1000000000,IF(INDEX('calcA'!$D$60:$EQ$99,$B37,103)*IF($W37=1,GZ37+ADO37,GZ37)=1,IF(AND($E37=2,IF($W37=1,AJD37,MO37)=0),1000000000,IF($V37=1,INDEX('calcA'!$D$130:$EQ$169,$B37,103)+IF(AND($E37=1,MO37=0),25,0),INDEX('calcA'!DB$110:DB$114,$F37+1)+IF(AND($E37=1,MO37=0),1000,0)+IF($H37=1,INDEX('calcA'!$D$180:$EQ$219,$B37,103)*500,0)-IF(AND('calcA'!DA$117=1,XY37&gt;0),300,0)-IF(AND($U37=1,'calcA'!DB$117=1,HA37=0),300,0))),1000000000))</f>
        <v/>
      </c>
      <c r="SE37">
        <f>IF($B37=0,1000000000,IF(INDEX('calcA'!$D$60:$EQ$99,$B37,104)*IF($W37=1,HA37+ADP37,HA37)=1,IF(AND($E37=2,IF($W37=1,AJE37,MP37)=0),1000000000,IF($V37=1,INDEX('calcA'!$D$130:$EQ$169,$B37,104)+IF(AND($E37=1,MP37=0),25,0),INDEX('calcA'!DC$110:DC$114,$F37+1)+IF(AND($E37=1,MP37=0),1000,0)+IF($H37=1,INDEX('calcA'!$D$180:$EQ$219,$B37,104)*500,0)-IF(AND('calcA'!DB$117=1,XZ37&gt;0),300,0)-IF(AND($U37=1,'calcA'!DC$117=1,HB37=0),300,0))),1000000000))</f>
        <v/>
      </c>
      <c r="SF37">
        <f>IF($B37=0,1000000000,IF(INDEX('calcA'!$D$60:$EQ$99,$B37,105)*IF($W37=1,HB37+ADQ37,HB37)=1,IF(AND($E37=2,IF($W37=1,AJF37,MQ37)=0),1000000000,IF($V37=1,INDEX('calcA'!$D$130:$EQ$169,$B37,105)+IF(AND($E37=1,MQ37=0),25,0),INDEX('calcA'!DD$110:DD$114,$F37+1)+IF(AND($E37=1,MQ37=0),1000,0)+IF($H37=1,INDEX('calcA'!$D$180:$EQ$219,$B37,105)*500,0)-IF(AND('calcA'!DC$117=1,YA37&gt;0),300,0)-IF(AND($U37=1,'calcA'!DD$117=1,HC37=0),300,0))),1000000000))</f>
        <v/>
      </c>
      <c r="SG37">
        <f>IF($B37=0,1000000000,IF(INDEX('calcA'!$D$60:$EQ$99,$B37,106)*IF($W37=1,HC37+ADR37,HC37)=1,IF(AND($E37=2,IF($W37=1,AJG37,MR37)=0),1000000000,IF($V37=1,INDEX('calcA'!$D$130:$EQ$169,$B37,106)+IF(AND($E37=1,MR37=0),25,0),INDEX('calcA'!DE$110:DE$114,$F37+1)+IF(AND($E37=1,MR37=0),1000,0)+IF($H37=1,INDEX('calcA'!$D$180:$EQ$219,$B37,106)*500,0)-IF(AND('calcA'!DD$117=1,YB37&gt;0),300,0)-IF(AND($U37=1,'calcA'!DE$117=1,HD37=0),300,0))),1000000000))</f>
        <v/>
      </c>
      <c r="SH37">
        <f>IF($B37=0,1000000000,IF(INDEX('calcA'!$D$60:$EQ$99,$B37,107)*IF($W37=1,HD37+ADS37,HD37)=1,IF(AND($E37=2,IF($W37=1,AJH37,MS37)=0),1000000000,IF($V37=1,INDEX('calcA'!$D$130:$EQ$169,$B37,107)+IF(AND($E37=1,MS37=0),25,0),INDEX('calcA'!DF$110:DF$114,$F37+1)+IF(AND($E37=1,MS37=0),1000,0)+IF($H37=1,INDEX('calcA'!$D$180:$EQ$219,$B37,107)*500,0)-IF(AND('calcA'!DE$117=1,YC37&gt;0),300,0)-IF(AND($U37=1,'calcA'!DF$117=1,HE37=0),300,0))),1000000000))</f>
        <v/>
      </c>
      <c r="SI37">
        <f>IF($B37=0,1000000000,IF(INDEX('calcA'!$D$60:$EQ$99,$B37,108)*IF($W37=1,HE37+ADT37,HE37)=1,IF(AND($E37=2,IF($W37=1,AJI37,MT37)=0),1000000000,IF($V37=1,INDEX('calcA'!$D$130:$EQ$169,$B37,108)+IF(AND($E37=1,MT37=0),25,0),INDEX('calcA'!DG$110:DG$114,$F37+1)+IF(AND($E37=1,MT37=0),1000,0)+IF($H37=1,INDEX('calcA'!$D$180:$EQ$219,$B37,108)*500,0)-IF(AND('calcA'!DF$117=1,YD37&gt;0),300,0)-IF(AND($U37=1,'calcA'!DG$117=1,HF37=0),300,0))),1000000000))</f>
        <v/>
      </c>
      <c r="SJ37">
        <f>IF($B37=0,1000000000,IF(INDEX('calcA'!$D$60:$EQ$99,$B37,109)*IF($W37=1,HF37+ADU37,HF37)=1,IF(AND($E37=2,IF($W37=1,AJJ37,MU37)=0),1000000000,IF($V37=1,INDEX('calcA'!$D$130:$EQ$169,$B37,109)+IF(AND($E37=1,MU37=0),25,0),INDEX('calcA'!DH$110:DH$114,$F37+1)+IF(AND($E37=1,MU37=0),1000,0)+IF($H37=1,INDEX('calcA'!$D$180:$EQ$219,$B37,109)*500,0)-IF(AND('calcA'!DG$117=1,YE37&gt;0),300,0)-IF(AND($U37=1,'calcA'!DH$117=1,HG37=0),300,0))),1000000000))</f>
        <v/>
      </c>
      <c r="SK37">
        <f>IF($B37=0,1000000000,IF(INDEX('calcA'!$D$60:$EQ$99,$B37,110)*IF($W37=1,HG37+ADV37,HG37)=1,IF(AND($E37=2,IF($W37=1,AJK37,MV37)=0),1000000000,IF($V37=1,INDEX('calcA'!$D$130:$EQ$169,$B37,110)+IF(AND($E37=1,MV37=0),25,0),INDEX('calcA'!DI$110:DI$114,$F37+1)+IF(AND($E37=1,MV37=0),1000,0)+IF($H37=1,INDEX('calcA'!$D$180:$EQ$219,$B37,110)*500,0)-IF(AND('calcA'!DH$117=1,YF37&gt;0),300,0)-IF(AND($U37=1,'calcA'!DI$117=1,HH37=0),300,0))),1000000000))</f>
        <v/>
      </c>
      <c r="SL37">
        <f>IF($B37=0,1000000000,IF(INDEX('calcA'!$D$60:$EQ$99,$B37,111)*IF($W37=1,HH37+ADW37,HH37)=1,IF(AND($E37=2,IF($W37=1,AJL37,MW37)=0),1000000000,IF($V37=1,INDEX('calcA'!$D$130:$EQ$169,$B37,111)+IF(AND($E37=1,MW37=0),25,0),INDEX('calcA'!DJ$110:DJ$114,$F37+1)+IF(AND($E37=1,MW37=0),1000,0)+IF($H37=1,INDEX('calcA'!$D$180:$EQ$219,$B37,111)*500,0)-IF(AND('calcA'!DI$117=1,YG37&gt;0),300,0)-IF(AND($U37=1,'calcA'!DJ$117=1,HI37=0),300,0))),1000000000))</f>
        <v/>
      </c>
      <c r="SM37">
        <f>IF($B37=0,1000000000,IF(INDEX('calcA'!$D$60:$EQ$99,$B37,112)*IF($W37=1,HI37+ADX37,HI37)=1,IF(AND($E37=2,IF($W37=1,AJM37,MX37)=0),1000000000,IF($V37=1,INDEX('calcA'!$D$130:$EQ$169,$B37,112)+IF(AND($E37=1,MX37=0),25,0),INDEX('calcA'!DK$110:DK$114,$F37+1)+IF(AND($E37=1,MX37=0),1000,0)+IF($H37=1,INDEX('calcA'!$D$180:$EQ$219,$B37,112)*500,0)-IF(AND('calcA'!DJ$117=1,YH37&gt;0),300,0)-IF(AND($U37=1,'calcA'!DK$117=1,HJ37=0),300,0))),1000000000))</f>
        <v/>
      </c>
      <c r="SN37">
        <f>IF($B37=0,1000000000,IF(INDEX('calcA'!$D$60:$EQ$99,$B37,113)*IF($W37=1,HJ37+ADY37,HJ37)=1,IF(AND($E37=2,IF($W37=1,AJN37,MY37)=0),1000000000,IF($V37=1,INDEX('calcA'!$D$130:$EQ$169,$B37,113)+IF(AND($E37=1,MY37=0),25,0),INDEX('calcA'!DL$110:DL$114,$F37+1)+IF(AND($E37=1,MY37=0),1000,0)+IF($H37=1,INDEX('calcA'!$D$180:$EQ$219,$B37,113)*500,0)-IF(AND('calcA'!DK$117=1,YI37&gt;0),300,0)-IF(AND($U37=1,'calcA'!DL$117=1,HK37=0),300,0))),1000000000))</f>
        <v/>
      </c>
      <c r="SO37">
        <f>IF($B37=0,1000000000,IF(INDEX('calcA'!$D$60:$EQ$99,$B37,114)*IF($W37=1,HK37+ADZ37,HK37)=1,IF(AND($E37=2,IF($W37=1,AJO37,MZ37)=0),1000000000,IF($V37=1,INDEX('calcA'!$D$130:$EQ$169,$B37,114)+IF(AND($E37=1,MZ37=0),25,0),INDEX('calcA'!DM$110:DM$114,$F37+1)+IF(AND($E37=1,MZ37=0),1000,0)+IF($H37=1,INDEX('calcA'!$D$180:$EQ$219,$B37,114)*500,0)-IF(AND('calcA'!DL$117=1,YJ37&gt;0),300,0)-IF(AND($U37=1,'calcA'!DM$117=1,HL37=0),300,0))),1000000000))</f>
        <v/>
      </c>
      <c r="SP37">
        <f>IF($B37=0,1000000000,IF(INDEX('calcA'!$D$60:$EQ$99,$B37,115)*IF($W37=1,HL37+AEA37,HL37)=1,IF(AND($E37=2,IF($W37=1,AJP37,NA37)=0),1000000000,IF($V37=1,INDEX('calcA'!$D$130:$EQ$169,$B37,115)+IF(AND($E37=1,NA37=0),25,0),INDEX('calcA'!DN$110:DN$114,$F37+1)+IF(AND($E37=1,NA37=0),1000,0)+IF($H37=1,INDEX('calcA'!$D$180:$EQ$219,$B37,115)*500,0)-IF(AND('calcA'!DM$117=1,YK37&gt;0),300,0)-IF(AND($U37=1,'calcA'!DN$117=1,HM37=0),300,0))),1000000000))</f>
        <v/>
      </c>
      <c r="SQ37">
        <f>IF($B37=0,1000000000,IF(INDEX('calcA'!$D$60:$EQ$99,$B37,116)*IF($W37=1,HM37+AEB37,HM37)=1,IF(AND($E37=2,IF($W37=1,AJQ37,NB37)=0),1000000000,IF($V37=1,INDEX('calcA'!$D$130:$EQ$169,$B37,116)+IF(AND($E37=1,NB37=0),25,0),INDEX('calcA'!DO$110:DO$114,$F37+1)+IF(AND($E37=1,NB37=0),1000,0)+IF($H37=1,INDEX('calcA'!$D$180:$EQ$219,$B37,116)*500,0)-IF(AND('calcA'!DN$117=1,YL37&gt;0),300,0)-IF(AND($U37=1,'calcA'!DO$117=1,HN37=0),300,0))),1000000000))</f>
        <v/>
      </c>
      <c r="SR37">
        <f>IF($B37=0,1000000000,IF(INDEX('calcA'!$D$60:$EQ$99,$B37,117)*IF($W37=1,HN37+AEC37,HN37)=1,IF(AND($E37=2,IF($W37=1,AJR37,NC37)=0),1000000000,IF($V37=1,INDEX('calcA'!$D$130:$EQ$169,$B37,117)+IF(AND($E37=1,NC37=0),25,0),INDEX('calcA'!DP$110:DP$114,$F37+1)+IF(AND($E37=1,NC37=0),1000,0)+IF($H37=1,INDEX('calcA'!$D$180:$EQ$219,$B37,117)*500,0)-IF(AND('calcA'!DO$117=1,YM37&gt;0),300,0)-IF(AND($U37=1,'calcA'!DP$117=1,HO37=0),300,0))),1000000000))</f>
        <v/>
      </c>
      <c r="SS37">
        <f>IF($B37=0,1000000000,IF(INDEX('calcA'!$D$60:$EQ$99,$B37,118)*IF($W37=1,HO37+AED37,HO37)=1,IF(AND($E37=2,IF($W37=1,AJS37,ND37)=0),1000000000,IF($V37=1,INDEX('calcA'!$D$130:$EQ$169,$B37,118)+IF(AND($E37=1,ND37=0),25,0),INDEX('calcA'!DQ$110:DQ$114,$F37+1)+IF(AND($E37=1,ND37=0),1000,0)+IF($H37=1,INDEX('calcA'!$D$180:$EQ$219,$B37,118)*500,0)-IF(AND('calcA'!DP$117=1,YN37&gt;0),300,0)-IF(AND($U37=1,'calcA'!DQ$117=1,HP37=0),300,0))),1000000000))</f>
        <v/>
      </c>
      <c r="ST37">
        <f>IF($B37=0,1000000000,IF(INDEX('calcA'!$D$60:$EQ$99,$B37,119)*IF($W37=1,HP37+AEE37,HP37)=1,IF(AND($E37=2,IF($W37=1,AJT37,NE37)=0),1000000000,IF($V37=1,INDEX('calcA'!$D$130:$EQ$169,$B37,119)+IF(AND($E37=1,NE37=0),25,0),INDEX('calcA'!DR$110:DR$114,$F37+1)+IF(AND($E37=1,NE37=0),1000,0)+IF($H37=1,INDEX('calcA'!$D$180:$EQ$219,$B37,119)*500,0)-IF(AND('calcA'!DQ$117=1,YO37&gt;0),300,0)-IF(AND($U37=1,'calcA'!DR$117=1,HQ37=0),300,0))),1000000000))</f>
        <v/>
      </c>
      <c r="SU37">
        <f>IF($B37=0,1000000000,IF(INDEX('calcA'!$D$60:$EQ$99,$B37,120)*IF($W37=1,HQ37+AEF37,HQ37)=1,IF(AND($E37=2,IF($W37=1,AJU37,NF37)=0),1000000000,IF($V37=1,INDEX('calcA'!$D$130:$EQ$169,$B37,120)+IF(AND($E37=1,NF37=0),25,0),INDEX('calcA'!DS$110:DS$114,$F37+1)+IF(AND($E37=1,NF37=0),1000,0)+IF($H37=1,INDEX('calcA'!$D$180:$EQ$219,$B37,120)*500,0)-IF(AND('calcA'!DR$117=1,YP37&gt;0),300,0))),1000000000))</f>
        <v/>
      </c>
      <c r="SV37">
        <f>IF($B37=0,1000000000,IF(INDEX('calcA'!$D$60:$EQ$99,$B37,121)*IF($W37=1,HR37+AEG37,HR37)=1,IF(AND($E37=2,IF($W37=1,AJV37,NG37)=0),1000000000,IF($V37=1,INDEX('calcA'!$D$130:$EQ$169,$B37,121)+IF(AND($E37=1,NG37=0),25,0),INDEX('calcA'!DT$110:DT$114,$F37+1)+IF(AND($E37=1,NG37=0),1000,0)+IF($H37=1,INDEX('calcA'!$D$180:$EQ$219,$B37,121)*500,0)-IF(AND($U37=1,'calcA'!DT$117=1,HS37=0),300,0))),1000000000))</f>
        <v/>
      </c>
      <c r="SW37">
        <f>IF($B37=0,1000000000,IF(INDEX('calcA'!$D$60:$EQ$99,$B37,122)*IF($W37=1,HS37+AEH37,HS37)=1,IF(AND($E37=2,IF($W37=1,AJW37,NH37)=0),1000000000,IF($V37=1,INDEX('calcA'!$D$130:$EQ$169,$B37,122)+IF(AND($E37=1,NH37=0),25,0),INDEX('calcA'!DU$110:DU$114,$F37+1)+IF(AND($E37=1,NH37=0),1000,0)+IF($H37=1,INDEX('calcA'!$D$180:$EQ$219,$B37,122)*500,0)-IF(AND('calcA'!DT$117=1,YR37&gt;0),300,0)-IF(AND($U37=1,'calcA'!DU$117=1,HT37=0),300,0))),1000000000))</f>
        <v/>
      </c>
      <c r="SX37">
        <f>IF($B37=0,1000000000,IF(INDEX('calcA'!$D$60:$EQ$99,$B37,123)*IF($W37=1,HT37+AEI37,HT37)=1,IF(AND($E37=2,IF($W37=1,AJX37,NI37)=0),1000000000,IF($V37=1,INDEX('calcA'!$D$130:$EQ$169,$B37,123)+IF(AND($E37=1,NI37=0),25,0),INDEX('calcA'!DV$110:DV$114,$F37+1)+IF(AND($E37=1,NI37=0),1000,0)+IF($H37=1,INDEX('calcA'!$D$180:$EQ$219,$B37,123)*500,0)-IF(AND('calcA'!DU$117=1,YS37&gt;0),300,0)-IF(AND($U37=1,'calcA'!DV$117=1,HU37=0),300,0))),1000000000))</f>
        <v/>
      </c>
      <c r="SY37">
        <f>IF($B37=0,1000000000,IF(INDEX('calcA'!$D$60:$EQ$99,$B37,124)*IF($W37=1,HU37+AEJ37,HU37)=1,IF(AND($E37=2,IF($W37=1,AJY37,NJ37)=0),1000000000,IF($V37=1,INDEX('calcA'!$D$130:$EQ$169,$B37,124)+IF(AND($E37=1,NJ37=0),25,0),INDEX('calcA'!DW$110:DW$114,$F37+1)+IF(AND($E37=1,NJ37=0),1000,0)+IF($H37=1,INDEX('calcA'!$D$180:$EQ$219,$B37,124)*500,0)-IF(AND('calcA'!DV$117=1,YT37&gt;0),300,0)-IF(AND($U37=1,'calcA'!DW$117=1,HV37=0),300,0))),1000000000))</f>
        <v/>
      </c>
      <c r="SZ37">
        <f>IF($B37=0,1000000000,IF(INDEX('calcA'!$D$60:$EQ$99,$B37,125)*IF($W37=1,HV37+AEK37,HV37)=1,IF(AND($E37=2,IF($W37=1,AJZ37,NK37)=0),1000000000,IF($V37=1,INDEX('calcA'!$D$130:$EQ$169,$B37,125)+IF(AND($E37=1,NK37=0),25,0),INDEX('calcA'!DX$110:DX$114,$F37+1)+IF(AND($E37=1,NK37=0),1000,0)+IF($H37=1,INDEX('calcA'!$D$180:$EQ$219,$B37,125)*500,0)-IF(AND('calcA'!DW$117=1,YU37&gt;0),300,0)-IF(AND($U37=1,'calcA'!DX$117=1,HW37=0),300,0))),1000000000))</f>
        <v/>
      </c>
      <c r="TA37">
        <f>IF($B37=0,1000000000,IF(INDEX('calcA'!$D$60:$EQ$99,$B37,126)*IF($W37=1,HW37+AEL37,HW37)=1,IF(AND($E37=2,IF($W37=1,AKA37,NL37)=0),1000000000,IF($V37=1,INDEX('calcA'!$D$130:$EQ$169,$B37,126)+IF(AND($E37=1,NL37=0),25,0),INDEX('calcA'!DY$110:DY$114,$F37+1)+IF(AND($E37=1,NL37=0),1000,0)+IF($H37=1,INDEX('calcA'!$D$180:$EQ$219,$B37,126)*500,0)-IF(AND('calcA'!DX$117=1,YV37&gt;0),300,0)-IF(AND($U37=1,'calcA'!DY$117=1,HX37=0),300,0))),1000000000))</f>
        <v/>
      </c>
      <c r="TB37">
        <f>IF($B37=0,1000000000,IF(INDEX('calcA'!$D$60:$EQ$99,$B37,127)*IF($W37=1,HX37+AEM37,HX37)=1,IF(AND($E37=2,IF($W37=1,AKB37,NM37)=0),1000000000,IF($V37=1,INDEX('calcA'!$D$130:$EQ$169,$B37,127)+IF(AND($E37=1,NM37=0),25,0),INDEX('calcA'!DZ$110:DZ$114,$F37+1)+IF(AND($E37=1,NM37=0),1000,0)+IF($H37=1,INDEX('calcA'!$D$180:$EQ$219,$B37,127)*500,0)-IF(AND('calcA'!DY$117=1,YW37&gt;0),300,0)-IF(AND($U37=1,'calcA'!DZ$117=1,HY37=0),300,0))),1000000000))</f>
        <v/>
      </c>
      <c r="TC37">
        <f>IF($B37=0,1000000000,IF(INDEX('calcA'!$D$60:$EQ$99,$B37,128)*IF($W37=1,HY37+AEN37,HY37)=1,IF(AND($E37=2,IF($W37=1,AKC37,NN37)=0),1000000000,IF($V37=1,INDEX('calcA'!$D$130:$EQ$169,$B37,128)+IF(AND($E37=1,NN37=0),25,0),INDEX('calcA'!EA$110:EA$114,$F37+1)+IF(AND($E37=1,NN37=0),1000,0)+IF($H37=1,INDEX('calcA'!$D$180:$EQ$219,$B37,128)*500,0)-IF(AND('calcA'!DZ$117=1,YX37&gt;0),300,0)-IF(AND($U37=1,'calcA'!EA$117=1,HZ37=0),300,0))),1000000000))</f>
        <v/>
      </c>
      <c r="TD37">
        <f>IF($B37=0,1000000000,IF(INDEX('calcA'!$D$60:$EQ$99,$B37,129)*IF($W37=1,HZ37+AEO37,HZ37)=1,IF(AND($E37=2,IF($W37=1,AKD37,NO37)=0),1000000000,IF($V37=1,INDEX('calcA'!$D$130:$EQ$169,$B37,129)+IF(AND($E37=1,NO37=0),25,0),INDEX('calcA'!EB$110:EB$114,$F37+1)+IF(AND($E37=1,NO37=0),1000,0)+IF($H37=1,INDEX('calcA'!$D$180:$EQ$219,$B37,129)*500,0)-IF(AND('calcA'!EA$117=1,YY37&gt;0),300,0)-IF(AND($U37=1,'calcA'!EB$117=1,IA37=0),300,0))),1000000000))</f>
        <v/>
      </c>
      <c r="TE37">
        <f>IF($B37=0,1000000000,IF(INDEX('calcA'!$D$60:$EQ$99,$B37,130)*IF($W37=1,IA37+AEP37,IA37)=1,IF(AND($E37=2,IF($W37=1,AKE37,NP37)=0),1000000000,IF($V37=1,INDEX('calcA'!$D$130:$EQ$169,$B37,130)+IF(AND($E37=1,NP37=0),25,0),INDEX('calcA'!EC$110:EC$114,$F37+1)+IF(AND($E37=1,NP37=0),1000,0)+IF($H37=1,INDEX('calcA'!$D$180:$EQ$219,$B37,130)*500,0)-IF(AND('calcA'!EB$117=1,YZ37&gt;0),300,0)-IF(AND($U37=1,'calcA'!EC$117=1,IB37=0),300,0))),1000000000))</f>
        <v/>
      </c>
      <c r="TF37">
        <f>IF($B37=0,1000000000,IF(INDEX('calcA'!$D$60:$EQ$99,$B37,131)*IF($W37=1,IB37+AEQ37,IB37)=1,IF(AND($E37=2,IF($W37=1,AKF37,NQ37)=0),1000000000,IF($V37=1,INDEX('calcA'!$D$130:$EQ$169,$B37,131)+IF(AND($E37=1,NQ37=0),25,0),INDEX('calcA'!ED$110:ED$114,$F37+1)+IF(AND($E37=1,NQ37=0),1000,0)+IF($H37=1,INDEX('calcA'!$D$180:$EQ$219,$B37,131)*500,0)-IF(AND('calcA'!EC$117=1,ZA37&gt;0),300,0)-IF(AND($U37=1,'calcA'!ED$117=1,IC37=0),300,0))),1000000000))</f>
        <v/>
      </c>
      <c r="TG37">
        <f>IF($B37=0,1000000000,IF(INDEX('calcA'!$D$60:$EQ$99,$B37,132)*IF($W37=1,IC37+AER37,IC37)=1,IF(AND($E37=2,IF($W37=1,AKG37,NR37)=0),1000000000,IF($V37=1,INDEX('calcA'!$D$130:$EQ$169,$B37,132)+IF(AND($E37=1,NR37=0),25,0),INDEX('calcA'!EE$110:EE$114,$F37+1)+IF(AND($E37=1,NR37=0),1000,0)+IF($H37=1,INDEX('calcA'!$D$180:$EQ$219,$B37,132)*500,0)-IF(AND('calcA'!ED$117=1,ZB37&gt;0),300,0)-IF(AND($U37=1,'calcA'!EE$117=1,ID37=0),300,0))),1000000000))</f>
        <v/>
      </c>
      <c r="TH37">
        <f>IF($B37=0,1000000000,IF(INDEX('calcA'!$D$60:$EQ$99,$B37,133)*IF($W37=1,ID37+AES37,ID37)=1,IF(AND($E37=2,IF($W37=1,AKH37,NS37)=0),1000000000,IF($V37=1,INDEX('calcA'!$D$130:$EQ$169,$B37,133)+IF(AND($E37=1,NS37=0),25,0),INDEX('calcA'!EF$110:EF$114,$F37+1)+IF(AND($E37=1,NS37=0),1000,0)+IF($H37=1,INDEX('calcA'!$D$180:$EQ$219,$B37,133)*500,0)-IF(AND('calcA'!EE$117=1,ZC37&gt;0),300,0)-IF(AND($U37=1,'calcA'!EF$117=1,IE37=0),300,0))),1000000000))</f>
        <v/>
      </c>
      <c r="TI37">
        <f>IF($B37=0,1000000000,IF(INDEX('calcA'!$D$60:$EQ$99,$B37,134)*IF($W37=1,IE37+AET37,IE37)=1,IF(AND($E37=2,IF($W37=1,AKI37,NT37)=0),1000000000,IF($V37=1,INDEX('calcA'!$D$130:$EQ$169,$B37,134)+IF(AND($E37=1,NT37=0),25,0),INDEX('calcA'!EG$110:EG$114,$F37+1)+IF(AND($E37=1,NT37=0),1000,0)+IF($H37=1,INDEX('calcA'!$D$180:$EQ$219,$B37,134)*500,0)-IF(AND('calcA'!EF$117=1,ZD37&gt;0),300,0)-IF(AND($U37=1,'calcA'!EG$117=1,IF37=0),300,0))),1000000000))</f>
        <v/>
      </c>
      <c r="TJ37">
        <f>IF($B37=0,1000000000,IF(INDEX('calcA'!$D$60:$EQ$99,$B37,135)*IF($W37=1,IF37+AEU37,IF37)=1,IF(AND($E37=2,IF($W37=1,AKJ37,NU37)=0),1000000000,IF($V37=1,INDEX('calcA'!$D$130:$EQ$169,$B37,135)+IF(AND($E37=1,NU37=0),25,0),INDEX('calcA'!EH$110:EH$114,$F37+1)+IF(AND($E37=1,NU37=0),1000,0)+IF($H37=1,INDEX('calcA'!$D$180:$EQ$219,$B37,135)*500,0)-IF(AND('calcA'!EG$117=1,ZE37&gt;0),300,0)-IF(AND($U37=1,'calcA'!EH$117=1,IG37=0),300,0))),1000000000))</f>
        <v/>
      </c>
      <c r="TK37">
        <f>IF($B37=0,1000000000,IF(INDEX('calcA'!$D$60:$EQ$99,$B37,136)*IF($W37=1,IG37+AEV37,IG37)=1,IF(AND($E37=2,IF($W37=1,AKK37,NV37)=0),1000000000,IF($V37=1,INDEX('calcA'!$D$130:$EQ$169,$B37,136)+IF(AND($E37=1,NV37=0),25,0),INDEX('calcA'!EI$110:EI$114,$F37+1)+IF(AND($E37=1,NV37=0),1000,0)+IF($H37=1,INDEX('calcA'!$D$180:$EQ$219,$B37,136)*500,0)-IF(AND('calcA'!EH$117=1,ZF37&gt;0),300,0)-IF(AND($U37=1,'calcA'!EI$117=1,IH37=0),300,0))),1000000000))</f>
        <v/>
      </c>
      <c r="TL37">
        <f>IF($B37=0,1000000000,IF(INDEX('calcA'!$D$60:$EQ$99,$B37,137)*IF($W37=1,IH37+AEW37,IH37)=1,IF(AND($E37=2,IF($W37=1,AKL37,NW37)=0),1000000000,IF($V37=1,INDEX('calcA'!$D$130:$EQ$169,$B37,137)+IF(AND($E37=1,NW37=0),25,0),INDEX('calcA'!EJ$110:EJ$114,$F37+1)+IF(AND($E37=1,NW37=0),1000,0)+IF($H37=1,INDEX('calcA'!$D$180:$EQ$219,$B37,137)*500,0)-IF(AND('calcA'!EI$117=1,ZG37&gt;0),300,0)-IF(AND($U37=1,'calcA'!EJ$117=1,II37=0),300,0))),1000000000))</f>
        <v/>
      </c>
      <c r="TM37">
        <f>IF($B37=0,1000000000,IF(INDEX('calcA'!$D$60:$EQ$99,$B37,138)*IF($W37=1,II37+AEX37,II37)=1,IF(AND($E37=2,IF($W37=1,AKM37,NX37)=0),1000000000,IF($V37=1,INDEX('calcA'!$D$130:$EQ$169,$B37,138)+IF(AND($E37=1,NX37=0),25,0),INDEX('calcA'!EK$110:EK$114,$F37+1)+IF(AND($E37=1,NX37=0),1000,0)+IF($H37=1,INDEX('calcA'!$D$180:$EQ$219,$B37,138)*500,0)-IF(AND('calcA'!EJ$117=1,ZH37&gt;0),300,0)-IF(AND($U37=1,'calcA'!EK$117=1,IJ37=0),300,0))),1000000000))</f>
        <v/>
      </c>
      <c r="TN37">
        <f>IF($B37=0,1000000000,IF(INDEX('calcA'!$D$60:$EQ$99,$B37,139)*IF($W37=1,IJ37+AEY37,IJ37)=1,IF(AND($E37=2,IF($W37=1,AKN37,NY37)=0),1000000000,IF($V37=1,INDEX('calcA'!$D$130:$EQ$169,$B37,139)+IF(AND($E37=1,NY37=0),25,0),INDEX('calcA'!EL$110:EL$114,$F37+1)+IF(AND($E37=1,NY37=0),1000,0)+IF($H37=1,INDEX('calcA'!$D$180:$EQ$219,$B37,139)*500,0)-IF(AND('calcA'!EK$117=1,ZI37&gt;0),300,0)-IF(AND($U37=1,'calcA'!EL$117=1,IK37=0),300,0))),1000000000))</f>
        <v/>
      </c>
      <c r="TO37">
        <f>IF($B37=0,1000000000,IF(INDEX('calcA'!$D$60:$EQ$99,$B37,140)*IF($W37=1,IK37+AEZ37,IK37)=1,IF(AND($E37=2,IF($W37=1,AKO37,NZ37)=0),1000000000,IF($V37=1,INDEX('calcA'!$D$130:$EQ$169,$B37,140)+IF(AND($E37=1,NZ37=0),25,0),INDEX('calcA'!EM$110:EM$114,$F37+1)+IF(AND($E37=1,NZ37=0),1000,0)+IF($H37=1,INDEX('calcA'!$D$180:$EQ$219,$B37,140)*500,0)-IF(AND('calcA'!EL$117=1,ZJ37&gt;0),300,0)-IF(AND($U37=1,'calcA'!EM$117=1,IL37=0),300,0))),1000000000))</f>
        <v/>
      </c>
      <c r="TP37">
        <f>IF($B37=0,1000000000,IF(INDEX('calcA'!$D$60:$EQ$99,$B37,141)*IF($W37=1,IL37+AFA37,IL37)=1,IF(AND($E37=2,IF($W37=1,AKP37,OA37)=0),1000000000,IF($V37=1,INDEX('calcA'!$D$130:$EQ$169,$B37,141)+IF(AND($E37=1,OA37=0),25,0),INDEX('calcA'!EN$110:EN$114,$F37+1)+IF(AND($E37=1,OA37=0),1000,0)+IF($H37=1,INDEX('calcA'!$D$180:$EQ$219,$B37,141)*500,0)-IF(AND('calcA'!EM$117=1,ZK37&gt;0),300,0)-IF(AND($U37=1,'calcA'!EN$117=1,IM37=0),300,0))),1000000000))</f>
        <v/>
      </c>
      <c r="TQ37">
        <f>IF($B37=0,1000000000,IF(INDEX('calcA'!$D$60:$EQ$99,$B37,142)*IF($W37=1,IM37+AFB37,IM37)=1,IF(AND($E37=2,IF($W37=1,AKQ37,OB37)=0),1000000000,IF($V37=1,INDEX('calcA'!$D$130:$EQ$169,$B37,142)+IF(AND($E37=1,OB37=0),25,0),INDEX('calcA'!EO$110:EO$114,$F37+1)+IF(AND($E37=1,OB37=0),1000,0)+IF($H37=1,INDEX('calcA'!$D$180:$EQ$219,$B37,142)*500,0)-IF(AND('calcA'!EN$117=1,ZL37&gt;0),300,0)-IF(AND($U37=1,'calcA'!EO$117=1,IN37=0),300,0))),1000000000))</f>
        <v/>
      </c>
      <c r="TR37">
        <f>IF($B37=0,1000000000,IF(INDEX('calcA'!$D$60:$EQ$99,$B37,143)*IF($W37=1,IN37+AFC37,IN37)=1,IF(AND($E37=2,IF($W37=1,AKR37,OC37)=0),1000000000,IF($V37=1,INDEX('calcA'!$D$130:$EQ$169,$B37,143)+IF(AND($E37=1,OC37=0),25,0),INDEX('calcA'!EP$110:EP$114,$F37+1)+IF(AND($E37=1,OC37=0),1000,0)+IF($H37=1,INDEX('calcA'!$D$180:$EQ$219,$B37,143)*500,0)-IF(AND('calcA'!EO$117=1,ZM37&gt;0),300,0)-IF(AND($U37=1,'calcA'!EP$117=1,IO37=0),300,0))),1000000000))</f>
        <v/>
      </c>
      <c r="TS37">
        <f>IF($B37=0,1000000000,IF(INDEX('calcA'!$D$60:$EQ$99,$B37,144)*IF($W37=1,IO37+AFD37,IO37)=1,IF(AND($E37=2,IF($W37=1,AKS37,OD37)=0),1000000000,IF($V37=1,INDEX('calcA'!$D$130:$EQ$169,$B37,144)+IF(AND($E37=1,OD37=0),25,0),INDEX('calcA'!EQ$110:EQ$114,$F37+1)+IF(AND($E37=1,OD37=0),1000,0)+IF($H37=1,INDEX('calcA'!$D$180:$EQ$219,$B37,144)*500,0)-IF(AND('calcA'!EP$117=1,ZN37&gt;0),300,0))),1000000000))</f>
        <v/>
      </c>
      <c r="UB37">
        <f>UB36+IF(AND($C36=1,$U36=1),1,0)</f>
        <v/>
      </c>
      <c r="UC37">
        <f>UC36+IF(AND($C36=2,$U36=1),1,0)</f>
        <v/>
      </c>
      <c r="UD37">
        <f>UD36+IF(AND($C36=3,$U36=1),1,0)</f>
        <v/>
      </c>
      <c r="UE37">
        <f>UE36+IF(AND($C36=4,$U36=1),1,0)</f>
        <v/>
      </c>
      <c r="UF37">
        <f>UF36+IF(AND($C36=5,$U36=1),1,0)</f>
        <v/>
      </c>
      <c r="UG37">
        <f>UG36+IF(AND($C36=6,$U36=1),1,0)</f>
        <v/>
      </c>
      <c r="UH37">
        <f>UH36+IF(AND($C36=7,$U36=1),1,0)</f>
        <v/>
      </c>
      <c r="UI37">
        <f>UI36+IF(AND($C36=8,$U36=1),1,0)</f>
        <v/>
      </c>
      <c r="UJ37">
        <f>UJ36+IF(AND($C36=9,$U36=1),1,0)</f>
        <v/>
      </c>
      <c r="UK37">
        <f>UK36+IF(AND($C36=10,$U36=1),1,0)</f>
        <v/>
      </c>
      <c r="UL37">
        <f>UL36+IF(AND($C36=11,$U36=1),1,0)</f>
        <v/>
      </c>
      <c r="UM37">
        <f>UM36+IF(AND($C36=12,$U36=1),1,0)</f>
        <v/>
      </c>
      <c r="UN37">
        <f>UN36+IF(AND($C36=13,$U36=1),1,0)</f>
        <v/>
      </c>
      <c r="UO37">
        <f>UO36+IF(AND($C36=14,$U36=1),1,0)</f>
        <v/>
      </c>
      <c r="UP37">
        <f>UP36+IF(AND($C36=15,$U36=1),1,0)</f>
        <v/>
      </c>
      <c r="UQ37">
        <f>UQ36+IF(AND($C36=16,$U36=1),1,0)</f>
        <v/>
      </c>
      <c r="UR37">
        <f>UR36+IF(AND($C36=17,$U36=1),1,0)</f>
        <v/>
      </c>
      <c r="US37">
        <f>US36+IF(AND($C36=18,$U36=1),1,0)</f>
        <v/>
      </c>
      <c r="UT37">
        <f>UT36+IF(AND($C36=19,$U36=1),1,0)</f>
        <v/>
      </c>
      <c r="UU37">
        <f>UU36+IF(AND($C36=20,$U36=1),1,0)</f>
        <v/>
      </c>
      <c r="UV37">
        <f>UV36+IF(AND($C36=21,$U36=1),1,0)</f>
        <v/>
      </c>
      <c r="UW37">
        <f>UW36+IF(AND($C36=22,$U36=1),1,0)</f>
        <v/>
      </c>
      <c r="UX37">
        <f>UX36+IF(AND($C36=23,$U36=1),1,0)</f>
        <v/>
      </c>
      <c r="UY37">
        <f>UY36+IF(AND($C36=24,$U36=1),1,0)</f>
        <v/>
      </c>
      <c r="UZ37">
        <f>UZ36+IF(AND($C36=25,$U36=1),1,0)</f>
        <v/>
      </c>
      <c r="VA37">
        <f>VA36+IF(AND($C36=26,$U36=1),1,0)</f>
        <v/>
      </c>
      <c r="VB37">
        <f>VB36+IF(AND($C36=27,$U36=1),1,0)</f>
        <v/>
      </c>
      <c r="VC37">
        <f>VC36+IF(AND($C36=28,$U36=1),1,0)</f>
        <v/>
      </c>
      <c r="VD37">
        <f>VD36+IF(AND($C36=29,$U36=1),1,0)</f>
        <v/>
      </c>
      <c r="VE37">
        <f>VE36+IF(AND($C36=30,$U36=1),1,0)</f>
        <v/>
      </c>
      <c r="VF37">
        <f>VF36+IF(AND($C36=31,$U36=1),1,0)</f>
        <v/>
      </c>
      <c r="VG37">
        <f>VG36+IF(AND($C36=32,$U36=1),1,0)</f>
        <v/>
      </c>
      <c r="VH37">
        <f>VH36+IF(AND($C36=33,$U36=1),1,0)</f>
        <v/>
      </c>
      <c r="VI37">
        <f>VI36+IF(AND($C36=34,$U36=1),1,0)</f>
        <v/>
      </c>
      <c r="VJ37">
        <f>VJ36+IF(AND($C36=35,$U36=1),1,0)</f>
        <v/>
      </c>
      <c r="VK37">
        <f>VK36+IF(AND($C36=36,$U36=1),1,0)</f>
        <v/>
      </c>
      <c r="VL37">
        <f>VL36+IF(AND($C36=37,$U36=1),1,0)</f>
        <v/>
      </c>
      <c r="VM37">
        <f>VM36+IF(AND($C36=38,$U36=1),1,0)</f>
        <v/>
      </c>
      <c r="VN37">
        <f>VN36+IF(AND($C36=39,$U36=1),1,0)</f>
        <v/>
      </c>
      <c r="VO37">
        <f>VO36+IF(AND($C36=40,$U36=1),1,0)</f>
        <v/>
      </c>
      <c r="VP37">
        <f>VP36+IF(AND($C36=41,$U36=1),1,0)</f>
        <v/>
      </c>
      <c r="VQ37">
        <f>VQ36+IF(AND($C36=42,$U36=1),1,0)</f>
        <v/>
      </c>
      <c r="VR37">
        <f>VR36+IF(AND($C36=43,$U36=1),1,0)</f>
        <v/>
      </c>
      <c r="VS37">
        <f>VS36+IF(AND($C36=44,$U36=1),1,0)</f>
        <v/>
      </c>
      <c r="VT37">
        <f>VT36+IF(AND($C36=45,$U36=1),1,0)</f>
        <v/>
      </c>
      <c r="VU37">
        <f>VU36+IF(AND($C36=46,$U36=1),1,0)</f>
        <v/>
      </c>
      <c r="VV37">
        <f>VV36+IF(AND($C36=47,$U36=1),1,0)</f>
        <v/>
      </c>
      <c r="VW37">
        <f>VW36+IF(AND($C36=48,$U36=1),1,0)</f>
        <v/>
      </c>
      <c r="VX37">
        <f>VX36+IF(AND($C36=49,$U36=1),1,0)</f>
        <v/>
      </c>
      <c r="VY37">
        <f>VY36+IF(AND($C36=50,$U36=1),1,0)</f>
        <v/>
      </c>
      <c r="VZ37">
        <f>VZ36+IF(AND($C36=51,$U36=1),1,0)</f>
        <v/>
      </c>
      <c r="WA37">
        <f>WA36+IF(AND($C36=52,$U36=1),1,0)</f>
        <v/>
      </c>
      <c r="WB37">
        <f>WB36+IF(AND($C36=53,$U36=1),1,0)</f>
        <v/>
      </c>
      <c r="WC37">
        <f>WC36+IF(AND($C36=54,$U36=1),1,0)</f>
        <v/>
      </c>
      <c r="WD37">
        <f>WD36+IF(AND($C36=55,$U36=1),1,0)</f>
        <v/>
      </c>
      <c r="WE37">
        <f>WE36+IF(AND($C36=56,$U36=1),1,0)</f>
        <v/>
      </c>
      <c r="WF37">
        <f>WF36+IF(AND($C36=57,$U36=1),1,0)</f>
        <v/>
      </c>
      <c r="WG37">
        <f>WG36+IF(AND($C36=58,$U36=1),1,0)</f>
        <v/>
      </c>
      <c r="WH37">
        <f>WH36+IF(AND($C36=59,$U36=1),1,0)</f>
        <v/>
      </c>
      <c r="WI37">
        <f>WI36+IF(AND($C36=60,$U36=1),1,0)</f>
        <v/>
      </c>
      <c r="WJ37">
        <f>WJ36+IF(AND($C36=61,$U36=1),1,0)</f>
        <v/>
      </c>
      <c r="WK37">
        <f>WK36+IF(AND($C36=62,$U36=1),1,0)</f>
        <v/>
      </c>
      <c r="WL37">
        <f>WL36+IF(AND($C36=63,$U36=1),1,0)</f>
        <v/>
      </c>
      <c r="WM37">
        <f>WM36+IF(AND($C36=64,$U36=1),1,0)</f>
        <v/>
      </c>
      <c r="WN37">
        <f>WN36+IF(AND($C36=65,$U36=1),1,0)</f>
        <v/>
      </c>
      <c r="WO37">
        <f>WO36+IF(AND($C36=66,$U36=1),1,0)</f>
        <v/>
      </c>
      <c r="WP37">
        <f>WP36+IF(AND($C36=67,$U36=1),1,0)</f>
        <v/>
      </c>
      <c r="WQ37">
        <f>WQ36+IF(AND($C36=68,$U36=1),1,0)</f>
        <v/>
      </c>
      <c r="WR37">
        <f>WR36+IF(AND($C36=69,$U36=1),1,0)</f>
        <v/>
      </c>
      <c r="WS37">
        <f>WS36+IF(AND($C36=70,$U36=1),1,0)</f>
        <v/>
      </c>
      <c r="WT37">
        <f>WT36+IF(AND($C36=71,$U36=1),1,0)</f>
        <v/>
      </c>
      <c r="WU37">
        <f>WU36+IF(AND($C36=72,$U36=1),1,0)</f>
        <v/>
      </c>
      <c r="WV37">
        <f>WV36+IF(AND($C36=73,$U36=1),1,0)</f>
        <v/>
      </c>
      <c r="WW37">
        <f>WW36+IF(AND($C36=74,$U36=1),1,0)</f>
        <v/>
      </c>
      <c r="WX37">
        <f>WX36+IF(AND($C36=75,$U36=1),1,0)</f>
        <v/>
      </c>
      <c r="WY37">
        <f>WY36+IF(AND($C36=76,$U36=1),1,0)</f>
        <v/>
      </c>
      <c r="WZ37">
        <f>WZ36+IF(AND($C36=77,$U36=1),1,0)</f>
        <v/>
      </c>
      <c r="XA37">
        <f>XA36+IF(AND($C36=78,$U36=1),1,0)</f>
        <v/>
      </c>
      <c r="XB37">
        <f>XB36+IF(AND($C36=79,$U36=1),1,0)</f>
        <v/>
      </c>
      <c r="XC37">
        <f>XC36+IF(AND($C36=80,$U36=1),1,0)</f>
        <v/>
      </c>
      <c r="XD37">
        <f>XD36+IF(AND($C36=81,$U36=1),1,0)</f>
        <v/>
      </c>
      <c r="XE37">
        <f>XE36+IF(AND($C36=82,$U36=1),1,0)</f>
        <v/>
      </c>
      <c r="XF37">
        <f>XF36+IF(AND($C36=83,$U36=1),1,0)</f>
        <v/>
      </c>
      <c r="XG37">
        <f>XG36+IF(AND($C36=84,$U36=1),1,0)</f>
        <v/>
      </c>
      <c r="XH37">
        <f>XH36+IF(AND($C36=85,$U36=1),1,0)</f>
        <v/>
      </c>
      <c r="XI37">
        <f>XI36+IF(AND($C36=86,$U36=1),1,0)</f>
        <v/>
      </c>
      <c r="XJ37">
        <f>XJ36+IF(AND($C36=87,$U36=1),1,0)</f>
        <v/>
      </c>
      <c r="XK37">
        <f>XK36+IF(AND($C36=88,$U36=1),1,0)</f>
        <v/>
      </c>
      <c r="XL37">
        <f>XL36+IF(AND($C36=89,$U36=1),1,0)</f>
        <v/>
      </c>
      <c r="XM37">
        <f>XM36+IF(AND($C36=90,$U36=1),1,0)</f>
        <v/>
      </c>
      <c r="XN37">
        <f>XN36+IF(AND($C36=91,$U36=1),1,0)</f>
        <v/>
      </c>
      <c r="XO37">
        <f>XO36+IF(AND($C36=92,$U36=1),1,0)</f>
        <v/>
      </c>
      <c r="XP37">
        <f>XP36+IF(AND($C36=93,$U36=1),1,0)</f>
        <v/>
      </c>
      <c r="XQ37">
        <f>XQ36+IF(AND($C36=94,$U36=1),1,0)</f>
        <v/>
      </c>
      <c r="XR37">
        <f>XR36+IF(AND($C36=95,$U36=1),1,0)</f>
        <v/>
      </c>
      <c r="XS37">
        <f>XS36+IF(AND($C36=96,$U36=1),1,0)</f>
        <v/>
      </c>
      <c r="XT37">
        <f>XT36+IF(AND($C36=97,$U36=1),1,0)</f>
        <v/>
      </c>
      <c r="XU37">
        <f>XU36+IF(AND($C36=98,$U36=1),1,0)</f>
        <v/>
      </c>
      <c r="XV37">
        <f>XV36+IF(AND($C36=99,$U36=1),1,0)</f>
        <v/>
      </c>
      <c r="XW37">
        <f>XW36+IF(AND($C36=100,$U36=1),1,0)</f>
        <v/>
      </c>
      <c r="XX37">
        <f>XX36+IF(AND($C36=101,$U36=1),1,0)</f>
        <v/>
      </c>
      <c r="XY37">
        <f>XY36+IF(AND($C36=102,$U36=1),1,0)</f>
        <v/>
      </c>
      <c r="XZ37">
        <f>XZ36+IF(AND($C36=103,$U36=1),1,0)</f>
        <v/>
      </c>
      <c r="YA37">
        <f>YA36+IF(AND($C36=104,$U36=1),1,0)</f>
        <v/>
      </c>
      <c r="YB37">
        <f>YB36+IF(AND($C36=105,$U36=1),1,0)</f>
        <v/>
      </c>
      <c r="YC37">
        <f>YC36+IF(AND($C36=106,$U36=1),1,0)</f>
        <v/>
      </c>
      <c r="YD37">
        <f>YD36+IF(AND($C36=107,$U36=1),1,0)</f>
        <v/>
      </c>
      <c r="YE37">
        <f>YE36+IF(AND($C36=108,$U36=1),1,0)</f>
        <v/>
      </c>
      <c r="YF37">
        <f>YF36+IF(AND($C36=109,$U36=1),1,0)</f>
        <v/>
      </c>
      <c r="YG37">
        <f>YG36+IF(AND($C36=110,$U36=1),1,0)</f>
        <v/>
      </c>
      <c r="YH37">
        <f>YH36+IF(AND($C36=111,$U36=1),1,0)</f>
        <v/>
      </c>
      <c r="YI37">
        <f>YI36+IF(AND($C36=112,$U36=1),1,0)</f>
        <v/>
      </c>
      <c r="YJ37">
        <f>YJ36+IF(AND($C36=113,$U36=1),1,0)</f>
        <v/>
      </c>
      <c r="YK37">
        <f>YK36+IF(AND($C36=114,$U36=1),1,0)</f>
        <v/>
      </c>
      <c r="YL37">
        <f>YL36+IF(AND($C36=115,$U36=1),1,0)</f>
        <v/>
      </c>
      <c r="YM37">
        <f>YM36+IF(AND($C36=116,$U36=1),1,0)</f>
        <v/>
      </c>
      <c r="YN37">
        <f>YN36+IF(AND($C36=117,$U36=1),1,0)</f>
        <v/>
      </c>
      <c r="YO37">
        <f>YO36+IF(AND($C36=118,$U36=1),1,0)</f>
        <v/>
      </c>
      <c r="YP37">
        <f>YP36+IF(AND($C36=119,$U36=1),1,0)</f>
        <v/>
      </c>
      <c r="YQ37">
        <f>YQ36+IF(AND($C36=120,$U36=1),1,0)</f>
        <v/>
      </c>
      <c r="YR37">
        <f>YR36+IF(AND($C36=121,$U36=1),1,0)</f>
        <v/>
      </c>
      <c r="YS37">
        <f>YS36+IF(AND($C36=122,$U36=1),1,0)</f>
        <v/>
      </c>
      <c r="YT37">
        <f>YT36+IF(AND($C36=123,$U36=1),1,0)</f>
        <v/>
      </c>
      <c r="YU37">
        <f>YU36+IF(AND($C36=124,$U36=1),1,0)</f>
        <v/>
      </c>
      <c r="YV37">
        <f>YV36+IF(AND($C36=125,$U36=1),1,0)</f>
        <v/>
      </c>
      <c r="YW37">
        <f>YW36+IF(AND($C36=126,$U36=1),1,0)</f>
        <v/>
      </c>
      <c r="YX37">
        <f>YX36+IF(AND($C36=127,$U36=1),1,0)</f>
        <v/>
      </c>
      <c r="YY37">
        <f>YY36+IF(AND($C36=128,$U36=1),1,0)</f>
        <v/>
      </c>
      <c r="YZ37">
        <f>YZ36+IF(AND($C36=129,$U36=1),1,0)</f>
        <v/>
      </c>
      <c r="ZA37">
        <f>ZA36+IF(AND($C36=130,$U36=1),1,0)</f>
        <v/>
      </c>
      <c r="ZB37">
        <f>ZB36+IF(AND($C36=131,$U36=1),1,0)</f>
        <v/>
      </c>
      <c r="ZC37">
        <f>ZC36+IF(AND($C36=132,$U36=1),1,0)</f>
        <v/>
      </c>
      <c r="ZD37">
        <f>ZD36+IF(AND($C36=133,$U36=1),1,0)</f>
        <v/>
      </c>
      <c r="ZE37">
        <f>ZE36+IF(AND($C36=134,$U36=1),1,0)</f>
        <v/>
      </c>
      <c r="ZF37">
        <f>ZF36+IF(AND($C36=135,$U36=1),1,0)</f>
        <v/>
      </c>
      <c r="ZG37">
        <f>ZG36+IF(AND($C36=136,$U36=1),1,0)</f>
        <v/>
      </c>
      <c r="ZH37">
        <f>ZH36+IF(AND($C36=137,$U36=1),1,0)</f>
        <v/>
      </c>
      <c r="ZI37">
        <f>ZI36+IF(AND($C36=138,$U36=1),1,0)</f>
        <v/>
      </c>
      <c r="ZJ37">
        <f>ZJ36+IF(AND($C36=139,$U36=1),1,0)</f>
        <v/>
      </c>
      <c r="ZK37">
        <f>ZK36+IF(AND($C36=140,$U36=1),1,0)</f>
        <v/>
      </c>
      <c r="ZL37">
        <f>ZL36+IF(AND($C36=141,$U36=1),1,0)</f>
        <v/>
      </c>
      <c r="ZM37">
        <f>ZM36+IF(AND($C36=142,$U36=1),1,0)</f>
        <v/>
      </c>
      <c r="ZN37">
        <f>ZN36+IF(AND($C36=143,$U36=1),1,0)</f>
        <v/>
      </c>
      <c r="ZO37">
        <f>ZO36+IF(AND($C36=144,$U36=1),1,0)</f>
        <v/>
      </c>
      <c r="ZQ37">
        <f>IF($C36=1,0,ZQ36+IF(AND($G36=1,$E36=1),1,0))</f>
        <v/>
      </c>
      <c r="ZR37">
        <f>IF($C36=2,0,ZR36+IF(AND($G36=2,$E36=1),1,0))</f>
        <v/>
      </c>
      <c r="ZS37">
        <f>IF($C36=3,0,ZS36+IF(AND($G36=3,$E36=1),1,0))</f>
        <v/>
      </c>
      <c r="ZT37">
        <f>IF($C36=4,0,ZT36+IF(AND($G36=4,$E36=1),1,0))</f>
        <v/>
      </c>
      <c r="ZU37">
        <f>IF($C36=5,0,ZU36+IF(AND($G36=5,$E36=1),1,0))</f>
        <v/>
      </c>
      <c r="ZV37">
        <f>IF($C36=6,0,ZV36+IF(AND($G36=6,$E36=1),1,0))</f>
        <v/>
      </c>
      <c r="ZW37">
        <f>IF($C36=7,0,ZW36+IF(AND($G36=7,$E36=1),1,0))</f>
        <v/>
      </c>
      <c r="ZX37">
        <f>IF($C36=8,0,ZX36+IF(AND($G36=8,$E36=1),1,0))</f>
        <v/>
      </c>
      <c r="ZY37">
        <f>IF($C36=9,0,ZY36+IF(AND($G36=9,$E36=1),1,0))</f>
        <v/>
      </c>
      <c r="ZZ37">
        <f>IF($C36=10,0,ZZ36+IF(AND($G36=10,$E36=1),1,0))</f>
        <v/>
      </c>
      <c r="AAA37">
        <f>IF($C36=11,0,AAA36+IF(AND($G36=11,$E36=1),1,0))</f>
        <v/>
      </c>
      <c r="AAB37">
        <f>IF($C36=12,0,AAB36+IF(AND($G36=12,$E36=1),1,0))</f>
        <v/>
      </c>
      <c r="AAC37">
        <f>IF($C36=13,0,AAC36+IF(AND($G36=13,$E36=1),1,0))</f>
        <v/>
      </c>
      <c r="AAD37">
        <f>IF($C36=14,0,AAD36+IF(AND($G36=14,$E36=1),1,0))</f>
        <v/>
      </c>
      <c r="AAE37">
        <f>IF($C36=15,0,AAE36+IF(AND($G36=15,$E36=1),1,0))</f>
        <v/>
      </c>
      <c r="AAF37">
        <f>IF($C36=16,0,AAF36+IF(AND($G36=16,$E36=1),1,0))</f>
        <v/>
      </c>
      <c r="AAG37">
        <f>IF($C36=17,0,AAG36+IF(AND($G36=17,$E36=1),1,0))</f>
        <v/>
      </c>
      <c r="AAH37">
        <f>IF($C36=18,0,AAH36+IF(AND($G36=18,$E36=1),1,0))</f>
        <v/>
      </c>
      <c r="AAI37">
        <f>IF($C36=19,0,AAI36+IF(AND($G36=19,$E36=1),1,0))</f>
        <v/>
      </c>
      <c r="AAJ37">
        <f>IF($C36=20,0,AAJ36+IF(AND($G36=20,$E36=1),1,0))</f>
        <v/>
      </c>
      <c r="AAK37">
        <f>IF($C36=21,0,AAK36+IF(AND($G36=21,$E36=1),1,0))</f>
        <v/>
      </c>
      <c r="AAL37">
        <f>IF($C36=22,0,AAL36+IF(AND($G36=22,$E36=1),1,0))</f>
        <v/>
      </c>
      <c r="AAM37">
        <f>IF($C36=23,0,AAM36+IF(AND($G36=23,$E36=1),1,0))</f>
        <v/>
      </c>
      <c r="AAN37">
        <f>IF($C36=24,0,AAN36+IF(AND($G36=24,$E36=1),1,0))</f>
        <v/>
      </c>
      <c r="AAO37">
        <f>IF($C36=25,0,AAO36+IF(AND($G36=25,$E36=1),1,0))</f>
        <v/>
      </c>
      <c r="AAP37">
        <f>IF($C36=26,0,AAP36+IF(AND($G36=26,$E36=1),1,0))</f>
        <v/>
      </c>
      <c r="AAQ37">
        <f>IF($C36=27,0,AAQ36+IF(AND($G36=27,$E36=1),1,0))</f>
        <v/>
      </c>
      <c r="AAR37">
        <f>IF($C36=28,0,AAR36+IF(AND($G36=28,$E36=1),1,0))</f>
        <v/>
      </c>
      <c r="AAS37">
        <f>IF($C36=29,0,AAS36+IF(AND($G36=29,$E36=1),1,0))</f>
        <v/>
      </c>
      <c r="AAT37">
        <f>IF($C36=30,0,AAT36+IF(AND($G36=30,$E36=1),1,0))</f>
        <v/>
      </c>
      <c r="AAU37">
        <f>IF($C36=31,0,AAU36+IF(AND($G36=31,$E36=1),1,0))</f>
        <v/>
      </c>
      <c r="AAV37">
        <f>IF($C36=32,0,AAV36+IF(AND($G36=32,$E36=1),1,0))</f>
        <v/>
      </c>
      <c r="AAW37">
        <f>IF($C36=33,0,AAW36+IF(AND($G36=33,$E36=1),1,0))</f>
        <v/>
      </c>
      <c r="AAX37">
        <f>IF($C36=34,0,AAX36+IF(AND($G36=34,$E36=1),1,0))</f>
        <v/>
      </c>
      <c r="AAY37">
        <f>IF($C36=35,0,AAY36+IF(AND($G36=35,$E36=1),1,0))</f>
        <v/>
      </c>
      <c r="AAZ37">
        <f>IF($C36=36,0,AAZ36+IF(AND($G36=36,$E36=1),1,0))</f>
        <v/>
      </c>
      <c r="ABA37">
        <f>IF($C36=37,0,ABA36+IF(AND($G36=37,$E36=1),1,0))</f>
        <v/>
      </c>
      <c r="ABB37">
        <f>IF($C36=38,0,ABB36+IF(AND($G36=38,$E36=1),1,0))</f>
        <v/>
      </c>
      <c r="ABC37">
        <f>IF($C36=39,0,ABC36+IF(AND($G36=39,$E36=1),1,0))</f>
        <v/>
      </c>
      <c r="ABD37">
        <f>IF($C36=40,0,ABD36+IF(AND($G36=40,$E36=1),1,0))</f>
        <v/>
      </c>
      <c r="ABE37">
        <f>IF($C36=41,0,ABE36+IF(AND($G36=41,$E36=1),1,0))</f>
        <v/>
      </c>
      <c r="ABF37">
        <f>IF($C36=42,0,ABF36+IF(AND($G36=42,$E36=1),1,0))</f>
        <v/>
      </c>
      <c r="ABG37">
        <f>IF($C36=43,0,ABG36+IF(AND($G36=43,$E36=1),1,0))</f>
        <v/>
      </c>
      <c r="ABH37">
        <f>IF($C36=44,0,ABH36+IF(AND($G36=44,$E36=1),1,0))</f>
        <v/>
      </c>
      <c r="ABI37">
        <f>IF($C36=45,0,ABI36+IF(AND($G36=45,$E36=1),1,0))</f>
        <v/>
      </c>
      <c r="ABJ37">
        <f>IF($C36=46,0,ABJ36+IF(AND($G36=46,$E36=1),1,0))</f>
        <v/>
      </c>
      <c r="ABK37">
        <f>IF($C36=47,0,ABK36+IF(AND($G36=47,$E36=1),1,0))</f>
        <v/>
      </c>
      <c r="ABL37">
        <f>IF($C36=48,0,ABL36+IF(AND($G36=48,$E36=1),1,0))</f>
        <v/>
      </c>
      <c r="ABM37">
        <f>IF($C36=49,0,ABM36+IF(AND($G36=49,$E36=1),1,0))</f>
        <v/>
      </c>
      <c r="ABN37">
        <f>IF($C36=50,0,ABN36+IF(AND($G36=50,$E36=1),1,0))</f>
        <v/>
      </c>
      <c r="ABO37">
        <f>IF($C36=51,0,ABO36+IF(AND($G36=51,$E36=1),1,0))</f>
        <v/>
      </c>
      <c r="ABP37">
        <f>IF($C36=52,0,ABP36+IF(AND($G36=52,$E36=1),1,0))</f>
        <v/>
      </c>
      <c r="ABQ37">
        <f>IF($C36=53,0,ABQ36+IF(AND($G36=53,$E36=1),1,0))</f>
        <v/>
      </c>
      <c r="ABR37">
        <f>IF($C36=54,0,ABR36+IF(AND($G36=54,$E36=1),1,0))</f>
        <v/>
      </c>
      <c r="ABS37">
        <f>IF($C36=55,0,ABS36+IF(AND($G36=55,$E36=1),1,0))</f>
        <v/>
      </c>
      <c r="ABT37">
        <f>IF($C36=56,0,ABT36+IF(AND($G36=56,$E36=1),1,0))</f>
        <v/>
      </c>
      <c r="ABU37">
        <f>IF($C36=57,0,ABU36+IF(AND($G36=57,$E36=1),1,0))</f>
        <v/>
      </c>
      <c r="ABV37">
        <f>IF($C36=58,0,ABV36+IF(AND($G36=58,$E36=1),1,0))</f>
        <v/>
      </c>
      <c r="ABW37">
        <f>IF($C36=59,0,ABW36+IF(AND($G36=59,$E36=1),1,0))</f>
        <v/>
      </c>
      <c r="ABX37">
        <f>IF($C36=60,0,ABX36+IF(AND($G36=60,$E36=1),1,0))</f>
        <v/>
      </c>
      <c r="ABY37">
        <f>IF($C36=61,0,ABY36+IF(AND($G36=61,$E36=1),1,0))</f>
        <v/>
      </c>
      <c r="ABZ37">
        <f>IF($C36=62,0,ABZ36+IF(AND($G36=62,$E36=1),1,0))</f>
        <v/>
      </c>
      <c r="ACA37">
        <f>IF($C36=63,0,ACA36+IF(AND($G36=63,$E36=1),1,0))</f>
        <v/>
      </c>
      <c r="ACB37">
        <f>IF($C36=64,0,ACB36+IF(AND($G36=64,$E36=1),1,0))</f>
        <v/>
      </c>
      <c r="ACC37">
        <f>IF($C36=65,0,ACC36+IF(AND($G36=65,$E36=1),1,0))</f>
        <v/>
      </c>
      <c r="ACD37">
        <f>IF($C36=66,0,ACD36+IF(AND($G36=66,$E36=1),1,0))</f>
        <v/>
      </c>
      <c r="ACE37">
        <f>IF($C36=67,0,ACE36+IF(AND($G36=67,$E36=1),1,0))</f>
        <v/>
      </c>
      <c r="ACF37">
        <f>IF($C36=68,0,ACF36+IF(AND($G36=68,$E36=1),1,0))</f>
        <v/>
      </c>
      <c r="ACG37">
        <f>IF($C36=69,0,ACG36+IF(AND($G36=69,$E36=1),1,0))</f>
        <v/>
      </c>
      <c r="ACH37">
        <f>IF($C36=70,0,ACH36+IF(AND($G36=70,$E36=1),1,0))</f>
        <v/>
      </c>
      <c r="ACI37">
        <f>IF($C36=71,0,ACI36+IF(AND($G36=71,$E36=1),1,0))</f>
        <v/>
      </c>
      <c r="ACJ37">
        <f>IF($C36=72,0,ACJ36+IF(AND($G36=72,$E36=1),1,0))</f>
        <v/>
      </c>
      <c r="ACK37">
        <f>IF($C36=73,0,ACK36+IF(AND($G36=73,$E36=1),1,0))</f>
        <v/>
      </c>
      <c r="ACL37">
        <f>IF($C36=74,0,ACL36+IF(AND($G36=74,$E36=1),1,0))</f>
        <v/>
      </c>
      <c r="ACM37">
        <f>IF($C36=75,0,ACM36+IF(AND($G36=75,$E36=1),1,0))</f>
        <v/>
      </c>
      <c r="ACN37">
        <f>IF($C36=76,0,ACN36+IF(AND($G36=76,$E36=1),1,0))</f>
        <v/>
      </c>
      <c r="ACO37">
        <f>IF($C36=77,0,ACO36+IF(AND($G36=77,$E36=1),1,0))</f>
        <v/>
      </c>
      <c r="ACP37">
        <f>IF($C36=78,0,ACP36+IF(AND($G36=78,$E36=1),1,0))</f>
        <v/>
      </c>
      <c r="ACQ37">
        <f>IF($C36=79,0,ACQ36+IF(AND($G36=79,$E36=1),1,0))</f>
        <v/>
      </c>
      <c r="ACR37">
        <f>IF($C36=80,0,ACR36+IF(AND($G36=80,$E36=1),1,0))</f>
        <v/>
      </c>
      <c r="ACS37">
        <f>IF($C36=81,0,ACS36+IF(AND($G36=81,$E36=1),1,0))</f>
        <v/>
      </c>
      <c r="ACT37">
        <f>IF($C36=82,0,ACT36+IF(AND($G36=82,$E36=1),1,0))</f>
        <v/>
      </c>
      <c r="ACU37">
        <f>IF($C36=83,0,ACU36+IF(AND($G36=83,$E36=1),1,0))</f>
        <v/>
      </c>
      <c r="ACV37">
        <f>IF($C36=84,0,ACV36+IF(AND($G36=84,$E36=1),1,0))</f>
        <v/>
      </c>
      <c r="ACW37">
        <f>IF($C36=85,0,ACW36+IF(AND($G36=85,$E36=1),1,0))</f>
        <v/>
      </c>
      <c r="ACX37">
        <f>IF($C36=86,0,ACX36+IF(AND($G36=86,$E36=1),1,0))</f>
        <v/>
      </c>
      <c r="ACY37">
        <f>IF($C36=87,0,ACY36+IF(AND($G36=87,$E36=1),1,0))</f>
        <v/>
      </c>
      <c r="ACZ37">
        <f>IF($C36=88,0,ACZ36+IF(AND($G36=88,$E36=1),1,0))</f>
        <v/>
      </c>
      <c r="ADA37">
        <f>IF($C36=89,0,ADA36+IF(AND($G36=89,$E36=1),1,0))</f>
        <v/>
      </c>
      <c r="ADB37">
        <f>IF($C36=90,0,ADB36+IF(AND($G36=90,$E36=1),1,0))</f>
        <v/>
      </c>
      <c r="ADC37">
        <f>IF($C36=91,0,ADC36+IF(AND($G36=91,$E36=1),1,0))</f>
        <v/>
      </c>
      <c r="ADD37">
        <f>IF($C36=92,0,ADD36+IF(AND($G36=92,$E36=1),1,0))</f>
        <v/>
      </c>
      <c r="ADE37">
        <f>IF($C36=93,0,ADE36+IF(AND($G36=93,$E36=1),1,0))</f>
        <v/>
      </c>
      <c r="ADF37">
        <f>IF($C36=94,0,ADF36+IF(AND($G36=94,$E36=1),1,0))</f>
        <v/>
      </c>
      <c r="ADG37">
        <f>IF($C36=95,0,ADG36+IF(AND($G36=95,$E36=1),1,0))</f>
        <v/>
      </c>
      <c r="ADH37">
        <f>IF($C36=96,0,ADH36+IF(AND($G36=96,$E36=1),1,0))</f>
        <v/>
      </c>
      <c r="ADI37">
        <f>IF($C36=97,0,ADI36+IF(AND($G36=97,$E36=1),1,0))</f>
        <v/>
      </c>
      <c r="ADJ37">
        <f>IF($C36=98,0,ADJ36+IF(AND($G36=98,$E36=1),1,0))</f>
        <v/>
      </c>
      <c r="ADK37">
        <f>IF($C36=99,0,ADK36+IF(AND($G36=99,$E36=1),1,0))</f>
        <v/>
      </c>
      <c r="ADL37">
        <f>IF($C36=100,0,ADL36+IF(AND($G36=100,$E36=1),1,0))</f>
        <v/>
      </c>
      <c r="ADM37">
        <f>IF($C36=101,0,ADM36+IF(AND($G36=101,$E36=1),1,0))</f>
        <v/>
      </c>
      <c r="ADN37">
        <f>IF($C36=102,0,ADN36+IF(AND($G36=102,$E36=1),1,0))</f>
        <v/>
      </c>
      <c r="ADO37">
        <f>IF($C36=103,0,ADO36+IF(AND($G36=103,$E36=1),1,0))</f>
        <v/>
      </c>
      <c r="ADP37">
        <f>IF($C36=104,0,ADP36+IF(AND($G36=104,$E36=1),1,0))</f>
        <v/>
      </c>
      <c r="ADQ37">
        <f>IF($C36=105,0,ADQ36+IF(AND($G36=105,$E36=1),1,0))</f>
        <v/>
      </c>
      <c r="ADR37">
        <f>IF($C36=106,0,ADR36+IF(AND($G36=106,$E36=1),1,0))</f>
        <v/>
      </c>
      <c r="ADS37">
        <f>IF($C36=107,0,ADS36+IF(AND($G36=107,$E36=1),1,0))</f>
        <v/>
      </c>
      <c r="ADT37">
        <f>IF($C36=108,0,ADT36+IF(AND($G36=108,$E36=1),1,0))</f>
        <v/>
      </c>
      <c r="ADU37">
        <f>IF($C36=109,0,ADU36+IF(AND($G36=109,$E36=1),1,0))</f>
        <v/>
      </c>
      <c r="ADV37">
        <f>IF($C36=110,0,ADV36+IF(AND($G36=110,$E36=1),1,0))</f>
        <v/>
      </c>
      <c r="ADW37">
        <f>IF($C36=111,0,ADW36+IF(AND($G36=111,$E36=1),1,0))</f>
        <v/>
      </c>
      <c r="ADX37">
        <f>IF($C36=112,0,ADX36+IF(AND($G36=112,$E36=1),1,0))</f>
        <v/>
      </c>
      <c r="ADY37">
        <f>IF($C36=113,0,ADY36+IF(AND($G36=113,$E36=1),1,0))</f>
        <v/>
      </c>
      <c r="ADZ37">
        <f>IF($C36=114,0,ADZ36+IF(AND($G36=114,$E36=1),1,0))</f>
        <v/>
      </c>
      <c r="AEA37">
        <f>IF($C36=115,0,AEA36+IF(AND($G36=115,$E36=1),1,0))</f>
        <v/>
      </c>
      <c r="AEB37">
        <f>IF($C36=116,0,AEB36+IF(AND($G36=116,$E36=1),1,0))</f>
        <v/>
      </c>
      <c r="AEC37">
        <f>IF($C36=117,0,AEC36+IF(AND($G36=117,$E36=1),1,0))</f>
        <v/>
      </c>
      <c r="AED37">
        <f>IF($C36=118,0,AED36+IF(AND($G36=118,$E36=1),1,0))</f>
        <v/>
      </c>
      <c r="AEE37">
        <f>IF($C36=119,0,AEE36+IF(AND($G36=119,$E36=1),1,0))</f>
        <v/>
      </c>
      <c r="AEF37">
        <f>IF($C36=120,0,AEF36+IF(AND($G36=120,$E36=1),1,0))</f>
        <v/>
      </c>
      <c r="AEG37">
        <f>IF($C36=121,0,AEG36+IF(AND($G36=121,$E36=1),1,0))</f>
        <v/>
      </c>
      <c r="AEH37">
        <f>IF($C36=122,0,AEH36+IF(AND($G36=122,$E36=1),1,0))</f>
        <v/>
      </c>
      <c r="AEI37">
        <f>IF($C36=123,0,AEI36+IF(AND($G36=123,$E36=1),1,0))</f>
        <v/>
      </c>
      <c r="AEJ37">
        <f>IF($C36=124,0,AEJ36+IF(AND($G36=124,$E36=1),1,0))</f>
        <v/>
      </c>
      <c r="AEK37">
        <f>IF($C36=125,0,AEK36+IF(AND($G36=125,$E36=1),1,0))</f>
        <v/>
      </c>
      <c r="AEL37">
        <f>IF($C36=126,0,AEL36+IF(AND($G36=126,$E36=1),1,0))</f>
        <v/>
      </c>
      <c r="AEM37">
        <f>IF($C36=127,0,AEM36+IF(AND($G36=127,$E36=1),1,0))</f>
        <v/>
      </c>
      <c r="AEN37">
        <f>IF($C36=128,0,AEN36+IF(AND($G36=128,$E36=1),1,0))</f>
        <v/>
      </c>
      <c r="AEO37">
        <f>IF($C36=129,0,AEO36+IF(AND($G36=129,$E36=1),1,0))</f>
        <v/>
      </c>
      <c r="AEP37">
        <f>IF($C36=130,0,AEP36+IF(AND($G36=130,$E36=1),1,0))</f>
        <v/>
      </c>
      <c r="AEQ37">
        <f>IF($C36=131,0,AEQ36+IF(AND($G36=131,$E36=1),1,0))</f>
        <v/>
      </c>
      <c r="AER37">
        <f>IF($C36=132,0,AER36+IF(AND($G36=132,$E36=1),1,0))</f>
        <v/>
      </c>
      <c r="AES37">
        <f>IF($C36=133,0,AES36+IF(AND($G36=133,$E36=1),1,0))</f>
        <v/>
      </c>
      <c r="AET37">
        <f>IF($C36=134,0,AET36+IF(AND($G36=134,$E36=1),1,0))</f>
        <v/>
      </c>
      <c r="AEU37">
        <f>IF($C36=135,0,AEU36+IF(AND($G36=135,$E36=1),1,0))</f>
        <v/>
      </c>
      <c r="AEV37">
        <f>IF($C36=136,0,AEV36+IF(AND($G36=136,$E36=1),1,0))</f>
        <v/>
      </c>
      <c r="AEW37">
        <f>IF($C36=137,0,AEW36+IF(AND($G36=137,$E36=1),1,0))</f>
        <v/>
      </c>
      <c r="AEX37">
        <f>IF($C36=138,0,AEX36+IF(AND($G36=138,$E36=1),1,0))</f>
        <v/>
      </c>
      <c r="AEY37">
        <f>IF($C36=139,0,AEY36+IF(AND($G36=139,$E36=1),1,0))</f>
        <v/>
      </c>
      <c r="AEZ37">
        <f>IF($C36=140,0,AEZ36+IF(AND($G36=140,$E36=1),1,0))</f>
        <v/>
      </c>
      <c r="AFA37">
        <f>IF($C36=141,0,AFA36+IF(AND($G36=141,$E36=1),1,0))</f>
        <v/>
      </c>
      <c r="AFB37">
        <f>IF($C36=142,0,AFB36+IF(AND($G36=142,$E36=1),1,0))</f>
        <v/>
      </c>
      <c r="AFC37">
        <f>IF($C36=143,0,AFC36+IF(AND($G36=143,$E36=1),1,0))</f>
        <v/>
      </c>
      <c r="AFD37">
        <f>IF($C36=144,0,AFD36+IF(AND($G36=144,$E36=1),1,0))</f>
        <v/>
      </c>
      <c r="AFF37">
        <f>IF('calcA'!D$106=1,DC37+ZR37,1)</f>
        <v/>
      </c>
      <c r="AFG37">
        <f>IF('calcA'!E$106=1,DD37+ZS37,1)</f>
        <v/>
      </c>
      <c r="AFH37">
        <f>IF('calcA'!F$106=1,DE37+ZT37,1)</f>
        <v/>
      </c>
      <c r="AFI37">
        <f>IF('calcA'!G$106=1,DF37+ZU37,1)</f>
        <v/>
      </c>
      <c r="AFJ37">
        <f>IF('calcA'!H$106=1,DG37+ZV37,1)</f>
        <v/>
      </c>
      <c r="AFK37">
        <f>IF('calcA'!I$106=1,DH37+ZW37,1)</f>
        <v/>
      </c>
      <c r="AFL37">
        <f>IF('calcA'!J$106=1,DI37+ZX37,1)</f>
        <v/>
      </c>
      <c r="AFM37">
        <f>IF('calcA'!K$106=1,DJ37+ZY37,1)</f>
        <v/>
      </c>
      <c r="AFN37">
        <f>IF('calcA'!L$106=1,DK37+ZZ37,1)</f>
        <v/>
      </c>
      <c r="AFO37">
        <f>IF('calcA'!M$106=1,DL37+AAA37,1)</f>
        <v/>
      </c>
      <c r="AFP37">
        <f>IF('calcA'!N$106=1,DM37+AAB37,1)</f>
        <v/>
      </c>
      <c r="AFQ37">
        <f>IF('calcA'!O$106=1,DN37+AAC37,1)</f>
        <v/>
      </c>
      <c r="AFR37">
        <f>IF('calcA'!P$106=1,DO37+AAD37,1)</f>
        <v/>
      </c>
      <c r="AFS37">
        <f>IF('calcA'!Q$106=1,DP37+AAE37,1)</f>
        <v/>
      </c>
      <c r="AFT37">
        <f>IF('calcA'!R$106=1,DQ37+AAF37,1)</f>
        <v/>
      </c>
      <c r="AFU37">
        <f>IF('calcA'!S$106=1,DR37+AAG37,1)</f>
        <v/>
      </c>
      <c r="AFV37">
        <f>IF('calcA'!T$106=1,DS37+AAH37,1)</f>
        <v/>
      </c>
      <c r="AFW37">
        <f>IF('calcA'!U$106=1,DT37+AAI37,1)</f>
        <v/>
      </c>
      <c r="AFX37">
        <f>IF('calcA'!V$106=1,DU37+AAJ37,1)</f>
        <v/>
      </c>
      <c r="AFY37">
        <f>IF('calcA'!W$106=1,DV37+AAK37,1)</f>
        <v/>
      </c>
      <c r="AFZ37">
        <f>IF('calcA'!X$106=1,DW37+AAL37,1)</f>
        <v/>
      </c>
      <c r="AGA37">
        <f>IF('calcA'!Y$106=1,DX37+AAM37,1)</f>
        <v/>
      </c>
      <c r="AGB37">
        <f>IF('calcA'!Z$106=1,DY37+AAN37,1)</f>
        <v/>
      </c>
      <c r="AGC37">
        <f>IF('calcA'!AA$106=1,DZ37+AAO37,1)</f>
        <v/>
      </c>
      <c r="AGD37">
        <f>IF('calcA'!AB$106=1,EA37+AAP37,1)</f>
        <v/>
      </c>
      <c r="AGE37">
        <f>IF('calcA'!AC$106=1,EB37+AAQ37,1)</f>
        <v/>
      </c>
      <c r="AGF37">
        <f>IF('calcA'!AD$106=1,EC37+AAR37,1)</f>
        <v/>
      </c>
      <c r="AGG37">
        <f>IF('calcA'!AE$106=1,ED37+AAS37,1)</f>
        <v/>
      </c>
      <c r="AGH37">
        <f>IF('calcA'!AF$106=1,EE37+AAT37,1)</f>
        <v/>
      </c>
      <c r="AGI37">
        <f>IF('calcA'!AG$106=1,EF37+AAU37,1)</f>
        <v/>
      </c>
      <c r="AGJ37">
        <f>IF('calcA'!AH$106=1,EG37+AAV37,1)</f>
        <v/>
      </c>
      <c r="AGK37">
        <f>IF('calcA'!AI$106=1,EH37+AAW37,1)</f>
        <v/>
      </c>
      <c r="AGL37">
        <f>IF('calcA'!AJ$106=1,EI37+AAX37,1)</f>
        <v/>
      </c>
      <c r="AGM37">
        <f>IF('calcA'!AK$106=1,EJ37+AAY37,1)</f>
        <v/>
      </c>
      <c r="AGN37">
        <f>IF('calcA'!AL$106=1,EK37+AAZ37,1)</f>
        <v/>
      </c>
      <c r="AGO37">
        <f>IF('calcA'!AM$106=1,EL37+ABA37,1)</f>
        <v/>
      </c>
      <c r="AGP37">
        <f>IF('calcA'!AN$106=1,EM37+ABB37,1)</f>
        <v/>
      </c>
      <c r="AGQ37">
        <f>IF('calcA'!AO$106=1,EN37+ABC37,1)</f>
        <v/>
      </c>
      <c r="AGR37">
        <f>IF('calcA'!AP$106=1,EO37+ABD37,1)</f>
        <v/>
      </c>
      <c r="AGS37">
        <f>IF('calcA'!AQ$106=1,EP37+ABE37,1)</f>
        <v/>
      </c>
      <c r="AGT37">
        <f>IF('calcA'!AR$106=1,EQ37+ABF37,1)</f>
        <v/>
      </c>
      <c r="AGU37">
        <f>IF('calcA'!AS$106=1,ER37+ABG37,1)</f>
        <v/>
      </c>
      <c r="AGV37">
        <f>IF('calcA'!AT$106=1,ES37+ABH37,1)</f>
        <v/>
      </c>
      <c r="AGW37">
        <f>IF('calcA'!AU$106=1,ET37+ABI37,1)</f>
        <v/>
      </c>
      <c r="AGX37">
        <f>IF('calcA'!AV$106=1,EU37+ABJ37,1)</f>
        <v/>
      </c>
      <c r="AGY37">
        <f>IF('calcA'!AW$106=1,EV37+ABK37,1)</f>
        <v/>
      </c>
      <c r="AGZ37">
        <f>IF('calcA'!AX$106=1,EW37+ABL37,1)</f>
        <v/>
      </c>
      <c r="AHA37">
        <f>IF('calcA'!AY$106=1,EX37+ABM37,1)</f>
        <v/>
      </c>
      <c r="AHB37">
        <f>IF('calcA'!AZ$106=1,EY37+ABN37,1)</f>
        <v/>
      </c>
      <c r="AHC37">
        <f>IF('calcA'!BA$106=1,EZ37+ABO37,1)</f>
        <v/>
      </c>
      <c r="AHD37">
        <f>IF('calcA'!BB$106=1,FA37+ABP37,1)</f>
        <v/>
      </c>
      <c r="AHE37">
        <f>IF('calcA'!BC$106=1,FB37+ABQ37,1)</f>
        <v/>
      </c>
      <c r="AHF37">
        <f>IF('calcA'!BD$106=1,FC37+ABR37,1)</f>
        <v/>
      </c>
      <c r="AHG37">
        <f>IF('calcA'!BE$106=1,FD37+ABS37,1)</f>
        <v/>
      </c>
      <c r="AHH37">
        <f>IF('calcA'!BF$106=1,FE37+ABT37,1)</f>
        <v/>
      </c>
      <c r="AHI37">
        <f>IF('calcA'!BG$106=1,FF37+ABU37,1)</f>
        <v/>
      </c>
      <c r="AHJ37">
        <f>IF('calcA'!BH$106=1,FG37+ABV37,1)</f>
        <v/>
      </c>
      <c r="AHK37">
        <f>IF('calcA'!BI$106=1,FH37+ABW37,1)</f>
        <v/>
      </c>
      <c r="AHL37">
        <f>IF('calcA'!BJ$106=1,FI37+ABX37,1)</f>
        <v/>
      </c>
      <c r="AHM37">
        <f>IF('calcA'!BK$106=1,FJ37+ABY37,1)</f>
        <v/>
      </c>
      <c r="AHN37">
        <f>IF('calcA'!BL$106=1,FK37+ABZ37,1)</f>
        <v/>
      </c>
      <c r="AHO37">
        <f>IF('calcA'!BM$106=1,FL37+ACA37,1)</f>
        <v/>
      </c>
      <c r="AHP37">
        <f>IF('calcA'!BN$106=1,FM37+ACB37,1)</f>
        <v/>
      </c>
      <c r="AHQ37">
        <f>IF('calcA'!BO$106=1,FN37+ACC37,1)</f>
        <v/>
      </c>
      <c r="AHR37">
        <f>IF('calcA'!BP$106=1,FO37+ACD37,1)</f>
        <v/>
      </c>
      <c r="AHS37">
        <f>IF('calcA'!BQ$106=1,FP37+ACE37,1)</f>
        <v/>
      </c>
      <c r="AHT37">
        <f>IF('calcA'!BR$106=1,FQ37+ACF37,1)</f>
        <v/>
      </c>
      <c r="AHU37">
        <f>IF('calcA'!BS$106=1,FR37+ACG37,1)</f>
        <v/>
      </c>
      <c r="AHV37">
        <f>IF('calcA'!BT$106=1,FS37+ACH37,1)</f>
        <v/>
      </c>
      <c r="AHW37">
        <f>IF('calcA'!BU$106=1,FT37+ACI37,1)</f>
        <v/>
      </c>
      <c r="AHX37">
        <f>IF('calcA'!BV$106=1,FU37+ACJ37,1)</f>
        <v/>
      </c>
      <c r="AHY37">
        <f>IF('calcA'!BW$106=1,FV37+ACK37,1)</f>
        <v/>
      </c>
      <c r="AHZ37">
        <f>IF('calcA'!BX$106=1,FW37+ACL37,1)</f>
        <v/>
      </c>
      <c r="AIA37">
        <f>IF('calcA'!BY$106=1,FX37+ACM37,1)</f>
        <v/>
      </c>
      <c r="AIB37">
        <f>IF('calcA'!BZ$106=1,FY37+ACN37,1)</f>
        <v/>
      </c>
      <c r="AIC37">
        <f>IF('calcA'!CA$106=1,FZ37+ACO37,1)</f>
        <v/>
      </c>
      <c r="AID37">
        <f>IF('calcA'!CB$106=1,GA37+ACP37,1)</f>
        <v/>
      </c>
      <c r="AIE37">
        <f>IF('calcA'!CC$106=1,GB37+ACQ37,1)</f>
        <v/>
      </c>
      <c r="AIF37">
        <f>IF('calcA'!CD$106=1,GC37+ACR37,1)</f>
        <v/>
      </c>
      <c r="AIG37">
        <f>IF('calcA'!CE$106=1,GD37+ACS37,1)</f>
        <v/>
      </c>
      <c r="AIH37">
        <f>IF('calcA'!CF$106=1,GE37+ACT37,1)</f>
        <v/>
      </c>
      <c r="AII37">
        <f>IF('calcA'!CG$106=1,GF37+ACU37,1)</f>
        <v/>
      </c>
      <c r="AIJ37">
        <f>IF('calcA'!CH$106=1,GG37+ACV37,1)</f>
        <v/>
      </c>
      <c r="AIK37">
        <f>IF('calcA'!CI$106=1,GH37+ACW37,1)</f>
        <v/>
      </c>
      <c r="AIL37">
        <f>IF('calcA'!CJ$106=1,GI37+ACX37,1)</f>
        <v/>
      </c>
      <c r="AIM37">
        <f>IF('calcA'!CK$106=1,GJ37+ACY37,1)</f>
        <v/>
      </c>
      <c r="AIN37">
        <f>IF('calcA'!CL$106=1,GK37+ACZ37,1)</f>
        <v/>
      </c>
      <c r="AIO37">
        <f>IF('calcA'!CM$106=1,GL37+ADA37,1)</f>
        <v/>
      </c>
      <c r="AIP37">
        <f>IF('calcA'!CN$106=1,GM37+ADB37,1)</f>
        <v/>
      </c>
      <c r="AIQ37">
        <f>IF('calcA'!CO$106=1,GN37+ADC37,1)</f>
        <v/>
      </c>
      <c r="AIR37">
        <f>IF('calcA'!CP$106=1,GO37+ADD37,1)</f>
        <v/>
      </c>
      <c r="AIS37">
        <f>IF('calcA'!CQ$106=1,GP37+ADE37,1)</f>
        <v/>
      </c>
      <c r="AIT37">
        <f>IF('calcA'!CR$106=1,GQ37+ADF37,1)</f>
        <v/>
      </c>
      <c r="AIU37">
        <f>IF('calcA'!CS$106=1,GR37+ADG37,1)</f>
        <v/>
      </c>
      <c r="AIV37">
        <f>IF('calcA'!CT$106=1,GS37+ADH37,1)</f>
        <v/>
      </c>
      <c r="AIW37">
        <f>IF('calcA'!CU$106=1,GT37+ADI37,1)</f>
        <v/>
      </c>
      <c r="AIX37">
        <f>IF('calcA'!CV$106=1,GU37+ADJ37,1)</f>
        <v/>
      </c>
      <c r="AIY37">
        <f>IF('calcA'!CW$106=1,GV37+ADK37,1)</f>
        <v/>
      </c>
      <c r="AIZ37">
        <f>IF('calcA'!CX$106=1,GW37+ADL37,1)</f>
        <v/>
      </c>
      <c r="AJA37">
        <f>IF('calcA'!CY$106=1,GX37+ADM37,1)</f>
        <v/>
      </c>
      <c r="AJB37">
        <f>IF('calcA'!CZ$106=1,GY37+ADN37,1)</f>
        <v/>
      </c>
      <c r="AJC37">
        <f>IF('calcA'!DA$106=1,GZ37+ADO37,1)</f>
        <v/>
      </c>
      <c r="AJD37">
        <f>IF('calcA'!DB$106=1,HA37+ADP37,1)</f>
        <v/>
      </c>
      <c r="AJE37">
        <f>IF('calcA'!DC$106=1,HB37+ADQ37,1)</f>
        <v/>
      </c>
      <c r="AJF37">
        <f>IF('calcA'!DD$106=1,HC37+ADR37,1)</f>
        <v/>
      </c>
      <c r="AJG37">
        <f>IF('calcA'!DE$106=1,HD37+ADS37,1)</f>
        <v/>
      </c>
      <c r="AJH37">
        <f>IF('calcA'!DF$106=1,HE37+ADT37,1)</f>
        <v/>
      </c>
      <c r="AJI37">
        <f>IF('calcA'!DG$106=1,HF37+ADU37,1)</f>
        <v/>
      </c>
      <c r="AJJ37">
        <f>IF('calcA'!DH$106=1,HG37+ADV37,1)</f>
        <v/>
      </c>
      <c r="AJK37">
        <f>IF('calcA'!DI$106=1,HH37+ADW37,1)</f>
        <v/>
      </c>
      <c r="AJL37">
        <f>IF('calcA'!DJ$106=1,HI37+ADX37,1)</f>
        <v/>
      </c>
      <c r="AJM37">
        <f>IF('calcA'!DK$106=1,HJ37+ADY37,1)</f>
        <v/>
      </c>
      <c r="AJN37">
        <f>IF('calcA'!DL$106=1,HK37+ADZ37,1)</f>
        <v/>
      </c>
      <c r="AJO37">
        <f>IF('calcA'!DM$106=1,HL37+AEA37,1)</f>
        <v/>
      </c>
      <c r="AJP37">
        <f>IF('calcA'!DN$106=1,HM37+AEB37,1)</f>
        <v/>
      </c>
      <c r="AJQ37">
        <f>IF('calcA'!DO$106=1,HN37+AEC37,1)</f>
        <v/>
      </c>
      <c r="AJR37">
        <f>IF('calcA'!DP$106=1,HO37+AED37,1)</f>
        <v/>
      </c>
      <c r="AJS37">
        <f>IF('calcA'!DQ$106=1,HP37+AEE37,1)</f>
        <v/>
      </c>
      <c r="AJT37">
        <f>IF('calcA'!DR$106=1,HQ37+AEF37,1)</f>
        <v/>
      </c>
      <c r="AJU37">
        <f>IF('calcA'!DS$106=1,HR37+AEG37,1)</f>
        <v/>
      </c>
      <c r="AJV37">
        <f>IF('calcA'!DT$106=1,HS37+AEH37,1)</f>
        <v/>
      </c>
      <c r="AJW37">
        <f>IF('calcA'!DU$106=1,HT37+AEI37,1)</f>
        <v/>
      </c>
      <c r="AJX37">
        <f>IF('calcA'!DV$106=1,HU37+AEJ37,1)</f>
        <v/>
      </c>
      <c r="AJY37">
        <f>IF('calcA'!DW$106=1,HV37+AEK37,1)</f>
        <v/>
      </c>
      <c r="AJZ37">
        <f>IF('calcA'!DX$106=1,HW37+AEL37,1)</f>
        <v/>
      </c>
      <c r="AKA37">
        <f>IF('calcA'!DY$106=1,HX37+AEM37,1)</f>
        <v/>
      </c>
      <c r="AKB37">
        <f>IF('calcA'!DZ$106=1,HY37+AEN37,1)</f>
        <v/>
      </c>
      <c r="AKC37">
        <f>IF('calcA'!EA$106=1,HZ37+AEO37,1)</f>
        <v/>
      </c>
      <c r="AKD37">
        <f>IF('calcA'!EB$106=1,IA37+AEP37,1)</f>
        <v/>
      </c>
      <c r="AKE37">
        <f>IF('calcA'!EC$106=1,IB37+AEQ37,1)</f>
        <v/>
      </c>
      <c r="AKF37">
        <f>IF('calcA'!ED$106=1,IC37+AER37,1)</f>
        <v/>
      </c>
      <c r="AKG37">
        <f>IF('calcA'!EE$106=1,ID37+AES37,1)</f>
        <v/>
      </c>
      <c r="AKH37">
        <f>IF('calcA'!EF$106=1,IE37+AET37,1)</f>
        <v/>
      </c>
      <c r="AKI37">
        <f>IF('calcA'!EG$106=1,IF37+AEU37,1)</f>
        <v/>
      </c>
      <c r="AKJ37">
        <f>IF('calcA'!EH$106=1,IG37+AEV37,1)</f>
        <v/>
      </c>
      <c r="AKK37">
        <f>IF('calcA'!EI$106=1,IH37+AEW37,1)</f>
        <v/>
      </c>
      <c r="AKL37">
        <f>IF('calcA'!EJ$106=1,II37+AEX37,1)</f>
        <v/>
      </c>
      <c r="AKM37">
        <f>IF('calcA'!EK$106=1,IJ37+AEY37,1)</f>
        <v/>
      </c>
      <c r="AKN37">
        <f>IF('calcA'!EL$106=1,IK37+AEZ37,1)</f>
        <v/>
      </c>
      <c r="AKO37">
        <f>IF('calcA'!EM$106=1,IL37+AFA37,1)</f>
        <v/>
      </c>
      <c r="AKP37">
        <f>IF('calcA'!EN$106=1,IM37+AFB37,1)</f>
        <v/>
      </c>
      <c r="AKQ37">
        <f>IF('calcA'!EO$106=1,IN37+AFC37,1)</f>
        <v/>
      </c>
      <c r="AKR37">
        <f>IF('calcA'!EP$106=1,IO37+AFD37,1)</f>
        <v/>
      </c>
      <c r="AKS37" t="n">
        <v>1</v>
      </c>
    </row>
    <row r="38">
      <c r="A38" t="n">
        <v>36</v>
      </c>
      <c r="B38">
        <f>IF(MIN(BM38:CZ38)&gt;=1000000000,0,MATCH(MIN(BM38:CZ38),BM38:CZ38,0))</f>
        <v/>
      </c>
      <c r="C38">
        <f>IF(MIN(OF38:TS38)&gt;=1000000000,0,MATCH(MIN(OF38:TS38),OF38:TS38,0))</f>
        <v/>
      </c>
      <c r="D38">
        <f>IF(C38&gt;0,INDEX('calcA'!$D$5:$EQ$5,C38),0)</f>
        <v/>
      </c>
      <c r="E38">
        <f>IF(B38=0,0,INDEX('calcA'!$IQ$10:$IQ$54,B38))</f>
        <v/>
      </c>
      <c r="F38">
        <f>IF(B38=0,0,INDEX('calcA'!$IP$10:$IP$54,B38))</f>
        <v/>
      </c>
      <c r="G38">
        <f>IF(AND(C38&gt;0,E38&gt;0),IF(AND(INDEX('calcA'!$D$106:$EQ$106,C38)=1,INDEX($IQ38:$OD38,C38)=1),C38+1,0),0)</f>
        <v/>
      </c>
      <c r="H38">
        <f>IF(B38=0,0,INDEX('calcA'!$IW$10:$IW$54,B38))</f>
        <v/>
      </c>
      <c r="U38">
        <f>IF(B38=0,0,INDEX('calcA'!$IX$10:$IX$54,B38))</f>
        <v/>
      </c>
      <c r="V38">
        <f>IF(B38=0,0,INDEX('calcA'!$JF$10:$JF$54,B38))</f>
        <v/>
      </c>
      <c r="W38">
        <f>IF(B38=0,0,IF(IF(E38=2,SUMPRODUCT(INDEX('calcA'!$D$60:$EQ$99,B38,0),$DB38:$IO38,$IQ38:$OD38),SUMPRODUCT(INDEX('calcA'!$D$60:$EQ$99,B38,0),$DB38:$IO38))=0,1,0))</f>
        <v/>
      </c>
      <c r="X38">
        <f>MAX(X37,IF($B37=1,1,0))</f>
        <v/>
      </c>
      <c r="Y38">
        <f>MAX(Y37,IF($B37=2,1,0))</f>
        <v/>
      </c>
      <c r="Z38">
        <f>MAX(Z37,IF($B37=3,1,0))</f>
        <v/>
      </c>
      <c r="AA38">
        <f>MAX(AA37,IF($B37=4,1,0))</f>
        <v/>
      </c>
      <c r="AB38">
        <f>MAX(AB37,IF($B37=5,1,0))</f>
        <v/>
      </c>
      <c r="AC38">
        <f>MAX(AC37,IF($B37=6,1,0))</f>
        <v/>
      </c>
      <c r="AD38">
        <f>MAX(AD37,IF($B37=7,1,0))</f>
        <v/>
      </c>
      <c r="AE38">
        <f>MAX(AE37,IF($B37=8,1,0))</f>
        <v/>
      </c>
      <c r="AF38">
        <f>MAX(AF37,IF($B37=9,1,0))</f>
        <v/>
      </c>
      <c r="AG38">
        <f>MAX(AG37,IF($B37=10,1,0))</f>
        <v/>
      </c>
      <c r="AH38">
        <f>MAX(AH37,IF($B37=11,1,0))</f>
        <v/>
      </c>
      <c r="AI38">
        <f>MAX(AI37,IF($B37=12,1,0))</f>
        <v/>
      </c>
      <c r="AJ38">
        <f>MAX(AJ37,IF($B37=13,1,0))</f>
        <v/>
      </c>
      <c r="AK38">
        <f>MAX(AK37,IF($B37=14,1,0))</f>
        <v/>
      </c>
      <c r="AL38">
        <f>MAX(AL37,IF($B37=15,1,0))</f>
        <v/>
      </c>
      <c r="AM38">
        <f>MAX(AM37,IF($B37=16,1,0))</f>
        <v/>
      </c>
      <c r="AN38">
        <f>MAX(AN37,IF($B37=17,1,0))</f>
        <v/>
      </c>
      <c r="AO38">
        <f>MAX(AO37,IF($B37=18,1,0))</f>
        <v/>
      </c>
      <c r="AP38">
        <f>MAX(AP37,IF($B37=19,1,0))</f>
        <v/>
      </c>
      <c r="AQ38">
        <f>MAX(AQ37,IF($B37=20,1,0))</f>
        <v/>
      </c>
      <c r="AR38">
        <f>MAX(AR37,IF($B37=21,1,0))</f>
        <v/>
      </c>
      <c r="AS38">
        <f>MAX(AS37,IF($B37=22,1,0))</f>
        <v/>
      </c>
      <c r="AT38">
        <f>MAX(AT37,IF($B37=23,1,0))</f>
        <v/>
      </c>
      <c r="AU38">
        <f>MAX(AU37,IF($B37=24,1,0))</f>
        <v/>
      </c>
      <c r="AV38">
        <f>MAX(AV37,IF($B37=25,1,0))</f>
        <v/>
      </c>
      <c r="AW38">
        <f>MAX(AW37,IF($B37=26,1,0))</f>
        <v/>
      </c>
      <c r="AX38">
        <f>MAX(AX37,IF($B37=27,1,0))</f>
        <v/>
      </c>
      <c r="AY38">
        <f>MAX(AY37,IF($B37=28,1,0))</f>
        <v/>
      </c>
      <c r="AZ38">
        <f>MAX(AZ37,IF($B37=29,1,0))</f>
        <v/>
      </c>
      <c r="BA38">
        <f>MAX(BA37,IF($B37=30,1,0))</f>
        <v/>
      </c>
      <c r="BB38">
        <f>MAX(BB37,IF($B37=31,1,0))</f>
        <v/>
      </c>
      <c r="BC38">
        <f>MAX(BC37,IF($B37=32,1,0))</f>
        <v/>
      </c>
      <c r="BD38">
        <f>MAX(BD37,IF($B37=33,1,0))</f>
        <v/>
      </c>
      <c r="BE38">
        <f>MAX(BE37,IF($B37=34,1,0))</f>
        <v/>
      </c>
      <c r="BF38">
        <f>MAX(BF37,IF($B37=35,1,0))</f>
        <v/>
      </c>
      <c r="BG38">
        <f>MAX(BG37,IF($B37=36,1,0))</f>
        <v/>
      </c>
      <c r="BH38">
        <f>MAX(BH37,IF($B37=37,1,0))</f>
        <v/>
      </c>
      <c r="BI38">
        <f>MAX(BI37,IF($B37=38,1,0))</f>
        <v/>
      </c>
      <c r="BJ38">
        <f>MAX(BJ37,IF($B37=39,1,0))</f>
        <v/>
      </c>
      <c r="BK38">
        <f>MAX(BK37,IF($B37=40,1,0))</f>
        <v/>
      </c>
      <c r="BM38">
        <f>IF(OR(X38=1,calcA!$A$6=0),1000000000,IF('calcA'!$JF$10=1,0,100000000)+IF('calcA'!$IQ$10=2,SUMPRODUCT('calcA'!$D$60:$EQ$60,$DB38:$IO38,$IQ38:$OD38)*1000+SUMPRODUCT('calcA'!$D$60:$EQ$60,$DB38:$IO38+$ZQ38:$AFD38,$AFF38:$AKS38),SUMPRODUCT('calcA'!$D$60:$EQ$60,$DB38:$IO38*1001+$ZQ38:$AFD38))*100+1)</f>
        <v/>
      </c>
      <c r="BN38">
        <f>IF(OR(Y38=1,calcA!$A$6=0),1000000000,IF('calcA'!$JF$11=1,0,100000000)+IF('calcA'!$IQ$11=2,SUMPRODUCT('calcA'!$D$61:$EQ$61,$DB38:$IO38,$IQ38:$OD38)*1000+SUMPRODUCT('calcA'!$D$61:$EQ$61,$DB38:$IO38+$ZQ38:$AFD38,$AFF38:$AKS38),SUMPRODUCT('calcA'!$D$61:$EQ$61,$DB38:$IO38*1001+$ZQ38:$AFD38))*100+2)</f>
        <v/>
      </c>
      <c r="BO38">
        <f>IF(OR(Z38=1,calcA!$A$6=0),1000000000,IF('calcA'!$JF$12=1,0,100000000)+IF('calcA'!$IQ$12=2,SUMPRODUCT('calcA'!$D$62:$EQ$62,$DB38:$IO38,$IQ38:$OD38)*1000+SUMPRODUCT('calcA'!$D$62:$EQ$62,$DB38:$IO38+$ZQ38:$AFD38,$AFF38:$AKS38),SUMPRODUCT('calcA'!$D$62:$EQ$62,$DB38:$IO38*1001+$ZQ38:$AFD38))*100+3)</f>
        <v/>
      </c>
      <c r="BP38">
        <f>IF(OR(AA38=1,calcA!$A$6=0),1000000000,IF('calcA'!$JF$13=1,0,100000000)+IF('calcA'!$IQ$13=2,SUMPRODUCT('calcA'!$D$63:$EQ$63,$DB38:$IO38,$IQ38:$OD38)*1000+SUMPRODUCT('calcA'!$D$63:$EQ$63,$DB38:$IO38+$ZQ38:$AFD38,$AFF38:$AKS38),SUMPRODUCT('calcA'!$D$63:$EQ$63,$DB38:$IO38*1001+$ZQ38:$AFD38))*100+4)</f>
        <v/>
      </c>
      <c r="BQ38">
        <f>IF(OR(AB38=1,calcA!$A$6=0),1000000000,IF('calcA'!$JF$14=1,0,100000000)+IF('calcA'!$IQ$14=2,SUMPRODUCT('calcA'!$D$64:$EQ$64,$DB38:$IO38,$IQ38:$OD38)*1000+SUMPRODUCT('calcA'!$D$64:$EQ$64,$DB38:$IO38+$ZQ38:$AFD38,$AFF38:$AKS38),SUMPRODUCT('calcA'!$D$64:$EQ$64,$DB38:$IO38*1001+$ZQ38:$AFD38))*100+5)</f>
        <v/>
      </c>
      <c r="BR38">
        <f>IF(OR(AC38=1,calcA!$A$6=0),1000000000,IF('calcA'!$JF$15=1,0,100000000)+IF('calcA'!$IQ$15=2,SUMPRODUCT('calcA'!$D$65:$EQ$65,$DB38:$IO38,$IQ38:$OD38)*1000+SUMPRODUCT('calcA'!$D$65:$EQ$65,$DB38:$IO38+$ZQ38:$AFD38,$AFF38:$AKS38),SUMPRODUCT('calcA'!$D$65:$EQ$65,$DB38:$IO38*1001+$ZQ38:$AFD38))*100+6)</f>
        <v/>
      </c>
      <c r="BS38">
        <f>IF(OR(AD38=1,calcA!$A$6=0),1000000000,IF('calcA'!$JF$16=1,0,100000000)+IF('calcA'!$IQ$16=2,SUMPRODUCT('calcA'!$D$66:$EQ$66,$DB38:$IO38,$IQ38:$OD38)*1000+SUMPRODUCT('calcA'!$D$66:$EQ$66,$DB38:$IO38+$ZQ38:$AFD38,$AFF38:$AKS38),SUMPRODUCT('calcA'!$D$66:$EQ$66,$DB38:$IO38*1001+$ZQ38:$AFD38))*100+7)</f>
        <v/>
      </c>
      <c r="BT38">
        <f>IF(OR(AE38=1,calcA!$A$6=0),1000000000,IF('calcA'!$JF$17=1,0,100000000)+IF('calcA'!$IQ$17=2,SUMPRODUCT('calcA'!$D$67:$EQ$67,$DB38:$IO38,$IQ38:$OD38)*1000+SUMPRODUCT('calcA'!$D$67:$EQ$67,$DB38:$IO38+$ZQ38:$AFD38,$AFF38:$AKS38),SUMPRODUCT('calcA'!$D$67:$EQ$67,$DB38:$IO38*1001+$ZQ38:$AFD38))*100+8)</f>
        <v/>
      </c>
      <c r="BU38">
        <f>IF(OR(AF38=1,calcA!$A$6=0),1000000000,IF('calcA'!$JF$18=1,0,100000000)+IF('calcA'!$IQ$18=2,SUMPRODUCT('calcA'!$D$68:$EQ$68,$DB38:$IO38,$IQ38:$OD38)*1000+SUMPRODUCT('calcA'!$D$68:$EQ$68,$DB38:$IO38+$ZQ38:$AFD38,$AFF38:$AKS38),SUMPRODUCT('calcA'!$D$68:$EQ$68,$DB38:$IO38*1001+$ZQ38:$AFD38))*100+9)</f>
        <v/>
      </c>
      <c r="BV38">
        <f>IF(OR(AG38=1,calcA!$A$6=0),1000000000,IF('calcA'!$JF$19=1,0,100000000)+IF('calcA'!$IQ$19=2,SUMPRODUCT('calcA'!$D$69:$EQ$69,$DB38:$IO38,$IQ38:$OD38)*1000+SUMPRODUCT('calcA'!$D$69:$EQ$69,$DB38:$IO38+$ZQ38:$AFD38,$AFF38:$AKS38),SUMPRODUCT('calcA'!$D$69:$EQ$69,$DB38:$IO38*1001+$ZQ38:$AFD38))*100+10)</f>
        <v/>
      </c>
      <c r="BW38">
        <f>IF(OR(AH38=1,calcA!$A$6=0),1000000000,IF('calcA'!$JF$20=1,0,100000000)+IF('calcA'!$IQ$20=2,SUMPRODUCT('calcA'!$D$70:$EQ$70,$DB38:$IO38,$IQ38:$OD38)*1000+SUMPRODUCT('calcA'!$D$70:$EQ$70,$DB38:$IO38+$ZQ38:$AFD38,$AFF38:$AKS38),SUMPRODUCT('calcA'!$D$70:$EQ$70,$DB38:$IO38*1001+$ZQ38:$AFD38))*100+11)</f>
        <v/>
      </c>
      <c r="BX38">
        <f>IF(OR(AI38=1,calcA!$A$6=0),1000000000,IF('calcA'!$JF$21=1,0,100000000)+IF('calcA'!$IQ$21=2,SUMPRODUCT('calcA'!$D$71:$EQ$71,$DB38:$IO38,$IQ38:$OD38)*1000+SUMPRODUCT('calcA'!$D$71:$EQ$71,$DB38:$IO38+$ZQ38:$AFD38,$AFF38:$AKS38),SUMPRODUCT('calcA'!$D$71:$EQ$71,$DB38:$IO38*1001+$ZQ38:$AFD38))*100+12)</f>
        <v/>
      </c>
      <c r="BY38">
        <f>IF(OR(AJ38=1,calcA!$A$6=0),1000000000,IF('calcA'!$JF$22=1,0,100000000)+IF('calcA'!$IQ$22=2,SUMPRODUCT('calcA'!$D$72:$EQ$72,$DB38:$IO38,$IQ38:$OD38)*1000+SUMPRODUCT('calcA'!$D$72:$EQ$72,$DB38:$IO38+$ZQ38:$AFD38,$AFF38:$AKS38),SUMPRODUCT('calcA'!$D$72:$EQ$72,$DB38:$IO38*1001+$ZQ38:$AFD38))*100+13)</f>
        <v/>
      </c>
      <c r="BZ38">
        <f>IF(OR(AK38=1,calcA!$A$6=0),1000000000,IF('calcA'!$JF$23=1,0,100000000)+IF('calcA'!$IQ$23=2,SUMPRODUCT('calcA'!$D$73:$EQ$73,$DB38:$IO38,$IQ38:$OD38)*1000+SUMPRODUCT('calcA'!$D$73:$EQ$73,$DB38:$IO38+$ZQ38:$AFD38,$AFF38:$AKS38),SUMPRODUCT('calcA'!$D$73:$EQ$73,$DB38:$IO38*1001+$ZQ38:$AFD38))*100+14)</f>
        <v/>
      </c>
      <c r="CA38">
        <f>IF(OR(AL38=1,calcA!$A$6=0),1000000000,IF('calcA'!$JF$24=1,0,100000000)+IF('calcA'!$IQ$24=2,SUMPRODUCT('calcA'!$D$74:$EQ$74,$DB38:$IO38,$IQ38:$OD38)*1000+SUMPRODUCT('calcA'!$D$74:$EQ$74,$DB38:$IO38+$ZQ38:$AFD38,$AFF38:$AKS38),SUMPRODUCT('calcA'!$D$74:$EQ$74,$DB38:$IO38*1001+$ZQ38:$AFD38))*100+15)</f>
        <v/>
      </c>
      <c r="CB38">
        <f>IF(OR(AM38=1,calcA!$A$6=0),1000000000,IF('calcA'!$JF$25=1,0,100000000)+IF('calcA'!$IQ$25=2,SUMPRODUCT('calcA'!$D$75:$EQ$75,$DB38:$IO38,$IQ38:$OD38)*1000+SUMPRODUCT('calcA'!$D$75:$EQ$75,$DB38:$IO38+$ZQ38:$AFD38,$AFF38:$AKS38),SUMPRODUCT('calcA'!$D$75:$EQ$75,$DB38:$IO38*1001+$ZQ38:$AFD38))*100+16)</f>
        <v/>
      </c>
      <c r="CC38">
        <f>IF(OR(AN38=1,calcA!$A$6=0),1000000000,IF('calcA'!$JF$26=1,0,100000000)+IF('calcA'!$IQ$26=2,SUMPRODUCT('calcA'!$D$76:$EQ$76,$DB38:$IO38,$IQ38:$OD38)*1000+SUMPRODUCT('calcA'!$D$76:$EQ$76,$DB38:$IO38+$ZQ38:$AFD38,$AFF38:$AKS38),SUMPRODUCT('calcA'!$D$76:$EQ$76,$DB38:$IO38*1001+$ZQ38:$AFD38))*100+17)</f>
        <v/>
      </c>
      <c r="CD38">
        <f>IF(OR(AO38=1,calcA!$A$6=0),1000000000,IF('calcA'!$JF$27=1,0,100000000)+IF('calcA'!$IQ$27=2,SUMPRODUCT('calcA'!$D$77:$EQ$77,$DB38:$IO38,$IQ38:$OD38)*1000+SUMPRODUCT('calcA'!$D$77:$EQ$77,$DB38:$IO38+$ZQ38:$AFD38,$AFF38:$AKS38),SUMPRODUCT('calcA'!$D$77:$EQ$77,$DB38:$IO38*1001+$ZQ38:$AFD38))*100+18)</f>
        <v/>
      </c>
      <c r="CE38">
        <f>IF(OR(AP38=1,calcA!$A$6=0),1000000000,IF('calcA'!$JF$28=1,0,100000000)+IF('calcA'!$IQ$28=2,SUMPRODUCT('calcA'!$D$78:$EQ$78,$DB38:$IO38,$IQ38:$OD38)*1000+SUMPRODUCT('calcA'!$D$78:$EQ$78,$DB38:$IO38+$ZQ38:$AFD38,$AFF38:$AKS38),SUMPRODUCT('calcA'!$D$78:$EQ$78,$DB38:$IO38*1001+$ZQ38:$AFD38))*100+19)</f>
        <v/>
      </c>
      <c r="CF38">
        <f>IF(OR(AQ38=1,calcA!$A$6=0),1000000000,IF('calcA'!$JF$29=1,0,100000000)+IF('calcA'!$IQ$29=2,SUMPRODUCT('calcA'!$D$79:$EQ$79,$DB38:$IO38,$IQ38:$OD38)*1000+SUMPRODUCT('calcA'!$D$79:$EQ$79,$DB38:$IO38+$ZQ38:$AFD38,$AFF38:$AKS38),SUMPRODUCT('calcA'!$D$79:$EQ$79,$DB38:$IO38*1001+$ZQ38:$AFD38))*100+20)</f>
        <v/>
      </c>
      <c r="CG38">
        <f>IF(OR(AR38=1,calcA!$A$6=0),1000000000,IF('calcA'!$JF$30=1,0,100000000)+IF('calcA'!$IQ$30=2,SUMPRODUCT('calcA'!$D$80:$EQ$80,$DB38:$IO38,$IQ38:$OD38)*1000+SUMPRODUCT('calcA'!$D$80:$EQ$80,$DB38:$IO38+$ZQ38:$AFD38,$AFF38:$AKS38),SUMPRODUCT('calcA'!$D$80:$EQ$80,$DB38:$IO38*1001+$ZQ38:$AFD38))*100+21)</f>
        <v/>
      </c>
      <c r="CH38">
        <f>IF(OR(AS38=1,calcA!$A$6=0),1000000000,IF('calcA'!$JF$31=1,0,100000000)+IF('calcA'!$IQ$31=2,SUMPRODUCT('calcA'!$D$81:$EQ$81,$DB38:$IO38,$IQ38:$OD38)*1000+SUMPRODUCT('calcA'!$D$81:$EQ$81,$DB38:$IO38+$ZQ38:$AFD38,$AFF38:$AKS38),SUMPRODUCT('calcA'!$D$81:$EQ$81,$DB38:$IO38*1001+$ZQ38:$AFD38))*100+22)</f>
        <v/>
      </c>
      <c r="CI38">
        <f>IF(OR(AT38=1,calcA!$A$6=0),1000000000,IF('calcA'!$JF$32=1,0,100000000)+IF('calcA'!$IQ$32=2,SUMPRODUCT('calcA'!$D$82:$EQ$82,$DB38:$IO38,$IQ38:$OD38)*1000+SUMPRODUCT('calcA'!$D$82:$EQ$82,$DB38:$IO38+$ZQ38:$AFD38,$AFF38:$AKS38),SUMPRODUCT('calcA'!$D$82:$EQ$82,$DB38:$IO38*1001+$ZQ38:$AFD38))*100+23)</f>
        <v/>
      </c>
      <c r="CJ38">
        <f>IF(OR(AU38=1,calcA!$A$6=0),1000000000,IF('calcA'!$JF$33=1,0,100000000)+IF('calcA'!$IQ$33=2,SUMPRODUCT('calcA'!$D$83:$EQ$83,$DB38:$IO38,$IQ38:$OD38)*1000+SUMPRODUCT('calcA'!$D$83:$EQ$83,$DB38:$IO38+$ZQ38:$AFD38,$AFF38:$AKS38),SUMPRODUCT('calcA'!$D$83:$EQ$83,$DB38:$IO38*1001+$ZQ38:$AFD38))*100+24)</f>
        <v/>
      </c>
      <c r="CK38">
        <f>IF(OR(AV38=1,calcA!$A$6=0),1000000000,IF('calcA'!$JF$34=1,0,100000000)+IF('calcA'!$IQ$34=2,SUMPRODUCT('calcA'!$D$84:$EQ$84,$DB38:$IO38,$IQ38:$OD38)*1000+SUMPRODUCT('calcA'!$D$84:$EQ$84,$DB38:$IO38+$ZQ38:$AFD38,$AFF38:$AKS38),SUMPRODUCT('calcA'!$D$84:$EQ$84,$DB38:$IO38*1001+$ZQ38:$AFD38))*100+25)</f>
        <v/>
      </c>
      <c r="CL38">
        <f>IF(OR(AW38=1,calcA!$A$6=0),1000000000,IF('calcA'!$JF$35=1,0,100000000)+IF('calcA'!$IQ$35=2,SUMPRODUCT('calcA'!$D$85:$EQ$85,$DB38:$IO38,$IQ38:$OD38)*1000+SUMPRODUCT('calcA'!$D$85:$EQ$85,$DB38:$IO38+$ZQ38:$AFD38,$AFF38:$AKS38),SUMPRODUCT('calcA'!$D$85:$EQ$85,$DB38:$IO38*1001+$ZQ38:$AFD38))*100+26)</f>
        <v/>
      </c>
      <c r="CM38">
        <f>IF(OR(AX38=1,calcA!$A$6=0),1000000000,IF('calcA'!$JF$36=1,0,100000000)+IF('calcA'!$IQ$36=2,SUMPRODUCT('calcA'!$D$86:$EQ$86,$DB38:$IO38,$IQ38:$OD38)*1000+SUMPRODUCT('calcA'!$D$86:$EQ$86,$DB38:$IO38+$ZQ38:$AFD38,$AFF38:$AKS38),SUMPRODUCT('calcA'!$D$86:$EQ$86,$DB38:$IO38*1001+$ZQ38:$AFD38))*100+27)</f>
        <v/>
      </c>
      <c r="CN38">
        <f>IF(OR(AY38=1,calcA!$A$6=0),1000000000,IF('calcA'!$JF$37=1,0,100000000)+IF('calcA'!$IQ$37=2,SUMPRODUCT('calcA'!$D$87:$EQ$87,$DB38:$IO38,$IQ38:$OD38)*1000+SUMPRODUCT('calcA'!$D$87:$EQ$87,$DB38:$IO38+$ZQ38:$AFD38,$AFF38:$AKS38),SUMPRODUCT('calcA'!$D$87:$EQ$87,$DB38:$IO38*1001+$ZQ38:$AFD38))*100+28)</f>
        <v/>
      </c>
      <c r="CO38">
        <f>IF(OR(AZ38=1,calcA!$A$6=0),1000000000,IF('calcA'!$JF$38=1,0,100000000)+IF('calcA'!$IQ$38=2,SUMPRODUCT('calcA'!$D$88:$EQ$88,$DB38:$IO38,$IQ38:$OD38)*1000+SUMPRODUCT('calcA'!$D$88:$EQ$88,$DB38:$IO38+$ZQ38:$AFD38,$AFF38:$AKS38),SUMPRODUCT('calcA'!$D$88:$EQ$88,$DB38:$IO38*1001+$ZQ38:$AFD38))*100+29)</f>
        <v/>
      </c>
      <c r="CP38">
        <f>IF(OR(BA38=1,calcA!$A$6=0),1000000000,IF('calcA'!$JF$39=1,0,100000000)+IF('calcA'!$IQ$39=2,SUMPRODUCT('calcA'!$D$89:$EQ$89,$DB38:$IO38,$IQ38:$OD38)*1000+SUMPRODUCT('calcA'!$D$89:$EQ$89,$DB38:$IO38+$ZQ38:$AFD38,$AFF38:$AKS38),SUMPRODUCT('calcA'!$D$89:$EQ$89,$DB38:$IO38*1001+$ZQ38:$AFD38))*100+30)</f>
        <v/>
      </c>
      <c r="CQ38">
        <f>IF(OR(BB38=1,calcA!$A$6=0),1000000000,IF('calcA'!$JF$40=1,0,100000000)+IF('calcA'!$IQ$40=2,SUMPRODUCT('calcA'!$D$90:$EQ$90,$DB38:$IO38,$IQ38:$OD38)*1000+SUMPRODUCT('calcA'!$D$90:$EQ$90,$DB38:$IO38+$ZQ38:$AFD38,$AFF38:$AKS38),SUMPRODUCT('calcA'!$D$90:$EQ$90,$DB38:$IO38*1001+$ZQ38:$AFD38))*100+31)</f>
        <v/>
      </c>
      <c r="CR38">
        <f>IF(OR(BC38=1,calcA!$A$6=0),1000000000,IF('calcA'!$JF$41=1,0,100000000)+IF('calcA'!$IQ$41=2,SUMPRODUCT('calcA'!$D$91:$EQ$91,$DB38:$IO38,$IQ38:$OD38)*1000+SUMPRODUCT('calcA'!$D$91:$EQ$91,$DB38:$IO38+$ZQ38:$AFD38,$AFF38:$AKS38),SUMPRODUCT('calcA'!$D$91:$EQ$91,$DB38:$IO38*1001+$ZQ38:$AFD38))*100+32)</f>
        <v/>
      </c>
      <c r="CS38">
        <f>IF(OR(BD38=1,calcA!$A$6=0),1000000000,IF('calcA'!$JF$42=1,0,100000000)+IF('calcA'!$IQ$42=2,SUMPRODUCT('calcA'!$D$92:$EQ$92,$DB38:$IO38,$IQ38:$OD38)*1000+SUMPRODUCT('calcA'!$D$92:$EQ$92,$DB38:$IO38+$ZQ38:$AFD38,$AFF38:$AKS38),SUMPRODUCT('calcA'!$D$92:$EQ$92,$DB38:$IO38*1001+$ZQ38:$AFD38))*100+33)</f>
        <v/>
      </c>
      <c r="CT38">
        <f>IF(OR(BE38=1,calcA!$A$6=0),1000000000,IF('calcA'!$JF$43=1,0,100000000)+IF('calcA'!$IQ$43=2,SUMPRODUCT('calcA'!$D$93:$EQ$93,$DB38:$IO38,$IQ38:$OD38)*1000+SUMPRODUCT('calcA'!$D$93:$EQ$93,$DB38:$IO38+$ZQ38:$AFD38,$AFF38:$AKS38),SUMPRODUCT('calcA'!$D$93:$EQ$93,$DB38:$IO38*1001+$ZQ38:$AFD38))*100+34)</f>
        <v/>
      </c>
      <c r="CU38">
        <f>IF(OR(BF38=1,calcA!$A$6=0),1000000000,IF('calcA'!$JF$44=1,0,100000000)+IF('calcA'!$IQ$44=2,SUMPRODUCT('calcA'!$D$94:$EQ$94,$DB38:$IO38,$IQ38:$OD38)*1000+SUMPRODUCT('calcA'!$D$94:$EQ$94,$DB38:$IO38+$ZQ38:$AFD38,$AFF38:$AKS38),SUMPRODUCT('calcA'!$D$94:$EQ$94,$DB38:$IO38*1001+$ZQ38:$AFD38))*100+35)</f>
        <v/>
      </c>
      <c r="CV38">
        <f>IF(OR(BG38=1,calcA!$A$6=0),1000000000,IF('calcA'!$JF$45=1,0,100000000)+IF('calcA'!$IQ$45=2,SUMPRODUCT('calcA'!$D$95:$EQ$95,$DB38:$IO38,$IQ38:$OD38)*1000+SUMPRODUCT('calcA'!$D$95:$EQ$95,$DB38:$IO38+$ZQ38:$AFD38,$AFF38:$AKS38),SUMPRODUCT('calcA'!$D$95:$EQ$95,$DB38:$IO38*1001+$ZQ38:$AFD38))*100+36)</f>
        <v/>
      </c>
      <c r="CW38">
        <f>IF(OR(BH38=1,calcA!$A$6=0),1000000000,IF('calcA'!$JF$46=1,0,100000000)+IF('calcA'!$IQ$46=2,SUMPRODUCT('calcA'!$D$96:$EQ$96,$DB38:$IO38,$IQ38:$OD38)*1000+SUMPRODUCT('calcA'!$D$96:$EQ$96,$DB38:$IO38+$ZQ38:$AFD38,$AFF38:$AKS38),SUMPRODUCT('calcA'!$D$96:$EQ$96,$DB38:$IO38*1001+$ZQ38:$AFD38))*100+37)</f>
        <v/>
      </c>
      <c r="CX38">
        <f>IF(OR(BI38=1,calcA!$A$6=0),1000000000,IF('calcA'!$JF$47=1,0,100000000)+IF('calcA'!$IQ$47=2,SUMPRODUCT('calcA'!$D$97:$EQ$97,$DB38:$IO38,$IQ38:$OD38)*1000+SUMPRODUCT('calcA'!$D$97:$EQ$97,$DB38:$IO38+$ZQ38:$AFD38,$AFF38:$AKS38),SUMPRODUCT('calcA'!$D$97:$EQ$97,$DB38:$IO38*1001+$ZQ38:$AFD38))*100+38)</f>
        <v/>
      </c>
      <c r="CY38">
        <f>IF(OR(BJ38=1,calcA!$A$6=0),1000000000,IF('calcA'!$JF$48=1,0,100000000)+IF('calcA'!$IQ$48=2,SUMPRODUCT('calcA'!$D$98:$EQ$98,$DB38:$IO38,$IQ38:$OD38)*1000+SUMPRODUCT('calcA'!$D$98:$EQ$98,$DB38:$IO38+$ZQ38:$AFD38,$AFF38:$AKS38),SUMPRODUCT('calcA'!$D$98:$EQ$98,$DB38:$IO38*1001+$ZQ38:$AFD38))*100+39)</f>
        <v/>
      </c>
      <c r="CZ38">
        <f>IF(OR(BK38=1,calcA!$A$6=0),1000000000,IF('calcA'!$JF$49=1,0,100000000)+IF('calcA'!$IQ$49=2,SUMPRODUCT('calcA'!$D$99:$EQ$99,$DB38:$IO38,$IQ38:$OD38)*1000+SUMPRODUCT('calcA'!$D$99:$EQ$99,$DB38:$IO38+$ZQ38:$AFD38,$AFF38:$AKS38),SUMPRODUCT('calcA'!$D$99:$EQ$99,$DB38:$IO38*1001+$ZQ38:$AFD38))*100+40)</f>
        <v/>
      </c>
      <c r="DB38">
        <f>DB37*IF(OR($C37=1,$G37=1),0,1)</f>
        <v/>
      </c>
      <c r="DC38">
        <f>DC37*IF(OR($C37=2,$G37=2),0,1)</f>
        <v/>
      </c>
      <c r="DD38">
        <f>DD37*IF(OR($C37=3,$G37=3),0,1)</f>
        <v/>
      </c>
      <c r="DE38">
        <f>DE37*IF(OR($C37=4,$G37=4),0,1)</f>
        <v/>
      </c>
      <c r="DF38">
        <f>DF37*IF(OR($C37=5,$G37=5),0,1)</f>
        <v/>
      </c>
      <c r="DG38">
        <f>DG37*IF(OR($C37=6,$G37=6),0,1)</f>
        <v/>
      </c>
      <c r="DH38">
        <f>DH37*IF(OR($C37=7,$G37=7),0,1)</f>
        <v/>
      </c>
      <c r="DI38">
        <f>DI37*IF(OR($C37=8,$G37=8),0,1)</f>
        <v/>
      </c>
      <c r="DJ38">
        <f>DJ37*IF(OR($C37=9,$G37=9),0,1)</f>
        <v/>
      </c>
      <c r="DK38">
        <f>DK37*IF(OR($C37=10,$G37=10),0,1)</f>
        <v/>
      </c>
      <c r="DL38">
        <f>DL37*IF(OR($C37=11,$G37=11),0,1)</f>
        <v/>
      </c>
      <c r="DM38">
        <f>DM37*IF(OR($C37=12,$G37=12),0,1)</f>
        <v/>
      </c>
      <c r="DN38">
        <f>DN37*IF(OR($C37=13,$G37=13),0,1)</f>
        <v/>
      </c>
      <c r="DO38">
        <f>DO37*IF(OR($C37=14,$G37=14),0,1)</f>
        <v/>
      </c>
      <c r="DP38">
        <f>DP37*IF(OR($C37=15,$G37=15),0,1)</f>
        <v/>
      </c>
      <c r="DQ38">
        <f>DQ37*IF(OR($C37=16,$G37=16),0,1)</f>
        <v/>
      </c>
      <c r="DR38">
        <f>DR37*IF(OR($C37=17,$G37=17),0,1)</f>
        <v/>
      </c>
      <c r="DS38">
        <f>DS37*IF(OR($C37=18,$G37=18),0,1)</f>
        <v/>
      </c>
      <c r="DT38">
        <f>DT37*IF(OR($C37=19,$G37=19),0,1)</f>
        <v/>
      </c>
      <c r="DU38">
        <f>DU37*IF(OR($C37=20,$G37=20),0,1)</f>
        <v/>
      </c>
      <c r="DV38">
        <f>DV37*IF(OR($C37=21,$G37=21),0,1)</f>
        <v/>
      </c>
      <c r="DW38">
        <f>DW37*IF(OR($C37=22,$G37=22),0,1)</f>
        <v/>
      </c>
      <c r="DX38">
        <f>DX37*IF(OR($C37=23,$G37=23),0,1)</f>
        <v/>
      </c>
      <c r="DY38">
        <f>DY37*IF(OR($C37=24,$G37=24),0,1)</f>
        <v/>
      </c>
      <c r="DZ38">
        <f>DZ37*IF(OR($C37=25,$G37=25),0,1)</f>
        <v/>
      </c>
      <c r="EA38">
        <f>EA37*IF(OR($C37=26,$G37=26),0,1)</f>
        <v/>
      </c>
      <c r="EB38">
        <f>EB37*IF(OR($C37=27,$G37=27),0,1)</f>
        <v/>
      </c>
      <c r="EC38">
        <f>EC37*IF(OR($C37=28,$G37=28),0,1)</f>
        <v/>
      </c>
      <c r="ED38">
        <f>ED37*IF(OR($C37=29,$G37=29),0,1)</f>
        <v/>
      </c>
      <c r="EE38">
        <f>EE37*IF(OR($C37=30,$G37=30),0,1)</f>
        <v/>
      </c>
      <c r="EF38">
        <f>EF37*IF(OR($C37=31,$G37=31),0,1)</f>
        <v/>
      </c>
      <c r="EG38">
        <f>EG37*IF(OR($C37=32,$G37=32),0,1)</f>
        <v/>
      </c>
      <c r="EH38">
        <f>EH37*IF(OR($C37=33,$G37=33),0,1)</f>
        <v/>
      </c>
      <c r="EI38">
        <f>EI37*IF(OR($C37=34,$G37=34),0,1)</f>
        <v/>
      </c>
      <c r="EJ38">
        <f>EJ37*IF(OR($C37=35,$G37=35),0,1)</f>
        <v/>
      </c>
      <c r="EK38">
        <f>EK37*IF(OR($C37=36,$G37=36),0,1)</f>
        <v/>
      </c>
      <c r="EL38">
        <f>EL37*IF(OR($C37=37,$G37=37),0,1)</f>
        <v/>
      </c>
      <c r="EM38">
        <f>EM37*IF(OR($C37=38,$G37=38),0,1)</f>
        <v/>
      </c>
      <c r="EN38">
        <f>EN37*IF(OR($C37=39,$G37=39),0,1)</f>
        <v/>
      </c>
      <c r="EO38">
        <f>EO37*IF(OR($C37=40,$G37=40),0,1)</f>
        <v/>
      </c>
      <c r="EP38">
        <f>EP37*IF(OR($C37=41,$G37=41),0,1)</f>
        <v/>
      </c>
      <c r="EQ38">
        <f>EQ37*IF(OR($C37=42,$G37=42),0,1)</f>
        <v/>
      </c>
      <c r="ER38">
        <f>ER37*IF(OR($C37=43,$G37=43),0,1)</f>
        <v/>
      </c>
      <c r="ES38">
        <f>ES37*IF(OR($C37=44,$G37=44),0,1)</f>
        <v/>
      </c>
      <c r="ET38">
        <f>ET37*IF(OR($C37=45,$G37=45),0,1)</f>
        <v/>
      </c>
      <c r="EU38">
        <f>EU37*IF(OR($C37=46,$G37=46),0,1)</f>
        <v/>
      </c>
      <c r="EV38">
        <f>EV37*IF(OR($C37=47,$G37=47),0,1)</f>
        <v/>
      </c>
      <c r="EW38">
        <f>EW37*IF(OR($C37=48,$G37=48),0,1)</f>
        <v/>
      </c>
      <c r="EX38">
        <f>EX37*IF(OR($C37=49,$G37=49),0,1)</f>
        <v/>
      </c>
      <c r="EY38">
        <f>EY37*IF(OR($C37=50,$G37=50),0,1)</f>
        <v/>
      </c>
      <c r="EZ38">
        <f>EZ37*IF(OR($C37=51,$G37=51),0,1)</f>
        <v/>
      </c>
      <c r="FA38">
        <f>FA37*IF(OR($C37=52,$G37=52),0,1)</f>
        <v/>
      </c>
      <c r="FB38">
        <f>FB37*IF(OR($C37=53,$G37=53),0,1)</f>
        <v/>
      </c>
      <c r="FC38">
        <f>FC37*IF(OR($C37=54,$G37=54),0,1)</f>
        <v/>
      </c>
      <c r="FD38">
        <f>FD37*IF(OR($C37=55,$G37=55),0,1)</f>
        <v/>
      </c>
      <c r="FE38">
        <f>FE37*IF(OR($C37=56,$G37=56),0,1)</f>
        <v/>
      </c>
      <c r="FF38">
        <f>FF37*IF(OR($C37=57,$G37=57),0,1)</f>
        <v/>
      </c>
      <c r="FG38">
        <f>FG37*IF(OR($C37=58,$G37=58),0,1)</f>
        <v/>
      </c>
      <c r="FH38">
        <f>FH37*IF(OR($C37=59,$G37=59),0,1)</f>
        <v/>
      </c>
      <c r="FI38">
        <f>FI37*IF(OR($C37=60,$G37=60),0,1)</f>
        <v/>
      </c>
      <c r="FJ38">
        <f>FJ37*IF(OR($C37=61,$G37=61),0,1)</f>
        <v/>
      </c>
      <c r="FK38">
        <f>FK37*IF(OR($C37=62,$G37=62),0,1)</f>
        <v/>
      </c>
      <c r="FL38">
        <f>FL37*IF(OR($C37=63,$G37=63),0,1)</f>
        <v/>
      </c>
      <c r="FM38">
        <f>FM37*IF(OR($C37=64,$G37=64),0,1)</f>
        <v/>
      </c>
      <c r="FN38">
        <f>FN37*IF(OR($C37=65,$G37=65),0,1)</f>
        <v/>
      </c>
      <c r="FO38">
        <f>FO37*IF(OR($C37=66,$G37=66),0,1)</f>
        <v/>
      </c>
      <c r="FP38">
        <f>FP37*IF(OR($C37=67,$G37=67),0,1)</f>
        <v/>
      </c>
      <c r="FQ38">
        <f>FQ37*IF(OR($C37=68,$G37=68),0,1)</f>
        <v/>
      </c>
      <c r="FR38">
        <f>FR37*IF(OR($C37=69,$G37=69),0,1)</f>
        <v/>
      </c>
      <c r="FS38">
        <f>FS37*IF(OR($C37=70,$G37=70),0,1)</f>
        <v/>
      </c>
      <c r="FT38">
        <f>FT37*IF(OR($C37=71,$G37=71),0,1)</f>
        <v/>
      </c>
      <c r="FU38">
        <f>FU37*IF(OR($C37=72,$G37=72),0,1)</f>
        <v/>
      </c>
      <c r="FV38">
        <f>FV37*IF(OR($C37=73,$G37=73),0,1)</f>
        <v/>
      </c>
      <c r="FW38">
        <f>FW37*IF(OR($C37=74,$G37=74),0,1)</f>
        <v/>
      </c>
      <c r="FX38">
        <f>FX37*IF(OR($C37=75,$G37=75),0,1)</f>
        <v/>
      </c>
      <c r="FY38">
        <f>FY37*IF(OR($C37=76,$G37=76),0,1)</f>
        <v/>
      </c>
      <c r="FZ38">
        <f>FZ37*IF(OR($C37=77,$G37=77),0,1)</f>
        <v/>
      </c>
      <c r="GA38">
        <f>GA37*IF(OR($C37=78,$G37=78),0,1)</f>
        <v/>
      </c>
      <c r="GB38">
        <f>GB37*IF(OR($C37=79,$G37=79),0,1)</f>
        <v/>
      </c>
      <c r="GC38">
        <f>GC37*IF(OR($C37=80,$G37=80),0,1)</f>
        <v/>
      </c>
      <c r="GD38">
        <f>GD37*IF(OR($C37=81,$G37=81),0,1)</f>
        <v/>
      </c>
      <c r="GE38">
        <f>GE37*IF(OR($C37=82,$G37=82),0,1)</f>
        <v/>
      </c>
      <c r="GF38">
        <f>GF37*IF(OR($C37=83,$G37=83),0,1)</f>
        <v/>
      </c>
      <c r="GG38">
        <f>GG37*IF(OR($C37=84,$G37=84),0,1)</f>
        <v/>
      </c>
      <c r="GH38">
        <f>GH37*IF(OR($C37=85,$G37=85),0,1)</f>
        <v/>
      </c>
      <c r="GI38">
        <f>GI37*IF(OR($C37=86,$G37=86),0,1)</f>
        <v/>
      </c>
      <c r="GJ38">
        <f>GJ37*IF(OR($C37=87,$G37=87),0,1)</f>
        <v/>
      </c>
      <c r="GK38">
        <f>GK37*IF(OR($C37=88,$G37=88),0,1)</f>
        <v/>
      </c>
      <c r="GL38">
        <f>GL37*IF(OR($C37=89,$G37=89),0,1)</f>
        <v/>
      </c>
      <c r="GM38">
        <f>GM37*IF(OR($C37=90,$G37=90),0,1)</f>
        <v/>
      </c>
      <c r="GN38">
        <f>GN37*IF(OR($C37=91,$G37=91),0,1)</f>
        <v/>
      </c>
      <c r="GO38">
        <f>GO37*IF(OR($C37=92,$G37=92),0,1)</f>
        <v/>
      </c>
      <c r="GP38">
        <f>GP37*IF(OR($C37=93,$G37=93),0,1)</f>
        <v/>
      </c>
      <c r="GQ38">
        <f>GQ37*IF(OR($C37=94,$G37=94),0,1)</f>
        <v/>
      </c>
      <c r="GR38">
        <f>GR37*IF(OR($C37=95,$G37=95),0,1)</f>
        <v/>
      </c>
      <c r="GS38">
        <f>GS37*IF(OR($C37=96,$G37=96),0,1)</f>
        <v/>
      </c>
      <c r="GT38">
        <f>GT37*IF(OR($C37=97,$G37=97),0,1)</f>
        <v/>
      </c>
      <c r="GU38">
        <f>GU37*IF(OR($C37=98,$G37=98),0,1)</f>
        <v/>
      </c>
      <c r="GV38">
        <f>GV37*IF(OR($C37=99,$G37=99),0,1)</f>
        <v/>
      </c>
      <c r="GW38">
        <f>GW37*IF(OR($C37=100,$G37=100),0,1)</f>
        <v/>
      </c>
      <c r="GX38">
        <f>GX37*IF(OR($C37=101,$G37=101),0,1)</f>
        <v/>
      </c>
      <c r="GY38">
        <f>GY37*IF(OR($C37=102,$G37=102),0,1)</f>
        <v/>
      </c>
      <c r="GZ38">
        <f>GZ37*IF(OR($C37=103,$G37=103),0,1)</f>
        <v/>
      </c>
      <c r="HA38">
        <f>HA37*IF(OR($C37=104,$G37=104),0,1)</f>
        <v/>
      </c>
      <c r="HB38">
        <f>HB37*IF(OR($C37=105,$G37=105),0,1)</f>
        <v/>
      </c>
      <c r="HC38">
        <f>HC37*IF(OR($C37=106,$G37=106),0,1)</f>
        <v/>
      </c>
      <c r="HD38">
        <f>HD37*IF(OR($C37=107,$G37=107),0,1)</f>
        <v/>
      </c>
      <c r="HE38">
        <f>HE37*IF(OR($C37=108,$G37=108),0,1)</f>
        <v/>
      </c>
      <c r="HF38">
        <f>HF37*IF(OR($C37=109,$G37=109),0,1)</f>
        <v/>
      </c>
      <c r="HG38">
        <f>HG37*IF(OR($C37=110,$G37=110),0,1)</f>
        <v/>
      </c>
      <c r="HH38">
        <f>HH37*IF(OR($C37=111,$G37=111),0,1)</f>
        <v/>
      </c>
      <c r="HI38">
        <f>HI37*IF(OR($C37=112,$G37=112),0,1)</f>
        <v/>
      </c>
      <c r="HJ38">
        <f>HJ37*IF(OR($C37=113,$G37=113),0,1)</f>
        <v/>
      </c>
      <c r="HK38">
        <f>HK37*IF(OR($C37=114,$G37=114),0,1)</f>
        <v/>
      </c>
      <c r="HL38">
        <f>HL37*IF(OR($C37=115,$G37=115),0,1)</f>
        <v/>
      </c>
      <c r="HM38">
        <f>HM37*IF(OR($C37=116,$G37=116),0,1)</f>
        <v/>
      </c>
      <c r="HN38">
        <f>HN37*IF(OR($C37=117,$G37=117),0,1)</f>
        <v/>
      </c>
      <c r="HO38">
        <f>HO37*IF(OR($C37=118,$G37=118),0,1)</f>
        <v/>
      </c>
      <c r="HP38">
        <f>HP37*IF(OR($C37=119,$G37=119),0,1)</f>
        <v/>
      </c>
      <c r="HQ38">
        <f>HQ37*IF(OR($C37=120,$G37=120),0,1)</f>
        <v/>
      </c>
      <c r="HR38">
        <f>HR37*IF(OR($C37=121,$G37=121),0,1)</f>
        <v/>
      </c>
      <c r="HS38">
        <f>HS37*IF(OR($C37=122,$G37=122),0,1)</f>
        <v/>
      </c>
      <c r="HT38">
        <f>HT37*IF(OR($C37=123,$G37=123),0,1)</f>
        <v/>
      </c>
      <c r="HU38">
        <f>HU37*IF(OR($C37=124,$G37=124),0,1)</f>
        <v/>
      </c>
      <c r="HV38">
        <f>HV37*IF(OR($C37=125,$G37=125),0,1)</f>
        <v/>
      </c>
      <c r="HW38">
        <f>HW37*IF(OR($C37=126,$G37=126),0,1)</f>
        <v/>
      </c>
      <c r="HX38">
        <f>HX37*IF(OR($C37=127,$G37=127),0,1)</f>
        <v/>
      </c>
      <c r="HY38">
        <f>HY37*IF(OR($C37=128,$G37=128),0,1)</f>
        <v/>
      </c>
      <c r="HZ38">
        <f>HZ37*IF(OR($C37=129,$G37=129),0,1)</f>
        <v/>
      </c>
      <c r="IA38">
        <f>IA37*IF(OR($C37=130,$G37=130),0,1)</f>
        <v/>
      </c>
      <c r="IB38">
        <f>IB37*IF(OR($C37=131,$G37=131),0,1)</f>
        <v/>
      </c>
      <c r="IC38">
        <f>IC37*IF(OR($C37=132,$G37=132),0,1)</f>
        <v/>
      </c>
      <c r="ID38">
        <f>ID37*IF(OR($C37=133,$G37=133),0,1)</f>
        <v/>
      </c>
      <c r="IE38">
        <f>IE37*IF(OR($C37=134,$G37=134),0,1)</f>
        <v/>
      </c>
      <c r="IF38">
        <f>IF37*IF(OR($C37=135,$G37=135),0,1)</f>
        <v/>
      </c>
      <c r="IG38">
        <f>IG37*IF(OR($C37=136,$G37=136),0,1)</f>
        <v/>
      </c>
      <c r="IH38">
        <f>IH37*IF(OR($C37=137,$G37=137),0,1)</f>
        <v/>
      </c>
      <c r="II38">
        <f>II37*IF(OR($C37=138,$G37=138),0,1)</f>
        <v/>
      </c>
      <c r="IJ38">
        <f>IJ37*IF(OR($C37=139,$G37=139),0,1)</f>
        <v/>
      </c>
      <c r="IK38">
        <f>IK37*IF(OR($C37=140,$G37=140),0,1)</f>
        <v/>
      </c>
      <c r="IL38">
        <f>IL37*IF(OR($C37=141,$G37=141),0,1)</f>
        <v/>
      </c>
      <c r="IM38">
        <f>IM37*IF(OR($C37=142,$G37=142),0,1)</f>
        <v/>
      </c>
      <c r="IN38">
        <f>IN37*IF(OR($C37=143,$G37=143),0,1)</f>
        <v/>
      </c>
      <c r="IO38">
        <f>IO37*IF(OR($C37=144,$G37=144),0,1)</f>
        <v/>
      </c>
      <c r="IQ38">
        <f>IF('calcA'!D$106=1,DC38,1)</f>
        <v/>
      </c>
      <c r="IR38">
        <f>IF('calcA'!E$106=1,DD38,1)</f>
        <v/>
      </c>
      <c r="IS38">
        <f>IF('calcA'!F$106=1,DE38,1)</f>
        <v/>
      </c>
      <c r="IT38">
        <f>IF('calcA'!G$106=1,DF38,1)</f>
        <v/>
      </c>
      <c r="IU38">
        <f>IF('calcA'!H$106=1,DG38,1)</f>
        <v/>
      </c>
      <c r="IV38">
        <f>IF('calcA'!I$106=1,DH38,1)</f>
        <v/>
      </c>
      <c r="IW38">
        <f>IF('calcA'!J$106=1,DI38,1)</f>
        <v/>
      </c>
      <c r="IX38">
        <f>IF('calcA'!K$106=1,DJ38,1)</f>
        <v/>
      </c>
      <c r="IY38">
        <f>IF('calcA'!L$106=1,DK38,1)</f>
        <v/>
      </c>
      <c r="IZ38">
        <f>IF('calcA'!M$106=1,DL38,1)</f>
        <v/>
      </c>
      <c r="JA38">
        <f>IF('calcA'!N$106=1,DM38,1)</f>
        <v/>
      </c>
      <c r="JB38">
        <f>IF('calcA'!O$106=1,DN38,1)</f>
        <v/>
      </c>
      <c r="JC38">
        <f>IF('calcA'!P$106=1,DO38,1)</f>
        <v/>
      </c>
      <c r="JD38">
        <f>IF('calcA'!Q$106=1,DP38,1)</f>
        <v/>
      </c>
      <c r="JE38">
        <f>IF('calcA'!R$106=1,DQ38,1)</f>
        <v/>
      </c>
      <c r="JF38">
        <f>IF('calcA'!S$106=1,DR38,1)</f>
        <v/>
      </c>
      <c r="JG38">
        <f>IF('calcA'!T$106=1,DS38,1)</f>
        <v/>
      </c>
      <c r="JH38">
        <f>IF('calcA'!U$106=1,DT38,1)</f>
        <v/>
      </c>
      <c r="JI38">
        <f>IF('calcA'!V$106=1,DU38,1)</f>
        <v/>
      </c>
      <c r="JJ38">
        <f>IF('calcA'!W$106=1,DV38,1)</f>
        <v/>
      </c>
      <c r="JK38">
        <f>IF('calcA'!X$106=1,DW38,1)</f>
        <v/>
      </c>
      <c r="JL38">
        <f>IF('calcA'!Y$106=1,DX38,1)</f>
        <v/>
      </c>
      <c r="JM38">
        <f>IF('calcA'!Z$106=1,DY38,1)</f>
        <v/>
      </c>
      <c r="JN38">
        <f>IF('calcA'!AA$106=1,DZ38,1)</f>
        <v/>
      </c>
      <c r="JO38">
        <f>IF('calcA'!AB$106=1,EA38,1)</f>
        <v/>
      </c>
      <c r="JP38">
        <f>IF('calcA'!AC$106=1,EB38,1)</f>
        <v/>
      </c>
      <c r="JQ38">
        <f>IF('calcA'!AD$106=1,EC38,1)</f>
        <v/>
      </c>
      <c r="JR38">
        <f>IF('calcA'!AE$106=1,ED38,1)</f>
        <v/>
      </c>
      <c r="JS38">
        <f>IF('calcA'!AF$106=1,EE38,1)</f>
        <v/>
      </c>
      <c r="JT38">
        <f>IF('calcA'!AG$106=1,EF38,1)</f>
        <v/>
      </c>
      <c r="JU38">
        <f>IF('calcA'!AH$106=1,EG38,1)</f>
        <v/>
      </c>
      <c r="JV38">
        <f>IF('calcA'!AI$106=1,EH38,1)</f>
        <v/>
      </c>
      <c r="JW38">
        <f>IF('calcA'!AJ$106=1,EI38,1)</f>
        <v/>
      </c>
      <c r="JX38">
        <f>IF('calcA'!AK$106=1,EJ38,1)</f>
        <v/>
      </c>
      <c r="JY38">
        <f>IF('calcA'!AL$106=1,EK38,1)</f>
        <v/>
      </c>
      <c r="JZ38">
        <f>IF('calcA'!AM$106=1,EL38,1)</f>
        <v/>
      </c>
      <c r="KA38">
        <f>IF('calcA'!AN$106=1,EM38,1)</f>
        <v/>
      </c>
      <c r="KB38">
        <f>IF('calcA'!AO$106=1,EN38,1)</f>
        <v/>
      </c>
      <c r="KC38">
        <f>IF('calcA'!AP$106=1,EO38,1)</f>
        <v/>
      </c>
      <c r="KD38">
        <f>IF('calcA'!AQ$106=1,EP38,1)</f>
        <v/>
      </c>
      <c r="KE38">
        <f>IF('calcA'!AR$106=1,EQ38,1)</f>
        <v/>
      </c>
      <c r="KF38">
        <f>IF('calcA'!AS$106=1,ER38,1)</f>
        <v/>
      </c>
      <c r="KG38">
        <f>IF('calcA'!AT$106=1,ES38,1)</f>
        <v/>
      </c>
      <c r="KH38">
        <f>IF('calcA'!AU$106=1,ET38,1)</f>
        <v/>
      </c>
      <c r="KI38">
        <f>IF('calcA'!AV$106=1,EU38,1)</f>
        <v/>
      </c>
      <c r="KJ38">
        <f>IF('calcA'!AW$106=1,EV38,1)</f>
        <v/>
      </c>
      <c r="KK38">
        <f>IF('calcA'!AX$106=1,EW38,1)</f>
        <v/>
      </c>
      <c r="KL38">
        <f>IF('calcA'!AY$106=1,EX38,1)</f>
        <v/>
      </c>
      <c r="KM38">
        <f>IF('calcA'!AZ$106=1,EY38,1)</f>
        <v/>
      </c>
      <c r="KN38">
        <f>IF('calcA'!BA$106=1,EZ38,1)</f>
        <v/>
      </c>
      <c r="KO38">
        <f>IF('calcA'!BB$106=1,FA38,1)</f>
        <v/>
      </c>
      <c r="KP38">
        <f>IF('calcA'!BC$106=1,FB38,1)</f>
        <v/>
      </c>
      <c r="KQ38">
        <f>IF('calcA'!BD$106=1,FC38,1)</f>
        <v/>
      </c>
      <c r="KR38">
        <f>IF('calcA'!BE$106=1,FD38,1)</f>
        <v/>
      </c>
      <c r="KS38">
        <f>IF('calcA'!BF$106=1,FE38,1)</f>
        <v/>
      </c>
      <c r="KT38">
        <f>IF('calcA'!BG$106=1,FF38,1)</f>
        <v/>
      </c>
      <c r="KU38">
        <f>IF('calcA'!BH$106=1,FG38,1)</f>
        <v/>
      </c>
      <c r="KV38">
        <f>IF('calcA'!BI$106=1,FH38,1)</f>
        <v/>
      </c>
      <c r="KW38">
        <f>IF('calcA'!BJ$106=1,FI38,1)</f>
        <v/>
      </c>
      <c r="KX38">
        <f>IF('calcA'!BK$106=1,FJ38,1)</f>
        <v/>
      </c>
      <c r="KY38">
        <f>IF('calcA'!BL$106=1,FK38,1)</f>
        <v/>
      </c>
      <c r="KZ38">
        <f>IF('calcA'!BM$106=1,FL38,1)</f>
        <v/>
      </c>
      <c r="LA38">
        <f>IF('calcA'!BN$106=1,FM38,1)</f>
        <v/>
      </c>
      <c r="LB38">
        <f>IF('calcA'!BO$106=1,FN38,1)</f>
        <v/>
      </c>
      <c r="LC38">
        <f>IF('calcA'!BP$106=1,FO38,1)</f>
        <v/>
      </c>
      <c r="LD38">
        <f>IF('calcA'!BQ$106=1,FP38,1)</f>
        <v/>
      </c>
      <c r="LE38">
        <f>IF('calcA'!BR$106=1,FQ38,1)</f>
        <v/>
      </c>
      <c r="LF38">
        <f>IF('calcA'!BS$106=1,FR38,1)</f>
        <v/>
      </c>
      <c r="LG38">
        <f>IF('calcA'!BT$106=1,FS38,1)</f>
        <v/>
      </c>
      <c r="LH38">
        <f>IF('calcA'!BU$106=1,FT38,1)</f>
        <v/>
      </c>
      <c r="LI38">
        <f>IF('calcA'!BV$106=1,FU38,1)</f>
        <v/>
      </c>
      <c r="LJ38">
        <f>IF('calcA'!BW$106=1,FV38,1)</f>
        <v/>
      </c>
      <c r="LK38">
        <f>IF('calcA'!BX$106=1,FW38,1)</f>
        <v/>
      </c>
      <c r="LL38">
        <f>IF('calcA'!BY$106=1,FX38,1)</f>
        <v/>
      </c>
      <c r="LM38">
        <f>IF('calcA'!BZ$106=1,FY38,1)</f>
        <v/>
      </c>
      <c r="LN38">
        <f>IF('calcA'!CA$106=1,FZ38,1)</f>
        <v/>
      </c>
      <c r="LO38">
        <f>IF('calcA'!CB$106=1,GA38,1)</f>
        <v/>
      </c>
      <c r="LP38">
        <f>IF('calcA'!CC$106=1,GB38,1)</f>
        <v/>
      </c>
      <c r="LQ38">
        <f>IF('calcA'!CD$106=1,GC38,1)</f>
        <v/>
      </c>
      <c r="LR38">
        <f>IF('calcA'!CE$106=1,GD38,1)</f>
        <v/>
      </c>
      <c r="LS38">
        <f>IF('calcA'!CF$106=1,GE38,1)</f>
        <v/>
      </c>
      <c r="LT38">
        <f>IF('calcA'!CG$106=1,GF38,1)</f>
        <v/>
      </c>
      <c r="LU38">
        <f>IF('calcA'!CH$106=1,GG38,1)</f>
        <v/>
      </c>
      <c r="LV38">
        <f>IF('calcA'!CI$106=1,GH38,1)</f>
        <v/>
      </c>
      <c r="LW38">
        <f>IF('calcA'!CJ$106=1,GI38,1)</f>
        <v/>
      </c>
      <c r="LX38">
        <f>IF('calcA'!CK$106=1,GJ38,1)</f>
        <v/>
      </c>
      <c r="LY38">
        <f>IF('calcA'!CL$106=1,GK38,1)</f>
        <v/>
      </c>
      <c r="LZ38">
        <f>IF('calcA'!CM$106=1,GL38,1)</f>
        <v/>
      </c>
      <c r="MA38">
        <f>IF('calcA'!CN$106=1,GM38,1)</f>
        <v/>
      </c>
      <c r="MB38">
        <f>IF('calcA'!CO$106=1,GN38,1)</f>
        <v/>
      </c>
      <c r="MC38">
        <f>IF('calcA'!CP$106=1,GO38,1)</f>
        <v/>
      </c>
      <c r="MD38">
        <f>IF('calcA'!CQ$106=1,GP38,1)</f>
        <v/>
      </c>
      <c r="ME38">
        <f>IF('calcA'!CR$106=1,GQ38,1)</f>
        <v/>
      </c>
      <c r="MF38">
        <f>IF('calcA'!CS$106=1,GR38,1)</f>
        <v/>
      </c>
      <c r="MG38">
        <f>IF('calcA'!CT$106=1,GS38,1)</f>
        <v/>
      </c>
      <c r="MH38">
        <f>IF('calcA'!CU$106=1,GT38,1)</f>
        <v/>
      </c>
      <c r="MI38">
        <f>IF('calcA'!CV$106=1,GU38,1)</f>
        <v/>
      </c>
      <c r="MJ38">
        <f>IF('calcA'!CW$106=1,GV38,1)</f>
        <v/>
      </c>
      <c r="MK38">
        <f>IF('calcA'!CX$106=1,GW38,1)</f>
        <v/>
      </c>
      <c r="ML38">
        <f>IF('calcA'!CY$106=1,GX38,1)</f>
        <v/>
      </c>
      <c r="MM38">
        <f>IF('calcA'!CZ$106=1,GY38,1)</f>
        <v/>
      </c>
      <c r="MN38">
        <f>IF('calcA'!DA$106=1,GZ38,1)</f>
        <v/>
      </c>
      <c r="MO38">
        <f>IF('calcA'!DB$106=1,HA38,1)</f>
        <v/>
      </c>
      <c r="MP38">
        <f>IF('calcA'!DC$106=1,HB38,1)</f>
        <v/>
      </c>
      <c r="MQ38">
        <f>IF('calcA'!DD$106=1,HC38,1)</f>
        <v/>
      </c>
      <c r="MR38">
        <f>IF('calcA'!DE$106=1,HD38,1)</f>
        <v/>
      </c>
      <c r="MS38">
        <f>IF('calcA'!DF$106=1,HE38,1)</f>
        <v/>
      </c>
      <c r="MT38">
        <f>IF('calcA'!DG$106=1,HF38,1)</f>
        <v/>
      </c>
      <c r="MU38">
        <f>IF('calcA'!DH$106=1,HG38,1)</f>
        <v/>
      </c>
      <c r="MV38">
        <f>IF('calcA'!DI$106=1,HH38,1)</f>
        <v/>
      </c>
      <c r="MW38">
        <f>IF('calcA'!DJ$106=1,HI38,1)</f>
        <v/>
      </c>
      <c r="MX38">
        <f>IF('calcA'!DK$106=1,HJ38,1)</f>
        <v/>
      </c>
      <c r="MY38">
        <f>IF('calcA'!DL$106=1,HK38,1)</f>
        <v/>
      </c>
      <c r="MZ38">
        <f>IF('calcA'!DM$106=1,HL38,1)</f>
        <v/>
      </c>
      <c r="NA38">
        <f>IF('calcA'!DN$106=1,HM38,1)</f>
        <v/>
      </c>
      <c r="NB38">
        <f>IF('calcA'!DO$106=1,HN38,1)</f>
        <v/>
      </c>
      <c r="NC38">
        <f>IF('calcA'!DP$106=1,HO38,1)</f>
        <v/>
      </c>
      <c r="ND38">
        <f>IF('calcA'!DQ$106=1,HP38,1)</f>
        <v/>
      </c>
      <c r="NE38">
        <f>IF('calcA'!DR$106=1,HQ38,1)</f>
        <v/>
      </c>
      <c r="NF38">
        <f>IF('calcA'!DS$106=1,HR38,1)</f>
        <v/>
      </c>
      <c r="NG38">
        <f>IF('calcA'!DT$106=1,HS38,1)</f>
        <v/>
      </c>
      <c r="NH38">
        <f>IF('calcA'!DU$106=1,HT38,1)</f>
        <v/>
      </c>
      <c r="NI38">
        <f>IF('calcA'!DV$106=1,HU38,1)</f>
        <v/>
      </c>
      <c r="NJ38">
        <f>IF('calcA'!DW$106=1,HV38,1)</f>
        <v/>
      </c>
      <c r="NK38">
        <f>IF('calcA'!DX$106=1,HW38,1)</f>
        <v/>
      </c>
      <c r="NL38">
        <f>IF('calcA'!DY$106=1,HX38,1)</f>
        <v/>
      </c>
      <c r="NM38">
        <f>IF('calcA'!DZ$106=1,HY38,1)</f>
        <v/>
      </c>
      <c r="NN38">
        <f>IF('calcA'!EA$106=1,HZ38,1)</f>
        <v/>
      </c>
      <c r="NO38">
        <f>IF('calcA'!EB$106=1,IA38,1)</f>
        <v/>
      </c>
      <c r="NP38">
        <f>IF('calcA'!EC$106=1,IB38,1)</f>
        <v/>
      </c>
      <c r="NQ38">
        <f>IF('calcA'!ED$106=1,IC38,1)</f>
        <v/>
      </c>
      <c r="NR38">
        <f>IF('calcA'!EE$106=1,ID38,1)</f>
        <v/>
      </c>
      <c r="NS38">
        <f>IF('calcA'!EF$106=1,IE38,1)</f>
        <v/>
      </c>
      <c r="NT38">
        <f>IF('calcA'!EG$106=1,IF38,1)</f>
        <v/>
      </c>
      <c r="NU38">
        <f>IF('calcA'!EH$106=1,IG38,1)</f>
        <v/>
      </c>
      <c r="NV38">
        <f>IF('calcA'!EI$106=1,IH38,1)</f>
        <v/>
      </c>
      <c r="NW38">
        <f>IF('calcA'!EJ$106=1,II38,1)</f>
        <v/>
      </c>
      <c r="NX38">
        <f>IF('calcA'!EK$106=1,IJ38,1)</f>
        <v/>
      </c>
      <c r="NY38">
        <f>IF('calcA'!EL$106=1,IK38,1)</f>
        <v/>
      </c>
      <c r="NZ38">
        <f>IF('calcA'!EM$106=1,IL38,1)</f>
        <v/>
      </c>
      <c r="OA38">
        <f>IF('calcA'!EN$106=1,IM38,1)</f>
        <v/>
      </c>
      <c r="OB38">
        <f>IF('calcA'!EO$106=1,IN38,1)</f>
        <v/>
      </c>
      <c r="OC38">
        <f>IF('calcA'!EP$106=1,IO38,1)</f>
        <v/>
      </c>
      <c r="OD38" t="n">
        <v>1</v>
      </c>
      <c r="OF38">
        <f>IF($B38=0,1000000000,IF(INDEX('calcA'!$D$60:$EQ$99,$B38,1)*IF($W38=1,DB38+ZQ38,DB38)=1,IF(AND($E38=2,IF($W38=1,AFF38,IQ38)=0),1000000000,IF($V38=1,INDEX('calcA'!$D$130:$EQ$169,$B38,1)+IF(AND($E38=1,IQ38=0),25,0),INDEX('calcA'!D$110:D$114,$F38+1)+IF(AND($E38=1,IQ38=0),1000,0)+IF($H38=1,INDEX('calcA'!$D$180:$EQ$219,$B38,1)*500,0)-IF(AND($U38=1,'calcA'!D$117=1,DC38=0),300,0))),1000000000))</f>
        <v/>
      </c>
      <c r="OG38">
        <f>IF($B38=0,1000000000,IF(INDEX('calcA'!$D$60:$EQ$99,$B38,2)*IF($W38=1,DC38+ZR38,DC38)=1,IF(AND($E38=2,IF($W38=1,AFG38,IR38)=0),1000000000,IF($V38=1,INDEX('calcA'!$D$130:$EQ$169,$B38,2)+IF(AND($E38=1,IR38=0),25,0),INDEX('calcA'!E$110:E$114,$F38+1)+IF(AND($E38=1,IR38=0),1000,0)+IF($H38=1,INDEX('calcA'!$D$180:$EQ$219,$B38,2)*500,0)-IF(AND('calcA'!D$117=1,UB38&gt;0),300,0)-IF(AND($U38=1,'calcA'!E$117=1,DD38=0),300,0))),1000000000))</f>
        <v/>
      </c>
      <c r="OH38">
        <f>IF($B38=0,1000000000,IF(INDEX('calcA'!$D$60:$EQ$99,$B38,3)*IF($W38=1,DD38+ZS38,DD38)=1,IF(AND($E38=2,IF($W38=1,AFH38,IS38)=0),1000000000,IF($V38=1,INDEX('calcA'!$D$130:$EQ$169,$B38,3)+IF(AND($E38=1,IS38=0),25,0),INDEX('calcA'!F$110:F$114,$F38+1)+IF(AND($E38=1,IS38=0),1000,0)+IF($H38=1,INDEX('calcA'!$D$180:$EQ$219,$B38,3)*500,0)-IF(AND('calcA'!E$117=1,UC38&gt;0),300,0)-IF(AND($U38=1,'calcA'!F$117=1,DE38=0),300,0))),1000000000))</f>
        <v/>
      </c>
      <c r="OI38">
        <f>IF($B38=0,1000000000,IF(INDEX('calcA'!$D$60:$EQ$99,$B38,4)*IF($W38=1,DE38+ZT38,DE38)=1,IF(AND($E38=2,IF($W38=1,AFI38,IT38)=0),1000000000,IF($V38=1,INDEX('calcA'!$D$130:$EQ$169,$B38,4)+IF(AND($E38=1,IT38=0),25,0),INDEX('calcA'!G$110:G$114,$F38+1)+IF(AND($E38=1,IT38=0),1000,0)+IF($H38=1,INDEX('calcA'!$D$180:$EQ$219,$B38,4)*500,0)-IF(AND('calcA'!F$117=1,UD38&gt;0),300,0)-IF(AND($U38=1,'calcA'!G$117=1,DF38=0),300,0))),1000000000))</f>
        <v/>
      </c>
      <c r="OJ38">
        <f>IF($B38=0,1000000000,IF(INDEX('calcA'!$D$60:$EQ$99,$B38,5)*IF($W38=1,DF38+ZU38,DF38)=1,IF(AND($E38=2,IF($W38=1,AFJ38,IU38)=0),1000000000,IF($V38=1,INDEX('calcA'!$D$130:$EQ$169,$B38,5)+IF(AND($E38=1,IU38=0),25,0),INDEX('calcA'!H$110:H$114,$F38+1)+IF(AND($E38=1,IU38=0),1000,0)+IF($H38=1,INDEX('calcA'!$D$180:$EQ$219,$B38,5)*500,0)-IF(AND('calcA'!G$117=1,UE38&gt;0),300,0)-IF(AND($U38=1,'calcA'!H$117=1,DG38=0),300,0))),1000000000))</f>
        <v/>
      </c>
      <c r="OK38">
        <f>IF($B38=0,1000000000,IF(INDEX('calcA'!$D$60:$EQ$99,$B38,6)*IF($W38=1,DG38+ZV38,DG38)=1,IF(AND($E38=2,IF($W38=1,AFK38,IV38)=0),1000000000,IF($V38=1,INDEX('calcA'!$D$130:$EQ$169,$B38,6)+IF(AND($E38=1,IV38=0),25,0),INDEX('calcA'!I$110:I$114,$F38+1)+IF(AND($E38=1,IV38=0),1000,0)+IF($H38=1,INDEX('calcA'!$D$180:$EQ$219,$B38,6)*500,0)-IF(AND('calcA'!H$117=1,UF38&gt;0),300,0)-IF(AND($U38=1,'calcA'!I$117=1,DH38=0),300,0))),1000000000))</f>
        <v/>
      </c>
      <c r="OL38">
        <f>IF($B38=0,1000000000,IF(INDEX('calcA'!$D$60:$EQ$99,$B38,7)*IF($W38=1,DH38+ZW38,DH38)=1,IF(AND($E38=2,IF($W38=1,AFL38,IW38)=0),1000000000,IF($V38=1,INDEX('calcA'!$D$130:$EQ$169,$B38,7)+IF(AND($E38=1,IW38=0),25,0),INDEX('calcA'!J$110:J$114,$F38+1)+IF(AND($E38=1,IW38=0),1000,0)+IF($H38=1,INDEX('calcA'!$D$180:$EQ$219,$B38,7)*500,0)-IF(AND('calcA'!I$117=1,UG38&gt;0),300,0)-IF(AND($U38=1,'calcA'!J$117=1,DI38=0),300,0))),1000000000))</f>
        <v/>
      </c>
      <c r="OM38">
        <f>IF($B38=0,1000000000,IF(INDEX('calcA'!$D$60:$EQ$99,$B38,8)*IF($W38=1,DI38+ZX38,DI38)=1,IF(AND($E38=2,IF($W38=1,AFM38,IX38)=0),1000000000,IF($V38=1,INDEX('calcA'!$D$130:$EQ$169,$B38,8)+IF(AND($E38=1,IX38=0),25,0),INDEX('calcA'!K$110:K$114,$F38+1)+IF(AND($E38=1,IX38=0),1000,0)+IF($H38=1,INDEX('calcA'!$D$180:$EQ$219,$B38,8)*500,0)-IF(AND('calcA'!J$117=1,UH38&gt;0),300,0)-IF(AND($U38=1,'calcA'!K$117=1,DJ38=0),300,0))),1000000000))</f>
        <v/>
      </c>
      <c r="ON38">
        <f>IF($B38=0,1000000000,IF(INDEX('calcA'!$D$60:$EQ$99,$B38,9)*IF($W38=1,DJ38+ZY38,DJ38)=1,IF(AND($E38=2,IF($W38=1,AFN38,IY38)=0),1000000000,IF($V38=1,INDEX('calcA'!$D$130:$EQ$169,$B38,9)+IF(AND($E38=1,IY38=0),25,0),INDEX('calcA'!L$110:L$114,$F38+1)+IF(AND($E38=1,IY38=0),1000,0)+IF($H38=1,INDEX('calcA'!$D$180:$EQ$219,$B38,9)*500,0)-IF(AND('calcA'!K$117=1,UI38&gt;0),300,0)-IF(AND($U38=1,'calcA'!L$117=1,DK38=0),300,0))),1000000000))</f>
        <v/>
      </c>
      <c r="OO38">
        <f>IF($B38=0,1000000000,IF(INDEX('calcA'!$D$60:$EQ$99,$B38,10)*IF($W38=1,DK38+ZZ38,DK38)=1,IF(AND($E38=2,IF($W38=1,AFO38,IZ38)=0),1000000000,IF($V38=1,INDEX('calcA'!$D$130:$EQ$169,$B38,10)+IF(AND($E38=1,IZ38=0),25,0),INDEX('calcA'!M$110:M$114,$F38+1)+IF(AND($E38=1,IZ38=0),1000,0)+IF($H38=1,INDEX('calcA'!$D$180:$EQ$219,$B38,10)*500,0)-IF(AND('calcA'!L$117=1,UJ38&gt;0),300,0)-IF(AND($U38=1,'calcA'!M$117=1,DL38=0),300,0))),1000000000))</f>
        <v/>
      </c>
      <c r="OP38">
        <f>IF($B38=0,1000000000,IF(INDEX('calcA'!$D$60:$EQ$99,$B38,11)*IF($W38=1,DL38+AAA38,DL38)=1,IF(AND($E38=2,IF($W38=1,AFP38,JA38)=0),1000000000,IF($V38=1,INDEX('calcA'!$D$130:$EQ$169,$B38,11)+IF(AND($E38=1,JA38=0),25,0),INDEX('calcA'!N$110:N$114,$F38+1)+IF(AND($E38=1,JA38=0),1000,0)+IF($H38=1,INDEX('calcA'!$D$180:$EQ$219,$B38,11)*500,0)-IF(AND('calcA'!M$117=1,UK38&gt;0),300,0)-IF(AND($U38=1,'calcA'!N$117=1,DM38=0),300,0))),1000000000))</f>
        <v/>
      </c>
      <c r="OQ38">
        <f>IF($B38=0,1000000000,IF(INDEX('calcA'!$D$60:$EQ$99,$B38,12)*IF($W38=1,DM38+AAB38,DM38)=1,IF(AND($E38=2,IF($W38=1,AFQ38,JB38)=0),1000000000,IF($V38=1,INDEX('calcA'!$D$130:$EQ$169,$B38,12)+IF(AND($E38=1,JB38=0),25,0),INDEX('calcA'!O$110:O$114,$F38+1)+IF(AND($E38=1,JB38=0),1000,0)+IF($H38=1,INDEX('calcA'!$D$180:$EQ$219,$B38,12)*500,0)-IF(AND('calcA'!N$117=1,UL38&gt;0),300,0)-IF(AND($U38=1,'calcA'!O$117=1,DN38=0),300,0))),1000000000))</f>
        <v/>
      </c>
      <c r="OR38">
        <f>IF($B38=0,1000000000,IF(INDEX('calcA'!$D$60:$EQ$99,$B38,13)*IF($W38=1,DN38+AAC38,DN38)=1,IF(AND($E38=2,IF($W38=1,AFR38,JC38)=0),1000000000,IF($V38=1,INDEX('calcA'!$D$130:$EQ$169,$B38,13)+IF(AND($E38=1,JC38=0),25,0),INDEX('calcA'!P$110:P$114,$F38+1)+IF(AND($E38=1,JC38=0),1000,0)+IF($H38=1,INDEX('calcA'!$D$180:$EQ$219,$B38,13)*500,0)-IF(AND('calcA'!O$117=1,UM38&gt;0),300,0)-IF(AND($U38=1,'calcA'!P$117=1,DO38=0),300,0))),1000000000))</f>
        <v/>
      </c>
      <c r="OS38">
        <f>IF($B38=0,1000000000,IF(INDEX('calcA'!$D$60:$EQ$99,$B38,14)*IF($W38=1,DO38+AAD38,DO38)=1,IF(AND($E38=2,IF($W38=1,AFS38,JD38)=0),1000000000,IF($V38=1,INDEX('calcA'!$D$130:$EQ$169,$B38,14)+IF(AND($E38=1,JD38=0),25,0),INDEX('calcA'!Q$110:Q$114,$F38+1)+IF(AND($E38=1,JD38=0),1000,0)+IF($H38=1,INDEX('calcA'!$D$180:$EQ$219,$B38,14)*500,0)-IF(AND('calcA'!P$117=1,UN38&gt;0),300,0)-IF(AND($U38=1,'calcA'!Q$117=1,DP38=0),300,0))),1000000000))</f>
        <v/>
      </c>
      <c r="OT38">
        <f>IF($B38=0,1000000000,IF(INDEX('calcA'!$D$60:$EQ$99,$B38,15)*IF($W38=1,DP38+AAE38,DP38)=1,IF(AND($E38=2,IF($W38=1,AFT38,JE38)=0),1000000000,IF($V38=1,INDEX('calcA'!$D$130:$EQ$169,$B38,15)+IF(AND($E38=1,JE38=0),25,0),INDEX('calcA'!R$110:R$114,$F38+1)+IF(AND($E38=1,JE38=0),1000,0)+IF($H38=1,INDEX('calcA'!$D$180:$EQ$219,$B38,15)*500,0)-IF(AND('calcA'!Q$117=1,UO38&gt;0),300,0)-IF(AND($U38=1,'calcA'!R$117=1,DQ38=0),300,0))),1000000000))</f>
        <v/>
      </c>
      <c r="OU38">
        <f>IF($B38=0,1000000000,IF(INDEX('calcA'!$D$60:$EQ$99,$B38,16)*IF($W38=1,DQ38+AAF38,DQ38)=1,IF(AND($E38=2,IF($W38=1,AFU38,JF38)=0),1000000000,IF($V38=1,INDEX('calcA'!$D$130:$EQ$169,$B38,16)+IF(AND($E38=1,JF38=0),25,0),INDEX('calcA'!S$110:S$114,$F38+1)+IF(AND($E38=1,JF38=0),1000,0)+IF($H38=1,INDEX('calcA'!$D$180:$EQ$219,$B38,16)*500,0)-IF(AND('calcA'!R$117=1,UP38&gt;0),300,0)-IF(AND($U38=1,'calcA'!S$117=1,DR38=0),300,0))),1000000000))</f>
        <v/>
      </c>
      <c r="OV38">
        <f>IF($B38=0,1000000000,IF(INDEX('calcA'!$D$60:$EQ$99,$B38,17)*IF($W38=1,DR38+AAG38,DR38)=1,IF(AND($E38=2,IF($W38=1,AFV38,JG38)=0),1000000000,IF($V38=1,INDEX('calcA'!$D$130:$EQ$169,$B38,17)+IF(AND($E38=1,JG38=0),25,0),INDEX('calcA'!T$110:T$114,$F38+1)+IF(AND($E38=1,JG38=0),1000,0)+IF($H38=1,INDEX('calcA'!$D$180:$EQ$219,$B38,17)*500,0)-IF(AND('calcA'!S$117=1,UQ38&gt;0),300,0)-IF(AND($U38=1,'calcA'!T$117=1,DS38=0),300,0))),1000000000))</f>
        <v/>
      </c>
      <c r="OW38">
        <f>IF($B38=0,1000000000,IF(INDEX('calcA'!$D$60:$EQ$99,$B38,18)*IF($W38=1,DS38+AAH38,DS38)=1,IF(AND($E38=2,IF($W38=1,AFW38,JH38)=0),1000000000,IF($V38=1,INDEX('calcA'!$D$130:$EQ$169,$B38,18)+IF(AND($E38=1,JH38=0),25,0),INDEX('calcA'!U$110:U$114,$F38+1)+IF(AND($E38=1,JH38=0),1000,0)+IF($H38=1,INDEX('calcA'!$D$180:$EQ$219,$B38,18)*500,0)-IF(AND('calcA'!T$117=1,UR38&gt;0),300,0)-IF(AND($U38=1,'calcA'!U$117=1,DT38=0),300,0))),1000000000))</f>
        <v/>
      </c>
      <c r="OX38">
        <f>IF($B38=0,1000000000,IF(INDEX('calcA'!$D$60:$EQ$99,$B38,19)*IF($W38=1,DT38+AAI38,DT38)=1,IF(AND($E38=2,IF($W38=1,AFX38,JI38)=0),1000000000,IF($V38=1,INDEX('calcA'!$D$130:$EQ$169,$B38,19)+IF(AND($E38=1,JI38=0),25,0),INDEX('calcA'!V$110:V$114,$F38+1)+IF(AND($E38=1,JI38=0),1000,0)+IF($H38=1,INDEX('calcA'!$D$180:$EQ$219,$B38,19)*500,0)-IF(AND('calcA'!U$117=1,US38&gt;0),300,0)-IF(AND($U38=1,'calcA'!V$117=1,DU38=0),300,0))),1000000000))</f>
        <v/>
      </c>
      <c r="OY38">
        <f>IF($B38=0,1000000000,IF(INDEX('calcA'!$D$60:$EQ$99,$B38,20)*IF($W38=1,DU38+AAJ38,DU38)=1,IF(AND($E38=2,IF($W38=1,AFY38,JJ38)=0),1000000000,IF($V38=1,INDEX('calcA'!$D$130:$EQ$169,$B38,20)+IF(AND($E38=1,JJ38=0),25,0),INDEX('calcA'!W$110:W$114,$F38+1)+IF(AND($E38=1,JJ38=0),1000,0)+IF($H38=1,INDEX('calcA'!$D$180:$EQ$219,$B38,20)*500,0)-IF(AND('calcA'!V$117=1,UT38&gt;0),300,0)-IF(AND($U38=1,'calcA'!W$117=1,DV38=0),300,0))),1000000000))</f>
        <v/>
      </c>
      <c r="OZ38">
        <f>IF($B38=0,1000000000,IF(INDEX('calcA'!$D$60:$EQ$99,$B38,21)*IF($W38=1,DV38+AAK38,DV38)=1,IF(AND($E38=2,IF($W38=1,AFZ38,JK38)=0),1000000000,IF($V38=1,INDEX('calcA'!$D$130:$EQ$169,$B38,21)+IF(AND($E38=1,JK38=0),25,0),INDEX('calcA'!X$110:X$114,$F38+1)+IF(AND($E38=1,JK38=0),1000,0)+IF($H38=1,INDEX('calcA'!$D$180:$EQ$219,$B38,21)*500,0)-IF(AND('calcA'!W$117=1,UU38&gt;0),300,0)-IF(AND($U38=1,'calcA'!X$117=1,DW38=0),300,0))),1000000000))</f>
        <v/>
      </c>
      <c r="PA38">
        <f>IF($B38=0,1000000000,IF(INDEX('calcA'!$D$60:$EQ$99,$B38,22)*IF($W38=1,DW38+AAL38,DW38)=1,IF(AND($E38=2,IF($W38=1,AGA38,JL38)=0),1000000000,IF($V38=1,INDEX('calcA'!$D$130:$EQ$169,$B38,22)+IF(AND($E38=1,JL38=0),25,0),INDEX('calcA'!Y$110:Y$114,$F38+1)+IF(AND($E38=1,JL38=0),1000,0)+IF($H38=1,INDEX('calcA'!$D$180:$EQ$219,$B38,22)*500,0)-IF(AND('calcA'!X$117=1,UV38&gt;0),300,0)-IF(AND($U38=1,'calcA'!Y$117=1,DX38=0),300,0))),1000000000))</f>
        <v/>
      </c>
      <c r="PB38">
        <f>IF($B38=0,1000000000,IF(INDEX('calcA'!$D$60:$EQ$99,$B38,23)*IF($W38=1,DX38+AAM38,DX38)=1,IF(AND($E38=2,IF($W38=1,AGB38,JM38)=0),1000000000,IF($V38=1,INDEX('calcA'!$D$130:$EQ$169,$B38,23)+IF(AND($E38=1,JM38=0),25,0),INDEX('calcA'!Z$110:Z$114,$F38+1)+IF(AND($E38=1,JM38=0),1000,0)+IF($H38=1,INDEX('calcA'!$D$180:$EQ$219,$B38,23)*500,0)-IF(AND('calcA'!Y$117=1,UW38&gt;0),300,0)-IF(AND($U38=1,'calcA'!Z$117=1,DY38=0),300,0))),1000000000))</f>
        <v/>
      </c>
      <c r="PC38">
        <f>IF($B38=0,1000000000,IF(INDEX('calcA'!$D$60:$EQ$99,$B38,24)*IF($W38=1,DY38+AAN38,DY38)=1,IF(AND($E38=2,IF($W38=1,AGC38,JN38)=0),1000000000,IF($V38=1,INDEX('calcA'!$D$130:$EQ$169,$B38,24)+IF(AND($E38=1,JN38=0),25,0),INDEX('calcA'!AA$110:AA$114,$F38+1)+IF(AND($E38=1,JN38=0),1000,0)+IF($H38=1,INDEX('calcA'!$D$180:$EQ$219,$B38,24)*500,0)-IF(AND('calcA'!Z$117=1,UX38&gt;0),300,0))),1000000000))</f>
        <v/>
      </c>
      <c r="PD38">
        <f>IF($B38=0,1000000000,IF(INDEX('calcA'!$D$60:$EQ$99,$B38,25)*IF($W38=1,DZ38+AAO38,DZ38)=1,IF(AND($E38=2,IF($W38=1,AGD38,JO38)=0),1000000000,IF($V38=1,INDEX('calcA'!$D$130:$EQ$169,$B38,25)+IF(AND($E38=1,JO38=0),25,0),INDEX('calcA'!AB$110:AB$114,$F38+1)+IF(AND($E38=1,JO38=0),1000,0)+IF($H38=1,INDEX('calcA'!$D$180:$EQ$219,$B38,25)*500,0)-IF(AND($U38=1,'calcA'!AB$117=1,EA38=0),300,0))),1000000000))</f>
        <v/>
      </c>
      <c r="PE38">
        <f>IF($B38=0,1000000000,IF(INDEX('calcA'!$D$60:$EQ$99,$B38,26)*IF($W38=1,EA38+AAP38,EA38)=1,IF(AND($E38=2,IF($W38=1,AGE38,JP38)=0),1000000000,IF($V38=1,INDEX('calcA'!$D$130:$EQ$169,$B38,26)+IF(AND($E38=1,JP38=0),25,0),INDEX('calcA'!AC$110:AC$114,$F38+1)+IF(AND($E38=1,JP38=0),1000,0)+IF($H38=1,INDEX('calcA'!$D$180:$EQ$219,$B38,26)*500,0)-IF(AND('calcA'!AB$117=1,UZ38&gt;0),300,0)-IF(AND($U38=1,'calcA'!AC$117=1,EB38=0),300,0))),1000000000))</f>
        <v/>
      </c>
      <c r="PF38">
        <f>IF($B38=0,1000000000,IF(INDEX('calcA'!$D$60:$EQ$99,$B38,27)*IF($W38=1,EB38+AAQ38,EB38)=1,IF(AND($E38=2,IF($W38=1,AGF38,JQ38)=0),1000000000,IF($V38=1,INDEX('calcA'!$D$130:$EQ$169,$B38,27)+IF(AND($E38=1,JQ38=0),25,0),INDEX('calcA'!AD$110:AD$114,$F38+1)+IF(AND($E38=1,JQ38=0),1000,0)+IF($H38=1,INDEX('calcA'!$D$180:$EQ$219,$B38,27)*500,0)-IF(AND('calcA'!AC$117=1,VA38&gt;0),300,0)-IF(AND($U38=1,'calcA'!AD$117=1,EC38=0),300,0))),1000000000))</f>
        <v/>
      </c>
      <c r="PG38">
        <f>IF($B38=0,1000000000,IF(INDEX('calcA'!$D$60:$EQ$99,$B38,28)*IF($W38=1,EC38+AAR38,EC38)=1,IF(AND($E38=2,IF($W38=1,AGG38,JR38)=0),1000000000,IF($V38=1,INDEX('calcA'!$D$130:$EQ$169,$B38,28)+IF(AND($E38=1,JR38=0),25,0),INDEX('calcA'!AE$110:AE$114,$F38+1)+IF(AND($E38=1,JR38=0),1000,0)+IF($H38=1,INDEX('calcA'!$D$180:$EQ$219,$B38,28)*500,0)-IF(AND('calcA'!AD$117=1,VB38&gt;0),300,0)-IF(AND($U38=1,'calcA'!AE$117=1,ED38=0),300,0))),1000000000))</f>
        <v/>
      </c>
      <c r="PH38">
        <f>IF($B38=0,1000000000,IF(INDEX('calcA'!$D$60:$EQ$99,$B38,29)*IF($W38=1,ED38+AAS38,ED38)=1,IF(AND($E38=2,IF($W38=1,AGH38,JS38)=0),1000000000,IF($V38=1,INDEX('calcA'!$D$130:$EQ$169,$B38,29)+IF(AND($E38=1,JS38=0),25,0),INDEX('calcA'!AF$110:AF$114,$F38+1)+IF(AND($E38=1,JS38=0),1000,0)+IF($H38=1,INDEX('calcA'!$D$180:$EQ$219,$B38,29)*500,0)-IF(AND('calcA'!AE$117=1,VC38&gt;0),300,0)-IF(AND($U38=1,'calcA'!AF$117=1,EE38=0),300,0))),1000000000))</f>
        <v/>
      </c>
      <c r="PI38">
        <f>IF($B38=0,1000000000,IF(INDEX('calcA'!$D$60:$EQ$99,$B38,30)*IF($W38=1,EE38+AAT38,EE38)=1,IF(AND($E38=2,IF($W38=1,AGI38,JT38)=0),1000000000,IF($V38=1,INDEX('calcA'!$D$130:$EQ$169,$B38,30)+IF(AND($E38=1,JT38=0),25,0),INDEX('calcA'!AG$110:AG$114,$F38+1)+IF(AND($E38=1,JT38=0),1000,0)+IF($H38=1,INDEX('calcA'!$D$180:$EQ$219,$B38,30)*500,0)-IF(AND('calcA'!AF$117=1,VD38&gt;0),300,0)-IF(AND($U38=1,'calcA'!AG$117=1,EF38=0),300,0))),1000000000))</f>
        <v/>
      </c>
      <c r="PJ38">
        <f>IF($B38=0,1000000000,IF(INDEX('calcA'!$D$60:$EQ$99,$B38,31)*IF($W38=1,EF38+AAU38,EF38)=1,IF(AND($E38=2,IF($W38=1,AGJ38,JU38)=0),1000000000,IF($V38=1,INDEX('calcA'!$D$130:$EQ$169,$B38,31)+IF(AND($E38=1,JU38=0),25,0),INDEX('calcA'!AH$110:AH$114,$F38+1)+IF(AND($E38=1,JU38=0),1000,0)+IF($H38=1,INDEX('calcA'!$D$180:$EQ$219,$B38,31)*500,0)-IF(AND('calcA'!AG$117=1,VE38&gt;0),300,0)-IF(AND($U38=1,'calcA'!AH$117=1,EG38=0),300,0))),1000000000))</f>
        <v/>
      </c>
      <c r="PK38">
        <f>IF($B38=0,1000000000,IF(INDEX('calcA'!$D$60:$EQ$99,$B38,32)*IF($W38=1,EG38+AAV38,EG38)=1,IF(AND($E38=2,IF($W38=1,AGK38,JV38)=0),1000000000,IF($V38=1,INDEX('calcA'!$D$130:$EQ$169,$B38,32)+IF(AND($E38=1,JV38=0),25,0),INDEX('calcA'!AI$110:AI$114,$F38+1)+IF(AND($E38=1,JV38=0),1000,0)+IF($H38=1,INDEX('calcA'!$D$180:$EQ$219,$B38,32)*500,0)-IF(AND('calcA'!AH$117=1,VF38&gt;0),300,0)-IF(AND($U38=1,'calcA'!AI$117=1,EH38=0),300,0))),1000000000))</f>
        <v/>
      </c>
      <c r="PL38">
        <f>IF($B38=0,1000000000,IF(INDEX('calcA'!$D$60:$EQ$99,$B38,33)*IF($W38=1,EH38+AAW38,EH38)=1,IF(AND($E38=2,IF($W38=1,AGL38,JW38)=0),1000000000,IF($V38=1,INDEX('calcA'!$D$130:$EQ$169,$B38,33)+IF(AND($E38=1,JW38=0),25,0),INDEX('calcA'!AJ$110:AJ$114,$F38+1)+IF(AND($E38=1,JW38=0),1000,0)+IF($H38=1,INDEX('calcA'!$D$180:$EQ$219,$B38,33)*500,0)-IF(AND('calcA'!AI$117=1,VG38&gt;0),300,0)-IF(AND($U38=1,'calcA'!AJ$117=1,EI38=0),300,0))),1000000000))</f>
        <v/>
      </c>
      <c r="PM38">
        <f>IF($B38=0,1000000000,IF(INDEX('calcA'!$D$60:$EQ$99,$B38,34)*IF($W38=1,EI38+AAX38,EI38)=1,IF(AND($E38=2,IF($W38=1,AGM38,JX38)=0),1000000000,IF($V38=1,INDEX('calcA'!$D$130:$EQ$169,$B38,34)+IF(AND($E38=1,JX38=0),25,0),INDEX('calcA'!AK$110:AK$114,$F38+1)+IF(AND($E38=1,JX38=0),1000,0)+IF($H38=1,INDEX('calcA'!$D$180:$EQ$219,$B38,34)*500,0)-IF(AND('calcA'!AJ$117=1,VH38&gt;0),300,0)-IF(AND($U38=1,'calcA'!AK$117=1,EJ38=0),300,0))),1000000000))</f>
        <v/>
      </c>
      <c r="PN38">
        <f>IF($B38=0,1000000000,IF(INDEX('calcA'!$D$60:$EQ$99,$B38,35)*IF($W38=1,EJ38+AAY38,EJ38)=1,IF(AND($E38=2,IF($W38=1,AGN38,JY38)=0),1000000000,IF($V38=1,INDEX('calcA'!$D$130:$EQ$169,$B38,35)+IF(AND($E38=1,JY38=0),25,0),INDEX('calcA'!AL$110:AL$114,$F38+1)+IF(AND($E38=1,JY38=0),1000,0)+IF($H38=1,INDEX('calcA'!$D$180:$EQ$219,$B38,35)*500,0)-IF(AND('calcA'!AK$117=1,VI38&gt;0),300,0)-IF(AND($U38=1,'calcA'!AL$117=1,EK38=0),300,0))),1000000000))</f>
        <v/>
      </c>
      <c r="PO38">
        <f>IF($B38=0,1000000000,IF(INDEX('calcA'!$D$60:$EQ$99,$B38,36)*IF($W38=1,EK38+AAZ38,EK38)=1,IF(AND($E38=2,IF($W38=1,AGO38,JZ38)=0),1000000000,IF($V38=1,INDEX('calcA'!$D$130:$EQ$169,$B38,36)+IF(AND($E38=1,JZ38=0),25,0),INDEX('calcA'!AM$110:AM$114,$F38+1)+IF(AND($E38=1,JZ38=0),1000,0)+IF($H38=1,INDEX('calcA'!$D$180:$EQ$219,$B38,36)*500,0)-IF(AND('calcA'!AL$117=1,VJ38&gt;0),300,0)-IF(AND($U38=1,'calcA'!AM$117=1,EL38=0),300,0))),1000000000))</f>
        <v/>
      </c>
      <c r="PP38">
        <f>IF($B38=0,1000000000,IF(INDEX('calcA'!$D$60:$EQ$99,$B38,37)*IF($W38=1,EL38+ABA38,EL38)=1,IF(AND($E38=2,IF($W38=1,AGP38,KA38)=0),1000000000,IF($V38=1,INDEX('calcA'!$D$130:$EQ$169,$B38,37)+IF(AND($E38=1,KA38=0),25,0),INDEX('calcA'!AN$110:AN$114,$F38+1)+IF(AND($E38=1,KA38=0),1000,0)+IF($H38=1,INDEX('calcA'!$D$180:$EQ$219,$B38,37)*500,0)-IF(AND('calcA'!AM$117=1,VK38&gt;0),300,0)-IF(AND($U38=1,'calcA'!AN$117=1,EM38=0),300,0))),1000000000))</f>
        <v/>
      </c>
      <c r="PQ38">
        <f>IF($B38=0,1000000000,IF(INDEX('calcA'!$D$60:$EQ$99,$B38,38)*IF($W38=1,EM38+ABB38,EM38)=1,IF(AND($E38=2,IF($W38=1,AGQ38,KB38)=0),1000000000,IF($V38=1,INDEX('calcA'!$D$130:$EQ$169,$B38,38)+IF(AND($E38=1,KB38=0),25,0),INDEX('calcA'!AO$110:AO$114,$F38+1)+IF(AND($E38=1,KB38=0),1000,0)+IF($H38=1,INDEX('calcA'!$D$180:$EQ$219,$B38,38)*500,0)-IF(AND('calcA'!AN$117=1,VL38&gt;0),300,0)-IF(AND($U38=1,'calcA'!AO$117=1,EN38=0),300,0))),1000000000))</f>
        <v/>
      </c>
      <c r="PR38">
        <f>IF($B38=0,1000000000,IF(INDEX('calcA'!$D$60:$EQ$99,$B38,39)*IF($W38=1,EN38+ABC38,EN38)=1,IF(AND($E38=2,IF($W38=1,AGR38,KC38)=0),1000000000,IF($V38=1,INDEX('calcA'!$D$130:$EQ$169,$B38,39)+IF(AND($E38=1,KC38=0),25,0),INDEX('calcA'!AP$110:AP$114,$F38+1)+IF(AND($E38=1,KC38=0),1000,0)+IF($H38=1,INDEX('calcA'!$D$180:$EQ$219,$B38,39)*500,0)-IF(AND('calcA'!AO$117=1,VM38&gt;0),300,0)-IF(AND($U38=1,'calcA'!AP$117=1,EO38=0),300,0))),1000000000))</f>
        <v/>
      </c>
      <c r="PS38">
        <f>IF($B38=0,1000000000,IF(INDEX('calcA'!$D$60:$EQ$99,$B38,40)*IF($W38=1,EO38+ABD38,EO38)=1,IF(AND($E38=2,IF($W38=1,AGS38,KD38)=0),1000000000,IF($V38=1,INDEX('calcA'!$D$130:$EQ$169,$B38,40)+IF(AND($E38=1,KD38=0),25,0),INDEX('calcA'!AQ$110:AQ$114,$F38+1)+IF(AND($E38=1,KD38=0),1000,0)+IF($H38=1,INDEX('calcA'!$D$180:$EQ$219,$B38,40)*500,0)-IF(AND('calcA'!AP$117=1,VN38&gt;0),300,0)-IF(AND($U38=1,'calcA'!AQ$117=1,EP38=0),300,0))),1000000000))</f>
        <v/>
      </c>
      <c r="PT38">
        <f>IF($B38=0,1000000000,IF(INDEX('calcA'!$D$60:$EQ$99,$B38,41)*IF($W38=1,EP38+ABE38,EP38)=1,IF(AND($E38=2,IF($W38=1,AGT38,KE38)=0),1000000000,IF($V38=1,INDEX('calcA'!$D$130:$EQ$169,$B38,41)+IF(AND($E38=1,KE38=0),25,0),INDEX('calcA'!AR$110:AR$114,$F38+1)+IF(AND($E38=1,KE38=0),1000,0)+IF($H38=1,INDEX('calcA'!$D$180:$EQ$219,$B38,41)*500,0)-IF(AND('calcA'!AQ$117=1,VO38&gt;0),300,0)-IF(AND($U38=1,'calcA'!AR$117=1,EQ38=0),300,0))),1000000000))</f>
        <v/>
      </c>
      <c r="PU38">
        <f>IF($B38=0,1000000000,IF(INDEX('calcA'!$D$60:$EQ$99,$B38,42)*IF($W38=1,EQ38+ABF38,EQ38)=1,IF(AND($E38=2,IF($W38=1,AGU38,KF38)=0),1000000000,IF($V38=1,INDEX('calcA'!$D$130:$EQ$169,$B38,42)+IF(AND($E38=1,KF38=0),25,0),INDEX('calcA'!AS$110:AS$114,$F38+1)+IF(AND($E38=1,KF38=0),1000,0)+IF($H38=1,INDEX('calcA'!$D$180:$EQ$219,$B38,42)*500,0)-IF(AND('calcA'!AR$117=1,VP38&gt;0),300,0)-IF(AND($U38=1,'calcA'!AS$117=1,ER38=0),300,0))),1000000000))</f>
        <v/>
      </c>
      <c r="PV38">
        <f>IF($B38=0,1000000000,IF(INDEX('calcA'!$D$60:$EQ$99,$B38,43)*IF($W38=1,ER38+ABG38,ER38)=1,IF(AND($E38=2,IF($W38=1,AGV38,KG38)=0),1000000000,IF($V38=1,INDEX('calcA'!$D$130:$EQ$169,$B38,43)+IF(AND($E38=1,KG38=0),25,0),INDEX('calcA'!AT$110:AT$114,$F38+1)+IF(AND($E38=1,KG38=0),1000,0)+IF($H38=1,INDEX('calcA'!$D$180:$EQ$219,$B38,43)*500,0)-IF(AND('calcA'!AS$117=1,VQ38&gt;0),300,0)-IF(AND($U38=1,'calcA'!AT$117=1,ES38=0),300,0))),1000000000))</f>
        <v/>
      </c>
      <c r="PW38">
        <f>IF($B38=0,1000000000,IF(INDEX('calcA'!$D$60:$EQ$99,$B38,44)*IF($W38=1,ES38+ABH38,ES38)=1,IF(AND($E38=2,IF($W38=1,AGW38,KH38)=0),1000000000,IF($V38=1,INDEX('calcA'!$D$130:$EQ$169,$B38,44)+IF(AND($E38=1,KH38=0),25,0),INDEX('calcA'!AU$110:AU$114,$F38+1)+IF(AND($E38=1,KH38=0),1000,0)+IF($H38=1,INDEX('calcA'!$D$180:$EQ$219,$B38,44)*500,0)-IF(AND('calcA'!AT$117=1,VR38&gt;0),300,0)-IF(AND($U38=1,'calcA'!AU$117=1,ET38=0),300,0))),1000000000))</f>
        <v/>
      </c>
      <c r="PX38">
        <f>IF($B38=0,1000000000,IF(INDEX('calcA'!$D$60:$EQ$99,$B38,45)*IF($W38=1,ET38+ABI38,ET38)=1,IF(AND($E38=2,IF($W38=1,AGX38,KI38)=0),1000000000,IF($V38=1,INDEX('calcA'!$D$130:$EQ$169,$B38,45)+IF(AND($E38=1,KI38=0),25,0),INDEX('calcA'!AV$110:AV$114,$F38+1)+IF(AND($E38=1,KI38=0),1000,0)+IF($H38=1,INDEX('calcA'!$D$180:$EQ$219,$B38,45)*500,0)-IF(AND('calcA'!AU$117=1,VS38&gt;0),300,0)-IF(AND($U38=1,'calcA'!AV$117=1,EU38=0),300,0))),1000000000))</f>
        <v/>
      </c>
      <c r="PY38">
        <f>IF($B38=0,1000000000,IF(INDEX('calcA'!$D$60:$EQ$99,$B38,46)*IF($W38=1,EU38+ABJ38,EU38)=1,IF(AND($E38=2,IF($W38=1,AGY38,KJ38)=0),1000000000,IF($V38=1,INDEX('calcA'!$D$130:$EQ$169,$B38,46)+IF(AND($E38=1,KJ38=0),25,0),INDEX('calcA'!AW$110:AW$114,$F38+1)+IF(AND($E38=1,KJ38=0),1000,0)+IF($H38=1,INDEX('calcA'!$D$180:$EQ$219,$B38,46)*500,0)-IF(AND('calcA'!AV$117=1,VT38&gt;0),300,0)-IF(AND($U38=1,'calcA'!AW$117=1,EV38=0),300,0))),1000000000))</f>
        <v/>
      </c>
      <c r="PZ38">
        <f>IF($B38=0,1000000000,IF(INDEX('calcA'!$D$60:$EQ$99,$B38,47)*IF($W38=1,EV38+ABK38,EV38)=1,IF(AND($E38=2,IF($W38=1,AGZ38,KK38)=0),1000000000,IF($V38=1,INDEX('calcA'!$D$130:$EQ$169,$B38,47)+IF(AND($E38=1,KK38=0),25,0),INDEX('calcA'!AX$110:AX$114,$F38+1)+IF(AND($E38=1,KK38=0),1000,0)+IF($H38=1,INDEX('calcA'!$D$180:$EQ$219,$B38,47)*500,0)-IF(AND('calcA'!AW$117=1,VU38&gt;0),300,0)-IF(AND($U38=1,'calcA'!AX$117=1,EW38=0),300,0))),1000000000))</f>
        <v/>
      </c>
      <c r="QA38">
        <f>IF($B38=0,1000000000,IF(INDEX('calcA'!$D$60:$EQ$99,$B38,48)*IF($W38=1,EW38+ABL38,EW38)=1,IF(AND($E38=2,IF($W38=1,AHA38,KL38)=0),1000000000,IF($V38=1,INDEX('calcA'!$D$130:$EQ$169,$B38,48)+IF(AND($E38=1,KL38=0),25,0),INDEX('calcA'!AY$110:AY$114,$F38+1)+IF(AND($E38=1,KL38=0),1000,0)+IF($H38=1,INDEX('calcA'!$D$180:$EQ$219,$B38,48)*500,0)-IF(AND('calcA'!AX$117=1,VV38&gt;0),300,0))),1000000000))</f>
        <v/>
      </c>
      <c r="QB38">
        <f>IF($B38=0,1000000000,IF(INDEX('calcA'!$D$60:$EQ$99,$B38,49)*IF($W38=1,EX38+ABM38,EX38)=1,IF(AND($E38=2,IF($W38=1,AHB38,KM38)=0),1000000000,IF($V38=1,INDEX('calcA'!$D$130:$EQ$169,$B38,49)+IF(AND($E38=1,KM38=0),25,0),INDEX('calcA'!AZ$110:AZ$114,$F38+1)+IF(AND($E38=1,KM38=0),1000,0)+IF($H38=1,INDEX('calcA'!$D$180:$EQ$219,$B38,49)*500,0)-IF(AND($U38=1,'calcA'!AZ$117=1,EY38=0),300,0))),1000000000))</f>
        <v/>
      </c>
      <c r="QC38">
        <f>IF($B38=0,1000000000,IF(INDEX('calcA'!$D$60:$EQ$99,$B38,50)*IF($W38=1,EY38+ABN38,EY38)=1,IF(AND($E38=2,IF($W38=1,AHC38,KN38)=0),1000000000,IF($V38=1,INDEX('calcA'!$D$130:$EQ$169,$B38,50)+IF(AND($E38=1,KN38=0),25,0),INDEX('calcA'!BA$110:BA$114,$F38+1)+IF(AND($E38=1,KN38=0),1000,0)+IF($H38=1,INDEX('calcA'!$D$180:$EQ$219,$B38,50)*500,0)-IF(AND('calcA'!AZ$117=1,VX38&gt;0),300,0)-IF(AND($U38=1,'calcA'!BA$117=1,EZ38=0),300,0))),1000000000))</f>
        <v/>
      </c>
      <c r="QD38">
        <f>IF($B38=0,1000000000,IF(INDEX('calcA'!$D$60:$EQ$99,$B38,51)*IF($W38=1,EZ38+ABO38,EZ38)=1,IF(AND($E38=2,IF($W38=1,AHD38,KO38)=0),1000000000,IF($V38=1,INDEX('calcA'!$D$130:$EQ$169,$B38,51)+IF(AND($E38=1,KO38=0),25,0),INDEX('calcA'!BB$110:BB$114,$F38+1)+IF(AND($E38=1,KO38=0),1000,0)+IF($H38=1,INDEX('calcA'!$D$180:$EQ$219,$B38,51)*500,0)-IF(AND('calcA'!BA$117=1,VY38&gt;0),300,0)-IF(AND($U38=1,'calcA'!BB$117=1,FA38=0),300,0))),1000000000))</f>
        <v/>
      </c>
      <c r="QE38">
        <f>IF($B38=0,1000000000,IF(INDEX('calcA'!$D$60:$EQ$99,$B38,52)*IF($W38=1,FA38+ABP38,FA38)=1,IF(AND($E38=2,IF($W38=1,AHE38,KP38)=0),1000000000,IF($V38=1,INDEX('calcA'!$D$130:$EQ$169,$B38,52)+IF(AND($E38=1,KP38=0),25,0),INDEX('calcA'!BC$110:BC$114,$F38+1)+IF(AND($E38=1,KP38=0),1000,0)+IF($H38=1,INDEX('calcA'!$D$180:$EQ$219,$B38,52)*500,0)-IF(AND('calcA'!BB$117=1,VZ38&gt;0),300,0)-IF(AND($U38=1,'calcA'!BC$117=1,FB38=0),300,0))),1000000000))</f>
        <v/>
      </c>
      <c r="QF38">
        <f>IF($B38=0,1000000000,IF(INDEX('calcA'!$D$60:$EQ$99,$B38,53)*IF($W38=1,FB38+ABQ38,FB38)=1,IF(AND($E38=2,IF($W38=1,AHF38,KQ38)=0),1000000000,IF($V38=1,INDEX('calcA'!$D$130:$EQ$169,$B38,53)+IF(AND($E38=1,KQ38=0),25,0),INDEX('calcA'!BD$110:BD$114,$F38+1)+IF(AND($E38=1,KQ38=0),1000,0)+IF($H38=1,INDEX('calcA'!$D$180:$EQ$219,$B38,53)*500,0)-IF(AND('calcA'!BC$117=1,WA38&gt;0),300,0)-IF(AND($U38=1,'calcA'!BD$117=1,FC38=0),300,0))),1000000000))</f>
        <v/>
      </c>
      <c r="QG38">
        <f>IF($B38=0,1000000000,IF(INDEX('calcA'!$D$60:$EQ$99,$B38,54)*IF($W38=1,FC38+ABR38,FC38)=1,IF(AND($E38=2,IF($W38=1,AHG38,KR38)=0),1000000000,IF($V38=1,INDEX('calcA'!$D$130:$EQ$169,$B38,54)+IF(AND($E38=1,KR38=0),25,0),INDEX('calcA'!BE$110:BE$114,$F38+1)+IF(AND($E38=1,KR38=0),1000,0)+IF($H38=1,INDEX('calcA'!$D$180:$EQ$219,$B38,54)*500,0)-IF(AND('calcA'!BD$117=1,WB38&gt;0),300,0)-IF(AND($U38=1,'calcA'!BE$117=1,FD38=0),300,0))),1000000000))</f>
        <v/>
      </c>
      <c r="QH38">
        <f>IF($B38=0,1000000000,IF(INDEX('calcA'!$D$60:$EQ$99,$B38,55)*IF($W38=1,FD38+ABS38,FD38)=1,IF(AND($E38=2,IF($W38=1,AHH38,KS38)=0),1000000000,IF($V38=1,INDEX('calcA'!$D$130:$EQ$169,$B38,55)+IF(AND($E38=1,KS38=0),25,0),INDEX('calcA'!BF$110:BF$114,$F38+1)+IF(AND($E38=1,KS38=0),1000,0)+IF($H38=1,INDEX('calcA'!$D$180:$EQ$219,$B38,55)*500,0)-IF(AND('calcA'!BE$117=1,WC38&gt;0),300,0)-IF(AND($U38=1,'calcA'!BF$117=1,FE38=0),300,0))),1000000000))</f>
        <v/>
      </c>
      <c r="QI38">
        <f>IF($B38=0,1000000000,IF(INDEX('calcA'!$D$60:$EQ$99,$B38,56)*IF($W38=1,FE38+ABT38,FE38)=1,IF(AND($E38=2,IF($W38=1,AHI38,KT38)=0),1000000000,IF($V38=1,INDEX('calcA'!$D$130:$EQ$169,$B38,56)+IF(AND($E38=1,KT38=0),25,0),INDEX('calcA'!BG$110:BG$114,$F38+1)+IF(AND($E38=1,KT38=0),1000,0)+IF($H38=1,INDEX('calcA'!$D$180:$EQ$219,$B38,56)*500,0)-IF(AND('calcA'!BF$117=1,WD38&gt;0),300,0)-IF(AND($U38=1,'calcA'!BG$117=1,FF38=0),300,0))),1000000000))</f>
        <v/>
      </c>
      <c r="QJ38">
        <f>IF($B38=0,1000000000,IF(INDEX('calcA'!$D$60:$EQ$99,$B38,57)*IF($W38=1,FF38+ABU38,FF38)=1,IF(AND($E38=2,IF($W38=1,AHJ38,KU38)=0),1000000000,IF($V38=1,INDEX('calcA'!$D$130:$EQ$169,$B38,57)+IF(AND($E38=1,KU38=0),25,0),INDEX('calcA'!BH$110:BH$114,$F38+1)+IF(AND($E38=1,KU38=0),1000,0)+IF($H38=1,INDEX('calcA'!$D$180:$EQ$219,$B38,57)*500,0)-IF(AND('calcA'!BG$117=1,WE38&gt;0),300,0)-IF(AND($U38=1,'calcA'!BH$117=1,FG38=0),300,0))),1000000000))</f>
        <v/>
      </c>
      <c r="QK38">
        <f>IF($B38=0,1000000000,IF(INDEX('calcA'!$D$60:$EQ$99,$B38,58)*IF($W38=1,FG38+ABV38,FG38)=1,IF(AND($E38=2,IF($W38=1,AHK38,KV38)=0),1000000000,IF($V38=1,INDEX('calcA'!$D$130:$EQ$169,$B38,58)+IF(AND($E38=1,KV38=0),25,0),INDEX('calcA'!BI$110:BI$114,$F38+1)+IF(AND($E38=1,KV38=0),1000,0)+IF($H38=1,INDEX('calcA'!$D$180:$EQ$219,$B38,58)*500,0)-IF(AND('calcA'!BH$117=1,WF38&gt;0),300,0)-IF(AND($U38=1,'calcA'!BI$117=1,FH38=0),300,0))),1000000000))</f>
        <v/>
      </c>
      <c r="QL38">
        <f>IF($B38=0,1000000000,IF(INDEX('calcA'!$D$60:$EQ$99,$B38,59)*IF($W38=1,FH38+ABW38,FH38)=1,IF(AND($E38=2,IF($W38=1,AHL38,KW38)=0),1000000000,IF($V38=1,INDEX('calcA'!$D$130:$EQ$169,$B38,59)+IF(AND($E38=1,KW38=0),25,0),INDEX('calcA'!BJ$110:BJ$114,$F38+1)+IF(AND($E38=1,KW38=0),1000,0)+IF($H38=1,INDEX('calcA'!$D$180:$EQ$219,$B38,59)*500,0)-IF(AND('calcA'!BI$117=1,WG38&gt;0),300,0)-IF(AND($U38=1,'calcA'!BJ$117=1,FI38=0),300,0))),1000000000))</f>
        <v/>
      </c>
      <c r="QM38">
        <f>IF($B38=0,1000000000,IF(INDEX('calcA'!$D$60:$EQ$99,$B38,60)*IF($W38=1,FI38+ABX38,FI38)=1,IF(AND($E38=2,IF($W38=1,AHM38,KX38)=0),1000000000,IF($V38=1,INDEX('calcA'!$D$130:$EQ$169,$B38,60)+IF(AND($E38=1,KX38=0),25,0),INDEX('calcA'!BK$110:BK$114,$F38+1)+IF(AND($E38=1,KX38=0),1000,0)+IF($H38=1,INDEX('calcA'!$D$180:$EQ$219,$B38,60)*500,0)-IF(AND('calcA'!BJ$117=1,WH38&gt;0),300,0)-IF(AND($U38=1,'calcA'!BK$117=1,FJ38=0),300,0))),1000000000))</f>
        <v/>
      </c>
      <c r="QN38">
        <f>IF($B38=0,1000000000,IF(INDEX('calcA'!$D$60:$EQ$99,$B38,61)*IF($W38=1,FJ38+ABY38,FJ38)=1,IF(AND($E38=2,IF($W38=1,AHN38,KY38)=0),1000000000,IF($V38=1,INDEX('calcA'!$D$130:$EQ$169,$B38,61)+IF(AND($E38=1,KY38=0),25,0),INDEX('calcA'!BL$110:BL$114,$F38+1)+IF(AND($E38=1,KY38=0),1000,0)+IF($H38=1,INDEX('calcA'!$D$180:$EQ$219,$B38,61)*500,0)-IF(AND('calcA'!BK$117=1,WI38&gt;0),300,0)-IF(AND($U38=1,'calcA'!BL$117=1,FK38=0),300,0))),1000000000))</f>
        <v/>
      </c>
      <c r="QO38">
        <f>IF($B38=0,1000000000,IF(INDEX('calcA'!$D$60:$EQ$99,$B38,62)*IF($W38=1,FK38+ABZ38,FK38)=1,IF(AND($E38=2,IF($W38=1,AHO38,KZ38)=0),1000000000,IF($V38=1,INDEX('calcA'!$D$130:$EQ$169,$B38,62)+IF(AND($E38=1,KZ38=0),25,0),INDEX('calcA'!BM$110:BM$114,$F38+1)+IF(AND($E38=1,KZ38=0),1000,0)+IF($H38=1,INDEX('calcA'!$D$180:$EQ$219,$B38,62)*500,0)-IF(AND('calcA'!BL$117=1,WJ38&gt;0),300,0)-IF(AND($U38=1,'calcA'!BM$117=1,FL38=0),300,0))),1000000000))</f>
        <v/>
      </c>
      <c r="QP38">
        <f>IF($B38=0,1000000000,IF(INDEX('calcA'!$D$60:$EQ$99,$B38,63)*IF($W38=1,FL38+ACA38,FL38)=1,IF(AND($E38=2,IF($W38=1,AHP38,LA38)=0),1000000000,IF($V38=1,INDEX('calcA'!$D$130:$EQ$169,$B38,63)+IF(AND($E38=1,LA38=0),25,0),INDEX('calcA'!BN$110:BN$114,$F38+1)+IF(AND($E38=1,LA38=0),1000,0)+IF($H38=1,INDEX('calcA'!$D$180:$EQ$219,$B38,63)*500,0)-IF(AND('calcA'!BM$117=1,WK38&gt;0),300,0)-IF(AND($U38=1,'calcA'!BN$117=1,FM38=0),300,0))),1000000000))</f>
        <v/>
      </c>
      <c r="QQ38">
        <f>IF($B38=0,1000000000,IF(INDEX('calcA'!$D$60:$EQ$99,$B38,64)*IF($W38=1,FM38+ACB38,FM38)=1,IF(AND($E38=2,IF($W38=1,AHQ38,LB38)=0),1000000000,IF($V38=1,INDEX('calcA'!$D$130:$EQ$169,$B38,64)+IF(AND($E38=1,LB38=0),25,0),INDEX('calcA'!BO$110:BO$114,$F38+1)+IF(AND($E38=1,LB38=0),1000,0)+IF($H38=1,INDEX('calcA'!$D$180:$EQ$219,$B38,64)*500,0)-IF(AND('calcA'!BN$117=1,WL38&gt;0),300,0)-IF(AND($U38=1,'calcA'!BO$117=1,FN38=0),300,0))),1000000000))</f>
        <v/>
      </c>
      <c r="QR38">
        <f>IF($B38=0,1000000000,IF(INDEX('calcA'!$D$60:$EQ$99,$B38,65)*IF($W38=1,FN38+ACC38,FN38)=1,IF(AND($E38=2,IF($W38=1,AHR38,LC38)=0),1000000000,IF($V38=1,INDEX('calcA'!$D$130:$EQ$169,$B38,65)+IF(AND($E38=1,LC38=0),25,0),INDEX('calcA'!BP$110:BP$114,$F38+1)+IF(AND($E38=1,LC38=0),1000,0)+IF($H38=1,INDEX('calcA'!$D$180:$EQ$219,$B38,65)*500,0)-IF(AND('calcA'!BO$117=1,WM38&gt;0),300,0)-IF(AND($U38=1,'calcA'!BP$117=1,FO38=0),300,0))),1000000000))</f>
        <v/>
      </c>
      <c r="QS38">
        <f>IF($B38=0,1000000000,IF(INDEX('calcA'!$D$60:$EQ$99,$B38,66)*IF($W38=1,FO38+ACD38,FO38)=1,IF(AND($E38=2,IF($W38=1,AHS38,LD38)=0),1000000000,IF($V38=1,INDEX('calcA'!$D$130:$EQ$169,$B38,66)+IF(AND($E38=1,LD38=0),25,0),INDEX('calcA'!BQ$110:BQ$114,$F38+1)+IF(AND($E38=1,LD38=0),1000,0)+IF($H38=1,INDEX('calcA'!$D$180:$EQ$219,$B38,66)*500,0)-IF(AND('calcA'!BP$117=1,WN38&gt;0),300,0)-IF(AND($U38=1,'calcA'!BQ$117=1,FP38=0),300,0))),1000000000))</f>
        <v/>
      </c>
      <c r="QT38">
        <f>IF($B38=0,1000000000,IF(INDEX('calcA'!$D$60:$EQ$99,$B38,67)*IF($W38=1,FP38+ACE38,FP38)=1,IF(AND($E38=2,IF($W38=1,AHT38,LE38)=0),1000000000,IF($V38=1,INDEX('calcA'!$D$130:$EQ$169,$B38,67)+IF(AND($E38=1,LE38=0),25,0),INDEX('calcA'!BR$110:BR$114,$F38+1)+IF(AND($E38=1,LE38=0),1000,0)+IF($H38=1,INDEX('calcA'!$D$180:$EQ$219,$B38,67)*500,0)-IF(AND('calcA'!BQ$117=1,WO38&gt;0),300,0)-IF(AND($U38=1,'calcA'!BR$117=1,FQ38=0),300,0))),1000000000))</f>
        <v/>
      </c>
      <c r="QU38">
        <f>IF($B38=0,1000000000,IF(INDEX('calcA'!$D$60:$EQ$99,$B38,68)*IF($W38=1,FQ38+ACF38,FQ38)=1,IF(AND($E38=2,IF($W38=1,AHU38,LF38)=0),1000000000,IF($V38=1,INDEX('calcA'!$D$130:$EQ$169,$B38,68)+IF(AND($E38=1,LF38=0),25,0),INDEX('calcA'!BS$110:BS$114,$F38+1)+IF(AND($E38=1,LF38=0),1000,0)+IF($H38=1,INDEX('calcA'!$D$180:$EQ$219,$B38,68)*500,0)-IF(AND('calcA'!BR$117=1,WP38&gt;0),300,0)-IF(AND($U38=1,'calcA'!BS$117=1,FR38=0),300,0))),1000000000))</f>
        <v/>
      </c>
      <c r="QV38">
        <f>IF($B38=0,1000000000,IF(INDEX('calcA'!$D$60:$EQ$99,$B38,69)*IF($W38=1,FR38+ACG38,FR38)=1,IF(AND($E38=2,IF($W38=1,AHV38,LG38)=0),1000000000,IF($V38=1,INDEX('calcA'!$D$130:$EQ$169,$B38,69)+IF(AND($E38=1,LG38=0),25,0),INDEX('calcA'!BT$110:BT$114,$F38+1)+IF(AND($E38=1,LG38=0),1000,0)+IF($H38=1,INDEX('calcA'!$D$180:$EQ$219,$B38,69)*500,0)-IF(AND('calcA'!BS$117=1,WQ38&gt;0),300,0)-IF(AND($U38=1,'calcA'!BT$117=1,FS38=0),300,0))),1000000000))</f>
        <v/>
      </c>
      <c r="QW38">
        <f>IF($B38=0,1000000000,IF(INDEX('calcA'!$D$60:$EQ$99,$B38,70)*IF($W38=1,FS38+ACH38,FS38)=1,IF(AND($E38=2,IF($W38=1,AHW38,LH38)=0),1000000000,IF($V38=1,INDEX('calcA'!$D$130:$EQ$169,$B38,70)+IF(AND($E38=1,LH38=0),25,0),INDEX('calcA'!BU$110:BU$114,$F38+1)+IF(AND($E38=1,LH38=0),1000,0)+IF($H38=1,INDEX('calcA'!$D$180:$EQ$219,$B38,70)*500,0)-IF(AND('calcA'!BT$117=1,WR38&gt;0),300,0)-IF(AND($U38=1,'calcA'!BU$117=1,FT38=0),300,0))),1000000000))</f>
        <v/>
      </c>
      <c r="QX38">
        <f>IF($B38=0,1000000000,IF(INDEX('calcA'!$D$60:$EQ$99,$B38,71)*IF($W38=1,FT38+ACI38,FT38)=1,IF(AND($E38=2,IF($W38=1,AHX38,LI38)=0),1000000000,IF($V38=1,INDEX('calcA'!$D$130:$EQ$169,$B38,71)+IF(AND($E38=1,LI38=0),25,0),INDEX('calcA'!BV$110:BV$114,$F38+1)+IF(AND($E38=1,LI38=0),1000,0)+IF($H38=1,INDEX('calcA'!$D$180:$EQ$219,$B38,71)*500,0)-IF(AND('calcA'!BU$117=1,WS38&gt;0),300,0)-IF(AND($U38=1,'calcA'!BV$117=1,FU38=0),300,0))),1000000000))</f>
        <v/>
      </c>
      <c r="QY38">
        <f>IF($B38=0,1000000000,IF(INDEX('calcA'!$D$60:$EQ$99,$B38,72)*IF($W38=1,FU38+ACJ38,FU38)=1,IF(AND($E38=2,IF($W38=1,AHY38,LJ38)=0),1000000000,IF($V38=1,INDEX('calcA'!$D$130:$EQ$169,$B38,72)+IF(AND($E38=1,LJ38=0),25,0),INDEX('calcA'!BW$110:BW$114,$F38+1)+IF(AND($E38=1,LJ38=0),1000,0)+IF($H38=1,INDEX('calcA'!$D$180:$EQ$219,$B38,72)*500,0)-IF(AND('calcA'!BV$117=1,WT38&gt;0),300,0))),1000000000))</f>
        <v/>
      </c>
      <c r="QZ38">
        <f>IF($B38=0,1000000000,IF(INDEX('calcA'!$D$60:$EQ$99,$B38,73)*IF($W38=1,FV38+ACK38,FV38)=1,IF(AND($E38=2,IF($W38=1,AHZ38,LK38)=0),1000000000,IF($V38=1,INDEX('calcA'!$D$130:$EQ$169,$B38,73)+IF(AND($E38=1,LK38=0),25,0),INDEX('calcA'!BX$110:BX$114,$F38+1)+IF(AND($E38=1,LK38=0),1000,0)+IF($H38=1,INDEX('calcA'!$D$180:$EQ$219,$B38,73)*500,0)-IF(AND($U38=1,'calcA'!BX$117=1,FW38=0),300,0))),1000000000))</f>
        <v/>
      </c>
      <c r="RA38">
        <f>IF($B38=0,1000000000,IF(INDEX('calcA'!$D$60:$EQ$99,$B38,74)*IF($W38=1,FW38+ACL38,FW38)=1,IF(AND($E38=2,IF($W38=1,AIA38,LL38)=0),1000000000,IF($V38=1,INDEX('calcA'!$D$130:$EQ$169,$B38,74)+IF(AND($E38=1,LL38=0),25,0),INDEX('calcA'!BY$110:BY$114,$F38+1)+IF(AND($E38=1,LL38=0),1000,0)+IF($H38=1,INDEX('calcA'!$D$180:$EQ$219,$B38,74)*500,0)-IF(AND('calcA'!BX$117=1,WV38&gt;0),300,0)-IF(AND($U38=1,'calcA'!BY$117=1,FX38=0),300,0))),1000000000))</f>
        <v/>
      </c>
      <c r="RB38">
        <f>IF($B38=0,1000000000,IF(INDEX('calcA'!$D$60:$EQ$99,$B38,75)*IF($W38=1,FX38+ACM38,FX38)=1,IF(AND($E38=2,IF($W38=1,AIB38,LM38)=0),1000000000,IF($V38=1,INDEX('calcA'!$D$130:$EQ$169,$B38,75)+IF(AND($E38=1,LM38=0),25,0),INDEX('calcA'!BZ$110:BZ$114,$F38+1)+IF(AND($E38=1,LM38=0),1000,0)+IF($H38=1,INDEX('calcA'!$D$180:$EQ$219,$B38,75)*500,0)-IF(AND('calcA'!BY$117=1,WW38&gt;0),300,0)-IF(AND($U38=1,'calcA'!BZ$117=1,FY38=0),300,0))),1000000000))</f>
        <v/>
      </c>
      <c r="RC38">
        <f>IF($B38=0,1000000000,IF(INDEX('calcA'!$D$60:$EQ$99,$B38,76)*IF($W38=1,FY38+ACN38,FY38)=1,IF(AND($E38=2,IF($W38=1,AIC38,LN38)=0),1000000000,IF($V38=1,INDEX('calcA'!$D$130:$EQ$169,$B38,76)+IF(AND($E38=1,LN38=0),25,0),INDEX('calcA'!CA$110:CA$114,$F38+1)+IF(AND($E38=1,LN38=0),1000,0)+IF($H38=1,INDEX('calcA'!$D$180:$EQ$219,$B38,76)*500,0)-IF(AND('calcA'!BZ$117=1,WX38&gt;0),300,0)-IF(AND($U38=1,'calcA'!CA$117=1,FZ38=0),300,0))),1000000000))</f>
        <v/>
      </c>
      <c r="RD38">
        <f>IF($B38=0,1000000000,IF(INDEX('calcA'!$D$60:$EQ$99,$B38,77)*IF($W38=1,FZ38+ACO38,FZ38)=1,IF(AND($E38=2,IF($W38=1,AID38,LO38)=0),1000000000,IF($V38=1,INDEX('calcA'!$D$130:$EQ$169,$B38,77)+IF(AND($E38=1,LO38=0),25,0),INDEX('calcA'!CB$110:CB$114,$F38+1)+IF(AND($E38=1,LO38=0),1000,0)+IF($H38=1,INDEX('calcA'!$D$180:$EQ$219,$B38,77)*500,0)-IF(AND('calcA'!CA$117=1,WY38&gt;0),300,0)-IF(AND($U38=1,'calcA'!CB$117=1,GA38=0),300,0))),1000000000))</f>
        <v/>
      </c>
      <c r="RE38">
        <f>IF($B38=0,1000000000,IF(INDEX('calcA'!$D$60:$EQ$99,$B38,78)*IF($W38=1,GA38+ACP38,GA38)=1,IF(AND($E38=2,IF($W38=1,AIE38,LP38)=0),1000000000,IF($V38=1,INDEX('calcA'!$D$130:$EQ$169,$B38,78)+IF(AND($E38=1,LP38=0),25,0),INDEX('calcA'!CC$110:CC$114,$F38+1)+IF(AND($E38=1,LP38=0),1000,0)+IF($H38=1,INDEX('calcA'!$D$180:$EQ$219,$B38,78)*500,0)-IF(AND('calcA'!CB$117=1,WZ38&gt;0),300,0)-IF(AND($U38=1,'calcA'!CC$117=1,GB38=0),300,0))),1000000000))</f>
        <v/>
      </c>
      <c r="RF38">
        <f>IF($B38=0,1000000000,IF(INDEX('calcA'!$D$60:$EQ$99,$B38,79)*IF($W38=1,GB38+ACQ38,GB38)=1,IF(AND($E38=2,IF($W38=1,AIF38,LQ38)=0),1000000000,IF($V38=1,INDEX('calcA'!$D$130:$EQ$169,$B38,79)+IF(AND($E38=1,LQ38=0),25,0),INDEX('calcA'!CD$110:CD$114,$F38+1)+IF(AND($E38=1,LQ38=0),1000,0)+IF($H38=1,INDEX('calcA'!$D$180:$EQ$219,$B38,79)*500,0)-IF(AND('calcA'!CC$117=1,XA38&gt;0),300,0)-IF(AND($U38=1,'calcA'!CD$117=1,GC38=0),300,0))),1000000000))</f>
        <v/>
      </c>
      <c r="RG38">
        <f>IF($B38=0,1000000000,IF(INDEX('calcA'!$D$60:$EQ$99,$B38,80)*IF($W38=1,GC38+ACR38,GC38)=1,IF(AND($E38=2,IF($W38=1,AIG38,LR38)=0),1000000000,IF($V38=1,INDEX('calcA'!$D$130:$EQ$169,$B38,80)+IF(AND($E38=1,LR38=0),25,0),INDEX('calcA'!CE$110:CE$114,$F38+1)+IF(AND($E38=1,LR38=0),1000,0)+IF($H38=1,INDEX('calcA'!$D$180:$EQ$219,$B38,80)*500,0)-IF(AND('calcA'!CD$117=1,XB38&gt;0),300,0)-IF(AND($U38=1,'calcA'!CE$117=1,GD38=0),300,0))),1000000000))</f>
        <v/>
      </c>
      <c r="RH38">
        <f>IF($B38=0,1000000000,IF(INDEX('calcA'!$D$60:$EQ$99,$B38,81)*IF($W38=1,GD38+ACS38,GD38)=1,IF(AND($E38=2,IF($W38=1,AIH38,LS38)=0),1000000000,IF($V38=1,INDEX('calcA'!$D$130:$EQ$169,$B38,81)+IF(AND($E38=1,LS38=0),25,0),INDEX('calcA'!CF$110:CF$114,$F38+1)+IF(AND($E38=1,LS38=0),1000,0)+IF($H38=1,INDEX('calcA'!$D$180:$EQ$219,$B38,81)*500,0)-IF(AND('calcA'!CE$117=1,XC38&gt;0),300,0)-IF(AND($U38=1,'calcA'!CF$117=1,GE38=0),300,0))),1000000000))</f>
        <v/>
      </c>
      <c r="RI38">
        <f>IF($B38=0,1000000000,IF(INDEX('calcA'!$D$60:$EQ$99,$B38,82)*IF($W38=1,GE38+ACT38,GE38)=1,IF(AND($E38=2,IF($W38=1,AII38,LT38)=0),1000000000,IF($V38=1,INDEX('calcA'!$D$130:$EQ$169,$B38,82)+IF(AND($E38=1,LT38=0),25,0),INDEX('calcA'!CG$110:CG$114,$F38+1)+IF(AND($E38=1,LT38=0),1000,0)+IF($H38=1,INDEX('calcA'!$D$180:$EQ$219,$B38,82)*500,0)-IF(AND('calcA'!CF$117=1,XD38&gt;0),300,0)-IF(AND($U38=1,'calcA'!CG$117=1,GF38=0),300,0))),1000000000))</f>
        <v/>
      </c>
      <c r="RJ38">
        <f>IF($B38=0,1000000000,IF(INDEX('calcA'!$D$60:$EQ$99,$B38,83)*IF($W38=1,GF38+ACU38,GF38)=1,IF(AND($E38=2,IF($W38=1,AIJ38,LU38)=0),1000000000,IF($V38=1,INDEX('calcA'!$D$130:$EQ$169,$B38,83)+IF(AND($E38=1,LU38=0),25,0),INDEX('calcA'!CH$110:CH$114,$F38+1)+IF(AND($E38=1,LU38=0),1000,0)+IF($H38=1,INDEX('calcA'!$D$180:$EQ$219,$B38,83)*500,0)-IF(AND('calcA'!CG$117=1,XE38&gt;0),300,0)-IF(AND($U38=1,'calcA'!CH$117=1,GG38=0),300,0))),1000000000))</f>
        <v/>
      </c>
      <c r="RK38">
        <f>IF($B38=0,1000000000,IF(INDEX('calcA'!$D$60:$EQ$99,$B38,84)*IF($W38=1,GG38+ACV38,GG38)=1,IF(AND($E38=2,IF($W38=1,AIK38,LV38)=0),1000000000,IF($V38=1,INDEX('calcA'!$D$130:$EQ$169,$B38,84)+IF(AND($E38=1,LV38=0),25,0),INDEX('calcA'!CI$110:CI$114,$F38+1)+IF(AND($E38=1,LV38=0),1000,0)+IF($H38=1,INDEX('calcA'!$D$180:$EQ$219,$B38,84)*500,0)-IF(AND('calcA'!CH$117=1,XF38&gt;0),300,0)-IF(AND($U38=1,'calcA'!CI$117=1,GH38=0),300,0))),1000000000))</f>
        <v/>
      </c>
      <c r="RL38">
        <f>IF($B38=0,1000000000,IF(INDEX('calcA'!$D$60:$EQ$99,$B38,85)*IF($W38=1,GH38+ACW38,GH38)=1,IF(AND($E38=2,IF($W38=1,AIL38,LW38)=0),1000000000,IF($V38=1,INDEX('calcA'!$D$130:$EQ$169,$B38,85)+IF(AND($E38=1,LW38=0),25,0),INDEX('calcA'!CJ$110:CJ$114,$F38+1)+IF(AND($E38=1,LW38=0),1000,0)+IF($H38=1,INDEX('calcA'!$D$180:$EQ$219,$B38,85)*500,0)-IF(AND('calcA'!CI$117=1,XG38&gt;0),300,0)-IF(AND($U38=1,'calcA'!CJ$117=1,GI38=0),300,0))),1000000000))</f>
        <v/>
      </c>
      <c r="RM38">
        <f>IF($B38=0,1000000000,IF(INDEX('calcA'!$D$60:$EQ$99,$B38,86)*IF($W38=1,GI38+ACX38,GI38)=1,IF(AND($E38=2,IF($W38=1,AIM38,LX38)=0),1000000000,IF($V38=1,INDEX('calcA'!$D$130:$EQ$169,$B38,86)+IF(AND($E38=1,LX38=0),25,0),INDEX('calcA'!CK$110:CK$114,$F38+1)+IF(AND($E38=1,LX38=0),1000,0)+IF($H38=1,INDEX('calcA'!$D$180:$EQ$219,$B38,86)*500,0)-IF(AND('calcA'!CJ$117=1,XH38&gt;0),300,0)-IF(AND($U38=1,'calcA'!CK$117=1,GJ38=0),300,0))),1000000000))</f>
        <v/>
      </c>
      <c r="RN38">
        <f>IF($B38=0,1000000000,IF(INDEX('calcA'!$D$60:$EQ$99,$B38,87)*IF($W38=1,GJ38+ACY38,GJ38)=1,IF(AND($E38=2,IF($W38=1,AIN38,LY38)=0),1000000000,IF($V38=1,INDEX('calcA'!$D$130:$EQ$169,$B38,87)+IF(AND($E38=1,LY38=0),25,0),INDEX('calcA'!CL$110:CL$114,$F38+1)+IF(AND($E38=1,LY38=0),1000,0)+IF($H38=1,INDEX('calcA'!$D$180:$EQ$219,$B38,87)*500,0)-IF(AND('calcA'!CK$117=1,XI38&gt;0),300,0)-IF(AND($U38=1,'calcA'!CL$117=1,GK38=0),300,0))),1000000000))</f>
        <v/>
      </c>
      <c r="RO38">
        <f>IF($B38=0,1000000000,IF(INDEX('calcA'!$D$60:$EQ$99,$B38,88)*IF($W38=1,GK38+ACZ38,GK38)=1,IF(AND($E38=2,IF($W38=1,AIO38,LZ38)=0),1000000000,IF($V38=1,INDEX('calcA'!$D$130:$EQ$169,$B38,88)+IF(AND($E38=1,LZ38=0),25,0),INDEX('calcA'!CM$110:CM$114,$F38+1)+IF(AND($E38=1,LZ38=0),1000,0)+IF($H38=1,INDEX('calcA'!$D$180:$EQ$219,$B38,88)*500,0)-IF(AND('calcA'!CL$117=1,XJ38&gt;0),300,0)-IF(AND($U38=1,'calcA'!CM$117=1,GL38=0),300,0))),1000000000))</f>
        <v/>
      </c>
      <c r="RP38">
        <f>IF($B38=0,1000000000,IF(INDEX('calcA'!$D$60:$EQ$99,$B38,89)*IF($W38=1,GL38+ADA38,GL38)=1,IF(AND($E38=2,IF($W38=1,AIP38,MA38)=0),1000000000,IF($V38=1,INDEX('calcA'!$D$130:$EQ$169,$B38,89)+IF(AND($E38=1,MA38=0),25,0),INDEX('calcA'!CN$110:CN$114,$F38+1)+IF(AND($E38=1,MA38=0),1000,0)+IF($H38=1,INDEX('calcA'!$D$180:$EQ$219,$B38,89)*500,0)-IF(AND('calcA'!CM$117=1,XK38&gt;0),300,0)-IF(AND($U38=1,'calcA'!CN$117=1,GM38=0),300,0))),1000000000))</f>
        <v/>
      </c>
      <c r="RQ38">
        <f>IF($B38=0,1000000000,IF(INDEX('calcA'!$D$60:$EQ$99,$B38,90)*IF($W38=1,GM38+ADB38,GM38)=1,IF(AND($E38=2,IF($W38=1,AIQ38,MB38)=0),1000000000,IF($V38=1,INDEX('calcA'!$D$130:$EQ$169,$B38,90)+IF(AND($E38=1,MB38=0),25,0),INDEX('calcA'!CO$110:CO$114,$F38+1)+IF(AND($E38=1,MB38=0),1000,0)+IF($H38=1,INDEX('calcA'!$D$180:$EQ$219,$B38,90)*500,0)-IF(AND('calcA'!CN$117=1,XL38&gt;0),300,0)-IF(AND($U38=1,'calcA'!CO$117=1,GN38=0),300,0))),1000000000))</f>
        <v/>
      </c>
      <c r="RR38">
        <f>IF($B38=0,1000000000,IF(INDEX('calcA'!$D$60:$EQ$99,$B38,91)*IF($W38=1,GN38+ADC38,GN38)=1,IF(AND($E38=2,IF($W38=1,AIR38,MC38)=0),1000000000,IF($V38=1,INDEX('calcA'!$D$130:$EQ$169,$B38,91)+IF(AND($E38=1,MC38=0),25,0),INDEX('calcA'!CP$110:CP$114,$F38+1)+IF(AND($E38=1,MC38=0),1000,0)+IF($H38=1,INDEX('calcA'!$D$180:$EQ$219,$B38,91)*500,0)-IF(AND('calcA'!CO$117=1,XM38&gt;0),300,0)-IF(AND($U38=1,'calcA'!CP$117=1,GO38=0),300,0))),1000000000))</f>
        <v/>
      </c>
      <c r="RS38">
        <f>IF($B38=0,1000000000,IF(INDEX('calcA'!$D$60:$EQ$99,$B38,92)*IF($W38=1,GO38+ADD38,GO38)=1,IF(AND($E38=2,IF($W38=1,AIS38,MD38)=0),1000000000,IF($V38=1,INDEX('calcA'!$D$130:$EQ$169,$B38,92)+IF(AND($E38=1,MD38=0),25,0),INDEX('calcA'!CQ$110:CQ$114,$F38+1)+IF(AND($E38=1,MD38=0),1000,0)+IF($H38=1,INDEX('calcA'!$D$180:$EQ$219,$B38,92)*500,0)-IF(AND('calcA'!CP$117=1,XN38&gt;0),300,0)-IF(AND($U38=1,'calcA'!CQ$117=1,GP38=0),300,0))),1000000000))</f>
        <v/>
      </c>
      <c r="RT38">
        <f>IF($B38=0,1000000000,IF(INDEX('calcA'!$D$60:$EQ$99,$B38,93)*IF($W38=1,GP38+ADE38,GP38)=1,IF(AND($E38=2,IF($W38=1,AIT38,ME38)=0),1000000000,IF($V38=1,INDEX('calcA'!$D$130:$EQ$169,$B38,93)+IF(AND($E38=1,ME38=0),25,0),INDEX('calcA'!CR$110:CR$114,$F38+1)+IF(AND($E38=1,ME38=0),1000,0)+IF($H38=1,INDEX('calcA'!$D$180:$EQ$219,$B38,93)*500,0)-IF(AND('calcA'!CQ$117=1,XO38&gt;0),300,0)-IF(AND($U38=1,'calcA'!CR$117=1,GQ38=0),300,0))),1000000000))</f>
        <v/>
      </c>
      <c r="RU38">
        <f>IF($B38=0,1000000000,IF(INDEX('calcA'!$D$60:$EQ$99,$B38,94)*IF($W38=1,GQ38+ADF38,GQ38)=1,IF(AND($E38=2,IF($W38=1,AIU38,MF38)=0),1000000000,IF($V38=1,INDEX('calcA'!$D$130:$EQ$169,$B38,94)+IF(AND($E38=1,MF38=0),25,0),INDEX('calcA'!CS$110:CS$114,$F38+1)+IF(AND($E38=1,MF38=0),1000,0)+IF($H38=1,INDEX('calcA'!$D$180:$EQ$219,$B38,94)*500,0)-IF(AND('calcA'!CR$117=1,XP38&gt;0),300,0)-IF(AND($U38=1,'calcA'!CS$117=1,GR38=0),300,0))),1000000000))</f>
        <v/>
      </c>
      <c r="RV38">
        <f>IF($B38=0,1000000000,IF(INDEX('calcA'!$D$60:$EQ$99,$B38,95)*IF($W38=1,GR38+ADG38,GR38)=1,IF(AND($E38=2,IF($W38=1,AIV38,MG38)=0),1000000000,IF($V38=1,INDEX('calcA'!$D$130:$EQ$169,$B38,95)+IF(AND($E38=1,MG38=0),25,0),INDEX('calcA'!CT$110:CT$114,$F38+1)+IF(AND($E38=1,MG38=0),1000,0)+IF($H38=1,INDEX('calcA'!$D$180:$EQ$219,$B38,95)*500,0)-IF(AND('calcA'!CS$117=1,XQ38&gt;0),300,0)-IF(AND($U38=1,'calcA'!CT$117=1,GS38=0),300,0))),1000000000))</f>
        <v/>
      </c>
      <c r="RW38">
        <f>IF($B38=0,1000000000,IF(INDEX('calcA'!$D$60:$EQ$99,$B38,96)*IF($W38=1,GS38+ADH38,GS38)=1,IF(AND($E38=2,IF($W38=1,AIW38,MH38)=0),1000000000,IF($V38=1,INDEX('calcA'!$D$130:$EQ$169,$B38,96)+IF(AND($E38=1,MH38=0),25,0),INDEX('calcA'!CU$110:CU$114,$F38+1)+IF(AND($E38=1,MH38=0),1000,0)+IF($H38=1,INDEX('calcA'!$D$180:$EQ$219,$B38,96)*500,0)-IF(AND('calcA'!CT$117=1,XR38&gt;0),300,0))),1000000000))</f>
        <v/>
      </c>
      <c r="RX38">
        <f>IF($B38=0,1000000000,IF(INDEX('calcA'!$D$60:$EQ$99,$B38,97)*IF($W38=1,GT38+ADI38,GT38)=1,IF(AND($E38=2,IF($W38=1,AIX38,MI38)=0),1000000000,IF($V38=1,INDEX('calcA'!$D$130:$EQ$169,$B38,97)+IF(AND($E38=1,MI38=0),25,0),INDEX('calcA'!CV$110:CV$114,$F38+1)+IF(AND($E38=1,MI38=0),1000,0)+IF($H38=1,INDEX('calcA'!$D$180:$EQ$219,$B38,97)*500,0)-IF(AND($U38=1,'calcA'!CV$117=1,GU38=0),300,0))),1000000000))</f>
        <v/>
      </c>
      <c r="RY38">
        <f>IF($B38=0,1000000000,IF(INDEX('calcA'!$D$60:$EQ$99,$B38,98)*IF($W38=1,GU38+ADJ38,GU38)=1,IF(AND($E38=2,IF($W38=1,AIY38,MJ38)=0),1000000000,IF($V38=1,INDEX('calcA'!$D$130:$EQ$169,$B38,98)+IF(AND($E38=1,MJ38=0),25,0),INDEX('calcA'!CW$110:CW$114,$F38+1)+IF(AND($E38=1,MJ38=0),1000,0)+IF($H38=1,INDEX('calcA'!$D$180:$EQ$219,$B38,98)*500,0)-IF(AND('calcA'!CV$117=1,XT38&gt;0),300,0)-IF(AND($U38=1,'calcA'!CW$117=1,GV38=0),300,0))),1000000000))</f>
        <v/>
      </c>
      <c r="RZ38">
        <f>IF($B38=0,1000000000,IF(INDEX('calcA'!$D$60:$EQ$99,$B38,99)*IF($W38=1,GV38+ADK38,GV38)=1,IF(AND($E38=2,IF($W38=1,AIZ38,MK38)=0),1000000000,IF($V38=1,INDEX('calcA'!$D$130:$EQ$169,$B38,99)+IF(AND($E38=1,MK38=0),25,0),INDEX('calcA'!CX$110:CX$114,$F38+1)+IF(AND($E38=1,MK38=0),1000,0)+IF($H38=1,INDEX('calcA'!$D$180:$EQ$219,$B38,99)*500,0)-IF(AND('calcA'!CW$117=1,XU38&gt;0),300,0)-IF(AND($U38=1,'calcA'!CX$117=1,GW38=0),300,0))),1000000000))</f>
        <v/>
      </c>
      <c r="SA38">
        <f>IF($B38=0,1000000000,IF(INDEX('calcA'!$D$60:$EQ$99,$B38,100)*IF($W38=1,GW38+ADL38,GW38)=1,IF(AND($E38=2,IF($W38=1,AJA38,ML38)=0),1000000000,IF($V38=1,INDEX('calcA'!$D$130:$EQ$169,$B38,100)+IF(AND($E38=1,ML38=0),25,0),INDEX('calcA'!CY$110:CY$114,$F38+1)+IF(AND($E38=1,ML38=0),1000,0)+IF($H38=1,INDEX('calcA'!$D$180:$EQ$219,$B38,100)*500,0)-IF(AND('calcA'!CX$117=1,XV38&gt;0),300,0)-IF(AND($U38=1,'calcA'!CY$117=1,GX38=0),300,0))),1000000000))</f>
        <v/>
      </c>
      <c r="SB38">
        <f>IF($B38=0,1000000000,IF(INDEX('calcA'!$D$60:$EQ$99,$B38,101)*IF($W38=1,GX38+ADM38,GX38)=1,IF(AND($E38=2,IF($W38=1,AJB38,MM38)=0),1000000000,IF($V38=1,INDEX('calcA'!$D$130:$EQ$169,$B38,101)+IF(AND($E38=1,MM38=0),25,0),INDEX('calcA'!CZ$110:CZ$114,$F38+1)+IF(AND($E38=1,MM38=0),1000,0)+IF($H38=1,INDEX('calcA'!$D$180:$EQ$219,$B38,101)*500,0)-IF(AND('calcA'!CY$117=1,XW38&gt;0),300,0)-IF(AND($U38=1,'calcA'!CZ$117=1,GY38=0),300,0))),1000000000))</f>
        <v/>
      </c>
      <c r="SC38">
        <f>IF($B38=0,1000000000,IF(INDEX('calcA'!$D$60:$EQ$99,$B38,102)*IF($W38=1,GY38+ADN38,GY38)=1,IF(AND($E38=2,IF($W38=1,AJC38,MN38)=0),1000000000,IF($V38=1,INDEX('calcA'!$D$130:$EQ$169,$B38,102)+IF(AND($E38=1,MN38=0),25,0),INDEX('calcA'!DA$110:DA$114,$F38+1)+IF(AND($E38=1,MN38=0),1000,0)+IF($H38=1,INDEX('calcA'!$D$180:$EQ$219,$B38,102)*500,0)-IF(AND('calcA'!CZ$117=1,XX38&gt;0),300,0)-IF(AND($U38=1,'calcA'!DA$117=1,GZ38=0),300,0))),1000000000))</f>
        <v/>
      </c>
      <c r="SD38">
        <f>IF($B38=0,1000000000,IF(INDEX('calcA'!$D$60:$EQ$99,$B38,103)*IF($W38=1,GZ38+ADO38,GZ38)=1,IF(AND($E38=2,IF($W38=1,AJD38,MO38)=0),1000000000,IF($V38=1,INDEX('calcA'!$D$130:$EQ$169,$B38,103)+IF(AND($E38=1,MO38=0),25,0),INDEX('calcA'!DB$110:DB$114,$F38+1)+IF(AND($E38=1,MO38=0),1000,0)+IF($H38=1,INDEX('calcA'!$D$180:$EQ$219,$B38,103)*500,0)-IF(AND('calcA'!DA$117=1,XY38&gt;0),300,0)-IF(AND($U38=1,'calcA'!DB$117=1,HA38=0),300,0))),1000000000))</f>
        <v/>
      </c>
      <c r="SE38">
        <f>IF($B38=0,1000000000,IF(INDEX('calcA'!$D$60:$EQ$99,$B38,104)*IF($W38=1,HA38+ADP38,HA38)=1,IF(AND($E38=2,IF($W38=1,AJE38,MP38)=0),1000000000,IF($V38=1,INDEX('calcA'!$D$130:$EQ$169,$B38,104)+IF(AND($E38=1,MP38=0),25,0),INDEX('calcA'!DC$110:DC$114,$F38+1)+IF(AND($E38=1,MP38=0),1000,0)+IF($H38=1,INDEX('calcA'!$D$180:$EQ$219,$B38,104)*500,0)-IF(AND('calcA'!DB$117=1,XZ38&gt;0),300,0)-IF(AND($U38=1,'calcA'!DC$117=1,HB38=0),300,0))),1000000000))</f>
        <v/>
      </c>
      <c r="SF38">
        <f>IF($B38=0,1000000000,IF(INDEX('calcA'!$D$60:$EQ$99,$B38,105)*IF($W38=1,HB38+ADQ38,HB38)=1,IF(AND($E38=2,IF($W38=1,AJF38,MQ38)=0),1000000000,IF($V38=1,INDEX('calcA'!$D$130:$EQ$169,$B38,105)+IF(AND($E38=1,MQ38=0),25,0),INDEX('calcA'!DD$110:DD$114,$F38+1)+IF(AND($E38=1,MQ38=0),1000,0)+IF($H38=1,INDEX('calcA'!$D$180:$EQ$219,$B38,105)*500,0)-IF(AND('calcA'!DC$117=1,YA38&gt;0),300,0)-IF(AND($U38=1,'calcA'!DD$117=1,HC38=0),300,0))),1000000000))</f>
        <v/>
      </c>
      <c r="SG38">
        <f>IF($B38=0,1000000000,IF(INDEX('calcA'!$D$60:$EQ$99,$B38,106)*IF($W38=1,HC38+ADR38,HC38)=1,IF(AND($E38=2,IF($W38=1,AJG38,MR38)=0),1000000000,IF($V38=1,INDEX('calcA'!$D$130:$EQ$169,$B38,106)+IF(AND($E38=1,MR38=0),25,0),INDEX('calcA'!DE$110:DE$114,$F38+1)+IF(AND($E38=1,MR38=0),1000,0)+IF($H38=1,INDEX('calcA'!$D$180:$EQ$219,$B38,106)*500,0)-IF(AND('calcA'!DD$117=1,YB38&gt;0),300,0)-IF(AND($U38=1,'calcA'!DE$117=1,HD38=0),300,0))),1000000000))</f>
        <v/>
      </c>
      <c r="SH38">
        <f>IF($B38=0,1000000000,IF(INDEX('calcA'!$D$60:$EQ$99,$B38,107)*IF($W38=1,HD38+ADS38,HD38)=1,IF(AND($E38=2,IF($W38=1,AJH38,MS38)=0),1000000000,IF($V38=1,INDEX('calcA'!$D$130:$EQ$169,$B38,107)+IF(AND($E38=1,MS38=0),25,0),INDEX('calcA'!DF$110:DF$114,$F38+1)+IF(AND($E38=1,MS38=0),1000,0)+IF($H38=1,INDEX('calcA'!$D$180:$EQ$219,$B38,107)*500,0)-IF(AND('calcA'!DE$117=1,YC38&gt;0),300,0)-IF(AND($U38=1,'calcA'!DF$117=1,HE38=0),300,0))),1000000000))</f>
        <v/>
      </c>
      <c r="SI38">
        <f>IF($B38=0,1000000000,IF(INDEX('calcA'!$D$60:$EQ$99,$B38,108)*IF($W38=1,HE38+ADT38,HE38)=1,IF(AND($E38=2,IF($W38=1,AJI38,MT38)=0),1000000000,IF($V38=1,INDEX('calcA'!$D$130:$EQ$169,$B38,108)+IF(AND($E38=1,MT38=0),25,0),INDEX('calcA'!DG$110:DG$114,$F38+1)+IF(AND($E38=1,MT38=0),1000,0)+IF($H38=1,INDEX('calcA'!$D$180:$EQ$219,$B38,108)*500,0)-IF(AND('calcA'!DF$117=1,YD38&gt;0),300,0)-IF(AND($U38=1,'calcA'!DG$117=1,HF38=0),300,0))),1000000000))</f>
        <v/>
      </c>
      <c r="SJ38">
        <f>IF($B38=0,1000000000,IF(INDEX('calcA'!$D$60:$EQ$99,$B38,109)*IF($W38=1,HF38+ADU38,HF38)=1,IF(AND($E38=2,IF($W38=1,AJJ38,MU38)=0),1000000000,IF($V38=1,INDEX('calcA'!$D$130:$EQ$169,$B38,109)+IF(AND($E38=1,MU38=0),25,0),INDEX('calcA'!DH$110:DH$114,$F38+1)+IF(AND($E38=1,MU38=0),1000,0)+IF($H38=1,INDEX('calcA'!$D$180:$EQ$219,$B38,109)*500,0)-IF(AND('calcA'!DG$117=1,YE38&gt;0),300,0)-IF(AND($U38=1,'calcA'!DH$117=1,HG38=0),300,0))),1000000000))</f>
        <v/>
      </c>
      <c r="SK38">
        <f>IF($B38=0,1000000000,IF(INDEX('calcA'!$D$60:$EQ$99,$B38,110)*IF($W38=1,HG38+ADV38,HG38)=1,IF(AND($E38=2,IF($W38=1,AJK38,MV38)=0),1000000000,IF($V38=1,INDEX('calcA'!$D$130:$EQ$169,$B38,110)+IF(AND($E38=1,MV38=0),25,0),INDEX('calcA'!DI$110:DI$114,$F38+1)+IF(AND($E38=1,MV38=0),1000,0)+IF($H38=1,INDEX('calcA'!$D$180:$EQ$219,$B38,110)*500,0)-IF(AND('calcA'!DH$117=1,YF38&gt;0),300,0)-IF(AND($U38=1,'calcA'!DI$117=1,HH38=0),300,0))),1000000000))</f>
        <v/>
      </c>
      <c r="SL38">
        <f>IF($B38=0,1000000000,IF(INDEX('calcA'!$D$60:$EQ$99,$B38,111)*IF($W38=1,HH38+ADW38,HH38)=1,IF(AND($E38=2,IF($W38=1,AJL38,MW38)=0),1000000000,IF($V38=1,INDEX('calcA'!$D$130:$EQ$169,$B38,111)+IF(AND($E38=1,MW38=0),25,0),INDEX('calcA'!DJ$110:DJ$114,$F38+1)+IF(AND($E38=1,MW38=0),1000,0)+IF($H38=1,INDEX('calcA'!$D$180:$EQ$219,$B38,111)*500,0)-IF(AND('calcA'!DI$117=1,YG38&gt;0),300,0)-IF(AND($U38=1,'calcA'!DJ$117=1,HI38=0),300,0))),1000000000))</f>
        <v/>
      </c>
      <c r="SM38">
        <f>IF($B38=0,1000000000,IF(INDEX('calcA'!$D$60:$EQ$99,$B38,112)*IF($W38=1,HI38+ADX38,HI38)=1,IF(AND($E38=2,IF($W38=1,AJM38,MX38)=0),1000000000,IF($V38=1,INDEX('calcA'!$D$130:$EQ$169,$B38,112)+IF(AND($E38=1,MX38=0),25,0),INDEX('calcA'!DK$110:DK$114,$F38+1)+IF(AND($E38=1,MX38=0),1000,0)+IF($H38=1,INDEX('calcA'!$D$180:$EQ$219,$B38,112)*500,0)-IF(AND('calcA'!DJ$117=1,YH38&gt;0),300,0)-IF(AND($U38=1,'calcA'!DK$117=1,HJ38=0),300,0))),1000000000))</f>
        <v/>
      </c>
      <c r="SN38">
        <f>IF($B38=0,1000000000,IF(INDEX('calcA'!$D$60:$EQ$99,$B38,113)*IF($W38=1,HJ38+ADY38,HJ38)=1,IF(AND($E38=2,IF($W38=1,AJN38,MY38)=0),1000000000,IF($V38=1,INDEX('calcA'!$D$130:$EQ$169,$B38,113)+IF(AND($E38=1,MY38=0),25,0),INDEX('calcA'!DL$110:DL$114,$F38+1)+IF(AND($E38=1,MY38=0),1000,0)+IF($H38=1,INDEX('calcA'!$D$180:$EQ$219,$B38,113)*500,0)-IF(AND('calcA'!DK$117=1,YI38&gt;0),300,0)-IF(AND($U38=1,'calcA'!DL$117=1,HK38=0),300,0))),1000000000))</f>
        <v/>
      </c>
      <c r="SO38">
        <f>IF($B38=0,1000000000,IF(INDEX('calcA'!$D$60:$EQ$99,$B38,114)*IF($W38=1,HK38+ADZ38,HK38)=1,IF(AND($E38=2,IF($W38=1,AJO38,MZ38)=0),1000000000,IF($V38=1,INDEX('calcA'!$D$130:$EQ$169,$B38,114)+IF(AND($E38=1,MZ38=0),25,0),INDEX('calcA'!DM$110:DM$114,$F38+1)+IF(AND($E38=1,MZ38=0),1000,0)+IF($H38=1,INDEX('calcA'!$D$180:$EQ$219,$B38,114)*500,0)-IF(AND('calcA'!DL$117=1,YJ38&gt;0),300,0)-IF(AND($U38=1,'calcA'!DM$117=1,HL38=0),300,0))),1000000000))</f>
        <v/>
      </c>
      <c r="SP38">
        <f>IF($B38=0,1000000000,IF(INDEX('calcA'!$D$60:$EQ$99,$B38,115)*IF($W38=1,HL38+AEA38,HL38)=1,IF(AND($E38=2,IF($W38=1,AJP38,NA38)=0),1000000000,IF($V38=1,INDEX('calcA'!$D$130:$EQ$169,$B38,115)+IF(AND($E38=1,NA38=0),25,0),INDEX('calcA'!DN$110:DN$114,$F38+1)+IF(AND($E38=1,NA38=0),1000,0)+IF($H38=1,INDEX('calcA'!$D$180:$EQ$219,$B38,115)*500,0)-IF(AND('calcA'!DM$117=1,YK38&gt;0),300,0)-IF(AND($U38=1,'calcA'!DN$117=1,HM38=0),300,0))),1000000000))</f>
        <v/>
      </c>
      <c r="SQ38">
        <f>IF($B38=0,1000000000,IF(INDEX('calcA'!$D$60:$EQ$99,$B38,116)*IF($W38=1,HM38+AEB38,HM38)=1,IF(AND($E38=2,IF($W38=1,AJQ38,NB38)=0),1000000000,IF($V38=1,INDEX('calcA'!$D$130:$EQ$169,$B38,116)+IF(AND($E38=1,NB38=0),25,0),INDEX('calcA'!DO$110:DO$114,$F38+1)+IF(AND($E38=1,NB38=0),1000,0)+IF($H38=1,INDEX('calcA'!$D$180:$EQ$219,$B38,116)*500,0)-IF(AND('calcA'!DN$117=1,YL38&gt;0),300,0)-IF(AND($U38=1,'calcA'!DO$117=1,HN38=0),300,0))),1000000000))</f>
        <v/>
      </c>
      <c r="SR38">
        <f>IF($B38=0,1000000000,IF(INDEX('calcA'!$D$60:$EQ$99,$B38,117)*IF($W38=1,HN38+AEC38,HN38)=1,IF(AND($E38=2,IF($W38=1,AJR38,NC38)=0),1000000000,IF($V38=1,INDEX('calcA'!$D$130:$EQ$169,$B38,117)+IF(AND($E38=1,NC38=0),25,0),INDEX('calcA'!DP$110:DP$114,$F38+1)+IF(AND($E38=1,NC38=0),1000,0)+IF($H38=1,INDEX('calcA'!$D$180:$EQ$219,$B38,117)*500,0)-IF(AND('calcA'!DO$117=1,YM38&gt;0),300,0)-IF(AND($U38=1,'calcA'!DP$117=1,HO38=0),300,0))),1000000000))</f>
        <v/>
      </c>
      <c r="SS38">
        <f>IF($B38=0,1000000000,IF(INDEX('calcA'!$D$60:$EQ$99,$B38,118)*IF($W38=1,HO38+AED38,HO38)=1,IF(AND($E38=2,IF($W38=1,AJS38,ND38)=0),1000000000,IF($V38=1,INDEX('calcA'!$D$130:$EQ$169,$B38,118)+IF(AND($E38=1,ND38=0),25,0),INDEX('calcA'!DQ$110:DQ$114,$F38+1)+IF(AND($E38=1,ND38=0),1000,0)+IF($H38=1,INDEX('calcA'!$D$180:$EQ$219,$B38,118)*500,0)-IF(AND('calcA'!DP$117=1,YN38&gt;0),300,0)-IF(AND($U38=1,'calcA'!DQ$117=1,HP38=0),300,0))),1000000000))</f>
        <v/>
      </c>
      <c r="ST38">
        <f>IF($B38=0,1000000000,IF(INDEX('calcA'!$D$60:$EQ$99,$B38,119)*IF($W38=1,HP38+AEE38,HP38)=1,IF(AND($E38=2,IF($W38=1,AJT38,NE38)=0),1000000000,IF($V38=1,INDEX('calcA'!$D$130:$EQ$169,$B38,119)+IF(AND($E38=1,NE38=0),25,0),INDEX('calcA'!DR$110:DR$114,$F38+1)+IF(AND($E38=1,NE38=0),1000,0)+IF($H38=1,INDEX('calcA'!$D$180:$EQ$219,$B38,119)*500,0)-IF(AND('calcA'!DQ$117=1,YO38&gt;0),300,0)-IF(AND($U38=1,'calcA'!DR$117=1,HQ38=0),300,0))),1000000000))</f>
        <v/>
      </c>
      <c r="SU38">
        <f>IF($B38=0,1000000000,IF(INDEX('calcA'!$D$60:$EQ$99,$B38,120)*IF($W38=1,HQ38+AEF38,HQ38)=1,IF(AND($E38=2,IF($W38=1,AJU38,NF38)=0),1000000000,IF($V38=1,INDEX('calcA'!$D$130:$EQ$169,$B38,120)+IF(AND($E38=1,NF38=0),25,0),INDEX('calcA'!DS$110:DS$114,$F38+1)+IF(AND($E38=1,NF38=0),1000,0)+IF($H38=1,INDEX('calcA'!$D$180:$EQ$219,$B38,120)*500,0)-IF(AND('calcA'!DR$117=1,YP38&gt;0),300,0))),1000000000))</f>
        <v/>
      </c>
      <c r="SV38">
        <f>IF($B38=0,1000000000,IF(INDEX('calcA'!$D$60:$EQ$99,$B38,121)*IF($W38=1,HR38+AEG38,HR38)=1,IF(AND($E38=2,IF($W38=1,AJV38,NG38)=0),1000000000,IF($V38=1,INDEX('calcA'!$D$130:$EQ$169,$B38,121)+IF(AND($E38=1,NG38=0),25,0),INDEX('calcA'!DT$110:DT$114,$F38+1)+IF(AND($E38=1,NG38=0),1000,0)+IF($H38=1,INDEX('calcA'!$D$180:$EQ$219,$B38,121)*500,0)-IF(AND($U38=1,'calcA'!DT$117=1,HS38=0),300,0))),1000000000))</f>
        <v/>
      </c>
      <c r="SW38">
        <f>IF($B38=0,1000000000,IF(INDEX('calcA'!$D$60:$EQ$99,$B38,122)*IF($W38=1,HS38+AEH38,HS38)=1,IF(AND($E38=2,IF($W38=1,AJW38,NH38)=0),1000000000,IF($V38=1,INDEX('calcA'!$D$130:$EQ$169,$B38,122)+IF(AND($E38=1,NH38=0),25,0),INDEX('calcA'!DU$110:DU$114,$F38+1)+IF(AND($E38=1,NH38=0),1000,0)+IF($H38=1,INDEX('calcA'!$D$180:$EQ$219,$B38,122)*500,0)-IF(AND('calcA'!DT$117=1,YR38&gt;0),300,0)-IF(AND($U38=1,'calcA'!DU$117=1,HT38=0),300,0))),1000000000))</f>
        <v/>
      </c>
      <c r="SX38">
        <f>IF($B38=0,1000000000,IF(INDEX('calcA'!$D$60:$EQ$99,$B38,123)*IF($W38=1,HT38+AEI38,HT38)=1,IF(AND($E38=2,IF($W38=1,AJX38,NI38)=0),1000000000,IF($V38=1,INDEX('calcA'!$D$130:$EQ$169,$B38,123)+IF(AND($E38=1,NI38=0),25,0),INDEX('calcA'!DV$110:DV$114,$F38+1)+IF(AND($E38=1,NI38=0),1000,0)+IF($H38=1,INDEX('calcA'!$D$180:$EQ$219,$B38,123)*500,0)-IF(AND('calcA'!DU$117=1,YS38&gt;0),300,0)-IF(AND($U38=1,'calcA'!DV$117=1,HU38=0),300,0))),1000000000))</f>
        <v/>
      </c>
      <c r="SY38">
        <f>IF($B38=0,1000000000,IF(INDEX('calcA'!$D$60:$EQ$99,$B38,124)*IF($W38=1,HU38+AEJ38,HU38)=1,IF(AND($E38=2,IF($W38=1,AJY38,NJ38)=0),1000000000,IF($V38=1,INDEX('calcA'!$D$130:$EQ$169,$B38,124)+IF(AND($E38=1,NJ38=0),25,0),INDEX('calcA'!DW$110:DW$114,$F38+1)+IF(AND($E38=1,NJ38=0),1000,0)+IF($H38=1,INDEX('calcA'!$D$180:$EQ$219,$B38,124)*500,0)-IF(AND('calcA'!DV$117=1,YT38&gt;0),300,0)-IF(AND($U38=1,'calcA'!DW$117=1,HV38=0),300,0))),1000000000))</f>
        <v/>
      </c>
      <c r="SZ38">
        <f>IF($B38=0,1000000000,IF(INDEX('calcA'!$D$60:$EQ$99,$B38,125)*IF($W38=1,HV38+AEK38,HV38)=1,IF(AND($E38=2,IF($W38=1,AJZ38,NK38)=0),1000000000,IF($V38=1,INDEX('calcA'!$D$130:$EQ$169,$B38,125)+IF(AND($E38=1,NK38=0),25,0),INDEX('calcA'!DX$110:DX$114,$F38+1)+IF(AND($E38=1,NK38=0),1000,0)+IF($H38=1,INDEX('calcA'!$D$180:$EQ$219,$B38,125)*500,0)-IF(AND('calcA'!DW$117=1,YU38&gt;0),300,0)-IF(AND($U38=1,'calcA'!DX$117=1,HW38=0),300,0))),1000000000))</f>
        <v/>
      </c>
      <c r="TA38">
        <f>IF($B38=0,1000000000,IF(INDEX('calcA'!$D$60:$EQ$99,$B38,126)*IF($W38=1,HW38+AEL38,HW38)=1,IF(AND($E38=2,IF($W38=1,AKA38,NL38)=0),1000000000,IF($V38=1,INDEX('calcA'!$D$130:$EQ$169,$B38,126)+IF(AND($E38=1,NL38=0),25,0),INDEX('calcA'!DY$110:DY$114,$F38+1)+IF(AND($E38=1,NL38=0),1000,0)+IF($H38=1,INDEX('calcA'!$D$180:$EQ$219,$B38,126)*500,0)-IF(AND('calcA'!DX$117=1,YV38&gt;0),300,0)-IF(AND($U38=1,'calcA'!DY$117=1,HX38=0),300,0))),1000000000))</f>
        <v/>
      </c>
      <c r="TB38">
        <f>IF($B38=0,1000000000,IF(INDEX('calcA'!$D$60:$EQ$99,$B38,127)*IF($W38=1,HX38+AEM38,HX38)=1,IF(AND($E38=2,IF($W38=1,AKB38,NM38)=0),1000000000,IF($V38=1,INDEX('calcA'!$D$130:$EQ$169,$B38,127)+IF(AND($E38=1,NM38=0),25,0),INDEX('calcA'!DZ$110:DZ$114,$F38+1)+IF(AND($E38=1,NM38=0),1000,0)+IF($H38=1,INDEX('calcA'!$D$180:$EQ$219,$B38,127)*500,0)-IF(AND('calcA'!DY$117=1,YW38&gt;0),300,0)-IF(AND($U38=1,'calcA'!DZ$117=1,HY38=0),300,0))),1000000000))</f>
        <v/>
      </c>
      <c r="TC38">
        <f>IF($B38=0,1000000000,IF(INDEX('calcA'!$D$60:$EQ$99,$B38,128)*IF($W38=1,HY38+AEN38,HY38)=1,IF(AND($E38=2,IF($W38=1,AKC38,NN38)=0),1000000000,IF($V38=1,INDEX('calcA'!$D$130:$EQ$169,$B38,128)+IF(AND($E38=1,NN38=0),25,0),INDEX('calcA'!EA$110:EA$114,$F38+1)+IF(AND($E38=1,NN38=0),1000,0)+IF($H38=1,INDEX('calcA'!$D$180:$EQ$219,$B38,128)*500,0)-IF(AND('calcA'!DZ$117=1,YX38&gt;0),300,0)-IF(AND($U38=1,'calcA'!EA$117=1,HZ38=0),300,0))),1000000000))</f>
        <v/>
      </c>
      <c r="TD38">
        <f>IF($B38=0,1000000000,IF(INDEX('calcA'!$D$60:$EQ$99,$B38,129)*IF($W38=1,HZ38+AEO38,HZ38)=1,IF(AND($E38=2,IF($W38=1,AKD38,NO38)=0),1000000000,IF($V38=1,INDEX('calcA'!$D$130:$EQ$169,$B38,129)+IF(AND($E38=1,NO38=0),25,0),INDEX('calcA'!EB$110:EB$114,$F38+1)+IF(AND($E38=1,NO38=0),1000,0)+IF($H38=1,INDEX('calcA'!$D$180:$EQ$219,$B38,129)*500,0)-IF(AND('calcA'!EA$117=1,YY38&gt;0),300,0)-IF(AND($U38=1,'calcA'!EB$117=1,IA38=0),300,0))),1000000000))</f>
        <v/>
      </c>
      <c r="TE38">
        <f>IF($B38=0,1000000000,IF(INDEX('calcA'!$D$60:$EQ$99,$B38,130)*IF($W38=1,IA38+AEP38,IA38)=1,IF(AND($E38=2,IF($W38=1,AKE38,NP38)=0),1000000000,IF($V38=1,INDEX('calcA'!$D$130:$EQ$169,$B38,130)+IF(AND($E38=1,NP38=0),25,0),INDEX('calcA'!EC$110:EC$114,$F38+1)+IF(AND($E38=1,NP38=0),1000,0)+IF($H38=1,INDEX('calcA'!$D$180:$EQ$219,$B38,130)*500,0)-IF(AND('calcA'!EB$117=1,YZ38&gt;0),300,0)-IF(AND($U38=1,'calcA'!EC$117=1,IB38=0),300,0))),1000000000))</f>
        <v/>
      </c>
      <c r="TF38">
        <f>IF($B38=0,1000000000,IF(INDEX('calcA'!$D$60:$EQ$99,$B38,131)*IF($W38=1,IB38+AEQ38,IB38)=1,IF(AND($E38=2,IF($W38=1,AKF38,NQ38)=0),1000000000,IF($V38=1,INDEX('calcA'!$D$130:$EQ$169,$B38,131)+IF(AND($E38=1,NQ38=0),25,0),INDEX('calcA'!ED$110:ED$114,$F38+1)+IF(AND($E38=1,NQ38=0),1000,0)+IF($H38=1,INDEX('calcA'!$D$180:$EQ$219,$B38,131)*500,0)-IF(AND('calcA'!EC$117=1,ZA38&gt;0),300,0)-IF(AND($U38=1,'calcA'!ED$117=1,IC38=0),300,0))),1000000000))</f>
        <v/>
      </c>
      <c r="TG38">
        <f>IF($B38=0,1000000000,IF(INDEX('calcA'!$D$60:$EQ$99,$B38,132)*IF($W38=1,IC38+AER38,IC38)=1,IF(AND($E38=2,IF($W38=1,AKG38,NR38)=0),1000000000,IF($V38=1,INDEX('calcA'!$D$130:$EQ$169,$B38,132)+IF(AND($E38=1,NR38=0),25,0),INDEX('calcA'!EE$110:EE$114,$F38+1)+IF(AND($E38=1,NR38=0),1000,0)+IF($H38=1,INDEX('calcA'!$D$180:$EQ$219,$B38,132)*500,0)-IF(AND('calcA'!ED$117=1,ZB38&gt;0),300,0)-IF(AND($U38=1,'calcA'!EE$117=1,ID38=0),300,0))),1000000000))</f>
        <v/>
      </c>
      <c r="TH38">
        <f>IF($B38=0,1000000000,IF(INDEX('calcA'!$D$60:$EQ$99,$B38,133)*IF($W38=1,ID38+AES38,ID38)=1,IF(AND($E38=2,IF($W38=1,AKH38,NS38)=0),1000000000,IF($V38=1,INDEX('calcA'!$D$130:$EQ$169,$B38,133)+IF(AND($E38=1,NS38=0),25,0),INDEX('calcA'!EF$110:EF$114,$F38+1)+IF(AND($E38=1,NS38=0),1000,0)+IF($H38=1,INDEX('calcA'!$D$180:$EQ$219,$B38,133)*500,0)-IF(AND('calcA'!EE$117=1,ZC38&gt;0),300,0)-IF(AND($U38=1,'calcA'!EF$117=1,IE38=0),300,0))),1000000000))</f>
        <v/>
      </c>
      <c r="TI38">
        <f>IF($B38=0,1000000000,IF(INDEX('calcA'!$D$60:$EQ$99,$B38,134)*IF($W38=1,IE38+AET38,IE38)=1,IF(AND($E38=2,IF($W38=1,AKI38,NT38)=0),1000000000,IF($V38=1,INDEX('calcA'!$D$130:$EQ$169,$B38,134)+IF(AND($E38=1,NT38=0),25,0),INDEX('calcA'!EG$110:EG$114,$F38+1)+IF(AND($E38=1,NT38=0),1000,0)+IF($H38=1,INDEX('calcA'!$D$180:$EQ$219,$B38,134)*500,0)-IF(AND('calcA'!EF$117=1,ZD38&gt;0),300,0)-IF(AND($U38=1,'calcA'!EG$117=1,IF38=0),300,0))),1000000000))</f>
        <v/>
      </c>
      <c r="TJ38">
        <f>IF($B38=0,1000000000,IF(INDEX('calcA'!$D$60:$EQ$99,$B38,135)*IF($W38=1,IF38+AEU38,IF38)=1,IF(AND($E38=2,IF($W38=1,AKJ38,NU38)=0),1000000000,IF($V38=1,INDEX('calcA'!$D$130:$EQ$169,$B38,135)+IF(AND($E38=1,NU38=0),25,0),INDEX('calcA'!EH$110:EH$114,$F38+1)+IF(AND($E38=1,NU38=0),1000,0)+IF($H38=1,INDEX('calcA'!$D$180:$EQ$219,$B38,135)*500,0)-IF(AND('calcA'!EG$117=1,ZE38&gt;0),300,0)-IF(AND($U38=1,'calcA'!EH$117=1,IG38=0),300,0))),1000000000))</f>
        <v/>
      </c>
      <c r="TK38">
        <f>IF($B38=0,1000000000,IF(INDEX('calcA'!$D$60:$EQ$99,$B38,136)*IF($W38=1,IG38+AEV38,IG38)=1,IF(AND($E38=2,IF($W38=1,AKK38,NV38)=0),1000000000,IF($V38=1,INDEX('calcA'!$D$130:$EQ$169,$B38,136)+IF(AND($E38=1,NV38=0),25,0),INDEX('calcA'!EI$110:EI$114,$F38+1)+IF(AND($E38=1,NV38=0),1000,0)+IF($H38=1,INDEX('calcA'!$D$180:$EQ$219,$B38,136)*500,0)-IF(AND('calcA'!EH$117=1,ZF38&gt;0),300,0)-IF(AND($U38=1,'calcA'!EI$117=1,IH38=0),300,0))),1000000000))</f>
        <v/>
      </c>
      <c r="TL38">
        <f>IF($B38=0,1000000000,IF(INDEX('calcA'!$D$60:$EQ$99,$B38,137)*IF($W38=1,IH38+AEW38,IH38)=1,IF(AND($E38=2,IF($W38=1,AKL38,NW38)=0),1000000000,IF($V38=1,INDEX('calcA'!$D$130:$EQ$169,$B38,137)+IF(AND($E38=1,NW38=0),25,0),INDEX('calcA'!EJ$110:EJ$114,$F38+1)+IF(AND($E38=1,NW38=0),1000,0)+IF($H38=1,INDEX('calcA'!$D$180:$EQ$219,$B38,137)*500,0)-IF(AND('calcA'!EI$117=1,ZG38&gt;0),300,0)-IF(AND($U38=1,'calcA'!EJ$117=1,II38=0),300,0))),1000000000))</f>
        <v/>
      </c>
      <c r="TM38">
        <f>IF($B38=0,1000000000,IF(INDEX('calcA'!$D$60:$EQ$99,$B38,138)*IF($W38=1,II38+AEX38,II38)=1,IF(AND($E38=2,IF($W38=1,AKM38,NX38)=0),1000000000,IF($V38=1,INDEX('calcA'!$D$130:$EQ$169,$B38,138)+IF(AND($E38=1,NX38=0),25,0),INDEX('calcA'!EK$110:EK$114,$F38+1)+IF(AND($E38=1,NX38=0),1000,0)+IF($H38=1,INDEX('calcA'!$D$180:$EQ$219,$B38,138)*500,0)-IF(AND('calcA'!EJ$117=1,ZH38&gt;0),300,0)-IF(AND($U38=1,'calcA'!EK$117=1,IJ38=0),300,0))),1000000000))</f>
        <v/>
      </c>
      <c r="TN38">
        <f>IF($B38=0,1000000000,IF(INDEX('calcA'!$D$60:$EQ$99,$B38,139)*IF($W38=1,IJ38+AEY38,IJ38)=1,IF(AND($E38=2,IF($W38=1,AKN38,NY38)=0),1000000000,IF($V38=1,INDEX('calcA'!$D$130:$EQ$169,$B38,139)+IF(AND($E38=1,NY38=0),25,0),INDEX('calcA'!EL$110:EL$114,$F38+1)+IF(AND($E38=1,NY38=0),1000,0)+IF($H38=1,INDEX('calcA'!$D$180:$EQ$219,$B38,139)*500,0)-IF(AND('calcA'!EK$117=1,ZI38&gt;0),300,0)-IF(AND($U38=1,'calcA'!EL$117=1,IK38=0),300,0))),1000000000))</f>
        <v/>
      </c>
      <c r="TO38">
        <f>IF($B38=0,1000000000,IF(INDEX('calcA'!$D$60:$EQ$99,$B38,140)*IF($W38=1,IK38+AEZ38,IK38)=1,IF(AND($E38=2,IF($W38=1,AKO38,NZ38)=0),1000000000,IF($V38=1,INDEX('calcA'!$D$130:$EQ$169,$B38,140)+IF(AND($E38=1,NZ38=0),25,0),INDEX('calcA'!EM$110:EM$114,$F38+1)+IF(AND($E38=1,NZ38=0),1000,0)+IF($H38=1,INDEX('calcA'!$D$180:$EQ$219,$B38,140)*500,0)-IF(AND('calcA'!EL$117=1,ZJ38&gt;0),300,0)-IF(AND($U38=1,'calcA'!EM$117=1,IL38=0),300,0))),1000000000))</f>
        <v/>
      </c>
      <c r="TP38">
        <f>IF($B38=0,1000000000,IF(INDEX('calcA'!$D$60:$EQ$99,$B38,141)*IF($W38=1,IL38+AFA38,IL38)=1,IF(AND($E38=2,IF($W38=1,AKP38,OA38)=0),1000000000,IF($V38=1,INDEX('calcA'!$D$130:$EQ$169,$B38,141)+IF(AND($E38=1,OA38=0),25,0),INDEX('calcA'!EN$110:EN$114,$F38+1)+IF(AND($E38=1,OA38=0),1000,0)+IF($H38=1,INDEX('calcA'!$D$180:$EQ$219,$B38,141)*500,0)-IF(AND('calcA'!EM$117=1,ZK38&gt;0),300,0)-IF(AND($U38=1,'calcA'!EN$117=1,IM38=0),300,0))),1000000000))</f>
        <v/>
      </c>
      <c r="TQ38">
        <f>IF($B38=0,1000000000,IF(INDEX('calcA'!$D$60:$EQ$99,$B38,142)*IF($W38=1,IM38+AFB38,IM38)=1,IF(AND($E38=2,IF($W38=1,AKQ38,OB38)=0),1000000000,IF($V38=1,INDEX('calcA'!$D$130:$EQ$169,$B38,142)+IF(AND($E38=1,OB38=0),25,0),INDEX('calcA'!EO$110:EO$114,$F38+1)+IF(AND($E38=1,OB38=0),1000,0)+IF($H38=1,INDEX('calcA'!$D$180:$EQ$219,$B38,142)*500,0)-IF(AND('calcA'!EN$117=1,ZL38&gt;0),300,0)-IF(AND($U38=1,'calcA'!EO$117=1,IN38=0),300,0))),1000000000))</f>
        <v/>
      </c>
      <c r="TR38">
        <f>IF($B38=0,1000000000,IF(INDEX('calcA'!$D$60:$EQ$99,$B38,143)*IF($W38=1,IN38+AFC38,IN38)=1,IF(AND($E38=2,IF($W38=1,AKR38,OC38)=0),1000000000,IF($V38=1,INDEX('calcA'!$D$130:$EQ$169,$B38,143)+IF(AND($E38=1,OC38=0),25,0),INDEX('calcA'!EP$110:EP$114,$F38+1)+IF(AND($E38=1,OC38=0),1000,0)+IF($H38=1,INDEX('calcA'!$D$180:$EQ$219,$B38,143)*500,0)-IF(AND('calcA'!EO$117=1,ZM38&gt;0),300,0)-IF(AND($U38=1,'calcA'!EP$117=1,IO38=0),300,0))),1000000000))</f>
        <v/>
      </c>
      <c r="TS38">
        <f>IF($B38=0,1000000000,IF(INDEX('calcA'!$D$60:$EQ$99,$B38,144)*IF($W38=1,IO38+AFD38,IO38)=1,IF(AND($E38=2,IF($W38=1,AKS38,OD38)=0),1000000000,IF($V38=1,INDEX('calcA'!$D$130:$EQ$169,$B38,144)+IF(AND($E38=1,OD38=0),25,0),INDEX('calcA'!EQ$110:EQ$114,$F38+1)+IF(AND($E38=1,OD38=0),1000,0)+IF($H38=1,INDEX('calcA'!$D$180:$EQ$219,$B38,144)*500,0)-IF(AND('calcA'!EP$117=1,ZN38&gt;0),300,0))),1000000000))</f>
        <v/>
      </c>
      <c r="UB38">
        <f>UB37+IF(AND($C37=1,$U37=1),1,0)</f>
        <v/>
      </c>
      <c r="UC38">
        <f>UC37+IF(AND($C37=2,$U37=1),1,0)</f>
        <v/>
      </c>
      <c r="UD38">
        <f>UD37+IF(AND($C37=3,$U37=1),1,0)</f>
        <v/>
      </c>
      <c r="UE38">
        <f>UE37+IF(AND($C37=4,$U37=1),1,0)</f>
        <v/>
      </c>
      <c r="UF38">
        <f>UF37+IF(AND($C37=5,$U37=1),1,0)</f>
        <v/>
      </c>
      <c r="UG38">
        <f>UG37+IF(AND($C37=6,$U37=1),1,0)</f>
        <v/>
      </c>
      <c r="UH38">
        <f>UH37+IF(AND($C37=7,$U37=1),1,0)</f>
        <v/>
      </c>
      <c r="UI38">
        <f>UI37+IF(AND($C37=8,$U37=1),1,0)</f>
        <v/>
      </c>
      <c r="UJ38">
        <f>UJ37+IF(AND($C37=9,$U37=1),1,0)</f>
        <v/>
      </c>
      <c r="UK38">
        <f>UK37+IF(AND($C37=10,$U37=1),1,0)</f>
        <v/>
      </c>
      <c r="UL38">
        <f>UL37+IF(AND($C37=11,$U37=1),1,0)</f>
        <v/>
      </c>
      <c r="UM38">
        <f>UM37+IF(AND($C37=12,$U37=1),1,0)</f>
        <v/>
      </c>
      <c r="UN38">
        <f>UN37+IF(AND($C37=13,$U37=1),1,0)</f>
        <v/>
      </c>
      <c r="UO38">
        <f>UO37+IF(AND($C37=14,$U37=1),1,0)</f>
        <v/>
      </c>
      <c r="UP38">
        <f>UP37+IF(AND($C37=15,$U37=1),1,0)</f>
        <v/>
      </c>
      <c r="UQ38">
        <f>UQ37+IF(AND($C37=16,$U37=1),1,0)</f>
        <v/>
      </c>
      <c r="UR38">
        <f>UR37+IF(AND($C37=17,$U37=1),1,0)</f>
        <v/>
      </c>
      <c r="US38">
        <f>US37+IF(AND($C37=18,$U37=1),1,0)</f>
        <v/>
      </c>
      <c r="UT38">
        <f>UT37+IF(AND($C37=19,$U37=1),1,0)</f>
        <v/>
      </c>
      <c r="UU38">
        <f>UU37+IF(AND($C37=20,$U37=1),1,0)</f>
        <v/>
      </c>
      <c r="UV38">
        <f>UV37+IF(AND($C37=21,$U37=1),1,0)</f>
        <v/>
      </c>
      <c r="UW38">
        <f>UW37+IF(AND($C37=22,$U37=1),1,0)</f>
        <v/>
      </c>
      <c r="UX38">
        <f>UX37+IF(AND($C37=23,$U37=1),1,0)</f>
        <v/>
      </c>
      <c r="UY38">
        <f>UY37+IF(AND($C37=24,$U37=1),1,0)</f>
        <v/>
      </c>
      <c r="UZ38">
        <f>UZ37+IF(AND($C37=25,$U37=1),1,0)</f>
        <v/>
      </c>
      <c r="VA38">
        <f>VA37+IF(AND($C37=26,$U37=1),1,0)</f>
        <v/>
      </c>
      <c r="VB38">
        <f>VB37+IF(AND($C37=27,$U37=1),1,0)</f>
        <v/>
      </c>
      <c r="VC38">
        <f>VC37+IF(AND($C37=28,$U37=1),1,0)</f>
        <v/>
      </c>
      <c r="VD38">
        <f>VD37+IF(AND($C37=29,$U37=1),1,0)</f>
        <v/>
      </c>
      <c r="VE38">
        <f>VE37+IF(AND($C37=30,$U37=1),1,0)</f>
        <v/>
      </c>
      <c r="VF38">
        <f>VF37+IF(AND($C37=31,$U37=1),1,0)</f>
        <v/>
      </c>
      <c r="VG38">
        <f>VG37+IF(AND($C37=32,$U37=1),1,0)</f>
        <v/>
      </c>
      <c r="VH38">
        <f>VH37+IF(AND($C37=33,$U37=1),1,0)</f>
        <v/>
      </c>
      <c r="VI38">
        <f>VI37+IF(AND($C37=34,$U37=1),1,0)</f>
        <v/>
      </c>
      <c r="VJ38">
        <f>VJ37+IF(AND($C37=35,$U37=1),1,0)</f>
        <v/>
      </c>
      <c r="VK38">
        <f>VK37+IF(AND($C37=36,$U37=1),1,0)</f>
        <v/>
      </c>
      <c r="VL38">
        <f>VL37+IF(AND($C37=37,$U37=1),1,0)</f>
        <v/>
      </c>
      <c r="VM38">
        <f>VM37+IF(AND($C37=38,$U37=1),1,0)</f>
        <v/>
      </c>
      <c r="VN38">
        <f>VN37+IF(AND($C37=39,$U37=1),1,0)</f>
        <v/>
      </c>
      <c r="VO38">
        <f>VO37+IF(AND($C37=40,$U37=1),1,0)</f>
        <v/>
      </c>
      <c r="VP38">
        <f>VP37+IF(AND($C37=41,$U37=1),1,0)</f>
        <v/>
      </c>
      <c r="VQ38">
        <f>VQ37+IF(AND($C37=42,$U37=1),1,0)</f>
        <v/>
      </c>
      <c r="VR38">
        <f>VR37+IF(AND($C37=43,$U37=1),1,0)</f>
        <v/>
      </c>
      <c r="VS38">
        <f>VS37+IF(AND($C37=44,$U37=1),1,0)</f>
        <v/>
      </c>
      <c r="VT38">
        <f>VT37+IF(AND($C37=45,$U37=1),1,0)</f>
        <v/>
      </c>
      <c r="VU38">
        <f>VU37+IF(AND($C37=46,$U37=1),1,0)</f>
        <v/>
      </c>
      <c r="VV38">
        <f>VV37+IF(AND($C37=47,$U37=1),1,0)</f>
        <v/>
      </c>
      <c r="VW38">
        <f>VW37+IF(AND($C37=48,$U37=1),1,0)</f>
        <v/>
      </c>
      <c r="VX38">
        <f>VX37+IF(AND($C37=49,$U37=1),1,0)</f>
        <v/>
      </c>
      <c r="VY38">
        <f>VY37+IF(AND($C37=50,$U37=1),1,0)</f>
        <v/>
      </c>
      <c r="VZ38">
        <f>VZ37+IF(AND($C37=51,$U37=1),1,0)</f>
        <v/>
      </c>
      <c r="WA38">
        <f>WA37+IF(AND($C37=52,$U37=1),1,0)</f>
        <v/>
      </c>
      <c r="WB38">
        <f>WB37+IF(AND($C37=53,$U37=1),1,0)</f>
        <v/>
      </c>
      <c r="WC38">
        <f>WC37+IF(AND($C37=54,$U37=1),1,0)</f>
        <v/>
      </c>
      <c r="WD38">
        <f>WD37+IF(AND($C37=55,$U37=1),1,0)</f>
        <v/>
      </c>
      <c r="WE38">
        <f>WE37+IF(AND($C37=56,$U37=1),1,0)</f>
        <v/>
      </c>
      <c r="WF38">
        <f>WF37+IF(AND($C37=57,$U37=1),1,0)</f>
        <v/>
      </c>
      <c r="WG38">
        <f>WG37+IF(AND($C37=58,$U37=1),1,0)</f>
        <v/>
      </c>
      <c r="WH38">
        <f>WH37+IF(AND($C37=59,$U37=1),1,0)</f>
        <v/>
      </c>
      <c r="WI38">
        <f>WI37+IF(AND($C37=60,$U37=1),1,0)</f>
        <v/>
      </c>
      <c r="WJ38">
        <f>WJ37+IF(AND($C37=61,$U37=1),1,0)</f>
        <v/>
      </c>
      <c r="WK38">
        <f>WK37+IF(AND($C37=62,$U37=1),1,0)</f>
        <v/>
      </c>
      <c r="WL38">
        <f>WL37+IF(AND($C37=63,$U37=1),1,0)</f>
        <v/>
      </c>
      <c r="WM38">
        <f>WM37+IF(AND($C37=64,$U37=1),1,0)</f>
        <v/>
      </c>
      <c r="WN38">
        <f>WN37+IF(AND($C37=65,$U37=1),1,0)</f>
        <v/>
      </c>
      <c r="WO38">
        <f>WO37+IF(AND($C37=66,$U37=1),1,0)</f>
        <v/>
      </c>
      <c r="WP38">
        <f>WP37+IF(AND($C37=67,$U37=1),1,0)</f>
        <v/>
      </c>
      <c r="WQ38">
        <f>WQ37+IF(AND($C37=68,$U37=1),1,0)</f>
        <v/>
      </c>
      <c r="WR38">
        <f>WR37+IF(AND($C37=69,$U37=1),1,0)</f>
        <v/>
      </c>
      <c r="WS38">
        <f>WS37+IF(AND($C37=70,$U37=1),1,0)</f>
        <v/>
      </c>
      <c r="WT38">
        <f>WT37+IF(AND($C37=71,$U37=1),1,0)</f>
        <v/>
      </c>
      <c r="WU38">
        <f>WU37+IF(AND($C37=72,$U37=1),1,0)</f>
        <v/>
      </c>
      <c r="WV38">
        <f>WV37+IF(AND($C37=73,$U37=1),1,0)</f>
        <v/>
      </c>
      <c r="WW38">
        <f>WW37+IF(AND($C37=74,$U37=1),1,0)</f>
        <v/>
      </c>
      <c r="WX38">
        <f>WX37+IF(AND($C37=75,$U37=1),1,0)</f>
        <v/>
      </c>
      <c r="WY38">
        <f>WY37+IF(AND($C37=76,$U37=1),1,0)</f>
        <v/>
      </c>
      <c r="WZ38">
        <f>WZ37+IF(AND($C37=77,$U37=1),1,0)</f>
        <v/>
      </c>
      <c r="XA38">
        <f>XA37+IF(AND($C37=78,$U37=1),1,0)</f>
        <v/>
      </c>
      <c r="XB38">
        <f>XB37+IF(AND($C37=79,$U37=1),1,0)</f>
        <v/>
      </c>
      <c r="XC38">
        <f>XC37+IF(AND($C37=80,$U37=1),1,0)</f>
        <v/>
      </c>
      <c r="XD38">
        <f>XD37+IF(AND($C37=81,$U37=1),1,0)</f>
        <v/>
      </c>
      <c r="XE38">
        <f>XE37+IF(AND($C37=82,$U37=1),1,0)</f>
        <v/>
      </c>
      <c r="XF38">
        <f>XF37+IF(AND($C37=83,$U37=1),1,0)</f>
        <v/>
      </c>
      <c r="XG38">
        <f>XG37+IF(AND($C37=84,$U37=1),1,0)</f>
        <v/>
      </c>
      <c r="XH38">
        <f>XH37+IF(AND($C37=85,$U37=1),1,0)</f>
        <v/>
      </c>
      <c r="XI38">
        <f>XI37+IF(AND($C37=86,$U37=1),1,0)</f>
        <v/>
      </c>
      <c r="XJ38">
        <f>XJ37+IF(AND($C37=87,$U37=1),1,0)</f>
        <v/>
      </c>
      <c r="XK38">
        <f>XK37+IF(AND($C37=88,$U37=1),1,0)</f>
        <v/>
      </c>
      <c r="XL38">
        <f>XL37+IF(AND($C37=89,$U37=1),1,0)</f>
        <v/>
      </c>
      <c r="XM38">
        <f>XM37+IF(AND($C37=90,$U37=1),1,0)</f>
        <v/>
      </c>
      <c r="XN38">
        <f>XN37+IF(AND($C37=91,$U37=1),1,0)</f>
        <v/>
      </c>
      <c r="XO38">
        <f>XO37+IF(AND($C37=92,$U37=1),1,0)</f>
        <v/>
      </c>
      <c r="XP38">
        <f>XP37+IF(AND($C37=93,$U37=1),1,0)</f>
        <v/>
      </c>
      <c r="XQ38">
        <f>XQ37+IF(AND($C37=94,$U37=1),1,0)</f>
        <v/>
      </c>
      <c r="XR38">
        <f>XR37+IF(AND($C37=95,$U37=1),1,0)</f>
        <v/>
      </c>
      <c r="XS38">
        <f>XS37+IF(AND($C37=96,$U37=1),1,0)</f>
        <v/>
      </c>
      <c r="XT38">
        <f>XT37+IF(AND($C37=97,$U37=1),1,0)</f>
        <v/>
      </c>
      <c r="XU38">
        <f>XU37+IF(AND($C37=98,$U37=1),1,0)</f>
        <v/>
      </c>
      <c r="XV38">
        <f>XV37+IF(AND($C37=99,$U37=1),1,0)</f>
        <v/>
      </c>
      <c r="XW38">
        <f>XW37+IF(AND($C37=100,$U37=1),1,0)</f>
        <v/>
      </c>
      <c r="XX38">
        <f>XX37+IF(AND($C37=101,$U37=1),1,0)</f>
        <v/>
      </c>
      <c r="XY38">
        <f>XY37+IF(AND($C37=102,$U37=1),1,0)</f>
        <v/>
      </c>
      <c r="XZ38">
        <f>XZ37+IF(AND($C37=103,$U37=1),1,0)</f>
        <v/>
      </c>
      <c r="YA38">
        <f>YA37+IF(AND($C37=104,$U37=1),1,0)</f>
        <v/>
      </c>
      <c r="YB38">
        <f>YB37+IF(AND($C37=105,$U37=1),1,0)</f>
        <v/>
      </c>
      <c r="YC38">
        <f>YC37+IF(AND($C37=106,$U37=1),1,0)</f>
        <v/>
      </c>
      <c r="YD38">
        <f>YD37+IF(AND($C37=107,$U37=1),1,0)</f>
        <v/>
      </c>
      <c r="YE38">
        <f>YE37+IF(AND($C37=108,$U37=1),1,0)</f>
        <v/>
      </c>
      <c r="YF38">
        <f>YF37+IF(AND($C37=109,$U37=1),1,0)</f>
        <v/>
      </c>
      <c r="YG38">
        <f>YG37+IF(AND($C37=110,$U37=1),1,0)</f>
        <v/>
      </c>
      <c r="YH38">
        <f>YH37+IF(AND($C37=111,$U37=1),1,0)</f>
        <v/>
      </c>
      <c r="YI38">
        <f>YI37+IF(AND($C37=112,$U37=1),1,0)</f>
        <v/>
      </c>
      <c r="YJ38">
        <f>YJ37+IF(AND($C37=113,$U37=1),1,0)</f>
        <v/>
      </c>
      <c r="YK38">
        <f>YK37+IF(AND($C37=114,$U37=1),1,0)</f>
        <v/>
      </c>
      <c r="YL38">
        <f>YL37+IF(AND($C37=115,$U37=1),1,0)</f>
        <v/>
      </c>
      <c r="YM38">
        <f>YM37+IF(AND($C37=116,$U37=1),1,0)</f>
        <v/>
      </c>
      <c r="YN38">
        <f>YN37+IF(AND($C37=117,$U37=1),1,0)</f>
        <v/>
      </c>
      <c r="YO38">
        <f>YO37+IF(AND($C37=118,$U37=1),1,0)</f>
        <v/>
      </c>
      <c r="YP38">
        <f>YP37+IF(AND($C37=119,$U37=1),1,0)</f>
        <v/>
      </c>
      <c r="YQ38">
        <f>YQ37+IF(AND($C37=120,$U37=1),1,0)</f>
        <v/>
      </c>
      <c r="YR38">
        <f>YR37+IF(AND($C37=121,$U37=1),1,0)</f>
        <v/>
      </c>
      <c r="YS38">
        <f>YS37+IF(AND($C37=122,$U37=1),1,0)</f>
        <v/>
      </c>
      <c r="YT38">
        <f>YT37+IF(AND($C37=123,$U37=1),1,0)</f>
        <v/>
      </c>
      <c r="YU38">
        <f>YU37+IF(AND($C37=124,$U37=1),1,0)</f>
        <v/>
      </c>
      <c r="YV38">
        <f>YV37+IF(AND($C37=125,$U37=1),1,0)</f>
        <v/>
      </c>
      <c r="YW38">
        <f>YW37+IF(AND($C37=126,$U37=1),1,0)</f>
        <v/>
      </c>
      <c r="YX38">
        <f>YX37+IF(AND($C37=127,$U37=1),1,0)</f>
        <v/>
      </c>
      <c r="YY38">
        <f>YY37+IF(AND($C37=128,$U37=1),1,0)</f>
        <v/>
      </c>
      <c r="YZ38">
        <f>YZ37+IF(AND($C37=129,$U37=1),1,0)</f>
        <v/>
      </c>
      <c r="ZA38">
        <f>ZA37+IF(AND($C37=130,$U37=1),1,0)</f>
        <v/>
      </c>
      <c r="ZB38">
        <f>ZB37+IF(AND($C37=131,$U37=1),1,0)</f>
        <v/>
      </c>
      <c r="ZC38">
        <f>ZC37+IF(AND($C37=132,$U37=1),1,0)</f>
        <v/>
      </c>
      <c r="ZD38">
        <f>ZD37+IF(AND($C37=133,$U37=1),1,0)</f>
        <v/>
      </c>
      <c r="ZE38">
        <f>ZE37+IF(AND($C37=134,$U37=1),1,0)</f>
        <v/>
      </c>
      <c r="ZF38">
        <f>ZF37+IF(AND($C37=135,$U37=1),1,0)</f>
        <v/>
      </c>
      <c r="ZG38">
        <f>ZG37+IF(AND($C37=136,$U37=1),1,0)</f>
        <v/>
      </c>
      <c r="ZH38">
        <f>ZH37+IF(AND($C37=137,$U37=1),1,0)</f>
        <v/>
      </c>
      <c r="ZI38">
        <f>ZI37+IF(AND($C37=138,$U37=1),1,0)</f>
        <v/>
      </c>
      <c r="ZJ38">
        <f>ZJ37+IF(AND($C37=139,$U37=1),1,0)</f>
        <v/>
      </c>
      <c r="ZK38">
        <f>ZK37+IF(AND($C37=140,$U37=1),1,0)</f>
        <v/>
      </c>
      <c r="ZL38">
        <f>ZL37+IF(AND($C37=141,$U37=1),1,0)</f>
        <v/>
      </c>
      <c r="ZM38">
        <f>ZM37+IF(AND($C37=142,$U37=1),1,0)</f>
        <v/>
      </c>
      <c r="ZN38">
        <f>ZN37+IF(AND($C37=143,$U37=1),1,0)</f>
        <v/>
      </c>
      <c r="ZO38">
        <f>ZO37+IF(AND($C37=144,$U37=1),1,0)</f>
        <v/>
      </c>
      <c r="ZQ38">
        <f>IF($C37=1,0,ZQ37+IF(AND($G37=1,$E37=1),1,0))</f>
        <v/>
      </c>
      <c r="ZR38">
        <f>IF($C37=2,0,ZR37+IF(AND($G37=2,$E37=1),1,0))</f>
        <v/>
      </c>
      <c r="ZS38">
        <f>IF($C37=3,0,ZS37+IF(AND($G37=3,$E37=1),1,0))</f>
        <v/>
      </c>
      <c r="ZT38">
        <f>IF($C37=4,0,ZT37+IF(AND($G37=4,$E37=1),1,0))</f>
        <v/>
      </c>
      <c r="ZU38">
        <f>IF($C37=5,0,ZU37+IF(AND($G37=5,$E37=1),1,0))</f>
        <v/>
      </c>
      <c r="ZV38">
        <f>IF($C37=6,0,ZV37+IF(AND($G37=6,$E37=1),1,0))</f>
        <v/>
      </c>
      <c r="ZW38">
        <f>IF($C37=7,0,ZW37+IF(AND($G37=7,$E37=1),1,0))</f>
        <v/>
      </c>
      <c r="ZX38">
        <f>IF($C37=8,0,ZX37+IF(AND($G37=8,$E37=1),1,0))</f>
        <v/>
      </c>
      <c r="ZY38">
        <f>IF($C37=9,0,ZY37+IF(AND($G37=9,$E37=1),1,0))</f>
        <v/>
      </c>
      <c r="ZZ38">
        <f>IF($C37=10,0,ZZ37+IF(AND($G37=10,$E37=1),1,0))</f>
        <v/>
      </c>
      <c r="AAA38">
        <f>IF($C37=11,0,AAA37+IF(AND($G37=11,$E37=1),1,0))</f>
        <v/>
      </c>
      <c r="AAB38">
        <f>IF($C37=12,0,AAB37+IF(AND($G37=12,$E37=1),1,0))</f>
        <v/>
      </c>
      <c r="AAC38">
        <f>IF($C37=13,0,AAC37+IF(AND($G37=13,$E37=1),1,0))</f>
        <v/>
      </c>
      <c r="AAD38">
        <f>IF($C37=14,0,AAD37+IF(AND($G37=14,$E37=1),1,0))</f>
        <v/>
      </c>
      <c r="AAE38">
        <f>IF($C37=15,0,AAE37+IF(AND($G37=15,$E37=1),1,0))</f>
        <v/>
      </c>
      <c r="AAF38">
        <f>IF($C37=16,0,AAF37+IF(AND($G37=16,$E37=1),1,0))</f>
        <v/>
      </c>
      <c r="AAG38">
        <f>IF($C37=17,0,AAG37+IF(AND($G37=17,$E37=1),1,0))</f>
        <v/>
      </c>
      <c r="AAH38">
        <f>IF($C37=18,0,AAH37+IF(AND($G37=18,$E37=1),1,0))</f>
        <v/>
      </c>
      <c r="AAI38">
        <f>IF($C37=19,0,AAI37+IF(AND($G37=19,$E37=1),1,0))</f>
        <v/>
      </c>
      <c r="AAJ38">
        <f>IF($C37=20,0,AAJ37+IF(AND($G37=20,$E37=1),1,0))</f>
        <v/>
      </c>
      <c r="AAK38">
        <f>IF($C37=21,0,AAK37+IF(AND($G37=21,$E37=1),1,0))</f>
        <v/>
      </c>
      <c r="AAL38">
        <f>IF($C37=22,0,AAL37+IF(AND($G37=22,$E37=1),1,0))</f>
        <v/>
      </c>
      <c r="AAM38">
        <f>IF($C37=23,0,AAM37+IF(AND($G37=23,$E37=1),1,0))</f>
        <v/>
      </c>
      <c r="AAN38">
        <f>IF($C37=24,0,AAN37+IF(AND($G37=24,$E37=1),1,0))</f>
        <v/>
      </c>
      <c r="AAO38">
        <f>IF($C37=25,0,AAO37+IF(AND($G37=25,$E37=1),1,0))</f>
        <v/>
      </c>
      <c r="AAP38">
        <f>IF($C37=26,0,AAP37+IF(AND($G37=26,$E37=1),1,0))</f>
        <v/>
      </c>
      <c r="AAQ38">
        <f>IF($C37=27,0,AAQ37+IF(AND($G37=27,$E37=1),1,0))</f>
        <v/>
      </c>
      <c r="AAR38">
        <f>IF($C37=28,0,AAR37+IF(AND($G37=28,$E37=1),1,0))</f>
        <v/>
      </c>
      <c r="AAS38">
        <f>IF($C37=29,0,AAS37+IF(AND($G37=29,$E37=1),1,0))</f>
        <v/>
      </c>
      <c r="AAT38">
        <f>IF($C37=30,0,AAT37+IF(AND($G37=30,$E37=1),1,0))</f>
        <v/>
      </c>
      <c r="AAU38">
        <f>IF($C37=31,0,AAU37+IF(AND($G37=31,$E37=1),1,0))</f>
        <v/>
      </c>
      <c r="AAV38">
        <f>IF($C37=32,0,AAV37+IF(AND($G37=32,$E37=1),1,0))</f>
        <v/>
      </c>
      <c r="AAW38">
        <f>IF($C37=33,0,AAW37+IF(AND($G37=33,$E37=1),1,0))</f>
        <v/>
      </c>
      <c r="AAX38">
        <f>IF($C37=34,0,AAX37+IF(AND($G37=34,$E37=1),1,0))</f>
        <v/>
      </c>
      <c r="AAY38">
        <f>IF($C37=35,0,AAY37+IF(AND($G37=35,$E37=1),1,0))</f>
        <v/>
      </c>
      <c r="AAZ38">
        <f>IF($C37=36,0,AAZ37+IF(AND($G37=36,$E37=1),1,0))</f>
        <v/>
      </c>
      <c r="ABA38">
        <f>IF($C37=37,0,ABA37+IF(AND($G37=37,$E37=1),1,0))</f>
        <v/>
      </c>
      <c r="ABB38">
        <f>IF($C37=38,0,ABB37+IF(AND($G37=38,$E37=1),1,0))</f>
        <v/>
      </c>
      <c r="ABC38">
        <f>IF($C37=39,0,ABC37+IF(AND($G37=39,$E37=1),1,0))</f>
        <v/>
      </c>
      <c r="ABD38">
        <f>IF($C37=40,0,ABD37+IF(AND($G37=40,$E37=1),1,0))</f>
        <v/>
      </c>
      <c r="ABE38">
        <f>IF($C37=41,0,ABE37+IF(AND($G37=41,$E37=1),1,0))</f>
        <v/>
      </c>
      <c r="ABF38">
        <f>IF($C37=42,0,ABF37+IF(AND($G37=42,$E37=1),1,0))</f>
        <v/>
      </c>
      <c r="ABG38">
        <f>IF($C37=43,0,ABG37+IF(AND($G37=43,$E37=1),1,0))</f>
        <v/>
      </c>
      <c r="ABH38">
        <f>IF($C37=44,0,ABH37+IF(AND($G37=44,$E37=1),1,0))</f>
        <v/>
      </c>
      <c r="ABI38">
        <f>IF($C37=45,0,ABI37+IF(AND($G37=45,$E37=1),1,0))</f>
        <v/>
      </c>
      <c r="ABJ38">
        <f>IF($C37=46,0,ABJ37+IF(AND($G37=46,$E37=1),1,0))</f>
        <v/>
      </c>
      <c r="ABK38">
        <f>IF($C37=47,0,ABK37+IF(AND($G37=47,$E37=1),1,0))</f>
        <v/>
      </c>
      <c r="ABL38">
        <f>IF($C37=48,0,ABL37+IF(AND($G37=48,$E37=1),1,0))</f>
        <v/>
      </c>
      <c r="ABM38">
        <f>IF($C37=49,0,ABM37+IF(AND($G37=49,$E37=1),1,0))</f>
        <v/>
      </c>
      <c r="ABN38">
        <f>IF($C37=50,0,ABN37+IF(AND($G37=50,$E37=1),1,0))</f>
        <v/>
      </c>
      <c r="ABO38">
        <f>IF($C37=51,0,ABO37+IF(AND($G37=51,$E37=1),1,0))</f>
        <v/>
      </c>
      <c r="ABP38">
        <f>IF($C37=52,0,ABP37+IF(AND($G37=52,$E37=1),1,0))</f>
        <v/>
      </c>
      <c r="ABQ38">
        <f>IF($C37=53,0,ABQ37+IF(AND($G37=53,$E37=1),1,0))</f>
        <v/>
      </c>
      <c r="ABR38">
        <f>IF($C37=54,0,ABR37+IF(AND($G37=54,$E37=1),1,0))</f>
        <v/>
      </c>
      <c r="ABS38">
        <f>IF($C37=55,0,ABS37+IF(AND($G37=55,$E37=1),1,0))</f>
        <v/>
      </c>
      <c r="ABT38">
        <f>IF($C37=56,0,ABT37+IF(AND($G37=56,$E37=1),1,0))</f>
        <v/>
      </c>
      <c r="ABU38">
        <f>IF($C37=57,0,ABU37+IF(AND($G37=57,$E37=1),1,0))</f>
        <v/>
      </c>
      <c r="ABV38">
        <f>IF($C37=58,0,ABV37+IF(AND($G37=58,$E37=1),1,0))</f>
        <v/>
      </c>
      <c r="ABW38">
        <f>IF($C37=59,0,ABW37+IF(AND($G37=59,$E37=1),1,0))</f>
        <v/>
      </c>
      <c r="ABX38">
        <f>IF($C37=60,0,ABX37+IF(AND($G37=60,$E37=1),1,0))</f>
        <v/>
      </c>
      <c r="ABY38">
        <f>IF($C37=61,0,ABY37+IF(AND($G37=61,$E37=1),1,0))</f>
        <v/>
      </c>
      <c r="ABZ38">
        <f>IF($C37=62,0,ABZ37+IF(AND($G37=62,$E37=1),1,0))</f>
        <v/>
      </c>
      <c r="ACA38">
        <f>IF($C37=63,0,ACA37+IF(AND($G37=63,$E37=1),1,0))</f>
        <v/>
      </c>
      <c r="ACB38">
        <f>IF($C37=64,0,ACB37+IF(AND($G37=64,$E37=1),1,0))</f>
        <v/>
      </c>
      <c r="ACC38">
        <f>IF($C37=65,0,ACC37+IF(AND($G37=65,$E37=1),1,0))</f>
        <v/>
      </c>
      <c r="ACD38">
        <f>IF($C37=66,0,ACD37+IF(AND($G37=66,$E37=1),1,0))</f>
        <v/>
      </c>
      <c r="ACE38">
        <f>IF($C37=67,0,ACE37+IF(AND($G37=67,$E37=1),1,0))</f>
        <v/>
      </c>
      <c r="ACF38">
        <f>IF($C37=68,0,ACF37+IF(AND($G37=68,$E37=1),1,0))</f>
        <v/>
      </c>
      <c r="ACG38">
        <f>IF($C37=69,0,ACG37+IF(AND($G37=69,$E37=1),1,0))</f>
        <v/>
      </c>
      <c r="ACH38">
        <f>IF($C37=70,0,ACH37+IF(AND($G37=70,$E37=1),1,0))</f>
        <v/>
      </c>
      <c r="ACI38">
        <f>IF($C37=71,0,ACI37+IF(AND($G37=71,$E37=1),1,0))</f>
        <v/>
      </c>
      <c r="ACJ38">
        <f>IF($C37=72,0,ACJ37+IF(AND($G37=72,$E37=1),1,0))</f>
        <v/>
      </c>
      <c r="ACK38">
        <f>IF($C37=73,0,ACK37+IF(AND($G37=73,$E37=1),1,0))</f>
        <v/>
      </c>
      <c r="ACL38">
        <f>IF($C37=74,0,ACL37+IF(AND($G37=74,$E37=1),1,0))</f>
        <v/>
      </c>
      <c r="ACM38">
        <f>IF($C37=75,0,ACM37+IF(AND($G37=75,$E37=1),1,0))</f>
        <v/>
      </c>
      <c r="ACN38">
        <f>IF($C37=76,0,ACN37+IF(AND($G37=76,$E37=1),1,0))</f>
        <v/>
      </c>
      <c r="ACO38">
        <f>IF($C37=77,0,ACO37+IF(AND($G37=77,$E37=1),1,0))</f>
        <v/>
      </c>
      <c r="ACP38">
        <f>IF($C37=78,0,ACP37+IF(AND($G37=78,$E37=1),1,0))</f>
        <v/>
      </c>
      <c r="ACQ38">
        <f>IF($C37=79,0,ACQ37+IF(AND($G37=79,$E37=1),1,0))</f>
        <v/>
      </c>
      <c r="ACR38">
        <f>IF($C37=80,0,ACR37+IF(AND($G37=80,$E37=1),1,0))</f>
        <v/>
      </c>
      <c r="ACS38">
        <f>IF($C37=81,0,ACS37+IF(AND($G37=81,$E37=1),1,0))</f>
        <v/>
      </c>
      <c r="ACT38">
        <f>IF($C37=82,0,ACT37+IF(AND($G37=82,$E37=1),1,0))</f>
        <v/>
      </c>
      <c r="ACU38">
        <f>IF($C37=83,0,ACU37+IF(AND($G37=83,$E37=1),1,0))</f>
        <v/>
      </c>
      <c r="ACV38">
        <f>IF($C37=84,0,ACV37+IF(AND($G37=84,$E37=1),1,0))</f>
        <v/>
      </c>
      <c r="ACW38">
        <f>IF($C37=85,0,ACW37+IF(AND($G37=85,$E37=1),1,0))</f>
        <v/>
      </c>
      <c r="ACX38">
        <f>IF($C37=86,0,ACX37+IF(AND($G37=86,$E37=1),1,0))</f>
        <v/>
      </c>
      <c r="ACY38">
        <f>IF($C37=87,0,ACY37+IF(AND($G37=87,$E37=1),1,0))</f>
        <v/>
      </c>
      <c r="ACZ38">
        <f>IF($C37=88,0,ACZ37+IF(AND($G37=88,$E37=1),1,0))</f>
        <v/>
      </c>
      <c r="ADA38">
        <f>IF($C37=89,0,ADA37+IF(AND($G37=89,$E37=1),1,0))</f>
        <v/>
      </c>
      <c r="ADB38">
        <f>IF($C37=90,0,ADB37+IF(AND($G37=90,$E37=1),1,0))</f>
        <v/>
      </c>
      <c r="ADC38">
        <f>IF($C37=91,0,ADC37+IF(AND($G37=91,$E37=1),1,0))</f>
        <v/>
      </c>
      <c r="ADD38">
        <f>IF($C37=92,0,ADD37+IF(AND($G37=92,$E37=1),1,0))</f>
        <v/>
      </c>
      <c r="ADE38">
        <f>IF($C37=93,0,ADE37+IF(AND($G37=93,$E37=1),1,0))</f>
        <v/>
      </c>
      <c r="ADF38">
        <f>IF($C37=94,0,ADF37+IF(AND($G37=94,$E37=1),1,0))</f>
        <v/>
      </c>
      <c r="ADG38">
        <f>IF($C37=95,0,ADG37+IF(AND($G37=95,$E37=1),1,0))</f>
        <v/>
      </c>
      <c r="ADH38">
        <f>IF($C37=96,0,ADH37+IF(AND($G37=96,$E37=1),1,0))</f>
        <v/>
      </c>
      <c r="ADI38">
        <f>IF($C37=97,0,ADI37+IF(AND($G37=97,$E37=1),1,0))</f>
        <v/>
      </c>
      <c r="ADJ38">
        <f>IF($C37=98,0,ADJ37+IF(AND($G37=98,$E37=1),1,0))</f>
        <v/>
      </c>
      <c r="ADK38">
        <f>IF($C37=99,0,ADK37+IF(AND($G37=99,$E37=1),1,0))</f>
        <v/>
      </c>
      <c r="ADL38">
        <f>IF($C37=100,0,ADL37+IF(AND($G37=100,$E37=1),1,0))</f>
        <v/>
      </c>
      <c r="ADM38">
        <f>IF($C37=101,0,ADM37+IF(AND($G37=101,$E37=1),1,0))</f>
        <v/>
      </c>
      <c r="ADN38">
        <f>IF($C37=102,0,ADN37+IF(AND($G37=102,$E37=1),1,0))</f>
        <v/>
      </c>
      <c r="ADO38">
        <f>IF($C37=103,0,ADO37+IF(AND($G37=103,$E37=1),1,0))</f>
        <v/>
      </c>
      <c r="ADP38">
        <f>IF($C37=104,0,ADP37+IF(AND($G37=104,$E37=1),1,0))</f>
        <v/>
      </c>
      <c r="ADQ38">
        <f>IF($C37=105,0,ADQ37+IF(AND($G37=105,$E37=1),1,0))</f>
        <v/>
      </c>
      <c r="ADR38">
        <f>IF($C37=106,0,ADR37+IF(AND($G37=106,$E37=1),1,0))</f>
        <v/>
      </c>
      <c r="ADS38">
        <f>IF($C37=107,0,ADS37+IF(AND($G37=107,$E37=1),1,0))</f>
        <v/>
      </c>
      <c r="ADT38">
        <f>IF($C37=108,0,ADT37+IF(AND($G37=108,$E37=1),1,0))</f>
        <v/>
      </c>
      <c r="ADU38">
        <f>IF($C37=109,0,ADU37+IF(AND($G37=109,$E37=1),1,0))</f>
        <v/>
      </c>
      <c r="ADV38">
        <f>IF($C37=110,0,ADV37+IF(AND($G37=110,$E37=1),1,0))</f>
        <v/>
      </c>
      <c r="ADW38">
        <f>IF($C37=111,0,ADW37+IF(AND($G37=111,$E37=1),1,0))</f>
        <v/>
      </c>
      <c r="ADX38">
        <f>IF($C37=112,0,ADX37+IF(AND($G37=112,$E37=1),1,0))</f>
        <v/>
      </c>
      <c r="ADY38">
        <f>IF($C37=113,0,ADY37+IF(AND($G37=113,$E37=1),1,0))</f>
        <v/>
      </c>
      <c r="ADZ38">
        <f>IF($C37=114,0,ADZ37+IF(AND($G37=114,$E37=1),1,0))</f>
        <v/>
      </c>
      <c r="AEA38">
        <f>IF($C37=115,0,AEA37+IF(AND($G37=115,$E37=1),1,0))</f>
        <v/>
      </c>
      <c r="AEB38">
        <f>IF($C37=116,0,AEB37+IF(AND($G37=116,$E37=1),1,0))</f>
        <v/>
      </c>
      <c r="AEC38">
        <f>IF($C37=117,0,AEC37+IF(AND($G37=117,$E37=1),1,0))</f>
        <v/>
      </c>
      <c r="AED38">
        <f>IF($C37=118,0,AED37+IF(AND($G37=118,$E37=1),1,0))</f>
        <v/>
      </c>
      <c r="AEE38">
        <f>IF($C37=119,0,AEE37+IF(AND($G37=119,$E37=1),1,0))</f>
        <v/>
      </c>
      <c r="AEF38">
        <f>IF($C37=120,0,AEF37+IF(AND($G37=120,$E37=1),1,0))</f>
        <v/>
      </c>
      <c r="AEG38">
        <f>IF($C37=121,0,AEG37+IF(AND($G37=121,$E37=1),1,0))</f>
        <v/>
      </c>
      <c r="AEH38">
        <f>IF($C37=122,0,AEH37+IF(AND($G37=122,$E37=1),1,0))</f>
        <v/>
      </c>
      <c r="AEI38">
        <f>IF($C37=123,0,AEI37+IF(AND($G37=123,$E37=1),1,0))</f>
        <v/>
      </c>
      <c r="AEJ38">
        <f>IF($C37=124,0,AEJ37+IF(AND($G37=124,$E37=1),1,0))</f>
        <v/>
      </c>
      <c r="AEK38">
        <f>IF($C37=125,0,AEK37+IF(AND($G37=125,$E37=1),1,0))</f>
        <v/>
      </c>
      <c r="AEL38">
        <f>IF($C37=126,0,AEL37+IF(AND($G37=126,$E37=1),1,0))</f>
        <v/>
      </c>
      <c r="AEM38">
        <f>IF($C37=127,0,AEM37+IF(AND($G37=127,$E37=1),1,0))</f>
        <v/>
      </c>
      <c r="AEN38">
        <f>IF($C37=128,0,AEN37+IF(AND($G37=128,$E37=1),1,0))</f>
        <v/>
      </c>
      <c r="AEO38">
        <f>IF($C37=129,0,AEO37+IF(AND($G37=129,$E37=1),1,0))</f>
        <v/>
      </c>
      <c r="AEP38">
        <f>IF($C37=130,0,AEP37+IF(AND($G37=130,$E37=1),1,0))</f>
        <v/>
      </c>
      <c r="AEQ38">
        <f>IF($C37=131,0,AEQ37+IF(AND($G37=131,$E37=1),1,0))</f>
        <v/>
      </c>
      <c r="AER38">
        <f>IF($C37=132,0,AER37+IF(AND($G37=132,$E37=1),1,0))</f>
        <v/>
      </c>
      <c r="AES38">
        <f>IF($C37=133,0,AES37+IF(AND($G37=133,$E37=1),1,0))</f>
        <v/>
      </c>
      <c r="AET38">
        <f>IF($C37=134,0,AET37+IF(AND($G37=134,$E37=1),1,0))</f>
        <v/>
      </c>
      <c r="AEU38">
        <f>IF($C37=135,0,AEU37+IF(AND($G37=135,$E37=1),1,0))</f>
        <v/>
      </c>
      <c r="AEV38">
        <f>IF($C37=136,0,AEV37+IF(AND($G37=136,$E37=1),1,0))</f>
        <v/>
      </c>
      <c r="AEW38">
        <f>IF($C37=137,0,AEW37+IF(AND($G37=137,$E37=1),1,0))</f>
        <v/>
      </c>
      <c r="AEX38">
        <f>IF($C37=138,0,AEX37+IF(AND($G37=138,$E37=1),1,0))</f>
        <v/>
      </c>
      <c r="AEY38">
        <f>IF($C37=139,0,AEY37+IF(AND($G37=139,$E37=1),1,0))</f>
        <v/>
      </c>
      <c r="AEZ38">
        <f>IF($C37=140,0,AEZ37+IF(AND($G37=140,$E37=1),1,0))</f>
        <v/>
      </c>
      <c r="AFA38">
        <f>IF($C37=141,0,AFA37+IF(AND($G37=141,$E37=1),1,0))</f>
        <v/>
      </c>
      <c r="AFB38">
        <f>IF($C37=142,0,AFB37+IF(AND($G37=142,$E37=1),1,0))</f>
        <v/>
      </c>
      <c r="AFC38">
        <f>IF($C37=143,0,AFC37+IF(AND($G37=143,$E37=1),1,0))</f>
        <v/>
      </c>
      <c r="AFD38">
        <f>IF($C37=144,0,AFD37+IF(AND($G37=144,$E37=1),1,0))</f>
        <v/>
      </c>
      <c r="AFF38">
        <f>IF('calcA'!D$106=1,DC38+ZR38,1)</f>
        <v/>
      </c>
      <c r="AFG38">
        <f>IF('calcA'!E$106=1,DD38+ZS38,1)</f>
        <v/>
      </c>
      <c r="AFH38">
        <f>IF('calcA'!F$106=1,DE38+ZT38,1)</f>
        <v/>
      </c>
      <c r="AFI38">
        <f>IF('calcA'!G$106=1,DF38+ZU38,1)</f>
        <v/>
      </c>
      <c r="AFJ38">
        <f>IF('calcA'!H$106=1,DG38+ZV38,1)</f>
        <v/>
      </c>
      <c r="AFK38">
        <f>IF('calcA'!I$106=1,DH38+ZW38,1)</f>
        <v/>
      </c>
      <c r="AFL38">
        <f>IF('calcA'!J$106=1,DI38+ZX38,1)</f>
        <v/>
      </c>
      <c r="AFM38">
        <f>IF('calcA'!K$106=1,DJ38+ZY38,1)</f>
        <v/>
      </c>
      <c r="AFN38">
        <f>IF('calcA'!L$106=1,DK38+ZZ38,1)</f>
        <v/>
      </c>
      <c r="AFO38">
        <f>IF('calcA'!M$106=1,DL38+AAA38,1)</f>
        <v/>
      </c>
      <c r="AFP38">
        <f>IF('calcA'!N$106=1,DM38+AAB38,1)</f>
        <v/>
      </c>
      <c r="AFQ38">
        <f>IF('calcA'!O$106=1,DN38+AAC38,1)</f>
        <v/>
      </c>
      <c r="AFR38">
        <f>IF('calcA'!P$106=1,DO38+AAD38,1)</f>
        <v/>
      </c>
      <c r="AFS38">
        <f>IF('calcA'!Q$106=1,DP38+AAE38,1)</f>
        <v/>
      </c>
      <c r="AFT38">
        <f>IF('calcA'!R$106=1,DQ38+AAF38,1)</f>
        <v/>
      </c>
      <c r="AFU38">
        <f>IF('calcA'!S$106=1,DR38+AAG38,1)</f>
        <v/>
      </c>
      <c r="AFV38">
        <f>IF('calcA'!T$106=1,DS38+AAH38,1)</f>
        <v/>
      </c>
      <c r="AFW38">
        <f>IF('calcA'!U$106=1,DT38+AAI38,1)</f>
        <v/>
      </c>
      <c r="AFX38">
        <f>IF('calcA'!V$106=1,DU38+AAJ38,1)</f>
        <v/>
      </c>
      <c r="AFY38">
        <f>IF('calcA'!W$106=1,DV38+AAK38,1)</f>
        <v/>
      </c>
      <c r="AFZ38">
        <f>IF('calcA'!X$106=1,DW38+AAL38,1)</f>
        <v/>
      </c>
      <c r="AGA38">
        <f>IF('calcA'!Y$106=1,DX38+AAM38,1)</f>
        <v/>
      </c>
      <c r="AGB38">
        <f>IF('calcA'!Z$106=1,DY38+AAN38,1)</f>
        <v/>
      </c>
      <c r="AGC38">
        <f>IF('calcA'!AA$106=1,DZ38+AAO38,1)</f>
        <v/>
      </c>
      <c r="AGD38">
        <f>IF('calcA'!AB$106=1,EA38+AAP38,1)</f>
        <v/>
      </c>
      <c r="AGE38">
        <f>IF('calcA'!AC$106=1,EB38+AAQ38,1)</f>
        <v/>
      </c>
      <c r="AGF38">
        <f>IF('calcA'!AD$106=1,EC38+AAR38,1)</f>
        <v/>
      </c>
      <c r="AGG38">
        <f>IF('calcA'!AE$106=1,ED38+AAS38,1)</f>
        <v/>
      </c>
      <c r="AGH38">
        <f>IF('calcA'!AF$106=1,EE38+AAT38,1)</f>
        <v/>
      </c>
      <c r="AGI38">
        <f>IF('calcA'!AG$106=1,EF38+AAU38,1)</f>
        <v/>
      </c>
      <c r="AGJ38">
        <f>IF('calcA'!AH$106=1,EG38+AAV38,1)</f>
        <v/>
      </c>
      <c r="AGK38">
        <f>IF('calcA'!AI$106=1,EH38+AAW38,1)</f>
        <v/>
      </c>
      <c r="AGL38">
        <f>IF('calcA'!AJ$106=1,EI38+AAX38,1)</f>
        <v/>
      </c>
      <c r="AGM38">
        <f>IF('calcA'!AK$106=1,EJ38+AAY38,1)</f>
        <v/>
      </c>
      <c r="AGN38">
        <f>IF('calcA'!AL$106=1,EK38+AAZ38,1)</f>
        <v/>
      </c>
      <c r="AGO38">
        <f>IF('calcA'!AM$106=1,EL38+ABA38,1)</f>
        <v/>
      </c>
      <c r="AGP38">
        <f>IF('calcA'!AN$106=1,EM38+ABB38,1)</f>
        <v/>
      </c>
      <c r="AGQ38">
        <f>IF('calcA'!AO$106=1,EN38+ABC38,1)</f>
        <v/>
      </c>
      <c r="AGR38">
        <f>IF('calcA'!AP$106=1,EO38+ABD38,1)</f>
        <v/>
      </c>
      <c r="AGS38">
        <f>IF('calcA'!AQ$106=1,EP38+ABE38,1)</f>
        <v/>
      </c>
      <c r="AGT38">
        <f>IF('calcA'!AR$106=1,EQ38+ABF38,1)</f>
        <v/>
      </c>
      <c r="AGU38">
        <f>IF('calcA'!AS$106=1,ER38+ABG38,1)</f>
        <v/>
      </c>
      <c r="AGV38">
        <f>IF('calcA'!AT$106=1,ES38+ABH38,1)</f>
        <v/>
      </c>
      <c r="AGW38">
        <f>IF('calcA'!AU$106=1,ET38+ABI38,1)</f>
        <v/>
      </c>
      <c r="AGX38">
        <f>IF('calcA'!AV$106=1,EU38+ABJ38,1)</f>
        <v/>
      </c>
      <c r="AGY38">
        <f>IF('calcA'!AW$106=1,EV38+ABK38,1)</f>
        <v/>
      </c>
      <c r="AGZ38">
        <f>IF('calcA'!AX$106=1,EW38+ABL38,1)</f>
        <v/>
      </c>
      <c r="AHA38">
        <f>IF('calcA'!AY$106=1,EX38+ABM38,1)</f>
        <v/>
      </c>
      <c r="AHB38">
        <f>IF('calcA'!AZ$106=1,EY38+ABN38,1)</f>
        <v/>
      </c>
      <c r="AHC38">
        <f>IF('calcA'!BA$106=1,EZ38+ABO38,1)</f>
        <v/>
      </c>
      <c r="AHD38">
        <f>IF('calcA'!BB$106=1,FA38+ABP38,1)</f>
        <v/>
      </c>
      <c r="AHE38">
        <f>IF('calcA'!BC$106=1,FB38+ABQ38,1)</f>
        <v/>
      </c>
      <c r="AHF38">
        <f>IF('calcA'!BD$106=1,FC38+ABR38,1)</f>
        <v/>
      </c>
      <c r="AHG38">
        <f>IF('calcA'!BE$106=1,FD38+ABS38,1)</f>
        <v/>
      </c>
      <c r="AHH38">
        <f>IF('calcA'!BF$106=1,FE38+ABT38,1)</f>
        <v/>
      </c>
      <c r="AHI38">
        <f>IF('calcA'!BG$106=1,FF38+ABU38,1)</f>
        <v/>
      </c>
      <c r="AHJ38">
        <f>IF('calcA'!BH$106=1,FG38+ABV38,1)</f>
        <v/>
      </c>
      <c r="AHK38">
        <f>IF('calcA'!BI$106=1,FH38+ABW38,1)</f>
        <v/>
      </c>
      <c r="AHL38">
        <f>IF('calcA'!BJ$106=1,FI38+ABX38,1)</f>
        <v/>
      </c>
      <c r="AHM38">
        <f>IF('calcA'!BK$106=1,FJ38+ABY38,1)</f>
        <v/>
      </c>
      <c r="AHN38">
        <f>IF('calcA'!BL$106=1,FK38+ABZ38,1)</f>
        <v/>
      </c>
      <c r="AHO38">
        <f>IF('calcA'!BM$106=1,FL38+ACA38,1)</f>
        <v/>
      </c>
      <c r="AHP38">
        <f>IF('calcA'!BN$106=1,FM38+ACB38,1)</f>
        <v/>
      </c>
      <c r="AHQ38">
        <f>IF('calcA'!BO$106=1,FN38+ACC38,1)</f>
        <v/>
      </c>
      <c r="AHR38">
        <f>IF('calcA'!BP$106=1,FO38+ACD38,1)</f>
        <v/>
      </c>
      <c r="AHS38">
        <f>IF('calcA'!BQ$106=1,FP38+ACE38,1)</f>
        <v/>
      </c>
      <c r="AHT38">
        <f>IF('calcA'!BR$106=1,FQ38+ACF38,1)</f>
        <v/>
      </c>
      <c r="AHU38">
        <f>IF('calcA'!BS$106=1,FR38+ACG38,1)</f>
        <v/>
      </c>
      <c r="AHV38">
        <f>IF('calcA'!BT$106=1,FS38+ACH38,1)</f>
        <v/>
      </c>
      <c r="AHW38">
        <f>IF('calcA'!BU$106=1,FT38+ACI38,1)</f>
        <v/>
      </c>
      <c r="AHX38">
        <f>IF('calcA'!BV$106=1,FU38+ACJ38,1)</f>
        <v/>
      </c>
      <c r="AHY38">
        <f>IF('calcA'!BW$106=1,FV38+ACK38,1)</f>
        <v/>
      </c>
      <c r="AHZ38">
        <f>IF('calcA'!BX$106=1,FW38+ACL38,1)</f>
        <v/>
      </c>
      <c r="AIA38">
        <f>IF('calcA'!BY$106=1,FX38+ACM38,1)</f>
        <v/>
      </c>
      <c r="AIB38">
        <f>IF('calcA'!BZ$106=1,FY38+ACN38,1)</f>
        <v/>
      </c>
      <c r="AIC38">
        <f>IF('calcA'!CA$106=1,FZ38+ACO38,1)</f>
        <v/>
      </c>
      <c r="AID38">
        <f>IF('calcA'!CB$106=1,GA38+ACP38,1)</f>
        <v/>
      </c>
      <c r="AIE38">
        <f>IF('calcA'!CC$106=1,GB38+ACQ38,1)</f>
        <v/>
      </c>
      <c r="AIF38">
        <f>IF('calcA'!CD$106=1,GC38+ACR38,1)</f>
        <v/>
      </c>
      <c r="AIG38">
        <f>IF('calcA'!CE$106=1,GD38+ACS38,1)</f>
        <v/>
      </c>
      <c r="AIH38">
        <f>IF('calcA'!CF$106=1,GE38+ACT38,1)</f>
        <v/>
      </c>
      <c r="AII38">
        <f>IF('calcA'!CG$106=1,GF38+ACU38,1)</f>
        <v/>
      </c>
      <c r="AIJ38">
        <f>IF('calcA'!CH$106=1,GG38+ACV38,1)</f>
        <v/>
      </c>
      <c r="AIK38">
        <f>IF('calcA'!CI$106=1,GH38+ACW38,1)</f>
        <v/>
      </c>
      <c r="AIL38">
        <f>IF('calcA'!CJ$106=1,GI38+ACX38,1)</f>
        <v/>
      </c>
      <c r="AIM38">
        <f>IF('calcA'!CK$106=1,GJ38+ACY38,1)</f>
        <v/>
      </c>
      <c r="AIN38">
        <f>IF('calcA'!CL$106=1,GK38+ACZ38,1)</f>
        <v/>
      </c>
      <c r="AIO38">
        <f>IF('calcA'!CM$106=1,GL38+ADA38,1)</f>
        <v/>
      </c>
      <c r="AIP38">
        <f>IF('calcA'!CN$106=1,GM38+ADB38,1)</f>
        <v/>
      </c>
      <c r="AIQ38">
        <f>IF('calcA'!CO$106=1,GN38+ADC38,1)</f>
        <v/>
      </c>
      <c r="AIR38">
        <f>IF('calcA'!CP$106=1,GO38+ADD38,1)</f>
        <v/>
      </c>
      <c r="AIS38">
        <f>IF('calcA'!CQ$106=1,GP38+ADE38,1)</f>
        <v/>
      </c>
      <c r="AIT38">
        <f>IF('calcA'!CR$106=1,GQ38+ADF38,1)</f>
        <v/>
      </c>
      <c r="AIU38">
        <f>IF('calcA'!CS$106=1,GR38+ADG38,1)</f>
        <v/>
      </c>
      <c r="AIV38">
        <f>IF('calcA'!CT$106=1,GS38+ADH38,1)</f>
        <v/>
      </c>
      <c r="AIW38">
        <f>IF('calcA'!CU$106=1,GT38+ADI38,1)</f>
        <v/>
      </c>
      <c r="AIX38">
        <f>IF('calcA'!CV$106=1,GU38+ADJ38,1)</f>
        <v/>
      </c>
      <c r="AIY38">
        <f>IF('calcA'!CW$106=1,GV38+ADK38,1)</f>
        <v/>
      </c>
      <c r="AIZ38">
        <f>IF('calcA'!CX$106=1,GW38+ADL38,1)</f>
        <v/>
      </c>
      <c r="AJA38">
        <f>IF('calcA'!CY$106=1,GX38+ADM38,1)</f>
        <v/>
      </c>
      <c r="AJB38">
        <f>IF('calcA'!CZ$106=1,GY38+ADN38,1)</f>
        <v/>
      </c>
      <c r="AJC38">
        <f>IF('calcA'!DA$106=1,GZ38+ADO38,1)</f>
        <v/>
      </c>
      <c r="AJD38">
        <f>IF('calcA'!DB$106=1,HA38+ADP38,1)</f>
        <v/>
      </c>
      <c r="AJE38">
        <f>IF('calcA'!DC$106=1,HB38+ADQ38,1)</f>
        <v/>
      </c>
      <c r="AJF38">
        <f>IF('calcA'!DD$106=1,HC38+ADR38,1)</f>
        <v/>
      </c>
      <c r="AJG38">
        <f>IF('calcA'!DE$106=1,HD38+ADS38,1)</f>
        <v/>
      </c>
      <c r="AJH38">
        <f>IF('calcA'!DF$106=1,HE38+ADT38,1)</f>
        <v/>
      </c>
      <c r="AJI38">
        <f>IF('calcA'!DG$106=1,HF38+ADU38,1)</f>
        <v/>
      </c>
      <c r="AJJ38">
        <f>IF('calcA'!DH$106=1,HG38+ADV38,1)</f>
        <v/>
      </c>
      <c r="AJK38">
        <f>IF('calcA'!DI$106=1,HH38+ADW38,1)</f>
        <v/>
      </c>
      <c r="AJL38">
        <f>IF('calcA'!DJ$106=1,HI38+ADX38,1)</f>
        <v/>
      </c>
      <c r="AJM38">
        <f>IF('calcA'!DK$106=1,HJ38+ADY38,1)</f>
        <v/>
      </c>
      <c r="AJN38">
        <f>IF('calcA'!DL$106=1,HK38+ADZ38,1)</f>
        <v/>
      </c>
      <c r="AJO38">
        <f>IF('calcA'!DM$106=1,HL38+AEA38,1)</f>
        <v/>
      </c>
      <c r="AJP38">
        <f>IF('calcA'!DN$106=1,HM38+AEB38,1)</f>
        <v/>
      </c>
      <c r="AJQ38">
        <f>IF('calcA'!DO$106=1,HN38+AEC38,1)</f>
        <v/>
      </c>
      <c r="AJR38">
        <f>IF('calcA'!DP$106=1,HO38+AED38,1)</f>
        <v/>
      </c>
      <c r="AJS38">
        <f>IF('calcA'!DQ$106=1,HP38+AEE38,1)</f>
        <v/>
      </c>
      <c r="AJT38">
        <f>IF('calcA'!DR$106=1,HQ38+AEF38,1)</f>
        <v/>
      </c>
      <c r="AJU38">
        <f>IF('calcA'!DS$106=1,HR38+AEG38,1)</f>
        <v/>
      </c>
      <c r="AJV38">
        <f>IF('calcA'!DT$106=1,HS38+AEH38,1)</f>
        <v/>
      </c>
      <c r="AJW38">
        <f>IF('calcA'!DU$106=1,HT38+AEI38,1)</f>
        <v/>
      </c>
      <c r="AJX38">
        <f>IF('calcA'!DV$106=1,HU38+AEJ38,1)</f>
        <v/>
      </c>
      <c r="AJY38">
        <f>IF('calcA'!DW$106=1,HV38+AEK38,1)</f>
        <v/>
      </c>
      <c r="AJZ38">
        <f>IF('calcA'!DX$106=1,HW38+AEL38,1)</f>
        <v/>
      </c>
      <c r="AKA38">
        <f>IF('calcA'!DY$106=1,HX38+AEM38,1)</f>
        <v/>
      </c>
      <c r="AKB38">
        <f>IF('calcA'!DZ$106=1,HY38+AEN38,1)</f>
        <v/>
      </c>
      <c r="AKC38">
        <f>IF('calcA'!EA$106=1,HZ38+AEO38,1)</f>
        <v/>
      </c>
      <c r="AKD38">
        <f>IF('calcA'!EB$106=1,IA38+AEP38,1)</f>
        <v/>
      </c>
      <c r="AKE38">
        <f>IF('calcA'!EC$106=1,IB38+AEQ38,1)</f>
        <v/>
      </c>
      <c r="AKF38">
        <f>IF('calcA'!ED$106=1,IC38+AER38,1)</f>
        <v/>
      </c>
      <c r="AKG38">
        <f>IF('calcA'!EE$106=1,ID38+AES38,1)</f>
        <v/>
      </c>
      <c r="AKH38">
        <f>IF('calcA'!EF$106=1,IE38+AET38,1)</f>
        <v/>
      </c>
      <c r="AKI38">
        <f>IF('calcA'!EG$106=1,IF38+AEU38,1)</f>
        <v/>
      </c>
      <c r="AKJ38">
        <f>IF('calcA'!EH$106=1,IG38+AEV38,1)</f>
        <v/>
      </c>
      <c r="AKK38">
        <f>IF('calcA'!EI$106=1,IH38+AEW38,1)</f>
        <v/>
      </c>
      <c r="AKL38">
        <f>IF('calcA'!EJ$106=1,II38+AEX38,1)</f>
        <v/>
      </c>
      <c r="AKM38">
        <f>IF('calcA'!EK$106=1,IJ38+AEY38,1)</f>
        <v/>
      </c>
      <c r="AKN38">
        <f>IF('calcA'!EL$106=1,IK38+AEZ38,1)</f>
        <v/>
      </c>
      <c r="AKO38">
        <f>IF('calcA'!EM$106=1,IL38+AFA38,1)</f>
        <v/>
      </c>
      <c r="AKP38">
        <f>IF('calcA'!EN$106=1,IM38+AFB38,1)</f>
        <v/>
      </c>
      <c r="AKQ38">
        <f>IF('calcA'!EO$106=1,IN38+AFC38,1)</f>
        <v/>
      </c>
      <c r="AKR38">
        <f>IF('calcA'!EP$106=1,IO38+AFD38,1)</f>
        <v/>
      </c>
      <c r="AKS38" t="n">
        <v>1</v>
      </c>
    </row>
    <row r="39">
      <c r="A39" t="n">
        <v>37</v>
      </c>
      <c r="B39">
        <f>IF(MIN(BM39:CZ39)&gt;=1000000000,0,MATCH(MIN(BM39:CZ39),BM39:CZ39,0))</f>
        <v/>
      </c>
      <c r="C39">
        <f>IF(MIN(OF39:TS39)&gt;=1000000000,0,MATCH(MIN(OF39:TS39),OF39:TS39,0))</f>
        <v/>
      </c>
      <c r="D39">
        <f>IF(C39&gt;0,INDEX('calcA'!$D$5:$EQ$5,C39),0)</f>
        <v/>
      </c>
      <c r="E39">
        <f>IF(B39=0,0,INDEX('calcA'!$IQ$10:$IQ$54,B39))</f>
        <v/>
      </c>
      <c r="F39">
        <f>IF(B39=0,0,INDEX('calcA'!$IP$10:$IP$54,B39))</f>
        <v/>
      </c>
      <c r="G39">
        <f>IF(AND(C39&gt;0,E39&gt;0),IF(AND(INDEX('calcA'!$D$106:$EQ$106,C39)=1,INDEX($IQ39:$OD39,C39)=1),C39+1,0),0)</f>
        <v/>
      </c>
      <c r="H39">
        <f>IF(B39=0,0,INDEX('calcA'!$IW$10:$IW$54,B39))</f>
        <v/>
      </c>
      <c r="U39">
        <f>IF(B39=0,0,INDEX('calcA'!$IX$10:$IX$54,B39))</f>
        <v/>
      </c>
      <c r="V39">
        <f>IF(B39=0,0,INDEX('calcA'!$JF$10:$JF$54,B39))</f>
        <v/>
      </c>
      <c r="W39">
        <f>IF(B39=0,0,IF(IF(E39=2,SUMPRODUCT(INDEX('calcA'!$D$60:$EQ$99,B39,0),$DB39:$IO39,$IQ39:$OD39),SUMPRODUCT(INDEX('calcA'!$D$60:$EQ$99,B39,0),$DB39:$IO39))=0,1,0))</f>
        <v/>
      </c>
      <c r="X39">
        <f>MAX(X38,IF($B38=1,1,0))</f>
        <v/>
      </c>
      <c r="Y39">
        <f>MAX(Y38,IF($B38=2,1,0))</f>
        <v/>
      </c>
      <c r="Z39">
        <f>MAX(Z38,IF($B38=3,1,0))</f>
        <v/>
      </c>
      <c r="AA39">
        <f>MAX(AA38,IF($B38=4,1,0))</f>
        <v/>
      </c>
      <c r="AB39">
        <f>MAX(AB38,IF($B38=5,1,0))</f>
        <v/>
      </c>
      <c r="AC39">
        <f>MAX(AC38,IF($B38=6,1,0))</f>
        <v/>
      </c>
      <c r="AD39">
        <f>MAX(AD38,IF($B38=7,1,0))</f>
        <v/>
      </c>
      <c r="AE39">
        <f>MAX(AE38,IF($B38=8,1,0))</f>
        <v/>
      </c>
      <c r="AF39">
        <f>MAX(AF38,IF($B38=9,1,0))</f>
        <v/>
      </c>
      <c r="AG39">
        <f>MAX(AG38,IF($B38=10,1,0))</f>
        <v/>
      </c>
      <c r="AH39">
        <f>MAX(AH38,IF($B38=11,1,0))</f>
        <v/>
      </c>
      <c r="AI39">
        <f>MAX(AI38,IF($B38=12,1,0))</f>
        <v/>
      </c>
      <c r="AJ39">
        <f>MAX(AJ38,IF($B38=13,1,0))</f>
        <v/>
      </c>
      <c r="AK39">
        <f>MAX(AK38,IF($B38=14,1,0))</f>
        <v/>
      </c>
      <c r="AL39">
        <f>MAX(AL38,IF($B38=15,1,0))</f>
        <v/>
      </c>
      <c r="AM39">
        <f>MAX(AM38,IF($B38=16,1,0))</f>
        <v/>
      </c>
      <c r="AN39">
        <f>MAX(AN38,IF($B38=17,1,0))</f>
        <v/>
      </c>
      <c r="AO39">
        <f>MAX(AO38,IF($B38=18,1,0))</f>
        <v/>
      </c>
      <c r="AP39">
        <f>MAX(AP38,IF($B38=19,1,0))</f>
        <v/>
      </c>
      <c r="AQ39">
        <f>MAX(AQ38,IF($B38=20,1,0))</f>
        <v/>
      </c>
      <c r="AR39">
        <f>MAX(AR38,IF($B38=21,1,0))</f>
        <v/>
      </c>
      <c r="AS39">
        <f>MAX(AS38,IF($B38=22,1,0))</f>
        <v/>
      </c>
      <c r="AT39">
        <f>MAX(AT38,IF($B38=23,1,0))</f>
        <v/>
      </c>
      <c r="AU39">
        <f>MAX(AU38,IF($B38=24,1,0))</f>
        <v/>
      </c>
      <c r="AV39">
        <f>MAX(AV38,IF($B38=25,1,0))</f>
        <v/>
      </c>
      <c r="AW39">
        <f>MAX(AW38,IF($B38=26,1,0))</f>
        <v/>
      </c>
      <c r="AX39">
        <f>MAX(AX38,IF($B38=27,1,0))</f>
        <v/>
      </c>
      <c r="AY39">
        <f>MAX(AY38,IF($B38=28,1,0))</f>
        <v/>
      </c>
      <c r="AZ39">
        <f>MAX(AZ38,IF($B38=29,1,0))</f>
        <v/>
      </c>
      <c r="BA39">
        <f>MAX(BA38,IF($B38=30,1,0))</f>
        <v/>
      </c>
      <c r="BB39">
        <f>MAX(BB38,IF($B38=31,1,0))</f>
        <v/>
      </c>
      <c r="BC39">
        <f>MAX(BC38,IF($B38=32,1,0))</f>
        <v/>
      </c>
      <c r="BD39">
        <f>MAX(BD38,IF($B38=33,1,0))</f>
        <v/>
      </c>
      <c r="BE39">
        <f>MAX(BE38,IF($B38=34,1,0))</f>
        <v/>
      </c>
      <c r="BF39">
        <f>MAX(BF38,IF($B38=35,1,0))</f>
        <v/>
      </c>
      <c r="BG39">
        <f>MAX(BG38,IF($B38=36,1,0))</f>
        <v/>
      </c>
      <c r="BH39">
        <f>MAX(BH38,IF($B38=37,1,0))</f>
        <v/>
      </c>
      <c r="BI39">
        <f>MAX(BI38,IF($B38=38,1,0))</f>
        <v/>
      </c>
      <c r="BJ39">
        <f>MAX(BJ38,IF($B38=39,1,0))</f>
        <v/>
      </c>
      <c r="BK39">
        <f>MAX(BK38,IF($B38=40,1,0))</f>
        <v/>
      </c>
      <c r="BM39">
        <f>IF(OR(X39=1,calcA!$A$6=0),1000000000,IF('calcA'!$JF$10=1,0,100000000)+IF('calcA'!$IQ$10=2,SUMPRODUCT('calcA'!$D$60:$EQ$60,$DB39:$IO39,$IQ39:$OD39)*1000+SUMPRODUCT('calcA'!$D$60:$EQ$60,$DB39:$IO39+$ZQ39:$AFD39,$AFF39:$AKS39),SUMPRODUCT('calcA'!$D$60:$EQ$60,$DB39:$IO39*1001+$ZQ39:$AFD39))*100+1)</f>
        <v/>
      </c>
      <c r="BN39">
        <f>IF(OR(Y39=1,calcA!$A$6=0),1000000000,IF('calcA'!$JF$11=1,0,100000000)+IF('calcA'!$IQ$11=2,SUMPRODUCT('calcA'!$D$61:$EQ$61,$DB39:$IO39,$IQ39:$OD39)*1000+SUMPRODUCT('calcA'!$D$61:$EQ$61,$DB39:$IO39+$ZQ39:$AFD39,$AFF39:$AKS39),SUMPRODUCT('calcA'!$D$61:$EQ$61,$DB39:$IO39*1001+$ZQ39:$AFD39))*100+2)</f>
        <v/>
      </c>
      <c r="BO39">
        <f>IF(OR(Z39=1,calcA!$A$6=0),1000000000,IF('calcA'!$JF$12=1,0,100000000)+IF('calcA'!$IQ$12=2,SUMPRODUCT('calcA'!$D$62:$EQ$62,$DB39:$IO39,$IQ39:$OD39)*1000+SUMPRODUCT('calcA'!$D$62:$EQ$62,$DB39:$IO39+$ZQ39:$AFD39,$AFF39:$AKS39),SUMPRODUCT('calcA'!$D$62:$EQ$62,$DB39:$IO39*1001+$ZQ39:$AFD39))*100+3)</f>
        <v/>
      </c>
      <c r="BP39">
        <f>IF(OR(AA39=1,calcA!$A$6=0),1000000000,IF('calcA'!$JF$13=1,0,100000000)+IF('calcA'!$IQ$13=2,SUMPRODUCT('calcA'!$D$63:$EQ$63,$DB39:$IO39,$IQ39:$OD39)*1000+SUMPRODUCT('calcA'!$D$63:$EQ$63,$DB39:$IO39+$ZQ39:$AFD39,$AFF39:$AKS39),SUMPRODUCT('calcA'!$D$63:$EQ$63,$DB39:$IO39*1001+$ZQ39:$AFD39))*100+4)</f>
        <v/>
      </c>
      <c r="BQ39">
        <f>IF(OR(AB39=1,calcA!$A$6=0),1000000000,IF('calcA'!$JF$14=1,0,100000000)+IF('calcA'!$IQ$14=2,SUMPRODUCT('calcA'!$D$64:$EQ$64,$DB39:$IO39,$IQ39:$OD39)*1000+SUMPRODUCT('calcA'!$D$64:$EQ$64,$DB39:$IO39+$ZQ39:$AFD39,$AFF39:$AKS39),SUMPRODUCT('calcA'!$D$64:$EQ$64,$DB39:$IO39*1001+$ZQ39:$AFD39))*100+5)</f>
        <v/>
      </c>
      <c r="BR39">
        <f>IF(OR(AC39=1,calcA!$A$6=0),1000000000,IF('calcA'!$JF$15=1,0,100000000)+IF('calcA'!$IQ$15=2,SUMPRODUCT('calcA'!$D$65:$EQ$65,$DB39:$IO39,$IQ39:$OD39)*1000+SUMPRODUCT('calcA'!$D$65:$EQ$65,$DB39:$IO39+$ZQ39:$AFD39,$AFF39:$AKS39),SUMPRODUCT('calcA'!$D$65:$EQ$65,$DB39:$IO39*1001+$ZQ39:$AFD39))*100+6)</f>
        <v/>
      </c>
      <c r="BS39">
        <f>IF(OR(AD39=1,calcA!$A$6=0),1000000000,IF('calcA'!$JF$16=1,0,100000000)+IF('calcA'!$IQ$16=2,SUMPRODUCT('calcA'!$D$66:$EQ$66,$DB39:$IO39,$IQ39:$OD39)*1000+SUMPRODUCT('calcA'!$D$66:$EQ$66,$DB39:$IO39+$ZQ39:$AFD39,$AFF39:$AKS39),SUMPRODUCT('calcA'!$D$66:$EQ$66,$DB39:$IO39*1001+$ZQ39:$AFD39))*100+7)</f>
        <v/>
      </c>
      <c r="BT39">
        <f>IF(OR(AE39=1,calcA!$A$6=0),1000000000,IF('calcA'!$JF$17=1,0,100000000)+IF('calcA'!$IQ$17=2,SUMPRODUCT('calcA'!$D$67:$EQ$67,$DB39:$IO39,$IQ39:$OD39)*1000+SUMPRODUCT('calcA'!$D$67:$EQ$67,$DB39:$IO39+$ZQ39:$AFD39,$AFF39:$AKS39),SUMPRODUCT('calcA'!$D$67:$EQ$67,$DB39:$IO39*1001+$ZQ39:$AFD39))*100+8)</f>
        <v/>
      </c>
      <c r="BU39">
        <f>IF(OR(AF39=1,calcA!$A$6=0),1000000000,IF('calcA'!$JF$18=1,0,100000000)+IF('calcA'!$IQ$18=2,SUMPRODUCT('calcA'!$D$68:$EQ$68,$DB39:$IO39,$IQ39:$OD39)*1000+SUMPRODUCT('calcA'!$D$68:$EQ$68,$DB39:$IO39+$ZQ39:$AFD39,$AFF39:$AKS39),SUMPRODUCT('calcA'!$D$68:$EQ$68,$DB39:$IO39*1001+$ZQ39:$AFD39))*100+9)</f>
        <v/>
      </c>
      <c r="BV39">
        <f>IF(OR(AG39=1,calcA!$A$6=0),1000000000,IF('calcA'!$JF$19=1,0,100000000)+IF('calcA'!$IQ$19=2,SUMPRODUCT('calcA'!$D$69:$EQ$69,$DB39:$IO39,$IQ39:$OD39)*1000+SUMPRODUCT('calcA'!$D$69:$EQ$69,$DB39:$IO39+$ZQ39:$AFD39,$AFF39:$AKS39),SUMPRODUCT('calcA'!$D$69:$EQ$69,$DB39:$IO39*1001+$ZQ39:$AFD39))*100+10)</f>
        <v/>
      </c>
      <c r="BW39">
        <f>IF(OR(AH39=1,calcA!$A$6=0),1000000000,IF('calcA'!$JF$20=1,0,100000000)+IF('calcA'!$IQ$20=2,SUMPRODUCT('calcA'!$D$70:$EQ$70,$DB39:$IO39,$IQ39:$OD39)*1000+SUMPRODUCT('calcA'!$D$70:$EQ$70,$DB39:$IO39+$ZQ39:$AFD39,$AFF39:$AKS39),SUMPRODUCT('calcA'!$D$70:$EQ$70,$DB39:$IO39*1001+$ZQ39:$AFD39))*100+11)</f>
        <v/>
      </c>
      <c r="BX39">
        <f>IF(OR(AI39=1,calcA!$A$6=0),1000000000,IF('calcA'!$JF$21=1,0,100000000)+IF('calcA'!$IQ$21=2,SUMPRODUCT('calcA'!$D$71:$EQ$71,$DB39:$IO39,$IQ39:$OD39)*1000+SUMPRODUCT('calcA'!$D$71:$EQ$71,$DB39:$IO39+$ZQ39:$AFD39,$AFF39:$AKS39),SUMPRODUCT('calcA'!$D$71:$EQ$71,$DB39:$IO39*1001+$ZQ39:$AFD39))*100+12)</f>
        <v/>
      </c>
      <c r="BY39">
        <f>IF(OR(AJ39=1,calcA!$A$6=0),1000000000,IF('calcA'!$JF$22=1,0,100000000)+IF('calcA'!$IQ$22=2,SUMPRODUCT('calcA'!$D$72:$EQ$72,$DB39:$IO39,$IQ39:$OD39)*1000+SUMPRODUCT('calcA'!$D$72:$EQ$72,$DB39:$IO39+$ZQ39:$AFD39,$AFF39:$AKS39),SUMPRODUCT('calcA'!$D$72:$EQ$72,$DB39:$IO39*1001+$ZQ39:$AFD39))*100+13)</f>
        <v/>
      </c>
      <c r="BZ39">
        <f>IF(OR(AK39=1,calcA!$A$6=0),1000000000,IF('calcA'!$JF$23=1,0,100000000)+IF('calcA'!$IQ$23=2,SUMPRODUCT('calcA'!$D$73:$EQ$73,$DB39:$IO39,$IQ39:$OD39)*1000+SUMPRODUCT('calcA'!$D$73:$EQ$73,$DB39:$IO39+$ZQ39:$AFD39,$AFF39:$AKS39),SUMPRODUCT('calcA'!$D$73:$EQ$73,$DB39:$IO39*1001+$ZQ39:$AFD39))*100+14)</f>
        <v/>
      </c>
      <c r="CA39">
        <f>IF(OR(AL39=1,calcA!$A$6=0),1000000000,IF('calcA'!$JF$24=1,0,100000000)+IF('calcA'!$IQ$24=2,SUMPRODUCT('calcA'!$D$74:$EQ$74,$DB39:$IO39,$IQ39:$OD39)*1000+SUMPRODUCT('calcA'!$D$74:$EQ$74,$DB39:$IO39+$ZQ39:$AFD39,$AFF39:$AKS39),SUMPRODUCT('calcA'!$D$74:$EQ$74,$DB39:$IO39*1001+$ZQ39:$AFD39))*100+15)</f>
        <v/>
      </c>
      <c r="CB39">
        <f>IF(OR(AM39=1,calcA!$A$6=0),1000000000,IF('calcA'!$JF$25=1,0,100000000)+IF('calcA'!$IQ$25=2,SUMPRODUCT('calcA'!$D$75:$EQ$75,$DB39:$IO39,$IQ39:$OD39)*1000+SUMPRODUCT('calcA'!$D$75:$EQ$75,$DB39:$IO39+$ZQ39:$AFD39,$AFF39:$AKS39),SUMPRODUCT('calcA'!$D$75:$EQ$75,$DB39:$IO39*1001+$ZQ39:$AFD39))*100+16)</f>
        <v/>
      </c>
      <c r="CC39">
        <f>IF(OR(AN39=1,calcA!$A$6=0),1000000000,IF('calcA'!$JF$26=1,0,100000000)+IF('calcA'!$IQ$26=2,SUMPRODUCT('calcA'!$D$76:$EQ$76,$DB39:$IO39,$IQ39:$OD39)*1000+SUMPRODUCT('calcA'!$D$76:$EQ$76,$DB39:$IO39+$ZQ39:$AFD39,$AFF39:$AKS39),SUMPRODUCT('calcA'!$D$76:$EQ$76,$DB39:$IO39*1001+$ZQ39:$AFD39))*100+17)</f>
        <v/>
      </c>
      <c r="CD39">
        <f>IF(OR(AO39=1,calcA!$A$6=0),1000000000,IF('calcA'!$JF$27=1,0,100000000)+IF('calcA'!$IQ$27=2,SUMPRODUCT('calcA'!$D$77:$EQ$77,$DB39:$IO39,$IQ39:$OD39)*1000+SUMPRODUCT('calcA'!$D$77:$EQ$77,$DB39:$IO39+$ZQ39:$AFD39,$AFF39:$AKS39),SUMPRODUCT('calcA'!$D$77:$EQ$77,$DB39:$IO39*1001+$ZQ39:$AFD39))*100+18)</f>
        <v/>
      </c>
      <c r="CE39">
        <f>IF(OR(AP39=1,calcA!$A$6=0),1000000000,IF('calcA'!$JF$28=1,0,100000000)+IF('calcA'!$IQ$28=2,SUMPRODUCT('calcA'!$D$78:$EQ$78,$DB39:$IO39,$IQ39:$OD39)*1000+SUMPRODUCT('calcA'!$D$78:$EQ$78,$DB39:$IO39+$ZQ39:$AFD39,$AFF39:$AKS39),SUMPRODUCT('calcA'!$D$78:$EQ$78,$DB39:$IO39*1001+$ZQ39:$AFD39))*100+19)</f>
        <v/>
      </c>
      <c r="CF39">
        <f>IF(OR(AQ39=1,calcA!$A$6=0),1000000000,IF('calcA'!$JF$29=1,0,100000000)+IF('calcA'!$IQ$29=2,SUMPRODUCT('calcA'!$D$79:$EQ$79,$DB39:$IO39,$IQ39:$OD39)*1000+SUMPRODUCT('calcA'!$D$79:$EQ$79,$DB39:$IO39+$ZQ39:$AFD39,$AFF39:$AKS39),SUMPRODUCT('calcA'!$D$79:$EQ$79,$DB39:$IO39*1001+$ZQ39:$AFD39))*100+20)</f>
        <v/>
      </c>
      <c r="CG39">
        <f>IF(OR(AR39=1,calcA!$A$6=0),1000000000,IF('calcA'!$JF$30=1,0,100000000)+IF('calcA'!$IQ$30=2,SUMPRODUCT('calcA'!$D$80:$EQ$80,$DB39:$IO39,$IQ39:$OD39)*1000+SUMPRODUCT('calcA'!$D$80:$EQ$80,$DB39:$IO39+$ZQ39:$AFD39,$AFF39:$AKS39),SUMPRODUCT('calcA'!$D$80:$EQ$80,$DB39:$IO39*1001+$ZQ39:$AFD39))*100+21)</f>
        <v/>
      </c>
      <c r="CH39">
        <f>IF(OR(AS39=1,calcA!$A$6=0),1000000000,IF('calcA'!$JF$31=1,0,100000000)+IF('calcA'!$IQ$31=2,SUMPRODUCT('calcA'!$D$81:$EQ$81,$DB39:$IO39,$IQ39:$OD39)*1000+SUMPRODUCT('calcA'!$D$81:$EQ$81,$DB39:$IO39+$ZQ39:$AFD39,$AFF39:$AKS39),SUMPRODUCT('calcA'!$D$81:$EQ$81,$DB39:$IO39*1001+$ZQ39:$AFD39))*100+22)</f>
        <v/>
      </c>
      <c r="CI39">
        <f>IF(OR(AT39=1,calcA!$A$6=0),1000000000,IF('calcA'!$JF$32=1,0,100000000)+IF('calcA'!$IQ$32=2,SUMPRODUCT('calcA'!$D$82:$EQ$82,$DB39:$IO39,$IQ39:$OD39)*1000+SUMPRODUCT('calcA'!$D$82:$EQ$82,$DB39:$IO39+$ZQ39:$AFD39,$AFF39:$AKS39),SUMPRODUCT('calcA'!$D$82:$EQ$82,$DB39:$IO39*1001+$ZQ39:$AFD39))*100+23)</f>
        <v/>
      </c>
      <c r="CJ39">
        <f>IF(OR(AU39=1,calcA!$A$6=0),1000000000,IF('calcA'!$JF$33=1,0,100000000)+IF('calcA'!$IQ$33=2,SUMPRODUCT('calcA'!$D$83:$EQ$83,$DB39:$IO39,$IQ39:$OD39)*1000+SUMPRODUCT('calcA'!$D$83:$EQ$83,$DB39:$IO39+$ZQ39:$AFD39,$AFF39:$AKS39),SUMPRODUCT('calcA'!$D$83:$EQ$83,$DB39:$IO39*1001+$ZQ39:$AFD39))*100+24)</f>
        <v/>
      </c>
      <c r="CK39">
        <f>IF(OR(AV39=1,calcA!$A$6=0),1000000000,IF('calcA'!$JF$34=1,0,100000000)+IF('calcA'!$IQ$34=2,SUMPRODUCT('calcA'!$D$84:$EQ$84,$DB39:$IO39,$IQ39:$OD39)*1000+SUMPRODUCT('calcA'!$D$84:$EQ$84,$DB39:$IO39+$ZQ39:$AFD39,$AFF39:$AKS39),SUMPRODUCT('calcA'!$D$84:$EQ$84,$DB39:$IO39*1001+$ZQ39:$AFD39))*100+25)</f>
        <v/>
      </c>
      <c r="CL39">
        <f>IF(OR(AW39=1,calcA!$A$6=0),1000000000,IF('calcA'!$JF$35=1,0,100000000)+IF('calcA'!$IQ$35=2,SUMPRODUCT('calcA'!$D$85:$EQ$85,$DB39:$IO39,$IQ39:$OD39)*1000+SUMPRODUCT('calcA'!$D$85:$EQ$85,$DB39:$IO39+$ZQ39:$AFD39,$AFF39:$AKS39),SUMPRODUCT('calcA'!$D$85:$EQ$85,$DB39:$IO39*1001+$ZQ39:$AFD39))*100+26)</f>
        <v/>
      </c>
      <c r="CM39">
        <f>IF(OR(AX39=1,calcA!$A$6=0),1000000000,IF('calcA'!$JF$36=1,0,100000000)+IF('calcA'!$IQ$36=2,SUMPRODUCT('calcA'!$D$86:$EQ$86,$DB39:$IO39,$IQ39:$OD39)*1000+SUMPRODUCT('calcA'!$D$86:$EQ$86,$DB39:$IO39+$ZQ39:$AFD39,$AFF39:$AKS39),SUMPRODUCT('calcA'!$D$86:$EQ$86,$DB39:$IO39*1001+$ZQ39:$AFD39))*100+27)</f>
        <v/>
      </c>
      <c r="CN39">
        <f>IF(OR(AY39=1,calcA!$A$6=0),1000000000,IF('calcA'!$JF$37=1,0,100000000)+IF('calcA'!$IQ$37=2,SUMPRODUCT('calcA'!$D$87:$EQ$87,$DB39:$IO39,$IQ39:$OD39)*1000+SUMPRODUCT('calcA'!$D$87:$EQ$87,$DB39:$IO39+$ZQ39:$AFD39,$AFF39:$AKS39),SUMPRODUCT('calcA'!$D$87:$EQ$87,$DB39:$IO39*1001+$ZQ39:$AFD39))*100+28)</f>
        <v/>
      </c>
      <c r="CO39">
        <f>IF(OR(AZ39=1,calcA!$A$6=0),1000000000,IF('calcA'!$JF$38=1,0,100000000)+IF('calcA'!$IQ$38=2,SUMPRODUCT('calcA'!$D$88:$EQ$88,$DB39:$IO39,$IQ39:$OD39)*1000+SUMPRODUCT('calcA'!$D$88:$EQ$88,$DB39:$IO39+$ZQ39:$AFD39,$AFF39:$AKS39),SUMPRODUCT('calcA'!$D$88:$EQ$88,$DB39:$IO39*1001+$ZQ39:$AFD39))*100+29)</f>
        <v/>
      </c>
      <c r="CP39">
        <f>IF(OR(BA39=1,calcA!$A$6=0),1000000000,IF('calcA'!$JF$39=1,0,100000000)+IF('calcA'!$IQ$39=2,SUMPRODUCT('calcA'!$D$89:$EQ$89,$DB39:$IO39,$IQ39:$OD39)*1000+SUMPRODUCT('calcA'!$D$89:$EQ$89,$DB39:$IO39+$ZQ39:$AFD39,$AFF39:$AKS39),SUMPRODUCT('calcA'!$D$89:$EQ$89,$DB39:$IO39*1001+$ZQ39:$AFD39))*100+30)</f>
        <v/>
      </c>
      <c r="CQ39">
        <f>IF(OR(BB39=1,calcA!$A$6=0),1000000000,IF('calcA'!$JF$40=1,0,100000000)+IF('calcA'!$IQ$40=2,SUMPRODUCT('calcA'!$D$90:$EQ$90,$DB39:$IO39,$IQ39:$OD39)*1000+SUMPRODUCT('calcA'!$D$90:$EQ$90,$DB39:$IO39+$ZQ39:$AFD39,$AFF39:$AKS39),SUMPRODUCT('calcA'!$D$90:$EQ$90,$DB39:$IO39*1001+$ZQ39:$AFD39))*100+31)</f>
        <v/>
      </c>
      <c r="CR39">
        <f>IF(OR(BC39=1,calcA!$A$6=0),1000000000,IF('calcA'!$JF$41=1,0,100000000)+IF('calcA'!$IQ$41=2,SUMPRODUCT('calcA'!$D$91:$EQ$91,$DB39:$IO39,$IQ39:$OD39)*1000+SUMPRODUCT('calcA'!$D$91:$EQ$91,$DB39:$IO39+$ZQ39:$AFD39,$AFF39:$AKS39),SUMPRODUCT('calcA'!$D$91:$EQ$91,$DB39:$IO39*1001+$ZQ39:$AFD39))*100+32)</f>
        <v/>
      </c>
      <c r="CS39">
        <f>IF(OR(BD39=1,calcA!$A$6=0),1000000000,IF('calcA'!$JF$42=1,0,100000000)+IF('calcA'!$IQ$42=2,SUMPRODUCT('calcA'!$D$92:$EQ$92,$DB39:$IO39,$IQ39:$OD39)*1000+SUMPRODUCT('calcA'!$D$92:$EQ$92,$DB39:$IO39+$ZQ39:$AFD39,$AFF39:$AKS39),SUMPRODUCT('calcA'!$D$92:$EQ$92,$DB39:$IO39*1001+$ZQ39:$AFD39))*100+33)</f>
        <v/>
      </c>
      <c r="CT39">
        <f>IF(OR(BE39=1,calcA!$A$6=0),1000000000,IF('calcA'!$JF$43=1,0,100000000)+IF('calcA'!$IQ$43=2,SUMPRODUCT('calcA'!$D$93:$EQ$93,$DB39:$IO39,$IQ39:$OD39)*1000+SUMPRODUCT('calcA'!$D$93:$EQ$93,$DB39:$IO39+$ZQ39:$AFD39,$AFF39:$AKS39),SUMPRODUCT('calcA'!$D$93:$EQ$93,$DB39:$IO39*1001+$ZQ39:$AFD39))*100+34)</f>
        <v/>
      </c>
      <c r="CU39">
        <f>IF(OR(BF39=1,calcA!$A$6=0),1000000000,IF('calcA'!$JF$44=1,0,100000000)+IF('calcA'!$IQ$44=2,SUMPRODUCT('calcA'!$D$94:$EQ$94,$DB39:$IO39,$IQ39:$OD39)*1000+SUMPRODUCT('calcA'!$D$94:$EQ$94,$DB39:$IO39+$ZQ39:$AFD39,$AFF39:$AKS39),SUMPRODUCT('calcA'!$D$94:$EQ$94,$DB39:$IO39*1001+$ZQ39:$AFD39))*100+35)</f>
        <v/>
      </c>
      <c r="CV39">
        <f>IF(OR(BG39=1,calcA!$A$6=0),1000000000,IF('calcA'!$JF$45=1,0,100000000)+IF('calcA'!$IQ$45=2,SUMPRODUCT('calcA'!$D$95:$EQ$95,$DB39:$IO39,$IQ39:$OD39)*1000+SUMPRODUCT('calcA'!$D$95:$EQ$95,$DB39:$IO39+$ZQ39:$AFD39,$AFF39:$AKS39),SUMPRODUCT('calcA'!$D$95:$EQ$95,$DB39:$IO39*1001+$ZQ39:$AFD39))*100+36)</f>
        <v/>
      </c>
      <c r="CW39">
        <f>IF(OR(BH39=1,calcA!$A$6=0),1000000000,IF('calcA'!$JF$46=1,0,100000000)+IF('calcA'!$IQ$46=2,SUMPRODUCT('calcA'!$D$96:$EQ$96,$DB39:$IO39,$IQ39:$OD39)*1000+SUMPRODUCT('calcA'!$D$96:$EQ$96,$DB39:$IO39+$ZQ39:$AFD39,$AFF39:$AKS39),SUMPRODUCT('calcA'!$D$96:$EQ$96,$DB39:$IO39*1001+$ZQ39:$AFD39))*100+37)</f>
        <v/>
      </c>
      <c r="CX39">
        <f>IF(OR(BI39=1,calcA!$A$6=0),1000000000,IF('calcA'!$JF$47=1,0,100000000)+IF('calcA'!$IQ$47=2,SUMPRODUCT('calcA'!$D$97:$EQ$97,$DB39:$IO39,$IQ39:$OD39)*1000+SUMPRODUCT('calcA'!$D$97:$EQ$97,$DB39:$IO39+$ZQ39:$AFD39,$AFF39:$AKS39),SUMPRODUCT('calcA'!$D$97:$EQ$97,$DB39:$IO39*1001+$ZQ39:$AFD39))*100+38)</f>
        <v/>
      </c>
      <c r="CY39">
        <f>IF(OR(BJ39=1,calcA!$A$6=0),1000000000,IF('calcA'!$JF$48=1,0,100000000)+IF('calcA'!$IQ$48=2,SUMPRODUCT('calcA'!$D$98:$EQ$98,$DB39:$IO39,$IQ39:$OD39)*1000+SUMPRODUCT('calcA'!$D$98:$EQ$98,$DB39:$IO39+$ZQ39:$AFD39,$AFF39:$AKS39),SUMPRODUCT('calcA'!$D$98:$EQ$98,$DB39:$IO39*1001+$ZQ39:$AFD39))*100+39)</f>
        <v/>
      </c>
      <c r="CZ39">
        <f>IF(OR(BK39=1,calcA!$A$6=0),1000000000,IF('calcA'!$JF$49=1,0,100000000)+IF('calcA'!$IQ$49=2,SUMPRODUCT('calcA'!$D$99:$EQ$99,$DB39:$IO39,$IQ39:$OD39)*1000+SUMPRODUCT('calcA'!$D$99:$EQ$99,$DB39:$IO39+$ZQ39:$AFD39,$AFF39:$AKS39),SUMPRODUCT('calcA'!$D$99:$EQ$99,$DB39:$IO39*1001+$ZQ39:$AFD39))*100+40)</f>
        <v/>
      </c>
      <c r="DB39">
        <f>DB38*IF(OR($C38=1,$G38=1),0,1)</f>
        <v/>
      </c>
      <c r="DC39">
        <f>DC38*IF(OR($C38=2,$G38=2),0,1)</f>
        <v/>
      </c>
      <c r="DD39">
        <f>DD38*IF(OR($C38=3,$G38=3),0,1)</f>
        <v/>
      </c>
      <c r="DE39">
        <f>DE38*IF(OR($C38=4,$G38=4),0,1)</f>
        <v/>
      </c>
      <c r="DF39">
        <f>DF38*IF(OR($C38=5,$G38=5),0,1)</f>
        <v/>
      </c>
      <c r="DG39">
        <f>DG38*IF(OR($C38=6,$G38=6),0,1)</f>
        <v/>
      </c>
      <c r="DH39">
        <f>DH38*IF(OR($C38=7,$G38=7),0,1)</f>
        <v/>
      </c>
      <c r="DI39">
        <f>DI38*IF(OR($C38=8,$G38=8),0,1)</f>
        <v/>
      </c>
      <c r="DJ39">
        <f>DJ38*IF(OR($C38=9,$G38=9),0,1)</f>
        <v/>
      </c>
      <c r="DK39">
        <f>DK38*IF(OR($C38=10,$G38=10),0,1)</f>
        <v/>
      </c>
      <c r="DL39">
        <f>DL38*IF(OR($C38=11,$G38=11),0,1)</f>
        <v/>
      </c>
      <c r="DM39">
        <f>DM38*IF(OR($C38=12,$G38=12),0,1)</f>
        <v/>
      </c>
      <c r="DN39">
        <f>DN38*IF(OR($C38=13,$G38=13),0,1)</f>
        <v/>
      </c>
      <c r="DO39">
        <f>DO38*IF(OR($C38=14,$G38=14),0,1)</f>
        <v/>
      </c>
      <c r="DP39">
        <f>DP38*IF(OR($C38=15,$G38=15),0,1)</f>
        <v/>
      </c>
      <c r="DQ39">
        <f>DQ38*IF(OR($C38=16,$G38=16),0,1)</f>
        <v/>
      </c>
      <c r="DR39">
        <f>DR38*IF(OR($C38=17,$G38=17),0,1)</f>
        <v/>
      </c>
      <c r="DS39">
        <f>DS38*IF(OR($C38=18,$G38=18),0,1)</f>
        <v/>
      </c>
      <c r="DT39">
        <f>DT38*IF(OR($C38=19,$G38=19),0,1)</f>
        <v/>
      </c>
      <c r="DU39">
        <f>DU38*IF(OR($C38=20,$G38=20),0,1)</f>
        <v/>
      </c>
      <c r="DV39">
        <f>DV38*IF(OR($C38=21,$G38=21),0,1)</f>
        <v/>
      </c>
      <c r="DW39">
        <f>DW38*IF(OR($C38=22,$G38=22),0,1)</f>
        <v/>
      </c>
      <c r="DX39">
        <f>DX38*IF(OR($C38=23,$G38=23),0,1)</f>
        <v/>
      </c>
      <c r="DY39">
        <f>DY38*IF(OR($C38=24,$G38=24),0,1)</f>
        <v/>
      </c>
      <c r="DZ39">
        <f>DZ38*IF(OR($C38=25,$G38=25),0,1)</f>
        <v/>
      </c>
      <c r="EA39">
        <f>EA38*IF(OR($C38=26,$G38=26),0,1)</f>
        <v/>
      </c>
      <c r="EB39">
        <f>EB38*IF(OR($C38=27,$G38=27),0,1)</f>
        <v/>
      </c>
      <c r="EC39">
        <f>EC38*IF(OR($C38=28,$G38=28),0,1)</f>
        <v/>
      </c>
      <c r="ED39">
        <f>ED38*IF(OR($C38=29,$G38=29),0,1)</f>
        <v/>
      </c>
      <c r="EE39">
        <f>EE38*IF(OR($C38=30,$G38=30),0,1)</f>
        <v/>
      </c>
      <c r="EF39">
        <f>EF38*IF(OR($C38=31,$G38=31),0,1)</f>
        <v/>
      </c>
      <c r="EG39">
        <f>EG38*IF(OR($C38=32,$G38=32),0,1)</f>
        <v/>
      </c>
      <c r="EH39">
        <f>EH38*IF(OR($C38=33,$G38=33),0,1)</f>
        <v/>
      </c>
      <c r="EI39">
        <f>EI38*IF(OR($C38=34,$G38=34),0,1)</f>
        <v/>
      </c>
      <c r="EJ39">
        <f>EJ38*IF(OR($C38=35,$G38=35),0,1)</f>
        <v/>
      </c>
      <c r="EK39">
        <f>EK38*IF(OR($C38=36,$G38=36),0,1)</f>
        <v/>
      </c>
      <c r="EL39">
        <f>EL38*IF(OR($C38=37,$G38=37),0,1)</f>
        <v/>
      </c>
      <c r="EM39">
        <f>EM38*IF(OR($C38=38,$G38=38),0,1)</f>
        <v/>
      </c>
      <c r="EN39">
        <f>EN38*IF(OR($C38=39,$G38=39),0,1)</f>
        <v/>
      </c>
      <c r="EO39">
        <f>EO38*IF(OR($C38=40,$G38=40),0,1)</f>
        <v/>
      </c>
      <c r="EP39">
        <f>EP38*IF(OR($C38=41,$G38=41),0,1)</f>
        <v/>
      </c>
      <c r="EQ39">
        <f>EQ38*IF(OR($C38=42,$G38=42),0,1)</f>
        <v/>
      </c>
      <c r="ER39">
        <f>ER38*IF(OR($C38=43,$G38=43),0,1)</f>
        <v/>
      </c>
      <c r="ES39">
        <f>ES38*IF(OR($C38=44,$G38=44),0,1)</f>
        <v/>
      </c>
      <c r="ET39">
        <f>ET38*IF(OR($C38=45,$G38=45),0,1)</f>
        <v/>
      </c>
      <c r="EU39">
        <f>EU38*IF(OR($C38=46,$G38=46),0,1)</f>
        <v/>
      </c>
      <c r="EV39">
        <f>EV38*IF(OR($C38=47,$G38=47),0,1)</f>
        <v/>
      </c>
      <c r="EW39">
        <f>EW38*IF(OR($C38=48,$G38=48),0,1)</f>
        <v/>
      </c>
      <c r="EX39">
        <f>EX38*IF(OR($C38=49,$G38=49),0,1)</f>
        <v/>
      </c>
      <c r="EY39">
        <f>EY38*IF(OR($C38=50,$G38=50),0,1)</f>
        <v/>
      </c>
      <c r="EZ39">
        <f>EZ38*IF(OR($C38=51,$G38=51),0,1)</f>
        <v/>
      </c>
      <c r="FA39">
        <f>FA38*IF(OR($C38=52,$G38=52),0,1)</f>
        <v/>
      </c>
      <c r="FB39">
        <f>FB38*IF(OR($C38=53,$G38=53),0,1)</f>
        <v/>
      </c>
      <c r="FC39">
        <f>FC38*IF(OR($C38=54,$G38=54),0,1)</f>
        <v/>
      </c>
      <c r="FD39">
        <f>FD38*IF(OR($C38=55,$G38=55),0,1)</f>
        <v/>
      </c>
      <c r="FE39">
        <f>FE38*IF(OR($C38=56,$G38=56),0,1)</f>
        <v/>
      </c>
      <c r="FF39">
        <f>FF38*IF(OR($C38=57,$G38=57),0,1)</f>
        <v/>
      </c>
      <c r="FG39">
        <f>FG38*IF(OR($C38=58,$G38=58),0,1)</f>
        <v/>
      </c>
      <c r="FH39">
        <f>FH38*IF(OR($C38=59,$G38=59),0,1)</f>
        <v/>
      </c>
      <c r="FI39">
        <f>FI38*IF(OR($C38=60,$G38=60),0,1)</f>
        <v/>
      </c>
      <c r="FJ39">
        <f>FJ38*IF(OR($C38=61,$G38=61),0,1)</f>
        <v/>
      </c>
      <c r="FK39">
        <f>FK38*IF(OR($C38=62,$G38=62),0,1)</f>
        <v/>
      </c>
      <c r="FL39">
        <f>FL38*IF(OR($C38=63,$G38=63),0,1)</f>
        <v/>
      </c>
      <c r="FM39">
        <f>FM38*IF(OR($C38=64,$G38=64),0,1)</f>
        <v/>
      </c>
      <c r="FN39">
        <f>FN38*IF(OR($C38=65,$G38=65),0,1)</f>
        <v/>
      </c>
      <c r="FO39">
        <f>FO38*IF(OR($C38=66,$G38=66),0,1)</f>
        <v/>
      </c>
      <c r="FP39">
        <f>FP38*IF(OR($C38=67,$G38=67),0,1)</f>
        <v/>
      </c>
      <c r="FQ39">
        <f>FQ38*IF(OR($C38=68,$G38=68),0,1)</f>
        <v/>
      </c>
      <c r="FR39">
        <f>FR38*IF(OR($C38=69,$G38=69),0,1)</f>
        <v/>
      </c>
      <c r="FS39">
        <f>FS38*IF(OR($C38=70,$G38=70),0,1)</f>
        <v/>
      </c>
      <c r="FT39">
        <f>FT38*IF(OR($C38=71,$G38=71),0,1)</f>
        <v/>
      </c>
      <c r="FU39">
        <f>FU38*IF(OR($C38=72,$G38=72),0,1)</f>
        <v/>
      </c>
      <c r="FV39">
        <f>FV38*IF(OR($C38=73,$G38=73),0,1)</f>
        <v/>
      </c>
      <c r="FW39">
        <f>FW38*IF(OR($C38=74,$G38=74),0,1)</f>
        <v/>
      </c>
      <c r="FX39">
        <f>FX38*IF(OR($C38=75,$G38=75),0,1)</f>
        <v/>
      </c>
      <c r="FY39">
        <f>FY38*IF(OR($C38=76,$G38=76),0,1)</f>
        <v/>
      </c>
      <c r="FZ39">
        <f>FZ38*IF(OR($C38=77,$G38=77),0,1)</f>
        <v/>
      </c>
      <c r="GA39">
        <f>GA38*IF(OR($C38=78,$G38=78),0,1)</f>
        <v/>
      </c>
      <c r="GB39">
        <f>GB38*IF(OR($C38=79,$G38=79),0,1)</f>
        <v/>
      </c>
      <c r="GC39">
        <f>GC38*IF(OR($C38=80,$G38=80),0,1)</f>
        <v/>
      </c>
      <c r="GD39">
        <f>GD38*IF(OR($C38=81,$G38=81),0,1)</f>
        <v/>
      </c>
      <c r="GE39">
        <f>GE38*IF(OR($C38=82,$G38=82),0,1)</f>
        <v/>
      </c>
      <c r="GF39">
        <f>GF38*IF(OR($C38=83,$G38=83),0,1)</f>
        <v/>
      </c>
      <c r="GG39">
        <f>GG38*IF(OR($C38=84,$G38=84),0,1)</f>
        <v/>
      </c>
      <c r="GH39">
        <f>GH38*IF(OR($C38=85,$G38=85),0,1)</f>
        <v/>
      </c>
      <c r="GI39">
        <f>GI38*IF(OR($C38=86,$G38=86),0,1)</f>
        <v/>
      </c>
      <c r="GJ39">
        <f>GJ38*IF(OR($C38=87,$G38=87),0,1)</f>
        <v/>
      </c>
      <c r="GK39">
        <f>GK38*IF(OR($C38=88,$G38=88),0,1)</f>
        <v/>
      </c>
      <c r="GL39">
        <f>GL38*IF(OR($C38=89,$G38=89),0,1)</f>
        <v/>
      </c>
      <c r="GM39">
        <f>GM38*IF(OR($C38=90,$G38=90),0,1)</f>
        <v/>
      </c>
      <c r="GN39">
        <f>GN38*IF(OR($C38=91,$G38=91),0,1)</f>
        <v/>
      </c>
      <c r="GO39">
        <f>GO38*IF(OR($C38=92,$G38=92),0,1)</f>
        <v/>
      </c>
      <c r="GP39">
        <f>GP38*IF(OR($C38=93,$G38=93),0,1)</f>
        <v/>
      </c>
      <c r="GQ39">
        <f>GQ38*IF(OR($C38=94,$G38=94),0,1)</f>
        <v/>
      </c>
      <c r="GR39">
        <f>GR38*IF(OR($C38=95,$G38=95),0,1)</f>
        <v/>
      </c>
      <c r="GS39">
        <f>GS38*IF(OR($C38=96,$G38=96),0,1)</f>
        <v/>
      </c>
      <c r="GT39">
        <f>GT38*IF(OR($C38=97,$G38=97),0,1)</f>
        <v/>
      </c>
      <c r="GU39">
        <f>GU38*IF(OR($C38=98,$G38=98),0,1)</f>
        <v/>
      </c>
      <c r="GV39">
        <f>GV38*IF(OR($C38=99,$G38=99),0,1)</f>
        <v/>
      </c>
      <c r="GW39">
        <f>GW38*IF(OR($C38=100,$G38=100),0,1)</f>
        <v/>
      </c>
      <c r="GX39">
        <f>GX38*IF(OR($C38=101,$G38=101),0,1)</f>
        <v/>
      </c>
      <c r="GY39">
        <f>GY38*IF(OR($C38=102,$G38=102),0,1)</f>
        <v/>
      </c>
      <c r="GZ39">
        <f>GZ38*IF(OR($C38=103,$G38=103),0,1)</f>
        <v/>
      </c>
      <c r="HA39">
        <f>HA38*IF(OR($C38=104,$G38=104),0,1)</f>
        <v/>
      </c>
      <c r="HB39">
        <f>HB38*IF(OR($C38=105,$G38=105),0,1)</f>
        <v/>
      </c>
      <c r="HC39">
        <f>HC38*IF(OR($C38=106,$G38=106),0,1)</f>
        <v/>
      </c>
      <c r="HD39">
        <f>HD38*IF(OR($C38=107,$G38=107),0,1)</f>
        <v/>
      </c>
      <c r="HE39">
        <f>HE38*IF(OR($C38=108,$G38=108),0,1)</f>
        <v/>
      </c>
      <c r="HF39">
        <f>HF38*IF(OR($C38=109,$G38=109),0,1)</f>
        <v/>
      </c>
      <c r="HG39">
        <f>HG38*IF(OR($C38=110,$G38=110),0,1)</f>
        <v/>
      </c>
      <c r="HH39">
        <f>HH38*IF(OR($C38=111,$G38=111),0,1)</f>
        <v/>
      </c>
      <c r="HI39">
        <f>HI38*IF(OR($C38=112,$G38=112),0,1)</f>
        <v/>
      </c>
      <c r="HJ39">
        <f>HJ38*IF(OR($C38=113,$G38=113),0,1)</f>
        <v/>
      </c>
      <c r="HK39">
        <f>HK38*IF(OR($C38=114,$G38=114),0,1)</f>
        <v/>
      </c>
      <c r="HL39">
        <f>HL38*IF(OR($C38=115,$G38=115),0,1)</f>
        <v/>
      </c>
      <c r="HM39">
        <f>HM38*IF(OR($C38=116,$G38=116),0,1)</f>
        <v/>
      </c>
      <c r="HN39">
        <f>HN38*IF(OR($C38=117,$G38=117),0,1)</f>
        <v/>
      </c>
      <c r="HO39">
        <f>HO38*IF(OR($C38=118,$G38=118),0,1)</f>
        <v/>
      </c>
      <c r="HP39">
        <f>HP38*IF(OR($C38=119,$G38=119),0,1)</f>
        <v/>
      </c>
      <c r="HQ39">
        <f>HQ38*IF(OR($C38=120,$G38=120),0,1)</f>
        <v/>
      </c>
      <c r="HR39">
        <f>HR38*IF(OR($C38=121,$G38=121),0,1)</f>
        <v/>
      </c>
      <c r="HS39">
        <f>HS38*IF(OR($C38=122,$G38=122),0,1)</f>
        <v/>
      </c>
      <c r="HT39">
        <f>HT38*IF(OR($C38=123,$G38=123),0,1)</f>
        <v/>
      </c>
      <c r="HU39">
        <f>HU38*IF(OR($C38=124,$G38=124),0,1)</f>
        <v/>
      </c>
      <c r="HV39">
        <f>HV38*IF(OR($C38=125,$G38=125),0,1)</f>
        <v/>
      </c>
      <c r="HW39">
        <f>HW38*IF(OR($C38=126,$G38=126),0,1)</f>
        <v/>
      </c>
      <c r="HX39">
        <f>HX38*IF(OR($C38=127,$G38=127),0,1)</f>
        <v/>
      </c>
      <c r="HY39">
        <f>HY38*IF(OR($C38=128,$G38=128),0,1)</f>
        <v/>
      </c>
      <c r="HZ39">
        <f>HZ38*IF(OR($C38=129,$G38=129),0,1)</f>
        <v/>
      </c>
      <c r="IA39">
        <f>IA38*IF(OR($C38=130,$G38=130),0,1)</f>
        <v/>
      </c>
      <c r="IB39">
        <f>IB38*IF(OR($C38=131,$G38=131),0,1)</f>
        <v/>
      </c>
      <c r="IC39">
        <f>IC38*IF(OR($C38=132,$G38=132),0,1)</f>
        <v/>
      </c>
      <c r="ID39">
        <f>ID38*IF(OR($C38=133,$G38=133),0,1)</f>
        <v/>
      </c>
      <c r="IE39">
        <f>IE38*IF(OR($C38=134,$G38=134),0,1)</f>
        <v/>
      </c>
      <c r="IF39">
        <f>IF38*IF(OR($C38=135,$G38=135),0,1)</f>
        <v/>
      </c>
      <c r="IG39">
        <f>IG38*IF(OR($C38=136,$G38=136),0,1)</f>
        <v/>
      </c>
      <c r="IH39">
        <f>IH38*IF(OR($C38=137,$G38=137),0,1)</f>
        <v/>
      </c>
      <c r="II39">
        <f>II38*IF(OR($C38=138,$G38=138),0,1)</f>
        <v/>
      </c>
      <c r="IJ39">
        <f>IJ38*IF(OR($C38=139,$G38=139),0,1)</f>
        <v/>
      </c>
      <c r="IK39">
        <f>IK38*IF(OR($C38=140,$G38=140),0,1)</f>
        <v/>
      </c>
      <c r="IL39">
        <f>IL38*IF(OR($C38=141,$G38=141),0,1)</f>
        <v/>
      </c>
      <c r="IM39">
        <f>IM38*IF(OR($C38=142,$G38=142),0,1)</f>
        <v/>
      </c>
      <c r="IN39">
        <f>IN38*IF(OR($C38=143,$G38=143),0,1)</f>
        <v/>
      </c>
      <c r="IO39">
        <f>IO38*IF(OR($C38=144,$G38=144),0,1)</f>
        <v/>
      </c>
      <c r="IQ39">
        <f>IF('calcA'!D$106=1,DC39,1)</f>
        <v/>
      </c>
      <c r="IR39">
        <f>IF('calcA'!E$106=1,DD39,1)</f>
        <v/>
      </c>
      <c r="IS39">
        <f>IF('calcA'!F$106=1,DE39,1)</f>
        <v/>
      </c>
      <c r="IT39">
        <f>IF('calcA'!G$106=1,DF39,1)</f>
        <v/>
      </c>
      <c r="IU39">
        <f>IF('calcA'!H$106=1,DG39,1)</f>
        <v/>
      </c>
      <c r="IV39">
        <f>IF('calcA'!I$106=1,DH39,1)</f>
        <v/>
      </c>
      <c r="IW39">
        <f>IF('calcA'!J$106=1,DI39,1)</f>
        <v/>
      </c>
      <c r="IX39">
        <f>IF('calcA'!K$106=1,DJ39,1)</f>
        <v/>
      </c>
      <c r="IY39">
        <f>IF('calcA'!L$106=1,DK39,1)</f>
        <v/>
      </c>
      <c r="IZ39">
        <f>IF('calcA'!M$106=1,DL39,1)</f>
        <v/>
      </c>
      <c r="JA39">
        <f>IF('calcA'!N$106=1,DM39,1)</f>
        <v/>
      </c>
      <c r="JB39">
        <f>IF('calcA'!O$106=1,DN39,1)</f>
        <v/>
      </c>
      <c r="JC39">
        <f>IF('calcA'!P$106=1,DO39,1)</f>
        <v/>
      </c>
      <c r="JD39">
        <f>IF('calcA'!Q$106=1,DP39,1)</f>
        <v/>
      </c>
      <c r="JE39">
        <f>IF('calcA'!R$106=1,DQ39,1)</f>
        <v/>
      </c>
      <c r="JF39">
        <f>IF('calcA'!S$106=1,DR39,1)</f>
        <v/>
      </c>
      <c r="JG39">
        <f>IF('calcA'!T$106=1,DS39,1)</f>
        <v/>
      </c>
      <c r="JH39">
        <f>IF('calcA'!U$106=1,DT39,1)</f>
        <v/>
      </c>
      <c r="JI39">
        <f>IF('calcA'!V$106=1,DU39,1)</f>
        <v/>
      </c>
      <c r="JJ39">
        <f>IF('calcA'!W$106=1,DV39,1)</f>
        <v/>
      </c>
      <c r="JK39">
        <f>IF('calcA'!X$106=1,DW39,1)</f>
        <v/>
      </c>
      <c r="JL39">
        <f>IF('calcA'!Y$106=1,DX39,1)</f>
        <v/>
      </c>
      <c r="JM39">
        <f>IF('calcA'!Z$106=1,DY39,1)</f>
        <v/>
      </c>
      <c r="JN39">
        <f>IF('calcA'!AA$106=1,DZ39,1)</f>
        <v/>
      </c>
      <c r="JO39">
        <f>IF('calcA'!AB$106=1,EA39,1)</f>
        <v/>
      </c>
      <c r="JP39">
        <f>IF('calcA'!AC$106=1,EB39,1)</f>
        <v/>
      </c>
      <c r="JQ39">
        <f>IF('calcA'!AD$106=1,EC39,1)</f>
        <v/>
      </c>
      <c r="JR39">
        <f>IF('calcA'!AE$106=1,ED39,1)</f>
        <v/>
      </c>
      <c r="JS39">
        <f>IF('calcA'!AF$106=1,EE39,1)</f>
        <v/>
      </c>
      <c r="JT39">
        <f>IF('calcA'!AG$106=1,EF39,1)</f>
        <v/>
      </c>
      <c r="JU39">
        <f>IF('calcA'!AH$106=1,EG39,1)</f>
        <v/>
      </c>
      <c r="JV39">
        <f>IF('calcA'!AI$106=1,EH39,1)</f>
        <v/>
      </c>
      <c r="JW39">
        <f>IF('calcA'!AJ$106=1,EI39,1)</f>
        <v/>
      </c>
      <c r="JX39">
        <f>IF('calcA'!AK$106=1,EJ39,1)</f>
        <v/>
      </c>
      <c r="JY39">
        <f>IF('calcA'!AL$106=1,EK39,1)</f>
        <v/>
      </c>
      <c r="JZ39">
        <f>IF('calcA'!AM$106=1,EL39,1)</f>
        <v/>
      </c>
      <c r="KA39">
        <f>IF('calcA'!AN$106=1,EM39,1)</f>
        <v/>
      </c>
      <c r="KB39">
        <f>IF('calcA'!AO$106=1,EN39,1)</f>
        <v/>
      </c>
      <c r="KC39">
        <f>IF('calcA'!AP$106=1,EO39,1)</f>
        <v/>
      </c>
      <c r="KD39">
        <f>IF('calcA'!AQ$106=1,EP39,1)</f>
        <v/>
      </c>
      <c r="KE39">
        <f>IF('calcA'!AR$106=1,EQ39,1)</f>
        <v/>
      </c>
      <c r="KF39">
        <f>IF('calcA'!AS$106=1,ER39,1)</f>
        <v/>
      </c>
      <c r="KG39">
        <f>IF('calcA'!AT$106=1,ES39,1)</f>
        <v/>
      </c>
      <c r="KH39">
        <f>IF('calcA'!AU$106=1,ET39,1)</f>
        <v/>
      </c>
      <c r="KI39">
        <f>IF('calcA'!AV$106=1,EU39,1)</f>
        <v/>
      </c>
      <c r="KJ39">
        <f>IF('calcA'!AW$106=1,EV39,1)</f>
        <v/>
      </c>
      <c r="KK39">
        <f>IF('calcA'!AX$106=1,EW39,1)</f>
        <v/>
      </c>
      <c r="KL39">
        <f>IF('calcA'!AY$106=1,EX39,1)</f>
        <v/>
      </c>
      <c r="KM39">
        <f>IF('calcA'!AZ$106=1,EY39,1)</f>
        <v/>
      </c>
      <c r="KN39">
        <f>IF('calcA'!BA$106=1,EZ39,1)</f>
        <v/>
      </c>
      <c r="KO39">
        <f>IF('calcA'!BB$106=1,FA39,1)</f>
        <v/>
      </c>
      <c r="KP39">
        <f>IF('calcA'!BC$106=1,FB39,1)</f>
        <v/>
      </c>
      <c r="KQ39">
        <f>IF('calcA'!BD$106=1,FC39,1)</f>
        <v/>
      </c>
      <c r="KR39">
        <f>IF('calcA'!BE$106=1,FD39,1)</f>
        <v/>
      </c>
      <c r="KS39">
        <f>IF('calcA'!BF$106=1,FE39,1)</f>
        <v/>
      </c>
      <c r="KT39">
        <f>IF('calcA'!BG$106=1,FF39,1)</f>
        <v/>
      </c>
      <c r="KU39">
        <f>IF('calcA'!BH$106=1,FG39,1)</f>
        <v/>
      </c>
      <c r="KV39">
        <f>IF('calcA'!BI$106=1,FH39,1)</f>
        <v/>
      </c>
      <c r="KW39">
        <f>IF('calcA'!BJ$106=1,FI39,1)</f>
        <v/>
      </c>
      <c r="KX39">
        <f>IF('calcA'!BK$106=1,FJ39,1)</f>
        <v/>
      </c>
      <c r="KY39">
        <f>IF('calcA'!BL$106=1,FK39,1)</f>
        <v/>
      </c>
      <c r="KZ39">
        <f>IF('calcA'!BM$106=1,FL39,1)</f>
        <v/>
      </c>
      <c r="LA39">
        <f>IF('calcA'!BN$106=1,FM39,1)</f>
        <v/>
      </c>
      <c r="LB39">
        <f>IF('calcA'!BO$106=1,FN39,1)</f>
        <v/>
      </c>
      <c r="LC39">
        <f>IF('calcA'!BP$106=1,FO39,1)</f>
        <v/>
      </c>
      <c r="LD39">
        <f>IF('calcA'!BQ$106=1,FP39,1)</f>
        <v/>
      </c>
      <c r="LE39">
        <f>IF('calcA'!BR$106=1,FQ39,1)</f>
        <v/>
      </c>
      <c r="LF39">
        <f>IF('calcA'!BS$106=1,FR39,1)</f>
        <v/>
      </c>
      <c r="LG39">
        <f>IF('calcA'!BT$106=1,FS39,1)</f>
        <v/>
      </c>
      <c r="LH39">
        <f>IF('calcA'!BU$106=1,FT39,1)</f>
        <v/>
      </c>
      <c r="LI39">
        <f>IF('calcA'!BV$106=1,FU39,1)</f>
        <v/>
      </c>
      <c r="LJ39">
        <f>IF('calcA'!BW$106=1,FV39,1)</f>
        <v/>
      </c>
      <c r="LK39">
        <f>IF('calcA'!BX$106=1,FW39,1)</f>
        <v/>
      </c>
      <c r="LL39">
        <f>IF('calcA'!BY$106=1,FX39,1)</f>
        <v/>
      </c>
      <c r="LM39">
        <f>IF('calcA'!BZ$106=1,FY39,1)</f>
        <v/>
      </c>
      <c r="LN39">
        <f>IF('calcA'!CA$106=1,FZ39,1)</f>
        <v/>
      </c>
      <c r="LO39">
        <f>IF('calcA'!CB$106=1,GA39,1)</f>
        <v/>
      </c>
      <c r="LP39">
        <f>IF('calcA'!CC$106=1,GB39,1)</f>
        <v/>
      </c>
      <c r="LQ39">
        <f>IF('calcA'!CD$106=1,GC39,1)</f>
        <v/>
      </c>
      <c r="LR39">
        <f>IF('calcA'!CE$106=1,GD39,1)</f>
        <v/>
      </c>
      <c r="LS39">
        <f>IF('calcA'!CF$106=1,GE39,1)</f>
        <v/>
      </c>
      <c r="LT39">
        <f>IF('calcA'!CG$106=1,GF39,1)</f>
        <v/>
      </c>
      <c r="LU39">
        <f>IF('calcA'!CH$106=1,GG39,1)</f>
        <v/>
      </c>
      <c r="LV39">
        <f>IF('calcA'!CI$106=1,GH39,1)</f>
        <v/>
      </c>
      <c r="LW39">
        <f>IF('calcA'!CJ$106=1,GI39,1)</f>
        <v/>
      </c>
      <c r="LX39">
        <f>IF('calcA'!CK$106=1,GJ39,1)</f>
        <v/>
      </c>
      <c r="LY39">
        <f>IF('calcA'!CL$106=1,GK39,1)</f>
        <v/>
      </c>
      <c r="LZ39">
        <f>IF('calcA'!CM$106=1,GL39,1)</f>
        <v/>
      </c>
      <c r="MA39">
        <f>IF('calcA'!CN$106=1,GM39,1)</f>
        <v/>
      </c>
      <c r="MB39">
        <f>IF('calcA'!CO$106=1,GN39,1)</f>
        <v/>
      </c>
      <c r="MC39">
        <f>IF('calcA'!CP$106=1,GO39,1)</f>
        <v/>
      </c>
      <c r="MD39">
        <f>IF('calcA'!CQ$106=1,GP39,1)</f>
        <v/>
      </c>
      <c r="ME39">
        <f>IF('calcA'!CR$106=1,GQ39,1)</f>
        <v/>
      </c>
      <c r="MF39">
        <f>IF('calcA'!CS$106=1,GR39,1)</f>
        <v/>
      </c>
      <c r="MG39">
        <f>IF('calcA'!CT$106=1,GS39,1)</f>
        <v/>
      </c>
      <c r="MH39">
        <f>IF('calcA'!CU$106=1,GT39,1)</f>
        <v/>
      </c>
      <c r="MI39">
        <f>IF('calcA'!CV$106=1,GU39,1)</f>
        <v/>
      </c>
      <c r="MJ39">
        <f>IF('calcA'!CW$106=1,GV39,1)</f>
        <v/>
      </c>
      <c r="MK39">
        <f>IF('calcA'!CX$106=1,GW39,1)</f>
        <v/>
      </c>
      <c r="ML39">
        <f>IF('calcA'!CY$106=1,GX39,1)</f>
        <v/>
      </c>
      <c r="MM39">
        <f>IF('calcA'!CZ$106=1,GY39,1)</f>
        <v/>
      </c>
      <c r="MN39">
        <f>IF('calcA'!DA$106=1,GZ39,1)</f>
        <v/>
      </c>
      <c r="MO39">
        <f>IF('calcA'!DB$106=1,HA39,1)</f>
        <v/>
      </c>
      <c r="MP39">
        <f>IF('calcA'!DC$106=1,HB39,1)</f>
        <v/>
      </c>
      <c r="MQ39">
        <f>IF('calcA'!DD$106=1,HC39,1)</f>
        <v/>
      </c>
      <c r="MR39">
        <f>IF('calcA'!DE$106=1,HD39,1)</f>
        <v/>
      </c>
      <c r="MS39">
        <f>IF('calcA'!DF$106=1,HE39,1)</f>
        <v/>
      </c>
      <c r="MT39">
        <f>IF('calcA'!DG$106=1,HF39,1)</f>
        <v/>
      </c>
      <c r="MU39">
        <f>IF('calcA'!DH$106=1,HG39,1)</f>
        <v/>
      </c>
      <c r="MV39">
        <f>IF('calcA'!DI$106=1,HH39,1)</f>
        <v/>
      </c>
      <c r="MW39">
        <f>IF('calcA'!DJ$106=1,HI39,1)</f>
        <v/>
      </c>
      <c r="MX39">
        <f>IF('calcA'!DK$106=1,HJ39,1)</f>
        <v/>
      </c>
      <c r="MY39">
        <f>IF('calcA'!DL$106=1,HK39,1)</f>
        <v/>
      </c>
      <c r="MZ39">
        <f>IF('calcA'!DM$106=1,HL39,1)</f>
        <v/>
      </c>
      <c r="NA39">
        <f>IF('calcA'!DN$106=1,HM39,1)</f>
        <v/>
      </c>
      <c r="NB39">
        <f>IF('calcA'!DO$106=1,HN39,1)</f>
        <v/>
      </c>
      <c r="NC39">
        <f>IF('calcA'!DP$106=1,HO39,1)</f>
        <v/>
      </c>
      <c r="ND39">
        <f>IF('calcA'!DQ$106=1,HP39,1)</f>
        <v/>
      </c>
      <c r="NE39">
        <f>IF('calcA'!DR$106=1,HQ39,1)</f>
        <v/>
      </c>
      <c r="NF39">
        <f>IF('calcA'!DS$106=1,HR39,1)</f>
        <v/>
      </c>
      <c r="NG39">
        <f>IF('calcA'!DT$106=1,HS39,1)</f>
        <v/>
      </c>
      <c r="NH39">
        <f>IF('calcA'!DU$106=1,HT39,1)</f>
        <v/>
      </c>
      <c r="NI39">
        <f>IF('calcA'!DV$106=1,HU39,1)</f>
        <v/>
      </c>
      <c r="NJ39">
        <f>IF('calcA'!DW$106=1,HV39,1)</f>
        <v/>
      </c>
      <c r="NK39">
        <f>IF('calcA'!DX$106=1,HW39,1)</f>
        <v/>
      </c>
      <c r="NL39">
        <f>IF('calcA'!DY$106=1,HX39,1)</f>
        <v/>
      </c>
      <c r="NM39">
        <f>IF('calcA'!DZ$106=1,HY39,1)</f>
        <v/>
      </c>
      <c r="NN39">
        <f>IF('calcA'!EA$106=1,HZ39,1)</f>
        <v/>
      </c>
      <c r="NO39">
        <f>IF('calcA'!EB$106=1,IA39,1)</f>
        <v/>
      </c>
      <c r="NP39">
        <f>IF('calcA'!EC$106=1,IB39,1)</f>
        <v/>
      </c>
      <c r="NQ39">
        <f>IF('calcA'!ED$106=1,IC39,1)</f>
        <v/>
      </c>
      <c r="NR39">
        <f>IF('calcA'!EE$106=1,ID39,1)</f>
        <v/>
      </c>
      <c r="NS39">
        <f>IF('calcA'!EF$106=1,IE39,1)</f>
        <v/>
      </c>
      <c r="NT39">
        <f>IF('calcA'!EG$106=1,IF39,1)</f>
        <v/>
      </c>
      <c r="NU39">
        <f>IF('calcA'!EH$106=1,IG39,1)</f>
        <v/>
      </c>
      <c r="NV39">
        <f>IF('calcA'!EI$106=1,IH39,1)</f>
        <v/>
      </c>
      <c r="NW39">
        <f>IF('calcA'!EJ$106=1,II39,1)</f>
        <v/>
      </c>
      <c r="NX39">
        <f>IF('calcA'!EK$106=1,IJ39,1)</f>
        <v/>
      </c>
      <c r="NY39">
        <f>IF('calcA'!EL$106=1,IK39,1)</f>
        <v/>
      </c>
      <c r="NZ39">
        <f>IF('calcA'!EM$106=1,IL39,1)</f>
        <v/>
      </c>
      <c r="OA39">
        <f>IF('calcA'!EN$106=1,IM39,1)</f>
        <v/>
      </c>
      <c r="OB39">
        <f>IF('calcA'!EO$106=1,IN39,1)</f>
        <v/>
      </c>
      <c r="OC39">
        <f>IF('calcA'!EP$106=1,IO39,1)</f>
        <v/>
      </c>
      <c r="OD39" t="n">
        <v>1</v>
      </c>
      <c r="OF39">
        <f>IF($B39=0,1000000000,IF(INDEX('calcA'!$D$60:$EQ$99,$B39,1)*IF($W39=1,DB39+ZQ39,DB39)=1,IF(AND($E39=2,IF($W39=1,AFF39,IQ39)=0),1000000000,IF($V39=1,INDEX('calcA'!$D$130:$EQ$169,$B39,1)+IF(AND($E39=1,IQ39=0),25,0),INDEX('calcA'!D$110:D$114,$F39+1)+IF(AND($E39=1,IQ39=0),1000,0)+IF($H39=1,INDEX('calcA'!$D$180:$EQ$219,$B39,1)*500,0)-IF(AND($U39=1,'calcA'!D$117=1,DC39=0),300,0))),1000000000))</f>
        <v/>
      </c>
      <c r="OG39">
        <f>IF($B39=0,1000000000,IF(INDEX('calcA'!$D$60:$EQ$99,$B39,2)*IF($W39=1,DC39+ZR39,DC39)=1,IF(AND($E39=2,IF($W39=1,AFG39,IR39)=0),1000000000,IF($V39=1,INDEX('calcA'!$D$130:$EQ$169,$B39,2)+IF(AND($E39=1,IR39=0),25,0),INDEX('calcA'!E$110:E$114,$F39+1)+IF(AND($E39=1,IR39=0),1000,0)+IF($H39=1,INDEX('calcA'!$D$180:$EQ$219,$B39,2)*500,0)-IF(AND('calcA'!D$117=1,UB39&gt;0),300,0)-IF(AND($U39=1,'calcA'!E$117=1,DD39=0),300,0))),1000000000))</f>
        <v/>
      </c>
      <c r="OH39">
        <f>IF($B39=0,1000000000,IF(INDEX('calcA'!$D$60:$EQ$99,$B39,3)*IF($W39=1,DD39+ZS39,DD39)=1,IF(AND($E39=2,IF($W39=1,AFH39,IS39)=0),1000000000,IF($V39=1,INDEX('calcA'!$D$130:$EQ$169,$B39,3)+IF(AND($E39=1,IS39=0),25,0),INDEX('calcA'!F$110:F$114,$F39+1)+IF(AND($E39=1,IS39=0),1000,0)+IF($H39=1,INDEX('calcA'!$D$180:$EQ$219,$B39,3)*500,0)-IF(AND('calcA'!E$117=1,UC39&gt;0),300,0)-IF(AND($U39=1,'calcA'!F$117=1,DE39=0),300,0))),1000000000))</f>
        <v/>
      </c>
      <c r="OI39">
        <f>IF($B39=0,1000000000,IF(INDEX('calcA'!$D$60:$EQ$99,$B39,4)*IF($W39=1,DE39+ZT39,DE39)=1,IF(AND($E39=2,IF($W39=1,AFI39,IT39)=0),1000000000,IF($V39=1,INDEX('calcA'!$D$130:$EQ$169,$B39,4)+IF(AND($E39=1,IT39=0),25,0),INDEX('calcA'!G$110:G$114,$F39+1)+IF(AND($E39=1,IT39=0),1000,0)+IF($H39=1,INDEX('calcA'!$D$180:$EQ$219,$B39,4)*500,0)-IF(AND('calcA'!F$117=1,UD39&gt;0),300,0)-IF(AND($U39=1,'calcA'!G$117=1,DF39=0),300,0))),1000000000))</f>
        <v/>
      </c>
      <c r="OJ39">
        <f>IF($B39=0,1000000000,IF(INDEX('calcA'!$D$60:$EQ$99,$B39,5)*IF($W39=1,DF39+ZU39,DF39)=1,IF(AND($E39=2,IF($W39=1,AFJ39,IU39)=0),1000000000,IF($V39=1,INDEX('calcA'!$D$130:$EQ$169,$B39,5)+IF(AND($E39=1,IU39=0),25,0),INDEX('calcA'!H$110:H$114,$F39+1)+IF(AND($E39=1,IU39=0),1000,0)+IF($H39=1,INDEX('calcA'!$D$180:$EQ$219,$B39,5)*500,0)-IF(AND('calcA'!G$117=1,UE39&gt;0),300,0)-IF(AND($U39=1,'calcA'!H$117=1,DG39=0),300,0))),1000000000))</f>
        <v/>
      </c>
      <c r="OK39">
        <f>IF($B39=0,1000000000,IF(INDEX('calcA'!$D$60:$EQ$99,$B39,6)*IF($W39=1,DG39+ZV39,DG39)=1,IF(AND($E39=2,IF($W39=1,AFK39,IV39)=0),1000000000,IF($V39=1,INDEX('calcA'!$D$130:$EQ$169,$B39,6)+IF(AND($E39=1,IV39=0),25,0),INDEX('calcA'!I$110:I$114,$F39+1)+IF(AND($E39=1,IV39=0),1000,0)+IF($H39=1,INDEX('calcA'!$D$180:$EQ$219,$B39,6)*500,0)-IF(AND('calcA'!H$117=1,UF39&gt;0),300,0)-IF(AND($U39=1,'calcA'!I$117=1,DH39=0),300,0))),1000000000))</f>
        <v/>
      </c>
      <c r="OL39">
        <f>IF($B39=0,1000000000,IF(INDEX('calcA'!$D$60:$EQ$99,$B39,7)*IF($W39=1,DH39+ZW39,DH39)=1,IF(AND($E39=2,IF($W39=1,AFL39,IW39)=0),1000000000,IF($V39=1,INDEX('calcA'!$D$130:$EQ$169,$B39,7)+IF(AND($E39=1,IW39=0),25,0),INDEX('calcA'!J$110:J$114,$F39+1)+IF(AND($E39=1,IW39=0),1000,0)+IF($H39=1,INDEX('calcA'!$D$180:$EQ$219,$B39,7)*500,0)-IF(AND('calcA'!I$117=1,UG39&gt;0),300,0)-IF(AND($U39=1,'calcA'!J$117=1,DI39=0),300,0))),1000000000))</f>
        <v/>
      </c>
      <c r="OM39">
        <f>IF($B39=0,1000000000,IF(INDEX('calcA'!$D$60:$EQ$99,$B39,8)*IF($W39=1,DI39+ZX39,DI39)=1,IF(AND($E39=2,IF($W39=1,AFM39,IX39)=0),1000000000,IF($V39=1,INDEX('calcA'!$D$130:$EQ$169,$B39,8)+IF(AND($E39=1,IX39=0),25,0),INDEX('calcA'!K$110:K$114,$F39+1)+IF(AND($E39=1,IX39=0),1000,0)+IF($H39=1,INDEX('calcA'!$D$180:$EQ$219,$B39,8)*500,0)-IF(AND('calcA'!J$117=1,UH39&gt;0),300,0)-IF(AND($U39=1,'calcA'!K$117=1,DJ39=0),300,0))),1000000000))</f>
        <v/>
      </c>
      <c r="ON39">
        <f>IF($B39=0,1000000000,IF(INDEX('calcA'!$D$60:$EQ$99,$B39,9)*IF($W39=1,DJ39+ZY39,DJ39)=1,IF(AND($E39=2,IF($W39=1,AFN39,IY39)=0),1000000000,IF($V39=1,INDEX('calcA'!$D$130:$EQ$169,$B39,9)+IF(AND($E39=1,IY39=0),25,0),INDEX('calcA'!L$110:L$114,$F39+1)+IF(AND($E39=1,IY39=0),1000,0)+IF($H39=1,INDEX('calcA'!$D$180:$EQ$219,$B39,9)*500,0)-IF(AND('calcA'!K$117=1,UI39&gt;0),300,0)-IF(AND($U39=1,'calcA'!L$117=1,DK39=0),300,0))),1000000000))</f>
        <v/>
      </c>
      <c r="OO39">
        <f>IF($B39=0,1000000000,IF(INDEX('calcA'!$D$60:$EQ$99,$B39,10)*IF($W39=1,DK39+ZZ39,DK39)=1,IF(AND($E39=2,IF($W39=1,AFO39,IZ39)=0),1000000000,IF($V39=1,INDEX('calcA'!$D$130:$EQ$169,$B39,10)+IF(AND($E39=1,IZ39=0),25,0),INDEX('calcA'!M$110:M$114,$F39+1)+IF(AND($E39=1,IZ39=0),1000,0)+IF($H39=1,INDEX('calcA'!$D$180:$EQ$219,$B39,10)*500,0)-IF(AND('calcA'!L$117=1,UJ39&gt;0),300,0)-IF(AND($U39=1,'calcA'!M$117=1,DL39=0),300,0))),1000000000))</f>
        <v/>
      </c>
      <c r="OP39">
        <f>IF($B39=0,1000000000,IF(INDEX('calcA'!$D$60:$EQ$99,$B39,11)*IF($W39=1,DL39+AAA39,DL39)=1,IF(AND($E39=2,IF($W39=1,AFP39,JA39)=0),1000000000,IF($V39=1,INDEX('calcA'!$D$130:$EQ$169,$B39,11)+IF(AND($E39=1,JA39=0),25,0),INDEX('calcA'!N$110:N$114,$F39+1)+IF(AND($E39=1,JA39=0),1000,0)+IF($H39=1,INDEX('calcA'!$D$180:$EQ$219,$B39,11)*500,0)-IF(AND('calcA'!M$117=1,UK39&gt;0),300,0)-IF(AND($U39=1,'calcA'!N$117=1,DM39=0),300,0))),1000000000))</f>
        <v/>
      </c>
      <c r="OQ39">
        <f>IF($B39=0,1000000000,IF(INDEX('calcA'!$D$60:$EQ$99,$B39,12)*IF($W39=1,DM39+AAB39,DM39)=1,IF(AND($E39=2,IF($W39=1,AFQ39,JB39)=0),1000000000,IF($V39=1,INDEX('calcA'!$D$130:$EQ$169,$B39,12)+IF(AND($E39=1,JB39=0),25,0),INDEX('calcA'!O$110:O$114,$F39+1)+IF(AND($E39=1,JB39=0),1000,0)+IF($H39=1,INDEX('calcA'!$D$180:$EQ$219,$B39,12)*500,0)-IF(AND('calcA'!N$117=1,UL39&gt;0),300,0)-IF(AND($U39=1,'calcA'!O$117=1,DN39=0),300,0))),1000000000))</f>
        <v/>
      </c>
      <c r="OR39">
        <f>IF($B39=0,1000000000,IF(INDEX('calcA'!$D$60:$EQ$99,$B39,13)*IF($W39=1,DN39+AAC39,DN39)=1,IF(AND($E39=2,IF($W39=1,AFR39,JC39)=0),1000000000,IF($V39=1,INDEX('calcA'!$D$130:$EQ$169,$B39,13)+IF(AND($E39=1,JC39=0),25,0),INDEX('calcA'!P$110:P$114,$F39+1)+IF(AND($E39=1,JC39=0),1000,0)+IF($H39=1,INDEX('calcA'!$D$180:$EQ$219,$B39,13)*500,0)-IF(AND('calcA'!O$117=1,UM39&gt;0),300,0)-IF(AND($U39=1,'calcA'!P$117=1,DO39=0),300,0))),1000000000))</f>
        <v/>
      </c>
      <c r="OS39">
        <f>IF($B39=0,1000000000,IF(INDEX('calcA'!$D$60:$EQ$99,$B39,14)*IF($W39=1,DO39+AAD39,DO39)=1,IF(AND($E39=2,IF($W39=1,AFS39,JD39)=0),1000000000,IF($V39=1,INDEX('calcA'!$D$130:$EQ$169,$B39,14)+IF(AND($E39=1,JD39=0),25,0),INDEX('calcA'!Q$110:Q$114,$F39+1)+IF(AND($E39=1,JD39=0),1000,0)+IF($H39=1,INDEX('calcA'!$D$180:$EQ$219,$B39,14)*500,0)-IF(AND('calcA'!P$117=1,UN39&gt;0),300,0)-IF(AND($U39=1,'calcA'!Q$117=1,DP39=0),300,0))),1000000000))</f>
        <v/>
      </c>
      <c r="OT39">
        <f>IF($B39=0,1000000000,IF(INDEX('calcA'!$D$60:$EQ$99,$B39,15)*IF($W39=1,DP39+AAE39,DP39)=1,IF(AND($E39=2,IF($W39=1,AFT39,JE39)=0),1000000000,IF($V39=1,INDEX('calcA'!$D$130:$EQ$169,$B39,15)+IF(AND($E39=1,JE39=0),25,0),INDEX('calcA'!R$110:R$114,$F39+1)+IF(AND($E39=1,JE39=0),1000,0)+IF($H39=1,INDEX('calcA'!$D$180:$EQ$219,$B39,15)*500,0)-IF(AND('calcA'!Q$117=1,UO39&gt;0),300,0)-IF(AND($U39=1,'calcA'!R$117=1,DQ39=0),300,0))),1000000000))</f>
        <v/>
      </c>
      <c r="OU39">
        <f>IF($B39=0,1000000000,IF(INDEX('calcA'!$D$60:$EQ$99,$B39,16)*IF($W39=1,DQ39+AAF39,DQ39)=1,IF(AND($E39=2,IF($W39=1,AFU39,JF39)=0),1000000000,IF($V39=1,INDEX('calcA'!$D$130:$EQ$169,$B39,16)+IF(AND($E39=1,JF39=0),25,0),INDEX('calcA'!S$110:S$114,$F39+1)+IF(AND($E39=1,JF39=0),1000,0)+IF($H39=1,INDEX('calcA'!$D$180:$EQ$219,$B39,16)*500,0)-IF(AND('calcA'!R$117=1,UP39&gt;0),300,0)-IF(AND($U39=1,'calcA'!S$117=1,DR39=0),300,0))),1000000000))</f>
        <v/>
      </c>
      <c r="OV39">
        <f>IF($B39=0,1000000000,IF(INDEX('calcA'!$D$60:$EQ$99,$B39,17)*IF($W39=1,DR39+AAG39,DR39)=1,IF(AND($E39=2,IF($W39=1,AFV39,JG39)=0),1000000000,IF($V39=1,INDEX('calcA'!$D$130:$EQ$169,$B39,17)+IF(AND($E39=1,JG39=0),25,0),INDEX('calcA'!T$110:T$114,$F39+1)+IF(AND($E39=1,JG39=0),1000,0)+IF($H39=1,INDEX('calcA'!$D$180:$EQ$219,$B39,17)*500,0)-IF(AND('calcA'!S$117=1,UQ39&gt;0),300,0)-IF(AND($U39=1,'calcA'!T$117=1,DS39=0),300,0))),1000000000))</f>
        <v/>
      </c>
      <c r="OW39">
        <f>IF($B39=0,1000000000,IF(INDEX('calcA'!$D$60:$EQ$99,$B39,18)*IF($W39=1,DS39+AAH39,DS39)=1,IF(AND($E39=2,IF($W39=1,AFW39,JH39)=0),1000000000,IF($V39=1,INDEX('calcA'!$D$130:$EQ$169,$B39,18)+IF(AND($E39=1,JH39=0),25,0),INDEX('calcA'!U$110:U$114,$F39+1)+IF(AND($E39=1,JH39=0),1000,0)+IF($H39=1,INDEX('calcA'!$D$180:$EQ$219,$B39,18)*500,0)-IF(AND('calcA'!T$117=1,UR39&gt;0),300,0)-IF(AND($U39=1,'calcA'!U$117=1,DT39=0),300,0))),1000000000))</f>
        <v/>
      </c>
      <c r="OX39">
        <f>IF($B39=0,1000000000,IF(INDEX('calcA'!$D$60:$EQ$99,$B39,19)*IF($W39=1,DT39+AAI39,DT39)=1,IF(AND($E39=2,IF($W39=1,AFX39,JI39)=0),1000000000,IF($V39=1,INDEX('calcA'!$D$130:$EQ$169,$B39,19)+IF(AND($E39=1,JI39=0),25,0),INDEX('calcA'!V$110:V$114,$F39+1)+IF(AND($E39=1,JI39=0),1000,0)+IF($H39=1,INDEX('calcA'!$D$180:$EQ$219,$B39,19)*500,0)-IF(AND('calcA'!U$117=1,US39&gt;0),300,0)-IF(AND($U39=1,'calcA'!V$117=1,DU39=0),300,0))),1000000000))</f>
        <v/>
      </c>
      <c r="OY39">
        <f>IF($B39=0,1000000000,IF(INDEX('calcA'!$D$60:$EQ$99,$B39,20)*IF($W39=1,DU39+AAJ39,DU39)=1,IF(AND($E39=2,IF($W39=1,AFY39,JJ39)=0),1000000000,IF($V39=1,INDEX('calcA'!$D$130:$EQ$169,$B39,20)+IF(AND($E39=1,JJ39=0),25,0),INDEX('calcA'!W$110:W$114,$F39+1)+IF(AND($E39=1,JJ39=0),1000,0)+IF($H39=1,INDEX('calcA'!$D$180:$EQ$219,$B39,20)*500,0)-IF(AND('calcA'!V$117=1,UT39&gt;0),300,0)-IF(AND($U39=1,'calcA'!W$117=1,DV39=0),300,0))),1000000000))</f>
        <v/>
      </c>
      <c r="OZ39">
        <f>IF($B39=0,1000000000,IF(INDEX('calcA'!$D$60:$EQ$99,$B39,21)*IF($W39=1,DV39+AAK39,DV39)=1,IF(AND($E39=2,IF($W39=1,AFZ39,JK39)=0),1000000000,IF($V39=1,INDEX('calcA'!$D$130:$EQ$169,$B39,21)+IF(AND($E39=1,JK39=0),25,0),INDEX('calcA'!X$110:X$114,$F39+1)+IF(AND($E39=1,JK39=0),1000,0)+IF($H39=1,INDEX('calcA'!$D$180:$EQ$219,$B39,21)*500,0)-IF(AND('calcA'!W$117=1,UU39&gt;0),300,0)-IF(AND($U39=1,'calcA'!X$117=1,DW39=0),300,0))),1000000000))</f>
        <v/>
      </c>
      <c r="PA39">
        <f>IF($B39=0,1000000000,IF(INDEX('calcA'!$D$60:$EQ$99,$B39,22)*IF($W39=1,DW39+AAL39,DW39)=1,IF(AND($E39=2,IF($W39=1,AGA39,JL39)=0),1000000000,IF($V39=1,INDEX('calcA'!$D$130:$EQ$169,$B39,22)+IF(AND($E39=1,JL39=0),25,0),INDEX('calcA'!Y$110:Y$114,$F39+1)+IF(AND($E39=1,JL39=0),1000,0)+IF($H39=1,INDEX('calcA'!$D$180:$EQ$219,$B39,22)*500,0)-IF(AND('calcA'!X$117=1,UV39&gt;0),300,0)-IF(AND($U39=1,'calcA'!Y$117=1,DX39=0),300,0))),1000000000))</f>
        <v/>
      </c>
      <c r="PB39">
        <f>IF($B39=0,1000000000,IF(INDEX('calcA'!$D$60:$EQ$99,$B39,23)*IF($W39=1,DX39+AAM39,DX39)=1,IF(AND($E39=2,IF($W39=1,AGB39,JM39)=0),1000000000,IF($V39=1,INDEX('calcA'!$D$130:$EQ$169,$B39,23)+IF(AND($E39=1,JM39=0),25,0),INDEX('calcA'!Z$110:Z$114,$F39+1)+IF(AND($E39=1,JM39=0),1000,0)+IF($H39=1,INDEX('calcA'!$D$180:$EQ$219,$B39,23)*500,0)-IF(AND('calcA'!Y$117=1,UW39&gt;0),300,0)-IF(AND($U39=1,'calcA'!Z$117=1,DY39=0),300,0))),1000000000))</f>
        <v/>
      </c>
      <c r="PC39">
        <f>IF($B39=0,1000000000,IF(INDEX('calcA'!$D$60:$EQ$99,$B39,24)*IF($W39=1,DY39+AAN39,DY39)=1,IF(AND($E39=2,IF($W39=1,AGC39,JN39)=0),1000000000,IF($V39=1,INDEX('calcA'!$D$130:$EQ$169,$B39,24)+IF(AND($E39=1,JN39=0),25,0),INDEX('calcA'!AA$110:AA$114,$F39+1)+IF(AND($E39=1,JN39=0),1000,0)+IF($H39=1,INDEX('calcA'!$D$180:$EQ$219,$B39,24)*500,0)-IF(AND('calcA'!Z$117=1,UX39&gt;0),300,0))),1000000000))</f>
        <v/>
      </c>
      <c r="PD39">
        <f>IF($B39=0,1000000000,IF(INDEX('calcA'!$D$60:$EQ$99,$B39,25)*IF($W39=1,DZ39+AAO39,DZ39)=1,IF(AND($E39=2,IF($W39=1,AGD39,JO39)=0),1000000000,IF($V39=1,INDEX('calcA'!$D$130:$EQ$169,$B39,25)+IF(AND($E39=1,JO39=0),25,0),INDEX('calcA'!AB$110:AB$114,$F39+1)+IF(AND($E39=1,JO39=0),1000,0)+IF($H39=1,INDEX('calcA'!$D$180:$EQ$219,$B39,25)*500,0)-IF(AND($U39=1,'calcA'!AB$117=1,EA39=0),300,0))),1000000000))</f>
        <v/>
      </c>
      <c r="PE39">
        <f>IF($B39=0,1000000000,IF(INDEX('calcA'!$D$60:$EQ$99,$B39,26)*IF($W39=1,EA39+AAP39,EA39)=1,IF(AND($E39=2,IF($W39=1,AGE39,JP39)=0),1000000000,IF($V39=1,INDEX('calcA'!$D$130:$EQ$169,$B39,26)+IF(AND($E39=1,JP39=0),25,0),INDEX('calcA'!AC$110:AC$114,$F39+1)+IF(AND($E39=1,JP39=0),1000,0)+IF($H39=1,INDEX('calcA'!$D$180:$EQ$219,$B39,26)*500,0)-IF(AND('calcA'!AB$117=1,UZ39&gt;0),300,0)-IF(AND($U39=1,'calcA'!AC$117=1,EB39=0),300,0))),1000000000))</f>
        <v/>
      </c>
      <c r="PF39">
        <f>IF($B39=0,1000000000,IF(INDEX('calcA'!$D$60:$EQ$99,$B39,27)*IF($W39=1,EB39+AAQ39,EB39)=1,IF(AND($E39=2,IF($W39=1,AGF39,JQ39)=0),1000000000,IF($V39=1,INDEX('calcA'!$D$130:$EQ$169,$B39,27)+IF(AND($E39=1,JQ39=0),25,0),INDEX('calcA'!AD$110:AD$114,$F39+1)+IF(AND($E39=1,JQ39=0),1000,0)+IF($H39=1,INDEX('calcA'!$D$180:$EQ$219,$B39,27)*500,0)-IF(AND('calcA'!AC$117=1,VA39&gt;0),300,0)-IF(AND($U39=1,'calcA'!AD$117=1,EC39=0),300,0))),1000000000))</f>
        <v/>
      </c>
      <c r="PG39">
        <f>IF($B39=0,1000000000,IF(INDEX('calcA'!$D$60:$EQ$99,$B39,28)*IF($W39=1,EC39+AAR39,EC39)=1,IF(AND($E39=2,IF($W39=1,AGG39,JR39)=0),1000000000,IF($V39=1,INDEX('calcA'!$D$130:$EQ$169,$B39,28)+IF(AND($E39=1,JR39=0),25,0),INDEX('calcA'!AE$110:AE$114,$F39+1)+IF(AND($E39=1,JR39=0),1000,0)+IF($H39=1,INDEX('calcA'!$D$180:$EQ$219,$B39,28)*500,0)-IF(AND('calcA'!AD$117=1,VB39&gt;0),300,0)-IF(AND($U39=1,'calcA'!AE$117=1,ED39=0),300,0))),1000000000))</f>
        <v/>
      </c>
      <c r="PH39">
        <f>IF($B39=0,1000000000,IF(INDEX('calcA'!$D$60:$EQ$99,$B39,29)*IF($W39=1,ED39+AAS39,ED39)=1,IF(AND($E39=2,IF($W39=1,AGH39,JS39)=0),1000000000,IF($V39=1,INDEX('calcA'!$D$130:$EQ$169,$B39,29)+IF(AND($E39=1,JS39=0),25,0),INDEX('calcA'!AF$110:AF$114,$F39+1)+IF(AND($E39=1,JS39=0),1000,0)+IF($H39=1,INDEX('calcA'!$D$180:$EQ$219,$B39,29)*500,0)-IF(AND('calcA'!AE$117=1,VC39&gt;0),300,0)-IF(AND($U39=1,'calcA'!AF$117=1,EE39=0),300,0))),1000000000))</f>
        <v/>
      </c>
      <c r="PI39">
        <f>IF($B39=0,1000000000,IF(INDEX('calcA'!$D$60:$EQ$99,$B39,30)*IF($W39=1,EE39+AAT39,EE39)=1,IF(AND($E39=2,IF($W39=1,AGI39,JT39)=0),1000000000,IF($V39=1,INDEX('calcA'!$D$130:$EQ$169,$B39,30)+IF(AND($E39=1,JT39=0),25,0),INDEX('calcA'!AG$110:AG$114,$F39+1)+IF(AND($E39=1,JT39=0),1000,0)+IF($H39=1,INDEX('calcA'!$D$180:$EQ$219,$B39,30)*500,0)-IF(AND('calcA'!AF$117=1,VD39&gt;0),300,0)-IF(AND($U39=1,'calcA'!AG$117=1,EF39=0),300,0))),1000000000))</f>
        <v/>
      </c>
      <c r="PJ39">
        <f>IF($B39=0,1000000000,IF(INDEX('calcA'!$D$60:$EQ$99,$B39,31)*IF($W39=1,EF39+AAU39,EF39)=1,IF(AND($E39=2,IF($W39=1,AGJ39,JU39)=0),1000000000,IF($V39=1,INDEX('calcA'!$D$130:$EQ$169,$B39,31)+IF(AND($E39=1,JU39=0),25,0),INDEX('calcA'!AH$110:AH$114,$F39+1)+IF(AND($E39=1,JU39=0),1000,0)+IF($H39=1,INDEX('calcA'!$D$180:$EQ$219,$B39,31)*500,0)-IF(AND('calcA'!AG$117=1,VE39&gt;0),300,0)-IF(AND($U39=1,'calcA'!AH$117=1,EG39=0),300,0))),1000000000))</f>
        <v/>
      </c>
      <c r="PK39">
        <f>IF($B39=0,1000000000,IF(INDEX('calcA'!$D$60:$EQ$99,$B39,32)*IF($W39=1,EG39+AAV39,EG39)=1,IF(AND($E39=2,IF($W39=1,AGK39,JV39)=0),1000000000,IF($V39=1,INDEX('calcA'!$D$130:$EQ$169,$B39,32)+IF(AND($E39=1,JV39=0),25,0),INDEX('calcA'!AI$110:AI$114,$F39+1)+IF(AND($E39=1,JV39=0),1000,0)+IF($H39=1,INDEX('calcA'!$D$180:$EQ$219,$B39,32)*500,0)-IF(AND('calcA'!AH$117=1,VF39&gt;0),300,0)-IF(AND($U39=1,'calcA'!AI$117=1,EH39=0),300,0))),1000000000))</f>
        <v/>
      </c>
      <c r="PL39">
        <f>IF($B39=0,1000000000,IF(INDEX('calcA'!$D$60:$EQ$99,$B39,33)*IF($W39=1,EH39+AAW39,EH39)=1,IF(AND($E39=2,IF($W39=1,AGL39,JW39)=0),1000000000,IF($V39=1,INDEX('calcA'!$D$130:$EQ$169,$B39,33)+IF(AND($E39=1,JW39=0),25,0),INDEX('calcA'!AJ$110:AJ$114,$F39+1)+IF(AND($E39=1,JW39=0),1000,0)+IF($H39=1,INDEX('calcA'!$D$180:$EQ$219,$B39,33)*500,0)-IF(AND('calcA'!AI$117=1,VG39&gt;0),300,0)-IF(AND($U39=1,'calcA'!AJ$117=1,EI39=0),300,0))),1000000000))</f>
        <v/>
      </c>
      <c r="PM39">
        <f>IF($B39=0,1000000000,IF(INDEX('calcA'!$D$60:$EQ$99,$B39,34)*IF($W39=1,EI39+AAX39,EI39)=1,IF(AND($E39=2,IF($W39=1,AGM39,JX39)=0),1000000000,IF($V39=1,INDEX('calcA'!$D$130:$EQ$169,$B39,34)+IF(AND($E39=1,JX39=0),25,0),INDEX('calcA'!AK$110:AK$114,$F39+1)+IF(AND($E39=1,JX39=0),1000,0)+IF($H39=1,INDEX('calcA'!$D$180:$EQ$219,$B39,34)*500,0)-IF(AND('calcA'!AJ$117=1,VH39&gt;0),300,0)-IF(AND($U39=1,'calcA'!AK$117=1,EJ39=0),300,0))),1000000000))</f>
        <v/>
      </c>
      <c r="PN39">
        <f>IF($B39=0,1000000000,IF(INDEX('calcA'!$D$60:$EQ$99,$B39,35)*IF($W39=1,EJ39+AAY39,EJ39)=1,IF(AND($E39=2,IF($W39=1,AGN39,JY39)=0),1000000000,IF($V39=1,INDEX('calcA'!$D$130:$EQ$169,$B39,35)+IF(AND($E39=1,JY39=0),25,0),INDEX('calcA'!AL$110:AL$114,$F39+1)+IF(AND($E39=1,JY39=0),1000,0)+IF($H39=1,INDEX('calcA'!$D$180:$EQ$219,$B39,35)*500,0)-IF(AND('calcA'!AK$117=1,VI39&gt;0),300,0)-IF(AND($U39=1,'calcA'!AL$117=1,EK39=0),300,0))),1000000000))</f>
        <v/>
      </c>
      <c r="PO39">
        <f>IF($B39=0,1000000000,IF(INDEX('calcA'!$D$60:$EQ$99,$B39,36)*IF($W39=1,EK39+AAZ39,EK39)=1,IF(AND($E39=2,IF($W39=1,AGO39,JZ39)=0),1000000000,IF($V39=1,INDEX('calcA'!$D$130:$EQ$169,$B39,36)+IF(AND($E39=1,JZ39=0),25,0),INDEX('calcA'!AM$110:AM$114,$F39+1)+IF(AND($E39=1,JZ39=0),1000,0)+IF($H39=1,INDEX('calcA'!$D$180:$EQ$219,$B39,36)*500,0)-IF(AND('calcA'!AL$117=1,VJ39&gt;0),300,0)-IF(AND($U39=1,'calcA'!AM$117=1,EL39=0),300,0))),1000000000))</f>
        <v/>
      </c>
      <c r="PP39">
        <f>IF($B39=0,1000000000,IF(INDEX('calcA'!$D$60:$EQ$99,$B39,37)*IF($W39=1,EL39+ABA39,EL39)=1,IF(AND($E39=2,IF($W39=1,AGP39,KA39)=0),1000000000,IF($V39=1,INDEX('calcA'!$D$130:$EQ$169,$B39,37)+IF(AND($E39=1,KA39=0),25,0),INDEX('calcA'!AN$110:AN$114,$F39+1)+IF(AND($E39=1,KA39=0),1000,0)+IF($H39=1,INDEX('calcA'!$D$180:$EQ$219,$B39,37)*500,0)-IF(AND('calcA'!AM$117=1,VK39&gt;0),300,0)-IF(AND($U39=1,'calcA'!AN$117=1,EM39=0),300,0))),1000000000))</f>
        <v/>
      </c>
      <c r="PQ39">
        <f>IF($B39=0,1000000000,IF(INDEX('calcA'!$D$60:$EQ$99,$B39,38)*IF($W39=1,EM39+ABB39,EM39)=1,IF(AND($E39=2,IF($W39=1,AGQ39,KB39)=0),1000000000,IF($V39=1,INDEX('calcA'!$D$130:$EQ$169,$B39,38)+IF(AND($E39=1,KB39=0),25,0),INDEX('calcA'!AO$110:AO$114,$F39+1)+IF(AND($E39=1,KB39=0),1000,0)+IF($H39=1,INDEX('calcA'!$D$180:$EQ$219,$B39,38)*500,0)-IF(AND('calcA'!AN$117=1,VL39&gt;0),300,0)-IF(AND($U39=1,'calcA'!AO$117=1,EN39=0),300,0))),1000000000))</f>
        <v/>
      </c>
      <c r="PR39">
        <f>IF($B39=0,1000000000,IF(INDEX('calcA'!$D$60:$EQ$99,$B39,39)*IF($W39=1,EN39+ABC39,EN39)=1,IF(AND($E39=2,IF($W39=1,AGR39,KC39)=0),1000000000,IF($V39=1,INDEX('calcA'!$D$130:$EQ$169,$B39,39)+IF(AND($E39=1,KC39=0),25,0),INDEX('calcA'!AP$110:AP$114,$F39+1)+IF(AND($E39=1,KC39=0),1000,0)+IF($H39=1,INDEX('calcA'!$D$180:$EQ$219,$B39,39)*500,0)-IF(AND('calcA'!AO$117=1,VM39&gt;0),300,0)-IF(AND($U39=1,'calcA'!AP$117=1,EO39=0),300,0))),1000000000))</f>
        <v/>
      </c>
      <c r="PS39">
        <f>IF($B39=0,1000000000,IF(INDEX('calcA'!$D$60:$EQ$99,$B39,40)*IF($W39=1,EO39+ABD39,EO39)=1,IF(AND($E39=2,IF($W39=1,AGS39,KD39)=0),1000000000,IF($V39=1,INDEX('calcA'!$D$130:$EQ$169,$B39,40)+IF(AND($E39=1,KD39=0),25,0),INDEX('calcA'!AQ$110:AQ$114,$F39+1)+IF(AND($E39=1,KD39=0),1000,0)+IF($H39=1,INDEX('calcA'!$D$180:$EQ$219,$B39,40)*500,0)-IF(AND('calcA'!AP$117=1,VN39&gt;0),300,0)-IF(AND($U39=1,'calcA'!AQ$117=1,EP39=0),300,0))),1000000000))</f>
        <v/>
      </c>
      <c r="PT39">
        <f>IF($B39=0,1000000000,IF(INDEX('calcA'!$D$60:$EQ$99,$B39,41)*IF($W39=1,EP39+ABE39,EP39)=1,IF(AND($E39=2,IF($W39=1,AGT39,KE39)=0),1000000000,IF($V39=1,INDEX('calcA'!$D$130:$EQ$169,$B39,41)+IF(AND($E39=1,KE39=0),25,0),INDEX('calcA'!AR$110:AR$114,$F39+1)+IF(AND($E39=1,KE39=0),1000,0)+IF($H39=1,INDEX('calcA'!$D$180:$EQ$219,$B39,41)*500,0)-IF(AND('calcA'!AQ$117=1,VO39&gt;0),300,0)-IF(AND($U39=1,'calcA'!AR$117=1,EQ39=0),300,0))),1000000000))</f>
        <v/>
      </c>
      <c r="PU39">
        <f>IF($B39=0,1000000000,IF(INDEX('calcA'!$D$60:$EQ$99,$B39,42)*IF($W39=1,EQ39+ABF39,EQ39)=1,IF(AND($E39=2,IF($W39=1,AGU39,KF39)=0),1000000000,IF($V39=1,INDEX('calcA'!$D$130:$EQ$169,$B39,42)+IF(AND($E39=1,KF39=0),25,0),INDEX('calcA'!AS$110:AS$114,$F39+1)+IF(AND($E39=1,KF39=0),1000,0)+IF($H39=1,INDEX('calcA'!$D$180:$EQ$219,$B39,42)*500,0)-IF(AND('calcA'!AR$117=1,VP39&gt;0),300,0)-IF(AND($U39=1,'calcA'!AS$117=1,ER39=0),300,0))),1000000000))</f>
        <v/>
      </c>
      <c r="PV39">
        <f>IF($B39=0,1000000000,IF(INDEX('calcA'!$D$60:$EQ$99,$B39,43)*IF($W39=1,ER39+ABG39,ER39)=1,IF(AND($E39=2,IF($W39=1,AGV39,KG39)=0),1000000000,IF($V39=1,INDEX('calcA'!$D$130:$EQ$169,$B39,43)+IF(AND($E39=1,KG39=0),25,0),INDEX('calcA'!AT$110:AT$114,$F39+1)+IF(AND($E39=1,KG39=0),1000,0)+IF($H39=1,INDEX('calcA'!$D$180:$EQ$219,$B39,43)*500,0)-IF(AND('calcA'!AS$117=1,VQ39&gt;0),300,0)-IF(AND($U39=1,'calcA'!AT$117=1,ES39=0),300,0))),1000000000))</f>
        <v/>
      </c>
      <c r="PW39">
        <f>IF($B39=0,1000000000,IF(INDEX('calcA'!$D$60:$EQ$99,$B39,44)*IF($W39=1,ES39+ABH39,ES39)=1,IF(AND($E39=2,IF($W39=1,AGW39,KH39)=0),1000000000,IF($V39=1,INDEX('calcA'!$D$130:$EQ$169,$B39,44)+IF(AND($E39=1,KH39=0),25,0),INDEX('calcA'!AU$110:AU$114,$F39+1)+IF(AND($E39=1,KH39=0),1000,0)+IF($H39=1,INDEX('calcA'!$D$180:$EQ$219,$B39,44)*500,0)-IF(AND('calcA'!AT$117=1,VR39&gt;0),300,0)-IF(AND($U39=1,'calcA'!AU$117=1,ET39=0),300,0))),1000000000))</f>
        <v/>
      </c>
      <c r="PX39">
        <f>IF($B39=0,1000000000,IF(INDEX('calcA'!$D$60:$EQ$99,$B39,45)*IF($W39=1,ET39+ABI39,ET39)=1,IF(AND($E39=2,IF($W39=1,AGX39,KI39)=0),1000000000,IF($V39=1,INDEX('calcA'!$D$130:$EQ$169,$B39,45)+IF(AND($E39=1,KI39=0),25,0),INDEX('calcA'!AV$110:AV$114,$F39+1)+IF(AND($E39=1,KI39=0),1000,0)+IF($H39=1,INDEX('calcA'!$D$180:$EQ$219,$B39,45)*500,0)-IF(AND('calcA'!AU$117=1,VS39&gt;0),300,0)-IF(AND($U39=1,'calcA'!AV$117=1,EU39=0),300,0))),1000000000))</f>
        <v/>
      </c>
      <c r="PY39">
        <f>IF($B39=0,1000000000,IF(INDEX('calcA'!$D$60:$EQ$99,$B39,46)*IF($W39=1,EU39+ABJ39,EU39)=1,IF(AND($E39=2,IF($W39=1,AGY39,KJ39)=0),1000000000,IF($V39=1,INDEX('calcA'!$D$130:$EQ$169,$B39,46)+IF(AND($E39=1,KJ39=0),25,0),INDEX('calcA'!AW$110:AW$114,$F39+1)+IF(AND($E39=1,KJ39=0),1000,0)+IF($H39=1,INDEX('calcA'!$D$180:$EQ$219,$B39,46)*500,0)-IF(AND('calcA'!AV$117=1,VT39&gt;0),300,0)-IF(AND($U39=1,'calcA'!AW$117=1,EV39=0),300,0))),1000000000))</f>
        <v/>
      </c>
      <c r="PZ39">
        <f>IF($B39=0,1000000000,IF(INDEX('calcA'!$D$60:$EQ$99,$B39,47)*IF($W39=1,EV39+ABK39,EV39)=1,IF(AND($E39=2,IF($W39=1,AGZ39,KK39)=0),1000000000,IF($V39=1,INDEX('calcA'!$D$130:$EQ$169,$B39,47)+IF(AND($E39=1,KK39=0),25,0),INDEX('calcA'!AX$110:AX$114,$F39+1)+IF(AND($E39=1,KK39=0),1000,0)+IF($H39=1,INDEX('calcA'!$D$180:$EQ$219,$B39,47)*500,0)-IF(AND('calcA'!AW$117=1,VU39&gt;0),300,0)-IF(AND($U39=1,'calcA'!AX$117=1,EW39=0),300,0))),1000000000))</f>
        <v/>
      </c>
      <c r="QA39">
        <f>IF($B39=0,1000000000,IF(INDEX('calcA'!$D$60:$EQ$99,$B39,48)*IF($W39=1,EW39+ABL39,EW39)=1,IF(AND($E39=2,IF($W39=1,AHA39,KL39)=0),1000000000,IF($V39=1,INDEX('calcA'!$D$130:$EQ$169,$B39,48)+IF(AND($E39=1,KL39=0),25,0),INDEX('calcA'!AY$110:AY$114,$F39+1)+IF(AND($E39=1,KL39=0),1000,0)+IF($H39=1,INDEX('calcA'!$D$180:$EQ$219,$B39,48)*500,0)-IF(AND('calcA'!AX$117=1,VV39&gt;0),300,0))),1000000000))</f>
        <v/>
      </c>
      <c r="QB39">
        <f>IF($B39=0,1000000000,IF(INDEX('calcA'!$D$60:$EQ$99,$B39,49)*IF($W39=1,EX39+ABM39,EX39)=1,IF(AND($E39=2,IF($W39=1,AHB39,KM39)=0),1000000000,IF($V39=1,INDEX('calcA'!$D$130:$EQ$169,$B39,49)+IF(AND($E39=1,KM39=0),25,0),INDEX('calcA'!AZ$110:AZ$114,$F39+1)+IF(AND($E39=1,KM39=0),1000,0)+IF($H39=1,INDEX('calcA'!$D$180:$EQ$219,$B39,49)*500,0)-IF(AND($U39=1,'calcA'!AZ$117=1,EY39=0),300,0))),1000000000))</f>
        <v/>
      </c>
      <c r="QC39">
        <f>IF($B39=0,1000000000,IF(INDEX('calcA'!$D$60:$EQ$99,$B39,50)*IF($W39=1,EY39+ABN39,EY39)=1,IF(AND($E39=2,IF($W39=1,AHC39,KN39)=0),1000000000,IF($V39=1,INDEX('calcA'!$D$130:$EQ$169,$B39,50)+IF(AND($E39=1,KN39=0),25,0),INDEX('calcA'!BA$110:BA$114,$F39+1)+IF(AND($E39=1,KN39=0),1000,0)+IF($H39=1,INDEX('calcA'!$D$180:$EQ$219,$B39,50)*500,0)-IF(AND('calcA'!AZ$117=1,VX39&gt;0),300,0)-IF(AND($U39=1,'calcA'!BA$117=1,EZ39=0),300,0))),1000000000))</f>
        <v/>
      </c>
      <c r="QD39">
        <f>IF($B39=0,1000000000,IF(INDEX('calcA'!$D$60:$EQ$99,$B39,51)*IF($W39=1,EZ39+ABO39,EZ39)=1,IF(AND($E39=2,IF($W39=1,AHD39,KO39)=0),1000000000,IF($V39=1,INDEX('calcA'!$D$130:$EQ$169,$B39,51)+IF(AND($E39=1,KO39=0),25,0),INDEX('calcA'!BB$110:BB$114,$F39+1)+IF(AND($E39=1,KO39=0),1000,0)+IF($H39=1,INDEX('calcA'!$D$180:$EQ$219,$B39,51)*500,0)-IF(AND('calcA'!BA$117=1,VY39&gt;0),300,0)-IF(AND($U39=1,'calcA'!BB$117=1,FA39=0),300,0))),1000000000))</f>
        <v/>
      </c>
      <c r="QE39">
        <f>IF($B39=0,1000000000,IF(INDEX('calcA'!$D$60:$EQ$99,$B39,52)*IF($W39=1,FA39+ABP39,FA39)=1,IF(AND($E39=2,IF($W39=1,AHE39,KP39)=0),1000000000,IF($V39=1,INDEX('calcA'!$D$130:$EQ$169,$B39,52)+IF(AND($E39=1,KP39=0),25,0),INDEX('calcA'!BC$110:BC$114,$F39+1)+IF(AND($E39=1,KP39=0),1000,0)+IF($H39=1,INDEX('calcA'!$D$180:$EQ$219,$B39,52)*500,0)-IF(AND('calcA'!BB$117=1,VZ39&gt;0),300,0)-IF(AND($U39=1,'calcA'!BC$117=1,FB39=0),300,0))),1000000000))</f>
        <v/>
      </c>
      <c r="QF39">
        <f>IF($B39=0,1000000000,IF(INDEX('calcA'!$D$60:$EQ$99,$B39,53)*IF($W39=1,FB39+ABQ39,FB39)=1,IF(AND($E39=2,IF($W39=1,AHF39,KQ39)=0),1000000000,IF($V39=1,INDEX('calcA'!$D$130:$EQ$169,$B39,53)+IF(AND($E39=1,KQ39=0),25,0),INDEX('calcA'!BD$110:BD$114,$F39+1)+IF(AND($E39=1,KQ39=0),1000,0)+IF($H39=1,INDEX('calcA'!$D$180:$EQ$219,$B39,53)*500,0)-IF(AND('calcA'!BC$117=1,WA39&gt;0),300,0)-IF(AND($U39=1,'calcA'!BD$117=1,FC39=0),300,0))),1000000000))</f>
        <v/>
      </c>
      <c r="QG39">
        <f>IF($B39=0,1000000000,IF(INDEX('calcA'!$D$60:$EQ$99,$B39,54)*IF($W39=1,FC39+ABR39,FC39)=1,IF(AND($E39=2,IF($W39=1,AHG39,KR39)=0),1000000000,IF($V39=1,INDEX('calcA'!$D$130:$EQ$169,$B39,54)+IF(AND($E39=1,KR39=0),25,0),INDEX('calcA'!BE$110:BE$114,$F39+1)+IF(AND($E39=1,KR39=0),1000,0)+IF($H39=1,INDEX('calcA'!$D$180:$EQ$219,$B39,54)*500,0)-IF(AND('calcA'!BD$117=1,WB39&gt;0),300,0)-IF(AND($U39=1,'calcA'!BE$117=1,FD39=0),300,0))),1000000000))</f>
        <v/>
      </c>
      <c r="QH39">
        <f>IF($B39=0,1000000000,IF(INDEX('calcA'!$D$60:$EQ$99,$B39,55)*IF($W39=1,FD39+ABS39,FD39)=1,IF(AND($E39=2,IF($W39=1,AHH39,KS39)=0),1000000000,IF($V39=1,INDEX('calcA'!$D$130:$EQ$169,$B39,55)+IF(AND($E39=1,KS39=0),25,0),INDEX('calcA'!BF$110:BF$114,$F39+1)+IF(AND($E39=1,KS39=0),1000,0)+IF($H39=1,INDEX('calcA'!$D$180:$EQ$219,$B39,55)*500,0)-IF(AND('calcA'!BE$117=1,WC39&gt;0),300,0)-IF(AND($U39=1,'calcA'!BF$117=1,FE39=0),300,0))),1000000000))</f>
        <v/>
      </c>
      <c r="QI39">
        <f>IF($B39=0,1000000000,IF(INDEX('calcA'!$D$60:$EQ$99,$B39,56)*IF($W39=1,FE39+ABT39,FE39)=1,IF(AND($E39=2,IF($W39=1,AHI39,KT39)=0),1000000000,IF($V39=1,INDEX('calcA'!$D$130:$EQ$169,$B39,56)+IF(AND($E39=1,KT39=0),25,0),INDEX('calcA'!BG$110:BG$114,$F39+1)+IF(AND($E39=1,KT39=0),1000,0)+IF($H39=1,INDEX('calcA'!$D$180:$EQ$219,$B39,56)*500,0)-IF(AND('calcA'!BF$117=1,WD39&gt;0),300,0)-IF(AND($U39=1,'calcA'!BG$117=1,FF39=0),300,0))),1000000000))</f>
        <v/>
      </c>
      <c r="QJ39">
        <f>IF($B39=0,1000000000,IF(INDEX('calcA'!$D$60:$EQ$99,$B39,57)*IF($W39=1,FF39+ABU39,FF39)=1,IF(AND($E39=2,IF($W39=1,AHJ39,KU39)=0),1000000000,IF($V39=1,INDEX('calcA'!$D$130:$EQ$169,$B39,57)+IF(AND($E39=1,KU39=0),25,0),INDEX('calcA'!BH$110:BH$114,$F39+1)+IF(AND($E39=1,KU39=0),1000,0)+IF($H39=1,INDEX('calcA'!$D$180:$EQ$219,$B39,57)*500,0)-IF(AND('calcA'!BG$117=1,WE39&gt;0),300,0)-IF(AND($U39=1,'calcA'!BH$117=1,FG39=0),300,0))),1000000000))</f>
        <v/>
      </c>
      <c r="QK39">
        <f>IF($B39=0,1000000000,IF(INDEX('calcA'!$D$60:$EQ$99,$B39,58)*IF($W39=1,FG39+ABV39,FG39)=1,IF(AND($E39=2,IF($W39=1,AHK39,KV39)=0),1000000000,IF($V39=1,INDEX('calcA'!$D$130:$EQ$169,$B39,58)+IF(AND($E39=1,KV39=0),25,0),INDEX('calcA'!BI$110:BI$114,$F39+1)+IF(AND($E39=1,KV39=0),1000,0)+IF($H39=1,INDEX('calcA'!$D$180:$EQ$219,$B39,58)*500,0)-IF(AND('calcA'!BH$117=1,WF39&gt;0),300,0)-IF(AND($U39=1,'calcA'!BI$117=1,FH39=0),300,0))),1000000000))</f>
        <v/>
      </c>
      <c r="QL39">
        <f>IF($B39=0,1000000000,IF(INDEX('calcA'!$D$60:$EQ$99,$B39,59)*IF($W39=1,FH39+ABW39,FH39)=1,IF(AND($E39=2,IF($W39=1,AHL39,KW39)=0),1000000000,IF($V39=1,INDEX('calcA'!$D$130:$EQ$169,$B39,59)+IF(AND($E39=1,KW39=0),25,0),INDEX('calcA'!BJ$110:BJ$114,$F39+1)+IF(AND($E39=1,KW39=0),1000,0)+IF($H39=1,INDEX('calcA'!$D$180:$EQ$219,$B39,59)*500,0)-IF(AND('calcA'!BI$117=1,WG39&gt;0),300,0)-IF(AND($U39=1,'calcA'!BJ$117=1,FI39=0),300,0))),1000000000))</f>
        <v/>
      </c>
      <c r="QM39">
        <f>IF($B39=0,1000000000,IF(INDEX('calcA'!$D$60:$EQ$99,$B39,60)*IF($W39=1,FI39+ABX39,FI39)=1,IF(AND($E39=2,IF($W39=1,AHM39,KX39)=0),1000000000,IF($V39=1,INDEX('calcA'!$D$130:$EQ$169,$B39,60)+IF(AND($E39=1,KX39=0),25,0),INDEX('calcA'!BK$110:BK$114,$F39+1)+IF(AND($E39=1,KX39=0),1000,0)+IF($H39=1,INDEX('calcA'!$D$180:$EQ$219,$B39,60)*500,0)-IF(AND('calcA'!BJ$117=1,WH39&gt;0),300,0)-IF(AND($U39=1,'calcA'!BK$117=1,FJ39=0),300,0))),1000000000))</f>
        <v/>
      </c>
      <c r="QN39">
        <f>IF($B39=0,1000000000,IF(INDEX('calcA'!$D$60:$EQ$99,$B39,61)*IF($W39=1,FJ39+ABY39,FJ39)=1,IF(AND($E39=2,IF($W39=1,AHN39,KY39)=0),1000000000,IF($V39=1,INDEX('calcA'!$D$130:$EQ$169,$B39,61)+IF(AND($E39=1,KY39=0),25,0),INDEX('calcA'!BL$110:BL$114,$F39+1)+IF(AND($E39=1,KY39=0),1000,0)+IF($H39=1,INDEX('calcA'!$D$180:$EQ$219,$B39,61)*500,0)-IF(AND('calcA'!BK$117=1,WI39&gt;0),300,0)-IF(AND($U39=1,'calcA'!BL$117=1,FK39=0),300,0))),1000000000))</f>
        <v/>
      </c>
      <c r="QO39">
        <f>IF($B39=0,1000000000,IF(INDEX('calcA'!$D$60:$EQ$99,$B39,62)*IF($W39=1,FK39+ABZ39,FK39)=1,IF(AND($E39=2,IF($W39=1,AHO39,KZ39)=0),1000000000,IF($V39=1,INDEX('calcA'!$D$130:$EQ$169,$B39,62)+IF(AND($E39=1,KZ39=0),25,0),INDEX('calcA'!BM$110:BM$114,$F39+1)+IF(AND($E39=1,KZ39=0),1000,0)+IF($H39=1,INDEX('calcA'!$D$180:$EQ$219,$B39,62)*500,0)-IF(AND('calcA'!BL$117=1,WJ39&gt;0),300,0)-IF(AND($U39=1,'calcA'!BM$117=1,FL39=0),300,0))),1000000000))</f>
        <v/>
      </c>
      <c r="QP39">
        <f>IF($B39=0,1000000000,IF(INDEX('calcA'!$D$60:$EQ$99,$B39,63)*IF($W39=1,FL39+ACA39,FL39)=1,IF(AND($E39=2,IF($W39=1,AHP39,LA39)=0),1000000000,IF($V39=1,INDEX('calcA'!$D$130:$EQ$169,$B39,63)+IF(AND($E39=1,LA39=0),25,0),INDEX('calcA'!BN$110:BN$114,$F39+1)+IF(AND($E39=1,LA39=0),1000,0)+IF($H39=1,INDEX('calcA'!$D$180:$EQ$219,$B39,63)*500,0)-IF(AND('calcA'!BM$117=1,WK39&gt;0),300,0)-IF(AND($U39=1,'calcA'!BN$117=1,FM39=0),300,0))),1000000000))</f>
        <v/>
      </c>
      <c r="QQ39">
        <f>IF($B39=0,1000000000,IF(INDEX('calcA'!$D$60:$EQ$99,$B39,64)*IF($W39=1,FM39+ACB39,FM39)=1,IF(AND($E39=2,IF($W39=1,AHQ39,LB39)=0),1000000000,IF($V39=1,INDEX('calcA'!$D$130:$EQ$169,$B39,64)+IF(AND($E39=1,LB39=0),25,0),INDEX('calcA'!BO$110:BO$114,$F39+1)+IF(AND($E39=1,LB39=0),1000,0)+IF($H39=1,INDEX('calcA'!$D$180:$EQ$219,$B39,64)*500,0)-IF(AND('calcA'!BN$117=1,WL39&gt;0),300,0)-IF(AND($U39=1,'calcA'!BO$117=1,FN39=0),300,0))),1000000000))</f>
        <v/>
      </c>
      <c r="QR39">
        <f>IF($B39=0,1000000000,IF(INDEX('calcA'!$D$60:$EQ$99,$B39,65)*IF($W39=1,FN39+ACC39,FN39)=1,IF(AND($E39=2,IF($W39=1,AHR39,LC39)=0),1000000000,IF($V39=1,INDEX('calcA'!$D$130:$EQ$169,$B39,65)+IF(AND($E39=1,LC39=0),25,0),INDEX('calcA'!BP$110:BP$114,$F39+1)+IF(AND($E39=1,LC39=0),1000,0)+IF($H39=1,INDEX('calcA'!$D$180:$EQ$219,$B39,65)*500,0)-IF(AND('calcA'!BO$117=1,WM39&gt;0),300,0)-IF(AND($U39=1,'calcA'!BP$117=1,FO39=0),300,0))),1000000000))</f>
        <v/>
      </c>
      <c r="QS39">
        <f>IF($B39=0,1000000000,IF(INDEX('calcA'!$D$60:$EQ$99,$B39,66)*IF($W39=1,FO39+ACD39,FO39)=1,IF(AND($E39=2,IF($W39=1,AHS39,LD39)=0),1000000000,IF($V39=1,INDEX('calcA'!$D$130:$EQ$169,$B39,66)+IF(AND($E39=1,LD39=0),25,0),INDEX('calcA'!BQ$110:BQ$114,$F39+1)+IF(AND($E39=1,LD39=0),1000,0)+IF($H39=1,INDEX('calcA'!$D$180:$EQ$219,$B39,66)*500,0)-IF(AND('calcA'!BP$117=1,WN39&gt;0),300,0)-IF(AND($U39=1,'calcA'!BQ$117=1,FP39=0),300,0))),1000000000))</f>
        <v/>
      </c>
      <c r="QT39">
        <f>IF($B39=0,1000000000,IF(INDEX('calcA'!$D$60:$EQ$99,$B39,67)*IF($W39=1,FP39+ACE39,FP39)=1,IF(AND($E39=2,IF($W39=1,AHT39,LE39)=0),1000000000,IF($V39=1,INDEX('calcA'!$D$130:$EQ$169,$B39,67)+IF(AND($E39=1,LE39=0),25,0),INDEX('calcA'!BR$110:BR$114,$F39+1)+IF(AND($E39=1,LE39=0),1000,0)+IF($H39=1,INDEX('calcA'!$D$180:$EQ$219,$B39,67)*500,0)-IF(AND('calcA'!BQ$117=1,WO39&gt;0),300,0)-IF(AND($U39=1,'calcA'!BR$117=1,FQ39=0),300,0))),1000000000))</f>
        <v/>
      </c>
      <c r="QU39">
        <f>IF($B39=0,1000000000,IF(INDEX('calcA'!$D$60:$EQ$99,$B39,68)*IF($W39=1,FQ39+ACF39,FQ39)=1,IF(AND($E39=2,IF($W39=1,AHU39,LF39)=0),1000000000,IF($V39=1,INDEX('calcA'!$D$130:$EQ$169,$B39,68)+IF(AND($E39=1,LF39=0),25,0),INDEX('calcA'!BS$110:BS$114,$F39+1)+IF(AND($E39=1,LF39=0),1000,0)+IF($H39=1,INDEX('calcA'!$D$180:$EQ$219,$B39,68)*500,0)-IF(AND('calcA'!BR$117=1,WP39&gt;0),300,0)-IF(AND($U39=1,'calcA'!BS$117=1,FR39=0),300,0))),1000000000))</f>
        <v/>
      </c>
      <c r="QV39">
        <f>IF($B39=0,1000000000,IF(INDEX('calcA'!$D$60:$EQ$99,$B39,69)*IF($W39=1,FR39+ACG39,FR39)=1,IF(AND($E39=2,IF($W39=1,AHV39,LG39)=0),1000000000,IF($V39=1,INDEX('calcA'!$D$130:$EQ$169,$B39,69)+IF(AND($E39=1,LG39=0),25,0),INDEX('calcA'!BT$110:BT$114,$F39+1)+IF(AND($E39=1,LG39=0),1000,0)+IF($H39=1,INDEX('calcA'!$D$180:$EQ$219,$B39,69)*500,0)-IF(AND('calcA'!BS$117=1,WQ39&gt;0),300,0)-IF(AND($U39=1,'calcA'!BT$117=1,FS39=0),300,0))),1000000000))</f>
        <v/>
      </c>
      <c r="QW39">
        <f>IF($B39=0,1000000000,IF(INDEX('calcA'!$D$60:$EQ$99,$B39,70)*IF($W39=1,FS39+ACH39,FS39)=1,IF(AND($E39=2,IF($W39=1,AHW39,LH39)=0),1000000000,IF($V39=1,INDEX('calcA'!$D$130:$EQ$169,$B39,70)+IF(AND($E39=1,LH39=0),25,0),INDEX('calcA'!BU$110:BU$114,$F39+1)+IF(AND($E39=1,LH39=0),1000,0)+IF($H39=1,INDEX('calcA'!$D$180:$EQ$219,$B39,70)*500,0)-IF(AND('calcA'!BT$117=1,WR39&gt;0),300,0)-IF(AND($U39=1,'calcA'!BU$117=1,FT39=0),300,0))),1000000000))</f>
        <v/>
      </c>
      <c r="QX39">
        <f>IF($B39=0,1000000000,IF(INDEX('calcA'!$D$60:$EQ$99,$B39,71)*IF($W39=1,FT39+ACI39,FT39)=1,IF(AND($E39=2,IF($W39=1,AHX39,LI39)=0),1000000000,IF($V39=1,INDEX('calcA'!$D$130:$EQ$169,$B39,71)+IF(AND($E39=1,LI39=0),25,0),INDEX('calcA'!BV$110:BV$114,$F39+1)+IF(AND($E39=1,LI39=0),1000,0)+IF($H39=1,INDEX('calcA'!$D$180:$EQ$219,$B39,71)*500,0)-IF(AND('calcA'!BU$117=1,WS39&gt;0),300,0)-IF(AND($U39=1,'calcA'!BV$117=1,FU39=0),300,0))),1000000000))</f>
        <v/>
      </c>
      <c r="QY39">
        <f>IF($B39=0,1000000000,IF(INDEX('calcA'!$D$60:$EQ$99,$B39,72)*IF($W39=1,FU39+ACJ39,FU39)=1,IF(AND($E39=2,IF($W39=1,AHY39,LJ39)=0),1000000000,IF($V39=1,INDEX('calcA'!$D$130:$EQ$169,$B39,72)+IF(AND($E39=1,LJ39=0),25,0),INDEX('calcA'!BW$110:BW$114,$F39+1)+IF(AND($E39=1,LJ39=0),1000,0)+IF($H39=1,INDEX('calcA'!$D$180:$EQ$219,$B39,72)*500,0)-IF(AND('calcA'!BV$117=1,WT39&gt;0),300,0))),1000000000))</f>
        <v/>
      </c>
      <c r="QZ39">
        <f>IF($B39=0,1000000000,IF(INDEX('calcA'!$D$60:$EQ$99,$B39,73)*IF($W39=1,FV39+ACK39,FV39)=1,IF(AND($E39=2,IF($W39=1,AHZ39,LK39)=0),1000000000,IF($V39=1,INDEX('calcA'!$D$130:$EQ$169,$B39,73)+IF(AND($E39=1,LK39=0),25,0),INDEX('calcA'!BX$110:BX$114,$F39+1)+IF(AND($E39=1,LK39=0),1000,0)+IF($H39=1,INDEX('calcA'!$D$180:$EQ$219,$B39,73)*500,0)-IF(AND($U39=1,'calcA'!BX$117=1,FW39=0),300,0))),1000000000))</f>
        <v/>
      </c>
      <c r="RA39">
        <f>IF($B39=0,1000000000,IF(INDEX('calcA'!$D$60:$EQ$99,$B39,74)*IF($W39=1,FW39+ACL39,FW39)=1,IF(AND($E39=2,IF($W39=1,AIA39,LL39)=0),1000000000,IF($V39=1,INDEX('calcA'!$D$130:$EQ$169,$B39,74)+IF(AND($E39=1,LL39=0),25,0),INDEX('calcA'!BY$110:BY$114,$F39+1)+IF(AND($E39=1,LL39=0),1000,0)+IF($H39=1,INDEX('calcA'!$D$180:$EQ$219,$B39,74)*500,0)-IF(AND('calcA'!BX$117=1,WV39&gt;0),300,0)-IF(AND($U39=1,'calcA'!BY$117=1,FX39=0),300,0))),1000000000))</f>
        <v/>
      </c>
      <c r="RB39">
        <f>IF($B39=0,1000000000,IF(INDEX('calcA'!$D$60:$EQ$99,$B39,75)*IF($W39=1,FX39+ACM39,FX39)=1,IF(AND($E39=2,IF($W39=1,AIB39,LM39)=0),1000000000,IF($V39=1,INDEX('calcA'!$D$130:$EQ$169,$B39,75)+IF(AND($E39=1,LM39=0),25,0),INDEX('calcA'!BZ$110:BZ$114,$F39+1)+IF(AND($E39=1,LM39=0),1000,0)+IF($H39=1,INDEX('calcA'!$D$180:$EQ$219,$B39,75)*500,0)-IF(AND('calcA'!BY$117=1,WW39&gt;0),300,0)-IF(AND($U39=1,'calcA'!BZ$117=1,FY39=0),300,0))),1000000000))</f>
        <v/>
      </c>
      <c r="RC39">
        <f>IF($B39=0,1000000000,IF(INDEX('calcA'!$D$60:$EQ$99,$B39,76)*IF($W39=1,FY39+ACN39,FY39)=1,IF(AND($E39=2,IF($W39=1,AIC39,LN39)=0),1000000000,IF($V39=1,INDEX('calcA'!$D$130:$EQ$169,$B39,76)+IF(AND($E39=1,LN39=0),25,0),INDEX('calcA'!CA$110:CA$114,$F39+1)+IF(AND($E39=1,LN39=0),1000,0)+IF($H39=1,INDEX('calcA'!$D$180:$EQ$219,$B39,76)*500,0)-IF(AND('calcA'!BZ$117=1,WX39&gt;0),300,0)-IF(AND($U39=1,'calcA'!CA$117=1,FZ39=0),300,0))),1000000000))</f>
        <v/>
      </c>
      <c r="RD39">
        <f>IF($B39=0,1000000000,IF(INDEX('calcA'!$D$60:$EQ$99,$B39,77)*IF($W39=1,FZ39+ACO39,FZ39)=1,IF(AND($E39=2,IF($W39=1,AID39,LO39)=0),1000000000,IF($V39=1,INDEX('calcA'!$D$130:$EQ$169,$B39,77)+IF(AND($E39=1,LO39=0),25,0),INDEX('calcA'!CB$110:CB$114,$F39+1)+IF(AND($E39=1,LO39=0),1000,0)+IF($H39=1,INDEX('calcA'!$D$180:$EQ$219,$B39,77)*500,0)-IF(AND('calcA'!CA$117=1,WY39&gt;0),300,0)-IF(AND($U39=1,'calcA'!CB$117=1,GA39=0),300,0))),1000000000))</f>
        <v/>
      </c>
      <c r="RE39">
        <f>IF($B39=0,1000000000,IF(INDEX('calcA'!$D$60:$EQ$99,$B39,78)*IF($W39=1,GA39+ACP39,GA39)=1,IF(AND($E39=2,IF($W39=1,AIE39,LP39)=0),1000000000,IF($V39=1,INDEX('calcA'!$D$130:$EQ$169,$B39,78)+IF(AND($E39=1,LP39=0),25,0),INDEX('calcA'!CC$110:CC$114,$F39+1)+IF(AND($E39=1,LP39=0),1000,0)+IF($H39=1,INDEX('calcA'!$D$180:$EQ$219,$B39,78)*500,0)-IF(AND('calcA'!CB$117=1,WZ39&gt;0),300,0)-IF(AND($U39=1,'calcA'!CC$117=1,GB39=0),300,0))),1000000000))</f>
        <v/>
      </c>
      <c r="RF39">
        <f>IF($B39=0,1000000000,IF(INDEX('calcA'!$D$60:$EQ$99,$B39,79)*IF($W39=1,GB39+ACQ39,GB39)=1,IF(AND($E39=2,IF($W39=1,AIF39,LQ39)=0),1000000000,IF($V39=1,INDEX('calcA'!$D$130:$EQ$169,$B39,79)+IF(AND($E39=1,LQ39=0),25,0),INDEX('calcA'!CD$110:CD$114,$F39+1)+IF(AND($E39=1,LQ39=0),1000,0)+IF($H39=1,INDEX('calcA'!$D$180:$EQ$219,$B39,79)*500,0)-IF(AND('calcA'!CC$117=1,XA39&gt;0),300,0)-IF(AND($U39=1,'calcA'!CD$117=1,GC39=0),300,0))),1000000000))</f>
        <v/>
      </c>
      <c r="RG39">
        <f>IF($B39=0,1000000000,IF(INDEX('calcA'!$D$60:$EQ$99,$B39,80)*IF($W39=1,GC39+ACR39,GC39)=1,IF(AND($E39=2,IF($W39=1,AIG39,LR39)=0),1000000000,IF($V39=1,INDEX('calcA'!$D$130:$EQ$169,$B39,80)+IF(AND($E39=1,LR39=0),25,0),INDEX('calcA'!CE$110:CE$114,$F39+1)+IF(AND($E39=1,LR39=0),1000,0)+IF($H39=1,INDEX('calcA'!$D$180:$EQ$219,$B39,80)*500,0)-IF(AND('calcA'!CD$117=1,XB39&gt;0),300,0)-IF(AND($U39=1,'calcA'!CE$117=1,GD39=0),300,0))),1000000000))</f>
        <v/>
      </c>
      <c r="RH39">
        <f>IF($B39=0,1000000000,IF(INDEX('calcA'!$D$60:$EQ$99,$B39,81)*IF($W39=1,GD39+ACS39,GD39)=1,IF(AND($E39=2,IF($W39=1,AIH39,LS39)=0),1000000000,IF($V39=1,INDEX('calcA'!$D$130:$EQ$169,$B39,81)+IF(AND($E39=1,LS39=0),25,0),INDEX('calcA'!CF$110:CF$114,$F39+1)+IF(AND($E39=1,LS39=0),1000,0)+IF($H39=1,INDEX('calcA'!$D$180:$EQ$219,$B39,81)*500,0)-IF(AND('calcA'!CE$117=1,XC39&gt;0),300,0)-IF(AND($U39=1,'calcA'!CF$117=1,GE39=0),300,0))),1000000000))</f>
        <v/>
      </c>
      <c r="RI39">
        <f>IF($B39=0,1000000000,IF(INDEX('calcA'!$D$60:$EQ$99,$B39,82)*IF($W39=1,GE39+ACT39,GE39)=1,IF(AND($E39=2,IF($W39=1,AII39,LT39)=0),1000000000,IF($V39=1,INDEX('calcA'!$D$130:$EQ$169,$B39,82)+IF(AND($E39=1,LT39=0),25,0),INDEX('calcA'!CG$110:CG$114,$F39+1)+IF(AND($E39=1,LT39=0),1000,0)+IF($H39=1,INDEX('calcA'!$D$180:$EQ$219,$B39,82)*500,0)-IF(AND('calcA'!CF$117=1,XD39&gt;0),300,0)-IF(AND($U39=1,'calcA'!CG$117=1,GF39=0),300,0))),1000000000))</f>
        <v/>
      </c>
      <c r="RJ39">
        <f>IF($B39=0,1000000000,IF(INDEX('calcA'!$D$60:$EQ$99,$B39,83)*IF($W39=1,GF39+ACU39,GF39)=1,IF(AND($E39=2,IF($W39=1,AIJ39,LU39)=0),1000000000,IF($V39=1,INDEX('calcA'!$D$130:$EQ$169,$B39,83)+IF(AND($E39=1,LU39=0),25,0),INDEX('calcA'!CH$110:CH$114,$F39+1)+IF(AND($E39=1,LU39=0),1000,0)+IF($H39=1,INDEX('calcA'!$D$180:$EQ$219,$B39,83)*500,0)-IF(AND('calcA'!CG$117=1,XE39&gt;0),300,0)-IF(AND($U39=1,'calcA'!CH$117=1,GG39=0),300,0))),1000000000))</f>
        <v/>
      </c>
      <c r="RK39">
        <f>IF($B39=0,1000000000,IF(INDEX('calcA'!$D$60:$EQ$99,$B39,84)*IF($W39=1,GG39+ACV39,GG39)=1,IF(AND($E39=2,IF($W39=1,AIK39,LV39)=0),1000000000,IF($V39=1,INDEX('calcA'!$D$130:$EQ$169,$B39,84)+IF(AND($E39=1,LV39=0),25,0),INDEX('calcA'!CI$110:CI$114,$F39+1)+IF(AND($E39=1,LV39=0),1000,0)+IF($H39=1,INDEX('calcA'!$D$180:$EQ$219,$B39,84)*500,0)-IF(AND('calcA'!CH$117=1,XF39&gt;0),300,0)-IF(AND($U39=1,'calcA'!CI$117=1,GH39=0),300,0))),1000000000))</f>
        <v/>
      </c>
      <c r="RL39">
        <f>IF($B39=0,1000000000,IF(INDEX('calcA'!$D$60:$EQ$99,$B39,85)*IF($W39=1,GH39+ACW39,GH39)=1,IF(AND($E39=2,IF($W39=1,AIL39,LW39)=0),1000000000,IF($V39=1,INDEX('calcA'!$D$130:$EQ$169,$B39,85)+IF(AND($E39=1,LW39=0),25,0),INDEX('calcA'!CJ$110:CJ$114,$F39+1)+IF(AND($E39=1,LW39=0),1000,0)+IF($H39=1,INDEX('calcA'!$D$180:$EQ$219,$B39,85)*500,0)-IF(AND('calcA'!CI$117=1,XG39&gt;0),300,0)-IF(AND($U39=1,'calcA'!CJ$117=1,GI39=0),300,0))),1000000000))</f>
        <v/>
      </c>
      <c r="RM39">
        <f>IF($B39=0,1000000000,IF(INDEX('calcA'!$D$60:$EQ$99,$B39,86)*IF($W39=1,GI39+ACX39,GI39)=1,IF(AND($E39=2,IF($W39=1,AIM39,LX39)=0),1000000000,IF($V39=1,INDEX('calcA'!$D$130:$EQ$169,$B39,86)+IF(AND($E39=1,LX39=0),25,0),INDEX('calcA'!CK$110:CK$114,$F39+1)+IF(AND($E39=1,LX39=0),1000,0)+IF($H39=1,INDEX('calcA'!$D$180:$EQ$219,$B39,86)*500,0)-IF(AND('calcA'!CJ$117=1,XH39&gt;0),300,0)-IF(AND($U39=1,'calcA'!CK$117=1,GJ39=0),300,0))),1000000000))</f>
        <v/>
      </c>
      <c r="RN39">
        <f>IF($B39=0,1000000000,IF(INDEX('calcA'!$D$60:$EQ$99,$B39,87)*IF($W39=1,GJ39+ACY39,GJ39)=1,IF(AND($E39=2,IF($W39=1,AIN39,LY39)=0),1000000000,IF($V39=1,INDEX('calcA'!$D$130:$EQ$169,$B39,87)+IF(AND($E39=1,LY39=0),25,0),INDEX('calcA'!CL$110:CL$114,$F39+1)+IF(AND($E39=1,LY39=0),1000,0)+IF($H39=1,INDEX('calcA'!$D$180:$EQ$219,$B39,87)*500,0)-IF(AND('calcA'!CK$117=1,XI39&gt;0),300,0)-IF(AND($U39=1,'calcA'!CL$117=1,GK39=0),300,0))),1000000000))</f>
        <v/>
      </c>
      <c r="RO39">
        <f>IF($B39=0,1000000000,IF(INDEX('calcA'!$D$60:$EQ$99,$B39,88)*IF($W39=1,GK39+ACZ39,GK39)=1,IF(AND($E39=2,IF($W39=1,AIO39,LZ39)=0),1000000000,IF($V39=1,INDEX('calcA'!$D$130:$EQ$169,$B39,88)+IF(AND($E39=1,LZ39=0),25,0),INDEX('calcA'!CM$110:CM$114,$F39+1)+IF(AND($E39=1,LZ39=0),1000,0)+IF($H39=1,INDEX('calcA'!$D$180:$EQ$219,$B39,88)*500,0)-IF(AND('calcA'!CL$117=1,XJ39&gt;0),300,0)-IF(AND($U39=1,'calcA'!CM$117=1,GL39=0),300,0))),1000000000))</f>
        <v/>
      </c>
      <c r="RP39">
        <f>IF($B39=0,1000000000,IF(INDEX('calcA'!$D$60:$EQ$99,$B39,89)*IF($W39=1,GL39+ADA39,GL39)=1,IF(AND($E39=2,IF($W39=1,AIP39,MA39)=0),1000000000,IF($V39=1,INDEX('calcA'!$D$130:$EQ$169,$B39,89)+IF(AND($E39=1,MA39=0),25,0),INDEX('calcA'!CN$110:CN$114,$F39+1)+IF(AND($E39=1,MA39=0),1000,0)+IF($H39=1,INDEX('calcA'!$D$180:$EQ$219,$B39,89)*500,0)-IF(AND('calcA'!CM$117=1,XK39&gt;0),300,0)-IF(AND($U39=1,'calcA'!CN$117=1,GM39=0),300,0))),1000000000))</f>
        <v/>
      </c>
      <c r="RQ39">
        <f>IF($B39=0,1000000000,IF(INDEX('calcA'!$D$60:$EQ$99,$B39,90)*IF($W39=1,GM39+ADB39,GM39)=1,IF(AND($E39=2,IF($W39=1,AIQ39,MB39)=0),1000000000,IF($V39=1,INDEX('calcA'!$D$130:$EQ$169,$B39,90)+IF(AND($E39=1,MB39=0),25,0),INDEX('calcA'!CO$110:CO$114,$F39+1)+IF(AND($E39=1,MB39=0),1000,0)+IF($H39=1,INDEX('calcA'!$D$180:$EQ$219,$B39,90)*500,0)-IF(AND('calcA'!CN$117=1,XL39&gt;0),300,0)-IF(AND($U39=1,'calcA'!CO$117=1,GN39=0),300,0))),1000000000))</f>
        <v/>
      </c>
      <c r="RR39">
        <f>IF($B39=0,1000000000,IF(INDEX('calcA'!$D$60:$EQ$99,$B39,91)*IF($W39=1,GN39+ADC39,GN39)=1,IF(AND($E39=2,IF($W39=1,AIR39,MC39)=0),1000000000,IF($V39=1,INDEX('calcA'!$D$130:$EQ$169,$B39,91)+IF(AND($E39=1,MC39=0),25,0),INDEX('calcA'!CP$110:CP$114,$F39+1)+IF(AND($E39=1,MC39=0),1000,0)+IF($H39=1,INDEX('calcA'!$D$180:$EQ$219,$B39,91)*500,0)-IF(AND('calcA'!CO$117=1,XM39&gt;0),300,0)-IF(AND($U39=1,'calcA'!CP$117=1,GO39=0),300,0))),1000000000))</f>
        <v/>
      </c>
      <c r="RS39">
        <f>IF($B39=0,1000000000,IF(INDEX('calcA'!$D$60:$EQ$99,$B39,92)*IF($W39=1,GO39+ADD39,GO39)=1,IF(AND($E39=2,IF($W39=1,AIS39,MD39)=0),1000000000,IF($V39=1,INDEX('calcA'!$D$130:$EQ$169,$B39,92)+IF(AND($E39=1,MD39=0),25,0),INDEX('calcA'!CQ$110:CQ$114,$F39+1)+IF(AND($E39=1,MD39=0),1000,0)+IF($H39=1,INDEX('calcA'!$D$180:$EQ$219,$B39,92)*500,0)-IF(AND('calcA'!CP$117=1,XN39&gt;0),300,0)-IF(AND($U39=1,'calcA'!CQ$117=1,GP39=0),300,0))),1000000000))</f>
        <v/>
      </c>
      <c r="RT39">
        <f>IF($B39=0,1000000000,IF(INDEX('calcA'!$D$60:$EQ$99,$B39,93)*IF($W39=1,GP39+ADE39,GP39)=1,IF(AND($E39=2,IF($W39=1,AIT39,ME39)=0),1000000000,IF($V39=1,INDEX('calcA'!$D$130:$EQ$169,$B39,93)+IF(AND($E39=1,ME39=0),25,0),INDEX('calcA'!CR$110:CR$114,$F39+1)+IF(AND($E39=1,ME39=0),1000,0)+IF($H39=1,INDEX('calcA'!$D$180:$EQ$219,$B39,93)*500,0)-IF(AND('calcA'!CQ$117=1,XO39&gt;0),300,0)-IF(AND($U39=1,'calcA'!CR$117=1,GQ39=0),300,0))),1000000000))</f>
        <v/>
      </c>
      <c r="RU39">
        <f>IF($B39=0,1000000000,IF(INDEX('calcA'!$D$60:$EQ$99,$B39,94)*IF($W39=1,GQ39+ADF39,GQ39)=1,IF(AND($E39=2,IF($W39=1,AIU39,MF39)=0),1000000000,IF($V39=1,INDEX('calcA'!$D$130:$EQ$169,$B39,94)+IF(AND($E39=1,MF39=0),25,0),INDEX('calcA'!CS$110:CS$114,$F39+1)+IF(AND($E39=1,MF39=0),1000,0)+IF($H39=1,INDEX('calcA'!$D$180:$EQ$219,$B39,94)*500,0)-IF(AND('calcA'!CR$117=1,XP39&gt;0),300,0)-IF(AND($U39=1,'calcA'!CS$117=1,GR39=0),300,0))),1000000000))</f>
        <v/>
      </c>
      <c r="RV39">
        <f>IF($B39=0,1000000000,IF(INDEX('calcA'!$D$60:$EQ$99,$B39,95)*IF($W39=1,GR39+ADG39,GR39)=1,IF(AND($E39=2,IF($W39=1,AIV39,MG39)=0),1000000000,IF($V39=1,INDEX('calcA'!$D$130:$EQ$169,$B39,95)+IF(AND($E39=1,MG39=0),25,0),INDEX('calcA'!CT$110:CT$114,$F39+1)+IF(AND($E39=1,MG39=0),1000,0)+IF($H39=1,INDEX('calcA'!$D$180:$EQ$219,$B39,95)*500,0)-IF(AND('calcA'!CS$117=1,XQ39&gt;0),300,0)-IF(AND($U39=1,'calcA'!CT$117=1,GS39=0),300,0))),1000000000))</f>
        <v/>
      </c>
      <c r="RW39">
        <f>IF($B39=0,1000000000,IF(INDEX('calcA'!$D$60:$EQ$99,$B39,96)*IF($W39=1,GS39+ADH39,GS39)=1,IF(AND($E39=2,IF($W39=1,AIW39,MH39)=0),1000000000,IF($V39=1,INDEX('calcA'!$D$130:$EQ$169,$B39,96)+IF(AND($E39=1,MH39=0),25,0),INDEX('calcA'!CU$110:CU$114,$F39+1)+IF(AND($E39=1,MH39=0),1000,0)+IF($H39=1,INDEX('calcA'!$D$180:$EQ$219,$B39,96)*500,0)-IF(AND('calcA'!CT$117=1,XR39&gt;0),300,0))),1000000000))</f>
        <v/>
      </c>
      <c r="RX39">
        <f>IF($B39=0,1000000000,IF(INDEX('calcA'!$D$60:$EQ$99,$B39,97)*IF($W39=1,GT39+ADI39,GT39)=1,IF(AND($E39=2,IF($W39=1,AIX39,MI39)=0),1000000000,IF($V39=1,INDEX('calcA'!$D$130:$EQ$169,$B39,97)+IF(AND($E39=1,MI39=0),25,0),INDEX('calcA'!CV$110:CV$114,$F39+1)+IF(AND($E39=1,MI39=0),1000,0)+IF($H39=1,INDEX('calcA'!$D$180:$EQ$219,$B39,97)*500,0)-IF(AND($U39=1,'calcA'!CV$117=1,GU39=0),300,0))),1000000000))</f>
        <v/>
      </c>
      <c r="RY39">
        <f>IF($B39=0,1000000000,IF(INDEX('calcA'!$D$60:$EQ$99,$B39,98)*IF($W39=1,GU39+ADJ39,GU39)=1,IF(AND($E39=2,IF($W39=1,AIY39,MJ39)=0),1000000000,IF($V39=1,INDEX('calcA'!$D$130:$EQ$169,$B39,98)+IF(AND($E39=1,MJ39=0),25,0),INDEX('calcA'!CW$110:CW$114,$F39+1)+IF(AND($E39=1,MJ39=0),1000,0)+IF($H39=1,INDEX('calcA'!$D$180:$EQ$219,$B39,98)*500,0)-IF(AND('calcA'!CV$117=1,XT39&gt;0),300,0)-IF(AND($U39=1,'calcA'!CW$117=1,GV39=0),300,0))),1000000000))</f>
        <v/>
      </c>
      <c r="RZ39">
        <f>IF($B39=0,1000000000,IF(INDEX('calcA'!$D$60:$EQ$99,$B39,99)*IF($W39=1,GV39+ADK39,GV39)=1,IF(AND($E39=2,IF($W39=1,AIZ39,MK39)=0),1000000000,IF($V39=1,INDEX('calcA'!$D$130:$EQ$169,$B39,99)+IF(AND($E39=1,MK39=0),25,0),INDEX('calcA'!CX$110:CX$114,$F39+1)+IF(AND($E39=1,MK39=0),1000,0)+IF($H39=1,INDEX('calcA'!$D$180:$EQ$219,$B39,99)*500,0)-IF(AND('calcA'!CW$117=1,XU39&gt;0),300,0)-IF(AND($U39=1,'calcA'!CX$117=1,GW39=0),300,0))),1000000000))</f>
        <v/>
      </c>
      <c r="SA39">
        <f>IF($B39=0,1000000000,IF(INDEX('calcA'!$D$60:$EQ$99,$B39,100)*IF($W39=1,GW39+ADL39,GW39)=1,IF(AND($E39=2,IF($W39=1,AJA39,ML39)=0),1000000000,IF($V39=1,INDEX('calcA'!$D$130:$EQ$169,$B39,100)+IF(AND($E39=1,ML39=0),25,0),INDEX('calcA'!CY$110:CY$114,$F39+1)+IF(AND($E39=1,ML39=0),1000,0)+IF($H39=1,INDEX('calcA'!$D$180:$EQ$219,$B39,100)*500,0)-IF(AND('calcA'!CX$117=1,XV39&gt;0),300,0)-IF(AND($U39=1,'calcA'!CY$117=1,GX39=0),300,0))),1000000000))</f>
        <v/>
      </c>
      <c r="SB39">
        <f>IF($B39=0,1000000000,IF(INDEX('calcA'!$D$60:$EQ$99,$B39,101)*IF($W39=1,GX39+ADM39,GX39)=1,IF(AND($E39=2,IF($W39=1,AJB39,MM39)=0),1000000000,IF($V39=1,INDEX('calcA'!$D$130:$EQ$169,$B39,101)+IF(AND($E39=1,MM39=0),25,0),INDEX('calcA'!CZ$110:CZ$114,$F39+1)+IF(AND($E39=1,MM39=0),1000,0)+IF($H39=1,INDEX('calcA'!$D$180:$EQ$219,$B39,101)*500,0)-IF(AND('calcA'!CY$117=1,XW39&gt;0),300,0)-IF(AND($U39=1,'calcA'!CZ$117=1,GY39=0),300,0))),1000000000))</f>
        <v/>
      </c>
      <c r="SC39">
        <f>IF($B39=0,1000000000,IF(INDEX('calcA'!$D$60:$EQ$99,$B39,102)*IF($W39=1,GY39+ADN39,GY39)=1,IF(AND($E39=2,IF($W39=1,AJC39,MN39)=0),1000000000,IF($V39=1,INDEX('calcA'!$D$130:$EQ$169,$B39,102)+IF(AND($E39=1,MN39=0),25,0),INDEX('calcA'!DA$110:DA$114,$F39+1)+IF(AND($E39=1,MN39=0),1000,0)+IF($H39=1,INDEX('calcA'!$D$180:$EQ$219,$B39,102)*500,0)-IF(AND('calcA'!CZ$117=1,XX39&gt;0),300,0)-IF(AND($U39=1,'calcA'!DA$117=1,GZ39=0),300,0))),1000000000))</f>
        <v/>
      </c>
      <c r="SD39">
        <f>IF($B39=0,1000000000,IF(INDEX('calcA'!$D$60:$EQ$99,$B39,103)*IF($W39=1,GZ39+ADO39,GZ39)=1,IF(AND($E39=2,IF($W39=1,AJD39,MO39)=0),1000000000,IF($V39=1,INDEX('calcA'!$D$130:$EQ$169,$B39,103)+IF(AND($E39=1,MO39=0),25,0),INDEX('calcA'!DB$110:DB$114,$F39+1)+IF(AND($E39=1,MO39=0),1000,0)+IF($H39=1,INDEX('calcA'!$D$180:$EQ$219,$B39,103)*500,0)-IF(AND('calcA'!DA$117=1,XY39&gt;0),300,0)-IF(AND($U39=1,'calcA'!DB$117=1,HA39=0),300,0))),1000000000))</f>
        <v/>
      </c>
      <c r="SE39">
        <f>IF($B39=0,1000000000,IF(INDEX('calcA'!$D$60:$EQ$99,$B39,104)*IF($W39=1,HA39+ADP39,HA39)=1,IF(AND($E39=2,IF($W39=1,AJE39,MP39)=0),1000000000,IF($V39=1,INDEX('calcA'!$D$130:$EQ$169,$B39,104)+IF(AND($E39=1,MP39=0),25,0),INDEX('calcA'!DC$110:DC$114,$F39+1)+IF(AND($E39=1,MP39=0),1000,0)+IF($H39=1,INDEX('calcA'!$D$180:$EQ$219,$B39,104)*500,0)-IF(AND('calcA'!DB$117=1,XZ39&gt;0),300,0)-IF(AND($U39=1,'calcA'!DC$117=1,HB39=0),300,0))),1000000000))</f>
        <v/>
      </c>
      <c r="SF39">
        <f>IF($B39=0,1000000000,IF(INDEX('calcA'!$D$60:$EQ$99,$B39,105)*IF($W39=1,HB39+ADQ39,HB39)=1,IF(AND($E39=2,IF($W39=1,AJF39,MQ39)=0),1000000000,IF($V39=1,INDEX('calcA'!$D$130:$EQ$169,$B39,105)+IF(AND($E39=1,MQ39=0),25,0),INDEX('calcA'!DD$110:DD$114,$F39+1)+IF(AND($E39=1,MQ39=0),1000,0)+IF($H39=1,INDEX('calcA'!$D$180:$EQ$219,$B39,105)*500,0)-IF(AND('calcA'!DC$117=1,YA39&gt;0),300,0)-IF(AND($U39=1,'calcA'!DD$117=1,HC39=0),300,0))),1000000000))</f>
        <v/>
      </c>
      <c r="SG39">
        <f>IF($B39=0,1000000000,IF(INDEX('calcA'!$D$60:$EQ$99,$B39,106)*IF($W39=1,HC39+ADR39,HC39)=1,IF(AND($E39=2,IF($W39=1,AJG39,MR39)=0),1000000000,IF($V39=1,INDEX('calcA'!$D$130:$EQ$169,$B39,106)+IF(AND($E39=1,MR39=0),25,0),INDEX('calcA'!DE$110:DE$114,$F39+1)+IF(AND($E39=1,MR39=0),1000,0)+IF($H39=1,INDEX('calcA'!$D$180:$EQ$219,$B39,106)*500,0)-IF(AND('calcA'!DD$117=1,YB39&gt;0),300,0)-IF(AND($U39=1,'calcA'!DE$117=1,HD39=0),300,0))),1000000000))</f>
        <v/>
      </c>
      <c r="SH39">
        <f>IF($B39=0,1000000000,IF(INDEX('calcA'!$D$60:$EQ$99,$B39,107)*IF($W39=1,HD39+ADS39,HD39)=1,IF(AND($E39=2,IF($W39=1,AJH39,MS39)=0),1000000000,IF($V39=1,INDEX('calcA'!$D$130:$EQ$169,$B39,107)+IF(AND($E39=1,MS39=0),25,0),INDEX('calcA'!DF$110:DF$114,$F39+1)+IF(AND($E39=1,MS39=0),1000,0)+IF($H39=1,INDEX('calcA'!$D$180:$EQ$219,$B39,107)*500,0)-IF(AND('calcA'!DE$117=1,YC39&gt;0),300,0)-IF(AND($U39=1,'calcA'!DF$117=1,HE39=0),300,0))),1000000000))</f>
        <v/>
      </c>
      <c r="SI39">
        <f>IF($B39=0,1000000000,IF(INDEX('calcA'!$D$60:$EQ$99,$B39,108)*IF($W39=1,HE39+ADT39,HE39)=1,IF(AND($E39=2,IF($W39=1,AJI39,MT39)=0),1000000000,IF($V39=1,INDEX('calcA'!$D$130:$EQ$169,$B39,108)+IF(AND($E39=1,MT39=0),25,0),INDEX('calcA'!DG$110:DG$114,$F39+1)+IF(AND($E39=1,MT39=0),1000,0)+IF($H39=1,INDEX('calcA'!$D$180:$EQ$219,$B39,108)*500,0)-IF(AND('calcA'!DF$117=1,YD39&gt;0),300,0)-IF(AND($U39=1,'calcA'!DG$117=1,HF39=0),300,0))),1000000000))</f>
        <v/>
      </c>
      <c r="SJ39">
        <f>IF($B39=0,1000000000,IF(INDEX('calcA'!$D$60:$EQ$99,$B39,109)*IF($W39=1,HF39+ADU39,HF39)=1,IF(AND($E39=2,IF($W39=1,AJJ39,MU39)=0),1000000000,IF($V39=1,INDEX('calcA'!$D$130:$EQ$169,$B39,109)+IF(AND($E39=1,MU39=0),25,0),INDEX('calcA'!DH$110:DH$114,$F39+1)+IF(AND($E39=1,MU39=0),1000,0)+IF($H39=1,INDEX('calcA'!$D$180:$EQ$219,$B39,109)*500,0)-IF(AND('calcA'!DG$117=1,YE39&gt;0),300,0)-IF(AND($U39=1,'calcA'!DH$117=1,HG39=0),300,0))),1000000000))</f>
        <v/>
      </c>
      <c r="SK39">
        <f>IF($B39=0,1000000000,IF(INDEX('calcA'!$D$60:$EQ$99,$B39,110)*IF($W39=1,HG39+ADV39,HG39)=1,IF(AND($E39=2,IF($W39=1,AJK39,MV39)=0),1000000000,IF($V39=1,INDEX('calcA'!$D$130:$EQ$169,$B39,110)+IF(AND($E39=1,MV39=0),25,0),INDEX('calcA'!DI$110:DI$114,$F39+1)+IF(AND($E39=1,MV39=0),1000,0)+IF($H39=1,INDEX('calcA'!$D$180:$EQ$219,$B39,110)*500,0)-IF(AND('calcA'!DH$117=1,YF39&gt;0),300,0)-IF(AND($U39=1,'calcA'!DI$117=1,HH39=0),300,0))),1000000000))</f>
        <v/>
      </c>
      <c r="SL39">
        <f>IF($B39=0,1000000000,IF(INDEX('calcA'!$D$60:$EQ$99,$B39,111)*IF($W39=1,HH39+ADW39,HH39)=1,IF(AND($E39=2,IF($W39=1,AJL39,MW39)=0),1000000000,IF($V39=1,INDEX('calcA'!$D$130:$EQ$169,$B39,111)+IF(AND($E39=1,MW39=0),25,0),INDEX('calcA'!DJ$110:DJ$114,$F39+1)+IF(AND($E39=1,MW39=0),1000,0)+IF($H39=1,INDEX('calcA'!$D$180:$EQ$219,$B39,111)*500,0)-IF(AND('calcA'!DI$117=1,YG39&gt;0),300,0)-IF(AND($U39=1,'calcA'!DJ$117=1,HI39=0),300,0))),1000000000))</f>
        <v/>
      </c>
      <c r="SM39">
        <f>IF($B39=0,1000000000,IF(INDEX('calcA'!$D$60:$EQ$99,$B39,112)*IF($W39=1,HI39+ADX39,HI39)=1,IF(AND($E39=2,IF($W39=1,AJM39,MX39)=0),1000000000,IF($V39=1,INDEX('calcA'!$D$130:$EQ$169,$B39,112)+IF(AND($E39=1,MX39=0),25,0),INDEX('calcA'!DK$110:DK$114,$F39+1)+IF(AND($E39=1,MX39=0),1000,0)+IF($H39=1,INDEX('calcA'!$D$180:$EQ$219,$B39,112)*500,0)-IF(AND('calcA'!DJ$117=1,YH39&gt;0),300,0)-IF(AND($U39=1,'calcA'!DK$117=1,HJ39=0),300,0))),1000000000))</f>
        <v/>
      </c>
      <c r="SN39">
        <f>IF($B39=0,1000000000,IF(INDEX('calcA'!$D$60:$EQ$99,$B39,113)*IF($W39=1,HJ39+ADY39,HJ39)=1,IF(AND($E39=2,IF($W39=1,AJN39,MY39)=0),1000000000,IF($V39=1,INDEX('calcA'!$D$130:$EQ$169,$B39,113)+IF(AND($E39=1,MY39=0),25,0),INDEX('calcA'!DL$110:DL$114,$F39+1)+IF(AND($E39=1,MY39=0),1000,0)+IF($H39=1,INDEX('calcA'!$D$180:$EQ$219,$B39,113)*500,0)-IF(AND('calcA'!DK$117=1,YI39&gt;0),300,0)-IF(AND($U39=1,'calcA'!DL$117=1,HK39=0),300,0))),1000000000))</f>
        <v/>
      </c>
      <c r="SO39">
        <f>IF($B39=0,1000000000,IF(INDEX('calcA'!$D$60:$EQ$99,$B39,114)*IF($W39=1,HK39+ADZ39,HK39)=1,IF(AND($E39=2,IF($W39=1,AJO39,MZ39)=0),1000000000,IF($V39=1,INDEX('calcA'!$D$130:$EQ$169,$B39,114)+IF(AND($E39=1,MZ39=0),25,0),INDEX('calcA'!DM$110:DM$114,$F39+1)+IF(AND($E39=1,MZ39=0),1000,0)+IF($H39=1,INDEX('calcA'!$D$180:$EQ$219,$B39,114)*500,0)-IF(AND('calcA'!DL$117=1,YJ39&gt;0),300,0)-IF(AND($U39=1,'calcA'!DM$117=1,HL39=0),300,0))),1000000000))</f>
        <v/>
      </c>
      <c r="SP39">
        <f>IF($B39=0,1000000000,IF(INDEX('calcA'!$D$60:$EQ$99,$B39,115)*IF($W39=1,HL39+AEA39,HL39)=1,IF(AND($E39=2,IF($W39=1,AJP39,NA39)=0),1000000000,IF($V39=1,INDEX('calcA'!$D$130:$EQ$169,$B39,115)+IF(AND($E39=1,NA39=0),25,0),INDEX('calcA'!DN$110:DN$114,$F39+1)+IF(AND($E39=1,NA39=0),1000,0)+IF($H39=1,INDEX('calcA'!$D$180:$EQ$219,$B39,115)*500,0)-IF(AND('calcA'!DM$117=1,YK39&gt;0),300,0)-IF(AND($U39=1,'calcA'!DN$117=1,HM39=0),300,0))),1000000000))</f>
        <v/>
      </c>
      <c r="SQ39">
        <f>IF($B39=0,1000000000,IF(INDEX('calcA'!$D$60:$EQ$99,$B39,116)*IF($W39=1,HM39+AEB39,HM39)=1,IF(AND($E39=2,IF($W39=1,AJQ39,NB39)=0),1000000000,IF($V39=1,INDEX('calcA'!$D$130:$EQ$169,$B39,116)+IF(AND($E39=1,NB39=0),25,0),INDEX('calcA'!DO$110:DO$114,$F39+1)+IF(AND($E39=1,NB39=0),1000,0)+IF($H39=1,INDEX('calcA'!$D$180:$EQ$219,$B39,116)*500,0)-IF(AND('calcA'!DN$117=1,YL39&gt;0),300,0)-IF(AND($U39=1,'calcA'!DO$117=1,HN39=0),300,0))),1000000000))</f>
        <v/>
      </c>
      <c r="SR39">
        <f>IF($B39=0,1000000000,IF(INDEX('calcA'!$D$60:$EQ$99,$B39,117)*IF($W39=1,HN39+AEC39,HN39)=1,IF(AND($E39=2,IF($W39=1,AJR39,NC39)=0),1000000000,IF($V39=1,INDEX('calcA'!$D$130:$EQ$169,$B39,117)+IF(AND($E39=1,NC39=0),25,0),INDEX('calcA'!DP$110:DP$114,$F39+1)+IF(AND($E39=1,NC39=0),1000,0)+IF($H39=1,INDEX('calcA'!$D$180:$EQ$219,$B39,117)*500,0)-IF(AND('calcA'!DO$117=1,YM39&gt;0),300,0)-IF(AND($U39=1,'calcA'!DP$117=1,HO39=0),300,0))),1000000000))</f>
        <v/>
      </c>
      <c r="SS39">
        <f>IF($B39=0,1000000000,IF(INDEX('calcA'!$D$60:$EQ$99,$B39,118)*IF($W39=1,HO39+AED39,HO39)=1,IF(AND($E39=2,IF($W39=1,AJS39,ND39)=0),1000000000,IF($V39=1,INDEX('calcA'!$D$130:$EQ$169,$B39,118)+IF(AND($E39=1,ND39=0),25,0),INDEX('calcA'!DQ$110:DQ$114,$F39+1)+IF(AND($E39=1,ND39=0),1000,0)+IF($H39=1,INDEX('calcA'!$D$180:$EQ$219,$B39,118)*500,0)-IF(AND('calcA'!DP$117=1,YN39&gt;0),300,0)-IF(AND($U39=1,'calcA'!DQ$117=1,HP39=0),300,0))),1000000000))</f>
        <v/>
      </c>
      <c r="ST39">
        <f>IF($B39=0,1000000000,IF(INDEX('calcA'!$D$60:$EQ$99,$B39,119)*IF($W39=1,HP39+AEE39,HP39)=1,IF(AND($E39=2,IF($W39=1,AJT39,NE39)=0),1000000000,IF($V39=1,INDEX('calcA'!$D$130:$EQ$169,$B39,119)+IF(AND($E39=1,NE39=0),25,0),INDEX('calcA'!DR$110:DR$114,$F39+1)+IF(AND($E39=1,NE39=0),1000,0)+IF($H39=1,INDEX('calcA'!$D$180:$EQ$219,$B39,119)*500,0)-IF(AND('calcA'!DQ$117=1,YO39&gt;0),300,0)-IF(AND($U39=1,'calcA'!DR$117=1,HQ39=0),300,0))),1000000000))</f>
        <v/>
      </c>
      <c r="SU39">
        <f>IF($B39=0,1000000000,IF(INDEX('calcA'!$D$60:$EQ$99,$B39,120)*IF($W39=1,HQ39+AEF39,HQ39)=1,IF(AND($E39=2,IF($W39=1,AJU39,NF39)=0),1000000000,IF($V39=1,INDEX('calcA'!$D$130:$EQ$169,$B39,120)+IF(AND($E39=1,NF39=0),25,0),INDEX('calcA'!DS$110:DS$114,$F39+1)+IF(AND($E39=1,NF39=0),1000,0)+IF($H39=1,INDEX('calcA'!$D$180:$EQ$219,$B39,120)*500,0)-IF(AND('calcA'!DR$117=1,YP39&gt;0),300,0))),1000000000))</f>
        <v/>
      </c>
      <c r="SV39">
        <f>IF($B39=0,1000000000,IF(INDEX('calcA'!$D$60:$EQ$99,$B39,121)*IF($W39=1,HR39+AEG39,HR39)=1,IF(AND($E39=2,IF($W39=1,AJV39,NG39)=0),1000000000,IF($V39=1,INDEX('calcA'!$D$130:$EQ$169,$B39,121)+IF(AND($E39=1,NG39=0),25,0),INDEX('calcA'!DT$110:DT$114,$F39+1)+IF(AND($E39=1,NG39=0),1000,0)+IF($H39=1,INDEX('calcA'!$D$180:$EQ$219,$B39,121)*500,0)-IF(AND($U39=1,'calcA'!DT$117=1,HS39=0),300,0))),1000000000))</f>
        <v/>
      </c>
      <c r="SW39">
        <f>IF($B39=0,1000000000,IF(INDEX('calcA'!$D$60:$EQ$99,$B39,122)*IF($W39=1,HS39+AEH39,HS39)=1,IF(AND($E39=2,IF($W39=1,AJW39,NH39)=0),1000000000,IF($V39=1,INDEX('calcA'!$D$130:$EQ$169,$B39,122)+IF(AND($E39=1,NH39=0),25,0),INDEX('calcA'!DU$110:DU$114,$F39+1)+IF(AND($E39=1,NH39=0),1000,0)+IF($H39=1,INDEX('calcA'!$D$180:$EQ$219,$B39,122)*500,0)-IF(AND('calcA'!DT$117=1,YR39&gt;0),300,0)-IF(AND($U39=1,'calcA'!DU$117=1,HT39=0),300,0))),1000000000))</f>
        <v/>
      </c>
      <c r="SX39">
        <f>IF($B39=0,1000000000,IF(INDEX('calcA'!$D$60:$EQ$99,$B39,123)*IF($W39=1,HT39+AEI39,HT39)=1,IF(AND($E39=2,IF($W39=1,AJX39,NI39)=0),1000000000,IF($V39=1,INDEX('calcA'!$D$130:$EQ$169,$B39,123)+IF(AND($E39=1,NI39=0),25,0),INDEX('calcA'!DV$110:DV$114,$F39+1)+IF(AND($E39=1,NI39=0),1000,0)+IF($H39=1,INDEX('calcA'!$D$180:$EQ$219,$B39,123)*500,0)-IF(AND('calcA'!DU$117=1,YS39&gt;0),300,0)-IF(AND($U39=1,'calcA'!DV$117=1,HU39=0),300,0))),1000000000))</f>
        <v/>
      </c>
      <c r="SY39">
        <f>IF($B39=0,1000000000,IF(INDEX('calcA'!$D$60:$EQ$99,$B39,124)*IF($W39=1,HU39+AEJ39,HU39)=1,IF(AND($E39=2,IF($W39=1,AJY39,NJ39)=0),1000000000,IF($V39=1,INDEX('calcA'!$D$130:$EQ$169,$B39,124)+IF(AND($E39=1,NJ39=0),25,0),INDEX('calcA'!DW$110:DW$114,$F39+1)+IF(AND($E39=1,NJ39=0),1000,0)+IF($H39=1,INDEX('calcA'!$D$180:$EQ$219,$B39,124)*500,0)-IF(AND('calcA'!DV$117=1,YT39&gt;0),300,0)-IF(AND($U39=1,'calcA'!DW$117=1,HV39=0),300,0))),1000000000))</f>
        <v/>
      </c>
      <c r="SZ39">
        <f>IF($B39=0,1000000000,IF(INDEX('calcA'!$D$60:$EQ$99,$B39,125)*IF($W39=1,HV39+AEK39,HV39)=1,IF(AND($E39=2,IF($W39=1,AJZ39,NK39)=0),1000000000,IF($V39=1,INDEX('calcA'!$D$130:$EQ$169,$B39,125)+IF(AND($E39=1,NK39=0),25,0),INDEX('calcA'!DX$110:DX$114,$F39+1)+IF(AND($E39=1,NK39=0),1000,0)+IF($H39=1,INDEX('calcA'!$D$180:$EQ$219,$B39,125)*500,0)-IF(AND('calcA'!DW$117=1,YU39&gt;0),300,0)-IF(AND($U39=1,'calcA'!DX$117=1,HW39=0),300,0))),1000000000))</f>
        <v/>
      </c>
      <c r="TA39">
        <f>IF($B39=0,1000000000,IF(INDEX('calcA'!$D$60:$EQ$99,$B39,126)*IF($W39=1,HW39+AEL39,HW39)=1,IF(AND($E39=2,IF($W39=1,AKA39,NL39)=0),1000000000,IF($V39=1,INDEX('calcA'!$D$130:$EQ$169,$B39,126)+IF(AND($E39=1,NL39=0),25,0),INDEX('calcA'!DY$110:DY$114,$F39+1)+IF(AND($E39=1,NL39=0),1000,0)+IF($H39=1,INDEX('calcA'!$D$180:$EQ$219,$B39,126)*500,0)-IF(AND('calcA'!DX$117=1,YV39&gt;0),300,0)-IF(AND($U39=1,'calcA'!DY$117=1,HX39=0),300,0))),1000000000))</f>
        <v/>
      </c>
      <c r="TB39">
        <f>IF($B39=0,1000000000,IF(INDEX('calcA'!$D$60:$EQ$99,$B39,127)*IF($W39=1,HX39+AEM39,HX39)=1,IF(AND($E39=2,IF($W39=1,AKB39,NM39)=0),1000000000,IF($V39=1,INDEX('calcA'!$D$130:$EQ$169,$B39,127)+IF(AND($E39=1,NM39=0),25,0),INDEX('calcA'!DZ$110:DZ$114,$F39+1)+IF(AND($E39=1,NM39=0),1000,0)+IF($H39=1,INDEX('calcA'!$D$180:$EQ$219,$B39,127)*500,0)-IF(AND('calcA'!DY$117=1,YW39&gt;0),300,0)-IF(AND($U39=1,'calcA'!DZ$117=1,HY39=0),300,0))),1000000000))</f>
        <v/>
      </c>
      <c r="TC39">
        <f>IF($B39=0,1000000000,IF(INDEX('calcA'!$D$60:$EQ$99,$B39,128)*IF($W39=1,HY39+AEN39,HY39)=1,IF(AND($E39=2,IF($W39=1,AKC39,NN39)=0),1000000000,IF($V39=1,INDEX('calcA'!$D$130:$EQ$169,$B39,128)+IF(AND($E39=1,NN39=0),25,0),INDEX('calcA'!EA$110:EA$114,$F39+1)+IF(AND($E39=1,NN39=0),1000,0)+IF($H39=1,INDEX('calcA'!$D$180:$EQ$219,$B39,128)*500,0)-IF(AND('calcA'!DZ$117=1,YX39&gt;0),300,0)-IF(AND($U39=1,'calcA'!EA$117=1,HZ39=0),300,0))),1000000000))</f>
        <v/>
      </c>
      <c r="TD39">
        <f>IF($B39=0,1000000000,IF(INDEX('calcA'!$D$60:$EQ$99,$B39,129)*IF($W39=1,HZ39+AEO39,HZ39)=1,IF(AND($E39=2,IF($W39=1,AKD39,NO39)=0),1000000000,IF($V39=1,INDEX('calcA'!$D$130:$EQ$169,$B39,129)+IF(AND($E39=1,NO39=0),25,0),INDEX('calcA'!EB$110:EB$114,$F39+1)+IF(AND($E39=1,NO39=0),1000,0)+IF($H39=1,INDEX('calcA'!$D$180:$EQ$219,$B39,129)*500,0)-IF(AND('calcA'!EA$117=1,YY39&gt;0),300,0)-IF(AND($U39=1,'calcA'!EB$117=1,IA39=0),300,0))),1000000000))</f>
        <v/>
      </c>
      <c r="TE39">
        <f>IF($B39=0,1000000000,IF(INDEX('calcA'!$D$60:$EQ$99,$B39,130)*IF($W39=1,IA39+AEP39,IA39)=1,IF(AND($E39=2,IF($W39=1,AKE39,NP39)=0),1000000000,IF($V39=1,INDEX('calcA'!$D$130:$EQ$169,$B39,130)+IF(AND($E39=1,NP39=0),25,0),INDEX('calcA'!EC$110:EC$114,$F39+1)+IF(AND($E39=1,NP39=0),1000,0)+IF($H39=1,INDEX('calcA'!$D$180:$EQ$219,$B39,130)*500,0)-IF(AND('calcA'!EB$117=1,YZ39&gt;0),300,0)-IF(AND($U39=1,'calcA'!EC$117=1,IB39=0),300,0))),1000000000))</f>
        <v/>
      </c>
      <c r="TF39">
        <f>IF($B39=0,1000000000,IF(INDEX('calcA'!$D$60:$EQ$99,$B39,131)*IF($W39=1,IB39+AEQ39,IB39)=1,IF(AND($E39=2,IF($W39=1,AKF39,NQ39)=0),1000000000,IF($V39=1,INDEX('calcA'!$D$130:$EQ$169,$B39,131)+IF(AND($E39=1,NQ39=0),25,0),INDEX('calcA'!ED$110:ED$114,$F39+1)+IF(AND($E39=1,NQ39=0),1000,0)+IF($H39=1,INDEX('calcA'!$D$180:$EQ$219,$B39,131)*500,0)-IF(AND('calcA'!EC$117=1,ZA39&gt;0),300,0)-IF(AND($U39=1,'calcA'!ED$117=1,IC39=0),300,0))),1000000000))</f>
        <v/>
      </c>
      <c r="TG39">
        <f>IF($B39=0,1000000000,IF(INDEX('calcA'!$D$60:$EQ$99,$B39,132)*IF($W39=1,IC39+AER39,IC39)=1,IF(AND($E39=2,IF($W39=1,AKG39,NR39)=0),1000000000,IF($V39=1,INDEX('calcA'!$D$130:$EQ$169,$B39,132)+IF(AND($E39=1,NR39=0),25,0),INDEX('calcA'!EE$110:EE$114,$F39+1)+IF(AND($E39=1,NR39=0),1000,0)+IF($H39=1,INDEX('calcA'!$D$180:$EQ$219,$B39,132)*500,0)-IF(AND('calcA'!ED$117=1,ZB39&gt;0),300,0)-IF(AND($U39=1,'calcA'!EE$117=1,ID39=0),300,0))),1000000000))</f>
        <v/>
      </c>
      <c r="TH39">
        <f>IF($B39=0,1000000000,IF(INDEX('calcA'!$D$60:$EQ$99,$B39,133)*IF($W39=1,ID39+AES39,ID39)=1,IF(AND($E39=2,IF($W39=1,AKH39,NS39)=0),1000000000,IF($V39=1,INDEX('calcA'!$D$130:$EQ$169,$B39,133)+IF(AND($E39=1,NS39=0),25,0),INDEX('calcA'!EF$110:EF$114,$F39+1)+IF(AND($E39=1,NS39=0),1000,0)+IF($H39=1,INDEX('calcA'!$D$180:$EQ$219,$B39,133)*500,0)-IF(AND('calcA'!EE$117=1,ZC39&gt;0),300,0)-IF(AND($U39=1,'calcA'!EF$117=1,IE39=0),300,0))),1000000000))</f>
        <v/>
      </c>
      <c r="TI39">
        <f>IF($B39=0,1000000000,IF(INDEX('calcA'!$D$60:$EQ$99,$B39,134)*IF($W39=1,IE39+AET39,IE39)=1,IF(AND($E39=2,IF($W39=1,AKI39,NT39)=0),1000000000,IF($V39=1,INDEX('calcA'!$D$130:$EQ$169,$B39,134)+IF(AND($E39=1,NT39=0),25,0),INDEX('calcA'!EG$110:EG$114,$F39+1)+IF(AND($E39=1,NT39=0),1000,0)+IF($H39=1,INDEX('calcA'!$D$180:$EQ$219,$B39,134)*500,0)-IF(AND('calcA'!EF$117=1,ZD39&gt;0),300,0)-IF(AND($U39=1,'calcA'!EG$117=1,IF39=0),300,0))),1000000000))</f>
        <v/>
      </c>
      <c r="TJ39">
        <f>IF($B39=0,1000000000,IF(INDEX('calcA'!$D$60:$EQ$99,$B39,135)*IF($W39=1,IF39+AEU39,IF39)=1,IF(AND($E39=2,IF($W39=1,AKJ39,NU39)=0),1000000000,IF($V39=1,INDEX('calcA'!$D$130:$EQ$169,$B39,135)+IF(AND($E39=1,NU39=0),25,0),INDEX('calcA'!EH$110:EH$114,$F39+1)+IF(AND($E39=1,NU39=0),1000,0)+IF($H39=1,INDEX('calcA'!$D$180:$EQ$219,$B39,135)*500,0)-IF(AND('calcA'!EG$117=1,ZE39&gt;0),300,0)-IF(AND($U39=1,'calcA'!EH$117=1,IG39=0),300,0))),1000000000))</f>
        <v/>
      </c>
      <c r="TK39">
        <f>IF($B39=0,1000000000,IF(INDEX('calcA'!$D$60:$EQ$99,$B39,136)*IF($W39=1,IG39+AEV39,IG39)=1,IF(AND($E39=2,IF($W39=1,AKK39,NV39)=0),1000000000,IF($V39=1,INDEX('calcA'!$D$130:$EQ$169,$B39,136)+IF(AND($E39=1,NV39=0),25,0),INDEX('calcA'!EI$110:EI$114,$F39+1)+IF(AND($E39=1,NV39=0),1000,0)+IF($H39=1,INDEX('calcA'!$D$180:$EQ$219,$B39,136)*500,0)-IF(AND('calcA'!EH$117=1,ZF39&gt;0),300,0)-IF(AND($U39=1,'calcA'!EI$117=1,IH39=0),300,0))),1000000000))</f>
        <v/>
      </c>
      <c r="TL39">
        <f>IF($B39=0,1000000000,IF(INDEX('calcA'!$D$60:$EQ$99,$B39,137)*IF($W39=1,IH39+AEW39,IH39)=1,IF(AND($E39=2,IF($W39=1,AKL39,NW39)=0),1000000000,IF($V39=1,INDEX('calcA'!$D$130:$EQ$169,$B39,137)+IF(AND($E39=1,NW39=0),25,0),INDEX('calcA'!EJ$110:EJ$114,$F39+1)+IF(AND($E39=1,NW39=0),1000,0)+IF($H39=1,INDEX('calcA'!$D$180:$EQ$219,$B39,137)*500,0)-IF(AND('calcA'!EI$117=1,ZG39&gt;0),300,0)-IF(AND($U39=1,'calcA'!EJ$117=1,II39=0),300,0))),1000000000))</f>
        <v/>
      </c>
      <c r="TM39">
        <f>IF($B39=0,1000000000,IF(INDEX('calcA'!$D$60:$EQ$99,$B39,138)*IF($W39=1,II39+AEX39,II39)=1,IF(AND($E39=2,IF($W39=1,AKM39,NX39)=0),1000000000,IF($V39=1,INDEX('calcA'!$D$130:$EQ$169,$B39,138)+IF(AND($E39=1,NX39=0),25,0),INDEX('calcA'!EK$110:EK$114,$F39+1)+IF(AND($E39=1,NX39=0),1000,0)+IF($H39=1,INDEX('calcA'!$D$180:$EQ$219,$B39,138)*500,0)-IF(AND('calcA'!EJ$117=1,ZH39&gt;0),300,0)-IF(AND($U39=1,'calcA'!EK$117=1,IJ39=0),300,0))),1000000000))</f>
        <v/>
      </c>
      <c r="TN39">
        <f>IF($B39=0,1000000000,IF(INDEX('calcA'!$D$60:$EQ$99,$B39,139)*IF($W39=1,IJ39+AEY39,IJ39)=1,IF(AND($E39=2,IF($W39=1,AKN39,NY39)=0),1000000000,IF($V39=1,INDEX('calcA'!$D$130:$EQ$169,$B39,139)+IF(AND($E39=1,NY39=0),25,0),INDEX('calcA'!EL$110:EL$114,$F39+1)+IF(AND($E39=1,NY39=0),1000,0)+IF($H39=1,INDEX('calcA'!$D$180:$EQ$219,$B39,139)*500,0)-IF(AND('calcA'!EK$117=1,ZI39&gt;0),300,0)-IF(AND($U39=1,'calcA'!EL$117=1,IK39=0),300,0))),1000000000))</f>
        <v/>
      </c>
      <c r="TO39">
        <f>IF($B39=0,1000000000,IF(INDEX('calcA'!$D$60:$EQ$99,$B39,140)*IF($W39=1,IK39+AEZ39,IK39)=1,IF(AND($E39=2,IF($W39=1,AKO39,NZ39)=0),1000000000,IF($V39=1,INDEX('calcA'!$D$130:$EQ$169,$B39,140)+IF(AND($E39=1,NZ39=0),25,0),INDEX('calcA'!EM$110:EM$114,$F39+1)+IF(AND($E39=1,NZ39=0),1000,0)+IF($H39=1,INDEX('calcA'!$D$180:$EQ$219,$B39,140)*500,0)-IF(AND('calcA'!EL$117=1,ZJ39&gt;0),300,0)-IF(AND($U39=1,'calcA'!EM$117=1,IL39=0),300,0))),1000000000))</f>
        <v/>
      </c>
      <c r="TP39">
        <f>IF($B39=0,1000000000,IF(INDEX('calcA'!$D$60:$EQ$99,$B39,141)*IF($W39=1,IL39+AFA39,IL39)=1,IF(AND($E39=2,IF($W39=1,AKP39,OA39)=0),1000000000,IF($V39=1,INDEX('calcA'!$D$130:$EQ$169,$B39,141)+IF(AND($E39=1,OA39=0),25,0),INDEX('calcA'!EN$110:EN$114,$F39+1)+IF(AND($E39=1,OA39=0),1000,0)+IF($H39=1,INDEX('calcA'!$D$180:$EQ$219,$B39,141)*500,0)-IF(AND('calcA'!EM$117=1,ZK39&gt;0),300,0)-IF(AND($U39=1,'calcA'!EN$117=1,IM39=0),300,0))),1000000000))</f>
        <v/>
      </c>
      <c r="TQ39">
        <f>IF($B39=0,1000000000,IF(INDEX('calcA'!$D$60:$EQ$99,$B39,142)*IF($W39=1,IM39+AFB39,IM39)=1,IF(AND($E39=2,IF($W39=1,AKQ39,OB39)=0),1000000000,IF($V39=1,INDEX('calcA'!$D$130:$EQ$169,$B39,142)+IF(AND($E39=1,OB39=0),25,0),INDEX('calcA'!EO$110:EO$114,$F39+1)+IF(AND($E39=1,OB39=0),1000,0)+IF($H39=1,INDEX('calcA'!$D$180:$EQ$219,$B39,142)*500,0)-IF(AND('calcA'!EN$117=1,ZL39&gt;0),300,0)-IF(AND($U39=1,'calcA'!EO$117=1,IN39=0),300,0))),1000000000))</f>
        <v/>
      </c>
      <c r="TR39">
        <f>IF($B39=0,1000000000,IF(INDEX('calcA'!$D$60:$EQ$99,$B39,143)*IF($W39=1,IN39+AFC39,IN39)=1,IF(AND($E39=2,IF($W39=1,AKR39,OC39)=0),1000000000,IF($V39=1,INDEX('calcA'!$D$130:$EQ$169,$B39,143)+IF(AND($E39=1,OC39=0),25,0),INDEX('calcA'!EP$110:EP$114,$F39+1)+IF(AND($E39=1,OC39=0),1000,0)+IF($H39=1,INDEX('calcA'!$D$180:$EQ$219,$B39,143)*500,0)-IF(AND('calcA'!EO$117=1,ZM39&gt;0),300,0)-IF(AND($U39=1,'calcA'!EP$117=1,IO39=0),300,0))),1000000000))</f>
        <v/>
      </c>
      <c r="TS39">
        <f>IF($B39=0,1000000000,IF(INDEX('calcA'!$D$60:$EQ$99,$B39,144)*IF($W39=1,IO39+AFD39,IO39)=1,IF(AND($E39=2,IF($W39=1,AKS39,OD39)=0),1000000000,IF($V39=1,INDEX('calcA'!$D$130:$EQ$169,$B39,144)+IF(AND($E39=1,OD39=0),25,0),INDEX('calcA'!EQ$110:EQ$114,$F39+1)+IF(AND($E39=1,OD39=0),1000,0)+IF($H39=1,INDEX('calcA'!$D$180:$EQ$219,$B39,144)*500,0)-IF(AND('calcA'!EP$117=1,ZN39&gt;0),300,0))),1000000000))</f>
        <v/>
      </c>
      <c r="UB39">
        <f>UB38+IF(AND($C38=1,$U38=1),1,0)</f>
        <v/>
      </c>
      <c r="UC39">
        <f>UC38+IF(AND($C38=2,$U38=1),1,0)</f>
        <v/>
      </c>
      <c r="UD39">
        <f>UD38+IF(AND($C38=3,$U38=1),1,0)</f>
        <v/>
      </c>
      <c r="UE39">
        <f>UE38+IF(AND($C38=4,$U38=1),1,0)</f>
        <v/>
      </c>
      <c r="UF39">
        <f>UF38+IF(AND($C38=5,$U38=1),1,0)</f>
        <v/>
      </c>
      <c r="UG39">
        <f>UG38+IF(AND($C38=6,$U38=1),1,0)</f>
        <v/>
      </c>
      <c r="UH39">
        <f>UH38+IF(AND($C38=7,$U38=1),1,0)</f>
        <v/>
      </c>
      <c r="UI39">
        <f>UI38+IF(AND($C38=8,$U38=1),1,0)</f>
        <v/>
      </c>
      <c r="UJ39">
        <f>UJ38+IF(AND($C38=9,$U38=1),1,0)</f>
        <v/>
      </c>
      <c r="UK39">
        <f>UK38+IF(AND($C38=10,$U38=1),1,0)</f>
        <v/>
      </c>
      <c r="UL39">
        <f>UL38+IF(AND($C38=11,$U38=1),1,0)</f>
        <v/>
      </c>
      <c r="UM39">
        <f>UM38+IF(AND($C38=12,$U38=1),1,0)</f>
        <v/>
      </c>
      <c r="UN39">
        <f>UN38+IF(AND($C38=13,$U38=1),1,0)</f>
        <v/>
      </c>
      <c r="UO39">
        <f>UO38+IF(AND($C38=14,$U38=1),1,0)</f>
        <v/>
      </c>
      <c r="UP39">
        <f>UP38+IF(AND($C38=15,$U38=1),1,0)</f>
        <v/>
      </c>
      <c r="UQ39">
        <f>UQ38+IF(AND($C38=16,$U38=1),1,0)</f>
        <v/>
      </c>
      <c r="UR39">
        <f>UR38+IF(AND($C38=17,$U38=1),1,0)</f>
        <v/>
      </c>
      <c r="US39">
        <f>US38+IF(AND($C38=18,$U38=1),1,0)</f>
        <v/>
      </c>
      <c r="UT39">
        <f>UT38+IF(AND($C38=19,$U38=1),1,0)</f>
        <v/>
      </c>
      <c r="UU39">
        <f>UU38+IF(AND($C38=20,$U38=1),1,0)</f>
        <v/>
      </c>
      <c r="UV39">
        <f>UV38+IF(AND($C38=21,$U38=1),1,0)</f>
        <v/>
      </c>
      <c r="UW39">
        <f>UW38+IF(AND($C38=22,$U38=1),1,0)</f>
        <v/>
      </c>
      <c r="UX39">
        <f>UX38+IF(AND($C38=23,$U38=1),1,0)</f>
        <v/>
      </c>
      <c r="UY39">
        <f>UY38+IF(AND($C38=24,$U38=1),1,0)</f>
        <v/>
      </c>
      <c r="UZ39">
        <f>UZ38+IF(AND($C38=25,$U38=1),1,0)</f>
        <v/>
      </c>
      <c r="VA39">
        <f>VA38+IF(AND($C38=26,$U38=1),1,0)</f>
        <v/>
      </c>
      <c r="VB39">
        <f>VB38+IF(AND($C38=27,$U38=1),1,0)</f>
        <v/>
      </c>
      <c r="VC39">
        <f>VC38+IF(AND($C38=28,$U38=1),1,0)</f>
        <v/>
      </c>
      <c r="VD39">
        <f>VD38+IF(AND($C38=29,$U38=1),1,0)</f>
        <v/>
      </c>
      <c r="VE39">
        <f>VE38+IF(AND($C38=30,$U38=1),1,0)</f>
        <v/>
      </c>
      <c r="VF39">
        <f>VF38+IF(AND($C38=31,$U38=1),1,0)</f>
        <v/>
      </c>
      <c r="VG39">
        <f>VG38+IF(AND($C38=32,$U38=1),1,0)</f>
        <v/>
      </c>
      <c r="VH39">
        <f>VH38+IF(AND($C38=33,$U38=1),1,0)</f>
        <v/>
      </c>
      <c r="VI39">
        <f>VI38+IF(AND($C38=34,$U38=1),1,0)</f>
        <v/>
      </c>
      <c r="VJ39">
        <f>VJ38+IF(AND($C38=35,$U38=1),1,0)</f>
        <v/>
      </c>
      <c r="VK39">
        <f>VK38+IF(AND($C38=36,$U38=1),1,0)</f>
        <v/>
      </c>
      <c r="VL39">
        <f>VL38+IF(AND($C38=37,$U38=1),1,0)</f>
        <v/>
      </c>
      <c r="VM39">
        <f>VM38+IF(AND($C38=38,$U38=1),1,0)</f>
        <v/>
      </c>
      <c r="VN39">
        <f>VN38+IF(AND($C38=39,$U38=1),1,0)</f>
        <v/>
      </c>
      <c r="VO39">
        <f>VO38+IF(AND($C38=40,$U38=1),1,0)</f>
        <v/>
      </c>
      <c r="VP39">
        <f>VP38+IF(AND($C38=41,$U38=1),1,0)</f>
        <v/>
      </c>
      <c r="VQ39">
        <f>VQ38+IF(AND($C38=42,$U38=1),1,0)</f>
        <v/>
      </c>
      <c r="VR39">
        <f>VR38+IF(AND($C38=43,$U38=1),1,0)</f>
        <v/>
      </c>
      <c r="VS39">
        <f>VS38+IF(AND($C38=44,$U38=1),1,0)</f>
        <v/>
      </c>
      <c r="VT39">
        <f>VT38+IF(AND($C38=45,$U38=1),1,0)</f>
        <v/>
      </c>
      <c r="VU39">
        <f>VU38+IF(AND($C38=46,$U38=1),1,0)</f>
        <v/>
      </c>
      <c r="VV39">
        <f>VV38+IF(AND($C38=47,$U38=1),1,0)</f>
        <v/>
      </c>
      <c r="VW39">
        <f>VW38+IF(AND($C38=48,$U38=1),1,0)</f>
        <v/>
      </c>
      <c r="VX39">
        <f>VX38+IF(AND($C38=49,$U38=1),1,0)</f>
        <v/>
      </c>
      <c r="VY39">
        <f>VY38+IF(AND($C38=50,$U38=1),1,0)</f>
        <v/>
      </c>
      <c r="VZ39">
        <f>VZ38+IF(AND($C38=51,$U38=1),1,0)</f>
        <v/>
      </c>
      <c r="WA39">
        <f>WA38+IF(AND($C38=52,$U38=1),1,0)</f>
        <v/>
      </c>
      <c r="WB39">
        <f>WB38+IF(AND($C38=53,$U38=1),1,0)</f>
        <v/>
      </c>
      <c r="WC39">
        <f>WC38+IF(AND($C38=54,$U38=1),1,0)</f>
        <v/>
      </c>
      <c r="WD39">
        <f>WD38+IF(AND($C38=55,$U38=1),1,0)</f>
        <v/>
      </c>
      <c r="WE39">
        <f>WE38+IF(AND($C38=56,$U38=1),1,0)</f>
        <v/>
      </c>
      <c r="WF39">
        <f>WF38+IF(AND($C38=57,$U38=1),1,0)</f>
        <v/>
      </c>
      <c r="WG39">
        <f>WG38+IF(AND($C38=58,$U38=1),1,0)</f>
        <v/>
      </c>
      <c r="WH39">
        <f>WH38+IF(AND($C38=59,$U38=1),1,0)</f>
        <v/>
      </c>
      <c r="WI39">
        <f>WI38+IF(AND($C38=60,$U38=1),1,0)</f>
        <v/>
      </c>
      <c r="WJ39">
        <f>WJ38+IF(AND($C38=61,$U38=1),1,0)</f>
        <v/>
      </c>
      <c r="WK39">
        <f>WK38+IF(AND($C38=62,$U38=1),1,0)</f>
        <v/>
      </c>
      <c r="WL39">
        <f>WL38+IF(AND($C38=63,$U38=1),1,0)</f>
        <v/>
      </c>
      <c r="WM39">
        <f>WM38+IF(AND($C38=64,$U38=1),1,0)</f>
        <v/>
      </c>
      <c r="WN39">
        <f>WN38+IF(AND($C38=65,$U38=1),1,0)</f>
        <v/>
      </c>
      <c r="WO39">
        <f>WO38+IF(AND($C38=66,$U38=1),1,0)</f>
        <v/>
      </c>
      <c r="WP39">
        <f>WP38+IF(AND($C38=67,$U38=1),1,0)</f>
        <v/>
      </c>
      <c r="WQ39">
        <f>WQ38+IF(AND($C38=68,$U38=1),1,0)</f>
        <v/>
      </c>
      <c r="WR39">
        <f>WR38+IF(AND($C38=69,$U38=1),1,0)</f>
        <v/>
      </c>
      <c r="WS39">
        <f>WS38+IF(AND($C38=70,$U38=1),1,0)</f>
        <v/>
      </c>
      <c r="WT39">
        <f>WT38+IF(AND($C38=71,$U38=1),1,0)</f>
        <v/>
      </c>
      <c r="WU39">
        <f>WU38+IF(AND($C38=72,$U38=1),1,0)</f>
        <v/>
      </c>
      <c r="WV39">
        <f>WV38+IF(AND($C38=73,$U38=1),1,0)</f>
        <v/>
      </c>
      <c r="WW39">
        <f>WW38+IF(AND($C38=74,$U38=1),1,0)</f>
        <v/>
      </c>
      <c r="WX39">
        <f>WX38+IF(AND($C38=75,$U38=1),1,0)</f>
        <v/>
      </c>
      <c r="WY39">
        <f>WY38+IF(AND($C38=76,$U38=1),1,0)</f>
        <v/>
      </c>
      <c r="WZ39">
        <f>WZ38+IF(AND($C38=77,$U38=1),1,0)</f>
        <v/>
      </c>
      <c r="XA39">
        <f>XA38+IF(AND($C38=78,$U38=1),1,0)</f>
        <v/>
      </c>
      <c r="XB39">
        <f>XB38+IF(AND($C38=79,$U38=1),1,0)</f>
        <v/>
      </c>
      <c r="XC39">
        <f>XC38+IF(AND($C38=80,$U38=1),1,0)</f>
        <v/>
      </c>
      <c r="XD39">
        <f>XD38+IF(AND($C38=81,$U38=1),1,0)</f>
        <v/>
      </c>
      <c r="XE39">
        <f>XE38+IF(AND($C38=82,$U38=1),1,0)</f>
        <v/>
      </c>
      <c r="XF39">
        <f>XF38+IF(AND($C38=83,$U38=1),1,0)</f>
        <v/>
      </c>
      <c r="XG39">
        <f>XG38+IF(AND($C38=84,$U38=1),1,0)</f>
        <v/>
      </c>
      <c r="XH39">
        <f>XH38+IF(AND($C38=85,$U38=1),1,0)</f>
        <v/>
      </c>
      <c r="XI39">
        <f>XI38+IF(AND($C38=86,$U38=1),1,0)</f>
        <v/>
      </c>
      <c r="XJ39">
        <f>XJ38+IF(AND($C38=87,$U38=1),1,0)</f>
        <v/>
      </c>
      <c r="XK39">
        <f>XK38+IF(AND($C38=88,$U38=1),1,0)</f>
        <v/>
      </c>
      <c r="XL39">
        <f>XL38+IF(AND($C38=89,$U38=1),1,0)</f>
        <v/>
      </c>
      <c r="XM39">
        <f>XM38+IF(AND($C38=90,$U38=1),1,0)</f>
        <v/>
      </c>
      <c r="XN39">
        <f>XN38+IF(AND($C38=91,$U38=1),1,0)</f>
        <v/>
      </c>
      <c r="XO39">
        <f>XO38+IF(AND($C38=92,$U38=1),1,0)</f>
        <v/>
      </c>
      <c r="XP39">
        <f>XP38+IF(AND($C38=93,$U38=1),1,0)</f>
        <v/>
      </c>
      <c r="XQ39">
        <f>XQ38+IF(AND($C38=94,$U38=1),1,0)</f>
        <v/>
      </c>
      <c r="XR39">
        <f>XR38+IF(AND($C38=95,$U38=1),1,0)</f>
        <v/>
      </c>
      <c r="XS39">
        <f>XS38+IF(AND($C38=96,$U38=1),1,0)</f>
        <v/>
      </c>
      <c r="XT39">
        <f>XT38+IF(AND($C38=97,$U38=1),1,0)</f>
        <v/>
      </c>
      <c r="XU39">
        <f>XU38+IF(AND($C38=98,$U38=1),1,0)</f>
        <v/>
      </c>
      <c r="XV39">
        <f>XV38+IF(AND($C38=99,$U38=1),1,0)</f>
        <v/>
      </c>
      <c r="XW39">
        <f>XW38+IF(AND($C38=100,$U38=1),1,0)</f>
        <v/>
      </c>
      <c r="XX39">
        <f>XX38+IF(AND($C38=101,$U38=1),1,0)</f>
        <v/>
      </c>
      <c r="XY39">
        <f>XY38+IF(AND($C38=102,$U38=1),1,0)</f>
        <v/>
      </c>
      <c r="XZ39">
        <f>XZ38+IF(AND($C38=103,$U38=1),1,0)</f>
        <v/>
      </c>
      <c r="YA39">
        <f>YA38+IF(AND($C38=104,$U38=1),1,0)</f>
        <v/>
      </c>
      <c r="YB39">
        <f>YB38+IF(AND($C38=105,$U38=1),1,0)</f>
        <v/>
      </c>
      <c r="YC39">
        <f>YC38+IF(AND($C38=106,$U38=1),1,0)</f>
        <v/>
      </c>
      <c r="YD39">
        <f>YD38+IF(AND($C38=107,$U38=1),1,0)</f>
        <v/>
      </c>
      <c r="YE39">
        <f>YE38+IF(AND($C38=108,$U38=1),1,0)</f>
        <v/>
      </c>
      <c r="YF39">
        <f>YF38+IF(AND($C38=109,$U38=1),1,0)</f>
        <v/>
      </c>
      <c r="YG39">
        <f>YG38+IF(AND($C38=110,$U38=1),1,0)</f>
        <v/>
      </c>
      <c r="YH39">
        <f>YH38+IF(AND($C38=111,$U38=1),1,0)</f>
        <v/>
      </c>
      <c r="YI39">
        <f>YI38+IF(AND($C38=112,$U38=1),1,0)</f>
        <v/>
      </c>
      <c r="YJ39">
        <f>YJ38+IF(AND($C38=113,$U38=1),1,0)</f>
        <v/>
      </c>
      <c r="YK39">
        <f>YK38+IF(AND($C38=114,$U38=1),1,0)</f>
        <v/>
      </c>
      <c r="YL39">
        <f>YL38+IF(AND($C38=115,$U38=1),1,0)</f>
        <v/>
      </c>
      <c r="YM39">
        <f>YM38+IF(AND($C38=116,$U38=1),1,0)</f>
        <v/>
      </c>
      <c r="YN39">
        <f>YN38+IF(AND($C38=117,$U38=1),1,0)</f>
        <v/>
      </c>
      <c r="YO39">
        <f>YO38+IF(AND($C38=118,$U38=1),1,0)</f>
        <v/>
      </c>
      <c r="YP39">
        <f>YP38+IF(AND($C38=119,$U38=1),1,0)</f>
        <v/>
      </c>
      <c r="YQ39">
        <f>YQ38+IF(AND($C38=120,$U38=1),1,0)</f>
        <v/>
      </c>
      <c r="YR39">
        <f>YR38+IF(AND($C38=121,$U38=1),1,0)</f>
        <v/>
      </c>
      <c r="YS39">
        <f>YS38+IF(AND($C38=122,$U38=1),1,0)</f>
        <v/>
      </c>
      <c r="YT39">
        <f>YT38+IF(AND($C38=123,$U38=1),1,0)</f>
        <v/>
      </c>
      <c r="YU39">
        <f>YU38+IF(AND($C38=124,$U38=1),1,0)</f>
        <v/>
      </c>
      <c r="YV39">
        <f>YV38+IF(AND($C38=125,$U38=1),1,0)</f>
        <v/>
      </c>
      <c r="YW39">
        <f>YW38+IF(AND($C38=126,$U38=1),1,0)</f>
        <v/>
      </c>
      <c r="YX39">
        <f>YX38+IF(AND($C38=127,$U38=1),1,0)</f>
        <v/>
      </c>
      <c r="YY39">
        <f>YY38+IF(AND($C38=128,$U38=1),1,0)</f>
        <v/>
      </c>
      <c r="YZ39">
        <f>YZ38+IF(AND($C38=129,$U38=1),1,0)</f>
        <v/>
      </c>
      <c r="ZA39">
        <f>ZA38+IF(AND($C38=130,$U38=1),1,0)</f>
        <v/>
      </c>
      <c r="ZB39">
        <f>ZB38+IF(AND($C38=131,$U38=1),1,0)</f>
        <v/>
      </c>
      <c r="ZC39">
        <f>ZC38+IF(AND($C38=132,$U38=1),1,0)</f>
        <v/>
      </c>
      <c r="ZD39">
        <f>ZD38+IF(AND($C38=133,$U38=1),1,0)</f>
        <v/>
      </c>
      <c r="ZE39">
        <f>ZE38+IF(AND($C38=134,$U38=1),1,0)</f>
        <v/>
      </c>
      <c r="ZF39">
        <f>ZF38+IF(AND($C38=135,$U38=1),1,0)</f>
        <v/>
      </c>
      <c r="ZG39">
        <f>ZG38+IF(AND($C38=136,$U38=1),1,0)</f>
        <v/>
      </c>
      <c r="ZH39">
        <f>ZH38+IF(AND($C38=137,$U38=1),1,0)</f>
        <v/>
      </c>
      <c r="ZI39">
        <f>ZI38+IF(AND($C38=138,$U38=1),1,0)</f>
        <v/>
      </c>
      <c r="ZJ39">
        <f>ZJ38+IF(AND($C38=139,$U38=1),1,0)</f>
        <v/>
      </c>
      <c r="ZK39">
        <f>ZK38+IF(AND($C38=140,$U38=1),1,0)</f>
        <v/>
      </c>
      <c r="ZL39">
        <f>ZL38+IF(AND($C38=141,$U38=1),1,0)</f>
        <v/>
      </c>
      <c r="ZM39">
        <f>ZM38+IF(AND($C38=142,$U38=1),1,0)</f>
        <v/>
      </c>
      <c r="ZN39">
        <f>ZN38+IF(AND($C38=143,$U38=1),1,0)</f>
        <v/>
      </c>
      <c r="ZO39">
        <f>ZO38+IF(AND($C38=144,$U38=1),1,0)</f>
        <v/>
      </c>
      <c r="ZQ39">
        <f>IF($C38=1,0,ZQ38+IF(AND($G38=1,$E38=1),1,0))</f>
        <v/>
      </c>
      <c r="ZR39">
        <f>IF($C38=2,0,ZR38+IF(AND($G38=2,$E38=1),1,0))</f>
        <v/>
      </c>
      <c r="ZS39">
        <f>IF($C38=3,0,ZS38+IF(AND($G38=3,$E38=1),1,0))</f>
        <v/>
      </c>
      <c r="ZT39">
        <f>IF($C38=4,0,ZT38+IF(AND($G38=4,$E38=1),1,0))</f>
        <v/>
      </c>
      <c r="ZU39">
        <f>IF($C38=5,0,ZU38+IF(AND($G38=5,$E38=1),1,0))</f>
        <v/>
      </c>
      <c r="ZV39">
        <f>IF($C38=6,0,ZV38+IF(AND($G38=6,$E38=1),1,0))</f>
        <v/>
      </c>
      <c r="ZW39">
        <f>IF($C38=7,0,ZW38+IF(AND($G38=7,$E38=1),1,0))</f>
        <v/>
      </c>
      <c r="ZX39">
        <f>IF($C38=8,0,ZX38+IF(AND($G38=8,$E38=1),1,0))</f>
        <v/>
      </c>
      <c r="ZY39">
        <f>IF($C38=9,0,ZY38+IF(AND($G38=9,$E38=1),1,0))</f>
        <v/>
      </c>
      <c r="ZZ39">
        <f>IF($C38=10,0,ZZ38+IF(AND($G38=10,$E38=1),1,0))</f>
        <v/>
      </c>
      <c r="AAA39">
        <f>IF($C38=11,0,AAA38+IF(AND($G38=11,$E38=1),1,0))</f>
        <v/>
      </c>
      <c r="AAB39">
        <f>IF($C38=12,0,AAB38+IF(AND($G38=12,$E38=1),1,0))</f>
        <v/>
      </c>
      <c r="AAC39">
        <f>IF($C38=13,0,AAC38+IF(AND($G38=13,$E38=1),1,0))</f>
        <v/>
      </c>
      <c r="AAD39">
        <f>IF($C38=14,0,AAD38+IF(AND($G38=14,$E38=1),1,0))</f>
        <v/>
      </c>
      <c r="AAE39">
        <f>IF($C38=15,0,AAE38+IF(AND($G38=15,$E38=1),1,0))</f>
        <v/>
      </c>
      <c r="AAF39">
        <f>IF($C38=16,0,AAF38+IF(AND($G38=16,$E38=1),1,0))</f>
        <v/>
      </c>
      <c r="AAG39">
        <f>IF($C38=17,0,AAG38+IF(AND($G38=17,$E38=1),1,0))</f>
        <v/>
      </c>
      <c r="AAH39">
        <f>IF($C38=18,0,AAH38+IF(AND($G38=18,$E38=1),1,0))</f>
        <v/>
      </c>
      <c r="AAI39">
        <f>IF($C38=19,0,AAI38+IF(AND($G38=19,$E38=1),1,0))</f>
        <v/>
      </c>
      <c r="AAJ39">
        <f>IF($C38=20,0,AAJ38+IF(AND($G38=20,$E38=1),1,0))</f>
        <v/>
      </c>
      <c r="AAK39">
        <f>IF($C38=21,0,AAK38+IF(AND($G38=21,$E38=1),1,0))</f>
        <v/>
      </c>
      <c r="AAL39">
        <f>IF($C38=22,0,AAL38+IF(AND($G38=22,$E38=1),1,0))</f>
        <v/>
      </c>
      <c r="AAM39">
        <f>IF($C38=23,0,AAM38+IF(AND($G38=23,$E38=1),1,0))</f>
        <v/>
      </c>
      <c r="AAN39">
        <f>IF($C38=24,0,AAN38+IF(AND($G38=24,$E38=1),1,0))</f>
        <v/>
      </c>
      <c r="AAO39">
        <f>IF($C38=25,0,AAO38+IF(AND($G38=25,$E38=1),1,0))</f>
        <v/>
      </c>
      <c r="AAP39">
        <f>IF($C38=26,0,AAP38+IF(AND($G38=26,$E38=1),1,0))</f>
        <v/>
      </c>
      <c r="AAQ39">
        <f>IF($C38=27,0,AAQ38+IF(AND($G38=27,$E38=1),1,0))</f>
        <v/>
      </c>
      <c r="AAR39">
        <f>IF($C38=28,0,AAR38+IF(AND($G38=28,$E38=1),1,0))</f>
        <v/>
      </c>
      <c r="AAS39">
        <f>IF($C38=29,0,AAS38+IF(AND($G38=29,$E38=1),1,0))</f>
        <v/>
      </c>
      <c r="AAT39">
        <f>IF($C38=30,0,AAT38+IF(AND($G38=30,$E38=1),1,0))</f>
        <v/>
      </c>
      <c r="AAU39">
        <f>IF($C38=31,0,AAU38+IF(AND($G38=31,$E38=1),1,0))</f>
        <v/>
      </c>
      <c r="AAV39">
        <f>IF($C38=32,0,AAV38+IF(AND($G38=32,$E38=1),1,0))</f>
        <v/>
      </c>
      <c r="AAW39">
        <f>IF($C38=33,0,AAW38+IF(AND($G38=33,$E38=1),1,0))</f>
        <v/>
      </c>
      <c r="AAX39">
        <f>IF($C38=34,0,AAX38+IF(AND($G38=34,$E38=1),1,0))</f>
        <v/>
      </c>
      <c r="AAY39">
        <f>IF($C38=35,0,AAY38+IF(AND($G38=35,$E38=1),1,0))</f>
        <v/>
      </c>
      <c r="AAZ39">
        <f>IF($C38=36,0,AAZ38+IF(AND($G38=36,$E38=1),1,0))</f>
        <v/>
      </c>
      <c r="ABA39">
        <f>IF($C38=37,0,ABA38+IF(AND($G38=37,$E38=1),1,0))</f>
        <v/>
      </c>
      <c r="ABB39">
        <f>IF($C38=38,0,ABB38+IF(AND($G38=38,$E38=1),1,0))</f>
        <v/>
      </c>
      <c r="ABC39">
        <f>IF($C38=39,0,ABC38+IF(AND($G38=39,$E38=1),1,0))</f>
        <v/>
      </c>
      <c r="ABD39">
        <f>IF($C38=40,0,ABD38+IF(AND($G38=40,$E38=1),1,0))</f>
        <v/>
      </c>
      <c r="ABE39">
        <f>IF($C38=41,0,ABE38+IF(AND($G38=41,$E38=1),1,0))</f>
        <v/>
      </c>
      <c r="ABF39">
        <f>IF($C38=42,0,ABF38+IF(AND($G38=42,$E38=1),1,0))</f>
        <v/>
      </c>
      <c r="ABG39">
        <f>IF($C38=43,0,ABG38+IF(AND($G38=43,$E38=1),1,0))</f>
        <v/>
      </c>
      <c r="ABH39">
        <f>IF($C38=44,0,ABH38+IF(AND($G38=44,$E38=1),1,0))</f>
        <v/>
      </c>
      <c r="ABI39">
        <f>IF($C38=45,0,ABI38+IF(AND($G38=45,$E38=1),1,0))</f>
        <v/>
      </c>
      <c r="ABJ39">
        <f>IF($C38=46,0,ABJ38+IF(AND($G38=46,$E38=1),1,0))</f>
        <v/>
      </c>
      <c r="ABK39">
        <f>IF($C38=47,0,ABK38+IF(AND($G38=47,$E38=1),1,0))</f>
        <v/>
      </c>
      <c r="ABL39">
        <f>IF($C38=48,0,ABL38+IF(AND($G38=48,$E38=1),1,0))</f>
        <v/>
      </c>
      <c r="ABM39">
        <f>IF($C38=49,0,ABM38+IF(AND($G38=49,$E38=1),1,0))</f>
        <v/>
      </c>
      <c r="ABN39">
        <f>IF($C38=50,0,ABN38+IF(AND($G38=50,$E38=1),1,0))</f>
        <v/>
      </c>
      <c r="ABO39">
        <f>IF($C38=51,0,ABO38+IF(AND($G38=51,$E38=1),1,0))</f>
        <v/>
      </c>
      <c r="ABP39">
        <f>IF($C38=52,0,ABP38+IF(AND($G38=52,$E38=1),1,0))</f>
        <v/>
      </c>
      <c r="ABQ39">
        <f>IF($C38=53,0,ABQ38+IF(AND($G38=53,$E38=1),1,0))</f>
        <v/>
      </c>
      <c r="ABR39">
        <f>IF($C38=54,0,ABR38+IF(AND($G38=54,$E38=1),1,0))</f>
        <v/>
      </c>
      <c r="ABS39">
        <f>IF($C38=55,0,ABS38+IF(AND($G38=55,$E38=1),1,0))</f>
        <v/>
      </c>
      <c r="ABT39">
        <f>IF($C38=56,0,ABT38+IF(AND($G38=56,$E38=1),1,0))</f>
        <v/>
      </c>
      <c r="ABU39">
        <f>IF($C38=57,0,ABU38+IF(AND($G38=57,$E38=1),1,0))</f>
        <v/>
      </c>
      <c r="ABV39">
        <f>IF($C38=58,0,ABV38+IF(AND($G38=58,$E38=1),1,0))</f>
        <v/>
      </c>
      <c r="ABW39">
        <f>IF($C38=59,0,ABW38+IF(AND($G38=59,$E38=1),1,0))</f>
        <v/>
      </c>
      <c r="ABX39">
        <f>IF($C38=60,0,ABX38+IF(AND($G38=60,$E38=1),1,0))</f>
        <v/>
      </c>
      <c r="ABY39">
        <f>IF($C38=61,0,ABY38+IF(AND($G38=61,$E38=1),1,0))</f>
        <v/>
      </c>
      <c r="ABZ39">
        <f>IF($C38=62,0,ABZ38+IF(AND($G38=62,$E38=1),1,0))</f>
        <v/>
      </c>
      <c r="ACA39">
        <f>IF($C38=63,0,ACA38+IF(AND($G38=63,$E38=1),1,0))</f>
        <v/>
      </c>
      <c r="ACB39">
        <f>IF($C38=64,0,ACB38+IF(AND($G38=64,$E38=1),1,0))</f>
        <v/>
      </c>
      <c r="ACC39">
        <f>IF($C38=65,0,ACC38+IF(AND($G38=65,$E38=1),1,0))</f>
        <v/>
      </c>
      <c r="ACD39">
        <f>IF($C38=66,0,ACD38+IF(AND($G38=66,$E38=1),1,0))</f>
        <v/>
      </c>
      <c r="ACE39">
        <f>IF($C38=67,0,ACE38+IF(AND($G38=67,$E38=1),1,0))</f>
        <v/>
      </c>
      <c r="ACF39">
        <f>IF($C38=68,0,ACF38+IF(AND($G38=68,$E38=1),1,0))</f>
        <v/>
      </c>
      <c r="ACG39">
        <f>IF($C38=69,0,ACG38+IF(AND($G38=69,$E38=1),1,0))</f>
        <v/>
      </c>
      <c r="ACH39">
        <f>IF($C38=70,0,ACH38+IF(AND($G38=70,$E38=1),1,0))</f>
        <v/>
      </c>
      <c r="ACI39">
        <f>IF($C38=71,0,ACI38+IF(AND($G38=71,$E38=1),1,0))</f>
        <v/>
      </c>
      <c r="ACJ39">
        <f>IF($C38=72,0,ACJ38+IF(AND($G38=72,$E38=1),1,0))</f>
        <v/>
      </c>
      <c r="ACK39">
        <f>IF($C38=73,0,ACK38+IF(AND($G38=73,$E38=1),1,0))</f>
        <v/>
      </c>
      <c r="ACL39">
        <f>IF($C38=74,0,ACL38+IF(AND($G38=74,$E38=1),1,0))</f>
        <v/>
      </c>
      <c r="ACM39">
        <f>IF($C38=75,0,ACM38+IF(AND($G38=75,$E38=1),1,0))</f>
        <v/>
      </c>
      <c r="ACN39">
        <f>IF($C38=76,0,ACN38+IF(AND($G38=76,$E38=1),1,0))</f>
        <v/>
      </c>
      <c r="ACO39">
        <f>IF($C38=77,0,ACO38+IF(AND($G38=77,$E38=1),1,0))</f>
        <v/>
      </c>
      <c r="ACP39">
        <f>IF($C38=78,0,ACP38+IF(AND($G38=78,$E38=1),1,0))</f>
        <v/>
      </c>
      <c r="ACQ39">
        <f>IF($C38=79,0,ACQ38+IF(AND($G38=79,$E38=1),1,0))</f>
        <v/>
      </c>
      <c r="ACR39">
        <f>IF($C38=80,0,ACR38+IF(AND($G38=80,$E38=1),1,0))</f>
        <v/>
      </c>
      <c r="ACS39">
        <f>IF($C38=81,0,ACS38+IF(AND($G38=81,$E38=1),1,0))</f>
        <v/>
      </c>
      <c r="ACT39">
        <f>IF($C38=82,0,ACT38+IF(AND($G38=82,$E38=1),1,0))</f>
        <v/>
      </c>
      <c r="ACU39">
        <f>IF($C38=83,0,ACU38+IF(AND($G38=83,$E38=1),1,0))</f>
        <v/>
      </c>
      <c r="ACV39">
        <f>IF($C38=84,0,ACV38+IF(AND($G38=84,$E38=1),1,0))</f>
        <v/>
      </c>
      <c r="ACW39">
        <f>IF($C38=85,0,ACW38+IF(AND($G38=85,$E38=1),1,0))</f>
        <v/>
      </c>
      <c r="ACX39">
        <f>IF($C38=86,0,ACX38+IF(AND($G38=86,$E38=1),1,0))</f>
        <v/>
      </c>
      <c r="ACY39">
        <f>IF($C38=87,0,ACY38+IF(AND($G38=87,$E38=1),1,0))</f>
        <v/>
      </c>
      <c r="ACZ39">
        <f>IF($C38=88,0,ACZ38+IF(AND($G38=88,$E38=1),1,0))</f>
        <v/>
      </c>
      <c r="ADA39">
        <f>IF($C38=89,0,ADA38+IF(AND($G38=89,$E38=1),1,0))</f>
        <v/>
      </c>
      <c r="ADB39">
        <f>IF($C38=90,0,ADB38+IF(AND($G38=90,$E38=1),1,0))</f>
        <v/>
      </c>
      <c r="ADC39">
        <f>IF($C38=91,0,ADC38+IF(AND($G38=91,$E38=1),1,0))</f>
        <v/>
      </c>
      <c r="ADD39">
        <f>IF($C38=92,0,ADD38+IF(AND($G38=92,$E38=1),1,0))</f>
        <v/>
      </c>
      <c r="ADE39">
        <f>IF($C38=93,0,ADE38+IF(AND($G38=93,$E38=1),1,0))</f>
        <v/>
      </c>
      <c r="ADF39">
        <f>IF($C38=94,0,ADF38+IF(AND($G38=94,$E38=1),1,0))</f>
        <v/>
      </c>
      <c r="ADG39">
        <f>IF($C38=95,0,ADG38+IF(AND($G38=95,$E38=1),1,0))</f>
        <v/>
      </c>
      <c r="ADH39">
        <f>IF($C38=96,0,ADH38+IF(AND($G38=96,$E38=1),1,0))</f>
        <v/>
      </c>
      <c r="ADI39">
        <f>IF($C38=97,0,ADI38+IF(AND($G38=97,$E38=1),1,0))</f>
        <v/>
      </c>
      <c r="ADJ39">
        <f>IF($C38=98,0,ADJ38+IF(AND($G38=98,$E38=1),1,0))</f>
        <v/>
      </c>
      <c r="ADK39">
        <f>IF($C38=99,0,ADK38+IF(AND($G38=99,$E38=1),1,0))</f>
        <v/>
      </c>
      <c r="ADL39">
        <f>IF($C38=100,0,ADL38+IF(AND($G38=100,$E38=1),1,0))</f>
        <v/>
      </c>
      <c r="ADM39">
        <f>IF($C38=101,0,ADM38+IF(AND($G38=101,$E38=1),1,0))</f>
        <v/>
      </c>
      <c r="ADN39">
        <f>IF($C38=102,0,ADN38+IF(AND($G38=102,$E38=1),1,0))</f>
        <v/>
      </c>
      <c r="ADO39">
        <f>IF($C38=103,0,ADO38+IF(AND($G38=103,$E38=1),1,0))</f>
        <v/>
      </c>
      <c r="ADP39">
        <f>IF($C38=104,0,ADP38+IF(AND($G38=104,$E38=1),1,0))</f>
        <v/>
      </c>
      <c r="ADQ39">
        <f>IF($C38=105,0,ADQ38+IF(AND($G38=105,$E38=1),1,0))</f>
        <v/>
      </c>
      <c r="ADR39">
        <f>IF($C38=106,0,ADR38+IF(AND($G38=106,$E38=1),1,0))</f>
        <v/>
      </c>
      <c r="ADS39">
        <f>IF($C38=107,0,ADS38+IF(AND($G38=107,$E38=1),1,0))</f>
        <v/>
      </c>
      <c r="ADT39">
        <f>IF($C38=108,0,ADT38+IF(AND($G38=108,$E38=1),1,0))</f>
        <v/>
      </c>
      <c r="ADU39">
        <f>IF($C38=109,0,ADU38+IF(AND($G38=109,$E38=1),1,0))</f>
        <v/>
      </c>
      <c r="ADV39">
        <f>IF($C38=110,0,ADV38+IF(AND($G38=110,$E38=1),1,0))</f>
        <v/>
      </c>
      <c r="ADW39">
        <f>IF($C38=111,0,ADW38+IF(AND($G38=111,$E38=1),1,0))</f>
        <v/>
      </c>
      <c r="ADX39">
        <f>IF($C38=112,0,ADX38+IF(AND($G38=112,$E38=1),1,0))</f>
        <v/>
      </c>
      <c r="ADY39">
        <f>IF($C38=113,0,ADY38+IF(AND($G38=113,$E38=1),1,0))</f>
        <v/>
      </c>
      <c r="ADZ39">
        <f>IF($C38=114,0,ADZ38+IF(AND($G38=114,$E38=1),1,0))</f>
        <v/>
      </c>
      <c r="AEA39">
        <f>IF($C38=115,0,AEA38+IF(AND($G38=115,$E38=1),1,0))</f>
        <v/>
      </c>
      <c r="AEB39">
        <f>IF($C38=116,0,AEB38+IF(AND($G38=116,$E38=1),1,0))</f>
        <v/>
      </c>
      <c r="AEC39">
        <f>IF($C38=117,0,AEC38+IF(AND($G38=117,$E38=1),1,0))</f>
        <v/>
      </c>
      <c r="AED39">
        <f>IF($C38=118,0,AED38+IF(AND($G38=118,$E38=1),1,0))</f>
        <v/>
      </c>
      <c r="AEE39">
        <f>IF($C38=119,0,AEE38+IF(AND($G38=119,$E38=1),1,0))</f>
        <v/>
      </c>
      <c r="AEF39">
        <f>IF($C38=120,0,AEF38+IF(AND($G38=120,$E38=1),1,0))</f>
        <v/>
      </c>
      <c r="AEG39">
        <f>IF($C38=121,0,AEG38+IF(AND($G38=121,$E38=1),1,0))</f>
        <v/>
      </c>
      <c r="AEH39">
        <f>IF($C38=122,0,AEH38+IF(AND($G38=122,$E38=1),1,0))</f>
        <v/>
      </c>
      <c r="AEI39">
        <f>IF($C38=123,0,AEI38+IF(AND($G38=123,$E38=1),1,0))</f>
        <v/>
      </c>
      <c r="AEJ39">
        <f>IF($C38=124,0,AEJ38+IF(AND($G38=124,$E38=1),1,0))</f>
        <v/>
      </c>
      <c r="AEK39">
        <f>IF($C38=125,0,AEK38+IF(AND($G38=125,$E38=1),1,0))</f>
        <v/>
      </c>
      <c r="AEL39">
        <f>IF($C38=126,0,AEL38+IF(AND($G38=126,$E38=1),1,0))</f>
        <v/>
      </c>
      <c r="AEM39">
        <f>IF($C38=127,0,AEM38+IF(AND($G38=127,$E38=1),1,0))</f>
        <v/>
      </c>
      <c r="AEN39">
        <f>IF($C38=128,0,AEN38+IF(AND($G38=128,$E38=1),1,0))</f>
        <v/>
      </c>
      <c r="AEO39">
        <f>IF($C38=129,0,AEO38+IF(AND($G38=129,$E38=1),1,0))</f>
        <v/>
      </c>
      <c r="AEP39">
        <f>IF($C38=130,0,AEP38+IF(AND($G38=130,$E38=1),1,0))</f>
        <v/>
      </c>
      <c r="AEQ39">
        <f>IF($C38=131,0,AEQ38+IF(AND($G38=131,$E38=1),1,0))</f>
        <v/>
      </c>
      <c r="AER39">
        <f>IF($C38=132,0,AER38+IF(AND($G38=132,$E38=1),1,0))</f>
        <v/>
      </c>
      <c r="AES39">
        <f>IF($C38=133,0,AES38+IF(AND($G38=133,$E38=1),1,0))</f>
        <v/>
      </c>
      <c r="AET39">
        <f>IF($C38=134,0,AET38+IF(AND($G38=134,$E38=1),1,0))</f>
        <v/>
      </c>
      <c r="AEU39">
        <f>IF($C38=135,0,AEU38+IF(AND($G38=135,$E38=1),1,0))</f>
        <v/>
      </c>
      <c r="AEV39">
        <f>IF($C38=136,0,AEV38+IF(AND($G38=136,$E38=1),1,0))</f>
        <v/>
      </c>
      <c r="AEW39">
        <f>IF($C38=137,0,AEW38+IF(AND($G38=137,$E38=1),1,0))</f>
        <v/>
      </c>
      <c r="AEX39">
        <f>IF($C38=138,0,AEX38+IF(AND($G38=138,$E38=1),1,0))</f>
        <v/>
      </c>
      <c r="AEY39">
        <f>IF($C38=139,0,AEY38+IF(AND($G38=139,$E38=1),1,0))</f>
        <v/>
      </c>
      <c r="AEZ39">
        <f>IF($C38=140,0,AEZ38+IF(AND($G38=140,$E38=1),1,0))</f>
        <v/>
      </c>
      <c r="AFA39">
        <f>IF($C38=141,0,AFA38+IF(AND($G38=141,$E38=1),1,0))</f>
        <v/>
      </c>
      <c r="AFB39">
        <f>IF($C38=142,0,AFB38+IF(AND($G38=142,$E38=1),1,0))</f>
        <v/>
      </c>
      <c r="AFC39">
        <f>IF($C38=143,0,AFC38+IF(AND($G38=143,$E38=1),1,0))</f>
        <v/>
      </c>
      <c r="AFD39">
        <f>IF($C38=144,0,AFD38+IF(AND($G38=144,$E38=1),1,0))</f>
        <v/>
      </c>
      <c r="AFF39">
        <f>IF('calcA'!D$106=1,DC39+ZR39,1)</f>
        <v/>
      </c>
      <c r="AFG39">
        <f>IF('calcA'!E$106=1,DD39+ZS39,1)</f>
        <v/>
      </c>
      <c r="AFH39">
        <f>IF('calcA'!F$106=1,DE39+ZT39,1)</f>
        <v/>
      </c>
      <c r="AFI39">
        <f>IF('calcA'!G$106=1,DF39+ZU39,1)</f>
        <v/>
      </c>
      <c r="AFJ39">
        <f>IF('calcA'!H$106=1,DG39+ZV39,1)</f>
        <v/>
      </c>
      <c r="AFK39">
        <f>IF('calcA'!I$106=1,DH39+ZW39,1)</f>
        <v/>
      </c>
      <c r="AFL39">
        <f>IF('calcA'!J$106=1,DI39+ZX39,1)</f>
        <v/>
      </c>
      <c r="AFM39">
        <f>IF('calcA'!K$106=1,DJ39+ZY39,1)</f>
        <v/>
      </c>
      <c r="AFN39">
        <f>IF('calcA'!L$106=1,DK39+ZZ39,1)</f>
        <v/>
      </c>
      <c r="AFO39">
        <f>IF('calcA'!M$106=1,DL39+AAA39,1)</f>
        <v/>
      </c>
      <c r="AFP39">
        <f>IF('calcA'!N$106=1,DM39+AAB39,1)</f>
        <v/>
      </c>
      <c r="AFQ39">
        <f>IF('calcA'!O$106=1,DN39+AAC39,1)</f>
        <v/>
      </c>
      <c r="AFR39">
        <f>IF('calcA'!P$106=1,DO39+AAD39,1)</f>
        <v/>
      </c>
      <c r="AFS39">
        <f>IF('calcA'!Q$106=1,DP39+AAE39,1)</f>
        <v/>
      </c>
      <c r="AFT39">
        <f>IF('calcA'!R$106=1,DQ39+AAF39,1)</f>
        <v/>
      </c>
      <c r="AFU39">
        <f>IF('calcA'!S$106=1,DR39+AAG39,1)</f>
        <v/>
      </c>
      <c r="AFV39">
        <f>IF('calcA'!T$106=1,DS39+AAH39,1)</f>
        <v/>
      </c>
      <c r="AFW39">
        <f>IF('calcA'!U$106=1,DT39+AAI39,1)</f>
        <v/>
      </c>
      <c r="AFX39">
        <f>IF('calcA'!V$106=1,DU39+AAJ39,1)</f>
        <v/>
      </c>
      <c r="AFY39">
        <f>IF('calcA'!W$106=1,DV39+AAK39,1)</f>
        <v/>
      </c>
      <c r="AFZ39">
        <f>IF('calcA'!X$106=1,DW39+AAL39,1)</f>
        <v/>
      </c>
      <c r="AGA39">
        <f>IF('calcA'!Y$106=1,DX39+AAM39,1)</f>
        <v/>
      </c>
      <c r="AGB39">
        <f>IF('calcA'!Z$106=1,DY39+AAN39,1)</f>
        <v/>
      </c>
      <c r="AGC39">
        <f>IF('calcA'!AA$106=1,DZ39+AAO39,1)</f>
        <v/>
      </c>
      <c r="AGD39">
        <f>IF('calcA'!AB$106=1,EA39+AAP39,1)</f>
        <v/>
      </c>
      <c r="AGE39">
        <f>IF('calcA'!AC$106=1,EB39+AAQ39,1)</f>
        <v/>
      </c>
      <c r="AGF39">
        <f>IF('calcA'!AD$106=1,EC39+AAR39,1)</f>
        <v/>
      </c>
      <c r="AGG39">
        <f>IF('calcA'!AE$106=1,ED39+AAS39,1)</f>
        <v/>
      </c>
      <c r="AGH39">
        <f>IF('calcA'!AF$106=1,EE39+AAT39,1)</f>
        <v/>
      </c>
      <c r="AGI39">
        <f>IF('calcA'!AG$106=1,EF39+AAU39,1)</f>
        <v/>
      </c>
      <c r="AGJ39">
        <f>IF('calcA'!AH$106=1,EG39+AAV39,1)</f>
        <v/>
      </c>
      <c r="AGK39">
        <f>IF('calcA'!AI$106=1,EH39+AAW39,1)</f>
        <v/>
      </c>
      <c r="AGL39">
        <f>IF('calcA'!AJ$106=1,EI39+AAX39,1)</f>
        <v/>
      </c>
      <c r="AGM39">
        <f>IF('calcA'!AK$106=1,EJ39+AAY39,1)</f>
        <v/>
      </c>
      <c r="AGN39">
        <f>IF('calcA'!AL$106=1,EK39+AAZ39,1)</f>
        <v/>
      </c>
      <c r="AGO39">
        <f>IF('calcA'!AM$106=1,EL39+ABA39,1)</f>
        <v/>
      </c>
      <c r="AGP39">
        <f>IF('calcA'!AN$106=1,EM39+ABB39,1)</f>
        <v/>
      </c>
      <c r="AGQ39">
        <f>IF('calcA'!AO$106=1,EN39+ABC39,1)</f>
        <v/>
      </c>
      <c r="AGR39">
        <f>IF('calcA'!AP$106=1,EO39+ABD39,1)</f>
        <v/>
      </c>
      <c r="AGS39">
        <f>IF('calcA'!AQ$106=1,EP39+ABE39,1)</f>
        <v/>
      </c>
      <c r="AGT39">
        <f>IF('calcA'!AR$106=1,EQ39+ABF39,1)</f>
        <v/>
      </c>
      <c r="AGU39">
        <f>IF('calcA'!AS$106=1,ER39+ABG39,1)</f>
        <v/>
      </c>
      <c r="AGV39">
        <f>IF('calcA'!AT$106=1,ES39+ABH39,1)</f>
        <v/>
      </c>
      <c r="AGW39">
        <f>IF('calcA'!AU$106=1,ET39+ABI39,1)</f>
        <v/>
      </c>
      <c r="AGX39">
        <f>IF('calcA'!AV$106=1,EU39+ABJ39,1)</f>
        <v/>
      </c>
      <c r="AGY39">
        <f>IF('calcA'!AW$106=1,EV39+ABK39,1)</f>
        <v/>
      </c>
      <c r="AGZ39">
        <f>IF('calcA'!AX$106=1,EW39+ABL39,1)</f>
        <v/>
      </c>
      <c r="AHA39">
        <f>IF('calcA'!AY$106=1,EX39+ABM39,1)</f>
        <v/>
      </c>
      <c r="AHB39">
        <f>IF('calcA'!AZ$106=1,EY39+ABN39,1)</f>
        <v/>
      </c>
      <c r="AHC39">
        <f>IF('calcA'!BA$106=1,EZ39+ABO39,1)</f>
        <v/>
      </c>
      <c r="AHD39">
        <f>IF('calcA'!BB$106=1,FA39+ABP39,1)</f>
        <v/>
      </c>
      <c r="AHE39">
        <f>IF('calcA'!BC$106=1,FB39+ABQ39,1)</f>
        <v/>
      </c>
      <c r="AHF39">
        <f>IF('calcA'!BD$106=1,FC39+ABR39,1)</f>
        <v/>
      </c>
      <c r="AHG39">
        <f>IF('calcA'!BE$106=1,FD39+ABS39,1)</f>
        <v/>
      </c>
      <c r="AHH39">
        <f>IF('calcA'!BF$106=1,FE39+ABT39,1)</f>
        <v/>
      </c>
      <c r="AHI39">
        <f>IF('calcA'!BG$106=1,FF39+ABU39,1)</f>
        <v/>
      </c>
      <c r="AHJ39">
        <f>IF('calcA'!BH$106=1,FG39+ABV39,1)</f>
        <v/>
      </c>
      <c r="AHK39">
        <f>IF('calcA'!BI$106=1,FH39+ABW39,1)</f>
        <v/>
      </c>
      <c r="AHL39">
        <f>IF('calcA'!BJ$106=1,FI39+ABX39,1)</f>
        <v/>
      </c>
      <c r="AHM39">
        <f>IF('calcA'!BK$106=1,FJ39+ABY39,1)</f>
        <v/>
      </c>
      <c r="AHN39">
        <f>IF('calcA'!BL$106=1,FK39+ABZ39,1)</f>
        <v/>
      </c>
      <c r="AHO39">
        <f>IF('calcA'!BM$106=1,FL39+ACA39,1)</f>
        <v/>
      </c>
      <c r="AHP39">
        <f>IF('calcA'!BN$106=1,FM39+ACB39,1)</f>
        <v/>
      </c>
      <c r="AHQ39">
        <f>IF('calcA'!BO$106=1,FN39+ACC39,1)</f>
        <v/>
      </c>
      <c r="AHR39">
        <f>IF('calcA'!BP$106=1,FO39+ACD39,1)</f>
        <v/>
      </c>
      <c r="AHS39">
        <f>IF('calcA'!BQ$106=1,FP39+ACE39,1)</f>
        <v/>
      </c>
      <c r="AHT39">
        <f>IF('calcA'!BR$106=1,FQ39+ACF39,1)</f>
        <v/>
      </c>
      <c r="AHU39">
        <f>IF('calcA'!BS$106=1,FR39+ACG39,1)</f>
        <v/>
      </c>
      <c r="AHV39">
        <f>IF('calcA'!BT$106=1,FS39+ACH39,1)</f>
        <v/>
      </c>
      <c r="AHW39">
        <f>IF('calcA'!BU$106=1,FT39+ACI39,1)</f>
        <v/>
      </c>
      <c r="AHX39">
        <f>IF('calcA'!BV$106=1,FU39+ACJ39,1)</f>
        <v/>
      </c>
      <c r="AHY39">
        <f>IF('calcA'!BW$106=1,FV39+ACK39,1)</f>
        <v/>
      </c>
      <c r="AHZ39">
        <f>IF('calcA'!BX$106=1,FW39+ACL39,1)</f>
        <v/>
      </c>
      <c r="AIA39">
        <f>IF('calcA'!BY$106=1,FX39+ACM39,1)</f>
        <v/>
      </c>
      <c r="AIB39">
        <f>IF('calcA'!BZ$106=1,FY39+ACN39,1)</f>
        <v/>
      </c>
      <c r="AIC39">
        <f>IF('calcA'!CA$106=1,FZ39+ACO39,1)</f>
        <v/>
      </c>
      <c r="AID39">
        <f>IF('calcA'!CB$106=1,GA39+ACP39,1)</f>
        <v/>
      </c>
      <c r="AIE39">
        <f>IF('calcA'!CC$106=1,GB39+ACQ39,1)</f>
        <v/>
      </c>
      <c r="AIF39">
        <f>IF('calcA'!CD$106=1,GC39+ACR39,1)</f>
        <v/>
      </c>
      <c r="AIG39">
        <f>IF('calcA'!CE$106=1,GD39+ACS39,1)</f>
        <v/>
      </c>
      <c r="AIH39">
        <f>IF('calcA'!CF$106=1,GE39+ACT39,1)</f>
        <v/>
      </c>
      <c r="AII39">
        <f>IF('calcA'!CG$106=1,GF39+ACU39,1)</f>
        <v/>
      </c>
      <c r="AIJ39">
        <f>IF('calcA'!CH$106=1,GG39+ACV39,1)</f>
        <v/>
      </c>
      <c r="AIK39">
        <f>IF('calcA'!CI$106=1,GH39+ACW39,1)</f>
        <v/>
      </c>
      <c r="AIL39">
        <f>IF('calcA'!CJ$106=1,GI39+ACX39,1)</f>
        <v/>
      </c>
      <c r="AIM39">
        <f>IF('calcA'!CK$106=1,GJ39+ACY39,1)</f>
        <v/>
      </c>
      <c r="AIN39">
        <f>IF('calcA'!CL$106=1,GK39+ACZ39,1)</f>
        <v/>
      </c>
      <c r="AIO39">
        <f>IF('calcA'!CM$106=1,GL39+ADA39,1)</f>
        <v/>
      </c>
      <c r="AIP39">
        <f>IF('calcA'!CN$106=1,GM39+ADB39,1)</f>
        <v/>
      </c>
      <c r="AIQ39">
        <f>IF('calcA'!CO$106=1,GN39+ADC39,1)</f>
        <v/>
      </c>
      <c r="AIR39">
        <f>IF('calcA'!CP$106=1,GO39+ADD39,1)</f>
        <v/>
      </c>
      <c r="AIS39">
        <f>IF('calcA'!CQ$106=1,GP39+ADE39,1)</f>
        <v/>
      </c>
      <c r="AIT39">
        <f>IF('calcA'!CR$106=1,GQ39+ADF39,1)</f>
        <v/>
      </c>
      <c r="AIU39">
        <f>IF('calcA'!CS$106=1,GR39+ADG39,1)</f>
        <v/>
      </c>
      <c r="AIV39">
        <f>IF('calcA'!CT$106=1,GS39+ADH39,1)</f>
        <v/>
      </c>
      <c r="AIW39">
        <f>IF('calcA'!CU$106=1,GT39+ADI39,1)</f>
        <v/>
      </c>
      <c r="AIX39">
        <f>IF('calcA'!CV$106=1,GU39+ADJ39,1)</f>
        <v/>
      </c>
      <c r="AIY39">
        <f>IF('calcA'!CW$106=1,GV39+ADK39,1)</f>
        <v/>
      </c>
      <c r="AIZ39">
        <f>IF('calcA'!CX$106=1,GW39+ADL39,1)</f>
        <v/>
      </c>
      <c r="AJA39">
        <f>IF('calcA'!CY$106=1,GX39+ADM39,1)</f>
        <v/>
      </c>
      <c r="AJB39">
        <f>IF('calcA'!CZ$106=1,GY39+ADN39,1)</f>
        <v/>
      </c>
      <c r="AJC39">
        <f>IF('calcA'!DA$106=1,GZ39+ADO39,1)</f>
        <v/>
      </c>
      <c r="AJD39">
        <f>IF('calcA'!DB$106=1,HA39+ADP39,1)</f>
        <v/>
      </c>
      <c r="AJE39">
        <f>IF('calcA'!DC$106=1,HB39+ADQ39,1)</f>
        <v/>
      </c>
      <c r="AJF39">
        <f>IF('calcA'!DD$106=1,HC39+ADR39,1)</f>
        <v/>
      </c>
      <c r="AJG39">
        <f>IF('calcA'!DE$106=1,HD39+ADS39,1)</f>
        <v/>
      </c>
      <c r="AJH39">
        <f>IF('calcA'!DF$106=1,HE39+ADT39,1)</f>
        <v/>
      </c>
      <c r="AJI39">
        <f>IF('calcA'!DG$106=1,HF39+ADU39,1)</f>
        <v/>
      </c>
      <c r="AJJ39">
        <f>IF('calcA'!DH$106=1,HG39+ADV39,1)</f>
        <v/>
      </c>
      <c r="AJK39">
        <f>IF('calcA'!DI$106=1,HH39+ADW39,1)</f>
        <v/>
      </c>
      <c r="AJL39">
        <f>IF('calcA'!DJ$106=1,HI39+ADX39,1)</f>
        <v/>
      </c>
      <c r="AJM39">
        <f>IF('calcA'!DK$106=1,HJ39+ADY39,1)</f>
        <v/>
      </c>
      <c r="AJN39">
        <f>IF('calcA'!DL$106=1,HK39+ADZ39,1)</f>
        <v/>
      </c>
      <c r="AJO39">
        <f>IF('calcA'!DM$106=1,HL39+AEA39,1)</f>
        <v/>
      </c>
      <c r="AJP39">
        <f>IF('calcA'!DN$106=1,HM39+AEB39,1)</f>
        <v/>
      </c>
      <c r="AJQ39">
        <f>IF('calcA'!DO$106=1,HN39+AEC39,1)</f>
        <v/>
      </c>
      <c r="AJR39">
        <f>IF('calcA'!DP$106=1,HO39+AED39,1)</f>
        <v/>
      </c>
      <c r="AJS39">
        <f>IF('calcA'!DQ$106=1,HP39+AEE39,1)</f>
        <v/>
      </c>
      <c r="AJT39">
        <f>IF('calcA'!DR$106=1,HQ39+AEF39,1)</f>
        <v/>
      </c>
      <c r="AJU39">
        <f>IF('calcA'!DS$106=1,HR39+AEG39,1)</f>
        <v/>
      </c>
      <c r="AJV39">
        <f>IF('calcA'!DT$106=1,HS39+AEH39,1)</f>
        <v/>
      </c>
      <c r="AJW39">
        <f>IF('calcA'!DU$106=1,HT39+AEI39,1)</f>
        <v/>
      </c>
      <c r="AJX39">
        <f>IF('calcA'!DV$106=1,HU39+AEJ39,1)</f>
        <v/>
      </c>
      <c r="AJY39">
        <f>IF('calcA'!DW$106=1,HV39+AEK39,1)</f>
        <v/>
      </c>
      <c r="AJZ39">
        <f>IF('calcA'!DX$106=1,HW39+AEL39,1)</f>
        <v/>
      </c>
      <c r="AKA39">
        <f>IF('calcA'!DY$106=1,HX39+AEM39,1)</f>
        <v/>
      </c>
      <c r="AKB39">
        <f>IF('calcA'!DZ$106=1,HY39+AEN39,1)</f>
        <v/>
      </c>
      <c r="AKC39">
        <f>IF('calcA'!EA$106=1,HZ39+AEO39,1)</f>
        <v/>
      </c>
      <c r="AKD39">
        <f>IF('calcA'!EB$106=1,IA39+AEP39,1)</f>
        <v/>
      </c>
      <c r="AKE39">
        <f>IF('calcA'!EC$106=1,IB39+AEQ39,1)</f>
        <v/>
      </c>
      <c r="AKF39">
        <f>IF('calcA'!ED$106=1,IC39+AER39,1)</f>
        <v/>
      </c>
      <c r="AKG39">
        <f>IF('calcA'!EE$106=1,ID39+AES39,1)</f>
        <v/>
      </c>
      <c r="AKH39">
        <f>IF('calcA'!EF$106=1,IE39+AET39,1)</f>
        <v/>
      </c>
      <c r="AKI39">
        <f>IF('calcA'!EG$106=1,IF39+AEU39,1)</f>
        <v/>
      </c>
      <c r="AKJ39">
        <f>IF('calcA'!EH$106=1,IG39+AEV39,1)</f>
        <v/>
      </c>
      <c r="AKK39">
        <f>IF('calcA'!EI$106=1,IH39+AEW39,1)</f>
        <v/>
      </c>
      <c r="AKL39">
        <f>IF('calcA'!EJ$106=1,II39+AEX39,1)</f>
        <v/>
      </c>
      <c r="AKM39">
        <f>IF('calcA'!EK$106=1,IJ39+AEY39,1)</f>
        <v/>
      </c>
      <c r="AKN39">
        <f>IF('calcA'!EL$106=1,IK39+AEZ39,1)</f>
        <v/>
      </c>
      <c r="AKO39">
        <f>IF('calcA'!EM$106=1,IL39+AFA39,1)</f>
        <v/>
      </c>
      <c r="AKP39">
        <f>IF('calcA'!EN$106=1,IM39+AFB39,1)</f>
        <v/>
      </c>
      <c r="AKQ39">
        <f>IF('calcA'!EO$106=1,IN39+AFC39,1)</f>
        <v/>
      </c>
      <c r="AKR39">
        <f>IF('calcA'!EP$106=1,IO39+AFD39,1)</f>
        <v/>
      </c>
      <c r="AKS39" t="n">
        <v>1</v>
      </c>
    </row>
    <row r="40">
      <c r="A40" t="n">
        <v>38</v>
      </c>
      <c r="B40">
        <f>IF(MIN(BM40:CZ40)&gt;=1000000000,0,MATCH(MIN(BM40:CZ40),BM40:CZ40,0))</f>
        <v/>
      </c>
      <c r="C40">
        <f>IF(MIN(OF40:TS40)&gt;=1000000000,0,MATCH(MIN(OF40:TS40),OF40:TS40,0))</f>
        <v/>
      </c>
      <c r="D40">
        <f>IF(C40&gt;0,INDEX('calcA'!$D$5:$EQ$5,C40),0)</f>
        <v/>
      </c>
      <c r="E40">
        <f>IF(B40=0,0,INDEX('calcA'!$IQ$10:$IQ$54,B40))</f>
        <v/>
      </c>
      <c r="F40">
        <f>IF(B40=0,0,INDEX('calcA'!$IP$10:$IP$54,B40))</f>
        <v/>
      </c>
      <c r="G40">
        <f>IF(AND(C40&gt;0,E40&gt;0),IF(AND(INDEX('calcA'!$D$106:$EQ$106,C40)=1,INDEX($IQ40:$OD40,C40)=1),C40+1,0),0)</f>
        <v/>
      </c>
      <c r="H40">
        <f>IF(B40=0,0,INDEX('calcA'!$IW$10:$IW$54,B40))</f>
        <v/>
      </c>
      <c r="U40">
        <f>IF(B40=0,0,INDEX('calcA'!$IX$10:$IX$54,B40))</f>
        <v/>
      </c>
      <c r="V40">
        <f>IF(B40=0,0,INDEX('calcA'!$JF$10:$JF$54,B40))</f>
        <v/>
      </c>
      <c r="W40">
        <f>IF(B40=0,0,IF(IF(E40=2,SUMPRODUCT(INDEX('calcA'!$D$60:$EQ$99,B40,0),$DB40:$IO40,$IQ40:$OD40),SUMPRODUCT(INDEX('calcA'!$D$60:$EQ$99,B40,0),$DB40:$IO40))=0,1,0))</f>
        <v/>
      </c>
      <c r="X40">
        <f>MAX(X39,IF($B39=1,1,0))</f>
        <v/>
      </c>
      <c r="Y40">
        <f>MAX(Y39,IF($B39=2,1,0))</f>
        <v/>
      </c>
      <c r="Z40">
        <f>MAX(Z39,IF($B39=3,1,0))</f>
        <v/>
      </c>
      <c r="AA40">
        <f>MAX(AA39,IF($B39=4,1,0))</f>
        <v/>
      </c>
      <c r="AB40">
        <f>MAX(AB39,IF($B39=5,1,0))</f>
        <v/>
      </c>
      <c r="AC40">
        <f>MAX(AC39,IF($B39=6,1,0))</f>
        <v/>
      </c>
      <c r="AD40">
        <f>MAX(AD39,IF($B39=7,1,0))</f>
        <v/>
      </c>
      <c r="AE40">
        <f>MAX(AE39,IF($B39=8,1,0))</f>
        <v/>
      </c>
      <c r="AF40">
        <f>MAX(AF39,IF($B39=9,1,0))</f>
        <v/>
      </c>
      <c r="AG40">
        <f>MAX(AG39,IF($B39=10,1,0))</f>
        <v/>
      </c>
      <c r="AH40">
        <f>MAX(AH39,IF($B39=11,1,0))</f>
        <v/>
      </c>
      <c r="AI40">
        <f>MAX(AI39,IF($B39=12,1,0))</f>
        <v/>
      </c>
      <c r="AJ40">
        <f>MAX(AJ39,IF($B39=13,1,0))</f>
        <v/>
      </c>
      <c r="AK40">
        <f>MAX(AK39,IF($B39=14,1,0))</f>
        <v/>
      </c>
      <c r="AL40">
        <f>MAX(AL39,IF($B39=15,1,0))</f>
        <v/>
      </c>
      <c r="AM40">
        <f>MAX(AM39,IF($B39=16,1,0))</f>
        <v/>
      </c>
      <c r="AN40">
        <f>MAX(AN39,IF($B39=17,1,0))</f>
        <v/>
      </c>
      <c r="AO40">
        <f>MAX(AO39,IF($B39=18,1,0))</f>
        <v/>
      </c>
      <c r="AP40">
        <f>MAX(AP39,IF($B39=19,1,0))</f>
        <v/>
      </c>
      <c r="AQ40">
        <f>MAX(AQ39,IF($B39=20,1,0))</f>
        <v/>
      </c>
      <c r="AR40">
        <f>MAX(AR39,IF($B39=21,1,0))</f>
        <v/>
      </c>
      <c r="AS40">
        <f>MAX(AS39,IF($B39=22,1,0))</f>
        <v/>
      </c>
      <c r="AT40">
        <f>MAX(AT39,IF($B39=23,1,0))</f>
        <v/>
      </c>
      <c r="AU40">
        <f>MAX(AU39,IF($B39=24,1,0))</f>
        <v/>
      </c>
      <c r="AV40">
        <f>MAX(AV39,IF($B39=25,1,0))</f>
        <v/>
      </c>
      <c r="AW40">
        <f>MAX(AW39,IF($B39=26,1,0))</f>
        <v/>
      </c>
      <c r="AX40">
        <f>MAX(AX39,IF($B39=27,1,0))</f>
        <v/>
      </c>
      <c r="AY40">
        <f>MAX(AY39,IF($B39=28,1,0))</f>
        <v/>
      </c>
      <c r="AZ40">
        <f>MAX(AZ39,IF($B39=29,1,0))</f>
        <v/>
      </c>
      <c r="BA40">
        <f>MAX(BA39,IF($B39=30,1,0))</f>
        <v/>
      </c>
      <c r="BB40">
        <f>MAX(BB39,IF($B39=31,1,0))</f>
        <v/>
      </c>
      <c r="BC40">
        <f>MAX(BC39,IF($B39=32,1,0))</f>
        <v/>
      </c>
      <c r="BD40">
        <f>MAX(BD39,IF($B39=33,1,0))</f>
        <v/>
      </c>
      <c r="BE40">
        <f>MAX(BE39,IF($B39=34,1,0))</f>
        <v/>
      </c>
      <c r="BF40">
        <f>MAX(BF39,IF($B39=35,1,0))</f>
        <v/>
      </c>
      <c r="BG40">
        <f>MAX(BG39,IF($B39=36,1,0))</f>
        <v/>
      </c>
      <c r="BH40">
        <f>MAX(BH39,IF($B39=37,1,0))</f>
        <v/>
      </c>
      <c r="BI40">
        <f>MAX(BI39,IF($B39=38,1,0))</f>
        <v/>
      </c>
      <c r="BJ40">
        <f>MAX(BJ39,IF($B39=39,1,0))</f>
        <v/>
      </c>
      <c r="BK40">
        <f>MAX(BK39,IF($B39=40,1,0))</f>
        <v/>
      </c>
      <c r="BM40">
        <f>IF(OR(X40=1,calcA!$A$6=0),1000000000,IF('calcA'!$JF$10=1,0,100000000)+IF('calcA'!$IQ$10=2,SUMPRODUCT('calcA'!$D$60:$EQ$60,$DB40:$IO40,$IQ40:$OD40)*1000+SUMPRODUCT('calcA'!$D$60:$EQ$60,$DB40:$IO40+$ZQ40:$AFD40,$AFF40:$AKS40),SUMPRODUCT('calcA'!$D$60:$EQ$60,$DB40:$IO40*1001+$ZQ40:$AFD40))*100+1)</f>
        <v/>
      </c>
      <c r="BN40">
        <f>IF(OR(Y40=1,calcA!$A$6=0),1000000000,IF('calcA'!$JF$11=1,0,100000000)+IF('calcA'!$IQ$11=2,SUMPRODUCT('calcA'!$D$61:$EQ$61,$DB40:$IO40,$IQ40:$OD40)*1000+SUMPRODUCT('calcA'!$D$61:$EQ$61,$DB40:$IO40+$ZQ40:$AFD40,$AFF40:$AKS40),SUMPRODUCT('calcA'!$D$61:$EQ$61,$DB40:$IO40*1001+$ZQ40:$AFD40))*100+2)</f>
        <v/>
      </c>
      <c r="BO40">
        <f>IF(OR(Z40=1,calcA!$A$6=0),1000000000,IF('calcA'!$JF$12=1,0,100000000)+IF('calcA'!$IQ$12=2,SUMPRODUCT('calcA'!$D$62:$EQ$62,$DB40:$IO40,$IQ40:$OD40)*1000+SUMPRODUCT('calcA'!$D$62:$EQ$62,$DB40:$IO40+$ZQ40:$AFD40,$AFF40:$AKS40),SUMPRODUCT('calcA'!$D$62:$EQ$62,$DB40:$IO40*1001+$ZQ40:$AFD40))*100+3)</f>
        <v/>
      </c>
      <c r="BP40">
        <f>IF(OR(AA40=1,calcA!$A$6=0),1000000000,IF('calcA'!$JF$13=1,0,100000000)+IF('calcA'!$IQ$13=2,SUMPRODUCT('calcA'!$D$63:$EQ$63,$DB40:$IO40,$IQ40:$OD40)*1000+SUMPRODUCT('calcA'!$D$63:$EQ$63,$DB40:$IO40+$ZQ40:$AFD40,$AFF40:$AKS40),SUMPRODUCT('calcA'!$D$63:$EQ$63,$DB40:$IO40*1001+$ZQ40:$AFD40))*100+4)</f>
        <v/>
      </c>
      <c r="BQ40">
        <f>IF(OR(AB40=1,calcA!$A$6=0),1000000000,IF('calcA'!$JF$14=1,0,100000000)+IF('calcA'!$IQ$14=2,SUMPRODUCT('calcA'!$D$64:$EQ$64,$DB40:$IO40,$IQ40:$OD40)*1000+SUMPRODUCT('calcA'!$D$64:$EQ$64,$DB40:$IO40+$ZQ40:$AFD40,$AFF40:$AKS40),SUMPRODUCT('calcA'!$D$64:$EQ$64,$DB40:$IO40*1001+$ZQ40:$AFD40))*100+5)</f>
        <v/>
      </c>
      <c r="BR40">
        <f>IF(OR(AC40=1,calcA!$A$6=0),1000000000,IF('calcA'!$JF$15=1,0,100000000)+IF('calcA'!$IQ$15=2,SUMPRODUCT('calcA'!$D$65:$EQ$65,$DB40:$IO40,$IQ40:$OD40)*1000+SUMPRODUCT('calcA'!$D$65:$EQ$65,$DB40:$IO40+$ZQ40:$AFD40,$AFF40:$AKS40),SUMPRODUCT('calcA'!$D$65:$EQ$65,$DB40:$IO40*1001+$ZQ40:$AFD40))*100+6)</f>
        <v/>
      </c>
      <c r="BS40">
        <f>IF(OR(AD40=1,calcA!$A$6=0),1000000000,IF('calcA'!$JF$16=1,0,100000000)+IF('calcA'!$IQ$16=2,SUMPRODUCT('calcA'!$D$66:$EQ$66,$DB40:$IO40,$IQ40:$OD40)*1000+SUMPRODUCT('calcA'!$D$66:$EQ$66,$DB40:$IO40+$ZQ40:$AFD40,$AFF40:$AKS40),SUMPRODUCT('calcA'!$D$66:$EQ$66,$DB40:$IO40*1001+$ZQ40:$AFD40))*100+7)</f>
        <v/>
      </c>
      <c r="BT40">
        <f>IF(OR(AE40=1,calcA!$A$6=0),1000000000,IF('calcA'!$JF$17=1,0,100000000)+IF('calcA'!$IQ$17=2,SUMPRODUCT('calcA'!$D$67:$EQ$67,$DB40:$IO40,$IQ40:$OD40)*1000+SUMPRODUCT('calcA'!$D$67:$EQ$67,$DB40:$IO40+$ZQ40:$AFD40,$AFF40:$AKS40),SUMPRODUCT('calcA'!$D$67:$EQ$67,$DB40:$IO40*1001+$ZQ40:$AFD40))*100+8)</f>
        <v/>
      </c>
      <c r="BU40">
        <f>IF(OR(AF40=1,calcA!$A$6=0),1000000000,IF('calcA'!$JF$18=1,0,100000000)+IF('calcA'!$IQ$18=2,SUMPRODUCT('calcA'!$D$68:$EQ$68,$DB40:$IO40,$IQ40:$OD40)*1000+SUMPRODUCT('calcA'!$D$68:$EQ$68,$DB40:$IO40+$ZQ40:$AFD40,$AFF40:$AKS40),SUMPRODUCT('calcA'!$D$68:$EQ$68,$DB40:$IO40*1001+$ZQ40:$AFD40))*100+9)</f>
        <v/>
      </c>
      <c r="BV40">
        <f>IF(OR(AG40=1,calcA!$A$6=0),1000000000,IF('calcA'!$JF$19=1,0,100000000)+IF('calcA'!$IQ$19=2,SUMPRODUCT('calcA'!$D$69:$EQ$69,$DB40:$IO40,$IQ40:$OD40)*1000+SUMPRODUCT('calcA'!$D$69:$EQ$69,$DB40:$IO40+$ZQ40:$AFD40,$AFF40:$AKS40),SUMPRODUCT('calcA'!$D$69:$EQ$69,$DB40:$IO40*1001+$ZQ40:$AFD40))*100+10)</f>
        <v/>
      </c>
      <c r="BW40">
        <f>IF(OR(AH40=1,calcA!$A$6=0),1000000000,IF('calcA'!$JF$20=1,0,100000000)+IF('calcA'!$IQ$20=2,SUMPRODUCT('calcA'!$D$70:$EQ$70,$DB40:$IO40,$IQ40:$OD40)*1000+SUMPRODUCT('calcA'!$D$70:$EQ$70,$DB40:$IO40+$ZQ40:$AFD40,$AFF40:$AKS40),SUMPRODUCT('calcA'!$D$70:$EQ$70,$DB40:$IO40*1001+$ZQ40:$AFD40))*100+11)</f>
        <v/>
      </c>
      <c r="BX40">
        <f>IF(OR(AI40=1,calcA!$A$6=0),1000000000,IF('calcA'!$JF$21=1,0,100000000)+IF('calcA'!$IQ$21=2,SUMPRODUCT('calcA'!$D$71:$EQ$71,$DB40:$IO40,$IQ40:$OD40)*1000+SUMPRODUCT('calcA'!$D$71:$EQ$71,$DB40:$IO40+$ZQ40:$AFD40,$AFF40:$AKS40),SUMPRODUCT('calcA'!$D$71:$EQ$71,$DB40:$IO40*1001+$ZQ40:$AFD40))*100+12)</f>
        <v/>
      </c>
      <c r="BY40">
        <f>IF(OR(AJ40=1,calcA!$A$6=0),1000000000,IF('calcA'!$JF$22=1,0,100000000)+IF('calcA'!$IQ$22=2,SUMPRODUCT('calcA'!$D$72:$EQ$72,$DB40:$IO40,$IQ40:$OD40)*1000+SUMPRODUCT('calcA'!$D$72:$EQ$72,$DB40:$IO40+$ZQ40:$AFD40,$AFF40:$AKS40),SUMPRODUCT('calcA'!$D$72:$EQ$72,$DB40:$IO40*1001+$ZQ40:$AFD40))*100+13)</f>
        <v/>
      </c>
      <c r="BZ40">
        <f>IF(OR(AK40=1,calcA!$A$6=0),1000000000,IF('calcA'!$JF$23=1,0,100000000)+IF('calcA'!$IQ$23=2,SUMPRODUCT('calcA'!$D$73:$EQ$73,$DB40:$IO40,$IQ40:$OD40)*1000+SUMPRODUCT('calcA'!$D$73:$EQ$73,$DB40:$IO40+$ZQ40:$AFD40,$AFF40:$AKS40),SUMPRODUCT('calcA'!$D$73:$EQ$73,$DB40:$IO40*1001+$ZQ40:$AFD40))*100+14)</f>
        <v/>
      </c>
      <c r="CA40">
        <f>IF(OR(AL40=1,calcA!$A$6=0),1000000000,IF('calcA'!$JF$24=1,0,100000000)+IF('calcA'!$IQ$24=2,SUMPRODUCT('calcA'!$D$74:$EQ$74,$DB40:$IO40,$IQ40:$OD40)*1000+SUMPRODUCT('calcA'!$D$74:$EQ$74,$DB40:$IO40+$ZQ40:$AFD40,$AFF40:$AKS40),SUMPRODUCT('calcA'!$D$74:$EQ$74,$DB40:$IO40*1001+$ZQ40:$AFD40))*100+15)</f>
        <v/>
      </c>
      <c r="CB40">
        <f>IF(OR(AM40=1,calcA!$A$6=0),1000000000,IF('calcA'!$JF$25=1,0,100000000)+IF('calcA'!$IQ$25=2,SUMPRODUCT('calcA'!$D$75:$EQ$75,$DB40:$IO40,$IQ40:$OD40)*1000+SUMPRODUCT('calcA'!$D$75:$EQ$75,$DB40:$IO40+$ZQ40:$AFD40,$AFF40:$AKS40),SUMPRODUCT('calcA'!$D$75:$EQ$75,$DB40:$IO40*1001+$ZQ40:$AFD40))*100+16)</f>
        <v/>
      </c>
      <c r="CC40">
        <f>IF(OR(AN40=1,calcA!$A$6=0),1000000000,IF('calcA'!$JF$26=1,0,100000000)+IF('calcA'!$IQ$26=2,SUMPRODUCT('calcA'!$D$76:$EQ$76,$DB40:$IO40,$IQ40:$OD40)*1000+SUMPRODUCT('calcA'!$D$76:$EQ$76,$DB40:$IO40+$ZQ40:$AFD40,$AFF40:$AKS40),SUMPRODUCT('calcA'!$D$76:$EQ$76,$DB40:$IO40*1001+$ZQ40:$AFD40))*100+17)</f>
        <v/>
      </c>
      <c r="CD40">
        <f>IF(OR(AO40=1,calcA!$A$6=0),1000000000,IF('calcA'!$JF$27=1,0,100000000)+IF('calcA'!$IQ$27=2,SUMPRODUCT('calcA'!$D$77:$EQ$77,$DB40:$IO40,$IQ40:$OD40)*1000+SUMPRODUCT('calcA'!$D$77:$EQ$77,$DB40:$IO40+$ZQ40:$AFD40,$AFF40:$AKS40),SUMPRODUCT('calcA'!$D$77:$EQ$77,$DB40:$IO40*1001+$ZQ40:$AFD40))*100+18)</f>
        <v/>
      </c>
      <c r="CE40">
        <f>IF(OR(AP40=1,calcA!$A$6=0),1000000000,IF('calcA'!$JF$28=1,0,100000000)+IF('calcA'!$IQ$28=2,SUMPRODUCT('calcA'!$D$78:$EQ$78,$DB40:$IO40,$IQ40:$OD40)*1000+SUMPRODUCT('calcA'!$D$78:$EQ$78,$DB40:$IO40+$ZQ40:$AFD40,$AFF40:$AKS40),SUMPRODUCT('calcA'!$D$78:$EQ$78,$DB40:$IO40*1001+$ZQ40:$AFD40))*100+19)</f>
        <v/>
      </c>
      <c r="CF40">
        <f>IF(OR(AQ40=1,calcA!$A$6=0),1000000000,IF('calcA'!$JF$29=1,0,100000000)+IF('calcA'!$IQ$29=2,SUMPRODUCT('calcA'!$D$79:$EQ$79,$DB40:$IO40,$IQ40:$OD40)*1000+SUMPRODUCT('calcA'!$D$79:$EQ$79,$DB40:$IO40+$ZQ40:$AFD40,$AFF40:$AKS40),SUMPRODUCT('calcA'!$D$79:$EQ$79,$DB40:$IO40*1001+$ZQ40:$AFD40))*100+20)</f>
        <v/>
      </c>
      <c r="CG40">
        <f>IF(OR(AR40=1,calcA!$A$6=0),1000000000,IF('calcA'!$JF$30=1,0,100000000)+IF('calcA'!$IQ$30=2,SUMPRODUCT('calcA'!$D$80:$EQ$80,$DB40:$IO40,$IQ40:$OD40)*1000+SUMPRODUCT('calcA'!$D$80:$EQ$80,$DB40:$IO40+$ZQ40:$AFD40,$AFF40:$AKS40),SUMPRODUCT('calcA'!$D$80:$EQ$80,$DB40:$IO40*1001+$ZQ40:$AFD40))*100+21)</f>
        <v/>
      </c>
      <c r="CH40">
        <f>IF(OR(AS40=1,calcA!$A$6=0),1000000000,IF('calcA'!$JF$31=1,0,100000000)+IF('calcA'!$IQ$31=2,SUMPRODUCT('calcA'!$D$81:$EQ$81,$DB40:$IO40,$IQ40:$OD40)*1000+SUMPRODUCT('calcA'!$D$81:$EQ$81,$DB40:$IO40+$ZQ40:$AFD40,$AFF40:$AKS40),SUMPRODUCT('calcA'!$D$81:$EQ$81,$DB40:$IO40*1001+$ZQ40:$AFD40))*100+22)</f>
        <v/>
      </c>
      <c r="CI40">
        <f>IF(OR(AT40=1,calcA!$A$6=0),1000000000,IF('calcA'!$JF$32=1,0,100000000)+IF('calcA'!$IQ$32=2,SUMPRODUCT('calcA'!$D$82:$EQ$82,$DB40:$IO40,$IQ40:$OD40)*1000+SUMPRODUCT('calcA'!$D$82:$EQ$82,$DB40:$IO40+$ZQ40:$AFD40,$AFF40:$AKS40),SUMPRODUCT('calcA'!$D$82:$EQ$82,$DB40:$IO40*1001+$ZQ40:$AFD40))*100+23)</f>
        <v/>
      </c>
      <c r="CJ40">
        <f>IF(OR(AU40=1,calcA!$A$6=0),1000000000,IF('calcA'!$JF$33=1,0,100000000)+IF('calcA'!$IQ$33=2,SUMPRODUCT('calcA'!$D$83:$EQ$83,$DB40:$IO40,$IQ40:$OD40)*1000+SUMPRODUCT('calcA'!$D$83:$EQ$83,$DB40:$IO40+$ZQ40:$AFD40,$AFF40:$AKS40),SUMPRODUCT('calcA'!$D$83:$EQ$83,$DB40:$IO40*1001+$ZQ40:$AFD40))*100+24)</f>
        <v/>
      </c>
      <c r="CK40">
        <f>IF(OR(AV40=1,calcA!$A$6=0),1000000000,IF('calcA'!$JF$34=1,0,100000000)+IF('calcA'!$IQ$34=2,SUMPRODUCT('calcA'!$D$84:$EQ$84,$DB40:$IO40,$IQ40:$OD40)*1000+SUMPRODUCT('calcA'!$D$84:$EQ$84,$DB40:$IO40+$ZQ40:$AFD40,$AFF40:$AKS40),SUMPRODUCT('calcA'!$D$84:$EQ$84,$DB40:$IO40*1001+$ZQ40:$AFD40))*100+25)</f>
        <v/>
      </c>
      <c r="CL40">
        <f>IF(OR(AW40=1,calcA!$A$6=0),1000000000,IF('calcA'!$JF$35=1,0,100000000)+IF('calcA'!$IQ$35=2,SUMPRODUCT('calcA'!$D$85:$EQ$85,$DB40:$IO40,$IQ40:$OD40)*1000+SUMPRODUCT('calcA'!$D$85:$EQ$85,$DB40:$IO40+$ZQ40:$AFD40,$AFF40:$AKS40),SUMPRODUCT('calcA'!$D$85:$EQ$85,$DB40:$IO40*1001+$ZQ40:$AFD40))*100+26)</f>
        <v/>
      </c>
      <c r="CM40">
        <f>IF(OR(AX40=1,calcA!$A$6=0),1000000000,IF('calcA'!$JF$36=1,0,100000000)+IF('calcA'!$IQ$36=2,SUMPRODUCT('calcA'!$D$86:$EQ$86,$DB40:$IO40,$IQ40:$OD40)*1000+SUMPRODUCT('calcA'!$D$86:$EQ$86,$DB40:$IO40+$ZQ40:$AFD40,$AFF40:$AKS40),SUMPRODUCT('calcA'!$D$86:$EQ$86,$DB40:$IO40*1001+$ZQ40:$AFD40))*100+27)</f>
        <v/>
      </c>
      <c r="CN40">
        <f>IF(OR(AY40=1,calcA!$A$6=0),1000000000,IF('calcA'!$JF$37=1,0,100000000)+IF('calcA'!$IQ$37=2,SUMPRODUCT('calcA'!$D$87:$EQ$87,$DB40:$IO40,$IQ40:$OD40)*1000+SUMPRODUCT('calcA'!$D$87:$EQ$87,$DB40:$IO40+$ZQ40:$AFD40,$AFF40:$AKS40),SUMPRODUCT('calcA'!$D$87:$EQ$87,$DB40:$IO40*1001+$ZQ40:$AFD40))*100+28)</f>
        <v/>
      </c>
      <c r="CO40">
        <f>IF(OR(AZ40=1,calcA!$A$6=0),1000000000,IF('calcA'!$JF$38=1,0,100000000)+IF('calcA'!$IQ$38=2,SUMPRODUCT('calcA'!$D$88:$EQ$88,$DB40:$IO40,$IQ40:$OD40)*1000+SUMPRODUCT('calcA'!$D$88:$EQ$88,$DB40:$IO40+$ZQ40:$AFD40,$AFF40:$AKS40),SUMPRODUCT('calcA'!$D$88:$EQ$88,$DB40:$IO40*1001+$ZQ40:$AFD40))*100+29)</f>
        <v/>
      </c>
      <c r="CP40">
        <f>IF(OR(BA40=1,calcA!$A$6=0),1000000000,IF('calcA'!$JF$39=1,0,100000000)+IF('calcA'!$IQ$39=2,SUMPRODUCT('calcA'!$D$89:$EQ$89,$DB40:$IO40,$IQ40:$OD40)*1000+SUMPRODUCT('calcA'!$D$89:$EQ$89,$DB40:$IO40+$ZQ40:$AFD40,$AFF40:$AKS40),SUMPRODUCT('calcA'!$D$89:$EQ$89,$DB40:$IO40*1001+$ZQ40:$AFD40))*100+30)</f>
        <v/>
      </c>
      <c r="CQ40">
        <f>IF(OR(BB40=1,calcA!$A$6=0),1000000000,IF('calcA'!$JF$40=1,0,100000000)+IF('calcA'!$IQ$40=2,SUMPRODUCT('calcA'!$D$90:$EQ$90,$DB40:$IO40,$IQ40:$OD40)*1000+SUMPRODUCT('calcA'!$D$90:$EQ$90,$DB40:$IO40+$ZQ40:$AFD40,$AFF40:$AKS40),SUMPRODUCT('calcA'!$D$90:$EQ$90,$DB40:$IO40*1001+$ZQ40:$AFD40))*100+31)</f>
        <v/>
      </c>
      <c r="CR40">
        <f>IF(OR(BC40=1,calcA!$A$6=0),1000000000,IF('calcA'!$JF$41=1,0,100000000)+IF('calcA'!$IQ$41=2,SUMPRODUCT('calcA'!$D$91:$EQ$91,$DB40:$IO40,$IQ40:$OD40)*1000+SUMPRODUCT('calcA'!$D$91:$EQ$91,$DB40:$IO40+$ZQ40:$AFD40,$AFF40:$AKS40),SUMPRODUCT('calcA'!$D$91:$EQ$91,$DB40:$IO40*1001+$ZQ40:$AFD40))*100+32)</f>
        <v/>
      </c>
      <c r="CS40">
        <f>IF(OR(BD40=1,calcA!$A$6=0),1000000000,IF('calcA'!$JF$42=1,0,100000000)+IF('calcA'!$IQ$42=2,SUMPRODUCT('calcA'!$D$92:$EQ$92,$DB40:$IO40,$IQ40:$OD40)*1000+SUMPRODUCT('calcA'!$D$92:$EQ$92,$DB40:$IO40+$ZQ40:$AFD40,$AFF40:$AKS40),SUMPRODUCT('calcA'!$D$92:$EQ$92,$DB40:$IO40*1001+$ZQ40:$AFD40))*100+33)</f>
        <v/>
      </c>
      <c r="CT40">
        <f>IF(OR(BE40=1,calcA!$A$6=0),1000000000,IF('calcA'!$JF$43=1,0,100000000)+IF('calcA'!$IQ$43=2,SUMPRODUCT('calcA'!$D$93:$EQ$93,$DB40:$IO40,$IQ40:$OD40)*1000+SUMPRODUCT('calcA'!$D$93:$EQ$93,$DB40:$IO40+$ZQ40:$AFD40,$AFF40:$AKS40),SUMPRODUCT('calcA'!$D$93:$EQ$93,$DB40:$IO40*1001+$ZQ40:$AFD40))*100+34)</f>
        <v/>
      </c>
      <c r="CU40">
        <f>IF(OR(BF40=1,calcA!$A$6=0),1000000000,IF('calcA'!$JF$44=1,0,100000000)+IF('calcA'!$IQ$44=2,SUMPRODUCT('calcA'!$D$94:$EQ$94,$DB40:$IO40,$IQ40:$OD40)*1000+SUMPRODUCT('calcA'!$D$94:$EQ$94,$DB40:$IO40+$ZQ40:$AFD40,$AFF40:$AKS40),SUMPRODUCT('calcA'!$D$94:$EQ$94,$DB40:$IO40*1001+$ZQ40:$AFD40))*100+35)</f>
        <v/>
      </c>
      <c r="CV40">
        <f>IF(OR(BG40=1,calcA!$A$6=0),1000000000,IF('calcA'!$JF$45=1,0,100000000)+IF('calcA'!$IQ$45=2,SUMPRODUCT('calcA'!$D$95:$EQ$95,$DB40:$IO40,$IQ40:$OD40)*1000+SUMPRODUCT('calcA'!$D$95:$EQ$95,$DB40:$IO40+$ZQ40:$AFD40,$AFF40:$AKS40),SUMPRODUCT('calcA'!$D$95:$EQ$95,$DB40:$IO40*1001+$ZQ40:$AFD40))*100+36)</f>
        <v/>
      </c>
      <c r="CW40">
        <f>IF(OR(BH40=1,calcA!$A$6=0),1000000000,IF('calcA'!$JF$46=1,0,100000000)+IF('calcA'!$IQ$46=2,SUMPRODUCT('calcA'!$D$96:$EQ$96,$DB40:$IO40,$IQ40:$OD40)*1000+SUMPRODUCT('calcA'!$D$96:$EQ$96,$DB40:$IO40+$ZQ40:$AFD40,$AFF40:$AKS40),SUMPRODUCT('calcA'!$D$96:$EQ$96,$DB40:$IO40*1001+$ZQ40:$AFD40))*100+37)</f>
        <v/>
      </c>
      <c r="CX40">
        <f>IF(OR(BI40=1,calcA!$A$6=0),1000000000,IF('calcA'!$JF$47=1,0,100000000)+IF('calcA'!$IQ$47=2,SUMPRODUCT('calcA'!$D$97:$EQ$97,$DB40:$IO40,$IQ40:$OD40)*1000+SUMPRODUCT('calcA'!$D$97:$EQ$97,$DB40:$IO40+$ZQ40:$AFD40,$AFF40:$AKS40),SUMPRODUCT('calcA'!$D$97:$EQ$97,$DB40:$IO40*1001+$ZQ40:$AFD40))*100+38)</f>
        <v/>
      </c>
      <c r="CY40">
        <f>IF(OR(BJ40=1,calcA!$A$6=0),1000000000,IF('calcA'!$JF$48=1,0,100000000)+IF('calcA'!$IQ$48=2,SUMPRODUCT('calcA'!$D$98:$EQ$98,$DB40:$IO40,$IQ40:$OD40)*1000+SUMPRODUCT('calcA'!$D$98:$EQ$98,$DB40:$IO40+$ZQ40:$AFD40,$AFF40:$AKS40),SUMPRODUCT('calcA'!$D$98:$EQ$98,$DB40:$IO40*1001+$ZQ40:$AFD40))*100+39)</f>
        <v/>
      </c>
      <c r="CZ40">
        <f>IF(OR(BK40=1,calcA!$A$6=0),1000000000,IF('calcA'!$JF$49=1,0,100000000)+IF('calcA'!$IQ$49=2,SUMPRODUCT('calcA'!$D$99:$EQ$99,$DB40:$IO40,$IQ40:$OD40)*1000+SUMPRODUCT('calcA'!$D$99:$EQ$99,$DB40:$IO40+$ZQ40:$AFD40,$AFF40:$AKS40),SUMPRODUCT('calcA'!$D$99:$EQ$99,$DB40:$IO40*1001+$ZQ40:$AFD40))*100+40)</f>
        <v/>
      </c>
      <c r="DB40">
        <f>DB39*IF(OR($C39=1,$G39=1),0,1)</f>
        <v/>
      </c>
      <c r="DC40">
        <f>DC39*IF(OR($C39=2,$G39=2),0,1)</f>
        <v/>
      </c>
      <c r="DD40">
        <f>DD39*IF(OR($C39=3,$G39=3),0,1)</f>
        <v/>
      </c>
      <c r="DE40">
        <f>DE39*IF(OR($C39=4,$G39=4),0,1)</f>
        <v/>
      </c>
      <c r="DF40">
        <f>DF39*IF(OR($C39=5,$G39=5),0,1)</f>
        <v/>
      </c>
      <c r="DG40">
        <f>DG39*IF(OR($C39=6,$G39=6),0,1)</f>
        <v/>
      </c>
      <c r="DH40">
        <f>DH39*IF(OR($C39=7,$G39=7),0,1)</f>
        <v/>
      </c>
      <c r="DI40">
        <f>DI39*IF(OR($C39=8,$G39=8),0,1)</f>
        <v/>
      </c>
      <c r="DJ40">
        <f>DJ39*IF(OR($C39=9,$G39=9),0,1)</f>
        <v/>
      </c>
      <c r="DK40">
        <f>DK39*IF(OR($C39=10,$G39=10),0,1)</f>
        <v/>
      </c>
      <c r="DL40">
        <f>DL39*IF(OR($C39=11,$G39=11),0,1)</f>
        <v/>
      </c>
      <c r="DM40">
        <f>DM39*IF(OR($C39=12,$G39=12),0,1)</f>
        <v/>
      </c>
      <c r="DN40">
        <f>DN39*IF(OR($C39=13,$G39=13),0,1)</f>
        <v/>
      </c>
      <c r="DO40">
        <f>DO39*IF(OR($C39=14,$G39=14),0,1)</f>
        <v/>
      </c>
      <c r="DP40">
        <f>DP39*IF(OR($C39=15,$G39=15),0,1)</f>
        <v/>
      </c>
      <c r="DQ40">
        <f>DQ39*IF(OR($C39=16,$G39=16),0,1)</f>
        <v/>
      </c>
      <c r="DR40">
        <f>DR39*IF(OR($C39=17,$G39=17),0,1)</f>
        <v/>
      </c>
      <c r="DS40">
        <f>DS39*IF(OR($C39=18,$G39=18),0,1)</f>
        <v/>
      </c>
      <c r="DT40">
        <f>DT39*IF(OR($C39=19,$G39=19),0,1)</f>
        <v/>
      </c>
      <c r="DU40">
        <f>DU39*IF(OR($C39=20,$G39=20),0,1)</f>
        <v/>
      </c>
      <c r="DV40">
        <f>DV39*IF(OR($C39=21,$G39=21),0,1)</f>
        <v/>
      </c>
      <c r="DW40">
        <f>DW39*IF(OR($C39=22,$G39=22),0,1)</f>
        <v/>
      </c>
      <c r="DX40">
        <f>DX39*IF(OR($C39=23,$G39=23),0,1)</f>
        <v/>
      </c>
      <c r="DY40">
        <f>DY39*IF(OR($C39=24,$G39=24),0,1)</f>
        <v/>
      </c>
      <c r="DZ40">
        <f>DZ39*IF(OR($C39=25,$G39=25),0,1)</f>
        <v/>
      </c>
      <c r="EA40">
        <f>EA39*IF(OR($C39=26,$G39=26),0,1)</f>
        <v/>
      </c>
      <c r="EB40">
        <f>EB39*IF(OR($C39=27,$G39=27),0,1)</f>
        <v/>
      </c>
      <c r="EC40">
        <f>EC39*IF(OR($C39=28,$G39=28),0,1)</f>
        <v/>
      </c>
      <c r="ED40">
        <f>ED39*IF(OR($C39=29,$G39=29),0,1)</f>
        <v/>
      </c>
      <c r="EE40">
        <f>EE39*IF(OR($C39=30,$G39=30),0,1)</f>
        <v/>
      </c>
      <c r="EF40">
        <f>EF39*IF(OR($C39=31,$G39=31),0,1)</f>
        <v/>
      </c>
      <c r="EG40">
        <f>EG39*IF(OR($C39=32,$G39=32),0,1)</f>
        <v/>
      </c>
      <c r="EH40">
        <f>EH39*IF(OR($C39=33,$G39=33),0,1)</f>
        <v/>
      </c>
      <c r="EI40">
        <f>EI39*IF(OR($C39=34,$G39=34),0,1)</f>
        <v/>
      </c>
      <c r="EJ40">
        <f>EJ39*IF(OR($C39=35,$G39=35),0,1)</f>
        <v/>
      </c>
      <c r="EK40">
        <f>EK39*IF(OR($C39=36,$G39=36),0,1)</f>
        <v/>
      </c>
      <c r="EL40">
        <f>EL39*IF(OR($C39=37,$G39=37),0,1)</f>
        <v/>
      </c>
      <c r="EM40">
        <f>EM39*IF(OR($C39=38,$G39=38),0,1)</f>
        <v/>
      </c>
      <c r="EN40">
        <f>EN39*IF(OR($C39=39,$G39=39),0,1)</f>
        <v/>
      </c>
      <c r="EO40">
        <f>EO39*IF(OR($C39=40,$G39=40),0,1)</f>
        <v/>
      </c>
      <c r="EP40">
        <f>EP39*IF(OR($C39=41,$G39=41),0,1)</f>
        <v/>
      </c>
      <c r="EQ40">
        <f>EQ39*IF(OR($C39=42,$G39=42),0,1)</f>
        <v/>
      </c>
      <c r="ER40">
        <f>ER39*IF(OR($C39=43,$G39=43),0,1)</f>
        <v/>
      </c>
      <c r="ES40">
        <f>ES39*IF(OR($C39=44,$G39=44),0,1)</f>
        <v/>
      </c>
      <c r="ET40">
        <f>ET39*IF(OR($C39=45,$G39=45),0,1)</f>
        <v/>
      </c>
      <c r="EU40">
        <f>EU39*IF(OR($C39=46,$G39=46),0,1)</f>
        <v/>
      </c>
      <c r="EV40">
        <f>EV39*IF(OR($C39=47,$G39=47),0,1)</f>
        <v/>
      </c>
      <c r="EW40">
        <f>EW39*IF(OR($C39=48,$G39=48),0,1)</f>
        <v/>
      </c>
      <c r="EX40">
        <f>EX39*IF(OR($C39=49,$G39=49),0,1)</f>
        <v/>
      </c>
      <c r="EY40">
        <f>EY39*IF(OR($C39=50,$G39=50),0,1)</f>
        <v/>
      </c>
      <c r="EZ40">
        <f>EZ39*IF(OR($C39=51,$G39=51),0,1)</f>
        <v/>
      </c>
      <c r="FA40">
        <f>FA39*IF(OR($C39=52,$G39=52),0,1)</f>
        <v/>
      </c>
      <c r="FB40">
        <f>FB39*IF(OR($C39=53,$G39=53),0,1)</f>
        <v/>
      </c>
      <c r="FC40">
        <f>FC39*IF(OR($C39=54,$G39=54),0,1)</f>
        <v/>
      </c>
      <c r="FD40">
        <f>FD39*IF(OR($C39=55,$G39=55),0,1)</f>
        <v/>
      </c>
      <c r="FE40">
        <f>FE39*IF(OR($C39=56,$G39=56),0,1)</f>
        <v/>
      </c>
      <c r="FF40">
        <f>FF39*IF(OR($C39=57,$G39=57),0,1)</f>
        <v/>
      </c>
      <c r="FG40">
        <f>FG39*IF(OR($C39=58,$G39=58),0,1)</f>
        <v/>
      </c>
      <c r="FH40">
        <f>FH39*IF(OR($C39=59,$G39=59),0,1)</f>
        <v/>
      </c>
      <c r="FI40">
        <f>FI39*IF(OR($C39=60,$G39=60),0,1)</f>
        <v/>
      </c>
      <c r="FJ40">
        <f>FJ39*IF(OR($C39=61,$G39=61),0,1)</f>
        <v/>
      </c>
      <c r="FK40">
        <f>FK39*IF(OR($C39=62,$G39=62),0,1)</f>
        <v/>
      </c>
      <c r="FL40">
        <f>FL39*IF(OR($C39=63,$G39=63),0,1)</f>
        <v/>
      </c>
      <c r="FM40">
        <f>FM39*IF(OR($C39=64,$G39=64),0,1)</f>
        <v/>
      </c>
      <c r="FN40">
        <f>FN39*IF(OR($C39=65,$G39=65),0,1)</f>
        <v/>
      </c>
      <c r="FO40">
        <f>FO39*IF(OR($C39=66,$G39=66),0,1)</f>
        <v/>
      </c>
      <c r="FP40">
        <f>FP39*IF(OR($C39=67,$G39=67),0,1)</f>
        <v/>
      </c>
      <c r="FQ40">
        <f>FQ39*IF(OR($C39=68,$G39=68),0,1)</f>
        <v/>
      </c>
      <c r="FR40">
        <f>FR39*IF(OR($C39=69,$G39=69),0,1)</f>
        <v/>
      </c>
      <c r="FS40">
        <f>FS39*IF(OR($C39=70,$G39=70),0,1)</f>
        <v/>
      </c>
      <c r="FT40">
        <f>FT39*IF(OR($C39=71,$G39=71),0,1)</f>
        <v/>
      </c>
      <c r="FU40">
        <f>FU39*IF(OR($C39=72,$G39=72),0,1)</f>
        <v/>
      </c>
      <c r="FV40">
        <f>FV39*IF(OR($C39=73,$G39=73),0,1)</f>
        <v/>
      </c>
      <c r="FW40">
        <f>FW39*IF(OR($C39=74,$G39=74),0,1)</f>
        <v/>
      </c>
      <c r="FX40">
        <f>FX39*IF(OR($C39=75,$G39=75),0,1)</f>
        <v/>
      </c>
      <c r="FY40">
        <f>FY39*IF(OR($C39=76,$G39=76),0,1)</f>
        <v/>
      </c>
      <c r="FZ40">
        <f>FZ39*IF(OR($C39=77,$G39=77),0,1)</f>
        <v/>
      </c>
      <c r="GA40">
        <f>GA39*IF(OR($C39=78,$G39=78),0,1)</f>
        <v/>
      </c>
      <c r="GB40">
        <f>GB39*IF(OR($C39=79,$G39=79),0,1)</f>
        <v/>
      </c>
      <c r="GC40">
        <f>GC39*IF(OR($C39=80,$G39=80),0,1)</f>
        <v/>
      </c>
      <c r="GD40">
        <f>GD39*IF(OR($C39=81,$G39=81),0,1)</f>
        <v/>
      </c>
      <c r="GE40">
        <f>GE39*IF(OR($C39=82,$G39=82),0,1)</f>
        <v/>
      </c>
      <c r="GF40">
        <f>GF39*IF(OR($C39=83,$G39=83),0,1)</f>
        <v/>
      </c>
      <c r="GG40">
        <f>GG39*IF(OR($C39=84,$G39=84),0,1)</f>
        <v/>
      </c>
      <c r="GH40">
        <f>GH39*IF(OR($C39=85,$G39=85),0,1)</f>
        <v/>
      </c>
      <c r="GI40">
        <f>GI39*IF(OR($C39=86,$G39=86),0,1)</f>
        <v/>
      </c>
      <c r="GJ40">
        <f>GJ39*IF(OR($C39=87,$G39=87),0,1)</f>
        <v/>
      </c>
      <c r="GK40">
        <f>GK39*IF(OR($C39=88,$G39=88),0,1)</f>
        <v/>
      </c>
      <c r="GL40">
        <f>GL39*IF(OR($C39=89,$G39=89),0,1)</f>
        <v/>
      </c>
      <c r="GM40">
        <f>GM39*IF(OR($C39=90,$G39=90),0,1)</f>
        <v/>
      </c>
      <c r="GN40">
        <f>GN39*IF(OR($C39=91,$G39=91),0,1)</f>
        <v/>
      </c>
      <c r="GO40">
        <f>GO39*IF(OR($C39=92,$G39=92),0,1)</f>
        <v/>
      </c>
      <c r="GP40">
        <f>GP39*IF(OR($C39=93,$G39=93),0,1)</f>
        <v/>
      </c>
      <c r="GQ40">
        <f>GQ39*IF(OR($C39=94,$G39=94),0,1)</f>
        <v/>
      </c>
      <c r="GR40">
        <f>GR39*IF(OR($C39=95,$G39=95),0,1)</f>
        <v/>
      </c>
      <c r="GS40">
        <f>GS39*IF(OR($C39=96,$G39=96),0,1)</f>
        <v/>
      </c>
      <c r="GT40">
        <f>GT39*IF(OR($C39=97,$G39=97),0,1)</f>
        <v/>
      </c>
      <c r="GU40">
        <f>GU39*IF(OR($C39=98,$G39=98),0,1)</f>
        <v/>
      </c>
      <c r="GV40">
        <f>GV39*IF(OR($C39=99,$G39=99),0,1)</f>
        <v/>
      </c>
      <c r="GW40">
        <f>GW39*IF(OR($C39=100,$G39=100),0,1)</f>
        <v/>
      </c>
      <c r="GX40">
        <f>GX39*IF(OR($C39=101,$G39=101),0,1)</f>
        <v/>
      </c>
      <c r="GY40">
        <f>GY39*IF(OR($C39=102,$G39=102),0,1)</f>
        <v/>
      </c>
      <c r="GZ40">
        <f>GZ39*IF(OR($C39=103,$G39=103),0,1)</f>
        <v/>
      </c>
      <c r="HA40">
        <f>HA39*IF(OR($C39=104,$G39=104),0,1)</f>
        <v/>
      </c>
      <c r="HB40">
        <f>HB39*IF(OR($C39=105,$G39=105),0,1)</f>
        <v/>
      </c>
      <c r="HC40">
        <f>HC39*IF(OR($C39=106,$G39=106),0,1)</f>
        <v/>
      </c>
      <c r="HD40">
        <f>HD39*IF(OR($C39=107,$G39=107),0,1)</f>
        <v/>
      </c>
      <c r="HE40">
        <f>HE39*IF(OR($C39=108,$G39=108),0,1)</f>
        <v/>
      </c>
      <c r="HF40">
        <f>HF39*IF(OR($C39=109,$G39=109),0,1)</f>
        <v/>
      </c>
      <c r="HG40">
        <f>HG39*IF(OR($C39=110,$G39=110),0,1)</f>
        <v/>
      </c>
      <c r="HH40">
        <f>HH39*IF(OR($C39=111,$G39=111),0,1)</f>
        <v/>
      </c>
      <c r="HI40">
        <f>HI39*IF(OR($C39=112,$G39=112),0,1)</f>
        <v/>
      </c>
      <c r="HJ40">
        <f>HJ39*IF(OR($C39=113,$G39=113),0,1)</f>
        <v/>
      </c>
      <c r="HK40">
        <f>HK39*IF(OR($C39=114,$G39=114),0,1)</f>
        <v/>
      </c>
      <c r="HL40">
        <f>HL39*IF(OR($C39=115,$G39=115),0,1)</f>
        <v/>
      </c>
      <c r="HM40">
        <f>HM39*IF(OR($C39=116,$G39=116),0,1)</f>
        <v/>
      </c>
      <c r="HN40">
        <f>HN39*IF(OR($C39=117,$G39=117),0,1)</f>
        <v/>
      </c>
      <c r="HO40">
        <f>HO39*IF(OR($C39=118,$G39=118),0,1)</f>
        <v/>
      </c>
      <c r="HP40">
        <f>HP39*IF(OR($C39=119,$G39=119),0,1)</f>
        <v/>
      </c>
      <c r="HQ40">
        <f>HQ39*IF(OR($C39=120,$G39=120),0,1)</f>
        <v/>
      </c>
      <c r="HR40">
        <f>HR39*IF(OR($C39=121,$G39=121),0,1)</f>
        <v/>
      </c>
      <c r="HS40">
        <f>HS39*IF(OR($C39=122,$G39=122),0,1)</f>
        <v/>
      </c>
      <c r="HT40">
        <f>HT39*IF(OR($C39=123,$G39=123),0,1)</f>
        <v/>
      </c>
      <c r="HU40">
        <f>HU39*IF(OR($C39=124,$G39=124),0,1)</f>
        <v/>
      </c>
      <c r="HV40">
        <f>HV39*IF(OR($C39=125,$G39=125),0,1)</f>
        <v/>
      </c>
      <c r="HW40">
        <f>HW39*IF(OR($C39=126,$G39=126),0,1)</f>
        <v/>
      </c>
      <c r="HX40">
        <f>HX39*IF(OR($C39=127,$G39=127),0,1)</f>
        <v/>
      </c>
      <c r="HY40">
        <f>HY39*IF(OR($C39=128,$G39=128),0,1)</f>
        <v/>
      </c>
      <c r="HZ40">
        <f>HZ39*IF(OR($C39=129,$G39=129),0,1)</f>
        <v/>
      </c>
      <c r="IA40">
        <f>IA39*IF(OR($C39=130,$G39=130),0,1)</f>
        <v/>
      </c>
      <c r="IB40">
        <f>IB39*IF(OR($C39=131,$G39=131),0,1)</f>
        <v/>
      </c>
      <c r="IC40">
        <f>IC39*IF(OR($C39=132,$G39=132),0,1)</f>
        <v/>
      </c>
      <c r="ID40">
        <f>ID39*IF(OR($C39=133,$G39=133),0,1)</f>
        <v/>
      </c>
      <c r="IE40">
        <f>IE39*IF(OR($C39=134,$G39=134),0,1)</f>
        <v/>
      </c>
      <c r="IF40">
        <f>IF39*IF(OR($C39=135,$G39=135),0,1)</f>
        <v/>
      </c>
      <c r="IG40">
        <f>IG39*IF(OR($C39=136,$G39=136),0,1)</f>
        <v/>
      </c>
      <c r="IH40">
        <f>IH39*IF(OR($C39=137,$G39=137),0,1)</f>
        <v/>
      </c>
      <c r="II40">
        <f>II39*IF(OR($C39=138,$G39=138),0,1)</f>
        <v/>
      </c>
      <c r="IJ40">
        <f>IJ39*IF(OR($C39=139,$G39=139),0,1)</f>
        <v/>
      </c>
      <c r="IK40">
        <f>IK39*IF(OR($C39=140,$G39=140),0,1)</f>
        <v/>
      </c>
      <c r="IL40">
        <f>IL39*IF(OR($C39=141,$G39=141),0,1)</f>
        <v/>
      </c>
      <c r="IM40">
        <f>IM39*IF(OR($C39=142,$G39=142),0,1)</f>
        <v/>
      </c>
      <c r="IN40">
        <f>IN39*IF(OR($C39=143,$G39=143),0,1)</f>
        <v/>
      </c>
      <c r="IO40">
        <f>IO39*IF(OR($C39=144,$G39=144),0,1)</f>
        <v/>
      </c>
      <c r="IQ40">
        <f>IF('calcA'!D$106=1,DC40,1)</f>
        <v/>
      </c>
      <c r="IR40">
        <f>IF('calcA'!E$106=1,DD40,1)</f>
        <v/>
      </c>
      <c r="IS40">
        <f>IF('calcA'!F$106=1,DE40,1)</f>
        <v/>
      </c>
      <c r="IT40">
        <f>IF('calcA'!G$106=1,DF40,1)</f>
        <v/>
      </c>
      <c r="IU40">
        <f>IF('calcA'!H$106=1,DG40,1)</f>
        <v/>
      </c>
      <c r="IV40">
        <f>IF('calcA'!I$106=1,DH40,1)</f>
        <v/>
      </c>
      <c r="IW40">
        <f>IF('calcA'!J$106=1,DI40,1)</f>
        <v/>
      </c>
      <c r="IX40">
        <f>IF('calcA'!K$106=1,DJ40,1)</f>
        <v/>
      </c>
      <c r="IY40">
        <f>IF('calcA'!L$106=1,DK40,1)</f>
        <v/>
      </c>
      <c r="IZ40">
        <f>IF('calcA'!M$106=1,DL40,1)</f>
        <v/>
      </c>
      <c r="JA40">
        <f>IF('calcA'!N$106=1,DM40,1)</f>
        <v/>
      </c>
      <c r="JB40">
        <f>IF('calcA'!O$106=1,DN40,1)</f>
        <v/>
      </c>
      <c r="JC40">
        <f>IF('calcA'!P$106=1,DO40,1)</f>
        <v/>
      </c>
      <c r="JD40">
        <f>IF('calcA'!Q$106=1,DP40,1)</f>
        <v/>
      </c>
      <c r="JE40">
        <f>IF('calcA'!R$106=1,DQ40,1)</f>
        <v/>
      </c>
      <c r="JF40">
        <f>IF('calcA'!S$106=1,DR40,1)</f>
        <v/>
      </c>
      <c r="JG40">
        <f>IF('calcA'!T$106=1,DS40,1)</f>
        <v/>
      </c>
      <c r="JH40">
        <f>IF('calcA'!U$106=1,DT40,1)</f>
        <v/>
      </c>
      <c r="JI40">
        <f>IF('calcA'!V$106=1,DU40,1)</f>
        <v/>
      </c>
      <c r="JJ40">
        <f>IF('calcA'!W$106=1,DV40,1)</f>
        <v/>
      </c>
      <c r="JK40">
        <f>IF('calcA'!X$106=1,DW40,1)</f>
        <v/>
      </c>
      <c r="JL40">
        <f>IF('calcA'!Y$106=1,DX40,1)</f>
        <v/>
      </c>
      <c r="JM40">
        <f>IF('calcA'!Z$106=1,DY40,1)</f>
        <v/>
      </c>
      <c r="JN40">
        <f>IF('calcA'!AA$106=1,DZ40,1)</f>
        <v/>
      </c>
      <c r="JO40">
        <f>IF('calcA'!AB$106=1,EA40,1)</f>
        <v/>
      </c>
      <c r="JP40">
        <f>IF('calcA'!AC$106=1,EB40,1)</f>
        <v/>
      </c>
      <c r="JQ40">
        <f>IF('calcA'!AD$106=1,EC40,1)</f>
        <v/>
      </c>
      <c r="JR40">
        <f>IF('calcA'!AE$106=1,ED40,1)</f>
        <v/>
      </c>
      <c r="JS40">
        <f>IF('calcA'!AF$106=1,EE40,1)</f>
        <v/>
      </c>
      <c r="JT40">
        <f>IF('calcA'!AG$106=1,EF40,1)</f>
        <v/>
      </c>
      <c r="JU40">
        <f>IF('calcA'!AH$106=1,EG40,1)</f>
        <v/>
      </c>
      <c r="JV40">
        <f>IF('calcA'!AI$106=1,EH40,1)</f>
        <v/>
      </c>
      <c r="JW40">
        <f>IF('calcA'!AJ$106=1,EI40,1)</f>
        <v/>
      </c>
      <c r="JX40">
        <f>IF('calcA'!AK$106=1,EJ40,1)</f>
        <v/>
      </c>
      <c r="JY40">
        <f>IF('calcA'!AL$106=1,EK40,1)</f>
        <v/>
      </c>
      <c r="JZ40">
        <f>IF('calcA'!AM$106=1,EL40,1)</f>
        <v/>
      </c>
      <c r="KA40">
        <f>IF('calcA'!AN$106=1,EM40,1)</f>
        <v/>
      </c>
      <c r="KB40">
        <f>IF('calcA'!AO$106=1,EN40,1)</f>
        <v/>
      </c>
      <c r="KC40">
        <f>IF('calcA'!AP$106=1,EO40,1)</f>
        <v/>
      </c>
      <c r="KD40">
        <f>IF('calcA'!AQ$106=1,EP40,1)</f>
        <v/>
      </c>
      <c r="KE40">
        <f>IF('calcA'!AR$106=1,EQ40,1)</f>
        <v/>
      </c>
      <c r="KF40">
        <f>IF('calcA'!AS$106=1,ER40,1)</f>
        <v/>
      </c>
      <c r="KG40">
        <f>IF('calcA'!AT$106=1,ES40,1)</f>
        <v/>
      </c>
      <c r="KH40">
        <f>IF('calcA'!AU$106=1,ET40,1)</f>
        <v/>
      </c>
      <c r="KI40">
        <f>IF('calcA'!AV$106=1,EU40,1)</f>
        <v/>
      </c>
      <c r="KJ40">
        <f>IF('calcA'!AW$106=1,EV40,1)</f>
        <v/>
      </c>
      <c r="KK40">
        <f>IF('calcA'!AX$106=1,EW40,1)</f>
        <v/>
      </c>
      <c r="KL40">
        <f>IF('calcA'!AY$106=1,EX40,1)</f>
        <v/>
      </c>
      <c r="KM40">
        <f>IF('calcA'!AZ$106=1,EY40,1)</f>
        <v/>
      </c>
      <c r="KN40">
        <f>IF('calcA'!BA$106=1,EZ40,1)</f>
        <v/>
      </c>
      <c r="KO40">
        <f>IF('calcA'!BB$106=1,FA40,1)</f>
        <v/>
      </c>
      <c r="KP40">
        <f>IF('calcA'!BC$106=1,FB40,1)</f>
        <v/>
      </c>
      <c r="KQ40">
        <f>IF('calcA'!BD$106=1,FC40,1)</f>
        <v/>
      </c>
      <c r="KR40">
        <f>IF('calcA'!BE$106=1,FD40,1)</f>
        <v/>
      </c>
      <c r="KS40">
        <f>IF('calcA'!BF$106=1,FE40,1)</f>
        <v/>
      </c>
      <c r="KT40">
        <f>IF('calcA'!BG$106=1,FF40,1)</f>
        <v/>
      </c>
      <c r="KU40">
        <f>IF('calcA'!BH$106=1,FG40,1)</f>
        <v/>
      </c>
      <c r="KV40">
        <f>IF('calcA'!BI$106=1,FH40,1)</f>
        <v/>
      </c>
      <c r="KW40">
        <f>IF('calcA'!BJ$106=1,FI40,1)</f>
        <v/>
      </c>
      <c r="KX40">
        <f>IF('calcA'!BK$106=1,FJ40,1)</f>
        <v/>
      </c>
      <c r="KY40">
        <f>IF('calcA'!BL$106=1,FK40,1)</f>
        <v/>
      </c>
      <c r="KZ40">
        <f>IF('calcA'!BM$106=1,FL40,1)</f>
        <v/>
      </c>
      <c r="LA40">
        <f>IF('calcA'!BN$106=1,FM40,1)</f>
        <v/>
      </c>
      <c r="LB40">
        <f>IF('calcA'!BO$106=1,FN40,1)</f>
        <v/>
      </c>
      <c r="LC40">
        <f>IF('calcA'!BP$106=1,FO40,1)</f>
        <v/>
      </c>
      <c r="LD40">
        <f>IF('calcA'!BQ$106=1,FP40,1)</f>
        <v/>
      </c>
      <c r="LE40">
        <f>IF('calcA'!BR$106=1,FQ40,1)</f>
        <v/>
      </c>
      <c r="LF40">
        <f>IF('calcA'!BS$106=1,FR40,1)</f>
        <v/>
      </c>
      <c r="LG40">
        <f>IF('calcA'!BT$106=1,FS40,1)</f>
        <v/>
      </c>
      <c r="LH40">
        <f>IF('calcA'!BU$106=1,FT40,1)</f>
        <v/>
      </c>
      <c r="LI40">
        <f>IF('calcA'!BV$106=1,FU40,1)</f>
        <v/>
      </c>
      <c r="LJ40">
        <f>IF('calcA'!BW$106=1,FV40,1)</f>
        <v/>
      </c>
      <c r="LK40">
        <f>IF('calcA'!BX$106=1,FW40,1)</f>
        <v/>
      </c>
      <c r="LL40">
        <f>IF('calcA'!BY$106=1,FX40,1)</f>
        <v/>
      </c>
      <c r="LM40">
        <f>IF('calcA'!BZ$106=1,FY40,1)</f>
        <v/>
      </c>
      <c r="LN40">
        <f>IF('calcA'!CA$106=1,FZ40,1)</f>
        <v/>
      </c>
      <c r="LO40">
        <f>IF('calcA'!CB$106=1,GA40,1)</f>
        <v/>
      </c>
      <c r="LP40">
        <f>IF('calcA'!CC$106=1,GB40,1)</f>
        <v/>
      </c>
      <c r="LQ40">
        <f>IF('calcA'!CD$106=1,GC40,1)</f>
        <v/>
      </c>
      <c r="LR40">
        <f>IF('calcA'!CE$106=1,GD40,1)</f>
        <v/>
      </c>
      <c r="LS40">
        <f>IF('calcA'!CF$106=1,GE40,1)</f>
        <v/>
      </c>
      <c r="LT40">
        <f>IF('calcA'!CG$106=1,GF40,1)</f>
        <v/>
      </c>
      <c r="LU40">
        <f>IF('calcA'!CH$106=1,GG40,1)</f>
        <v/>
      </c>
      <c r="LV40">
        <f>IF('calcA'!CI$106=1,GH40,1)</f>
        <v/>
      </c>
      <c r="LW40">
        <f>IF('calcA'!CJ$106=1,GI40,1)</f>
        <v/>
      </c>
      <c r="LX40">
        <f>IF('calcA'!CK$106=1,GJ40,1)</f>
        <v/>
      </c>
      <c r="LY40">
        <f>IF('calcA'!CL$106=1,GK40,1)</f>
        <v/>
      </c>
      <c r="LZ40">
        <f>IF('calcA'!CM$106=1,GL40,1)</f>
        <v/>
      </c>
      <c r="MA40">
        <f>IF('calcA'!CN$106=1,GM40,1)</f>
        <v/>
      </c>
      <c r="MB40">
        <f>IF('calcA'!CO$106=1,GN40,1)</f>
        <v/>
      </c>
      <c r="MC40">
        <f>IF('calcA'!CP$106=1,GO40,1)</f>
        <v/>
      </c>
      <c r="MD40">
        <f>IF('calcA'!CQ$106=1,GP40,1)</f>
        <v/>
      </c>
      <c r="ME40">
        <f>IF('calcA'!CR$106=1,GQ40,1)</f>
        <v/>
      </c>
      <c r="MF40">
        <f>IF('calcA'!CS$106=1,GR40,1)</f>
        <v/>
      </c>
      <c r="MG40">
        <f>IF('calcA'!CT$106=1,GS40,1)</f>
        <v/>
      </c>
      <c r="MH40">
        <f>IF('calcA'!CU$106=1,GT40,1)</f>
        <v/>
      </c>
      <c r="MI40">
        <f>IF('calcA'!CV$106=1,GU40,1)</f>
        <v/>
      </c>
      <c r="MJ40">
        <f>IF('calcA'!CW$106=1,GV40,1)</f>
        <v/>
      </c>
      <c r="MK40">
        <f>IF('calcA'!CX$106=1,GW40,1)</f>
        <v/>
      </c>
      <c r="ML40">
        <f>IF('calcA'!CY$106=1,GX40,1)</f>
        <v/>
      </c>
      <c r="MM40">
        <f>IF('calcA'!CZ$106=1,GY40,1)</f>
        <v/>
      </c>
      <c r="MN40">
        <f>IF('calcA'!DA$106=1,GZ40,1)</f>
        <v/>
      </c>
      <c r="MO40">
        <f>IF('calcA'!DB$106=1,HA40,1)</f>
        <v/>
      </c>
      <c r="MP40">
        <f>IF('calcA'!DC$106=1,HB40,1)</f>
        <v/>
      </c>
      <c r="MQ40">
        <f>IF('calcA'!DD$106=1,HC40,1)</f>
        <v/>
      </c>
      <c r="MR40">
        <f>IF('calcA'!DE$106=1,HD40,1)</f>
        <v/>
      </c>
      <c r="MS40">
        <f>IF('calcA'!DF$106=1,HE40,1)</f>
        <v/>
      </c>
      <c r="MT40">
        <f>IF('calcA'!DG$106=1,HF40,1)</f>
        <v/>
      </c>
      <c r="MU40">
        <f>IF('calcA'!DH$106=1,HG40,1)</f>
        <v/>
      </c>
      <c r="MV40">
        <f>IF('calcA'!DI$106=1,HH40,1)</f>
        <v/>
      </c>
      <c r="MW40">
        <f>IF('calcA'!DJ$106=1,HI40,1)</f>
        <v/>
      </c>
      <c r="MX40">
        <f>IF('calcA'!DK$106=1,HJ40,1)</f>
        <v/>
      </c>
      <c r="MY40">
        <f>IF('calcA'!DL$106=1,HK40,1)</f>
        <v/>
      </c>
      <c r="MZ40">
        <f>IF('calcA'!DM$106=1,HL40,1)</f>
        <v/>
      </c>
      <c r="NA40">
        <f>IF('calcA'!DN$106=1,HM40,1)</f>
        <v/>
      </c>
      <c r="NB40">
        <f>IF('calcA'!DO$106=1,HN40,1)</f>
        <v/>
      </c>
      <c r="NC40">
        <f>IF('calcA'!DP$106=1,HO40,1)</f>
        <v/>
      </c>
      <c r="ND40">
        <f>IF('calcA'!DQ$106=1,HP40,1)</f>
        <v/>
      </c>
      <c r="NE40">
        <f>IF('calcA'!DR$106=1,HQ40,1)</f>
        <v/>
      </c>
      <c r="NF40">
        <f>IF('calcA'!DS$106=1,HR40,1)</f>
        <v/>
      </c>
      <c r="NG40">
        <f>IF('calcA'!DT$106=1,HS40,1)</f>
        <v/>
      </c>
      <c r="NH40">
        <f>IF('calcA'!DU$106=1,HT40,1)</f>
        <v/>
      </c>
      <c r="NI40">
        <f>IF('calcA'!DV$106=1,HU40,1)</f>
        <v/>
      </c>
      <c r="NJ40">
        <f>IF('calcA'!DW$106=1,HV40,1)</f>
        <v/>
      </c>
      <c r="NK40">
        <f>IF('calcA'!DX$106=1,HW40,1)</f>
        <v/>
      </c>
      <c r="NL40">
        <f>IF('calcA'!DY$106=1,HX40,1)</f>
        <v/>
      </c>
      <c r="NM40">
        <f>IF('calcA'!DZ$106=1,HY40,1)</f>
        <v/>
      </c>
      <c r="NN40">
        <f>IF('calcA'!EA$106=1,HZ40,1)</f>
        <v/>
      </c>
      <c r="NO40">
        <f>IF('calcA'!EB$106=1,IA40,1)</f>
        <v/>
      </c>
      <c r="NP40">
        <f>IF('calcA'!EC$106=1,IB40,1)</f>
        <v/>
      </c>
      <c r="NQ40">
        <f>IF('calcA'!ED$106=1,IC40,1)</f>
        <v/>
      </c>
      <c r="NR40">
        <f>IF('calcA'!EE$106=1,ID40,1)</f>
        <v/>
      </c>
      <c r="NS40">
        <f>IF('calcA'!EF$106=1,IE40,1)</f>
        <v/>
      </c>
      <c r="NT40">
        <f>IF('calcA'!EG$106=1,IF40,1)</f>
        <v/>
      </c>
      <c r="NU40">
        <f>IF('calcA'!EH$106=1,IG40,1)</f>
        <v/>
      </c>
      <c r="NV40">
        <f>IF('calcA'!EI$106=1,IH40,1)</f>
        <v/>
      </c>
      <c r="NW40">
        <f>IF('calcA'!EJ$106=1,II40,1)</f>
        <v/>
      </c>
      <c r="NX40">
        <f>IF('calcA'!EK$106=1,IJ40,1)</f>
        <v/>
      </c>
      <c r="NY40">
        <f>IF('calcA'!EL$106=1,IK40,1)</f>
        <v/>
      </c>
      <c r="NZ40">
        <f>IF('calcA'!EM$106=1,IL40,1)</f>
        <v/>
      </c>
      <c r="OA40">
        <f>IF('calcA'!EN$106=1,IM40,1)</f>
        <v/>
      </c>
      <c r="OB40">
        <f>IF('calcA'!EO$106=1,IN40,1)</f>
        <v/>
      </c>
      <c r="OC40">
        <f>IF('calcA'!EP$106=1,IO40,1)</f>
        <v/>
      </c>
      <c r="OD40" t="n">
        <v>1</v>
      </c>
      <c r="OF40">
        <f>IF($B40=0,1000000000,IF(INDEX('calcA'!$D$60:$EQ$99,$B40,1)*IF($W40=1,DB40+ZQ40,DB40)=1,IF(AND($E40=2,IF($W40=1,AFF40,IQ40)=0),1000000000,IF($V40=1,INDEX('calcA'!$D$130:$EQ$169,$B40,1)+IF(AND($E40=1,IQ40=0),25,0),INDEX('calcA'!D$110:D$114,$F40+1)+IF(AND($E40=1,IQ40=0),1000,0)+IF($H40=1,INDEX('calcA'!$D$180:$EQ$219,$B40,1)*500,0)-IF(AND($U40=1,'calcA'!D$117=1,DC40=0),300,0))),1000000000))</f>
        <v/>
      </c>
      <c r="OG40">
        <f>IF($B40=0,1000000000,IF(INDEX('calcA'!$D$60:$EQ$99,$B40,2)*IF($W40=1,DC40+ZR40,DC40)=1,IF(AND($E40=2,IF($W40=1,AFG40,IR40)=0),1000000000,IF($V40=1,INDEX('calcA'!$D$130:$EQ$169,$B40,2)+IF(AND($E40=1,IR40=0),25,0),INDEX('calcA'!E$110:E$114,$F40+1)+IF(AND($E40=1,IR40=0),1000,0)+IF($H40=1,INDEX('calcA'!$D$180:$EQ$219,$B40,2)*500,0)-IF(AND('calcA'!D$117=1,UB40&gt;0),300,0)-IF(AND($U40=1,'calcA'!E$117=1,DD40=0),300,0))),1000000000))</f>
        <v/>
      </c>
      <c r="OH40">
        <f>IF($B40=0,1000000000,IF(INDEX('calcA'!$D$60:$EQ$99,$B40,3)*IF($W40=1,DD40+ZS40,DD40)=1,IF(AND($E40=2,IF($W40=1,AFH40,IS40)=0),1000000000,IF($V40=1,INDEX('calcA'!$D$130:$EQ$169,$B40,3)+IF(AND($E40=1,IS40=0),25,0),INDEX('calcA'!F$110:F$114,$F40+1)+IF(AND($E40=1,IS40=0),1000,0)+IF($H40=1,INDEX('calcA'!$D$180:$EQ$219,$B40,3)*500,0)-IF(AND('calcA'!E$117=1,UC40&gt;0),300,0)-IF(AND($U40=1,'calcA'!F$117=1,DE40=0),300,0))),1000000000))</f>
        <v/>
      </c>
      <c r="OI40">
        <f>IF($B40=0,1000000000,IF(INDEX('calcA'!$D$60:$EQ$99,$B40,4)*IF($W40=1,DE40+ZT40,DE40)=1,IF(AND($E40=2,IF($W40=1,AFI40,IT40)=0),1000000000,IF($V40=1,INDEX('calcA'!$D$130:$EQ$169,$B40,4)+IF(AND($E40=1,IT40=0),25,0),INDEX('calcA'!G$110:G$114,$F40+1)+IF(AND($E40=1,IT40=0),1000,0)+IF($H40=1,INDEX('calcA'!$D$180:$EQ$219,$B40,4)*500,0)-IF(AND('calcA'!F$117=1,UD40&gt;0),300,0)-IF(AND($U40=1,'calcA'!G$117=1,DF40=0),300,0))),1000000000))</f>
        <v/>
      </c>
      <c r="OJ40">
        <f>IF($B40=0,1000000000,IF(INDEX('calcA'!$D$60:$EQ$99,$B40,5)*IF($W40=1,DF40+ZU40,DF40)=1,IF(AND($E40=2,IF($W40=1,AFJ40,IU40)=0),1000000000,IF($V40=1,INDEX('calcA'!$D$130:$EQ$169,$B40,5)+IF(AND($E40=1,IU40=0),25,0),INDEX('calcA'!H$110:H$114,$F40+1)+IF(AND($E40=1,IU40=0),1000,0)+IF($H40=1,INDEX('calcA'!$D$180:$EQ$219,$B40,5)*500,0)-IF(AND('calcA'!G$117=1,UE40&gt;0),300,0)-IF(AND($U40=1,'calcA'!H$117=1,DG40=0),300,0))),1000000000))</f>
        <v/>
      </c>
      <c r="OK40">
        <f>IF($B40=0,1000000000,IF(INDEX('calcA'!$D$60:$EQ$99,$B40,6)*IF($W40=1,DG40+ZV40,DG40)=1,IF(AND($E40=2,IF($W40=1,AFK40,IV40)=0),1000000000,IF($V40=1,INDEX('calcA'!$D$130:$EQ$169,$B40,6)+IF(AND($E40=1,IV40=0),25,0),INDEX('calcA'!I$110:I$114,$F40+1)+IF(AND($E40=1,IV40=0),1000,0)+IF($H40=1,INDEX('calcA'!$D$180:$EQ$219,$B40,6)*500,0)-IF(AND('calcA'!H$117=1,UF40&gt;0),300,0)-IF(AND($U40=1,'calcA'!I$117=1,DH40=0),300,0))),1000000000))</f>
        <v/>
      </c>
      <c r="OL40">
        <f>IF($B40=0,1000000000,IF(INDEX('calcA'!$D$60:$EQ$99,$B40,7)*IF($W40=1,DH40+ZW40,DH40)=1,IF(AND($E40=2,IF($W40=1,AFL40,IW40)=0),1000000000,IF($V40=1,INDEX('calcA'!$D$130:$EQ$169,$B40,7)+IF(AND($E40=1,IW40=0),25,0),INDEX('calcA'!J$110:J$114,$F40+1)+IF(AND($E40=1,IW40=0),1000,0)+IF($H40=1,INDEX('calcA'!$D$180:$EQ$219,$B40,7)*500,0)-IF(AND('calcA'!I$117=1,UG40&gt;0),300,0)-IF(AND($U40=1,'calcA'!J$117=1,DI40=0),300,0))),1000000000))</f>
        <v/>
      </c>
      <c r="OM40">
        <f>IF($B40=0,1000000000,IF(INDEX('calcA'!$D$60:$EQ$99,$B40,8)*IF($W40=1,DI40+ZX40,DI40)=1,IF(AND($E40=2,IF($W40=1,AFM40,IX40)=0),1000000000,IF($V40=1,INDEX('calcA'!$D$130:$EQ$169,$B40,8)+IF(AND($E40=1,IX40=0),25,0),INDEX('calcA'!K$110:K$114,$F40+1)+IF(AND($E40=1,IX40=0),1000,0)+IF($H40=1,INDEX('calcA'!$D$180:$EQ$219,$B40,8)*500,0)-IF(AND('calcA'!J$117=1,UH40&gt;0),300,0)-IF(AND($U40=1,'calcA'!K$117=1,DJ40=0),300,0))),1000000000))</f>
        <v/>
      </c>
      <c r="ON40">
        <f>IF($B40=0,1000000000,IF(INDEX('calcA'!$D$60:$EQ$99,$B40,9)*IF($W40=1,DJ40+ZY40,DJ40)=1,IF(AND($E40=2,IF($W40=1,AFN40,IY40)=0),1000000000,IF($V40=1,INDEX('calcA'!$D$130:$EQ$169,$B40,9)+IF(AND($E40=1,IY40=0),25,0),INDEX('calcA'!L$110:L$114,$F40+1)+IF(AND($E40=1,IY40=0),1000,0)+IF($H40=1,INDEX('calcA'!$D$180:$EQ$219,$B40,9)*500,0)-IF(AND('calcA'!K$117=1,UI40&gt;0),300,0)-IF(AND($U40=1,'calcA'!L$117=1,DK40=0),300,0))),1000000000))</f>
        <v/>
      </c>
      <c r="OO40">
        <f>IF($B40=0,1000000000,IF(INDEX('calcA'!$D$60:$EQ$99,$B40,10)*IF($W40=1,DK40+ZZ40,DK40)=1,IF(AND($E40=2,IF($W40=1,AFO40,IZ40)=0),1000000000,IF($V40=1,INDEX('calcA'!$D$130:$EQ$169,$B40,10)+IF(AND($E40=1,IZ40=0),25,0),INDEX('calcA'!M$110:M$114,$F40+1)+IF(AND($E40=1,IZ40=0),1000,0)+IF($H40=1,INDEX('calcA'!$D$180:$EQ$219,$B40,10)*500,0)-IF(AND('calcA'!L$117=1,UJ40&gt;0),300,0)-IF(AND($U40=1,'calcA'!M$117=1,DL40=0),300,0))),1000000000))</f>
        <v/>
      </c>
      <c r="OP40">
        <f>IF($B40=0,1000000000,IF(INDEX('calcA'!$D$60:$EQ$99,$B40,11)*IF($W40=1,DL40+AAA40,DL40)=1,IF(AND($E40=2,IF($W40=1,AFP40,JA40)=0),1000000000,IF($V40=1,INDEX('calcA'!$D$130:$EQ$169,$B40,11)+IF(AND($E40=1,JA40=0),25,0),INDEX('calcA'!N$110:N$114,$F40+1)+IF(AND($E40=1,JA40=0),1000,0)+IF($H40=1,INDEX('calcA'!$D$180:$EQ$219,$B40,11)*500,0)-IF(AND('calcA'!M$117=1,UK40&gt;0),300,0)-IF(AND($U40=1,'calcA'!N$117=1,DM40=0),300,0))),1000000000))</f>
        <v/>
      </c>
      <c r="OQ40">
        <f>IF($B40=0,1000000000,IF(INDEX('calcA'!$D$60:$EQ$99,$B40,12)*IF($W40=1,DM40+AAB40,DM40)=1,IF(AND($E40=2,IF($W40=1,AFQ40,JB40)=0),1000000000,IF($V40=1,INDEX('calcA'!$D$130:$EQ$169,$B40,12)+IF(AND($E40=1,JB40=0),25,0),INDEX('calcA'!O$110:O$114,$F40+1)+IF(AND($E40=1,JB40=0),1000,0)+IF($H40=1,INDEX('calcA'!$D$180:$EQ$219,$B40,12)*500,0)-IF(AND('calcA'!N$117=1,UL40&gt;0),300,0)-IF(AND($U40=1,'calcA'!O$117=1,DN40=0),300,0))),1000000000))</f>
        <v/>
      </c>
      <c r="OR40">
        <f>IF($B40=0,1000000000,IF(INDEX('calcA'!$D$60:$EQ$99,$B40,13)*IF($W40=1,DN40+AAC40,DN40)=1,IF(AND($E40=2,IF($W40=1,AFR40,JC40)=0),1000000000,IF($V40=1,INDEX('calcA'!$D$130:$EQ$169,$B40,13)+IF(AND($E40=1,JC40=0),25,0),INDEX('calcA'!P$110:P$114,$F40+1)+IF(AND($E40=1,JC40=0),1000,0)+IF($H40=1,INDEX('calcA'!$D$180:$EQ$219,$B40,13)*500,0)-IF(AND('calcA'!O$117=1,UM40&gt;0),300,0)-IF(AND($U40=1,'calcA'!P$117=1,DO40=0),300,0))),1000000000))</f>
        <v/>
      </c>
      <c r="OS40">
        <f>IF($B40=0,1000000000,IF(INDEX('calcA'!$D$60:$EQ$99,$B40,14)*IF($W40=1,DO40+AAD40,DO40)=1,IF(AND($E40=2,IF($W40=1,AFS40,JD40)=0),1000000000,IF($V40=1,INDEX('calcA'!$D$130:$EQ$169,$B40,14)+IF(AND($E40=1,JD40=0),25,0),INDEX('calcA'!Q$110:Q$114,$F40+1)+IF(AND($E40=1,JD40=0),1000,0)+IF($H40=1,INDEX('calcA'!$D$180:$EQ$219,$B40,14)*500,0)-IF(AND('calcA'!P$117=1,UN40&gt;0),300,0)-IF(AND($U40=1,'calcA'!Q$117=1,DP40=0),300,0))),1000000000))</f>
        <v/>
      </c>
      <c r="OT40">
        <f>IF($B40=0,1000000000,IF(INDEX('calcA'!$D$60:$EQ$99,$B40,15)*IF($W40=1,DP40+AAE40,DP40)=1,IF(AND($E40=2,IF($W40=1,AFT40,JE40)=0),1000000000,IF($V40=1,INDEX('calcA'!$D$130:$EQ$169,$B40,15)+IF(AND($E40=1,JE40=0),25,0),INDEX('calcA'!R$110:R$114,$F40+1)+IF(AND($E40=1,JE40=0),1000,0)+IF($H40=1,INDEX('calcA'!$D$180:$EQ$219,$B40,15)*500,0)-IF(AND('calcA'!Q$117=1,UO40&gt;0),300,0)-IF(AND($U40=1,'calcA'!R$117=1,DQ40=0),300,0))),1000000000))</f>
        <v/>
      </c>
      <c r="OU40">
        <f>IF($B40=0,1000000000,IF(INDEX('calcA'!$D$60:$EQ$99,$B40,16)*IF($W40=1,DQ40+AAF40,DQ40)=1,IF(AND($E40=2,IF($W40=1,AFU40,JF40)=0),1000000000,IF($V40=1,INDEX('calcA'!$D$130:$EQ$169,$B40,16)+IF(AND($E40=1,JF40=0),25,0),INDEX('calcA'!S$110:S$114,$F40+1)+IF(AND($E40=1,JF40=0),1000,0)+IF($H40=1,INDEX('calcA'!$D$180:$EQ$219,$B40,16)*500,0)-IF(AND('calcA'!R$117=1,UP40&gt;0),300,0)-IF(AND($U40=1,'calcA'!S$117=1,DR40=0),300,0))),1000000000))</f>
        <v/>
      </c>
      <c r="OV40">
        <f>IF($B40=0,1000000000,IF(INDEX('calcA'!$D$60:$EQ$99,$B40,17)*IF($W40=1,DR40+AAG40,DR40)=1,IF(AND($E40=2,IF($W40=1,AFV40,JG40)=0),1000000000,IF($V40=1,INDEX('calcA'!$D$130:$EQ$169,$B40,17)+IF(AND($E40=1,JG40=0),25,0),INDEX('calcA'!T$110:T$114,$F40+1)+IF(AND($E40=1,JG40=0),1000,0)+IF($H40=1,INDEX('calcA'!$D$180:$EQ$219,$B40,17)*500,0)-IF(AND('calcA'!S$117=1,UQ40&gt;0),300,0)-IF(AND($U40=1,'calcA'!T$117=1,DS40=0),300,0))),1000000000))</f>
        <v/>
      </c>
      <c r="OW40">
        <f>IF($B40=0,1000000000,IF(INDEX('calcA'!$D$60:$EQ$99,$B40,18)*IF($W40=1,DS40+AAH40,DS40)=1,IF(AND($E40=2,IF($W40=1,AFW40,JH40)=0),1000000000,IF($V40=1,INDEX('calcA'!$D$130:$EQ$169,$B40,18)+IF(AND($E40=1,JH40=0),25,0),INDEX('calcA'!U$110:U$114,$F40+1)+IF(AND($E40=1,JH40=0),1000,0)+IF($H40=1,INDEX('calcA'!$D$180:$EQ$219,$B40,18)*500,0)-IF(AND('calcA'!T$117=1,UR40&gt;0),300,0)-IF(AND($U40=1,'calcA'!U$117=1,DT40=0),300,0))),1000000000))</f>
        <v/>
      </c>
      <c r="OX40">
        <f>IF($B40=0,1000000000,IF(INDEX('calcA'!$D$60:$EQ$99,$B40,19)*IF($W40=1,DT40+AAI40,DT40)=1,IF(AND($E40=2,IF($W40=1,AFX40,JI40)=0),1000000000,IF($V40=1,INDEX('calcA'!$D$130:$EQ$169,$B40,19)+IF(AND($E40=1,JI40=0),25,0),INDEX('calcA'!V$110:V$114,$F40+1)+IF(AND($E40=1,JI40=0),1000,0)+IF($H40=1,INDEX('calcA'!$D$180:$EQ$219,$B40,19)*500,0)-IF(AND('calcA'!U$117=1,US40&gt;0),300,0)-IF(AND($U40=1,'calcA'!V$117=1,DU40=0),300,0))),1000000000))</f>
        <v/>
      </c>
      <c r="OY40">
        <f>IF($B40=0,1000000000,IF(INDEX('calcA'!$D$60:$EQ$99,$B40,20)*IF($W40=1,DU40+AAJ40,DU40)=1,IF(AND($E40=2,IF($W40=1,AFY40,JJ40)=0),1000000000,IF($V40=1,INDEX('calcA'!$D$130:$EQ$169,$B40,20)+IF(AND($E40=1,JJ40=0),25,0),INDEX('calcA'!W$110:W$114,$F40+1)+IF(AND($E40=1,JJ40=0),1000,0)+IF($H40=1,INDEX('calcA'!$D$180:$EQ$219,$B40,20)*500,0)-IF(AND('calcA'!V$117=1,UT40&gt;0),300,0)-IF(AND($U40=1,'calcA'!W$117=1,DV40=0),300,0))),1000000000))</f>
        <v/>
      </c>
      <c r="OZ40">
        <f>IF($B40=0,1000000000,IF(INDEX('calcA'!$D$60:$EQ$99,$B40,21)*IF($W40=1,DV40+AAK40,DV40)=1,IF(AND($E40=2,IF($W40=1,AFZ40,JK40)=0),1000000000,IF($V40=1,INDEX('calcA'!$D$130:$EQ$169,$B40,21)+IF(AND($E40=1,JK40=0),25,0),INDEX('calcA'!X$110:X$114,$F40+1)+IF(AND($E40=1,JK40=0),1000,0)+IF($H40=1,INDEX('calcA'!$D$180:$EQ$219,$B40,21)*500,0)-IF(AND('calcA'!W$117=1,UU40&gt;0),300,0)-IF(AND($U40=1,'calcA'!X$117=1,DW40=0),300,0))),1000000000))</f>
        <v/>
      </c>
      <c r="PA40">
        <f>IF($B40=0,1000000000,IF(INDEX('calcA'!$D$60:$EQ$99,$B40,22)*IF($W40=1,DW40+AAL40,DW40)=1,IF(AND($E40=2,IF($W40=1,AGA40,JL40)=0),1000000000,IF($V40=1,INDEX('calcA'!$D$130:$EQ$169,$B40,22)+IF(AND($E40=1,JL40=0),25,0),INDEX('calcA'!Y$110:Y$114,$F40+1)+IF(AND($E40=1,JL40=0),1000,0)+IF($H40=1,INDEX('calcA'!$D$180:$EQ$219,$B40,22)*500,0)-IF(AND('calcA'!X$117=1,UV40&gt;0),300,0)-IF(AND($U40=1,'calcA'!Y$117=1,DX40=0),300,0))),1000000000))</f>
        <v/>
      </c>
      <c r="PB40">
        <f>IF($B40=0,1000000000,IF(INDEX('calcA'!$D$60:$EQ$99,$B40,23)*IF($W40=1,DX40+AAM40,DX40)=1,IF(AND($E40=2,IF($W40=1,AGB40,JM40)=0),1000000000,IF($V40=1,INDEX('calcA'!$D$130:$EQ$169,$B40,23)+IF(AND($E40=1,JM40=0),25,0),INDEX('calcA'!Z$110:Z$114,$F40+1)+IF(AND($E40=1,JM40=0),1000,0)+IF($H40=1,INDEX('calcA'!$D$180:$EQ$219,$B40,23)*500,0)-IF(AND('calcA'!Y$117=1,UW40&gt;0),300,0)-IF(AND($U40=1,'calcA'!Z$117=1,DY40=0),300,0))),1000000000))</f>
        <v/>
      </c>
      <c r="PC40">
        <f>IF($B40=0,1000000000,IF(INDEX('calcA'!$D$60:$EQ$99,$B40,24)*IF($W40=1,DY40+AAN40,DY40)=1,IF(AND($E40=2,IF($W40=1,AGC40,JN40)=0),1000000000,IF($V40=1,INDEX('calcA'!$D$130:$EQ$169,$B40,24)+IF(AND($E40=1,JN40=0),25,0),INDEX('calcA'!AA$110:AA$114,$F40+1)+IF(AND($E40=1,JN40=0),1000,0)+IF($H40=1,INDEX('calcA'!$D$180:$EQ$219,$B40,24)*500,0)-IF(AND('calcA'!Z$117=1,UX40&gt;0),300,0))),1000000000))</f>
        <v/>
      </c>
      <c r="PD40">
        <f>IF($B40=0,1000000000,IF(INDEX('calcA'!$D$60:$EQ$99,$B40,25)*IF($W40=1,DZ40+AAO40,DZ40)=1,IF(AND($E40=2,IF($W40=1,AGD40,JO40)=0),1000000000,IF($V40=1,INDEX('calcA'!$D$130:$EQ$169,$B40,25)+IF(AND($E40=1,JO40=0),25,0),INDEX('calcA'!AB$110:AB$114,$F40+1)+IF(AND($E40=1,JO40=0),1000,0)+IF($H40=1,INDEX('calcA'!$D$180:$EQ$219,$B40,25)*500,0)-IF(AND($U40=1,'calcA'!AB$117=1,EA40=0),300,0))),1000000000))</f>
        <v/>
      </c>
      <c r="PE40">
        <f>IF($B40=0,1000000000,IF(INDEX('calcA'!$D$60:$EQ$99,$B40,26)*IF($W40=1,EA40+AAP40,EA40)=1,IF(AND($E40=2,IF($W40=1,AGE40,JP40)=0),1000000000,IF($V40=1,INDEX('calcA'!$D$130:$EQ$169,$B40,26)+IF(AND($E40=1,JP40=0),25,0),INDEX('calcA'!AC$110:AC$114,$F40+1)+IF(AND($E40=1,JP40=0),1000,0)+IF($H40=1,INDEX('calcA'!$D$180:$EQ$219,$B40,26)*500,0)-IF(AND('calcA'!AB$117=1,UZ40&gt;0),300,0)-IF(AND($U40=1,'calcA'!AC$117=1,EB40=0),300,0))),1000000000))</f>
        <v/>
      </c>
      <c r="PF40">
        <f>IF($B40=0,1000000000,IF(INDEX('calcA'!$D$60:$EQ$99,$B40,27)*IF($W40=1,EB40+AAQ40,EB40)=1,IF(AND($E40=2,IF($W40=1,AGF40,JQ40)=0),1000000000,IF($V40=1,INDEX('calcA'!$D$130:$EQ$169,$B40,27)+IF(AND($E40=1,JQ40=0),25,0),INDEX('calcA'!AD$110:AD$114,$F40+1)+IF(AND($E40=1,JQ40=0),1000,0)+IF($H40=1,INDEX('calcA'!$D$180:$EQ$219,$B40,27)*500,0)-IF(AND('calcA'!AC$117=1,VA40&gt;0),300,0)-IF(AND($U40=1,'calcA'!AD$117=1,EC40=0),300,0))),1000000000))</f>
        <v/>
      </c>
      <c r="PG40">
        <f>IF($B40=0,1000000000,IF(INDEX('calcA'!$D$60:$EQ$99,$B40,28)*IF($W40=1,EC40+AAR40,EC40)=1,IF(AND($E40=2,IF($W40=1,AGG40,JR40)=0),1000000000,IF($V40=1,INDEX('calcA'!$D$130:$EQ$169,$B40,28)+IF(AND($E40=1,JR40=0),25,0),INDEX('calcA'!AE$110:AE$114,$F40+1)+IF(AND($E40=1,JR40=0),1000,0)+IF($H40=1,INDEX('calcA'!$D$180:$EQ$219,$B40,28)*500,0)-IF(AND('calcA'!AD$117=1,VB40&gt;0),300,0)-IF(AND($U40=1,'calcA'!AE$117=1,ED40=0),300,0))),1000000000))</f>
        <v/>
      </c>
      <c r="PH40">
        <f>IF($B40=0,1000000000,IF(INDEX('calcA'!$D$60:$EQ$99,$B40,29)*IF($W40=1,ED40+AAS40,ED40)=1,IF(AND($E40=2,IF($W40=1,AGH40,JS40)=0),1000000000,IF($V40=1,INDEX('calcA'!$D$130:$EQ$169,$B40,29)+IF(AND($E40=1,JS40=0),25,0),INDEX('calcA'!AF$110:AF$114,$F40+1)+IF(AND($E40=1,JS40=0),1000,0)+IF($H40=1,INDEX('calcA'!$D$180:$EQ$219,$B40,29)*500,0)-IF(AND('calcA'!AE$117=1,VC40&gt;0),300,0)-IF(AND($U40=1,'calcA'!AF$117=1,EE40=0),300,0))),1000000000))</f>
        <v/>
      </c>
      <c r="PI40">
        <f>IF($B40=0,1000000000,IF(INDEX('calcA'!$D$60:$EQ$99,$B40,30)*IF($W40=1,EE40+AAT40,EE40)=1,IF(AND($E40=2,IF($W40=1,AGI40,JT40)=0),1000000000,IF($V40=1,INDEX('calcA'!$D$130:$EQ$169,$B40,30)+IF(AND($E40=1,JT40=0),25,0),INDEX('calcA'!AG$110:AG$114,$F40+1)+IF(AND($E40=1,JT40=0),1000,0)+IF($H40=1,INDEX('calcA'!$D$180:$EQ$219,$B40,30)*500,0)-IF(AND('calcA'!AF$117=1,VD40&gt;0),300,0)-IF(AND($U40=1,'calcA'!AG$117=1,EF40=0),300,0))),1000000000))</f>
        <v/>
      </c>
      <c r="PJ40">
        <f>IF($B40=0,1000000000,IF(INDEX('calcA'!$D$60:$EQ$99,$B40,31)*IF($W40=1,EF40+AAU40,EF40)=1,IF(AND($E40=2,IF($W40=1,AGJ40,JU40)=0),1000000000,IF($V40=1,INDEX('calcA'!$D$130:$EQ$169,$B40,31)+IF(AND($E40=1,JU40=0),25,0),INDEX('calcA'!AH$110:AH$114,$F40+1)+IF(AND($E40=1,JU40=0),1000,0)+IF($H40=1,INDEX('calcA'!$D$180:$EQ$219,$B40,31)*500,0)-IF(AND('calcA'!AG$117=1,VE40&gt;0),300,0)-IF(AND($U40=1,'calcA'!AH$117=1,EG40=0),300,0))),1000000000))</f>
        <v/>
      </c>
      <c r="PK40">
        <f>IF($B40=0,1000000000,IF(INDEX('calcA'!$D$60:$EQ$99,$B40,32)*IF($W40=1,EG40+AAV40,EG40)=1,IF(AND($E40=2,IF($W40=1,AGK40,JV40)=0),1000000000,IF($V40=1,INDEX('calcA'!$D$130:$EQ$169,$B40,32)+IF(AND($E40=1,JV40=0),25,0),INDEX('calcA'!AI$110:AI$114,$F40+1)+IF(AND($E40=1,JV40=0),1000,0)+IF($H40=1,INDEX('calcA'!$D$180:$EQ$219,$B40,32)*500,0)-IF(AND('calcA'!AH$117=1,VF40&gt;0),300,0)-IF(AND($U40=1,'calcA'!AI$117=1,EH40=0),300,0))),1000000000))</f>
        <v/>
      </c>
      <c r="PL40">
        <f>IF($B40=0,1000000000,IF(INDEX('calcA'!$D$60:$EQ$99,$B40,33)*IF($W40=1,EH40+AAW40,EH40)=1,IF(AND($E40=2,IF($W40=1,AGL40,JW40)=0),1000000000,IF($V40=1,INDEX('calcA'!$D$130:$EQ$169,$B40,33)+IF(AND($E40=1,JW40=0),25,0),INDEX('calcA'!AJ$110:AJ$114,$F40+1)+IF(AND($E40=1,JW40=0),1000,0)+IF($H40=1,INDEX('calcA'!$D$180:$EQ$219,$B40,33)*500,0)-IF(AND('calcA'!AI$117=1,VG40&gt;0),300,0)-IF(AND($U40=1,'calcA'!AJ$117=1,EI40=0),300,0))),1000000000))</f>
        <v/>
      </c>
      <c r="PM40">
        <f>IF($B40=0,1000000000,IF(INDEX('calcA'!$D$60:$EQ$99,$B40,34)*IF($W40=1,EI40+AAX40,EI40)=1,IF(AND($E40=2,IF($W40=1,AGM40,JX40)=0),1000000000,IF($V40=1,INDEX('calcA'!$D$130:$EQ$169,$B40,34)+IF(AND($E40=1,JX40=0),25,0),INDEX('calcA'!AK$110:AK$114,$F40+1)+IF(AND($E40=1,JX40=0),1000,0)+IF($H40=1,INDEX('calcA'!$D$180:$EQ$219,$B40,34)*500,0)-IF(AND('calcA'!AJ$117=1,VH40&gt;0),300,0)-IF(AND($U40=1,'calcA'!AK$117=1,EJ40=0),300,0))),1000000000))</f>
        <v/>
      </c>
      <c r="PN40">
        <f>IF($B40=0,1000000000,IF(INDEX('calcA'!$D$60:$EQ$99,$B40,35)*IF($W40=1,EJ40+AAY40,EJ40)=1,IF(AND($E40=2,IF($W40=1,AGN40,JY40)=0),1000000000,IF($V40=1,INDEX('calcA'!$D$130:$EQ$169,$B40,35)+IF(AND($E40=1,JY40=0),25,0),INDEX('calcA'!AL$110:AL$114,$F40+1)+IF(AND($E40=1,JY40=0),1000,0)+IF($H40=1,INDEX('calcA'!$D$180:$EQ$219,$B40,35)*500,0)-IF(AND('calcA'!AK$117=1,VI40&gt;0),300,0)-IF(AND($U40=1,'calcA'!AL$117=1,EK40=0),300,0))),1000000000))</f>
        <v/>
      </c>
      <c r="PO40">
        <f>IF($B40=0,1000000000,IF(INDEX('calcA'!$D$60:$EQ$99,$B40,36)*IF($W40=1,EK40+AAZ40,EK40)=1,IF(AND($E40=2,IF($W40=1,AGO40,JZ40)=0),1000000000,IF($V40=1,INDEX('calcA'!$D$130:$EQ$169,$B40,36)+IF(AND($E40=1,JZ40=0),25,0),INDEX('calcA'!AM$110:AM$114,$F40+1)+IF(AND($E40=1,JZ40=0),1000,0)+IF($H40=1,INDEX('calcA'!$D$180:$EQ$219,$B40,36)*500,0)-IF(AND('calcA'!AL$117=1,VJ40&gt;0),300,0)-IF(AND($U40=1,'calcA'!AM$117=1,EL40=0),300,0))),1000000000))</f>
        <v/>
      </c>
      <c r="PP40">
        <f>IF($B40=0,1000000000,IF(INDEX('calcA'!$D$60:$EQ$99,$B40,37)*IF($W40=1,EL40+ABA40,EL40)=1,IF(AND($E40=2,IF($W40=1,AGP40,KA40)=0),1000000000,IF($V40=1,INDEX('calcA'!$D$130:$EQ$169,$B40,37)+IF(AND($E40=1,KA40=0),25,0),INDEX('calcA'!AN$110:AN$114,$F40+1)+IF(AND($E40=1,KA40=0),1000,0)+IF($H40=1,INDEX('calcA'!$D$180:$EQ$219,$B40,37)*500,0)-IF(AND('calcA'!AM$117=1,VK40&gt;0),300,0)-IF(AND($U40=1,'calcA'!AN$117=1,EM40=0),300,0))),1000000000))</f>
        <v/>
      </c>
      <c r="PQ40">
        <f>IF($B40=0,1000000000,IF(INDEX('calcA'!$D$60:$EQ$99,$B40,38)*IF($W40=1,EM40+ABB40,EM40)=1,IF(AND($E40=2,IF($W40=1,AGQ40,KB40)=0),1000000000,IF($V40=1,INDEX('calcA'!$D$130:$EQ$169,$B40,38)+IF(AND($E40=1,KB40=0),25,0),INDEX('calcA'!AO$110:AO$114,$F40+1)+IF(AND($E40=1,KB40=0),1000,0)+IF($H40=1,INDEX('calcA'!$D$180:$EQ$219,$B40,38)*500,0)-IF(AND('calcA'!AN$117=1,VL40&gt;0),300,0)-IF(AND($U40=1,'calcA'!AO$117=1,EN40=0),300,0))),1000000000))</f>
        <v/>
      </c>
      <c r="PR40">
        <f>IF($B40=0,1000000000,IF(INDEX('calcA'!$D$60:$EQ$99,$B40,39)*IF($W40=1,EN40+ABC40,EN40)=1,IF(AND($E40=2,IF($W40=1,AGR40,KC40)=0),1000000000,IF($V40=1,INDEX('calcA'!$D$130:$EQ$169,$B40,39)+IF(AND($E40=1,KC40=0),25,0),INDEX('calcA'!AP$110:AP$114,$F40+1)+IF(AND($E40=1,KC40=0),1000,0)+IF($H40=1,INDEX('calcA'!$D$180:$EQ$219,$B40,39)*500,0)-IF(AND('calcA'!AO$117=1,VM40&gt;0),300,0)-IF(AND($U40=1,'calcA'!AP$117=1,EO40=0),300,0))),1000000000))</f>
        <v/>
      </c>
      <c r="PS40">
        <f>IF($B40=0,1000000000,IF(INDEX('calcA'!$D$60:$EQ$99,$B40,40)*IF($W40=1,EO40+ABD40,EO40)=1,IF(AND($E40=2,IF($W40=1,AGS40,KD40)=0),1000000000,IF($V40=1,INDEX('calcA'!$D$130:$EQ$169,$B40,40)+IF(AND($E40=1,KD40=0),25,0),INDEX('calcA'!AQ$110:AQ$114,$F40+1)+IF(AND($E40=1,KD40=0),1000,0)+IF($H40=1,INDEX('calcA'!$D$180:$EQ$219,$B40,40)*500,0)-IF(AND('calcA'!AP$117=1,VN40&gt;0),300,0)-IF(AND($U40=1,'calcA'!AQ$117=1,EP40=0),300,0))),1000000000))</f>
        <v/>
      </c>
      <c r="PT40">
        <f>IF($B40=0,1000000000,IF(INDEX('calcA'!$D$60:$EQ$99,$B40,41)*IF($W40=1,EP40+ABE40,EP40)=1,IF(AND($E40=2,IF($W40=1,AGT40,KE40)=0),1000000000,IF($V40=1,INDEX('calcA'!$D$130:$EQ$169,$B40,41)+IF(AND($E40=1,KE40=0),25,0),INDEX('calcA'!AR$110:AR$114,$F40+1)+IF(AND($E40=1,KE40=0),1000,0)+IF($H40=1,INDEX('calcA'!$D$180:$EQ$219,$B40,41)*500,0)-IF(AND('calcA'!AQ$117=1,VO40&gt;0),300,0)-IF(AND($U40=1,'calcA'!AR$117=1,EQ40=0),300,0))),1000000000))</f>
        <v/>
      </c>
      <c r="PU40">
        <f>IF($B40=0,1000000000,IF(INDEX('calcA'!$D$60:$EQ$99,$B40,42)*IF($W40=1,EQ40+ABF40,EQ40)=1,IF(AND($E40=2,IF($W40=1,AGU40,KF40)=0),1000000000,IF($V40=1,INDEX('calcA'!$D$130:$EQ$169,$B40,42)+IF(AND($E40=1,KF40=0),25,0),INDEX('calcA'!AS$110:AS$114,$F40+1)+IF(AND($E40=1,KF40=0),1000,0)+IF($H40=1,INDEX('calcA'!$D$180:$EQ$219,$B40,42)*500,0)-IF(AND('calcA'!AR$117=1,VP40&gt;0),300,0)-IF(AND($U40=1,'calcA'!AS$117=1,ER40=0),300,0))),1000000000))</f>
        <v/>
      </c>
      <c r="PV40">
        <f>IF($B40=0,1000000000,IF(INDEX('calcA'!$D$60:$EQ$99,$B40,43)*IF($W40=1,ER40+ABG40,ER40)=1,IF(AND($E40=2,IF($W40=1,AGV40,KG40)=0),1000000000,IF($V40=1,INDEX('calcA'!$D$130:$EQ$169,$B40,43)+IF(AND($E40=1,KG40=0),25,0),INDEX('calcA'!AT$110:AT$114,$F40+1)+IF(AND($E40=1,KG40=0),1000,0)+IF($H40=1,INDEX('calcA'!$D$180:$EQ$219,$B40,43)*500,0)-IF(AND('calcA'!AS$117=1,VQ40&gt;0),300,0)-IF(AND($U40=1,'calcA'!AT$117=1,ES40=0),300,0))),1000000000))</f>
        <v/>
      </c>
      <c r="PW40">
        <f>IF($B40=0,1000000000,IF(INDEX('calcA'!$D$60:$EQ$99,$B40,44)*IF($W40=1,ES40+ABH40,ES40)=1,IF(AND($E40=2,IF($W40=1,AGW40,KH40)=0),1000000000,IF($V40=1,INDEX('calcA'!$D$130:$EQ$169,$B40,44)+IF(AND($E40=1,KH40=0),25,0),INDEX('calcA'!AU$110:AU$114,$F40+1)+IF(AND($E40=1,KH40=0),1000,0)+IF($H40=1,INDEX('calcA'!$D$180:$EQ$219,$B40,44)*500,0)-IF(AND('calcA'!AT$117=1,VR40&gt;0),300,0)-IF(AND($U40=1,'calcA'!AU$117=1,ET40=0),300,0))),1000000000))</f>
        <v/>
      </c>
      <c r="PX40">
        <f>IF($B40=0,1000000000,IF(INDEX('calcA'!$D$60:$EQ$99,$B40,45)*IF($W40=1,ET40+ABI40,ET40)=1,IF(AND($E40=2,IF($W40=1,AGX40,KI40)=0),1000000000,IF($V40=1,INDEX('calcA'!$D$130:$EQ$169,$B40,45)+IF(AND($E40=1,KI40=0),25,0),INDEX('calcA'!AV$110:AV$114,$F40+1)+IF(AND($E40=1,KI40=0),1000,0)+IF($H40=1,INDEX('calcA'!$D$180:$EQ$219,$B40,45)*500,0)-IF(AND('calcA'!AU$117=1,VS40&gt;0),300,0)-IF(AND($U40=1,'calcA'!AV$117=1,EU40=0),300,0))),1000000000))</f>
        <v/>
      </c>
      <c r="PY40">
        <f>IF($B40=0,1000000000,IF(INDEX('calcA'!$D$60:$EQ$99,$B40,46)*IF($W40=1,EU40+ABJ40,EU40)=1,IF(AND($E40=2,IF($W40=1,AGY40,KJ40)=0),1000000000,IF($V40=1,INDEX('calcA'!$D$130:$EQ$169,$B40,46)+IF(AND($E40=1,KJ40=0),25,0),INDEX('calcA'!AW$110:AW$114,$F40+1)+IF(AND($E40=1,KJ40=0),1000,0)+IF($H40=1,INDEX('calcA'!$D$180:$EQ$219,$B40,46)*500,0)-IF(AND('calcA'!AV$117=1,VT40&gt;0),300,0)-IF(AND($U40=1,'calcA'!AW$117=1,EV40=0),300,0))),1000000000))</f>
        <v/>
      </c>
      <c r="PZ40">
        <f>IF($B40=0,1000000000,IF(INDEX('calcA'!$D$60:$EQ$99,$B40,47)*IF($W40=1,EV40+ABK40,EV40)=1,IF(AND($E40=2,IF($W40=1,AGZ40,KK40)=0),1000000000,IF($V40=1,INDEX('calcA'!$D$130:$EQ$169,$B40,47)+IF(AND($E40=1,KK40=0),25,0),INDEX('calcA'!AX$110:AX$114,$F40+1)+IF(AND($E40=1,KK40=0),1000,0)+IF($H40=1,INDEX('calcA'!$D$180:$EQ$219,$B40,47)*500,0)-IF(AND('calcA'!AW$117=1,VU40&gt;0),300,0)-IF(AND($U40=1,'calcA'!AX$117=1,EW40=0),300,0))),1000000000))</f>
        <v/>
      </c>
      <c r="QA40">
        <f>IF($B40=0,1000000000,IF(INDEX('calcA'!$D$60:$EQ$99,$B40,48)*IF($W40=1,EW40+ABL40,EW40)=1,IF(AND($E40=2,IF($W40=1,AHA40,KL40)=0),1000000000,IF($V40=1,INDEX('calcA'!$D$130:$EQ$169,$B40,48)+IF(AND($E40=1,KL40=0),25,0),INDEX('calcA'!AY$110:AY$114,$F40+1)+IF(AND($E40=1,KL40=0),1000,0)+IF($H40=1,INDEX('calcA'!$D$180:$EQ$219,$B40,48)*500,0)-IF(AND('calcA'!AX$117=1,VV40&gt;0),300,0))),1000000000))</f>
        <v/>
      </c>
      <c r="QB40">
        <f>IF($B40=0,1000000000,IF(INDEX('calcA'!$D$60:$EQ$99,$B40,49)*IF($W40=1,EX40+ABM40,EX40)=1,IF(AND($E40=2,IF($W40=1,AHB40,KM40)=0),1000000000,IF($V40=1,INDEX('calcA'!$D$130:$EQ$169,$B40,49)+IF(AND($E40=1,KM40=0),25,0),INDEX('calcA'!AZ$110:AZ$114,$F40+1)+IF(AND($E40=1,KM40=0),1000,0)+IF($H40=1,INDEX('calcA'!$D$180:$EQ$219,$B40,49)*500,0)-IF(AND($U40=1,'calcA'!AZ$117=1,EY40=0),300,0))),1000000000))</f>
        <v/>
      </c>
      <c r="QC40">
        <f>IF($B40=0,1000000000,IF(INDEX('calcA'!$D$60:$EQ$99,$B40,50)*IF($W40=1,EY40+ABN40,EY40)=1,IF(AND($E40=2,IF($W40=1,AHC40,KN40)=0),1000000000,IF($V40=1,INDEX('calcA'!$D$130:$EQ$169,$B40,50)+IF(AND($E40=1,KN40=0),25,0),INDEX('calcA'!BA$110:BA$114,$F40+1)+IF(AND($E40=1,KN40=0),1000,0)+IF($H40=1,INDEX('calcA'!$D$180:$EQ$219,$B40,50)*500,0)-IF(AND('calcA'!AZ$117=1,VX40&gt;0),300,0)-IF(AND($U40=1,'calcA'!BA$117=1,EZ40=0),300,0))),1000000000))</f>
        <v/>
      </c>
      <c r="QD40">
        <f>IF($B40=0,1000000000,IF(INDEX('calcA'!$D$60:$EQ$99,$B40,51)*IF($W40=1,EZ40+ABO40,EZ40)=1,IF(AND($E40=2,IF($W40=1,AHD40,KO40)=0),1000000000,IF($V40=1,INDEX('calcA'!$D$130:$EQ$169,$B40,51)+IF(AND($E40=1,KO40=0),25,0),INDEX('calcA'!BB$110:BB$114,$F40+1)+IF(AND($E40=1,KO40=0),1000,0)+IF($H40=1,INDEX('calcA'!$D$180:$EQ$219,$B40,51)*500,0)-IF(AND('calcA'!BA$117=1,VY40&gt;0),300,0)-IF(AND($U40=1,'calcA'!BB$117=1,FA40=0),300,0))),1000000000))</f>
        <v/>
      </c>
      <c r="QE40">
        <f>IF($B40=0,1000000000,IF(INDEX('calcA'!$D$60:$EQ$99,$B40,52)*IF($W40=1,FA40+ABP40,FA40)=1,IF(AND($E40=2,IF($W40=1,AHE40,KP40)=0),1000000000,IF($V40=1,INDEX('calcA'!$D$130:$EQ$169,$B40,52)+IF(AND($E40=1,KP40=0),25,0),INDEX('calcA'!BC$110:BC$114,$F40+1)+IF(AND($E40=1,KP40=0),1000,0)+IF($H40=1,INDEX('calcA'!$D$180:$EQ$219,$B40,52)*500,0)-IF(AND('calcA'!BB$117=1,VZ40&gt;0),300,0)-IF(AND($U40=1,'calcA'!BC$117=1,FB40=0),300,0))),1000000000))</f>
        <v/>
      </c>
      <c r="QF40">
        <f>IF($B40=0,1000000000,IF(INDEX('calcA'!$D$60:$EQ$99,$B40,53)*IF($W40=1,FB40+ABQ40,FB40)=1,IF(AND($E40=2,IF($W40=1,AHF40,KQ40)=0),1000000000,IF($V40=1,INDEX('calcA'!$D$130:$EQ$169,$B40,53)+IF(AND($E40=1,KQ40=0),25,0),INDEX('calcA'!BD$110:BD$114,$F40+1)+IF(AND($E40=1,KQ40=0),1000,0)+IF($H40=1,INDEX('calcA'!$D$180:$EQ$219,$B40,53)*500,0)-IF(AND('calcA'!BC$117=1,WA40&gt;0),300,0)-IF(AND($U40=1,'calcA'!BD$117=1,FC40=0),300,0))),1000000000))</f>
        <v/>
      </c>
      <c r="QG40">
        <f>IF($B40=0,1000000000,IF(INDEX('calcA'!$D$60:$EQ$99,$B40,54)*IF($W40=1,FC40+ABR40,FC40)=1,IF(AND($E40=2,IF($W40=1,AHG40,KR40)=0),1000000000,IF($V40=1,INDEX('calcA'!$D$130:$EQ$169,$B40,54)+IF(AND($E40=1,KR40=0),25,0),INDEX('calcA'!BE$110:BE$114,$F40+1)+IF(AND($E40=1,KR40=0),1000,0)+IF($H40=1,INDEX('calcA'!$D$180:$EQ$219,$B40,54)*500,0)-IF(AND('calcA'!BD$117=1,WB40&gt;0),300,0)-IF(AND($U40=1,'calcA'!BE$117=1,FD40=0),300,0))),1000000000))</f>
        <v/>
      </c>
      <c r="QH40">
        <f>IF($B40=0,1000000000,IF(INDEX('calcA'!$D$60:$EQ$99,$B40,55)*IF($W40=1,FD40+ABS40,FD40)=1,IF(AND($E40=2,IF($W40=1,AHH40,KS40)=0),1000000000,IF($V40=1,INDEX('calcA'!$D$130:$EQ$169,$B40,55)+IF(AND($E40=1,KS40=0),25,0),INDEX('calcA'!BF$110:BF$114,$F40+1)+IF(AND($E40=1,KS40=0),1000,0)+IF($H40=1,INDEX('calcA'!$D$180:$EQ$219,$B40,55)*500,0)-IF(AND('calcA'!BE$117=1,WC40&gt;0),300,0)-IF(AND($U40=1,'calcA'!BF$117=1,FE40=0),300,0))),1000000000))</f>
        <v/>
      </c>
      <c r="QI40">
        <f>IF($B40=0,1000000000,IF(INDEX('calcA'!$D$60:$EQ$99,$B40,56)*IF($W40=1,FE40+ABT40,FE40)=1,IF(AND($E40=2,IF($W40=1,AHI40,KT40)=0),1000000000,IF($V40=1,INDEX('calcA'!$D$130:$EQ$169,$B40,56)+IF(AND($E40=1,KT40=0),25,0),INDEX('calcA'!BG$110:BG$114,$F40+1)+IF(AND($E40=1,KT40=0),1000,0)+IF($H40=1,INDEX('calcA'!$D$180:$EQ$219,$B40,56)*500,0)-IF(AND('calcA'!BF$117=1,WD40&gt;0),300,0)-IF(AND($U40=1,'calcA'!BG$117=1,FF40=0),300,0))),1000000000))</f>
        <v/>
      </c>
      <c r="QJ40">
        <f>IF($B40=0,1000000000,IF(INDEX('calcA'!$D$60:$EQ$99,$B40,57)*IF($W40=1,FF40+ABU40,FF40)=1,IF(AND($E40=2,IF($W40=1,AHJ40,KU40)=0),1000000000,IF($V40=1,INDEX('calcA'!$D$130:$EQ$169,$B40,57)+IF(AND($E40=1,KU40=0),25,0),INDEX('calcA'!BH$110:BH$114,$F40+1)+IF(AND($E40=1,KU40=0),1000,0)+IF($H40=1,INDEX('calcA'!$D$180:$EQ$219,$B40,57)*500,0)-IF(AND('calcA'!BG$117=1,WE40&gt;0),300,0)-IF(AND($U40=1,'calcA'!BH$117=1,FG40=0),300,0))),1000000000))</f>
        <v/>
      </c>
      <c r="QK40">
        <f>IF($B40=0,1000000000,IF(INDEX('calcA'!$D$60:$EQ$99,$B40,58)*IF($W40=1,FG40+ABV40,FG40)=1,IF(AND($E40=2,IF($W40=1,AHK40,KV40)=0),1000000000,IF($V40=1,INDEX('calcA'!$D$130:$EQ$169,$B40,58)+IF(AND($E40=1,KV40=0),25,0),INDEX('calcA'!BI$110:BI$114,$F40+1)+IF(AND($E40=1,KV40=0),1000,0)+IF($H40=1,INDEX('calcA'!$D$180:$EQ$219,$B40,58)*500,0)-IF(AND('calcA'!BH$117=1,WF40&gt;0),300,0)-IF(AND($U40=1,'calcA'!BI$117=1,FH40=0),300,0))),1000000000))</f>
        <v/>
      </c>
      <c r="QL40">
        <f>IF($B40=0,1000000000,IF(INDEX('calcA'!$D$60:$EQ$99,$B40,59)*IF($W40=1,FH40+ABW40,FH40)=1,IF(AND($E40=2,IF($W40=1,AHL40,KW40)=0),1000000000,IF($V40=1,INDEX('calcA'!$D$130:$EQ$169,$B40,59)+IF(AND($E40=1,KW40=0),25,0),INDEX('calcA'!BJ$110:BJ$114,$F40+1)+IF(AND($E40=1,KW40=0),1000,0)+IF($H40=1,INDEX('calcA'!$D$180:$EQ$219,$B40,59)*500,0)-IF(AND('calcA'!BI$117=1,WG40&gt;0),300,0)-IF(AND($U40=1,'calcA'!BJ$117=1,FI40=0),300,0))),1000000000))</f>
        <v/>
      </c>
      <c r="QM40">
        <f>IF($B40=0,1000000000,IF(INDEX('calcA'!$D$60:$EQ$99,$B40,60)*IF($W40=1,FI40+ABX40,FI40)=1,IF(AND($E40=2,IF($W40=1,AHM40,KX40)=0),1000000000,IF($V40=1,INDEX('calcA'!$D$130:$EQ$169,$B40,60)+IF(AND($E40=1,KX40=0),25,0),INDEX('calcA'!BK$110:BK$114,$F40+1)+IF(AND($E40=1,KX40=0),1000,0)+IF($H40=1,INDEX('calcA'!$D$180:$EQ$219,$B40,60)*500,0)-IF(AND('calcA'!BJ$117=1,WH40&gt;0),300,0)-IF(AND($U40=1,'calcA'!BK$117=1,FJ40=0),300,0))),1000000000))</f>
        <v/>
      </c>
      <c r="QN40">
        <f>IF($B40=0,1000000000,IF(INDEX('calcA'!$D$60:$EQ$99,$B40,61)*IF($W40=1,FJ40+ABY40,FJ40)=1,IF(AND($E40=2,IF($W40=1,AHN40,KY40)=0),1000000000,IF($V40=1,INDEX('calcA'!$D$130:$EQ$169,$B40,61)+IF(AND($E40=1,KY40=0),25,0),INDEX('calcA'!BL$110:BL$114,$F40+1)+IF(AND($E40=1,KY40=0),1000,0)+IF($H40=1,INDEX('calcA'!$D$180:$EQ$219,$B40,61)*500,0)-IF(AND('calcA'!BK$117=1,WI40&gt;0),300,0)-IF(AND($U40=1,'calcA'!BL$117=1,FK40=0),300,0))),1000000000))</f>
        <v/>
      </c>
      <c r="QO40">
        <f>IF($B40=0,1000000000,IF(INDEX('calcA'!$D$60:$EQ$99,$B40,62)*IF($W40=1,FK40+ABZ40,FK40)=1,IF(AND($E40=2,IF($W40=1,AHO40,KZ40)=0),1000000000,IF($V40=1,INDEX('calcA'!$D$130:$EQ$169,$B40,62)+IF(AND($E40=1,KZ40=0),25,0),INDEX('calcA'!BM$110:BM$114,$F40+1)+IF(AND($E40=1,KZ40=0),1000,0)+IF($H40=1,INDEX('calcA'!$D$180:$EQ$219,$B40,62)*500,0)-IF(AND('calcA'!BL$117=1,WJ40&gt;0),300,0)-IF(AND($U40=1,'calcA'!BM$117=1,FL40=0),300,0))),1000000000))</f>
        <v/>
      </c>
      <c r="QP40">
        <f>IF($B40=0,1000000000,IF(INDEX('calcA'!$D$60:$EQ$99,$B40,63)*IF($W40=1,FL40+ACA40,FL40)=1,IF(AND($E40=2,IF($W40=1,AHP40,LA40)=0),1000000000,IF($V40=1,INDEX('calcA'!$D$130:$EQ$169,$B40,63)+IF(AND($E40=1,LA40=0),25,0),INDEX('calcA'!BN$110:BN$114,$F40+1)+IF(AND($E40=1,LA40=0),1000,0)+IF($H40=1,INDEX('calcA'!$D$180:$EQ$219,$B40,63)*500,0)-IF(AND('calcA'!BM$117=1,WK40&gt;0),300,0)-IF(AND($U40=1,'calcA'!BN$117=1,FM40=0),300,0))),1000000000))</f>
        <v/>
      </c>
      <c r="QQ40">
        <f>IF($B40=0,1000000000,IF(INDEX('calcA'!$D$60:$EQ$99,$B40,64)*IF($W40=1,FM40+ACB40,FM40)=1,IF(AND($E40=2,IF($W40=1,AHQ40,LB40)=0),1000000000,IF($V40=1,INDEX('calcA'!$D$130:$EQ$169,$B40,64)+IF(AND($E40=1,LB40=0),25,0),INDEX('calcA'!BO$110:BO$114,$F40+1)+IF(AND($E40=1,LB40=0),1000,0)+IF($H40=1,INDEX('calcA'!$D$180:$EQ$219,$B40,64)*500,0)-IF(AND('calcA'!BN$117=1,WL40&gt;0),300,0)-IF(AND($U40=1,'calcA'!BO$117=1,FN40=0),300,0))),1000000000))</f>
        <v/>
      </c>
      <c r="QR40">
        <f>IF($B40=0,1000000000,IF(INDEX('calcA'!$D$60:$EQ$99,$B40,65)*IF($W40=1,FN40+ACC40,FN40)=1,IF(AND($E40=2,IF($W40=1,AHR40,LC40)=0),1000000000,IF($V40=1,INDEX('calcA'!$D$130:$EQ$169,$B40,65)+IF(AND($E40=1,LC40=0),25,0),INDEX('calcA'!BP$110:BP$114,$F40+1)+IF(AND($E40=1,LC40=0),1000,0)+IF($H40=1,INDEX('calcA'!$D$180:$EQ$219,$B40,65)*500,0)-IF(AND('calcA'!BO$117=1,WM40&gt;0),300,0)-IF(AND($U40=1,'calcA'!BP$117=1,FO40=0),300,0))),1000000000))</f>
        <v/>
      </c>
      <c r="QS40">
        <f>IF($B40=0,1000000000,IF(INDEX('calcA'!$D$60:$EQ$99,$B40,66)*IF($W40=1,FO40+ACD40,FO40)=1,IF(AND($E40=2,IF($W40=1,AHS40,LD40)=0),1000000000,IF($V40=1,INDEX('calcA'!$D$130:$EQ$169,$B40,66)+IF(AND($E40=1,LD40=0),25,0),INDEX('calcA'!BQ$110:BQ$114,$F40+1)+IF(AND($E40=1,LD40=0),1000,0)+IF($H40=1,INDEX('calcA'!$D$180:$EQ$219,$B40,66)*500,0)-IF(AND('calcA'!BP$117=1,WN40&gt;0),300,0)-IF(AND($U40=1,'calcA'!BQ$117=1,FP40=0),300,0))),1000000000))</f>
        <v/>
      </c>
      <c r="QT40">
        <f>IF($B40=0,1000000000,IF(INDEX('calcA'!$D$60:$EQ$99,$B40,67)*IF($W40=1,FP40+ACE40,FP40)=1,IF(AND($E40=2,IF($W40=1,AHT40,LE40)=0),1000000000,IF($V40=1,INDEX('calcA'!$D$130:$EQ$169,$B40,67)+IF(AND($E40=1,LE40=0),25,0),INDEX('calcA'!BR$110:BR$114,$F40+1)+IF(AND($E40=1,LE40=0),1000,0)+IF($H40=1,INDEX('calcA'!$D$180:$EQ$219,$B40,67)*500,0)-IF(AND('calcA'!BQ$117=1,WO40&gt;0),300,0)-IF(AND($U40=1,'calcA'!BR$117=1,FQ40=0),300,0))),1000000000))</f>
        <v/>
      </c>
      <c r="QU40">
        <f>IF($B40=0,1000000000,IF(INDEX('calcA'!$D$60:$EQ$99,$B40,68)*IF($W40=1,FQ40+ACF40,FQ40)=1,IF(AND($E40=2,IF($W40=1,AHU40,LF40)=0),1000000000,IF($V40=1,INDEX('calcA'!$D$130:$EQ$169,$B40,68)+IF(AND($E40=1,LF40=0),25,0),INDEX('calcA'!BS$110:BS$114,$F40+1)+IF(AND($E40=1,LF40=0),1000,0)+IF($H40=1,INDEX('calcA'!$D$180:$EQ$219,$B40,68)*500,0)-IF(AND('calcA'!BR$117=1,WP40&gt;0),300,0)-IF(AND($U40=1,'calcA'!BS$117=1,FR40=0),300,0))),1000000000))</f>
        <v/>
      </c>
      <c r="QV40">
        <f>IF($B40=0,1000000000,IF(INDEX('calcA'!$D$60:$EQ$99,$B40,69)*IF($W40=1,FR40+ACG40,FR40)=1,IF(AND($E40=2,IF($W40=1,AHV40,LG40)=0),1000000000,IF($V40=1,INDEX('calcA'!$D$130:$EQ$169,$B40,69)+IF(AND($E40=1,LG40=0),25,0),INDEX('calcA'!BT$110:BT$114,$F40+1)+IF(AND($E40=1,LG40=0),1000,0)+IF($H40=1,INDEX('calcA'!$D$180:$EQ$219,$B40,69)*500,0)-IF(AND('calcA'!BS$117=1,WQ40&gt;0),300,0)-IF(AND($U40=1,'calcA'!BT$117=1,FS40=0),300,0))),1000000000))</f>
        <v/>
      </c>
      <c r="QW40">
        <f>IF($B40=0,1000000000,IF(INDEX('calcA'!$D$60:$EQ$99,$B40,70)*IF($W40=1,FS40+ACH40,FS40)=1,IF(AND($E40=2,IF($W40=1,AHW40,LH40)=0),1000000000,IF($V40=1,INDEX('calcA'!$D$130:$EQ$169,$B40,70)+IF(AND($E40=1,LH40=0),25,0),INDEX('calcA'!BU$110:BU$114,$F40+1)+IF(AND($E40=1,LH40=0),1000,0)+IF($H40=1,INDEX('calcA'!$D$180:$EQ$219,$B40,70)*500,0)-IF(AND('calcA'!BT$117=1,WR40&gt;0),300,0)-IF(AND($U40=1,'calcA'!BU$117=1,FT40=0),300,0))),1000000000))</f>
        <v/>
      </c>
      <c r="QX40">
        <f>IF($B40=0,1000000000,IF(INDEX('calcA'!$D$60:$EQ$99,$B40,71)*IF($W40=1,FT40+ACI40,FT40)=1,IF(AND($E40=2,IF($W40=1,AHX40,LI40)=0),1000000000,IF($V40=1,INDEX('calcA'!$D$130:$EQ$169,$B40,71)+IF(AND($E40=1,LI40=0),25,0),INDEX('calcA'!BV$110:BV$114,$F40+1)+IF(AND($E40=1,LI40=0),1000,0)+IF($H40=1,INDEX('calcA'!$D$180:$EQ$219,$B40,71)*500,0)-IF(AND('calcA'!BU$117=1,WS40&gt;0),300,0)-IF(AND($U40=1,'calcA'!BV$117=1,FU40=0),300,0))),1000000000))</f>
        <v/>
      </c>
      <c r="QY40">
        <f>IF($B40=0,1000000000,IF(INDEX('calcA'!$D$60:$EQ$99,$B40,72)*IF($W40=1,FU40+ACJ40,FU40)=1,IF(AND($E40=2,IF($W40=1,AHY40,LJ40)=0),1000000000,IF($V40=1,INDEX('calcA'!$D$130:$EQ$169,$B40,72)+IF(AND($E40=1,LJ40=0),25,0),INDEX('calcA'!BW$110:BW$114,$F40+1)+IF(AND($E40=1,LJ40=0),1000,0)+IF($H40=1,INDEX('calcA'!$D$180:$EQ$219,$B40,72)*500,0)-IF(AND('calcA'!BV$117=1,WT40&gt;0),300,0))),1000000000))</f>
        <v/>
      </c>
      <c r="QZ40">
        <f>IF($B40=0,1000000000,IF(INDEX('calcA'!$D$60:$EQ$99,$B40,73)*IF($W40=1,FV40+ACK40,FV40)=1,IF(AND($E40=2,IF($W40=1,AHZ40,LK40)=0),1000000000,IF($V40=1,INDEX('calcA'!$D$130:$EQ$169,$B40,73)+IF(AND($E40=1,LK40=0),25,0),INDEX('calcA'!BX$110:BX$114,$F40+1)+IF(AND($E40=1,LK40=0),1000,0)+IF($H40=1,INDEX('calcA'!$D$180:$EQ$219,$B40,73)*500,0)-IF(AND($U40=1,'calcA'!BX$117=1,FW40=0),300,0))),1000000000))</f>
        <v/>
      </c>
      <c r="RA40">
        <f>IF($B40=0,1000000000,IF(INDEX('calcA'!$D$60:$EQ$99,$B40,74)*IF($W40=1,FW40+ACL40,FW40)=1,IF(AND($E40=2,IF($W40=1,AIA40,LL40)=0),1000000000,IF($V40=1,INDEX('calcA'!$D$130:$EQ$169,$B40,74)+IF(AND($E40=1,LL40=0),25,0),INDEX('calcA'!BY$110:BY$114,$F40+1)+IF(AND($E40=1,LL40=0),1000,0)+IF($H40=1,INDEX('calcA'!$D$180:$EQ$219,$B40,74)*500,0)-IF(AND('calcA'!BX$117=1,WV40&gt;0),300,0)-IF(AND($U40=1,'calcA'!BY$117=1,FX40=0),300,0))),1000000000))</f>
        <v/>
      </c>
      <c r="RB40">
        <f>IF($B40=0,1000000000,IF(INDEX('calcA'!$D$60:$EQ$99,$B40,75)*IF($W40=1,FX40+ACM40,FX40)=1,IF(AND($E40=2,IF($W40=1,AIB40,LM40)=0),1000000000,IF($V40=1,INDEX('calcA'!$D$130:$EQ$169,$B40,75)+IF(AND($E40=1,LM40=0),25,0),INDEX('calcA'!BZ$110:BZ$114,$F40+1)+IF(AND($E40=1,LM40=0),1000,0)+IF($H40=1,INDEX('calcA'!$D$180:$EQ$219,$B40,75)*500,0)-IF(AND('calcA'!BY$117=1,WW40&gt;0),300,0)-IF(AND($U40=1,'calcA'!BZ$117=1,FY40=0),300,0))),1000000000))</f>
        <v/>
      </c>
      <c r="RC40">
        <f>IF($B40=0,1000000000,IF(INDEX('calcA'!$D$60:$EQ$99,$B40,76)*IF($W40=1,FY40+ACN40,FY40)=1,IF(AND($E40=2,IF($W40=1,AIC40,LN40)=0),1000000000,IF($V40=1,INDEX('calcA'!$D$130:$EQ$169,$B40,76)+IF(AND($E40=1,LN40=0),25,0),INDEX('calcA'!CA$110:CA$114,$F40+1)+IF(AND($E40=1,LN40=0),1000,0)+IF($H40=1,INDEX('calcA'!$D$180:$EQ$219,$B40,76)*500,0)-IF(AND('calcA'!BZ$117=1,WX40&gt;0),300,0)-IF(AND($U40=1,'calcA'!CA$117=1,FZ40=0),300,0))),1000000000))</f>
        <v/>
      </c>
      <c r="RD40">
        <f>IF($B40=0,1000000000,IF(INDEX('calcA'!$D$60:$EQ$99,$B40,77)*IF($W40=1,FZ40+ACO40,FZ40)=1,IF(AND($E40=2,IF($W40=1,AID40,LO40)=0),1000000000,IF($V40=1,INDEX('calcA'!$D$130:$EQ$169,$B40,77)+IF(AND($E40=1,LO40=0),25,0),INDEX('calcA'!CB$110:CB$114,$F40+1)+IF(AND($E40=1,LO40=0),1000,0)+IF($H40=1,INDEX('calcA'!$D$180:$EQ$219,$B40,77)*500,0)-IF(AND('calcA'!CA$117=1,WY40&gt;0),300,0)-IF(AND($U40=1,'calcA'!CB$117=1,GA40=0),300,0))),1000000000))</f>
        <v/>
      </c>
      <c r="RE40">
        <f>IF($B40=0,1000000000,IF(INDEX('calcA'!$D$60:$EQ$99,$B40,78)*IF($W40=1,GA40+ACP40,GA40)=1,IF(AND($E40=2,IF($W40=1,AIE40,LP40)=0),1000000000,IF($V40=1,INDEX('calcA'!$D$130:$EQ$169,$B40,78)+IF(AND($E40=1,LP40=0),25,0),INDEX('calcA'!CC$110:CC$114,$F40+1)+IF(AND($E40=1,LP40=0),1000,0)+IF($H40=1,INDEX('calcA'!$D$180:$EQ$219,$B40,78)*500,0)-IF(AND('calcA'!CB$117=1,WZ40&gt;0),300,0)-IF(AND($U40=1,'calcA'!CC$117=1,GB40=0),300,0))),1000000000))</f>
        <v/>
      </c>
      <c r="RF40">
        <f>IF($B40=0,1000000000,IF(INDEX('calcA'!$D$60:$EQ$99,$B40,79)*IF($W40=1,GB40+ACQ40,GB40)=1,IF(AND($E40=2,IF($W40=1,AIF40,LQ40)=0),1000000000,IF($V40=1,INDEX('calcA'!$D$130:$EQ$169,$B40,79)+IF(AND($E40=1,LQ40=0),25,0),INDEX('calcA'!CD$110:CD$114,$F40+1)+IF(AND($E40=1,LQ40=0),1000,0)+IF($H40=1,INDEX('calcA'!$D$180:$EQ$219,$B40,79)*500,0)-IF(AND('calcA'!CC$117=1,XA40&gt;0),300,0)-IF(AND($U40=1,'calcA'!CD$117=1,GC40=0),300,0))),1000000000))</f>
        <v/>
      </c>
      <c r="RG40">
        <f>IF($B40=0,1000000000,IF(INDEX('calcA'!$D$60:$EQ$99,$B40,80)*IF($W40=1,GC40+ACR40,GC40)=1,IF(AND($E40=2,IF($W40=1,AIG40,LR40)=0),1000000000,IF($V40=1,INDEX('calcA'!$D$130:$EQ$169,$B40,80)+IF(AND($E40=1,LR40=0),25,0),INDEX('calcA'!CE$110:CE$114,$F40+1)+IF(AND($E40=1,LR40=0),1000,0)+IF($H40=1,INDEX('calcA'!$D$180:$EQ$219,$B40,80)*500,0)-IF(AND('calcA'!CD$117=1,XB40&gt;0),300,0)-IF(AND($U40=1,'calcA'!CE$117=1,GD40=0),300,0))),1000000000))</f>
        <v/>
      </c>
      <c r="RH40">
        <f>IF($B40=0,1000000000,IF(INDEX('calcA'!$D$60:$EQ$99,$B40,81)*IF($W40=1,GD40+ACS40,GD40)=1,IF(AND($E40=2,IF($W40=1,AIH40,LS40)=0),1000000000,IF($V40=1,INDEX('calcA'!$D$130:$EQ$169,$B40,81)+IF(AND($E40=1,LS40=0),25,0),INDEX('calcA'!CF$110:CF$114,$F40+1)+IF(AND($E40=1,LS40=0),1000,0)+IF($H40=1,INDEX('calcA'!$D$180:$EQ$219,$B40,81)*500,0)-IF(AND('calcA'!CE$117=1,XC40&gt;0),300,0)-IF(AND($U40=1,'calcA'!CF$117=1,GE40=0),300,0))),1000000000))</f>
        <v/>
      </c>
      <c r="RI40">
        <f>IF($B40=0,1000000000,IF(INDEX('calcA'!$D$60:$EQ$99,$B40,82)*IF($W40=1,GE40+ACT40,GE40)=1,IF(AND($E40=2,IF($W40=1,AII40,LT40)=0),1000000000,IF($V40=1,INDEX('calcA'!$D$130:$EQ$169,$B40,82)+IF(AND($E40=1,LT40=0),25,0),INDEX('calcA'!CG$110:CG$114,$F40+1)+IF(AND($E40=1,LT40=0),1000,0)+IF($H40=1,INDEX('calcA'!$D$180:$EQ$219,$B40,82)*500,0)-IF(AND('calcA'!CF$117=1,XD40&gt;0),300,0)-IF(AND($U40=1,'calcA'!CG$117=1,GF40=0),300,0))),1000000000))</f>
        <v/>
      </c>
      <c r="RJ40">
        <f>IF($B40=0,1000000000,IF(INDEX('calcA'!$D$60:$EQ$99,$B40,83)*IF($W40=1,GF40+ACU40,GF40)=1,IF(AND($E40=2,IF($W40=1,AIJ40,LU40)=0),1000000000,IF($V40=1,INDEX('calcA'!$D$130:$EQ$169,$B40,83)+IF(AND($E40=1,LU40=0),25,0),INDEX('calcA'!CH$110:CH$114,$F40+1)+IF(AND($E40=1,LU40=0),1000,0)+IF($H40=1,INDEX('calcA'!$D$180:$EQ$219,$B40,83)*500,0)-IF(AND('calcA'!CG$117=1,XE40&gt;0),300,0)-IF(AND($U40=1,'calcA'!CH$117=1,GG40=0),300,0))),1000000000))</f>
        <v/>
      </c>
      <c r="RK40">
        <f>IF($B40=0,1000000000,IF(INDEX('calcA'!$D$60:$EQ$99,$B40,84)*IF($W40=1,GG40+ACV40,GG40)=1,IF(AND($E40=2,IF($W40=1,AIK40,LV40)=0),1000000000,IF($V40=1,INDEX('calcA'!$D$130:$EQ$169,$B40,84)+IF(AND($E40=1,LV40=0),25,0),INDEX('calcA'!CI$110:CI$114,$F40+1)+IF(AND($E40=1,LV40=0),1000,0)+IF($H40=1,INDEX('calcA'!$D$180:$EQ$219,$B40,84)*500,0)-IF(AND('calcA'!CH$117=1,XF40&gt;0),300,0)-IF(AND($U40=1,'calcA'!CI$117=1,GH40=0),300,0))),1000000000))</f>
        <v/>
      </c>
      <c r="RL40">
        <f>IF($B40=0,1000000000,IF(INDEX('calcA'!$D$60:$EQ$99,$B40,85)*IF($W40=1,GH40+ACW40,GH40)=1,IF(AND($E40=2,IF($W40=1,AIL40,LW40)=0),1000000000,IF($V40=1,INDEX('calcA'!$D$130:$EQ$169,$B40,85)+IF(AND($E40=1,LW40=0),25,0),INDEX('calcA'!CJ$110:CJ$114,$F40+1)+IF(AND($E40=1,LW40=0),1000,0)+IF($H40=1,INDEX('calcA'!$D$180:$EQ$219,$B40,85)*500,0)-IF(AND('calcA'!CI$117=1,XG40&gt;0),300,0)-IF(AND($U40=1,'calcA'!CJ$117=1,GI40=0),300,0))),1000000000))</f>
        <v/>
      </c>
      <c r="RM40">
        <f>IF($B40=0,1000000000,IF(INDEX('calcA'!$D$60:$EQ$99,$B40,86)*IF($W40=1,GI40+ACX40,GI40)=1,IF(AND($E40=2,IF($W40=1,AIM40,LX40)=0),1000000000,IF($V40=1,INDEX('calcA'!$D$130:$EQ$169,$B40,86)+IF(AND($E40=1,LX40=0),25,0),INDEX('calcA'!CK$110:CK$114,$F40+1)+IF(AND($E40=1,LX40=0),1000,0)+IF($H40=1,INDEX('calcA'!$D$180:$EQ$219,$B40,86)*500,0)-IF(AND('calcA'!CJ$117=1,XH40&gt;0),300,0)-IF(AND($U40=1,'calcA'!CK$117=1,GJ40=0),300,0))),1000000000))</f>
        <v/>
      </c>
      <c r="RN40">
        <f>IF($B40=0,1000000000,IF(INDEX('calcA'!$D$60:$EQ$99,$B40,87)*IF($W40=1,GJ40+ACY40,GJ40)=1,IF(AND($E40=2,IF($W40=1,AIN40,LY40)=0),1000000000,IF($V40=1,INDEX('calcA'!$D$130:$EQ$169,$B40,87)+IF(AND($E40=1,LY40=0),25,0),INDEX('calcA'!CL$110:CL$114,$F40+1)+IF(AND($E40=1,LY40=0),1000,0)+IF($H40=1,INDEX('calcA'!$D$180:$EQ$219,$B40,87)*500,0)-IF(AND('calcA'!CK$117=1,XI40&gt;0),300,0)-IF(AND($U40=1,'calcA'!CL$117=1,GK40=0),300,0))),1000000000))</f>
        <v/>
      </c>
      <c r="RO40">
        <f>IF($B40=0,1000000000,IF(INDEX('calcA'!$D$60:$EQ$99,$B40,88)*IF($W40=1,GK40+ACZ40,GK40)=1,IF(AND($E40=2,IF($W40=1,AIO40,LZ40)=0),1000000000,IF($V40=1,INDEX('calcA'!$D$130:$EQ$169,$B40,88)+IF(AND($E40=1,LZ40=0),25,0),INDEX('calcA'!CM$110:CM$114,$F40+1)+IF(AND($E40=1,LZ40=0),1000,0)+IF($H40=1,INDEX('calcA'!$D$180:$EQ$219,$B40,88)*500,0)-IF(AND('calcA'!CL$117=1,XJ40&gt;0),300,0)-IF(AND($U40=1,'calcA'!CM$117=1,GL40=0),300,0))),1000000000))</f>
        <v/>
      </c>
      <c r="RP40">
        <f>IF($B40=0,1000000000,IF(INDEX('calcA'!$D$60:$EQ$99,$B40,89)*IF($W40=1,GL40+ADA40,GL40)=1,IF(AND($E40=2,IF($W40=1,AIP40,MA40)=0),1000000000,IF($V40=1,INDEX('calcA'!$D$130:$EQ$169,$B40,89)+IF(AND($E40=1,MA40=0),25,0),INDEX('calcA'!CN$110:CN$114,$F40+1)+IF(AND($E40=1,MA40=0),1000,0)+IF($H40=1,INDEX('calcA'!$D$180:$EQ$219,$B40,89)*500,0)-IF(AND('calcA'!CM$117=1,XK40&gt;0),300,0)-IF(AND($U40=1,'calcA'!CN$117=1,GM40=0),300,0))),1000000000))</f>
        <v/>
      </c>
      <c r="RQ40">
        <f>IF($B40=0,1000000000,IF(INDEX('calcA'!$D$60:$EQ$99,$B40,90)*IF($W40=1,GM40+ADB40,GM40)=1,IF(AND($E40=2,IF($W40=1,AIQ40,MB40)=0),1000000000,IF($V40=1,INDEX('calcA'!$D$130:$EQ$169,$B40,90)+IF(AND($E40=1,MB40=0),25,0),INDEX('calcA'!CO$110:CO$114,$F40+1)+IF(AND($E40=1,MB40=0),1000,0)+IF($H40=1,INDEX('calcA'!$D$180:$EQ$219,$B40,90)*500,0)-IF(AND('calcA'!CN$117=1,XL40&gt;0),300,0)-IF(AND($U40=1,'calcA'!CO$117=1,GN40=0),300,0))),1000000000))</f>
        <v/>
      </c>
      <c r="RR40">
        <f>IF($B40=0,1000000000,IF(INDEX('calcA'!$D$60:$EQ$99,$B40,91)*IF($W40=1,GN40+ADC40,GN40)=1,IF(AND($E40=2,IF($W40=1,AIR40,MC40)=0),1000000000,IF($V40=1,INDEX('calcA'!$D$130:$EQ$169,$B40,91)+IF(AND($E40=1,MC40=0),25,0),INDEX('calcA'!CP$110:CP$114,$F40+1)+IF(AND($E40=1,MC40=0),1000,0)+IF($H40=1,INDEX('calcA'!$D$180:$EQ$219,$B40,91)*500,0)-IF(AND('calcA'!CO$117=1,XM40&gt;0),300,0)-IF(AND($U40=1,'calcA'!CP$117=1,GO40=0),300,0))),1000000000))</f>
        <v/>
      </c>
      <c r="RS40">
        <f>IF($B40=0,1000000000,IF(INDEX('calcA'!$D$60:$EQ$99,$B40,92)*IF($W40=1,GO40+ADD40,GO40)=1,IF(AND($E40=2,IF($W40=1,AIS40,MD40)=0),1000000000,IF($V40=1,INDEX('calcA'!$D$130:$EQ$169,$B40,92)+IF(AND($E40=1,MD40=0),25,0),INDEX('calcA'!CQ$110:CQ$114,$F40+1)+IF(AND($E40=1,MD40=0),1000,0)+IF($H40=1,INDEX('calcA'!$D$180:$EQ$219,$B40,92)*500,0)-IF(AND('calcA'!CP$117=1,XN40&gt;0),300,0)-IF(AND($U40=1,'calcA'!CQ$117=1,GP40=0),300,0))),1000000000))</f>
        <v/>
      </c>
      <c r="RT40">
        <f>IF($B40=0,1000000000,IF(INDEX('calcA'!$D$60:$EQ$99,$B40,93)*IF($W40=1,GP40+ADE40,GP40)=1,IF(AND($E40=2,IF($W40=1,AIT40,ME40)=0),1000000000,IF($V40=1,INDEX('calcA'!$D$130:$EQ$169,$B40,93)+IF(AND($E40=1,ME40=0),25,0),INDEX('calcA'!CR$110:CR$114,$F40+1)+IF(AND($E40=1,ME40=0),1000,0)+IF($H40=1,INDEX('calcA'!$D$180:$EQ$219,$B40,93)*500,0)-IF(AND('calcA'!CQ$117=1,XO40&gt;0),300,0)-IF(AND($U40=1,'calcA'!CR$117=1,GQ40=0),300,0))),1000000000))</f>
        <v/>
      </c>
      <c r="RU40">
        <f>IF($B40=0,1000000000,IF(INDEX('calcA'!$D$60:$EQ$99,$B40,94)*IF($W40=1,GQ40+ADF40,GQ40)=1,IF(AND($E40=2,IF($W40=1,AIU40,MF40)=0),1000000000,IF($V40=1,INDEX('calcA'!$D$130:$EQ$169,$B40,94)+IF(AND($E40=1,MF40=0),25,0),INDEX('calcA'!CS$110:CS$114,$F40+1)+IF(AND($E40=1,MF40=0),1000,0)+IF($H40=1,INDEX('calcA'!$D$180:$EQ$219,$B40,94)*500,0)-IF(AND('calcA'!CR$117=1,XP40&gt;0),300,0)-IF(AND($U40=1,'calcA'!CS$117=1,GR40=0),300,0))),1000000000))</f>
        <v/>
      </c>
      <c r="RV40">
        <f>IF($B40=0,1000000000,IF(INDEX('calcA'!$D$60:$EQ$99,$B40,95)*IF($W40=1,GR40+ADG40,GR40)=1,IF(AND($E40=2,IF($W40=1,AIV40,MG40)=0),1000000000,IF($V40=1,INDEX('calcA'!$D$130:$EQ$169,$B40,95)+IF(AND($E40=1,MG40=0),25,0),INDEX('calcA'!CT$110:CT$114,$F40+1)+IF(AND($E40=1,MG40=0),1000,0)+IF($H40=1,INDEX('calcA'!$D$180:$EQ$219,$B40,95)*500,0)-IF(AND('calcA'!CS$117=1,XQ40&gt;0),300,0)-IF(AND($U40=1,'calcA'!CT$117=1,GS40=0),300,0))),1000000000))</f>
        <v/>
      </c>
      <c r="RW40">
        <f>IF($B40=0,1000000000,IF(INDEX('calcA'!$D$60:$EQ$99,$B40,96)*IF($W40=1,GS40+ADH40,GS40)=1,IF(AND($E40=2,IF($W40=1,AIW40,MH40)=0),1000000000,IF($V40=1,INDEX('calcA'!$D$130:$EQ$169,$B40,96)+IF(AND($E40=1,MH40=0),25,0),INDEX('calcA'!CU$110:CU$114,$F40+1)+IF(AND($E40=1,MH40=0),1000,0)+IF($H40=1,INDEX('calcA'!$D$180:$EQ$219,$B40,96)*500,0)-IF(AND('calcA'!CT$117=1,XR40&gt;0),300,0))),1000000000))</f>
        <v/>
      </c>
      <c r="RX40">
        <f>IF($B40=0,1000000000,IF(INDEX('calcA'!$D$60:$EQ$99,$B40,97)*IF($W40=1,GT40+ADI40,GT40)=1,IF(AND($E40=2,IF($W40=1,AIX40,MI40)=0),1000000000,IF($V40=1,INDEX('calcA'!$D$130:$EQ$169,$B40,97)+IF(AND($E40=1,MI40=0),25,0),INDEX('calcA'!CV$110:CV$114,$F40+1)+IF(AND($E40=1,MI40=0),1000,0)+IF($H40=1,INDEX('calcA'!$D$180:$EQ$219,$B40,97)*500,0)-IF(AND($U40=1,'calcA'!CV$117=1,GU40=0),300,0))),1000000000))</f>
        <v/>
      </c>
      <c r="RY40">
        <f>IF($B40=0,1000000000,IF(INDEX('calcA'!$D$60:$EQ$99,$B40,98)*IF($W40=1,GU40+ADJ40,GU40)=1,IF(AND($E40=2,IF($W40=1,AIY40,MJ40)=0),1000000000,IF($V40=1,INDEX('calcA'!$D$130:$EQ$169,$B40,98)+IF(AND($E40=1,MJ40=0),25,0),INDEX('calcA'!CW$110:CW$114,$F40+1)+IF(AND($E40=1,MJ40=0),1000,0)+IF($H40=1,INDEX('calcA'!$D$180:$EQ$219,$B40,98)*500,0)-IF(AND('calcA'!CV$117=1,XT40&gt;0),300,0)-IF(AND($U40=1,'calcA'!CW$117=1,GV40=0),300,0))),1000000000))</f>
        <v/>
      </c>
      <c r="RZ40">
        <f>IF($B40=0,1000000000,IF(INDEX('calcA'!$D$60:$EQ$99,$B40,99)*IF($W40=1,GV40+ADK40,GV40)=1,IF(AND($E40=2,IF($W40=1,AIZ40,MK40)=0),1000000000,IF($V40=1,INDEX('calcA'!$D$130:$EQ$169,$B40,99)+IF(AND($E40=1,MK40=0),25,0),INDEX('calcA'!CX$110:CX$114,$F40+1)+IF(AND($E40=1,MK40=0),1000,0)+IF($H40=1,INDEX('calcA'!$D$180:$EQ$219,$B40,99)*500,0)-IF(AND('calcA'!CW$117=1,XU40&gt;0),300,0)-IF(AND($U40=1,'calcA'!CX$117=1,GW40=0),300,0))),1000000000))</f>
        <v/>
      </c>
      <c r="SA40">
        <f>IF($B40=0,1000000000,IF(INDEX('calcA'!$D$60:$EQ$99,$B40,100)*IF($W40=1,GW40+ADL40,GW40)=1,IF(AND($E40=2,IF($W40=1,AJA40,ML40)=0),1000000000,IF($V40=1,INDEX('calcA'!$D$130:$EQ$169,$B40,100)+IF(AND($E40=1,ML40=0),25,0),INDEX('calcA'!CY$110:CY$114,$F40+1)+IF(AND($E40=1,ML40=0),1000,0)+IF($H40=1,INDEX('calcA'!$D$180:$EQ$219,$B40,100)*500,0)-IF(AND('calcA'!CX$117=1,XV40&gt;0),300,0)-IF(AND($U40=1,'calcA'!CY$117=1,GX40=0),300,0))),1000000000))</f>
        <v/>
      </c>
      <c r="SB40">
        <f>IF($B40=0,1000000000,IF(INDEX('calcA'!$D$60:$EQ$99,$B40,101)*IF($W40=1,GX40+ADM40,GX40)=1,IF(AND($E40=2,IF($W40=1,AJB40,MM40)=0),1000000000,IF($V40=1,INDEX('calcA'!$D$130:$EQ$169,$B40,101)+IF(AND($E40=1,MM40=0),25,0),INDEX('calcA'!CZ$110:CZ$114,$F40+1)+IF(AND($E40=1,MM40=0),1000,0)+IF($H40=1,INDEX('calcA'!$D$180:$EQ$219,$B40,101)*500,0)-IF(AND('calcA'!CY$117=1,XW40&gt;0),300,0)-IF(AND($U40=1,'calcA'!CZ$117=1,GY40=0),300,0))),1000000000))</f>
        <v/>
      </c>
      <c r="SC40">
        <f>IF($B40=0,1000000000,IF(INDEX('calcA'!$D$60:$EQ$99,$B40,102)*IF($W40=1,GY40+ADN40,GY40)=1,IF(AND($E40=2,IF($W40=1,AJC40,MN40)=0),1000000000,IF($V40=1,INDEX('calcA'!$D$130:$EQ$169,$B40,102)+IF(AND($E40=1,MN40=0),25,0),INDEX('calcA'!DA$110:DA$114,$F40+1)+IF(AND($E40=1,MN40=0),1000,0)+IF($H40=1,INDEX('calcA'!$D$180:$EQ$219,$B40,102)*500,0)-IF(AND('calcA'!CZ$117=1,XX40&gt;0),300,0)-IF(AND($U40=1,'calcA'!DA$117=1,GZ40=0),300,0))),1000000000))</f>
        <v/>
      </c>
      <c r="SD40">
        <f>IF($B40=0,1000000000,IF(INDEX('calcA'!$D$60:$EQ$99,$B40,103)*IF($W40=1,GZ40+ADO40,GZ40)=1,IF(AND($E40=2,IF($W40=1,AJD40,MO40)=0),1000000000,IF($V40=1,INDEX('calcA'!$D$130:$EQ$169,$B40,103)+IF(AND($E40=1,MO40=0),25,0),INDEX('calcA'!DB$110:DB$114,$F40+1)+IF(AND($E40=1,MO40=0),1000,0)+IF($H40=1,INDEX('calcA'!$D$180:$EQ$219,$B40,103)*500,0)-IF(AND('calcA'!DA$117=1,XY40&gt;0),300,0)-IF(AND($U40=1,'calcA'!DB$117=1,HA40=0),300,0))),1000000000))</f>
        <v/>
      </c>
      <c r="SE40">
        <f>IF($B40=0,1000000000,IF(INDEX('calcA'!$D$60:$EQ$99,$B40,104)*IF($W40=1,HA40+ADP40,HA40)=1,IF(AND($E40=2,IF($W40=1,AJE40,MP40)=0),1000000000,IF($V40=1,INDEX('calcA'!$D$130:$EQ$169,$B40,104)+IF(AND($E40=1,MP40=0),25,0),INDEX('calcA'!DC$110:DC$114,$F40+1)+IF(AND($E40=1,MP40=0),1000,0)+IF($H40=1,INDEX('calcA'!$D$180:$EQ$219,$B40,104)*500,0)-IF(AND('calcA'!DB$117=1,XZ40&gt;0),300,0)-IF(AND($U40=1,'calcA'!DC$117=1,HB40=0),300,0))),1000000000))</f>
        <v/>
      </c>
      <c r="SF40">
        <f>IF($B40=0,1000000000,IF(INDEX('calcA'!$D$60:$EQ$99,$B40,105)*IF($W40=1,HB40+ADQ40,HB40)=1,IF(AND($E40=2,IF($W40=1,AJF40,MQ40)=0),1000000000,IF($V40=1,INDEX('calcA'!$D$130:$EQ$169,$B40,105)+IF(AND($E40=1,MQ40=0),25,0),INDEX('calcA'!DD$110:DD$114,$F40+1)+IF(AND($E40=1,MQ40=0),1000,0)+IF($H40=1,INDEX('calcA'!$D$180:$EQ$219,$B40,105)*500,0)-IF(AND('calcA'!DC$117=1,YA40&gt;0),300,0)-IF(AND($U40=1,'calcA'!DD$117=1,HC40=0),300,0))),1000000000))</f>
        <v/>
      </c>
      <c r="SG40">
        <f>IF($B40=0,1000000000,IF(INDEX('calcA'!$D$60:$EQ$99,$B40,106)*IF($W40=1,HC40+ADR40,HC40)=1,IF(AND($E40=2,IF($W40=1,AJG40,MR40)=0),1000000000,IF($V40=1,INDEX('calcA'!$D$130:$EQ$169,$B40,106)+IF(AND($E40=1,MR40=0),25,0),INDEX('calcA'!DE$110:DE$114,$F40+1)+IF(AND($E40=1,MR40=0),1000,0)+IF($H40=1,INDEX('calcA'!$D$180:$EQ$219,$B40,106)*500,0)-IF(AND('calcA'!DD$117=1,YB40&gt;0),300,0)-IF(AND($U40=1,'calcA'!DE$117=1,HD40=0),300,0))),1000000000))</f>
        <v/>
      </c>
      <c r="SH40">
        <f>IF($B40=0,1000000000,IF(INDEX('calcA'!$D$60:$EQ$99,$B40,107)*IF($W40=1,HD40+ADS40,HD40)=1,IF(AND($E40=2,IF($W40=1,AJH40,MS40)=0),1000000000,IF($V40=1,INDEX('calcA'!$D$130:$EQ$169,$B40,107)+IF(AND($E40=1,MS40=0),25,0),INDEX('calcA'!DF$110:DF$114,$F40+1)+IF(AND($E40=1,MS40=0),1000,0)+IF($H40=1,INDEX('calcA'!$D$180:$EQ$219,$B40,107)*500,0)-IF(AND('calcA'!DE$117=1,YC40&gt;0),300,0)-IF(AND($U40=1,'calcA'!DF$117=1,HE40=0),300,0))),1000000000))</f>
        <v/>
      </c>
      <c r="SI40">
        <f>IF($B40=0,1000000000,IF(INDEX('calcA'!$D$60:$EQ$99,$B40,108)*IF($W40=1,HE40+ADT40,HE40)=1,IF(AND($E40=2,IF($W40=1,AJI40,MT40)=0),1000000000,IF($V40=1,INDEX('calcA'!$D$130:$EQ$169,$B40,108)+IF(AND($E40=1,MT40=0),25,0),INDEX('calcA'!DG$110:DG$114,$F40+1)+IF(AND($E40=1,MT40=0),1000,0)+IF($H40=1,INDEX('calcA'!$D$180:$EQ$219,$B40,108)*500,0)-IF(AND('calcA'!DF$117=1,YD40&gt;0),300,0)-IF(AND($U40=1,'calcA'!DG$117=1,HF40=0),300,0))),1000000000))</f>
        <v/>
      </c>
      <c r="SJ40">
        <f>IF($B40=0,1000000000,IF(INDEX('calcA'!$D$60:$EQ$99,$B40,109)*IF($W40=1,HF40+ADU40,HF40)=1,IF(AND($E40=2,IF($W40=1,AJJ40,MU40)=0),1000000000,IF($V40=1,INDEX('calcA'!$D$130:$EQ$169,$B40,109)+IF(AND($E40=1,MU40=0),25,0),INDEX('calcA'!DH$110:DH$114,$F40+1)+IF(AND($E40=1,MU40=0),1000,0)+IF($H40=1,INDEX('calcA'!$D$180:$EQ$219,$B40,109)*500,0)-IF(AND('calcA'!DG$117=1,YE40&gt;0),300,0)-IF(AND($U40=1,'calcA'!DH$117=1,HG40=0),300,0))),1000000000))</f>
        <v/>
      </c>
      <c r="SK40">
        <f>IF($B40=0,1000000000,IF(INDEX('calcA'!$D$60:$EQ$99,$B40,110)*IF($W40=1,HG40+ADV40,HG40)=1,IF(AND($E40=2,IF($W40=1,AJK40,MV40)=0),1000000000,IF($V40=1,INDEX('calcA'!$D$130:$EQ$169,$B40,110)+IF(AND($E40=1,MV40=0),25,0),INDEX('calcA'!DI$110:DI$114,$F40+1)+IF(AND($E40=1,MV40=0),1000,0)+IF($H40=1,INDEX('calcA'!$D$180:$EQ$219,$B40,110)*500,0)-IF(AND('calcA'!DH$117=1,YF40&gt;0),300,0)-IF(AND($U40=1,'calcA'!DI$117=1,HH40=0),300,0))),1000000000))</f>
        <v/>
      </c>
      <c r="SL40">
        <f>IF($B40=0,1000000000,IF(INDEX('calcA'!$D$60:$EQ$99,$B40,111)*IF($W40=1,HH40+ADW40,HH40)=1,IF(AND($E40=2,IF($W40=1,AJL40,MW40)=0),1000000000,IF($V40=1,INDEX('calcA'!$D$130:$EQ$169,$B40,111)+IF(AND($E40=1,MW40=0),25,0),INDEX('calcA'!DJ$110:DJ$114,$F40+1)+IF(AND($E40=1,MW40=0),1000,0)+IF($H40=1,INDEX('calcA'!$D$180:$EQ$219,$B40,111)*500,0)-IF(AND('calcA'!DI$117=1,YG40&gt;0),300,0)-IF(AND($U40=1,'calcA'!DJ$117=1,HI40=0),300,0))),1000000000))</f>
        <v/>
      </c>
      <c r="SM40">
        <f>IF($B40=0,1000000000,IF(INDEX('calcA'!$D$60:$EQ$99,$B40,112)*IF($W40=1,HI40+ADX40,HI40)=1,IF(AND($E40=2,IF($W40=1,AJM40,MX40)=0),1000000000,IF($V40=1,INDEX('calcA'!$D$130:$EQ$169,$B40,112)+IF(AND($E40=1,MX40=0),25,0),INDEX('calcA'!DK$110:DK$114,$F40+1)+IF(AND($E40=1,MX40=0),1000,0)+IF($H40=1,INDEX('calcA'!$D$180:$EQ$219,$B40,112)*500,0)-IF(AND('calcA'!DJ$117=1,YH40&gt;0),300,0)-IF(AND($U40=1,'calcA'!DK$117=1,HJ40=0),300,0))),1000000000))</f>
        <v/>
      </c>
      <c r="SN40">
        <f>IF($B40=0,1000000000,IF(INDEX('calcA'!$D$60:$EQ$99,$B40,113)*IF($W40=1,HJ40+ADY40,HJ40)=1,IF(AND($E40=2,IF($W40=1,AJN40,MY40)=0),1000000000,IF($V40=1,INDEX('calcA'!$D$130:$EQ$169,$B40,113)+IF(AND($E40=1,MY40=0),25,0),INDEX('calcA'!DL$110:DL$114,$F40+1)+IF(AND($E40=1,MY40=0),1000,0)+IF($H40=1,INDEX('calcA'!$D$180:$EQ$219,$B40,113)*500,0)-IF(AND('calcA'!DK$117=1,YI40&gt;0),300,0)-IF(AND($U40=1,'calcA'!DL$117=1,HK40=0),300,0))),1000000000))</f>
        <v/>
      </c>
      <c r="SO40">
        <f>IF($B40=0,1000000000,IF(INDEX('calcA'!$D$60:$EQ$99,$B40,114)*IF($W40=1,HK40+ADZ40,HK40)=1,IF(AND($E40=2,IF($W40=1,AJO40,MZ40)=0),1000000000,IF($V40=1,INDEX('calcA'!$D$130:$EQ$169,$B40,114)+IF(AND($E40=1,MZ40=0),25,0),INDEX('calcA'!DM$110:DM$114,$F40+1)+IF(AND($E40=1,MZ40=0),1000,0)+IF($H40=1,INDEX('calcA'!$D$180:$EQ$219,$B40,114)*500,0)-IF(AND('calcA'!DL$117=1,YJ40&gt;0),300,0)-IF(AND($U40=1,'calcA'!DM$117=1,HL40=0),300,0))),1000000000))</f>
        <v/>
      </c>
      <c r="SP40">
        <f>IF($B40=0,1000000000,IF(INDEX('calcA'!$D$60:$EQ$99,$B40,115)*IF($W40=1,HL40+AEA40,HL40)=1,IF(AND($E40=2,IF($W40=1,AJP40,NA40)=0),1000000000,IF($V40=1,INDEX('calcA'!$D$130:$EQ$169,$B40,115)+IF(AND($E40=1,NA40=0),25,0),INDEX('calcA'!DN$110:DN$114,$F40+1)+IF(AND($E40=1,NA40=0),1000,0)+IF($H40=1,INDEX('calcA'!$D$180:$EQ$219,$B40,115)*500,0)-IF(AND('calcA'!DM$117=1,YK40&gt;0),300,0)-IF(AND($U40=1,'calcA'!DN$117=1,HM40=0),300,0))),1000000000))</f>
        <v/>
      </c>
      <c r="SQ40">
        <f>IF($B40=0,1000000000,IF(INDEX('calcA'!$D$60:$EQ$99,$B40,116)*IF($W40=1,HM40+AEB40,HM40)=1,IF(AND($E40=2,IF($W40=1,AJQ40,NB40)=0),1000000000,IF($V40=1,INDEX('calcA'!$D$130:$EQ$169,$B40,116)+IF(AND($E40=1,NB40=0),25,0),INDEX('calcA'!DO$110:DO$114,$F40+1)+IF(AND($E40=1,NB40=0),1000,0)+IF($H40=1,INDEX('calcA'!$D$180:$EQ$219,$B40,116)*500,0)-IF(AND('calcA'!DN$117=1,YL40&gt;0),300,0)-IF(AND($U40=1,'calcA'!DO$117=1,HN40=0),300,0))),1000000000))</f>
        <v/>
      </c>
      <c r="SR40">
        <f>IF($B40=0,1000000000,IF(INDEX('calcA'!$D$60:$EQ$99,$B40,117)*IF($W40=1,HN40+AEC40,HN40)=1,IF(AND($E40=2,IF($W40=1,AJR40,NC40)=0),1000000000,IF($V40=1,INDEX('calcA'!$D$130:$EQ$169,$B40,117)+IF(AND($E40=1,NC40=0),25,0),INDEX('calcA'!DP$110:DP$114,$F40+1)+IF(AND($E40=1,NC40=0),1000,0)+IF($H40=1,INDEX('calcA'!$D$180:$EQ$219,$B40,117)*500,0)-IF(AND('calcA'!DO$117=1,YM40&gt;0),300,0)-IF(AND($U40=1,'calcA'!DP$117=1,HO40=0),300,0))),1000000000))</f>
        <v/>
      </c>
      <c r="SS40">
        <f>IF($B40=0,1000000000,IF(INDEX('calcA'!$D$60:$EQ$99,$B40,118)*IF($W40=1,HO40+AED40,HO40)=1,IF(AND($E40=2,IF($W40=1,AJS40,ND40)=0),1000000000,IF($V40=1,INDEX('calcA'!$D$130:$EQ$169,$B40,118)+IF(AND($E40=1,ND40=0),25,0),INDEX('calcA'!DQ$110:DQ$114,$F40+1)+IF(AND($E40=1,ND40=0),1000,0)+IF($H40=1,INDEX('calcA'!$D$180:$EQ$219,$B40,118)*500,0)-IF(AND('calcA'!DP$117=1,YN40&gt;0),300,0)-IF(AND($U40=1,'calcA'!DQ$117=1,HP40=0),300,0))),1000000000))</f>
        <v/>
      </c>
      <c r="ST40">
        <f>IF($B40=0,1000000000,IF(INDEX('calcA'!$D$60:$EQ$99,$B40,119)*IF($W40=1,HP40+AEE40,HP40)=1,IF(AND($E40=2,IF($W40=1,AJT40,NE40)=0),1000000000,IF($V40=1,INDEX('calcA'!$D$130:$EQ$169,$B40,119)+IF(AND($E40=1,NE40=0),25,0),INDEX('calcA'!DR$110:DR$114,$F40+1)+IF(AND($E40=1,NE40=0),1000,0)+IF($H40=1,INDEX('calcA'!$D$180:$EQ$219,$B40,119)*500,0)-IF(AND('calcA'!DQ$117=1,YO40&gt;0),300,0)-IF(AND($U40=1,'calcA'!DR$117=1,HQ40=0),300,0))),1000000000))</f>
        <v/>
      </c>
      <c r="SU40">
        <f>IF($B40=0,1000000000,IF(INDEX('calcA'!$D$60:$EQ$99,$B40,120)*IF($W40=1,HQ40+AEF40,HQ40)=1,IF(AND($E40=2,IF($W40=1,AJU40,NF40)=0),1000000000,IF($V40=1,INDEX('calcA'!$D$130:$EQ$169,$B40,120)+IF(AND($E40=1,NF40=0),25,0),INDEX('calcA'!DS$110:DS$114,$F40+1)+IF(AND($E40=1,NF40=0),1000,0)+IF($H40=1,INDEX('calcA'!$D$180:$EQ$219,$B40,120)*500,0)-IF(AND('calcA'!DR$117=1,YP40&gt;0),300,0))),1000000000))</f>
        <v/>
      </c>
      <c r="SV40">
        <f>IF($B40=0,1000000000,IF(INDEX('calcA'!$D$60:$EQ$99,$B40,121)*IF($W40=1,HR40+AEG40,HR40)=1,IF(AND($E40=2,IF($W40=1,AJV40,NG40)=0),1000000000,IF($V40=1,INDEX('calcA'!$D$130:$EQ$169,$B40,121)+IF(AND($E40=1,NG40=0),25,0),INDEX('calcA'!DT$110:DT$114,$F40+1)+IF(AND($E40=1,NG40=0),1000,0)+IF($H40=1,INDEX('calcA'!$D$180:$EQ$219,$B40,121)*500,0)-IF(AND($U40=1,'calcA'!DT$117=1,HS40=0),300,0))),1000000000))</f>
        <v/>
      </c>
      <c r="SW40">
        <f>IF($B40=0,1000000000,IF(INDEX('calcA'!$D$60:$EQ$99,$B40,122)*IF($W40=1,HS40+AEH40,HS40)=1,IF(AND($E40=2,IF($W40=1,AJW40,NH40)=0),1000000000,IF($V40=1,INDEX('calcA'!$D$130:$EQ$169,$B40,122)+IF(AND($E40=1,NH40=0),25,0),INDEX('calcA'!DU$110:DU$114,$F40+1)+IF(AND($E40=1,NH40=0),1000,0)+IF($H40=1,INDEX('calcA'!$D$180:$EQ$219,$B40,122)*500,0)-IF(AND('calcA'!DT$117=1,YR40&gt;0),300,0)-IF(AND($U40=1,'calcA'!DU$117=1,HT40=0),300,0))),1000000000))</f>
        <v/>
      </c>
      <c r="SX40">
        <f>IF($B40=0,1000000000,IF(INDEX('calcA'!$D$60:$EQ$99,$B40,123)*IF($W40=1,HT40+AEI40,HT40)=1,IF(AND($E40=2,IF($W40=1,AJX40,NI40)=0),1000000000,IF($V40=1,INDEX('calcA'!$D$130:$EQ$169,$B40,123)+IF(AND($E40=1,NI40=0),25,0),INDEX('calcA'!DV$110:DV$114,$F40+1)+IF(AND($E40=1,NI40=0),1000,0)+IF($H40=1,INDEX('calcA'!$D$180:$EQ$219,$B40,123)*500,0)-IF(AND('calcA'!DU$117=1,YS40&gt;0),300,0)-IF(AND($U40=1,'calcA'!DV$117=1,HU40=0),300,0))),1000000000))</f>
        <v/>
      </c>
      <c r="SY40">
        <f>IF($B40=0,1000000000,IF(INDEX('calcA'!$D$60:$EQ$99,$B40,124)*IF($W40=1,HU40+AEJ40,HU40)=1,IF(AND($E40=2,IF($W40=1,AJY40,NJ40)=0),1000000000,IF($V40=1,INDEX('calcA'!$D$130:$EQ$169,$B40,124)+IF(AND($E40=1,NJ40=0),25,0),INDEX('calcA'!DW$110:DW$114,$F40+1)+IF(AND($E40=1,NJ40=0),1000,0)+IF($H40=1,INDEX('calcA'!$D$180:$EQ$219,$B40,124)*500,0)-IF(AND('calcA'!DV$117=1,YT40&gt;0),300,0)-IF(AND($U40=1,'calcA'!DW$117=1,HV40=0),300,0))),1000000000))</f>
        <v/>
      </c>
      <c r="SZ40">
        <f>IF($B40=0,1000000000,IF(INDEX('calcA'!$D$60:$EQ$99,$B40,125)*IF($W40=1,HV40+AEK40,HV40)=1,IF(AND($E40=2,IF($W40=1,AJZ40,NK40)=0),1000000000,IF($V40=1,INDEX('calcA'!$D$130:$EQ$169,$B40,125)+IF(AND($E40=1,NK40=0),25,0),INDEX('calcA'!DX$110:DX$114,$F40+1)+IF(AND($E40=1,NK40=0),1000,0)+IF($H40=1,INDEX('calcA'!$D$180:$EQ$219,$B40,125)*500,0)-IF(AND('calcA'!DW$117=1,YU40&gt;0),300,0)-IF(AND($U40=1,'calcA'!DX$117=1,HW40=0),300,0))),1000000000))</f>
        <v/>
      </c>
      <c r="TA40">
        <f>IF($B40=0,1000000000,IF(INDEX('calcA'!$D$60:$EQ$99,$B40,126)*IF($W40=1,HW40+AEL40,HW40)=1,IF(AND($E40=2,IF($W40=1,AKA40,NL40)=0),1000000000,IF($V40=1,INDEX('calcA'!$D$130:$EQ$169,$B40,126)+IF(AND($E40=1,NL40=0),25,0),INDEX('calcA'!DY$110:DY$114,$F40+1)+IF(AND($E40=1,NL40=0),1000,0)+IF($H40=1,INDEX('calcA'!$D$180:$EQ$219,$B40,126)*500,0)-IF(AND('calcA'!DX$117=1,YV40&gt;0),300,0)-IF(AND($U40=1,'calcA'!DY$117=1,HX40=0),300,0))),1000000000))</f>
        <v/>
      </c>
      <c r="TB40">
        <f>IF($B40=0,1000000000,IF(INDEX('calcA'!$D$60:$EQ$99,$B40,127)*IF($W40=1,HX40+AEM40,HX40)=1,IF(AND($E40=2,IF($W40=1,AKB40,NM40)=0),1000000000,IF($V40=1,INDEX('calcA'!$D$130:$EQ$169,$B40,127)+IF(AND($E40=1,NM40=0),25,0),INDEX('calcA'!DZ$110:DZ$114,$F40+1)+IF(AND($E40=1,NM40=0),1000,0)+IF($H40=1,INDEX('calcA'!$D$180:$EQ$219,$B40,127)*500,0)-IF(AND('calcA'!DY$117=1,YW40&gt;0),300,0)-IF(AND($U40=1,'calcA'!DZ$117=1,HY40=0),300,0))),1000000000))</f>
        <v/>
      </c>
      <c r="TC40">
        <f>IF($B40=0,1000000000,IF(INDEX('calcA'!$D$60:$EQ$99,$B40,128)*IF($W40=1,HY40+AEN40,HY40)=1,IF(AND($E40=2,IF($W40=1,AKC40,NN40)=0),1000000000,IF($V40=1,INDEX('calcA'!$D$130:$EQ$169,$B40,128)+IF(AND($E40=1,NN40=0),25,0),INDEX('calcA'!EA$110:EA$114,$F40+1)+IF(AND($E40=1,NN40=0),1000,0)+IF($H40=1,INDEX('calcA'!$D$180:$EQ$219,$B40,128)*500,0)-IF(AND('calcA'!DZ$117=1,YX40&gt;0),300,0)-IF(AND($U40=1,'calcA'!EA$117=1,HZ40=0),300,0))),1000000000))</f>
        <v/>
      </c>
      <c r="TD40">
        <f>IF($B40=0,1000000000,IF(INDEX('calcA'!$D$60:$EQ$99,$B40,129)*IF($W40=1,HZ40+AEO40,HZ40)=1,IF(AND($E40=2,IF($W40=1,AKD40,NO40)=0),1000000000,IF($V40=1,INDEX('calcA'!$D$130:$EQ$169,$B40,129)+IF(AND($E40=1,NO40=0),25,0),INDEX('calcA'!EB$110:EB$114,$F40+1)+IF(AND($E40=1,NO40=0),1000,0)+IF($H40=1,INDEX('calcA'!$D$180:$EQ$219,$B40,129)*500,0)-IF(AND('calcA'!EA$117=1,YY40&gt;0),300,0)-IF(AND($U40=1,'calcA'!EB$117=1,IA40=0),300,0))),1000000000))</f>
        <v/>
      </c>
      <c r="TE40">
        <f>IF($B40=0,1000000000,IF(INDEX('calcA'!$D$60:$EQ$99,$B40,130)*IF($W40=1,IA40+AEP40,IA40)=1,IF(AND($E40=2,IF($W40=1,AKE40,NP40)=0),1000000000,IF($V40=1,INDEX('calcA'!$D$130:$EQ$169,$B40,130)+IF(AND($E40=1,NP40=0),25,0),INDEX('calcA'!EC$110:EC$114,$F40+1)+IF(AND($E40=1,NP40=0),1000,0)+IF($H40=1,INDEX('calcA'!$D$180:$EQ$219,$B40,130)*500,0)-IF(AND('calcA'!EB$117=1,YZ40&gt;0),300,0)-IF(AND($U40=1,'calcA'!EC$117=1,IB40=0),300,0))),1000000000))</f>
        <v/>
      </c>
      <c r="TF40">
        <f>IF($B40=0,1000000000,IF(INDEX('calcA'!$D$60:$EQ$99,$B40,131)*IF($W40=1,IB40+AEQ40,IB40)=1,IF(AND($E40=2,IF($W40=1,AKF40,NQ40)=0),1000000000,IF($V40=1,INDEX('calcA'!$D$130:$EQ$169,$B40,131)+IF(AND($E40=1,NQ40=0),25,0),INDEX('calcA'!ED$110:ED$114,$F40+1)+IF(AND($E40=1,NQ40=0),1000,0)+IF($H40=1,INDEX('calcA'!$D$180:$EQ$219,$B40,131)*500,0)-IF(AND('calcA'!EC$117=1,ZA40&gt;0),300,0)-IF(AND($U40=1,'calcA'!ED$117=1,IC40=0),300,0))),1000000000))</f>
        <v/>
      </c>
      <c r="TG40">
        <f>IF($B40=0,1000000000,IF(INDEX('calcA'!$D$60:$EQ$99,$B40,132)*IF($W40=1,IC40+AER40,IC40)=1,IF(AND($E40=2,IF($W40=1,AKG40,NR40)=0),1000000000,IF($V40=1,INDEX('calcA'!$D$130:$EQ$169,$B40,132)+IF(AND($E40=1,NR40=0),25,0),INDEX('calcA'!EE$110:EE$114,$F40+1)+IF(AND($E40=1,NR40=0),1000,0)+IF($H40=1,INDEX('calcA'!$D$180:$EQ$219,$B40,132)*500,0)-IF(AND('calcA'!ED$117=1,ZB40&gt;0),300,0)-IF(AND($U40=1,'calcA'!EE$117=1,ID40=0),300,0))),1000000000))</f>
        <v/>
      </c>
      <c r="TH40">
        <f>IF($B40=0,1000000000,IF(INDEX('calcA'!$D$60:$EQ$99,$B40,133)*IF($W40=1,ID40+AES40,ID40)=1,IF(AND($E40=2,IF($W40=1,AKH40,NS40)=0),1000000000,IF($V40=1,INDEX('calcA'!$D$130:$EQ$169,$B40,133)+IF(AND($E40=1,NS40=0),25,0),INDEX('calcA'!EF$110:EF$114,$F40+1)+IF(AND($E40=1,NS40=0),1000,0)+IF($H40=1,INDEX('calcA'!$D$180:$EQ$219,$B40,133)*500,0)-IF(AND('calcA'!EE$117=1,ZC40&gt;0),300,0)-IF(AND($U40=1,'calcA'!EF$117=1,IE40=0),300,0))),1000000000))</f>
        <v/>
      </c>
      <c r="TI40">
        <f>IF($B40=0,1000000000,IF(INDEX('calcA'!$D$60:$EQ$99,$B40,134)*IF($W40=1,IE40+AET40,IE40)=1,IF(AND($E40=2,IF($W40=1,AKI40,NT40)=0),1000000000,IF($V40=1,INDEX('calcA'!$D$130:$EQ$169,$B40,134)+IF(AND($E40=1,NT40=0),25,0),INDEX('calcA'!EG$110:EG$114,$F40+1)+IF(AND($E40=1,NT40=0),1000,0)+IF($H40=1,INDEX('calcA'!$D$180:$EQ$219,$B40,134)*500,0)-IF(AND('calcA'!EF$117=1,ZD40&gt;0),300,0)-IF(AND($U40=1,'calcA'!EG$117=1,IF40=0),300,0))),1000000000))</f>
        <v/>
      </c>
      <c r="TJ40">
        <f>IF($B40=0,1000000000,IF(INDEX('calcA'!$D$60:$EQ$99,$B40,135)*IF($W40=1,IF40+AEU40,IF40)=1,IF(AND($E40=2,IF($W40=1,AKJ40,NU40)=0),1000000000,IF($V40=1,INDEX('calcA'!$D$130:$EQ$169,$B40,135)+IF(AND($E40=1,NU40=0),25,0),INDEX('calcA'!EH$110:EH$114,$F40+1)+IF(AND($E40=1,NU40=0),1000,0)+IF($H40=1,INDEX('calcA'!$D$180:$EQ$219,$B40,135)*500,0)-IF(AND('calcA'!EG$117=1,ZE40&gt;0),300,0)-IF(AND($U40=1,'calcA'!EH$117=1,IG40=0),300,0))),1000000000))</f>
        <v/>
      </c>
      <c r="TK40">
        <f>IF($B40=0,1000000000,IF(INDEX('calcA'!$D$60:$EQ$99,$B40,136)*IF($W40=1,IG40+AEV40,IG40)=1,IF(AND($E40=2,IF($W40=1,AKK40,NV40)=0),1000000000,IF($V40=1,INDEX('calcA'!$D$130:$EQ$169,$B40,136)+IF(AND($E40=1,NV40=0),25,0),INDEX('calcA'!EI$110:EI$114,$F40+1)+IF(AND($E40=1,NV40=0),1000,0)+IF($H40=1,INDEX('calcA'!$D$180:$EQ$219,$B40,136)*500,0)-IF(AND('calcA'!EH$117=1,ZF40&gt;0),300,0)-IF(AND($U40=1,'calcA'!EI$117=1,IH40=0),300,0))),1000000000))</f>
        <v/>
      </c>
      <c r="TL40">
        <f>IF($B40=0,1000000000,IF(INDEX('calcA'!$D$60:$EQ$99,$B40,137)*IF($W40=1,IH40+AEW40,IH40)=1,IF(AND($E40=2,IF($W40=1,AKL40,NW40)=0),1000000000,IF($V40=1,INDEX('calcA'!$D$130:$EQ$169,$B40,137)+IF(AND($E40=1,NW40=0),25,0),INDEX('calcA'!EJ$110:EJ$114,$F40+1)+IF(AND($E40=1,NW40=0),1000,0)+IF($H40=1,INDEX('calcA'!$D$180:$EQ$219,$B40,137)*500,0)-IF(AND('calcA'!EI$117=1,ZG40&gt;0),300,0)-IF(AND($U40=1,'calcA'!EJ$117=1,II40=0),300,0))),1000000000))</f>
        <v/>
      </c>
      <c r="TM40">
        <f>IF($B40=0,1000000000,IF(INDEX('calcA'!$D$60:$EQ$99,$B40,138)*IF($W40=1,II40+AEX40,II40)=1,IF(AND($E40=2,IF($W40=1,AKM40,NX40)=0),1000000000,IF($V40=1,INDEX('calcA'!$D$130:$EQ$169,$B40,138)+IF(AND($E40=1,NX40=0),25,0),INDEX('calcA'!EK$110:EK$114,$F40+1)+IF(AND($E40=1,NX40=0),1000,0)+IF($H40=1,INDEX('calcA'!$D$180:$EQ$219,$B40,138)*500,0)-IF(AND('calcA'!EJ$117=1,ZH40&gt;0),300,0)-IF(AND($U40=1,'calcA'!EK$117=1,IJ40=0),300,0))),1000000000))</f>
        <v/>
      </c>
      <c r="TN40">
        <f>IF($B40=0,1000000000,IF(INDEX('calcA'!$D$60:$EQ$99,$B40,139)*IF($W40=1,IJ40+AEY40,IJ40)=1,IF(AND($E40=2,IF($W40=1,AKN40,NY40)=0),1000000000,IF($V40=1,INDEX('calcA'!$D$130:$EQ$169,$B40,139)+IF(AND($E40=1,NY40=0),25,0),INDEX('calcA'!EL$110:EL$114,$F40+1)+IF(AND($E40=1,NY40=0),1000,0)+IF($H40=1,INDEX('calcA'!$D$180:$EQ$219,$B40,139)*500,0)-IF(AND('calcA'!EK$117=1,ZI40&gt;0),300,0)-IF(AND($U40=1,'calcA'!EL$117=1,IK40=0),300,0))),1000000000))</f>
        <v/>
      </c>
      <c r="TO40">
        <f>IF($B40=0,1000000000,IF(INDEX('calcA'!$D$60:$EQ$99,$B40,140)*IF($W40=1,IK40+AEZ40,IK40)=1,IF(AND($E40=2,IF($W40=1,AKO40,NZ40)=0),1000000000,IF($V40=1,INDEX('calcA'!$D$130:$EQ$169,$B40,140)+IF(AND($E40=1,NZ40=0),25,0),INDEX('calcA'!EM$110:EM$114,$F40+1)+IF(AND($E40=1,NZ40=0),1000,0)+IF($H40=1,INDEX('calcA'!$D$180:$EQ$219,$B40,140)*500,0)-IF(AND('calcA'!EL$117=1,ZJ40&gt;0),300,0)-IF(AND($U40=1,'calcA'!EM$117=1,IL40=0),300,0))),1000000000))</f>
        <v/>
      </c>
      <c r="TP40">
        <f>IF($B40=0,1000000000,IF(INDEX('calcA'!$D$60:$EQ$99,$B40,141)*IF($W40=1,IL40+AFA40,IL40)=1,IF(AND($E40=2,IF($W40=1,AKP40,OA40)=0),1000000000,IF($V40=1,INDEX('calcA'!$D$130:$EQ$169,$B40,141)+IF(AND($E40=1,OA40=0),25,0),INDEX('calcA'!EN$110:EN$114,$F40+1)+IF(AND($E40=1,OA40=0),1000,0)+IF($H40=1,INDEX('calcA'!$D$180:$EQ$219,$B40,141)*500,0)-IF(AND('calcA'!EM$117=1,ZK40&gt;0),300,0)-IF(AND($U40=1,'calcA'!EN$117=1,IM40=0),300,0))),1000000000))</f>
        <v/>
      </c>
      <c r="TQ40">
        <f>IF($B40=0,1000000000,IF(INDEX('calcA'!$D$60:$EQ$99,$B40,142)*IF($W40=1,IM40+AFB40,IM40)=1,IF(AND($E40=2,IF($W40=1,AKQ40,OB40)=0),1000000000,IF($V40=1,INDEX('calcA'!$D$130:$EQ$169,$B40,142)+IF(AND($E40=1,OB40=0),25,0),INDEX('calcA'!EO$110:EO$114,$F40+1)+IF(AND($E40=1,OB40=0),1000,0)+IF($H40=1,INDEX('calcA'!$D$180:$EQ$219,$B40,142)*500,0)-IF(AND('calcA'!EN$117=1,ZL40&gt;0),300,0)-IF(AND($U40=1,'calcA'!EO$117=1,IN40=0),300,0))),1000000000))</f>
        <v/>
      </c>
      <c r="TR40">
        <f>IF($B40=0,1000000000,IF(INDEX('calcA'!$D$60:$EQ$99,$B40,143)*IF($W40=1,IN40+AFC40,IN40)=1,IF(AND($E40=2,IF($W40=1,AKR40,OC40)=0),1000000000,IF($V40=1,INDEX('calcA'!$D$130:$EQ$169,$B40,143)+IF(AND($E40=1,OC40=0),25,0),INDEX('calcA'!EP$110:EP$114,$F40+1)+IF(AND($E40=1,OC40=0),1000,0)+IF($H40=1,INDEX('calcA'!$D$180:$EQ$219,$B40,143)*500,0)-IF(AND('calcA'!EO$117=1,ZM40&gt;0),300,0)-IF(AND($U40=1,'calcA'!EP$117=1,IO40=0),300,0))),1000000000))</f>
        <v/>
      </c>
      <c r="TS40">
        <f>IF($B40=0,1000000000,IF(INDEX('calcA'!$D$60:$EQ$99,$B40,144)*IF($W40=1,IO40+AFD40,IO40)=1,IF(AND($E40=2,IF($W40=1,AKS40,OD40)=0),1000000000,IF($V40=1,INDEX('calcA'!$D$130:$EQ$169,$B40,144)+IF(AND($E40=1,OD40=0),25,0),INDEX('calcA'!EQ$110:EQ$114,$F40+1)+IF(AND($E40=1,OD40=0),1000,0)+IF($H40=1,INDEX('calcA'!$D$180:$EQ$219,$B40,144)*500,0)-IF(AND('calcA'!EP$117=1,ZN40&gt;0),300,0))),1000000000))</f>
        <v/>
      </c>
      <c r="UB40">
        <f>UB39+IF(AND($C39=1,$U39=1),1,0)</f>
        <v/>
      </c>
      <c r="UC40">
        <f>UC39+IF(AND($C39=2,$U39=1),1,0)</f>
        <v/>
      </c>
      <c r="UD40">
        <f>UD39+IF(AND($C39=3,$U39=1),1,0)</f>
        <v/>
      </c>
      <c r="UE40">
        <f>UE39+IF(AND($C39=4,$U39=1),1,0)</f>
        <v/>
      </c>
      <c r="UF40">
        <f>UF39+IF(AND($C39=5,$U39=1),1,0)</f>
        <v/>
      </c>
      <c r="UG40">
        <f>UG39+IF(AND($C39=6,$U39=1),1,0)</f>
        <v/>
      </c>
      <c r="UH40">
        <f>UH39+IF(AND($C39=7,$U39=1),1,0)</f>
        <v/>
      </c>
      <c r="UI40">
        <f>UI39+IF(AND($C39=8,$U39=1),1,0)</f>
        <v/>
      </c>
      <c r="UJ40">
        <f>UJ39+IF(AND($C39=9,$U39=1),1,0)</f>
        <v/>
      </c>
      <c r="UK40">
        <f>UK39+IF(AND($C39=10,$U39=1),1,0)</f>
        <v/>
      </c>
      <c r="UL40">
        <f>UL39+IF(AND($C39=11,$U39=1),1,0)</f>
        <v/>
      </c>
      <c r="UM40">
        <f>UM39+IF(AND($C39=12,$U39=1),1,0)</f>
        <v/>
      </c>
      <c r="UN40">
        <f>UN39+IF(AND($C39=13,$U39=1),1,0)</f>
        <v/>
      </c>
      <c r="UO40">
        <f>UO39+IF(AND($C39=14,$U39=1),1,0)</f>
        <v/>
      </c>
      <c r="UP40">
        <f>UP39+IF(AND($C39=15,$U39=1),1,0)</f>
        <v/>
      </c>
      <c r="UQ40">
        <f>UQ39+IF(AND($C39=16,$U39=1),1,0)</f>
        <v/>
      </c>
      <c r="UR40">
        <f>UR39+IF(AND($C39=17,$U39=1),1,0)</f>
        <v/>
      </c>
      <c r="US40">
        <f>US39+IF(AND($C39=18,$U39=1),1,0)</f>
        <v/>
      </c>
      <c r="UT40">
        <f>UT39+IF(AND($C39=19,$U39=1),1,0)</f>
        <v/>
      </c>
      <c r="UU40">
        <f>UU39+IF(AND($C39=20,$U39=1),1,0)</f>
        <v/>
      </c>
      <c r="UV40">
        <f>UV39+IF(AND($C39=21,$U39=1),1,0)</f>
        <v/>
      </c>
      <c r="UW40">
        <f>UW39+IF(AND($C39=22,$U39=1),1,0)</f>
        <v/>
      </c>
      <c r="UX40">
        <f>UX39+IF(AND($C39=23,$U39=1),1,0)</f>
        <v/>
      </c>
      <c r="UY40">
        <f>UY39+IF(AND($C39=24,$U39=1),1,0)</f>
        <v/>
      </c>
      <c r="UZ40">
        <f>UZ39+IF(AND($C39=25,$U39=1),1,0)</f>
        <v/>
      </c>
      <c r="VA40">
        <f>VA39+IF(AND($C39=26,$U39=1),1,0)</f>
        <v/>
      </c>
      <c r="VB40">
        <f>VB39+IF(AND($C39=27,$U39=1),1,0)</f>
        <v/>
      </c>
      <c r="VC40">
        <f>VC39+IF(AND($C39=28,$U39=1),1,0)</f>
        <v/>
      </c>
      <c r="VD40">
        <f>VD39+IF(AND($C39=29,$U39=1),1,0)</f>
        <v/>
      </c>
      <c r="VE40">
        <f>VE39+IF(AND($C39=30,$U39=1),1,0)</f>
        <v/>
      </c>
      <c r="VF40">
        <f>VF39+IF(AND($C39=31,$U39=1),1,0)</f>
        <v/>
      </c>
      <c r="VG40">
        <f>VG39+IF(AND($C39=32,$U39=1),1,0)</f>
        <v/>
      </c>
      <c r="VH40">
        <f>VH39+IF(AND($C39=33,$U39=1),1,0)</f>
        <v/>
      </c>
      <c r="VI40">
        <f>VI39+IF(AND($C39=34,$U39=1),1,0)</f>
        <v/>
      </c>
      <c r="VJ40">
        <f>VJ39+IF(AND($C39=35,$U39=1),1,0)</f>
        <v/>
      </c>
      <c r="VK40">
        <f>VK39+IF(AND($C39=36,$U39=1),1,0)</f>
        <v/>
      </c>
      <c r="VL40">
        <f>VL39+IF(AND($C39=37,$U39=1),1,0)</f>
        <v/>
      </c>
      <c r="VM40">
        <f>VM39+IF(AND($C39=38,$U39=1),1,0)</f>
        <v/>
      </c>
      <c r="VN40">
        <f>VN39+IF(AND($C39=39,$U39=1),1,0)</f>
        <v/>
      </c>
      <c r="VO40">
        <f>VO39+IF(AND($C39=40,$U39=1),1,0)</f>
        <v/>
      </c>
      <c r="VP40">
        <f>VP39+IF(AND($C39=41,$U39=1),1,0)</f>
        <v/>
      </c>
      <c r="VQ40">
        <f>VQ39+IF(AND($C39=42,$U39=1),1,0)</f>
        <v/>
      </c>
      <c r="VR40">
        <f>VR39+IF(AND($C39=43,$U39=1),1,0)</f>
        <v/>
      </c>
      <c r="VS40">
        <f>VS39+IF(AND($C39=44,$U39=1),1,0)</f>
        <v/>
      </c>
      <c r="VT40">
        <f>VT39+IF(AND($C39=45,$U39=1),1,0)</f>
        <v/>
      </c>
      <c r="VU40">
        <f>VU39+IF(AND($C39=46,$U39=1),1,0)</f>
        <v/>
      </c>
      <c r="VV40">
        <f>VV39+IF(AND($C39=47,$U39=1),1,0)</f>
        <v/>
      </c>
      <c r="VW40">
        <f>VW39+IF(AND($C39=48,$U39=1),1,0)</f>
        <v/>
      </c>
      <c r="VX40">
        <f>VX39+IF(AND($C39=49,$U39=1),1,0)</f>
        <v/>
      </c>
      <c r="VY40">
        <f>VY39+IF(AND($C39=50,$U39=1),1,0)</f>
        <v/>
      </c>
      <c r="VZ40">
        <f>VZ39+IF(AND($C39=51,$U39=1),1,0)</f>
        <v/>
      </c>
      <c r="WA40">
        <f>WA39+IF(AND($C39=52,$U39=1),1,0)</f>
        <v/>
      </c>
      <c r="WB40">
        <f>WB39+IF(AND($C39=53,$U39=1),1,0)</f>
        <v/>
      </c>
      <c r="WC40">
        <f>WC39+IF(AND($C39=54,$U39=1),1,0)</f>
        <v/>
      </c>
      <c r="WD40">
        <f>WD39+IF(AND($C39=55,$U39=1),1,0)</f>
        <v/>
      </c>
      <c r="WE40">
        <f>WE39+IF(AND($C39=56,$U39=1),1,0)</f>
        <v/>
      </c>
      <c r="WF40">
        <f>WF39+IF(AND($C39=57,$U39=1),1,0)</f>
        <v/>
      </c>
      <c r="WG40">
        <f>WG39+IF(AND($C39=58,$U39=1),1,0)</f>
        <v/>
      </c>
      <c r="WH40">
        <f>WH39+IF(AND($C39=59,$U39=1),1,0)</f>
        <v/>
      </c>
      <c r="WI40">
        <f>WI39+IF(AND($C39=60,$U39=1),1,0)</f>
        <v/>
      </c>
      <c r="WJ40">
        <f>WJ39+IF(AND($C39=61,$U39=1),1,0)</f>
        <v/>
      </c>
      <c r="WK40">
        <f>WK39+IF(AND($C39=62,$U39=1),1,0)</f>
        <v/>
      </c>
      <c r="WL40">
        <f>WL39+IF(AND($C39=63,$U39=1),1,0)</f>
        <v/>
      </c>
      <c r="WM40">
        <f>WM39+IF(AND($C39=64,$U39=1),1,0)</f>
        <v/>
      </c>
      <c r="WN40">
        <f>WN39+IF(AND($C39=65,$U39=1),1,0)</f>
        <v/>
      </c>
      <c r="WO40">
        <f>WO39+IF(AND($C39=66,$U39=1),1,0)</f>
        <v/>
      </c>
      <c r="WP40">
        <f>WP39+IF(AND($C39=67,$U39=1),1,0)</f>
        <v/>
      </c>
      <c r="WQ40">
        <f>WQ39+IF(AND($C39=68,$U39=1),1,0)</f>
        <v/>
      </c>
      <c r="WR40">
        <f>WR39+IF(AND($C39=69,$U39=1),1,0)</f>
        <v/>
      </c>
      <c r="WS40">
        <f>WS39+IF(AND($C39=70,$U39=1),1,0)</f>
        <v/>
      </c>
      <c r="WT40">
        <f>WT39+IF(AND($C39=71,$U39=1),1,0)</f>
        <v/>
      </c>
      <c r="WU40">
        <f>WU39+IF(AND($C39=72,$U39=1),1,0)</f>
        <v/>
      </c>
      <c r="WV40">
        <f>WV39+IF(AND($C39=73,$U39=1),1,0)</f>
        <v/>
      </c>
      <c r="WW40">
        <f>WW39+IF(AND($C39=74,$U39=1),1,0)</f>
        <v/>
      </c>
      <c r="WX40">
        <f>WX39+IF(AND($C39=75,$U39=1),1,0)</f>
        <v/>
      </c>
      <c r="WY40">
        <f>WY39+IF(AND($C39=76,$U39=1),1,0)</f>
        <v/>
      </c>
      <c r="WZ40">
        <f>WZ39+IF(AND($C39=77,$U39=1),1,0)</f>
        <v/>
      </c>
      <c r="XA40">
        <f>XA39+IF(AND($C39=78,$U39=1),1,0)</f>
        <v/>
      </c>
      <c r="XB40">
        <f>XB39+IF(AND($C39=79,$U39=1),1,0)</f>
        <v/>
      </c>
      <c r="XC40">
        <f>XC39+IF(AND($C39=80,$U39=1),1,0)</f>
        <v/>
      </c>
      <c r="XD40">
        <f>XD39+IF(AND($C39=81,$U39=1),1,0)</f>
        <v/>
      </c>
      <c r="XE40">
        <f>XE39+IF(AND($C39=82,$U39=1),1,0)</f>
        <v/>
      </c>
      <c r="XF40">
        <f>XF39+IF(AND($C39=83,$U39=1),1,0)</f>
        <v/>
      </c>
      <c r="XG40">
        <f>XG39+IF(AND($C39=84,$U39=1),1,0)</f>
        <v/>
      </c>
      <c r="XH40">
        <f>XH39+IF(AND($C39=85,$U39=1),1,0)</f>
        <v/>
      </c>
      <c r="XI40">
        <f>XI39+IF(AND($C39=86,$U39=1),1,0)</f>
        <v/>
      </c>
      <c r="XJ40">
        <f>XJ39+IF(AND($C39=87,$U39=1),1,0)</f>
        <v/>
      </c>
      <c r="XK40">
        <f>XK39+IF(AND($C39=88,$U39=1),1,0)</f>
        <v/>
      </c>
      <c r="XL40">
        <f>XL39+IF(AND($C39=89,$U39=1),1,0)</f>
        <v/>
      </c>
      <c r="XM40">
        <f>XM39+IF(AND($C39=90,$U39=1),1,0)</f>
        <v/>
      </c>
      <c r="XN40">
        <f>XN39+IF(AND($C39=91,$U39=1),1,0)</f>
        <v/>
      </c>
      <c r="XO40">
        <f>XO39+IF(AND($C39=92,$U39=1),1,0)</f>
        <v/>
      </c>
      <c r="XP40">
        <f>XP39+IF(AND($C39=93,$U39=1),1,0)</f>
        <v/>
      </c>
      <c r="XQ40">
        <f>XQ39+IF(AND($C39=94,$U39=1),1,0)</f>
        <v/>
      </c>
      <c r="XR40">
        <f>XR39+IF(AND($C39=95,$U39=1),1,0)</f>
        <v/>
      </c>
      <c r="XS40">
        <f>XS39+IF(AND($C39=96,$U39=1),1,0)</f>
        <v/>
      </c>
      <c r="XT40">
        <f>XT39+IF(AND($C39=97,$U39=1),1,0)</f>
        <v/>
      </c>
      <c r="XU40">
        <f>XU39+IF(AND($C39=98,$U39=1),1,0)</f>
        <v/>
      </c>
      <c r="XV40">
        <f>XV39+IF(AND($C39=99,$U39=1),1,0)</f>
        <v/>
      </c>
      <c r="XW40">
        <f>XW39+IF(AND($C39=100,$U39=1),1,0)</f>
        <v/>
      </c>
      <c r="XX40">
        <f>XX39+IF(AND($C39=101,$U39=1),1,0)</f>
        <v/>
      </c>
      <c r="XY40">
        <f>XY39+IF(AND($C39=102,$U39=1),1,0)</f>
        <v/>
      </c>
      <c r="XZ40">
        <f>XZ39+IF(AND($C39=103,$U39=1),1,0)</f>
        <v/>
      </c>
      <c r="YA40">
        <f>YA39+IF(AND($C39=104,$U39=1),1,0)</f>
        <v/>
      </c>
      <c r="YB40">
        <f>YB39+IF(AND($C39=105,$U39=1),1,0)</f>
        <v/>
      </c>
      <c r="YC40">
        <f>YC39+IF(AND($C39=106,$U39=1),1,0)</f>
        <v/>
      </c>
      <c r="YD40">
        <f>YD39+IF(AND($C39=107,$U39=1),1,0)</f>
        <v/>
      </c>
      <c r="YE40">
        <f>YE39+IF(AND($C39=108,$U39=1),1,0)</f>
        <v/>
      </c>
      <c r="YF40">
        <f>YF39+IF(AND($C39=109,$U39=1),1,0)</f>
        <v/>
      </c>
      <c r="YG40">
        <f>YG39+IF(AND($C39=110,$U39=1),1,0)</f>
        <v/>
      </c>
      <c r="YH40">
        <f>YH39+IF(AND($C39=111,$U39=1),1,0)</f>
        <v/>
      </c>
      <c r="YI40">
        <f>YI39+IF(AND($C39=112,$U39=1),1,0)</f>
        <v/>
      </c>
      <c r="YJ40">
        <f>YJ39+IF(AND($C39=113,$U39=1),1,0)</f>
        <v/>
      </c>
      <c r="YK40">
        <f>YK39+IF(AND($C39=114,$U39=1),1,0)</f>
        <v/>
      </c>
      <c r="YL40">
        <f>YL39+IF(AND($C39=115,$U39=1),1,0)</f>
        <v/>
      </c>
      <c r="YM40">
        <f>YM39+IF(AND($C39=116,$U39=1),1,0)</f>
        <v/>
      </c>
      <c r="YN40">
        <f>YN39+IF(AND($C39=117,$U39=1),1,0)</f>
        <v/>
      </c>
      <c r="YO40">
        <f>YO39+IF(AND($C39=118,$U39=1),1,0)</f>
        <v/>
      </c>
      <c r="YP40">
        <f>YP39+IF(AND($C39=119,$U39=1),1,0)</f>
        <v/>
      </c>
      <c r="YQ40">
        <f>YQ39+IF(AND($C39=120,$U39=1),1,0)</f>
        <v/>
      </c>
      <c r="YR40">
        <f>YR39+IF(AND($C39=121,$U39=1),1,0)</f>
        <v/>
      </c>
      <c r="YS40">
        <f>YS39+IF(AND($C39=122,$U39=1),1,0)</f>
        <v/>
      </c>
      <c r="YT40">
        <f>YT39+IF(AND($C39=123,$U39=1),1,0)</f>
        <v/>
      </c>
      <c r="YU40">
        <f>YU39+IF(AND($C39=124,$U39=1),1,0)</f>
        <v/>
      </c>
      <c r="YV40">
        <f>YV39+IF(AND($C39=125,$U39=1),1,0)</f>
        <v/>
      </c>
      <c r="YW40">
        <f>YW39+IF(AND($C39=126,$U39=1),1,0)</f>
        <v/>
      </c>
      <c r="YX40">
        <f>YX39+IF(AND($C39=127,$U39=1),1,0)</f>
        <v/>
      </c>
      <c r="YY40">
        <f>YY39+IF(AND($C39=128,$U39=1),1,0)</f>
        <v/>
      </c>
      <c r="YZ40">
        <f>YZ39+IF(AND($C39=129,$U39=1),1,0)</f>
        <v/>
      </c>
      <c r="ZA40">
        <f>ZA39+IF(AND($C39=130,$U39=1),1,0)</f>
        <v/>
      </c>
      <c r="ZB40">
        <f>ZB39+IF(AND($C39=131,$U39=1),1,0)</f>
        <v/>
      </c>
      <c r="ZC40">
        <f>ZC39+IF(AND($C39=132,$U39=1),1,0)</f>
        <v/>
      </c>
      <c r="ZD40">
        <f>ZD39+IF(AND($C39=133,$U39=1),1,0)</f>
        <v/>
      </c>
      <c r="ZE40">
        <f>ZE39+IF(AND($C39=134,$U39=1),1,0)</f>
        <v/>
      </c>
      <c r="ZF40">
        <f>ZF39+IF(AND($C39=135,$U39=1),1,0)</f>
        <v/>
      </c>
      <c r="ZG40">
        <f>ZG39+IF(AND($C39=136,$U39=1),1,0)</f>
        <v/>
      </c>
      <c r="ZH40">
        <f>ZH39+IF(AND($C39=137,$U39=1),1,0)</f>
        <v/>
      </c>
      <c r="ZI40">
        <f>ZI39+IF(AND($C39=138,$U39=1),1,0)</f>
        <v/>
      </c>
      <c r="ZJ40">
        <f>ZJ39+IF(AND($C39=139,$U39=1),1,0)</f>
        <v/>
      </c>
      <c r="ZK40">
        <f>ZK39+IF(AND($C39=140,$U39=1),1,0)</f>
        <v/>
      </c>
      <c r="ZL40">
        <f>ZL39+IF(AND($C39=141,$U39=1),1,0)</f>
        <v/>
      </c>
      <c r="ZM40">
        <f>ZM39+IF(AND($C39=142,$U39=1),1,0)</f>
        <v/>
      </c>
      <c r="ZN40">
        <f>ZN39+IF(AND($C39=143,$U39=1),1,0)</f>
        <v/>
      </c>
      <c r="ZO40">
        <f>ZO39+IF(AND($C39=144,$U39=1),1,0)</f>
        <v/>
      </c>
      <c r="ZQ40">
        <f>IF($C39=1,0,ZQ39+IF(AND($G39=1,$E39=1),1,0))</f>
        <v/>
      </c>
      <c r="ZR40">
        <f>IF($C39=2,0,ZR39+IF(AND($G39=2,$E39=1),1,0))</f>
        <v/>
      </c>
      <c r="ZS40">
        <f>IF($C39=3,0,ZS39+IF(AND($G39=3,$E39=1),1,0))</f>
        <v/>
      </c>
      <c r="ZT40">
        <f>IF($C39=4,0,ZT39+IF(AND($G39=4,$E39=1),1,0))</f>
        <v/>
      </c>
      <c r="ZU40">
        <f>IF($C39=5,0,ZU39+IF(AND($G39=5,$E39=1),1,0))</f>
        <v/>
      </c>
      <c r="ZV40">
        <f>IF($C39=6,0,ZV39+IF(AND($G39=6,$E39=1),1,0))</f>
        <v/>
      </c>
      <c r="ZW40">
        <f>IF($C39=7,0,ZW39+IF(AND($G39=7,$E39=1),1,0))</f>
        <v/>
      </c>
      <c r="ZX40">
        <f>IF($C39=8,0,ZX39+IF(AND($G39=8,$E39=1),1,0))</f>
        <v/>
      </c>
      <c r="ZY40">
        <f>IF($C39=9,0,ZY39+IF(AND($G39=9,$E39=1),1,0))</f>
        <v/>
      </c>
      <c r="ZZ40">
        <f>IF($C39=10,0,ZZ39+IF(AND($G39=10,$E39=1),1,0))</f>
        <v/>
      </c>
      <c r="AAA40">
        <f>IF($C39=11,0,AAA39+IF(AND($G39=11,$E39=1),1,0))</f>
        <v/>
      </c>
      <c r="AAB40">
        <f>IF($C39=12,0,AAB39+IF(AND($G39=12,$E39=1),1,0))</f>
        <v/>
      </c>
      <c r="AAC40">
        <f>IF($C39=13,0,AAC39+IF(AND($G39=13,$E39=1),1,0))</f>
        <v/>
      </c>
      <c r="AAD40">
        <f>IF($C39=14,0,AAD39+IF(AND($G39=14,$E39=1),1,0))</f>
        <v/>
      </c>
      <c r="AAE40">
        <f>IF($C39=15,0,AAE39+IF(AND($G39=15,$E39=1),1,0))</f>
        <v/>
      </c>
      <c r="AAF40">
        <f>IF($C39=16,0,AAF39+IF(AND($G39=16,$E39=1),1,0))</f>
        <v/>
      </c>
      <c r="AAG40">
        <f>IF($C39=17,0,AAG39+IF(AND($G39=17,$E39=1),1,0))</f>
        <v/>
      </c>
      <c r="AAH40">
        <f>IF($C39=18,0,AAH39+IF(AND($G39=18,$E39=1),1,0))</f>
        <v/>
      </c>
      <c r="AAI40">
        <f>IF($C39=19,0,AAI39+IF(AND($G39=19,$E39=1),1,0))</f>
        <v/>
      </c>
      <c r="AAJ40">
        <f>IF($C39=20,0,AAJ39+IF(AND($G39=20,$E39=1),1,0))</f>
        <v/>
      </c>
      <c r="AAK40">
        <f>IF($C39=21,0,AAK39+IF(AND($G39=21,$E39=1),1,0))</f>
        <v/>
      </c>
      <c r="AAL40">
        <f>IF($C39=22,0,AAL39+IF(AND($G39=22,$E39=1),1,0))</f>
        <v/>
      </c>
      <c r="AAM40">
        <f>IF($C39=23,0,AAM39+IF(AND($G39=23,$E39=1),1,0))</f>
        <v/>
      </c>
      <c r="AAN40">
        <f>IF($C39=24,0,AAN39+IF(AND($G39=24,$E39=1),1,0))</f>
        <v/>
      </c>
      <c r="AAO40">
        <f>IF($C39=25,0,AAO39+IF(AND($G39=25,$E39=1),1,0))</f>
        <v/>
      </c>
      <c r="AAP40">
        <f>IF($C39=26,0,AAP39+IF(AND($G39=26,$E39=1),1,0))</f>
        <v/>
      </c>
      <c r="AAQ40">
        <f>IF($C39=27,0,AAQ39+IF(AND($G39=27,$E39=1),1,0))</f>
        <v/>
      </c>
      <c r="AAR40">
        <f>IF($C39=28,0,AAR39+IF(AND($G39=28,$E39=1),1,0))</f>
        <v/>
      </c>
      <c r="AAS40">
        <f>IF($C39=29,0,AAS39+IF(AND($G39=29,$E39=1),1,0))</f>
        <v/>
      </c>
      <c r="AAT40">
        <f>IF($C39=30,0,AAT39+IF(AND($G39=30,$E39=1),1,0))</f>
        <v/>
      </c>
      <c r="AAU40">
        <f>IF($C39=31,0,AAU39+IF(AND($G39=31,$E39=1),1,0))</f>
        <v/>
      </c>
      <c r="AAV40">
        <f>IF($C39=32,0,AAV39+IF(AND($G39=32,$E39=1),1,0))</f>
        <v/>
      </c>
      <c r="AAW40">
        <f>IF($C39=33,0,AAW39+IF(AND($G39=33,$E39=1),1,0))</f>
        <v/>
      </c>
      <c r="AAX40">
        <f>IF($C39=34,0,AAX39+IF(AND($G39=34,$E39=1),1,0))</f>
        <v/>
      </c>
      <c r="AAY40">
        <f>IF($C39=35,0,AAY39+IF(AND($G39=35,$E39=1),1,0))</f>
        <v/>
      </c>
      <c r="AAZ40">
        <f>IF($C39=36,0,AAZ39+IF(AND($G39=36,$E39=1),1,0))</f>
        <v/>
      </c>
      <c r="ABA40">
        <f>IF($C39=37,0,ABA39+IF(AND($G39=37,$E39=1),1,0))</f>
        <v/>
      </c>
      <c r="ABB40">
        <f>IF($C39=38,0,ABB39+IF(AND($G39=38,$E39=1),1,0))</f>
        <v/>
      </c>
      <c r="ABC40">
        <f>IF($C39=39,0,ABC39+IF(AND($G39=39,$E39=1),1,0))</f>
        <v/>
      </c>
      <c r="ABD40">
        <f>IF($C39=40,0,ABD39+IF(AND($G39=40,$E39=1),1,0))</f>
        <v/>
      </c>
      <c r="ABE40">
        <f>IF($C39=41,0,ABE39+IF(AND($G39=41,$E39=1),1,0))</f>
        <v/>
      </c>
      <c r="ABF40">
        <f>IF($C39=42,0,ABF39+IF(AND($G39=42,$E39=1),1,0))</f>
        <v/>
      </c>
      <c r="ABG40">
        <f>IF($C39=43,0,ABG39+IF(AND($G39=43,$E39=1),1,0))</f>
        <v/>
      </c>
      <c r="ABH40">
        <f>IF($C39=44,0,ABH39+IF(AND($G39=44,$E39=1),1,0))</f>
        <v/>
      </c>
      <c r="ABI40">
        <f>IF($C39=45,0,ABI39+IF(AND($G39=45,$E39=1),1,0))</f>
        <v/>
      </c>
      <c r="ABJ40">
        <f>IF($C39=46,0,ABJ39+IF(AND($G39=46,$E39=1),1,0))</f>
        <v/>
      </c>
      <c r="ABK40">
        <f>IF($C39=47,0,ABK39+IF(AND($G39=47,$E39=1),1,0))</f>
        <v/>
      </c>
      <c r="ABL40">
        <f>IF($C39=48,0,ABL39+IF(AND($G39=48,$E39=1),1,0))</f>
        <v/>
      </c>
      <c r="ABM40">
        <f>IF($C39=49,0,ABM39+IF(AND($G39=49,$E39=1),1,0))</f>
        <v/>
      </c>
      <c r="ABN40">
        <f>IF($C39=50,0,ABN39+IF(AND($G39=50,$E39=1),1,0))</f>
        <v/>
      </c>
      <c r="ABO40">
        <f>IF($C39=51,0,ABO39+IF(AND($G39=51,$E39=1),1,0))</f>
        <v/>
      </c>
      <c r="ABP40">
        <f>IF($C39=52,0,ABP39+IF(AND($G39=52,$E39=1),1,0))</f>
        <v/>
      </c>
      <c r="ABQ40">
        <f>IF($C39=53,0,ABQ39+IF(AND($G39=53,$E39=1),1,0))</f>
        <v/>
      </c>
      <c r="ABR40">
        <f>IF($C39=54,0,ABR39+IF(AND($G39=54,$E39=1),1,0))</f>
        <v/>
      </c>
      <c r="ABS40">
        <f>IF($C39=55,0,ABS39+IF(AND($G39=55,$E39=1),1,0))</f>
        <v/>
      </c>
      <c r="ABT40">
        <f>IF($C39=56,0,ABT39+IF(AND($G39=56,$E39=1),1,0))</f>
        <v/>
      </c>
      <c r="ABU40">
        <f>IF($C39=57,0,ABU39+IF(AND($G39=57,$E39=1),1,0))</f>
        <v/>
      </c>
      <c r="ABV40">
        <f>IF($C39=58,0,ABV39+IF(AND($G39=58,$E39=1),1,0))</f>
        <v/>
      </c>
      <c r="ABW40">
        <f>IF($C39=59,0,ABW39+IF(AND($G39=59,$E39=1),1,0))</f>
        <v/>
      </c>
      <c r="ABX40">
        <f>IF($C39=60,0,ABX39+IF(AND($G39=60,$E39=1),1,0))</f>
        <v/>
      </c>
      <c r="ABY40">
        <f>IF($C39=61,0,ABY39+IF(AND($G39=61,$E39=1),1,0))</f>
        <v/>
      </c>
      <c r="ABZ40">
        <f>IF($C39=62,0,ABZ39+IF(AND($G39=62,$E39=1),1,0))</f>
        <v/>
      </c>
      <c r="ACA40">
        <f>IF($C39=63,0,ACA39+IF(AND($G39=63,$E39=1),1,0))</f>
        <v/>
      </c>
      <c r="ACB40">
        <f>IF($C39=64,0,ACB39+IF(AND($G39=64,$E39=1),1,0))</f>
        <v/>
      </c>
      <c r="ACC40">
        <f>IF($C39=65,0,ACC39+IF(AND($G39=65,$E39=1),1,0))</f>
        <v/>
      </c>
      <c r="ACD40">
        <f>IF($C39=66,0,ACD39+IF(AND($G39=66,$E39=1),1,0))</f>
        <v/>
      </c>
      <c r="ACE40">
        <f>IF($C39=67,0,ACE39+IF(AND($G39=67,$E39=1),1,0))</f>
        <v/>
      </c>
      <c r="ACF40">
        <f>IF($C39=68,0,ACF39+IF(AND($G39=68,$E39=1),1,0))</f>
        <v/>
      </c>
      <c r="ACG40">
        <f>IF($C39=69,0,ACG39+IF(AND($G39=69,$E39=1),1,0))</f>
        <v/>
      </c>
      <c r="ACH40">
        <f>IF($C39=70,0,ACH39+IF(AND($G39=70,$E39=1),1,0))</f>
        <v/>
      </c>
      <c r="ACI40">
        <f>IF($C39=71,0,ACI39+IF(AND($G39=71,$E39=1),1,0))</f>
        <v/>
      </c>
      <c r="ACJ40">
        <f>IF($C39=72,0,ACJ39+IF(AND($G39=72,$E39=1),1,0))</f>
        <v/>
      </c>
      <c r="ACK40">
        <f>IF($C39=73,0,ACK39+IF(AND($G39=73,$E39=1),1,0))</f>
        <v/>
      </c>
      <c r="ACL40">
        <f>IF($C39=74,0,ACL39+IF(AND($G39=74,$E39=1),1,0))</f>
        <v/>
      </c>
      <c r="ACM40">
        <f>IF($C39=75,0,ACM39+IF(AND($G39=75,$E39=1),1,0))</f>
        <v/>
      </c>
      <c r="ACN40">
        <f>IF($C39=76,0,ACN39+IF(AND($G39=76,$E39=1),1,0))</f>
        <v/>
      </c>
      <c r="ACO40">
        <f>IF($C39=77,0,ACO39+IF(AND($G39=77,$E39=1),1,0))</f>
        <v/>
      </c>
      <c r="ACP40">
        <f>IF($C39=78,0,ACP39+IF(AND($G39=78,$E39=1),1,0))</f>
        <v/>
      </c>
      <c r="ACQ40">
        <f>IF($C39=79,0,ACQ39+IF(AND($G39=79,$E39=1),1,0))</f>
        <v/>
      </c>
      <c r="ACR40">
        <f>IF($C39=80,0,ACR39+IF(AND($G39=80,$E39=1),1,0))</f>
        <v/>
      </c>
      <c r="ACS40">
        <f>IF($C39=81,0,ACS39+IF(AND($G39=81,$E39=1),1,0))</f>
        <v/>
      </c>
      <c r="ACT40">
        <f>IF($C39=82,0,ACT39+IF(AND($G39=82,$E39=1),1,0))</f>
        <v/>
      </c>
      <c r="ACU40">
        <f>IF($C39=83,0,ACU39+IF(AND($G39=83,$E39=1),1,0))</f>
        <v/>
      </c>
      <c r="ACV40">
        <f>IF($C39=84,0,ACV39+IF(AND($G39=84,$E39=1),1,0))</f>
        <v/>
      </c>
      <c r="ACW40">
        <f>IF($C39=85,0,ACW39+IF(AND($G39=85,$E39=1),1,0))</f>
        <v/>
      </c>
      <c r="ACX40">
        <f>IF($C39=86,0,ACX39+IF(AND($G39=86,$E39=1),1,0))</f>
        <v/>
      </c>
      <c r="ACY40">
        <f>IF($C39=87,0,ACY39+IF(AND($G39=87,$E39=1),1,0))</f>
        <v/>
      </c>
      <c r="ACZ40">
        <f>IF($C39=88,0,ACZ39+IF(AND($G39=88,$E39=1),1,0))</f>
        <v/>
      </c>
      <c r="ADA40">
        <f>IF($C39=89,0,ADA39+IF(AND($G39=89,$E39=1),1,0))</f>
        <v/>
      </c>
      <c r="ADB40">
        <f>IF($C39=90,0,ADB39+IF(AND($G39=90,$E39=1),1,0))</f>
        <v/>
      </c>
      <c r="ADC40">
        <f>IF($C39=91,0,ADC39+IF(AND($G39=91,$E39=1),1,0))</f>
        <v/>
      </c>
      <c r="ADD40">
        <f>IF($C39=92,0,ADD39+IF(AND($G39=92,$E39=1),1,0))</f>
        <v/>
      </c>
      <c r="ADE40">
        <f>IF($C39=93,0,ADE39+IF(AND($G39=93,$E39=1),1,0))</f>
        <v/>
      </c>
      <c r="ADF40">
        <f>IF($C39=94,0,ADF39+IF(AND($G39=94,$E39=1),1,0))</f>
        <v/>
      </c>
      <c r="ADG40">
        <f>IF($C39=95,0,ADG39+IF(AND($G39=95,$E39=1),1,0))</f>
        <v/>
      </c>
      <c r="ADH40">
        <f>IF($C39=96,0,ADH39+IF(AND($G39=96,$E39=1),1,0))</f>
        <v/>
      </c>
      <c r="ADI40">
        <f>IF($C39=97,0,ADI39+IF(AND($G39=97,$E39=1),1,0))</f>
        <v/>
      </c>
      <c r="ADJ40">
        <f>IF($C39=98,0,ADJ39+IF(AND($G39=98,$E39=1),1,0))</f>
        <v/>
      </c>
      <c r="ADK40">
        <f>IF($C39=99,0,ADK39+IF(AND($G39=99,$E39=1),1,0))</f>
        <v/>
      </c>
      <c r="ADL40">
        <f>IF($C39=100,0,ADL39+IF(AND($G39=100,$E39=1),1,0))</f>
        <v/>
      </c>
      <c r="ADM40">
        <f>IF($C39=101,0,ADM39+IF(AND($G39=101,$E39=1),1,0))</f>
        <v/>
      </c>
      <c r="ADN40">
        <f>IF($C39=102,0,ADN39+IF(AND($G39=102,$E39=1),1,0))</f>
        <v/>
      </c>
      <c r="ADO40">
        <f>IF($C39=103,0,ADO39+IF(AND($G39=103,$E39=1),1,0))</f>
        <v/>
      </c>
      <c r="ADP40">
        <f>IF($C39=104,0,ADP39+IF(AND($G39=104,$E39=1),1,0))</f>
        <v/>
      </c>
      <c r="ADQ40">
        <f>IF($C39=105,0,ADQ39+IF(AND($G39=105,$E39=1),1,0))</f>
        <v/>
      </c>
      <c r="ADR40">
        <f>IF($C39=106,0,ADR39+IF(AND($G39=106,$E39=1),1,0))</f>
        <v/>
      </c>
      <c r="ADS40">
        <f>IF($C39=107,0,ADS39+IF(AND($G39=107,$E39=1),1,0))</f>
        <v/>
      </c>
      <c r="ADT40">
        <f>IF($C39=108,0,ADT39+IF(AND($G39=108,$E39=1),1,0))</f>
        <v/>
      </c>
      <c r="ADU40">
        <f>IF($C39=109,0,ADU39+IF(AND($G39=109,$E39=1),1,0))</f>
        <v/>
      </c>
      <c r="ADV40">
        <f>IF($C39=110,0,ADV39+IF(AND($G39=110,$E39=1),1,0))</f>
        <v/>
      </c>
      <c r="ADW40">
        <f>IF($C39=111,0,ADW39+IF(AND($G39=111,$E39=1),1,0))</f>
        <v/>
      </c>
      <c r="ADX40">
        <f>IF($C39=112,0,ADX39+IF(AND($G39=112,$E39=1),1,0))</f>
        <v/>
      </c>
      <c r="ADY40">
        <f>IF($C39=113,0,ADY39+IF(AND($G39=113,$E39=1),1,0))</f>
        <v/>
      </c>
      <c r="ADZ40">
        <f>IF($C39=114,0,ADZ39+IF(AND($G39=114,$E39=1),1,0))</f>
        <v/>
      </c>
      <c r="AEA40">
        <f>IF($C39=115,0,AEA39+IF(AND($G39=115,$E39=1),1,0))</f>
        <v/>
      </c>
      <c r="AEB40">
        <f>IF($C39=116,0,AEB39+IF(AND($G39=116,$E39=1),1,0))</f>
        <v/>
      </c>
      <c r="AEC40">
        <f>IF($C39=117,0,AEC39+IF(AND($G39=117,$E39=1),1,0))</f>
        <v/>
      </c>
      <c r="AED40">
        <f>IF($C39=118,0,AED39+IF(AND($G39=118,$E39=1),1,0))</f>
        <v/>
      </c>
      <c r="AEE40">
        <f>IF($C39=119,0,AEE39+IF(AND($G39=119,$E39=1),1,0))</f>
        <v/>
      </c>
      <c r="AEF40">
        <f>IF($C39=120,0,AEF39+IF(AND($G39=120,$E39=1),1,0))</f>
        <v/>
      </c>
      <c r="AEG40">
        <f>IF($C39=121,0,AEG39+IF(AND($G39=121,$E39=1),1,0))</f>
        <v/>
      </c>
      <c r="AEH40">
        <f>IF($C39=122,0,AEH39+IF(AND($G39=122,$E39=1),1,0))</f>
        <v/>
      </c>
      <c r="AEI40">
        <f>IF($C39=123,0,AEI39+IF(AND($G39=123,$E39=1),1,0))</f>
        <v/>
      </c>
      <c r="AEJ40">
        <f>IF($C39=124,0,AEJ39+IF(AND($G39=124,$E39=1),1,0))</f>
        <v/>
      </c>
      <c r="AEK40">
        <f>IF($C39=125,0,AEK39+IF(AND($G39=125,$E39=1),1,0))</f>
        <v/>
      </c>
      <c r="AEL40">
        <f>IF($C39=126,0,AEL39+IF(AND($G39=126,$E39=1),1,0))</f>
        <v/>
      </c>
      <c r="AEM40">
        <f>IF($C39=127,0,AEM39+IF(AND($G39=127,$E39=1),1,0))</f>
        <v/>
      </c>
      <c r="AEN40">
        <f>IF($C39=128,0,AEN39+IF(AND($G39=128,$E39=1),1,0))</f>
        <v/>
      </c>
      <c r="AEO40">
        <f>IF($C39=129,0,AEO39+IF(AND($G39=129,$E39=1),1,0))</f>
        <v/>
      </c>
      <c r="AEP40">
        <f>IF($C39=130,0,AEP39+IF(AND($G39=130,$E39=1),1,0))</f>
        <v/>
      </c>
      <c r="AEQ40">
        <f>IF($C39=131,0,AEQ39+IF(AND($G39=131,$E39=1),1,0))</f>
        <v/>
      </c>
      <c r="AER40">
        <f>IF($C39=132,0,AER39+IF(AND($G39=132,$E39=1),1,0))</f>
        <v/>
      </c>
      <c r="AES40">
        <f>IF($C39=133,0,AES39+IF(AND($G39=133,$E39=1),1,0))</f>
        <v/>
      </c>
      <c r="AET40">
        <f>IF($C39=134,0,AET39+IF(AND($G39=134,$E39=1),1,0))</f>
        <v/>
      </c>
      <c r="AEU40">
        <f>IF($C39=135,0,AEU39+IF(AND($G39=135,$E39=1),1,0))</f>
        <v/>
      </c>
      <c r="AEV40">
        <f>IF($C39=136,0,AEV39+IF(AND($G39=136,$E39=1),1,0))</f>
        <v/>
      </c>
      <c r="AEW40">
        <f>IF($C39=137,0,AEW39+IF(AND($G39=137,$E39=1),1,0))</f>
        <v/>
      </c>
      <c r="AEX40">
        <f>IF($C39=138,0,AEX39+IF(AND($G39=138,$E39=1),1,0))</f>
        <v/>
      </c>
      <c r="AEY40">
        <f>IF($C39=139,0,AEY39+IF(AND($G39=139,$E39=1),1,0))</f>
        <v/>
      </c>
      <c r="AEZ40">
        <f>IF($C39=140,0,AEZ39+IF(AND($G39=140,$E39=1),1,0))</f>
        <v/>
      </c>
      <c r="AFA40">
        <f>IF($C39=141,0,AFA39+IF(AND($G39=141,$E39=1),1,0))</f>
        <v/>
      </c>
      <c r="AFB40">
        <f>IF($C39=142,0,AFB39+IF(AND($G39=142,$E39=1),1,0))</f>
        <v/>
      </c>
      <c r="AFC40">
        <f>IF($C39=143,0,AFC39+IF(AND($G39=143,$E39=1),1,0))</f>
        <v/>
      </c>
      <c r="AFD40">
        <f>IF($C39=144,0,AFD39+IF(AND($G39=144,$E39=1),1,0))</f>
        <v/>
      </c>
      <c r="AFF40">
        <f>IF('calcA'!D$106=1,DC40+ZR40,1)</f>
        <v/>
      </c>
      <c r="AFG40">
        <f>IF('calcA'!E$106=1,DD40+ZS40,1)</f>
        <v/>
      </c>
      <c r="AFH40">
        <f>IF('calcA'!F$106=1,DE40+ZT40,1)</f>
        <v/>
      </c>
      <c r="AFI40">
        <f>IF('calcA'!G$106=1,DF40+ZU40,1)</f>
        <v/>
      </c>
      <c r="AFJ40">
        <f>IF('calcA'!H$106=1,DG40+ZV40,1)</f>
        <v/>
      </c>
      <c r="AFK40">
        <f>IF('calcA'!I$106=1,DH40+ZW40,1)</f>
        <v/>
      </c>
      <c r="AFL40">
        <f>IF('calcA'!J$106=1,DI40+ZX40,1)</f>
        <v/>
      </c>
      <c r="AFM40">
        <f>IF('calcA'!K$106=1,DJ40+ZY40,1)</f>
        <v/>
      </c>
      <c r="AFN40">
        <f>IF('calcA'!L$106=1,DK40+ZZ40,1)</f>
        <v/>
      </c>
      <c r="AFO40">
        <f>IF('calcA'!M$106=1,DL40+AAA40,1)</f>
        <v/>
      </c>
      <c r="AFP40">
        <f>IF('calcA'!N$106=1,DM40+AAB40,1)</f>
        <v/>
      </c>
      <c r="AFQ40">
        <f>IF('calcA'!O$106=1,DN40+AAC40,1)</f>
        <v/>
      </c>
      <c r="AFR40">
        <f>IF('calcA'!P$106=1,DO40+AAD40,1)</f>
        <v/>
      </c>
      <c r="AFS40">
        <f>IF('calcA'!Q$106=1,DP40+AAE40,1)</f>
        <v/>
      </c>
      <c r="AFT40">
        <f>IF('calcA'!R$106=1,DQ40+AAF40,1)</f>
        <v/>
      </c>
      <c r="AFU40">
        <f>IF('calcA'!S$106=1,DR40+AAG40,1)</f>
        <v/>
      </c>
      <c r="AFV40">
        <f>IF('calcA'!T$106=1,DS40+AAH40,1)</f>
        <v/>
      </c>
      <c r="AFW40">
        <f>IF('calcA'!U$106=1,DT40+AAI40,1)</f>
        <v/>
      </c>
      <c r="AFX40">
        <f>IF('calcA'!V$106=1,DU40+AAJ40,1)</f>
        <v/>
      </c>
      <c r="AFY40">
        <f>IF('calcA'!W$106=1,DV40+AAK40,1)</f>
        <v/>
      </c>
      <c r="AFZ40">
        <f>IF('calcA'!X$106=1,DW40+AAL40,1)</f>
        <v/>
      </c>
      <c r="AGA40">
        <f>IF('calcA'!Y$106=1,DX40+AAM40,1)</f>
        <v/>
      </c>
      <c r="AGB40">
        <f>IF('calcA'!Z$106=1,DY40+AAN40,1)</f>
        <v/>
      </c>
      <c r="AGC40">
        <f>IF('calcA'!AA$106=1,DZ40+AAO40,1)</f>
        <v/>
      </c>
      <c r="AGD40">
        <f>IF('calcA'!AB$106=1,EA40+AAP40,1)</f>
        <v/>
      </c>
      <c r="AGE40">
        <f>IF('calcA'!AC$106=1,EB40+AAQ40,1)</f>
        <v/>
      </c>
      <c r="AGF40">
        <f>IF('calcA'!AD$106=1,EC40+AAR40,1)</f>
        <v/>
      </c>
      <c r="AGG40">
        <f>IF('calcA'!AE$106=1,ED40+AAS40,1)</f>
        <v/>
      </c>
      <c r="AGH40">
        <f>IF('calcA'!AF$106=1,EE40+AAT40,1)</f>
        <v/>
      </c>
      <c r="AGI40">
        <f>IF('calcA'!AG$106=1,EF40+AAU40,1)</f>
        <v/>
      </c>
      <c r="AGJ40">
        <f>IF('calcA'!AH$106=1,EG40+AAV40,1)</f>
        <v/>
      </c>
      <c r="AGK40">
        <f>IF('calcA'!AI$106=1,EH40+AAW40,1)</f>
        <v/>
      </c>
      <c r="AGL40">
        <f>IF('calcA'!AJ$106=1,EI40+AAX40,1)</f>
        <v/>
      </c>
      <c r="AGM40">
        <f>IF('calcA'!AK$106=1,EJ40+AAY40,1)</f>
        <v/>
      </c>
      <c r="AGN40">
        <f>IF('calcA'!AL$106=1,EK40+AAZ40,1)</f>
        <v/>
      </c>
      <c r="AGO40">
        <f>IF('calcA'!AM$106=1,EL40+ABA40,1)</f>
        <v/>
      </c>
      <c r="AGP40">
        <f>IF('calcA'!AN$106=1,EM40+ABB40,1)</f>
        <v/>
      </c>
      <c r="AGQ40">
        <f>IF('calcA'!AO$106=1,EN40+ABC40,1)</f>
        <v/>
      </c>
      <c r="AGR40">
        <f>IF('calcA'!AP$106=1,EO40+ABD40,1)</f>
        <v/>
      </c>
      <c r="AGS40">
        <f>IF('calcA'!AQ$106=1,EP40+ABE40,1)</f>
        <v/>
      </c>
      <c r="AGT40">
        <f>IF('calcA'!AR$106=1,EQ40+ABF40,1)</f>
        <v/>
      </c>
      <c r="AGU40">
        <f>IF('calcA'!AS$106=1,ER40+ABG40,1)</f>
        <v/>
      </c>
      <c r="AGV40">
        <f>IF('calcA'!AT$106=1,ES40+ABH40,1)</f>
        <v/>
      </c>
      <c r="AGW40">
        <f>IF('calcA'!AU$106=1,ET40+ABI40,1)</f>
        <v/>
      </c>
      <c r="AGX40">
        <f>IF('calcA'!AV$106=1,EU40+ABJ40,1)</f>
        <v/>
      </c>
      <c r="AGY40">
        <f>IF('calcA'!AW$106=1,EV40+ABK40,1)</f>
        <v/>
      </c>
      <c r="AGZ40">
        <f>IF('calcA'!AX$106=1,EW40+ABL40,1)</f>
        <v/>
      </c>
      <c r="AHA40">
        <f>IF('calcA'!AY$106=1,EX40+ABM40,1)</f>
        <v/>
      </c>
      <c r="AHB40">
        <f>IF('calcA'!AZ$106=1,EY40+ABN40,1)</f>
        <v/>
      </c>
      <c r="AHC40">
        <f>IF('calcA'!BA$106=1,EZ40+ABO40,1)</f>
        <v/>
      </c>
      <c r="AHD40">
        <f>IF('calcA'!BB$106=1,FA40+ABP40,1)</f>
        <v/>
      </c>
      <c r="AHE40">
        <f>IF('calcA'!BC$106=1,FB40+ABQ40,1)</f>
        <v/>
      </c>
      <c r="AHF40">
        <f>IF('calcA'!BD$106=1,FC40+ABR40,1)</f>
        <v/>
      </c>
      <c r="AHG40">
        <f>IF('calcA'!BE$106=1,FD40+ABS40,1)</f>
        <v/>
      </c>
      <c r="AHH40">
        <f>IF('calcA'!BF$106=1,FE40+ABT40,1)</f>
        <v/>
      </c>
      <c r="AHI40">
        <f>IF('calcA'!BG$106=1,FF40+ABU40,1)</f>
        <v/>
      </c>
      <c r="AHJ40">
        <f>IF('calcA'!BH$106=1,FG40+ABV40,1)</f>
        <v/>
      </c>
      <c r="AHK40">
        <f>IF('calcA'!BI$106=1,FH40+ABW40,1)</f>
        <v/>
      </c>
      <c r="AHL40">
        <f>IF('calcA'!BJ$106=1,FI40+ABX40,1)</f>
        <v/>
      </c>
      <c r="AHM40">
        <f>IF('calcA'!BK$106=1,FJ40+ABY40,1)</f>
        <v/>
      </c>
      <c r="AHN40">
        <f>IF('calcA'!BL$106=1,FK40+ABZ40,1)</f>
        <v/>
      </c>
      <c r="AHO40">
        <f>IF('calcA'!BM$106=1,FL40+ACA40,1)</f>
        <v/>
      </c>
      <c r="AHP40">
        <f>IF('calcA'!BN$106=1,FM40+ACB40,1)</f>
        <v/>
      </c>
      <c r="AHQ40">
        <f>IF('calcA'!BO$106=1,FN40+ACC40,1)</f>
        <v/>
      </c>
      <c r="AHR40">
        <f>IF('calcA'!BP$106=1,FO40+ACD40,1)</f>
        <v/>
      </c>
      <c r="AHS40">
        <f>IF('calcA'!BQ$106=1,FP40+ACE40,1)</f>
        <v/>
      </c>
      <c r="AHT40">
        <f>IF('calcA'!BR$106=1,FQ40+ACF40,1)</f>
        <v/>
      </c>
      <c r="AHU40">
        <f>IF('calcA'!BS$106=1,FR40+ACG40,1)</f>
        <v/>
      </c>
      <c r="AHV40">
        <f>IF('calcA'!BT$106=1,FS40+ACH40,1)</f>
        <v/>
      </c>
      <c r="AHW40">
        <f>IF('calcA'!BU$106=1,FT40+ACI40,1)</f>
        <v/>
      </c>
      <c r="AHX40">
        <f>IF('calcA'!BV$106=1,FU40+ACJ40,1)</f>
        <v/>
      </c>
      <c r="AHY40">
        <f>IF('calcA'!BW$106=1,FV40+ACK40,1)</f>
        <v/>
      </c>
      <c r="AHZ40">
        <f>IF('calcA'!BX$106=1,FW40+ACL40,1)</f>
        <v/>
      </c>
      <c r="AIA40">
        <f>IF('calcA'!BY$106=1,FX40+ACM40,1)</f>
        <v/>
      </c>
      <c r="AIB40">
        <f>IF('calcA'!BZ$106=1,FY40+ACN40,1)</f>
        <v/>
      </c>
      <c r="AIC40">
        <f>IF('calcA'!CA$106=1,FZ40+ACO40,1)</f>
        <v/>
      </c>
      <c r="AID40">
        <f>IF('calcA'!CB$106=1,GA40+ACP40,1)</f>
        <v/>
      </c>
      <c r="AIE40">
        <f>IF('calcA'!CC$106=1,GB40+ACQ40,1)</f>
        <v/>
      </c>
      <c r="AIF40">
        <f>IF('calcA'!CD$106=1,GC40+ACR40,1)</f>
        <v/>
      </c>
      <c r="AIG40">
        <f>IF('calcA'!CE$106=1,GD40+ACS40,1)</f>
        <v/>
      </c>
      <c r="AIH40">
        <f>IF('calcA'!CF$106=1,GE40+ACT40,1)</f>
        <v/>
      </c>
      <c r="AII40">
        <f>IF('calcA'!CG$106=1,GF40+ACU40,1)</f>
        <v/>
      </c>
      <c r="AIJ40">
        <f>IF('calcA'!CH$106=1,GG40+ACV40,1)</f>
        <v/>
      </c>
      <c r="AIK40">
        <f>IF('calcA'!CI$106=1,GH40+ACW40,1)</f>
        <v/>
      </c>
      <c r="AIL40">
        <f>IF('calcA'!CJ$106=1,GI40+ACX40,1)</f>
        <v/>
      </c>
      <c r="AIM40">
        <f>IF('calcA'!CK$106=1,GJ40+ACY40,1)</f>
        <v/>
      </c>
      <c r="AIN40">
        <f>IF('calcA'!CL$106=1,GK40+ACZ40,1)</f>
        <v/>
      </c>
      <c r="AIO40">
        <f>IF('calcA'!CM$106=1,GL40+ADA40,1)</f>
        <v/>
      </c>
      <c r="AIP40">
        <f>IF('calcA'!CN$106=1,GM40+ADB40,1)</f>
        <v/>
      </c>
      <c r="AIQ40">
        <f>IF('calcA'!CO$106=1,GN40+ADC40,1)</f>
        <v/>
      </c>
      <c r="AIR40">
        <f>IF('calcA'!CP$106=1,GO40+ADD40,1)</f>
        <v/>
      </c>
      <c r="AIS40">
        <f>IF('calcA'!CQ$106=1,GP40+ADE40,1)</f>
        <v/>
      </c>
      <c r="AIT40">
        <f>IF('calcA'!CR$106=1,GQ40+ADF40,1)</f>
        <v/>
      </c>
      <c r="AIU40">
        <f>IF('calcA'!CS$106=1,GR40+ADG40,1)</f>
        <v/>
      </c>
      <c r="AIV40">
        <f>IF('calcA'!CT$106=1,GS40+ADH40,1)</f>
        <v/>
      </c>
      <c r="AIW40">
        <f>IF('calcA'!CU$106=1,GT40+ADI40,1)</f>
        <v/>
      </c>
      <c r="AIX40">
        <f>IF('calcA'!CV$106=1,GU40+ADJ40,1)</f>
        <v/>
      </c>
      <c r="AIY40">
        <f>IF('calcA'!CW$106=1,GV40+ADK40,1)</f>
        <v/>
      </c>
      <c r="AIZ40">
        <f>IF('calcA'!CX$106=1,GW40+ADL40,1)</f>
        <v/>
      </c>
      <c r="AJA40">
        <f>IF('calcA'!CY$106=1,GX40+ADM40,1)</f>
        <v/>
      </c>
      <c r="AJB40">
        <f>IF('calcA'!CZ$106=1,GY40+ADN40,1)</f>
        <v/>
      </c>
      <c r="AJC40">
        <f>IF('calcA'!DA$106=1,GZ40+ADO40,1)</f>
        <v/>
      </c>
      <c r="AJD40">
        <f>IF('calcA'!DB$106=1,HA40+ADP40,1)</f>
        <v/>
      </c>
      <c r="AJE40">
        <f>IF('calcA'!DC$106=1,HB40+ADQ40,1)</f>
        <v/>
      </c>
      <c r="AJF40">
        <f>IF('calcA'!DD$106=1,HC40+ADR40,1)</f>
        <v/>
      </c>
      <c r="AJG40">
        <f>IF('calcA'!DE$106=1,HD40+ADS40,1)</f>
        <v/>
      </c>
      <c r="AJH40">
        <f>IF('calcA'!DF$106=1,HE40+ADT40,1)</f>
        <v/>
      </c>
      <c r="AJI40">
        <f>IF('calcA'!DG$106=1,HF40+ADU40,1)</f>
        <v/>
      </c>
      <c r="AJJ40">
        <f>IF('calcA'!DH$106=1,HG40+ADV40,1)</f>
        <v/>
      </c>
      <c r="AJK40">
        <f>IF('calcA'!DI$106=1,HH40+ADW40,1)</f>
        <v/>
      </c>
      <c r="AJL40">
        <f>IF('calcA'!DJ$106=1,HI40+ADX40,1)</f>
        <v/>
      </c>
      <c r="AJM40">
        <f>IF('calcA'!DK$106=1,HJ40+ADY40,1)</f>
        <v/>
      </c>
      <c r="AJN40">
        <f>IF('calcA'!DL$106=1,HK40+ADZ40,1)</f>
        <v/>
      </c>
      <c r="AJO40">
        <f>IF('calcA'!DM$106=1,HL40+AEA40,1)</f>
        <v/>
      </c>
      <c r="AJP40">
        <f>IF('calcA'!DN$106=1,HM40+AEB40,1)</f>
        <v/>
      </c>
      <c r="AJQ40">
        <f>IF('calcA'!DO$106=1,HN40+AEC40,1)</f>
        <v/>
      </c>
      <c r="AJR40">
        <f>IF('calcA'!DP$106=1,HO40+AED40,1)</f>
        <v/>
      </c>
      <c r="AJS40">
        <f>IF('calcA'!DQ$106=1,HP40+AEE40,1)</f>
        <v/>
      </c>
      <c r="AJT40">
        <f>IF('calcA'!DR$106=1,HQ40+AEF40,1)</f>
        <v/>
      </c>
      <c r="AJU40">
        <f>IF('calcA'!DS$106=1,HR40+AEG40,1)</f>
        <v/>
      </c>
      <c r="AJV40">
        <f>IF('calcA'!DT$106=1,HS40+AEH40,1)</f>
        <v/>
      </c>
      <c r="AJW40">
        <f>IF('calcA'!DU$106=1,HT40+AEI40,1)</f>
        <v/>
      </c>
      <c r="AJX40">
        <f>IF('calcA'!DV$106=1,HU40+AEJ40,1)</f>
        <v/>
      </c>
      <c r="AJY40">
        <f>IF('calcA'!DW$106=1,HV40+AEK40,1)</f>
        <v/>
      </c>
      <c r="AJZ40">
        <f>IF('calcA'!DX$106=1,HW40+AEL40,1)</f>
        <v/>
      </c>
      <c r="AKA40">
        <f>IF('calcA'!DY$106=1,HX40+AEM40,1)</f>
        <v/>
      </c>
      <c r="AKB40">
        <f>IF('calcA'!DZ$106=1,HY40+AEN40,1)</f>
        <v/>
      </c>
      <c r="AKC40">
        <f>IF('calcA'!EA$106=1,HZ40+AEO40,1)</f>
        <v/>
      </c>
      <c r="AKD40">
        <f>IF('calcA'!EB$106=1,IA40+AEP40,1)</f>
        <v/>
      </c>
      <c r="AKE40">
        <f>IF('calcA'!EC$106=1,IB40+AEQ40,1)</f>
        <v/>
      </c>
      <c r="AKF40">
        <f>IF('calcA'!ED$106=1,IC40+AER40,1)</f>
        <v/>
      </c>
      <c r="AKG40">
        <f>IF('calcA'!EE$106=1,ID40+AES40,1)</f>
        <v/>
      </c>
      <c r="AKH40">
        <f>IF('calcA'!EF$106=1,IE40+AET40,1)</f>
        <v/>
      </c>
      <c r="AKI40">
        <f>IF('calcA'!EG$106=1,IF40+AEU40,1)</f>
        <v/>
      </c>
      <c r="AKJ40">
        <f>IF('calcA'!EH$106=1,IG40+AEV40,1)</f>
        <v/>
      </c>
      <c r="AKK40">
        <f>IF('calcA'!EI$106=1,IH40+AEW40,1)</f>
        <v/>
      </c>
      <c r="AKL40">
        <f>IF('calcA'!EJ$106=1,II40+AEX40,1)</f>
        <v/>
      </c>
      <c r="AKM40">
        <f>IF('calcA'!EK$106=1,IJ40+AEY40,1)</f>
        <v/>
      </c>
      <c r="AKN40">
        <f>IF('calcA'!EL$106=1,IK40+AEZ40,1)</f>
        <v/>
      </c>
      <c r="AKO40">
        <f>IF('calcA'!EM$106=1,IL40+AFA40,1)</f>
        <v/>
      </c>
      <c r="AKP40">
        <f>IF('calcA'!EN$106=1,IM40+AFB40,1)</f>
        <v/>
      </c>
      <c r="AKQ40">
        <f>IF('calcA'!EO$106=1,IN40+AFC40,1)</f>
        <v/>
      </c>
      <c r="AKR40">
        <f>IF('calcA'!EP$106=1,IO40+AFD40,1)</f>
        <v/>
      </c>
      <c r="AKS40" t="n">
        <v>1</v>
      </c>
    </row>
    <row r="41">
      <c r="A41" t="n">
        <v>39</v>
      </c>
      <c r="B41">
        <f>IF(MIN(BM41:CZ41)&gt;=1000000000,0,MATCH(MIN(BM41:CZ41),BM41:CZ41,0))</f>
        <v/>
      </c>
      <c r="C41">
        <f>IF(MIN(OF41:TS41)&gt;=1000000000,0,MATCH(MIN(OF41:TS41),OF41:TS41,0))</f>
        <v/>
      </c>
      <c r="D41">
        <f>IF(C41&gt;0,INDEX('calcA'!$D$5:$EQ$5,C41),0)</f>
        <v/>
      </c>
      <c r="E41">
        <f>IF(B41=0,0,INDEX('calcA'!$IQ$10:$IQ$54,B41))</f>
        <v/>
      </c>
      <c r="F41">
        <f>IF(B41=0,0,INDEX('calcA'!$IP$10:$IP$54,B41))</f>
        <v/>
      </c>
      <c r="G41">
        <f>IF(AND(C41&gt;0,E41&gt;0),IF(AND(INDEX('calcA'!$D$106:$EQ$106,C41)=1,INDEX($IQ41:$OD41,C41)=1),C41+1,0),0)</f>
        <v/>
      </c>
      <c r="H41">
        <f>IF(B41=0,0,INDEX('calcA'!$IW$10:$IW$54,B41))</f>
        <v/>
      </c>
      <c r="U41">
        <f>IF(B41=0,0,INDEX('calcA'!$IX$10:$IX$54,B41))</f>
        <v/>
      </c>
      <c r="V41">
        <f>IF(B41=0,0,INDEX('calcA'!$JF$10:$JF$54,B41))</f>
        <v/>
      </c>
      <c r="W41">
        <f>IF(B41=0,0,IF(IF(E41=2,SUMPRODUCT(INDEX('calcA'!$D$60:$EQ$99,B41,0),$DB41:$IO41,$IQ41:$OD41),SUMPRODUCT(INDEX('calcA'!$D$60:$EQ$99,B41,0),$DB41:$IO41))=0,1,0))</f>
        <v/>
      </c>
      <c r="X41">
        <f>MAX(X40,IF($B40=1,1,0))</f>
        <v/>
      </c>
      <c r="Y41">
        <f>MAX(Y40,IF($B40=2,1,0))</f>
        <v/>
      </c>
      <c r="Z41">
        <f>MAX(Z40,IF($B40=3,1,0))</f>
        <v/>
      </c>
      <c r="AA41">
        <f>MAX(AA40,IF($B40=4,1,0))</f>
        <v/>
      </c>
      <c r="AB41">
        <f>MAX(AB40,IF($B40=5,1,0))</f>
        <v/>
      </c>
      <c r="AC41">
        <f>MAX(AC40,IF($B40=6,1,0))</f>
        <v/>
      </c>
      <c r="AD41">
        <f>MAX(AD40,IF($B40=7,1,0))</f>
        <v/>
      </c>
      <c r="AE41">
        <f>MAX(AE40,IF($B40=8,1,0))</f>
        <v/>
      </c>
      <c r="AF41">
        <f>MAX(AF40,IF($B40=9,1,0))</f>
        <v/>
      </c>
      <c r="AG41">
        <f>MAX(AG40,IF($B40=10,1,0))</f>
        <v/>
      </c>
      <c r="AH41">
        <f>MAX(AH40,IF($B40=11,1,0))</f>
        <v/>
      </c>
      <c r="AI41">
        <f>MAX(AI40,IF($B40=12,1,0))</f>
        <v/>
      </c>
      <c r="AJ41">
        <f>MAX(AJ40,IF($B40=13,1,0))</f>
        <v/>
      </c>
      <c r="AK41">
        <f>MAX(AK40,IF($B40=14,1,0))</f>
        <v/>
      </c>
      <c r="AL41">
        <f>MAX(AL40,IF($B40=15,1,0))</f>
        <v/>
      </c>
      <c r="AM41">
        <f>MAX(AM40,IF($B40=16,1,0))</f>
        <v/>
      </c>
      <c r="AN41">
        <f>MAX(AN40,IF($B40=17,1,0))</f>
        <v/>
      </c>
      <c r="AO41">
        <f>MAX(AO40,IF($B40=18,1,0))</f>
        <v/>
      </c>
      <c r="AP41">
        <f>MAX(AP40,IF($B40=19,1,0))</f>
        <v/>
      </c>
      <c r="AQ41">
        <f>MAX(AQ40,IF($B40=20,1,0))</f>
        <v/>
      </c>
      <c r="AR41">
        <f>MAX(AR40,IF($B40=21,1,0))</f>
        <v/>
      </c>
      <c r="AS41">
        <f>MAX(AS40,IF($B40=22,1,0))</f>
        <v/>
      </c>
      <c r="AT41">
        <f>MAX(AT40,IF($B40=23,1,0))</f>
        <v/>
      </c>
      <c r="AU41">
        <f>MAX(AU40,IF($B40=24,1,0))</f>
        <v/>
      </c>
      <c r="AV41">
        <f>MAX(AV40,IF($B40=25,1,0))</f>
        <v/>
      </c>
      <c r="AW41">
        <f>MAX(AW40,IF($B40=26,1,0))</f>
        <v/>
      </c>
      <c r="AX41">
        <f>MAX(AX40,IF($B40=27,1,0))</f>
        <v/>
      </c>
      <c r="AY41">
        <f>MAX(AY40,IF($B40=28,1,0))</f>
        <v/>
      </c>
      <c r="AZ41">
        <f>MAX(AZ40,IF($B40=29,1,0))</f>
        <v/>
      </c>
      <c r="BA41">
        <f>MAX(BA40,IF($B40=30,1,0))</f>
        <v/>
      </c>
      <c r="BB41">
        <f>MAX(BB40,IF($B40=31,1,0))</f>
        <v/>
      </c>
      <c r="BC41">
        <f>MAX(BC40,IF($B40=32,1,0))</f>
        <v/>
      </c>
      <c r="BD41">
        <f>MAX(BD40,IF($B40=33,1,0))</f>
        <v/>
      </c>
      <c r="BE41">
        <f>MAX(BE40,IF($B40=34,1,0))</f>
        <v/>
      </c>
      <c r="BF41">
        <f>MAX(BF40,IF($B40=35,1,0))</f>
        <v/>
      </c>
      <c r="BG41">
        <f>MAX(BG40,IF($B40=36,1,0))</f>
        <v/>
      </c>
      <c r="BH41">
        <f>MAX(BH40,IF($B40=37,1,0))</f>
        <v/>
      </c>
      <c r="BI41">
        <f>MAX(BI40,IF($B40=38,1,0))</f>
        <v/>
      </c>
      <c r="BJ41">
        <f>MAX(BJ40,IF($B40=39,1,0))</f>
        <v/>
      </c>
      <c r="BK41">
        <f>MAX(BK40,IF($B40=40,1,0))</f>
        <v/>
      </c>
      <c r="BM41">
        <f>IF(OR(X41=1,calcA!$A$6=0),1000000000,IF('calcA'!$JF$10=1,0,100000000)+IF('calcA'!$IQ$10=2,SUMPRODUCT('calcA'!$D$60:$EQ$60,$DB41:$IO41,$IQ41:$OD41)*1000+SUMPRODUCT('calcA'!$D$60:$EQ$60,$DB41:$IO41+$ZQ41:$AFD41,$AFF41:$AKS41),SUMPRODUCT('calcA'!$D$60:$EQ$60,$DB41:$IO41*1001+$ZQ41:$AFD41))*100+1)</f>
        <v/>
      </c>
      <c r="BN41">
        <f>IF(OR(Y41=1,calcA!$A$6=0),1000000000,IF('calcA'!$JF$11=1,0,100000000)+IF('calcA'!$IQ$11=2,SUMPRODUCT('calcA'!$D$61:$EQ$61,$DB41:$IO41,$IQ41:$OD41)*1000+SUMPRODUCT('calcA'!$D$61:$EQ$61,$DB41:$IO41+$ZQ41:$AFD41,$AFF41:$AKS41),SUMPRODUCT('calcA'!$D$61:$EQ$61,$DB41:$IO41*1001+$ZQ41:$AFD41))*100+2)</f>
        <v/>
      </c>
      <c r="BO41">
        <f>IF(OR(Z41=1,calcA!$A$6=0),1000000000,IF('calcA'!$JF$12=1,0,100000000)+IF('calcA'!$IQ$12=2,SUMPRODUCT('calcA'!$D$62:$EQ$62,$DB41:$IO41,$IQ41:$OD41)*1000+SUMPRODUCT('calcA'!$D$62:$EQ$62,$DB41:$IO41+$ZQ41:$AFD41,$AFF41:$AKS41),SUMPRODUCT('calcA'!$D$62:$EQ$62,$DB41:$IO41*1001+$ZQ41:$AFD41))*100+3)</f>
        <v/>
      </c>
      <c r="BP41">
        <f>IF(OR(AA41=1,calcA!$A$6=0),1000000000,IF('calcA'!$JF$13=1,0,100000000)+IF('calcA'!$IQ$13=2,SUMPRODUCT('calcA'!$D$63:$EQ$63,$DB41:$IO41,$IQ41:$OD41)*1000+SUMPRODUCT('calcA'!$D$63:$EQ$63,$DB41:$IO41+$ZQ41:$AFD41,$AFF41:$AKS41),SUMPRODUCT('calcA'!$D$63:$EQ$63,$DB41:$IO41*1001+$ZQ41:$AFD41))*100+4)</f>
        <v/>
      </c>
      <c r="BQ41">
        <f>IF(OR(AB41=1,calcA!$A$6=0),1000000000,IF('calcA'!$JF$14=1,0,100000000)+IF('calcA'!$IQ$14=2,SUMPRODUCT('calcA'!$D$64:$EQ$64,$DB41:$IO41,$IQ41:$OD41)*1000+SUMPRODUCT('calcA'!$D$64:$EQ$64,$DB41:$IO41+$ZQ41:$AFD41,$AFF41:$AKS41),SUMPRODUCT('calcA'!$D$64:$EQ$64,$DB41:$IO41*1001+$ZQ41:$AFD41))*100+5)</f>
        <v/>
      </c>
      <c r="BR41">
        <f>IF(OR(AC41=1,calcA!$A$6=0),1000000000,IF('calcA'!$JF$15=1,0,100000000)+IF('calcA'!$IQ$15=2,SUMPRODUCT('calcA'!$D$65:$EQ$65,$DB41:$IO41,$IQ41:$OD41)*1000+SUMPRODUCT('calcA'!$D$65:$EQ$65,$DB41:$IO41+$ZQ41:$AFD41,$AFF41:$AKS41),SUMPRODUCT('calcA'!$D$65:$EQ$65,$DB41:$IO41*1001+$ZQ41:$AFD41))*100+6)</f>
        <v/>
      </c>
      <c r="BS41">
        <f>IF(OR(AD41=1,calcA!$A$6=0),1000000000,IF('calcA'!$JF$16=1,0,100000000)+IF('calcA'!$IQ$16=2,SUMPRODUCT('calcA'!$D$66:$EQ$66,$DB41:$IO41,$IQ41:$OD41)*1000+SUMPRODUCT('calcA'!$D$66:$EQ$66,$DB41:$IO41+$ZQ41:$AFD41,$AFF41:$AKS41),SUMPRODUCT('calcA'!$D$66:$EQ$66,$DB41:$IO41*1001+$ZQ41:$AFD41))*100+7)</f>
        <v/>
      </c>
      <c r="BT41">
        <f>IF(OR(AE41=1,calcA!$A$6=0),1000000000,IF('calcA'!$JF$17=1,0,100000000)+IF('calcA'!$IQ$17=2,SUMPRODUCT('calcA'!$D$67:$EQ$67,$DB41:$IO41,$IQ41:$OD41)*1000+SUMPRODUCT('calcA'!$D$67:$EQ$67,$DB41:$IO41+$ZQ41:$AFD41,$AFF41:$AKS41),SUMPRODUCT('calcA'!$D$67:$EQ$67,$DB41:$IO41*1001+$ZQ41:$AFD41))*100+8)</f>
        <v/>
      </c>
      <c r="BU41">
        <f>IF(OR(AF41=1,calcA!$A$6=0),1000000000,IF('calcA'!$JF$18=1,0,100000000)+IF('calcA'!$IQ$18=2,SUMPRODUCT('calcA'!$D$68:$EQ$68,$DB41:$IO41,$IQ41:$OD41)*1000+SUMPRODUCT('calcA'!$D$68:$EQ$68,$DB41:$IO41+$ZQ41:$AFD41,$AFF41:$AKS41),SUMPRODUCT('calcA'!$D$68:$EQ$68,$DB41:$IO41*1001+$ZQ41:$AFD41))*100+9)</f>
        <v/>
      </c>
      <c r="BV41">
        <f>IF(OR(AG41=1,calcA!$A$6=0),1000000000,IF('calcA'!$JF$19=1,0,100000000)+IF('calcA'!$IQ$19=2,SUMPRODUCT('calcA'!$D$69:$EQ$69,$DB41:$IO41,$IQ41:$OD41)*1000+SUMPRODUCT('calcA'!$D$69:$EQ$69,$DB41:$IO41+$ZQ41:$AFD41,$AFF41:$AKS41),SUMPRODUCT('calcA'!$D$69:$EQ$69,$DB41:$IO41*1001+$ZQ41:$AFD41))*100+10)</f>
        <v/>
      </c>
      <c r="BW41">
        <f>IF(OR(AH41=1,calcA!$A$6=0),1000000000,IF('calcA'!$JF$20=1,0,100000000)+IF('calcA'!$IQ$20=2,SUMPRODUCT('calcA'!$D$70:$EQ$70,$DB41:$IO41,$IQ41:$OD41)*1000+SUMPRODUCT('calcA'!$D$70:$EQ$70,$DB41:$IO41+$ZQ41:$AFD41,$AFF41:$AKS41),SUMPRODUCT('calcA'!$D$70:$EQ$70,$DB41:$IO41*1001+$ZQ41:$AFD41))*100+11)</f>
        <v/>
      </c>
      <c r="BX41">
        <f>IF(OR(AI41=1,calcA!$A$6=0),1000000000,IF('calcA'!$JF$21=1,0,100000000)+IF('calcA'!$IQ$21=2,SUMPRODUCT('calcA'!$D$71:$EQ$71,$DB41:$IO41,$IQ41:$OD41)*1000+SUMPRODUCT('calcA'!$D$71:$EQ$71,$DB41:$IO41+$ZQ41:$AFD41,$AFF41:$AKS41),SUMPRODUCT('calcA'!$D$71:$EQ$71,$DB41:$IO41*1001+$ZQ41:$AFD41))*100+12)</f>
        <v/>
      </c>
      <c r="BY41">
        <f>IF(OR(AJ41=1,calcA!$A$6=0),1000000000,IF('calcA'!$JF$22=1,0,100000000)+IF('calcA'!$IQ$22=2,SUMPRODUCT('calcA'!$D$72:$EQ$72,$DB41:$IO41,$IQ41:$OD41)*1000+SUMPRODUCT('calcA'!$D$72:$EQ$72,$DB41:$IO41+$ZQ41:$AFD41,$AFF41:$AKS41),SUMPRODUCT('calcA'!$D$72:$EQ$72,$DB41:$IO41*1001+$ZQ41:$AFD41))*100+13)</f>
        <v/>
      </c>
      <c r="BZ41">
        <f>IF(OR(AK41=1,calcA!$A$6=0),1000000000,IF('calcA'!$JF$23=1,0,100000000)+IF('calcA'!$IQ$23=2,SUMPRODUCT('calcA'!$D$73:$EQ$73,$DB41:$IO41,$IQ41:$OD41)*1000+SUMPRODUCT('calcA'!$D$73:$EQ$73,$DB41:$IO41+$ZQ41:$AFD41,$AFF41:$AKS41),SUMPRODUCT('calcA'!$D$73:$EQ$73,$DB41:$IO41*1001+$ZQ41:$AFD41))*100+14)</f>
        <v/>
      </c>
      <c r="CA41">
        <f>IF(OR(AL41=1,calcA!$A$6=0),1000000000,IF('calcA'!$JF$24=1,0,100000000)+IF('calcA'!$IQ$24=2,SUMPRODUCT('calcA'!$D$74:$EQ$74,$DB41:$IO41,$IQ41:$OD41)*1000+SUMPRODUCT('calcA'!$D$74:$EQ$74,$DB41:$IO41+$ZQ41:$AFD41,$AFF41:$AKS41),SUMPRODUCT('calcA'!$D$74:$EQ$74,$DB41:$IO41*1001+$ZQ41:$AFD41))*100+15)</f>
        <v/>
      </c>
      <c r="CB41">
        <f>IF(OR(AM41=1,calcA!$A$6=0),1000000000,IF('calcA'!$JF$25=1,0,100000000)+IF('calcA'!$IQ$25=2,SUMPRODUCT('calcA'!$D$75:$EQ$75,$DB41:$IO41,$IQ41:$OD41)*1000+SUMPRODUCT('calcA'!$D$75:$EQ$75,$DB41:$IO41+$ZQ41:$AFD41,$AFF41:$AKS41),SUMPRODUCT('calcA'!$D$75:$EQ$75,$DB41:$IO41*1001+$ZQ41:$AFD41))*100+16)</f>
        <v/>
      </c>
      <c r="CC41">
        <f>IF(OR(AN41=1,calcA!$A$6=0),1000000000,IF('calcA'!$JF$26=1,0,100000000)+IF('calcA'!$IQ$26=2,SUMPRODUCT('calcA'!$D$76:$EQ$76,$DB41:$IO41,$IQ41:$OD41)*1000+SUMPRODUCT('calcA'!$D$76:$EQ$76,$DB41:$IO41+$ZQ41:$AFD41,$AFF41:$AKS41),SUMPRODUCT('calcA'!$D$76:$EQ$76,$DB41:$IO41*1001+$ZQ41:$AFD41))*100+17)</f>
        <v/>
      </c>
      <c r="CD41">
        <f>IF(OR(AO41=1,calcA!$A$6=0),1000000000,IF('calcA'!$JF$27=1,0,100000000)+IF('calcA'!$IQ$27=2,SUMPRODUCT('calcA'!$D$77:$EQ$77,$DB41:$IO41,$IQ41:$OD41)*1000+SUMPRODUCT('calcA'!$D$77:$EQ$77,$DB41:$IO41+$ZQ41:$AFD41,$AFF41:$AKS41),SUMPRODUCT('calcA'!$D$77:$EQ$77,$DB41:$IO41*1001+$ZQ41:$AFD41))*100+18)</f>
        <v/>
      </c>
      <c r="CE41">
        <f>IF(OR(AP41=1,calcA!$A$6=0),1000000000,IF('calcA'!$JF$28=1,0,100000000)+IF('calcA'!$IQ$28=2,SUMPRODUCT('calcA'!$D$78:$EQ$78,$DB41:$IO41,$IQ41:$OD41)*1000+SUMPRODUCT('calcA'!$D$78:$EQ$78,$DB41:$IO41+$ZQ41:$AFD41,$AFF41:$AKS41),SUMPRODUCT('calcA'!$D$78:$EQ$78,$DB41:$IO41*1001+$ZQ41:$AFD41))*100+19)</f>
        <v/>
      </c>
      <c r="CF41">
        <f>IF(OR(AQ41=1,calcA!$A$6=0),1000000000,IF('calcA'!$JF$29=1,0,100000000)+IF('calcA'!$IQ$29=2,SUMPRODUCT('calcA'!$D$79:$EQ$79,$DB41:$IO41,$IQ41:$OD41)*1000+SUMPRODUCT('calcA'!$D$79:$EQ$79,$DB41:$IO41+$ZQ41:$AFD41,$AFF41:$AKS41),SUMPRODUCT('calcA'!$D$79:$EQ$79,$DB41:$IO41*1001+$ZQ41:$AFD41))*100+20)</f>
        <v/>
      </c>
      <c r="CG41">
        <f>IF(OR(AR41=1,calcA!$A$6=0),1000000000,IF('calcA'!$JF$30=1,0,100000000)+IF('calcA'!$IQ$30=2,SUMPRODUCT('calcA'!$D$80:$EQ$80,$DB41:$IO41,$IQ41:$OD41)*1000+SUMPRODUCT('calcA'!$D$80:$EQ$80,$DB41:$IO41+$ZQ41:$AFD41,$AFF41:$AKS41),SUMPRODUCT('calcA'!$D$80:$EQ$80,$DB41:$IO41*1001+$ZQ41:$AFD41))*100+21)</f>
        <v/>
      </c>
      <c r="CH41">
        <f>IF(OR(AS41=1,calcA!$A$6=0),1000000000,IF('calcA'!$JF$31=1,0,100000000)+IF('calcA'!$IQ$31=2,SUMPRODUCT('calcA'!$D$81:$EQ$81,$DB41:$IO41,$IQ41:$OD41)*1000+SUMPRODUCT('calcA'!$D$81:$EQ$81,$DB41:$IO41+$ZQ41:$AFD41,$AFF41:$AKS41),SUMPRODUCT('calcA'!$D$81:$EQ$81,$DB41:$IO41*1001+$ZQ41:$AFD41))*100+22)</f>
        <v/>
      </c>
      <c r="CI41">
        <f>IF(OR(AT41=1,calcA!$A$6=0),1000000000,IF('calcA'!$JF$32=1,0,100000000)+IF('calcA'!$IQ$32=2,SUMPRODUCT('calcA'!$D$82:$EQ$82,$DB41:$IO41,$IQ41:$OD41)*1000+SUMPRODUCT('calcA'!$D$82:$EQ$82,$DB41:$IO41+$ZQ41:$AFD41,$AFF41:$AKS41),SUMPRODUCT('calcA'!$D$82:$EQ$82,$DB41:$IO41*1001+$ZQ41:$AFD41))*100+23)</f>
        <v/>
      </c>
      <c r="CJ41">
        <f>IF(OR(AU41=1,calcA!$A$6=0),1000000000,IF('calcA'!$JF$33=1,0,100000000)+IF('calcA'!$IQ$33=2,SUMPRODUCT('calcA'!$D$83:$EQ$83,$DB41:$IO41,$IQ41:$OD41)*1000+SUMPRODUCT('calcA'!$D$83:$EQ$83,$DB41:$IO41+$ZQ41:$AFD41,$AFF41:$AKS41),SUMPRODUCT('calcA'!$D$83:$EQ$83,$DB41:$IO41*1001+$ZQ41:$AFD41))*100+24)</f>
        <v/>
      </c>
      <c r="CK41">
        <f>IF(OR(AV41=1,calcA!$A$6=0),1000000000,IF('calcA'!$JF$34=1,0,100000000)+IF('calcA'!$IQ$34=2,SUMPRODUCT('calcA'!$D$84:$EQ$84,$DB41:$IO41,$IQ41:$OD41)*1000+SUMPRODUCT('calcA'!$D$84:$EQ$84,$DB41:$IO41+$ZQ41:$AFD41,$AFF41:$AKS41),SUMPRODUCT('calcA'!$D$84:$EQ$84,$DB41:$IO41*1001+$ZQ41:$AFD41))*100+25)</f>
        <v/>
      </c>
      <c r="CL41">
        <f>IF(OR(AW41=1,calcA!$A$6=0),1000000000,IF('calcA'!$JF$35=1,0,100000000)+IF('calcA'!$IQ$35=2,SUMPRODUCT('calcA'!$D$85:$EQ$85,$DB41:$IO41,$IQ41:$OD41)*1000+SUMPRODUCT('calcA'!$D$85:$EQ$85,$DB41:$IO41+$ZQ41:$AFD41,$AFF41:$AKS41),SUMPRODUCT('calcA'!$D$85:$EQ$85,$DB41:$IO41*1001+$ZQ41:$AFD41))*100+26)</f>
        <v/>
      </c>
      <c r="CM41">
        <f>IF(OR(AX41=1,calcA!$A$6=0),1000000000,IF('calcA'!$JF$36=1,0,100000000)+IF('calcA'!$IQ$36=2,SUMPRODUCT('calcA'!$D$86:$EQ$86,$DB41:$IO41,$IQ41:$OD41)*1000+SUMPRODUCT('calcA'!$D$86:$EQ$86,$DB41:$IO41+$ZQ41:$AFD41,$AFF41:$AKS41),SUMPRODUCT('calcA'!$D$86:$EQ$86,$DB41:$IO41*1001+$ZQ41:$AFD41))*100+27)</f>
        <v/>
      </c>
      <c r="CN41">
        <f>IF(OR(AY41=1,calcA!$A$6=0),1000000000,IF('calcA'!$JF$37=1,0,100000000)+IF('calcA'!$IQ$37=2,SUMPRODUCT('calcA'!$D$87:$EQ$87,$DB41:$IO41,$IQ41:$OD41)*1000+SUMPRODUCT('calcA'!$D$87:$EQ$87,$DB41:$IO41+$ZQ41:$AFD41,$AFF41:$AKS41),SUMPRODUCT('calcA'!$D$87:$EQ$87,$DB41:$IO41*1001+$ZQ41:$AFD41))*100+28)</f>
        <v/>
      </c>
      <c r="CO41">
        <f>IF(OR(AZ41=1,calcA!$A$6=0),1000000000,IF('calcA'!$JF$38=1,0,100000000)+IF('calcA'!$IQ$38=2,SUMPRODUCT('calcA'!$D$88:$EQ$88,$DB41:$IO41,$IQ41:$OD41)*1000+SUMPRODUCT('calcA'!$D$88:$EQ$88,$DB41:$IO41+$ZQ41:$AFD41,$AFF41:$AKS41),SUMPRODUCT('calcA'!$D$88:$EQ$88,$DB41:$IO41*1001+$ZQ41:$AFD41))*100+29)</f>
        <v/>
      </c>
      <c r="CP41">
        <f>IF(OR(BA41=1,calcA!$A$6=0),1000000000,IF('calcA'!$JF$39=1,0,100000000)+IF('calcA'!$IQ$39=2,SUMPRODUCT('calcA'!$D$89:$EQ$89,$DB41:$IO41,$IQ41:$OD41)*1000+SUMPRODUCT('calcA'!$D$89:$EQ$89,$DB41:$IO41+$ZQ41:$AFD41,$AFF41:$AKS41),SUMPRODUCT('calcA'!$D$89:$EQ$89,$DB41:$IO41*1001+$ZQ41:$AFD41))*100+30)</f>
        <v/>
      </c>
      <c r="CQ41">
        <f>IF(OR(BB41=1,calcA!$A$6=0),1000000000,IF('calcA'!$JF$40=1,0,100000000)+IF('calcA'!$IQ$40=2,SUMPRODUCT('calcA'!$D$90:$EQ$90,$DB41:$IO41,$IQ41:$OD41)*1000+SUMPRODUCT('calcA'!$D$90:$EQ$90,$DB41:$IO41+$ZQ41:$AFD41,$AFF41:$AKS41),SUMPRODUCT('calcA'!$D$90:$EQ$90,$DB41:$IO41*1001+$ZQ41:$AFD41))*100+31)</f>
        <v/>
      </c>
      <c r="CR41">
        <f>IF(OR(BC41=1,calcA!$A$6=0),1000000000,IF('calcA'!$JF$41=1,0,100000000)+IF('calcA'!$IQ$41=2,SUMPRODUCT('calcA'!$D$91:$EQ$91,$DB41:$IO41,$IQ41:$OD41)*1000+SUMPRODUCT('calcA'!$D$91:$EQ$91,$DB41:$IO41+$ZQ41:$AFD41,$AFF41:$AKS41),SUMPRODUCT('calcA'!$D$91:$EQ$91,$DB41:$IO41*1001+$ZQ41:$AFD41))*100+32)</f>
        <v/>
      </c>
      <c r="CS41">
        <f>IF(OR(BD41=1,calcA!$A$6=0),1000000000,IF('calcA'!$JF$42=1,0,100000000)+IF('calcA'!$IQ$42=2,SUMPRODUCT('calcA'!$D$92:$EQ$92,$DB41:$IO41,$IQ41:$OD41)*1000+SUMPRODUCT('calcA'!$D$92:$EQ$92,$DB41:$IO41+$ZQ41:$AFD41,$AFF41:$AKS41),SUMPRODUCT('calcA'!$D$92:$EQ$92,$DB41:$IO41*1001+$ZQ41:$AFD41))*100+33)</f>
        <v/>
      </c>
      <c r="CT41">
        <f>IF(OR(BE41=1,calcA!$A$6=0),1000000000,IF('calcA'!$JF$43=1,0,100000000)+IF('calcA'!$IQ$43=2,SUMPRODUCT('calcA'!$D$93:$EQ$93,$DB41:$IO41,$IQ41:$OD41)*1000+SUMPRODUCT('calcA'!$D$93:$EQ$93,$DB41:$IO41+$ZQ41:$AFD41,$AFF41:$AKS41),SUMPRODUCT('calcA'!$D$93:$EQ$93,$DB41:$IO41*1001+$ZQ41:$AFD41))*100+34)</f>
        <v/>
      </c>
      <c r="CU41">
        <f>IF(OR(BF41=1,calcA!$A$6=0),1000000000,IF('calcA'!$JF$44=1,0,100000000)+IF('calcA'!$IQ$44=2,SUMPRODUCT('calcA'!$D$94:$EQ$94,$DB41:$IO41,$IQ41:$OD41)*1000+SUMPRODUCT('calcA'!$D$94:$EQ$94,$DB41:$IO41+$ZQ41:$AFD41,$AFF41:$AKS41),SUMPRODUCT('calcA'!$D$94:$EQ$94,$DB41:$IO41*1001+$ZQ41:$AFD41))*100+35)</f>
        <v/>
      </c>
      <c r="CV41">
        <f>IF(OR(BG41=1,calcA!$A$6=0),1000000000,IF('calcA'!$JF$45=1,0,100000000)+IF('calcA'!$IQ$45=2,SUMPRODUCT('calcA'!$D$95:$EQ$95,$DB41:$IO41,$IQ41:$OD41)*1000+SUMPRODUCT('calcA'!$D$95:$EQ$95,$DB41:$IO41+$ZQ41:$AFD41,$AFF41:$AKS41),SUMPRODUCT('calcA'!$D$95:$EQ$95,$DB41:$IO41*1001+$ZQ41:$AFD41))*100+36)</f>
        <v/>
      </c>
      <c r="CW41">
        <f>IF(OR(BH41=1,calcA!$A$6=0),1000000000,IF('calcA'!$JF$46=1,0,100000000)+IF('calcA'!$IQ$46=2,SUMPRODUCT('calcA'!$D$96:$EQ$96,$DB41:$IO41,$IQ41:$OD41)*1000+SUMPRODUCT('calcA'!$D$96:$EQ$96,$DB41:$IO41+$ZQ41:$AFD41,$AFF41:$AKS41),SUMPRODUCT('calcA'!$D$96:$EQ$96,$DB41:$IO41*1001+$ZQ41:$AFD41))*100+37)</f>
        <v/>
      </c>
      <c r="CX41">
        <f>IF(OR(BI41=1,calcA!$A$6=0),1000000000,IF('calcA'!$JF$47=1,0,100000000)+IF('calcA'!$IQ$47=2,SUMPRODUCT('calcA'!$D$97:$EQ$97,$DB41:$IO41,$IQ41:$OD41)*1000+SUMPRODUCT('calcA'!$D$97:$EQ$97,$DB41:$IO41+$ZQ41:$AFD41,$AFF41:$AKS41),SUMPRODUCT('calcA'!$D$97:$EQ$97,$DB41:$IO41*1001+$ZQ41:$AFD41))*100+38)</f>
        <v/>
      </c>
      <c r="CY41">
        <f>IF(OR(BJ41=1,calcA!$A$6=0),1000000000,IF('calcA'!$JF$48=1,0,100000000)+IF('calcA'!$IQ$48=2,SUMPRODUCT('calcA'!$D$98:$EQ$98,$DB41:$IO41,$IQ41:$OD41)*1000+SUMPRODUCT('calcA'!$D$98:$EQ$98,$DB41:$IO41+$ZQ41:$AFD41,$AFF41:$AKS41),SUMPRODUCT('calcA'!$D$98:$EQ$98,$DB41:$IO41*1001+$ZQ41:$AFD41))*100+39)</f>
        <v/>
      </c>
      <c r="CZ41">
        <f>IF(OR(BK41=1,calcA!$A$6=0),1000000000,IF('calcA'!$JF$49=1,0,100000000)+IF('calcA'!$IQ$49=2,SUMPRODUCT('calcA'!$D$99:$EQ$99,$DB41:$IO41,$IQ41:$OD41)*1000+SUMPRODUCT('calcA'!$D$99:$EQ$99,$DB41:$IO41+$ZQ41:$AFD41,$AFF41:$AKS41),SUMPRODUCT('calcA'!$D$99:$EQ$99,$DB41:$IO41*1001+$ZQ41:$AFD41))*100+40)</f>
        <v/>
      </c>
      <c r="DB41">
        <f>DB40*IF(OR($C40=1,$G40=1),0,1)</f>
        <v/>
      </c>
      <c r="DC41">
        <f>DC40*IF(OR($C40=2,$G40=2),0,1)</f>
        <v/>
      </c>
      <c r="DD41">
        <f>DD40*IF(OR($C40=3,$G40=3),0,1)</f>
        <v/>
      </c>
      <c r="DE41">
        <f>DE40*IF(OR($C40=4,$G40=4),0,1)</f>
        <v/>
      </c>
      <c r="DF41">
        <f>DF40*IF(OR($C40=5,$G40=5),0,1)</f>
        <v/>
      </c>
      <c r="DG41">
        <f>DG40*IF(OR($C40=6,$G40=6),0,1)</f>
        <v/>
      </c>
      <c r="DH41">
        <f>DH40*IF(OR($C40=7,$G40=7),0,1)</f>
        <v/>
      </c>
      <c r="DI41">
        <f>DI40*IF(OR($C40=8,$G40=8),0,1)</f>
        <v/>
      </c>
      <c r="DJ41">
        <f>DJ40*IF(OR($C40=9,$G40=9),0,1)</f>
        <v/>
      </c>
      <c r="DK41">
        <f>DK40*IF(OR($C40=10,$G40=10),0,1)</f>
        <v/>
      </c>
      <c r="DL41">
        <f>DL40*IF(OR($C40=11,$G40=11),0,1)</f>
        <v/>
      </c>
      <c r="DM41">
        <f>DM40*IF(OR($C40=12,$G40=12),0,1)</f>
        <v/>
      </c>
      <c r="DN41">
        <f>DN40*IF(OR($C40=13,$G40=13),0,1)</f>
        <v/>
      </c>
      <c r="DO41">
        <f>DO40*IF(OR($C40=14,$G40=14),0,1)</f>
        <v/>
      </c>
      <c r="DP41">
        <f>DP40*IF(OR($C40=15,$G40=15),0,1)</f>
        <v/>
      </c>
      <c r="DQ41">
        <f>DQ40*IF(OR($C40=16,$G40=16),0,1)</f>
        <v/>
      </c>
      <c r="DR41">
        <f>DR40*IF(OR($C40=17,$G40=17),0,1)</f>
        <v/>
      </c>
      <c r="DS41">
        <f>DS40*IF(OR($C40=18,$G40=18),0,1)</f>
        <v/>
      </c>
      <c r="DT41">
        <f>DT40*IF(OR($C40=19,$G40=19),0,1)</f>
        <v/>
      </c>
      <c r="DU41">
        <f>DU40*IF(OR($C40=20,$G40=20),0,1)</f>
        <v/>
      </c>
      <c r="DV41">
        <f>DV40*IF(OR($C40=21,$G40=21),0,1)</f>
        <v/>
      </c>
      <c r="DW41">
        <f>DW40*IF(OR($C40=22,$G40=22),0,1)</f>
        <v/>
      </c>
      <c r="DX41">
        <f>DX40*IF(OR($C40=23,$G40=23),0,1)</f>
        <v/>
      </c>
      <c r="DY41">
        <f>DY40*IF(OR($C40=24,$G40=24),0,1)</f>
        <v/>
      </c>
      <c r="DZ41">
        <f>DZ40*IF(OR($C40=25,$G40=25),0,1)</f>
        <v/>
      </c>
      <c r="EA41">
        <f>EA40*IF(OR($C40=26,$G40=26),0,1)</f>
        <v/>
      </c>
      <c r="EB41">
        <f>EB40*IF(OR($C40=27,$G40=27),0,1)</f>
        <v/>
      </c>
      <c r="EC41">
        <f>EC40*IF(OR($C40=28,$G40=28),0,1)</f>
        <v/>
      </c>
      <c r="ED41">
        <f>ED40*IF(OR($C40=29,$G40=29),0,1)</f>
        <v/>
      </c>
      <c r="EE41">
        <f>EE40*IF(OR($C40=30,$G40=30),0,1)</f>
        <v/>
      </c>
      <c r="EF41">
        <f>EF40*IF(OR($C40=31,$G40=31),0,1)</f>
        <v/>
      </c>
      <c r="EG41">
        <f>EG40*IF(OR($C40=32,$G40=32),0,1)</f>
        <v/>
      </c>
      <c r="EH41">
        <f>EH40*IF(OR($C40=33,$G40=33),0,1)</f>
        <v/>
      </c>
      <c r="EI41">
        <f>EI40*IF(OR($C40=34,$G40=34),0,1)</f>
        <v/>
      </c>
      <c r="EJ41">
        <f>EJ40*IF(OR($C40=35,$G40=35),0,1)</f>
        <v/>
      </c>
      <c r="EK41">
        <f>EK40*IF(OR($C40=36,$G40=36),0,1)</f>
        <v/>
      </c>
      <c r="EL41">
        <f>EL40*IF(OR($C40=37,$G40=37),0,1)</f>
        <v/>
      </c>
      <c r="EM41">
        <f>EM40*IF(OR($C40=38,$G40=38),0,1)</f>
        <v/>
      </c>
      <c r="EN41">
        <f>EN40*IF(OR($C40=39,$G40=39),0,1)</f>
        <v/>
      </c>
      <c r="EO41">
        <f>EO40*IF(OR($C40=40,$G40=40),0,1)</f>
        <v/>
      </c>
      <c r="EP41">
        <f>EP40*IF(OR($C40=41,$G40=41),0,1)</f>
        <v/>
      </c>
      <c r="EQ41">
        <f>EQ40*IF(OR($C40=42,$G40=42),0,1)</f>
        <v/>
      </c>
      <c r="ER41">
        <f>ER40*IF(OR($C40=43,$G40=43),0,1)</f>
        <v/>
      </c>
      <c r="ES41">
        <f>ES40*IF(OR($C40=44,$G40=44),0,1)</f>
        <v/>
      </c>
      <c r="ET41">
        <f>ET40*IF(OR($C40=45,$G40=45),0,1)</f>
        <v/>
      </c>
      <c r="EU41">
        <f>EU40*IF(OR($C40=46,$G40=46),0,1)</f>
        <v/>
      </c>
      <c r="EV41">
        <f>EV40*IF(OR($C40=47,$G40=47),0,1)</f>
        <v/>
      </c>
      <c r="EW41">
        <f>EW40*IF(OR($C40=48,$G40=48),0,1)</f>
        <v/>
      </c>
      <c r="EX41">
        <f>EX40*IF(OR($C40=49,$G40=49),0,1)</f>
        <v/>
      </c>
      <c r="EY41">
        <f>EY40*IF(OR($C40=50,$G40=50),0,1)</f>
        <v/>
      </c>
      <c r="EZ41">
        <f>EZ40*IF(OR($C40=51,$G40=51),0,1)</f>
        <v/>
      </c>
      <c r="FA41">
        <f>FA40*IF(OR($C40=52,$G40=52),0,1)</f>
        <v/>
      </c>
      <c r="FB41">
        <f>FB40*IF(OR($C40=53,$G40=53),0,1)</f>
        <v/>
      </c>
      <c r="FC41">
        <f>FC40*IF(OR($C40=54,$G40=54),0,1)</f>
        <v/>
      </c>
      <c r="FD41">
        <f>FD40*IF(OR($C40=55,$G40=55),0,1)</f>
        <v/>
      </c>
      <c r="FE41">
        <f>FE40*IF(OR($C40=56,$G40=56),0,1)</f>
        <v/>
      </c>
      <c r="FF41">
        <f>FF40*IF(OR($C40=57,$G40=57),0,1)</f>
        <v/>
      </c>
      <c r="FG41">
        <f>FG40*IF(OR($C40=58,$G40=58),0,1)</f>
        <v/>
      </c>
      <c r="FH41">
        <f>FH40*IF(OR($C40=59,$G40=59),0,1)</f>
        <v/>
      </c>
      <c r="FI41">
        <f>FI40*IF(OR($C40=60,$G40=60),0,1)</f>
        <v/>
      </c>
      <c r="FJ41">
        <f>FJ40*IF(OR($C40=61,$G40=61),0,1)</f>
        <v/>
      </c>
      <c r="FK41">
        <f>FK40*IF(OR($C40=62,$G40=62),0,1)</f>
        <v/>
      </c>
      <c r="FL41">
        <f>FL40*IF(OR($C40=63,$G40=63),0,1)</f>
        <v/>
      </c>
      <c r="FM41">
        <f>FM40*IF(OR($C40=64,$G40=64),0,1)</f>
        <v/>
      </c>
      <c r="FN41">
        <f>FN40*IF(OR($C40=65,$G40=65),0,1)</f>
        <v/>
      </c>
      <c r="FO41">
        <f>FO40*IF(OR($C40=66,$G40=66),0,1)</f>
        <v/>
      </c>
      <c r="FP41">
        <f>FP40*IF(OR($C40=67,$G40=67),0,1)</f>
        <v/>
      </c>
      <c r="FQ41">
        <f>FQ40*IF(OR($C40=68,$G40=68),0,1)</f>
        <v/>
      </c>
      <c r="FR41">
        <f>FR40*IF(OR($C40=69,$G40=69),0,1)</f>
        <v/>
      </c>
      <c r="FS41">
        <f>FS40*IF(OR($C40=70,$G40=70),0,1)</f>
        <v/>
      </c>
      <c r="FT41">
        <f>FT40*IF(OR($C40=71,$G40=71),0,1)</f>
        <v/>
      </c>
      <c r="FU41">
        <f>FU40*IF(OR($C40=72,$G40=72),0,1)</f>
        <v/>
      </c>
      <c r="FV41">
        <f>FV40*IF(OR($C40=73,$G40=73),0,1)</f>
        <v/>
      </c>
      <c r="FW41">
        <f>FW40*IF(OR($C40=74,$G40=74),0,1)</f>
        <v/>
      </c>
      <c r="FX41">
        <f>FX40*IF(OR($C40=75,$G40=75),0,1)</f>
        <v/>
      </c>
      <c r="FY41">
        <f>FY40*IF(OR($C40=76,$G40=76),0,1)</f>
        <v/>
      </c>
      <c r="FZ41">
        <f>FZ40*IF(OR($C40=77,$G40=77),0,1)</f>
        <v/>
      </c>
      <c r="GA41">
        <f>GA40*IF(OR($C40=78,$G40=78),0,1)</f>
        <v/>
      </c>
      <c r="GB41">
        <f>GB40*IF(OR($C40=79,$G40=79),0,1)</f>
        <v/>
      </c>
      <c r="GC41">
        <f>GC40*IF(OR($C40=80,$G40=80),0,1)</f>
        <v/>
      </c>
      <c r="GD41">
        <f>GD40*IF(OR($C40=81,$G40=81),0,1)</f>
        <v/>
      </c>
      <c r="GE41">
        <f>GE40*IF(OR($C40=82,$G40=82),0,1)</f>
        <v/>
      </c>
      <c r="GF41">
        <f>GF40*IF(OR($C40=83,$G40=83),0,1)</f>
        <v/>
      </c>
      <c r="GG41">
        <f>GG40*IF(OR($C40=84,$G40=84),0,1)</f>
        <v/>
      </c>
      <c r="GH41">
        <f>GH40*IF(OR($C40=85,$G40=85),0,1)</f>
        <v/>
      </c>
      <c r="GI41">
        <f>GI40*IF(OR($C40=86,$G40=86),0,1)</f>
        <v/>
      </c>
      <c r="GJ41">
        <f>GJ40*IF(OR($C40=87,$G40=87),0,1)</f>
        <v/>
      </c>
      <c r="GK41">
        <f>GK40*IF(OR($C40=88,$G40=88),0,1)</f>
        <v/>
      </c>
      <c r="GL41">
        <f>GL40*IF(OR($C40=89,$G40=89),0,1)</f>
        <v/>
      </c>
      <c r="GM41">
        <f>GM40*IF(OR($C40=90,$G40=90),0,1)</f>
        <v/>
      </c>
      <c r="GN41">
        <f>GN40*IF(OR($C40=91,$G40=91),0,1)</f>
        <v/>
      </c>
      <c r="GO41">
        <f>GO40*IF(OR($C40=92,$G40=92),0,1)</f>
        <v/>
      </c>
      <c r="GP41">
        <f>GP40*IF(OR($C40=93,$G40=93),0,1)</f>
        <v/>
      </c>
      <c r="GQ41">
        <f>GQ40*IF(OR($C40=94,$G40=94),0,1)</f>
        <v/>
      </c>
      <c r="GR41">
        <f>GR40*IF(OR($C40=95,$G40=95),0,1)</f>
        <v/>
      </c>
      <c r="GS41">
        <f>GS40*IF(OR($C40=96,$G40=96),0,1)</f>
        <v/>
      </c>
      <c r="GT41">
        <f>GT40*IF(OR($C40=97,$G40=97),0,1)</f>
        <v/>
      </c>
      <c r="GU41">
        <f>GU40*IF(OR($C40=98,$G40=98),0,1)</f>
        <v/>
      </c>
      <c r="GV41">
        <f>GV40*IF(OR($C40=99,$G40=99),0,1)</f>
        <v/>
      </c>
      <c r="GW41">
        <f>GW40*IF(OR($C40=100,$G40=100),0,1)</f>
        <v/>
      </c>
      <c r="GX41">
        <f>GX40*IF(OR($C40=101,$G40=101),0,1)</f>
        <v/>
      </c>
      <c r="GY41">
        <f>GY40*IF(OR($C40=102,$G40=102),0,1)</f>
        <v/>
      </c>
      <c r="GZ41">
        <f>GZ40*IF(OR($C40=103,$G40=103),0,1)</f>
        <v/>
      </c>
      <c r="HA41">
        <f>HA40*IF(OR($C40=104,$G40=104),0,1)</f>
        <v/>
      </c>
      <c r="HB41">
        <f>HB40*IF(OR($C40=105,$G40=105),0,1)</f>
        <v/>
      </c>
      <c r="HC41">
        <f>HC40*IF(OR($C40=106,$G40=106),0,1)</f>
        <v/>
      </c>
      <c r="HD41">
        <f>HD40*IF(OR($C40=107,$G40=107),0,1)</f>
        <v/>
      </c>
      <c r="HE41">
        <f>HE40*IF(OR($C40=108,$G40=108),0,1)</f>
        <v/>
      </c>
      <c r="HF41">
        <f>HF40*IF(OR($C40=109,$G40=109),0,1)</f>
        <v/>
      </c>
      <c r="HG41">
        <f>HG40*IF(OR($C40=110,$G40=110),0,1)</f>
        <v/>
      </c>
      <c r="HH41">
        <f>HH40*IF(OR($C40=111,$G40=111),0,1)</f>
        <v/>
      </c>
      <c r="HI41">
        <f>HI40*IF(OR($C40=112,$G40=112),0,1)</f>
        <v/>
      </c>
      <c r="HJ41">
        <f>HJ40*IF(OR($C40=113,$G40=113),0,1)</f>
        <v/>
      </c>
      <c r="HK41">
        <f>HK40*IF(OR($C40=114,$G40=114),0,1)</f>
        <v/>
      </c>
      <c r="HL41">
        <f>HL40*IF(OR($C40=115,$G40=115),0,1)</f>
        <v/>
      </c>
      <c r="HM41">
        <f>HM40*IF(OR($C40=116,$G40=116),0,1)</f>
        <v/>
      </c>
      <c r="HN41">
        <f>HN40*IF(OR($C40=117,$G40=117),0,1)</f>
        <v/>
      </c>
      <c r="HO41">
        <f>HO40*IF(OR($C40=118,$G40=118),0,1)</f>
        <v/>
      </c>
      <c r="HP41">
        <f>HP40*IF(OR($C40=119,$G40=119),0,1)</f>
        <v/>
      </c>
      <c r="HQ41">
        <f>HQ40*IF(OR($C40=120,$G40=120),0,1)</f>
        <v/>
      </c>
      <c r="HR41">
        <f>HR40*IF(OR($C40=121,$G40=121),0,1)</f>
        <v/>
      </c>
      <c r="HS41">
        <f>HS40*IF(OR($C40=122,$G40=122),0,1)</f>
        <v/>
      </c>
      <c r="HT41">
        <f>HT40*IF(OR($C40=123,$G40=123),0,1)</f>
        <v/>
      </c>
      <c r="HU41">
        <f>HU40*IF(OR($C40=124,$G40=124),0,1)</f>
        <v/>
      </c>
      <c r="HV41">
        <f>HV40*IF(OR($C40=125,$G40=125),0,1)</f>
        <v/>
      </c>
      <c r="HW41">
        <f>HW40*IF(OR($C40=126,$G40=126),0,1)</f>
        <v/>
      </c>
      <c r="HX41">
        <f>HX40*IF(OR($C40=127,$G40=127),0,1)</f>
        <v/>
      </c>
      <c r="HY41">
        <f>HY40*IF(OR($C40=128,$G40=128),0,1)</f>
        <v/>
      </c>
      <c r="HZ41">
        <f>HZ40*IF(OR($C40=129,$G40=129),0,1)</f>
        <v/>
      </c>
      <c r="IA41">
        <f>IA40*IF(OR($C40=130,$G40=130),0,1)</f>
        <v/>
      </c>
      <c r="IB41">
        <f>IB40*IF(OR($C40=131,$G40=131),0,1)</f>
        <v/>
      </c>
      <c r="IC41">
        <f>IC40*IF(OR($C40=132,$G40=132),0,1)</f>
        <v/>
      </c>
      <c r="ID41">
        <f>ID40*IF(OR($C40=133,$G40=133),0,1)</f>
        <v/>
      </c>
      <c r="IE41">
        <f>IE40*IF(OR($C40=134,$G40=134),0,1)</f>
        <v/>
      </c>
      <c r="IF41">
        <f>IF40*IF(OR($C40=135,$G40=135),0,1)</f>
        <v/>
      </c>
      <c r="IG41">
        <f>IG40*IF(OR($C40=136,$G40=136),0,1)</f>
        <v/>
      </c>
      <c r="IH41">
        <f>IH40*IF(OR($C40=137,$G40=137),0,1)</f>
        <v/>
      </c>
      <c r="II41">
        <f>II40*IF(OR($C40=138,$G40=138),0,1)</f>
        <v/>
      </c>
      <c r="IJ41">
        <f>IJ40*IF(OR($C40=139,$G40=139),0,1)</f>
        <v/>
      </c>
      <c r="IK41">
        <f>IK40*IF(OR($C40=140,$G40=140),0,1)</f>
        <v/>
      </c>
      <c r="IL41">
        <f>IL40*IF(OR($C40=141,$G40=141),0,1)</f>
        <v/>
      </c>
      <c r="IM41">
        <f>IM40*IF(OR($C40=142,$G40=142),0,1)</f>
        <v/>
      </c>
      <c r="IN41">
        <f>IN40*IF(OR($C40=143,$G40=143),0,1)</f>
        <v/>
      </c>
      <c r="IO41">
        <f>IO40*IF(OR($C40=144,$G40=144),0,1)</f>
        <v/>
      </c>
      <c r="IQ41">
        <f>IF('calcA'!D$106=1,DC41,1)</f>
        <v/>
      </c>
      <c r="IR41">
        <f>IF('calcA'!E$106=1,DD41,1)</f>
        <v/>
      </c>
      <c r="IS41">
        <f>IF('calcA'!F$106=1,DE41,1)</f>
        <v/>
      </c>
      <c r="IT41">
        <f>IF('calcA'!G$106=1,DF41,1)</f>
        <v/>
      </c>
      <c r="IU41">
        <f>IF('calcA'!H$106=1,DG41,1)</f>
        <v/>
      </c>
      <c r="IV41">
        <f>IF('calcA'!I$106=1,DH41,1)</f>
        <v/>
      </c>
      <c r="IW41">
        <f>IF('calcA'!J$106=1,DI41,1)</f>
        <v/>
      </c>
      <c r="IX41">
        <f>IF('calcA'!K$106=1,DJ41,1)</f>
        <v/>
      </c>
      <c r="IY41">
        <f>IF('calcA'!L$106=1,DK41,1)</f>
        <v/>
      </c>
      <c r="IZ41">
        <f>IF('calcA'!M$106=1,DL41,1)</f>
        <v/>
      </c>
      <c r="JA41">
        <f>IF('calcA'!N$106=1,DM41,1)</f>
        <v/>
      </c>
      <c r="JB41">
        <f>IF('calcA'!O$106=1,DN41,1)</f>
        <v/>
      </c>
      <c r="JC41">
        <f>IF('calcA'!P$106=1,DO41,1)</f>
        <v/>
      </c>
      <c r="JD41">
        <f>IF('calcA'!Q$106=1,DP41,1)</f>
        <v/>
      </c>
      <c r="JE41">
        <f>IF('calcA'!R$106=1,DQ41,1)</f>
        <v/>
      </c>
      <c r="JF41">
        <f>IF('calcA'!S$106=1,DR41,1)</f>
        <v/>
      </c>
      <c r="JG41">
        <f>IF('calcA'!T$106=1,DS41,1)</f>
        <v/>
      </c>
      <c r="JH41">
        <f>IF('calcA'!U$106=1,DT41,1)</f>
        <v/>
      </c>
      <c r="JI41">
        <f>IF('calcA'!V$106=1,DU41,1)</f>
        <v/>
      </c>
      <c r="JJ41">
        <f>IF('calcA'!W$106=1,DV41,1)</f>
        <v/>
      </c>
      <c r="JK41">
        <f>IF('calcA'!X$106=1,DW41,1)</f>
        <v/>
      </c>
      <c r="JL41">
        <f>IF('calcA'!Y$106=1,DX41,1)</f>
        <v/>
      </c>
      <c r="JM41">
        <f>IF('calcA'!Z$106=1,DY41,1)</f>
        <v/>
      </c>
      <c r="JN41">
        <f>IF('calcA'!AA$106=1,DZ41,1)</f>
        <v/>
      </c>
      <c r="JO41">
        <f>IF('calcA'!AB$106=1,EA41,1)</f>
        <v/>
      </c>
      <c r="JP41">
        <f>IF('calcA'!AC$106=1,EB41,1)</f>
        <v/>
      </c>
      <c r="JQ41">
        <f>IF('calcA'!AD$106=1,EC41,1)</f>
        <v/>
      </c>
      <c r="JR41">
        <f>IF('calcA'!AE$106=1,ED41,1)</f>
        <v/>
      </c>
      <c r="JS41">
        <f>IF('calcA'!AF$106=1,EE41,1)</f>
        <v/>
      </c>
      <c r="JT41">
        <f>IF('calcA'!AG$106=1,EF41,1)</f>
        <v/>
      </c>
      <c r="JU41">
        <f>IF('calcA'!AH$106=1,EG41,1)</f>
        <v/>
      </c>
      <c r="JV41">
        <f>IF('calcA'!AI$106=1,EH41,1)</f>
        <v/>
      </c>
      <c r="JW41">
        <f>IF('calcA'!AJ$106=1,EI41,1)</f>
        <v/>
      </c>
      <c r="JX41">
        <f>IF('calcA'!AK$106=1,EJ41,1)</f>
        <v/>
      </c>
      <c r="JY41">
        <f>IF('calcA'!AL$106=1,EK41,1)</f>
        <v/>
      </c>
      <c r="JZ41">
        <f>IF('calcA'!AM$106=1,EL41,1)</f>
        <v/>
      </c>
      <c r="KA41">
        <f>IF('calcA'!AN$106=1,EM41,1)</f>
        <v/>
      </c>
      <c r="KB41">
        <f>IF('calcA'!AO$106=1,EN41,1)</f>
        <v/>
      </c>
      <c r="KC41">
        <f>IF('calcA'!AP$106=1,EO41,1)</f>
        <v/>
      </c>
      <c r="KD41">
        <f>IF('calcA'!AQ$106=1,EP41,1)</f>
        <v/>
      </c>
      <c r="KE41">
        <f>IF('calcA'!AR$106=1,EQ41,1)</f>
        <v/>
      </c>
      <c r="KF41">
        <f>IF('calcA'!AS$106=1,ER41,1)</f>
        <v/>
      </c>
      <c r="KG41">
        <f>IF('calcA'!AT$106=1,ES41,1)</f>
        <v/>
      </c>
      <c r="KH41">
        <f>IF('calcA'!AU$106=1,ET41,1)</f>
        <v/>
      </c>
      <c r="KI41">
        <f>IF('calcA'!AV$106=1,EU41,1)</f>
        <v/>
      </c>
      <c r="KJ41">
        <f>IF('calcA'!AW$106=1,EV41,1)</f>
        <v/>
      </c>
      <c r="KK41">
        <f>IF('calcA'!AX$106=1,EW41,1)</f>
        <v/>
      </c>
      <c r="KL41">
        <f>IF('calcA'!AY$106=1,EX41,1)</f>
        <v/>
      </c>
      <c r="KM41">
        <f>IF('calcA'!AZ$106=1,EY41,1)</f>
        <v/>
      </c>
      <c r="KN41">
        <f>IF('calcA'!BA$106=1,EZ41,1)</f>
        <v/>
      </c>
      <c r="KO41">
        <f>IF('calcA'!BB$106=1,FA41,1)</f>
        <v/>
      </c>
      <c r="KP41">
        <f>IF('calcA'!BC$106=1,FB41,1)</f>
        <v/>
      </c>
      <c r="KQ41">
        <f>IF('calcA'!BD$106=1,FC41,1)</f>
        <v/>
      </c>
      <c r="KR41">
        <f>IF('calcA'!BE$106=1,FD41,1)</f>
        <v/>
      </c>
      <c r="KS41">
        <f>IF('calcA'!BF$106=1,FE41,1)</f>
        <v/>
      </c>
      <c r="KT41">
        <f>IF('calcA'!BG$106=1,FF41,1)</f>
        <v/>
      </c>
      <c r="KU41">
        <f>IF('calcA'!BH$106=1,FG41,1)</f>
        <v/>
      </c>
      <c r="KV41">
        <f>IF('calcA'!BI$106=1,FH41,1)</f>
        <v/>
      </c>
      <c r="KW41">
        <f>IF('calcA'!BJ$106=1,FI41,1)</f>
        <v/>
      </c>
      <c r="KX41">
        <f>IF('calcA'!BK$106=1,FJ41,1)</f>
        <v/>
      </c>
      <c r="KY41">
        <f>IF('calcA'!BL$106=1,FK41,1)</f>
        <v/>
      </c>
      <c r="KZ41">
        <f>IF('calcA'!BM$106=1,FL41,1)</f>
        <v/>
      </c>
      <c r="LA41">
        <f>IF('calcA'!BN$106=1,FM41,1)</f>
        <v/>
      </c>
      <c r="LB41">
        <f>IF('calcA'!BO$106=1,FN41,1)</f>
        <v/>
      </c>
      <c r="LC41">
        <f>IF('calcA'!BP$106=1,FO41,1)</f>
        <v/>
      </c>
      <c r="LD41">
        <f>IF('calcA'!BQ$106=1,FP41,1)</f>
        <v/>
      </c>
      <c r="LE41">
        <f>IF('calcA'!BR$106=1,FQ41,1)</f>
        <v/>
      </c>
      <c r="LF41">
        <f>IF('calcA'!BS$106=1,FR41,1)</f>
        <v/>
      </c>
      <c r="LG41">
        <f>IF('calcA'!BT$106=1,FS41,1)</f>
        <v/>
      </c>
      <c r="LH41">
        <f>IF('calcA'!BU$106=1,FT41,1)</f>
        <v/>
      </c>
      <c r="LI41">
        <f>IF('calcA'!BV$106=1,FU41,1)</f>
        <v/>
      </c>
      <c r="LJ41">
        <f>IF('calcA'!BW$106=1,FV41,1)</f>
        <v/>
      </c>
      <c r="LK41">
        <f>IF('calcA'!BX$106=1,FW41,1)</f>
        <v/>
      </c>
      <c r="LL41">
        <f>IF('calcA'!BY$106=1,FX41,1)</f>
        <v/>
      </c>
      <c r="LM41">
        <f>IF('calcA'!BZ$106=1,FY41,1)</f>
        <v/>
      </c>
      <c r="LN41">
        <f>IF('calcA'!CA$106=1,FZ41,1)</f>
        <v/>
      </c>
      <c r="LO41">
        <f>IF('calcA'!CB$106=1,GA41,1)</f>
        <v/>
      </c>
      <c r="LP41">
        <f>IF('calcA'!CC$106=1,GB41,1)</f>
        <v/>
      </c>
      <c r="LQ41">
        <f>IF('calcA'!CD$106=1,GC41,1)</f>
        <v/>
      </c>
      <c r="LR41">
        <f>IF('calcA'!CE$106=1,GD41,1)</f>
        <v/>
      </c>
      <c r="LS41">
        <f>IF('calcA'!CF$106=1,GE41,1)</f>
        <v/>
      </c>
      <c r="LT41">
        <f>IF('calcA'!CG$106=1,GF41,1)</f>
        <v/>
      </c>
      <c r="LU41">
        <f>IF('calcA'!CH$106=1,GG41,1)</f>
        <v/>
      </c>
      <c r="LV41">
        <f>IF('calcA'!CI$106=1,GH41,1)</f>
        <v/>
      </c>
      <c r="LW41">
        <f>IF('calcA'!CJ$106=1,GI41,1)</f>
        <v/>
      </c>
      <c r="LX41">
        <f>IF('calcA'!CK$106=1,GJ41,1)</f>
        <v/>
      </c>
      <c r="LY41">
        <f>IF('calcA'!CL$106=1,GK41,1)</f>
        <v/>
      </c>
      <c r="LZ41">
        <f>IF('calcA'!CM$106=1,GL41,1)</f>
        <v/>
      </c>
      <c r="MA41">
        <f>IF('calcA'!CN$106=1,GM41,1)</f>
        <v/>
      </c>
      <c r="MB41">
        <f>IF('calcA'!CO$106=1,GN41,1)</f>
        <v/>
      </c>
      <c r="MC41">
        <f>IF('calcA'!CP$106=1,GO41,1)</f>
        <v/>
      </c>
      <c r="MD41">
        <f>IF('calcA'!CQ$106=1,GP41,1)</f>
        <v/>
      </c>
      <c r="ME41">
        <f>IF('calcA'!CR$106=1,GQ41,1)</f>
        <v/>
      </c>
      <c r="MF41">
        <f>IF('calcA'!CS$106=1,GR41,1)</f>
        <v/>
      </c>
      <c r="MG41">
        <f>IF('calcA'!CT$106=1,GS41,1)</f>
        <v/>
      </c>
      <c r="MH41">
        <f>IF('calcA'!CU$106=1,GT41,1)</f>
        <v/>
      </c>
      <c r="MI41">
        <f>IF('calcA'!CV$106=1,GU41,1)</f>
        <v/>
      </c>
      <c r="MJ41">
        <f>IF('calcA'!CW$106=1,GV41,1)</f>
        <v/>
      </c>
      <c r="MK41">
        <f>IF('calcA'!CX$106=1,GW41,1)</f>
        <v/>
      </c>
      <c r="ML41">
        <f>IF('calcA'!CY$106=1,GX41,1)</f>
        <v/>
      </c>
      <c r="MM41">
        <f>IF('calcA'!CZ$106=1,GY41,1)</f>
        <v/>
      </c>
      <c r="MN41">
        <f>IF('calcA'!DA$106=1,GZ41,1)</f>
        <v/>
      </c>
      <c r="MO41">
        <f>IF('calcA'!DB$106=1,HA41,1)</f>
        <v/>
      </c>
      <c r="MP41">
        <f>IF('calcA'!DC$106=1,HB41,1)</f>
        <v/>
      </c>
      <c r="MQ41">
        <f>IF('calcA'!DD$106=1,HC41,1)</f>
        <v/>
      </c>
      <c r="MR41">
        <f>IF('calcA'!DE$106=1,HD41,1)</f>
        <v/>
      </c>
      <c r="MS41">
        <f>IF('calcA'!DF$106=1,HE41,1)</f>
        <v/>
      </c>
      <c r="MT41">
        <f>IF('calcA'!DG$106=1,HF41,1)</f>
        <v/>
      </c>
      <c r="MU41">
        <f>IF('calcA'!DH$106=1,HG41,1)</f>
        <v/>
      </c>
      <c r="MV41">
        <f>IF('calcA'!DI$106=1,HH41,1)</f>
        <v/>
      </c>
      <c r="MW41">
        <f>IF('calcA'!DJ$106=1,HI41,1)</f>
        <v/>
      </c>
      <c r="MX41">
        <f>IF('calcA'!DK$106=1,HJ41,1)</f>
        <v/>
      </c>
      <c r="MY41">
        <f>IF('calcA'!DL$106=1,HK41,1)</f>
        <v/>
      </c>
      <c r="MZ41">
        <f>IF('calcA'!DM$106=1,HL41,1)</f>
        <v/>
      </c>
      <c r="NA41">
        <f>IF('calcA'!DN$106=1,HM41,1)</f>
        <v/>
      </c>
      <c r="NB41">
        <f>IF('calcA'!DO$106=1,HN41,1)</f>
        <v/>
      </c>
      <c r="NC41">
        <f>IF('calcA'!DP$106=1,HO41,1)</f>
        <v/>
      </c>
      <c r="ND41">
        <f>IF('calcA'!DQ$106=1,HP41,1)</f>
        <v/>
      </c>
      <c r="NE41">
        <f>IF('calcA'!DR$106=1,HQ41,1)</f>
        <v/>
      </c>
      <c r="NF41">
        <f>IF('calcA'!DS$106=1,HR41,1)</f>
        <v/>
      </c>
      <c r="NG41">
        <f>IF('calcA'!DT$106=1,HS41,1)</f>
        <v/>
      </c>
      <c r="NH41">
        <f>IF('calcA'!DU$106=1,HT41,1)</f>
        <v/>
      </c>
      <c r="NI41">
        <f>IF('calcA'!DV$106=1,HU41,1)</f>
        <v/>
      </c>
      <c r="NJ41">
        <f>IF('calcA'!DW$106=1,HV41,1)</f>
        <v/>
      </c>
      <c r="NK41">
        <f>IF('calcA'!DX$106=1,HW41,1)</f>
        <v/>
      </c>
      <c r="NL41">
        <f>IF('calcA'!DY$106=1,HX41,1)</f>
        <v/>
      </c>
      <c r="NM41">
        <f>IF('calcA'!DZ$106=1,HY41,1)</f>
        <v/>
      </c>
      <c r="NN41">
        <f>IF('calcA'!EA$106=1,HZ41,1)</f>
        <v/>
      </c>
      <c r="NO41">
        <f>IF('calcA'!EB$106=1,IA41,1)</f>
        <v/>
      </c>
      <c r="NP41">
        <f>IF('calcA'!EC$106=1,IB41,1)</f>
        <v/>
      </c>
      <c r="NQ41">
        <f>IF('calcA'!ED$106=1,IC41,1)</f>
        <v/>
      </c>
      <c r="NR41">
        <f>IF('calcA'!EE$106=1,ID41,1)</f>
        <v/>
      </c>
      <c r="NS41">
        <f>IF('calcA'!EF$106=1,IE41,1)</f>
        <v/>
      </c>
      <c r="NT41">
        <f>IF('calcA'!EG$106=1,IF41,1)</f>
        <v/>
      </c>
      <c r="NU41">
        <f>IF('calcA'!EH$106=1,IG41,1)</f>
        <v/>
      </c>
      <c r="NV41">
        <f>IF('calcA'!EI$106=1,IH41,1)</f>
        <v/>
      </c>
      <c r="NW41">
        <f>IF('calcA'!EJ$106=1,II41,1)</f>
        <v/>
      </c>
      <c r="NX41">
        <f>IF('calcA'!EK$106=1,IJ41,1)</f>
        <v/>
      </c>
      <c r="NY41">
        <f>IF('calcA'!EL$106=1,IK41,1)</f>
        <v/>
      </c>
      <c r="NZ41">
        <f>IF('calcA'!EM$106=1,IL41,1)</f>
        <v/>
      </c>
      <c r="OA41">
        <f>IF('calcA'!EN$106=1,IM41,1)</f>
        <v/>
      </c>
      <c r="OB41">
        <f>IF('calcA'!EO$106=1,IN41,1)</f>
        <v/>
      </c>
      <c r="OC41">
        <f>IF('calcA'!EP$106=1,IO41,1)</f>
        <v/>
      </c>
      <c r="OD41" t="n">
        <v>1</v>
      </c>
      <c r="OF41">
        <f>IF($B41=0,1000000000,IF(INDEX('calcA'!$D$60:$EQ$99,$B41,1)*IF($W41=1,DB41+ZQ41,DB41)=1,IF(AND($E41=2,IF($W41=1,AFF41,IQ41)=0),1000000000,IF($V41=1,INDEX('calcA'!$D$130:$EQ$169,$B41,1)+IF(AND($E41=1,IQ41=0),25,0),INDEX('calcA'!D$110:D$114,$F41+1)+IF(AND($E41=1,IQ41=0),1000,0)+IF($H41=1,INDEX('calcA'!$D$180:$EQ$219,$B41,1)*500,0)-IF(AND($U41=1,'calcA'!D$117=1,DC41=0),300,0))),1000000000))</f>
        <v/>
      </c>
      <c r="OG41">
        <f>IF($B41=0,1000000000,IF(INDEX('calcA'!$D$60:$EQ$99,$B41,2)*IF($W41=1,DC41+ZR41,DC41)=1,IF(AND($E41=2,IF($W41=1,AFG41,IR41)=0),1000000000,IF($V41=1,INDEX('calcA'!$D$130:$EQ$169,$B41,2)+IF(AND($E41=1,IR41=0),25,0),INDEX('calcA'!E$110:E$114,$F41+1)+IF(AND($E41=1,IR41=0),1000,0)+IF($H41=1,INDEX('calcA'!$D$180:$EQ$219,$B41,2)*500,0)-IF(AND('calcA'!D$117=1,UB41&gt;0),300,0)-IF(AND($U41=1,'calcA'!E$117=1,DD41=0),300,0))),1000000000))</f>
        <v/>
      </c>
      <c r="OH41">
        <f>IF($B41=0,1000000000,IF(INDEX('calcA'!$D$60:$EQ$99,$B41,3)*IF($W41=1,DD41+ZS41,DD41)=1,IF(AND($E41=2,IF($W41=1,AFH41,IS41)=0),1000000000,IF($V41=1,INDEX('calcA'!$D$130:$EQ$169,$B41,3)+IF(AND($E41=1,IS41=0),25,0),INDEX('calcA'!F$110:F$114,$F41+1)+IF(AND($E41=1,IS41=0),1000,0)+IF($H41=1,INDEX('calcA'!$D$180:$EQ$219,$B41,3)*500,0)-IF(AND('calcA'!E$117=1,UC41&gt;0),300,0)-IF(AND($U41=1,'calcA'!F$117=1,DE41=0),300,0))),1000000000))</f>
        <v/>
      </c>
      <c r="OI41">
        <f>IF($B41=0,1000000000,IF(INDEX('calcA'!$D$60:$EQ$99,$B41,4)*IF($W41=1,DE41+ZT41,DE41)=1,IF(AND($E41=2,IF($W41=1,AFI41,IT41)=0),1000000000,IF($V41=1,INDEX('calcA'!$D$130:$EQ$169,$B41,4)+IF(AND($E41=1,IT41=0),25,0),INDEX('calcA'!G$110:G$114,$F41+1)+IF(AND($E41=1,IT41=0),1000,0)+IF($H41=1,INDEX('calcA'!$D$180:$EQ$219,$B41,4)*500,0)-IF(AND('calcA'!F$117=1,UD41&gt;0),300,0)-IF(AND($U41=1,'calcA'!G$117=1,DF41=0),300,0))),1000000000))</f>
        <v/>
      </c>
      <c r="OJ41">
        <f>IF($B41=0,1000000000,IF(INDEX('calcA'!$D$60:$EQ$99,$B41,5)*IF($W41=1,DF41+ZU41,DF41)=1,IF(AND($E41=2,IF($W41=1,AFJ41,IU41)=0),1000000000,IF($V41=1,INDEX('calcA'!$D$130:$EQ$169,$B41,5)+IF(AND($E41=1,IU41=0),25,0),INDEX('calcA'!H$110:H$114,$F41+1)+IF(AND($E41=1,IU41=0),1000,0)+IF($H41=1,INDEX('calcA'!$D$180:$EQ$219,$B41,5)*500,0)-IF(AND('calcA'!G$117=1,UE41&gt;0),300,0)-IF(AND($U41=1,'calcA'!H$117=1,DG41=0),300,0))),1000000000))</f>
        <v/>
      </c>
      <c r="OK41">
        <f>IF($B41=0,1000000000,IF(INDEX('calcA'!$D$60:$EQ$99,$B41,6)*IF($W41=1,DG41+ZV41,DG41)=1,IF(AND($E41=2,IF($W41=1,AFK41,IV41)=0),1000000000,IF($V41=1,INDEX('calcA'!$D$130:$EQ$169,$B41,6)+IF(AND($E41=1,IV41=0),25,0),INDEX('calcA'!I$110:I$114,$F41+1)+IF(AND($E41=1,IV41=0),1000,0)+IF($H41=1,INDEX('calcA'!$D$180:$EQ$219,$B41,6)*500,0)-IF(AND('calcA'!H$117=1,UF41&gt;0),300,0)-IF(AND($U41=1,'calcA'!I$117=1,DH41=0),300,0))),1000000000))</f>
        <v/>
      </c>
      <c r="OL41">
        <f>IF($B41=0,1000000000,IF(INDEX('calcA'!$D$60:$EQ$99,$B41,7)*IF($W41=1,DH41+ZW41,DH41)=1,IF(AND($E41=2,IF($W41=1,AFL41,IW41)=0),1000000000,IF($V41=1,INDEX('calcA'!$D$130:$EQ$169,$B41,7)+IF(AND($E41=1,IW41=0),25,0),INDEX('calcA'!J$110:J$114,$F41+1)+IF(AND($E41=1,IW41=0),1000,0)+IF($H41=1,INDEX('calcA'!$D$180:$EQ$219,$B41,7)*500,0)-IF(AND('calcA'!I$117=1,UG41&gt;0),300,0)-IF(AND($U41=1,'calcA'!J$117=1,DI41=0),300,0))),1000000000))</f>
        <v/>
      </c>
      <c r="OM41">
        <f>IF($B41=0,1000000000,IF(INDEX('calcA'!$D$60:$EQ$99,$B41,8)*IF($W41=1,DI41+ZX41,DI41)=1,IF(AND($E41=2,IF($W41=1,AFM41,IX41)=0),1000000000,IF($V41=1,INDEX('calcA'!$D$130:$EQ$169,$B41,8)+IF(AND($E41=1,IX41=0),25,0),INDEX('calcA'!K$110:K$114,$F41+1)+IF(AND($E41=1,IX41=0),1000,0)+IF($H41=1,INDEX('calcA'!$D$180:$EQ$219,$B41,8)*500,0)-IF(AND('calcA'!J$117=1,UH41&gt;0),300,0)-IF(AND($U41=1,'calcA'!K$117=1,DJ41=0),300,0))),1000000000))</f>
        <v/>
      </c>
      <c r="ON41">
        <f>IF($B41=0,1000000000,IF(INDEX('calcA'!$D$60:$EQ$99,$B41,9)*IF($W41=1,DJ41+ZY41,DJ41)=1,IF(AND($E41=2,IF($W41=1,AFN41,IY41)=0),1000000000,IF($V41=1,INDEX('calcA'!$D$130:$EQ$169,$B41,9)+IF(AND($E41=1,IY41=0),25,0),INDEX('calcA'!L$110:L$114,$F41+1)+IF(AND($E41=1,IY41=0),1000,0)+IF($H41=1,INDEX('calcA'!$D$180:$EQ$219,$B41,9)*500,0)-IF(AND('calcA'!K$117=1,UI41&gt;0),300,0)-IF(AND($U41=1,'calcA'!L$117=1,DK41=0),300,0))),1000000000))</f>
        <v/>
      </c>
      <c r="OO41">
        <f>IF($B41=0,1000000000,IF(INDEX('calcA'!$D$60:$EQ$99,$B41,10)*IF($W41=1,DK41+ZZ41,DK41)=1,IF(AND($E41=2,IF($W41=1,AFO41,IZ41)=0),1000000000,IF($V41=1,INDEX('calcA'!$D$130:$EQ$169,$B41,10)+IF(AND($E41=1,IZ41=0),25,0),INDEX('calcA'!M$110:M$114,$F41+1)+IF(AND($E41=1,IZ41=0),1000,0)+IF($H41=1,INDEX('calcA'!$D$180:$EQ$219,$B41,10)*500,0)-IF(AND('calcA'!L$117=1,UJ41&gt;0),300,0)-IF(AND($U41=1,'calcA'!M$117=1,DL41=0),300,0))),1000000000))</f>
        <v/>
      </c>
      <c r="OP41">
        <f>IF($B41=0,1000000000,IF(INDEX('calcA'!$D$60:$EQ$99,$B41,11)*IF($W41=1,DL41+AAA41,DL41)=1,IF(AND($E41=2,IF($W41=1,AFP41,JA41)=0),1000000000,IF($V41=1,INDEX('calcA'!$D$130:$EQ$169,$B41,11)+IF(AND($E41=1,JA41=0),25,0),INDEX('calcA'!N$110:N$114,$F41+1)+IF(AND($E41=1,JA41=0),1000,0)+IF($H41=1,INDEX('calcA'!$D$180:$EQ$219,$B41,11)*500,0)-IF(AND('calcA'!M$117=1,UK41&gt;0),300,0)-IF(AND($U41=1,'calcA'!N$117=1,DM41=0),300,0))),1000000000))</f>
        <v/>
      </c>
      <c r="OQ41">
        <f>IF($B41=0,1000000000,IF(INDEX('calcA'!$D$60:$EQ$99,$B41,12)*IF($W41=1,DM41+AAB41,DM41)=1,IF(AND($E41=2,IF($W41=1,AFQ41,JB41)=0),1000000000,IF($V41=1,INDEX('calcA'!$D$130:$EQ$169,$B41,12)+IF(AND($E41=1,JB41=0),25,0),INDEX('calcA'!O$110:O$114,$F41+1)+IF(AND($E41=1,JB41=0),1000,0)+IF($H41=1,INDEX('calcA'!$D$180:$EQ$219,$B41,12)*500,0)-IF(AND('calcA'!N$117=1,UL41&gt;0),300,0)-IF(AND($U41=1,'calcA'!O$117=1,DN41=0),300,0))),1000000000))</f>
        <v/>
      </c>
      <c r="OR41">
        <f>IF($B41=0,1000000000,IF(INDEX('calcA'!$D$60:$EQ$99,$B41,13)*IF($W41=1,DN41+AAC41,DN41)=1,IF(AND($E41=2,IF($W41=1,AFR41,JC41)=0),1000000000,IF($V41=1,INDEX('calcA'!$D$130:$EQ$169,$B41,13)+IF(AND($E41=1,JC41=0),25,0),INDEX('calcA'!P$110:P$114,$F41+1)+IF(AND($E41=1,JC41=0),1000,0)+IF($H41=1,INDEX('calcA'!$D$180:$EQ$219,$B41,13)*500,0)-IF(AND('calcA'!O$117=1,UM41&gt;0),300,0)-IF(AND($U41=1,'calcA'!P$117=1,DO41=0),300,0))),1000000000))</f>
        <v/>
      </c>
      <c r="OS41">
        <f>IF($B41=0,1000000000,IF(INDEX('calcA'!$D$60:$EQ$99,$B41,14)*IF($W41=1,DO41+AAD41,DO41)=1,IF(AND($E41=2,IF($W41=1,AFS41,JD41)=0),1000000000,IF($V41=1,INDEX('calcA'!$D$130:$EQ$169,$B41,14)+IF(AND($E41=1,JD41=0),25,0),INDEX('calcA'!Q$110:Q$114,$F41+1)+IF(AND($E41=1,JD41=0),1000,0)+IF($H41=1,INDEX('calcA'!$D$180:$EQ$219,$B41,14)*500,0)-IF(AND('calcA'!P$117=1,UN41&gt;0),300,0)-IF(AND($U41=1,'calcA'!Q$117=1,DP41=0),300,0))),1000000000))</f>
        <v/>
      </c>
      <c r="OT41">
        <f>IF($B41=0,1000000000,IF(INDEX('calcA'!$D$60:$EQ$99,$B41,15)*IF($W41=1,DP41+AAE41,DP41)=1,IF(AND($E41=2,IF($W41=1,AFT41,JE41)=0),1000000000,IF($V41=1,INDEX('calcA'!$D$130:$EQ$169,$B41,15)+IF(AND($E41=1,JE41=0),25,0),INDEX('calcA'!R$110:R$114,$F41+1)+IF(AND($E41=1,JE41=0),1000,0)+IF($H41=1,INDEX('calcA'!$D$180:$EQ$219,$B41,15)*500,0)-IF(AND('calcA'!Q$117=1,UO41&gt;0),300,0)-IF(AND($U41=1,'calcA'!R$117=1,DQ41=0),300,0))),1000000000))</f>
        <v/>
      </c>
      <c r="OU41">
        <f>IF($B41=0,1000000000,IF(INDEX('calcA'!$D$60:$EQ$99,$B41,16)*IF($W41=1,DQ41+AAF41,DQ41)=1,IF(AND($E41=2,IF($W41=1,AFU41,JF41)=0),1000000000,IF($V41=1,INDEX('calcA'!$D$130:$EQ$169,$B41,16)+IF(AND($E41=1,JF41=0),25,0),INDEX('calcA'!S$110:S$114,$F41+1)+IF(AND($E41=1,JF41=0),1000,0)+IF($H41=1,INDEX('calcA'!$D$180:$EQ$219,$B41,16)*500,0)-IF(AND('calcA'!R$117=1,UP41&gt;0),300,0)-IF(AND($U41=1,'calcA'!S$117=1,DR41=0),300,0))),1000000000))</f>
        <v/>
      </c>
      <c r="OV41">
        <f>IF($B41=0,1000000000,IF(INDEX('calcA'!$D$60:$EQ$99,$B41,17)*IF($W41=1,DR41+AAG41,DR41)=1,IF(AND($E41=2,IF($W41=1,AFV41,JG41)=0),1000000000,IF($V41=1,INDEX('calcA'!$D$130:$EQ$169,$B41,17)+IF(AND($E41=1,JG41=0),25,0),INDEX('calcA'!T$110:T$114,$F41+1)+IF(AND($E41=1,JG41=0),1000,0)+IF($H41=1,INDEX('calcA'!$D$180:$EQ$219,$B41,17)*500,0)-IF(AND('calcA'!S$117=1,UQ41&gt;0),300,0)-IF(AND($U41=1,'calcA'!T$117=1,DS41=0),300,0))),1000000000))</f>
        <v/>
      </c>
      <c r="OW41">
        <f>IF($B41=0,1000000000,IF(INDEX('calcA'!$D$60:$EQ$99,$B41,18)*IF($W41=1,DS41+AAH41,DS41)=1,IF(AND($E41=2,IF($W41=1,AFW41,JH41)=0),1000000000,IF($V41=1,INDEX('calcA'!$D$130:$EQ$169,$B41,18)+IF(AND($E41=1,JH41=0),25,0),INDEX('calcA'!U$110:U$114,$F41+1)+IF(AND($E41=1,JH41=0),1000,0)+IF($H41=1,INDEX('calcA'!$D$180:$EQ$219,$B41,18)*500,0)-IF(AND('calcA'!T$117=1,UR41&gt;0),300,0)-IF(AND($U41=1,'calcA'!U$117=1,DT41=0),300,0))),1000000000))</f>
        <v/>
      </c>
      <c r="OX41">
        <f>IF($B41=0,1000000000,IF(INDEX('calcA'!$D$60:$EQ$99,$B41,19)*IF($W41=1,DT41+AAI41,DT41)=1,IF(AND($E41=2,IF($W41=1,AFX41,JI41)=0),1000000000,IF($V41=1,INDEX('calcA'!$D$130:$EQ$169,$B41,19)+IF(AND($E41=1,JI41=0),25,0),INDEX('calcA'!V$110:V$114,$F41+1)+IF(AND($E41=1,JI41=0),1000,0)+IF($H41=1,INDEX('calcA'!$D$180:$EQ$219,$B41,19)*500,0)-IF(AND('calcA'!U$117=1,US41&gt;0),300,0)-IF(AND($U41=1,'calcA'!V$117=1,DU41=0),300,0))),1000000000))</f>
        <v/>
      </c>
      <c r="OY41">
        <f>IF($B41=0,1000000000,IF(INDEX('calcA'!$D$60:$EQ$99,$B41,20)*IF($W41=1,DU41+AAJ41,DU41)=1,IF(AND($E41=2,IF($W41=1,AFY41,JJ41)=0),1000000000,IF($V41=1,INDEX('calcA'!$D$130:$EQ$169,$B41,20)+IF(AND($E41=1,JJ41=0),25,0),INDEX('calcA'!W$110:W$114,$F41+1)+IF(AND($E41=1,JJ41=0),1000,0)+IF($H41=1,INDEX('calcA'!$D$180:$EQ$219,$B41,20)*500,0)-IF(AND('calcA'!V$117=1,UT41&gt;0),300,0)-IF(AND($U41=1,'calcA'!W$117=1,DV41=0),300,0))),1000000000))</f>
        <v/>
      </c>
      <c r="OZ41">
        <f>IF($B41=0,1000000000,IF(INDEX('calcA'!$D$60:$EQ$99,$B41,21)*IF($W41=1,DV41+AAK41,DV41)=1,IF(AND($E41=2,IF($W41=1,AFZ41,JK41)=0),1000000000,IF($V41=1,INDEX('calcA'!$D$130:$EQ$169,$B41,21)+IF(AND($E41=1,JK41=0),25,0),INDEX('calcA'!X$110:X$114,$F41+1)+IF(AND($E41=1,JK41=0),1000,0)+IF($H41=1,INDEX('calcA'!$D$180:$EQ$219,$B41,21)*500,0)-IF(AND('calcA'!W$117=1,UU41&gt;0),300,0)-IF(AND($U41=1,'calcA'!X$117=1,DW41=0),300,0))),1000000000))</f>
        <v/>
      </c>
      <c r="PA41">
        <f>IF($B41=0,1000000000,IF(INDEX('calcA'!$D$60:$EQ$99,$B41,22)*IF($W41=1,DW41+AAL41,DW41)=1,IF(AND($E41=2,IF($W41=1,AGA41,JL41)=0),1000000000,IF($V41=1,INDEX('calcA'!$D$130:$EQ$169,$B41,22)+IF(AND($E41=1,JL41=0),25,0),INDEX('calcA'!Y$110:Y$114,$F41+1)+IF(AND($E41=1,JL41=0),1000,0)+IF($H41=1,INDEX('calcA'!$D$180:$EQ$219,$B41,22)*500,0)-IF(AND('calcA'!X$117=1,UV41&gt;0),300,0)-IF(AND($U41=1,'calcA'!Y$117=1,DX41=0),300,0))),1000000000))</f>
        <v/>
      </c>
      <c r="PB41">
        <f>IF($B41=0,1000000000,IF(INDEX('calcA'!$D$60:$EQ$99,$B41,23)*IF($W41=1,DX41+AAM41,DX41)=1,IF(AND($E41=2,IF($W41=1,AGB41,JM41)=0),1000000000,IF($V41=1,INDEX('calcA'!$D$130:$EQ$169,$B41,23)+IF(AND($E41=1,JM41=0),25,0),INDEX('calcA'!Z$110:Z$114,$F41+1)+IF(AND($E41=1,JM41=0),1000,0)+IF($H41=1,INDEX('calcA'!$D$180:$EQ$219,$B41,23)*500,0)-IF(AND('calcA'!Y$117=1,UW41&gt;0),300,0)-IF(AND($U41=1,'calcA'!Z$117=1,DY41=0),300,0))),1000000000))</f>
        <v/>
      </c>
      <c r="PC41">
        <f>IF($B41=0,1000000000,IF(INDEX('calcA'!$D$60:$EQ$99,$B41,24)*IF($W41=1,DY41+AAN41,DY41)=1,IF(AND($E41=2,IF($W41=1,AGC41,JN41)=0),1000000000,IF($V41=1,INDEX('calcA'!$D$130:$EQ$169,$B41,24)+IF(AND($E41=1,JN41=0),25,0),INDEX('calcA'!AA$110:AA$114,$F41+1)+IF(AND($E41=1,JN41=0),1000,0)+IF($H41=1,INDEX('calcA'!$D$180:$EQ$219,$B41,24)*500,0)-IF(AND('calcA'!Z$117=1,UX41&gt;0),300,0))),1000000000))</f>
        <v/>
      </c>
      <c r="PD41">
        <f>IF($B41=0,1000000000,IF(INDEX('calcA'!$D$60:$EQ$99,$B41,25)*IF($W41=1,DZ41+AAO41,DZ41)=1,IF(AND($E41=2,IF($W41=1,AGD41,JO41)=0),1000000000,IF($V41=1,INDEX('calcA'!$D$130:$EQ$169,$B41,25)+IF(AND($E41=1,JO41=0),25,0),INDEX('calcA'!AB$110:AB$114,$F41+1)+IF(AND($E41=1,JO41=0),1000,0)+IF($H41=1,INDEX('calcA'!$D$180:$EQ$219,$B41,25)*500,0)-IF(AND($U41=1,'calcA'!AB$117=1,EA41=0),300,0))),1000000000))</f>
        <v/>
      </c>
      <c r="PE41">
        <f>IF($B41=0,1000000000,IF(INDEX('calcA'!$D$60:$EQ$99,$B41,26)*IF($W41=1,EA41+AAP41,EA41)=1,IF(AND($E41=2,IF($W41=1,AGE41,JP41)=0),1000000000,IF($V41=1,INDEX('calcA'!$D$130:$EQ$169,$B41,26)+IF(AND($E41=1,JP41=0),25,0),INDEX('calcA'!AC$110:AC$114,$F41+1)+IF(AND($E41=1,JP41=0),1000,0)+IF($H41=1,INDEX('calcA'!$D$180:$EQ$219,$B41,26)*500,0)-IF(AND('calcA'!AB$117=1,UZ41&gt;0),300,0)-IF(AND($U41=1,'calcA'!AC$117=1,EB41=0),300,0))),1000000000))</f>
        <v/>
      </c>
      <c r="PF41">
        <f>IF($B41=0,1000000000,IF(INDEX('calcA'!$D$60:$EQ$99,$B41,27)*IF($W41=1,EB41+AAQ41,EB41)=1,IF(AND($E41=2,IF($W41=1,AGF41,JQ41)=0),1000000000,IF($V41=1,INDEX('calcA'!$D$130:$EQ$169,$B41,27)+IF(AND($E41=1,JQ41=0),25,0),INDEX('calcA'!AD$110:AD$114,$F41+1)+IF(AND($E41=1,JQ41=0),1000,0)+IF($H41=1,INDEX('calcA'!$D$180:$EQ$219,$B41,27)*500,0)-IF(AND('calcA'!AC$117=1,VA41&gt;0),300,0)-IF(AND($U41=1,'calcA'!AD$117=1,EC41=0),300,0))),1000000000))</f>
        <v/>
      </c>
      <c r="PG41">
        <f>IF($B41=0,1000000000,IF(INDEX('calcA'!$D$60:$EQ$99,$B41,28)*IF($W41=1,EC41+AAR41,EC41)=1,IF(AND($E41=2,IF($W41=1,AGG41,JR41)=0),1000000000,IF($V41=1,INDEX('calcA'!$D$130:$EQ$169,$B41,28)+IF(AND($E41=1,JR41=0),25,0),INDEX('calcA'!AE$110:AE$114,$F41+1)+IF(AND($E41=1,JR41=0),1000,0)+IF($H41=1,INDEX('calcA'!$D$180:$EQ$219,$B41,28)*500,0)-IF(AND('calcA'!AD$117=1,VB41&gt;0),300,0)-IF(AND($U41=1,'calcA'!AE$117=1,ED41=0),300,0))),1000000000))</f>
        <v/>
      </c>
      <c r="PH41">
        <f>IF($B41=0,1000000000,IF(INDEX('calcA'!$D$60:$EQ$99,$B41,29)*IF($W41=1,ED41+AAS41,ED41)=1,IF(AND($E41=2,IF($W41=1,AGH41,JS41)=0),1000000000,IF($V41=1,INDEX('calcA'!$D$130:$EQ$169,$B41,29)+IF(AND($E41=1,JS41=0),25,0),INDEX('calcA'!AF$110:AF$114,$F41+1)+IF(AND($E41=1,JS41=0),1000,0)+IF($H41=1,INDEX('calcA'!$D$180:$EQ$219,$B41,29)*500,0)-IF(AND('calcA'!AE$117=1,VC41&gt;0),300,0)-IF(AND($U41=1,'calcA'!AF$117=1,EE41=0),300,0))),1000000000))</f>
        <v/>
      </c>
      <c r="PI41">
        <f>IF($B41=0,1000000000,IF(INDEX('calcA'!$D$60:$EQ$99,$B41,30)*IF($W41=1,EE41+AAT41,EE41)=1,IF(AND($E41=2,IF($W41=1,AGI41,JT41)=0),1000000000,IF($V41=1,INDEX('calcA'!$D$130:$EQ$169,$B41,30)+IF(AND($E41=1,JT41=0),25,0),INDEX('calcA'!AG$110:AG$114,$F41+1)+IF(AND($E41=1,JT41=0),1000,0)+IF($H41=1,INDEX('calcA'!$D$180:$EQ$219,$B41,30)*500,0)-IF(AND('calcA'!AF$117=1,VD41&gt;0),300,0)-IF(AND($U41=1,'calcA'!AG$117=1,EF41=0),300,0))),1000000000))</f>
        <v/>
      </c>
      <c r="PJ41">
        <f>IF($B41=0,1000000000,IF(INDEX('calcA'!$D$60:$EQ$99,$B41,31)*IF($W41=1,EF41+AAU41,EF41)=1,IF(AND($E41=2,IF($W41=1,AGJ41,JU41)=0),1000000000,IF($V41=1,INDEX('calcA'!$D$130:$EQ$169,$B41,31)+IF(AND($E41=1,JU41=0),25,0),INDEX('calcA'!AH$110:AH$114,$F41+1)+IF(AND($E41=1,JU41=0),1000,0)+IF($H41=1,INDEX('calcA'!$D$180:$EQ$219,$B41,31)*500,0)-IF(AND('calcA'!AG$117=1,VE41&gt;0),300,0)-IF(AND($U41=1,'calcA'!AH$117=1,EG41=0),300,0))),1000000000))</f>
        <v/>
      </c>
      <c r="PK41">
        <f>IF($B41=0,1000000000,IF(INDEX('calcA'!$D$60:$EQ$99,$B41,32)*IF($W41=1,EG41+AAV41,EG41)=1,IF(AND($E41=2,IF($W41=1,AGK41,JV41)=0),1000000000,IF($V41=1,INDEX('calcA'!$D$130:$EQ$169,$B41,32)+IF(AND($E41=1,JV41=0),25,0),INDEX('calcA'!AI$110:AI$114,$F41+1)+IF(AND($E41=1,JV41=0),1000,0)+IF($H41=1,INDEX('calcA'!$D$180:$EQ$219,$B41,32)*500,0)-IF(AND('calcA'!AH$117=1,VF41&gt;0),300,0)-IF(AND($U41=1,'calcA'!AI$117=1,EH41=0),300,0))),1000000000))</f>
        <v/>
      </c>
      <c r="PL41">
        <f>IF($B41=0,1000000000,IF(INDEX('calcA'!$D$60:$EQ$99,$B41,33)*IF($W41=1,EH41+AAW41,EH41)=1,IF(AND($E41=2,IF($W41=1,AGL41,JW41)=0),1000000000,IF($V41=1,INDEX('calcA'!$D$130:$EQ$169,$B41,33)+IF(AND($E41=1,JW41=0),25,0),INDEX('calcA'!AJ$110:AJ$114,$F41+1)+IF(AND($E41=1,JW41=0),1000,0)+IF($H41=1,INDEX('calcA'!$D$180:$EQ$219,$B41,33)*500,0)-IF(AND('calcA'!AI$117=1,VG41&gt;0),300,0)-IF(AND($U41=1,'calcA'!AJ$117=1,EI41=0),300,0))),1000000000))</f>
        <v/>
      </c>
      <c r="PM41">
        <f>IF($B41=0,1000000000,IF(INDEX('calcA'!$D$60:$EQ$99,$B41,34)*IF($W41=1,EI41+AAX41,EI41)=1,IF(AND($E41=2,IF($W41=1,AGM41,JX41)=0),1000000000,IF($V41=1,INDEX('calcA'!$D$130:$EQ$169,$B41,34)+IF(AND($E41=1,JX41=0),25,0),INDEX('calcA'!AK$110:AK$114,$F41+1)+IF(AND($E41=1,JX41=0),1000,0)+IF($H41=1,INDEX('calcA'!$D$180:$EQ$219,$B41,34)*500,0)-IF(AND('calcA'!AJ$117=1,VH41&gt;0),300,0)-IF(AND($U41=1,'calcA'!AK$117=1,EJ41=0),300,0))),1000000000))</f>
        <v/>
      </c>
      <c r="PN41">
        <f>IF($B41=0,1000000000,IF(INDEX('calcA'!$D$60:$EQ$99,$B41,35)*IF($W41=1,EJ41+AAY41,EJ41)=1,IF(AND($E41=2,IF($W41=1,AGN41,JY41)=0),1000000000,IF($V41=1,INDEX('calcA'!$D$130:$EQ$169,$B41,35)+IF(AND($E41=1,JY41=0),25,0),INDEX('calcA'!AL$110:AL$114,$F41+1)+IF(AND($E41=1,JY41=0),1000,0)+IF($H41=1,INDEX('calcA'!$D$180:$EQ$219,$B41,35)*500,0)-IF(AND('calcA'!AK$117=1,VI41&gt;0),300,0)-IF(AND($U41=1,'calcA'!AL$117=1,EK41=0),300,0))),1000000000))</f>
        <v/>
      </c>
      <c r="PO41">
        <f>IF($B41=0,1000000000,IF(INDEX('calcA'!$D$60:$EQ$99,$B41,36)*IF($W41=1,EK41+AAZ41,EK41)=1,IF(AND($E41=2,IF($W41=1,AGO41,JZ41)=0),1000000000,IF($V41=1,INDEX('calcA'!$D$130:$EQ$169,$B41,36)+IF(AND($E41=1,JZ41=0),25,0),INDEX('calcA'!AM$110:AM$114,$F41+1)+IF(AND($E41=1,JZ41=0),1000,0)+IF($H41=1,INDEX('calcA'!$D$180:$EQ$219,$B41,36)*500,0)-IF(AND('calcA'!AL$117=1,VJ41&gt;0),300,0)-IF(AND($U41=1,'calcA'!AM$117=1,EL41=0),300,0))),1000000000))</f>
        <v/>
      </c>
      <c r="PP41">
        <f>IF($B41=0,1000000000,IF(INDEX('calcA'!$D$60:$EQ$99,$B41,37)*IF($W41=1,EL41+ABA41,EL41)=1,IF(AND($E41=2,IF($W41=1,AGP41,KA41)=0),1000000000,IF($V41=1,INDEX('calcA'!$D$130:$EQ$169,$B41,37)+IF(AND($E41=1,KA41=0),25,0),INDEX('calcA'!AN$110:AN$114,$F41+1)+IF(AND($E41=1,KA41=0),1000,0)+IF($H41=1,INDEX('calcA'!$D$180:$EQ$219,$B41,37)*500,0)-IF(AND('calcA'!AM$117=1,VK41&gt;0),300,0)-IF(AND($U41=1,'calcA'!AN$117=1,EM41=0),300,0))),1000000000))</f>
        <v/>
      </c>
      <c r="PQ41">
        <f>IF($B41=0,1000000000,IF(INDEX('calcA'!$D$60:$EQ$99,$B41,38)*IF($W41=1,EM41+ABB41,EM41)=1,IF(AND($E41=2,IF($W41=1,AGQ41,KB41)=0),1000000000,IF($V41=1,INDEX('calcA'!$D$130:$EQ$169,$B41,38)+IF(AND($E41=1,KB41=0),25,0),INDEX('calcA'!AO$110:AO$114,$F41+1)+IF(AND($E41=1,KB41=0),1000,0)+IF($H41=1,INDEX('calcA'!$D$180:$EQ$219,$B41,38)*500,0)-IF(AND('calcA'!AN$117=1,VL41&gt;0),300,0)-IF(AND($U41=1,'calcA'!AO$117=1,EN41=0),300,0))),1000000000))</f>
        <v/>
      </c>
      <c r="PR41">
        <f>IF($B41=0,1000000000,IF(INDEX('calcA'!$D$60:$EQ$99,$B41,39)*IF($W41=1,EN41+ABC41,EN41)=1,IF(AND($E41=2,IF($W41=1,AGR41,KC41)=0),1000000000,IF($V41=1,INDEX('calcA'!$D$130:$EQ$169,$B41,39)+IF(AND($E41=1,KC41=0),25,0),INDEX('calcA'!AP$110:AP$114,$F41+1)+IF(AND($E41=1,KC41=0),1000,0)+IF($H41=1,INDEX('calcA'!$D$180:$EQ$219,$B41,39)*500,0)-IF(AND('calcA'!AO$117=1,VM41&gt;0),300,0)-IF(AND($U41=1,'calcA'!AP$117=1,EO41=0),300,0))),1000000000))</f>
        <v/>
      </c>
      <c r="PS41">
        <f>IF($B41=0,1000000000,IF(INDEX('calcA'!$D$60:$EQ$99,$B41,40)*IF($W41=1,EO41+ABD41,EO41)=1,IF(AND($E41=2,IF($W41=1,AGS41,KD41)=0),1000000000,IF($V41=1,INDEX('calcA'!$D$130:$EQ$169,$B41,40)+IF(AND($E41=1,KD41=0),25,0),INDEX('calcA'!AQ$110:AQ$114,$F41+1)+IF(AND($E41=1,KD41=0),1000,0)+IF($H41=1,INDEX('calcA'!$D$180:$EQ$219,$B41,40)*500,0)-IF(AND('calcA'!AP$117=1,VN41&gt;0),300,0)-IF(AND($U41=1,'calcA'!AQ$117=1,EP41=0),300,0))),1000000000))</f>
        <v/>
      </c>
      <c r="PT41">
        <f>IF($B41=0,1000000000,IF(INDEX('calcA'!$D$60:$EQ$99,$B41,41)*IF($W41=1,EP41+ABE41,EP41)=1,IF(AND($E41=2,IF($W41=1,AGT41,KE41)=0),1000000000,IF($V41=1,INDEX('calcA'!$D$130:$EQ$169,$B41,41)+IF(AND($E41=1,KE41=0),25,0),INDEX('calcA'!AR$110:AR$114,$F41+1)+IF(AND($E41=1,KE41=0),1000,0)+IF($H41=1,INDEX('calcA'!$D$180:$EQ$219,$B41,41)*500,0)-IF(AND('calcA'!AQ$117=1,VO41&gt;0),300,0)-IF(AND($U41=1,'calcA'!AR$117=1,EQ41=0),300,0))),1000000000))</f>
        <v/>
      </c>
      <c r="PU41">
        <f>IF($B41=0,1000000000,IF(INDEX('calcA'!$D$60:$EQ$99,$B41,42)*IF($W41=1,EQ41+ABF41,EQ41)=1,IF(AND($E41=2,IF($W41=1,AGU41,KF41)=0),1000000000,IF($V41=1,INDEX('calcA'!$D$130:$EQ$169,$B41,42)+IF(AND($E41=1,KF41=0),25,0),INDEX('calcA'!AS$110:AS$114,$F41+1)+IF(AND($E41=1,KF41=0),1000,0)+IF($H41=1,INDEX('calcA'!$D$180:$EQ$219,$B41,42)*500,0)-IF(AND('calcA'!AR$117=1,VP41&gt;0),300,0)-IF(AND($U41=1,'calcA'!AS$117=1,ER41=0),300,0))),1000000000))</f>
        <v/>
      </c>
      <c r="PV41">
        <f>IF($B41=0,1000000000,IF(INDEX('calcA'!$D$60:$EQ$99,$B41,43)*IF($W41=1,ER41+ABG41,ER41)=1,IF(AND($E41=2,IF($W41=1,AGV41,KG41)=0),1000000000,IF($V41=1,INDEX('calcA'!$D$130:$EQ$169,$B41,43)+IF(AND($E41=1,KG41=0),25,0),INDEX('calcA'!AT$110:AT$114,$F41+1)+IF(AND($E41=1,KG41=0),1000,0)+IF($H41=1,INDEX('calcA'!$D$180:$EQ$219,$B41,43)*500,0)-IF(AND('calcA'!AS$117=1,VQ41&gt;0),300,0)-IF(AND($U41=1,'calcA'!AT$117=1,ES41=0),300,0))),1000000000))</f>
        <v/>
      </c>
      <c r="PW41">
        <f>IF($B41=0,1000000000,IF(INDEX('calcA'!$D$60:$EQ$99,$B41,44)*IF($W41=1,ES41+ABH41,ES41)=1,IF(AND($E41=2,IF($W41=1,AGW41,KH41)=0),1000000000,IF($V41=1,INDEX('calcA'!$D$130:$EQ$169,$B41,44)+IF(AND($E41=1,KH41=0),25,0),INDEX('calcA'!AU$110:AU$114,$F41+1)+IF(AND($E41=1,KH41=0),1000,0)+IF($H41=1,INDEX('calcA'!$D$180:$EQ$219,$B41,44)*500,0)-IF(AND('calcA'!AT$117=1,VR41&gt;0),300,0)-IF(AND($U41=1,'calcA'!AU$117=1,ET41=0),300,0))),1000000000))</f>
        <v/>
      </c>
      <c r="PX41">
        <f>IF($B41=0,1000000000,IF(INDEX('calcA'!$D$60:$EQ$99,$B41,45)*IF($W41=1,ET41+ABI41,ET41)=1,IF(AND($E41=2,IF($W41=1,AGX41,KI41)=0),1000000000,IF($V41=1,INDEX('calcA'!$D$130:$EQ$169,$B41,45)+IF(AND($E41=1,KI41=0),25,0),INDEX('calcA'!AV$110:AV$114,$F41+1)+IF(AND($E41=1,KI41=0),1000,0)+IF($H41=1,INDEX('calcA'!$D$180:$EQ$219,$B41,45)*500,0)-IF(AND('calcA'!AU$117=1,VS41&gt;0),300,0)-IF(AND($U41=1,'calcA'!AV$117=1,EU41=0),300,0))),1000000000))</f>
        <v/>
      </c>
      <c r="PY41">
        <f>IF($B41=0,1000000000,IF(INDEX('calcA'!$D$60:$EQ$99,$B41,46)*IF($W41=1,EU41+ABJ41,EU41)=1,IF(AND($E41=2,IF($W41=1,AGY41,KJ41)=0),1000000000,IF($V41=1,INDEX('calcA'!$D$130:$EQ$169,$B41,46)+IF(AND($E41=1,KJ41=0),25,0),INDEX('calcA'!AW$110:AW$114,$F41+1)+IF(AND($E41=1,KJ41=0),1000,0)+IF($H41=1,INDEX('calcA'!$D$180:$EQ$219,$B41,46)*500,0)-IF(AND('calcA'!AV$117=1,VT41&gt;0),300,0)-IF(AND($U41=1,'calcA'!AW$117=1,EV41=0),300,0))),1000000000))</f>
        <v/>
      </c>
      <c r="PZ41">
        <f>IF($B41=0,1000000000,IF(INDEX('calcA'!$D$60:$EQ$99,$B41,47)*IF($W41=1,EV41+ABK41,EV41)=1,IF(AND($E41=2,IF($W41=1,AGZ41,KK41)=0),1000000000,IF($V41=1,INDEX('calcA'!$D$130:$EQ$169,$B41,47)+IF(AND($E41=1,KK41=0),25,0),INDEX('calcA'!AX$110:AX$114,$F41+1)+IF(AND($E41=1,KK41=0),1000,0)+IF($H41=1,INDEX('calcA'!$D$180:$EQ$219,$B41,47)*500,0)-IF(AND('calcA'!AW$117=1,VU41&gt;0),300,0)-IF(AND($U41=1,'calcA'!AX$117=1,EW41=0),300,0))),1000000000))</f>
        <v/>
      </c>
      <c r="QA41">
        <f>IF($B41=0,1000000000,IF(INDEX('calcA'!$D$60:$EQ$99,$B41,48)*IF($W41=1,EW41+ABL41,EW41)=1,IF(AND($E41=2,IF($W41=1,AHA41,KL41)=0),1000000000,IF($V41=1,INDEX('calcA'!$D$130:$EQ$169,$B41,48)+IF(AND($E41=1,KL41=0),25,0),INDEX('calcA'!AY$110:AY$114,$F41+1)+IF(AND($E41=1,KL41=0),1000,0)+IF($H41=1,INDEX('calcA'!$D$180:$EQ$219,$B41,48)*500,0)-IF(AND('calcA'!AX$117=1,VV41&gt;0),300,0))),1000000000))</f>
        <v/>
      </c>
      <c r="QB41">
        <f>IF($B41=0,1000000000,IF(INDEX('calcA'!$D$60:$EQ$99,$B41,49)*IF($W41=1,EX41+ABM41,EX41)=1,IF(AND($E41=2,IF($W41=1,AHB41,KM41)=0),1000000000,IF($V41=1,INDEX('calcA'!$D$130:$EQ$169,$B41,49)+IF(AND($E41=1,KM41=0),25,0),INDEX('calcA'!AZ$110:AZ$114,$F41+1)+IF(AND($E41=1,KM41=0),1000,0)+IF($H41=1,INDEX('calcA'!$D$180:$EQ$219,$B41,49)*500,0)-IF(AND($U41=1,'calcA'!AZ$117=1,EY41=0),300,0))),1000000000))</f>
        <v/>
      </c>
      <c r="QC41">
        <f>IF($B41=0,1000000000,IF(INDEX('calcA'!$D$60:$EQ$99,$B41,50)*IF($W41=1,EY41+ABN41,EY41)=1,IF(AND($E41=2,IF($W41=1,AHC41,KN41)=0),1000000000,IF($V41=1,INDEX('calcA'!$D$130:$EQ$169,$B41,50)+IF(AND($E41=1,KN41=0),25,0),INDEX('calcA'!BA$110:BA$114,$F41+1)+IF(AND($E41=1,KN41=0),1000,0)+IF($H41=1,INDEX('calcA'!$D$180:$EQ$219,$B41,50)*500,0)-IF(AND('calcA'!AZ$117=1,VX41&gt;0),300,0)-IF(AND($U41=1,'calcA'!BA$117=1,EZ41=0),300,0))),1000000000))</f>
        <v/>
      </c>
      <c r="QD41">
        <f>IF($B41=0,1000000000,IF(INDEX('calcA'!$D$60:$EQ$99,$B41,51)*IF($W41=1,EZ41+ABO41,EZ41)=1,IF(AND($E41=2,IF($W41=1,AHD41,KO41)=0),1000000000,IF($V41=1,INDEX('calcA'!$D$130:$EQ$169,$B41,51)+IF(AND($E41=1,KO41=0),25,0),INDEX('calcA'!BB$110:BB$114,$F41+1)+IF(AND($E41=1,KO41=0),1000,0)+IF($H41=1,INDEX('calcA'!$D$180:$EQ$219,$B41,51)*500,0)-IF(AND('calcA'!BA$117=1,VY41&gt;0),300,0)-IF(AND($U41=1,'calcA'!BB$117=1,FA41=0),300,0))),1000000000))</f>
        <v/>
      </c>
      <c r="QE41">
        <f>IF($B41=0,1000000000,IF(INDEX('calcA'!$D$60:$EQ$99,$B41,52)*IF($W41=1,FA41+ABP41,FA41)=1,IF(AND($E41=2,IF($W41=1,AHE41,KP41)=0),1000000000,IF($V41=1,INDEX('calcA'!$D$130:$EQ$169,$B41,52)+IF(AND($E41=1,KP41=0),25,0),INDEX('calcA'!BC$110:BC$114,$F41+1)+IF(AND($E41=1,KP41=0),1000,0)+IF($H41=1,INDEX('calcA'!$D$180:$EQ$219,$B41,52)*500,0)-IF(AND('calcA'!BB$117=1,VZ41&gt;0),300,0)-IF(AND($U41=1,'calcA'!BC$117=1,FB41=0),300,0))),1000000000))</f>
        <v/>
      </c>
      <c r="QF41">
        <f>IF($B41=0,1000000000,IF(INDEX('calcA'!$D$60:$EQ$99,$B41,53)*IF($W41=1,FB41+ABQ41,FB41)=1,IF(AND($E41=2,IF($W41=1,AHF41,KQ41)=0),1000000000,IF($V41=1,INDEX('calcA'!$D$130:$EQ$169,$B41,53)+IF(AND($E41=1,KQ41=0),25,0),INDEX('calcA'!BD$110:BD$114,$F41+1)+IF(AND($E41=1,KQ41=0),1000,0)+IF($H41=1,INDEX('calcA'!$D$180:$EQ$219,$B41,53)*500,0)-IF(AND('calcA'!BC$117=1,WA41&gt;0),300,0)-IF(AND($U41=1,'calcA'!BD$117=1,FC41=0),300,0))),1000000000))</f>
        <v/>
      </c>
      <c r="QG41">
        <f>IF($B41=0,1000000000,IF(INDEX('calcA'!$D$60:$EQ$99,$B41,54)*IF($W41=1,FC41+ABR41,FC41)=1,IF(AND($E41=2,IF($W41=1,AHG41,KR41)=0),1000000000,IF($V41=1,INDEX('calcA'!$D$130:$EQ$169,$B41,54)+IF(AND($E41=1,KR41=0),25,0),INDEX('calcA'!BE$110:BE$114,$F41+1)+IF(AND($E41=1,KR41=0),1000,0)+IF($H41=1,INDEX('calcA'!$D$180:$EQ$219,$B41,54)*500,0)-IF(AND('calcA'!BD$117=1,WB41&gt;0),300,0)-IF(AND($U41=1,'calcA'!BE$117=1,FD41=0),300,0))),1000000000))</f>
        <v/>
      </c>
      <c r="QH41">
        <f>IF($B41=0,1000000000,IF(INDEX('calcA'!$D$60:$EQ$99,$B41,55)*IF($W41=1,FD41+ABS41,FD41)=1,IF(AND($E41=2,IF($W41=1,AHH41,KS41)=0),1000000000,IF($V41=1,INDEX('calcA'!$D$130:$EQ$169,$B41,55)+IF(AND($E41=1,KS41=0),25,0),INDEX('calcA'!BF$110:BF$114,$F41+1)+IF(AND($E41=1,KS41=0),1000,0)+IF($H41=1,INDEX('calcA'!$D$180:$EQ$219,$B41,55)*500,0)-IF(AND('calcA'!BE$117=1,WC41&gt;0),300,0)-IF(AND($U41=1,'calcA'!BF$117=1,FE41=0),300,0))),1000000000))</f>
        <v/>
      </c>
      <c r="QI41">
        <f>IF($B41=0,1000000000,IF(INDEX('calcA'!$D$60:$EQ$99,$B41,56)*IF($W41=1,FE41+ABT41,FE41)=1,IF(AND($E41=2,IF($W41=1,AHI41,KT41)=0),1000000000,IF($V41=1,INDEX('calcA'!$D$130:$EQ$169,$B41,56)+IF(AND($E41=1,KT41=0),25,0),INDEX('calcA'!BG$110:BG$114,$F41+1)+IF(AND($E41=1,KT41=0),1000,0)+IF($H41=1,INDEX('calcA'!$D$180:$EQ$219,$B41,56)*500,0)-IF(AND('calcA'!BF$117=1,WD41&gt;0),300,0)-IF(AND($U41=1,'calcA'!BG$117=1,FF41=0),300,0))),1000000000))</f>
        <v/>
      </c>
      <c r="QJ41">
        <f>IF($B41=0,1000000000,IF(INDEX('calcA'!$D$60:$EQ$99,$B41,57)*IF($W41=1,FF41+ABU41,FF41)=1,IF(AND($E41=2,IF($W41=1,AHJ41,KU41)=0),1000000000,IF($V41=1,INDEX('calcA'!$D$130:$EQ$169,$B41,57)+IF(AND($E41=1,KU41=0),25,0),INDEX('calcA'!BH$110:BH$114,$F41+1)+IF(AND($E41=1,KU41=0),1000,0)+IF($H41=1,INDEX('calcA'!$D$180:$EQ$219,$B41,57)*500,0)-IF(AND('calcA'!BG$117=1,WE41&gt;0),300,0)-IF(AND($U41=1,'calcA'!BH$117=1,FG41=0),300,0))),1000000000))</f>
        <v/>
      </c>
      <c r="QK41">
        <f>IF($B41=0,1000000000,IF(INDEX('calcA'!$D$60:$EQ$99,$B41,58)*IF($W41=1,FG41+ABV41,FG41)=1,IF(AND($E41=2,IF($W41=1,AHK41,KV41)=0),1000000000,IF($V41=1,INDEX('calcA'!$D$130:$EQ$169,$B41,58)+IF(AND($E41=1,KV41=0),25,0),INDEX('calcA'!BI$110:BI$114,$F41+1)+IF(AND($E41=1,KV41=0),1000,0)+IF($H41=1,INDEX('calcA'!$D$180:$EQ$219,$B41,58)*500,0)-IF(AND('calcA'!BH$117=1,WF41&gt;0),300,0)-IF(AND($U41=1,'calcA'!BI$117=1,FH41=0),300,0))),1000000000))</f>
        <v/>
      </c>
      <c r="QL41">
        <f>IF($B41=0,1000000000,IF(INDEX('calcA'!$D$60:$EQ$99,$B41,59)*IF($W41=1,FH41+ABW41,FH41)=1,IF(AND($E41=2,IF($W41=1,AHL41,KW41)=0),1000000000,IF($V41=1,INDEX('calcA'!$D$130:$EQ$169,$B41,59)+IF(AND($E41=1,KW41=0),25,0),INDEX('calcA'!BJ$110:BJ$114,$F41+1)+IF(AND($E41=1,KW41=0),1000,0)+IF($H41=1,INDEX('calcA'!$D$180:$EQ$219,$B41,59)*500,0)-IF(AND('calcA'!BI$117=1,WG41&gt;0),300,0)-IF(AND($U41=1,'calcA'!BJ$117=1,FI41=0),300,0))),1000000000))</f>
        <v/>
      </c>
      <c r="QM41">
        <f>IF($B41=0,1000000000,IF(INDEX('calcA'!$D$60:$EQ$99,$B41,60)*IF($W41=1,FI41+ABX41,FI41)=1,IF(AND($E41=2,IF($W41=1,AHM41,KX41)=0),1000000000,IF($V41=1,INDEX('calcA'!$D$130:$EQ$169,$B41,60)+IF(AND($E41=1,KX41=0),25,0),INDEX('calcA'!BK$110:BK$114,$F41+1)+IF(AND($E41=1,KX41=0),1000,0)+IF($H41=1,INDEX('calcA'!$D$180:$EQ$219,$B41,60)*500,0)-IF(AND('calcA'!BJ$117=1,WH41&gt;0),300,0)-IF(AND($U41=1,'calcA'!BK$117=1,FJ41=0),300,0))),1000000000))</f>
        <v/>
      </c>
      <c r="QN41">
        <f>IF($B41=0,1000000000,IF(INDEX('calcA'!$D$60:$EQ$99,$B41,61)*IF($W41=1,FJ41+ABY41,FJ41)=1,IF(AND($E41=2,IF($W41=1,AHN41,KY41)=0),1000000000,IF($V41=1,INDEX('calcA'!$D$130:$EQ$169,$B41,61)+IF(AND($E41=1,KY41=0),25,0),INDEX('calcA'!BL$110:BL$114,$F41+1)+IF(AND($E41=1,KY41=0),1000,0)+IF($H41=1,INDEX('calcA'!$D$180:$EQ$219,$B41,61)*500,0)-IF(AND('calcA'!BK$117=1,WI41&gt;0),300,0)-IF(AND($U41=1,'calcA'!BL$117=1,FK41=0),300,0))),1000000000))</f>
        <v/>
      </c>
      <c r="QO41">
        <f>IF($B41=0,1000000000,IF(INDEX('calcA'!$D$60:$EQ$99,$B41,62)*IF($W41=1,FK41+ABZ41,FK41)=1,IF(AND($E41=2,IF($W41=1,AHO41,KZ41)=0),1000000000,IF($V41=1,INDEX('calcA'!$D$130:$EQ$169,$B41,62)+IF(AND($E41=1,KZ41=0),25,0),INDEX('calcA'!BM$110:BM$114,$F41+1)+IF(AND($E41=1,KZ41=0),1000,0)+IF($H41=1,INDEX('calcA'!$D$180:$EQ$219,$B41,62)*500,0)-IF(AND('calcA'!BL$117=1,WJ41&gt;0),300,0)-IF(AND($U41=1,'calcA'!BM$117=1,FL41=0),300,0))),1000000000))</f>
        <v/>
      </c>
      <c r="QP41">
        <f>IF($B41=0,1000000000,IF(INDEX('calcA'!$D$60:$EQ$99,$B41,63)*IF($W41=1,FL41+ACA41,FL41)=1,IF(AND($E41=2,IF($W41=1,AHP41,LA41)=0),1000000000,IF($V41=1,INDEX('calcA'!$D$130:$EQ$169,$B41,63)+IF(AND($E41=1,LA41=0),25,0),INDEX('calcA'!BN$110:BN$114,$F41+1)+IF(AND($E41=1,LA41=0),1000,0)+IF($H41=1,INDEX('calcA'!$D$180:$EQ$219,$B41,63)*500,0)-IF(AND('calcA'!BM$117=1,WK41&gt;0),300,0)-IF(AND($U41=1,'calcA'!BN$117=1,FM41=0),300,0))),1000000000))</f>
        <v/>
      </c>
      <c r="QQ41">
        <f>IF($B41=0,1000000000,IF(INDEX('calcA'!$D$60:$EQ$99,$B41,64)*IF($W41=1,FM41+ACB41,FM41)=1,IF(AND($E41=2,IF($W41=1,AHQ41,LB41)=0),1000000000,IF($V41=1,INDEX('calcA'!$D$130:$EQ$169,$B41,64)+IF(AND($E41=1,LB41=0),25,0),INDEX('calcA'!BO$110:BO$114,$F41+1)+IF(AND($E41=1,LB41=0),1000,0)+IF($H41=1,INDEX('calcA'!$D$180:$EQ$219,$B41,64)*500,0)-IF(AND('calcA'!BN$117=1,WL41&gt;0),300,0)-IF(AND($U41=1,'calcA'!BO$117=1,FN41=0),300,0))),1000000000))</f>
        <v/>
      </c>
      <c r="QR41">
        <f>IF($B41=0,1000000000,IF(INDEX('calcA'!$D$60:$EQ$99,$B41,65)*IF($W41=1,FN41+ACC41,FN41)=1,IF(AND($E41=2,IF($W41=1,AHR41,LC41)=0),1000000000,IF($V41=1,INDEX('calcA'!$D$130:$EQ$169,$B41,65)+IF(AND($E41=1,LC41=0),25,0),INDEX('calcA'!BP$110:BP$114,$F41+1)+IF(AND($E41=1,LC41=0),1000,0)+IF($H41=1,INDEX('calcA'!$D$180:$EQ$219,$B41,65)*500,0)-IF(AND('calcA'!BO$117=1,WM41&gt;0),300,0)-IF(AND($U41=1,'calcA'!BP$117=1,FO41=0),300,0))),1000000000))</f>
        <v/>
      </c>
      <c r="QS41">
        <f>IF($B41=0,1000000000,IF(INDEX('calcA'!$D$60:$EQ$99,$B41,66)*IF($W41=1,FO41+ACD41,FO41)=1,IF(AND($E41=2,IF($W41=1,AHS41,LD41)=0),1000000000,IF($V41=1,INDEX('calcA'!$D$130:$EQ$169,$B41,66)+IF(AND($E41=1,LD41=0),25,0),INDEX('calcA'!BQ$110:BQ$114,$F41+1)+IF(AND($E41=1,LD41=0),1000,0)+IF($H41=1,INDEX('calcA'!$D$180:$EQ$219,$B41,66)*500,0)-IF(AND('calcA'!BP$117=1,WN41&gt;0),300,0)-IF(AND($U41=1,'calcA'!BQ$117=1,FP41=0),300,0))),1000000000))</f>
        <v/>
      </c>
      <c r="QT41">
        <f>IF($B41=0,1000000000,IF(INDEX('calcA'!$D$60:$EQ$99,$B41,67)*IF($W41=1,FP41+ACE41,FP41)=1,IF(AND($E41=2,IF($W41=1,AHT41,LE41)=0),1000000000,IF($V41=1,INDEX('calcA'!$D$130:$EQ$169,$B41,67)+IF(AND($E41=1,LE41=0),25,0),INDEX('calcA'!BR$110:BR$114,$F41+1)+IF(AND($E41=1,LE41=0),1000,0)+IF($H41=1,INDEX('calcA'!$D$180:$EQ$219,$B41,67)*500,0)-IF(AND('calcA'!BQ$117=1,WO41&gt;0),300,0)-IF(AND($U41=1,'calcA'!BR$117=1,FQ41=0),300,0))),1000000000))</f>
        <v/>
      </c>
      <c r="QU41">
        <f>IF($B41=0,1000000000,IF(INDEX('calcA'!$D$60:$EQ$99,$B41,68)*IF($W41=1,FQ41+ACF41,FQ41)=1,IF(AND($E41=2,IF($W41=1,AHU41,LF41)=0),1000000000,IF($V41=1,INDEX('calcA'!$D$130:$EQ$169,$B41,68)+IF(AND($E41=1,LF41=0),25,0),INDEX('calcA'!BS$110:BS$114,$F41+1)+IF(AND($E41=1,LF41=0),1000,0)+IF($H41=1,INDEX('calcA'!$D$180:$EQ$219,$B41,68)*500,0)-IF(AND('calcA'!BR$117=1,WP41&gt;0),300,0)-IF(AND($U41=1,'calcA'!BS$117=1,FR41=0),300,0))),1000000000))</f>
        <v/>
      </c>
      <c r="QV41">
        <f>IF($B41=0,1000000000,IF(INDEX('calcA'!$D$60:$EQ$99,$B41,69)*IF($W41=1,FR41+ACG41,FR41)=1,IF(AND($E41=2,IF($W41=1,AHV41,LG41)=0),1000000000,IF($V41=1,INDEX('calcA'!$D$130:$EQ$169,$B41,69)+IF(AND($E41=1,LG41=0),25,0),INDEX('calcA'!BT$110:BT$114,$F41+1)+IF(AND($E41=1,LG41=0),1000,0)+IF($H41=1,INDEX('calcA'!$D$180:$EQ$219,$B41,69)*500,0)-IF(AND('calcA'!BS$117=1,WQ41&gt;0),300,0)-IF(AND($U41=1,'calcA'!BT$117=1,FS41=0),300,0))),1000000000))</f>
        <v/>
      </c>
      <c r="QW41">
        <f>IF($B41=0,1000000000,IF(INDEX('calcA'!$D$60:$EQ$99,$B41,70)*IF($W41=1,FS41+ACH41,FS41)=1,IF(AND($E41=2,IF($W41=1,AHW41,LH41)=0),1000000000,IF($V41=1,INDEX('calcA'!$D$130:$EQ$169,$B41,70)+IF(AND($E41=1,LH41=0),25,0),INDEX('calcA'!BU$110:BU$114,$F41+1)+IF(AND($E41=1,LH41=0),1000,0)+IF($H41=1,INDEX('calcA'!$D$180:$EQ$219,$B41,70)*500,0)-IF(AND('calcA'!BT$117=1,WR41&gt;0),300,0)-IF(AND($U41=1,'calcA'!BU$117=1,FT41=0),300,0))),1000000000))</f>
        <v/>
      </c>
      <c r="QX41">
        <f>IF($B41=0,1000000000,IF(INDEX('calcA'!$D$60:$EQ$99,$B41,71)*IF($W41=1,FT41+ACI41,FT41)=1,IF(AND($E41=2,IF($W41=1,AHX41,LI41)=0),1000000000,IF($V41=1,INDEX('calcA'!$D$130:$EQ$169,$B41,71)+IF(AND($E41=1,LI41=0),25,0),INDEX('calcA'!BV$110:BV$114,$F41+1)+IF(AND($E41=1,LI41=0),1000,0)+IF($H41=1,INDEX('calcA'!$D$180:$EQ$219,$B41,71)*500,0)-IF(AND('calcA'!BU$117=1,WS41&gt;0),300,0)-IF(AND($U41=1,'calcA'!BV$117=1,FU41=0),300,0))),1000000000))</f>
        <v/>
      </c>
      <c r="QY41">
        <f>IF($B41=0,1000000000,IF(INDEX('calcA'!$D$60:$EQ$99,$B41,72)*IF($W41=1,FU41+ACJ41,FU41)=1,IF(AND($E41=2,IF($W41=1,AHY41,LJ41)=0),1000000000,IF($V41=1,INDEX('calcA'!$D$130:$EQ$169,$B41,72)+IF(AND($E41=1,LJ41=0),25,0),INDEX('calcA'!BW$110:BW$114,$F41+1)+IF(AND($E41=1,LJ41=0),1000,0)+IF($H41=1,INDEX('calcA'!$D$180:$EQ$219,$B41,72)*500,0)-IF(AND('calcA'!BV$117=1,WT41&gt;0),300,0))),1000000000))</f>
        <v/>
      </c>
      <c r="QZ41">
        <f>IF($B41=0,1000000000,IF(INDEX('calcA'!$D$60:$EQ$99,$B41,73)*IF($W41=1,FV41+ACK41,FV41)=1,IF(AND($E41=2,IF($W41=1,AHZ41,LK41)=0),1000000000,IF($V41=1,INDEX('calcA'!$D$130:$EQ$169,$B41,73)+IF(AND($E41=1,LK41=0),25,0),INDEX('calcA'!BX$110:BX$114,$F41+1)+IF(AND($E41=1,LK41=0),1000,0)+IF($H41=1,INDEX('calcA'!$D$180:$EQ$219,$B41,73)*500,0)-IF(AND($U41=1,'calcA'!BX$117=1,FW41=0),300,0))),1000000000))</f>
        <v/>
      </c>
      <c r="RA41">
        <f>IF($B41=0,1000000000,IF(INDEX('calcA'!$D$60:$EQ$99,$B41,74)*IF($W41=1,FW41+ACL41,FW41)=1,IF(AND($E41=2,IF($W41=1,AIA41,LL41)=0),1000000000,IF($V41=1,INDEX('calcA'!$D$130:$EQ$169,$B41,74)+IF(AND($E41=1,LL41=0),25,0),INDEX('calcA'!BY$110:BY$114,$F41+1)+IF(AND($E41=1,LL41=0),1000,0)+IF($H41=1,INDEX('calcA'!$D$180:$EQ$219,$B41,74)*500,0)-IF(AND('calcA'!BX$117=1,WV41&gt;0),300,0)-IF(AND($U41=1,'calcA'!BY$117=1,FX41=0),300,0))),1000000000))</f>
        <v/>
      </c>
      <c r="RB41">
        <f>IF($B41=0,1000000000,IF(INDEX('calcA'!$D$60:$EQ$99,$B41,75)*IF($W41=1,FX41+ACM41,FX41)=1,IF(AND($E41=2,IF($W41=1,AIB41,LM41)=0),1000000000,IF($V41=1,INDEX('calcA'!$D$130:$EQ$169,$B41,75)+IF(AND($E41=1,LM41=0),25,0),INDEX('calcA'!BZ$110:BZ$114,$F41+1)+IF(AND($E41=1,LM41=0),1000,0)+IF($H41=1,INDEX('calcA'!$D$180:$EQ$219,$B41,75)*500,0)-IF(AND('calcA'!BY$117=1,WW41&gt;0),300,0)-IF(AND($U41=1,'calcA'!BZ$117=1,FY41=0),300,0))),1000000000))</f>
        <v/>
      </c>
      <c r="RC41">
        <f>IF($B41=0,1000000000,IF(INDEX('calcA'!$D$60:$EQ$99,$B41,76)*IF($W41=1,FY41+ACN41,FY41)=1,IF(AND($E41=2,IF($W41=1,AIC41,LN41)=0),1000000000,IF($V41=1,INDEX('calcA'!$D$130:$EQ$169,$B41,76)+IF(AND($E41=1,LN41=0),25,0),INDEX('calcA'!CA$110:CA$114,$F41+1)+IF(AND($E41=1,LN41=0),1000,0)+IF($H41=1,INDEX('calcA'!$D$180:$EQ$219,$B41,76)*500,0)-IF(AND('calcA'!BZ$117=1,WX41&gt;0),300,0)-IF(AND($U41=1,'calcA'!CA$117=1,FZ41=0),300,0))),1000000000))</f>
        <v/>
      </c>
      <c r="RD41">
        <f>IF($B41=0,1000000000,IF(INDEX('calcA'!$D$60:$EQ$99,$B41,77)*IF($W41=1,FZ41+ACO41,FZ41)=1,IF(AND($E41=2,IF($W41=1,AID41,LO41)=0),1000000000,IF($V41=1,INDEX('calcA'!$D$130:$EQ$169,$B41,77)+IF(AND($E41=1,LO41=0),25,0),INDEX('calcA'!CB$110:CB$114,$F41+1)+IF(AND($E41=1,LO41=0),1000,0)+IF($H41=1,INDEX('calcA'!$D$180:$EQ$219,$B41,77)*500,0)-IF(AND('calcA'!CA$117=1,WY41&gt;0),300,0)-IF(AND($U41=1,'calcA'!CB$117=1,GA41=0),300,0))),1000000000))</f>
        <v/>
      </c>
      <c r="RE41">
        <f>IF($B41=0,1000000000,IF(INDEX('calcA'!$D$60:$EQ$99,$B41,78)*IF($W41=1,GA41+ACP41,GA41)=1,IF(AND($E41=2,IF($W41=1,AIE41,LP41)=0),1000000000,IF($V41=1,INDEX('calcA'!$D$130:$EQ$169,$B41,78)+IF(AND($E41=1,LP41=0),25,0),INDEX('calcA'!CC$110:CC$114,$F41+1)+IF(AND($E41=1,LP41=0),1000,0)+IF($H41=1,INDEX('calcA'!$D$180:$EQ$219,$B41,78)*500,0)-IF(AND('calcA'!CB$117=1,WZ41&gt;0),300,0)-IF(AND($U41=1,'calcA'!CC$117=1,GB41=0),300,0))),1000000000))</f>
        <v/>
      </c>
      <c r="RF41">
        <f>IF($B41=0,1000000000,IF(INDEX('calcA'!$D$60:$EQ$99,$B41,79)*IF($W41=1,GB41+ACQ41,GB41)=1,IF(AND($E41=2,IF($W41=1,AIF41,LQ41)=0),1000000000,IF($V41=1,INDEX('calcA'!$D$130:$EQ$169,$B41,79)+IF(AND($E41=1,LQ41=0),25,0),INDEX('calcA'!CD$110:CD$114,$F41+1)+IF(AND($E41=1,LQ41=0),1000,0)+IF($H41=1,INDEX('calcA'!$D$180:$EQ$219,$B41,79)*500,0)-IF(AND('calcA'!CC$117=1,XA41&gt;0),300,0)-IF(AND($U41=1,'calcA'!CD$117=1,GC41=0),300,0))),1000000000))</f>
        <v/>
      </c>
      <c r="RG41">
        <f>IF($B41=0,1000000000,IF(INDEX('calcA'!$D$60:$EQ$99,$B41,80)*IF($W41=1,GC41+ACR41,GC41)=1,IF(AND($E41=2,IF($W41=1,AIG41,LR41)=0),1000000000,IF($V41=1,INDEX('calcA'!$D$130:$EQ$169,$B41,80)+IF(AND($E41=1,LR41=0),25,0),INDEX('calcA'!CE$110:CE$114,$F41+1)+IF(AND($E41=1,LR41=0),1000,0)+IF($H41=1,INDEX('calcA'!$D$180:$EQ$219,$B41,80)*500,0)-IF(AND('calcA'!CD$117=1,XB41&gt;0),300,0)-IF(AND($U41=1,'calcA'!CE$117=1,GD41=0),300,0))),1000000000))</f>
        <v/>
      </c>
      <c r="RH41">
        <f>IF($B41=0,1000000000,IF(INDEX('calcA'!$D$60:$EQ$99,$B41,81)*IF($W41=1,GD41+ACS41,GD41)=1,IF(AND($E41=2,IF($W41=1,AIH41,LS41)=0),1000000000,IF($V41=1,INDEX('calcA'!$D$130:$EQ$169,$B41,81)+IF(AND($E41=1,LS41=0),25,0),INDEX('calcA'!CF$110:CF$114,$F41+1)+IF(AND($E41=1,LS41=0),1000,0)+IF($H41=1,INDEX('calcA'!$D$180:$EQ$219,$B41,81)*500,0)-IF(AND('calcA'!CE$117=1,XC41&gt;0),300,0)-IF(AND($U41=1,'calcA'!CF$117=1,GE41=0),300,0))),1000000000))</f>
        <v/>
      </c>
      <c r="RI41">
        <f>IF($B41=0,1000000000,IF(INDEX('calcA'!$D$60:$EQ$99,$B41,82)*IF($W41=1,GE41+ACT41,GE41)=1,IF(AND($E41=2,IF($W41=1,AII41,LT41)=0),1000000000,IF($V41=1,INDEX('calcA'!$D$130:$EQ$169,$B41,82)+IF(AND($E41=1,LT41=0),25,0),INDEX('calcA'!CG$110:CG$114,$F41+1)+IF(AND($E41=1,LT41=0),1000,0)+IF($H41=1,INDEX('calcA'!$D$180:$EQ$219,$B41,82)*500,0)-IF(AND('calcA'!CF$117=1,XD41&gt;0),300,0)-IF(AND($U41=1,'calcA'!CG$117=1,GF41=0),300,0))),1000000000))</f>
        <v/>
      </c>
      <c r="RJ41">
        <f>IF($B41=0,1000000000,IF(INDEX('calcA'!$D$60:$EQ$99,$B41,83)*IF($W41=1,GF41+ACU41,GF41)=1,IF(AND($E41=2,IF($W41=1,AIJ41,LU41)=0),1000000000,IF($V41=1,INDEX('calcA'!$D$130:$EQ$169,$B41,83)+IF(AND($E41=1,LU41=0),25,0),INDEX('calcA'!CH$110:CH$114,$F41+1)+IF(AND($E41=1,LU41=0),1000,0)+IF($H41=1,INDEX('calcA'!$D$180:$EQ$219,$B41,83)*500,0)-IF(AND('calcA'!CG$117=1,XE41&gt;0),300,0)-IF(AND($U41=1,'calcA'!CH$117=1,GG41=0),300,0))),1000000000))</f>
        <v/>
      </c>
      <c r="RK41">
        <f>IF($B41=0,1000000000,IF(INDEX('calcA'!$D$60:$EQ$99,$B41,84)*IF($W41=1,GG41+ACV41,GG41)=1,IF(AND($E41=2,IF($W41=1,AIK41,LV41)=0),1000000000,IF($V41=1,INDEX('calcA'!$D$130:$EQ$169,$B41,84)+IF(AND($E41=1,LV41=0),25,0),INDEX('calcA'!CI$110:CI$114,$F41+1)+IF(AND($E41=1,LV41=0),1000,0)+IF($H41=1,INDEX('calcA'!$D$180:$EQ$219,$B41,84)*500,0)-IF(AND('calcA'!CH$117=1,XF41&gt;0),300,0)-IF(AND($U41=1,'calcA'!CI$117=1,GH41=0),300,0))),1000000000))</f>
        <v/>
      </c>
      <c r="RL41">
        <f>IF($B41=0,1000000000,IF(INDEX('calcA'!$D$60:$EQ$99,$B41,85)*IF($W41=1,GH41+ACW41,GH41)=1,IF(AND($E41=2,IF($W41=1,AIL41,LW41)=0),1000000000,IF($V41=1,INDEX('calcA'!$D$130:$EQ$169,$B41,85)+IF(AND($E41=1,LW41=0),25,0),INDEX('calcA'!CJ$110:CJ$114,$F41+1)+IF(AND($E41=1,LW41=0),1000,0)+IF($H41=1,INDEX('calcA'!$D$180:$EQ$219,$B41,85)*500,0)-IF(AND('calcA'!CI$117=1,XG41&gt;0),300,0)-IF(AND($U41=1,'calcA'!CJ$117=1,GI41=0),300,0))),1000000000))</f>
        <v/>
      </c>
      <c r="RM41">
        <f>IF($B41=0,1000000000,IF(INDEX('calcA'!$D$60:$EQ$99,$B41,86)*IF($W41=1,GI41+ACX41,GI41)=1,IF(AND($E41=2,IF($W41=1,AIM41,LX41)=0),1000000000,IF($V41=1,INDEX('calcA'!$D$130:$EQ$169,$B41,86)+IF(AND($E41=1,LX41=0),25,0),INDEX('calcA'!CK$110:CK$114,$F41+1)+IF(AND($E41=1,LX41=0),1000,0)+IF($H41=1,INDEX('calcA'!$D$180:$EQ$219,$B41,86)*500,0)-IF(AND('calcA'!CJ$117=1,XH41&gt;0),300,0)-IF(AND($U41=1,'calcA'!CK$117=1,GJ41=0),300,0))),1000000000))</f>
        <v/>
      </c>
      <c r="RN41">
        <f>IF($B41=0,1000000000,IF(INDEX('calcA'!$D$60:$EQ$99,$B41,87)*IF($W41=1,GJ41+ACY41,GJ41)=1,IF(AND($E41=2,IF($W41=1,AIN41,LY41)=0),1000000000,IF($V41=1,INDEX('calcA'!$D$130:$EQ$169,$B41,87)+IF(AND($E41=1,LY41=0),25,0),INDEX('calcA'!CL$110:CL$114,$F41+1)+IF(AND($E41=1,LY41=0),1000,0)+IF($H41=1,INDEX('calcA'!$D$180:$EQ$219,$B41,87)*500,0)-IF(AND('calcA'!CK$117=1,XI41&gt;0),300,0)-IF(AND($U41=1,'calcA'!CL$117=1,GK41=0),300,0))),1000000000))</f>
        <v/>
      </c>
      <c r="RO41">
        <f>IF($B41=0,1000000000,IF(INDEX('calcA'!$D$60:$EQ$99,$B41,88)*IF($W41=1,GK41+ACZ41,GK41)=1,IF(AND($E41=2,IF($W41=1,AIO41,LZ41)=0),1000000000,IF($V41=1,INDEX('calcA'!$D$130:$EQ$169,$B41,88)+IF(AND($E41=1,LZ41=0),25,0),INDEX('calcA'!CM$110:CM$114,$F41+1)+IF(AND($E41=1,LZ41=0),1000,0)+IF($H41=1,INDEX('calcA'!$D$180:$EQ$219,$B41,88)*500,0)-IF(AND('calcA'!CL$117=1,XJ41&gt;0),300,0)-IF(AND($U41=1,'calcA'!CM$117=1,GL41=0),300,0))),1000000000))</f>
        <v/>
      </c>
      <c r="RP41">
        <f>IF($B41=0,1000000000,IF(INDEX('calcA'!$D$60:$EQ$99,$B41,89)*IF($W41=1,GL41+ADA41,GL41)=1,IF(AND($E41=2,IF($W41=1,AIP41,MA41)=0),1000000000,IF($V41=1,INDEX('calcA'!$D$130:$EQ$169,$B41,89)+IF(AND($E41=1,MA41=0),25,0),INDEX('calcA'!CN$110:CN$114,$F41+1)+IF(AND($E41=1,MA41=0),1000,0)+IF($H41=1,INDEX('calcA'!$D$180:$EQ$219,$B41,89)*500,0)-IF(AND('calcA'!CM$117=1,XK41&gt;0),300,0)-IF(AND($U41=1,'calcA'!CN$117=1,GM41=0),300,0))),1000000000))</f>
        <v/>
      </c>
      <c r="RQ41">
        <f>IF($B41=0,1000000000,IF(INDEX('calcA'!$D$60:$EQ$99,$B41,90)*IF($W41=1,GM41+ADB41,GM41)=1,IF(AND($E41=2,IF($W41=1,AIQ41,MB41)=0),1000000000,IF($V41=1,INDEX('calcA'!$D$130:$EQ$169,$B41,90)+IF(AND($E41=1,MB41=0),25,0),INDEX('calcA'!CO$110:CO$114,$F41+1)+IF(AND($E41=1,MB41=0),1000,0)+IF($H41=1,INDEX('calcA'!$D$180:$EQ$219,$B41,90)*500,0)-IF(AND('calcA'!CN$117=1,XL41&gt;0),300,0)-IF(AND($U41=1,'calcA'!CO$117=1,GN41=0),300,0))),1000000000))</f>
        <v/>
      </c>
      <c r="RR41">
        <f>IF($B41=0,1000000000,IF(INDEX('calcA'!$D$60:$EQ$99,$B41,91)*IF($W41=1,GN41+ADC41,GN41)=1,IF(AND($E41=2,IF($W41=1,AIR41,MC41)=0),1000000000,IF($V41=1,INDEX('calcA'!$D$130:$EQ$169,$B41,91)+IF(AND($E41=1,MC41=0),25,0),INDEX('calcA'!CP$110:CP$114,$F41+1)+IF(AND($E41=1,MC41=0),1000,0)+IF($H41=1,INDEX('calcA'!$D$180:$EQ$219,$B41,91)*500,0)-IF(AND('calcA'!CO$117=1,XM41&gt;0),300,0)-IF(AND($U41=1,'calcA'!CP$117=1,GO41=0),300,0))),1000000000))</f>
        <v/>
      </c>
      <c r="RS41">
        <f>IF($B41=0,1000000000,IF(INDEX('calcA'!$D$60:$EQ$99,$B41,92)*IF($W41=1,GO41+ADD41,GO41)=1,IF(AND($E41=2,IF($W41=1,AIS41,MD41)=0),1000000000,IF($V41=1,INDEX('calcA'!$D$130:$EQ$169,$B41,92)+IF(AND($E41=1,MD41=0),25,0),INDEX('calcA'!CQ$110:CQ$114,$F41+1)+IF(AND($E41=1,MD41=0),1000,0)+IF($H41=1,INDEX('calcA'!$D$180:$EQ$219,$B41,92)*500,0)-IF(AND('calcA'!CP$117=1,XN41&gt;0),300,0)-IF(AND($U41=1,'calcA'!CQ$117=1,GP41=0),300,0))),1000000000))</f>
        <v/>
      </c>
      <c r="RT41">
        <f>IF($B41=0,1000000000,IF(INDEX('calcA'!$D$60:$EQ$99,$B41,93)*IF($W41=1,GP41+ADE41,GP41)=1,IF(AND($E41=2,IF($W41=1,AIT41,ME41)=0),1000000000,IF($V41=1,INDEX('calcA'!$D$130:$EQ$169,$B41,93)+IF(AND($E41=1,ME41=0),25,0),INDEX('calcA'!CR$110:CR$114,$F41+1)+IF(AND($E41=1,ME41=0),1000,0)+IF($H41=1,INDEX('calcA'!$D$180:$EQ$219,$B41,93)*500,0)-IF(AND('calcA'!CQ$117=1,XO41&gt;0),300,0)-IF(AND($U41=1,'calcA'!CR$117=1,GQ41=0),300,0))),1000000000))</f>
        <v/>
      </c>
      <c r="RU41">
        <f>IF($B41=0,1000000000,IF(INDEX('calcA'!$D$60:$EQ$99,$B41,94)*IF($W41=1,GQ41+ADF41,GQ41)=1,IF(AND($E41=2,IF($W41=1,AIU41,MF41)=0),1000000000,IF($V41=1,INDEX('calcA'!$D$130:$EQ$169,$B41,94)+IF(AND($E41=1,MF41=0),25,0),INDEX('calcA'!CS$110:CS$114,$F41+1)+IF(AND($E41=1,MF41=0),1000,0)+IF($H41=1,INDEX('calcA'!$D$180:$EQ$219,$B41,94)*500,0)-IF(AND('calcA'!CR$117=1,XP41&gt;0),300,0)-IF(AND($U41=1,'calcA'!CS$117=1,GR41=0),300,0))),1000000000))</f>
        <v/>
      </c>
      <c r="RV41">
        <f>IF($B41=0,1000000000,IF(INDEX('calcA'!$D$60:$EQ$99,$B41,95)*IF($W41=1,GR41+ADG41,GR41)=1,IF(AND($E41=2,IF($W41=1,AIV41,MG41)=0),1000000000,IF($V41=1,INDEX('calcA'!$D$130:$EQ$169,$B41,95)+IF(AND($E41=1,MG41=0),25,0),INDEX('calcA'!CT$110:CT$114,$F41+1)+IF(AND($E41=1,MG41=0),1000,0)+IF($H41=1,INDEX('calcA'!$D$180:$EQ$219,$B41,95)*500,0)-IF(AND('calcA'!CS$117=1,XQ41&gt;0),300,0)-IF(AND($U41=1,'calcA'!CT$117=1,GS41=0),300,0))),1000000000))</f>
        <v/>
      </c>
      <c r="RW41">
        <f>IF($B41=0,1000000000,IF(INDEX('calcA'!$D$60:$EQ$99,$B41,96)*IF($W41=1,GS41+ADH41,GS41)=1,IF(AND($E41=2,IF($W41=1,AIW41,MH41)=0),1000000000,IF($V41=1,INDEX('calcA'!$D$130:$EQ$169,$B41,96)+IF(AND($E41=1,MH41=0),25,0),INDEX('calcA'!CU$110:CU$114,$F41+1)+IF(AND($E41=1,MH41=0),1000,0)+IF($H41=1,INDEX('calcA'!$D$180:$EQ$219,$B41,96)*500,0)-IF(AND('calcA'!CT$117=1,XR41&gt;0),300,0))),1000000000))</f>
        <v/>
      </c>
      <c r="RX41">
        <f>IF($B41=0,1000000000,IF(INDEX('calcA'!$D$60:$EQ$99,$B41,97)*IF($W41=1,GT41+ADI41,GT41)=1,IF(AND($E41=2,IF($W41=1,AIX41,MI41)=0),1000000000,IF($V41=1,INDEX('calcA'!$D$130:$EQ$169,$B41,97)+IF(AND($E41=1,MI41=0),25,0),INDEX('calcA'!CV$110:CV$114,$F41+1)+IF(AND($E41=1,MI41=0),1000,0)+IF($H41=1,INDEX('calcA'!$D$180:$EQ$219,$B41,97)*500,0)-IF(AND($U41=1,'calcA'!CV$117=1,GU41=0),300,0))),1000000000))</f>
        <v/>
      </c>
      <c r="RY41">
        <f>IF($B41=0,1000000000,IF(INDEX('calcA'!$D$60:$EQ$99,$B41,98)*IF($W41=1,GU41+ADJ41,GU41)=1,IF(AND($E41=2,IF($W41=1,AIY41,MJ41)=0),1000000000,IF($V41=1,INDEX('calcA'!$D$130:$EQ$169,$B41,98)+IF(AND($E41=1,MJ41=0),25,0),INDEX('calcA'!CW$110:CW$114,$F41+1)+IF(AND($E41=1,MJ41=0),1000,0)+IF($H41=1,INDEX('calcA'!$D$180:$EQ$219,$B41,98)*500,0)-IF(AND('calcA'!CV$117=1,XT41&gt;0),300,0)-IF(AND($U41=1,'calcA'!CW$117=1,GV41=0),300,0))),1000000000))</f>
        <v/>
      </c>
      <c r="RZ41">
        <f>IF($B41=0,1000000000,IF(INDEX('calcA'!$D$60:$EQ$99,$B41,99)*IF($W41=1,GV41+ADK41,GV41)=1,IF(AND($E41=2,IF($W41=1,AIZ41,MK41)=0),1000000000,IF($V41=1,INDEX('calcA'!$D$130:$EQ$169,$B41,99)+IF(AND($E41=1,MK41=0),25,0),INDEX('calcA'!CX$110:CX$114,$F41+1)+IF(AND($E41=1,MK41=0),1000,0)+IF($H41=1,INDEX('calcA'!$D$180:$EQ$219,$B41,99)*500,0)-IF(AND('calcA'!CW$117=1,XU41&gt;0),300,0)-IF(AND($U41=1,'calcA'!CX$117=1,GW41=0),300,0))),1000000000))</f>
        <v/>
      </c>
      <c r="SA41">
        <f>IF($B41=0,1000000000,IF(INDEX('calcA'!$D$60:$EQ$99,$B41,100)*IF($W41=1,GW41+ADL41,GW41)=1,IF(AND($E41=2,IF($W41=1,AJA41,ML41)=0),1000000000,IF($V41=1,INDEX('calcA'!$D$130:$EQ$169,$B41,100)+IF(AND($E41=1,ML41=0),25,0),INDEX('calcA'!CY$110:CY$114,$F41+1)+IF(AND($E41=1,ML41=0),1000,0)+IF($H41=1,INDEX('calcA'!$D$180:$EQ$219,$B41,100)*500,0)-IF(AND('calcA'!CX$117=1,XV41&gt;0),300,0)-IF(AND($U41=1,'calcA'!CY$117=1,GX41=0),300,0))),1000000000))</f>
        <v/>
      </c>
      <c r="SB41">
        <f>IF($B41=0,1000000000,IF(INDEX('calcA'!$D$60:$EQ$99,$B41,101)*IF($W41=1,GX41+ADM41,GX41)=1,IF(AND($E41=2,IF($W41=1,AJB41,MM41)=0),1000000000,IF($V41=1,INDEX('calcA'!$D$130:$EQ$169,$B41,101)+IF(AND($E41=1,MM41=0),25,0),INDEX('calcA'!CZ$110:CZ$114,$F41+1)+IF(AND($E41=1,MM41=0),1000,0)+IF($H41=1,INDEX('calcA'!$D$180:$EQ$219,$B41,101)*500,0)-IF(AND('calcA'!CY$117=1,XW41&gt;0),300,0)-IF(AND($U41=1,'calcA'!CZ$117=1,GY41=0),300,0))),1000000000))</f>
        <v/>
      </c>
      <c r="SC41">
        <f>IF($B41=0,1000000000,IF(INDEX('calcA'!$D$60:$EQ$99,$B41,102)*IF($W41=1,GY41+ADN41,GY41)=1,IF(AND($E41=2,IF($W41=1,AJC41,MN41)=0),1000000000,IF($V41=1,INDEX('calcA'!$D$130:$EQ$169,$B41,102)+IF(AND($E41=1,MN41=0),25,0),INDEX('calcA'!DA$110:DA$114,$F41+1)+IF(AND($E41=1,MN41=0),1000,0)+IF($H41=1,INDEX('calcA'!$D$180:$EQ$219,$B41,102)*500,0)-IF(AND('calcA'!CZ$117=1,XX41&gt;0),300,0)-IF(AND($U41=1,'calcA'!DA$117=1,GZ41=0),300,0))),1000000000))</f>
        <v/>
      </c>
      <c r="SD41">
        <f>IF($B41=0,1000000000,IF(INDEX('calcA'!$D$60:$EQ$99,$B41,103)*IF($W41=1,GZ41+ADO41,GZ41)=1,IF(AND($E41=2,IF($W41=1,AJD41,MO41)=0),1000000000,IF($V41=1,INDEX('calcA'!$D$130:$EQ$169,$B41,103)+IF(AND($E41=1,MO41=0),25,0),INDEX('calcA'!DB$110:DB$114,$F41+1)+IF(AND($E41=1,MO41=0),1000,0)+IF($H41=1,INDEX('calcA'!$D$180:$EQ$219,$B41,103)*500,0)-IF(AND('calcA'!DA$117=1,XY41&gt;0),300,0)-IF(AND($U41=1,'calcA'!DB$117=1,HA41=0),300,0))),1000000000))</f>
        <v/>
      </c>
      <c r="SE41">
        <f>IF($B41=0,1000000000,IF(INDEX('calcA'!$D$60:$EQ$99,$B41,104)*IF($W41=1,HA41+ADP41,HA41)=1,IF(AND($E41=2,IF($W41=1,AJE41,MP41)=0),1000000000,IF($V41=1,INDEX('calcA'!$D$130:$EQ$169,$B41,104)+IF(AND($E41=1,MP41=0),25,0),INDEX('calcA'!DC$110:DC$114,$F41+1)+IF(AND($E41=1,MP41=0),1000,0)+IF($H41=1,INDEX('calcA'!$D$180:$EQ$219,$B41,104)*500,0)-IF(AND('calcA'!DB$117=1,XZ41&gt;0),300,0)-IF(AND($U41=1,'calcA'!DC$117=1,HB41=0),300,0))),1000000000))</f>
        <v/>
      </c>
      <c r="SF41">
        <f>IF($B41=0,1000000000,IF(INDEX('calcA'!$D$60:$EQ$99,$B41,105)*IF($W41=1,HB41+ADQ41,HB41)=1,IF(AND($E41=2,IF($W41=1,AJF41,MQ41)=0),1000000000,IF($V41=1,INDEX('calcA'!$D$130:$EQ$169,$B41,105)+IF(AND($E41=1,MQ41=0),25,0),INDEX('calcA'!DD$110:DD$114,$F41+1)+IF(AND($E41=1,MQ41=0),1000,0)+IF($H41=1,INDEX('calcA'!$D$180:$EQ$219,$B41,105)*500,0)-IF(AND('calcA'!DC$117=1,YA41&gt;0),300,0)-IF(AND($U41=1,'calcA'!DD$117=1,HC41=0),300,0))),1000000000))</f>
        <v/>
      </c>
      <c r="SG41">
        <f>IF($B41=0,1000000000,IF(INDEX('calcA'!$D$60:$EQ$99,$B41,106)*IF($W41=1,HC41+ADR41,HC41)=1,IF(AND($E41=2,IF($W41=1,AJG41,MR41)=0),1000000000,IF($V41=1,INDEX('calcA'!$D$130:$EQ$169,$B41,106)+IF(AND($E41=1,MR41=0),25,0),INDEX('calcA'!DE$110:DE$114,$F41+1)+IF(AND($E41=1,MR41=0),1000,0)+IF($H41=1,INDEX('calcA'!$D$180:$EQ$219,$B41,106)*500,0)-IF(AND('calcA'!DD$117=1,YB41&gt;0),300,0)-IF(AND($U41=1,'calcA'!DE$117=1,HD41=0),300,0))),1000000000))</f>
        <v/>
      </c>
      <c r="SH41">
        <f>IF($B41=0,1000000000,IF(INDEX('calcA'!$D$60:$EQ$99,$B41,107)*IF($W41=1,HD41+ADS41,HD41)=1,IF(AND($E41=2,IF($W41=1,AJH41,MS41)=0),1000000000,IF($V41=1,INDEX('calcA'!$D$130:$EQ$169,$B41,107)+IF(AND($E41=1,MS41=0),25,0),INDEX('calcA'!DF$110:DF$114,$F41+1)+IF(AND($E41=1,MS41=0),1000,0)+IF($H41=1,INDEX('calcA'!$D$180:$EQ$219,$B41,107)*500,0)-IF(AND('calcA'!DE$117=1,YC41&gt;0),300,0)-IF(AND($U41=1,'calcA'!DF$117=1,HE41=0),300,0))),1000000000))</f>
        <v/>
      </c>
      <c r="SI41">
        <f>IF($B41=0,1000000000,IF(INDEX('calcA'!$D$60:$EQ$99,$B41,108)*IF($W41=1,HE41+ADT41,HE41)=1,IF(AND($E41=2,IF($W41=1,AJI41,MT41)=0),1000000000,IF($V41=1,INDEX('calcA'!$D$130:$EQ$169,$B41,108)+IF(AND($E41=1,MT41=0),25,0),INDEX('calcA'!DG$110:DG$114,$F41+1)+IF(AND($E41=1,MT41=0),1000,0)+IF($H41=1,INDEX('calcA'!$D$180:$EQ$219,$B41,108)*500,0)-IF(AND('calcA'!DF$117=1,YD41&gt;0),300,0)-IF(AND($U41=1,'calcA'!DG$117=1,HF41=0),300,0))),1000000000))</f>
        <v/>
      </c>
      <c r="SJ41">
        <f>IF($B41=0,1000000000,IF(INDEX('calcA'!$D$60:$EQ$99,$B41,109)*IF($W41=1,HF41+ADU41,HF41)=1,IF(AND($E41=2,IF($W41=1,AJJ41,MU41)=0),1000000000,IF($V41=1,INDEX('calcA'!$D$130:$EQ$169,$B41,109)+IF(AND($E41=1,MU41=0),25,0),INDEX('calcA'!DH$110:DH$114,$F41+1)+IF(AND($E41=1,MU41=0),1000,0)+IF($H41=1,INDEX('calcA'!$D$180:$EQ$219,$B41,109)*500,0)-IF(AND('calcA'!DG$117=1,YE41&gt;0),300,0)-IF(AND($U41=1,'calcA'!DH$117=1,HG41=0),300,0))),1000000000))</f>
        <v/>
      </c>
      <c r="SK41">
        <f>IF($B41=0,1000000000,IF(INDEX('calcA'!$D$60:$EQ$99,$B41,110)*IF($W41=1,HG41+ADV41,HG41)=1,IF(AND($E41=2,IF($W41=1,AJK41,MV41)=0),1000000000,IF($V41=1,INDEX('calcA'!$D$130:$EQ$169,$B41,110)+IF(AND($E41=1,MV41=0),25,0),INDEX('calcA'!DI$110:DI$114,$F41+1)+IF(AND($E41=1,MV41=0),1000,0)+IF($H41=1,INDEX('calcA'!$D$180:$EQ$219,$B41,110)*500,0)-IF(AND('calcA'!DH$117=1,YF41&gt;0),300,0)-IF(AND($U41=1,'calcA'!DI$117=1,HH41=0),300,0))),1000000000))</f>
        <v/>
      </c>
      <c r="SL41">
        <f>IF($B41=0,1000000000,IF(INDEX('calcA'!$D$60:$EQ$99,$B41,111)*IF($W41=1,HH41+ADW41,HH41)=1,IF(AND($E41=2,IF($W41=1,AJL41,MW41)=0),1000000000,IF($V41=1,INDEX('calcA'!$D$130:$EQ$169,$B41,111)+IF(AND($E41=1,MW41=0),25,0),INDEX('calcA'!DJ$110:DJ$114,$F41+1)+IF(AND($E41=1,MW41=0),1000,0)+IF($H41=1,INDEX('calcA'!$D$180:$EQ$219,$B41,111)*500,0)-IF(AND('calcA'!DI$117=1,YG41&gt;0),300,0)-IF(AND($U41=1,'calcA'!DJ$117=1,HI41=0),300,0))),1000000000))</f>
        <v/>
      </c>
      <c r="SM41">
        <f>IF($B41=0,1000000000,IF(INDEX('calcA'!$D$60:$EQ$99,$B41,112)*IF($W41=1,HI41+ADX41,HI41)=1,IF(AND($E41=2,IF($W41=1,AJM41,MX41)=0),1000000000,IF($V41=1,INDEX('calcA'!$D$130:$EQ$169,$B41,112)+IF(AND($E41=1,MX41=0),25,0),INDEX('calcA'!DK$110:DK$114,$F41+1)+IF(AND($E41=1,MX41=0),1000,0)+IF($H41=1,INDEX('calcA'!$D$180:$EQ$219,$B41,112)*500,0)-IF(AND('calcA'!DJ$117=1,YH41&gt;0),300,0)-IF(AND($U41=1,'calcA'!DK$117=1,HJ41=0),300,0))),1000000000))</f>
        <v/>
      </c>
      <c r="SN41">
        <f>IF($B41=0,1000000000,IF(INDEX('calcA'!$D$60:$EQ$99,$B41,113)*IF($W41=1,HJ41+ADY41,HJ41)=1,IF(AND($E41=2,IF($W41=1,AJN41,MY41)=0),1000000000,IF($V41=1,INDEX('calcA'!$D$130:$EQ$169,$B41,113)+IF(AND($E41=1,MY41=0),25,0),INDEX('calcA'!DL$110:DL$114,$F41+1)+IF(AND($E41=1,MY41=0),1000,0)+IF($H41=1,INDEX('calcA'!$D$180:$EQ$219,$B41,113)*500,0)-IF(AND('calcA'!DK$117=1,YI41&gt;0),300,0)-IF(AND($U41=1,'calcA'!DL$117=1,HK41=0),300,0))),1000000000))</f>
        <v/>
      </c>
      <c r="SO41">
        <f>IF($B41=0,1000000000,IF(INDEX('calcA'!$D$60:$EQ$99,$B41,114)*IF($W41=1,HK41+ADZ41,HK41)=1,IF(AND($E41=2,IF($W41=1,AJO41,MZ41)=0),1000000000,IF($V41=1,INDEX('calcA'!$D$130:$EQ$169,$B41,114)+IF(AND($E41=1,MZ41=0),25,0),INDEX('calcA'!DM$110:DM$114,$F41+1)+IF(AND($E41=1,MZ41=0),1000,0)+IF($H41=1,INDEX('calcA'!$D$180:$EQ$219,$B41,114)*500,0)-IF(AND('calcA'!DL$117=1,YJ41&gt;0),300,0)-IF(AND($U41=1,'calcA'!DM$117=1,HL41=0),300,0))),1000000000))</f>
        <v/>
      </c>
      <c r="SP41">
        <f>IF($B41=0,1000000000,IF(INDEX('calcA'!$D$60:$EQ$99,$B41,115)*IF($W41=1,HL41+AEA41,HL41)=1,IF(AND($E41=2,IF($W41=1,AJP41,NA41)=0),1000000000,IF($V41=1,INDEX('calcA'!$D$130:$EQ$169,$B41,115)+IF(AND($E41=1,NA41=0),25,0),INDEX('calcA'!DN$110:DN$114,$F41+1)+IF(AND($E41=1,NA41=0),1000,0)+IF($H41=1,INDEX('calcA'!$D$180:$EQ$219,$B41,115)*500,0)-IF(AND('calcA'!DM$117=1,YK41&gt;0),300,0)-IF(AND($U41=1,'calcA'!DN$117=1,HM41=0),300,0))),1000000000))</f>
        <v/>
      </c>
      <c r="SQ41">
        <f>IF($B41=0,1000000000,IF(INDEX('calcA'!$D$60:$EQ$99,$B41,116)*IF($W41=1,HM41+AEB41,HM41)=1,IF(AND($E41=2,IF($W41=1,AJQ41,NB41)=0),1000000000,IF($V41=1,INDEX('calcA'!$D$130:$EQ$169,$B41,116)+IF(AND($E41=1,NB41=0),25,0),INDEX('calcA'!DO$110:DO$114,$F41+1)+IF(AND($E41=1,NB41=0),1000,0)+IF($H41=1,INDEX('calcA'!$D$180:$EQ$219,$B41,116)*500,0)-IF(AND('calcA'!DN$117=1,YL41&gt;0),300,0)-IF(AND($U41=1,'calcA'!DO$117=1,HN41=0),300,0))),1000000000))</f>
        <v/>
      </c>
      <c r="SR41">
        <f>IF($B41=0,1000000000,IF(INDEX('calcA'!$D$60:$EQ$99,$B41,117)*IF($W41=1,HN41+AEC41,HN41)=1,IF(AND($E41=2,IF($W41=1,AJR41,NC41)=0),1000000000,IF($V41=1,INDEX('calcA'!$D$130:$EQ$169,$B41,117)+IF(AND($E41=1,NC41=0),25,0),INDEX('calcA'!DP$110:DP$114,$F41+1)+IF(AND($E41=1,NC41=0),1000,0)+IF($H41=1,INDEX('calcA'!$D$180:$EQ$219,$B41,117)*500,0)-IF(AND('calcA'!DO$117=1,YM41&gt;0),300,0)-IF(AND($U41=1,'calcA'!DP$117=1,HO41=0),300,0))),1000000000))</f>
        <v/>
      </c>
      <c r="SS41">
        <f>IF($B41=0,1000000000,IF(INDEX('calcA'!$D$60:$EQ$99,$B41,118)*IF($W41=1,HO41+AED41,HO41)=1,IF(AND($E41=2,IF($W41=1,AJS41,ND41)=0),1000000000,IF($V41=1,INDEX('calcA'!$D$130:$EQ$169,$B41,118)+IF(AND($E41=1,ND41=0),25,0),INDEX('calcA'!DQ$110:DQ$114,$F41+1)+IF(AND($E41=1,ND41=0),1000,0)+IF($H41=1,INDEX('calcA'!$D$180:$EQ$219,$B41,118)*500,0)-IF(AND('calcA'!DP$117=1,YN41&gt;0),300,0)-IF(AND($U41=1,'calcA'!DQ$117=1,HP41=0),300,0))),1000000000))</f>
        <v/>
      </c>
      <c r="ST41">
        <f>IF($B41=0,1000000000,IF(INDEX('calcA'!$D$60:$EQ$99,$B41,119)*IF($W41=1,HP41+AEE41,HP41)=1,IF(AND($E41=2,IF($W41=1,AJT41,NE41)=0),1000000000,IF($V41=1,INDEX('calcA'!$D$130:$EQ$169,$B41,119)+IF(AND($E41=1,NE41=0),25,0),INDEX('calcA'!DR$110:DR$114,$F41+1)+IF(AND($E41=1,NE41=0),1000,0)+IF($H41=1,INDEX('calcA'!$D$180:$EQ$219,$B41,119)*500,0)-IF(AND('calcA'!DQ$117=1,YO41&gt;0),300,0)-IF(AND($U41=1,'calcA'!DR$117=1,HQ41=0),300,0))),1000000000))</f>
        <v/>
      </c>
      <c r="SU41">
        <f>IF($B41=0,1000000000,IF(INDEX('calcA'!$D$60:$EQ$99,$B41,120)*IF($W41=1,HQ41+AEF41,HQ41)=1,IF(AND($E41=2,IF($W41=1,AJU41,NF41)=0),1000000000,IF($V41=1,INDEX('calcA'!$D$130:$EQ$169,$B41,120)+IF(AND($E41=1,NF41=0),25,0),INDEX('calcA'!DS$110:DS$114,$F41+1)+IF(AND($E41=1,NF41=0),1000,0)+IF($H41=1,INDEX('calcA'!$D$180:$EQ$219,$B41,120)*500,0)-IF(AND('calcA'!DR$117=1,YP41&gt;0),300,0))),1000000000))</f>
        <v/>
      </c>
      <c r="SV41">
        <f>IF($B41=0,1000000000,IF(INDEX('calcA'!$D$60:$EQ$99,$B41,121)*IF($W41=1,HR41+AEG41,HR41)=1,IF(AND($E41=2,IF($W41=1,AJV41,NG41)=0),1000000000,IF($V41=1,INDEX('calcA'!$D$130:$EQ$169,$B41,121)+IF(AND($E41=1,NG41=0),25,0),INDEX('calcA'!DT$110:DT$114,$F41+1)+IF(AND($E41=1,NG41=0),1000,0)+IF($H41=1,INDEX('calcA'!$D$180:$EQ$219,$B41,121)*500,0)-IF(AND($U41=1,'calcA'!DT$117=1,HS41=0),300,0))),1000000000))</f>
        <v/>
      </c>
      <c r="SW41">
        <f>IF($B41=0,1000000000,IF(INDEX('calcA'!$D$60:$EQ$99,$B41,122)*IF($W41=1,HS41+AEH41,HS41)=1,IF(AND($E41=2,IF($W41=1,AJW41,NH41)=0),1000000000,IF($V41=1,INDEX('calcA'!$D$130:$EQ$169,$B41,122)+IF(AND($E41=1,NH41=0),25,0),INDEX('calcA'!DU$110:DU$114,$F41+1)+IF(AND($E41=1,NH41=0),1000,0)+IF($H41=1,INDEX('calcA'!$D$180:$EQ$219,$B41,122)*500,0)-IF(AND('calcA'!DT$117=1,YR41&gt;0),300,0)-IF(AND($U41=1,'calcA'!DU$117=1,HT41=0),300,0))),1000000000))</f>
        <v/>
      </c>
      <c r="SX41">
        <f>IF($B41=0,1000000000,IF(INDEX('calcA'!$D$60:$EQ$99,$B41,123)*IF($W41=1,HT41+AEI41,HT41)=1,IF(AND($E41=2,IF($W41=1,AJX41,NI41)=0),1000000000,IF($V41=1,INDEX('calcA'!$D$130:$EQ$169,$B41,123)+IF(AND($E41=1,NI41=0),25,0),INDEX('calcA'!DV$110:DV$114,$F41+1)+IF(AND($E41=1,NI41=0),1000,0)+IF($H41=1,INDEX('calcA'!$D$180:$EQ$219,$B41,123)*500,0)-IF(AND('calcA'!DU$117=1,YS41&gt;0),300,0)-IF(AND($U41=1,'calcA'!DV$117=1,HU41=0),300,0))),1000000000))</f>
        <v/>
      </c>
      <c r="SY41">
        <f>IF($B41=0,1000000000,IF(INDEX('calcA'!$D$60:$EQ$99,$B41,124)*IF($W41=1,HU41+AEJ41,HU41)=1,IF(AND($E41=2,IF($W41=1,AJY41,NJ41)=0),1000000000,IF($V41=1,INDEX('calcA'!$D$130:$EQ$169,$B41,124)+IF(AND($E41=1,NJ41=0),25,0),INDEX('calcA'!DW$110:DW$114,$F41+1)+IF(AND($E41=1,NJ41=0),1000,0)+IF($H41=1,INDEX('calcA'!$D$180:$EQ$219,$B41,124)*500,0)-IF(AND('calcA'!DV$117=1,YT41&gt;0),300,0)-IF(AND($U41=1,'calcA'!DW$117=1,HV41=0),300,0))),1000000000))</f>
        <v/>
      </c>
      <c r="SZ41">
        <f>IF($B41=0,1000000000,IF(INDEX('calcA'!$D$60:$EQ$99,$B41,125)*IF($W41=1,HV41+AEK41,HV41)=1,IF(AND($E41=2,IF($W41=1,AJZ41,NK41)=0),1000000000,IF($V41=1,INDEX('calcA'!$D$130:$EQ$169,$B41,125)+IF(AND($E41=1,NK41=0),25,0),INDEX('calcA'!DX$110:DX$114,$F41+1)+IF(AND($E41=1,NK41=0),1000,0)+IF($H41=1,INDEX('calcA'!$D$180:$EQ$219,$B41,125)*500,0)-IF(AND('calcA'!DW$117=1,YU41&gt;0),300,0)-IF(AND($U41=1,'calcA'!DX$117=1,HW41=0),300,0))),1000000000))</f>
        <v/>
      </c>
      <c r="TA41">
        <f>IF($B41=0,1000000000,IF(INDEX('calcA'!$D$60:$EQ$99,$B41,126)*IF($W41=1,HW41+AEL41,HW41)=1,IF(AND($E41=2,IF($W41=1,AKA41,NL41)=0),1000000000,IF($V41=1,INDEX('calcA'!$D$130:$EQ$169,$B41,126)+IF(AND($E41=1,NL41=0),25,0),INDEX('calcA'!DY$110:DY$114,$F41+1)+IF(AND($E41=1,NL41=0),1000,0)+IF($H41=1,INDEX('calcA'!$D$180:$EQ$219,$B41,126)*500,0)-IF(AND('calcA'!DX$117=1,YV41&gt;0),300,0)-IF(AND($U41=1,'calcA'!DY$117=1,HX41=0),300,0))),1000000000))</f>
        <v/>
      </c>
      <c r="TB41">
        <f>IF($B41=0,1000000000,IF(INDEX('calcA'!$D$60:$EQ$99,$B41,127)*IF($W41=1,HX41+AEM41,HX41)=1,IF(AND($E41=2,IF($W41=1,AKB41,NM41)=0),1000000000,IF($V41=1,INDEX('calcA'!$D$130:$EQ$169,$B41,127)+IF(AND($E41=1,NM41=0),25,0),INDEX('calcA'!DZ$110:DZ$114,$F41+1)+IF(AND($E41=1,NM41=0),1000,0)+IF($H41=1,INDEX('calcA'!$D$180:$EQ$219,$B41,127)*500,0)-IF(AND('calcA'!DY$117=1,YW41&gt;0),300,0)-IF(AND($U41=1,'calcA'!DZ$117=1,HY41=0),300,0))),1000000000))</f>
        <v/>
      </c>
      <c r="TC41">
        <f>IF($B41=0,1000000000,IF(INDEX('calcA'!$D$60:$EQ$99,$B41,128)*IF($W41=1,HY41+AEN41,HY41)=1,IF(AND($E41=2,IF($W41=1,AKC41,NN41)=0),1000000000,IF($V41=1,INDEX('calcA'!$D$130:$EQ$169,$B41,128)+IF(AND($E41=1,NN41=0),25,0),INDEX('calcA'!EA$110:EA$114,$F41+1)+IF(AND($E41=1,NN41=0),1000,0)+IF($H41=1,INDEX('calcA'!$D$180:$EQ$219,$B41,128)*500,0)-IF(AND('calcA'!DZ$117=1,YX41&gt;0),300,0)-IF(AND($U41=1,'calcA'!EA$117=1,HZ41=0),300,0))),1000000000))</f>
        <v/>
      </c>
      <c r="TD41">
        <f>IF($B41=0,1000000000,IF(INDEX('calcA'!$D$60:$EQ$99,$B41,129)*IF($W41=1,HZ41+AEO41,HZ41)=1,IF(AND($E41=2,IF($W41=1,AKD41,NO41)=0),1000000000,IF($V41=1,INDEX('calcA'!$D$130:$EQ$169,$B41,129)+IF(AND($E41=1,NO41=0),25,0),INDEX('calcA'!EB$110:EB$114,$F41+1)+IF(AND($E41=1,NO41=0),1000,0)+IF($H41=1,INDEX('calcA'!$D$180:$EQ$219,$B41,129)*500,0)-IF(AND('calcA'!EA$117=1,YY41&gt;0),300,0)-IF(AND($U41=1,'calcA'!EB$117=1,IA41=0),300,0))),1000000000))</f>
        <v/>
      </c>
      <c r="TE41">
        <f>IF($B41=0,1000000000,IF(INDEX('calcA'!$D$60:$EQ$99,$B41,130)*IF($W41=1,IA41+AEP41,IA41)=1,IF(AND($E41=2,IF($W41=1,AKE41,NP41)=0),1000000000,IF($V41=1,INDEX('calcA'!$D$130:$EQ$169,$B41,130)+IF(AND($E41=1,NP41=0),25,0),INDEX('calcA'!EC$110:EC$114,$F41+1)+IF(AND($E41=1,NP41=0),1000,0)+IF($H41=1,INDEX('calcA'!$D$180:$EQ$219,$B41,130)*500,0)-IF(AND('calcA'!EB$117=1,YZ41&gt;0),300,0)-IF(AND($U41=1,'calcA'!EC$117=1,IB41=0),300,0))),1000000000))</f>
        <v/>
      </c>
      <c r="TF41">
        <f>IF($B41=0,1000000000,IF(INDEX('calcA'!$D$60:$EQ$99,$B41,131)*IF($W41=1,IB41+AEQ41,IB41)=1,IF(AND($E41=2,IF($W41=1,AKF41,NQ41)=0),1000000000,IF($V41=1,INDEX('calcA'!$D$130:$EQ$169,$B41,131)+IF(AND($E41=1,NQ41=0),25,0),INDEX('calcA'!ED$110:ED$114,$F41+1)+IF(AND($E41=1,NQ41=0),1000,0)+IF($H41=1,INDEX('calcA'!$D$180:$EQ$219,$B41,131)*500,0)-IF(AND('calcA'!EC$117=1,ZA41&gt;0),300,0)-IF(AND($U41=1,'calcA'!ED$117=1,IC41=0),300,0))),1000000000))</f>
        <v/>
      </c>
      <c r="TG41">
        <f>IF($B41=0,1000000000,IF(INDEX('calcA'!$D$60:$EQ$99,$B41,132)*IF($W41=1,IC41+AER41,IC41)=1,IF(AND($E41=2,IF($W41=1,AKG41,NR41)=0),1000000000,IF($V41=1,INDEX('calcA'!$D$130:$EQ$169,$B41,132)+IF(AND($E41=1,NR41=0),25,0),INDEX('calcA'!EE$110:EE$114,$F41+1)+IF(AND($E41=1,NR41=0),1000,0)+IF($H41=1,INDEX('calcA'!$D$180:$EQ$219,$B41,132)*500,0)-IF(AND('calcA'!ED$117=1,ZB41&gt;0),300,0)-IF(AND($U41=1,'calcA'!EE$117=1,ID41=0),300,0))),1000000000))</f>
        <v/>
      </c>
      <c r="TH41">
        <f>IF($B41=0,1000000000,IF(INDEX('calcA'!$D$60:$EQ$99,$B41,133)*IF($W41=1,ID41+AES41,ID41)=1,IF(AND($E41=2,IF($W41=1,AKH41,NS41)=0),1000000000,IF($V41=1,INDEX('calcA'!$D$130:$EQ$169,$B41,133)+IF(AND($E41=1,NS41=0),25,0),INDEX('calcA'!EF$110:EF$114,$F41+1)+IF(AND($E41=1,NS41=0),1000,0)+IF($H41=1,INDEX('calcA'!$D$180:$EQ$219,$B41,133)*500,0)-IF(AND('calcA'!EE$117=1,ZC41&gt;0),300,0)-IF(AND($U41=1,'calcA'!EF$117=1,IE41=0),300,0))),1000000000))</f>
        <v/>
      </c>
      <c r="TI41">
        <f>IF($B41=0,1000000000,IF(INDEX('calcA'!$D$60:$EQ$99,$B41,134)*IF($W41=1,IE41+AET41,IE41)=1,IF(AND($E41=2,IF($W41=1,AKI41,NT41)=0),1000000000,IF($V41=1,INDEX('calcA'!$D$130:$EQ$169,$B41,134)+IF(AND($E41=1,NT41=0),25,0),INDEX('calcA'!EG$110:EG$114,$F41+1)+IF(AND($E41=1,NT41=0),1000,0)+IF($H41=1,INDEX('calcA'!$D$180:$EQ$219,$B41,134)*500,0)-IF(AND('calcA'!EF$117=1,ZD41&gt;0),300,0)-IF(AND($U41=1,'calcA'!EG$117=1,IF41=0),300,0))),1000000000))</f>
        <v/>
      </c>
      <c r="TJ41">
        <f>IF($B41=0,1000000000,IF(INDEX('calcA'!$D$60:$EQ$99,$B41,135)*IF($W41=1,IF41+AEU41,IF41)=1,IF(AND($E41=2,IF($W41=1,AKJ41,NU41)=0),1000000000,IF($V41=1,INDEX('calcA'!$D$130:$EQ$169,$B41,135)+IF(AND($E41=1,NU41=0),25,0),INDEX('calcA'!EH$110:EH$114,$F41+1)+IF(AND($E41=1,NU41=0),1000,0)+IF($H41=1,INDEX('calcA'!$D$180:$EQ$219,$B41,135)*500,0)-IF(AND('calcA'!EG$117=1,ZE41&gt;0),300,0)-IF(AND($U41=1,'calcA'!EH$117=1,IG41=0),300,0))),1000000000))</f>
        <v/>
      </c>
      <c r="TK41">
        <f>IF($B41=0,1000000000,IF(INDEX('calcA'!$D$60:$EQ$99,$B41,136)*IF($W41=1,IG41+AEV41,IG41)=1,IF(AND($E41=2,IF($W41=1,AKK41,NV41)=0),1000000000,IF($V41=1,INDEX('calcA'!$D$130:$EQ$169,$B41,136)+IF(AND($E41=1,NV41=0),25,0),INDEX('calcA'!EI$110:EI$114,$F41+1)+IF(AND($E41=1,NV41=0),1000,0)+IF($H41=1,INDEX('calcA'!$D$180:$EQ$219,$B41,136)*500,0)-IF(AND('calcA'!EH$117=1,ZF41&gt;0),300,0)-IF(AND($U41=1,'calcA'!EI$117=1,IH41=0),300,0))),1000000000))</f>
        <v/>
      </c>
      <c r="TL41">
        <f>IF($B41=0,1000000000,IF(INDEX('calcA'!$D$60:$EQ$99,$B41,137)*IF($W41=1,IH41+AEW41,IH41)=1,IF(AND($E41=2,IF($W41=1,AKL41,NW41)=0),1000000000,IF($V41=1,INDEX('calcA'!$D$130:$EQ$169,$B41,137)+IF(AND($E41=1,NW41=0),25,0),INDEX('calcA'!EJ$110:EJ$114,$F41+1)+IF(AND($E41=1,NW41=0),1000,0)+IF($H41=1,INDEX('calcA'!$D$180:$EQ$219,$B41,137)*500,0)-IF(AND('calcA'!EI$117=1,ZG41&gt;0),300,0)-IF(AND($U41=1,'calcA'!EJ$117=1,II41=0),300,0))),1000000000))</f>
        <v/>
      </c>
      <c r="TM41">
        <f>IF($B41=0,1000000000,IF(INDEX('calcA'!$D$60:$EQ$99,$B41,138)*IF($W41=1,II41+AEX41,II41)=1,IF(AND($E41=2,IF($W41=1,AKM41,NX41)=0),1000000000,IF($V41=1,INDEX('calcA'!$D$130:$EQ$169,$B41,138)+IF(AND($E41=1,NX41=0),25,0),INDEX('calcA'!EK$110:EK$114,$F41+1)+IF(AND($E41=1,NX41=0),1000,0)+IF($H41=1,INDEX('calcA'!$D$180:$EQ$219,$B41,138)*500,0)-IF(AND('calcA'!EJ$117=1,ZH41&gt;0),300,0)-IF(AND($U41=1,'calcA'!EK$117=1,IJ41=0),300,0))),1000000000))</f>
        <v/>
      </c>
      <c r="TN41">
        <f>IF($B41=0,1000000000,IF(INDEX('calcA'!$D$60:$EQ$99,$B41,139)*IF($W41=1,IJ41+AEY41,IJ41)=1,IF(AND($E41=2,IF($W41=1,AKN41,NY41)=0),1000000000,IF($V41=1,INDEX('calcA'!$D$130:$EQ$169,$B41,139)+IF(AND($E41=1,NY41=0),25,0),INDEX('calcA'!EL$110:EL$114,$F41+1)+IF(AND($E41=1,NY41=0),1000,0)+IF($H41=1,INDEX('calcA'!$D$180:$EQ$219,$B41,139)*500,0)-IF(AND('calcA'!EK$117=1,ZI41&gt;0),300,0)-IF(AND($U41=1,'calcA'!EL$117=1,IK41=0),300,0))),1000000000))</f>
        <v/>
      </c>
      <c r="TO41">
        <f>IF($B41=0,1000000000,IF(INDEX('calcA'!$D$60:$EQ$99,$B41,140)*IF($W41=1,IK41+AEZ41,IK41)=1,IF(AND($E41=2,IF($W41=1,AKO41,NZ41)=0),1000000000,IF($V41=1,INDEX('calcA'!$D$130:$EQ$169,$B41,140)+IF(AND($E41=1,NZ41=0),25,0),INDEX('calcA'!EM$110:EM$114,$F41+1)+IF(AND($E41=1,NZ41=0),1000,0)+IF($H41=1,INDEX('calcA'!$D$180:$EQ$219,$B41,140)*500,0)-IF(AND('calcA'!EL$117=1,ZJ41&gt;0),300,0)-IF(AND($U41=1,'calcA'!EM$117=1,IL41=0),300,0))),1000000000))</f>
        <v/>
      </c>
      <c r="TP41">
        <f>IF($B41=0,1000000000,IF(INDEX('calcA'!$D$60:$EQ$99,$B41,141)*IF($W41=1,IL41+AFA41,IL41)=1,IF(AND($E41=2,IF($W41=1,AKP41,OA41)=0),1000000000,IF($V41=1,INDEX('calcA'!$D$130:$EQ$169,$B41,141)+IF(AND($E41=1,OA41=0),25,0),INDEX('calcA'!EN$110:EN$114,$F41+1)+IF(AND($E41=1,OA41=0),1000,0)+IF($H41=1,INDEX('calcA'!$D$180:$EQ$219,$B41,141)*500,0)-IF(AND('calcA'!EM$117=1,ZK41&gt;0),300,0)-IF(AND($U41=1,'calcA'!EN$117=1,IM41=0),300,0))),1000000000))</f>
        <v/>
      </c>
      <c r="TQ41">
        <f>IF($B41=0,1000000000,IF(INDEX('calcA'!$D$60:$EQ$99,$B41,142)*IF($W41=1,IM41+AFB41,IM41)=1,IF(AND($E41=2,IF($W41=1,AKQ41,OB41)=0),1000000000,IF($V41=1,INDEX('calcA'!$D$130:$EQ$169,$B41,142)+IF(AND($E41=1,OB41=0),25,0),INDEX('calcA'!EO$110:EO$114,$F41+1)+IF(AND($E41=1,OB41=0),1000,0)+IF($H41=1,INDEX('calcA'!$D$180:$EQ$219,$B41,142)*500,0)-IF(AND('calcA'!EN$117=1,ZL41&gt;0),300,0)-IF(AND($U41=1,'calcA'!EO$117=1,IN41=0),300,0))),1000000000))</f>
        <v/>
      </c>
      <c r="TR41">
        <f>IF($B41=0,1000000000,IF(INDEX('calcA'!$D$60:$EQ$99,$B41,143)*IF($W41=1,IN41+AFC41,IN41)=1,IF(AND($E41=2,IF($W41=1,AKR41,OC41)=0),1000000000,IF($V41=1,INDEX('calcA'!$D$130:$EQ$169,$B41,143)+IF(AND($E41=1,OC41=0),25,0),INDEX('calcA'!EP$110:EP$114,$F41+1)+IF(AND($E41=1,OC41=0),1000,0)+IF($H41=1,INDEX('calcA'!$D$180:$EQ$219,$B41,143)*500,0)-IF(AND('calcA'!EO$117=1,ZM41&gt;0),300,0)-IF(AND($U41=1,'calcA'!EP$117=1,IO41=0),300,0))),1000000000))</f>
        <v/>
      </c>
      <c r="TS41">
        <f>IF($B41=0,1000000000,IF(INDEX('calcA'!$D$60:$EQ$99,$B41,144)*IF($W41=1,IO41+AFD41,IO41)=1,IF(AND($E41=2,IF($W41=1,AKS41,OD41)=0),1000000000,IF($V41=1,INDEX('calcA'!$D$130:$EQ$169,$B41,144)+IF(AND($E41=1,OD41=0),25,0),INDEX('calcA'!EQ$110:EQ$114,$F41+1)+IF(AND($E41=1,OD41=0),1000,0)+IF($H41=1,INDEX('calcA'!$D$180:$EQ$219,$B41,144)*500,0)-IF(AND('calcA'!EP$117=1,ZN41&gt;0),300,0))),1000000000))</f>
        <v/>
      </c>
      <c r="UB41">
        <f>UB40+IF(AND($C40=1,$U40=1),1,0)</f>
        <v/>
      </c>
      <c r="UC41">
        <f>UC40+IF(AND($C40=2,$U40=1),1,0)</f>
        <v/>
      </c>
      <c r="UD41">
        <f>UD40+IF(AND($C40=3,$U40=1),1,0)</f>
        <v/>
      </c>
      <c r="UE41">
        <f>UE40+IF(AND($C40=4,$U40=1),1,0)</f>
        <v/>
      </c>
      <c r="UF41">
        <f>UF40+IF(AND($C40=5,$U40=1),1,0)</f>
        <v/>
      </c>
      <c r="UG41">
        <f>UG40+IF(AND($C40=6,$U40=1),1,0)</f>
        <v/>
      </c>
      <c r="UH41">
        <f>UH40+IF(AND($C40=7,$U40=1),1,0)</f>
        <v/>
      </c>
      <c r="UI41">
        <f>UI40+IF(AND($C40=8,$U40=1),1,0)</f>
        <v/>
      </c>
      <c r="UJ41">
        <f>UJ40+IF(AND($C40=9,$U40=1),1,0)</f>
        <v/>
      </c>
      <c r="UK41">
        <f>UK40+IF(AND($C40=10,$U40=1),1,0)</f>
        <v/>
      </c>
      <c r="UL41">
        <f>UL40+IF(AND($C40=11,$U40=1),1,0)</f>
        <v/>
      </c>
      <c r="UM41">
        <f>UM40+IF(AND($C40=12,$U40=1),1,0)</f>
        <v/>
      </c>
      <c r="UN41">
        <f>UN40+IF(AND($C40=13,$U40=1),1,0)</f>
        <v/>
      </c>
      <c r="UO41">
        <f>UO40+IF(AND($C40=14,$U40=1),1,0)</f>
        <v/>
      </c>
      <c r="UP41">
        <f>UP40+IF(AND($C40=15,$U40=1),1,0)</f>
        <v/>
      </c>
      <c r="UQ41">
        <f>UQ40+IF(AND($C40=16,$U40=1),1,0)</f>
        <v/>
      </c>
      <c r="UR41">
        <f>UR40+IF(AND($C40=17,$U40=1),1,0)</f>
        <v/>
      </c>
      <c r="US41">
        <f>US40+IF(AND($C40=18,$U40=1),1,0)</f>
        <v/>
      </c>
      <c r="UT41">
        <f>UT40+IF(AND($C40=19,$U40=1),1,0)</f>
        <v/>
      </c>
      <c r="UU41">
        <f>UU40+IF(AND($C40=20,$U40=1),1,0)</f>
        <v/>
      </c>
      <c r="UV41">
        <f>UV40+IF(AND($C40=21,$U40=1),1,0)</f>
        <v/>
      </c>
      <c r="UW41">
        <f>UW40+IF(AND($C40=22,$U40=1),1,0)</f>
        <v/>
      </c>
      <c r="UX41">
        <f>UX40+IF(AND($C40=23,$U40=1),1,0)</f>
        <v/>
      </c>
      <c r="UY41">
        <f>UY40+IF(AND($C40=24,$U40=1),1,0)</f>
        <v/>
      </c>
      <c r="UZ41">
        <f>UZ40+IF(AND($C40=25,$U40=1),1,0)</f>
        <v/>
      </c>
      <c r="VA41">
        <f>VA40+IF(AND($C40=26,$U40=1),1,0)</f>
        <v/>
      </c>
      <c r="VB41">
        <f>VB40+IF(AND($C40=27,$U40=1),1,0)</f>
        <v/>
      </c>
      <c r="VC41">
        <f>VC40+IF(AND($C40=28,$U40=1),1,0)</f>
        <v/>
      </c>
      <c r="VD41">
        <f>VD40+IF(AND($C40=29,$U40=1),1,0)</f>
        <v/>
      </c>
      <c r="VE41">
        <f>VE40+IF(AND($C40=30,$U40=1),1,0)</f>
        <v/>
      </c>
      <c r="VF41">
        <f>VF40+IF(AND($C40=31,$U40=1),1,0)</f>
        <v/>
      </c>
      <c r="VG41">
        <f>VG40+IF(AND($C40=32,$U40=1),1,0)</f>
        <v/>
      </c>
      <c r="VH41">
        <f>VH40+IF(AND($C40=33,$U40=1),1,0)</f>
        <v/>
      </c>
      <c r="VI41">
        <f>VI40+IF(AND($C40=34,$U40=1),1,0)</f>
        <v/>
      </c>
      <c r="VJ41">
        <f>VJ40+IF(AND($C40=35,$U40=1),1,0)</f>
        <v/>
      </c>
      <c r="VK41">
        <f>VK40+IF(AND($C40=36,$U40=1),1,0)</f>
        <v/>
      </c>
      <c r="VL41">
        <f>VL40+IF(AND($C40=37,$U40=1),1,0)</f>
        <v/>
      </c>
      <c r="VM41">
        <f>VM40+IF(AND($C40=38,$U40=1),1,0)</f>
        <v/>
      </c>
      <c r="VN41">
        <f>VN40+IF(AND($C40=39,$U40=1),1,0)</f>
        <v/>
      </c>
      <c r="VO41">
        <f>VO40+IF(AND($C40=40,$U40=1),1,0)</f>
        <v/>
      </c>
      <c r="VP41">
        <f>VP40+IF(AND($C40=41,$U40=1),1,0)</f>
        <v/>
      </c>
      <c r="VQ41">
        <f>VQ40+IF(AND($C40=42,$U40=1),1,0)</f>
        <v/>
      </c>
      <c r="VR41">
        <f>VR40+IF(AND($C40=43,$U40=1),1,0)</f>
        <v/>
      </c>
      <c r="VS41">
        <f>VS40+IF(AND($C40=44,$U40=1),1,0)</f>
        <v/>
      </c>
      <c r="VT41">
        <f>VT40+IF(AND($C40=45,$U40=1),1,0)</f>
        <v/>
      </c>
      <c r="VU41">
        <f>VU40+IF(AND($C40=46,$U40=1),1,0)</f>
        <v/>
      </c>
      <c r="VV41">
        <f>VV40+IF(AND($C40=47,$U40=1),1,0)</f>
        <v/>
      </c>
      <c r="VW41">
        <f>VW40+IF(AND($C40=48,$U40=1),1,0)</f>
        <v/>
      </c>
      <c r="VX41">
        <f>VX40+IF(AND($C40=49,$U40=1),1,0)</f>
        <v/>
      </c>
      <c r="VY41">
        <f>VY40+IF(AND($C40=50,$U40=1),1,0)</f>
        <v/>
      </c>
      <c r="VZ41">
        <f>VZ40+IF(AND($C40=51,$U40=1),1,0)</f>
        <v/>
      </c>
      <c r="WA41">
        <f>WA40+IF(AND($C40=52,$U40=1),1,0)</f>
        <v/>
      </c>
      <c r="WB41">
        <f>WB40+IF(AND($C40=53,$U40=1),1,0)</f>
        <v/>
      </c>
      <c r="WC41">
        <f>WC40+IF(AND($C40=54,$U40=1),1,0)</f>
        <v/>
      </c>
      <c r="WD41">
        <f>WD40+IF(AND($C40=55,$U40=1),1,0)</f>
        <v/>
      </c>
      <c r="WE41">
        <f>WE40+IF(AND($C40=56,$U40=1),1,0)</f>
        <v/>
      </c>
      <c r="WF41">
        <f>WF40+IF(AND($C40=57,$U40=1),1,0)</f>
        <v/>
      </c>
      <c r="WG41">
        <f>WG40+IF(AND($C40=58,$U40=1),1,0)</f>
        <v/>
      </c>
      <c r="WH41">
        <f>WH40+IF(AND($C40=59,$U40=1),1,0)</f>
        <v/>
      </c>
      <c r="WI41">
        <f>WI40+IF(AND($C40=60,$U40=1),1,0)</f>
        <v/>
      </c>
      <c r="WJ41">
        <f>WJ40+IF(AND($C40=61,$U40=1),1,0)</f>
        <v/>
      </c>
      <c r="WK41">
        <f>WK40+IF(AND($C40=62,$U40=1),1,0)</f>
        <v/>
      </c>
      <c r="WL41">
        <f>WL40+IF(AND($C40=63,$U40=1),1,0)</f>
        <v/>
      </c>
      <c r="WM41">
        <f>WM40+IF(AND($C40=64,$U40=1),1,0)</f>
        <v/>
      </c>
      <c r="WN41">
        <f>WN40+IF(AND($C40=65,$U40=1),1,0)</f>
        <v/>
      </c>
      <c r="WO41">
        <f>WO40+IF(AND($C40=66,$U40=1),1,0)</f>
        <v/>
      </c>
      <c r="WP41">
        <f>WP40+IF(AND($C40=67,$U40=1),1,0)</f>
        <v/>
      </c>
      <c r="WQ41">
        <f>WQ40+IF(AND($C40=68,$U40=1),1,0)</f>
        <v/>
      </c>
      <c r="WR41">
        <f>WR40+IF(AND($C40=69,$U40=1),1,0)</f>
        <v/>
      </c>
      <c r="WS41">
        <f>WS40+IF(AND($C40=70,$U40=1),1,0)</f>
        <v/>
      </c>
      <c r="WT41">
        <f>WT40+IF(AND($C40=71,$U40=1),1,0)</f>
        <v/>
      </c>
      <c r="WU41">
        <f>WU40+IF(AND($C40=72,$U40=1),1,0)</f>
        <v/>
      </c>
      <c r="WV41">
        <f>WV40+IF(AND($C40=73,$U40=1),1,0)</f>
        <v/>
      </c>
      <c r="WW41">
        <f>WW40+IF(AND($C40=74,$U40=1),1,0)</f>
        <v/>
      </c>
      <c r="WX41">
        <f>WX40+IF(AND($C40=75,$U40=1),1,0)</f>
        <v/>
      </c>
      <c r="WY41">
        <f>WY40+IF(AND($C40=76,$U40=1),1,0)</f>
        <v/>
      </c>
      <c r="WZ41">
        <f>WZ40+IF(AND($C40=77,$U40=1),1,0)</f>
        <v/>
      </c>
      <c r="XA41">
        <f>XA40+IF(AND($C40=78,$U40=1),1,0)</f>
        <v/>
      </c>
      <c r="XB41">
        <f>XB40+IF(AND($C40=79,$U40=1),1,0)</f>
        <v/>
      </c>
      <c r="XC41">
        <f>XC40+IF(AND($C40=80,$U40=1),1,0)</f>
        <v/>
      </c>
      <c r="XD41">
        <f>XD40+IF(AND($C40=81,$U40=1),1,0)</f>
        <v/>
      </c>
      <c r="XE41">
        <f>XE40+IF(AND($C40=82,$U40=1),1,0)</f>
        <v/>
      </c>
      <c r="XF41">
        <f>XF40+IF(AND($C40=83,$U40=1),1,0)</f>
        <v/>
      </c>
      <c r="XG41">
        <f>XG40+IF(AND($C40=84,$U40=1),1,0)</f>
        <v/>
      </c>
      <c r="XH41">
        <f>XH40+IF(AND($C40=85,$U40=1),1,0)</f>
        <v/>
      </c>
      <c r="XI41">
        <f>XI40+IF(AND($C40=86,$U40=1),1,0)</f>
        <v/>
      </c>
      <c r="XJ41">
        <f>XJ40+IF(AND($C40=87,$U40=1),1,0)</f>
        <v/>
      </c>
      <c r="XK41">
        <f>XK40+IF(AND($C40=88,$U40=1),1,0)</f>
        <v/>
      </c>
      <c r="XL41">
        <f>XL40+IF(AND($C40=89,$U40=1),1,0)</f>
        <v/>
      </c>
      <c r="XM41">
        <f>XM40+IF(AND($C40=90,$U40=1),1,0)</f>
        <v/>
      </c>
      <c r="XN41">
        <f>XN40+IF(AND($C40=91,$U40=1),1,0)</f>
        <v/>
      </c>
      <c r="XO41">
        <f>XO40+IF(AND($C40=92,$U40=1),1,0)</f>
        <v/>
      </c>
      <c r="XP41">
        <f>XP40+IF(AND($C40=93,$U40=1),1,0)</f>
        <v/>
      </c>
      <c r="XQ41">
        <f>XQ40+IF(AND($C40=94,$U40=1),1,0)</f>
        <v/>
      </c>
      <c r="XR41">
        <f>XR40+IF(AND($C40=95,$U40=1),1,0)</f>
        <v/>
      </c>
      <c r="XS41">
        <f>XS40+IF(AND($C40=96,$U40=1),1,0)</f>
        <v/>
      </c>
      <c r="XT41">
        <f>XT40+IF(AND($C40=97,$U40=1),1,0)</f>
        <v/>
      </c>
      <c r="XU41">
        <f>XU40+IF(AND($C40=98,$U40=1),1,0)</f>
        <v/>
      </c>
      <c r="XV41">
        <f>XV40+IF(AND($C40=99,$U40=1),1,0)</f>
        <v/>
      </c>
      <c r="XW41">
        <f>XW40+IF(AND($C40=100,$U40=1),1,0)</f>
        <v/>
      </c>
      <c r="XX41">
        <f>XX40+IF(AND($C40=101,$U40=1),1,0)</f>
        <v/>
      </c>
      <c r="XY41">
        <f>XY40+IF(AND($C40=102,$U40=1),1,0)</f>
        <v/>
      </c>
      <c r="XZ41">
        <f>XZ40+IF(AND($C40=103,$U40=1),1,0)</f>
        <v/>
      </c>
      <c r="YA41">
        <f>YA40+IF(AND($C40=104,$U40=1),1,0)</f>
        <v/>
      </c>
      <c r="YB41">
        <f>YB40+IF(AND($C40=105,$U40=1),1,0)</f>
        <v/>
      </c>
      <c r="YC41">
        <f>YC40+IF(AND($C40=106,$U40=1),1,0)</f>
        <v/>
      </c>
      <c r="YD41">
        <f>YD40+IF(AND($C40=107,$U40=1),1,0)</f>
        <v/>
      </c>
      <c r="YE41">
        <f>YE40+IF(AND($C40=108,$U40=1),1,0)</f>
        <v/>
      </c>
      <c r="YF41">
        <f>YF40+IF(AND($C40=109,$U40=1),1,0)</f>
        <v/>
      </c>
      <c r="YG41">
        <f>YG40+IF(AND($C40=110,$U40=1),1,0)</f>
        <v/>
      </c>
      <c r="YH41">
        <f>YH40+IF(AND($C40=111,$U40=1),1,0)</f>
        <v/>
      </c>
      <c r="YI41">
        <f>YI40+IF(AND($C40=112,$U40=1),1,0)</f>
        <v/>
      </c>
      <c r="YJ41">
        <f>YJ40+IF(AND($C40=113,$U40=1),1,0)</f>
        <v/>
      </c>
      <c r="YK41">
        <f>YK40+IF(AND($C40=114,$U40=1),1,0)</f>
        <v/>
      </c>
      <c r="YL41">
        <f>YL40+IF(AND($C40=115,$U40=1),1,0)</f>
        <v/>
      </c>
      <c r="YM41">
        <f>YM40+IF(AND($C40=116,$U40=1),1,0)</f>
        <v/>
      </c>
      <c r="YN41">
        <f>YN40+IF(AND($C40=117,$U40=1),1,0)</f>
        <v/>
      </c>
      <c r="YO41">
        <f>YO40+IF(AND($C40=118,$U40=1),1,0)</f>
        <v/>
      </c>
      <c r="YP41">
        <f>YP40+IF(AND($C40=119,$U40=1),1,0)</f>
        <v/>
      </c>
      <c r="YQ41">
        <f>YQ40+IF(AND($C40=120,$U40=1),1,0)</f>
        <v/>
      </c>
      <c r="YR41">
        <f>YR40+IF(AND($C40=121,$U40=1),1,0)</f>
        <v/>
      </c>
      <c r="YS41">
        <f>YS40+IF(AND($C40=122,$U40=1),1,0)</f>
        <v/>
      </c>
      <c r="YT41">
        <f>YT40+IF(AND($C40=123,$U40=1),1,0)</f>
        <v/>
      </c>
      <c r="YU41">
        <f>YU40+IF(AND($C40=124,$U40=1),1,0)</f>
        <v/>
      </c>
      <c r="YV41">
        <f>YV40+IF(AND($C40=125,$U40=1),1,0)</f>
        <v/>
      </c>
      <c r="YW41">
        <f>YW40+IF(AND($C40=126,$U40=1),1,0)</f>
        <v/>
      </c>
      <c r="YX41">
        <f>YX40+IF(AND($C40=127,$U40=1),1,0)</f>
        <v/>
      </c>
      <c r="YY41">
        <f>YY40+IF(AND($C40=128,$U40=1),1,0)</f>
        <v/>
      </c>
      <c r="YZ41">
        <f>YZ40+IF(AND($C40=129,$U40=1),1,0)</f>
        <v/>
      </c>
      <c r="ZA41">
        <f>ZA40+IF(AND($C40=130,$U40=1),1,0)</f>
        <v/>
      </c>
      <c r="ZB41">
        <f>ZB40+IF(AND($C40=131,$U40=1),1,0)</f>
        <v/>
      </c>
      <c r="ZC41">
        <f>ZC40+IF(AND($C40=132,$U40=1),1,0)</f>
        <v/>
      </c>
      <c r="ZD41">
        <f>ZD40+IF(AND($C40=133,$U40=1),1,0)</f>
        <v/>
      </c>
      <c r="ZE41">
        <f>ZE40+IF(AND($C40=134,$U40=1),1,0)</f>
        <v/>
      </c>
      <c r="ZF41">
        <f>ZF40+IF(AND($C40=135,$U40=1),1,0)</f>
        <v/>
      </c>
      <c r="ZG41">
        <f>ZG40+IF(AND($C40=136,$U40=1),1,0)</f>
        <v/>
      </c>
      <c r="ZH41">
        <f>ZH40+IF(AND($C40=137,$U40=1),1,0)</f>
        <v/>
      </c>
      <c r="ZI41">
        <f>ZI40+IF(AND($C40=138,$U40=1),1,0)</f>
        <v/>
      </c>
      <c r="ZJ41">
        <f>ZJ40+IF(AND($C40=139,$U40=1),1,0)</f>
        <v/>
      </c>
      <c r="ZK41">
        <f>ZK40+IF(AND($C40=140,$U40=1),1,0)</f>
        <v/>
      </c>
      <c r="ZL41">
        <f>ZL40+IF(AND($C40=141,$U40=1),1,0)</f>
        <v/>
      </c>
      <c r="ZM41">
        <f>ZM40+IF(AND($C40=142,$U40=1),1,0)</f>
        <v/>
      </c>
      <c r="ZN41">
        <f>ZN40+IF(AND($C40=143,$U40=1),1,0)</f>
        <v/>
      </c>
      <c r="ZO41">
        <f>ZO40+IF(AND($C40=144,$U40=1),1,0)</f>
        <v/>
      </c>
      <c r="ZQ41">
        <f>IF($C40=1,0,ZQ40+IF(AND($G40=1,$E40=1),1,0))</f>
        <v/>
      </c>
      <c r="ZR41">
        <f>IF($C40=2,0,ZR40+IF(AND($G40=2,$E40=1),1,0))</f>
        <v/>
      </c>
      <c r="ZS41">
        <f>IF($C40=3,0,ZS40+IF(AND($G40=3,$E40=1),1,0))</f>
        <v/>
      </c>
      <c r="ZT41">
        <f>IF($C40=4,0,ZT40+IF(AND($G40=4,$E40=1),1,0))</f>
        <v/>
      </c>
      <c r="ZU41">
        <f>IF($C40=5,0,ZU40+IF(AND($G40=5,$E40=1),1,0))</f>
        <v/>
      </c>
      <c r="ZV41">
        <f>IF($C40=6,0,ZV40+IF(AND($G40=6,$E40=1),1,0))</f>
        <v/>
      </c>
      <c r="ZW41">
        <f>IF($C40=7,0,ZW40+IF(AND($G40=7,$E40=1),1,0))</f>
        <v/>
      </c>
      <c r="ZX41">
        <f>IF($C40=8,0,ZX40+IF(AND($G40=8,$E40=1),1,0))</f>
        <v/>
      </c>
      <c r="ZY41">
        <f>IF($C40=9,0,ZY40+IF(AND($G40=9,$E40=1),1,0))</f>
        <v/>
      </c>
      <c r="ZZ41">
        <f>IF($C40=10,0,ZZ40+IF(AND($G40=10,$E40=1),1,0))</f>
        <v/>
      </c>
      <c r="AAA41">
        <f>IF($C40=11,0,AAA40+IF(AND($G40=11,$E40=1),1,0))</f>
        <v/>
      </c>
      <c r="AAB41">
        <f>IF($C40=12,0,AAB40+IF(AND($G40=12,$E40=1),1,0))</f>
        <v/>
      </c>
      <c r="AAC41">
        <f>IF($C40=13,0,AAC40+IF(AND($G40=13,$E40=1),1,0))</f>
        <v/>
      </c>
      <c r="AAD41">
        <f>IF($C40=14,0,AAD40+IF(AND($G40=14,$E40=1),1,0))</f>
        <v/>
      </c>
      <c r="AAE41">
        <f>IF($C40=15,0,AAE40+IF(AND($G40=15,$E40=1),1,0))</f>
        <v/>
      </c>
      <c r="AAF41">
        <f>IF($C40=16,0,AAF40+IF(AND($G40=16,$E40=1),1,0))</f>
        <v/>
      </c>
      <c r="AAG41">
        <f>IF($C40=17,0,AAG40+IF(AND($G40=17,$E40=1),1,0))</f>
        <v/>
      </c>
      <c r="AAH41">
        <f>IF($C40=18,0,AAH40+IF(AND($G40=18,$E40=1),1,0))</f>
        <v/>
      </c>
      <c r="AAI41">
        <f>IF($C40=19,0,AAI40+IF(AND($G40=19,$E40=1),1,0))</f>
        <v/>
      </c>
      <c r="AAJ41">
        <f>IF($C40=20,0,AAJ40+IF(AND($G40=20,$E40=1),1,0))</f>
        <v/>
      </c>
      <c r="AAK41">
        <f>IF($C40=21,0,AAK40+IF(AND($G40=21,$E40=1),1,0))</f>
        <v/>
      </c>
      <c r="AAL41">
        <f>IF($C40=22,0,AAL40+IF(AND($G40=22,$E40=1),1,0))</f>
        <v/>
      </c>
      <c r="AAM41">
        <f>IF($C40=23,0,AAM40+IF(AND($G40=23,$E40=1),1,0))</f>
        <v/>
      </c>
      <c r="AAN41">
        <f>IF($C40=24,0,AAN40+IF(AND($G40=24,$E40=1),1,0))</f>
        <v/>
      </c>
      <c r="AAO41">
        <f>IF($C40=25,0,AAO40+IF(AND($G40=25,$E40=1),1,0))</f>
        <v/>
      </c>
      <c r="AAP41">
        <f>IF($C40=26,0,AAP40+IF(AND($G40=26,$E40=1),1,0))</f>
        <v/>
      </c>
      <c r="AAQ41">
        <f>IF($C40=27,0,AAQ40+IF(AND($G40=27,$E40=1),1,0))</f>
        <v/>
      </c>
      <c r="AAR41">
        <f>IF($C40=28,0,AAR40+IF(AND($G40=28,$E40=1),1,0))</f>
        <v/>
      </c>
      <c r="AAS41">
        <f>IF($C40=29,0,AAS40+IF(AND($G40=29,$E40=1),1,0))</f>
        <v/>
      </c>
      <c r="AAT41">
        <f>IF($C40=30,0,AAT40+IF(AND($G40=30,$E40=1),1,0))</f>
        <v/>
      </c>
      <c r="AAU41">
        <f>IF($C40=31,0,AAU40+IF(AND($G40=31,$E40=1),1,0))</f>
        <v/>
      </c>
      <c r="AAV41">
        <f>IF($C40=32,0,AAV40+IF(AND($G40=32,$E40=1),1,0))</f>
        <v/>
      </c>
      <c r="AAW41">
        <f>IF($C40=33,0,AAW40+IF(AND($G40=33,$E40=1),1,0))</f>
        <v/>
      </c>
      <c r="AAX41">
        <f>IF($C40=34,0,AAX40+IF(AND($G40=34,$E40=1),1,0))</f>
        <v/>
      </c>
      <c r="AAY41">
        <f>IF($C40=35,0,AAY40+IF(AND($G40=35,$E40=1),1,0))</f>
        <v/>
      </c>
      <c r="AAZ41">
        <f>IF($C40=36,0,AAZ40+IF(AND($G40=36,$E40=1),1,0))</f>
        <v/>
      </c>
      <c r="ABA41">
        <f>IF($C40=37,0,ABA40+IF(AND($G40=37,$E40=1),1,0))</f>
        <v/>
      </c>
      <c r="ABB41">
        <f>IF($C40=38,0,ABB40+IF(AND($G40=38,$E40=1),1,0))</f>
        <v/>
      </c>
      <c r="ABC41">
        <f>IF($C40=39,0,ABC40+IF(AND($G40=39,$E40=1),1,0))</f>
        <v/>
      </c>
      <c r="ABD41">
        <f>IF($C40=40,0,ABD40+IF(AND($G40=40,$E40=1),1,0))</f>
        <v/>
      </c>
      <c r="ABE41">
        <f>IF($C40=41,0,ABE40+IF(AND($G40=41,$E40=1),1,0))</f>
        <v/>
      </c>
      <c r="ABF41">
        <f>IF($C40=42,0,ABF40+IF(AND($G40=42,$E40=1),1,0))</f>
        <v/>
      </c>
      <c r="ABG41">
        <f>IF($C40=43,0,ABG40+IF(AND($G40=43,$E40=1),1,0))</f>
        <v/>
      </c>
      <c r="ABH41">
        <f>IF($C40=44,0,ABH40+IF(AND($G40=44,$E40=1),1,0))</f>
        <v/>
      </c>
      <c r="ABI41">
        <f>IF($C40=45,0,ABI40+IF(AND($G40=45,$E40=1),1,0))</f>
        <v/>
      </c>
      <c r="ABJ41">
        <f>IF($C40=46,0,ABJ40+IF(AND($G40=46,$E40=1),1,0))</f>
        <v/>
      </c>
      <c r="ABK41">
        <f>IF($C40=47,0,ABK40+IF(AND($G40=47,$E40=1),1,0))</f>
        <v/>
      </c>
      <c r="ABL41">
        <f>IF($C40=48,0,ABL40+IF(AND($G40=48,$E40=1),1,0))</f>
        <v/>
      </c>
      <c r="ABM41">
        <f>IF($C40=49,0,ABM40+IF(AND($G40=49,$E40=1),1,0))</f>
        <v/>
      </c>
      <c r="ABN41">
        <f>IF($C40=50,0,ABN40+IF(AND($G40=50,$E40=1),1,0))</f>
        <v/>
      </c>
      <c r="ABO41">
        <f>IF($C40=51,0,ABO40+IF(AND($G40=51,$E40=1),1,0))</f>
        <v/>
      </c>
      <c r="ABP41">
        <f>IF($C40=52,0,ABP40+IF(AND($G40=52,$E40=1),1,0))</f>
        <v/>
      </c>
      <c r="ABQ41">
        <f>IF($C40=53,0,ABQ40+IF(AND($G40=53,$E40=1),1,0))</f>
        <v/>
      </c>
      <c r="ABR41">
        <f>IF($C40=54,0,ABR40+IF(AND($G40=54,$E40=1),1,0))</f>
        <v/>
      </c>
      <c r="ABS41">
        <f>IF($C40=55,0,ABS40+IF(AND($G40=55,$E40=1),1,0))</f>
        <v/>
      </c>
      <c r="ABT41">
        <f>IF($C40=56,0,ABT40+IF(AND($G40=56,$E40=1),1,0))</f>
        <v/>
      </c>
      <c r="ABU41">
        <f>IF($C40=57,0,ABU40+IF(AND($G40=57,$E40=1),1,0))</f>
        <v/>
      </c>
      <c r="ABV41">
        <f>IF($C40=58,0,ABV40+IF(AND($G40=58,$E40=1),1,0))</f>
        <v/>
      </c>
      <c r="ABW41">
        <f>IF($C40=59,0,ABW40+IF(AND($G40=59,$E40=1),1,0))</f>
        <v/>
      </c>
      <c r="ABX41">
        <f>IF($C40=60,0,ABX40+IF(AND($G40=60,$E40=1),1,0))</f>
        <v/>
      </c>
      <c r="ABY41">
        <f>IF($C40=61,0,ABY40+IF(AND($G40=61,$E40=1),1,0))</f>
        <v/>
      </c>
      <c r="ABZ41">
        <f>IF($C40=62,0,ABZ40+IF(AND($G40=62,$E40=1),1,0))</f>
        <v/>
      </c>
      <c r="ACA41">
        <f>IF($C40=63,0,ACA40+IF(AND($G40=63,$E40=1),1,0))</f>
        <v/>
      </c>
      <c r="ACB41">
        <f>IF($C40=64,0,ACB40+IF(AND($G40=64,$E40=1),1,0))</f>
        <v/>
      </c>
      <c r="ACC41">
        <f>IF($C40=65,0,ACC40+IF(AND($G40=65,$E40=1),1,0))</f>
        <v/>
      </c>
      <c r="ACD41">
        <f>IF($C40=66,0,ACD40+IF(AND($G40=66,$E40=1),1,0))</f>
        <v/>
      </c>
      <c r="ACE41">
        <f>IF($C40=67,0,ACE40+IF(AND($G40=67,$E40=1),1,0))</f>
        <v/>
      </c>
      <c r="ACF41">
        <f>IF($C40=68,0,ACF40+IF(AND($G40=68,$E40=1),1,0))</f>
        <v/>
      </c>
      <c r="ACG41">
        <f>IF($C40=69,0,ACG40+IF(AND($G40=69,$E40=1),1,0))</f>
        <v/>
      </c>
      <c r="ACH41">
        <f>IF($C40=70,0,ACH40+IF(AND($G40=70,$E40=1),1,0))</f>
        <v/>
      </c>
      <c r="ACI41">
        <f>IF($C40=71,0,ACI40+IF(AND($G40=71,$E40=1),1,0))</f>
        <v/>
      </c>
      <c r="ACJ41">
        <f>IF($C40=72,0,ACJ40+IF(AND($G40=72,$E40=1),1,0))</f>
        <v/>
      </c>
      <c r="ACK41">
        <f>IF($C40=73,0,ACK40+IF(AND($G40=73,$E40=1),1,0))</f>
        <v/>
      </c>
      <c r="ACL41">
        <f>IF($C40=74,0,ACL40+IF(AND($G40=74,$E40=1),1,0))</f>
        <v/>
      </c>
      <c r="ACM41">
        <f>IF($C40=75,0,ACM40+IF(AND($G40=75,$E40=1),1,0))</f>
        <v/>
      </c>
      <c r="ACN41">
        <f>IF($C40=76,0,ACN40+IF(AND($G40=76,$E40=1),1,0))</f>
        <v/>
      </c>
      <c r="ACO41">
        <f>IF($C40=77,0,ACO40+IF(AND($G40=77,$E40=1),1,0))</f>
        <v/>
      </c>
      <c r="ACP41">
        <f>IF($C40=78,0,ACP40+IF(AND($G40=78,$E40=1),1,0))</f>
        <v/>
      </c>
      <c r="ACQ41">
        <f>IF($C40=79,0,ACQ40+IF(AND($G40=79,$E40=1),1,0))</f>
        <v/>
      </c>
      <c r="ACR41">
        <f>IF($C40=80,0,ACR40+IF(AND($G40=80,$E40=1),1,0))</f>
        <v/>
      </c>
      <c r="ACS41">
        <f>IF($C40=81,0,ACS40+IF(AND($G40=81,$E40=1),1,0))</f>
        <v/>
      </c>
      <c r="ACT41">
        <f>IF($C40=82,0,ACT40+IF(AND($G40=82,$E40=1),1,0))</f>
        <v/>
      </c>
      <c r="ACU41">
        <f>IF($C40=83,0,ACU40+IF(AND($G40=83,$E40=1),1,0))</f>
        <v/>
      </c>
      <c r="ACV41">
        <f>IF($C40=84,0,ACV40+IF(AND($G40=84,$E40=1),1,0))</f>
        <v/>
      </c>
      <c r="ACW41">
        <f>IF($C40=85,0,ACW40+IF(AND($G40=85,$E40=1),1,0))</f>
        <v/>
      </c>
      <c r="ACX41">
        <f>IF($C40=86,0,ACX40+IF(AND($G40=86,$E40=1),1,0))</f>
        <v/>
      </c>
      <c r="ACY41">
        <f>IF($C40=87,0,ACY40+IF(AND($G40=87,$E40=1),1,0))</f>
        <v/>
      </c>
      <c r="ACZ41">
        <f>IF($C40=88,0,ACZ40+IF(AND($G40=88,$E40=1),1,0))</f>
        <v/>
      </c>
      <c r="ADA41">
        <f>IF($C40=89,0,ADA40+IF(AND($G40=89,$E40=1),1,0))</f>
        <v/>
      </c>
      <c r="ADB41">
        <f>IF($C40=90,0,ADB40+IF(AND($G40=90,$E40=1),1,0))</f>
        <v/>
      </c>
      <c r="ADC41">
        <f>IF($C40=91,0,ADC40+IF(AND($G40=91,$E40=1),1,0))</f>
        <v/>
      </c>
      <c r="ADD41">
        <f>IF($C40=92,0,ADD40+IF(AND($G40=92,$E40=1),1,0))</f>
        <v/>
      </c>
      <c r="ADE41">
        <f>IF($C40=93,0,ADE40+IF(AND($G40=93,$E40=1),1,0))</f>
        <v/>
      </c>
      <c r="ADF41">
        <f>IF($C40=94,0,ADF40+IF(AND($G40=94,$E40=1),1,0))</f>
        <v/>
      </c>
      <c r="ADG41">
        <f>IF($C40=95,0,ADG40+IF(AND($G40=95,$E40=1),1,0))</f>
        <v/>
      </c>
      <c r="ADH41">
        <f>IF($C40=96,0,ADH40+IF(AND($G40=96,$E40=1),1,0))</f>
        <v/>
      </c>
      <c r="ADI41">
        <f>IF($C40=97,0,ADI40+IF(AND($G40=97,$E40=1),1,0))</f>
        <v/>
      </c>
      <c r="ADJ41">
        <f>IF($C40=98,0,ADJ40+IF(AND($G40=98,$E40=1),1,0))</f>
        <v/>
      </c>
      <c r="ADK41">
        <f>IF($C40=99,0,ADK40+IF(AND($G40=99,$E40=1),1,0))</f>
        <v/>
      </c>
      <c r="ADL41">
        <f>IF($C40=100,0,ADL40+IF(AND($G40=100,$E40=1),1,0))</f>
        <v/>
      </c>
      <c r="ADM41">
        <f>IF($C40=101,0,ADM40+IF(AND($G40=101,$E40=1),1,0))</f>
        <v/>
      </c>
      <c r="ADN41">
        <f>IF($C40=102,0,ADN40+IF(AND($G40=102,$E40=1),1,0))</f>
        <v/>
      </c>
      <c r="ADO41">
        <f>IF($C40=103,0,ADO40+IF(AND($G40=103,$E40=1),1,0))</f>
        <v/>
      </c>
      <c r="ADP41">
        <f>IF($C40=104,0,ADP40+IF(AND($G40=104,$E40=1),1,0))</f>
        <v/>
      </c>
      <c r="ADQ41">
        <f>IF($C40=105,0,ADQ40+IF(AND($G40=105,$E40=1),1,0))</f>
        <v/>
      </c>
      <c r="ADR41">
        <f>IF($C40=106,0,ADR40+IF(AND($G40=106,$E40=1),1,0))</f>
        <v/>
      </c>
      <c r="ADS41">
        <f>IF($C40=107,0,ADS40+IF(AND($G40=107,$E40=1),1,0))</f>
        <v/>
      </c>
      <c r="ADT41">
        <f>IF($C40=108,0,ADT40+IF(AND($G40=108,$E40=1),1,0))</f>
        <v/>
      </c>
      <c r="ADU41">
        <f>IF($C40=109,0,ADU40+IF(AND($G40=109,$E40=1),1,0))</f>
        <v/>
      </c>
      <c r="ADV41">
        <f>IF($C40=110,0,ADV40+IF(AND($G40=110,$E40=1),1,0))</f>
        <v/>
      </c>
      <c r="ADW41">
        <f>IF($C40=111,0,ADW40+IF(AND($G40=111,$E40=1),1,0))</f>
        <v/>
      </c>
      <c r="ADX41">
        <f>IF($C40=112,0,ADX40+IF(AND($G40=112,$E40=1),1,0))</f>
        <v/>
      </c>
      <c r="ADY41">
        <f>IF($C40=113,0,ADY40+IF(AND($G40=113,$E40=1),1,0))</f>
        <v/>
      </c>
      <c r="ADZ41">
        <f>IF($C40=114,0,ADZ40+IF(AND($G40=114,$E40=1),1,0))</f>
        <v/>
      </c>
      <c r="AEA41">
        <f>IF($C40=115,0,AEA40+IF(AND($G40=115,$E40=1),1,0))</f>
        <v/>
      </c>
      <c r="AEB41">
        <f>IF($C40=116,0,AEB40+IF(AND($G40=116,$E40=1),1,0))</f>
        <v/>
      </c>
      <c r="AEC41">
        <f>IF($C40=117,0,AEC40+IF(AND($G40=117,$E40=1),1,0))</f>
        <v/>
      </c>
      <c r="AED41">
        <f>IF($C40=118,0,AED40+IF(AND($G40=118,$E40=1),1,0))</f>
        <v/>
      </c>
      <c r="AEE41">
        <f>IF($C40=119,0,AEE40+IF(AND($G40=119,$E40=1),1,0))</f>
        <v/>
      </c>
      <c r="AEF41">
        <f>IF($C40=120,0,AEF40+IF(AND($G40=120,$E40=1),1,0))</f>
        <v/>
      </c>
      <c r="AEG41">
        <f>IF($C40=121,0,AEG40+IF(AND($G40=121,$E40=1),1,0))</f>
        <v/>
      </c>
      <c r="AEH41">
        <f>IF($C40=122,0,AEH40+IF(AND($G40=122,$E40=1),1,0))</f>
        <v/>
      </c>
      <c r="AEI41">
        <f>IF($C40=123,0,AEI40+IF(AND($G40=123,$E40=1),1,0))</f>
        <v/>
      </c>
      <c r="AEJ41">
        <f>IF($C40=124,0,AEJ40+IF(AND($G40=124,$E40=1),1,0))</f>
        <v/>
      </c>
      <c r="AEK41">
        <f>IF($C40=125,0,AEK40+IF(AND($G40=125,$E40=1),1,0))</f>
        <v/>
      </c>
      <c r="AEL41">
        <f>IF($C40=126,0,AEL40+IF(AND($G40=126,$E40=1),1,0))</f>
        <v/>
      </c>
      <c r="AEM41">
        <f>IF($C40=127,0,AEM40+IF(AND($G40=127,$E40=1),1,0))</f>
        <v/>
      </c>
      <c r="AEN41">
        <f>IF($C40=128,0,AEN40+IF(AND($G40=128,$E40=1),1,0))</f>
        <v/>
      </c>
      <c r="AEO41">
        <f>IF($C40=129,0,AEO40+IF(AND($G40=129,$E40=1),1,0))</f>
        <v/>
      </c>
      <c r="AEP41">
        <f>IF($C40=130,0,AEP40+IF(AND($G40=130,$E40=1),1,0))</f>
        <v/>
      </c>
      <c r="AEQ41">
        <f>IF($C40=131,0,AEQ40+IF(AND($G40=131,$E40=1),1,0))</f>
        <v/>
      </c>
      <c r="AER41">
        <f>IF($C40=132,0,AER40+IF(AND($G40=132,$E40=1),1,0))</f>
        <v/>
      </c>
      <c r="AES41">
        <f>IF($C40=133,0,AES40+IF(AND($G40=133,$E40=1),1,0))</f>
        <v/>
      </c>
      <c r="AET41">
        <f>IF($C40=134,0,AET40+IF(AND($G40=134,$E40=1),1,0))</f>
        <v/>
      </c>
      <c r="AEU41">
        <f>IF($C40=135,0,AEU40+IF(AND($G40=135,$E40=1),1,0))</f>
        <v/>
      </c>
      <c r="AEV41">
        <f>IF($C40=136,0,AEV40+IF(AND($G40=136,$E40=1),1,0))</f>
        <v/>
      </c>
      <c r="AEW41">
        <f>IF($C40=137,0,AEW40+IF(AND($G40=137,$E40=1),1,0))</f>
        <v/>
      </c>
      <c r="AEX41">
        <f>IF($C40=138,0,AEX40+IF(AND($G40=138,$E40=1),1,0))</f>
        <v/>
      </c>
      <c r="AEY41">
        <f>IF($C40=139,0,AEY40+IF(AND($G40=139,$E40=1),1,0))</f>
        <v/>
      </c>
      <c r="AEZ41">
        <f>IF($C40=140,0,AEZ40+IF(AND($G40=140,$E40=1),1,0))</f>
        <v/>
      </c>
      <c r="AFA41">
        <f>IF($C40=141,0,AFA40+IF(AND($G40=141,$E40=1),1,0))</f>
        <v/>
      </c>
      <c r="AFB41">
        <f>IF($C40=142,0,AFB40+IF(AND($G40=142,$E40=1),1,0))</f>
        <v/>
      </c>
      <c r="AFC41">
        <f>IF($C40=143,0,AFC40+IF(AND($G40=143,$E40=1),1,0))</f>
        <v/>
      </c>
      <c r="AFD41">
        <f>IF($C40=144,0,AFD40+IF(AND($G40=144,$E40=1),1,0))</f>
        <v/>
      </c>
      <c r="AFF41">
        <f>IF('calcA'!D$106=1,DC41+ZR41,1)</f>
        <v/>
      </c>
      <c r="AFG41">
        <f>IF('calcA'!E$106=1,DD41+ZS41,1)</f>
        <v/>
      </c>
      <c r="AFH41">
        <f>IF('calcA'!F$106=1,DE41+ZT41,1)</f>
        <v/>
      </c>
      <c r="AFI41">
        <f>IF('calcA'!G$106=1,DF41+ZU41,1)</f>
        <v/>
      </c>
      <c r="AFJ41">
        <f>IF('calcA'!H$106=1,DG41+ZV41,1)</f>
        <v/>
      </c>
      <c r="AFK41">
        <f>IF('calcA'!I$106=1,DH41+ZW41,1)</f>
        <v/>
      </c>
      <c r="AFL41">
        <f>IF('calcA'!J$106=1,DI41+ZX41,1)</f>
        <v/>
      </c>
      <c r="AFM41">
        <f>IF('calcA'!K$106=1,DJ41+ZY41,1)</f>
        <v/>
      </c>
      <c r="AFN41">
        <f>IF('calcA'!L$106=1,DK41+ZZ41,1)</f>
        <v/>
      </c>
      <c r="AFO41">
        <f>IF('calcA'!M$106=1,DL41+AAA41,1)</f>
        <v/>
      </c>
      <c r="AFP41">
        <f>IF('calcA'!N$106=1,DM41+AAB41,1)</f>
        <v/>
      </c>
      <c r="AFQ41">
        <f>IF('calcA'!O$106=1,DN41+AAC41,1)</f>
        <v/>
      </c>
      <c r="AFR41">
        <f>IF('calcA'!P$106=1,DO41+AAD41,1)</f>
        <v/>
      </c>
      <c r="AFS41">
        <f>IF('calcA'!Q$106=1,DP41+AAE41,1)</f>
        <v/>
      </c>
      <c r="AFT41">
        <f>IF('calcA'!R$106=1,DQ41+AAF41,1)</f>
        <v/>
      </c>
      <c r="AFU41">
        <f>IF('calcA'!S$106=1,DR41+AAG41,1)</f>
        <v/>
      </c>
      <c r="AFV41">
        <f>IF('calcA'!T$106=1,DS41+AAH41,1)</f>
        <v/>
      </c>
      <c r="AFW41">
        <f>IF('calcA'!U$106=1,DT41+AAI41,1)</f>
        <v/>
      </c>
      <c r="AFX41">
        <f>IF('calcA'!V$106=1,DU41+AAJ41,1)</f>
        <v/>
      </c>
      <c r="AFY41">
        <f>IF('calcA'!W$106=1,DV41+AAK41,1)</f>
        <v/>
      </c>
      <c r="AFZ41">
        <f>IF('calcA'!X$106=1,DW41+AAL41,1)</f>
        <v/>
      </c>
      <c r="AGA41">
        <f>IF('calcA'!Y$106=1,DX41+AAM41,1)</f>
        <v/>
      </c>
      <c r="AGB41">
        <f>IF('calcA'!Z$106=1,DY41+AAN41,1)</f>
        <v/>
      </c>
      <c r="AGC41">
        <f>IF('calcA'!AA$106=1,DZ41+AAO41,1)</f>
        <v/>
      </c>
      <c r="AGD41">
        <f>IF('calcA'!AB$106=1,EA41+AAP41,1)</f>
        <v/>
      </c>
      <c r="AGE41">
        <f>IF('calcA'!AC$106=1,EB41+AAQ41,1)</f>
        <v/>
      </c>
      <c r="AGF41">
        <f>IF('calcA'!AD$106=1,EC41+AAR41,1)</f>
        <v/>
      </c>
      <c r="AGG41">
        <f>IF('calcA'!AE$106=1,ED41+AAS41,1)</f>
        <v/>
      </c>
      <c r="AGH41">
        <f>IF('calcA'!AF$106=1,EE41+AAT41,1)</f>
        <v/>
      </c>
      <c r="AGI41">
        <f>IF('calcA'!AG$106=1,EF41+AAU41,1)</f>
        <v/>
      </c>
      <c r="AGJ41">
        <f>IF('calcA'!AH$106=1,EG41+AAV41,1)</f>
        <v/>
      </c>
      <c r="AGK41">
        <f>IF('calcA'!AI$106=1,EH41+AAW41,1)</f>
        <v/>
      </c>
      <c r="AGL41">
        <f>IF('calcA'!AJ$106=1,EI41+AAX41,1)</f>
        <v/>
      </c>
      <c r="AGM41">
        <f>IF('calcA'!AK$106=1,EJ41+AAY41,1)</f>
        <v/>
      </c>
      <c r="AGN41">
        <f>IF('calcA'!AL$106=1,EK41+AAZ41,1)</f>
        <v/>
      </c>
      <c r="AGO41">
        <f>IF('calcA'!AM$106=1,EL41+ABA41,1)</f>
        <v/>
      </c>
      <c r="AGP41">
        <f>IF('calcA'!AN$106=1,EM41+ABB41,1)</f>
        <v/>
      </c>
      <c r="AGQ41">
        <f>IF('calcA'!AO$106=1,EN41+ABC41,1)</f>
        <v/>
      </c>
      <c r="AGR41">
        <f>IF('calcA'!AP$106=1,EO41+ABD41,1)</f>
        <v/>
      </c>
      <c r="AGS41">
        <f>IF('calcA'!AQ$106=1,EP41+ABE41,1)</f>
        <v/>
      </c>
      <c r="AGT41">
        <f>IF('calcA'!AR$106=1,EQ41+ABF41,1)</f>
        <v/>
      </c>
      <c r="AGU41">
        <f>IF('calcA'!AS$106=1,ER41+ABG41,1)</f>
        <v/>
      </c>
      <c r="AGV41">
        <f>IF('calcA'!AT$106=1,ES41+ABH41,1)</f>
        <v/>
      </c>
      <c r="AGW41">
        <f>IF('calcA'!AU$106=1,ET41+ABI41,1)</f>
        <v/>
      </c>
      <c r="AGX41">
        <f>IF('calcA'!AV$106=1,EU41+ABJ41,1)</f>
        <v/>
      </c>
      <c r="AGY41">
        <f>IF('calcA'!AW$106=1,EV41+ABK41,1)</f>
        <v/>
      </c>
      <c r="AGZ41">
        <f>IF('calcA'!AX$106=1,EW41+ABL41,1)</f>
        <v/>
      </c>
      <c r="AHA41">
        <f>IF('calcA'!AY$106=1,EX41+ABM41,1)</f>
        <v/>
      </c>
      <c r="AHB41">
        <f>IF('calcA'!AZ$106=1,EY41+ABN41,1)</f>
        <v/>
      </c>
      <c r="AHC41">
        <f>IF('calcA'!BA$106=1,EZ41+ABO41,1)</f>
        <v/>
      </c>
      <c r="AHD41">
        <f>IF('calcA'!BB$106=1,FA41+ABP41,1)</f>
        <v/>
      </c>
      <c r="AHE41">
        <f>IF('calcA'!BC$106=1,FB41+ABQ41,1)</f>
        <v/>
      </c>
      <c r="AHF41">
        <f>IF('calcA'!BD$106=1,FC41+ABR41,1)</f>
        <v/>
      </c>
      <c r="AHG41">
        <f>IF('calcA'!BE$106=1,FD41+ABS41,1)</f>
        <v/>
      </c>
      <c r="AHH41">
        <f>IF('calcA'!BF$106=1,FE41+ABT41,1)</f>
        <v/>
      </c>
      <c r="AHI41">
        <f>IF('calcA'!BG$106=1,FF41+ABU41,1)</f>
        <v/>
      </c>
      <c r="AHJ41">
        <f>IF('calcA'!BH$106=1,FG41+ABV41,1)</f>
        <v/>
      </c>
      <c r="AHK41">
        <f>IF('calcA'!BI$106=1,FH41+ABW41,1)</f>
        <v/>
      </c>
      <c r="AHL41">
        <f>IF('calcA'!BJ$106=1,FI41+ABX41,1)</f>
        <v/>
      </c>
      <c r="AHM41">
        <f>IF('calcA'!BK$106=1,FJ41+ABY41,1)</f>
        <v/>
      </c>
      <c r="AHN41">
        <f>IF('calcA'!BL$106=1,FK41+ABZ41,1)</f>
        <v/>
      </c>
      <c r="AHO41">
        <f>IF('calcA'!BM$106=1,FL41+ACA41,1)</f>
        <v/>
      </c>
      <c r="AHP41">
        <f>IF('calcA'!BN$106=1,FM41+ACB41,1)</f>
        <v/>
      </c>
      <c r="AHQ41">
        <f>IF('calcA'!BO$106=1,FN41+ACC41,1)</f>
        <v/>
      </c>
      <c r="AHR41">
        <f>IF('calcA'!BP$106=1,FO41+ACD41,1)</f>
        <v/>
      </c>
      <c r="AHS41">
        <f>IF('calcA'!BQ$106=1,FP41+ACE41,1)</f>
        <v/>
      </c>
      <c r="AHT41">
        <f>IF('calcA'!BR$106=1,FQ41+ACF41,1)</f>
        <v/>
      </c>
      <c r="AHU41">
        <f>IF('calcA'!BS$106=1,FR41+ACG41,1)</f>
        <v/>
      </c>
      <c r="AHV41">
        <f>IF('calcA'!BT$106=1,FS41+ACH41,1)</f>
        <v/>
      </c>
      <c r="AHW41">
        <f>IF('calcA'!BU$106=1,FT41+ACI41,1)</f>
        <v/>
      </c>
      <c r="AHX41">
        <f>IF('calcA'!BV$106=1,FU41+ACJ41,1)</f>
        <v/>
      </c>
      <c r="AHY41">
        <f>IF('calcA'!BW$106=1,FV41+ACK41,1)</f>
        <v/>
      </c>
      <c r="AHZ41">
        <f>IF('calcA'!BX$106=1,FW41+ACL41,1)</f>
        <v/>
      </c>
      <c r="AIA41">
        <f>IF('calcA'!BY$106=1,FX41+ACM41,1)</f>
        <v/>
      </c>
      <c r="AIB41">
        <f>IF('calcA'!BZ$106=1,FY41+ACN41,1)</f>
        <v/>
      </c>
      <c r="AIC41">
        <f>IF('calcA'!CA$106=1,FZ41+ACO41,1)</f>
        <v/>
      </c>
      <c r="AID41">
        <f>IF('calcA'!CB$106=1,GA41+ACP41,1)</f>
        <v/>
      </c>
      <c r="AIE41">
        <f>IF('calcA'!CC$106=1,GB41+ACQ41,1)</f>
        <v/>
      </c>
      <c r="AIF41">
        <f>IF('calcA'!CD$106=1,GC41+ACR41,1)</f>
        <v/>
      </c>
      <c r="AIG41">
        <f>IF('calcA'!CE$106=1,GD41+ACS41,1)</f>
        <v/>
      </c>
      <c r="AIH41">
        <f>IF('calcA'!CF$106=1,GE41+ACT41,1)</f>
        <v/>
      </c>
      <c r="AII41">
        <f>IF('calcA'!CG$106=1,GF41+ACU41,1)</f>
        <v/>
      </c>
      <c r="AIJ41">
        <f>IF('calcA'!CH$106=1,GG41+ACV41,1)</f>
        <v/>
      </c>
      <c r="AIK41">
        <f>IF('calcA'!CI$106=1,GH41+ACW41,1)</f>
        <v/>
      </c>
      <c r="AIL41">
        <f>IF('calcA'!CJ$106=1,GI41+ACX41,1)</f>
        <v/>
      </c>
      <c r="AIM41">
        <f>IF('calcA'!CK$106=1,GJ41+ACY41,1)</f>
        <v/>
      </c>
      <c r="AIN41">
        <f>IF('calcA'!CL$106=1,GK41+ACZ41,1)</f>
        <v/>
      </c>
      <c r="AIO41">
        <f>IF('calcA'!CM$106=1,GL41+ADA41,1)</f>
        <v/>
      </c>
      <c r="AIP41">
        <f>IF('calcA'!CN$106=1,GM41+ADB41,1)</f>
        <v/>
      </c>
      <c r="AIQ41">
        <f>IF('calcA'!CO$106=1,GN41+ADC41,1)</f>
        <v/>
      </c>
      <c r="AIR41">
        <f>IF('calcA'!CP$106=1,GO41+ADD41,1)</f>
        <v/>
      </c>
      <c r="AIS41">
        <f>IF('calcA'!CQ$106=1,GP41+ADE41,1)</f>
        <v/>
      </c>
      <c r="AIT41">
        <f>IF('calcA'!CR$106=1,GQ41+ADF41,1)</f>
        <v/>
      </c>
      <c r="AIU41">
        <f>IF('calcA'!CS$106=1,GR41+ADG41,1)</f>
        <v/>
      </c>
      <c r="AIV41">
        <f>IF('calcA'!CT$106=1,GS41+ADH41,1)</f>
        <v/>
      </c>
      <c r="AIW41">
        <f>IF('calcA'!CU$106=1,GT41+ADI41,1)</f>
        <v/>
      </c>
      <c r="AIX41">
        <f>IF('calcA'!CV$106=1,GU41+ADJ41,1)</f>
        <v/>
      </c>
      <c r="AIY41">
        <f>IF('calcA'!CW$106=1,GV41+ADK41,1)</f>
        <v/>
      </c>
      <c r="AIZ41">
        <f>IF('calcA'!CX$106=1,GW41+ADL41,1)</f>
        <v/>
      </c>
      <c r="AJA41">
        <f>IF('calcA'!CY$106=1,GX41+ADM41,1)</f>
        <v/>
      </c>
      <c r="AJB41">
        <f>IF('calcA'!CZ$106=1,GY41+ADN41,1)</f>
        <v/>
      </c>
      <c r="AJC41">
        <f>IF('calcA'!DA$106=1,GZ41+ADO41,1)</f>
        <v/>
      </c>
      <c r="AJD41">
        <f>IF('calcA'!DB$106=1,HA41+ADP41,1)</f>
        <v/>
      </c>
      <c r="AJE41">
        <f>IF('calcA'!DC$106=1,HB41+ADQ41,1)</f>
        <v/>
      </c>
      <c r="AJF41">
        <f>IF('calcA'!DD$106=1,HC41+ADR41,1)</f>
        <v/>
      </c>
      <c r="AJG41">
        <f>IF('calcA'!DE$106=1,HD41+ADS41,1)</f>
        <v/>
      </c>
      <c r="AJH41">
        <f>IF('calcA'!DF$106=1,HE41+ADT41,1)</f>
        <v/>
      </c>
      <c r="AJI41">
        <f>IF('calcA'!DG$106=1,HF41+ADU41,1)</f>
        <v/>
      </c>
      <c r="AJJ41">
        <f>IF('calcA'!DH$106=1,HG41+ADV41,1)</f>
        <v/>
      </c>
      <c r="AJK41">
        <f>IF('calcA'!DI$106=1,HH41+ADW41,1)</f>
        <v/>
      </c>
      <c r="AJL41">
        <f>IF('calcA'!DJ$106=1,HI41+ADX41,1)</f>
        <v/>
      </c>
      <c r="AJM41">
        <f>IF('calcA'!DK$106=1,HJ41+ADY41,1)</f>
        <v/>
      </c>
      <c r="AJN41">
        <f>IF('calcA'!DL$106=1,HK41+ADZ41,1)</f>
        <v/>
      </c>
      <c r="AJO41">
        <f>IF('calcA'!DM$106=1,HL41+AEA41,1)</f>
        <v/>
      </c>
      <c r="AJP41">
        <f>IF('calcA'!DN$106=1,HM41+AEB41,1)</f>
        <v/>
      </c>
      <c r="AJQ41">
        <f>IF('calcA'!DO$106=1,HN41+AEC41,1)</f>
        <v/>
      </c>
      <c r="AJR41">
        <f>IF('calcA'!DP$106=1,HO41+AED41,1)</f>
        <v/>
      </c>
      <c r="AJS41">
        <f>IF('calcA'!DQ$106=1,HP41+AEE41,1)</f>
        <v/>
      </c>
      <c r="AJT41">
        <f>IF('calcA'!DR$106=1,HQ41+AEF41,1)</f>
        <v/>
      </c>
      <c r="AJU41">
        <f>IF('calcA'!DS$106=1,HR41+AEG41,1)</f>
        <v/>
      </c>
      <c r="AJV41">
        <f>IF('calcA'!DT$106=1,HS41+AEH41,1)</f>
        <v/>
      </c>
      <c r="AJW41">
        <f>IF('calcA'!DU$106=1,HT41+AEI41,1)</f>
        <v/>
      </c>
      <c r="AJX41">
        <f>IF('calcA'!DV$106=1,HU41+AEJ41,1)</f>
        <v/>
      </c>
      <c r="AJY41">
        <f>IF('calcA'!DW$106=1,HV41+AEK41,1)</f>
        <v/>
      </c>
      <c r="AJZ41">
        <f>IF('calcA'!DX$106=1,HW41+AEL41,1)</f>
        <v/>
      </c>
      <c r="AKA41">
        <f>IF('calcA'!DY$106=1,HX41+AEM41,1)</f>
        <v/>
      </c>
      <c r="AKB41">
        <f>IF('calcA'!DZ$106=1,HY41+AEN41,1)</f>
        <v/>
      </c>
      <c r="AKC41">
        <f>IF('calcA'!EA$106=1,HZ41+AEO41,1)</f>
        <v/>
      </c>
      <c r="AKD41">
        <f>IF('calcA'!EB$106=1,IA41+AEP41,1)</f>
        <v/>
      </c>
      <c r="AKE41">
        <f>IF('calcA'!EC$106=1,IB41+AEQ41,1)</f>
        <v/>
      </c>
      <c r="AKF41">
        <f>IF('calcA'!ED$106=1,IC41+AER41,1)</f>
        <v/>
      </c>
      <c r="AKG41">
        <f>IF('calcA'!EE$106=1,ID41+AES41,1)</f>
        <v/>
      </c>
      <c r="AKH41">
        <f>IF('calcA'!EF$106=1,IE41+AET41,1)</f>
        <v/>
      </c>
      <c r="AKI41">
        <f>IF('calcA'!EG$106=1,IF41+AEU41,1)</f>
        <v/>
      </c>
      <c r="AKJ41">
        <f>IF('calcA'!EH$106=1,IG41+AEV41,1)</f>
        <v/>
      </c>
      <c r="AKK41">
        <f>IF('calcA'!EI$106=1,IH41+AEW41,1)</f>
        <v/>
      </c>
      <c r="AKL41">
        <f>IF('calcA'!EJ$106=1,II41+AEX41,1)</f>
        <v/>
      </c>
      <c r="AKM41">
        <f>IF('calcA'!EK$106=1,IJ41+AEY41,1)</f>
        <v/>
      </c>
      <c r="AKN41">
        <f>IF('calcA'!EL$106=1,IK41+AEZ41,1)</f>
        <v/>
      </c>
      <c r="AKO41">
        <f>IF('calcA'!EM$106=1,IL41+AFA41,1)</f>
        <v/>
      </c>
      <c r="AKP41">
        <f>IF('calcA'!EN$106=1,IM41+AFB41,1)</f>
        <v/>
      </c>
      <c r="AKQ41">
        <f>IF('calcA'!EO$106=1,IN41+AFC41,1)</f>
        <v/>
      </c>
      <c r="AKR41">
        <f>IF('calcA'!EP$106=1,IO41+AFD41,1)</f>
        <v/>
      </c>
      <c r="AKS41" t="n">
        <v>1</v>
      </c>
    </row>
    <row r="42">
      <c r="A42" t="n">
        <v>40</v>
      </c>
      <c r="B42">
        <f>IF(MIN(BM42:CZ42)&gt;=1000000000,0,MATCH(MIN(BM42:CZ42),BM42:CZ42,0))</f>
        <v/>
      </c>
      <c r="C42">
        <f>IF(MIN(OF42:TS42)&gt;=1000000000,0,MATCH(MIN(OF42:TS42),OF42:TS42,0))</f>
        <v/>
      </c>
      <c r="D42">
        <f>IF(C42&gt;0,INDEX('calcA'!$D$5:$EQ$5,C42),0)</f>
        <v/>
      </c>
      <c r="E42">
        <f>IF(B42=0,0,INDEX('calcA'!$IQ$10:$IQ$54,B42))</f>
        <v/>
      </c>
      <c r="F42">
        <f>IF(B42=0,0,INDEX('calcA'!$IP$10:$IP$54,B42))</f>
        <v/>
      </c>
      <c r="G42">
        <f>IF(AND(C42&gt;0,E42&gt;0),IF(AND(INDEX('calcA'!$D$106:$EQ$106,C42)=1,INDEX($IQ42:$OD42,C42)=1),C42+1,0),0)</f>
        <v/>
      </c>
      <c r="H42">
        <f>IF(B42=0,0,INDEX('calcA'!$IW$10:$IW$54,B42))</f>
        <v/>
      </c>
      <c r="U42">
        <f>IF(B42=0,0,INDEX('calcA'!$IX$10:$IX$54,B42))</f>
        <v/>
      </c>
      <c r="V42">
        <f>IF(B42=0,0,INDEX('calcA'!$JF$10:$JF$54,B42))</f>
        <v/>
      </c>
      <c r="W42">
        <f>IF(B42=0,0,IF(IF(E42=2,SUMPRODUCT(INDEX('calcA'!$D$60:$EQ$99,B42,0),$DB42:$IO42,$IQ42:$OD42),SUMPRODUCT(INDEX('calcA'!$D$60:$EQ$99,B42,0),$DB42:$IO42))=0,1,0))</f>
        <v/>
      </c>
      <c r="X42">
        <f>MAX(X41,IF($B41=1,1,0))</f>
        <v/>
      </c>
      <c r="Y42">
        <f>MAX(Y41,IF($B41=2,1,0))</f>
        <v/>
      </c>
      <c r="Z42">
        <f>MAX(Z41,IF($B41=3,1,0))</f>
        <v/>
      </c>
      <c r="AA42">
        <f>MAX(AA41,IF($B41=4,1,0))</f>
        <v/>
      </c>
      <c r="AB42">
        <f>MAX(AB41,IF($B41=5,1,0))</f>
        <v/>
      </c>
      <c r="AC42">
        <f>MAX(AC41,IF($B41=6,1,0))</f>
        <v/>
      </c>
      <c r="AD42">
        <f>MAX(AD41,IF($B41=7,1,0))</f>
        <v/>
      </c>
      <c r="AE42">
        <f>MAX(AE41,IF($B41=8,1,0))</f>
        <v/>
      </c>
      <c r="AF42">
        <f>MAX(AF41,IF($B41=9,1,0))</f>
        <v/>
      </c>
      <c r="AG42">
        <f>MAX(AG41,IF($B41=10,1,0))</f>
        <v/>
      </c>
      <c r="AH42">
        <f>MAX(AH41,IF($B41=11,1,0))</f>
        <v/>
      </c>
      <c r="AI42">
        <f>MAX(AI41,IF($B41=12,1,0))</f>
        <v/>
      </c>
      <c r="AJ42">
        <f>MAX(AJ41,IF($B41=13,1,0))</f>
        <v/>
      </c>
      <c r="AK42">
        <f>MAX(AK41,IF($B41=14,1,0))</f>
        <v/>
      </c>
      <c r="AL42">
        <f>MAX(AL41,IF($B41=15,1,0))</f>
        <v/>
      </c>
      <c r="AM42">
        <f>MAX(AM41,IF($B41=16,1,0))</f>
        <v/>
      </c>
      <c r="AN42">
        <f>MAX(AN41,IF($B41=17,1,0))</f>
        <v/>
      </c>
      <c r="AO42">
        <f>MAX(AO41,IF($B41=18,1,0))</f>
        <v/>
      </c>
      <c r="AP42">
        <f>MAX(AP41,IF($B41=19,1,0))</f>
        <v/>
      </c>
      <c r="AQ42">
        <f>MAX(AQ41,IF($B41=20,1,0))</f>
        <v/>
      </c>
      <c r="AR42">
        <f>MAX(AR41,IF($B41=21,1,0))</f>
        <v/>
      </c>
      <c r="AS42">
        <f>MAX(AS41,IF($B41=22,1,0))</f>
        <v/>
      </c>
      <c r="AT42">
        <f>MAX(AT41,IF($B41=23,1,0))</f>
        <v/>
      </c>
      <c r="AU42">
        <f>MAX(AU41,IF($B41=24,1,0))</f>
        <v/>
      </c>
      <c r="AV42">
        <f>MAX(AV41,IF($B41=25,1,0))</f>
        <v/>
      </c>
      <c r="AW42">
        <f>MAX(AW41,IF($B41=26,1,0))</f>
        <v/>
      </c>
      <c r="AX42">
        <f>MAX(AX41,IF($B41=27,1,0))</f>
        <v/>
      </c>
      <c r="AY42">
        <f>MAX(AY41,IF($B41=28,1,0))</f>
        <v/>
      </c>
      <c r="AZ42">
        <f>MAX(AZ41,IF($B41=29,1,0))</f>
        <v/>
      </c>
      <c r="BA42">
        <f>MAX(BA41,IF($B41=30,1,0))</f>
        <v/>
      </c>
      <c r="BB42">
        <f>MAX(BB41,IF($B41=31,1,0))</f>
        <v/>
      </c>
      <c r="BC42">
        <f>MAX(BC41,IF($B41=32,1,0))</f>
        <v/>
      </c>
      <c r="BD42">
        <f>MAX(BD41,IF($B41=33,1,0))</f>
        <v/>
      </c>
      <c r="BE42">
        <f>MAX(BE41,IF($B41=34,1,0))</f>
        <v/>
      </c>
      <c r="BF42">
        <f>MAX(BF41,IF($B41=35,1,0))</f>
        <v/>
      </c>
      <c r="BG42">
        <f>MAX(BG41,IF($B41=36,1,0))</f>
        <v/>
      </c>
      <c r="BH42">
        <f>MAX(BH41,IF($B41=37,1,0))</f>
        <v/>
      </c>
      <c r="BI42">
        <f>MAX(BI41,IF($B41=38,1,0))</f>
        <v/>
      </c>
      <c r="BJ42">
        <f>MAX(BJ41,IF($B41=39,1,0))</f>
        <v/>
      </c>
      <c r="BK42">
        <f>MAX(BK41,IF($B41=40,1,0))</f>
        <v/>
      </c>
      <c r="BM42">
        <f>IF(OR(X42=1,calcA!$A$6=0),1000000000,IF('calcA'!$JF$10=1,0,100000000)+IF('calcA'!$IQ$10=2,SUMPRODUCT('calcA'!$D$60:$EQ$60,$DB42:$IO42,$IQ42:$OD42)*1000+SUMPRODUCT('calcA'!$D$60:$EQ$60,$DB42:$IO42+$ZQ42:$AFD42,$AFF42:$AKS42),SUMPRODUCT('calcA'!$D$60:$EQ$60,$DB42:$IO42*1001+$ZQ42:$AFD42))*100+1)</f>
        <v/>
      </c>
      <c r="BN42">
        <f>IF(OR(Y42=1,calcA!$A$6=0),1000000000,IF('calcA'!$JF$11=1,0,100000000)+IF('calcA'!$IQ$11=2,SUMPRODUCT('calcA'!$D$61:$EQ$61,$DB42:$IO42,$IQ42:$OD42)*1000+SUMPRODUCT('calcA'!$D$61:$EQ$61,$DB42:$IO42+$ZQ42:$AFD42,$AFF42:$AKS42),SUMPRODUCT('calcA'!$D$61:$EQ$61,$DB42:$IO42*1001+$ZQ42:$AFD42))*100+2)</f>
        <v/>
      </c>
      <c r="BO42">
        <f>IF(OR(Z42=1,calcA!$A$6=0),1000000000,IF('calcA'!$JF$12=1,0,100000000)+IF('calcA'!$IQ$12=2,SUMPRODUCT('calcA'!$D$62:$EQ$62,$DB42:$IO42,$IQ42:$OD42)*1000+SUMPRODUCT('calcA'!$D$62:$EQ$62,$DB42:$IO42+$ZQ42:$AFD42,$AFF42:$AKS42),SUMPRODUCT('calcA'!$D$62:$EQ$62,$DB42:$IO42*1001+$ZQ42:$AFD42))*100+3)</f>
        <v/>
      </c>
      <c r="BP42">
        <f>IF(OR(AA42=1,calcA!$A$6=0),1000000000,IF('calcA'!$JF$13=1,0,100000000)+IF('calcA'!$IQ$13=2,SUMPRODUCT('calcA'!$D$63:$EQ$63,$DB42:$IO42,$IQ42:$OD42)*1000+SUMPRODUCT('calcA'!$D$63:$EQ$63,$DB42:$IO42+$ZQ42:$AFD42,$AFF42:$AKS42),SUMPRODUCT('calcA'!$D$63:$EQ$63,$DB42:$IO42*1001+$ZQ42:$AFD42))*100+4)</f>
        <v/>
      </c>
      <c r="BQ42">
        <f>IF(OR(AB42=1,calcA!$A$6=0),1000000000,IF('calcA'!$JF$14=1,0,100000000)+IF('calcA'!$IQ$14=2,SUMPRODUCT('calcA'!$D$64:$EQ$64,$DB42:$IO42,$IQ42:$OD42)*1000+SUMPRODUCT('calcA'!$D$64:$EQ$64,$DB42:$IO42+$ZQ42:$AFD42,$AFF42:$AKS42),SUMPRODUCT('calcA'!$D$64:$EQ$64,$DB42:$IO42*1001+$ZQ42:$AFD42))*100+5)</f>
        <v/>
      </c>
      <c r="BR42">
        <f>IF(OR(AC42=1,calcA!$A$6=0),1000000000,IF('calcA'!$JF$15=1,0,100000000)+IF('calcA'!$IQ$15=2,SUMPRODUCT('calcA'!$D$65:$EQ$65,$DB42:$IO42,$IQ42:$OD42)*1000+SUMPRODUCT('calcA'!$D$65:$EQ$65,$DB42:$IO42+$ZQ42:$AFD42,$AFF42:$AKS42),SUMPRODUCT('calcA'!$D$65:$EQ$65,$DB42:$IO42*1001+$ZQ42:$AFD42))*100+6)</f>
        <v/>
      </c>
      <c r="BS42">
        <f>IF(OR(AD42=1,calcA!$A$6=0),1000000000,IF('calcA'!$JF$16=1,0,100000000)+IF('calcA'!$IQ$16=2,SUMPRODUCT('calcA'!$D$66:$EQ$66,$DB42:$IO42,$IQ42:$OD42)*1000+SUMPRODUCT('calcA'!$D$66:$EQ$66,$DB42:$IO42+$ZQ42:$AFD42,$AFF42:$AKS42),SUMPRODUCT('calcA'!$D$66:$EQ$66,$DB42:$IO42*1001+$ZQ42:$AFD42))*100+7)</f>
        <v/>
      </c>
      <c r="BT42">
        <f>IF(OR(AE42=1,calcA!$A$6=0),1000000000,IF('calcA'!$JF$17=1,0,100000000)+IF('calcA'!$IQ$17=2,SUMPRODUCT('calcA'!$D$67:$EQ$67,$DB42:$IO42,$IQ42:$OD42)*1000+SUMPRODUCT('calcA'!$D$67:$EQ$67,$DB42:$IO42+$ZQ42:$AFD42,$AFF42:$AKS42),SUMPRODUCT('calcA'!$D$67:$EQ$67,$DB42:$IO42*1001+$ZQ42:$AFD42))*100+8)</f>
        <v/>
      </c>
      <c r="BU42">
        <f>IF(OR(AF42=1,calcA!$A$6=0),1000000000,IF('calcA'!$JF$18=1,0,100000000)+IF('calcA'!$IQ$18=2,SUMPRODUCT('calcA'!$D$68:$EQ$68,$DB42:$IO42,$IQ42:$OD42)*1000+SUMPRODUCT('calcA'!$D$68:$EQ$68,$DB42:$IO42+$ZQ42:$AFD42,$AFF42:$AKS42),SUMPRODUCT('calcA'!$D$68:$EQ$68,$DB42:$IO42*1001+$ZQ42:$AFD42))*100+9)</f>
        <v/>
      </c>
      <c r="BV42">
        <f>IF(OR(AG42=1,calcA!$A$6=0),1000000000,IF('calcA'!$JF$19=1,0,100000000)+IF('calcA'!$IQ$19=2,SUMPRODUCT('calcA'!$D$69:$EQ$69,$DB42:$IO42,$IQ42:$OD42)*1000+SUMPRODUCT('calcA'!$D$69:$EQ$69,$DB42:$IO42+$ZQ42:$AFD42,$AFF42:$AKS42),SUMPRODUCT('calcA'!$D$69:$EQ$69,$DB42:$IO42*1001+$ZQ42:$AFD42))*100+10)</f>
        <v/>
      </c>
      <c r="BW42">
        <f>IF(OR(AH42=1,calcA!$A$6=0),1000000000,IF('calcA'!$JF$20=1,0,100000000)+IF('calcA'!$IQ$20=2,SUMPRODUCT('calcA'!$D$70:$EQ$70,$DB42:$IO42,$IQ42:$OD42)*1000+SUMPRODUCT('calcA'!$D$70:$EQ$70,$DB42:$IO42+$ZQ42:$AFD42,$AFF42:$AKS42),SUMPRODUCT('calcA'!$D$70:$EQ$70,$DB42:$IO42*1001+$ZQ42:$AFD42))*100+11)</f>
        <v/>
      </c>
      <c r="BX42">
        <f>IF(OR(AI42=1,calcA!$A$6=0),1000000000,IF('calcA'!$JF$21=1,0,100000000)+IF('calcA'!$IQ$21=2,SUMPRODUCT('calcA'!$D$71:$EQ$71,$DB42:$IO42,$IQ42:$OD42)*1000+SUMPRODUCT('calcA'!$D$71:$EQ$71,$DB42:$IO42+$ZQ42:$AFD42,$AFF42:$AKS42),SUMPRODUCT('calcA'!$D$71:$EQ$71,$DB42:$IO42*1001+$ZQ42:$AFD42))*100+12)</f>
        <v/>
      </c>
      <c r="BY42">
        <f>IF(OR(AJ42=1,calcA!$A$6=0),1000000000,IF('calcA'!$JF$22=1,0,100000000)+IF('calcA'!$IQ$22=2,SUMPRODUCT('calcA'!$D$72:$EQ$72,$DB42:$IO42,$IQ42:$OD42)*1000+SUMPRODUCT('calcA'!$D$72:$EQ$72,$DB42:$IO42+$ZQ42:$AFD42,$AFF42:$AKS42),SUMPRODUCT('calcA'!$D$72:$EQ$72,$DB42:$IO42*1001+$ZQ42:$AFD42))*100+13)</f>
        <v/>
      </c>
      <c r="BZ42">
        <f>IF(OR(AK42=1,calcA!$A$6=0),1000000000,IF('calcA'!$JF$23=1,0,100000000)+IF('calcA'!$IQ$23=2,SUMPRODUCT('calcA'!$D$73:$EQ$73,$DB42:$IO42,$IQ42:$OD42)*1000+SUMPRODUCT('calcA'!$D$73:$EQ$73,$DB42:$IO42+$ZQ42:$AFD42,$AFF42:$AKS42),SUMPRODUCT('calcA'!$D$73:$EQ$73,$DB42:$IO42*1001+$ZQ42:$AFD42))*100+14)</f>
        <v/>
      </c>
      <c r="CA42">
        <f>IF(OR(AL42=1,calcA!$A$6=0),1000000000,IF('calcA'!$JF$24=1,0,100000000)+IF('calcA'!$IQ$24=2,SUMPRODUCT('calcA'!$D$74:$EQ$74,$DB42:$IO42,$IQ42:$OD42)*1000+SUMPRODUCT('calcA'!$D$74:$EQ$74,$DB42:$IO42+$ZQ42:$AFD42,$AFF42:$AKS42),SUMPRODUCT('calcA'!$D$74:$EQ$74,$DB42:$IO42*1001+$ZQ42:$AFD42))*100+15)</f>
        <v/>
      </c>
      <c r="CB42">
        <f>IF(OR(AM42=1,calcA!$A$6=0),1000000000,IF('calcA'!$JF$25=1,0,100000000)+IF('calcA'!$IQ$25=2,SUMPRODUCT('calcA'!$D$75:$EQ$75,$DB42:$IO42,$IQ42:$OD42)*1000+SUMPRODUCT('calcA'!$D$75:$EQ$75,$DB42:$IO42+$ZQ42:$AFD42,$AFF42:$AKS42),SUMPRODUCT('calcA'!$D$75:$EQ$75,$DB42:$IO42*1001+$ZQ42:$AFD42))*100+16)</f>
        <v/>
      </c>
      <c r="CC42">
        <f>IF(OR(AN42=1,calcA!$A$6=0),1000000000,IF('calcA'!$JF$26=1,0,100000000)+IF('calcA'!$IQ$26=2,SUMPRODUCT('calcA'!$D$76:$EQ$76,$DB42:$IO42,$IQ42:$OD42)*1000+SUMPRODUCT('calcA'!$D$76:$EQ$76,$DB42:$IO42+$ZQ42:$AFD42,$AFF42:$AKS42),SUMPRODUCT('calcA'!$D$76:$EQ$76,$DB42:$IO42*1001+$ZQ42:$AFD42))*100+17)</f>
        <v/>
      </c>
      <c r="CD42">
        <f>IF(OR(AO42=1,calcA!$A$6=0),1000000000,IF('calcA'!$JF$27=1,0,100000000)+IF('calcA'!$IQ$27=2,SUMPRODUCT('calcA'!$D$77:$EQ$77,$DB42:$IO42,$IQ42:$OD42)*1000+SUMPRODUCT('calcA'!$D$77:$EQ$77,$DB42:$IO42+$ZQ42:$AFD42,$AFF42:$AKS42),SUMPRODUCT('calcA'!$D$77:$EQ$77,$DB42:$IO42*1001+$ZQ42:$AFD42))*100+18)</f>
        <v/>
      </c>
      <c r="CE42">
        <f>IF(OR(AP42=1,calcA!$A$6=0),1000000000,IF('calcA'!$JF$28=1,0,100000000)+IF('calcA'!$IQ$28=2,SUMPRODUCT('calcA'!$D$78:$EQ$78,$DB42:$IO42,$IQ42:$OD42)*1000+SUMPRODUCT('calcA'!$D$78:$EQ$78,$DB42:$IO42+$ZQ42:$AFD42,$AFF42:$AKS42),SUMPRODUCT('calcA'!$D$78:$EQ$78,$DB42:$IO42*1001+$ZQ42:$AFD42))*100+19)</f>
        <v/>
      </c>
      <c r="CF42">
        <f>IF(OR(AQ42=1,calcA!$A$6=0),1000000000,IF('calcA'!$JF$29=1,0,100000000)+IF('calcA'!$IQ$29=2,SUMPRODUCT('calcA'!$D$79:$EQ$79,$DB42:$IO42,$IQ42:$OD42)*1000+SUMPRODUCT('calcA'!$D$79:$EQ$79,$DB42:$IO42+$ZQ42:$AFD42,$AFF42:$AKS42),SUMPRODUCT('calcA'!$D$79:$EQ$79,$DB42:$IO42*1001+$ZQ42:$AFD42))*100+20)</f>
        <v/>
      </c>
      <c r="CG42">
        <f>IF(OR(AR42=1,calcA!$A$6=0),1000000000,IF('calcA'!$JF$30=1,0,100000000)+IF('calcA'!$IQ$30=2,SUMPRODUCT('calcA'!$D$80:$EQ$80,$DB42:$IO42,$IQ42:$OD42)*1000+SUMPRODUCT('calcA'!$D$80:$EQ$80,$DB42:$IO42+$ZQ42:$AFD42,$AFF42:$AKS42),SUMPRODUCT('calcA'!$D$80:$EQ$80,$DB42:$IO42*1001+$ZQ42:$AFD42))*100+21)</f>
        <v/>
      </c>
      <c r="CH42">
        <f>IF(OR(AS42=1,calcA!$A$6=0),1000000000,IF('calcA'!$JF$31=1,0,100000000)+IF('calcA'!$IQ$31=2,SUMPRODUCT('calcA'!$D$81:$EQ$81,$DB42:$IO42,$IQ42:$OD42)*1000+SUMPRODUCT('calcA'!$D$81:$EQ$81,$DB42:$IO42+$ZQ42:$AFD42,$AFF42:$AKS42),SUMPRODUCT('calcA'!$D$81:$EQ$81,$DB42:$IO42*1001+$ZQ42:$AFD42))*100+22)</f>
        <v/>
      </c>
      <c r="CI42">
        <f>IF(OR(AT42=1,calcA!$A$6=0),1000000000,IF('calcA'!$JF$32=1,0,100000000)+IF('calcA'!$IQ$32=2,SUMPRODUCT('calcA'!$D$82:$EQ$82,$DB42:$IO42,$IQ42:$OD42)*1000+SUMPRODUCT('calcA'!$D$82:$EQ$82,$DB42:$IO42+$ZQ42:$AFD42,$AFF42:$AKS42),SUMPRODUCT('calcA'!$D$82:$EQ$82,$DB42:$IO42*1001+$ZQ42:$AFD42))*100+23)</f>
        <v/>
      </c>
      <c r="CJ42">
        <f>IF(OR(AU42=1,calcA!$A$6=0),1000000000,IF('calcA'!$JF$33=1,0,100000000)+IF('calcA'!$IQ$33=2,SUMPRODUCT('calcA'!$D$83:$EQ$83,$DB42:$IO42,$IQ42:$OD42)*1000+SUMPRODUCT('calcA'!$D$83:$EQ$83,$DB42:$IO42+$ZQ42:$AFD42,$AFF42:$AKS42),SUMPRODUCT('calcA'!$D$83:$EQ$83,$DB42:$IO42*1001+$ZQ42:$AFD42))*100+24)</f>
        <v/>
      </c>
      <c r="CK42">
        <f>IF(OR(AV42=1,calcA!$A$6=0),1000000000,IF('calcA'!$JF$34=1,0,100000000)+IF('calcA'!$IQ$34=2,SUMPRODUCT('calcA'!$D$84:$EQ$84,$DB42:$IO42,$IQ42:$OD42)*1000+SUMPRODUCT('calcA'!$D$84:$EQ$84,$DB42:$IO42+$ZQ42:$AFD42,$AFF42:$AKS42),SUMPRODUCT('calcA'!$D$84:$EQ$84,$DB42:$IO42*1001+$ZQ42:$AFD42))*100+25)</f>
        <v/>
      </c>
      <c r="CL42">
        <f>IF(OR(AW42=1,calcA!$A$6=0),1000000000,IF('calcA'!$JF$35=1,0,100000000)+IF('calcA'!$IQ$35=2,SUMPRODUCT('calcA'!$D$85:$EQ$85,$DB42:$IO42,$IQ42:$OD42)*1000+SUMPRODUCT('calcA'!$D$85:$EQ$85,$DB42:$IO42+$ZQ42:$AFD42,$AFF42:$AKS42),SUMPRODUCT('calcA'!$D$85:$EQ$85,$DB42:$IO42*1001+$ZQ42:$AFD42))*100+26)</f>
        <v/>
      </c>
      <c r="CM42">
        <f>IF(OR(AX42=1,calcA!$A$6=0),1000000000,IF('calcA'!$JF$36=1,0,100000000)+IF('calcA'!$IQ$36=2,SUMPRODUCT('calcA'!$D$86:$EQ$86,$DB42:$IO42,$IQ42:$OD42)*1000+SUMPRODUCT('calcA'!$D$86:$EQ$86,$DB42:$IO42+$ZQ42:$AFD42,$AFF42:$AKS42),SUMPRODUCT('calcA'!$D$86:$EQ$86,$DB42:$IO42*1001+$ZQ42:$AFD42))*100+27)</f>
        <v/>
      </c>
      <c r="CN42">
        <f>IF(OR(AY42=1,calcA!$A$6=0),1000000000,IF('calcA'!$JF$37=1,0,100000000)+IF('calcA'!$IQ$37=2,SUMPRODUCT('calcA'!$D$87:$EQ$87,$DB42:$IO42,$IQ42:$OD42)*1000+SUMPRODUCT('calcA'!$D$87:$EQ$87,$DB42:$IO42+$ZQ42:$AFD42,$AFF42:$AKS42),SUMPRODUCT('calcA'!$D$87:$EQ$87,$DB42:$IO42*1001+$ZQ42:$AFD42))*100+28)</f>
        <v/>
      </c>
      <c r="CO42">
        <f>IF(OR(AZ42=1,calcA!$A$6=0),1000000000,IF('calcA'!$JF$38=1,0,100000000)+IF('calcA'!$IQ$38=2,SUMPRODUCT('calcA'!$D$88:$EQ$88,$DB42:$IO42,$IQ42:$OD42)*1000+SUMPRODUCT('calcA'!$D$88:$EQ$88,$DB42:$IO42+$ZQ42:$AFD42,$AFF42:$AKS42),SUMPRODUCT('calcA'!$D$88:$EQ$88,$DB42:$IO42*1001+$ZQ42:$AFD42))*100+29)</f>
        <v/>
      </c>
      <c r="CP42">
        <f>IF(OR(BA42=1,calcA!$A$6=0),1000000000,IF('calcA'!$JF$39=1,0,100000000)+IF('calcA'!$IQ$39=2,SUMPRODUCT('calcA'!$D$89:$EQ$89,$DB42:$IO42,$IQ42:$OD42)*1000+SUMPRODUCT('calcA'!$D$89:$EQ$89,$DB42:$IO42+$ZQ42:$AFD42,$AFF42:$AKS42),SUMPRODUCT('calcA'!$D$89:$EQ$89,$DB42:$IO42*1001+$ZQ42:$AFD42))*100+30)</f>
        <v/>
      </c>
      <c r="CQ42">
        <f>IF(OR(BB42=1,calcA!$A$6=0),1000000000,IF('calcA'!$JF$40=1,0,100000000)+IF('calcA'!$IQ$40=2,SUMPRODUCT('calcA'!$D$90:$EQ$90,$DB42:$IO42,$IQ42:$OD42)*1000+SUMPRODUCT('calcA'!$D$90:$EQ$90,$DB42:$IO42+$ZQ42:$AFD42,$AFF42:$AKS42),SUMPRODUCT('calcA'!$D$90:$EQ$90,$DB42:$IO42*1001+$ZQ42:$AFD42))*100+31)</f>
        <v/>
      </c>
      <c r="CR42">
        <f>IF(OR(BC42=1,calcA!$A$6=0),1000000000,IF('calcA'!$JF$41=1,0,100000000)+IF('calcA'!$IQ$41=2,SUMPRODUCT('calcA'!$D$91:$EQ$91,$DB42:$IO42,$IQ42:$OD42)*1000+SUMPRODUCT('calcA'!$D$91:$EQ$91,$DB42:$IO42+$ZQ42:$AFD42,$AFF42:$AKS42),SUMPRODUCT('calcA'!$D$91:$EQ$91,$DB42:$IO42*1001+$ZQ42:$AFD42))*100+32)</f>
        <v/>
      </c>
      <c r="CS42">
        <f>IF(OR(BD42=1,calcA!$A$6=0),1000000000,IF('calcA'!$JF$42=1,0,100000000)+IF('calcA'!$IQ$42=2,SUMPRODUCT('calcA'!$D$92:$EQ$92,$DB42:$IO42,$IQ42:$OD42)*1000+SUMPRODUCT('calcA'!$D$92:$EQ$92,$DB42:$IO42+$ZQ42:$AFD42,$AFF42:$AKS42),SUMPRODUCT('calcA'!$D$92:$EQ$92,$DB42:$IO42*1001+$ZQ42:$AFD42))*100+33)</f>
        <v/>
      </c>
      <c r="CT42">
        <f>IF(OR(BE42=1,calcA!$A$6=0),1000000000,IF('calcA'!$JF$43=1,0,100000000)+IF('calcA'!$IQ$43=2,SUMPRODUCT('calcA'!$D$93:$EQ$93,$DB42:$IO42,$IQ42:$OD42)*1000+SUMPRODUCT('calcA'!$D$93:$EQ$93,$DB42:$IO42+$ZQ42:$AFD42,$AFF42:$AKS42),SUMPRODUCT('calcA'!$D$93:$EQ$93,$DB42:$IO42*1001+$ZQ42:$AFD42))*100+34)</f>
        <v/>
      </c>
      <c r="CU42">
        <f>IF(OR(BF42=1,calcA!$A$6=0),1000000000,IF('calcA'!$JF$44=1,0,100000000)+IF('calcA'!$IQ$44=2,SUMPRODUCT('calcA'!$D$94:$EQ$94,$DB42:$IO42,$IQ42:$OD42)*1000+SUMPRODUCT('calcA'!$D$94:$EQ$94,$DB42:$IO42+$ZQ42:$AFD42,$AFF42:$AKS42),SUMPRODUCT('calcA'!$D$94:$EQ$94,$DB42:$IO42*1001+$ZQ42:$AFD42))*100+35)</f>
        <v/>
      </c>
      <c r="CV42">
        <f>IF(OR(BG42=1,calcA!$A$6=0),1000000000,IF('calcA'!$JF$45=1,0,100000000)+IF('calcA'!$IQ$45=2,SUMPRODUCT('calcA'!$D$95:$EQ$95,$DB42:$IO42,$IQ42:$OD42)*1000+SUMPRODUCT('calcA'!$D$95:$EQ$95,$DB42:$IO42+$ZQ42:$AFD42,$AFF42:$AKS42),SUMPRODUCT('calcA'!$D$95:$EQ$95,$DB42:$IO42*1001+$ZQ42:$AFD42))*100+36)</f>
        <v/>
      </c>
      <c r="CW42">
        <f>IF(OR(BH42=1,calcA!$A$6=0),1000000000,IF('calcA'!$JF$46=1,0,100000000)+IF('calcA'!$IQ$46=2,SUMPRODUCT('calcA'!$D$96:$EQ$96,$DB42:$IO42,$IQ42:$OD42)*1000+SUMPRODUCT('calcA'!$D$96:$EQ$96,$DB42:$IO42+$ZQ42:$AFD42,$AFF42:$AKS42),SUMPRODUCT('calcA'!$D$96:$EQ$96,$DB42:$IO42*1001+$ZQ42:$AFD42))*100+37)</f>
        <v/>
      </c>
      <c r="CX42">
        <f>IF(OR(BI42=1,calcA!$A$6=0),1000000000,IF('calcA'!$JF$47=1,0,100000000)+IF('calcA'!$IQ$47=2,SUMPRODUCT('calcA'!$D$97:$EQ$97,$DB42:$IO42,$IQ42:$OD42)*1000+SUMPRODUCT('calcA'!$D$97:$EQ$97,$DB42:$IO42+$ZQ42:$AFD42,$AFF42:$AKS42),SUMPRODUCT('calcA'!$D$97:$EQ$97,$DB42:$IO42*1001+$ZQ42:$AFD42))*100+38)</f>
        <v/>
      </c>
      <c r="CY42">
        <f>IF(OR(BJ42=1,calcA!$A$6=0),1000000000,IF('calcA'!$JF$48=1,0,100000000)+IF('calcA'!$IQ$48=2,SUMPRODUCT('calcA'!$D$98:$EQ$98,$DB42:$IO42,$IQ42:$OD42)*1000+SUMPRODUCT('calcA'!$D$98:$EQ$98,$DB42:$IO42+$ZQ42:$AFD42,$AFF42:$AKS42),SUMPRODUCT('calcA'!$D$98:$EQ$98,$DB42:$IO42*1001+$ZQ42:$AFD42))*100+39)</f>
        <v/>
      </c>
      <c r="CZ42">
        <f>IF(OR(BK42=1,calcA!$A$6=0),1000000000,IF('calcA'!$JF$49=1,0,100000000)+IF('calcA'!$IQ$49=2,SUMPRODUCT('calcA'!$D$99:$EQ$99,$DB42:$IO42,$IQ42:$OD42)*1000+SUMPRODUCT('calcA'!$D$99:$EQ$99,$DB42:$IO42+$ZQ42:$AFD42,$AFF42:$AKS42),SUMPRODUCT('calcA'!$D$99:$EQ$99,$DB42:$IO42*1001+$ZQ42:$AFD42))*100+40)</f>
        <v/>
      </c>
      <c r="DB42">
        <f>DB41*IF(OR($C41=1,$G41=1),0,1)</f>
        <v/>
      </c>
      <c r="DC42">
        <f>DC41*IF(OR($C41=2,$G41=2),0,1)</f>
        <v/>
      </c>
      <c r="DD42">
        <f>DD41*IF(OR($C41=3,$G41=3),0,1)</f>
        <v/>
      </c>
      <c r="DE42">
        <f>DE41*IF(OR($C41=4,$G41=4),0,1)</f>
        <v/>
      </c>
      <c r="DF42">
        <f>DF41*IF(OR($C41=5,$G41=5),0,1)</f>
        <v/>
      </c>
      <c r="DG42">
        <f>DG41*IF(OR($C41=6,$G41=6),0,1)</f>
        <v/>
      </c>
      <c r="DH42">
        <f>DH41*IF(OR($C41=7,$G41=7),0,1)</f>
        <v/>
      </c>
      <c r="DI42">
        <f>DI41*IF(OR($C41=8,$G41=8),0,1)</f>
        <v/>
      </c>
      <c r="DJ42">
        <f>DJ41*IF(OR($C41=9,$G41=9),0,1)</f>
        <v/>
      </c>
      <c r="DK42">
        <f>DK41*IF(OR($C41=10,$G41=10),0,1)</f>
        <v/>
      </c>
      <c r="DL42">
        <f>DL41*IF(OR($C41=11,$G41=11),0,1)</f>
        <v/>
      </c>
      <c r="DM42">
        <f>DM41*IF(OR($C41=12,$G41=12),0,1)</f>
        <v/>
      </c>
      <c r="DN42">
        <f>DN41*IF(OR($C41=13,$G41=13),0,1)</f>
        <v/>
      </c>
      <c r="DO42">
        <f>DO41*IF(OR($C41=14,$G41=14),0,1)</f>
        <v/>
      </c>
      <c r="DP42">
        <f>DP41*IF(OR($C41=15,$G41=15),0,1)</f>
        <v/>
      </c>
      <c r="DQ42">
        <f>DQ41*IF(OR($C41=16,$G41=16),0,1)</f>
        <v/>
      </c>
      <c r="DR42">
        <f>DR41*IF(OR($C41=17,$G41=17),0,1)</f>
        <v/>
      </c>
      <c r="DS42">
        <f>DS41*IF(OR($C41=18,$G41=18),0,1)</f>
        <v/>
      </c>
      <c r="DT42">
        <f>DT41*IF(OR($C41=19,$G41=19),0,1)</f>
        <v/>
      </c>
      <c r="DU42">
        <f>DU41*IF(OR($C41=20,$G41=20),0,1)</f>
        <v/>
      </c>
      <c r="DV42">
        <f>DV41*IF(OR($C41=21,$G41=21),0,1)</f>
        <v/>
      </c>
      <c r="DW42">
        <f>DW41*IF(OR($C41=22,$G41=22),0,1)</f>
        <v/>
      </c>
      <c r="DX42">
        <f>DX41*IF(OR($C41=23,$G41=23),0,1)</f>
        <v/>
      </c>
      <c r="DY42">
        <f>DY41*IF(OR($C41=24,$G41=24),0,1)</f>
        <v/>
      </c>
      <c r="DZ42">
        <f>DZ41*IF(OR($C41=25,$G41=25),0,1)</f>
        <v/>
      </c>
      <c r="EA42">
        <f>EA41*IF(OR($C41=26,$G41=26),0,1)</f>
        <v/>
      </c>
      <c r="EB42">
        <f>EB41*IF(OR($C41=27,$G41=27),0,1)</f>
        <v/>
      </c>
      <c r="EC42">
        <f>EC41*IF(OR($C41=28,$G41=28),0,1)</f>
        <v/>
      </c>
      <c r="ED42">
        <f>ED41*IF(OR($C41=29,$G41=29),0,1)</f>
        <v/>
      </c>
      <c r="EE42">
        <f>EE41*IF(OR($C41=30,$G41=30),0,1)</f>
        <v/>
      </c>
      <c r="EF42">
        <f>EF41*IF(OR($C41=31,$G41=31),0,1)</f>
        <v/>
      </c>
      <c r="EG42">
        <f>EG41*IF(OR($C41=32,$G41=32),0,1)</f>
        <v/>
      </c>
      <c r="EH42">
        <f>EH41*IF(OR($C41=33,$G41=33),0,1)</f>
        <v/>
      </c>
      <c r="EI42">
        <f>EI41*IF(OR($C41=34,$G41=34),0,1)</f>
        <v/>
      </c>
      <c r="EJ42">
        <f>EJ41*IF(OR($C41=35,$G41=35),0,1)</f>
        <v/>
      </c>
      <c r="EK42">
        <f>EK41*IF(OR($C41=36,$G41=36),0,1)</f>
        <v/>
      </c>
      <c r="EL42">
        <f>EL41*IF(OR($C41=37,$G41=37),0,1)</f>
        <v/>
      </c>
      <c r="EM42">
        <f>EM41*IF(OR($C41=38,$G41=38),0,1)</f>
        <v/>
      </c>
      <c r="EN42">
        <f>EN41*IF(OR($C41=39,$G41=39),0,1)</f>
        <v/>
      </c>
      <c r="EO42">
        <f>EO41*IF(OR($C41=40,$G41=40),0,1)</f>
        <v/>
      </c>
      <c r="EP42">
        <f>EP41*IF(OR($C41=41,$G41=41),0,1)</f>
        <v/>
      </c>
      <c r="EQ42">
        <f>EQ41*IF(OR($C41=42,$G41=42),0,1)</f>
        <v/>
      </c>
      <c r="ER42">
        <f>ER41*IF(OR($C41=43,$G41=43),0,1)</f>
        <v/>
      </c>
      <c r="ES42">
        <f>ES41*IF(OR($C41=44,$G41=44),0,1)</f>
        <v/>
      </c>
      <c r="ET42">
        <f>ET41*IF(OR($C41=45,$G41=45),0,1)</f>
        <v/>
      </c>
      <c r="EU42">
        <f>EU41*IF(OR($C41=46,$G41=46),0,1)</f>
        <v/>
      </c>
      <c r="EV42">
        <f>EV41*IF(OR($C41=47,$G41=47),0,1)</f>
        <v/>
      </c>
      <c r="EW42">
        <f>EW41*IF(OR($C41=48,$G41=48),0,1)</f>
        <v/>
      </c>
      <c r="EX42">
        <f>EX41*IF(OR($C41=49,$G41=49),0,1)</f>
        <v/>
      </c>
      <c r="EY42">
        <f>EY41*IF(OR($C41=50,$G41=50),0,1)</f>
        <v/>
      </c>
      <c r="EZ42">
        <f>EZ41*IF(OR($C41=51,$G41=51),0,1)</f>
        <v/>
      </c>
      <c r="FA42">
        <f>FA41*IF(OR($C41=52,$G41=52),0,1)</f>
        <v/>
      </c>
      <c r="FB42">
        <f>FB41*IF(OR($C41=53,$G41=53),0,1)</f>
        <v/>
      </c>
      <c r="FC42">
        <f>FC41*IF(OR($C41=54,$G41=54),0,1)</f>
        <v/>
      </c>
      <c r="FD42">
        <f>FD41*IF(OR($C41=55,$G41=55),0,1)</f>
        <v/>
      </c>
      <c r="FE42">
        <f>FE41*IF(OR($C41=56,$G41=56),0,1)</f>
        <v/>
      </c>
      <c r="FF42">
        <f>FF41*IF(OR($C41=57,$G41=57),0,1)</f>
        <v/>
      </c>
      <c r="FG42">
        <f>FG41*IF(OR($C41=58,$G41=58),0,1)</f>
        <v/>
      </c>
      <c r="FH42">
        <f>FH41*IF(OR($C41=59,$G41=59),0,1)</f>
        <v/>
      </c>
      <c r="FI42">
        <f>FI41*IF(OR($C41=60,$G41=60),0,1)</f>
        <v/>
      </c>
      <c r="FJ42">
        <f>FJ41*IF(OR($C41=61,$G41=61),0,1)</f>
        <v/>
      </c>
      <c r="FK42">
        <f>FK41*IF(OR($C41=62,$G41=62),0,1)</f>
        <v/>
      </c>
      <c r="FL42">
        <f>FL41*IF(OR($C41=63,$G41=63),0,1)</f>
        <v/>
      </c>
      <c r="FM42">
        <f>FM41*IF(OR($C41=64,$G41=64),0,1)</f>
        <v/>
      </c>
      <c r="FN42">
        <f>FN41*IF(OR($C41=65,$G41=65),0,1)</f>
        <v/>
      </c>
      <c r="FO42">
        <f>FO41*IF(OR($C41=66,$G41=66),0,1)</f>
        <v/>
      </c>
      <c r="FP42">
        <f>FP41*IF(OR($C41=67,$G41=67),0,1)</f>
        <v/>
      </c>
      <c r="FQ42">
        <f>FQ41*IF(OR($C41=68,$G41=68),0,1)</f>
        <v/>
      </c>
      <c r="FR42">
        <f>FR41*IF(OR($C41=69,$G41=69),0,1)</f>
        <v/>
      </c>
      <c r="FS42">
        <f>FS41*IF(OR($C41=70,$G41=70),0,1)</f>
        <v/>
      </c>
      <c r="FT42">
        <f>FT41*IF(OR($C41=71,$G41=71),0,1)</f>
        <v/>
      </c>
      <c r="FU42">
        <f>FU41*IF(OR($C41=72,$G41=72),0,1)</f>
        <v/>
      </c>
      <c r="FV42">
        <f>FV41*IF(OR($C41=73,$G41=73),0,1)</f>
        <v/>
      </c>
      <c r="FW42">
        <f>FW41*IF(OR($C41=74,$G41=74),0,1)</f>
        <v/>
      </c>
      <c r="FX42">
        <f>FX41*IF(OR($C41=75,$G41=75),0,1)</f>
        <v/>
      </c>
      <c r="FY42">
        <f>FY41*IF(OR($C41=76,$G41=76),0,1)</f>
        <v/>
      </c>
      <c r="FZ42">
        <f>FZ41*IF(OR($C41=77,$G41=77),0,1)</f>
        <v/>
      </c>
      <c r="GA42">
        <f>GA41*IF(OR($C41=78,$G41=78),0,1)</f>
        <v/>
      </c>
      <c r="GB42">
        <f>GB41*IF(OR($C41=79,$G41=79),0,1)</f>
        <v/>
      </c>
      <c r="GC42">
        <f>GC41*IF(OR($C41=80,$G41=80),0,1)</f>
        <v/>
      </c>
      <c r="GD42">
        <f>GD41*IF(OR($C41=81,$G41=81),0,1)</f>
        <v/>
      </c>
      <c r="GE42">
        <f>GE41*IF(OR($C41=82,$G41=82),0,1)</f>
        <v/>
      </c>
      <c r="GF42">
        <f>GF41*IF(OR($C41=83,$G41=83),0,1)</f>
        <v/>
      </c>
      <c r="GG42">
        <f>GG41*IF(OR($C41=84,$G41=84),0,1)</f>
        <v/>
      </c>
      <c r="GH42">
        <f>GH41*IF(OR($C41=85,$G41=85),0,1)</f>
        <v/>
      </c>
      <c r="GI42">
        <f>GI41*IF(OR($C41=86,$G41=86),0,1)</f>
        <v/>
      </c>
      <c r="GJ42">
        <f>GJ41*IF(OR($C41=87,$G41=87),0,1)</f>
        <v/>
      </c>
      <c r="GK42">
        <f>GK41*IF(OR($C41=88,$G41=88),0,1)</f>
        <v/>
      </c>
      <c r="GL42">
        <f>GL41*IF(OR($C41=89,$G41=89),0,1)</f>
        <v/>
      </c>
      <c r="GM42">
        <f>GM41*IF(OR($C41=90,$G41=90),0,1)</f>
        <v/>
      </c>
      <c r="GN42">
        <f>GN41*IF(OR($C41=91,$G41=91),0,1)</f>
        <v/>
      </c>
      <c r="GO42">
        <f>GO41*IF(OR($C41=92,$G41=92),0,1)</f>
        <v/>
      </c>
      <c r="GP42">
        <f>GP41*IF(OR($C41=93,$G41=93),0,1)</f>
        <v/>
      </c>
      <c r="GQ42">
        <f>GQ41*IF(OR($C41=94,$G41=94),0,1)</f>
        <v/>
      </c>
      <c r="GR42">
        <f>GR41*IF(OR($C41=95,$G41=95),0,1)</f>
        <v/>
      </c>
      <c r="GS42">
        <f>GS41*IF(OR($C41=96,$G41=96),0,1)</f>
        <v/>
      </c>
      <c r="GT42">
        <f>GT41*IF(OR($C41=97,$G41=97),0,1)</f>
        <v/>
      </c>
      <c r="GU42">
        <f>GU41*IF(OR($C41=98,$G41=98),0,1)</f>
        <v/>
      </c>
      <c r="GV42">
        <f>GV41*IF(OR($C41=99,$G41=99),0,1)</f>
        <v/>
      </c>
      <c r="GW42">
        <f>GW41*IF(OR($C41=100,$G41=100),0,1)</f>
        <v/>
      </c>
      <c r="GX42">
        <f>GX41*IF(OR($C41=101,$G41=101),0,1)</f>
        <v/>
      </c>
      <c r="GY42">
        <f>GY41*IF(OR($C41=102,$G41=102),0,1)</f>
        <v/>
      </c>
      <c r="GZ42">
        <f>GZ41*IF(OR($C41=103,$G41=103),0,1)</f>
        <v/>
      </c>
      <c r="HA42">
        <f>HA41*IF(OR($C41=104,$G41=104),0,1)</f>
        <v/>
      </c>
      <c r="HB42">
        <f>HB41*IF(OR($C41=105,$G41=105),0,1)</f>
        <v/>
      </c>
      <c r="HC42">
        <f>HC41*IF(OR($C41=106,$G41=106),0,1)</f>
        <v/>
      </c>
      <c r="HD42">
        <f>HD41*IF(OR($C41=107,$G41=107),0,1)</f>
        <v/>
      </c>
      <c r="HE42">
        <f>HE41*IF(OR($C41=108,$G41=108),0,1)</f>
        <v/>
      </c>
      <c r="HF42">
        <f>HF41*IF(OR($C41=109,$G41=109),0,1)</f>
        <v/>
      </c>
      <c r="HG42">
        <f>HG41*IF(OR($C41=110,$G41=110),0,1)</f>
        <v/>
      </c>
      <c r="HH42">
        <f>HH41*IF(OR($C41=111,$G41=111),0,1)</f>
        <v/>
      </c>
      <c r="HI42">
        <f>HI41*IF(OR($C41=112,$G41=112),0,1)</f>
        <v/>
      </c>
      <c r="HJ42">
        <f>HJ41*IF(OR($C41=113,$G41=113),0,1)</f>
        <v/>
      </c>
      <c r="HK42">
        <f>HK41*IF(OR($C41=114,$G41=114),0,1)</f>
        <v/>
      </c>
      <c r="HL42">
        <f>HL41*IF(OR($C41=115,$G41=115),0,1)</f>
        <v/>
      </c>
      <c r="HM42">
        <f>HM41*IF(OR($C41=116,$G41=116),0,1)</f>
        <v/>
      </c>
      <c r="HN42">
        <f>HN41*IF(OR($C41=117,$G41=117),0,1)</f>
        <v/>
      </c>
      <c r="HO42">
        <f>HO41*IF(OR($C41=118,$G41=118),0,1)</f>
        <v/>
      </c>
      <c r="HP42">
        <f>HP41*IF(OR($C41=119,$G41=119),0,1)</f>
        <v/>
      </c>
      <c r="HQ42">
        <f>HQ41*IF(OR($C41=120,$G41=120),0,1)</f>
        <v/>
      </c>
      <c r="HR42">
        <f>HR41*IF(OR($C41=121,$G41=121),0,1)</f>
        <v/>
      </c>
      <c r="HS42">
        <f>HS41*IF(OR($C41=122,$G41=122),0,1)</f>
        <v/>
      </c>
      <c r="HT42">
        <f>HT41*IF(OR($C41=123,$G41=123),0,1)</f>
        <v/>
      </c>
      <c r="HU42">
        <f>HU41*IF(OR($C41=124,$G41=124),0,1)</f>
        <v/>
      </c>
      <c r="HV42">
        <f>HV41*IF(OR($C41=125,$G41=125),0,1)</f>
        <v/>
      </c>
      <c r="HW42">
        <f>HW41*IF(OR($C41=126,$G41=126),0,1)</f>
        <v/>
      </c>
      <c r="HX42">
        <f>HX41*IF(OR($C41=127,$G41=127),0,1)</f>
        <v/>
      </c>
      <c r="HY42">
        <f>HY41*IF(OR($C41=128,$G41=128),0,1)</f>
        <v/>
      </c>
      <c r="HZ42">
        <f>HZ41*IF(OR($C41=129,$G41=129),0,1)</f>
        <v/>
      </c>
      <c r="IA42">
        <f>IA41*IF(OR($C41=130,$G41=130),0,1)</f>
        <v/>
      </c>
      <c r="IB42">
        <f>IB41*IF(OR($C41=131,$G41=131),0,1)</f>
        <v/>
      </c>
      <c r="IC42">
        <f>IC41*IF(OR($C41=132,$G41=132),0,1)</f>
        <v/>
      </c>
      <c r="ID42">
        <f>ID41*IF(OR($C41=133,$G41=133),0,1)</f>
        <v/>
      </c>
      <c r="IE42">
        <f>IE41*IF(OR($C41=134,$G41=134),0,1)</f>
        <v/>
      </c>
      <c r="IF42">
        <f>IF41*IF(OR($C41=135,$G41=135),0,1)</f>
        <v/>
      </c>
      <c r="IG42">
        <f>IG41*IF(OR($C41=136,$G41=136),0,1)</f>
        <v/>
      </c>
      <c r="IH42">
        <f>IH41*IF(OR($C41=137,$G41=137),0,1)</f>
        <v/>
      </c>
      <c r="II42">
        <f>II41*IF(OR($C41=138,$G41=138),0,1)</f>
        <v/>
      </c>
      <c r="IJ42">
        <f>IJ41*IF(OR($C41=139,$G41=139),0,1)</f>
        <v/>
      </c>
      <c r="IK42">
        <f>IK41*IF(OR($C41=140,$G41=140),0,1)</f>
        <v/>
      </c>
      <c r="IL42">
        <f>IL41*IF(OR($C41=141,$G41=141),0,1)</f>
        <v/>
      </c>
      <c r="IM42">
        <f>IM41*IF(OR($C41=142,$G41=142),0,1)</f>
        <v/>
      </c>
      <c r="IN42">
        <f>IN41*IF(OR($C41=143,$G41=143),0,1)</f>
        <v/>
      </c>
      <c r="IO42">
        <f>IO41*IF(OR($C41=144,$G41=144),0,1)</f>
        <v/>
      </c>
      <c r="IQ42">
        <f>IF('calcA'!D$106=1,DC42,1)</f>
        <v/>
      </c>
      <c r="IR42">
        <f>IF('calcA'!E$106=1,DD42,1)</f>
        <v/>
      </c>
      <c r="IS42">
        <f>IF('calcA'!F$106=1,DE42,1)</f>
        <v/>
      </c>
      <c r="IT42">
        <f>IF('calcA'!G$106=1,DF42,1)</f>
        <v/>
      </c>
      <c r="IU42">
        <f>IF('calcA'!H$106=1,DG42,1)</f>
        <v/>
      </c>
      <c r="IV42">
        <f>IF('calcA'!I$106=1,DH42,1)</f>
        <v/>
      </c>
      <c r="IW42">
        <f>IF('calcA'!J$106=1,DI42,1)</f>
        <v/>
      </c>
      <c r="IX42">
        <f>IF('calcA'!K$106=1,DJ42,1)</f>
        <v/>
      </c>
      <c r="IY42">
        <f>IF('calcA'!L$106=1,DK42,1)</f>
        <v/>
      </c>
      <c r="IZ42">
        <f>IF('calcA'!M$106=1,DL42,1)</f>
        <v/>
      </c>
      <c r="JA42">
        <f>IF('calcA'!N$106=1,DM42,1)</f>
        <v/>
      </c>
      <c r="JB42">
        <f>IF('calcA'!O$106=1,DN42,1)</f>
        <v/>
      </c>
      <c r="JC42">
        <f>IF('calcA'!P$106=1,DO42,1)</f>
        <v/>
      </c>
      <c r="JD42">
        <f>IF('calcA'!Q$106=1,DP42,1)</f>
        <v/>
      </c>
      <c r="JE42">
        <f>IF('calcA'!R$106=1,DQ42,1)</f>
        <v/>
      </c>
      <c r="JF42">
        <f>IF('calcA'!S$106=1,DR42,1)</f>
        <v/>
      </c>
      <c r="JG42">
        <f>IF('calcA'!T$106=1,DS42,1)</f>
        <v/>
      </c>
      <c r="JH42">
        <f>IF('calcA'!U$106=1,DT42,1)</f>
        <v/>
      </c>
      <c r="JI42">
        <f>IF('calcA'!V$106=1,DU42,1)</f>
        <v/>
      </c>
      <c r="JJ42">
        <f>IF('calcA'!W$106=1,DV42,1)</f>
        <v/>
      </c>
      <c r="JK42">
        <f>IF('calcA'!X$106=1,DW42,1)</f>
        <v/>
      </c>
      <c r="JL42">
        <f>IF('calcA'!Y$106=1,DX42,1)</f>
        <v/>
      </c>
      <c r="JM42">
        <f>IF('calcA'!Z$106=1,DY42,1)</f>
        <v/>
      </c>
      <c r="JN42">
        <f>IF('calcA'!AA$106=1,DZ42,1)</f>
        <v/>
      </c>
      <c r="JO42">
        <f>IF('calcA'!AB$106=1,EA42,1)</f>
        <v/>
      </c>
      <c r="JP42">
        <f>IF('calcA'!AC$106=1,EB42,1)</f>
        <v/>
      </c>
      <c r="JQ42">
        <f>IF('calcA'!AD$106=1,EC42,1)</f>
        <v/>
      </c>
      <c r="JR42">
        <f>IF('calcA'!AE$106=1,ED42,1)</f>
        <v/>
      </c>
      <c r="JS42">
        <f>IF('calcA'!AF$106=1,EE42,1)</f>
        <v/>
      </c>
      <c r="JT42">
        <f>IF('calcA'!AG$106=1,EF42,1)</f>
        <v/>
      </c>
      <c r="JU42">
        <f>IF('calcA'!AH$106=1,EG42,1)</f>
        <v/>
      </c>
      <c r="JV42">
        <f>IF('calcA'!AI$106=1,EH42,1)</f>
        <v/>
      </c>
      <c r="JW42">
        <f>IF('calcA'!AJ$106=1,EI42,1)</f>
        <v/>
      </c>
      <c r="JX42">
        <f>IF('calcA'!AK$106=1,EJ42,1)</f>
        <v/>
      </c>
      <c r="JY42">
        <f>IF('calcA'!AL$106=1,EK42,1)</f>
        <v/>
      </c>
      <c r="JZ42">
        <f>IF('calcA'!AM$106=1,EL42,1)</f>
        <v/>
      </c>
      <c r="KA42">
        <f>IF('calcA'!AN$106=1,EM42,1)</f>
        <v/>
      </c>
      <c r="KB42">
        <f>IF('calcA'!AO$106=1,EN42,1)</f>
        <v/>
      </c>
      <c r="KC42">
        <f>IF('calcA'!AP$106=1,EO42,1)</f>
        <v/>
      </c>
      <c r="KD42">
        <f>IF('calcA'!AQ$106=1,EP42,1)</f>
        <v/>
      </c>
      <c r="KE42">
        <f>IF('calcA'!AR$106=1,EQ42,1)</f>
        <v/>
      </c>
      <c r="KF42">
        <f>IF('calcA'!AS$106=1,ER42,1)</f>
        <v/>
      </c>
      <c r="KG42">
        <f>IF('calcA'!AT$106=1,ES42,1)</f>
        <v/>
      </c>
      <c r="KH42">
        <f>IF('calcA'!AU$106=1,ET42,1)</f>
        <v/>
      </c>
      <c r="KI42">
        <f>IF('calcA'!AV$106=1,EU42,1)</f>
        <v/>
      </c>
      <c r="KJ42">
        <f>IF('calcA'!AW$106=1,EV42,1)</f>
        <v/>
      </c>
      <c r="KK42">
        <f>IF('calcA'!AX$106=1,EW42,1)</f>
        <v/>
      </c>
      <c r="KL42">
        <f>IF('calcA'!AY$106=1,EX42,1)</f>
        <v/>
      </c>
      <c r="KM42">
        <f>IF('calcA'!AZ$106=1,EY42,1)</f>
        <v/>
      </c>
      <c r="KN42">
        <f>IF('calcA'!BA$106=1,EZ42,1)</f>
        <v/>
      </c>
      <c r="KO42">
        <f>IF('calcA'!BB$106=1,FA42,1)</f>
        <v/>
      </c>
      <c r="KP42">
        <f>IF('calcA'!BC$106=1,FB42,1)</f>
        <v/>
      </c>
      <c r="KQ42">
        <f>IF('calcA'!BD$106=1,FC42,1)</f>
        <v/>
      </c>
      <c r="KR42">
        <f>IF('calcA'!BE$106=1,FD42,1)</f>
        <v/>
      </c>
      <c r="KS42">
        <f>IF('calcA'!BF$106=1,FE42,1)</f>
        <v/>
      </c>
      <c r="KT42">
        <f>IF('calcA'!BG$106=1,FF42,1)</f>
        <v/>
      </c>
      <c r="KU42">
        <f>IF('calcA'!BH$106=1,FG42,1)</f>
        <v/>
      </c>
      <c r="KV42">
        <f>IF('calcA'!BI$106=1,FH42,1)</f>
        <v/>
      </c>
      <c r="KW42">
        <f>IF('calcA'!BJ$106=1,FI42,1)</f>
        <v/>
      </c>
      <c r="KX42">
        <f>IF('calcA'!BK$106=1,FJ42,1)</f>
        <v/>
      </c>
      <c r="KY42">
        <f>IF('calcA'!BL$106=1,FK42,1)</f>
        <v/>
      </c>
      <c r="KZ42">
        <f>IF('calcA'!BM$106=1,FL42,1)</f>
        <v/>
      </c>
      <c r="LA42">
        <f>IF('calcA'!BN$106=1,FM42,1)</f>
        <v/>
      </c>
      <c r="LB42">
        <f>IF('calcA'!BO$106=1,FN42,1)</f>
        <v/>
      </c>
      <c r="LC42">
        <f>IF('calcA'!BP$106=1,FO42,1)</f>
        <v/>
      </c>
      <c r="LD42">
        <f>IF('calcA'!BQ$106=1,FP42,1)</f>
        <v/>
      </c>
      <c r="LE42">
        <f>IF('calcA'!BR$106=1,FQ42,1)</f>
        <v/>
      </c>
      <c r="LF42">
        <f>IF('calcA'!BS$106=1,FR42,1)</f>
        <v/>
      </c>
      <c r="LG42">
        <f>IF('calcA'!BT$106=1,FS42,1)</f>
        <v/>
      </c>
      <c r="LH42">
        <f>IF('calcA'!BU$106=1,FT42,1)</f>
        <v/>
      </c>
      <c r="LI42">
        <f>IF('calcA'!BV$106=1,FU42,1)</f>
        <v/>
      </c>
      <c r="LJ42">
        <f>IF('calcA'!BW$106=1,FV42,1)</f>
        <v/>
      </c>
      <c r="LK42">
        <f>IF('calcA'!BX$106=1,FW42,1)</f>
        <v/>
      </c>
      <c r="LL42">
        <f>IF('calcA'!BY$106=1,FX42,1)</f>
        <v/>
      </c>
      <c r="LM42">
        <f>IF('calcA'!BZ$106=1,FY42,1)</f>
        <v/>
      </c>
      <c r="LN42">
        <f>IF('calcA'!CA$106=1,FZ42,1)</f>
        <v/>
      </c>
      <c r="LO42">
        <f>IF('calcA'!CB$106=1,GA42,1)</f>
        <v/>
      </c>
      <c r="LP42">
        <f>IF('calcA'!CC$106=1,GB42,1)</f>
        <v/>
      </c>
      <c r="LQ42">
        <f>IF('calcA'!CD$106=1,GC42,1)</f>
        <v/>
      </c>
      <c r="LR42">
        <f>IF('calcA'!CE$106=1,GD42,1)</f>
        <v/>
      </c>
      <c r="LS42">
        <f>IF('calcA'!CF$106=1,GE42,1)</f>
        <v/>
      </c>
      <c r="LT42">
        <f>IF('calcA'!CG$106=1,GF42,1)</f>
        <v/>
      </c>
      <c r="LU42">
        <f>IF('calcA'!CH$106=1,GG42,1)</f>
        <v/>
      </c>
      <c r="LV42">
        <f>IF('calcA'!CI$106=1,GH42,1)</f>
        <v/>
      </c>
      <c r="LW42">
        <f>IF('calcA'!CJ$106=1,GI42,1)</f>
        <v/>
      </c>
      <c r="LX42">
        <f>IF('calcA'!CK$106=1,GJ42,1)</f>
        <v/>
      </c>
      <c r="LY42">
        <f>IF('calcA'!CL$106=1,GK42,1)</f>
        <v/>
      </c>
      <c r="LZ42">
        <f>IF('calcA'!CM$106=1,GL42,1)</f>
        <v/>
      </c>
      <c r="MA42">
        <f>IF('calcA'!CN$106=1,GM42,1)</f>
        <v/>
      </c>
      <c r="MB42">
        <f>IF('calcA'!CO$106=1,GN42,1)</f>
        <v/>
      </c>
      <c r="MC42">
        <f>IF('calcA'!CP$106=1,GO42,1)</f>
        <v/>
      </c>
      <c r="MD42">
        <f>IF('calcA'!CQ$106=1,GP42,1)</f>
        <v/>
      </c>
      <c r="ME42">
        <f>IF('calcA'!CR$106=1,GQ42,1)</f>
        <v/>
      </c>
      <c r="MF42">
        <f>IF('calcA'!CS$106=1,GR42,1)</f>
        <v/>
      </c>
      <c r="MG42">
        <f>IF('calcA'!CT$106=1,GS42,1)</f>
        <v/>
      </c>
      <c r="MH42">
        <f>IF('calcA'!CU$106=1,GT42,1)</f>
        <v/>
      </c>
      <c r="MI42">
        <f>IF('calcA'!CV$106=1,GU42,1)</f>
        <v/>
      </c>
      <c r="MJ42">
        <f>IF('calcA'!CW$106=1,GV42,1)</f>
        <v/>
      </c>
      <c r="MK42">
        <f>IF('calcA'!CX$106=1,GW42,1)</f>
        <v/>
      </c>
      <c r="ML42">
        <f>IF('calcA'!CY$106=1,GX42,1)</f>
        <v/>
      </c>
      <c r="MM42">
        <f>IF('calcA'!CZ$106=1,GY42,1)</f>
        <v/>
      </c>
      <c r="MN42">
        <f>IF('calcA'!DA$106=1,GZ42,1)</f>
        <v/>
      </c>
      <c r="MO42">
        <f>IF('calcA'!DB$106=1,HA42,1)</f>
        <v/>
      </c>
      <c r="MP42">
        <f>IF('calcA'!DC$106=1,HB42,1)</f>
        <v/>
      </c>
      <c r="MQ42">
        <f>IF('calcA'!DD$106=1,HC42,1)</f>
        <v/>
      </c>
      <c r="MR42">
        <f>IF('calcA'!DE$106=1,HD42,1)</f>
        <v/>
      </c>
      <c r="MS42">
        <f>IF('calcA'!DF$106=1,HE42,1)</f>
        <v/>
      </c>
      <c r="MT42">
        <f>IF('calcA'!DG$106=1,HF42,1)</f>
        <v/>
      </c>
      <c r="MU42">
        <f>IF('calcA'!DH$106=1,HG42,1)</f>
        <v/>
      </c>
      <c r="MV42">
        <f>IF('calcA'!DI$106=1,HH42,1)</f>
        <v/>
      </c>
      <c r="MW42">
        <f>IF('calcA'!DJ$106=1,HI42,1)</f>
        <v/>
      </c>
      <c r="MX42">
        <f>IF('calcA'!DK$106=1,HJ42,1)</f>
        <v/>
      </c>
      <c r="MY42">
        <f>IF('calcA'!DL$106=1,HK42,1)</f>
        <v/>
      </c>
      <c r="MZ42">
        <f>IF('calcA'!DM$106=1,HL42,1)</f>
        <v/>
      </c>
      <c r="NA42">
        <f>IF('calcA'!DN$106=1,HM42,1)</f>
        <v/>
      </c>
      <c r="NB42">
        <f>IF('calcA'!DO$106=1,HN42,1)</f>
        <v/>
      </c>
      <c r="NC42">
        <f>IF('calcA'!DP$106=1,HO42,1)</f>
        <v/>
      </c>
      <c r="ND42">
        <f>IF('calcA'!DQ$106=1,HP42,1)</f>
        <v/>
      </c>
      <c r="NE42">
        <f>IF('calcA'!DR$106=1,HQ42,1)</f>
        <v/>
      </c>
      <c r="NF42">
        <f>IF('calcA'!DS$106=1,HR42,1)</f>
        <v/>
      </c>
      <c r="NG42">
        <f>IF('calcA'!DT$106=1,HS42,1)</f>
        <v/>
      </c>
      <c r="NH42">
        <f>IF('calcA'!DU$106=1,HT42,1)</f>
        <v/>
      </c>
      <c r="NI42">
        <f>IF('calcA'!DV$106=1,HU42,1)</f>
        <v/>
      </c>
      <c r="NJ42">
        <f>IF('calcA'!DW$106=1,HV42,1)</f>
        <v/>
      </c>
      <c r="NK42">
        <f>IF('calcA'!DX$106=1,HW42,1)</f>
        <v/>
      </c>
      <c r="NL42">
        <f>IF('calcA'!DY$106=1,HX42,1)</f>
        <v/>
      </c>
      <c r="NM42">
        <f>IF('calcA'!DZ$106=1,HY42,1)</f>
        <v/>
      </c>
      <c r="NN42">
        <f>IF('calcA'!EA$106=1,HZ42,1)</f>
        <v/>
      </c>
      <c r="NO42">
        <f>IF('calcA'!EB$106=1,IA42,1)</f>
        <v/>
      </c>
      <c r="NP42">
        <f>IF('calcA'!EC$106=1,IB42,1)</f>
        <v/>
      </c>
      <c r="NQ42">
        <f>IF('calcA'!ED$106=1,IC42,1)</f>
        <v/>
      </c>
      <c r="NR42">
        <f>IF('calcA'!EE$106=1,ID42,1)</f>
        <v/>
      </c>
      <c r="NS42">
        <f>IF('calcA'!EF$106=1,IE42,1)</f>
        <v/>
      </c>
      <c r="NT42">
        <f>IF('calcA'!EG$106=1,IF42,1)</f>
        <v/>
      </c>
      <c r="NU42">
        <f>IF('calcA'!EH$106=1,IG42,1)</f>
        <v/>
      </c>
      <c r="NV42">
        <f>IF('calcA'!EI$106=1,IH42,1)</f>
        <v/>
      </c>
      <c r="NW42">
        <f>IF('calcA'!EJ$106=1,II42,1)</f>
        <v/>
      </c>
      <c r="NX42">
        <f>IF('calcA'!EK$106=1,IJ42,1)</f>
        <v/>
      </c>
      <c r="NY42">
        <f>IF('calcA'!EL$106=1,IK42,1)</f>
        <v/>
      </c>
      <c r="NZ42">
        <f>IF('calcA'!EM$106=1,IL42,1)</f>
        <v/>
      </c>
      <c r="OA42">
        <f>IF('calcA'!EN$106=1,IM42,1)</f>
        <v/>
      </c>
      <c r="OB42">
        <f>IF('calcA'!EO$106=1,IN42,1)</f>
        <v/>
      </c>
      <c r="OC42">
        <f>IF('calcA'!EP$106=1,IO42,1)</f>
        <v/>
      </c>
      <c r="OD42" t="n">
        <v>1</v>
      </c>
      <c r="OF42">
        <f>IF($B42=0,1000000000,IF(INDEX('calcA'!$D$60:$EQ$99,$B42,1)*IF($W42=1,DB42+ZQ42,DB42)=1,IF(AND($E42=2,IF($W42=1,AFF42,IQ42)=0),1000000000,IF($V42=1,INDEX('calcA'!$D$130:$EQ$169,$B42,1)+IF(AND($E42=1,IQ42=0),25,0),INDEX('calcA'!D$110:D$114,$F42+1)+IF(AND($E42=1,IQ42=0),1000,0)+IF($H42=1,INDEX('calcA'!$D$180:$EQ$219,$B42,1)*500,0)-IF(AND($U42=1,'calcA'!D$117=1,DC42=0),300,0))),1000000000))</f>
        <v/>
      </c>
      <c r="OG42">
        <f>IF($B42=0,1000000000,IF(INDEX('calcA'!$D$60:$EQ$99,$B42,2)*IF($W42=1,DC42+ZR42,DC42)=1,IF(AND($E42=2,IF($W42=1,AFG42,IR42)=0),1000000000,IF($V42=1,INDEX('calcA'!$D$130:$EQ$169,$B42,2)+IF(AND($E42=1,IR42=0),25,0),INDEX('calcA'!E$110:E$114,$F42+1)+IF(AND($E42=1,IR42=0),1000,0)+IF($H42=1,INDEX('calcA'!$D$180:$EQ$219,$B42,2)*500,0)-IF(AND('calcA'!D$117=1,UB42&gt;0),300,0)-IF(AND($U42=1,'calcA'!E$117=1,DD42=0),300,0))),1000000000))</f>
        <v/>
      </c>
      <c r="OH42">
        <f>IF($B42=0,1000000000,IF(INDEX('calcA'!$D$60:$EQ$99,$B42,3)*IF($W42=1,DD42+ZS42,DD42)=1,IF(AND($E42=2,IF($W42=1,AFH42,IS42)=0),1000000000,IF($V42=1,INDEX('calcA'!$D$130:$EQ$169,$B42,3)+IF(AND($E42=1,IS42=0),25,0),INDEX('calcA'!F$110:F$114,$F42+1)+IF(AND($E42=1,IS42=0),1000,0)+IF($H42=1,INDEX('calcA'!$D$180:$EQ$219,$B42,3)*500,0)-IF(AND('calcA'!E$117=1,UC42&gt;0),300,0)-IF(AND($U42=1,'calcA'!F$117=1,DE42=0),300,0))),1000000000))</f>
        <v/>
      </c>
      <c r="OI42">
        <f>IF($B42=0,1000000000,IF(INDEX('calcA'!$D$60:$EQ$99,$B42,4)*IF($W42=1,DE42+ZT42,DE42)=1,IF(AND($E42=2,IF($W42=1,AFI42,IT42)=0),1000000000,IF($V42=1,INDEX('calcA'!$D$130:$EQ$169,$B42,4)+IF(AND($E42=1,IT42=0),25,0),INDEX('calcA'!G$110:G$114,$F42+1)+IF(AND($E42=1,IT42=0),1000,0)+IF($H42=1,INDEX('calcA'!$D$180:$EQ$219,$B42,4)*500,0)-IF(AND('calcA'!F$117=1,UD42&gt;0),300,0)-IF(AND($U42=1,'calcA'!G$117=1,DF42=0),300,0))),1000000000))</f>
        <v/>
      </c>
      <c r="OJ42">
        <f>IF($B42=0,1000000000,IF(INDEX('calcA'!$D$60:$EQ$99,$B42,5)*IF($W42=1,DF42+ZU42,DF42)=1,IF(AND($E42=2,IF($W42=1,AFJ42,IU42)=0),1000000000,IF($V42=1,INDEX('calcA'!$D$130:$EQ$169,$B42,5)+IF(AND($E42=1,IU42=0),25,0),INDEX('calcA'!H$110:H$114,$F42+1)+IF(AND($E42=1,IU42=0),1000,0)+IF($H42=1,INDEX('calcA'!$D$180:$EQ$219,$B42,5)*500,0)-IF(AND('calcA'!G$117=1,UE42&gt;0),300,0)-IF(AND($U42=1,'calcA'!H$117=1,DG42=0),300,0))),1000000000))</f>
        <v/>
      </c>
      <c r="OK42">
        <f>IF($B42=0,1000000000,IF(INDEX('calcA'!$D$60:$EQ$99,$B42,6)*IF($W42=1,DG42+ZV42,DG42)=1,IF(AND($E42=2,IF($W42=1,AFK42,IV42)=0),1000000000,IF($V42=1,INDEX('calcA'!$D$130:$EQ$169,$B42,6)+IF(AND($E42=1,IV42=0),25,0),INDEX('calcA'!I$110:I$114,$F42+1)+IF(AND($E42=1,IV42=0),1000,0)+IF($H42=1,INDEX('calcA'!$D$180:$EQ$219,$B42,6)*500,0)-IF(AND('calcA'!H$117=1,UF42&gt;0),300,0)-IF(AND($U42=1,'calcA'!I$117=1,DH42=0),300,0))),1000000000))</f>
        <v/>
      </c>
      <c r="OL42">
        <f>IF($B42=0,1000000000,IF(INDEX('calcA'!$D$60:$EQ$99,$B42,7)*IF($W42=1,DH42+ZW42,DH42)=1,IF(AND($E42=2,IF($W42=1,AFL42,IW42)=0),1000000000,IF($V42=1,INDEX('calcA'!$D$130:$EQ$169,$B42,7)+IF(AND($E42=1,IW42=0),25,0),INDEX('calcA'!J$110:J$114,$F42+1)+IF(AND($E42=1,IW42=0),1000,0)+IF($H42=1,INDEX('calcA'!$D$180:$EQ$219,$B42,7)*500,0)-IF(AND('calcA'!I$117=1,UG42&gt;0),300,0)-IF(AND($U42=1,'calcA'!J$117=1,DI42=0),300,0))),1000000000))</f>
        <v/>
      </c>
      <c r="OM42">
        <f>IF($B42=0,1000000000,IF(INDEX('calcA'!$D$60:$EQ$99,$B42,8)*IF($W42=1,DI42+ZX42,DI42)=1,IF(AND($E42=2,IF($W42=1,AFM42,IX42)=0),1000000000,IF($V42=1,INDEX('calcA'!$D$130:$EQ$169,$B42,8)+IF(AND($E42=1,IX42=0),25,0),INDEX('calcA'!K$110:K$114,$F42+1)+IF(AND($E42=1,IX42=0),1000,0)+IF($H42=1,INDEX('calcA'!$D$180:$EQ$219,$B42,8)*500,0)-IF(AND('calcA'!J$117=1,UH42&gt;0),300,0)-IF(AND($U42=1,'calcA'!K$117=1,DJ42=0),300,0))),1000000000))</f>
        <v/>
      </c>
      <c r="ON42">
        <f>IF($B42=0,1000000000,IF(INDEX('calcA'!$D$60:$EQ$99,$B42,9)*IF($W42=1,DJ42+ZY42,DJ42)=1,IF(AND($E42=2,IF($W42=1,AFN42,IY42)=0),1000000000,IF($V42=1,INDEX('calcA'!$D$130:$EQ$169,$B42,9)+IF(AND($E42=1,IY42=0),25,0),INDEX('calcA'!L$110:L$114,$F42+1)+IF(AND($E42=1,IY42=0),1000,0)+IF($H42=1,INDEX('calcA'!$D$180:$EQ$219,$B42,9)*500,0)-IF(AND('calcA'!K$117=1,UI42&gt;0),300,0)-IF(AND($U42=1,'calcA'!L$117=1,DK42=0),300,0))),1000000000))</f>
        <v/>
      </c>
      <c r="OO42">
        <f>IF($B42=0,1000000000,IF(INDEX('calcA'!$D$60:$EQ$99,$B42,10)*IF($W42=1,DK42+ZZ42,DK42)=1,IF(AND($E42=2,IF($W42=1,AFO42,IZ42)=0),1000000000,IF($V42=1,INDEX('calcA'!$D$130:$EQ$169,$B42,10)+IF(AND($E42=1,IZ42=0),25,0),INDEX('calcA'!M$110:M$114,$F42+1)+IF(AND($E42=1,IZ42=0),1000,0)+IF($H42=1,INDEX('calcA'!$D$180:$EQ$219,$B42,10)*500,0)-IF(AND('calcA'!L$117=1,UJ42&gt;0),300,0)-IF(AND($U42=1,'calcA'!M$117=1,DL42=0),300,0))),1000000000))</f>
        <v/>
      </c>
      <c r="OP42">
        <f>IF($B42=0,1000000000,IF(INDEX('calcA'!$D$60:$EQ$99,$B42,11)*IF($W42=1,DL42+AAA42,DL42)=1,IF(AND($E42=2,IF($W42=1,AFP42,JA42)=0),1000000000,IF($V42=1,INDEX('calcA'!$D$130:$EQ$169,$B42,11)+IF(AND($E42=1,JA42=0),25,0),INDEX('calcA'!N$110:N$114,$F42+1)+IF(AND($E42=1,JA42=0),1000,0)+IF($H42=1,INDEX('calcA'!$D$180:$EQ$219,$B42,11)*500,0)-IF(AND('calcA'!M$117=1,UK42&gt;0),300,0)-IF(AND($U42=1,'calcA'!N$117=1,DM42=0),300,0))),1000000000))</f>
        <v/>
      </c>
      <c r="OQ42">
        <f>IF($B42=0,1000000000,IF(INDEX('calcA'!$D$60:$EQ$99,$B42,12)*IF($W42=1,DM42+AAB42,DM42)=1,IF(AND($E42=2,IF($W42=1,AFQ42,JB42)=0),1000000000,IF($V42=1,INDEX('calcA'!$D$130:$EQ$169,$B42,12)+IF(AND($E42=1,JB42=0),25,0),INDEX('calcA'!O$110:O$114,$F42+1)+IF(AND($E42=1,JB42=0),1000,0)+IF($H42=1,INDEX('calcA'!$D$180:$EQ$219,$B42,12)*500,0)-IF(AND('calcA'!N$117=1,UL42&gt;0),300,0)-IF(AND($U42=1,'calcA'!O$117=1,DN42=0),300,0))),1000000000))</f>
        <v/>
      </c>
      <c r="OR42">
        <f>IF($B42=0,1000000000,IF(INDEX('calcA'!$D$60:$EQ$99,$B42,13)*IF($W42=1,DN42+AAC42,DN42)=1,IF(AND($E42=2,IF($W42=1,AFR42,JC42)=0),1000000000,IF($V42=1,INDEX('calcA'!$D$130:$EQ$169,$B42,13)+IF(AND($E42=1,JC42=0),25,0),INDEX('calcA'!P$110:P$114,$F42+1)+IF(AND($E42=1,JC42=0),1000,0)+IF($H42=1,INDEX('calcA'!$D$180:$EQ$219,$B42,13)*500,0)-IF(AND('calcA'!O$117=1,UM42&gt;0),300,0)-IF(AND($U42=1,'calcA'!P$117=1,DO42=0),300,0))),1000000000))</f>
        <v/>
      </c>
      <c r="OS42">
        <f>IF($B42=0,1000000000,IF(INDEX('calcA'!$D$60:$EQ$99,$B42,14)*IF($W42=1,DO42+AAD42,DO42)=1,IF(AND($E42=2,IF($W42=1,AFS42,JD42)=0),1000000000,IF($V42=1,INDEX('calcA'!$D$130:$EQ$169,$B42,14)+IF(AND($E42=1,JD42=0),25,0),INDEX('calcA'!Q$110:Q$114,$F42+1)+IF(AND($E42=1,JD42=0),1000,0)+IF($H42=1,INDEX('calcA'!$D$180:$EQ$219,$B42,14)*500,0)-IF(AND('calcA'!P$117=1,UN42&gt;0),300,0)-IF(AND($U42=1,'calcA'!Q$117=1,DP42=0),300,0))),1000000000))</f>
        <v/>
      </c>
      <c r="OT42">
        <f>IF($B42=0,1000000000,IF(INDEX('calcA'!$D$60:$EQ$99,$B42,15)*IF($W42=1,DP42+AAE42,DP42)=1,IF(AND($E42=2,IF($W42=1,AFT42,JE42)=0),1000000000,IF($V42=1,INDEX('calcA'!$D$130:$EQ$169,$B42,15)+IF(AND($E42=1,JE42=0),25,0),INDEX('calcA'!R$110:R$114,$F42+1)+IF(AND($E42=1,JE42=0),1000,0)+IF($H42=1,INDEX('calcA'!$D$180:$EQ$219,$B42,15)*500,0)-IF(AND('calcA'!Q$117=1,UO42&gt;0),300,0)-IF(AND($U42=1,'calcA'!R$117=1,DQ42=0),300,0))),1000000000))</f>
        <v/>
      </c>
      <c r="OU42">
        <f>IF($B42=0,1000000000,IF(INDEX('calcA'!$D$60:$EQ$99,$B42,16)*IF($W42=1,DQ42+AAF42,DQ42)=1,IF(AND($E42=2,IF($W42=1,AFU42,JF42)=0),1000000000,IF($V42=1,INDEX('calcA'!$D$130:$EQ$169,$B42,16)+IF(AND($E42=1,JF42=0),25,0),INDEX('calcA'!S$110:S$114,$F42+1)+IF(AND($E42=1,JF42=0),1000,0)+IF($H42=1,INDEX('calcA'!$D$180:$EQ$219,$B42,16)*500,0)-IF(AND('calcA'!R$117=1,UP42&gt;0),300,0)-IF(AND($U42=1,'calcA'!S$117=1,DR42=0),300,0))),1000000000))</f>
        <v/>
      </c>
      <c r="OV42">
        <f>IF($B42=0,1000000000,IF(INDEX('calcA'!$D$60:$EQ$99,$B42,17)*IF($W42=1,DR42+AAG42,DR42)=1,IF(AND($E42=2,IF($W42=1,AFV42,JG42)=0),1000000000,IF($V42=1,INDEX('calcA'!$D$130:$EQ$169,$B42,17)+IF(AND($E42=1,JG42=0),25,0),INDEX('calcA'!T$110:T$114,$F42+1)+IF(AND($E42=1,JG42=0),1000,0)+IF($H42=1,INDEX('calcA'!$D$180:$EQ$219,$B42,17)*500,0)-IF(AND('calcA'!S$117=1,UQ42&gt;0),300,0)-IF(AND($U42=1,'calcA'!T$117=1,DS42=0),300,0))),1000000000))</f>
        <v/>
      </c>
      <c r="OW42">
        <f>IF($B42=0,1000000000,IF(INDEX('calcA'!$D$60:$EQ$99,$B42,18)*IF($W42=1,DS42+AAH42,DS42)=1,IF(AND($E42=2,IF($W42=1,AFW42,JH42)=0),1000000000,IF($V42=1,INDEX('calcA'!$D$130:$EQ$169,$B42,18)+IF(AND($E42=1,JH42=0),25,0),INDEX('calcA'!U$110:U$114,$F42+1)+IF(AND($E42=1,JH42=0),1000,0)+IF($H42=1,INDEX('calcA'!$D$180:$EQ$219,$B42,18)*500,0)-IF(AND('calcA'!T$117=1,UR42&gt;0),300,0)-IF(AND($U42=1,'calcA'!U$117=1,DT42=0),300,0))),1000000000))</f>
        <v/>
      </c>
      <c r="OX42">
        <f>IF($B42=0,1000000000,IF(INDEX('calcA'!$D$60:$EQ$99,$B42,19)*IF($W42=1,DT42+AAI42,DT42)=1,IF(AND($E42=2,IF($W42=1,AFX42,JI42)=0),1000000000,IF($V42=1,INDEX('calcA'!$D$130:$EQ$169,$B42,19)+IF(AND($E42=1,JI42=0),25,0),INDEX('calcA'!V$110:V$114,$F42+1)+IF(AND($E42=1,JI42=0),1000,0)+IF($H42=1,INDEX('calcA'!$D$180:$EQ$219,$B42,19)*500,0)-IF(AND('calcA'!U$117=1,US42&gt;0),300,0)-IF(AND($U42=1,'calcA'!V$117=1,DU42=0),300,0))),1000000000))</f>
        <v/>
      </c>
      <c r="OY42">
        <f>IF($B42=0,1000000000,IF(INDEX('calcA'!$D$60:$EQ$99,$B42,20)*IF($W42=1,DU42+AAJ42,DU42)=1,IF(AND($E42=2,IF($W42=1,AFY42,JJ42)=0),1000000000,IF($V42=1,INDEX('calcA'!$D$130:$EQ$169,$B42,20)+IF(AND($E42=1,JJ42=0),25,0),INDEX('calcA'!W$110:W$114,$F42+1)+IF(AND($E42=1,JJ42=0),1000,0)+IF($H42=1,INDEX('calcA'!$D$180:$EQ$219,$B42,20)*500,0)-IF(AND('calcA'!V$117=1,UT42&gt;0),300,0)-IF(AND($U42=1,'calcA'!W$117=1,DV42=0),300,0))),1000000000))</f>
        <v/>
      </c>
      <c r="OZ42">
        <f>IF($B42=0,1000000000,IF(INDEX('calcA'!$D$60:$EQ$99,$B42,21)*IF($W42=1,DV42+AAK42,DV42)=1,IF(AND($E42=2,IF($W42=1,AFZ42,JK42)=0),1000000000,IF($V42=1,INDEX('calcA'!$D$130:$EQ$169,$B42,21)+IF(AND($E42=1,JK42=0),25,0),INDEX('calcA'!X$110:X$114,$F42+1)+IF(AND($E42=1,JK42=0),1000,0)+IF($H42=1,INDEX('calcA'!$D$180:$EQ$219,$B42,21)*500,0)-IF(AND('calcA'!W$117=1,UU42&gt;0),300,0)-IF(AND($U42=1,'calcA'!X$117=1,DW42=0),300,0))),1000000000))</f>
        <v/>
      </c>
      <c r="PA42">
        <f>IF($B42=0,1000000000,IF(INDEX('calcA'!$D$60:$EQ$99,$B42,22)*IF($W42=1,DW42+AAL42,DW42)=1,IF(AND($E42=2,IF($W42=1,AGA42,JL42)=0),1000000000,IF($V42=1,INDEX('calcA'!$D$130:$EQ$169,$B42,22)+IF(AND($E42=1,JL42=0),25,0),INDEX('calcA'!Y$110:Y$114,$F42+1)+IF(AND($E42=1,JL42=0),1000,0)+IF($H42=1,INDEX('calcA'!$D$180:$EQ$219,$B42,22)*500,0)-IF(AND('calcA'!X$117=1,UV42&gt;0),300,0)-IF(AND($U42=1,'calcA'!Y$117=1,DX42=0),300,0))),1000000000))</f>
        <v/>
      </c>
      <c r="PB42">
        <f>IF($B42=0,1000000000,IF(INDEX('calcA'!$D$60:$EQ$99,$B42,23)*IF($W42=1,DX42+AAM42,DX42)=1,IF(AND($E42=2,IF($W42=1,AGB42,JM42)=0),1000000000,IF($V42=1,INDEX('calcA'!$D$130:$EQ$169,$B42,23)+IF(AND($E42=1,JM42=0),25,0),INDEX('calcA'!Z$110:Z$114,$F42+1)+IF(AND($E42=1,JM42=0),1000,0)+IF($H42=1,INDEX('calcA'!$D$180:$EQ$219,$B42,23)*500,0)-IF(AND('calcA'!Y$117=1,UW42&gt;0),300,0)-IF(AND($U42=1,'calcA'!Z$117=1,DY42=0),300,0))),1000000000))</f>
        <v/>
      </c>
      <c r="PC42">
        <f>IF($B42=0,1000000000,IF(INDEX('calcA'!$D$60:$EQ$99,$B42,24)*IF($W42=1,DY42+AAN42,DY42)=1,IF(AND($E42=2,IF($W42=1,AGC42,JN42)=0),1000000000,IF($V42=1,INDEX('calcA'!$D$130:$EQ$169,$B42,24)+IF(AND($E42=1,JN42=0),25,0),INDEX('calcA'!AA$110:AA$114,$F42+1)+IF(AND($E42=1,JN42=0),1000,0)+IF($H42=1,INDEX('calcA'!$D$180:$EQ$219,$B42,24)*500,0)-IF(AND('calcA'!Z$117=1,UX42&gt;0),300,0))),1000000000))</f>
        <v/>
      </c>
      <c r="PD42">
        <f>IF($B42=0,1000000000,IF(INDEX('calcA'!$D$60:$EQ$99,$B42,25)*IF($W42=1,DZ42+AAO42,DZ42)=1,IF(AND($E42=2,IF($W42=1,AGD42,JO42)=0),1000000000,IF($V42=1,INDEX('calcA'!$D$130:$EQ$169,$B42,25)+IF(AND($E42=1,JO42=0),25,0),INDEX('calcA'!AB$110:AB$114,$F42+1)+IF(AND($E42=1,JO42=0),1000,0)+IF($H42=1,INDEX('calcA'!$D$180:$EQ$219,$B42,25)*500,0)-IF(AND($U42=1,'calcA'!AB$117=1,EA42=0),300,0))),1000000000))</f>
        <v/>
      </c>
      <c r="PE42">
        <f>IF($B42=0,1000000000,IF(INDEX('calcA'!$D$60:$EQ$99,$B42,26)*IF($W42=1,EA42+AAP42,EA42)=1,IF(AND($E42=2,IF($W42=1,AGE42,JP42)=0),1000000000,IF($V42=1,INDEX('calcA'!$D$130:$EQ$169,$B42,26)+IF(AND($E42=1,JP42=0),25,0),INDEX('calcA'!AC$110:AC$114,$F42+1)+IF(AND($E42=1,JP42=0),1000,0)+IF($H42=1,INDEX('calcA'!$D$180:$EQ$219,$B42,26)*500,0)-IF(AND('calcA'!AB$117=1,UZ42&gt;0),300,0)-IF(AND($U42=1,'calcA'!AC$117=1,EB42=0),300,0))),1000000000))</f>
        <v/>
      </c>
      <c r="PF42">
        <f>IF($B42=0,1000000000,IF(INDEX('calcA'!$D$60:$EQ$99,$B42,27)*IF($W42=1,EB42+AAQ42,EB42)=1,IF(AND($E42=2,IF($W42=1,AGF42,JQ42)=0),1000000000,IF($V42=1,INDEX('calcA'!$D$130:$EQ$169,$B42,27)+IF(AND($E42=1,JQ42=0),25,0),INDEX('calcA'!AD$110:AD$114,$F42+1)+IF(AND($E42=1,JQ42=0),1000,0)+IF($H42=1,INDEX('calcA'!$D$180:$EQ$219,$B42,27)*500,0)-IF(AND('calcA'!AC$117=1,VA42&gt;0),300,0)-IF(AND($U42=1,'calcA'!AD$117=1,EC42=0),300,0))),1000000000))</f>
        <v/>
      </c>
      <c r="PG42">
        <f>IF($B42=0,1000000000,IF(INDEX('calcA'!$D$60:$EQ$99,$B42,28)*IF($W42=1,EC42+AAR42,EC42)=1,IF(AND($E42=2,IF($W42=1,AGG42,JR42)=0),1000000000,IF($V42=1,INDEX('calcA'!$D$130:$EQ$169,$B42,28)+IF(AND($E42=1,JR42=0),25,0),INDEX('calcA'!AE$110:AE$114,$F42+1)+IF(AND($E42=1,JR42=0),1000,0)+IF($H42=1,INDEX('calcA'!$D$180:$EQ$219,$B42,28)*500,0)-IF(AND('calcA'!AD$117=1,VB42&gt;0),300,0)-IF(AND($U42=1,'calcA'!AE$117=1,ED42=0),300,0))),1000000000))</f>
        <v/>
      </c>
      <c r="PH42">
        <f>IF($B42=0,1000000000,IF(INDEX('calcA'!$D$60:$EQ$99,$B42,29)*IF($W42=1,ED42+AAS42,ED42)=1,IF(AND($E42=2,IF($W42=1,AGH42,JS42)=0),1000000000,IF($V42=1,INDEX('calcA'!$D$130:$EQ$169,$B42,29)+IF(AND($E42=1,JS42=0),25,0),INDEX('calcA'!AF$110:AF$114,$F42+1)+IF(AND($E42=1,JS42=0),1000,0)+IF($H42=1,INDEX('calcA'!$D$180:$EQ$219,$B42,29)*500,0)-IF(AND('calcA'!AE$117=1,VC42&gt;0),300,0)-IF(AND($U42=1,'calcA'!AF$117=1,EE42=0),300,0))),1000000000))</f>
        <v/>
      </c>
      <c r="PI42">
        <f>IF($B42=0,1000000000,IF(INDEX('calcA'!$D$60:$EQ$99,$B42,30)*IF($W42=1,EE42+AAT42,EE42)=1,IF(AND($E42=2,IF($W42=1,AGI42,JT42)=0),1000000000,IF($V42=1,INDEX('calcA'!$D$130:$EQ$169,$B42,30)+IF(AND($E42=1,JT42=0),25,0),INDEX('calcA'!AG$110:AG$114,$F42+1)+IF(AND($E42=1,JT42=0),1000,0)+IF($H42=1,INDEX('calcA'!$D$180:$EQ$219,$B42,30)*500,0)-IF(AND('calcA'!AF$117=1,VD42&gt;0),300,0)-IF(AND($U42=1,'calcA'!AG$117=1,EF42=0),300,0))),1000000000))</f>
        <v/>
      </c>
      <c r="PJ42">
        <f>IF($B42=0,1000000000,IF(INDEX('calcA'!$D$60:$EQ$99,$B42,31)*IF($W42=1,EF42+AAU42,EF42)=1,IF(AND($E42=2,IF($W42=1,AGJ42,JU42)=0),1000000000,IF($V42=1,INDEX('calcA'!$D$130:$EQ$169,$B42,31)+IF(AND($E42=1,JU42=0),25,0),INDEX('calcA'!AH$110:AH$114,$F42+1)+IF(AND($E42=1,JU42=0),1000,0)+IF($H42=1,INDEX('calcA'!$D$180:$EQ$219,$B42,31)*500,0)-IF(AND('calcA'!AG$117=1,VE42&gt;0),300,0)-IF(AND($U42=1,'calcA'!AH$117=1,EG42=0),300,0))),1000000000))</f>
        <v/>
      </c>
      <c r="PK42">
        <f>IF($B42=0,1000000000,IF(INDEX('calcA'!$D$60:$EQ$99,$B42,32)*IF($W42=1,EG42+AAV42,EG42)=1,IF(AND($E42=2,IF($W42=1,AGK42,JV42)=0),1000000000,IF($V42=1,INDEX('calcA'!$D$130:$EQ$169,$B42,32)+IF(AND($E42=1,JV42=0),25,0),INDEX('calcA'!AI$110:AI$114,$F42+1)+IF(AND($E42=1,JV42=0),1000,0)+IF($H42=1,INDEX('calcA'!$D$180:$EQ$219,$B42,32)*500,0)-IF(AND('calcA'!AH$117=1,VF42&gt;0),300,0)-IF(AND($U42=1,'calcA'!AI$117=1,EH42=0),300,0))),1000000000))</f>
        <v/>
      </c>
      <c r="PL42">
        <f>IF($B42=0,1000000000,IF(INDEX('calcA'!$D$60:$EQ$99,$B42,33)*IF($W42=1,EH42+AAW42,EH42)=1,IF(AND($E42=2,IF($W42=1,AGL42,JW42)=0),1000000000,IF($V42=1,INDEX('calcA'!$D$130:$EQ$169,$B42,33)+IF(AND($E42=1,JW42=0),25,0),INDEX('calcA'!AJ$110:AJ$114,$F42+1)+IF(AND($E42=1,JW42=0),1000,0)+IF($H42=1,INDEX('calcA'!$D$180:$EQ$219,$B42,33)*500,0)-IF(AND('calcA'!AI$117=1,VG42&gt;0),300,0)-IF(AND($U42=1,'calcA'!AJ$117=1,EI42=0),300,0))),1000000000))</f>
        <v/>
      </c>
      <c r="PM42">
        <f>IF($B42=0,1000000000,IF(INDEX('calcA'!$D$60:$EQ$99,$B42,34)*IF($W42=1,EI42+AAX42,EI42)=1,IF(AND($E42=2,IF($W42=1,AGM42,JX42)=0),1000000000,IF($V42=1,INDEX('calcA'!$D$130:$EQ$169,$B42,34)+IF(AND($E42=1,JX42=0),25,0),INDEX('calcA'!AK$110:AK$114,$F42+1)+IF(AND($E42=1,JX42=0),1000,0)+IF($H42=1,INDEX('calcA'!$D$180:$EQ$219,$B42,34)*500,0)-IF(AND('calcA'!AJ$117=1,VH42&gt;0),300,0)-IF(AND($U42=1,'calcA'!AK$117=1,EJ42=0),300,0))),1000000000))</f>
        <v/>
      </c>
      <c r="PN42">
        <f>IF($B42=0,1000000000,IF(INDEX('calcA'!$D$60:$EQ$99,$B42,35)*IF($W42=1,EJ42+AAY42,EJ42)=1,IF(AND($E42=2,IF($W42=1,AGN42,JY42)=0),1000000000,IF($V42=1,INDEX('calcA'!$D$130:$EQ$169,$B42,35)+IF(AND($E42=1,JY42=0),25,0),INDEX('calcA'!AL$110:AL$114,$F42+1)+IF(AND($E42=1,JY42=0),1000,0)+IF($H42=1,INDEX('calcA'!$D$180:$EQ$219,$B42,35)*500,0)-IF(AND('calcA'!AK$117=1,VI42&gt;0),300,0)-IF(AND($U42=1,'calcA'!AL$117=1,EK42=0),300,0))),1000000000))</f>
        <v/>
      </c>
      <c r="PO42">
        <f>IF($B42=0,1000000000,IF(INDEX('calcA'!$D$60:$EQ$99,$B42,36)*IF($W42=1,EK42+AAZ42,EK42)=1,IF(AND($E42=2,IF($W42=1,AGO42,JZ42)=0),1000000000,IF($V42=1,INDEX('calcA'!$D$130:$EQ$169,$B42,36)+IF(AND($E42=1,JZ42=0),25,0),INDEX('calcA'!AM$110:AM$114,$F42+1)+IF(AND($E42=1,JZ42=0),1000,0)+IF($H42=1,INDEX('calcA'!$D$180:$EQ$219,$B42,36)*500,0)-IF(AND('calcA'!AL$117=1,VJ42&gt;0),300,0)-IF(AND($U42=1,'calcA'!AM$117=1,EL42=0),300,0))),1000000000))</f>
        <v/>
      </c>
      <c r="PP42">
        <f>IF($B42=0,1000000000,IF(INDEX('calcA'!$D$60:$EQ$99,$B42,37)*IF($W42=1,EL42+ABA42,EL42)=1,IF(AND($E42=2,IF($W42=1,AGP42,KA42)=0),1000000000,IF($V42=1,INDEX('calcA'!$D$130:$EQ$169,$B42,37)+IF(AND($E42=1,KA42=0),25,0),INDEX('calcA'!AN$110:AN$114,$F42+1)+IF(AND($E42=1,KA42=0),1000,0)+IF($H42=1,INDEX('calcA'!$D$180:$EQ$219,$B42,37)*500,0)-IF(AND('calcA'!AM$117=1,VK42&gt;0),300,0)-IF(AND($U42=1,'calcA'!AN$117=1,EM42=0),300,0))),1000000000))</f>
        <v/>
      </c>
      <c r="PQ42">
        <f>IF($B42=0,1000000000,IF(INDEX('calcA'!$D$60:$EQ$99,$B42,38)*IF($W42=1,EM42+ABB42,EM42)=1,IF(AND($E42=2,IF($W42=1,AGQ42,KB42)=0),1000000000,IF($V42=1,INDEX('calcA'!$D$130:$EQ$169,$B42,38)+IF(AND($E42=1,KB42=0),25,0),INDEX('calcA'!AO$110:AO$114,$F42+1)+IF(AND($E42=1,KB42=0),1000,0)+IF($H42=1,INDEX('calcA'!$D$180:$EQ$219,$B42,38)*500,0)-IF(AND('calcA'!AN$117=1,VL42&gt;0),300,0)-IF(AND($U42=1,'calcA'!AO$117=1,EN42=0),300,0))),1000000000))</f>
        <v/>
      </c>
      <c r="PR42">
        <f>IF($B42=0,1000000000,IF(INDEX('calcA'!$D$60:$EQ$99,$B42,39)*IF($W42=1,EN42+ABC42,EN42)=1,IF(AND($E42=2,IF($W42=1,AGR42,KC42)=0),1000000000,IF($V42=1,INDEX('calcA'!$D$130:$EQ$169,$B42,39)+IF(AND($E42=1,KC42=0),25,0),INDEX('calcA'!AP$110:AP$114,$F42+1)+IF(AND($E42=1,KC42=0),1000,0)+IF($H42=1,INDEX('calcA'!$D$180:$EQ$219,$B42,39)*500,0)-IF(AND('calcA'!AO$117=1,VM42&gt;0),300,0)-IF(AND($U42=1,'calcA'!AP$117=1,EO42=0),300,0))),1000000000))</f>
        <v/>
      </c>
      <c r="PS42">
        <f>IF($B42=0,1000000000,IF(INDEX('calcA'!$D$60:$EQ$99,$B42,40)*IF($W42=1,EO42+ABD42,EO42)=1,IF(AND($E42=2,IF($W42=1,AGS42,KD42)=0),1000000000,IF($V42=1,INDEX('calcA'!$D$130:$EQ$169,$B42,40)+IF(AND($E42=1,KD42=0),25,0),INDEX('calcA'!AQ$110:AQ$114,$F42+1)+IF(AND($E42=1,KD42=0),1000,0)+IF($H42=1,INDEX('calcA'!$D$180:$EQ$219,$B42,40)*500,0)-IF(AND('calcA'!AP$117=1,VN42&gt;0),300,0)-IF(AND($U42=1,'calcA'!AQ$117=1,EP42=0),300,0))),1000000000))</f>
        <v/>
      </c>
      <c r="PT42">
        <f>IF($B42=0,1000000000,IF(INDEX('calcA'!$D$60:$EQ$99,$B42,41)*IF($W42=1,EP42+ABE42,EP42)=1,IF(AND($E42=2,IF($W42=1,AGT42,KE42)=0),1000000000,IF($V42=1,INDEX('calcA'!$D$130:$EQ$169,$B42,41)+IF(AND($E42=1,KE42=0),25,0),INDEX('calcA'!AR$110:AR$114,$F42+1)+IF(AND($E42=1,KE42=0),1000,0)+IF($H42=1,INDEX('calcA'!$D$180:$EQ$219,$B42,41)*500,0)-IF(AND('calcA'!AQ$117=1,VO42&gt;0),300,0)-IF(AND($U42=1,'calcA'!AR$117=1,EQ42=0),300,0))),1000000000))</f>
        <v/>
      </c>
      <c r="PU42">
        <f>IF($B42=0,1000000000,IF(INDEX('calcA'!$D$60:$EQ$99,$B42,42)*IF($W42=1,EQ42+ABF42,EQ42)=1,IF(AND($E42=2,IF($W42=1,AGU42,KF42)=0),1000000000,IF($V42=1,INDEX('calcA'!$D$130:$EQ$169,$B42,42)+IF(AND($E42=1,KF42=0),25,0),INDEX('calcA'!AS$110:AS$114,$F42+1)+IF(AND($E42=1,KF42=0),1000,0)+IF($H42=1,INDEX('calcA'!$D$180:$EQ$219,$B42,42)*500,0)-IF(AND('calcA'!AR$117=1,VP42&gt;0),300,0)-IF(AND($U42=1,'calcA'!AS$117=1,ER42=0),300,0))),1000000000))</f>
        <v/>
      </c>
      <c r="PV42">
        <f>IF($B42=0,1000000000,IF(INDEX('calcA'!$D$60:$EQ$99,$B42,43)*IF($W42=1,ER42+ABG42,ER42)=1,IF(AND($E42=2,IF($W42=1,AGV42,KG42)=0),1000000000,IF($V42=1,INDEX('calcA'!$D$130:$EQ$169,$B42,43)+IF(AND($E42=1,KG42=0),25,0),INDEX('calcA'!AT$110:AT$114,$F42+1)+IF(AND($E42=1,KG42=0),1000,0)+IF($H42=1,INDEX('calcA'!$D$180:$EQ$219,$B42,43)*500,0)-IF(AND('calcA'!AS$117=1,VQ42&gt;0),300,0)-IF(AND($U42=1,'calcA'!AT$117=1,ES42=0),300,0))),1000000000))</f>
        <v/>
      </c>
      <c r="PW42">
        <f>IF($B42=0,1000000000,IF(INDEX('calcA'!$D$60:$EQ$99,$B42,44)*IF($W42=1,ES42+ABH42,ES42)=1,IF(AND($E42=2,IF($W42=1,AGW42,KH42)=0),1000000000,IF($V42=1,INDEX('calcA'!$D$130:$EQ$169,$B42,44)+IF(AND($E42=1,KH42=0),25,0),INDEX('calcA'!AU$110:AU$114,$F42+1)+IF(AND($E42=1,KH42=0),1000,0)+IF($H42=1,INDEX('calcA'!$D$180:$EQ$219,$B42,44)*500,0)-IF(AND('calcA'!AT$117=1,VR42&gt;0),300,0)-IF(AND($U42=1,'calcA'!AU$117=1,ET42=0),300,0))),1000000000))</f>
        <v/>
      </c>
      <c r="PX42">
        <f>IF($B42=0,1000000000,IF(INDEX('calcA'!$D$60:$EQ$99,$B42,45)*IF($W42=1,ET42+ABI42,ET42)=1,IF(AND($E42=2,IF($W42=1,AGX42,KI42)=0),1000000000,IF($V42=1,INDEX('calcA'!$D$130:$EQ$169,$B42,45)+IF(AND($E42=1,KI42=0),25,0),INDEX('calcA'!AV$110:AV$114,$F42+1)+IF(AND($E42=1,KI42=0),1000,0)+IF($H42=1,INDEX('calcA'!$D$180:$EQ$219,$B42,45)*500,0)-IF(AND('calcA'!AU$117=1,VS42&gt;0),300,0)-IF(AND($U42=1,'calcA'!AV$117=1,EU42=0),300,0))),1000000000))</f>
        <v/>
      </c>
      <c r="PY42">
        <f>IF($B42=0,1000000000,IF(INDEX('calcA'!$D$60:$EQ$99,$B42,46)*IF($W42=1,EU42+ABJ42,EU42)=1,IF(AND($E42=2,IF($W42=1,AGY42,KJ42)=0),1000000000,IF($V42=1,INDEX('calcA'!$D$130:$EQ$169,$B42,46)+IF(AND($E42=1,KJ42=0),25,0),INDEX('calcA'!AW$110:AW$114,$F42+1)+IF(AND($E42=1,KJ42=0),1000,0)+IF($H42=1,INDEX('calcA'!$D$180:$EQ$219,$B42,46)*500,0)-IF(AND('calcA'!AV$117=1,VT42&gt;0),300,0)-IF(AND($U42=1,'calcA'!AW$117=1,EV42=0),300,0))),1000000000))</f>
        <v/>
      </c>
      <c r="PZ42">
        <f>IF($B42=0,1000000000,IF(INDEX('calcA'!$D$60:$EQ$99,$B42,47)*IF($W42=1,EV42+ABK42,EV42)=1,IF(AND($E42=2,IF($W42=1,AGZ42,KK42)=0),1000000000,IF($V42=1,INDEX('calcA'!$D$130:$EQ$169,$B42,47)+IF(AND($E42=1,KK42=0),25,0),INDEX('calcA'!AX$110:AX$114,$F42+1)+IF(AND($E42=1,KK42=0),1000,0)+IF($H42=1,INDEX('calcA'!$D$180:$EQ$219,$B42,47)*500,0)-IF(AND('calcA'!AW$117=1,VU42&gt;0),300,0)-IF(AND($U42=1,'calcA'!AX$117=1,EW42=0),300,0))),1000000000))</f>
        <v/>
      </c>
      <c r="QA42">
        <f>IF($B42=0,1000000000,IF(INDEX('calcA'!$D$60:$EQ$99,$B42,48)*IF($W42=1,EW42+ABL42,EW42)=1,IF(AND($E42=2,IF($W42=1,AHA42,KL42)=0),1000000000,IF($V42=1,INDEX('calcA'!$D$130:$EQ$169,$B42,48)+IF(AND($E42=1,KL42=0),25,0),INDEX('calcA'!AY$110:AY$114,$F42+1)+IF(AND($E42=1,KL42=0),1000,0)+IF($H42=1,INDEX('calcA'!$D$180:$EQ$219,$B42,48)*500,0)-IF(AND('calcA'!AX$117=1,VV42&gt;0),300,0))),1000000000))</f>
        <v/>
      </c>
      <c r="QB42">
        <f>IF($B42=0,1000000000,IF(INDEX('calcA'!$D$60:$EQ$99,$B42,49)*IF($W42=1,EX42+ABM42,EX42)=1,IF(AND($E42=2,IF($W42=1,AHB42,KM42)=0),1000000000,IF($V42=1,INDEX('calcA'!$D$130:$EQ$169,$B42,49)+IF(AND($E42=1,KM42=0),25,0),INDEX('calcA'!AZ$110:AZ$114,$F42+1)+IF(AND($E42=1,KM42=0),1000,0)+IF($H42=1,INDEX('calcA'!$D$180:$EQ$219,$B42,49)*500,0)-IF(AND($U42=1,'calcA'!AZ$117=1,EY42=0),300,0))),1000000000))</f>
        <v/>
      </c>
      <c r="QC42">
        <f>IF($B42=0,1000000000,IF(INDEX('calcA'!$D$60:$EQ$99,$B42,50)*IF($W42=1,EY42+ABN42,EY42)=1,IF(AND($E42=2,IF($W42=1,AHC42,KN42)=0),1000000000,IF($V42=1,INDEX('calcA'!$D$130:$EQ$169,$B42,50)+IF(AND($E42=1,KN42=0),25,0),INDEX('calcA'!BA$110:BA$114,$F42+1)+IF(AND($E42=1,KN42=0),1000,0)+IF($H42=1,INDEX('calcA'!$D$180:$EQ$219,$B42,50)*500,0)-IF(AND('calcA'!AZ$117=1,VX42&gt;0),300,0)-IF(AND($U42=1,'calcA'!BA$117=1,EZ42=0),300,0))),1000000000))</f>
        <v/>
      </c>
      <c r="QD42">
        <f>IF($B42=0,1000000000,IF(INDEX('calcA'!$D$60:$EQ$99,$B42,51)*IF($W42=1,EZ42+ABO42,EZ42)=1,IF(AND($E42=2,IF($W42=1,AHD42,KO42)=0),1000000000,IF($V42=1,INDEX('calcA'!$D$130:$EQ$169,$B42,51)+IF(AND($E42=1,KO42=0),25,0),INDEX('calcA'!BB$110:BB$114,$F42+1)+IF(AND($E42=1,KO42=0),1000,0)+IF($H42=1,INDEX('calcA'!$D$180:$EQ$219,$B42,51)*500,0)-IF(AND('calcA'!BA$117=1,VY42&gt;0),300,0)-IF(AND($U42=1,'calcA'!BB$117=1,FA42=0),300,0))),1000000000))</f>
        <v/>
      </c>
      <c r="QE42">
        <f>IF($B42=0,1000000000,IF(INDEX('calcA'!$D$60:$EQ$99,$B42,52)*IF($W42=1,FA42+ABP42,FA42)=1,IF(AND($E42=2,IF($W42=1,AHE42,KP42)=0),1000000000,IF($V42=1,INDEX('calcA'!$D$130:$EQ$169,$B42,52)+IF(AND($E42=1,KP42=0),25,0),INDEX('calcA'!BC$110:BC$114,$F42+1)+IF(AND($E42=1,KP42=0),1000,0)+IF($H42=1,INDEX('calcA'!$D$180:$EQ$219,$B42,52)*500,0)-IF(AND('calcA'!BB$117=1,VZ42&gt;0),300,0)-IF(AND($U42=1,'calcA'!BC$117=1,FB42=0),300,0))),1000000000))</f>
        <v/>
      </c>
      <c r="QF42">
        <f>IF($B42=0,1000000000,IF(INDEX('calcA'!$D$60:$EQ$99,$B42,53)*IF($W42=1,FB42+ABQ42,FB42)=1,IF(AND($E42=2,IF($W42=1,AHF42,KQ42)=0),1000000000,IF($V42=1,INDEX('calcA'!$D$130:$EQ$169,$B42,53)+IF(AND($E42=1,KQ42=0),25,0),INDEX('calcA'!BD$110:BD$114,$F42+1)+IF(AND($E42=1,KQ42=0),1000,0)+IF($H42=1,INDEX('calcA'!$D$180:$EQ$219,$B42,53)*500,0)-IF(AND('calcA'!BC$117=1,WA42&gt;0),300,0)-IF(AND($U42=1,'calcA'!BD$117=1,FC42=0),300,0))),1000000000))</f>
        <v/>
      </c>
      <c r="QG42">
        <f>IF($B42=0,1000000000,IF(INDEX('calcA'!$D$60:$EQ$99,$B42,54)*IF($W42=1,FC42+ABR42,FC42)=1,IF(AND($E42=2,IF($W42=1,AHG42,KR42)=0),1000000000,IF($V42=1,INDEX('calcA'!$D$130:$EQ$169,$B42,54)+IF(AND($E42=1,KR42=0),25,0),INDEX('calcA'!BE$110:BE$114,$F42+1)+IF(AND($E42=1,KR42=0),1000,0)+IF($H42=1,INDEX('calcA'!$D$180:$EQ$219,$B42,54)*500,0)-IF(AND('calcA'!BD$117=1,WB42&gt;0),300,0)-IF(AND($U42=1,'calcA'!BE$117=1,FD42=0),300,0))),1000000000))</f>
        <v/>
      </c>
      <c r="QH42">
        <f>IF($B42=0,1000000000,IF(INDEX('calcA'!$D$60:$EQ$99,$B42,55)*IF($W42=1,FD42+ABS42,FD42)=1,IF(AND($E42=2,IF($W42=1,AHH42,KS42)=0),1000000000,IF($V42=1,INDEX('calcA'!$D$130:$EQ$169,$B42,55)+IF(AND($E42=1,KS42=0),25,0),INDEX('calcA'!BF$110:BF$114,$F42+1)+IF(AND($E42=1,KS42=0),1000,0)+IF($H42=1,INDEX('calcA'!$D$180:$EQ$219,$B42,55)*500,0)-IF(AND('calcA'!BE$117=1,WC42&gt;0),300,0)-IF(AND($U42=1,'calcA'!BF$117=1,FE42=0),300,0))),1000000000))</f>
        <v/>
      </c>
      <c r="QI42">
        <f>IF($B42=0,1000000000,IF(INDEX('calcA'!$D$60:$EQ$99,$B42,56)*IF($W42=1,FE42+ABT42,FE42)=1,IF(AND($E42=2,IF($W42=1,AHI42,KT42)=0),1000000000,IF($V42=1,INDEX('calcA'!$D$130:$EQ$169,$B42,56)+IF(AND($E42=1,KT42=0),25,0),INDEX('calcA'!BG$110:BG$114,$F42+1)+IF(AND($E42=1,KT42=0),1000,0)+IF($H42=1,INDEX('calcA'!$D$180:$EQ$219,$B42,56)*500,0)-IF(AND('calcA'!BF$117=1,WD42&gt;0),300,0)-IF(AND($U42=1,'calcA'!BG$117=1,FF42=0),300,0))),1000000000))</f>
        <v/>
      </c>
      <c r="QJ42">
        <f>IF($B42=0,1000000000,IF(INDEX('calcA'!$D$60:$EQ$99,$B42,57)*IF($W42=1,FF42+ABU42,FF42)=1,IF(AND($E42=2,IF($W42=1,AHJ42,KU42)=0),1000000000,IF($V42=1,INDEX('calcA'!$D$130:$EQ$169,$B42,57)+IF(AND($E42=1,KU42=0),25,0),INDEX('calcA'!BH$110:BH$114,$F42+1)+IF(AND($E42=1,KU42=0),1000,0)+IF($H42=1,INDEX('calcA'!$D$180:$EQ$219,$B42,57)*500,0)-IF(AND('calcA'!BG$117=1,WE42&gt;0),300,0)-IF(AND($U42=1,'calcA'!BH$117=1,FG42=0),300,0))),1000000000))</f>
        <v/>
      </c>
      <c r="QK42">
        <f>IF($B42=0,1000000000,IF(INDEX('calcA'!$D$60:$EQ$99,$B42,58)*IF($W42=1,FG42+ABV42,FG42)=1,IF(AND($E42=2,IF($W42=1,AHK42,KV42)=0),1000000000,IF($V42=1,INDEX('calcA'!$D$130:$EQ$169,$B42,58)+IF(AND($E42=1,KV42=0),25,0),INDEX('calcA'!BI$110:BI$114,$F42+1)+IF(AND($E42=1,KV42=0),1000,0)+IF($H42=1,INDEX('calcA'!$D$180:$EQ$219,$B42,58)*500,0)-IF(AND('calcA'!BH$117=1,WF42&gt;0),300,0)-IF(AND($U42=1,'calcA'!BI$117=1,FH42=0),300,0))),1000000000))</f>
        <v/>
      </c>
      <c r="QL42">
        <f>IF($B42=0,1000000000,IF(INDEX('calcA'!$D$60:$EQ$99,$B42,59)*IF($W42=1,FH42+ABW42,FH42)=1,IF(AND($E42=2,IF($W42=1,AHL42,KW42)=0),1000000000,IF($V42=1,INDEX('calcA'!$D$130:$EQ$169,$B42,59)+IF(AND($E42=1,KW42=0),25,0),INDEX('calcA'!BJ$110:BJ$114,$F42+1)+IF(AND($E42=1,KW42=0),1000,0)+IF($H42=1,INDEX('calcA'!$D$180:$EQ$219,$B42,59)*500,0)-IF(AND('calcA'!BI$117=1,WG42&gt;0),300,0)-IF(AND($U42=1,'calcA'!BJ$117=1,FI42=0),300,0))),1000000000))</f>
        <v/>
      </c>
      <c r="QM42">
        <f>IF($B42=0,1000000000,IF(INDEX('calcA'!$D$60:$EQ$99,$B42,60)*IF($W42=1,FI42+ABX42,FI42)=1,IF(AND($E42=2,IF($W42=1,AHM42,KX42)=0),1000000000,IF($V42=1,INDEX('calcA'!$D$130:$EQ$169,$B42,60)+IF(AND($E42=1,KX42=0),25,0),INDEX('calcA'!BK$110:BK$114,$F42+1)+IF(AND($E42=1,KX42=0),1000,0)+IF($H42=1,INDEX('calcA'!$D$180:$EQ$219,$B42,60)*500,0)-IF(AND('calcA'!BJ$117=1,WH42&gt;0),300,0)-IF(AND($U42=1,'calcA'!BK$117=1,FJ42=0),300,0))),1000000000))</f>
        <v/>
      </c>
      <c r="QN42">
        <f>IF($B42=0,1000000000,IF(INDEX('calcA'!$D$60:$EQ$99,$B42,61)*IF($W42=1,FJ42+ABY42,FJ42)=1,IF(AND($E42=2,IF($W42=1,AHN42,KY42)=0),1000000000,IF($V42=1,INDEX('calcA'!$D$130:$EQ$169,$B42,61)+IF(AND($E42=1,KY42=0),25,0),INDEX('calcA'!BL$110:BL$114,$F42+1)+IF(AND($E42=1,KY42=0),1000,0)+IF($H42=1,INDEX('calcA'!$D$180:$EQ$219,$B42,61)*500,0)-IF(AND('calcA'!BK$117=1,WI42&gt;0),300,0)-IF(AND($U42=1,'calcA'!BL$117=1,FK42=0),300,0))),1000000000))</f>
        <v/>
      </c>
      <c r="QO42">
        <f>IF($B42=0,1000000000,IF(INDEX('calcA'!$D$60:$EQ$99,$B42,62)*IF($W42=1,FK42+ABZ42,FK42)=1,IF(AND($E42=2,IF($W42=1,AHO42,KZ42)=0),1000000000,IF($V42=1,INDEX('calcA'!$D$130:$EQ$169,$B42,62)+IF(AND($E42=1,KZ42=0),25,0),INDEX('calcA'!BM$110:BM$114,$F42+1)+IF(AND($E42=1,KZ42=0),1000,0)+IF($H42=1,INDEX('calcA'!$D$180:$EQ$219,$B42,62)*500,0)-IF(AND('calcA'!BL$117=1,WJ42&gt;0),300,0)-IF(AND($U42=1,'calcA'!BM$117=1,FL42=0),300,0))),1000000000))</f>
        <v/>
      </c>
      <c r="QP42">
        <f>IF($B42=0,1000000000,IF(INDEX('calcA'!$D$60:$EQ$99,$B42,63)*IF($W42=1,FL42+ACA42,FL42)=1,IF(AND($E42=2,IF($W42=1,AHP42,LA42)=0),1000000000,IF($V42=1,INDEX('calcA'!$D$130:$EQ$169,$B42,63)+IF(AND($E42=1,LA42=0),25,0),INDEX('calcA'!BN$110:BN$114,$F42+1)+IF(AND($E42=1,LA42=0),1000,0)+IF($H42=1,INDEX('calcA'!$D$180:$EQ$219,$B42,63)*500,0)-IF(AND('calcA'!BM$117=1,WK42&gt;0),300,0)-IF(AND($U42=1,'calcA'!BN$117=1,FM42=0),300,0))),1000000000))</f>
        <v/>
      </c>
      <c r="QQ42">
        <f>IF($B42=0,1000000000,IF(INDEX('calcA'!$D$60:$EQ$99,$B42,64)*IF($W42=1,FM42+ACB42,FM42)=1,IF(AND($E42=2,IF($W42=1,AHQ42,LB42)=0),1000000000,IF($V42=1,INDEX('calcA'!$D$130:$EQ$169,$B42,64)+IF(AND($E42=1,LB42=0),25,0),INDEX('calcA'!BO$110:BO$114,$F42+1)+IF(AND($E42=1,LB42=0),1000,0)+IF($H42=1,INDEX('calcA'!$D$180:$EQ$219,$B42,64)*500,0)-IF(AND('calcA'!BN$117=1,WL42&gt;0),300,0)-IF(AND($U42=1,'calcA'!BO$117=1,FN42=0),300,0))),1000000000))</f>
        <v/>
      </c>
      <c r="QR42">
        <f>IF($B42=0,1000000000,IF(INDEX('calcA'!$D$60:$EQ$99,$B42,65)*IF($W42=1,FN42+ACC42,FN42)=1,IF(AND($E42=2,IF($W42=1,AHR42,LC42)=0),1000000000,IF($V42=1,INDEX('calcA'!$D$130:$EQ$169,$B42,65)+IF(AND($E42=1,LC42=0),25,0),INDEX('calcA'!BP$110:BP$114,$F42+1)+IF(AND($E42=1,LC42=0),1000,0)+IF($H42=1,INDEX('calcA'!$D$180:$EQ$219,$B42,65)*500,0)-IF(AND('calcA'!BO$117=1,WM42&gt;0),300,0)-IF(AND($U42=1,'calcA'!BP$117=1,FO42=0),300,0))),1000000000))</f>
        <v/>
      </c>
      <c r="QS42">
        <f>IF($B42=0,1000000000,IF(INDEX('calcA'!$D$60:$EQ$99,$B42,66)*IF($W42=1,FO42+ACD42,FO42)=1,IF(AND($E42=2,IF($W42=1,AHS42,LD42)=0),1000000000,IF($V42=1,INDEX('calcA'!$D$130:$EQ$169,$B42,66)+IF(AND($E42=1,LD42=0),25,0),INDEX('calcA'!BQ$110:BQ$114,$F42+1)+IF(AND($E42=1,LD42=0),1000,0)+IF($H42=1,INDEX('calcA'!$D$180:$EQ$219,$B42,66)*500,0)-IF(AND('calcA'!BP$117=1,WN42&gt;0),300,0)-IF(AND($U42=1,'calcA'!BQ$117=1,FP42=0),300,0))),1000000000))</f>
        <v/>
      </c>
      <c r="QT42">
        <f>IF($B42=0,1000000000,IF(INDEX('calcA'!$D$60:$EQ$99,$B42,67)*IF($W42=1,FP42+ACE42,FP42)=1,IF(AND($E42=2,IF($W42=1,AHT42,LE42)=0),1000000000,IF($V42=1,INDEX('calcA'!$D$130:$EQ$169,$B42,67)+IF(AND($E42=1,LE42=0),25,0),INDEX('calcA'!BR$110:BR$114,$F42+1)+IF(AND($E42=1,LE42=0),1000,0)+IF($H42=1,INDEX('calcA'!$D$180:$EQ$219,$B42,67)*500,0)-IF(AND('calcA'!BQ$117=1,WO42&gt;0),300,0)-IF(AND($U42=1,'calcA'!BR$117=1,FQ42=0),300,0))),1000000000))</f>
        <v/>
      </c>
      <c r="QU42">
        <f>IF($B42=0,1000000000,IF(INDEX('calcA'!$D$60:$EQ$99,$B42,68)*IF($W42=1,FQ42+ACF42,FQ42)=1,IF(AND($E42=2,IF($W42=1,AHU42,LF42)=0),1000000000,IF($V42=1,INDEX('calcA'!$D$130:$EQ$169,$B42,68)+IF(AND($E42=1,LF42=0),25,0),INDEX('calcA'!BS$110:BS$114,$F42+1)+IF(AND($E42=1,LF42=0),1000,0)+IF($H42=1,INDEX('calcA'!$D$180:$EQ$219,$B42,68)*500,0)-IF(AND('calcA'!BR$117=1,WP42&gt;0),300,0)-IF(AND($U42=1,'calcA'!BS$117=1,FR42=0),300,0))),1000000000))</f>
        <v/>
      </c>
      <c r="QV42">
        <f>IF($B42=0,1000000000,IF(INDEX('calcA'!$D$60:$EQ$99,$B42,69)*IF($W42=1,FR42+ACG42,FR42)=1,IF(AND($E42=2,IF($W42=1,AHV42,LG42)=0),1000000000,IF($V42=1,INDEX('calcA'!$D$130:$EQ$169,$B42,69)+IF(AND($E42=1,LG42=0),25,0),INDEX('calcA'!BT$110:BT$114,$F42+1)+IF(AND($E42=1,LG42=0),1000,0)+IF($H42=1,INDEX('calcA'!$D$180:$EQ$219,$B42,69)*500,0)-IF(AND('calcA'!BS$117=1,WQ42&gt;0),300,0)-IF(AND($U42=1,'calcA'!BT$117=1,FS42=0),300,0))),1000000000))</f>
        <v/>
      </c>
      <c r="QW42">
        <f>IF($B42=0,1000000000,IF(INDEX('calcA'!$D$60:$EQ$99,$B42,70)*IF($W42=1,FS42+ACH42,FS42)=1,IF(AND($E42=2,IF($W42=1,AHW42,LH42)=0),1000000000,IF($V42=1,INDEX('calcA'!$D$130:$EQ$169,$B42,70)+IF(AND($E42=1,LH42=0),25,0),INDEX('calcA'!BU$110:BU$114,$F42+1)+IF(AND($E42=1,LH42=0),1000,0)+IF($H42=1,INDEX('calcA'!$D$180:$EQ$219,$B42,70)*500,0)-IF(AND('calcA'!BT$117=1,WR42&gt;0),300,0)-IF(AND($U42=1,'calcA'!BU$117=1,FT42=0),300,0))),1000000000))</f>
        <v/>
      </c>
      <c r="QX42">
        <f>IF($B42=0,1000000000,IF(INDEX('calcA'!$D$60:$EQ$99,$B42,71)*IF($W42=1,FT42+ACI42,FT42)=1,IF(AND($E42=2,IF($W42=1,AHX42,LI42)=0),1000000000,IF($V42=1,INDEX('calcA'!$D$130:$EQ$169,$B42,71)+IF(AND($E42=1,LI42=0),25,0),INDEX('calcA'!BV$110:BV$114,$F42+1)+IF(AND($E42=1,LI42=0),1000,0)+IF($H42=1,INDEX('calcA'!$D$180:$EQ$219,$B42,71)*500,0)-IF(AND('calcA'!BU$117=1,WS42&gt;0),300,0)-IF(AND($U42=1,'calcA'!BV$117=1,FU42=0),300,0))),1000000000))</f>
        <v/>
      </c>
      <c r="QY42">
        <f>IF($B42=0,1000000000,IF(INDEX('calcA'!$D$60:$EQ$99,$B42,72)*IF($W42=1,FU42+ACJ42,FU42)=1,IF(AND($E42=2,IF($W42=1,AHY42,LJ42)=0),1000000000,IF($V42=1,INDEX('calcA'!$D$130:$EQ$169,$B42,72)+IF(AND($E42=1,LJ42=0),25,0),INDEX('calcA'!BW$110:BW$114,$F42+1)+IF(AND($E42=1,LJ42=0),1000,0)+IF($H42=1,INDEX('calcA'!$D$180:$EQ$219,$B42,72)*500,0)-IF(AND('calcA'!BV$117=1,WT42&gt;0),300,0))),1000000000))</f>
        <v/>
      </c>
      <c r="QZ42">
        <f>IF($B42=0,1000000000,IF(INDEX('calcA'!$D$60:$EQ$99,$B42,73)*IF($W42=1,FV42+ACK42,FV42)=1,IF(AND($E42=2,IF($W42=1,AHZ42,LK42)=0),1000000000,IF($V42=1,INDEX('calcA'!$D$130:$EQ$169,$B42,73)+IF(AND($E42=1,LK42=0),25,0),INDEX('calcA'!BX$110:BX$114,$F42+1)+IF(AND($E42=1,LK42=0),1000,0)+IF($H42=1,INDEX('calcA'!$D$180:$EQ$219,$B42,73)*500,0)-IF(AND($U42=1,'calcA'!BX$117=1,FW42=0),300,0))),1000000000))</f>
        <v/>
      </c>
      <c r="RA42">
        <f>IF($B42=0,1000000000,IF(INDEX('calcA'!$D$60:$EQ$99,$B42,74)*IF($W42=1,FW42+ACL42,FW42)=1,IF(AND($E42=2,IF($W42=1,AIA42,LL42)=0),1000000000,IF($V42=1,INDEX('calcA'!$D$130:$EQ$169,$B42,74)+IF(AND($E42=1,LL42=0),25,0),INDEX('calcA'!BY$110:BY$114,$F42+1)+IF(AND($E42=1,LL42=0),1000,0)+IF($H42=1,INDEX('calcA'!$D$180:$EQ$219,$B42,74)*500,0)-IF(AND('calcA'!BX$117=1,WV42&gt;0),300,0)-IF(AND($U42=1,'calcA'!BY$117=1,FX42=0),300,0))),1000000000))</f>
        <v/>
      </c>
      <c r="RB42">
        <f>IF($B42=0,1000000000,IF(INDEX('calcA'!$D$60:$EQ$99,$B42,75)*IF($W42=1,FX42+ACM42,FX42)=1,IF(AND($E42=2,IF($W42=1,AIB42,LM42)=0),1000000000,IF($V42=1,INDEX('calcA'!$D$130:$EQ$169,$B42,75)+IF(AND($E42=1,LM42=0),25,0),INDEX('calcA'!BZ$110:BZ$114,$F42+1)+IF(AND($E42=1,LM42=0),1000,0)+IF($H42=1,INDEX('calcA'!$D$180:$EQ$219,$B42,75)*500,0)-IF(AND('calcA'!BY$117=1,WW42&gt;0),300,0)-IF(AND($U42=1,'calcA'!BZ$117=1,FY42=0),300,0))),1000000000))</f>
        <v/>
      </c>
      <c r="RC42">
        <f>IF($B42=0,1000000000,IF(INDEX('calcA'!$D$60:$EQ$99,$B42,76)*IF($W42=1,FY42+ACN42,FY42)=1,IF(AND($E42=2,IF($W42=1,AIC42,LN42)=0),1000000000,IF($V42=1,INDEX('calcA'!$D$130:$EQ$169,$B42,76)+IF(AND($E42=1,LN42=0),25,0),INDEX('calcA'!CA$110:CA$114,$F42+1)+IF(AND($E42=1,LN42=0),1000,0)+IF($H42=1,INDEX('calcA'!$D$180:$EQ$219,$B42,76)*500,0)-IF(AND('calcA'!BZ$117=1,WX42&gt;0),300,0)-IF(AND($U42=1,'calcA'!CA$117=1,FZ42=0),300,0))),1000000000))</f>
        <v/>
      </c>
      <c r="RD42">
        <f>IF($B42=0,1000000000,IF(INDEX('calcA'!$D$60:$EQ$99,$B42,77)*IF($W42=1,FZ42+ACO42,FZ42)=1,IF(AND($E42=2,IF($W42=1,AID42,LO42)=0),1000000000,IF($V42=1,INDEX('calcA'!$D$130:$EQ$169,$B42,77)+IF(AND($E42=1,LO42=0),25,0),INDEX('calcA'!CB$110:CB$114,$F42+1)+IF(AND($E42=1,LO42=0),1000,0)+IF($H42=1,INDEX('calcA'!$D$180:$EQ$219,$B42,77)*500,0)-IF(AND('calcA'!CA$117=1,WY42&gt;0),300,0)-IF(AND($U42=1,'calcA'!CB$117=1,GA42=0),300,0))),1000000000))</f>
        <v/>
      </c>
      <c r="RE42">
        <f>IF($B42=0,1000000000,IF(INDEX('calcA'!$D$60:$EQ$99,$B42,78)*IF($W42=1,GA42+ACP42,GA42)=1,IF(AND($E42=2,IF($W42=1,AIE42,LP42)=0),1000000000,IF($V42=1,INDEX('calcA'!$D$130:$EQ$169,$B42,78)+IF(AND($E42=1,LP42=0),25,0),INDEX('calcA'!CC$110:CC$114,$F42+1)+IF(AND($E42=1,LP42=0),1000,0)+IF($H42=1,INDEX('calcA'!$D$180:$EQ$219,$B42,78)*500,0)-IF(AND('calcA'!CB$117=1,WZ42&gt;0),300,0)-IF(AND($U42=1,'calcA'!CC$117=1,GB42=0),300,0))),1000000000))</f>
        <v/>
      </c>
      <c r="RF42">
        <f>IF($B42=0,1000000000,IF(INDEX('calcA'!$D$60:$EQ$99,$B42,79)*IF($W42=1,GB42+ACQ42,GB42)=1,IF(AND($E42=2,IF($W42=1,AIF42,LQ42)=0),1000000000,IF($V42=1,INDEX('calcA'!$D$130:$EQ$169,$B42,79)+IF(AND($E42=1,LQ42=0),25,0),INDEX('calcA'!CD$110:CD$114,$F42+1)+IF(AND($E42=1,LQ42=0),1000,0)+IF($H42=1,INDEX('calcA'!$D$180:$EQ$219,$B42,79)*500,0)-IF(AND('calcA'!CC$117=1,XA42&gt;0),300,0)-IF(AND($U42=1,'calcA'!CD$117=1,GC42=0),300,0))),1000000000))</f>
        <v/>
      </c>
      <c r="RG42">
        <f>IF($B42=0,1000000000,IF(INDEX('calcA'!$D$60:$EQ$99,$B42,80)*IF($W42=1,GC42+ACR42,GC42)=1,IF(AND($E42=2,IF($W42=1,AIG42,LR42)=0),1000000000,IF($V42=1,INDEX('calcA'!$D$130:$EQ$169,$B42,80)+IF(AND($E42=1,LR42=0),25,0),INDEX('calcA'!CE$110:CE$114,$F42+1)+IF(AND($E42=1,LR42=0),1000,0)+IF($H42=1,INDEX('calcA'!$D$180:$EQ$219,$B42,80)*500,0)-IF(AND('calcA'!CD$117=1,XB42&gt;0),300,0)-IF(AND($U42=1,'calcA'!CE$117=1,GD42=0),300,0))),1000000000))</f>
        <v/>
      </c>
      <c r="RH42">
        <f>IF($B42=0,1000000000,IF(INDEX('calcA'!$D$60:$EQ$99,$B42,81)*IF($W42=1,GD42+ACS42,GD42)=1,IF(AND($E42=2,IF($W42=1,AIH42,LS42)=0),1000000000,IF($V42=1,INDEX('calcA'!$D$130:$EQ$169,$B42,81)+IF(AND($E42=1,LS42=0),25,0),INDEX('calcA'!CF$110:CF$114,$F42+1)+IF(AND($E42=1,LS42=0),1000,0)+IF($H42=1,INDEX('calcA'!$D$180:$EQ$219,$B42,81)*500,0)-IF(AND('calcA'!CE$117=1,XC42&gt;0),300,0)-IF(AND($U42=1,'calcA'!CF$117=1,GE42=0),300,0))),1000000000))</f>
        <v/>
      </c>
      <c r="RI42">
        <f>IF($B42=0,1000000000,IF(INDEX('calcA'!$D$60:$EQ$99,$B42,82)*IF($W42=1,GE42+ACT42,GE42)=1,IF(AND($E42=2,IF($W42=1,AII42,LT42)=0),1000000000,IF($V42=1,INDEX('calcA'!$D$130:$EQ$169,$B42,82)+IF(AND($E42=1,LT42=0),25,0),INDEX('calcA'!CG$110:CG$114,$F42+1)+IF(AND($E42=1,LT42=0),1000,0)+IF($H42=1,INDEX('calcA'!$D$180:$EQ$219,$B42,82)*500,0)-IF(AND('calcA'!CF$117=1,XD42&gt;0),300,0)-IF(AND($U42=1,'calcA'!CG$117=1,GF42=0),300,0))),1000000000))</f>
        <v/>
      </c>
      <c r="RJ42">
        <f>IF($B42=0,1000000000,IF(INDEX('calcA'!$D$60:$EQ$99,$B42,83)*IF($W42=1,GF42+ACU42,GF42)=1,IF(AND($E42=2,IF($W42=1,AIJ42,LU42)=0),1000000000,IF($V42=1,INDEX('calcA'!$D$130:$EQ$169,$B42,83)+IF(AND($E42=1,LU42=0),25,0),INDEX('calcA'!CH$110:CH$114,$F42+1)+IF(AND($E42=1,LU42=0),1000,0)+IF($H42=1,INDEX('calcA'!$D$180:$EQ$219,$B42,83)*500,0)-IF(AND('calcA'!CG$117=1,XE42&gt;0),300,0)-IF(AND($U42=1,'calcA'!CH$117=1,GG42=0),300,0))),1000000000))</f>
        <v/>
      </c>
      <c r="RK42">
        <f>IF($B42=0,1000000000,IF(INDEX('calcA'!$D$60:$EQ$99,$B42,84)*IF($W42=1,GG42+ACV42,GG42)=1,IF(AND($E42=2,IF($W42=1,AIK42,LV42)=0),1000000000,IF($V42=1,INDEX('calcA'!$D$130:$EQ$169,$B42,84)+IF(AND($E42=1,LV42=0),25,0),INDEX('calcA'!CI$110:CI$114,$F42+1)+IF(AND($E42=1,LV42=0),1000,0)+IF($H42=1,INDEX('calcA'!$D$180:$EQ$219,$B42,84)*500,0)-IF(AND('calcA'!CH$117=1,XF42&gt;0),300,0)-IF(AND($U42=1,'calcA'!CI$117=1,GH42=0),300,0))),1000000000))</f>
        <v/>
      </c>
      <c r="RL42">
        <f>IF($B42=0,1000000000,IF(INDEX('calcA'!$D$60:$EQ$99,$B42,85)*IF($W42=1,GH42+ACW42,GH42)=1,IF(AND($E42=2,IF($W42=1,AIL42,LW42)=0),1000000000,IF($V42=1,INDEX('calcA'!$D$130:$EQ$169,$B42,85)+IF(AND($E42=1,LW42=0),25,0),INDEX('calcA'!CJ$110:CJ$114,$F42+1)+IF(AND($E42=1,LW42=0),1000,0)+IF($H42=1,INDEX('calcA'!$D$180:$EQ$219,$B42,85)*500,0)-IF(AND('calcA'!CI$117=1,XG42&gt;0),300,0)-IF(AND($U42=1,'calcA'!CJ$117=1,GI42=0),300,0))),1000000000))</f>
        <v/>
      </c>
      <c r="RM42">
        <f>IF($B42=0,1000000000,IF(INDEX('calcA'!$D$60:$EQ$99,$B42,86)*IF($W42=1,GI42+ACX42,GI42)=1,IF(AND($E42=2,IF($W42=1,AIM42,LX42)=0),1000000000,IF($V42=1,INDEX('calcA'!$D$130:$EQ$169,$B42,86)+IF(AND($E42=1,LX42=0),25,0),INDEX('calcA'!CK$110:CK$114,$F42+1)+IF(AND($E42=1,LX42=0),1000,0)+IF($H42=1,INDEX('calcA'!$D$180:$EQ$219,$B42,86)*500,0)-IF(AND('calcA'!CJ$117=1,XH42&gt;0),300,0)-IF(AND($U42=1,'calcA'!CK$117=1,GJ42=0),300,0))),1000000000))</f>
        <v/>
      </c>
      <c r="RN42">
        <f>IF($B42=0,1000000000,IF(INDEX('calcA'!$D$60:$EQ$99,$B42,87)*IF($W42=1,GJ42+ACY42,GJ42)=1,IF(AND($E42=2,IF($W42=1,AIN42,LY42)=0),1000000000,IF($V42=1,INDEX('calcA'!$D$130:$EQ$169,$B42,87)+IF(AND($E42=1,LY42=0),25,0),INDEX('calcA'!CL$110:CL$114,$F42+1)+IF(AND($E42=1,LY42=0),1000,0)+IF($H42=1,INDEX('calcA'!$D$180:$EQ$219,$B42,87)*500,0)-IF(AND('calcA'!CK$117=1,XI42&gt;0),300,0)-IF(AND($U42=1,'calcA'!CL$117=1,GK42=0),300,0))),1000000000))</f>
        <v/>
      </c>
      <c r="RO42">
        <f>IF($B42=0,1000000000,IF(INDEX('calcA'!$D$60:$EQ$99,$B42,88)*IF($W42=1,GK42+ACZ42,GK42)=1,IF(AND($E42=2,IF($W42=1,AIO42,LZ42)=0),1000000000,IF($V42=1,INDEX('calcA'!$D$130:$EQ$169,$B42,88)+IF(AND($E42=1,LZ42=0),25,0),INDEX('calcA'!CM$110:CM$114,$F42+1)+IF(AND($E42=1,LZ42=0),1000,0)+IF($H42=1,INDEX('calcA'!$D$180:$EQ$219,$B42,88)*500,0)-IF(AND('calcA'!CL$117=1,XJ42&gt;0),300,0)-IF(AND($U42=1,'calcA'!CM$117=1,GL42=0),300,0))),1000000000))</f>
        <v/>
      </c>
      <c r="RP42">
        <f>IF($B42=0,1000000000,IF(INDEX('calcA'!$D$60:$EQ$99,$B42,89)*IF($W42=1,GL42+ADA42,GL42)=1,IF(AND($E42=2,IF($W42=1,AIP42,MA42)=0),1000000000,IF($V42=1,INDEX('calcA'!$D$130:$EQ$169,$B42,89)+IF(AND($E42=1,MA42=0),25,0),INDEX('calcA'!CN$110:CN$114,$F42+1)+IF(AND($E42=1,MA42=0),1000,0)+IF($H42=1,INDEX('calcA'!$D$180:$EQ$219,$B42,89)*500,0)-IF(AND('calcA'!CM$117=1,XK42&gt;0),300,0)-IF(AND($U42=1,'calcA'!CN$117=1,GM42=0),300,0))),1000000000))</f>
        <v/>
      </c>
      <c r="RQ42">
        <f>IF($B42=0,1000000000,IF(INDEX('calcA'!$D$60:$EQ$99,$B42,90)*IF($W42=1,GM42+ADB42,GM42)=1,IF(AND($E42=2,IF($W42=1,AIQ42,MB42)=0),1000000000,IF($V42=1,INDEX('calcA'!$D$130:$EQ$169,$B42,90)+IF(AND($E42=1,MB42=0),25,0),INDEX('calcA'!CO$110:CO$114,$F42+1)+IF(AND($E42=1,MB42=0),1000,0)+IF($H42=1,INDEX('calcA'!$D$180:$EQ$219,$B42,90)*500,0)-IF(AND('calcA'!CN$117=1,XL42&gt;0),300,0)-IF(AND($U42=1,'calcA'!CO$117=1,GN42=0),300,0))),1000000000))</f>
        <v/>
      </c>
      <c r="RR42">
        <f>IF($B42=0,1000000000,IF(INDEX('calcA'!$D$60:$EQ$99,$B42,91)*IF($W42=1,GN42+ADC42,GN42)=1,IF(AND($E42=2,IF($W42=1,AIR42,MC42)=0),1000000000,IF($V42=1,INDEX('calcA'!$D$130:$EQ$169,$B42,91)+IF(AND($E42=1,MC42=0),25,0),INDEX('calcA'!CP$110:CP$114,$F42+1)+IF(AND($E42=1,MC42=0),1000,0)+IF($H42=1,INDEX('calcA'!$D$180:$EQ$219,$B42,91)*500,0)-IF(AND('calcA'!CO$117=1,XM42&gt;0),300,0)-IF(AND($U42=1,'calcA'!CP$117=1,GO42=0),300,0))),1000000000))</f>
        <v/>
      </c>
      <c r="RS42">
        <f>IF($B42=0,1000000000,IF(INDEX('calcA'!$D$60:$EQ$99,$B42,92)*IF($W42=1,GO42+ADD42,GO42)=1,IF(AND($E42=2,IF($W42=1,AIS42,MD42)=0),1000000000,IF($V42=1,INDEX('calcA'!$D$130:$EQ$169,$B42,92)+IF(AND($E42=1,MD42=0),25,0),INDEX('calcA'!CQ$110:CQ$114,$F42+1)+IF(AND($E42=1,MD42=0),1000,0)+IF($H42=1,INDEX('calcA'!$D$180:$EQ$219,$B42,92)*500,0)-IF(AND('calcA'!CP$117=1,XN42&gt;0),300,0)-IF(AND($U42=1,'calcA'!CQ$117=1,GP42=0),300,0))),1000000000))</f>
        <v/>
      </c>
      <c r="RT42">
        <f>IF($B42=0,1000000000,IF(INDEX('calcA'!$D$60:$EQ$99,$B42,93)*IF($W42=1,GP42+ADE42,GP42)=1,IF(AND($E42=2,IF($W42=1,AIT42,ME42)=0),1000000000,IF($V42=1,INDEX('calcA'!$D$130:$EQ$169,$B42,93)+IF(AND($E42=1,ME42=0),25,0),INDEX('calcA'!CR$110:CR$114,$F42+1)+IF(AND($E42=1,ME42=0),1000,0)+IF($H42=1,INDEX('calcA'!$D$180:$EQ$219,$B42,93)*500,0)-IF(AND('calcA'!CQ$117=1,XO42&gt;0),300,0)-IF(AND($U42=1,'calcA'!CR$117=1,GQ42=0),300,0))),1000000000))</f>
        <v/>
      </c>
      <c r="RU42">
        <f>IF($B42=0,1000000000,IF(INDEX('calcA'!$D$60:$EQ$99,$B42,94)*IF($W42=1,GQ42+ADF42,GQ42)=1,IF(AND($E42=2,IF($W42=1,AIU42,MF42)=0),1000000000,IF($V42=1,INDEX('calcA'!$D$130:$EQ$169,$B42,94)+IF(AND($E42=1,MF42=0),25,0),INDEX('calcA'!CS$110:CS$114,$F42+1)+IF(AND($E42=1,MF42=0),1000,0)+IF($H42=1,INDEX('calcA'!$D$180:$EQ$219,$B42,94)*500,0)-IF(AND('calcA'!CR$117=1,XP42&gt;0),300,0)-IF(AND($U42=1,'calcA'!CS$117=1,GR42=0),300,0))),1000000000))</f>
        <v/>
      </c>
      <c r="RV42">
        <f>IF($B42=0,1000000000,IF(INDEX('calcA'!$D$60:$EQ$99,$B42,95)*IF($W42=1,GR42+ADG42,GR42)=1,IF(AND($E42=2,IF($W42=1,AIV42,MG42)=0),1000000000,IF($V42=1,INDEX('calcA'!$D$130:$EQ$169,$B42,95)+IF(AND($E42=1,MG42=0),25,0),INDEX('calcA'!CT$110:CT$114,$F42+1)+IF(AND($E42=1,MG42=0),1000,0)+IF($H42=1,INDEX('calcA'!$D$180:$EQ$219,$B42,95)*500,0)-IF(AND('calcA'!CS$117=1,XQ42&gt;0),300,0)-IF(AND($U42=1,'calcA'!CT$117=1,GS42=0),300,0))),1000000000))</f>
        <v/>
      </c>
      <c r="RW42">
        <f>IF($B42=0,1000000000,IF(INDEX('calcA'!$D$60:$EQ$99,$B42,96)*IF($W42=1,GS42+ADH42,GS42)=1,IF(AND($E42=2,IF($W42=1,AIW42,MH42)=0),1000000000,IF($V42=1,INDEX('calcA'!$D$130:$EQ$169,$B42,96)+IF(AND($E42=1,MH42=0),25,0),INDEX('calcA'!CU$110:CU$114,$F42+1)+IF(AND($E42=1,MH42=0),1000,0)+IF($H42=1,INDEX('calcA'!$D$180:$EQ$219,$B42,96)*500,0)-IF(AND('calcA'!CT$117=1,XR42&gt;0),300,0))),1000000000))</f>
        <v/>
      </c>
      <c r="RX42">
        <f>IF($B42=0,1000000000,IF(INDEX('calcA'!$D$60:$EQ$99,$B42,97)*IF($W42=1,GT42+ADI42,GT42)=1,IF(AND($E42=2,IF($W42=1,AIX42,MI42)=0),1000000000,IF($V42=1,INDEX('calcA'!$D$130:$EQ$169,$B42,97)+IF(AND($E42=1,MI42=0),25,0),INDEX('calcA'!CV$110:CV$114,$F42+1)+IF(AND($E42=1,MI42=0),1000,0)+IF($H42=1,INDEX('calcA'!$D$180:$EQ$219,$B42,97)*500,0)-IF(AND($U42=1,'calcA'!CV$117=1,GU42=0),300,0))),1000000000))</f>
        <v/>
      </c>
      <c r="RY42">
        <f>IF($B42=0,1000000000,IF(INDEX('calcA'!$D$60:$EQ$99,$B42,98)*IF($W42=1,GU42+ADJ42,GU42)=1,IF(AND($E42=2,IF($W42=1,AIY42,MJ42)=0),1000000000,IF($V42=1,INDEX('calcA'!$D$130:$EQ$169,$B42,98)+IF(AND($E42=1,MJ42=0),25,0),INDEX('calcA'!CW$110:CW$114,$F42+1)+IF(AND($E42=1,MJ42=0),1000,0)+IF($H42=1,INDEX('calcA'!$D$180:$EQ$219,$B42,98)*500,0)-IF(AND('calcA'!CV$117=1,XT42&gt;0),300,0)-IF(AND($U42=1,'calcA'!CW$117=1,GV42=0),300,0))),1000000000))</f>
        <v/>
      </c>
      <c r="RZ42">
        <f>IF($B42=0,1000000000,IF(INDEX('calcA'!$D$60:$EQ$99,$B42,99)*IF($W42=1,GV42+ADK42,GV42)=1,IF(AND($E42=2,IF($W42=1,AIZ42,MK42)=0),1000000000,IF($V42=1,INDEX('calcA'!$D$130:$EQ$169,$B42,99)+IF(AND($E42=1,MK42=0),25,0),INDEX('calcA'!CX$110:CX$114,$F42+1)+IF(AND($E42=1,MK42=0),1000,0)+IF($H42=1,INDEX('calcA'!$D$180:$EQ$219,$B42,99)*500,0)-IF(AND('calcA'!CW$117=1,XU42&gt;0),300,0)-IF(AND($U42=1,'calcA'!CX$117=1,GW42=0),300,0))),1000000000))</f>
        <v/>
      </c>
      <c r="SA42">
        <f>IF($B42=0,1000000000,IF(INDEX('calcA'!$D$60:$EQ$99,$B42,100)*IF($W42=1,GW42+ADL42,GW42)=1,IF(AND($E42=2,IF($W42=1,AJA42,ML42)=0),1000000000,IF($V42=1,INDEX('calcA'!$D$130:$EQ$169,$B42,100)+IF(AND($E42=1,ML42=0),25,0),INDEX('calcA'!CY$110:CY$114,$F42+1)+IF(AND($E42=1,ML42=0),1000,0)+IF($H42=1,INDEX('calcA'!$D$180:$EQ$219,$B42,100)*500,0)-IF(AND('calcA'!CX$117=1,XV42&gt;0),300,0)-IF(AND($U42=1,'calcA'!CY$117=1,GX42=0),300,0))),1000000000))</f>
        <v/>
      </c>
      <c r="SB42">
        <f>IF($B42=0,1000000000,IF(INDEX('calcA'!$D$60:$EQ$99,$B42,101)*IF($W42=1,GX42+ADM42,GX42)=1,IF(AND($E42=2,IF($W42=1,AJB42,MM42)=0),1000000000,IF($V42=1,INDEX('calcA'!$D$130:$EQ$169,$B42,101)+IF(AND($E42=1,MM42=0),25,0),INDEX('calcA'!CZ$110:CZ$114,$F42+1)+IF(AND($E42=1,MM42=0),1000,0)+IF($H42=1,INDEX('calcA'!$D$180:$EQ$219,$B42,101)*500,0)-IF(AND('calcA'!CY$117=1,XW42&gt;0),300,0)-IF(AND($U42=1,'calcA'!CZ$117=1,GY42=0),300,0))),1000000000))</f>
        <v/>
      </c>
      <c r="SC42">
        <f>IF($B42=0,1000000000,IF(INDEX('calcA'!$D$60:$EQ$99,$B42,102)*IF($W42=1,GY42+ADN42,GY42)=1,IF(AND($E42=2,IF($W42=1,AJC42,MN42)=0),1000000000,IF($V42=1,INDEX('calcA'!$D$130:$EQ$169,$B42,102)+IF(AND($E42=1,MN42=0),25,0),INDEX('calcA'!DA$110:DA$114,$F42+1)+IF(AND($E42=1,MN42=0),1000,0)+IF($H42=1,INDEX('calcA'!$D$180:$EQ$219,$B42,102)*500,0)-IF(AND('calcA'!CZ$117=1,XX42&gt;0),300,0)-IF(AND($U42=1,'calcA'!DA$117=1,GZ42=0),300,0))),1000000000))</f>
        <v/>
      </c>
      <c r="SD42">
        <f>IF($B42=0,1000000000,IF(INDEX('calcA'!$D$60:$EQ$99,$B42,103)*IF($W42=1,GZ42+ADO42,GZ42)=1,IF(AND($E42=2,IF($W42=1,AJD42,MO42)=0),1000000000,IF($V42=1,INDEX('calcA'!$D$130:$EQ$169,$B42,103)+IF(AND($E42=1,MO42=0),25,0),INDEX('calcA'!DB$110:DB$114,$F42+1)+IF(AND($E42=1,MO42=0),1000,0)+IF($H42=1,INDEX('calcA'!$D$180:$EQ$219,$B42,103)*500,0)-IF(AND('calcA'!DA$117=1,XY42&gt;0),300,0)-IF(AND($U42=1,'calcA'!DB$117=1,HA42=0),300,0))),1000000000))</f>
        <v/>
      </c>
      <c r="SE42">
        <f>IF($B42=0,1000000000,IF(INDEX('calcA'!$D$60:$EQ$99,$B42,104)*IF($W42=1,HA42+ADP42,HA42)=1,IF(AND($E42=2,IF($W42=1,AJE42,MP42)=0),1000000000,IF($V42=1,INDEX('calcA'!$D$130:$EQ$169,$B42,104)+IF(AND($E42=1,MP42=0),25,0),INDEX('calcA'!DC$110:DC$114,$F42+1)+IF(AND($E42=1,MP42=0),1000,0)+IF($H42=1,INDEX('calcA'!$D$180:$EQ$219,$B42,104)*500,0)-IF(AND('calcA'!DB$117=1,XZ42&gt;0),300,0)-IF(AND($U42=1,'calcA'!DC$117=1,HB42=0),300,0))),1000000000))</f>
        <v/>
      </c>
      <c r="SF42">
        <f>IF($B42=0,1000000000,IF(INDEX('calcA'!$D$60:$EQ$99,$B42,105)*IF($W42=1,HB42+ADQ42,HB42)=1,IF(AND($E42=2,IF($W42=1,AJF42,MQ42)=0),1000000000,IF($V42=1,INDEX('calcA'!$D$130:$EQ$169,$B42,105)+IF(AND($E42=1,MQ42=0),25,0),INDEX('calcA'!DD$110:DD$114,$F42+1)+IF(AND($E42=1,MQ42=0),1000,0)+IF($H42=1,INDEX('calcA'!$D$180:$EQ$219,$B42,105)*500,0)-IF(AND('calcA'!DC$117=1,YA42&gt;0),300,0)-IF(AND($U42=1,'calcA'!DD$117=1,HC42=0),300,0))),1000000000))</f>
        <v/>
      </c>
      <c r="SG42">
        <f>IF($B42=0,1000000000,IF(INDEX('calcA'!$D$60:$EQ$99,$B42,106)*IF($W42=1,HC42+ADR42,HC42)=1,IF(AND($E42=2,IF($W42=1,AJG42,MR42)=0),1000000000,IF($V42=1,INDEX('calcA'!$D$130:$EQ$169,$B42,106)+IF(AND($E42=1,MR42=0),25,0),INDEX('calcA'!DE$110:DE$114,$F42+1)+IF(AND($E42=1,MR42=0),1000,0)+IF($H42=1,INDEX('calcA'!$D$180:$EQ$219,$B42,106)*500,0)-IF(AND('calcA'!DD$117=1,YB42&gt;0),300,0)-IF(AND($U42=1,'calcA'!DE$117=1,HD42=0),300,0))),1000000000))</f>
        <v/>
      </c>
      <c r="SH42">
        <f>IF($B42=0,1000000000,IF(INDEX('calcA'!$D$60:$EQ$99,$B42,107)*IF($W42=1,HD42+ADS42,HD42)=1,IF(AND($E42=2,IF($W42=1,AJH42,MS42)=0),1000000000,IF($V42=1,INDEX('calcA'!$D$130:$EQ$169,$B42,107)+IF(AND($E42=1,MS42=0),25,0),INDEX('calcA'!DF$110:DF$114,$F42+1)+IF(AND($E42=1,MS42=0),1000,0)+IF($H42=1,INDEX('calcA'!$D$180:$EQ$219,$B42,107)*500,0)-IF(AND('calcA'!DE$117=1,YC42&gt;0),300,0)-IF(AND($U42=1,'calcA'!DF$117=1,HE42=0),300,0))),1000000000))</f>
        <v/>
      </c>
      <c r="SI42">
        <f>IF($B42=0,1000000000,IF(INDEX('calcA'!$D$60:$EQ$99,$B42,108)*IF($W42=1,HE42+ADT42,HE42)=1,IF(AND($E42=2,IF($W42=1,AJI42,MT42)=0),1000000000,IF($V42=1,INDEX('calcA'!$D$130:$EQ$169,$B42,108)+IF(AND($E42=1,MT42=0),25,0),INDEX('calcA'!DG$110:DG$114,$F42+1)+IF(AND($E42=1,MT42=0),1000,0)+IF($H42=1,INDEX('calcA'!$D$180:$EQ$219,$B42,108)*500,0)-IF(AND('calcA'!DF$117=1,YD42&gt;0),300,0)-IF(AND($U42=1,'calcA'!DG$117=1,HF42=0),300,0))),1000000000))</f>
        <v/>
      </c>
      <c r="SJ42">
        <f>IF($B42=0,1000000000,IF(INDEX('calcA'!$D$60:$EQ$99,$B42,109)*IF($W42=1,HF42+ADU42,HF42)=1,IF(AND($E42=2,IF($W42=1,AJJ42,MU42)=0),1000000000,IF($V42=1,INDEX('calcA'!$D$130:$EQ$169,$B42,109)+IF(AND($E42=1,MU42=0),25,0),INDEX('calcA'!DH$110:DH$114,$F42+1)+IF(AND($E42=1,MU42=0),1000,0)+IF($H42=1,INDEX('calcA'!$D$180:$EQ$219,$B42,109)*500,0)-IF(AND('calcA'!DG$117=1,YE42&gt;0),300,0)-IF(AND($U42=1,'calcA'!DH$117=1,HG42=0),300,0))),1000000000))</f>
        <v/>
      </c>
      <c r="SK42">
        <f>IF($B42=0,1000000000,IF(INDEX('calcA'!$D$60:$EQ$99,$B42,110)*IF($W42=1,HG42+ADV42,HG42)=1,IF(AND($E42=2,IF($W42=1,AJK42,MV42)=0),1000000000,IF($V42=1,INDEX('calcA'!$D$130:$EQ$169,$B42,110)+IF(AND($E42=1,MV42=0),25,0),INDEX('calcA'!DI$110:DI$114,$F42+1)+IF(AND($E42=1,MV42=0),1000,0)+IF($H42=1,INDEX('calcA'!$D$180:$EQ$219,$B42,110)*500,0)-IF(AND('calcA'!DH$117=1,YF42&gt;0),300,0)-IF(AND($U42=1,'calcA'!DI$117=1,HH42=0),300,0))),1000000000))</f>
        <v/>
      </c>
      <c r="SL42">
        <f>IF($B42=0,1000000000,IF(INDEX('calcA'!$D$60:$EQ$99,$B42,111)*IF($W42=1,HH42+ADW42,HH42)=1,IF(AND($E42=2,IF($W42=1,AJL42,MW42)=0),1000000000,IF($V42=1,INDEX('calcA'!$D$130:$EQ$169,$B42,111)+IF(AND($E42=1,MW42=0),25,0),INDEX('calcA'!DJ$110:DJ$114,$F42+1)+IF(AND($E42=1,MW42=0),1000,0)+IF($H42=1,INDEX('calcA'!$D$180:$EQ$219,$B42,111)*500,0)-IF(AND('calcA'!DI$117=1,YG42&gt;0),300,0)-IF(AND($U42=1,'calcA'!DJ$117=1,HI42=0),300,0))),1000000000))</f>
        <v/>
      </c>
      <c r="SM42">
        <f>IF($B42=0,1000000000,IF(INDEX('calcA'!$D$60:$EQ$99,$B42,112)*IF($W42=1,HI42+ADX42,HI42)=1,IF(AND($E42=2,IF($W42=1,AJM42,MX42)=0),1000000000,IF($V42=1,INDEX('calcA'!$D$130:$EQ$169,$B42,112)+IF(AND($E42=1,MX42=0),25,0),INDEX('calcA'!DK$110:DK$114,$F42+1)+IF(AND($E42=1,MX42=0),1000,0)+IF($H42=1,INDEX('calcA'!$D$180:$EQ$219,$B42,112)*500,0)-IF(AND('calcA'!DJ$117=1,YH42&gt;0),300,0)-IF(AND($U42=1,'calcA'!DK$117=1,HJ42=0),300,0))),1000000000))</f>
        <v/>
      </c>
      <c r="SN42">
        <f>IF($B42=0,1000000000,IF(INDEX('calcA'!$D$60:$EQ$99,$B42,113)*IF($W42=1,HJ42+ADY42,HJ42)=1,IF(AND($E42=2,IF($W42=1,AJN42,MY42)=0),1000000000,IF($V42=1,INDEX('calcA'!$D$130:$EQ$169,$B42,113)+IF(AND($E42=1,MY42=0),25,0),INDEX('calcA'!DL$110:DL$114,$F42+1)+IF(AND($E42=1,MY42=0),1000,0)+IF($H42=1,INDEX('calcA'!$D$180:$EQ$219,$B42,113)*500,0)-IF(AND('calcA'!DK$117=1,YI42&gt;0),300,0)-IF(AND($U42=1,'calcA'!DL$117=1,HK42=0),300,0))),1000000000))</f>
        <v/>
      </c>
      <c r="SO42">
        <f>IF($B42=0,1000000000,IF(INDEX('calcA'!$D$60:$EQ$99,$B42,114)*IF($W42=1,HK42+ADZ42,HK42)=1,IF(AND($E42=2,IF($W42=1,AJO42,MZ42)=0),1000000000,IF($V42=1,INDEX('calcA'!$D$130:$EQ$169,$B42,114)+IF(AND($E42=1,MZ42=0),25,0),INDEX('calcA'!DM$110:DM$114,$F42+1)+IF(AND($E42=1,MZ42=0),1000,0)+IF($H42=1,INDEX('calcA'!$D$180:$EQ$219,$B42,114)*500,0)-IF(AND('calcA'!DL$117=1,YJ42&gt;0),300,0)-IF(AND($U42=1,'calcA'!DM$117=1,HL42=0),300,0))),1000000000))</f>
        <v/>
      </c>
      <c r="SP42">
        <f>IF($B42=0,1000000000,IF(INDEX('calcA'!$D$60:$EQ$99,$B42,115)*IF($W42=1,HL42+AEA42,HL42)=1,IF(AND($E42=2,IF($W42=1,AJP42,NA42)=0),1000000000,IF($V42=1,INDEX('calcA'!$D$130:$EQ$169,$B42,115)+IF(AND($E42=1,NA42=0),25,0),INDEX('calcA'!DN$110:DN$114,$F42+1)+IF(AND($E42=1,NA42=0),1000,0)+IF($H42=1,INDEX('calcA'!$D$180:$EQ$219,$B42,115)*500,0)-IF(AND('calcA'!DM$117=1,YK42&gt;0),300,0)-IF(AND($U42=1,'calcA'!DN$117=1,HM42=0),300,0))),1000000000))</f>
        <v/>
      </c>
      <c r="SQ42">
        <f>IF($B42=0,1000000000,IF(INDEX('calcA'!$D$60:$EQ$99,$B42,116)*IF($W42=1,HM42+AEB42,HM42)=1,IF(AND($E42=2,IF($W42=1,AJQ42,NB42)=0),1000000000,IF($V42=1,INDEX('calcA'!$D$130:$EQ$169,$B42,116)+IF(AND($E42=1,NB42=0),25,0),INDEX('calcA'!DO$110:DO$114,$F42+1)+IF(AND($E42=1,NB42=0),1000,0)+IF($H42=1,INDEX('calcA'!$D$180:$EQ$219,$B42,116)*500,0)-IF(AND('calcA'!DN$117=1,YL42&gt;0),300,0)-IF(AND($U42=1,'calcA'!DO$117=1,HN42=0),300,0))),1000000000))</f>
        <v/>
      </c>
      <c r="SR42">
        <f>IF($B42=0,1000000000,IF(INDEX('calcA'!$D$60:$EQ$99,$B42,117)*IF($W42=1,HN42+AEC42,HN42)=1,IF(AND($E42=2,IF($W42=1,AJR42,NC42)=0),1000000000,IF($V42=1,INDEX('calcA'!$D$130:$EQ$169,$B42,117)+IF(AND($E42=1,NC42=0),25,0),INDEX('calcA'!DP$110:DP$114,$F42+1)+IF(AND($E42=1,NC42=0),1000,0)+IF($H42=1,INDEX('calcA'!$D$180:$EQ$219,$B42,117)*500,0)-IF(AND('calcA'!DO$117=1,YM42&gt;0),300,0)-IF(AND($U42=1,'calcA'!DP$117=1,HO42=0),300,0))),1000000000))</f>
        <v/>
      </c>
      <c r="SS42">
        <f>IF($B42=0,1000000000,IF(INDEX('calcA'!$D$60:$EQ$99,$B42,118)*IF($W42=1,HO42+AED42,HO42)=1,IF(AND($E42=2,IF($W42=1,AJS42,ND42)=0),1000000000,IF($V42=1,INDEX('calcA'!$D$130:$EQ$169,$B42,118)+IF(AND($E42=1,ND42=0),25,0),INDEX('calcA'!DQ$110:DQ$114,$F42+1)+IF(AND($E42=1,ND42=0),1000,0)+IF($H42=1,INDEX('calcA'!$D$180:$EQ$219,$B42,118)*500,0)-IF(AND('calcA'!DP$117=1,YN42&gt;0),300,0)-IF(AND($U42=1,'calcA'!DQ$117=1,HP42=0),300,0))),1000000000))</f>
        <v/>
      </c>
      <c r="ST42">
        <f>IF($B42=0,1000000000,IF(INDEX('calcA'!$D$60:$EQ$99,$B42,119)*IF($W42=1,HP42+AEE42,HP42)=1,IF(AND($E42=2,IF($W42=1,AJT42,NE42)=0),1000000000,IF($V42=1,INDEX('calcA'!$D$130:$EQ$169,$B42,119)+IF(AND($E42=1,NE42=0),25,0),INDEX('calcA'!DR$110:DR$114,$F42+1)+IF(AND($E42=1,NE42=0),1000,0)+IF($H42=1,INDEX('calcA'!$D$180:$EQ$219,$B42,119)*500,0)-IF(AND('calcA'!DQ$117=1,YO42&gt;0),300,0)-IF(AND($U42=1,'calcA'!DR$117=1,HQ42=0),300,0))),1000000000))</f>
        <v/>
      </c>
      <c r="SU42">
        <f>IF($B42=0,1000000000,IF(INDEX('calcA'!$D$60:$EQ$99,$B42,120)*IF($W42=1,HQ42+AEF42,HQ42)=1,IF(AND($E42=2,IF($W42=1,AJU42,NF42)=0),1000000000,IF($V42=1,INDEX('calcA'!$D$130:$EQ$169,$B42,120)+IF(AND($E42=1,NF42=0),25,0),INDEX('calcA'!DS$110:DS$114,$F42+1)+IF(AND($E42=1,NF42=0),1000,0)+IF($H42=1,INDEX('calcA'!$D$180:$EQ$219,$B42,120)*500,0)-IF(AND('calcA'!DR$117=1,YP42&gt;0),300,0))),1000000000))</f>
        <v/>
      </c>
      <c r="SV42">
        <f>IF($B42=0,1000000000,IF(INDEX('calcA'!$D$60:$EQ$99,$B42,121)*IF($W42=1,HR42+AEG42,HR42)=1,IF(AND($E42=2,IF($W42=1,AJV42,NG42)=0),1000000000,IF($V42=1,INDEX('calcA'!$D$130:$EQ$169,$B42,121)+IF(AND($E42=1,NG42=0),25,0),INDEX('calcA'!DT$110:DT$114,$F42+1)+IF(AND($E42=1,NG42=0),1000,0)+IF($H42=1,INDEX('calcA'!$D$180:$EQ$219,$B42,121)*500,0)-IF(AND($U42=1,'calcA'!DT$117=1,HS42=0),300,0))),1000000000))</f>
        <v/>
      </c>
      <c r="SW42">
        <f>IF($B42=0,1000000000,IF(INDEX('calcA'!$D$60:$EQ$99,$B42,122)*IF($W42=1,HS42+AEH42,HS42)=1,IF(AND($E42=2,IF($W42=1,AJW42,NH42)=0),1000000000,IF($V42=1,INDEX('calcA'!$D$130:$EQ$169,$B42,122)+IF(AND($E42=1,NH42=0),25,0),INDEX('calcA'!DU$110:DU$114,$F42+1)+IF(AND($E42=1,NH42=0),1000,0)+IF($H42=1,INDEX('calcA'!$D$180:$EQ$219,$B42,122)*500,0)-IF(AND('calcA'!DT$117=1,YR42&gt;0),300,0)-IF(AND($U42=1,'calcA'!DU$117=1,HT42=0),300,0))),1000000000))</f>
        <v/>
      </c>
      <c r="SX42">
        <f>IF($B42=0,1000000000,IF(INDEX('calcA'!$D$60:$EQ$99,$B42,123)*IF($W42=1,HT42+AEI42,HT42)=1,IF(AND($E42=2,IF($W42=1,AJX42,NI42)=0),1000000000,IF($V42=1,INDEX('calcA'!$D$130:$EQ$169,$B42,123)+IF(AND($E42=1,NI42=0),25,0),INDEX('calcA'!DV$110:DV$114,$F42+1)+IF(AND($E42=1,NI42=0),1000,0)+IF($H42=1,INDEX('calcA'!$D$180:$EQ$219,$B42,123)*500,0)-IF(AND('calcA'!DU$117=1,YS42&gt;0),300,0)-IF(AND($U42=1,'calcA'!DV$117=1,HU42=0),300,0))),1000000000))</f>
        <v/>
      </c>
      <c r="SY42">
        <f>IF($B42=0,1000000000,IF(INDEX('calcA'!$D$60:$EQ$99,$B42,124)*IF($W42=1,HU42+AEJ42,HU42)=1,IF(AND($E42=2,IF($W42=1,AJY42,NJ42)=0),1000000000,IF($V42=1,INDEX('calcA'!$D$130:$EQ$169,$B42,124)+IF(AND($E42=1,NJ42=0),25,0),INDEX('calcA'!DW$110:DW$114,$F42+1)+IF(AND($E42=1,NJ42=0),1000,0)+IF($H42=1,INDEX('calcA'!$D$180:$EQ$219,$B42,124)*500,0)-IF(AND('calcA'!DV$117=1,YT42&gt;0),300,0)-IF(AND($U42=1,'calcA'!DW$117=1,HV42=0),300,0))),1000000000))</f>
        <v/>
      </c>
      <c r="SZ42">
        <f>IF($B42=0,1000000000,IF(INDEX('calcA'!$D$60:$EQ$99,$B42,125)*IF($W42=1,HV42+AEK42,HV42)=1,IF(AND($E42=2,IF($W42=1,AJZ42,NK42)=0),1000000000,IF($V42=1,INDEX('calcA'!$D$130:$EQ$169,$B42,125)+IF(AND($E42=1,NK42=0),25,0),INDEX('calcA'!DX$110:DX$114,$F42+1)+IF(AND($E42=1,NK42=0),1000,0)+IF($H42=1,INDEX('calcA'!$D$180:$EQ$219,$B42,125)*500,0)-IF(AND('calcA'!DW$117=1,YU42&gt;0),300,0)-IF(AND($U42=1,'calcA'!DX$117=1,HW42=0),300,0))),1000000000))</f>
        <v/>
      </c>
      <c r="TA42">
        <f>IF($B42=0,1000000000,IF(INDEX('calcA'!$D$60:$EQ$99,$B42,126)*IF($W42=1,HW42+AEL42,HW42)=1,IF(AND($E42=2,IF($W42=1,AKA42,NL42)=0),1000000000,IF($V42=1,INDEX('calcA'!$D$130:$EQ$169,$B42,126)+IF(AND($E42=1,NL42=0),25,0),INDEX('calcA'!DY$110:DY$114,$F42+1)+IF(AND($E42=1,NL42=0),1000,0)+IF($H42=1,INDEX('calcA'!$D$180:$EQ$219,$B42,126)*500,0)-IF(AND('calcA'!DX$117=1,YV42&gt;0),300,0)-IF(AND($U42=1,'calcA'!DY$117=1,HX42=0),300,0))),1000000000))</f>
        <v/>
      </c>
      <c r="TB42">
        <f>IF($B42=0,1000000000,IF(INDEX('calcA'!$D$60:$EQ$99,$B42,127)*IF($W42=1,HX42+AEM42,HX42)=1,IF(AND($E42=2,IF($W42=1,AKB42,NM42)=0),1000000000,IF($V42=1,INDEX('calcA'!$D$130:$EQ$169,$B42,127)+IF(AND($E42=1,NM42=0),25,0),INDEX('calcA'!DZ$110:DZ$114,$F42+1)+IF(AND($E42=1,NM42=0),1000,0)+IF($H42=1,INDEX('calcA'!$D$180:$EQ$219,$B42,127)*500,0)-IF(AND('calcA'!DY$117=1,YW42&gt;0),300,0)-IF(AND($U42=1,'calcA'!DZ$117=1,HY42=0),300,0))),1000000000))</f>
        <v/>
      </c>
      <c r="TC42">
        <f>IF($B42=0,1000000000,IF(INDEX('calcA'!$D$60:$EQ$99,$B42,128)*IF($W42=1,HY42+AEN42,HY42)=1,IF(AND($E42=2,IF($W42=1,AKC42,NN42)=0),1000000000,IF($V42=1,INDEX('calcA'!$D$130:$EQ$169,$B42,128)+IF(AND($E42=1,NN42=0),25,0),INDEX('calcA'!EA$110:EA$114,$F42+1)+IF(AND($E42=1,NN42=0),1000,0)+IF($H42=1,INDEX('calcA'!$D$180:$EQ$219,$B42,128)*500,0)-IF(AND('calcA'!DZ$117=1,YX42&gt;0),300,0)-IF(AND($U42=1,'calcA'!EA$117=1,HZ42=0),300,0))),1000000000))</f>
        <v/>
      </c>
      <c r="TD42">
        <f>IF($B42=0,1000000000,IF(INDEX('calcA'!$D$60:$EQ$99,$B42,129)*IF($W42=1,HZ42+AEO42,HZ42)=1,IF(AND($E42=2,IF($W42=1,AKD42,NO42)=0),1000000000,IF($V42=1,INDEX('calcA'!$D$130:$EQ$169,$B42,129)+IF(AND($E42=1,NO42=0),25,0),INDEX('calcA'!EB$110:EB$114,$F42+1)+IF(AND($E42=1,NO42=0),1000,0)+IF($H42=1,INDEX('calcA'!$D$180:$EQ$219,$B42,129)*500,0)-IF(AND('calcA'!EA$117=1,YY42&gt;0),300,0)-IF(AND($U42=1,'calcA'!EB$117=1,IA42=0),300,0))),1000000000))</f>
        <v/>
      </c>
      <c r="TE42">
        <f>IF($B42=0,1000000000,IF(INDEX('calcA'!$D$60:$EQ$99,$B42,130)*IF($W42=1,IA42+AEP42,IA42)=1,IF(AND($E42=2,IF($W42=1,AKE42,NP42)=0),1000000000,IF($V42=1,INDEX('calcA'!$D$130:$EQ$169,$B42,130)+IF(AND($E42=1,NP42=0),25,0),INDEX('calcA'!EC$110:EC$114,$F42+1)+IF(AND($E42=1,NP42=0),1000,0)+IF($H42=1,INDEX('calcA'!$D$180:$EQ$219,$B42,130)*500,0)-IF(AND('calcA'!EB$117=1,YZ42&gt;0),300,0)-IF(AND($U42=1,'calcA'!EC$117=1,IB42=0),300,0))),1000000000))</f>
        <v/>
      </c>
      <c r="TF42">
        <f>IF($B42=0,1000000000,IF(INDEX('calcA'!$D$60:$EQ$99,$B42,131)*IF($W42=1,IB42+AEQ42,IB42)=1,IF(AND($E42=2,IF($W42=1,AKF42,NQ42)=0),1000000000,IF($V42=1,INDEX('calcA'!$D$130:$EQ$169,$B42,131)+IF(AND($E42=1,NQ42=0),25,0),INDEX('calcA'!ED$110:ED$114,$F42+1)+IF(AND($E42=1,NQ42=0),1000,0)+IF($H42=1,INDEX('calcA'!$D$180:$EQ$219,$B42,131)*500,0)-IF(AND('calcA'!EC$117=1,ZA42&gt;0),300,0)-IF(AND($U42=1,'calcA'!ED$117=1,IC42=0),300,0))),1000000000))</f>
        <v/>
      </c>
      <c r="TG42">
        <f>IF($B42=0,1000000000,IF(INDEX('calcA'!$D$60:$EQ$99,$B42,132)*IF($W42=1,IC42+AER42,IC42)=1,IF(AND($E42=2,IF($W42=1,AKG42,NR42)=0),1000000000,IF($V42=1,INDEX('calcA'!$D$130:$EQ$169,$B42,132)+IF(AND($E42=1,NR42=0),25,0),INDEX('calcA'!EE$110:EE$114,$F42+1)+IF(AND($E42=1,NR42=0),1000,0)+IF($H42=1,INDEX('calcA'!$D$180:$EQ$219,$B42,132)*500,0)-IF(AND('calcA'!ED$117=1,ZB42&gt;0),300,0)-IF(AND($U42=1,'calcA'!EE$117=1,ID42=0),300,0))),1000000000))</f>
        <v/>
      </c>
      <c r="TH42">
        <f>IF($B42=0,1000000000,IF(INDEX('calcA'!$D$60:$EQ$99,$B42,133)*IF($W42=1,ID42+AES42,ID42)=1,IF(AND($E42=2,IF($W42=1,AKH42,NS42)=0),1000000000,IF($V42=1,INDEX('calcA'!$D$130:$EQ$169,$B42,133)+IF(AND($E42=1,NS42=0),25,0),INDEX('calcA'!EF$110:EF$114,$F42+1)+IF(AND($E42=1,NS42=0),1000,0)+IF($H42=1,INDEX('calcA'!$D$180:$EQ$219,$B42,133)*500,0)-IF(AND('calcA'!EE$117=1,ZC42&gt;0),300,0)-IF(AND($U42=1,'calcA'!EF$117=1,IE42=0),300,0))),1000000000))</f>
        <v/>
      </c>
      <c r="TI42">
        <f>IF($B42=0,1000000000,IF(INDEX('calcA'!$D$60:$EQ$99,$B42,134)*IF($W42=1,IE42+AET42,IE42)=1,IF(AND($E42=2,IF($W42=1,AKI42,NT42)=0),1000000000,IF($V42=1,INDEX('calcA'!$D$130:$EQ$169,$B42,134)+IF(AND($E42=1,NT42=0),25,0),INDEX('calcA'!EG$110:EG$114,$F42+1)+IF(AND($E42=1,NT42=0),1000,0)+IF($H42=1,INDEX('calcA'!$D$180:$EQ$219,$B42,134)*500,0)-IF(AND('calcA'!EF$117=1,ZD42&gt;0),300,0)-IF(AND($U42=1,'calcA'!EG$117=1,IF42=0),300,0))),1000000000))</f>
        <v/>
      </c>
      <c r="TJ42">
        <f>IF($B42=0,1000000000,IF(INDEX('calcA'!$D$60:$EQ$99,$B42,135)*IF($W42=1,IF42+AEU42,IF42)=1,IF(AND($E42=2,IF($W42=1,AKJ42,NU42)=0),1000000000,IF($V42=1,INDEX('calcA'!$D$130:$EQ$169,$B42,135)+IF(AND($E42=1,NU42=0),25,0),INDEX('calcA'!EH$110:EH$114,$F42+1)+IF(AND($E42=1,NU42=0),1000,0)+IF($H42=1,INDEX('calcA'!$D$180:$EQ$219,$B42,135)*500,0)-IF(AND('calcA'!EG$117=1,ZE42&gt;0),300,0)-IF(AND($U42=1,'calcA'!EH$117=1,IG42=0),300,0))),1000000000))</f>
        <v/>
      </c>
      <c r="TK42">
        <f>IF($B42=0,1000000000,IF(INDEX('calcA'!$D$60:$EQ$99,$B42,136)*IF($W42=1,IG42+AEV42,IG42)=1,IF(AND($E42=2,IF($W42=1,AKK42,NV42)=0),1000000000,IF($V42=1,INDEX('calcA'!$D$130:$EQ$169,$B42,136)+IF(AND($E42=1,NV42=0),25,0),INDEX('calcA'!EI$110:EI$114,$F42+1)+IF(AND($E42=1,NV42=0),1000,0)+IF($H42=1,INDEX('calcA'!$D$180:$EQ$219,$B42,136)*500,0)-IF(AND('calcA'!EH$117=1,ZF42&gt;0),300,0)-IF(AND($U42=1,'calcA'!EI$117=1,IH42=0),300,0))),1000000000))</f>
        <v/>
      </c>
      <c r="TL42">
        <f>IF($B42=0,1000000000,IF(INDEX('calcA'!$D$60:$EQ$99,$B42,137)*IF($W42=1,IH42+AEW42,IH42)=1,IF(AND($E42=2,IF($W42=1,AKL42,NW42)=0),1000000000,IF($V42=1,INDEX('calcA'!$D$130:$EQ$169,$B42,137)+IF(AND($E42=1,NW42=0),25,0),INDEX('calcA'!EJ$110:EJ$114,$F42+1)+IF(AND($E42=1,NW42=0),1000,0)+IF($H42=1,INDEX('calcA'!$D$180:$EQ$219,$B42,137)*500,0)-IF(AND('calcA'!EI$117=1,ZG42&gt;0),300,0)-IF(AND($U42=1,'calcA'!EJ$117=1,II42=0),300,0))),1000000000))</f>
        <v/>
      </c>
      <c r="TM42">
        <f>IF($B42=0,1000000000,IF(INDEX('calcA'!$D$60:$EQ$99,$B42,138)*IF($W42=1,II42+AEX42,II42)=1,IF(AND($E42=2,IF($W42=1,AKM42,NX42)=0),1000000000,IF($V42=1,INDEX('calcA'!$D$130:$EQ$169,$B42,138)+IF(AND($E42=1,NX42=0),25,0),INDEX('calcA'!EK$110:EK$114,$F42+1)+IF(AND($E42=1,NX42=0),1000,0)+IF($H42=1,INDEX('calcA'!$D$180:$EQ$219,$B42,138)*500,0)-IF(AND('calcA'!EJ$117=1,ZH42&gt;0),300,0)-IF(AND($U42=1,'calcA'!EK$117=1,IJ42=0),300,0))),1000000000))</f>
        <v/>
      </c>
      <c r="TN42">
        <f>IF($B42=0,1000000000,IF(INDEX('calcA'!$D$60:$EQ$99,$B42,139)*IF($W42=1,IJ42+AEY42,IJ42)=1,IF(AND($E42=2,IF($W42=1,AKN42,NY42)=0),1000000000,IF($V42=1,INDEX('calcA'!$D$130:$EQ$169,$B42,139)+IF(AND($E42=1,NY42=0),25,0),INDEX('calcA'!EL$110:EL$114,$F42+1)+IF(AND($E42=1,NY42=0),1000,0)+IF($H42=1,INDEX('calcA'!$D$180:$EQ$219,$B42,139)*500,0)-IF(AND('calcA'!EK$117=1,ZI42&gt;0),300,0)-IF(AND($U42=1,'calcA'!EL$117=1,IK42=0),300,0))),1000000000))</f>
        <v/>
      </c>
      <c r="TO42">
        <f>IF($B42=0,1000000000,IF(INDEX('calcA'!$D$60:$EQ$99,$B42,140)*IF($W42=1,IK42+AEZ42,IK42)=1,IF(AND($E42=2,IF($W42=1,AKO42,NZ42)=0),1000000000,IF($V42=1,INDEX('calcA'!$D$130:$EQ$169,$B42,140)+IF(AND($E42=1,NZ42=0),25,0),INDEX('calcA'!EM$110:EM$114,$F42+1)+IF(AND($E42=1,NZ42=0),1000,0)+IF($H42=1,INDEX('calcA'!$D$180:$EQ$219,$B42,140)*500,0)-IF(AND('calcA'!EL$117=1,ZJ42&gt;0),300,0)-IF(AND($U42=1,'calcA'!EM$117=1,IL42=0),300,0))),1000000000))</f>
        <v/>
      </c>
      <c r="TP42">
        <f>IF($B42=0,1000000000,IF(INDEX('calcA'!$D$60:$EQ$99,$B42,141)*IF($W42=1,IL42+AFA42,IL42)=1,IF(AND($E42=2,IF($W42=1,AKP42,OA42)=0),1000000000,IF($V42=1,INDEX('calcA'!$D$130:$EQ$169,$B42,141)+IF(AND($E42=1,OA42=0),25,0),INDEX('calcA'!EN$110:EN$114,$F42+1)+IF(AND($E42=1,OA42=0),1000,0)+IF($H42=1,INDEX('calcA'!$D$180:$EQ$219,$B42,141)*500,0)-IF(AND('calcA'!EM$117=1,ZK42&gt;0),300,0)-IF(AND($U42=1,'calcA'!EN$117=1,IM42=0),300,0))),1000000000))</f>
        <v/>
      </c>
      <c r="TQ42">
        <f>IF($B42=0,1000000000,IF(INDEX('calcA'!$D$60:$EQ$99,$B42,142)*IF($W42=1,IM42+AFB42,IM42)=1,IF(AND($E42=2,IF($W42=1,AKQ42,OB42)=0),1000000000,IF($V42=1,INDEX('calcA'!$D$130:$EQ$169,$B42,142)+IF(AND($E42=1,OB42=0),25,0),INDEX('calcA'!EO$110:EO$114,$F42+1)+IF(AND($E42=1,OB42=0),1000,0)+IF($H42=1,INDEX('calcA'!$D$180:$EQ$219,$B42,142)*500,0)-IF(AND('calcA'!EN$117=1,ZL42&gt;0),300,0)-IF(AND($U42=1,'calcA'!EO$117=1,IN42=0),300,0))),1000000000))</f>
        <v/>
      </c>
      <c r="TR42">
        <f>IF($B42=0,1000000000,IF(INDEX('calcA'!$D$60:$EQ$99,$B42,143)*IF($W42=1,IN42+AFC42,IN42)=1,IF(AND($E42=2,IF($W42=1,AKR42,OC42)=0),1000000000,IF($V42=1,INDEX('calcA'!$D$130:$EQ$169,$B42,143)+IF(AND($E42=1,OC42=0),25,0),INDEX('calcA'!EP$110:EP$114,$F42+1)+IF(AND($E42=1,OC42=0),1000,0)+IF($H42=1,INDEX('calcA'!$D$180:$EQ$219,$B42,143)*500,0)-IF(AND('calcA'!EO$117=1,ZM42&gt;0),300,0)-IF(AND($U42=1,'calcA'!EP$117=1,IO42=0),300,0))),1000000000))</f>
        <v/>
      </c>
      <c r="TS42">
        <f>IF($B42=0,1000000000,IF(INDEX('calcA'!$D$60:$EQ$99,$B42,144)*IF($W42=1,IO42+AFD42,IO42)=1,IF(AND($E42=2,IF($W42=1,AKS42,OD42)=0),1000000000,IF($V42=1,INDEX('calcA'!$D$130:$EQ$169,$B42,144)+IF(AND($E42=1,OD42=0),25,0),INDEX('calcA'!EQ$110:EQ$114,$F42+1)+IF(AND($E42=1,OD42=0),1000,0)+IF($H42=1,INDEX('calcA'!$D$180:$EQ$219,$B42,144)*500,0)-IF(AND('calcA'!EP$117=1,ZN42&gt;0),300,0))),1000000000))</f>
        <v/>
      </c>
      <c r="UB42">
        <f>UB41+IF(AND($C41=1,$U41=1),1,0)</f>
        <v/>
      </c>
      <c r="UC42">
        <f>UC41+IF(AND($C41=2,$U41=1),1,0)</f>
        <v/>
      </c>
      <c r="UD42">
        <f>UD41+IF(AND($C41=3,$U41=1),1,0)</f>
        <v/>
      </c>
      <c r="UE42">
        <f>UE41+IF(AND($C41=4,$U41=1),1,0)</f>
        <v/>
      </c>
      <c r="UF42">
        <f>UF41+IF(AND($C41=5,$U41=1),1,0)</f>
        <v/>
      </c>
      <c r="UG42">
        <f>UG41+IF(AND($C41=6,$U41=1),1,0)</f>
        <v/>
      </c>
      <c r="UH42">
        <f>UH41+IF(AND($C41=7,$U41=1),1,0)</f>
        <v/>
      </c>
      <c r="UI42">
        <f>UI41+IF(AND($C41=8,$U41=1),1,0)</f>
        <v/>
      </c>
      <c r="UJ42">
        <f>UJ41+IF(AND($C41=9,$U41=1),1,0)</f>
        <v/>
      </c>
      <c r="UK42">
        <f>UK41+IF(AND($C41=10,$U41=1),1,0)</f>
        <v/>
      </c>
      <c r="UL42">
        <f>UL41+IF(AND($C41=11,$U41=1),1,0)</f>
        <v/>
      </c>
      <c r="UM42">
        <f>UM41+IF(AND($C41=12,$U41=1),1,0)</f>
        <v/>
      </c>
      <c r="UN42">
        <f>UN41+IF(AND($C41=13,$U41=1),1,0)</f>
        <v/>
      </c>
      <c r="UO42">
        <f>UO41+IF(AND($C41=14,$U41=1),1,0)</f>
        <v/>
      </c>
      <c r="UP42">
        <f>UP41+IF(AND($C41=15,$U41=1),1,0)</f>
        <v/>
      </c>
      <c r="UQ42">
        <f>UQ41+IF(AND($C41=16,$U41=1),1,0)</f>
        <v/>
      </c>
      <c r="UR42">
        <f>UR41+IF(AND($C41=17,$U41=1),1,0)</f>
        <v/>
      </c>
      <c r="US42">
        <f>US41+IF(AND($C41=18,$U41=1),1,0)</f>
        <v/>
      </c>
      <c r="UT42">
        <f>UT41+IF(AND($C41=19,$U41=1),1,0)</f>
        <v/>
      </c>
      <c r="UU42">
        <f>UU41+IF(AND($C41=20,$U41=1),1,0)</f>
        <v/>
      </c>
      <c r="UV42">
        <f>UV41+IF(AND($C41=21,$U41=1),1,0)</f>
        <v/>
      </c>
      <c r="UW42">
        <f>UW41+IF(AND($C41=22,$U41=1),1,0)</f>
        <v/>
      </c>
      <c r="UX42">
        <f>UX41+IF(AND($C41=23,$U41=1),1,0)</f>
        <v/>
      </c>
      <c r="UY42">
        <f>UY41+IF(AND($C41=24,$U41=1),1,0)</f>
        <v/>
      </c>
      <c r="UZ42">
        <f>UZ41+IF(AND($C41=25,$U41=1),1,0)</f>
        <v/>
      </c>
      <c r="VA42">
        <f>VA41+IF(AND($C41=26,$U41=1),1,0)</f>
        <v/>
      </c>
      <c r="VB42">
        <f>VB41+IF(AND($C41=27,$U41=1),1,0)</f>
        <v/>
      </c>
      <c r="VC42">
        <f>VC41+IF(AND($C41=28,$U41=1),1,0)</f>
        <v/>
      </c>
      <c r="VD42">
        <f>VD41+IF(AND($C41=29,$U41=1),1,0)</f>
        <v/>
      </c>
      <c r="VE42">
        <f>VE41+IF(AND($C41=30,$U41=1),1,0)</f>
        <v/>
      </c>
      <c r="VF42">
        <f>VF41+IF(AND($C41=31,$U41=1),1,0)</f>
        <v/>
      </c>
      <c r="VG42">
        <f>VG41+IF(AND($C41=32,$U41=1),1,0)</f>
        <v/>
      </c>
      <c r="VH42">
        <f>VH41+IF(AND($C41=33,$U41=1),1,0)</f>
        <v/>
      </c>
      <c r="VI42">
        <f>VI41+IF(AND($C41=34,$U41=1),1,0)</f>
        <v/>
      </c>
      <c r="VJ42">
        <f>VJ41+IF(AND($C41=35,$U41=1),1,0)</f>
        <v/>
      </c>
      <c r="VK42">
        <f>VK41+IF(AND($C41=36,$U41=1),1,0)</f>
        <v/>
      </c>
      <c r="VL42">
        <f>VL41+IF(AND($C41=37,$U41=1),1,0)</f>
        <v/>
      </c>
      <c r="VM42">
        <f>VM41+IF(AND($C41=38,$U41=1),1,0)</f>
        <v/>
      </c>
      <c r="VN42">
        <f>VN41+IF(AND($C41=39,$U41=1),1,0)</f>
        <v/>
      </c>
      <c r="VO42">
        <f>VO41+IF(AND($C41=40,$U41=1),1,0)</f>
        <v/>
      </c>
      <c r="VP42">
        <f>VP41+IF(AND($C41=41,$U41=1),1,0)</f>
        <v/>
      </c>
      <c r="VQ42">
        <f>VQ41+IF(AND($C41=42,$U41=1),1,0)</f>
        <v/>
      </c>
      <c r="VR42">
        <f>VR41+IF(AND($C41=43,$U41=1),1,0)</f>
        <v/>
      </c>
      <c r="VS42">
        <f>VS41+IF(AND($C41=44,$U41=1),1,0)</f>
        <v/>
      </c>
      <c r="VT42">
        <f>VT41+IF(AND($C41=45,$U41=1),1,0)</f>
        <v/>
      </c>
      <c r="VU42">
        <f>VU41+IF(AND($C41=46,$U41=1),1,0)</f>
        <v/>
      </c>
      <c r="VV42">
        <f>VV41+IF(AND($C41=47,$U41=1),1,0)</f>
        <v/>
      </c>
      <c r="VW42">
        <f>VW41+IF(AND($C41=48,$U41=1),1,0)</f>
        <v/>
      </c>
      <c r="VX42">
        <f>VX41+IF(AND($C41=49,$U41=1),1,0)</f>
        <v/>
      </c>
      <c r="VY42">
        <f>VY41+IF(AND($C41=50,$U41=1),1,0)</f>
        <v/>
      </c>
      <c r="VZ42">
        <f>VZ41+IF(AND($C41=51,$U41=1),1,0)</f>
        <v/>
      </c>
      <c r="WA42">
        <f>WA41+IF(AND($C41=52,$U41=1),1,0)</f>
        <v/>
      </c>
      <c r="WB42">
        <f>WB41+IF(AND($C41=53,$U41=1),1,0)</f>
        <v/>
      </c>
      <c r="WC42">
        <f>WC41+IF(AND($C41=54,$U41=1),1,0)</f>
        <v/>
      </c>
      <c r="WD42">
        <f>WD41+IF(AND($C41=55,$U41=1),1,0)</f>
        <v/>
      </c>
      <c r="WE42">
        <f>WE41+IF(AND($C41=56,$U41=1),1,0)</f>
        <v/>
      </c>
      <c r="WF42">
        <f>WF41+IF(AND($C41=57,$U41=1),1,0)</f>
        <v/>
      </c>
      <c r="WG42">
        <f>WG41+IF(AND($C41=58,$U41=1),1,0)</f>
        <v/>
      </c>
      <c r="WH42">
        <f>WH41+IF(AND($C41=59,$U41=1),1,0)</f>
        <v/>
      </c>
      <c r="WI42">
        <f>WI41+IF(AND($C41=60,$U41=1),1,0)</f>
        <v/>
      </c>
      <c r="WJ42">
        <f>WJ41+IF(AND($C41=61,$U41=1),1,0)</f>
        <v/>
      </c>
      <c r="WK42">
        <f>WK41+IF(AND($C41=62,$U41=1),1,0)</f>
        <v/>
      </c>
      <c r="WL42">
        <f>WL41+IF(AND($C41=63,$U41=1),1,0)</f>
        <v/>
      </c>
      <c r="WM42">
        <f>WM41+IF(AND($C41=64,$U41=1),1,0)</f>
        <v/>
      </c>
      <c r="WN42">
        <f>WN41+IF(AND($C41=65,$U41=1),1,0)</f>
        <v/>
      </c>
      <c r="WO42">
        <f>WO41+IF(AND($C41=66,$U41=1),1,0)</f>
        <v/>
      </c>
      <c r="WP42">
        <f>WP41+IF(AND($C41=67,$U41=1),1,0)</f>
        <v/>
      </c>
      <c r="WQ42">
        <f>WQ41+IF(AND($C41=68,$U41=1),1,0)</f>
        <v/>
      </c>
      <c r="WR42">
        <f>WR41+IF(AND($C41=69,$U41=1),1,0)</f>
        <v/>
      </c>
      <c r="WS42">
        <f>WS41+IF(AND($C41=70,$U41=1),1,0)</f>
        <v/>
      </c>
      <c r="WT42">
        <f>WT41+IF(AND($C41=71,$U41=1),1,0)</f>
        <v/>
      </c>
      <c r="WU42">
        <f>WU41+IF(AND($C41=72,$U41=1),1,0)</f>
        <v/>
      </c>
      <c r="WV42">
        <f>WV41+IF(AND($C41=73,$U41=1),1,0)</f>
        <v/>
      </c>
      <c r="WW42">
        <f>WW41+IF(AND($C41=74,$U41=1),1,0)</f>
        <v/>
      </c>
      <c r="WX42">
        <f>WX41+IF(AND($C41=75,$U41=1),1,0)</f>
        <v/>
      </c>
      <c r="WY42">
        <f>WY41+IF(AND($C41=76,$U41=1),1,0)</f>
        <v/>
      </c>
      <c r="WZ42">
        <f>WZ41+IF(AND($C41=77,$U41=1),1,0)</f>
        <v/>
      </c>
      <c r="XA42">
        <f>XA41+IF(AND($C41=78,$U41=1),1,0)</f>
        <v/>
      </c>
      <c r="XB42">
        <f>XB41+IF(AND($C41=79,$U41=1),1,0)</f>
        <v/>
      </c>
      <c r="XC42">
        <f>XC41+IF(AND($C41=80,$U41=1),1,0)</f>
        <v/>
      </c>
      <c r="XD42">
        <f>XD41+IF(AND($C41=81,$U41=1),1,0)</f>
        <v/>
      </c>
      <c r="XE42">
        <f>XE41+IF(AND($C41=82,$U41=1),1,0)</f>
        <v/>
      </c>
      <c r="XF42">
        <f>XF41+IF(AND($C41=83,$U41=1),1,0)</f>
        <v/>
      </c>
      <c r="XG42">
        <f>XG41+IF(AND($C41=84,$U41=1),1,0)</f>
        <v/>
      </c>
      <c r="XH42">
        <f>XH41+IF(AND($C41=85,$U41=1),1,0)</f>
        <v/>
      </c>
      <c r="XI42">
        <f>XI41+IF(AND($C41=86,$U41=1),1,0)</f>
        <v/>
      </c>
      <c r="XJ42">
        <f>XJ41+IF(AND($C41=87,$U41=1),1,0)</f>
        <v/>
      </c>
      <c r="XK42">
        <f>XK41+IF(AND($C41=88,$U41=1),1,0)</f>
        <v/>
      </c>
      <c r="XL42">
        <f>XL41+IF(AND($C41=89,$U41=1),1,0)</f>
        <v/>
      </c>
      <c r="XM42">
        <f>XM41+IF(AND($C41=90,$U41=1),1,0)</f>
        <v/>
      </c>
      <c r="XN42">
        <f>XN41+IF(AND($C41=91,$U41=1),1,0)</f>
        <v/>
      </c>
      <c r="XO42">
        <f>XO41+IF(AND($C41=92,$U41=1),1,0)</f>
        <v/>
      </c>
      <c r="XP42">
        <f>XP41+IF(AND($C41=93,$U41=1),1,0)</f>
        <v/>
      </c>
      <c r="XQ42">
        <f>XQ41+IF(AND($C41=94,$U41=1),1,0)</f>
        <v/>
      </c>
      <c r="XR42">
        <f>XR41+IF(AND($C41=95,$U41=1),1,0)</f>
        <v/>
      </c>
      <c r="XS42">
        <f>XS41+IF(AND($C41=96,$U41=1),1,0)</f>
        <v/>
      </c>
      <c r="XT42">
        <f>XT41+IF(AND($C41=97,$U41=1),1,0)</f>
        <v/>
      </c>
      <c r="XU42">
        <f>XU41+IF(AND($C41=98,$U41=1),1,0)</f>
        <v/>
      </c>
      <c r="XV42">
        <f>XV41+IF(AND($C41=99,$U41=1),1,0)</f>
        <v/>
      </c>
      <c r="XW42">
        <f>XW41+IF(AND($C41=100,$U41=1),1,0)</f>
        <v/>
      </c>
      <c r="XX42">
        <f>XX41+IF(AND($C41=101,$U41=1),1,0)</f>
        <v/>
      </c>
      <c r="XY42">
        <f>XY41+IF(AND($C41=102,$U41=1),1,0)</f>
        <v/>
      </c>
      <c r="XZ42">
        <f>XZ41+IF(AND($C41=103,$U41=1),1,0)</f>
        <v/>
      </c>
      <c r="YA42">
        <f>YA41+IF(AND($C41=104,$U41=1),1,0)</f>
        <v/>
      </c>
      <c r="YB42">
        <f>YB41+IF(AND($C41=105,$U41=1),1,0)</f>
        <v/>
      </c>
      <c r="YC42">
        <f>YC41+IF(AND($C41=106,$U41=1),1,0)</f>
        <v/>
      </c>
      <c r="YD42">
        <f>YD41+IF(AND($C41=107,$U41=1),1,0)</f>
        <v/>
      </c>
      <c r="YE42">
        <f>YE41+IF(AND($C41=108,$U41=1),1,0)</f>
        <v/>
      </c>
      <c r="YF42">
        <f>YF41+IF(AND($C41=109,$U41=1),1,0)</f>
        <v/>
      </c>
      <c r="YG42">
        <f>YG41+IF(AND($C41=110,$U41=1),1,0)</f>
        <v/>
      </c>
      <c r="YH42">
        <f>YH41+IF(AND($C41=111,$U41=1),1,0)</f>
        <v/>
      </c>
      <c r="YI42">
        <f>YI41+IF(AND($C41=112,$U41=1),1,0)</f>
        <v/>
      </c>
      <c r="YJ42">
        <f>YJ41+IF(AND($C41=113,$U41=1),1,0)</f>
        <v/>
      </c>
      <c r="YK42">
        <f>YK41+IF(AND($C41=114,$U41=1),1,0)</f>
        <v/>
      </c>
      <c r="YL42">
        <f>YL41+IF(AND($C41=115,$U41=1),1,0)</f>
        <v/>
      </c>
      <c r="YM42">
        <f>YM41+IF(AND($C41=116,$U41=1),1,0)</f>
        <v/>
      </c>
      <c r="YN42">
        <f>YN41+IF(AND($C41=117,$U41=1),1,0)</f>
        <v/>
      </c>
      <c r="YO42">
        <f>YO41+IF(AND($C41=118,$U41=1),1,0)</f>
        <v/>
      </c>
      <c r="YP42">
        <f>YP41+IF(AND($C41=119,$U41=1),1,0)</f>
        <v/>
      </c>
      <c r="YQ42">
        <f>YQ41+IF(AND($C41=120,$U41=1),1,0)</f>
        <v/>
      </c>
      <c r="YR42">
        <f>YR41+IF(AND($C41=121,$U41=1),1,0)</f>
        <v/>
      </c>
      <c r="YS42">
        <f>YS41+IF(AND($C41=122,$U41=1),1,0)</f>
        <v/>
      </c>
      <c r="YT42">
        <f>YT41+IF(AND($C41=123,$U41=1),1,0)</f>
        <v/>
      </c>
      <c r="YU42">
        <f>YU41+IF(AND($C41=124,$U41=1),1,0)</f>
        <v/>
      </c>
      <c r="YV42">
        <f>YV41+IF(AND($C41=125,$U41=1),1,0)</f>
        <v/>
      </c>
      <c r="YW42">
        <f>YW41+IF(AND($C41=126,$U41=1),1,0)</f>
        <v/>
      </c>
      <c r="YX42">
        <f>YX41+IF(AND($C41=127,$U41=1),1,0)</f>
        <v/>
      </c>
      <c r="YY42">
        <f>YY41+IF(AND($C41=128,$U41=1),1,0)</f>
        <v/>
      </c>
      <c r="YZ42">
        <f>YZ41+IF(AND($C41=129,$U41=1),1,0)</f>
        <v/>
      </c>
      <c r="ZA42">
        <f>ZA41+IF(AND($C41=130,$U41=1),1,0)</f>
        <v/>
      </c>
      <c r="ZB42">
        <f>ZB41+IF(AND($C41=131,$U41=1),1,0)</f>
        <v/>
      </c>
      <c r="ZC42">
        <f>ZC41+IF(AND($C41=132,$U41=1),1,0)</f>
        <v/>
      </c>
      <c r="ZD42">
        <f>ZD41+IF(AND($C41=133,$U41=1),1,0)</f>
        <v/>
      </c>
      <c r="ZE42">
        <f>ZE41+IF(AND($C41=134,$U41=1),1,0)</f>
        <v/>
      </c>
      <c r="ZF42">
        <f>ZF41+IF(AND($C41=135,$U41=1),1,0)</f>
        <v/>
      </c>
      <c r="ZG42">
        <f>ZG41+IF(AND($C41=136,$U41=1),1,0)</f>
        <v/>
      </c>
      <c r="ZH42">
        <f>ZH41+IF(AND($C41=137,$U41=1),1,0)</f>
        <v/>
      </c>
      <c r="ZI42">
        <f>ZI41+IF(AND($C41=138,$U41=1),1,0)</f>
        <v/>
      </c>
      <c r="ZJ42">
        <f>ZJ41+IF(AND($C41=139,$U41=1),1,0)</f>
        <v/>
      </c>
      <c r="ZK42">
        <f>ZK41+IF(AND($C41=140,$U41=1),1,0)</f>
        <v/>
      </c>
      <c r="ZL42">
        <f>ZL41+IF(AND($C41=141,$U41=1),1,0)</f>
        <v/>
      </c>
      <c r="ZM42">
        <f>ZM41+IF(AND($C41=142,$U41=1),1,0)</f>
        <v/>
      </c>
      <c r="ZN42">
        <f>ZN41+IF(AND($C41=143,$U41=1),1,0)</f>
        <v/>
      </c>
      <c r="ZO42">
        <f>ZO41+IF(AND($C41=144,$U41=1),1,0)</f>
        <v/>
      </c>
      <c r="ZQ42">
        <f>IF($C41=1,0,ZQ41+IF(AND($G41=1,$E41=1),1,0))</f>
        <v/>
      </c>
      <c r="ZR42">
        <f>IF($C41=2,0,ZR41+IF(AND($G41=2,$E41=1),1,0))</f>
        <v/>
      </c>
      <c r="ZS42">
        <f>IF($C41=3,0,ZS41+IF(AND($G41=3,$E41=1),1,0))</f>
        <v/>
      </c>
      <c r="ZT42">
        <f>IF($C41=4,0,ZT41+IF(AND($G41=4,$E41=1),1,0))</f>
        <v/>
      </c>
      <c r="ZU42">
        <f>IF($C41=5,0,ZU41+IF(AND($G41=5,$E41=1),1,0))</f>
        <v/>
      </c>
      <c r="ZV42">
        <f>IF($C41=6,0,ZV41+IF(AND($G41=6,$E41=1),1,0))</f>
        <v/>
      </c>
      <c r="ZW42">
        <f>IF($C41=7,0,ZW41+IF(AND($G41=7,$E41=1),1,0))</f>
        <v/>
      </c>
      <c r="ZX42">
        <f>IF($C41=8,0,ZX41+IF(AND($G41=8,$E41=1),1,0))</f>
        <v/>
      </c>
      <c r="ZY42">
        <f>IF($C41=9,0,ZY41+IF(AND($G41=9,$E41=1),1,0))</f>
        <v/>
      </c>
      <c r="ZZ42">
        <f>IF($C41=10,0,ZZ41+IF(AND($G41=10,$E41=1),1,0))</f>
        <v/>
      </c>
      <c r="AAA42">
        <f>IF($C41=11,0,AAA41+IF(AND($G41=11,$E41=1),1,0))</f>
        <v/>
      </c>
      <c r="AAB42">
        <f>IF($C41=12,0,AAB41+IF(AND($G41=12,$E41=1),1,0))</f>
        <v/>
      </c>
      <c r="AAC42">
        <f>IF($C41=13,0,AAC41+IF(AND($G41=13,$E41=1),1,0))</f>
        <v/>
      </c>
      <c r="AAD42">
        <f>IF($C41=14,0,AAD41+IF(AND($G41=14,$E41=1),1,0))</f>
        <v/>
      </c>
      <c r="AAE42">
        <f>IF($C41=15,0,AAE41+IF(AND($G41=15,$E41=1),1,0))</f>
        <v/>
      </c>
      <c r="AAF42">
        <f>IF($C41=16,0,AAF41+IF(AND($G41=16,$E41=1),1,0))</f>
        <v/>
      </c>
      <c r="AAG42">
        <f>IF($C41=17,0,AAG41+IF(AND($G41=17,$E41=1),1,0))</f>
        <v/>
      </c>
      <c r="AAH42">
        <f>IF($C41=18,0,AAH41+IF(AND($G41=18,$E41=1),1,0))</f>
        <v/>
      </c>
      <c r="AAI42">
        <f>IF($C41=19,0,AAI41+IF(AND($G41=19,$E41=1),1,0))</f>
        <v/>
      </c>
      <c r="AAJ42">
        <f>IF($C41=20,0,AAJ41+IF(AND($G41=20,$E41=1),1,0))</f>
        <v/>
      </c>
      <c r="AAK42">
        <f>IF($C41=21,0,AAK41+IF(AND($G41=21,$E41=1),1,0))</f>
        <v/>
      </c>
      <c r="AAL42">
        <f>IF($C41=22,0,AAL41+IF(AND($G41=22,$E41=1),1,0))</f>
        <v/>
      </c>
      <c r="AAM42">
        <f>IF($C41=23,0,AAM41+IF(AND($G41=23,$E41=1),1,0))</f>
        <v/>
      </c>
      <c r="AAN42">
        <f>IF($C41=24,0,AAN41+IF(AND($G41=24,$E41=1),1,0))</f>
        <v/>
      </c>
      <c r="AAO42">
        <f>IF($C41=25,0,AAO41+IF(AND($G41=25,$E41=1),1,0))</f>
        <v/>
      </c>
      <c r="AAP42">
        <f>IF($C41=26,0,AAP41+IF(AND($G41=26,$E41=1),1,0))</f>
        <v/>
      </c>
      <c r="AAQ42">
        <f>IF($C41=27,0,AAQ41+IF(AND($G41=27,$E41=1),1,0))</f>
        <v/>
      </c>
      <c r="AAR42">
        <f>IF($C41=28,0,AAR41+IF(AND($G41=28,$E41=1),1,0))</f>
        <v/>
      </c>
      <c r="AAS42">
        <f>IF($C41=29,0,AAS41+IF(AND($G41=29,$E41=1),1,0))</f>
        <v/>
      </c>
      <c r="AAT42">
        <f>IF($C41=30,0,AAT41+IF(AND($G41=30,$E41=1),1,0))</f>
        <v/>
      </c>
      <c r="AAU42">
        <f>IF($C41=31,0,AAU41+IF(AND($G41=31,$E41=1),1,0))</f>
        <v/>
      </c>
      <c r="AAV42">
        <f>IF($C41=32,0,AAV41+IF(AND($G41=32,$E41=1),1,0))</f>
        <v/>
      </c>
      <c r="AAW42">
        <f>IF($C41=33,0,AAW41+IF(AND($G41=33,$E41=1),1,0))</f>
        <v/>
      </c>
      <c r="AAX42">
        <f>IF($C41=34,0,AAX41+IF(AND($G41=34,$E41=1),1,0))</f>
        <v/>
      </c>
      <c r="AAY42">
        <f>IF($C41=35,0,AAY41+IF(AND($G41=35,$E41=1),1,0))</f>
        <v/>
      </c>
      <c r="AAZ42">
        <f>IF($C41=36,0,AAZ41+IF(AND($G41=36,$E41=1),1,0))</f>
        <v/>
      </c>
      <c r="ABA42">
        <f>IF($C41=37,0,ABA41+IF(AND($G41=37,$E41=1),1,0))</f>
        <v/>
      </c>
      <c r="ABB42">
        <f>IF($C41=38,0,ABB41+IF(AND($G41=38,$E41=1),1,0))</f>
        <v/>
      </c>
      <c r="ABC42">
        <f>IF($C41=39,0,ABC41+IF(AND($G41=39,$E41=1),1,0))</f>
        <v/>
      </c>
      <c r="ABD42">
        <f>IF($C41=40,0,ABD41+IF(AND($G41=40,$E41=1),1,0))</f>
        <v/>
      </c>
      <c r="ABE42">
        <f>IF($C41=41,0,ABE41+IF(AND($G41=41,$E41=1),1,0))</f>
        <v/>
      </c>
      <c r="ABF42">
        <f>IF($C41=42,0,ABF41+IF(AND($G41=42,$E41=1),1,0))</f>
        <v/>
      </c>
      <c r="ABG42">
        <f>IF($C41=43,0,ABG41+IF(AND($G41=43,$E41=1),1,0))</f>
        <v/>
      </c>
      <c r="ABH42">
        <f>IF($C41=44,0,ABH41+IF(AND($G41=44,$E41=1),1,0))</f>
        <v/>
      </c>
      <c r="ABI42">
        <f>IF($C41=45,0,ABI41+IF(AND($G41=45,$E41=1),1,0))</f>
        <v/>
      </c>
      <c r="ABJ42">
        <f>IF($C41=46,0,ABJ41+IF(AND($G41=46,$E41=1),1,0))</f>
        <v/>
      </c>
      <c r="ABK42">
        <f>IF($C41=47,0,ABK41+IF(AND($G41=47,$E41=1),1,0))</f>
        <v/>
      </c>
      <c r="ABL42">
        <f>IF($C41=48,0,ABL41+IF(AND($G41=48,$E41=1),1,0))</f>
        <v/>
      </c>
      <c r="ABM42">
        <f>IF($C41=49,0,ABM41+IF(AND($G41=49,$E41=1),1,0))</f>
        <v/>
      </c>
      <c r="ABN42">
        <f>IF($C41=50,0,ABN41+IF(AND($G41=50,$E41=1),1,0))</f>
        <v/>
      </c>
      <c r="ABO42">
        <f>IF($C41=51,0,ABO41+IF(AND($G41=51,$E41=1),1,0))</f>
        <v/>
      </c>
      <c r="ABP42">
        <f>IF($C41=52,0,ABP41+IF(AND($G41=52,$E41=1),1,0))</f>
        <v/>
      </c>
      <c r="ABQ42">
        <f>IF($C41=53,0,ABQ41+IF(AND($G41=53,$E41=1),1,0))</f>
        <v/>
      </c>
      <c r="ABR42">
        <f>IF($C41=54,0,ABR41+IF(AND($G41=54,$E41=1),1,0))</f>
        <v/>
      </c>
      <c r="ABS42">
        <f>IF($C41=55,0,ABS41+IF(AND($G41=55,$E41=1),1,0))</f>
        <v/>
      </c>
      <c r="ABT42">
        <f>IF($C41=56,0,ABT41+IF(AND($G41=56,$E41=1),1,0))</f>
        <v/>
      </c>
      <c r="ABU42">
        <f>IF($C41=57,0,ABU41+IF(AND($G41=57,$E41=1),1,0))</f>
        <v/>
      </c>
      <c r="ABV42">
        <f>IF($C41=58,0,ABV41+IF(AND($G41=58,$E41=1),1,0))</f>
        <v/>
      </c>
      <c r="ABW42">
        <f>IF($C41=59,0,ABW41+IF(AND($G41=59,$E41=1),1,0))</f>
        <v/>
      </c>
      <c r="ABX42">
        <f>IF($C41=60,0,ABX41+IF(AND($G41=60,$E41=1),1,0))</f>
        <v/>
      </c>
      <c r="ABY42">
        <f>IF($C41=61,0,ABY41+IF(AND($G41=61,$E41=1),1,0))</f>
        <v/>
      </c>
      <c r="ABZ42">
        <f>IF($C41=62,0,ABZ41+IF(AND($G41=62,$E41=1),1,0))</f>
        <v/>
      </c>
      <c r="ACA42">
        <f>IF($C41=63,0,ACA41+IF(AND($G41=63,$E41=1),1,0))</f>
        <v/>
      </c>
      <c r="ACB42">
        <f>IF($C41=64,0,ACB41+IF(AND($G41=64,$E41=1),1,0))</f>
        <v/>
      </c>
      <c r="ACC42">
        <f>IF($C41=65,0,ACC41+IF(AND($G41=65,$E41=1),1,0))</f>
        <v/>
      </c>
      <c r="ACD42">
        <f>IF($C41=66,0,ACD41+IF(AND($G41=66,$E41=1),1,0))</f>
        <v/>
      </c>
      <c r="ACE42">
        <f>IF($C41=67,0,ACE41+IF(AND($G41=67,$E41=1),1,0))</f>
        <v/>
      </c>
      <c r="ACF42">
        <f>IF($C41=68,0,ACF41+IF(AND($G41=68,$E41=1),1,0))</f>
        <v/>
      </c>
      <c r="ACG42">
        <f>IF($C41=69,0,ACG41+IF(AND($G41=69,$E41=1),1,0))</f>
        <v/>
      </c>
      <c r="ACH42">
        <f>IF($C41=70,0,ACH41+IF(AND($G41=70,$E41=1),1,0))</f>
        <v/>
      </c>
      <c r="ACI42">
        <f>IF($C41=71,0,ACI41+IF(AND($G41=71,$E41=1),1,0))</f>
        <v/>
      </c>
      <c r="ACJ42">
        <f>IF($C41=72,0,ACJ41+IF(AND($G41=72,$E41=1),1,0))</f>
        <v/>
      </c>
      <c r="ACK42">
        <f>IF($C41=73,0,ACK41+IF(AND($G41=73,$E41=1),1,0))</f>
        <v/>
      </c>
      <c r="ACL42">
        <f>IF($C41=74,0,ACL41+IF(AND($G41=74,$E41=1),1,0))</f>
        <v/>
      </c>
      <c r="ACM42">
        <f>IF($C41=75,0,ACM41+IF(AND($G41=75,$E41=1),1,0))</f>
        <v/>
      </c>
      <c r="ACN42">
        <f>IF($C41=76,0,ACN41+IF(AND($G41=76,$E41=1),1,0))</f>
        <v/>
      </c>
      <c r="ACO42">
        <f>IF($C41=77,0,ACO41+IF(AND($G41=77,$E41=1),1,0))</f>
        <v/>
      </c>
      <c r="ACP42">
        <f>IF($C41=78,0,ACP41+IF(AND($G41=78,$E41=1),1,0))</f>
        <v/>
      </c>
      <c r="ACQ42">
        <f>IF($C41=79,0,ACQ41+IF(AND($G41=79,$E41=1),1,0))</f>
        <v/>
      </c>
      <c r="ACR42">
        <f>IF($C41=80,0,ACR41+IF(AND($G41=80,$E41=1),1,0))</f>
        <v/>
      </c>
      <c r="ACS42">
        <f>IF($C41=81,0,ACS41+IF(AND($G41=81,$E41=1),1,0))</f>
        <v/>
      </c>
      <c r="ACT42">
        <f>IF($C41=82,0,ACT41+IF(AND($G41=82,$E41=1),1,0))</f>
        <v/>
      </c>
      <c r="ACU42">
        <f>IF($C41=83,0,ACU41+IF(AND($G41=83,$E41=1),1,0))</f>
        <v/>
      </c>
      <c r="ACV42">
        <f>IF($C41=84,0,ACV41+IF(AND($G41=84,$E41=1),1,0))</f>
        <v/>
      </c>
      <c r="ACW42">
        <f>IF($C41=85,0,ACW41+IF(AND($G41=85,$E41=1),1,0))</f>
        <v/>
      </c>
      <c r="ACX42">
        <f>IF($C41=86,0,ACX41+IF(AND($G41=86,$E41=1),1,0))</f>
        <v/>
      </c>
      <c r="ACY42">
        <f>IF($C41=87,0,ACY41+IF(AND($G41=87,$E41=1),1,0))</f>
        <v/>
      </c>
      <c r="ACZ42">
        <f>IF($C41=88,0,ACZ41+IF(AND($G41=88,$E41=1),1,0))</f>
        <v/>
      </c>
      <c r="ADA42">
        <f>IF($C41=89,0,ADA41+IF(AND($G41=89,$E41=1),1,0))</f>
        <v/>
      </c>
      <c r="ADB42">
        <f>IF($C41=90,0,ADB41+IF(AND($G41=90,$E41=1),1,0))</f>
        <v/>
      </c>
      <c r="ADC42">
        <f>IF($C41=91,0,ADC41+IF(AND($G41=91,$E41=1),1,0))</f>
        <v/>
      </c>
      <c r="ADD42">
        <f>IF($C41=92,0,ADD41+IF(AND($G41=92,$E41=1),1,0))</f>
        <v/>
      </c>
      <c r="ADE42">
        <f>IF($C41=93,0,ADE41+IF(AND($G41=93,$E41=1),1,0))</f>
        <v/>
      </c>
      <c r="ADF42">
        <f>IF($C41=94,0,ADF41+IF(AND($G41=94,$E41=1),1,0))</f>
        <v/>
      </c>
      <c r="ADG42">
        <f>IF($C41=95,0,ADG41+IF(AND($G41=95,$E41=1),1,0))</f>
        <v/>
      </c>
      <c r="ADH42">
        <f>IF($C41=96,0,ADH41+IF(AND($G41=96,$E41=1),1,0))</f>
        <v/>
      </c>
      <c r="ADI42">
        <f>IF($C41=97,0,ADI41+IF(AND($G41=97,$E41=1),1,0))</f>
        <v/>
      </c>
      <c r="ADJ42">
        <f>IF($C41=98,0,ADJ41+IF(AND($G41=98,$E41=1),1,0))</f>
        <v/>
      </c>
      <c r="ADK42">
        <f>IF($C41=99,0,ADK41+IF(AND($G41=99,$E41=1),1,0))</f>
        <v/>
      </c>
      <c r="ADL42">
        <f>IF($C41=100,0,ADL41+IF(AND($G41=100,$E41=1),1,0))</f>
        <v/>
      </c>
      <c r="ADM42">
        <f>IF($C41=101,0,ADM41+IF(AND($G41=101,$E41=1),1,0))</f>
        <v/>
      </c>
      <c r="ADN42">
        <f>IF($C41=102,0,ADN41+IF(AND($G41=102,$E41=1),1,0))</f>
        <v/>
      </c>
      <c r="ADO42">
        <f>IF($C41=103,0,ADO41+IF(AND($G41=103,$E41=1),1,0))</f>
        <v/>
      </c>
      <c r="ADP42">
        <f>IF($C41=104,0,ADP41+IF(AND($G41=104,$E41=1),1,0))</f>
        <v/>
      </c>
      <c r="ADQ42">
        <f>IF($C41=105,0,ADQ41+IF(AND($G41=105,$E41=1),1,0))</f>
        <v/>
      </c>
      <c r="ADR42">
        <f>IF($C41=106,0,ADR41+IF(AND($G41=106,$E41=1),1,0))</f>
        <v/>
      </c>
      <c r="ADS42">
        <f>IF($C41=107,0,ADS41+IF(AND($G41=107,$E41=1),1,0))</f>
        <v/>
      </c>
      <c r="ADT42">
        <f>IF($C41=108,0,ADT41+IF(AND($G41=108,$E41=1),1,0))</f>
        <v/>
      </c>
      <c r="ADU42">
        <f>IF($C41=109,0,ADU41+IF(AND($G41=109,$E41=1),1,0))</f>
        <v/>
      </c>
      <c r="ADV42">
        <f>IF($C41=110,0,ADV41+IF(AND($G41=110,$E41=1),1,0))</f>
        <v/>
      </c>
      <c r="ADW42">
        <f>IF($C41=111,0,ADW41+IF(AND($G41=111,$E41=1),1,0))</f>
        <v/>
      </c>
      <c r="ADX42">
        <f>IF($C41=112,0,ADX41+IF(AND($G41=112,$E41=1),1,0))</f>
        <v/>
      </c>
      <c r="ADY42">
        <f>IF($C41=113,0,ADY41+IF(AND($G41=113,$E41=1),1,0))</f>
        <v/>
      </c>
      <c r="ADZ42">
        <f>IF($C41=114,0,ADZ41+IF(AND($G41=114,$E41=1),1,0))</f>
        <v/>
      </c>
      <c r="AEA42">
        <f>IF($C41=115,0,AEA41+IF(AND($G41=115,$E41=1),1,0))</f>
        <v/>
      </c>
      <c r="AEB42">
        <f>IF($C41=116,0,AEB41+IF(AND($G41=116,$E41=1),1,0))</f>
        <v/>
      </c>
      <c r="AEC42">
        <f>IF($C41=117,0,AEC41+IF(AND($G41=117,$E41=1),1,0))</f>
        <v/>
      </c>
      <c r="AED42">
        <f>IF($C41=118,0,AED41+IF(AND($G41=118,$E41=1),1,0))</f>
        <v/>
      </c>
      <c r="AEE42">
        <f>IF($C41=119,0,AEE41+IF(AND($G41=119,$E41=1),1,0))</f>
        <v/>
      </c>
      <c r="AEF42">
        <f>IF($C41=120,0,AEF41+IF(AND($G41=120,$E41=1),1,0))</f>
        <v/>
      </c>
      <c r="AEG42">
        <f>IF($C41=121,0,AEG41+IF(AND($G41=121,$E41=1),1,0))</f>
        <v/>
      </c>
      <c r="AEH42">
        <f>IF($C41=122,0,AEH41+IF(AND($G41=122,$E41=1),1,0))</f>
        <v/>
      </c>
      <c r="AEI42">
        <f>IF($C41=123,0,AEI41+IF(AND($G41=123,$E41=1),1,0))</f>
        <v/>
      </c>
      <c r="AEJ42">
        <f>IF($C41=124,0,AEJ41+IF(AND($G41=124,$E41=1),1,0))</f>
        <v/>
      </c>
      <c r="AEK42">
        <f>IF($C41=125,0,AEK41+IF(AND($G41=125,$E41=1),1,0))</f>
        <v/>
      </c>
      <c r="AEL42">
        <f>IF($C41=126,0,AEL41+IF(AND($G41=126,$E41=1),1,0))</f>
        <v/>
      </c>
      <c r="AEM42">
        <f>IF($C41=127,0,AEM41+IF(AND($G41=127,$E41=1),1,0))</f>
        <v/>
      </c>
      <c r="AEN42">
        <f>IF($C41=128,0,AEN41+IF(AND($G41=128,$E41=1),1,0))</f>
        <v/>
      </c>
      <c r="AEO42">
        <f>IF($C41=129,0,AEO41+IF(AND($G41=129,$E41=1),1,0))</f>
        <v/>
      </c>
      <c r="AEP42">
        <f>IF($C41=130,0,AEP41+IF(AND($G41=130,$E41=1),1,0))</f>
        <v/>
      </c>
      <c r="AEQ42">
        <f>IF($C41=131,0,AEQ41+IF(AND($G41=131,$E41=1),1,0))</f>
        <v/>
      </c>
      <c r="AER42">
        <f>IF($C41=132,0,AER41+IF(AND($G41=132,$E41=1),1,0))</f>
        <v/>
      </c>
      <c r="AES42">
        <f>IF($C41=133,0,AES41+IF(AND($G41=133,$E41=1),1,0))</f>
        <v/>
      </c>
      <c r="AET42">
        <f>IF($C41=134,0,AET41+IF(AND($G41=134,$E41=1),1,0))</f>
        <v/>
      </c>
      <c r="AEU42">
        <f>IF($C41=135,0,AEU41+IF(AND($G41=135,$E41=1),1,0))</f>
        <v/>
      </c>
      <c r="AEV42">
        <f>IF($C41=136,0,AEV41+IF(AND($G41=136,$E41=1),1,0))</f>
        <v/>
      </c>
      <c r="AEW42">
        <f>IF($C41=137,0,AEW41+IF(AND($G41=137,$E41=1),1,0))</f>
        <v/>
      </c>
      <c r="AEX42">
        <f>IF($C41=138,0,AEX41+IF(AND($G41=138,$E41=1),1,0))</f>
        <v/>
      </c>
      <c r="AEY42">
        <f>IF($C41=139,0,AEY41+IF(AND($G41=139,$E41=1),1,0))</f>
        <v/>
      </c>
      <c r="AEZ42">
        <f>IF($C41=140,0,AEZ41+IF(AND($G41=140,$E41=1),1,0))</f>
        <v/>
      </c>
      <c r="AFA42">
        <f>IF($C41=141,0,AFA41+IF(AND($G41=141,$E41=1),1,0))</f>
        <v/>
      </c>
      <c r="AFB42">
        <f>IF($C41=142,0,AFB41+IF(AND($G41=142,$E41=1),1,0))</f>
        <v/>
      </c>
      <c r="AFC42">
        <f>IF($C41=143,0,AFC41+IF(AND($G41=143,$E41=1),1,0))</f>
        <v/>
      </c>
      <c r="AFD42">
        <f>IF($C41=144,0,AFD41+IF(AND($G41=144,$E41=1),1,0))</f>
        <v/>
      </c>
      <c r="AFF42">
        <f>IF('calcA'!D$106=1,DC42+ZR42,1)</f>
        <v/>
      </c>
      <c r="AFG42">
        <f>IF('calcA'!E$106=1,DD42+ZS42,1)</f>
        <v/>
      </c>
      <c r="AFH42">
        <f>IF('calcA'!F$106=1,DE42+ZT42,1)</f>
        <v/>
      </c>
      <c r="AFI42">
        <f>IF('calcA'!G$106=1,DF42+ZU42,1)</f>
        <v/>
      </c>
      <c r="AFJ42">
        <f>IF('calcA'!H$106=1,DG42+ZV42,1)</f>
        <v/>
      </c>
      <c r="AFK42">
        <f>IF('calcA'!I$106=1,DH42+ZW42,1)</f>
        <v/>
      </c>
      <c r="AFL42">
        <f>IF('calcA'!J$106=1,DI42+ZX42,1)</f>
        <v/>
      </c>
      <c r="AFM42">
        <f>IF('calcA'!K$106=1,DJ42+ZY42,1)</f>
        <v/>
      </c>
      <c r="AFN42">
        <f>IF('calcA'!L$106=1,DK42+ZZ42,1)</f>
        <v/>
      </c>
      <c r="AFO42">
        <f>IF('calcA'!M$106=1,DL42+AAA42,1)</f>
        <v/>
      </c>
      <c r="AFP42">
        <f>IF('calcA'!N$106=1,DM42+AAB42,1)</f>
        <v/>
      </c>
      <c r="AFQ42">
        <f>IF('calcA'!O$106=1,DN42+AAC42,1)</f>
        <v/>
      </c>
      <c r="AFR42">
        <f>IF('calcA'!P$106=1,DO42+AAD42,1)</f>
        <v/>
      </c>
      <c r="AFS42">
        <f>IF('calcA'!Q$106=1,DP42+AAE42,1)</f>
        <v/>
      </c>
      <c r="AFT42">
        <f>IF('calcA'!R$106=1,DQ42+AAF42,1)</f>
        <v/>
      </c>
      <c r="AFU42">
        <f>IF('calcA'!S$106=1,DR42+AAG42,1)</f>
        <v/>
      </c>
      <c r="AFV42">
        <f>IF('calcA'!T$106=1,DS42+AAH42,1)</f>
        <v/>
      </c>
      <c r="AFW42">
        <f>IF('calcA'!U$106=1,DT42+AAI42,1)</f>
        <v/>
      </c>
      <c r="AFX42">
        <f>IF('calcA'!V$106=1,DU42+AAJ42,1)</f>
        <v/>
      </c>
      <c r="AFY42">
        <f>IF('calcA'!W$106=1,DV42+AAK42,1)</f>
        <v/>
      </c>
      <c r="AFZ42">
        <f>IF('calcA'!X$106=1,DW42+AAL42,1)</f>
        <v/>
      </c>
      <c r="AGA42">
        <f>IF('calcA'!Y$106=1,DX42+AAM42,1)</f>
        <v/>
      </c>
      <c r="AGB42">
        <f>IF('calcA'!Z$106=1,DY42+AAN42,1)</f>
        <v/>
      </c>
      <c r="AGC42">
        <f>IF('calcA'!AA$106=1,DZ42+AAO42,1)</f>
        <v/>
      </c>
      <c r="AGD42">
        <f>IF('calcA'!AB$106=1,EA42+AAP42,1)</f>
        <v/>
      </c>
      <c r="AGE42">
        <f>IF('calcA'!AC$106=1,EB42+AAQ42,1)</f>
        <v/>
      </c>
      <c r="AGF42">
        <f>IF('calcA'!AD$106=1,EC42+AAR42,1)</f>
        <v/>
      </c>
      <c r="AGG42">
        <f>IF('calcA'!AE$106=1,ED42+AAS42,1)</f>
        <v/>
      </c>
      <c r="AGH42">
        <f>IF('calcA'!AF$106=1,EE42+AAT42,1)</f>
        <v/>
      </c>
      <c r="AGI42">
        <f>IF('calcA'!AG$106=1,EF42+AAU42,1)</f>
        <v/>
      </c>
      <c r="AGJ42">
        <f>IF('calcA'!AH$106=1,EG42+AAV42,1)</f>
        <v/>
      </c>
      <c r="AGK42">
        <f>IF('calcA'!AI$106=1,EH42+AAW42,1)</f>
        <v/>
      </c>
      <c r="AGL42">
        <f>IF('calcA'!AJ$106=1,EI42+AAX42,1)</f>
        <v/>
      </c>
      <c r="AGM42">
        <f>IF('calcA'!AK$106=1,EJ42+AAY42,1)</f>
        <v/>
      </c>
      <c r="AGN42">
        <f>IF('calcA'!AL$106=1,EK42+AAZ42,1)</f>
        <v/>
      </c>
      <c r="AGO42">
        <f>IF('calcA'!AM$106=1,EL42+ABA42,1)</f>
        <v/>
      </c>
      <c r="AGP42">
        <f>IF('calcA'!AN$106=1,EM42+ABB42,1)</f>
        <v/>
      </c>
      <c r="AGQ42">
        <f>IF('calcA'!AO$106=1,EN42+ABC42,1)</f>
        <v/>
      </c>
      <c r="AGR42">
        <f>IF('calcA'!AP$106=1,EO42+ABD42,1)</f>
        <v/>
      </c>
      <c r="AGS42">
        <f>IF('calcA'!AQ$106=1,EP42+ABE42,1)</f>
        <v/>
      </c>
      <c r="AGT42">
        <f>IF('calcA'!AR$106=1,EQ42+ABF42,1)</f>
        <v/>
      </c>
      <c r="AGU42">
        <f>IF('calcA'!AS$106=1,ER42+ABG42,1)</f>
        <v/>
      </c>
      <c r="AGV42">
        <f>IF('calcA'!AT$106=1,ES42+ABH42,1)</f>
        <v/>
      </c>
      <c r="AGW42">
        <f>IF('calcA'!AU$106=1,ET42+ABI42,1)</f>
        <v/>
      </c>
      <c r="AGX42">
        <f>IF('calcA'!AV$106=1,EU42+ABJ42,1)</f>
        <v/>
      </c>
      <c r="AGY42">
        <f>IF('calcA'!AW$106=1,EV42+ABK42,1)</f>
        <v/>
      </c>
      <c r="AGZ42">
        <f>IF('calcA'!AX$106=1,EW42+ABL42,1)</f>
        <v/>
      </c>
      <c r="AHA42">
        <f>IF('calcA'!AY$106=1,EX42+ABM42,1)</f>
        <v/>
      </c>
      <c r="AHB42">
        <f>IF('calcA'!AZ$106=1,EY42+ABN42,1)</f>
        <v/>
      </c>
      <c r="AHC42">
        <f>IF('calcA'!BA$106=1,EZ42+ABO42,1)</f>
        <v/>
      </c>
      <c r="AHD42">
        <f>IF('calcA'!BB$106=1,FA42+ABP42,1)</f>
        <v/>
      </c>
      <c r="AHE42">
        <f>IF('calcA'!BC$106=1,FB42+ABQ42,1)</f>
        <v/>
      </c>
      <c r="AHF42">
        <f>IF('calcA'!BD$106=1,FC42+ABR42,1)</f>
        <v/>
      </c>
      <c r="AHG42">
        <f>IF('calcA'!BE$106=1,FD42+ABS42,1)</f>
        <v/>
      </c>
      <c r="AHH42">
        <f>IF('calcA'!BF$106=1,FE42+ABT42,1)</f>
        <v/>
      </c>
      <c r="AHI42">
        <f>IF('calcA'!BG$106=1,FF42+ABU42,1)</f>
        <v/>
      </c>
      <c r="AHJ42">
        <f>IF('calcA'!BH$106=1,FG42+ABV42,1)</f>
        <v/>
      </c>
      <c r="AHK42">
        <f>IF('calcA'!BI$106=1,FH42+ABW42,1)</f>
        <v/>
      </c>
      <c r="AHL42">
        <f>IF('calcA'!BJ$106=1,FI42+ABX42,1)</f>
        <v/>
      </c>
      <c r="AHM42">
        <f>IF('calcA'!BK$106=1,FJ42+ABY42,1)</f>
        <v/>
      </c>
      <c r="AHN42">
        <f>IF('calcA'!BL$106=1,FK42+ABZ42,1)</f>
        <v/>
      </c>
      <c r="AHO42">
        <f>IF('calcA'!BM$106=1,FL42+ACA42,1)</f>
        <v/>
      </c>
      <c r="AHP42">
        <f>IF('calcA'!BN$106=1,FM42+ACB42,1)</f>
        <v/>
      </c>
      <c r="AHQ42">
        <f>IF('calcA'!BO$106=1,FN42+ACC42,1)</f>
        <v/>
      </c>
      <c r="AHR42">
        <f>IF('calcA'!BP$106=1,FO42+ACD42,1)</f>
        <v/>
      </c>
      <c r="AHS42">
        <f>IF('calcA'!BQ$106=1,FP42+ACE42,1)</f>
        <v/>
      </c>
      <c r="AHT42">
        <f>IF('calcA'!BR$106=1,FQ42+ACF42,1)</f>
        <v/>
      </c>
      <c r="AHU42">
        <f>IF('calcA'!BS$106=1,FR42+ACG42,1)</f>
        <v/>
      </c>
      <c r="AHV42">
        <f>IF('calcA'!BT$106=1,FS42+ACH42,1)</f>
        <v/>
      </c>
      <c r="AHW42">
        <f>IF('calcA'!BU$106=1,FT42+ACI42,1)</f>
        <v/>
      </c>
      <c r="AHX42">
        <f>IF('calcA'!BV$106=1,FU42+ACJ42,1)</f>
        <v/>
      </c>
      <c r="AHY42">
        <f>IF('calcA'!BW$106=1,FV42+ACK42,1)</f>
        <v/>
      </c>
      <c r="AHZ42">
        <f>IF('calcA'!BX$106=1,FW42+ACL42,1)</f>
        <v/>
      </c>
      <c r="AIA42">
        <f>IF('calcA'!BY$106=1,FX42+ACM42,1)</f>
        <v/>
      </c>
      <c r="AIB42">
        <f>IF('calcA'!BZ$106=1,FY42+ACN42,1)</f>
        <v/>
      </c>
      <c r="AIC42">
        <f>IF('calcA'!CA$106=1,FZ42+ACO42,1)</f>
        <v/>
      </c>
      <c r="AID42">
        <f>IF('calcA'!CB$106=1,GA42+ACP42,1)</f>
        <v/>
      </c>
      <c r="AIE42">
        <f>IF('calcA'!CC$106=1,GB42+ACQ42,1)</f>
        <v/>
      </c>
      <c r="AIF42">
        <f>IF('calcA'!CD$106=1,GC42+ACR42,1)</f>
        <v/>
      </c>
      <c r="AIG42">
        <f>IF('calcA'!CE$106=1,GD42+ACS42,1)</f>
        <v/>
      </c>
      <c r="AIH42">
        <f>IF('calcA'!CF$106=1,GE42+ACT42,1)</f>
        <v/>
      </c>
      <c r="AII42">
        <f>IF('calcA'!CG$106=1,GF42+ACU42,1)</f>
        <v/>
      </c>
      <c r="AIJ42">
        <f>IF('calcA'!CH$106=1,GG42+ACV42,1)</f>
        <v/>
      </c>
      <c r="AIK42">
        <f>IF('calcA'!CI$106=1,GH42+ACW42,1)</f>
        <v/>
      </c>
      <c r="AIL42">
        <f>IF('calcA'!CJ$106=1,GI42+ACX42,1)</f>
        <v/>
      </c>
      <c r="AIM42">
        <f>IF('calcA'!CK$106=1,GJ42+ACY42,1)</f>
        <v/>
      </c>
      <c r="AIN42">
        <f>IF('calcA'!CL$106=1,GK42+ACZ42,1)</f>
        <v/>
      </c>
      <c r="AIO42">
        <f>IF('calcA'!CM$106=1,GL42+ADA42,1)</f>
        <v/>
      </c>
      <c r="AIP42">
        <f>IF('calcA'!CN$106=1,GM42+ADB42,1)</f>
        <v/>
      </c>
      <c r="AIQ42">
        <f>IF('calcA'!CO$106=1,GN42+ADC42,1)</f>
        <v/>
      </c>
      <c r="AIR42">
        <f>IF('calcA'!CP$106=1,GO42+ADD42,1)</f>
        <v/>
      </c>
      <c r="AIS42">
        <f>IF('calcA'!CQ$106=1,GP42+ADE42,1)</f>
        <v/>
      </c>
      <c r="AIT42">
        <f>IF('calcA'!CR$106=1,GQ42+ADF42,1)</f>
        <v/>
      </c>
      <c r="AIU42">
        <f>IF('calcA'!CS$106=1,GR42+ADG42,1)</f>
        <v/>
      </c>
      <c r="AIV42">
        <f>IF('calcA'!CT$106=1,GS42+ADH42,1)</f>
        <v/>
      </c>
      <c r="AIW42">
        <f>IF('calcA'!CU$106=1,GT42+ADI42,1)</f>
        <v/>
      </c>
      <c r="AIX42">
        <f>IF('calcA'!CV$106=1,GU42+ADJ42,1)</f>
        <v/>
      </c>
      <c r="AIY42">
        <f>IF('calcA'!CW$106=1,GV42+ADK42,1)</f>
        <v/>
      </c>
      <c r="AIZ42">
        <f>IF('calcA'!CX$106=1,GW42+ADL42,1)</f>
        <v/>
      </c>
      <c r="AJA42">
        <f>IF('calcA'!CY$106=1,GX42+ADM42,1)</f>
        <v/>
      </c>
      <c r="AJB42">
        <f>IF('calcA'!CZ$106=1,GY42+ADN42,1)</f>
        <v/>
      </c>
      <c r="AJC42">
        <f>IF('calcA'!DA$106=1,GZ42+ADO42,1)</f>
        <v/>
      </c>
      <c r="AJD42">
        <f>IF('calcA'!DB$106=1,HA42+ADP42,1)</f>
        <v/>
      </c>
      <c r="AJE42">
        <f>IF('calcA'!DC$106=1,HB42+ADQ42,1)</f>
        <v/>
      </c>
      <c r="AJF42">
        <f>IF('calcA'!DD$106=1,HC42+ADR42,1)</f>
        <v/>
      </c>
      <c r="AJG42">
        <f>IF('calcA'!DE$106=1,HD42+ADS42,1)</f>
        <v/>
      </c>
      <c r="AJH42">
        <f>IF('calcA'!DF$106=1,HE42+ADT42,1)</f>
        <v/>
      </c>
      <c r="AJI42">
        <f>IF('calcA'!DG$106=1,HF42+ADU42,1)</f>
        <v/>
      </c>
      <c r="AJJ42">
        <f>IF('calcA'!DH$106=1,HG42+ADV42,1)</f>
        <v/>
      </c>
      <c r="AJK42">
        <f>IF('calcA'!DI$106=1,HH42+ADW42,1)</f>
        <v/>
      </c>
      <c r="AJL42">
        <f>IF('calcA'!DJ$106=1,HI42+ADX42,1)</f>
        <v/>
      </c>
      <c r="AJM42">
        <f>IF('calcA'!DK$106=1,HJ42+ADY42,1)</f>
        <v/>
      </c>
      <c r="AJN42">
        <f>IF('calcA'!DL$106=1,HK42+ADZ42,1)</f>
        <v/>
      </c>
      <c r="AJO42">
        <f>IF('calcA'!DM$106=1,HL42+AEA42,1)</f>
        <v/>
      </c>
      <c r="AJP42">
        <f>IF('calcA'!DN$106=1,HM42+AEB42,1)</f>
        <v/>
      </c>
      <c r="AJQ42">
        <f>IF('calcA'!DO$106=1,HN42+AEC42,1)</f>
        <v/>
      </c>
      <c r="AJR42">
        <f>IF('calcA'!DP$106=1,HO42+AED42,1)</f>
        <v/>
      </c>
      <c r="AJS42">
        <f>IF('calcA'!DQ$106=1,HP42+AEE42,1)</f>
        <v/>
      </c>
      <c r="AJT42">
        <f>IF('calcA'!DR$106=1,HQ42+AEF42,1)</f>
        <v/>
      </c>
      <c r="AJU42">
        <f>IF('calcA'!DS$106=1,HR42+AEG42,1)</f>
        <v/>
      </c>
      <c r="AJV42">
        <f>IF('calcA'!DT$106=1,HS42+AEH42,1)</f>
        <v/>
      </c>
      <c r="AJW42">
        <f>IF('calcA'!DU$106=1,HT42+AEI42,1)</f>
        <v/>
      </c>
      <c r="AJX42">
        <f>IF('calcA'!DV$106=1,HU42+AEJ42,1)</f>
        <v/>
      </c>
      <c r="AJY42">
        <f>IF('calcA'!DW$106=1,HV42+AEK42,1)</f>
        <v/>
      </c>
      <c r="AJZ42">
        <f>IF('calcA'!DX$106=1,HW42+AEL42,1)</f>
        <v/>
      </c>
      <c r="AKA42">
        <f>IF('calcA'!DY$106=1,HX42+AEM42,1)</f>
        <v/>
      </c>
      <c r="AKB42">
        <f>IF('calcA'!DZ$106=1,HY42+AEN42,1)</f>
        <v/>
      </c>
      <c r="AKC42">
        <f>IF('calcA'!EA$106=1,HZ42+AEO42,1)</f>
        <v/>
      </c>
      <c r="AKD42">
        <f>IF('calcA'!EB$106=1,IA42+AEP42,1)</f>
        <v/>
      </c>
      <c r="AKE42">
        <f>IF('calcA'!EC$106=1,IB42+AEQ42,1)</f>
        <v/>
      </c>
      <c r="AKF42">
        <f>IF('calcA'!ED$106=1,IC42+AER42,1)</f>
        <v/>
      </c>
      <c r="AKG42">
        <f>IF('calcA'!EE$106=1,ID42+AES42,1)</f>
        <v/>
      </c>
      <c r="AKH42">
        <f>IF('calcA'!EF$106=1,IE42+AET42,1)</f>
        <v/>
      </c>
      <c r="AKI42">
        <f>IF('calcA'!EG$106=1,IF42+AEU42,1)</f>
        <v/>
      </c>
      <c r="AKJ42">
        <f>IF('calcA'!EH$106=1,IG42+AEV42,1)</f>
        <v/>
      </c>
      <c r="AKK42">
        <f>IF('calcA'!EI$106=1,IH42+AEW42,1)</f>
        <v/>
      </c>
      <c r="AKL42">
        <f>IF('calcA'!EJ$106=1,II42+AEX42,1)</f>
        <v/>
      </c>
      <c r="AKM42">
        <f>IF('calcA'!EK$106=1,IJ42+AEY42,1)</f>
        <v/>
      </c>
      <c r="AKN42">
        <f>IF('calcA'!EL$106=1,IK42+AEZ42,1)</f>
        <v/>
      </c>
      <c r="AKO42">
        <f>IF('calcA'!EM$106=1,IL42+AFA42,1)</f>
        <v/>
      </c>
      <c r="AKP42">
        <f>IF('calcA'!EN$106=1,IM42+AFB42,1)</f>
        <v/>
      </c>
      <c r="AKQ42">
        <f>IF('calcA'!EO$106=1,IN42+AFC42,1)</f>
        <v/>
      </c>
      <c r="AKR42">
        <f>IF('calcA'!EP$106=1,IO42+AFD42,1)</f>
        <v/>
      </c>
      <c r="AKS42"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KS42"/>
  <sheetViews>
    <sheetView showGridLines="0" workbookViewId="0">
      <selection activeCell="A1" sqref="A1"/>
    </sheetView>
  </sheetViews>
  <sheetFormatPr baseColWidth="8" defaultRowHeight="15"/>
  <sheetData>
    <row r="1">
      <c r="A1" s="95" t="inlineStr">
        <is>
          <t>計算用（さわらないでください）</t>
        </is>
      </c>
      <c r="X1" t="inlineStr">
        <is>
          <t>済</t>
        </is>
      </c>
      <c r="BM1" t="inlineStr">
        <is>
          <t>点数（入れられる枠の数）</t>
        </is>
      </c>
      <c r="DB1" t="inlineStr">
        <is>
          <t>空き</t>
        </is>
      </c>
      <c r="IQ1" t="inlineStr">
        <is>
          <t>次の枠が空いている</t>
        </is>
      </c>
      <c r="OF1" t="inlineStr">
        <is>
          <t>枠の点数</t>
        </is>
      </c>
      <c r="TU1" t="inlineStr">
        <is>
          <t>日ごとの人数</t>
        </is>
      </c>
    </row>
    <row r="2">
      <c r="A2" t="inlineStr">
        <is>
          <t>k</t>
        </is>
      </c>
      <c r="B2" t="inlineStr">
        <is>
          <t>児童</t>
        </is>
      </c>
      <c r="C2" t="inlineStr">
        <is>
          <t>枠</t>
        </is>
      </c>
      <c r="D2" t="inlineStr">
        <is>
          <t>空けたい枠</t>
        </is>
      </c>
      <c r="E2" t="inlineStr">
        <is>
          <t>後ろ空け</t>
        </is>
      </c>
      <c r="F2" t="inlineStr">
        <is>
          <t>希望</t>
        </is>
      </c>
      <c r="G2" t="inlineStr">
        <is>
          <t>空けた枠</t>
        </is>
      </c>
      <c r="H2" t="inlineStr">
        <is>
          <t>兄弟あり</t>
        </is>
      </c>
      <c r="I2" t="inlineStr">
        <is>
          <t>兄弟①枠</t>
        </is>
      </c>
      <c r="J2" t="inlineStr">
        <is>
          <t>兄弟②枠</t>
        </is>
      </c>
      <c r="K2" t="inlineStr">
        <is>
          <t>兄弟③枠</t>
        </is>
      </c>
      <c r="L2" t="inlineStr">
        <is>
          <t>①順番</t>
        </is>
      </c>
      <c r="M2" t="inlineStr">
        <is>
          <t>②順番</t>
        </is>
      </c>
      <c r="N2" t="inlineStr">
        <is>
          <t>③順番</t>
        </is>
      </c>
      <c r="O2" t="inlineStr">
        <is>
          <t>①日</t>
        </is>
      </c>
      <c r="P2" t="inlineStr">
        <is>
          <t>②日</t>
        </is>
      </c>
      <c r="Q2" t="inlineStr">
        <is>
          <t>③日</t>
        </is>
      </c>
      <c r="R2" t="inlineStr">
        <is>
          <t>①時</t>
        </is>
      </c>
      <c r="S2" t="inlineStr">
        <is>
          <t>②時</t>
        </is>
      </c>
      <c r="T2" t="inlineStr">
        <is>
          <t>③時</t>
        </is>
      </c>
      <c r="U2" t="inlineStr">
        <is>
          <t>空けない</t>
        </is>
      </c>
      <c r="V2" t="inlineStr">
        <is>
          <t>兄弟の時間あり</t>
        </is>
      </c>
      <c r="X2" t="n">
        <v>1</v>
      </c>
      <c r="Y2" t="n">
        <v>2</v>
      </c>
      <c r="Z2" t="n">
        <v>3</v>
      </c>
      <c r="AA2" t="n">
        <v>4</v>
      </c>
      <c r="AB2" t="n">
        <v>5</v>
      </c>
      <c r="AC2" t="n">
        <v>6</v>
      </c>
      <c r="AD2" t="n">
        <v>7</v>
      </c>
      <c r="AE2" t="n">
        <v>8</v>
      </c>
      <c r="AF2" t="n">
        <v>9</v>
      </c>
      <c r="AG2" t="n">
        <v>10</v>
      </c>
      <c r="AH2" t="n">
        <v>11</v>
      </c>
      <c r="AI2" t="n">
        <v>12</v>
      </c>
      <c r="AJ2" t="n">
        <v>13</v>
      </c>
      <c r="AK2" t="n">
        <v>14</v>
      </c>
      <c r="AL2" t="n">
        <v>15</v>
      </c>
      <c r="AM2" t="n">
        <v>16</v>
      </c>
      <c r="AN2" t="n">
        <v>17</v>
      </c>
      <c r="AO2" t="n">
        <v>18</v>
      </c>
      <c r="AP2" t="n">
        <v>19</v>
      </c>
      <c r="AQ2" t="n">
        <v>20</v>
      </c>
      <c r="AR2" t="n">
        <v>21</v>
      </c>
      <c r="AS2" t="n">
        <v>22</v>
      </c>
      <c r="AT2" t="n">
        <v>23</v>
      </c>
      <c r="AU2" t="n">
        <v>24</v>
      </c>
      <c r="AV2" t="n">
        <v>25</v>
      </c>
      <c r="AW2" t="n">
        <v>26</v>
      </c>
      <c r="AX2" t="n">
        <v>27</v>
      </c>
      <c r="AY2" t="n">
        <v>28</v>
      </c>
      <c r="AZ2" t="n">
        <v>29</v>
      </c>
      <c r="BA2" t="n">
        <v>30</v>
      </c>
      <c r="BB2" t="n">
        <v>31</v>
      </c>
      <c r="BC2" t="n">
        <v>32</v>
      </c>
      <c r="BD2" t="n">
        <v>33</v>
      </c>
      <c r="BE2" t="n">
        <v>34</v>
      </c>
      <c r="BF2" t="n">
        <v>35</v>
      </c>
      <c r="BG2" t="n">
        <v>36</v>
      </c>
      <c r="BH2" t="n">
        <v>37</v>
      </c>
      <c r="BI2" t="n">
        <v>38</v>
      </c>
      <c r="BJ2" t="n">
        <v>39</v>
      </c>
      <c r="BK2" t="n">
        <v>40</v>
      </c>
      <c r="BM2" t="n">
        <v>1</v>
      </c>
      <c r="BN2" t="n">
        <v>2</v>
      </c>
      <c r="BO2" t="n">
        <v>3</v>
      </c>
      <c r="BP2" t="n">
        <v>4</v>
      </c>
      <c r="BQ2" t="n">
        <v>5</v>
      </c>
      <c r="BR2" t="n">
        <v>6</v>
      </c>
      <c r="BS2" t="n">
        <v>7</v>
      </c>
      <c r="BT2" t="n">
        <v>8</v>
      </c>
      <c r="BU2" t="n">
        <v>9</v>
      </c>
      <c r="BV2" t="n">
        <v>10</v>
      </c>
      <c r="BW2" t="n">
        <v>11</v>
      </c>
      <c r="BX2" t="n">
        <v>12</v>
      </c>
      <c r="BY2" t="n">
        <v>13</v>
      </c>
      <c r="BZ2" t="n">
        <v>14</v>
      </c>
      <c r="CA2" t="n">
        <v>15</v>
      </c>
      <c r="CB2" t="n">
        <v>16</v>
      </c>
      <c r="CC2" t="n">
        <v>17</v>
      </c>
      <c r="CD2" t="n">
        <v>18</v>
      </c>
      <c r="CE2" t="n">
        <v>19</v>
      </c>
      <c r="CF2" t="n">
        <v>20</v>
      </c>
      <c r="CG2" t="n">
        <v>21</v>
      </c>
      <c r="CH2" t="n">
        <v>22</v>
      </c>
      <c r="CI2" t="n">
        <v>23</v>
      </c>
      <c r="CJ2" t="n">
        <v>24</v>
      </c>
      <c r="CK2" t="n">
        <v>25</v>
      </c>
      <c r="CL2" t="n">
        <v>26</v>
      </c>
      <c r="CM2" t="n">
        <v>27</v>
      </c>
      <c r="CN2" t="n">
        <v>28</v>
      </c>
      <c r="CO2" t="n">
        <v>29</v>
      </c>
      <c r="CP2" t="n">
        <v>30</v>
      </c>
      <c r="CQ2" t="n">
        <v>31</v>
      </c>
      <c r="CR2" t="n">
        <v>32</v>
      </c>
      <c r="CS2" t="n">
        <v>33</v>
      </c>
      <c r="CT2" t="n">
        <v>34</v>
      </c>
      <c r="CU2" t="n">
        <v>35</v>
      </c>
      <c r="CV2" t="n">
        <v>36</v>
      </c>
      <c r="CW2" t="n">
        <v>37</v>
      </c>
      <c r="CX2" t="n">
        <v>38</v>
      </c>
      <c r="CY2" t="n">
        <v>39</v>
      </c>
      <c r="CZ2" t="n">
        <v>40</v>
      </c>
      <c r="DB2" t="n">
        <v>1</v>
      </c>
      <c r="DC2" t="n">
        <v>2</v>
      </c>
      <c r="DD2" t="n">
        <v>3</v>
      </c>
      <c r="DE2" t="n">
        <v>4</v>
      </c>
      <c r="DF2" t="n">
        <v>5</v>
      </c>
      <c r="DG2" t="n">
        <v>6</v>
      </c>
      <c r="DH2" t="n">
        <v>7</v>
      </c>
      <c r="DI2" t="n">
        <v>8</v>
      </c>
      <c r="DJ2" t="n">
        <v>9</v>
      </c>
      <c r="DK2" t="n">
        <v>10</v>
      </c>
      <c r="DL2" t="n">
        <v>11</v>
      </c>
      <c r="DM2" t="n">
        <v>12</v>
      </c>
      <c r="DN2" t="n">
        <v>13</v>
      </c>
      <c r="DO2" t="n">
        <v>14</v>
      </c>
      <c r="DP2" t="n">
        <v>15</v>
      </c>
      <c r="DQ2" t="n">
        <v>16</v>
      </c>
      <c r="DR2" t="n">
        <v>17</v>
      </c>
      <c r="DS2" t="n">
        <v>18</v>
      </c>
      <c r="DT2" t="n">
        <v>19</v>
      </c>
      <c r="DU2" t="n">
        <v>20</v>
      </c>
      <c r="DV2" t="n">
        <v>21</v>
      </c>
      <c r="DW2" t="n">
        <v>22</v>
      </c>
      <c r="DX2" t="n">
        <v>23</v>
      </c>
      <c r="DY2" t="n">
        <v>24</v>
      </c>
      <c r="DZ2" t="n">
        <v>25</v>
      </c>
      <c r="EA2" t="n">
        <v>26</v>
      </c>
      <c r="EB2" t="n">
        <v>27</v>
      </c>
      <c r="EC2" t="n">
        <v>28</v>
      </c>
      <c r="ED2" t="n">
        <v>29</v>
      </c>
      <c r="EE2" t="n">
        <v>30</v>
      </c>
      <c r="EF2" t="n">
        <v>31</v>
      </c>
      <c r="EG2" t="n">
        <v>32</v>
      </c>
      <c r="EH2" t="n">
        <v>33</v>
      </c>
      <c r="EI2" t="n">
        <v>34</v>
      </c>
      <c r="EJ2" t="n">
        <v>35</v>
      </c>
      <c r="EK2" t="n">
        <v>36</v>
      </c>
      <c r="EL2" t="n">
        <v>37</v>
      </c>
      <c r="EM2" t="n">
        <v>38</v>
      </c>
      <c r="EN2" t="n">
        <v>39</v>
      </c>
      <c r="EO2" t="n">
        <v>40</v>
      </c>
      <c r="EP2" t="n">
        <v>41</v>
      </c>
      <c r="EQ2" t="n">
        <v>42</v>
      </c>
      <c r="ER2" t="n">
        <v>43</v>
      </c>
      <c r="ES2" t="n">
        <v>44</v>
      </c>
      <c r="ET2" t="n">
        <v>45</v>
      </c>
      <c r="EU2" t="n">
        <v>46</v>
      </c>
      <c r="EV2" t="n">
        <v>47</v>
      </c>
      <c r="EW2" t="n">
        <v>48</v>
      </c>
      <c r="EX2" t="n">
        <v>49</v>
      </c>
      <c r="EY2" t="n">
        <v>50</v>
      </c>
      <c r="EZ2" t="n">
        <v>51</v>
      </c>
      <c r="FA2" t="n">
        <v>52</v>
      </c>
      <c r="FB2" t="n">
        <v>53</v>
      </c>
      <c r="FC2" t="n">
        <v>54</v>
      </c>
      <c r="FD2" t="n">
        <v>55</v>
      </c>
      <c r="FE2" t="n">
        <v>56</v>
      </c>
      <c r="FF2" t="n">
        <v>57</v>
      </c>
      <c r="FG2" t="n">
        <v>58</v>
      </c>
      <c r="FH2" t="n">
        <v>59</v>
      </c>
      <c r="FI2" t="n">
        <v>60</v>
      </c>
      <c r="FJ2" t="n">
        <v>61</v>
      </c>
      <c r="FK2" t="n">
        <v>62</v>
      </c>
      <c r="FL2" t="n">
        <v>63</v>
      </c>
      <c r="FM2" t="n">
        <v>64</v>
      </c>
      <c r="FN2" t="n">
        <v>65</v>
      </c>
      <c r="FO2" t="n">
        <v>66</v>
      </c>
      <c r="FP2" t="n">
        <v>67</v>
      </c>
      <c r="FQ2" t="n">
        <v>68</v>
      </c>
      <c r="FR2" t="n">
        <v>69</v>
      </c>
      <c r="FS2" t="n">
        <v>70</v>
      </c>
      <c r="FT2" t="n">
        <v>71</v>
      </c>
      <c r="FU2" t="n">
        <v>72</v>
      </c>
      <c r="FV2" t="n">
        <v>73</v>
      </c>
      <c r="FW2" t="n">
        <v>74</v>
      </c>
      <c r="FX2" t="n">
        <v>75</v>
      </c>
      <c r="FY2" t="n">
        <v>76</v>
      </c>
      <c r="FZ2" t="n">
        <v>77</v>
      </c>
      <c r="GA2" t="n">
        <v>78</v>
      </c>
      <c r="GB2" t="n">
        <v>79</v>
      </c>
      <c r="GC2" t="n">
        <v>80</v>
      </c>
      <c r="GD2" t="n">
        <v>81</v>
      </c>
      <c r="GE2" t="n">
        <v>82</v>
      </c>
      <c r="GF2" t="n">
        <v>83</v>
      </c>
      <c r="GG2" t="n">
        <v>84</v>
      </c>
      <c r="GH2" t="n">
        <v>85</v>
      </c>
      <c r="GI2" t="n">
        <v>86</v>
      </c>
      <c r="GJ2" t="n">
        <v>87</v>
      </c>
      <c r="GK2" t="n">
        <v>88</v>
      </c>
      <c r="GL2" t="n">
        <v>89</v>
      </c>
      <c r="GM2" t="n">
        <v>90</v>
      </c>
      <c r="GN2" t="n">
        <v>91</v>
      </c>
      <c r="GO2" t="n">
        <v>92</v>
      </c>
      <c r="GP2" t="n">
        <v>93</v>
      </c>
      <c r="GQ2" t="n">
        <v>94</v>
      </c>
      <c r="GR2" t="n">
        <v>95</v>
      </c>
      <c r="GS2" t="n">
        <v>96</v>
      </c>
      <c r="GT2" t="n">
        <v>97</v>
      </c>
      <c r="GU2" t="n">
        <v>98</v>
      </c>
      <c r="GV2" t="n">
        <v>99</v>
      </c>
      <c r="GW2" t="n">
        <v>100</v>
      </c>
      <c r="GX2" t="n">
        <v>101</v>
      </c>
      <c r="GY2" t="n">
        <v>102</v>
      </c>
      <c r="GZ2" t="n">
        <v>103</v>
      </c>
      <c r="HA2" t="n">
        <v>104</v>
      </c>
      <c r="HB2" t="n">
        <v>105</v>
      </c>
      <c r="HC2" t="n">
        <v>106</v>
      </c>
      <c r="HD2" t="n">
        <v>107</v>
      </c>
      <c r="HE2" t="n">
        <v>108</v>
      </c>
      <c r="HF2" t="n">
        <v>109</v>
      </c>
      <c r="HG2" t="n">
        <v>110</v>
      </c>
      <c r="HH2" t="n">
        <v>111</v>
      </c>
      <c r="HI2" t="n">
        <v>112</v>
      </c>
      <c r="HJ2" t="n">
        <v>113</v>
      </c>
      <c r="HK2" t="n">
        <v>114</v>
      </c>
      <c r="HL2" t="n">
        <v>115</v>
      </c>
      <c r="HM2" t="n">
        <v>116</v>
      </c>
      <c r="HN2" t="n">
        <v>117</v>
      </c>
      <c r="HO2" t="n">
        <v>118</v>
      </c>
      <c r="HP2" t="n">
        <v>119</v>
      </c>
      <c r="HQ2" t="n">
        <v>120</v>
      </c>
      <c r="HR2" t="n">
        <v>121</v>
      </c>
      <c r="HS2" t="n">
        <v>122</v>
      </c>
      <c r="HT2" t="n">
        <v>123</v>
      </c>
      <c r="HU2" t="n">
        <v>124</v>
      </c>
      <c r="HV2" t="n">
        <v>125</v>
      </c>
      <c r="HW2" t="n">
        <v>126</v>
      </c>
      <c r="HX2" t="n">
        <v>127</v>
      </c>
      <c r="HY2" t="n">
        <v>128</v>
      </c>
      <c r="HZ2" t="n">
        <v>129</v>
      </c>
      <c r="IA2" t="n">
        <v>130</v>
      </c>
      <c r="IB2" t="n">
        <v>131</v>
      </c>
      <c r="IC2" t="n">
        <v>132</v>
      </c>
      <c r="ID2" t="n">
        <v>133</v>
      </c>
      <c r="IE2" t="n">
        <v>134</v>
      </c>
      <c r="IF2" t="n">
        <v>135</v>
      </c>
      <c r="IG2" t="n">
        <v>136</v>
      </c>
      <c r="IH2" t="n">
        <v>137</v>
      </c>
      <c r="II2" t="n">
        <v>138</v>
      </c>
      <c r="IJ2" t="n">
        <v>139</v>
      </c>
      <c r="IK2" t="n">
        <v>140</v>
      </c>
      <c r="IL2" t="n">
        <v>141</v>
      </c>
      <c r="IM2" t="n">
        <v>142</v>
      </c>
      <c r="IN2" t="n">
        <v>143</v>
      </c>
      <c r="IO2" t="n">
        <v>144</v>
      </c>
      <c r="IQ2" t="n">
        <v>1</v>
      </c>
      <c r="IR2" t="n">
        <v>2</v>
      </c>
      <c r="IS2" t="n">
        <v>3</v>
      </c>
      <c r="IT2" t="n">
        <v>4</v>
      </c>
      <c r="IU2" t="n">
        <v>5</v>
      </c>
      <c r="IV2" t="n">
        <v>6</v>
      </c>
      <c r="IW2" t="n">
        <v>7</v>
      </c>
      <c r="IX2" t="n">
        <v>8</v>
      </c>
      <c r="IY2" t="n">
        <v>9</v>
      </c>
      <c r="IZ2" t="n">
        <v>10</v>
      </c>
      <c r="JA2" t="n">
        <v>11</v>
      </c>
      <c r="JB2" t="n">
        <v>12</v>
      </c>
      <c r="JC2" t="n">
        <v>13</v>
      </c>
      <c r="JD2" t="n">
        <v>14</v>
      </c>
      <c r="JE2" t="n">
        <v>15</v>
      </c>
      <c r="JF2" t="n">
        <v>16</v>
      </c>
      <c r="JG2" t="n">
        <v>17</v>
      </c>
      <c r="JH2" t="n">
        <v>18</v>
      </c>
      <c r="JI2" t="n">
        <v>19</v>
      </c>
      <c r="JJ2" t="n">
        <v>20</v>
      </c>
      <c r="JK2" t="n">
        <v>21</v>
      </c>
      <c r="JL2" t="n">
        <v>22</v>
      </c>
      <c r="JM2" t="n">
        <v>23</v>
      </c>
      <c r="JN2" t="n">
        <v>24</v>
      </c>
      <c r="JO2" t="n">
        <v>25</v>
      </c>
      <c r="JP2" t="n">
        <v>26</v>
      </c>
      <c r="JQ2" t="n">
        <v>27</v>
      </c>
      <c r="JR2" t="n">
        <v>28</v>
      </c>
      <c r="JS2" t="n">
        <v>29</v>
      </c>
      <c r="JT2" t="n">
        <v>30</v>
      </c>
      <c r="JU2" t="n">
        <v>31</v>
      </c>
      <c r="JV2" t="n">
        <v>32</v>
      </c>
      <c r="JW2" t="n">
        <v>33</v>
      </c>
      <c r="JX2" t="n">
        <v>34</v>
      </c>
      <c r="JY2" t="n">
        <v>35</v>
      </c>
      <c r="JZ2" t="n">
        <v>36</v>
      </c>
      <c r="KA2" t="n">
        <v>37</v>
      </c>
      <c r="KB2" t="n">
        <v>38</v>
      </c>
      <c r="KC2" t="n">
        <v>39</v>
      </c>
      <c r="KD2" t="n">
        <v>40</v>
      </c>
      <c r="KE2" t="n">
        <v>41</v>
      </c>
      <c r="KF2" t="n">
        <v>42</v>
      </c>
      <c r="KG2" t="n">
        <v>43</v>
      </c>
      <c r="KH2" t="n">
        <v>44</v>
      </c>
      <c r="KI2" t="n">
        <v>45</v>
      </c>
      <c r="KJ2" t="n">
        <v>46</v>
      </c>
      <c r="KK2" t="n">
        <v>47</v>
      </c>
      <c r="KL2" t="n">
        <v>48</v>
      </c>
      <c r="KM2" t="n">
        <v>49</v>
      </c>
      <c r="KN2" t="n">
        <v>50</v>
      </c>
      <c r="KO2" t="n">
        <v>51</v>
      </c>
      <c r="KP2" t="n">
        <v>52</v>
      </c>
      <c r="KQ2" t="n">
        <v>53</v>
      </c>
      <c r="KR2" t="n">
        <v>54</v>
      </c>
      <c r="KS2" t="n">
        <v>55</v>
      </c>
      <c r="KT2" t="n">
        <v>56</v>
      </c>
      <c r="KU2" t="n">
        <v>57</v>
      </c>
      <c r="KV2" t="n">
        <v>58</v>
      </c>
      <c r="KW2" t="n">
        <v>59</v>
      </c>
      <c r="KX2" t="n">
        <v>60</v>
      </c>
      <c r="KY2" t="n">
        <v>61</v>
      </c>
      <c r="KZ2" t="n">
        <v>62</v>
      </c>
      <c r="LA2" t="n">
        <v>63</v>
      </c>
      <c r="LB2" t="n">
        <v>64</v>
      </c>
      <c r="LC2" t="n">
        <v>65</v>
      </c>
      <c r="LD2" t="n">
        <v>66</v>
      </c>
      <c r="LE2" t="n">
        <v>67</v>
      </c>
      <c r="LF2" t="n">
        <v>68</v>
      </c>
      <c r="LG2" t="n">
        <v>69</v>
      </c>
      <c r="LH2" t="n">
        <v>70</v>
      </c>
      <c r="LI2" t="n">
        <v>71</v>
      </c>
      <c r="LJ2" t="n">
        <v>72</v>
      </c>
      <c r="LK2" t="n">
        <v>73</v>
      </c>
      <c r="LL2" t="n">
        <v>74</v>
      </c>
      <c r="LM2" t="n">
        <v>75</v>
      </c>
      <c r="LN2" t="n">
        <v>76</v>
      </c>
      <c r="LO2" t="n">
        <v>77</v>
      </c>
      <c r="LP2" t="n">
        <v>78</v>
      </c>
      <c r="LQ2" t="n">
        <v>79</v>
      </c>
      <c r="LR2" t="n">
        <v>80</v>
      </c>
      <c r="LS2" t="n">
        <v>81</v>
      </c>
      <c r="LT2" t="n">
        <v>82</v>
      </c>
      <c r="LU2" t="n">
        <v>83</v>
      </c>
      <c r="LV2" t="n">
        <v>84</v>
      </c>
      <c r="LW2" t="n">
        <v>85</v>
      </c>
      <c r="LX2" t="n">
        <v>86</v>
      </c>
      <c r="LY2" t="n">
        <v>87</v>
      </c>
      <c r="LZ2" t="n">
        <v>88</v>
      </c>
      <c r="MA2" t="n">
        <v>89</v>
      </c>
      <c r="MB2" t="n">
        <v>90</v>
      </c>
      <c r="MC2" t="n">
        <v>91</v>
      </c>
      <c r="MD2" t="n">
        <v>92</v>
      </c>
      <c r="ME2" t="n">
        <v>93</v>
      </c>
      <c r="MF2" t="n">
        <v>94</v>
      </c>
      <c r="MG2" t="n">
        <v>95</v>
      </c>
      <c r="MH2" t="n">
        <v>96</v>
      </c>
      <c r="MI2" t="n">
        <v>97</v>
      </c>
      <c r="MJ2" t="n">
        <v>98</v>
      </c>
      <c r="MK2" t="n">
        <v>99</v>
      </c>
      <c r="ML2" t="n">
        <v>100</v>
      </c>
      <c r="MM2" t="n">
        <v>101</v>
      </c>
      <c r="MN2" t="n">
        <v>102</v>
      </c>
      <c r="MO2" t="n">
        <v>103</v>
      </c>
      <c r="MP2" t="n">
        <v>104</v>
      </c>
      <c r="MQ2" t="n">
        <v>105</v>
      </c>
      <c r="MR2" t="n">
        <v>106</v>
      </c>
      <c r="MS2" t="n">
        <v>107</v>
      </c>
      <c r="MT2" t="n">
        <v>108</v>
      </c>
      <c r="MU2" t="n">
        <v>109</v>
      </c>
      <c r="MV2" t="n">
        <v>110</v>
      </c>
      <c r="MW2" t="n">
        <v>111</v>
      </c>
      <c r="MX2" t="n">
        <v>112</v>
      </c>
      <c r="MY2" t="n">
        <v>113</v>
      </c>
      <c r="MZ2" t="n">
        <v>114</v>
      </c>
      <c r="NA2" t="n">
        <v>115</v>
      </c>
      <c r="NB2" t="n">
        <v>116</v>
      </c>
      <c r="NC2" t="n">
        <v>117</v>
      </c>
      <c r="ND2" t="n">
        <v>118</v>
      </c>
      <c r="NE2" t="n">
        <v>119</v>
      </c>
      <c r="NF2" t="n">
        <v>120</v>
      </c>
      <c r="NG2" t="n">
        <v>121</v>
      </c>
      <c r="NH2" t="n">
        <v>122</v>
      </c>
      <c r="NI2" t="n">
        <v>123</v>
      </c>
      <c r="NJ2" t="n">
        <v>124</v>
      </c>
      <c r="NK2" t="n">
        <v>125</v>
      </c>
      <c r="NL2" t="n">
        <v>126</v>
      </c>
      <c r="NM2" t="n">
        <v>127</v>
      </c>
      <c r="NN2" t="n">
        <v>128</v>
      </c>
      <c r="NO2" t="n">
        <v>129</v>
      </c>
      <c r="NP2" t="n">
        <v>130</v>
      </c>
      <c r="NQ2" t="n">
        <v>131</v>
      </c>
      <c r="NR2" t="n">
        <v>132</v>
      </c>
      <c r="NS2" t="n">
        <v>133</v>
      </c>
      <c r="NT2" t="n">
        <v>134</v>
      </c>
      <c r="NU2" t="n">
        <v>135</v>
      </c>
      <c r="NV2" t="n">
        <v>136</v>
      </c>
      <c r="NW2" t="n">
        <v>137</v>
      </c>
      <c r="NX2" t="n">
        <v>138</v>
      </c>
      <c r="NY2" t="n">
        <v>139</v>
      </c>
      <c r="NZ2" t="n">
        <v>140</v>
      </c>
      <c r="OA2" t="n">
        <v>141</v>
      </c>
      <c r="OB2" t="n">
        <v>142</v>
      </c>
      <c r="OC2" t="n">
        <v>143</v>
      </c>
      <c r="OD2" t="n">
        <v>144</v>
      </c>
      <c r="OF2" t="n">
        <v>1</v>
      </c>
      <c r="OG2" t="n">
        <v>2</v>
      </c>
      <c r="OH2" t="n">
        <v>3</v>
      </c>
      <c r="OI2" t="n">
        <v>4</v>
      </c>
      <c r="OJ2" t="n">
        <v>5</v>
      </c>
      <c r="OK2" t="n">
        <v>6</v>
      </c>
      <c r="OL2" t="n">
        <v>7</v>
      </c>
      <c r="OM2" t="n">
        <v>8</v>
      </c>
      <c r="ON2" t="n">
        <v>9</v>
      </c>
      <c r="OO2" t="n">
        <v>10</v>
      </c>
      <c r="OP2" t="n">
        <v>11</v>
      </c>
      <c r="OQ2" t="n">
        <v>12</v>
      </c>
      <c r="OR2" t="n">
        <v>13</v>
      </c>
      <c r="OS2" t="n">
        <v>14</v>
      </c>
      <c r="OT2" t="n">
        <v>15</v>
      </c>
      <c r="OU2" t="n">
        <v>16</v>
      </c>
      <c r="OV2" t="n">
        <v>17</v>
      </c>
      <c r="OW2" t="n">
        <v>18</v>
      </c>
      <c r="OX2" t="n">
        <v>19</v>
      </c>
      <c r="OY2" t="n">
        <v>20</v>
      </c>
      <c r="OZ2" t="n">
        <v>21</v>
      </c>
      <c r="PA2" t="n">
        <v>22</v>
      </c>
      <c r="PB2" t="n">
        <v>23</v>
      </c>
      <c r="PC2" t="n">
        <v>24</v>
      </c>
      <c r="PD2" t="n">
        <v>25</v>
      </c>
      <c r="PE2" t="n">
        <v>26</v>
      </c>
      <c r="PF2" t="n">
        <v>27</v>
      </c>
      <c r="PG2" t="n">
        <v>28</v>
      </c>
      <c r="PH2" t="n">
        <v>29</v>
      </c>
      <c r="PI2" t="n">
        <v>30</v>
      </c>
      <c r="PJ2" t="n">
        <v>31</v>
      </c>
      <c r="PK2" t="n">
        <v>32</v>
      </c>
      <c r="PL2" t="n">
        <v>33</v>
      </c>
      <c r="PM2" t="n">
        <v>34</v>
      </c>
      <c r="PN2" t="n">
        <v>35</v>
      </c>
      <c r="PO2" t="n">
        <v>36</v>
      </c>
      <c r="PP2" t="n">
        <v>37</v>
      </c>
      <c r="PQ2" t="n">
        <v>38</v>
      </c>
      <c r="PR2" t="n">
        <v>39</v>
      </c>
      <c r="PS2" t="n">
        <v>40</v>
      </c>
      <c r="PT2" t="n">
        <v>41</v>
      </c>
      <c r="PU2" t="n">
        <v>42</v>
      </c>
      <c r="PV2" t="n">
        <v>43</v>
      </c>
      <c r="PW2" t="n">
        <v>44</v>
      </c>
      <c r="PX2" t="n">
        <v>45</v>
      </c>
      <c r="PY2" t="n">
        <v>46</v>
      </c>
      <c r="PZ2" t="n">
        <v>47</v>
      </c>
      <c r="QA2" t="n">
        <v>48</v>
      </c>
      <c r="QB2" t="n">
        <v>49</v>
      </c>
      <c r="QC2" t="n">
        <v>50</v>
      </c>
      <c r="QD2" t="n">
        <v>51</v>
      </c>
      <c r="QE2" t="n">
        <v>52</v>
      </c>
      <c r="QF2" t="n">
        <v>53</v>
      </c>
      <c r="QG2" t="n">
        <v>54</v>
      </c>
      <c r="QH2" t="n">
        <v>55</v>
      </c>
      <c r="QI2" t="n">
        <v>56</v>
      </c>
      <c r="QJ2" t="n">
        <v>57</v>
      </c>
      <c r="QK2" t="n">
        <v>58</v>
      </c>
      <c r="QL2" t="n">
        <v>59</v>
      </c>
      <c r="QM2" t="n">
        <v>60</v>
      </c>
      <c r="QN2" t="n">
        <v>61</v>
      </c>
      <c r="QO2" t="n">
        <v>62</v>
      </c>
      <c r="QP2" t="n">
        <v>63</v>
      </c>
      <c r="QQ2" t="n">
        <v>64</v>
      </c>
      <c r="QR2" t="n">
        <v>65</v>
      </c>
      <c r="QS2" t="n">
        <v>66</v>
      </c>
      <c r="QT2" t="n">
        <v>67</v>
      </c>
      <c r="QU2" t="n">
        <v>68</v>
      </c>
      <c r="QV2" t="n">
        <v>69</v>
      </c>
      <c r="QW2" t="n">
        <v>70</v>
      </c>
      <c r="QX2" t="n">
        <v>71</v>
      </c>
      <c r="QY2" t="n">
        <v>72</v>
      </c>
      <c r="QZ2" t="n">
        <v>73</v>
      </c>
      <c r="RA2" t="n">
        <v>74</v>
      </c>
      <c r="RB2" t="n">
        <v>75</v>
      </c>
      <c r="RC2" t="n">
        <v>76</v>
      </c>
      <c r="RD2" t="n">
        <v>77</v>
      </c>
      <c r="RE2" t="n">
        <v>78</v>
      </c>
      <c r="RF2" t="n">
        <v>79</v>
      </c>
      <c r="RG2" t="n">
        <v>80</v>
      </c>
      <c r="RH2" t="n">
        <v>81</v>
      </c>
      <c r="RI2" t="n">
        <v>82</v>
      </c>
      <c r="RJ2" t="n">
        <v>83</v>
      </c>
      <c r="RK2" t="n">
        <v>84</v>
      </c>
      <c r="RL2" t="n">
        <v>85</v>
      </c>
      <c r="RM2" t="n">
        <v>86</v>
      </c>
      <c r="RN2" t="n">
        <v>87</v>
      </c>
      <c r="RO2" t="n">
        <v>88</v>
      </c>
      <c r="RP2" t="n">
        <v>89</v>
      </c>
      <c r="RQ2" t="n">
        <v>90</v>
      </c>
      <c r="RR2" t="n">
        <v>91</v>
      </c>
      <c r="RS2" t="n">
        <v>92</v>
      </c>
      <c r="RT2" t="n">
        <v>93</v>
      </c>
      <c r="RU2" t="n">
        <v>94</v>
      </c>
      <c r="RV2" t="n">
        <v>95</v>
      </c>
      <c r="RW2" t="n">
        <v>96</v>
      </c>
      <c r="RX2" t="n">
        <v>97</v>
      </c>
      <c r="RY2" t="n">
        <v>98</v>
      </c>
      <c r="RZ2" t="n">
        <v>99</v>
      </c>
      <c r="SA2" t="n">
        <v>100</v>
      </c>
      <c r="SB2" t="n">
        <v>101</v>
      </c>
      <c r="SC2" t="n">
        <v>102</v>
      </c>
      <c r="SD2" t="n">
        <v>103</v>
      </c>
      <c r="SE2" t="n">
        <v>104</v>
      </c>
      <c r="SF2" t="n">
        <v>105</v>
      </c>
      <c r="SG2" t="n">
        <v>106</v>
      </c>
      <c r="SH2" t="n">
        <v>107</v>
      </c>
      <c r="SI2" t="n">
        <v>108</v>
      </c>
      <c r="SJ2" t="n">
        <v>109</v>
      </c>
      <c r="SK2" t="n">
        <v>110</v>
      </c>
      <c r="SL2" t="n">
        <v>111</v>
      </c>
      <c r="SM2" t="n">
        <v>112</v>
      </c>
      <c r="SN2" t="n">
        <v>113</v>
      </c>
      <c r="SO2" t="n">
        <v>114</v>
      </c>
      <c r="SP2" t="n">
        <v>115</v>
      </c>
      <c r="SQ2" t="n">
        <v>116</v>
      </c>
      <c r="SR2" t="n">
        <v>117</v>
      </c>
      <c r="SS2" t="n">
        <v>118</v>
      </c>
      <c r="ST2" t="n">
        <v>119</v>
      </c>
      <c r="SU2" t="n">
        <v>120</v>
      </c>
      <c r="SV2" t="n">
        <v>121</v>
      </c>
      <c r="SW2" t="n">
        <v>122</v>
      </c>
      <c r="SX2" t="n">
        <v>123</v>
      </c>
      <c r="SY2" t="n">
        <v>124</v>
      </c>
      <c r="SZ2" t="n">
        <v>125</v>
      </c>
      <c r="TA2" t="n">
        <v>126</v>
      </c>
      <c r="TB2" t="n">
        <v>127</v>
      </c>
      <c r="TC2" t="n">
        <v>128</v>
      </c>
      <c r="TD2" t="n">
        <v>129</v>
      </c>
      <c r="TE2" t="n">
        <v>130</v>
      </c>
      <c r="TF2" t="n">
        <v>131</v>
      </c>
      <c r="TG2" t="n">
        <v>132</v>
      </c>
      <c r="TH2" t="n">
        <v>133</v>
      </c>
      <c r="TI2" t="n">
        <v>134</v>
      </c>
      <c r="TJ2" t="n">
        <v>135</v>
      </c>
      <c r="TK2" t="n">
        <v>136</v>
      </c>
      <c r="TL2" t="n">
        <v>137</v>
      </c>
      <c r="TM2" t="n">
        <v>138</v>
      </c>
      <c r="TN2" t="n">
        <v>139</v>
      </c>
      <c r="TO2" t="n">
        <v>140</v>
      </c>
      <c r="TP2" t="n">
        <v>141</v>
      </c>
      <c r="TQ2" t="n">
        <v>142</v>
      </c>
      <c r="TR2" t="n">
        <v>143</v>
      </c>
      <c r="TS2" t="n">
        <v>144</v>
      </c>
      <c r="TU2" t="n">
        <v>1</v>
      </c>
      <c r="TV2" t="n">
        <v>2</v>
      </c>
      <c r="TW2" t="n">
        <v>3</v>
      </c>
      <c r="TX2" t="n">
        <v>4</v>
      </c>
      <c r="TY2" t="n">
        <v>5</v>
      </c>
      <c r="TZ2" t="n">
        <v>6</v>
      </c>
    </row>
    <row r="3">
      <c r="A3" t="n">
        <v>1</v>
      </c>
      <c r="B3">
        <f>IF(MIN(BM3:CZ3)&gt;=1000000000,0,MATCH(MIN(BM3:CZ3),BM3:CZ3,0))</f>
        <v/>
      </c>
      <c r="C3">
        <f>IF(MIN(OF3:TS3)&gt;=1000000000,0,MATCH(MIN(OF3:TS3),OF3:TS3,0))</f>
        <v/>
      </c>
      <c r="D3">
        <f>IF(C3&gt;0,INDEX('calcA'!$D$5:$EQ$5,C3),0)</f>
        <v/>
      </c>
      <c r="E3">
        <f>IF(B3=0,0,INDEX('calcA'!$IQ$10:$IQ$54,B3))</f>
        <v/>
      </c>
      <c r="F3">
        <f>IF(B3=0,0,INDEX('calcA'!$IP$10:$IP$54,B3))</f>
        <v/>
      </c>
      <c r="G3">
        <f>IF(AND(C3&gt;0,E3&gt;0),IF(AND(INDEX('calcA'!$D$106:$EQ$106,C3)=1,INDEX($IQ3:$OD3,C3)=1),C3+1,0),0)</f>
        <v/>
      </c>
      <c r="H3">
        <f>IF(B3=0,0,INDEX('calcA'!$IW$10:$IW$54,B3))</f>
        <v/>
      </c>
      <c r="U3">
        <f>IF(B3=0,0,INDEX('calcA'!$IX$10:$IX$54,B3))</f>
        <v/>
      </c>
      <c r="V3">
        <f>IF(B3=0,0,INDEX('calcA'!$JF$10:$JF$54,B3))</f>
        <v/>
      </c>
      <c r="W3">
        <f>IF(B3=0,0,IF(IF(E3=2,SUMPRODUCT(INDEX('calcA'!$D$60:$EQ$99,B3,0),$DB3:$IO3,$IQ3:$OD3),SUMPRODUCT(INDEX('calcA'!$D$60:$EQ$99,B3,0),$DB3:$IO3))=0,1,0))</f>
        <v/>
      </c>
      <c r="X3">
        <f>1-'calcA'!C10</f>
        <v/>
      </c>
      <c r="Y3">
        <f>1-'calcA'!C11</f>
        <v/>
      </c>
      <c r="Z3">
        <f>1-'calcA'!C12</f>
        <v/>
      </c>
      <c r="AA3">
        <f>1-'calcA'!C13</f>
        <v/>
      </c>
      <c r="AB3">
        <f>1-'calcA'!C14</f>
        <v/>
      </c>
      <c r="AC3">
        <f>1-'calcA'!C15</f>
        <v/>
      </c>
      <c r="AD3">
        <f>1-'calcA'!C16</f>
        <v/>
      </c>
      <c r="AE3">
        <f>1-'calcA'!C17</f>
        <v/>
      </c>
      <c r="AF3">
        <f>1-'calcA'!C18</f>
        <v/>
      </c>
      <c r="AG3">
        <f>1-'calcA'!C19</f>
        <v/>
      </c>
      <c r="AH3">
        <f>1-'calcA'!C20</f>
        <v/>
      </c>
      <c r="AI3">
        <f>1-'calcA'!C21</f>
        <v/>
      </c>
      <c r="AJ3">
        <f>1-'calcA'!C22</f>
        <v/>
      </c>
      <c r="AK3">
        <f>1-'calcA'!C23</f>
        <v/>
      </c>
      <c r="AL3">
        <f>1-'calcA'!C24</f>
        <v/>
      </c>
      <c r="AM3">
        <f>1-'calcA'!C25</f>
        <v/>
      </c>
      <c r="AN3">
        <f>1-'calcA'!C26</f>
        <v/>
      </c>
      <c r="AO3">
        <f>1-'calcA'!C27</f>
        <v/>
      </c>
      <c r="AP3">
        <f>1-'calcA'!C28</f>
        <v/>
      </c>
      <c r="AQ3">
        <f>1-'calcA'!C29</f>
        <v/>
      </c>
      <c r="AR3">
        <f>1-'calcA'!C30</f>
        <v/>
      </c>
      <c r="AS3">
        <f>1-'calcA'!C31</f>
        <v/>
      </c>
      <c r="AT3">
        <f>1-'calcA'!C32</f>
        <v/>
      </c>
      <c r="AU3">
        <f>1-'calcA'!C33</f>
        <v/>
      </c>
      <c r="AV3">
        <f>1-'calcA'!C34</f>
        <v/>
      </c>
      <c r="AW3">
        <f>1-'calcA'!C35</f>
        <v/>
      </c>
      <c r="AX3">
        <f>1-'calcA'!C36</f>
        <v/>
      </c>
      <c r="AY3">
        <f>1-'calcA'!C37</f>
        <v/>
      </c>
      <c r="AZ3">
        <f>1-'calcA'!C38</f>
        <v/>
      </c>
      <c r="BA3">
        <f>1-'calcA'!C39</f>
        <v/>
      </c>
      <c r="BB3">
        <f>1-'calcA'!C40</f>
        <v/>
      </c>
      <c r="BC3">
        <f>1-'calcA'!C41</f>
        <v/>
      </c>
      <c r="BD3">
        <f>1-'calcA'!C42</f>
        <v/>
      </c>
      <c r="BE3">
        <f>1-'calcA'!C43</f>
        <v/>
      </c>
      <c r="BF3">
        <f>1-'calcA'!C44</f>
        <v/>
      </c>
      <c r="BG3">
        <f>1-'calcA'!C45</f>
        <v/>
      </c>
      <c r="BH3">
        <f>1-'calcA'!C46</f>
        <v/>
      </c>
      <c r="BI3">
        <f>1-'calcA'!C47</f>
        <v/>
      </c>
      <c r="BJ3">
        <f>1-'calcA'!C48</f>
        <v/>
      </c>
      <c r="BK3">
        <f>1-'calcA'!C49</f>
        <v/>
      </c>
      <c r="BM3">
        <f>IF(OR(X3=1,calcA!$A$6=0),1000000000,IF('calcA'!$JF$10=1,0,100000000)+IF('calcA'!$IQ$10=2,SUMPRODUCT('calcA'!$D$60:$EQ$60,$DB3:$IO3,$IQ3:$OD3)*1000+SUMPRODUCT('calcA'!$D$60:$EQ$60,$DB3:$IO3+$ZQ3:$AFD3,$AFF3:$AKS3),SUMPRODUCT('calcA'!$D$60:$EQ$60,$DB3:$IO3*1001+$ZQ3:$AFD3))*100+1)</f>
        <v/>
      </c>
      <c r="BN3">
        <f>IF(OR(Y3=1,calcA!$A$6=0),1000000000,IF('calcA'!$JF$11=1,0,100000000)+IF('calcA'!$IQ$11=2,SUMPRODUCT('calcA'!$D$61:$EQ$61,$DB3:$IO3,$IQ3:$OD3)*1000+SUMPRODUCT('calcA'!$D$61:$EQ$61,$DB3:$IO3+$ZQ3:$AFD3,$AFF3:$AKS3),SUMPRODUCT('calcA'!$D$61:$EQ$61,$DB3:$IO3*1001+$ZQ3:$AFD3))*100+2)</f>
        <v/>
      </c>
      <c r="BO3">
        <f>IF(OR(Z3=1,calcA!$A$6=0),1000000000,IF('calcA'!$JF$12=1,0,100000000)+IF('calcA'!$IQ$12=2,SUMPRODUCT('calcA'!$D$62:$EQ$62,$DB3:$IO3,$IQ3:$OD3)*1000+SUMPRODUCT('calcA'!$D$62:$EQ$62,$DB3:$IO3+$ZQ3:$AFD3,$AFF3:$AKS3),SUMPRODUCT('calcA'!$D$62:$EQ$62,$DB3:$IO3*1001+$ZQ3:$AFD3))*100+3)</f>
        <v/>
      </c>
      <c r="BP3">
        <f>IF(OR(AA3=1,calcA!$A$6=0),1000000000,IF('calcA'!$JF$13=1,0,100000000)+IF('calcA'!$IQ$13=2,SUMPRODUCT('calcA'!$D$63:$EQ$63,$DB3:$IO3,$IQ3:$OD3)*1000+SUMPRODUCT('calcA'!$D$63:$EQ$63,$DB3:$IO3+$ZQ3:$AFD3,$AFF3:$AKS3),SUMPRODUCT('calcA'!$D$63:$EQ$63,$DB3:$IO3*1001+$ZQ3:$AFD3))*100+4)</f>
        <v/>
      </c>
      <c r="BQ3">
        <f>IF(OR(AB3=1,calcA!$A$6=0),1000000000,IF('calcA'!$JF$14=1,0,100000000)+IF('calcA'!$IQ$14=2,SUMPRODUCT('calcA'!$D$64:$EQ$64,$DB3:$IO3,$IQ3:$OD3)*1000+SUMPRODUCT('calcA'!$D$64:$EQ$64,$DB3:$IO3+$ZQ3:$AFD3,$AFF3:$AKS3),SUMPRODUCT('calcA'!$D$64:$EQ$64,$DB3:$IO3*1001+$ZQ3:$AFD3))*100+5)</f>
        <v/>
      </c>
      <c r="BR3">
        <f>IF(OR(AC3=1,calcA!$A$6=0),1000000000,IF('calcA'!$JF$15=1,0,100000000)+IF('calcA'!$IQ$15=2,SUMPRODUCT('calcA'!$D$65:$EQ$65,$DB3:$IO3,$IQ3:$OD3)*1000+SUMPRODUCT('calcA'!$D$65:$EQ$65,$DB3:$IO3+$ZQ3:$AFD3,$AFF3:$AKS3),SUMPRODUCT('calcA'!$D$65:$EQ$65,$DB3:$IO3*1001+$ZQ3:$AFD3))*100+6)</f>
        <v/>
      </c>
      <c r="BS3">
        <f>IF(OR(AD3=1,calcA!$A$6=0),1000000000,IF('calcA'!$JF$16=1,0,100000000)+IF('calcA'!$IQ$16=2,SUMPRODUCT('calcA'!$D$66:$EQ$66,$DB3:$IO3,$IQ3:$OD3)*1000+SUMPRODUCT('calcA'!$D$66:$EQ$66,$DB3:$IO3+$ZQ3:$AFD3,$AFF3:$AKS3),SUMPRODUCT('calcA'!$D$66:$EQ$66,$DB3:$IO3*1001+$ZQ3:$AFD3))*100+7)</f>
        <v/>
      </c>
      <c r="BT3">
        <f>IF(OR(AE3=1,calcA!$A$6=0),1000000000,IF('calcA'!$JF$17=1,0,100000000)+IF('calcA'!$IQ$17=2,SUMPRODUCT('calcA'!$D$67:$EQ$67,$DB3:$IO3,$IQ3:$OD3)*1000+SUMPRODUCT('calcA'!$D$67:$EQ$67,$DB3:$IO3+$ZQ3:$AFD3,$AFF3:$AKS3),SUMPRODUCT('calcA'!$D$67:$EQ$67,$DB3:$IO3*1001+$ZQ3:$AFD3))*100+8)</f>
        <v/>
      </c>
      <c r="BU3">
        <f>IF(OR(AF3=1,calcA!$A$6=0),1000000000,IF('calcA'!$JF$18=1,0,100000000)+IF('calcA'!$IQ$18=2,SUMPRODUCT('calcA'!$D$68:$EQ$68,$DB3:$IO3,$IQ3:$OD3)*1000+SUMPRODUCT('calcA'!$D$68:$EQ$68,$DB3:$IO3+$ZQ3:$AFD3,$AFF3:$AKS3),SUMPRODUCT('calcA'!$D$68:$EQ$68,$DB3:$IO3*1001+$ZQ3:$AFD3))*100+9)</f>
        <v/>
      </c>
      <c r="BV3">
        <f>IF(OR(AG3=1,calcA!$A$6=0),1000000000,IF('calcA'!$JF$19=1,0,100000000)+IF('calcA'!$IQ$19=2,SUMPRODUCT('calcA'!$D$69:$EQ$69,$DB3:$IO3,$IQ3:$OD3)*1000+SUMPRODUCT('calcA'!$D$69:$EQ$69,$DB3:$IO3+$ZQ3:$AFD3,$AFF3:$AKS3),SUMPRODUCT('calcA'!$D$69:$EQ$69,$DB3:$IO3*1001+$ZQ3:$AFD3))*100+10)</f>
        <v/>
      </c>
      <c r="BW3">
        <f>IF(OR(AH3=1,calcA!$A$6=0),1000000000,IF('calcA'!$JF$20=1,0,100000000)+IF('calcA'!$IQ$20=2,SUMPRODUCT('calcA'!$D$70:$EQ$70,$DB3:$IO3,$IQ3:$OD3)*1000+SUMPRODUCT('calcA'!$D$70:$EQ$70,$DB3:$IO3+$ZQ3:$AFD3,$AFF3:$AKS3),SUMPRODUCT('calcA'!$D$70:$EQ$70,$DB3:$IO3*1001+$ZQ3:$AFD3))*100+11)</f>
        <v/>
      </c>
      <c r="BX3">
        <f>IF(OR(AI3=1,calcA!$A$6=0),1000000000,IF('calcA'!$JF$21=1,0,100000000)+IF('calcA'!$IQ$21=2,SUMPRODUCT('calcA'!$D$71:$EQ$71,$DB3:$IO3,$IQ3:$OD3)*1000+SUMPRODUCT('calcA'!$D$71:$EQ$71,$DB3:$IO3+$ZQ3:$AFD3,$AFF3:$AKS3),SUMPRODUCT('calcA'!$D$71:$EQ$71,$DB3:$IO3*1001+$ZQ3:$AFD3))*100+12)</f>
        <v/>
      </c>
      <c r="BY3">
        <f>IF(OR(AJ3=1,calcA!$A$6=0),1000000000,IF('calcA'!$JF$22=1,0,100000000)+IF('calcA'!$IQ$22=2,SUMPRODUCT('calcA'!$D$72:$EQ$72,$DB3:$IO3,$IQ3:$OD3)*1000+SUMPRODUCT('calcA'!$D$72:$EQ$72,$DB3:$IO3+$ZQ3:$AFD3,$AFF3:$AKS3),SUMPRODUCT('calcA'!$D$72:$EQ$72,$DB3:$IO3*1001+$ZQ3:$AFD3))*100+13)</f>
        <v/>
      </c>
      <c r="BZ3">
        <f>IF(OR(AK3=1,calcA!$A$6=0),1000000000,IF('calcA'!$JF$23=1,0,100000000)+IF('calcA'!$IQ$23=2,SUMPRODUCT('calcA'!$D$73:$EQ$73,$DB3:$IO3,$IQ3:$OD3)*1000+SUMPRODUCT('calcA'!$D$73:$EQ$73,$DB3:$IO3+$ZQ3:$AFD3,$AFF3:$AKS3),SUMPRODUCT('calcA'!$D$73:$EQ$73,$DB3:$IO3*1001+$ZQ3:$AFD3))*100+14)</f>
        <v/>
      </c>
      <c r="CA3">
        <f>IF(OR(AL3=1,calcA!$A$6=0),1000000000,IF('calcA'!$JF$24=1,0,100000000)+IF('calcA'!$IQ$24=2,SUMPRODUCT('calcA'!$D$74:$EQ$74,$DB3:$IO3,$IQ3:$OD3)*1000+SUMPRODUCT('calcA'!$D$74:$EQ$74,$DB3:$IO3+$ZQ3:$AFD3,$AFF3:$AKS3),SUMPRODUCT('calcA'!$D$74:$EQ$74,$DB3:$IO3*1001+$ZQ3:$AFD3))*100+15)</f>
        <v/>
      </c>
      <c r="CB3">
        <f>IF(OR(AM3=1,calcA!$A$6=0),1000000000,IF('calcA'!$JF$25=1,0,100000000)+IF('calcA'!$IQ$25=2,SUMPRODUCT('calcA'!$D$75:$EQ$75,$DB3:$IO3,$IQ3:$OD3)*1000+SUMPRODUCT('calcA'!$D$75:$EQ$75,$DB3:$IO3+$ZQ3:$AFD3,$AFF3:$AKS3),SUMPRODUCT('calcA'!$D$75:$EQ$75,$DB3:$IO3*1001+$ZQ3:$AFD3))*100+16)</f>
        <v/>
      </c>
      <c r="CC3">
        <f>IF(OR(AN3=1,calcA!$A$6=0),1000000000,IF('calcA'!$JF$26=1,0,100000000)+IF('calcA'!$IQ$26=2,SUMPRODUCT('calcA'!$D$76:$EQ$76,$DB3:$IO3,$IQ3:$OD3)*1000+SUMPRODUCT('calcA'!$D$76:$EQ$76,$DB3:$IO3+$ZQ3:$AFD3,$AFF3:$AKS3),SUMPRODUCT('calcA'!$D$76:$EQ$76,$DB3:$IO3*1001+$ZQ3:$AFD3))*100+17)</f>
        <v/>
      </c>
      <c r="CD3">
        <f>IF(OR(AO3=1,calcA!$A$6=0),1000000000,IF('calcA'!$JF$27=1,0,100000000)+IF('calcA'!$IQ$27=2,SUMPRODUCT('calcA'!$D$77:$EQ$77,$DB3:$IO3,$IQ3:$OD3)*1000+SUMPRODUCT('calcA'!$D$77:$EQ$77,$DB3:$IO3+$ZQ3:$AFD3,$AFF3:$AKS3),SUMPRODUCT('calcA'!$D$77:$EQ$77,$DB3:$IO3*1001+$ZQ3:$AFD3))*100+18)</f>
        <v/>
      </c>
      <c r="CE3">
        <f>IF(OR(AP3=1,calcA!$A$6=0),1000000000,IF('calcA'!$JF$28=1,0,100000000)+IF('calcA'!$IQ$28=2,SUMPRODUCT('calcA'!$D$78:$EQ$78,$DB3:$IO3,$IQ3:$OD3)*1000+SUMPRODUCT('calcA'!$D$78:$EQ$78,$DB3:$IO3+$ZQ3:$AFD3,$AFF3:$AKS3),SUMPRODUCT('calcA'!$D$78:$EQ$78,$DB3:$IO3*1001+$ZQ3:$AFD3))*100+19)</f>
        <v/>
      </c>
      <c r="CF3">
        <f>IF(OR(AQ3=1,calcA!$A$6=0),1000000000,IF('calcA'!$JF$29=1,0,100000000)+IF('calcA'!$IQ$29=2,SUMPRODUCT('calcA'!$D$79:$EQ$79,$DB3:$IO3,$IQ3:$OD3)*1000+SUMPRODUCT('calcA'!$D$79:$EQ$79,$DB3:$IO3+$ZQ3:$AFD3,$AFF3:$AKS3),SUMPRODUCT('calcA'!$D$79:$EQ$79,$DB3:$IO3*1001+$ZQ3:$AFD3))*100+20)</f>
        <v/>
      </c>
      <c r="CG3">
        <f>IF(OR(AR3=1,calcA!$A$6=0),1000000000,IF('calcA'!$JF$30=1,0,100000000)+IF('calcA'!$IQ$30=2,SUMPRODUCT('calcA'!$D$80:$EQ$80,$DB3:$IO3,$IQ3:$OD3)*1000+SUMPRODUCT('calcA'!$D$80:$EQ$80,$DB3:$IO3+$ZQ3:$AFD3,$AFF3:$AKS3),SUMPRODUCT('calcA'!$D$80:$EQ$80,$DB3:$IO3*1001+$ZQ3:$AFD3))*100+21)</f>
        <v/>
      </c>
      <c r="CH3">
        <f>IF(OR(AS3=1,calcA!$A$6=0),1000000000,IF('calcA'!$JF$31=1,0,100000000)+IF('calcA'!$IQ$31=2,SUMPRODUCT('calcA'!$D$81:$EQ$81,$DB3:$IO3,$IQ3:$OD3)*1000+SUMPRODUCT('calcA'!$D$81:$EQ$81,$DB3:$IO3+$ZQ3:$AFD3,$AFF3:$AKS3),SUMPRODUCT('calcA'!$D$81:$EQ$81,$DB3:$IO3*1001+$ZQ3:$AFD3))*100+22)</f>
        <v/>
      </c>
      <c r="CI3">
        <f>IF(OR(AT3=1,calcA!$A$6=0),1000000000,IF('calcA'!$JF$32=1,0,100000000)+IF('calcA'!$IQ$32=2,SUMPRODUCT('calcA'!$D$82:$EQ$82,$DB3:$IO3,$IQ3:$OD3)*1000+SUMPRODUCT('calcA'!$D$82:$EQ$82,$DB3:$IO3+$ZQ3:$AFD3,$AFF3:$AKS3),SUMPRODUCT('calcA'!$D$82:$EQ$82,$DB3:$IO3*1001+$ZQ3:$AFD3))*100+23)</f>
        <v/>
      </c>
      <c r="CJ3">
        <f>IF(OR(AU3=1,calcA!$A$6=0),1000000000,IF('calcA'!$JF$33=1,0,100000000)+IF('calcA'!$IQ$33=2,SUMPRODUCT('calcA'!$D$83:$EQ$83,$DB3:$IO3,$IQ3:$OD3)*1000+SUMPRODUCT('calcA'!$D$83:$EQ$83,$DB3:$IO3+$ZQ3:$AFD3,$AFF3:$AKS3),SUMPRODUCT('calcA'!$D$83:$EQ$83,$DB3:$IO3*1001+$ZQ3:$AFD3))*100+24)</f>
        <v/>
      </c>
      <c r="CK3">
        <f>IF(OR(AV3=1,calcA!$A$6=0),1000000000,IF('calcA'!$JF$34=1,0,100000000)+IF('calcA'!$IQ$34=2,SUMPRODUCT('calcA'!$D$84:$EQ$84,$DB3:$IO3,$IQ3:$OD3)*1000+SUMPRODUCT('calcA'!$D$84:$EQ$84,$DB3:$IO3+$ZQ3:$AFD3,$AFF3:$AKS3),SUMPRODUCT('calcA'!$D$84:$EQ$84,$DB3:$IO3*1001+$ZQ3:$AFD3))*100+25)</f>
        <v/>
      </c>
      <c r="CL3">
        <f>IF(OR(AW3=1,calcA!$A$6=0),1000000000,IF('calcA'!$JF$35=1,0,100000000)+IF('calcA'!$IQ$35=2,SUMPRODUCT('calcA'!$D$85:$EQ$85,$DB3:$IO3,$IQ3:$OD3)*1000+SUMPRODUCT('calcA'!$D$85:$EQ$85,$DB3:$IO3+$ZQ3:$AFD3,$AFF3:$AKS3),SUMPRODUCT('calcA'!$D$85:$EQ$85,$DB3:$IO3*1001+$ZQ3:$AFD3))*100+26)</f>
        <v/>
      </c>
      <c r="CM3">
        <f>IF(OR(AX3=1,calcA!$A$6=0),1000000000,IF('calcA'!$JF$36=1,0,100000000)+IF('calcA'!$IQ$36=2,SUMPRODUCT('calcA'!$D$86:$EQ$86,$DB3:$IO3,$IQ3:$OD3)*1000+SUMPRODUCT('calcA'!$D$86:$EQ$86,$DB3:$IO3+$ZQ3:$AFD3,$AFF3:$AKS3),SUMPRODUCT('calcA'!$D$86:$EQ$86,$DB3:$IO3*1001+$ZQ3:$AFD3))*100+27)</f>
        <v/>
      </c>
      <c r="CN3">
        <f>IF(OR(AY3=1,calcA!$A$6=0),1000000000,IF('calcA'!$JF$37=1,0,100000000)+IF('calcA'!$IQ$37=2,SUMPRODUCT('calcA'!$D$87:$EQ$87,$DB3:$IO3,$IQ3:$OD3)*1000+SUMPRODUCT('calcA'!$D$87:$EQ$87,$DB3:$IO3+$ZQ3:$AFD3,$AFF3:$AKS3),SUMPRODUCT('calcA'!$D$87:$EQ$87,$DB3:$IO3*1001+$ZQ3:$AFD3))*100+28)</f>
        <v/>
      </c>
      <c r="CO3">
        <f>IF(OR(AZ3=1,calcA!$A$6=0),1000000000,IF('calcA'!$JF$38=1,0,100000000)+IF('calcA'!$IQ$38=2,SUMPRODUCT('calcA'!$D$88:$EQ$88,$DB3:$IO3,$IQ3:$OD3)*1000+SUMPRODUCT('calcA'!$D$88:$EQ$88,$DB3:$IO3+$ZQ3:$AFD3,$AFF3:$AKS3),SUMPRODUCT('calcA'!$D$88:$EQ$88,$DB3:$IO3*1001+$ZQ3:$AFD3))*100+29)</f>
        <v/>
      </c>
      <c r="CP3">
        <f>IF(OR(BA3=1,calcA!$A$6=0),1000000000,IF('calcA'!$JF$39=1,0,100000000)+IF('calcA'!$IQ$39=2,SUMPRODUCT('calcA'!$D$89:$EQ$89,$DB3:$IO3,$IQ3:$OD3)*1000+SUMPRODUCT('calcA'!$D$89:$EQ$89,$DB3:$IO3+$ZQ3:$AFD3,$AFF3:$AKS3),SUMPRODUCT('calcA'!$D$89:$EQ$89,$DB3:$IO3*1001+$ZQ3:$AFD3))*100+30)</f>
        <v/>
      </c>
      <c r="CQ3">
        <f>IF(OR(BB3=1,calcA!$A$6=0),1000000000,IF('calcA'!$JF$40=1,0,100000000)+IF('calcA'!$IQ$40=2,SUMPRODUCT('calcA'!$D$90:$EQ$90,$DB3:$IO3,$IQ3:$OD3)*1000+SUMPRODUCT('calcA'!$D$90:$EQ$90,$DB3:$IO3+$ZQ3:$AFD3,$AFF3:$AKS3),SUMPRODUCT('calcA'!$D$90:$EQ$90,$DB3:$IO3*1001+$ZQ3:$AFD3))*100+31)</f>
        <v/>
      </c>
      <c r="CR3">
        <f>IF(OR(BC3=1,calcA!$A$6=0),1000000000,IF('calcA'!$JF$41=1,0,100000000)+IF('calcA'!$IQ$41=2,SUMPRODUCT('calcA'!$D$91:$EQ$91,$DB3:$IO3,$IQ3:$OD3)*1000+SUMPRODUCT('calcA'!$D$91:$EQ$91,$DB3:$IO3+$ZQ3:$AFD3,$AFF3:$AKS3),SUMPRODUCT('calcA'!$D$91:$EQ$91,$DB3:$IO3*1001+$ZQ3:$AFD3))*100+32)</f>
        <v/>
      </c>
      <c r="CS3">
        <f>IF(OR(BD3=1,calcA!$A$6=0),1000000000,IF('calcA'!$JF$42=1,0,100000000)+IF('calcA'!$IQ$42=2,SUMPRODUCT('calcA'!$D$92:$EQ$92,$DB3:$IO3,$IQ3:$OD3)*1000+SUMPRODUCT('calcA'!$D$92:$EQ$92,$DB3:$IO3+$ZQ3:$AFD3,$AFF3:$AKS3),SUMPRODUCT('calcA'!$D$92:$EQ$92,$DB3:$IO3*1001+$ZQ3:$AFD3))*100+33)</f>
        <v/>
      </c>
      <c r="CT3">
        <f>IF(OR(BE3=1,calcA!$A$6=0),1000000000,IF('calcA'!$JF$43=1,0,100000000)+IF('calcA'!$IQ$43=2,SUMPRODUCT('calcA'!$D$93:$EQ$93,$DB3:$IO3,$IQ3:$OD3)*1000+SUMPRODUCT('calcA'!$D$93:$EQ$93,$DB3:$IO3+$ZQ3:$AFD3,$AFF3:$AKS3),SUMPRODUCT('calcA'!$D$93:$EQ$93,$DB3:$IO3*1001+$ZQ3:$AFD3))*100+34)</f>
        <v/>
      </c>
      <c r="CU3">
        <f>IF(OR(BF3=1,calcA!$A$6=0),1000000000,IF('calcA'!$JF$44=1,0,100000000)+IF('calcA'!$IQ$44=2,SUMPRODUCT('calcA'!$D$94:$EQ$94,$DB3:$IO3,$IQ3:$OD3)*1000+SUMPRODUCT('calcA'!$D$94:$EQ$94,$DB3:$IO3+$ZQ3:$AFD3,$AFF3:$AKS3),SUMPRODUCT('calcA'!$D$94:$EQ$94,$DB3:$IO3*1001+$ZQ3:$AFD3))*100+35)</f>
        <v/>
      </c>
      <c r="CV3">
        <f>IF(OR(BG3=1,calcA!$A$6=0),1000000000,IF('calcA'!$JF$45=1,0,100000000)+IF('calcA'!$IQ$45=2,SUMPRODUCT('calcA'!$D$95:$EQ$95,$DB3:$IO3,$IQ3:$OD3)*1000+SUMPRODUCT('calcA'!$D$95:$EQ$95,$DB3:$IO3+$ZQ3:$AFD3,$AFF3:$AKS3),SUMPRODUCT('calcA'!$D$95:$EQ$95,$DB3:$IO3*1001+$ZQ3:$AFD3))*100+36)</f>
        <v/>
      </c>
      <c r="CW3">
        <f>IF(OR(BH3=1,calcA!$A$6=0),1000000000,IF('calcA'!$JF$46=1,0,100000000)+IF('calcA'!$IQ$46=2,SUMPRODUCT('calcA'!$D$96:$EQ$96,$DB3:$IO3,$IQ3:$OD3)*1000+SUMPRODUCT('calcA'!$D$96:$EQ$96,$DB3:$IO3+$ZQ3:$AFD3,$AFF3:$AKS3),SUMPRODUCT('calcA'!$D$96:$EQ$96,$DB3:$IO3*1001+$ZQ3:$AFD3))*100+37)</f>
        <v/>
      </c>
      <c r="CX3">
        <f>IF(OR(BI3=1,calcA!$A$6=0),1000000000,IF('calcA'!$JF$47=1,0,100000000)+IF('calcA'!$IQ$47=2,SUMPRODUCT('calcA'!$D$97:$EQ$97,$DB3:$IO3,$IQ3:$OD3)*1000+SUMPRODUCT('calcA'!$D$97:$EQ$97,$DB3:$IO3+$ZQ3:$AFD3,$AFF3:$AKS3),SUMPRODUCT('calcA'!$D$97:$EQ$97,$DB3:$IO3*1001+$ZQ3:$AFD3))*100+38)</f>
        <v/>
      </c>
      <c r="CY3">
        <f>IF(OR(BJ3=1,calcA!$A$6=0),1000000000,IF('calcA'!$JF$48=1,0,100000000)+IF('calcA'!$IQ$48=2,SUMPRODUCT('calcA'!$D$98:$EQ$98,$DB3:$IO3,$IQ3:$OD3)*1000+SUMPRODUCT('calcA'!$D$98:$EQ$98,$DB3:$IO3+$ZQ3:$AFD3,$AFF3:$AKS3),SUMPRODUCT('calcA'!$D$98:$EQ$98,$DB3:$IO3*1001+$ZQ3:$AFD3))*100+39)</f>
        <v/>
      </c>
      <c r="CZ3">
        <f>IF(OR(BK3=1,calcA!$A$6=0),1000000000,IF('calcA'!$JF$49=1,0,100000000)+IF('calcA'!$IQ$49=2,SUMPRODUCT('calcA'!$D$99:$EQ$99,$DB3:$IO3,$IQ3:$OD3)*1000+SUMPRODUCT('calcA'!$D$99:$EQ$99,$DB3:$IO3+$ZQ3:$AFD3,$AFF3:$AKS3),SUMPRODUCT('calcA'!$D$99:$EQ$99,$DB3:$IO3*1001+$ZQ3:$AFD3))*100+40)</f>
        <v/>
      </c>
      <c r="DB3">
        <f>1-'calcA'!D$7</f>
        <v/>
      </c>
      <c r="DC3">
        <f>1-'calcA'!E$7</f>
        <v/>
      </c>
      <c r="DD3">
        <f>1-'calcA'!F$7</f>
        <v/>
      </c>
      <c r="DE3">
        <f>1-'calcA'!G$7</f>
        <v/>
      </c>
      <c r="DF3">
        <f>1-'calcA'!H$7</f>
        <v/>
      </c>
      <c r="DG3">
        <f>1-'calcA'!I$7</f>
        <v/>
      </c>
      <c r="DH3">
        <f>1-'calcA'!J$7</f>
        <v/>
      </c>
      <c r="DI3">
        <f>1-'calcA'!K$7</f>
        <v/>
      </c>
      <c r="DJ3">
        <f>1-'calcA'!L$7</f>
        <v/>
      </c>
      <c r="DK3">
        <f>1-'calcA'!M$7</f>
        <v/>
      </c>
      <c r="DL3">
        <f>1-'calcA'!N$7</f>
        <v/>
      </c>
      <c r="DM3">
        <f>1-'calcA'!O$7</f>
        <v/>
      </c>
      <c r="DN3">
        <f>1-'calcA'!P$7</f>
        <v/>
      </c>
      <c r="DO3">
        <f>1-'calcA'!Q$7</f>
        <v/>
      </c>
      <c r="DP3">
        <f>1-'calcA'!R$7</f>
        <v/>
      </c>
      <c r="DQ3">
        <f>1-'calcA'!S$7</f>
        <v/>
      </c>
      <c r="DR3">
        <f>1-'calcA'!T$7</f>
        <v/>
      </c>
      <c r="DS3">
        <f>1-'calcA'!U$7</f>
        <v/>
      </c>
      <c r="DT3">
        <f>1-'calcA'!V$7</f>
        <v/>
      </c>
      <c r="DU3">
        <f>1-'calcA'!W$7</f>
        <v/>
      </c>
      <c r="DV3">
        <f>1-'calcA'!X$7</f>
        <v/>
      </c>
      <c r="DW3">
        <f>1-'calcA'!Y$7</f>
        <v/>
      </c>
      <c r="DX3">
        <f>1-'calcA'!Z$7</f>
        <v/>
      </c>
      <c r="DY3">
        <f>1-'calcA'!AA$7</f>
        <v/>
      </c>
      <c r="DZ3">
        <f>1-'calcA'!AB$7</f>
        <v/>
      </c>
      <c r="EA3">
        <f>1-'calcA'!AC$7</f>
        <v/>
      </c>
      <c r="EB3">
        <f>1-'calcA'!AD$7</f>
        <v/>
      </c>
      <c r="EC3">
        <f>1-'calcA'!AE$7</f>
        <v/>
      </c>
      <c r="ED3">
        <f>1-'calcA'!AF$7</f>
        <v/>
      </c>
      <c r="EE3">
        <f>1-'calcA'!AG$7</f>
        <v/>
      </c>
      <c r="EF3">
        <f>1-'calcA'!AH$7</f>
        <v/>
      </c>
      <c r="EG3">
        <f>1-'calcA'!AI$7</f>
        <v/>
      </c>
      <c r="EH3">
        <f>1-'calcA'!AJ$7</f>
        <v/>
      </c>
      <c r="EI3">
        <f>1-'calcA'!AK$7</f>
        <v/>
      </c>
      <c r="EJ3">
        <f>1-'calcA'!AL$7</f>
        <v/>
      </c>
      <c r="EK3">
        <f>1-'calcA'!AM$7</f>
        <v/>
      </c>
      <c r="EL3">
        <f>1-'calcA'!AN$7</f>
        <v/>
      </c>
      <c r="EM3">
        <f>1-'calcA'!AO$7</f>
        <v/>
      </c>
      <c r="EN3">
        <f>1-'calcA'!AP$7</f>
        <v/>
      </c>
      <c r="EO3">
        <f>1-'calcA'!AQ$7</f>
        <v/>
      </c>
      <c r="EP3">
        <f>1-'calcA'!AR$7</f>
        <v/>
      </c>
      <c r="EQ3">
        <f>1-'calcA'!AS$7</f>
        <v/>
      </c>
      <c r="ER3">
        <f>1-'calcA'!AT$7</f>
        <v/>
      </c>
      <c r="ES3">
        <f>1-'calcA'!AU$7</f>
        <v/>
      </c>
      <c r="ET3">
        <f>1-'calcA'!AV$7</f>
        <v/>
      </c>
      <c r="EU3">
        <f>1-'calcA'!AW$7</f>
        <v/>
      </c>
      <c r="EV3">
        <f>1-'calcA'!AX$7</f>
        <v/>
      </c>
      <c r="EW3">
        <f>1-'calcA'!AY$7</f>
        <v/>
      </c>
      <c r="EX3">
        <f>1-'calcA'!AZ$7</f>
        <v/>
      </c>
      <c r="EY3">
        <f>1-'calcA'!BA$7</f>
        <v/>
      </c>
      <c r="EZ3">
        <f>1-'calcA'!BB$7</f>
        <v/>
      </c>
      <c r="FA3">
        <f>1-'calcA'!BC$7</f>
        <v/>
      </c>
      <c r="FB3">
        <f>1-'calcA'!BD$7</f>
        <v/>
      </c>
      <c r="FC3">
        <f>1-'calcA'!BE$7</f>
        <v/>
      </c>
      <c r="FD3">
        <f>1-'calcA'!BF$7</f>
        <v/>
      </c>
      <c r="FE3">
        <f>1-'calcA'!BG$7</f>
        <v/>
      </c>
      <c r="FF3">
        <f>1-'calcA'!BH$7</f>
        <v/>
      </c>
      <c r="FG3">
        <f>1-'calcA'!BI$7</f>
        <v/>
      </c>
      <c r="FH3">
        <f>1-'calcA'!BJ$7</f>
        <v/>
      </c>
      <c r="FI3">
        <f>1-'calcA'!BK$7</f>
        <v/>
      </c>
      <c r="FJ3">
        <f>1-'calcA'!BL$7</f>
        <v/>
      </c>
      <c r="FK3">
        <f>1-'calcA'!BM$7</f>
        <v/>
      </c>
      <c r="FL3">
        <f>1-'calcA'!BN$7</f>
        <v/>
      </c>
      <c r="FM3">
        <f>1-'calcA'!BO$7</f>
        <v/>
      </c>
      <c r="FN3">
        <f>1-'calcA'!BP$7</f>
        <v/>
      </c>
      <c r="FO3">
        <f>1-'calcA'!BQ$7</f>
        <v/>
      </c>
      <c r="FP3">
        <f>1-'calcA'!BR$7</f>
        <v/>
      </c>
      <c r="FQ3">
        <f>1-'calcA'!BS$7</f>
        <v/>
      </c>
      <c r="FR3">
        <f>1-'calcA'!BT$7</f>
        <v/>
      </c>
      <c r="FS3">
        <f>1-'calcA'!BU$7</f>
        <v/>
      </c>
      <c r="FT3">
        <f>1-'calcA'!BV$7</f>
        <v/>
      </c>
      <c r="FU3">
        <f>1-'calcA'!BW$7</f>
        <v/>
      </c>
      <c r="FV3">
        <f>1-'calcA'!BX$7</f>
        <v/>
      </c>
      <c r="FW3">
        <f>1-'calcA'!BY$7</f>
        <v/>
      </c>
      <c r="FX3">
        <f>1-'calcA'!BZ$7</f>
        <v/>
      </c>
      <c r="FY3">
        <f>1-'calcA'!CA$7</f>
        <v/>
      </c>
      <c r="FZ3">
        <f>1-'calcA'!CB$7</f>
        <v/>
      </c>
      <c r="GA3">
        <f>1-'calcA'!CC$7</f>
        <v/>
      </c>
      <c r="GB3">
        <f>1-'calcA'!CD$7</f>
        <v/>
      </c>
      <c r="GC3">
        <f>1-'calcA'!CE$7</f>
        <v/>
      </c>
      <c r="GD3">
        <f>1-'calcA'!CF$7</f>
        <v/>
      </c>
      <c r="GE3">
        <f>1-'calcA'!CG$7</f>
        <v/>
      </c>
      <c r="GF3">
        <f>1-'calcA'!CH$7</f>
        <v/>
      </c>
      <c r="GG3">
        <f>1-'calcA'!CI$7</f>
        <v/>
      </c>
      <c r="GH3">
        <f>1-'calcA'!CJ$7</f>
        <v/>
      </c>
      <c r="GI3">
        <f>1-'calcA'!CK$7</f>
        <v/>
      </c>
      <c r="GJ3">
        <f>1-'calcA'!CL$7</f>
        <v/>
      </c>
      <c r="GK3">
        <f>1-'calcA'!CM$7</f>
        <v/>
      </c>
      <c r="GL3">
        <f>1-'calcA'!CN$7</f>
        <v/>
      </c>
      <c r="GM3">
        <f>1-'calcA'!CO$7</f>
        <v/>
      </c>
      <c r="GN3">
        <f>1-'calcA'!CP$7</f>
        <v/>
      </c>
      <c r="GO3">
        <f>1-'calcA'!CQ$7</f>
        <v/>
      </c>
      <c r="GP3">
        <f>1-'calcA'!CR$7</f>
        <v/>
      </c>
      <c r="GQ3">
        <f>1-'calcA'!CS$7</f>
        <v/>
      </c>
      <c r="GR3">
        <f>1-'calcA'!CT$7</f>
        <v/>
      </c>
      <c r="GS3">
        <f>1-'calcA'!CU$7</f>
        <v/>
      </c>
      <c r="GT3">
        <f>1-'calcA'!CV$7</f>
        <v/>
      </c>
      <c r="GU3">
        <f>1-'calcA'!CW$7</f>
        <v/>
      </c>
      <c r="GV3">
        <f>1-'calcA'!CX$7</f>
        <v/>
      </c>
      <c r="GW3">
        <f>1-'calcA'!CY$7</f>
        <v/>
      </c>
      <c r="GX3">
        <f>1-'calcA'!CZ$7</f>
        <v/>
      </c>
      <c r="GY3">
        <f>1-'calcA'!DA$7</f>
        <v/>
      </c>
      <c r="GZ3">
        <f>1-'calcA'!DB$7</f>
        <v/>
      </c>
      <c r="HA3">
        <f>1-'calcA'!DC$7</f>
        <v/>
      </c>
      <c r="HB3">
        <f>1-'calcA'!DD$7</f>
        <v/>
      </c>
      <c r="HC3">
        <f>1-'calcA'!DE$7</f>
        <v/>
      </c>
      <c r="HD3">
        <f>1-'calcA'!DF$7</f>
        <v/>
      </c>
      <c r="HE3">
        <f>1-'calcA'!DG$7</f>
        <v/>
      </c>
      <c r="HF3">
        <f>1-'calcA'!DH$7</f>
        <v/>
      </c>
      <c r="HG3">
        <f>1-'calcA'!DI$7</f>
        <v/>
      </c>
      <c r="HH3">
        <f>1-'calcA'!DJ$7</f>
        <v/>
      </c>
      <c r="HI3">
        <f>1-'calcA'!DK$7</f>
        <v/>
      </c>
      <c r="HJ3">
        <f>1-'calcA'!DL$7</f>
        <v/>
      </c>
      <c r="HK3">
        <f>1-'calcA'!DM$7</f>
        <v/>
      </c>
      <c r="HL3">
        <f>1-'calcA'!DN$7</f>
        <v/>
      </c>
      <c r="HM3">
        <f>1-'calcA'!DO$7</f>
        <v/>
      </c>
      <c r="HN3">
        <f>1-'calcA'!DP$7</f>
        <v/>
      </c>
      <c r="HO3">
        <f>1-'calcA'!DQ$7</f>
        <v/>
      </c>
      <c r="HP3">
        <f>1-'calcA'!DR$7</f>
        <v/>
      </c>
      <c r="HQ3">
        <f>1-'calcA'!DS$7</f>
        <v/>
      </c>
      <c r="HR3">
        <f>1-'calcA'!DT$7</f>
        <v/>
      </c>
      <c r="HS3">
        <f>1-'calcA'!DU$7</f>
        <v/>
      </c>
      <c r="HT3">
        <f>1-'calcA'!DV$7</f>
        <v/>
      </c>
      <c r="HU3">
        <f>1-'calcA'!DW$7</f>
        <v/>
      </c>
      <c r="HV3">
        <f>1-'calcA'!DX$7</f>
        <v/>
      </c>
      <c r="HW3">
        <f>1-'calcA'!DY$7</f>
        <v/>
      </c>
      <c r="HX3">
        <f>1-'calcA'!DZ$7</f>
        <v/>
      </c>
      <c r="HY3">
        <f>1-'calcA'!EA$7</f>
        <v/>
      </c>
      <c r="HZ3">
        <f>1-'calcA'!EB$7</f>
        <v/>
      </c>
      <c r="IA3">
        <f>1-'calcA'!EC$7</f>
        <v/>
      </c>
      <c r="IB3">
        <f>1-'calcA'!ED$7</f>
        <v/>
      </c>
      <c r="IC3">
        <f>1-'calcA'!EE$7</f>
        <v/>
      </c>
      <c r="ID3">
        <f>1-'calcA'!EF$7</f>
        <v/>
      </c>
      <c r="IE3">
        <f>1-'calcA'!EG$7</f>
        <v/>
      </c>
      <c r="IF3">
        <f>1-'calcA'!EH$7</f>
        <v/>
      </c>
      <c r="IG3">
        <f>1-'calcA'!EI$7</f>
        <v/>
      </c>
      <c r="IH3">
        <f>1-'calcA'!EJ$7</f>
        <v/>
      </c>
      <c r="II3">
        <f>1-'calcA'!EK$7</f>
        <v/>
      </c>
      <c r="IJ3">
        <f>1-'calcA'!EL$7</f>
        <v/>
      </c>
      <c r="IK3">
        <f>1-'calcA'!EM$7</f>
        <v/>
      </c>
      <c r="IL3">
        <f>1-'calcA'!EN$7</f>
        <v/>
      </c>
      <c r="IM3">
        <f>1-'calcA'!EO$7</f>
        <v/>
      </c>
      <c r="IN3">
        <f>1-'calcA'!EP$7</f>
        <v/>
      </c>
      <c r="IO3">
        <f>1-'calcA'!EQ$7</f>
        <v/>
      </c>
      <c r="IQ3">
        <f>IF('calcA'!D$106=1,DC3,1)</f>
        <v/>
      </c>
      <c r="IR3">
        <f>IF('calcA'!E$106=1,DD3,1)</f>
        <v/>
      </c>
      <c r="IS3">
        <f>IF('calcA'!F$106=1,DE3,1)</f>
        <v/>
      </c>
      <c r="IT3">
        <f>IF('calcA'!G$106=1,DF3,1)</f>
        <v/>
      </c>
      <c r="IU3">
        <f>IF('calcA'!H$106=1,DG3,1)</f>
        <v/>
      </c>
      <c r="IV3">
        <f>IF('calcA'!I$106=1,DH3,1)</f>
        <v/>
      </c>
      <c r="IW3">
        <f>IF('calcA'!J$106=1,DI3,1)</f>
        <v/>
      </c>
      <c r="IX3">
        <f>IF('calcA'!K$106=1,DJ3,1)</f>
        <v/>
      </c>
      <c r="IY3">
        <f>IF('calcA'!L$106=1,DK3,1)</f>
        <v/>
      </c>
      <c r="IZ3">
        <f>IF('calcA'!M$106=1,DL3,1)</f>
        <v/>
      </c>
      <c r="JA3">
        <f>IF('calcA'!N$106=1,DM3,1)</f>
        <v/>
      </c>
      <c r="JB3">
        <f>IF('calcA'!O$106=1,DN3,1)</f>
        <v/>
      </c>
      <c r="JC3">
        <f>IF('calcA'!P$106=1,DO3,1)</f>
        <v/>
      </c>
      <c r="JD3">
        <f>IF('calcA'!Q$106=1,DP3,1)</f>
        <v/>
      </c>
      <c r="JE3">
        <f>IF('calcA'!R$106=1,DQ3,1)</f>
        <v/>
      </c>
      <c r="JF3">
        <f>IF('calcA'!S$106=1,DR3,1)</f>
        <v/>
      </c>
      <c r="JG3">
        <f>IF('calcA'!T$106=1,DS3,1)</f>
        <v/>
      </c>
      <c r="JH3">
        <f>IF('calcA'!U$106=1,DT3,1)</f>
        <v/>
      </c>
      <c r="JI3">
        <f>IF('calcA'!V$106=1,DU3,1)</f>
        <v/>
      </c>
      <c r="JJ3">
        <f>IF('calcA'!W$106=1,DV3,1)</f>
        <v/>
      </c>
      <c r="JK3">
        <f>IF('calcA'!X$106=1,DW3,1)</f>
        <v/>
      </c>
      <c r="JL3">
        <f>IF('calcA'!Y$106=1,DX3,1)</f>
        <v/>
      </c>
      <c r="JM3">
        <f>IF('calcA'!Z$106=1,DY3,1)</f>
        <v/>
      </c>
      <c r="JN3">
        <f>IF('calcA'!AA$106=1,DZ3,1)</f>
        <v/>
      </c>
      <c r="JO3">
        <f>IF('calcA'!AB$106=1,EA3,1)</f>
        <v/>
      </c>
      <c r="JP3">
        <f>IF('calcA'!AC$106=1,EB3,1)</f>
        <v/>
      </c>
      <c r="JQ3">
        <f>IF('calcA'!AD$106=1,EC3,1)</f>
        <v/>
      </c>
      <c r="JR3">
        <f>IF('calcA'!AE$106=1,ED3,1)</f>
        <v/>
      </c>
      <c r="JS3">
        <f>IF('calcA'!AF$106=1,EE3,1)</f>
        <v/>
      </c>
      <c r="JT3">
        <f>IF('calcA'!AG$106=1,EF3,1)</f>
        <v/>
      </c>
      <c r="JU3">
        <f>IF('calcA'!AH$106=1,EG3,1)</f>
        <v/>
      </c>
      <c r="JV3">
        <f>IF('calcA'!AI$106=1,EH3,1)</f>
        <v/>
      </c>
      <c r="JW3">
        <f>IF('calcA'!AJ$106=1,EI3,1)</f>
        <v/>
      </c>
      <c r="JX3">
        <f>IF('calcA'!AK$106=1,EJ3,1)</f>
        <v/>
      </c>
      <c r="JY3">
        <f>IF('calcA'!AL$106=1,EK3,1)</f>
        <v/>
      </c>
      <c r="JZ3">
        <f>IF('calcA'!AM$106=1,EL3,1)</f>
        <v/>
      </c>
      <c r="KA3">
        <f>IF('calcA'!AN$106=1,EM3,1)</f>
        <v/>
      </c>
      <c r="KB3">
        <f>IF('calcA'!AO$106=1,EN3,1)</f>
        <v/>
      </c>
      <c r="KC3">
        <f>IF('calcA'!AP$106=1,EO3,1)</f>
        <v/>
      </c>
      <c r="KD3">
        <f>IF('calcA'!AQ$106=1,EP3,1)</f>
        <v/>
      </c>
      <c r="KE3">
        <f>IF('calcA'!AR$106=1,EQ3,1)</f>
        <v/>
      </c>
      <c r="KF3">
        <f>IF('calcA'!AS$106=1,ER3,1)</f>
        <v/>
      </c>
      <c r="KG3">
        <f>IF('calcA'!AT$106=1,ES3,1)</f>
        <v/>
      </c>
      <c r="KH3">
        <f>IF('calcA'!AU$106=1,ET3,1)</f>
        <v/>
      </c>
      <c r="KI3">
        <f>IF('calcA'!AV$106=1,EU3,1)</f>
        <v/>
      </c>
      <c r="KJ3">
        <f>IF('calcA'!AW$106=1,EV3,1)</f>
        <v/>
      </c>
      <c r="KK3">
        <f>IF('calcA'!AX$106=1,EW3,1)</f>
        <v/>
      </c>
      <c r="KL3">
        <f>IF('calcA'!AY$106=1,EX3,1)</f>
        <v/>
      </c>
      <c r="KM3">
        <f>IF('calcA'!AZ$106=1,EY3,1)</f>
        <v/>
      </c>
      <c r="KN3">
        <f>IF('calcA'!BA$106=1,EZ3,1)</f>
        <v/>
      </c>
      <c r="KO3">
        <f>IF('calcA'!BB$106=1,FA3,1)</f>
        <v/>
      </c>
      <c r="KP3">
        <f>IF('calcA'!BC$106=1,FB3,1)</f>
        <v/>
      </c>
      <c r="KQ3">
        <f>IF('calcA'!BD$106=1,FC3,1)</f>
        <v/>
      </c>
      <c r="KR3">
        <f>IF('calcA'!BE$106=1,FD3,1)</f>
        <v/>
      </c>
      <c r="KS3">
        <f>IF('calcA'!BF$106=1,FE3,1)</f>
        <v/>
      </c>
      <c r="KT3">
        <f>IF('calcA'!BG$106=1,FF3,1)</f>
        <v/>
      </c>
      <c r="KU3">
        <f>IF('calcA'!BH$106=1,FG3,1)</f>
        <v/>
      </c>
      <c r="KV3">
        <f>IF('calcA'!BI$106=1,FH3,1)</f>
        <v/>
      </c>
      <c r="KW3">
        <f>IF('calcA'!BJ$106=1,FI3,1)</f>
        <v/>
      </c>
      <c r="KX3">
        <f>IF('calcA'!BK$106=1,FJ3,1)</f>
        <v/>
      </c>
      <c r="KY3">
        <f>IF('calcA'!BL$106=1,FK3,1)</f>
        <v/>
      </c>
      <c r="KZ3">
        <f>IF('calcA'!BM$106=1,FL3,1)</f>
        <v/>
      </c>
      <c r="LA3">
        <f>IF('calcA'!BN$106=1,FM3,1)</f>
        <v/>
      </c>
      <c r="LB3">
        <f>IF('calcA'!BO$106=1,FN3,1)</f>
        <v/>
      </c>
      <c r="LC3">
        <f>IF('calcA'!BP$106=1,FO3,1)</f>
        <v/>
      </c>
      <c r="LD3">
        <f>IF('calcA'!BQ$106=1,FP3,1)</f>
        <v/>
      </c>
      <c r="LE3">
        <f>IF('calcA'!BR$106=1,FQ3,1)</f>
        <v/>
      </c>
      <c r="LF3">
        <f>IF('calcA'!BS$106=1,FR3,1)</f>
        <v/>
      </c>
      <c r="LG3">
        <f>IF('calcA'!BT$106=1,FS3,1)</f>
        <v/>
      </c>
      <c r="LH3">
        <f>IF('calcA'!BU$106=1,FT3,1)</f>
        <v/>
      </c>
      <c r="LI3">
        <f>IF('calcA'!BV$106=1,FU3,1)</f>
        <v/>
      </c>
      <c r="LJ3">
        <f>IF('calcA'!BW$106=1,FV3,1)</f>
        <v/>
      </c>
      <c r="LK3">
        <f>IF('calcA'!BX$106=1,FW3,1)</f>
        <v/>
      </c>
      <c r="LL3">
        <f>IF('calcA'!BY$106=1,FX3,1)</f>
        <v/>
      </c>
      <c r="LM3">
        <f>IF('calcA'!BZ$106=1,FY3,1)</f>
        <v/>
      </c>
      <c r="LN3">
        <f>IF('calcA'!CA$106=1,FZ3,1)</f>
        <v/>
      </c>
      <c r="LO3">
        <f>IF('calcA'!CB$106=1,GA3,1)</f>
        <v/>
      </c>
      <c r="LP3">
        <f>IF('calcA'!CC$106=1,GB3,1)</f>
        <v/>
      </c>
      <c r="LQ3">
        <f>IF('calcA'!CD$106=1,GC3,1)</f>
        <v/>
      </c>
      <c r="LR3">
        <f>IF('calcA'!CE$106=1,GD3,1)</f>
        <v/>
      </c>
      <c r="LS3">
        <f>IF('calcA'!CF$106=1,GE3,1)</f>
        <v/>
      </c>
      <c r="LT3">
        <f>IF('calcA'!CG$106=1,GF3,1)</f>
        <v/>
      </c>
      <c r="LU3">
        <f>IF('calcA'!CH$106=1,GG3,1)</f>
        <v/>
      </c>
      <c r="LV3">
        <f>IF('calcA'!CI$106=1,GH3,1)</f>
        <v/>
      </c>
      <c r="LW3">
        <f>IF('calcA'!CJ$106=1,GI3,1)</f>
        <v/>
      </c>
      <c r="LX3">
        <f>IF('calcA'!CK$106=1,GJ3,1)</f>
        <v/>
      </c>
      <c r="LY3">
        <f>IF('calcA'!CL$106=1,GK3,1)</f>
        <v/>
      </c>
      <c r="LZ3">
        <f>IF('calcA'!CM$106=1,GL3,1)</f>
        <v/>
      </c>
      <c r="MA3">
        <f>IF('calcA'!CN$106=1,GM3,1)</f>
        <v/>
      </c>
      <c r="MB3">
        <f>IF('calcA'!CO$106=1,GN3,1)</f>
        <v/>
      </c>
      <c r="MC3">
        <f>IF('calcA'!CP$106=1,GO3,1)</f>
        <v/>
      </c>
      <c r="MD3">
        <f>IF('calcA'!CQ$106=1,GP3,1)</f>
        <v/>
      </c>
      <c r="ME3">
        <f>IF('calcA'!CR$106=1,GQ3,1)</f>
        <v/>
      </c>
      <c r="MF3">
        <f>IF('calcA'!CS$106=1,GR3,1)</f>
        <v/>
      </c>
      <c r="MG3">
        <f>IF('calcA'!CT$106=1,GS3,1)</f>
        <v/>
      </c>
      <c r="MH3">
        <f>IF('calcA'!CU$106=1,GT3,1)</f>
        <v/>
      </c>
      <c r="MI3">
        <f>IF('calcA'!CV$106=1,GU3,1)</f>
        <v/>
      </c>
      <c r="MJ3">
        <f>IF('calcA'!CW$106=1,GV3,1)</f>
        <v/>
      </c>
      <c r="MK3">
        <f>IF('calcA'!CX$106=1,GW3,1)</f>
        <v/>
      </c>
      <c r="ML3">
        <f>IF('calcA'!CY$106=1,GX3,1)</f>
        <v/>
      </c>
      <c r="MM3">
        <f>IF('calcA'!CZ$106=1,GY3,1)</f>
        <v/>
      </c>
      <c r="MN3">
        <f>IF('calcA'!DA$106=1,GZ3,1)</f>
        <v/>
      </c>
      <c r="MO3">
        <f>IF('calcA'!DB$106=1,HA3,1)</f>
        <v/>
      </c>
      <c r="MP3">
        <f>IF('calcA'!DC$106=1,HB3,1)</f>
        <v/>
      </c>
      <c r="MQ3">
        <f>IF('calcA'!DD$106=1,HC3,1)</f>
        <v/>
      </c>
      <c r="MR3">
        <f>IF('calcA'!DE$106=1,HD3,1)</f>
        <v/>
      </c>
      <c r="MS3">
        <f>IF('calcA'!DF$106=1,HE3,1)</f>
        <v/>
      </c>
      <c r="MT3">
        <f>IF('calcA'!DG$106=1,HF3,1)</f>
        <v/>
      </c>
      <c r="MU3">
        <f>IF('calcA'!DH$106=1,HG3,1)</f>
        <v/>
      </c>
      <c r="MV3">
        <f>IF('calcA'!DI$106=1,HH3,1)</f>
        <v/>
      </c>
      <c r="MW3">
        <f>IF('calcA'!DJ$106=1,HI3,1)</f>
        <v/>
      </c>
      <c r="MX3">
        <f>IF('calcA'!DK$106=1,HJ3,1)</f>
        <v/>
      </c>
      <c r="MY3">
        <f>IF('calcA'!DL$106=1,HK3,1)</f>
        <v/>
      </c>
      <c r="MZ3">
        <f>IF('calcA'!DM$106=1,HL3,1)</f>
        <v/>
      </c>
      <c r="NA3">
        <f>IF('calcA'!DN$106=1,HM3,1)</f>
        <v/>
      </c>
      <c r="NB3">
        <f>IF('calcA'!DO$106=1,HN3,1)</f>
        <v/>
      </c>
      <c r="NC3">
        <f>IF('calcA'!DP$106=1,HO3,1)</f>
        <v/>
      </c>
      <c r="ND3">
        <f>IF('calcA'!DQ$106=1,HP3,1)</f>
        <v/>
      </c>
      <c r="NE3">
        <f>IF('calcA'!DR$106=1,HQ3,1)</f>
        <v/>
      </c>
      <c r="NF3">
        <f>IF('calcA'!DS$106=1,HR3,1)</f>
        <v/>
      </c>
      <c r="NG3">
        <f>IF('calcA'!DT$106=1,HS3,1)</f>
        <v/>
      </c>
      <c r="NH3">
        <f>IF('calcA'!DU$106=1,HT3,1)</f>
        <v/>
      </c>
      <c r="NI3">
        <f>IF('calcA'!DV$106=1,HU3,1)</f>
        <v/>
      </c>
      <c r="NJ3">
        <f>IF('calcA'!DW$106=1,HV3,1)</f>
        <v/>
      </c>
      <c r="NK3">
        <f>IF('calcA'!DX$106=1,HW3,1)</f>
        <v/>
      </c>
      <c r="NL3">
        <f>IF('calcA'!DY$106=1,HX3,1)</f>
        <v/>
      </c>
      <c r="NM3">
        <f>IF('calcA'!DZ$106=1,HY3,1)</f>
        <v/>
      </c>
      <c r="NN3">
        <f>IF('calcA'!EA$106=1,HZ3,1)</f>
        <v/>
      </c>
      <c r="NO3">
        <f>IF('calcA'!EB$106=1,IA3,1)</f>
        <v/>
      </c>
      <c r="NP3">
        <f>IF('calcA'!EC$106=1,IB3,1)</f>
        <v/>
      </c>
      <c r="NQ3">
        <f>IF('calcA'!ED$106=1,IC3,1)</f>
        <v/>
      </c>
      <c r="NR3">
        <f>IF('calcA'!EE$106=1,ID3,1)</f>
        <v/>
      </c>
      <c r="NS3">
        <f>IF('calcA'!EF$106=1,IE3,1)</f>
        <v/>
      </c>
      <c r="NT3">
        <f>IF('calcA'!EG$106=1,IF3,1)</f>
        <v/>
      </c>
      <c r="NU3">
        <f>IF('calcA'!EH$106=1,IG3,1)</f>
        <v/>
      </c>
      <c r="NV3">
        <f>IF('calcA'!EI$106=1,IH3,1)</f>
        <v/>
      </c>
      <c r="NW3">
        <f>IF('calcA'!EJ$106=1,II3,1)</f>
        <v/>
      </c>
      <c r="NX3">
        <f>IF('calcA'!EK$106=1,IJ3,1)</f>
        <v/>
      </c>
      <c r="NY3">
        <f>IF('calcA'!EL$106=1,IK3,1)</f>
        <v/>
      </c>
      <c r="NZ3">
        <f>IF('calcA'!EM$106=1,IL3,1)</f>
        <v/>
      </c>
      <c r="OA3">
        <f>IF('calcA'!EN$106=1,IM3,1)</f>
        <v/>
      </c>
      <c r="OB3">
        <f>IF('calcA'!EO$106=1,IN3,1)</f>
        <v/>
      </c>
      <c r="OC3">
        <f>IF('calcA'!EP$106=1,IO3,1)</f>
        <v/>
      </c>
      <c r="OD3" t="n">
        <v>1</v>
      </c>
      <c r="OF3">
        <f>IF($B3=0,1000000000,IF(INDEX('calcA'!$D$60:$EQ$99,$B3,1)*IF($W3=1,DB3+ZQ3,DB3)=1,IF(AND($E3=2,IF($W3=1,AFF3,IQ3)=0),1000000000,IF($V3=1,INDEX('calcA'!$D$130:$EQ$169,$B3,1)+IF(AND($E3=1,IQ3=0),25,0),IF($F3&gt;0,INDEX('calcA'!D$110:D$114,$F3+1)+IF(AND($E3=1,IQ3=0),1000,0),MIN(TU3,20)*400+(IF('calcA'!D$106=1,1-DC3,0))*150+11+'calcA'!D$5*100000+IF(AND($E3=1,IQ3=0),50000,0))+IF($H3=1,INDEX('calcA'!$D$180:$EQ$219,$B3,1)*4000,0)-IF(AND($U3=1,'calcA'!D$117=1,DC3=0),2000,0))),1000000000))</f>
        <v/>
      </c>
      <c r="OG3">
        <f>IF($B3=0,1000000000,IF(INDEX('calcA'!$D$60:$EQ$99,$B3,2)*IF($W3=1,DC3+ZR3,DC3)=1,IF(AND($E3=2,IF($W3=1,AFG3,IR3)=0),1000000000,IF($V3=1,INDEX('calcA'!$D$130:$EQ$169,$B3,2)+IF(AND($E3=1,IR3=0),25,0),IF($F3&gt;0,INDEX('calcA'!E$110:E$114,$F3+1)+IF(AND($E3=1,IR3=0),1000,0),MIN(TU3,20)*400+(IF('calcA'!D$106=1,1-DB3,0)+IF('calcA'!E$106=1,1-DD3,0))*150+21+'calcA'!E$5*100000+IF(AND($E3=1,IR3=0),50000,0))+IF($H3=1,INDEX('calcA'!$D$180:$EQ$219,$B3,2)*4000,0)-IF(AND('calcA'!D$117=1,UB3&gt;0),2000,0)-IF(AND($U3=1,'calcA'!E$117=1,DD3=0),2000,0))),1000000000))</f>
        <v/>
      </c>
      <c r="OH3">
        <f>IF($B3=0,1000000000,IF(INDEX('calcA'!$D$60:$EQ$99,$B3,3)*IF($W3=1,DD3+ZS3,DD3)=1,IF(AND($E3=2,IF($W3=1,AFH3,IS3)=0),1000000000,IF($V3=1,INDEX('calcA'!$D$130:$EQ$169,$B3,3)+IF(AND($E3=1,IS3=0),25,0),IF($F3&gt;0,INDEX('calcA'!F$110:F$114,$F3+1)+IF(AND($E3=1,IS3=0),1000,0),MIN(TU3,20)*400+(IF('calcA'!E$106=1,1-DC3,0)+IF('calcA'!F$106=1,1-DE3,0))*150+31+'calcA'!F$5*100000+IF(AND($E3=1,IS3=0),50000,0))+IF($H3=1,INDEX('calcA'!$D$180:$EQ$219,$B3,3)*4000,0)-IF(AND('calcA'!E$117=1,UC3&gt;0),2000,0)-IF(AND($U3=1,'calcA'!F$117=1,DE3=0),2000,0))),1000000000))</f>
        <v/>
      </c>
      <c r="OI3">
        <f>IF($B3=0,1000000000,IF(INDEX('calcA'!$D$60:$EQ$99,$B3,4)*IF($W3=1,DE3+ZT3,DE3)=1,IF(AND($E3=2,IF($W3=1,AFI3,IT3)=0),1000000000,IF($V3=1,INDEX('calcA'!$D$130:$EQ$169,$B3,4)+IF(AND($E3=1,IT3=0),25,0),IF($F3&gt;0,INDEX('calcA'!G$110:G$114,$F3+1)+IF(AND($E3=1,IT3=0),1000,0),MIN(TU3,20)*400+(IF('calcA'!F$106=1,1-DD3,0)+IF('calcA'!G$106=1,1-DF3,0))*150+41+'calcA'!G$5*100000+IF(AND($E3=1,IT3=0),50000,0))+IF($H3=1,INDEX('calcA'!$D$180:$EQ$219,$B3,4)*4000,0)-IF(AND('calcA'!F$117=1,UD3&gt;0),2000,0)-IF(AND($U3=1,'calcA'!G$117=1,DF3=0),2000,0))),1000000000))</f>
        <v/>
      </c>
      <c r="OJ3">
        <f>IF($B3=0,1000000000,IF(INDEX('calcA'!$D$60:$EQ$99,$B3,5)*IF($W3=1,DF3+ZU3,DF3)=1,IF(AND($E3=2,IF($W3=1,AFJ3,IU3)=0),1000000000,IF($V3=1,INDEX('calcA'!$D$130:$EQ$169,$B3,5)+IF(AND($E3=1,IU3=0),25,0),IF($F3&gt;0,INDEX('calcA'!H$110:H$114,$F3+1)+IF(AND($E3=1,IU3=0),1000,0),MIN(TU3,20)*400+(IF('calcA'!G$106=1,1-DE3,0)+IF('calcA'!H$106=1,1-DG3,0))*150+51+'calcA'!H$5*100000+IF(AND($E3=1,IU3=0),50000,0))+IF($H3=1,INDEX('calcA'!$D$180:$EQ$219,$B3,5)*4000,0)-IF(AND('calcA'!G$117=1,UE3&gt;0),2000,0)-IF(AND($U3=1,'calcA'!H$117=1,DG3=0),2000,0))),1000000000))</f>
        <v/>
      </c>
      <c r="OK3">
        <f>IF($B3=0,1000000000,IF(INDEX('calcA'!$D$60:$EQ$99,$B3,6)*IF($W3=1,DG3+ZV3,DG3)=1,IF(AND($E3=2,IF($W3=1,AFK3,IV3)=0),1000000000,IF($V3=1,INDEX('calcA'!$D$130:$EQ$169,$B3,6)+IF(AND($E3=1,IV3=0),25,0),IF($F3&gt;0,INDEX('calcA'!I$110:I$114,$F3+1)+IF(AND($E3=1,IV3=0),1000,0),MIN(TU3,20)*400+(IF('calcA'!H$106=1,1-DF3,0)+IF('calcA'!I$106=1,1-DH3,0))*150+61+'calcA'!I$5*100000+IF(AND($E3=1,IV3=0),50000,0))+IF($H3=1,INDEX('calcA'!$D$180:$EQ$219,$B3,6)*4000,0)-IF(AND('calcA'!H$117=1,UF3&gt;0),2000,0)-IF(AND($U3=1,'calcA'!I$117=1,DH3=0),2000,0))),1000000000))</f>
        <v/>
      </c>
      <c r="OL3">
        <f>IF($B3=0,1000000000,IF(INDEX('calcA'!$D$60:$EQ$99,$B3,7)*IF($W3=1,DH3+ZW3,DH3)=1,IF(AND($E3=2,IF($W3=1,AFL3,IW3)=0),1000000000,IF($V3=1,INDEX('calcA'!$D$130:$EQ$169,$B3,7)+IF(AND($E3=1,IW3=0),25,0),IF($F3&gt;0,INDEX('calcA'!J$110:J$114,$F3+1)+IF(AND($E3=1,IW3=0),1000,0),MIN(TU3,20)*400+(IF('calcA'!I$106=1,1-DG3,0)+IF('calcA'!J$106=1,1-DI3,0))*150+71+'calcA'!J$5*100000+IF(AND($E3=1,IW3=0),50000,0))+IF($H3=1,INDEX('calcA'!$D$180:$EQ$219,$B3,7)*4000,0)-IF(AND('calcA'!I$117=1,UG3&gt;0),2000,0)-IF(AND($U3=1,'calcA'!J$117=1,DI3=0),2000,0))),1000000000))</f>
        <v/>
      </c>
      <c r="OM3">
        <f>IF($B3=0,1000000000,IF(INDEX('calcA'!$D$60:$EQ$99,$B3,8)*IF($W3=1,DI3+ZX3,DI3)=1,IF(AND($E3=2,IF($W3=1,AFM3,IX3)=0),1000000000,IF($V3=1,INDEX('calcA'!$D$130:$EQ$169,$B3,8)+IF(AND($E3=1,IX3=0),25,0),IF($F3&gt;0,INDEX('calcA'!K$110:K$114,$F3+1)+IF(AND($E3=1,IX3=0),1000,0),MIN(TU3,20)*400+(IF('calcA'!J$106=1,1-DH3,0)+IF('calcA'!K$106=1,1-DJ3,0))*150+81+'calcA'!K$5*100000+IF(AND($E3=1,IX3=0),50000,0))+IF($H3=1,INDEX('calcA'!$D$180:$EQ$219,$B3,8)*4000,0)-IF(AND('calcA'!J$117=1,UH3&gt;0),2000,0)-IF(AND($U3=1,'calcA'!K$117=1,DJ3=0),2000,0))),1000000000))</f>
        <v/>
      </c>
      <c r="ON3">
        <f>IF($B3=0,1000000000,IF(INDEX('calcA'!$D$60:$EQ$99,$B3,9)*IF($W3=1,DJ3+ZY3,DJ3)=1,IF(AND($E3=2,IF($W3=1,AFN3,IY3)=0),1000000000,IF($V3=1,INDEX('calcA'!$D$130:$EQ$169,$B3,9)+IF(AND($E3=1,IY3=0),25,0),IF($F3&gt;0,INDEX('calcA'!L$110:L$114,$F3+1)+IF(AND($E3=1,IY3=0),1000,0),MIN(TU3,20)*400+(IF('calcA'!K$106=1,1-DI3,0)+IF('calcA'!L$106=1,1-DK3,0))*150+91+'calcA'!L$5*100000+IF(AND($E3=1,IY3=0),50000,0))+IF($H3=1,INDEX('calcA'!$D$180:$EQ$219,$B3,9)*4000,0)-IF(AND('calcA'!K$117=1,UI3&gt;0),2000,0)-IF(AND($U3=1,'calcA'!L$117=1,DK3=0),2000,0))),1000000000))</f>
        <v/>
      </c>
      <c r="OO3">
        <f>IF($B3=0,1000000000,IF(INDEX('calcA'!$D$60:$EQ$99,$B3,10)*IF($W3=1,DK3+ZZ3,DK3)=1,IF(AND($E3=2,IF($W3=1,AFO3,IZ3)=0),1000000000,IF($V3=1,INDEX('calcA'!$D$130:$EQ$169,$B3,10)+IF(AND($E3=1,IZ3=0),25,0),IF($F3&gt;0,INDEX('calcA'!M$110:M$114,$F3+1)+IF(AND($E3=1,IZ3=0),1000,0),MIN(TU3,20)*400+(IF('calcA'!L$106=1,1-DJ3,0)+IF('calcA'!M$106=1,1-DL3,0))*150+101+'calcA'!M$5*100000+IF(AND($E3=1,IZ3=0),50000,0))+IF($H3=1,INDEX('calcA'!$D$180:$EQ$219,$B3,10)*4000,0)-IF(AND('calcA'!L$117=1,UJ3&gt;0),2000,0)-IF(AND($U3=1,'calcA'!M$117=1,DL3=0),2000,0))),1000000000))</f>
        <v/>
      </c>
      <c r="OP3">
        <f>IF($B3=0,1000000000,IF(INDEX('calcA'!$D$60:$EQ$99,$B3,11)*IF($W3=1,DL3+AAA3,DL3)=1,IF(AND($E3=2,IF($W3=1,AFP3,JA3)=0),1000000000,IF($V3=1,INDEX('calcA'!$D$130:$EQ$169,$B3,11)+IF(AND($E3=1,JA3=0),25,0),IF($F3&gt;0,INDEX('calcA'!N$110:N$114,$F3+1)+IF(AND($E3=1,JA3=0),1000,0),MIN(TU3,20)*400+(IF('calcA'!M$106=1,1-DK3,0)+IF('calcA'!N$106=1,1-DM3,0))*150+111+'calcA'!N$5*100000+IF(AND($E3=1,JA3=0),50000,0))+IF($H3=1,INDEX('calcA'!$D$180:$EQ$219,$B3,11)*4000,0)-IF(AND('calcA'!M$117=1,UK3&gt;0),2000,0)-IF(AND($U3=1,'calcA'!N$117=1,DM3=0),2000,0))),1000000000))</f>
        <v/>
      </c>
      <c r="OQ3">
        <f>IF($B3=0,1000000000,IF(INDEX('calcA'!$D$60:$EQ$99,$B3,12)*IF($W3=1,DM3+AAB3,DM3)=1,IF(AND($E3=2,IF($W3=1,AFQ3,JB3)=0),1000000000,IF($V3=1,INDEX('calcA'!$D$130:$EQ$169,$B3,12)+IF(AND($E3=1,JB3=0),25,0),IF($F3&gt;0,INDEX('calcA'!O$110:O$114,$F3+1)+IF(AND($E3=1,JB3=0),1000,0),MIN(TU3,20)*400+(IF('calcA'!N$106=1,1-DL3,0)+IF('calcA'!O$106=1,1-DN3,0))*150+121+'calcA'!O$5*100000+IF(AND($E3=1,JB3=0),50000,0))+IF($H3=1,INDEX('calcA'!$D$180:$EQ$219,$B3,12)*4000,0)-IF(AND('calcA'!N$117=1,UL3&gt;0),2000,0)-IF(AND($U3=1,'calcA'!O$117=1,DN3=0),2000,0))),1000000000))</f>
        <v/>
      </c>
      <c r="OR3">
        <f>IF($B3=0,1000000000,IF(INDEX('calcA'!$D$60:$EQ$99,$B3,13)*IF($W3=1,DN3+AAC3,DN3)=1,IF(AND($E3=2,IF($W3=1,AFR3,JC3)=0),1000000000,IF($V3=1,INDEX('calcA'!$D$130:$EQ$169,$B3,13)+IF(AND($E3=1,JC3=0),25,0),IF($F3&gt;0,INDEX('calcA'!P$110:P$114,$F3+1)+IF(AND($E3=1,JC3=0),1000,0),MIN(TU3,20)*400+(IF('calcA'!O$106=1,1-DM3,0)+IF('calcA'!P$106=1,1-DO3,0))*150+131+'calcA'!P$5*100000+IF(AND($E3=1,JC3=0),50000,0))+IF($H3=1,INDEX('calcA'!$D$180:$EQ$219,$B3,13)*4000,0)-IF(AND('calcA'!O$117=1,UM3&gt;0),2000,0)-IF(AND($U3=1,'calcA'!P$117=1,DO3=0),2000,0))),1000000000))</f>
        <v/>
      </c>
      <c r="OS3">
        <f>IF($B3=0,1000000000,IF(INDEX('calcA'!$D$60:$EQ$99,$B3,14)*IF($W3=1,DO3+AAD3,DO3)=1,IF(AND($E3=2,IF($W3=1,AFS3,JD3)=0),1000000000,IF($V3=1,INDEX('calcA'!$D$130:$EQ$169,$B3,14)+IF(AND($E3=1,JD3=0),25,0),IF($F3&gt;0,INDEX('calcA'!Q$110:Q$114,$F3+1)+IF(AND($E3=1,JD3=0),1000,0),MIN(TU3,20)*400+(IF('calcA'!P$106=1,1-DN3,0)+IF('calcA'!Q$106=1,1-DP3,0))*150+141+'calcA'!Q$5*100000+IF(AND($E3=1,JD3=0),50000,0))+IF($H3=1,INDEX('calcA'!$D$180:$EQ$219,$B3,14)*4000,0)-IF(AND('calcA'!P$117=1,UN3&gt;0),2000,0)-IF(AND($U3=1,'calcA'!Q$117=1,DP3=0),2000,0))),1000000000))</f>
        <v/>
      </c>
      <c r="OT3">
        <f>IF($B3=0,1000000000,IF(INDEX('calcA'!$D$60:$EQ$99,$B3,15)*IF($W3=1,DP3+AAE3,DP3)=1,IF(AND($E3=2,IF($W3=1,AFT3,JE3)=0),1000000000,IF($V3=1,INDEX('calcA'!$D$130:$EQ$169,$B3,15)+IF(AND($E3=1,JE3=0),25,0),IF($F3&gt;0,INDEX('calcA'!R$110:R$114,$F3+1)+IF(AND($E3=1,JE3=0),1000,0),MIN(TU3,20)*400+(IF('calcA'!Q$106=1,1-DO3,0)+IF('calcA'!R$106=1,1-DQ3,0))*150+151+'calcA'!R$5*100000+IF(AND($E3=1,JE3=0),50000,0))+IF($H3=1,INDEX('calcA'!$D$180:$EQ$219,$B3,15)*4000,0)-IF(AND('calcA'!Q$117=1,UO3&gt;0),2000,0)-IF(AND($U3=1,'calcA'!R$117=1,DQ3=0),2000,0))),1000000000))</f>
        <v/>
      </c>
      <c r="OU3">
        <f>IF($B3=0,1000000000,IF(INDEX('calcA'!$D$60:$EQ$99,$B3,16)*IF($W3=1,DQ3+AAF3,DQ3)=1,IF(AND($E3=2,IF($W3=1,AFU3,JF3)=0),1000000000,IF($V3=1,INDEX('calcA'!$D$130:$EQ$169,$B3,16)+IF(AND($E3=1,JF3=0),25,0),IF($F3&gt;0,INDEX('calcA'!S$110:S$114,$F3+1)+IF(AND($E3=1,JF3=0),1000,0),MIN(TU3,20)*400+(IF('calcA'!R$106=1,1-DP3,0)+IF('calcA'!S$106=1,1-DR3,0))*150+161+'calcA'!S$5*100000+IF(AND($E3=1,JF3=0),50000,0))+IF($H3=1,INDEX('calcA'!$D$180:$EQ$219,$B3,16)*4000,0)-IF(AND('calcA'!R$117=1,UP3&gt;0),2000,0)-IF(AND($U3=1,'calcA'!S$117=1,DR3=0),2000,0))),1000000000))</f>
        <v/>
      </c>
      <c r="OV3">
        <f>IF($B3=0,1000000000,IF(INDEX('calcA'!$D$60:$EQ$99,$B3,17)*IF($W3=1,DR3+AAG3,DR3)=1,IF(AND($E3=2,IF($W3=1,AFV3,JG3)=0),1000000000,IF($V3=1,INDEX('calcA'!$D$130:$EQ$169,$B3,17)+IF(AND($E3=1,JG3=0),25,0),IF($F3&gt;0,INDEX('calcA'!T$110:T$114,$F3+1)+IF(AND($E3=1,JG3=0),1000,0),MIN(TU3,20)*400+(IF('calcA'!S$106=1,1-DQ3,0)+IF('calcA'!T$106=1,1-DS3,0))*150+171+'calcA'!T$5*100000+IF(AND($E3=1,JG3=0),50000,0))+IF($H3=1,INDEX('calcA'!$D$180:$EQ$219,$B3,17)*4000,0)-IF(AND('calcA'!S$117=1,UQ3&gt;0),2000,0)-IF(AND($U3=1,'calcA'!T$117=1,DS3=0),2000,0))),1000000000))</f>
        <v/>
      </c>
      <c r="OW3">
        <f>IF($B3=0,1000000000,IF(INDEX('calcA'!$D$60:$EQ$99,$B3,18)*IF($W3=1,DS3+AAH3,DS3)=1,IF(AND($E3=2,IF($W3=1,AFW3,JH3)=0),1000000000,IF($V3=1,INDEX('calcA'!$D$130:$EQ$169,$B3,18)+IF(AND($E3=1,JH3=0),25,0),IF($F3&gt;0,INDEX('calcA'!U$110:U$114,$F3+1)+IF(AND($E3=1,JH3=0),1000,0),MIN(TU3,20)*400+(IF('calcA'!T$106=1,1-DR3,0)+IF('calcA'!U$106=1,1-DT3,0))*150+181+'calcA'!U$5*100000+IF(AND($E3=1,JH3=0),50000,0))+IF($H3=1,INDEX('calcA'!$D$180:$EQ$219,$B3,18)*4000,0)-IF(AND('calcA'!T$117=1,UR3&gt;0),2000,0)-IF(AND($U3=1,'calcA'!U$117=1,DT3=0),2000,0))),1000000000))</f>
        <v/>
      </c>
      <c r="OX3">
        <f>IF($B3=0,1000000000,IF(INDEX('calcA'!$D$60:$EQ$99,$B3,19)*IF($W3=1,DT3+AAI3,DT3)=1,IF(AND($E3=2,IF($W3=1,AFX3,JI3)=0),1000000000,IF($V3=1,INDEX('calcA'!$D$130:$EQ$169,$B3,19)+IF(AND($E3=1,JI3=0),25,0),IF($F3&gt;0,INDEX('calcA'!V$110:V$114,$F3+1)+IF(AND($E3=1,JI3=0),1000,0),MIN(TU3,20)*400+(IF('calcA'!U$106=1,1-DS3,0)+IF('calcA'!V$106=1,1-DU3,0))*150+191+'calcA'!V$5*100000+IF(AND($E3=1,JI3=0),50000,0))+IF($H3=1,INDEX('calcA'!$D$180:$EQ$219,$B3,19)*4000,0)-IF(AND('calcA'!U$117=1,US3&gt;0),2000,0)-IF(AND($U3=1,'calcA'!V$117=1,DU3=0),2000,0))),1000000000))</f>
        <v/>
      </c>
      <c r="OY3">
        <f>IF($B3=0,1000000000,IF(INDEX('calcA'!$D$60:$EQ$99,$B3,20)*IF($W3=1,DU3+AAJ3,DU3)=1,IF(AND($E3=2,IF($W3=1,AFY3,JJ3)=0),1000000000,IF($V3=1,INDEX('calcA'!$D$130:$EQ$169,$B3,20)+IF(AND($E3=1,JJ3=0),25,0),IF($F3&gt;0,INDEX('calcA'!W$110:W$114,$F3+1)+IF(AND($E3=1,JJ3=0),1000,0),MIN(TU3,20)*400+(IF('calcA'!V$106=1,1-DT3,0)+IF('calcA'!W$106=1,1-DV3,0))*150+201+'calcA'!W$5*100000+IF(AND($E3=1,JJ3=0),50000,0))+IF($H3=1,INDEX('calcA'!$D$180:$EQ$219,$B3,20)*4000,0)-IF(AND('calcA'!V$117=1,UT3&gt;0),2000,0)-IF(AND($U3=1,'calcA'!W$117=1,DV3=0),2000,0))),1000000000))</f>
        <v/>
      </c>
      <c r="OZ3">
        <f>IF($B3=0,1000000000,IF(INDEX('calcA'!$D$60:$EQ$99,$B3,21)*IF($W3=1,DV3+AAK3,DV3)=1,IF(AND($E3=2,IF($W3=1,AFZ3,JK3)=0),1000000000,IF($V3=1,INDEX('calcA'!$D$130:$EQ$169,$B3,21)+IF(AND($E3=1,JK3=0),25,0),IF($F3&gt;0,INDEX('calcA'!X$110:X$114,$F3+1)+IF(AND($E3=1,JK3=0),1000,0),MIN(TU3,20)*400+(IF('calcA'!W$106=1,1-DU3,0)+IF('calcA'!X$106=1,1-DW3,0))*150+211+'calcA'!X$5*100000+IF(AND($E3=1,JK3=0),50000,0))+IF($H3=1,INDEX('calcA'!$D$180:$EQ$219,$B3,21)*4000,0)-IF(AND('calcA'!W$117=1,UU3&gt;0),2000,0)-IF(AND($U3=1,'calcA'!X$117=1,DW3=0),2000,0))),1000000000))</f>
        <v/>
      </c>
      <c r="PA3">
        <f>IF($B3=0,1000000000,IF(INDEX('calcA'!$D$60:$EQ$99,$B3,22)*IF($W3=1,DW3+AAL3,DW3)=1,IF(AND($E3=2,IF($W3=1,AGA3,JL3)=0),1000000000,IF($V3=1,INDEX('calcA'!$D$130:$EQ$169,$B3,22)+IF(AND($E3=1,JL3=0),25,0),IF($F3&gt;0,INDEX('calcA'!Y$110:Y$114,$F3+1)+IF(AND($E3=1,JL3=0),1000,0),MIN(TU3,20)*400+(IF('calcA'!X$106=1,1-DV3,0)+IF('calcA'!Y$106=1,1-DX3,0))*150+221+'calcA'!Y$5*100000+IF(AND($E3=1,JL3=0),50000,0))+IF($H3=1,INDEX('calcA'!$D$180:$EQ$219,$B3,22)*4000,0)-IF(AND('calcA'!X$117=1,UV3&gt;0),2000,0)-IF(AND($U3=1,'calcA'!Y$117=1,DX3=0),2000,0))),1000000000))</f>
        <v/>
      </c>
      <c r="PB3">
        <f>IF($B3=0,1000000000,IF(INDEX('calcA'!$D$60:$EQ$99,$B3,23)*IF($W3=1,DX3+AAM3,DX3)=1,IF(AND($E3=2,IF($W3=1,AGB3,JM3)=0),1000000000,IF($V3=1,INDEX('calcA'!$D$130:$EQ$169,$B3,23)+IF(AND($E3=1,JM3=0),25,0),IF($F3&gt;0,INDEX('calcA'!Z$110:Z$114,$F3+1)+IF(AND($E3=1,JM3=0),1000,0),MIN(TU3,20)*400+(IF('calcA'!Y$106=1,1-DW3,0)+IF('calcA'!Z$106=1,1-DY3,0))*150+231+'calcA'!Z$5*100000+IF(AND($E3=1,JM3=0),50000,0))+IF($H3=1,INDEX('calcA'!$D$180:$EQ$219,$B3,23)*4000,0)-IF(AND('calcA'!Y$117=1,UW3&gt;0),2000,0)-IF(AND($U3=1,'calcA'!Z$117=1,DY3=0),2000,0))),1000000000))</f>
        <v/>
      </c>
      <c r="PC3">
        <f>IF($B3=0,1000000000,IF(INDEX('calcA'!$D$60:$EQ$99,$B3,24)*IF($W3=1,DY3+AAN3,DY3)=1,IF(AND($E3=2,IF($W3=1,AGC3,JN3)=0),1000000000,IF($V3=1,INDEX('calcA'!$D$130:$EQ$169,$B3,24)+IF(AND($E3=1,JN3=0),25,0),IF($F3&gt;0,INDEX('calcA'!AA$110:AA$114,$F3+1)+IF(AND($E3=1,JN3=0),1000,0),MIN(TU3,20)*400+(IF('calcA'!Z$106=1,1-DX3,0))*150+241+'calcA'!AA$5*100000+IF(AND($E3=1,JN3=0),50000,0))+IF($H3=1,INDEX('calcA'!$D$180:$EQ$219,$B3,24)*4000,0)-IF(AND('calcA'!Z$117=1,UX3&gt;0),2000,0))),1000000000))</f>
        <v/>
      </c>
      <c r="PD3">
        <f>IF($B3=0,1000000000,IF(INDEX('calcA'!$D$60:$EQ$99,$B3,25)*IF($W3=1,DZ3+AAO3,DZ3)=1,IF(AND($E3=2,IF($W3=1,AGD3,JO3)=0),1000000000,IF($V3=1,INDEX('calcA'!$D$130:$EQ$169,$B3,25)+IF(AND($E3=1,JO3=0),25,0),IF($F3&gt;0,INDEX('calcA'!AB$110:AB$114,$F3+1)+IF(AND($E3=1,JO3=0),1000,0),MIN(TV3,20)*400+(IF('calcA'!AB$106=1,1-EA3,0))*150+12+'calcA'!AB$5*100000+IF(AND($E3=1,JO3=0),50000,0))+IF($H3=1,INDEX('calcA'!$D$180:$EQ$219,$B3,25)*4000,0)-IF(AND($U3=1,'calcA'!AB$117=1,EA3=0),2000,0))),1000000000))</f>
        <v/>
      </c>
      <c r="PE3">
        <f>IF($B3=0,1000000000,IF(INDEX('calcA'!$D$60:$EQ$99,$B3,26)*IF($W3=1,EA3+AAP3,EA3)=1,IF(AND($E3=2,IF($W3=1,AGE3,JP3)=0),1000000000,IF($V3=1,INDEX('calcA'!$D$130:$EQ$169,$B3,26)+IF(AND($E3=1,JP3=0),25,0),IF($F3&gt;0,INDEX('calcA'!AC$110:AC$114,$F3+1)+IF(AND($E3=1,JP3=0),1000,0),MIN(TV3,20)*400+(IF('calcA'!AB$106=1,1-DZ3,0)+IF('calcA'!AC$106=1,1-EB3,0))*150+22+'calcA'!AC$5*100000+IF(AND($E3=1,JP3=0),50000,0))+IF($H3=1,INDEX('calcA'!$D$180:$EQ$219,$B3,26)*4000,0)-IF(AND('calcA'!AB$117=1,UZ3&gt;0),2000,0)-IF(AND($U3=1,'calcA'!AC$117=1,EB3=0),2000,0))),1000000000))</f>
        <v/>
      </c>
      <c r="PF3">
        <f>IF($B3=0,1000000000,IF(INDEX('calcA'!$D$60:$EQ$99,$B3,27)*IF($W3=1,EB3+AAQ3,EB3)=1,IF(AND($E3=2,IF($W3=1,AGF3,JQ3)=0),1000000000,IF($V3=1,INDEX('calcA'!$D$130:$EQ$169,$B3,27)+IF(AND($E3=1,JQ3=0),25,0),IF($F3&gt;0,INDEX('calcA'!AD$110:AD$114,$F3+1)+IF(AND($E3=1,JQ3=0),1000,0),MIN(TV3,20)*400+(IF('calcA'!AC$106=1,1-EA3,0)+IF('calcA'!AD$106=1,1-EC3,0))*150+32+'calcA'!AD$5*100000+IF(AND($E3=1,JQ3=0),50000,0))+IF($H3=1,INDEX('calcA'!$D$180:$EQ$219,$B3,27)*4000,0)-IF(AND('calcA'!AC$117=1,VA3&gt;0),2000,0)-IF(AND($U3=1,'calcA'!AD$117=1,EC3=0),2000,0))),1000000000))</f>
        <v/>
      </c>
      <c r="PG3">
        <f>IF($B3=0,1000000000,IF(INDEX('calcA'!$D$60:$EQ$99,$B3,28)*IF($W3=1,EC3+AAR3,EC3)=1,IF(AND($E3=2,IF($W3=1,AGG3,JR3)=0),1000000000,IF($V3=1,INDEX('calcA'!$D$130:$EQ$169,$B3,28)+IF(AND($E3=1,JR3=0),25,0),IF($F3&gt;0,INDEX('calcA'!AE$110:AE$114,$F3+1)+IF(AND($E3=1,JR3=0),1000,0),MIN(TV3,20)*400+(IF('calcA'!AD$106=1,1-EB3,0)+IF('calcA'!AE$106=1,1-ED3,0))*150+42+'calcA'!AE$5*100000+IF(AND($E3=1,JR3=0),50000,0))+IF($H3=1,INDEX('calcA'!$D$180:$EQ$219,$B3,28)*4000,0)-IF(AND('calcA'!AD$117=1,VB3&gt;0),2000,0)-IF(AND($U3=1,'calcA'!AE$117=1,ED3=0),2000,0))),1000000000))</f>
        <v/>
      </c>
      <c r="PH3">
        <f>IF($B3=0,1000000000,IF(INDEX('calcA'!$D$60:$EQ$99,$B3,29)*IF($W3=1,ED3+AAS3,ED3)=1,IF(AND($E3=2,IF($W3=1,AGH3,JS3)=0),1000000000,IF($V3=1,INDEX('calcA'!$D$130:$EQ$169,$B3,29)+IF(AND($E3=1,JS3=0),25,0),IF($F3&gt;0,INDEX('calcA'!AF$110:AF$114,$F3+1)+IF(AND($E3=1,JS3=0),1000,0),MIN(TV3,20)*400+(IF('calcA'!AE$106=1,1-EC3,0)+IF('calcA'!AF$106=1,1-EE3,0))*150+52+'calcA'!AF$5*100000+IF(AND($E3=1,JS3=0),50000,0))+IF($H3=1,INDEX('calcA'!$D$180:$EQ$219,$B3,29)*4000,0)-IF(AND('calcA'!AE$117=1,VC3&gt;0),2000,0)-IF(AND($U3=1,'calcA'!AF$117=1,EE3=0),2000,0))),1000000000))</f>
        <v/>
      </c>
      <c r="PI3">
        <f>IF($B3=0,1000000000,IF(INDEX('calcA'!$D$60:$EQ$99,$B3,30)*IF($W3=1,EE3+AAT3,EE3)=1,IF(AND($E3=2,IF($W3=1,AGI3,JT3)=0),1000000000,IF($V3=1,INDEX('calcA'!$D$130:$EQ$169,$B3,30)+IF(AND($E3=1,JT3=0),25,0),IF($F3&gt;0,INDEX('calcA'!AG$110:AG$114,$F3+1)+IF(AND($E3=1,JT3=0),1000,0),MIN(TV3,20)*400+(IF('calcA'!AF$106=1,1-ED3,0)+IF('calcA'!AG$106=1,1-EF3,0))*150+62+'calcA'!AG$5*100000+IF(AND($E3=1,JT3=0),50000,0))+IF($H3=1,INDEX('calcA'!$D$180:$EQ$219,$B3,30)*4000,0)-IF(AND('calcA'!AF$117=1,VD3&gt;0),2000,0)-IF(AND($U3=1,'calcA'!AG$117=1,EF3=0),2000,0))),1000000000))</f>
        <v/>
      </c>
      <c r="PJ3">
        <f>IF($B3=0,1000000000,IF(INDEX('calcA'!$D$60:$EQ$99,$B3,31)*IF($W3=1,EF3+AAU3,EF3)=1,IF(AND($E3=2,IF($W3=1,AGJ3,JU3)=0),1000000000,IF($V3=1,INDEX('calcA'!$D$130:$EQ$169,$B3,31)+IF(AND($E3=1,JU3=0),25,0),IF($F3&gt;0,INDEX('calcA'!AH$110:AH$114,$F3+1)+IF(AND($E3=1,JU3=0),1000,0),MIN(TV3,20)*400+(IF('calcA'!AG$106=1,1-EE3,0)+IF('calcA'!AH$106=1,1-EG3,0))*150+72+'calcA'!AH$5*100000+IF(AND($E3=1,JU3=0),50000,0))+IF($H3=1,INDEX('calcA'!$D$180:$EQ$219,$B3,31)*4000,0)-IF(AND('calcA'!AG$117=1,VE3&gt;0),2000,0)-IF(AND($U3=1,'calcA'!AH$117=1,EG3=0),2000,0))),1000000000))</f>
        <v/>
      </c>
      <c r="PK3">
        <f>IF($B3=0,1000000000,IF(INDEX('calcA'!$D$60:$EQ$99,$B3,32)*IF($W3=1,EG3+AAV3,EG3)=1,IF(AND($E3=2,IF($W3=1,AGK3,JV3)=0),1000000000,IF($V3=1,INDEX('calcA'!$D$130:$EQ$169,$B3,32)+IF(AND($E3=1,JV3=0),25,0),IF($F3&gt;0,INDEX('calcA'!AI$110:AI$114,$F3+1)+IF(AND($E3=1,JV3=0),1000,0),MIN(TV3,20)*400+(IF('calcA'!AH$106=1,1-EF3,0)+IF('calcA'!AI$106=1,1-EH3,0))*150+82+'calcA'!AI$5*100000+IF(AND($E3=1,JV3=0),50000,0))+IF($H3=1,INDEX('calcA'!$D$180:$EQ$219,$B3,32)*4000,0)-IF(AND('calcA'!AH$117=1,VF3&gt;0),2000,0)-IF(AND($U3=1,'calcA'!AI$117=1,EH3=0),2000,0))),1000000000))</f>
        <v/>
      </c>
      <c r="PL3">
        <f>IF($B3=0,1000000000,IF(INDEX('calcA'!$D$60:$EQ$99,$B3,33)*IF($W3=1,EH3+AAW3,EH3)=1,IF(AND($E3=2,IF($W3=1,AGL3,JW3)=0),1000000000,IF($V3=1,INDEX('calcA'!$D$130:$EQ$169,$B3,33)+IF(AND($E3=1,JW3=0),25,0),IF($F3&gt;0,INDEX('calcA'!AJ$110:AJ$114,$F3+1)+IF(AND($E3=1,JW3=0),1000,0),MIN(TV3,20)*400+(IF('calcA'!AI$106=1,1-EG3,0)+IF('calcA'!AJ$106=1,1-EI3,0))*150+92+'calcA'!AJ$5*100000+IF(AND($E3=1,JW3=0),50000,0))+IF($H3=1,INDEX('calcA'!$D$180:$EQ$219,$B3,33)*4000,0)-IF(AND('calcA'!AI$117=1,VG3&gt;0),2000,0)-IF(AND($U3=1,'calcA'!AJ$117=1,EI3=0),2000,0))),1000000000))</f>
        <v/>
      </c>
      <c r="PM3">
        <f>IF($B3=0,1000000000,IF(INDEX('calcA'!$D$60:$EQ$99,$B3,34)*IF($W3=1,EI3+AAX3,EI3)=1,IF(AND($E3=2,IF($W3=1,AGM3,JX3)=0),1000000000,IF($V3=1,INDEX('calcA'!$D$130:$EQ$169,$B3,34)+IF(AND($E3=1,JX3=0),25,0),IF($F3&gt;0,INDEX('calcA'!AK$110:AK$114,$F3+1)+IF(AND($E3=1,JX3=0),1000,0),MIN(TV3,20)*400+(IF('calcA'!AJ$106=1,1-EH3,0)+IF('calcA'!AK$106=1,1-EJ3,0))*150+102+'calcA'!AK$5*100000+IF(AND($E3=1,JX3=0),50000,0))+IF($H3=1,INDEX('calcA'!$D$180:$EQ$219,$B3,34)*4000,0)-IF(AND('calcA'!AJ$117=1,VH3&gt;0),2000,0)-IF(AND($U3=1,'calcA'!AK$117=1,EJ3=0),2000,0))),1000000000))</f>
        <v/>
      </c>
      <c r="PN3">
        <f>IF($B3=0,1000000000,IF(INDEX('calcA'!$D$60:$EQ$99,$B3,35)*IF($W3=1,EJ3+AAY3,EJ3)=1,IF(AND($E3=2,IF($W3=1,AGN3,JY3)=0),1000000000,IF($V3=1,INDEX('calcA'!$D$130:$EQ$169,$B3,35)+IF(AND($E3=1,JY3=0),25,0),IF($F3&gt;0,INDEX('calcA'!AL$110:AL$114,$F3+1)+IF(AND($E3=1,JY3=0),1000,0),MIN(TV3,20)*400+(IF('calcA'!AK$106=1,1-EI3,0)+IF('calcA'!AL$106=1,1-EK3,0))*150+112+'calcA'!AL$5*100000+IF(AND($E3=1,JY3=0),50000,0))+IF($H3=1,INDEX('calcA'!$D$180:$EQ$219,$B3,35)*4000,0)-IF(AND('calcA'!AK$117=1,VI3&gt;0),2000,0)-IF(AND($U3=1,'calcA'!AL$117=1,EK3=0),2000,0))),1000000000))</f>
        <v/>
      </c>
      <c r="PO3">
        <f>IF($B3=0,1000000000,IF(INDEX('calcA'!$D$60:$EQ$99,$B3,36)*IF($W3=1,EK3+AAZ3,EK3)=1,IF(AND($E3=2,IF($W3=1,AGO3,JZ3)=0),1000000000,IF($V3=1,INDEX('calcA'!$D$130:$EQ$169,$B3,36)+IF(AND($E3=1,JZ3=0),25,0),IF($F3&gt;0,INDEX('calcA'!AM$110:AM$114,$F3+1)+IF(AND($E3=1,JZ3=0),1000,0),MIN(TV3,20)*400+(IF('calcA'!AL$106=1,1-EJ3,0)+IF('calcA'!AM$106=1,1-EL3,0))*150+122+'calcA'!AM$5*100000+IF(AND($E3=1,JZ3=0),50000,0))+IF($H3=1,INDEX('calcA'!$D$180:$EQ$219,$B3,36)*4000,0)-IF(AND('calcA'!AL$117=1,VJ3&gt;0),2000,0)-IF(AND($U3=1,'calcA'!AM$117=1,EL3=0),2000,0))),1000000000))</f>
        <v/>
      </c>
      <c r="PP3">
        <f>IF($B3=0,1000000000,IF(INDEX('calcA'!$D$60:$EQ$99,$B3,37)*IF($W3=1,EL3+ABA3,EL3)=1,IF(AND($E3=2,IF($W3=1,AGP3,KA3)=0),1000000000,IF($V3=1,INDEX('calcA'!$D$130:$EQ$169,$B3,37)+IF(AND($E3=1,KA3=0),25,0),IF($F3&gt;0,INDEX('calcA'!AN$110:AN$114,$F3+1)+IF(AND($E3=1,KA3=0),1000,0),MIN(TV3,20)*400+(IF('calcA'!AM$106=1,1-EK3,0)+IF('calcA'!AN$106=1,1-EM3,0))*150+132+'calcA'!AN$5*100000+IF(AND($E3=1,KA3=0),50000,0))+IF($H3=1,INDEX('calcA'!$D$180:$EQ$219,$B3,37)*4000,0)-IF(AND('calcA'!AM$117=1,VK3&gt;0),2000,0)-IF(AND($U3=1,'calcA'!AN$117=1,EM3=0),2000,0))),1000000000))</f>
        <v/>
      </c>
      <c r="PQ3">
        <f>IF($B3=0,1000000000,IF(INDEX('calcA'!$D$60:$EQ$99,$B3,38)*IF($W3=1,EM3+ABB3,EM3)=1,IF(AND($E3=2,IF($W3=1,AGQ3,KB3)=0),1000000000,IF($V3=1,INDEX('calcA'!$D$130:$EQ$169,$B3,38)+IF(AND($E3=1,KB3=0),25,0),IF($F3&gt;0,INDEX('calcA'!AO$110:AO$114,$F3+1)+IF(AND($E3=1,KB3=0),1000,0),MIN(TV3,20)*400+(IF('calcA'!AN$106=1,1-EL3,0)+IF('calcA'!AO$106=1,1-EN3,0))*150+142+'calcA'!AO$5*100000+IF(AND($E3=1,KB3=0),50000,0))+IF($H3=1,INDEX('calcA'!$D$180:$EQ$219,$B3,38)*4000,0)-IF(AND('calcA'!AN$117=1,VL3&gt;0),2000,0)-IF(AND($U3=1,'calcA'!AO$117=1,EN3=0),2000,0))),1000000000))</f>
        <v/>
      </c>
      <c r="PR3">
        <f>IF($B3=0,1000000000,IF(INDEX('calcA'!$D$60:$EQ$99,$B3,39)*IF($W3=1,EN3+ABC3,EN3)=1,IF(AND($E3=2,IF($W3=1,AGR3,KC3)=0),1000000000,IF($V3=1,INDEX('calcA'!$D$130:$EQ$169,$B3,39)+IF(AND($E3=1,KC3=0),25,0),IF($F3&gt;0,INDEX('calcA'!AP$110:AP$114,$F3+1)+IF(AND($E3=1,KC3=0),1000,0),MIN(TV3,20)*400+(IF('calcA'!AO$106=1,1-EM3,0)+IF('calcA'!AP$106=1,1-EO3,0))*150+152+'calcA'!AP$5*100000+IF(AND($E3=1,KC3=0),50000,0))+IF($H3=1,INDEX('calcA'!$D$180:$EQ$219,$B3,39)*4000,0)-IF(AND('calcA'!AO$117=1,VM3&gt;0),2000,0)-IF(AND($U3=1,'calcA'!AP$117=1,EO3=0),2000,0))),1000000000))</f>
        <v/>
      </c>
      <c r="PS3">
        <f>IF($B3=0,1000000000,IF(INDEX('calcA'!$D$60:$EQ$99,$B3,40)*IF($W3=1,EO3+ABD3,EO3)=1,IF(AND($E3=2,IF($W3=1,AGS3,KD3)=0),1000000000,IF($V3=1,INDEX('calcA'!$D$130:$EQ$169,$B3,40)+IF(AND($E3=1,KD3=0),25,0),IF($F3&gt;0,INDEX('calcA'!AQ$110:AQ$114,$F3+1)+IF(AND($E3=1,KD3=0),1000,0),MIN(TV3,20)*400+(IF('calcA'!AP$106=1,1-EN3,0)+IF('calcA'!AQ$106=1,1-EP3,0))*150+162+'calcA'!AQ$5*100000+IF(AND($E3=1,KD3=0),50000,0))+IF($H3=1,INDEX('calcA'!$D$180:$EQ$219,$B3,40)*4000,0)-IF(AND('calcA'!AP$117=1,VN3&gt;0),2000,0)-IF(AND($U3=1,'calcA'!AQ$117=1,EP3=0),2000,0))),1000000000))</f>
        <v/>
      </c>
      <c r="PT3">
        <f>IF($B3=0,1000000000,IF(INDEX('calcA'!$D$60:$EQ$99,$B3,41)*IF($W3=1,EP3+ABE3,EP3)=1,IF(AND($E3=2,IF($W3=1,AGT3,KE3)=0),1000000000,IF($V3=1,INDEX('calcA'!$D$130:$EQ$169,$B3,41)+IF(AND($E3=1,KE3=0),25,0),IF($F3&gt;0,INDEX('calcA'!AR$110:AR$114,$F3+1)+IF(AND($E3=1,KE3=0),1000,0),MIN(TV3,20)*400+(IF('calcA'!AQ$106=1,1-EO3,0)+IF('calcA'!AR$106=1,1-EQ3,0))*150+172+'calcA'!AR$5*100000+IF(AND($E3=1,KE3=0),50000,0))+IF($H3=1,INDEX('calcA'!$D$180:$EQ$219,$B3,41)*4000,0)-IF(AND('calcA'!AQ$117=1,VO3&gt;0),2000,0)-IF(AND($U3=1,'calcA'!AR$117=1,EQ3=0),2000,0))),1000000000))</f>
        <v/>
      </c>
      <c r="PU3">
        <f>IF($B3=0,1000000000,IF(INDEX('calcA'!$D$60:$EQ$99,$B3,42)*IF($W3=1,EQ3+ABF3,EQ3)=1,IF(AND($E3=2,IF($W3=1,AGU3,KF3)=0),1000000000,IF($V3=1,INDEX('calcA'!$D$130:$EQ$169,$B3,42)+IF(AND($E3=1,KF3=0),25,0),IF($F3&gt;0,INDEX('calcA'!AS$110:AS$114,$F3+1)+IF(AND($E3=1,KF3=0),1000,0),MIN(TV3,20)*400+(IF('calcA'!AR$106=1,1-EP3,0)+IF('calcA'!AS$106=1,1-ER3,0))*150+182+'calcA'!AS$5*100000+IF(AND($E3=1,KF3=0),50000,0))+IF($H3=1,INDEX('calcA'!$D$180:$EQ$219,$B3,42)*4000,0)-IF(AND('calcA'!AR$117=1,VP3&gt;0),2000,0)-IF(AND($U3=1,'calcA'!AS$117=1,ER3=0),2000,0))),1000000000))</f>
        <v/>
      </c>
      <c r="PV3">
        <f>IF($B3=0,1000000000,IF(INDEX('calcA'!$D$60:$EQ$99,$B3,43)*IF($W3=1,ER3+ABG3,ER3)=1,IF(AND($E3=2,IF($W3=1,AGV3,KG3)=0),1000000000,IF($V3=1,INDEX('calcA'!$D$130:$EQ$169,$B3,43)+IF(AND($E3=1,KG3=0),25,0),IF($F3&gt;0,INDEX('calcA'!AT$110:AT$114,$F3+1)+IF(AND($E3=1,KG3=0),1000,0),MIN(TV3,20)*400+(IF('calcA'!AS$106=1,1-EQ3,0)+IF('calcA'!AT$106=1,1-ES3,0))*150+192+'calcA'!AT$5*100000+IF(AND($E3=1,KG3=0),50000,0))+IF($H3=1,INDEX('calcA'!$D$180:$EQ$219,$B3,43)*4000,0)-IF(AND('calcA'!AS$117=1,VQ3&gt;0),2000,0)-IF(AND($U3=1,'calcA'!AT$117=1,ES3=0),2000,0))),1000000000))</f>
        <v/>
      </c>
      <c r="PW3">
        <f>IF($B3=0,1000000000,IF(INDEX('calcA'!$D$60:$EQ$99,$B3,44)*IF($W3=1,ES3+ABH3,ES3)=1,IF(AND($E3=2,IF($W3=1,AGW3,KH3)=0),1000000000,IF($V3=1,INDEX('calcA'!$D$130:$EQ$169,$B3,44)+IF(AND($E3=1,KH3=0),25,0),IF($F3&gt;0,INDEX('calcA'!AU$110:AU$114,$F3+1)+IF(AND($E3=1,KH3=0),1000,0),MIN(TV3,20)*400+(IF('calcA'!AT$106=1,1-ER3,0)+IF('calcA'!AU$106=1,1-ET3,0))*150+202+'calcA'!AU$5*100000+IF(AND($E3=1,KH3=0),50000,0))+IF($H3=1,INDEX('calcA'!$D$180:$EQ$219,$B3,44)*4000,0)-IF(AND('calcA'!AT$117=1,VR3&gt;0),2000,0)-IF(AND($U3=1,'calcA'!AU$117=1,ET3=0),2000,0))),1000000000))</f>
        <v/>
      </c>
      <c r="PX3">
        <f>IF($B3=0,1000000000,IF(INDEX('calcA'!$D$60:$EQ$99,$B3,45)*IF($W3=1,ET3+ABI3,ET3)=1,IF(AND($E3=2,IF($W3=1,AGX3,KI3)=0),1000000000,IF($V3=1,INDEX('calcA'!$D$130:$EQ$169,$B3,45)+IF(AND($E3=1,KI3=0),25,0),IF($F3&gt;0,INDEX('calcA'!AV$110:AV$114,$F3+1)+IF(AND($E3=1,KI3=0),1000,0),MIN(TV3,20)*400+(IF('calcA'!AU$106=1,1-ES3,0)+IF('calcA'!AV$106=1,1-EU3,0))*150+212+'calcA'!AV$5*100000+IF(AND($E3=1,KI3=0),50000,0))+IF($H3=1,INDEX('calcA'!$D$180:$EQ$219,$B3,45)*4000,0)-IF(AND('calcA'!AU$117=1,VS3&gt;0),2000,0)-IF(AND($U3=1,'calcA'!AV$117=1,EU3=0),2000,0))),1000000000))</f>
        <v/>
      </c>
      <c r="PY3">
        <f>IF($B3=0,1000000000,IF(INDEX('calcA'!$D$60:$EQ$99,$B3,46)*IF($W3=1,EU3+ABJ3,EU3)=1,IF(AND($E3=2,IF($W3=1,AGY3,KJ3)=0),1000000000,IF($V3=1,INDEX('calcA'!$D$130:$EQ$169,$B3,46)+IF(AND($E3=1,KJ3=0),25,0),IF($F3&gt;0,INDEX('calcA'!AW$110:AW$114,$F3+1)+IF(AND($E3=1,KJ3=0),1000,0),MIN(TV3,20)*400+(IF('calcA'!AV$106=1,1-ET3,0)+IF('calcA'!AW$106=1,1-EV3,0))*150+222+'calcA'!AW$5*100000+IF(AND($E3=1,KJ3=0),50000,0))+IF($H3=1,INDEX('calcA'!$D$180:$EQ$219,$B3,46)*4000,0)-IF(AND('calcA'!AV$117=1,VT3&gt;0),2000,0)-IF(AND($U3=1,'calcA'!AW$117=1,EV3=0),2000,0))),1000000000))</f>
        <v/>
      </c>
      <c r="PZ3">
        <f>IF($B3=0,1000000000,IF(INDEX('calcA'!$D$60:$EQ$99,$B3,47)*IF($W3=1,EV3+ABK3,EV3)=1,IF(AND($E3=2,IF($W3=1,AGZ3,KK3)=0),1000000000,IF($V3=1,INDEX('calcA'!$D$130:$EQ$169,$B3,47)+IF(AND($E3=1,KK3=0),25,0),IF($F3&gt;0,INDEX('calcA'!AX$110:AX$114,$F3+1)+IF(AND($E3=1,KK3=0),1000,0),MIN(TV3,20)*400+(IF('calcA'!AW$106=1,1-EU3,0)+IF('calcA'!AX$106=1,1-EW3,0))*150+232+'calcA'!AX$5*100000+IF(AND($E3=1,KK3=0),50000,0))+IF($H3=1,INDEX('calcA'!$D$180:$EQ$219,$B3,47)*4000,0)-IF(AND('calcA'!AW$117=1,VU3&gt;0),2000,0)-IF(AND($U3=1,'calcA'!AX$117=1,EW3=0),2000,0))),1000000000))</f>
        <v/>
      </c>
      <c r="QA3">
        <f>IF($B3=0,1000000000,IF(INDEX('calcA'!$D$60:$EQ$99,$B3,48)*IF($W3=1,EW3+ABL3,EW3)=1,IF(AND($E3=2,IF($W3=1,AHA3,KL3)=0),1000000000,IF($V3=1,INDEX('calcA'!$D$130:$EQ$169,$B3,48)+IF(AND($E3=1,KL3=0),25,0),IF($F3&gt;0,INDEX('calcA'!AY$110:AY$114,$F3+1)+IF(AND($E3=1,KL3=0),1000,0),MIN(TV3,20)*400+(IF('calcA'!AX$106=1,1-EV3,0))*150+242+'calcA'!AY$5*100000+IF(AND($E3=1,KL3=0),50000,0))+IF($H3=1,INDEX('calcA'!$D$180:$EQ$219,$B3,48)*4000,0)-IF(AND('calcA'!AX$117=1,VV3&gt;0),2000,0))),1000000000))</f>
        <v/>
      </c>
      <c r="QB3">
        <f>IF($B3=0,1000000000,IF(INDEX('calcA'!$D$60:$EQ$99,$B3,49)*IF($W3=1,EX3+ABM3,EX3)=1,IF(AND($E3=2,IF($W3=1,AHB3,KM3)=0),1000000000,IF($V3=1,INDEX('calcA'!$D$130:$EQ$169,$B3,49)+IF(AND($E3=1,KM3=0),25,0),IF($F3&gt;0,INDEX('calcA'!AZ$110:AZ$114,$F3+1)+IF(AND($E3=1,KM3=0),1000,0),MIN(TW3,20)*400+(IF('calcA'!AZ$106=1,1-EY3,0))*150+13+'calcA'!AZ$5*100000+IF(AND($E3=1,KM3=0),50000,0))+IF($H3=1,INDEX('calcA'!$D$180:$EQ$219,$B3,49)*4000,0)-IF(AND($U3=1,'calcA'!AZ$117=1,EY3=0),2000,0))),1000000000))</f>
        <v/>
      </c>
      <c r="QC3">
        <f>IF($B3=0,1000000000,IF(INDEX('calcA'!$D$60:$EQ$99,$B3,50)*IF($W3=1,EY3+ABN3,EY3)=1,IF(AND($E3=2,IF($W3=1,AHC3,KN3)=0),1000000000,IF($V3=1,INDEX('calcA'!$D$130:$EQ$169,$B3,50)+IF(AND($E3=1,KN3=0),25,0),IF($F3&gt;0,INDEX('calcA'!BA$110:BA$114,$F3+1)+IF(AND($E3=1,KN3=0),1000,0),MIN(TW3,20)*400+(IF('calcA'!AZ$106=1,1-EX3,0)+IF('calcA'!BA$106=1,1-EZ3,0))*150+23+'calcA'!BA$5*100000+IF(AND($E3=1,KN3=0),50000,0))+IF($H3=1,INDEX('calcA'!$D$180:$EQ$219,$B3,50)*4000,0)-IF(AND('calcA'!AZ$117=1,VX3&gt;0),2000,0)-IF(AND($U3=1,'calcA'!BA$117=1,EZ3=0),2000,0))),1000000000))</f>
        <v/>
      </c>
      <c r="QD3">
        <f>IF($B3=0,1000000000,IF(INDEX('calcA'!$D$60:$EQ$99,$B3,51)*IF($W3=1,EZ3+ABO3,EZ3)=1,IF(AND($E3=2,IF($W3=1,AHD3,KO3)=0),1000000000,IF($V3=1,INDEX('calcA'!$D$130:$EQ$169,$B3,51)+IF(AND($E3=1,KO3=0),25,0),IF($F3&gt;0,INDEX('calcA'!BB$110:BB$114,$F3+1)+IF(AND($E3=1,KO3=0),1000,0),MIN(TW3,20)*400+(IF('calcA'!BA$106=1,1-EY3,0)+IF('calcA'!BB$106=1,1-FA3,0))*150+33+'calcA'!BB$5*100000+IF(AND($E3=1,KO3=0),50000,0))+IF($H3=1,INDEX('calcA'!$D$180:$EQ$219,$B3,51)*4000,0)-IF(AND('calcA'!BA$117=1,VY3&gt;0),2000,0)-IF(AND($U3=1,'calcA'!BB$117=1,FA3=0),2000,0))),1000000000))</f>
        <v/>
      </c>
      <c r="QE3">
        <f>IF($B3=0,1000000000,IF(INDEX('calcA'!$D$60:$EQ$99,$B3,52)*IF($W3=1,FA3+ABP3,FA3)=1,IF(AND($E3=2,IF($W3=1,AHE3,KP3)=0),1000000000,IF($V3=1,INDEX('calcA'!$D$130:$EQ$169,$B3,52)+IF(AND($E3=1,KP3=0),25,0),IF($F3&gt;0,INDEX('calcA'!BC$110:BC$114,$F3+1)+IF(AND($E3=1,KP3=0),1000,0),MIN(TW3,20)*400+(IF('calcA'!BB$106=1,1-EZ3,0)+IF('calcA'!BC$106=1,1-FB3,0))*150+43+'calcA'!BC$5*100000+IF(AND($E3=1,KP3=0),50000,0))+IF($H3=1,INDEX('calcA'!$D$180:$EQ$219,$B3,52)*4000,0)-IF(AND('calcA'!BB$117=1,VZ3&gt;0),2000,0)-IF(AND($U3=1,'calcA'!BC$117=1,FB3=0),2000,0))),1000000000))</f>
        <v/>
      </c>
      <c r="QF3">
        <f>IF($B3=0,1000000000,IF(INDEX('calcA'!$D$60:$EQ$99,$B3,53)*IF($W3=1,FB3+ABQ3,FB3)=1,IF(AND($E3=2,IF($W3=1,AHF3,KQ3)=0),1000000000,IF($V3=1,INDEX('calcA'!$D$130:$EQ$169,$B3,53)+IF(AND($E3=1,KQ3=0),25,0),IF($F3&gt;0,INDEX('calcA'!BD$110:BD$114,$F3+1)+IF(AND($E3=1,KQ3=0),1000,0),MIN(TW3,20)*400+(IF('calcA'!BC$106=1,1-FA3,0)+IF('calcA'!BD$106=1,1-FC3,0))*150+53+'calcA'!BD$5*100000+IF(AND($E3=1,KQ3=0),50000,0))+IF($H3=1,INDEX('calcA'!$D$180:$EQ$219,$B3,53)*4000,0)-IF(AND('calcA'!BC$117=1,WA3&gt;0),2000,0)-IF(AND($U3=1,'calcA'!BD$117=1,FC3=0),2000,0))),1000000000))</f>
        <v/>
      </c>
      <c r="QG3">
        <f>IF($B3=0,1000000000,IF(INDEX('calcA'!$D$60:$EQ$99,$B3,54)*IF($W3=1,FC3+ABR3,FC3)=1,IF(AND($E3=2,IF($W3=1,AHG3,KR3)=0),1000000000,IF($V3=1,INDEX('calcA'!$D$130:$EQ$169,$B3,54)+IF(AND($E3=1,KR3=0),25,0),IF($F3&gt;0,INDEX('calcA'!BE$110:BE$114,$F3+1)+IF(AND($E3=1,KR3=0),1000,0),MIN(TW3,20)*400+(IF('calcA'!BD$106=1,1-FB3,0)+IF('calcA'!BE$106=1,1-FD3,0))*150+63+'calcA'!BE$5*100000+IF(AND($E3=1,KR3=0),50000,0))+IF($H3=1,INDEX('calcA'!$D$180:$EQ$219,$B3,54)*4000,0)-IF(AND('calcA'!BD$117=1,WB3&gt;0),2000,0)-IF(AND($U3=1,'calcA'!BE$117=1,FD3=0),2000,0))),1000000000))</f>
        <v/>
      </c>
      <c r="QH3">
        <f>IF($B3=0,1000000000,IF(INDEX('calcA'!$D$60:$EQ$99,$B3,55)*IF($W3=1,FD3+ABS3,FD3)=1,IF(AND($E3=2,IF($W3=1,AHH3,KS3)=0),1000000000,IF($V3=1,INDEX('calcA'!$D$130:$EQ$169,$B3,55)+IF(AND($E3=1,KS3=0),25,0),IF($F3&gt;0,INDEX('calcA'!BF$110:BF$114,$F3+1)+IF(AND($E3=1,KS3=0),1000,0),MIN(TW3,20)*400+(IF('calcA'!BE$106=1,1-FC3,0)+IF('calcA'!BF$106=1,1-FE3,0))*150+73+'calcA'!BF$5*100000+IF(AND($E3=1,KS3=0),50000,0))+IF($H3=1,INDEX('calcA'!$D$180:$EQ$219,$B3,55)*4000,0)-IF(AND('calcA'!BE$117=1,WC3&gt;0),2000,0)-IF(AND($U3=1,'calcA'!BF$117=1,FE3=0),2000,0))),1000000000))</f>
        <v/>
      </c>
      <c r="QI3">
        <f>IF($B3=0,1000000000,IF(INDEX('calcA'!$D$60:$EQ$99,$B3,56)*IF($W3=1,FE3+ABT3,FE3)=1,IF(AND($E3=2,IF($W3=1,AHI3,KT3)=0),1000000000,IF($V3=1,INDEX('calcA'!$D$130:$EQ$169,$B3,56)+IF(AND($E3=1,KT3=0),25,0),IF($F3&gt;0,INDEX('calcA'!BG$110:BG$114,$F3+1)+IF(AND($E3=1,KT3=0),1000,0),MIN(TW3,20)*400+(IF('calcA'!BF$106=1,1-FD3,0)+IF('calcA'!BG$106=1,1-FF3,0))*150+83+'calcA'!BG$5*100000+IF(AND($E3=1,KT3=0),50000,0))+IF($H3=1,INDEX('calcA'!$D$180:$EQ$219,$B3,56)*4000,0)-IF(AND('calcA'!BF$117=1,WD3&gt;0),2000,0)-IF(AND($U3=1,'calcA'!BG$117=1,FF3=0),2000,0))),1000000000))</f>
        <v/>
      </c>
      <c r="QJ3">
        <f>IF($B3=0,1000000000,IF(INDEX('calcA'!$D$60:$EQ$99,$B3,57)*IF($W3=1,FF3+ABU3,FF3)=1,IF(AND($E3=2,IF($W3=1,AHJ3,KU3)=0),1000000000,IF($V3=1,INDEX('calcA'!$D$130:$EQ$169,$B3,57)+IF(AND($E3=1,KU3=0),25,0),IF($F3&gt;0,INDEX('calcA'!BH$110:BH$114,$F3+1)+IF(AND($E3=1,KU3=0),1000,0),MIN(TW3,20)*400+(IF('calcA'!BG$106=1,1-FE3,0)+IF('calcA'!BH$106=1,1-FG3,0))*150+93+'calcA'!BH$5*100000+IF(AND($E3=1,KU3=0),50000,0))+IF($H3=1,INDEX('calcA'!$D$180:$EQ$219,$B3,57)*4000,0)-IF(AND('calcA'!BG$117=1,WE3&gt;0),2000,0)-IF(AND($U3=1,'calcA'!BH$117=1,FG3=0),2000,0))),1000000000))</f>
        <v/>
      </c>
      <c r="QK3">
        <f>IF($B3=0,1000000000,IF(INDEX('calcA'!$D$60:$EQ$99,$B3,58)*IF($W3=1,FG3+ABV3,FG3)=1,IF(AND($E3=2,IF($W3=1,AHK3,KV3)=0),1000000000,IF($V3=1,INDEX('calcA'!$D$130:$EQ$169,$B3,58)+IF(AND($E3=1,KV3=0),25,0),IF($F3&gt;0,INDEX('calcA'!BI$110:BI$114,$F3+1)+IF(AND($E3=1,KV3=0),1000,0),MIN(TW3,20)*400+(IF('calcA'!BH$106=1,1-FF3,0)+IF('calcA'!BI$106=1,1-FH3,0))*150+103+'calcA'!BI$5*100000+IF(AND($E3=1,KV3=0),50000,0))+IF($H3=1,INDEX('calcA'!$D$180:$EQ$219,$B3,58)*4000,0)-IF(AND('calcA'!BH$117=1,WF3&gt;0),2000,0)-IF(AND($U3=1,'calcA'!BI$117=1,FH3=0),2000,0))),1000000000))</f>
        <v/>
      </c>
      <c r="QL3">
        <f>IF($B3=0,1000000000,IF(INDEX('calcA'!$D$60:$EQ$99,$B3,59)*IF($W3=1,FH3+ABW3,FH3)=1,IF(AND($E3=2,IF($W3=1,AHL3,KW3)=0),1000000000,IF($V3=1,INDEX('calcA'!$D$130:$EQ$169,$B3,59)+IF(AND($E3=1,KW3=0),25,0),IF($F3&gt;0,INDEX('calcA'!BJ$110:BJ$114,$F3+1)+IF(AND($E3=1,KW3=0),1000,0),MIN(TW3,20)*400+(IF('calcA'!BI$106=1,1-FG3,0)+IF('calcA'!BJ$106=1,1-FI3,0))*150+113+'calcA'!BJ$5*100000+IF(AND($E3=1,KW3=0),50000,0))+IF($H3=1,INDEX('calcA'!$D$180:$EQ$219,$B3,59)*4000,0)-IF(AND('calcA'!BI$117=1,WG3&gt;0),2000,0)-IF(AND($U3=1,'calcA'!BJ$117=1,FI3=0),2000,0))),1000000000))</f>
        <v/>
      </c>
      <c r="QM3">
        <f>IF($B3=0,1000000000,IF(INDEX('calcA'!$D$60:$EQ$99,$B3,60)*IF($W3=1,FI3+ABX3,FI3)=1,IF(AND($E3=2,IF($W3=1,AHM3,KX3)=0),1000000000,IF($V3=1,INDEX('calcA'!$D$130:$EQ$169,$B3,60)+IF(AND($E3=1,KX3=0),25,0),IF($F3&gt;0,INDEX('calcA'!BK$110:BK$114,$F3+1)+IF(AND($E3=1,KX3=0),1000,0),MIN(TW3,20)*400+(IF('calcA'!BJ$106=1,1-FH3,0)+IF('calcA'!BK$106=1,1-FJ3,0))*150+123+'calcA'!BK$5*100000+IF(AND($E3=1,KX3=0),50000,0))+IF($H3=1,INDEX('calcA'!$D$180:$EQ$219,$B3,60)*4000,0)-IF(AND('calcA'!BJ$117=1,WH3&gt;0),2000,0)-IF(AND($U3=1,'calcA'!BK$117=1,FJ3=0),2000,0))),1000000000))</f>
        <v/>
      </c>
      <c r="QN3">
        <f>IF($B3=0,1000000000,IF(INDEX('calcA'!$D$60:$EQ$99,$B3,61)*IF($W3=1,FJ3+ABY3,FJ3)=1,IF(AND($E3=2,IF($W3=1,AHN3,KY3)=0),1000000000,IF($V3=1,INDEX('calcA'!$D$130:$EQ$169,$B3,61)+IF(AND($E3=1,KY3=0),25,0),IF($F3&gt;0,INDEX('calcA'!BL$110:BL$114,$F3+1)+IF(AND($E3=1,KY3=0),1000,0),MIN(TW3,20)*400+(IF('calcA'!BK$106=1,1-FI3,0)+IF('calcA'!BL$106=1,1-FK3,0))*150+133+'calcA'!BL$5*100000+IF(AND($E3=1,KY3=0),50000,0))+IF($H3=1,INDEX('calcA'!$D$180:$EQ$219,$B3,61)*4000,0)-IF(AND('calcA'!BK$117=1,WI3&gt;0),2000,0)-IF(AND($U3=1,'calcA'!BL$117=1,FK3=0),2000,0))),1000000000))</f>
        <v/>
      </c>
      <c r="QO3">
        <f>IF($B3=0,1000000000,IF(INDEX('calcA'!$D$60:$EQ$99,$B3,62)*IF($W3=1,FK3+ABZ3,FK3)=1,IF(AND($E3=2,IF($W3=1,AHO3,KZ3)=0),1000000000,IF($V3=1,INDEX('calcA'!$D$130:$EQ$169,$B3,62)+IF(AND($E3=1,KZ3=0),25,0),IF($F3&gt;0,INDEX('calcA'!BM$110:BM$114,$F3+1)+IF(AND($E3=1,KZ3=0),1000,0),MIN(TW3,20)*400+(IF('calcA'!BL$106=1,1-FJ3,0)+IF('calcA'!BM$106=1,1-FL3,0))*150+143+'calcA'!BM$5*100000+IF(AND($E3=1,KZ3=0),50000,0))+IF($H3=1,INDEX('calcA'!$D$180:$EQ$219,$B3,62)*4000,0)-IF(AND('calcA'!BL$117=1,WJ3&gt;0),2000,0)-IF(AND($U3=1,'calcA'!BM$117=1,FL3=0),2000,0))),1000000000))</f>
        <v/>
      </c>
      <c r="QP3">
        <f>IF($B3=0,1000000000,IF(INDEX('calcA'!$D$60:$EQ$99,$B3,63)*IF($W3=1,FL3+ACA3,FL3)=1,IF(AND($E3=2,IF($W3=1,AHP3,LA3)=0),1000000000,IF($V3=1,INDEX('calcA'!$D$130:$EQ$169,$B3,63)+IF(AND($E3=1,LA3=0),25,0),IF($F3&gt;0,INDEX('calcA'!BN$110:BN$114,$F3+1)+IF(AND($E3=1,LA3=0),1000,0),MIN(TW3,20)*400+(IF('calcA'!BM$106=1,1-FK3,0)+IF('calcA'!BN$106=1,1-FM3,0))*150+153+'calcA'!BN$5*100000+IF(AND($E3=1,LA3=0),50000,0))+IF($H3=1,INDEX('calcA'!$D$180:$EQ$219,$B3,63)*4000,0)-IF(AND('calcA'!BM$117=1,WK3&gt;0),2000,0)-IF(AND($U3=1,'calcA'!BN$117=1,FM3=0),2000,0))),1000000000))</f>
        <v/>
      </c>
      <c r="QQ3">
        <f>IF($B3=0,1000000000,IF(INDEX('calcA'!$D$60:$EQ$99,$B3,64)*IF($W3=1,FM3+ACB3,FM3)=1,IF(AND($E3=2,IF($W3=1,AHQ3,LB3)=0),1000000000,IF($V3=1,INDEX('calcA'!$D$130:$EQ$169,$B3,64)+IF(AND($E3=1,LB3=0),25,0),IF($F3&gt;0,INDEX('calcA'!BO$110:BO$114,$F3+1)+IF(AND($E3=1,LB3=0),1000,0),MIN(TW3,20)*400+(IF('calcA'!BN$106=1,1-FL3,0)+IF('calcA'!BO$106=1,1-FN3,0))*150+163+'calcA'!BO$5*100000+IF(AND($E3=1,LB3=0),50000,0))+IF($H3=1,INDEX('calcA'!$D$180:$EQ$219,$B3,64)*4000,0)-IF(AND('calcA'!BN$117=1,WL3&gt;0),2000,0)-IF(AND($U3=1,'calcA'!BO$117=1,FN3=0),2000,0))),1000000000))</f>
        <v/>
      </c>
      <c r="QR3">
        <f>IF($B3=0,1000000000,IF(INDEX('calcA'!$D$60:$EQ$99,$B3,65)*IF($W3=1,FN3+ACC3,FN3)=1,IF(AND($E3=2,IF($W3=1,AHR3,LC3)=0),1000000000,IF($V3=1,INDEX('calcA'!$D$130:$EQ$169,$B3,65)+IF(AND($E3=1,LC3=0),25,0),IF($F3&gt;0,INDEX('calcA'!BP$110:BP$114,$F3+1)+IF(AND($E3=1,LC3=0),1000,0),MIN(TW3,20)*400+(IF('calcA'!BO$106=1,1-FM3,0)+IF('calcA'!BP$106=1,1-FO3,0))*150+173+'calcA'!BP$5*100000+IF(AND($E3=1,LC3=0),50000,0))+IF($H3=1,INDEX('calcA'!$D$180:$EQ$219,$B3,65)*4000,0)-IF(AND('calcA'!BO$117=1,WM3&gt;0),2000,0)-IF(AND($U3=1,'calcA'!BP$117=1,FO3=0),2000,0))),1000000000))</f>
        <v/>
      </c>
      <c r="QS3">
        <f>IF($B3=0,1000000000,IF(INDEX('calcA'!$D$60:$EQ$99,$B3,66)*IF($W3=1,FO3+ACD3,FO3)=1,IF(AND($E3=2,IF($W3=1,AHS3,LD3)=0),1000000000,IF($V3=1,INDEX('calcA'!$D$130:$EQ$169,$B3,66)+IF(AND($E3=1,LD3=0),25,0),IF($F3&gt;0,INDEX('calcA'!BQ$110:BQ$114,$F3+1)+IF(AND($E3=1,LD3=0),1000,0),MIN(TW3,20)*400+(IF('calcA'!BP$106=1,1-FN3,0)+IF('calcA'!BQ$106=1,1-FP3,0))*150+183+'calcA'!BQ$5*100000+IF(AND($E3=1,LD3=0),50000,0))+IF($H3=1,INDEX('calcA'!$D$180:$EQ$219,$B3,66)*4000,0)-IF(AND('calcA'!BP$117=1,WN3&gt;0),2000,0)-IF(AND($U3=1,'calcA'!BQ$117=1,FP3=0),2000,0))),1000000000))</f>
        <v/>
      </c>
      <c r="QT3">
        <f>IF($B3=0,1000000000,IF(INDEX('calcA'!$D$60:$EQ$99,$B3,67)*IF($W3=1,FP3+ACE3,FP3)=1,IF(AND($E3=2,IF($W3=1,AHT3,LE3)=0),1000000000,IF($V3=1,INDEX('calcA'!$D$130:$EQ$169,$B3,67)+IF(AND($E3=1,LE3=0),25,0),IF($F3&gt;0,INDEX('calcA'!BR$110:BR$114,$F3+1)+IF(AND($E3=1,LE3=0),1000,0),MIN(TW3,20)*400+(IF('calcA'!BQ$106=1,1-FO3,0)+IF('calcA'!BR$106=1,1-FQ3,0))*150+193+'calcA'!BR$5*100000+IF(AND($E3=1,LE3=0),50000,0))+IF($H3=1,INDEX('calcA'!$D$180:$EQ$219,$B3,67)*4000,0)-IF(AND('calcA'!BQ$117=1,WO3&gt;0),2000,0)-IF(AND($U3=1,'calcA'!BR$117=1,FQ3=0),2000,0))),1000000000))</f>
        <v/>
      </c>
      <c r="QU3">
        <f>IF($B3=0,1000000000,IF(INDEX('calcA'!$D$60:$EQ$99,$B3,68)*IF($W3=1,FQ3+ACF3,FQ3)=1,IF(AND($E3=2,IF($W3=1,AHU3,LF3)=0),1000000000,IF($V3=1,INDEX('calcA'!$D$130:$EQ$169,$B3,68)+IF(AND($E3=1,LF3=0),25,0),IF($F3&gt;0,INDEX('calcA'!BS$110:BS$114,$F3+1)+IF(AND($E3=1,LF3=0),1000,0),MIN(TW3,20)*400+(IF('calcA'!BR$106=1,1-FP3,0)+IF('calcA'!BS$106=1,1-FR3,0))*150+203+'calcA'!BS$5*100000+IF(AND($E3=1,LF3=0),50000,0))+IF($H3=1,INDEX('calcA'!$D$180:$EQ$219,$B3,68)*4000,0)-IF(AND('calcA'!BR$117=1,WP3&gt;0),2000,0)-IF(AND($U3=1,'calcA'!BS$117=1,FR3=0),2000,0))),1000000000))</f>
        <v/>
      </c>
      <c r="QV3">
        <f>IF($B3=0,1000000000,IF(INDEX('calcA'!$D$60:$EQ$99,$B3,69)*IF($W3=1,FR3+ACG3,FR3)=1,IF(AND($E3=2,IF($W3=1,AHV3,LG3)=0),1000000000,IF($V3=1,INDEX('calcA'!$D$130:$EQ$169,$B3,69)+IF(AND($E3=1,LG3=0),25,0),IF($F3&gt;0,INDEX('calcA'!BT$110:BT$114,$F3+1)+IF(AND($E3=1,LG3=0),1000,0),MIN(TW3,20)*400+(IF('calcA'!BS$106=1,1-FQ3,0)+IF('calcA'!BT$106=1,1-FS3,0))*150+213+'calcA'!BT$5*100000+IF(AND($E3=1,LG3=0),50000,0))+IF($H3=1,INDEX('calcA'!$D$180:$EQ$219,$B3,69)*4000,0)-IF(AND('calcA'!BS$117=1,WQ3&gt;0),2000,0)-IF(AND($U3=1,'calcA'!BT$117=1,FS3=0),2000,0))),1000000000))</f>
        <v/>
      </c>
      <c r="QW3">
        <f>IF($B3=0,1000000000,IF(INDEX('calcA'!$D$60:$EQ$99,$B3,70)*IF($W3=1,FS3+ACH3,FS3)=1,IF(AND($E3=2,IF($W3=1,AHW3,LH3)=0),1000000000,IF($V3=1,INDEX('calcA'!$D$130:$EQ$169,$B3,70)+IF(AND($E3=1,LH3=0),25,0),IF($F3&gt;0,INDEX('calcA'!BU$110:BU$114,$F3+1)+IF(AND($E3=1,LH3=0),1000,0),MIN(TW3,20)*400+(IF('calcA'!BT$106=1,1-FR3,0)+IF('calcA'!BU$106=1,1-FT3,0))*150+223+'calcA'!BU$5*100000+IF(AND($E3=1,LH3=0),50000,0))+IF($H3=1,INDEX('calcA'!$D$180:$EQ$219,$B3,70)*4000,0)-IF(AND('calcA'!BT$117=1,WR3&gt;0),2000,0)-IF(AND($U3=1,'calcA'!BU$117=1,FT3=0),2000,0))),1000000000))</f>
        <v/>
      </c>
      <c r="QX3">
        <f>IF($B3=0,1000000000,IF(INDEX('calcA'!$D$60:$EQ$99,$B3,71)*IF($W3=1,FT3+ACI3,FT3)=1,IF(AND($E3=2,IF($W3=1,AHX3,LI3)=0),1000000000,IF($V3=1,INDEX('calcA'!$D$130:$EQ$169,$B3,71)+IF(AND($E3=1,LI3=0),25,0),IF($F3&gt;0,INDEX('calcA'!BV$110:BV$114,$F3+1)+IF(AND($E3=1,LI3=0),1000,0),MIN(TW3,20)*400+(IF('calcA'!BU$106=1,1-FS3,0)+IF('calcA'!BV$106=1,1-FU3,0))*150+233+'calcA'!BV$5*100000+IF(AND($E3=1,LI3=0),50000,0))+IF($H3=1,INDEX('calcA'!$D$180:$EQ$219,$B3,71)*4000,0)-IF(AND('calcA'!BU$117=1,WS3&gt;0),2000,0)-IF(AND($U3=1,'calcA'!BV$117=1,FU3=0),2000,0))),1000000000))</f>
        <v/>
      </c>
      <c r="QY3">
        <f>IF($B3=0,1000000000,IF(INDEX('calcA'!$D$60:$EQ$99,$B3,72)*IF($W3=1,FU3+ACJ3,FU3)=1,IF(AND($E3=2,IF($W3=1,AHY3,LJ3)=0),1000000000,IF($V3=1,INDEX('calcA'!$D$130:$EQ$169,$B3,72)+IF(AND($E3=1,LJ3=0),25,0),IF($F3&gt;0,INDEX('calcA'!BW$110:BW$114,$F3+1)+IF(AND($E3=1,LJ3=0),1000,0),MIN(TW3,20)*400+(IF('calcA'!BV$106=1,1-FT3,0))*150+243+'calcA'!BW$5*100000+IF(AND($E3=1,LJ3=0),50000,0))+IF($H3=1,INDEX('calcA'!$D$180:$EQ$219,$B3,72)*4000,0)-IF(AND('calcA'!BV$117=1,WT3&gt;0),2000,0))),1000000000))</f>
        <v/>
      </c>
      <c r="QZ3">
        <f>IF($B3=0,1000000000,IF(INDEX('calcA'!$D$60:$EQ$99,$B3,73)*IF($W3=1,FV3+ACK3,FV3)=1,IF(AND($E3=2,IF($W3=1,AHZ3,LK3)=0),1000000000,IF($V3=1,INDEX('calcA'!$D$130:$EQ$169,$B3,73)+IF(AND($E3=1,LK3=0),25,0),IF($F3&gt;0,INDEX('calcA'!BX$110:BX$114,$F3+1)+IF(AND($E3=1,LK3=0),1000,0),MIN(TX3,20)*400+(IF('calcA'!BX$106=1,1-FW3,0))*150+14+'calcA'!BX$5*100000+IF(AND($E3=1,LK3=0),50000,0))+IF($H3=1,INDEX('calcA'!$D$180:$EQ$219,$B3,73)*4000,0)-IF(AND($U3=1,'calcA'!BX$117=1,FW3=0),2000,0))),1000000000))</f>
        <v/>
      </c>
      <c r="RA3">
        <f>IF($B3=0,1000000000,IF(INDEX('calcA'!$D$60:$EQ$99,$B3,74)*IF($W3=1,FW3+ACL3,FW3)=1,IF(AND($E3=2,IF($W3=1,AIA3,LL3)=0),1000000000,IF($V3=1,INDEX('calcA'!$D$130:$EQ$169,$B3,74)+IF(AND($E3=1,LL3=0),25,0),IF($F3&gt;0,INDEX('calcA'!BY$110:BY$114,$F3+1)+IF(AND($E3=1,LL3=0),1000,0),MIN(TX3,20)*400+(IF('calcA'!BX$106=1,1-FV3,0)+IF('calcA'!BY$106=1,1-FX3,0))*150+24+'calcA'!BY$5*100000+IF(AND($E3=1,LL3=0),50000,0))+IF($H3=1,INDEX('calcA'!$D$180:$EQ$219,$B3,74)*4000,0)-IF(AND('calcA'!BX$117=1,WV3&gt;0),2000,0)-IF(AND($U3=1,'calcA'!BY$117=1,FX3=0),2000,0))),1000000000))</f>
        <v/>
      </c>
      <c r="RB3">
        <f>IF($B3=0,1000000000,IF(INDEX('calcA'!$D$60:$EQ$99,$B3,75)*IF($W3=1,FX3+ACM3,FX3)=1,IF(AND($E3=2,IF($W3=1,AIB3,LM3)=0),1000000000,IF($V3=1,INDEX('calcA'!$D$130:$EQ$169,$B3,75)+IF(AND($E3=1,LM3=0),25,0),IF($F3&gt;0,INDEX('calcA'!BZ$110:BZ$114,$F3+1)+IF(AND($E3=1,LM3=0),1000,0),MIN(TX3,20)*400+(IF('calcA'!BY$106=1,1-FW3,0)+IF('calcA'!BZ$106=1,1-FY3,0))*150+34+'calcA'!BZ$5*100000+IF(AND($E3=1,LM3=0),50000,0))+IF($H3=1,INDEX('calcA'!$D$180:$EQ$219,$B3,75)*4000,0)-IF(AND('calcA'!BY$117=1,WW3&gt;0),2000,0)-IF(AND($U3=1,'calcA'!BZ$117=1,FY3=0),2000,0))),1000000000))</f>
        <v/>
      </c>
      <c r="RC3">
        <f>IF($B3=0,1000000000,IF(INDEX('calcA'!$D$60:$EQ$99,$B3,76)*IF($W3=1,FY3+ACN3,FY3)=1,IF(AND($E3=2,IF($W3=1,AIC3,LN3)=0),1000000000,IF($V3=1,INDEX('calcA'!$D$130:$EQ$169,$B3,76)+IF(AND($E3=1,LN3=0),25,0),IF($F3&gt;0,INDEX('calcA'!CA$110:CA$114,$F3+1)+IF(AND($E3=1,LN3=0),1000,0),MIN(TX3,20)*400+(IF('calcA'!BZ$106=1,1-FX3,0)+IF('calcA'!CA$106=1,1-FZ3,0))*150+44+'calcA'!CA$5*100000+IF(AND($E3=1,LN3=0),50000,0))+IF($H3=1,INDEX('calcA'!$D$180:$EQ$219,$B3,76)*4000,0)-IF(AND('calcA'!BZ$117=1,WX3&gt;0),2000,0)-IF(AND($U3=1,'calcA'!CA$117=1,FZ3=0),2000,0))),1000000000))</f>
        <v/>
      </c>
      <c r="RD3">
        <f>IF($B3=0,1000000000,IF(INDEX('calcA'!$D$60:$EQ$99,$B3,77)*IF($W3=1,FZ3+ACO3,FZ3)=1,IF(AND($E3=2,IF($W3=1,AID3,LO3)=0),1000000000,IF($V3=1,INDEX('calcA'!$D$130:$EQ$169,$B3,77)+IF(AND($E3=1,LO3=0),25,0),IF($F3&gt;0,INDEX('calcA'!CB$110:CB$114,$F3+1)+IF(AND($E3=1,LO3=0),1000,0),MIN(TX3,20)*400+(IF('calcA'!CA$106=1,1-FY3,0)+IF('calcA'!CB$106=1,1-GA3,0))*150+54+'calcA'!CB$5*100000+IF(AND($E3=1,LO3=0),50000,0))+IF($H3=1,INDEX('calcA'!$D$180:$EQ$219,$B3,77)*4000,0)-IF(AND('calcA'!CA$117=1,WY3&gt;0),2000,0)-IF(AND($U3=1,'calcA'!CB$117=1,GA3=0),2000,0))),1000000000))</f>
        <v/>
      </c>
      <c r="RE3">
        <f>IF($B3=0,1000000000,IF(INDEX('calcA'!$D$60:$EQ$99,$B3,78)*IF($W3=1,GA3+ACP3,GA3)=1,IF(AND($E3=2,IF($W3=1,AIE3,LP3)=0),1000000000,IF($V3=1,INDEX('calcA'!$D$130:$EQ$169,$B3,78)+IF(AND($E3=1,LP3=0),25,0),IF($F3&gt;0,INDEX('calcA'!CC$110:CC$114,$F3+1)+IF(AND($E3=1,LP3=0),1000,0),MIN(TX3,20)*400+(IF('calcA'!CB$106=1,1-FZ3,0)+IF('calcA'!CC$106=1,1-GB3,0))*150+64+'calcA'!CC$5*100000+IF(AND($E3=1,LP3=0),50000,0))+IF($H3=1,INDEX('calcA'!$D$180:$EQ$219,$B3,78)*4000,0)-IF(AND('calcA'!CB$117=1,WZ3&gt;0),2000,0)-IF(AND($U3=1,'calcA'!CC$117=1,GB3=0),2000,0))),1000000000))</f>
        <v/>
      </c>
      <c r="RF3">
        <f>IF($B3=0,1000000000,IF(INDEX('calcA'!$D$60:$EQ$99,$B3,79)*IF($W3=1,GB3+ACQ3,GB3)=1,IF(AND($E3=2,IF($W3=1,AIF3,LQ3)=0),1000000000,IF($V3=1,INDEX('calcA'!$D$130:$EQ$169,$B3,79)+IF(AND($E3=1,LQ3=0),25,0),IF($F3&gt;0,INDEX('calcA'!CD$110:CD$114,$F3+1)+IF(AND($E3=1,LQ3=0),1000,0),MIN(TX3,20)*400+(IF('calcA'!CC$106=1,1-GA3,0)+IF('calcA'!CD$106=1,1-GC3,0))*150+74+'calcA'!CD$5*100000+IF(AND($E3=1,LQ3=0),50000,0))+IF($H3=1,INDEX('calcA'!$D$180:$EQ$219,$B3,79)*4000,0)-IF(AND('calcA'!CC$117=1,XA3&gt;0),2000,0)-IF(AND($U3=1,'calcA'!CD$117=1,GC3=0),2000,0))),1000000000))</f>
        <v/>
      </c>
      <c r="RG3">
        <f>IF($B3=0,1000000000,IF(INDEX('calcA'!$D$60:$EQ$99,$B3,80)*IF($W3=1,GC3+ACR3,GC3)=1,IF(AND($E3=2,IF($W3=1,AIG3,LR3)=0),1000000000,IF($V3=1,INDEX('calcA'!$D$130:$EQ$169,$B3,80)+IF(AND($E3=1,LR3=0),25,0),IF($F3&gt;0,INDEX('calcA'!CE$110:CE$114,$F3+1)+IF(AND($E3=1,LR3=0),1000,0),MIN(TX3,20)*400+(IF('calcA'!CD$106=1,1-GB3,0)+IF('calcA'!CE$106=1,1-GD3,0))*150+84+'calcA'!CE$5*100000+IF(AND($E3=1,LR3=0),50000,0))+IF($H3=1,INDEX('calcA'!$D$180:$EQ$219,$B3,80)*4000,0)-IF(AND('calcA'!CD$117=1,XB3&gt;0),2000,0)-IF(AND($U3=1,'calcA'!CE$117=1,GD3=0),2000,0))),1000000000))</f>
        <v/>
      </c>
      <c r="RH3">
        <f>IF($B3=0,1000000000,IF(INDEX('calcA'!$D$60:$EQ$99,$B3,81)*IF($W3=1,GD3+ACS3,GD3)=1,IF(AND($E3=2,IF($W3=1,AIH3,LS3)=0),1000000000,IF($V3=1,INDEX('calcA'!$D$130:$EQ$169,$B3,81)+IF(AND($E3=1,LS3=0),25,0),IF($F3&gt;0,INDEX('calcA'!CF$110:CF$114,$F3+1)+IF(AND($E3=1,LS3=0),1000,0),MIN(TX3,20)*400+(IF('calcA'!CE$106=1,1-GC3,0)+IF('calcA'!CF$106=1,1-GE3,0))*150+94+'calcA'!CF$5*100000+IF(AND($E3=1,LS3=0),50000,0))+IF($H3=1,INDEX('calcA'!$D$180:$EQ$219,$B3,81)*4000,0)-IF(AND('calcA'!CE$117=1,XC3&gt;0),2000,0)-IF(AND($U3=1,'calcA'!CF$117=1,GE3=0),2000,0))),1000000000))</f>
        <v/>
      </c>
      <c r="RI3">
        <f>IF($B3=0,1000000000,IF(INDEX('calcA'!$D$60:$EQ$99,$B3,82)*IF($W3=1,GE3+ACT3,GE3)=1,IF(AND($E3=2,IF($W3=1,AII3,LT3)=0),1000000000,IF($V3=1,INDEX('calcA'!$D$130:$EQ$169,$B3,82)+IF(AND($E3=1,LT3=0),25,0),IF($F3&gt;0,INDEX('calcA'!CG$110:CG$114,$F3+1)+IF(AND($E3=1,LT3=0),1000,0),MIN(TX3,20)*400+(IF('calcA'!CF$106=1,1-GD3,0)+IF('calcA'!CG$106=1,1-GF3,0))*150+104+'calcA'!CG$5*100000+IF(AND($E3=1,LT3=0),50000,0))+IF($H3=1,INDEX('calcA'!$D$180:$EQ$219,$B3,82)*4000,0)-IF(AND('calcA'!CF$117=1,XD3&gt;0),2000,0)-IF(AND($U3=1,'calcA'!CG$117=1,GF3=0),2000,0))),1000000000))</f>
        <v/>
      </c>
      <c r="RJ3">
        <f>IF($B3=0,1000000000,IF(INDEX('calcA'!$D$60:$EQ$99,$B3,83)*IF($W3=1,GF3+ACU3,GF3)=1,IF(AND($E3=2,IF($W3=1,AIJ3,LU3)=0),1000000000,IF($V3=1,INDEX('calcA'!$D$130:$EQ$169,$B3,83)+IF(AND($E3=1,LU3=0),25,0),IF($F3&gt;0,INDEX('calcA'!CH$110:CH$114,$F3+1)+IF(AND($E3=1,LU3=0),1000,0),MIN(TX3,20)*400+(IF('calcA'!CG$106=1,1-GE3,0)+IF('calcA'!CH$106=1,1-GG3,0))*150+114+'calcA'!CH$5*100000+IF(AND($E3=1,LU3=0),50000,0))+IF($H3=1,INDEX('calcA'!$D$180:$EQ$219,$B3,83)*4000,0)-IF(AND('calcA'!CG$117=1,XE3&gt;0),2000,0)-IF(AND($U3=1,'calcA'!CH$117=1,GG3=0),2000,0))),1000000000))</f>
        <v/>
      </c>
      <c r="RK3">
        <f>IF($B3=0,1000000000,IF(INDEX('calcA'!$D$60:$EQ$99,$B3,84)*IF($W3=1,GG3+ACV3,GG3)=1,IF(AND($E3=2,IF($W3=1,AIK3,LV3)=0),1000000000,IF($V3=1,INDEX('calcA'!$D$130:$EQ$169,$B3,84)+IF(AND($E3=1,LV3=0),25,0),IF($F3&gt;0,INDEX('calcA'!CI$110:CI$114,$F3+1)+IF(AND($E3=1,LV3=0),1000,0),MIN(TX3,20)*400+(IF('calcA'!CH$106=1,1-GF3,0)+IF('calcA'!CI$106=1,1-GH3,0))*150+124+'calcA'!CI$5*100000+IF(AND($E3=1,LV3=0),50000,0))+IF($H3=1,INDEX('calcA'!$D$180:$EQ$219,$B3,84)*4000,0)-IF(AND('calcA'!CH$117=1,XF3&gt;0),2000,0)-IF(AND($U3=1,'calcA'!CI$117=1,GH3=0),2000,0))),1000000000))</f>
        <v/>
      </c>
      <c r="RL3">
        <f>IF($B3=0,1000000000,IF(INDEX('calcA'!$D$60:$EQ$99,$B3,85)*IF($W3=1,GH3+ACW3,GH3)=1,IF(AND($E3=2,IF($W3=1,AIL3,LW3)=0),1000000000,IF($V3=1,INDEX('calcA'!$D$130:$EQ$169,$B3,85)+IF(AND($E3=1,LW3=0),25,0),IF($F3&gt;0,INDEX('calcA'!CJ$110:CJ$114,$F3+1)+IF(AND($E3=1,LW3=0),1000,0),MIN(TX3,20)*400+(IF('calcA'!CI$106=1,1-GG3,0)+IF('calcA'!CJ$106=1,1-GI3,0))*150+134+'calcA'!CJ$5*100000+IF(AND($E3=1,LW3=0),50000,0))+IF($H3=1,INDEX('calcA'!$D$180:$EQ$219,$B3,85)*4000,0)-IF(AND('calcA'!CI$117=1,XG3&gt;0),2000,0)-IF(AND($U3=1,'calcA'!CJ$117=1,GI3=0),2000,0))),1000000000))</f>
        <v/>
      </c>
      <c r="RM3">
        <f>IF($B3=0,1000000000,IF(INDEX('calcA'!$D$60:$EQ$99,$B3,86)*IF($W3=1,GI3+ACX3,GI3)=1,IF(AND($E3=2,IF($W3=1,AIM3,LX3)=0),1000000000,IF($V3=1,INDEX('calcA'!$D$130:$EQ$169,$B3,86)+IF(AND($E3=1,LX3=0),25,0),IF($F3&gt;0,INDEX('calcA'!CK$110:CK$114,$F3+1)+IF(AND($E3=1,LX3=0),1000,0),MIN(TX3,20)*400+(IF('calcA'!CJ$106=1,1-GH3,0)+IF('calcA'!CK$106=1,1-GJ3,0))*150+144+'calcA'!CK$5*100000+IF(AND($E3=1,LX3=0),50000,0))+IF($H3=1,INDEX('calcA'!$D$180:$EQ$219,$B3,86)*4000,0)-IF(AND('calcA'!CJ$117=1,XH3&gt;0),2000,0)-IF(AND($U3=1,'calcA'!CK$117=1,GJ3=0),2000,0))),1000000000))</f>
        <v/>
      </c>
      <c r="RN3">
        <f>IF($B3=0,1000000000,IF(INDEX('calcA'!$D$60:$EQ$99,$B3,87)*IF($W3=1,GJ3+ACY3,GJ3)=1,IF(AND($E3=2,IF($W3=1,AIN3,LY3)=0),1000000000,IF($V3=1,INDEX('calcA'!$D$130:$EQ$169,$B3,87)+IF(AND($E3=1,LY3=0),25,0),IF($F3&gt;0,INDEX('calcA'!CL$110:CL$114,$F3+1)+IF(AND($E3=1,LY3=0),1000,0),MIN(TX3,20)*400+(IF('calcA'!CK$106=1,1-GI3,0)+IF('calcA'!CL$106=1,1-GK3,0))*150+154+'calcA'!CL$5*100000+IF(AND($E3=1,LY3=0),50000,0))+IF($H3=1,INDEX('calcA'!$D$180:$EQ$219,$B3,87)*4000,0)-IF(AND('calcA'!CK$117=1,XI3&gt;0),2000,0)-IF(AND($U3=1,'calcA'!CL$117=1,GK3=0),2000,0))),1000000000))</f>
        <v/>
      </c>
      <c r="RO3">
        <f>IF($B3=0,1000000000,IF(INDEX('calcA'!$D$60:$EQ$99,$B3,88)*IF($W3=1,GK3+ACZ3,GK3)=1,IF(AND($E3=2,IF($W3=1,AIO3,LZ3)=0),1000000000,IF($V3=1,INDEX('calcA'!$D$130:$EQ$169,$B3,88)+IF(AND($E3=1,LZ3=0),25,0),IF($F3&gt;0,INDEX('calcA'!CM$110:CM$114,$F3+1)+IF(AND($E3=1,LZ3=0),1000,0),MIN(TX3,20)*400+(IF('calcA'!CL$106=1,1-GJ3,0)+IF('calcA'!CM$106=1,1-GL3,0))*150+164+'calcA'!CM$5*100000+IF(AND($E3=1,LZ3=0),50000,0))+IF($H3=1,INDEX('calcA'!$D$180:$EQ$219,$B3,88)*4000,0)-IF(AND('calcA'!CL$117=1,XJ3&gt;0),2000,0)-IF(AND($U3=1,'calcA'!CM$117=1,GL3=0),2000,0))),1000000000))</f>
        <v/>
      </c>
      <c r="RP3">
        <f>IF($B3=0,1000000000,IF(INDEX('calcA'!$D$60:$EQ$99,$B3,89)*IF($W3=1,GL3+ADA3,GL3)=1,IF(AND($E3=2,IF($W3=1,AIP3,MA3)=0),1000000000,IF($V3=1,INDEX('calcA'!$D$130:$EQ$169,$B3,89)+IF(AND($E3=1,MA3=0),25,0),IF($F3&gt;0,INDEX('calcA'!CN$110:CN$114,$F3+1)+IF(AND($E3=1,MA3=0),1000,0),MIN(TX3,20)*400+(IF('calcA'!CM$106=1,1-GK3,0)+IF('calcA'!CN$106=1,1-GM3,0))*150+174+'calcA'!CN$5*100000+IF(AND($E3=1,MA3=0),50000,0))+IF($H3=1,INDEX('calcA'!$D$180:$EQ$219,$B3,89)*4000,0)-IF(AND('calcA'!CM$117=1,XK3&gt;0),2000,0)-IF(AND($U3=1,'calcA'!CN$117=1,GM3=0),2000,0))),1000000000))</f>
        <v/>
      </c>
      <c r="RQ3">
        <f>IF($B3=0,1000000000,IF(INDEX('calcA'!$D$60:$EQ$99,$B3,90)*IF($W3=1,GM3+ADB3,GM3)=1,IF(AND($E3=2,IF($W3=1,AIQ3,MB3)=0),1000000000,IF($V3=1,INDEX('calcA'!$D$130:$EQ$169,$B3,90)+IF(AND($E3=1,MB3=0),25,0),IF($F3&gt;0,INDEX('calcA'!CO$110:CO$114,$F3+1)+IF(AND($E3=1,MB3=0),1000,0),MIN(TX3,20)*400+(IF('calcA'!CN$106=1,1-GL3,0)+IF('calcA'!CO$106=1,1-GN3,0))*150+184+'calcA'!CO$5*100000+IF(AND($E3=1,MB3=0),50000,0))+IF($H3=1,INDEX('calcA'!$D$180:$EQ$219,$B3,90)*4000,0)-IF(AND('calcA'!CN$117=1,XL3&gt;0),2000,0)-IF(AND($U3=1,'calcA'!CO$117=1,GN3=0),2000,0))),1000000000))</f>
        <v/>
      </c>
      <c r="RR3">
        <f>IF($B3=0,1000000000,IF(INDEX('calcA'!$D$60:$EQ$99,$B3,91)*IF($W3=1,GN3+ADC3,GN3)=1,IF(AND($E3=2,IF($W3=1,AIR3,MC3)=0),1000000000,IF($V3=1,INDEX('calcA'!$D$130:$EQ$169,$B3,91)+IF(AND($E3=1,MC3=0),25,0),IF($F3&gt;0,INDEX('calcA'!CP$110:CP$114,$F3+1)+IF(AND($E3=1,MC3=0),1000,0),MIN(TX3,20)*400+(IF('calcA'!CO$106=1,1-GM3,0)+IF('calcA'!CP$106=1,1-GO3,0))*150+194+'calcA'!CP$5*100000+IF(AND($E3=1,MC3=0),50000,0))+IF($H3=1,INDEX('calcA'!$D$180:$EQ$219,$B3,91)*4000,0)-IF(AND('calcA'!CO$117=1,XM3&gt;0),2000,0)-IF(AND($U3=1,'calcA'!CP$117=1,GO3=0),2000,0))),1000000000))</f>
        <v/>
      </c>
      <c r="RS3">
        <f>IF($B3=0,1000000000,IF(INDEX('calcA'!$D$60:$EQ$99,$B3,92)*IF($W3=1,GO3+ADD3,GO3)=1,IF(AND($E3=2,IF($W3=1,AIS3,MD3)=0),1000000000,IF($V3=1,INDEX('calcA'!$D$130:$EQ$169,$B3,92)+IF(AND($E3=1,MD3=0),25,0),IF($F3&gt;0,INDEX('calcA'!CQ$110:CQ$114,$F3+1)+IF(AND($E3=1,MD3=0),1000,0),MIN(TX3,20)*400+(IF('calcA'!CP$106=1,1-GN3,0)+IF('calcA'!CQ$106=1,1-GP3,0))*150+204+'calcA'!CQ$5*100000+IF(AND($E3=1,MD3=0),50000,0))+IF($H3=1,INDEX('calcA'!$D$180:$EQ$219,$B3,92)*4000,0)-IF(AND('calcA'!CP$117=1,XN3&gt;0),2000,0)-IF(AND($U3=1,'calcA'!CQ$117=1,GP3=0),2000,0))),1000000000))</f>
        <v/>
      </c>
      <c r="RT3">
        <f>IF($B3=0,1000000000,IF(INDEX('calcA'!$D$60:$EQ$99,$B3,93)*IF($W3=1,GP3+ADE3,GP3)=1,IF(AND($E3=2,IF($W3=1,AIT3,ME3)=0),1000000000,IF($V3=1,INDEX('calcA'!$D$130:$EQ$169,$B3,93)+IF(AND($E3=1,ME3=0),25,0),IF($F3&gt;0,INDEX('calcA'!CR$110:CR$114,$F3+1)+IF(AND($E3=1,ME3=0),1000,0),MIN(TX3,20)*400+(IF('calcA'!CQ$106=1,1-GO3,0)+IF('calcA'!CR$106=1,1-GQ3,0))*150+214+'calcA'!CR$5*100000+IF(AND($E3=1,ME3=0),50000,0))+IF($H3=1,INDEX('calcA'!$D$180:$EQ$219,$B3,93)*4000,0)-IF(AND('calcA'!CQ$117=1,XO3&gt;0),2000,0)-IF(AND($U3=1,'calcA'!CR$117=1,GQ3=0),2000,0))),1000000000))</f>
        <v/>
      </c>
      <c r="RU3">
        <f>IF($B3=0,1000000000,IF(INDEX('calcA'!$D$60:$EQ$99,$B3,94)*IF($W3=1,GQ3+ADF3,GQ3)=1,IF(AND($E3=2,IF($W3=1,AIU3,MF3)=0),1000000000,IF($V3=1,INDEX('calcA'!$D$130:$EQ$169,$B3,94)+IF(AND($E3=1,MF3=0),25,0),IF($F3&gt;0,INDEX('calcA'!CS$110:CS$114,$F3+1)+IF(AND($E3=1,MF3=0),1000,0),MIN(TX3,20)*400+(IF('calcA'!CR$106=1,1-GP3,0)+IF('calcA'!CS$106=1,1-GR3,0))*150+224+'calcA'!CS$5*100000+IF(AND($E3=1,MF3=0),50000,0))+IF($H3=1,INDEX('calcA'!$D$180:$EQ$219,$B3,94)*4000,0)-IF(AND('calcA'!CR$117=1,XP3&gt;0),2000,0)-IF(AND($U3=1,'calcA'!CS$117=1,GR3=0),2000,0))),1000000000))</f>
        <v/>
      </c>
      <c r="RV3">
        <f>IF($B3=0,1000000000,IF(INDEX('calcA'!$D$60:$EQ$99,$B3,95)*IF($W3=1,GR3+ADG3,GR3)=1,IF(AND($E3=2,IF($W3=1,AIV3,MG3)=0),1000000000,IF($V3=1,INDEX('calcA'!$D$130:$EQ$169,$B3,95)+IF(AND($E3=1,MG3=0),25,0),IF($F3&gt;0,INDEX('calcA'!CT$110:CT$114,$F3+1)+IF(AND($E3=1,MG3=0),1000,0),MIN(TX3,20)*400+(IF('calcA'!CS$106=1,1-GQ3,0)+IF('calcA'!CT$106=1,1-GS3,0))*150+234+'calcA'!CT$5*100000+IF(AND($E3=1,MG3=0),50000,0))+IF($H3=1,INDEX('calcA'!$D$180:$EQ$219,$B3,95)*4000,0)-IF(AND('calcA'!CS$117=1,XQ3&gt;0),2000,0)-IF(AND($U3=1,'calcA'!CT$117=1,GS3=0),2000,0))),1000000000))</f>
        <v/>
      </c>
      <c r="RW3">
        <f>IF($B3=0,1000000000,IF(INDEX('calcA'!$D$60:$EQ$99,$B3,96)*IF($W3=1,GS3+ADH3,GS3)=1,IF(AND($E3=2,IF($W3=1,AIW3,MH3)=0),1000000000,IF($V3=1,INDEX('calcA'!$D$130:$EQ$169,$B3,96)+IF(AND($E3=1,MH3=0),25,0),IF($F3&gt;0,INDEX('calcA'!CU$110:CU$114,$F3+1)+IF(AND($E3=1,MH3=0),1000,0),MIN(TX3,20)*400+(IF('calcA'!CT$106=1,1-GR3,0))*150+244+'calcA'!CU$5*100000+IF(AND($E3=1,MH3=0),50000,0))+IF($H3=1,INDEX('calcA'!$D$180:$EQ$219,$B3,96)*4000,0)-IF(AND('calcA'!CT$117=1,XR3&gt;0),2000,0))),1000000000))</f>
        <v/>
      </c>
      <c r="RX3">
        <f>IF($B3=0,1000000000,IF(INDEX('calcA'!$D$60:$EQ$99,$B3,97)*IF($W3=1,GT3+ADI3,GT3)=1,IF(AND($E3=2,IF($W3=1,AIX3,MI3)=0),1000000000,IF($V3=1,INDEX('calcA'!$D$130:$EQ$169,$B3,97)+IF(AND($E3=1,MI3=0),25,0),IF($F3&gt;0,INDEX('calcA'!CV$110:CV$114,$F3+1)+IF(AND($E3=1,MI3=0),1000,0),MIN(TY3,20)*400+(IF('calcA'!CV$106=1,1-GU3,0))*150+15+'calcA'!CV$5*100000+IF(AND($E3=1,MI3=0),50000,0))+IF($H3=1,INDEX('calcA'!$D$180:$EQ$219,$B3,97)*4000,0)-IF(AND($U3=1,'calcA'!CV$117=1,GU3=0),2000,0))),1000000000))</f>
        <v/>
      </c>
      <c r="RY3">
        <f>IF($B3=0,1000000000,IF(INDEX('calcA'!$D$60:$EQ$99,$B3,98)*IF($W3=1,GU3+ADJ3,GU3)=1,IF(AND($E3=2,IF($W3=1,AIY3,MJ3)=0),1000000000,IF($V3=1,INDEX('calcA'!$D$130:$EQ$169,$B3,98)+IF(AND($E3=1,MJ3=0),25,0),IF($F3&gt;0,INDEX('calcA'!CW$110:CW$114,$F3+1)+IF(AND($E3=1,MJ3=0),1000,0),MIN(TY3,20)*400+(IF('calcA'!CV$106=1,1-GT3,0)+IF('calcA'!CW$106=1,1-GV3,0))*150+25+'calcA'!CW$5*100000+IF(AND($E3=1,MJ3=0),50000,0))+IF($H3=1,INDEX('calcA'!$D$180:$EQ$219,$B3,98)*4000,0)-IF(AND('calcA'!CV$117=1,XT3&gt;0),2000,0)-IF(AND($U3=1,'calcA'!CW$117=1,GV3=0),2000,0))),1000000000))</f>
        <v/>
      </c>
      <c r="RZ3">
        <f>IF($B3=0,1000000000,IF(INDEX('calcA'!$D$60:$EQ$99,$B3,99)*IF($W3=1,GV3+ADK3,GV3)=1,IF(AND($E3=2,IF($W3=1,AIZ3,MK3)=0),1000000000,IF($V3=1,INDEX('calcA'!$D$130:$EQ$169,$B3,99)+IF(AND($E3=1,MK3=0),25,0),IF($F3&gt;0,INDEX('calcA'!CX$110:CX$114,$F3+1)+IF(AND($E3=1,MK3=0),1000,0),MIN(TY3,20)*400+(IF('calcA'!CW$106=1,1-GU3,0)+IF('calcA'!CX$106=1,1-GW3,0))*150+35+'calcA'!CX$5*100000+IF(AND($E3=1,MK3=0),50000,0))+IF($H3=1,INDEX('calcA'!$D$180:$EQ$219,$B3,99)*4000,0)-IF(AND('calcA'!CW$117=1,XU3&gt;0),2000,0)-IF(AND($U3=1,'calcA'!CX$117=1,GW3=0),2000,0))),1000000000))</f>
        <v/>
      </c>
      <c r="SA3">
        <f>IF($B3=0,1000000000,IF(INDEX('calcA'!$D$60:$EQ$99,$B3,100)*IF($W3=1,GW3+ADL3,GW3)=1,IF(AND($E3=2,IF($W3=1,AJA3,ML3)=0),1000000000,IF($V3=1,INDEX('calcA'!$D$130:$EQ$169,$B3,100)+IF(AND($E3=1,ML3=0),25,0),IF($F3&gt;0,INDEX('calcA'!CY$110:CY$114,$F3+1)+IF(AND($E3=1,ML3=0),1000,0),MIN(TY3,20)*400+(IF('calcA'!CX$106=1,1-GV3,0)+IF('calcA'!CY$106=1,1-GX3,0))*150+45+'calcA'!CY$5*100000+IF(AND($E3=1,ML3=0),50000,0))+IF($H3=1,INDEX('calcA'!$D$180:$EQ$219,$B3,100)*4000,0)-IF(AND('calcA'!CX$117=1,XV3&gt;0),2000,0)-IF(AND($U3=1,'calcA'!CY$117=1,GX3=0),2000,0))),1000000000))</f>
        <v/>
      </c>
      <c r="SB3">
        <f>IF($B3=0,1000000000,IF(INDEX('calcA'!$D$60:$EQ$99,$B3,101)*IF($W3=1,GX3+ADM3,GX3)=1,IF(AND($E3=2,IF($W3=1,AJB3,MM3)=0),1000000000,IF($V3=1,INDEX('calcA'!$D$130:$EQ$169,$B3,101)+IF(AND($E3=1,MM3=0),25,0),IF($F3&gt;0,INDEX('calcA'!CZ$110:CZ$114,$F3+1)+IF(AND($E3=1,MM3=0),1000,0),MIN(TY3,20)*400+(IF('calcA'!CY$106=1,1-GW3,0)+IF('calcA'!CZ$106=1,1-GY3,0))*150+55+'calcA'!CZ$5*100000+IF(AND($E3=1,MM3=0),50000,0))+IF($H3=1,INDEX('calcA'!$D$180:$EQ$219,$B3,101)*4000,0)-IF(AND('calcA'!CY$117=1,XW3&gt;0),2000,0)-IF(AND($U3=1,'calcA'!CZ$117=1,GY3=0),2000,0))),1000000000))</f>
        <v/>
      </c>
      <c r="SC3">
        <f>IF($B3=0,1000000000,IF(INDEX('calcA'!$D$60:$EQ$99,$B3,102)*IF($W3=1,GY3+ADN3,GY3)=1,IF(AND($E3=2,IF($W3=1,AJC3,MN3)=0),1000000000,IF($V3=1,INDEX('calcA'!$D$130:$EQ$169,$B3,102)+IF(AND($E3=1,MN3=0),25,0),IF($F3&gt;0,INDEX('calcA'!DA$110:DA$114,$F3+1)+IF(AND($E3=1,MN3=0),1000,0),MIN(TY3,20)*400+(IF('calcA'!CZ$106=1,1-GX3,0)+IF('calcA'!DA$106=1,1-GZ3,0))*150+65+'calcA'!DA$5*100000+IF(AND($E3=1,MN3=0),50000,0))+IF($H3=1,INDEX('calcA'!$D$180:$EQ$219,$B3,102)*4000,0)-IF(AND('calcA'!CZ$117=1,XX3&gt;0),2000,0)-IF(AND($U3=1,'calcA'!DA$117=1,GZ3=0),2000,0))),1000000000))</f>
        <v/>
      </c>
      <c r="SD3">
        <f>IF($B3=0,1000000000,IF(INDEX('calcA'!$D$60:$EQ$99,$B3,103)*IF($W3=1,GZ3+ADO3,GZ3)=1,IF(AND($E3=2,IF($W3=1,AJD3,MO3)=0),1000000000,IF($V3=1,INDEX('calcA'!$D$130:$EQ$169,$B3,103)+IF(AND($E3=1,MO3=0),25,0),IF($F3&gt;0,INDEX('calcA'!DB$110:DB$114,$F3+1)+IF(AND($E3=1,MO3=0),1000,0),MIN(TY3,20)*400+(IF('calcA'!DA$106=1,1-GY3,0)+IF('calcA'!DB$106=1,1-HA3,0))*150+75+'calcA'!DB$5*100000+IF(AND($E3=1,MO3=0),50000,0))+IF($H3=1,INDEX('calcA'!$D$180:$EQ$219,$B3,103)*4000,0)-IF(AND('calcA'!DA$117=1,XY3&gt;0),2000,0)-IF(AND($U3=1,'calcA'!DB$117=1,HA3=0),2000,0))),1000000000))</f>
        <v/>
      </c>
      <c r="SE3">
        <f>IF($B3=0,1000000000,IF(INDEX('calcA'!$D$60:$EQ$99,$B3,104)*IF($W3=1,HA3+ADP3,HA3)=1,IF(AND($E3=2,IF($W3=1,AJE3,MP3)=0),1000000000,IF($V3=1,INDEX('calcA'!$D$130:$EQ$169,$B3,104)+IF(AND($E3=1,MP3=0),25,0),IF($F3&gt;0,INDEX('calcA'!DC$110:DC$114,$F3+1)+IF(AND($E3=1,MP3=0),1000,0),MIN(TY3,20)*400+(IF('calcA'!DB$106=1,1-GZ3,0)+IF('calcA'!DC$106=1,1-HB3,0))*150+85+'calcA'!DC$5*100000+IF(AND($E3=1,MP3=0),50000,0))+IF($H3=1,INDEX('calcA'!$D$180:$EQ$219,$B3,104)*4000,0)-IF(AND('calcA'!DB$117=1,XZ3&gt;0),2000,0)-IF(AND($U3=1,'calcA'!DC$117=1,HB3=0),2000,0))),1000000000))</f>
        <v/>
      </c>
      <c r="SF3">
        <f>IF($B3=0,1000000000,IF(INDEX('calcA'!$D$60:$EQ$99,$B3,105)*IF($W3=1,HB3+ADQ3,HB3)=1,IF(AND($E3=2,IF($W3=1,AJF3,MQ3)=0),1000000000,IF($V3=1,INDEX('calcA'!$D$130:$EQ$169,$B3,105)+IF(AND($E3=1,MQ3=0),25,0),IF($F3&gt;0,INDEX('calcA'!DD$110:DD$114,$F3+1)+IF(AND($E3=1,MQ3=0),1000,0),MIN(TY3,20)*400+(IF('calcA'!DC$106=1,1-HA3,0)+IF('calcA'!DD$106=1,1-HC3,0))*150+95+'calcA'!DD$5*100000+IF(AND($E3=1,MQ3=0),50000,0))+IF($H3=1,INDEX('calcA'!$D$180:$EQ$219,$B3,105)*4000,0)-IF(AND('calcA'!DC$117=1,YA3&gt;0),2000,0)-IF(AND($U3=1,'calcA'!DD$117=1,HC3=0),2000,0))),1000000000))</f>
        <v/>
      </c>
      <c r="SG3">
        <f>IF($B3=0,1000000000,IF(INDEX('calcA'!$D$60:$EQ$99,$B3,106)*IF($W3=1,HC3+ADR3,HC3)=1,IF(AND($E3=2,IF($W3=1,AJG3,MR3)=0),1000000000,IF($V3=1,INDEX('calcA'!$D$130:$EQ$169,$B3,106)+IF(AND($E3=1,MR3=0),25,0),IF($F3&gt;0,INDEX('calcA'!DE$110:DE$114,$F3+1)+IF(AND($E3=1,MR3=0),1000,0),MIN(TY3,20)*400+(IF('calcA'!DD$106=1,1-HB3,0)+IF('calcA'!DE$106=1,1-HD3,0))*150+105+'calcA'!DE$5*100000+IF(AND($E3=1,MR3=0),50000,0))+IF($H3=1,INDEX('calcA'!$D$180:$EQ$219,$B3,106)*4000,0)-IF(AND('calcA'!DD$117=1,YB3&gt;0),2000,0)-IF(AND($U3=1,'calcA'!DE$117=1,HD3=0),2000,0))),1000000000))</f>
        <v/>
      </c>
      <c r="SH3">
        <f>IF($B3=0,1000000000,IF(INDEX('calcA'!$D$60:$EQ$99,$B3,107)*IF($W3=1,HD3+ADS3,HD3)=1,IF(AND($E3=2,IF($W3=1,AJH3,MS3)=0),1000000000,IF($V3=1,INDEX('calcA'!$D$130:$EQ$169,$B3,107)+IF(AND($E3=1,MS3=0),25,0),IF($F3&gt;0,INDEX('calcA'!DF$110:DF$114,$F3+1)+IF(AND($E3=1,MS3=0),1000,0),MIN(TY3,20)*400+(IF('calcA'!DE$106=1,1-HC3,0)+IF('calcA'!DF$106=1,1-HE3,0))*150+115+'calcA'!DF$5*100000+IF(AND($E3=1,MS3=0),50000,0))+IF($H3=1,INDEX('calcA'!$D$180:$EQ$219,$B3,107)*4000,0)-IF(AND('calcA'!DE$117=1,YC3&gt;0),2000,0)-IF(AND($U3=1,'calcA'!DF$117=1,HE3=0),2000,0))),1000000000))</f>
        <v/>
      </c>
      <c r="SI3">
        <f>IF($B3=0,1000000000,IF(INDEX('calcA'!$D$60:$EQ$99,$B3,108)*IF($W3=1,HE3+ADT3,HE3)=1,IF(AND($E3=2,IF($W3=1,AJI3,MT3)=0),1000000000,IF($V3=1,INDEX('calcA'!$D$130:$EQ$169,$B3,108)+IF(AND($E3=1,MT3=0),25,0),IF($F3&gt;0,INDEX('calcA'!DG$110:DG$114,$F3+1)+IF(AND($E3=1,MT3=0),1000,0),MIN(TY3,20)*400+(IF('calcA'!DF$106=1,1-HD3,0)+IF('calcA'!DG$106=1,1-HF3,0))*150+125+'calcA'!DG$5*100000+IF(AND($E3=1,MT3=0),50000,0))+IF($H3=1,INDEX('calcA'!$D$180:$EQ$219,$B3,108)*4000,0)-IF(AND('calcA'!DF$117=1,YD3&gt;0),2000,0)-IF(AND($U3=1,'calcA'!DG$117=1,HF3=0),2000,0))),1000000000))</f>
        <v/>
      </c>
      <c r="SJ3">
        <f>IF($B3=0,1000000000,IF(INDEX('calcA'!$D$60:$EQ$99,$B3,109)*IF($W3=1,HF3+ADU3,HF3)=1,IF(AND($E3=2,IF($W3=1,AJJ3,MU3)=0),1000000000,IF($V3=1,INDEX('calcA'!$D$130:$EQ$169,$B3,109)+IF(AND($E3=1,MU3=0),25,0),IF($F3&gt;0,INDEX('calcA'!DH$110:DH$114,$F3+1)+IF(AND($E3=1,MU3=0),1000,0),MIN(TY3,20)*400+(IF('calcA'!DG$106=1,1-HE3,0)+IF('calcA'!DH$106=1,1-HG3,0))*150+135+'calcA'!DH$5*100000+IF(AND($E3=1,MU3=0),50000,0))+IF($H3=1,INDEX('calcA'!$D$180:$EQ$219,$B3,109)*4000,0)-IF(AND('calcA'!DG$117=1,YE3&gt;0),2000,0)-IF(AND($U3=1,'calcA'!DH$117=1,HG3=0),2000,0))),1000000000))</f>
        <v/>
      </c>
      <c r="SK3">
        <f>IF($B3=0,1000000000,IF(INDEX('calcA'!$D$60:$EQ$99,$B3,110)*IF($W3=1,HG3+ADV3,HG3)=1,IF(AND($E3=2,IF($W3=1,AJK3,MV3)=0),1000000000,IF($V3=1,INDEX('calcA'!$D$130:$EQ$169,$B3,110)+IF(AND($E3=1,MV3=0),25,0),IF($F3&gt;0,INDEX('calcA'!DI$110:DI$114,$F3+1)+IF(AND($E3=1,MV3=0),1000,0),MIN(TY3,20)*400+(IF('calcA'!DH$106=1,1-HF3,0)+IF('calcA'!DI$106=1,1-HH3,0))*150+145+'calcA'!DI$5*100000+IF(AND($E3=1,MV3=0),50000,0))+IF($H3=1,INDEX('calcA'!$D$180:$EQ$219,$B3,110)*4000,0)-IF(AND('calcA'!DH$117=1,YF3&gt;0),2000,0)-IF(AND($U3=1,'calcA'!DI$117=1,HH3=0),2000,0))),1000000000))</f>
        <v/>
      </c>
      <c r="SL3">
        <f>IF($B3=0,1000000000,IF(INDEX('calcA'!$D$60:$EQ$99,$B3,111)*IF($W3=1,HH3+ADW3,HH3)=1,IF(AND($E3=2,IF($W3=1,AJL3,MW3)=0),1000000000,IF($V3=1,INDEX('calcA'!$D$130:$EQ$169,$B3,111)+IF(AND($E3=1,MW3=0),25,0),IF($F3&gt;0,INDEX('calcA'!DJ$110:DJ$114,$F3+1)+IF(AND($E3=1,MW3=0),1000,0),MIN(TY3,20)*400+(IF('calcA'!DI$106=1,1-HG3,0)+IF('calcA'!DJ$106=1,1-HI3,0))*150+155+'calcA'!DJ$5*100000+IF(AND($E3=1,MW3=0),50000,0))+IF($H3=1,INDEX('calcA'!$D$180:$EQ$219,$B3,111)*4000,0)-IF(AND('calcA'!DI$117=1,YG3&gt;0),2000,0)-IF(AND($U3=1,'calcA'!DJ$117=1,HI3=0),2000,0))),1000000000))</f>
        <v/>
      </c>
      <c r="SM3">
        <f>IF($B3=0,1000000000,IF(INDEX('calcA'!$D$60:$EQ$99,$B3,112)*IF($W3=1,HI3+ADX3,HI3)=1,IF(AND($E3=2,IF($W3=1,AJM3,MX3)=0),1000000000,IF($V3=1,INDEX('calcA'!$D$130:$EQ$169,$B3,112)+IF(AND($E3=1,MX3=0),25,0),IF($F3&gt;0,INDEX('calcA'!DK$110:DK$114,$F3+1)+IF(AND($E3=1,MX3=0),1000,0),MIN(TY3,20)*400+(IF('calcA'!DJ$106=1,1-HH3,0)+IF('calcA'!DK$106=1,1-HJ3,0))*150+165+'calcA'!DK$5*100000+IF(AND($E3=1,MX3=0),50000,0))+IF($H3=1,INDEX('calcA'!$D$180:$EQ$219,$B3,112)*4000,0)-IF(AND('calcA'!DJ$117=1,YH3&gt;0),2000,0)-IF(AND($U3=1,'calcA'!DK$117=1,HJ3=0),2000,0))),1000000000))</f>
        <v/>
      </c>
      <c r="SN3">
        <f>IF($B3=0,1000000000,IF(INDEX('calcA'!$D$60:$EQ$99,$B3,113)*IF($W3=1,HJ3+ADY3,HJ3)=1,IF(AND($E3=2,IF($W3=1,AJN3,MY3)=0),1000000000,IF($V3=1,INDEX('calcA'!$D$130:$EQ$169,$B3,113)+IF(AND($E3=1,MY3=0),25,0),IF($F3&gt;0,INDEX('calcA'!DL$110:DL$114,$F3+1)+IF(AND($E3=1,MY3=0),1000,0),MIN(TY3,20)*400+(IF('calcA'!DK$106=1,1-HI3,0)+IF('calcA'!DL$106=1,1-HK3,0))*150+175+'calcA'!DL$5*100000+IF(AND($E3=1,MY3=0),50000,0))+IF($H3=1,INDEX('calcA'!$D$180:$EQ$219,$B3,113)*4000,0)-IF(AND('calcA'!DK$117=1,YI3&gt;0),2000,0)-IF(AND($U3=1,'calcA'!DL$117=1,HK3=0),2000,0))),1000000000))</f>
        <v/>
      </c>
      <c r="SO3">
        <f>IF($B3=0,1000000000,IF(INDEX('calcA'!$D$60:$EQ$99,$B3,114)*IF($W3=1,HK3+ADZ3,HK3)=1,IF(AND($E3=2,IF($W3=1,AJO3,MZ3)=0),1000000000,IF($V3=1,INDEX('calcA'!$D$130:$EQ$169,$B3,114)+IF(AND($E3=1,MZ3=0),25,0),IF($F3&gt;0,INDEX('calcA'!DM$110:DM$114,$F3+1)+IF(AND($E3=1,MZ3=0),1000,0),MIN(TY3,20)*400+(IF('calcA'!DL$106=1,1-HJ3,0)+IF('calcA'!DM$106=1,1-HL3,0))*150+185+'calcA'!DM$5*100000+IF(AND($E3=1,MZ3=0),50000,0))+IF($H3=1,INDEX('calcA'!$D$180:$EQ$219,$B3,114)*4000,0)-IF(AND('calcA'!DL$117=1,YJ3&gt;0),2000,0)-IF(AND($U3=1,'calcA'!DM$117=1,HL3=0),2000,0))),1000000000))</f>
        <v/>
      </c>
      <c r="SP3">
        <f>IF($B3=0,1000000000,IF(INDEX('calcA'!$D$60:$EQ$99,$B3,115)*IF($W3=1,HL3+AEA3,HL3)=1,IF(AND($E3=2,IF($W3=1,AJP3,NA3)=0),1000000000,IF($V3=1,INDEX('calcA'!$D$130:$EQ$169,$B3,115)+IF(AND($E3=1,NA3=0),25,0),IF($F3&gt;0,INDEX('calcA'!DN$110:DN$114,$F3+1)+IF(AND($E3=1,NA3=0),1000,0),MIN(TY3,20)*400+(IF('calcA'!DM$106=1,1-HK3,0)+IF('calcA'!DN$106=1,1-HM3,0))*150+195+'calcA'!DN$5*100000+IF(AND($E3=1,NA3=0),50000,0))+IF($H3=1,INDEX('calcA'!$D$180:$EQ$219,$B3,115)*4000,0)-IF(AND('calcA'!DM$117=1,YK3&gt;0),2000,0)-IF(AND($U3=1,'calcA'!DN$117=1,HM3=0),2000,0))),1000000000))</f>
        <v/>
      </c>
      <c r="SQ3">
        <f>IF($B3=0,1000000000,IF(INDEX('calcA'!$D$60:$EQ$99,$B3,116)*IF($W3=1,HM3+AEB3,HM3)=1,IF(AND($E3=2,IF($W3=1,AJQ3,NB3)=0),1000000000,IF($V3=1,INDEX('calcA'!$D$130:$EQ$169,$B3,116)+IF(AND($E3=1,NB3=0),25,0),IF($F3&gt;0,INDEX('calcA'!DO$110:DO$114,$F3+1)+IF(AND($E3=1,NB3=0),1000,0),MIN(TY3,20)*400+(IF('calcA'!DN$106=1,1-HL3,0)+IF('calcA'!DO$106=1,1-HN3,0))*150+205+'calcA'!DO$5*100000+IF(AND($E3=1,NB3=0),50000,0))+IF($H3=1,INDEX('calcA'!$D$180:$EQ$219,$B3,116)*4000,0)-IF(AND('calcA'!DN$117=1,YL3&gt;0),2000,0)-IF(AND($U3=1,'calcA'!DO$117=1,HN3=0),2000,0))),1000000000))</f>
        <v/>
      </c>
      <c r="SR3">
        <f>IF($B3=0,1000000000,IF(INDEX('calcA'!$D$60:$EQ$99,$B3,117)*IF($W3=1,HN3+AEC3,HN3)=1,IF(AND($E3=2,IF($W3=1,AJR3,NC3)=0),1000000000,IF($V3=1,INDEX('calcA'!$D$130:$EQ$169,$B3,117)+IF(AND($E3=1,NC3=0),25,0),IF($F3&gt;0,INDEX('calcA'!DP$110:DP$114,$F3+1)+IF(AND($E3=1,NC3=0),1000,0),MIN(TY3,20)*400+(IF('calcA'!DO$106=1,1-HM3,0)+IF('calcA'!DP$106=1,1-HO3,0))*150+215+'calcA'!DP$5*100000+IF(AND($E3=1,NC3=0),50000,0))+IF($H3=1,INDEX('calcA'!$D$180:$EQ$219,$B3,117)*4000,0)-IF(AND('calcA'!DO$117=1,YM3&gt;0),2000,0)-IF(AND($U3=1,'calcA'!DP$117=1,HO3=0),2000,0))),1000000000))</f>
        <v/>
      </c>
      <c r="SS3">
        <f>IF($B3=0,1000000000,IF(INDEX('calcA'!$D$60:$EQ$99,$B3,118)*IF($W3=1,HO3+AED3,HO3)=1,IF(AND($E3=2,IF($W3=1,AJS3,ND3)=0),1000000000,IF($V3=1,INDEX('calcA'!$D$130:$EQ$169,$B3,118)+IF(AND($E3=1,ND3=0),25,0),IF($F3&gt;0,INDEX('calcA'!DQ$110:DQ$114,$F3+1)+IF(AND($E3=1,ND3=0),1000,0),MIN(TY3,20)*400+(IF('calcA'!DP$106=1,1-HN3,0)+IF('calcA'!DQ$106=1,1-HP3,0))*150+225+'calcA'!DQ$5*100000+IF(AND($E3=1,ND3=0),50000,0))+IF($H3=1,INDEX('calcA'!$D$180:$EQ$219,$B3,118)*4000,0)-IF(AND('calcA'!DP$117=1,YN3&gt;0),2000,0)-IF(AND($U3=1,'calcA'!DQ$117=1,HP3=0),2000,0))),1000000000))</f>
        <v/>
      </c>
      <c r="ST3">
        <f>IF($B3=0,1000000000,IF(INDEX('calcA'!$D$60:$EQ$99,$B3,119)*IF($W3=1,HP3+AEE3,HP3)=1,IF(AND($E3=2,IF($W3=1,AJT3,NE3)=0),1000000000,IF($V3=1,INDEX('calcA'!$D$130:$EQ$169,$B3,119)+IF(AND($E3=1,NE3=0),25,0),IF($F3&gt;0,INDEX('calcA'!DR$110:DR$114,$F3+1)+IF(AND($E3=1,NE3=0),1000,0),MIN(TY3,20)*400+(IF('calcA'!DQ$106=1,1-HO3,0)+IF('calcA'!DR$106=1,1-HQ3,0))*150+235+'calcA'!DR$5*100000+IF(AND($E3=1,NE3=0),50000,0))+IF($H3=1,INDEX('calcA'!$D$180:$EQ$219,$B3,119)*4000,0)-IF(AND('calcA'!DQ$117=1,YO3&gt;0),2000,0)-IF(AND($U3=1,'calcA'!DR$117=1,HQ3=0),2000,0))),1000000000))</f>
        <v/>
      </c>
      <c r="SU3">
        <f>IF($B3=0,1000000000,IF(INDEX('calcA'!$D$60:$EQ$99,$B3,120)*IF($W3=1,HQ3+AEF3,HQ3)=1,IF(AND($E3=2,IF($W3=1,AJU3,NF3)=0),1000000000,IF($V3=1,INDEX('calcA'!$D$130:$EQ$169,$B3,120)+IF(AND($E3=1,NF3=0),25,0),IF($F3&gt;0,INDEX('calcA'!DS$110:DS$114,$F3+1)+IF(AND($E3=1,NF3=0),1000,0),MIN(TY3,20)*400+(IF('calcA'!DR$106=1,1-HP3,0))*150+245+'calcA'!DS$5*100000+IF(AND($E3=1,NF3=0),50000,0))+IF($H3=1,INDEX('calcA'!$D$180:$EQ$219,$B3,120)*4000,0)-IF(AND('calcA'!DR$117=1,YP3&gt;0),2000,0))),1000000000))</f>
        <v/>
      </c>
      <c r="SV3">
        <f>IF($B3=0,1000000000,IF(INDEX('calcA'!$D$60:$EQ$99,$B3,121)*IF($W3=1,HR3+AEG3,HR3)=1,IF(AND($E3=2,IF($W3=1,AJV3,NG3)=0),1000000000,IF($V3=1,INDEX('calcA'!$D$130:$EQ$169,$B3,121)+IF(AND($E3=1,NG3=0),25,0),IF($F3&gt;0,INDEX('calcA'!DT$110:DT$114,$F3+1)+IF(AND($E3=1,NG3=0),1000,0),MIN(TZ3,20)*400+(IF('calcA'!DT$106=1,1-HS3,0))*150+16+'calcA'!DT$5*100000+IF(AND($E3=1,NG3=0),50000,0))+IF($H3=1,INDEX('calcA'!$D$180:$EQ$219,$B3,121)*4000,0)-IF(AND($U3=1,'calcA'!DT$117=1,HS3=0),2000,0))),1000000000))</f>
        <v/>
      </c>
      <c r="SW3">
        <f>IF($B3=0,1000000000,IF(INDEX('calcA'!$D$60:$EQ$99,$B3,122)*IF($W3=1,HS3+AEH3,HS3)=1,IF(AND($E3=2,IF($W3=1,AJW3,NH3)=0),1000000000,IF($V3=1,INDEX('calcA'!$D$130:$EQ$169,$B3,122)+IF(AND($E3=1,NH3=0),25,0),IF($F3&gt;0,INDEX('calcA'!DU$110:DU$114,$F3+1)+IF(AND($E3=1,NH3=0),1000,0),MIN(TZ3,20)*400+(IF('calcA'!DT$106=1,1-HR3,0)+IF('calcA'!DU$106=1,1-HT3,0))*150+26+'calcA'!DU$5*100000+IF(AND($E3=1,NH3=0),50000,0))+IF($H3=1,INDEX('calcA'!$D$180:$EQ$219,$B3,122)*4000,0)-IF(AND('calcA'!DT$117=1,YR3&gt;0),2000,0)-IF(AND($U3=1,'calcA'!DU$117=1,HT3=0),2000,0))),1000000000))</f>
        <v/>
      </c>
      <c r="SX3">
        <f>IF($B3=0,1000000000,IF(INDEX('calcA'!$D$60:$EQ$99,$B3,123)*IF($W3=1,HT3+AEI3,HT3)=1,IF(AND($E3=2,IF($W3=1,AJX3,NI3)=0),1000000000,IF($V3=1,INDEX('calcA'!$D$130:$EQ$169,$B3,123)+IF(AND($E3=1,NI3=0),25,0),IF($F3&gt;0,INDEX('calcA'!DV$110:DV$114,$F3+1)+IF(AND($E3=1,NI3=0),1000,0),MIN(TZ3,20)*400+(IF('calcA'!DU$106=1,1-HS3,0)+IF('calcA'!DV$106=1,1-HU3,0))*150+36+'calcA'!DV$5*100000+IF(AND($E3=1,NI3=0),50000,0))+IF($H3=1,INDEX('calcA'!$D$180:$EQ$219,$B3,123)*4000,0)-IF(AND('calcA'!DU$117=1,YS3&gt;0),2000,0)-IF(AND($U3=1,'calcA'!DV$117=1,HU3=0),2000,0))),1000000000))</f>
        <v/>
      </c>
      <c r="SY3">
        <f>IF($B3=0,1000000000,IF(INDEX('calcA'!$D$60:$EQ$99,$B3,124)*IF($W3=1,HU3+AEJ3,HU3)=1,IF(AND($E3=2,IF($W3=1,AJY3,NJ3)=0),1000000000,IF($V3=1,INDEX('calcA'!$D$130:$EQ$169,$B3,124)+IF(AND($E3=1,NJ3=0),25,0),IF($F3&gt;0,INDEX('calcA'!DW$110:DW$114,$F3+1)+IF(AND($E3=1,NJ3=0),1000,0),MIN(TZ3,20)*400+(IF('calcA'!DV$106=1,1-HT3,0)+IF('calcA'!DW$106=1,1-HV3,0))*150+46+'calcA'!DW$5*100000+IF(AND($E3=1,NJ3=0),50000,0))+IF($H3=1,INDEX('calcA'!$D$180:$EQ$219,$B3,124)*4000,0)-IF(AND('calcA'!DV$117=1,YT3&gt;0),2000,0)-IF(AND($U3=1,'calcA'!DW$117=1,HV3=0),2000,0))),1000000000))</f>
        <v/>
      </c>
      <c r="SZ3">
        <f>IF($B3=0,1000000000,IF(INDEX('calcA'!$D$60:$EQ$99,$B3,125)*IF($W3=1,HV3+AEK3,HV3)=1,IF(AND($E3=2,IF($W3=1,AJZ3,NK3)=0),1000000000,IF($V3=1,INDEX('calcA'!$D$130:$EQ$169,$B3,125)+IF(AND($E3=1,NK3=0),25,0),IF($F3&gt;0,INDEX('calcA'!DX$110:DX$114,$F3+1)+IF(AND($E3=1,NK3=0),1000,0),MIN(TZ3,20)*400+(IF('calcA'!DW$106=1,1-HU3,0)+IF('calcA'!DX$106=1,1-HW3,0))*150+56+'calcA'!DX$5*100000+IF(AND($E3=1,NK3=0),50000,0))+IF($H3=1,INDEX('calcA'!$D$180:$EQ$219,$B3,125)*4000,0)-IF(AND('calcA'!DW$117=1,YU3&gt;0),2000,0)-IF(AND($U3=1,'calcA'!DX$117=1,HW3=0),2000,0))),1000000000))</f>
        <v/>
      </c>
      <c r="TA3">
        <f>IF($B3=0,1000000000,IF(INDEX('calcA'!$D$60:$EQ$99,$B3,126)*IF($W3=1,HW3+AEL3,HW3)=1,IF(AND($E3=2,IF($W3=1,AKA3,NL3)=0),1000000000,IF($V3=1,INDEX('calcA'!$D$130:$EQ$169,$B3,126)+IF(AND($E3=1,NL3=0),25,0),IF($F3&gt;0,INDEX('calcA'!DY$110:DY$114,$F3+1)+IF(AND($E3=1,NL3=0),1000,0),MIN(TZ3,20)*400+(IF('calcA'!DX$106=1,1-HV3,0)+IF('calcA'!DY$106=1,1-HX3,0))*150+66+'calcA'!DY$5*100000+IF(AND($E3=1,NL3=0),50000,0))+IF($H3=1,INDEX('calcA'!$D$180:$EQ$219,$B3,126)*4000,0)-IF(AND('calcA'!DX$117=1,YV3&gt;0),2000,0)-IF(AND($U3=1,'calcA'!DY$117=1,HX3=0),2000,0))),1000000000))</f>
        <v/>
      </c>
      <c r="TB3">
        <f>IF($B3=0,1000000000,IF(INDEX('calcA'!$D$60:$EQ$99,$B3,127)*IF($W3=1,HX3+AEM3,HX3)=1,IF(AND($E3=2,IF($W3=1,AKB3,NM3)=0),1000000000,IF($V3=1,INDEX('calcA'!$D$130:$EQ$169,$B3,127)+IF(AND($E3=1,NM3=0),25,0),IF($F3&gt;0,INDEX('calcA'!DZ$110:DZ$114,$F3+1)+IF(AND($E3=1,NM3=0),1000,0),MIN(TZ3,20)*400+(IF('calcA'!DY$106=1,1-HW3,0)+IF('calcA'!DZ$106=1,1-HY3,0))*150+76+'calcA'!DZ$5*100000+IF(AND($E3=1,NM3=0),50000,0))+IF($H3=1,INDEX('calcA'!$D$180:$EQ$219,$B3,127)*4000,0)-IF(AND('calcA'!DY$117=1,YW3&gt;0),2000,0)-IF(AND($U3=1,'calcA'!DZ$117=1,HY3=0),2000,0))),1000000000))</f>
        <v/>
      </c>
      <c r="TC3">
        <f>IF($B3=0,1000000000,IF(INDEX('calcA'!$D$60:$EQ$99,$B3,128)*IF($W3=1,HY3+AEN3,HY3)=1,IF(AND($E3=2,IF($W3=1,AKC3,NN3)=0),1000000000,IF($V3=1,INDEX('calcA'!$D$130:$EQ$169,$B3,128)+IF(AND($E3=1,NN3=0),25,0),IF($F3&gt;0,INDEX('calcA'!EA$110:EA$114,$F3+1)+IF(AND($E3=1,NN3=0),1000,0),MIN(TZ3,20)*400+(IF('calcA'!DZ$106=1,1-HX3,0)+IF('calcA'!EA$106=1,1-HZ3,0))*150+86+'calcA'!EA$5*100000+IF(AND($E3=1,NN3=0),50000,0))+IF($H3=1,INDEX('calcA'!$D$180:$EQ$219,$B3,128)*4000,0)-IF(AND('calcA'!DZ$117=1,YX3&gt;0),2000,0)-IF(AND($U3=1,'calcA'!EA$117=1,HZ3=0),2000,0))),1000000000))</f>
        <v/>
      </c>
      <c r="TD3">
        <f>IF($B3=0,1000000000,IF(INDEX('calcA'!$D$60:$EQ$99,$B3,129)*IF($W3=1,HZ3+AEO3,HZ3)=1,IF(AND($E3=2,IF($W3=1,AKD3,NO3)=0),1000000000,IF($V3=1,INDEX('calcA'!$D$130:$EQ$169,$B3,129)+IF(AND($E3=1,NO3=0),25,0),IF($F3&gt;0,INDEX('calcA'!EB$110:EB$114,$F3+1)+IF(AND($E3=1,NO3=0),1000,0),MIN(TZ3,20)*400+(IF('calcA'!EA$106=1,1-HY3,0)+IF('calcA'!EB$106=1,1-IA3,0))*150+96+'calcA'!EB$5*100000+IF(AND($E3=1,NO3=0),50000,0))+IF($H3=1,INDEX('calcA'!$D$180:$EQ$219,$B3,129)*4000,0)-IF(AND('calcA'!EA$117=1,YY3&gt;0),2000,0)-IF(AND($U3=1,'calcA'!EB$117=1,IA3=0),2000,0))),1000000000))</f>
        <v/>
      </c>
      <c r="TE3">
        <f>IF($B3=0,1000000000,IF(INDEX('calcA'!$D$60:$EQ$99,$B3,130)*IF($W3=1,IA3+AEP3,IA3)=1,IF(AND($E3=2,IF($W3=1,AKE3,NP3)=0),1000000000,IF($V3=1,INDEX('calcA'!$D$130:$EQ$169,$B3,130)+IF(AND($E3=1,NP3=0),25,0),IF($F3&gt;0,INDEX('calcA'!EC$110:EC$114,$F3+1)+IF(AND($E3=1,NP3=0),1000,0),MIN(TZ3,20)*400+(IF('calcA'!EB$106=1,1-HZ3,0)+IF('calcA'!EC$106=1,1-IB3,0))*150+106+'calcA'!EC$5*100000+IF(AND($E3=1,NP3=0),50000,0))+IF($H3=1,INDEX('calcA'!$D$180:$EQ$219,$B3,130)*4000,0)-IF(AND('calcA'!EB$117=1,YZ3&gt;0),2000,0)-IF(AND($U3=1,'calcA'!EC$117=1,IB3=0),2000,0))),1000000000))</f>
        <v/>
      </c>
      <c r="TF3">
        <f>IF($B3=0,1000000000,IF(INDEX('calcA'!$D$60:$EQ$99,$B3,131)*IF($W3=1,IB3+AEQ3,IB3)=1,IF(AND($E3=2,IF($W3=1,AKF3,NQ3)=0),1000000000,IF($V3=1,INDEX('calcA'!$D$130:$EQ$169,$B3,131)+IF(AND($E3=1,NQ3=0),25,0),IF($F3&gt;0,INDEX('calcA'!ED$110:ED$114,$F3+1)+IF(AND($E3=1,NQ3=0),1000,0),MIN(TZ3,20)*400+(IF('calcA'!EC$106=1,1-IA3,0)+IF('calcA'!ED$106=1,1-IC3,0))*150+116+'calcA'!ED$5*100000+IF(AND($E3=1,NQ3=0),50000,0))+IF($H3=1,INDEX('calcA'!$D$180:$EQ$219,$B3,131)*4000,0)-IF(AND('calcA'!EC$117=1,ZA3&gt;0),2000,0)-IF(AND($U3=1,'calcA'!ED$117=1,IC3=0),2000,0))),1000000000))</f>
        <v/>
      </c>
      <c r="TG3">
        <f>IF($B3=0,1000000000,IF(INDEX('calcA'!$D$60:$EQ$99,$B3,132)*IF($W3=1,IC3+AER3,IC3)=1,IF(AND($E3=2,IF($W3=1,AKG3,NR3)=0),1000000000,IF($V3=1,INDEX('calcA'!$D$130:$EQ$169,$B3,132)+IF(AND($E3=1,NR3=0),25,0),IF($F3&gt;0,INDEX('calcA'!EE$110:EE$114,$F3+1)+IF(AND($E3=1,NR3=0),1000,0),MIN(TZ3,20)*400+(IF('calcA'!ED$106=1,1-IB3,0)+IF('calcA'!EE$106=1,1-ID3,0))*150+126+'calcA'!EE$5*100000+IF(AND($E3=1,NR3=0),50000,0))+IF($H3=1,INDEX('calcA'!$D$180:$EQ$219,$B3,132)*4000,0)-IF(AND('calcA'!ED$117=1,ZB3&gt;0),2000,0)-IF(AND($U3=1,'calcA'!EE$117=1,ID3=0),2000,0))),1000000000))</f>
        <v/>
      </c>
      <c r="TH3">
        <f>IF($B3=0,1000000000,IF(INDEX('calcA'!$D$60:$EQ$99,$B3,133)*IF($W3=1,ID3+AES3,ID3)=1,IF(AND($E3=2,IF($W3=1,AKH3,NS3)=0),1000000000,IF($V3=1,INDEX('calcA'!$D$130:$EQ$169,$B3,133)+IF(AND($E3=1,NS3=0),25,0),IF($F3&gt;0,INDEX('calcA'!EF$110:EF$114,$F3+1)+IF(AND($E3=1,NS3=0),1000,0),MIN(TZ3,20)*400+(IF('calcA'!EE$106=1,1-IC3,0)+IF('calcA'!EF$106=1,1-IE3,0))*150+136+'calcA'!EF$5*100000+IF(AND($E3=1,NS3=0),50000,0))+IF($H3=1,INDEX('calcA'!$D$180:$EQ$219,$B3,133)*4000,0)-IF(AND('calcA'!EE$117=1,ZC3&gt;0),2000,0)-IF(AND($U3=1,'calcA'!EF$117=1,IE3=0),2000,0))),1000000000))</f>
        <v/>
      </c>
      <c r="TI3">
        <f>IF($B3=0,1000000000,IF(INDEX('calcA'!$D$60:$EQ$99,$B3,134)*IF($W3=1,IE3+AET3,IE3)=1,IF(AND($E3=2,IF($W3=1,AKI3,NT3)=0),1000000000,IF($V3=1,INDEX('calcA'!$D$130:$EQ$169,$B3,134)+IF(AND($E3=1,NT3=0),25,0),IF($F3&gt;0,INDEX('calcA'!EG$110:EG$114,$F3+1)+IF(AND($E3=1,NT3=0),1000,0),MIN(TZ3,20)*400+(IF('calcA'!EF$106=1,1-ID3,0)+IF('calcA'!EG$106=1,1-IF3,0))*150+146+'calcA'!EG$5*100000+IF(AND($E3=1,NT3=0),50000,0))+IF($H3=1,INDEX('calcA'!$D$180:$EQ$219,$B3,134)*4000,0)-IF(AND('calcA'!EF$117=1,ZD3&gt;0),2000,0)-IF(AND($U3=1,'calcA'!EG$117=1,IF3=0),2000,0))),1000000000))</f>
        <v/>
      </c>
      <c r="TJ3">
        <f>IF($B3=0,1000000000,IF(INDEX('calcA'!$D$60:$EQ$99,$B3,135)*IF($W3=1,IF3+AEU3,IF3)=1,IF(AND($E3=2,IF($W3=1,AKJ3,NU3)=0),1000000000,IF($V3=1,INDEX('calcA'!$D$130:$EQ$169,$B3,135)+IF(AND($E3=1,NU3=0),25,0),IF($F3&gt;0,INDEX('calcA'!EH$110:EH$114,$F3+1)+IF(AND($E3=1,NU3=0),1000,0),MIN(TZ3,20)*400+(IF('calcA'!EG$106=1,1-IE3,0)+IF('calcA'!EH$106=1,1-IG3,0))*150+156+'calcA'!EH$5*100000+IF(AND($E3=1,NU3=0),50000,0))+IF($H3=1,INDEX('calcA'!$D$180:$EQ$219,$B3,135)*4000,0)-IF(AND('calcA'!EG$117=1,ZE3&gt;0),2000,0)-IF(AND($U3=1,'calcA'!EH$117=1,IG3=0),2000,0))),1000000000))</f>
        <v/>
      </c>
      <c r="TK3">
        <f>IF($B3=0,1000000000,IF(INDEX('calcA'!$D$60:$EQ$99,$B3,136)*IF($W3=1,IG3+AEV3,IG3)=1,IF(AND($E3=2,IF($W3=1,AKK3,NV3)=0),1000000000,IF($V3=1,INDEX('calcA'!$D$130:$EQ$169,$B3,136)+IF(AND($E3=1,NV3=0),25,0),IF($F3&gt;0,INDEX('calcA'!EI$110:EI$114,$F3+1)+IF(AND($E3=1,NV3=0),1000,0),MIN(TZ3,20)*400+(IF('calcA'!EH$106=1,1-IF3,0)+IF('calcA'!EI$106=1,1-IH3,0))*150+166+'calcA'!EI$5*100000+IF(AND($E3=1,NV3=0),50000,0))+IF($H3=1,INDEX('calcA'!$D$180:$EQ$219,$B3,136)*4000,0)-IF(AND('calcA'!EH$117=1,ZF3&gt;0),2000,0)-IF(AND($U3=1,'calcA'!EI$117=1,IH3=0),2000,0))),1000000000))</f>
        <v/>
      </c>
      <c r="TL3">
        <f>IF($B3=0,1000000000,IF(INDEX('calcA'!$D$60:$EQ$99,$B3,137)*IF($W3=1,IH3+AEW3,IH3)=1,IF(AND($E3=2,IF($W3=1,AKL3,NW3)=0),1000000000,IF($V3=1,INDEX('calcA'!$D$130:$EQ$169,$B3,137)+IF(AND($E3=1,NW3=0),25,0),IF($F3&gt;0,INDEX('calcA'!EJ$110:EJ$114,$F3+1)+IF(AND($E3=1,NW3=0),1000,0),MIN(TZ3,20)*400+(IF('calcA'!EI$106=1,1-IG3,0)+IF('calcA'!EJ$106=1,1-II3,0))*150+176+'calcA'!EJ$5*100000+IF(AND($E3=1,NW3=0),50000,0))+IF($H3=1,INDEX('calcA'!$D$180:$EQ$219,$B3,137)*4000,0)-IF(AND('calcA'!EI$117=1,ZG3&gt;0),2000,0)-IF(AND($U3=1,'calcA'!EJ$117=1,II3=0),2000,0))),1000000000))</f>
        <v/>
      </c>
      <c r="TM3">
        <f>IF($B3=0,1000000000,IF(INDEX('calcA'!$D$60:$EQ$99,$B3,138)*IF($W3=1,II3+AEX3,II3)=1,IF(AND($E3=2,IF($W3=1,AKM3,NX3)=0),1000000000,IF($V3=1,INDEX('calcA'!$D$130:$EQ$169,$B3,138)+IF(AND($E3=1,NX3=0),25,0),IF($F3&gt;0,INDEX('calcA'!EK$110:EK$114,$F3+1)+IF(AND($E3=1,NX3=0),1000,0),MIN(TZ3,20)*400+(IF('calcA'!EJ$106=1,1-IH3,0)+IF('calcA'!EK$106=1,1-IJ3,0))*150+186+'calcA'!EK$5*100000+IF(AND($E3=1,NX3=0),50000,0))+IF($H3=1,INDEX('calcA'!$D$180:$EQ$219,$B3,138)*4000,0)-IF(AND('calcA'!EJ$117=1,ZH3&gt;0),2000,0)-IF(AND($U3=1,'calcA'!EK$117=1,IJ3=0),2000,0))),1000000000))</f>
        <v/>
      </c>
      <c r="TN3">
        <f>IF($B3=0,1000000000,IF(INDEX('calcA'!$D$60:$EQ$99,$B3,139)*IF($W3=1,IJ3+AEY3,IJ3)=1,IF(AND($E3=2,IF($W3=1,AKN3,NY3)=0),1000000000,IF($V3=1,INDEX('calcA'!$D$130:$EQ$169,$B3,139)+IF(AND($E3=1,NY3=0),25,0),IF($F3&gt;0,INDEX('calcA'!EL$110:EL$114,$F3+1)+IF(AND($E3=1,NY3=0),1000,0),MIN(TZ3,20)*400+(IF('calcA'!EK$106=1,1-II3,0)+IF('calcA'!EL$106=1,1-IK3,0))*150+196+'calcA'!EL$5*100000+IF(AND($E3=1,NY3=0),50000,0))+IF($H3=1,INDEX('calcA'!$D$180:$EQ$219,$B3,139)*4000,0)-IF(AND('calcA'!EK$117=1,ZI3&gt;0),2000,0)-IF(AND($U3=1,'calcA'!EL$117=1,IK3=0),2000,0))),1000000000))</f>
        <v/>
      </c>
      <c r="TO3">
        <f>IF($B3=0,1000000000,IF(INDEX('calcA'!$D$60:$EQ$99,$B3,140)*IF($W3=1,IK3+AEZ3,IK3)=1,IF(AND($E3=2,IF($W3=1,AKO3,NZ3)=0),1000000000,IF($V3=1,INDEX('calcA'!$D$130:$EQ$169,$B3,140)+IF(AND($E3=1,NZ3=0),25,0),IF($F3&gt;0,INDEX('calcA'!EM$110:EM$114,$F3+1)+IF(AND($E3=1,NZ3=0),1000,0),MIN(TZ3,20)*400+(IF('calcA'!EL$106=1,1-IJ3,0)+IF('calcA'!EM$106=1,1-IL3,0))*150+206+'calcA'!EM$5*100000+IF(AND($E3=1,NZ3=0),50000,0))+IF($H3=1,INDEX('calcA'!$D$180:$EQ$219,$B3,140)*4000,0)-IF(AND('calcA'!EL$117=1,ZJ3&gt;0),2000,0)-IF(AND($U3=1,'calcA'!EM$117=1,IL3=0),2000,0))),1000000000))</f>
        <v/>
      </c>
      <c r="TP3">
        <f>IF($B3=0,1000000000,IF(INDEX('calcA'!$D$60:$EQ$99,$B3,141)*IF($W3=1,IL3+AFA3,IL3)=1,IF(AND($E3=2,IF($W3=1,AKP3,OA3)=0),1000000000,IF($V3=1,INDEX('calcA'!$D$130:$EQ$169,$B3,141)+IF(AND($E3=1,OA3=0),25,0),IF($F3&gt;0,INDEX('calcA'!EN$110:EN$114,$F3+1)+IF(AND($E3=1,OA3=0),1000,0),MIN(TZ3,20)*400+(IF('calcA'!EM$106=1,1-IK3,0)+IF('calcA'!EN$106=1,1-IM3,0))*150+216+'calcA'!EN$5*100000+IF(AND($E3=1,OA3=0),50000,0))+IF($H3=1,INDEX('calcA'!$D$180:$EQ$219,$B3,141)*4000,0)-IF(AND('calcA'!EM$117=1,ZK3&gt;0),2000,0)-IF(AND($U3=1,'calcA'!EN$117=1,IM3=0),2000,0))),1000000000))</f>
        <v/>
      </c>
      <c r="TQ3">
        <f>IF($B3=0,1000000000,IF(INDEX('calcA'!$D$60:$EQ$99,$B3,142)*IF($W3=1,IM3+AFB3,IM3)=1,IF(AND($E3=2,IF($W3=1,AKQ3,OB3)=0),1000000000,IF($V3=1,INDEX('calcA'!$D$130:$EQ$169,$B3,142)+IF(AND($E3=1,OB3=0),25,0),IF($F3&gt;0,INDEX('calcA'!EO$110:EO$114,$F3+1)+IF(AND($E3=1,OB3=0),1000,0),MIN(TZ3,20)*400+(IF('calcA'!EN$106=1,1-IL3,0)+IF('calcA'!EO$106=1,1-IN3,0))*150+226+'calcA'!EO$5*100000+IF(AND($E3=1,OB3=0),50000,0))+IF($H3=1,INDEX('calcA'!$D$180:$EQ$219,$B3,142)*4000,0)-IF(AND('calcA'!EN$117=1,ZL3&gt;0),2000,0)-IF(AND($U3=1,'calcA'!EO$117=1,IN3=0),2000,0))),1000000000))</f>
        <v/>
      </c>
      <c r="TR3">
        <f>IF($B3=0,1000000000,IF(INDEX('calcA'!$D$60:$EQ$99,$B3,143)*IF($W3=1,IN3+AFC3,IN3)=1,IF(AND($E3=2,IF($W3=1,AKR3,OC3)=0),1000000000,IF($V3=1,INDEX('calcA'!$D$130:$EQ$169,$B3,143)+IF(AND($E3=1,OC3=0),25,0),IF($F3&gt;0,INDEX('calcA'!EP$110:EP$114,$F3+1)+IF(AND($E3=1,OC3=0),1000,0),MIN(TZ3,20)*400+(IF('calcA'!EO$106=1,1-IM3,0)+IF('calcA'!EP$106=1,1-IO3,0))*150+236+'calcA'!EP$5*100000+IF(AND($E3=1,OC3=0),50000,0))+IF($H3=1,INDEX('calcA'!$D$180:$EQ$219,$B3,143)*4000,0)-IF(AND('calcA'!EO$117=1,ZM3&gt;0),2000,0)-IF(AND($U3=1,'calcA'!EP$117=1,IO3=0),2000,0))),1000000000))</f>
        <v/>
      </c>
      <c r="TS3">
        <f>IF($B3=0,1000000000,IF(INDEX('calcA'!$D$60:$EQ$99,$B3,144)*IF($W3=1,IO3+AFD3,IO3)=1,IF(AND($E3=2,IF($W3=1,AKS3,OD3)=0),1000000000,IF($V3=1,INDEX('calcA'!$D$130:$EQ$169,$B3,144)+IF(AND($E3=1,OD3=0),25,0),IF($F3&gt;0,INDEX('calcA'!EQ$110:EQ$114,$F3+1)+IF(AND($E3=1,OD3=0),1000,0),MIN(TZ3,20)*400+(IF('calcA'!EP$106=1,1-IN3,0))*150+246+'calcA'!EQ$5*100000+IF(AND($E3=1,OD3=0),50000,0))+IF($H3=1,INDEX('calcA'!$D$180:$EQ$219,$B3,144)*4000,0)-IF(AND('calcA'!EP$117=1,ZN3&gt;0),2000,0))),1000000000))</f>
        <v/>
      </c>
      <c r="TU3">
        <f>SUMPRODUCT(('calcA'!$D$2:$EQ$2=1)*'calcA'!$D$109:$EQ$109)</f>
        <v/>
      </c>
      <c r="TV3">
        <f>SUMPRODUCT(('calcA'!$D$2:$EQ$2=2)*'calcA'!$D$109:$EQ$109)</f>
        <v/>
      </c>
      <c r="TW3">
        <f>SUMPRODUCT(('calcA'!$D$2:$EQ$2=3)*'calcA'!$D$109:$EQ$109)</f>
        <v/>
      </c>
      <c r="TX3">
        <f>SUMPRODUCT(('calcA'!$D$2:$EQ$2=4)*'calcA'!$D$109:$EQ$109)</f>
        <v/>
      </c>
      <c r="TY3">
        <f>SUMPRODUCT(('calcA'!$D$2:$EQ$2=5)*'calcA'!$D$109:$EQ$109)</f>
        <v/>
      </c>
      <c r="TZ3">
        <f>SUMPRODUCT(('calcA'!$D$2:$EQ$2=6)*'calcA'!$D$109:$EQ$109)</f>
        <v/>
      </c>
      <c r="UB3">
        <f>'calcA'!D$118</f>
        <v/>
      </c>
      <c r="UC3">
        <f>'calcA'!E$118</f>
        <v/>
      </c>
      <c r="UD3">
        <f>'calcA'!F$118</f>
        <v/>
      </c>
      <c r="UE3">
        <f>'calcA'!G$118</f>
        <v/>
      </c>
      <c r="UF3">
        <f>'calcA'!H$118</f>
        <v/>
      </c>
      <c r="UG3">
        <f>'calcA'!I$118</f>
        <v/>
      </c>
      <c r="UH3">
        <f>'calcA'!J$118</f>
        <v/>
      </c>
      <c r="UI3">
        <f>'calcA'!K$118</f>
        <v/>
      </c>
      <c r="UJ3">
        <f>'calcA'!L$118</f>
        <v/>
      </c>
      <c r="UK3">
        <f>'calcA'!M$118</f>
        <v/>
      </c>
      <c r="UL3">
        <f>'calcA'!N$118</f>
        <v/>
      </c>
      <c r="UM3">
        <f>'calcA'!O$118</f>
        <v/>
      </c>
      <c r="UN3">
        <f>'calcA'!P$118</f>
        <v/>
      </c>
      <c r="UO3">
        <f>'calcA'!Q$118</f>
        <v/>
      </c>
      <c r="UP3">
        <f>'calcA'!R$118</f>
        <v/>
      </c>
      <c r="UQ3">
        <f>'calcA'!S$118</f>
        <v/>
      </c>
      <c r="UR3">
        <f>'calcA'!T$118</f>
        <v/>
      </c>
      <c r="US3">
        <f>'calcA'!U$118</f>
        <v/>
      </c>
      <c r="UT3">
        <f>'calcA'!V$118</f>
        <v/>
      </c>
      <c r="UU3">
        <f>'calcA'!W$118</f>
        <v/>
      </c>
      <c r="UV3">
        <f>'calcA'!X$118</f>
        <v/>
      </c>
      <c r="UW3">
        <f>'calcA'!Y$118</f>
        <v/>
      </c>
      <c r="UX3">
        <f>'calcA'!Z$118</f>
        <v/>
      </c>
      <c r="UY3">
        <f>'calcA'!AA$118</f>
        <v/>
      </c>
      <c r="UZ3">
        <f>'calcA'!AB$118</f>
        <v/>
      </c>
      <c r="VA3">
        <f>'calcA'!AC$118</f>
        <v/>
      </c>
      <c r="VB3">
        <f>'calcA'!AD$118</f>
        <v/>
      </c>
      <c r="VC3">
        <f>'calcA'!AE$118</f>
        <v/>
      </c>
      <c r="VD3">
        <f>'calcA'!AF$118</f>
        <v/>
      </c>
      <c r="VE3">
        <f>'calcA'!AG$118</f>
        <v/>
      </c>
      <c r="VF3">
        <f>'calcA'!AH$118</f>
        <v/>
      </c>
      <c r="VG3">
        <f>'calcA'!AI$118</f>
        <v/>
      </c>
      <c r="VH3">
        <f>'calcA'!AJ$118</f>
        <v/>
      </c>
      <c r="VI3">
        <f>'calcA'!AK$118</f>
        <v/>
      </c>
      <c r="VJ3">
        <f>'calcA'!AL$118</f>
        <v/>
      </c>
      <c r="VK3">
        <f>'calcA'!AM$118</f>
        <v/>
      </c>
      <c r="VL3">
        <f>'calcA'!AN$118</f>
        <v/>
      </c>
      <c r="VM3">
        <f>'calcA'!AO$118</f>
        <v/>
      </c>
      <c r="VN3">
        <f>'calcA'!AP$118</f>
        <v/>
      </c>
      <c r="VO3">
        <f>'calcA'!AQ$118</f>
        <v/>
      </c>
      <c r="VP3">
        <f>'calcA'!AR$118</f>
        <v/>
      </c>
      <c r="VQ3">
        <f>'calcA'!AS$118</f>
        <v/>
      </c>
      <c r="VR3">
        <f>'calcA'!AT$118</f>
        <v/>
      </c>
      <c r="VS3">
        <f>'calcA'!AU$118</f>
        <v/>
      </c>
      <c r="VT3">
        <f>'calcA'!AV$118</f>
        <v/>
      </c>
      <c r="VU3">
        <f>'calcA'!AW$118</f>
        <v/>
      </c>
      <c r="VV3">
        <f>'calcA'!AX$118</f>
        <v/>
      </c>
      <c r="VW3">
        <f>'calcA'!AY$118</f>
        <v/>
      </c>
      <c r="VX3">
        <f>'calcA'!AZ$118</f>
        <v/>
      </c>
      <c r="VY3">
        <f>'calcA'!BA$118</f>
        <v/>
      </c>
      <c r="VZ3">
        <f>'calcA'!BB$118</f>
        <v/>
      </c>
      <c r="WA3">
        <f>'calcA'!BC$118</f>
        <v/>
      </c>
      <c r="WB3">
        <f>'calcA'!BD$118</f>
        <v/>
      </c>
      <c r="WC3">
        <f>'calcA'!BE$118</f>
        <v/>
      </c>
      <c r="WD3">
        <f>'calcA'!BF$118</f>
        <v/>
      </c>
      <c r="WE3">
        <f>'calcA'!BG$118</f>
        <v/>
      </c>
      <c r="WF3">
        <f>'calcA'!BH$118</f>
        <v/>
      </c>
      <c r="WG3">
        <f>'calcA'!BI$118</f>
        <v/>
      </c>
      <c r="WH3">
        <f>'calcA'!BJ$118</f>
        <v/>
      </c>
      <c r="WI3">
        <f>'calcA'!BK$118</f>
        <v/>
      </c>
      <c r="WJ3">
        <f>'calcA'!BL$118</f>
        <v/>
      </c>
      <c r="WK3">
        <f>'calcA'!BM$118</f>
        <v/>
      </c>
      <c r="WL3">
        <f>'calcA'!BN$118</f>
        <v/>
      </c>
      <c r="WM3">
        <f>'calcA'!BO$118</f>
        <v/>
      </c>
      <c r="WN3">
        <f>'calcA'!BP$118</f>
        <v/>
      </c>
      <c r="WO3">
        <f>'calcA'!BQ$118</f>
        <v/>
      </c>
      <c r="WP3">
        <f>'calcA'!BR$118</f>
        <v/>
      </c>
      <c r="WQ3">
        <f>'calcA'!BS$118</f>
        <v/>
      </c>
      <c r="WR3">
        <f>'calcA'!BT$118</f>
        <v/>
      </c>
      <c r="WS3">
        <f>'calcA'!BU$118</f>
        <v/>
      </c>
      <c r="WT3">
        <f>'calcA'!BV$118</f>
        <v/>
      </c>
      <c r="WU3">
        <f>'calcA'!BW$118</f>
        <v/>
      </c>
      <c r="WV3">
        <f>'calcA'!BX$118</f>
        <v/>
      </c>
      <c r="WW3">
        <f>'calcA'!BY$118</f>
        <v/>
      </c>
      <c r="WX3">
        <f>'calcA'!BZ$118</f>
        <v/>
      </c>
      <c r="WY3">
        <f>'calcA'!CA$118</f>
        <v/>
      </c>
      <c r="WZ3">
        <f>'calcA'!CB$118</f>
        <v/>
      </c>
      <c r="XA3">
        <f>'calcA'!CC$118</f>
        <v/>
      </c>
      <c r="XB3">
        <f>'calcA'!CD$118</f>
        <v/>
      </c>
      <c r="XC3">
        <f>'calcA'!CE$118</f>
        <v/>
      </c>
      <c r="XD3">
        <f>'calcA'!CF$118</f>
        <v/>
      </c>
      <c r="XE3">
        <f>'calcA'!CG$118</f>
        <v/>
      </c>
      <c r="XF3">
        <f>'calcA'!CH$118</f>
        <v/>
      </c>
      <c r="XG3">
        <f>'calcA'!CI$118</f>
        <v/>
      </c>
      <c r="XH3">
        <f>'calcA'!CJ$118</f>
        <v/>
      </c>
      <c r="XI3">
        <f>'calcA'!CK$118</f>
        <v/>
      </c>
      <c r="XJ3">
        <f>'calcA'!CL$118</f>
        <v/>
      </c>
      <c r="XK3">
        <f>'calcA'!CM$118</f>
        <v/>
      </c>
      <c r="XL3">
        <f>'calcA'!CN$118</f>
        <v/>
      </c>
      <c r="XM3">
        <f>'calcA'!CO$118</f>
        <v/>
      </c>
      <c r="XN3">
        <f>'calcA'!CP$118</f>
        <v/>
      </c>
      <c r="XO3">
        <f>'calcA'!CQ$118</f>
        <v/>
      </c>
      <c r="XP3">
        <f>'calcA'!CR$118</f>
        <v/>
      </c>
      <c r="XQ3">
        <f>'calcA'!CS$118</f>
        <v/>
      </c>
      <c r="XR3">
        <f>'calcA'!CT$118</f>
        <v/>
      </c>
      <c r="XS3">
        <f>'calcA'!CU$118</f>
        <v/>
      </c>
      <c r="XT3">
        <f>'calcA'!CV$118</f>
        <v/>
      </c>
      <c r="XU3">
        <f>'calcA'!CW$118</f>
        <v/>
      </c>
      <c r="XV3">
        <f>'calcA'!CX$118</f>
        <v/>
      </c>
      <c r="XW3">
        <f>'calcA'!CY$118</f>
        <v/>
      </c>
      <c r="XX3">
        <f>'calcA'!CZ$118</f>
        <v/>
      </c>
      <c r="XY3">
        <f>'calcA'!DA$118</f>
        <v/>
      </c>
      <c r="XZ3">
        <f>'calcA'!DB$118</f>
        <v/>
      </c>
      <c r="YA3">
        <f>'calcA'!DC$118</f>
        <v/>
      </c>
      <c r="YB3">
        <f>'calcA'!DD$118</f>
        <v/>
      </c>
      <c r="YC3">
        <f>'calcA'!DE$118</f>
        <v/>
      </c>
      <c r="YD3">
        <f>'calcA'!DF$118</f>
        <v/>
      </c>
      <c r="YE3">
        <f>'calcA'!DG$118</f>
        <v/>
      </c>
      <c r="YF3">
        <f>'calcA'!DH$118</f>
        <v/>
      </c>
      <c r="YG3">
        <f>'calcA'!DI$118</f>
        <v/>
      </c>
      <c r="YH3">
        <f>'calcA'!DJ$118</f>
        <v/>
      </c>
      <c r="YI3">
        <f>'calcA'!DK$118</f>
        <v/>
      </c>
      <c r="YJ3">
        <f>'calcA'!DL$118</f>
        <v/>
      </c>
      <c r="YK3">
        <f>'calcA'!DM$118</f>
        <v/>
      </c>
      <c r="YL3">
        <f>'calcA'!DN$118</f>
        <v/>
      </c>
      <c r="YM3">
        <f>'calcA'!DO$118</f>
        <v/>
      </c>
      <c r="YN3">
        <f>'calcA'!DP$118</f>
        <v/>
      </c>
      <c r="YO3">
        <f>'calcA'!DQ$118</f>
        <v/>
      </c>
      <c r="YP3">
        <f>'calcA'!DR$118</f>
        <v/>
      </c>
      <c r="YQ3">
        <f>'calcA'!DS$118</f>
        <v/>
      </c>
      <c r="YR3">
        <f>'calcA'!DT$118</f>
        <v/>
      </c>
      <c r="YS3">
        <f>'calcA'!DU$118</f>
        <v/>
      </c>
      <c r="YT3">
        <f>'calcA'!DV$118</f>
        <v/>
      </c>
      <c r="YU3">
        <f>'calcA'!DW$118</f>
        <v/>
      </c>
      <c r="YV3">
        <f>'calcA'!DX$118</f>
        <v/>
      </c>
      <c r="YW3">
        <f>'calcA'!DY$118</f>
        <v/>
      </c>
      <c r="YX3">
        <f>'calcA'!DZ$118</f>
        <v/>
      </c>
      <c r="YY3">
        <f>'calcA'!EA$118</f>
        <v/>
      </c>
      <c r="YZ3">
        <f>'calcA'!EB$118</f>
        <v/>
      </c>
      <c r="ZA3">
        <f>'calcA'!EC$118</f>
        <v/>
      </c>
      <c r="ZB3">
        <f>'calcA'!ED$118</f>
        <v/>
      </c>
      <c r="ZC3">
        <f>'calcA'!EE$118</f>
        <v/>
      </c>
      <c r="ZD3">
        <f>'calcA'!EF$118</f>
        <v/>
      </c>
      <c r="ZE3">
        <f>'calcA'!EG$118</f>
        <v/>
      </c>
      <c r="ZF3">
        <f>'calcA'!EH$118</f>
        <v/>
      </c>
      <c r="ZG3">
        <f>'calcA'!EI$118</f>
        <v/>
      </c>
      <c r="ZH3">
        <f>'calcA'!EJ$118</f>
        <v/>
      </c>
      <c r="ZI3">
        <f>'calcA'!EK$118</f>
        <v/>
      </c>
      <c r="ZJ3">
        <f>'calcA'!EL$118</f>
        <v/>
      </c>
      <c r="ZK3">
        <f>'calcA'!EM$118</f>
        <v/>
      </c>
      <c r="ZL3">
        <f>'calcA'!EN$118</f>
        <v/>
      </c>
      <c r="ZM3">
        <f>'calcA'!EO$118</f>
        <v/>
      </c>
      <c r="ZN3">
        <f>'calcA'!EP$118</f>
        <v/>
      </c>
      <c r="ZO3">
        <f>'calcA'!EQ$118</f>
        <v/>
      </c>
      <c r="ZQ3" t="n">
        <v>0</v>
      </c>
      <c r="ZR3" t="n">
        <v>0</v>
      </c>
      <c r="ZS3" t="n">
        <v>0</v>
      </c>
      <c r="ZT3" t="n">
        <v>0</v>
      </c>
      <c r="ZU3" t="n">
        <v>0</v>
      </c>
      <c r="ZV3" t="n">
        <v>0</v>
      </c>
      <c r="ZW3" t="n">
        <v>0</v>
      </c>
      <c r="ZX3" t="n">
        <v>0</v>
      </c>
      <c r="ZY3" t="n">
        <v>0</v>
      </c>
      <c r="ZZ3" t="n">
        <v>0</v>
      </c>
      <c r="AAA3" t="n">
        <v>0</v>
      </c>
      <c r="AAB3" t="n">
        <v>0</v>
      </c>
      <c r="AAC3" t="n">
        <v>0</v>
      </c>
      <c r="AAD3" t="n">
        <v>0</v>
      </c>
      <c r="AAE3" t="n">
        <v>0</v>
      </c>
      <c r="AAF3" t="n">
        <v>0</v>
      </c>
      <c r="AAG3" t="n">
        <v>0</v>
      </c>
      <c r="AAH3" t="n">
        <v>0</v>
      </c>
      <c r="AAI3" t="n">
        <v>0</v>
      </c>
      <c r="AAJ3" t="n">
        <v>0</v>
      </c>
      <c r="AAK3" t="n">
        <v>0</v>
      </c>
      <c r="AAL3" t="n">
        <v>0</v>
      </c>
      <c r="AAM3" t="n">
        <v>0</v>
      </c>
      <c r="AAN3" t="n">
        <v>0</v>
      </c>
      <c r="AAO3" t="n">
        <v>0</v>
      </c>
      <c r="AAP3" t="n">
        <v>0</v>
      </c>
      <c r="AAQ3" t="n">
        <v>0</v>
      </c>
      <c r="AAR3" t="n">
        <v>0</v>
      </c>
      <c r="AAS3" t="n">
        <v>0</v>
      </c>
      <c r="AAT3" t="n">
        <v>0</v>
      </c>
      <c r="AAU3" t="n">
        <v>0</v>
      </c>
      <c r="AAV3" t="n">
        <v>0</v>
      </c>
      <c r="AAW3" t="n">
        <v>0</v>
      </c>
      <c r="AAX3" t="n">
        <v>0</v>
      </c>
      <c r="AAY3" t="n">
        <v>0</v>
      </c>
      <c r="AAZ3" t="n">
        <v>0</v>
      </c>
      <c r="ABA3" t="n">
        <v>0</v>
      </c>
      <c r="ABB3" t="n">
        <v>0</v>
      </c>
      <c r="ABC3" t="n">
        <v>0</v>
      </c>
      <c r="ABD3" t="n">
        <v>0</v>
      </c>
      <c r="ABE3" t="n">
        <v>0</v>
      </c>
      <c r="ABF3" t="n">
        <v>0</v>
      </c>
      <c r="ABG3" t="n">
        <v>0</v>
      </c>
      <c r="ABH3" t="n">
        <v>0</v>
      </c>
      <c r="ABI3" t="n">
        <v>0</v>
      </c>
      <c r="ABJ3" t="n">
        <v>0</v>
      </c>
      <c r="ABK3" t="n">
        <v>0</v>
      </c>
      <c r="ABL3" t="n">
        <v>0</v>
      </c>
      <c r="ABM3" t="n">
        <v>0</v>
      </c>
      <c r="ABN3" t="n">
        <v>0</v>
      </c>
      <c r="ABO3" t="n">
        <v>0</v>
      </c>
      <c r="ABP3" t="n">
        <v>0</v>
      </c>
      <c r="ABQ3" t="n">
        <v>0</v>
      </c>
      <c r="ABR3" t="n">
        <v>0</v>
      </c>
      <c r="ABS3" t="n">
        <v>0</v>
      </c>
      <c r="ABT3" t="n">
        <v>0</v>
      </c>
      <c r="ABU3" t="n">
        <v>0</v>
      </c>
      <c r="ABV3" t="n">
        <v>0</v>
      </c>
      <c r="ABW3" t="n">
        <v>0</v>
      </c>
      <c r="ABX3" t="n">
        <v>0</v>
      </c>
      <c r="ABY3" t="n">
        <v>0</v>
      </c>
      <c r="ABZ3" t="n">
        <v>0</v>
      </c>
      <c r="ACA3" t="n">
        <v>0</v>
      </c>
      <c r="ACB3" t="n">
        <v>0</v>
      </c>
      <c r="ACC3" t="n">
        <v>0</v>
      </c>
      <c r="ACD3" t="n">
        <v>0</v>
      </c>
      <c r="ACE3" t="n">
        <v>0</v>
      </c>
      <c r="ACF3" t="n">
        <v>0</v>
      </c>
      <c r="ACG3" t="n">
        <v>0</v>
      </c>
      <c r="ACH3" t="n">
        <v>0</v>
      </c>
      <c r="ACI3" t="n">
        <v>0</v>
      </c>
      <c r="ACJ3" t="n">
        <v>0</v>
      </c>
      <c r="ACK3" t="n">
        <v>0</v>
      </c>
      <c r="ACL3" t="n">
        <v>0</v>
      </c>
      <c r="ACM3" t="n">
        <v>0</v>
      </c>
      <c r="ACN3" t="n">
        <v>0</v>
      </c>
      <c r="ACO3" t="n">
        <v>0</v>
      </c>
      <c r="ACP3" t="n">
        <v>0</v>
      </c>
      <c r="ACQ3" t="n">
        <v>0</v>
      </c>
      <c r="ACR3" t="n">
        <v>0</v>
      </c>
      <c r="ACS3" t="n">
        <v>0</v>
      </c>
      <c r="ACT3" t="n">
        <v>0</v>
      </c>
      <c r="ACU3" t="n">
        <v>0</v>
      </c>
      <c r="ACV3" t="n">
        <v>0</v>
      </c>
      <c r="ACW3" t="n">
        <v>0</v>
      </c>
      <c r="ACX3" t="n">
        <v>0</v>
      </c>
      <c r="ACY3" t="n">
        <v>0</v>
      </c>
      <c r="ACZ3" t="n">
        <v>0</v>
      </c>
      <c r="ADA3" t="n">
        <v>0</v>
      </c>
      <c r="ADB3" t="n">
        <v>0</v>
      </c>
      <c r="ADC3" t="n">
        <v>0</v>
      </c>
      <c r="ADD3" t="n">
        <v>0</v>
      </c>
      <c r="ADE3" t="n">
        <v>0</v>
      </c>
      <c r="ADF3" t="n">
        <v>0</v>
      </c>
      <c r="ADG3" t="n">
        <v>0</v>
      </c>
      <c r="ADH3" t="n">
        <v>0</v>
      </c>
      <c r="ADI3" t="n">
        <v>0</v>
      </c>
      <c r="ADJ3" t="n">
        <v>0</v>
      </c>
      <c r="ADK3" t="n">
        <v>0</v>
      </c>
      <c r="ADL3" t="n">
        <v>0</v>
      </c>
      <c r="ADM3" t="n">
        <v>0</v>
      </c>
      <c r="ADN3" t="n">
        <v>0</v>
      </c>
      <c r="ADO3" t="n">
        <v>0</v>
      </c>
      <c r="ADP3" t="n">
        <v>0</v>
      </c>
      <c r="ADQ3" t="n">
        <v>0</v>
      </c>
      <c r="ADR3" t="n">
        <v>0</v>
      </c>
      <c r="ADS3" t="n">
        <v>0</v>
      </c>
      <c r="ADT3" t="n">
        <v>0</v>
      </c>
      <c r="ADU3" t="n">
        <v>0</v>
      </c>
      <c r="ADV3" t="n">
        <v>0</v>
      </c>
      <c r="ADW3" t="n">
        <v>0</v>
      </c>
      <c r="ADX3" t="n">
        <v>0</v>
      </c>
      <c r="ADY3" t="n">
        <v>0</v>
      </c>
      <c r="ADZ3" t="n">
        <v>0</v>
      </c>
      <c r="AEA3" t="n">
        <v>0</v>
      </c>
      <c r="AEB3" t="n">
        <v>0</v>
      </c>
      <c r="AEC3" t="n">
        <v>0</v>
      </c>
      <c r="AED3" t="n">
        <v>0</v>
      </c>
      <c r="AEE3" t="n">
        <v>0</v>
      </c>
      <c r="AEF3" t="n">
        <v>0</v>
      </c>
      <c r="AEG3" t="n">
        <v>0</v>
      </c>
      <c r="AEH3" t="n">
        <v>0</v>
      </c>
      <c r="AEI3" t="n">
        <v>0</v>
      </c>
      <c r="AEJ3" t="n">
        <v>0</v>
      </c>
      <c r="AEK3" t="n">
        <v>0</v>
      </c>
      <c r="AEL3" t="n">
        <v>0</v>
      </c>
      <c r="AEM3" t="n">
        <v>0</v>
      </c>
      <c r="AEN3" t="n">
        <v>0</v>
      </c>
      <c r="AEO3" t="n">
        <v>0</v>
      </c>
      <c r="AEP3" t="n">
        <v>0</v>
      </c>
      <c r="AEQ3" t="n">
        <v>0</v>
      </c>
      <c r="AER3" t="n">
        <v>0</v>
      </c>
      <c r="AES3" t="n">
        <v>0</v>
      </c>
      <c r="AET3" t="n">
        <v>0</v>
      </c>
      <c r="AEU3" t="n">
        <v>0</v>
      </c>
      <c r="AEV3" t="n">
        <v>0</v>
      </c>
      <c r="AEW3" t="n">
        <v>0</v>
      </c>
      <c r="AEX3" t="n">
        <v>0</v>
      </c>
      <c r="AEY3" t="n">
        <v>0</v>
      </c>
      <c r="AEZ3" t="n">
        <v>0</v>
      </c>
      <c r="AFA3" t="n">
        <v>0</v>
      </c>
      <c r="AFB3" t="n">
        <v>0</v>
      </c>
      <c r="AFC3" t="n">
        <v>0</v>
      </c>
      <c r="AFD3" t="n">
        <v>0</v>
      </c>
      <c r="AFF3">
        <f>IF('calcA'!D$106=1,DC3+ZR3,1)</f>
        <v/>
      </c>
      <c r="AFG3">
        <f>IF('calcA'!E$106=1,DD3+ZS3,1)</f>
        <v/>
      </c>
      <c r="AFH3">
        <f>IF('calcA'!F$106=1,DE3+ZT3,1)</f>
        <v/>
      </c>
      <c r="AFI3">
        <f>IF('calcA'!G$106=1,DF3+ZU3,1)</f>
        <v/>
      </c>
      <c r="AFJ3">
        <f>IF('calcA'!H$106=1,DG3+ZV3,1)</f>
        <v/>
      </c>
      <c r="AFK3">
        <f>IF('calcA'!I$106=1,DH3+ZW3,1)</f>
        <v/>
      </c>
      <c r="AFL3">
        <f>IF('calcA'!J$106=1,DI3+ZX3,1)</f>
        <v/>
      </c>
      <c r="AFM3">
        <f>IF('calcA'!K$106=1,DJ3+ZY3,1)</f>
        <v/>
      </c>
      <c r="AFN3">
        <f>IF('calcA'!L$106=1,DK3+ZZ3,1)</f>
        <v/>
      </c>
      <c r="AFO3">
        <f>IF('calcA'!M$106=1,DL3+AAA3,1)</f>
        <v/>
      </c>
      <c r="AFP3">
        <f>IF('calcA'!N$106=1,DM3+AAB3,1)</f>
        <v/>
      </c>
      <c r="AFQ3">
        <f>IF('calcA'!O$106=1,DN3+AAC3,1)</f>
        <v/>
      </c>
      <c r="AFR3">
        <f>IF('calcA'!P$106=1,DO3+AAD3,1)</f>
        <v/>
      </c>
      <c r="AFS3">
        <f>IF('calcA'!Q$106=1,DP3+AAE3,1)</f>
        <v/>
      </c>
      <c r="AFT3">
        <f>IF('calcA'!R$106=1,DQ3+AAF3,1)</f>
        <v/>
      </c>
      <c r="AFU3">
        <f>IF('calcA'!S$106=1,DR3+AAG3,1)</f>
        <v/>
      </c>
      <c r="AFV3">
        <f>IF('calcA'!T$106=1,DS3+AAH3,1)</f>
        <v/>
      </c>
      <c r="AFW3">
        <f>IF('calcA'!U$106=1,DT3+AAI3,1)</f>
        <v/>
      </c>
      <c r="AFX3">
        <f>IF('calcA'!V$106=1,DU3+AAJ3,1)</f>
        <v/>
      </c>
      <c r="AFY3">
        <f>IF('calcA'!W$106=1,DV3+AAK3,1)</f>
        <v/>
      </c>
      <c r="AFZ3">
        <f>IF('calcA'!X$106=1,DW3+AAL3,1)</f>
        <v/>
      </c>
      <c r="AGA3">
        <f>IF('calcA'!Y$106=1,DX3+AAM3,1)</f>
        <v/>
      </c>
      <c r="AGB3">
        <f>IF('calcA'!Z$106=1,DY3+AAN3,1)</f>
        <v/>
      </c>
      <c r="AGC3">
        <f>IF('calcA'!AA$106=1,DZ3+AAO3,1)</f>
        <v/>
      </c>
      <c r="AGD3">
        <f>IF('calcA'!AB$106=1,EA3+AAP3,1)</f>
        <v/>
      </c>
      <c r="AGE3">
        <f>IF('calcA'!AC$106=1,EB3+AAQ3,1)</f>
        <v/>
      </c>
      <c r="AGF3">
        <f>IF('calcA'!AD$106=1,EC3+AAR3,1)</f>
        <v/>
      </c>
      <c r="AGG3">
        <f>IF('calcA'!AE$106=1,ED3+AAS3,1)</f>
        <v/>
      </c>
      <c r="AGH3">
        <f>IF('calcA'!AF$106=1,EE3+AAT3,1)</f>
        <v/>
      </c>
      <c r="AGI3">
        <f>IF('calcA'!AG$106=1,EF3+AAU3,1)</f>
        <v/>
      </c>
      <c r="AGJ3">
        <f>IF('calcA'!AH$106=1,EG3+AAV3,1)</f>
        <v/>
      </c>
      <c r="AGK3">
        <f>IF('calcA'!AI$106=1,EH3+AAW3,1)</f>
        <v/>
      </c>
      <c r="AGL3">
        <f>IF('calcA'!AJ$106=1,EI3+AAX3,1)</f>
        <v/>
      </c>
      <c r="AGM3">
        <f>IF('calcA'!AK$106=1,EJ3+AAY3,1)</f>
        <v/>
      </c>
      <c r="AGN3">
        <f>IF('calcA'!AL$106=1,EK3+AAZ3,1)</f>
        <v/>
      </c>
      <c r="AGO3">
        <f>IF('calcA'!AM$106=1,EL3+ABA3,1)</f>
        <v/>
      </c>
      <c r="AGP3">
        <f>IF('calcA'!AN$106=1,EM3+ABB3,1)</f>
        <v/>
      </c>
      <c r="AGQ3">
        <f>IF('calcA'!AO$106=1,EN3+ABC3,1)</f>
        <v/>
      </c>
      <c r="AGR3">
        <f>IF('calcA'!AP$106=1,EO3+ABD3,1)</f>
        <v/>
      </c>
      <c r="AGS3">
        <f>IF('calcA'!AQ$106=1,EP3+ABE3,1)</f>
        <v/>
      </c>
      <c r="AGT3">
        <f>IF('calcA'!AR$106=1,EQ3+ABF3,1)</f>
        <v/>
      </c>
      <c r="AGU3">
        <f>IF('calcA'!AS$106=1,ER3+ABG3,1)</f>
        <v/>
      </c>
      <c r="AGV3">
        <f>IF('calcA'!AT$106=1,ES3+ABH3,1)</f>
        <v/>
      </c>
      <c r="AGW3">
        <f>IF('calcA'!AU$106=1,ET3+ABI3,1)</f>
        <v/>
      </c>
      <c r="AGX3">
        <f>IF('calcA'!AV$106=1,EU3+ABJ3,1)</f>
        <v/>
      </c>
      <c r="AGY3">
        <f>IF('calcA'!AW$106=1,EV3+ABK3,1)</f>
        <v/>
      </c>
      <c r="AGZ3">
        <f>IF('calcA'!AX$106=1,EW3+ABL3,1)</f>
        <v/>
      </c>
      <c r="AHA3">
        <f>IF('calcA'!AY$106=1,EX3+ABM3,1)</f>
        <v/>
      </c>
      <c r="AHB3">
        <f>IF('calcA'!AZ$106=1,EY3+ABN3,1)</f>
        <v/>
      </c>
      <c r="AHC3">
        <f>IF('calcA'!BA$106=1,EZ3+ABO3,1)</f>
        <v/>
      </c>
      <c r="AHD3">
        <f>IF('calcA'!BB$106=1,FA3+ABP3,1)</f>
        <v/>
      </c>
      <c r="AHE3">
        <f>IF('calcA'!BC$106=1,FB3+ABQ3,1)</f>
        <v/>
      </c>
      <c r="AHF3">
        <f>IF('calcA'!BD$106=1,FC3+ABR3,1)</f>
        <v/>
      </c>
      <c r="AHG3">
        <f>IF('calcA'!BE$106=1,FD3+ABS3,1)</f>
        <v/>
      </c>
      <c r="AHH3">
        <f>IF('calcA'!BF$106=1,FE3+ABT3,1)</f>
        <v/>
      </c>
      <c r="AHI3">
        <f>IF('calcA'!BG$106=1,FF3+ABU3,1)</f>
        <v/>
      </c>
      <c r="AHJ3">
        <f>IF('calcA'!BH$106=1,FG3+ABV3,1)</f>
        <v/>
      </c>
      <c r="AHK3">
        <f>IF('calcA'!BI$106=1,FH3+ABW3,1)</f>
        <v/>
      </c>
      <c r="AHL3">
        <f>IF('calcA'!BJ$106=1,FI3+ABX3,1)</f>
        <v/>
      </c>
      <c r="AHM3">
        <f>IF('calcA'!BK$106=1,FJ3+ABY3,1)</f>
        <v/>
      </c>
      <c r="AHN3">
        <f>IF('calcA'!BL$106=1,FK3+ABZ3,1)</f>
        <v/>
      </c>
      <c r="AHO3">
        <f>IF('calcA'!BM$106=1,FL3+ACA3,1)</f>
        <v/>
      </c>
      <c r="AHP3">
        <f>IF('calcA'!BN$106=1,FM3+ACB3,1)</f>
        <v/>
      </c>
      <c r="AHQ3">
        <f>IF('calcA'!BO$106=1,FN3+ACC3,1)</f>
        <v/>
      </c>
      <c r="AHR3">
        <f>IF('calcA'!BP$106=1,FO3+ACD3,1)</f>
        <v/>
      </c>
      <c r="AHS3">
        <f>IF('calcA'!BQ$106=1,FP3+ACE3,1)</f>
        <v/>
      </c>
      <c r="AHT3">
        <f>IF('calcA'!BR$106=1,FQ3+ACF3,1)</f>
        <v/>
      </c>
      <c r="AHU3">
        <f>IF('calcA'!BS$106=1,FR3+ACG3,1)</f>
        <v/>
      </c>
      <c r="AHV3">
        <f>IF('calcA'!BT$106=1,FS3+ACH3,1)</f>
        <v/>
      </c>
      <c r="AHW3">
        <f>IF('calcA'!BU$106=1,FT3+ACI3,1)</f>
        <v/>
      </c>
      <c r="AHX3">
        <f>IF('calcA'!BV$106=1,FU3+ACJ3,1)</f>
        <v/>
      </c>
      <c r="AHY3">
        <f>IF('calcA'!BW$106=1,FV3+ACK3,1)</f>
        <v/>
      </c>
      <c r="AHZ3">
        <f>IF('calcA'!BX$106=1,FW3+ACL3,1)</f>
        <v/>
      </c>
      <c r="AIA3">
        <f>IF('calcA'!BY$106=1,FX3+ACM3,1)</f>
        <v/>
      </c>
      <c r="AIB3">
        <f>IF('calcA'!BZ$106=1,FY3+ACN3,1)</f>
        <v/>
      </c>
      <c r="AIC3">
        <f>IF('calcA'!CA$106=1,FZ3+ACO3,1)</f>
        <v/>
      </c>
      <c r="AID3">
        <f>IF('calcA'!CB$106=1,GA3+ACP3,1)</f>
        <v/>
      </c>
      <c r="AIE3">
        <f>IF('calcA'!CC$106=1,GB3+ACQ3,1)</f>
        <v/>
      </c>
      <c r="AIF3">
        <f>IF('calcA'!CD$106=1,GC3+ACR3,1)</f>
        <v/>
      </c>
      <c r="AIG3">
        <f>IF('calcA'!CE$106=1,GD3+ACS3,1)</f>
        <v/>
      </c>
      <c r="AIH3">
        <f>IF('calcA'!CF$106=1,GE3+ACT3,1)</f>
        <v/>
      </c>
      <c r="AII3">
        <f>IF('calcA'!CG$106=1,GF3+ACU3,1)</f>
        <v/>
      </c>
      <c r="AIJ3">
        <f>IF('calcA'!CH$106=1,GG3+ACV3,1)</f>
        <v/>
      </c>
      <c r="AIK3">
        <f>IF('calcA'!CI$106=1,GH3+ACW3,1)</f>
        <v/>
      </c>
      <c r="AIL3">
        <f>IF('calcA'!CJ$106=1,GI3+ACX3,1)</f>
        <v/>
      </c>
      <c r="AIM3">
        <f>IF('calcA'!CK$106=1,GJ3+ACY3,1)</f>
        <v/>
      </c>
      <c r="AIN3">
        <f>IF('calcA'!CL$106=1,GK3+ACZ3,1)</f>
        <v/>
      </c>
      <c r="AIO3">
        <f>IF('calcA'!CM$106=1,GL3+ADA3,1)</f>
        <v/>
      </c>
      <c r="AIP3">
        <f>IF('calcA'!CN$106=1,GM3+ADB3,1)</f>
        <v/>
      </c>
      <c r="AIQ3">
        <f>IF('calcA'!CO$106=1,GN3+ADC3,1)</f>
        <v/>
      </c>
      <c r="AIR3">
        <f>IF('calcA'!CP$106=1,GO3+ADD3,1)</f>
        <v/>
      </c>
      <c r="AIS3">
        <f>IF('calcA'!CQ$106=1,GP3+ADE3,1)</f>
        <v/>
      </c>
      <c r="AIT3">
        <f>IF('calcA'!CR$106=1,GQ3+ADF3,1)</f>
        <v/>
      </c>
      <c r="AIU3">
        <f>IF('calcA'!CS$106=1,GR3+ADG3,1)</f>
        <v/>
      </c>
      <c r="AIV3">
        <f>IF('calcA'!CT$106=1,GS3+ADH3,1)</f>
        <v/>
      </c>
      <c r="AIW3">
        <f>IF('calcA'!CU$106=1,GT3+ADI3,1)</f>
        <v/>
      </c>
      <c r="AIX3">
        <f>IF('calcA'!CV$106=1,GU3+ADJ3,1)</f>
        <v/>
      </c>
      <c r="AIY3">
        <f>IF('calcA'!CW$106=1,GV3+ADK3,1)</f>
        <v/>
      </c>
      <c r="AIZ3">
        <f>IF('calcA'!CX$106=1,GW3+ADL3,1)</f>
        <v/>
      </c>
      <c r="AJA3">
        <f>IF('calcA'!CY$106=1,GX3+ADM3,1)</f>
        <v/>
      </c>
      <c r="AJB3">
        <f>IF('calcA'!CZ$106=1,GY3+ADN3,1)</f>
        <v/>
      </c>
      <c r="AJC3">
        <f>IF('calcA'!DA$106=1,GZ3+ADO3,1)</f>
        <v/>
      </c>
      <c r="AJD3">
        <f>IF('calcA'!DB$106=1,HA3+ADP3,1)</f>
        <v/>
      </c>
      <c r="AJE3">
        <f>IF('calcA'!DC$106=1,HB3+ADQ3,1)</f>
        <v/>
      </c>
      <c r="AJF3">
        <f>IF('calcA'!DD$106=1,HC3+ADR3,1)</f>
        <v/>
      </c>
      <c r="AJG3">
        <f>IF('calcA'!DE$106=1,HD3+ADS3,1)</f>
        <v/>
      </c>
      <c r="AJH3">
        <f>IF('calcA'!DF$106=1,HE3+ADT3,1)</f>
        <v/>
      </c>
      <c r="AJI3">
        <f>IF('calcA'!DG$106=1,HF3+ADU3,1)</f>
        <v/>
      </c>
      <c r="AJJ3">
        <f>IF('calcA'!DH$106=1,HG3+ADV3,1)</f>
        <v/>
      </c>
      <c r="AJK3">
        <f>IF('calcA'!DI$106=1,HH3+ADW3,1)</f>
        <v/>
      </c>
      <c r="AJL3">
        <f>IF('calcA'!DJ$106=1,HI3+ADX3,1)</f>
        <v/>
      </c>
      <c r="AJM3">
        <f>IF('calcA'!DK$106=1,HJ3+ADY3,1)</f>
        <v/>
      </c>
      <c r="AJN3">
        <f>IF('calcA'!DL$106=1,HK3+ADZ3,1)</f>
        <v/>
      </c>
      <c r="AJO3">
        <f>IF('calcA'!DM$106=1,HL3+AEA3,1)</f>
        <v/>
      </c>
      <c r="AJP3">
        <f>IF('calcA'!DN$106=1,HM3+AEB3,1)</f>
        <v/>
      </c>
      <c r="AJQ3">
        <f>IF('calcA'!DO$106=1,HN3+AEC3,1)</f>
        <v/>
      </c>
      <c r="AJR3">
        <f>IF('calcA'!DP$106=1,HO3+AED3,1)</f>
        <v/>
      </c>
      <c r="AJS3">
        <f>IF('calcA'!DQ$106=1,HP3+AEE3,1)</f>
        <v/>
      </c>
      <c r="AJT3">
        <f>IF('calcA'!DR$106=1,HQ3+AEF3,1)</f>
        <v/>
      </c>
      <c r="AJU3">
        <f>IF('calcA'!DS$106=1,HR3+AEG3,1)</f>
        <v/>
      </c>
      <c r="AJV3">
        <f>IF('calcA'!DT$106=1,HS3+AEH3,1)</f>
        <v/>
      </c>
      <c r="AJW3">
        <f>IF('calcA'!DU$106=1,HT3+AEI3,1)</f>
        <v/>
      </c>
      <c r="AJX3">
        <f>IF('calcA'!DV$106=1,HU3+AEJ3,1)</f>
        <v/>
      </c>
      <c r="AJY3">
        <f>IF('calcA'!DW$106=1,HV3+AEK3,1)</f>
        <v/>
      </c>
      <c r="AJZ3">
        <f>IF('calcA'!DX$106=1,HW3+AEL3,1)</f>
        <v/>
      </c>
      <c r="AKA3">
        <f>IF('calcA'!DY$106=1,HX3+AEM3,1)</f>
        <v/>
      </c>
      <c r="AKB3">
        <f>IF('calcA'!DZ$106=1,HY3+AEN3,1)</f>
        <v/>
      </c>
      <c r="AKC3">
        <f>IF('calcA'!EA$106=1,HZ3+AEO3,1)</f>
        <v/>
      </c>
      <c r="AKD3">
        <f>IF('calcA'!EB$106=1,IA3+AEP3,1)</f>
        <v/>
      </c>
      <c r="AKE3">
        <f>IF('calcA'!EC$106=1,IB3+AEQ3,1)</f>
        <v/>
      </c>
      <c r="AKF3">
        <f>IF('calcA'!ED$106=1,IC3+AER3,1)</f>
        <v/>
      </c>
      <c r="AKG3">
        <f>IF('calcA'!EE$106=1,ID3+AES3,1)</f>
        <v/>
      </c>
      <c r="AKH3">
        <f>IF('calcA'!EF$106=1,IE3+AET3,1)</f>
        <v/>
      </c>
      <c r="AKI3">
        <f>IF('calcA'!EG$106=1,IF3+AEU3,1)</f>
        <v/>
      </c>
      <c r="AKJ3">
        <f>IF('calcA'!EH$106=1,IG3+AEV3,1)</f>
        <v/>
      </c>
      <c r="AKK3">
        <f>IF('calcA'!EI$106=1,IH3+AEW3,1)</f>
        <v/>
      </c>
      <c r="AKL3">
        <f>IF('calcA'!EJ$106=1,II3+AEX3,1)</f>
        <v/>
      </c>
      <c r="AKM3">
        <f>IF('calcA'!EK$106=1,IJ3+AEY3,1)</f>
        <v/>
      </c>
      <c r="AKN3">
        <f>IF('calcA'!EL$106=1,IK3+AEZ3,1)</f>
        <v/>
      </c>
      <c r="AKO3">
        <f>IF('calcA'!EM$106=1,IL3+AFA3,1)</f>
        <v/>
      </c>
      <c r="AKP3">
        <f>IF('calcA'!EN$106=1,IM3+AFB3,1)</f>
        <v/>
      </c>
      <c r="AKQ3">
        <f>IF('calcA'!EO$106=1,IN3+AFC3,1)</f>
        <v/>
      </c>
      <c r="AKR3">
        <f>IF('calcA'!EP$106=1,IO3+AFD3,1)</f>
        <v/>
      </c>
      <c r="AKS3" t="n">
        <v>1</v>
      </c>
    </row>
    <row r="4">
      <c r="A4" t="n">
        <v>2</v>
      </c>
      <c r="B4">
        <f>IF(MIN(BM4:CZ4)&gt;=1000000000,0,MATCH(MIN(BM4:CZ4),BM4:CZ4,0))</f>
        <v/>
      </c>
      <c r="C4">
        <f>IF(MIN(OF4:TS4)&gt;=1000000000,0,MATCH(MIN(OF4:TS4),OF4:TS4,0))</f>
        <v/>
      </c>
      <c r="D4">
        <f>IF(C4&gt;0,INDEX('calcA'!$D$5:$EQ$5,C4),0)</f>
        <v/>
      </c>
      <c r="E4">
        <f>IF(B4=0,0,INDEX('calcA'!$IQ$10:$IQ$54,B4))</f>
        <v/>
      </c>
      <c r="F4">
        <f>IF(B4=0,0,INDEX('calcA'!$IP$10:$IP$54,B4))</f>
        <v/>
      </c>
      <c r="G4">
        <f>IF(AND(C4&gt;0,E4&gt;0),IF(AND(INDEX('calcA'!$D$106:$EQ$106,C4)=1,INDEX($IQ4:$OD4,C4)=1),C4+1,0),0)</f>
        <v/>
      </c>
      <c r="H4">
        <f>IF(B4=0,0,INDEX('calcA'!$IW$10:$IW$54,B4))</f>
        <v/>
      </c>
      <c r="U4">
        <f>IF(B4=0,0,INDEX('calcA'!$IX$10:$IX$54,B4))</f>
        <v/>
      </c>
      <c r="V4">
        <f>IF(B4=0,0,INDEX('calcA'!$JF$10:$JF$54,B4))</f>
        <v/>
      </c>
      <c r="W4">
        <f>IF(B4=0,0,IF(IF(E4=2,SUMPRODUCT(INDEX('calcA'!$D$60:$EQ$99,B4,0),$DB4:$IO4,$IQ4:$OD4),SUMPRODUCT(INDEX('calcA'!$D$60:$EQ$99,B4,0),$DB4:$IO4))=0,1,0))</f>
        <v/>
      </c>
      <c r="X4">
        <f>MAX(X3,IF($B3=1,1,0))</f>
        <v/>
      </c>
      <c r="Y4">
        <f>MAX(Y3,IF($B3=2,1,0))</f>
        <v/>
      </c>
      <c r="Z4">
        <f>MAX(Z3,IF($B3=3,1,0))</f>
        <v/>
      </c>
      <c r="AA4">
        <f>MAX(AA3,IF($B3=4,1,0))</f>
        <v/>
      </c>
      <c r="AB4">
        <f>MAX(AB3,IF($B3=5,1,0))</f>
        <v/>
      </c>
      <c r="AC4">
        <f>MAX(AC3,IF($B3=6,1,0))</f>
        <v/>
      </c>
      <c r="AD4">
        <f>MAX(AD3,IF($B3=7,1,0))</f>
        <v/>
      </c>
      <c r="AE4">
        <f>MAX(AE3,IF($B3=8,1,0))</f>
        <v/>
      </c>
      <c r="AF4">
        <f>MAX(AF3,IF($B3=9,1,0))</f>
        <v/>
      </c>
      <c r="AG4">
        <f>MAX(AG3,IF($B3=10,1,0))</f>
        <v/>
      </c>
      <c r="AH4">
        <f>MAX(AH3,IF($B3=11,1,0))</f>
        <v/>
      </c>
      <c r="AI4">
        <f>MAX(AI3,IF($B3=12,1,0))</f>
        <v/>
      </c>
      <c r="AJ4">
        <f>MAX(AJ3,IF($B3=13,1,0))</f>
        <v/>
      </c>
      <c r="AK4">
        <f>MAX(AK3,IF($B3=14,1,0))</f>
        <v/>
      </c>
      <c r="AL4">
        <f>MAX(AL3,IF($B3=15,1,0))</f>
        <v/>
      </c>
      <c r="AM4">
        <f>MAX(AM3,IF($B3=16,1,0))</f>
        <v/>
      </c>
      <c r="AN4">
        <f>MAX(AN3,IF($B3=17,1,0))</f>
        <v/>
      </c>
      <c r="AO4">
        <f>MAX(AO3,IF($B3=18,1,0))</f>
        <v/>
      </c>
      <c r="AP4">
        <f>MAX(AP3,IF($B3=19,1,0))</f>
        <v/>
      </c>
      <c r="AQ4">
        <f>MAX(AQ3,IF($B3=20,1,0))</f>
        <v/>
      </c>
      <c r="AR4">
        <f>MAX(AR3,IF($B3=21,1,0))</f>
        <v/>
      </c>
      <c r="AS4">
        <f>MAX(AS3,IF($B3=22,1,0))</f>
        <v/>
      </c>
      <c r="AT4">
        <f>MAX(AT3,IF($B3=23,1,0))</f>
        <v/>
      </c>
      <c r="AU4">
        <f>MAX(AU3,IF($B3=24,1,0))</f>
        <v/>
      </c>
      <c r="AV4">
        <f>MAX(AV3,IF($B3=25,1,0))</f>
        <v/>
      </c>
      <c r="AW4">
        <f>MAX(AW3,IF($B3=26,1,0))</f>
        <v/>
      </c>
      <c r="AX4">
        <f>MAX(AX3,IF($B3=27,1,0))</f>
        <v/>
      </c>
      <c r="AY4">
        <f>MAX(AY3,IF($B3=28,1,0))</f>
        <v/>
      </c>
      <c r="AZ4">
        <f>MAX(AZ3,IF($B3=29,1,0))</f>
        <v/>
      </c>
      <c r="BA4">
        <f>MAX(BA3,IF($B3=30,1,0))</f>
        <v/>
      </c>
      <c r="BB4">
        <f>MAX(BB3,IF($B3=31,1,0))</f>
        <v/>
      </c>
      <c r="BC4">
        <f>MAX(BC3,IF($B3=32,1,0))</f>
        <v/>
      </c>
      <c r="BD4">
        <f>MAX(BD3,IF($B3=33,1,0))</f>
        <v/>
      </c>
      <c r="BE4">
        <f>MAX(BE3,IF($B3=34,1,0))</f>
        <v/>
      </c>
      <c r="BF4">
        <f>MAX(BF3,IF($B3=35,1,0))</f>
        <v/>
      </c>
      <c r="BG4">
        <f>MAX(BG3,IF($B3=36,1,0))</f>
        <v/>
      </c>
      <c r="BH4">
        <f>MAX(BH3,IF($B3=37,1,0))</f>
        <v/>
      </c>
      <c r="BI4">
        <f>MAX(BI3,IF($B3=38,1,0))</f>
        <v/>
      </c>
      <c r="BJ4">
        <f>MAX(BJ3,IF($B3=39,1,0))</f>
        <v/>
      </c>
      <c r="BK4">
        <f>MAX(BK3,IF($B3=40,1,0))</f>
        <v/>
      </c>
      <c r="BM4">
        <f>IF(OR(X4=1,calcA!$A$6=0),1000000000,IF('calcA'!$JF$10=1,0,100000000)+IF('calcA'!$IQ$10=2,SUMPRODUCT('calcA'!$D$60:$EQ$60,$DB4:$IO4,$IQ4:$OD4)*1000+SUMPRODUCT('calcA'!$D$60:$EQ$60,$DB4:$IO4+$ZQ4:$AFD4,$AFF4:$AKS4),SUMPRODUCT('calcA'!$D$60:$EQ$60,$DB4:$IO4*1001+$ZQ4:$AFD4))*100+1)</f>
        <v/>
      </c>
      <c r="BN4">
        <f>IF(OR(Y4=1,calcA!$A$6=0),1000000000,IF('calcA'!$JF$11=1,0,100000000)+IF('calcA'!$IQ$11=2,SUMPRODUCT('calcA'!$D$61:$EQ$61,$DB4:$IO4,$IQ4:$OD4)*1000+SUMPRODUCT('calcA'!$D$61:$EQ$61,$DB4:$IO4+$ZQ4:$AFD4,$AFF4:$AKS4),SUMPRODUCT('calcA'!$D$61:$EQ$61,$DB4:$IO4*1001+$ZQ4:$AFD4))*100+2)</f>
        <v/>
      </c>
      <c r="BO4">
        <f>IF(OR(Z4=1,calcA!$A$6=0),1000000000,IF('calcA'!$JF$12=1,0,100000000)+IF('calcA'!$IQ$12=2,SUMPRODUCT('calcA'!$D$62:$EQ$62,$DB4:$IO4,$IQ4:$OD4)*1000+SUMPRODUCT('calcA'!$D$62:$EQ$62,$DB4:$IO4+$ZQ4:$AFD4,$AFF4:$AKS4),SUMPRODUCT('calcA'!$D$62:$EQ$62,$DB4:$IO4*1001+$ZQ4:$AFD4))*100+3)</f>
        <v/>
      </c>
      <c r="BP4">
        <f>IF(OR(AA4=1,calcA!$A$6=0),1000000000,IF('calcA'!$JF$13=1,0,100000000)+IF('calcA'!$IQ$13=2,SUMPRODUCT('calcA'!$D$63:$EQ$63,$DB4:$IO4,$IQ4:$OD4)*1000+SUMPRODUCT('calcA'!$D$63:$EQ$63,$DB4:$IO4+$ZQ4:$AFD4,$AFF4:$AKS4),SUMPRODUCT('calcA'!$D$63:$EQ$63,$DB4:$IO4*1001+$ZQ4:$AFD4))*100+4)</f>
        <v/>
      </c>
      <c r="BQ4">
        <f>IF(OR(AB4=1,calcA!$A$6=0),1000000000,IF('calcA'!$JF$14=1,0,100000000)+IF('calcA'!$IQ$14=2,SUMPRODUCT('calcA'!$D$64:$EQ$64,$DB4:$IO4,$IQ4:$OD4)*1000+SUMPRODUCT('calcA'!$D$64:$EQ$64,$DB4:$IO4+$ZQ4:$AFD4,$AFF4:$AKS4),SUMPRODUCT('calcA'!$D$64:$EQ$64,$DB4:$IO4*1001+$ZQ4:$AFD4))*100+5)</f>
        <v/>
      </c>
      <c r="BR4">
        <f>IF(OR(AC4=1,calcA!$A$6=0),1000000000,IF('calcA'!$JF$15=1,0,100000000)+IF('calcA'!$IQ$15=2,SUMPRODUCT('calcA'!$D$65:$EQ$65,$DB4:$IO4,$IQ4:$OD4)*1000+SUMPRODUCT('calcA'!$D$65:$EQ$65,$DB4:$IO4+$ZQ4:$AFD4,$AFF4:$AKS4),SUMPRODUCT('calcA'!$D$65:$EQ$65,$DB4:$IO4*1001+$ZQ4:$AFD4))*100+6)</f>
        <v/>
      </c>
      <c r="BS4">
        <f>IF(OR(AD4=1,calcA!$A$6=0),1000000000,IF('calcA'!$JF$16=1,0,100000000)+IF('calcA'!$IQ$16=2,SUMPRODUCT('calcA'!$D$66:$EQ$66,$DB4:$IO4,$IQ4:$OD4)*1000+SUMPRODUCT('calcA'!$D$66:$EQ$66,$DB4:$IO4+$ZQ4:$AFD4,$AFF4:$AKS4),SUMPRODUCT('calcA'!$D$66:$EQ$66,$DB4:$IO4*1001+$ZQ4:$AFD4))*100+7)</f>
        <v/>
      </c>
      <c r="BT4">
        <f>IF(OR(AE4=1,calcA!$A$6=0),1000000000,IF('calcA'!$JF$17=1,0,100000000)+IF('calcA'!$IQ$17=2,SUMPRODUCT('calcA'!$D$67:$EQ$67,$DB4:$IO4,$IQ4:$OD4)*1000+SUMPRODUCT('calcA'!$D$67:$EQ$67,$DB4:$IO4+$ZQ4:$AFD4,$AFF4:$AKS4),SUMPRODUCT('calcA'!$D$67:$EQ$67,$DB4:$IO4*1001+$ZQ4:$AFD4))*100+8)</f>
        <v/>
      </c>
      <c r="BU4">
        <f>IF(OR(AF4=1,calcA!$A$6=0),1000000000,IF('calcA'!$JF$18=1,0,100000000)+IF('calcA'!$IQ$18=2,SUMPRODUCT('calcA'!$D$68:$EQ$68,$DB4:$IO4,$IQ4:$OD4)*1000+SUMPRODUCT('calcA'!$D$68:$EQ$68,$DB4:$IO4+$ZQ4:$AFD4,$AFF4:$AKS4),SUMPRODUCT('calcA'!$D$68:$EQ$68,$DB4:$IO4*1001+$ZQ4:$AFD4))*100+9)</f>
        <v/>
      </c>
      <c r="BV4">
        <f>IF(OR(AG4=1,calcA!$A$6=0),1000000000,IF('calcA'!$JF$19=1,0,100000000)+IF('calcA'!$IQ$19=2,SUMPRODUCT('calcA'!$D$69:$EQ$69,$DB4:$IO4,$IQ4:$OD4)*1000+SUMPRODUCT('calcA'!$D$69:$EQ$69,$DB4:$IO4+$ZQ4:$AFD4,$AFF4:$AKS4),SUMPRODUCT('calcA'!$D$69:$EQ$69,$DB4:$IO4*1001+$ZQ4:$AFD4))*100+10)</f>
        <v/>
      </c>
      <c r="BW4">
        <f>IF(OR(AH4=1,calcA!$A$6=0),1000000000,IF('calcA'!$JF$20=1,0,100000000)+IF('calcA'!$IQ$20=2,SUMPRODUCT('calcA'!$D$70:$EQ$70,$DB4:$IO4,$IQ4:$OD4)*1000+SUMPRODUCT('calcA'!$D$70:$EQ$70,$DB4:$IO4+$ZQ4:$AFD4,$AFF4:$AKS4),SUMPRODUCT('calcA'!$D$70:$EQ$70,$DB4:$IO4*1001+$ZQ4:$AFD4))*100+11)</f>
        <v/>
      </c>
      <c r="BX4">
        <f>IF(OR(AI4=1,calcA!$A$6=0),1000000000,IF('calcA'!$JF$21=1,0,100000000)+IF('calcA'!$IQ$21=2,SUMPRODUCT('calcA'!$D$71:$EQ$71,$DB4:$IO4,$IQ4:$OD4)*1000+SUMPRODUCT('calcA'!$D$71:$EQ$71,$DB4:$IO4+$ZQ4:$AFD4,$AFF4:$AKS4),SUMPRODUCT('calcA'!$D$71:$EQ$71,$DB4:$IO4*1001+$ZQ4:$AFD4))*100+12)</f>
        <v/>
      </c>
      <c r="BY4">
        <f>IF(OR(AJ4=1,calcA!$A$6=0),1000000000,IF('calcA'!$JF$22=1,0,100000000)+IF('calcA'!$IQ$22=2,SUMPRODUCT('calcA'!$D$72:$EQ$72,$DB4:$IO4,$IQ4:$OD4)*1000+SUMPRODUCT('calcA'!$D$72:$EQ$72,$DB4:$IO4+$ZQ4:$AFD4,$AFF4:$AKS4),SUMPRODUCT('calcA'!$D$72:$EQ$72,$DB4:$IO4*1001+$ZQ4:$AFD4))*100+13)</f>
        <v/>
      </c>
      <c r="BZ4">
        <f>IF(OR(AK4=1,calcA!$A$6=0),1000000000,IF('calcA'!$JF$23=1,0,100000000)+IF('calcA'!$IQ$23=2,SUMPRODUCT('calcA'!$D$73:$EQ$73,$DB4:$IO4,$IQ4:$OD4)*1000+SUMPRODUCT('calcA'!$D$73:$EQ$73,$DB4:$IO4+$ZQ4:$AFD4,$AFF4:$AKS4),SUMPRODUCT('calcA'!$D$73:$EQ$73,$DB4:$IO4*1001+$ZQ4:$AFD4))*100+14)</f>
        <v/>
      </c>
      <c r="CA4">
        <f>IF(OR(AL4=1,calcA!$A$6=0),1000000000,IF('calcA'!$JF$24=1,0,100000000)+IF('calcA'!$IQ$24=2,SUMPRODUCT('calcA'!$D$74:$EQ$74,$DB4:$IO4,$IQ4:$OD4)*1000+SUMPRODUCT('calcA'!$D$74:$EQ$74,$DB4:$IO4+$ZQ4:$AFD4,$AFF4:$AKS4),SUMPRODUCT('calcA'!$D$74:$EQ$74,$DB4:$IO4*1001+$ZQ4:$AFD4))*100+15)</f>
        <v/>
      </c>
      <c r="CB4">
        <f>IF(OR(AM4=1,calcA!$A$6=0),1000000000,IF('calcA'!$JF$25=1,0,100000000)+IF('calcA'!$IQ$25=2,SUMPRODUCT('calcA'!$D$75:$EQ$75,$DB4:$IO4,$IQ4:$OD4)*1000+SUMPRODUCT('calcA'!$D$75:$EQ$75,$DB4:$IO4+$ZQ4:$AFD4,$AFF4:$AKS4),SUMPRODUCT('calcA'!$D$75:$EQ$75,$DB4:$IO4*1001+$ZQ4:$AFD4))*100+16)</f>
        <v/>
      </c>
      <c r="CC4">
        <f>IF(OR(AN4=1,calcA!$A$6=0),1000000000,IF('calcA'!$JF$26=1,0,100000000)+IF('calcA'!$IQ$26=2,SUMPRODUCT('calcA'!$D$76:$EQ$76,$DB4:$IO4,$IQ4:$OD4)*1000+SUMPRODUCT('calcA'!$D$76:$EQ$76,$DB4:$IO4+$ZQ4:$AFD4,$AFF4:$AKS4),SUMPRODUCT('calcA'!$D$76:$EQ$76,$DB4:$IO4*1001+$ZQ4:$AFD4))*100+17)</f>
        <v/>
      </c>
      <c r="CD4">
        <f>IF(OR(AO4=1,calcA!$A$6=0),1000000000,IF('calcA'!$JF$27=1,0,100000000)+IF('calcA'!$IQ$27=2,SUMPRODUCT('calcA'!$D$77:$EQ$77,$DB4:$IO4,$IQ4:$OD4)*1000+SUMPRODUCT('calcA'!$D$77:$EQ$77,$DB4:$IO4+$ZQ4:$AFD4,$AFF4:$AKS4),SUMPRODUCT('calcA'!$D$77:$EQ$77,$DB4:$IO4*1001+$ZQ4:$AFD4))*100+18)</f>
        <v/>
      </c>
      <c r="CE4">
        <f>IF(OR(AP4=1,calcA!$A$6=0),1000000000,IF('calcA'!$JF$28=1,0,100000000)+IF('calcA'!$IQ$28=2,SUMPRODUCT('calcA'!$D$78:$EQ$78,$DB4:$IO4,$IQ4:$OD4)*1000+SUMPRODUCT('calcA'!$D$78:$EQ$78,$DB4:$IO4+$ZQ4:$AFD4,$AFF4:$AKS4),SUMPRODUCT('calcA'!$D$78:$EQ$78,$DB4:$IO4*1001+$ZQ4:$AFD4))*100+19)</f>
        <v/>
      </c>
      <c r="CF4">
        <f>IF(OR(AQ4=1,calcA!$A$6=0),1000000000,IF('calcA'!$JF$29=1,0,100000000)+IF('calcA'!$IQ$29=2,SUMPRODUCT('calcA'!$D$79:$EQ$79,$DB4:$IO4,$IQ4:$OD4)*1000+SUMPRODUCT('calcA'!$D$79:$EQ$79,$DB4:$IO4+$ZQ4:$AFD4,$AFF4:$AKS4),SUMPRODUCT('calcA'!$D$79:$EQ$79,$DB4:$IO4*1001+$ZQ4:$AFD4))*100+20)</f>
        <v/>
      </c>
      <c r="CG4">
        <f>IF(OR(AR4=1,calcA!$A$6=0),1000000000,IF('calcA'!$JF$30=1,0,100000000)+IF('calcA'!$IQ$30=2,SUMPRODUCT('calcA'!$D$80:$EQ$80,$DB4:$IO4,$IQ4:$OD4)*1000+SUMPRODUCT('calcA'!$D$80:$EQ$80,$DB4:$IO4+$ZQ4:$AFD4,$AFF4:$AKS4),SUMPRODUCT('calcA'!$D$80:$EQ$80,$DB4:$IO4*1001+$ZQ4:$AFD4))*100+21)</f>
        <v/>
      </c>
      <c r="CH4">
        <f>IF(OR(AS4=1,calcA!$A$6=0),1000000000,IF('calcA'!$JF$31=1,0,100000000)+IF('calcA'!$IQ$31=2,SUMPRODUCT('calcA'!$D$81:$EQ$81,$DB4:$IO4,$IQ4:$OD4)*1000+SUMPRODUCT('calcA'!$D$81:$EQ$81,$DB4:$IO4+$ZQ4:$AFD4,$AFF4:$AKS4),SUMPRODUCT('calcA'!$D$81:$EQ$81,$DB4:$IO4*1001+$ZQ4:$AFD4))*100+22)</f>
        <v/>
      </c>
      <c r="CI4">
        <f>IF(OR(AT4=1,calcA!$A$6=0),1000000000,IF('calcA'!$JF$32=1,0,100000000)+IF('calcA'!$IQ$32=2,SUMPRODUCT('calcA'!$D$82:$EQ$82,$DB4:$IO4,$IQ4:$OD4)*1000+SUMPRODUCT('calcA'!$D$82:$EQ$82,$DB4:$IO4+$ZQ4:$AFD4,$AFF4:$AKS4),SUMPRODUCT('calcA'!$D$82:$EQ$82,$DB4:$IO4*1001+$ZQ4:$AFD4))*100+23)</f>
        <v/>
      </c>
      <c r="CJ4">
        <f>IF(OR(AU4=1,calcA!$A$6=0),1000000000,IF('calcA'!$JF$33=1,0,100000000)+IF('calcA'!$IQ$33=2,SUMPRODUCT('calcA'!$D$83:$EQ$83,$DB4:$IO4,$IQ4:$OD4)*1000+SUMPRODUCT('calcA'!$D$83:$EQ$83,$DB4:$IO4+$ZQ4:$AFD4,$AFF4:$AKS4),SUMPRODUCT('calcA'!$D$83:$EQ$83,$DB4:$IO4*1001+$ZQ4:$AFD4))*100+24)</f>
        <v/>
      </c>
      <c r="CK4">
        <f>IF(OR(AV4=1,calcA!$A$6=0),1000000000,IF('calcA'!$JF$34=1,0,100000000)+IF('calcA'!$IQ$34=2,SUMPRODUCT('calcA'!$D$84:$EQ$84,$DB4:$IO4,$IQ4:$OD4)*1000+SUMPRODUCT('calcA'!$D$84:$EQ$84,$DB4:$IO4+$ZQ4:$AFD4,$AFF4:$AKS4),SUMPRODUCT('calcA'!$D$84:$EQ$84,$DB4:$IO4*1001+$ZQ4:$AFD4))*100+25)</f>
        <v/>
      </c>
      <c r="CL4">
        <f>IF(OR(AW4=1,calcA!$A$6=0),1000000000,IF('calcA'!$JF$35=1,0,100000000)+IF('calcA'!$IQ$35=2,SUMPRODUCT('calcA'!$D$85:$EQ$85,$DB4:$IO4,$IQ4:$OD4)*1000+SUMPRODUCT('calcA'!$D$85:$EQ$85,$DB4:$IO4+$ZQ4:$AFD4,$AFF4:$AKS4),SUMPRODUCT('calcA'!$D$85:$EQ$85,$DB4:$IO4*1001+$ZQ4:$AFD4))*100+26)</f>
        <v/>
      </c>
      <c r="CM4">
        <f>IF(OR(AX4=1,calcA!$A$6=0),1000000000,IF('calcA'!$JF$36=1,0,100000000)+IF('calcA'!$IQ$36=2,SUMPRODUCT('calcA'!$D$86:$EQ$86,$DB4:$IO4,$IQ4:$OD4)*1000+SUMPRODUCT('calcA'!$D$86:$EQ$86,$DB4:$IO4+$ZQ4:$AFD4,$AFF4:$AKS4),SUMPRODUCT('calcA'!$D$86:$EQ$86,$DB4:$IO4*1001+$ZQ4:$AFD4))*100+27)</f>
        <v/>
      </c>
      <c r="CN4">
        <f>IF(OR(AY4=1,calcA!$A$6=0),1000000000,IF('calcA'!$JF$37=1,0,100000000)+IF('calcA'!$IQ$37=2,SUMPRODUCT('calcA'!$D$87:$EQ$87,$DB4:$IO4,$IQ4:$OD4)*1000+SUMPRODUCT('calcA'!$D$87:$EQ$87,$DB4:$IO4+$ZQ4:$AFD4,$AFF4:$AKS4),SUMPRODUCT('calcA'!$D$87:$EQ$87,$DB4:$IO4*1001+$ZQ4:$AFD4))*100+28)</f>
        <v/>
      </c>
      <c r="CO4">
        <f>IF(OR(AZ4=1,calcA!$A$6=0),1000000000,IF('calcA'!$JF$38=1,0,100000000)+IF('calcA'!$IQ$38=2,SUMPRODUCT('calcA'!$D$88:$EQ$88,$DB4:$IO4,$IQ4:$OD4)*1000+SUMPRODUCT('calcA'!$D$88:$EQ$88,$DB4:$IO4+$ZQ4:$AFD4,$AFF4:$AKS4),SUMPRODUCT('calcA'!$D$88:$EQ$88,$DB4:$IO4*1001+$ZQ4:$AFD4))*100+29)</f>
        <v/>
      </c>
      <c r="CP4">
        <f>IF(OR(BA4=1,calcA!$A$6=0),1000000000,IF('calcA'!$JF$39=1,0,100000000)+IF('calcA'!$IQ$39=2,SUMPRODUCT('calcA'!$D$89:$EQ$89,$DB4:$IO4,$IQ4:$OD4)*1000+SUMPRODUCT('calcA'!$D$89:$EQ$89,$DB4:$IO4+$ZQ4:$AFD4,$AFF4:$AKS4),SUMPRODUCT('calcA'!$D$89:$EQ$89,$DB4:$IO4*1001+$ZQ4:$AFD4))*100+30)</f>
        <v/>
      </c>
      <c r="CQ4">
        <f>IF(OR(BB4=1,calcA!$A$6=0),1000000000,IF('calcA'!$JF$40=1,0,100000000)+IF('calcA'!$IQ$40=2,SUMPRODUCT('calcA'!$D$90:$EQ$90,$DB4:$IO4,$IQ4:$OD4)*1000+SUMPRODUCT('calcA'!$D$90:$EQ$90,$DB4:$IO4+$ZQ4:$AFD4,$AFF4:$AKS4),SUMPRODUCT('calcA'!$D$90:$EQ$90,$DB4:$IO4*1001+$ZQ4:$AFD4))*100+31)</f>
        <v/>
      </c>
      <c r="CR4">
        <f>IF(OR(BC4=1,calcA!$A$6=0),1000000000,IF('calcA'!$JF$41=1,0,100000000)+IF('calcA'!$IQ$41=2,SUMPRODUCT('calcA'!$D$91:$EQ$91,$DB4:$IO4,$IQ4:$OD4)*1000+SUMPRODUCT('calcA'!$D$91:$EQ$91,$DB4:$IO4+$ZQ4:$AFD4,$AFF4:$AKS4),SUMPRODUCT('calcA'!$D$91:$EQ$91,$DB4:$IO4*1001+$ZQ4:$AFD4))*100+32)</f>
        <v/>
      </c>
      <c r="CS4">
        <f>IF(OR(BD4=1,calcA!$A$6=0),1000000000,IF('calcA'!$JF$42=1,0,100000000)+IF('calcA'!$IQ$42=2,SUMPRODUCT('calcA'!$D$92:$EQ$92,$DB4:$IO4,$IQ4:$OD4)*1000+SUMPRODUCT('calcA'!$D$92:$EQ$92,$DB4:$IO4+$ZQ4:$AFD4,$AFF4:$AKS4),SUMPRODUCT('calcA'!$D$92:$EQ$92,$DB4:$IO4*1001+$ZQ4:$AFD4))*100+33)</f>
        <v/>
      </c>
      <c r="CT4">
        <f>IF(OR(BE4=1,calcA!$A$6=0),1000000000,IF('calcA'!$JF$43=1,0,100000000)+IF('calcA'!$IQ$43=2,SUMPRODUCT('calcA'!$D$93:$EQ$93,$DB4:$IO4,$IQ4:$OD4)*1000+SUMPRODUCT('calcA'!$D$93:$EQ$93,$DB4:$IO4+$ZQ4:$AFD4,$AFF4:$AKS4),SUMPRODUCT('calcA'!$D$93:$EQ$93,$DB4:$IO4*1001+$ZQ4:$AFD4))*100+34)</f>
        <v/>
      </c>
      <c r="CU4">
        <f>IF(OR(BF4=1,calcA!$A$6=0),1000000000,IF('calcA'!$JF$44=1,0,100000000)+IF('calcA'!$IQ$44=2,SUMPRODUCT('calcA'!$D$94:$EQ$94,$DB4:$IO4,$IQ4:$OD4)*1000+SUMPRODUCT('calcA'!$D$94:$EQ$94,$DB4:$IO4+$ZQ4:$AFD4,$AFF4:$AKS4),SUMPRODUCT('calcA'!$D$94:$EQ$94,$DB4:$IO4*1001+$ZQ4:$AFD4))*100+35)</f>
        <v/>
      </c>
      <c r="CV4">
        <f>IF(OR(BG4=1,calcA!$A$6=0),1000000000,IF('calcA'!$JF$45=1,0,100000000)+IF('calcA'!$IQ$45=2,SUMPRODUCT('calcA'!$D$95:$EQ$95,$DB4:$IO4,$IQ4:$OD4)*1000+SUMPRODUCT('calcA'!$D$95:$EQ$95,$DB4:$IO4+$ZQ4:$AFD4,$AFF4:$AKS4),SUMPRODUCT('calcA'!$D$95:$EQ$95,$DB4:$IO4*1001+$ZQ4:$AFD4))*100+36)</f>
        <v/>
      </c>
      <c r="CW4">
        <f>IF(OR(BH4=1,calcA!$A$6=0),1000000000,IF('calcA'!$JF$46=1,0,100000000)+IF('calcA'!$IQ$46=2,SUMPRODUCT('calcA'!$D$96:$EQ$96,$DB4:$IO4,$IQ4:$OD4)*1000+SUMPRODUCT('calcA'!$D$96:$EQ$96,$DB4:$IO4+$ZQ4:$AFD4,$AFF4:$AKS4),SUMPRODUCT('calcA'!$D$96:$EQ$96,$DB4:$IO4*1001+$ZQ4:$AFD4))*100+37)</f>
        <v/>
      </c>
      <c r="CX4">
        <f>IF(OR(BI4=1,calcA!$A$6=0),1000000000,IF('calcA'!$JF$47=1,0,100000000)+IF('calcA'!$IQ$47=2,SUMPRODUCT('calcA'!$D$97:$EQ$97,$DB4:$IO4,$IQ4:$OD4)*1000+SUMPRODUCT('calcA'!$D$97:$EQ$97,$DB4:$IO4+$ZQ4:$AFD4,$AFF4:$AKS4),SUMPRODUCT('calcA'!$D$97:$EQ$97,$DB4:$IO4*1001+$ZQ4:$AFD4))*100+38)</f>
        <v/>
      </c>
      <c r="CY4">
        <f>IF(OR(BJ4=1,calcA!$A$6=0),1000000000,IF('calcA'!$JF$48=1,0,100000000)+IF('calcA'!$IQ$48=2,SUMPRODUCT('calcA'!$D$98:$EQ$98,$DB4:$IO4,$IQ4:$OD4)*1000+SUMPRODUCT('calcA'!$D$98:$EQ$98,$DB4:$IO4+$ZQ4:$AFD4,$AFF4:$AKS4),SUMPRODUCT('calcA'!$D$98:$EQ$98,$DB4:$IO4*1001+$ZQ4:$AFD4))*100+39)</f>
        <v/>
      </c>
      <c r="CZ4">
        <f>IF(OR(BK4=1,calcA!$A$6=0),1000000000,IF('calcA'!$JF$49=1,0,100000000)+IF('calcA'!$IQ$49=2,SUMPRODUCT('calcA'!$D$99:$EQ$99,$DB4:$IO4,$IQ4:$OD4)*1000+SUMPRODUCT('calcA'!$D$99:$EQ$99,$DB4:$IO4+$ZQ4:$AFD4,$AFF4:$AKS4),SUMPRODUCT('calcA'!$D$99:$EQ$99,$DB4:$IO4*1001+$ZQ4:$AFD4))*100+40)</f>
        <v/>
      </c>
      <c r="DB4">
        <f>DB3*IF(OR($C3=1,$G3=1),0,1)</f>
        <v/>
      </c>
      <c r="DC4">
        <f>DC3*IF(OR($C3=2,$G3=2),0,1)</f>
        <v/>
      </c>
      <c r="DD4">
        <f>DD3*IF(OR($C3=3,$G3=3),0,1)</f>
        <v/>
      </c>
      <c r="DE4">
        <f>DE3*IF(OR($C3=4,$G3=4),0,1)</f>
        <v/>
      </c>
      <c r="DF4">
        <f>DF3*IF(OR($C3=5,$G3=5),0,1)</f>
        <v/>
      </c>
      <c r="DG4">
        <f>DG3*IF(OR($C3=6,$G3=6),0,1)</f>
        <v/>
      </c>
      <c r="DH4">
        <f>DH3*IF(OR($C3=7,$G3=7),0,1)</f>
        <v/>
      </c>
      <c r="DI4">
        <f>DI3*IF(OR($C3=8,$G3=8),0,1)</f>
        <v/>
      </c>
      <c r="DJ4">
        <f>DJ3*IF(OR($C3=9,$G3=9),0,1)</f>
        <v/>
      </c>
      <c r="DK4">
        <f>DK3*IF(OR($C3=10,$G3=10),0,1)</f>
        <v/>
      </c>
      <c r="DL4">
        <f>DL3*IF(OR($C3=11,$G3=11),0,1)</f>
        <v/>
      </c>
      <c r="DM4">
        <f>DM3*IF(OR($C3=12,$G3=12),0,1)</f>
        <v/>
      </c>
      <c r="DN4">
        <f>DN3*IF(OR($C3=13,$G3=13),0,1)</f>
        <v/>
      </c>
      <c r="DO4">
        <f>DO3*IF(OR($C3=14,$G3=14),0,1)</f>
        <v/>
      </c>
      <c r="DP4">
        <f>DP3*IF(OR($C3=15,$G3=15),0,1)</f>
        <v/>
      </c>
      <c r="DQ4">
        <f>DQ3*IF(OR($C3=16,$G3=16),0,1)</f>
        <v/>
      </c>
      <c r="DR4">
        <f>DR3*IF(OR($C3=17,$G3=17),0,1)</f>
        <v/>
      </c>
      <c r="DS4">
        <f>DS3*IF(OR($C3=18,$G3=18),0,1)</f>
        <v/>
      </c>
      <c r="DT4">
        <f>DT3*IF(OR($C3=19,$G3=19),0,1)</f>
        <v/>
      </c>
      <c r="DU4">
        <f>DU3*IF(OR($C3=20,$G3=20),0,1)</f>
        <v/>
      </c>
      <c r="DV4">
        <f>DV3*IF(OR($C3=21,$G3=21),0,1)</f>
        <v/>
      </c>
      <c r="DW4">
        <f>DW3*IF(OR($C3=22,$G3=22),0,1)</f>
        <v/>
      </c>
      <c r="DX4">
        <f>DX3*IF(OR($C3=23,$G3=23),0,1)</f>
        <v/>
      </c>
      <c r="DY4">
        <f>DY3*IF(OR($C3=24,$G3=24),0,1)</f>
        <v/>
      </c>
      <c r="DZ4">
        <f>DZ3*IF(OR($C3=25,$G3=25),0,1)</f>
        <v/>
      </c>
      <c r="EA4">
        <f>EA3*IF(OR($C3=26,$G3=26),0,1)</f>
        <v/>
      </c>
      <c r="EB4">
        <f>EB3*IF(OR($C3=27,$G3=27),0,1)</f>
        <v/>
      </c>
      <c r="EC4">
        <f>EC3*IF(OR($C3=28,$G3=28),0,1)</f>
        <v/>
      </c>
      <c r="ED4">
        <f>ED3*IF(OR($C3=29,$G3=29),0,1)</f>
        <v/>
      </c>
      <c r="EE4">
        <f>EE3*IF(OR($C3=30,$G3=30),0,1)</f>
        <v/>
      </c>
      <c r="EF4">
        <f>EF3*IF(OR($C3=31,$G3=31),0,1)</f>
        <v/>
      </c>
      <c r="EG4">
        <f>EG3*IF(OR($C3=32,$G3=32),0,1)</f>
        <v/>
      </c>
      <c r="EH4">
        <f>EH3*IF(OR($C3=33,$G3=33),0,1)</f>
        <v/>
      </c>
      <c r="EI4">
        <f>EI3*IF(OR($C3=34,$G3=34),0,1)</f>
        <v/>
      </c>
      <c r="EJ4">
        <f>EJ3*IF(OR($C3=35,$G3=35),0,1)</f>
        <v/>
      </c>
      <c r="EK4">
        <f>EK3*IF(OR($C3=36,$G3=36),0,1)</f>
        <v/>
      </c>
      <c r="EL4">
        <f>EL3*IF(OR($C3=37,$G3=37),0,1)</f>
        <v/>
      </c>
      <c r="EM4">
        <f>EM3*IF(OR($C3=38,$G3=38),0,1)</f>
        <v/>
      </c>
      <c r="EN4">
        <f>EN3*IF(OR($C3=39,$G3=39),0,1)</f>
        <v/>
      </c>
      <c r="EO4">
        <f>EO3*IF(OR($C3=40,$G3=40),0,1)</f>
        <v/>
      </c>
      <c r="EP4">
        <f>EP3*IF(OR($C3=41,$G3=41),0,1)</f>
        <v/>
      </c>
      <c r="EQ4">
        <f>EQ3*IF(OR($C3=42,$G3=42),0,1)</f>
        <v/>
      </c>
      <c r="ER4">
        <f>ER3*IF(OR($C3=43,$G3=43),0,1)</f>
        <v/>
      </c>
      <c r="ES4">
        <f>ES3*IF(OR($C3=44,$G3=44),0,1)</f>
        <v/>
      </c>
      <c r="ET4">
        <f>ET3*IF(OR($C3=45,$G3=45),0,1)</f>
        <v/>
      </c>
      <c r="EU4">
        <f>EU3*IF(OR($C3=46,$G3=46),0,1)</f>
        <v/>
      </c>
      <c r="EV4">
        <f>EV3*IF(OR($C3=47,$G3=47),0,1)</f>
        <v/>
      </c>
      <c r="EW4">
        <f>EW3*IF(OR($C3=48,$G3=48),0,1)</f>
        <v/>
      </c>
      <c r="EX4">
        <f>EX3*IF(OR($C3=49,$G3=49),0,1)</f>
        <v/>
      </c>
      <c r="EY4">
        <f>EY3*IF(OR($C3=50,$G3=50),0,1)</f>
        <v/>
      </c>
      <c r="EZ4">
        <f>EZ3*IF(OR($C3=51,$G3=51),0,1)</f>
        <v/>
      </c>
      <c r="FA4">
        <f>FA3*IF(OR($C3=52,$G3=52),0,1)</f>
        <v/>
      </c>
      <c r="FB4">
        <f>FB3*IF(OR($C3=53,$G3=53),0,1)</f>
        <v/>
      </c>
      <c r="FC4">
        <f>FC3*IF(OR($C3=54,$G3=54),0,1)</f>
        <v/>
      </c>
      <c r="FD4">
        <f>FD3*IF(OR($C3=55,$G3=55),0,1)</f>
        <v/>
      </c>
      <c r="FE4">
        <f>FE3*IF(OR($C3=56,$G3=56),0,1)</f>
        <v/>
      </c>
      <c r="FF4">
        <f>FF3*IF(OR($C3=57,$G3=57),0,1)</f>
        <v/>
      </c>
      <c r="FG4">
        <f>FG3*IF(OR($C3=58,$G3=58),0,1)</f>
        <v/>
      </c>
      <c r="FH4">
        <f>FH3*IF(OR($C3=59,$G3=59),0,1)</f>
        <v/>
      </c>
      <c r="FI4">
        <f>FI3*IF(OR($C3=60,$G3=60),0,1)</f>
        <v/>
      </c>
      <c r="FJ4">
        <f>FJ3*IF(OR($C3=61,$G3=61),0,1)</f>
        <v/>
      </c>
      <c r="FK4">
        <f>FK3*IF(OR($C3=62,$G3=62),0,1)</f>
        <v/>
      </c>
      <c r="FL4">
        <f>FL3*IF(OR($C3=63,$G3=63),0,1)</f>
        <v/>
      </c>
      <c r="FM4">
        <f>FM3*IF(OR($C3=64,$G3=64),0,1)</f>
        <v/>
      </c>
      <c r="FN4">
        <f>FN3*IF(OR($C3=65,$G3=65),0,1)</f>
        <v/>
      </c>
      <c r="FO4">
        <f>FO3*IF(OR($C3=66,$G3=66),0,1)</f>
        <v/>
      </c>
      <c r="FP4">
        <f>FP3*IF(OR($C3=67,$G3=67),0,1)</f>
        <v/>
      </c>
      <c r="FQ4">
        <f>FQ3*IF(OR($C3=68,$G3=68),0,1)</f>
        <v/>
      </c>
      <c r="FR4">
        <f>FR3*IF(OR($C3=69,$G3=69),0,1)</f>
        <v/>
      </c>
      <c r="FS4">
        <f>FS3*IF(OR($C3=70,$G3=70),0,1)</f>
        <v/>
      </c>
      <c r="FT4">
        <f>FT3*IF(OR($C3=71,$G3=71),0,1)</f>
        <v/>
      </c>
      <c r="FU4">
        <f>FU3*IF(OR($C3=72,$G3=72),0,1)</f>
        <v/>
      </c>
      <c r="FV4">
        <f>FV3*IF(OR($C3=73,$G3=73),0,1)</f>
        <v/>
      </c>
      <c r="FW4">
        <f>FW3*IF(OR($C3=74,$G3=74),0,1)</f>
        <v/>
      </c>
      <c r="FX4">
        <f>FX3*IF(OR($C3=75,$G3=75),0,1)</f>
        <v/>
      </c>
      <c r="FY4">
        <f>FY3*IF(OR($C3=76,$G3=76),0,1)</f>
        <v/>
      </c>
      <c r="FZ4">
        <f>FZ3*IF(OR($C3=77,$G3=77),0,1)</f>
        <v/>
      </c>
      <c r="GA4">
        <f>GA3*IF(OR($C3=78,$G3=78),0,1)</f>
        <v/>
      </c>
      <c r="GB4">
        <f>GB3*IF(OR($C3=79,$G3=79),0,1)</f>
        <v/>
      </c>
      <c r="GC4">
        <f>GC3*IF(OR($C3=80,$G3=80),0,1)</f>
        <v/>
      </c>
      <c r="GD4">
        <f>GD3*IF(OR($C3=81,$G3=81),0,1)</f>
        <v/>
      </c>
      <c r="GE4">
        <f>GE3*IF(OR($C3=82,$G3=82),0,1)</f>
        <v/>
      </c>
      <c r="GF4">
        <f>GF3*IF(OR($C3=83,$G3=83),0,1)</f>
        <v/>
      </c>
      <c r="GG4">
        <f>GG3*IF(OR($C3=84,$G3=84),0,1)</f>
        <v/>
      </c>
      <c r="GH4">
        <f>GH3*IF(OR($C3=85,$G3=85),0,1)</f>
        <v/>
      </c>
      <c r="GI4">
        <f>GI3*IF(OR($C3=86,$G3=86),0,1)</f>
        <v/>
      </c>
      <c r="GJ4">
        <f>GJ3*IF(OR($C3=87,$G3=87),0,1)</f>
        <v/>
      </c>
      <c r="GK4">
        <f>GK3*IF(OR($C3=88,$G3=88),0,1)</f>
        <v/>
      </c>
      <c r="GL4">
        <f>GL3*IF(OR($C3=89,$G3=89),0,1)</f>
        <v/>
      </c>
      <c r="GM4">
        <f>GM3*IF(OR($C3=90,$G3=90),0,1)</f>
        <v/>
      </c>
      <c r="GN4">
        <f>GN3*IF(OR($C3=91,$G3=91),0,1)</f>
        <v/>
      </c>
      <c r="GO4">
        <f>GO3*IF(OR($C3=92,$G3=92),0,1)</f>
        <v/>
      </c>
      <c r="GP4">
        <f>GP3*IF(OR($C3=93,$G3=93),0,1)</f>
        <v/>
      </c>
      <c r="GQ4">
        <f>GQ3*IF(OR($C3=94,$G3=94),0,1)</f>
        <v/>
      </c>
      <c r="GR4">
        <f>GR3*IF(OR($C3=95,$G3=95),0,1)</f>
        <v/>
      </c>
      <c r="GS4">
        <f>GS3*IF(OR($C3=96,$G3=96),0,1)</f>
        <v/>
      </c>
      <c r="GT4">
        <f>GT3*IF(OR($C3=97,$G3=97),0,1)</f>
        <v/>
      </c>
      <c r="GU4">
        <f>GU3*IF(OR($C3=98,$G3=98),0,1)</f>
        <v/>
      </c>
      <c r="GV4">
        <f>GV3*IF(OR($C3=99,$G3=99),0,1)</f>
        <v/>
      </c>
      <c r="GW4">
        <f>GW3*IF(OR($C3=100,$G3=100),0,1)</f>
        <v/>
      </c>
      <c r="GX4">
        <f>GX3*IF(OR($C3=101,$G3=101),0,1)</f>
        <v/>
      </c>
      <c r="GY4">
        <f>GY3*IF(OR($C3=102,$G3=102),0,1)</f>
        <v/>
      </c>
      <c r="GZ4">
        <f>GZ3*IF(OR($C3=103,$G3=103),0,1)</f>
        <v/>
      </c>
      <c r="HA4">
        <f>HA3*IF(OR($C3=104,$G3=104),0,1)</f>
        <v/>
      </c>
      <c r="HB4">
        <f>HB3*IF(OR($C3=105,$G3=105),0,1)</f>
        <v/>
      </c>
      <c r="HC4">
        <f>HC3*IF(OR($C3=106,$G3=106),0,1)</f>
        <v/>
      </c>
      <c r="HD4">
        <f>HD3*IF(OR($C3=107,$G3=107),0,1)</f>
        <v/>
      </c>
      <c r="HE4">
        <f>HE3*IF(OR($C3=108,$G3=108),0,1)</f>
        <v/>
      </c>
      <c r="HF4">
        <f>HF3*IF(OR($C3=109,$G3=109),0,1)</f>
        <v/>
      </c>
      <c r="HG4">
        <f>HG3*IF(OR($C3=110,$G3=110),0,1)</f>
        <v/>
      </c>
      <c r="HH4">
        <f>HH3*IF(OR($C3=111,$G3=111),0,1)</f>
        <v/>
      </c>
      <c r="HI4">
        <f>HI3*IF(OR($C3=112,$G3=112),0,1)</f>
        <v/>
      </c>
      <c r="HJ4">
        <f>HJ3*IF(OR($C3=113,$G3=113),0,1)</f>
        <v/>
      </c>
      <c r="HK4">
        <f>HK3*IF(OR($C3=114,$G3=114),0,1)</f>
        <v/>
      </c>
      <c r="HL4">
        <f>HL3*IF(OR($C3=115,$G3=115),0,1)</f>
        <v/>
      </c>
      <c r="HM4">
        <f>HM3*IF(OR($C3=116,$G3=116),0,1)</f>
        <v/>
      </c>
      <c r="HN4">
        <f>HN3*IF(OR($C3=117,$G3=117),0,1)</f>
        <v/>
      </c>
      <c r="HO4">
        <f>HO3*IF(OR($C3=118,$G3=118),0,1)</f>
        <v/>
      </c>
      <c r="HP4">
        <f>HP3*IF(OR($C3=119,$G3=119),0,1)</f>
        <v/>
      </c>
      <c r="HQ4">
        <f>HQ3*IF(OR($C3=120,$G3=120),0,1)</f>
        <v/>
      </c>
      <c r="HR4">
        <f>HR3*IF(OR($C3=121,$G3=121),0,1)</f>
        <v/>
      </c>
      <c r="HS4">
        <f>HS3*IF(OR($C3=122,$G3=122),0,1)</f>
        <v/>
      </c>
      <c r="HT4">
        <f>HT3*IF(OR($C3=123,$G3=123),0,1)</f>
        <v/>
      </c>
      <c r="HU4">
        <f>HU3*IF(OR($C3=124,$G3=124),0,1)</f>
        <v/>
      </c>
      <c r="HV4">
        <f>HV3*IF(OR($C3=125,$G3=125),0,1)</f>
        <v/>
      </c>
      <c r="HW4">
        <f>HW3*IF(OR($C3=126,$G3=126),0,1)</f>
        <v/>
      </c>
      <c r="HX4">
        <f>HX3*IF(OR($C3=127,$G3=127),0,1)</f>
        <v/>
      </c>
      <c r="HY4">
        <f>HY3*IF(OR($C3=128,$G3=128),0,1)</f>
        <v/>
      </c>
      <c r="HZ4">
        <f>HZ3*IF(OR($C3=129,$G3=129),0,1)</f>
        <v/>
      </c>
      <c r="IA4">
        <f>IA3*IF(OR($C3=130,$G3=130),0,1)</f>
        <v/>
      </c>
      <c r="IB4">
        <f>IB3*IF(OR($C3=131,$G3=131),0,1)</f>
        <v/>
      </c>
      <c r="IC4">
        <f>IC3*IF(OR($C3=132,$G3=132),0,1)</f>
        <v/>
      </c>
      <c r="ID4">
        <f>ID3*IF(OR($C3=133,$G3=133),0,1)</f>
        <v/>
      </c>
      <c r="IE4">
        <f>IE3*IF(OR($C3=134,$G3=134),0,1)</f>
        <v/>
      </c>
      <c r="IF4">
        <f>IF3*IF(OR($C3=135,$G3=135),0,1)</f>
        <v/>
      </c>
      <c r="IG4">
        <f>IG3*IF(OR($C3=136,$G3=136),0,1)</f>
        <v/>
      </c>
      <c r="IH4">
        <f>IH3*IF(OR($C3=137,$G3=137),0,1)</f>
        <v/>
      </c>
      <c r="II4">
        <f>II3*IF(OR($C3=138,$G3=138),0,1)</f>
        <v/>
      </c>
      <c r="IJ4">
        <f>IJ3*IF(OR($C3=139,$G3=139),0,1)</f>
        <v/>
      </c>
      <c r="IK4">
        <f>IK3*IF(OR($C3=140,$G3=140),0,1)</f>
        <v/>
      </c>
      <c r="IL4">
        <f>IL3*IF(OR($C3=141,$G3=141),0,1)</f>
        <v/>
      </c>
      <c r="IM4">
        <f>IM3*IF(OR($C3=142,$G3=142),0,1)</f>
        <v/>
      </c>
      <c r="IN4">
        <f>IN3*IF(OR($C3=143,$G3=143),0,1)</f>
        <v/>
      </c>
      <c r="IO4">
        <f>IO3*IF(OR($C3=144,$G3=144),0,1)</f>
        <v/>
      </c>
      <c r="IQ4">
        <f>IF('calcA'!D$106=1,DC4,1)</f>
        <v/>
      </c>
      <c r="IR4">
        <f>IF('calcA'!E$106=1,DD4,1)</f>
        <v/>
      </c>
      <c r="IS4">
        <f>IF('calcA'!F$106=1,DE4,1)</f>
        <v/>
      </c>
      <c r="IT4">
        <f>IF('calcA'!G$106=1,DF4,1)</f>
        <v/>
      </c>
      <c r="IU4">
        <f>IF('calcA'!H$106=1,DG4,1)</f>
        <v/>
      </c>
      <c r="IV4">
        <f>IF('calcA'!I$106=1,DH4,1)</f>
        <v/>
      </c>
      <c r="IW4">
        <f>IF('calcA'!J$106=1,DI4,1)</f>
        <v/>
      </c>
      <c r="IX4">
        <f>IF('calcA'!K$106=1,DJ4,1)</f>
        <v/>
      </c>
      <c r="IY4">
        <f>IF('calcA'!L$106=1,DK4,1)</f>
        <v/>
      </c>
      <c r="IZ4">
        <f>IF('calcA'!M$106=1,DL4,1)</f>
        <v/>
      </c>
      <c r="JA4">
        <f>IF('calcA'!N$106=1,DM4,1)</f>
        <v/>
      </c>
      <c r="JB4">
        <f>IF('calcA'!O$106=1,DN4,1)</f>
        <v/>
      </c>
      <c r="JC4">
        <f>IF('calcA'!P$106=1,DO4,1)</f>
        <v/>
      </c>
      <c r="JD4">
        <f>IF('calcA'!Q$106=1,DP4,1)</f>
        <v/>
      </c>
      <c r="JE4">
        <f>IF('calcA'!R$106=1,DQ4,1)</f>
        <v/>
      </c>
      <c r="JF4">
        <f>IF('calcA'!S$106=1,DR4,1)</f>
        <v/>
      </c>
      <c r="JG4">
        <f>IF('calcA'!T$106=1,DS4,1)</f>
        <v/>
      </c>
      <c r="JH4">
        <f>IF('calcA'!U$106=1,DT4,1)</f>
        <v/>
      </c>
      <c r="JI4">
        <f>IF('calcA'!V$106=1,DU4,1)</f>
        <v/>
      </c>
      <c r="JJ4">
        <f>IF('calcA'!W$106=1,DV4,1)</f>
        <v/>
      </c>
      <c r="JK4">
        <f>IF('calcA'!X$106=1,DW4,1)</f>
        <v/>
      </c>
      <c r="JL4">
        <f>IF('calcA'!Y$106=1,DX4,1)</f>
        <v/>
      </c>
      <c r="JM4">
        <f>IF('calcA'!Z$106=1,DY4,1)</f>
        <v/>
      </c>
      <c r="JN4">
        <f>IF('calcA'!AA$106=1,DZ4,1)</f>
        <v/>
      </c>
      <c r="JO4">
        <f>IF('calcA'!AB$106=1,EA4,1)</f>
        <v/>
      </c>
      <c r="JP4">
        <f>IF('calcA'!AC$106=1,EB4,1)</f>
        <v/>
      </c>
      <c r="JQ4">
        <f>IF('calcA'!AD$106=1,EC4,1)</f>
        <v/>
      </c>
      <c r="JR4">
        <f>IF('calcA'!AE$106=1,ED4,1)</f>
        <v/>
      </c>
      <c r="JS4">
        <f>IF('calcA'!AF$106=1,EE4,1)</f>
        <v/>
      </c>
      <c r="JT4">
        <f>IF('calcA'!AG$106=1,EF4,1)</f>
        <v/>
      </c>
      <c r="JU4">
        <f>IF('calcA'!AH$106=1,EG4,1)</f>
        <v/>
      </c>
      <c r="JV4">
        <f>IF('calcA'!AI$106=1,EH4,1)</f>
        <v/>
      </c>
      <c r="JW4">
        <f>IF('calcA'!AJ$106=1,EI4,1)</f>
        <v/>
      </c>
      <c r="JX4">
        <f>IF('calcA'!AK$106=1,EJ4,1)</f>
        <v/>
      </c>
      <c r="JY4">
        <f>IF('calcA'!AL$106=1,EK4,1)</f>
        <v/>
      </c>
      <c r="JZ4">
        <f>IF('calcA'!AM$106=1,EL4,1)</f>
        <v/>
      </c>
      <c r="KA4">
        <f>IF('calcA'!AN$106=1,EM4,1)</f>
        <v/>
      </c>
      <c r="KB4">
        <f>IF('calcA'!AO$106=1,EN4,1)</f>
        <v/>
      </c>
      <c r="KC4">
        <f>IF('calcA'!AP$106=1,EO4,1)</f>
        <v/>
      </c>
      <c r="KD4">
        <f>IF('calcA'!AQ$106=1,EP4,1)</f>
        <v/>
      </c>
      <c r="KE4">
        <f>IF('calcA'!AR$106=1,EQ4,1)</f>
        <v/>
      </c>
      <c r="KF4">
        <f>IF('calcA'!AS$106=1,ER4,1)</f>
        <v/>
      </c>
      <c r="KG4">
        <f>IF('calcA'!AT$106=1,ES4,1)</f>
        <v/>
      </c>
      <c r="KH4">
        <f>IF('calcA'!AU$106=1,ET4,1)</f>
        <v/>
      </c>
      <c r="KI4">
        <f>IF('calcA'!AV$106=1,EU4,1)</f>
        <v/>
      </c>
      <c r="KJ4">
        <f>IF('calcA'!AW$106=1,EV4,1)</f>
        <v/>
      </c>
      <c r="KK4">
        <f>IF('calcA'!AX$106=1,EW4,1)</f>
        <v/>
      </c>
      <c r="KL4">
        <f>IF('calcA'!AY$106=1,EX4,1)</f>
        <v/>
      </c>
      <c r="KM4">
        <f>IF('calcA'!AZ$106=1,EY4,1)</f>
        <v/>
      </c>
      <c r="KN4">
        <f>IF('calcA'!BA$106=1,EZ4,1)</f>
        <v/>
      </c>
      <c r="KO4">
        <f>IF('calcA'!BB$106=1,FA4,1)</f>
        <v/>
      </c>
      <c r="KP4">
        <f>IF('calcA'!BC$106=1,FB4,1)</f>
        <v/>
      </c>
      <c r="KQ4">
        <f>IF('calcA'!BD$106=1,FC4,1)</f>
        <v/>
      </c>
      <c r="KR4">
        <f>IF('calcA'!BE$106=1,FD4,1)</f>
        <v/>
      </c>
      <c r="KS4">
        <f>IF('calcA'!BF$106=1,FE4,1)</f>
        <v/>
      </c>
      <c r="KT4">
        <f>IF('calcA'!BG$106=1,FF4,1)</f>
        <v/>
      </c>
      <c r="KU4">
        <f>IF('calcA'!BH$106=1,FG4,1)</f>
        <v/>
      </c>
      <c r="KV4">
        <f>IF('calcA'!BI$106=1,FH4,1)</f>
        <v/>
      </c>
      <c r="KW4">
        <f>IF('calcA'!BJ$106=1,FI4,1)</f>
        <v/>
      </c>
      <c r="KX4">
        <f>IF('calcA'!BK$106=1,FJ4,1)</f>
        <v/>
      </c>
      <c r="KY4">
        <f>IF('calcA'!BL$106=1,FK4,1)</f>
        <v/>
      </c>
      <c r="KZ4">
        <f>IF('calcA'!BM$106=1,FL4,1)</f>
        <v/>
      </c>
      <c r="LA4">
        <f>IF('calcA'!BN$106=1,FM4,1)</f>
        <v/>
      </c>
      <c r="LB4">
        <f>IF('calcA'!BO$106=1,FN4,1)</f>
        <v/>
      </c>
      <c r="LC4">
        <f>IF('calcA'!BP$106=1,FO4,1)</f>
        <v/>
      </c>
      <c r="LD4">
        <f>IF('calcA'!BQ$106=1,FP4,1)</f>
        <v/>
      </c>
      <c r="LE4">
        <f>IF('calcA'!BR$106=1,FQ4,1)</f>
        <v/>
      </c>
      <c r="LF4">
        <f>IF('calcA'!BS$106=1,FR4,1)</f>
        <v/>
      </c>
      <c r="LG4">
        <f>IF('calcA'!BT$106=1,FS4,1)</f>
        <v/>
      </c>
      <c r="LH4">
        <f>IF('calcA'!BU$106=1,FT4,1)</f>
        <v/>
      </c>
      <c r="LI4">
        <f>IF('calcA'!BV$106=1,FU4,1)</f>
        <v/>
      </c>
      <c r="LJ4">
        <f>IF('calcA'!BW$106=1,FV4,1)</f>
        <v/>
      </c>
      <c r="LK4">
        <f>IF('calcA'!BX$106=1,FW4,1)</f>
        <v/>
      </c>
      <c r="LL4">
        <f>IF('calcA'!BY$106=1,FX4,1)</f>
        <v/>
      </c>
      <c r="LM4">
        <f>IF('calcA'!BZ$106=1,FY4,1)</f>
        <v/>
      </c>
      <c r="LN4">
        <f>IF('calcA'!CA$106=1,FZ4,1)</f>
        <v/>
      </c>
      <c r="LO4">
        <f>IF('calcA'!CB$106=1,GA4,1)</f>
        <v/>
      </c>
      <c r="LP4">
        <f>IF('calcA'!CC$106=1,GB4,1)</f>
        <v/>
      </c>
      <c r="LQ4">
        <f>IF('calcA'!CD$106=1,GC4,1)</f>
        <v/>
      </c>
      <c r="LR4">
        <f>IF('calcA'!CE$106=1,GD4,1)</f>
        <v/>
      </c>
      <c r="LS4">
        <f>IF('calcA'!CF$106=1,GE4,1)</f>
        <v/>
      </c>
      <c r="LT4">
        <f>IF('calcA'!CG$106=1,GF4,1)</f>
        <v/>
      </c>
      <c r="LU4">
        <f>IF('calcA'!CH$106=1,GG4,1)</f>
        <v/>
      </c>
      <c r="LV4">
        <f>IF('calcA'!CI$106=1,GH4,1)</f>
        <v/>
      </c>
      <c r="LW4">
        <f>IF('calcA'!CJ$106=1,GI4,1)</f>
        <v/>
      </c>
      <c r="LX4">
        <f>IF('calcA'!CK$106=1,GJ4,1)</f>
        <v/>
      </c>
      <c r="LY4">
        <f>IF('calcA'!CL$106=1,GK4,1)</f>
        <v/>
      </c>
      <c r="LZ4">
        <f>IF('calcA'!CM$106=1,GL4,1)</f>
        <v/>
      </c>
      <c r="MA4">
        <f>IF('calcA'!CN$106=1,GM4,1)</f>
        <v/>
      </c>
      <c r="MB4">
        <f>IF('calcA'!CO$106=1,GN4,1)</f>
        <v/>
      </c>
      <c r="MC4">
        <f>IF('calcA'!CP$106=1,GO4,1)</f>
        <v/>
      </c>
      <c r="MD4">
        <f>IF('calcA'!CQ$106=1,GP4,1)</f>
        <v/>
      </c>
      <c r="ME4">
        <f>IF('calcA'!CR$106=1,GQ4,1)</f>
        <v/>
      </c>
      <c r="MF4">
        <f>IF('calcA'!CS$106=1,GR4,1)</f>
        <v/>
      </c>
      <c r="MG4">
        <f>IF('calcA'!CT$106=1,GS4,1)</f>
        <v/>
      </c>
      <c r="MH4">
        <f>IF('calcA'!CU$106=1,GT4,1)</f>
        <v/>
      </c>
      <c r="MI4">
        <f>IF('calcA'!CV$106=1,GU4,1)</f>
        <v/>
      </c>
      <c r="MJ4">
        <f>IF('calcA'!CW$106=1,GV4,1)</f>
        <v/>
      </c>
      <c r="MK4">
        <f>IF('calcA'!CX$106=1,GW4,1)</f>
        <v/>
      </c>
      <c r="ML4">
        <f>IF('calcA'!CY$106=1,GX4,1)</f>
        <v/>
      </c>
      <c r="MM4">
        <f>IF('calcA'!CZ$106=1,GY4,1)</f>
        <v/>
      </c>
      <c r="MN4">
        <f>IF('calcA'!DA$106=1,GZ4,1)</f>
        <v/>
      </c>
      <c r="MO4">
        <f>IF('calcA'!DB$106=1,HA4,1)</f>
        <v/>
      </c>
      <c r="MP4">
        <f>IF('calcA'!DC$106=1,HB4,1)</f>
        <v/>
      </c>
      <c r="MQ4">
        <f>IF('calcA'!DD$106=1,HC4,1)</f>
        <v/>
      </c>
      <c r="MR4">
        <f>IF('calcA'!DE$106=1,HD4,1)</f>
        <v/>
      </c>
      <c r="MS4">
        <f>IF('calcA'!DF$106=1,HE4,1)</f>
        <v/>
      </c>
      <c r="MT4">
        <f>IF('calcA'!DG$106=1,HF4,1)</f>
        <v/>
      </c>
      <c r="MU4">
        <f>IF('calcA'!DH$106=1,HG4,1)</f>
        <v/>
      </c>
      <c r="MV4">
        <f>IF('calcA'!DI$106=1,HH4,1)</f>
        <v/>
      </c>
      <c r="MW4">
        <f>IF('calcA'!DJ$106=1,HI4,1)</f>
        <v/>
      </c>
      <c r="MX4">
        <f>IF('calcA'!DK$106=1,HJ4,1)</f>
        <v/>
      </c>
      <c r="MY4">
        <f>IF('calcA'!DL$106=1,HK4,1)</f>
        <v/>
      </c>
      <c r="MZ4">
        <f>IF('calcA'!DM$106=1,HL4,1)</f>
        <v/>
      </c>
      <c r="NA4">
        <f>IF('calcA'!DN$106=1,HM4,1)</f>
        <v/>
      </c>
      <c r="NB4">
        <f>IF('calcA'!DO$106=1,HN4,1)</f>
        <v/>
      </c>
      <c r="NC4">
        <f>IF('calcA'!DP$106=1,HO4,1)</f>
        <v/>
      </c>
      <c r="ND4">
        <f>IF('calcA'!DQ$106=1,HP4,1)</f>
        <v/>
      </c>
      <c r="NE4">
        <f>IF('calcA'!DR$106=1,HQ4,1)</f>
        <v/>
      </c>
      <c r="NF4">
        <f>IF('calcA'!DS$106=1,HR4,1)</f>
        <v/>
      </c>
      <c r="NG4">
        <f>IF('calcA'!DT$106=1,HS4,1)</f>
        <v/>
      </c>
      <c r="NH4">
        <f>IF('calcA'!DU$106=1,HT4,1)</f>
        <v/>
      </c>
      <c r="NI4">
        <f>IF('calcA'!DV$106=1,HU4,1)</f>
        <v/>
      </c>
      <c r="NJ4">
        <f>IF('calcA'!DW$106=1,HV4,1)</f>
        <v/>
      </c>
      <c r="NK4">
        <f>IF('calcA'!DX$106=1,HW4,1)</f>
        <v/>
      </c>
      <c r="NL4">
        <f>IF('calcA'!DY$106=1,HX4,1)</f>
        <v/>
      </c>
      <c r="NM4">
        <f>IF('calcA'!DZ$106=1,HY4,1)</f>
        <v/>
      </c>
      <c r="NN4">
        <f>IF('calcA'!EA$106=1,HZ4,1)</f>
        <v/>
      </c>
      <c r="NO4">
        <f>IF('calcA'!EB$106=1,IA4,1)</f>
        <v/>
      </c>
      <c r="NP4">
        <f>IF('calcA'!EC$106=1,IB4,1)</f>
        <v/>
      </c>
      <c r="NQ4">
        <f>IF('calcA'!ED$106=1,IC4,1)</f>
        <v/>
      </c>
      <c r="NR4">
        <f>IF('calcA'!EE$106=1,ID4,1)</f>
        <v/>
      </c>
      <c r="NS4">
        <f>IF('calcA'!EF$106=1,IE4,1)</f>
        <v/>
      </c>
      <c r="NT4">
        <f>IF('calcA'!EG$106=1,IF4,1)</f>
        <v/>
      </c>
      <c r="NU4">
        <f>IF('calcA'!EH$106=1,IG4,1)</f>
        <v/>
      </c>
      <c r="NV4">
        <f>IF('calcA'!EI$106=1,IH4,1)</f>
        <v/>
      </c>
      <c r="NW4">
        <f>IF('calcA'!EJ$106=1,II4,1)</f>
        <v/>
      </c>
      <c r="NX4">
        <f>IF('calcA'!EK$106=1,IJ4,1)</f>
        <v/>
      </c>
      <c r="NY4">
        <f>IF('calcA'!EL$106=1,IK4,1)</f>
        <v/>
      </c>
      <c r="NZ4">
        <f>IF('calcA'!EM$106=1,IL4,1)</f>
        <v/>
      </c>
      <c r="OA4">
        <f>IF('calcA'!EN$106=1,IM4,1)</f>
        <v/>
      </c>
      <c r="OB4">
        <f>IF('calcA'!EO$106=1,IN4,1)</f>
        <v/>
      </c>
      <c r="OC4">
        <f>IF('calcA'!EP$106=1,IO4,1)</f>
        <v/>
      </c>
      <c r="OD4" t="n">
        <v>1</v>
      </c>
      <c r="OF4">
        <f>IF($B4=0,1000000000,IF(INDEX('calcA'!$D$60:$EQ$99,$B4,1)*IF($W4=1,DB4+ZQ4,DB4)=1,IF(AND($E4=2,IF($W4=1,AFF4,IQ4)=0),1000000000,IF($V4=1,INDEX('calcA'!$D$130:$EQ$169,$B4,1)+IF(AND($E4=1,IQ4=0),25,0),IF($F4&gt;0,INDEX('calcA'!D$110:D$114,$F4+1)+IF(AND($E4=1,IQ4=0),1000,0),MIN(TU4,20)*400+(IF('calcA'!D$106=1,1-DC4,0))*150+11+'calcA'!D$5*100000+IF(AND($E4=1,IQ4=0),50000,0))+IF($H4=1,INDEX('calcA'!$D$180:$EQ$219,$B4,1)*4000,0)-IF(AND($U4=1,'calcA'!D$117=1,DC4=0),2000,0))),1000000000))</f>
        <v/>
      </c>
      <c r="OG4">
        <f>IF($B4=0,1000000000,IF(INDEX('calcA'!$D$60:$EQ$99,$B4,2)*IF($W4=1,DC4+ZR4,DC4)=1,IF(AND($E4=2,IF($W4=1,AFG4,IR4)=0),1000000000,IF($V4=1,INDEX('calcA'!$D$130:$EQ$169,$B4,2)+IF(AND($E4=1,IR4=0),25,0),IF($F4&gt;0,INDEX('calcA'!E$110:E$114,$F4+1)+IF(AND($E4=1,IR4=0),1000,0),MIN(TU4,20)*400+(IF('calcA'!D$106=1,1-DB4,0)+IF('calcA'!E$106=1,1-DD4,0))*150+21+'calcA'!E$5*100000+IF(AND($E4=1,IR4=0),50000,0))+IF($H4=1,INDEX('calcA'!$D$180:$EQ$219,$B4,2)*4000,0)-IF(AND('calcA'!D$117=1,UB4&gt;0),2000,0)-IF(AND($U4=1,'calcA'!E$117=1,DD4=0),2000,0))),1000000000))</f>
        <v/>
      </c>
      <c r="OH4">
        <f>IF($B4=0,1000000000,IF(INDEX('calcA'!$D$60:$EQ$99,$B4,3)*IF($W4=1,DD4+ZS4,DD4)=1,IF(AND($E4=2,IF($W4=1,AFH4,IS4)=0),1000000000,IF($V4=1,INDEX('calcA'!$D$130:$EQ$169,$B4,3)+IF(AND($E4=1,IS4=0),25,0),IF($F4&gt;0,INDEX('calcA'!F$110:F$114,$F4+1)+IF(AND($E4=1,IS4=0),1000,0),MIN(TU4,20)*400+(IF('calcA'!E$106=1,1-DC4,0)+IF('calcA'!F$106=1,1-DE4,0))*150+31+'calcA'!F$5*100000+IF(AND($E4=1,IS4=0),50000,0))+IF($H4=1,INDEX('calcA'!$D$180:$EQ$219,$B4,3)*4000,0)-IF(AND('calcA'!E$117=1,UC4&gt;0),2000,0)-IF(AND($U4=1,'calcA'!F$117=1,DE4=0),2000,0))),1000000000))</f>
        <v/>
      </c>
      <c r="OI4">
        <f>IF($B4=0,1000000000,IF(INDEX('calcA'!$D$60:$EQ$99,$B4,4)*IF($W4=1,DE4+ZT4,DE4)=1,IF(AND($E4=2,IF($W4=1,AFI4,IT4)=0),1000000000,IF($V4=1,INDEX('calcA'!$D$130:$EQ$169,$B4,4)+IF(AND($E4=1,IT4=0),25,0),IF($F4&gt;0,INDEX('calcA'!G$110:G$114,$F4+1)+IF(AND($E4=1,IT4=0),1000,0),MIN(TU4,20)*400+(IF('calcA'!F$106=1,1-DD4,0)+IF('calcA'!G$106=1,1-DF4,0))*150+41+'calcA'!G$5*100000+IF(AND($E4=1,IT4=0),50000,0))+IF($H4=1,INDEX('calcA'!$D$180:$EQ$219,$B4,4)*4000,0)-IF(AND('calcA'!F$117=1,UD4&gt;0),2000,0)-IF(AND($U4=1,'calcA'!G$117=1,DF4=0),2000,0))),1000000000))</f>
        <v/>
      </c>
      <c r="OJ4">
        <f>IF($B4=0,1000000000,IF(INDEX('calcA'!$D$60:$EQ$99,$B4,5)*IF($W4=1,DF4+ZU4,DF4)=1,IF(AND($E4=2,IF($W4=1,AFJ4,IU4)=0),1000000000,IF($V4=1,INDEX('calcA'!$D$130:$EQ$169,$B4,5)+IF(AND($E4=1,IU4=0),25,0),IF($F4&gt;0,INDEX('calcA'!H$110:H$114,$F4+1)+IF(AND($E4=1,IU4=0),1000,0),MIN(TU4,20)*400+(IF('calcA'!G$106=1,1-DE4,0)+IF('calcA'!H$106=1,1-DG4,0))*150+51+'calcA'!H$5*100000+IF(AND($E4=1,IU4=0),50000,0))+IF($H4=1,INDEX('calcA'!$D$180:$EQ$219,$B4,5)*4000,0)-IF(AND('calcA'!G$117=1,UE4&gt;0),2000,0)-IF(AND($U4=1,'calcA'!H$117=1,DG4=0),2000,0))),1000000000))</f>
        <v/>
      </c>
      <c r="OK4">
        <f>IF($B4=0,1000000000,IF(INDEX('calcA'!$D$60:$EQ$99,$B4,6)*IF($W4=1,DG4+ZV4,DG4)=1,IF(AND($E4=2,IF($W4=1,AFK4,IV4)=0),1000000000,IF($V4=1,INDEX('calcA'!$D$130:$EQ$169,$B4,6)+IF(AND($E4=1,IV4=0),25,0),IF($F4&gt;0,INDEX('calcA'!I$110:I$114,$F4+1)+IF(AND($E4=1,IV4=0),1000,0),MIN(TU4,20)*400+(IF('calcA'!H$106=1,1-DF4,0)+IF('calcA'!I$106=1,1-DH4,0))*150+61+'calcA'!I$5*100000+IF(AND($E4=1,IV4=0),50000,0))+IF($H4=1,INDEX('calcA'!$D$180:$EQ$219,$B4,6)*4000,0)-IF(AND('calcA'!H$117=1,UF4&gt;0),2000,0)-IF(AND($U4=1,'calcA'!I$117=1,DH4=0),2000,0))),1000000000))</f>
        <v/>
      </c>
      <c r="OL4">
        <f>IF($B4=0,1000000000,IF(INDEX('calcA'!$D$60:$EQ$99,$B4,7)*IF($W4=1,DH4+ZW4,DH4)=1,IF(AND($E4=2,IF($W4=1,AFL4,IW4)=0),1000000000,IF($V4=1,INDEX('calcA'!$D$130:$EQ$169,$B4,7)+IF(AND($E4=1,IW4=0),25,0),IF($F4&gt;0,INDEX('calcA'!J$110:J$114,$F4+1)+IF(AND($E4=1,IW4=0),1000,0),MIN(TU4,20)*400+(IF('calcA'!I$106=1,1-DG4,0)+IF('calcA'!J$106=1,1-DI4,0))*150+71+'calcA'!J$5*100000+IF(AND($E4=1,IW4=0),50000,0))+IF($H4=1,INDEX('calcA'!$D$180:$EQ$219,$B4,7)*4000,0)-IF(AND('calcA'!I$117=1,UG4&gt;0),2000,0)-IF(AND($U4=1,'calcA'!J$117=1,DI4=0),2000,0))),1000000000))</f>
        <v/>
      </c>
      <c r="OM4">
        <f>IF($B4=0,1000000000,IF(INDEX('calcA'!$D$60:$EQ$99,$B4,8)*IF($W4=1,DI4+ZX4,DI4)=1,IF(AND($E4=2,IF($W4=1,AFM4,IX4)=0),1000000000,IF($V4=1,INDEX('calcA'!$D$130:$EQ$169,$B4,8)+IF(AND($E4=1,IX4=0),25,0),IF($F4&gt;0,INDEX('calcA'!K$110:K$114,$F4+1)+IF(AND($E4=1,IX4=0),1000,0),MIN(TU4,20)*400+(IF('calcA'!J$106=1,1-DH4,0)+IF('calcA'!K$106=1,1-DJ4,0))*150+81+'calcA'!K$5*100000+IF(AND($E4=1,IX4=0),50000,0))+IF($H4=1,INDEX('calcA'!$D$180:$EQ$219,$B4,8)*4000,0)-IF(AND('calcA'!J$117=1,UH4&gt;0),2000,0)-IF(AND($U4=1,'calcA'!K$117=1,DJ4=0),2000,0))),1000000000))</f>
        <v/>
      </c>
      <c r="ON4">
        <f>IF($B4=0,1000000000,IF(INDEX('calcA'!$D$60:$EQ$99,$B4,9)*IF($W4=1,DJ4+ZY4,DJ4)=1,IF(AND($E4=2,IF($W4=1,AFN4,IY4)=0),1000000000,IF($V4=1,INDEX('calcA'!$D$130:$EQ$169,$B4,9)+IF(AND($E4=1,IY4=0),25,0),IF($F4&gt;0,INDEX('calcA'!L$110:L$114,$F4+1)+IF(AND($E4=1,IY4=0),1000,0),MIN(TU4,20)*400+(IF('calcA'!K$106=1,1-DI4,0)+IF('calcA'!L$106=1,1-DK4,0))*150+91+'calcA'!L$5*100000+IF(AND($E4=1,IY4=0),50000,0))+IF($H4=1,INDEX('calcA'!$D$180:$EQ$219,$B4,9)*4000,0)-IF(AND('calcA'!K$117=1,UI4&gt;0),2000,0)-IF(AND($U4=1,'calcA'!L$117=1,DK4=0),2000,0))),1000000000))</f>
        <v/>
      </c>
      <c r="OO4">
        <f>IF($B4=0,1000000000,IF(INDEX('calcA'!$D$60:$EQ$99,$B4,10)*IF($W4=1,DK4+ZZ4,DK4)=1,IF(AND($E4=2,IF($W4=1,AFO4,IZ4)=0),1000000000,IF($V4=1,INDEX('calcA'!$D$130:$EQ$169,$B4,10)+IF(AND($E4=1,IZ4=0),25,0),IF($F4&gt;0,INDEX('calcA'!M$110:M$114,$F4+1)+IF(AND($E4=1,IZ4=0),1000,0),MIN(TU4,20)*400+(IF('calcA'!L$106=1,1-DJ4,0)+IF('calcA'!M$106=1,1-DL4,0))*150+101+'calcA'!M$5*100000+IF(AND($E4=1,IZ4=0),50000,0))+IF($H4=1,INDEX('calcA'!$D$180:$EQ$219,$B4,10)*4000,0)-IF(AND('calcA'!L$117=1,UJ4&gt;0),2000,0)-IF(AND($U4=1,'calcA'!M$117=1,DL4=0),2000,0))),1000000000))</f>
        <v/>
      </c>
      <c r="OP4">
        <f>IF($B4=0,1000000000,IF(INDEX('calcA'!$D$60:$EQ$99,$B4,11)*IF($W4=1,DL4+AAA4,DL4)=1,IF(AND($E4=2,IF($W4=1,AFP4,JA4)=0),1000000000,IF($V4=1,INDEX('calcA'!$D$130:$EQ$169,$B4,11)+IF(AND($E4=1,JA4=0),25,0),IF($F4&gt;0,INDEX('calcA'!N$110:N$114,$F4+1)+IF(AND($E4=1,JA4=0),1000,0),MIN(TU4,20)*400+(IF('calcA'!M$106=1,1-DK4,0)+IF('calcA'!N$106=1,1-DM4,0))*150+111+'calcA'!N$5*100000+IF(AND($E4=1,JA4=0),50000,0))+IF($H4=1,INDEX('calcA'!$D$180:$EQ$219,$B4,11)*4000,0)-IF(AND('calcA'!M$117=1,UK4&gt;0),2000,0)-IF(AND($U4=1,'calcA'!N$117=1,DM4=0),2000,0))),1000000000))</f>
        <v/>
      </c>
      <c r="OQ4">
        <f>IF($B4=0,1000000000,IF(INDEX('calcA'!$D$60:$EQ$99,$B4,12)*IF($W4=1,DM4+AAB4,DM4)=1,IF(AND($E4=2,IF($W4=1,AFQ4,JB4)=0),1000000000,IF($V4=1,INDEX('calcA'!$D$130:$EQ$169,$B4,12)+IF(AND($E4=1,JB4=0),25,0),IF($F4&gt;0,INDEX('calcA'!O$110:O$114,$F4+1)+IF(AND($E4=1,JB4=0),1000,0),MIN(TU4,20)*400+(IF('calcA'!N$106=1,1-DL4,0)+IF('calcA'!O$106=1,1-DN4,0))*150+121+'calcA'!O$5*100000+IF(AND($E4=1,JB4=0),50000,0))+IF($H4=1,INDEX('calcA'!$D$180:$EQ$219,$B4,12)*4000,0)-IF(AND('calcA'!N$117=1,UL4&gt;0),2000,0)-IF(AND($U4=1,'calcA'!O$117=1,DN4=0),2000,0))),1000000000))</f>
        <v/>
      </c>
      <c r="OR4">
        <f>IF($B4=0,1000000000,IF(INDEX('calcA'!$D$60:$EQ$99,$B4,13)*IF($W4=1,DN4+AAC4,DN4)=1,IF(AND($E4=2,IF($W4=1,AFR4,JC4)=0),1000000000,IF($V4=1,INDEX('calcA'!$D$130:$EQ$169,$B4,13)+IF(AND($E4=1,JC4=0),25,0),IF($F4&gt;0,INDEX('calcA'!P$110:P$114,$F4+1)+IF(AND($E4=1,JC4=0),1000,0),MIN(TU4,20)*400+(IF('calcA'!O$106=1,1-DM4,0)+IF('calcA'!P$106=1,1-DO4,0))*150+131+'calcA'!P$5*100000+IF(AND($E4=1,JC4=0),50000,0))+IF($H4=1,INDEX('calcA'!$D$180:$EQ$219,$B4,13)*4000,0)-IF(AND('calcA'!O$117=1,UM4&gt;0),2000,0)-IF(AND($U4=1,'calcA'!P$117=1,DO4=0),2000,0))),1000000000))</f>
        <v/>
      </c>
      <c r="OS4">
        <f>IF($B4=0,1000000000,IF(INDEX('calcA'!$D$60:$EQ$99,$B4,14)*IF($W4=1,DO4+AAD4,DO4)=1,IF(AND($E4=2,IF($W4=1,AFS4,JD4)=0),1000000000,IF($V4=1,INDEX('calcA'!$D$130:$EQ$169,$B4,14)+IF(AND($E4=1,JD4=0),25,0),IF($F4&gt;0,INDEX('calcA'!Q$110:Q$114,$F4+1)+IF(AND($E4=1,JD4=0),1000,0),MIN(TU4,20)*400+(IF('calcA'!P$106=1,1-DN4,0)+IF('calcA'!Q$106=1,1-DP4,0))*150+141+'calcA'!Q$5*100000+IF(AND($E4=1,JD4=0),50000,0))+IF($H4=1,INDEX('calcA'!$D$180:$EQ$219,$B4,14)*4000,0)-IF(AND('calcA'!P$117=1,UN4&gt;0),2000,0)-IF(AND($U4=1,'calcA'!Q$117=1,DP4=0),2000,0))),1000000000))</f>
        <v/>
      </c>
      <c r="OT4">
        <f>IF($B4=0,1000000000,IF(INDEX('calcA'!$D$60:$EQ$99,$B4,15)*IF($W4=1,DP4+AAE4,DP4)=1,IF(AND($E4=2,IF($W4=1,AFT4,JE4)=0),1000000000,IF($V4=1,INDEX('calcA'!$D$130:$EQ$169,$B4,15)+IF(AND($E4=1,JE4=0),25,0),IF($F4&gt;0,INDEX('calcA'!R$110:R$114,$F4+1)+IF(AND($E4=1,JE4=0),1000,0),MIN(TU4,20)*400+(IF('calcA'!Q$106=1,1-DO4,0)+IF('calcA'!R$106=1,1-DQ4,0))*150+151+'calcA'!R$5*100000+IF(AND($E4=1,JE4=0),50000,0))+IF($H4=1,INDEX('calcA'!$D$180:$EQ$219,$B4,15)*4000,0)-IF(AND('calcA'!Q$117=1,UO4&gt;0),2000,0)-IF(AND($U4=1,'calcA'!R$117=1,DQ4=0),2000,0))),1000000000))</f>
        <v/>
      </c>
      <c r="OU4">
        <f>IF($B4=0,1000000000,IF(INDEX('calcA'!$D$60:$EQ$99,$B4,16)*IF($W4=1,DQ4+AAF4,DQ4)=1,IF(AND($E4=2,IF($W4=1,AFU4,JF4)=0),1000000000,IF($V4=1,INDEX('calcA'!$D$130:$EQ$169,$B4,16)+IF(AND($E4=1,JF4=0),25,0),IF($F4&gt;0,INDEX('calcA'!S$110:S$114,$F4+1)+IF(AND($E4=1,JF4=0),1000,0),MIN(TU4,20)*400+(IF('calcA'!R$106=1,1-DP4,0)+IF('calcA'!S$106=1,1-DR4,0))*150+161+'calcA'!S$5*100000+IF(AND($E4=1,JF4=0),50000,0))+IF($H4=1,INDEX('calcA'!$D$180:$EQ$219,$B4,16)*4000,0)-IF(AND('calcA'!R$117=1,UP4&gt;0),2000,0)-IF(AND($U4=1,'calcA'!S$117=1,DR4=0),2000,0))),1000000000))</f>
        <v/>
      </c>
      <c r="OV4">
        <f>IF($B4=0,1000000000,IF(INDEX('calcA'!$D$60:$EQ$99,$B4,17)*IF($W4=1,DR4+AAG4,DR4)=1,IF(AND($E4=2,IF($W4=1,AFV4,JG4)=0),1000000000,IF($V4=1,INDEX('calcA'!$D$130:$EQ$169,$B4,17)+IF(AND($E4=1,JG4=0),25,0),IF($F4&gt;0,INDEX('calcA'!T$110:T$114,$F4+1)+IF(AND($E4=1,JG4=0),1000,0),MIN(TU4,20)*400+(IF('calcA'!S$106=1,1-DQ4,0)+IF('calcA'!T$106=1,1-DS4,0))*150+171+'calcA'!T$5*100000+IF(AND($E4=1,JG4=0),50000,0))+IF($H4=1,INDEX('calcA'!$D$180:$EQ$219,$B4,17)*4000,0)-IF(AND('calcA'!S$117=1,UQ4&gt;0),2000,0)-IF(AND($U4=1,'calcA'!T$117=1,DS4=0),2000,0))),1000000000))</f>
        <v/>
      </c>
      <c r="OW4">
        <f>IF($B4=0,1000000000,IF(INDEX('calcA'!$D$60:$EQ$99,$B4,18)*IF($W4=1,DS4+AAH4,DS4)=1,IF(AND($E4=2,IF($W4=1,AFW4,JH4)=0),1000000000,IF($V4=1,INDEX('calcA'!$D$130:$EQ$169,$B4,18)+IF(AND($E4=1,JH4=0),25,0),IF($F4&gt;0,INDEX('calcA'!U$110:U$114,$F4+1)+IF(AND($E4=1,JH4=0),1000,0),MIN(TU4,20)*400+(IF('calcA'!T$106=1,1-DR4,0)+IF('calcA'!U$106=1,1-DT4,0))*150+181+'calcA'!U$5*100000+IF(AND($E4=1,JH4=0),50000,0))+IF($H4=1,INDEX('calcA'!$D$180:$EQ$219,$B4,18)*4000,0)-IF(AND('calcA'!T$117=1,UR4&gt;0),2000,0)-IF(AND($U4=1,'calcA'!U$117=1,DT4=0),2000,0))),1000000000))</f>
        <v/>
      </c>
      <c r="OX4">
        <f>IF($B4=0,1000000000,IF(INDEX('calcA'!$D$60:$EQ$99,$B4,19)*IF($W4=1,DT4+AAI4,DT4)=1,IF(AND($E4=2,IF($W4=1,AFX4,JI4)=0),1000000000,IF($V4=1,INDEX('calcA'!$D$130:$EQ$169,$B4,19)+IF(AND($E4=1,JI4=0),25,0),IF($F4&gt;0,INDEX('calcA'!V$110:V$114,$F4+1)+IF(AND($E4=1,JI4=0),1000,0),MIN(TU4,20)*400+(IF('calcA'!U$106=1,1-DS4,0)+IF('calcA'!V$106=1,1-DU4,0))*150+191+'calcA'!V$5*100000+IF(AND($E4=1,JI4=0),50000,0))+IF($H4=1,INDEX('calcA'!$D$180:$EQ$219,$B4,19)*4000,0)-IF(AND('calcA'!U$117=1,US4&gt;0),2000,0)-IF(AND($U4=1,'calcA'!V$117=1,DU4=0),2000,0))),1000000000))</f>
        <v/>
      </c>
      <c r="OY4">
        <f>IF($B4=0,1000000000,IF(INDEX('calcA'!$D$60:$EQ$99,$B4,20)*IF($W4=1,DU4+AAJ4,DU4)=1,IF(AND($E4=2,IF($W4=1,AFY4,JJ4)=0),1000000000,IF($V4=1,INDEX('calcA'!$D$130:$EQ$169,$B4,20)+IF(AND($E4=1,JJ4=0),25,0),IF($F4&gt;0,INDEX('calcA'!W$110:W$114,$F4+1)+IF(AND($E4=1,JJ4=0),1000,0),MIN(TU4,20)*400+(IF('calcA'!V$106=1,1-DT4,0)+IF('calcA'!W$106=1,1-DV4,0))*150+201+'calcA'!W$5*100000+IF(AND($E4=1,JJ4=0),50000,0))+IF($H4=1,INDEX('calcA'!$D$180:$EQ$219,$B4,20)*4000,0)-IF(AND('calcA'!V$117=1,UT4&gt;0),2000,0)-IF(AND($U4=1,'calcA'!W$117=1,DV4=0),2000,0))),1000000000))</f>
        <v/>
      </c>
      <c r="OZ4">
        <f>IF($B4=0,1000000000,IF(INDEX('calcA'!$D$60:$EQ$99,$B4,21)*IF($W4=1,DV4+AAK4,DV4)=1,IF(AND($E4=2,IF($W4=1,AFZ4,JK4)=0),1000000000,IF($V4=1,INDEX('calcA'!$D$130:$EQ$169,$B4,21)+IF(AND($E4=1,JK4=0),25,0),IF($F4&gt;0,INDEX('calcA'!X$110:X$114,$F4+1)+IF(AND($E4=1,JK4=0),1000,0),MIN(TU4,20)*400+(IF('calcA'!W$106=1,1-DU4,0)+IF('calcA'!X$106=1,1-DW4,0))*150+211+'calcA'!X$5*100000+IF(AND($E4=1,JK4=0),50000,0))+IF($H4=1,INDEX('calcA'!$D$180:$EQ$219,$B4,21)*4000,0)-IF(AND('calcA'!W$117=1,UU4&gt;0),2000,0)-IF(AND($U4=1,'calcA'!X$117=1,DW4=0),2000,0))),1000000000))</f>
        <v/>
      </c>
      <c r="PA4">
        <f>IF($B4=0,1000000000,IF(INDEX('calcA'!$D$60:$EQ$99,$B4,22)*IF($W4=1,DW4+AAL4,DW4)=1,IF(AND($E4=2,IF($W4=1,AGA4,JL4)=0),1000000000,IF($V4=1,INDEX('calcA'!$D$130:$EQ$169,$B4,22)+IF(AND($E4=1,JL4=0),25,0),IF($F4&gt;0,INDEX('calcA'!Y$110:Y$114,$F4+1)+IF(AND($E4=1,JL4=0),1000,0),MIN(TU4,20)*400+(IF('calcA'!X$106=1,1-DV4,0)+IF('calcA'!Y$106=1,1-DX4,0))*150+221+'calcA'!Y$5*100000+IF(AND($E4=1,JL4=0),50000,0))+IF($H4=1,INDEX('calcA'!$D$180:$EQ$219,$B4,22)*4000,0)-IF(AND('calcA'!X$117=1,UV4&gt;0),2000,0)-IF(AND($U4=1,'calcA'!Y$117=1,DX4=0),2000,0))),1000000000))</f>
        <v/>
      </c>
      <c r="PB4">
        <f>IF($B4=0,1000000000,IF(INDEX('calcA'!$D$60:$EQ$99,$B4,23)*IF($W4=1,DX4+AAM4,DX4)=1,IF(AND($E4=2,IF($W4=1,AGB4,JM4)=0),1000000000,IF($V4=1,INDEX('calcA'!$D$130:$EQ$169,$B4,23)+IF(AND($E4=1,JM4=0),25,0),IF($F4&gt;0,INDEX('calcA'!Z$110:Z$114,$F4+1)+IF(AND($E4=1,JM4=0),1000,0),MIN(TU4,20)*400+(IF('calcA'!Y$106=1,1-DW4,0)+IF('calcA'!Z$106=1,1-DY4,0))*150+231+'calcA'!Z$5*100000+IF(AND($E4=1,JM4=0),50000,0))+IF($H4=1,INDEX('calcA'!$D$180:$EQ$219,$B4,23)*4000,0)-IF(AND('calcA'!Y$117=1,UW4&gt;0),2000,0)-IF(AND($U4=1,'calcA'!Z$117=1,DY4=0),2000,0))),1000000000))</f>
        <v/>
      </c>
      <c r="PC4">
        <f>IF($B4=0,1000000000,IF(INDEX('calcA'!$D$60:$EQ$99,$B4,24)*IF($W4=1,DY4+AAN4,DY4)=1,IF(AND($E4=2,IF($W4=1,AGC4,JN4)=0),1000000000,IF($V4=1,INDEX('calcA'!$D$130:$EQ$169,$B4,24)+IF(AND($E4=1,JN4=0),25,0),IF($F4&gt;0,INDEX('calcA'!AA$110:AA$114,$F4+1)+IF(AND($E4=1,JN4=0),1000,0),MIN(TU4,20)*400+(IF('calcA'!Z$106=1,1-DX4,0))*150+241+'calcA'!AA$5*100000+IF(AND($E4=1,JN4=0),50000,0))+IF($H4=1,INDEX('calcA'!$D$180:$EQ$219,$B4,24)*4000,0)-IF(AND('calcA'!Z$117=1,UX4&gt;0),2000,0))),1000000000))</f>
        <v/>
      </c>
      <c r="PD4">
        <f>IF($B4=0,1000000000,IF(INDEX('calcA'!$D$60:$EQ$99,$B4,25)*IF($W4=1,DZ4+AAO4,DZ4)=1,IF(AND($E4=2,IF($W4=1,AGD4,JO4)=0),1000000000,IF($V4=1,INDEX('calcA'!$D$130:$EQ$169,$B4,25)+IF(AND($E4=1,JO4=0),25,0),IF($F4&gt;0,INDEX('calcA'!AB$110:AB$114,$F4+1)+IF(AND($E4=1,JO4=0),1000,0),MIN(TV4,20)*400+(IF('calcA'!AB$106=1,1-EA4,0))*150+12+'calcA'!AB$5*100000+IF(AND($E4=1,JO4=0),50000,0))+IF($H4=1,INDEX('calcA'!$D$180:$EQ$219,$B4,25)*4000,0)-IF(AND($U4=1,'calcA'!AB$117=1,EA4=0),2000,0))),1000000000))</f>
        <v/>
      </c>
      <c r="PE4">
        <f>IF($B4=0,1000000000,IF(INDEX('calcA'!$D$60:$EQ$99,$B4,26)*IF($W4=1,EA4+AAP4,EA4)=1,IF(AND($E4=2,IF($W4=1,AGE4,JP4)=0),1000000000,IF($V4=1,INDEX('calcA'!$D$130:$EQ$169,$B4,26)+IF(AND($E4=1,JP4=0),25,0),IF($F4&gt;0,INDEX('calcA'!AC$110:AC$114,$F4+1)+IF(AND($E4=1,JP4=0),1000,0),MIN(TV4,20)*400+(IF('calcA'!AB$106=1,1-DZ4,0)+IF('calcA'!AC$106=1,1-EB4,0))*150+22+'calcA'!AC$5*100000+IF(AND($E4=1,JP4=0),50000,0))+IF($H4=1,INDEX('calcA'!$D$180:$EQ$219,$B4,26)*4000,0)-IF(AND('calcA'!AB$117=1,UZ4&gt;0),2000,0)-IF(AND($U4=1,'calcA'!AC$117=1,EB4=0),2000,0))),1000000000))</f>
        <v/>
      </c>
      <c r="PF4">
        <f>IF($B4=0,1000000000,IF(INDEX('calcA'!$D$60:$EQ$99,$B4,27)*IF($W4=1,EB4+AAQ4,EB4)=1,IF(AND($E4=2,IF($W4=1,AGF4,JQ4)=0),1000000000,IF($V4=1,INDEX('calcA'!$D$130:$EQ$169,$B4,27)+IF(AND($E4=1,JQ4=0),25,0),IF($F4&gt;0,INDEX('calcA'!AD$110:AD$114,$F4+1)+IF(AND($E4=1,JQ4=0),1000,0),MIN(TV4,20)*400+(IF('calcA'!AC$106=1,1-EA4,0)+IF('calcA'!AD$106=1,1-EC4,0))*150+32+'calcA'!AD$5*100000+IF(AND($E4=1,JQ4=0),50000,0))+IF($H4=1,INDEX('calcA'!$D$180:$EQ$219,$B4,27)*4000,0)-IF(AND('calcA'!AC$117=1,VA4&gt;0),2000,0)-IF(AND($U4=1,'calcA'!AD$117=1,EC4=0),2000,0))),1000000000))</f>
        <v/>
      </c>
      <c r="PG4">
        <f>IF($B4=0,1000000000,IF(INDEX('calcA'!$D$60:$EQ$99,$B4,28)*IF($W4=1,EC4+AAR4,EC4)=1,IF(AND($E4=2,IF($W4=1,AGG4,JR4)=0),1000000000,IF($V4=1,INDEX('calcA'!$D$130:$EQ$169,$B4,28)+IF(AND($E4=1,JR4=0),25,0),IF($F4&gt;0,INDEX('calcA'!AE$110:AE$114,$F4+1)+IF(AND($E4=1,JR4=0),1000,0),MIN(TV4,20)*400+(IF('calcA'!AD$106=1,1-EB4,0)+IF('calcA'!AE$106=1,1-ED4,0))*150+42+'calcA'!AE$5*100000+IF(AND($E4=1,JR4=0),50000,0))+IF($H4=1,INDEX('calcA'!$D$180:$EQ$219,$B4,28)*4000,0)-IF(AND('calcA'!AD$117=1,VB4&gt;0),2000,0)-IF(AND($U4=1,'calcA'!AE$117=1,ED4=0),2000,0))),1000000000))</f>
        <v/>
      </c>
      <c r="PH4">
        <f>IF($B4=0,1000000000,IF(INDEX('calcA'!$D$60:$EQ$99,$B4,29)*IF($W4=1,ED4+AAS4,ED4)=1,IF(AND($E4=2,IF($W4=1,AGH4,JS4)=0),1000000000,IF($V4=1,INDEX('calcA'!$D$130:$EQ$169,$B4,29)+IF(AND($E4=1,JS4=0),25,0),IF($F4&gt;0,INDEX('calcA'!AF$110:AF$114,$F4+1)+IF(AND($E4=1,JS4=0),1000,0),MIN(TV4,20)*400+(IF('calcA'!AE$106=1,1-EC4,0)+IF('calcA'!AF$106=1,1-EE4,0))*150+52+'calcA'!AF$5*100000+IF(AND($E4=1,JS4=0),50000,0))+IF($H4=1,INDEX('calcA'!$D$180:$EQ$219,$B4,29)*4000,0)-IF(AND('calcA'!AE$117=1,VC4&gt;0),2000,0)-IF(AND($U4=1,'calcA'!AF$117=1,EE4=0),2000,0))),1000000000))</f>
        <v/>
      </c>
      <c r="PI4">
        <f>IF($B4=0,1000000000,IF(INDEX('calcA'!$D$60:$EQ$99,$B4,30)*IF($W4=1,EE4+AAT4,EE4)=1,IF(AND($E4=2,IF($W4=1,AGI4,JT4)=0),1000000000,IF($V4=1,INDEX('calcA'!$D$130:$EQ$169,$B4,30)+IF(AND($E4=1,JT4=0),25,0),IF($F4&gt;0,INDEX('calcA'!AG$110:AG$114,$F4+1)+IF(AND($E4=1,JT4=0),1000,0),MIN(TV4,20)*400+(IF('calcA'!AF$106=1,1-ED4,0)+IF('calcA'!AG$106=1,1-EF4,0))*150+62+'calcA'!AG$5*100000+IF(AND($E4=1,JT4=0),50000,0))+IF($H4=1,INDEX('calcA'!$D$180:$EQ$219,$B4,30)*4000,0)-IF(AND('calcA'!AF$117=1,VD4&gt;0),2000,0)-IF(AND($U4=1,'calcA'!AG$117=1,EF4=0),2000,0))),1000000000))</f>
        <v/>
      </c>
      <c r="PJ4">
        <f>IF($B4=0,1000000000,IF(INDEX('calcA'!$D$60:$EQ$99,$B4,31)*IF($W4=1,EF4+AAU4,EF4)=1,IF(AND($E4=2,IF($W4=1,AGJ4,JU4)=0),1000000000,IF($V4=1,INDEX('calcA'!$D$130:$EQ$169,$B4,31)+IF(AND($E4=1,JU4=0),25,0),IF($F4&gt;0,INDEX('calcA'!AH$110:AH$114,$F4+1)+IF(AND($E4=1,JU4=0),1000,0),MIN(TV4,20)*400+(IF('calcA'!AG$106=1,1-EE4,0)+IF('calcA'!AH$106=1,1-EG4,0))*150+72+'calcA'!AH$5*100000+IF(AND($E4=1,JU4=0),50000,0))+IF($H4=1,INDEX('calcA'!$D$180:$EQ$219,$B4,31)*4000,0)-IF(AND('calcA'!AG$117=1,VE4&gt;0),2000,0)-IF(AND($U4=1,'calcA'!AH$117=1,EG4=0),2000,0))),1000000000))</f>
        <v/>
      </c>
      <c r="PK4">
        <f>IF($B4=0,1000000000,IF(INDEX('calcA'!$D$60:$EQ$99,$B4,32)*IF($W4=1,EG4+AAV4,EG4)=1,IF(AND($E4=2,IF($W4=1,AGK4,JV4)=0),1000000000,IF($V4=1,INDEX('calcA'!$D$130:$EQ$169,$B4,32)+IF(AND($E4=1,JV4=0),25,0),IF($F4&gt;0,INDEX('calcA'!AI$110:AI$114,$F4+1)+IF(AND($E4=1,JV4=0),1000,0),MIN(TV4,20)*400+(IF('calcA'!AH$106=1,1-EF4,0)+IF('calcA'!AI$106=1,1-EH4,0))*150+82+'calcA'!AI$5*100000+IF(AND($E4=1,JV4=0),50000,0))+IF($H4=1,INDEX('calcA'!$D$180:$EQ$219,$B4,32)*4000,0)-IF(AND('calcA'!AH$117=1,VF4&gt;0),2000,0)-IF(AND($U4=1,'calcA'!AI$117=1,EH4=0),2000,0))),1000000000))</f>
        <v/>
      </c>
      <c r="PL4">
        <f>IF($B4=0,1000000000,IF(INDEX('calcA'!$D$60:$EQ$99,$B4,33)*IF($W4=1,EH4+AAW4,EH4)=1,IF(AND($E4=2,IF($W4=1,AGL4,JW4)=0),1000000000,IF($V4=1,INDEX('calcA'!$D$130:$EQ$169,$B4,33)+IF(AND($E4=1,JW4=0),25,0),IF($F4&gt;0,INDEX('calcA'!AJ$110:AJ$114,$F4+1)+IF(AND($E4=1,JW4=0),1000,0),MIN(TV4,20)*400+(IF('calcA'!AI$106=1,1-EG4,0)+IF('calcA'!AJ$106=1,1-EI4,0))*150+92+'calcA'!AJ$5*100000+IF(AND($E4=1,JW4=0),50000,0))+IF($H4=1,INDEX('calcA'!$D$180:$EQ$219,$B4,33)*4000,0)-IF(AND('calcA'!AI$117=1,VG4&gt;0),2000,0)-IF(AND($U4=1,'calcA'!AJ$117=1,EI4=0),2000,0))),1000000000))</f>
        <v/>
      </c>
      <c r="PM4">
        <f>IF($B4=0,1000000000,IF(INDEX('calcA'!$D$60:$EQ$99,$B4,34)*IF($W4=1,EI4+AAX4,EI4)=1,IF(AND($E4=2,IF($W4=1,AGM4,JX4)=0),1000000000,IF($V4=1,INDEX('calcA'!$D$130:$EQ$169,$B4,34)+IF(AND($E4=1,JX4=0),25,0),IF($F4&gt;0,INDEX('calcA'!AK$110:AK$114,$F4+1)+IF(AND($E4=1,JX4=0),1000,0),MIN(TV4,20)*400+(IF('calcA'!AJ$106=1,1-EH4,0)+IF('calcA'!AK$106=1,1-EJ4,0))*150+102+'calcA'!AK$5*100000+IF(AND($E4=1,JX4=0),50000,0))+IF($H4=1,INDEX('calcA'!$D$180:$EQ$219,$B4,34)*4000,0)-IF(AND('calcA'!AJ$117=1,VH4&gt;0),2000,0)-IF(AND($U4=1,'calcA'!AK$117=1,EJ4=0),2000,0))),1000000000))</f>
        <v/>
      </c>
      <c r="PN4">
        <f>IF($B4=0,1000000000,IF(INDEX('calcA'!$D$60:$EQ$99,$B4,35)*IF($W4=1,EJ4+AAY4,EJ4)=1,IF(AND($E4=2,IF($W4=1,AGN4,JY4)=0),1000000000,IF($V4=1,INDEX('calcA'!$D$130:$EQ$169,$B4,35)+IF(AND($E4=1,JY4=0),25,0),IF($F4&gt;0,INDEX('calcA'!AL$110:AL$114,$F4+1)+IF(AND($E4=1,JY4=0),1000,0),MIN(TV4,20)*400+(IF('calcA'!AK$106=1,1-EI4,0)+IF('calcA'!AL$106=1,1-EK4,0))*150+112+'calcA'!AL$5*100000+IF(AND($E4=1,JY4=0),50000,0))+IF($H4=1,INDEX('calcA'!$D$180:$EQ$219,$B4,35)*4000,0)-IF(AND('calcA'!AK$117=1,VI4&gt;0),2000,0)-IF(AND($U4=1,'calcA'!AL$117=1,EK4=0),2000,0))),1000000000))</f>
        <v/>
      </c>
      <c r="PO4">
        <f>IF($B4=0,1000000000,IF(INDEX('calcA'!$D$60:$EQ$99,$B4,36)*IF($W4=1,EK4+AAZ4,EK4)=1,IF(AND($E4=2,IF($W4=1,AGO4,JZ4)=0),1000000000,IF($V4=1,INDEX('calcA'!$D$130:$EQ$169,$B4,36)+IF(AND($E4=1,JZ4=0),25,0),IF($F4&gt;0,INDEX('calcA'!AM$110:AM$114,$F4+1)+IF(AND($E4=1,JZ4=0),1000,0),MIN(TV4,20)*400+(IF('calcA'!AL$106=1,1-EJ4,0)+IF('calcA'!AM$106=1,1-EL4,0))*150+122+'calcA'!AM$5*100000+IF(AND($E4=1,JZ4=0),50000,0))+IF($H4=1,INDEX('calcA'!$D$180:$EQ$219,$B4,36)*4000,0)-IF(AND('calcA'!AL$117=1,VJ4&gt;0),2000,0)-IF(AND($U4=1,'calcA'!AM$117=1,EL4=0),2000,0))),1000000000))</f>
        <v/>
      </c>
      <c r="PP4">
        <f>IF($B4=0,1000000000,IF(INDEX('calcA'!$D$60:$EQ$99,$B4,37)*IF($W4=1,EL4+ABA4,EL4)=1,IF(AND($E4=2,IF($W4=1,AGP4,KA4)=0),1000000000,IF($V4=1,INDEX('calcA'!$D$130:$EQ$169,$B4,37)+IF(AND($E4=1,KA4=0),25,0),IF($F4&gt;0,INDEX('calcA'!AN$110:AN$114,$F4+1)+IF(AND($E4=1,KA4=0),1000,0),MIN(TV4,20)*400+(IF('calcA'!AM$106=1,1-EK4,0)+IF('calcA'!AN$106=1,1-EM4,0))*150+132+'calcA'!AN$5*100000+IF(AND($E4=1,KA4=0),50000,0))+IF($H4=1,INDEX('calcA'!$D$180:$EQ$219,$B4,37)*4000,0)-IF(AND('calcA'!AM$117=1,VK4&gt;0),2000,0)-IF(AND($U4=1,'calcA'!AN$117=1,EM4=0),2000,0))),1000000000))</f>
        <v/>
      </c>
      <c r="PQ4">
        <f>IF($B4=0,1000000000,IF(INDEX('calcA'!$D$60:$EQ$99,$B4,38)*IF($W4=1,EM4+ABB4,EM4)=1,IF(AND($E4=2,IF($W4=1,AGQ4,KB4)=0),1000000000,IF($V4=1,INDEX('calcA'!$D$130:$EQ$169,$B4,38)+IF(AND($E4=1,KB4=0),25,0),IF($F4&gt;0,INDEX('calcA'!AO$110:AO$114,$F4+1)+IF(AND($E4=1,KB4=0),1000,0),MIN(TV4,20)*400+(IF('calcA'!AN$106=1,1-EL4,0)+IF('calcA'!AO$106=1,1-EN4,0))*150+142+'calcA'!AO$5*100000+IF(AND($E4=1,KB4=0),50000,0))+IF($H4=1,INDEX('calcA'!$D$180:$EQ$219,$B4,38)*4000,0)-IF(AND('calcA'!AN$117=1,VL4&gt;0),2000,0)-IF(AND($U4=1,'calcA'!AO$117=1,EN4=0),2000,0))),1000000000))</f>
        <v/>
      </c>
      <c r="PR4">
        <f>IF($B4=0,1000000000,IF(INDEX('calcA'!$D$60:$EQ$99,$B4,39)*IF($W4=1,EN4+ABC4,EN4)=1,IF(AND($E4=2,IF($W4=1,AGR4,KC4)=0),1000000000,IF($V4=1,INDEX('calcA'!$D$130:$EQ$169,$B4,39)+IF(AND($E4=1,KC4=0),25,0),IF($F4&gt;0,INDEX('calcA'!AP$110:AP$114,$F4+1)+IF(AND($E4=1,KC4=0),1000,0),MIN(TV4,20)*400+(IF('calcA'!AO$106=1,1-EM4,0)+IF('calcA'!AP$106=1,1-EO4,0))*150+152+'calcA'!AP$5*100000+IF(AND($E4=1,KC4=0),50000,0))+IF($H4=1,INDEX('calcA'!$D$180:$EQ$219,$B4,39)*4000,0)-IF(AND('calcA'!AO$117=1,VM4&gt;0),2000,0)-IF(AND($U4=1,'calcA'!AP$117=1,EO4=0),2000,0))),1000000000))</f>
        <v/>
      </c>
      <c r="PS4">
        <f>IF($B4=0,1000000000,IF(INDEX('calcA'!$D$60:$EQ$99,$B4,40)*IF($W4=1,EO4+ABD4,EO4)=1,IF(AND($E4=2,IF($W4=1,AGS4,KD4)=0),1000000000,IF($V4=1,INDEX('calcA'!$D$130:$EQ$169,$B4,40)+IF(AND($E4=1,KD4=0),25,0),IF($F4&gt;0,INDEX('calcA'!AQ$110:AQ$114,$F4+1)+IF(AND($E4=1,KD4=0),1000,0),MIN(TV4,20)*400+(IF('calcA'!AP$106=1,1-EN4,0)+IF('calcA'!AQ$106=1,1-EP4,0))*150+162+'calcA'!AQ$5*100000+IF(AND($E4=1,KD4=0),50000,0))+IF($H4=1,INDEX('calcA'!$D$180:$EQ$219,$B4,40)*4000,0)-IF(AND('calcA'!AP$117=1,VN4&gt;0),2000,0)-IF(AND($U4=1,'calcA'!AQ$117=1,EP4=0),2000,0))),1000000000))</f>
        <v/>
      </c>
      <c r="PT4">
        <f>IF($B4=0,1000000000,IF(INDEX('calcA'!$D$60:$EQ$99,$B4,41)*IF($W4=1,EP4+ABE4,EP4)=1,IF(AND($E4=2,IF($W4=1,AGT4,KE4)=0),1000000000,IF($V4=1,INDEX('calcA'!$D$130:$EQ$169,$B4,41)+IF(AND($E4=1,KE4=0),25,0),IF($F4&gt;0,INDEX('calcA'!AR$110:AR$114,$F4+1)+IF(AND($E4=1,KE4=0),1000,0),MIN(TV4,20)*400+(IF('calcA'!AQ$106=1,1-EO4,0)+IF('calcA'!AR$106=1,1-EQ4,0))*150+172+'calcA'!AR$5*100000+IF(AND($E4=1,KE4=0),50000,0))+IF($H4=1,INDEX('calcA'!$D$180:$EQ$219,$B4,41)*4000,0)-IF(AND('calcA'!AQ$117=1,VO4&gt;0),2000,0)-IF(AND($U4=1,'calcA'!AR$117=1,EQ4=0),2000,0))),1000000000))</f>
        <v/>
      </c>
      <c r="PU4">
        <f>IF($B4=0,1000000000,IF(INDEX('calcA'!$D$60:$EQ$99,$B4,42)*IF($W4=1,EQ4+ABF4,EQ4)=1,IF(AND($E4=2,IF($W4=1,AGU4,KF4)=0),1000000000,IF($V4=1,INDEX('calcA'!$D$130:$EQ$169,$B4,42)+IF(AND($E4=1,KF4=0),25,0),IF($F4&gt;0,INDEX('calcA'!AS$110:AS$114,$F4+1)+IF(AND($E4=1,KF4=0),1000,0),MIN(TV4,20)*400+(IF('calcA'!AR$106=1,1-EP4,0)+IF('calcA'!AS$106=1,1-ER4,0))*150+182+'calcA'!AS$5*100000+IF(AND($E4=1,KF4=0),50000,0))+IF($H4=1,INDEX('calcA'!$D$180:$EQ$219,$B4,42)*4000,0)-IF(AND('calcA'!AR$117=1,VP4&gt;0),2000,0)-IF(AND($U4=1,'calcA'!AS$117=1,ER4=0),2000,0))),1000000000))</f>
        <v/>
      </c>
      <c r="PV4">
        <f>IF($B4=0,1000000000,IF(INDEX('calcA'!$D$60:$EQ$99,$B4,43)*IF($W4=1,ER4+ABG4,ER4)=1,IF(AND($E4=2,IF($W4=1,AGV4,KG4)=0),1000000000,IF($V4=1,INDEX('calcA'!$D$130:$EQ$169,$B4,43)+IF(AND($E4=1,KG4=0),25,0),IF($F4&gt;0,INDEX('calcA'!AT$110:AT$114,$F4+1)+IF(AND($E4=1,KG4=0),1000,0),MIN(TV4,20)*400+(IF('calcA'!AS$106=1,1-EQ4,0)+IF('calcA'!AT$106=1,1-ES4,0))*150+192+'calcA'!AT$5*100000+IF(AND($E4=1,KG4=0),50000,0))+IF($H4=1,INDEX('calcA'!$D$180:$EQ$219,$B4,43)*4000,0)-IF(AND('calcA'!AS$117=1,VQ4&gt;0),2000,0)-IF(AND($U4=1,'calcA'!AT$117=1,ES4=0),2000,0))),1000000000))</f>
        <v/>
      </c>
      <c r="PW4">
        <f>IF($B4=0,1000000000,IF(INDEX('calcA'!$D$60:$EQ$99,$B4,44)*IF($W4=1,ES4+ABH4,ES4)=1,IF(AND($E4=2,IF($W4=1,AGW4,KH4)=0),1000000000,IF($V4=1,INDEX('calcA'!$D$130:$EQ$169,$B4,44)+IF(AND($E4=1,KH4=0),25,0),IF($F4&gt;0,INDEX('calcA'!AU$110:AU$114,$F4+1)+IF(AND($E4=1,KH4=0),1000,0),MIN(TV4,20)*400+(IF('calcA'!AT$106=1,1-ER4,0)+IF('calcA'!AU$106=1,1-ET4,0))*150+202+'calcA'!AU$5*100000+IF(AND($E4=1,KH4=0),50000,0))+IF($H4=1,INDEX('calcA'!$D$180:$EQ$219,$B4,44)*4000,0)-IF(AND('calcA'!AT$117=1,VR4&gt;0),2000,0)-IF(AND($U4=1,'calcA'!AU$117=1,ET4=0),2000,0))),1000000000))</f>
        <v/>
      </c>
      <c r="PX4">
        <f>IF($B4=0,1000000000,IF(INDEX('calcA'!$D$60:$EQ$99,$B4,45)*IF($W4=1,ET4+ABI4,ET4)=1,IF(AND($E4=2,IF($W4=1,AGX4,KI4)=0),1000000000,IF($V4=1,INDEX('calcA'!$D$130:$EQ$169,$B4,45)+IF(AND($E4=1,KI4=0),25,0),IF($F4&gt;0,INDEX('calcA'!AV$110:AV$114,$F4+1)+IF(AND($E4=1,KI4=0),1000,0),MIN(TV4,20)*400+(IF('calcA'!AU$106=1,1-ES4,0)+IF('calcA'!AV$106=1,1-EU4,0))*150+212+'calcA'!AV$5*100000+IF(AND($E4=1,KI4=0),50000,0))+IF($H4=1,INDEX('calcA'!$D$180:$EQ$219,$B4,45)*4000,0)-IF(AND('calcA'!AU$117=1,VS4&gt;0),2000,0)-IF(AND($U4=1,'calcA'!AV$117=1,EU4=0),2000,0))),1000000000))</f>
        <v/>
      </c>
      <c r="PY4">
        <f>IF($B4=0,1000000000,IF(INDEX('calcA'!$D$60:$EQ$99,$B4,46)*IF($W4=1,EU4+ABJ4,EU4)=1,IF(AND($E4=2,IF($W4=1,AGY4,KJ4)=0),1000000000,IF($V4=1,INDEX('calcA'!$D$130:$EQ$169,$B4,46)+IF(AND($E4=1,KJ4=0),25,0),IF($F4&gt;0,INDEX('calcA'!AW$110:AW$114,$F4+1)+IF(AND($E4=1,KJ4=0),1000,0),MIN(TV4,20)*400+(IF('calcA'!AV$106=1,1-ET4,0)+IF('calcA'!AW$106=1,1-EV4,0))*150+222+'calcA'!AW$5*100000+IF(AND($E4=1,KJ4=0),50000,0))+IF($H4=1,INDEX('calcA'!$D$180:$EQ$219,$B4,46)*4000,0)-IF(AND('calcA'!AV$117=1,VT4&gt;0),2000,0)-IF(AND($U4=1,'calcA'!AW$117=1,EV4=0),2000,0))),1000000000))</f>
        <v/>
      </c>
      <c r="PZ4">
        <f>IF($B4=0,1000000000,IF(INDEX('calcA'!$D$60:$EQ$99,$B4,47)*IF($W4=1,EV4+ABK4,EV4)=1,IF(AND($E4=2,IF($W4=1,AGZ4,KK4)=0),1000000000,IF($V4=1,INDEX('calcA'!$D$130:$EQ$169,$B4,47)+IF(AND($E4=1,KK4=0),25,0),IF($F4&gt;0,INDEX('calcA'!AX$110:AX$114,$F4+1)+IF(AND($E4=1,KK4=0),1000,0),MIN(TV4,20)*400+(IF('calcA'!AW$106=1,1-EU4,0)+IF('calcA'!AX$106=1,1-EW4,0))*150+232+'calcA'!AX$5*100000+IF(AND($E4=1,KK4=0),50000,0))+IF($H4=1,INDEX('calcA'!$D$180:$EQ$219,$B4,47)*4000,0)-IF(AND('calcA'!AW$117=1,VU4&gt;0),2000,0)-IF(AND($U4=1,'calcA'!AX$117=1,EW4=0),2000,0))),1000000000))</f>
        <v/>
      </c>
      <c r="QA4">
        <f>IF($B4=0,1000000000,IF(INDEX('calcA'!$D$60:$EQ$99,$B4,48)*IF($W4=1,EW4+ABL4,EW4)=1,IF(AND($E4=2,IF($W4=1,AHA4,KL4)=0),1000000000,IF($V4=1,INDEX('calcA'!$D$130:$EQ$169,$B4,48)+IF(AND($E4=1,KL4=0),25,0),IF($F4&gt;0,INDEX('calcA'!AY$110:AY$114,$F4+1)+IF(AND($E4=1,KL4=0),1000,0),MIN(TV4,20)*400+(IF('calcA'!AX$106=1,1-EV4,0))*150+242+'calcA'!AY$5*100000+IF(AND($E4=1,KL4=0),50000,0))+IF($H4=1,INDEX('calcA'!$D$180:$EQ$219,$B4,48)*4000,0)-IF(AND('calcA'!AX$117=1,VV4&gt;0),2000,0))),1000000000))</f>
        <v/>
      </c>
      <c r="QB4">
        <f>IF($B4=0,1000000000,IF(INDEX('calcA'!$D$60:$EQ$99,$B4,49)*IF($W4=1,EX4+ABM4,EX4)=1,IF(AND($E4=2,IF($W4=1,AHB4,KM4)=0),1000000000,IF($V4=1,INDEX('calcA'!$D$130:$EQ$169,$B4,49)+IF(AND($E4=1,KM4=0),25,0),IF($F4&gt;0,INDEX('calcA'!AZ$110:AZ$114,$F4+1)+IF(AND($E4=1,KM4=0),1000,0),MIN(TW4,20)*400+(IF('calcA'!AZ$106=1,1-EY4,0))*150+13+'calcA'!AZ$5*100000+IF(AND($E4=1,KM4=0),50000,0))+IF($H4=1,INDEX('calcA'!$D$180:$EQ$219,$B4,49)*4000,0)-IF(AND($U4=1,'calcA'!AZ$117=1,EY4=0),2000,0))),1000000000))</f>
        <v/>
      </c>
      <c r="QC4">
        <f>IF($B4=0,1000000000,IF(INDEX('calcA'!$D$60:$EQ$99,$B4,50)*IF($W4=1,EY4+ABN4,EY4)=1,IF(AND($E4=2,IF($W4=1,AHC4,KN4)=0),1000000000,IF($V4=1,INDEX('calcA'!$D$130:$EQ$169,$B4,50)+IF(AND($E4=1,KN4=0),25,0),IF($F4&gt;0,INDEX('calcA'!BA$110:BA$114,$F4+1)+IF(AND($E4=1,KN4=0),1000,0),MIN(TW4,20)*400+(IF('calcA'!AZ$106=1,1-EX4,0)+IF('calcA'!BA$106=1,1-EZ4,0))*150+23+'calcA'!BA$5*100000+IF(AND($E4=1,KN4=0),50000,0))+IF($H4=1,INDEX('calcA'!$D$180:$EQ$219,$B4,50)*4000,0)-IF(AND('calcA'!AZ$117=1,VX4&gt;0),2000,0)-IF(AND($U4=1,'calcA'!BA$117=1,EZ4=0),2000,0))),1000000000))</f>
        <v/>
      </c>
      <c r="QD4">
        <f>IF($B4=0,1000000000,IF(INDEX('calcA'!$D$60:$EQ$99,$B4,51)*IF($W4=1,EZ4+ABO4,EZ4)=1,IF(AND($E4=2,IF($W4=1,AHD4,KO4)=0),1000000000,IF($V4=1,INDEX('calcA'!$D$130:$EQ$169,$B4,51)+IF(AND($E4=1,KO4=0),25,0),IF($F4&gt;0,INDEX('calcA'!BB$110:BB$114,$F4+1)+IF(AND($E4=1,KO4=0),1000,0),MIN(TW4,20)*400+(IF('calcA'!BA$106=1,1-EY4,0)+IF('calcA'!BB$106=1,1-FA4,0))*150+33+'calcA'!BB$5*100000+IF(AND($E4=1,KO4=0),50000,0))+IF($H4=1,INDEX('calcA'!$D$180:$EQ$219,$B4,51)*4000,0)-IF(AND('calcA'!BA$117=1,VY4&gt;0),2000,0)-IF(AND($U4=1,'calcA'!BB$117=1,FA4=0),2000,0))),1000000000))</f>
        <v/>
      </c>
      <c r="QE4">
        <f>IF($B4=0,1000000000,IF(INDEX('calcA'!$D$60:$EQ$99,$B4,52)*IF($W4=1,FA4+ABP4,FA4)=1,IF(AND($E4=2,IF($W4=1,AHE4,KP4)=0),1000000000,IF($V4=1,INDEX('calcA'!$D$130:$EQ$169,$B4,52)+IF(AND($E4=1,KP4=0),25,0),IF($F4&gt;0,INDEX('calcA'!BC$110:BC$114,$F4+1)+IF(AND($E4=1,KP4=0),1000,0),MIN(TW4,20)*400+(IF('calcA'!BB$106=1,1-EZ4,0)+IF('calcA'!BC$106=1,1-FB4,0))*150+43+'calcA'!BC$5*100000+IF(AND($E4=1,KP4=0),50000,0))+IF($H4=1,INDEX('calcA'!$D$180:$EQ$219,$B4,52)*4000,0)-IF(AND('calcA'!BB$117=1,VZ4&gt;0),2000,0)-IF(AND($U4=1,'calcA'!BC$117=1,FB4=0),2000,0))),1000000000))</f>
        <v/>
      </c>
      <c r="QF4">
        <f>IF($B4=0,1000000000,IF(INDEX('calcA'!$D$60:$EQ$99,$B4,53)*IF($W4=1,FB4+ABQ4,FB4)=1,IF(AND($E4=2,IF($W4=1,AHF4,KQ4)=0),1000000000,IF($V4=1,INDEX('calcA'!$D$130:$EQ$169,$B4,53)+IF(AND($E4=1,KQ4=0),25,0),IF($F4&gt;0,INDEX('calcA'!BD$110:BD$114,$F4+1)+IF(AND($E4=1,KQ4=0),1000,0),MIN(TW4,20)*400+(IF('calcA'!BC$106=1,1-FA4,0)+IF('calcA'!BD$106=1,1-FC4,0))*150+53+'calcA'!BD$5*100000+IF(AND($E4=1,KQ4=0),50000,0))+IF($H4=1,INDEX('calcA'!$D$180:$EQ$219,$B4,53)*4000,0)-IF(AND('calcA'!BC$117=1,WA4&gt;0),2000,0)-IF(AND($U4=1,'calcA'!BD$117=1,FC4=0),2000,0))),1000000000))</f>
        <v/>
      </c>
      <c r="QG4">
        <f>IF($B4=0,1000000000,IF(INDEX('calcA'!$D$60:$EQ$99,$B4,54)*IF($W4=1,FC4+ABR4,FC4)=1,IF(AND($E4=2,IF($W4=1,AHG4,KR4)=0),1000000000,IF($V4=1,INDEX('calcA'!$D$130:$EQ$169,$B4,54)+IF(AND($E4=1,KR4=0),25,0),IF($F4&gt;0,INDEX('calcA'!BE$110:BE$114,$F4+1)+IF(AND($E4=1,KR4=0),1000,0),MIN(TW4,20)*400+(IF('calcA'!BD$106=1,1-FB4,0)+IF('calcA'!BE$106=1,1-FD4,0))*150+63+'calcA'!BE$5*100000+IF(AND($E4=1,KR4=0),50000,0))+IF($H4=1,INDEX('calcA'!$D$180:$EQ$219,$B4,54)*4000,0)-IF(AND('calcA'!BD$117=1,WB4&gt;0),2000,0)-IF(AND($U4=1,'calcA'!BE$117=1,FD4=0),2000,0))),1000000000))</f>
        <v/>
      </c>
      <c r="QH4">
        <f>IF($B4=0,1000000000,IF(INDEX('calcA'!$D$60:$EQ$99,$B4,55)*IF($W4=1,FD4+ABS4,FD4)=1,IF(AND($E4=2,IF($W4=1,AHH4,KS4)=0),1000000000,IF($V4=1,INDEX('calcA'!$D$130:$EQ$169,$B4,55)+IF(AND($E4=1,KS4=0),25,0),IF($F4&gt;0,INDEX('calcA'!BF$110:BF$114,$F4+1)+IF(AND($E4=1,KS4=0),1000,0),MIN(TW4,20)*400+(IF('calcA'!BE$106=1,1-FC4,0)+IF('calcA'!BF$106=1,1-FE4,0))*150+73+'calcA'!BF$5*100000+IF(AND($E4=1,KS4=0),50000,0))+IF($H4=1,INDEX('calcA'!$D$180:$EQ$219,$B4,55)*4000,0)-IF(AND('calcA'!BE$117=1,WC4&gt;0),2000,0)-IF(AND($U4=1,'calcA'!BF$117=1,FE4=0),2000,0))),1000000000))</f>
        <v/>
      </c>
      <c r="QI4">
        <f>IF($B4=0,1000000000,IF(INDEX('calcA'!$D$60:$EQ$99,$B4,56)*IF($W4=1,FE4+ABT4,FE4)=1,IF(AND($E4=2,IF($W4=1,AHI4,KT4)=0),1000000000,IF($V4=1,INDEX('calcA'!$D$130:$EQ$169,$B4,56)+IF(AND($E4=1,KT4=0),25,0),IF($F4&gt;0,INDEX('calcA'!BG$110:BG$114,$F4+1)+IF(AND($E4=1,KT4=0),1000,0),MIN(TW4,20)*400+(IF('calcA'!BF$106=1,1-FD4,0)+IF('calcA'!BG$106=1,1-FF4,0))*150+83+'calcA'!BG$5*100000+IF(AND($E4=1,KT4=0),50000,0))+IF($H4=1,INDEX('calcA'!$D$180:$EQ$219,$B4,56)*4000,0)-IF(AND('calcA'!BF$117=1,WD4&gt;0),2000,0)-IF(AND($U4=1,'calcA'!BG$117=1,FF4=0),2000,0))),1000000000))</f>
        <v/>
      </c>
      <c r="QJ4">
        <f>IF($B4=0,1000000000,IF(INDEX('calcA'!$D$60:$EQ$99,$B4,57)*IF($W4=1,FF4+ABU4,FF4)=1,IF(AND($E4=2,IF($W4=1,AHJ4,KU4)=0),1000000000,IF($V4=1,INDEX('calcA'!$D$130:$EQ$169,$B4,57)+IF(AND($E4=1,KU4=0),25,0),IF($F4&gt;0,INDEX('calcA'!BH$110:BH$114,$F4+1)+IF(AND($E4=1,KU4=0),1000,0),MIN(TW4,20)*400+(IF('calcA'!BG$106=1,1-FE4,0)+IF('calcA'!BH$106=1,1-FG4,0))*150+93+'calcA'!BH$5*100000+IF(AND($E4=1,KU4=0),50000,0))+IF($H4=1,INDEX('calcA'!$D$180:$EQ$219,$B4,57)*4000,0)-IF(AND('calcA'!BG$117=1,WE4&gt;0),2000,0)-IF(AND($U4=1,'calcA'!BH$117=1,FG4=0),2000,0))),1000000000))</f>
        <v/>
      </c>
      <c r="QK4">
        <f>IF($B4=0,1000000000,IF(INDEX('calcA'!$D$60:$EQ$99,$B4,58)*IF($W4=1,FG4+ABV4,FG4)=1,IF(AND($E4=2,IF($W4=1,AHK4,KV4)=0),1000000000,IF($V4=1,INDEX('calcA'!$D$130:$EQ$169,$B4,58)+IF(AND($E4=1,KV4=0),25,0),IF($F4&gt;0,INDEX('calcA'!BI$110:BI$114,$F4+1)+IF(AND($E4=1,KV4=0),1000,0),MIN(TW4,20)*400+(IF('calcA'!BH$106=1,1-FF4,0)+IF('calcA'!BI$106=1,1-FH4,0))*150+103+'calcA'!BI$5*100000+IF(AND($E4=1,KV4=0),50000,0))+IF($H4=1,INDEX('calcA'!$D$180:$EQ$219,$B4,58)*4000,0)-IF(AND('calcA'!BH$117=1,WF4&gt;0),2000,0)-IF(AND($U4=1,'calcA'!BI$117=1,FH4=0),2000,0))),1000000000))</f>
        <v/>
      </c>
      <c r="QL4">
        <f>IF($B4=0,1000000000,IF(INDEX('calcA'!$D$60:$EQ$99,$B4,59)*IF($W4=1,FH4+ABW4,FH4)=1,IF(AND($E4=2,IF($W4=1,AHL4,KW4)=0),1000000000,IF($V4=1,INDEX('calcA'!$D$130:$EQ$169,$B4,59)+IF(AND($E4=1,KW4=0),25,0),IF($F4&gt;0,INDEX('calcA'!BJ$110:BJ$114,$F4+1)+IF(AND($E4=1,KW4=0),1000,0),MIN(TW4,20)*400+(IF('calcA'!BI$106=1,1-FG4,0)+IF('calcA'!BJ$106=1,1-FI4,0))*150+113+'calcA'!BJ$5*100000+IF(AND($E4=1,KW4=0),50000,0))+IF($H4=1,INDEX('calcA'!$D$180:$EQ$219,$B4,59)*4000,0)-IF(AND('calcA'!BI$117=1,WG4&gt;0),2000,0)-IF(AND($U4=1,'calcA'!BJ$117=1,FI4=0),2000,0))),1000000000))</f>
        <v/>
      </c>
      <c r="QM4">
        <f>IF($B4=0,1000000000,IF(INDEX('calcA'!$D$60:$EQ$99,$B4,60)*IF($W4=1,FI4+ABX4,FI4)=1,IF(AND($E4=2,IF($W4=1,AHM4,KX4)=0),1000000000,IF($V4=1,INDEX('calcA'!$D$130:$EQ$169,$B4,60)+IF(AND($E4=1,KX4=0),25,0),IF($F4&gt;0,INDEX('calcA'!BK$110:BK$114,$F4+1)+IF(AND($E4=1,KX4=0),1000,0),MIN(TW4,20)*400+(IF('calcA'!BJ$106=1,1-FH4,0)+IF('calcA'!BK$106=1,1-FJ4,0))*150+123+'calcA'!BK$5*100000+IF(AND($E4=1,KX4=0),50000,0))+IF($H4=1,INDEX('calcA'!$D$180:$EQ$219,$B4,60)*4000,0)-IF(AND('calcA'!BJ$117=1,WH4&gt;0),2000,0)-IF(AND($U4=1,'calcA'!BK$117=1,FJ4=0),2000,0))),1000000000))</f>
        <v/>
      </c>
      <c r="QN4">
        <f>IF($B4=0,1000000000,IF(INDEX('calcA'!$D$60:$EQ$99,$B4,61)*IF($W4=1,FJ4+ABY4,FJ4)=1,IF(AND($E4=2,IF($W4=1,AHN4,KY4)=0),1000000000,IF($V4=1,INDEX('calcA'!$D$130:$EQ$169,$B4,61)+IF(AND($E4=1,KY4=0),25,0),IF($F4&gt;0,INDEX('calcA'!BL$110:BL$114,$F4+1)+IF(AND($E4=1,KY4=0),1000,0),MIN(TW4,20)*400+(IF('calcA'!BK$106=1,1-FI4,0)+IF('calcA'!BL$106=1,1-FK4,0))*150+133+'calcA'!BL$5*100000+IF(AND($E4=1,KY4=0),50000,0))+IF($H4=1,INDEX('calcA'!$D$180:$EQ$219,$B4,61)*4000,0)-IF(AND('calcA'!BK$117=1,WI4&gt;0),2000,0)-IF(AND($U4=1,'calcA'!BL$117=1,FK4=0),2000,0))),1000000000))</f>
        <v/>
      </c>
      <c r="QO4">
        <f>IF($B4=0,1000000000,IF(INDEX('calcA'!$D$60:$EQ$99,$B4,62)*IF($W4=1,FK4+ABZ4,FK4)=1,IF(AND($E4=2,IF($W4=1,AHO4,KZ4)=0),1000000000,IF($V4=1,INDEX('calcA'!$D$130:$EQ$169,$B4,62)+IF(AND($E4=1,KZ4=0),25,0),IF($F4&gt;0,INDEX('calcA'!BM$110:BM$114,$F4+1)+IF(AND($E4=1,KZ4=0),1000,0),MIN(TW4,20)*400+(IF('calcA'!BL$106=1,1-FJ4,0)+IF('calcA'!BM$106=1,1-FL4,0))*150+143+'calcA'!BM$5*100000+IF(AND($E4=1,KZ4=0),50000,0))+IF($H4=1,INDEX('calcA'!$D$180:$EQ$219,$B4,62)*4000,0)-IF(AND('calcA'!BL$117=1,WJ4&gt;0),2000,0)-IF(AND($U4=1,'calcA'!BM$117=1,FL4=0),2000,0))),1000000000))</f>
        <v/>
      </c>
      <c r="QP4">
        <f>IF($B4=0,1000000000,IF(INDEX('calcA'!$D$60:$EQ$99,$B4,63)*IF($W4=1,FL4+ACA4,FL4)=1,IF(AND($E4=2,IF($W4=1,AHP4,LA4)=0),1000000000,IF($V4=1,INDEX('calcA'!$D$130:$EQ$169,$B4,63)+IF(AND($E4=1,LA4=0),25,0),IF($F4&gt;0,INDEX('calcA'!BN$110:BN$114,$F4+1)+IF(AND($E4=1,LA4=0),1000,0),MIN(TW4,20)*400+(IF('calcA'!BM$106=1,1-FK4,0)+IF('calcA'!BN$106=1,1-FM4,0))*150+153+'calcA'!BN$5*100000+IF(AND($E4=1,LA4=0),50000,0))+IF($H4=1,INDEX('calcA'!$D$180:$EQ$219,$B4,63)*4000,0)-IF(AND('calcA'!BM$117=1,WK4&gt;0),2000,0)-IF(AND($U4=1,'calcA'!BN$117=1,FM4=0),2000,0))),1000000000))</f>
        <v/>
      </c>
      <c r="QQ4">
        <f>IF($B4=0,1000000000,IF(INDEX('calcA'!$D$60:$EQ$99,$B4,64)*IF($W4=1,FM4+ACB4,FM4)=1,IF(AND($E4=2,IF($W4=1,AHQ4,LB4)=0),1000000000,IF($V4=1,INDEX('calcA'!$D$130:$EQ$169,$B4,64)+IF(AND($E4=1,LB4=0),25,0),IF($F4&gt;0,INDEX('calcA'!BO$110:BO$114,$F4+1)+IF(AND($E4=1,LB4=0),1000,0),MIN(TW4,20)*400+(IF('calcA'!BN$106=1,1-FL4,0)+IF('calcA'!BO$106=1,1-FN4,0))*150+163+'calcA'!BO$5*100000+IF(AND($E4=1,LB4=0),50000,0))+IF($H4=1,INDEX('calcA'!$D$180:$EQ$219,$B4,64)*4000,0)-IF(AND('calcA'!BN$117=1,WL4&gt;0),2000,0)-IF(AND($U4=1,'calcA'!BO$117=1,FN4=0),2000,0))),1000000000))</f>
        <v/>
      </c>
      <c r="QR4">
        <f>IF($B4=0,1000000000,IF(INDEX('calcA'!$D$60:$EQ$99,$B4,65)*IF($W4=1,FN4+ACC4,FN4)=1,IF(AND($E4=2,IF($W4=1,AHR4,LC4)=0),1000000000,IF($V4=1,INDEX('calcA'!$D$130:$EQ$169,$B4,65)+IF(AND($E4=1,LC4=0),25,0),IF($F4&gt;0,INDEX('calcA'!BP$110:BP$114,$F4+1)+IF(AND($E4=1,LC4=0),1000,0),MIN(TW4,20)*400+(IF('calcA'!BO$106=1,1-FM4,0)+IF('calcA'!BP$106=1,1-FO4,0))*150+173+'calcA'!BP$5*100000+IF(AND($E4=1,LC4=0),50000,0))+IF($H4=1,INDEX('calcA'!$D$180:$EQ$219,$B4,65)*4000,0)-IF(AND('calcA'!BO$117=1,WM4&gt;0),2000,0)-IF(AND($U4=1,'calcA'!BP$117=1,FO4=0),2000,0))),1000000000))</f>
        <v/>
      </c>
      <c r="QS4">
        <f>IF($B4=0,1000000000,IF(INDEX('calcA'!$D$60:$EQ$99,$B4,66)*IF($W4=1,FO4+ACD4,FO4)=1,IF(AND($E4=2,IF($W4=1,AHS4,LD4)=0),1000000000,IF($V4=1,INDEX('calcA'!$D$130:$EQ$169,$B4,66)+IF(AND($E4=1,LD4=0),25,0),IF($F4&gt;0,INDEX('calcA'!BQ$110:BQ$114,$F4+1)+IF(AND($E4=1,LD4=0),1000,0),MIN(TW4,20)*400+(IF('calcA'!BP$106=1,1-FN4,0)+IF('calcA'!BQ$106=1,1-FP4,0))*150+183+'calcA'!BQ$5*100000+IF(AND($E4=1,LD4=0),50000,0))+IF($H4=1,INDEX('calcA'!$D$180:$EQ$219,$B4,66)*4000,0)-IF(AND('calcA'!BP$117=1,WN4&gt;0),2000,0)-IF(AND($U4=1,'calcA'!BQ$117=1,FP4=0),2000,0))),1000000000))</f>
        <v/>
      </c>
      <c r="QT4">
        <f>IF($B4=0,1000000000,IF(INDEX('calcA'!$D$60:$EQ$99,$B4,67)*IF($W4=1,FP4+ACE4,FP4)=1,IF(AND($E4=2,IF($W4=1,AHT4,LE4)=0),1000000000,IF($V4=1,INDEX('calcA'!$D$130:$EQ$169,$B4,67)+IF(AND($E4=1,LE4=0),25,0),IF($F4&gt;0,INDEX('calcA'!BR$110:BR$114,$F4+1)+IF(AND($E4=1,LE4=0),1000,0),MIN(TW4,20)*400+(IF('calcA'!BQ$106=1,1-FO4,0)+IF('calcA'!BR$106=1,1-FQ4,0))*150+193+'calcA'!BR$5*100000+IF(AND($E4=1,LE4=0),50000,0))+IF($H4=1,INDEX('calcA'!$D$180:$EQ$219,$B4,67)*4000,0)-IF(AND('calcA'!BQ$117=1,WO4&gt;0),2000,0)-IF(AND($U4=1,'calcA'!BR$117=1,FQ4=0),2000,0))),1000000000))</f>
        <v/>
      </c>
      <c r="QU4">
        <f>IF($B4=0,1000000000,IF(INDEX('calcA'!$D$60:$EQ$99,$B4,68)*IF($W4=1,FQ4+ACF4,FQ4)=1,IF(AND($E4=2,IF($W4=1,AHU4,LF4)=0),1000000000,IF($V4=1,INDEX('calcA'!$D$130:$EQ$169,$B4,68)+IF(AND($E4=1,LF4=0),25,0),IF($F4&gt;0,INDEX('calcA'!BS$110:BS$114,$F4+1)+IF(AND($E4=1,LF4=0),1000,0),MIN(TW4,20)*400+(IF('calcA'!BR$106=1,1-FP4,0)+IF('calcA'!BS$106=1,1-FR4,0))*150+203+'calcA'!BS$5*100000+IF(AND($E4=1,LF4=0),50000,0))+IF($H4=1,INDEX('calcA'!$D$180:$EQ$219,$B4,68)*4000,0)-IF(AND('calcA'!BR$117=1,WP4&gt;0),2000,0)-IF(AND($U4=1,'calcA'!BS$117=1,FR4=0),2000,0))),1000000000))</f>
        <v/>
      </c>
      <c r="QV4">
        <f>IF($B4=0,1000000000,IF(INDEX('calcA'!$D$60:$EQ$99,$B4,69)*IF($W4=1,FR4+ACG4,FR4)=1,IF(AND($E4=2,IF($W4=1,AHV4,LG4)=0),1000000000,IF($V4=1,INDEX('calcA'!$D$130:$EQ$169,$B4,69)+IF(AND($E4=1,LG4=0),25,0),IF($F4&gt;0,INDEX('calcA'!BT$110:BT$114,$F4+1)+IF(AND($E4=1,LG4=0),1000,0),MIN(TW4,20)*400+(IF('calcA'!BS$106=1,1-FQ4,0)+IF('calcA'!BT$106=1,1-FS4,0))*150+213+'calcA'!BT$5*100000+IF(AND($E4=1,LG4=0),50000,0))+IF($H4=1,INDEX('calcA'!$D$180:$EQ$219,$B4,69)*4000,0)-IF(AND('calcA'!BS$117=1,WQ4&gt;0),2000,0)-IF(AND($U4=1,'calcA'!BT$117=1,FS4=0),2000,0))),1000000000))</f>
        <v/>
      </c>
      <c r="QW4">
        <f>IF($B4=0,1000000000,IF(INDEX('calcA'!$D$60:$EQ$99,$B4,70)*IF($W4=1,FS4+ACH4,FS4)=1,IF(AND($E4=2,IF($W4=1,AHW4,LH4)=0),1000000000,IF($V4=1,INDEX('calcA'!$D$130:$EQ$169,$B4,70)+IF(AND($E4=1,LH4=0),25,0),IF($F4&gt;0,INDEX('calcA'!BU$110:BU$114,$F4+1)+IF(AND($E4=1,LH4=0),1000,0),MIN(TW4,20)*400+(IF('calcA'!BT$106=1,1-FR4,0)+IF('calcA'!BU$106=1,1-FT4,0))*150+223+'calcA'!BU$5*100000+IF(AND($E4=1,LH4=0),50000,0))+IF($H4=1,INDEX('calcA'!$D$180:$EQ$219,$B4,70)*4000,0)-IF(AND('calcA'!BT$117=1,WR4&gt;0),2000,0)-IF(AND($U4=1,'calcA'!BU$117=1,FT4=0),2000,0))),1000000000))</f>
        <v/>
      </c>
      <c r="QX4">
        <f>IF($B4=0,1000000000,IF(INDEX('calcA'!$D$60:$EQ$99,$B4,71)*IF($W4=1,FT4+ACI4,FT4)=1,IF(AND($E4=2,IF($W4=1,AHX4,LI4)=0),1000000000,IF($V4=1,INDEX('calcA'!$D$130:$EQ$169,$B4,71)+IF(AND($E4=1,LI4=0),25,0),IF($F4&gt;0,INDEX('calcA'!BV$110:BV$114,$F4+1)+IF(AND($E4=1,LI4=0),1000,0),MIN(TW4,20)*400+(IF('calcA'!BU$106=1,1-FS4,0)+IF('calcA'!BV$106=1,1-FU4,0))*150+233+'calcA'!BV$5*100000+IF(AND($E4=1,LI4=0),50000,0))+IF($H4=1,INDEX('calcA'!$D$180:$EQ$219,$B4,71)*4000,0)-IF(AND('calcA'!BU$117=1,WS4&gt;0),2000,0)-IF(AND($U4=1,'calcA'!BV$117=1,FU4=0),2000,0))),1000000000))</f>
        <v/>
      </c>
      <c r="QY4">
        <f>IF($B4=0,1000000000,IF(INDEX('calcA'!$D$60:$EQ$99,$B4,72)*IF($W4=1,FU4+ACJ4,FU4)=1,IF(AND($E4=2,IF($W4=1,AHY4,LJ4)=0),1000000000,IF($V4=1,INDEX('calcA'!$D$130:$EQ$169,$B4,72)+IF(AND($E4=1,LJ4=0),25,0),IF($F4&gt;0,INDEX('calcA'!BW$110:BW$114,$F4+1)+IF(AND($E4=1,LJ4=0),1000,0),MIN(TW4,20)*400+(IF('calcA'!BV$106=1,1-FT4,0))*150+243+'calcA'!BW$5*100000+IF(AND($E4=1,LJ4=0),50000,0))+IF($H4=1,INDEX('calcA'!$D$180:$EQ$219,$B4,72)*4000,0)-IF(AND('calcA'!BV$117=1,WT4&gt;0),2000,0))),1000000000))</f>
        <v/>
      </c>
      <c r="QZ4">
        <f>IF($B4=0,1000000000,IF(INDEX('calcA'!$D$60:$EQ$99,$B4,73)*IF($W4=1,FV4+ACK4,FV4)=1,IF(AND($E4=2,IF($W4=1,AHZ4,LK4)=0),1000000000,IF($V4=1,INDEX('calcA'!$D$130:$EQ$169,$B4,73)+IF(AND($E4=1,LK4=0),25,0),IF($F4&gt;0,INDEX('calcA'!BX$110:BX$114,$F4+1)+IF(AND($E4=1,LK4=0),1000,0),MIN(TX4,20)*400+(IF('calcA'!BX$106=1,1-FW4,0))*150+14+'calcA'!BX$5*100000+IF(AND($E4=1,LK4=0),50000,0))+IF($H4=1,INDEX('calcA'!$D$180:$EQ$219,$B4,73)*4000,0)-IF(AND($U4=1,'calcA'!BX$117=1,FW4=0),2000,0))),1000000000))</f>
        <v/>
      </c>
      <c r="RA4">
        <f>IF($B4=0,1000000000,IF(INDEX('calcA'!$D$60:$EQ$99,$B4,74)*IF($W4=1,FW4+ACL4,FW4)=1,IF(AND($E4=2,IF($W4=1,AIA4,LL4)=0),1000000000,IF($V4=1,INDEX('calcA'!$D$130:$EQ$169,$B4,74)+IF(AND($E4=1,LL4=0),25,0),IF($F4&gt;0,INDEX('calcA'!BY$110:BY$114,$F4+1)+IF(AND($E4=1,LL4=0),1000,0),MIN(TX4,20)*400+(IF('calcA'!BX$106=1,1-FV4,0)+IF('calcA'!BY$106=1,1-FX4,0))*150+24+'calcA'!BY$5*100000+IF(AND($E4=1,LL4=0),50000,0))+IF($H4=1,INDEX('calcA'!$D$180:$EQ$219,$B4,74)*4000,0)-IF(AND('calcA'!BX$117=1,WV4&gt;0),2000,0)-IF(AND($U4=1,'calcA'!BY$117=1,FX4=0),2000,0))),1000000000))</f>
        <v/>
      </c>
      <c r="RB4">
        <f>IF($B4=0,1000000000,IF(INDEX('calcA'!$D$60:$EQ$99,$B4,75)*IF($W4=1,FX4+ACM4,FX4)=1,IF(AND($E4=2,IF($W4=1,AIB4,LM4)=0),1000000000,IF($V4=1,INDEX('calcA'!$D$130:$EQ$169,$B4,75)+IF(AND($E4=1,LM4=0),25,0),IF($F4&gt;0,INDEX('calcA'!BZ$110:BZ$114,$F4+1)+IF(AND($E4=1,LM4=0),1000,0),MIN(TX4,20)*400+(IF('calcA'!BY$106=1,1-FW4,0)+IF('calcA'!BZ$106=1,1-FY4,0))*150+34+'calcA'!BZ$5*100000+IF(AND($E4=1,LM4=0),50000,0))+IF($H4=1,INDEX('calcA'!$D$180:$EQ$219,$B4,75)*4000,0)-IF(AND('calcA'!BY$117=1,WW4&gt;0),2000,0)-IF(AND($U4=1,'calcA'!BZ$117=1,FY4=0),2000,0))),1000000000))</f>
        <v/>
      </c>
      <c r="RC4">
        <f>IF($B4=0,1000000000,IF(INDEX('calcA'!$D$60:$EQ$99,$B4,76)*IF($W4=1,FY4+ACN4,FY4)=1,IF(AND($E4=2,IF($W4=1,AIC4,LN4)=0),1000000000,IF($V4=1,INDEX('calcA'!$D$130:$EQ$169,$B4,76)+IF(AND($E4=1,LN4=0),25,0),IF($F4&gt;0,INDEX('calcA'!CA$110:CA$114,$F4+1)+IF(AND($E4=1,LN4=0),1000,0),MIN(TX4,20)*400+(IF('calcA'!BZ$106=1,1-FX4,0)+IF('calcA'!CA$106=1,1-FZ4,0))*150+44+'calcA'!CA$5*100000+IF(AND($E4=1,LN4=0),50000,0))+IF($H4=1,INDEX('calcA'!$D$180:$EQ$219,$B4,76)*4000,0)-IF(AND('calcA'!BZ$117=1,WX4&gt;0),2000,0)-IF(AND($U4=1,'calcA'!CA$117=1,FZ4=0),2000,0))),1000000000))</f>
        <v/>
      </c>
      <c r="RD4">
        <f>IF($B4=0,1000000000,IF(INDEX('calcA'!$D$60:$EQ$99,$B4,77)*IF($W4=1,FZ4+ACO4,FZ4)=1,IF(AND($E4=2,IF($W4=1,AID4,LO4)=0),1000000000,IF($V4=1,INDEX('calcA'!$D$130:$EQ$169,$B4,77)+IF(AND($E4=1,LO4=0),25,0),IF($F4&gt;0,INDEX('calcA'!CB$110:CB$114,$F4+1)+IF(AND($E4=1,LO4=0),1000,0),MIN(TX4,20)*400+(IF('calcA'!CA$106=1,1-FY4,0)+IF('calcA'!CB$106=1,1-GA4,0))*150+54+'calcA'!CB$5*100000+IF(AND($E4=1,LO4=0),50000,0))+IF($H4=1,INDEX('calcA'!$D$180:$EQ$219,$B4,77)*4000,0)-IF(AND('calcA'!CA$117=1,WY4&gt;0),2000,0)-IF(AND($U4=1,'calcA'!CB$117=1,GA4=0),2000,0))),1000000000))</f>
        <v/>
      </c>
      <c r="RE4">
        <f>IF($B4=0,1000000000,IF(INDEX('calcA'!$D$60:$EQ$99,$B4,78)*IF($W4=1,GA4+ACP4,GA4)=1,IF(AND($E4=2,IF($W4=1,AIE4,LP4)=0),1000000000,IF($V4=1,INDEX('calcA'!$D$130:$EQ$169,$B4,78)+IF(AND($E4=1,LP4=0),25,0),IF($F4&gt;0,INDEX('calcA'!CC$110:CC$114,$F4+1)+IF(AND($E4=1,LP4=0),1000,0),MIN(TX4,20)*400+(IF('calcA'!CB$106=1,1-FZ4,0)+IF('calcA'!CC$106=1,1-GB4,0))*150+64+'calcA'!CC$5*100000+IF(AND($E4=1,LP4=0),50000,0))+IF($H4=1,INDEX('calcA'!$D$180:$EQ$219,$B4,78)*4000,0)-IF(AND('calcA'!CB$117=1,WZ4&gt;0),2000,0)-IF(AND($U4=1,'calcA'!CC$117=1,GB4=0),2000,0))),1000000000))</f>
        <v/>
      </c>
      <c r="RF4">
        <f>IF($B4=0,1000000000,IF(INDEX('calcA'!$D$60:$EQ$99,$B4,79)*IF($W4=1,GB4+ACQ4,GB4)=1,IF(AND($E4=2,IF($W4=1,AIF4,LQ4)=0),1000000000,IF($V4=1,INDEX('calcA'!$D$130:$EQ$169,$B4,79)+IF(AND($E4=1,LQ4=0),25,0),IF($F4&gt;0,INDEX('calcA'!CD$110:CD$114,$F4+1)+IF(AND($E4=1,LQ4=0),1000,0),MIN(TX4,20)*400+(IF('calcA'!CC$106=1,1-GA4,0)+IF('calcA'!CD$106=1,1-GC4,0))*150+74+'calcA'!CD$5*100000+IF(AND($E4=1,LQ4=0),50000,0))+IF($H4=1,INDEX('calcA'!$D$180:$EQ$219,$B4,79)*4000,0)-IF(AND('calcA'!CC$117=1,XA4&gt;0),2000,0)-IF(AND($U4=1,'calcA'!CD$117=1,GC4=0),2000,0))),1000000000))</f>
        <v/>
      </c>
      <c r="RG4">
        <f>IF($B4=0,1000000000,IF(INDEX('calcA'!$D$60:$EQ$99,$B4,80)*IF($W4=1,GC4+ACR4,GC4)=1,IF(AND($E4=2,IF($W4=1,AIG4,LR4)=0),1000000000,IF($V4=1,INDEX('calcA'!$D$130:$EQ$169,$B4,80)+IF(AND($E4=1,LR4=0),25,0),IF($F4&gt;0,INDEX('calcA'!CE$110:CE$114,$F4+1)+IF(AND($E4=1,LR4=0),1000,0),MIN(TX4,20)*400+(IF('calcA'!CD$106=1,1-GB4,0)+IF('calcA'!CE$106=1,1-GD4,0))*150+84+'calcA'!CE$5*100000+IF(AND($E4=1,LR4=0),50000,0))+IF($H4=1,INDEX('calcA'!$D$180:$EQ$219,$B4,80)*4000,0)-IF(AND('calcA'!CD$117=1,XB4&gt;0),2000,0)-IF(AND($U4=1,'calcA'!CE$117=1,GD4=0),2000,0))),1000000000))</f>
        <v/>
      </c>
      <c r="RH4">
        <f>IF($B4=0,1000000000,IF(INDEX('calcA'!$D$60:$EQ$99,$B4,81)*IF($W4=1,GD4+ACS4,GD4)=1,IF(AND($E4=2,IF($W4=1,AIH4,LS4)=0),1000000000,IF($V4=1,INDEX('calcA'!$D$130:$EQ$169,$B4,81)+IF(AND($E4=1,LS4=0),25,0),IF($F4&gt;0,INDEX('calcA'!CF$110:CF$114,$F4+1)+IF(AND($E4=1,LS4=0),1000,0),MIN(TX4,20)*400+(IF('calcA'!CE$106=1,1-GC4,0)+IF('calcA'!CF$106=1,1-GE4,0))*150+94+'calcA'!CF$5*100000+IF(AND($E4=1,LS4=0),50000,0))+IF($H4=1,INDEX('calcA'!$D$180:$EQ$219,$B4,81)*4000,0)-IF(AND('calcA'!CE$117=1,XC4&gt;0),2000,0)-IF(AND($U4=1,'calcA'!CF$117=1,GE4=0),2000,0))),1000000000))</f>
        <v/>
      </c>
      <c r="RI4">
        <f>IF($B4=0,1000000000,IF(INDEX('calcA'!$D$60:$EQ$99,$B4,82)*IF($W4=1,GE4+ACT4,GE4)=1,IF(AND($E4=2,IF($W4=1,AII4,LT4)=0),1000000000,IF($V4=1,INDEX('calcA'!$D$130:$EQ$169,$B4,82)+IF(AND($E4=1,LT4=0),25,0),IF($F4&gt;0,INDEX('calcA'!CG$110:CG$114,$F4+1)+IF(AND($E4=1,LT4=0),1000,0),MIN(TX4,20)*400+(IF('calcA'!CF$106=1,1-GD4,0)+IF('calcA'!CG$106=1,1-GF4,0))*150+104+'calcA'!CG$5*100000+IF(AND($E4=1,LT4=0),50000,0))+IF($H4=1,INDEX('calcA'!$D$180:$EQ$219,$B4,82)*4000,0)-IF(AND('calcA'!CF$117=1,XD4&gt;0),2000,0)-IF(AND($U4=1,'calcA'!CG$117=1,GF4=0),2000,0))),1000000000))</f>
        <v/>
      </c>
      <c r="RJ4">
        <f>IF($B4=0,1000000000,IF(INDEX('calcA'!$D$60:$EQ$99,$B4,83)*IF($W4=1,GF4+ACU4,GF4)=1,IF(AND($E4=2,IF($W4=1,AIJ4,LU4)=0),1000000000,IF($V4=1,INDEX('calcA'!$D$130:$EQ$169,$B4,83)+IF(AND($E4=1,LU4=0),25,0),IF($F4&gt;0,INDEX('calcA'!CH$110:CH$114,$F4+1)+IF(AND($E4=1,LU4=0),1000,0),MIN(TX4,20)*400+(IF('calcA'!CG$106=1,1-GE4,0)+IF('calcA'!CH$106=1,1-GG4,0))*150+114+'calcA'!CH$5*100000+IF(AND($E4=1,LU4=0),50000,0))+IF($H4=1,INDEX('calcA'!$D$180:$EQ$219,$B4,83)*4000,0)-IF(AND('calcA'!CG$117=1,XE4&gt;0),2000,0)-IF(AND($U4=1,'calcA'!CH$117=1,GG4=0),2000,0))),1000000000))</f>
        <v/>
      </c>
      <c r="RK4">
        <f>IF($B4=0,1000000000,IF(INDEX('calcA'!$D$60:$EQ$99,$B4,84)*IF($W4=1,GG4+ACV4,GG4)=1,IF(AND($E4=2,IF($W4=1,AIK4,LV4)=0),1000000000,IF($V4=1,INDEX('calcA'!$D$130:$EQ$169,$B4,84)+IF(AND($E4=1,LV4=0),25,0),IF($F4&gt;0,INDEX('calcA'!CI$110:CI$114,$F4+1)+IF(AND($E4=1,LV4=0),1000,0),MIN(TX4,20)*400+(IF('calcA'!CH$106=1,1-GF4,0)+IF('calcA'!CI$106=1,1-GH4,0))*150+124+'calcA'!CI$5*100000+IF(AND($E4=1,LV4=0),50000,0))+IF($H4=1,INDEX('calcA'!$D$180:$EQ$219,$B4,84)*4000,0)-IF(AND('calcA'!CH$117=1,XF4&gt;0),2000,0)-IF(AND($U4=1,'calcA'!CI$117=1,GH4=0),2000,0))),1000000000))</f>
        <v/>
      </c>
      <c r="RL4">
        <f>IF($B4=0,1000000000,IF(INDEX('calcA'!$D$60:$EQ$99,$B4,85)*IF($W4=1,GH4+ACW4,GH4)=1,IF(AND($E4=2,IF($W4=1,AIL4,LW4)=0),1000000000,IF($V4=1,INDEX('calcA'!$D$130:$EQ$169,$B4,85)+IF(AND($E4=1,LW4=0),25,0),IF($F4&gt;0,INDEX('calcA'!CJ$110:CJ$114,$F4+1)+IF(AND($E4=1,LW4=0),1000,0),MIN(TX4,20)*400+(IF('calcA'!CI$106=1,1-GG4,0)+IF('calcA'!CJ$106=1,1-GI4,0))*150+134+'calcA'!CJ$5*100000+IF(AND($E4=1,LW4=0),50000,0))+IF($H4=1,INDEX('calcA'!$D$180:$EQ$219,$B4,85)*4000,0)-IF(AND('calcA'!CI$117=1,XG4&gt;0),2000,0)-IF(AND($U4=1,'calcA'!CJ$117=1,GI4=0),2000,0))),1000000000))</f>
        <v/>
      </c>
      <c r="RM4">
        <f>IF($B4=0,1000000000,IF(INDEX('calcA'!$D$60:$EQ$99,$B4,86)*IF($W4=1,GI4+ACX4,GI4)=1,IF(AND($E4=2,IF($W4=1,AIM4,LX4)=0),1000000000,IF($V4=1,INDEX('calcA'!$D$130:$EQ$169,$B4,86)+IF(AND($E4=1,LX4=0),25,0),IF($F4&gt;0,INDEX('calcA'!CK$110:CK$114,$F4+1)+IF(AND($E4=1,LX4=0),1000,0),MIN(TX4,20)*400+(IF('calcA'!CJ$106=1,1-GH4,0)+IF('calcA'!CK$106=1,1-GJ4,0))*150+144+'calcA'!CK$5*100000+IF(AND($E4=1,LX4=0),50000,0))+IF($H4=1,INDEX('calcA'!$D$180:$EQ$219,$B4,86)*4000,0)-IF(AND('calcA'!CJ$117=1,XH4&gt;0),2000,0)-IF(AND($U4=1,'calcA'!CK$117=1,GJ4=0),2000,0))),1000000000))</f>
        <v/>
      </c>
      <c r="RN4">
        <f>IF($B4=0,1000000000,IF(INDEX('calcA'!$D$60:$EQ$99,$B4,87)*IF($W4=1,GJ4+ACY4,GJ4)=1,IF(AND($E4=2,IF($W4=1,AIN4,LY4)=0),1000000000,IF($V4=1,INDEX('calcA'!$D$130:$EQ$169,$B4,87)+IF(AND($E4=1,LY4=0),25,0),IF($F4&gt;0,INDEX('calcA'!CL$110:CL$114,$F4+1)+IF(AND($E4=1,LY4=0),1000,0),MIN(TX4,20)*400+(IF('calcA'!CK$106=1,1-GI4,0)+IF('calcA'!CL$106=1,1-GK4,0))*150+154+'calcA'!CL$5*100000+IF(AND($E4=1,LY4=0),50000,0))+IF($H4=1,INDEX('calcA'!$D$180:$EQ$219,$B4,87)*4000,0)-IF(AND('calcA'!CK$117=1,XI4&gt;0),2000,0)-IF(AND($U4=1,'calcA'!CL$117=1,GK4=0),2000,0))),1000000000))</f>
        <v/>
      </c>
      <c r="RO4">
        <f>IF($B4=0,1000000000,IF(INDEX('calcA'!$D$60:$EQ$99,$B4,88)*IF($W4=1,GK4+ACZ4,GK4)=1,IF(AND($E4=2,IF($W4=1,AIO4,LZ4)=0),1000000000,IF($V4=1,INDEX('calcA'!$D$130:$EQ$169,$B4,88)+IF(AND($E4=1,LZ4=0),25,0),IF($F4&gt;0,INDEX('calcA'!CM$110:CM$114,$F4+1)+IF(AND($E4=1,LZ4=0),1000,0),MIN(TX4,20)*400+(IF('calcA'!CL$106=1,1-GJ4,0)+IF('calcA'!CM$106=1,1-GL4,0))*150+164+'calcA'!CM$5*100000+IF(AND($E4=1,LZ4=0),50000,0))+IF($H4=1,INDEX('calcA'!$D$180:$EQ$219,$B4,88)*4000,0)-IF(AND('calcA'!CL$117=1,XJ4&gt;0),2000,0)-IF(AND($U4=1,'calcA'!CM$117=1,GL4=0),2000,0))),1000000000))</f>
        <v/>
      </c>
      <c r="RP4">
        <f>IF($B4=0,1000000000,IF(INDEX('calcA'!$D$60:$EQ$99,$B4,89)*IF($W4=1,GL4+ADA4,GL4)=1,IF(AND($E4=2,IF($W4=1,AIP4,MA4)=0),1000000000,IF($V4=1,INDEX('calcA'!$D$130:$EQ$169,$B4,89)+IF(AND($E4=1,MA4=0),25,0),IF($F4&gt;0,INDEX('calcA'!CN$110:CN$114,$F4+1)+IF(AND($E4=1,MA4=0),1000,0),MIN(TX4,20)*400+(IF('calcA'!CM$106=1,1-GK4,0)+IF('calcA'!CN$106=1,1-GM4,0))*150+174+'calcA'!CN$5*100000+IF(AND($E4=1,MA4=0),50000,0))+IF($H4=1,INDEX('calcA'!$D$180:$EQ$219,$B4,89)*4000,0)-IF(AND('calcA'!CM$117=1,XK4&gt;0),2000,0)-IF(AND($U4=1,'calcA'!CN$117=1,GM4=0),2000,0))),1000000000))</f>
        <v/>
      </c>
      <c r="RQ4">
        <f>IF($B4=0,1000000000,IF(INDEX('calcA'!$D$60:$EQ$99,$B4,90)*IF($W4=1,GM4+ADB4,GM4)=1,IF(AND($E4=2,IF($W4=1,AIQ4,MB4)=0),1000000000,IF($V4=1,INDEX('calcA'!$D$130:$EQ$169,$B4,90)+IF(AND($E4=1,MB4=0),25,0),IF($F4&gt;0,INDEX('calcA'!CO$110:CO$114,$F4+1)+IF(AND($E4=1,MB4=0),1000,0),MIN(TX4,20)*400+(IF('calcA'!CN$106=1,1-GL4,0)+IF('calcA'!CO$106=1,1-GN4,0))*150+184+'calcA'!CO$5*100000+IF(AND($E4=1,MB4=0),50000,0))+IF($H4=1,INDEX('calcA'!$D$180:$EQ$219,$B4,90)*4000,0)-IF(AND('calcA'!CN$117=1,XL4&gt;0),2000,0)-IF(AND($U4=1,'calcA'!CO$117=1,GN4=0),2000,0))),1000000000))</f>
        <v/>
      </c>
      <c r="RR4">
        <f>IF($B4=0,1000000000,IF(INDEX('calcA'!$D$60:$EQ$99,$B4,91)*IF($W4=1,GN4+ADC4,GN4)=1,IF(AND($E4=2,IF($W4=1,AIR4,MC4)=0),1000000000,IF($V4=1,INDEX('calcA'!$D$130:$EQ$169,$B4,91)+IF(AND($E4=1,MC4=0),25,0),IF($F4&gt;0,INDEX('calcA'!CP$110:CP$114,$F4+1)+IF(AND($E4=1,MC4=0),1000,0),MIN(TX4,20)*400+(IF('calcA'!CO$106=1,1-GM4,0)+IF('calcA'!CP$106=1,1-GO4,0))*150+194+'calcA'!CP$5*100000+IF(AND($E4=1,MC4=0),50000,0))+IF($H4=1,INDEX('calcA'!$D$180:$EQ$219,$B4,91)*4000,0)-IF(AND('calcA'!CO$117=1,XM4&gt;0),2000,0)-IF(AND($U4=1,'calcA'!CP$117=1,GO4=0),2000,0))),1000000000))</f>
        <v/>
      </c>
      <c r="RS4">
        <f>IF($B4=0,1000000000,IF(INDEX('calcA'!$D$60:$EQ$99,$B4,92)*IF($W4=1,GO4+ADD4,GO4)=1,IF(AND($E4=2,IF($W4=1,AIS4,MD4)=0),1000000000,IF($V4=1,INDEX('calcA'!$D$130:$EQ$169,$B4,92)+IF(AND($E4=1,MD4=0),25,0),IF($F4&gt;0,INDEX('calcA'!CQ$110:CQ$114,$F4+1)+IF(AND($E4=1,MD4=0),1000,0),MIN(TX4,20)*400+(IF('calcA'!CP$106=1,1-GN4,0)+IF('calcA'!CQ$106=1,1-GP4,0))*150+204+'calcA'!CQ$5*100000+IF(AND($E4=1,MD4=0),50000,0))+IF($H4=1,INDEX('calcA'!$D$180:$EQ$219,$B4,92)*4000,0)-IF(AND('calcA'!CP$117=1,XN4&gt;0),2000,0)-IF(AND($U4=1,'calcA'!CQ$117=1,GP4=0),2000,0))),1000000000))</f>
        <v/>
      </c>
      <c r="RT4">
        <f>IF($B4=0,1000000000,IF(INDEX('calcA'!$D$60:$EQ$99,$B4,93)*IF($W4=1,GP4+ADE4,GP4)=1,IF(AND($E4=2,IF($W4=1,AIT4,ME4)=0),1000000000,IF($V4=1,INDEX('calcA'!$D$130:$EQ$169,$B4,93)+IF(AND($E4=1,ME4=0),25,0),IF($F4&gt;0,INDEX('calcA'!CR$110:CR$114,$F4+1)+IF(AND($E4=1,ME4=0),1000,0),MIN(TX4,20)*400+(IF('calcA'!CQ$106=1,1-GO4,0)+IF('calcA'!CR$106=1,1-GQ4,0))*150+214+'calcA'!CR$5*100000+IF(AND($E4=1,ME4=0),50000,0))+IF($H4=1,INDEX('calcA'!$D$180:$EQ$219,$B4,93)*4000,0)-IF(AND('calcA'!CQ$117=1,XO4&gt;0),2000,0)-IF(AND($U4=1,'calcA'!CR$117=1,GQ4=0),2000,0))),1000000000))</f>
        <v/>
      </c>
      <c r="RU4">
        <f>IF($B4=0,1000000000,IF(INDEX('calcA'!$D$60:$EQ$99,$B4,94)*IF($W4=1,GQ4+ADF4,GQ4)=1,IF(AND($E4=2,IF($W4=1,AIU4,MF4)=0),1000000000,IF($V4=1,INDEX('calcA'!$D$130:$EQ$169,$B4,94)+IF(AND($E4=1,MF4=0),25,0),IF($F4&gt;0,INDEX('calcA'!CS$110:CS$114,$F4+1)+IF(AND($E4=1,MF4=0),1000,0),MIN(TX4,20)*400+(IF('calcA'!CR$106=1,1-GP4,0)+IF('calcA'!CS$106=1,1-GR4,0))*150+224+'calcA'!CS$5*100000+IF(AND($E4=1,MF4=0),50000,0))+IF($H4=1,INDEX('calcA'!$D$180:$EQ$219,$B4,94)*4000,0)-IF(AND('calcA'!CR$117=1,XP4&gt;0),2000,0)-IF(AND($U4=1,'calcA'!CS$117=1,GR4=0),2000,0))),1000000000))</f>
        <v/>
      </c>
      <c r="RV4">
        <f>IF($B4=0,1000000000,IF(INDEX('calcA'!$D$60:$EQ$99,$B4,95)*IF($W4=1,GR4+ADG4,GR4)=1,IF(AND($E4=2,IF($W4=1,AIV4,MG4)=0),1000000000,IF($V4=1,INDEX('calcA'!$D$130:$EQ$169,$B4,95)+IF(AND($E4=1,MG4=0),25,0),IF($F4&gt;0,INDEX('calcA'!CT$110:CT$114,$F4+1)+IF(AND($E4=1,MG4=0),1000,0),MIN(TX4,20)*400+(IF('calcA'!CS$106=1,1-GQ4,0)+IF('calcA'!CT$106=1,1-GS4,0))*150+234+'calcA'!CT$5*100000+IF(AND($E4=1,MG4=0),50000,0))+IF($H4=1,INDEX('calcA'!$D$180:$EQ$219,$B4,95)*4000,0)-IF(AND('calcA'!CS$117=1,XQ4&gt;0),2000,0)-IF(AND($U4=1,'calcA'!CT$117=1,GS4=0),2000,0))),1000000000))</f>
        <v/>
      </c>
      <c r="RW4">
        <f>IF($B4=0,1000000000,IF(INDEX('calcA'!$D$60:$EQ$99,$B4,96)*IF($W4=1,GS4+ADH4,GS4)=1,IF(AND($E4=2,IF($W4=1,AIW4,MH4)=0),1000000000,IF($V4=1,INDEX('calcA'!$D$130:$EQ$169,$B4,96)+IF(AND($E4=1,MH4=0),25,0),IF($F4&gt;0,INDEX('calcA'!CU$110:CU$114,$F4+1)+IF(AND($E4=1,MH4=0),1000,0),MIN(TX4,20)*400+(IF('calcA'!CT$106=1,1-GR4,0))*150+244+'calcA'!CU$5*100000+IF(AND($E4=1,MH4=0),50000,0))+IF($H4=1,INDEX('calcA'!$D$180:$EQ$219,$B4,96)*4000,0)-IF(AND('calcA'!CT$117=1,XR4&gt;0),2000,0))),1000000000))</f>
        <v/>
      </c>
      <c r="RX4">
        <f>IF($B4=0,1000000000,IF(INDEX('calcA'!$D$60:$EQ$99,$B4,97)*IF($W4=1,GT4+ADI4,GT4)=1,IF(AND($E4=2,IF($W4=1,AIX4,MI4)=0),1000000000,IF($V4=1,INDEX('calcA'!$D$130:$EQ$169,$B4,97)+IF(AND($E4=1,MI4=0),25,0),IF($F4&gt;0,INDEX('calcA'!CV$110:CV$114,$F4+1)+IF(AND($E4=1,MI4=0),1000,0),MIN(TY4,20)*400+(IF('calcA'!CV$106=1,1-GU4,0))*150+15+'calcA'!CV$5*100000+IF(AND($E4=1,MI4=0),50000,0))+IF($H4=1,INDEX('calcA'!$D$180:$EQ$219,$B4,97)*4000,0)-IF(AND($U4=1,'calcA'!CV$117=1,GU4=0),2000,0))),1000000000))</f>
        <v/>
      </c>
      <c r="RY4">
        <f>IF($B4=0,1000000000,IF(INDEX('calcA'!$D$60:$EQ$99,$B4,98)*IF($W4=1,GU4+ADJ4,GU4)=1,IF(AND($E4=2,IF($W4=1,AIY4,MJ4)=0),1000000000,IF($V4=1,INDEX('calcA'!$D$130:$EQ$169,$B4,98)+IF(AND($E4=1,MJ4=0),25,0),IF($F4&gt;0,INDEX('calcA'!CW$110:CW$114,$F4+1)+IF(AND($E4=1,MJ4=0),1000,0),MIN(TY4,20)*400+(IF('calcA'!CV$106=1,1-GT4,0)+IF('calcA'!CW$106=1,1-GV4,0))*150+25+'calcA'!CW$5*100000+IF(AND($E4=1,MJ4=0),50000,0))+IF($H4=1,INDEX('calcA'!$D$180:$EQ$219,$B4,98)*4000,0)-IF(AND('calcA'!CV$117=1,XT4&gt;0),2000,0)-IF(AND($U4=1,'calcA'!CW$117=1,GV4=0),2000,0))),1000000000))</f>
        <v/>
      </c>
      <c r="RZ4">
        <f>IF($B4=0,1000000000,IF(INDEX('calcA'!$D$60:$EQ$99,$B4,99)*IF($W4=1,GV4+ADK4,GV4)=1,IF(AND($E4=2,IF($W4=1,AIZ4,MK4)=0),1000000000,IF($V4=1,INDEX('calcA'!$D$130:$EQ$169,$B4,99)+IF(AND($E4=1,MK4=0),25,0),IF($F4&gt;0,INDEX('calcA'!CX$110:CX$114,$F4+1)+IF(AND($E4=1,MK4=0),1000,0),MIN(TY4,20)*400+(IF('calcA'!CW$106=1,1-GU4,0)+IF('calcA'!CX$106=1,1-GW4,0))*150+35+'calcA'!CX$5*100000+IF(AND($E4=1,MK4=0),50000,0))+IF($H4=1,INDEX('calcA'!$D$180:$EQ$219,$B4,99)*4000,0)-IF(AND('calcA'!CW$117=1,XU4&gt;0),2000,0)-IF(AND($U4=1,'calcA'!CX$117=1,GW4=0),2000,0))),1000000000))</f>
        <v/>
      </c>
      <c r="SA4">
        <f>IF($B4=0,1000000000,IF(INDEX('calcA'!$D$60:$EQ$99,$B4,100)*IF($W4=1,GW4+ADL4,GW4)=1,IF(AND($E4=2,IF($W4=1,AJA4,ML4)=0),1000000000,IF($V4=1,INDEX('calcA'!$D$130:$EQ$169,$B4,100)+IF(AND($E4=1,ML4=0),25,0),IF($F4&gt;0,INDEX('calcA'!CY$110:CY$114,$F4+1)+IF(AND($E4=1,ML4=0),1000,0),MIN(TY4,20)*400+(IF('calcA'!CX$106=1,1-GV4,0)+IF('calcA'!CY$106=1,1-GX4,0))*150+45+'calcA'!CY$5*100000+IF(AND($E4=1,ML4=0),50000,0))+IF($H4=1,INDEX('calcA'!$D$180:$EQ$219,$B4,100)*4000,0)-IF(AND('calcA'!CX$117=1,XV4&gt;0),2000,0)-IF(AND($U4=1,'calcA'!CY$117=1,GX4=0),2000,0))),1000000000))</f>
        <v/>
      </c>
      <c r="SB4">
        <f>IF($B4=0,1000000000,IF(INDEX('calcA'!$D$60:$EQ$99,$B4,101)*IF($W4=1,GX4+ADM4,GX4)=1,IF(AND($E4=2,IF($W4=1,AJB4,MM4)=0),1000000000,IF($V4=1,INDEX('calcA'!$D$130:$EQ$169,$B4,101)+IF(AND($E4=1,MM4=0),25,0),IF($F4&gt;0,INDEX('calcA'!CZ$110:CZ$114,$F4+1)+IF(AND($E4=1,MM4=0),1000,0),MIN(TY4,20)*400+(IF('calcA'!CY$106=1,1-GW4,0)+IF('calcA'!CZ$106=1,1-GY4,0))*150+55+'calcA'!CZ$5*100000+IF(AND($E4=1,MM4=0),50000,0))+IF($H4=1,INDEX('calcA'!$D$180:$EQ$219,$B4,101)*4000,0)-IF(AND('calcA'!CY$117=1,XW4&gt;0),2000,0)-IF(AND($U4=1,'calcA'!CZ$117=1,GY4=0),2000,0))),1000000000))</f>
        <v/>
      </c>
      <c r="SC4">
        <f>IF($B4=0,1000000000,IF(INDEX('calcA'!$D$60:$EQ$99,$B4,102)*IF($W4=1,GY4+ADN4,GY4)=1,IF(AND($E4=2,IF($W4=1,AJC4,MN4)=0),1000000000,IF($V4=1,INDEX('calcA'!$D$130:$EQ$169,$B4,102)+IF(AND($E4=1,MN4=0),25,0),IF($F4&gt;0,INDEX('calcA'!DA$110:DA$114,$F4+1)+IF(AND($E4=1,MN4=0),1000,0),MIN(TY4,20)*400+(IF('calcA'!CZ$106=1,1-GX4,0)+IF('calcA'!DA$106=1,1-GZ4,0))*150+65+'calcA'!DA$5*100000+IF(AND($E4=1,MN4=0),50000,0))+IF($H4=1,INDEX('calcA'!$D$180:$EQ$219,$B4,102)*4000,0)-IF(AND('calcA'!CZ$117=1,XX4&gt;0),2000,0)-IF(AND($U4=1,'calcA'!DA$117=1,GZ4=0),2000,0))),1000000000))</f>
        <v/>
      </c>
      <c r="SD4">
        <f>IF($B4=0,1000000000,IF(INDEX('calcA'!$D$60:$EQ$99,$B4,103)*IF($W4=1,GZ4+ADO4,GZ4)=1,IF(AND($E4=2,IF($W4=1,AJD4,MO4)=0),1000000000,IF($V4=1,INDEX('calcA'!$D$130:$EQ$169,$B4,103)+IF(AND($E4=1,MO4=0),25,0),IF($F4&gt;0,INDEX('calcA'!DB$110:DB$114,$F4+1)+IF(AND($E4=1,MO4=0),1000,0),MIN(TY4,20)*400+(IF('calcA'!DA$106=1,1-GY4,0)+IF('calcA'!DB$106=1,1-HA4,0))*150+75+'calcA'!DB$5*100000+IF(AND($E4=1,MO4=0),50000,0))+IF($H4=1,INDEX('calcA'!$D$180:$EQ$219,$B4,103)*4000,0)-IF(AND('calcA'!DA$117=1,XY4&gt;0),2000,0)-IF(AND($U4=1,'calcA'!DB$117=1,HA4=0),2000,0))),1000000000))</f>
        <v/>
      </c>
      <c r="SE4">
        <f>IF($B4=0,1000000000,IF(INDEX('calcA'!$D$60:$EQ$99,$B4,104)*IF($W4=1,HA4+ADP4,HA4)=1,IF(AND($E4=2,IF($W4=1,AJE4,MP4)=0),1000000000,IF($V4=1,INDEX('calcA'!$D$130:$EQ$169,$B4,104)+IF(AND($E4=1,MP4=0),25,0),IF($F4&gt;0,INDEX('calcA'!DC$110:DC$114,$F4+1)+IF(AND($E4=1,MP4=0),1000,0),MIN(TY4,20)*400+(IF('calcA'!DB$106=1,1-GZ4,0)+IF('calcA'!DC$106=1,1-HB4,0))*150+85+'calcA'!DC$5*100000+IF(AND($E4=1,MP4=0),50000,0))+IF($H4=1,INDEX('calcA'!$D$180:$EQ$219,$B4,104)*4000,0)-IF(AND('calcA'!DB$117=1,XZ4&gt;0),2000,0)-IF(AND($U4=1,'calcA'!DC$117=1,HB4=0),2000,0))),1000000000))</f>
        <v/>
      </c>
      <c r="SF4">
        <f>IF($B4=0,1000000000,IF(INDEX('calcA'!$D$60:$EQ$99,$B4,105)*IF($W4=1,HB4+ADQ4,HB4)=1,IF(AND($E4=2,IF($W4=1,AJF4,MQ4)=0),1000000000,IF($V4=1,INDEX('calcA'!$D$130:$EQ$169,$B4,105)+IF(AND($E4=1,MQ4=0),25,0),IF($F4&gt;0,INDEX('calcA'!DD$110:DD$114,$F4+1)+IF(AND($E4=1,MQ4=0),1000,0),MIN(TY4,20)*400+(IF('calcA'!DC$106=1,1-HA4,0)+IF('calcA'!DD$106=1,1-HC4,0))*150+95+'calcA'!DD$5*100000+IF(AND($E4=1,MQ4=0),50000,0))+IF($H4=1,INDEX('calcA'!$D$180:$EQ$219,$B4,105)*4000,0)-IF(AND('calcA'!DC$117=1,YA4&gt;0),2000,0)-IF(AND($U4=1,'calcA'!DD$117=1,HC4=0),2000,0))),1000000000))</f>
        <v/>
      </c>
      <c r="SG4">
        <f>IF($B4=0,1000000000,IF(INDEX('calcA'!$D$60:$EQ$99,$B4,106)*IF($W4=1,HC4+ADR4,HC4)=1,IF(AND($E4=2,IF($W4=1,AJG4,MR4)=0),1000000000,IF($V4=1,INDEX('calcA'!$D$130:$EQ$169,$B4,106)+IF(AND($E4=1,MR4=0),25,0),IF($F4&gt;0,INDEX('calcA'!DE$110:DE$114,$F4+1)+IF(AND($E4=1,MR4=0),1000,0),MIN(TY4,20)*400+(IF('calcA'!DD$106=1,1-HB4,0)+IF('calcA'!DE$106=1,1-HD4,0))*150+105+'calcA'!DE$5*100000+IF(AND($E4=1,MR4=0),50000,0))+IF($H4=1,INDEX('calcA'!$D$180:$EQ$219,$B4,106)*4000,0)-IF(AND('calcA'!DD$117=1,YB4&gt;0),2000,0)-IF(AND($U4=1,'calcA'!DE$117=1,HD4=0),2000,0))),1000000000))</f>
        <v/>
      </c>
      <c r="SH4">
        <f>IF($B4=0,1000000000,IF(INDEX('calcA'!$D$60:$EQ$99,$B4,107)*IF($W4=1,HD4+ADS4,HD4)=1,IF(AND($E4=2,IF($W4=1,AJH4,MS4)=0),1000000000,IF($V4=1,INDEX('calcA'!$D$130:$EQ$169,$B4,107)+IF(AND($E4=1,MS4=0),25,0),IF($F4&gt;0,INDEX('calcA'!DF$110:DF$114,$F4+1)+IF(AND($E4=1,MS4=0),1000,0),MIN(TY4,20)*400+(IF('calcA'!DE$106=1,1-HC4,0)+IF('calcA'!DF$106=1,1-HE4,0))*150+115+'calcA'!DF$5*100000+IF(AND($E4=1,MS4=0),50000,0))+IF($H4=1,INDEX('calcA'!$D$180:$EQ$219,$B4,107)*4000,0)-IF(AND('calcA'!DE$117=1,YC4&gt;0),2000,0)-IF(AND($U4=1,'calcA'!DF$117=1,HE4=0),2000,0))),1000000000))</f>
        <v/>
      </c>
      <c r="SI4">
        <f>IF($B4=0,1000000000,IF(INDEX('calcA'!$D$60:$EQ$99,$B4,108)*IF($W4=1,HE4+ADT4,HE4)=1,IF(AND($E4=2,IF($W4=1,AJI4,MT4)=0),1000000000,IF($V4=1,INDEX('calcA'!$D$130:$EQ$169,$B4,108)+IF(AND($E4=1,MT4=0),25,0),IF($F4&gt;0,INDEX('calcA'!DG$110:DG$114,$F4+1)+IF(AND($E4=1,MT4=0),1000,0),MIN(TY4,20)*400+(IF('calcA'!DF$106=1,1-HD4,0)+IF('calcA'!DG$106=1,1-HF4,0))*150+125+'calcA'!DG$5*100000+IF(AND($E4=1,MT4=0),50000,0))+IF($H4=1,INDEX('calcA'!$D$180:$EQ$219,$B4,108)*4000,0)-IF(AND('calcA'!DF$117=1,YD4&gt;0),2000,0)-IF(AND($U4=1,'calcA'!DG$117=1,HF4=0),2000,0))),1000000000))</f>
        <v/>
      </c>
      <c r="SJ4">
        <f>IF($B4=0,1000000000,IF(INDEX('calcA'!$D$60:$EQ$99,$B4,109)*IF($W4=1,HF4+ADU4,HF4)=1,IF(AND($E4=2,IF($W4=1,AJJ4,MU4)=0),1000000000,IF($V4=1,INDEX('calcA'!$D$130:$EQ$169,$B4,109)+IF(AND($E4=1,MU4=0),25,0),IF($F4&gt;0,INDEX('calcA'!DH$110:DH$114,$F4+1)+IF(AND($E4=1,MU4=0),1000,0),MIN(TY4,20)*400+(IF('calcA'!DG$106=1,1-HE4,0)+IF('calcA'!DH$106=1,1-HG4,0))*150+135+'calcA'!DH$5*100000+IF(AND($E4=1,MU4=0),50000,0))+IF($H4=1,INDEX('calcA'!$D$180:$EQ$219,$B4,109)*4000,0)-IF(AND('calcA'!DG$117=1,YE4&gt;0),2000,0)-IF(AND($U4=1,'calcA'!DH$117=1,HG4=0),2000,0))),1000000000))</f>
        <v/>
      </c>
      <c r="SK4">
        <f>IF($B4=0,1000000000,IF(INDEX('calcA'!$D$60:$EQ$99,$B4,110)*IF($W4=1,HG4+ADV4,HG4)=1,IF(AND($E4=2,IF($W4=1,AJK4,MV4)=0),1000000000,IF($V4=1,INDEX('calcA'!$D$130:$EQ$169,$B4,110)+IF(AND($E4=1,MV4=0),25,0),IF($F4&gt;0,INDEX('calcA'!DI$110:DI$114,$F4+1)+IF(AND($E4=1,MV4=0),1000,0),MIN(TY4,20)*400+(IF('calcA'!DH$106=1,1-HF4,0)+IF('calcA'!DI$106=1,1-HH4,0))*150+145+'calcA'!DI$5*100000+IF(AND($E4=1,MV4=0),50000,0))+IF($H4=1,INDEX('calcA'!$D$180:$EQ$219,$B4,110)*4000,0)-IF(AND('calcA'!DH$117=1,YF4&gt;0),2000,0)-IF(AND($U4=1,'calcA'!DI$117=1,HH4=0),2000,0))),1000000000))</f>
        <v/>
      </c>
      <c r="SL4">
        <f>IF($B4=0,1000000000,IF(INDEX('calcA'!$D$60:$EQ$99,$B4,111)*IF($W4=1,HH4+ADW4,HH4)=1,IF(AND($E4=2,IF($W4=1,AJL4,MW4)=0),1000000000,IF($V4=1,INDEX('calcA'!$D$130:$EQ$169,$B4,111)+IF(AND($E4=1,MW4=0),25,0),IF($F4&gt;0,INDEX('calcA'!DJ$110:DJ$114,$F4+1)+IF(AND($E4=1,MW4=0),1000,0),MIN(TY4,20)*400+(IF('calcA'!DI$106=1,1-HG4,0)+IF('calcA'!DJ$106=1,1-HI4,0))*150+155+'calcA'!DJ$5*100000+IF(AND($E4=1,MW4=0),50000,0))+IF($H4=1,INDEX('calcA'!$D$180:$EQ$219,$B4,111)*4000,0)-IF(AND('calcA'!DI$117=1,YG4&gt;0),2000,0)-IF(AND($U4=1,'calcA'!DJ$117=1,HI4=0),2000,0))),1000000000))</f>
        <v/>
      </c>
      <c r="SM4">
        <f>IF($B4=0,1000000000,IF(INDEX('calcA'!$D$60:$EQ$99,$B4,112)*IF($W4=1,HI4+ADX4,HI4)=1,IF(AND($E4=2,IF($W4=1,AJM4,MX4)=0),1000000000,IF($V4=1,INDEX('calcA'!$D$130:$EQ$169,$B4,112)+IF(AND($E4=1,MX4=0),25,0),IF($F4&gt;0,INDEX('calcA'!DK$110:DK$114,$F4+1)+IF(AND($E4=1,MX4=0),1000,0),MIN(TY4,20)*400+(IF('calcA'!DJ$106=1,1-HH4,0)+IF('calcA'!DK$106=1,1-HJ4,0))*150+165+'calcA'!DK$5*100000+IF(AND($E4=1,MX4=0),50000,0))+IF($H4=1,INDEX('calcA'!$D$180:$EQ$219,$B4,112)*4000,0)-IF(AND('calcA'!DJ$117=1,YH4&gt;0),2000,0)-IF(AND($U4=1,'calcA'!DK$117=1,HJ4=0),2000,0))),1000000000))</f>
        <v/>
      </c>
      <c r="SN4">
        <f>IF($B4=0,1000000000,IF(INDEX('calcA'!$D$60:$EQ$99,$B4,113)*IF($W4=1,HJ4+ADY4,HJ4)=1,IF(AND($E4=2,IF($W4=1,AJN4,MY4)=0),1000000000,IF($V4=1,INDEX('calcA'!$D$130:$EQ$169,$B4,113)+IF(AND($E4=1,MY4=0),25,0),IF($F4&gt;0,INDEX('calcA'!DL$110:DL$114,$F4+1)+IF(AND($E4=1,MY4=0),1000,0),MIN(TY4,20)*400+(IF('calcA'!DK$106=1,1-HI4,0)+IF('calcA'!DL$106=1,1-HK4,0))*150+175+'calcA'!DL$5*100000+IF(AND($E4=1,MY4=0),50000,0))+IF($H4=1,INDEX('calcA'!$D$180:$EQ$219,$B4,113)*4000,0)-IF(AND('calcA'!DK$117=1,YI4&gt;0),2000,0)-IF(AND($U4=1,'calcA'!DL$117=1,HK4=0),2000,0))),1000000000))</f>
        <v/>
      </c>
      <c r="SO4">
        <f>IF($B4=0,1000000000,IF(INDEX('calcA'!$D$60:$EQ$99,$B4,114)*IF($W4=1,HK4+ADZ4,HK4)=1,IF(AND($E4=2,IF($W4=1,AJO4,MZ4)=0),1000000000,IF($V4=1,INDEX('calcA'!$D$130:$EQ$169,$B4,114)+IF(AND($E4=1,MZ4=0),25,0),IF($F4&gt;0,INDEX('calcA'!DM$110:DM$114,$F4+1)+IF(AND($E4=1,MZ4=0),1000,0),MIN(TY4,20)*400+(IF('calcA'!DL$106=1,1-HJ4,0)+IF('calcA'!DM$106=1,1-HL4,0))*150+185+'calcA'!DM$5*100000+IF(AND($E4=1,MZ4=0),50000,0))+IF($H4=1,INDEX('calcA'!$D$180:$EQ$219,$B4,114)*4000,0)-IF(AND('calcA'!DL$117=1,YJ4&gt;0),2000,0)-IF(AND($U4=1,'calcA'!DM$117=1,HL4=0),2000,0))),1000000000))</f>
        <v/>
      </c>
      <c r="SP4">
        <f>IF($B4=0,1000000000,IF(INDEX('calcA'!$D$60:$EQ$99,$B4,115)*IF($W4=1,HL4+AEA4,HL4)=1,IF(AND($E4=2,IF($W4=1,AJP4,NA4)=0),1000000000,IF($V4=1,INDEX('calcA'!$D$130:$EQ$169,$B4,115)+IF(AND($E4=1,NA4=0),25,0),IF($F4&gt;0,INDEX('calcA'!DN$110:DN$114,$F4+1)+IF(AND($E4=1,NA4=0),1000,0),MIN(TY4,20)*400+(IF('calcA'!DM$106=1,1-HK4,0)+IF('calcA'!DN$106=1,1-HM4,0))*150+195+'calcA'!DN$5*100000+IF(AND($E4=1,NA4=0),50000,0))+IF($H4=1,INDEX('calcA'!$D$180:$EQ$219,$B4,115)*4000,0)-IF(AND('calcA'!DM$117=1,YK4&gt;0),2000,0)-IF(AND($U4=1,'calcA'!DN$117=1,HM4=0),2000,0))),1000000000))</f>
        <v/>
      </c>
      <c r="SQ4">
        <f>IF($B4=0,1000000000,IF(INDEX('calcA'!$D$60:$EQ$99,$B4,116)*IF($W4=1,HM4+AEB4,HM4)=1,IF(AND($E4=2,IF($W4=1,AJQ4,NB4)=0),1000000000,IF($V4=1,INDEX('calcA'!$D$130:$EQ$169,$B4,116)+IF(AND($E4=1,NB4=0),25,0),IF($F4&gt;0,INDEX('calcA'!DO$110:DO$114,$F4+1)+IF(AND($E4=1,NB4=0),1000,0),MIN(TY4,20)*400+(IF('calcA'!DN$106=1,1-HL4,0)+IF('calcA'!DO$106=1,1-HN4,0))*150+205+'calcA'!DO$5*100000+IF(AND($E4=1,NB4=0),50000,0))+IF($H4=1,INDEX('calcA'!$D$180:$EQ$219,$B4,116)*4000,0)-IF(AND('calcA'!DN$117=1,YL4&gt;0),2000,0)-IF(AND($U4=1,'calcA'!DO$117=1,HN4=0),2000,0))),1000000000))</f>
        <v/>
      </c>
      <c r="SR4">
        <f>IF($B4=0,1000000000,IF(INDEX('calcA'!$D$60:$EQ$99,$B4,117)*IF($W4=1,HN4+AEC4,HN4)=1,IF(AND($E4=2,IF($W4=1,AJR4,NC4)=0),1000000000,IF($V4=1,INDEX('calcA'!$D$130:$EQ$169,$B4,117)+IF(AND($E4=1,NC4=0),25,0),IF($F4&gt;0,INDEX('calcA'!DP$110:DP$114,$F4+1)+IF(AND($E4=1,NC4=0),1000,0),MIN(TY4,20)*400+(IF('calcA'!DO$106=1,1-HM4,0)+IF('calcA'!DP$106=1,1-HO4,0))*150+215+'calcA'!DP$5*100000+IF(AND($E4=1,NC4=0),50000,0))+IF($H4=1,INDEX('calcA'!$D$180:$EQ$219,$B4,117)*4000,0)-IF(AND('calcA'!DO$117=1,YM4&gt;0),2000,0)-IF(AND($U4=1,'calcA'!DP$117=1,HO4=0),2000,0))),1000000000))</f>
        <v/>
      </c>
      <c r="SS4">
        <f>IF($B4=0,1000000000,IF(INDEX('calcA'!$D$60:$EQ$99,$B4,118)*IF($W4=1,HO4+AED4,HO4)=1,IF(AND($E4=2,IF($W4=1,AJS4,ND4)=0),1000000000,IF($V4=1,INDEX('calcA'!$D$130:$EQ$169,$B4,118)+IF(AND($E4=1,ND4=0),25,0),IF($F4&gt;0,INDEX('calcA'!DQ$110:DQ$114,$F4+1)+IF(AND($E4=1,ND4=0),1000,0),MIN(TY4,20)*400+(IF('calcA'!DP$106=1,1-HN4,0)+IF('calcA'!DQ$106=1,1-HP4,0))*150+225+'calcA'!DQ$5*100000+IF(AND($E4=1,ND4=0),50000,0))+IF($H4=1,INDEX('calcA'!$D$180:$EQ$219,$B4,118)*4000,0)-IF(AND('calcA'!DP$117=1,YN4&gt;0),2000,0)-IF(AND($U4=1,'calcA'!DQ$117=1,HP4=0),2000,0))),1000000000))</f>
        <v/>
      </c>
      <c r="ST4">
        <f>IF($B4=0,1000000000,IF(INDEX('calcA'!$D$60:$EQ$99,$B4,119)*IF($W4=1,HP4+AEE4,HP4)=1,IF(AND($E4=2,IF($W4=1,AJT4,NE4)=0),1000000000,IF($V4=1,INDEX('calcA'!$D$130:$EQ$169,$B4,119)+IF(AND($E4=1,NE4=0),25,0),IF($F4&gt;0,INDEX('calcA'!DR$110:DR$114,$F4+1)+IF(AND($E4=1,NE4=0),1000,0),MIN(TY4,20)*400+(IF('calcA'!DQ$106=1,1-HO4,0)+IF('calcA'!DR$106=1,1-HQ4,0))*150+235+'calcA'!DR$5*100000+IF(AND($E4=1,NE4=0),50000,0))+IF($H4=1,INDEX('calcA'!$D$180:$EQ$219,$B4,119)*4000,0)-IF(AND('calcA'!DQ$117=1,YO4&gt;0),2000,0)-IF(AND($U4=1,'calcA'!DR$117=1,HQ4=0),2000,0))),1000000000))</f>
        <v/>
      </c>
      <c r="SU4">
        <f>IF($B4=0,1000000000,IF(INDEX('calcA'!$D$60:$EQ$99,$B4,120)*IF($W4=1,HQ4+AEF4,HQ4)=1,IF(AND($E4=2,IF($W4=1,AJU4,NF4)=0),1000000000,IF($V4=1,INDEX('calcA'!$D$130:$EQ$169,$B4,120)+IF(AND($E4=1,NF4=0),25,0),IF($F4&gt;0,INDEX('calcA'!DS$110:DS$114,$F4+1)+IF(AND($E4=1,NF4=0),1000,0),MIN(TY4,20)*400+(IF('calcA'!DR$106=1,1-HP4,0))*150+245+'calcA'!DS$5*100000+IF(AND($E4=1,NF4=0),50000,0))+IF($H4=1,INDEX('calcA'!$D$180:$EQ$219,$B4,120)*4000,0)-IF(AND('calcA'!DR$117=1,YP4&gt;0),2000,0))),1000000000))</f>
        <v/>
      </c>
      <c r="SV4">
        <f>IF($B4=0,1000000000,IF(INDEX('calcA'!$D$60:$EQ$99,$B4,121)*IF($W4=1,HR4+AEG4,HR4)=1,IF(AND($E4=2,IF($W4=1,AJV4,NG4)=0),1000000000,IF($V4=1,INDEX('calcA'!$D$130:$EQ$169,$B4,121)+IF(AND($E4=1,NG4=0),25,0),IF($F4&gt;0,INDEX('calcA'!DT$110:DT$114,$F4+1)+IF(AND($E4=1,NG4=0),1000,0),MIN(TZ4,20)*400+(IF('calcA'!DT$106=1,1-HS4,0))*150+16+'calcA'!DT$5*100000+IF(AND($E4=1,NG4=0),50000,0))+IF($H4=1,INDEX('calcA'!$D$180:$EQ$219,$B4,121)*4000,0)-IF(AND($U4=1,'calcA'!DT$117=1,HS4=0),2000,0))),1000000000))</f>
        <v/>
      </c>
      <c r="SW4">
        <f>IF($B4=0,1000000000,IF(INDEX('calcA'!$D$60:$EQ$99,$B4,122)*IF($W4=1,HS4+AEH4,HS4)=1,IF(AND($E4=2,IF($W4=1,AJW4,NH4)=0),1000000000,IF($V4=1,INDEX('calcA'!$D$130:$EQ$169,$B4,122)+IF(AND($E4=1,NH4=0),25,0),IF($F4&gt;0,INDEX('calcA'!DU$110:DU$114,$F4+1)+IF(AND($E4=1,NH4=0),1000,0),MIN(TZ4,20)*400+(IF('calcA'!DT$106=1,1-HR4,0)+IF('calcA'!DU$106=1,1-HT4,0))*150+26+'calcA'!DU$5*100000+IF(AND($E4=1,NH4=0),50000,0))+IF($H4=1,INDEX('calcA'!$D$180:$EQ$219,$B4,122)*4000,0)-IF(AND('calcA'!DT$117=1,YR4&gt;0),2000,0)-IF(AND($U4=1,'calcA'!DU$117=1,HT4=0),2000,0))),1000000000))</f>
        <v/>
      </c>
      <c r="SX4">
        <f>IF($B4=0,1000000000,IF(INDEX('calcA'!$D$60:$EQ$99,$B4,123)*IF($W4=1,HT4+AEI4,HT4)=1,IF(AND($E4=2,IF($W4=1,AJX4,NI4)=0),1000000000,IF($V4=1,INDEX('calcA'!$D$130:$EQ$169,$B4,123)+IF(AND($E4=1,NI4=0),25,0),IF($F4&gt;0,INDEX('calcA'!DV$110:DV$114,$F4+1)+IF(AND($E4=1,NI4=0),1000,0),MIN(TZ4,20)*400+(IF('calcA'!DU$106=1,1-HS4,0)+IF('calcA'!DV$106=1,1-HU4,0))*150+36+'calcA'!DV$5*100000+IF(AND($E4=1,NI4=0),50000,0))+IF($H4=1,INDEX('calcA'!$D$180:$EQ$219,$B4,123)*4000,0)-IF(AND('calcA'!DU$117=1,YS4&gt;0),2000,0)-IF(AND($U4=1,'calcA'!DV$117=1,HU4=0),2000,0))),1000000000))</f>
        <v/>
      </c>
      <c r="SY4">
        <f>IF($B4=0,1000000000,IF(INDEX('calcA'!$D$60:$EQ$99,$B4,124)*IF($W4=1,HU4+AEJ4,HU4)=1,IF(AND($E4=2,IF($W4=1,AJY4,NJ4)=0),1000000000,IF($V4=1,INDEX('calcA'!$D$130:$EQ$169,$B4,124)+IF(AND($E4=1,NJ4=0),25,0),IF($F4&gt;0,INDEX('calcA'!DW$110:DW$114,$F4+1)+IF(AND($E4=1,NJ4=0),1000,0),MIN(TZ4,20)*400+(IF('calcA'!DV$106=1,1-HT4,0)+IF('calcA'!DW$106=1,1-HV4,0))*150+46+'calcA'!DW$5*100000+IF(AND($E4=1,NJ4=0),50000,0))+IF($H4=1,INDEX('calcA'!$D$180:$EQ$219,$B4,124)*4000,0)-IF(AND('calcA'!DV$117=1,YT4&gt;0),2000,0)-IF(AND($U4=1,'calcA'!DW$117=1,HV4=0),2000,0))),1000000000))</f>
        <v/>
      </c>
      <c r="SZ4">
        <f>IF($B4=0,1000000000,IF(INDEX('calcA'!$D$60:$EQ$99,$B4,125)*IF($W4=1,HV4+AEK4,HV4)=1,IF(AND($E4=2,IF($W4=1,AJZ4,NK4)=0),1000000000,IF($V4=1,INDEX('calcA'!$D$130:$EQ$169,$B4,125)+IF(AND($E4=1,NK4=0),25,0),IF($F4&gt;0,INDEX('calcA'!DX$110:DX$114,$F4+1)+IF(AND($E4=1,NK4=0),1000,0),MIN(TZ4,20)*400+(IF('calcA'!DW$106=1,1-HU4,0)+IF('calcA'!DX$106=1,1-HW4,0))*150+56+'calcA'!DX$5*100000+IF(AND($E4=1,NK4=0),50000,0))+IF($H4=1,INDEX('calcA'!$D$180:$EQ$219,$B4,125)*4000,0)-IF(AND('calcA'!DW$117=1,YU4&gt;0),2000,0)-IF(AND($U4=1,'calcA'!DX$117=1,HW4=0),2000,0))),1000000000))</f>
        <v/>
      </c>
      <c r="TA4">
        <f>IF($B4=0,1000000000,IF(INDEX('calcA'!$D$60:$EQ$99,$B4,126)*IF($W4=1,HW4+AEL4,HW4)=1,IF(AND($E4=2,IF($W4=1,AKA4,NL4)=0),1000000000,IF($V4=1,INDEX('calcA'!$D$130:$EQ$169,$B4,126)+IF(AND($E4=1,NL4=0),25,0),IF($F4&gt;0,INDEX('calcA'!DY$110:DY$114,$F4+1)+IF(AND($E4=1,NL4=0),1000,0),MIN(TZ4,20)*400+(IF('calcA'!DX$106=1,1-HV4,0)+IF('calcA'!DY$106=1,1-HX4,0))*150+66+'calcA'!DY$5*100000+IF(AND($E4=1,NL4=0),50000,0))+IF($H4=1,INDEX('calcA'!$D$180:$EQ$219,$B4,126)*4000,0)-IF(AND('calcA'!DX$117=1,YV4&gt;0),2000,0)-IF(AND($U4=1,'calcA'!DY$117=1,HX4=0),2000,0))),1000000000))</f>
        <v/>
      </c>
      <c r="TB4">
        <f>IF($B4=0,1000000000,IF(INDEX('calcA'!$D$60:$EQ$99,$B4,127)*IF($W4=1,HX4+AEM4,HX4)=1,IF(AND($E4=2,IF($W4=1,AKB4,NM4)=0),1000000000,IF($V4=1,INDEX('calcA'!$D$130:$EQ$169,$B4,127)+IF(AND($E4=1,NM4=0),25,0),IF($F4&gt;0,INDEX('calcA'!DZ$110:DZ$114,$F4+1)+IF(AND($E4=1,NM4=0),1000,0),MIN(TZ4,20)*400+(IF('calcA'!DY$106=1,1-HW4,0)+IF('calcA'!DZ$106=1,1-HY4,0))*150+76+'calcA'!DZ$5*100000+IF(AND($E4=1,NM4=0),50000,0))+IF($H4=1,INDEX('calcA'!$D$180:$EQ$219,$B4,127)*4000,0)-IF(AND('calcA'!DY$117=1,YW4&gt;0),2000,0)-IF(AND($U4=1,'calcA'!DZ$117=1,HY4=0),2000,0))),1000000000))</f>
        <v/>
      </c>
      <c r="TC4">
        <f>IF($B4=0,1000000000,IF(INDEX('calcA'!$D$60:$EQ$99,$B4,128)*IF($W4=1,HY4+AEN4,HY4)=1,IF(AND($E4=2,IF($W4=1,AKC4,NN4)=0),1000000000,IF($V4=1,INDEX('calcA'!$D$130:$EQ$169,$B4,128)+IF(AND($E4=1,NN4=0),25,0),IF($F4&gt;0,INDEX('calcA'!EA$110:EA$114,$F4+1)+IF(AND($E4=1,NN4=0),1000,0),MIN(TZ4,20)*400+(IF('calcA'!DZ$106=1,1-HX4,0)+IF('calcA'!EA$106=1,1-HZ4,0))*150+86+'calcA'!EA$5*100000+IF(AND($E4=1,NN4=0),50000,0))+IF($H4=1,INDEX('calcA'!$D$180:$EQ$219,$B4,128)*4000,0)-IF(AND('calcA'!DZ$117=1,YX4&gt;0),2000,0)-IF(AND($U4=1,'calcA'!EA$117=1,HZ4=0),2000,0))),1000000000))</f>
        <v/>
      </c>
      <c r="TD4">
        <f>IF($B4=0,1000000000,IF(INDEX('calcA'!$D$60:$EQ$99,$B4,129)*IF($W4=1,HZ4+AEO4,HZ4)=1,IF(AND($E4=2,IF($W4=1,AKD4,NO4)=0),1000000000,IF($V4=1,INDEX('calcA'!$D$130:$EQ$169,$B4,129)+IF(AND($E4=1,NO4=0),25,0),IF($F4&gt;0,INDEX('calcA'!EB$110:EB$114,$F4+1)+IF(AND($E4=1,NO4=0),1000,0),MIN(TZ4,20)*400+(IF('calcA'!EA$106=1,1-HY4,0)+IF('calcA'!EB$106=1,1-IA4,0))*150+96+'calcA'!EB$5*100000+IF(AND($E4=1,NO4=0),50000,0))+IF($H4=1,INDEX('calcA'!$D$180:$EQ$219,$B4,129)*4000,0)-IF(AND('calcA'!EA$117=1,YY4&gt;0),2000,0)-IF(AND($U4=1,'calcA'!EB$117=1,IA4=0),2000,0))),1000000000))</f>
        <v/>
      </c>
      <c r="TE4">
        <f>IF($B4=0,1000000000,IF(INDEX('calcA'!$D$60:$EQ$99,$B4,130)*IF($W4=1,IA4+AEP4,IA4)=1,IF(AND($E4=2,IF($W4=1,AKE4,NP4)=0),1000000000,IF($V4=1,INDEX('calcA'!$D$130:$EQ$169,$B4,130)+IF(AND($E4=1,NP4=0),25,0),IF($F4&gt;0,INDEX('calcA'!EC$110:EC$114,$F4+1)+IF(AND($E4=1,NP4=0),1000,0),MIN(TZ4,20)*400+(IF('calcA'!EB$106=1,1-HZ4,0)+IF('calcA'!EC$106=1,1-IB4,0))*150+106+'calcA'!EC$5*100000+IF(AND($E4=1,NP4=0),50000,0))+IF($H4=1,INDEX('calcA'!$D$180:$EQ$219,$B4,130)*4000,0)-IF(AND('calcA'!EB$117=1,YZ4&gt;0),2000,0)-IF(AND($U4=1,'calcA'!EC$117=1,IB4=0),2000,0))),1000000000))</f>
        <v/>
      </c>
      <c r="TF4">
        <f>IF($B4=0,1000000000,IF(INDEX('calcA'!$D$60:$EQ$99,$B4,131)*IF($W4=1,IB4+AEQ4,IB4)=1,IF(AND($E4=2,IF($W4=1,AKF4,NQ4)=0),1000000000,IF($V4=1,INDEX('calcA'!$D$130:$EQ$169,$B4,131)+IF(AND($E4=1,NQ4=0),25,0),IF($F4&gt;0,INDEX('calcA'!ED$110:ED$114,$F4+1)+IF(AND($E4=1,NQ4=0),1000,0),MIN(TZ4,20)*400+(IF('calcA'!EC$106=1,1-IA4,0)+IF('calcA'!ED$106=1,1-IC4,0))*150+116+'calcA'!ED$5*100000+IF(AND($E4=1,NQ4=0),50000,0))+IF($H4=1,INDEX('calcA'!$D$180:$EQ$219,$B4,131)*4000,0)-IF(AND('calcA'!EC$117=1,ZA4&gt;0),2000,0)-IF(AND($U4=1,'calcA'!ED$117=1,IC4=0),2000,0))),1000000000))</f>
        <v/>
      </c>
      <c r="TG4">
        <f>IF($B4=0,1000000000,IF(INDEX('calcA'!$D$60:$EQ$99,$B4,132)*IF($W4=1,IC4+AER4,IC4)=1,IF(AND($E4=2,IF($W4=1,AKG4,NR4)=0),1000000000,IF($V4=1,INDEX('calcA'!$D$130:$EQ$169,$B4,132)+IF(AND($E4=1,NR4=0),25,0),IF($F4&gt;0,INDEX('calcA'!EE$110:EE$114,$F4+1)+IF(AND($E4=1,NR4=0),1000,0),MIN(TZ4,20)*400+(IF('calcA'!ED$106=1,1-IB4,0)+IF('calcA'!EE$106=1,1-ID4,0))*150+126+'calcA'!EE$5*100000+IF(AND($E4=1,NR4=0),50000,0))+IF($H4=1,INDEX('calcA'!$D$180:$EQ$219,$B4,132)*4000,0)-IF(AND('calcA'!ED$117=1,ZB4&gt;0),2000,0)-IF(AND($U4=1,'calcA'!EE$117=1,ID4=0),2000,0))),1000000000))</f>
        <v/>
      </c>
      <c r="TH4">
        <f>IF($B4=0,1000000000,IF(INDEX('calcA'!$D$60:$EQ$99,$B4,133)*IF($W4=1,ID4+AES4,ID4)=1,IF(AND($E4=2,IF($W4=1,AKH4,NS4)=0),1000000000,IF($V4=1,INDEX('calcA'!$D$130:$EQ$169,$B4,133)+IF(AND($E4=1,NS4=0),25,0),IF($F4&gt;0,INDEX('calcA'!EF$110:EF$114,$F4+1)+IF(AND($E4=1,NS4=0),1000,0),MIN(TZ4,20)*400+(IF('calcA'!EE$106=1,1-IC4,0)+IF('calcA'!EF$106=1,1-IE4,0))*150+136+'calcA'!EF$5*100000+IF(AND($E4=1,NS4=0),50000,0))+IF($H4=1,INDEX('calcA'!$D$180:$EQ$219,$B4,133)*4000,0)-IF(AND('calcA'!EE$117=1,ZC4&gt;0),2000,0)-IF(AND($U4=1,'calcA'!EF$117=1,IE4=0),2000,0))),1000000000))</f>
        <v/>
      </c>
      <c r="TI4">
        <f>IF($B4=0,1000000000,IF(INDEX('calcA'!$D$60:$EQ$99,$B4,134)*IF($W4=1,IE4+AET4,IE4)=1,IF(AND($E4=2,IF($W4=1,AKI4,NT4)=0),1000000000,IF($V4=1,INDEX('calcA'!$D$130:$EQ$169,$B4,134)+IF(AND($E4=1,NT4=0),25,0),IF($F4&gt;0,INDEX('calcA'!EG$110:EG$114,$F4+1)+IF(AND($E4=1,NT4=0),1000,0),MIN(TZ4,20)*400+(IF('calcA'!EF$106=1,1-ID4,0)+IF('calcA'!EG$106=1,1-IF4,0))*150+146+'calcA'!EG$5*100000+IF(AND($E4=1,NT4=0),50000,0))+IF($H4=1,INDEX('calcA'!$D$180:$EQ$219,$B4,134)*4000,0)-IF(AND('calcA'!EF$117=1,ZD4&gt;0),2000,0)-IF(AND($U4=1,'calcA'!EG$117=1,IF4=0),2000,0))),1000000000))</f>
        <v/>
      </c>
      <c r="TJ4">
        <f>IF($B4=0,1000000000,IF(INDEX('calcA'!$D$60:$EQ$99,$B4,135)*IF($W4=1,IF4+AEU4,IF4)=1,IF(AND($E4=2,IF($W4=1,AKJ4,NU4)=0),1000000000,IF($V4=1,INDEX('calcA'!$D$130:$EQ$169,$B4,135)+IF(AND($E4=1,NU4=0),25,0),IF($F4&gt;0,INDEX('calcA'!EH$110:EH$114,$F4+1)+IF(AND($E4=1,NU4=0),1000,0),MIN(TZ4,20)*400+(IF('calcA'!EG$106=1,1-IE4,0)+IF('calcA'!EH$106=1,1-IG4,0))*150+156+'calcA'!EH$5*100000+IF(AND($E4=1,NU4=0),50000,0))+IF($H4=1,INDEX('calcA'!$D$180:$EQ$219,$B4,135)*4000,0)-IF(AND('calcA'!EG$117=1,ZE4&gt;0),2000,0)-IF(AND($U4=1,'calcA'!EH$117=1,IG4=0),2000,0))),1000000000))</f>
        <v/>
      </c>
      <c r="TK4">
        <f>IF($B4=0,1000000000,IF(INDEX('calcA'!$D$60:$EQ$99,$B4,136)*IF($W4=1,IG4+AEV4,IG4)=1,IF(AND($E4=2,IF($W4=1,AKK4,NV4)=0),1000000000,IF($V4=1,INDEX('calcA'!$D$130:$EQ$169,$B4,136)+IF(AND($E4=1,NV4=0),25,0),IF($F4&gt;0,INDEX('calcA'!EI$110:EI$114,$F4+1)+IF(AND($E4=1,NV4=0),1000,0),MIN(TZ4,20)*400+(IF('calcA'!EH$106=1,1-IF4,0)+IF('calcA'!EI$106=1,1-IH4,0))*150+166+'calcA'!EI$5*100000+IF(AND($E4=1,NV4=0),50000,0))+IF($H4=1,INDEX('calcA'!$D$180:$EQ$219,$B4,136)*4000,0)-IF(AND('calcA'!EH$117=1,ZF4&gt;0),2000,0)-IF(AND($U4=1,'calcA'!EI$117=1,IH4=0),2000,0))),1000000000))</f>
        <v/>
      </c>
      <c r="TL4">
        <f>IF($B4=0,1000000000,IF(INDEX('calcA'!$D$60:$EQ$99,$B4,137)*IF($W4=1,IH4+AEW4,IH4)=1,IF(AND($E4=2,IF($W4=1,AKL4,NW4)=0),1000000000,IF($V4=1,INDEX('calcA'!$D$130:$EQ$169,$B4,137)+IF(AND($E4=1,NW4=0),25,0),IF($F4&gt;0,INDEX('calcA'!EJ$110:EJ$114,$F4+1)+IF(AND($E4=1,NW4=0),1000,0),MIN(TZ4,20)*400+(IF('calcA'!EI$106=1,1-IG4,0)+IF('calcA'!EJ$106=1,1-II4,0))*150+176+'calcA'!EJ$5*100000+IF(AND($E4=1,NW4=0),50000,0))+IF($H4=1,INDEX('calcA'!$D$180:$EQ$219,$B4,137)*4000,0)-IF(AND('calcA'!EI$117=1,ZG4&gt;0),2000,0)-IF(AND($U4=1,'calcA'!EJ$117=1,II4=0),2000,0))),1000000000))</f>
        <v/>
      </c>
      <c r="TM4">
        <f>IF($B4=0,1000000000,IF(INDEX('calcA'!$D$60:$EQ$99,$B4,138)*IF($W4=1,II4+AEX4,II4)=1,IF(AND($E4=2,IF($W4=1,AKM4,NX4)=0),1000000000,IF($V4=1,INDEX('calcA'!$D$130:$EQ$169,$B4,138)+IF(AND($E4=1,NX4=0),25,0),IF($F4&gt;0,INDEX('calcA'!EK$110:EK$114,$F4+1)+IF(AND($E4=1,NX4=0),1000,0),MIN(TZ4,20)*400+(IF('calcA'!EJ$106=1,1-IH4,0)+IF('calcA'!EK$106=1,1-IJ4,0))*150+186+'calcA'!EK$5*100000+IF(AND($E4=1,NX4=0),50000,0))+IF($H4=1,INDEX('calcA'!$D$180:$EQ$219,$B4,138)*4000,0)-IF(AND('calcA'!EJ$117=1,ZH4&gt;0),2000,0)-IF(AND($U4=1,'calcA'!EK$117=1,IJ4=0),2000,0))),1000000000))</f>
        <v/>
      </c>
      <c r="TN4">
        <f>IF($B4=0,1000000000,IF(INDEX('calcA'!$D$60:$EQ$99,$B4,139)*IF($W4=1,IJ4+AEY4,IJ4)=1,IF(AND($E4=2,IF($W4=1,AKN4,NY4)=0),1000000000,IF($V4=1,INDEX('calcA'!$D$130:$EQ$169,$B4,139)+IF(AND($E4=1,NY4=0),25,0),IF($F4&gt;0,INDEX('calcA'!EL$110:EL$114,$F4+1)+IF(AND($E4=1,NY4=0),1000,0),MIN(TZ4,20)*400+(IF('calcA'!EK$106=1,1-II4,0)+IF('calcA'!EL$106=1,1-IK4,0))*150+196+'calcA'!EL$5*100000+IF(AND($E4=1,NY4=0),50000,0))+IF($H4=1,INDEX('calcA'!$D$180:$EQ$219,$B4,139)*4000,0)-IF(AND('calcA'!EK$117=1,ZI4&gt;0),2000,0)-IF(AND($U4=1,'calcA'!EL$117=1,IK4=0),2000,0))),1000000000))</f>
        <v/>
      </c>
      <c r="TO4">
        <f>IF($B4=0,1000000000,IF(INDEX('calcA'!$D$60:$EQ$99,$B4,140)*IF($W4=1,IK4+AEZ4,IK4)=1,IF(AND($E4=2,IF($W4=1,AKO4,NZ4)=0),1000000000,IF($V4=1,INDEX('calcA'!$D$130:$EQ$169,$B4,140)+IF(AND($E4=1,NZ4=0),25,0),IF($F4&gt;0,INDEX('calcA'!EM$110:EM$114,$F4+1)+IF(AND($E4=1,NZ4=0),1000,0),MIN(TZ4,20)*400+(IF('calcA'!EL$106=1,1-IJ4,0)+IF('calcA'!EM$106=1,1-IL4,0))*150+206+'calcA'!EM$5*100000+IF(AND($E4=1,NZ4=0),50000,0))+IF($H4=1,INDEX('calcA'!$D$180:$EQ$219,$B4,140)*4000,0)-IF(AND('calcA'!EL$117=1,ZJ4&gt;0),2000,0)-IF(AND($U4=1,'calcA'!EM$117=1,IL4=0),2000,0))),1000000000))</f>
        <v/>
      </c>
      <c r="TP4">
        <f>IF($B4=0,1000000000,IF(INDEX('calcA'!$D$60:$EQ$99,$B4,141)*IF($W4=1,IL4+AFA4,IL4)=1,IF(AND($E4=2,IF($W4=1,AKP4,OA4)=0),1000000000,IF($V4=1,INDEX('calcA'!$D$130:$EQ$169,$B4,141)+IF(AND($E4=1,OA4=0),25,0),IF($F4&gt;0,INDEX('calcA'!EN$110:EN$114,$F4+1)+IF(AND($E4=1,OA4=0),1000,0),MIN(TZ4,20)*400+(IF('calcA'!EM$106=1,1-IK4,0)+IF('calcA'!EN$106=1,1-IM4,0))*150+216+'calcA'!EN$5*100000+IF(AND($E4=1,OA4=0),50000,0))+IF($H4=1,INDEX('calcA'!$D$180:$EQ$219,$B4,141)*4000,0)-IF(AND('calcA'!EM$117=1,ZK4&gt;0),2000,0)-IF(AND($U4=1,'calcA'!EN$117=1,IM4=0),2000,0))),1000000000))</f>
        <v/>
      </c>
      <c r="TQ4">
        <f>IF($B4=0,1000000000,IF(INDEX('calcA'!$D$60:$EQ$99,$B4,142)*IF($W4=1,IM4+AFB4,IM4)=1,IF(AND($E4=2,IF($W4=1,AKQ4,OB4)=0),1000000000,IF($V4=1,INDEX('calcA'!$D$130:$EQ$169,$B4,142)+IF(AND($E4=1,OB4=0),25,0),IF($F4&gt;0,INDEX('calcA'!EO$110:EO$114,$F4+1)+IF(AND($E4=1,OB4=0),1000,0),MIN(TZ4,20)*400+(IF('calcA'!EN$106=1,1-IL4,0)+IF('calcA'!EO$106=1,1-IN4,0))*150+226+'calcA'!EO$5*100000+IF(AND($E4=1,OB4=0),50000,0))+IF($H4=1,INDEX('calcA'!$D$180:$EQ$219,$B4,142)*4000,0)-IF(AND('calcA'!EN$117=1,ZL4&gt;0),2000,0)-IF(AND($U4=1,'calcA'!EO$117=1,IN4=0),2000,0))),1000000000))</f>
        <v/>
      </c>
      <c r="TR4">
        <f>IF($B4=0,1000000000,IF(INDEX('calcA'!$D$60:$EQ$99,$B4,143)*IF($W4=1,IN4+AFC4,IN4)=1,IF(AND($E4=2,IF($W4=1,AKR4,OC4)=0),1000000000,IF($V4=1,INDEX('calcA'!$D$130:$EQ$169,$B4,143)+IF(AND($E4=1,OC4=0),25,0),IF($F4&gt;0,INDEX('calcA'!EP$110:EP$114,$F4+1)+IF(AND($E4=1,OC4=0),1000,0),MIN(TZ4,20)*400+(IF('calcA'!EO$106=1,1-IM4,0)+IF('calcA'!EP$106=1,1-IO4,0))*150+236+'calcA'!EP$5*100000+IF(AND($E4=1,OC4=0),50000,0))+IF($H4=1,INDEX('calcA'!$D$180:$EQ$219,$B4,143)*4000,0)-IF(AND('calcA'!EO$117=1,ZM4&gt;0),2000,0)-IF(AND($U4=1,'calcA'!EP$117=1,IO4=0),2000,0))),1000000000))</f>
        <v/>
      </c>
      <c r="TS4">
        <f>IF($B4=0,1000000000,IF(INDEX('calcA'!$D$60:$EQ$99,$B4,144)*IF($W4=1,IO4+AFD4,IO4)=1,IF(AND($E4=2,IF($W4=1,AKS4,OD4)=0),1000000000,IF($V4=1,INDEX('calcA'!$D$130:$EQ$169,$B4,144)+IF(AND($E4=1,OD4=0),25,0),IF($F4&gt;0,INDEX('calcA'!EQ$110:EQ$114,$F4+1)+IF(AND($E4=1,OD4=0),1000,0),MIN(TZ4,20)*400+(IF('calcA'!EP$106=1,1-IN4,0))*150+246+'calcA'!EQ$5*100000+IF(AND($E4=1,OD4=0),50000,0))+IF($H4=1,INDEX('calcA'!$D$180:$EQ$219,$B4,144)*4000,0)-IF(AND('calcA'!EP$117=1,ZN4&gt;0),2000,0))),1000000000))</f>
        <v/>
      </c>
      <c r="TU4">
        <f>TU3+IF($C3&gt;0,IF(INDEX('calcA'!$D$2:$EQ$2,$C3)=1,1,0),0)</f>
        <v/>
      </c>
      <c r="TV4">
        <f>TV3+IF($C3&gt;0,IF(INDEX('calcA'!$D$2:$EQ$2,$C3)=2,1,0),0)</f>
        <v/>
      </c>
      <c r="TW4">
        <f>TW3+IF($C3&gt;0,IF(INDEX('calcA'!$D$2:$EQ$2,$C3)=3,1,0),0)</f>
        <v/>
      </c>
      <c r="TX4">
        <f>TX3+IF($C3&gt;0,IF(INDEX('calcA'!$D$2:$EQ$2,$C3)=4,1,0),0)</f>
        <v/>
      </c>
      <c r="TY4">
        <f>TY3+IF($C3&gt;0,IF(INDEX('calcA'!$D$2:$EQ$2,$C3)=5,1,0),0)</f>
        <v/>
      </c>
      <c r="TZ4">
        <f>TZ3+IF($C3&gt;0,IF(INDEX('calcA'!$D$2:$EQ$2,$C3)=6,1,0),0)</f>
        <v/>
      </c>
      <c r="UB4">
        <f>UB3+IF(AND($C3=1,$U3=1),1,0)</f>
        <v/>
      </c>
      <c r="UC4">
        <f>UC3+IF(AND($C3=2,$U3=1),1,0)</f>
        <v/>
      </c>
      <c r="UD4">
        <f>UD3+IF(AND($C3=3,$U3=1),1,0)</f>
        <v/>
      </c>
      <c r="UE4">
        <f>UE3+IF(AND($C3=4,$U3=1),1,0)</f>
        <v/>
      </c>
      <c r="UF4">
        <f>UF3+IF(AND($C3=5,$U3=1),1,0)</f>
        <v/>
      </c>
      <c r="UG4">
        <f>UG3+IF(AND($C3=6,$U3=1),1,0)</f>
        <v/>
      </c>
      <c r="UH4">
        <f>UH3+IF(AND($C3=7,$U3=1),1,0)</f>
        <v/>
      </c>
      <c r="UI4">
        <f>UI3+IF(AND($C3=8,$U3=1),1,0)</f>
        <v/>
      </c>
      <c r="UJ4">
        <f>UJ3+IF(AND($C3=9,$U3=1),1,0)</f>
        <v/>
      </c>
      <c r="UK4">
        <f>UK3+IF(AND($C3=10,$U3=1),1,0)</f>
        <v/>
      </c>
      <c r="UL4">
        <f>UL3+IF(AND($C3=11,$U3=1),1,0)</f>
        <v/>
      </c>
      <c r="UM4">
        <f>UM3+IF(AND($C3=12,$U3=1),1,0)</f>
        <v/>
      </c>
      <c r="UN4">
        <f>UN3+IF(AND($C3=13,$U3=1),1,0)</f>
        <v/>
      </c>
      <c r="UO4">
        <f>UO3+IF(AND($C3=14,$U3=1),1,0)</f>
        <v/>
      </c>
      <c r="UP4">
        <f>UP3+IF(AND($C3=15,$U3=1),1,0)</f>
        <v/>
      </c>
      <c r="UQ4">
        <f>UQ3+IF(AND($C3=16,$U3=1),1,0)</f>
        <v/>
      </c>
      <c r="UR4">
        <f>UR3+IF(AND($C3=17,$U3=1),1,0)</f>
        <v/>
      </c>
      <c r="US4">
        <f>US3+IF(AND($C3=18,$U3=1),1,0)</f>
        <v/>
      </c>
      <c r="UT4">
        <f>UT3+IF(AND($C3=19,$U3=1),1,0)</f>
        <v/>
      </c>
      <c r="UU4">
        <f>UU3+IF(AND($C3=20,$U3=1),1,0)</f>
        <v/>
      </c>
      <c r="UV4">
        <f>UV3+IF(AND($C3=21,$U3=1),1,0)</f>
        <v/>
      </c>
      <c r="UW4">
        <f>UW3+IF(AND($C3=22,$U3=1),1,0)</f>
        <v/>
      </c>
      <c r="UX4">
        <f>UX3+IF(AND($C3=23,$U3=1),1,0)</f>
        <v/>
      </c>
      <c r="UY4">
        <f>UY3+IF(AND($C3=24,$U3=1),1,0)</f>
        <v/>
      </c>
      <c r="UZ4">
        <f>UZ3+IF(AND($C3=25,$U3=1),1,0)</f>
        <v/>
      </c>
      <c r="VA4">
        <f>VA3+IF(AND($C3=26,$U3=1),1,0)</f>
        <v/>
      </c>
      <c r="VB4">
        <f>VB3+IF(AND($C3=27,$U3=1),1,0)</f>
        <v/>
      </c>
      <c r="VC4">
        <f>VC3+IF(AND($C3=28,$U3=1),1,0)</f>
        <v/>
      </c>
      <c r="VD4">
        <f>VD3+IF(AND($C3=29,$U3=1),1,0)</f>
        <v/>
      </c>
      <c r="VE4">
        <f>VE3+IF(AND($C3=30,$U3=1),1,0)</f>
        <v/>
      </c>
      <c r="VF4">
        <f>VF3+IF(AND($C3=31,$U3=1),1,0)</f>
        <v/>
      </c>
      <c r="VG4">
        <f>VG3+IF(AND($C3=32,$U3=1),1,0)</f>
        <v/>
      </c>
      <c r="VH4">
        <f>VH3+IF(AND($C3=33,$U3=1),1,0)</f>
        <v/>
      </c>
      <c r="VI4">
        <f>VI3+IF(AND($C3=34,$U3=1),1,0)</f>
        <v/>
      </c>
      <c r="VJ4">
        <f>VJ3+IF(AND($C3=35,$U3=1),1,0)</f>
        <v/>
      </c>
      <c r="VK4">
        <f>VK3+IF(AND($C3=36,$U3=1),1,0)</f>
        <v/>
      </c>
      <c r="VL4">
        <f>VL3+IF(AND($C3=37,$U3=1),1,0)</f>
        <v/>
      </c>
      <c r="VM4">
        <f>VM3+IF(AND($C3=38,$U3=1),1,0)</f>
        <v/>
      </c>
      <c r="VN4">
        <f>VN3+IF(AND($C3=39,$U3=1),1,0)</f>
        <v/>
      </c>
      <c r="VO4">
        <f>VO3+IF(AND($C3=40,$U3=1),1,0)</f>
        <v/>
      </c>
      <c r="VP4">
        <f>VP3+IF(AND($C3=41,$U3=1),1,0)</f>
        <v/>
      </c>
      <c r="VQ4">
        <f>VQ3+IF(AND($C3=42,$U3=1),1,0)</f>
        <v/>
      </c>
      <c r="VR4">
        <f>VR3+IF(AND($C3=43,$U3=1),1,0)</f>
        <v/>
      </c>
      <c r="VS4">
        <f>VS3+IF(AND($C3=44,$U3=1),1,0)</f>
        <v/>
      </c>
      <c r="VT4">
        <f>VT3+IF(AND($C3=45,$U3=1),1,0)</f>
        <v/>
      </c>
      <c r="VU4">
        <f>VU3+IF(AND($C3=46,$U3=1),1,0)</f>
        <v/>
      </c>
      <c r="VV4">
        <f>VV3+IF(AND($C3=47,$U3=1),1,0)</f>
        <v/>
      </c>
      <c r="VW4">
        <f>VW3+IF(AND($C3=48,$U3=1),1,0)</f>
        <v/>
      </c>
      <c r="VX4">
        <f>VX3+IF(AND($C3=49,$U3=1),1,0)</f>
        <v/>
      </c>
      <c r="VY4">
        <f>VY3+IF(AND($C3=50,$U3=1),1,0)</f>
        <v/>
      </c>
      <c r="VZ4">
        <f>VZ3+IF(AND($C3=51,$U3=1),1,0)</f>
        <v/>
      </c>
      <c r="WA4">
        <f>WA3+IF(AND($C3=52,$U3=1),1,0)</f>
        <v/>
      </c>
      <c r="WB4">
        <f>WB3+IF(AND($C3=53,$U3=1),1,0)</f>
        <v/>
      </c>
      <c r="WC4">
        <f>WC3+IF(AND($C3=54,$U3=1),1,0)</f>
        <v/>
      </c>
      <c r="WD4">
        <f>WD3+IF(AND($C3=55,$U3=1),1,0)</f>
        <v/>
      </c>
      <c r="WE4">
        <f>WE3+IF(AND($C3=56,$U3=1),1,0)</f>
        <v/>
      </c>
      <c r="WF4">
        <f>WF3+IF(AND($C3=57,$U3=1),1,0)</f>
        <v/>
      </c>
      <c r="WG4">
        <f>WG3+IF(AND($C3=58,$U3=1),1,0)</f>
        <v/>
      </c>
      <c r="WH4">
        <f>WH3+IF(AND($C3=59,$U3=1),1,0)</f>
        <v/>
      </c>
      <c r="WI4">
        <f>WI3+IF(AND($C3=60,$U3=1),1,0)</f>
        <v/>
      </c>
      <c r="WJ4">
        <f>WJ3+IF(AND($C3=61,$U3=1),1,0)</f>
        <v/>
      </c>
      <c r="WK4">
        <f>WK3+IF(AND($C3=62,$U3=1),1,0)</f>
        <v/>
      </c>
      <c r="WL4">
        <f>WL3+IF(AND($C3=63,$U3=1),1,0)</f>
        <v/>
      </c>
      <c r="WM4">
        <f>WM3+IF(AND($C3=64,$U3=1),1,0)</f>
        <v/>
      </c>
      <c r="WN4">
        <f>WN3+IF(AND($C3=65,$U3=1),1,0)</f>
        <v/>
      </c>
      <c r="WO4">
        <f>WO3+IF(AND($C3=66,$U3=1),1,0)</f>
        <v/>
      </c>
      <c r="WP4">
        <f>WP3+IF(AND($C3=67,$U3=1),1,0)</f>
        <v/>
      </c>
      <c r="WQ4">
        <f>WQ3+IF(AND($C3=68,$U3=1),1,0)</f>
        <v/>
      </c>
      <c r="WR4">
        <f>WR3+IF(AND($C3=69,$U3=1),1,0)</f>
        <v/>
      </c>
      <c r="WS4">
        <f>WS3+IF(AND($C3=70,$U3=1),1,0)</f>
        <v/>
      </c>
      <c r="WT4">
        <f>WT3+IF(AND($C3=71,$U3=1),1,0)</f>
        <v/>
      </c>
      <c r="WU4">
        <f>WU3+IF(AND($C3=72,$U3=1),1,0)</f>
        <v/>
      </c>
      <c r="WV4">
        <f>WV3+IF(AND($C3=73,$U3=1),1,0)</f>
        <v/>
      </c>
      <c r="WW4">
        <f>WW3+IF(AND($C3=74,$U3=1),1,0)</f>
        <v/>
      </c>
      <c r="WX4">
        <f>WX3+IF(AND($C3=75,$U3=1),1,0)</f>
        <v/>
      </c>
      <c r="WY4">
        <f>WY3+IF(AND($C3=76,$U3=1),1,0)</f>
        <v/>
      </c>
      <c r="WZ4">
        <f>WZ3+IF(AND($C3=77,$U3=1),1,0)</f>
        <v/>
      </c>
      <c r="XA4">
        <f>XA3+IF(AND($C3=78,$U3=1),1,0)</f>
        <v/>
      </c>
      <c r="XB4">
        <f>XB3+IF(AND($C3=79,$U3=1),1,0)</f>
        <v/>
      </c>
      <c r="XC4">
        <f>XC3+IF(AND($C3=80,$U3=1),1,0)</f>
        <v/>
      </c>
      <c r="XD4">
        <f>XD3+IF(AND($C3=81,$U3=1),1,0)</f>
        <v/>
      </c>
      <c r="XE4">
        <f>XE3+IF(AND($C3=82,$U3=1),1,0)</f>
        <v/>
      </c>
      <c r="XF4">
        <f>XF3+IF(AND($C3=83,$U3=1),1,0)</f>
        <v/>
      </c>
      <c r="XG4">
        <f>XG3+IF(AND($C3=84,$U3=1),1,0)</f>
        <v/>
      </c>
      <c r="XH4">
        <f>XH3+IF(AND($C3=85,$U3=1),1,0)</f>
        <v/>
      </c>
      <c r="XI4">
        <f>XI3+IF(AND($C3=86,$U3=1),1,0)</f>
        <v/>
      </c>
      <c r="XJ4">
        <f>XJ3+IF(AND($C3=87,$U3=1),1,0)</f>
        <v/>
      </c>
      <c r="XK4">
        <f>XK3+IF(AND($C3=88,$U3=1),1,0)</f>
        <v/>
      </c>
      <c r="XL4">
        <f>XL3+IF(AND($C3=89,$U3=1),1,0)</f>
        <v/>
      </c>
      <c r="XM4">
        <f>XM3+IF(AND($C3=90,$U3=1),1,0)</f>
        <v/>
      </c>
      <c r="XN4">
        <f>XN3+IF(AND($C3=91,$U3=1),1,0)</f>
        <v/>
      </c>
      <c r="XO4">
        <f>XO3+IF(AND($C3=92,$U3=1),1,0)</f>
        <v/>
      </c>
      <c r="XP4">
        <f>XP3+IF(AND($C3=93,$U3=1),1,0)</f>
        <v/>
      </c>
      <c r="XQ4">
        <f>XQ3+IF(AND($C3=94,$U3=1),1,0)</f>
        <v/>
      </c>
      <c r="XR4">
        <f>XR3+IF(AND($C3=95,$U3=1),1,0)</f>
        <v/>
      </c>
      <c r="XS4">
        <f>XS3+IF(AND($C3=96,$U3=1),1,0)</f>
        <v/>
      </c>
      <c r="XT4">
        <f>XT3+IF(AND($C3=97,$U3=1),1,0)</f>
        <v/>
      </c>
      <c r="XU4">
        <f>XU3+IF(AND($C3=98,$U3=1),1,0)</f>
        <v/>
      </c>
      <c r="XV4">
        <f>XV3+IF(AND($C3=99,$U3=1),1,0)</f>
        <v/>
      </c>
      <c r="XW4">
        <f>XW3+IF(AND($C3=100,$U3=1),1,0)</f>
        <v/>
      </c>
      <c r="XX4">
        <f>XX3+IF(AND($C3=101,$U3=1),1,0)</f>
        <v/>
      </c>
      <c r="XY4">
        <f>XY3+IF(AND($C3=102,$U3=1),1,0)</f>
        <v/>
      </c>
      <c r="XZ4">
        <f>XZ3+IF(AND($C3=103,$U3=1),1,0)</f>
        <v/>
      </c>
      <c r="YA4">
        <f>YA3+IF(AND($C3=104,$U3=1),1,0)</f>
        <v/>
      </c>
      <c r="YB4">
        <f>YB3+IF(AND($C3=105,$U3=1),1,0)</f>
        <v/>
      </c>
      <c r="YC4">
        <f>YC3+IF(AND($C3=106,$U3=1),1,0)</f>
        <v/>
      </c>
      <c r="YD4">
        <f>YD3+IF(AND($C3=107,$U3=1),1,0)</f>
        <v/>
      </c>
      <c r="YE4">
        <f>YE3+IF(AND($C3=108,$U3=1),1,0)</f>
        <v/>
      </c>
      <c r="YF4">
        <f>YF3+IF(AND($C3=109,$U3=1),1,0)</f>
        <v/>
      </c>
      <c r="YG4">
        <f>YG3+IF(AND($C3=110,$U3=1),1,0)</f>
        <v/>
      </c>
      <c r="YH4">
        <f>YH3+IF(AND($C3=111,$U3=1),1,0)</f>
        <v/>
      </c>
      <c r="YI4">
        <f>YI3+IF(AND($C3=112,$U3=1),1,0)</f>
        <v/>
      </c>
      <c r="YJ4">
        <f>YJ3+IF(AND($C3=113,$U3=1),1,0)</f>
        <v/>
      </c>
      <c r="YK4">
        <f>YK3+IF(AND($C3=114,$U3=1),1,0)</f>
        <v/>
      </c>
      <c r="YL4">
        <f>YL3+IF(AND($C3=115,$U3=1),1,0)</f>
        <v/>
      </c>
      <c r="YM4">
        <f>YM3+IF(AND($C3=116,$U3=1),1,0)</f>
        <v/>
      </c>
      <c r="YN4">
        <f>YN3+IF(AND($C3=117,$U3=1),1,0)</f>
        <v/>
      </c>
      <c r="YO4">
        <f>YO3+IF(AND($C3=118,$U3=1),1,0)</f>
        <v/>
      </c>
      <c r="YP4">
        <f>YP3+IF(AND($C3=119,$U3=1),1,0)</f>
        <v/>
      </c>
      <c r="YQ4">
        <f>YQ3+IF(AND($C3=120,$U3=1),1,0)</f>
        <v/>
      </c>
      <c r="YR4">
        <f>YR3+IF(AND($C3=121,$U3=1),1,0)</f>
        <v/>
      </c>
      <c r="YS4">
        <f>YS3+IF(AND($C3=122,$U3=1),1,0)</f>
        <v/>
      </c>
      <c r="YT4">
        <f>YT3+IF(AND($C3=123,$U3=1),1,0)</f>
        <v/>
      </c>
      <c r="YU4">
        <f>YU3+IF(AND($C3=124,$U3=1),1,0)</f>
        <v/>
      </c>
      <c r="YV4">
        <f>YV3+IF(AND($C3=125,$U3=1),1,0)</f>
        <v/>
      </c>
      <c r="YW4">
        <f>YW3+IF(AND($C3=126,$U3=1),1,0)</f>
        <v/>
      </c>
      <c r="YX4">
        <f>YX3+IF(AND($C3=127,$U3=1),1,0)</f>
        <v/>
      </c>
      <c r="YY4">
        <f>YY3+IF(AND($C3=128,$U3=1),1,0)</f>
        <v/>
      </c>
      <c r="YZ4">
        <f>YZ3+IF(AND($C3=129,$U3=1),1,0)</f>
        <v/>
      </c>
      <c r="ZA4">
        <f>ZA3+IF(AND($C3=130,$U3=1),1,0)</f>
        <v/>
      </c>
      <c r="ZB4">
        <f>ZB3+IF(AND($C3=131,$U3=1),1,0)</f>
        <v/>
      </c>
      <c r="ZC4">
        <f>ZC3+IF(AND($C3=132,$U3=1),1,0)</f>
        <v/>
      </c>
      <c r="ZD4">
        <f>ZD3+IF(AND($C3=133,$U3=1),1,0)</f>
        <v/>
      </c>
      <c r="ZE4">
        <f>ZE3+IF(AND($C3=134,$U3=1),1,0)</f>
        <v/>
      </c>
      <c r="ZF4">
        <f>ZF3+IF(AND($C3=135,$U3=1),1,0)</f>
        <v/>
      </c>
      <c r="ZG4">
        <f>ZG3+IF(AND($C3=136,$U3=1),1,0)</f>
        <v/>
      </c>
      <c r="ZH4">
        <f>ZH3+IF(AND($C3=137,$U3=1),1,0)</f>
        <v/>
      </c>
      <c r="ZI4">
        <f>ZI3+IF(AND($C3=138,$U3=1),1,0)</f>
        <v/>
      </c>
      <c r="ZJ4">
        <f>ZJ3+IF(AND($C3=139,$U3=1),1,0)</f>
        <v/>
      </c>
      <c r="ZK4">
        <f>ZK3+IF(AND($C3=140,$U3=1),1,0)</f>
        <v/>
      </c>
      <c r="ZL4">
        <f>ZL3+IF(AND($C3=141,$U3=1),1,0)</f>
        <v/>
      </c>
      <c r="ZM4">
        <f>ZM3+IF(AND($C3=142,$U3=1),1,0)</f>
        <v/>
      </c>
      <c r="ZN4">
        <f>ZN3+IF(AND($C3=143,$U3=1),1,0)</f>
        <v/>
      </c>
      <c r="ZO4">
        <f>ZO3+IF(AND($C3=144,$U3=1),1,0)</f>
        <v/>
      </c>
      <c r="ZQ4">
        <f>IF($C3=1,0,ZQ3+IF(AND($G3=1,$E3=1),1,0))</f>
        <v/>
      </c>
      <c r="ZR4">
        <f>IF($C3=2,0,ZR3+IF(AND($G3=2,$E3=1),1,0))</f>
        <v/>
      </c>
      <c r="ZS4">
        <f>IF($C3=3,0,ZS3+IF(AND($G3=3,$E3=1),1,0))</f>
        <v/>
      </c>
      <c r="ZT4">
        <f>IF($C3=4,0,ZT3+IF(AND($G3=4,$E3=1),1,0))</f>
        <v/>
      </c>
      <c r="ZU4">
        <f>IF($C3=5,0,ZU3+IF(AND($G3=5,$E3=1),1,0))</f>
        <v/>
      </c>
      <c r="ZV4">
        <f>IF($C3=6,0,ZV3+IF(AND($G3=6,$E3=1),1,0))</f>
        <v/>
      </c>
      <c r="ZW4">
        <f>IF($C3=7,0,ZW3+IF(AND($G3=7,$E3=1),1,0))</f>
        <v/>
      </c>
      <c r="ZX4">
        <f>IF($C3=8,0,ZX3+IF(AND($G3=8,$E3=1),1,0))</f>
        <v/>
      </c>
      <c r="ZY4">
        <f>IF($C3=9,0,ZY3+IF(AND($G3=9,$E3=1),1,0))</f>
        <v/>
      </c>
      <c r="ZZ4">
        <f>IF($C3=10,0,ZZ3+IF(AND($G3=10,$E3=1),1,0))</f>
        <v/>
      </c>
      <c r="AAA4">
        <f>IF($C3=11,0,AAA3+IF(AND($G3=11,$E3=1),1,0))</f>
        <v/>
      </c>
      <c r="AAB4">
        <f>IF($C3=12,0,AAB3+IF(AND($G3=12,$E3=1),1,0))</f>
        <v/>
      </c>
      <c r="AAC4">
        <f>IF($C3=13,0,AAC3+IF(AND($G3=13,$E3=1),1,0))</f>
        <v/>
      </c>
      <c r="AAD4">
        <f>IF($C3=14,0,AAD3+IF(AND($G3=14,$E3=1),1,0))</f>
        <v/>
      </c>
      <c r="AAE4">
        <f>IF($C3=15,0,AAE3+IF(AND($G3=15,$E3=1),1,0))</f>
        <v/>
      </c>
      <c r="AAF4">
        <f>IF($C3=16,0,AAF3+IF(AND($G3=16,$E3=1),1,0))</f>
        <v/>
      </c>
      <c r="AAG4">
        <f>IF($C3=17,0,AAG3+IF(AND($G3=17,$E3=1),1,0))</f>
        <v/>
      </c>
      <c r="AAH4">
        <f>IF($C3=18,0,AAH3+IF(AND($G3=18,$E3=1),1,0))</f>
        <v/>
      </c>
      <c r="AAI4">
        <f>IF($C3=19,0,AAI3+IF(AND($G3=19,$E3=1),1,0))</f>
        <v/>
      </c>
      <c r="AAJ4">
        <f>IF($C3=20,0,AAJ3+IF(AND($G3=20,$E3=1),1,0))</f>
        <v/>
      </c>
      <c r="AAK4">
        <f>IF($C3=21,0,AAK3+IF(AND($G3=21,$E3=1),1,0))</f>
        <v/>
      </c>
      <c r="AAL4">
        <f>IF($C3=22,0,AAL3+IF(AND($G3=22,$E3=1),1,0))</f>
        <v/>
      </c>
      <c r="AAM4">
        <f>IF($C3=23,0,AAM3+IF(AND($G3=23,$E3=1),1,0))</f>
        <v/>
      </c>
      <c r="AAN4">
        <f>IF($C3=24,0,AAN3+IF(AND($G3=24,$E3=1),1,0))</f>
        <v/>
      </c>
      <c r="AAO4">
        <f>IF($C3=25,0,AAO3+IF(AND($G3=25,$E3=1),1,0))</f>
        <v/>
      </c>
      <c r="AAP4">
        <f>IF($C3=26,0,AAP3+IF(AND($G3=26,$E3=1),1,0))</f>
        <v/>
      </c>
      <c r="AAQ4">
        <f>IF($C3=27,0,AAQ3+IF(AND($G3=27,$E3=1),1,0))</f>
        <v/>
      </c>
      <c r="AAR4">
        <f>IF($C3=28,0,AAR3+IF(AND($G3=28,$E3=1),1,0))</f>
        <v/>
      </c>
      <c r="AAS4">
        <f>IF($C3=29,0,AAS3+IF(AND($G3=29,$E3=1),1,0))</f>
        <v/>
      </c>
      <c r="AAT4">
        <f>IF($C3=30,0,AAT3+IF(AND($G3=30,$E3=1),1,0))</f>
        <v/>
      </c>
      <c r="AAU4">
        <f>IF($C3=31,0,AAU3+IF(AND($G3=31,$E3=1),1,0))</f>
        <v/>
      </c>
      <c r="AAV4">
        <f>IF($C3=32,0,AAV3+IF(AND($G3=32,$E3=1),1,0))</f>
        <v/>
      </c>
      <c r="AAW4">
        <f>IF($C3=33,0,AAW3+IF(AND($G3=33,$E3=1),1,0))</f>
        <v/>
      </c>
      <c r="AAX4">
        <f>IF($C3=34,0,AAX3+IF(AND($G3=34,$E3=1),1,0))</f>
        <v/>
      </c>
      <c r="AAY4">
        <f>IF($C3=35,0,AAY3+IF(AND($G3=35,$E3=1),1,0))</f>
        <v/>
      </c>
      <c r="AAZ4">
        <f>IF($C3=36,0,AAZ3+IF(AND($G3=36,$E3=1),1,0))</f>
        <v/>
      </c>
      <c r="ABA4">
        <f>IF($C3=37,0,ABA3+IF(AND($G3=37,$E3=1),1,0))</f>
        <v/>
      </c>
      <c r="ABB4">
        <f>IF($C3=38,0,ABB3+IF(AND($G3=38,$E3=1),1,0))</f>
        <v/>
      </c>
      <c r="ABC4">
        <f>IF($C3=39,0,ABC3+IF(AND($G3=39,$E3=1),1,0))</f>
        <v/>
      </c>
      <c r="ABD4">
        <f>IF($C3=40,0,ABD3+IF(AND($G3=40,$E3=1),1,0))</f>
        <v/>
      </c>
      <c r="ABE4">
        <f>IF($C3=41,0,ABE3+IF(AND($G3=41,$E3=1),1,0))</f>
        <v/>
      </c>
      <c r="ABF4">
        <f>IF($C3=42,0,ABF3+IF(AND($G3=42,$E3=1),1,0))</f>
        <v/>
      </c>
      <c r="ABG4">
        <f>IF($C3=43,0,ABG3+IF(AND($G3=43,$E3=1),1,0))</f>
        <v/>
      </c>
      <c r="ABH4">
        <f>IF($C3=44,0,ABH3+IF(AND($G3=44,$E3=1),1,0))</f>
        <v/>
      </c>
      <c r="ABI4">
        <f>IF($C3=45,0,ABI3+IF(AND($G3=45,$E3=1),1,0))</f>
        <v/>
      </c>
      <c r="ABJ4">
        <f>IF($C3=46,0,ABJ3+IF(AND($G3=46,$E3=1),1,0))</f>
        <v/>
      </c>
      <c r="ABK4">
        <f>IF($C3=47,0,ABK3+IF(AND($G3=47,$E3=1),1,0))</f>
        <v/>
      </c>
      <c r="ABL4">
        <f>IF($C3=48,0,ABL3+IF(AND($G3=48,$E3=1),1,0))</f>
        <v/>
      </c>
      <c r="ABM4">
        <f>IF($C3=49,0,ABM3+IF(AND($G3=49,$E3=1),1,0))</f>
        <v/>
      </c>
      <c r="ABN4">
        <f>IF($C3=50,0,ABN3+IF(AND($G3=50,$E3=1),1,0))</f>
        <v/>
      </c>
      <c r="ABO4">
        <f>IF($C3=51,0,ABO3+IF(AND($G3=51,$E3=1),1,0))</f>
        <v/>
      </c>
      <c r="ABP4">
        <f>IF($C3=52,0,ABP3+IF(AND($G3=52,$E3=1),1,0))</f>
        <v/>
      </c>
      <c r="ABQ4">
        <f>IF($C3=53,0,ABQ3+IF(AND($G3=53,$E3=1),1,0))</f>
        <v/>
      </c>
      <c r="ABR4">
        <f>IF($C3=54,0,ABR3+IF(AND($G3=54,$E3=1),1,0))</f>
        <v/>
      </c>
      <c r="ABS4">
        <f>IF($C3=55,0,ABS3+IF(AND($G3=55,$E3=1),1,0))</f>
        <v/>
      </c>
      <c r="ABT4">
        <f>IF($C3=56,0,ABT3+IF(AND($G3=56,$E3=1),1,0))</f>
        <v/>
      </c>
      <c r="ABU4">
        <f>IF($C3=57,0,ABU3+IF(AND($G3=57,$E3=1),1,0))</f>
        <v/>
      </c>
      <c r="ABV4">
        <f>IF($C3=58,0,ABV3+IF(AND($G3=58,$E3=1),1,0))</f>
        <v/>
      </c>
      <c r="ABW4">
        <f>IF($C3=59,0,ABW3+IF(AND($G3=59,$E3=1),1,0))</f>
        <v/>
      </c>
      <c r="ABX4">
        <f>IF($C3=60,0,ABX3+IF(AND($G3=60,$E3=1),1,0))</f>
        <v/>
      </c>
      <c r="ABY4">
        <f>IF($C3=61,0,ABY3+IF(AND($G3=61,$E3=1),1,0))</f>
        <v/>
      </c>
      <c r="ABZ4">
        <f>IF($C3=62,0,ABZ3+IF(AND($G3=62,$E3=1),1,0))</f>
        <v/>
      </c>
      <c r="ACA4">
        <f>IF($C3=63,0,ACA3+IF(AND($G3=63,$E3=1),1,0))</f>
        <v/>
      </c>
      <c r="ACB4">
        <f>IF($C3=64,0,ACB3+IF(AND($G3=64,$E3=1),1,0))</f>
        <v/>
      </c>
      <c r="ACC4">
        <f>IF($C3=65,0,ACC3+IF(AND($G3=65,$E3=1),1,0))</f>
        <v/>
      </c>
      <c r="ACD4">
        <f>IF($C3=66,0,ACD3+IF(AND($G3=66,$E3=1),1,0))</f>
        <v/>
      </c>
      <c r="ACE4">
        <f>IF($C3=67,0,ACE3+IF(AND($G3=67,$E3=1),1,0))</f>
        <v/>
      </c>
      <c r="ACF4">
        <f>IF($C3=68,0,ACF3+IF(AND($G3=68,$E3=1),1,0))</f>
        <v/>
      </c>
      <c r="ACG4">
        <f>IF($C3=69,0,ACG3+IF(AND($G3=69,$E3=1),1,0))</f>
        <v/>
      </c>
      <c r="ACH4">
        <f>IF($C3=70,0,ACH3+IF(AND($G3=70,$E3=1),1,0))</f>
        <v/>
      </c>
      <c r="ACI4">
        <f>IF($C3=71,0,ACI3+IF(AND($G3=71,$E3=1),1,0))</f>
        <v/>
      </c>
      <c r="ACJ4">
        <f>IF($C3=72,0,ACJ3+IF(AND($G3=72,$E3=1),1,0))</f>
        <v/>
      </c>
      <c r="ACK4">
        <f>IF($C3=73,0,ACK3+IF(AND($G3=73,$E3=1),1,0))</f>
        <v/>
      </c>
      <c r="ACL4">
        <f>IF($C3=74,0,ACL3+IF(AND($G3=74,$E3=1),1,0))</f>
        <v/>
      </c>
      <c r="ACM4">
        <f>IF($C3=75,0,ACM3+IF(AND($G3=75,$E3=1),1,0))</f>
        <v/>
      </c>
      <c r="ACN4">
        <f>IF($C3=76,0,ACN3+IF(AND($G3=76,$E3=1),1,0))</f>
        <v/>
      </c>
      <c r="ACO4">
        <f>IF($C3=77,0,ACO3+IF(AND($G3=77,$E3=1),1,0))</f>
        <v/>
      </c>
      <c r="ACP4">
        <f>IF($C3=78,0,ACP3+IF(AND($G3=78,$E3=1),1,0))</f>
        <v/>
      </c>
      <c r="ACQ4">
        <f>IF($C3=79,0,ACQ3+IF(AND($G3=79,$E3=1),1,0))</f>
        <v/>
      </c>
      <c r="ACR4">
        <f>IF($C3=80,0,ACR3+IF(AND($G3=80,$E3=1),1,0))</f>
        <v/>
      </c>
      <c r="ACS4">
        <f>IF($C3=81,0,ACS3+IF(AND($G3=81,$E3=1),1,0))</f>
        <v/>
      </c>
      <c r="ACT4">
        <f>IF($C3=82,0,ACT3+IF(AND($G3=82,$E3=1),1,0))</f>
        <v/>
      </c>
      <c r="ACU4">
        <f>IF($C3=83,0,ACU3+IF(AND($G3=83,$E3=1),1,0))</f>
        <v/>
      </c>
      <c r="ACV4">
        <f>IF($C3=84,0,ACV3+IF(AND($G3=84,$E3=1),1,0))</f>
        <v/>
      </c>
      <c r="ACW4">
        <f>IF($C3=85,0,ACW3+IF(AND($G3=85,$E3=1),1,0))</f>
        <v/>
      </c>
      <c r="ACX4">
        <f>IF($C3=86,0,ACX3+IF(AND($G3=86,$E3=1),1,0))</f>
        <v/>
      </c>
      <c r="ACY4">
        <f>IF($C3=87,0,ACY3+IF(AND($G3=87,$E3=1),1,0))</f>
        <v/>
      </c>
      <c r="ACZ4">
        <f>IF($C3=88,0,ACZ3+IF(AND($G3=88,$E3=1),1,0))</f>
        <v/>
      </c>
      <c r="ADA4">
        <f>IF($C3=89,0,ADA3+IF(AND($G3=89,$E3=1),1,0))</f>
        <v/>
      </c>
      <c r="ADB4">
        <f>IF($C3=90,0,ADB3+IF(AND($G3=90,$E3=1),1,0))</f>
        <v/>
      </c>
      <c r="ADC4">
        <f>IF($C3=91,0,ADC3+IF(AND($G3=91,$E3=1),1,0))</f>
        <v/>
      </c>
      <c r="ADD4">
        <f>IF($C3=92,0,ADD3+IF(AND($G3=92,$E3=1),1,0))</f>
        <v/>
      </c>
      <c r="ADE4">
        <f>IF($C3=93,0,ADE3+IF(AND($G3=93,$E3=1),1,0))</f>
        <v/>
      </c>
      <c r="ADF4">
        <f>IF($C3=94,0,ADF3+IF(AND($G3=94,$E3=1),1,0))</f>
        <v/>
      </c>
      <c r="ADG4">
        <f>IF($C3=95,0,ADG3+IF(AND($G3=95,$E3=1),1,0))</f>
        <v/>
      </c>
      <c r="ADH4">
        <f>IF($C3=96,0,ADH3+IF(AND($G3=96,$E3=1),1,0))</f>
        <v/>
      </c>
      <c r="ADI4">
        <f>IF($C3=97,0,ADI3+IF(AND($G3=97,$E3=1),1,0))</f>
        <v/>
      </c>
      <c r="ADJ4">
        <f>IF($C3=98,0,ADJ3+IF(AND($G3=98,$E3=1),1,0))</f>
        <v/>
      </c>
      <c r="ADK4">
        <f>IF($C3=99,0,ADK3+IF(AND($G3=99,$E3=1),1,0))</f>
        <v/>
      </c>
      <c r="ADL4">
        <f>IF($C3=100,0,ADL3+IF(AND($G3=100,$E3=1),1,0))</f>
        <v/>
      </c>
      <c r="ADM4">
        <f>IF($C3=101,0,ADM3+IF(AND($G3=101,$E3=1),1,0))</f>
        <v/>
      </c>
      <c r="ADN4">
        <f>IF($C3=102,0,ADN3+IF(AND($G3=102,$E3=1),1,0))</f>
        <v/>
      </c>
      <c r="ADO4">
        <f>IF($C3=103,0,ADO3+IF(AND($G3=103,$E3=1),1,0))</f>
        <v/>
      </c>
      <c r="ADP4">
        <f>IF($C3=104,0,ADP3+IF(AND($G3=104,$E3=1),1,0))</f>
        <v/>
      </c>
      <c r="ADQ4">
        <f>IF($C3=105,0,ADQ3+IF(AND($G3=105,$E3=1),1,0))</f>
        <v/>
      </c>
      <c r="ADR4">
        <f>IF($C3=106,0,ADR3+IF(AND($G3=106,$E3=1),1,0))</f>
        <v/>
      </c>
      <c r="ADS4">
        <f>IF($C3=107,0,ADS3+IF(AND($G3=107,$E3=1),1,0))</f>
        <v/>
      </c>
      <c r="ADT4">
        <f>IF($C3=108,0,ADT3+IF(AND($G3=108,$E3=1),1,0))</f>
        <v/>
      </c>
      <c r="ADU4">
        <f>IF($C3=109,0,ADU3+IF(AND($G3=109,$E3=1),1,0))</f>
        <v/>
      </c>
      <c r="ADV4">
        <f>IF($C3=110,0,ADV3+IF(AND($G3=110,$E3=1),1,0))</f>
        <v/>
      </c>
      <c r="ADW4">
        <f>IF($C3=111,0,ADW3+IF(AND($G3=111,$E3=1),1,0))</f>
        <v/>
      </c>
      <c r="ADX4">
        <f>IF($C3=112,0,ADX3+IF(AND($G3=112,$E3=1),1,0))</f>
        <v/>
      </c>
      <c r="ADY4">
        <f>IF($C3=113,0,ADY3+IF(AND($G3=113,$E3=1),1,0))</f>
        <v/>
      </c>
      <c r="ADZ4">
        <f>IF($C3=114,0,ADZ3+IF(AND($G3=114,$E3=1),1,0))</f>
        <v/>
      </c>
      <c r="AEA4">
        <f>IF($C3=115,0,AEA3+IF(AND($G3=115,$E3=1),1,0))</f>
        <v/>
      </c>
      <c r="AEB4">
        <f>IF($C3=116,0,AEB3+IF(AND($G3=116,$E3=1),1,0))</f>
        <v/>
      </c>
      <c r="AEC4">
        <f>IF($C3=117,0,AEC3+IF(AND($G3=117,$E3=1),1,0))</f>
        <v/>
      </c>
      <c r="AED4">
        <f>IF($C3=118,0,AED3+IF(AND($G3=118,$E3=1),1,0))</f>
        <v/>
      </c>
      <c r="AEE4">
        <f>IF($C3=119,0,AEE3+IF(AND($G3=119,$E3=1),1,0))</f>
        <v/>
      </c>
      <c r="AEF4">
        <f>IF($C3=120,0,AEF3+IF(AND($G3=120,$E3=1),1,0))</f>
        <v/>
      </c>
      <c r="AEG4">
        <f>IF($C3=121,0,AEG3+IF(AND($G3=121,$E3=1),1,0))</f>
        <v/>
      </c>
      <c r="AEH4">
        <f>IF($C3=122,0,AEH3+IF(AND($G3=122,$E3=1),1,0))</f>
        <v/>
      </c>
      <c r="AEI4">
        <f>IF($C3=123,0,AEI3+IF(AND($G3=123,$E3=1),1,0))</f>
        <v/>
      </c>
      <c r="AEJ4">
        <f>IF($C3=124,0,AEJ3+IF(AND($G3=124,$E3=1),1,0))</f>
        <v/>
      </c>
      <c r="AEK4">
        <f>IF($C3=125,0,AEK3+IF(AND($G3=125,$E3=1),1,0))</f>
        <v/>
      </c>
      <c r="AEL4">
        <f>IF($C3=126,0,AEL3+IF(AND($G3=126,$E3=1),1,0))</f>
        <v/>
      </c>
      <c r="AEM4">
        <f>IF($C3=127,0,AEM3+IF(AND($G3=127,$E3=1),1,0))</f>
        <v/>
      </c>
      <c r="AEN4">
        <f>IF($C3=128,0,AEN3+IF(AND($G3=128,$E3=1),1,0))</f>
        <v/>
      </c>
      <c r="AEO4">
        <f>IF($C3=129,0,AEO3+IF(AND($G3=129,$E3=1),1,0))</f>
        <v/>
      </c>
      <c r="AEP4">
        <f>IF($C3=130,0,AEP3+IF(AND($G3=130,$E3=1),1,0))</f>
        <v/>
      </c>
      <c r="AEQ4">
        <f>IF($C3=131,0,AEQ3+IF(AND($G3=131,$E3=1),1,0))</f>
        <v/>
      </c>
      <c r="AER4">
        <f>IF($C3=132,0,AER3+IF(AND($G3=132,$E3=1),1,0))</f>
        <v/>
      </c>
      <c r="AES4">
        <f>IF($C3=133,0,AES3+IF(AND($G3=133,$E3=1),1,0))</f>
        <v/>
      </c>
      <c r="AET4">
        <f>IF($C3=134,0,AET3+IF(AND($G3=134,$E3=1),1,0))</f>
        <v/>
      </c>
      <c r="AEU4">
        <f>IF($C3=135,0,AEU3+IF(AND($G3=135,$E3=1),1,0))</f>
        <v/>
      </c>
      <c r="AEV4">
        <f>IF($C3=136,0,AEV3+IF(AND($G3=136,$E3=1),1,0))</f>
        <v/>
      </c>
      <c r="AEW4">
        <f>IF($C3=137,0,AEW3+IF(AND($G3=137,$E3=1),1,0))</f>
        <v/>
      </c>
      <c r="AEX4">
        <f>IF($C3=138,0,AEX3+IF(AND($G3=138,$E3=1),1,0))</f>
        <v/>
      </c>
      <c r="AEY4">
        <f>IF($C3=139,0,AEY3+IF(AND($G3=139,$E3=1),1,0))</f>
        <v/>
      </c>
      <c r="AEZ4">
        <f>IF($C3=140,0,AEZ3+IF(AND($G3=140,$E3=1),1,0))</f>
        <v/>
      </c>
      <c r="AFA4">
        <f>IF($C3=141,0,AFA3+IF(AND($G3=141,$E3=1),1,0))</f>
        <v/>
      </c>
      <c r="AFB4">
        <f>IF($C3=142,0,AFB3+IF(AND($G3=142,$E3=1),1,0))</f>
        <v/>
      </c>
      <c r="AFC4">
        <f>IF($C3=143,0,AFC3+IF(AND($G3=143,$E3=1),1,0))</f>
        <v/>
      </c>
      <c r="AFD4">
        <f>IF($C3=144,0,AFD3+IF(AND($G3=144,$E3=1),1,0))</f>
        <v/>
      </c>
      <c r="AFF4">
        <f>IF('calcA'!D$106=1,DC4+ZR4,1)</f>
        <v/>
      </c>
      <c r="AFG4">
        <f>IF('calcA'!E$106=1,DD4+ZS4,1)</f>
        <v/>
      </c>
      <c r="AFH4">
        <f>IF('calcA'!F$106=1,DE4+ZT4,1)</f>
        <v/>
      </c>
      <c r="AFI4">
        <f>IF('calcA'!G$106=1,DF4+ZU4,1)</f>
        <v/>
      </c>
      <c r="AFJ4">
        <f>IF('calcA'!H$106=1,DG4+ZV4,1)</f>
        <v/>
      </c>
      <c r="AFK4">
        <f>IF('calcA'!I$106=1,DH4+ZW4,1)</f>
        <v/>
      </c>
      <c r="AFL4">
        <f>IF('calcA'!J$106=1,DI4+ZX4,1)</f>
        <v/>
      </c>
      <c r="AFM4">
        <f>IF('calcA'!K$106=1,DJ4+ZY4,1)</f>
        <v/>
      </c>
      <c r="AFN4">
        <f>IF('calcA'!L$106=1,DK4+ZZ4,1)</f>
        <v/>
      </c>
      <c r="AFO4">
        <f>IF('calcA'!M$106=1,DL4+AAA4,1)</f>
        <v/>
      </c>
      <c r="AFP4">
        <f>IF('calcA'!N$106=1,DM4+AAB4,1)</f>
        <v/>
      </c>
      <c r="AFQ4">
        <f>IF('calcA'!O$106=1,DN4+AAC4,1)</f>
        <v/>
      </c>
      <c r="AFR4">
        <f>IF('calcA'!P$106=1,DO4+AAD4,1)</f>
        <v/>
      </c>
      <c r="AFS4">
        <f>IF('calcA'!Q$106=1,DP4+AAE4,1)</f>
        <v/>
      </c>
      <c r="AFT4">
        <f>IF('calcA'!R$106=1,DQ4+AAF4,1)</f>
        <v/>
      </c>
      <c r="AFU4">
        <f>IF('calcA'!S$106=1,DR4+AAG4,1)</f>
        <v/>
      </c>
      <c r="AFV4">
        <f>IF('calcA'!T$106=1,DS4+AAH4,1)</f>
        <v/>
      </c>
      <c r="AFW4">
        <f>IF('calcA'!U$106=1,DT4+AAI4,1)</f>
        <v/>
      </c>
      <c r="AFX4">
        <f>IF('calcA'!V$106=1,DU4+AAJ4,1)</f>
        <v/>
      </c>
      <c r="AFY4">
        <f>IF('calcA'!W$106=1,DV4+AAK4,1)</f>
        <v/>
      </c>
      <c r="AFZ4">
        <f>IF('calcA'!X$106=1,DW4+AAL4,1)</f>
        <v/>
      </c>
      <c r="AGA4">
        <f>IF('calcA'!Y$106=1,DX4+AAM4,1)</f>
        <v/>
      </c>
      <c r="AGB4">
        <f>IF('calcA'!Z$106=1,DY4+AAN4,1)</f>
        <v/>
      </c>
      <c r="AGC4">
        <f>IF('calcA'!AA$106=1,DZ4+AAO4,1)</f>
        <v/>
      </c>
      <c r="AGD4">
        <f>IF('calcA'!AB$106=1,EA4+AAP4,1)</f>
        <v/>
      </c>
      <c r="AGE4">
        <f>IF('calcA'!AC$106=1,EB4+AAQ4,1)</f>
        <v/>
      </c>
      <c r="AGF4">
        <f>IF('calcA'!AD$106=1,EC4+AAR4,1)</f>
        <v/>
      </c>
      <c r="AGG4">
        <f>IF('calcA'!AE$106=1,ED4+AAS4,1)</f>
        <v/>
      </c>
      <c r="AGH4">
        <f>IF('calcA'!AF$106=1,EE4+AAT4,1)</f>
        <v/>
      </c>
      <c r="AGI4">
        <f>IF('calcA'!AG$106=1,EF4+AAU4,1)</f>
        <v/>
      </c>
      <c r="AGJ4">
        <f>IF('calcA'!AH$106=1,EG4+AAV4,1)</f>
        <v/>
      </c>
      <c r="AGK4">
        <f>IF('calcA'!AI$106=1,EH4+AAW4,1)</f>
        <v/>
      </c>
      <c r="AGL4">
        <f>IF('calcA'!AJ$106=1,EI4+AAX4,1)</f>
        <v/>
      </c>
      <c r="AGM4">
        <f>IF('calcA'!AK$106=1,EJ4+AAY4,1)</f>
        <v/>
      </c>
      <c r="AGN4">
        <f>IF('calcA'!AL$106=1,EK4+AAZ4,1)</f>
        <v/>
      </c>
      <c r="AGO4">
        <f>IF('calcA'!AM$106=1,EL4+ABA4,1)</f>
        <v/>
      </c>
      <c r="AGP4">
        <f>IF('calcA'!AN$106=1,EM4+ABB4,1)</f>
        <v/>
      </c>
      <c r="AGQ4">
        <f>IF('calcA'!AO$106=1,EN4+ABC4,1)</f>
        <v/>
      </c>
      <c r="AGR4">
        <f>IF('calcA'!AP$106=1,EO4+ABD4,1)</f>
        <v/>
      </c>
      <c r="AGS4">
        <f>IF('calcA'!AQ$106=1,EP4+ABE4,1)</f>
        <v/>
      </c>
      <c r="AGT4">
        <f>IF('calcA'!AR$106=1,EQ4+ABF4,1)</f>
        <v/>
      </c>
      <c r="AGU4">
        <f>IF('calcA'!AS$106=1,ER4+ABG4,1)</f>
        <v/>
      </c>
      <c r="AGV4">
        <f>IF('calcA'!AT$106=1,ES4+ABH4,1)</f>
        <v/>
      </c>
      <c r="AGW4">
        <f>IF('calcA'!AU$106=1,ET4+ABI4,1)</f>
        <v/>
      </c>
      <c r="AGX4">
        <f>IF('calcA'!AV$106=1,EU4+ABJ4,1)</f>
        <v/>
      </c>
      <c r="AGY4">
        <f>IF('calcA'!AW$106=1,EV4+ABK4,1)</f>
        <v/>
      </c>
      <c r="AGZ4">
        <f>IF('calcA'!AX$106=1,EW4+ABL4,1)</f>
        <v/>
      </c>
      <c r="AHA4">
        <f>IF('calcA'!AY$106=1,EX4+ABM4,1)</f>
        <v/>
      </c>
      <c r="AHB4">
        <f>IF('calcA'!AZ$106=1,EY4+ABN4,1)</f>
        <v/>
      </c>
      <c r="AHC4">
        <f>IF('calcA'!BA$106=1,EZ4+ABO4,1)</f>
        <v/>
      </c>
      <c r="AHD4">
        <f>IF('calcA'!BB$106=1,FA4+ABP4,1)</f>
        <v/>
      </c>
      <c r="AHE4">
        <f>IF('calcA'!BC$106=1,FB4+ABQ4,1)</f>
        <v/>
      </c>
      <c r="AHF4">
        <f>IF('calcA'!BD$106=1,FC4+ABR4,1)</f>
        <v/>
      </c>
      <c r="AHG4">
        <f>IF('calcA'!BE$106=1,FD4+ABS4,1)</f>
        <v/>
      </c>
      <c r="AHH4">
        <f>IF('calcA'!BF$106=1,FE4+ABT4,1)</f>
        <v/>
      </c>
      <c r="AHI4">
        <f>IF('calcA'!BG$106=1,FF4+ABU4,1)</f>
        <v/>
      </c>
      <c r="AHJ4">
        <f>IF('calcA'!BH$106=1,FG4+ABV4,1)</f>
        <v/>
      </c>
      <c r="AHK4">
        <f>IF('calcA'!BI$106=1,FH4+ABW4,1)</f>
        <v/>
      </c>
      <c r="AHL4">
        <f>IF('calcA'!BJ$106=1,FI4+ABX4,1)</f>
        <v/>
      </c>
      <c r="AHM4">
        <f>IF('calcA'!BK$106=1,FJ4+ABY4,1)</f>
        <v/>
      </c>
      <c r="AHN4">
        <f>IF('calcA'!BL$106=1,FK4+ABZ4,1)</f>
        <v/>
      </c>
      <c r="AHO4">
        <f>IF('calcA'!BM$106=1,FL4+ACA4,1)</f>
        <v/>
      </c>
      <c r="AHP4">
        <f>IF('calcA'!BN$106=1,FM4+ACB4,1)</f>
        <v/>
      </c>
      <c r="AHQ4">
        <f>IF('calcA'!BO$106=1,FN4+ACC4,1)</f>
        <v/>
      </c>
      <c r="AHR4">
        <f>IF('calcA'!BP$106=1,FO4+ACD4,1)</f>
        <v/>
      </c>
      <c r="AHS4">
        <f>IF('calcA'!BQ$106=1,FP4+ACE4,1)</f>
        <v/>
      </c>
      <c r="AHT4">
        <f>IF('calcA'!BR$106=1,FQ4+ACF4,1)</f>
        <v/>
      </c>
      <c r="AHU4">
        <f>IF('calcA'!BS$106=1,FR4+ACG4,1)</f>
        <v/>
      </c>
      <c r="AHV4">
        <f>IF('calcA'!BT$106=1,FS4+ACH4,1)</f>
        <v/>
      </c>
      <c r="AHW4">
        <f>IF('calcA'!BU$106=1,FT4+ACI4,1)</f>
        <v/>
      </c>
      <c r="AHX4">
        <f>IF('calcA'!BV$106=1,FU4+ACJ4,1)</f>
        <v/>
      </c>
      <c r="AHY4">
        <f>IF('calcA'!BW$106=1,FV4+ACK4,1)</f>
        <v/>
      </c>
      <c r="AHZ4">
        <f>IF('calcA'!BX$106=1,FW4+ACL4,1)</f>
        <v/>
      </c>
      <c r="AIA4">
        <f>IF('calcA'!BY$106=1,FX4+ACM4,1)</f>
        <v/>
      </c>
      <c r="AIB4">
        <f>IF('calcA'!BZ$106=1,FY4+ACN4,1)</f>
        <v/>
      </c>
      <c r="AIC4">
        <f>IF('calcA'!CA$106=1,FZ4+ACO4,1)</f>
        <v/>
      </c>
      <c r="AID4">
        <f>IF('calcA'!CB$106=1,GA4+ACP4,1)</f>
        <v/>
      </c>
      <c r="AIE4">
        <f>IF('calcA'!CC$106=1,GB4+ACQ4,1)</f>
        <v/>
      </c>
      <c r="AIF4">
        <f>IF('calcA'!CD$106=1,GC4+ACR4,1)</f>
        <v/>
      </c>
      <c r="AIG4">
        <f>IF('calcA'!CE$106=1,GD4+ACS4,1)</f>
        <v/>
      </c>
      <c r="AIH4">
        <f>IF('calcA'!CF$106=1,GE4+ACT4,1)</f>
        <v/>
      </c>
      <c r="AII4">
        <f>IF('calcA'!CG$106=1,GF4+ACU4,1)</f>
        <v/>
      </c>
      <c r="AIJ4">
        <f>IF('calcA'!CH$106=1,GG4+ACV4,1)</f>
        <v/>
      </c>
      <c r="AIK4">
        <f>IF('calcA'!CI$106=1,GH4+ACW4,1)</f>
        <v/>
      </c>
      <c r="AIL4">
        <f>IF('calcA'!CJ$106=1,GI4+ACX4,1)</f>
        <v/>
      </c>
      <c r="AIM4">
        <f>IF('calcA'!CK$106=1,GJ4+ACY4,1)</f>
        <v/>
      </c>
      <c r="AIN4">
        <f>IF('calcA'!CL$106=1,GK4+ACZ4,1)</f>
        <v/>
      </c>
      <c r="AIO4">
        <f>IF('calcA'!CM$106=1,GL4+ADA4,1)</f>
        <v/>
      </c>
      <c r="AIP4">
        <f>IF('calcA'!CN$106=1,GM4+ADB4,1)</f>
        <v/>
      </c>
      <c r="AIQ4">
        <f>IF('calcA'!CO$106=1,GN4+ADC4,1)</f>
        <v/>
      </c>
      <c r="AIR4">
        <f>IF('calcA'!CP$106=1,GO4+ADD4,1)</f>
        <v/>
      </c>
      <c r="AIS4">
        <f>IF('calcA'!CQ$106=1,GP4+ADE4,1)</f>
        <v/>
      </c>
      <c r="AIT4">
        <f>IF('calcA'!CR$106=1,GQ4+ADF4,1)</f>
        <v/>
      </c>
      <c r="AIU4">
        <f>IF('calcA'!CS$106=1,GR4+ADG4,1)</f>
        <v/>
      </c>
      <c r="AIV4">
        <f>IF('calcA'!CT$106=1,GS4+ADH4,1)</f>
        <v/>
      </c>
      <c r="AIW4">
        <f>IF('calcA'!CU$106=1,GT4+ADI4,1)</f>
        <v/>
      </c>
      <c r="AIX4">
        <f>IF('calcA'!CV$106=1,GU4+ADJ4,1)</f>
        <v/>
      </c>
      <c r="AIY4">
        <f>IF('calcA'!CW$106=1,GV4+ADK4,1)</f>
        <v/>
      </c>
      <c r="AIZ4">
        <f>IF('calcA'!CX$106=1,GW4+ADL4,1)</f>
        <v/>
      </c>
      <c r="AJA4">
        <f>IF('calcA'!CY$106=1,GX4+ADM4,1)</f>
        <v/>
      </c>
      <c r="AJB4">
        <f>IF('calcA'!CZ$106=1,GY4+ADN4,1)</f>
        <v/>
      </c>
      <c r="AJC4">
        <f>IF('calcA'!DA$106=1,GZ4+ADO4,1)</f>
        <v/>
      </c>
      <c r="AJD4">
        <f>IF('calcA'!DB$106=1,HA4+ADP4,1)</f>
        <v/>
      </c>
      <c r="AJE4">
        <f>IF('calcA'!DC$106=1,HB4+ADQ4,1)</f>
        <v/>
      </c>
      <c r="AJF4">
        <f>IF('calcA'!DD$106=1,HC4+ADR4,1)</f>
        <v/>
      </c>
      <c r="AJG4">
        <f>IF('calcA'!DE$106=1,HD4+ADS4,1)</f>
        <v/>
      </c>
      <c r="AJH4">
        <f>IF('calcA'!DF$106=1,HE4+ADT4,1)</f>
        <v/>
      </c>
      <c r="AJI4">
        <f>IF('calcA'!DG$106=1,HF4+ADU4,1)</f>
        <v/>
      </c>
      <c r="AJJ4">
        <f>IF('calcA'!DH$106=1,HG4+ADV4,1)</f>
        <v/>
      </c>
      <c r="AJK4">
        <f>IF('calcA'!DI$106=1,HH4+ADW4,1)</f>
        <v/>
      </c>
      <c r="AJL4">
        <f>IF('calcA'!DJ$106=1,HI4+ADX4,1)</f>
        <v/>
      </c>
      <c r="AJM4">
        <f>IF('calcA'!DK$106=1,HJ4+ADY4,1)</f>
        <v/>
      </c>
      <c r="AJN4">
        <f>IF('calcA'!DL$106=1,HK4+ADZ4,1)</f>
        <v/>
      </c>
      <c r="AJO4">
        <f>IF('calcA'!DM$106=1,HL4+AEA4,1)</f>
        <v/>
      </c>
      <c r="AJP4">
        <f>IF('calcA'!DN$106=1,HM4+AEB4,1)</f>
        <v/>
      </c>
      <c r="AJQ4">
        <f>IF('calcA'!DO$106=1,HN4+AEC4,1)</f>
        <v/>
      </c>
      <c r="AJR4">
        <f>IF('calcA'!DP$106=1,HO4+AED4,1)</f>
        <v/>
      </c>
      <c r="AJS4">
        <f>IF('calcA'!DQ$106=1,HP4+AEE4,1)</f>
        <v/>
      </c>
      <c r="AJT4">
        <f>IF('calcA'!DR$106=1,HQ4+AEF4,1)</f>
        <v/>
      </c>
      <c r="AJU4">
        <f>IF('calcA'!DS$106=1,HR4+AEG4,1)</f>
        <v/>
      </c>
      <c r="AJV4">
        <f>IF('calcA'!DT$106=1,HS4+AEH4,1)</f>
        <v/>
      </c>
      <c r="AJW4">
        <f>IF('calcA'!DU$106=1,HT4+AEI4,1)</f>
        <v/>
      </c>
      <c r="AJX4">
        <f>IF('calcA'!DV$106=1,HU4+AEJ4,1)</f>
        <v/>
      </c>
      <c r="AJY4">
        <f>IF('calcA'!DW$106=1,HV4+AEK4,1)</f>
        <v/>
      </c>
      <c r="AJZ4">
        <f>IF('calcA'!DX$106=1,HW4+AEL4,1)</f>
        <v/>
      </c>
      <c r="AKA4">
        <f>IF('calcA'!DY$106=1,HX4+AEM4,1)</f>
        <v/>
      </c>
      <c r="AKB4">
        <f>IF('calcA'!DZ$106=1,HY4+AEN4,1)</f>
        <v/>
      </c>
      <c r="AKC4">
        <f>IF('calcA'!EA$106=1,HZ4+AEO4,1)</f>
        <v/>
      </c>
      <c r="AKD4">
        <f>IF('calcA'!EB$106=1,IA4+AEP4,1)</f>
        <v/>
      </c>
      <c r="AKE4">
        <f>IF('calcA'!EC$106=1,IB4+AEQ4,1)</f>
        <v/>
      </c>
      <c r="AKF4">
        <f>IF('calcA'!ED$106=1,IC4+AER4,1)</f>
        <v/>
      </c>
      <c r="AKG4">
        <f>IF('calcA'!EE$106=1,ID4+AES4,1)</f>
        <v/>
      </c>
      <c r="AKH4">
        <f>IF('calcA'!EF$106=1,IE4+AET4,1)</f>
        <v/>
      </c>
      <c r="AKI4">
        <f>IF('calcA'!EG$106=1,IF4+AEU4,1)</f>
        <v/>
      </c>
      <c r="AKJ4">
        <f>IF('calcA'!EH$106=1,IG4+AEV4,1)</f>
        <v/>
      </c>
      <c r="AKK4">
        <f>IF('calcA'!EI$106=1,IH4+AEW4,1)</f>
        <v/>
      </c>
      <c r="AKL4">
        <f>IF('calcA'!EJ$106=1,II4+AEX4,1)</f>
        <v/>
      </c>
      <c r="AKM4">
        <f>IF('calcA'!EK$106=1,IJ4+AEY4,1)</f>
        <v/>
      </c>
      <c r="AKN4">
        <f>IF('calcA'!EL$106=1,IK4+AEZ4,1)</f>
        <v/>
      </c>
      <c r="AKO4">
        <f>IF('calcA'!EM$106=1,IL4+AFA4,1)</f>
        <v/>
      </c>
      <c r="AKP4">
        <f>IF('calcA'!EN$106=1,IM4+AFB4,1)</f>
        <v/>
      </c>
      <c r="AKQ4">
        <f>IF('calcA'!EO$106=1,IN4+AFC4,1)</f>
        <v/>
      </c>
      <c r="AKR4">
        <f>IF('calcA'!EP$106=1,IO4+AFD4,1)</f>
        <v/>
      </c>
      <c r="AKS4" t="n">
        <v>1</v>
      </c>
    </row>
    <row r="5">
      <c r="A5" t="n">
        <v>3</v>
      </c>
      <c r="B5">
        <f>IF(MIN(BM5:CZ5)&gt;=1000000000,0,MATCH(MIN(BM5:CZ5),BM5:CZ5,0))</f>
        <v/>
      </c>
      <c r="C5">
        <f>IF(MIN(OF5:TS5)&gt;=1000000000,0,MATCH(MIN(OF5:TS5),OF5:TS5,0))</f>
        <v/>
      </c>
      <c r="D5">
        <f>IF(C5&gt;0,INDEX('calcA'!$D$5:$EQ$5,C5),0)</f>
        <v/>
      </c>
      <c r="E5">
        <f>IF(B5=0,0,INDEX('calcA'!$IQ$10:$IQ$54,B5))</f>
        <v/>
      </c>
      <c r="F5">
        <f>IF(B5=0,0,INDEX('calcA'!$IP$10:$IP$54,B5))</f>
        <v/>
      </c>
      <c r="G5">
        <f>IF(AND(C5&gt;0,E5&gt;0),IF(AND(INDEX('calcA'!$D$106:$EQ$106,C5)=1,INDEX($IQ5:$OD5,C5)=1),C5+1,0),0)</f>
        <v/>
      </c>
      <c r="H5">
        <f>IF(B5=0,0,INDEX('calcA'!$IW$10:$IW$54,B5))</f>
        <v/>
      </c>
      <c r="U5">
        <f>IF(B5=0,0,INDEX('calcA'!$IX$10:$IX$54,B5))</f>
        <v/>
      </c>
      <c r="V5">
        <f>IF(B5=0,0,INDEX('calcA'!$JF$10:$JF$54,B5))</f>
        <v/>
      </c>
      <c r="W5">
        <f>IF(B5=0,0,IF(IF(E5=2,SUMPRODUCT(INDEX('calcA'!$D$60:$EQ$99,B5,0),$DB5:$IO5,$IQ5:$OD5),SUMPRODUCT(INDEX('calcA'!$D$60:$EQ$99,B5,0),$DB5:$IO5))=0,1,0))</f>
        <v/>
      </c>
      <c r="X5">
        <f>MAX(X4,IF($B4=1,1,0))</f>
        <v/>
      </c>
      <c r="Y5">
        <f>MAX(Y4,IF($B4=2,1,0))</f>
        <v/>
      </c>
      <c r="Z5">
        <f>MAX(Z4,IF($B4=3,1,0))</f>
        <v/>
      </c>
      <c r="AA5">
        <f>MAX(AA4,IF($B4=4,1,0))</f>
        <v/>
      </c>
      <c r="AB5">
        <f>MAX(AB4,IF($B4=5,1,0))</f>
        <v/>
      </c>
      <c r="AC5">
        <f>MAX(AC4,IF($B4=6,1,0))</f>
        <v/>
      </c>
      <c r="AD5">
        <f>MAX(AD4,IF($B4=7,1,0))</f>
        <v/>
      </c>
      <c r="AE5">
        <f>MAX(AE4,IF($B4=8,1,0))</f>
        <v/>
      </c>
      <c r="AF5">
        <f>MAX(AF4,IF($B4=9,1,0))</f>
        <v/>
      </c>
      <c r="AG5">
        <f>MAX(AG4,IF($B4=10,1,0))</f>
        <v/>
      </c>
      <c r="AH5">
        <f>MAX(AH4,IF($B4=11,1,0))</f>
        <v/>
      </c>
      <c r="AI5">
        <f>MAX(AI4,IF($B4=12,1,0))</f>
        <v/>
      </c>
      <c r="AJ5">
        <f>MAX(AJ4,IF($B4=13,1,0))</f>
        <v/>
      </c>
      <c r="AK5">
        <f>MAX(AK4,IF($B4=14,1,0))</f>
        <v/>
      </c>
      <c r="AL5">
        <f>MAX(AL4,IF($B4=15,1,0))</f>
        <v/>
      </c>
      <c r="AM5">
        <f>MAX(AM4,IF($B4=16,1,0))</f>
        <v/>
      </c>
      <c r="AN5">
        <f>MAX(AN4,IF($B4=17,1,0))</f>
        <v/>
      </c>
      <c r="AO5">
        <f>MAX(AO4,IF($B4=18,1,0))</f>
        <v/>
      </c>
      <c r="AP5">
        <f>MAX(AP4,IF($B4=19,1,0))</f>
        <v/>
      </c>
      <c r="AQ5">
        <f>MAX(AQ4,IF($B4=20,1,0))</f>
        <v/>
      </c>
      <c r="AR5">
        <f>MAX(AR4,IF($B4=21,1,0))</f>
        <v/>
      </c>
      <c r="AS5">
        <f>MAX(AS4,IF($B4=22,1,0))</f>
        <v/>
      </c>
      <c r="AT5">
        <f>MAX(AT4,IF($B4=23,1,0))</f>
        <v/>
      </c>
      <c r="AU5">
        <f>MAX(AU4,IF($B4=24,1,0))</f>
        <v/>
      </c>
      <c r="AV5">
        <f>MAX(AV4,IF($B4=25,1,0))</f>
        <v/>
      </c>
      <c r="AW5">
        <f>MAX(AW4,IF($B4=26,1,0))</f>
        <v/>
      </c>
      <c r="AX5">
        <f>MAX(AX4,IF($B4=27,1,0))</f>
        <v/>
      </c>
      <c r="AY5">
        <f>MAX(AY4,IF($B4=28,1,0))</f>
        <v/>
      </c>
      <c r="AZ5">
        <f>MAX(AZ4,IF($B4=29,1,0))</f>
        <v/>
      </c>
      <c r="BA5">
        <f>MAX(BA4,IF($B4=30,1,0))</f>
        <v/>
      </c>
      <c r="BB5">
        <f>MAX(BB4,IF($B4=31,1,0))</f>
        <v/>
      </c>
      <c r="BC5">
        <f>MAX(BC4,IF($B4=32,1,0))</f>
        <v/>
      </c>
      <c r="BD5">
        <f>MAX(BD4,IF($B4=33,1,0))</f>
        <v/>
      </c>
      <c r="BE5">
        <f>MAX(BE4,IF($B4=34,1,0))</f>
        <v/>
      </c>
      <c r="BF5">
        <f>MAX(BF4,IF($B4=35,1,0))</f>
        <v/>
      </c>
      <c r="BG5">
        <f>MAX(BG4,IF($B4=36,1,0))</f>
        <v/>
      </c>
      <c r="BH5">
        <f>MAX(BH4,IF($B4=37,1,0))</f>
        <v/>
      </c>
      <c r="BI5">
        <f>MAX(BI4,IF($B4=38,1,0))</f>
        <v/>
      </c>
      <c r="BJ5">
        <f>MAX(BJ4,IF($B4=39,1,0))</f>
        <v/>
      </c>
      <c r="BK5">
        <f>MAX(BK4,IF($B4=40,1,0))</f>
        <v/>
      </c>
      <c r="BM5">
        <f>IF(OR(X5=1,calcA!$A$6=0),1000000000,IF('calcA'!$JF$10=1,0,100000000)+IF('calcA'!$IQ$10=2,SUMPRODUCT('calcA'!$D$60:$EQ$60,$DB5:$IO5,$IQ5:$OD5)*1000+SUMPRODUCT('calcA'!$D$60:$EQ$60,$DB5:$IO5+$ZQ5:$AFD5,$AFF5:$AKS5),SUMPRODUCT('calcA'!$D$60:$EQ$60,$DB5:$IO5*1001+$ZQ5:$AFD5))*100+1)</f>
        <v/>
      </c>
      <c r="BN5">
        <f>IF(OR(Y5=1,calcA!$A$6=0),1000000000,IF('calcA'!$JF$11=1,0,100000000)+IF('calcA'!$IQ$11=2,SUMPRODUCT('calcA'!$D$61:$EQ$61,$DB5:$IO5,$IQ5:$OD5)*1000+SUMPRODUCT('calcA'!$D$61:$EQ$61,$DB5:$IO5+$ZQ5:$AFD5,$AFF5:$AKS5),SUMPRODUCT('calcA'!$D$61:$EQ$61,$DB5:$IO5*1001+$ZQ5:$AFD5))*100+2)</f>
        <v/>
      </c>
      <c r="BO5">
        <f>IF(OR(Z5=1,calcA!$A$6=0),1000000000,IF('calcA'!$JF$12=1,0,100000000)+IF('calcA'!$IQ$12=2,SUMPRODUCT('calcA'!$D$62:$EQ$62,$DB5:$IO5,$IQ5:$OD5)*1000+SUMPRODUCT('calcA'!$D$62:$EQ$62,$DB5:$IO5+$ZQ5:$AFD5,$AFF5:$AKS5),SUMPRODUCT('calcA'!$D$62:$EQ$62,$DB5:$IO5*1001+$ZQ5:$AFD5))*100+3)</f>
        <v/>
      </c>
      <c r="BP5">
        <f>IF(OR(AA5=1,calcA!$A$6=0),1000000000,IF('calcA'!$JF$13=1,0,100000000)+IF('calcA'!$IQ$13=2,SUMPRODUCT('calcA'!$D$63:$EQ$63,$DB5:$IO5,$IQ5:$OD5)*1000+SUMPRODUCT('calcA'!$D$63:$EQ$63,$DB5:$IO5+$ZQ5:$AFD5,$AFF5:$AKS5),SUMPRODUCT('calcA'!$D$63:$EQ$63,$DB5:$IO5*1001+$ZQ5:$AFD5))*100+4)</f>
        <v/>
      </c>
      <c r="BQ5">
        <f>IF(OR(AB5=1,calcA!$A$6=0),1000000000,IF('calcA'!$JF$14=1,0,100000000)+IF('calcA'!$IQ$14=2,SUMPRODUCT('calcA'!$D$64:$EQ$64,$DB5:$IO5,$IQ5:$OD5)*1000+SUMPRODUCT('calcA'!$D$64:$EQ$64,$DB5:$IO5+$ZQ5:$AFD5,$AFF5:$AKS5),SUMPRODUCT('calcA'!$D$64:$EQ$64,$DB5:$IO5*1001+$ZQ5:$AFD5))*100+5)</f>
        <v/>
      </c>
      <c r="BR5">
        <f>IF(OR(AC5=1,calcA!$A$6=0),1000000000,IF('calcA'!$JF$15=1,0,100000000)+IF('calcA'!$IQ$15=2,SUMPRODUCT('calcA'!$D$65:$EQ$65,$DB5:$IO5,$IQ5:$OD5)*1000+SUMPRODUCT('calcA'!$D$65:$EQ$65,$DB5:$IO5+$ZQ5:$AFD5,$AFF5:$AKS5),SUMPRODUCT('calcA'!$D$65:$EQ$65,$DB5:$IO5*1001+$ZQ5:$AFD5))*100+6)</f>
        <v/>
      </c>
      <c r="BS5">
        <f>IF(OR(AD5=1,calcA!$A$6=0),1000000000,IF('calcA'!$JF$16=1,0,100000000)+IF('calcA'!$IQ$16=2,SUMPRODUCT('calcA'!$D$66:$EQ$66,$DB5:$IO5,$IQ5:$OD5)*1000+SUMPRODUCT('calcA'!$D$66:$EQ$66,$DB5:$IO5+$ZQ5:$AFD5,$AFF5:$AKS5),SUMPRODUCT('calcA'!$D$66:$EQ$66,$DB5:$IO5*1001+$ZQ5:$AFD5))*100+7)</f>
        <v/>
      </c>
      <c r="BT5">
        <f>IF(OR(AE5=1,calcA!$A$6=0),1000000000,IF('calcA'!$JF$17=1,0,100000000)+IF('calcA'!$IQ$17=2,SUMPRODUCT('calcA'!$D$67:$EQ$67,$DB5:$IO5,$IQ5:$OD5)*1000+SUMPRODUCT('calcA'!$D$67:$EQ$67,$DB5:$IO5+$ZQ5:$AFD5,$AFF5:$AKS5),SUMPRODUCT('calcA'!$D$67:$EQ$67,$DB5:$IO5*1001+$ZQ5:$AFD5))*100+8)</f>
        <v/>
      </c>
      <c r="BU5">
        <f>IF(OR(AF5=1,calcA!$A$6=0),1000000000,IF('calcA'!$JF$18=1,0,100000000)+IF('calcA'!$IQ$18=2,SUMPRODUCT('calcA'!$D$68:$EQ$68,$DB5:$IO5,$IQ5:$OD5)*1000+SUMPRODUCT('calcA'!$D$68:$EQ$68,$DB5:$IO5+$ZQ5:$AFD5,$AFF5:$AKS5),SUMPRODUCT('calcA'!$D$68:$EQ$68,$DB5:$IO5*1001+$ZQ5:$AFD5))*100+9)</f>
        <v/>
      </c>
      <c r="BV5">
        <f>IF(OR(AG5=1,calcA!$A$6=0),1000000000,IF('calcA'!$JF$19=1,0,100000000)+IF('calcA'!$IQ$19=2,SUMPRODUCT('calcA'!$D$69:$EQ$69,$DB5:$IO5,$IQ5:$OD5)*1000+SUMPRODUCT('calcA'!$D$69:$EQ$69,$DB5:$IO5+$ZQ5:$AFD5,$AFF5:$AKS5),SUMPRODUCT('calcA'!$D$69:$EQ$69,$DB5:$IO5*1001+$ZQ5:$AFD5))*100+10)</f>
        <v/>
      </c>
      <c r="BW5">
        <f>IF(OR(AH5=1,calcA!$A$6=0),1000000000,IF('calcA'!$JF$20=1,0,100000000)+IF('calcA'!$IQ$20=2,SUMPRODUCT('calcA'!$D$70:$EQ$70,$DB5:$IO5,$IQ5:$OD5)*1000+SUMPRODUCT('calcA'!$D$70:$EQ$70,$DB5:$IO5+$ZQ5:$AFD5,$AFF5:$AKS5),SUMPRODUCT('calcA'!$D$70:$EQ$70,$DB5:$IO5*1001+$ZQ5:$AFD5))*100+11)</f>
        <v/>
      </c>
      <c r="BX5">
        <f>IF(OR(AI5=1,calcA!$A$6=0),1000000000,IF('calcA'!$JF$21=1,0,100000000)+IF('calcA'!$IQ$21=2,SUMPRODUCT('calcA'!$D$71:$EQ$71,$DB5:$IO5,$IQ5:$OD5)*1000+SUMPRODUCT('calcA'!$D$71:$EQ$71,$DB5:$IO5+$ZQ5:$AFD5,$AFF5:$AKS5),SUMPRODUCT('calcA'!$D$71:$EQ$71,$DB5:$IO5*1001+$ZQ5:$AFD5))*100+12)</f>
        <v/>
      </c>
      <c r="BY5">
        <f>IF(OR(AJ5=1,calcA!$A$6=0),1000000000,IF('calcA'!$JF$22=1,0,100000000)+IF('calcA'!$IQ$22=2,SUMPRODUCT('calcA'!$D$72:$EQ$72,$DB5:$IO5,$IQ5:$OD5)*1000+SUMPRODUCT('calcA'!$D$72:$EQ$72,$DB5:$IO5+$ZQ5:$AFD5,$AFF5:$AKS5),SUMPRODUCT('calcA'!$D$72:$EQ$72,$DB5:$IO5*1001+$ZQ5:$AFD5))*100+13)</f>
        <v/>
      </c>
      <c r="BZ5">
        <f>IF(OR(AK5=1,calcA!$A$6=0),1000000000,IF('calcA'!$JF$23=1,0,100000000)+IF('calcA'!$IQ$23=2,SUMPRODUCT('calcA'!$D$73:$EQ$73,$DB5:$IO5,$IQ5:$OD5)*1000+SUMPRODUCT('calcA'!$D$73:$EQ$73,$DB5:$IO5+$ZQ5:$AFD5,$AFF5:$AKS5),SUMPRODUCT('calcA'!$D$73:$EQ$73,$DB5:$IO5*1001+$ZQ5:$AFD5))*100+14)</f>
        <v/>
      </c>
      <c r="CA5">
        <f>IF(OR(AL5=1,calcA!$A$6=0),1000000000,IF('calcA'!$JF$24=1,0,100000000)+IF('calcA'!$IQ$24=2,SUMPRODUCT('calcA'!$D$74:$EQ$74,$DB5:$IO5,$IQ5:$OD5)*1000+SUMPRODUCT('calcA'!$D$74:$EQ$74,$DB5:$IO5+$ZQ5:$AFD5,$AFF5:$AKS5),SUMPRODUCT('calcA'!$D$74:$EQ$74,$DB5:$IO5*1001+$ZQ5:$AFD5))*100+15)</f>
        <v/>
      </c>
      <c r="CB5">
        <f>IF(OR(AM5=1,calcA!$A$6=0),1000000000,IF('calcA'!$JF$25=1,0,100000000)+IF('calcA'!$IQ$25=2,SUMPRODUCT('calcA'!$D$75:$EQ$75,$DB5:$IO5,$IQ5:$OD5)*1000+SUMPRODUCT('calcA'!$D$75:$EQ$75,$DB5:$IO5+$ZQ5:$AFD5,$AFF5:$AKS5),SUMPRODUCT('calcA'!$D$75:$EQ$75,$DB5:$IO5*1001+$ZQ5:$AFD5))*100+16)</f>
        <v/>
      </c>
      <c r="CC5">
        <f>IF(OR(AN5=1,calcA!$A$6=0),1000000000,IF('calcA'!$JF$26=1,0,100000000)+IF('calcA'!$IQ$26=2,SUMPRODUCT('calcA'!$D$76:$EQ$76,$DB5:$IO5,$IQ5:$OD5)*1000+SUMPRODUCT('calcA'!$D$76:$EQ$76,$DB5:$IO5+$ZQ5:$AFD5,$AFF5:$AKS5),SUMPRODUCT('calcA'!$D$76:$EQ$76,$DB5:$IO5*1001+$ZQ5:$AFD5))*100+17)</f>
        <v/>
      </c>
      <c r="CD5">
        <f>IF(OR(AO5=1,calcA!$A$6=0),1000000000,IF('calcA'!$JF$27=1,0,100000000)+IF('calcA'!$IQ$27=2,SUMPRODUCT('calcA'!$D$77:$EQ$77,$DB5:$IO5,$IQ5:$OD5)*1000+SUMPRODUCT('calcA'!$D$77:$EQ$77,$DB5:$IO5+$ZQ5:$AFD5,$AFF5:$AKS5),SUMPRODUCT('calcA'!$D$77:$EQ$77,$DB5:$IO5*1001+$ZQ5:$AFD5))*100+18)</f>
        <v/>
      </c>
      <c r="CE5">
        <f>IF(OR(AP5=1,calcA!$A$6=0),1000000000,IF('calcA'!$JF$28=1,0,100000000)+IF('calcA'!$IQ$28=2,SUMPRODUCT('calcA'!$D$78:$EQ$78,$DB5:$IO5,$IQ5:$OD5)*1000+SUMPRODUCT('calcA'!$D$78:$EQ$78,$DB5:$IO5+$ZQ5:$AFD5,$AFF5:$AKS5),SUMPRODUCT('calcA'!$D$78:$EQ$78,$DB5:$IO5*1001+$ZQ5:$AFD5))*100+19)</f>
        <v/>
      </c>
      <c r="CF5">
        <f>IF(OR(AQ5=1,calcA!$A$6=0),1000000000,IF('calcA'!$JF$29=1,0,100000000)+IF('calcA'!$IQ$29=2,SUMPRODUCT('calcA'!$D$79:$EQ$79,$DB5:$IO5,$IQ5:$OD5)*1000+SUMPRODUCT('calcA'!$D$79:$EQ$79,$DB5:$IO5+$ZQ5:$AFD5,$AFF5:$AKS5),SUMPRODUCT('calcA'!$D$79:$EQ$79,$DB5:$IO5*1001+$ZQ5:$AFD5))*100+20)</f>
        <v/>
      </c>
      <c r="CG5">
        <f>IF(OR(AR5=1,calcA!$A$6=0),1000000000,IF('calcA'!$JF$30=1,0,100000000)+IF('calcA'!$IQ$30=2,SUMPRODUCT('calcA'!$D$80:$EQ$80,$DB5:$IO5,$IQ5:$OD5)*1000+SUMPRODUCT('calcA'!$D$80:$EQ$80,$DB5:$IO5+$ZQ5:$AFD5,$AFF5:$AKS5),SUMPRODUCT('calcA'!$D$80:$EQ$80,$DB5:$IO5*1001+$ZQ5:$AFD5))*100+21)</f>
        <v/>
      </c>
      <c r="CH5">
        <f>IF(OR(AS5=1,calcA!$A$6=0),1000000000,IF('calcA'!$JF$31=1,0,100000000)+IF('calcA'!$IQ$31=2,SUMPRODUCT('calcA'!$D$81:$EQ$81,$DB5:$IO5,$IQ5:$OD5)*1000+SUMPRODUCT('calcA'!$D$81:$EQ$81,$DB5:$IO5+$ZQ5:$AFD5,$AFF5:$AKS5),SUMPRODUCT('calcA'!$D$81:$EQ$81,$DB5:$IO5*1001+$ZQ5:$AFD5))*100+22)</f>
        <v/>
      </c>
      <c r="CI5">
        <f>IF(OR(AT5=1,calcA!$A$6=0),1000000000,IF('calcA'!$JF$32=1,0,100000000)+IF('calcA'!$IQ$32=2,SUMPRODUCT('calcA'!$D$82:$EQ$82,$DB5:$IO5,$IQ5:$OD5)*1000+SUMPRODUCT('calcA'!$D$82:$EQ$82,$DB5:$IO5+$ZQ5:$AFD5,$AFF5:$AKS5),SUMPRODUCT('calcA'!$D$82:$EQ$82,$DB5:$IO5*1001+$ZQ5:$AFD5))*100+23)</f>
        <v/>
      </c>
      <c r="CJ5">
        <f>IF(OR(AU5=1,calcA!$A$6=0),1000000000,IF('calcA'!$JF$33=1,0,100000000)+IF('calcA'!$IQ$33=2,SUMPRODUCT('calcA'!$D$83:$EQ$83,$DB5:$IO5,$IQ5:$OD5)*1000+SUMPRODUCT('calcA'!$D$83:$EQ$83,$DB5:$IO5+$ZQ5:$AFD5,$AFF5:$AKS5),SUMPRODUCT('calcA'!$D$83:$EQ$83,$DB5:$IO5*1001+$ZQ5:$AFD5))*100+24)</f>
        <v/>
      </c>
      <c r="CK5">
        <f>IF(OR(AV5=1,calcA!$A$6=0),1000000000,IF('calcA'!$JF$34=1,0,100000000)+IF('calcA'!$IQ$34=2,SUMPRODUCT('calcA'!$D$84:$EQ$84,$DB5:$IO5,$IQ5:$OD5)*1000+SUMPRODUCT('calcA'!$D$84:$EQ$84,$DB5:$IO5+$ZQ5:$AFD5,$AFF5:$AKS5),SUMPRODUCT('calcA'!$D$84:$EQ$84,$DB5:$IO5*1001+$ZQ5:$AFD5))*100+25)</f>
        <v/>
      </c>
      <c r="CL5">
        <f>IF(OR(AW5=1,calcA!$A$6=0),1000000000,IF('calcA'!$JF$35=1,0,100000000)+IF('calcA'!$IQ$35=2,SUMPRODUCT('calcA'!$D$85:$EQ$85,$DB5:$IO5,$IQ5:$OD5)*1000+SUMPRODUCT('calcA'!$D$85:$EQ$85,$DB5:$IO5+$ZQ5:$AFD5,$AFF5:$AKS5),SUMPRODUCT('calcA'!$D$85:$EQ$85,$DB5:$IO5*1001+$ZQ5:$AFD5))*100+26)</f>
        <v/>
      </c>
      <c r="CM5">
        <f>IF(OR(AX5=1,calcA!$A$6=0),1000000000,IF('calcA'!$JF$36=1,0,100000000)+IF('calcA'!$IQ$36=2,SUMPRODUCT('calcA'!$D$86:$EQ$86,$DB5:$IO5,$IQ5:$OD5)*1000+SUMPRODUCT('calcA'!$D$86:$EQ$86,$DB5:$IO5+$ZQ5:$AFD5,$AFF5:$AKS5),SUMPRODUCT('calcA'!$D$86:$EQ$86,$DB5:$IO5*1001+$ZQ5:$AFD5))*100+27)</f>
        <v/>
      </c>
      <c r="CN5">
        <f>IF(OR(AY5=1,calcA!$A$6=0),1000000000,IF('calcA'!$JF$37=1,0,100000000)+IF('calcA'!$IQ$37=2,SUMPRODUCT('calcA'!$D$87:$EQ$87,$DB5:$IO5,$IQ5:$OD5)*1000+SUMPRODUCT('calcA'!$D$87:$EQ$87,$DB5:$IO5+$ZQ5:$AFD5,$AFF5:$AKS5),SUMPRODUCT('calcA'!$D$87:$EQ$87,$DB5:$IO5*1001+$ZQ5:$AFD5))*100+28)</f>
        <v/>
      </c>
      <c r="CO5">
        <f>IF(OR(AZ5=1,calcA!$A$6=0),1000000000,IF('calcA'!$JF$38=1,0,100000000)+IF('calcA'!$IQ$38=2,SUMPRODUCT('calcA'!$D$88:$EQ$88,$DB5:$IO5,$IQ5:$OD5)*1000+SUMPRODUCT('calcA'!$D$88:$EQ$88,$DB5:$IO5+$ZQ5:$AFD5,$AFF5:$AKS5),SUMPRODUCT('calcA'!$D$88:$EQ$88,$DB5:$IO5*1001+$ZQ5:$AFD5))*100+29)</f>
        <v/>
      </c>
      <c r="CP5">
        <f>IF(OR(BA5=1,calcA!$A$6=0),1000000000,IF('calcA'!$JF$39=1,0,100000000)+IF('calcA'!$IQ$39=2,SUMPRODUCT('calcA'!$D$89:$EQ$89,$DB5:$IO5,$IQ5:$OD5)*1000+SUMPRODUCT('calcA'!$D$89:$EQ$89,$DB5:$IO5+$ZQ5:$AFD5,$AFF5:$AKS5),SUMPRODUCT('calcA'!$D$89:$EQ$89,$DB5:$IO5*1001+$ZQ5:$AFD5))*100+30)</f>
        <v/>
      </c>
      <c r="CQ5">
        <f>IF(OR(BB5=1,calcA!$A$6=0),1000000000,IF('calcA'!$JF$40=1,0,100000000)+IF('calcA'!$IQ$40=2,SUMPRODUCT('calcA'!$D$90:$EQ$90,$DB5:$IO5,$IQ5:$OD5)*1000+SUMPRODUCT('calcA'!$D$90:$EQ$90,$DB5:$IO5+$ZQ5:$AFD5,$AFF5:$AKS5),SUMPRODUCT('calcA'!$D$90:$EQ$90,$DB5:$IO5*1001+$ZQ5:$AFD5))*100+31)</f>
        <v/>
      </c>
      <c r="CR5">
        <f>IF(OR(BC5=1,calcA!$A$6=0),1000000000,IF('calcA'!$JF$41=1,0,100000000)+IF('calcA'!$IQ$41=2,SUMPRODUCT('calcA'!$D$91:$EQ$91,$DB5:$IO5,$IQ5:$OD5)*1000+SUMPRODUCT('calcA'!$D$91:$EQ$91,$DB5:$IO5+$ZQ5:$AFD5,$AFF5:$AKS5),SUMPRODUCT('calcA'!$D$91:$EQ$91,$DB5:$IO5*1001+$ZQ5:$AFD5))*100+32)</f>
        <v/>
      </c>
      <c r="CS5">
        <f>IF(OR(BD5=1,calcA!$A$6=0),1000000000,IF('calcA'!$JF$42=1,0,100000000)+IF('calcA'!$IQ$42=2,SUMPRODUCT('calcA'!$D$92:$EQ$92,$DB5:$IO5,$IQ5:$OD5)*1000+SUMPRODUCT('calcA'!$D$92:$EQ$92,$DB5:$IO5+$ZQ5:$AFD5,$AFF5:$AKS5),SUMPRODUCT('calcA'!$D$92:$EQ$92,$DB5:$IO5*1001+$ZQ5:$AFD5))*100+33)</f>
        <v/>
      </c>
      <c r="CT5">
        <f>IF(OR(BE5=1,calcA!$A$6=0),1000000000,IF('calcA'!$JF$43=1,0,100000000)+IF('calcA'!$IQ$43=2,SUMPRODUCT('calcA'!$D$93:$EQ$93,$DB5:$IO5,$IQ5:$OD5)*1000+SUMPRODUCT('calcA'!$D$93:$EQ$93,$DB5:$IO5+$ZQ5:$AFD5,$AFF5:$AKS5),SUMPRODUCT('calcA'!$D$93:$EQ$93,$DB5:$IO5*1001+$ZQ5:$AFD5))*100+34)</f>
        <v/>
      </c>
      <c r="CU5">
        <f>IF(OR(BF5=1,calcA!$A$6=0),1000000000,IF('calcA'!$JF$44=1,0,100000000)+IF('calcA'!$IQ$44=2,SUMPRODUCT('calcA'!$D$94:$EQ$94,$DB5:$IO5,$IQ5:$OD5)*1000+SUMPRODUCT('calcA'!$D$94:$EQ$94,$DB5:$IO5+$ZQ5:$AFD5,$AFF5:$AKS5),SUMPRODUCT('calcA'!$D$94:$EQ$94,$DB5:$IO5*1001+$ZQ5:$AFD5))*100+35)</f>
        <v/>
      </c>
      <c r="CV5">
        <f>IF(OR(BG5=1,calcA!$A$6=0),1000000000,IF('calcA'!$JF$45=1,0,100000000)+IF('calcA'!$IQ$45=2,SUMPRODUCT('calcA'!$D$95:$EQ$95,$DB5:$IO5,$IQ5:$OD5)*1000+SUMPRODUCT('calcA'!$D$95:$EQ$95,$DB5:$IO5+$ZQ5:$AFD5,$AFF5:$AKS5),SUMPRODUCT('calcA'!$D$95:$EQ$95,$DB5:$IO5*1001+$ZQ5:$AFD5))*100+36)</f>
        <v/>
      </c>
      <c r="CW5">
        <f>IF(OR(BH5=1,calcA!$A$6=0),1000000000,IF('calcA'!$JF$46=1,0,100000000)+IF('calcA'!$IQ$46=2,SUMPRODUCT('calcA'!$D$96:$EQ$96,$DB5:$IO5,$IQ5:$OD5)*1000+SUMPRODUCT('calcA'!$D$96:$EQ$96,$DB5:$IO5+$ZQ5:$AFD5,$AFF5:$AKS5),SUMPRODUCT('calcA'!$D$96:$EQ$96,$DB5:$IO5*1001+$ZQ5:$AFD5))*100+37)</f>
        <v/>
      </c>
      <c r="CX5">
        <f>IF(OR(BI5=1,calcA!$A$6=0),1000000000,IF('calcA'!$JF$47=1,0,100000000)+IF('calcA'!$IQ$47=2,SUMPRODUCT('calcA'!$D$97:$EQ$97,$DB5:$IO5,$IQ5:$OD5)*1000+SUMPRODUCT('calcA'!$D$97:$EQ$97,$DB5:$IO5+$ZQ5:$AFD5,$AFF5:$AKS5),SUMPRODUCT('calcA'!$D$97:$EQ$97,$DB5:$IO5*1001+$ZQ5:$AFD5))*100+38)</f>
        <v/>
      </c>
      <c r="CY5">
        <f>IF(OR(BJ5=1,calcA!$A$6=0),1000000000,IF('calcA'!$JF$48=1,0,100000000)+IF('calcA'!$IQ$48=2,SUMPRODUCT('calcA'!$D$98:$EQ$98,$DB5:$IO5,$IQ5:$OD5)*1000+SUMPRODUCT('calcA'!$D$98:$EQ$98,$DB5:$IO5+$ZQ5:$AFD5,$AFF5:$AKS5),SUMPRODUCT('calcA'!$D$98:$EQ$98,$DB5:$IO5*1001+$ZQ5:$AFD5))*100+39)</f>
        <v/>
      </c>
      <c r="CZ5">
        <f>IF(OR(BK5=1,calcA!$A$6=0),1000000000,IF('calcA'!$JF$49=1,0,100000000)+IF('calcA'!$IQ$49=2,SUMPRODUCT('calcA'!$D$99:$EQ$99,$DB5:$IO5,$IQ5:$OD5)*1000+SUMPRODUCT('calcA'!$D$99:$EQ$99,$DB5:$IO5+$ZQ5:$AFD5,$AFF5:$AKS5),SUMPRODUCT('calcA'!$D$99:$EQ$99,$DB5:$IO5*1001+$ZQ5:$AFD5))*100+40)</f>
        <v/>
      </c>
      <c r="DB5">
        <f>DB4*IF(OR($C4=1,$G4=1),0,1)</f>
        <v/>
      </c>
      <c r="DC5">
        <f>DC4*IF(OR($C4=2,$G4=2),0,1)</f>
        <v/>
      </c>
      <c r="DD5">
        <f>DD4*IF(OR($C4=3,$G4=3),0,1)</f>
        <v/>
      </c>
      <c r="DE5">
        <f>DE4*IF(OR($C4=4,$G4=4),0,1)</f>
        <v/>
      </c>
      <c r="DF5">
        <f>DF4*IF(OR($C4=5,$G4=5),0,1)</f>
        <v/>
      </c>
      <c r="DG5">
        <f>DG4*IF(OR($C4=6,$G4=6),0,1)</f>
        <v/>
      </c>
      <c r="DH5">
        <f>DH4*IF(OR($C4=7,$G4=7),0,1)</f>
        <v/>
      </c>
      <c r="DI5">
        <f>DI4*IF(OR($C4=8,$G4=8),0,1)</f>
        <v/>
      </c>
      <c r="DJ5">
        <f>DJ4*IF(OR($C4=9,$G4=9),0,1)</f>
        <v/>
      </c>
      <c r="DK5">
        <f>DK4*IF(OR($C4=10,$G4=10),0,1)</f>
        <v/>
      </c>
      <c r="DL5">
        <f>DL4*IF(OR($C4=11,$G4=11),0,1)</f>
        <v/>
      </c>
      <c r="DM5">
        <f>DM4*IF(OR($C4=12,$G4=12),0,1)</f>
        <v/>
      </c>
      <c r="DN5">
        <f>DN4*IF(OR($C4=13,$G4=13),0,1)</f>
        <v/>
      </c>
      <c r="DO5">
        <f>DO4*IF(OR($C4=14,$G4=14),0,1)</f>
        <v/>
      </c>
      <c r="DP5">
        <f>DP4*IF(OR($C4=15,$G4=15),0,1)</f>
        <v/>
      </c>
      <c r="DQ5">
        <f>DQ4*IF(OR($C4=16,$G4=16),0,1)</f>
        <v/>
      </c>
      <c r="DR5">
        <f>DR4*IF(OR($C4=17,$G4=17),0,1)</f>
        <v/>
      </c>
      <c r="DS5">
        <f>DS4*IF(OR($C4=18,$G4=18),0,1)</f>
        <v/>
      </c>
      <c r="DT5">
        <f>DT4*IF(OR($C4=19,$G4=19),0,1)</f>
        <v/>
      </c>
      <c r="DU5">
        <f>DU4*IF(OR($C4=20,$G4=20),0,1)</f>
        <v/>
      </c>
      <c r="DV5">
        <f>DV4*IF(OR($C4=21,$G4=21),0,1)</f>
        <v/>
      </c>
      <c r="DW5">
        <f>DW4*IF(OR($C4=22,$G4=22),0,1)</f>
        <v/>
      </c>
      <c r="DX5">
        <f>DX4*IF(OR($C4=23,$G4=23),0,1)</f>
        <v/>
      </c>
      <c r="DY5">
        <f>DY4*IF(OR($C4=24,$G4=24),0,1)</f>
        <v/>
      </c>
      <c r="DZ5">
        <f>DZ4*IF(OR($C4=25,$G4=25),0,1)</f>
        <v/>
      </c>
      <c r="EA5">
        <f>EA4*IF(OR($C4=26,$G4=26),0,1)</f>
        <v/>
      </c>
      <c r="EB5">
        <f>EB4*IF(OR($C4=27,$G4=27),0,1)</f>
        <v/>
      </c>
      <c r="EC5">
        <f>EC4*IF(OR($C4=28,$G4=28),0,1)</f>
        <v/>
      </c>
      <c r="ED5">
        <f>ED4*IF(OR($C4=29,$G4=29),0,1)</f>
        <v/>
      </c>
      <c r="EE5">
        <f>EE4*IF(OR($C4=30,$G4=30),0,1)</f>
        <v/>
      </c>
      <c r="EF5">
        <f>EF4*IF(OR($C4=31,$G4=31),0,1)</f>
        <v/>
      </c>
      <c r="EG5">
        <f>EG4*IF(OR($C4=32,$G4=32),0,1)</f>
        <v/>
      </c>
      <c r="EH5">
        <f>EH4*IF(OR($C4=33,$G4=33),0,1)</f>
        <v/>
      </c>
      <c r="EI5">
        <f>EI4*IF(OR($C4=34,$G4=34),0,1)</f>
        <v/>
      </c>
      <c r="EJ5">
        <f>EJ4*IF(OR($C4=35,$G4=35),0,1)</f>
        <v/>
      </c>
      <c r="EK5">
        <f>EK4*IF(OR($C4=36,$G4=36),0,1)</f>
        <v/>
      </c>
      <c r="EL5">
        <f>EL4*IF(OR($C4=37,$G4=37),0,1)</f>
        <v/>
      </c>
      <c r="EM5">
        <f>EM4*IF(OR($C4=38,$G4=38),0,1)</f>
        <v/>
      </c>
      <c r="EN5">
        <f>EN4*IF(OR($C4=39,$G4=39),0,1)</f>
        <v/>
      </c>
      <c r="EO5">
        <f>EO4*IF(OR($C4=40,$G4=40),0,1)</f>
        <v/>
      </c>
      <c r="EP5">
        <f>EP4*IF(OR($C4=41,$G4=41),0,1)</f>
        <v/>
      </c>
      <c r="EQ5">
        <f>EQ4*IF(OR($C4=42,$G4=42),0,1)</f>
        <v/>
      </c>
      <c r="ER5">
        <f>ER4*IF(OR($C4=43,$G4=43),0,1)</f>
        <v/>
      </c>
      <c r="ES5">
        <f>ES4*IF(OR($C4=44,$G4=44),0,1)</f>
        <v/>
      </c>
      <c r="ET5">
        <f>ET4*IF(OR($C4=45,$G4=45),0,1)</f>
        <v/>
      </c>
      <c r="EU5">
        <f>EU4*IF(OR($C4=46,$G4=46),0,1)</f>
        <v/>
      </c>
      <c r="EV5">
        <f>EV4*IF(OR($C4=47,$G4=47),0,1)</f>
        <v/>
      </c>
      <c r="EW5">
        <f>EW4*IF(OR($C4=48,$G4=48),0,1)</f>
        <v/>
      </c>
      <c r="EX5">
        <f>EX4*IF(OR($C4=49,$G4=49),0,1)</f>
        <v/>
      </c>
      <c r="EY5">
        <f>EY4*IF(OR($C4=50,$G4=50),0,1)</f>
        <v/>
      </c>
      <c r="EZ5">
        <f>EZ4*IF(OR($C4=51,$G4=51),0,1)</f>
        <v/>
      </c>
      <c r="FA5">
        <f>FA4*IF(OR($C4=52,$G4=52),0,1)</f>
        <v/>
      </c>
      <c r="FB5">
        <f>FB4*IF(OR($C4=53,$G4=53),0,1)</f>
        <v/>
      </c>
      <c r="FC5">
        <f>FC4*IF(OR($C4=54,$G4=54),0,1)</f>
        <v/>
      </c>
      <c r="FD5">
        <f>FD4*IF(OR($C4=55,$G4=55),0,1)</f>
        <v/>
      </c>
      <c r="FE5">
        <f>FE4*IF(OR($C4=56,$G4=56),0,1)</f>
        <v/>
      </c>
      <c r="FF5">
        <f>FF4*IF(OR($C4=57,$G4=57),0,1)</f>
        <v/>
      </c>
      <c r="FG5">
        <f>FG4*IF(OR($C4=58,$G4=58),0,1)</f>
        <v/>
      </c>
      <c r="FH5">
        <f>FH4*IF(OR($C4=59,$G4=59),0,1)</f>
        <v/>
      </c>
      <c r="FI5">
        <f>FI4*IF(OR($C4=60,$G4=60),0,1)</f>
        <v/>
      </c>
      <c r="FJ5">
        <f>FJ4*IF(OR($C4=61,$G4=61),0,1)</f>
        <v/>
      </c>
      <c r="FK5">
        <f>FK4*IF(OR($C4=62,$G4=62),0,1)</f>
        <v/>
      </c>
      <c r="FL5">
        <f>FL4*IF(OR($C4=63,$G4=63),0,1)</f>
        <v/>
      </c>
      <c r="FM5">
        <f>FM4*IF(OR($C4=64,$G4=64),0,1)</f>
        <v/>
      </c>
      <c r="FN5">
        <f>FN4*IF(OR($C4=65,$G4=65),0,1)</f>
        <v/>
      </c>
      <c r="FO5">
        <f>FO4*IF(OR($C4=66,$G4=66),0,1)</f>
        <v/>
      </c>
      <c r="FP5">
        <f>FP4*IF(OR($C4=67,$G4=67),0,1)</f>
        <v/>
      </c>
      <c r="FQ5">
        <f>FQ4*IF(OR($C4=68,$G4=68),0,1)</f>
        <v/>
      </c>
      <c r="FR5">
        <f>FR4*IF(OR($C4=69,$G4=69),0,1)</f>
        <v/>
      </c>
      <c r="FS5">
        <f>FS4*IF(OR($C4=70,$G4=70),0,1)</f>
        <v/>
      </c>
      <c r="FT5">
        <f>FT4*IF(OR($C4=71,$G4=71),0,1)</f>
        <v/>
      </c>
      <c r="FU5">
        <f>FU4*IF(OR($C4=72,$G4=72),0,1)</f>
        <v/>
      </c>
      <c r="FV5">
        <f>FV4*IF(OR($C4=73,$G4=73),0,1)</f>
        <v/>
      </c>
      <c r="FW5">
        <f>FW4*IF(OR($C4=74,$G4=74),0,1)</f>
        <v/>
      </c>
      <c r="FX5">
        <f>FX4*IF(OR($C4=75,$G4=75),0,1)</f>
        <v/>
      </c>
      <c r="FY5">
        <f>FY4*IF(OR($C4=76,$G4=76),0,1)</f>
        <v/>
      </c>
      <c r="FZ5">
        <f>FZ4*IF(OR($C4=77,$G4=77),0,1)</f>
        <v/>
      </c>
      <c r="GA5">
        <f>GA4*IF(OR($C4=78,$G4=78),0,1)</f>
        <v/>
      </c>
      <c r="GB5">
        <f>GB4*IF(OR($C4=79,$G4=79),0,1)</f>
        <v/>
      </c>
      <c r="GC5">
        <f>GC4*IF(OR($C4=80,$G4=80),0,1)</f>
        <v/>
      </c>
      <c r="GD5">
        <f>GD4*IF(OR($C4=81,$G4=81),0,1)</f>
        <v/>
      </c>
      <c r="GE5">
        <f>GE4*IF(OR($C4=82,$G4=82),0,1)</f>
        <v/>
      </c>
      <c r="GF5">
        <f>GF4*IF(OR($C4=83,$G4=83),0,1)</f>
        <v/>
      </c>
      <c r="GG5">
        <f>GG4*IF(OR($C4=84,$G4=84),0,1)</f>
        <v/>
      </c>
      <c r="GH5">
        <f>GH4*IF(OR($C4=85,$G4=85),0,1)</f>
        <v/>
      </c>
      <c r="GI5">
        <f>GI4*IF(OR($C4=86,$G4=86),0,1)</f>
        <v/>
      </c>
      <c r="GJ5">
        <f>GJ4*IF(OR($C4=87,$G4=87),0,1)</f>
        <v/>
      </c>
      <c r="GK5">
        <f>GK4*IF(OR($C4=88,$G4=88),0,1)</f>
        <v/>
      </c>
      <c r="GL5">
        <f>GL4*IF(OR($C4=89,$G4=89),0,1)</f>
        <v/>
      </c>
      <c r="GM5">
        <f>GM4*IF(OR($C4=90,$G4=90),0,1)</f>
        <v/>
      </c>
      <c r="GN5">
        <f>GN4*IF(OR($C4=91,$G4=91),0,1)</f>
        <v/>
      </c>
      <c r="GO5">
        <f>GO4*IF(OR($C4=92,$G4=92),0,1)</f>
        <v/>
      </c>
      <c r="GP5">
        <f>GP4*IF(OR($C4=93,$G4=93),0,1)</f>
        <v/>
      </c>
      <c r="GQ5">
        <f>GQ4*IF(OR($C4=94,$G4=94),0,1)</f>
        <v/>
      </c>
      <c r="GR5">
        <f>GR4*IF(OR($C4=95,$G4=95),0,1)</f>
        <v/>
      </c>
      <c r="GS5">
        <f>GS4*IF(OR($C4=96,$G4=96),0,1)</f>
        <v/>
      </c>
      <c r="GT5">
        <f>GT4*IF(OR($C4=97,$G4=97),0,1)</f>
        <v/>
      </c>
      <c r="GU5">
        <f>GU4*IF(OR($C4=98,$G4=98),0,1)</f>
        <v/>
      </c>
      <c r="GV5">
        <f>GV4*IF(OR($C4=99,$G4=99),0,1)</f>
        <v/>
      </c>
      <c r="GW5">
        <f>GW4*IF(OR($C4=100,$G4=100),0,1)</f>
        <v/>
      </c>
      <c r="GX5">
        <f>GX4*IF(OR($C4=101,$G4=101),0,1)</f>
        <v/>
      </c>
      <c r="GY5">
        <f>GY4*IF(OR($C4=102,$G4=102),0,1)</f>
        <v/>
      </c>
      <c r="GZ5">
        <f>GZ4*IF(OR($C4=103,$G4=103),0,1)</f>
        <v/>
      </c>
      <c r="HA5">
        <f>HA4*IF(OR($C4=104,$G4=104),0,1)</f>
        <v/>
      </c>
      <c r="HB5">
        <f>HB4*IF(OR($C4=105,$G4=105),0,1)</f>
        <v/>
      </c>
      <c r="HC5">
        <f>HC4*IF(OR($C4=106,$G4=106),0,1)</f>
        <v/>
      </c>
      <c r="HD5">
        <f>HD4*IF(OR($C4=107,$G4=107),0,1)</f>
        <v/>
      </c>
      <c r="HE5">
        <f>HE4*IF(OR($C4=108,$G4=108),0,1)</f>
        <v/>
      </c>
      <c r="HF5">
        <f>HF4*IF(OR($C4=109,$G4=109),0,1)</f>
        <v/>
      </c>
      <c r="HG5">
        <f>HG4*IF(OR($C4=110,$G4=110),0,1)</f>
        <v/>
      </c>
      <c r="HH5">
        <f>HH4*IF(OR($C4=111,$G4=111),0,1)</f>
        <v/>
      </c>
      <c r="HI5">
        <f>HI4*IF(OR($C4=112,$G4=112),0,1)</f>
        <v/>
      </c>
      <c r="HJ5">
        <f>HJ4*IF(OR($C4=113,$G4=113),0,1)</f>
        <v/>
      </c>
      <c r="HK5">
        <f>HK4*IF(OR($C4=114,$G4=114),0,1)</f>
        <v/>
      </c>
      <c r="HL5">
        <f>HL4*IF(OR($C4=115,$G4=115),0,1)</f>
        <v/>
      </c>
      <c r="HM5">
        <f>HM4*IF(OR($C4=116,$G4=116),0,1)</f>
        <v/>
      </c>
      <c r="HN5">
        <f>HN4*IF(OR($C4=117,$G4=117),0,1)</f>
        <v/>
      </c>
      <c r="HO5">
        <f>HO4*IF(OR($C4=118,$G4=118),0,1)</f>
        <v/>
      </c>
      <c r="HP5">
        <f>HP4*IF(OR($C4=119,$G4=119),0,1)</f>
        <v/>
      </c>
      <c r="HQ5">
        <f>HQ4*IF(OR($C4=120,$G4=120),0,1)</f>
        <v/>
      </c>
      <c r="HR5">
        <f>HR4*IF(OR($C4=121,$G4=121),0,1)</f>
        <v/>
      </c>
      <c r="HS5">
        <f>HS4*IF(OR($C4=122,$G4=122),0,1)</f>
        <v/>
      </c>
      <c r="HT5">
        <f>HT4*IF(OR($C4=123,$G4=123),0,1)</f>
        <v/>
      </c>
      <c r="HU5">
        <f>HU4*IF(OR($C4=124,$G4=124),0,1)</f>
        <v/>
      </c>
      <c r="HV5">
        <f>HV4*IF(OR($C4=125,$G4=125),0,1)</f>
        <v/>
      </c>
      <c r="HW5">
        <f>HW4*IF(OR($C4=126,$G4=126),0,1)</f>
        <v/>
      </c>
      <c r="HX5">
        <f>HX4*IF(OR($C4=127,$G4=127),0,1)</f>
        <v/>
      </c>
      <c r="HY5">
        <f>HY4*IF(OR($C4=128,$G4=128),0,1)</f>
        <v/>
      </c>
      <c r="HZ5">
        <f>HZ4*IF(OR($C4=129,$G4=129),0,1)</f>
        <v/>
      </c>
      <c r="IA5">
        <f>IA4*IF(OR($C4=130,$G4=130),0,1)</f>
        <v/>
      </c>
      <c r="IB5">
        <f>IB4*IF(OR($C4=131,$G4=131),0,1)</f>
        <v/>
      </c>
      <c r="IC5">
        <f>IC4*IF(OR($C4=132,$G4=132),0,1)</f>
        <v/>
      </c>
      <c r="ID5">
        <f>ID4*IF(OR($C4=133,$G4=133),0,1)</f>
        <v/>
      </c>
      <c r="IE5">
        <f>IE4*IF(OR($C4=134,$G4=134),0,1)</f>
        <v/>
      </c>
      <c r="IF5">
        <f>IF4*IF(OR($C4=135,$G4=135),0,1)</f>
        <v/>
      </c>
      <c r="IG5">
        <f>IG4*IF(OR($C4=136,$G4=136),0,1)</f>
        <v/>
      </c>
      <c r="IH5">
        <f>IH4*IF(OR($C4=137,$G4=137),0,1)</f>
        <v/>
      </c>
      <c r="II5">
        <f>II4*IF(OR($C4=138,$G4=138),0,1)</f>
        <v/>
      </c>
      <c r="IJ5">
        <f>IJ4*IF(OR($C4=139,$G4=139),0,1)</f>
        <v/>
      </c>
      <c r="IK5">
        <f>IK4*IF(OR($C4=140,$G4=140),0,1)</f>
        <v/>
      </c>
      <c r="IL5">
        <f>IL4*IF(OR($C4=141,$G4=141),0,1)</f>
        <v/>
      </c>
      <c r="IM5">
        <f>IM4*IF(OR($C4=142,$G4=142),0,1)</f>
        <v/>
      </c>
      <c r="IN5">
        <f>IN4*IF(OR($C4=143,$G4=143),0,1)</f>
        <v/>
      </c>
      <c r="IO5">
        <f>IO4*IF(OR($C4=144,$G4=144),0,1)</f>
        <v/>
      </c>
      <c r="IQ5">
        <f>IF('calcA'!D$106=1,DC5,1)</f>
        <v/>
      </c>
      <c r="IR5">
        <f>IF('calcA'!E$106=1,DD5,1)</f>
        <v/>
      </c>
      <c r="IS5">
        <f>IF('calcA'!F$106=1,DE5,1)</f>
        <v/>
      </c>
      <c r="IT5">
        <f>IF('calcA'!G$106=1,DF5,1)</f>
        <v/>
      </c>
      <c r="IU5">
        <f>IF('calcA'!H$106=1,DG5,1)</f>
        <v/>
      </c>
      <c r="IV5">
        <f>IF('calcA'!I$106=1,DH5,1)</f>
        <v/>
      </c>
      <c r="IW5">
        <f>IF('calcA'!J$106=1,DI5,1)</f>
        <v/>
      </c>
      <c r="IX5">
        <f>IF('calcA'!K$106=1,DJ5,1)</f>
        <v/>
      </c>
      <c r="IY5">
        <f>IF('calcA'!L$106=1,DK5,1)</f>
        <v/>
      </c>
      <c r="IZ5">
        <f>IF('calcA'!M$106=1,DL5,1)</f>
        <v/>
      </c>
      <c r="JA5">
        <f>IF('calcA'!N$106=1,DM5,1)</f>
        <v/>
      </c>
      <c r="JB5">
        <f>IF('calcA'!O$106=1,DN5,1)</f>
        <v/>
      </c>
      <c r="JC5">
        <f>IF('calcA'!P$106=1,DO5,1)</f>
        <v/>
      </c>
      <c r="JD5">
        <f>IF('calcA'!Q$106=1,DP5,1)</f>
        <v/>
      </c>
      <c r="JE5">
        <f>IF('calcA'!R$106=1,DQ5,1)</f>
        <v/>
      </c>
      <c r="JF5">
        <f>IF('calcA'!S$106=1,DR5,1)</f>
        <v/>
      </c>
      <c r="JG5">
        <f>IF('calcA'!T$106=1,DS5,1)</f>
        <v/>
      </c>
      <c r="JH5">
        <f>IF('calcA'!U$106=1,DT5,1)</f>
        <v/>
      </c>
      <c r="JI5">
        <f>IF('calcA'!V$106=1,DU5,1)</f>
        <v/>
      </c>
      <c r="JJ5">
        <f>IF('calcA'!W$106=1,DV5,1)</f>
        <v/>
      </c>
      <c r="JK5">
        <f>IF('calcA'!X$106=1,DW5,1)</f>
        <v/>
      </c>
      <c r="JL5">
        <f>IF('calcA'!Y$106=1,DX5,1)</f>
        <v/>
      </c>
      <c r="JM5">
        <f>IF('calcA'!Z$106=1,DY5,1)</f>
        <v/>
      </c>
      <c r="JN5">
        <f>IF('calcA'!AA$106=1,DZ5,1)</f>
        <v/>
      </c>
      <c r="JO5">
        <f>IF('calcA'!AB$106=1,EA5,1)</f>
        <v/>
      </c>
      <c r="JP5">
        <f>IF('calcA'!AC$106=1,EB5,1)</f>
        <v/>
      </c>
      <c r="JQ5">
        <f>IF('calcA'!AD$106=1,EC5,1)</f>
        <v/>
      </c>
      <c r="JR5">
        <f>IF('calcA'!AE$106=1,ED5,1)</f>
        <v/>
      </c>
      <c r="JS5">
        <f>IF('calcA'!AF$106=1,EE5,1)</f>
        <v/>
      </c>
      <c r="JT5">
        <f>IF('calcA'!AG$106=1,EF5,1)</f>
        <v/>
      </c>
      <c r="JU5">
        <f>IF('calcA'!AH$106=1,EG5,1)</f>
        <v/>
      </c>
      <c r="JV5">
        <f>IF('calcA'!AI$106=1,EH5,1)</f>
        <v/>
      </c>
      <c r="JW5">
        <f>IF('calcA'!AJ$106=1,EI5,1)</f>
        <v/>
      </c>
      <c r="JX5">
        <f>IF('calcA'!AK$106=1,EJ5,1)</f>
        <v/>
      </c>
      <c r="JY5">
        <f>IF('calcA'!AL$106=1,EK5,1)</f>
        <v/>
      </c>
      <c r="JZ5">
        <f>IF('calcA'!AM$106=1,EL5,1)</f>
        <v/>
      </c>
      <c r="KA5">
        <f>IF('calcA'!AN$106=1,EM5,1)</f>
        <v/>
      </c>
      <c r="KB5">
        <f>IF('calcA'!AO$106=1,EN5,1)</f>
        <v/>
      </c>
      <c r="KC5">
        <f>IF('calcA'!AP$106=1,EO5,1)</f>
        <v/>
      </c>
      <c r="KD5">
        <f>IF('calcA'!AQ$106=1,EP5,1)</f>
        <v/>
      </c>
      <c r="KE5">
        <f>IF('calcA'!AR$106=1,EQ5,1)</f>
        <v/>
      </c>
      <c r="KF5">
        <f>IF('calcA'!AS$106=1,ER5,1)</f>
        <v/>
      </c>
      <c r="KG5">
        <f>IF('calcA'!AT$106=1,ES5,1)</f>
        <v/>
      </c>
      <c r="KH5">
        <f>IF('calcA'!AU$106=1,ET5,1)</f>
        <v/>
      </c>
      <c r="KI5">
        <f>IF('calcA'!AV$106=1,EU5,1)</f>
        <v/>
      </c>
      <c r="KJ5">
        <f>IF('calcA'!AW$106=1,EV5,1)</f>
        <v/>
      </c>
      <c r="KK5">
        <f>IF('calcA'!AX$106=1,EW5,1)</f>
        <v/>
      </c>
      <c r="KL5">
        <f>IF('calcA'!AY$106=1,EX5,1)</f>
        <v/>
      </c>
      <c r="KM5">
        <f>IF('calcA'!AZ$106=1,EY5,1)</f>
        <v/>
      </c>
      <c r="KN5">
        <f>IF('calcA'!BA$106=1,EZ5,1)</f>
        <v/>
      </c>
      <c r="KO5">
        <f>IF('calcA'!BB$106=1,FA5,1)</f>
        <v/>
      </c>
      <c r="KP5">
        <f>IF('calcA'!BC$106=1,FB5,1)</f>
        <v/>
      </c>
      <c r="KQ5">
        <f>IF('calcA'!BD$106=1,FC5,1)</f>
        <v/>
      </c>
      <c r="KR5">
        <f>IF('calcA'!BE$106=1,FD5,1)</f>
        <v/>
      </c>
      <c r="KS5">
        <f>IF('calcA'!BF$106=1,FE5,1)</f>
        <v/>
      </c>
      <c r="KT5">
        <f>IF('calcA'!BG$106=1,FF5,1)</f>
        <v/>
      </c>
      <c r="KU5">
        <f>IF('calcA'!BH$106=1,FG5,1)</f>
        <v/>
      </c>
      <c r="KV5">
        <f>IF('calcA'!BI$106=1,FH5,1)</f>
        <v/>
      </c>
      <c r="KW5">
        <f>IF('calcA'!BJ$106=1,FI5,1)</f>
        <v/>
      </c>
      <c r="KX5">
        <f>IF('calcA'!BK$106=1,FJ5,1)</f>
        <v/>
      </c>
      <c r="KY5">
        <f>IF('calcA'!BL$106=1,FK5,1)</f>
        <v/>
      </c>
      <c r="KZ5">
        <f>IF('calcA'!BM$106=1,FL5,1)</f>
        <v/>
      </c>
      <c r="LA5">
        <f>IF('calcA'!BN$106=1,FM5,1)</f>
        <v/>
      </c>
      <c r="LB5">
        <f>IF('calcA'!BO$106=1,FN5,1)</f>
        <v/>
      </c>
      <c r="LC5">
        <f>IF('calcA'!BP$106=1,FO5,1)</f>
        <v/>
      </c>
      <c r="LD5">
        <f>IF('calcA'!BQ$106=1,FP5,1)</f>
        <v/>
      </c>
      <c r="LE5">
        <f>IF('calcA'!BR$106=1,FQ5,1)</f>
        <v/>
      </c>
      <c r="LF5">
        <f>IF('calcA'!BS$106=1,FR5,1)</f>
        <v/>
      </c>
      <c r="LG5">
        <f>IF('calcA'!BT$106=1,FS5,1)</f>
        <v/>
      </c>
      <c r="LH5">
        <f>IF('calcA'!BU$106=1,FT5,1)</f>
        <v/>
      </c>
      <c r="LI5">
        <f>IF('calcA'!BV$106=1,FU5,1)</f>
        <v/>
      </c>
      <c r="LJ5">
        <f>IF('calcA'!BW$106=1,FV5,1)</f>
        <v/>
      </c>
      <c r="LK5">
        <f>IF('calcA'!BX$106=1,FW5,1)</f>
        <v/>
      </c>
      <c r="LL5">
        <f>IF('calcA'!BY$106=1,FX5,1)</f>
        <v/>
      </c>
      <c r="LM5">
        <f>IF('calcA'!BZ$106=1,FY5,1)</f>
        <v/>
      </c>
      <c r="LN5">
        <f>IF('calcA'!CA$106=1,FZ5,1)</f>
        <v/>
      </c>
      <c r="LO5">
        <f>IF('calcA'!CB$106=1,GA5,1)</f>
        <v/>
      </c>
      <c r="LP5">
        <f>IF('calcA'!CC$106=1,GB5,1)</f>
        <v/>
      </c>
      <c r="LQ5">
        <f>IF('calcA'!CD$106=1,GC5,1)</f>
        <v/>
      </c>
      <c r="LR5">
        <f>IF('calcA'!CE$106=1,GD5,1)</f>
        <v/>
      </c>
      <c r="LS5">
        <f>IF('calcA'!CF$106=1,GE5,1)</f>
        <v/>
      </c>
      <c r="LT5">
        <f>IF('calcA'!CG$106=1,GF5,1)</f>
        <v/>
      </c>
      <c r="LU5">
        <f>IF('calcA'!CH$106=1,GG5,1)</f>
        <v/>
      </c>
      <c r="LV5">
        <f>IF('calcA'!CI$106=1,GH5,1)</f>
        <v/>
      </c>
      <c r="LW5">
        <f>IF('calcA'!CJ$106=1,GI5,1)</f>
        <v/>
      </c>
      <c r="LX5">
        <f>IF('calcA'!CK$106=1,GJ5,1)</f>
        <v/>
      </c>
      <c r="LY5">
        <f>IF('calcA'!CL$106=1,GK5,1)</f>
        <v/>
      </c>
      <c r="LZ5">
        <f>IF('calcA'!CM$106=1,GL5,1)</f>
        <v/>
      </c>
      <c r="MA5">
        <f>IF('calcA'!CN$106=1,GM5,1)</f>
        <v/>
      </c>
      <c r="MB5">
        <f>IF('calcA'!CO$106=1,GN5,1)</f>
        <v/>
      </c>
      <c r="MC5">
        <f>IF('calcA'!CP$106=1,GO5,1)</f>
        <v/>
      </c>
      <c r="MD5">
        <f>IF('calcA'!CQ$106=1,GP5,1)</f>
        <v/>
      </c>
      <c r="ME5">
        <f>IF('calcA'!CR$106=1,GQ5,1)</f>
        <v/>
      </c>
      <c r="MF5">
        <f>IF('calcA'!CS$106=1,GR5,1)</f>
        <v/>
      </c>
      <c r="MG5">
        <f>IF('calcA'!CT$106=1,GS5,1)</f>
        <v/>
      </c>
      <c r="MH5">
        <f>IF('calcA'!CU$106=1,GT5,1)</f>
        <v/>
      </c>
      <c r="MI5">
        <f>IF('calcA'!CV$106=1,GU5,1)</f>
        <v/>
      </c>
      <c r="MJ5">
        <f>IF('calcA'!CW$106=1,GV5,1)</f>
        <v/>
      </c>
      <c r="MK5">
        <f>IF('calcA'!CX$106=1,GW5,1)</f>
        <v/>
      </c>
      <c r="ML5">
        <f>IF('calcA'!CY$106=1,GX5,1)</f>
        <v/>
      </c>
      <c r="MM5">
        <f>IF('calcA'!CZ$106=1,GY5,1)</f>
        <v/>
      </c>
      <c r="MN5">
        <f>IF('calcA'!DA$106=1,GZ5,1)</f>
        <v/>
      </c>
      <c r="MO5">
        <f>IF('calcA'!DB$106=1,HA5,1)</f>
        <v/>
      </c>
      <c r="MP5">
        <f>IF('calcA'!DC$106=1,HB5,1)</f>
        <v/>
      </c>
      <c r="MQ5">
        <f>IF('calcA'!DD$106=1,HC5,1)</f>
        <v/>
      </c>
      <c r="MR5">
        <f>IF('calcA'!DE$106=1,HD5,1)</f>
        <v/>
      </c>
      <c r="MS5">
        <f>IF('calcA'!DF$106=1,HE5,1)</f>
        <v/>
      </c>
      <c r="MT5">
        <f>IF('calcA'!DG$106=1,HF5,1)</f>
        <v/>
      </c>
      <c r="MU5">
        <f>IF('calcA'!DH$106=1,HG5,1)</f>
        <v/>
      </c>
      <c r="MV5">
        <f>IF('calcA'!DI$106=1,HH5,1)</f>
        <v/>
      </c>
      <c r="MW5">
        <f>IF('calcA'!DJ$106=1,HI5,1)</f>
        <v/>
      </c>
      <c r="MX5">
        <f>IF('calcA'!DK$106=1,HJ5,1)</f>
        <v/>
      </c>
      <c r="MY5">
        <f>IF('calcA'!DL$106=1,HK5,1)</f>
        <v/>
      </c>
      <c r="MZ5">
        <f>IF('calcA'!DM$106=1,HL5,1)</f>
        <v/>
      </c>
      <c r="NA5">
        <f>IF('calcA'!DN$106=1,HM5,1)</f>
        <v/>
      </c>
      <c r="NB5">
        <f>IF('calcA'!DO$106=1,HN5,1)</f>
        <v/>
      </c>
      <c r="NC5">
        <f>IF('calcA'!DP$106=1,HO5,1)</f>
        <v/>
      </c>
      <c r="ND5">
        <f>IF('calcA'!DQ$106=1,HP5,1)</f>
        <v/>
      </c>
      <c r="NE5">
        <f>IF('calcA'!DR$106=1,HQ5,1)</f>
        <v/>
      </c>
      <c r="NF5">
        <f>IF('calcA'!DS$106=1,HR5,1)</f>
        <v/>
      </c>
      <c r="NG5">
        <f>IF('calcA'!DT$106=1,HS5,1)</f>
        <v/>
      </c>
      <c r="NH5">
        <f>IF('calcA'!DU$106=1,HT5,1)</f>
        <v/>
      </c>
      <c r="NI5">
        <f>IF('calcA'!DV$106=1,HU5,1)</f>
        <v/>
      </c>
      <c r="NJ5">
        <f>IF('calcA'!DW$106=1,HV5,1)</f>
        <v/>
      </c>
      <c r="NK5">
        <f>IF('calcA'!DX$106=1,HW5,1)</f>
        <v/>
      </c>
      <c r="NL5">
        <f>IF('calcA'!DY$106=1,HX5,1)</f>
        <v/>
      </c>
      <c r="NM5">
        <f>IF('calcA'!DZ$106=1,HY5,1)</f>
        <v/>
      </c>
      <c r="NN5">
        <f>IF('calcA'!EA$106=1,HZ5,1)</f>
        <v/>
      </c>
      <c r="NO5">
        <f>IF('calcA'!EB$106=1,IA5,1)</f>
        <v/>
      </c>
      <c r="NP5">
        <f>IF('calcA'!EC$106=1,IB5,1)</f>
        <v/>
      </c>
      <c r="NQ5">
        <f>IF('calcA'!ED$106=1,IC5,1)</f>
        <v/>
      </c>
      <c r="NR5">
        <f>IF('calcA'!EE$106=1,ID5,1)</f>
        <v/>
      </c>
      <c r="NS5">
        <f>IF('calcA'!EF$106=1,IE5,1)</f>
        <v/>
      </c>
      <c r="NT5">
        <f>IF('calcA'!EG$106=1,IF5,1)</f>
        <v/>
      </c>
      <c r="NU5">
        <f>IF('calcA'!EH$106=1,IG5,1)</f>
        <v/>
      </c>
      <c r="NV5">
        <f>IF('calcA'!EI$106=1,IH5,1)</f>
        <v/>
      </c>
      <c r="NW5">
        <f>IF('calcA'!EJ$106=1,II5,1)</f>
        <v/>
      </c>
      <c r="NX5">
        <f>IF('calcA'!EK$106=1,IJ5,1)</f>
        <v/>
      </c>
      <c r="NY5">
        <f>IF('calcA'!EL$106=1,IK5,1)</f>
        <v/>
      </c>
      <c r="NZ5">
        <f>IF('calcA'!EM$106=1,IL5,1)</f>
        <v/>
      </c>
      <c r="OA5">
        <f>IF('calcA'!EN$106=1,IM5,1)</f>
        <v/>
      </c>
      <c r="OB5">
        <f>IF('calcA'!EO$106=1,IN5,1)</f>
        <v/>
      </c>
      <c r="OC5">
        <f>IF('calcA'!EP$106=1,IO5,1)</f>
        <v/>
      </c>
      <c r="OD5" t="n">
        <v>1</v>
      </c>
      <c r="OF5">
        <f>IF($B5=0,1000000000,IF(INDEX('calcA'!$D$60:$EQ$99,$B5,1)*IF($W5=1,DB5+ZQ5,DB5)=1,IF(AND($E5=2,IF($W5=1,AFF5,IQ5)=0),1000000000,IF($V5=1,INDEX('calcA'!$D$130:$EQ$169,$B5,1)+IF(AND($E5=1,IQ5=0),25,0),IF($F5&gt;0,INDEX('calcA'!D$110:D$114,$F5+1)+IF(AND($E5=1,IQ5=0),1000,0),MIN(TU5,20)*400+(IF('calcA'!D$106=1,1-DC5,0))*150+11+'calcA'!D$5*100000+IF(AND($E5=1,IQ5=0),50000,0))+IF($H5=1,INDEX('calcA'!$D$180:$EQ$219,$B5,1)*4000,0)-IF(AND($U5=1,'calcA'!D$117=1,DC5=0),2000,0))),1000000000))</f>
        <v/>
      </c>
      <c r="OG5">
        <f>IF($B5=0,1000000000,IF(INDEX('calcA'!$D$60:$EQ$99,$B5,2)*IF($W5=1,DC5+ZR5,DC5)=1,IF(AND($E5=2,IF($W5=1,AFG5,IR5)=0),1000000000,IF($V5=1,INDEX('calcA'!$D$130:$EQ$169,$B5,2)+IF(AND($E5=1,IR5=0),25,0),IF($F5&gt;0,INDEX('calcA'!E$110:E$114,$F5+1)+IF(AND($E5=1,IR5=0),1000,0),MIN(TU5,20)*400+(IF('calcA'!D$106=1,1-DB5,0)+IF('calcA'!E$106=1,1-DD5,0))*150+21+'calcA'!E$5*100000+IF(AND($E5=1,IR5=0),50000,0))+IF($H5=1,INDEX('calcA'!$D$180:$EQ$219,$B5,2)*4000,0)-IF(AND('calcA'!D$117=1,UB5&gt;0),2000,0)-IF(AND($U5=1,'calcA'!E$117=1,DD5=0),2000,0))),1000000000))</f>
        <v/>
      </c>
      <c r="OH5">
        <f>IF($B5=0,1000000000,IF(INDEX('calcA'!$D$60:$EQ$99,$B5,3)*IF($W5=1,DD5+ZS5,DD5)=1,IF(AND($E5=2,IF($W5=1,AFH5,IS5)=0),1000000000,IF($V5=1,INDEX('calcA'!$D$130:$EQ$169,$B5,3)+IF(AND($E5=1,IS5=0),25,0),IF($F5&gt;0,INDEX('calcA'!F$110:F$114,$F5+1)+IF(AND($E5=1,IS5=0),1000,0),MIN(TU5,20)*400+(IF('calcA'!E$106=1,1-DC5,0)+IF('calcA'!F$106=1,1-DE5,0))*150+31+'calcA'!F$5*100000+IF(AND($E5=1,IS5=0),50000,0))+IF($H5=1,INDEX('calcA'!$D$180:$EQ$219,$B5,3)*4000,0)-IF(AND('calcA'!E$117=1,UC5&gt;0),2000,0)-IF(AND($U5=1,'calcA'!F$117=1,DE5=0),2000,0))),1000000000))</f>
        <v/>
      </c>
      <c r="OI5">
        <f>IF($B5=0,1000000000,IF(INDEX('calcA'!$D$60:$EQ$99,$B5,4)*IF($W5=1,DE5+ZT5,DE5)=1,IF(AND($E5=2,IF($W5=1,AFI5,IT5)=0),1000000000,IF($V5=1,INDEX('calcA'!$D$130:$EQ$169,$B5,4)+IF(AND($E5=1,IT5=0),25,0),IF($F5&gt;0,INDEX('calcA'!G$110:G$114,$F5+1)+IF(AND($E5=1,IT5=0),1000,0),MIN(TU5,20)*400+(IF('calcA'!F$106=1,1-DD5,0)+IF('calcA'!G$106=1,1-DF5,0))*150+41+'calcA'!G$5*100000+IF(AND($E5=1,IT5=0),50000,0))+IF($H5=1,INDEX('calcA'!$D$180:$EQ$219,$B5,4)*4000,0)-IF(AND('calcA'!F$117=1,UD5&gt;0),2000,0)-IF(AND($U5=1,'calcA'!G$117=1,DF5=0),2000,0))),1000000000))</f>
        <v/>
      </c>
      <c r="OJ5">
        <f>IF($B5=0,1000000000,IF(INDEX('calcA'!$D$60:$EQ$99,$B5,5)*IF($W5=1,DF5+ZU5,DF5)=1,IF(AND($E5=2,IF($W5=1,AFJ5,IU5)=0),1000000000,IF($V5=1,INDEX('calcA'!$D$130:$EQ$169,$B5,5)+IF(AND($E5=1,IU5=0),25,0),IF($F5&gt;0,INDEX('calcA'!H$110:H$114,$F5+1)+IF(AND($E5=1,IU5=0),1000,0),MIN(TU5,20)*400+(IF('calcA'!G$106=1,1-DE5,0)+IF('calcA'!H$106=1,1-DG5,0))*150+51+'calcA'!H$5*100000+IF(AND($E5=1,IU5=0),50000,0))+IF($H5=1,INDEX('calcA'!$D$180:$EQ$219,$B5,5)*4000,0)-IF(AND('calcA'!G$117=1,UE5&gt;0),2000,0)-IF(AND($U5=1,'calcA'!H$117=1,DG5=0),2000,0))),1000000000))</f>
        <v/>
      </c>
      <c r="OK5">
        <f>IF($B5=0,1000000000,IF(INDEX('calcA'!$D$60:$EQ$99,$B5,6)*IF($W5=1,DG5+ZV5,DG5)=1,IF(AND($E5=2,IF($W5=1,AFK5,IV5)=0),1000000000,IF($V5=1,INDEX('calcA'!$D$130:$EQ$169,$B5,6)+IF(AND($E5=1,IV5=0),25,0),IF($F5&gt;0,INDEX('calcA'!I$110:I$114,$F5+1)+IF(AND($E5=1,IV5=0),1000,0),MIN(TU5,20)*400+(IF('calcA'!H$106=1,1-DF5,0)+IF('calcA'!I$106=1,1-DH5,0))*150+61+'calcA'!I$5*100000+IF(AND($E5=1,IV5=0),50000,0))+IF($H5=1,INDEX('calcA'!$D$180:$EQ$219,$B5,6)*4000,0)-IF(AND('calcA'!H$117=1,UF5&gt;0),2000,0)-IF(AND($U5=1,'calcA'!I$117=1,DH5=0),2000,0))),1000000000))</f>
        <v/>
      </c>
      <c r="OL5">
        <f>IF($B5=0,1000000000,IF(INDEX('calcA'!$D$60:$EQ$99,$B5,7)*IF($W5=1,DH5+ZW5,DH5)=1,IF(AND($E5=2,IF($W5=1,AFL5,IW5)=0),1000000000,IF($V5=1,INDEX('calcA'!$D$130:$EQ$169,$B5,7)+IF(AND($E5=1,IW5=0),25,0),IF($F5&gt;0,INDEX('calcA'!J$110:J$114,$F5+1)+IF(AND($E5=1,IW5=0),1000,0),MIN(TU5,20)*400+(IF('calcA'!I$106=1,1-DG5,0)+IF('calcA'!J$106=1,1-DI5,0))*150+71+'calcA'!J$5*100000+IF(AND($E5=1,IW5=0),50000,0))+IF($H5=1,INDEX('calcA'!$D$180:$EQ$219,$B5,7)*4000,0)-IF(AND('calcA'!I$117=1,UG5&gt;0),2000,0)-IF(AND($U5=1,'calcA'!J$117=1,DI5=0),2000,0))),1000000000))</f>
        <v/>
      </c>
      <c r="OM5">
        <f>IF($B5=0,1000000000,IF(INDEX('calcA'!$D$60:$EQ$99,$B5,8)*IF($W5=1,DI5+ZX5,DI5)=1,IF(AND($E5=2,IF($W5=1,AFM5,IX5)=0),1000000000,IF($V5=1,INDEX('calcA'!$D$130:$EQ$169,$B5,8)+IF(AND($E5=1,IX5=0),25,0),IF($F5&gt;0,INDEX('calcA'!K$110:K$114,$F5+1)+IF(AND($E5=1,IX5=0),1000,0),MIN(TU5,20)*400+(IF('calcA'!J$106=1,1-DH5,0)+IF('calcA'!K$106=1,1-DJ5,0))*150+81+'calcA'!K$5*100000+IF(AND($E5=1,IX5=0),50000,0))+IF($H5=1,INDEX('calcA'!$D$180:$EQ$219,$B5,8)*4000,0)-IF(AND('calcA'!J$117=1,UH5&gt;0),2000,0)-IF(AND($U5=1,'calcA'!K$117=1,DJ5=0),2000,0))),1000000000))</f>
        <v/>
      </c>
      <c r="ON5">
        <f>IF($B5=0,1000000000,IF(INDEX('calcA'!$D$60:$EQ$99,$B5,9)*IF($W5=1,DJ5+ZY5,DJ5)=1,IF(AND($E5=2,IF($W5=1,AFN5,IY5)=0),1000000000,IF($V5=1,INDEX('calcA'!$D$130:$EQ$169,$B5,9)+IF(AND($E5=1,IY5=0),25,0),IF($F5&gt;0,INDEX('calcA'!L$110:L$114,$F5+1)+IF(AND($E5=1,IY5=0),1000,0),MIN(TU5,20)*400+(IF('calcA'!K$106=1,1-DI5,0)+IF('calcA'!L$106=1,1-DK5,0))*150+91+'calcA'!L$5*100000+IF(AND($E5=1,IY5=0),50000,0))+IF($H5=1,INDEX('calcA'!$D$180:$EQ$219,$B5,9)*4000,0)-IF(AND('calcA'!K$117=1,UI5&gt;0),2000,0)-IF(AND($U5=1,'calcA'!L$117=1,DK5=0),2000,0))),1000000000))</f>
        <v/>
      </c>
      <c r="OO5">
        <f>IF($B5=0,1000000000,IF(INDEX('calcA'!$D$60:$EQ$99,$B5,10)*IF($W5=1,DK5+ZZ5,DK5)=1,IF(AND($E5=2,IF($W5=1,AFO5,IZ5)=0),1000000000,IF($V5=1,INDEX('calcA'!$D$130:$EQ$169,$B5,10)+IF(AND($E5=1,IZ5=0),25,0),IF($F5&gt;0,INDEX('calcA'!M$110:M$114,$F5+1)+IF(AND($E5=1,IZ5=0),1000,0),MIN(TU5,20)*400+(IF('calcA'!L$106=1,1-DJ5,0)+IF('calcA'!M$106=1,1-DL5,0))*150+101+'calcA'!M$5*100000+IF(AND($E5=1,IZ5=0),50000,0))+IF($H5=1,INDEX('calcA'!$D$180:$EQ$219,$B5,10)*4000,0)-IF(AND('calcA'!L$117=1,UJ5&gt;0),2000,0)-IF(AND($U5=1,'calcA'!M$117=1,DL5=0),2000,0))),1000000000))</f>
        <v/>
      </c>
      <c r="OP5">
        <f>IF($B5=0,1000000000,IF(INDEX('calcA'!$D$60:$EQ$99,$B5,11)*IF($W5=1,DL5+AAA5,DL5)=1,IF(AND($E5=2,IF($W5=1,AFP5,JA5)=0),1000000000,IF($V5=1,INDEX('calcA'!$D$130:$EQ$169,$B5,11)+IF(AND($E5=1,JA5=0),25,0),IF($F5&gt;0,INDEX('calcA'!N$110:N$114,$F5+1)+IF(AND($E5=1,JA5=0),1000,0),MIN(TU5,20)*400+(IF('calcA'!M$106=1,1-DK5,0)+IF('calcA'!N$106=1,1-DM5,0))*150+111+'calcA'!N$5*100000+IF(AND($E5=1,JA5=0),50000,0))+IF($H5=1,INDEX('calcA'!$D$180:$EQ$219,$B5,11)*4000,0)-IF(AND('calcA'!M$117=1,UK5&gt;0),2000,0)-IF(AND($U5=1,'calcA'!N$117=1,DM5=0),2000,0))),1000000000))</f>
        <v/>
      </c>
      <c r="OQ5">
        <f>IF($B5=0,1000000000,IF(INDEX('calcA'!$D$60:$EQ$99,$B5,12)*IF($W5=1,DM5+AAB5,DM5)=1,IF(AND($E5=2,IF($W5=1,AFQ5,JB5)=0),1000000000,IF($V5=1,INDEX('calcA'!$D$130:$EQ$169,$B5,12)+IF(AND($E5=1,JB5=0),25,0),IF($F5&gt;0,INDEX('calcA'!O$110:O$114,$F5+1)+IF(AND($E5=1,JB5=0),1000,0),MIN(TU5,20)*400+(IF('calcA'!N$106=1,1-DL5,0)+IF('calcA'!O$106=1,1-DN5,0))*150+121+'calcA'!O$5*100000+IF(AND($E5=1,JB5=0),50000,0))+IF($H5=1,INDEX('calcA'!$D$180:$EQ$219,$B5,12)*4000,0)-IF(AND('calcA'!N$117=1,UL5&gt;0),2000,0)-IF(AND($U5=1,'calcA'!O$117=1,DN5=0),2000,0))),1000000000))</f>
        <v/>
      </c>
      <c r="OR5">
        <f>IF($B5=0,1000000000,IF(INDEX('calcA'!$D$60:$EQ$99,$B5,13)*IF($W5=1,DN5+AAC5,DN5)=1,IF(AND($E5=2,IF($W5=1,AFR5,JC5)=0),1000000000,IF($V5=1,INDEX('calcA'!$D$130:$EQ$169,$B5,13)+IF(AND($E5=1,JC5=0),25,0),IF($F5&gt;0,INDEX('calcA'!P$110:P$114,$F5+1)+IF(AND($E5=1,JC5=0),1000,0),MIN(TU5,20)*400+(IF('calcA'!O$106=1,1-DM5,0)+IF('calcA'!P$106=1,1-DO5,0))*150+131+'calcA'!P$5*100000+IF(AND($E5=1,JC5=0),50000,0))+IF($H5=1,INDEX('calcA'!$D$180:$EQ$219,$B5,13)*4000,0)-IF(AND('calcA'!O$117=1,UM5&gt;0),2000,0)-IF(AND($U5=1,'calcA'!P$117=1,DO5=0),2000,0))),1000000000))</f>
        <v/>
      </c>
      <c r="OS5">
        <f>IF($B5=0,1000000000,IF(INDEX('calcA'!$D$60:$EQ$99,$B5,14)*IF($W5=1,DO5+AAD5,DO5)=1,IF(AND($E5=2,IF($W5=1,AFS5,JD5)=0),1000000000,IF($V5=1,INDEX('calcA'!$D$130:$EQ$169,$B5,14)+IF(AND($E5=1,JD5=0),25,0),IF($F5&gt;0,INDEX('calcA'!Q$110:Q$114,$F5+1)+IF(AND($E5=1,JD5=0),1000,0),MIN(TU5,20)*400+(IF('calcA'!P$106=1,1-DN5,0)+IF('calcA'!Q$106=1,1-DP5,0))*150+141+'calcA'!Q$5*100000+IF(AND($E5=1,JD5=0),50000,0))+IF($H5=1,INDEX('calcA'!$D$180:$EQ$219,$B5,14)*4000,0)-IF(AND('calcA'!P$117=1,UN5&gt;0),2000,0)-IF(AND($U5=1,'calcA'!Q$117=1,DP5=0),2000,0))),1000000000))</f>
        <v/>
      </c>
      <c r="OT5">
        <f>IF($B5=0,1000000000,IF(INDEX('calcA'!$D$60:$EQ$99,$B5,15)*IF($W5=1,DP5+AAE5,DP5)=1,IF(AND($E5=2,IF($W5=1,AFT5,JE5)=0),1000000000,IF($V5=1,INDEX('calcA'!$D$130:$EQ$169,$B5,15)+IF(AND($E5=1,JE5=0),25,0),IF($F5&gt;0,INDEX('calcA'!R$110:R$114,$F5+1)+IF(AND($E5=1,JE5=0),1000,0),MIN(TU5,20)*400+(IF('calcA'!Q$106=1,1-DO5,0)+IF('calcA'!R$106=1,1-DQ5,0))*150+151+'calcA'!R$5*100000+IF(AND($E5=1,JE5=0),50000,0))+IF($H5=1,INDEX('calcA'!$D$180:$EQ$219,$B5,15)*4000,0)-IF(AND('calcA'!Q$117=1,UO5&gt;0),2000,0)-IF(AND($U5=1,'calcA'!R$117=1,DQ5=0),2000,0))),1000000000))</f>
        <v/>
      </c>
      <c r="OU5">
        <f>IF($B5=0,1000000000,IF(INDEX('calcA'!$D$60:$EQ$99,$B5,16)*IF($W5=1,DQ5+AAF5,DQ5)=1,IF(AND($E5=2,IF($W5=1,AFU5,JF5)=0),1000000000,IF($V5=1,INDEX('calcA'!$D$130:$EQ$169,$B5,16)+IF(AND($E5=1,JF5=0),25,0),IF($F5&gt;0,INDEX('calcA'!S$110:S$114,$F5+1)+IF(AND($E5=1,JF5=0),1000,0),MIN(TU5,20)*400+(IF('calcA'!R$106=1,1-DP5,0)+IF('calcA'!S$106=1,1-DR5,0))*150+161+'calcA'!S$5*100000+IF(AND($E5=1,JF5=0),50000,0))+IF($H5=1,INDEX('calcA'!$D$180:$EQ$219,$B5,16)*4000,0)-IF(AND('calcA'!R$117=1,UP5&gt;0),2000,0)-IF(AND($U5=1,'calcA'!S$117=1,DR5=0),2000,0))),1000000000))</f>
        <v/>
      </c>
      <c r="OV5">
        <f>IF($B5=0,1000000000,IF(INDEX('calcA'!$D$60:$EQ$99,$B5,17)*IF($W5=1,DR5+AAG5,DR5)=1,IF(AND($E5=2,IF($W5=1,AFV5,JG5)=0),1000000000,IF($V5=1,INDEX('calcA'!$D$130:$EQ$169,$B5,17)+IF(AND($E5=1,JG5=0),25,0),IF($F5&gt;0,INDEX('calcA'!T$110:T$114,$F5+1)+IF(AND($E5=1,JG5=0),1000,0),MIN(TU5,20)*400+(IF('calcA'!S$106=1,1-DQ5,0)+IF('calcA'!T$106=1,1-DS5,0))*150+171+'calcA'!T$5*100000+IF(AND($E5=1,JG5=0),50000,0))+IF($H5=1,INDEX('calcA'!$D$180:$EQ$219,$B5,17)*4000,0)-IF(AND('calcA'!S$117=1,UQ5&gt;0),2000,0)-IF(AND($U5=1,'calcA'!T$117=1,DS5=0),2000,0))),1000000000))</f>
        <v/>
      </c>
      <c r="OW5">
        <f>IF($B5=0,1000000000,IF(INDEX('calcA'!$D$60:$EQ$99,$B5,18)*IF($W5=1,DS5+AAH5,DS5)=1,IF(AND($E5=2,IF($W5=1,AFW5,JH5)=0),1000000000,IF($V5=1,INDEX('calcA'!$D$130:$EQ$169,$B5,18)+IF(AND($E5=1,JH5=0),25,0),IF($F5&gt;0,INDEX('calcA'!U$110:U$114,$F5+1)+IF(AND($E5=1,JH5=0),1000,0),MIN(TU5,20)*400+(IF('calcA'!T$106=1,1-DR5,0)+IF('calcA'!U$106=1,1-DT5,0))*150+181+'calcA'!U$5*100000+IF(AND($E5=1,JH5=0),50000,0))+IF($H5=1,INDEX('calcA'!$D$180:$EQ$219,$B5,18)*4000,0)-IF(AND('calcA'!T$117=1,UR5&gt;0),2000,0)-IF(AND($U5=1,'calcA'!U$117=1,DT5=0),2000,0))),1000000000))</f>
        <v/>
      </c>
      <c r="OX5">
        <f>IF($B5=0,1000000000,IF(INDEX('calcA'!$D$60:$EQ$99,$B5,19)*IF($W5=1,DT5+AAI5,DT5)=1,IF(AND($E5=2,IF($W5=1,AFX5,JI5)=0),1000000000,IF($V5=1,INDEX('calcA'!$D$130:$EQ$169,$B5,19)+IF(AND($E5=1,JI5=0),25,0),IF($F5&gt;0,INDEX('calcA'!V$110:V$114,$F5+1)+IF(AND($E5=1,JI5=0),1000,0),MIN(TU5,20)*400+(IF('calcA'!U$106=1,1-DS5,0)+IF('calcA'!V$106=1,1-DU5,0))*150+191+'calcA'!V$5*100000+IF(AND($E5=1,JI5=0),50000,0))+IF($H5=1,INDEX('calcA'!$D$180:$EQ$219,$B5,19)*4000,0)-IF(AND('calcA'!U$117=1,US5&gt;0),2000,0)-IF(AND($U5=1,'calcA'!V$117=1,DU5=0),2000,0))),1000000000))</f>
        <v/>
      </c>
      <c r="OY5">
        <f>IF($B5=0,1000000000,IF(INDEX('calcA'!$D$60:$EQ$99,$B5,20)*IF($W5=1,DU5+AAJ5,DU5)=1,IF(AND($E5=2,IF($W5=1,AFY5,JJ5)=0),1000000000,IF($V5=1,INDEX('calcA'!$D$130:$EQ$169,$B5,20)+IF(AND($E5=1,JJ5=0),25,0),IF($F5&gt;0,INDEX('calcA'!W$110:W$114,$F5+1)+IF(AND($E5=1,JJ5=0),1000,0),MIN(TU5,20)*400+(IF('calcA'!V$106=1,1-DT5,0)+IF('calcA'!W$106=1,1-DV5,0))*150+201+'calcA'!W$5*100000+IF(AND($E5=1,JJ5=0),50000,0))+IF($H5=1,INDEX('calcA'!$D$180:$EQ$219,$B5,20)*4000,0)-IF(AND('calcA'!V$117=1,UT5&gt;0),2000,0)-IF(AND($U5=1,'calcA'!W$117=1,DV5=0),2000,0))),1000000000))</f>
        <v/>
      </c>
      <c r="OZ5">
        <f>IF($B5=0,1000000000,IF(INDEX('calcA'!$D$60:$EQ$99,$B5,21)*IF($W5=1,DV5+AAK5,DV5)=1,IF(AND($E5=2,IF($W5=1,AFZ5,JK5)=0),1000000000,IF($V5=1,INDEX('calcA'!$D$130:$EQ$169,$B5,21)+IF(AND($E5=1,JK5=0),25,0),IF($F5&gt;0,INDEX('calcA'!X$110:X$114,$F5+1)+IF(AND($E5=1,JK5=0),1000,0),MIN(TU5,20)*400+(IF('calcA'!W$106=1,1-DU5,0)+IF('calcA'!X$106=1,1-DW5,0))*150+211+'calcA'!X$5*100000+IF(AND($E5=1,JK5=0),50000,0))+IF($H5=1,INDEX('calcA'!$D$180:$EQ$219,$B5,21)*4000,0)-IF(AND('calcA'!W$117=1,UU5&gt;0),2000,0)-IF(AND($U5=1,'calcA'!X$117=1,DW5=0),2000,0))),1000000000))</f>
        <v/>
      </c>
      <c r="PA5">
        <f>IF($B5=0,1000000000,IF(INDEX('calcA'!$D$60:$EQ$99,$B5,22)*IF($W5=1,DW5+AAL5,DW5)=1,IF(AND($E5=2,IF($W5=1,AGA5,JL5)=0),1000000000,IF($V5=1,INDEX('calcA'!$D$130:$EQ$169,$B5,22)+IF(AND($E5=1,JL5=0),25,0),IF($F5&gt;0,INDEX('calcA'!Y$110:Y$114,$F5+1)+IF(AND($E5=1,JL5=0),1000,0),MIN(TU5,20)*400+(IF('calcA'!X$106=1,1-DV5,0)+IF('calcA'!Y$106=1,1-DX5,0))*150+221+'calcA'!Y$5*100000+IF(AND($E5=1,JL5=0),50000,0))+IF($H5=1,INDEX('calcA'!$D$180:$EQ$219,$B5,22)*4000,0)-IF(AND('calcA'!X$117=1,UV5&gt;0),2000,0)-IF(AND($U5=1,'calcA'!Y$117=1,DX5=0),2000,0))),1000000000))</f>
        <v/>
      </c>
      <c r="PB5">
        <f>IF($B5=0,1000000000,IF(INDEX('calcA'!$D$60:$EQ$99,$B5,23)*IF($W5=1,DX5+AAM5,DX5)=1,IF(AND($E5=2,IF($W5=1,AGB5,JM5)=0),1000000000,IF($V5=1,INDEX('calcA'!$D$130:$EQ$169,$B5,23)+IF(AND($E5=1,JM5=0),25,0),IF($F5&gt;0,INDEX('calcA'!Z$110:Z$114,$F5+1)+IF(AND($E5=1,JM5=0),1000,0),MIN(TU5,20)*400+(IF('calcA'!Y$106=1,1-DW5,0)+IF('calcA'!Z$106=1,1-DY5,0))*150+231+'calcA'!Z$5*100000+IF(AND($E5=1,JM5=0),50000,0))+IF($H5=1,INDEX('calcA'!$D$180:$EQ$219,$B5,23)*4000,0)-IF(AND('calcA'!Y$117=1,UW5&gt;0),2000,0)-IF(AND($U5=1,'calcA'!Z$117=1,DY5=0),2000,0))),1000000000))</f>
        <v/>
      </c>
      <c r="PC5">
        <f>IF($B5=0,1000000000,IF(INDEX('calcA'!$D$60:$EQ$99,$B5,24)*IF($W5=1,DY5+AAN5,DY5)=1,IF(AND($E5=2,IF($W5=1,AGC5,JN5)=0),1000000000,IF($V5=1,INDEX('calcA'!$D$130:$EQ$169,$B5,24)+IF(AND($E5=1,JN5=0),25,0),IF($F5&gt;0,INDEX('calcA'!AA$110:AA$114,$F5+1)+IF(AND($E5=1,JN5=0),1000,0),MIN(TU5,20)*400+(IF('calcA'!Z$106=1,1-DX5,0))*150+241+'calcA'!AA$5*100000+IF(AND($E5=1,JN5=0),50000,0))+IF($H5=1,INDEX('calcA'!$D$180:$EQ$219,$B5,24)*4000,0)-IF(AND('calcA'!Z$117=1,UX5&gt;0),2000,0))),1000000000))</f>
        <v/>
      </c>
      <c r="PD5">
        <f>IF($B5=0,1000000000,IF(INDEX('calcA'!$D$60:$EQ$99,$B5,25)*IF($W5=1,DZ5+AAO5,DZ5)=1,IF(AND($E5=2,IF($W5=1,AGD5,JO5)=0),1000000000,IF($V5=1,INDEX('calcA'!$D$130:$EQ$169,$B5,25)+IF(AND($E5=1,JO5=0),25,0),IF($F5&gt;0,INDEX('calcA'!AB$110:AB$114,$F5+1)+IF(AND($E5=1,JO5=0),1000,0),MIN(TV5,20)*400+(IF('calcA'!AB$106=1,1-EA5,0))*150+12+'calcA'!AB$5*100000+IF(AND($E5=1,JO5=0),50000,0))+IF($H5=1,INDEX('calcA'!$D$180:$EQ$219,$B5,25)*4000,0)-IF(AND($U5=1,'calcA'!AB$117=1,EA5=0),2000,0))),1000000000))</f>
        <v/>
      </c>
      <c r="PE5">
        <f>IF($B5=0,1000000000,IF(INDEX('calcA'!$D$60:$EQ$99,$B5,26)*IF($W5=1,EA5+AAP5,EA5)=1,IF(AND($E5=2,IF($W5=1,AGE5,JP5)=0),1000000000,IF($V5=1,INDEX('calcA'!$D$130:$EQ$169,$B5,26)+IF(AND($E5=1,JP5=0),25,0),IF($F5&gt;0,INDEX('calcA'!AC$110:AC$114,$F5+1)+IF(AND($E5=1,JP5=0),1000,0),MIN(TV5,20)*400+(IF('calcA'!AB$106=1,1-DZ5,0)+IF('calcA'!AC$106=1,1-EB5,0))*150+22+'calcA'!AC$5*100000+IF(AND($E5=1,JP5=0),50000,0))+IF($H5=1,INDEX('calcA'!$D$180:$EQ$219,$B5,26)*4000,0)-IF(AND('calcA'!AB$117=1,UZ5&gt;0),2000,0)-IF(AND($U5=1,'calcA'!AC$117=1,EB5=0),2000,0))),1000000000))</f>
        <v/>
      </c>
      <c r="PF5">
        <f>IF($B5=0,1000000000,IF(INDEX('calcA'!$D$60:$EQ$99,$B5,27)*IF($W5=1,EB5+AAQ5,EB5)=1,IF(AND($E5=2,IF($W5=1,AGF5,JQ5)=0),1000000000,IF($V5=1,INDEX('calcA'!$D$130:$EQ$169,$B5,27)+IF(AND($E5=1,JQ5=0),25,0),IF($F5&gt;0,INDEX('calcA'!AD$110:AD$114,$F5+1)+IF(AND($E5=1,JQ5=0),1000,0),MIN(TV5,20)*400+(IF('calcA'!AC$106=1,1-EA5,0)+IF('calcA'!AD$106=1,1-EC5,0))*150+32+'calcA'!AD$5*100000+IF(AND($E5=1,JQ5=0),50000,0))+IF($H5=1,INDEX('calcA'!$D$180:$EQ$219,$B5,27)*4000,0)-IF(AND('calcA'!AC$117=1,VA5&gt;0),2000,0)-IF(AND($U5=1,'calcA'!AD$117=1,EC5=0),2000,0))),1000000000))</f>
        <v/>
      </c>
      <c r="PG5">
        <f>IF($B5=0,1000000000,IF(INDEX('calcA'!$D$60:$EQ$99,$B5,28)*IF($W5=1,EC5+AAR5,EC5)=1,IF(AND($E5=2,IF($W5=1,AGG5,JR5)=0),1000000000,IF($V5=1,INDEX('calcA'!$D$130:$EQ$169,$B5,28)+IF(AND($E5=1,JR5=0),25,0),IF($F5&gt;0,INDEX('calcA'!AE$110:AE$114,$F5+1)+IF(AND($E5=1,JR5=0),1000,0),MIN(TV5,20)*400+(IF('calcA'!AD$106=1,1-EB5,0)+IF('calcA'!AE$106=1,1-ED5,0))*150+42+'calcA'!AE$5*100000+IF(AND($E5=1,JR5=0),50000,0))+IF($H5=1,INDEX('calcA'!$D$180:$EQ$219,$B5,28)*4000,0)-IF(AND('calcA'!AD$117=1,VB5&gt;0),2000,0)-IF(AND($U5=1,'calcA'!AE$117=1,ED5=0),2000,0))),1000000000))</f>
        <v/>
      </c>
      <c r="PH5">
        <f>IF($B5=0,1000000000,IF(INDEX('calcA'!$D$60:$EQ$99,$B5,29)*IF($W5=1,ED5+AAS5,ED5)=1,IF(AND($E5=2,IF($W5=1,AGH5,JS5)=0),1000000000,IF($V5=1,INDEX('calcA'!$D$130:$EQ$169,$B5,29)+IF(AND($E5=1,JS5=0),25,0),IF($F5&gt;0,INDEX('calcA'!AF$110:AF$114,$F5+1)+IF(AND($E5=1,JS5=0),1000,0),MIN(TV5,20)*400+(IF('calcA'!AE$106=1,1-EC5,0)+IF('calcA'!AF$106=1,1-EE5,0))*150+52+'calcA'!AF$5*100000+IF(AND($E5=1,JS5=0),50000,0))+IF($H5=1,INDEX('calcA'!$D$180:$EQ$219,$B5,29)*4000,0)-IF(AND('calcA'!AE$117=1,VC5&gt;0),2000,0)-IF(AND($U5=1,'calcA'!AF$117=1,EE5=0),2000,0))),1000000000))</f>
        <v/>
      </c>
      <c r="PI5">
        <f>IF($B5=0,1000000000,IF(INDEX('calcA'!$D$60:$EQ$99,$B5,30)*IF($W5=1,EE5+AAT5,EE5)=1,IF(AND($E5=2,IF($W5=1,AGI5,JT5)=0),1000000000,IF($V5=1,INDEX('calcA'!$D$130:$EQ$169,$B5,30)+IF(AND($E5=1,JT5=0),25,0),IF($F5&gt;0,INDEX('calcA'!AG$110:AG$114,$F5+1)+IF(AND($E5=1,JT5=0),1000,0),MIN(TV5,20)*400+(IF('calcA'!AF$106=1,1-ED5,0)+IF('calcA'!AG$106=1,1-EF5,0))*150+62+'calcA'!AG$5*100000+IF(AND($E5=1,JT5=0),50000,0))+IF($H5=1,INDEX('calcA'!$D$180:$EQ$219,$B5,30)*4000,0)-IF(AND('calcA'!AF$117=1,VD5&gt;0),2000,0)-IF(AND($U5=1,'calcA'!AG$117=1,EF5=0),2000,0))),1000000000))</f>
        <v/>
      </c>
      <c r="PJ5">
        <f>IF($B5=0,1000000000,IF(INDEX('calcA'!$D$60:$EQ$99,$B5,31)*IF($W5=1,EF5+AAU5,EF5)=1,IF(AND($E5=2,IF($W5=1,AGJ5,JU5)=0),1000000000,IF($V5=1,INDEX('calcA'!$D$130:$EQ$169,$B5,31)+IF(AND($E5=1,JU5=0),25,0),IF($F5&gt;0,INDEX('calcA'!AH$110:AH$114,$F5+1)+IF(AND($E5=1,JU5=0),1000,0),MIN(TV5,20)*400+(IF('calcA'!AG$106=1,1-EE5,0)+IF('calcA'!AH$106=1,1-EG5,0))*150+72+'calcA'!AH$5*100000+IF(AND($E5=1,JU5=0),50000,0))+IF($H5=1,INDEX('calcA'!$D$180:$EQ$219,$B5,31)*4000,0)-IF(AND('calcA'!AG$117=1,VE5&gt;0),2000,0)-IF(AND($U5=1,'calcA'!AH$117=1,EG5=0),2000,0))),1000000000))</f>
        <v/>
      </c>
      <c r="PK5">
        <f>IF($B5=0,1000000000,IF(INDEX('calcA'!$D$60:$EQ$99,$B5,32)*IF($W5=1,EG5+AAV5,EG5)=1,IF(AND($E5=2,IF($W5=1,AGK5,JV5)=0),1000000000,IF($V5=1,INDEX('calcA'!$D$130:$EQ$169,$B5,32)+IF(AND($E5=1,JV5=0),25,0),IF($F5&gt;0,INDEX('calcA'!AI$110:AI$114,$F5+1)+IF(AND($E5=1,JV5=0),1000,0),MIN(TV5,20)*400+(IF('calcA'!AH$106=1,1-EF5,0)+IF('calcA'!AI$106=1,1-EH5,0))*150+82+'calcA'!AI$5*100000+IF(AND($E5=1,JV5=0),50000,0))+IF($H5=1,INDEX('calcA'!$D$180:$EQ$219,$B5,32)*4000,0)-IF(AND('calcA'!AH$117=1,VF5&gt;0),2000,0)-IF(AND($U5=1,'calcA'!AI$117=1,EH5=0),2000,0))),1000000000))</f>
        <v/>
      </c>
      <c r="PL5">
        <f>IF($B5=0,1000000000,IF(INDEX('calcA'!$D$60:$EQ$99,$B5,33)*IF($W5=1,EH5+AAW5,EH5)=1,IF(AND($E5=2,IF($W5=1,AGL5,JW5)=0),1000000000,IF($V5=1,INDEX('calcA'!$D$130:$EQ$169,$B5,33)+IF(AND($E5=1,JW5=0),25,0),IF($F5&gt;0,INDEX('calcA'!AJ$110:AJ$114,$F5+1)+IF(AND($E5=1,JW5=0),1000,0),MIN(TV5,20)*400+(IF('calcA'!AI$106=1,1-EG5,0)+IF('calcA'!AJ$106=1,1-EI5,0))*150+92+'calcA'!AJ$5*100000+IF(AND($E5=1,JW5=0),50000,0))+IF($H5=1,INDEX('calcA'!$D$180:$EQ$219,$B5,33)*4000,0)-IF(AND('calcA'!AI$117=1,VG5&gt;0),2000,0)-IF(AND($U5=1,'calcA'!AJ$117=1,EI5=0),2000,0))),1000000000))</f>
        <v/>
      </c>
      <c r="PM5">
        <f>IF($B5=0,1000000000,IF(INDEX('calcA'!$D$60:$EQ$99,$B5,34)*IF($W5=1,EI5+AAX5,EI5)=1,IF(AND($E5=2,IF($W5=1,AGM5,JX5)=0),1000000000,IF($V5=1,INDEX('calcA'!$D$130:$EQ$169,$B5,34)+IF(AND($E5=1,JX5=0),25,0),IF($F5&gt;0,INDEX('calcA'!AK$110:AK$114,$F5+1)+IF(AND($E5=1,JX5=0),1000,0),MIN(TV5,20)*400+(IF('calcA'!AJ$106=1,1-EH5,0)+IF('calcA'!AK$106=1,1-EJ5,0))*150+102+'calcA'!AK$5*100000+IF(AND($E5=1,JX5=0),50000,0))+IF($H5=1,INDEX('calcA'!$D$180:$EQ$219,$B5,34)*4000,0)-IF(AND('calcA'!AJ$117=1,VH5&gt;0),2000,0)-IF(AND($U5=1,'calcA'!AK$117=1,EJ5=0),2000,0))),1000000000))</f>
        <v/>
      </c>
      <c r="PN5">
        <f>IF($B5=0,1000000000,IF(INDEX('calcA'!$D$60:$EQ$99,$B5,35)*IF($W5=1,EJ5+AAY5,EJ5)=1,IF(AND($E5=2,IF($W5=1,AGN5,JY5)=0),1000000000,IF($V5=1,INDEX('calcA'!$D$130:$EQ$169,$B5,35)+IF(AND($E5=1,JY5=0),25,0),IF($F5&gt;0,INDEX('calcA'!AL$110:AL$114,$F5+1)+IF(AND($E5=1,JY5=0),1000,0),MIN(TV5,20)*400+(IF('calcA'!AK$106=1,1-EI5,0)+IF('calcA'!AL$106=1,1-EK5,0))*150+112+'calcA'!AL$5*100000+IF(AND($E5=1,JY5=0),50000,0))+IF($H5=1,INDEX('calcA'!$D$180:$EQ$219,$B5,35)*4000,0)-IF(AND('calcA'!AK$117=1,VI5&gt;0),2000,0)-IF(AND($U5=1,'calcA'!AL$117=1,EK5=0),2000,0))),1000000000))</f>
        <v/>
      </c>
      <c r="PO5">
        <f>IF($B5=0,1000000000,IF(INDEX('calcA'!$D$60:$EQ$99,$B5,36)*IF($W5=1,EK5+AAZ5,EK5)=1,IF(AND($E5=2,IF($W5=1,AGO5,JZ5)=0),1000000000,IF($V5=1,INDEX('calcA'!$D$130:$EQ$169,$B5,36)+IF(AND($E5=1,JZ5=0),25,0),IF($F5&gt;0,INDEX('calcA'!AM$110:AM$114,$F5+1)+IF(AND($E5=1,JZ5=0),1000,0),MIN(TV5,20)*400+(IF('calcA'!AL$106=1,1-EJ5,0)+IF('calcA'!AM$106=1,1-EL5,0))*150+122+'calcA'!AM$5*100000+IF(AND($E5=1,JZ5=0),50000,0))+IF($H5=1,INDEX('calcA'!$D$180:$EQ$219,$B5,36)*4000,0)-IF(AND('calcA'!AL$117=1,VJ5&gt;0),2000,0)-IF(AND($U5=1,'calcA'!AM$117=1,EL5=0),2000,0))),1000000000))</f>
        <v/>
      </c>
      <c r="PP5">
        <f>IF($B5=0,1000000000,IF(INDEX('calcA'!$D$60:$EQ$99,$B5,37)*IF($W5=1,EL5+ABA5,EL5)=1,IF(AND($E5=2,IF($W5=1,AGP5,KA5)=0),1000000000,IF($V5=1,INDEX('calcA'!$D$130:$EQ$169,$B5,37)+IF(AND($E5=1,KA5=0),25,0),IF($F5&gt;0,INDEX('calcA'!AN$110:AN$114,$F5+1)+IF(AND($E5=1,KA5=0),1000,0),MIN(TV5,20)*400+(IF('calcA'!AM$106=1,1-EK5,0)+IF('calcA'!AN$106=1,1-EM5,0))*150+132+'calcA'!AN$5*100000+IF(AND($E5=1,KA5=0),50000,0))+IF($H5=1,INDEX('calcA'!$D$180:$EQ$219,$B5,37)*4000,0)-IF(AND('calcA'!AM$117=1,VK5&gt;0),2000,0)-IF(AND($U5=1,'calcA'!AN$117=1,EM5=0),2000,0))),1000000000))</f>
        <v/>
      </c>
      <c r="PQ5">
        <f>IF($B5=0,1000000000,IF(INDEX('calcA'!$D$60:$EQ$99,$B5,38)*IF($W5=1,EM5+ABB5,EM5)=1,IF(AND($E5=2,IF($W5=1,AGQ5,KB5)=0),1000000000,IF($V5=1,INDEX('calcA'!$D$130:$EQ$169,$B5,38)+IF(AND($E5=1,KB5=0),25,0),IF($F5&gt;0,INDEX('calcA'!AO$110:AO$114,$F5+1)+IF(AND($E5=1,KB5=0),1000,0),MIN(TV5,20)*400+(IF('calcA'!AN$106=1,1-EL5,0)+IF('calcA'!AO$106=1,1-EN5,0))*150+142+'calcA'!AO$5*100000+IF(AND($E5=1,KB5=0),50000,0))+IF($H5=1,INDEX('calcA'!$D$180:$EQ$219,$B5,38)*4000,0)-IF(AND('calcA'!AN$117=1,VL5&gt;0),2000,0)-IF(AND($U5=1,'calcA'!AO$117=1,EN5=0),2000,0))),1000000000))</f>
        <v/>
      </c>
      <c r="PR5">
        <f>IF($B5=0,1000000000,IF(INDEX('calcA'!$D$60:$EQ$99,$B5,39)*IF($W5=1,EN5+ABC5,EN5)=1,IF(AND($E5=2,IF($W5=1,AGR5,KC5)=0),1000000000,IF($V5=1,INDEX('calcA'!$D$130:$EQ$169,$B5,39)+IF(AND($E5=1,KC5=0),25,0),IF($F5&gt;0,INDEX('calcA'!AP$110:AP$114,$F5+1)+IF(AND($E5=1,KC5=0),1000,0),MIN(TV5,20)*400+(IF('calcA'!AO$106=1,1-EM5,0)+IF('calcA'!AP$106=1,1-EO5,0))*150+152+'calcA'!AP$5*100000+IF(AND($E5=1,KC5=0),50000,0))+IF($H5=1,INDEX('calcA'!$D$180:$EQ$219,$B5,39)*4000,0)-IF(AND('calcA'!AO$117=1,VM5&gt;0),2000,0)-IF(AND($U5=1,'calcA'!AP$117=1,EO5=0),2000,0))),1000000000))</f>
        <v/>
      </c>
      <c r="PS5">
        <f>IF($B5=0,1000000000,IF(INDEX('calcA'!$D$60:$EQ$99,$B5,40)*IF($W5=1,EO5+ABD5,EO5)=1,IF(AND($E5=2,IF($W5=1,AGS5,KD5)=0),1000000000,IF($V5=1,INDEX('calcA'!$D$130:$EQ$169,$B5,40)+IF(AND($E5=1,KD5=0),25,0),IF($F5&gt;0,INDEX('calcA'!AQ$110:AQ$114,$F5+1)+IF(AND($E5=1,KD5=0),1000,0),MIN(TV5,20)*400+(IF('calcA'!AP$106=1,1-EN5,0)+IF('calcA'!AQ$106=1,1-EP5,0))*150+162+'calcA'!AQ$5*100000+IF(AND($E5=1,KD5=0),50000,0))+IF($H5=1,INDEX('calcA'!$D$180:$EQ$219,$B5,40)*4000,0)-IF(AND('calcA'!AP$117=1,VN5&gt;0),2000,0)-IF(AND($U5=1,'calcA'!AQ$117=1,EP5=0),2000,0))),1000000000))</f>
        <v/>
      </c>
      <c r="PT5">
        <f>IF($B5=0,1000000000,IF(INDEX('calcA'!$D$60:$EQ$99,$B5,41)*IF($W5=1,EP5+ABE5,EP5)=1,IF(AND($E5=2,IF($W5=1,AGT5,KE5)=0),1000000000,IF($V5=1,INDEX('calcA'!$D$130:$EQ$169,$B5,41)+IF(AND($E5=1,KE5=0),25,0),IF($F5&gt;0,INDEX('calcA'!AR$110:AR$114,$F5+1)+IF(AND($E5=1,KE5=0),1000,0),MIN(TV5,20)*400+(IF('calcA'!AQ$106=1,1-EO5,0)+IF('calcA'!AR$106=1,1-EQ5,0))*150+172+'calcA'!AR$5*100000+IF(AND($E5=1,KE5=0),50000,0))+IF($H5=1,INDEX('calcA'!$D$180:$EQ$219,$B5,41)*4000,0)-IF(AND('calcA'!AQ$117=1,VO5&gt;0),2000,0)-IF(AND($U5=1,'calcA'!AR$117=1,EQ5=0),2000,0))),1000000000))</f>
        <v/>
      </c>
      <c r="PU5">
        <f>IF($B5=0,1000000000,IF(INDEX('calcA'!$D$60:$EQ$99,$B5,42)*IF($W5=1,EQ5+ABF5,EQ5)=1,IF(AND($E5=2,IF($W5=1,AGU5,KF5)=0),1000000000,IF($V5=1,INDEX('calcA'!$D$130:$EQ$169,$B5,42)+IF(AND($E5=1,KF5=0),25,0),IF($F5&gt;0,INDEX('calcA'!AS$110:AS$114,$F5+1)+IF(AND($E5=1,KF5=0),1000,0),MIN(TV5,20)*400+(IF('calcA'!AR$106=1,1-EP5,0)+IF('calcA'!AS$106=1,1-ER5,0))*150+182+'calcA'!AS$5*100000+IF(AND($E5=1,KF5=0),50000,0))+IF($H5=1,INDEX('calcA'!$D$180:$EQ$219,$B5,42)*4000,0)-IF(AND('calcA'!AR$117=1,VP5&gt;0),2000,0)-IF(AND($U5=1,'calcA'!AS$117=1,ER5=0),2000,0))),1000000000))</f>
        <v/>
      </c>
      <c r="PV5">
        <f>IF($B5=0,1000000000,IF(INDEX('calcA'!$D$60:$EQ$99,$B5,43)*IF($W5=1,ER5+ABG5,ER5)=1,IF(AND($E5=2,IF($W5=1,AGV5,KG5)=0),1000000000,IF($V5=1,INDEX('calcA'!$D$130:$EQ$169,$B5,43)+IF(AND($E5=1,KG5=0),25,0),IF($F5&gt;0,INDEX('calcA'!AT$110:AT$114,$F5+1)+IF(AND($E5=1,KG5=0),1000,0),MIN(TV5,20)*400+(IF('calcA'!AS$106=1,1-EQ5,0)+IF('calcA'!AT$106=1,1-ES5,0))*150+192+'calcA'!AT$5*100000+IF(AND($E5=1,KG5=0),50000,0))+IF($H5=1,INDEX('calcA'!$D$180:$EQ$219,$B5,43)*4000,0)-IF(AND('calcA'!AS$117=1,VQ5&gt;0),2000,0)-IF(AND($U5=1,'calcA'!AT$117=1,ES5=0),2000,0))),1000000000))</f>
        <v/>
      </c>
      <c r="PW5">
        <f>IF($B5=0,1000000000,IF(INDEX('calcA'!$D$60:$EQ$99,$B5,44)*IF($W5=1,ES5+ABH5,ES5)=1,IF(AND($E5=2,IF($W5=1,AGW5,KH5)=0),1000000000,IF($V5=1,INDEX('calcA'!$D$130:$EQ$169,$B5,44)+IF(AND($E5=1,KH5=0),25,0),IF($F5&gt;0,INDEX('calcA'!AU$110:AU$114,$F5+1)+IF(AND($E5=1,KH5=0),1000,0),MIN(TV5,20)*400+(IF('calcA'!AT$106=1,1-ER5,0)+IF('calcA'!AU$106=1,1-ET5,0))*150+202+'calcA'!AU$5*100000+IF(AND($E5=1,KH5=0),50000,0))+IF($H5=1,INDEX('calcA'!$D$180:$EQ$219,$B5,44)*4000,0)-IF(AND('calcA'!AT$117=1,VR5&gt;0),2000,0)-IF(AND($U5=1,'calcA'!AU$117=1,ET5=0),2000,0))),1000000000))</f>
        <v/>
      </c>
      <c r="PX5">
        <f>IF($B5=0,1000000000,IF(INDEX('calcA'!$D$60:$EQ$99,$B5,45)*IF($W5=1,ET5+ABI5,ET5)=1,IF(AND($E5=2,IF($W5=1,AGX5,KI5)=0),1000000000,IF($V5=1,INDEX('calcA'!$D$130:$EQ$169,$B5,45)+IF(AND($E5=1,KI5=0),25,0),IF($F5&gt;0,INDEX('calcA'!AV$110:AV$114,$F5+1)+IF(AND($E5=1,KI5=0),1000,0),MIN(TV5,20)*400+(IF('calcA'!AU$106=1,1-ES5,0)+IF('calcA'!AV$106=1,1-EU5,0))*150+212+'calcA'!AV$5*100000+IF(AND($E5=1,KI5=0),50000,0))+IF($H5=1,INDEX('calcA'!$D$180:$EQ$219,$B5,45)*4000,0)-IF(AND('calcA'!AU$117=1,VS5&gt;0),2000,0)-IF(AND($U5=1,'calcA'!AV$117=1,EU5=0),2000,0))),1000000000))</f>
        <v/>
      </c>
      <c r="PY5">
        <f>IF($B5=0,1000000000,IF(INDEX('calcA'!$D$60:$EQ$99,$B5,46)*IF($W5=1,EU5+ABJ5,EU5)=1,IF(AND($E5=2,IF($W5=1,AGY5,KJ5)=0),1000000000,IF($V5=1,INDEX('calcA'!$D$130:$EQ$169,$B5,46)+IF(AND($E5=1,KJ5=0),25,0),IF($F5&gt;0,INDEX('calcA'!AW$110:AW$114,$F5+1)+IF(AND($E5=1,KJ5=0),1000,0),MIN(TV5,20)*400+(IF('calcA'!AV$106=1,1-ET5,0)+IF('calcA'!AW$106=1,1-EV5,0))*150+222+'calcA'!AW$5*100000+IF(AND($E5=1,KJ5=0),50000,0))+IF($H5=1,INDEX('calcA'!$D$180:$EQ$219,$B5,46)*4000,0)-IF(AND('calcA'!AV$117=1,VT5&gt;0),2000,0)-IF(AND($U5=1,'calcA'!AW$117=1,EV5=0),2000,0))),1000000000))</f>
        <v/>
      </c>
      <c r="PZ5">
        <f>IF($B5=0,1000000000,IF(INDEX('calcA'!$D$60:$EQ$99,$B5,47)*IF($W5=1,EV5+ABK5,EV5)=1,IF(AND($E5=2,IF($W5=1,AGZ5,KK5)=0),1000000000,IF($V5=1,INDEX('calcA'!$D$130:$EQ$169,$B5,47)+IF(AND($E5=1,KK5=0),25,0),IF($F5&gt;0,INDEX('calcA'!AX$110:AX$114,$F5+1)+IF(AND($E5=1,KK5=0),1000,0),MIN(TV5,20)*400+(IF('calcA'!AW$106=1,1-EU5,0)+IF('calcA'!AX$106=1,1-EW5,0))*150+232+'calcA'!AX$5*100000+IF(AND($E5=1,KK5=0),50000,0))+IF($H5=1,INDEX('calcA'!$D$180:$EQ$219,$B5,47)*4000,0)-IF(AND('calcA'!AW$117=1,VU5&gt;0),2000,0)-IF(AND($U5=1,'calcA'!AX$117=1,EW5=0),2000,0))),1000000000))</f>
        <v/>
      </c>
      <c r="QA5">
        <f>IF($B5=0,1000000000,IF(INDEX('calcA'!$D$60:$EQ$99,$B5,48)*IF($W5=1,EW5+ABL5,EW5)=1,IF(AND($E5=2,IF($W5=1,AHA5,KL5)=0),1000000000,IF($V5=1,INDEX('calcA'!$D$130:$EQ$169,$B5,48)+IF(AND($E5=1,KL5=0),25,0),IF($F5&gt;0,INDEX('calcA'!AY$110:AY$114,$F5+1)+IF(AND($E5=1,KL5=0),1000,0),MIN(TV5,20)*400+(IF('calcA'!AX$106=1,1-EV5,0))*150+242+'calcA'!AY$5*100000+IF(AND($E5=1,KL5=0),50000,0))+IF($H5=1,INDEX('calcA'!$D$180:$EQ$219,$B5,48)*4000,0)-IF(AND('calcA'!AX$117=1,VV5&gt;0),2000,0))),1000000000))</f>
        <v/>
      </c>
      <c r="QB5">
        <f>IF($B5=0,1000000000,IF(INDEX('calcA'!$D$60:$EQ$99,$B5,49)*IF($W5=1,EX5+ABM5,EX5)=1,IF(AND($E5=2,IF($W5=1,AHB5,KM5)=0),1000000000,IF($V5=1,INDEX('calcA'!$D$130:$EQ$169,$B5,49)+IF(AND($E5=1,KM5=0),25,0),IF($F5&gt;0,INDEX('calcA'!AZ$110:AZ$114,$F5+1)+IF(AND($E5=1,KM5=0),1000,0),MIN(TW5,20)*400+(IF('calcA'!AZ$106=1,1-EY5,0))*150+13+'calcA'!AZ$5*100000+IF(AND($E5=1,KM5=0),50000,0))+IF($H5=1,INDEX('calcA'!$D$180:$EQ$219,$B5,49)*4000,0)-IF(AND($U5=1,'calcA'!AZ$117=1,EY5=0),2000,0))),1000000000))</f>
        <v/>
      </c>
      <c r="QC5">
        <f>IF($B5=0,1000000000,IF(INDEX('calcA'!$D$60:$EQ$99,$B5,50)*IF($W5=1,EY5+ABN5,EY5)=1,IF(AND($E5=2,IF($W5=1,AHC5,KN5)=0),1000000000,IF($V5=1,INDEX('calcA'!$D$130:$EQ$169,$B5,50)+IF(AND($E5=1,KN5=0),25,0),IF($F5&gt;0,INDEX('calcA'!BA$110:BA$114,$F5+1)+IF(AND($E5=1,KN5=0),1000,0),MIN(TW5,20)*400+(IF('calcA'!AZ$106=1,1-EX5,0)+IF('calcA'!BA$106=1,1-EZ5,0))*150+23+'calcA'!BA$5*100000+IF(AND($E5=1,KN5=0),50000,0))+IF($H5=1,INDEX('calcA'!$D$180:$EQ$219,$B5,50)*4000,0)-IF(AND('calcA'!AZ$117=1,VX5&gt;0),2000,0)-IF(AND($U5=1,'calcA'!BA$117=1,EZ5=0),2000,0))),1000000000))</f>
        <v/>
      </c>
      <c r="QD5">
        <f>IF($B5=0,1000000000,IF(INDEX('calcA'!$D$60:$EQ$99,$B5,51)*IF($W5=1,EZ5+ABO5,EZ5)=1,IF(AND($E5=2,IF($W5=1,AHD5,KO5)=0),1000000000,IF($V5=1,INDEX('calcA'!$D$130:$EQ$169,$B5,51)+IF(AND($E5=1,KO5=0),25,0),IF($F5&gt;0,INDEX('calcA'!BB$110:BB$114,$F5+1)+IF(AND($E5=1,KO5=0),1000,0),MIN(TW5,20)*400+(IF('calcA'!BA$106=1,1-EY5,0)+IF('calcA'!BB$106=1,1-FA5,0))*150+33+'calcA'!BB$5*100000+IF(AND($E5=1,KO5=0),50000,0))+IF($H5=1,INDEX('calcA'!$D$180:$EQ$219,$B5,51)*4000,0)-IF(AND('calcA'!BA$117=1,VY5&gt;0),2000,0)-IF(AND($U5=1,'calcA'!BB$117=1,FA5=0),2000,0))),1000000000))</f>
        <v/>
      </c>
      <c r="QE5">
        <f>IF($B5=0,1000000000,IF(INDEX('calcA'!$D$60:$EQ$99,$B5,52)*IF($W5=1,FA5+ABP5,FA5)=1,IF(AND($E5=2,IF($W5=1,AHE5,KP5)=0),1000000000,IF($V5=1,INDEX('calcA'!$D$130:$EQ$169,$B5,52)+IF(AND($E5=1,KP5=0),25,0),IF($F5&gt;0,INDEX('calcA'!BC$110:BC$114,$F5+1)+IF(AND($E5=1,KP5=0),1000,0),MIN(TW5,20)*400+(IF('calcA'!BB$106=1,1-EZ5,0)+IF('calcA'!BC$106=1,1-FB5,0))*150+43+'calcA'!BC$5*100000+IF(AND($E5=1,KP5=0),50000,0))+IF($H5=1,INDEX('calcA'!$D$180:$EQ$219,$B5,52)*4000,0)-IF(AND('calcA'!BB$117=1,VZ5&gt;0),2000,0)-IF(AND($U5=1,'calcA'!BC$117=1,FB5=0),2000,0))),1000000000))</f>
        <v/>
      </c>
      <c r="QF5">
        <f>IF($B5=0,1000000000,IF(INDEX('calcA'!$D$60:$EQ$99,$B5,53)*IF($W5=1,FB5+ABQ5,FB5)=1,IF(AND($E5=2,IF($W5=1,AHF5,KQ5)=0),1000000000,IF($V5=1,INDEX('calcA'!$D$130:$EQ$169,$B5,53)+IF(AND($E5=1,KQ5=0),25,0),IF($F5&gt;0,INDEX('calcA'!BD$110:BD$114,$F5+1)+IF(AND($E5=1,KQ5=0),1000,0),MIN(TW5,20)*400+(IF('calcA'!BC$106=1,1-FA5,0)+IF('calcA'!BD$106=1,1-FC5,0))*150+53+'calcA'!BD$5*100000+IF(AND($E5=1,KQ5=0),50000,0))+IF($H5=1,INDEX('calcA'!$D$180:$EQ$219,$B5,53)*4000,0)-IF(AND('calcA'!BC$117=1,WA5&gt;0),2000,0)-IF(AND($U5=1,'calcA'!BD$117=1,FC5=0),2000,0))),1000000000))</f>
        <v/>
      </c>
      <c r="QG5">
        <f>IF($B5=0,1000000000,IF(INDEX('calcA'!$D$60:$EQ$99,$B5,54)*IF($W5=1,FC5+ABR5,FC5)=1,IF(AND($E5=2,IF($W5=1,AHG5,KR5)=0),1000000000,IF($V5=1,INDEX('calcA'!$D$130:$EQ$169,$B5,54)+IF(AND($E5=1,KR5=0),25,0),IF($F5&gt;0,INDEX('calcA'!BE$110:BE$114,$F5+1)+IF(AND($E5=1,KR5=0),1000,0),MIN(TW5,20)*400+(IF('calcA'!BD$106=1,1-FB5,0)+IF('calcA'!BE$106=1,1-FD5,0))*150+63+'calcA'!BE$5*100000+IF(AND($E5=1,KR5=0),50000,0))+IF($H5=1,INDEX('calcA'!$D$180:$EQ$219,$B5,54)*4000,0)-IF(AND('calcA'!BD$117=1,WB5&gt;0),2000,0)-IF(AND($U5=1,'calcA'!BE$117=1,FD5=0),2000,0))),1000000000))</f>
        <v/>
      </c>
      <c r="QH5">
        <f>IF($B5=0,1000000000,IF(INDEX('calcA'!$D$60:$EQ$99,$B5,55)*IF($W5=1,FD5+ABS5,FD5)=1,IF(AND($E5=2,IF($W5=1,AHH5,KS5)=0),1000000000,IF($V5=1,INDEX('calcA'!$D$130:$EQ$169,$B5,55)+IF(AND($E5=1,KS5=0),25,0),IF($F5&gt;0,INDEX('calcA'!BF$110:BF$114,$F5+1)+IF(AND($E5=1,KS5=0),1000,0),MIN(TW5,20)*400+(IF('calcA'!BE$106=1,1-FC5,0)+IF('calcA'!BF$106=1,1-FE5,0))*150+73+'calcA'!BF$5*100000+IF(AND($E5=1,KS5=0),50000,0))+IF($H5=1,INDEX('calcA'!$D$180:$EQ$219,$B5,55)*4000,0)-IF(AND('calcA'!BE$117=1,WC5&gt;0),2000,0)-IF(AND($U5=1,'calcA'!BF$117=1,FE5=0),2000,0))),1000000000))</f>
        <v/>
      </c>
      <c r="QI5">
        <f>IF($B5=0,1000000000,IF(INDEX('calcA'!$D$60:$EQ$99,$B5,56)*IF($W5=1,FE5+ABT5,FE5)=1,IF(AND($E5=2,IF($W5=1,AHI5,KT5)=0),1000000000,IF($V5=1,INDEX('calcA'!$D$130:$EQ$169,$B5,56)+IF(AND($E5=1,KT5=0),25,0),IF($F5&gt;0,INDEX('calcA'!BG$110:BG$114,$F5+1)+IF(AND($E5=1,KT5=0),1000,0),MIN(TW5,20)*400+(IF('calcA'!BF$106=1,1-FD5,0)+IF('calcA'!BG$106=1,1-FF5,0))*150+83+'calcA'!BG$5*100000+IF(AND($E5=1,KT5=0),50000,0))+IF($H5=1,INDEX('calcA'!$D$180:$EQ$219,$B5,56)*4000,0)-IF(AND('calcA'!BF$117=1,WD5&gt;0),2000,0)-IF(AND($U5=1,'calcA'!BG$117=1,FF5=0),2000,0))),1000000000))</f>
        <v/>
      </c>
      <c r="QJ5">
        <f>IF($B5=0,1000000000,IF(INDEX('calcA'!$D$60:$EQ$99,$B5,57)*IF($W5=1,FF5+ABU5,FF5)=1,IF(AND($E5=2,IF($W5=1,AHJ5,KU5)=0),1000000000,IF($V5=1,INDEX('calcA'!$D$130:$EQ$169,$B5,57)+IF(AND($E5=1,KU5=0),25,0),IF($F5&gt;0,INDEX('calcA'!BH$110:BH$114,$F5+1)+IF(AND($E5=1,KU5=0),1000,0),MIN(TW5,20)*400+(IF('calcA'!BG$106=1,1-FE5,0)+IF('calcA'!BH$106=1,1-FG5,0))*150+93+'calcA'!BH$5*100000+IF(AND($E5=1,KU5=0),50000,0))+IF($H5=1,INDEX('calcA'!$D$180:$EQ$219,$B5,57)*4000,0)-IF(AND('calcA'!BG$117=1,WE5&gt;0),2000,0)-IF(AND($U5=1,'calcA'!BH$117=1,FG5=0),2000,0))),1000000000))</f>
        <v/>
      </c>
      <c r="QK5">
        <f>IF($B5=0,1000000000,IF(INDEX('calcA'!$D$60:$EQ$99,$B5,58)*IF($W5=1,FG5+ABV5,FG5)=1,IF(AND($E5=2,IF($W5=1,AHK5,KV5)=0),1000000000,IF($V5=1,INDEX('calcA'!$D$130:$EQ$169,$B5,58)+IF(AND($E5=1,KV5=0),25,0),IF($F5&gt;0,INDEX('calcA'!BI$110:BI$114,$F5+1)+IF(AND($E5=1,KV5=0),1000,0),MIN(TW5,20)*400+(IF('calcA'!BH$106=1,1-FF5,0)+IF('calcA'!BI$106=1,1-FH5,0))*150+103+'calcA'!BI$5*100000+IF(AND($E5=1,KV5=0),50000,0))+IF($H5=1,INDEX('calcA'!$D$180:$EQ$219,$B5,58)*4000,0)-IF(AND('calcA'!BH$117=1,WF5&gt;0),2000,0)-IF(AND($U5=1,'calcA'!BI$117=1,FH5=0),2000,0))),1000000000))</f>
        <v/>
      </c>
      <c r="QL5">
        <f>IF($B5=0,1000000000,IF(INDEX('calcA'!$D$60:$EQ$99,$B5,59)*IF($W5=1,FH5+ABW5,FH5)=1,IF(AND($E5=2,IF($W5=1,AHL5,KW5)=0),1000000000,IF($V5=1,INDEX('calcA'!$D$130:$EQ$169,$B5,59)+IF(AND($E5=1,KW5=0),25,0),IF($F5&gt;0,INDEX('calcA'!BJ$110:BJ$114,$F5+1)+IF(AND($E5=1,KW5=0),1000,0),MIN(TW5,20)*400+(IF('calcA'!BI$106=1,1-FG5,0)+IF('calcA'!BJ$106=1,1-FI5,0))*150+113+'calcA'!BJ$5*100000+IF(AND($E5=1,KW5=0),50000,0))+IF($H5=1,INDEX('calcA'!$D$180:$EQ$219,$B5,59)*4000,0)-IF(AND('calcA'!BI$117=1,WG5&gt;0),2000,0)-IF(AND($U5=1,'calcA'!BJ$117=1,FI5=0),2000,0))),1000000000))</f>
        <v/>
      </c>
      <c r="QM5">
        <f>IF($B5=0,1000000000,IF(INDEX('calcA'!$D$60:$EQ$99,$B5,60)*IF($W5=1,FI5+ABX5,FI5)=1,IF(AND($E5=2,IF($W5=1,AHM5,KX5)=0),1000000000,IF($V5=1,INDEX('calcA'!$D$130:$EQ$169,$B5,60)+IF(AND($E5=1,KX5=0),25,0),IF($F5&gt;0,INDEX('calcA'!BK$110:BK$114,$F5+1)+IF(AND($E5=1,KX5=0),1000,0),MIN(TW5,20)*400+(IF('calcA'!BJ$106=1,1-FH5,0)+IF('calcA'!BK$106=1,1-FJ5,0))*150+123+'calcA'!BK$5*100000+IF(AND($E5=1,KX5=0),50000,0))+IF($H5=1,INDEX('calcA'!$D$180:$EQ$219,$B5,60)*4000,0)-IF(AND('calcA'!BJ$117=1,WH5&gt;0),2000,0)-IF(AND($U5=1,'calcA'!BK$117=1,FJ5=0),2000,0))),1000000000))</f>
        <v/>
      </c>
      <c r="QN5">
        <f>IF($B5=0,1000000000,IF(INDEX('calcA'!$D$60:$EQ$99,$B5,61)*IF($W5=1,FJ5+ABY5,FJ5)=1,IF(AND($E5=2,IF($W5=1,AHN5,KY5)=0),1000000000,IF($V5=1,INDEX('calcA'!$D$130:$EQ$169,$B5,61)+IF(AND($E5=1,KY5=0),25,0),IF($F5&gt;0,INDEX('calcA'!BL$110:BL$114,$F5+1)+IF(AND($E5=1,KY5=0),1000,0),MIN(TW5,20)*400+(IF('calcA'!BK$106=1,1-FI5,0)+IF('calcA'!BL$106=1,1-FK5,0))*150+133+'calcA'!BL$5*100000+IF(AND($E5=1,KY5=0),50000,0))+IF($H5=1,INDEX('calcA'!$D$180:$EQ$219,$B5,61)*4000,0)-IF(AND('calcA'!BK$117=1,WI5&gt;0),2000,0)-IF(AND($U5=1,'calcA'!BL$117=1,FK5=0),2000,0))),1000000000))</f>
        <v/>
      </c>
      <c r="QO5">
        <f>IF($B5=0,1000000000,IF(INDEX('calcA'!$D$60:$EQ$99,$B5,62)*IF($W5=1,FK5+ABZ5,FK5)=1,IF(AND($E5=2,IF($W5=1,AHO5,KZ5)=0),1000000000,IF($V5=1,INDEX('calcA'!$D$130:$EQ$169,$B5,62)+IF(AND($E5=1,KZ5=0),25,0),IF($F5&gt;0,INDEX('calcA'!BM$110:BM$114,$F5+1)+IF(AND($E5=1,KZ5=0),1000,0),MIN(TW5,20)*400+(IF('calcA'!BL$106=1,1-FJ5,0)+IF('calcA'!BM$106=1,1-FL5,0))*150+143+'calcA'!BM$5*100000+IF(AND($E5=1,KZ5=0),50000,0))+IF($H5=1,INDEX('calcA'!$D$180:$EQ$219,$B5,62)*4000,0)-IF(AND('calcA'!BL$117=1,WJ5&gt;0),2000,0)-IF(AND($U5=1,'calcA'!BM$117=1,FL5=0),2000,0))),1000000000))</f>
        <v/>
      </c>
      <c r="QP5">
        <f>IF($B5=0,1000000000,IF(INDEX('calcA'!$D$60:$EQ$99,$B5,63)*IF($W5=1,FL5+ACA5,FL5)=1,IF(AND($E5=2,IF($W5=1,AHP5,LA5)=0),1000000000,IF($V5=1,INDEX('calcA'!$D$130:$EQ$169,$B5,63)+IF(AND($E5=1,LA5=0),25,0),IF($F5&gt;0,INDEX('calcA'!BN$110:BN$114,$F5+1)+IF(AND($E5=1,LA5=0),1000,0),MIN(TW5,20)*400+(IF('calcA'!BM$106=1,1-FK5,0)+IF('calcA'!BN$106=1,1-FM5,0))*150+153+'calcA'!BN$5*100000+IF(AND($E5=1,LA5=0),50000,0))+IF($H5=1,INDEX('calcA'!$D$180:$EQ$219,$B5,63)*4000,0)-IF(AND('calcA'!BM$117=1,WK5&gt;0),2000,0)-IF(AND($U5=1,'calcA'!BN$117=1,FM5=0),2000,0))),1000000000))</f>
        <v/>
      </c>
      <c r="QQ5">
        <f>IF($B5=0,1000000000,IF(INDEX('calcA'!$D$60:$EQ$99,$B5,64)*IF($W5=1,FM5+ACB5,FM5)=1,IF(AND($E5=2,IF($W5=1,AHQ5,LB5)=0),1000000000,IF($V5=1,INDEX('calcA'!$D$130:$EQ$169,$B5,64)+IF(AND($E5=1,LB5=0),25,0),IF($F5&gt;0,INDEX('calcA'!BO$110:BO$114,$F5+1)+IF(AND($E5=1,LB5=0),1000,0),MIN(TW5,20)*400+(IF('calcA'!BN$106=1,1-FL5,0)+IF('calcA'!BO$106=1,1-FN5,0))*150+163+'calcA'!BO$5*100000+IF(AND($E5=1,LB5=0),50000,0))+IF($H5=1,INDEX('calcA'!$D$180:$EQ$219,$B5,64)*4000,0)-IF(AND('calcA'!BN$117=1,WL5&gt;0),2000,0)-IF(AND($U5=1,'calcA'!BO$117=1,FN5=0),2000,0))),1000000000))</f>
        <v/>
      </c>
      <c r="QR5">
        <f>IF($B5=0,1000000000,IF(INDEX('calcA'!$D$60:$EQ$99,$B5,65)*IF($W5=1,FN5+ACC5,FN5)=1,IF(AND($E5=2,IF($W5=1,AHR5,LC5)=0),1000000000,IF($V5=1,INDEX('calcA'!$D$130:$EQ$169,$B5,65)+IF(AND($E5=1,LC5=0),25,0),IF($F5&gt;0,INDEX('calcA'!BP$110:BP$114,$F5+1)+IF(AND($E5=1,LC5=0),1000,0),MIN(TW5,20)*400+(IF('calcA'!BO$106=1,1-FM5,0)+IF('calcA'!BP$106=1,1-FO5,0))*150+173+'calcA'!BP$5*100000+IF(AND($E5=1,LC5=0),50000,0))+IF($H5=1,INDEX('calcA'!$D$180:$EQ$219,$B5,65)*4000,0)-IF(AND('calcA'!BO$117=1,WM5&gt;0),2000,0)-IF(AND($U5=1,'calcA'!BP$117=1,FO5=0),2000,0))),1000000000))</f>
        <v/>
      </c>
      <c r="QS5">
        <f>IF($B5=0,1000000000,IF(INDEX('calcA'!$D$60:$EQ$99,$B5,66)*IF($W5=1,FO5+ACD5,FO5)=1,IF(AND($E5=2,IF($W5=1,AHS5,LD5)=0),1000000000,IF($V5=1,INDEX('calcA'!$D$130:$EQ$169,$B5,66)+IF(AND($E5=1,LD5=0),25,0),IF($F5&gt;0,INDEX('calcA'!BQ$110:BQ$114,$F5+1)+IF(AND($E5=1,LD5=0),1000,0),MIN(TW5,20)*400+(IF('calcA'!BP$106=1,1-FN5,0)+IF('calcA'!BQ$106=1,1-FP5,0))*150+183+'calcA'!BQ$5*100000+IF(AND($E5=1,LD5=0),50000,0))+IF($H5=1,INDEX('calcA'!$D$180:$EQ$219,$B5,66)*4000,0)-IF(AND('calcA'!BP$117=1,WN5&gt;0),2000,0)-IF(AND($U5=1,'calcA'!BQ$117=1,FP5=0),2000,0))),1000000000))</f>
        <v/>
      </c>
      <c r="QT5">
        <f>IF($B5=0,1000000000,IF(INDEX('calcA'!$D$60:$EQ$99,$B5,67)*IF($W5=1,FP5+ACE5,FP5)=1,IF(AND($E5=2,IF($W5=1,AHT5,LE5)=0),1000000000,IF($V5=1,INDEX('calcA'!$D$130:$EQ$169,$B5,67)+IF(AND($E5=1,LE5=0),25,0),IF($F5&gt;0,INDEX('calcA'!BR$110:BR$114,$F5+1)+IF(AND($E5=1,LE5=0),1000,0),MIN(TW5,20)*400+(IF('calcA'!BQ$106=1,1-FO5,0)+IF('calcA'!BR$106=1,1-FQ5,0))*150+193+'calcA'!BR$5*100000+IF(AND($E5=1,LE5=0),50000,0))+IF($H5=1,INDEX('calcA'!$D$180:$EQ$219,$B5,67)*4000,0)-IF(AND('calcA'!BQ$117=1,WO5&gt;0),2000,0)-IF(AND($U5=1,'calcA'!BR$117=1,FQ5=0),2000,0))),1000000000))</f>
        <v/>
      </c>
      <c r="QU5">
        <f>IF($B5=0,1000000000,IF(INDEX('calcA'!$D$60:$EQ$99,$B5,68)*IF($W5=1,FQ5+ACF5,FQ5)=1,IF(AND($E5=2,IF($W5=1,AHU5,LF5)=0),1000000000,IF($V5=1,INDEX('calcA'!$D$130:$EQ$169,$B5,68)+IF(AND($E5=1,LF5=0),25,0),IF($F5&gt;0,INDEX('calcA'!BS$110:BS$114,$F5+1)+IF(AND($E5=1,LF5=0),1000,0),MIN(TW5,20)*400+(IF('calcA'!BR$106=1,1-FP5,0)+IF('calcA'!BS$106=1,1-FR5,0))*150+203+'calcA'!BS$5*100000+IF(AND($E5=1,LF5=0),50000,0))+IF($H5=1,INDEX('calcA'!$D$180:$EQ$219,$B5,68)*4000,0)-IF(AND('calcA'!BR$117=1,WP5&gt;0),2000,0)-IF(AND($U5=1,'calcA'!BS$117=1,FR5=0),2000,0))),1000000000))</f>
        <v/>
      </c>
      <c r="QV5">
        <f>IF($B5=0,1000000000,IF(INDEX('calcA'!$D$60:$EQ$99,$B5,69)*IF($W5=1,FR5+ACG5,FR5)=1,IF(AND($E5=2,IF($W5=1,AHV5,LG5)=0),1000000000,IF($V5=1,INDEX('calcA'!$D$130:$EQ$169,$B5,69)+IF(AND($E5=1,LG5=0),25,0),IF($F5&gt;0,INDEX('calcA'!BT$110:BT$114,$F5+1)+IF(AND($E5=1,LG5=0),1000,0),MIN(TW5,20)*400+(IF('calcA'!BS$106=1,1-FQ5,0)+IF('calcA'!BT$106=1,1-FS5,0))*150+213+'calcA'!BT$5*100000+IF(AND($E5=1,LG5=0),50000,0))+IF($H5=1,INDEX('calcA'!$D$180:$EQ$219,$B5,69)*4000,0)-IF(AND('calcA'!BS$117=1,WQ5&gt;0),2000,0)-IF(AND($U5=1,'calcA'!BT$117=1,FS5=0),2000,0))),1000000000))</f>
        <v/>
      </c>
      <c r="QW5">
        <f>IF($B5=0,1000000000,IF(INDEX('calcA'!$D$60:$EQ$99,$B5,70)*IF($W5=1,FS5+ACH5,FS5)=1,IF(AND($E5=2,IF($W5=1,AHW5,LH5)=0),1000000000,IF($V5=1,INDEX('calcA'!$D$130:$EQ$169,$B5,70)+IF(AND($E5=1,LH5=0),25,0),IF($F5&gt;0,INDEX('calcA'!BU$110:BU$114,$F5+1)+IF(AND($E5=1,LH5=0),1000,0),MIN(TW5,20)*400+(IF('calcA'!BT$106=1,1-FR5,0)+IF('calcA'!BU$106=1,1-FT5,0))*150+223+'calcA'!BU$5*100000+IF(AND($E5=1,LH5=0),50000,0))+IF($H5=1,INDEX('calcA'!$D$180:$EQ$219,$B5,70)*4000,0)-IF(AND('calcA'!BT$117=1,WR5&gt;0),2000,0)-IF(AND($U5=1,'calcA'!BU$117=1,FT5=0),2000,0))),1000000000))</f>
        <v/>
      </c>
      <c r="QX5">
        <f>IF($B5=0,1000000000,IF(INDEX('calcA'!$D$60:$EQ$99,$B5,71)*IF($W5=1,FT5+ACI5,FT5)=1,IF(AND($E5=2,IF($W5=1,AHX5,LI5)=0),1000000000,IF($V5=1,INDEX('calcA'!$D$130:$EQ$169,$B5,71)+IF(AND($E5=1,LI5=0),25,0),IF($F5&gt;0,INDEX('calcA'!BV$110:BV$114,$F5+1)+IF(AND($E5=1,LI5=0),1000,0),MIN(TW5,20)*400+(IF('calcA'!BU$106=1,1-FS5,0)+IF('calcA'!BV$106=1,1-FU5,0))*150+233+'calcA'!BV$5*100000+IF(AND($E5=1,LI5=0),50000,0))+IF($H5=1,INDEX('calcA'!$D$180:$EQ$219,$B5,71)*4000,0)-IF(AND('calcA'!BU$117=1,WS5&gt;0),2000,0)-IF(AND($U5=1,'calcA'!BV$117=1,FU5=0),2000,0))),1000000000))</f>
        <v/>
      </c>
      <c r="QY5">
        <f>IF($B5=0,1000000000,IF(INDEX('calcA'!$D$60:$EQ$99,$B5,72)*IF($W5=1,FU5+ACJ5,FU5)=1,IF(AND($E5=2,IF($W5=1,AHY5,LJ5)=0),1000000000,IF($V5=1,INDEX('calcA'!$D$130:$EQ$169,$B5,72)+IF(AND($E5=1,LJ5=0),25,0),IF($F5&gt;0,INDEX('calcA'!BW$110:BW$114,$F5+1)+IF(AND($E5=1,LJ5=0),1000,0),MIN(TW5,20)*400+(IF('calcA'!BV$106=1,1-FT5,0))*150+243+'calcA'!BW$5*100000+IF(AND($E5=1,LJ5=0),50000,0))+IF($H5=1,INDEX('calcA'!$D$180:$EQ$219,$B5,72)*4000,0)-IF(AND('calcA'!BV$117=1,WT5&gt;0),2000,0))),1000000000))</f>
        <v/>
      </c>
      <c r="QZ5">
        <f>IF($B5=0,1000000000,IF(INDEX('calcA'!$D$60:$EQ$99,$B5,73)*IF($W5=1,FV5+ACK5,FV5)=1,IF(AND($E5=2,IF($W5=1,AHZ5,LK5)=0),1000000000,IF($V5=1,INDEX('calcA'!$D$130:$EQ$169,$B5,73)+IF(AND($E5=1,LK5=0),25,0),IF($F5&gt;0,INDEX('calcA'!BX$110:BX$114,$F5+1)+IF(AND($E5=1,LK5=0),1000,0),MIN(TX5,20)*400+(IF('calcA'!BX$106=1,1-FW5,0))*150+14+'calcA'!BX$5*100000+IF(AND($E5=1,LK5=0),50000,0))+IF($H5=1,INDEX('calcA'!$D$180:$EQ$219,$B5,73)*4000,0)-IF(AND($U5=1,'calcA'!BX$117=1,FW5=0),2000,0))),1000000000))</f>
        <v/>
      </c>
      <c r="RA5">
        <f>IF($B5=0,1000000000,IF(INDEX('calcA'!$D$60:$EQ$99,$B5,74)*IF($W5=1,FW5+ACL5,FW5)=1,IF(AND($E5=2,IF($W5=1,AIA5,LL5)=0),1000000000,IF($V5=1,INDEX('calcA'!$D$130:$EQ$169,$B5,74)+IF(AND($E5=1,LL5=0),25,0),IF($F5&gt;0,INDEX('calcA'!BY$110:BY$114,$F5+1)+IF(AND($E5=1,LL5=0),1000,0),MIN(TX5,20)*400+(IF('calcA'!BX$106=1,1-FV5,0)+IF('calcA'!BY$106=1,1-FX5,0))*150+24+'calcA'!BY$5*100000+IF(AND($E5=1,LL5=0),50000,0))+IF($H5=1,INDEX('calcA'!$D$180:$EQ$219,$B5,74)*4000,0)-IF(AND('calcA'!BX$117=1,WV5&gt;0),2000,0)-IF(AND($U5=1,'calcA'!BY$117=1,FX5=0),2000,0))),1000000000))</f>
        <v/>
      </c>
      <c r="RB5">
        <f>IF($B5=0,1000000000,IF(INDEX('calcA'!$D$60:$EQ$99,$B5,75)*IF($W5=1,FX5+ACM5,FX5)=1,IF(AND($E5=2,IF($W5=1,AIB5,LM5)=0),1000000000,IF($V5=1,INDEX('calcA'!$D$130:$EQ$169,$B5,75)+IF(AND($E5=1,LM5=0),25,0),IF($F5&gt;0,INDEX('calcA'!BZ$110:BZ$114,$F5+1)+IF(AND($E5=1,LM5=0),1000,0),MIN(TX5,20)*400+(IF('calcA'!BY$106=1,1-FW5,0)+IF('calcA'!BZ$106=1,1-FY5,0))*150+34+'calcA'!BZ$5*100000+IF(AND($E5=1,LM5=0),50000,0))+IF($H5=1,INDEX('calcA'!$D$180:$EQ$219,$B5,75)*4000,0)-IF(AND('calcA'!BY$117=1,WW5&gt;0),2000,0)-IF(AND($U5=1,'calcA'!BZ$117=1,FY5=0),2000,0))),1000000000))</f>
        <v/>
      </c>
      <c r="RC5">
        <f>IF($B5=0,1000000000,IF(INDEX('calcA'!$D$60:$EQ$99,$B5,76)*IF($W5=1,FY5+ACN5,FY5)=1,IF(AND($E5=2,IF($W5=1,AIC5,LN5)=0),1000000000,IF($V5=1,INDEX('calcA'!$D$130:$EQ$169,$B5,76)+IF(AND($E5=1,LN5=0),25,0),IF($F5&gt;0,INDEX('calcA'!CA$110:CA$114,$F5+1)+IF(AND($E5=1,LN5=0),1000,0),MIN(TX5,20)*400+(IF('calcA'!BZ$106=1,1-FX5,0)+IF('calcA'!CA$106=1,1-FZ5,0))*150+44+'calcA'!CA$5*100000+IF(AND($E5=1,LN5=0),50000,0))+IF($H5=1,INDEX('calcA'!$D$180:$EQ$219,$B5,76)*4000,0)-IF(AND('calcA'!BZ$117=1,WX5&gt;0),2000,0)-IF(AND($U5=1,'calcA'!CA$117=1,FZ5=0),2000,0))),1000000000))</f>
        <v/>
      </c>
      <c r="RD5">
        <f>IF($B5=0,1000000000,IF(INDEX('calcA'!$D$60:$EQ$99,$B5,77)*IF($W5=1,FZ5+ACO5,FZ5)=1,IF(AND($E5=2,IF($W5=1,AID5,LO5)=0),1000000000,IF($V5=1,INDEX('calcA'!$D$130:$EQ$169,$B5,77)+IF(AND($E5=1,LO5=0),25,0),IF($F5&gt;0,INDEX('calcA'!CB$110:CB$114,$F5+1)+IF(AND($E5=1,LO5=0),1000,0),MIN(TX5,20)*400+(IF('calcA'!CA$106=1,1-FY5,0)+IF('calcA'!CB$106=1,1-GA5,0))*150+54+'calcA'!CB$5*100000+IF(AND($E5=1,LO5=0),50000,0))+IF($H5=1,INDEX('calcA'!$D$180:$EQ$219,$B5,77)*4000,0)-IF(AND('calcA'!CA$117=1,WY5&gt;0),2000,0)-IF(AND($U5=1,'calcA'!CB$117=1,GA5=0),2000,0))),1000000000))</f>
        <v/>
      </c>
      <c r="RE5">
        <f>IF($B5=0,1000000000,IF(INDEX('calcA'!$D$60:$EQ$99,$B5,78)*IF($W5=1,GA5+ACP5,GA5)=1,IF(AND($E5=2,IF($W5=1,AIE5,LP5)=0),1000000000,IF($V5=1,INDEX('calcA'!$D$130:$EQ$169,$B5,78)+IF(AND($E5=1,LP5=0),25,0),IF($F5&gt;0,INDEX('calcA'!CC$110:CC$114,$F5+1)+IF(AND($E5=1,LP5=0),1000,0),MIN(TX5,20)*400+(IF('calcA'!CB$106=1,1-FZ5,0)+IF('calcA'!CC$106=1,1-GB5,0))*150+64+'calcA'!CC$5*100000+IF(AND($E5=1,LP5=0),50000,0))+IF($H5=1,INDEX('calcA'!$D$180:$EQ$219,$B5,78)*4000,0)-IF(AND('calcA'!CB$117=1,WZ5&gt;0),2000,0)-IF(AND($U5=1,'calcA'!CC$117=1,GB5=0),2000,0))),1000000000))</f>
        <v/>
      </c>
      <c r="RF5">
        <f>IF($B5=0,1000000000,IF(INDEX('calcA'!$D$60:$EQ$99,$B5,79)*IF($W5=1,GB5+ACQ5,GB5)=1,IF(AND($E5=2,IF($W5=1,AIF5,LQ5)=0),1000000000,IF($V5=1,INDEX('calcA'!$D$130:$EQ$169,$B5,79)+IF(AND($E5=1,LQ5=0),25,0),IF($F5&gt;0,INDEX('calcA'!CD$110:CD$114,$F5+1)+IF(AND($E5=1,LQ5=0),1000,0),MIN(TX5,20)*400+(IF('calcA'!CC$106=1,1-GA5,0)+IF('calcA'!CD$106=1,1-GC5,0))*150+74+'calcA'!CD$5*100000+IF(AND($E5=1,LQ5=0),50000,0))+IF($H5=1,INDEX('calcA'!$D$180:$EQ$219,$B5,79)*4000,0)-IF(AND('calcA'!CC$117=1,XA5&gt;0),2000,0)-IF(AND($U5=1,'calcA'!CD$117=1,GC5=0),2000,0))),1000000000))</f>
        <v/>
      </c>
      <c r="RG5">
        <f>IF($B5=0,1000000000,IF(INDEX('calcA'!$D$60:$EQ$99,$B5,80)*IF($W5=1,GC5+ACR5,GC5)=1,IF(AND($E5=2,IF($W5=1,AIG5,LR5)=0),1000000000,IF($V5=1,INDEX('calcA'!$D$130:$EQ$169,$B5,80)+IF(AND($E5=1,LR5=0),25,0),IF($F5&gt;0,INDEX('calcA'!CE$110:CE$114,$F5+1)+IF(AND($E5=1,LR5=0),1000,0),MIN(TX5,20)*400+(IF('calcA'!CD$106=1,1-GB5,0)+IF('calcA'!CE$106=1,1-GD5,0))*150+84+'calcA'!CE$5*100000+IF(AND($E5=1,LR5=0),50000,0))+IF($H5=1,INDEX('calcA'!$D$180:$EQ$219,$B5,80)*4000,0)-IF(AND('calcA'!CD$117=1,XB5&gt;0),2000,0)-IF(AND($U5=1,'calcA'!CE$117=1,GD5=0),2000,0))),1000000000))</f>
        <v/>
      </c>
      <c r="RH5">
        <f>IF($B5=0,1000000000,IF(INDEX('calcA'!$D$60:$EQ$99,$B5,81)*IF($W5=1,GD5+ACS5,GD5)=1,IF(AND($E5=2,IF($W5=1,AIH5,LS5)=0),1000000000,IF($V5=1,INDEX('calcA'!$D$130:$EQ$169,$B5,81)+IF(AND($E5=1,LS5=0),25,0),IF($F5&gt;0,INDEX('calcA'!CF$110:CF$114,$F5+1)+IF(AND($E5=1,LS5=0),1000,0),MIN(TX5,20)*400+(IF('calcA'!CE$106=1,1-GC5,0)+IF('calcA'!CF$106=1,1-GE5,0))*150+94+'calcA'!CF$5*100000+IF(AND($E5=1,LS5=0),50000,0))+IF($H5=1,INDEX('calcA'!$D$180:$EQ$219,$B5,81)*4000,0)-IF(AND('calcA'!CE$117=1,XC5&gt;0),2000,0)-IF(AND($U5=1,'calcA'!CF$117=1,GE5=0),2000,0))),1000000000))</f>
        <v/>
      </c>
      <c r="RI5">
        <f>IF($B5=0,1000000000,IF(INDEX('calcA'!$D$60:$EQ$99,$B5,82)*IF($W5=1,GE5+ACT5,GE5)=1,IF(AND($E5=2,IF($W5=1,AII5,LT5)=0),1000000000,IF($V5=1,INDEX('calcA'!$D$130:$EQ$169,$B5,82)+IF(AND($E5=1,LT5=0),25,0),IF($F5&gt;0,INDEX('calcA'!CG$110:CG$114,$F5+1)+IF(AND($E5=1,LT5=0),1000,0),MIN(TX5,20)*400+(IF('calcA'!CF$106=1,1-GD5,0)+IF('calcA'!CG$106=1,1-GF5,0))*150+104+'calcA'!CG$5*100000+IF(AND($E5=1,LT5=0),50000,0))+IF($H5=1,INDEX('calcA'!$D$180:$EQ$219,$B5,82)*4000,0)-IF(AND('calcA'!CF$117=1,XD5&gt;0),2000,0)-IF(AND($U5=1,'calcA'!CG$117=1,GF5=0),2000,0))),1000000000))</f>
        <v/>
      </c>
      <c r="RJ5">
        <f>IF($B5=0,1000000000,IF(INDEX('calcA'!$D$60:$EQ$99,$B5,83)*IF($W5=1,GF5+ACU5,GF5)=1,IF(AND($E5=2,IF($W5=1,AIJ5,LU5)=0),1000000000,IF($V5=1,INDEX('calcA'!$D$130:$EQ$169,$B5,83)+IF(AND($E5=1,LU5=0),25,0),IF($F5&gt;0,INDEX('calcA'!CH$110:CH$114,$F5+1)+IF(AND($E5=1,LU5=0),1000,0),MIN(TX5,20)*400+(IF('calcA'!CG$106=1,1-GE5,0)+IF('calcA'!CH$106=1,1-GG5,0))*150+114+'calcA'!CH$5*100000+IF(AND($E5=1,LU5=0),50000,0))+IF($H5=1,INDEX('calcA'!$D$180:$EQ$219,$B5,83)*4000,0)-IF(AND('calcA'!CG$117=1,XE5&gt;0),2000,0)-IF(AND($U5=1,'calcA'!CH$117=1,GG5=0),2000,0))),1000000000))</f>
        <v/>
      </c>
      <c r="RK5">
        <f>IF($B5=0,1000000000,IF(INDEX('calcA'!$D$60:$EQ$99,$B5,84)*IF($W5=1,GG5+ACV5,GG5)=1,IF(AND($E5=2,IF($W5=1,AIK5,LV5)=0),1000000000,IF($V5=1,INDEX('calcA'!$D$130:$EQ$169,$B5,84)+IF(AND($E5=1,LV5=0),25,0),IF($F5&gt;0,INDEX('calcA'!CI$110:CI$114,$F5+1)+IF(AND($E5=1,LV5=0),1000,0),MIN(TX5,20)*400+(IF('calcA'!CH$106=1,1-GF5,0)+IF('calcA'!CI$106=1,1-GH5,0))*150+124+'calcA'!CI$5*100000+IF(AND($E5=1,LV5=0),50000,0))+IF($H5=1,INDEX('calcA'!$D$180:$EQ$219,$B5,84)*4000,0)-IF(AND('calcA'!CH$117=1,XF5&gt;0),2000,0)-IF(AND($U5=1,'calcA'!CI$117=1,GH5=0),2000,0))),1000000000))</f>
        <v/>
      </c>
      <c r="RL5">
        <f>IF($B5=0,1000000000,IF(INDEX('calcA'!$D$60:$EQ$99,$B5,85)*IF($W5=1,GH5+ACW5,GH5)=1,IF(AND($E5=2,IF($W5=1,AIL5,LW5)=0),1000000000,IF($V5=1,INDEX('calcA'!$D$130:$EQ$169,$B5,85)+IF(AND($E5=1,LW5=0),25,0),IF($F5&gt;0,INDEX('calcA'!CJ$110:CJ$114,$F5+1)+IF(AND($E5=1,LW5=0),1000,0),MIN(TX5,20)*400+(IF('calcA'!CI$106=1,1-GG5,0)+IF('calcA'!CJ$106=1,1-GI5,0))*150+134+'calcA'!CJ$5*100000+IF(AND($E5=1,LW5=0),50000,0))+IF($H5=1,INDEX('calcA'!$D$180:$EQ$219,$B5,85)*4000,0)-IF(AND('calcA'!CI$117=1,XG5&gt;0),2000,0)-IF(AND($U5=1,'calcA'!CJ$117=1,GI5=0),2000,0))),1000000000))</f>
        <v/>
      </c>
      <c r="RM5">
        <f>IF($B5=0,1000000000,IF(INDEX('calcA'!$D$60:$EQ$99,$B5,86)*IF($W5=1,GI5+ACX5,GI5)=1,IF(AND($E5=2,IF($W5=1,AIM5,LX5)=0),1000000000,IF($V5=1,INDEX('calcA'!$D$130:$EQ$169,$B5,86)+IF(AND($E5=1,LX5=0),25,0),IF($F5&gt;0,INDEX('calcA'!CK$110:CK$114,$F5+1)+IF(AND($E5=1,LX5=0),1000,0),MIN(TX5,20)*400+(IF('calcA'!CJ$106=1,1-GH5,0)+IF('calcA'!CK$106=1,1-GJ5,0))*150+144+'calcA'!CK$5*100000+IF(AND($E5=1,LX5=0),50000,0))+IF($H5=1,INDEX('calcA'!$D$180:$EQ$219,$B5,86)*4000,0)-IF(AND('calcA'!CJ$117=1,XH5&gt;0),2000,0)-IF(AND($U5=1,'calcA'!CK$117=1,GJ5=0),2000,0))),1000000000))</f>
        <v/>
      </c>
      <c r="RN5">
        <f>IF($B5=0,1000000000,IF(INDEX('calcA'!$D$60:$EQ$99,$B5,87)*IF($W5=1,GJ5+ACY5,GJ5)=1,IF(AND($E5=2,IF($W5=1,AIN5,LY5)=0),1000000000,IF($V5=1,INDEX('calcA'!$D$130:$EQ$169,$B5,87)+IF(AND($E5=1,LY5=0),25,0),IF($F5&gt;0,INDEX('calcA'!CL$110:CL$114,$F5+1)+IF(AND($E5=1,LY5=0),1000,0),MIN(TX5,20)*400+(IF('calcA'!CK$106=1,1-GI5,0)+IF('calcA'!CL$106=1,1-GK5,0))*150+154+'calcA'!CL$5*100000+IF(AND($E5=1,LY5=0),50000,0))+IF($H5=1,INDEX('calcA'!$D$180:$EQ$219,$B5,87)*4000,0)-IF(AND('calcA'!CK$117=1,XI5&gt;0),2000,0)-IF(AND($U5=1,'calcA'!CL$117=1,GK5=0),2000,0))),1000000000))</f>
        <v/>
      </c>
      <c r="RO5">
        <f>IF($B5=0,1000000000,IF(INDEX('calcA'!$D$60:$EQ$99,$B5,88)*IF($W5=1,GK5+ACZ5,GK5)=1,IF(AND($E5=2,IF($W5=1,AIO5,LZ5)=0),1000000000,IF($V5=1,INDEX('calcA'!$D$130:$EQ$169,$B5,88)+IF(AND($E5=1,LZ5=0),25,0),IF($F5&gt;0,INDEX('calcA'!CM$110:CM$114,$F5+1)+IF(AND($E5=1,LZ5=0),1000,0),MIN(TX5,20)*400+(IF('calcA'!CL$106=1,1-GJ5,0)+IF('calcA'!CM$106=1,1-GL5,0))*150+164+'calcA'!CM$5*100000+IF(AND($E5=1,LZ5=0),50000,0))+IF($H5=1,INDEX('calcA'!$D$180:$EQ$219,$B5,88)*4000,0)-IF(AND('calcA'!CL$117=1,XJ5&gt;0),2000,0)-IF(AND($U5=1,'calcA'!CM$117=1,GL5=0),2000,0))),1000000000))</f>
        <v/>
      </c>
      <c r="RP5">
        <f>IF($B5=0,1000000000,IF(INDEX('calcA'!$D$60:$EQ$99,$B5,89)*IF($W5=1,GL5+ADA5,GL5)=1,IF(AND($E5=2,IF($W5=1,AIP5,MA5)=0),1000000000,IF($V5=1,INDEX('calcA'!$D$130:$EQ$169,$B5,89)+IF(AND($E5=1,MA5=0),25,0),IF($F5&gt;0,INDEX('calcA'!CN$110:CN$114,$F5+1)+IF(AND($E5=1,MA5=0),1000,0),MIN(TX5,20)*400+(IF('calcA'!CM$106=1,1-GK5,0)+IF('calcA'!CN$106=1,1-GM5,0))*150+174+'calcA'!CN$5*100000+IF(AND($E5=1,MA5=0),50000,0))+IF($H5=1,INDEX('calcA'!$D$180:$EQ$219,$B5,89)*4000,0)-IF(AND('calcA'!CM$117=1,XK5&gt;0),2000,0)-IF(AND($U5=1,'calcA'!CN$117=1,GM5=0),2000,0))),1000000000))</f>
        <v/>
      </c>
      <c r="RQ5">
        <f>IF($B5=0,1000000000,IF(INDEX('calcA'!$D$60:$EQ$99,$B5,90)*IF($W5=1,GM5+ADB5,GM5)=1,IF(AND($E5=2,IF($W5=1,AIQ5,MB5)=0),1000000000,IF($V5=1,INDEX('calcA'!$D$130:$EQ$169,$B5,90)+IF(AND($E5=1,MB5=0),25,0),IF($F5&gt;0,INDEX('calcA'!CO$110:CO$114,$F5+1)+IF(AND($E5=1,MB5=0),1000,0),MIN(TX5,20)*400+(IF('calcA'!CN$106=1,1-GL5,0)+IF('calcA'!CO$106=1,1-GN5,0))*150+184+'calcA'!CO$5*100000+IF(AND($E5=1,MB5=0),50000,0))+IF($H5=1,INDEX('calcA'!$D$180:$EQ$219,$B5,90)*4000,0)-IF(AND('calcA'!CN$117=1,XL5&gt;0),2000,0)-IF(AND($U5=1,'calcA'!CO$117=1,GN5=0),2000,0))),1000000000))</f>
        <v/>
      </c>
      <c r="RR5">
        <f>IF($B5=0,1000000000,IF(INDEX('calcA'!$D$60:$EQ$99,$B5,91)*IF($W5=1,GN5+ADC5,GN5)=1,IF(AND($E5=2,IF($W5=1,AIR5,MC5)=0),1000000000,IF($V5=1,INDEX('calcA'!$D$130:$EQ$169,$B5,91)+IF(AND($E5=1,MC5=0),25,0),IF($F5&gt;0,INDEX('calcA'!CP$110:CP$114,$F5+1)+IF(AND($E5=1,MC5=0),1000,0),MIN(TX5,20)*400+(IF('calcA'!CO$106=1,1-GM5,0)+IF('calcA'!CP$106=1,1-GO5,0))*150+194+'calcA'!CP$5*100000+IF(AND($E5=1,MC5=0),50000,0))+IF($H5=1,INDEX('calcA'!$D$180:$EQ$219,$B5,91)*4000,0)-IF(AND('calcA'!CO$117=1,XM5&gt;0),2000,0)-IF(AND($U5=1,'calcA'!CP$117=1,GO5=0),2000,0))),1000000000))</f>
        <v/>
      </c>
      <c r="RS5">
        <f>IF($B5=0,1000000000,IF(INDEX('calcA'!$D$60:$EQ$99,$B5,92)*IF($W5=1,GO5+ADD5,GO5)=1,IF(AND($E5=2,IF($W5=1,AIS5,MD5)=0),1000000000,IF($V5=1,INDEX('calcA'!$D$130:$EQ$169,$B5,92)+IF(AND($E5=1,MD5=0),25,0),IF($F5&gt;0,INDEX('calcA'!CQ$110:CQ$114,$F5+1)+IF(AND($E5=1,MD5=0),1000,0),MIN(TX5,20)*400+(IF('calcA'!CP$106=1,1-GN5,0)+IF('calcA'!CQ$106=1,1-GP5,0))*150+204+'calcA'!CQ$5*100000+IF(AND($E5=1,MD5=0),50000,0))+IF($H5=1,INDEX('calcA'!$D$180:$EQ$219,$B5,92)*4000,0)-IF(AND('calcA'!CP$117=1,XN5&gt;0),2000,0)-IF(AND($U5=1,'calcA'!CQ$117=1,GP5=0),2000,0))),1000000000))</f>
        <v/>
      </c>
      <c r="RT5">
        <f>IF($B5=0,1000000000,IF(INDEX('calcA'!$D$60:$EQ$99,$B5,93)*IF($W5=1,GP5+ADE5,GP5)=1,IF(AND($E5=2,IF($W5=1,AIT5,ME5)=0),1000000000,IF($V5=1,INDEX('calcA'!$D$130:$EQ$169,$B5,93)+IF(AND($E5=1,ME5=0),25,0),IF($F5&gt;0,INDEX('calcA'!CR$110:CR$114,$F5+1)+IF(AND($E5=1,ME5=0),1000,0),MIN(TX5,20)*400+(IF('calcA'!CQ$106=1,1-GO5,0)+IF('calcA'!CR$106=1,1-GQ5,0))*150+214+'calcA'!CR$5*100000+IF(AND($E5=1,ME5=0),50000,0))+IF($H5=1,INDEX('calcA'!$D$180:$EQ$219,$B5,93)*4000,0)-IF(AND('calcA'!CQ$117=1,XO5&gt;0),2000,0)-IF(AND($U5=1,'calcA'!CR$117=1,GQ5=0),2000,0))),1000000000))</f>
        <v/>
      </c>
      <c r="RU5">
        <f>IF($B5=0,1000000000,IF(INDEX('calcA'!$D$60:$EQ$99,$B5,94)*IF($W5=1,GQ5+ADF5,GQ5)=1,IF(AND($E5=2,IF($W5=1,AIU5,MF5)=0),1000000000,IF($V5=1,INDEX('calcA'!$D$130:$EQ$169,$B5,94)+IF(AND($E5=1,MF5=0),25,0),IF($F5&gt;0,INDEX('calcA'!CS$110:CS$114,$F5+1)+IF(AND($E5=1,MF5=0),1000,0),MIN(TX5,20)*400+(IF('calcA'!CR$106=1,1-GP5,0)+IF('calcA'!CS$106=1,1-GR5,0))*150+224+'calcA'!CS$5*100000+IF(AND($E5=1,MF5=0),50000,0))+IF($H5=1,INDEX('calcA'!$D$180:$EQ$219,$B5,94)*4000,0)-IF(AND('calcA'!CR$117=1,XP5&gt;0),2000,0)-IF(AND($U5=1,'calcA'!CS$117=1,GR5=0),2000,0))),1000000000))</f>
        <v/>
      </c>
      <c r="RV5">
        <f>IF($B5=0,1000000000,IF(INDEX('calcA'!$D$60:$EQ$99,$B5,95)*IF($W5=1,GR5+ADG5,GR5)=1,IF(AND($E5=2,IF($W5=1,AIV5,MG5)=0),1000000000,IF($V5=1,INDEX('calcA'!$D$130:$EQ$169,$B5,95)+IF(AND($E5=1,MG5=0),25,0),IF($F5&gt;0,INDEX('calcA'!CT$110:CT$114,$F5+1)+IF(AND($E5=1,MG5=0),1000,0),MIN(TX5,20)*400+(IF('calcA'!CS$106=1,1-GQ5,0)+IF('calcA'!CT$106=1,1-GS5,0))*150+234+'calcA'!CT$5*100000+IF(AND($E5=1,MG5=0),50000,0))+IF($H5=1,INDEX('calcA'!$D$180:$EQ$219,$B5,95)*4000,0)-IF(AND('calcA'!CS$117=1,XQ5&gt;0),2000,0)-IF(AND($U5=1,'calcA'!CT$117=1,GS5=0),2000,0))),1000000000))</f>
        <v/>
      </c>
      <c r="RW5">
        <f>IF($B5=0,1000000000,IF(INDEX('calcA'!$D$60:$EQ$99,$B5,96)*IF($W5=1,GS5+ADH5,GS5)=1,IF(AND($E5=2,IF($W5=1,AIW5,MH5)=0),1000000000,IF($V5=1,INDEX('calcA'!$D$130:$EQ$169,$B5,96)+IF(AND($E5=1,MH5=0),25,0),IF($F5&gt;0,INDEX('calcA'!CU$110:CU$114,$F5+1)+IF(AND($E5=1,MH5=0),1000,0),MIN(TX5,20)*400+(IF('calcA'!CT$106=1,1-GR5,0))*150+244+'calcA'!CU$5*100000+IF(AND($E5=1,MH5=0),50000,0))+IF($H5=1,INDEX('calcA'!$D$180:$EQ$219,$B5,96)*4000,0)-IF(AND('calcA'!CT$117=1,XR5&gt;0),2000,0))),1000000000))</f>
        <v/>
      </c>
      <c r="RX5">
        <f>IF($B5=0,1000000000,IF(INDEX('calcA'!$D$60:$EQ$99,$B5,97)*IF($W5=1,GT5+ADI5,GT5)=1,IF(AND($E5=2,IF($W5=1,AIX5,MI5)=0),1000000000,IF($V5=1,INDEX('calcA'!$D$130:$EQ$169,$B5,97)+IF(AND($E5=1,MI5=0),25,0),IF($F5&gt;0,INDEX('calcA'!CV$110:CV$114,$F5+1)+IF(AND($E5=1,MI5=0),1000,0),MIN(TY5,20)*400+(IF('calcA'!CV$106=1,1-GU5,0))*150+15+'calcA'!CV$5*100000+IF(AND($E5=1,MI5=0),50000,0))+IF($H5=1,INDEX('calcA'!$D$180:$EQ$219,$B5,97)*4000,0)-IF(AND($U5=1,'calcA'!CV$117=1,GU5=0),2000,0))),1000000000))</f>
        <v/>
      </c>
      <c r="RY5">
        <f>IF($B5=0,1000000000,IF(INDEX('calcA'!$D$60:$EQ$99,$B5,98)*IF($W5=1,GU5+ADJ5,GU5)=1,IF(AND($E5=2,IF($W5=1,AIY5,MJ5)=0),1000000000,IF($V5=1,INDEX('calcA'!$D$130:$EQ$169,$B5,98)+IF(AND($E5=1,MJ5=0),25,0),IF($F5&gt;0,INDEX('calcA'!CW$110:CW$114,$F5+1)+IF(AND($E5=1,MJ5=0),1000,0),MIN(TY5,20)*400+(IF('calcA'!CV$106=1,1-GT5,0)+IF('calcA'!CW$106=1,1-GV5,0))*150+25+'calcA'!CW$5*100000+IF(AND($E5=1,MJ5=0),50000,0))+IF($H5=1,INDEX('calcA'!$D$180:$EQ$219,$B5,98)*4000,0)-IF(AND('calcA'!CV$117=1,XT5&gt;0),2000,0)-IF(AND($U5=1,'calcA'!CW$117=1,GV5=0),2000,0))),1000000000))</f>
        <v/>
      </c>
      <c r="RZ5">
        <f>IF($B5=0,1000000000,IF(INDEX('calcA'!$D$60:$EQ$99,$B5,99)*IF($W5=1,GV5+ADK5,GV5)=1,IF(AND($E5=2,IF($W5=1,AIZ5,MK5)=0),1000000000,IF($V5=1,INDEX('calcA'!$D$130:$EQ$169,$B5,99)+IF(AND($E5=1,MK5=0),25,0),IF($F5&gt;0,INDEX('calcA'!CX$110:CX$114,$F5+1)+IF(AND($E5=1,MK5=0),1000,0),MIN(TY5,20)*400+(IF('calcA'!CW$106=1,1-GU5,0)+IF('calcA'!CX$106=1,1-GW5,0))*150+35+'calcA'!CX$5*100000+IF(AND($E5=1,MK5=0),50000,0))+IF($H5=1,INDEX('calcA'!$D$180:$EQ$219,$B5,99)*4000,0)-IF(AND('calcA'!CW$117=1,XU5&gt;0),2000,0)-IF(AND($U5=1,'calcA'!CX$117=1,GW5=0),2000,0))),1000000000))</f>
        <v/>
      </c>
      <c r="SA5">
        <f>IF($B5=0,1000000000,IF(INDEX('calcA'!$D$60:$EQ$99,$B5,100)*IF($W5=1,GW5+ADL5,GW5)=1,IF(AND($E5=2,IF($W5=1,AJA5,ML5)=0),1000000000,IF($V5=1,INDEX('calcA'!$D$130:$EQ$169,$B5,100)+IF(AND($E5=1,ML5=0),25,0),IF($F5&gt;0,INDEX('calcA'!CY$110:CY$114,$F5+1)+IF(AND($E5=1,ML5=0),1000,0),MIN(TY5,20)*400+(IF('calcA'!CX$106=1,1-GV5,0)+IF('calcA'!CY$106=1,1-GX5,0))*150+45+'calcA'!CY$5*100000+IF(AND($E5=1,ML5=0),50000,0))+IF($H5=1,INDEX('calcA'!$D$180:$EQ$219,$B5,100)*4000,0)-IF(AND('calcA'!CX$117=1,XV5&gt;0),2000,0)-IF(AND($U5=1,'calcA'!CY$117=1,GX5=0),2000,0))),1000000000))</f>
        <v/>
      </c>
      <c r="SB5">
        <f>IF($B5=0,1000000000,IF(INDEX('calcA'!$D$60:$EQ$99,$B5,101)*IF($W5=1,GX5+ADM5,GX5)=1,IF(AND($E5=2,IF($W5=1,AJB5,MM5)=0),1000000000,IF($V5=1,INDEX('calcA'!$D$130:$EQ$169,$B5,101)+IF(AND($E5=1,MM5=0),25,0),IF($F5&gt;0,INDEX('calcA'!CZ$110:CZ$114,$F5+1)+IF(AND($E5=1,MM5=0),1000,0),MIN(TY5,20)*400+(IF('calcA'!CY$106=1,1-GW5,0)+IF('calcA'!CZ$106=1,1-GY5,0))*150+55+'calcA'!CZ$5*100000+IF(AND($E5=1,MM5=0),50000,0))+IF($H5=1,INDEX('calcA'!$D$180:$EQ$219,$B5,101)*4000,0)-IF(AND('calcA'!CY$117=1,XW5&gt;0),2000,0)-IF(AND($U5=1,'calcA'!CZ$117=1,GY5=0),2000,0))),1000000000))</f>
        <v/>
      </c>
      <c r="SC5">
        <f>IF($B5=0,1000000000,IF(INDEX('calcA'!$D$60:$EQ$99,$B5,102)*IF($W5=1,GY5+ADN5,GY5)=1,IF(AND($E5=2,IF($W5=1,AJC5,MN5)=0),1000000000,IF($V5=1,INDEX('calcA'!$D$130:$EQ$169,$B5,102)+IF(AND($E5=1,MN5=0),25,0),IF($F5&gt;0,INDEX('calcA'!DA$110:DA$114,$F5+1)+IF(AND($E5=1,MN5=0),1000,0),MIN(TY5,20)*400+(IF('calcA'!CZ$106=1,1-GX5,0)+IF('calcA'!DA$106=1,1-GZ5,0))*150+65+'calcA'!DA$5*100000+IF(AND($E5=1,MN5=0),50000,0))+IF($H5=1,INDEX('calcA'!$D$180:$EQ$219,$B5,102)*4000,0)-IF(AND('calcA'!CZ$117=1,XX5&gt;0),2000,0)-IF(AND($U5=1,'calcA'!DA$117=1,GZ5=0),2000,0))),1000000000))</f>
        <v/>
      </c>
      <c r="SD5">
        <f>IF($B5=0,1000000000,IF(INDEX('calcA'!$D$60:$EQ$99,$B5,103)*IF($W5=1,GZ5+ADO5,GZ5)=1,IF(AND($E5=2,IF($W5=1,AJD5,MO5)=0),1000000000,IF($V5=1,INDEX('calcA'!$D$130:$EQ$169,$B5,103)+IF(AND($E5=1,MO5=0),25,0),IF($F5&gt;0,INDEX('calcA'!DB$110:DB$114,$F5+1)+IF(AND($E5=1,MO5=0),1000,0),MIN(TY5,20)*400+(IF('calcA'!DA$106=1,1-GY5,0)+IF('calcA'!DB$106=1,1-HA5,0))*150+75+'calcA'!DB$5*100000+IF(AND($E5=1,MO5=0),50000,0))+IF($H5=1,INDEX('calcA'!$D$180:$EQ$219,$B5,103)*4000,0)-IF(AND('calcA'!DA$117=1,XY5&gt;0),2000,0)-IF(AND($U5=1,'calcA'!DB$117=1,HA5=0),2000,0))),1000000000))</f>
        <v/>
      </c>
      <c r="SE5">
        <f>IF($B5=0,1000000000,IF(INDEX('calcA'!$D$60:$EQ$99,$B5,104)*IF($W5=1,HA5+ADP5,HA5)=1,IF(AND($E5=2,IF($W5=1,AJE5,MP5)=0),1000000000,IF($V5=1,INDEX('calcA'!$D$130:$EQ$169,$B5,104)+IF(AND($E5=1,MP5=0),25,0),IF($F5&gt;0,INDEX('calcA'!DC$110:DC$114,$F5+1)+IF(AND($E5=1,MP5=0),1000,0),MIN(TY5,20)*400+(IF('calcA'!DB$106=1,1-GZ5,0)+IF('calcA'!DC$106=1,1-HB5,0))*150+85+'calcA'!DC$5*100000+IF(AND($E5=1,MP5=0),50000,0))+IF($H5=1,INDEX('calcA'!$D$180:$EQ$219,$B5,104)*4000,0)-IF(AND('calcA'!DB$117=1,XZ5&gt;0),2000,0)-IF(AND($U5=1,'calcA'!DC$117=1,HB5=0),2000,0))),1000000000))</f>
        <v/>
      </c>
      <c r="SF5">
        <f>IF($B5=0,1000000000,IF(INDEX('calcA'!$D$60:$EQ$99,$B5,105)*IF($W5=1,HB5+ADQ5,HB5)=1,IF(AND($E5=2,IF($W5=1,AJF5,MQ5)=0),1000000000,IF($V5=1,INDEX('calcA'!$D$130:$EQ$169,$B5,105)+IF(AND($E5=1,MQ5=0),25,0),IF($F5&gt;0,INDEX('calcA'!DD$110:DD$114,$F5+1)+IF(AND($E5=1,MQ5=0),1000,0),MIN(TY5,20)*400+(IF('calcA'!DC$106=1,1-HA5,0)+IF('calcA'!DD$106=1,1-HC5,0))*150+95+'calcA'!DD$5*100000+IF(AND($E5=1,MQ5=0),50000,0))+IF($H5=1,INDEX('calcA'!$D$180:$EQ$219,$B5,105)*4000,0)-IF(AND('calcA'!DC$117=1,YA5&gt;0),2000,0)-IF(AND($U5=1,'calcA'!DD$117=1,HC5=0),2000,0))),1000000000))</f>
        <v/>
      </c>
      <c r="SG5">
        <f>IF($B5=0,1000000000,IF(INDEX('calcA'!$D$60:$EQ$99,$B5,106)*IF($W5=1,HC5+ADR5,HC5)=1,IF(AND($E5=2,IF($W5=1,AJG5,MR5)=0),1000000000,IF($V5=1,INDEX('calcA'!$D$130:$EQ$169,$B5,106)+IF(AND($E5=1,MR5=0),25,0),IF($F5&gt;0,INDEX('calcA'!DE$110:DE$114,$F5+1)+IF(AND($E5=1,MR5=0),1000,0),MIN(TY5,20)*400+(IF('calcA'!DD$106=1,1-HB5,0)+IF('calcA'!DE$106=1,1-HD5,0))*150+105+'calcA'!DE$5*100000+IF(AND($E5=1,MR5=0),50000,0))+IF($H5=1,INDEX('calcA'!$D$180:$EQ$219,$B5,106)*4000,0)-IF(AND('calcA'!DD$117=1,YB5&gt;0),2000,0)-IF(AND($U5=1,'calcA'!DE$117=1,HD5=0),2000,0))),1000000000))</f>
        <v/>
      </c>
      <c r="SH5">
        <f>IF($B5=0,1000000000,IF(INDEX('calcA'!$D$60:$EQ$99,$B5,107)*IF($W5=1,HD5+ADS5,HD5)=1,IF(AND($E5=2,IF($W5=1,AJH5,MS5)=0),1000000000,IF($V5=1,INDEX('calcA'!$D$130:$EQ$169,$B5,107)+IF(AND($E5=1,MS5=0),25,0),IF($F5&gt;0,INDEX('calcA'!DF$110:DF$114,$F5+1)+IF(AND($E5=1,MS5=0),1000,0),MIN(TY5,20)*400+(IF('calcA'!DE$106=1,1-HC5,0)+IF('calcA'!DF$106=1,1-HE5,0))*150+115+'calcA'!DF$5*100000+IF(AND($E5=1,MS5=0),50000,0))+IF($H5=1,INDEX('calcA'!$D$180:$EQ$219,$B5,107)*4000,0)-IF(AND('calcA'!DE$117=1,YC5&gt;0),2000,0)-IF(AND($U5=1,'calcA'!DF$117=1,HE5=0),2000,0))),1000000000))</f>
        <v/>
      </c>
      <c r="SI5">
        <f>IF($B5=0,1000000000,IF(INDEX('calcA'!$D$60:$EQ$99,$B5,108)*IF($W5=1,HE5+ADT5,HE5)=1,IF(AND($E5=2,IF($W5=1,AJI5,MT5)=0),1000000000,IF($V5=1,INDEX('calcA'!$D$130:$EQ$169,$B5,108)+IF(AND($E5=1,MT5=0),25,0),IF($F5&gt;0,INDEX('calcA'!DG$110:DG$114,$F5+1)+IF(AND($E5=1,MT5=0),1000,0),MIN(TY5,20)*400+(IF('calcA'!DF$106=1,1-HD5,0)+IF('calcA'!DG$106=1,1-HF5,0))*150+125+'calcA'!DG$5*100000+IF(AND($E5=1,MT5=0),50000,0))+IF($H5=1,INDEX('calcA'!$D$180:$EQ$219,$B5,108)*4000,0)-IF(AND('calcA'!DF$117=1,YD5&gt;0),2000,0)-IF(AND($U5=1,'calcA'!DG$117=1,HF5=0),2000,0))),1000000000))</f>
        <v/>
      </c>
      <c r="SJ5">
        <f>IF($B5=0,1000000000,IF(INDEX('calcA'!$D$60:$EQ$99,$B5,109)*IF($W5=1,HF5+ADU5,HF5)=1,IF(AND($E5=2,IF($W5=1,AJJ5,MU5)=0),1000000000,IF($V5=1,INDEX('calcA'!$D$130:$EQ$169,$B5,109)+IF(AND($E5=1,MU5=0),25,0),IF($F5&gt;0,INDEX('calcA'!DH$110:DH$114,$F5+1)+IF(AND($E5=1,MU5=0),1000,0),MIN(TY5,20)*400+(IF('calcA'!DG$106=1,1-HE5,0)+IF('calcA'!DH$106=1,1-HG5,0))*150+135+'calcA'!DH$5*100000+IF(AND($E5=1,MU5=0),50000,0))+IF($H5=1,INDEX('calcA'!$D$180:$EQ$219,$B5,109)*4000,0)-IF(AND('calcA'!DG$117=1,YE5&gt;0),2000,0)-IF(AND($U5=1,'calcA'!DH$117=1,HG5=0),2000,0))),1000000000))</f>
        <v/>
      </c>
      <c r="SK5">
        <f>IF($B5=0,1000000000,IF(INDEX('calcA'!$D$60:$EQ$99,$B5,110)*IF($W5=1,HG5+ADV5,HG5)=1,IF(AND($E5=2,IF($W5=1,AJK5,MV5)=0),1000000000,IF($V5=1,INDEX('calcA'!$D$130:$EQ$169,$B5,110)+IF(AND($E5=1,MV5=0),25,0),IF($F5&gt;0,INDEX('calcA'!DI$110:DI$114,$F5+1)+IF(AND($E5=1,MV5=0),1000,0),MIN(TY5,20)*400+(IF('calcA'!DH$106=1,1-HF5,0)+IF('calcA'!DI$106=1,1-HH5,0))*150+145+'calcA'!DI$5*100000+IF(AND($E5=1,MV5=0),50000,0))+IF($H5=1,INDEX('calcA'!$D$180:$EQ$219,$B5,110)*4000,0)-IF(AND('calcA'!DH$117=1,YF5&gt;0),2000,0)-IF(AND($U5=1,'calcA'!DI$117=1,HH5=0),2000,0))),1000000000))</f>
        <v/>
      </c>
      <c r="SL5">
        <f>IF($B5=0,1000000000,IF(INDEX('calcA'!$D$60:$EQ$99,$B5,111)*IF($W5=1,HH5+ADW5,HH5)=1,IF(AND($E5=2,IF($W5=1,AJL5,MW5)=0),1000000000,IF($V5=1,INDEX('calcA'!$D$130:$EQ$169,$B5,111)+IF(AND($E5=1,MW5=0),25,0),IF($F5&gt;0,INDEX('calcA'!DJ$110:DJ$114,$F5+1)+IF(AND($E5=1,MW5=0),1000,0),MIN(TY5,20)*400+(IF('calcA'!DI$106=1,1-HG5,0)+IF('calcA'!DJ$106=1,1-HI5,0))*150+155+'calcA'!DJ$5*100000+IF(AND($E5=1,MW5=0),50000,0))+IF($H5=1,INDEX('calcA'!$D$180:$EQ$219,$B5,111)*4000,0)-IF(AND('calcA'!DI$117=1,YG5&gt;0),2000,0)-IF(AND($U5=1,'calcA'!DJ$117=1,HI5=0),2000,0))),1000000000))</f>
        <v/>
      </c>
      <c r="SM5">
        <f>IF($B5=0,1000000000,IF(INDEX('calcA'!$D$60:$EQ$99,$B5,112)*IF($W5=1,HI5+ADX5,HI5)=1,IF(AND($E5=2,IF($W5=1,AJM5,MX5)=0),1000000000,IF($V5=1,INDEX('calcA'!$D$130:$EQ$169,$B5,112)+IF(AND($E5=1,MX5=0),25,0),IF($F5&gt;0,INDEX('calcA'!DK$110:DK$114,$F5+1)+IF(AND($E5=1,MX5=0),1000,0),MIN(TY5,20)*400+(IF('calcA'!DJ$106=1,1-HH5,0)+IF('calcA'!DK$106=1,1-HJ5,0))*150+165+'calcA'!DK$5*100000+IF(AND($E5=1,MX5=0),50000,0))+IF($H5=1,INDEX('calcA'!$D$180:$EQ$219,$B5,112)*4000,0)-IF(AND('calcA'!DJ$117=1,YH5&gt;0),2000,0)-IF(AND($U5=1,'calcA'!DK$117=1,HJ5=0),2000,0))),1000000000))</f>
        <v/>
      </c>
      <c r="SN5">
        <f>IF($B5=0,1000000000,IF(INDEX('calcA'!$D$60:$EQ$99,$B5,113)*IF($W5=1,HJ5+ADY5,HJ5)=1,IF(AND($E5=2,IF($W5=1,AJN5,MY5)=0),1000000000,IF($V5=1,INDEX('calcA'!$D$130:$EQ$169,$B5,113)+IF(AND($E5=1,MY5=0),25,0),IF($F5&gt;0,INDEX('calcA'!DL$110:DL$114,$F5+1)+IF(AND($E5=1,MY5=0),1000,0),MIN(TY5,20)*400+(IF('calcA'!DK$106=1,1-HI5,0)+IF('calcA'!DL$106=1,1-HK5,0))*150+175+'calcA'!DL$5*100000+IF(AND($E5=1,MY5=0),50000,0))+IF($H5=1,INDEX('calcA'!$D$180:$EQ$219,$B5,113)*4000,0)-IF(AND('calcA'!DK$117=1,YI5&gt;0),2000,0)-IF(AND($U5=1,'calcA'!DL$117=1,HK5=0),2000,0))),1000000000))</f>
        <v/>
      </c>
      <c r="SO5">
        <f>IF($B5=0,1000000000,IF(INDEX('calcA'!$D$60:$EQ$99,$B5,114)*IF($W5=1,HK5+ADZ5,HK5)=1,IF(AND($E5=2,IF($W5=1,AJO5,MZ5)=0),1000000000,IF($V5=1,INDEX('calcA'!$D$130:$EQ$169,$B5,114)+IF(AND($E5=1,MZ5=0),25,0),IF($F5&gt;0,INDEX('calcA'!DM$110:DM$114,$F5+1)+IF(AND($E5=1,MZ5=0),1000,0),MIN(TY5,20)*400+(IF('calcA'!DL$106=1,1-HJ5,0)+IF('calcA'!DM$106=1,1-HL5,0))*150+185+'calcA'!DM$5*100000+IF(AND($E5=1,MZ5=0),50000,0))+IF($H5=1,INDEX('calcA'!$D$180:$EQ$219,$B5,114)*4000,0)-IF(AND('calcA'!DL$117=1,YJ5&gt;0),2000,0)-IF(AND($U5=1,'calcA'!DM$117=1,HL5=0),2000,0))),1000000000))</f>
        <v/>
      </c>
      <c r="SP5">
        <f>IF($B5=0,1000000000,IF(INDEX('calcA'!$D$60:$EQ$99,$B5,115)*IF($W5=1,HL5+AEA5,HL5)=1,IF(AND($E5=2,IF($W5=1,AJP5,NA5)=0),1000000000,IF($V5=1,INDEX('calcA'!$D$130:$EQ$169,$B5,115)+IF(AND($E5=1,NA5=0),25,0),IF($F5&gt;0,INDEX('calcA'!DN$110:DN$114,$F5+1)+IF(AND($E5=1,NA5=0),1000,0),MIN(TY5,20)*400+(IF('calcA'!DM$106=1,1-HK5,0)+IF('calcA'!DN$106=1,1-HM5,0))*150+195+'calcA'!DN$5*100000+IF(AND($E5=1,NA5=0),50000,0))+IF($H5=1,INDEX('calcA'!$D$180:$EQ$219,$B5,115)*4000,0)-IF(AND('calcA'!DM$117=1,YK5&gt;0),2000,0)-IF(AND($U5=1,'calcA'!DN$117=1,HM5=0),2000,0))),1000000000))</f>
        <v/>
      </c>
      <c r="SQ5">
        <f>IF($B5=0,1000000000,IF(INDEX('calcA'!$D$60:$EQ$99,$B5,116)*IF($W5=1,HM5+AEB5,HM5)=1,IF(AND($E5=2,IF($W5=1,AJQ5,NB5)=0),1000000000,IF($V5=1,INDEX('calcA'!$D$130:$EQ$169,$B5,116)+IF(AND($E5=1,NB5=0),25,0),IF($F5&gt;0,INDEX('calcA'!DO$110:DO$114,$F5+1)+IF(AND($E5=1,NB5=0),1000,0),MIN(TY5,20)*400+(IF('calcA'!DN$106=1,1-HL5,0)+IF('calcA'!DO$106=1,1-HN5,0))*150+205+'calcA'!DO$5*100000+IF(AND($E5=1,NB5=0),50000,0))+IF($H5=1,INDEX('calcA'!$D$180:$EQ$219,$B5,116)*4000,0)-IF(AND('calcA'!DN$117=1,YL5&gt;0),2000,0)-IF(AND($U5=1,'calcA'!DO$117=1,HN5=0),2000,0))),1000000000))</f>
        <v/>
      </c>
      <c r="SR5">
        <f>IF($B5=0,1000000000,IF(INDEX('calcA'!$D$60:$EQ$99,$B5,117)*IF($W5=1,HN5+AEC5,HN5)=1,IF(AND($E5=2,IF($W5=1,AJR5,NC5)=0),1000000000,IF($V5=1,INDEX('calcA'!$D$130:$EQ$169,$B5,117)+IF(AND($E5=1,NC5=0),25,0),IF($F5&gt;0,INDEX('calcA'!DP$110:DP$114,$F5+1)+IF(AND($E5=1,NC5=0),1000,0),MIN(TY5,20)*400+(IF('calcA'!DO$106=1,1-HM5,0)+IF('calcA'!DP$106=1,1-HO5,0))*150+215+'calcA'!DP$5*100000+IF(AND($E5=1,NC5=0),50000,0))+IF($H5=1,INDEX('calcA'!$D$180:$EQ$219,$B5,117)*4000,0)-IF(AND('calcA'!DO$117=1,YM5&gt;0),2000,0)-IF(AND($U5=1,'calcA'!DP$117=1,HO5=0),2000,0))),1000000000))</f>
        <v/>
      </c>
      <c r="SS5">
        <f>IF($B5=0,1000000000,IF(INDEX('calcA'!$D$60:$EQ$99,$B5,118)*IF($W5=1,HO5+AED5,HO5)=1,IF(AND($E5=2,IF($W5=1,AJS5,ND5)=0),1000000000,IF($V5=1,INDEX('calcA'!$D$130:$EQ$169,$B5,118)+IF(AND($E5=1,ND5=0),25,0),IF($F5&gt;0,INDEX('calcA'!DQ$110:DQ$114,$F5+1)+IF(AND($E5=1,ND5=0),1000,0),MIN(TY5,20)*400+(IF('calcA'!DP$106=1,1-HN5,0)+IF('calcA'!DQ$106=1,1-HP5,0))*150+225+'calcA'!DQ$5*100000+IF(AND($E5=1,ND5=0),50000,0))+IF($H5=1,INDEX('calcA'!$D$180:$EQ$219,$B5,118)*4000,0)-IF(AND('calcA'!DP$117=1,YN5&gt;0),2000,0)-IF(AND($U5=1,'calcA'!DQ$117=1,HP5=0),2000,0))),1000000000))</f>
        <v/>
      </c>
      <c r="ST5">
        <f>IF($B5=0,1000000000,IF(INDEX('calcA'!$D$60:$EQ$99,$B5,119)*IF($W5=1,HP5+AEE5,HP5)=1,IF(AND($E5=2,IF($W5=1,AJT5,NE5)=0),1000000000,IF($V5=1,INDEX('calcA'!$D$130:$EQ$169,$B5,119)+IF(AND($E5=1,NE5=0),25,0),IF($F5&gt;0,INDEX('calcA'!DR$110:DR$114,$F5+1)+IF(AND($E5=1,NE5=0),1000,0),MIN(TY5,20)*400+(IF('calcA'!DQ$106=1,1-HO5,0)+IF('calcA'!DR$106=1,1-HQ5,0))*150+235+'calcA'!DR$5*100000+IF(AND($E5=1,NE5=0),50000,0))+IF($H5=1,INDEX('calcA'!$D$180:$EQ$219,$B5,119)*4000,0)-IF(AND('calcA'!DQ$117=1,YO5&gt;0),2000,0)-IF(AND($U5=1,'calcA'!DR$117=1,HQ5=0),2000,0))),1000000000))</f>
        <v/>
      </c>
      <c r="SU5">
        <f>IF($B5=0,1000000000,IF(INDEX('calcA'!$D$60:$EQ$99,$B5,120)*IF($W5=1,HQ5+AEF5,HQ5)=1,IF(AND($E5=2,IF($W5=1,AJU5,NF5)=0),1000000000,IF($V5=1,INDEX('calcA'!$D$130:$EQ$169,$B5,120)+IF(AND($E5=1,NF5=0),25,0),IF($F5&gt;0,INDEX('calcA'!DS$110:DS$114,$F5+1)+IF(AND($E5=1,NF5=0),1000,0),MIN(TY5,20)*400+(IF('calcA'!DR$106=1,1-HP5,0))*150+245+'calcA'!DS$5*100000+IF(AND($E5=1,NF5=0),50000,0))+IF($H5=1,INDEX('calcA'!$D$180:$EQ$219,$B5,120)*4000,0)-IF(AND('calcA'!DR$117=1,YP5&gt;0),2000,0))),1000000000))</f>
        <v/>
      </c>
      <c r="SV5">
        <f>IF($B5=0,1000000000,IF(INDEX('calcA'!$D$60:$EQ$99,$B5,121)*IF($W5=1,HR5+AEG5,HR5)=1,IF(AND($E5=2,IF($W5=1,AJV5,NG5)=0),1000000000,IF($V5=1,INDEX('calcA'!$D$130:$EQ$169,$B5,121)+IF(AND($E5=1,NG5=0),25,0),IF($F5&gt;0,INDEX('calcA'!DT$110:DT$114,$F5+1)+IF(AND($E5=1,NG5=0),1000,0),MIN(TZ5,20)*400+(IF('calcA'!DT$106=1,1-HS5,0))*150+16+'calcA'!DT$5*100000+IF(AND($E5=1,NG5=0),50000,0))+IF($H5=1,INDEX('calcA'!$D$180:$EQ$219,$B5,121)*4000,0)-IF(AND($U5=1,'calcA'!DT$117=1,HS5=0),2000,0))),1000000000))</f>
        <v/>
      </c>
      <c r="SW5">
        <f>IF($B5=0,1000000000,IF(INDEX('calcA'!$D$60:$EQ$99,$B5,122)*IF($W5=1,HS5+AEH5,HS5)=1,IF(AND($E5=2,IF($W5=1,AJW5,NH5)=0),1000000000,IF($V5=1,INDEX('calcA'!$D$130:$EQ$169,$B5,122)+IF(AND($E5=1,NH5=0),25,0),IF($F5&gt;0,INDEX('calcA'!DU$110:DU$114,$F5+1)+IF(AND($E5=1,NH5=0),1000,0),MIN(TZ5,20)*400+(IF('calcA'!DT$106=1,1-HR5,0)+IF('calcA'!DU$106=1,1-HT5,0))*150+26+'calcA'!DU$5*100000+IF(AND($E5=1,NH5=0),50000,0))+IF($H5=1,INDEX('calcA'!$D$180:$EQ$219,$B5,122)*4000,0)-IF(AND('calcA'!DT$117=1,YR5&gt;0),2000,0)-IF(AND($U5=1,'calcA'!DU$117=1,HT5=0),2000,0))),1000000000))</f>
        <v/>
      </c>
      <c r="SX5">
        <f>IF($B5=0,1000000000,IF(INDEX('calcA'!$D$60:$EQ$99,$B5,123)*IF($W5=1,HT5+AEI5,HT5)=1,IF(AND($E5=2,IF($W5=1,AJX5,NI5)=0),1000000000,IF($V5=1,INDEX('calcA'!$D$130:$EQ$169,$B5,123)+IF(AND($E5=1,NI5=0),25,0),IF($F5&gt;0,INDEX('calcA'!DV$110:DV$114,$F5+1)+IF(AND($E5=1,NI5=0),1000,0),MIN(TZ5,20)*400+(IF('calcA'!DU$106=1,1-HS5,0)+IF('calcA'!DV$106=1,1-HU5,0))*150+36+'calcA'!DV$5*100000+IF(AND($E5=1,NI5=0),50000,0))+IF($H5=1,INDEX('calcA'!$D$180:$EQ$219,$B5,123)*4000,0)-IF(AND('calcA'!DU$117=1,YS5&gt;0),2000,0)-IF(AND($U5=1,'calcA'!DV$117=1,HU5=0),2000,0))),1000000000))</f>
        <v/>
      </c>
      <c r="SY5">
        <f>IF($B5=0,1000000000,IF(INDEX('calcA'!$D$60:$EQ$99,$B5,124)*IF($W5=1,HU5+AEJ5,HU5)=1,IF(AND($E5=2,IF($W5=1,AJY5,NJ5)=0),1000000000,IF($V5=1,INDEX('calcA'!$D$130:$EQ$169,$B5,124)+IF(AND($E5=1,NJ5=0),25,0),IF($F5&gt;0,INDEX('calcA'!DW$110:DW$114,$F5+1)+IF(AND($E5=1,NJ5=0),1000,0),MIN(TZ5,20)*400+(IF('calcA'!DV$106=1,1-HT5,0)+IF('calcA'!DW$106=1,1-HV5,0))*150+46+'calcA'!DW$5*100000+IF(AND($E5=1,NJ5=0),50000,0))+IF($H5=1,INDEX('calcA'!$D$180:$EQ$219,$B5,124)*4000,0)-IF(AND('calcA'!DV$117=1,YT5&gt;0),2000,0)-IF(AND($U5=1,'calcA'!DW$117=1,HV5=0),2000,0))),1000000000))</f>
        <v/>
      </c>
      <c r="SZ5">
        <f>IF($B5=0,1000000000,IF(INDEX('calcA'!$D$60:$EQ$99,$B5,125)*IF($W5=1,HV5+AEK5,HV5)=1,IF(AND($E5=2,IF($W5=1,AJZ5,NK5)=0),1000000000,IF($V5=1,INDEX('calcA'!$D$130:$EQ$169,$B5,125)+IF(AND($E5=1,NK5=0),25,0),IF($F5&gt;0,INDEX('calcA'!DX$110:DX$114,$F5+1)+IF(AND($E5=1,NK5=0),1000,0),MIN(TZ5,20)*400+(IF('calcA'!DW$106=1,1-HU5,0)+IF('calcA'!DX$106=1,1-HW5,0))*150+56+'calcA'!DX$5*100000+IF(AND($E5=1,NK5=0),50000,0))+IF($H5=1,INDEX('calcA'!$D$180:$EQ$219,$B5,125)*4000,0)-IF(AND('calcA'!DW$117=1,YU5&gt;0),2000,0)-IF(AND($U5=1,'calcA'!DX$117=1,HW5=0),2000,0))),1000000000))</f>
        <v/>
      </c>
      <c r="TA5">
        <f>IF($B5=0,1000000000,IF(INDEX('calcA'!$D$60:$EQ$99,$B5,126)*IF($W5=1,HW5+AEL5,HW5)=1,IF(AND($E5=2,IF($W5=1,AKA5,NL5)=0),1000000000,IF($V5=1,INDEX('calcA'!$D$130:$EQ$169,$B5,126)+IF(AND($E5=1,NL5=0),25,0),IF($F5&gt;0,INDEX('calcA'!DY$110:DY$114,$F5+1)+IF(AND($E5=1,NL5=0),1000,0),MIN(TZ5,20)*400+(IF('calcA'!DX$106=1,1-HV5,0)+IF('calcA'!DY$106=1,1-HX5,0))*150+66+'calcA'!DY$5*100000+IF(AND($E5=1,NL5=0),50000,0))+IF($H5=1,INDEX('calcA'!$D$180:$EQ$219,$B5,126)*4000,0)-IF(AND('calcA'!DX$117=1,YV5&gt;0),2000,0)-IF(AND($U5=1,'calcA'!DY$117=1,HX5=0),2000,0))),1000000000))</f>
        <v/>
      </c>
      <c r="TB5">
        <f>IF($B5=0,1000000000,IF(INDEX('calcA'!$D$60:$EQ$99,$B5,127)*IF($W5=1,HX5+AEM5,HX5)=1,IF(AND($E5=2,IF($W5=1,AKB5,NM5)=0),1000000000,IF($V5=1,INDEX('calcA'!$D$130:$EQ$169,$B5,127)+IF(AND($E5=1,NM5=0),25,0),IF($F5&gt;0,INDEX('calcA'!DZ$110:DZ$114,$F5+1)+IF(AND($E5=1,NM5=0),1000,0),MIN(TZ5,20)*400+(IF('calcA'!DY$106=1,1-HW5,0)+IF('calcA'!DZ$106=1,1-HY5,0))*150+76+'calcA'!DZ$5*100000+IF(AND($E5=1,NM5=0),50000,0))+IF($H5=1,INDEX('calcA'!$D$180:$EQ$219,$B5,127)*4000,0)-IF(AND('calcA'!DY$117=1,YW5&gt;0),2000,0)-IF(AND($U5=1,'calcA'!DZ$117=1,HY5=0),2000,0))),1000000000))</f>
        <v/>
      </c>
      <c r="TC5">
        <f>IF($B5=0,1000000000,IF(INDEX('calcA'!$D$60:$EQ$99,$B5,128)*IF($W5=1,HY5+AEN5,HY5)=1,IF(AND($E5=2,IF($W5=1,AKC5,NN5)=0),1000000000,IF($V5=1,INDEX('calcA'!$D$130:$EQ$169,$B5,128)+IF(AND($E5=1,NN5=0),25,0),IF($F5&gt;0,INDEX('calcA'!EA$110:EA$114,$F5+1)+IF(AND($E5=1,NN5=0),1000,0),MIN(TZ5,20)*400+(IF('calcA'!DZ$106=1,1-HX5,0)+IF('calcA'!EA$106=1,1-HZ5,0))*150+86+'calcA'!EA$5*100000+IF(AND($E5=1,NN5=0),50000,0))+IF($H5=1,INDEX('calcA'!$D$180:$EQ$219,$B5,128)*4000,0)-IF(AND('calcA'!DZ$117=1,YX5&gt;0),2000,0)-IF(AND($U5=1,'calcA'!EA$117=1,HZ5=0),2000,0))),1000000000))</f>
        <v/>
      </c>
      <c r="TD5">
        <f>IF($B5=0,1000000000,IF(INDEX('calcA'!$D$60:$EQ$99,$B5,129)*IF($W5=1,HZ5+AEO5,HZ5)=1,IF(AND($E5=2,IF($W5=1,AKD5,NO5)=0),1000000000,IF($V5=1,INDEX('calcA'!$D$130:$EQ$169,$B5,129)+IF(AND($E5=1,NO5=0),25,0),IF($F5&gt;0,INDEX('calcA'!EB$110:EB$114,$F5+1)+IF(AND($E5=1,NO5=0),1000,0),MIN(TZ5,20)*400+(IF('calcA'!EA$106=1,1-HY5,0)+IF('calcA'!EB$106=1,1-IA5,0))*150+96+'calcA'!EB$5*100000+IF(AND($E5=1,NO5=0),50000,0))+IF($H5=1,INDEX('calcA'!$D$180:$EQ$219,$B5,129)*4000,0)-IF(AND('calcA'!EA$117=1,YY5&gt;0),2000,0)-IF(AND($U5=1,'calcA'!EB$117=1,IA5=0),2000,0))),1000000000))</f>
        <v/>
      </c>
      <c r="TE5">
        <f>IF($B5=0,1000000000,IF(INDEX('calcA'!$D$60:$EQ$99,$B5,130)*IF($W5=1,IA5+AEP5,IA5)=1,IF(AND($E5=2,IF($W5=1,AKE5,NP5)=0),1000000000,IF($V5=1,INDEX('calcA'!$D$130:$EQ$169,$B5,130)+IF(AND($E5=1,NP5=0),25,0),IF($F5&gt;0,INDEX('calcA'!EC$110:EC$114,$F5+1)+IF(AND($E5=1,NP5=0),1000,0),MIN(TZ5,20)*400+(IF('calcA'!EB$106=1,1-HZ5,0)+IF('calcA'!EC$106=1,1-IB5,0))*150+106+'calcA'!EC$5*100000+IF(AND($E5=1,NP5=0),50000,0))+IF($H5=1,INDEX('calcA'!$D$180:$EQ$219,$B5,130)*4000,0)-IF(AND('calcA'!EB$117=1,YZ5&gt;0),2000,0)-IF(AND($U5=1,'calcA'!EC$117=1,IB5=0),2000,0))),1000000000))</f>
        <v/>
      </c>
      <c r="TF5">
        <f>IF($B5=0,1000000000,IF(INDEX('calcA'!$D$60:$EQ$99,$B5,131)*IF($W5=1,IB5+AEQ5,IB5)=1,IF(AND($E5=2,IF($W5=1,AKF5,NQ5)=0),1000000000,IF($V5=1,INDEX('calcA'!$D$130:$EQ$169,$B5,131)+IF(AND($E5=1,NQ5=0),25,0),IF($F5&gt;0,INDEX('calcA'!ED$110:ED$114,$F5+1)+IF(AND($E5=1,NQ5=0),1000,0),MIN(TZ5,20)*400+(IF('calcA'!EC$106=1,1-IA5,0)+IF('calcA'!ED$106=1,1-IC5,0))*150+116+'calcA'!ED$5*100000+IF(AND($E5=1,NQ5=0),50000,0))+IF($H5=1,INDEX('calcA'!$D$180:$EQ$219,$B5,131)*4000,0)-IF(AND('calcA'!EC$117=1,ZA5&gt;0),2000,0)-IF(AND($U5=1,'calcA'!ED$117=1,IC5=0),2000,0))),1000000000))</f>
        <v/>
      </c>
      <c r="TG5">
        <f>IF($B5=0,1000000000,IF(INDEX('calcA'!$D$60:$EQ$99,$B5,132)*IF($W5=1,IC5+AER5,IC5)=1,IF(AND($E5=2,IF($W5=1,AKG5,NR5)=0),1000000000,IF($V5=1,INDEX('calcA'!$D$130:$EQ$169,$B5,132)+IF(AND($E5=1,NR5=0),25,0),IF($F5&gt;0,INDEX('calcA'!EE$110:EE$114,$F5+1)+IF(AND($E5=1,NR5=0),1000,0),MIN(TZ5,20)*400+(IF('calcA'!ED$106=1,1-IB5,0)+IF('calcA'!EE$106=1,1-ID5,0))*150+126+'calcA'!EE$5*100000+IF(AND($E5=1,NR5=0),50000,0))+IF($H5=1,INDEX('calcA'!$D$180:$EQ$219,$B5,132)*4000,0)-IF(AND('calcA'!ED$117=1,ZB5&gt;0),2000,0)-IF(AND($U5=1,'calcA'!EE$117=1,ID5=0),2000,0))),1000000000))</f>
        <v/>
      </c>
      <c r="TH5">
        <f>IF($B5=0,1000000000,IF(INDEX('calcA'!$D$60:$EQ$99,$B5,133)*IF($W5=1,ID5+AES5,ID5)=1,IF(AND($E5=2,IF($W5=1,AKH5,NS5)=0),1000000000,IF($V5=1,INDEX('calcA'!$D$130:$EQ$169,$B5,133)+IF(AND($E5=1,NS5=0),25,0),IF($F5&gt;0,INDEX('calcA'!EF$110:EF$114,$F5+1)+IF(AND($E5=1,NS5=0),1000,0),MIN(TZ5,20)*400+(IF('calcA'!EE$106=1,1-IC5,0)+IF('calcA'!EF$106=1,1-IE5,0))*150+136+'calcA'!EF$5*100000+IF(AND($E5=1,NS5=0),50000,0))+IF($H5=1,INDEX('calcA'!$D$180:$EQ$219,$B5,133)*4000,0)-IF(AND('calcA'!EE$117=1,ZC5&gt;0),2000,0)-IF(AND($U5=1,'calcA'!EF$117=1,IE5=0),2000,0))),1000000000))</f>
        <v/>
      </c>
      <c r="TI5">
        <f>IF($B5=0,1000000000,IF(INDEX('calcA'!$D$60:$EQ$99,$B5,134)*IF($W5=1,IE5+AET5,IE5)=1,IF(AND($E5=2,IF($W5=1,AKI5,NT5)=0),1000000000,IF($V5=1,INDEX('calcA'!$D$130:$EQ$169,$B5,134)+IF(AND($E5=1,NT5=0),25,0),IF($F5&gt;0,INDEX('calcA'!EG$110:EG$114,$F5+1)+IF(AND($E5=1,NT5=0),1000,0),MIN(TZ5,20)*400+(IF('calcA'!EF$106=1,1-ID5,0)+IF('calcA'!EG$106=1,1-IF5,0))*150+146+'calcA'!EG$5*100000+IF(AND($E5=1,NT5=0),50000,0))+IF($H5=1,INDEX('calcA'!$D$180:$EQ$219,$B5,134)*4000,0)-IF(AND('calcA'!EF$117=1,ZD5&gt;0),2000,0)-IF(AND($U5=1,'calcA'!EG$117=1,IF5=0),2000,0))),1000000000))</f>
        <v/>
      </c>
      <c r="TJ5">
        <f>IF($B5=0,1000000000,IF(INDEX('calcA'!$D$60:$EQ$99,$B5,135)*IF($W5=1,IF5+AEU5,IF5)=1,IF(AND($E5=2,IF($W5=1,AKJ5,NU5)=0),1000000000,IF($V5=1,INDEX('calcA'!$D$130:$EQ$169,$B5,135)+IF(AND($E5=1,NU5=0),25,0),IF($F5&gt;0,INDEX('calcA'!EH$110:EH$114,$F5+1)+IF(AND($E5=1,NU5=0),1000,0),MIN(TZ5,20)*400+(IF('calcA'!EG$106=1,1-IE5,0)+IF('calcA'!EH$106=1,1-IG5,0))*150+156+'calcA'!EH$5*100000+IF(AND($E5=1,NU5=0),50000,0))+IF($H5=1,INDEX('calcA'!$D$180:$EQ$219,$B5,135)*4000,0)-IF(AND('calcA'!EG$117=1,ZE5&gt;0),2000,0)-IF(AND($U5=1,'calcA'!EH$117=1,IG5=0),2000,0))),1000000000))</f>
        <v/>
      </c>
      <c r="TK5">
        <f>IF($B5=0,1000000000,IF(INDEX('calcA'!$D$60:$EQ$99,$B5,136)*IF($W5=1,IG5+AEV5,IG5)=1,IF(AND($E5=2,IF($W5=1,AKK5,NV5)=0),1000000000,IF($V5=1,INDEX('calcA'!$D$130:$EQ$169,$B5,136)+IF(AND($E5=1,NV5=0),25,0),IF($F5&gt;0,INDEX('calcA'!EI$110:EI$114,$F5+1)+IF(AND($E5=1,NV5=0),1000,0),MIN(TZ5,20)*400+(IF('calcA'!EH$106=1,1-IF5,0)+IF('calcA'!EI$106=1,1-IH5,0))*150+166+'calcA'!EI$5*100000+IF(AND($E5=1,NV5=0),50000,0))+IF($H5=1,INDEX('calcA'!$D$180:$EQ$219,$B5,136)*4000,0)-IF(AND('calcA'!EH$117=1,ZF5&gt;0),2000,0)-IF(AND($U5=1,'calcA'!EI$117=1,IH5=0),2000,0))),1000000000))</f>
        <v/>
      </c>
      <c r="TL5">
        <f>IF($B5=0,1000000000,IF(INDEX('calcA'!$D$60:$EQ$99,$B5,137)*IF($W5=1,IH5+AEW5,IH5)=1,IF(AND($E5=2,IF($W5=1,AKL5,NW5)=0),1000000000,IF($V5=1,INDEX('calcA'!$D$130:$EQ$169,$B5,137)+IF(AND($E5=1,NW5=0),25,0),IF($F5&gt;0,INDEX('calcA'!EJ$110:EJ$114,$F5+1)+IF(AND($E5=1,NW5=0),1000,0),MIN(TZ5,20)*400+(IF('calcA'!EI$106=1,1-IG5,0)+IF('calcA'!EJ$106=1,1-II5,0))*150+176+'calcA'!EJ$5*100000+IF(AND($E5=1,NW5=0),50000,0))+IF($H5=1,INDEX('calcA'!$D$180:$EQ$219,$B5,137)*4000,0)-IF(AND('calcA'!EI$117=1,ZG5&gt;0),2000,0)-IF(AND($U5=1,'calcA'!EJ$117=1,II5=0),2000,0))),1000000000))</f>
        <v/>
      </c>
      <c r="TM5">
        <f>IF($B5=0,1000000000,IF(INDEX('calcA'!$D$60:$EQ$99,$B5,138)*IF($W5=1,II5+AEX5,II5)=1,IF(AND($E5=2,IF($W5=1,AKM5,NX5)=0),1000000000,IF($V5=1,INDEX('calcA'!$D$130:$EQ$169,$B5,138)+IF(AND($E5=1,NX5=0),25,0),IF($F5&gt;0,INDEX('calcA'!EK$110:EK$114,$F5+1)+IF(AND($E5=1,NX5=0),1000,0),MIN(TZ5,20)*400+(IF('calcA'!EJ$106=1,1-IH5,0)+IF('calcA'!EK$106=1,1-IJ5,0))*150+186+'calcA'!EK$5*100000+IF(AND($E5=1,NX5=0),50000,0))+IF($H5=1,INDEX('calcA'!$D$180:$EQ$219,$B5,138)*4000,0)-IF(AND('calcA'!EJ$117=1,ZH5&gt;0),2000,0)-IF(AND($U5=1,'calcA'!EK$117=1,IJ5=0),2000,0))),1000000000))</f>
        <v/>
      </c>
      <c r="TN5">
        <f>IF($B5=0,1000000000,IF(INDEX('calcA'!$D$60:$EQ$99,$B5,139)*IF($W5=1,IJ5+AEY5,IJ5)=1,IF(AND($E5=2,IF($W5=1,AKN5,NY5)=0),1000000000,IF($V5=1,INDEX('calcA'!$D$130:$EQ$169,$B5,139)+IF(AND($E5=1,NY5=0),25,0),IF($F5&gt;0,INDEX('calcA'!EL$110:EL$114,$F5+1)+IF(AND($E5=1,NY5=0),1000,0),MIN(TZ5,20)*400+(IF('calcA'!EK$106=1,1-II5,0)+IF('calcA'!EL$106=1,1-IK5,0))*150+196+'calcA'!EL$5*100000+IF(AND($E5=1,NY5=0),50000,0))+IF($H5=1,INDEX('calcA'!$D$180:$EQ$219,$B5,139)*4000,0)-IF(AND('calcA'!EK$117=1,ZI5&gt;0),2000,0)-IF(AND($U5=1,'calcA'!EL$117=1,IK5=0),2000,0))),1000000000))</f>
        <v/>
      </c>
      <c r="TO5">
        <f>IF($B5=0,1000000000,IF(INDEX('calcA'!$D$60:$EQ$99,$B5,140)*IF($W5=1,IK5+AEZ5,IK5)=1,IF(AND($E5=2,IF($W5=1,AKO5,NZ5)=0),1000000000,IF($V5=1,INDEX('calcA'!$D$130:$EQ$169,$B5,140)+IF(AND($E5=1,NZ5=0),25,0),IF($F5&gt;0,INDEX('calcA'!EM$110:EM$114,$F5+1)+IF(AND($E5=1,NZ5=0),1000,0),MIN(TZ5,20)*400+(IF('calcA'!EL$106=1,1-IJ5,0)+IF('calcA'!EM$106=1,1-IL5,0))*150+206+'calcA'!EM$5*100000+IF(AND($E5=1,NZ5=0),50000,0))+IF($H5=1,INDEX('calcA'!$D$180:$EQ$219,$B5,140)*4000,0)-IF(AND('calcA'!EL$117=1,ZJ5&gt;0),2000,0)-IF(AND($U5=1,'calcA'!EM$117=1,IL5=0),2000,0))),1000000000))</f>
        <v/>
      </c>
      <c r="TP5">
        <f>IF($B5=0,1000000000,IF(INDEX('calcA'!$D$60:$EQ$99,$B5,141)*IF($W5=1,IL5+AFA5,IL5)=1,IF(AND($E5=2,IF($W5=1,AKP5,OA5)=0),1000000000,IF($V5=1,INDEX('calcA'!$D$130:$EQ$169,$B5,141)+IF(AND($E5=1,OA5=0),25,0),IF($F5&gt;0,INDEX('calcA'!EN$110:EN$114,$F5+1)+IF(AND($E5=1,OA5=0),1000,0),MIN(TZ5,20)*400+(IF('calcA'!EM$106=1,1-IK5,0)+IF('calcA'!EN$106=1,1-IM5,0))*150+216+'calcA'!EN$5*100000+IF(AND($E5=1,OA5=0),50000,0))+IF($H5=1,INDEX('calcA'!$D$180:$EQ$219,$B5,141)*4000,0)-IF(AND('calcA'!EM$117=1,ZK5&gt;0),2000,0)-IF(AND($U5=1,'calcA'!EN$117=1,IM5=0),2000,0))),1000000000))</f>
        <v/>
      </c>
      <c r="TQ5">
        <f>IF($B5=0,1000000000,IF(INDEX('calcA'!$D$60:$EQ$99,$B5,142)*IF($W5=1,IM5+AFB5,IM5)=1,IF(AND($E5=2,IF($W5=1,AKQ5,OB5)=0),1000000000,IF($V5=1,INDEX('calcA'!$D$130:$EQ$169,$B5,142)+IF(AND($E5=1,OB5=0),25,0),IF($F5&gt;0,INDEX('calcA'!EO$110:EO$114,$F5+1)+IF(AND($E5=1,OB5=0),1000,0),MIN(TZ5,20)*400+(IF('calcA'!EN$106=1,1-IL5,0)+IF('calcA'!EO$106=1,1-IN5,0))*150+226+'calcA'!EO$5*100000+IF(AND($E5=1,OB5=0),50000,0))+IF($H5=1,INDEX('calcA'!$D$180:$EQ$219,$B5,142)*4000,0)-IF(AND('calcA'!EN$117=1,ZL5&gt;0),2000,0)-IF(AND($U5=1,'calcA'!EO$117=1,IN5=0),2000,0))),1000000000))</f>
        <v/>
      </c>
      <c r="TR5">
        <f>IF($B5=0,1000000000,IF(INDEX('calcA'!$D$60:$EQ$99,$B5,143)*IF($W5=1,IN5+AFC5,IN5)=1,IF(AND($E5=2,IF($W5=1,AKR5,OC5)=0),1000000000,IF($V5=1,INDEX('calcA'!$D$130:$EQ$169,$B5,143)+IF(AND($E5=1,OC5=0),25,0),IF($F5&gt;0,INDEX('calcA'!EP$110:EP$114,$F5+1)+IF(AND($E5=1,OC5=0),1000,0),MIN(TZ5,20)*400+(IF('calcA'!EO$106=1,1-IM5,0)+IF('calcA'!EP$106=1,1-IO5,0))*150+236+'calcA'!EP$5*100000+IF(AND($E5=1,OC5=0),50000,0))+IF($H5=1,INDEX('calcA'!$D$180:$EQ$219,$B5,143)*4000,0)-IF(AND('calcA'!EO$117=1,ZM5&gt;0),2000,0)-IF(AND($U5=1,'calcA'!EP$117=1,IO5=0),2000,0))),1000000000))</f>
        <v/>
      </c>
      <c r="TS5">
        <f>IF($B5=0,1000000000,IF(INDEX('calcA'!$D$60:$EQ$99,$B5,144)*IF($W5=1,IO5+AFD5,IO5)=1,IF(AND($E5=2,IF($W5=1,AKS5,OD5)=0),1000000000,IF($V5=1,INDEX('calcA'!$D$130:$EQ$169,$B5,144)+IF(AND($E5=1,OD5=0),25,0),IF($F5&gt;0,INDEX('calcA'!EQ$110:EQ$114,$F5+1)+IF(AND($E5=1,OD5=0),1000,0),MIN(TZ5,20)*400+(IF('calcA'!EP$106=1,1-IN5,0))*150+246+'calcA'!EQ$5*100000+IF(AND($E5=1,OD5=0),50000,0))+IF($H5=1,INDEX('calcA'!$D$180:$EQ$219,$B5,144)*4000,0)-IF(AND('calcA'!EP$117=1,ZN5&gt;0),2000,0))),1000000000))</f>
        <v/>
      </c>
      <c r="TU5">
        <f>TU4+IF($C4&gt;0,IF(INDEX('calcA'!$D$2:$EQ$2,$C4)=1,1,0),0)</f>
        <v/>
      </c>
      <c r="TV5">
        <f>TV4+IF($C4&gt;0,IF(INDEX('calcA'!$D$2:$EQ$2,$C4)=2,1,0),0)</f>
        <v/>
      </c>
      <c r="TW5">
        <f>TW4+IF($C4&gt;0,IF(INDEX('calcA'!$D$2:$EQ$2,$C4)=3,1,0),0)</f>
        <v/>
      </c>
      <c r="TX5">
        <f>TX4+IF($C4&gt;0,IF(INDEX('calcA'!$D$2:$EQ$2,$C4)=4,1,0),0)</f>
        <v/>
      </c>
      <c r="TY5">
        <f>TY4+IF($C4&gt;0,IF(INDEX('calcA'!$D$2:$EQ$2,$C4)=5,1,0),0)</f>
        <v/>
      </c>
      <c r="TZ5">
        <f>TZ4+IF($C4&gt;0,IF(INDEX('calcA'!$D$2:$EQ$2,$C4)=6,1,0),0)</f>
        <v/>
      </c>
      <c r="UB5">
        <f>UB4+IF(AND($C4=1,$U4=1),1,0)</f>
        <v/>
      </c>
      <c r="UC5">
        <f>UC4+IF(AND($C4=2,$U4=1),1,0)</f>
        <v/>
      </c>
      <c r="UD5">
        <f>UD4+IF(AND($C4=3,$U4=1),1,0)</f>
        <v/>
      </c>
      <c r="UE5">
        <f>UE4+IF(AND($C4=4,$U4=1),1,0)</f>
        <v/>
      </c>
      <c r="UF5">
        <f>UF4+IF(AND($C4=5,$U4=1),1,0)</f>
        <v/>
      </c>
      <c r="UG5">
        <f>UG4+IF(AND($C4=6,$U4=1),1,0)</f>
        <v/>
      </c>
      <c r="UH5">
        <f>UH4+IF(AND($C4=7,$U4=1),1,0)</f>
        <v/>
      </c>
      <c r="UI5">
        <f>UI4+IF(AND($C4=8,$U4=1),1,0)</f>
        <v/>
      </c>
      <c r="UJ5">
        <f>UJ4+IF(AND($C4=9,$U4=1),1,0)</f>
        <v/>
      </c>
      <c r="UK5">
        <f>UK4+IF(AND($C4=10,$U4=1),1,0)</f>
        <v/>
      </c>
      <c r="UL5">
        <f>UL4+IF(AND($C4=11,$U4=1),1,0)</f>
        <v/>
      </c>
      <c r="UM5">
        <f>UM4+IF(AND($C4=12,$U4=1),1,0)</f>
        <v/>
      </c>
      <c r="UN5">
        <f>UN4+IF(AND($C4=13,$U4=1),1,0)</f>
        <v/>
      </c>
      <c r="UO5">
        <f>UO4+IF(AND($C4=14,$U4=1),1,0)</f>
        <v/>
      </c>
      <c r="UP5">
        <f>UP4+IF(AND($C4=15,$U4=1),1,0)</f>
        <v/>
      </c>
      <c r="UQ5">
        <f>UQ4+IF(AND($C4=16,$U4=1),1,0)</f>
        <v/>
      </c>
      <c r="UR5">
        <f>UR4+IF(AND($C4=17,$U4=1),1,0)</f>
        <v/>
      </c>
      <c r="US5">
        <f>US4+IF(AND($C4=18,$U4=1),1,0)</f>
        <v/>
      </c>
      <c r="UT5">
        <f>UT4+IF(AND($C4=19,$U4=1),1,0)</f>
        <v/>
      </c>
      <c r="UU5">
        <f>UU4+IF(AND($C4=20,$U4=1),1,0)</f>
        <v/>
      </c>
      <c r="UV5">
        <f>UV4+IF(AND($C4=21,$U4=1),1,0)</f>
        <v/>
      </c>
      <c r="UW5">
        <f>UW4+IF(AND($C4=22,$U4=1),1,0)</f>
        <v/>
      </c>
      <c r="UX5">
        <f>UX4+IF(AND($C4=23,$U4=1),1,0)</f>
        <v/>
      </c>
      <c r="UY5">
        <f>UY4+IF(AND($C4=24,$U4=1),1,0)</f>
        <v/>
      </c>
      <c r="UZ5">
        <f>UZ4+IF(AND($C4=25,$U4=1),1,0)</f>
        <v/>
      </c>
      <c r="VA5">
        <f>VA4+IF(AND($C4=26,$U4=1),1,0)</f>
        <v/>
      </c>
      <c r="VB5">
        <f>VB4+IF(AND($C4=27,$U4=1),1,0)</f>
        <v/>
      </c>
      <c r="VC5">
        <f>VC4+IF(AND($C4=28,$U4=1),1,0)</f>
        <v/>
      </c>
      <c r="VD5">
        <f>VD4+IF(AND($C4=29,$U4=1),1,0)</f>
        <v/>
      </c>
      <c r="VE5">
        <f>VE4+IF(AND($C4=30,$U4=1),1,0)</f>
        <v/>
      </c>
      <c r="VF5">
        <f>VF4+IF(AND($C4=31,$U4=1),1,0)</f>
        <v/>
      </c>
      <c r="VG5">
        <f>VG4+IF(AND($C4=32,$U4=1),1,0)</f>
        <v/>
      </c>
      <c r="VH5">
        <f>VH4+IF(AND($C4=33,$U4=1),1,0)</f>
        <v/>
      </c>
      <c r="VI5">
        <f>VI4+IF(AND($C4=34,$U4=1),1,0)</f>
        <v/>
      </c>
      <c r="VJ5">
        <f>VJ4+IF(AND($C4=35,$U4=1),1,0)</f>
        <v/>
      </c>
      <c r="VK5">
        <f>VK4+IF(AND($C4=36,$U4=1),1,0)</f>
        <v/>
      </c>
      <c r="VL5">
        <f>VL4+IF(AND($C4=37,$U4=1),1,0)</f>
        <v/>
      </c>
      <c r="VM5">
        <f>VM4+IF(AND($C4=38,$U4=1),1,0)</f>
        <v/>
      </c>
      <c r="VN5">
        <f>VN4+IF(AND($C4=39,$U4=1),1,0)</f>
        <v/>
      </c>
      <c r="VO5">
        <f>VO4+IF(AND($C4=40,$U4=1),1,0)</f>
        <v/>
      </c>
      <c r="VP5">
        <f>VP4+IF(AND($C4=41,$U4=1),1,0)</f>
        <v/>
      </c>
      <c r="VQ5">
        <f>VQ4+IF(AND($C4=42,$U4=1),1,0)</f>
        <v/>
      </c>
      <c r="VR5">
        <f>VR4+IF(AND($C4=43,$U4=1),1,0)</f>
        <v/>
      </c>
      <c r="VS5">
        <f>VS4+IF(AND($C4=44,$U4=1),1,0)</f>
        <v/>
      </c>
      <c r="VT5">
        <f>VT4+IF(AND($C4=45,$U4=1),1,0)</f>
        <v/>
      </c>
      <c r="VU5">
        <f>VU4+IF(AND($C4=46,$U4=1),1,0)</f>
        <v/>
      </c>
      <c r="VV5">
        <f>VV4+IF(AND($C4=47,$U4=1),1,0)</f>
        <v/>
      </c>
      <c r="VW5">
        <f>VW4+IF(AND($C4=48,$U4=1),1,0)</f>
        <v/>
      </c>
      <c r="VX5">
        <f>VX4+IF(AND($C4=49,$U4=1),1,0)</f>
        <v/>
      </c>
      <c r="VY5">
        <f>VY4+IF(AND($C4=50,$U4=1),1,0)</f>
        <v/>
      </c>
      <c r="VZ5">
        <f>VZ4+IF(AND($C4=51,$U4=1),1,0)</f>
        <v/>
      </c>
      <c r="WA5">
        <f>WA4+IF(AND($C4=52,$U4=1),1,0)</f>
        <v/>
      </c>
      <c r="WB5">
        <f>WB4+IF(AND($C4=53,$U4=1),1,0)</f>
        <v/>
      </c>
      <c r="WC5">
        <f>WC4+IF(AND($C4=54,$U4=1),1,0)</f>
        <v/>
      </c>
      <c r="WD5">
        <f>WD4+IF(AND($C4=55,$U4=1),1,0)</f>
        <v/>
      </c>
      <c r="WE5">
        <f>WE4+IF(AND($C4=56,$U4=1),1,0)</f>
        <v/>
      </c>
      <c r="WF5">
        <f>WF4+IF(AND($C4=57,$U4=1),1,0)</f>
        <v/>
      </c>
      <c r="WG5">
        <f>WG4+IF(AND($C4=58,$U4=1),1,0)</f>
        <v/>
      </c>
      <c r="WH5">
        <f>WH4+IF(AND($C4=59,$U4=1),1,0)</f>
        <v/>
      </c>
      <c r="WI5">
        <f>WI4+IF(AND($C4=60,$U4=1),1,0)</f>
        <v/>
      </c>
      <c r="WJ5">
        <f>WJ4+IF(AND($C4=61,$U4=1),1,0)</f>
        <v/>
      </c>
      <c r="WK5">
        <f>WK4+IF(AND($C4=62,$U4=1),1,0)</f>
        <v/>
      </c>
      <c r="WL5">
        <f>WL4+IF(AND($C4=63,$U4=1),1,0)</f>
        <v/>
      </c>
      <c r="WM5">
        <f>WM4+IF(AND($C4=64,$U4=1),1,0)</f>
        <v/>
      </c>
      <c r="WN5">
        <f>WN4+IF(AND($C4=65,$U4=1),1,0)</f>
        <v/>
      </c>
      <c r="WO5">
        <f>WO4+IF(AND($C4=66,$U4=1),1,0)</f>
        <v/>
      </c>
      <c r="WP5">
        <f>WP4+IF(AND($C4=67,$U4=1),1,0)</f>
        <v/>
      </c>
      <c r="WQ5">
        <f>WQ4+IF(AND($C4=68,$U4=1),1,0)</f>
        <v/>
      </c>
      <c r="WR5">
        <f>WR4+IF(AND($C4=69,$U4=1),1,0)</f>
        <v/>
      </c>
      <c r="WS5">
        <f>WS4+IF(AND($C4=70,$U4=1),1,0)</f>
        <v/>
      </c>
      <c r="WT5">
        <f>WT4+IF(AND($C4=71,$U4=1),1,0)</f>
        <v/>
      </c>
      <c r="WU5">
        <f>WU4+IF(AND($C4=72,$U4=1),1,0)</f>
        <v/>
      </c>
      <c r="WV5">
        <f>WV4+IF(AND($C4=73,$U4=1),1,0)</f>
        <v/>
      </c>
      <c r="WW5">
        <f>WW4+IF(AND($C4=74,$U4=1),1,0)</f>
        <v/>
      </c>
      <c r="WX5">
        <f>WX4+IF(AND($C4=75,$U4=1),1,0)</f>
        <v/>
      </c>
      <c r="WY5">
        <f>WY4+IF(AND($C4=76,$U4=1),1,0)</f>
        <v/>
      </c>
      <c r="WZ5">
        <f>WZ4+IF(AND($C4=77,$U4=1),1,0)</f>
        <v/>
      </c>
      <c r="XA5">
        <f>XA4+IF(AND($C4=78,$U4=1),1,0)</f>
        <v/>
      </c>
      <c r="XB5">
        <f>XB4+IF(AND($C4=79,$U4=1),1,0)</f>
        <v/>
      </c>
      <c r="XC5">
        <f>XC4+IF(AND($C4=80,$U4=1),1,0)</f>
        <v/>
      </c>
      <c r="XD5">
        <f>XD4+IF(AND($C4=81,$U4=1),1,0)</f>
        <v/>
      </c>
      <c r="XE5">
        <f>XE4+IF(AND($C4=82,$U4=1),1,0)</f>
        <v/>
      </c>
      <c r="XF5">
        <f>XF4+IF(AND($C4=83,$U4=1),1,0)</f>
        <v/>
      </c>
      <c r="XG5">
        <f>XG4+IF(AND($C4=84,$U4=1),1,0)</f>
        <v/>
      </c>
      <c r="XH5">
        <f>XH4+IF(AND($C4=85,$U4=1),1,0)</f>
        <v/>
      </c>
      <c r="XI5">
        <f>XI4+IF(AND($C4=86,$U4=1),1,0)</f>
        <v/>
      </c>
      <c r="XJ5">
        <f>XJ4+IF(AND($C4=87,$U4=1),1,0)</f>
        <v/>
      </c>
      <c r="XK5">
        <f>XK4+IF(AND($C4=88,$U4=1),1,0)</f>
        <v/>
      </c>
      <c r="XL5">
        <f>XL4+IF(AND($C4=89,$U4=1),1,0)</f>
        <v/>
      </c>
      <c r="XM5">
        <f>XM4+IF(AND($C4=90,$U4=1),1,0)</f>
        <v/>
      </c>
      <c r="XN5">
        <f>XN4+IF(AND($C4=91,$U4=1),1,0)</f>
        <v/>
      </c>
      <c r="XO5">
        <f>XO4+IF(AND($C4=92,$U4=1),1,0)</f>
        <v/>
      </c>
      <c r="XP5">
        <f>XP4+IF(AND($C4=93,$U4=1),1,0)</f>
        <v/>
      </c>
      <c r="XQ5">
        <f>XQ4+IF(AND($C4=94,$U4=1),1,0)</f>
        <v/>
      </c>
      <c r="XR5">
        <f>XR4+IF(AND($C4=95,$U4=1),1,0)</f>
        <v/>
      </c>
      <c r="XS5">
        <f>XS4+IF(AND($C4=96,$U4=1),1,0)</f>
        <v/>
      </c>
      <c r="XT5">
        <f>XT4+IF(AND($C4=97,$U4=1),1,0)</f>
        <v/>
      </c>
      <c r="XU5">
        <f>XU4+IF(AND($C4=98,$U4=1),1,0)</f>
        <v/>
      </c>
      <c r="XV5">
        <f>XV4+IF(AND($C4=99,$U4=1),1,0)</f>
        <v/>
      </c>
      <c r="XW5">
        <f>XW4+IF(AND($C4=100,$U4=1),1,0)</f>
        <v/>
      </c>
      <c r="XX5">
        <f>XX4+IF(AND($C4=101,$U4=1),1,0)</f>
        <v/>
      </c>
      <c r="XY5">
        <f>XY4+IF(AND($C4=102,$U4=1),1,0)</f>
        <v/>
      </c>
      <c r="XZ5">
        <f>XZ4+IF(AND($C4=103,$U4=1),1,0)</f>
        <v/>
      </c>
      <c r="YA5">
        <f>YA4+IF(AND($C4=104,$U4=1),1,0)</f>
        <v/>
      </c>
      <c r="YB5">
        <f>YB4+IF(AND($C4=105,$U4=1),1,0)</f>
        <v/>
      </c>
      <c r="YC5">
        <f>YC4+IF(AND($C4=106,$U4=1),1,0)</f>
        <v/>
      </c>
      <c r="YD5">
        <f>YD4+IF(AND($C4=107,$U4=1),1,0)</f>
        <v/>
      </c>
      <c r="YE5">
        <f>YE4+IF(AND($C4=108,$U4=1),1,0)</f>
        <v/>
      </c>
      <c r="YF5">
        <f>YF4+IF(AND($C4=109,$U4=1),1,0)</f>
        <v/>
      </c>
      <c r="YG5">
        <f>YG4+IF(AND($C4=110,$U4=1),1,0)</f>
        <v/>
      </c>
      <c r="YH5">
        <f>YH4+IF(AND($C4=111,$U4=1),1,0)</f>
        <v/>
      </c>
      <c r="YI5">
        <f>YI4+IF(AND($C4=112,$U4=1),1,0)</f>
        <v/>
      </c>
      <c r="YJ5">
        <f>YJ4+IF(AND($C4=113,$U4=1),1,0)</f>
        <v/>
      </c>
      <c r="YK5">
        <f>YK4+IF(AND($C4=114,$U4=1),1,0)</f>
        <v/>
      </c>
      <c r="YL5">
        <f>YL4+IF(AND($C4=115,$U4=1),1,0)</f>
        <v/>
      </c>
      <c r="YM5">
        <f>YM4+IF(AND($C4=116,$U4=1),1,0)</f>
        <v/>
      </c>
      <c r="YN5">
        <f>YN4+IF(AND($C4=117,$U4=1),1,0)</f>
        <v/>
      </c>
      <c r="YO5">
        <f>YO4+IF(AND($C4=118,$U4=1),1,0)</f>
        <v/>
      </c>
      <c r="YP5">
        <f>YP4+IF(AND($C4=119,$U4=1),1,0)</f>
        <v/>
      </c>
      <c r="YQ5">
        <f>YQ4+IF(AND($C4=120,$U4=1),1,0)</f>
        <v/>
      </c>
      <c r="YR5">
        <f>YR4+IF(AND($C4=121,$U4=1),1,0)</f>
        <v/>
      </c>
      <c r="YS5">
        <f>YS4+IF(AND($C4=122,$U4=1),1,0)</f>
        <v/>
      </c>
      <c r="YT5">
        <f>YT4+IF(AND($C4=123,$U4=1),1,0)</f>
        <v/>
      </c>
      <c r="YU5">
        <f>YU4+IF(AND($C4=124,$U4=1),1,0)</f>
        <v/>
      </c>
      <c r="YV5">
        <f>YV4+IF(AND($C4=125,$U4=1),1,0)</f>
        <v/>
      </c>
      <c r="YW5">
        <f>YW4+IF(AND($C4=126,$U4=1),1,0)</f>
        <v/>
      </c>
      <c r="YX5">
        <f>YX4+IF(AND($C4=127,$U4=1),1,0)</f>
        <v/>
      </c>
      <c r="YY5">
        <f>YY4+IF(AND($C4=128,$U4=1),1,0)</f>
        <v/>
      </c>
      <c r="YZ5">
        <f>YZ4+IF(AND($C4=129,$U4=1),1,0)</f>
        <v/>
      </c>
      <c r="ZA5">
        <f>ZA4+IF(AND($C4=130,$U4=1),1,0)</f>
        <v/>
      </c>
      <c r="ZB5">
        <f>ZB4+IF(AND($C4=131,$U4=1),1,0)</f>
        <v/>
      </c>
      <c r="ZC5">
        <f>ZC4+IF(AND($C4=132,$U4=1),1,0)</f>
        <v/>
      </c>
      <c r="ZD5">
        <f>ZD4+IF(AND($C4=133,$U4=1),1,0)</f>
        <v/>
      </c>
      <c r="ZE5">
        <f>ZE4+IF(AND($C4=134,$U4=1),1,0)</f>
        <v/>
      </c>
      <c r="ZF5">
        <f>ZF4+IF(AND($C4=135,$U4=1),1,0)</f>
        <v/>
      </c>
      <c r="ZG5">
        <f>ZG4+IF(AND($C4=136,$U4=1),1,0)</f>
        <v/>
      </c>
      <c r="ZH5">
        <f>ZH4+IF(AND($C4=137,$U4=1),1,0)</f>
        <v/>
      </c>
      <c r="ZI5">
        <f>ZI4+IF(AND($C4=138,$U4=1),1,0)</f>
        <v/>
      </c>
      <c r="ZJ5">
        <f>ZJ4+IF(AND($C4=139,$U4=1),1,0)</f>
        <v/>
      </c>
      <c r="ZK5">
        <f>ZK4+IF(AND($C4=140,$U4=1),1,0)</f>
        <v/>
      </c>
      <c r="ZL5">
        <f>ZL4+IF(AND($C4=141,$U4=1),1,0)</f>
        <v/>
      </c>
      <c r="ZM5">
        <f>ZM4+IF(AND($C4=142,$U4=1),1,0)</f>
        <v/>
      </c>
      <c r="ZN5">
        <f>ZN4+IF(AND($C4=143,$U4=1),1,0)</f>
        <v/>
      </c>
      <c r="ZO5">
        <f>ZO4+IF(AND($C4=144,$U4=1),1,0)</f>
        <v/>
      </c>
      <c r="ZQ5">
        <f>IF($C4=1,0,ZQ4+IF(AND($G4=1,$E4=1),1,0))</f>
        <v/>
      </c>
      <c r="ZR5">
        <f>IF($C4=2,0,ZR4+IF(AND($G4=2,$E4=1),1,0))</f>
        <v/>
      </c>
      <c r="ZS5">
        <f>IF($C4=3,0,ZS4+IF(AND($G4=3,$E4=1),1,0))</f>
        <v/>
      </c>
      <c r="ZT5">
        <f>IF($C4=4,0,ZT4+IF(AND($G4=4,$E4=1),1,0))</f>
        <v/>
      </c>
      <c r="ZU5">
        <f>IF($C4=5,0,ZU4+IF(AND($G4=5,$E4=1),1,0))</f>
        <v/>
      </c>
      <c r="ZV5">
        <f>IF($C4=6,0,ZV4+IF(AND($G4=6,$E4=1),1,0))</f>
        <v/>
      </c>
      <c r="ZW5">
        <f>IF($C4=7,0,ZW4+IF(AND($G4=7,$E4=1),1,0))</f>
        <v/>
      </c>
      <c r="ZX5">
        <f>IF($C4=8,0,ZX4+IF(AND($G4=8,$E4=1),1,0))</f>
        <v/>
      </c>
      <c r="ZY5">
        <f>IF($C4=9,0,ZY4+IF(AND($G4=9,$E4=1),1,0))</f>
        <v/>
      </c>
      <c r="ZZ5">
        <f>IF($C4=10,0,ZZ4+IF(AND($G4=10,$E4=1),1,0))</f>
        <v/>
      </c>
      <c r="AAA5">
        <f>IF($C4=11,0,AAA4+IF(AND($G4=11,$E4=1),1,0))</f>
        <v/>
      </c>
      <c r="AAB5">
        <f>IF($C4=12,0,AAB4+IF(AND($G4=12,$E4=1),1,0))</f>
        <v/>
      </c>
      <c r="AAC5">
        <f>IF($C4=13,0,AAC4+IF(AND($G4=13,$E4=1),1,0))</f>
        <v/>
      </c>
      <c r="AAD5">
        <f>IF($C4=14,0,AAD4+IF(AND($G4=14,$E4=1),1,0))</f>
        <v/>
      </c>
      <c r="AAE5">
        <f>IF($C4=15,0,AAE4+IF(AND($G4=15,$E4=1),1,0))</f>
        <v/>
      </c>
      <c r="AAF5">
        <f>IF($C4=16,0,AAF4+IF(AND($G4=16,$E4=1),1,0))</f>
        <v/>
      </c>
      <c r="AAG5">
        <f>IF($C4=17,0,AAG4+IF(AND($G4=17,$E4=1),1,0))</f>
        <v/>
      </c>
      <c r="AAH5">
        <f>IF($C4=18,0,AAH4+IF(AND($G4=18,$E4=1),1,0))</f>
        <v/>
      </c>
      <c r="AAI5">
        <f>IF($C4=19,0,AAI4+IF(AND($G4=19,$E4=1),1,0))</f>
        <v/>
      </c>
      <c r="AAJ5">
        <f>IF($C4=20,0,AAJ4+IF(AND($G4=20,$E4=1),1,0))</f>
        <v/>
      </c>
      <c r="AAK5">
        <f>IF($C4=21,0,AAK4+IF(AND($G4=21,$E4=1),1,0))</f>
        <v/>
      </c>
      <c r="AAL5">
        <f>IF($C4=22,0,AAL4+IF(AND($G4=22,$E4=1),1,0))</f>
        <v/>
      </c>
      <c r="AAM5">
        <f>IF($C4=23,0,AAM4+IF(AND($G4=23,$E4=1),1,0))</f>
        <v/>
      </c>
      <c r="AAN5">
        <f>IF($C4=24,0,AAN4+IF(AND($G4=24,$E4=1),1,0))</f>
        <v/>
      </c>
      <c r="AAO5">
        <f>IF($C4=25,0,AAO4+IF(AND($G4=25,$E4=1),1,0))</f>
        <v/>
      </c>
      <c r="AAP5">
        <f>IF($C4=26,0,AAP4+IF(AND($G4=26,$E4=1),1,0))</f>
        <v/>
      </c>
      <c r="AAQ5">
        <f>IF($C4=27,0,AAQ4+IF(AND($G4=27,$E4=1),1,0))</f>
        <v/>
      </c>
      <c r="AAR5">
        <f>IF($C4=28,0,AAR4+IF(AND($G4=28,$E4=1),1,0))</f>
        <v/>
      </c>
      <c r="AAS5">
        <f>IF($C4=29,0,AAS4+IF(AND($G4=29,$E4=1),1,0))</f>
        <v/>
      </c>
      <c r="AAT5">
        <f>IF($C4=30,0,AAT4+IF(AND($G4=30,$E4=1),1,0))</f>
        <v/>
      </c>
      <c r="AAU5">
        <f>IF($C4=31,0,AAU4+IF(AND($G4=31,$E4=1),1,0))</f>
        <v/>
      </c>
      <c r="AAV5">
        <f>IF($C4=32,0,AAV4+IF(AND($G4=32,$E4=1),1,0))</f>
        <v/>
      </c>
      <c r="AAW5">
        <f>IF($C4=33,0,AAW4+IF(AND($G4=33,$E4=1),1,0))</f>
        <v/>
      </c>
      <c r="AAX5">
        <f>IF($C4=34,0,AAX4+IF(AND($G4=34,$E4=1),1,0))</f>
        <v/>
      </c>
      <c r="AAY5">
        <f>IF($C4=35,0,AAY4+IF(AND($G4=35,$E4=1),1,0))</f>
        <v/>
      </c>
      <c r="AAZ5">
        <f>IF($C4=36,0,AAZ4+IF(AND($G4=36,$E4=1),1,0))</f>
        <v/>
      </c>
      <c r="ABA5">
        <f>IF($C4=37,0,ABA4+IF(AND($G4=37,$E4=1),1,0))</f>
        <v/>
      </c>
      <c r="ABB5">
        <f>IF($C4=38,0,ABB4+IF(AND($G4=38,$E4=1),1,0))</f>
        <v/>
      </c>
      <c r="ABC5">
        <f>IF($C4=39,0,ABC4+IF(AND($G4=39,$E4=1),1,0))</f>
        <v/>
      </c>
      <c r="ABD5">
        <f>IF($C4=40,0,ABD4+IF(AND($G4=40,$E4=1),1,0))</f>
        <v/>
      </c>
      <c r="ABE5">
        <f>IF($C4=41,0,ABE4+IF(AND($G4=41,$E4=1),1,0))</f>
        <v/>
      </c>
      <c r="ABF5">
        <f>IF($C4=42,0,ABF4+IF(AND($G4=42,$E4=1),1,0))</f>
        <v/>
      </c>
      <c r="ABG5">
        <f>IF($C4=43,0,ABG4+IF(AND($G4=43,$E4=1),1,0))</f>
        <v/>
      </c>
      <c r="ABH5">
        <f>IF($C4=44,0,ABH4+IF(AND($G4=44,$E4=1),1,0))</f>
        <v/>
      </c>
      <c r="ABI5">
        <f>IF($C4=45,0,ABI4+IF(AND($G4=45,$E4=1),1,0))</f>
        <v/>
      </c>
      <c r="ABJ5">
        <f>IF($C4=46,0,ABJ4+IF(AND($G4=46,$E4=1),1,0))</f>
        <v/>
      </c>
      <c r="ABK5">
        <f>IF($C4=47,0,ABK4+IF(AND($G4=47,$E4=1),1,0))</f>
        <v/>
      </c>
      <c r="ABL5">
        <f>IF($C4=48,0,ABL4+IF(AND($G4=48,$E4=1),1,0))</f>
        <v/>
      </c>
      <c r="ABM5">
        <f>IF($C4=49,0,ABM4+IF(AND($G4=49,$E4=1),1,0))</f>
        <v/>
      </c>
      <c r="ABN5">
        <f>IF($C4=50,0,ABN4+IF(AND($G4=50,$E4=1),1,0))</f>
        <v/>
      </c>
      <c r="ABO5">
        <f>IF($C4=51,0,ABO4+IF(AND($G4=51,$E4=1),1,0))</f>
        <v/>
      </c>
      <c r="ABP5">
        <f>IF($C4=52,0,ABP4+IF(AND($G4=52,$E4=1),1,0))</f>
        <v/>
      </c>
      <c r="ABQ5">
        <f>IF($C4=53,0,ABQ4+IF(AND($G4=53,$E4=1),1,0))</f>
        <v/>
      </c>
      <c r="ABR5">
        <f>IF($C4=54,0,ABR4+IF(AND($G4=54,$E4=1),1,0))</f>
        <v/>
      </c>
      <c r="ABS5">
        <f>IF($C4=55,0,ABS4+IF(AND($G4=55,$E4=1),1,0))</f>
        <v/>
      </c>
      <c r="ABT5">
        <f>IF($C4=56,0,ABT4+IF(AND($G4=56,$E4=1),1,0))</f>
        <v/>
      </c>
      <c r="ABU5">
        <f>IF($C4=57,0,ABU4+IF(AND($G4=57,$E4=1),1,0))</f>
        <v/>
      </c>
      <c r="ABV5">
        <f>IF($C4=58,0,ABV4+IF(AND($G4=58,$E4=1),1,0))</f>
        <v/>
      </c>
      <c r="ABW5">
        <f>IF($C4=59,0,ABW4+IF(AND($G4=59,$E4=1),1,0))</f>
        <v/>
      </c>
      <c r="ABX5">
        <f>IF($C4=60,0,ABX4+IF(AND($G4=60,$E4=1),1,0))</f>
        <v/>
      </c>
      <c r="ABY5">
        <f>IF($C4=61,0,ABY4+IF(AND($G4=61,$E4=1),1,0))</f>
        <v/>
      </c>
      <c r="ABZ5">
        <f>IF($C4=62,0,ABZ4+IF(AND($G4=62,$E4=1),1,0))</f>
        <v/>
      </c>
      <c r="ACA5">
        <f>IF($C4=63,0,ACA4+IF(AND($G4=63,$E4=1),1,0))</f>
        <v/>
      </c>
      <c r="ACB5">
        <f>IF($C4=64,0,ACB4+IF(AND($G4=64,$E4=1),1,0))</f>
        <v/>
      </c>
      <c r="ACC5">
        <f>IF($C4=65,0,ACC4+IF(AND($G4=65,$E4=1),1,0))</f>
        <v/>
      </c>
      <c r="ACD5">
        <f>IF($C4=66,0,ACD4+IF(AND($G4=66,$E4=1),1,0))</f>
        <v/>
      </c>
      <c r="ACE5">
        <f>IF($C4=67,0,ACE4+IF(AND($G4=67,$E4=1),1,0))</f>
        <v/>
      </c>
      <c r="ACF5">
        <f>IF($C4=68,0,ACF4+IF(AND($G4=68,$E4=1),1,0))</f>
        <v/>
      </c>
      <c r="ACG5">
        <f>IF($C4=69,0,ACG4+IF(AND($G4=69,$E4=1),1,0))</f>
        <v/>
      </c>
      <c r="ACH5">
        <f>IF($C4=70,0,ACH4+IF(AND($G4=70,$E4=1),1,0))</f>
        <v/>
      </c>
      <c r="ACI5">
        <f>IF($C4=71,0,ACI4+IF(AND($G4=71,$E4=1),1,0))</f>
        <v/>
      </c>
      <c r="ACJ5">
        <f>IF($C4=72,0,ACJ4+IF(AND($G4=72,$E4=1),1,0))</f>
        <v/>
      </c>
      <c r="ACK5">
        <f>IF($C4=73,0,ACK4+IF(AND($G4=73,$E4=1),1,0))</f>
        <v/>
      </c>
      <c r="ACL5">
        <f>IF($C4=74,0,ACL4+IF(AND($G4=74,$E4=1),1,0))</f>
        <v/>
      </c>
      <c r="ACM5">
        <f>IF($C4=75,0,ACM4+IF(AND($G4=75,$E4=1),1,0))</f>
        <v/>
      </c>
      <c r="ACN5">
        <f>IF($C4=76,0,ACN4+IF(AND($G4=76,$E4=1),1,0))</f>
        <v/>
      </c>
      <c r="ACO5">
        <f>IF($C4=77,0,ACO4+IF(AND($G4=77,$E4=1),1,0))</f>
        <v/>
      </c>
      <c r="ACP5">
        <f>IF($C4=78,0,ACP4+IF(AND($G4=78,$E4=1),1,0))</f>
        <v/>
      </c>
      <c r="ACQ5">
        <f>IF($C4=79,0,ACQ4+IF(AND($G4=79,$E4=1),1,0))</f>
        <v/>
      </c>
      <c r="ACR5">
        <f>IF($C4=80,0,ACR4+IF(AND($G4=80,$E4=1),1,0))</f>
        <v/>
      </c>
      <c r="ACS5">
        <f>IF($C4=81,0,ACS4+IF(AND($G4=81,$E4=1),1,0))</f>
        <v/>
      </c>
      <c r="ACT5">
        <f>IF($C4=82,0,ACT4+IF(AND($G4=82,$E4=1),1,0))</f>
        <v/>
      </c>
      <c r="ACU5">
        <f>IF($C4=83,0,ACU4+IF(AND($G4=83,$E4=1),1,0))</f>
        <v/>
      </c>
      <c r="ACV5">
        <f>IF($C4=84,0,ACV4+IF(AND($G4=84,$E4=1),1,0))</f>
        <v/>
      </c>
      <c r="ACW5">
        <f>IF($C4=85,0,ACW4+IF(AND($G4=85,$E4=1),1,0))</f>
        <v/>
      </c>
      <c r="ACX5">
        <f>IF($C4=86,0,ACX4+IF(AND($G4=86,$E4=1),1,0))</f>
        <v/>
      </c>
      <c r="ACY5">
        <f>IF($C4=87,0,ACY4+IF(AND($G4=87,$E4=1),1,0))</f>
        <v/>
      </c>
      <c r="ACZ5">
        <f>IF($C4=88,0,ACZ4+IF(AND($G4=88,$E4=1),1,0))</f>
        <v/>
      </c>
      <c r="ADA5">
        <f>IF($C4=89,0,ADA4+IF(AND($G4=89,$E4=1),1,0))</f>
        <v/>
      </c>
      <c r="ADB5">
        <f>IF($C4=90,0,ADB4+IF(AND($G4=90,$E4=1),1,0))</f>
        <v/>
      </c>
      <c r="ADC5">
        <f>IF($C4=91,0,ADC4+IF(AND($G4=91,$E4=1),1,0))</f>
        <v/>
      </c>
      <c r="ADD5">
        <f>IF($C4=92,0,ADD4+IF(AND($G4=92,$E4=1),1,0))</f>
        <v/>
      </c>
      <c r="ADE5">
        <f>IF($C4=93,0,ADE4+IF(AND($G4=93,$E4=1),1,0))</f>
        <v/>
      </c>
      <c r="ADF5">
        <f>IF($C4=94,0,ADF4+IF(AND($G4=94,$E4=1),1,0))</f>
        <v/>
      </c>
      <c r="ADG5">
        <f>IF($C4=95,0,ADG4+IF(AND($G4=95,$E4=1),1,0))</f>
        <v/>
      </c>
      <c r="ADH5">
        <f>IF($C4=96,0,ADH4+IF(AND($G4=96,$E4=1),1,0))</f>
        <v/>
      </c>
      <c r="ADI5">
        <f>IF($C4=97,0,ADI4+IF(AND($G4=97,$E4=1),1,0))</f>
        <v/>
      </c>
      <c r="ADJ5">
        <f>IF($C4=98,0,ADJ4+IF(AND($G4=98,$E4=1),1,0))</f>
        <v/>
      </c>
      <c r="ADK5">
        <f>IF($C4=99,0,ADK4+IF(AND($G4=99,$E4=1),1,0))</f>
        <v/>
      </c>
      <c r="ADL5">
        <f>IF($C4=100,0,ADL4+IF(AND($G4=100,$E4=1),1,0))</f>
        <v/>
      </c>
      <c r="ADM5">
        <f>IF($C4=101,0,ADM4+IF(AND($G4=101,$E4=1),1,0))</f>
        <v/>
      </c>
      <c r="ADN5">
        <f>IF($C4=102,0,ADN4+IF(AND($G4=102,$E4=1),1,0))</f>
        <v/>
      </c>
      <c r="ADO5">
        <f>IF($C4=103,0,ADO4+IF(AND($G4=103,$E4=1),1,0))</f>
        <v/>
      </c>
      <c r="ADP5">
        <f>IF($C4=104,0,ADP4+IF(AND($G4=104,$E4=1),1,0))</f>
        <v/>
      </c>
      <c r="ADQ5">
        <f>IF($C4=105,0,ADQ4+IF(AND($G4=105,$E4=1),1,0))</f>
        <v/>
      </c>
      <c r="ADR5">
        <f>IF($C4=106,0,ADR4+IF(AND($G4=106,$E4=1),1,0))</f>
        <v/>
      </c>
      <c r="ADS5">
        <f>IF($C4=107,0,ADS4+IF(AND($G4=107,$E4=1),1,0))</f>
        <v/>
      </c>
      <c r="ADT5">
        <f>IF($C4=108,0,ADT4+IF(AND($G4=108,$E4=1),1,0))</f>
        <v/>
      </c>
      <c r="ADU5">
        <f>IF($C4=109,0,ADU4+IF(AND($G4=109,$E4=1),1,0))</f>
        <v/>
      </c>
      <c r="ADV5">
        <f>IF($C4=110,0,ADV4+IF(AND($G4=110,$E4=1),1,0))</f>
        <v/>
      </c>
      <c r="ADW5">
        <f>IF($C4=111,0,ADW4+IF(AND($G4=111,$E4=1),1,0))</f>
        <v/>
      </c>
      <c r="ADX5">
        <f>IF($C4=112,0,ADX4+IF(AND($G4=112,$E4=1),1,0))</f>
        <v/>
      </c>
      <c r="ADY5">
        <f>IF($C4=113,0,ADY4+IF(AND($G4=113,$E4=1),1,0))</f>
        <v/>
      </c>
      <c r="ADZ5">
        <f>IF($C4=114,0,ADZ4+IF(AND($G4=114,$E4=1),1,0))</f>
        <v/>
      </c>
      <c r="AEA5">
        <f>IF($C4=115,0,AEA4+IF(AND($G4=115,$E4=1),1,0))</f>
        <v/>
      </c>
      <c r="AEB5">
        <f>IF($C4=116,0,AEB4+IF(AND($G4=116,$E4=1),1,0))</f>
        <v/>
      </c>
      <c r="AEC5">
        <f>IF($C4=117,0,AEC4+IF(AND($G4=117,$E4=1),1,0))</f>
        <v/>
      </c>
      <c r="AED5">
        <f>IF($C4=118,0,AED4+IF(AND($G4=118,$E4=1),1,0))</f>
        <v/>
      </c>
      <c r="AEE5">
        <f>IF($C4=119,0,AEE4+IF(AND($G4=119,$E4=1),1,0))</f>
        <v/>
      </c>
      <c r="AEF5">
        <f>IF($C4=120,0,AEF4+IF(AND($G4=120,$E4=1),1,0))</f>
        <v/>
      </c>
      <c r="AEG5">
        <f>IF($C4=121,0,AEG4+IF(AND($G4=121,$E4=1),1,0))</f>
        <v/>
      </c>
      <c r="AEH5">
        <f>IF($C4=122,0,AEH4+IF(AND($G4=122,$E4=1),1,0))</f>
        <v/>
      </c>
      <c r="AEI5">
        <f>IF($C4=123,0,AEI4+IF(AND($G4=123,$E4=1),1,0))</f>
        <v/>
      </c>
      <c r="AEJ5">
        <f>IF($C4=124,0,AEJ4+IF(AND($G4=124,$E4=1),1,0))</f>
        <v/>
      </c>
      <c r="AEK5">
        <f>IF($C4=125,0,AEK4+IF(AND($G4=125,$E4=1),1,0))</f>
        <v/>
      </c>
      <c r="AEL5">
        <f>IF($C4=126,0,AEL4+IF(AND($G4=126,$E4=1),1,0))</f>
        <v/>
      </c>
      <c r="AEM5">
        <f>IF($C4=127,0,AEM4+IF(AND($G4=127,$E4=1),1,0))</f>
        <v/>
      </c>
      <c r="AEN5">
        <f>IF($C4=128,0,AEN4+IF(AND($G4=128,$E4=1),1,0))</f>
        <v/>
      </c>
      <c r="AEO5">
        <f>IF($C4=129,0,AEO4+IF(AND($G4=129,$E4=1),1,0))</f>
        <v/>
      </c>
      <c r="AEP5">
        <f>IF($C4=130,0,AEP4+IF(AND($G4=130,$E4=1),1,0))</f>
        <v/>
      </c>
      <c r="AEQ5">
        <f>IF($C4=131,0,AEQ4+IF(AND($G4=131,$E4=1),1,0))</f>
        <v/>
      </c>
      <c r="AER5">
        <f>IF($C4=132,0,AER4+IF(AND($G4=132,$E4=1),1,0))</f>
        <v/>
      </c>
      <c r="AES5">
        <f>IF($C4=133,0,AES4+IF(AND($G4=133,$E4=1),1,0))</f>
        <v/>
      </c>
      <c r="AET5">
        <f>IF($C4=134,0,AET4+IF(AND($G4=134,$E4=1),1,0))</f>
        <v/>
      </c>
      <c r="AEU5">
        <f>IF($C4=135,0,AEU4+IF(AND($G4=135,$E4=1),1,0))</f>
        <v/>
      </c>
      <c r="AEV5">
        <f>IF($C4=136,0,AEV4+IF(AND($G4=136,$E4=1),1,0))</f>
        <v/>
      </c>
      <c r="AEW5">
        <f>IF($C4=137,0,AEW4+IF(AND($G4=137,$E4=1),1,0))</f>
        <v/>
      </c>
      <c r="AEX5">
        <f>IF($C4=138,0,AEX4+IF(AND($G4=138,$E4=1),1,0))</f>
        <v/>
      </c>
      <c r="AEY5">
        <f>IF($C4=139,0,AEY4+IF(AND($G4=139,$E4=1),1,0))</f>
        <v/>
      </c>
      <c r="AEZ5">
        <f>IF($C4=140,0,AEZ4+IF(AND($G4=140,$E4=1),1,0))</f>
        <v/>
      </c>
      <c r="AFA5">
        <f>IF($C4=141,0,AFA4+IF(AND($G4=141,$E4=1),1,0))</f>
        <v/>
      </c>
      <c r="AFB5">
        <f>IF($C4=142,0,AFB4+IF(AND($G4=142,$E4=1),1,0))</f>
        <v/>
      </c>
      <c r="AFC5">
        <f>IF($C4=143,0,AFC4+IF(AND($G4=143,$E4=1),1,0))</f>
        <v/>
      </c>
      <c r="AFD5">
        <f>IF($C4=144,0,AFD4+IF(AND($G4=144,$E4=1),1,0))</f>
        <v/>
      </c>
      <c r="AFF5">
        <f>IF('calcA'!D$106=1,DC5+ZR5,1)</f>
        <v/>
      </c>
      <c r="AFG5">
        <f>IF('calcA'!E$106=1,DD5+ZS5,1)</f>
        <v/>
      </c>
      <c r="AFH5">
        <f>IF('calcA'!F$106=1,DE5+ZT5,1)</f>
        <v/>
      </c>
      <c r="AFI5">
        <f>IF('calcA'!G$106=1,DF5+ZU5,1)</f>
        <v/>
      </c>
      <c r="AFJ5">
        <f>IF('calcA'!H$106=1,DG5+ZV5,1)</f>
        <v/>
      </c>
      <c r="AFK5">
        <f>IF('calcA'!I$106=1,DH5+ZW5,1)</f>
        <v/>
      </c>
      <c r="AFL5">
        <f>IF('calcA'!J$106=1,DI5+ZX5,1)</f>
        <v/>
      </c>
      <c r="AFM5">
        <f>IF('calcA'!K$106=1,DJ5+ZY5,1)</f>
        <v/>
      </c>
      <c r="AFN5">
        <f>IF('calcA'!L$106=1,DK5+ZZ5,1)</f>
        <v/>
      </c>
      <c r="AFO5">
        <f>IF('calcA'!M$106=1,DL5+AAA5,1)</f>
        <v/>
      </c>
      <c r="AFP5">
        <f>IF('calcA'!N$106=1,DM5+AAB5,1)</f>
        <v/>
      </c>
      <c r="AFQ5">
        <f>IF('calcA'!O$106=1,DN5+AAC5,1)</f>
        <v/>
      </c>
      <c r="AFR5">
        <f>IF('calcA'!P$106=1,DO5+AAD5,1)</f>
        <v/>
      </c>
      <c r="AFS5">
        <f>IF('calcA'!Q$106=1,DP5+AAE5,1)</f>
        <v/>
      </c>
      <c r="AFT5">
        <f>IF('calcA'!R$106=1,DQ5+AAF5,1)</f>
        <v/>
      </c>
      <c r="AFU5">
        <f>IF('calcA'!S$106=1,DR5+AAG5,1)</f>
        <v/>
      </c>
      <c r="AFV5">
        <f>IF('calcA'!T$106=1,DS5+AAH5,1)</f>
        <v/>
      </c>
      <c r="AFW5">
        <f>IF('calcA'!U$106=1,DT5+AAI5,1)</f>
        <v/>
      </c>
      <c r="AFX5">
        <f>IF('calcA'!V$106=1,DU5+AAJ5,1)</f>
        <v/>
      </c>
      <c r="AFY5">
        <f>IF('calcA'!W$106=1,DV5+AAK5,1)</f>
        <v/>
      </c>
      <c r="AFZ5">
        <f>IF('calcA'!X$106=1,DW5+AAL5,1)</f>
        <v/>
      </c>
      <c r="AGA5">
        <f>IF('calcA'!Y$106=1,DX5+AAM5,1)</f>
        <v/>
      </c>
      <c r="AGB5">
        <f>IF('calcA'!Z$106=1,DY5+AAN5,1)</f>
        <v/>
      </c>
      <c r="AGC5">
        <f>IF('calcA'!AA$106=1,DZ5+AAO5,1)</f>
        <v/>
      </c>
      <c r="AGD5">
        <f>IF('calcA'!AB$106=1,EA5+AAP5,1)</f>
        <v/>
      </c>
      <c r="AGE5">
        <f>IF('calcA'!AC$106=1,EB5+AAQ5,1)</f>
        <v/>
      </c>
      <c r="AGF5">
        <f>IF('calcA'!AD$106=1,EC5+AAR5,1)</f>
        <v/>
      </c>
      <c r="AGG5">
        <f>IF('calcA'!AE$106=1,ED5+AAS5,1)</f>
        <v/>
      </c>
      <c r="AGH5">
        <f>IF('calcA'!AF$106=1,EE5+AAT5,1)</f>
        <v/>
      </c>
      <c r="AGI5">
        <f>IF('calcA'!AG$106=1,EF5+AAU5,1)</f>
        <v/>
      </c>
      <c r="AGJ5">
        <f>IF('calcA'!AH$106=1,EG5+AAV5,1)</f>
        <v/>
      </c>
      <c r="AGK5">
        <f>IF('calcA'!AI$106=1,EH5+AAW5,1)</f>
        <v/>
      </c>
      <c r="AGL5">
        <f>IF('calcA'!AJ$106=1,EI5+AAX5,1)</f>
        <v/>
      </c>
      <c r="AGM5">
        <f>IF('calcA'!AK$106=1,EJ5+AAY5,1)</f>
        <v/>
      </c>
      <c r="AGN5">
        <f>IF('calcA'!AL$106=1,EK5+AAZ5,1)</f>
        <v/>
      </c>
      <c r="AGO5">
        <f>IF('calcA'!AM$106=1,EL5+ABA5,1)</f>
        <v/>
      </c>
      <c r="AGP5">
        <f>IF('calcA'!AN$106=1,EM5+ABB5,1)</f>
        <v/>
      </c>
      <c r="AGQ5">
        <f>IF('calcA'!AO$106=1,EN5+ABC5,1)</f>
        <v/>
      </c>
      <c r="AGR5">
        <f>IF('calcA'!AP$106=1,EO5+ABD5,1)</f>
        <v/>
      </c>
      <c r="AGS5">
        <f>IF('calcA'!AQ$106=1,EP5+ABE5,1)</f>
        <v/>
      </c>
      <c r="AGT5">
        <f>IF('calcA'!AR$106=1,EQ5+ABF5,1)</f>
        <v/>
      </c>
      <c r="AGU5">
        <f>IF('calcA'!AS$106=1,ER5+ABG5,1)</f>
        <v/>
      </c>
      <c r="AGV5">
        <f>IF('calcA'!AT$106=1,ES5+ABH5,1)</f>
        <v/>
      </c>
      <c r="AGW5">
        <f>IF('calcA'!AU$106=1,ET5+ABI5,1)</f>
        <v/>
      </c>
      <c r="AGX5">
        <f>IF('calcA'!AV$106=1,EU5+ABJ5,1)</f>
        <v/>
      </c>
      <c r="AGY5">
        <f>IF('calcA'!AW$106=1,EV5+ABK5,1)</f>
        <v/>
      </c>
      <c r="AGZ5">
        <f>IF('calcA'!AX$106=1,EW5+ABL5,1)</f>
        <v/>
      </c>
      <c r="AHA5">
        <f>IF('calcA'!AY$106=1,EX5+ABM5,1)</f>
        <v/>
      </c>
      <c r="AHB5">
        <f>IF('calcA'!AZ$106=1,EY5+ABN5,1)</f>
        <v/>
      </c>
      <c r="AHC5">
        <f>IF('calcA'!BA$106=1,EZ5+ABO5,1)</f>
        <v/>
      </c>
      <c r="AHD5">
        <f>IF('calcA'!BB$106=1,FA5+ABP5,1)</f>
        <v/>
      </c>
      <c r="AHE5">
        <f>IF('calcA'!BC$106=1,FB5+ABQ5,1)</f>
        <v/>
      </c>
      <c r="AHF5">
        <f>IF('calcA'!BD$106=1,FC5+ABR5,1)</f>
        <v/>
      </c>
      <c r="AHG5">
        <f>IF('calcA'!BE$106=1,FD5+ABS5,1)</f>
        <v/>
      </c>
      <c r="AHH5">
        <f>IF('calcA'!BF$106=1,FE5+ABT5,1)</f>
        <v/>
      </c>
      <c r="AHI5">
        <f>IF('calcA'!BG$106=1,FF5+ABU5,1)</f>
        <v/>
      </c>
      <c r="AHJ5">
        <f>IF('calcA'!BH$106=1,FG5+ABV5,1)</f>
        <v/>
      </c>
      <c r="AHK5">
        <f>IF('calcA'!BI$106=1,FH5+ABW5,1)</f>
        <v/>
      </c>
      <c r="AHL5">
        <f>IF('calcA'!BJ$106=1,FI5+ABX5,1)</f>
        <v/>
      </c>
      <c r="AHM5">
        <f>IF('calcA'!BK$106=1,FJ5+ABY5,1)</f>
        <v/>
      </c>
      <c r="AHN5">
        <f>IF('calcA'!BL$106=1,FK5+ABZ5,1)</f>
        <v/>
      </c>
      <c r="AHO5">
        <f>IF('calcA'!BM$106=1,FL5+ACA5,1)</f>
        <v/>
      </c>
      <c r="AHP5">
        <f>IF('calcA'!BN$106=1,FM5+ACB5,1)</f>
        <v/>
      </c>
      <c r="AHQ5">
        <f>IF('calcA'!BO$106=1,FN5+ACC5,1)</f>
        <v/>
      </c>
      <c r="AHR5">
        <f>IF('calcA'!BP$106=1,FO5+ACD5,1)</f>
        <v/>
      </c>
      <c r="AHS5">
        <f>IF('calcA'!BQ$106=1,FP5+ACE5,1)</f>
        <v/>
      </c>
      <c r="AHT5">
        <f>IF('calcA'!BR$106=1,FQ5+ACF5,1)</f>
        <v/>
      </c>
      <c r="AHU5">
        <f>IF('calcA'!BS$106=1,FR5+ACG5,1)</f>
        <v/>
      </c>
      <c r="AHV5">
        <f>IF('calcA'!BT$106=1,FS5+ACH5,1)</f>
        <v/>
      </c>
      <c r="AHW5">
        <f>IF('calcA'!BU$106=1,FT5+ACI5,1)</f>
        <v/>
      </c>
      <c r="AHX5">
        <f>IF('calcA'!BV$106=1,FU5+ACJ5,1)</f>
        <v/>
      </c>
      <c r="AHY5">
        <f>IF('calcA'!BW$106=1,FV5+ACK5,1)</f>
        <v/>
      </c>
      <c r="AHZ5">
        <f>IF('calcA'!BX$106=1,FW5+ACL5,1)</f>
        <v/>
      </c>
      <c r="AIA5">
        <f>IF('calcA'!BY$106=1,FX5+ACM5,1)</f>
        <v/>
      </c>
      <c r="AIB5">
        <f>IF('calcA'!BZ$106=1,FY5+ACN5,1)</f>
        <v/>
      </c>
      <c r="AIC5">
        <f>IF('calcA'!CA$106=1,FZ5+ACO5,1)</f>
        <v/>
      </c>
      <c r="AID5">
        <f>IF('calcA'!CB$106=1,GA5+ACP5,1)</f>
        <v/>
      </c>
      <c r="AIE5">
        <f>IF('calcA'!CC$106=1,GB5+ACQ5,1)</f>
        <v/>
      </c>
      <c r="AIF5">
        <f>IF('calcA'!CD$106=1,GC5+ACR5,1)</f>
        <v/>
      </c>
      <c r="AIG5">
        <f>IF('calcA'!CE$106=1,GD5+ACS5,1)</f>
        <v/>
      </c>
      <c r="AIH5">
        <f>IF('calcA'!CF$106=1,GE5+ACT5,1)</f>
        <v/>
      </c>
      <c r="AII5">
        <f>IF('calcA'!CG$106=1,GF5+ACU5,1)</f>
        <v/>
      </c>
      <c r="AIJ5">
        <f>IF('calcA'!CH$106=1,GG5+ACV5,1)</f>
        <v/>
      </c>
      <c r="AIK5">
        <f>IF('calcA'!CI$106=1,GH5+ACW5,1)</f>
        <v/>
      </c>
      <c r="AIL5">
        <f>IF('calcA'!CJ$106=1,GI5+ACX5,1)</f>
        <v/>
      </c>
      <c r="AIM5">
        <f>IF('calcA'!CK$106=1,GJ5+ACY5,1)</f>
        <v/>
      </c>
      <c r="AIN5">
        <f>IF('calcA'!CL$106=1,GK5+ACZ5,1)</f>
        <v/>
      </c>
      <c r="AIO5">
        <f>IF('calcA'!CM$106=1,GL5+ADA5,1)</f>
        <v/>
      </c>
      <c r="AIP5">
        <f>IF('calcA'!CN$106=1,GM5+ADB5,1)</f>
        <v/>
      </c>
      <c r="AIQ5">
        <f>IF('calcA'!CO$106=1,GN5+ADC5,1)</f>
        <v/>
      </c>
      <c r="AIR5">
        <f>IF('calcA'!CP$106=1,GO5+ADD5,1)</f>
        <v/>
      </c>
      <c r="AIS5">
        <f>IF('calcA'!CQ$106=1,GP5+ADE5,1)</f>
        <v/>
      </c>
      <c r="AIT5">
        <f>IF('calcA'!CR$106=1,GQ5+ADF5,1)</f>
        <v/>
      </c>
      <c r="AIU5">
        <f>IF('calcA'!CS$106=1,GR5+ADG5,1)</f>
        <v/>
      </c>
      <c r="AIV5">
        <f>IF('calcA'!CT$106=1,GS5+ADH5,1)</f>
        <v/>
      </c>
      <c r="AIW5">
        <f>IF('calcA'!CU$106=1,GT5+ADI5,1)</f>
        <v/>
      </c>
      <c r="AIX5">
        <f>IF('calcA'!CV$106=1,GU5+ADJ5,1)</f>
        <v/>
      </c>
      <c r="AIY5">
        <f>IF('calcA'!CW$106=1,GV5+ADK5,1)</f>
        <v/>
      </c>
      <c r="AIZ5">
        <f>IF('calcA'!CX$106=1,GW5+ADL5,1)</f>
        <v/>
      </c>
      <c r="AJA5">
        <f>IF('calcA'!CY$106=1,GX5+ADM5,1)</f>
        <v/>
      </c>
      <c r="AJB5">
        <f>IF('calcA'!CZ$106=1,GY5+ADN5,1)</f>
        <v/>
      </c>
      <c r="AJC5">
        <f>IF('calcA'!DA$106=1,GZ5+ADO5,1)</f>
        <v/>
      </c>
      <c r="AJD5">
        <f>IF('calcA'!DB$106=1,HA5+ADP5,1)</f>
        <v/>
      </c>
      <c r="AJE5">
        <f>IF('calcA'!DC$106=1,HB5+ADQ5,1)</f>
        <v/>
      </c>
      <c r="AJF5">
        <f>IF('calcA'!DD$106=1,HC5+ADR5,1)</f>
        <v/>
      </c>
      <c r="AJG5">
        <f>IF('calcA'!DE$106=1,HD5+ADS5,1)</f>
        <v/>
      </c>
      <c r="AJH5">
        <f>IF('calcA'!DF$106=1,HE5+ADT5,1)</f>
        <v/>
      </c>
      <c r="AJI5">
        <f>IF('calcA'!DG$106=1,HF5+ADU5,1)</f>
        <v/>
      </c>
      <c r="AJJ5">
        <f>IF('calcA'!DH$106=1,HG5+ADV5,1)</f>
        <v/>
      </c>
      <c r="AJK5">
        <f>IF('calcA'!DI$106=1,HH5+ADW5,1)</f>
        <v/>
      </c>
      <c r="AJL5">
        <f>IF('calcA'!DJ$106=1,HI5+ADX5,1)</f>
        <v/>
      </c>
      <c r="AJM5">
        <f>IF('calcA'!DK$106=1,HJ5+ADY5,1)</f>
        <v/>
      </c>
      <c r="AJN5">
        <f>IF('calcA'!DL$106=1,HK5+ADZ5,1)</f>
        <v/>
      </c>
      <c r="AJO5">
        <f>IF('calcA'!DM$106=1,HL5+AEA5,1)</f>
        <v/>
      </c>
      <c r="AJP5">
        <f>IF('calcA'!DN$106=1,HM5+AEB5,1)</f>
        <v/>
      </c>
      <c r="AJQ5">
        <f>IF('calcA'!DO$106=1,HN5+AEC5,1)</f>
        <v/>
      </c>
      <c r="AJR5">
        <f>IF('calcA'!DP$106=1,HO5+AED5,1)</f>
        <v/>
      </c>
      <c r="AJS5">
        <f>IF('calcA'!DQ$106=1,HP5+AEE5,1)</f>
        <v/>
      </c>
      <c r="AJT5">
        <f>IF('calcA'!DR$106=1,HQ5+AEF5,1)</f>
        <v/>
      </c>
      <c r="AJU5">
        <f>IF('calcA'!DS$106=1,HR5+AEG5,1)</f>
        <v/>
      </c>
      <c r="AJV5">
        <f>IF('calcA'!DT$106=1,HS5+AEH5,1)</f>
        <v/>
      </c>
      <c r="AJW5">
        <f>IF('calcA'!DU$106=1,HT5+AEI5,1)</f>
        <v/>
      </c>
      <c r="AJX5">
        <f>IF('calcA'!DV$106=1,HU5+AEJ5,1)</f>
        <v/>
      </c>
      <c r="AJY5">
        <f>IF('calcA'!DW$106=1,HV5+AEK5,1)</f>
        <v/>
      </c>
      <c r="AJZ5">
        <f>IF('calcA'!DX$106=1,HW5+AEL5,1)</f>
        <v/>
      </c>
      <c r="AKA5">
        <f>IF('calcA'!DY$106=1,HX5+AEM5,1)</f>
        <v/>
      </c>
      <c r="AKB5">
        <f>IF('calcA'!DZ$106=1,HY5+AEN5,1)</f>
        <v/>
      </c>
      <c r="AKC5">
        <f>IF('calcA'!EA$106=1,HZ5+AEO5,1)</f>
        <v/>
      </c>
      <c r="AKD5">
        <f>IF('calcA'!EB$106=1,IA5+AEP5,1)</f>
        <v/>
      </c>
      <c r="AKE5">
        <f>IF('calcA'!EC$106=1,IB5+AEQ5,1)</f>
        <v/>
      </c>
      <c r="AKF5">
        <f>IF('calcA'!ED$106=1,IC5+AER5,1)</f>
        <v/>
      </c>
      <c r="AKG5">
        <f>IF('calcA'!EE$106=1,ID5+AES5,1)</f>
        <v/>
      </c>
      <c r="AKH5">
        <f>IF('calcA'!EF$106=1,IE5+AET5,1)</f>
        <v/>
      </c>
      <c r="AKI5">
        <f>IF('calcA'!EG$106=1,IF5+AEU5,1)</f>
        <v/>
      </c>
      <c r="AKJ5">
        <f>IF('calcA'!EH$106=1,IG5+AEV5,1)</f>
        <v/>
      </c>
      <c r="AKK5">
        <f>IF('calcA'!EI$106=1,IH5+AEW5,1)</f>
        <v/>
      </c>
      <c r="AKL5">
        <f>IF('calcA'!EJ$106=1,II5+AEX5,1)</f>
        <v/>
      </c>
      <c r="AKM5">
        <f>IF('calcA'!EK$106=1,IJ5+AEY5,1)</f>
        <v/>
      </c>
      <c r="AKN5">
        <f>IF('calcA'!EL$106=1,IK5+AEZ5,1)</f>
        <v/>
      </c>
      <c r="AKO5">
        <f>IF('calcA'!EM$106=1,IL5+AFA5,1)</f>
        <v/>
      </c>
      <c r="AKP5">
        <f>IF('calcA'!EN$106=1,IM5+AFB5,1)</f>
        <v/>
      </c>
      <c r="AKQ5">
        <f>IF('calcA'!EO$106=1,IN5+AFC5,1)</f>
        <v/>
      </c>
      <c r="AKR5">
        <f>IF('calcA'!EP$106=1,IO5+AFD5,1)</f>
        <v/>
      </c>
      <c r="AKS5" t="n">
        <v>1</v>
      </c>
    </row>
    <row r="6">
      <c r="A6" t="n">
        <v>4</v>
      </c>
      <c r="B6">
        <f>IF(MIN(BM6:CZ6)&gt;=1000000000,0,MATCH(MIN(BM6:CZ6),BM6:CZ6,0))</f>
        <v/>
      </c>
      <c r="C6">
        <f>IF(MIN(OF6:TS6)&gt;=1000000000,0,MATCH(MIN(OF6:TS6),OF6:TS6,0))</f>
        <v/>
      </c>
      <c r="D6">
        <f>IF(C6&gt;0,INDEX('calcA'!$D$5:$EQ$5,C6),0)</f>
        <v/>
      </c>
      <c r="E6">
        <f>IF(B6=0,0,INDEX('calcA'!$IQ$10:$IQ$54,B6))</f>
        <v/>
      </c>
      <c r="F6">
        <f>IF(B6=0,0,INDEX('calcA'!$IP$10:$IP$54,B6))</f>
        <v/>
      </c>
      <c r="G6">
        <f>IF(AND(C6&gt;0,E6&gt;0),IF(AND(INDEX('calcA'!$D$106:$EQ$106,C6)=1,INDEX($IQ6:$OD6,C6)=1),C6+1,0),0)</f>
        <v/>
      </c>
      <c r="H6">
        <f>IF(B6=0,0,INDEX('calcA'!$IW$10:$IW$54,B6))</f>
        <v/>
      </c>
      <c r="U6">
        <f>IF(B6=0,0,INDEX('calcA'!$IX$10:$IX$54,B6))</f>
        <v/>
      </c>
      <c r="V6">
        <f>IF(B6=0,0,INDEX('calcA'!$JF$10:$JF$54,B6))</f>
        <v/>
      </c>
      <c r="W6">
        <f>IF(B6=0,0,IF(IF(E6=2,SUMPRODUCT(INDEX('calcA'!$D$60:$EQ$99,B6,0),$DB6:$IO6,$IQ6:$OD6),SUMPRODUCT(INDEX('calcA'!$D$60:$EQ$99,B6,0),$DB6:$IO6))=0,1,0))</f>
        <v/>
      </c>
      <c r="X6">
        <f>MAX(X5,IF($B5=1,1,0))</f>
        <v/>
      </c>
      <c r="Y6">
        <f>MAX(Y5,IF($B5=2,1,0))</f>
        <v/>
      </c>
      <c r="Z6">
        <f>MAX(Z5,IF($B5=3,1,0))</f>
        <v/>
      </c>
      <c r="AA6">
        <f>MAX(AA5,IF($B5=4,1,0))</f>
        <v/>
      </c>
      <c r="AB6">
        <f>MAX(AB5,IF($B5=5,1,0))</f>
        <v/>
      </c>
      <c r="AC6">
        <f>MAX(AC5,IF($B5=6,1,0))</f>
        <v/>
      </c>
      <c r="AD6">
        <f>MAX(AD5,IF($B5=7,1,0))</f>
        <v/>
      </c>
      <c r="AE6">
        <f>MAX(AE5,IF($B5=8,1,0))</f>
        <v/>
      </c>
      <c r="AF6">
        <f>MAX(AF5,IF($B5=9,1,0))</f>
        <v/>
      </c>
      <c r="AG6">
        <f>MAX(AG5,IF($B5=10,1,0))</f>
        <v/>
      </c>
      <c r="AH6">
        <f>MAX(AH5,IF($B5=11,1,0))</f>
        <v/>
      </c>
      <c r="AI6">
        <f>MAX(AI5,IF($B5=12,1,0))</f>
        <v/>
      </c>
      <c r="AJ6">
        <f>MAX(AJ5,IF($B5=13,1,0))</f>
        <v/>
      </c>
      <c r="AK6">
        <f>MAX(AK5,IF($B5=14,1,0))</f>
        <v/>
      </c>
      <c r="AL6">
        <f>MAX(AL5,IF($B5=15,1,0))</f>
        <v/>
      </c>
      <c r="AM6">
        <f>MAX(AM5,IF($B5=16,1,0))</f>
        <v/>
      </c>
      <c r="AN6">
        <f>MAX(AN5,IF($B5=17,1,0))</f>
        <v/>
      </c>
      <c r="AO6">
        <f>MAX(AO5,IF($B5=18,1,0))</f>
        <v/>
      </c>
      <c r="AP6">
        <f>MAX(AP5,IF($B5=19,1,0))</f>
        <v/>
      </c>
      <c r="AQ6">
        <f>MAX(AQ5,IF($B5=20,1,0))</f>
        <v/>
      </c>
      <c r="AR6">
        <f>MAX(AR5,IF($B5=21,1,0))</f>
        <v/>
      </c>
      <c r="AS6">
        <f>MAX(AS5,IF($B5=22,1,0))</f>
        <v/>
      </c>
      <c r="AT6">
        <f>MAX(AT5,IF($B5=23,1,0))</f>
        <v/>
      </c>
      <c r="AU6">
        <f>MAX(AU5,IF($B5=24,1,0))</f>
        <v/>
      </c>
      <c r="AV6">
        <f>MAX(AV5,IF($B5=25,1,0))</f>
        <v/>
      </c>
      <c r="AW6">
        <f>MAX(AW5,IF($B5=26,1,0))</f>
        <v/>
      </c>
      <c r="AX6">
        <f>MAX(AX5,IF($B5=27,1,0))</f>
        <v/>
      </c>
      <c r="AY6">
        <f>MAX(AY5,IF($B5=28,1,0))</f>
        <v/>
      </c>
      <c r="AZ6">
        <f>MAX(AZ5,IF($B5=29,1,0))</f>
        <v/>
      </c>
      <c r="BA6">
        <f>MAX(BA5,IF($B5=30,1,0))</f>
        <v/>
      </c>
      <c r="BB6">
        <f>MAX(BB5,IF($B5=31,1,0))</f>
        <v/>
      </c>
      <c r="BC6">
        <f>MAX(BC5,IF($B5=32,1,0))</f>
        <v/>
      </c>
      <c r="BD6">
        <f>MAX(BD5,IF($B5=33,1,0))</f>
        <v/>
      </c>
      <c r="BE6">
        <f>MAX(BE5,IF($B5=34,1,0))</f>
        <v/>
      </c>
      <c r="BF6">
        <f>MAX(BF5,IF($B5=35,1,0))</f>
        <v/>
      </c>
      <c r="BG6">
        <f>MAX(BG5,IF($B5=36,1,0))</f>
        <v/>
      </c>
      <c r="BH6">
        <f>MAX(BH5,IF($B5=37,1,0))</f>
        <v/>
      </c>
      <c r="BI6">
        <f>MAX(BI5,IF($B5=38,1,0))</f>
        <v/>
      </c>
      <c r="BJ6">
        <f>MAX(BJ5,IF($B5=39,1,0))</f>
        <v/>
      </c>
      <c r="BK6">
        <f>MAX(BK5,IF($B5=40,1,0))</f>
        <v/>
      </c>
      <c r="BM6">
        <f>IF(OR(X6=1,calcA!$A$6=0),1000000000,IF('calcA'!$JF$10=1,0,100000000)+IF('calcA'!$IQ$10=2,SUMPRODUCT('calcA'!$D$60:$EQ$60,$DB6:$IO6,$IQ6:$OD6)*1000+SUMPRODUCT('calcA'!$D$60:$EQ$60,$DB6:$IO6+$ZQ6:$AFD6,$AFF6:$AKS6),SUMPRODUCT('calcA'!$D$60:$EQ$60,$DB6:$IO6*1001+$ZQ6:$AFD6))*100+1)</f>
        <v/>
      </c>
      <c r="BN6">
        <f>IF(OR(Y6=1,calcA!$A$6=0),1000000000,IF('calcA'!$JF$11=1,0,100000000)+IF('calcA'!$IQ$11=2,SUMPRODUCT('calcA'!$D$61:$EQ$61,$DB6:$IO6,$IQ6:$OD6)*1000+SUMPRODUCT('calcA'!$D$61:$EQ$61,$DB6:$IO6+$ZQ6:$AFD6,$AFF6:$AKS6),SUMPRODUCT('calcA'!$D$61:$EQ$61,$DB6:$IO6*1001+$ZQ6:$AFD6))*100+2)</f>
        <v/>
      </c>
      <c r="BO6">
        <f>IF(OR(Z6=1,calcA!$A$6=0),1000000000,IF('calcA'!$JF$12=1,0,100000000)+IF('calcA'!$IQ$12=2,SUMPRODUCT('calcA'!$D$62:$EQ$62,$DB6:$IO6,$IQ6:$OD6)*1000+SUMPRODUCT('calcA'!$D$62:$EQ$62,$DB6:$IO6+$ZQ6:$AFD6,$AFF6:$AKS6),SUMPRODUCT('calcA'!$D$62:$EQ$62,$DB6:$IO6*1001+$ZQ6:$AFD6))*100+3)</f>
        <v/>
      </c>
      <c r="BP6">
        <f>IF(OR(AA6=1,calcA!$A$6=0),1000000000,IF('calcA'!$JF$13=1,0,100000000)+IF('calcA'!$IQ$13=2,SUMPRODUCT('calcA'!$D$63:$EQ$63,$DB6:$IO6,$IQ6:$OD6)*1000+SUMPRODUCT('calcA'!$D$63:$EQ$63,$DB6:$IO6+$ZQ6:$AFD6,$AFF6:$AKS6),SUMPRODUCT('calcA'!$D$63:$EQ$63,$DB6:$IO6*1001+$ZQ6:$AFD6))*100+4)</f>
        <v/>
      </c>
      <c r="BQ6">
        <f>IF(OR(AB6=1,calcA!$A$6=0),1000000000,IF('calcA'!$JF$14=1,0,100000000)+IF('calcA'!$IQ$14=2,SUMPRODUCT('calcA'!$D$64:$EQ$64,$DB6:$IO6,$IQ6:$OD6)*1000+SUMPRODUCT('calcA'!$D$64:$EQ$64,$DB6:$IO6+$ZQ6:$AFD6,$AFF6:$AKS6),SUMPRODUCT('calcA'!$D$64:$EQ$64,$DB6:$IO6*1001+$ZQ6:$AFD6))*100+5)</f>
        <v/>
      </c>
      <c r="BR6">
        <f>IF(OR(AC6=1,calcA!$A$6=0),1000000000,IF('calcA'!$JF$15=1,0,100000000)+IF('calcA'!$IQ$15=2,SUMPRODUCT('calcA'!$D$65:$EQ$65,$DB6:$IO6,$IQ6:$OD6)*1000+SUMPRODUCT('calcA'!$D$65:$EQ$65,$DB6:$IO6+$ZQ6:$AFD6,$AFF6:$AKS6),SUMPRODUCT('calcA'!$D$65:$EQ$65,$DB6:$IO6*1001+$ZQ6:$AFD6))*100+6)</f>
        <v/>
      </c>
      <c r="BS6">
        <f>IF(OR(AD6=1,calcA!$A$6=0),1000000000,IF('calcA'!$JF$16=1,0,100000000)+IF('calcA'!$IQ$16=2,SUMPRODUCT('calcA'!$D$66:$EQ$66,$DB6:$IO6,$IQ6:$OD6)*1000+SUMPRODUCT('calcA'!$D$66:$EQ$66,$DB6:$IO6+$ZQ6:$AFD6,$AFF6:$AKS6),SUMPRODUCT('calcA'!$D$66:$EQ$66,$DB6:$IO6*1001+$ZQ6:$AFD6))*100+7)</f>
        <v/>
      </c>
      <c r="BT6">
        <f>IF(OR(AE6=1,calcA!$A$6=0),1000000000,IF('calcA'!$JF$17=1,0,100000000)+IF('calcA'!$IQ$17=2,SUMPRODUCT('calcA'!$D$67:$EQ$67,$DB6:$IO6,$IQ6:$OD6)*1000+SUMPRODUCT('calcA'!$D$67:$EQ$67,$DB6:$IO6+$ZQ6:$AFD6,$AFF6:$AKS6),SUMPRODUCT('calcA'!$D$67:$EQ$67,$DB6:$IO6*1001+$ZQ6:$AFD6))*100+8)</f>
        <v/>
      </c>
      <c r="BU6">
        <f>IF(OR(AF6=1,calcA!$A$6=0),1000000000,IF('calcA'!$JF$18=1,0,100000000)+IF('calcA'!$IQ$18=2,SUMPRODUCT('calcA'!$D$68:$EQ$68,$DB6:$IO6,$IQ6:$OD6)*1000+SUMPRODUCT('calcA'!$D$68:$EQ$68,$DB6:$IO6+$ZQ6:$AFD6,$AFF6:$AKS6),SUMPRODUCT('calcA'!$D$68:$EQ$68,$DB6:$IO6*1001+$ZQ6:$AFD6))*100+9)</f>
        <v/>
      </c>
      <c r="BV6">
        <f>IF(OR(AG6=1,calcA!$A$6=0),1000000000,IF('calcA'!$JF$19=1,0,100000000)+IF('calcA'!$IQ$19=2,SUMPRODUCT('calcA'!$D$69:$EQ$69,$DB6:$IO6,$IQ6:$OD6)*1000+SUMPRODUCT('calcA'!$D$69:$EQ$69,$DB6:$IO6+$ZQ6:$AFD6,$AFF6:$AKS6),SUMPRODUCT('calcA'!$D$69:$EQ$69,$DB6:$IO6*1001+$ZQ6:$AFD6))*100+10)</f>
        <v/>
      </c>
      <c r="BW6">
        <f>IF(OR(AH6=1,calcA!$A$6=0),1000000000,IF('calcA'!$JF$20=1,0,100000000)+IF('calcA'!$IQ$20=2,SUMPRODUCT('calcA'!$D$70:$EQ$70,$DB6:$IO6,$IQ6:$OD6)*1000+SUMPRODUCT('calcA'!$D$70:$EQ$70,$DB6:$IO6+$ZQ6:$AFD6,$AFF6:$AKS6),SUMPRODUCT('calcA'!$D$70:$EQ$70,$DB6:$IO6*1001+$ZQ6:$AFD6))*100+11)</f>
        <v/>
      </c>
      <c r="BX6">
        <f>IF(OR(AI6=1,calcA!$A$6=0),1000000000,IF('calcA'!$JF$21=1,0,100000000)+IF('calcA'!$IQ$21=2,SUMPRODUCT('calcA'!$D$71:$EQ$71,$DB6:$IO6,$IQ6:$OD6)*1000+SUMPRODUCT('calcA'!$D$71:$EQ$71,$DB6:$IO6+$ZQ6:$AFD6,$AFF6:$AKS6),SUMPRODUCT('calcA'!$D$71:$EQ$71,$DB6:$IO6*1001+$ZQ6:$AFD6))*100+12)</f>
        <v/>
      </c>
      <c r="BY6">
        <f>IF(OR(AJ6=1,calcA!$A$6=0),1000000000,IF('calcA'!$JF$22=1,0,100000000)+IF('calcA'!$IQ$22=2,SUMPRODUCT('calcA'!$D$72:$EQ$72,$DB6:$IO6,$IQ6:$OD6)*1000+SUMPRODUCT('calcA'!$D$72:$EQ$72,$DB6:$IO6+$ZQ6:$AFD6,$AFF6:$AKS6),SUMPRODUCT('calcA'!$D$72:$EQ$72,$DB6:$IO6*1001+$ZQ6:$AFD6))*100+13)</f>
        <v/>
      </c>
      <c r="BZ6">
        <f>IF(OR(AK6=1,calcA!$A$6=0),1000000000,IF('calcA'!$JF$23=1,0,100000000)+IF('calcA'!$IQ$23=2,SUMPRODUCT('calcA'!$D$73:$EQ$73,$DB6:$IO6,$IQ6:$OD6)*1000+SUMPRODUCT('calcA'!$D$73:$EQ$73,$DB6:$IO6+$ZQ6:$AFD6,$AFF6:$AKS6),SUMPRODUCT('calcA'!$D$73:$EQ$73,$DB6:$IO6*1001+$ZQ6:$AFD6))*100+14)</f>
        <v/>
      </c>
      <c r="CA6">
        <f>IF(OR(AL6=1,calcA!$A$6=0),1000000000,IF('calcA'!$JF$24=1,0,100000000)+IF('calcA'!$IQ$24=2,SUMPRODUCT('calcA'!$D$74:$EQ$74,$DB6:$IO6,$IQ6:$OD6)*1000+SUMPRODUCT('calcA'!$D$74:$EQ$74,$DB6:$IO6+$ZQ6:$AFD6,$AFF6:$AKS6),SUMPRODUCT('calcA'!$D$74:$EQ$74,$DB6:$IO6*1001+$ZQ6:$AFD6))*100+15)</f>
        <v/>
      </c>
      <c r="CB6">
        <f>IF(OR(AM6=1,calcA!$A$6=0),1000000000,IF('calcA'!$JF$25=1,0,100000000)+IF('calcA'!$IQ$25=2,SUMPRODUCT('calcA'!$D$75:$EQ$75,$DB6:$IO6,$IQ6:$OD6)*1000+SUMPRODUCT('calcA'!$D$75:$EQ$75,$DB6:$IO6+$ZQ6:$AFD6,$AFF6:$AKS6),SUMPRODUCT('calcA'!$D$75:$EQ$75,$DB6:$IO6*1001+$ZQ6:$AFD6))*100+16)</f>
        <v/>
      </c>
      <c r="CC6">
        <f>IF(OR(AN6=1,calcA!$A$6=0),1000000000,IF('calcA'!$JF$26=1,0,100000000)+IF('calcA'!$IQ$26=2,SUMPRODUCT('calcA'!$D$76:$EQ$76,$DB6:$IO6,$IQ6:$OD6)*1000+SUMPRODUCT('calcA'!$D$76:$EQ$76,$DB6:$IO6+$ZQ6:$AFD6,$AFF6:$AKS6),SUMPRODUCT('calcA'!$D$76:$EQ$76,$DB6:$IO6*1001+$ZQ6:$AFD6))*100+17)</f>
        <v/>
      </c>
      <c r="CD6">
        <f>IF(OR(AO6=1,calcA!$A$6=0),1000000000,IF('calcA'!$JF$27=1,0,100000000)+IF('calcA'!$IQ$27=2,SUMPRODUCT('calcA'!$D$77:$EQ$77,$DB6:$IO6,$IQ6:$OD6)*1000+SUMPRODUCT('calcA'!$D$77:$EQ$77,$DB6:$IO6+$ZQ6:$AFD6,$AFF6:$AKS6),SUMPRODUCT('calcA'!$D$77:$EQ$77,$DB6:$IO6*1001+$ZQ6:$AFD6))*100+18)</f>
        <v/>
      </c>
      <c r="CE6">
        <f>IF(OR(AP6=1,calcA!$A$6=0),1000000000,IF('calcA'!$JF$28=1,0,100000000)+IF('calcA'!$IQ$28=2,SUMPRODUCT('calcA'!$D$78:$EQ$78,$DB6:$IO6,$IQ6:$OD6)*1000+SUMPRODUCT('calcA'!$D$78:$EQ$78,$DB6:$IO6+$ZQ6:$AFD6,$AFF6:$AKS6),SUMPRODUCT('calcA'!$D$78:$EQ$78,$DB6:$IO6*1001+$ZQ6:$AFD6))*100+19)</f>
        <v/>
      </c>
      <c r="CF6">
        <f>IF(OR(AQ6=1,calcA!$A$6=0),1000000000,IF('calcA'!$JF$29=1,0,100000000)+IF('calcA'!$IQ$29=2,SUMPRODUCT('calcA'!$D$79:$EQ$79,$DB6:$IO6,$IQ6:$OD6)*1000+SUMPRODUCT('calcA'!$D$79:$EQ$79,$DB6:$IO6+$ZQ6:$AFD6,$AFF6:$AKS6),SUMPRODUCT('calcA'!$D$79:$EQ$79,$DB6:$IO6*1001+$ZQ6:$AFD6))*100+20)</f>
        <v/>
      </c>
      <c r="CG6">
        <f>IF(OR(AR6=1,calcA!$A$6=0),1000000000,IF('calcA'!$JF$30=1,0,100000000)+IF('calcA'!$IQ$30=2,SUMPRODUCT('calcA'!$D$80:$EQ$80,$DB6:$IO6,$IQ6:$OD6)*1000+SUMPRODUCT('calcA'!$D$80:$EQ$80,$DB6:$IO6+$ZQ6:$AFD6,$AFF6:$AKS6),SUMPRODUCT('calcA'!$D$80:$EQ$80,$DB6:$IO6*1001+$ZQ6:$AFD6))*100+21)</f>
        <v/>
      </c>
      <c r="CH6">
        <f>IF(OR(AS6=1,calcA!$A$6=0),1000000000,IF('calcA'!$JF$31=1,0,100000000)+IF('calcA'!$IQ$31=2,SUMPRODUCT('calcA'!$D$81:$EQ$81,$DB6:$IO6,$IQ6:$OD6)*1000+SUMPRODUCT('calcA'!$D$81:$EQ$81,$DB6:$IO6+$ZQ6:$AFD6,$AFF6:$AKS6),SUMPRODUCT('calcA'!$D$81:$EQ$81,$DB6:$IO6*1001+$ZQ6:$AFD6))*100+22)</f>
        <v/>
      </c>
      <c r="CI6">
        <f>IF(OR(AT6=1,calcA!$A$6=0),1000000000,IF('calcA'!$JF$32=1,0,100000000)+IF('calcA'!$IQ$32=2,SUMPRODUCT('calcA'!$D$82:$EQ$82,$DB6:$IO6,$IQ6:$OD6)*1000+SUMPRODUCT('calcA'!$D$82:$EQ$82,$DB6:$IO6+$ZQ6:$AFD6,$AFF6:$AKS6),SUMPRODUCT('calcA'!$D$82:$EQ$82,$DB6:$IO6*1001+$ZQ6:$AFD6))*100+23)</f>
        <v/>
      </c>
      <c r="CJ6">
        <f>IF(OR(AU6=1,calcA!$A$6=0),1000000000,IF('calcA'!$JF$33=1,0,100000000)+IF('calcA'!$IQ$33=2,SUMPRODUCT('calcA'!$D$83:$EQ$83,$DB6:$IO6,$IQ6:$OD6)*1000+SUMPRODUCT('calcA'!$D$83:$EQ$83,$DB6:$IO6+$ZQ6:$AFD6,$AFF6:$AKS6),SUMPRODUCT('calcA'!$D$83:$EQ$83,$DB6:$IO6*1001+$ZQ6:$AFD6))*100+24)</f>
        <v/>
      </c>
      <c r="CK6">
        <f>IF(OR(AV6=1,calcA!$A$6=0),1000000000,IF('calcA'!$JF$34=1,0,100000000)+IF('calcA'!$IQ$34=2,SUMPRODUCT('calcA'!$D$84:$EQ$84,$DB6:$IO6,$IQ6:$OD6)*1000+SUMPRODUCT('calcA'!$D$84:$EQ$84,$DB6:$IO6+$ZQ6:$AFD6,$AFF6:$AKS6),SUMPRODUCT('calcA'!$D$84:$EQ$84,$DB6:$IO6*1001+$ZQ6:$AFD6))*100+25)</f>
        <v/>
      </c>
      <c r="CL6">
        <f>IF(OR(AW6=1,calcA!$A$6=0),1000000000,IF('calcA'!$JF$35=1,0,100000000)+IF('calcA'!$IQ$35=2,SUMPRODUCT('calcA'!$D$85:$EQ$85,$DB6:$IO6,$IQ6:$OD6)*1000+SUMPRODUCT('calcA'!$D$85:$EQ$85,$DB6:$IO6+$ZQ6:$AFD6,$AFF6:$AKS6),SUMPRODUCT('calcA'!$D$85:$EQ$85,$DB6:$IO6*1001+$ZQ6:$AFD6))*100+26)</f>
        <v/>
      </c>
      <c r="CM6">
        <f>IF(OR(AX6=1,calcA!$A$6=0),1000000000,IF('calcA'!$JF$36=1,0,100000000)+IF('calcA'!$IQ$36=2,SUMPRODUCT('calcA'!$D$86:$EQ$86,$DB6:$IO6,$IQ6:$OD6)*1000+SUMPRODUCT('calcA'!$D$86:$EQ$86,$DB6:$IO6+$ZQ6:$AFD6,$AFF6:$AKS6),SUMPRODUCT('calcA'!$D$86:$EQ$86,$DB6:$IO6*1001+$ZQ6:$AFD6))*100+27)</f>
        <v/>
      </c>
      <c r="CN6">
        <f>IF(OR(AY6=1,calcA!$A$6=0),1000000000,IF('calcA'!$JF$37=1,0,100000000)+IF('calcA'!$IQ$37=2,SUMPRODUCT('calcA'!$D$87:$EQ$87,$DB6:$IO6,$IQ6:$OD6)*1000+SUMPRODUCT('calcA'!$D$87:$EQ$87,$DB6:$IO6+$ZQ6:$AFD6,$AFF6:$AKS6),SUMPRODUCT('calcA'!$D$87:$EQ$87,$DB6:$IO6*1001+$ZQ6:$AFD6))*100+28)</f>
        <v/>
      </c>
      <c r="CO6">
        <f>IF(OR(AZ6=1,calcA!$A$6=0),1000000000,IF('calcA'!$JF$38=1,0,100000000)+IF('calcA'!$IQ$38=2,SUMPRODUCT('calcA'!$D$88:$EQ$88,$DB6:$IO6,$IQ6:$OD6)*1000+SUMPRODUCT('calcA'!$D$88:$EQ$88,$DB6:$IO6+$ZQ6:$AFD6,$AFF6:$AKS6),SUMPRODUCT('calcA'!$D$88:$EQ$88,$DB6:$IO6*1001+$ZQ6:$AFD6))*100+29)</f>
        <v/>
      </c>
      <c r="CP6">
        <f>IF(OR(BA6=1,calcA!$A$6=0),1000000000,IF('calcA'!$JF$39=1,0,100000000)+IF('calcA'!$IQ$39=2,SUMPRODUCT('calcA'!$D$89:$EQ$89,$DB6:$IO6,$IQ6:$OD6)*1000+SUMPRODUCT('calcA'!$D$89:$EQ$89,$DB6:$IO6+$ZQ6:$AFD6,$AFF6:$AKS6),SUMPRODUCT('calcA'!$D$89:$EQ$89,$DB6:$IO6*1001+$ZQ6:$AFD6))*100+30)</f>
        <v/>
      </c>
      <c r="CQ6">
        <f>IF(OR(BB6=1,calcA!$A$6=0),1000000000,IF('calcA'!$JF$40=1,0,100000000)+IF('calcA'!$IQ$40=2,SUMPRODUCT('calcA'!$D$90:$EQ$90,$DB6:$IO6,$IQ6:$OD6)*1000+SUMPRODUCT('calcA'!$D$90:$EQ$90,$DB6:$IO6+$ZQ6:$AFD6,$AFF6:$AKS6),SUMPRODUCT('calcA'!$D$90:$EQ$90,$DB6:$IO6*1001+$ZQ6:$AFD6))*100+31)</f>
        <v/>
      </c>
      <c r="CR6">
        <f>IF(OR(BC6=1,calcA!$A$6=0),1000000000,IF('calcA'!$JF$41=1,0,100000000)+IF('calcA'!$IQ$41=2,SUMPRODUCT('calcA'!$D$91:$EQ$91,$DB6:$IO6,$IQ6:$OD6)*1000+SUMPRODUCT('calcA'!$D$91:$EQ$91,$DB6:$IO6+$ZQ6:$AFD6,$AFF6:$AKS6),SUMPRODUCT('calcA'!$D$91:$EQ$91,$DB6:$IO6*1001+$ZQ6:$AFD6))*100+32)</f>
        <v/>
      </c>
      <c r="CS6">
        <f>IF(OR(BD6=1,calcA!$A$6=0),1000000000,IF('calcA'!$JF$42=1,0,100000000)+IF('calcA'!$IQ$42=2,SUMPRODUCT('calcA'!$D$92:$EQ$92,$DB6:$IO6,$IQ6:$OD6)*1000+SUMPRODUCT('calcA'!$D$92:$EQ$92,$DB6:$IO6+$ZQ6:$AFD6,$AFF6:$AKS6),SUMPRODUCT('calcA'!$D$92:$EQ$92,$DB6:$IO6*1001+$ZQ6:$AFD6))*100+33)</f>
        <v/>
      </c>
      <c r="CT6">
        <f>IF(OR(BE6=1,calcA!$A$6=0),1000000000,IF('calcA'!$JF$43=1,0,100000000)+IF('calcA'!$IQ$43=2,SUMPRODUCT('calcA'!$D$93:$EQ$93,$DB6:$IO6,$IQ6:$OD6)*1000+SUMPRODUCT('calcA'!$D$93:$EQ$93,$DB6:$IO6+$ZQ6:$AFD6,$AFF6:$AKS6),SUMPRODUCT('calcA'!$D$93:$EQ$93,$DB6:$IO6*1001+$ZQ6:$AFD6))*100+34)</f>
        <v/>
      </c>
      <c r="CU6">
        <f>IF(OR(BF6=1,calcA!$A$6=0),1000000000,IF('calcA'!$JF$44=1,0,100000000)+IF('calcA'!$IQ$44=2,SUMPRODUCT('calcA'!$D$94:$EQ$94,$DB6:$IO6,$IQ6:$OD6)*1000+SUMPRODUCT('calcA'!$D$94:$EQ$94,$DB6:$IO6+$ZQ6:$AFD6,$AFF6:$AKS6),SUMPRODUCT('calcA'!$D$94:$EQ$94,$DB6:$IO6*1001+$ZQ6:$AFD6))*100+35)</f>
        <v/>
      </c>
      <c r="CV6">
        <f>IF(OR(BG6=1,calcA!$A$6=0),1000000000,IF('calcA'!$JF$45=1,0,100000000)+IF('calcA'!$IQ$45=2,SUMPRODUCT('calcA'!$D$95:$EQ$95,$DB6:$IO6,$IQ6:$OD6)*1000+SUMPRODUCT('calcA'!$D$95:$EQ$95,$DB6:$IO6+$ZQ6:$AFD6,$AFF6:$AKS6),SUMPRODUCT('calcA'!$D$95:$EQ$95,$DB6:$IO6*1001+$ZQ6:$AFD6))*100+36)</f>
        <v/>
      </c>
      <c r="CW6">
        <f>IF(OR(BH6=1,calcA!$A$6=0),1000000000,IF('calcA'!$JF$46=1,0,100000000)+IF('calcA'!$IQ$46=2,SUMPRODUCT('calcA'!$D$96:$EQ$96,$DB6:$IO6,$IQ6:$OD6)*1000+SUMPRODUCT('calcA'!$D$96:$EQ$96,$DB6:$IO6+$ZQ6:$AFD6,$AFF6:$AKS6),SUMPRODUCT('calcA'!$D$96:$EQ$96,$DB6:$IO6*1001+$ZQ6:$AFD6))*100+37)</f>
        <v/>
      </c>
      <c r="CX6">
        <f>IF(OR(BI6=1,calcA!$A$6=0),1000000000,IF('calcA'!$JF$47=1,0,100000000)+IF('calcA'!$IQ$47=2,SUMPRODUCT('calcA'!$D$97:$EQ$97,$DB6:$IO6,$IQ6:$OD6)*1000+SUMPRODUCT('calcA'!$D$97:$EQ$97,$DB6:$IO6+$ZQ6:$AFD6,$AFF6:$AKS6),SUMPRODUCT('calcA'!$D$97:$EQ$97,$DB6:$IO6*1001+$ZQ6:$AFD6))*100+38)</f>
        <v/>
      </c>
      <c r="CY6">
        <f>IF(OR(BJ6=1,calcA!$A$6=0),1000000000,IF('calcA'!$JF$48=1,0,100000000)+IF('calcA'!$IQ$48=2,SUMPRODUCT('calcA'!$D$98:$EQ$98,$DB6:$IO6,$IQ6:$OD6)*1000+SUMPRODUCT('calcA'!$D$98:$EQ$98,$DB6:$IO6+$ZQ6:$AFD6,$AFF6:$AKS6),SUMPRODUCT('calcA'!$D$98:$EQ$98,$DB6:$IO6*1001+$ZQ6:$AFD6))*100+39)</f>
        <v/>
      </c>
      <c r="CZ6">
        <f>IF(OR(BK6=1,calcA!$A$6=0),1000000000,IF('calcA'!$JF$49=1,0,100000000)+IF('calcA'!$IQ$49=2,SUMPRODUCT('calcA'!$D$99:$EQ$99,$DB6:$IO6,$IQ6:$OD6)*1000+SUMPRODUCT('calcA'!$D$99:$EQ$99,$DB6:$IO6+$ZQ6:$AFD6,$AFF6:$AKS6),SUMPRODUCT('calcA'!$D$99:$EQ$99,$DB6:$IO6*1001+$ZQ6:$AFD6))*100+40)</f>
        <v/>
      </c>
      <c r="DB6">
        <f>DB5*IF(OR($C5=1,$G5=1),0,1)</f>
        <v/>
      </c>
      <c r="DC6">
        <f>DC5*IF(OR($C5=2,$G5=2),0,1)</f>
        <v/>
      </c>
      <c r="DD6">
        <f>DD5*IF(OR($C5=3,$G5=3),0,1)</f>
        <v/>
      </c>
      <c r="DE6">
        <f>DE5*IF(OR($C5=4,$G5=4),0,1)</f>
        <v/>
      </c>
      <c r="DF6">
        <f>DF5*IF(OR($C5=5,$G5=5),0,1)</f>
        <v/>
      </c>
      <c r="DG6">
        <f>DG5*IF(OR($C5=6,$G5=6),0,1)</f>
        <v/>
      </c>
      <c r="DH6">
        <f>DH5*IF(OR($C5=7,$G5=7),0,1)</f>
        <v/>
      </c>
      <c r="DI6">
        <f>DI5*IF(OR($C5=8,$G5=8),0,1)</f>
        <v/>
      </c>
      <c r="DJ6">
        <f>DJ5*IF(OR($C5=9,$G5=9),0,1)</f>
        <v/>
      </c>
      <c r="DK6">
        <f>DK5*IF(OR($C5=10,$G5=10),0,1)</f>
        <v/>
      </c>
      <c r="DL6">
        <f>DL5*IF(OR($C5=11,$G5=11),0,1)</f>
        <v/>
      </c>
      <c r="DM6">
        <f>DM5*IF(OR($C5=12,$G5=12),0,1)</f>
        <v/>
      </c>
      <c r="DN6">
        <f>DN5*IF(OR($C5=13,$G5=13),0,1)</f>
        <v/>
      </c>
      <c r="DO6">
        <f>DO5*IF(OR($C5=14,$G5=14),0,1)</f>
        <v/>
      </c>
      <c r="DP6">
        <f>DP5*IF(OR($C5=15,$G5=15),0,1)</f>
        <v/>
      </c>
      <c r="DQ6">
        <f>DQ5*IF(OR($C5=16,$G5=16),0,1)</f>
        <v/>
      </c>
      <c r="DR6">
        <f>DR5*IF(OR($C5=17,$G5=17),0,1)</f>
        <v/>
      </c>
      <c r="DS6">
        <f>DS5*IF(OR($C5=18,$G5=18),0,1)</f>
        <v/>
      </c>
      <c r="DT6">
        <f>DT5*IF(OR($C5=19,$G5=19),0,1)</f>
        <v/>
      </c>
      <c r="DU6">
        <f>DU5*IF(OR($C5=20,$G5=20),0,1)</f>
        <v/>
      </c>
      <c r="DV6">
        <f>DV5*IF(OR($C5=21,$G5=21),0,1)</f>
        <v/>
      </c>
      <c r="DW6">
        <f>DW5*IF(OR($C5=22,$G5=22),0,1)</f>
        <v/>
      </c>
      <c r="DX6">
        <f>DX5*IF(OR($C5=23,$G5=23),0,1)</f>
        <v/>
      </c>
      <c r="DY6">
        <f>DY5*IF(OR($C5=24,$G5=24),0,1)</f>
        <v/>
      </c>
      <c r="DZ6">
        <f>DZ5*IF(OR($C5=25,$G5=25),0,1)</f>
        <v/>
      </c>
      <c r="EA6">
        <f>EA5*IF(OR($C5=26,$G5=26),0,1)</f>
        <v/>
      </c>
      <c r="EB6">
        <f>EB5*IF(OR($C5=27,$G5=27),0,1)</f>
        <v/>
      </c>
      <c r="EC6">
        <f>EC5*IF(OR($C5=28,$G5=28),0,1)</f>
        <v/>
      </c>
      <c r="ED6">
        <f>ED5*IF(OR($C5=29,$G5=29),0,1)</f>
        <v/>
      </c>
      <c r="EE6">
        <f>EE5*IF(OR($C5=30,$G5=30),0,1)</f>
        <v/>
      </c>
      <c r="EF6">
        <f>EF5*IF(OR($C5=31,$G5=31),0,1)</f>
        <v/>
      </c>
      <c r="EG6">
        <f>EG5*IF(OR($C5=32,$G5=32),0,1)</f>
        <v/>
      </c>
      <c r="EH6">
        <f>EH5*IF(OR($C5=33,$G5=33),0,1)</f>
        <v/>
      </c>
      <c r="EI6">
        <f>EI5*IF(OR($C5=34,$G5=34),0,1)</f>
        <v/>
      </c>
      <c r="EJ6">
        <f>EJ5*IF(OR($C5=35,$G5=35),0,1)</f>
        <v/>
      </c>
      <c r="EK6">
        <f>EK5*IF(OR($C5=36,$G5=36),0,1)</f>
        <v/>
      </c>
      <c r="EL6">
        <f>EL5*IF(OR($C5=37,$G5=37),0,1)</f>
        <v/>
      </c>
      <c r="EM6">
        <f>EM5*IF(OR($C5=38,$G5=38),0,1)</f>
        <v/>
      </c>
      <c r="EN6">
        <f>EN5*IF(OR($C5=39,$G5=39),0,1)</f>
        <v/>
      </c>
      <c r="EO6">
        <f>EO5*IF(OR($C5=40,$G5=40),0,1)</f>
        <v/>
      </c>
      <c r="EP6">
        <f>EP5*IF(OR($C5=41,$G5=41),0,1)</f>
        <v/>
      </c>
      <c r="EQ6">
        <f>EQ5*IF(OR($C5=42,$G5=42),0,1)</f>
        <v/>
      </c>
      <c r="ER6">
        <f>ER5*IF(OR($C5=43,$G5=43),0,1)</f>
        <v/>
      </c>
      <c r="ES6">
        <f>ES5*IF(OR($C5=44,$G5=44),0,1)</f>
        <v/>
      </c>
      <c r="ET6">
        <f>ET5*IF(OR($C5=45,$G5=45),0,1)</f>
        <v/>
      </c>
      <c r="EU6">
        <f>EU5*IF(OR($C5=46,$G5=46),0,1)</f>
        <v/>
      </c>
      <c r="EV6">
        <f>EV5*IF(OR($C5=47,$G5=47),0,1)</f>
        <v/>
      </c>
      <c r="EW6">
        <f>EW5*IF(OR($C5=48,$G5=48),0,1)</f>
        <v/>
      </c>
      <c r="EX6">
        <f>EX5*IF(OR($C5=49,$G5=49),0,1)</f>
        <v/>
      </c>
      <c r="EY6">
        <f>EY5*IF(OR($C5=50,$G5=50),0,1)</f>
        <v/>
      </c>
      <c r="EZ6">
        <f>EZ5*IF(OR($C5=51,$G5=51),0,1)</f>
        <v/>
      </c>
      <c r="FA6">
        <f>FA5*IF(OR($C5=52,$G5=52),0,1)</f>
        <v/>
      </c>
      <c r="FB6">
        <f>FB5*IF(OR($C5=53,$G5=53),0,1)</f>
        <v/>
      </c>
      <c r="FC6">
        <f>FC5*IF(OR($C5=54,$G5=54),0,1)</f>
        <v/>
      </c>
      <c r="FD6">
        <f>FD5*IF(OR($C5=55,$G5=55),0,1)</f>
        <v/>
      </c>
      <c r="FE6">
        <f>FE5*IF(OR($C5=56,$G5=56),0,1)</f>
        <v/>
      </c>
      <c r="FF6">
        <f>FF5*IF(OR($C5=57,$G5=57),0,1)</f>
        <v/>
      </c>
      <c r="FG6">
        <f>FG5*IF(OR($C5=58,$G5=58),0,1)</f>
        <v/>
      </c>
      <c r="FH6">
        <f>FH5*IF(OR($C5=59,$G5=59),0,1)</f>
        <v/>
      </c>
      <c r="FI6">
        <f>FI5*IF(OR($C5=60,$G5=60),0,1)</f>
        <v/>
      </c>
      <c r="FJ6">
        <f>FJ5*IF(OR($C5=61,$G5=61),0,1)</f>
        <v/>
      </c>
      <c r="FK6">
        <f>FK5*IF(OR($C5=62,$G5=62),0,1)</f>
        <v/>
      </c>
      <c r="FL6">
        <f>FL5*IF(OR($C5=63,$G5=63),0,1)</f>
        <v/>
      </c>
      <c r="FM6">
        <f>FM5*IF(OR($C5=64,$G5=64),0,1)</f>
        <v/>
      </c>
      <c r="FN6">
        <f>FN5*IF(OR($C5=65,$G5=65),0,1)</f>
        <v/>
      </c>
      <c r="FO6">
        <f>FO5*IF(OR($C5=66,$G5=66),0,1)</f>
        <v/>
      </c>
      <c r="FP6">
        <f>FP5*IF(OR($C5=67,$G5=67),0,1)</f>
        <v/>
      </c>
      <c r="FQ6">
        <f>FQ5*IF(OR($C5=68,$G5=68),0,1)</f>
        <v/>
      </c>
      <c r="FR6">
        <f>FR5*IF(OR($C5=69,$G5=69),0,1)</f>
        <v/>
      </c>
      <c r="FS6">
        <f>FS5*IF(OR($C5=70,$G5=70),0,1)</f>
        <v/>
      </c>
      <c r="FT6">
        <f>FT5*IF(OR($C5=71,$G5=71),0,1)</f>
        <v/>
      </c>
      <c r="FU6">
        <f>FU5*IF(OR($C5=72,$G5=72),0,1)</f>
        <v/>
      </c>
      <c r="FV6">
        <f>FV5*IF(OR($C5=73,$G5=73),0,1)</f>
        <v/>
      </c>
      <c r="FW6">
        <f>FW5*IF(OR($C5=74,$G5=74),0,1)</f>
        <v/>
      </c>
      <c r="FX6">
        <f>FX5*IF(OR($C5=75,$G5=75),0,1)</f>
        <v/>
      </c>
      <c r="FY6">
        <f>FY5*IF(OR($C5=76,$G5=76),0,1)</f>
        <v/>
      </c>
      <c r="FZ6">
        <f>FZ5*IF(OR($C5=77,$G5=77),0,1)</f>
        <v/>
      </c>
      <c r="GA6">
        <f>GA5*IF(OR($C5=78,$G5=78),0,1)</f>
        <v/>
      </c>
      <c r="GB6">
        <f>GB5*IF(OR($C5=79,$G5=79),0,1)</f>
        <v/>
      </c>
      <c r="GC6">
        <f>GC5*IF(OR($C5=80,$G5=80),0,1)</f>
        <v/>
      </c>
      <c r="GD6">
        <f>GD5*IF(OR($C5=81,$G5=81),0,1)</f>
        <v/>
      </c>
      <c r="GE6">
        <f>GE5*IF(OR($C5=82,$G5=82),0,1)</f>
        <v/>
      </c>
      <c r="GF6">
        <f>GF5*IF(OR($C5=83,$G5=83),0,1)</f>
        <v/>
      </c>
      <c r="GG6">
        <f>GG5*IF(OR($C5=84,$G5=84),0,1)</f>
        <v/>
      </c>
      <c r="GH6">
        <f>GH5*IF(OR($C5=85,$G5=85),0,1)</f>
        <v/>
      </c>
      <c r="GI6">
        <f>GI5*IF(OR($C5=86,$G5=86),0,1)</f>
        <v/>
      </c>
      <c r="GJ6">
        <f>GJ5*IF(OR($C5=87,$G5=87),0,1)</f>
        <v/>
      </c>
      <c r="GK6">
        <f>GK5*IF(OR($C5=88,$G5=88),0,1)</f>
        <v/>
      </c>
      <c r="GL6">
        <f>GL5*IF(OR($C5=89,$G5=89),0,1)</f>
        <v/>
      </c>
      <c r="GM6">
        <f>GM5*IF(OR($C5=90,$G5=90),0,1)</f>
        <v/>
      </c>
      <c r="GN6">
        <f>GN5*IF(OR($C5=91,$G5=91),0,1)</f>
        <v/>
      </c>
      <c r="GO6">
        <f>GO5*IF(OR($C5=92,$G5=92),0,1)</f>
        <v/>
      </c>
      <c r="GP6">
        <f>GP5*IF(OR($C5=93,$G5=93),0,1)</f>
        <v/>
      </c>
      <c r="GQ6">
        <f>GQ5*IF(OR($C5=94,$G5=94),0,1)</f>
        <v/>
      </c>
      <c r="GR6">
        <f>GR5*IF(OR($C5=95,$G5=95),0,1)</f>
        <v/>
      </c>
      <c r="GS6">
        <f>GS5*IF(OR($C5=96,$G5=96),0,1)</f>
        <v/>
      </c>
      <c r="GT6">
        <f>GT5*IF(OR($C5=97,$G5=97),0,1)</f>
        <v/>
      </c>
      <c r="GU6">
        <f>GU5*IF(OR($C5=98,$G5=98),0,1)</f>
        <v/>
      </c>
      <c r="GV6">
        <f>GV5*IF(OR($C5=99,$G5=99),0,1)</f>
        <v/>
      </c>
      <c r="GW6">
        <f>GW5*IF(OR($C5=100,$G5=100),0,1)</f>
        <v/>
      </c>
      <c r="GX6">
        <f>GX5*IF(OR($C5=101,$G5=101),0,1)</f>
        <v/>
      </c>
      <c r="GY6">
        <f>GY5*IF(OR($C5=102,$G5=102),0,1)</f>
        <v/>
      </c>
      <c r="GZ6">
        <f>GZ5*IF(OR($C5=103,$G5=103),0,1)</f>
        <v/>
      </c>
      <c r="HA6">
        <f>HA5*IF(OR($C5=104,$G5=104),0,1)</f>
        <v/>
      </c>
      <c r="HB6">
        <f>HB5*IF(OR($C5=105,$G5=105),0,1)</f>
        <v/>
      </c>
      <c r="HC6">
        <f>HC5*IF(OR($C5=106,$G5=106),0,1)</f>
        <v/>
      </c>
      <c r="HD6">
        <f>HD5*IF(OR($C5=107,$G5=107),0,1)</f>
        <v/>
      </c>
      <c r="HE6">
        <f>HE5*IF(OR($C5=108,$G5=108),0,1)</f>
        <v/>
      </c>
      <c r="HF6">
        <f>HF5*IF(OR($C5=109,$G5=109),0,1)</f>
        <v/>
      </c>
      <c r="HG6">
        <f>HG5*IF(OR($C5=110,$G5=110),0,1)</f>
        <v/>
      </c>
      <c r="HH6">
        <f>HH5*IF(OR($C5=111,$G5=111),0,1)</f>
        <v/>
      </c>
      <c r="HI6">
        <f>HI5*IF(OR($C5=112,$G5=112),0,1)</f>
        <v/>
      </c>
      <c r="HJ6">
        <f>HJ5*IF(OR($C5=113,$G5=113),0,1)</f>
        <v/>
      </c>
      <c r="HK6">
        <f>HK5*IF(OR($C5=114,$G5=114),0,1)</f>
        <v/>
      </c>
      <c r="HL6">
        <f>HL5*IF(OR($C5=115,$G5=115),0,1)</f>
        <v/>
      </c>
      <c r="HM6">
        <f>HM5*IF(OR($C5=116,$G5=116),0,1)</f>
        <v/>
      </c>
      <c r="HN6">
        <f>HN5*IF(OR($C5=117,$G5=117),0,1)</f>
        <v/>
      </c>
      <c r="HO6">
        <f>HO5*IF(OR($C5=118,$G5=118),0,1)</f>
        <v/>
      </c>
      <c r="HP6">
        <f>HP5*IF(OR($C5=119,$G5=119),0,1)</f>
        <v/>
      </c>
      <c r="HQ6">
        <f>HQ5*IF(OR($C5=120,$G5=120),0,1)</f>
        <v/>
      </c>
      <c r="HR6">
        <f>HR5*IF(OR($C5=121,$G5=121),0,1)</f>
        <v/>
      </c>
      <c r="HS6">
        <f>HS5*IF(OR($C5=122,$G5=122),0,1)</f>
        <v/>
      </c>
      <c r="HT6">
        <f>HT5*IF(OR($C5=123,$G5=123),0,1)</f>
        <v/>
      </c>
      <c r="HU6">
        <f>HU5*IF(OR($C5=124,$G5=124),0,1)</f>
        <v/>
      </c>
      <c r="HV6">
        <f>HV5*IF(OR($C5=125,$G5=125),0,1)</f>
        <v/>
      </c>
      <c r="HW6">
        <f>HW5*IF(OR($C5=126,$G5=126),0,1)</f>
        <v/>
      </c>
      <c r="HX6">
        <f>HX5*IF(OR($C5=127,$G5=127),0,1)</f>
        <v/>
      </c>
      <c r="HY6">
        <f>HY5*IF(OR($C5=128,$G5=128),0,1)</f>
        <v/>
      </c>
      <c r="HZ6">
        <f>HZ5*IF(OR($C5=129,$G5=129),0,1)</f>
        <v/>
      </c>
      <c r="IA6">
        <f>IA5*IF(OR($C5=130,$G5=130),0,1)</f>
        <v/>
      </c>
      <c r="IB6">
        <f>IB5*IF(OR($C5=131,$G5=131),0,1)</f>
        <v/>
      </c>
      <c r="IC6">
        <f>IC5*IF(OR($C5=132,$G5=132),0,1)</f>
        <v/>
      </c>
      <c r="ID6">
        <f>ID5*IF(OR($C5=133,$G5=133),0,1)</f>
        <v/>
      </c>
      <c r="IE6">
        <f>IE5*IF(OR($C5=134,$G5=134),0,1)</f>
        <v/>
      </c>
      <c r="IF6">
        <f>IF5*IF(OR($C5=135,$G5=135),0,1)</f>
        <v/>
      </c>
      <c r="IG6">
        <f>IG5*IF(OR($C5=136,$G5=136),0,1)</f>
        <v/>
      </c>
      <c r="IH6">
        <f>IH5*IF(OR($C5=137,$G5=137),0,1)</f>
        <v/>
      </c>
      <c r="II6">
        <f>II5*IF(OR($C5=138,$G5=138),0,1)</f>
        <v/>
      </c>
      <c r="IJ6">
        <f>IJ5*IF(OR($C5=139,$G5=139),0,1)</f>
        <v/>
      </c>
      <c r="IK6">
        <f>IK5*IF(OR($C5=140,$G5=140),0,1)</f>
        <v/>
      </c>
      <c r="IL6">
        <f>IL5*IF(OR($C5=141,$G5=141),0,1)</f>
        <v/>
      </c>
      <c r="IM6">
        <f>IM5*IF(OR($C5=142,$G5=142),0,1)</f>
        <v/>
      </c>
      <c r="IN6">
        <f>IN5*IF(OR($C5=143,$G5=143),0,1)</f>
        <v/>
      </c>
      <c r="IO6">
        <f>IO5*IF(OR($C5=144,$G5=144),0,1)</f>
        <v/>
      </c>
      <c r="IQ6">
        <f>IF('calcA'!D$106=1,DC6,1)</f>
        <v/>
      </c>
      <c r="IR6">
        <f>IF('calcA'!E$106=1,DD6,1)</f>
        <v/>
      </c>
      <c r="IS6">
        <f>IF('calcA'!F$106=1,DE6,1)</f>
        <v/>
      </c>
      <c r="IT6">
        <f>IF('calcA'!G$106=1,DF6,1)</f>
        <v/>
      </c>
      <c r="IU6">
        <f>IF('calcA'!H$106=1,DG6,1)</f>
        <v/>
      </c>
      <c r="IV6">
        <f>IF('calcA'!I$106=1,DH6,1)</f>
        <v/>
      </c>
      <c r="IW6">
        <f>IF('calcA'!J$106=1,DI6,1)</f>
        <v/>
      </c>
      <c r="IX6">
        <f>IF('calcA'!K$106=1,DJ6,1)</f>
        <v/>
      </c>
      <c r="IY6">
        <f>IF('calcA'!L$106=1,DK6,1)</f>
        <v/>
      </c>
      <c r="IZ6">
        <f>IF('calcA'!M$106=1,DL6,1)</f>
        <v/>
      </c>
      <c r="JA6">
        <f>IF('calcA'!N$106=1,DM6,1)</f>
        <v/>
      </c>
      <c r="JB6">
        <f>IF('calcA'!O$106=1,DN6,1)</f>
        <v/>
      </c>
      <c r="JC6">
        <f>IF('calcA'!P$106=1,DO6,1)</f>
        <v/>
      </c>
      <c r="JD6">
        <f>IF('calcA'!Q$106=1,DP6,1)</f>
        <v/>
      </c>
      <c r="JE6">
        <f>IF('calcA'!R$106=1,DQ6,1)</f>
        <v/>
      </c>
      <c r="JF6">
        <f>IF('calcA'!S$106=1,DR6,1)</f>
        <v/>
      </c>
      <c r="JG6">
        <f>IF('calcA'!T$106=1,DS6,1)</f>
        <v/>
      </c>
      <c r="JH6">
        <f>IF('calcA'!U$106=1,DT6,1)</f>
        <v/>
      </c>
      <c r="JI6">
        <f>IF('calcA'!V$106=1,DU6,1)</f>
        <v/>
      </c>
      <c r="JJ6">
        <f>IF('calcA'!W$106=1,DV6,1)</f>
        <v/>
      </c>
      <c r="JK6">
        <f>IF('calcA'!X$106=1,DW6,1)</f>
        <v/>
      </c>
      <c r="JL6">
        <f>IF('calcA'!Y$106=1,DX6,1)</f>
        <v/>
      </c>
      <c r="JM6">
        <f>IF('calcA'!Z$106=1,DY6,1)</f>
        <v/>
      </c>
      <c r="JN6">
        <f>IF('calcA'!AA$106=1,DZ6,1)</f>
        <v/>
      </c>
      <c r="JO6">
        <f>IF('calcA'!AB$106=1,EA6,1)</f>
        <v/>
      </c>
      <c r="JP6">
        <f>IF('calcA'!AC$106=1,EB6,1)</f>
        <v/>
      </c>
      <c r="JQ6">
        <f>IF('calcA'!AD$106=1,EC6,1)</f>
        <v/>
      </c>
      <c r="JR6">
        <f>IF('calcA'!AE$106=1,ED6,1)</f>
        <v/>
      </c>
      <c r="JS6">
        <f>IF('calcA'!AF$106=1,EE6,1)</f>
        <v/>
      </c>
      <c r="JT6">
        <f>IF('calcA'!AG$106=1,EF6,1)</f>
        <v/>
      </c>
      <c r="JU6">
        <f>IF('calcA'!AH$106=1,EG6,1)</f>
        <v/>
      </c>
      <c r="JV6">
        <f>IF('calcA'!AI$106=1,EH6,1)</f>
        <v/>
      </c>
      <c r="JW6">
        <f>IF('calcA'!AJ$106=1,EI6,1)</f>
        <v/>
      </c>
      <c r="JX6">
        <f>IF('calcA'!AK$106=1,EJ6,1)</f>
        <v/>
      </c>
      <c r="JY6">
        <f>IF('calcA'!AL$106=1,EK6,1)</f>
        <v/>
      </c>
      <c r="JZ6">
        <f>IF('calcA'!AM$106=1,EL6,1)</f>
        <v/>
      </c>
      <c r="KA6">
        <f>IF('calcA'!AN$106=1,EM6,1)</f>
        <v/>
      </c>
      <c r="KB6">
        <f>IF('calcA'!AO$106=1,EN6,1)</f>
        <v/>
      </c>
      <c r="KC6">
        <f>IF('calcA'!AP$106=1,EO6,1)</f>
        <v/>
      </c>
      <c r="KD6">
        <f>IF('calcA'!AQ$106=1,EP6,1)</f>
        <v/>
      </c>
      <c r="KE6">
        <f>IF('calcA'!AR$106=1,EQ6,1)</f>
        <v/>
      </c>
      <c r="KF6">
        <f>IF('calcA'!AS$106=1,ER6,1)</f>
        <v/>
      </c>
      <c r="KG6">
        <f>IF('calcA'!AT$106=1,ES6,1)</f>
        <v/>
      </c>
      <c r="KH6">
        <f>IF('calcA'!AU$106=1,ET6,1)</f>
        <v/>
      </c>
      <c r="KI6">
        <f>IF('calcA'!AV$106=1,EU6,1)</f>
        <v/>
      </c>
      <c r="KJ6">
        <f>IF('calcA'!AW$106=1,EV6,1)</f>
        <v/>
      </c>
      <c r="KK6">
        <f>IF('calcA'!AX$106=1,EW6,1)</f>
        <v/>
      </c>
      <c r="KL6">
        <f>IF('calcA'!AY$106=1,EX6,1)</f>
        <v/>
      </c>
      <c r="KM6">
        <f>IF('calcA'!AZ$106=1,EY6,1)</f>
        <v/>
      </c>
      <c r="KN6">
        <f>IF('calcA'!BA$106=1,EZ6,1)</f>
        <v/>
      </c>
      <c r="KO6">
        <f>IF('calcA'!BB$106=1,FA6,1)</f>
        <v/>
      </c>
      <c r="KP6">
        <f>IF('calcA'!BC$106=1,FB6,1)</f>
        <v/>
      </c>
      <c r="KQ6">
        <f>IF('calcA'!BD$106=1,FC6,1)</f>
        <v/>
      </c>
      <c r="KR6">
        <f>IF('calcA'!BE$106=1,FD6,1)</f>
        <v/>
      </c>
      <c r="KS6">
        <f>IF('calcA'!BF$106=1,FE6,1)</f>
        <v/>
      </c>
      <c r="KT6">
        <f>IF('calcA'!BG$106=1,FF6,1)</f>
        <v/>
      </c>
      <c r="KU6">
        <f>IF('calcA'!BH$106=1,FG6,1)</f>
        <v/>
      </c>
      <c r="KV6">
        <f>IF('calcA'!BI$106=1,FH6,1)</f>
        <v/>
      </c>
      <c r="KW6">
        <f>IF('calcA'!BJ$106=1,FI6,1)</f>
        <v/>
      </c>
      <c r="KX6">
        <f>IF('calcA'!BK$106=1,FJ6,1)</f>
        <v/>
      </c>
      <c r="KY6">
        <f>IF('calcA'!BL$106=1,FK6,1)</f>
        <v/>
      </c>
      <c r="KZ6">
        <f>IF('calcA'!BM$106=1,FL6,1)</f>
        <v/>
      </c>
      <c r="LA6">
        <f>IF('calcA'!BN$106=1,FM6,1)</f>
        <v/>
      </c>
      <c r="LB6">
        <f>IF('calcA'!BO$106=1,FN6,1)</f>
        <v/>
      </c>
      <c r="LC6">
        <f>IF('calcA'!BP$106=1,FO6,1)</f>
        <v/>
      </c>
      <c r="LD6">
        <f>IF('calcA'!BQ$106=1,FP6,1)</f>
        <v/>
      </c>
      <c r="LE6">
        <f>IF('calcA'!BR$106=1,FQ6,1)</f>
        <v/>
      </c>
      <c r="LF6">
        <f>IF('calcA'!BS$106=1,FR6,1)</f>
        <v/>
      </c>
      <c r="LG6">
        <f>IF('calcA'!BT$106=1,FS6,1)</f>
        <v/>
      </c>
      <c r="LH6">
        <f>IF('calcA'!BU$106=1,FT6,1)</f>
        <v/>
      </c>
      <c r="LI6">
        <f>IF('calcA'!BV$106=1,FU6,1)</f>
        <v/>
      </c>
      <c r="LJ6">
        <f>IF('calcA'!BW$106=1,FV6,1)</f>
        <v/>
      </c>
      <c r="LK6">
        <f>IF('calcA'!BX$106=1,FW6,1)</f>
        <v/>
      </c>
      <c r="LL6">
        <f>IF('calcA'!BY$106=1,FX6,1)</f>
        <v/>
      </c>
      <c r="LM6">
        <f>IF('calcA'!BZ$106=1,FY6,1)</f>
        <v/>
      </c>
      <c r="LN6">
        <f>IF('calcA'!CA$106=1,FZ6,1)</f>
        <v/>
      </c>
      <c r="LO6">
        <f>IF('calcA'!CB$106=1,GA6,1)</f>
        <v/>
      </c>
      <c r="LP6">
        <f>IF('calcA'!CC$106=1,GB6,1)</f>
        <v/>
      </c>
      <c r="LQ6">
        <f>IF('calcA'!CD$106=1,GC6,1)</f>
        <v/>
      </c>
      <c r="LR6">
        <f>IF('calcA'!CE$106=1,GD6,1)</f>
        <v/>
      </c>
      <c r="LS6">
        <f>IF('calcA'!CF$106=1,GE6,1)</f>
        <v/>
      </c>
      <c r="LT6">
        <f>IF('calcA'!CG$106=1,GF6,1)</f>
        <v/>
      </c>
      <c r="LU6">
        <f>IF('calcA'!CH$106=1,GG6,1)</f>
        <v/>
      </c>
      <c r="LV6">
        <f>IF('calcA'!CI$106=1,GH6,1)</f>
        <v/>
      </c>
      <c r="LW6">
        <f>IF('calcA'!CJ$106=1,GI6,1)</f>
        <v/>
      </c>
      <c r="LX6">
        <f>IF('calcA'!CK$106=1,GJ6,1)</f>
        <v/>
      </c>
      <c r="LY6">
        <f>IF('calcA'!CL$106=1,GK6,1)</f>
        <v/>
      </c>
      <c r="LZ6">
        <f>IF('calcA'!CM$106=1,GL6,1)</f>
        <v/>
      </c>
      <c r="MA6">
        <f>IF('calcA'!CN$106=1,GM6,1)</f>
        <v/>
      </c>
      <c r="MB6">
        <f>IF('calcA'!CO$106=1,GN6,1)</f>
        <v/>
      </c>
      <c r="MC6">
        <f>IF('calcA'!CP$106=1,GO6,1)</f>
        <v/>
      </c>
      <c r="MD6">
        <f>IF('calcA'!CQ$106=1,GP6,1)</f>
        <v/>
      </c>
      <c r="ME6">
        <f>IF('calcA'!CR$106=1,GQ6,1)</f>
        <v/>
      </c>
      <c r="MF6">
        <f>IF('calcA'!CS$106=1,GR6,1)</f>
        <v/>
      </c>
      <c r="MG6">
        <f>IF('calcA'!CT$106=1,GS6,1)</f>
        <v/>
      </c>
      <c r="MH6">
        <f>IF('calcA'!CU$106=1,GT6,1)</f>
        <v/>
      </c>
      <c r="MI6">
        <f>IF('calcA'!CV$106=1,GU6,1)</f>
        <v/>
      </c>
      <c r="MJ6">
        <f>IF('calcA'!CW$106=1,GV6,1)</f>
        <v/>
      </c>
      <c r="MK6">
        <f>IF('calcA'!CX$106=1,GW6,1)</f>
        <v/>
      </c>
      <c r="ML6">
        <f>IF('calcA'!CY$106=1,GX6,1)</f>
        <v/>
      </c>
      <c r="MM6">
        <f>IF('calcA'!CZ$106=1,GY6,1)</f>
        <v/>
      </c>
      <c r="MN6">
        <f>IF('calcA'!DA$106=1,GZ6,1)</f>
        <v/>
      </c>
      <c r="MO6">
        <f>IF('calcA'!DB$106=1,HA6,1)</f>
        <v/>
      </c>
      <c r="MP6">
        <f>IF('calcA'!DC$106=1,HB6,1)</f>
        <v/>
      </c>
      <c r="MQ6">
        <f>IF('calcA'!DD$106=1,HC6,1)</f>
        <v/>
      </c>
      <c r="MR6">
        <f>IF('calcA'!DE$106=1,HD6,1)</f>
        <v/>
      </c>
      <c r="MS6">
        <f>IF('calcA'!DF$106=1,HE6,1)</f>
        <v/>
      </c>
      <c r="MT6">
        <f>IF('calcA'!DG$106=1,HF6,1)</f>
        <v/>
      </c>
      <c r="MU6">
        <f>IF('calcA'!DH$106=1,HG6,1)</f>
        <v/>
      </c>
      <c r="MV6">
        <f>IF('calcA'!DI$106=1,HH6,1)</f>
        <v/>
      </c>
      <c r="MW6">
        <f>IF('calcA'!DJ$106=1,HI6,1)</f>
        <v/>
      </c>
      <c r="MX6">
        <f>IF('calcA'!DK$106=1,HJ6,1)</f>
        <v/>
      </c>
      <c r="MY6">
        <f>IF('calcA'!DL$106=1,HK6,1)</f>
        <v/>
      </c>
      <c r="MZ6">
        <f>IF('calcA'!DM$106=1,HL6,1)</f>
        <v/>
      </c>
      <c r="NA6">
        <f>IF('calcA'!DN$106=1,HM6,1)</f>
        <v/>
      </c>
      <c r="NB6">
        <f>IF('calcA'!DO$106=1,HN6,1)</f>
        <v/>
      </c>
      <c r="NC6">
        <f>IF('calcA'!DP$106=1,HO6,1)</f>
        <v/>
      </c>
      <c r="ND6">
        <f>IF('calcA'!DQ$106=1,HP6,1)</f>
        <v/>
      </c>
      <c r="NE6">
        <f>IF('calcA'!DR$106=1,HQ6,1)</f>
        <v/>
      </c>
      <c r="NF6">
        <f>IF('calcA'!DS$106=1,HR6,1)</f>
        <v/>
      </c>
      <c r="NG6">
        <f>IF('calcA'!DT$106=1,HS6,1)</f>
        <v/>
      </c>
      <c r="NH6">
        <f>IF('calcA'!DU$106=1,HT6,1)</f>
        <v/>
      </c>
      <c r="NI6">
        <f>IF('calcA'!DV$106=1,HU6,1)</f>
        <v/>
      </c>
      <c r="NJ6">
        <f>IF('calcA'!DW$106=1,HV6,1)</f>
        <v/>
      </c>
      <c r="NK6">
        <f>IF('calcA'!DX$106=1,HW6,1)</f>
        <v/>
      </c>
      <c r="NL6">
        <f>IF('calcA'!DY$106=1,HX6,1)</f>
        <v/>
      </c>
      <c r="NM6">
        <f>IF('calcA'!DZ$106=1,HY6,1)</f>
        <v/>
      </c>
      <c r="NN6">
        <f>IF('calcA'!EA$106=1,HZ6,1)</f>
        <v/>
      </c>
      <c r="NO6">
        <f>IF('calcA'!EB$106=1,IA6,1)</f>
        <v/>
      </c>
      <c r="NP6">
        <f>IF('calcA'!EC$106=1,IB6,1)</f>
        <v/>
      </c>
      <c r="NQ6">
        <f>IF('calcA'!ED$106=1,IC6,1)</f>
        <v/>
      </c>
      <c r="NR6">
        <f>IF('calcA'!EE$106=1,ID6,1)</f>
        <v/>
      </c>
      <c r="NS6">
        <f>IF('calcA'!EF$106=1,IE6,1)</f>
        <v/>
      </c>
      <c r="NT6">
        <f>IF('calcA'!EG$106=1,IF6,1)</f>
        <v/>
      </c>
      <c r="NU6">
        <f>IF('calcA'!EH$106=1,IG6,1)</f>
        <v/>
      </c>
      <c r="NV6">
        <f>IF('calcA'!EI$106=1,IH6,1)</f>
        <v/>
      </c>
      <c r="NW6">
        <f>IF('calcA'!EJ$106=1,II6,1)</f>
        <v/>
      </c>
      <c r="NX6">
        <f>IF('calcA'!EK$106=1,IJ6,1)</f>
        <v/>
      </c>
      <c r="NY6">
        <f>IF('calcA'!EL$106=1,IK6,1)</f>
        <v/>
      </c>
      <c r="NZ6">
        <f>IF('calcA'!EM$106=1,IL6,1)</f>
        <v/>
      </c>
      <c r="OA6">
        <f>IF('calcA'!EN$106=1,IM6,1)</f>
        <v/>
      </c>
      <c r="OB6">
        <f>IF('calcA'!EO$106=1,IN6,1)</f>
        <v/>
      </c>
      <c r="OC6">
        <f>IF('calcA'!EP$106=1,IO6,1)</f>
        <v/>
      </c>
      <c r="OD6" t="n">
        <v>1</v>
      </c>
      <c r="OF6">
        <f>IF($B6=0,1000000000,IF(INDEX('calcA'!$D$60:$EQ$99,$B6,1)*IF($W6=1,DB6+ZQ6,DB6)=1,IF(AND($E6=2,IF($W6=1,AFF6,IQ6)=0),1000000000,IF($V6=1,INDEX('calcA'!$D$130:$EQ$169,$B6,1)+IF(AND($E6=1,IQ6=0),25,0),IF($F6&gt;0,INDEX('calcA'!D$110:D$114,$F6+1)+IF(AND($E6=1,IQ6=0),1000,0),MIN(TU6,20)*400+(IF('calcA'!D$106=1,1-DC6,0))*150+11+'calcA'!D$5*100000+IF(AND($E6=1,IQ6=0),50000,0))+IF($H6=1,INDEX('calcA'!$D$180:$EQ$219,$B6,1)*4000,0)-IF(AND($U6=1,'calcA'!D$117=1,DC6=0),2000,0))),1000000000))</f>
        <v/>
      </c>
      <c r="OG6">
        <f>IF($B6=0,1000000000,IF(INDEX('calcA'!$D$60:$EQ$99,$B6,2)*IF($W6=1,DC6+ZR6,DC6)=1,IF(AND($E6=2,IF($W6=1,AFG6,IR6)=0),1000000000,IF($V6=1,INDEX('calcA'!$D$130:$EQ$169,$B6,2)+IF(AND($E6=1,IR6=0),25,0),IF($F6&gt;0,INDEX('calcA'!E$110:E$114,$F6+1)+IF(AND($E6=1,IR6=0),1000,0),MIN(TU6,20)*400+(IF('calcA'!D$106=1,1-DB6,0)+IF('calcA'!E$106=1,1-DD6,0))*150+21+'calcA'!E$5*100000+IF(AND($E6=1,IR6=0),50000,0))+IF($H6=1,INDEX('calcA'!$D$180:$EQ$219,$B6,2)*4000,0)-IF(AND('calcA'!D$117=1,UB6&gt;0),2000,0)-IF(AND($U6=1,'calcA'!E$117=1,DD6=0),2000,0))),1000000000))</f>
        <v/>
      </c>
      <c r="OH6">
        <f>IF($B6=0,1000000000,IF(INDEX('calcA'!$D$60:$EQ$99,$B6,3)*IF($W6=1,DD6+ZS6,DD6)=1,IF(AND($E6=2,IF($W6=1,AFH6,IS6)=0),1000000000,IF($V6=1,INDEX('calcA'!$D$130:$EQ$169,$B6,3)+IF(AND($E6=1,IS6=0),25,0),IF($F6&gt;0,INDEX('calcA'!F$110:F$114,$F6+1)+IF(AND($E6=1,IS6=0),1000,0),MIN(TU6,20)*400+(IF('calcA'!E$106=1,1-DC6,0)+IF('calcA'!F$106=1,1-DE6,0))*150+31+'calcA'!F$5*100000+IF(AND($E6=1,IS6=0),50000,0))+IF($H6=1,INDEX('calcA'!$D$180:$EQ$219,$B6,3)*4000,0)-IF(AND('calcA'!E$117=1,UC6&gt;0),2000,0)-IF(AND($U6=1,'calcA'!F$117=1,DE6=0),2000,0))),1000000000))</f>
        <v/>
      </c>
      <c r="OI6">
        <f>IF($B6=0,1000000000,IF(INDEX('calcA'!$D$60:$EQ$99,$B6,4)*IF($W6=1,DE6+ZT6,DE6)=1,IF(AND($E6=2,IF($W6=1,AFI6,IT6)=0),1000000000,IF($V6=1,INDEX('calcA'!$D$130:$EQ$169,$B6,4)+IF(AND($E6=1,IT6=0),25,0),IF($F6&gt;0,INDEX('calcA'!G$110:G$114,$F6+1)+IF(AND($E6=1,IT6=0),1000,0),MIN(TU6,20)*400+(IF('calcA'!F$106=1,1-DD6,0)+IF('calcA'!G$106=1,1-DF6,0))*150+41+'calcA'!G$5*100000+IF(AND($E6=1,IT6=0),50000,0))+IF($H6=1,INDEX('calcA'!$D$180:$EQ$219,$B6,4)*4000,0)-IF(AND('calcA'!F$117=1,UD6&gt;0),2000,0)-IF(AND($U6=1,'calcA'!G$117=1,DF6=0),2000,0))),1000000000))</f>
        <v/>
      </c>
      <c r="OJ6">
        <f>IF($B6=0,1000000000,IF(INDEX('calcA'!$D$60:$EQ$99,$B6,5)*IF($W6=1,DF6+ZU6,DF6)=1,IF(AND($E6=2,IF($W6=1,AFJ6,IU6)=0),1000000000,IF($V6=1,INDEX('calcA'!$D$130:$EQ$169,$B6,5)+IF(AND($E6=1,IU6=0),25,0),IF($F6&gt;0,INDEX('calcA'!H$110:H$114,$F6+1)+IF(AND($E6=1,IU6=0),1000,0),MIN(TU6,20)*400+(IF('calcA'!G$106=1,1-DE6,0)+IF('calcA'!H$106=1,1-DG6,0))*150+51+'calcA'!H$5*100000+IF(AND($E6=1,IU6=0),50000,0))+IF($H6=1,INDEX('calcA'!$D$180:$EQ$219,$B6,5)*4000,0)-IF(AND('calcA'!G$117=1,UE6&gt;0),2000,0)-IF(AND($U6=1,'calcA'!H$117=1,DG6=0),2000,0))),1000000000))</f>
        <v/>
      </c>
      <c r="OK6">
        <f>IF($B6=0,1000000000,IF(INDEX('calcA'!$D$60:$EQ$99,$B6,6)*IF($W6=1,DG6+ZV6,DG6)=1,IF(AND($E6=2,IF($W6=1,AFK6,IV6)=0),1000000000,IF($V6=1,INDEX('calcA'!$D$130:$EQ$169,$B6,6)+IF(AND($E6=1,IV6=0),25,0),IF($F6&gt;0,INDEX('calcA'!I$110:I$114,$F6+1)+IF(AND($E6=1,IV6=0),1000,0),MIN(TU6,20)*400+(IF('calcA'!H$106=1,1-DF6,0)+IF('calcA'!I$106=1,1-DH6,0))*150+61+'calcA'!I$5*100000+IF(AND($E6=1,IV6=0),50000,0))+IF($H6=1,INDEX('calcA'!$D$180:$EQ$219,$B6,6)*4000,0)-IF(AND('calcA'!H$117=1,UF6&gt;0),2000,0)-IF(AND($U6=1,'calcA'!I$117=1,DH6=0),2000,0))),1000000000))</f>
        <v/>
      </c>
      <c r="OL6">
        <f>IF($B6=0,1000000000,IF(INDEX('calcA'!$D$60:$EQ$99,$B6,7)*IF($W6=1,DH6+ZW6,DH6)=1,IF(AND($E6=2,IF($W6=1,AFL6,IW6)=0),1000000000,IF($V6=1,INDEX('calcA'!$D$130:$EQ$169,$B6,7)+IF(AND($E6=1,IW6=0),25,0),IF($F6&gt;0,INDEX('calcA'!J$110:J$114,$F6+1)+IF(AND($E6=1,IW6=0),1000,0),MIN(TU6,20)*400+(IF('calcA'!I$106=1,1-DG6,0)+IF('calcA'!J$106=1,1-DI6,0))*150+71+'calcA'!J$5*100000+IF(AND($E6=1,IW6=0),50000,0))+IF($H6=1,INDEX('calcA'!$D$180:$EQ$219,$B6,7)*4000,0)-IF(AND('calcA'!I$117=1,UG6&gt;0),2000,0)-IF(AND($U6=1,'calcA'!J$117=1,DI6=0),2000,0))),1000000000))</f>
        <v/>
      </c>
      <c r="OM6">
        <f>IF($B6=0,1000000000,IF(INDEX('calcA'!$D$60:$EQ$99,$B6,8)*IF($W6=1,DI6+ZX6,DI6)=1,IF(AND($E6=2,IF($W6=1,AFM6,IX6)=0),1000000000,IF($V6=1,INDEX('calcA'!$D$130:$EQ$169,$B6,8)+IF(AND($E6=1,IX6=0),25,0),IF($F6&gt;0,INDEX('calcA'!K$110:K$114,$F6+1)+IF(AND($E6=1,IX6=0),1000,0),MIN(TU6,20)*400+(IF('calcA'!J$106=1,1-DH6,0)+IF('calcA'!K$106=1,1-DJ6,0))*150+81+'calcA'!K$5*100000+IF(AND($E6=1,IX6=0),50000,0))+IF($H6=1,INDEX('calcA'!$D$180:$EQ$219,$B6,8)*4000,0)-IF(AND('calcA'!J$117=1,UH6&gt;0),2000,0)-IF(AND($U6=1,'calcA'!K$117=1,DJ6=0),2000,0))),1000000000))</f>
        <v/>
      </c>
      <c r="ON6">
        <f>IF($B6=0,1000000000,IF(INDEX('calcA'!$D$60:$EQ$99,$B6,9)*IF($W6=1,DJ6+ZY6,DJ6)=1,IF(AND($E6=2,IF($W6=1,AFN6,IY6)=0),1000000000,IF($V6=1,INDEX('calcA'!$D$130:$EQ$169,$B6,9)+IF(AND($E6=1,IY6=0),25,0),IF($F6&gt;0,INDEX('calcA'!L$110:L$114,$F6+1)+IF(AND($E6=1,IY6=0),1000,0),MIN(TU6,20)*400+(IF('calcA'!K$106=1,1-DI6,0)+IF('calcA'!L$106=1,1-DK6,0))*150+91+'calcA'!L$5*100000+IF(AND($E6=1,IY6=0),50000,0))+IF($H6=1,INDEX('calcA'!$D$180:$EQ$219,$B6,9)*4000,0)-IF(AND('calcA'!K$117=1,UI6&gt;0),2000,0)-IF(AND($U6=1,'calcA'!L$117=1,DK6=0),2000,0))),1000000000))</f>
        <v/>
      </c>
      <c r="OO6">
        <f>IF($B6=0,1000000000,IF(INDEX('calcA'!$D$60:$EQ$99,$B6,10)*IF($W6=1,DK6+ZZ6,DK6)=1,IF(AND($E6=2,IF($W6=1,AFO6,IZ6)=0),1000000000,IF($V6=1,INDEX('calcA'!$D$130:$EQ$169,$B6,10)+IF(AND($E6=1,IZ6=0),25,0),IF($F6&gt;0,INDEX('calcA'!M$110:M$114,$F6+1)+IF(AND($E6=1,IZ6=0),1000,0),MIN(TU6,20)*400+(IF('calcA'!L$106=1,1-DJ6,0)+IF('calcA'!M$106=1,1-DL6,0))*150+101+'calcA'!M$5*100000+IF(AND($E6=1,IZ6=0),50000,0))+IF($H6=1,INDEX('calcA'!$D$180:$EQ$219,$B6,10)*4000,0)-IF(AND('calcA'!L$117=1,UJ6&gt;0),2000,0)-IF(AND($U6=1,'calcA'!M$117=1,DL6=0),2000,0))),1000000000))</f>
        <v/>
      </c>
      <c r="OP6">
        <f>IF($B6=0,1000000000,IF(INDEX('calcA'!$D$60:$EQ$99,$B6,11)*IF($W6=1,DL6+AAA6,DL6)=1,IF(AND($E6=2,IF($W6=1,AFP6,JA6)=0),1000000000,IF($V6=1,INDEX('calcA'!$D$130:$EQ$169,$B6,11)+IF(AND($E6=1,JA6=0),25,0),IF($F6&gt;0,INDEX('calcA'!N$110:N$114,$F6+1)+IF(AND($E6=1,JA6=0),1000,0),MIN(TU6,20)*400+(IF('calcA'!M$106=1,1-DK6,0)+IF('calcA'!N$106=1,1-DM6,0))*150+111+'calcA'!N$5*100000+IF(AND($E6=1,JA6=0),50000,0))+IF($H6=1,INDEX('calcA'!$D$180:$EQ$219,$B6,11)*4000,0)-IF(AND('calcA'!M$117=1,UK6&gt;0),2000,0)-IF(AND($U6=1,'calcA'!N$117=1,DM6=0),2000,0))),1000000000))</f>
        <v/>
      </c>
      <c r="OQ6">
        <f>IF($B6=0,1000000000,IF(INDEX('calcA'!$D$60:$EQ$99,$B6,12)*IF($W6=1,DM6+AAB6,DM6)=1,IF(AND($E6=2,IF($W6=1,AFQ6,JB6)=0),1000000000,IF($V6=1,INDEX('calcA'!$D$130:$EQ$169,$B6,12)+IF(AND($E6=1,JB6=0),25,0),IF($F6&gt;0,INDEX('calcA'!O$110:O$114,$F6+1)+IF(AND($E6=1,JB6=0),1000,0),MIN(TU6,20)*400+(IF('calcA'!N$106=1,1-DL6,0)+IF('calcA'!O$106=1,1-DN6,0))*150+121+'calcA'!O$5*100000+IF(AND($E6=1,JB6=0),50000,0))+IF($H6=1,INDEX('calcA'!$D$180:$EQ$219,$B6,12)*4000,0)-IF(AND('calcA'!N$117=1,UL6&gt;0),2000,0)-IF(AND($U6=1,'calcA'!O$117=1,DN6=0),2000,0))),1000000000))</f>
        <v/>
      </c>
      <c r="OR6">
        <f>IF($B6=0,1000000000,IF(INDEX('calcA'!$D$60:$EQ$99,$B6,13)*IF($W6=1,DN6+AAC6,DN6)=1,IF(AND($E6=2,IF($W6=1,AFR6,JC6)=0),1000000000,IF($V6=1,INDEX('calcA'!$D$130:$EQ$169,$B6,13)+IF(AND($E6=1,JC6=0),25,0),IF($F6&gt;0,INDEX('calcA'!P$110:P$114,$F6+1)+IF(AND($E6=1,JC6=0),1000,0),MIN(TU6,20)*400+(IF('calcA'!O$106=1,1-DM6,0)+IF('calcA'!P$106=1,1-DO6,0))*150+131+'calcA'!P$5*100000+IF(AND($E6=1,JC6=0),50000,0))+IF($H6=1,INDEX('calcA'!$D$180:$EQ$219,$B6,13)*4000,0)-IF(AND('calcA'!O$117=1,UM6&gt;0),2000,0)-IF(AND($U6=1,'calcA'!P$117=1,DO6=0),2000,0))),1000000000))</f>
        <v/>
      </c>
      <c r="OS6">
        <f>IF($B6=0,1000000000,IF(INDEX('calcA'!$D$60:$EQ$99,$B6,14)*IF($W6=1,DO6+AAD6,DO6)=1,IF(AND($E6=2,IF($W6=1,AFS6,JD6)=0),1000000000,IF($V6=1,INDEX('calcA'!$D$130:$EQ$169,$B6,14)+IF(AND($E6=1,JD6=0),25,0),IF($F6&gt;0,INDEX('calcA'!Q$110:Q$114,$F6+1)+IF(AND($E6=1,JD6=0),1000,0),MIN(TU6,20)*400+(IF('calcA'!P$106=1,1-DN6,0)+IF('calcA'!Q$106=1,1-DP6,0))*150+141+'calcA'!Q$5*100000+IF(AND($E6=1,JD6=0),50000,0))+IF($H6=1,INDEX('calcA'!$D$180:$EQ$219,$B6,14)*4000,0)-IF(AND('calcA'!P$117=1,UN6&gt;0),2000,0)-IF(AND($U6=1,'calcA'!Q$117=1,DP6=0),2000,0))),1000000000))</f>
        <v/>
      </c>
      <c r="OT6">
        <f>IF($B6=0,1000000000,IF(INDEX('calcA'!$D$60:$EQ$99,$B6,15)*IF($W6=1,DP6+AAE6,DP6)=1,IF(AND($E6=2,IF($W6=1,AFT6,JE6)=0),1000000000,IF($V6=1,INDEX('calcA'!$D$130:$EQ$169,$B6,15)+IF(AND($E6=1,JE6=0),25,0),IF($F6&gt;0,INDEX('calcA'!R$110:R$114,$F6+1)+IF(AND($E6=1,JE6=0),1000,0),MIN(TU6,20)*400+(IF('calcA'!Q$106=1,1-DO6,0)+IF('calcA'!R$106=1,1-DQ6,0))*150+151+'calcA'!R$5*100000+IF(AND($E6=1,JE6=0),50000,0))+IF($H6=1,INDEX('calcA'!$D$180:$EQ$219,$B6,15)*4000,0)-IF(AND('calcA'!Q$117=1,UO6&gt;0),2000,0)-IF(AND($U6=1,'calcA'!R$117=1,DQ6=0),2000,0))),1000000000))</f>
        <v/>
      </c>
      <c r="OU6">
        <f>IF($B6=0,1000000000,IF(INDEX('calcA'!$D$60:$EQ$99,$B6,16)*IF($W6=1,DQ6+AAF6,DQ6)=1,IF(AND($E6=2,IF($W6=1,AFU6,JF6)=0),1000000000,IF($V6=1,INDEX('calcA'!$D$130:$EQ$169,$B6,16)+IF(AND($E6=1,JF6=0),25,0),IF($F6&gt;0,INDEX('calcA'!S$110:S$114,$F6+1)+IF(AND($E6=1,JF6=0),1000,0),MIN(TU6,20)*400+(IF('calcA'!R$106=1,1-DP6,0)+IF('calcA'!S$106=1,1-DR6,0))*150+161+'calcA'!S$5*100000+IF(AND($E6=1,JF6=0),50000,0))+IF($H6=1,INDEX('calcA'!$D$180:$EQ$219,$B6,16)*4000,0)-IF(AND('calcA'!R$117=1,UP6&gt;0),2000,0)-IF(AND($U6=1,'calcA'!S$117=1,DR6=0),2000,0))),1000000000))</f>
        <v/>
      </c>
      <c r="OV6">
        <f>IF($B6=0,1000000000,IF(INDEX('calcA'!$D$60:$EQ$99,$B6,17)*IF($W6=1,DR6+AAG6,DR6)=1,IF(AND($E6=2,IF($W6=1,AFV6,JG6)=0),1000000000,IF($V6=1,INDEX('calcA'!$D$130:$EQ$169,$B6,17)+IF(AND($E6=1,JG6=0),25,0),IF($F6&gt;0,INDEX('calcA'!T$110:T$114,$F6+1)+IF(AND($E6=1,JG6=0),1000,0),MIN(TU6,20)*400+(IF('calcA'!S$106=1,1-DQ6,0)+IF('calcA'!T$106=1,1-DS6,0))*150+171+'calcA'!T$5*100000+IF(AND($E6=1,JG6=0),50000,0))+IF($H6=1,INDEX('calcA'!$D$180:$EQ$219,$B6,17)*4000,0)-IF(AND('calcA'!S$117=1,UQ6&gt;0),2000,0)-IF(AND($U6=1,'calcA'!T$117=1,DS6=0),2000,0))),1000000000))</f>
        <v/>
      </c>
      <c r="OW6">
        <f>IF($B6=0,1000000000,IF(INDEX('calcA'!$D$60:$EQ$99,$B6,18)*IF($W6=1,DS6+AAH6,DS6)=1,IF(AND($E6=2,IF($W6=1,AFW6,JH6)=0),1000000000,IF($V6=1,INDEX('calcA'!$D$130:$EQ$169,$B6,18)+IF(AND($E6=1,JH6=0),25,0),IF($F6&gt;0,INDEX('calcA'!U$110:U$114,$F6+1)+IF(AND($E6=1,JH6=0),1000,0),MIN(TU6,20)*400+(IF('calcA'!T$106=1,1-DR6,0)+IF('calcA'!U$106=1,1-DT6,0))*150+181+'calcA'!U$5*100000+IF(AND($E6=1,JH6=0),50000,0))+IF($H6=1,INDEX('calcA'!$D$180:$EQ$219,$B6,18)*4000,0)-IF(AND('calcA'!T$117=1,UR6&gt;0),2000,0)-IF(AND($U6=1,'calcA'!U$117=1,DT6=0),2000,0))),1000000000))</f>
        <v/>
      </c>
      <c r="OX6">
        <f>IF($B6=0,1000000000,IF(INDEX('calcA'!$D$60:$EQ$99,$B6,19)*IF($W6=1,DT6+AAI6,DT6)=1,IF(AND($E6=2,IF($W6=1,AFX6,JI6)=0),1000000000,IF($V6=1,INDEX('calcA'!$D$130:$EQ$169,$B6,19)+IF(AND($E6=1,JI6=0),25,0),IF($F6&gt;0,INDEX('calcA'!V$110:V$114,$F6+1)+IF(AND($E6=1,JI6=0),1000,0),MIN(TU6,20)*400+(IF('calcA'!U$106=1,1-DS6,0)+IF('calcA'!V$106=1,1-DU6,0))*150+191+'calcA'!V$5*100000+IF(AND($E6=1,JI6=0),50000,0))+IF($H6=1,INDEX('calcA'!$D$180:$EQ$219,$B6,19)*4000,0)-IF(AND('calcA'!U$117=1,US6&gt;0),2000,0)-IF(AND($U6=1,'calcA'!V$117=1,DU6=0),2000,0))),1000000000))</f>
        <v/>
      </c>
      <c r="OY6">
        <f>IF($B6=0,1000000000,IF(INDEX('calcA'!$D$60:$EQ$99,$B6,20)*IF($W6=1,DU6+AAJ6,DU6)=1,IF(AND($E6=2,IF($W6=1,AFY6,JJ6)=0),1000000000,IF($V6=1,INDEX('calcA'!$D$130:$EQ$169,$B6,20)+IF(AND($E6=1,JJ6=0),25,0),IF($F6&gt;0,INDEX('calcA'!W$110:W$114,$F6+1)+IF(AND($E6=1,JJ6=0),1000,0),MIN(TU6,20)*400+(IF('calcA'!V$106=1,1-DT6,0)+IF('calcA'!W$106=1,1-DV6,0))*150+201+'calcA'!W$5*100000+IF(AND($E6=1,JJ6=0),50000,0))+IF($H6=1,INDEX('calcA'!$D$180:$EQ$219,$B6,20)*4000,0)-IF(AND('calcA'!V$117=1,UT6&gt;0),2000,0)-IF(AND($U6=1,'calcA'!W$117=1,DV6=0),2000,0))),1000000000))</f>
        <v/>
      </c>
      <c r="OZ6">
        <f>IF($B6=0,1000000000,IF(INDEX('calcA'!$D$60:$EQ$99,$B6,21)*IF($W6=1,DV6+AAK6,DV6)=1,IF(AND($E6=2,IF($W6=1,AFZ6,JK6)=0),1000000000,IF($V6=1,INDEX('calcA'!$D$130:$EQ$169,$B6,21)+IF(AND($E6=1,JK6=0),25,0),IF($F6&gt;0,INDEX('calcA'!X$110:X$114,$F6+1)+IF(AND($E6=1,JK6=0),1000,0),MIN(TU6,20)*400+(IF('calcA'!W$106=1,1-DU6,0)+IF('calcA'!X$106=1,1-DW6,0))*150+211+'calcA'!X$5*100000+IF(AND($E6=1,JK6=0),50000,0))+IF($H6=1,INDEX('calcA'!$D$180:$EQ$219,$B6,21)*4000,0)-IF(AND('calcA'!W$117=1,UU6&gt;0),2000,0)-IF(AND($U6=1,'calcA'!X$117=1,DW6=0),2000,0))),1000000000))</f>
        <v/>
      </c>
      <c r="PA6">
        <f>IF($B6=0,1000000000,IF(INDEX('calcA'!$D$60:$EQ$99,$B6,22)*IF($W6=1,DW6+AAL6,DW6)=1,IF(AND($E6=2,IF($W6=1,AGA6,JL6)=0),1000000000,IF($V6=1,INDEX('calcA'!$D$130:$EQ$169,$B6,22)+IF(AND($E6=1,JL6=0),25,0),IF($F6&gt;0,INDEX('calcA'!Y$110:Y$114,$F6+1)+IF(AND($E6=1,JL6=0),1000,0),MIN(TU6,20)*400+(IF('calcA'!X$106=1,1-DV6,0)+IF('calcA'!Y$106=1,1-DX6,0))*150+221+'calcA'!Y$5*100000+IF(AND($E6=1,JL6=0),50000,0))+IF($H6=1,INDEX('calcA'!$D$180:$EQ$219,$B6,22)*4000,0)-IF(AND('calcA'!X$117=1,UV6&gt;0),2000,0)-IF(AND($U6=1,'calcA'!Y$117=1,DX6=0),2000,0))),1000000000))</f>
        <v/>
      </c>
      <c r="PB6">
        <f>IF($B6=0,1000000000,IF(INDEX('calcA'!$D$60:$EQ$99,$B6,23)*IF($W6=1,DX6+AAM6,DX6)=1,IF(AND($E6=2,IF($W6=1,AGB6,JM6)=0),1000000000,IF($V6=1,INDEX('calcA'!$D$130:$EQ$169,$B6,23)+IF(AND($E6=1,JM6=0),25,0),IF($F6&gt;0,INDEX('calcA'!Z$110:Z$114,$F6+1)+IF(AND($E6=1,JM6=0),1000,0),MIN(TU6,20)*400+(IF('calcA'!Y$106=1,1-DW6,0)+IF('calcA'!Z$106=1,1-DY6,0))*150+231+'calcA'!Z$5*100000+IF(AND($E6=1,JM6=0),50000,0))+IF($H6=1,INDEX('calcA'!$D$180:$EQ$219,$B6,23)*4000,0)-IF(AND('calcA'!Y$117=1,UW6&gt;0),2000,0)-IF(AND($U6=1,'calcA'!Z$117=1,DY6=0),2000,0))),1000000000))</f>
        <v/>
      </c>
      <c r="PC6">
        <f>IF($B6=0,1000000000,IF(INDEX('calcA'!$D$60:$EQ$99,$B6,24)*IF($W6=1,DY6+AAN6,DY6)=1,IF(AND($E6=2,IF($W6=1,AGC6,JN6)=0),1000000000,IF($V6=1,INDEX('calcA'!$D$130:$EQ$169,$B6,24)+IF(AND($E6=1,JN6=0),25,0),IF($F6&gt;0,INDEX('calcA'!AA$110:AA$114,$F6+1)+IF(AND($E6=1,JN6=0),1000,0),MIN(TU6,20)*400+(IF('calcA'!Z$106=1,1-DX6,0))*150+241+'calcA'!AA$5*100000+IF(AND($E6=1,JN6=0),50000,0))+IF($H6=1,INDEX('calcA'!$D$180:$EQ$219,$B6,24)*4000,0)-IF(AND('calcA'!Z$117=1,UX6&gt;0),2000,0))),1000000000))</f>
        <v/>
      </c>
      <c r="PD6">
        <f>IF($B6=0,1000000000,IF(INDEX('calcA'!$D$60:$EQ$99,$B6,25)*IF($W6=1,DZ6+AAO6,DZ6)=1,IF(AND($E6=2,IF($W6=1,AGD6,JO6)=0),1000000000,IF($V6=1,INDEX('calcA'!$D$130:$EQ$169,$B6,25)+IF(AND($E6=1,JO6=0),25,0),IF($F6&gt;0,INDEX('calcA'!AB$110:AB$114,$F6+1)+IF(AND($E6=1,JO6=0),1000,0),MIN(TV6,20)*400+(IF('calcA'!AB$106=1,1-EA6,0))*150+12+'calcA'!AB$5*100000+IF(AND($E6=1,JO6=0),50000,0))+IF($H6=1,INDEX('calcA'!$D$180:$EQ$219,$B6,25)*4000,0)-IF(AND($U6=1,'calcA'!AB$117=1,EA6=0),2000,0))),1000000000))</f>
        <v/>
      </c>
      <c r="PE6">
        <f>IF($B6=0,1000000000,IF(INDEX('calcA'!$D$60:$EQ$99,$B6,26)*IF($W6=1,EA6+AAP6,EA6)=1,IF(AND($E6=2,IF($W6=1,AGE6,JP6)=0),1000000000,IF($V6=1,INDEX('calcA'!$D$130:$EQ$169,$B6,26)+IF(AND($E6=1,JP6=0),25,0),IF($F6&gt;0,INDEX('calcA'!AC$110:AC$114,$F6+1)+IF(AND($E6=1,JP6=0),1000,0),MIN(TV6,20)*400+(IF('calcA'!AB$106=1,1-DZ6,0)+IF('calcA'!AC$106=1,1-EB6,0))*150+22+'calcA'!AC$5*100000+IF(AND($E6=1,JP6=0),50000,0))+IF($H6=1,INDEX('calcA'!$D$180:$EQ$219,$B6,26)*4000,0)-IF(AND('calcA'!AB$117=1,UZ6&gt;0),2000,0)-IF(AND($U6=1,'calcA'!AC$117=1,EB6=0),2000,0))),1000000000))</f>
        <v/>
      </c>
      <c r="PF6">
        <f>IF($B6=0,1000000000,IF(INDEX('calcA'!$D$60:$EQ$99,$B6,27)*IF($W6=1,EB6+AAQ6,EB6)=1,IF(AND($E6=2,IF($W6=1,AGF6,JQ6)=0),1000000000,IF($V6=1,INDEX('calcA'!$D$130:$EQ$169,$B6,27)+IF(AND($E6=1,JQ6=0),25,0),IF($F6&gt;0,INDEX('calcA'!AD$110:AD$114,$F6+1)+IF(AND($E6=1,JQ6=0),1000,0),MIN(TV6,20)*400+(IF('calcA'!AC$106=1,1-EA6,0)+IF('calcA'!AD$106=1,1-EC6,0))*150+32+'calcA'!AD$5*100000+IF(AND($E6=1,JQ6=0),50000,0))+IF($H6=1,INDEX('calcA'!$D$180:$EQ$219,$B6,27)*4000,0)-IF(AND('calcA'!AC$117=1,VA6&gt;0),2000,0)-IF(AND($U6=1,'calcA'!AD$117=1,EC6=0),2000,0))),1000000000))</f>
        <v/>
      </c>
      <c r="PG6">
        <f>IF($B6=0,1000000000,IF(INDEX('calcA'!$D$60:$EQ$99,$B6,28)*IF($W6=1,EC6+AAR6,EC6)=1,IF(AND($E6=2,IF($W6=1,AGG6,JR6)=0),1000000000,IF($V6=1,INDEX('calcA'!$D$130:$EQ$169,$B6,28)+IF(AND($E6=1,JR6=0),25,0),IF($F6&gt;0,INDEX('calcA'!AE$110:AE$114,$F6+1)+IF(AND($E6=1,JR6=0),1000,0),MIN(TV6,20)*400+(IF('calcA'!AD$106=1,1-EB6,0)+IF('calcA'!AE$106=1,1-ED6,0))*150+42+'calcA'!AE$5*100000+IF(AND($E6=1,JR6=0),50000,0))+IF($H6=1,INDEX('calcA'!$D$180:$EQ$219,$B6,28)*4000,0)-IF(AND('calcA'!AD$117=1,VB6&gt;0),2000,0)-IF(AND($U6=1,'calcA'!AE$117=1,ED6=0),2000,0))),1000000000))</f>
        <v/>
      </c>
      <c r="PH6">
        <f>IF($B6=0,1000000000,IF(INDEX('calcA'!$D$60:$EQ$99,$B6,29)*IF($W6=1,ED6+AAS6,ED6)=1,IF(AND($E6=2,IF($W6=1,AGH6,JS6)=0),1000000000,IF($V6=1,INDEX('calcA'!$D$130:$EQ$169,$B6,29)+IF(AND($E6=1,JS6=0),25,0),IF($F6&gt;0,INDEX('calcA'!AF$110:AF$114,$F6+1)+IF(AND($E6=1,JS6=0),1000,0),MIN(TV6,20)*400+(IF('calcA'!AE$106=1,1-EC6,0)+IF('calcA'!AF$106=1,1-EE6,0))*150+52+'calcA'!AF$5*100000+IF(AND($E6=1,JS6=0),50000,0))+IF($H6=1,INDEX('calcA'!$D$180:$EQ$219,$B6,29)*4000,0)-IF(AND('calcA'!AE$117=1,VC6&gt;0),2000,0)-IF(AND($U6=1,'calcA'!AF$117=1,EE6=0),2000,0))),1000000000))</f>
        <v/>
      </c>
      <c r="PI6">
        <f>IF($B6=0,1000000000,IF(INDEX('calcA'!$D$60:$EQ$99,$B6,30)*IF($W6=1,EE6+AAT6,EE6)=1,IF(AND($E6=2,IF($W6=1,AGI6,JT6)=0),1000000000,IF($V6=1,INDEX('calcA'!$D$130:$EQ$169,$B6,30)+IF(AND($E6=1,JT6=0),25,0),IF($F6&gt;0,INDEX('calcA'!AG$110:AG$114,$F6+1)+IF(AND($E6=1,JT6=0),1000,0),MIN(TV6,20)*400+(IF('calcA'!AF$106=1,1-ED6,0)+IF('calcA'!AG$106=1,1-EF6,0))*150+62+'calcA'!AG$5*100000+IF(AND($E6=1,JT6=0),50000,0))+IF($H6=1,INDEX('calcA'!$D$180:$EQ$219,$B6,30)*4000,0)-IF(AND('calcA'!AF$117=1,VD6&gt;0),2000,0)-IF(AND($U6=1,'calcA'!AG$117=1,EF6=0),2000,0))),1000000000))</f>
        <v/>
      </c>
      <c r="PJ6">
        <f>IF($B6=0,1000000000,IF(INDEX('calcA'!$D$60:$EQ$99,$B6,31)*IF($W6=1,EF6+AAU6,EF6)=1,IF(AND($E6=2,IF($W6=1,AGJ6,JU6)=0),1000000000,IF($V6=1,INDEX('calcA'!$D$130:$EQ$169,$B6,31)+IF(AND($E6=1,JU6=0),25,0),IF($F6&gt;0,INDEX('calcA'!AH$110:AH$114,$F6+1)+IF(AND($E6=1,JU6=0),1000,0),MIN(TV6,20)*400+(IF('calcA'!AG$106=1,1-EE6,0)+IF('calcA'!AH$106=1,1-EG6,0))*150+72+'calcA'!AH$5*100000+IF(AND($E6=1,JU6=0),50000,0))+IF($H6=1,INDEX('calcA'!$D$180:$EQ$219,$B6,31)*4000,0)-IF(AND('calcA'!AG$117=1,VE6&gt;0),2000,0)-IF(AND($U6=1,'calcA'!AH$117=1,EG6=0),2000,0))),1000000000))</f>
        <v/>
      </c>
      <c r="PK6">
        <f>IF($B6=0,1000000000,IF(INDEX('calcA'!$D$60:$EQ$99,$B6,32)*IF($W6=1,EG6+AAV6,EG6)=1,IF(AND($E6=2,IF($W6=1,AGK6,JV6)=0),1000000000,IF($V6=1,INDEX('calcA'!$D$130:$EQ$169,$B6,32)+IF(AND($E6=1,JV6=0),25,0),IF($F6&gt;0,INDEX('calcA'!AI$110:AI$114,$F6+1)+IF(AND($E6=1,JV6=0),1000,0),MIN(TV6,20)*400+(IF('calcA'!AH$106=1,1-EF6,0)+IF('calcA'!AI$106=1,1-EH6,0))*150+82+'calcA'!AI$5*100000+IF(AND($E6=1,JV6=0),50000,0))+IF($H6=1,INDEX('calcA'!$D$180:$EQ$219,$B6,32)*4000,0)-IF(AND('calcA'!AH$117=1,VF6&gt;0),2000,0)-IF(AND($U6=1,'calcA'!AI$117=1,EH6=0),2000,0))),1000000000))</f>
        <v/>
      </c>
      <c r="PL6">
        <f>IF($B6=0,1000000000,IF(INDEX('calcA'!$D$60:$EQ$99,$B6,33)*IF($W6=1,EH6+AAW6,EH6)=1,IF(AND($E6=2,IF($W6=1,AGL6,JW6)=0),1000000000,IF($V6=1,INDEX('calcA'!$D$130:$EQ$169,$B6,33)+IF(AND($E6=1,JW6=0),25,0),IF($F6&gt;0,INDEX('calcA'!AJ$110:AJ$114,$F6+1)+IF(AND($E6=1,JW6=0),1000,0),MIN(TV6,20)*400+(IF('calcA'!AI$106=1,1-EG6,0)+IF('calcA'!AJ$106=1,1-EI6,0))*150+92+'calcA'!AJ$5*100000+IF(AND($E6=1,JW6=0),50000,0))+IF($H6=1,INDEX('calcA'!$D$180:$EQ$219,$B6,33)*4000,0)-IF(AND('calcA'!AI$117=1,VG6&gt;0),2000,0)-IF(AND($U6=1,'calcA'!AJ$117=1,EI6=0),2000,0))),1000000000))</f>
        <v/>
      </c>
      <c r="PM6">
        <f>IF($B6=0,1000000000,IF(INDEX('calcA'!$D$60:$EQ$99,$B6,34)*IF($W6=1,EI6+AAX6,EI6)=1,IF(AND($E6=2,IF($W6=1,AGM6,JX6)=0),1000000000,IF($V6=1,INDEX('calcA'!$D$130:$EQ$169,$B6,34)+IF(AND($E6=1,JX6=0),25,0),IF($F6&gt;0,INDEX('calcA'!AK$110:AK$114,$F6+1)+IF(AND($E6=1,JX6=0),1000,0),MIN(TV6,20)*400+(IF('calcA'!AJ$106=1,1-EH6,0)+IF('calcA'!AK$106=1,1-EJ6,0))*150+102+'calcA'!AK$5*100000+IF(AND($E6=1,JX6=0),50000,0))+IF($H6=1,INDEX('calcA'!$D$180:$EQ$219,$B6,34)*4000,0)-IF(AND('calcA'!AJ$117=1,VH6&gt;0),2000,0)-IF(AND($U6=1,'calcA'!AK$117=1,EJ6=0),2000,0))),1000000000))</f>
        <v/>
      </c>
      <c r="PN6">
        <f>IF($B6=0,1000000000,IF(INDEX('calcA'!$D$60:$EQ$99,$B6,35)*IF($W6=1,EJ6+AAY6,EJ6)=1,IF(AND($E6=2,IF($W6=1,AGN6,JY6)=0),1000000000,IF($V6=1,INDEX('calcA'!$D$130:$EQ$169,$B6,35)+IF(AND($E6=1,JY6=0),25,0),IF($F6&gt;0,INDEX('calcA'!AL$110:AL$114,$F6+1)+IF(AND($E6=1,JY6=0),1000,0),MIN(TV6,20)*400+(IF('calcA'!AK$106=1,1-EI6,0)+IF('calcA'!AL$106=1,1-EK6,0))*150+112+'calcA'!AL$5*100000+IF(AND($E6=1,JY6=0),50000,0))+IF($H6=1,INDEX('calcA'!$D$180:$EQ$219,$B6,35)*4000,0)-IF(AND('calcA'!AK$117=1,VI6&gt;0),2000,0)-IF(AND($U6=1,'calcA'!AL$117=1,EK6=0),2000,0))),1000000000))</f>
        <v/>
      </c>
      <c r="PO6">
        <f>IF($B6=0,1000000000,IF(INDEX('calcA'!$D$60:$EQ$99,$B6,36)*IF($W6=1,EK6+AAZ6,EK6)=1,IF(AND($E6=2,IF($W6=1,AGO6,JZ6)=0),1000000000,IF($V6=1,INDEX('calcA'!$D$130:$EQ$169,$B6,36)+IF(AND($E6=1,JZ6=0),25,0),IF($F6&gt;0,INDEX('calcA'!AM$110:AM$114,$F6+1)+IF(AND($E6=1,JZ6=0),1000,0),MIN(TV6,20)*400+(IF('calcA'!AL$106=1,1-EJ6,0)+IF('calcA'!AM$106=1,1-EL6,0))*150+122+'calcA'!AM$5*100000+IF(AND($E6=1,JZ6=0),50000,0))+IF($H6=1,INDEX('calcA'!$D$180:$EQ$219,$B6,36)*4000,0)-IF(AND('calcA'!AL$117=1,VJ6&gt;0),2000,0)-IF(AND($U6=1,'calcA'!AM$117=1,EL6=0),2000,0))),1000000000))</f>
        <v/>
      </c>
      <c r="PP6">
        <f>IF($B6=0,1000000000,IF(INDEX('calcA'!$D$60:$EQ$99,$B6,37)*IF($W6=1,EL6+ABA6,EL6)=1,IF(AND($E6=2,IF($W6=1,AGP6,KA6)=0),1000000000,IF($V6=1,INDEX('calcA'!$D$130:$EQ$169,$B6,37)+IF(AND($E6=1,KA6=0),25,0),IF($F6&gt;0,INDEX('calcA'!AN$110:AN$114,$F6+1)+IF(AND($E6=1,KA6=0),1000,0),MIN(TV6,20)*400+(IF('calcA'!AM$106=1,1-EK6,0)+IF('calcA'!AN$106=1,1-EM6,0))*150+132+'calcA'!AN$5*100000+IF(AND($E6=1,KA6=0),50000,0))+IF($H6=1,INDEX('calcA'!$D$180:$EQ$219,$B6,37)*4000,0)-IF(AND('calcA'!AM$117=1,VK6&gt;0),2000,0)-IF(AND($U6=1,'calcA'!AN$117=1,EM6=0),2000,0))),1000000000))</f>
        <v/>
      </c>
      <c r="PQ6">
        <f>IF($B6=0,1000000000,IF(INDEX('calcA'!$D$60:$EQ$99,$B6,38)*IF($W6=1,EM6+ABB6,EM6)=1,IF(AND($E6=2,IF($W6=1,AGQ6,KB6)=0),1000000000,IF($V6=1,INDEX('calcA'!$D$130:$EQ$169,$B6,38)+IF(AND($E6=1,KB6=0),25,0),IF($F6&gt;0,INDEX('calcA'!AO$110:AO$114,$F6+1)+IF(AND($E6=1,KB6=0),1000,0),MIN(TV6,20)*400+(IF('calcA'!AN$106=1,1-EL6,0)+IF('calcA'!AO$106=1,1-EN6,0))*150+142+'calcA'!AO$5*100000+IF(AND($E6=1,KB6=0),50000,0))+IF($H6=1,INDEX('calcA'!$D$180:$EQ$219,$B6,38)*4000,0)-IF(AND('calcA'!AN$117=1,VL6&gt;0),2000,0)-IF(AND($U6=1,'calcA'!AO$117=1,EN6=0),2000,0))),1000000000))</f>
        <v/>
      </c>
      <c r="PR6">
        <f>IF($B6=0,1000000000,IF(INDEX('calcA'!$D$60:$EQ$99,$B6,39)*IF($W6=1,EN6+ABC6,EN6)=1,IF(AND($E6=2,IF($W6=1,AGR6,KC6)=0),1000000000,IF($V6=1,INDEX('calcA'!$D$130:$EQ$169,$B6,39)+IF(AND($E6=1,KC6=0),25,0),IF($F6&gt;0,INDEX('calcA'!AP$110:AP$114,$F6+1)+IF(AND($E6=1,KC6=0),1000,0),MIN(TV6,20)*400+(IF('calcA'!AO$106=1,1-EM6,0)+IF('calcA'!AP$106=1,1-EO6,0))*150+152+'calcA'!AP$5*100000+IF(AND($E6=1,KC6=0),50000,0))+IF($H6=1,INDEX('calcA'!$D$180:$EQ$219,$B6,39)*4000,0)-IF(AND('calcA'!AO$117=1,VM6&gt;0),2000,0)-IF(AND($U6=1,'calcA'!AP$117=1,EO6=0),2000,0))),1000000000))</f>
        <v/>
      </c>
      <c r="PS6">
        <f>IF($B6=0,1000000000,IF(INDEX('calcA'!$D$60:$EQ$99,$B6,40)*IF($W6=1,EO6+ABD6,EO6)=1,IF(AND($E6=2,IF($W6=1,AGS6,KD6)=0),1000000000,IF($V6=1,INDEX('calcA'!$D$130:$EQ$169,$B6,40)+IF(AND($E6=1,KD6=0),25,0),IF($F6&gt;0,INDEX('calcA'!AQ$110:AQ$114,$F6+1)+IF(AND($E6=1,KD6=0),1000,0),MIN(TV6,20)*400+(IF('calcA'!AP$106=1,1-EN6,0)+IF('calcA'!AQ$106=1,1-EP6,0))*150+162+'calcA'!AQ$5*100000+IF(AND($E6=1,KD6=0),50000,0))+IF($H6=1,INDEX('calcA'!$D$180:$EQ$219,$B6,40)*4000,0)-IF(AND('calcA'!AP$117=1,VN6&gt;0),2000,0)-IF(AND($U6=1,'calcA'!AQ$117=1,EP6=0),2000,0))),1000000000))</f>
        <v/>
      </c>
      <c r="PT6">
        <f>IF($B6=0,1000000000,IF(INDEX('calcA'!$D$60:$EQ$99,$B6,41)*IF($W6=1,EP6+ABE6,EP6)=1,IF(AND($E6=2,IF($W6=1,AGT6,KE6)=0),1000000000,IF($V6=1,INDEX('calcA'!$D$130:$EQ$169,$B6,41)+IF(AND($E6=1,KE6=0),25,0),IF($F6&gt;0,INDEX('calcA'!AR$110:AR$114,$F6+1)+IF(AND($E6=1,KE6=0),1000,0),MIN(TV6,20)*400+(IF('calcA'!AQ$106=1,1-EO6,0)+IF('calcA'!AR$106=1,1-EQ6,0))*150+172+'calcA'!AR$5*100000+IF(AND($E6=1,KE6=0),50000,0))+IF($H6=1,INDEX('calcA'!$D$180:$EQ$219,$B6,41)*4000,0)-IF(AND('calcA'!AQ$117=1,VO6&gt;0),2000,0)-IF(AND($U6=1,'calcA'!AR$117=1,EQ6=0),2000,0))),1000000000))</f>
        <v/>
      </c>
      <c r="PU6">
        <f>IF($B6=0,1000000000,IF(INDEX('calcA'!$D$60:$EQ$99,$B6,42)*IF($W6=1,EQ6+ABF6,EQ6)=1,IF(AND($E6=2,IF($W6=1,AGU6,KF6)=0),1000000000,IF($V6=1,INDEX('calcA'!$D$130:$EQ$169,$B6,42)+IF(AND($E6=1,KF6=0),25,0),IF($F6&gt;0,INDEX('calcA'!AS$110:AS$114,$F6+1)+IF(AND($E6=1,KF6=0),1000,0),MIN(TV6,20)*400+(IF('calcA'!AR$106=1,1-EP6,0)+IF('calcA'!AS$106=1,1-ER6,0))*150+182+'calcA'!AS$5*100000+IF(AND($E6=1,KF6=0),50000,0))+IF($H6=1,INDEX('calcA'!$D$180:$EQ$219,$B6,42)*4000,0)-IF(AND('calcA'!AR$117=1,VP6&gt;0),2000,0)-IF(AND($U6=1,'calcA'!AS$117=1,ER6=0),2000,0))),1000000000))</f>
        <v/>
      </c>
      <c r="PV6">
        <f>IF($B6=0,1000000000,IF(INDEX('calcA'!$D$60:$EQ$99,$B6,43)*IF($W6=1,ER6+ABG6,ER6)=1,IF(AND($E6=2,IF($W6=1,AGV6,KG6)=0),1000000000,IF($V6=1,INDEX('calcA'!$D$130:$EQ$169,$B6,43)+IF(AND($E6=1,KG6=0),25,0),IF($F6&gt;0,INDEX('calcA'!AT$110:AT$114,$F6+1)+IF(AND($E6=1,KG6=0),1000,0),MIN(TV6,20)*400+(IF('calcA'!AS$106=1,1-EQ6,0)+IF('calcA'!AT$106=1,1-ES6,0))*150+192+'calcA'!AT$5*100000+IF(AND($E6=1,KG6=0),50000,0))+IF($H6=1,INDEX('calcA'!$D$180:$EQ$219,$B6,43)*4000,0)-IF(AND('calcA'!AS$117=1,VQ6&gt;0),2000,0)-IF(AND($U6=1,'calcA'!AT$117=1,ES6=0),2000,0))),1000000000))</f>
        <v/>
      </c>
      <c r="PW6">
        <f>IF($B6=0,1000000000,IF(INDEX('calcA'!$D$60:$EQ$99,$B6,44)*IF($W6=1,ES6+ABH6,ES6)=1,IF(AND($E6=2,IF($W6=1,AGW6,KH6)=0),1000000000,IF($V6=1,INDEX('calcA'!$D$130:$EQ$169,$B6,44)+IF(AND($E6=1,KH6=0),25,0),IF($F6&gt;0,INDEX('calcA'!AU$110:AU$114,$F6+1)+IF(AND($E6=1,KH6=0),1000,0),MIN(TV6,20)*400+(IF('calcA'!AT$106=1,1-ER6,0)+IF('calcA'!AU$106=1,1-ET6,0))*150+202+'calcA'!AU$5*100000+IF(AND($E6=1,KH6=0),50000,0))+IF($H6=1,INDEX('calcA'!$D$180:$EQ$219,$B6,44)*4000,0)-IF(AND('calcA'!AT$117=1,VR6&gt;0),2000,0)-IF(AND($U6=1,'calcA'!AU$117=1,ET6=0),2000,0))),1000000000))</f>
        <v/>
      </c>
      <c r="PX6">
        <f>IF($B6=0,1000000000,IF(INDEX('calcA'!$D$60:$EQ$99,$B6,45)*IF($W6=1,ET6+ABI6,ET6)=1,IF(AND($E6=2,IF($W6=1,AGX6,KI6)=0),1000000000,IF($V6=1,INDEX('calcA'!$D$130:$EQ$169,$B6,45)+IF(AND($E6=1,KI6=0),25,0),IF($F6&gt;0,INDEX('calcA'!AV$110:AV$114,$F6+1)+IF(AND($E6=1,KI6=0),1000,0),MIN(TV6,20)*400+(IF('calcA'!AU$106=1,1-ES6,0)+IF('calcA'!AV$106=1,1-EU6,0))*150+212+'calcA'!AV$5*100000+IF(AND($E6=1,KI6=0),50000,0))+IF($H6=1,INDEX('calcA'!$D$180:$EQ$219,$B6,45)*4000,0)-IF(AND('calcA'!AU$117=1,VS6&gt;0),2000,0)-IF(AND($U6=1,'calcA'!AV$117=1,EU6=0),2000,0))),1000000000))</f>
        <v/>
      </c>
      <c r="PY6">
        <f>IF($B6=0,1000000000,IF(INDEX('calcA'!$D$60:$EQ$99,$B6,46)*IF($W6=1,EU6+ABJ6,EU6)=1,IF(AND($E6=2,IF($W6=1,AGY6,KJ6)=0),1000000000,IF($V6=1,INDEX('calcA'!$D$130:$EQ$169,$B6,46)+IF(AND($E6=1,KJ6=0),25,0),IF($F6&gt;0,INDEX('calcA'!AW$110:AW$114,$F6+1)+IF(AND($E6=1,KJ6=0),1000,0),MIN(TV6,20)*400+(IF('calcA'!AV$106=1,1-ET6,0)+IF('calcA'!AW$106=1,1-EV6,0))*150+222+'calcA'!AW$5*100000+IF(AND($E6=1,KJ6=0),50000,0))+IF($H6=1,INDEX('calcA'!$D$180:$EQ$219,$B6,46)*4000,0)-IF(AND('calcA'!AV$117=1,VT6&gt;0),2000,0)-IF(AND($U6=1,'calcA'!AW$117=1,EV6=0),2000,0))),1000000000))</f>
        <v/>
      </c>
      <c r="PZ6">
        <f>IF($B6=0,1000000000,IF(INDEX('calcA'!$D$60:$EQ$99,$B6,47)*IF($W6=1,EV6+ABK6,EV6)=1,IF(AND($E6=2,IF($W6=1,AGZ6,KK6)=0),1000000000,IF($V6=1,INDEX('calcA'!$D$130:$EQ$169,$B6,47)+IF(AND($E6=1,KK6=0),25,0),IF($F6&gt;0,INDEX('calcA'!AX$110:AX$114,$F6+1)+IF(AND($E6=1,KK6=0),1000,0),MIN(TV6,20)*400+(IF('calcA'!AW$106=1,1-EU6,0)+IF('calcA'!AX$106=1,1-EW6,0))*150+232+'calcA'!AX$5*100000+IF(AND($E6=1,KK6=0),50000,0))+IF($H6=1,INDEX('calcA'!$D$180:$EQ$219,$B6,47)*4000,0)-IF(AND('calcA'!AW$117=1,VU6&gt;0),2000,0)-IF(AND($U6=1,'calcA'!AX$117=1,EW6=0),2000,0))),1000000000))</f>
        <v/>
      </c>
      <c r="QA6">
        <f>IF($B6=0,1000000000,IF(INDEX('calcA'!$D$60:$EQ$99,$B6,48)*IF($W6=1,EW6+ABL6,EW6)=1,IF(AND($E6=2,IF($W6=1,AHA6,KL6)=0),1000000000,IF($V6=1,INDEX('calcA'!$D$130:$EQ$169,$B6,48)+IF(AND($E6=1,KL6=0),25,0),IF($F6&gt;0,INDEX('calcA'!AY$110:AY$114,$F6+1)+IF(AND($E6=1,KL6=0),1000,0),MIN(TV6,20)*400+(IF('calcA'!AX$106=1,1-EV6,0))*150+242+'calcA'!AY$5*100000+IF(AND($E6=1,KL6=0),50000,0))+IF($H6=1,INDEX('calcA'!$D$180:$EQ$219,$B6,48)*4000,0)-IF(AND('calcA'!AX$117=1,VV6&gt;0),2000,0))),1000000000))</f>
        <v/>
      </c>
      <c r="QB6">
        <f>IF($B6=0,1000000000,IF(INDEX('calcA'!$D$60:$EQ$99,$B6,49)*IF($W6=1,EX6+ABM6,EX6)=1,IF(AND($E6=2,IF($W6=1,AHB6,KM6)=0),1000000000,IF($V6=1,INDEX('calcA'!$D$130:$EQ$169,$B6,49)+IF(AND($E6=1,KM6=0),25,0),IF($F6&gt;0,INDEX('calcA'!AZ$110:AZ$114,$F6+1)+IF(AND($E6=1,KM6=0),1000,0),MIN(TW6,20)*400+(IF('calcA'!AZ$106=1,1-EY6,0))*150+13+'calcA'!AZ$5*100000+IF(AND($E6=1,KM6=0),50000,0))+IF($H6=1,INDEX('calcA'!$D$180:$EQ$219,$B6,49)*4000,0)-IF(AND($U6=1,'calcA'!AZ$117=1,EY6=0),2000,0))),1000000000))</f>
        <v/>
      </c>
      <c r="QC6">
        <f>IF($B6=0,1000000000,IF(INDEX('calcA'!$D$60:$EQ$99,$B6,50)*IF($W6=1,EY6+ABN6,EY6)=1,IF(AND($E6=2,IF($W6=1,AHC6,KN6)=0),1000000000,IF($V6=1,INDEX('calcA'!$D$130:$EQ$169,$B6,50)+IF(AND($E6=1,KN6=0),25,0),IF($F6&gt;0,INDEX('calcA'!BA$110:BA$114,$F6+1)+IF(AND($E6=1,KN6=0),1000,0),MIN(TW6,20)*400+(IF('calcA'!AZ$106=1,1-EX6,0)+IF('calcA'!BA$106=1,1-EZ6,0))*150+23+'calcA'!BA$5*100000+IF(AND($E6=1,KN6=0),50000,0))+IF($H6=1,INDEX('calcA'!$D$180:$EQ$219,$B6,50)*4000,0)-IF(AND('calcA'!AZ$117=1,VX6&gt;0),2000,0)-IF(AND($U6=1,'calcA'!BA$117=1,EZ6=0),2000,0))),1000000000))</f>
        <v/>
      </c>
      <c r="QD6">
        <f>IF($B6=0,1000000000,IF(INDEX('calcA'!$D$60:$EQ$99,$B6,51)*IF($W6=1,EZ6+ABO6,EZ6)=1,IF(AND($E6=2,IF($W6=1,AHD6,KO6)=0),1000000000,IF($V6=1,INDEX('calcA'!$D$130:$EQ$169,$B6,51)+IF(AND($E6=1,KO6=0),25,0),IF($F6&gt;0,INDEX('calcA'!BB$110:BB$114,$F6+1)+IF(AND($E6=1,KO6=0),1000,0),MIN(TW6,20)*400+(IF('calcA'!BA$106=1,1-EY6,0)+IF('calcA'!BB$106=1,1-FA6,0))*150+33+'calcA'!BB$5*100000+IF(AND($E6=1,KO6=0),50000,0))+IF($H6=1,INDEX('calcA'!$D$180:$EQ$219,$B6,51)*4000,0)-IF(AND('calcA'!BA$117=1,VY6&gt;0),2000,0)-IF(AND($U6=1,'calcA'!BB$117=1,FA6=0),2000,0))),1000000000))</f>
        <v/>
      </c>
      <c r="QE6">
        <f>IF($B6=0,1000000000,IF(INDEX('calcA'!$D$60:$EQ$99,$B6,52)*IF($W6=1,FA6+ABP6,FA6)=1,IF(AND($E6=2,IF($W6=1,AHE6,KP6)=0),1000000000,IF($V6=1,INDEX('calcA'!$D$130:$EQ$169,$B6,52)+IF(AND($E6=1,KP6=0),25,0),IF($F6&gt;0,INDEX('calcA'!BC$110:BC$114,$F6+1)+IF(AND($E6=1,KP6=0),1000,0),MIN(TW6,20)*400+(IF('calcA'!BB$106=1,1-EZ6,0)+IF('calcA'!BC$106=1,1-FB6,0))*150+43+'calcA'!BC$5*100000+IF(AND($E6=1,KP6=0),50000,0))+IF($H6=1,INDEX('calcA'!$D$180:$EQ$219,$B6,52)*4000,0)-IF(AND('calcA'!BB$117=1,VZ6&gt;0),2000,0)-IF(AND($U6=1,'calcA'!BC$117=1,FB6=0),2000,0))),1000000000))</f>
        <v/>
      </c>
      <c r="QF6">
        <f>IF($B6=0,1000000000,IF(INDEX('calcA'!$D$60:$EQ$99,$B6,53)*IF($W6=1,FB6+ABQ6,FB6)=1,IF(AND($E6=2,IF($W6=1,AHF6,KQ6)=0),1000000000,IF($V6=1,INDEX('calcA'!$D$130:$EQ$169,$B6,53)+IF(AND($E6=1,KQ6=0),25,0),IF($F6&gt;0,INDEX('calcA'!BD$110:BD$114,$F6+1)+IF(AND($E6=1,KQ6=0),1000,0),MIN(TW6,20)*400+(IF('calcA'!BC$106=1,1-FA6,0)+IF('calcA'!BD$106=1,1-FC6,0))*150+53+'calcA'!BD$5*100000+IF(AND($E6=1,KQ6=0),50000,0))+IF($H6=1,INDEX('calcA'!$D$180:$EQ$219,$B6,53)*4000,0)-IF(AND('calcA'!BC$117=1,WA6&gt;0),2000,0)-IF(AND($U6=1,'calcA'!BD$117=1,FC6=0),2000,0))),1000000000))</f>
        <v/>
      </c>
      <c r="QG6">
        <f>IF($B6=0,1000000000,IF(INDEX('calcA'!$D$60:$EQ$99,$B6,54)*IF($W6=1,FC6+ABR6,FC6)=1,IF(AND($E6=2,IF($W6=1,AHG6,KR6)=0),1000000000,IF($V6=1,INDEX('calcA'!$D$130:$EQ$169,$B6,54)+IF(AND($E6=1,KR6=0),25,0),IF($F6&gt;0,INDEX('calcA'!BE$110:BE$114,$F6+1)+IF(AND($E6=1,KR6=0),1000,0),MIN(TW6,20)*400+(IF('calcA'!BD$106=1,1-FB6,0)+IF('calcA'!BE$106=1,1-FD6,0))*150+63+'calcA'!BE$5*100000+IF(AND($E6=1,KR6=0),50000,0))+IF($H6=1,INDEX('calcA'!$D$180:$EQ$219,$B6,54)*4000,0)-IF(AND('calcA'!BD$117=1,WB6&gt;0),2000,0)-IF(AND($U6=1,'calcA'!BE$117=1,FD6=0),2000,0))),1000000000))</f>
        <v/>
      </c>
      <c r="QH6">
        <f>IF($B6=0,1000000000,IF(INDEX('calcA'!$D$60:$EQ$99,$B6,55)*IF($W6=1,FD6+ABS6,FD6)=1,IF(AND($E6=2,IF($W6=1,AHH6,KS6)=0),1000000000,IF($V6=1,INDEX('calcA'!$D$130:$EQ$169,$B6,55)+IF(AND($E6=1,KS6=0),25,0),IF($F6&gt;0,INDEX('calcA'!BF$110:BF$114,$F6+1)+IF(AND($E6=1,KS6=0),1000,0),MIN(TW6,20)*400+(IF('calcA'!BE$106=1,1-FC6,0)+IF('calcA'!BF$106=1,1-FE6,0))*150+73+'calcA'!BF$5*100000+IF(AND($E6=1,KS6=0),50000,0))+IF($H6=1,INDEX('calcA'!$D$180:$EQ$219,$B6,55)*4000,0)-IF(AND('calcA'!BE$117=1,WC6&gt;0),2000,0)-IF(AND($U6=1,'calcA'!BF$117=1,FE6=0),2000,0))),1000000000))</f>
        <v/>
      </c>
      <c r="QI6">
        <f>IF($B6=0,1000000000,IF(INDEX('calcA'!$D$60:$EQ$99,$B6,56)*IF($W6=1,FE6+ABT6,FE6)=1,IF(AND($E6=2,IF($W6=1,AHI6,KT6)=0),1000000000,IF($V6=1,INDEX('calcA'!$D$130:$EQ$169,$B6,56)+IF(AND($E6=1,KT6=0),25,0),IF($F6&gt;0,INDEX('calcA'!BG$110:BG$114,$F6+1)+IF(AND($E6=1,KT6=0),1000,0),MIN(TW6,20)*400+(IF('calcA'!BF$106=1,1-FD6,0)+IF('calcA'!BG$106=1,1-FF6,0))*150+83+'calcA'!BG$5*100000+IF(AND($E6=1,KT6=0),50000,0))+IF($H6=1,INDEX('calcA'!$D$180:$EQ$219,$B6,56)*4000,0)-IF(AND('calcA'!BF$117=1,WD6&gt;0),2000,0)-IF(AND($U6=1,'calcA'!BG$117=1,FF6=0),2000,0))),1000000000))</f>
        <v/>
      </c>
      <c r="QJ6">
        <f>IF($B6=0,1000000000,IF(INDEX('calcA'!$D$60:$EQ$99,$B6,57)*IF($W6=1,FF6+ABU6,FF6)=1,IF(AND($E6=2,IF($W6=1,AHJ6,KU6)=0),1000000000,IF($V6=1,INDEX('calcA'!$D$130:$EQ$169,$B6,57)+IF(AND($E6=1,KU6=0),25,0),IF($F6&gt;0,INDEX('calcA'!BH$110:BH$114,$F6+1)+IF(AND($E6=1,KU6=0),1000,0),MIN(TW6,20)*400+(IF('calcA'!BG$106=1,1-FE6,0)+IF('calcA'!BH$106=1,1-FG6,0))*150+93+'calcA'!BH$5*100000+IF(AND($E6=1,KU6=0),50000,0))+IF($H6=1,INDEX('calcA'!$D$180:$EQ$219,$B6,57)*4000,0)-IF(AND('calcA'!BG$117=1,WE6&gt;0),2000,0)-IF(AND($U6=1,'calcA'!BH$117=1,FG6=0),2000,0))),1000000000))</f>
        <v/>
      </c>
      <c r="QK6">
        <f>IF($B6=0,1000000000,IF(INDEX('calcA'!$D$60:$EQ$99,$B6,58)*IF($W6=1,FG6+ABV6,FG6)=1,IF(AND($E6=2,IF($W6=1,AHK6,KV6)=0),1000000000,IF($V6=1,INDEX('calcA'!$D$130:$EQ$169,$B6,58)+IF(AND($E6=1,KV6=0),25,0),IF($F6&gt;0,INDEX('calcA'!BI$110:BI$114,$F6+1)+IF(AND($E6=1,KV6=0),1000,0),MIN(TW6,20)*400+(IF('calcA'!BH$106=1,1-FF6,0)+IF('calcA'!BI$106=1,1-FH6,0))*150+103+'calcA'!BI$5*100000+IF(AND($E6=1,KV6=0),50000,0))+IF($H6=1,INDEX('calcA'!$D$180:$EQ$219,$B6,58)*4000,0)-IF(AND('calcA'!BH$117=1,WF6&gt;0),2000,0)-IF(AND($U6=1,'calcA'!BI$117=1,FH6=0),2000,0))),1000000000))</f>
        <v/>
      </c>
      <c r="QL6">
        <f>IF($B6=0,1000000000,IF(INDEX('calcA'!$D$60:$EQ$99,$B6,59)*IF($W6=1,FH6+ABW6,FH6)=1,IF(AND($E6=2,IF($W6=1,AHL6,KW6)=0),1000000000,IF($V6=1,INDEX('calcA'!$D$130:$EQ$169,$B6,59)+IF(AND($E6=1,KW6=0),25,0),IF($F6&gt;0,INDEX('calcA'!BJ$110:BJ$114,$F6+1)+IF(AND($E6=1,KW6=0),1000,0),MIN(TW6,20)*400+(IF('calcA'!BI$106=1,1-FG6,0)+IF('calcA'!BJ$106=1,1-FI6,0))*150+113+'calcA'!BJ$5*100000+IF(AND($E6=1,KW6=0),50000,0))+IF($H6=1,INDEX('calcA'!$D$180:$EQ$219,$B6,59)*4000,0)-IF(AND('calcA'!BI$117=1,WG6&gt;0),2000,0)-IF(AND($U6=1,'calcA'!BJ$117=1,FI6=0),2000,0))),1000000000))</f>
        <v/>
      </c>
      <c r="QM6">
        <f>IF($B6=0,1000000000,IF(INDEX('calcA'!$D$60:$EQ$99,$B6,60)*IF($W6=1,FI6+ABX6,FI6)=1,IF(AND($E6=2,IF($W6=1,AHM6,KX6)=0),1000000000,IF($V6=1,INDEX('calcA'!$D$130:$EQ$169,$B6,60)+IF(AND($E6=1,KX6=0),25,0),IF($F6&gt;0,INDEX('calcA'!BK$110:BK$114,$F6+1)+IF(AND($E6=1,KX6=0),1000,0),MIN(TW6,20)*400+(IF('calcA'!BJ$106=1,1-FH6,0)+IF('calcA'!BK$106=1,1-FJ6,0))*150+123+'calcA'!BK$5*100000+IF(AND($E6=1,KX6=0),50000,0))+IF($H6=1,INDEX('calcA'!$D$180:$EQ$219,$B6,60)*4000,0)-IF(AND('calcA'!BJ$117=1,WH6&gt;0),2000,0)-IF(AND($U6=1,'calcA'!BK$117=1,FJ6=0),2000,0))),1000000000))</f>
        <v/>
      </c>
      <c r="QN6">
        <f>IF($B6=0,1000000000,IF(INDEX('calcA'!$D$60:$EQ$99,$B6,61)*IF($W6=1,FJ6+ABY6,FJ6)=1,IF(AND($E6=2,IF($W6=1,AHN6,KY6)=0),1000000000,IF($V6=1,INDEX('calcA'!$D$130:$EQ$169,$B6,61)+IF(AND($E6=1,KY6=0),25,0),IF($F6&gt;0,INDEX('calcA'!BL$110:BL$114,$F6+1)+IF(AND($E6=1,KY6=0),1000,0),MIN(TW6,20)*400+(IF('calcA'!BK$106=1,1-FI6,0)+IF('calcA'!BL$106=1,1-FK6,0))*150+133+'calcA'!BL$5*100000+IF(AND($E6=1,KY6=0),50000,0))+IF($H6=1,INDEX('calcA'!$D$180:$EQ$219,$B6,61)*4000,0)-IF(AND('calcA'!BK$117=1,WI6&gt;0),2000,0)-IF(AND($U6=1,'calcA'!BL$117=1,FK6=0),2000,0))),1000000000))</f>
        <v/>
      </c>
      <c r="QO6">
        <f>IF($B6=0,1000000000,IF(INDEX('calcA'!$D$60:$EQ$99,$B6,62)*IF($W6=1,FK6+ABZ6,FK6)=1,IF(AND($E6=2,IF($W6=1,AHO6,KZ6)=0),1000000000,IF($V6=1,INDEX('calcA'!$D$130:$EQ$169,$B6,62)+IF(AND($E6=1,KZ6=0),25,0),IF($F6&gt;0,INDEX('calcA'!BM$110:BM$114,$F6+1)+IF(AND($E6=1,KZ6=0),1000,0),MIN(TW6,20)*400+(IF('calcA'!BL$106=1,1-FJ6,0)+IF('calcA'!BM$106=1,1-FL6,0))*150+143+'calcA'!BM$5*100000+IF(AND($E6=1,KZ6=0),50000,0))+IF($H6=1,INDEX('calcA'!$D$180:$EQ$219,$B6,62)*4000,0)-IF(AND('calcA'!BL$117=1,WJ6&gt;0),2000,0)-IF(AND($U6=1,'calcA'!BM$117=1,FL6=0),2000,0))),1000000000))</f>
        <v/>
      </c>
      <c r="QP6">
        <f>IF($B6=0,1000000000,IF(INDEX('calcA'!$D$60:$EQ$99,$B6,63)*IF($W6=1,FL6+ACA6,FL6)=1,IF(AND($E6=2,IF($W6=1,AHP6,LA6)=0),1000000000,IF($V6=1,INDEX('calcA'!$D$130:$EQ$169,$B6,63)+IF(AND($E6=1,LA6=0),25,0),IF($F6&gt;0,INDEX('calcA'!BN$110:BN$114,$F6+1)+IF(AND($E6=1,LA6=0),1000,0),MIN(TW6,20)*400+(IF('calcA'!BM$106=1,1-FK6,0)+IF('calcA'!BN$106=1,1-FM6,0))*150+153+'calcA'!BN$5*100000+IF(AND($E6=1,LA6=0),50000,0))+IF($H6=1,INDEX('calcA'!$D$180:$EQ$219,$B6,63)*4000,0)-IF(AND('calcA'!BM$117=1,WK6&gt;0),2000,0)-IF(AND($U6=1,'calcA'!BN$117=1,FM6=0),2000,0))),1000000000))</f>
        <v/>
      </c>
      <c r="QQ6">
        <f>IF($B6=0,1000000000,IF(INDEX('calcA'!$D$60:$EQ$99,$B6,64)*IF($W6=1,FM6+ACB6,FM6)=1,IF(AND($E6=2,IF($W6=1,AHQ6,LB6)=0),1000000000,IF($V6=1,INDEX('calcA'!$D$130:$EQ$169,$B6,64)+IF(AND($E6=1,LB6=0),25,0),IF($F6&gt;0,INDEX('calcA'!BO$110:BO$114,$F6+1)+IF(AND($E6=1,LB6=0),1000,0),MIN(TW6,20)*400+(IF('calcA'!BN$106=1,1-FL6,0)+IF('calcA'!BO$106=1,1-FN6,0))*150+163+'calcA'!BO$5*100000+IF(AND($E6=1,LB6=0),50000,0))+IF($H6=1,INDEX('calcA'!$D$180:$EQ$219,$B6,64)*4000,0)-IF(AND('calcA'!BN$117=1,WL6&gt;0),2000,0)-IF(AND($U6=1,'calcA'!BO$117=1,FN6=0),2000,0))),1000000000))</f>
        <v/>
      </c>
      <c r="QR6">
        <f>IF($B6=0,1000000000,IF(INDEX('calcA'!$D$60:$EQ$99,$B6,65)*IF($W6=1,FN6+ACC6,FN6)=1,IF(AND($E6=2,IF($W6=1,AHR6,LC6)=0),1000000000,IF($V6=1,INDEX('calcA'!$D$130:$EQ$169,$B6,65)+IF(AND($E6=1,LC6=0),25,0),IF($F6&gt;0,INDEX('calcA'!BP$110:BP$114,$F6+1)+IF(AND($E6=1,LC6=0),1000,0),MIN(TW6,20)*400+(IF('calcA'!BO$106=1,1-FM6,0)+IF('calcA'!BP$106=1,1-FO6,0))*150+173+'calcA'!BP$5*100000+IF(AND($E6=1,LC6=0),50000,0))+IF($H6=1,INDEX('calcA'!$D$180:$EQ$219,$B6,65)*4000,0)-IF(AND('calcA'!BO$117=1,WM6&gt;0),2000,0)-IF(AND($U6=1,'calcA'!BP$117=1,FO6=0),2000,0))),1000000000))</f>
        <v/>
      </c>
      <c r="QS6">
        <f>IF($B6=0,1000000000,IF(INDEX('calcA'!$D$60:$EQ$99,$B6,66)*IF($W6=1,FO6+ACD6,FO6)=1,IF(AND($E6=2,IF($W6=1,AHS6,LD6)=0),1000000000,IF($V6=1,INDEX('calcA'!$D$130:$EQ$169,$B6,66)+IF(AND($E6=1,LD6=0),25,0),IF($F6&gt;0,INDEX('calcA'!BQ$110:BQ$114,$F6+1)+IF(AND($E6=1,LD6=0),1000,0),MIN(TW6,20)*400+(IF('calcA'!BP$106=1,1-FN6,0)+IF('calcA'!BQ$106=1,1-FP6,0))*150+183+'calcA'!BQ$5*100000+IF(AND($E6=1,LD6=0),50000,0))+IF($H6=1,INDEX('calcA'!$D$180:$EQ$219,$B6,66)*4000,0)-IF(AND('calcA'!BP$117=1,WN6&gt;0),2000,0)-IF(AND($U6=1,'calcA'!BQ$117=1,FP6=0),2000,0))),1000000000))</f>
        <v/>
      </c>
      <c r="QT6">
        <f>IF($B6=0,1000000000,IF(INDEX('calcA'!$D$60:$EQ$99,$B6,67)*IF($W6=1,FP6+ACE6,FP6)=1,IF(AND($E6=2,IF($W6=1,AHT6,LE6)=0),1000000000,IF($V6=1,INDEX('calcA'!$D$130:$EQ$169,$B6,67)+IF(AND($E6=1,LE6=0),25,0),IF($F6&gt;0,INDEX('calcA'!BR$110:BR$114,$F6+1)+IF(AND($E6=1,LE6=0),1000,0),MIN(TW6,20)*400+(IF('calcA'!BQ$106=1,1-FO6,0)+IF('calcA'!BR$106=1,1-FQ6,0))*150+193+'calcA'!BR$5*100000+IF(AND($E6=1,LE6=0),50000,0))+IF($H6=1,INDEX('calcA'!$D$180:$EQ$219,$B6,67)*4000,0)-IF(AND('calcA'!BQ$117=1,WO6&gt;0),2000,0)-IF(AND($U6=1,'calcA'!BR$117=1,FQ6=0),2000,0))),1000000000))</f>
        <v/>
      </c>
      <c r="QU6">
        <f>IF($B6=0,1000000000,IF(INDEX('calcA'!$D$60:$EQ$99,$B6,68)*IF($W6=1,FQ6+ACF6,FQ6)=1,IF(AND($E6=2,IF($W6=1,AHU6,LF6)=0),1000000000,IF($V6=1,INDEX('calcA'!$D$130:$EQ$169,$B6,68)+IF(AND($E6=1,LF6=0),25,0),IF($F6&gt;0,INDEX('calcA'!BS$110:BS$114,$F6+1)+IF(AND($E6=1,LF6=0),1000,0),MIN(TW6,20)*400+(IF('calcA'!BR$106=1,1-FP6,0)+IF('calcA'!BS$106=1,1-FR6,0))*150+203+'calcA'!BS$5*100000+IF(AND($E6=1,LF6=0),50000,0))+IF($H6=1,INDEX('calcA'!$D$180:$EQ$219,$B6,68)*4000,0)-IF(AND('calcA'!BR$117=1,WP6&gt;0),2000,0)-IF(AND($U6=1,'calcA'!BS$117=1,FR6=0),2000,0))),1000000000))</f>
        <v/>
      </c>
      <c r="QV6">
        <f>IF($B6=0,1000000000,IF(INDEX('calcA'!$D$60:$EQ$99,$B6,69)*IF($W6=1,FR6+ACG6,FR6)=1,IF(AND($E6=2,IF($W6=1,AHV6,LG6)=0),1000000000,IF($V6=1,INDEX('calcA'!$D$130:$EQ$169,$B6,69)+IF(AND($E6=1,LG6=0),25,0),IF($F6&gt;0,INDEX('calcA'!BT$110:BT$114,$F6+1)+IF(AND($E6=1,LG6=0),1000,0),MIN(TW6,20)*400+(IF('calcA'!BS$106=1,1-FQ6,0)+IF('calcA'!BT$106=1,1-FS6,0))*150+213+'calcA'!BT$5*100000+IF(AND($E6=1,LG6=0),50000,0))+IF($H6=1,INDEX('calcA'!$D$180:$EQ$219,$B6,69)*4000,0)-IF(AND('calcA'!BS$117=1,WQ6&gt;0),2000,0)-IF(AND($U6=1,'calcA'!BT$117=1,FS6=0),2000,0))),1000000000))</f>
        <v/>
      </c>
      <c r="QW6">
        <f>IF($B6=0,1000000000,IF(INDEX('calcA'!$D$60:$EQ$99,$B6,70)*IF($W6=1,FS6+ACH6,FS6)=1,IF(AND($E6=2,IF($W6=1,AHW6,LH6)=0),1000000000,IF($V6=1,INDEX('calcA'!$D$130:$EQ$169,$B6,70)+IF(AND($E6=1,LH6=0),25,0),IF($F6&gt;0,INDEX('calcA'!BU$110:BU$114,$F6+1)+IF(AND($E6=1,LH6=0),1000,0),MIN(TW6,20)*400+(IF('calcA'!BT$106=1,1-FR6,0)+IF('calcA'!BU$106=1,1-FT6,0))*150+223+'calcA'!BU$5*100000+IF(AND($E6=1,LH6=0),50000,0))+IF($H6=1,INDEX('calcA'!$D$180:$EQ$219,$B6,70)*4000,0)-IF(AND('calcA'!BT$117=1,WR6&gt;0),2000,0)-IF(AND($U6=1,'calcA'!BU$117=1,FT6=0),2000,0))),1000000000))</f>
        <v/>
      </c>
      <c r="QX6">
        <f>IF($B6=0,1000000000,IF(INDEX('calcA'!$D$60:$EQ$99,$B6,71)*IF($W6=1,FT6+ACI6,FT6)=1,IF(AND($E6=2,IF($W6=1,AHX6,LI6)=0),1000000000,IF($V6=1,INDEX('calcA'!$D$130:$EQ$169,$B6,71)+IF(AND($E6=1,LI6=0),25,0),IF($F6&gt;0,INDEX('calcA'!BV$110:BV$114,$F6+1)+IF(AND($E6=1,LI6=0),1000,0),MIN(TW6,20)*400+(IF('calcA'!BU$106=1,1-FS6,0)+IF('calcA'!BV$106=1,1-FU6,0))*150+233+'calcA'!BV$5*100000+IF(AND($E6=1,LI6=0),50000,0))+IF($H6=1,INDEX('calcA'!$D$180:$EQ$219,$B6,71)*4000,0)-IF(AND('calcA'!BU$117=1,WS6&gt;0),2000,0)-IF(AND($U6=1,'calcA'!BV$117=1,FU6=0),2000,0))),1000000000))</f>
        <v/>
      </c>
      <c r="QY6">
        <f>IF($B6=0,1000000000,IF(INDEX('calcA'!$D$60:$EQ$99,$B6,72)*IF($W6=1,FU6+ACJ6,FU6)=1,IF(AND($E6=2,IF($W6=1,AHY6,LJ6)=0),1000000000,IF($V6=1,INDEX('calcA'!$D$130:$EQ$169,$B6,72)+IF(AND($E6=1,LJ6=0),25,0),IF($F6&gt;0,INDEX('calcA'!BW$110:BW$114,$F6+1)+IF(AND($E6=1,LJ6=0),1000,0),MIN(TW6,20)*400+(IF('calcA'!BV$106=1,1-FT6,0))*150+243+'calcA'!BW$5*100000+IF(AND($E6=1,LJ6=0),50000,0))+IF($H6=1,INDEX('calcA'!$D$180:$EQ$219,$B6,72)*4000,0)-IF(AND('calcA'!BV$117=1,WT6&gt;0),2000,0))),1000000000))</f>
        <v/>
      </c>
      <c r="QZ6">
        <f>IF($B6=0,1000000000,IF(INDEX('calcA'!$D$60:$EQ$99,$B6,73)*IF($W6=1,FV6+ACK6,FV6)=1,IF(AND($E6=2,IF($W6=1,AHZ6,LK6)=0),1000000000,IF($V6=1,INDEX('calcA'!$D$130:$EQ$169,$B6,73)+IF(AND($E6=1,LK6=0),25,0),IF($F6&gt;0,INDEX('calcA'!BX$110:BX$114,$F6+1)+IF(AND($E6=1,LK6=0),1000,0),MIN(TX6,20)*400+(IF('calcA'!BX$106=1,1-FW6,0))*150+14+'calcA'!BX$5*100000+IF(AND($E6=1,LK6=0),50000,0))+IF($H6=1,INDEX('calcA'!$D$180:$EQ$219,$B6,73)*4000,0)-IF(AND($U6=1,'calcA'!BX$117=1,FW6=0),2000,0))),1000000000))</f>
        <v/>
      </c>
      <c r="RA6">
        <f>IF($B6=0,1000000000,IF(INDEX('calcA'!$D$60:$EQ$99,$B6,74)*IF($W6=1,FW6+ACL6,FW6)=1,IF(AND($E6=2,IF($W6=1,AIA6,LL6)=0),1000000000,IF($V6=1,INDEX('calcA'!$D$130:$EQ$169,$B6,74)+IF(AND($E6=1,LL6=0),25,0),IF($F6&gt;0,INDEX('calcA'!BY$110:BY$114,$F6+1)+IF(AND($E6=1,LL6=0),1000,0),MIN(TX6,20)*400+(IF('calcA'!BX$106=1,1-FV6,0)+IF('calcA'!BY$106=1,1-FX6,0))*150+24+'calcA'!BY$5*100000+IF(AND($E6=1,LL6=0),50000,0))+IF($H6=1,INDEX('calcA'!$D$180:$EQ$219,$B6,74)*4000,0)-IF(AND('calcA'!BX$117=1,WV6&gt;0),2000,0)-IF(AND($U6=1,'calcA'!BY$117=1,FX6=0),2000,0))),1000000000))</f>
        <v/>
      </c>
      <c r="RB6">
        <f>IF($B6=0,1000000000,IF(INDEX('calcA'!$D$60:$EQ$99,$B6,75)*IF($W6=1,FX6+ACM6,FX6)=1,IF(AND($E6=2,IF($W6=1,AIB6,LM6)=0),1000000000,IF($V6=1,INDEX('calcA'!$D$130:$EQ$169,$B6,75)+IF(AND($E6=1,LM6=0),25,0),IF($F6&gt;0,INDEX('calcA'!BZ$110:BZ$114,$F6+1)+IF(AND($E6=1,LM6=0),1000,0),MIN(TX6,20)*400+(IF('calcA'!BY$106=1,1-FW6,0)+IF('calcA'!BZ$106=1,1-FY6,0))*150+34+'calcA'!BZ$5*100000+IF(AND($E6=1,LM6=0),50000,0))+IF($H6=1,INDEX('calcA'!$D$180:$EQ$219,$B6,75)*4000,0)-IF(AND('calcA'!BY$117=1,WW6&gt;0),2000,0)-IF(AND($U6=1,'calcA'!BZ$117=1,FY6=0),2000,0))),1000000000))</f>
        <v/>
      </c>
      <c r="RC6">
        <f>IF($B6=0,1000000000,IF(INDEX('calcA'!$D$60:$EQ$99,$B6,76)*IF($W6=1,FY6+ACN6,FY6)=1,IF(AND($E6=2,IF($W6=1,AIC6,LN6)=0),1000000000,IF($V6=1,INDEX('calcA'!$D$130:$EQ$169,$B6,76)+IF(AND($E6=1,LN6=0),25,0),IF($F6&gt;0,INDEX('calcA'!CA$110:CA$114,$F6+1)+IF(AND($E6=1,LN6=0),1000,0),MIN(TX6,20)*400+(IF('calcA'!BZ$106=1,1-FX6,0)+IF('calcA'!CA$106=1,1-FZ6,0))*150+44+'calcA'!CA$5*100000+IF(AND($E6=1,LN6=0),50000,0))+IF($H6=1,INDEX('calcA'!$D$180:$EQ$219,$B6,76)*4000,0)-IF(AND('calcA'!BZ$117=1,WX6&gt;0),2000,0)-IF(AND($U6=1,'calcA'!CA$117=1,FZ6=0),2000,0))),1000000000))</f>
        <v/>
      </c>
      <c r="RD6">
        <f>IF($B6=0,1000000000,IF(INDEX('calcA'!$D$60:$EQ$99,$B6,77)*IF($W6=1,FZ6+ACO6,FZ6)=1,IF(AND($E6=2,IF($W6=1,AID6,LO6)=0),1000000000,IF($V6=1,INDEX('calcA'!$D$130:$EQ$169,$B6,77)+IF(AND($E6=1,LO6=0),25,0),IF($F6&gt;0,INDEX('calcA'!CB$110:CB$114,$F6+1)+IF(AND($E6=1,LO6=0),1000,0),MIN(TX6,20)*400+(IF('calcA'!CA$106=1,1-FY6,0)+IF('calcA'!CB$106=1,1-GA6,0))*150+54+'calcA'!CB$5*100000+IF(AND($E6=1,LO6=0),50000,0))+IF($H6=1,INDEX('calcA'!$D$180:$EQ$219,$B6,77)*4000,0)-IF(AND('calcA'!CA$117=1,WY6&gt;0),2000,0)-IF(AND($U6=1,'calcA'!CB$117=1,GA6=0),2000,0))),1000000000))</f>
        <v/>
      </c>
      <c r="RE6">
        <f>IF($B6=0,1000000000,IF(INDEX('calcA'!$D$60:$EQ$99,$B6,78)*IF($W6=1,GA6+ACP6,GA6)=1,IF(AND($E6=2,IF($W6=1,AIE6,LP6)=0),1000000000,IF($V6=1,INDEX('calcA'!$D$130:$EQ$169,$B6,78)+IF(AND($E6=1,LP6=0),25,0),IF($F6&gt;0,INDEX('calcA'!CC$110:CC$114,$F6+1)+IF(AND($E6=1,LP6=0),1000,0),MIN(TX6,20)*400+(IF('calcA'!CB$106=1,1-FZ6,0)+IF('calcA'!CC$106=1,1-GB6,0))*150+64+'calcA'!CC$5*100000+IF(AND($E6=1,LP6=0),50000,0))+IF($H6=1,INDEX('calcA'!$D$180:$EQ$219,$B6,78)*4000,0)-IF(AND('calcA'!CB$117=1,WZ6&gt;0),2000,0)-IF(AND($U6=1,'calcA'!CC$117=1,GB6=0),2000,0))),1000000000))</f>
        <v/>
      </c>
      <c r="RF6">
        <f>IF($B6=0,1000000000,IF(INDEX('calcA'!$D$60:$EQ$99,$B6,79)*IF($W6=1,GB6+ACQ6,GB6)=1,IF(AND($E6=2,IF($W6=1,AIF6,LQ6)=0),1000000000,IF($V6=1,INDEX('calcA'!$D$130:$EQ$169,$B6,79)+IF(AND($E6=1,LQ6=0),25,0),IF($F6&gt;0,INDEX('calcA'!CD$110:CD$114,$F6+1)+IF(AND($E6=1,LQ6=0),1000,0),MIN(TX6,20)*400+(IF('calcA'!CC$106=1,1-GA6,0)+IF('calcA'!CD$106=1,1-GC6,0))*150+74+'calcA'!CD$5*100000+IF(AND($E6=1,LQ6=0),50000,0))+IF($H6=1,INDEX('calcA'!$D$180:$EQ$219,$B6,79)*4000,0)-IF(AND('calcA'!CC$117=1,XA6&gt;0),2000,0)-IF(AND($U6=1,'calcA'!CD$117=1,GC6=0),2000,0))),1000000000))</f>
        <v/>
      </c>
      <c r="RG6">
        <f>IF($B6=0,1000000000,IF(INDEX('calcA'!$D$60:$EQ$99,$B6,80)*IF($W6=1,GC6+ACR6,GC6)=1,IF(AND($E6=2,IF($W6=1,AIG6,LR6)=0),1000000000,IF($V6=1,INDEX('calcA'!$D$130:$EQ$169,$B6,80)+IF(AND($E6=1,LR6=0),25,0),IF($F6&gt;0,INDEX('calcA'!CE$110:CE$114,$F6+1)+IF(AND($E6=1,LR6=0),1000,0),MIN(TX6,20)*400+(IF('calcA'!CD$106=1,1-GB6,0)+IF('calcA'!CE$106=1,1-GD6,0))*150+84+'calcA'!CE$5*100000+IF(AND($E6=1,LR6=0),50000,0))+IF($H6=1,INDEX('calcA'!$D$180:$EQ$219,$B6,80)*4000,0)-IF(AND('calcA'!CD$117=1,XB6&gt;0),2000,0)-IF(AND($U6=1,'calcA'!CE$117=1,GD6=0),2000,0))),1000000000))</f>
        <v/>
      </c>
      <c r="RH6">
        <f>IF($B6=0,1000000000,IF(INDEX('calcA'!$D$60:$EQ$99,$B6,81)*IF($W6=1,GD6+ACS6,GD6)=1,IF(AND($E6=2,IF($W6=1,AIH6,LS6)=0),1000000000,IF($V6=1,INDEX('calcA'!$D$130:$EQ$169,$B6,81)+IF(AND($E6=1,LS6=0),25,0),IF($F6&gt;0,INDEX('calcA'!CF$110:CF$114,$F6+1)+IF(AND($E6=1,LS6=0),1000,0),MIN(TX6,20)*400+(IF('calcA'!CE$106=1,1-GC6,0)+IF('calcA'!CF$106=1,1-GE6,0))*150+94+'calcA'!CF$5*100000+IF(AND($E6=1,LS6=0),50000,0))+IF($H6=1,INDEX('calcA'!$D$180:$EQ$219,$B6,81)*4000,0)-IF(AND('calcA'!CE$117=1,XC6&gt;0),2000,0)-IF(AND($U6=1,'calcA'!CF$117=1,GE6=0),2000,0))),1000000000))</f>
        <v/>
      </c>
      <c r="RI6">
        <f>IF($B6=0,1000000000,IF(INDEX('calcA'!$D$60:$EQ$99,$B6,82)*IF($W6=1,GE6+ACT6,GE6)=1,IF(AND($E6=2,IF($W6=1,AII6,LT6)=0),1000000000,IF($V6=1,INDEX('calcA'!$D$130:$EQ$169,$B6,82)+IF(AND($E6=1,LT6=0),25,0),IF($F6&gt;0,INDEX('calcA'!CG$110:CG$114,$F6+1)+IF(AND($E6=1,LT6=0),1000,0),MIN(TX6,20)*400+(IF('calcA'!CF$106=1,1-GD6,0)+IF('calcA'!CG$106=1,1-GF6,0))*150+104+'calcA'!CG$5*100000+IF(AND($E6=1,LT6=0),50000,0))+IF($H6=1,INDEX('calcA'!$D$180:$EQ$219,$B6,82)*4000,0)-IF(AND('calcA'!CF$117=1,XD6&gt;0),2000,0)-IF(AND($U6=1,'calcA'!CG$117=1,GF6=0),2000,0))),1000000000))</f>
        <v/>
      </c>
      <c r="RJ6">
        <f>IF($B6=0,1000000000,IF(INDEX('calcA'!$D$60:$EQ$99,$B6,83)*IF($W6=1,GF6+ACU6,GF6)=1,IF(AND($E6=2,IF($W6=1,AIJ6,LU6)=0),1000000000,IF($V6=1,INDEX('calcA'!$D$130:$EQ$169,$B6,83)+IF(AND($E6=1,LU6=0),25,0),IF($F6&gt;0,INDEX('calcA'!CH$110:CH$114,$F6+1)+IF(AND($E6=1,LU6=0),1000,0),MIN(TX6,20)*400+(IF('calcA'!CG$106=1,1-GE6,0)+IF('calcA'!CH$106=1,1-GG6,0))*150+114+'calcA'!CH$5*100000+IF(AND($E6=1,LU6=0),50000,0))+IF($H6=1,INDEX('calcA'!$D$180:$EQ$219,$B6,83)*4000,0)-IF(AND('calcA'!CG$117=1,XE6&gt;0),2000,0)-IF(AND($U6=1,'calcA'!CH$117=1,GG6=0),2000,0))),1000000000))</f>
        <v/>
      </c>
      <c r="RK6">
        <f>IF($B6=0,1000000000,IF(INDEX('calcA'!$D$60:$EQ$99,$B6,84)*IF($W6=1,GG6+ACV6,GG6)=1,IF(AND($E6=2,IF($W6=1,AIK6,LV6)=0),1000000000,IF($V6=1,INDEX('calcA'!$D$130:$EQ$169,$B6,84)+IF(AND($E6=1,LV6=0),25,0),IF($F6&gt;0,INDEX('calcA'!CI$110:CI$114,$F6+1)+IF(AND($E6=1,LV6=0),1000,0),MIN(TX6,20)*400+(IF('calcA'!CH$106=1,1-GF6,0)+IF('calcA'!CI$106=1,1-GH6,0))*150+124+'calcA'!CI$5*100000+IF(AND($E6=1,LV6=0),50000,0))+IF($H6=1,INDEX('calcA'!$D$180:$EQ$219,$B6,84)*4000,0)-IF(AND('calcA'!CH$117=1,XF6&gt;0),2000,0)-IF(AND($U6=1,'calcA'!CI$117=1,GH6=0),2000,0))),1000000000))</f>
        <v/>
      </c>
      <c r="RL6">
        <f>IF($B6=0,1000000000,IF(INDEX('calcA'!$D$60:$EQ$99,$B6,85)*IF($W6=1,GH6+ACW6,GH6)=1,IF(AND($E6=2,IF($W6=1,AIL6,LW6)=0),1000000000,IF($V6=1,INDEX('calcA'!$D$130:$EQ$169,$B6,85)+IF(AND($E6=1,LW6=0),25,0),IF($F6&gt;0,INDEX('calcA'!CJ$110:CJ$114,$F6+1)+IF(AND($E6=1,LW6=0),1000,0),MIN(TX6,20)*400+(IF('calcA'!CI$106=1,1-GG6,0)+IF('calcA'!CJ$106=1,1-GI6,0))*150+134+'calcA'!CJ$5*100000+IF(AND($E6=1,LW6=0),50000,0))+IF($H6=1,INDEX('calcA'!$D$180:$EQ$219,$B6,85)*4000,0)-IF(AND('calcA'!CI$117=1,XG6&gt;0),2000,0)-IF(AND($U6=1,'calcA'!CJ$117=1,GI6=0),2000,0))),1000000000))</f>
        <v/>
      </c>
      <c r="RM6">
        <f>IF($B6=0,1000000000,IF(INDEX('calcA'!$D$60:$EQ$99,$B6,86)*IF($W6=1,GI6+ACX6,GI6)=1,IF(AND($E6=2,IF($W6=1,AIM6,LX6)=0),1000000000,IF($V6=1,INDEX('calcA'!$D$130:$EQ$169,$B6,86)+IF(AND($E6=1,LX6=0),25,0),IF($F6&gt;0,INDEX('calcA'!CK$110:CK$114,$F6+1)+IF(AND($E6=1,LX6=0),1000,0),MIN(TX6,20)*400+(IF('calcA'!CJ$106=1,1-GH6,0)+IF('calcA'!CK$106=1,1-GJ6,0))*150+144+'calcA'!CK$5*100000+IF(AND($E6=1,LX6=0),50000,0))+IF($H6=1,INDEX('calcA'!$D$180:$EQ$219,$B6,86)*4000,0)-IF(AND('calcA'!CJ$117=1,XH6&gt;0),2000,0)-IF(AND($U6=1,'calcA'!CK$117=1,GJ6=0),2000,0))),1000000000))</f>
        <v/>
      </c>
      <c r="RN6">
        <f>IF($B6=0,1000000000,IF(INDEX('calcA'!$D$60:$EQ$99,$B6,87)*IF($W6=1,GJ6+ACY6,GJ6)=1,IF(AND($E6=2,IF($W6=1,AIN6,LY6)=0),1000000000,IF($V6=1,INDEX('calcA'!$D$130:$EQ$169,$B6,87)+IF(AND($E6=1,LY6=0),25,0),IF($F6&gt;0,INDEX('calcA'!CL$110:CL$114,$F6+1)+IF(AND($E6=1,LY6=0),1000,0),MIN(TX6,20)*400+(IF('calcA'!CK$106=1,1-GI6,0)+IF('calcA'!CL$106=1,1-GK6,0))*150+154+'calcA'!CL$5*100000+IF(AND($E6=1,LY6=0),50000,0))+IF($H6=1,INDEX('calcA'!$D$180:$EQ$219,$B6,87)*4000,0)-IF(AND('calcA'!CK$117=1,XI6&gt;0),2000,0)-IF(AND($U6=1,'calcA'!CL$117=1,GK6=0),2000,0))),1000000000))</f>
        <v/>
      </c>
      <c r="RO6">
        <f>IF($B6=0,1000000000,IF(INDEX('calcA'!$D$60:$EQ$99,$B6,88)*IF($W6=1,GK6+ACZ6,GK6)=1,IF(AND($E6=2,IF($W6=1,AIO6,LZ6)=0),1000000000,IF($V6=1,INDEX('calcA'!$D$130:$EQ$169,$B6,88)+IF(AND($E6=1,LZ6=0),25,0),IF($F6&gt;0,INDEX('calcA'!CM$110:CM$114,$F6+1)+IF(AND($E6=1,LZ6=0),1000,0),MIN(TX6,20)*400+(IF('calcA'!CL$106=1,1-GJ6,0)+IF('calcA'!CM$106=1,1-GL6,0))*150+164+'calcA'!CM$5*100000+IF(AND($E6=1,LZ6=0),50000,0))+IF($H6=1,INDEX('calcA'!$D$180:$EQ$219,$B6,88)*4000,0)-IF(AND('calcA'!CL$117=1,XJ6&gt;0),2000,0)-IF(AND($U6=1,'calcA'!CM$117=1,GL6=0),2000,0))),1000000000))</f>
        <v/>
      </c>
      <c r="RP6">
        <f>IF($B6=0,1000000000,IF(INDEX('calcA'!$D$60:$EQ$99,$B6,89)*IF($W6=1,GL6+ADA6,GL6)=1,IF(AND($E6=2,IF($W6=1,AIP6,MA6)=0),1000000000,IF($V6=1,INDEX('calcA'!$D$130:$EQ$169,$B6,89)+IF(AND($E6=1,MA6=0),25,0),IF($F6&gt;0,INDEX('calcA'!CN$110:CN$114,$F6+1)+IF(AND($E6=1,MA6=0),1000,0),MIN(TX6,20)*400+(IF('calcA'!CM$106=1,1-GK6,0)+IF('calcA'!CN$106=1,1-GM6,0))*150+174+'calcA'!CN$5*100000+IF(AND($E6=1,MA6=0),50000,0))+IF($H6=1,INDEX('calcA'!$D$180:$EQ$219,$B6,89)*4000,0)-IF(AND('calcA'!CM$117=1,XK6&gt;0),2000,0)-IF(AND($U6=1,'calcA'!CN$117=1,GM6=0),2000,0))),1000000000))</f>
        <v/>
      </c>
      <c r="RQ6">
        <f>IF($B6=0,1000000000,IF(INDEX('calcA'!$D$60:$EQ$99,$B6,90)*IF($W6=1,GM6+ADB6,GM6)=1,IF(AND($E6=2,IF($W6=1,AIQ6,MB6)=0),1000000000,IF($V6=1,INDEX('calcA'!$D$130:$EQ$169,$B6,90)+IF(AND($E6=1,MB6=0),25,0),IF($F6&gt;0,INDEX('calcA'!CO$110:CO$114,$F6+1)+IF(AND($E6=1,MB6=0),1000,0),MIN(TX6,20)*400+(IF('calcA'!CN$106=1,1-GL6,0)+IF('calcA'!CO$106=1,1-GN6,0))*150+184+'calcA'!CO$5*100000+IF(AND($E6=1,MB6=0),50000,0))+IF($H6=1,INDEX('calcA'!$D$180:$EQ$219,$B6,90)*4000,0)-IF(AND('calcA'!CN$117=1,XL6&gt;0),2000,0)-IF(AND($U6=1,'calcA'!CO$117=1,GN6=0),2000,0))),1000000000))</f>
        <v/>
      </c>
      <c r="RR6">
        <f>IF($B6=0,1000000000,IF(INDEX('calcA'!$D$60:$EQ$99,$B6,91)*IF($W6=1,GN6+ADC6,GN6)=1,IF(AND($E6=2,IF($W6=1,AIR6,MC6)=0),1000000000,IF($V6=1,INDEX('calcA'!$D$130:$EQ$169,$B6,91)+IF(AND($E6=1,MC6=0),25,0),IF($F6&gt;0,INDEX('calcA'!CP$110:CP$114,$F6+1)+IF(AND($E6=1,MC6=0),1000,0),MIN(TX6,20)*400+(IF('calcA'!CO$106=1,1-GM6,0)+IF('calcA'!CP$106=1,1-GO6,0))*150+194+'calcA'!CP$5*100000+IF(AND($E6=1,MC6=0),50000,0))+IF($H6=1,INDEX('calcA'!$D$180:$EQ$219,$B6,91)*4000,0)-IF(AND('calcA'!CO$117=1,XM6&gt;0),2000,0)-IF(AND($U6=1,'calcA'!CP$117=1,GO6=0),2000,0))),1000000000))</f>
        <v/>
      </c>
      <c r="RS6">
        <f>IF($B6=0,1000000000,IF(INDEX('calcA'!$D$60:$EQ$99,$B6,92)*IF($W6=1,GO6+ADD6,GO6)=1,IF(AND($E6=2,IF($W6=1,AIS6,MD6)=0),1000000000,IF($V6=1,INDEX('calcA'!$D$130:$EQ$169,$B6,92)+IF(AND($E6=1,MD6=0),25,0),IF($F6&gt;0,INDEX('calcA'!CQ$110:CQ$114,$F6+1)+IF(AND($E6=1,MD6=0),1000,0),MIN(TX6,20)*400+(IF('calcA'!CP$106=1,1-GN6,0)+IF('calcA'!CQ$106=1,1-GP6,0))*150+204+'calcA'!CQ$5*100000+IF(AND($E6=1,MD6=0),50000,0))+IF($H6=1,INDEX('calcA'!$D$180:$EQ$219,$B6,92)*4000,0)-IF(AND('calcA'!CP$117=1,XN6&gt;0),2000,0)-IF(AND($U6=1,'calcA'!CQ$117=1,GP6=0),2000,0))),1000000000))</f>
        <v/>
      </c>
      <c r="RT6">
        <f>IF($B6=0,1000000000,IF(INDEX('calcA'!$D$60:$EQ$99,$B6,93)*IF($W6=1,GP6+ADE6,GP6)=1,IF(AND($E6=2,IF($W6=1,AIT6,ME6)=0),1000000000,IF($V6=1,INDEX('calcA'!$D$130:$EQ$169,$B6,93)+IF(AND($E6=1,ME6=0),25,0),IF($F6&gt;0,INDEX('calcA'!CR$110:CR$114,$F6+1)+IF(AND($E6=1,ME6=0),1000,0),MIN(TX6,20)*400+(IF('calcA'!CQ$106=1,1-GO6,0)+IF('calcA'!CR$106=1,1-GQ6,0))*150+214+'calcA'!CR$5*100000+IF(AND($E6=1,ME6=0),50000,0))+IF($H6=1,INDEX('calcA'!$D$180:$EQ$219,$B6,93)*4000,0)-IF(AND('calcA'!CQ$117=1,XO6&gt;0),2000,0)-IF(AND($U6=1,'calcA'!CR$117=1,GQ6=0),2000,0))),1000000000))</f>
        <v/>
      </c>
      <c r="RU6">
        <f>IF($B6=0,1000000000,IF(INDEX('calcA'!$D$60:$EQ$99,$B6,94)*IF($W6=1,GQ6+ADF6,GQ6)=1,IF(AND($E6=2,IF($W6=1,AIU6,MF6)=0),1000000000,IF($V6=1,INDEX('calcA'!$D$130:$EQ$169,$B6,94)+IF(AND($E6=1,MF6=0),25,0),IF($F6&gt;0,INDEX('calcA'!CS$110:CS$114,$F6+1)+IF(AND($E6=1,MF6=0),1000,0),MIN(TX6,20)*400+(IF('calcA'!CR$106=1,1-GP6,0)+IF('calcA'!CS$106=1,1-GR6,0))*150+224+'calcA'!CS$5*100000+IF(AND($E6=1,MF6=0),50000,0))+IF($H6=1,INDEX('calcA'!$D$180:$EQ$219,$B6,94)*4000,0)-IF(AND('calcA'!CR$117=1,XP6&gt;0),2000,0)-IF(AND($U6=1,'calcA'!CS$117=1,GR6=0),2000,0))),1000000000))</f>
        <v/>
      </c>
      <c r="RV6">
        <f>IF($B6=0,1000000000,IF(INDEX('calcA'!$D$60:$EQ$99,$B6,95)*IF($W6=1,GR6+ADG6,GR6)=1,IF(AND($E6=2,IF($W6=1,AIV6,MG6)=0),1000000000,IF($V6=1,INDEX('calcA'!$D$130:$EQ$169,$B6,95)+IF(AND($E6=1,MG6=0),25,0),IF($F6&gt;0,INDEX('calcA'!CT$110:CT$114,$F6+1)+IF(AND($E6=1,MG6=0),1000,0),MIN(TX6,20)*400+(IF('calcA'!CS$106=1,1-GQ6,0)+IF('calcA'!CT$106=1,1-GS6,0))*150+234+'calcA'!CT$5*100000+IF(AND($E6=1,MG6=0),50000,0))+IF($H6=1,INDEX('calcA'!$D$180:$EQ$219,$B6,95)*4000,0)-IF(AND('calcA'!CS$117=1,XQ6&gt;0),2000,0)-IF(AND($U6=1,'calcA'!CT$117=1,GS6=0),2000,0))),1000000000))</f>
        <v/>
      </c>
      <c r="RW6">
        <f>IF($B6=0,1000000000,IF(INDEX('calcA'!$D$60:$EQ$99,$B6,96)*IF($W6=1,GS6+ADH6,GS6)=1,IF(AND($E6=2,IF($W6=1,AIW6,MH6)=0),1000000000,IF($V6=1,INDEX('calcA'!$D$130:$EQ$169,$B6,96)+IF(AND($E6=1,MH6=0),25,0),IF($F6&gt;0,INDEX('calcA'!CU$110:CU$114,$F6+1)+IF(AND($E6=1,MH6=0),1000,0),MIN(TX6,20)*400+(IF('calcA'!CT$106=1,1-GR6,0))*150+244+'calcA'!CU$5*100000+IF(AND($E6=1,MH6=0),50000,0))+IF($H6=1,INDEX('calcA'!$D$180:$EQ$219,$B6,96)*4000,0)-IF(AND('calcA'!CT$117=1,XR6&gt;0),2000,0))),1000000000))</f>
        <v/>
      </c>
      <c r="RX6">
        <f>IF($B6=0,1000000000,IF(INDEX('calcA'!$D$60:$EQ$99,$B6,97)*IF($W6=1,GT6+ADI6,GT6)=1,IF(AND($E6=2,IF($W6=1,AIX6,MI6)=0),1000000000,IF($V6=1,INDEX('calcA'!$D$130:$EQ$169,$B6,97)+IF(AND($E6=1,MI6=0),25,0),IF($F6&gt;0,INDEX('calcA'!CV$110:CV$114,$F6+1)+IF(AND($E6=1,MI6=0),1000,0),MIN(TY6,20)*400+(IF('calcA'!CV$106=1,1-GU6,0))*150+15+'calcA'!CV$5*100000+IF(AND($E6=1,MI6=0),50000,0))+IF($H6=1,INDEX('calcA'!$D$180:$EQ$219,$B6,97)*4000,0)-IF(AND($U6=1,'calcA'!CV$117=1,GU6=0),2000,0))),1000000000))</f>
        <v/>
      </c>
      <c r="RY6">
        <f>IF($B6=0,1000000000,IF(INDEX('calcA'!$D$60:$EQ$99,$B6,98)*IF($W6=1,GU6+ADJ6,GU6)=1,IF(AND($E6=2,IF($W6=1,AIY6,MJ6)=0),1000000000,IF($V6=1,INDEX('calcA'!$D$130:$EQ$169,$B6,98)+IF(AND($E6=1,MJ6=0),25,0),IF($F6&gt;0,INDEX('calcA'!CW$110:CW$114,$F6+1)+IF(AND($E6=1,MJ6=0),1000,0),MIN(TY6,20)*400+(IF('calcA'!CV$106=1,1-GT6,0)+IF('calcA'!CW$106=1,1-GV6,0))*150+25+'calcA'!CW$5*100000+IF(AND($E6=1,MJ6=0),50000,0))+IF($H6=1,INDEX('calcA'!$D$180:$EQ$219,$B6,98)*4000,0)-IF(AND('calcA'!CV$117=1,XT6&gt;0),2000,0)-IF(AND($U6=1,'calcA'!CW$117=1,GV6=0),2000,0))),1000000000))</f>
        <v/>
      </c>
      <c r="RZ6">
        <f>IF($B6=0,1000000000,IF(INDEX('calcA'!$D$60:$EQ$99,$B6,99)*IF($W6=1,GV6+ADK6,GV6)=1,IF(AND($E6=2,IF($W6=1,AIZ6,MK6)=0),1000000000,IF($V6=1,INDEX('calcA'!$D$130:$EQ$169,$B6,99)+IF(AND($E6=1,MK6=0),25,0),IF($F6&gt;0,INDEX('calcA'!CX$110:CX$114,$F6+1)+IF(AND($E6=1,MK6=0),1000,0),MIN(TY6,20)*400+(IF('calcA'!CW$106=1,1-GU6,0)+IF('calcA'!CX$106=1,1-GW6,0))*150+35+'calcA'!CX$5*100000+IF(AND($E6=1,MK6=0),50000,0))+IF($H6=1,INDEX('calcA'!$D$180:$EQ$219,$B6,99)*4000,0)-IF(AND('calcA'!CW$117=1,XU6&gt;0),2000,0)-IF(AND($U6=1,'calcA'!CX$117=1,GW6=0),2000,0))),1000000000))</f>
        <v/>
      </c>
      <c r="SA6">
        <f>IF($B6=0,1000000000,IF(INDEX('calcA'!$D$60:$EQ$99,$B6,100)*IF($W6=1,GW6+ADL6,GW6)=1,IF(AND($E6=2,IF($W6=1,AJA6,ML6)=0),1000000000,IF($V6=1,INDEX('calcA'!$D$130:$EQ$169,$B6,100)+IF(AND($E6=1,ML6=0),25,0),IF($F6&gt;0,INDEX('calcA'!CY$110:CY$114,$F6+1)+IF(AND($E6=1,ML6=0),1000,0),MIN(TY6,20)*400+(IF('calcA'!CX$106=1,1-GV6,0)+IF('calcA'!CY$106=1,1-GX6,0))*150+45+'calcA'!CY$5*100000+IF(AND($E6=1,ML6=0),50000,0))+IF($H6=1,INDEX('calcA'!$D$180:$EQ$219,$B6,100)*4000,0)-IF(AND('calcA'!CX$117=1,XV6&gt;0),2000,0)-IF(AND($U6=1,'calcA'!CY$117=1,GX6=0),2000,0))),1000000000))</f>
        <v/>
      </c>
      <c r="SB6">
        <f>IF($B6=0,1000000000,IF(INDEX('calcA'!$D$60:$EQ$99,$B6,101)*IF($W6=1,GX6+ADM6,GX6)=1,IF(AND($E6=2,IF($W6=1,AJB6,MM6)=0),1000000000,IF($V6=1,INDEX('calcA'!$D$130:$EQ$169,$B6,101)+IF(AND($E6=1,MM6=0),25,0),IF($F6&gt;0,INDEX('calcA'!CZ$110:CZ$114,$F6+1)+IF(AND($E6=1,MM6=0),1000,0),MIN(TY6,20)*400+(IF('calcA'!CY$106=1,1-GW6,0)+IF('calcA'!CZ$106=1,1-GY6,0))*150+55+'calcA'!CZ$5*100000+IF(AND($E6=1,MM6=0),50000,0))+IF($H6=1,INDEX('calcA'!$D$180:$EQ$219,$B6,101)*4000,0)-IF(AND('calcA'!CY$117=1,XW6&gt;0),2000,0)-IF(AND($U6=1,'calcA'!CZ$117=1,GY6=0),2000,0))),1000000000))</f>
        <v/>
      </c>
      <c r="SC6">
        <f>IF($B6=0,1000000000,IF(INDEX('calcA'!$D$60:$EQ$99,$B6,102)*IF($W6=1,GY6+ADN6,GY6)=1,IF(AND($E6=2,IF($W6=1,AJC6,MN6)=0),1000000000,IF($V6=1,INDEX('calcA'!$D$130:$EQ$169,$B6,102)+IF(AND($E6=1,MN6=0),25,0),IF($F6&gt;0,INDEX('calcA'!DA$110:DA$114,$F6+1)+IF(AND($E6=1,MN6=0),1000,0),MIN(TY6,20)*400+(IF('calcA'!CZ$106=1,1-GX6,0)+IF('calcA'!DA$106=1,1-GZ6,0))*150+65+'calcA'!DA$5*100000+IF(AND($E6=1,MN6=0),50000,0))+IF($H6=1,INDEX('calcA'!$D$180:$EQ$219,$B6,102)*4000,0)-IF(AND('calcA'!CZ$117=1,XX6&gt;0),2000,0)-IF(AND($U6=1,'calcA'!DA$117=1,GZ6=0),2000,0))),1000000000))</f>
        <v/>
      </c>
      <c r="SD6">
        <f>IF($B6=0,1000000000,IF(INDEX('calcA'!$D$60:$EQ$99,$B6,103)*IF($W6=1,GZ6+ADO6,GZ6)=1,IF(AND($E6=2,IF($W6=1,AJD6,MO6)=0),1000000000,IF($V6=1,INDEX('calcA'!$D$130:$EQ$169,$B6,103)+IF(AND($E6=1,MO6=0),25,0),IF($F6&gt;0,INDEX('calcA'!DB$110:DB$114,$F6+1)+IF(AND($E6=1,MO6=0),1000,0),MIN(TY6,20)*400+(IF('calcA'!DA$106=1,1-GY6,0)+IF('calcA'!DB$106=1,1-HA6,0))*150+75+'calcA'!DB$5*100000+IF(AND($E6=1,MO6=0),50000,0))+IF($H6=1,INDEX('calcA'!$D$180:$EQ$219,$B6,103)*4000,0)-IF(AND('calcA'!DA$117=1,XY6&gt;0),2000,0)-IF(AND($U6=1,'calcA'!DB$117=1,HA6=0),2000,0))),1000000000))</f>
        <v/>
      </c>
      <c r="SE6">
        <f>IF($B6=0,1000000000,IF(INDEX('calcA'!$D$60:$EQ$99,$B6,104)*IF($W6=1,HA6+ADP6,HA6)=1,IF(AND($E6=2,IF($W6=1,AJE6,MP6)=0),1000000000,IF($V6=1,INDEX('calcA'!$D$130:$EQ$169,$B6,104)+IF(AND($E6=1,MP6=0),25,0),IF($F6&gt;0,INDEX('calcA'!DC$110:DC$114,$F6+1)+IF(AND($E6=1,MP6=0),1000,0),MIN(TY6,20)*400+(IF('calcA'!DB$106=1,1-GZ6,0)+IF('calcA'!DC$106=1,1-HB6,0))*150+85+'calcA'!DC$5*100000+IF(AND($E6=1,MP6=0),50000,0))+IF($H6=1,INDEX('calcA'!$D$180:$EQ$219,$B6,104)*4000,0)-IF(AND('calcA'!DB$117=1,XZ6&gt;0),2000,0)-IF(AND($U6=1,'calcA'!DC$117=1,HB6=0),2000,0))),1000000000))</f>
        <v/>
      </c>
      <c r="SF6">
        <f>IF($B6=0,1000000000,IF(INDEX('calcA'!$D$60:$EQ$99,$B6,105)*IF($W6=1,HB6+ADQ6,HB6)=1,IF(AND($E6=2,IF($W6=1,AJF6,MQ6)=0),1000000000,IF($V6=1,INDEX('calcA'!$D$130:$EQ$169,$B6,105)+IF(AND($E6=1,MQ6=0),25,0),IF($F6&gt;0,INDEX('calcA'!DD$110:DD$114,$F6+1)+IF(AND($E6=1,MQ6=0),1000,0),MIN(TY6,20)*400+(IF('calcA'!DC$106=1,1-HA6,0)+IF('calcA'!DD$106=1,1-HC6,0))*150+95+'calcA'!DD$5*100000+IF(AND($E6=1,MQ6=0),50000,0))+IF($H6=1,INDEX('calcA'!$D$180:$EQ$219,$B6,105)*4000,0)-IF(AND('calcA'!DC$117=1,YA6&gt;0),2000,0)-IF(AND($U6=1,'calcA'!DD$117=1,HC6=0),2000,0))),1000000000))</f>
        <v/>
      </c>
      <c r="SG6">
        <f>IF($B6=0,1000000000,IF(INDEX('calcA'!$D$60:$EQ$99,$B6,106)*IF($W6=1,HC6+ADR6,HC6)=1,IF(AND($E6=2,IF($W6=1,AJG6,MR6)=0),1000000000,IF($V6=1,INDEX('calcA'!$D$130:$EQ$169,$B6,106)+IF(AND($E6=1,MR6=0),25,0),IF($F6&gt;0,INDEX('calcA'!DE$110:DE$114,$F6+1)+IF(AND($E6=1,MR6=0),1000,0),MIN(TY6,20)*400+(IF('calcA'!DD$106=1,1-HB6,0)+IF('calcA'!DE$106=1,1-HD6,0))*150+105+'calcA'!DE$5*100000+IF(AND($E6=1,MR6=0),50000,0))+IF($H6=1,INDEX('calcA'!$D$180:$EQ$219,$B6,106)*4000,0)-IF(AND('calcA'!DD$117=1,YB6&gt;0),2000,0)-IF(AND($U6=1,'calcA'!DE$117=1,HD6=0),2000,0))),1000000000))</f>
        <v/>
      </c>
      <c r="SH6">
        <f>IF($B6=0,1000000000,IF(INDEX('calcA'!$D$60:$EQ$99,$B6,107)*IF($W6=1,HD6+ADS6,HD6)=1,IF(AND($E6=2,IF($W6=1,AJH6,MS6)=0),1000000000,IF($V6=1,INDEX('calcA'!$D$130:$EQ$169,$B6,107)+IF(AND($E6=1,MS6=0),25,0),IF($F6&gt;0,INDEX('calcA'!DF$110:DF$114,$F6+1)+IF(AND($E6=1,MS6=0),1000,0),MIN(TY6,20)*400+(IF('calcA'!DE$106=1,1-HC6,0)+IF('calcA'!DF$106=1,1-HE6,0))*150+115+'calcA'!DF$5*100000+IF(AND($E6=1,MS6=0),50000,0))+IF($H6=1,INDEX('calcA'!$D$180:$EQ$219,$B6,107)*4000,0)-IF(AND('calcA'!DE$117=1,YC6&gt;0),2000,0)-IF(AND($U6=1,'calcA'!DF$117=1,HE6=0),2000,0))),1000000000))</f>
        <v/>
      </c>
      <c r="SI6">
        <f>IF($B6=0,1000000000,IF(INDEX('calcA'!$D$60:$EQ$99,$B6,108)*IF($W6=1,HE6+ADT6,HE6)=1,IF(AND($E6=2,IF($W6=1,AJI6,MT6)=0),1000000000,IF($V6=1,INDEX('calcA'!$D$130:$EQ$169,$B6,108)+IF(AND($E6=1,MT6=0),25,0),IF($F6&gt;0,INDEX('calcA'!DG$110:DG$114,$F6+1)+IF(AND($E6=1,MT6=0),1000,0),MIN(TY6,20)*400+(IF('calcA'!DF$106=1,1-HD6,0)+IF('calcA'!DG$106=1,1-HF6,0))*150+125+'calcA'!DG$5*100000+IF(AND($E6=1,MT6=0),50000,0))+IF($H6=1,INDEX('calcA'!$D$180:$EQ$219,$B6,108)*4000,0)-IF(AND('calcA'!DF$117=1,YD6&gt;0),2000,0)-IF(AND($U6=1,'calcA'!DG$117=1,HF6=0),2000,0))),1000000000))</f>
        <v/>
      </c>
      <c r="SJ6">
        <f>IF($B6=0,1000000000,IF(INDEX('calcA'!$D$60:$EQ$99,$B6,109)*IF($W6=1,HF6+ADU6,HF6)=1,IF(AND($E6=2,IF($W6=1,AJJ6,MU6)=0),1000000000,IF($V6=1,INDEX('calcA'!$D$130:$EQ$169,$B6,109)+IF(AND($E6=1,MU6=0),25,0),IF($F6&gt;0,INDEX('calcA'!DH$110:DH$114,$F6+1)+IF(AND($E6=1,MU6=0),1000,0),MIN(TY6,20)*400+(IF('calcA'!DG$106=1,1-HE6,0)+IF('calcA'!DH$106=1,1-HG6,0))*150+135+'calcA'!DH$5*100000+IF(AND($E6=1,MU6=0),50000,0))+IF($H6=1,INDEX('calcA'!$D$180:$EQ$219,$B6,109)*4000,0)-IF(AND('calcA'!DG$117=1,YE6&gt;0),2000,0)-IF(AND($U6=1,'calcA'!DH$117=1,HG6=0),2000,0))),1000000000))</f>
        <v/>
      </c>
      <c r="SK6">
        <f>IF($B6=0,1000000000,IF(INDEX('calcA'!$D$60:$EQ$99,$B6,110)*IF($W6=1,HG6+ADV6,HG6)=1,IF(AND($E6=2,IF($W6=1,AJK6,MV6)=0),1000000000,IF($V6=1,INDEX('calcA'!$D$130:$EQ$169,$B6,110)+IF(AND($E6=1,MV6=0),25,0),IF($F6&gt;0,INDEX('calcA'!DI$110:DI$114,$F6+1)+IF(AND($E6=1,MV6=0),1000,0),MIN(TY6,20)*400+(IF('calcA'!DH$106=1,1-HF6,0)+IF('calcA'!DI$106=1,1-HH6,0))*150+145+'calcA'!DI$5*100000+IF(AND($E6=1,MV6=0),50000,0))+IF($H6=1,INDEX('calcA'!$D$180:$EQ$219,$B6,110)*4000,0)-IF(AND('calcA'!DH$117=1,YF6&gt;0),2000,0)-IF(AND($U6=1,'calcA'!DI$117=1,HH6=0),2000,0))),1000000000))</f>
        <v/>
      </c>
      <c r="SL6">
        <f>IF($B6=0,1000000000,IF(INDEX('calcA'!$D$60:$EQ$99,$B6,111)*IF($W6=1,HH6+ADW6,HH6)=1,IF(AND($E6=2,IF($W6=1,AJL6,MW6)=0),1000000000,IF($V6=1,INDEX('calcA'!$D$130:$EQ$169,$B6,111)+IF(AND($E6=1,MW6=0),25,0),IF($F6&gt;0,INDEX('calcA'!DJ$110:DJ$114,$F6+1)+IF(AND($E6=1,MW6=0),1000,0),MIN(TY6,20)*400+(IF('calcA'!DI$106=1,1-HG6,0)+IF('calcA'!DJ$106=1,1-HI6,0))*150+155+'calcA'!DJ$5*100000+IF(AND($E6=1,MW6=0),50000,0))+IF($H6=1,INDEX('calcA'!$D$180:$EQ$219,$B6,111)*4000,0)-IF(AND('calcA'!DI$117=1,YG6&gt;0),2000,0)-IF(AND($U6=1,'calcA'!DJ$117=1,HI6=0),2000,0))),1000000000))</f>
        <v/>
      </c>
      <c r="SM6">
        <f>IF($B6=0,1000000000,IF(INDEX('calcA'!$D$60:$EQ$99,$B6,112)*IF($W6=1,HI6+ADX6,HI6)=1,IF(AND($E6=2,IF($W6=1,AJM6,MX6)=0),1000000000,IF($V6=1,INDEX('calcA'!$D$130:$EQ$169,$B6,112)+IF(AND($E6=1,MX6=0),25,0),IF($F6&gt;0,INDEX('calcA'!DK$110:DK$114,$F6+1)+IF(AND($E6=1,MX6=0),1000,0),MIN(TY6,20)*400+(IF('calcA'!DJ$106=1,1-HH6,0)+IF('calcA'!DK$106=1,1-HJ6,0))*150+165+'calcA'!DK$5*100000+IF(AND($E6=1,MX6=0),50000,0))+IF($H6=1,INDEX('calcA'!$D$180:$EQ$219,$B6,112)*4000,0)-IF(AND('calcA'!DJ$117=1,YH6&gt;0),2000,0)-IF(AND($U6=1,'calcA'!DK$117=1,HJ6=0),2000,0))),1000000000))</f>
        <v/>
      </c>
      <c r="SN6">
        <f>IF($B6=0,1000000000,IF(INDEX('calcA'!$D$60:$EQ$99,$B6,113)*IF($W6=1,HJ6+ADY6,HJ6)=1,IF(AND($E6=2,IF($W6=1,AJN6,MY6)=0),1000000000,IF($V6=1,INDEX('calcA'!$D$130:$EQ$169,$B6,113)+IF(AND($E6=1,MY6=0),25,0),IF($F6&gt;0,INDEX('calcA'!DL$110:DL$114,$F6+1)+IF(AND($E6=1,MY6=0),1000,0),MIN(TY6,20)*400+(IF('calcA'!DK$106=1,1-HI6,0)+IF('calcA'!DL$106=1,1-HK6,0))*150+175+'calcA'!DL$5*100000+IF(AND($E6=1,MY6=0),50000,0))+IF($H6=1,INDEX('calcA'!$D$180:$EQ$219,$B6,113)*4000,0)-IF(AND('calcA'!DK$117=1,YI6&gt;0),2000,0)-IF(AND($U6=1,'calcA'!DL$117=1,HK6=0),2000,0))),1000000000))</f>
        <v/>
      </c>
      <c r="SO6">
        <f>IF($B6=0,1000000000,IF(INDEX('calcA'!$D$60:$EQ$99,$B6,114)*IF($W6=1,HK6+ADZ6,HK6)=1,IF(AND($E6=2,IF($W6=1,AJO6,MZ6)=0),1000000000,IF($V6=1,INDEX('calcA'!$D$130:$EQ$169,$B6,114)+IF(AND($E6=1,MZ6=0),25,0),IF($F6&gt;0,INDEX('calcA'!DM$110:DM$114,$F6+1)+IF(AND($E6=1,MZ6=0),1000,0),MIN(TY6,20)*400+(IF('calcA'!DL$106=1,1-HJ6,0)+IF('calcA'!DM$106=1,1-HL6,0))*150+185+'calcA'!DM$5*100000+IF(AND($E6=1,MZ6=0),50000,0))+IF($H6=1,INDEX('calcA'!$D$180:$EQ$219,$B6,114)*4000,0)-IF(AND('calcA'!DL$117=1,YJ6&gt;0),2000,0)-IF(AND($U6=1,'calcA'!DM$117=1,HL6=0),2000,0))),1000000000))</f>
        <v/>
      </c>
      <c r="SP6">
        <f>IF($B6=0,1000000000,IF(INDEX('calcA'!$D$60:$EQ$99,$B6,115)*IF($W6=1,HL6+AEA6,HL6)=1,IF(AND($E6=2,IF($W6=1,AJP6,NA6)=0),1000000000,IF($V6=1,INDEX('calcA'!$D$130:$EQ$169,$B6,115)+IF(AND($E6=1,NA6=0),25,0),IF($F6&gt;0,INDEX('calcA'!DN$110:DN$114,$F6+1)+IF(AND($E6=1,NA6=0),1000,0),MIN(TY6,20)*400+(IF('calcA'!DM$106=1,1-HK6,0)+IF('calcA'!DN$106=1,1-HM6,0))*150+195+'calcA'!DN$5*100000+IF(AND($E6=1,NA6=0),50000,0))+IF($H6=1,INDEX('calcA'!$D$180:$EQ$219,$B6,115)*4000,0)-IF(AND('calcA'!DM$117=1,YK6&gt;0),2000,0)-IF(AND($U6=1,'calcA'!DN$117=1,HM6=0),2000,0))),1000000000))</f>
        <v/>
      </c>
      <c r="SQ6">
        <f>IF($B6=0,1000000000,IF(INDEX('calcA'!$D$60:$EQ$99,$B6,116)*IF($W6=1,HM6+AEB6,HM6)=1,IF(AND($E6=2,IF($W6=1,AJQ6,NB6)=0),1000000000,IF($V6=1,INDEX('calcA'!$D$130:$EQ$169,$B6,116)+IF(AND($E6=1,NB6=0),25,0),IF($F6&gt;0,INDEX('calcA'!DO$110:DO$114,$F6+1)+IF(AND($E6=1,NB6=0),1000,0),MIN(TY6,20)*400+(IF('calcA'!DN$106=1,1-HL6,0)+IF('calcA'!DO$106=1,1-HN6,0))*150+205+'calcA'!DO$5*100000+IF(AND($E6=1,NB6=0),50000,0))+IF($H6=1,INDEX('calcA'!$D$180:$EQ$219,$B6,116)*4000,0)-IF(AND('calcA'!DN$117=1,YL6&gt;0),2000,0)-IF(AND($U6=1,'calcA'!DO$117=1,HN6=0),2000,0))),1000000000))</f>
        <v/>
      </c>
      <c r="SR6">
        <f>IF($B6=0,1000000000,IF(INDEX('calcA'!$D$60:$EQ$99,$B6,117)*IF($W6=1,HN6+AEC6,HN6)=1,IF(AND($E6=2,IF($W6=1,AJR6,NC6)=0),1000000000,IF($V6=1,INDEX('calcA'!$D$130:$EQ$169,$B6,117)+IF(AND($E6=1,NC6=0),25,0),IF($F6&gt;0,INDEX('calcA'!DP$110:DP$114,$F6+1)+IF(AND($E6=1,NC6=0),1000,0),MIN(TY6,20)*400+(IF('calcA'!DO$106=1,1-HM6,0)+IF('calcA'!DP$106=1,1-HO6,0))*150+215+'calcA'!DP$5*100000+IF(AND($E6=1,NC6=0),50000,0))+IF($H6=1,INDEX('calcA'!$D$180:$EQ$219,$B6,117)*4000,0)-IF(AND('calcA'!DO$117=1,YM6&gt;0),2000,0)-IF(AND($U6=1,'calcA'!DP$117=1,HO6=0),2000,0))),1000000000))</f>
        <v/>
      </c>
      <c r="SS6">
        <f>IF($B6=0,1000000000,IF(INDEX('calcA'!$D$60:$EQ$99,$B6,118)*IF($W6=1,HO6+AED6,HO6)=1,IF(AND($E6=2,IF($W6=1,AJS6,ND6)=0),1000000000,IF($V6=1,INDEX('calcA'!$D$130:$EQ$169,$B6,118)+IF(AND($E6=1,ND6=0),25,0),IF($F6&gt;0,INDEX('calcA'!DQ$110:DQ$114,$F6+1)+IF(AND($E6=1,ND6=0),1000,0),MIN(TY6,20)*400+(IF('calcA'!DP$106=1,1-HN6,0)+IF('calcA'!DQ$106=1,1-HP6,0))*150+225+'calcA'!DQ$5*100000+IF(AND($E6=1,ND6=0),50000,0))+IF($H6=1,INDEX('calcA'!$D$180:$EQ$219,$B6,118)*4000,0)-IF(AND('calcA'!DP$117=1,YN6&gt;0),2000,0)-IF(AND($U6=1,'calcA'!DQ$117=1,HP6=0),2000,0))),1000000000))</f>
        <v/>
      </c>
      <c r="ST6">
        <f>IF($B6=0,1000000000,IF(INDEX('calcA'!$D$60:$EQ$99,$B6,119)*IF($W6=1,HP6+AEE6,HP6)=1,IF(AND($E6=2,IF($W6=1,AJT6,NE6)=0),1000000000,IF($V6=1,INDEX('calcA'!$D$130:$EQ$169,$B6,119)+IF(AND($E6=1,NE6=0),25,0),IF($F6&gt;0,INDEX('calcA'!DR$110:DR$114,$F6+1)+IF(AND($E6=1,NE6=0),1000,0),MIN(TY6,20)*400+(IF('calcA'!DQ$106=1,1-HO6,0)+IF('calcA'!DR$106=1,1-HQ6,0))*150+235+'calcA'!DR$5*100000+IF(AND($E6=1,NE6=0),50000,0))+IF($H6=1,INDEX('calcA'!$D$180:$EQ$219,$B6,119)*4000,0)-IF(AND('calcA'!DQ$117=1,YO6&gt;0),2000,0)-IF(AND($U6=1,'calcA'!DR$117=1,HQ6=0),2000,0))),1000000000))</f>
        <v/>
      </c>
      <c r="SU6">
        <f>IF($B6=0,1000000000,IF(INDEX('calcA'!$D$60:$EQ$99,$B6,120)*IF($W6=1,HQ6+AEF6,HQ6)=1,IF(AND($E6=2,IF($W6=1,AJU6,NF6)=0),1000000000,IF($V6=1,INDEX('calcA'!$D$130:$EQ$169,$B6,120)+IF(AND($E6=1,NF6=0),25,0),IF($F6&gt;0,INDEX('calcA'!DS$110:DS$114,$F6+1)+IF(AND($E6=1,NF6=0),1000,0),MIN(TY6,20)*400+(IF('calcA'!DR$106=1,1-HP6,0))*150+245+'calcA'!DS$5*100000+IF(AND($E6=1,NF6=0),50000,0))+IF($H6=1,INDEX('calcA'!$D$180:$EQ$219,$B6,120)*4000,0)-IF(AND('calcA'!DR$117=1,YP6&gt;0),2000,0))),1000000000))</f>
        <v/>
      </c>
      <c r="SV6">
        <f>IF($B6=0,1000000000,IF(INDEX('calcA'!$D$60:$EQ$99,$B6,121)*IF($W6=1,HR6+AEG6,HR6)=1,IF(AND($E6=2,IF($W6=1,AJV6,NG6)=0),1000000000,IF($V6=1,INDEX('calcA'!$D$130:$EQ$169,$B6,121)+IF(AND($E6=1,NG6=0),25,0),IF($F6&gt;0,INDEX('calcA'!DT$110:DT$114,$F6+1)+IF(AND($E6=1,NG6=0),1000,0),MIN(TZ6,20)*400+(IF('calcA'!DT$106=1,1-HS6,0))*150+16+'calcA'!DT$5*100000+IF(AND($E6=1,NG6=0),50000,0))+IF($H6=1,INDEX('calcA'!$D$180:$EQ$219,$B6,121)*4000,0)-IF(AND($U6=1,'calcA'!DT$117=1,HS6=0),2000,0))),1000000000))</f>
        <v/>
      </c>
      <c r="SW6">
        <f>IF($B6=0,1000000000,IF(INDEX('calcA'!$D$60:$EQ$99,$B6,122)*IF($W6=1,HS6+AEH6,HS6)=1,IF(AND($E6=2,IF($W6=1,AJW6,NH6)=0),1000000000,IF($V6=1,INDEX('calcA'!$D$130:$EQ$169,$B6,122)+IF(AND($E6=1,NH6=0),25,0),IF($F6&gt;0,INDEX('calcA'!DU$110:DU$114,$F6+1)+IF(AND($E6=1,NH6=0),1000,0),MIN(TZ6,20)*400+(IF('calcA'!DT$106=1,1-HR6,0)+IF('calcA'!DU$106=1,1-HT6,0))*150+26+'calcA'!DU$5*100000+IF(AND($E6=1,NH6=0),50000,0))+IF($H6=1,INDEX('calcA'!$D$180:$EQ$219,$B6,122)*4000,0)-IF(AND('calcA'!DT$117=1,YR6&gt;0),2000,0)-IF(AND($U6=1,'calcA'!DU$117=1,HT6=0),2000,0))),1000000000))</f>
        <v/>
      </c>
      <c r="SX6">
        <f>IF($B6=0,1000000000,IF(INDEX('calcA'!$D$60:$EQ$99,$B6,123)*IF($W6=1,HT6+AEI6,HT6)=1,IF(AND($E6=2,IF($W6=1,AJX6,NI6)=0),1000000000,IF($V6=1,INDEX('calcA'!$D$130:$EQ$169,$B6,123)+IF(AND($E6=1,NI6=0),25,0),IF($F6&gt;0,INDEX('calcA'!DV$110:DV$114,$F6+1)+IF(AND($E6=1,NI6=0),1000,0),MIN(TZ6,20)*400+(IF('calcA'!DU$106=1,1-HS6,0)+IF('calcA'!DV$106=1,1-HU6,0))*150+36+'calcA'!DV$5*100000+IF(AND($E6=1,NI6=0),50000,0))+IF($H6=1,INDEX('calcA'!$D$180:$EQ$219,$B6,123)*4000,0)-IF(AND('calcA'!DU$117=1,YS6&gt;0),2000,0)-IF(AND($U6=1,'calcA'!DV$117=1,HU6=0),2000,0))),1000000000))</f>
        <v/>
      </c>
      <c r="SY6">
        <f>IF($B6=0,1000000000,IF(INDEX('calcA'!$D$60:$EQ$99,$B6,124)*IF($W6=1,HU6+AEJ6,HU6)=1,IF(AND($E6=2,IF($W6=1,AJY6,NJ6)=0),1000000000,IF($V6=1,INDEX('calcA'!$D$130:$EQ$169,$B6,124)+IF(AND($E6=1,NJ6=0),25,0),IF($F6&gt;0,INDEX('calcA'!DW$110:DW$114,$F6+1)+IF(AND($E6=1,NJ6=0),1000,0),MIN(TZ6,20)*400+(IF('calcA'!DV$106=1,1-HT6,0)+IF('calcA'!DW$106=1,1-HV6,0))*150+46+'calcA'!DW$5*100000+IF(AND($E6=1,NJ6=0),50000,0))+IF($H6=1,INDEX('calcA'!$D$180:$EQ$219,$B6,124)*4000,0)-IF(AND('calcA'!DV$117=1,YT6&gt;0),2000,0)-IF(AND($U6=1,'calcA'!DW$117=1,HV6=0),2000,0))),1000000000))</f>
        <v/>
      </c>
      <c r="SZ6">
        <f>IF($B6=0,1000000000,IF(INDEX('calcA'!$D$60:$EQ$99,$B6,125)*IF($W6=1,HV6+AEK6,HV6)=1,IF(AND($E6=2,IF($W6=1,AJZ6,NK6)=0),1000000000,IF($V6=1,INDEX('calcA'!$D$130:$EQ$169,$B6,125)+IF(AND($E6=1,NK6=0),25,0),IF($F6&gt;0,INDEX('calcA'!DX$110:DX$114,$F6+1)+IF(AND($E6=1,NK6=0),1000,0),MIN(TZ6,20)*400+(IF('calcA'!DW$106=1,1-HU6,0)+IF('calcA'!DX$106=1,1-HW6,0))*150+56+'calcA'!DX$5*100000+IF(AND($E6=1,NK6=0),50000,0))+IF($H6=1,INDEX('calcA'!$D$180:$EQ$219,$B6,125)*4000,0)-IF(AND('calcA'!DW$117=1,YU6&gt;0),2000,0)-IF(AND($U6=1,'calcA'!DX$117=1,HW6=0),2000,0))),1000000000))</f>
        <v/>
      </c>
      <c r="TA6">
        <f>IF($B6=0,1000000000,IF(INDEX('calcA'!$D$60:$EQ$99,$B6,126)*IF($W6=1,HW6+AEL6,HW6)=1,IF(AND($E6=2,IF($W6=1,AKA6,NL6)=0),1000000000,IF($V6=1,INDEX('calcA'!$D$130:$EQ$169,$B6,126)+IF(AND($E6=1,NL6=0),25,0),IF($F6&gt;0,INDEX('calcA'!DY$110:DY$114,$F6+1)+IF(AND($E6=1,NL6=0),1000,0),MIN(TZ6,20)*400+(IF('calcA'!DX$106=1,1-HV6,0)+IF('calcA'!DY$106=1,1-HX6,0))*150+66+'calcA'!DY$5*100000+IF(AND($E6=1,NL6=0),50000,0))+IF($H6=1,INDEX('calcA'!$D$180:$EQ$219,$B6,126)*4000,0)-IF(AND('calcA'!DX$117=1,YV6&gt;0),2000,0)-IF(AND($U6=1,'calcA'!DY$117=1,HX6=0),2000,0))),1000000000))</f>
        <v/>
      </c>
      <c r="TB6">
        <f>IF($B6=0,1000000000,IF(INDEX('calcA'!$D$60:$EQ$99,$B6,127)*IF($W6=1,HX6+AEM6,HX6)=1,IF(AND($E6=2,IF($W6=1,AKB6,NM6)=0),1000000000,IF($V6=1,INDEX('calcA'!$D$130:$EQ$169,$B6,127)+IF(AND($E6=1,NM6=0),25,0),IF($F6&gt;0,INDEX('calcA'!DZ$110:DZ$114,$F6+1)+IF(AND($E6=1,NM6=0),1000,0),MIN(TZ6,20)*400+(IF('calcA'!DY$106=1,1-HW6,0)+IF('calcA'!DZ$106=1,1-HY6,0))*150+76+'calcA'!DZ$5*100000+IF(AND($E6=1,NM6=0),50000,0))+IF($H6=1,INDEX('calcA'!$D$180:$EQ$219,$B6,127)*4000,0)-IF(AND('calcA'!DY$117=1,YW6&gt;0),2000,0)-IF(AND($U6=1,'calcA'!DZ$117=1,HY6=0),2000,0))),1000000000))</f>
        <v/>
      </c>
      <c r="TC6">
        <f>IF($B6=0,1000000000,IF(INDEX('calcA'!$D$60:$EQ$99,$B6,128)*IF($W6=1,HY6+AEN6,HY6)=1,IF(AND($E6=2,IF($W6=1,AKC6,NN6)=0),1000000000,IF($V6=1,INDEX('calcA'!$D$130:$EQ$169,$B6,128)+IF(AND($E6=1,NN6=0),25,0),IF($F6&gt;0,INDEX('calcA'!EA$110:EA$114,$F6+1)+IF(AND($E6=1,NN6=0),1000,0),MIN(TZ6,20)*400+(IF('calcA'!DZ$106=1,1-HX6,0)+IF('calcA'!EA$106=1,1-HZ6,0))*150+86+'calcA'!EA$5*100000+IF(AND($E6=1,NN6=0),50000,0))+IF($H6=1,INDEX('calcA'!$D$180:$EQ$219,$B6,128)*4000,0)-IF(AND('calcA'!DZ$117=1,YX6&gt;0),2000,0)-IF(AND($U6=1,'calcA'!EA$117=1,HZ6=0),2000,0))),1000000000))</f>
        <v/>
      </c>
      <c r="TD6">
        <f>IF($B6=0,1000000000,IF(INDEX('calcA'!$D$60:$EQ$99,$B6,129)*IF($W6=1,HZ6+AEO6,HZ6)=1,IF(AND($E6=2,IF($W6=1,AKD6,NO6)=0),1000000000,IF($V6=1,INDEX('calcA'!$D$130:$EQ$169,$B6,129)+IF(AND($E6=1,NO6=0),25,0),IF($F6&gt;0,INDEX('calcA'!EB$110:EB$114,$F6+1)+IF(AND($E6=1,NO6=0),1000,0),MIN(TZ6,20)*400+(IF('calcA'!EA$106=1,1-HY6,0)+IF('calcA'!EB$106=1,1-IA6,0))*150+96+'calcA'!EB$5*100000+IF(AND($E6=1,NO6=0),50000,0))+IF($H6=1,INDEX('calcA'!$D$180:$EQ$219,$B6,129)*4000,0)-IF(AND('calcA'!EA$117=1,YY6&gt;0),2000,0)-IF(AND($U6=1,'calcA'!EB$117=1,IA6=0),2000,0))),1000000000))</f>
        <v/>
      </c>
      <c r="TE6">
        <f>IF($B6=0,1000000000,IF(INDEX('calcA'!$D$60:$EQ$99,$B6,130)*IF($W6=1,IA6+AEP6,IA6)=1,IF(AND($E6=2,IF($W6=1,AKE6,NP6)=0),1000000000,IF($V6=1,INDEX('calcA'!$D$130:$EQ$169,$B6,130)+IF(AND($E6=1,NP6=0),25,0),IF($F6&gt;0,INDEX('calcA'!EC$110:EC$114,$F6+1)+IF(AND($E6=1,NP6=0),1000,0),MIN(TZ6,20)*400+(IF('calcA'!EB$106=1,1-HZ6,0)+IF('calcA'!EC$106=1,1-IB6,0))*150+106+'calcA'!EC$5*100000+IF(AND($E6=1,NP6=0),50000,0))+IF($H6=1,INDEX('calcA'!$D$180:$EQ$219,$B6,130)*4000,0)-IF(AND('calcA'!EB$117=1,YZ6&gt;0),2000,0)-IF(AND($U6=1,'calcA'!EC$117=1,IB6=0),2000,0))),1000000000))</f>
        <v/>
      </c>
      <c r="TF6">
        <f>IF($B6=0,1000000000,IF(INDEX('calcA'!$D$60:$EQ$99,$B6,131)*IF($W6=1,IB6+AEQ6,IB6)=1,IF(AND($E6=2,IF($W6=1,AKF6,NQ6)=0),1000000000,IF($V6=1,INDEX('calcA'!$D$130:$EQ$169,$B6,131)+IF(AND($E6=1,NQ6=0),25,0),IF($F6&gt;0,INDEX('calcA'!ED$110:ED$114,$F6+1)+IF(AND($E6=1,NQ6=0),1000,0),MIN(TZ6,20)*400+(IF('calcA'!EC$106=1,1-IA6,0)+IF('calcA'!ED$106=1,1-IC6,0))*150+116+'calcA'!ED$5*100000+IF(AND($E6=1,NQ6=0),50000,0))+IF($H6=1,INDEX('calcA'!$D$180:$EQ$219,$B6,131)*4000,0)-IF(AND('calcA'!EC$117=1,ZA6&gt;0),2000,0)-IF(AND($U6=1,'calcA'!ED$117=1,IC6=0),2000,0))),1000000000))</f>
        <v/>
      </c>
      <c r="TG6">
        <f>IF($B6=0,1000000000,IF(INDEX('calcA'!$D$60:$EQ$99,$B6,132)*IF($W6=1,IC6+AER6,IC6)=1,IF(AND($E6=2,IF($W6=1,AKG6,NR6)=0),1000000000,IF($V6=1,INDEX('calcA'!$D$130:$EQ$169,$B6,132)+IF(AND($E6=1,NR6=0),25,0),IF($F6&gt;0,INDEX('calcA'!EE$110:EE$114,$F6+1)+IF(AND($E6=1,NR6=0),1000,0),MIN(TZ6,20)*400+(IF('calcA'!ED$106=1,1-IB6,0)+IF('calcA'!EE$106=1,1-ID6,0))*150+126+'calcA'!EE$5*100000+IF(AND($E6=1,NR6=0),50000,0))+IF($H6=1,INDEX('calcA'!$D$180:$EQ$219,$B6,132)*4000,0)-IF(AND('calcA'!ED$117=1,ZB6&gt;0),2000,0)-IF(AND($U6=1,'calcA'!EE$117=1,ID6=0),2000,0))),1000000000))</f>
        <v/>
      </c>
      <c r="TH6">
        <f>IF($B6=0,1000000000,IF(INDEX('calcA'!$D$60:$EQ$99,$B6,133)*IF($W6=1,ID6+AES6,ID6)=1,IF(AND($E6=2,IF($W6=1,AKH6,NS6)=0),1000000000,IF($V6=1,INDEX('calcA'!$D$130:$EQ$169,$B6,133)+IF(AND($E6=1,NS6=0),25,0),IF($F6&gt;0,INDEX('calcA'!EF$110:EF$114,$F6+1)+IF(AND($E6=1,NS6=0),1000,0),MIN(TZ6,20)*400+(IF('calcA'!EE$106=1,1-IC6,0)+IF('calcA'!EF$106=1,1-IE6,0))*150+136+'calcA'!EF$5*100000+IF(AND($E6=1,NS6=0),50000,0))+IF($H6=1,INDEX('calcA'!$D$180:$EQ$219,$B6,133)*4000,0)-IF(AND('calcA'!EE$117=1,ZC6&gt;0),2000,0)-IF(AND($U6=1,'calcA'!EF$117=1,IE6=0),2000,0))),1000000000))</f>
        <v/>
      </c>
      <c r="TI6">
        <f>IF($B6=0,1000000000,IF(INDEX('calcA'!$D$60:$EQ$99,$B6,134)*IF($W6=1,IE6+AET6,IE6)=1,IF(AND($E6=2,IF($W6=1,AKI6,NT6)=0),1000000000,IF($V6=1,INDEX('calcA'!$D$130:$EQ$169,$B6,134)+IF(AND($E6=1,NT6=0),25,0),IF($F6&gt;0,INDEX('calcA'!EG$110:EG$114,$F6+1)+IF(AND($E6=1,NT6=0),1000,0),MIN(TZ6,20)*400+(IF('calcA'!EF$106=1,1-ID6,0)+IF('calcA'!EG$106=1,1-IF6,0))*150+146+'calcA'!EG$5*100000+IF(AND($E6=1,NT6=0),50000,0))+IF($H6=1,INDEX('calcA'!$D$180:$EQ$219,$B6,134)*4000,0)-IF(AND('calcA'!EF$117=1,ZD6&gt;0),2000,0)-IF(AND($U6=1,'calcA'!EG$117=1,IF6=0),2000,0))),1000000000))</f>
        <v/>
      </c>
      <c r="TJ6">
        <f>IF($B6=0,1000000000,IF(INDEX('calcA'!$D$60:$EQ$99,$B6,135)*IF($W6=1,IF6+AEU6,IF6)=1,IF(AND($E6=2,IF($W6=1,AKJ6,NU6)=0),1000000000,IF($V6=1,INDEX('calcA'!$D$130:$EQ$169,$B6,135)+IF(AND($E6=1,NU6=0),25,0),IF($F6&gt;0,INDEX('calcA'!EH$110:EH$114,$F6+1)+IF(AND($E6=1,NU6=0),1000,0),MIN(TZ6,20)*400+(IF('calcA'!EG$106=1,1-IE6,0)+IF('calcA'!EH$106=1,1-IG6,0))*150+156+'calcA'!EH$5*100000+IF(AND($E6=1,NU6=0),50000,0))+IF($H6=1,INDEX('calcA'!$D$180:$EQ$219,$B6,135)*4000,0)-IF(AND('calcA'!EG$117=1,ZE6&gt;0),2000,0)-IF(AND($U6=1,'calcA'!EH$117=1,IG6=0),2000,0))),1000000000))</f>
        <v/>
      </c>
      <c r="TK6">
        <f>IF($B6=0,1000000000,IF(INDEX('calcA'!$D$60:$EQ$99,$B6,136)*IF($W6=1,IG6+AEV6,IG6)=1,IF(AND($E6=2,IF($W6=1,AKK6,NV6)=0),1000000000,IF($V6=1,INDEX('calcA'!$D$130:$EQ$169,$B6,136)+IF(AND($E6=1,NV6=0),25,0),IF($F6&gt;0,INDEX('calcA'!EI$110:EI$114,$F6+1)+IF(AND($E6=1,NV6=0),1000,0),MIN(TZ6,20)*400+(IF('calcA'!EH$106=1,1-IF6,0)+IF('calcA'!EI$106=1,1-IH6,0))*150+166+'calcA'!EI$5*100000+IF(AND($E6=1,NV6=0),50000,0))+IF($H6=1,INDEX('calcA'!$D$180:$EQ$219,$B6,136)*4000,0)-IF(AND('calcA'!EH$117=1,ZF6&gt;0),2000,0)-IF(AND($U6=1,'calcA'!EI$117=1,IH6=0),2000,0))),1000000000))</f>
        <v/>
      </c>
      <c r="TL6">
        <f>IF($B6=0,1000000000,IF(INDEX('calcA'!$D$60:$EQ$99,$B6,137)*IF($W6=1,IH6+AEW6,IH6)=1,IF(AND($E6=2,IF($W6=1,AKL6,NW6)=0),1000000000,IF($V6=1,INDEX('calcA'!$D$130:$EQ$169,$B6,137)+IF(AND($E6=1,NW6=0),25,0),IF($F6&gt;0,INDEX('calcA'!EJ$110:EJ$114,$F6+1)+IF(AND($E6=1,NW6=0),1000,0),MIN(TZ6,20)*400+(IF('calcA'!EI$106=1,1-IG6,0)+IF('calcA'!EJ$106=1,1-II6,0))*150+176+'calcA'!EJ$5*100000+IF(AND($E6=1,NW6=0),50000,0))+IF($H6=1,INDEX('calcA'!$D$180:$EQ$219,$B6,137)*4000,0)-IF(AND('calcA'!EI$117=1,ZG6&gt;0),2000,0)-IF(AND($U6=1,'calcA'!EJ$117=1,II6=0),2000,0))),1000000000))</f>
        <v/>
      </c>
      <c r="TM6">
        <f>IF($B6=0,1000000000,IF(INDEX('calcA'!$D$60:$EQ$99,$B6,138)*IF($W6=1,II6+AEX6,II6)=1,IF(AND($E6=2,IF($W6=1,AKM6,NX6)=0),1000000000,IF($V6=1,INDEX('calcA'!$D$130:$EQ$169,$B6,138)+IF(AND($E6=1,NX6=0),25,0),IF($F6&gt;0,INDEX('calcA'!EK$110:EK$114,$F6+1)+IF(AND($E6=1,NX6=0),1000,0),MIN(TZ6,20)*400+(IF('calcA'!EJ$106=1,1-IH6,0)+IF('calcA'!EK$106=1,1-IJ6,0))*150+186+'calcA'!EK$5*100000+IF(AND($E6=1,NX6=0),50000,0))+IF($H6=1,INDEX('calcA'!$D$180:$EQ$219,$B6,138)*4000,0)-IF(AND('calcA'!EJ$117=1,ZH6&gt;0),2000,0)-IF(AND($U6=1,'calcA'!EK$117=1,IJ6=0),2000,0))),1000000000))</f>
        <v/>
      </c>
      <c r="TN6">
        <f>IF($B6=0,1000000000,IF(INDEX('calcA'!$D$60:$EQ$99,$B6,139)*IF($W6=1,IJ6+AEY6,IJ6)=1,IF(AND($E6=2,IF($W6=1,AKN6,NY6)=0),1000000000,IF($V6=1,INDEX('calcA'!$D$130:$EQ$169,$B6,139)+IF(AND($E6=1,NY6=0),25,0),IF($F6&gt;0,INDEX('calcA'!EL$110:EL$114,$F6+1)+IF(AND($E6=1,NY6=0),1000,0),MIN(TZ6,20)*400+(IF('calcA'!EK$106=1,1-II6,0)+IF('calcA'!EL$106=1,1-IK6,0))*150+196+'calcA'!EL$5*100000+IF(AND($E6=1,NY6=0),50000,0))+IF($H6=1,INDEX('calcA'!$D$180:$EQ$219,$B6,139)*4000,0)-IF(AND('calcA'!EK$117=1,ZI6&gt;0),2000,0)-IF(AND($U6=1,'calcA'!EL$117=1,IK6=0),2000,0))),1000000000))</f>
        <v/>
      </c>
      <c r="TO6">
        <f>IF($B6=0,1000000000,IF(INDEX('calcA'!$D$60:$EQ$99,$B6,140)*IF($W6=1,IK6+AEZ6,IK6)=1,IF(AND($E6=2,IF($W6=1,AKO6,NZ6)=0),1000000000,IF($V6=1,INDEX('calcA'!$D$130:$EQ$169,$B6,140)+IF(AND($E6=1,NZ6=0),25,0),IF($F6&gt;0,INDEX('calcA'!EM$110:EM$114,$F6+1)+IF(AND($E6=1,NZ6=0),1000,0),MIN(TZ6,20)*400+(IF('calcA'!EL$106=1,1-IJ6,0)+IF('calcA'!EM$106=1,1-IL6,0))*150+206+'calcA'!EM$5*100000+IF(AND($E6=1,NZ6=0),50000,0))+IF($H6=1,INDEX('calcA'!$D$180:$EQ$219,$B6,140)*4000,0)-IF(AND('calcA'!EL$117=1,ZJ6&gt;0),2000,0)-IF(AND($U6=1,'calcA'!EM$117=1,IL6=0),2000,0))),1000000000))</f>
        <v/>
      </c>
      <c r="TP6">
        <f>IF($B6=0,1000000000,IF(INDEX('calcA'!$D$60:$EQ$99,$B6,141)*IF($W6=1,IL6+AFA6,IL6)=1,IF(AND($E6=2,IF($W6=1,AKP6,OA6)=0),1000000000,IF($V6=1,INDEX('calcA'!$D$130:$EQ$169,$B6,141)+IF(AND($E6=1,OA6=0),25,0),IF($F6&gt;0,INDEX('calcA'!EN$110:EN$114,$F6+1)+IF(AND($E6=1,OA6=0),1000,0),MIN(TZ6,20)*400+(IF('calcA'!EM$106=1,1-IK6,0)+IF('calcA'!EN$106=1,1-IM6,0))*150+216+'calcA'!EN$5*100000+IF(AND($E6=1,OA6=0),50000,0))+IF($H6=1,INDEX('calcA'!$D$180:$EQ$219,$B6,141)*4000,0)-IF(AND('calcA'!EM$117=1,ZK6&gt;0),2000,0)-IF(AND($U6=1,'calcA'!EN$117=1,IM6=0),2000,0))),1000000000))</f>
        <v/>
      </c>
      <c r="TQ6">
        <f>IF($B6=0,1000000000,IF(INDEX('calcA'!$D$60:$EQ$99,$B6,142)*IF($W6=1,IM6+AFB6,IM6)=1,IF(AND($E6=2,IF($W6=1,AKQ6,OB6)=0),1000000000,IF($V6=1,INDEX('calcA'!$D$130:$EQ$169,$B6,142)+IF(AND($E6=1,OB6=0),25,0),IF($F6&gt;0,INDEX('calcA'!EO$110:EO$114,$F6+1)+IF(AND($E6=1,OB6=0),1000,0),MIN(TZ6,20)*400+(IF('calcA'!EN$106=1,1-IL6,0)+IF('calcA'!EO$106=1,1-IN6,0))*150+226+'calcA'!EO$5*100000+IF(AND($E6=1,OB6=0),50000,0))+IF($H6=1,INDEX('calcA'!$D$180:$EQ$219,$B6,142)*4000,0)-IF(AND('calcA'!EN$117=1,ZL6&gt;0),2000,0)-IF(AND($U6=1,'calcA'!EO$117=1,IN6=0),2000,0))),1000000000))</f>
        <v/>
      </c>
      <c r="TR6">
        <f>IF($B6=0,1000000000,IF(INDEX('calcA'!$D$60:$EQ$99,$B6,143)*IF($W6=1,IN6+AFC6,IN6)=1,IF(AND($E6=2,IF($W6=1,AKR6,OC6)=0),1000000000,IF($V6=1,INDEX('calcA'!$D$130:$EQ$169,$B6,143)+IF(AND($E6=1,OC6=0),25,0),IF($F6&gt;0,INDEX('calcA'!EP$110:EP$114,$F6+1)+IF(AND($E6=1,OC6=0),1000,0),MIN(TZ6,20)*400+(IF('calcA'!EO$106=1,1-IM6,0)+IF('calcA'!EP$106=1,1-IO6,0))*150+236+'calcA'!EP$5*100000+IF(AND($E6=1,OC6=0),50000,0))+IF($H6=1,INDEX('calcA'!$D$180:$EQ$219,$B6,143)*4000,0)-IF(AND('calcA'!EO$117=1,ZM6&gt;0),2000,0)-IF(AND($U6=1,'calcA'!EP$117=1,IO6=0),2000,0))),1000000000))</f>
        <v/>
      </c>
      <c r="TS6">
        <f>IF($B6=0,1000000000,IF(INDEX('calcA'!$D$60:$EQ$99,$B6,144)*IF($W6=1,IO6+AFD6,IO6)=1,IF(AND($E6=2,IF($W6=1,AKS6,OD6)=0),1000000000,IF($V6=1,INDEX('calcA'!$D$130:$EQ$169,$B6,144)+IF(AND($E6=1,OD6=0),25,0),IF($F6&gt;0,INDEX('calcA'!EQ$110:EQ$114,$F6+1)+IF(AND($E6=1,OD6=0),1000,0),MIN(TZ6,20)*400+(IF('calcA'!EP$106=1,1-IN6,0))*150+246+'calcA'!EQ$5*100000+IF(AND($E6=1,OD6=0),50000,0))+IF($H6=1,INDEX('calcA'!$D$180:$EQ$219,$B6,144)*4000,0)-IF(AND('calcA'!EP$117=1,ZN6&gt;0),2000,0))),1000000000))</f>
        <v/>
      </c>
      <c r="TU6">
        <f>TU5+IF($C5&gt;0,IF(INDEX('calcA'!$D$2:$EQ$2,$C5)=1,1,0),0)</f>
        <v/>
      </c>
      <c r="TV6">
        <f>TV5+IF($C5&gt;0,IF(INDEX('calcA'!$D$2:$EQ$2,$C5)=2,1,0),0)</f>
        <v/>
      </c>
      <c r="TW6">
        <f>TW5+IF($C5&gt;0,IF(INDEX('calcA'!$D$2:$EQ$2,$C5)=3,1,0),0)</f>
        <v/>
      </c>
      <c r="TX6">
        <f>TX5+IF($C5&gt;0,IF(INDEX('calcA'!$D$2:$EQ$2,$C5)=4,1,0),0)</f>
        <v/>
      </c>
      <c r="TY6">
        <f>TY5+IF($C5&gt;0,IF(INDEX('calcA'!$D$2:$EQ$2,$C5)=5,1,0),0)</f>
        <v/>
      </c>
      <c r="TZ6">
        <f>TZ5+IF($C5&gt;0,IF(INDEX('calcA'!$D$2:$EQ$2,$C5)=6,1,0),0)</f>
        <v/>
      </c>
      <c r="UB6">
        <f>UB5+IF(AND($C5=1,$U5=1),1,0)</f>
        <v/>
      </c>
      <c r="UC6">
        <f>UC5+IF(AND($C5=2,$U5=1),1,0)</f>
        <v/>
      </c>
      <c r="UD6">
        <f>UD5+IF(AND($C5=3,$U5=1),1,0)</f>
        <v/>
      </c>
      <c r="UE6">
        <f>UE5+IF(AND($C5=4,$U5=1),1,0)</f>
        <v/>
      </c>
      <c r="UF6">
        <f>UF5+IF(AND($C5=5,$U5=1),1,0)</f>
        <v/>
      </c>
      <c r="UG6">
        <f>UG5+IF(AND($C5=6,$U5=1),1,0)</f>
        <v/>
      </c>
      <c r="UH6">
        <f>UH5+IF(AND($C5=7,$U5=1),1,0)</f>
        <v/>
      </c>
      <c r="UI6">
        <f>UI5+IF(AND($C5=8,$U5=1),1,0)</f>
        <v/>
      </c>
      <c r="UJ6">
        <f>UJ5+IF(AND($C5=9,$U5=1),1,0)</f>
        <v/>
      </c>
      <c r="UK6">
        <f>UK5+IF(AND($C5=10,$U5=1),1,0)</f>
        <v/>
      </c>
      <c r="UL6">
        <f>UL5+IF(AND($C5=11,$U5=1),1,0)</f>
        <v/>
      </c>
      <c r="UM6">
        <f>UM5+IF(AND($C5=12,$U5=1),1,0)</f>
        <v/>
      </c>
      <c r="UN6">
        <f>UN5+IF(AND($C5=13,$U5=1),1,0)</f>
        <v/>
      </c>
      <c r="UO6">
        <f>UO5+IF(AND($C5=14,$U5=1),1,0)</f>
        <v/>
      </c>
      <c r="UP6">
        <f>UP5+IF(AND($C5=15,$U5=1),1,0)</f>
        <v/>
      </c>
      <c r="UQ6">
        <f>UQ5+IF(AND($C5=16,$U5=1),1,0)</f>
        <v/>
      </c>
      <c r="UR6">
        <f>UR5+IF(AND($C5=17,$U5=1),1,0)</f>
        <v/>
      </c>
      <c r="US6">
        <f>US5+IF(AND($C5=18,$U5=1),1,0)</f>
        <v/>
      </c>
      <c r="UT6">
        <f>UT5+IF(AND($C5=19,$U5=1),1,0)</f>
        <v/>
      </c>
      <c r="UU6">
        <f>UU5+IF(AND($C5=20,$U5=1),1,0)</f>
        <v/>
      </c>
      <c r="UV6">
        <f>UV5+IF(AND($C5=21,$U5=1),1,0)</f>
        <v/>
      </c>
      <c r="UW6">
        <f>UW5+IF(AND($C5=22,$U5=1),1,0)</f>
        <v/>
      </c>
      <c r="UX6">
        <f>UX5+IF(AND($C5=23,$U5=1),1,0)</f>
        <v/>
      </c>
      <c r="UY6">
        <f>UY5+IF(AND($C5=24,$U5=1),1,0)</f>
        <v/>
      </c>
      <c r="UZ6">
        <f>UZ5+IF(AND($C5=25,$U5=1),1,0)</f>
        <v/>
      </c>
      <c r="VA6">
        <f>VA5+IF(AND($C5=26,$U5=1),1,0)</f>
        <v/>
      </c>
      <c r="VB6">
        <f>VB5+IF(AND($C5=27,$U5=1),1,0)</f>
        <v/>
      </c>
      <c r="VC6">
        <f>VC5+IF(AND($C5=28,$U5=1),1,0)</f>
        <v/>
      </c>
      <c r="VD6">
        <f>VD5+IF(AND($C5=29,$U5=1),1,0)</f>
        <v/>
      </c>
      <c r="VE6">
        <f>VE5+IF(AND($C5=30,$U5=1),1,0)</f>
        <v/>
      </c>
      <c r="VF6">
        <f>VF5+IF(AND($C5=31,$U5=1),1,0)</f>
        <v/>
      </c>
      <c r="VG6">
        <f>VG5+IF(AND($C5=32,$U5=1),1,0)</f>
        <v/>
      </c>
      <c r="VH6">
        <f>VH5+IF(AND($C5=33,$U5=1),1,0)</f>
        <v/>
      </c>
      <c r="VI6">
        <f>VI5+IF(AND($C5=34,$U5=1),1,0)</f>
        <v/>
      </c>
      <c r="VJ6">
        <f>VJ5+IF(AND($C5=35,$U5=1),1,0)</f>
        <v/>
      </c>
      <c r="VK6">
        <f>VK5+IF(AND($C5=36,$U5=1),1,0)</f>
        <v/>
      </c>
      <c r="VL6">
        <f>VL5+IF(AND($C5=37,$U5=1),1,0)</f>
        <v/>
      </c>
      <c r="VM6">
        <f>VM5+IF(AND($C5=38,$U5=1),1,0)</f>
        <v/>
      </c>
      <c r="VN6">
        <f>VN5+IF(AND($C5=39,$U5=1),1,0)</f>
        <v/>
      </c>
      <c r="VO6">
        <f>VO5+IF(AND($C5=40,$U5=1),1,0)</f>
        <v/>
      </c>
      <c r="VP6">
        <f>VP5+IF(AND($C5=41,$U5=1),1,0)</f>
        <v/>
      </c>
      <c r="VQ6">
        <f>VQ5+IF(AND($C5=42,$U5=1),1,0)</f>
        <v/>
      </c>
      <c r="VR6">
        <f>VR5+IF(AND($C5=43,$U5=1),1,0)</f>
        <v/>
      </c>
      <c r="VS6">
        <f>VS5+IF(AND($C5=44,$U5=1),1,0)</f>
        <v/>
      </c>
      <c r="VT6">
        <f>VT5+IF(AND($C5=45,$U5=1),1,0)</f>
        <v/>
      </c>
      <c r="VU6">
        <f>VU5+IF(AND($C5=46,$U5=1),1,0)</f>
        <v/>
      </c>
      <c r="VV6">
        <f>VV5+IF(AND($C5=47,$U5=1),1,0)</f>
        <v/>
      </c>
      <c r="VW6">
        <f>VW5+IF(AND($C5=48,$U5=1),1,0)</f>
        <v/>
      </c>
      <c r="VX6">
        <f>VX5+IF(AND($C5=49,$U5=1),1,0)</f>
        <v/>
      </c>
      <c r="VY6">
        <f>VY5+IF(AND($C5=50,$U5=1),1,0)</f>
        <v/>
      </c>
      <c r="VZ6">
        <f>VZ5+IF(AND($C5=51,$U5=1),1,0)</f>
        <v/>
      </c>
      <c r="WA6">
        <f>WA5+IF(AND($C5=52,$U5=1),1,0)</f>
        <v/>
      </c>
      <c r="WB6">
        <f>WB5+IF(AND($C5=53,$U5=1),1,0)</f>
        <v/>
      </c>
      <c r="WC6">
        <f>WC5+IF(AND($C5=54,$U5=1),1,0)</f>
        <v/>
      </c>
      <c r="WD6">
        <f>WD5+IF(AND($C5=55,$U5=1),1,0)</f>
        <v/>
      </c>
      <c r="WE6">
        <f>WE5+IF(AND($C5=56,$U5=1),1,0)</f>
        <v/>
      </c>
      <c r="WF6">
        <f>WF5+IF(AND($C5=57,$U5=1),1,0)</f>
        <v/>
      </c>
      <c r="WG6">
        <f>WG5+IF(AND($C5=58,$U5=1),1,0)</f>
        <v/>
      </c>
      <c r="WH6">
        <f>WH5+IF(AND($C5=59,$U5=1),1,0)</f>
        <v/>
      </c>
      <c r="WI6">
        <f>WI5+IF(AND($C5=60,$U5=1),1,0)</f>
        <v/>
      </c>
      <c r="WJ6">
        <f>WJ5+IF(AND($C5=61,$U5=1),1,0)</f>
        <v/>
      </c>
      <c r="WK6">
        <f>WK5+IF(AND($C5=62,$U5=1),1,0)</f>
        <v/>
      </c>
      <c r="WL6">
        <f>WL5+IF(AND($C5=63,$U5=1),1,0)</f>
        <v/>
      </c>
      <c r="WM6">
        <f>WM5+IF(AND($C5=64,$U5=1),1,0)</f>
        <v/>
      </c>
      <c r="WN6">
        <f>WN5+IF(AND($C5=65,$U5=1),1,0)</f>
        <v/>
      </c>
      <c r="WO6">
        <f>WO5+IF(AND($C5=66,$U5=1),1,0)</f>
        <v/>
      </c>
      <c r="WP6">
        <f>WP5+IF(AND($C5=67,$U5=1),1,0)</f>
        <v/>
      </c>
      <c r="WQ6">
        <f>WQ5+IF(AND($C5=68,$U5=1),1,0)</f>
        <v/>
      </c>
      <c r="WR6">
        <f>WR5+IF(AND($C5=69,$U5=1),1,0)</f>
        <v/>
      </c>
      <c r="WS6">
        <f>WS5+IF(AND($C5=70,$U5=1),1,0)</f>
        <v/>
      </c>
      <c r="WT6">
        <f>WT5+IF(AND($C5=71,$U5=1),1,0)</f>
        <v/>
      </c>
      <c r="WU6">
        <f>WU5+IF(AND($C5=72,$U5=1),1,0)</f>
        <v/>
      </c>
      <c r="WV6">
        <f>WV5+IF(AND($C5=73,$U5=1),1,0)</f>
        <v/>
      </c>
      <c r="WW6">
        <f>WW5+IF(AND($C5=74,$U5=1),1,0)</f>
        <v/>
      </c>
      <c r="WX6">
        <f>WX5+IF(AND($C5=75,$U5=1),1,0)</f>
        <v/>
      </c>
      <c r="WY6">
        <f>WY5+IF(AND($C5=76,$U5=1),1,0)</f>
        <v/>
      </c>
      <c r="WZ6">
        <f>WZ5+IF(AND($C5=77,$U5=1),1,0)</f>
        <v/>
      </c>
      <c r="XA6">
        <f>XA5+IF(AND($C5=78,$U5=1),1,0)</f>
        <v/>
      </c>
      <c r="XB6">
        <f>XB5+IF(AND($C5=79,$U5=1),1,0)</f>
        <v/>
      </c>
      <c r="XC6">
        <f>XC5+IF(AND($C5=80,$U5=1),1,0)</f>
        <v/>
      </c>
      <c r="XD6">
        <f>XD5+IF(AND($C5=81,$U5=1),1,0)</f>
        <v/>
      </c>
      <c r="XE6">
        <f>XE5+IF(AND($C5=82,$U5=1),1,0)</f>
        <v/>
      </c>
      <c r="XF6">
        <f>XF5+IF(AND($C5=83,$U5=1),1,0)</f>
        <v/>
      </c>
      <c r="XG6">
        <f>XG5+IF(AND($C5=84,$U5=1),1,0)</f>
        <v/>
      </c>
      <c r="XH6">
        <f>XH5+IF(AND($C5=85,$U5=1),1,0)</f>
        <v/>
      </c>
      <c r="XI6">
        <f>XI5+IF(AND($C5=86,$U5=1),1,0)</f>
        <v/>
      </c>
      <c r="XJ6">
        <f>XJ5+IF(AND($C5=87,$U5=1),1,0)</f>
        <v/>
      </c>
      <c r="XK6">
        <f>XK5+IF(AND($C5=88,$U5=1),1,0)</f>
        <v/>
      </c>
      <c r="XL6">
        <f>XL5+IF(AND($C5=89,$U5=1),1,0)</f>
        <v/>
      </c>
      <c r="XM6">
        <f>XM5+IF(AND($C5=90,$U5=1),1,0)</f>
        <v/>
      </c>
      <c r="XN6">
        <f>XN5+IF(AND($C5=91,$U5=1),1,0)</f>
        <v/>
      </c>
      <c r="XO6">
        <f>XO5+IF(AND($C5=92,$U5=1),1,0)</f>
        <v/>
      </c>
      <c r="XP6">
        <f>XP5+IF(AND($C5=93,$U5=1),1,0)</f>
        <v/>
      </c>
      <c r="XQ6">
        <f>XQ5+IF(AND($C5=94,$U5=1),1,0)</f>
        <v/>
      </c>
      <c r="XR6">
        <f>XR5+IF(AND($C5=95,$U5=1),1,0)</f>
        <v/>
      </c>
      <c r="XS6">
        <f>XS5+IF(AND($C5=96,$U5=1),1,0)</f>
        <v/>
      </c>
      <c r="XT6">
        <f>XT5+IF(AND($C5=97,$U5=1),1,0)</f>
        <v/>
      </c>
      <c r="XU6">
        <f>XU5+IF(AND($C5=98,$U5=1),1,0)</f>
        <v/>
      </c>
      <c r="XV6">
        <f>XV5+IF(AND($C5=99,$U5=1),1,0)</f>
        <v/>
      </c>
      <c r="XW6">
        <f>XW5+IF(AND($C5=100,$U5=1),1,0)</f>
        <v/>
      </c>
      <c r="XX6">
        <f>XX5+IF(AND($C5=101,$U5=1),1,0)</f>
        <v/>
      </c>
      <c r="XY6">
        <f>XY5+IF(AND($C5=102,$U5=1),1,0)</f>
        <v/>
      </c>
      <c r="XZ6">
        <f>XZ5+IF(AND($C5=103,$U5=1),1,0)</f>
        <v/>
      </c>
      <c r="YA6">
        <f>YA5+IF(AND($C5=104,$U5=1),1,0)</f>
        <v/>
      </c>
      <c r="YB6">
        <f>YB5+IF(AND($C5=105,$U5=1),1,0)</f>
        <v/>
      </c>
      <c r="YC6">
        <f>YC5+IF(AND($C5=106,$U5=1),1,0)</f>
        <v/>
      </c>
      <c r="YD6">
        <f>YD5+IF(AND($C5=107,$U5=1),1,0)</f>
        <v/>
      </c>
      <c r="YE6">
        <f>YE5+IF(AND($C5=108,$U5=1),1,0)</f>
        <v/>
      </c>
      <c r="YF6">
        <f>YF5+IF(AND($C5=109,$U5=1),1,0)</f>
        <v/>
      </c>
      <c r="YG6">
        <f>YG5+IF(AND($C5=110,$U5=1),1,0)</f>
        <v/>
      </c>
      <c r="YH6">
        <f>YH5+IF(AND($C5=111,$U5=1),1,0)</f>
        <v/>
      </c>
      <c r="YI6">
        <f>YI5+IF(AND($C5=112,$U5=1),1,0)</f>
        <v/>
      </c>
      <c r="YJ6">
        <f>YJ5+IF(AND($C5=113,$U5=1),1,0)</f>
        <v/>
      </c>
      <c r="YK6">
        <f>YK5+IF(AND($C5=114,$U5=1),1,0)</f>
        <v/>
      </c>
      <c r="YL6">
        <f>YL5+IF(AND($C5=115,$U5=1),1,0)</f>
        <v/>
      </c>
      <c r="YM6">
        <f>YM5+IF(AND($C5=116,$U5=1),1,0)</f>
        <v/>
      </c>
      <c r="YN6">
        <f>YN5+IF(AND($C5=117,$U5=1),1,0)</f>
        <v/>
      </c>
      <c r="YO6">
        <f>YO5+IF(AND($C5=118,$U5=1),1,0)</f>
        <v/>
      </c>
      <c r="YP6">
        <f>YP5+IF(AND($C5=119,$U5=1),1,0)</f>
        <v/>
      </c>
      <c r="YQ6">
        <f>YQ5+IF(AND($C5=120,$U5=1),1,0)</f>
        <v/>
      </c>
      <c r="YR6">
        <f>YR5+IF(AND($C5=121,$U5=1),1,0)</f>
        <v/>
      </c>
      <c r="YS6">
        <f>YS5+IF(AND($C5=122,$U5=1),1,0)</f>
        <v/>
      </c>
      <c r="YT6">
        <f>YT5+IF(AND($C5=123,$U5=1),1,0)</f>
        <v/>
      </c>
      <c r="YU6">
        <f>YU5+IF(AND($C5=124,$U5=1),1,0)</f>
        <v/>
      </c>
      <c r="YV6">
        <f>YV5+IF(AND($C5=125,$U5=1),1,0)</f>
        <v/>
      </c>
      <c r="YW6">
        <f>YW5+IF(AND($C5=126,$U5=1),1,0)</f>
        <v/>
      </c>
      <c r="YX6">
        <f>YX5+IF(AND($C5=127,$U5=1),1,0)</f>
        <v/>
      </c>
      <c r="YY6">
        <f>YY5+IF(AND($C5=128,$U5=1),1,0)</f>
        <v/>
      </c>
      <c r="YZ6">
        <f>YZ5+IF(AND($C5=129,$U5=1),1,0)</f>
        <v/>
      </c>
      <c r="ZA6">
        <f>ZA5+IF(AND($C5=130,$U5=1),1,0)</f>
        <v/>
      </c>
      <c r="ZB6">
        <f>ZB5+IF(AND($C5=131,$U5=1),1,0)</f>
        <v/>
      </c>
      <c r="ZC6">
        <f>ZC5+IF(AND($C5=132,$U5=1),1,0)</f>
        <v/>
      </c>
      <c r="ZD6">
        <f>ZD5+IF(AND($C5=133,$U5=1),1,0)</f>
        <v/>
      </c>
      <c r="ZE6">
        <f>ZE5+IF(AND($C5=134,$U5=1),1,0)</f>
        <v/>
      </c>
      <c r="ZF6">
        <f>ZF5+IF(AND($C5=135,$U5=1),1,0)</f>
        <v/>
      </c>
      <c r="ZG6">
        <f>ZG5+IF(AND($C5=136,$U5=1),1,0)</f>
        <v/>
      </c>
      <c r="ZH6">
        <f>ZH5+IF(AND($C5=137,$U5=1),1,0)</f>
        <v/>
      </c>
      <c r="ZI6">
        <f>ZI5+IF(AND($C5=138,$U5=1),1,0)</f>
        <v/>
      </c>
      <c r="ZJ6">
        <f>ZJ5+IF(AND($C5=139,$U5=1),1,0)</f>
        <v/>
      </c>
      <c r="ZK6">
        <f>ZK5+IF(AND($C5=140,$U5=1),1,0)</f>
        <v/>
      </c>
      <c r="ZL6">
        <f>ZL5+IF(AND($C5=141,$U5=1),1,0)</f>
        <v/>
      </c>
      <c r="ZM6">
        <f>ZM5+IF(AND($C5=142,$U5=1),1,0)</f>
        <v/>
      </c>
      <c r="ZN6">
        <f>ZN5+IF(AND($C5=143,$U5=1),1,0)</f>
        <v/>
      </c>
      <c r="ZO6">
        <f>ZO5+IF(AND($C5=144,$U5=1),1,0)</f>
        <v/>
      </c>
      <c r="ZQ6">
        <f>IF($C5=1,0,ZQ5+IF(AND($G5=1,$E5=1),1,0))</f>
        <v/>
      </c>
      <c r="ZR6">
        <f>IF($C5=2,0,ZR5+IF(AND($G5=2,$E5=1),1,0))</f>
        <v/>
      </c>
      <c r="ZS6">
        <f>IF($C5=3,0,ZS5+IF(AND($G5=3,$E5=1),1,0))</f>
        <v/>
      </c>
      <c r="ZT6">
        <f>IF($C5=4,0,ZT5+IF(AND($G5=4,$E5=1),1,0))</f>
        <v/>
      </c>
      <c r="ZU6">
        <f>IF($C5=5,0,ZU5+IF(AND($G5=5,$E5=1),1,0))</f>
        <v/>
      </c>
      <c r="ZV6">
        <f>IF($C5=6,0,ZV5+IF(AND($G5=6,$E5=1),1,0))</f>
        <v/>
      </c>
      <c r="ZW6">
        <f>IF($C5=7,0,ZW5+IF(AND($G5=7,$E5=1),1,0))</f>
        <v/>
      </c>
      <c r="ZX6">
        <f>IF($C5=8,0,ZX5+IF(AND($G5=8,$E5=1),1,0))</f>
        <v/>
      </c>
      <c r="ZY6">
        <f>IF($C5=9,0,ZY5+IF(AND($G5=9,$E5=1),1,0))</f>
        <v/>
      </c>
      <c r="ZZ6">
        <f>IF($C5=10,0,ZZ5+IF(AND($G5=10,$E5=1),1,0))</f>
        <v/>
      </c>
      <c r="AAA6">
        <f>IF($C5=11,0,AAA5+IF(AND($G5=11,$E5=1),1,0))</f>
        <v/>
      </c>
      <c r="AAB6">
        <f>IF($C5=12,0,AAB5+IF(AND($G5=12,$E5=1),1,0))</f>
        <v/>
      </c>
      <c r="AAC6">
        <f>IF($C5=13,0,AAC5+IF(AND($G5=13,$E5=1),1,0))</f>
        <v/>
      </c>
      <c r="AAD6">
        <f>IF($C5=14,0,AAD5+IF(AND($G5=14,$E5=1),1,0))</f>
        <v/>
      </c>
      <c r="AAE6">
        <f>IF($C5=15,0,AAE5+IF(AND($G5=15,$E5=1),1,0))</f>
        <v/>
      </c>
      <c r="AAF6">
        <f>IF($C5=16,0,AAF5+IF(AND($G5=16,$E5=1),1,0))</f>
        <v/>
      </c>
      <c r="AAG6">
        <f>IF($C5=17,0,AAG5+IF(AND($G5=17,$E5=1),1,0))</f>
        <v/>
      </c>
      <c r="AAH6">
        <f>IF($C5=18,0,AAH5+IF(AND($G5=18,$E5=1),1,0))</f>
        <v/>
      </c>
      <c r="AAI6">
        <f>IF($C5=19,0,AAI5+IF(AND($G5=19,$E5=1),1,0))</f>
        <v/>
      </c>
      <c r="AAJ6">
        <f>IF($C5=20,0,AAJ5+IF(AND($G5=20,$E5=1),1,0))</f>
        <v/>
      </c>
      <c r="AAK6">
        <f>IF($C5=21,0,AAK5+IF(AND($G5=21,$E5=1),1,0))</f>
        <v/>
      </c>
      <c r="AAL6">
        <f>IF($C5=22,0,AAL5+IF(AND($G5=22,$E5=1),1,0))</f>
        <v/>
      </c>
      <c r="AAM6">
        <f>IF($C5=23,0,AAM5+IF(AND($G5=23,$E5=1),1,0))</f>
        <v/>
      </c>
      <c r="AAN6">
        <f>IF($C5=24,0,AAN5+IF(AND($G5=24,$E5=1),1,0))</f>
        <v/>
      </c>
      <c r="AAO6">
        <f>IF($C5=25,0,AAO5+IF(AND($G5=25,$E5=1),1,0))</f>
        <v/>
      </c>
      <c r="AAP6">
        <f>IF($C5=26,0,AAP5+IF(AND($G5=26,$E5=1),1,0))</f>
        <v/>
      </c>
      <c r="AAQ6">
        <f>IF($C5=27,0,AAQ5+IF(AND($G5=27,$E5=1),1,0))</f>
        <v/>
      </c>
      <c r="AAR6">
        <f>IF($C5=28,0,AAR5+IF(AND($G5=28,$E5=1),1,0))</f>
        <v/>
      </c>
      <c r="AAS6">
        <f>IF($C5=29,0,AAS5+IF(AND($G5=29,$E5=1),1,0))</f>
        <v/>
      </c>
      <c r="AAT6">
        <f>IF($C5=30,0,AAT5+IF(AND($G5=30,$E5=1),1,0))</f>
        <v/>
      </c>
      <c r="AAU6">
        <f>IF($C5=31,0,AAU5+IF(AND($G5=31,$E5=1),1,0))</f>
        <v/>
      </c>
      <c r="AAV6">
        <f>IF($C5=32,0,AAV5+IF(AND($G5=32,$E5=1),1,0))</f>
        <v/>
      </c>
      <c r="AAW6">
        <f>IF($C5=33,0,AAW5+IF(AND($G5=33,$E5=1),1,0))</f>
        <v/>
      </c>
      <c r="AAX6">
        <f>IF($C5=34,0,AAX5+IF(AND($G5=34,$E5=1),1,0))</f>
        <v/>
      </c>
      <c r="AAY6">
        <f>IF($C5=35,0,AAY5+IF(AND($G5=35,$E5=1),1,0))</f>
        <v/>
      </c>
      <c r="AAZ6">
        <f>IF($C5=36,0,AAZ5+IF(AND($G5=36,$E5=1),1,0))</f>
        <v/>
      </c>
      <c r="ABA6">
        <f>IF($C5=37,0,ABA5+IF(AND($G5=37,$E5=1),1,0))</f>
        <v/>
      </c>
      <c r="ABB6">
        <f>IF($C5=38,0,ABB5+IF(AND($G5=38,$E5=1),1,0))</f>
        <v/>
      </c>
      <c r="ABC6">
        <f>IF($C5=39,0,ABC5+IF(AND($G5=39,$E5=1),1,0))</f>
        <v/>
      </c>
      <c r="ABD6">
        <f>IF($C5=40,0,ABD5+IF(AND($G5=40,$E5=1),1,0))</f>
        <v/>
      </c>
      <c r="ABE6">
        <f>IF($C5=41,0,ABE5+IF(AND($G5=41,$E5=1),1,0))</f>
        <v/>
      </c>
      <c r="ABF6">
        <f>IF($C5=42,0,ABF5+IF(AND($G5=42,$E5=1),1,0))</f>
        <v/>
      </c>
      <c r="ABG6">
        <f>IF($C5=43,0,ABG5+IF(AND($G5=43,$E5=1),1,0))</f>
        <v/>
      </c>
      <c r="ABH6">
        <f>IF($C5=44,0,ABH5+IF(AND($G5=44,$E5=1),1,0))</f>
        <v/>
      </c>
      <c r="ABI6">
        <f>IF($C5=45,0,ABI5+IF(AND($G5=45,$E5=1),1,0))</f>
        <v/>
      </c>
      <c r="ABJ6">
        <f>IF($C5=46,0,ABJ5+IF(AND($G5=46,$E5=1),1,0))</f>
        <v/>
      </c>
      <c r="ABK6">
        <f>IF($C5=47,0,ABK5+IF(AND($G5=47,$E5=1),1,0))</f>
        <v/>
      </c>
      <c r="ABL6">
        <f>IF($C5=48,0,ABL5+IF(AND($G5=48,$E5=1),1,0))</f>
        <v/>
      </c>
      <c r="ABM6">
        <f>IF($C5=49,0,ABM5+IF(AND($G5=49,$E5=1),1,0))</f>
        <v/>
      </c>
      <c r="ABN6">
        <f>IF($C5=50,0,ABN5+IF(AND($G5=50,$E5=1),1,0))</f>
        <v/>
      </c>
      <c r="ABO6">
        <f>IF($C5=51,0,ABO5+IF(AND($G5=51,$E5=1),1,0))</f>
        <v/>
      </c>
      <c r="ABP6">
        <f>IF($C5=52,0,ABP5+IF(AND($G5=52,$E5=1),1,0))</f>
        <v/>
      </c>
      <c r="ABQ6">
        <f>IF($C5=53,0,ABQ5+IF(AND($G5=53,$E5=1),1,0))</f>
        <v/>
      </c>
      <c r="ABR6">
        <f>IF($C5=54,0,ABR5+IF(AND($G5=54,$E5=1),1,0))</f>
        <v/>
      </c>
      <c r="ABS6">
        <f>IF($C5=55,0,ABS5+IF(AND($G5=55,$E5=1),1,0))</f>
        <v/>
      </c>
      <c r="ABT6">
        <f>IF($C5=56,0,ABT5+IF(AND($G5=56,$E5=1),1,0))</f>
        <v/>
      </c>
      <c r="ABU6">
        <f>IF($C5=57,0,ABU5+IF(AND($G5=57,$E5=1),1,0))</f>
        <v/>
      </c>
      <c r="ABV6">
        <f>IF($C5=58,0,ABV5+IF(AND($G5=58,$E5=1),1,0))</f>
        <v/>
      </c>
      <c r="ABW6">
        <f>IF($C5=59,0,ABW5+IF(AND($G5=59,$E5=1),1,0))</f>
        <v/>
      </c>
      <c r="ABX6">
        <f>IF($C5=60,0,ABX5+IF(AND($G5=60,$E5=1),1,0))</f>
        <v/>
      </c>
      <c r="ABY6">
        <f>IF($C5=61,0,ABY5+IF(AND($G5=61,$E5=1),1,0))</f>
        <v/>
      </c>
      <c r="ABZ6">
        <f>IF($C5=62,0,ABZ5+IF(AND($G5=62,$E5=1),1,0))</f>
        <v/>
      </c>
      <c r="ACA6">
        <f>IF($C5=63,0,ACA5+IF(AND($G5=63,$E5=1),1,0))</f>
        <v/>
      </c>
      <c r="ACB6">
        <f>IF($C5=64,0,ACB5+IF(AND($G5=64,$E5=1),1,0))</f>
        <v/>
      </c>
      <c r="ACC6">
        <f>IF($C5=65,0,ACC5+IF(AND($G5=65,$E5=1),1,0))</f>
        <v/>
      </c>
      <c r="ACD6">
        <f>IF($C5=66,0,ACD5+IF(AND($G5=66,$E5=1),1,0))</f>
        <v/>
      </c>
      <c r="ACE6">
        <f>IF($C5=67,0,ACE5+IF(AND($G5=67,$E5=1),1,0))</f>
        <v/>
      </c>
      <c r="ACF6">
        <f>IF($C5=68,0,ACF5+IF(AND($G5=68,$E5=1),1,0))</f>
        <v/>
      </c>
      <c r="ACG6">
        <f>IF($C5=69,0,ACG5+IF(AND($G5=69,$E5=1),1,0))</f>
        <v/>
      </c>
      <c r="ACH6">
        <f>IF($C5=70,0,ACH5+IF(AND($G5=70,$E5=1),1,0))</f>
        <v/>
      </c>
      <c r="ACI6">
        <f>IF($C5=71,0,ACI5+IF(AND($G5=71,$E5=1),1,0))</f>
        <v/>
      </c>
      <c r="ACJ6">
        <f>IF($C5=72,0,ACJ5+IF(AND($G5=72,$E5=1),1,0))</f>
        <v/>
      </c>
      <c r="ACK6">
        <f>IF($C5=73,0,ACK5+IF(AND($G5=73,$E5=1),1,0))</f>
        <v/>
      </c>
      <c r="ACL6">
        <f>IF($C5=74,0,ACL5+IF(AND($G5=74,$E5=1),1,0))</f>
        <v/>
      </c>
      <c r="ACM6">
        <f>IF($C5=75,0,ACM5+IF(AND($G5=75,$E5=1),1,0))</f>
        <v/>
      </c>
      <c r="ACN6">
        <f>IF($C5=76,0,ACN5+IF(AND($G5=76,$E5=1),1,0))</f>
        <v/>
      </c>
      <c r="ACO6">
        <f>IF($C5=77,0,ACO5+IF(AND($G5=77,$E5=1),1,0))</f>
        <v/>
      </c>
      <c r="ACP6">
        <f>IF($C5=78,0,ACP5+IF(AND($G5=78,$E5=1),1,0))</f>
        <v/>
      </c>
      <c r="ACQ6">
        <f>IF($C5=79,0,ACQ5+IF(AND($G5=79,$E5=1),1,0))</f>
        <v/>
      </c>
      <c r="ACR6">
        <f>IF($C5=80,0,ACR5+IF(AND($G5=80,$E5=1),1,0))</f>
        <v/>
      </c>
      <c r="ACS6">
        <f>IF($C5=81,0,ACS5+IF(AND($G5=81,$E5=1),1,0))</f>
        <v/>
      </c>
      <c r="ACT6">
        <f>IF($C5=82,0,ACT5+IF(AND($G5=82,$E5=1),1,0))</f>
        <v/>
      </c>
      <c r="ACU6">
        <f>IF($C5=83,0,ACU5+IF(AND($G5=83,$E5=1),1,0))</f>
        <v/>
      </c>
      <c r="ACV6">
        <f>IF($C5=84,0,ACV5+IF(AND($G5=84,$E5=1),1,0))</f>
        <v/>
      </c>
      <c r="ACW6">
        <f>IF($C5=85,0,ACW5+IF(AND($G5=85,$E5=1),1,0))</f>
        <v/>
      </c>
      <c r="ACX6">
        <f>IF($C5=86,0,ACX5+IF(AND($G5=86,$E5=1),1,0))</f>
        <v/>
      </c>
      <c r="ACY6">
        <f>IF($C5=87,0,ACY5+IF(AND($G5=87,$E5=1),1,0))</f>
        <v/>
      </c>
      <c r="ACZ6">
        <f>IF($C5=88,0,ACZ5+IF(AND($G5=88,$E5=1),1,0))</f>
        <v/>
      </c>
      <c r="ADA6">
        <f>IF($C5=89,0,ADA5+IF(AND($G5=89,$E5=1),1,0))</f>
        <v/>
      </c>
      <c r="ADB6">
        <f>IF($C5=90,0,ADB5+IF(AND($G5=90,$E5=1),1,0))</f>
        <v/>
      </c>
      <c r="ADC6">
        <f>IF($C5=91,0,ADC5+IF(AND($G5=91,$E5=1),1,0))</f>
        <v/>
      </c>
      <c r="ADD6">
        <f>IF($C5=92,0,ADD5+IF(AND($G5=92,$E5=1),1,0))</f>
        <v/>
      </c>
      <c r="ADE6">
        <f>IF($C5=93,0,ADE5+IF(AND($G5=93,$E5=1),1,0))</f>
        <v/>
      </c>
      <c r="ADF6">
        <f>IF($C5=94,0,ADF5+IF(AND($G5=94,$E5=1),1,0))</f>
        <v/>
      </c>
      <c r="ADG6">
        <f>IF($C5=95,0,ADG5+IF(AND($G5=95,$E5=1),1,0))</f>
        <v/>
      </c>
      <c r="ADH6">
        <f>IF($C5=96,0,ADH5+IF(AND($G5=96,$E5=1),1,0))</f>
        <v/>
      </c>
      <c r="ADI6">
        <f>IF($C5=97,0,ADI5+IF(AND($G5=97,$E5=1),1,0))</f>
        <v/>
      </c>
      <c r="ADJ6">
        <f>IF($C5=98,0,ADJ5+IF(AND($G5=98,$E5=1),1,0))</f>
        <v/>
      </c>
      <c r="ADK6">
        <f>IF($C5=99,0,ADK5+IF(AND($G5=99,$E5=1),1,0))</f>
        <v/>
      </c>
      <c r="ADL6">
        <f>IF($C5=100,0,ADL5+IF(AND($G5=100,$E5=1),1,0))</f>
        <v/>
      </c>
      <c r="ADM6">
        <f>IF($C5=101,0,ADM5+IF(AND($G5=101,$E5=1),1,0))</f>
        <v/>
      </c>
      <c r="ADN6">
        <f>IF($C5=102,0,ADN5+IF(AND($G5=102,$E5=1),1,0))</f>
        <v/>
      </c>
      <c r="ADO6">
        <f>IF($C5=103,0,ADO5+IF(AND($G5=103,$E5=1),1,0))</f>
        <v/>
      </c>
      <c r="ADP6">
        <f>IF($C5=104,0,ADP5+IF(AND($G5=104,$E5=1),1,0))</f>
        <v/>
      </c>
      <c r="ADQ6">
        <f>IF($C5=105,0,ADQ5+IF(AND($G5=105,$E5=1),1,0))</f>
        <v/>
      </c>
      <c r="ADR6">
        <f>IF($C5=106,0,ADR5+IF(AND($G5=106,$E5=1),1,0))</f>
        <v/>
      </c>
      <c r="ADS6">
        <f>IF($C5=107,0,ADS5+IF(AND($G5=107,$E5=1),1,0))</f>
        <v/>
      </c>
      <c r="ADT6">
        <f>IF($C5=108,0,ADT5+IF(AND($G5=108,$E5=1),1,0))</f>
        <v/>
      </c>
      <c r="ADU6">
        <f>IF($C5=109,0,ADU5+IF(AND($G5=109,$E5=1),1,0))</f>
        <v/>
      </c>
      <c r="ADV6">
        <f>IF($C5=110,0,ADV5+IF(AND($G5=110,$E5=1),1,0))</f>
        <v/>
      </c>
      <c r="ADW6">
        <f>IF($C5=111,0,ADW5+IF(AND($G5=111,$E5=1),1,0))</f>
        <v/>
      </c>
      <c r="ADX6">
        <f>IF($C5=112,0,ADX5+IF(AND($G5=112,$E5=1),1,0))</f>
        <v/>
      </c>
      <c r="ADY6">
        <f>IF($C5=113,0,ADY5+IF(AND($G5=113,$E5=1),1,0))</f>
        <v/>
      </c>
      <c r="ADZ6">
        <f>IF($C5=114,0,ADZ5+IF(AND($G5=114,$E5=1),1,0))</f>
        <v/>
      </c>
      <c r="AEA6">
        <f>IF($C5=115,0,AEA5+IF(AND($G5=115,$E5=1),1,0))</f>
        <v/>
      </c>
      <c r="AEB6">
        <f>IF($C5=116,0,AEB5+IF(AND($G5=116,$E5=1),1,0))</f>
        <v/>
      </c>
      <c r="AEC6">
        <f>IF($C5=117,0,AEC5+IF(AND($G5=117,$E5=1),1,0))</f>
        <v/>
      </c>
      <c r="AED6">
        <f>IF($C5=118,0,AED5+IF(AND($G5=118,$E5=1),1,0))</f>
        <v/>
      </c>
      <c r="AEE6">
        <f>IF($C5=119,0,AEE5+IF(AND($G5=119,$E5=1),1,0))</f>
        <v/>
      </c>
      <c r="AEF6">
        <f>IF($C5=120,0,AEF5+IF(AND($G5=120,$E5=1),1,0))</f>
        <v/>
      </c>
      <c r="AEG6">
        <f>IF($C5=121,0,AEG5+IF(AND($G5=121,$E5=1),1,0))</f>
        <v/>
      </c>
      <c r="AEH6">
        <f>IF($C5=122,0,AEH5+IF(AND($G5=122,$E5=1),1,0))</f>
        <v/>
      </c>
      <c r="AEI6">
        <f>IF($C5=123,0,AEI5+IF(AND($G5=123,$E5=1),1,0))</f>
        <v/>
      </c>
      <c r="AEJ6">
        <f>IF($C5=124,0,AEJ5+IF(AND($G5=124,$E5=1),1,0))</f>
        <v/>
      </c>
      <c r="AEK6">
        <f>IF($C5=125,0,AEK5+IF(AND($G5=125,$E5=1),1,0))</f>
        <v/>
      </c>
      <c r="AEL6">
        <f>IF($C5=126,0,AEL5+IF(AND($G5=126,$E5=1),1,0))</f>
        <v/>
      </c>
      <c r="AEM6">
        <f>IF($C5=127,0,AEM5+IF(AND($G5=127,$E5=1),1,0))</f>
        <v/>
      </c>
      <c r="AEN6">
        <f>IF($C5=128,0,AEN5+IF(AND($G5=128,$E5=1),1,0))</f>
        <v/>
      </c>
      <c r="AEO6">
        <f>IF($C5=129,0,AEO5+IF(AND($G5=129,$E5=1),1,0))</f>
        <v/>
      </c>
      <c r="AEP6">
        <f>IF($C5=130,0,AEP5+IF(AND($G5=130,$E5=1),1,0))</f>
        <v/>
      </c>
      <c r="AEQ6">
        <f>IF($C5=131,0,AEQ5+IF(AND($G5=131,$E5=1),1,0))</f>
        <v/>
      </c>
      <c r="AER6">
        <f>IF($C5=132,0,AER5+IF(AND($G5=132,$E5=1),1,0))</f>
        <v/>
      </c>
      <c r="AES6">
        <f>IF($C5=133,0,AES5+IF(AND($G5=133,$E5=1),1,0))</f>
        <v/>
      </c>
      <c r="AET6">
        <f>IF($C5=134,0,AET5+IF(AND($G5=134,$E5=1),1,0))</f>
        <v/>
      </c>
      <c r="AEU6">
        <f>IF($C5=135,0,AEU5+IF(AND($G5=135,$E5=1),1,0))</f>
        <v/>
      </c>
      <c r="AEV6">
        <f>IF($C5=136,0,AEV5+IF(AND($G5=136,$E5=1),1,0))</f>
        <v/>
      </c>
      <c r="AEW6">
        <f>IF($C5=137,0,AEW5+IF(AND($G5=137,$E5=1),1,0))</f>
        <v/>
      </c>
      <c r="AEX6">
        <f>IF($C5=138,0,AEX5+IF(AND($G5=138,$E5=1),1,0))</f>
        <v/>
      </c>
      <c r="AEY6">
        <f>IF($C5=139,0,AEY5+IF(AND($G5=139,$E5=1),1,0))</f>
        <v/>
      </c>
      <c r="AEZ6">
        <f>IF($C5=140,0,AEZ5+IF(AND($G5=140,$E5=1),1,0))</f>
        <v/>
      </c>
      <c r="AFA6">
        <f>IF($C5=141,0,AFA5+IF(AND($G5=141,$E5=1),1,0))</f>
        <v/>
      </c>
      <c r="AFB6">
        <f>IF($C5=142,0,AFB5+IF(AND($G5=142,$E5=1),1,0))</f>
        <v/>
      </c>
      <c r="AFC6">
        <f>IF($C5=143,0,AFC5+IF(AND($G5=143,$E5=1),1,0))</f>
        <v/>
      </c>
      <c r="AFD6">
        <f>IF($C5=144,0,AFD5+IF(AND($G5=144,$E5=1),1,0))</f>
        <v/>
      </c>
      <c r="AFF6">
        <f>IF('calcA'!D$106=1,DC6+ZR6,1)</f>
        <v/>
      </c>
      <c r="AFG6">
        <f>IF('calcA'!E$106=1,DD6+ZS6,1)</f>
        <v/>
      </c>
      <c r="AFH6">
        <f>IF('calcA'!F$106=1,DE6+ZT6,1)</f>
        <v/>
      </c>
      <c r="AFI6">
        <f>IF('calcA'!G$106=1,DF6+ZU6,1)</f>
        <v/>
      </c>
      <c r="AFJ6">
        <f>IF('calcA'!H$106=1,DG6+ZV6,1)</f>
        <v/>
      </c>
      <c r="AFK6">
        <f>IF('calcA'!I$106=1,DH6+ZW6,1)</f>
        <v/>
      </c>
      <c r="AFL6">
        <f>IF('calcA'!J$106=1,DI6+ZX6,1)</f>
        <v/>
      </c>
      <c r="AFM6">
        <f>IF('calcA'!K$106=1,DJ6+ZY6,1)</f>
        <v/>
      </c>
      <c r="AFN6">
        <f>IF('calcA'!L$106=1,DK6+ZZ6,1)</f>
        <v/>
      </c>
      <c r="AFO6">
        <f>IF('calcA'!M$106=1,DL6+AAA6,1)</f>
        <v/>
      </c>
      <c r="AFP6">
        <f>IF('calcA'!N$106=1,DM6+AAB6,1)</f>
        <v/>
      </c>
      <c r="AFQ6">
        <f>IF('calcA'!O$106=1,DN6+AAC6,1)</f>
        <v/>
      </c>
      <c r="AFR6">
        <f>IF('calcA'!P$106=1,DO6+AAD6,1)</f>
        <v/>
      </c>
      <c r="AFS6">
        <f>IF('calcA'!Q$106=1,DP6+AAE6,1)</f>
        <v/>
      </c>
      <c r="AFT6">
        <f>IF('calcA'!R$106=1,DQ6+AAF6,1)</f>
        <v/>
      </c>
      <c r="AFU6">
        <f>IF('calcA'!S$106=1,DR6+AAG6,1)</f>
        <v/>
      </c>
      <c r="AFV6">
        <f>IF('calcA'!T$106=1,DS6+AAH6,1)</f>
        <v/>
      </c>
      <c r="AFW6">
        <f>IF('calcA'!U$106=1,DT6+AAI6,1)</f>
        <v/>
      </c>
      <c r="AFX6">
        <f>IF('calcA'!V$106=1,DU6+AAJ6,1)</f>
        <v/>
      </c>
      <c r="AFY6">
        <f>IF('calcA'!W$106=1,DV6+AAK6,1)</f>
        <v/>
      </c>
      <c r="AFZ6">
        <f>IF('calcA'!X$106=1,DW6+AAL6,1)</f>
        <v/>
      </c>
      <c r="AGA6">
        <f>IF('calcA'!Y$106=1,DX6+AAM6,1)</f>
        <v/>
      </c>
      <c r="AGB6">
        <f>IF('calcA'!Z$106=1,DY6+AAN6,1)</f>
        <v/>
      </c>
      <c r="AGC6">
        <f>IF('calcA'!AA$106=1,DZ6+AAO6,1)</f>
        <v/>
      </c>
      <c r="AGD6">
        <f>IF('calcA'!AB$106=1,EA6+AAP6,1)</f>
        <v/>
      </c>
      <c r="AGE6">
        <f>IF('calcA'!AC$106=1,EB6+AAQ6,1)</f>
        <v/>
      </c>
      <c r="AGF6">
        <f>IF('calcA'!AD$106=1,EC6+AAR6,1)</f>
        <v/>
      </c>
      <c r="AGG6">
        <f>IF('calcA'!AE$106=1,ED6+AAS6,1)</f>
        <v/>
      </c>
      <c r="AGH6">
        <f>IF('calcA'!AF$106=1,EE6+AAT6,1)</f>
        <v/>
      </c>
      <c r="AGI6">
        <f>IF('calcA'!AG$106=1,EF6+AAU6,1)</f>
        <v/>
      </c>
      <c r="AGJ6">
        <f>IF('calcA'!AH$106=1,EG6+AAV6,1)</f>
        <v/>
      </c>
      <c r="AGK6">
        <f>IF('calcA'!AI$106=1,EH6+AAW6,1)</f>
        <v/>
      </c>
      <c r="AGL6">
        <f>IF('calcA'!AJ$106=1,EI6+AAX6,1)</f>
        <v/>
      </c>
      <c r="AGM6">
        <f>IF('calcA'!AK$106=1,EJ6+AAY6,1)</f>
        <v/>
      </c>
      <c r="AGN6">
        <f>IF('calcA'!AL$106=1,EK6+AAZ6,1)</f>
        <v/>
      </c>
      <c r="AGO6">
        <f>IF('calcA'!AM$106=1,EL6+ABA6,1)</f>
        <v/>
      </c>
      <c r="AGP6">
        <f>IF('calcA'!AN$106=1,EM6+ABB6,1)</f>
        <v/>
      </c>
      <c r="AGQ6">
        <f>IF('calcA'!AO$106=1,EN6+ABC6,1)</f>
        <v/>
      </c>
      <c r="AGR6">
        <f>IF('calcA'!AP$106=1,EO6+ABD6,1)</f>
        <v/>
      </c>
      <c r="AGS6">
        <f>IF('calcA'!AQ$106=1,EP6+ABE6,1)</f>
        <v/>
      </c>
      <c r="AGT6">
        <f>IF('calcA'!AR$106=1,EQ6+ABF6,1)</f>
        <v/>
      </c>
      <c r="AGU6">
        <f>IF('calcA'!AS$106=1,ER6+ABG6,1)</f>
        <v/>
      </c>
      <c r="AGV6">
        <f>IF('calcA'!AT$106=1,ES6+ABH6,1)</f>
        <v/>
      </c>
      <c r="AGW6">
        <f>IF('calcA'!AU$106=1,ET6+ABI6,1)</f>
        <v/>
      </c>
      <c r="AGX6">
        <f>IF('calcA'!AV$106=1,EU6+ABJ6,1)</f>
        <v/>
      </c>
      <c r="AGY6">
        <f>IF('calcA'!AW$106=1,EV6+ABK6,1)</f>
        <v/>
      </c>
      <c r="AGZ6">
        <f>IF('calcA'!AX$106=1,EW6+ABL6,1)</f>
        <v/>
      </c>
      <c r="AHA6">
        <f>IF('calcA'!AY$106=1,EX6+ABM6,1)</f>
        <v/>
      </c>
      <c r="AHB6">
        <f>IF('calcA'!AZ$106=1,EY6+ABN6,1)</f>
        <v/>
      </c>
      <c r="AHC6">
        <f>IF('calcA'!BA$106=1,EZ6+ABO6,1)</f>
        <v/>
      </c>
      <c r="AHD6">
        <f>IF('calcA'!BB$106=1,FA6+ABP6,1)</f>
        <v/>
      </c>
      <c r="AHE6">
        <f>IF('calcA'!BC$106=1,FB6+ABQ6,1)</f>
        <v/>
      </c>
      <c r="AHF6">
        <f>IF('calcA'!BD$106=1,FC6+ABR6,1)</f>
        <v/>
      </c>
      <c r="AHG6">
        <f>IF('calcA'!BE$106=1,FD6+ABS6,1)</f>
        <v/>
      </c>
      <c r="AHH6">
        <f>IF('calcA'!BF$106=1,FE6+ABT6,1)</f>
        <v/>
      </c>
      <c r="AHI6">
        <f>IF('calcA'!BG$106=1,FF6+ABU6,1)</f>
        <v/>
      </c>
      <c r="AHJ6">
        <f>IF('calcA'!BH$106=1,FG6+ABV6,1)</f>
        <v/>
      </c>
      <c r="AHK6">
        <f>IF('calcA'!BI$106=1,FH6+ABW6,1)</f>
        <v/>
      </c>
      <c r="AHL6">
        <f>IF('calcA'!BJ$106=1,FI6+ABX6,1)</f>
        <v/>
      </c>
      <c r="AHM6">
        <f>IF('calcA'!BK$106=1,FJ6+ABY6,1)</f>
        <v/>
      </c>
      <c r="AHN6">
        <f>IF('calcA'!BL$106=1,FK6+ABZ6,1)</f>
        <v/>
      </c>
      <c r="AHO6">
        <f>IF('calcA'!BM$106=1,FL6+ACA6,1)</f>
        <v/>
      </c>
      <c r="AHP6">
        <f>IF('calcA'!BN$106=1,FM6+ACB6,1)</f>
        <v/>
      </c>
      <c r="AHQ6">
        <f>IF('calcA'!BO$106=1,FN6+ACC6,1)</f>
        <v/>
      </c>
      <c r="AHR6">
        <f>IF('calcA'!BP$106=1,FO6+ACD6,1)</f>
        <v/>
      </c>
      <c r="AHS6">
        <f>IF('calcA'!BQ$106=1,FP6+ACE6,1)</f>
        <v/>
      </c>
      <c r="AHT6">
        <f>IF('calcA'!BR$106=1,FQ6+ACF6,1)</f>
        <v/>
      </c>
      <c r="AHU6">
        <f>IF('calcA'!BS$106=1,FR6+ACG6,1)</f>
        <v/>
      </c>
      <c r="AHV6">
        <f>IF('calcA'!BT$106=1,FS6+ACH6,1)</f>
        <v/>
      </c>
      <c r="AHW6">
        <f>IF('calcA'!BU$106=1,FT6+ACI6,1)</f>
        <v/>
      </c>
      <c r="AHX6">
        <f>IF('calcA'!BV$106=1,FU6+ACJ6,1)</f>
        <v/>
      </c>
      <c r="AHY6">
        <f>IF('calcA'!BW$106=1,FV6+ACK6,1)</f>
        <v/>
      </c>
      <c r="AHZ6">
        <f>IF('calcA'!BX$106=1,FW6+ACL6,1)</f>
        <v/>
      </c>
      <c r="AIA6">
        <f>IF('calcA'!BY$106=1,FX6+ACM6,1)</f>
        <v/>
      </c>
      <c r="AIB6">
        <f>IF('calcA'!BZ$106=1,FY6+ACN6,1)</f>
        <v/>
      </c>
      <c r="AIC6">
        <f>IF('calcA'!CA$106=1,FZ6+ACO6,1)</f>
        <v/>
      </c>
      <c r="AID6">
        <f>IF('calcA'!CB$106=1,GA6+ACP6,1)</f>
        <v/>
      </c>
      <c r="AIE6">
        <f>IF('calcA'!CC$106=1,GB6+ACQ6,1)</f>
        <v/>
      </c>
      <c r="AIF6">
        <f>IF('calcA'!CD$106=1,GC6+ACR6,1)</f>
        <v/>
      </c>
      <c r="AIG6">
        <f>IF('calcA'!CE$106=1,GD6+ACS6,1)</f>
        <v/>
      </c>
      <c r="AIH6">
        <f>IF('calcA'!CF$106=1,GE6+ACT6,1)</f>
        <v/>
      </c>
      <c r="AII6">
        <f>IF('calcA'!CG$106=1,GF6+ACU6,1)</f>
        <v/>
      </c>
      <c r="AIJ6">
        <f>IF('calcA'!CH$106=1,GG6+ACV6,1)</f>
        <v/>
      </c>
      <c r="AIK6">
        <f>IF('calcA'!CI$106=1,GH6+ACW6,1)</f>
        <v/>
      </c>
      <c r="AIL6">
        <f>IF('calcA'!CJ$106=1,GI6+ACX6,1)</f>
        <v/>
      </c>
      <c r="AIM6">
        <f>IF('calcA'!CK$106=1,GJ6+ACY6,1)</f>
        <v/>
      </c>
      <c r="AIN6">
        <f>IF('calcA'!CL$106=1,GK6+ACZ6,1)</f>
        <v/>
      </c>
      <c r="AIO6">
        <f>IF('calcA'!CM$106=1,GL6+ADA6,1)</f>
        <v/>
      </c>
      <c r="AIP6">
        <f>IF('calcA'!CN$106=1,GM6+ADB6,1)</f>
        <v/>
      </c>
      <c r="AIQ6">
        <f>IF('calcA'!CO$106=1,GN6+ADC6,1)</f>
        <v/>
      </c>
      <c r="AIR6">
        <f>IF('calcA'!CP$106=1,GO6+ADD6,1)</f>
        <v/>
      </c>
      <c r="AIS6">
        <f>IF('calcA'!CQ$106=1,GP6+ADE6,1)</f>
        <v/>
      </c>
      <c r="AIT6">
        <f>IF('calcA'!CR$106=1,GQ6+ADF6,1)</f>
        <v/>
      </c>
      <c r="AIU6">
        <f>IF('calcA'!CS$106=1,GR6+ADG6,1)</f>
        <v/>
      </c>
      <c r="AIV6">
        <f>IF('calcA'!CT$106=1,GS6+ADH6,1)</f>
        <v/>
      </c>
      <c r="AIW6">
        <f>IF('calcA'!CU$106=1,GT6+ADI6,1)</f>
        <v/>
      </c>
      <c r="AIX6">
        <f>IF('calcA'!CV$106=1,GU6+ADJ6,1)</f>
        <v/>
      </c>
      <c r="AIY6">
        <f>IF('calcA'!CW$106=1,GV6+ADK6,1)</f>
        <v/>
      </c>
      <c r="AIZ6">
        <f>IF('calcA'!CX$106=1,GW6+ADL6,1)</f>
        <v/>
      </c>
      <c r="AJA6">
        <f>IF('calcA'!CY$106=1,GX6+ADM6,1)</f>
        <v/>
      </c>
      <c r="AJB6">
        <f>IF('calcA'!CZ$106=1,GY6+ADN6,1)</f>
        <v/>
      </c>
      <c r="AJC6">
        <f>IF('calcA'!DA$106=1,GZ6+ADO6,1)</f>
        <v/>
      </c>
      <c r="AJD6">
        <f>IF('calcA'!DB$106=1,HA6+ADP6,1)</f>
        <v/>
      </c>
      <c r="AJE6">
        <f>IF('calcA'!DC$106=1,HB6+ADQ6,1)</f>
        <v/>
      </c>
      <c r="AJF6">
        <f>IF('calcA'!DD$106=1,HC6+ADR6,1)</f>
        <v/>
      </c>
      <c r="AJG6">
        <f>IF('calcA'!DE$106=1,HD6+ADS6,1)</f>
        <v/>
      </c>
      <c r="AJH6">
        <f>IF('calcA'!DF$106=1,HE6+ADT6,1)</f>
        <v/>
      </c>
      <c r="AJI6">
        <f>IF('calcA'!DG$106=1,HF6+ADU6,1)</f>
        <v/>
      </c>
      <c r="AJJ6">
        <f>IF('calcA'!DH$106=1,HG6+ADV6,1)</f>
        <v/>
      </c>
      <c r="AJK6">
        <f>IF('calcA'!DI$106=1,HH6+ADW6,1)</f>
        <v/>
      </c>
      <c r="AJL6">
        <f>IF('calcA'!DJ$106=1,HI6+ADX6,1)</f>
        <v/>
      </c>
      <c r="AJM6">
        <f>IF('calcA'!DK$106=1,HJ6+ADY6,1)</f>
        <v/>
      </c>
      <c r="AJN6">
        <f>IF('calcA'!DL$106=1,HK6+ADZ6,1)</f>
        <v/>
      </c>
      <c r="AJO6">
        <f>IF('calcA'!DM$106=1,HL6+AEA6,1)</f>
        <v/>
      </c>
      <c r="AJP6">
        <f>IF('calcA'!DN$106=1,HM6+AEB6,1)</f>
        <v/>
      </c>
      <c r="AJQ6">
        <f>IF('calcA'!DO$106=1,HN6+AEC6,1)</f>
        <v/>
      </c>
      <c r="AJR6">
        <f>IF('calcA'!DP$106=1,HO6+AED6,1)</f>
        <v/>
      </c>
      <c r="AJS6">
        <f>IF('calcA'!DQ$106=1,HP6+AEE6,1)</f>
        <v/>
      </c>
      <c r="AJT6">
        <f>IF('calcA'!DR$106=1,HQ6+AEF6,1)</f>
        <v/>
      </c>
      <c r="AJU6">
        <f>IF('calcA'!DS$106=1,HR6+AEG6,1)</f>
        <v/>
      </c>
      <c r="AJV6">
        <f>IF('calcA'!DT$106=1,HS6+AEH6,1)</f>
        <v/>
      </c>
      <c r="AJW6">
        <f>IF('calcA'!DU$106=1,HT6+AEI6,1)</f>
        <v/>
      </c>
      <c r="AJX6">
        <f>IF('calcA'!DV$106=1,HU6+AEJ6,1)</f>
        <v/>
      </c>
      <c r="AJY6">
        <f>IF('calcA'!DW$106=1,HV6+AEK6,1)</f>
        <v/>
      </c>
      <c r="AJZ6">
        <f>IF('calcA'!DX$106=1,HW6+AEL6,1)</f>
        <v/>
      </c>
      <c r="AKA6">
        <f>IF('calcA'!DY$106=1,HX6+AEM6,1)</f>
        <v/>
      </c>
      <c r="AKB6">
        <f>IF('calcA'!DZ$106=1,HY6+AEN6,1)</f>
        <v/>
      </c>
      <c r="AKC6">
        <f>IF('calcA'!EA$106=1,HZ6+AEO6,1)</f>
        <v/>
      </c>
      <c r="AKD6">
        <f>IF('calcA'!EB$106=1,IA6+AEP6,1)</f>
        <v/>
      </c>
      <c r="AKE6">
        <f>IF('calcA'!EC$106=1,IB6+AEQ6,1)</f>
        <v/>
      </c>
      <c r="AKF6">
        <f>IF('calcA'!ED$106=1,IC6+AER6,1)</f>
        <v/>
      </c>
      <c r="AKG6">
        <f>IF('calcA'!EE$106=1,ID6+AES6,1)</f>
        <v/>
      </c>
      <c r="AKH6">
        <f>IF('calcA'!EF$106=1,IE6+AET6,1)</f>
        <v/>
      </c>
      <c r="AKI6">
        <f>IF('calcA'!EG$106=1,IF6+AEU6,1)</f>
        <v/>
      </c>
      <c r="AKJ6">
        <f>IF('calcA'!EH$106=1,IG6+AEV6,1)</f>
        <v/>
      </c>
      <c r="AKK6">
        <f>IF('calcA'!EI$106=1,IH6+AEW6,1)</f>
        <v/>
      </c>
      <c r="AKL6">
        <f>IF('calcA'!EJ$106=1,II6+AEX6,1)</f>
        <v/>
      </c>
      <c r="AKM6">
        <f>IF('calcA'!EK$106=1,IJ6+AEY6,1)</f>
        <v/>
      </c>
      <c r="AKN6">
        <f>IF('calcA'!EL$106=1,IK6+AEZ6,1)</f>
        <v/>
      </c>
      <c r="AKO6">
        <f>IF('calcA'!EM$106=1,IL6+AFA6,1)</f>
        <v/>
      </c>
      <c r="AKP6">
        <f>IF('calcA'!EN$106=1,IM6+AFB6,1)</f>
        <v/>
      </c>
      <c r="AKQ6">
        <f>IF('calcA'!EO$106=1,IN6+AFC6,1)</f>
        <v/>
      </c>
      <c r="AKR6">
        <f>IF('calcA'!EP$106=1,IO6+AFD6,1)</f>
        <v/>
      </c>
      <c r="AKS6" t="n">
        <v>1</v>
      </c>
    </row>
    <row r="7">
      <c r="A7" t="n">
        <v>5</v>
      </c>
      <c r="B7">
        <f>IF(MIN(BM7:CZ7)&gt;=1000000000,0,MATCH(MIN(BM7:CZ7),BM7:CZ7,0))</f>
        <v/>
      </c>
      <c r="C7">
        <f>IF(MIN(OF7:TS7)&gt;=1000000000,0,MATCH(MIN(OF7:TS7),OF7:TS7,0))</f>
        <v/>
      </c>
      <c r="D7">
        <f>IF(C7&gt;0,INDEX('calcA'!$D$5:$EQ$5,C7),0)</f>
        <v/>
      </c>
      <c r="E7">
        <f>IF(B7=0,0,INDEX('calcA'!$IQ$10:$IQ$54,B7))</f>
        <v/>
      </c>
      <c r="F7">
        <f>IF(B7=0,0,INDEX('calcA'!$IP$10:$IP$54,B7))</f>
        <v/>
      </c>
      <c r="G7">
        <f>IF(AND(C7&gt;0,E7&gt;0),IF(AND(INDEX('calcA'!$D$106:$EQ$106,C7)=1,INDEX($IQ7:$OD7,C7)=1),C7+1,0),0)</f>
        <v/>
      </c>
      <c r="H7">
        <f>IF(B7=0,0,INDEX('calcA'!$IW$10:$IW$54,B7))</f>
        <v/>
      </c>
      <c r="U7">
        <f>IF(B7=0,0,INDEX('calcA'!$IX$10:$IX$54,B7))</f>
        <v/>
      </c>
      <c r="V7">
        <f>IF(B7=0,0,INDEX('calcA'!$JF$10:$JF$54,B7))</f>
        <v/>
      </c>
      <c r="W7">
        <f>IF(B7=0,0,IF(IF(E7=2,SUMPRODUCT(INDEX('calcA'!$D$60:$EQ$99,B7,0),$DB7:$IO7,$IQ7:$OD7),SUMPRODUCT(INDEX('calcA'!$D$60:$EQ$99,B7,0),$DB7:$IO7))=0,1,0))</f>
        <v/>
      </c>
      <c r="X7">
        <f>MAX(X6,IF($B6=1,1,0))</f>
        <v/>
      </c>
      <c r="Y7">
        <f>MAX(Y6,IF($B6=2,1,0))</f>
        <v/>
      </c>
      <c r="Z7">
        <f>MAX(Z6,IF($B6=3,1,0))</f>
        <v/>
      </c>
      <c r="AA7">
        <f>MAX(AA6,IF($B6=4,1,0))</f>
        <v/>
      </c>
      <c r="AB7">
        <f>MAX(AB6,IF($B6=5,1,0))</f>
        <v/>
      </c>
      <c r="AC7">
        <f>MAX(AC6,IF($B6=6,1,0))</f>
        <v/>
      </c>
      <c r="AD7">
        <f>MAX(AD6,IF($B6=7,1,0))</f>
        <v/>
      </c>
      <c r="AE7">
        <f>MAX(AE6,IF($B6=8,1,0))</f>
        <v/>
      </c>
      <c r="AF7">
        <f>MAX(AF6,IF($B6=9,1,0))</f>
        <v/>
      </c>
      <c r="AG7">
        <f>MAX(AG6,IF($B6=10,1,0))</f>
        <v/>
      </c>
      <c r="AH7">
        <f>MAX(AH6,IF($B6=11,1,0))</f>
        <v/>
      </c>
      <c r="AI7">
        <f>MAX(AI6,IF($B6=12,1,0))</f>
        <v/>
      </c>
      <c r="AJ7">
        <f>MAX(AJ6,IF($B6=13,1,0))</f>
        <v/>
      </c>
      <c r="AK7">
        <f>MAX(AK6,IF($B6=14,1,0))</f>
        <v/>
      </c>
      <c r="AL7">
        <f>MAX(AL6,IF($B6=15,1,0))</f>
        <v/>
      </c>
      <c r="AM7">
        <f>MAX(AM6,IF($B6=16,1,0))</f>
        <v/>
      </c>
      <c r="AN7">
        <f>MAX(AN6,IF($B6=17,1,0))</f>
        <v/>
      </c>
      <c r="AO7">
        <f>MAX(AO6,IF($B6=18,1,0))</f>
        <v/>
      </c>
      <c r="AP7">
        <f>MAX(AP6,IF($B6=19,1,0))</f>
        <v/>
      </c>
      <c r="AQ7">
        <f>MAX(AQ6,IF($B6=20,1,0))</f>
        <v/>
      </c>
      <c r="AR7">
        <f>MAX(AR6,IF($B6=21,1,0))</f>
        <v/>
      </c>
      <c r="AS7">
        <f>MAX(AS6,IF($B6=22,1,0))</f>
        <v/>
      </c>
      <c r="AT7">
        <f>MAX(AT6,IF($B6=23,1,0))</f>
        <v/>
      </c>
      <c r="AU7">
        <f>MAX(AU6,IF($B6=24,1,0))</f>
        <v/>
      </c>
      <c r="AV7">
        <f>MAX(AV6,IF($B6=25,1,0))</f>
        <v/>
      </c>
      <c r="AW7">
        <f>MAX(AW6,IF($B6=26,1,0))</f>
        <v/>
      </c>
      <c r="AX7">
        <f>MAX(AX6,IF($B6=27,1,0))</f>
        <v/>
      </c>
      <c r="AY7">
        <f>MAX(AY6,IF($B6=28,1,0))</f>
        <v/>
      </c>
      <c r="AZ7">
        <f>MAX(AZ6,IF($B6=29,1,0))</f>
        <v/>
      </c>
      <c r="BA7">
        <f>MAX(BA6,IF($B6=30,1,0))</f>
        <v/>
      </c>
      <c r="BB7">
        <f>MAX(BB6,IF($B6=31,1,0))</f>
        <v/>
      </c>
      <c r="BC7">
        <f>MAX(BC6,IF($B6=32,1,0))</f>
        <v/>
      </c>
      <c r="BD7">
        <f>MAX(BD6,IF($B6=33,1,0))</f>
        <v/>
      </c>
      <c r="BE7">
        <f>MAX(BE6,IF($B6=34,1,0))</f>
        <v/>
      </c>
      <c r="BF7">
        <f>MAX(BF6,IF($B6=35,1,0))</f>
        <v/>
      </c>
      <c r="BG7">
        <f>MAX(BG6,IF($B6=36,1,0))</f>
        <v/>
      </c>
      <c r="BH7">
        <f>MAX(BH6,IF($B6=37,1,0))</f>
        <v/>
      </c>
      <c r="BI7">
        <f>MAX(BI6,IF($B6=38,1,0))</f>
        <v/>
      </c>
      <c r="BJ7">
        <f>MAX(BJ6,IF($B6=39,1,0))</f>
        <v/>
      </c>
      <c r="BK7">
        <f>MAX(BK6,IF($B6=40,1,0))</f>
        <v/>
      </c>
      <c r="BM7">
        <f>IF(OR(X7=1,calcA!$A$6=0),1000000000,IF('calcA'!$JF$10=1,0,100000000)+IF('calcA'!$IQ$10=2,SUMPRODUCT('calcA'!$D$60:$EQ$60,$DB7:$IO7,$IQ7:$OD7)*1000+SUMPRODUCT('calcA'!$D$60:$EQ$60,$DB7:$IO7+$ZQ7:$AFD7,$AFF7:$AKS7),SUMPRODUCT('calcA'!$D$60:$EQ$60,$DB7:$IO7*1001+$ZQ7:$AFD7))*100+1)</f>
        <v/>
      </c>
      <c r="BN7">
        <f>IF(OR(Y7=1,calcA!$A$6=0),1000000000,IF('calcA'!$JF$11=1,0,100000000)+IF('calcA'!$IQ$11=2,SUMPRODUCT('calcA'!$D$61:$EQ$61,$DB7:$IO7,$IQ7:$OD7)*1000+SUMPRODUCT('calcA'!$D$61:$EQ$61,$DB7:$IO7+$ZQ7:$AFD7,$AFF7:$AKS7),SUMPRODUCT('calcA'!$D$61:$EQ$61,$DB7:$IO7*1001+$ZQ7:$AFD7))*100+2)</f>
        <v/>
      </c>
      <c r="BO7">
        <f>IF(OR(Z7=1,calcA!$A$6=0),1000000000,IF('calcA'!$JF$12=1,0,100000000)+IF('calcA'!$IQ$12=2,SUMPRODUCT('calcA'!$D$62:$EQ$62,$DB7:$IO7,$IQ7:$OD7)*1000+SUMPRODUCT('calcA'!$D$62:$EQ$62,$DB7:$IO7+$ZQ7:$AFD7,$AFF7:$AKS7),SUMPRODUCT('calcA'!$D$62:$EQ$62,$DB7:$IO7*1001+$ZQ7:$AFD7))*100+3)</f>
        <v/>
      </c>
      <c r="BP7">
        <f>IF(OR(AA7=1,calcA!$A$6=0),1000000000,IF('calcA'!$JF$13=1,0,100000000)+IF('calcA'!$IQ$13=2,SUMPRODUCT('calcA'!$D$63:$EQ$63,$DB7:$IO7,$IQ7:$OD7)*1000+SUMPRODUCT('calcA'!$D$63:$EQ$63,$DB7:$IO7+$ZQ7:$AFD7,$AFF7:$AKS7),SUMPRODUCT('calcA'!$D$63:$EQ$63,$DB7:$IO7*1001+$ZQ7:$AFD7))*100+4)</f>
        <v/>
      </c>
      <c r="BQ7">
        <f>IF(OR(AB7=1,calcA!$A$6=0),1000000000,IF('calcA'!$JF$14=1,0,100000000)+IF('calcA'!$IQ$14=2,SUMPRODUCT('calcA'!$D$64:$EQ$64,$DB7:$IO7,$IQ7:$OD7)*1000+SUMPRODUCT('calcA'!$D$64:$EQ$64,$DB7:$IO7+$ZQ7:$AFD7,$AFF7:$AKS7),SUMPRODUCT('calcA'!$D$64:$EQ$64,$DB7:$IO7*1001+$ZQ7:$AFD7))*100+5)</f>
        <v/>
      </c>
      <c r="BR7">
        <f>IF(OR(AC7=1,calcA!$A$6=0),1000000000,IF('calcA'!$JF$15=1,0,100000000)+IF('calcA'!$IQ$15=2,SUMPRODUCT('calcA'!$D$65:$EQ$65,$DB7:$IO7,$IQ7:$OD7)*1000+SUMPRODUCT('calcA'!$D$65:$EQ$65,$DB7:$IO7+$ZQ7:$AFD7,$AFF7:$AKS7),SUMPRODUCT('calcA'!$D$65:$EQ$65,$DB7:$IO7*1001+$ZQ7:$AFD7))*100+6)</f>
        <v/>
      </c>
      <c r="BS7">
        <f>IF(OR(AD7=1,calcA!$A$6=0),1000000000,IF('calcA'!$JF$16=1,0,100000000)+IF('calcA'!$IQ$16=2,SUMPRODUCT('calcA'!$D$66:$EQ$66,$DB7:$IO7,$IQ7:$OD7)*1000+SUMPRODUCT('calcA'!$D$66:$EQ$66,$DB7:$IO7+$ZQ7:$AFD7,$AFF7:$AKS7),SUMPRODUCT('calcA'!$D$66:$EQ$66,$DB7:$IO7*1001+$ZQ7:$AFD7))*100+7)</f>
        <v/>
      </c>
      <c r="BT7">
        <f>IF(OR(AE7=1,calcA!$A$6=0),1000000000,IF('calcA'!$JF$17=1,0,100000000)+IF('calcA'!$IQ$17=2,SUMPRODUCT('calcA'!$D$67:$EQ$67,$DB7:$IO7,$IQ7:$OD7)*1000+SUMPRODUCT('calcA'!$D$67:$EQ$67,$DB7:$IO7+$ZQ7:$AFD7,$AFF7:$AKS7),SUMPRODUCT('calcA'!$D$67:$EQ$67,$DB7:$IO7*1001+$ZQ7:$AFD7))*100+8)</f>
        <v/>
      </c>
      <c r="BU7">
        <f>IF(OR(AF7=1,calcA!$A$6=0),1000000000,IF('calcA'!$JF$18=1,0,100000000)+IF('calcA'!$IQ$18=2,SUMPRODUCT('calcA'!$D$68:$EQ$68,$DB7:$IO7,$IQ7:$OD7)*1000+SUMPRODUCT('calcA'!$D$68:$EQ$68,$DB7:$IO7+$ZQ7:$AFD7,$AFF7:$AKS7),SUMPRODUCT('calcA'!$D$68:$EQ$68,$DB7:$IO7*1001+$ZQ7:$AFD7))*100+9)</f>
        <v/>
      </c>
      <c r="BV7">
        <f>IF(OR(AG7=1,calcA!$A$6=0),1000000000,IF('calcA'!$JF$19=1,0,100000000)+IF('calcA'!$IQ$19=2,SUMPRODUCT('calcA'!$D$69:$EQ$69,$DB7:$IO7,$IQ7:$OD7)*1000+SUMPRODUCT('calcA'!$D$69:$EQ$69,$DB7:$IO7+$ZQ7:$AFD7,$AFF7:$AKS7),SUMPRODUCT('calcA'!$D$69:$EQ$69,$DB7:$IO7*1001+$ZQ7:$AFD7))*100+10)</f>
        <v/>
      </c>
      <c r="BW7">
        <f>IF(OR(AH7=1,calcA!$A$6=0),1000000000,IF('calcA'!$JF$20=1,0,100000000)+IF('calcA'!$IQ$20=2,SUMPRODUCT('calcA'!$D$70:$EQ$70,$DB7:$IO7,$IQ7:$OD7)*1000+SUMPRODUCT('calcA'!$D$70:$EQ$70,$DB7:$IO7+$ZQ7:$AFD7,$AFF7:$AKS7),SUMPRODUCT('calcA'!$D$70:$EQ$70,$DB7:$IO7*1001+$ZQ7:$AFD7))*100+11)</f>
        <v/>
      </c>
      <c r="BX7">
        <f>IF(OR(AI7=1,calcA!$A$6=0),1000000000,IF('calcA'!$JF$21=1,0,100000000)+IF('calcA'!$IQ$21=2,SUMPRODUCT('calcA'!$D$71:$EQ$71,$DB7:$IO7,$IQ7:$OD7)*1000+SUMPRODUCT('calcA'!$D$71:$EQ$71,$DB7:$IO7+$ZQ7:$AFD7,$AFF7:$AKS7),SUMPRODUCT('calcA'!$D$71:$EQ$71,$DB7:$IO7*1001+$ZQ7:$AFD7))*100+12)</f>
        <v/>
      </c>
      <c r="BY7">
        <f>IF(OR(AJ7=1,calcA!$A$6=0),1000000000,IF('calcA'!$JF$22=1,0,100000000)+IF('calcA'!$IQ$22=2,SUMPRODUCT('calcA'!$D$72:$EQ$72,$DB7:$IO7,$IQ7:$OD7)*1000+SUMPRODUCT('calcA'!$D$72:$EQ$72,$DB7:$IO7+$ZQ7:$AFD7,$AFF7:$AKS7),SUMPRODUCT('calcA'!$D$72:$EQ$72,$DB7:$IO7*1001+$ZQ7:$AFD7))*100+13)</f>
        <v/>
      </c>
      <c r="BZ7">
        <f>IF(OR(AK7=1,calcA!$A$6=0),1000000000,IF('calcA'!$JF$23=1,0,100000000)+IF('calcA'!$IQ$23=2,SUMPRODUCT('calcA'!$D$73:$EQ$73,$DB7:$IO7,$IQ7:$OD7)*1000+SUMPRODUCT('calcA'!$D$73:$EQ$73,$DB7:$IO7+$ZQ7:$AFD7,$AFF7:$AKS7),SUMPRODUCT('calcA'!$D$73:$EQ$73,$DB7:$IO7*1001+$ZQ7:$AFD7))*100+14)</f>
        <v/>
      </c>
      <c r="CA7">
        <f>IF(OR(AL7=1,calcA!$A$6=0),1000000000,IF('calcA'!$JF$24=1,0,100000000)+IF('calcA'!$IQ$24=2,SUMPRODUCT('calcA'!$D$74:$EQ$74,$DB7:$IO7,$IQ7:$OD7)*1000+SUMPRODUCT('calcA'!$D$74:$EQ$74,$DB7:$IO7+$ZQ7:$AFD7,$AFF7:$AKS7),SUMPRODUCT('calcA'!$D$74:$EQ$74,$DB7:$IO7*1001+$ZQ7:$AFD7))*100+15)</f>
        <v/>
      </c>
      <c r="CB7">
        <f>IF(OR(AM7=1,calcA!$A$6=0),1000000000,IF('calcA'!$JF$25=1,0,100000000)+IF('calcA'!$IQ$25=2,SUMPRODUCT('calcA'!$D$75:$EQ$75,$DB7:$IO7,$IQ7:$OD7)*1000+SUMPRODUCT('calcA'!$D$75:$EQ$75,$DB7:$IO7+$ZQ7:$AFD7,$AFF7:$AKS7),SUMPRODUCT('calcA'!$D$75:$EQ$75,$DB7:$IO7*1001+$ZQ7:$AFD7))*100+16)</f>
        <v/>
      </c>
      <c r="CC7">
        <f>IF(OR(AN7=1,calcA!$A$6=0),1000000000,IF('calcA'!$JF$26=1,0,100000000)+IF('calcA'!$IQ$26=2,SUMPRODUCT('calcA'!$D$76:$EQ$76,$DB7:$IO7,$IQ7:$OD7)*1000+SUMPRODUCT('calcA'!$D$76:$EQ$76,$DB7:$IO7+$ZQ7:$AFD7,$AFF7:$AKS7),SUMPRODUCT('calcA'!$D$76:$EQ$76,$DB7:$IO7*1001+$ZQ7:$AFD7))*100+17)</f>
        <v/>
      </c>
      <c r="CD7">
        <f>IF(OR(AO7=1,calcA!$A$6=0),1000000000,IF('calcA'!$JF$27=1,0,100000000)+IF('calcA'!$IQ$27=2,SUMPRODUCT('calcA'!$D$77:$EQ$77,$DB7:$IO7,$IQ7:$OD7)*1000+SUMPRODUCT('calcA'!$D$77:$EQ$77,$DB7:$IO7+$ZQ7:$AFD7,$AFF7:$AKS7),SUMPRODUCT('calcA'!$D$77:$EQ$77,$DB7:$IO7*1001+$ZQ7:$AFD7))*100+18)</f>
        <v/>
      </c>
      <c r="CE7">
        <f>IF(OR(AP7=1,calcA!$A$6=0),1000000000,IF('calcA'!$JF$28=1,0,100000000)+IF('calcA'!$IQ$28=2,SUMPRODUCT('calcA'!$D$78:$EQ$78,$DB7:$IO7,$IQ7:$OD7)*1000+SUMPRODUCT('calcA'!$D$78:$EQ$78,$DB7:$IO7+$ZQ7:$AFD7,$AFF7:$AKS7),SUMPRODUCT('calcA'!$D$78:$EQ$78,$DB7:$IO7*1001+$ZQ7:$AFD7))*100+19)</f>
        <v/>
      </c>
      <c r="CF7">
        <f>IF(OR(AQ7=1,calcA!$A$6=0),1000000000,IF('calcA'!$JF$29=1,0,100000000)+IF('calcA'!$IQ$29=2,SUMPRODUCT('calcA'!$D$79:$EQ$79,$DB7:$IO7,$IQ7:$OD7)*1000+SUMPRODUCT('calcA'!$D$79:$EQ$79,$DB7:$IO7+$ZQ7:$AFD7,$AFF7:$AKS7),SUMPRODUCT('calcA'!$D$79:$EQ$79,$DB7:$IO7*1001+$ZQ7:$AFD7))*100+20)</f>
        <v/>
      </c>
      <c r="CG7">
        <f>IF(OR(AR7=1,calcA!$A$6=0),1000000000,IF('calcA'!$JF$30=1,0,100000000)+IF('calcA'!$IQ$30=2,SUMPRODUCT('calcA'!$D$80:$EQ$80,$DB7:$IO7,$IQ7:$OD7)*1000+SUMPRODUCT('calcA'!$D$80:$EQ$80,$DB7:$IO7+$ZQ7:$AFD7,$AFF7:$AKS7),SUMPRODUCT('calcA'!$D$80:$EQ$80,$DB7:$IO7*1001+$ZQ7:$AFD7))*100+21)</f>
        <v/>
      </c>
      <c r="CH7">
        <f>IF(OR(AS7=1,calcA!$A$6=0),1000000000,IF('calcA'!$JF$31=1,0,100000000)+IF('calcA'!$IQ$31=2,SUMPRODUCT('calcA'!$D$81:$EQ$81,$DB7:$IO7,$IQ7:$OD7)*1000+SUMPRODUCT('calcA'!$D$81:$EQ$81,$DB7:$IO7+$ZQ7:$AFD7,$AFF7:$AKS7),SUMPRODUCT('calcA'!$D$81:$EQ$81,$DB7:$IO7*1001+$ZQ7:$AFD7))*100+22)</f>
        <v/>
      </c>
      <c r="CI7">
        <f>IF(OR(AT7=1,calcA!$A$6=0),1000000000,IF('calcA'!$JF$32=1,0,100000000)+IF('calcA'!$IQ$32=2,SUMPRODUCT('calcA'!$D$82:$EQ$82,$DB7:$IO7,$IQ7:$OD7)*1000+SUMPRODUCT('calcA'!$D$82:$EQ$82,$DB7:$IO7+$ZQ7:$AFD7,$AFF7:$AKS7),SUMPRODUCT('calcA'!$D$82:$EQ$82,$DB7:$IO7*1001+$ZQ7:$AFD7))*100+23)</f>
        <v/>
      </c>
      <c r="CJ7">
        <f>IF(OR(AU7=1,calcA!$A$6=0),1000000000,IF('calcA'!$JF$33=1,0,100000000)+IF('calcA'!$IQ$33=2,SUMPRODUCT('calcA'!$D$83:$EQ$83,$DB7:$IO7,$IQ7:$OD7)*1000+SUMPRODUCT('calcA'!$D$83:$EQ$83,$DB7:$IO7+$ZQ7:$AFD7,$AFF7:$AKS7),SUMPRODUCT('calcA'!$D$83:$EQ$83,$DB7:$IO7*1001+$ZQ7:$AFD7))*100+24)</f>
        <v/>
      </c>
      <c r="CK7">
        <f>IF(OR(AV7=1,calcA!$A$6=0),1000000000,IF('calcA'!$JF$34=1,0,100000000)+IF('calcA'!$IQ$34=2,SUMPRODUCT('calcA'!$D$84:$EQ$84,$DB7:$IO7,$IQ7:$OD7)*1000+SUMPRODUCT('calcA'!$D$84:$EQ$84,$DB7:$IO7+$ZQ7:$AFD7,$AFF7:$AKS7),SUMPRODUCT('calcA'!$D$84:$EQ$84,$DB7:$IO7*1001+$ZQ7:$AFD7))*100+25)</f>
        <v/>
      </c>
      <c r="CL7">
        <f>IF(OR(AW7=1,calcA!$A$6=0),1000000000,IF('calcA'!$JF$35=1,0,100000000)+IF('calcA'!$IQ$35=2,SUMPRODUCT('calcA'!$D$85:$EQ$85,$DB7:$IO7,$IQ7:$OD7)*1000+SUMPRODUCT('calcA'!$D$85:$EQ$85,$DB7:$IO7+$ZQ7:$AFD7,$AFF7:$AKS7),SUMPRODUCT('calcA'!$D$85:$EQ$85,$DB7:$IO7*1001+$ZQ7:$AFD7))*100+26)</f>
        <v/>
      </c>
      <c r="CM7">
        <f>IF(OR(AX7=1,calcA!$A$6=0),1000000000,IF('calcA'!$JF$36=1,0,100000000)+IF('calcA'!$IQ$36=2,SUMPRODUCT('calcA'!$D$86:$EQ$86,$DB7:$IO7,$IQ7:$OD7)*1000+SUMPRODUCT('calcA'!$D$86:$EQ$86,$DB7:$IO7+$ZQ7:$AFD7,$AFF7:$AKS7),SUMPRODUCT('calcA'!$D$86:$EQ$86,$DB7:$IO7*1001+$ZQ7:$AFD7))*100+27)</f>
        <v/>
      </c>
      <c r="CN7">
        <f>IF(OR(AY7=1,calcA!$A$6=0),1000000000,IF('calcA'!$JF$37=1,0,100000000)+IF('calcA'!$IQ$37=2,SUMPRODUCT('calcA'!$D$87:$EQ$87,$DB7:$IO7,$IQ7:$OD7)*1000+SUMPRODUCT('calcA'!$D$87:$EQ$87,$DB7:$IO7+$ZQ7:$AFD7,$AFF7:$AKS7),SUMPRODUCT('calcA'!$D$87:$EQ$87,$DB7:$IO7*1001+$ZQ7:$AFD7))*100+28)</f>
        <v/>
      </c>
      <c r="CO7">
        <f>IF(OR(AZ7=1,calcA!$A$6=0),1000000000,IF('calcA'!$JF$38=1,0,100000000)+IF('calcA'!$IQ$38=2,SUMPRODUCT('calcA'!$D$88:$EQ$88,$DB7:$IO7,$IQ7:$OD7)*1000+SUMPRODUCT('calcA'!$D$88:$EQ$88,$DB7:$IO7+$ZQ7:$AFD7,$AFF7:$AKS7),SUMPRODUCT('calcA'!$D$88:$EQ$88,$DB7:$IO7*1001+$ZQ7:$AFD7))*100+29)</f>
        <v/>
      </c>
      <c r="CP7">
        <f>IF(OR(BA7=1,calcA!$A$6=0),1000000000,IF('calcA'!$JF$39=1,0,100000000)+IF('calcA'!$IQ$39=2,SUMPRODUCT('calcA'!$D$89:$EQ$89,$DB7:$IO7,$IQ7:$OD7)*1000+SUMPRODUCT('calcA'!$D$89:$EQ$89,$DB7:$IO7+$ZQ7:$AFD7,$AFF7:$AKS7),SUMPRODUCT('calcA'!$D$89:$EQ$89,$DB7:$IO7*1001+$ZQ7:$AFD7))*100+30)</f>
        <v/>
      </c>
      <c r="CQ7">
        <f>IF(OR(BB7=1,calcA!$A$6=0),1000000000,IF('calcA'!$JF$40=1,0,100000000)+IF('calcA'!$IQ$40=2,SUMPRODUCT('calcA'!$D$90:$EQ$90,$DB7:$IO7,$IQ7:$OD7)*1000+SUMPRODUCT('calcA'!$D$90:$EQ$90,$DB7:$IO7+$ZQ7:$AFD7,$AFF7:$AKS7),SUMPRODUCT('calcA'!$D$90:$EQ$90,$DB7:$IO7*1001+$ZQ7:$AFD7))*100+31)</f>
        <v/>
      </c>
      <c r="CR7">
        <f>IF(OR(BC7=1,calcA!$A$6=0),1000000000,IF('calcA'!$JF$41=1,0,100000000)+IF('calcA'!$IQ$41=2,SUMPRODUCT('calcA'!$D$91:$EQ$91,$DB7:$IO7,$IQ7:$OD7)*1000+SUMPRODUCT('calcA'!$D$91:$EQ$91,$DB7:$IO7+$ZQ7:$AFD7,$AFF7:$AKS7),SUMPRODUCT('calcA'!$D$91:$EQ$91,$DB7:$IO7*1001+$ZQ7:$AFD7))*100+32)</f>
        <v/>
      </c>
      <c r="CS7">
        <f>IF(OR(BD7=1,calcA!$A$6=0),1000000000,IF('calcA'!$JF$42=1,0,100000000)+IF('calcA'!$IQ$42=2,SUMPRODUCT('calcA'!$D$92:$EQ$92,$DB7:$IO7,$IQ7:$OD7)*1000+SUMPRODUCT('calcA'!$D$92:$EQ$92,$DB7:$IO7+$ZQ7:$AFD7,$AFF7:$AKS7),SUMPRODUCT('calcA'!$D$92:$EQ$92,$DB7:$IO7*1001+$ZQ7:$AFD7))*100+33)</f>
        <v/>
      </c>
      <c r="CT7">
        <f>IF(OR(BE7=1,calcA!$A$6=0),1000000000,IF('calcA'!$JF$43=1,0,100000000)+IF('calcA'!$IQ$43=2,SUMPRODUCT('calcA'!$D$93:$EQ$93,$DB7:$IO7,$IQ7:$OD7)*1000+SUMPRODUCT('calcA'!$D$93:$EQ$93,$DB7:$IO7+$ZQ7:$AFD7,$AFF7:$AKS7),SUMPRODUCT('calcA'!$D$93:$EQ$93,$DB7:$IO7*1001+$ZQ7:$AFD7))*100+34)</f>
        <v/>
      </c>
      <c r="CU7">
        <f>IF(OR(BF7=1,calcA!$A$6=0),1000000000,IF('calcA'!$JF$44=1,0,100000000)+IF('calcA'!$IQ$44=2,SUMPRODUCT('calcA'!$D$94:$EQ$94,$DB7:$IO7,$IQ7:$OD7)*1000+SUMPRODUCT('calcA'!$D$94:$EQ$94,$DB7:$IO7+$ZQ7:$AFD7,$AFF7:$AKS7),SUMPRODUCT('calcA'!$D$94:$EQ$94,$DB7:$IO7*1001+$ZQ7:$AFD7))*100+35)</f>
        <v/>
      </c>
      <c r="CV7">
        <f>IF(OR(BG7=1,calcA!$A$6=0),1000000000,IF('calcA'!$JF$45=1,0,100000000)+IF('calcA'!$IQ$45=2,SUMPRODUCT('calcA'!$D$95:$EQ$95,$DB7:$IO7,$IQ7:$OD7)*1000+SUMPRODUCT('calcA'!$D$95:$EQ$95,$DB7:$IO7+$ZQ7:$AFD7,$AFF7:$AKS7),SUMPRODUCT('calcA'!$D$95:$EQ$95,$DB7:$IO7*1001+$ZQ7:$AFD7))*100+36)</f>
        <v/>
      </c>
      <c r="CW7">
        <f>IF(OR(BH7=1,calcA!$A$6=0),1000000000,IF('calcA'!$JF$46=1,0,100000000)+IF('calcA'!$IQ$46=2,SUMPRODUCT('calcA'!$D$96:$EQ$96,$DB7:$IO7,$IQ7:$OD7)*1000+SUMPRODUCT('calcA'!$D$96:$EQ$96,$DB7:$IO7+$ZQ7:$AFD7,$AFF7:$AKS7),SUMPRODUCT('calcA'!$D$96:$EQ$96,$DB7:$IO7*1001+$ZQ7:$AFD7))*100+37)</f>
        <v/>
      </c>
      <c r="CX7">
        <f>IF(OR(BI7=1,calcA!$A$6=0),1000000000,IF('calcA'!$JF$47=1,0,100000000)+IF('calcA'!$IQ$47=2,SUMPRODUCT('calcA'!$D$97:$EQ$97,$DB7:$IO7,$IQ7:$OD7)*1000+SUMPRODUCT('calcA'!$D$97:$EQ$97,$DB7:$IO7+$ZQ7:$AFD7,$AFF7:$AKS7),SUMPRODUCT('calcA'!$D$97:$EQ$97,$DB7:$IO7*1001+$ZQ7:$AFD7))*100+38)</f>
        <v/>
      </c>
      <c r="CY7">
        <f>IF(OR(BJ7=1,calcA!$A$6=0),1000000000,IF('calcA'!$JF$48=1,0,100000000)+IF('calcA'!$IQ$48=2,SUMPRODUCT('calcA'!$D$98:$EQ$98,$DB7:$IO7,$IQ7:$OD7)*1000+SUMPRODUCT('calcA'!$D$98:$EQ$98,$DB7:$IO7+$ZQ7:$AFD7,$AFF7:$AKS7),SUMPRODUCT('calcA'!$D$98:$EQ$98,$DB7:$IO7*1001+$ZQ7:$AFD7))*100+39)</f>
        <v/>
      </c>
      <c r="CZ7">
        <f>IF(OR(BK7=1,calcA!$A$6=0),1000000000,IF('calcA'!$JF$49=1,0,100000000)+IF('calcA'!$IQ$49=2,SUMPRODUCT('calcA'!$D$99:$EQ$99,$DB7:$IO7,$IQ7:$OD7)*1000+SUMPRODUCT('calcA'!$D$99:$EQ$99,$DB7:$IO7+$ZQ7:$AFD7,$AFF7:$AKS7),SUMPRODUCT('calcA'!$D$99:$EQ$99,$DB7:$IO7*1001+$ZQ7:$AFD7))*100+40)</f>
        <v/>
      </c>
      <c r="DB7">
        <f>DB6*IF(OR($C6=1,$G6=1),0,1)</f>
        <v/>
      </c>
      <c r="DC7">
        <f>DC6*IF(OR($C6=2,$G6=2),0,1)</f>
        <v/>
      </c>
      <c r="DD7">
        <f>DD6*IF(OR($C6=3,$G6=3),0,1)</f>
        <v/>
      </c>
      <c r="DE7">
        <f>DE6*IF(OR($C6=4,$G6=4),0,1)</f>
        <v/>
      </c>
      <c r="DF7">
        <f>DF6*IF(OR($C6=5,$G6=5),0,1)</f>
        <v/>
      </c>
      <c r="DG7">
        <f>DG6*IF(OR($C6=6,$G6=6),0,1)</f>
        <v/>
      </c>
      <c r="DH7">
        <f>DH6*IF(OR($C6=7,$G6=7),0,1)</f>
        <v/>
      </c>
      <c r="DI7">
        <f>DI6*IF(OR($C6=8,$G6=8),0,1)</f>
        <v/>
      </c>
      <c r="DJ7">
        <f>DJ6*IF(OR($C6=9,$G6=9),0,1)</f>
        <v/>
      </c>
      <c r="DK7">
        <f>DK6*IF(OR($C6=10,$G6=10),0,1)</f>
        <v/>
      </c>
      <c r="DL7">
        <f>DL6*IF(OR($C6=11,$G6=11),0,1)</f>
        <v/>
      </c>
      <c r="DM7">
        <f>DM6*IF(OR($C6=12,$G6=12),0,1)</f>
        <v/>
      </c>
      <c r="DN7">
        <f>DN6*IF(OR($C6=13,$G6=13),0,1)</f>
        <v/>
      </c>
      <c r="DO7">
        <f>DO6*IF(OR($C6=14,$G6=14),0,1)</f>
        <v/>
      </c>
      <c r="DP7">
        <f>DP6*IF(OR($C6=15,$G6=15),0,1)</f>
        <v/>
      </c>
      <c r="DQ7">
        <f>DQ6*IF(OR($C6=16,$G6=16),0,1)</f>
        <v/>
      </c>
      <c r="DR7">
        <f>DR6*IF(OR($C6=17,$G6=17),0,1)</f>
        <v/>
      </c>
      <c r="DS7">
        <f>DS6*IF(OR($C6=18,$G6=18),0,1)</f>
        <v/>
      </c>
      <c r="DT7">
        <f>DT6*IF(OR($C6=19,$G6=19),0,1)</f>
        <v/>
      </c>
      <c r="DU7">
        <f>DU6*IF(OR($C6=20,$G6=20),0,1)</f>
        <v/>
      </c>
      <c r="DV7">
        <f>DV6*IF(OR($C6=21,$G6=21),0,1)</f>
        <v/>
      </c>
      <c r="DW7">
        <f>DW6*IF(OR($C6=22,$G6=22),0,1)</f>
        <v/>
      </c>
      <c r="DX7">
        <f>DX6*IF(OR($C6=23,$G6=23),0,1)</f>
        <v/>
      </c>
      <c r="DY7">
        <f>DY6*IF(OR($C6=24,$G6=24),0,1)</f>
        <v/>
      </c>
      <c r="DZ7">
        <f>DZ6*IF(OR($C6=25,$G6=25),0,1)</f>
        <v/>
      </c>
      <c r="EA7">
        <f>EA6*IF(OR($C6=26,$G6=26),0,1)</f>
        <v/>
      </c>
      <c r="EB7">
        <f>EB6*IF(OR($C6=27,$G6=27),0,1)</f>
        <v/>
      </c>
      <c r="EC7">
        <f>EC6*IF(OR($C6=28,$G6=28),0,1)</f>
        <v/>
      </c>
      <c r="ED7">
        <f>ED6*IF(OR($C6=29,$G6=29),0,1)</f>
        <v/>
      </c>
      <c r="EE7">
        <f>EE6*IF(OR($C6=30,$G6=30),0,1)</f>
        <v/>
      </c>
      <c r="EF7">
        <f>EF6*IF(OR($C6=31,$G6=31),0,1)</f>
        <v/>
      </c>
      <c r="EG7">
        <f>EG6*IF(OR($C6=32,$G6=32),0,1)</f>
        <v/>
      </c>
      <c r="EH7">
        <f>EH6*IF(OR($C6=33,$G6=33),0,1)</f>
        <v/>
      </c>
      <c r="EI7">
        <f>EI6*IF(OR($C6=34,$G6=34),0,1)</f>
        <v/>
      </c>
      <c r="EJ7">
        <f>EJ6*IF(OR($C6=35,$G6=35),0,1)</f>
        <v/>
      </c>
      <c r="EK7">
        <f>EK6*IF(OR($C6=36,$G6=36),0,1)</f>
        <v/>
      </c>
      <c r="EL7">
        <f>EL6*IF(OR($C6=37,$G6=37),0,1)</f>
        <v/>
      </c>
      <c r="EM7">
        <f>EM6*IF(OR($C6=38,$G6=38),0,1)</f>
        <v/>
      </c>
      <c r="EN7">
        <f>EN6*IF(OR($C6=39,$G6=39),0,1)</f>
        <v/>
      </c>
      <c r="EO7">
        <f>EO6*IF(OR($C6=40,$G6=40),0,1)</f>
        <v/>
      </c>
      <c r="EP7">
        <f>EP6*IF(OR($C6=41,$G6=41),0,1)</f>
        <v/>
      </c>
      <c r="EQ7">
        <f>EQ6*IF(OR($C6=42,$G6=42),0,1)</f>
        <v/>
      </c>
      <c r="ER7">
        <f>ER6*IF(OR($C6=43,$G6=43),0,1)</f>
        <v/>
      </c>
      <c r="ES7">
        <f>ES6*IF(OR($C6=44,$G6=44),0,1)</f>
        <v/>
      </c>
      <c r="ET7">
        <f>ET6*IF(OR($C6=45,$G6=45),0,1)</f>
        <v/>
      </c>
      <c r="EU7">
        <f>EU6*IF(OR($C6=46,$G6=46),0,1)</f>
        <v/>
      </c>
      <c r="EV7">
        <f>EV6*IF(OR($C6=47,$G6=47),0,1)</f>
        <v/>
      </c>
      <c r="EW7">
        <f>EW6*IF(OR($C6=48,$G6=48),0,1)</f>
        <v/>
      </c>
      <c r="EX7">
        <f>EX6*IF(OR($C6=49,$G6=49),0,1)</f>
        <v/>
      </c>
      <c r="EY7">
        <f>EY6*IF(OR($C6=50,$G6=50),0,1)</f>
        <v/>
      </c>
      <c r="EZ7">
        <f>EZ6*IF(OR($C6=51,$G6=51),0,1)</f>
        <v/>
      </c>
      <c r="FA7">
        <f>FA6*IF(OR($C6=52,$G6=52),0,1)</f>
        <v/>
      </c>
      <c r="FB7">
        <f>FB6*IF(OR($C6=53,$G6=53),0,1)</f>
        <v/>
      </c>
      <c r="FC7">
        <f>FC6*IF(OR($C6=54,$G6=54),0,1)</f>
        <v/>
      </c>
      <c r="FD7">
        <f>FD6*IF(OR($C6=55,$G6=55),0,1)</f>
        <v/>
      </c>
      <c r="FE7">
        <f>FE6*IF(OR($C6=56,$G6=56),0,1)</f>
        <v/>
      </c>
      <c r="FF7">
        <f>FF6*IF(OR($C6=57,$G6=57),0,1)</f>
        <v/>
      </c>
      <c r="FG7">
        <f>FG6*IF(OR($C6=58,$G6=58),0,1)</f>
        <v/>
      </c>
      <c r="FH7">
        <f>FH6*IF(OR($C6=59,$G6=59),0,1)</f>
        <v/>
      </c>
      <c r="FI7">
        <f>FI6*IF(OR($C6=60,$G6=60),0,1)</f>
        <v/>
      </c>
      <c r="FJ7">
        <f>FJ6*IF(OR($C6=61,$G6=61),0,1)</f>
        <v/>
      </c>
      <c r="FK7">
        <f>FK6*IF(OR($C6=62,$G6=62),0,1)</f>
        <v/>
      </c>
      <c r="FL7">
        <f>FL6*IF(OR($C6=63,$G6=63),0,1)</f>
        <v/>
      </c>
      <c r="FM7">
        <f>FM6*IF(OR($C6=64,$G6=64),0,1)</f>
        <v/>
      </c>
      <c r="FN7">
        <f>FN6*IF(OR($C6=65,$G6=65),0,1)</f>
        <v/>
      </c>
      <c r="FO7">
        <f>FO6*IF(OR($C6=66,$G6=66),0,1)</f>
        <v/>
      </c>
      <c r="FP7">
        <f>FP6*IF(OR($C6=67,$G6=67),0,1)</f>
        <v/>
      </c>
      <c r="FQ7">
        <f>FQ6*IF(OR($C6=68,$G6=68),0,1)</f>
        <v/>
      </c>
      <c r="FR7">
        <f>FR6*IF(OR($C6=69,$G6=69),0,1)</f>
        <v/>
      </c>
      <c r="FS7">
        <f>FS6*IF(OR($C6=70,$G6=70),0,1)</f>
        <v/>
      </c>
      <c r="FT7">
        <f>FT6*IF(OR($C6=71,$G6=71),0,1)</f>
        <v/>
      </c>
      <c r="FU7">
        <f>FU6*IF(OR($C6=72,$G6=72),0,1)</f>
        <v/>
      </c>
      <c r="FV7">
        <f>FV6*IF(OR($C6=73,$G6=73),0,1)</f>
        <v/>
      </c>
      <c r="FW7">
        <f>FW6*IF(OR($C6=74,$G6=74),0,1)</f>
        <v/>
      </c>
      <c r="FX7">
        <f>FX6*IF(OR($C6=75,$G6=75),0,1)</f>
        <v/>
      </c>
      <c r="FY7">
        <f>FY6*IF(OR($C6=76,$G6=76),0,1)</f>
        <v/>
      </c>
      <c r="FZ7">
        <f>FZ6*IF(OR($C6=77,$G6=77),0,1)</f>
        <v/>
      </c>
      <c r="GA7">
        <f>GA6*IF(OR($C6=78,$G6=78),0,1)</f>
        <v/>
      </c>
      <c r="GB7">
        <f>GB6*IF(OR($C6=79,$G6=79),0,1)</f>
        <v/>
      </c>
      <c r="GC7">
        <f>GC6*IF(OR($C6=80,$G6=80),0,1)</f>
        <v/>
      </c>
      <c r="GD7">
        <f>GD6*IF(OR($C6=81,$G6=81),0,1)</f>
        <v/>
      </c>
      <c r="GE7">
        <f>GE6*IF(OR($C6=82,$G6=82),0,1)</f>
        <v/>
      </c>
      <c r="GF7">
        <f>GF6*IF(OR($C6=83,$G6=83),0,1)</f>
        <v/>
      </c>
      <c r="GG7">
        <f>GG6*IF(OR($C6=84,$G6=84),0,1)</f>
        <v/>
      </c>
      <c r="GH7">
        <f>GH6*IF(OR($C6=85,$G6=85),0,1)</f>
        <v/>
      </c>
      <c r="GI7">
        <f>GI6*IF(OR($C6=86,$G6=86),0,1)</f>
        <v/>
      </c>
      <c r="GJ7">
        <f>GJ6*IF(OR($C6=87,$G6=87),0,1)</f>
        <v/>
      </c>
      <c r="GK7">
        <f>GK6*IF(OR($C6=88,$G6=88),0,1)</f>
        <v/>
      </c>
      <c r="GL7">
        <f>GL6*IF(OR($C6=89,$G6=89),0,1)</f>
        <v/>
      </c>
      <c r="GM7">
        <f>GM6*IF(OR($C6=90,$G6=90),0,1)</f>
        <v/>
      </c>
      <c r="GN7">
        <f>GN6*IF(OR($C6=91,$G6=91),0,1)</f>
        <v/>
      </c>
      <c r="GO7">
        <f>GO6*IF(OR($C6=92,$G6=92),0,1)</f>
        <v/>
      </c>
      <c r="GP7">
        <f>GP6*IF(OR($C6=93,$G6=93),0,1)</f>
        <v/>
      </c>
      <c r="GQ7">
        <f>GQ6*IF(OR($C6=94,$G6=94),0,1)</f>
        <v/>
      </c>
      <c r="GR7">
        <f>GR6*IF(OR($C6=95,$G6=95),0,1)</f>
        <v/>
      </c>
      <c r="GS7">
        <f>GS6*IF(OR($C6=96,$G6=96),0,1)</f>
        <v/>
      </c>
      <c r="GT7">
        <f>GT6*IF(OR($C6=97,$G6=97),0,1)</f>
        <v/>
      </c>
      <c r="GU7">
        <f>GU6*IF(OR($C6=98,$G6=98),0,1)</f>
        <v/>
      </c>
      <c r="GV7">
        <f>GV6*IF(OR($C6=99,$G6=99),0,1)</f>
        <v/>
      </c>
      <c r="GW7">
        <f>GW6*IF(OR($C6=100,$G6=100),0,1)</f>
        <v/>
      </c>
      <c r="GX7">
        <f>GX6*IF(OR($C6=101,$G6=101),0,1)</f>
        <v/>
      </c>
      <c r="GY7">
        <f>GY6*IF(OR($C6=102,$G6=102),0,1)</f>
        <v/>
      </c>
      <c r="GZ7">
        <f>GZ6*IF(OR($C6=103,$G6=103),0,1)</f>
        <v/>
      </c>
      <c r="HA7">
        <f>HA6*IF(OR($C6=104,$G6=104),0,1)</f>
        <v/>
      </c>
      <c r="HB7">
        <f>HB6*IF(OR($C6=105,$G6=105),0,1)</f>
        <v/>
      </c>
      <c r="HC7">
        <f>HC6*IF(OR($C6=106,$G6=106),0,1)</f>
        <v/>
      </c>
      <c r="HD7">
        <f>HD6*IF(OR($C6=107,$G6=107),0,1)</f>
        <v/>
      </c>
      <c r="HE7">
        <f>HE6*IF(OR($C6=108,$G6=108),0,1)</f>
        <v/>
      </c>
      <c r="HF7">
        <f>HF6*IF(OR($C6=109,$G6=109),0,1)</f>
        <v/>
      </c>
      <c r="HG7">
        <f>HG6*IF(OR($C6=110,$G6=110),0,1)</f>
        <v/>
      </c>
      <c r="HH7">
        <f>HH6*IF(OR($C6=111,$G6=111),0,1)</f>
        <v/>
      </c>
      <c r="HI7">
        <f>HI6*IF(OR($C6=112,$G6=112),0,1)</f>
        <v/>
      </c>
      <c r="HJ7">
        <f>HJ6*IF(OR($C6=113,$G6=113),0,1)</f>
        <v/>
      </c>
      <c r="HK7">
        <f>HK6*IF(OR($C6=114,$G6=114),0,1)</f>
        <v/>
      </c>
      <c r="HL7">
        <f>HL6*IF(OR($C6=115,$G6=115),0,1)</f>
        <v/>
      </c>
      <c r="HM7">
        <f>HM6*IF(OR($C6=116,$G6=116),0,1)</f>
        <v/>
      </c>
      <c r="HN7">
        <f>HN6*IF(OR($C6=117,$G6=117),0,1)</f>
        <v/>
      </c>
      <c r="HO7">
        <f>HO6*IF(OR($C6=118,$G6=118),0,1)</f>
        <v/>
      </c>
      <c r="HP7">
        <f>HP6*IF(OR($C6=119,$G6=119),0,1)</f>
        <v/>
      </c>
      <c r="HQ7">
        <f>HQ6*IF(OR($C6=120,$G6=120),0,1)</f>
        <v/>
      </c>
      <c r="HR7">
        <f>HR6*IF(OR($C6=121,$G6=121),0,1)</f>
        <v/>
      </c>
      <c r="HS7">
        <f>HS6*IF(OR($C6=122,$G6=122),0,1)</f>
        <v/>
      </c>
      <c r="HT7">
        <f>HT6*IF(OR($C6=123,$G6=123),0,1)</f>
        <v/>
      </c>
      <c r="HU7">
        <f>HU6*IF(OR($C6=124,$G6=124),0,1)</f>
        <v/>
      </c>
      <c r="HV7">
        <f>HV6*IF(OR($C6=125,$G6=125),0,1)</f>
        <v/>
      </c>
      <c r="HW7">
        <f>HW6*IF(OR($C6=126,$G6=126),0,1)</f>
        <v/>
      </c>
      <c r="HX7">
        <f>HX6*IF(OR($C6=127,$G6=127),0,1)</f>
        <v/>
      </c>
      <c r="HY7">
        <f>HY6*IF(OR($C6=128,$G6=128),0,1)</f>
        <v/>
      </c>
      <c r="HZ7">
        <f>HZ6*IF(OR($C6=129,$G6=129),0,1)</f>
        <v/>
      </c>
      <c r="IA7">
        <f>IA6*IF(OR($C6=130,$G6=130),0,1)</f>
        <v/>
      </c>
      <c r="IB7">
        <f>IB6*IF(OR($C6=131,$G6=131),0,1)</f>
        <v/>
      </c>
      <c r="IC7">
        <f>IC6*IF(OR($C6=132,$G6=132),0,1)</f>
        <v/>
      </c>
      <c r="ID7">
        <f>ID6*IF(OR($C6=133,$G6=133),0,1)</f>
        <v/>
      </c>
      <c r="IE7">
        <f>IE6*IF(OR($C6=134,$G6=134),0,1)</f>
        <v/>
      </c>
      <c r="IF7">
        <f>IF6*IF(OR($C6=135,$G6=135),0,1)</f>
        <v/>
      </c>
      <c r="IG7">
        <f>IG6*IF(OR($C6=136,$G6=136),0,1)</f>
        <v/>
      </c>
      <c r="IH7">
        <f>IH6*IF(OR($C6=137,$G6=137),0,1)</f>
        <v/>
      </c>
      <c r="II7">
        <f>II6*IF(OR($C6=138,$G6=138),0,1)</f>
        <v/>
      </c>
      <c r="IJ7">
        <f>IJ6*IF(OR($C6=139,$G6=139),0,1)</f>
        <v/>
      </c>
      <c r="IK7">
        <f>IK6*IF(OR($C6=140,$G6=140),0,1)</f>
        <v/>
      </c>
      <c r="IL7">
        <f>IL6*IF(OR($C6=141,$G6=141),0,1)</f>
        <v/>
      </c>
      <c r="IM7">
        <f>IM6*IF(OR($C6=142,$G6=142),0,1)</f>
        <v/>
      </c>
      <c r="IN7">
        <f>IN6*IF(OR($C6=143,$G6=143),0,1)</f>
        <v/>
      </c>
      <c r="IO7">
        <f>IO6*IF(OR($C6=144,$G6=144),0,1)</f>
        <v/>
      </c>
      <c r="IQ7">
        <f>IF('calcA'!D$106=1,DC7,1)</f>
        <v/>
      </c>
      <c r="IR7">
        <f>IF('calcA'!E$106=1,DD7,1)</f>
        <v/>
      </c>
      <c r="IS7">
        <f>IF('calcA'!F$106=1,DE7,1)</f>
        <v/>
      </c>
      <c r="IT7">
        <f>IF('calcA'!G$106=1,DF7,1)</f>
        <v/>
      </c>
      <c r="IU7">
        <f>IF('calcA'!H$106=1,DG7,1)</f>
        <v/>
      </c>
      <c r="IV7">
        <f>IF('calcA'!I$106=1,DH7,1)</f>
        <v/>
      </c>
      <c r="IW7">
        <f>IF('calcA'!J$106=1,DI7,1)</f>
        <v/>
      </c>
      <c r="IX7">
        <f>IF('calcA'!K$106=1,DJ7,1)</f>
        <v/>
      </c>
      <c r="IY7">
        <f>IF('calcA'!L$106=1,DK7,1)</f>
        <v/>
      </c>
      <c r="IZ7">
        <f>IF('calcA'!M$106=1,DL7,1)</f>
        <v/>
      </c>
      <c r="JA7">
        <f>IF('calcA'!N$106=1,DM7,1)</f>
        <v/>
      </c>
      <c r="JB7">
        <f>IF('calcA'!O$106=1,DN7,1)</f>
        <v/>
      </c>
      <c r="JC7">
        <f>IF('calcA'!P$106=1,DO7,1)</f>
        <v/>
      </c>
      <c r="JD7">
        <f>IF('calcA'!Q$106=1,DP7,1)</f>
        <v/>
      </c>
      <c r="JE7">
        <f>IF('calcA'!R$106=1,DQ7,1)</f>
        <v/>
      </c>
      <c r="JF7">
        <f>IF('calcA'!S$106=1,DR7,1)</f>
        <v/>
      </c>
      <c r="JG7">
        <f>IF('calcA'!T$106=1,DS7,1)</f>
        <v/>
      </c>
      <c r="JH7">
        <f>IF('calcA'!U$106=1,DT7,1)</f>
        <v/>
      </c>
      <c r="JI7">
        <f>IF('calcA'!V$106=1,DU7,1)</f>
        <v/>
      </c>
      <c r="JJ7">
        <f>IF('calcA'!W$106=1,DV7,1)</f>
        <v/>
      </c>
      <c r="JK7">
        <f>IF('calcA'!X$106=1,DW7,1)</f>
        <v/>
      </c>
      <c r="JL7">
        <f>IF('calcA'!Y$106=1,DX7,1)</f>
        <v/>
      </c>
      <c r="JM7">
        <f>IF('calcA'!Z$106=1,DY7,1)</f>
        <v/>
      </c>
      <c r="JN7">
        <f>IF('calcA'!AA$106=1,DZ7,1)</f>
        <v/>
      </c>
      <c r="JO7">
        <f>IF('calcA'!AB$106=1,EA7,1)</f>
        <v/>
      </c>
      <c r="JP7">
        <f>IF('calcA'!AC$106=1,EB7,1)</f>
        <v/>
      </c>
      <c r="JQ7">
        <f>IF('calcA'!AD$106=1,EC7,1)</f>
        <v/>
      </c>
      <c r="JR7">
        <f>IF('calcA'!AE$106=1,ED7,1)</f>
        <v/>
      </c>
      <c r="JS7">
        <f>IF('calcA'!AF$106=1,EE7,1)</f>
        <v/>
      </c>
      <c r="JT7">
        <f>IF('calcA'!AG$106=1,EF7,1)</f>
        <v/>
      </c>
      <c r="JU7">
        <f>IF('calcA'!AH$106=1,EG7,1)</f>
        <v/>
      </c>
      <c r="JV7">
        <f>IF('calcA'!AI$106=1,EH7,1)</f>
        <v/>
      </c>
      <c r="JW7">
        <f>IF('calcA'!AJ$106=1,EI7,1)</f>
        <v/>
      </c>
      <c r="JX7">
        <f>IF('calcA'!AK$106=1,EJ7,1)</f>
        <v/>
      </c>
      <c r="JY7">
        <f>IF('calcA'!AL$106=1,EK7,1)</f>
        <v/>
      </c>
      <c r="JZ7">
        <f>IF('calcA'!AM$106=1,EL7,1)</f>
        <v/>
      </c>
      <c r="KA7">
        <f>IF('calcA'!AN$106=1,EM7,1)</f>
        <v/>
      </c>
      <c r="KB7">
        <f>IF('calcA'!AO$106=1,EN7,1)</f>
        <v/>
      </c>
      <c r="KC7">
        <f>IF('calcA'!AP$106=1,EO7,1)</f>
        <v/>
      </c>
      <c r="KD7">
        <f>IF('calcA'!AQ$106=1,EP7,1)</f>
        <v/>
      </c>
      <c r="KE7">
        <f>IF('calcA'!AR$106=1,EQ7,1)</f>
        <v/>
      </c>
      <c r="KF7">
        <f>IF('calcA'!AS$106=1,ER7,1)</f>
        <v/>
      </c>
      <c r="KG7">
        <f>IF('calcA'!AT$106=1,ES7,1)</f>
        <v/>
      </c>
      <c r="KH7">
        <f>IF('calcA'!AU$106=1,ET7,1)</f>
        <v/>
      </c>
      <c r="KI7">
        <f>IF('calcA'!AV$106=1,EU7,1)</f>
        <v/>
      </c>
      <c r="KJ7">
        <f>IF('calcA'!AW$106=1,EV7,1)</f>
        <v/>
      </c>
      <c r="KK7">
        <f>IF('calcA'!AX$106=1,EW7,1)</f>
        <v/>
      </c>
      <c r="KL7">
        <f>IF('calcA'!AY$106=1,EX7,1)</f>
        <v/>
      </c>
      <c r="KM7">
        <f>IF('calcA'!AZ$106=1,EY7,1)</f>
        <v/>
      </c>
      <c r="KN7">
        <f>IF('calcA'!BA$106=1,EZ7,1)</f>
        <v/>
      </c>
      <c r="KO7">
        <f>IF('calcA'!BB$106=1,FA7,1)</f>
        <v/>
      </c>
      <c r="KP7">
        <f>IF('calcA'!BC$106=1,FB7,1)</f>
        <v/>
      </c>
      <c r="KQ7">
        <f>IF('calcA'!BD$106=1,FC7,1)</f>
        <v/>
      </c>
      <c r="KR7">
        <f>IF('calcA'!BE$106=1,FD7,1)</f>
        <v/>
      </c>
      <c r="KS7">
        <f>IF('calcA'!BF$106=1,FE7,1)</f>
        <v/>
      </c>
      <c r="KT7">
        <f>IF('calcA'!BG$106=1,FF7,1)</f>
        <v/>
      </c>
      <c r="KU7">
        <f>IF('calcA'!BH$106=1,FG7,1)</f>
        <v/>
      </c>
      <c r="KV7">
        <f>IF('calcA'!BI$106=1,FH7,1)</f>
        <v/>
      </c>
      <c r="KW7">
        <f>IF('calcA'!BJ$106=1,FI7,1)</f>
        <v/>
      </c>
      <c r="KX7">
        <f>IF('calcA'!BK$106=1,FJ7,1)</f>
        <v/>
      </c>
      <c r="KY7">
        <f>IF('calcA'!BL$106=1,FK7,1)</f>
        <v/>
      </c>
      <c r="KZ7">
        <f>IF('calcA'!BM$106=1,FL7,1)</f>
        <v/>
      </c>
      <c r="LA7">
        <f>IF('calcA'!BN$106=1,FM7,1)</f>
        <v/>
      </c>
      <c r="LB7">
        <f>IF('calcA'!BO$106=1,FN7,1)</f>
        <v/>
      </c>
      <c r="LC7">
        <f>IF('calcA'!BP$106=1,FO7,1)</f>
        <v/>
      </c>
      <c r="LD7">
        <f>IF('calcA'!BQ$106=1,FP7,1)</f>
        <v/>
      </c>
      <c r="LE7">
        <f>IF('calcA'!BR$106=1,FQ7,1)</f>
        <v/>
      </c>
      <c r="LF7">
        <f>IF('calcA'!BS$106=1,FR7,1)</f>
        <v/>
      </c>
      <c r="LG7">
        <f>IF('calcA'!BT$106=1,FS7,1)</f>
        <v/>
      </c>
      <c r="LH7">
        <f>IF('calcA'!BU$106=1,FT7,1)</f>
        <v/>
      </c>
      <c r="LI7">
        <f>IF('calcA'!BV$106=1,FU7,1)</f>
        <v/>
      </c>
      <c r="LJ7">
        <f>IF('calcA'!BW$106=1,FV7,1)</f>
        <v/>
      </c>
      <c r="LK7">
        <f>IF('calcA'!BX$106=1,FW7,1)</f>
        <v/>
      </c>
      <c r="LL7">
        <f>IF('calcA'!BY$106=1,FX7,1)</f>
        <v/>
      </c>
      <c r="LM7">
        <f>IF('calcA'!BZ$106=1,FY7,1)</f>
        <v/>
      </c>
      <c r="LN7">
        <f>IF('calcA'!CA$106=1,FZ7,1)</f>
        <v/>
      </c>
      <c r="LO7">
        <f>IF('calcA'!CB$106=1,GA7,1)</f>
        <v/>
      </c>
      <c r="LP7">
        <f>IF('calcA'!CC$106=1,GB7,1)</f>
        <v/>
      </c>
      <c r="LQ7">
        <f>IF('calcA'!CD$106=1,GC7,1)</f>
        <v/>
      </c>
      <c r="LR7">
        <f>IF('calcA'!CE$106=1,GD7,1)</f>
        <v/>
      </c>
      <c r="LS7">
        <f>IF('calcA'!CF$106=1,GE7,1)</f>
        <v/>
      </c>
      <c r="LT7">
        <f>IF('calcA'!CG$106=1,GF7,1)</f>
        <v/>
      </c>
      <c r="LU7">
        <f>IF('calcA'!CH$106=1,GG7,1)</f>
        <v/>
      </c>
      <c r="LV7">
        <f>IF('calcA'!CI$106=1,GH7,1)</f>
        <v/>
      </c>
      <c r="LW7">
        <f>IF('calcA'!CJ$106=1,GI7,1)</f>
        <v/>
      </c>
      <c r="LX7">
        <f>IF('calcA'!CK$106=1,GJ7,1)</f>
        <v/>
      </c>
      <c r="LY7">
        <f>IF('calcA'!CL$106=1,GK7,1)</f>
        <v/>
      </c>
      <c r="LZ7">
        <f>IF('calcA'!CM$106=1,GL7,1)</f>
        <v/>
      </c>
      <c r="MA7">
        <f>IF('calcA'!CN$106=1,GM7,1)</f>
        <v/>
      </c>
      <c r="MB7">
        <f>IF('calcA'!CO$106=1,GN7,1)</f>
        <v/>
      </c>
      <c r="MC7">
        <f>IF('calcA'!CP$106=1,GO7,1)</f>
        <v/>
      </c>
      <c r="MD7">
        <f>IF('calcA'!CQ$106=1,GP7,1)</f>
        <v/>
      </c>
      <c r="ME7">
        <f>IF('calcA'!CR$106=1,GQ7,1)</f>
        <v/>
      </c>
      <c r="MF7">
        <f>IF('calcA'!CS$106=1,GR7,1)</f>
        <v/>
      </c>
      <c r="MG7">
        <f>IF('calcA'!CT$106=1,GS7,1)</f>
        <v/>
      </c>
      <c r="MH7">
        <f>IF('calcA'!CU$106=1,GT7,1)</f>
        <v/>
      </c>
      <c r="MI7">
        <f>IF('calcA'!CV$106=1,GU7,1)</f>
        <v/>
      </c>
      <c r="MJ7">
        <f>IF('calcA'!CW$106=1,GV7,1)</f>
        <v/>
      </c>
      <c r="MK7">
        <f>IF('calcA'!CX$106=1,GW7,1)</f>
        <v/>
      </c>
      <c r="ML7">
        <f>IF('calcA'!CY$106=1,GX7,1)</f>
        <v/>
      </c>
      <c r="MM7">
        <f>IF('calcA'!CZ$106=1,GY7,1)</f>
        <v/>
      </c>
      <c r="MN7">
        <f>IF('calcA'!DA$106=1,GZ7,1)</f>
        <v/>
      </c>
      <c r="MO7">
        <f>IF('calcA'!DB$106=1,HA7,1)</f>
        <v/>
      </c>
      <c r="MP7">
        <f>IF('calcA'!DC$106=1,HB7,1)</f>
        <v/>
      </c>
      <c r="MQ7">
        <f>IF('calcA'!DD$106=1,HC7,1)</f>
        <v/>
      </c>
      <c r="MR7">
        <f>IF('calcA'!DE$106=1,HD7,1)</f>
        <v/>
      </c>
      <c r="MS7">
        <f>IF('calcA'!DF$106=1,HE7,1)</f>
        <v/>
      </c>
      <c r="MT7">
        <f>IF('calcA'!DG$106=1,HF7,1)</f>
        <v/>
      </c>
      <c r="MU7">
        <f>IF('calcA'!DH$106=1,HG7,1)</f>
        <v/>
      </c>
      <c r="MV7">
        <f>IF('calcA'!DI$106=1,HH7,1)</f>
        <v/>
      </c>
      <c r="MW7">
        <f>IF('calcA'!DJ$106=1,HI7,1)</f>
        <v/>
      </c>
      <c r="MX7">
        <f>IF('calcA'!DK$106=1,HJ7,1)</f>
        <v/>
      </c>
      <c r="MY7">
        <f>IF('calcA'!DL$106=1,HK7,1)</f>
        <v/>
      </c>
      <c r="MZ7">
        <f>IF('calcA'!DM$106=1,HL7,1)</f>
        <v/>
      </c>
      <c r="NA7">
        <f>IF('calcA'!DN$106=1,HM7,1)</f>
        <v/>
      </c>
      <c r="NB7">
        <f>IF('calcA'!DO$106=1,HN7,1)</f>
        <v/>
      </c>
      <c r="NC7">
        <f>IF('calcA'!DP$106=1,HO7,1)</f>
        <v/>
      </c>
      <c r="ND7">
        <f>IF('calcA'!DQ$106=1,HP7,1)</f>
        <v/>
      </c>
      <c r="NE7">
        <f>IF('calcA'!DR$106=1,HQ7,1)</f>
        <v/>
      </c>
      <c r="NF7">
        <f>IF('calcA'!DS$106=1,HR7,1)</f>
        <v/>
      </c>
      <c r="NG7">
        <f>IF('calcA'!DT$106=1,HS7,1)</f>
        <v/>
      </c>
      <c r="NH7">
        <f>IF('calcA'!DU$106=1,HT7,1)</f>
        <v/>
      </c>
      <c r="NI7">
        <f>IF('calcA'!DV$106=1,HU7,1)</f>
        <v/>
      </c>
      <c r="NJ7">
        <f>IF('calcA'!DW$106=1,HV7,1)</f>
        <v/>
      </c>
      <c r="NK7">
        <f>IF('calcA'!DX$106=1,HW7,1)</f>
        <v/>
      </c>
      <c r="NL7">
        <f>IF('calcA'!DY$106=1,HX7,1)</f>
        <v/>
      </c>
      <c r="NM7">
        <f>IF('calcA'!DZ$106=1,HY7,1)</f>
        <v/>
      </c>
      <c r="NN7">
        <f>IF('calcA'!EA$106=1,HZ7,1)</f>
        <v/>
      </c>
      <c r="NO7">
        <f>IF('calcA'!EB$106=1,IA7,1)</f>
        <v/>
      </c>
      <c r="NP7">
        <f>IF('calcA'!EC$106=1,IB7,1)</f>
        <v/>
      </c>
      <c r="NQ7">
        <f>IF('calcA'!ED$106=1,IC7,1)</f>
        <v/>
      </c>
      <c r="NR7">
        <f>IF('calcA'!EE$106=1,ID7,1)</f>
        <v/>
      </c>
      <c r="NS7">
        <f>IF('calcA'!EF$106=1,IE7,1)</f>
        <v/>
      </c>
      <c r="NT7">
        <f>IF('calcA'!EG$106=1,IF7,1)</f>
        <v/>
      </c>
      <c r="NU7">
        <f>IF('calcA'!EH$106=1,IG7,1)</f>
        <v/>
      </c>
      <c r="NV7">
        <f>IF('calcA'!EI$106=1,IH7,1)</f>
        <v/>
      </c>
      <c r="NW7">
        <f>IF('calcA'!EJ$106=1,II7,1)</f>
        <v/>
      </c>
      <c r="NX7">
        <f>IF('calcA'!EK$106=1,IJ7,1)</f>
        <v/>
      </c>
      <c r="NY7">
        <f>IF('calcA'!EL$106=1,IK7,1)</f>
        <v/>
      </c>
      <c r="NZ7">
        <f>IF('calcA'!EM$106=1,IL7,1)</f>
        <v/>
      </c>
      <c r="OA7">
        <f>IF('calcA'!EN$106=1,IM7,1)</f>
        <v/>
      </c>
      <c r="OB7">
        <f>IF('calcA'!EO$106=1,IN7,1)</f>
        <v/>
      </c>
      <c r="OC7">
        <f>IF('calcA'!EP$106=1,IO7,1)</f>
        <v/>
      </c>
      <c r="OD7" t="n">
        <v>1</v>
      </c>
      <c r="OF7">
        <f>IF($B7=0,1000000000,IF(INDEX('calcA'!$D$60:$EQ$99,$B7,1)*IF($W7=1,DB7+ZQ7,DB7)=1,IF(AND($E7=2,IF($W7=1,AFF7,IQ7)=0),1000000000,IF($V7=1,INDEX('calcA'!$D$130:$EQ$169,$B7,1)+IF(AND($E7=1,IQ7=0),25,0),IF($F7&gt;0,INDEX('calcA'!D$110:D$114,$F7+1)+IF(AND($E7=1,IQ7=0),1000,0),MIN(TU7,20)*400+(IF('calcA'!D$106=1,1-DC7,0))*150+11+'calcA'!D$5*100000+IF(AND($E7=1,IQ7=0),50000,0))+IF($H7=1,INDEX('calcA'!$D$180:$EQ$219,$B7,1)*4000,0)-IF(AND($U7=1,'calcA'!D$117=1,DC7=0),2000,0))),1000000000))</f>
        <v/>
      </c>
      <c r="OG7">
        <f>IF($B7=0,1000000000,IF(INDEX('calcA'!$D$60:$EQ$99,$B7,2)*IF($W7=1,DC7+ZR7,DC7)=1,IF(AND($E7=2,IF($W7=1,AFG7,IR7)=0),1000000000,IF($V7=1,INDEX('calcA'!$D$130:$EQ$169,$B7,2)+IF(AND($E7=1,IR7=0),25,0),IF($F7&gt;0,INDEX('calcA'!E$110:E$114,$F7+1)+IF(AND($E7=1,IR7=0),1000,0),MIN(TU7,20)*400+(IF('calcA'!D$106=1,1-DB7,0)+IF('calcA'!E$106=1,1-DD7,0))*150+21+'calcA'!E$5*100000+IF(AND($E7=1,IR7=0),50000,0))+IF($H7=1,INDEX('calcA'!$D$180:$EQ$219,$B7,2)*4000,0)-IF(AND('calcA'!D$117=1,UB7&gt;0),2000,0)-IF(AND($U7=1,'calcA'!E$117=1,DD7=0),2000,0))),1000000000))</f>
        <v/>
      </c>
      <c r="OH7">
        <f>IF($B7=0,1000000000,IF(INDEX('calcA'!$D$60:$EQ$99,$B7,3)*IF($W7=1,DD7+ZS7,DD7)=1,IF(AND($E7=2,IF($W7=1,AFH7,IS7)=0),1000000000,IF($V7=1,INDEX('calcA'!$D$130:$EQ$169,$B7,3)+IF(AND($E7=1,IS7=0),25,0),IF($F7&gt;0,INDEX('calcA'!F$110:F$114,$F7+1)+IF(AND($E7=1,IS7=0),1000,0),MIN(TU7,20)*400+(IF('calcA'!E$106=1,1-DC7,0)+IF('calcA'!F$106=1,1-DE7,0))*150+31+'calcA'!F$5*100000+IF(AND($E7=1,IS7=0),50000,0))+IF($H7=1,INDEX('calcA'!$D$180:$EQ$219,$B7,3)*4000,0)-IF(AND('calcA'!E$117=1,UC7&gt;0),2000,0)-IF(AND($U7=1,'calcA'!F$117=1,DE7=0),2000,0))),1000000000))</f>
        <v/>
      </c>
      <c r="OI7">
        <f>IF($B7=0,1000000000,IF(INDEX('calcA'!$D$60:$EQ$99,$B7,4)*IF($W7=1,DE7+ZT7,DE7)=1,IF(AND($E7=2,IF($W7=1,AFI7,IT7)=0),1000000000,IF($V7=1,INDEX('calcA'!$D$130:$EQ$169,$B7,4)+IF(AND($E7=1,IT7=0),25,0),IF($F7&gt;0,INDEX('calcA'!G$110:G$114,$F7+1)+IF(AND($E7=1,IT7=0),1000,0),MIN(TU7,20)*400+(IF('calcA'!F$106=1,1-DD7,0)+IF('calcA'!G$106=1,1-DF7,0))*150+41+'calcA'!G$5*100000+IF(AND($E7=1,IT7=0),50000,0))+IF($H7=1,INDEX('calcA'!$D$180:$EQ$219,$B7,4)*4000,0)-IF(AND('calcA'!F$117=1,UD7&gt;0),2000,0)-IF(AND($U7=1,'calcA'!G$117=1,DF7=0),2000,0))),1000000000))</f>
        <v/>
      </c>
      <c r="OJ7">
        <f>IF($B7=0,1000000000,IF(INDEX('calcA'!$D$60:$EQ$99,$B7,5)*IF($W7=1,DF7+ZU7,DF7)=1,IF(AND($E7=2,IF($W7=1,AFJ7,IU7)=0),1000000000,IF($V7=1,INDEX('calcA'!$D$130:$EQ$169,$B7,5)+IF(AND($E7=1,IU7=0),25,0),IF($F7&gt;0,INDEX('calcA'!H$110:H$114,$F7+1)+IF(AND($E7=1,IU7=0),1000,0),MIN(TU7,20)*400+(IF('calcA'!G$106=1,1-DE7,0)+IF('calcA'!H$106=1,1-DG7,0))*150+51+'calcA'!H$5*100000+IF(AND($E7=1,IU7=0),50000,0))+IF($H7=1,INDEX('calcA'!$D$180:$EQ$219,$B7,5)*4000,0)-IF(AND('calcA'!G$117=1,UE7&gt;0),2000,0)-IF(AND($U7=1,'calcA'!H$117=1,DG7=0),2000,0))),1000000000))</f>
        <v/>
      </c>
      <c r="OK7">
        <f>IF($B7=0,1000000000,IF(INDEX('calcA'!$D$60:$EQ$99,$B7,6)*IF($W7=1,DG7+ZV7,DG7)=1,IF(AND($E7=2,IF($W7=1,AFK7,IV7)=0),1000000000,IF($V7=1,INDEX('calcA'!$D$130:$EQ$169,$B7,6)+IF(AND($E7=1,IV7=0),25,0),IF($F7&gt;0,INDEX('calcA'!I$110:I$114,$F7+1)+IF(AND($E7=1,IV7=0),1000,0),MIN(TU7,20)*400+(IF('calcA'!H$106=1,1-DF7,0)+IF('calcA'!I$106=1,1-DH7,0))*150+61+'calcA'!I$5*100000+IF(AND($E7=1,IV7=0),50000,0))+IF($H7=1,INDEX('calcA'!$D$180:$EQ$219,$B7,6)*4000,0)-IF(AND('calcA'!H$117=1,UF7&gt;0),2000,0)-IF(AND($U7=1,'calcA'!I$117=1,DH7=0),2000,0))),1000000000))</f>
        <v/>
      </c>
      <c r="OL7">
        <f>IF($B7=0,1000000000,IF(INDEX('calcA'!$D$60:$EQ$99,$B7,7)*IF($W7=1,DH7+ZW7,DH7)=1,IF(AND($E7=2,IF($W7=1,AFL7,IW7)=0),1000000000,IF($V7=1,INDEX('calcA'!$D$130:$EQ$169,$B7,7)+IF(AND($E7=1,IW7=0),25,0),IF($F7&gt;0,INDEX('calcA'!J$110:J$114,$F7+1)+IF(AND($E7=1,IW7=0),1000,0),MIN(TU7,20)*400+(IF('calcA'!I$106=1,1-DG7,0)+IF('calcA'!J$106=1,1-DI7,0))*150+71+'calcA'!J$5*100000+IF(AND($E7=1,IW7=0),50000,0))+IF($H7=1,INDEX('calcA'!$D$180:$EQ$219,$B7,7)*4000,0)-IF(AND('calcA'!I$117=1,UG7&gt;0),2000,0)-IF(AND($U7=1,'calcA'!J$117=1,DI7=0),2000,0))),1000000000))</f>
        <v/>
      </c>
      <c r="OM7">
        <f>IF($B7=0,1000000000,IF(INDEX('calcA'!$D$60:$EQ$99,$B7,8)*IF($W7=1,DI7+ZX7,DI7)=1,IF(AND($E7=2,IF($W7=1,AFM7,IX7)=0),1000000000,IF($V7=1,INDEX('calcA'!$D$130:$EQ$169,$B7,8)+IF(AND($E7=1,IX7=0),25,0),IF($F7&gt;0,INDEX('calcA'!K$110:K$114,$F7+1)+IF(AND($E7=1,IX7=0),1000,0),MIN(TU7,20)*400+(IF('calcA'!J$106=1,1-DH7,0)+IF('calcA'!K$106=1,1-DJ7,0))*150+81+'calcA'!K$5*100000+IF(AND($E7=1,IX7=0),50000,0))+IF($H7=1,INDEX('calcA'!$D$180:$EQ$219,$B7,8)*4000,0)-IF(AND('calcA'!J$117=1,UH7&gt;0),2000,0)-IF(AND($U7=1,'calcA'!K$117=1,DJ7=0),2000,0))),1000000000))</f>
        <v/>
      </c>
      <c r="ON7">
        <f>IF($B7=0,1000000000,IF(INDEX('calcA'!$D$60:$EQ$99,$B7,9)*IF($W7=1,DJ7+ZY7,DJ7)=1,IF(AND($E7=2,IF($W7=1,AFN7,IY7)=0),1000000000,IF($V7=1,INDEX('calcA'!$D$130:$EQ$169,$B7,9)+IF(AND($E7=1,IY7=0),25,0),IF($F7&gt;0,INDEX('calcA'!L$110:L$114,$F7+1)+IF(AND($E7=1,IY7=0),1000,0),MIN(TU7,20)*400+(IF('calcA'!K$106=1,1-DI7,0)+IF('calcA'!L$106=1,1-DK7,0))*150+91+'calcA'!L$5*100000+IF(AND($E7=1,IY7=0),50000,0))+IF($H7=1,INDEX('calcA'!$D$180:$EQ$219,$B7,9)*4000,0)-IF(AND('calcA'!K$117=1,UI7&gt;0),2000,0)-IF(AND($U7=1,'calcA'!L$117=1,DK7=0),2000,0))),1000000000))</f>
        <v/>
      </c>
      <c r="OO7">
        <f>IF($B7=0,1000000000,IF(INDEX('calcA'!$D$60:$EQ$99,$B7,10)*IF($W7=1,DK7+ZZ7,DK7)=1,IF(AND($E7=2,IF($W7=1,AFO7,IZ7)=0),1000000000,IF($V7=1,INDEX('calcA'!$D$130:$EQ$169,$B7,10)+IF(AND($E7=1,IZ7=0),25,0),IF($F7&gt;0,INDEX('calcA'!M$110:M$114,$F7+1)+IF(AND($E7=1,IZ7=0),1000,0),MIN(TU7,20)*400+(IF('calcA'!L$106=1,1-DJ7,0)+IF('calcA'!M$106=1,1-DL7,0))*150+101+'calcA'!M$5*100000+IF(AND($E7=1,IZ7=0),50000,0))+IF($H7=1,INDEX('calcA'!$D$180:$EQ$219,$B7,10)*4000,0)-IF(AND('calcA'!L$117=1,UJ7&gt;0),2000,0)-IF(AND($U7=1,'calcA'!M$117=1,DL7=0),2000,0))),1000000000))</f>
        <v/>
      </c>
      <c r="OP7">
        <f>IF($B7=0,1000000000,IF(INDEX('calcA'!$D$60:$EQ$99,$B7,11)*IF($W7=1,DL7+AAA7,DL7)=1,IF(AND($E7=2,IF($W7=1,AFP7,JA7)=0),1000000000,IF($V7=1,INDEX('calcA'!$D$130:$EQ$169,$B7,11)+IF(AND($E7=1,JA7=0),25,0),IF($F7&gt;0,INDEX('calcA'!N$110:N$114,$F7+1)+IF(AND($E7=1,JA7=0),1000,0),MIN(TU7,20)*400+(IF('calcA'!M$106=1,1-DK7,0)+IF('calcA'!N$106=1,1-DM7,0))*150+111+'calcA'!N$5*100000+IF(AND($E7=1,JA7=0),50000,0))+IF($H7=1,INDEX('calcA'!$D$180:$EQ$219,$B7,11)*4000,0)-IF(AND('calcA'!M$117=1,UK7&gt;0),2000,0)-IF(AND($U7=1,'calcA'!N$117=1,DM7=0),2000,0))),1000000000))</f>
        <v/>
      </c>
      <c r="OQ7">
        <f>IF($B7=0,1000000000,IF(INDEX('calcA'!$D$60:$EQ$99,$B7,12)*IF($W7=1,DM7+AAB7,DM7)=1,IF(AND($E7=2,IF($W7=1,AFQ7,JB7)=0),1000000000,IF($V7=1,INDEX('calcA'!$D$130:$EQ$169,$B7,12)+IF(AND($E7=1,JB7=0),25,0),IF($F7&gt;0,INDEX('calcA'!O$110:O$114,$F7+1)+IF(AND($E7=1,JB7=0),1000,0),MIN(TU7,20)*400+(IF('calcA'!N$106=1,1-DL7,0)+IF('calcA'!O$106=1,1-DN7,0))*150+121+'calcA'!O$5*100000+IF(AND($E7=1,JB7=0),50000,0))+IF($H7=1,INDEX('calcA'!$D$180:$EQ$219,$B7,12)*4000,0)-IF(AND('calcA'!N$117=1,UL7&gt;0),2000,0)-IF(AND($U7=1,'calcA'!O$117=1,DN7=0),2000,0))),1000000000))</f>
        <v/>
      </c>
      <c r="OR7">
        <f>IF($B7=0,1000000000,IF(INDEX('calcA'!$D$60:$EQ$99,$B7,13)*IF($W7=1,DN7+AAC7,DN7)=1,IF(AND($E7=2,IF($W7=1,AFR7,JC7)=0),1000000000,IF($V7=1,INDEX('calcA'!$D$130:$EQ$169,$B7,13)+IF(AND($E7=1,JC7=0),25,0),IF($F7&gt;0,INDEX('calcA'!P$110:P$114,$F7+1)+IF(AND($E7=1,JC7=0),1000,0),MIN(TU7,20)*400+(IF('calcA'!O$106=1,1-DM7,0)+IF('calcA'!P$106=1,1-DO7,0))*150+131+'calcA'!P$5*100000+IF(AND($E7=1,JC7=0),50000,0))+IF($H7=1,INDEX('calcA'!$D$180:$EQ$219,$B7,13)*4000,0)-IF(AND('calcA'!O$117=1,UM7&gt;0),2000,0)-IF(AND($U7=1,'calcA'!P$117=1,DO7=0),2000,0))),1000000000))</f>
        <v/>
      </c>
      <c r="OS7">
        <f>IF($B7=0,1000000000,IF(INDEX('calcA'!$D$60:$EQ$99,$B7,14)*IF($W7=1,DO7+AAD7,DO7)=1,IF(AND($E7=2,IF($W7=1,AFS7,JD7)=0),1000000000,IF($V7=1,INDEX('calcA'!$D$130:$EQ$169,$B7,14)+IF(AND($E7=1,JD7=0),25,0),IF($F7&gt;0,INDEX('calcA'!Q$110:Q$114,$F7+1)+IF(AND($E7=1,JD7=0),1000,0),MIN(TU7,20)*400+(IF('calcA'!P$106=1,1-DN7,0)+IF('calcA'!Q$106=1,1-DP7,0))*150+141+'calcA'!Q$5*100000+IF(AND($E7=1,JD7=0),50000,0))+IF($H7=1,INDEX('calcA'!$D$180:$EQ$219,$B7,14)*4000,0)-IF(AND('calcA'!P$117=1,UN7&gt;0),2000,0)-IF(AND($U7=1,'calcA'!Q$117=1,DP7=0),2000,0))),1000000000))</f>
        <v/>
      </c>
      <c r="OT7">
        <f>IF($B7=0,1000000000,IF(INDEX('calcA'!$D$60:$EQ$99,$B7,15)*IF($W7=1,DP7+AAE7,DP7)=1,IF(AND($E7=2,IF($W7=1,AFT7,JE7)=0),1000000000,IF($V7=1,INDEX('calcA'!$D$130:$EQ$169,$B7,15)+IF(AND($E7=1,JE7=0),25,0),IF($F7&gt;0,INDEX('calcA'!R$110:R$114,$F7+1)+IF(AND($E7=1,JE7=0),1000,0),MIN(TU7,20)*400+(IF('calcA'!Q$106=1,1-DO7,0)+IF('calcA'!R$106=1,1-DQ7,0))*150+151+'calcA'!R$5*100000+IF(AND($E7=1,JE7=0),50000,0))+IF($H7=1,INDEX('calcA'!$D$180:$EQ$219,$B7,15)*4000,0)-IF(AND('calcA'!Q$117=1,UO7&gt;0),2000,0)-IF(AND($U7=1,'calcA'!R$117=1,DQ7=0),2000,0))),1000000000))</f>
        <v/>
      </c>
      <c r="OU7">
        <f>IF($B7=0,1000000000,IF(INDEX('calcA'!$D$60:$EQ$99,$B7,16)*IF($W7=1,DQ7+AAF7,DQ7)=1,IF(AND($E7=2,IF($W7=1,AFU7,JF7)=0),1000000000,IF($V7=1,INDEX('calcA'!$D$130:$EQ$169,$B7,16)+IF(AND($E7=1,JF7=0),25,0),IF($F7&gt;0,INDEX('calcA'!S$110:S$114,$F7+1)+IF(AND($E7=1,JF7=0),1000,0),MIN(TU7,20)*400+(IF('calcA'!R$106=1,1-DP7,0)+IF('calcA'!S$106=1,1-DR7,0))*150+161+'calcA'!S$5*100000+IF(AND($E7=1,JF7=0),50000,0))+IF($H7=1,INDEX('calcA'!$D$180:$EQ$219,$B7,16)*4000,0)-IF(AND('calcA'!R$117=1,UP7&gt;0),2000,0)-IF(AND($U7=1,'calcA'!S$117=1,DR7=0),2000,0))),1000000000))</f>
        <v/>
      </c>
      <c r="OV7">
        <f>IF($B7=0,1000000000,IF(INDEX('calcA'!$D$60:$EQ$99,$B7,17)*IF($W7=1,DR7+AAG7,DR7)=1,IF(AND($E7=2,IF($W7=1,AFV7,JG7)=0),1000000000,IF($V7=1,INDEX('calcA'!$D$130:$EQ$169,$B7,17)+IF(AND($E7=1,JG7=0),25,0),IF($F7&gt;0,INDEX('calcA'!T$110:T$114,$F7+1)+IF(AND($E7=1,JG7=0),1000,0),MIN(TU7,20)*400+(IF('calcA'!S$106=1,1-DQ7,0)+IF('calcA'!T$106=1,1-DS7,0))*150+171+'calcA'!T$5*100000+IF(AND($E7=1,JG7=0),50000,0))+IF($H7=1,INDEX('calcA'!$D$180:$EQ$219,$B7,17)*4000,0)-IF(AND('calcA'!S$117=1,UQ7&gt;0),2000,0)-IF(AND($U7=1,'calcA'!T$117=1,DS7=0),2000,0))),1000000000))</f>
        <v/>
      </c>
      <c r="OW7">
        <f>IF($B7=0,1000000000,IF(INDEX('calcA'!$D$60:$EQ$99,$B7,18)*IF($W7=1,DS7+AAH7,DS7)=1,IF(AND($E7=2,IF($W7=1,AFW7,JH7)=0),1000000000,IF($V7=1,INDEX('calcA'!$D$130:$EQ$169,$B7,18)+IF(AND($E7=1,JH7=0),25,0),IF($F7&gt;0,INDEX('calcA'!U$110:U$114,$F7+1)+IF(AND($E7=1,JH7=0),1000,0),MIN(TU7,20)*400+(IF('calcA'!T$106=1,1-DR7,0)+IF('calcA'!U$106=1,1-DT7,0))*150+181+'calcA'!U$5*100000+IF(AND($E7=1,JH7=0),50000,0))+IF($H7=1,INDEX('calcA'!$D$180:$EQ$219,$B7,18)*4000,0)-IF(AND('calcA'!T$117=1,UR7&gt;0),2000,0)-IF(AND($U7=1,'calcA'!U$117=1,DT7=0),2000,0))),1000000000))</f>
        <v/>
      </c>
      <c r="OX7">
        <f>IF($B7=0,1000000000,IF(INDEX('calcA'!$D$60:$EQ$99,$B7,19)*IF($W7=1,DT7+AAI7,DT7)=1,IF(AND($E7=2,IF($W7=1,AFX7,JI7)=0),1000000000,IF($V7=1,INDEX('calcA'!$D$130:$EQ$169,$B7,19)+IF(AND($E7=1,JI7=0),25,0),IF($F7&gt;0,INDEX('calcA'!V$110:V$114,$F7+1)+IF(AND($E7=1,JI7=0),1000,0),MIN(TU7,20)*400+(IF('calcA'!U$106=1,1-DS7,0)+IF('calcA'!V$106=1,1-DU7,0))*150+191+'calcA'!V$5*100000+IF(AND($E7=1,JI7=0),50000,0))+IF($H7=1,INDEX('calcA'!$D$180:$EQ$219,$B7,19)*4000,0)-IF(AND('calcA'!U$117=1,US7&gt;0),2000,0)-IF(AND($U7=1,'calcA'!V$117=1,DU7=0),2000,0))),1000000000))</f>
        <v/>
      </c>
      <c r="OY7">
        <f>IF($B7=0,1000000000,IF(INDEX('calcA'!$D$60:$EQ$99,$B7,20)*IF($W7=1,DU7+AAJ7,DU7)=1,IF(AND($E7=2,IF($W7=1,AFY7,JJ7)=0),1000000000,IF($V7=1,INDEX('calcA'!$D$130:$EQ$169,$B7,20)+IF(AND($E7=1,JJ7=0),25,0),IF($F7&gt;0,INDEX('calcA'!W$110:W$114,$F7+1)+IF(AND($E7=1,JJ7=0),1000,0),MIN(TU7,20)*400+(IF('calcA'!V$106=1,1-DT7,0)+IF('calcA'!W$106=1,1-DV7,0))*150+201+'calcA'!W$5*100000+IF(AND($E7=1,JJ7=0),50000,0))+IF($H7=1,INDEX('calcA'!$D$180:$EQ$219,$B7,20)*4000,0)-IF(AND('calcA'!V$117=1,UT7&gt;0),2000,0)-IF(AND($U7=1,'calcA'!W$117=1,DV7=0),2000,0))),1000000000))</f>
        <v/>
      </c>
      <c r="OZ7">
        <f>IF($B7=0,1000000000,IF(INDEX('calcA'!$D$60:$EQ$99,$B7,21)*IF($W7=1,DV7+AAK7,DV7)=1,IF(AND($E7=2,IF($W7=1,AFZ7,JK7)=0),1000000000,IF($V7=1,INDEX('calcA'!$D$130:$EQ$169,$B7,21)+IF(AND($E7=1,JK7=0),25,0),IF($F7&gt;0,INDEX('calcA'!X$110:X$114,$F7+1)+IF(AND($E7=1,JK7=0),1000,0),MIN(TU7,20)*400+(IF('calcA'!W$106=1,1-DU7,0)+IF('calcA'!X$106=1,1-DW7,0))*150+211+'calcA'!X$5*100000+IF(AND($E7=1,JK7=0),50000,0))+IF($H7=1,INDEX('calcA'!$D$180:$EQ$219,$B7,21)*4000,0)-IF(AND('calcA'!W$117=1,UU7&gt;0),2000,0)-IF(AND($U7=1,'calcA'!X$117=1,DW7=0),2000,0))),1000000000))</f>
        <v/>
      </c>
      <c r="PA7">
        <f>IF($B7=0,1000000000,IF(INDEX('calcA'!$D$60:$EQ$99,$B7,22)*IF($W7=1,DW7+AAL7,DW7)=1,IF(AND($E7=2,IF($W7=1,AGA7,JL7)=0),1000000000,IF($V7=1,INDEX('calcA'!$D$130:$EQ$169,$B7,22)+IF(AND($E7=1,JL7=0),25,0),IF($F7&gt;0,INDEX('calcA'!Y$110:Y$114,$F7+1)+IF(AND($E7=1,JL7=0),1000,0),MIN(TU7,20)*400+(IF('calcA'!X$106=1,1-DV7,0)+IF('calcA'!Y$106=1,1-DX7,0))*150+221+'calcA'!Y$5*100000+IF(AND($E7=1,JL7=0),50000,0))+IF($H7=1,INDEX('calcA'!$D$180:$EQ$219,$B7,22)*4000,0)-IF(AND('calcA'!X$117=1,UV7&gt;0),2000,0)-IF(AND($U7=1,'calcA'!Y$117=1,DX7=0),2000,0))),1000000000))</f>
        <v/>
      </c>
      <c r="PB7">
        <f>IF($B7=0,1000000000,IF(INDEX('calcA'!$D$60:$EQ$99,$B7,23)*IF($W7=1,DX7+AAM7,DX7)=1,IF(AND($E7=2,IF($W7=1,AGB7,JM7)=0),1000000000,IF($V7=1,INDEX('calcA'!$D$130:$EQ$169,$B7,23)+IF(AND($E7=1,JM7=0),25,0),IF($F7&gt;0,INDEX('calcA'!Z$110:Z$114,$F7+1)+IF(AND($E7=1,JM7=0),1000,0),MIN(TU7,20)*400+(IF('calcA'!Y$106=1,1-DW7,0)+IF('calcA'!Z$106=1,1-DY7,0))*150+231+'calcA'!Z$5*100000+IF(AND($E7=1,JM7=0),50000,0))+IF($H7=1,INDEX('calcA'!$D$180:$EQ$219,$B7,23)*4000,0)-IF(AND('calcA'!Y$117=1,UW7&gt;0),2000,0)-IF(AND($U7=1,'calcA'!Z$117=1,DY7=0),2000,0))),1000000000))</f>
        <v/>
      </c>
      <c r="PC7">
        <f>IF($B7=0,1000000000,IF(INDEX('calcA'!$D$60:$EQ$99,$B7,24)*IF($W7=1,DY7+AAN7,DY7)=1,IF(AND($E7=2,IF($W7=1,AGC7,JN7)=0),1000000000,IF($V7=1,INDEX('calcA'!$D$130:$EQ$169,$B7,24)+IF(AND($E7=1,JN7=0),25,0),IF($F7&gt;0,INDEX('calcA'!AA$110:AA$114,$F7+1)+IF(AND($E7=1,JN7=0),1000,0),MIN(TU7,20)*400+(IF('calcA'!Z$106=1,1-DX7,0))*150+241+'calcA'!AA$5*100000+IF(AND($E7=1,JN7=0),50000,0))+IF($H7=1,INDEX('calcA'!$D$180:$EQ$219,$B7,24)*4000,0)-IF(AND('calcA'!Z$117=1,UX7&gt;0),2000,0))),1000000000))</f>
        <v/>
      </c>
      <c r="PD7">
        <f>IF($B7=0,1000000000,IF(INDEX('calcA'!$D$60:$EQ$99,$B7,25)*IF($W7=1,DZ7+AAO7,DZ7)=1,IF(AND($E7=2,IF($W7=1,AGD7,JO7)=0),1000000000,IF($V7=1,INDEX('calcA'!$D$130:$EQ$169,$B7,25)+IF(AND($E7=1,JO7=0),25,0),IF($F7&gt;0,INDEX('calcA'!AB$110:AB$114,$F7+1)+IF(AND($E7=1,JO7=0),1000,0),MIN(TV7,20)*400+(IF('calcA'!AB$106=1,1-EA7,0))*150+12+'calcA'!AB$5*100000+IF(AND($E7=1,JO7=0),50000,0))+IF($H7=1,INDEX('calcA'!$D$180:$EQ$219,$B7,25)*4000,0)-IF(AND($U7=1,'calcA'!AB$117=1,EA7=0),2000,0))),1000000000))</f>
        <v/>
      </c>
      <c r="PE7">
        <f>IF($B7=0,1000000000,IF(INDEX('calcA'!$D$60:$EQ$99,$B7,26)*IF($W7=1,EA7+AAP7,EA7)=1,IF(AND($E7=2,IF($W7=1,AGE7,JP7)=0),1000000000,IF($V7=1,INDEX('calcA'!$D$130:$EQ$169,$B7,26)+IF(AND($E7=1,JP7=0),25,0),IF($F7&gt;0,INDEX('calcA'!AC$110:AC$114,$F7+1)+IF(AND($E7=1,JP7=0),1000,0),MIN(TV7,20)*400+(IF('calcA'!AB$106=1,1-DZ7,0)+IF('calcA'!AC$106=1,1-EB7,0))*150+22+'calcA'!AC$5*100000+IF(AND($E7=1,JP7=0),50000,0))+IF($H7=1,INDEX('calcA'!$D$180:$EQ$219,$B7,26)*4000,0)-IF(AND('calcA'!AB$117=1,UZ7&gt;0),2000,0)-IF(AND($U7=1,'calcA'!AC$117=1,EB7=0),2000,0))),1000000000))</f>
        <v/>
      </c>
      <c r="PF7">
        <f>IF($B7=0,1000000000,IF(INDEX('calcA'!$D$60:$EQ$99,$B7,27)*IF($W7=1,EB7+AAQ7,EB7)=1,IF(AND($E7=2,IF($W7=1,AGF7,JQ7)=0),1000000000,IF($V7=1,INDEX('calcA'!$D$130:$EQ$169,$B7,27)+IF(AND($E7=1,JQ7=0),25,0),IF($F7&gt;0,INDEX('calcA'!AD$110:AD$114,$F7+1)+IF(AND($E7=1,JQ7=0),1000,0),MIN(TV7,20)*400+(IF('calcA'!AC$106=1,1-EA7,0)+IF('calcA'!AD$106=1,1-EC7,0))*150+32+'calcA'!AD$5*100000+IF(AND($E7=1,JQ7=0),50000,0))+IF($H7=1,INDEX('calcA'!$D$180:$EQ$219,$B7,27)*4000,0)-IF(AND('calcA'!AC$117=1,VA7&gt;0),2000,0)-IF(AND($U7=1,'calcA'!AD$117=1,EC7=0),2000,0))),1000000000))</f>
        <v/>
      </c>
      <c r="PG7">
        <f>IF($B7=0,1000000000,IF(INDEX('calcA'!$D$60:$EQ$99,$B7,28)*IF($W7=1,EC7+AAR7,EC7)=1,IF(AND($E7=2,IF($W7=1,AGG7,JR7)=0),1000000000,IF($V7=1,INDEX('calcA'!$D$130:$EQ$169,$B7,28)+IF(AND($E7=1,JR7=0),25,0),IF($F7&gt;0,INDEX('calcA'!AE$110:AE$114,$F7+1)+IF(AND($E7=1,JR7=0),1000,0),MIN(TV7,20)*400+(IF('calcA'!AD$106=1,1-EB7,0)+IF('calcA'!AE$106=1,1-ED7,0))*150+42+'calcA'!AE$5*100000+IF(AND($E7=1,JR7=0),50000,0))+IF($H7=1,INDEX('calcA'!$D$180:$EQ$219,$B7,28)*4000,0)-IF(AND('calcA'!AD$117=1,VB7&gt;0),2000,0)-IF(AND($U7=1,'calcA'!AE$117=1,ED7=0),2000,0))),1000000000))</f>
        <v/>
      </c>
      <c r="PH7">
        <f>IF($B7=0,1000000000,IF(INDEX('calcA'!$D$60:$EQ$99,$B7,29)*IF($W7=1,ED7+AAS7,ED7)=1,IF(AND($E7=2,IF($W7=1,AGH7,JS7)=0),1000000000,IF($V7=1,INDEX('calcA'!$D$130:$EQ$169,$B7,29)+IF(AND($E7=1,JS7=0),25,0),IF($F7&gt;0,INDEX('calcA'!AF$110:AF$114,$F7+1)+IF(AND($E7=1,JS7=0),1000,0),MIN(TV7,20)*400+(IF('calcA'!AE$106=1,1-EC7,0)+IF('calcA'!AF$106=1,1-EE7,0))*150+52+'calcA'!AF$5*100000+IF(AND($E7=1,JS7=0),50000,0))+IF($H7=1,INDEX('calcA'!$D$180:$EQ$219,$B7,29)*4000,0)-IF(AND('calcA'!AE$117=1,VC7&gt;0),2000,0)-IF(AND($U7=1,'calcA'!AF$117=1,EE7=0),2000,0))),1000000000))</f>
        <v/>
      </c>
      <c r="PI7">
        <f>IF($B7=0,1000000000,IF(INDEX('calcA'!$D$60:$EQ$99,$B7,30)*IF($W7=1,EE7+AAT7,EE7)=1,IF(AND($E7=2,IF($W7=1,AGI7,JT7)=0),1000000000,IF($V7=1,INDEX('calcA'!$D$130:$EQ$169,$B7,30)+IF(AND($E7=1,JT7=0),25,0),IF($F7&gt;0,INDEX('calcA'!AG$110:AG$114,$F7+1)+IF(AND($E7=1,JT7=0),1000,0),MIN(TV7,20)*400+(IF('calcA'!AF$106=1,1-ED7,0)+IF('calcA'!AG$106=1,1-EF7,0))*150+62+'calcA'!AG$5*100000+IF(AND($E7=1,JT7=0),50000,0))+IF($H7=1,INDEX('calcA'!$D$180:$EQ$219,$B7,30)*4000,0)-IF(AND('calcA'!AF$117=1,VD7&gt;0),2000,0)-IF(AND($U7=1,'calcA'!AG$117=1,EF7=0),2000,0))),1000000000))</f>
        <v/>
      </c>
      <c r="PJ7">
        <f>IF($B7=0,1000000000,IF(INDEX('calcA'!$D$60:$EQ$99,$B7,31)*IF($W7=1,EF7+AAU7,EF7)=1,IF(AND($E7=2,IF($W7=1,AGJ7,JU7)=0),1000000000,IF($V7=1,INDEX('calcA'!$D$130:$EQ$169,$B7,31)+IF(AND($E7=1,JU7=0),25,0),IF($F7&gt;0,INDEX('calcA'!AH$110:AH$114,$F7+1)+IF(AND($E7=1,JU7=0),1000,0),MIN(TV7,20)*400+(IF('calcA'!AG$106=1,1-EE7,0)+IF('calcA'!AH$106=1,1-EG7,0))*150+72+'calcA'!AH$5*100000+IF(AND($E7=1,JU7=0),50000,0))+IF($H7=1,INDEX('calcA'!$D$180:$EQ$219,$B7,31)*4000,0)-IF(AND('calcA'!AG$117=1,VE7&gt;0),2000,0)-IF(AND($U7=1,'calcA'!AH$117=1,EG7=0),2000,0))),1000000000))</f>
        <v/>
      </c>
      <c r="PK7">
        <f>IF($B7=0,1000000000,IF(INDEX('calcA'!$D$60:$EQ$99,$B7,32)*IF($W7=1,EG7+AAV7,EG7)=1,IF(AND($E7=2,IF($W7=1,AGK7,JV7)=0),1000000000,IF($V7=1,INDEX('calcA'!$D$130:$EQ$169,$B7,32)+IF(AND($E7=1,JV7=0),25,0),IF($F7&gt;0,INDEX('calcA'!AI$110:AI$114,$F7+1)+IF(AND($E7=1,JV7=0),1000,0),MIN(TV7,20)*400+(IF('calcA'!AH$106=1,1-EF7,0)+IF('calcA'!AI$106=1,1-EH7,0))*150+82+'calcA'!AI$5*100000+IF(AND($E7=1,JV7=0),50000,0))+IF($H7=1,INDEX('calcA'!$D$180:$EQ$219,$B7,32)*4000,0)-IF(AND('calcA'!AH$117=1,VF7&gt;0),2000,0)-IF(AND($U7=1,'calcA'!AI$117=1,EH7=0),2000,0))),1000000000))</f>
        <v/>
      </c>
      <c r="PL7">
        <f>IF($B7=0,1000000000,IF(INDEX('calcA'!$D$60:$EQ$99,$B7,33)*IF($W7=1,EH7+AAW7,EH7)=1,IF(AND($E7=2,IF($W7=1,AGL7,JW7)=0),1000000000,IF($V7=1,INDEX('calcA'!$D$130:$EQ$169,$B7,33)+IF(AND($E7=1,JW7=0),25,0),IF($F7&gt;0,INDEX('calcA'!AJ$110:AJ$114,$F7+1)+IF(AND($E7=1,JW7=0),1000,0),MIN(TV7,20)*400+(IF('calcA'!AI$106=1,1-EG7,0)+IF('calcA'!AJ$106=1,1-EI7,0))*150+92+'calcA'!AJ$5*100000+IF(AND($E7=1,JW7=0),50000,0))+IF($H7=1,INDEX('calcA'!$D$180:$EQ$219,$B7,33)*4000,0)-IF(AND('calcA'!AI$117=1,VG7&gt;0),2000,0)-IF(AND($U7=1,'calcA'!AJ$117=1,EI7=0),2000,0))),1000000000))</f>
        <v/>
      </c>
      <c r="PM7">
        <f>IF($B7=0,1000000000,IF(INDEX('calcA'!$D$60:$EQ$99,$B7,34)*IF($W7=1,EI7+AAX7,EI7)=1,IF(AND($E7=2,IF($W7=1,AGM7,JX7)=0),1000000000,IF($V7=1,INDEX('calcA'!$D$130:$EQ$169,$B7,34)+IF(AND($E7=1,JX7=0),25,0),IF($F7&gt;0,INDEX('calcA'!AK$110:AK$114,$F7+1)+IF(AND($E7=1,JX7=0),1000,0),MIN(TV7,20)*400+(IF('calcA'!AJ$106=1,1-EH7,0)+IF('calcA'!AK$106=1,1-EJ7,0))*150+102+'calcA'!AK$5*100000+IF(AND($E7=1,JX7=0),50000,0))+IF($H7=1,INDEX('calcA'!$D$180:$EQ$219,$B7,34)*4000,0)-IF(AND('calcA'!AJ$117=1,VH7&gt;0),2000,0)-IF(AND($U7=1,'calcA'!AK$117=1,EJ7=0),2000,0))),1000000000))</f>
        <v/>
      </c>
      <c r="PN7">
        <f>IF($B7=0,1000000000,IF(INDEX('calcA'!$D$60:$EQ$99,$B7,35)*IF($W7=1,EJ7+AAY7,EJ7)=1,IF(AND($E7=2,IF($W7=1,AGN7,JY7)=0),1000000000,IF($V7=1,INDEX('calcA'!$D$130:$EQ$169,$B7,35)+IF(AND($E7=1,JY7=0),25,0),IF($F7&gt;0,INDEX('calcA'!AL$110:AL$114,$F7+1)+IF(AND($E7=1,JY7=0),1000,0),MIN(TV7,20)*400+(IF('calcA'!AK$106=1,1-EI7,0)+IF('calcA'!AL$106=1,1-EK7,0))*150+112+'calcA'!AL$5*100000+IF(AND($E7=1,JY7=0),50000,0))+IF($H7=1,INDEX('calcA'!$D$180:$EQ$219,$B7,35)*4000,0)-IF(AND('calcA'!AK$117=1,VI7&gt;0),2000,0)-IF(AND($U7=1,'calcA'!AL$117=1,EK7=0),2000,0))),1000000000))</f>
        <v/>
      </c>
      <c r="PO7">
        <f>IF($B7=0,1000000000,IF(INDEX('calcA'!$D$60:$EQ$99,$B7,36)*IF($W7=1,EK7+AAZ7,EK7)=1,IF(AND($E7=2,IF($W7=1,AGO7,JZ7)=0),1000000000,IF($V7=1,INDEX('calcA'!$D$130:$EQ$169,$B7,36)+IF(AND($E7=1,JZ7=0),25,0),IF($F7&gt;0,INDEX('calcA'!AM$110:AM$114,$F7+1)+IF(AND($E7=1,JZ7=0),1000,0),MIN(TV7,20)*400+(IF('calcA'!AL$106=1,1-EJ7,0)+IF('calcA'!AM$106=1,1-EL7,0))*150+122+'calcA'!AM$5*100000+IF(AND($E7=1,JZ7=0),50000,0))+IF($H7=1,INDEX('calcA'!$D$180:$EQ$219,$B7,36)*4000,0)-IF(AND('calcA'!AL$117=1,VJ7&gt;0),2000,0)-IF(AND($U7=1,'calcA'!AM$117=1,EL7=0),2000,0))),1000000000))</f>
        <v/>
      </c>
      <c r="PP7">
        <f>IF($B7=0,1000000000,IF(INDEX('calcA'!$D$60:$EQ$99,$B7,37)*IF($W7=1,EL7+ABA7,EL7)=1,IF(AND($E7=2,IF($W7=1,AGP7,KA7)=0),1000000000,IF($V7=1,INDEX('calcA'!$D$130:$EQ$169,$B7,37)+IF(AND($E7=1,KA7=0),25,0),IF($F7&gt;0,INDEX('calcA'!AN$110:AN$114,$F7+1)+IF(AND($E7=1,KA7=0),1000,0),MIN(TV7,20)*400+(IF('calcA'!AM$106=1,1-EK7,0)+IF('calcA'!AN$106=1,1-EM7,0))*150+132+'calcA'!AN$5*100000+IF(AND($E7=1,KA7=0),50000,0))+IF($H7=1,INDEX('calcA'!$D$180:$EQ$219,$B7,37)*4000,0)-IF(AND('calcA'!AM$117=1,VK7&gt;0),2000,0)-IF(AND($U7=1,'calcA'!AN$117=1,EM7=0),2000,0))),1000000000))</f>
        <v/>
      </c>
      <c r="PQ7">
        <f>IF($B7=0,1000000000,IF(INDEX('calcA'!$D$60:$EQ$99,$B7,38)*IF($W7=1,EM7+ABB7,EM7)=1,IF(AND($E7=2,IF($W7=1,AGQ7,KB7)=0),1000000000,IF($V7=1,INDEX('calcA'!$D$130:$EQ$169,$B7,38)+IF(AND($E7=1,KB7=0),25,0),IF($F7&gt;0,INDEX('calcA'!AO$110:AO$114,$F7+1)+IF(AND($E7=1,KB7=0),1000,0),MIN(TV7,20)*400+(IF('calcA'!AN$106=1,1-EL7,0)+IF('calcA'!AO$106=1,1-EN7,0))*150+142+'calcA'!AO$5*100000+IF(AND($E7=1,KB7=0),50000,0))+IF($H7=1,INDEX('calcA'!$D$180:$EQ$219,$B7,38)*4000,0)-IF(AND('calcA'!AN$117=1,VL7&gt;0),2000,0)-IF(AND($U7=1,'calcA'!AO$117=1,EN7=0),2000,0))),1000000000))</f>
        <v/>
      </c>
      <c r="PR7">
        <f>IF($B7=0,1000000000,IF(INDEX('calcA'!$D$60:$EQ$99,$B7,39)*IF($W7=1,EN7+ABC7,EN7)=1,IF(AND($E7=2,IF($W7=1,AGR7,KC7)=0),1000000000,IF($V7=1,INDEX('calcA'!$D$130:$EQ$169,$B7,39)+IF(AND($E7=1,KC7=0),25,0),IF($F7&gt;0,INDEX('calcA'!AP$110:AP$114,$F7+1)+IF(AND($E7=1,KC7=0),1000,0),MIN(TV7,20)*400+(IF('calcA'!AO$106=1,1-EM7,0)+IF('calcA'!AP$106=1,1-EO7,0))*150+152+'calcA'!AP$5*100000+IF(AND($E7=1,KC7=0),50000,0))+IF($H7=1,INDEX('calcA'!$D$180:$EQ$219,$B7,39)*4000,0)-IF(AND('calcA'!AO$117=1,VM7&gt;0),2000,0)-IF(AND($U7=1,'calcA'!AP$117=1,EO7=0),2000,0))),1000000000))</f>
        <v/>
      </c>
      <c r="PS7">
        <f>IF($B7=0,1000000000,IF(INDEX('calcA'!$D$60:$EQ$99,$B7,40)*IF($W7=1,EO7+ABD7,EO7)=1,IF(AND($E7=2,IF($W7=1,AGS7,KD7)=0),1000000000,IF($V7=1,INDEX('calcA'!$D$130:$EQ$169,$B7,40)+IF(AND($E7=1,KD7=0),25,0),IF($F7&gt;0,INDEX('calcA'!AQ$110:AQ$114,$F7+1)+IF(AND($E7=1,KD7=0),1000,0),MIN(TV7,20)*400+(IF('calcA'!AP$106=1,1-EN7,0)+IF('calcA'!AQ$106=1,1-EP7,0))*150+162+'calcA'!AQ$5*100000+IF(AND($E7=1,KD7=0),50000,0))+IF($H7=1,INDEX('calcA'!$D$180:$EQ$219,$B7,40)*4000,0)-IF(AND('calcA'!AP$117=1,VN7&gt;0),2000,0)-IF(AND($U7=1,'calcA'!AQ$117=1,EP7=0),2000,0))),1000000000))</f>
        <v/>
      </c>
      <c r="PT7">
        <f>IF($B7=0,1000000000,IF(INDEX('calcA'!$D$60:$EQ$99,$B7,41)*IF($W7=1,EP7+ABE7,EP7)=1,IF(AND($E7=2,IF($W7=1,AGT7,KE7)=0),1000000000,IF($V7=1,INDEX('calcA'!$D$130:$EQ$169,$B7,41)+IF(AND($E7=1,KE7=0),25,0),IF($F7&gt;0,INDEX('calcA'!AR$110:AR$114,$F7+1)+IF(AND($E7=1,KE7=0),1000,0),MIN(TV7,20)*400+(IF('calcA'!AQ$106=1,1-EO7,0)+IF('calcA'!AR$106=1,1-EQ7,0))*150+172+'calcA'!AR$5*100000+IF(AND($E7=1,KE7=0),50000,0))+IF($H7=1,INDEX('calcA'!$D$180:$EQ$219,$B7,41)*4000,0)-IF(AND('calcA'!AQ$117=1,VO7&gt;0),2000,0)-IF(AND($U7=1,'calcA'!AR$117=1,EQ7=0),2000,0))),1000000000))</f>
        <v/>
      </c>
      <c r="PU7">
        <f>IF($B7=0,1000000000,IF(INDEX('calcA'!$D$60:$EQ$99,$B7,42)*IF($W7=1,EQ7+ABF7,EQ7)=1,IF(AND($E7=2,IF($W7=1,AGU7,KF7)=0),1000000000,IF($V7=1,INDEX('calcA'!$D$130:$EQ$169,$B7,42)+IF(AND($E7=1,KF7=0),25,0),IF($F7&gt;0,INDEX('calcA'!AS$110:AS$114,$F7+1)+IF(AND($E7=1,KF7=0),1000,0),MIN(TV7,20)*400+(IF('calcA'!AR$106=1,1-EP7,0)+IF('calcA'!AS$106=1,1-ER7,0))*150+182+'calcA'!AS$5*100000+IF(AND($E7=1,KF7=0),50000,0))+IF($H7=1,INDEX('calcA'!$D$180:$EQ$219,$B7,42)*4000,0)-IF(AND('calcA'!AR$117=1,VP7&gt;0),2000,0)-IF(AND($U7=1,'calcA'!AS$117=1,ER7=0),2000,0))),1000000000))</f>
        <v/>
      </c>
      <c r="PV7">
        <f>IF($B7=0,1000000000,IF(INDEX('calcA'!$D$60:$EQ$99,$B7,43)*IF($W7=1,ER7+ABG7,ER7)=1,IF(AND($E7=2,IF($W7=1,AGV7,KG7)=0),1000000000,IF($V7=1,INDEX('calcA'!$D$130:$EQ$169,$B7,43)+IF(AND($E7=1,KG7=0),25,0),IF($F7&gt;0,INDEX('calcA'!AT$110:AT$114,$F7+1)+IF(AND($E7=1,KG7=0),1000,0),MIN(TV7,20)*400+(IF('calcA'!AS$106=1,1-EQ7,0)+IF('calcA'!AT$106=1,1-ES7,0))*150+192+'calcA'!AT$5*100000+IF(AND($E7=1,KG7=0),50000,0))+IF($H7=1,INDEX('calcA'!$D$180:$EQ$219,$B7,43)*4000,0)-IF(AND('calcA'!AS$117=1,VQ7&gt;0),2000,0)-IF(AND($U7=1,'calcA'!AT$117=1,ES7=0),2000,0))),1000000000))</f>
        <v/>
      </c>
      <c r="PW7">
        <f>IF($B7=0,1000000000,IF(INDEX('calcA'!$D$60:$EQ$99,$B7,44)*IF($W7=1,ES7+ABH7,ES7)=1,IF(AND($E7=2,IF($W7=1,AGW7,KH7)=0),1000000000,IF($V7=1,INDEX('calcA'!$D$130:$EQ$169,$B7,44)+IF(AND($E7=1,KH7=0),25,0),IF($F7&gt;0,INDEX('calcA'!AU$110:AU$114,$F7+1)+IF(AND($E7=1,KH7=0),1000,0),MIN(TV7,20)*400+(IF('calcA'!AT$106=1,1-ER7,0)+IF('calcA'!AU$106=1,1-ET7,0))*150+202+'calcA'!AU$5*100000+IF(AND($E7=1,KH7=0),50000,0))+IF($H7=1,INDEX('calcA'!$D$180:$EQ$219,$B7,44)*4000,0)-IF(AND('calcA'!AT$117=1,VR7&gt;0),2000,0)-IF(AND($U7=1,'calcA'!AU$117=1,ET7=0),2000,0))),1000000000))</f>
        <v/>
      </c>
      <c r="PX7">
        <f>IF($B7=0,1000000000,IF(INDEX('calcA'!$D$60:$EQ$99,$B7,45)*IF($W7=1,ET7+ABI7,ET7)=1,IF(AND($E7=2,IF($W7=1,AGX7,KI7)=0),1000000000,IF($V7=1,INDEX('calcA'!$D$130:$EQ$169,$B7,45)+IF(AND($E7=1,KI7=0),25,0),IF($F7&gt;0,INDEX('calcA'!AV$110:AV$114,$F7+1)+IF(AND($E7=1,KI7=0),1000,0),MIN(TV7,20)*400+(IF('calcA'!AU$106=1,1-ES7,0)+IF('calcA'!AV$106=1,1-EU7,0))*150+212+'calcA'!AV$5*100000+IF(AND($E7=1,KI7=0),50000,0))+IF($H7=1,INDEX('calcA'!$D$180:$EQ$219,$B7,45)*4000,0)-IF(AND('calcA'!AU$117=1,VS7&gt;0),2000,0)-IF(AND($U7=1,'calcA'!AV$117=1,EU7=0),2000,0))),1000000000))</f>
        <v/>
      </c>
      <c r="PY7">
        <f>IF($B7=0,1000000000,IF(INDEX('calcA'!$D$60:$EQ$99,$B7,46)*IF($W7=1,EU7+ABJ7,EU7)=1,IF(AND($E7=2,IF($W7=1,AGY7,KJ7)=0),1000000000,IF($V7=1,INDEX('calcA'!$D$130:$EQ$169,$B7,46)+IF(AND($E7=1,KJ7=0),25,0),IF($F7&gt;0,INDEX('calcA'!AW$110:AW$114,$F7+1)+IF(AND($E7=1,KJ7=0),1000,0),MIN(TV7,20)*400+(IF('calcA'!AV$106=1,1-ET7,0)+IF('calcA'!AW$106=1,1-EV7,0))*150+222+'calcA'!AW$5*100000+IF(AND($E7=1,KJ7=0),50000,0))+IF($H7=1,INDEX('calcA'!$D$180:$EQ$219,$B7,46)*4000,0)-IF(AND('calcA'!AV$117=1,VT7&gt;0),2000,0)-IF(AND($U7=1,'calcA'!AW$117=1,EV7=0),2000,0))),1000000000))</f>
        <v/>
      </c>
      <c r="PZ7">
        <f>IF($B7=0,1000000000,IF(INDEX('calcA'!$D$60:$EQ$99,$B7,47)*IF($W7=1,EV7+ABK7,EV7)=1,IF(AND($E7=2,IF($W7=1,AGZ7,KK7)=0),1000000000,IF($V7=1,INDEX('calcA'!$D$130:$EQ$169,$B7,47)+IF(AND($E7=1,KK7=0),25,0),IF($F7&gt;0,INDEX('calcA'!AX$110:AX$114,$F7+1)+IF(AND($E7=1,KK7=0),1000,0),MIN(TV7,20)*400+(IF('calcA'!AW$106=1,1-EU7,0)+IF('calcA'!AX$106=1,1-EW7,0))*150+232+'calcA'!AX$5*100000+IF(AND($E7=1,KK7=0),50000,0))+IF($H7=1,INDEX('calcA'!$D$180:$EQ$219,$B7,47)*4000,0)-IF(AND('calcA'!AW$117=1,VU7&gt;0),2000,0)-IF(AND($U7=1,'calcA'!AX$117=1,EW7=0),2000,0))),1000000000))</f>
        <v/>
      </c>
      <c r="QA7">
        <f>IF($B7=0,1000000000,IF(INDEX('calcA'!$D$60:$EQ$99,$B7,48)*IF($W7=1,EW7+ABL7,EW7)=1,IF(AND($E7=2,IF($W7=1,AHA7,KL7)=0),1000000000,IF($V7=1,INDEX('calcA'!$D$130:$EQ$169,$B7,48)+IF(AND($E7=1,KL7=0),25,0),IF($F7&gt;0,INDEX('calcA'!AY$110:AY$114,$F7+1)+IF(AND($E7=1,KL7=0),1000,0),MIN(TV7,20)*400+(IF('calcA'!AX$106=1,1-EV7,0))*150+242+'calcA'!AY$5*100000+IF(AND($E7=1,KL7=0),50000,0))+IF($H7=1,INDEX('calcA'!$D$180:$EQ$219,$B7,48)*4000,0)-IF(AND('calcA'!AX$117=1,VV7&gt;0),2000,0))),1000000000))</f>
        <v/>
      </c>
      <c r="QB7">
        <f>IF($B7=0,1000000000,IF(INDEX('calcA'!$D$60:$EQ$99,$B7,49)*IF($W7=1,EX7+ABM7,EX7)=1,IF(AND($E7=2,IF($W7=1,AHB7,KM7)=0),1000000000,IF($V7=1,INDEX('calcA'!$D$130:$EQ$169,$B7,49)+IF(AND($E7=1,KM7=0),25,0),IF($F7&gt;0,INDEX('calcA'!AZ$110:AZ$114,$F7+1)+IF(AND($E7=1,KM7=0),1000,0),MIN(TW7,20)*400+(IF('calcA'!AZ$106=1,1-EY7,0))*150+13+'calcA'!AZ$5*100000+IF(AND($E7=1,KM7=0),50000,0))+IF($H7=1,INDEX('calcA'!$D$180:$EQ$219,$B7,49)*4000,0)-IF(AND($U7=1,'calcA'!AZ$117=1,EY7=0),2000,0))),1000000000))</f>
        <v/>
      </c>
      <c r="QC7">
        <f>IF($B7=0,1000000000,IF(INDEX('calcA'!$D$60:$EQ$99,$B7,50)*IF($W7=1,EY7+ABN7,EY7)=1,IF(AND($E7=2,IF($W7=1,AHC7,KN7)=0),1000000000,IF($V7=1,INDEX('calcA'!$D$130:$EQ$169,$B7,50)+IF(AND($E7=1,KN7=0),25,0),IF($F7&gt;0,INDEX('calcA'!BA$110:BA$114,$F7+1)+IF(AND($E7=1,KN7=0),1000,0),MIN(TW7,20)*400+(IF('calcA'!AZ$106=1,1-EX7,0)+IF('calcA'!BA$106=1,1-EZ7,0))*150+23+'calcA'!BA$5*100000+IF(AND($E7=1,KN7=0),50000,0))+IF($H7=1,INDEX('calcA'!$D$180:$EQ$219,$B7,50)*4000,0)-IF(AND('calcA'!AZ$117=1,VX7&gt;0),2000,0)-IF(AND($U7=1,'calcA'!BA$117=1,EZ7=0),2000,0))),1000000000))</f>
        <v/>
      </c>
      <c r="QD7">
        <f>IF($B7=0,1000000000,IF(INDEX('calcA'!$D$60:$EQ$99,$B7,51)*IF($W7=1,EZ7+ABO7,EZ7)=1,IF(AND($E7=2,IF($W7=1,AHD7,KO7)=0),1000000000,IF($V7=1,INDEX('calcA'!$D$130:$EQ$169,$B7,51)+IF(AND($E7=1,KO7=0),25,0),IF($F7&gt;0,INDEX('calcA'!BB$110:BB$114,$F7+1)+IF(AND($E7=1,KO7=0),1000,0),MIN(TW7,20)*400+(IF('calcA'!BA$106=1,1-EY7,0)+IF('calcA'!BB$106=1,1-FA7,0))*150+33+'calcA'!BB$5*100000+IF(AND($E7=1,KO7=0),50000,0))+IF($H7=1,INDEX('calcA'!$D$180:$EQ$219,$B7,51)*4000,0)-IF(AND('calcA'!BA$117=1,VY7&gt;0),2000,0)-IF(AND($U7=1,'calcA'!BB$117=1,FA7=0),2000,0))),1000000000))</f>
        <v/>
      </c>
      <c r="QE7">
        <f>IF($B7=0,1000000000,IF(INDEX('calcA'!$D$60:$EQ$99,$B7,52)*IF($W7=1,FA7+ABP7,FA7)=1,IF(AND($E7=2,IF($W7=1,AHE7,KP7)=0),1000000000,IF($V7=1,INDEX('calcA'!$D$130:$EQ$169,$B7,52)+IF(AND($E7=1,KP7=0),25,0),IF($F7&gt;0,INDEX('calcA'!BC$110:BC$114,$F7+1)+IF(AND($E7=1,KP7=0),1000,0),MIN(TW7,20)*400+(IF('calcA'!BB$106=1,1-EZ7,0)+IF('calcA'!BC$106=1,1-FB7,0))*150+43+'calcA'!BC$5*100000+IF(AND($E7=1,KP7=0),50000,0))+IF($H7=1,INDEX('calcA'!$D$180:$EQ$219,$B7,52)*4000,0)-IF(AND('calcA'!BB$117=1,VZ7&gt;0),2000,0)-IF(AND($U7=1,'calcA'!BC$117=1,FB7=0),2000,0))),1000000000))</f>
        <v/>
      </c>
      <c r="QF7">
        <f>IF($B7=0,1000000000,IF(INDEX('calcA'!$D$60:$EQ$99,$B7,53)*IF($W7=1,FB7+ABQ7,FB7)=1,IF(AND($E7=2,IF($W7=1,AHF7,KQ7)=0),1000000000,IF($V7=1,INDEX('calcA'!$D$130:$EQ$169,$B7,53)+IF(AND($E7=1,KQ7=0),25,0),IF($F7&gt;0,INDEX('calcA'!BD$110:BD$114,$F7+1)+IF(AND($E7=1,KQ7=0),1000,0),MIN(TW7,20)*400+(IF('calcA'!BC$106=1,1-FA7,0)+IF('calcA'!BD$106=1,1-FC7,0))*150+53+'calcA'!BD$5*100000+IF(AND($E7=1,KQ7=0),50000,0))+IF($H7=1,INDEX('calcA'!$D$180:$EQ$219,$B7,53)*4000,0)-IF(AND('calcA'!BC$117=1,WA7&gt;0),2000,0)-IF(AND($U7=1,'calcA'!BD$117=1,FC7=0),2000,0))),1000000000))</f>
        <v/>
      </c>
      <c r="QG7">
        <f>IF($B7=0,1000000000,IF(INDEX('calcA'!$D$60:$EQ$99,$B7,54)*IF($W7=1,FC7+ABR7,FC7)=1,IF(AND($E7=2,IF($W7=1,AHG7,KR7)=0),1000000000,IF($V7=1,INDEX('calcA'!$D$130:$EQ$169,$B7,54)+IF(AND($E7=1,KR7=0),25,0),IF($F7&gt;0,INDEX('calcA'!BE$110:BE$114,$F7+1)+IF(AND($E7=1,KR7=0),1000,0),MIN(TW7,20)*400+(IF('calcA'!BD$106=1,1-FB7,0)+IF('calcA'!BE$106=1,1-FD7,0))*150+63+'calcA'!BE$5*100000+IF(AND($E7=1,KR7=0),50000,0))+IF($H7=1,INDEX('calcA'!$D$180:$EQ$219,$B7,54)*4000,0)-IF(AND('calcA'!BD$117=1,WB7&gt;0),2000,0)-IF(AND($U7=1,'calcA'!BE$117=1,FD7=0),2000,0))),1000000000))</f>
        <v/>
      </c>
      <c r="QH7">
        <f>IF($B7=0,1000000000,IF(INDEX('calcA'!$D$60:$EQ$99,$B7,55)*IF($W7=1,FD7+ABS7,FD7)=1,IF(AND($E7=2,IF($W7=1,AHH7,KS7)=0),1000000000,IF($V7=1,INDEX('calcA'!$D$130:$EQ$169,$B7,55)+IF(AND($E7=1,KS7=0),25,0),IF($F7&gt;0,INDEX('calcA'!BF$110:BF$114,$F7+1)+IF(AND($E7=1,KS7=0),1000,0),MIN(TW7,20)*400+(IF('calcA'!BE$106=1,1-FC7,0)+IF('calcA'!BF$106=1,1-FE7,0))*150+73+'calcA'!BF$5*100000+IF(AND($E7=1,KS7=0),50000,0))+IF($H7=1,INDEX('calcA'!$D$180:$EQ$219,$B7,55)*4000,0)-IF(AND('calcA'!BE$117=1,WC7&gt;0),2000,0)-IF(AND($U7=1,'calcA'!BF$117=1,FE7=0),2000,0))),1000000000))</f>
        <v/>
      </c>
      <c r="QI7">
        <f>IF($B7=0,1000000000,IF(INDEX('calcA'!$D$60:$EQ$99,$B7,56)*IF($W7=1,FE7+ABT7,FE7)=1,IF(AND($E7=2,IF($W7=1,AHI7,KT7)=0),1000000000,IF($V7=1,INDEX('calcA'!$D$130:$EQ$169,$B7,56)+IF(AND($E7=1,KT7=0),25,0),IF($F7&gt;0,INDEX('calcA'!BG$110:BG$114,$F7+1)+IF(AND($E7=1,KT7=0),1000,0),MIN(TW7,20)*400+(IF('calcA'!BF$106=1,1-FD7,0)+IF('calcA'!BG$106=1,1-FF7,0))*150+83+'calcA'!BG$5*100000+IF(AND($E7=1,KT7=0),50000,0))+IF($H7=1,INDEX('calcA'!$D$180:$EQ$219,$B7,56)*4000,0)-IF(AND('calcA'!BF$117=1,WD7&gt;0),2000,0)-IF(AND($U7=1,'calcA'!BG$117=1,FF7=0),2000,0))),1000000000))</f>
        <v/>
      </c>
      <c r="QJ7">
        <f>IF($B7=0,1000000000,IF(INDEX('calcA'!$D$60:$EQ$99,$B7,57)*IF($W7=1,FF7+ABU7,FF7)=1,IF(AND($E7=2,IF($W7=1,AHJ7,KU7)=0),1000000000,IF($V7=1,INDEX('calcA'!$D$130:$EQ$169,$B7,57)+IF(AND($E7=1,KU7=0),25,0),IF($F7&gt;0,INDEX('calcA'!BH$110:BH$114,$F7+1)+IF(AND($E7=1,KU7=0),1000,0),MIN(TW7,20)*400+(IF('calcA'!BG$106=1,1-FE7,0)+IF('calcA'!BH$106=1,1-FG7,0))*150+93+'calcA'!BH$5*100000+IF(AND($E7=1,KU7=0),50000,0))+IF($H7=1,INDEX('calcA'!$D$180:$EQ$219,$B7,57)*4000,0)-IF(AND('calcA'!BG$117=1,WE7&gt;0),2000,0)-IF(AND($U7=1,'calcA'!BH$117=1,FG7=0),2000,0))),1000000000))</f>
        <v/>
      </c>
      <c r="QK7">
        <f>IF($B7=0,1000000000,IF(INDEX('calcA'!$D$60:$EQ$99,$B7,58)*IF($W7=1,FG7+ABV7,FG7)=1,IF(AND($E7=2,IF($W7=1,AHK7,KV7)=0),1000000000,IF($V7=1,INDEX('calcA'!$D$130:$EQ$169,$B7,58)+IF(AND($E7=1,KV7=0),25,0),IF($F7&gt;0,INDEX('calcA'!BI$110:BI$114,$F7+1)+IF(AND($E7=1,KV7=0),1000,0),MIN(TW7,20)*400+(IF('calcA'!BH$106=1,1-FF7,0)+IF('calcA'!BI$106=1,1-FH7,0))*150+103+'calcA'!BI$5*100000+IF(AND($E7=1,KV7=0),50000,0))+IF($H7=1,INDEX('calcA'!$D$180:$EQ$219,$B7,58)*4000,0)-IF(AND('calcA'!BH$117=1,WF7&gt;0),2000,0)-IF(AND($U7=1,'calcA'!BI$117=1,FH7=0),2000,0))),1000000000))</f>
        <v/>
      </c>
      <c r="QL7">
        <f>IF($B7=0,1000000000,IF(INDEX('calcA'!$D$60:$EQ$99,$B7,59)*IF($W7=1,FH7+ABW7,FH7)=1,IF(AND($E7=2,IF($W7=1,AHL7,KW7)=0),1000000000,IF($V7=1,INDEX('calcA'!$D$130:$EQ$169,$B7,59)+IF(AND($E7=1,KW7=0),25,0),IF($F7&gt;0,INDEX('calcA'!BJ$110:BJ$114,$F7+1)+IF(AND($E7=1,KW7=0),1000,0),MIN(TW7,20)*400+(IF('calcA'!BI$106=1,1-FG7,0)+IF('calcA'!BJ$106=1,1-FI7,0))*150+113+'calcA'!BJ$5*100000+IF(AND($E7=1,KW7=0),50000,0))+IF($H7=1,INDEX('calcA'!$D$180:$EQ$219,$B7,59)*4000,0)-IF(AND('calcA'!BI$117=1,WG7&gt;0),2000,0)-IF(AND($U7=1,'calcA'!BJ$117=1,FI7=0),2000,0))),1000000000))</f>
        <v/>
      </c>
      <c r="QM7">
        <f>IF($B7=0,1000000000,IF(INDEX('calcA'!$D$60:$EQ$99,$B7,60)*IF($W7=1,FI7+ABX7,FI7)=1,IF(AND($E7=2,IF($W7=1,AHM7,KX7)=0),1000000000,IF($V7=1,INDEX('calcA'!$D$130:$EQ$169,$B7,60)+IF(AND($E7=1,KX7=0),25,0),IF($F7&gt;0,INDEX('calcA'!BK$110:BK$114,$F7+1)+IF(AND($E7=1,KX7=0),1000,0),MIN(TW7,20)*400+(IF('calcA'!BJ$106=1,1-FH7,0)+IF('calcA'!BK$106=1,1-FJ7,0))*150+123+'calcA'!BK$5*100000+IF(AND($E7=1,KX7=0),50000,0))+IF($H7=1,INDEX('calcA'!$D$180:$EQ$219,$B7,60)*4000,0)-IF(AND('calcA'!BJ$117=1,WH7&gt;0),2000,0)-IF(AND($U7=1,'calcA'!BK$117=1,FJ7=0),2000,0))),1000000000))</f>
        <v/>
      </c>
      <c r="QN7">
        <f>IF($B7=0,1000000000,IF(INDEX('calcA'!$D$60:$EQ$99,$B7,61)*IF($W7=1,FJ7+ABY7,FJ7)=1,IF(AND($E7=2,IF($W7=1,AHN7,KY7)=0),1000000000,IF($V7=1,INDEX('calcA'!$D$130:$EQ$169,$B7,61)+IF(AND($E7=1,KY7=0),25,0),IF($F7&gt;0,INDEX('calcA'!BL$110:BL$114,$F7+1)+IF(AND($E7=1,KY7=0),1000,0),MIN(TW7,20)*400+(IF('calcA'!BK$106=1,1-FI7,0)+IF('calcA'!BL$106=1,1-FK7,0))*150+133+'calcA'!BL$5*100000+IF(AND($E7=1,KY7=0),50000,0))+IF($H7=1,INDEX('calcA'!$D$180:$EQ$219,$B7,61)*4000,0)-IF(AND('calcA'!BK$117=1,WI7&gt;0),2000,0)-IF(AND($U7=1,'calcA'!BL$117=1,FK7=0),2000,0))),1000000000))</f>
        <v/>
      </c>
      <c r="QO7">
        <f>IF($B7=0,1000000000,IF(INDEX('calcA'!$D$60:$EQ$99,$B7,62)*IF($W7=1,FK7+ABZ7,FK7)=1,IF(AND($E7=2,IF($W7=1,AHO7,KZ7)=0),1000000000,IF($V7=1,INDEX('calcA'!$D$130:$EQ$169,$B7,62)+IF(AND($E7=1,KZ7=0),25,0),IF($F7&gt;0,INDEX('calcA'!BM$110:BM$114,$F7+1)+IF(AND($E7=1,KZ7=0),1000,0),MIN(TW7,20)*400+(IF('calcA'!BL$106=1,1-FJ7,0)+IF('calcA'!BM$106=1,1-FL7,0))*150+143+'calcA'!BM$5*100000+IF(AND($E7=1,KZ7=0),50000,0))+IF($H7=1,INDEX('calcA'!$D$180:$EQ$219,$B7,62)*4000,0)-IF(AND('calcA'!BL$117=1,WJ7&gt;0),2000,0)-IF(AND($U7=1,'calcA'!BM$117=1,FL7=0),2000,0))),1000000000))</f>
        <v/>
      </c>
      <c r="QP7">
        <f>IF($B7=0,1000000000,IF(INDEX('calcA'!$D$60:$EQ$99,$B7,63)*IF($W7=1,FL7+ACA7,FL7)=1,IF(AND($E7=2,IF($W7=1,AHP7,LA7)=0),1000000000,IF($V7=1,INDEX('calcA'!$D$130:$EQ$169,$B7,63)+IF(AND($E7=1,LA7=0),25,0),IF($F7&gt;0,INDEX('calcA'!BN$110:BN$114,$F7+1)+IF(AND($E7=1,LA7=0),1000,0),MIN(TW7,20)*400+(IF('calcA'!BM$106=1,1-FK7,0)+IF('calcA'!BN$106=1,1-FM7,0))*150+153+'calcA'!BN$5*100000+IF(AND($E7=1,LA7=0),50000,0))+IF($H7=1,INDEX('calcA'!$D$180:$EQ$219,$B7,63)*4000,0)-IF(AND('calcA'!BM$117=1,WK7&gt;0),2000,0)-IF(AND($U7=1,'calcA'!BN$117=1,FM7=0),2000,0))),1000000000))</f>
        <v/>
      </c>
      <c r="QQ7">
        <f>IF($B7=0,1000000000,IF(INDEX('calcA'!$D$60:$EQ$99,$B7,64)*IF($W7=1,FM7+ACB7,FM7)=1,IF(AND($E7=2,IF($W7=1,AHQ7,LB7)=0),1000000000,IF($V7=1,INDEX('calcA'!$D$130:$EQ$169,$B7,64)+IF(AND($E7=1,LB7=0),25,0),IF($F7&gt;0,INDEX('calcA'!BO$110:BO$114,$F7+1)+IF(AND($E7=1,LB7=0),1000,0),MIN(TW7,20)*400+(IF('calcA'!BN$106=1,1-FL7,0)+IF('calcA'!BO$106=1,1-FN7,0))*150+163+'calcA'!BO$5*100000+IF(AND($E7=1,LB7=0),50000,0))+IF($H7=1,INDEX('calcA'!$D$180:$EQ$219,$B7,64)*4000,0)-IF(AND('calcA'!BN$117=1,WL7&gt;0),2000,0)-IF(AND($U7=1,'calcA'!BO$117=1,FN7=0),2000,0))),1000000000))</f>
        <v/>
      </c>
      <c r="QR7">
        <f>IF($B7=0,1000000000,IF(INDEX('calcA'!$D$60:$EQ$99,$B7,65)*IF($W7=1,FN7+ACC7,FN7)=1,IF(AND($E7=2,IF($W7=1,AHR7,LC7)=0),1000000000,IF($V7=1,INDEX('calcA'!$D$130:$EQ$169,$B7,65)+IF(AND($E7=1,LC7=0),25,0),IF($F7&gt;0,INDEX('calcA'!BP$110:BP$114,$F7+1)+IF(AND($E7=1,LC7=0),1000,0),MIN(TW7,20)*400+(IF('calcA'!BO$106=1,1-FM7,0)+IF('calcA'!BP$106=1,1-FO7,0))*150+173+'calcA'!BP$5*100000+IF(AND($E7=1,LC7=0),50000,0))+IF($H7=1,INDEX('calcA'!$D$180:$EQ$219,$B7,65)*4000,0)-IF(AND('calcA'!BO$117=1,WM7&gt;0),2000,0)-IF(AND($U7=1,'calcA'!BP$117=1,FO7=0),2000,0))),1000000000))</f>
        <v/>
      </c>
      <c r="QS7">
        <f>IF($B7=0,1000000000,IF(INDEX('calcA'!$D$60:$EQ$99,$B7,66)*IF($W7=1,FO7+ACD7,FO7)=1,IF(AND($E7=2,IF($W7=1,AHS7,LD7)=0),1000000000,IF($V7=1,INDEX('calcA'!$D$130:$EQ$169,$B7,66)+IF(AND($E7=1,LD7=0),25,0),IF($F7&gt;0,INDEX('calcA'!BQ$110:BQ$114,$F7+1)+IF(AND($E7=1,LD7=0),1000,0),MIN(TW7,20)*400+(IF('calcA'!BP$106=1,1-FN7,0)+IF('calcA'!BQ$106=1,1-FP7,0))*150+183+'calcA'!BQ$5*100000+IF(AND($E7=1,LD7=0),50000,0))+IF($H7=1,INDEX('calcA'!$D$180:$EQ$219,$B7,66)*4000,0)-IF(AND('calcA'!BP$117=1,WN7&gt;0),2000,0)-IF(AND($U7=1,'calcA'!BQ$117=1,FP7=0),2000,0))),1000000000))</f>
        <v/>
      </c>
      <c r="QT7">
        <f>IF($B7=0,1000000000,IF(INDEX('calcA'!$D$60:$EQ$99,$B7,67)*IF($W7=1,FP7+ACE7,FP7)=1,IF(AND($E7=2,IF($W7=1,AHT7,LE7)=0),1000000000,IF($V7=1,INDEX('calcA'!$D$130:$EQ$169,$B7,67)+IF(AND($E7=1,LE7=0),25,0),IF($F7&gt;0,INDEX('calcA'!BR$110:BR$114,$F7+1)+IF(AND($E7=1,LE7=0),1000,0),MIN(TW7,20)*400+(IF('calcA'!BQ$106=1,1-FO7,0)+IF('calcA'!BR$106=1,1-FQ7,0))*150+193+'calcA'!BR$5*100000+IF(AND($E7=1,LE7=0),50000,0))+IF($H7=1,INDEX('calcA'!$D$180:$EQ$219,$B7,67)*4000,0)-IF(AND('calcA'!BQ$117=1,WO7&gt;0),2000,0)-IF(AND($U7=1,'calcA'!BR$117=1,FQ7=0),2000,0))),1000000000))</f>
        <v/>
      </c>
      <c r="QU7">
        <f>IF($B7=0,1000000000,IF(INDEX('calcA'!$D$60:$EQ$99,$B7,68)*IF($W7=1,FQ7+ACF7,FQ7)=1,IF(AND($E7=2,IF($W7=1,AHU7,LF7)=0),1000000000,IF($V7=1,INDEX('calcA'!$D$130:$EQ$169,$B7,68)+IF(AND($E7=1,LF7=0),25,0),IF($F7&gt;0,INDEX('calcA'!BS$110:BS$114,$F7+1)+IF(AND($E7=1,LF7=0),1000,0),MIN(TW7,20)*400+(IF('calcA'!BR$106=1,1-FP7,0)+IF('calcA'!BS$106=1,1-FR7,0))*150+203+'calcA'!BS$5*100000+IF(AND($E7=1,LF7=0),50000,0))+IF($H7=1,INDEX('calcA'!$D$180:$EQ$219,$B7,68)*4000,0)-IF(AND('calcA'!BR$117=1,WP7&gt;0),2000,0)-IF(AND($U7=1,'calcA'!BS$117=1,FR7=0),2000,0))),1000000000))</f>
        <v/>
      </c>
      <c r="QV7">
        <f>IF($B7=0,1000000000,IF(INDEX('calcA'!$D$60:$EQ$99,$B7,69)*IF($W7=1,FR7+ACG7,FR7)=1,IF(AND($E7=2,IF($W7=1,AHV7,LG7)=0),1000000000,IF($V7=1,INDEX('calcA'!$D$130:$EQ$169,$B7,69)+IF(AND($E7=1,LG7=0),25,0),IF($F7&gt;0,INDEX('calcA'!BT$110:BT$114,$F7+1)+IF(AND($E7=1,LG7=0),1000,0),MIN(TW7,20)*400+(IF('calcA'!BS$106=1,1-FQ7,0)+IF('calcA'!BT$106=1,1-FS7,0))*150+213+'calcA'!BT$5*100000+IF(AND($E7=1,LG7=0),50000,0))+IF($H7=1,INDEX('calcA'!$D$180:$EQ$219,$B7,69)*4000,0)-IF(AND('calcA'!BS$117=1,WQ7&gt;0),2000,0)-IF(AND($U7=1,'calcA'!BT$117=1,FS7=0),2000,0))),1000000000))</f>
        <v/>
      </c>
      <c r="QW7">
        <f>IF($B7=0,1000000000,IF(INDEX('calcA'!$D$60:$EQ$99,$B7,70)*IF($W7=1,FS7+ACH7,FS7)=1,IF(AND($E7=2,IF($W7=1,AHW7,LH7)=0),1000000000,IF($V7=1,INDEX('calcA'!$D$130:$EQ$169,$B7,70)+IF(AND($E7=1,LH7=0),25,0),IF($F7&gt;0,INDEX('calcA'!BU$110:BU$114,$F7+1)+IF(AND($E7=1,LH7=0),1000,0),MIN(TW7,20)*400+(IF('calcA'!BT$106=1,1-FR7,0)+IF('calcA'!BU$106=1,1-FT7,0))*150+223+'calcA'!BU$5*100000+IF(AND($E7=1,LH7=0),50000,0))+IF($H7=1,INDEX('calcA'!$D$180:$EQ$219,$B7,70)*4000,0)-IF(AND('calcA'!BT$117=1,WR7&gt;0),2000,0)-IF(AND($U7=1,'calcA'!BU$117=1,FT7=0),2000,0))),1000000000))</f>
        <v/>
      </c>
      <c r="QX7">
        <f>IF($B7=0,1000000000,IF(INDEX('calcA'!$D$60:$EQ$99,$B7,71)*IF($W7=1,FT7+ACI7,FT7)=1,IF(AND($E7=2,IF($W7=1,AHX7,LI7)=0),1000000000,IF($V7=1,INDEX('calcA'!$D$130:$EQ$169,$B7,71)+IF(AND($E7=1,LI7=0),25,0),IF($F7&gt;0,INDEX('calcA'!BV$110:BV$114,$F7+1)+IF(AND($E7=1,LI7=0),1000,0),MIN(TW7,20)*400+(IF('calcA'!BU$106=1,1-FS7,0)+IF('calcA'!BV$106=1,1-FU7,0))*150+233+'calcA'!BV$5*100000+IF(AND($E7=1,LI7=0),50000,0))+IF($H7=1,INDEX('calcA'!$D$180:$EQ$219,$B7,71)*4000,0)-IF(AND('calcA'!BU$117=1,WS7&gt;0),2000,0)-IF(AND($U7=1,'calcA'!BV$117=1,FU7=0),2000,0))),1000000000))</f>
        <v/>
      </c>
      <c r="QY7">
        <f>IF($B7=0,1000000000,IF(INDEX('calcA'!$D$60:$EQ$99,$B7,72)*IF($W7=1,FU7+ACJ7,FU7)=1,IF(AND($E7=2,IF($W7=1,AHY7,LJ7)=0),1000000000,IF($V7=1,INDEX('calcA'!$D$130:$EQ$169,$B7,72)+IF(AND($E7=1,LJ7=0),25,0),IF($F7&gt;0,INDEX('calcA'!BW$110:BW$114,$F7+1)+IF(AND($E7=1,LJ7=0),1000,0),MIN(TW7,20)*400+(IF('calcA'!BV$106=1,1-FT7,0))*150+243+'calcA'!BW$5*100000+IF(AND($E7=1,LJ7=0),50000,0))+IF($H7=1,INDEX('calcA'!$D$180:$EQ$219,$B7,72)*4000,0)-IF(AND('calcA'!BV$117=1,WT7&gt;0),2000,0))),1000000000))</f>
        <v/>
      </c>
      <c r="QZ7">
        <f>IF($B7=0,1000000000,IF(INDEX('calcA'!$D$60:$EQ$99,$B7,73)*IF($W7=1,FV7+ACK7,FV7)=1,IF(AND($E7=2,IF($W7=1,AHZ7,LK7)=0),1000000000,IF($V7=1,INDEX('calcA'!$D$130:$EQ$169,$B7,73)+IF(AND($E7=1,LK7=0),25,0),IF($F7&gt;0,INDEX('calcA'!BX$110:BX$114,$F7+1)+IF(AND($E7=1,LK7=0),1000,0),MIN(TX7,20)*400+(IF('calcA'!BX$106=1,1-FW7,0))*150+14+'calcA'!BX$5*100000+IF(AND($E7=1,LK7=0),50000,0))+IF($H7=1,INDEX('calcA'!$D$180:$EQ$219,$B7,73)*4000,0)-IF(AND($U7=1,'calcA'!BX$117=1,FW7=0),2000,0))),1000000000))</f>
        <v/>
      </c>
      <c r="RA7">
        <f>IF($B7=0,1000000000,IF(INDEX('calcA'!$D$60:$EQ$99,$B7,74)*IF($W7=1,FW7+ACL7,FW7)=1,IF(AND($E7=2,IF($W7=1,AIA7,LL7)=0),1000000000,IF($V7=1,INDEX('calcA'!$D$130:$EQ$169,$B7,74)+IF(AND($E7=1,LL7=0),25,0),IF($F7&gt;0,INDEX('calcA'!BY$110:BY$114,$F7+1)+IF(AND($E7=1,LL7=0),1000,0),MIN(TX7,20)*400+(IF('calcA'!BX$106=1,1-FV7,0)+IF('calcA'!BY$106=1,1-FX7,0))*150+24+'calcA'!BY$5*100000+IF(AND($E7=1,LL7=0),50000,0))+IF($H7=1,INDEX('calcA'!$D$180:$EQ$219,$B7,74)*4000,0)-IF(AND('calcA'!BX$117=1,WV7&gt;0),2000,0)-IF(AND($U7=1,'calcA'!BY$117=1,FX7=0),2000,0))),1000000000))</f>
        <v/>
      </c>
      <c r="RB7">
        <f>IF($B7=0,1000000000,IF(INDEX('calcA'!$D$60:$EQ$99,$B7,75)*IF($W7=1,FX7+ACM7,FX7)=1,IF(AND($E7=2,IF($W7=1,AIB7,LM7)=0),1000000000,IF($V7=1,INDEX('calcA'!$D$130:$EQ$169,$B7,75)+IF(AND($E7=1,LM7=0),25,0),IF($F7&gt;0,INDEX('calcA'!BZ$110:BZ$114,$F7+1)+IF(AND($E7=1,LM7=0),1000,0),MIN(TX7,20)*400+(IF('calcA'!BY$106=1,1-FW7,0)+IF('calcA'!BZ$106=1,1-FY7,0))*150+34+'calcA'!BZ$5*100000+IF(AND($E7=1,LM7=0),50000,0))+IF($H7=1,INDEX('calcA'!$D$180:$EQ$219,$B7,75)*4000,0)-IF(AND('calcA'!BY$117=1,WW7&gt;0),2000,0)-IF(AND($U7=1,'calcA'!BZ$117=1,FY7=0),2000,0))),1000000000))</f>
        <v/>
      </c>
      <c r="RC7">
        <f>IF($B7=0,1000000000,IF(INDEX('calcA'!$D$60:$EQ$99,$B7,76)*IF($W7=1,FY7+ACN7,FY7)=1,IF(AND($E7=2,IF($W7=1,AIC7,LN7)=0),1000000000,IF($V7=1,INDEX('calcA'!$D$130:$EQ$169,$B7,76)+IF(AND($E7=1,LN7=0),25,0),IF($F7&gt;0,INDEX('calcA'!CA$110:CA$114,$F7+1)+IF(AND($E7=1,LN7=0),1000,0),MIN(TX7,20)*400+(IF('calcA'!BZ$106=1,1-FX7,0)+IF('calcA'!CA$106=1,1-FZ7,0))*150+44+'calcA'!CA$5*100000+IF(AND($E7=1,LN7=0),50000,0))+IF($H7=1,INDEX('calcA'!$D$180:$EQ$219,$B7,76)*4000,0)-IF(AND('calcA'!BZ$117=1,WX7&gt;0),2000,0)-IF(AND($U7=1,'calcA'!CA$117=1,FZ7=0),2000,0))),1000000000))</f>
        <v/>
      </c>
      <c r="RD7">
        <f>IF($B7=0,1000000000,IF(INDEX('calcA'!$D$60:$EQ$99,$B7,77)*IF($W7=1,FZ7+ACO7,FZ7)=1,IF(AND($E7=2,IF($W7=1,AID7,LO7)=0),1000000000,IF($V7=1,INDEX('calcA'!$D$130:$EQ$169,$B7,77)+IF(AND($E7=1,LO7=0),25,0),IF($F7&gt;0,INDEX('calcA'!CB$110:CB$114,$F7+1)+IF(AND($E7=1,LO7=0),1000,0),MIN(TX7,20)*400+(IF('calcA'!CA$106=1,1-FY7,0)+IF('calcA'!CB$106=1,1-GA7,0))*150+54+'calcA'!CB$5*100000+IF(AND($E7=1,LO7=0),50000,0))+IF($H7=1,INDEX('calcA'!$D$180:$EQ$219,$B7,77)*4000,0)-IF(AND('calcA'!CA$117=1,WY7&gt;0),2000,0)-IF(AND($U7=1,'calcA'!CB$117=1,GA7=0),2000,0))),1000000000))</f>
        <v/>
      </c>
      <c r="RE7">
        <f>IF($B7=0,1000000000,IF(INDEX('calcA'!$D$60:$EQ$99,$B7,78)*IF($W7=1,GA7+ACP7,GA7)=1,IF(AND($E7=2,IF($W7=1,AIE7,LP7)=0),1000000000,IF($V7=1,INDEX('calcA'!$D$130:$EQ$169,$B7,78)+IF(AND($E7=1,LP7=0),25,0),IF($F7&gt;0,INDEX('calcA'!CC$110:CC$114,$F7+1)+IF(AND($E7=1,LP7=0),1000,0),MIN(TX7,20)*400+(IF('calcA'!CB$106=1,1-FZ7,0)+IF('calcA'!CC$106=1,1-GB7,0))*150+64+'calcA'!CC$5*100000+IF(AND($E7=1,LP7=0),50000,0))+IF($H7=1,INDEX('calcA'!$D$180:$EQ$219,$B7,78)*4000,0)-IF(AND('calcA'!CB$117=1,WZ7&gt;0),2000,0)-IF(AND($U7=1,'calcA'!CC$117=1,GB7=0),2000,0))),1000000000))</f>
        <v/>
      </c>
      <c r="RF7">
        <f>IF($B7=0,1000000000,IF(INDEX('calcA'!$D$60:$EQ$99,$B7,79)*IF($W7=1,GB7+ACQ7,GB7)=1,IF(AND($E7=2,IF($W7=1,AIF7,LQ7)=0),1000000000,IF($V7=1,INDEX('calcA'!$D$130:$EQ$169,$B7,79)+IF(AND($E7=1,LQ7=0),25,0),IF($F7&gt;0,INDEX('calcA'!CD$110:CD$114,$F7+1)+IF(AND($E7=1,LQ7=0),1000,0),MIN(TX7,20)*400+(IF('calcA'!CC$106=1,1-GA7,0)+IF('calcA'!CD$106=1,1-GC7,0))*150+74+'calcA'!CD$5*100000+IF(AND($E7=1,LQ7=0),50000,0))+IF($H7=1,INDEX('calcA'!$D$180:$EQ$219,$B7,79)*4000,0)-IF(AND('calcA'!CC$117=1,XA7&gt;0),2000,0)-IF(AND($U7=1,'calcA'!CD$117=1,GC7=0),2000,0))),1000000000))</f>
        <v/>
      </c>
      <c r="RG7">
        <f>IF($B7=0,1000000000,IF(INDEX('calcA'!$D$60:$EQ$99,$B7,80)*IF($W7=1,GC7+ACR7,GC7)=1,IF(AND($E7=2,IF($W7=1,AIG7,LR7)=0),1000000000,IF($V7=1,INDEX('calcA'!$D$130:$EQ$169,$B7,80)+IF(AND($E7=1,LR7=0),25,0),IF($F7&gt;0,INDEX('calcA'!CE$110:CE$114,$F7+1)+IF(AND($E7=1,LR7=0),1000,0),MIN(TX7,20)*400+(IF('calcA'!CD$106=1,1-GB7,0)+IF('calcA'!CE$106=1,1-GD7,0))*150+84+'calcA'!CE$5*100000+IF(AND($E7=1,LR7=0),50000,0))+IF($H7=1,INDEX('calcA'!$D$180:$EQ$219,$B7,80)*4000,0)-IF(AND('calcA'!CD$117=1,XB7&gt;0),2000,0)-IF(AND($U7=1,'calcA'!CE$117=1,GD7=0),2000,0))),1000000000))</f>
        <v/>
      </c>
      <c r="RH7">
        <f>IF($B7=0,1000000000,IF(INDEX('calcA'!$D$60:$EQ$99,$B7,81)*IF($W7=1,GD7+ACS7,GD7)=1,IF(AND($E7=2,IF($W7=1,AIH7,LS7)=0),1000000000,IF($V7=1,INDEX('calcA'!$D$130:$EQ$169,$B7,81)+IF(AND($E7=1,LS7=0),25,0),IF($F7&gt;0,INDEX('calcA'!CF$110:CF$114,$F7+1)+IF(AND($E7=1,LS7=0),1000,0),MIN(TX7,20)*400+(IF('calcA'!CE$106=1,1-GC7,0)+IF('calcA'!CF$106=1,1-GE7,0))*150+94+'calcA'!CF$5*100000+IF(AND($E7=1,LS7=0),50000,0))+IF($H7=1,INDEX('calcA'!$D$180:$EQ$219,$B7,81)*4000,0)-IF(AND('calcA'!CE$117=1,XC7&gt;0),2000,0)-IF(AND($U7=1,'calcA'!CF$117=1,GE7=0),2000,0))),1000000000))</f>
        <v/>
      </c>
      <c r="RI7">
        <f>IF($B7=0,1000000000,IF(INDEX('calcA'!$D$60:$EQ$99,$B7,82)*IF($W7=1,GE7+ACT7,GE7)=1,IF(AND($E7=2,IF($W7=1,AII7,LT7)=0),1000000000,IF($V7=1,INDEX('calcA'!$D$130:$EQ$169,$B7,82)+IF(AND($E7=1,LT7=0),25,0),IF($F7&gt;0,INDEX('calcA'!CG$110:CG$114,$F7+1)+IF(AND($E7=1,LT7=0),1000,0),MIN(TX7,20)*400+(IF('calcA'!CF$106=1,1-GD7,0)+IF('calcA'!CG$106=1,1-GF7,0))*150+104+'calcA'!CG$5*100000+IF(AND($E7=1,LT7=0),50000,0))+IF($H7=1,INDEX('calcA'!$D$180:$EQ$219,$B7,82)*4000,0)-IF(AND('calcA'!CF$117=1,XD7&gt;0),2000,0)-IF(AND($U7=1,'calcA'!CG$117=1,GF7=0),2000,0))),1000000000))</f>
        <v/>
      </c>
      <c r="RJ7">
        <f>IF($B7=0,1000000000,IF(INDEX('calcA'!$D$60:$EQ$99,$B7,83)*IF($W7=1,GF7+ACU7,GF7)=1,IF(AND($E7=2,IF($W7=1,AIJ7,LU7)=0),1000000000,IF($V7=1,INDEX('calcA'!$D$130:$EQ$169,$B7,83)+IF(AND($E7=1,LU7=0),25,0),IF($F7&gt;0,INDEX('calcA'!CH$110:CH$114,$F7+1)+IF(AND($E7=1,LU7=0),1000,0),MIN(TX7,20)*400+(IF('calcA'!CG$106=1,1-GE7,0)+IF('calcA'!CH$106=1,1-GG7,0))*150+114+'calcA'!CH$5*100000+IF(AND($E7=1,LU7=0),50000,0))+IF($H7=1,INDEX('calcA'!$D$180:$EQ$219,$B7,83)*4000,0)-IF(AND('calcA'!CG$117=1,XE7&gt;0),2000,0)-IF(AND($U7=1,'calcA'!CH$117=1,GG7=0),2000,0))),1000000000))</f>
        <v/>
      </c>
      <c r="RK7">
        <f>IF($B7=0,1000000000,IF(INDEX('calcA'!$D$60:$EQ$99,$B7,84)*IF($W7=1,GG7+ACV7,GG7)=1,IF(AND($E7=2,IF($W7=1,AIK7,LV7)=0),1000000000,IF($V7=1,INDEX('calcA'!$D$130:$EQ$169,$B7,84)+IF(AND($E7=1,LV7=0),25,0),IF($F7&gt;0,INDEX('calcA'!CI$110:CI$114,$F7+1)+IF(AND($E7=1,LV7=0),1000,0),MIN(TX7,20)*400+(IF('calcA'!CH$106=1,1-GF7,0)+IF('calcA'!CI$106=1,1-GH7,0))*150+124+'calcA'!CI$5*100000+IF(AND($E7=1,LV7=0),50000,0))+IF($H7=1,INDEX('calcA'!$D$180:$EQ$219,$B7,84)*4000,0)-IF(AND('calcA'!CH$117=1,XF7&gt;0),2000,0)-IF(AND($U7=1,'calcA'!CI$117=1,GH7=0),2000,0))),1000000000))</f>
        <v/>
      </c>
      <c r="RL7">
        <f>IF($B7=0,1000000000,IF(INDEX('calcA'!$D$60:$EQ$99,$B7,85)*IF($W7=1,GH7+ACW7,GH7)=1,IF(AND($E7=2,IF($W7=1,AIL7,LW7)=0),1000000000,IF($V7=1,INDEX('calcA'!$D$130:$EQ$169,$B7,85)+IF(AND($E7=1,LW7=0),25,0),IF($F7&gt;0,INDEX('calcA'!CJ$110:CJ$114,$F7+1)+IF(AND($E7=1,LW7=0),1000,0),MIN(TX7,20)*400+(IF('calcA'!CI$106=1,1-GG7,0)+IF('calcA'!CJ$106=1,1-GI7,0))*150+134+'calcA'!CJ$5*100000+IF(AND($E7=1,LW7=0),50000,0))+IF($H7=1,INDEX('calcA'!$D$180:$EQ$219,$B7,85)*4000,0)-IF(AND('calcA'!CI$117=1,XG7&gt;0),2000,0)-IF(AND($U7=1,'calcA'!CJ$117=1,GI7=0),2000,0))),1000000000))</f>
        <v/>
      </c>
      <c r="RM7">
        <f>IF($B7=0,1000000000,IF(INDEX('calcA'!$D$60:$EQ$99,$B7,86)*IF($W7=1,GI7+ACX7,GI7)=1,IF(AND($E7=2,IF($W7=1,AIM7,LX7)=0),1000000000,IF($V7=1,INDEX('calcA'!$D$130:$EQ$169,$B7,86)+IF(AND($E7=1,LX7=0),25,0),IF($F7&gt;0,INDEX('calcA'!CK$110:CK$114,$F7+1)+IF(AND($E7=1,LX7=0),1000,0),MIN(TX7,20)*400+(IF('calcA'!CJ$106=1,1-GH7,0)+IF('calcA'!CK$106=1,1-GJ7,0))*150+144+'calcA'!CK$5*100000+IF(AND($E7=1,LX7=0),50000,0))+IF($H7=1,INDEX('calcA'!$D$180:$EQ$219,$B7,86)*4000,0)-IF(AND('calcA'!CJ$117=1,XH7&gt;0),2000,0)-IF(AND($U7=1,'calcA'!CK$117=1,GJ7=0),2000,0))),1000000000))</f>
        <v/>
      </c>
      <c r="RN7">
        <f>IF($B7=0,1000000000,IF(INDEX('calcA'!$D$60:$EQ$99,$B7,87)*IF($W7=1,GJ7+ACY7,GJ7)=1,IF(AND($E7=2,IF($W7=1,AIN7,LY7)=0),1000000000,IF($V7=1,INDEX('calcA'!$D$130:$EQ$169,$B7,87)+IF(AND($E7=1,LY7=0),25,0),IF($F7&gt;0,INDEX('calcA'!CL$110:CL$114,$F7+1)+IF(AND($E7=1,LY7=0),1000,0),MIN(TX7,20)*400+(IF('calcA'!CK$106=1,1-GI7,0)+IF('calcA'!CL$106=1,1-GK7,0))*150+154+'calcA'!CL$5*100000+IF(AND($E7=1,LY7=0),50000,0))+IF($H7=1,INDEX('calcA'!$D$180:$EQ$219,$B7,87)*4000,0)-IF(AND('calcA'!CK$117=1,XI7&gt;0),2000,0)-IF(AND($U7=1,'calcA'!CL$117=1,GK7=0),2000,0))),1000000000))</f>
        <v/>
      </c>
      <c r="RO7">
        <f>IF($B7=0,1000000000,IF(INDEX('calcA'!$D$60:$EQ$99,$B7,88)*IF($W7=1,GK7+ACZ7,GK7)=1,IF(AND($E7=2,IF($W7=1,AIO7,LZ7)=0),1000000000,IF($V7=1,INDEX('calcA'!$D$130:$EQ$169,$B7,88)+IF(AND($E7=1,LZ7=0),25,0),IF($F7&gt;0,INDEX('calcA'!CM$110:CM$114,$F7+1)+IF(AND($E7=1,LZ7=0),1000,0),MIN(TX7,20)*400+(IF('calcA'!CL$106=1,1-GJ7,0)+IF('calcA'!CM$106=1,1-GL7,0))*150+164+'calcA'!CM$5*100000+IF(AND($E7=1,LZ7=0),50000,0))+IF($H7=1,INDEX('calcA'!$D$180:$EQ$219,$B7,88)*4000,0)-IF(AND('calcA'!CL$117=1,XJ7&gt;0),2000,0)-IF(AND($U7=1,'calcA'!CM$117=1,GL7=0),2000,0))),1000000000))</f>
        <v/>
      </c>
      <c r="RP7">
        <f>IF($B7=0,1000000000,IF(INDEX('calcA'!$D$60:$EQ$99,$B7,89)*IF($W7=1,GL7+ADA7,GL7)=1,IF(AND($E7=2,IF($W7=1,AIP7,MA7)=0),1000000000,IF($V7=1,INDEX('calcA'!$D$130:$EQ$169,$B7,89)+IF(AND($E7=1,MA7=0),25,0),IF($F7&gt;0,INDEX('calcA'!CN$110:CN$114,$F7+1)+IF(AND($E7=1,MA7=0),1000,0),MIN(TX7,20)*400+(IF('calcA'!CM$106=1,1-GK7,0)+IF('calcA'!CN$106=1,1-GM7,0))*150+174+'calcA'!CN$5*100000+IF(AND($E7=1,MA7=0),50000,0))+IF($H7=1,INDEX('calcA'!$D$180:$EQ$219,$B7,89)*4000,0)-IF(AND('calcA'!CM$117=1,XK7&gt;0),2000,0)-IF(AND($U7=1,'calcA'!CN$117=1,GM7=0),2000,0))),1000000000))</f>
        <v/>
      </c>
      <c r="RQ7">
        <f>IF($B7=0,1000000000,IF(INDEX('calcA'!$D$60:$EQ$99,$B7,90)*IF($W7=1,GM7+ADB7,GM7)=1,IF(AND($E7=2,IF($W7=1,AIQ7,MB7)=0),1000000000,IF($V7=1,INDEX('calcA'!$D$130:$EQ$169,$B7,90)+IF(AND($E7=1,MB7=0),25,0),IF($F7&gt;0,INDEX('calcA'!CO$110:CO$114,$F7+1)+IF(AND($E7=1,MB7=0),1000,0),MIN(TX7,20)*400+(IF('calcA'!CN$106=1,1-GL7,0)+IF('calcA'!CO$106=1,1-GN7,0))*150+184+'calcA'!CO$5*100000+IF(AND($E7=1,MB7=0),50000,0))+IF($H7=1,INDEX('calcA'!$D$180:$EQ$219,$B7,90)*4000,0)-IF(AND('calcA'!CN$117=1,XL7&gt;0),2000,0)-IF(AND($U7=1,'calcA'!CO$117=1,GN7=0),2000,0))),1000000000))</f>
        <v/>
      </c>
      <c r="RR7">
        <f>IF($B7=0,1000000000,IF(INDEX('calcA'!$D$60:$EQ$99,$B7,91)*IF($W7=1,GN7+ADC7,GN7)=1,IF(AND($E7=2,IF($W7=1,AIR7,MC7)=0),1000000000,IF($V7=1,INDEX('calcA'!$D$130:$EQ$169,$B7,91)+IF(AND($E7=1,MC7=0),25,0),IF($F7&gt;0,INDEX('calcA'!CP$110:CP$114,$F7+1)+IF(AND($E7=1,MC7=0),1000,0),MIN(TX7,20)*400+(IF('calcA'!CO$106=1,1-GM7,0)+IF('calcA'!CP$106=1,1-GO7,0))*150+194+'calcA'!CP$5*100000+IF(AND($E7=1,MC7=0),50000,0))+IF($H7=1,INDEX('calcA'!$D$180:$EQ$219,$B7,91)*4000,0)-IF(AND('calcA'!CO$117=1,XM7&gt;0),2000,0)-IF(AND($U7=1,'calcA'!CP$117=1,GO7=0),2000,0))),1000000000))</f>
        <v/>
      </c>
      <c r="RS7">
        <f>IF($B7=0,1000000000,IF(INDEX('calcA'!$D$60:$EQ$99,$B7,92)*IF($W7=1,GO7+ADD7,GO7)=1,IF(AND($E7=2,IF($W7=1,AIS7,MD7)=0),1000000000,IF($V7=1,INDEX('calcA'!$D$130:$EQ$169,$B7,92)+IF(AND($E7=1,MD7=0),25,0),IF($F7&gt;0,INDEX('calcA'!CQ$110:CQ$114,$F7+1)+IF(AND($E7=1,MD7=0),1000,0),MIN(TX7,20)*400+(IF('calcA'!CP$106=1,1-GN7,0)+IF('calcA'!CQ$106=1,1-GP7,0))*150+204+'calcA'!CQ$5*100000+IF(AND($E7=1,MD7=0),50000,0))+IF($H7=1,INDEX('calcA'!$D$180:$EQ$219,$B7,92)*4000,0)-IF(AND('calcA'!CP$117=1,XN7&gt;0),2000,0)-IF(AND($U7=1,'calcA'!CQ$117=1,GP7=0),2000,0))),1000000000))</f>
        <v/>
      </c>
      <c r="RT7">
        <f>IF($B7=0,1000000000,IF(INDEX('calcA'!$D$60:$EQ$99,$B7,93)*IF($W7=1,GP7+ADE7,GP7)=1,IF(AND($E7=2,IF($W7=1,AIT7,ME7)=0),1000000000,IF($V7=1,INDEX('calcA'!$D$130:$EQ$169,$B7,93)+IF(AND($E7=1,ME7=0),25,0),IF($F7&gt;0,INDEX('calcA'!CR$110:CR$114,$F7+1)+IF(AND($E7=1,ME7=0),1000,0),MIN(TX7,20)*400+(IF('calcA'!CQ$106=1,1-GO7,0)+IF('calcA'!CR$106=1,1-GQ7,0))*150+214+'calcA'!CR$5*100000+IF(AND($E7=1,ME7=0),50000,0))+IF($H7=1,INDEX('calcA'!$D$180:$EQ$219,$B7,93)*4000,0)-IF(AND('calcA'!CQ$117=1,XO7&gt;0),2000,0)-IF(AND($U7=1,'calcA'!CR$117=1,GQ7=0),2000,0))),1000000000))</f>
        <v/>
      </c>
      <c r="RU7">
        <f>IF($B7=0,1000000000,IF(INDEX('calcA'!$D$60:$EQ$99,$B7,94)*IF($W7=1,GQ7+ADF7,GQ7)=1,IF(AND($E7=2,IF($W7=1,AIU7,MF7)=0),1000000000,IF($V7=1,INDEX('calcA'!$D$130:$EQ$169,$B7,94)+IF(AND($E7=1,MF7=0),25,0),IF($F7&gt;0,INDEX('calcA'!CS$110:CS$114,$F7+1)+IF(AND($E7=1,MF7=0),1000,0),MIN(TX7,20)*400+(IF('calcA'!CR$106=1,1-GP7,0)+IF('calcA'!CS$106=1,1-GR7,0))*150+224+'calcA'!CS$5*100000+IF(AND($E7=1,MF7=0),50000,0))+IF($H7=1,INDEX('calcA'!$D$180:$EQ$219,$B7,94)*4000,0)-IF(AND('calcA'!CR$117=1,XP7&gt;0),2000,0)-IF(AND($U7=1,'calcA'!CS$117=1,GR7=0),2000,0))),1000000000))</f>
        <v/>
      </c>
      <c r="RV7">
        <f>IF($B7=0,1000000000,IF(INDEX('calcA'!$D$60:$EQ$99,$B7,95)*IF($W7=1,GR7+ADG7,GR7)=1,IF(AND($E7=2,IF($W7=1,AIV7,MG7)=0),1000000000,IF($V7=1,INDEX('calcA'!$D$130:$EQ$169,$B7,95)+IF(AND($E7=1,MG7=0),25,0),IF($F7&gt;0,INDEX('calcA'!CT$110:CT$114,$F7+1)+IF(AND($E7=1,MG7=0),1000,0),MIN(TX7,20)*400+(IF('calcA'!CS$106=1,1-GQ7,0)+IF('calcA'!CT$106=1,1-GS7,0))*150+234+'calcA'!CT$5*100000+IF(AND($E7=1,MG7=0),50000,0))+IF($H7=1,INDEX('calcA'!$D$180:$EQ$219,$B7,95)*4000,0)-IF(AND('calcA'!CS$117=1,XQ7&gt;0),2000,0)-IF(AND($U7=1,'calcA'!CT$117=1,GS7=0),2000,0))),1000000000))</f>
        <v/>
      </c>
      <c r="RW7">
        <f>IF($B7=0,1000000000,IF(INDEX('calcA'!$D$60:$EQ$99,$B7,96)*IF($W7=1,GS7+ADH7,GS7)=1,IF(AND($E7=2,IF($W7=1,AIW7,MH7)=0),1000000000,IF($V7=1,INDEX('calcA'!$D$130:$EQ$169,$B7,96)+IF(AND($E7=1,MH7=0),25,0),IF($F7&gt;0,INDEX('calcA'!CU$110:CU$114,$F7+1)+IF(AND($E7=1,MH7=0),1000,0),MIN(TX7,20)*400+(IF('calcA'!CT$106=1,1-GR7,0))*150+244+'calcA'!CU$5*100000+IF(AND($E7=1,MH7=0),50000,0))+IF($H7=1,INDEX('calcA'!$D$180:$EQ$219,$B7,96)*4000,0)-IF(AND('calcA'!CT$117=1,XR7&gt;0),2000,0))),1000000000))</f>
        <v/>
      </c>
      <c r="RX7">
        <f>IF($B7=0,1000000000,IF(INDEX('calcA'!$D$60:$EQ$99,$B7,97)*IF($W7=1,GT7+ADI7,GT7)=1,IF(AND($E7=2,IF($W7=1,AIX7,MI7)=0),1000000000,IF($V7=1,INDEX('calcA'!$D$130:$EQ$169,$B7,97)+IF(AND($E7=1,MI7=0),25,0),IF($F7&gt;0,INDEX('calcA'!CV$110:CV$114,$F7+1)+IF(AND($E7=1,MI7=0),1000,0),MIN(TY7,20)*400+(IF('calcA'!CV$106=1,1-GU7,0))*150+15+'calcA'!CV$5*100000+IF(AND($E7=1,MI7=0),50000,0))+IF($H7=1,INDEX('calcA'!$D$180:$EQ$219,$B7,97)*4000,0)-IF(AND($U7=1,'calcA'!CV$117=1,GU7=0),2000,0))),1000000000))</f>
        <v/>
      </c>
      <c r="RY7">
        <f>IF($B7=0,1000000000,IF(INDEX('calcA'!$D$60:$EQ$99,$B7,98)*IF($W7=1,GU7+ADJ7,GU7)=1,IF(AND($E7=2,IF($W7=1,AIY7,MJ7)=0),1000000000,IF($V7=1,INDEX('calcA'!$D$130:$EQ$169,$B7,98)+IF(AND($E7=1,MJ7=0),25,0),IF($F7&gt;0,INDEX('calcA'!CW$110:CW$114,$F7+1)+IF(AND($E7=1,MJ7=0),1000,0),MIN(TY7,20)*400+(IF('calcA'!CV$106=1,1-GT7,0)+IF('calcA'!CW$106=1,1-GV7,0))*150+25+'calcA'!CW$5*100000+IF(AND($E7=1,MJ7=0),50000,0))+IF($H7=1,INDEX('calcA'!$D$180:$EQ$219,$B7,98)*4000,0)-IF(AND('calcA'!CV$117=1,XT7&gt;0),2000,0)-IF(AND($U7=1,'calcA'!CW$117=1,GV7=0),2000,0))),1000000000))</f>
        <v/>
      </c>
      <c r="RZ7">
        <f>IF($B7=0,1000000000,IF(INDEX('calcA'!$D$60:$EQ$99,$B7,99)*IF($W7=1,GV7+ADK7,GV7)=1,IF(AND($E7=2,IF($W7=1,AIZ7,MK7)=0),1000000000,IF($V7=1,INDEX('calcA'!$D$130:$EQ$169,$B7,99)+IF(AND($E7=1,MK7=0),25,0),IF($F7&gt;0,INDEX('calcA'!CX$110:CX$114,$F7+1)+IF(AND($E7=1,MK7=0),1000,0),MIN(TY7,20)*400+(IF('calcA'!CW$106=1,1-GU7,0)+IF('calcA'!CX$106=1,1-GW7,0))*150+35+'calcA'!CX$5*100000+IF(AND($E7=1,MK7=0),50000,0))+IF($H7=1,INDEX('calcA'!$D$180:$EQ$219,$B7,99)*4000,0)-IF(AND('calcA'!CW$117=1,XU7&gt;0),2000,0)-IF(AND($U7=1,'calcA'!CX$117=1,GW7=0),2000,0))),1000000000))</f>
        <v/>
      </c>
      <c r="SA7">
        <f>IF($B7=0,1000000000,IF(INDEX('calcA'!$D$60:$EQ$99,$B7,100)*IF($W7=1,GW7+ADL7,GW7)=1,IF(AND($E7=2,IF($W7=1,AJA7,ML7)=0),1000000000,IF($V7=1,INDEX('calcA'!$D$130:$EQ$169,$B7,100)+IF(AND($E7=1,ML7=0),25,0),IF($F7&gt;0,INDEX('calcA'!CY$110:CY$114,$F7+1)+IF(AND($E7=1,ML7=0),1000,0),MIN(TY7,20)*400+(IF('calcA'!CX$106=1,1-GV7,0)+IF('calcA'!CY$106=1,1-GX7,0))*150+45+'calcA'!CY$5*100000+IF(AND($E7=1,ML7=0),50000,0))+IF($H7=1,INDEX('calcA'!$D$180:$EQ$219,$B7,100)*4000,0)-IF(AND('calcA'!CX$117=1,XV7&gt;0),2000,0)-IF(AND($U7=1,'calcA'!CY$117=1,GX7=0),2000,0))),1000000000))</f>
        <v/>
      </c>
      <c r="SB7">
        <f>IF($B7=0,1000000000,IF(INDEX('calcA'!$D$60:$EQ$99,$B7,101)*IF($W7=1,GX7+ADM7,GX7)=1,IF(AND($E7=2,IF($W7=1,AJB7,MM7)=0),1000000000,IF($V7=1,INDEX('calcA'!$D$130:$EQ$169,$B7,101)+IF(AND($E7=1,MM7=0),25,0),IF($F7&gt;0,INDEX('calcA'!CZ$110:CZ$114,$F7+1)+IF(AND($E7=1,MM7=0),1000,0),MIN(TY7,20)*400+(IF('calcA'!CY$106=1,1-GW7,0)+IF('calcA'!CZ$106=1,1-GY7,0))*150+55+'calcA'!CZ$5*100000+IF(AND($E7=1,MM7=0),50000,0))+IF($H7=1,INDEX('calcA'!$D$180:$EQ$219,$B7,101)*4000,0)-IF(AND('calcA'!CY$117=1,XW7&gt;0),2000,0)-IF(AND($U7=1,'calcA'!CZ$117=1,GY7=0),2000,0))),1000000000))</f>
        <v/>
      </c>
      <c r="SC7">
        <f>IF($B7=0,1000000000,IF(INDEX('calcA'!$D$60:$EQ$99,$B7,102)*IF($W7=1,GY7+ADN7,GY7)=1,IF(AND($E7=2,IF($W7=1,AJC7,MN7)=0),1000000000,IF($V7=1,INDEX('calcA'!$D$130:$EQ$169,$B7,102)+IF(AND($E7=1,MN7=0),25,0),IF($F7&gt;0,INDEX('calcA'!DA$110:DA$114,$F7+1)+IF(AND($E7=1,MN7=0),1000,0),MIN(TY7,20)*400+(IF('calcA'!CZ$106=1,1-GX7,0)+IF('calcA'!DA$106=1,1-GZ7,0))*150+65+'calcA'!DA$5*100000+IF(AND($E7=1,MN7=0),50000,0))+IF($H7=1,INDEX('calcA'!$D$180:$EQ$219,$B7,102)*4000,0)-IF(AND('calcA'!CZ$117=1,XX7&gt;0),2000,0)-IF(AND($U7=1,'calcA'!DA$117=1,GZ7=0),2000,0))),1000000000))</f>
        <v/>
      </c>
      <c r="SD7">
        <f>IF($B7=0,1000000000,IF(INDEX('calcA'!$D$60:$EQ$99,$B7,103)*IF($W7=1,GZ7+ADO7,GZ7)=1,IF(AND($E7=2,IF($W7=1,AJD7,MO7)=0),1000000000,IF($V7=1,INDEX('calcA'!$D$130:$EQ$169,$B7,103)+IF(AND($E7=1,MO7=0),25,0),IF($F7&gt;0,INDEX('calcA'!DB$110:DB$114,$F7+1)+IF(AND($E7=1,MO7=0),1000,0),MIN(TY7,20)*400+(IF('calcA'!DA$106=1,1-GY7,0)+IF('calcA'!DB$106=1,1-HA7,0))*150+75+'calcA'!DB$5*100000+IF(AND($E7=1,MO7=0),50000,0))+IF($H7=1,INDEX('calcA'!$D$180:$EQ$219,$B7,103)*4000,0)-IF(AND('calcA'!DA$117=1,XY7&gt;0),2000,0)-IF(AND($U7=1,'calcA'!DB$117=1,HA7=0),2000,0))),1000000000))</f>
        <v/>
      </c>
      <c r="SE7">
        <f>IF($B7=0,1000000000,IF(INDEX('calcA'!$D$60:$EQ$99,$B7,104)*IF($W7=1,HA7+ADP7,HA7)=1,IF(AND($E7=2,IF($W7=1,AJE7,MP7)=0),1000000000,IF($V7=1,INDEX('calcA'!$D$130:$EQ$169,$B7,104)+IF(AND($E7=1,MP7=0),25,0),IF($F7&gt;0,INDEX('calcA'!DC$110:DC$114,$F7+1)+IF(AND($E7=1,MP7=0),1000,0),MIN(TY7,20)*400+(IF('calcA'!DB$106=1,1-GZ7,0)+IF('calcA'!DC$106=1,1-HB7,0))*150+85+'calcA'!DC$5*100000+IF(AND($E7=1,MP7=0),50000,0))+IF($H7=1,INDEX('calcA'!$D$180:$EQ$219,$B7,104)*4000,0)-IF(AND('calcA'!DB$117=1,XZ7&gt;0),2000,0)-IF(AND($U7=1,'calcA'!DC$117=1,HB7=0),2000,0))),1000000000))</f>
        <v/>
      </c>
      <c r="SF7">
        <f>IF($B7=0,1000000000,IF(INDEX('calcA'!$D$60:$EQ$99,$B7,105)*IF($W7=1,HB7+ADQ7,HB7)=1,IF(AND($E7=2,IF($W7=1,AJF7,MQ7)=0),1000000000,IF($V7=1,INDEX('calcA'!$D$130:$EQ$169,$B7,105)+IF(AND($E7=1,MQ7=0),25,0),IF($F7&gt;0,INDEX('calcA'!DD$110:DD$114,$F7+1)+IF(AND($E7=1,MQ7=0),1000,0),MIN(TY7,20)*400+(IF('calcA'!DC$106=1,1-HA7,0)+IF('calcA'!DD$106=1,1-HC7,0))*150+95+'calcA'!DD$5*100000+IF(AND($E7=1,MQ7=0),50000,0))+IF($H7=1,INDEX('calcA'!$D$180:$EQ$219,$B7,105)*4000,0)-IF(AND('calcA'!DC$117=1,YA7&gt;0),2000,0)-IF(AND($U7=1,'calcA'!DD$117=1,HC7=0),2000,0))),1000000000))</f>
        <v/>
      </c>
      <c r="SG7">
        <f>IF($B7=0,1000000000,IF(INDEX('calcA'!$D$60:$EQ$99,$B7,106)*IF($W7=1,HC7+ADR7,HC7)=1,IF(AND($E7=2,IF($W7=1,AJG7,MR7)=0),1000000000,IF($V7=1,INDEX('calcA'!$D$130:$EQ$169,$B7,106)+IF(AND($E7=1,MR7=0),25,0),IF($F7&gt;0,INDEX('calcA'!DE$110:DE$114,$F7+1)+IF(AND($E7=1,MR7=0),1000,0),MIN(TY7,20)*400+(IF('calcA'!DD$106=1,1-HB7,0)+IF('calcA'!DE$106=1,1-HD7,0))*150+105+'calcA'!DE$5*100000+IF(AND($E7=1,MR7=0),50000,0))+IF($H7=1,INDEX('calcA'!$D$180:$EQ$219,$B7,106)*4000,0)-IF(AND('calcA'!DD$117=1,YB7&gt;0),2000,0)-IF(AND($U7=1,'calcA'!DE$117=1,HD7=0),2000,0))),1000000000))</f>
        <v/>
      </c>
      <c r="SH7">
        <f>IF($B7=0,1000000000,IF(INDEX('calcA'!$D$60:$EQ$99,$B7,107)*IF($W7=1,HD7+ADS7,HD7)=1,IF(AND($E7=2,IF($W7=1,AJH7,MS7)=0),1000000000,IF($V7=1,INDEX('calcA'!$D$130:$EQ$169,$B7,107)+IF(AND($E7=1,MS7=0),25,0),IF($F7&gt;0,INDEX('calcA'!DF$110:DF$114,$F7+1)+IF(AND($E7=1,MS7=0),1000,0),MIN(TY7,20)*400+(IF('calcA'!DE$106=1,1-HC7,0)+IF('calcA'!DF$106=1,1-HE7,0))*150+115+'calcA'!DF$5*100000+IF(AND($E7=1,MS7=0),50000,0))+IF($H7=1,INDEX('calcA'!$D$180:$EQ$219,$B7,107)*4000,0)-IF(AND('calcA'!DE$117=1,YC7&gt;0),2000,0)-IF(AND($U7=1,'calcA'!DF$117=1,HE7=0),2000,0))),1000000000))</f>
        <v/>
      </c>
      <c r="SI7">
        <f>IF($B7=0,1000000000,IF(INDEX('calcA'!$D$60:$EQ$99,$B7,108)*IF($W7=1,HE7+ADT7,HE7)=1,IF(AND($E7=2,IF($W7=1,AJI7,MT7)=0),1000000000,IF($V7=1,INDEX('calcA'!$D$130:$EQ$169,$B7,108)+IF(AND($E7=1,MT7=0),25,0),IF($F7&gt;0,INDEX('calcA'!DG$110:DG$114,$F7+1)+IF(AND($E7=1,MT7=0),1000,0),MIN(TY7,20)*400+(IF('calcA'!DF$106=1,1-HD7,0)+IF('calcA'!DG$106=1,1-HF7,0))*150+125+'calcA'!DG$5*100000+IF(AND($E7=1,MT7=0),50000,0))+IF($H7=1,INDEX('calcA'!$D$180:$EQ$219,$B7,108)*4000,0)-IF(AND('calcA'!DF$117=1,YD7&gt;0),2000,0)-IF(AND($U7=1,'calcA'!DG$117=1,HF7=0),2000,0))),1000000000))</f>
        <v/>
      </c>
      <c r="SJ7">
        <f>IF($B7=0,1000000000,IF(INDEX('calcA'!$D$60:$EQ$99,$B7,109)*IF($W7=1,HF7+ADU7,HF7)=1,IF(AND($E7=2,IF($W7=1,AJJ7,MU7)=0),1000000000,IF($V7=1,INDEX('calcA'!$D$130:$EQ$169,$B7,109)+IF(AND($E7=1,MU7=0),25,0),IF($F7&gt;0,INDEX('calcA'!DH$110:DH$114,$F7+1)+IF(AND($E7=1,MU7=0),1000,0),MIN(TY7,20)*400+(IF('calcA'!DG$106=1,1-HE7,0)+IF('calcA'!DH$106=1,1-HG7,0))*150+135+'calcA'!DH$5*100000+IF(AND($E7=1,MU7=0),50000,0))+IF($H7=1,INDEX('calcA'!$D$180:$EQ$219,$B7,109)*4000,0)-IF(AND('calcA'!DG$117=1,YE7&gt;0),2000,0)-IF(AND($U7=1,'calcA'!DH$117=1,HG7=0),2000,0))),1000000000))</f>
        <v/>
      </c>
      <c r="SK7">
        <f>IF($B7=0,1000000000,IF(INDEX('calcA'!$D$60:$EQ$99,$B7,110)*IF($W7=1,HG7+ADV7,HG7)=1,IF(AND($E7=2,IF($W7=1,AJK7,MV7)=0),1000000000,IF($V7=1,INDEX('calcA'!$D$130:$EQ$169,$B7,110)+IF(AND($E7=1,MV7=0),25,0),IF($F7&gt;0,INDEX('calcA'!DI$110:DI$114,$F7+1)+IF(AND($E7=1,MV7=0),1000,0),MIN(TY7,20)*400+(IF('calcA'!DH$106=1,1-HF7,0)+IF('calcA'!DI$106=1,1-HH7,0))*150+145+'calcA'!DI$5*100000+IF(AND($E7=1,MV7=0),50000,0))+IF($H7=1,INDEX('calcA'!$D$180:$EQ$219,$B7,110)*4000,0)-IF(AND('calcA'!DH$117=1,YF7&gt;0),2000,0)-IF(AND($U7=1,'calcA'!DI$117=1,HH7=0),2000,0))),1000000000))</f>
        <v/>
      </c>
      <c r="SL7">
        <f>IF($B7=0,1000000000,IF(INDEX('calcA'!$D$60:$EQ$99,$B7,111)*IF($W7=1,HH7+ADW7,HH7)=1,IF(AND($E7=2,IF($W7=1,AJL7,MW7)=0),1000000000,IF($V7=1,INDEX('calcA'!$D$130:$EQ$169,$B7,111)+IF(AND($E7=1,MW7=0),25,0),IF($F7&gt;0,INDEX('calcA'!DJ$110:DJ$114,$F7+1)+IF(AND($E7=1,MW7=0),1000,0),MIN(TY7,20)*400+(IF('calcA'!DI$106=1,1-HG7,0)+IF('calcA'!DJ$106=1,1-HI7,0))*150+155+'calcA'!DJ$5*100000+IF(AND($E7=1,MW7=0),50000,0))+IF($H7=1,INDEX('calcA'!$D$180:$EQ$219,$B7,111)*4000,0)-IF(AND('calcA'!DI$117=1,YG7&gt;0),2000,0)-IF(AND($U7=1,'calcA'!DJ$117=1,HI7=0),2000,0))),1000000000))</f>
        <v/>
      </c>
      <c r="SM7">
        <f>IF($B7=0,1000000000,IF(INDEX('calcA'!$D$60:$EQ$99,$B7,112)*IF($W7=1,HI7+ADX7,HI7)=1,IF(AND($E7=2,IF($W7=1,AJM7,MX7)=0),1000000000,IF($V7=1,INDEX('calcA'!$D$130:$EQ$169,$B7,112)+IF(AND($E7=1,MX7=0),25,0),IF($F7&gt;0,INDEX('calcA'!DK$110:DK$114,$F7+1)+IF(AND($E7=1,MX7=0),1000,0),MIN(TY7,20)*400+(IF('calcA'!DJ$106=1,1-HH7,0)+IF('calcA'!DK$106=1,1-HJ7,0))*150+165+'calcA'!DK$5*100000+IF(AND($E7=1,MX7=0),50000,0))+IF($H7=1,INDEX('calcA'!$D$180:$EQ$219,$B7,112)*4000,0)-IF(AND('calcA'!DJ$117=1,YH7&gt;0),2000,0)-IF(AND($U7=1,'calcA'!DK$117=1,HJ7=0),2000,0))),1000000000))</f>
        <v/>
      </c>
      <c r="SN7">
        <f>IF($B7=0,1000000000,IF(INDEX('calcA'!$D$60:$EQ$99,$B7,113)*IF($W7=1,HJ7+ADY7,HJ7)=1,IF(AND($E7=2,IF($W7=1,AJN7,MY7)=0),1000000000,IF($V7=1,INDEX('calcA'!$D$130:$EQ$169,$B7,113)+IF(AND($E7=1,MY7=0),25,0),IF($F7&gt;0,INDEX('calcA'!DL$110:DL$114,$F7+1)+IF(AND($E7=1,MY7=0),1000,0),MIN(TY7,20)*400+(IF('calcA'!DK$106=1,1-HI7,0)+IF('calcA'!DL$106=1,1-HK7,0))*150+175+'calcA'!DL$5*100000+IF(AND($E7=1,MY7=0),50000,0))+IF($H7=1,INDEX('calcA'!$D$180:$EQ$219,$B7,113)*4000,0)-IF(AND('calcA'!DK$117=1,YI7&gt;0),2000,0)-IF(AND($U7=1,'calcA'!DL$117=1,HK7=0),2000,0))),1000000000))</f>
        <v/>
      </c>
      <c r="SO7">
        <f>IF($B7=0,1000000000,IF(INDEX('calcA'!$D$60:$EQ$99,$B7,114)*IF($W7=1,HK7+ADZ7,HK7)=1,IF(AND($E7=2,IF($W7=1,AJO7,MZ7)=0),1000000000,IF($V7=1,INDEX('calcA'!$D$130:$EQ$169,$B7,114)+IF(AND($E7=1,MZ7=0),25,0),IF($F7&gt;0,INDEX('calcA'!DM$110:DM$114,$F7+1)+IF(AND($E7=1,MZ7=0),1000,0),MIN(TY7,20)*400+(IF('calcA'!DL$106=1,1-HJ7,0)+IF('calcA'!DM$106=1,1-HL7,0))*150+185+'calcA'!DM$5*100000+IF(AND($E7=1,MZ7=0),50000,0))+IF($H7=1,INDEX('calcA'!$D$180:$EQ$219,$B7,114)*4000,0)-IF(AND('calcA'!DL$117=1,YJ7&gt;0),2000,0)-IF(AND($U7=1,'calcA'!DM$117=1,HL7=0),2000,0))),1000000000))</f>
        <v/>
      </c>
      <c r="SP7">
        <f>IF($B7=0,1000000000,IF(INDEX('calcA'!$D$60:$EQ$99,$B7,115)*IF($W7=1,HL7+AEA7,HL7)=1,IF(AND($E7=2,IF($W7=1,AJP7,NA7)=0),1000000000,IF($V7=1,INDEX('calcA'!$D$130:$EQ$169,$B7,115)+IF(AND($E7=1,NA7=0),25,0),IF($F7&gt;0,INDEX('calcA'!DN$110:DN$114,$F7+1)+IF(AND($E7=1,NA7=0),1000,0),MIN(TY7,20)*400+(IF('calcA'!DM$106=1,1-HK7,0)+IF('calcA'!DN$106=1,1-HM7,0))*150+195+'calcA'!DN$5*100000+IF(AND($E7=1,NA7=0),50000,0))+IF($H7=1,INDEX('calcA'!$D$180:$EQ$219,$B7,115)*4000,0)-IF(AND('calcA'!DM$117=1,YK7&gt;0),2000,0)-IF(AND($U7=1,'calcA'!DN$117=1,HM7=0),2000,0))),1000000000))</f>
        <v/>
      </c>
      <c r="SQ7">
        <f>IF($B7=0,1000000000,IF(INDEX('calcA'!$D$60:$EQ$99,$B7,116)*IF($W7=1,HM7+AEB7,HM7)=1,IF(AND($E7=2,IF($W7=1,AJQ7,NB7)=0),1000000000,IF($V7=1,INDEX('calcA'!$D$130:$EQ$169,$B7,116)+IF(AND($E7=1,NB7=0),25,0),IF($F7&gt;0,INDEX('calcA'!DO$110:DO$114,$F7+1)+IF(AND($E7=1,NB7=0),1000,0),MIN(TY7,20)*400+(IF('calcA'!DN$106=1,1-HL7,0)+IF('calcA'!DO$106=1,1-HN7,0))*150+205+'calcA'!DO$5*100000+IF(AND($E7=1,NB7=0),50000,0))+IF($H7=1,INDEX('calcA'!$D$180:$EQ$219,$B7,116)*4000,0)-IF(AND('calcA'!DN$117=1,YL7&gt;0),2000,0)-IF(AND($U7=1,'calcA'!DO$117=1,HN7=0),2000,0))),1000000000))</f>
        <v/>
      </c>
      <c r="SR7">
        <f>IF($B7=0,1000000000,IF(INDEX('calcA'!$D$60:$EQ$99,$B7,117)*IF($W7=1,HN7+AEC7,HN7)=1,IF(AND($E7=2,IF($W7=1,AJR7,NC7)=0),1000000000,IF($V7=1,INDEX('calcA'!$D$130:$EQ$169,$B7,117)+IF(AND($E7=1,NC7=0),25,0),IF($F7&gt;0,INDEX('calcA'!DP$110:DP$114,$F7+1)+IF(AND($E7=1,NC7=0),1000,0),MIN(TY7,20)*400+(IF('calcA'!DO$106=1,1-HM7,0)+IF('calcA'!DP$106=1,1-HO7,0))*150+215+'calcA'!DP$5*100000+IF(AND($E7=1,NC7=0),50000,0))+IF($H7=1,INDEX('calcA'!$D$180:$EQ$219,$B7,117)*4000,0)-IF(AND('calcA'!DO$117=1,YM7&gt;0),2000,0)-IF(AND($U7=1,'calcA'!DP$117=1,HO7=0),2000,0))),1000000000))</f>
        <v/>
      </c>
      <c r="SS7">
        <f>IF($B7=0,1000000000,IF(INDEX('calcA'!$D$60:$EQ$99,$B7,118)*IF($W7=1,HO7+AED7,HO7)=1,IF(AND($E7=2,IF($W7=1,AJS7,ND7)=0),1000000000,IF($V7=1,INDEX('calcA'!$D$130:$EQ$169,$B7,118)+IF(AND($E7=1,ND7=0),25,0),IF($F7&gt;0,INDEX('calcA'!DQ$110:DQ$114,$F7+1)+IF(AND($E7=1,ND7=0),1000,0),MIN(TY7,20)*400+(IF('calcA'!DP$106=1,1-HN7,0)+IF('calcA'!DQ$106=1,1-HP7,0))*150+225+'calcA'!DQ$5*100000+IF(AND($E7=1,ND7=0),50000,0))+IF($H7=1,INDEX('calcA'!$D$180:$EQ$219,$B7,118)*4000,0)-IF(AND('calcA'!DP$117=1,YN7&gt;0),2000,0)-IF(AND($U7=1,'calcA'!DQ$117=1,HP7=0),2000,0))),1000000000))</f>
        <v/>
      </c>
      <c r="ST7">
        <f>IF($B7=0,1000000000,IF(INDEX('calcA'!$D$60:$EQ$99,$B7,119)*IF($W7=1,HP7+AEE7,HP7)=1,IF(AND($E7=2,IF($W7=1,AJT7,NE7)=0),1000000000,IF($V7=1,INDEX('calcA'!$D$130:$EQ$169,$B7,119)+IF(AND($E7=1,NE7=0),25,0),IF($F7&gt;0,INDEX('calcA'!DR$110:DR$114,$F7+1)+IF(AND($E7=1,NE7=0),1000,0),MIN(TY7,20)*400+(IF('calcA'!DQ$106=1,1-HO7,0)+IF('calcA'!DR$106=1,1-HQ7,0))*150+235+'calcA'!DR$5*100000+IF(AND($E7=1,NE7=0),50000,0))+IF($H7=1,INDEX('calcA'!$D$180:$EQ$219,$B7,119)*4000,0)-IF(AND('calcA'!DQ$117=1,YO7&gt;0),2000,0)-IF(AND($U7=1,'calcA'!DR$117=1,HQ7=0),2000,0))),1000000000))</f>
        <v/>
      </c>
      <c r="SU7">
        <f>IF($B7=0,1000000000,IF(INDEX('calcA'!$D$60:$EQ$99,$B7,120)*IF($W7=1,HQ7+AEF7,HQ7)=1,IF(AND($E7=2,IF($W7=1,AJU7,NF7)=0),1000000000,IF($V7=1,INDEX('calcA'!$D$130:$EQ$169,$B7,120)+IF(AND($E7=1,NF7=0),25,0),IF($F7&gt;0,INDEX('calcA'!DS$110:DS$114,$F7+1)+IF(AND($E7=1,NF7=0),1000,0),MIN(TY7,20)*400+(IF('calcA'!DR$106=1,1-HP7,0))*150+245+'calcA'!DS$5*100000+IF(AND($E7=1,NF7=0),50000,0))+IF($H7=1,INDEX('calcA'!$D$180:$EQ$219,$B7,120)*4000,0)-IF(AND('calcA'!DR$117=1,YP7&gt;0),2000,0))),1000000000))</f>
        <v/>
      </c>
      <c r="SV7">
        <f>IF($B7=0,1000000000,IF(INDEX('calcA'!$D$60:$EQ$99,$B7,121)*IF($W7=1,HR7+AEG7,HR7)=1,IF(AND($E7=2,IF($W7=1,AJV7,NG7)=0),1000000000,IF($V7=1,INDEX('calcA'!$D$130:$EQ$169,$B7,121)+IF(AND($E7=1,NG7=0),25,0),IF($F7&gt;0,INDEX('calcA'!DT$110:DT$114,$F7+1)+IF(AND($E7=1,NG7=0),1000,0),MIN(TZ7,20)*400+(IF('calcA'!DT$106=1,1-HS7,0))*150+16+'calcA'!DT$5*100000+IF(AND($E7=1,NG7=0),50000,0))+IF($H7=1,INDEX('calcA'!$D$180:$EQ$219,$B7,121)*4000,0)-IF(AND($U7=1,'calcA'!DT$117=1,HS7=0),2000,0))),1000000000))</f>
        <v/>
      </c>
      <c r="SW7">
        <f>IF($B7=0,1000000000,IF(INDEX('calcA'!$D$60:$EQ$99,$B7,122)*IF($W7=1,HS7+AEH7,HS7)=1,IF(AND($E7=2,IF($W7=1,AJW7,NH7)=0),1000000000,IF($V7=1,INDEX('calcA'!$D$130:$EQ$169,$B7,122)+IF(AND($E7=1,NH7=0),25,0),IF($F7&gt;0,INDEX('calcA'!DU$110:DU$114,$F7+1)+IF(AND($E7=1,NH7=0),1000,0),MIN(TZ7,20)*400+(IF('calcA'!DT$106=1,1-HR7,0)+IF('calcA'!DU$106=1,1-HT7,0))*150+26+'calcA'!DU$5*100000+IF(AND($E7=1,NH7=0),50000,0))+IF($H7=1,INDEX('calcA'!$D$180:$EQ$219,$B7,122)*4000,0)-IF(AND('calcA'!DT$117=1,YR7&gt;0),2000,0)-IF(AND($U7=1,'calcA'!DU$117=1,HT7=0),2000,0))),1000000000))</f>
        <v/>
      </c>
      <c r="SX7">
        <f>IF($B7=0,1000000000,IF(INDEX('calcA'!$D$60:$EQ$99,$B7,123)*IF($W7=1,HT7+AEI7,HT7)=1,IF(AND($E7=2,IF($W7=1,AJX7,NI7)=0),1000000000,IF($V7=1,INDEX('calcA'!$D$130:$EQ$169,$B7,123)+IF(AND($E7=1,NI7=0),25,0),IF($F7&gt;0,INDEX('calcA'!DV$110:DV$114,$F7+1)+IF(AND($E7=1,NI7=0),1000,0),MIN(TZ7,20)*400+(IF('calcA'!DU$106=1,1-HS7,0)+IF('calcA'!DV$106=1,1-HU7,0))*150+36+'calcA'!DV$5*100000+IF(AND($E7=1,NI7=0),50000,0))+IF($H7=1,INDEX('calcA'!$D$180:$EQ$219,$B7,123)*4000,0)-IF(AND('calcA'!DU$117=1,YS7&gt;0),2000,0)-IF(AND($U7=1,'calcA'!DV$117=1,HU7=0),2000,0))),1000000000))</f>
        <v/>
      </c>
      <c r="SY7">
        <f>IF($B7=0,1000000000,IF(INDEX('calcA'!$D$60:$EQ$99,$B7,124)*IF($W7=1,HU7+AEJ7,HU7)=1,IF(AND($E7=2,IF($W7=1,AJY7,NJ7)=0),1000000000,IF($V7=1,INDEX('calcA'!$D$130:$EQ$169,$B7,124)+IF(AND($E7=1,NJ7=0),25,0),IF($F7&gt;0,INDEX('calcA'!DW$110:DW$114,$F7+1)+IF(AND($E7=1,NJ7=0),1000,0),MIN(TZ7,20)*400+(IF('calcA'!DV$106=1,1-HT7,0)+IF('calcA'!DW$106=1,1-HV7,0))*150+46+'calcA'!DW$5*100000+IF(AND($E7=1,NJ7=0),50000,0))+IF($H7=1,INDEX('calcA'!$D$180:$EQ$219,$B7,124)*4000,0)-IF(AND('calcA'!DV$117=1,YT7&gt;0),2000,0)-IF(AND($U7=1,'calcA'!DW$117=1,HV7=0),2000,0))),1000000000))</f>
        <v/>
      </c>
      <c r="SZ7">
        <f>IF($B7=0,1000000000,IF(INDEX('calcA'!$D$60:$EQ$99,$B7,125)*IF($W7=1,HV7+AEK7,HV7)=1,IF(AND($E7=2,IF($W7=1,AJZ7,NK7)=0),1000000000,IF($V7=1,INDEX('calcA'!$D$130:$EQ$169,$B7,125)+IF(AND($E7=1,NK7=0),25,0),IF($F7&gt;0,INDEX('calcA'!DX$110:DX$114,$F7+1)+IF(AND($E7=1,NK7=0),1000,0),MIN(TZ7,20)*400+(IF('calcA'!DW$106=1,1-HU7,0)+IF('calcA'!DX$106=1,1-HW7,0))*150+56+'calcA'!DX$5*100000+IF(AND($E7=1,NK7=0),50000,0))+IF($H7=1,INDEX('calcA'!$D$180:$EQ$219,$B7,125)*4000,0)-IF(AND('calcA'!DW$117=1,YU7&gt;0),2000,0)-IF(AND($U7=1,'calcA'!DX$117=1,HW7=0),2000,0))),1000000000))</f>
        <v/>
      </c>
      <c r="TA7">
        <f>IF($B7=0,1000000000,IF(INDEX('calcA'!$D$60:$EQ$99,$B7,126)*IF($W7=1,HW7+AEL7,HW7)=1,IF(AND($E7=2,IF($W7=1,AKA7,NL7)=0),1000000000,IF($V7=1,INDEX('calcA'!$D$130:$EQ$169,$B7,126)+IF(AND($E7=1,NL7=0),25,0),IF($F7&gt;0,INDEX('calcA'!DY$110:DY$114,$F7+1)+IF(AND($E7=1,NL7=0),1000,0),MIN(TZ7,20)*400+(IF('calcA'!DX$106=1,1-HV7,0)+IF('calcA'!DY$106=1,1-HX7,0))*150+66+'calcA'!DY$5*100000+IF(AND($E7=1,NL7=0),50000,0))+IF($H7=1,INDEX('calcA'!$D$180:$EQ$219,$B7,126)*4000,0)-IF(AND('calcA'!DX$117=1,YV7&gt;0),2000,0)-IF(AND($U7=1,'calcA'!DY$117=1,HX7=0),2000,0))),1000000000))</f>
        <v/>
      </c>
      <c r="TB7">
        <f>IF($B7=0,1000000000,IF(INDEX('calcA'!$D$60:$EQ$99,$B7,127)*IF($W7=1,HX7+AEM7,HX7)=1,IF(AND($E7=2,IF($W7=1,AKB7,NM7)=0),1000000000,IF($V7=1,INDEX('calcA'!$D$130:$EQ$169,$B7,127)+IF(AND($E7=1,NM7=0),25,0),IF($F7&gt;0,INDEX('calcA'!DZ$110:DZ$114,$F7+1)+IF(AND($E7=1,NM7=0),1000,0),MIN(TZ7,20)*400+(IF('calcA'!DY$106=1,1-HW7,0)+IF('calcA'!DZ$106=1,1-HY7,0))*150+76+'calcA'!DZ$5*100000+IF(AND($E7=1,NM7=0),50000,0))+IF($H7=1,INDEX('calcA'!$D$180:$EQ$219,$B7,127)*4000,0)-IF(AND('calcA'!DY$117=1,YW7&gt;0),2000,0)-IF(AND($U7=1,'calcA'!DZ$117=1,HY7=0),2000,0))),1000000000))</f>
        <v/>
      </c>
      <c r="TC7">
        <f>IF($B7=0,1000000000,IF(INDEX('calcA'!$D$60:$EQ$99,$B7,128)*IF($W7=1,HY7+AEN7,HY7)=1,IF(AND($E7=2,IF($W7=1,AKC7,NN7)=0),1000000000,IF($V7=1,INDEX('calcA'!$D$130:$EQ$169,$B7,128)+IF(AND($E7=1,NN7=0),25,0),IF($F7&gt;0,INDEX('calcA'!EA$110:EA$114,$F7+1)+IF(AND($E7=1,NN7=0),1000,0),MIN(TZ7,20)*400+(IF('calcA'!DZ$106=1,1-HX7,0)+IF('calcA'!EA$106=1,1-HZ7,0))*150+86+'calcA'!EA$5*100000+IF(AND($E7=1,NN7=0),50000,0))+IF($H7=1,INDEX('calcA'!$D$180:$EQ$219,$B7,128)*4000,0)-IF(AND('calcA'!DZ$117=1,YX7&gt;0),2000,0)-IF(AND($U7=1,'calcA'!EA$117=1,HZ7=0),2000,0))),1000000000))</f>
        <v/>
      </c>
      <c r="TD7">
        <f>IF($B7=0,1000000000,IF(INDEX('calcA'!$D$60:$EQ$99,$B7,129)*IF($W7=1,HZ7+AEO7,HZ7)=1,IF(AND($E7=2,IF($W7=1,AKD7,NO7)=0),1000000000,IF($V7=1,INDEX('calcA'!$D$130:$EQ$169,$B7,129)+IF(AND($E7=1,NO7=0),25,0),IF($F7&gt;0,INDEX('calcA'!EB$110:EB$114,$F7+1)+IF(AND($E7=1,NO7=0),1000,0),MIN(TZ7,20)*400+(IF('calcA'!EA$106=1,1-HY7,0)+IF('calcA'!EB$106=1,1-IA7,0))*150+96+'calcA'!EB$5*100000+IF(AND($E7=1,NO7=0),50000,0))+IF($H7=1,INDEX('calcA'!$D$180:$EQ$219,$B7,129)*4000,0)-IF(AND('calcA'!EA$117=1,YY7&gt;0),2000,0)-IF(AND($U7=1,'calcA'!EB$117=1,IA7=0),2000,0))),1000000000))</f>
        <v/>
      </c>
      <c r="TE7">
        <f>IF($B7=0,1000000000,IF(INDEX('calcA'!$D$60:$EQ$99,$B7,130)*IF($W7=1,IA7+AEP7,IA7)=1,IF(AND($E7=2,IF($W7=1,AKE7,NP7)=0),1000000000,IF($V7=1,INDEX('calcA'!$D$130:$EQ$169,$B7,130)+IF(AND($E7=1,NP7=0),25,0),IF($F7&gt;0,INDEX('calcA'!EC$110:EC$114,$F7+1)+IF(AND($E7=1,NP7=0),1000,0),MIN(TZ7,20)*400+(IF('calcA'!EB$106=1,1-HZ7,0)+IF('calcA'!EC$106=1,1-IB7,0))*150+106+'calcA'!EC$5*100000+IF(AND($E7=1,NP7=0),50000,0))+IF($H7=1,INDEX('calcA'!$D$180:$EQ$219,$B7,130)*4000,0)-IF(AND('calcA'!EB$117=1,YZ7&gt;0),2000,0)-IF(AND($U7=1,'calcA'!EC$117=1,IB7=0),2000,0))),1000000000))</f>
        <v/>
      </c>
      <c r="TF7">
        <f>IF($B7=0,1000000000,IF(INDEX('calcA'!$D$60:$EQ$99,$B7,131)*IF($W7=1,IB7+AEQ7,IB7)=1,IF(AND($E7=2,IF($W7=1,AKF7,NQ7)=0),1000000000,IF($V7=1,INDEX('calcA'!$D$130:$EQ$169,$B7,131)+IF(AND($E7=1,NQ7=0),25,0),IF($F7&gt;0,INDEX('calcA'!ED$110:ED$114,$F7+1)+IF(AND($E7=1,NQ7=0),1000,0),MIN(TZ7,20)*400+(IF('calcA'!EC$106=1,1-IA7,0)+IF('calcA'!ED$106=1,1-IC7,0))*150+116+'calcA'!ED$5*100000+IF(AND($E7=1,NQ7=0),50000,0))+IF($H7=1,INDEX('calcA'!$D$180:$EQ$219,$B7,131)*4000,0)-IF(AND('calcA'!EC$117=1,ZA7&gt;0),2000,0)-IF(AND($U7=1,'calcA'!ED$117=1,IC7=0),2000,0))),1000000000))</f>
        <v/>
      </c>
      <c r="TG7">
        <f>IF($B7=0,1000000000,IF(INDEX('calcA'!$D$60:$EQ$99,$B7,132)*IF($W7=1,IC7+AER7,IC7)=1,IF(AND($E7=2,IF($W7=1,AKG7,NR7)=0),1000000000,IF($V7=1,INDEX('calcA'!$D$130:$EQ$169,$B7,132)+IF(AND($E7=1,NR7=0),25,0),IF($F7&gt;0,INDEX('calcA'!EE$110:EE$114,$F7+1)+IF(AND($E7=1,NR7=0),1000,0),MIN(TZ7,20)*400+(IF('calcA'!ED$106=1,1-IB7,0)+IF('calcA'!EE$106=1,1-ID7,0))*150+126+'calcA'!EE$5*100000+IF(AND($E7=1,NR7=0),50000,0))+IF($H7=1,INDEX('calcA'!$D$180:$EQ$219,$B7,132)*4000,0)-IF(AND('calcA'!ED$117=1,ZB7&gt;0),2000,0)-IF(AND($U7=1,'calcA'!EE$117=1,ID7=0),2000,0))),1000000000))</f>
        <v/>
      </c>
      <c r="TH7">
        <f>IF($B7=0,1000000000,IF(INDEX('calcA'!$D$60:$EQ$99,$B7,133)*IF($W7=1,ID7+AES7,ID7)=1,IF(AND($E7=2,IF($W7=1,AKH7,NS7)=0),1000000000,IF($V7=1,INDEX('calcA'!$D$130:$EQ$169,$B7,133)+IF(AND($E7=1,NS7=0),25,0),IF($F7&gt;0,INDEX('calcA'!EF$110:EF$114,$F7+1)+IF(AND($E7=1,NS7=0),1000,0),MIN(TZ7,20)*400+(IF('calcA'!EE$106=1,1-IC7,0)+IF('calcA'!EF$106=1,1-IE7,0))*150+136+'calcA'!EF$5*100000+IF(AND($E7=1,NS7=0),50000,0))+IF($H7=1,INDEX('calcA'!$D$180:$EQ$219,$B7,133)*4000,0)-IF(AND('calcA'!EE$117=1,ZC7&gt;0),2000,0)-IF(AND($U7=1,'calcA'!EF$117=1,IE7=0),2000,0))),1000000000))</f>
        <v/>
      </c>
      <c r="TI7">
        <f>IF($B7=0,1000000000,IF(INDEX('calcA'!$D$60:$EQ$99,$B7,134)*IF($W7=1,IE7+AET7,IE7)=1,IF(AND($E7=2,IF($W7=1,AKI7,NT7)=0),1000000000,IF($V7=1,INDEX('calcA'!$D$130:$EQ$169,$B7,134)+IF(AND($E7=1,NT7=0),25,0),IF($F7&gt;0,INDEX('calcA'!EG$110:EG$114,$F7+1)+IF(AND($E7=1,NT7=0),1000,0),MIN(TZ7,20)*400+(IF('calcA'!EF$106=1,1-ID7,0)+IF('calcA'!EG$106=1,1-IF7,0))*150+146+'calcA'!EG$5*100000+IF(AND($E7=1,NT7=0),50000,0))+IF($H7=1,INDEX('calcA'!$D$180:$EQ$219,$B7,134)*4000,0)-IF(AND('calcA'!EF$117=1,ZD7&gt;0),2000,0)-IF(AND($U7=1,'calcA'!EG$117=1,IF7=0),2000,0))),1000000000))</f>
        <v/>
      </c>
      <c r="TJ7">
        <f>IF($B7=0,1000000000,IF(INDEX('calcA'!$D$60:$EQ$99,$B7,135)*IF($W7=1,IF7+AEU7,IF7)=1,IF(AND($E7=2,IF($W7=1,AKJ7,NU7)=0),1000000000,IF($V7=1,INDEX('calcA'!$D$130:$EQ$169,$B7,135)+IF(AND($E7=1,NU7=0),25,0),IF($F7&gt;0,INDEX('calcA'!EH$110:EH$114,$F7+1)+IF(AND($E7=1,NU7=0),1000,0),MIN(TZ7,20)*400+(IF('calcA'!EG$106=1,1-IE7,0)+IF('calcA'!EH$106=1,1-IG7,0))*150+156+'calcA'!EH$5*100000+IF(AND($E7=1,NU7=0),50000,0))+IF($H7=1,INDEX('calcA'!$D$180:$EQ$219,$B7,135)*4000,0)-IF(AND('calcA'!EG$117=1,ZE7&gt;0),2000,0)-IF(AND($U7=1,'calcA'!EH$117=1,IG7=0),2000,0))),1000000000))</f>
        <v/>
      </c>
      <c r="TK7">
        <f>IF($B7=0,1000000000,IF(INDEX('calcA'!$D$60:$EQ$99,$B7,136)*IF($W7=1,IG7+AEV7,IG7)=1,IF(AND($E7=2,IF($W7=1,AKK7,NV7)=0),1000000000,IF($V7=1,INDEX('calcA'!$D$130:$EQ$169,$B7,136)+IF(AND($E7=1,NV7=0),25,0),IF($F7&gt;0,INDEX('calcA'!EI$110:EI$114,$F7+1)+IF(AND($E7=1,NV7=0),1000,0),MIN(TZ7,20)*400+(IF('calcA'!EH$106=1,1-IF7,0)+IF('calcA'!EI$106=1,1-IH7,0))*150+166+'calcA'!EI$5*100000+IF(AND($E7=1,NV7=0),50000,0))+IF($H7=1,INDEX('calcA'!$D$180:$EQ$219,$B7,136)*4000,0)-IF(AND('calcA'!EH$117=1,ZF7&gt;0),2000,0)-IF(AND($U7=1,'calcA'!EI$117=1,IH7=0),2000,0))),1000000000))</f>
        <v/>
      </c>
      <c r="TL7">
        <f>IF($B7=0,1000000000,IF(INDEX('calcA'!$D$60:$EQ$99,$B7,137)*IF($W7=1,IH7+AEW7,IH7)=1,IF(AND($E7=2,IF($W7=1,AKL7,NW7)=0),1000000000,IF($V7=1,INDEX('calcA'!$D$130:$EQ$169,$B7,137)+IF(AND($E7=1,NW7=0),25,0),IF($F7&gt;0,INDEX('calcA'!EJ$110:EJ$114,$F7+1)+IF(AND($E7=1,NW7=0),1000,0),MIN(TZ7,20)*400+(IF('calcA'!EI$106=1,1-IG7,0)+IF('calcA'!EJ$106=1,1-II7,0))*150+176+'calcA'!EJ$5*100000+IF(AND($E7=1,NW7=0),50000,0))+IF($H7=1,INDEX('calcA'!$D$180:$EQ$219,$B7,137)*4000,0)-IF(AND('calcA'!EI$117=1,ZG7&gt;0),2000,0)-IF(AND($U7=1,'calcA'!EJ$117=1,II7=0),2000,0))),1000000000))</f>
        <v/>
      </c>
      <c r="TM7">
        <f>IF($B7=0,1000000000,IF(INDEX('calcA'!$D$60:$EQ$99,$B7,138)*IF($W7=1,II7+AEX7,II7)=1,IF(AND($E7=2,IF($W7=1,AKM7,NX7)=0),1000000000,IF($V7=1,INDEX('calcA'!$D$130:$EQ$169,$B7,138)+IF(AND($E7=1,NX7=0),25,0),IF($F7&gt;0,INDEX('calcA'!EK$110:EK$114,$F7+1)+IF(AND($E7=1,NX7=0),1000,0),MIN(TZ7,20)*400+(IF('calcA'!EJ$106=1,1-IH7,0)+IF('calcA'!EK$106=1,1-IJ7,0))*150+186+'calcA'!EK$5*100000+IF(AND($E7=1,NX7=0),50000,0))+IF($H7=1,INDEX('calcA'!$D$180:$EQ$219,$B7,138)*4000,0)-IF(AND('calcA'!EJ$117=1,ZH7&gt;0),2000,0)-IF(AND($U7=1,'calcA'!EK$117=1,IJ7=0),2000,0))),1000000000))</f>
        <v/>
      </c>
      <c r="TN7">
        <f>IF($B7=0,1000000000,IF(INDEX('calcA'!$D$60:$EQ$99,$B7,139)*IF($W7=1,IJ7+AEY7,IJ7)=1,IF(AND($E7=2,IF($W7=1,AKN7,NY7)=0),1000000000,IF($V7=1,INDEX('calcA'!$D$130:$EQ$169,$B7,139)+IF(AND($E7=1,NY7=0),25,0),IF($F7&gt;0,INDEX('calcA'!EL$110:EL$114,$F7+1)+IF(AND($E7=1,NY7=0),1000,0),MIN(TZ7,20)*400+(IF('calcA'!EK$106=1,1-II7,0)+IF('calcA'!EL$106=1,1-IK7,0))*150+196+'calcA'!EL$5*100000+IF(AND($E7=1,NY7=0),50000,0))+IF($H7=1,INDEX('calcA'!$D$180:$EQ$219,$B7,139)*4000,0)-IF(AND('calcA'!EK$117=1,ZI7&gt;0),2000,0)-IF(AND($U7=1,'calcA'!EL$117=1,IK7=0),2000,0))),1000000000))</f>
        <v/>
      </c>
      <c r="TO7">
        <f>IF($B7=0,1000000000,IF(INDEX('calcA'!$D$60:$EQ$99,$B7,140)*IF($W7=1,IK7+AEZ7,IK7)=1,IF(AND($E7=2,IF($W7=1,AKO7,NZ7)=0),1000000000,IF($V7=1,INDEX('calcA'!$D$130:$EQ$169,$B7,140)+IF(AND($E7=1,NZ7=0),25,0),IF($F7&gt;0,INDEX('calcA'!EM$110:EM$114,$F7+1)+IF(AND($E7=1,NZ7=0),1000,0),MIN(TZ7,20)*400+(IF('calcA'!EL$106=1,1-IJ7,0)+IF('calcA'!EM$106=1,1-IL7,0))*150+206+'calcA'!EM$5*100000+IF(AND($E7=1,NZ7=0),50000,0))+IF($H7=1,INDEX('calcA'!$D$180:$EQ$219,$B7,140)*4000,0)-IF(AND('calcA'!EL$117=1,ZJ7&gt;0),2000,0)-IF(AND($U7=1,'calcA'!EM$117=1,IL7=0),2000,0))),1000000000))</f>
        <v/>
      </c>
      <c r="TP7">
        <f>IF($B7=0,1000000000,IF(INDEX('calcA'!$D$60:$EQ$99,$B7,141)*IF($W7=1,IL7+AFA7,IL7)=1,IF(AND($E7=2,IF($W7=1,AKP7,OA7)=0),1000000000,IF($V7=1,INDEX('calcA'!$D$130:$EQ$169,$B7,141)+IF(AND($E7=1,OA7=0),25,0),IF($F7&gt;0,INDEX('calcA'!EN$110:EN$114,$F7+1)+IF(AND($E7=1,OA7=0),1000,0),MIN(TZ7,20)*400+(IF('calcA'!EM$106=1,1-IK7,0)+IF('calcA'!EN$106=1,1-IM7,0))*150+216+'calcA'!EN$5*100000+IF(AND($E7=1,OA7=0),50000,0))+IF($H7=1,INDEX('calcA'!$D$180:$EQ$219,$B7,141)*4000,0)-IF(AND('calcA'!EM$117=1,ZK7&gt;0),2000,0)-IF(AND($U7=1,'calcA'!EN$117=1,IM7=0),2000,0))),1000000000))</f>
        <v/>
      </c>
      <c r="TQ7">
        <f>IF($B7=0,1000000000,IF(INDEX('calcA'!$D$60:$EQ$99,$B7,142)*IF($W7=1,IM7+AFB7,IM7)=1,IF(AND($E7=2,IF($W7=1,AKQ7,OB7)=0),1000000000,IF($V7=1,INDEX('calcA'!$D$130:$EQ$169,$B7,142)+IF(AND($E7=1,OB7=0),25,0),IF($F7&gt;0,INDEX('calcA'!EO$110:EO$114,$F7+1)+IF(AND($E7=1,OB7=0),1000,0),MIN(TZ7,20)*400+(IF('calcA'!EN$106=1,1-IL7,0)+IF('calcA'!EO$106=1,1-IN7,0))*150+226+'calcA'!EO$5*100000+IF(AND($E7=1,OB7=0),50000,0))+IF($H7=1,INDEX('calcA'!$D$180:$EQ$219,$B7,142)*4000,0)-IF(AND('calcA'!EN$117=1,ZL7&gt;0),2000,0)-IF(AND($U7=1,'calcA'!EO$117=1,IN7=0),2000,0))),1000000000))</f>
        <v/>
      </c>
      <c r="TR7">
        <f>IF($B7=0,1000000000,IF(INDEX('calcA'!$D$60:$EQ$99,$B7,143)*IF($W7=1,IN7+AFC7,IN7)=1,IF(AND($E7=2,IF($W7=1,AKR7,OC7)=0),1000000000,IF($V7=1,INDEX('calcA'!$D$130:$EQ$169,$B7,143)+IF(AND($E7=1,OC7=0),25,0),IF($F7&gt;0,INDEX('calcA'!EP$110:EP$114,$F7+1)+IF(AND($E7=1,OC7=0),1000,0),MIN(TZ7,20)*400+(IF('calcA'!EO$106=1,1-IM7,0)+IF('calcA'!EP$106=1,1-IO7,0))*150+236+'calcA'!EP$5*100000+IF(AND($E7=1,OC7=0),50000,0))+IF($H7=1,INDEX('calcA'!$D$180:$EQ$219,$B7,143)*4000,0)-IF(AND('calcA'!EO$117=1,ZM7&gt;0),2000,0)-IF(AND($U7=1,'calcA'!EP$117=1,IO7=0),2000,0))),1000000000))</f>
        <v/>
      </c>
      <c r="TS7">
        <f>IF($B7=0,1000000000,IF(INDEX('calcA'!$D$60:$EQ$99,$B7,144)*IF($W7=1,IO7+AFD7,IO7)=1,IF(AND($E7=2,IF($W7=1,AKS7,OD7)=0),1000000000,IF($V7=1,INDEX('calcA'!$D$130:$EQ$169,$B7,144)+IF(AND($E7=1,OD7=0),25,0),IF($F7&gt;0,INDEX('calcA'!EQ$110:EQ$114,$F7+1)+IF(AND($E7=1,OD7=0),1000,0),MIN(TZ7,20)*400+(IF('calcA'!EP$106=1,1-IN7,0))*150+246+'calcA'!EQ$5*100000+IF(AND($E7=1,OD7=0),50000,0))+IF($H7=1,INDEX('calcA'!$D$180:$EQ$219,$B7,144)*4000,0)-IF(AND('calcA'!EP$117=1,ZN7&gt;0),2000,0))),1000000000))</f>
        <v/>
      </c>
      <c r="TU7">
        <f>TU6+IF($C6&gt;0,IF(INDEX('calcA'!$D$2:$EQ$2,$C6)=1,1,0),0)</f>
        <v/>
      </c>
      <c r="TV7">
        <f>TV6+IF($C6&gt;0,IF(INDEX('calcA'!$D$2:$EQ$2,$C6)=2,1,0),0)</f>
        <v/>
      </c>
      <c r="TW7">
        <f>TW6+IF($C6&gt;0,IF(INDEX('calcA'!$D$2:$EQ$2,$C6)=3,1,0),0)</f>
        <v/>
      </c>
      <c r="TX7">
        <f>TX6+IF($C6&gt;0,IF(INDEX('calcA'!$D$2:$EQ$2,$C6)=4,1,0),0)</f>
        <v/>
      </c>
      <c r="TY7">
        <f>TY6+IF($C6&gt;0,IF(INDEX('calcA'!$D$2:$EQ$2,$C6)=5,1,0),0)</f>
        <v/>
      </c>
      <c r="TZ7">
        <f>TZ6+IF($C6&gt;0,IF(INDEX('calcA'!$D$2:$EQ$2,$C6)=6,1,0),0)</f>
        <v/>
      </c>
      <c r="UB7">
        <f>UB6+IF(AND($C6=1,$U6=1),1,0)</f>
        <v/>
      </c>
      <c r="UC7">
        <f>UC6+IF(AND($C6=2,$U6=1),1,0)</f>
        <v/>
      </c>
      <c r="UD7">
        <f>UD6+IF(AND($C6=3,$U6=1),1,0)</f>
        <v/>
      </c>
      <c r="UE7">
        <f>UE6+IF(AND($C6=4,$U6=1),1,0)</f>
        <v/>
      </c>
      <c r="UF7">
        <f>UF6+IF(AND($C6=5,$U6=1),1,0)</f>
        <v/>
      </c>
      <c r="UG7">
        <f>UG6+IF(AND($C6=6,$U6=1),1,0)</f>
        <v/>
      </c>
      <c r="UH7">
        <f>UH6+IF(AND($C6=7,$U6=1),1,0)</f>
        <v/>
      </c>
      <c r="UI7">
        <f>UI6+IF(AND($C6=8,$U6=1),1,0)</f>
        <v/>
      </c>
      <c r="UJ7">
        <f>UJ6+IF(AND($C6=9,$U6=1),1,0)</f>
        <v/>
      </c>
      <c r="UK7">
        <f>UK6+IF(AND($C6=10,$U6=1),1,0)</f>
        <v/>
      </c>
      <c r="UL7">
        <f>UL6+IF(AND($C6=11,$U6=1),1,0)</f>
        <v/>
      </c>
      <c r="UM7">
        <f>UM6+IF(AND($C6=12,$U6=1),1,0)</f>
        <v/>
      </c>
      <c r="UN7">
        <f>UN6+IF(AND($C6=13,$U6=1),1,0)</f>
        <v/>
      </c>
      <c r="UO7">
        <f>UO6+IF(AND($C6=14,$U6=1),1,0)</f>
        <v/>
      </c>
      <c r="UP7">
        <f>UP6+IF(AND($C6=15,$U6=1),1,0)</f>
        <v/>
      </c>
      <c r="UQ7">
        <f>UQ6+IF(AND($C6=16,$U6=1),1,0)</f>
        <v/>
      </c>
      <c r="UR7">
        <f>UR6+IF(AND($C6=17,$U6=1),1,0)</f>
        <v/>
      </c>
      <c r="US7">
        <f>US6+IF(AND($C6=18,$U6=1),1,0)</f>
        <v/>
      </c>
      <c r="UT7">
        <f>UT6+IF(AND($C6=19,$U6=1),1,0)</f>
        <v/>
      </c>
      <c r="UU7">
        <f>UU6+IF(AND($C6=20,$U6=1),1,0)</f>
        <v/>
      </c>
      <c r="UV7">
        <f>UV6+IF(AND($C6=21,$U6=1),1,0)</f>
        <v/>
      </c>
      <c r="UW7">
        <f>UW6+IF(AND($C6=22,$U6=1),1,0)</f>
        <v/>
      </c>
      <c r="UX7">
        <f>UX6+IF(AND($C6=23,$U6=1),1,0)</f>
        <v/>
      </c>
      <c r="UY7">
        <f>UY6+IF(AND($C6=24,$U6=1),1,0)</f>
        <v/>
      </c>
      <c r="UZ7">
        <f>UZ6+IF(AND($C6=25,$U6=1),1,0)</f>
        <v/>
      </c>
      <c r="VA7">
        <f>VA6+IF(AND($C6=26,$U6=1),1,0)</f>
        <v/>
      </c>
      <c r="VB7">
        <f>VB6+IF(AND($C6=27,$U6=1),1,0)</f>
        <v/>
      </c>
      <c r="VC7">
        <f>VC6+IF(AND($C6=28,$U6=1),1,0)</f>
        <v/>
      </c>
      <c r="VD7">
        <f>VD6+IF(AND($C6=29,$U6=1),1,0)</f>
        <v/>
      </c>
      <c r="VE7">
        <f>VE6+IF(AND($C6=30,$U6=1),1,0)</f>
        <v/>
      </c>
      <c r="VF7">
        <f>VF6+IF(AND($C6=31,$U6=1),1,0)</f>
        <v/>
      </c>
      <c r="VG7">
        <f>VG6+IF(AND($C6=32,$U6=1),1,0)</f>
        <v/>
      </c>
      <c r="VH7">
        <f>VH6+IF(AND($C6=33,$U6=1),1,0)</f>
        <v/>
      </c>
      <c r="VI7">
        <f>VI6+IF(AND($C6=34,$U6=1),1,0)</f>
        <v/>
      </c>
      <c r="VJ7">
        <f>VJ6+IF(AND($C6=35,$U6=1),1,0)</f>
        <v/>
      </c>
      <c r="VK7">
        <f>VK6+IF(AND($C6=36,$U6=1),1,0)</f>
        <v/>
      </c>
      <c r="VL7">
        <f>VL6+IF(AND($C6=37,$U6=1),1,0)</f>
        <v/>
      </c>
      <c r="VM7">
        <f>VM6+IF(AND($C6=38,$U6=1),1,0)</f>
        <v/>
      </c>
      <c r="VN7">
        <f>VN6+IF(AND($C6=39,$U6=1),1,0)</f>
        <v/>
      </c>
      <c r="VO7">
        <f>VO6+IF(AND($C6=40,$U6=1),1,0)</f>
        <v/>
      </c>
      <c r="VP7">
        <f>VP6+IF(AND($C6=41,$U6=1),1,0)</f>
        <v/>
      </c>
      <c r="VQ7">
        <f>VQ6+IF(AND($C6=42,$U6=1),1,0)</f>
        <v/>
      </c>
      <c r="VR7">
        <f>VR6+IF(AND($C6=43,$U6=1),1,0)</f>
        <v/>
      </c>
      <c r="VS7">
        <f>VS6+IF(AND($C6=44,$U6=1),1,0)</f>
        <v/>
      </c>
      <c r="VT7">
        <f>VT6+IF(AND($C6=45,$U6=1),1,0)</f>
        <v/>
      </c>
      <c r="VU7">
        <f>VU6+IF(AND($C6=46,$U6=1),1,0)</f>
        <v/>
      </c>
      <c r="VV7">
        <f>VV6+IF(AND($C6=47,$U6=1),1,0)</f>
        <v/>
      </c>
      <c r="VW7">
        <f>VW6+IF(AND($C6=48,$U6=1),1,0)</f>
        <v/>
      </c>
      <c r="VX7">
        <f>VX6+IF(AND($C6=49,$U6=1),1,0)</f>
        <v/>
      </c>
      <c r="VY7">
        <f>VY6+IF(AND($C6=50,$U6=1),1,0)</f>
        <v/>
      </c>
      <c r="VZ7">
        <f>VZ6+IF(AND($C6=51,$U6=1),1,0)</f>
        <v/>
      </c>
      <c r="WA7">
        <f>WA6+IF(AND($C6=52,$U6=1),1,0)</f>
        <v/>
      </c>
      <c r="WB7">
        <f>WB6+IF(AND($C6=53,$U6=1),1,0)</f>
        <v/>
      </c>
      <c r="WC7">
        <f>WC6+IF(AND($C6=54,$U6=1),1,0)</f>
        <v/>
      </c>
      <c r="WD7">
        <f>WD6+IF(AND($C6=55,$U6=1),1,0)</f>
        <v/>
      </c>
      <c r="WE7">
        <f>WE6+IF(AND($C6=56,$U6=1),1,0)</f>
        <v/>
      </c>
      <c r="WF7">
        <f>WF6+IF(AND($C6=57,$U6=1),1,0)</f>
        <v/>
      </c>
      <c r="WG7">
        <f>WG6+IF(AND($C6=58,$U6=1),1,0)</f>
        <v/>
      </c>
      <c r="WH7">
        <f>WH6+IF(AND($C6=59,$U6=1),1,0)</f>
        <v/>
      </c>
      <c r="WI7">
        <f>WI6+IF(AND($C6=60,$U6=1),1,0)</f>
        <v/>
      </c>
      <c r="WJ7">
        <f>WJ6+IF(AND($C6=61,$U6=1),1,0)</f>
        <v/>
      </c>
      <c r="WK7">
        <f>WK6+IF(AND($C6=62,$U6=1),1,0)</f>
        <v/>
      </c>
      <c r="WL7">
        <f>WL6+IF(AND($C6=63,$U6=1),1,0)</f>
        <v/>
      </c>
      <c r="WM7">
        <f>WM6+IF(AND($C6=64,$U6=1),1,0)</f>
        <v/>
      </c>
      <c r="WN7">
        <f>WN6+IF(AND($C6=65,$U6=1),1,0)</f>
        <v/>
      </c>
      <c r="WO7">
        <f>WO6+IF(AND($C6=66,$U6=1),1,0)</f>
        <v/>
      </c>
      <c r="WP7">
        <f>WP6+IF(AND($C6=67,$U6=1),1,0)</f>
        <v/>
      </c>
      <c r="WQ7">
        <f>WQ6+IF(AND($C6=68,$U6=1),1,0)</f>
        <v/>
      </c>
      <c r="WR7">
        <f>WR6+IF(AND($C6=69,$U6=1),1,0)</f>
        <v/>
      </c>
      <c r="WS7">
        <f>WS6+IF(AND($C6=70,$U6=1),1,0)</f>
        <v/>
      </c>
      <c r="WT7">
        <f>WT6+IF(AND($C6=71,$U6=1),1,0)</f>
        <v/>
      </c>
      <c r="WU7">
        <f>WU6+IF(AND($C6=72,$U6=1),1,0)</f>
        <v/>
      </c>
      <c r="WV7">
        <f>WV6+IF(AND($C6=73,$U6=1),1,0)</f>
        <v/>
      </c>
      <c r="WW7">
        <f>WW6+IF(AND($C6=74,$U6=1),1,0)</f>
        <v/>
      </c>
      <c r="WX7">
        <f>WX6+IF(AND($C6=75,$U6=1),1,0)</f>
        <v/>
      </c>
      <c r="WY7">
        <f>WY6+IF(AND($C6=76,$U6=1),1,0)</f>
        <v/>
      </c>
      <c r="WZ7">
        <f>WZ6+IF(AND($C6=77,$U6=1),1,0)</f>
        <v/>
      </c>
      <c r="XA7">
        <f>XA6+IF(AND($C6=78,$U6=1),1,0)</f>
        <v/>
      </c>
      <c r="XB7">
        <f>XB6+IF(AND($C6=79,$U6=1),1,0)</f>
        <v/>
      </c>
      <c r="XC7">
        <f>XC6+IF(AND($C6=80,$U6=1),1,0)</f>
        <v/>
      </c>
      <c r="XD7">
        <f>XD6+IF(AND($C6=81,$U6=1),1,0)</f>
        <v/>
      </c>
      <c r="XE7">
        <f>XE6+IF(AND($C6=82,$U6=1),1,0)</f>
        <v/>
      </c>
      <c r="XF7">
        <f>XF6+IF(AND($C6=83,$U6=1),1,0)</f>
        <v/>
      </c>
      <c r="XG7">
        <f>XG6+IF(AND($C6=84,$U6=1),1,0)</f>
        <v/>
      </c>
      <c r="XH7">
        <f>XH6+IF(AND($C6=85,$U6=1),1,0)</f>
        <v/>
      </c>
      <c r="XI7">
        <f>XI6+IF(AND($C6=86,$U6=1),1,0)</f>
        <v/>
      </c>
      <c r="XJ7">
        <f>XJ6+IF(AND($C6=87,$U6=1),1,0)</f>
        <v/>
      </c>
      <c r="XK7">
        <f>XK6+IF(AND($C6=88,$U6=1),1,0)</f>
        <v/>
      </c>
      <c r="XL7">
        <f>XL6+IF(AND($C6=89,$U6=1),1,0)</f>
        <v/>
      </c>
      <c r="XM7">
        <f>XM6+IF(AND($C6=90,$U6=1),1,0)</f>
        <v/>
      </c>
      <c r="XN7">
        <f>XN6+IF(AND($C6=91,$U6=1),1,0)</f>
        <v/>
      </c>
      <c r="XO7">
        <f>XO6+IF(AND($C6=92,$U6=1),1,0)</f>
        <v/>
      </c>
      <c r="XP7">
        <f>XP6+IF(AND($C6=93,$U6=1),1,0)</f>
        <v/>
      </c>
      <c r="XQ7">
        <f>XQ6+IF(AND($C6=94,$U6=1),1,0)</f>
        <v/>
      </c>
      <c r="XR7">
        <f>XR6+IF(AND($C6=95,$U6=1),1,0)</f>
        <v/>
      </c>
      <c r="XS7">
        <f>XS6+IF(AND($C6=96,$U6=1),1,0)</f>
        <v/>
      </c>
      <c r="XT7">
        <f>XT6+IF(AND($C6=97,$U6=1),1,0)</f>
        <v/>
      </c>
      <c r="XU7">
        <f>XU6+IF(AND($C6=98,$U6=1),1,0)</f>
        <v/>
      </c>
      <c r="XV7">
        <f>XV6+IF(AND($C6=99,$U6=1),1,0)</f>
        <v/>
      </c>
      <c r="XW7">
        <f>XW6+IF(AND($C6=100,$U6=1),1,0)</f>
        <v/>
      </c>
      <c r="XX7">
        <f>XX6+IF(AND($C6=101,$U6=1),1,0)</f>
        <v/>
      </c>
      <c r="XY7">
        <f>XY6+IF(AND($C6=102,$U6=1),1,0)</f>
        <v/>
      </c>
      <c r="XZ7">
        <f>XZ6+IF(AND($C6=103,$U6=1),1,0)</f>
        <v/>
      </c>
      <c r="YA7">
        <f>YA6+IF(AND($C6=104,$U6=1),1,0)</f>
        <v/>
      </c>
      <c r="YB7">
        <f>YB6+IF(AND($C6=105,$U6=1),1,0)</f>
        <v/>
      </c>
      <c r="YC7">
        <f>YC6+IF(AND($C6=106,$U6=1),1,0)</f>
        <v/>
      </c>
      <c r="YD7">
        <f>YD6+IF(AND($C6=107,$U6=1),1,0)</f>
        <v/>
      </c>
      <c r="YE7">
        <f>YE6+IF(AND($C6=108,$U6=1),1,0)</f>
        <v/>
      </c>
      <c r="YF7">
        <f>YF6+IF(AND($C6=109,$U6=1),1,0)</f>
        <v/>
      </c>
      <c r="YG7">
        <f>YG6+IF(AND($C6=110,$U6=1),1,0)</f>
        <v/>
      </c>
      <c r="YH7">
        <f>YH6+IF(AND($C6=111,$U6=1),1,0)</f>
        <v/>
      </c>
      <c r="YI7">
        <f>YI6+IF(AND($C6=112,$U6=1),1,0)</f>
        <v/>
      </c>
      <c r="YJ7">
        <f>YJ6+IF(AND($C6=113,$U6=1),1,0)</f>
        <v/>
      </c>
      <c r="YK7">
        <f>YK6+IF(AND($C6=114,$U6=1),1,0)</f>
        <v/>
      </c>
      <c r="YL7">
        <f>YL6+IF(AND($C6=115,$U6=1),1,0)</f>
        <v/>
      </c>
      <c r="YM7">
        <f>YM6+IF(AND($C6=116,$U6=1),1,0)</f>
        <v/>
      </c>
      <c r="YN7">
        <f>YN6+IF(AND($C6=117,$U6=1),1,0)</f>
        <v/>
      </c>
      <c r="YO7">
        <f>YO6+IF(AND($C6=118,$U6=1),1,0)</f>
        <v/>
      </c>
      <c r="YP7">
        <f>YP6+IF(AND($C6=119,$U6=1),1,0)</f>
        <v/>
      </c>
      <c r="YQ7">
        <f>YQ6+IF(AND($C6=120,$U6=1),1,0)</f>
        <v/>
      </c>
      <c r="YR7">
        <f>YR6+IF(AND($C6=121,$U6=1),1,0)</f>
        <v/>
      </c>
      <c r="YS7">
        <f>YS6+IF(AND($C6=122,$U6=1),1,0)</f>
        <v/>
      </c>
      <c r="YT7">
        <f>YT6+IF(AND($C6=123,$U6=1),1,0)</f>
        <v/>
      </c>
      <c r="YU7">
        <f>YU6+IF(AND($C6=124,$U6=1),1,0)</f>
        <v/>
      </c>
      <c r="YV7">
        <f>YV6+IF(AND($C6=125,$U6=1),1,0)</f>
        <v/>
      </c>
      <c r="YW7">
        <f>YW6+IF(AND($C6=126,$U6=1),1,0)</f>
        <v/>
      </c>
      <c r="YX7">
        <f>YX6+IF(AND($C6=127,$U6=1),1,0)</f>
        <v/>
      </c>
      <c r="YY7">
        <f>YY6+IF(AND($C6=128,$U6=1),1,0)</f>
        <v/>
      </c>
      <c r="YZ7">
        <f>YZ6+IF(AND($C6=129,$U6=1),1,0)</f>
        <v/>
      </c>
      <c r="ZA7">
        <f>ZA6+IF(AND($C6=130,$U6=1),1,0)</f>
        <v/>
      </c>
      <c r="ZB7">
        <f>ZB6+IF(AND($C6=131,$U6=1),1,0)</f>
        <v/>
      </c>
      <c r="ZC7">
        <f>ZC6+IF(AND($C6=132,$U6=1),1,0)</f>
        <v/>
      </c>
      <c r="ZD7">
        <f>ZD6+IF(AND($C6=133,$U6=1),1,0)</f>
        <v/>
      </c>
      <c r="ZE7">
        <f>ZE6+IF(AND($C6=134,$U6=1),1,0)</f>
        <v/>
      </c>
      <c r="ZF7">
        <f>ZF6+IF(AND($C6=135,$U6=1),1,0)</f>
        <v/>
      </c>
      <c r="ZG7">
        <f>ZG6+IF(AND($C6=136,$U6=1),1,0)</f>
        <v/>
      </c>
      <c r="ZH7">
        <f>ZH6+IF(AND($C6=137,$U6=1),1,0)</f>
        <v/>
      </c>
      <c r="ZI7">
        <f>ZI6+IF(AND($C6=138,$U6=1),1,0)</f>
        <v/>
      </c>
      <c r="ZJ7">
        <f>ZJ6+IF(AND($C6=139,$U6=1),1,0)</f>
        <v/>
      </c>
      <c r="ZK7">
        <f>ZK6+IF(AND($C6=140,$U6=1),1,0)</f>
        <v/>
      </c>
      <c r="ZL7">
        <f>ZL6+IF(AND($C6=141,$U6=1),1,0)</f>
        <v/>
      </c>
      <c r="ZM7">
        <f>ZM6+IF(AND($C6=142,$U6=1),1,0)</f>
        <v/>
      </c>
      <c r="ZN7">
        <f>ZN6+IF(AND($C6=143,$U6=1),1,0)</f>
        <v/>
      </c>
      <c r="ZO7">
        <f>ZO6+IF(AND($C6=144,$U6=1),1,0)</f>
        <v/>
      </c>
      <c r="ZQ7">
        <f>IF($C6=1,0,ZQ6+IF(AND($G6=1,$E6=1),1,0))</f>
        <v/>
      </c>
      <c r="ZR7">
        <f>IF($C6=2,0,ZR6+IF(AND($G6=2,$E6=1),1,0))</f>
        <v/>
      </c>
      <c r="ZS7">
        <f>IF($C6=3,0,ZS6+IF(AND($G6=3,$E6=1),1,0))</f>
        <v/>
      </c>
      <c r="ZT7">
        <f>IF($C6=4,0,ZT6+IF(AND($G6=4,$E6=1),1,0))</f>
        <v/>
      </c>
      <c r="ZU7">
        <f>IF($C6=5,0,ZU6+IF(AND($G6=5,$E6=1),1,0))</f>
        <v/>
      </c>
      <c r="ZV7">
        <f>IF($C6=6,0,ZV6+IF(AND($G6=6,$E6=1),1,0))</f>
        <v/>
      </c>
      <c r="ZW7">
        <f>IF($C6=7,0,ZW6+IF(AND($G6=7,$E6=1),1,0))</f>
        <v/>
      </c>
      <c r="ZX7">
        <f>IF($C6=8,0,ZX6+IF(AND($G6=8,$E6=1),1,0))</f>
        <v/>
      </c>
      <c r="ZY7">
        <f>IF($C6=9,0,ZY6+IF(AND($G6=9,$E6=1),1,0))</f>
        <v/>
      </c>
      <c r="ZZ7">
        <f>IF($C6=10,0,ZZ6+IF(AND($G6=10,$E6=1),1,0))</f>
        <v/>
      </c>
      <c r="AAA7">
        <f>IF($C6=11,0,AAA6+IF(AND($G6=11,$E6=1),1,0))</f>
        <v/>
      </c>
      <c r="AAB7">
        <f>IF($C6=12,0,AAB6+IF(AND($G6=12,$E6=1),1,0))</f>
        <v/>
      </c>
      <c r="AAC7">
        <f>IF($C6=13,0,AAC6+IF(AND($G6=13,$E6=1),1,0))</f>
        <v/>
      </c>
      <c r="AAD7">
        <f>IF($C6=14,0,AAD6+IF(AND($G6=14,$E6=1),1,0))</f>
        <v/>
      </c>
      <c r="AAE7">
        <f>IF($C6=15,0,AAE6+IF(AND($G6=15,$E6=1),1,0))</f>
        <v/>
      </c>
      <c r="AAF7">
        <f>IF($C6=16,0,AAF6+IF(AND($G6=16,$E6=1),1,0))</f>
        <v/>
      </c>
      <c r="AAG7">
        <f>IF($C6=17,0,AAG6+IF(AND($G6=17,$E6=1),1,0))</f>
        <v/>
      </c>
      <c r="AAH7">
        <f>IF($C6=18,0,AAH6+IF(AND($G6=18,$E6=1),1,0))</f>
        <v/>
      </c>
      <c r="AAI7">
        <f>IF($C6=19,0,AAI6+IF(AND($G6=19,$E6=1),1,0))</f>
        <v/>
      </c>
      <c r="AAJ7">
        <f>IF($C6=20,0,AAJ6+IF(AND($G6=20,$E6=1),1,0))</f>
        <v/>
      </c>
      <c r="AAK7">
        <f>IF($C6=21,0,AAK6+IF(AND($G6=21,$E6=1),1,0))</f>
        <v/>
      </c>
      <c r="AAL7">
        <f>IF($C6=22,0,AAL6+IF(AND($G6=22,$E6=1),1,0))</f>
        <v/>
      </c>
      <c r="AAM7">
        <f>IF($C6=23,0,AAM6+IF(AND($G6=23,$E6=1),1,0))</f>
        <v/>
      </c>
      <c r="AAN7">
        <f>IF($C6=24,0,AAN6+IF(AND($G6=24,$E6=1),1,0))</f>
        <v/>
      </c>
      <c r="AAO7">
        <f>IF($C6=25,0,AAO6+IF(AND($G6=25,$E6=1),1,0))</f>
        <v/>
      </c>
      <c r="AAP7">
        <f>IF($C6=26,0,AAP6+IF(AND($G6=26,$E6=1),1,0))</f>
        <v/>
      </c>
      <c r="AAQ7">
        <f>IF($C6=27,0,AAQ6+IF(AND($G6=27,$E6=1),1,0))</f>
        <v/>
      </c>
      <c r="AAR7">
        <f>IF($C6=28,0,AAR6+IF(AND($G6=28,$E6=1),1,0))</f>
        <v/>
      </c>
      <c r="AAS7">
        <f>IF($C6=29,0,AAS6+IF(AND($G6=29,$E6=1),1,0))</f>
        <v/>
      </c>
      <c r="AAT7">
        <f>IF($C6=30,0,AAT6+IF(AND($G6=30,$E6=1),1,0))</f>
        <v/>
      </c>
      <c r="AAU7">
        <f>IF($C6=31,0,AAU6+IF(AND($G6=31,$E6=1),1,0))</f>
        <v/>
      </c>
      <c r="AAV7">
        <f>IF($C6=32,0,AAV6+IF(AND($G6=32,$E6=1),1,0))</f>
        <v/>
      </c>
      <c r="AAW7">
        <f>IF($C6=33,0,AAW6+IF(AND($G6=33,$E6=1),1,0))</f>
        <v/>
      </c>
      <c r="AAX7">
        <f>IF($C6=34,0,AAX6+IF(AND($G6=34,$E6=1),1,0))</f>
        <v/>
      </c>
      <c r="AAY7">
        <f>IF($C6=35,0,AAY6+IF(AND($G6=35,$E6=1),1,0))</f>
        <v/>
      </c>
      <c r="AAZ7">
        <f>IF($C6=36,0,AAZ6+IF(AND($G6=36,$E6=1),1,0))</f>
        <v/>
      </c>
      <c r="ABA7">
        <f>IF($C6=37,0,ABA6+IF(AND($G6=37,$E6=1),1,0))</f>
        <v/>
      </c>
      <c r="ABB7">
        <f>IF($C6=38,0,ABB6+IF(AND($G6=38,$E6=1),1,0))</f>
        <v/>
      </c>
      <c r="ABC7">
        <f>IF($C6=39,0,ABC6+IF(AND($G6=39,$E6=1),1,0))</f>
        <v/>
      </c>
      <c r="ABD7">
        <f>IF($C6=40,0,ABD6+IF(AND($G6=40,$E6=1),1,0))</f>
        <v/>
      </c>
      <c r="ABE7">
        <f>IF($C6=41,0,ABE6+IF(AND($G6=41,$E6=1),1,0))</f>
        <v/>
      </c>
      <c r="ABF7">
        <f>IF($C6=42,0,ABF6+IF(AND($G6=42,$E6=1),1,0))</f>
        <v/>
      </c>
      <c r="ABG7">
        <f>IF($C6=43,0,ABG6+IF(AND($G6=43,$E6=1),1,0))</f>
        <v/>
      </c>
      <c r="ABH7">
        <f>IF($C6=44,0,ABH6+IF(AND($G6=44,$E6=1),1,0))</f>
        <v/>
      </c>
      <c r="ABI7">
        <f>IF($C6=45,0,ABI6+IF(AND($G6=45,$E6=1),1,0))</f>
        <v/>
      </c>
      <c r="ABJ7">
        <f>IF($C6=46,0,ABJ6+IF(AND($G6=46,$E6=1),1,0))</f>
        <v/>
      </c>
      <c r="ABK7">
        <f>IF($C6=47,0,ABK6+IF(AND($G6=47,$E6=1),1,0))</f>
        <v/>
      </c>
      <c r="ABL7">
        <f>IF($C6=48,0,ABL6+IF(AND($G6=48,$E6=1),1,0))</f>
        <v/>
      </c>
      <c r="ABM7">
        <f>IF($C6=49,0,ABM6+IF(AND($G6=49,$E6=1),1,0))</f>
        <v/>
      </c>
      <c r="ABN7">
        <f>IF($C6=50,0,ABN6+IF(AND($G6=50,$E6=1),1,0))</f>
        <v/>
      </c>
      <c r="ABO7">
        <f>IF($C6=51,0,ABO6+IF(AND($G6=51,$E6=1),1,0))</f>
        <v/>
      </c>
      <c r="ABP7">
        <f>IF($C6=52,0,ABP6+IF(AND($G6=52,$E6=1),1,0))</f>
        <v/>
      </c>
      <c r="ABQ7">
        <f>IF($C6=53,0,ABQ6+IF(AND($G6=53,$E6=1),1,0))</f>
        <v/>
      </c>
      <c r="ABR7">
        <f>IF($C6=54,0,ABR6+IF(AND($G6=54,$E6=1),1,0))</f>
        <v/>
      </c>
      <c r="ABS7">
        <f>IF($C6=55,0,ABS6+IF(AND($G6=55,$E6=1),1,0))</f>
        <v/>
      </c>
      <c r="ABT7">
        <f>IF($C6=56,0,ABT6+IF(AND($G6=56,$E6=1),1,0))</f>
        <v/>
      </c>
      <c r="ABU7">
        <f>IF($C6=57,0,ABU6+IF(AND($G6=57,$E6=1),1,0))</f>
        <v/>
      </c>
      <c r="ABV7">
        <f>IF($C6=58,0,ABV6+IF(AND($G6=58,$E6=1),1,0))</f>
        <v/>
      </c>
      <c r="ABW7">
        <f>IF($C6=59,0,ABW6+IF(AND($G6=59,$E6=1),1,0))</f>
        <v/>
      </c>
      <c r="ABX7">
        <f>IF($C6=60,0,ABX6+IF(AND($G6=60,$E6=1),1,0))</f>
        <v/>
      </c>
      <c r="ABY7">
        <f>IF($C6=61,0,ABY6+IF(AND($G6=61,$E6=1),1,0))</f>
        <v/>
      </c>
      <c r="ABZ7">
        <f>IF($C6=62,0,ABZ6+IF(AND($G6=62,$E6=1),1,0))</f>
        <v/>
      </c>
      <c r="ACA7">
        <f>IF($C6=63,0,ACA6+IF(AND($G6=63,$E6=1),1,0))</f>
        <v/>
      </c>
      <c r="ACB7">
        <f>IF($C6=64,0,ACB6+IF(AND($G6=64,$E6=1),1,0))</f>
        <v/>
      </c>
      <c r="ACC7">
        <f>IF($C6=65,0,ACC6+IF(AND($G6=65,$E6=1),1,0))</f>
        <v/>
      </c>
      <c r="ACD7">
        <f>IF($C6=66,0,ACD6+IF(AND($G6=66,$E6=1),1,0))</f>
        <v/>
      </c>
      <c r="ACE7">
        <f>IF($C6=67,0,ACE6+IF(AND($G6=67,$E6=1),1,0))</f>
        <v/>
      </c>
      <c r="ACF7">
        <f>IF($C6=68,0,ACF6+IF(AND($G6=68,$E6=1),1,0))</f>
        <v/>
      </c>
      <c r="ACG7">
        <f>IF($C6=69,0,ACG6+IF(AND($G6=69,$E6=1),1,0))</f>
        <v/>
      </c>
      <c r="ACH7">
        <f>IF($C6=70,0,ACH6+IF(AND($G6=70,$E6=1),1,0))</f>
        <v/>
      </c>
      <c r="ACI7">
        <f>IF($C6=71,0,ACI6+IF(AND($G6=71,$E6=1),1,0))</f>
        <v/>
      </c>
      <c r="ACJ7">
        <f>IF($C6=72,0,ACJ6+IF(AND($G6=72,$E6=1),1,0))</f>
        <v/>
      </c>
      <c r="ACK7">
        <f>IF($C6=73,0,ACK6+IF(AND($G6=73,$E6=1),1,0))</f>
        <v/>
      </c>
      <c r="ACL7">
        <f>IF($C6=74,0,ACL6+IF(AND($G6=74,$E6=1),1,0))</f>
        <v/>
      </c>
      <c r="ACM7">
        <f>IF($C6=75,0,ACM6+IF(AND($G6=75,$E6=1),1,0))</f>
        <v/>
      </c>
      <c r="ACN7">
        <f>IF($C6=76,0,ACN6+IF(AND($G6=76,$E6=1),1,0))</f>
        <v/>
      </c>
      <c r="ACO7">
        <f>IF($C6=77,0,ACO6+IF(AND($G6=77,$E6=1),1,0))</f>
        <v/>
      </c>
      <c r="ACP7">
        <f>IF($C6=78,0,ACP6+IF(AND($G6=78,$E6=1),1,0))</f>
        <v/>
      </c>
      <c r="ACQ7">
        <f>IF($C6=79,0,ACQ6+IF(AND($G6=79,$E6=1),1,0))</f>
        <v/>
      </c>
      <c r="ACR7">
        <f>IF($C6=80,0,ACR6+IF(AND($G6=80,$E6=1),1,0))</f>
        <v/>
      </c>
      <c r="ACS7">
        <f>IF($C6=81,0,ACS6+IF(AND($G6=81,$E6=1),1,0))</f>
        <v/>
      </c>
      <c r="ACT7">
        <f>IF($C6=82,0,ACT6+IF(AND($G6=82,$E6=1),1,0))</f>
        <v/>
      </c>
      <c r="ACU7">
        <f>IF($C6=83,0,ACU6+IF(AND($G6=83,$E6=1),1,0))</f>
        <v/>
      </c>
      <c r="ACV7">
        <f>IF($C6=84,0,ACV6+IF(AND($G6=84,$E6=1),1,0))</f>
        <v/>
      </c>
      <c r="ACW7">
        <f>IF($C6=85,0,ACW6+IF(AND($G6=85,$E6=1),1,0))</f>
        <v/>
      </c>
      <c r="ACX7">
        <f>IF($C6=86,0,ACX6+IF(AND($G6=86,$E6=1),1,0))</f>
        <v/>
      </c>
      <c r="ACY7">
        <f>IF($C6=87,0,ACY6+IF(AND($G6=87,$E6=1),1,0))</f>
        <v/>
      </c>
      <c r="ACZ7">
        <f>IF($C6=88,0,ACZ6+IF(AND($G6=88,$E6=1),1,0))</f>
        <v/>
      </c>
      <c r="ADA7">
        <f>IF($C6=89,0,ADA6+IF(AND($G6=89,$E6=1),1,0))</f>
        <v/>
      </c>
      <c r="ADB7">
        <f>IF($C6=90,0,ADB6+IF(AND($G6=90,$E6=1),1,0))</f>
        <v/>
      </c>
      <c r="ADC7">
        <f>IF($C6=91,0,ADC6+IF(AND($G6=91,$E6=1),1,0))</f>
        <v/>
      </c>
      <c r="ADD7">
        <f>IF($C6=92,0,ADD6+IF(AND($G6=92,$E6=1),1,0))</f>
        <v/>
      </c>
      <c r="ADE7">
        <f>IF($C6=93,0,ADE6+IF(AND($G6=93,$E6=1),1,0))</f>
        <v/>
      </c>
      <c r="ADF7">
        <f>IF($C6=94,0,ADF6+IF(AND($G6=94,$E6=1),1,0))</f>
        <v/>
      </c>
      <c r="ADG7">
        <f>IF($C6=95,0,ADG6+IF(AND($G6=95,$E6=1),1,0))</f>
        <v/>
      </c>
      <c r="ADH7">
        <f>IF($C6=96,0,ADH6+IF(AND($G6=96,$E6=1),1,0))</f>
        <v/>
      </c>
      <c r="ADI7">
        <f>IF($C6=97,0,ADI6+IF(AND($G6=97,$E6=1),1,0))</f>
        <v/>
      </c>
      <c r="ADJ7">
        <f>IF($C6=98,0,ADJ6+IF(AND($G6=98,$E6=1),1,0))</f>
        <v/>
      </c>
      <c r="ADK7">
        <f>IF($C6=99,0,ADK6+IF(AND($G6=99,$E6=1),1,0))</f>
        <v/>
      </c>
      <c r="ADL7">
        <f>IF($C6=100,0,ADL6+IF(AND($G6=100,$E6=1),1,0))</f>
        <v/>
      </c>
      <c r="ADM7">
        <f>IF($C6=101,0,ADM6+IF(AND($G6=101,$E6=1),1,0))</f>
        <v/>
      </c>
      <c r="ADN7">
        <f>IF($C6=102,0,ADN6+IF(AND($G6=102,$E6=1),1,0))</f>
        <v/>
      </c>
      <c r="ADO7">
        <f>IF($C6=103,0,ADO6+IF(AND($G6=103,$E6=1),1,0))</f>
        <v/>
      </c>
      <c r="ADP7">
        <f>IF($C6=104,0,ADP6+IF(AND($G6=104,$E6=1),1,0))</f>
        <v/>
      </c>
      <c r="ADQ7">
        <f>IF($C6=105,0,ADQ6+IF(AND($G6=105,$E6=1),1,0))</f>
        <v/>
      </c>
      <c r="ADR7">
        <f>IF($C6=106,0,ADR6+IF(AND($G6=106,$E6=1),1,0))</f>
        <v/>
      </c>
      <c r="ADS7">
        <f>IF($C6=107,0,ADS6+IF(AND($G6=107,$E6=1),1,0))</f>
        <v/>
      </c>
      <c r="ADT7">
        <f>IF($C6=108,0,ADT6+IF(AND($G6=108,$E6=1),1,0))</f>
        <v/>
      </c>
      <c r="ADU7">
        <f>IF($C6=109,0,ADU6+IF(AND($G6=109,$E6=1),1,0))</f>
        <v/>
      </c>
      <c r="ADV7">
        <f>IF($C6=110,0,ADV6+IF(AND($G6=110,$E6=1),1,0))</f>
        <v/>
      </c>
      <c r="ADW7">
        <f>IF($C6=111,0,ADW6+IF(AND($G6=111,$E6=1),1,0))</f>
        <v/>
      </c>
      <c r="ADX7">
        <f>IF($C6=112,0,ADX6+IF(AND($G6=112,$E6=1),1,0))</f>
        <v/>
      </c>
      <c r="ADY7">
        <f>IF($C6=113,0,ADY6+IF(AND($G6=113,$E6=1),1,0))</f>
        <v/>
      </c>
      <c r="ADZ7">
        <f>IF($C6=114,0,ADZ6+IF(AND($G6=114,$E6=1),1,0))</f>
        <v/>
      </c>
      <c r="AEA7">
        <f>IF($C6=115,0,AEA6+IF(AND($G6=115,$E6=1),1,0))</f>
        <v/>
      </c>
      <c r="AEB7">
        <f>IF($C6=116,0,AEB6+IF(AND($G6=116,$E6=1),1,0))</f>
        <v/>
      </c>
      <c r="AEC7">
        <f>IF($C6=117,0,AEC6+IF(AND($G6=117,$E6=1),1,0))</f>
        <v/>
      </c>
      <c r="AED7">
        <f>IF($C6=118,0,AED6+IF(AND($G6=118,$E6=1),1,0))</f>
        <v/>
      </c>
      <c r="AEE7">
        <f>IF($C6=119,0,AEE6+IF(AND($G6=119,$E6=1),1,0))</f>
        <v/>
      </c>
      <c r="AEF7">
        <f>IF($C6=120,0,AEF6+IF(AND($G6=120,$E6=1),1,0))</f>
        <v/>
      </c>
      <c r="AEG7">
        <f>IF($C6=121,0,AEG6+IF(AND($G6=121,$E6=1),1,0))</f>
        <v/>
      </c>
      <c r="AEH7">
        <f>IF($C6=122,0,AEH6+IF(AND($G6=122,$E6=1),1,0))</f>
        <v/>
      </c>
      <c r="AEI7">
        <f>IF($C6=123,0,AEI6+IF(AND($G6=123,$E6=1),1,0))</f>
        <v/>
      </c>
      <c r="AEJ7">
        <f>IF($C6=124,0,AEJ6+IF(AND($G6=124,$E6=1),1,0))</f>
        <v/>
      </c>
      <c r="AEK7">
        <f>IF($C6=125,0,AEK6+IF(AND($G6=125,$E6=1),1,0))</f>
        <v/>
      </c>
      <c r="AEL7">
        <f>IF($C6=126,0,AEL6+IF(AND($G6=126,$E6=1),1,0))</f>
        <v/>
      </c>
      <c r="AEM7">
        <f>IF($C6=127,0,AEM6+IF(AND($G6=127,$E6=1),1,0))</f>
        <v/>
      </c>
      <c r="AEN7">
        <f>IF($C6=128,0,AEN6+IF(AND($G6=128,$E6=1),1,0))</f>
        <v/>
      </c>
      <c r="AEO7">
        <f>IF($C6=129,0,AEO6+IF(AND($G6=129,$E6=1),1,0))</f>
        <v/>
      </c>
      <c r="AEP7">
        <f>IF($C6=130,0,AEP6+IF(AND($G6=130,$E6=1),1,0))</f>
        <v/>
      </c>
      <c r="AEQ7">
        <f>IF($C6=131,0,AEQ6+IF(AND($G6=131,$E6=1),1,0))</f>
        <v/>
      </c>
      <c r="AER7">
        <f>IF($C6=132,0,AER6+IF(AND($G6=132,$E6=1),1,0))</f>
        <v/>
      </c>
      <c r="AES7">
        <f>IF($C6=133,0,AES6+IF(AND($G6=133,$E6=1),1,0))</f>
        <v/>
      </c>
      <c r="AET7">
        <f>IF($C6=134,0,AET6+IF(AND($G6=134,$E6=1),1,0))</f>
        <v/>
      </c>
      <c r="AEU7">
        <f>IF($C6=135,0,AEU6+IF(AND($G6=135,$E6=1),1,0))</f>
        <v/>
      </c>
      <c r="AEV7">
        <f>IF($C6=136,0,AEV6+IF(AND($G6=136,$E6=1),1,0))</f>
        <v/>
      </c>
      <c r="AEW7">
        <f>IF($C6=137,0,AEW6+IF(AND($G6=137,$E6=1),1,0))</f>
        <v/>
      </c>
      <c r="AEX7">
        <f>IF($C6=138,0,AEX6+IF(AND($G6=138,$E6=1),1,0))</f>
        <v/>
      </c>
      <c r="AEY7">
        <f>IF($C6=139,0,AEY6+IF(AND($G6=139,$E6=1),1,0))</f>
        <v/>
      </c>
      <c r="AEZ7">
        <f>IF($C6=140,0,AEZ6+IF(AND($G6=140,$E6=1),1,0))</f>
        <v/>
      </c>
      <c r="AFA7">
        <f>IF($C6=141,0,AFA6+IF(AND($G6=141,$E6=1),1,0))</f>
        <v/>
      </c>
      <c r="AFB7">
        <f>IF($C6=142,0,AFB6+IF(AND($G6=142,$E6=1),1,0))</f>
        <v/>
      </c>
      <c r="AFC7">
        <f>IF($C6=143,0,AFC6+IF(AND($G6=143,$E6=1),1,0))</f>
        <v/>
      </c>
      <c r="AFD7">
        <f>IF($C6=144,0,AFD6+IF(AND($G6=144,$E6=1),1,0))</f>
        <v/>
      </c>
      <c r="AFF7">
        <f>IF('calcA'!D$106=1,DC7+ZR7,1)</f>
        <v/>
      </c>
      <c r="AFG7">
        <f>IF('calcA'!E$106=1,DD7+ZS7,1)</f>
        <v/>
      </c>
      <c r="AFH7">
        <f>IF('calcA'!F$106=1,DE7+ZT7,1)</f>
        <v/>
      </c>
      <c r="AFI7">
        <f>IF('calcA'!G$106=1,DF7+ZU7,1)</f>
        <v/>
      </c>
      <c r="AFJ7">
        <f>IF('calcA'!H$106=1,DG7+ZV7,1)</f>
        <v/>
      </c>
      <c r="AFK7">
        <f>IF('calcA'!I$106=1,DH7+ZW7,1)</f>
        <v/>
      </c>
      <c r="AFL7">
        <f>IF('calcA'!J$106=1,DI7+ZX7,1)</f>
        <v/>
      </c>
      <c r="AFM7">
        <f>IF('calcA'!K$106=1,DJ7+ZY7,1)</f>
        <v/>
      </c>
      <c r="AFN7">
        <f>IF('calcA'!L$106=1,DK7+ZZ7,1)</f>
        <v/>
      </c>
      <c r="AFO7">
        <f>IF('calcA'!M$106=1,DL7+AAA7,1)</f>
        <v/>
      </c>
      <c r="AFP7">
        <f>IF('calcA'!N$106=1,DM7+AAB7,1)</f>
        <v/>
      </c>
      <c r="AFQ7">
        <f>IF('calcA'!O$106=1,DN7+AAC7,1)</f>
        <v/>
      </c>
      <c r="AFR7">
        <f>IF('calcA'!P$106=1,DO7+AAD7,1)</f>
        <v/>
      </c>
      <c r="AFS7">
        <f>IF('calcA'!Q$106=1,DP7+AAE7,1)</f>
        <v/>
      </c>
      <c r="AFT7">
        <f>IF('calcA'!R$106=1,DQ7+AAF7,1)</f>
        <v/>
      </c>
      <c r="AFU7">
        <f>IF('calcA'!S$106=1,DR7+AAG7,1)</f>
        <v/>
      </c>
      <c r="AFV7">
        <f>IF('calcA'!T$106=1,DS7+AAH7,1)</f>
        <v/>
      </c>
      <c r="AFW7">
        <f>IF('calcA'!U$106=1,DT7+AAI7,1)</f>
        <v/>
      </c>
      <c r="AFX7">
        <f>IF('calcA'!V$106=1,DU7+AAJ7,1)</f>
        <v/>
      </c>
      <c r="AFY7">
        <f>IF('calcA'!W$106=1,DV7+AAK7,1)</f>
        <v/>
      </c>
      <c r="AFZ7">
        <f>IF('calcA'!X$106=1,DW7+AAL7,1)</f>
        <v/>
      </c>
      <c r="AGA7">
        <f>IF('calcA'!Y$106=1,DX7+AAM7,1)</f>
        <v/>
      </c>
      <c r="AGB7">
        <f>IF('calcA'!Z$106=1,DY7+AAN7,1)</f>
        <v/>
      </c>
      <c r="AGC7">
        <f>IF('calcA'!AA$106=1,DZ7+AAO7,1)</f>
        <v/>
      </c>
      <c r="AGD7">
        <f>IF('calcA'!AB$106=1,EA7+AAP7,1)</f>
        <v/>
      </c>
      <c r="AGE7">
        <f>IF('calcA'!AC$106=1,EB7+AAQ7,1)</f>
        <v/>
      </c>
      <c r="AGF7">
        <f>IF('calcA'!AD$106=1,EC7+AAR7,1)</f>
        <v/>
      </c>
      <c r="AGG7">
        <f>IF('calcA'!AE$106=1,ED7+AAS7,1)</f>
        <v/>
      </c>
      <c r="AGH7">
        <f>IF('calcA'!AF$106=1,EE7+AAT7,1)</f>
        <v/>
      </c>
      <c r="AGI7">
        <f>IF('calcA'!AG$106=1,EF7+AAU7,1)</f>
        <v/>
      </c>
      <c r="AGJ7">
        <f>IF('calcA'!AH$106=1,EG7+AAV7,1)</f>
        <v/>
      </c>
      <c r="AGK7">
        <f>IF('calcA'!AI$106=1,EH7+AAW7,1)</f>
        <v/>
      </c>
      <c r="AGL7">
        <f>IF('calcA'!AJ$106=1,EI7+AAX7,1)</f>
        <v/>
      </c>
      <c r="AGM7">
        <f>IF('calcA'!AK$106=1,EJ7+AAY7,1)</f>
        <v/>
      </c>
      <c r="AGN7">
        <f>IF('calcA'!AL$106=1,EK7+AAZ7,1)</f>
        <v/>
      </c>
      <c r="AGO7">
        <f>IF('calcA'!AM$106=1,EL7+ABA7,1)</f>
        <v/>
      </c>
      <c r="AGP7">
        <f>IF('calcA'!AN$106=1,EM7+ABB7,1)</f>
        <v/>
      </c>
      <c r="AGQ7">
        <f>IF('calcA'!AO$106=1,EN7+ABC7,1)</f>
        <v/>
      </c>
      <c r="AGR7">
        <f>IF('calcA'!AP$106=1,EO7+ABD7,1)</f>
        <v/>
      </c>
      <c r="AGS7">
        <f>IF('calcA'!AQ$106=1,EP7+ABE7,1)</f>
        <v/>
      </c>
      <c r="AGT7">
        <f>IF('calcA'!AR$106=1,EQ7+ABF7,1)</f>
        <v/>
      </c>
      <c r="AGU7">
        <f>IF('calcA'!AS$106=1,ER7+ABG7,1)</f>
        <v/>
      </c>
      <c r="AGV7">
        <f>IF('calcA'!AT$106=1,ES7+ABH7,1)</f>
        <v/>
      </c>
      <c r="AGW7">
        <f>IF('calcA'!AU$106=1,ET7+ABI7,1)</f>
        <v/>
      </c>
      <c r="AGX7">
        <f>IF('calcA'!AV$106=1,EU7+ABJ7,1)</f>
        <v/>
      </c>
      <c r="AGY7">
        <f>IF('calcA'!AW$106=1,EV7+ABK7,1)</f>
        <v/>
      </c>
      <c r="AGZ7">
        <f>IF('calcA'!AX$106=1,EW7+ABL7,1)</f>
        <v/>
      </c>
      <c r="AHA7">
        <f>IF('calcA'!AY$106=1,EX7+ABM7,1)</f>
        <v/>
      </c>
      <c r="AHB7">
        <f>IF('calcA'!AZ$106=1,EY7+ABN7,1)</f>
        <v/>
      </c>
      <c r="AHC7">
        <f>IF('calcA'!BA$106=1,EZ7+ABO7,1)</f>
        <v/>
      </c>
      <c r="AHD7">
        <f>IF('calcA'!BB$106=1,FA7+ABP7,1)</f>
        <v/>
      </c>
      <c r="AHE7">
        <f>IF('calcA'!BC$106=1,FB7+ABQ7,1)</f>
        <v/>
      </c>
      <c r="AHF7">
        <f>IF('calcA'!BD$106=1,FC7+ABR7,1)</f>
        <v/>
      </c>
      <c r="AHG7">
        <f>IF('calcA'!BE$106=1,FD7+ABS7,1)</f>
        <v/>
      </c>
      <c r="AHH7">
        <f>IF('calcA'!BF$106=1,FE7+ABT7,1)</f>
        <v/>
      </c>
      <c r="AHI7">
        <f>IF('calcA'!BG$106=1,FF7+ABU7,1)</f>
        <v/>
      </c>
      <c r="AHJ7">
        <f>IF('calcA'!BH$106=1,FG7+ABV7,1)</f>
        <v/>
      </c>
      <c r="AHK7">
        <f>IF('calcA'!BI$106=1,FH7+ABW7,1)</f>
        <v/>
      </c>
      <c r="AHL7">
        <f>IF('calcA'!BJ$106=1,FI7+ABX7,1)</f>
        <v/>
      </c>
      <c r="AHM7">
        <f>IF('calcA'!BK$106=1,FJ7+ABY7,1)</f>
        <v/>
      </c>
      <c r="AHN7">
        <f>IF('calcA'!BL$106=1,FK7+ABZ7,1)</f>
        <v/>
      </c>
      <c r="AHO7">
        <f>IF('calcA'!BM$106=1,FL7+ACA7,1)</f>
        <v/>
      </c>
      <c r="AHP7">
        <f>IF('calcA'!BN$106=1,FM7+ACB7,1)</f>
        <v/>
      </c>
      <c r="AHQ7">
        <f>IF('calcA'!BO$106=1,FN7+ACC7,1)</f>
        <v/>
      </c>
      <c r="AHR7">
        <f>IF('calcA'!BP$106=1,FO7+ACD7,1)</f>
        <v/>
      </c>
      <c r="AHS7">
        <f>IF('calcA'!BQ$106=1,FP7+ACE7,1)</f>
        <v/>
      </c>
      <c r="AHT7">
        <f>IF('calcA'!BR$106=1,FQ7+ACF7,1)</f>
        <v/>
      </c>
      <c r="AHU7">
        <f>IF('calcA'!BS$106=1,FR7+ACG7,1)</f>
        <v/>
      </c>
      <c r="AHV7">
        <f>IF('calcA'!BT$106=1,FS7+ACH7,1)</f>
        <v/>
      </c>
      <c r="AHW7">
        <f>IF('calcA'!BU$106=1,FT7+ACI7,1)</f>
        <v/>
      </c>
      <c r="AHX7">
        <f>IF('calcA'!BV$106=1,FU7+ACJ7,1)</f>
        <v/>
      </c>
      <c r="AHY7">
        <f>IF('calcA'!BW$106=1,FV7+ACK7,1)</f>
        <v/>
      </c>
      <c r="AHZ7">
        <f>IF('calcA'!BX$106=1,FW7+ACL7,1)</f>
        <v/>
      </c>
      <c r="AIA7">
        <f>IF('calcA'!BY$106=1,FX7+ACM7,1)</f>
        <v/>
      </c>
      <c r="AIB7">
        <f>IF('calcA'!BZ$106=1,FY7+ACN7,1)</f>
        <v/>
      </c>
      <c r="AIC7">
        <f>IF('calcA'!CA$106=1,FZ7+ACO7,1)</f>
        <v/>
      </c>
      <c r="AID7">
        <f>IF('calcA'!CB$106=1,GA7+ACP7,1)</f>
        <v/>
      </c>
      <c r="AIE7">
        <f>IF('calcA'!CC$106=1,GB7+ACQ7,1)</f>
        <v/>
      </c>
      <c r="AIF7">
        <f>IF('calcA'!CD$106=1,GC7+ACR7,1)</f>
        <v/>
      </c>
      <c r="AIG7">
        <f>IF('calcA'!CE$106=1,GD7+ACS7,1)</f>
        <v/>
      </c>
      <c r="AIH7">
        <f>IF('calcA'!CF$106=1,GE7+ACT7,1)</f>
        <v/>
      </c>
      <c r="AII7">
        <f>IF('calcA'!CG$106=1,GF7+ACU7,1)</f>
        <v/>
      </c>
      <c r="AIJ7">
        <f>IF('calcA'!CH$106=1,GG7+ACV7,1)</f>
        <v/>
      </c>
      <c r="AIK7">
        <f>IF('calcA'!CI$106=1,GH7+ACW7,1)</f>
        <v/>
      </c>
      <c r="AIL7">
        <f>IF('calcA'!CJ$106=1,GI7+ACX7,1)</f>
        <v/>
      </c>
      <c r="AIM7">
        <f>IF('calcA'!CK$106=1,GJ7+ACY7,1)</f>
        <v/>
      </c>
      <c r="AIN7">
        <f>IF('calcA'!CL$106=1,GK7+ACZ7,1)</f>
        <v/>
      </c>
      <c r="AIO7">
        <f>IF('calcA'!CM$106=1,GL7+ADA7,1)</f>
        <v/>
      </c>
      <c r="AIP7">
        <f>IF('calcA'!CN$106=1,GM7+ADB7,1)</f>
        <v/>
      </c>
      <c r="AIQ7">
        <f>IF('calcA'!CO$106=1,GN7+ADC7,1)</f>
        <v/>
      </c>
      <c r="AIR7">
        <f>IF('calcA'!CP$106=1,GO7+ADD7,1)</f>
        <v/>
      </c>
      <c r="AIS7">
        <f>IF('calcA'!CQ$106=1,GP7+ADE7,1)</f>
        <v/>
      </c>
      <c r="AIT7">
        <f>IF('calcA'!CR$106=1,GQ7+ADF7,1)</f>
        <v/>
      </c>
      <c r="AIU7">
        <f>IF('calcA'!CS$106=1,GR7+ADG7,1)</f>
        <v/>
      </c>
      <c r="AIV7">
        <f>IF('calcA'!CT$106=1,GS7+ADH7,1)</f>
        <v/>
      </c>
      <c r="AIW7">
        <f>IF('calcA'!CU$106=1,GT7+ADI7,1)</f>
        <v/>
      </c>
      <c r="AIX7">
        <f>IF('calcA'!CV$106=1,GU7+ADJ7,1)</f>
        <v/>
      </c>
      <c r="AIY7">
        <f>IF('calcA'!CW$106=1,GV7+ADK7,1)</f>
        <v/>
      </c>
      <c r="AIZ7">
        <f>IF('calcA'!CX$106=1,GW7+ADL7,1)</f>
        <v/>
      </c>
      <c r="AJA7">
        <f>IF('calcA'!CY$106=1,GX7+ADM7,1)</f>
        <v/>
      </c>
      <c r="AJB7">
        <f>IF('calcA'!CZ$106=1,GY7+ADN7,1)</f>
        <v/>
      </c>
      <c r="AJC7">
        <f>IF('calcA'!DA$106=1,GZ7+ADO7,1)</f>
        <v/>
      </c>
      <c r="AJD7">
        <f>IF('calcA'!DB$106=1,HA7+ADP7,1)</f>
        <v/>
      </c>
      <c r="AJE7">
        <f>IF('calcA'!DC$106=1,HB7+ADQ7,1)</f>
        <v/>
      </c>
      <c r="AJF7">
        <f>IF('calcA'!DD$106=1,HC7+ADR7,1)</f>
        <v/>
      </c>
      <c r="AJG7">
        <f>IF('calcA'!DE$106=1,HD7+ADS7,1)</f>
        <v/>
      </c>
      <c r="AJH7">
        <f>IF('calcA'!DF$106=1,HE7+ADT7,1)</f>
        <v/>
      </c>
      <c r="AJI7">
        <f>IF('calcA'!DG$106=1,HF7+ADU7,1)</f>
        <v/>
      </c>
      <c r="AJJ7">
        <f>IF('calcA'!DH$106=1,HG7+ADV7,1)</f>
        <v/>
      </c>
      <c r="AJK7">
        <f>IF('calcA'!DI$106=1,HH7+ADW7,1)</f>
        <v/>
      </c>
      <c r="AJL7">
        <f>IF('calcA'!DJ$106=1,HI7+ADX7,1)</f>
        <v/>
      </c>
      <c r="AJM7">
        <f>IF('calcA'!DK$106=1,HJ7+ADY7,1)</f>
        <v/>
      </c>
      <c r="AJN7">
        <f>IF('calcA'!DL$106=1,HK7+ADZ7,1)</f>
        <v/>
      </c>
      <c r="AJO7">
        <f>IF('calcA'!DM$106=1,HL7+AEA7,1)</f>
        <v/>
      </c>
      <c r="AJP7">
        <f>IF('calcA'!DN$106=1,HM7+AEB7,1)</f>
        <v/>
      </c>
      <c r="AJQ7">
        <f>IF('calcA'!DO$106=1,HN7+AEC7,1)</f>
        <v/>
      </c>
      <c r="AJR7">
        <f>IF('calcA'!DP$106=1,HO7+AED7,1)</f>
        <v/>
      </c>
      <c r="AJS7">
        <f>IF('calcA'!DQ$106=1,HP7+AEE7,1)</f>
        <v/>
      </c>
      <c r="AJT7">
        <f>IF('calcA'!DR$106=1,HQ7+AEF7,1)</f>
        <v/>
      </c>
      <c r="AJU7">
        <f>IF('calcA'!DS$106=1,HR7+AEG7,1)</f>
        <v/>
      </c>
      <c r="AJV7">
        <f>IF('calcA'!DT$106=1,HS7+AEH7,1)</f>
        <v/>
      </c>
      <c r="AJW7">
        <f>IF('calcA'!DU$106=1,HT7+AEI7,1)</f>
        <v/>
      </c>
      <c r="AJX7">
        <f>IF('calcA'!DV$106=1,HU7+AEJ7,1)</f>
        <v/>
      </c>
      <c r="AJY7">
        <f>IF('calcA'!DW$106=1,HV7+AEK7,1)</f>
        <v/>
      </c>
      <c r="AJZ7">
        <f>IF('calcA'!DX$106=1,HW7+AEL7,1)</f>
        <v/>
      </c>
      <c r="AKA7">
        <f>IF('calcA'!DY$106=1,HX7+AEM7,1)</f>
        <v/>
      </c>
      <c r="AKB7">
        <f>IF('calcA'!DZ$106=1,HY7+AEN7,1)</f>
        <v/>
      </c>
      <c r="AKC7">
        <f>IF('calcA'!EA$106=1,HZ7+AEO7,1)</f>
        <v/>
      </c>
      <c r="AKD7">
        <f>IF('calcA'!EB$106=1,IA7+AEP7,1)</f>
        <v/>
      </c>
      <c r="AKE7">
        <f>IF('calcA'!EC$106=1,IB7+AEQ7,1)</f>
        <v/>
      </c>
      <c r="AKF7">
        <f>IF('calcA'!ED$106=1,IC7+AER7,1)</f>
        <v/>
      </c>
      <c r="AKG7">
        <f>IF('calcA'!EE$106=1,ID7+AES7,1)</f>
        <v/>
      </c>
      <c r="AKH7">
        <f>IF('calcA'!EF$106=1,IE7+AET7,1)</f>
        <v/>
      </c>
      <c r="AKI7">
        <f>IF('calcA'!EG$106=1,IF7+AEU7,1)</f>
        <v/>
      </c>
      <c r="AKJ7">
        <f>IF('calcA'!EH$106=1,IG7+AEV7,1)</f>
        <v/>
      </c>
      <c r="AKK7">
        <f>IF('calcA'!EI$106=1,IH7+AEW7,1)</f>
        <v/>
      </c>
      <c r="AKL7">
        <f>IF('calcA'!EJ$106=1,II7+AEX7,1)</f>
        <v/>
      </c>
      <c r="AKM7">
        <f>IF('calcA'!EK$106=1,IJ7+AEY7,1)</f>
        <v/>
      </c>
      <c r="AKN7">
        <f>IF('calcA'!EL$106=1,IK7+AEZ7,1)</f>
        <v/>
      </c>
      <c r="AKO7">
        <f>IF('calcA'!EM$106=1,IL7+AFA7,1)</f>
        <v/>
      </c>
      <c r="AKP7">
        <f>IF('calcA'!EN$106=1,IM7+AFB7,1)</f>
        <v/>
      </c>
      <c r="AKQ7">
        <f>IF('calcA'!EO$106=1,IN7+AFC7,1)</f>
        <v/>
      </c>
      <c r="AKR7">
        <f>IF('calcA'!EP$106=1,IO7+AFD7,1)</f>
        <v/>
      </c>
      <c r="AKS7" t="n">
        <v>1</v>
      </c>
    </row>
    <row r="8">
      <c r="A8" t="n">
        <v>6</v>
      </c>
      <c r="B8">
        <f>IF(MIN(BM8:CZ8)&gt;=1000000000,0,MATCH(MIN(BM8:CZ8),BM8:CZ8,0))</f>
        <v/>
      </c>
      <c r="C8">
        <f>IF(MIN(OF8:TS8)&gt;=1000000000,0,MATCH(MIN(OF8:TS8),OF8:TS8,0))</f>
        <v/>
      </c>
      <c r="D8">
        <f>IF(C8&gt;0,INDEX('calcA'!$D$5:$EQ$5,C8),0)</f>
        <v/>
      </c>
      <c r="E8">
        <f>IF(B8=0,0,INDEX('calcA'!$IQ$10:$IQ$54,B8))</f>
        <v/>
      </c>
      <c r="F8">
        <f>IF(B8=0,0,INDEX('calcA'!$IP$10:$IP$54,B8))</f>
        <v/>
      </c>
      <c r="G8">
        <f>IF(AND(C8&gt;0,E8&gt;0),IF(AND(INDEX('calcA'!$D$106:$EQ$106,C8)=1,INDEX($IQ8:$OD8,C8)=1),C8+1,0),0)</f>
        <v/>
      </c>
      <c r="H8">
        <f>IF(B8=0,0,INDEX('calcA'!$IW$10:$IW$54,B8))</f>
        <v/>
      </c>
      <c r="U8">
        <f>IF(B8=0,0,INDEX('calcA'!$IX$10:$IX$54,B8))</f>
        <v/>
      </c>
      <c r="V8">
        <f>IF(B8=0,0,INDEX('calcA'!$JF$10:$JF$54,B8))</f>
        <v/>
      </c>
      <c r="W8">
        <f>IF(B8=0,0,IF(IF(E8=2,SUMPRODUCT(INDEX('calcA'!$D$60:$EQ$99,B8,0),$DB8:$IO8,$IQ8:$OD8),SUMPRODUCT(INDEX('calcA'!$D$60:$EQ$99,B8,0),$DB8:$IO8))=0,1,0))</f>
        <v/>
      </c>
      <c r="X8">
        <f>MAX(X7,IF($B7=1,1,0))</f>
        <v/>
      </c>
      <c r="Y8">
        <f>MAX(Y7,IF($B7=2,1,0))</f>
        <v/>
      </c>
      <c r="Z8">
        <f>MAX(Z7,IF($B7=3,1,0))</f>
        <v/>
      </c>
      <c r="AA8">
        <f>MAX(AA7,IF($B7=4,1,0))</f>
        <v/>
      </c>
      <c r="AB8">
        <f>MAX(AB7,IF($B7=5,1,0))</f>
        <v/>
      </c>
      <c r="AC8">
        <f>MAX(AC7,IF($B7=6,1,0))</f>
        <v/>
      </c>
      <c r="AD8">
        <f>MAX(AD7,IF($B7=7,1,0))</f>
        <v/>
      </c>
      <c r="AE8">
        <f>MAX(AE7,IF($B7=8,1,0))</f>
        <v/>
      </c>
      <c r="AF8">
        <f>MAX(AF7,IF($B7=9,1,0))</f>
        <v/>
      </c>
      <c r="AG8">
        <f>MAX(AG7,IF($B7=10,1,0))</f>
        <v/>
      </c>
      <c r="AH8">
        <f>MAX(AH7,IF($B7=11,1,0))</f>
        <v/>
      </c>
      <c r="AI8">
        <f>MAX(AI7,IF($B7=12,1,0))</f>
        <v/>
      </c>
      <c r="AJ8">
        <f>MAX(AJ7,IF($B7=13,1,0))</f>
        <v/>
      </c>
      <c r="AK8">
        <f>MAX(AK7,IF($B7=14,1,0))</f>
        <v/>
      </c>
      <c r="AL8">
        <f>MAX(AL7,IF($B7=15,1,0))</f>
        <v/>
      </c>
      <c r="AM8">
        <f>MAX(AM7,IF($B7=16,1,0))</f>
        <v/>
      </c>
      <c r="AN8">
        <f>MAX(AN7,IF($B7=17,1,0))</f>
        <v/>
      </c>
      <c r="AO8">
        <f>MAX(AO7,IF($B7=18,1,0))</f>
        <v/>
      </c>
      <c r="AP8">
        <f>MAX(AP7,IF($B7=19,1,0))</f>
        <v/>
      </c>
      <c r="AQ8">
        <f>MAX(AQ7,IF($B7=20,1,0))</f>
        <v/>
      </c>
      <c r="AR8">
        <f>MAX(AR7,IF($B7=21,1,0))</f>
        <v/>
      </c>
      <c r="AS8">
        <f>MAX(AS7,IF($B7=22,1,0))</f>
        <v/>
      </c>
      <c r="AT8">
        <f>MAX(AT7,IF($B7=23,1,0))</f>
        <v/>
      </c>
      <c r="AU8">
        <f>MAX(AU7,IF($B7=24,1,0))</f>
        <v/>
      </c>
      <c r="AV8">
        <f>MAX(AV7,IF($B7=25,1,0))</f>
        <v/>
      </c>
      <c r="AW8">
        <f>MAX(AW7,IF($B7=26,1,0))</f>
        <v/>
      </c>
      <c r="AX8">
        <f>MAX(AX7,IF($B7=27,1,0))</f>
        <v/>
      </c>
      <c r="AY8">
        <f>MAX(AY7,IF($B7=28,1,0))</f>
        <v/>
      </c>
      <c r="AZ8">
        <f>MAX(AZ7,IF($B7=29,1,0))</f>
        <v/>
      </c>
      <c r="BA8">
        <f>MAX(BA7,IF($B7=30,1,0))</f>
        <v/>
      </c>
      <c r="BB8">
        <f>MAX(BB7,IF($B7=31,1,0))</f>
        <v/>
      </c>
      <c r="BC8">
        <f>MAX(BC7,IF($B7=32,1,0))</f>
        <v/>
      </c>
      <c r="BD8">
        <f>MAX(BD7,IF($B7=33,1,0))</f>
        <v/>
      </c>
      <c r="BE8">
        <f>MAX(BE7,IF($B7=34,1,0))</f>
        <v/>
      </c>
      <c r="BF8">
        <f>MAX(BF7,IF($B7=35,1,0))</f>
        <v/>
      </c>
      <c r="BG8">
        <f>MAX(BG7,IF($B7=36,1,0))</f>
        <v/>
      </c>
      <c r="BH8">
        <f>MAX(BH7,IF($B7=37,1,0))</f>
        <v/>
      </c>
      <c r="BI8">
        <f>MAX(BI7,IF($B7=38,1,0))</f>
        <v/>
      </c>
      <c r="BJ8">
        <f>MAX(BJ7,IF($B7=39,1,0))</f>
        <v/>
      </c>
      <c r="BK8">
        <f>MAX(BK7,IF($B7=40,1,0))</f>
        <v/>
      </c>
      <c r="BM8">
        <f>IF(OR(X8=1,calcA!$A$6=0),1000000000,IF('calcA'!$JF$10=1,0,100000000)+IF('calcA'!$IQ$10=2,SUMPRODUCT('calcA'!$D$60:$EQ$60,$DB8:$IO8,$IQ8:$OD8)*1000+SUMPRODUCT('calcA'!$D$60:$EQ$60,$DB8:$IO8+$ZQ8:$AFD8,$AFF8:$AKS8),SUMPRODUCT('calcA'!$D$60:$EQ$60,$DB8:$IO8*1001+$ZQ8:$AFD8))*100+1)</f>
        <v/>
      </c>
      <c r="BN8">
        <f>IF(OR(Y8=1,calcA!$A$6=0),1000000000,IF('calcA'!$JF$11=1,0,100000000)+IF('calcA'!$IQ$11=2,SUMPRODUCT('calcA'!$D$61:$EQ$61,$DB8:$IO8,$IQ8:$OD8)*1000+SUMPRODUCT('calcA'!$D$61:$EQ$61,$DB8:$IO8+$ZQ8:$AFD8,$AFF8:$AKS8),SUMPRODUCT('calcA'!$D$61:$EQ$61,$DB8:$IO8*1001+$ZQ8:$AFD8))*100+2)</f>
        <v/>
      </c>
      <c r="BO8">
        <f>IF(OR(Z8=1,calcA!$A$6=0),1000000000,IF('calcA'!$JF$12=1,0,100000000)+IF('calcA'!$IQ$12=2,SUMPRODUCT('calcA'!$D$62:$EQ$62,$DB8:$IO8,$IQ8:$OD8)*1000+SUMPRODUCT('calcA'!$D$62:$EQ$62,$DB8:$IO8+$ZQ8:$AFD8,$AFF8:$AKS8),SUMPRODUCT('calcA'!$D$62:$EQ$62,$DB8:$IO8*1001+$ZQ8:$AFD8))*100+3)</f>
        <v/>
      </c>
      <c r="BP8">
        <f>IF(OR(AA8=1,calcA!$A$6=0),1000000000,IF('calcA'!$JF$13=1,0,100000000)+IF('calcA'!$IQ$13=2,SUMPRODUCT('calcA'!$D$63:$EQ$63,$DB8:$IO8,$IQ8:$OD8)*1000+SUMPRODUCT('calcA'!$D$63:$EQ$63,$DB8:$IO8+$ZQ8:$AFD8,$AFF8:$AKS8),SUMPRODUCT('calcA'!$D$63:$EQ$63,$DB8:$IO8*1001+$ZQ8:$AFD8))*100+4)</f>
        <v/>
      </c>
      <c r="BQ8">
        <f>IF(OR(AB8=1,calcA!$A$6=0),1000000000,IF('calcA'!$JF$14=1,0,100000000)+IF('calcA'!$IQ$14=2,SUMPRODUCT('calcA'!$D$64:$EQ$64,$DB8:$IO8,$IQ8:$OD8)*1000+SUMPRODUCT('calcA'!$D$64:$EQ$64,$DB8:$IO8+$ZQ8:$AFD8,$AFF8:$AKS8),SUMPRODUCT('calcA'!$D$64:$EQ$64,$DB8:$IO8*1001+$ZQ8:$AFD8))*100+5)</f>
        <v/>
      </c>
      <c r="BR8">
        <f>IF(OR(AC8=1,calcA!$A$6=0),1000000000,IF('calcA'!$JF$15=1,0,100000000)+IF('calcA'!$IQ$15=2,SUMPRODUCT('calcA'!$D$65:$EQ$65,$DB8:$IO8,$IQ8:$OD8)*1000+SUMPRODUCT('calcA'!$D$65:$EQ$65,$DB8:$IO8+$ZQ8:$AFD8,$AFF8:$AKS8),SUMPRODUCT('calcA'!$D$65:$EQ$65,$DB8:$IO8*1001+$ZQ8:$AFD8))*100+6)</f>
        <v/>
      </c>
      <c r="BS8">
        <f>IF(OR(AD8=1,calcA!$A$6=0),1000000000,IF('calcA'!$JF$16=1,0,100000000)+IF('calcA'!$IQ$16=2,SUMPRODUCT('calcA'!$D$66:$EQ$66,$DB8:$IO8,$IQ8:$OD8)*1000+SUMPRODUCT('calcA'!$D$66:$EQ$66,$DB8:$IO8+$ZQ8:$AFD8,$AFF8:$AKS8),SUMPRODUCT('calcA'!$D$66:$EQ$66,$DB8:$IO8*1001+$ZQ8:$AFD8))*100+7)</f>
        <v/>
      </c>
      <c r="BT8">
        <f>IF(OR(AE8=1,calcA!$A$6=0),1000000000,IF('calcA'!$JF$17=1,0,100000000)+IF('calcA'!$IQ$17=2,SUMPRODUCT('calcA'!$D$67:$EQ$67,$DB8:$IO8,$IQ8:$OD8)*1000+SUMPRODUCT('calcA'!$D$67:$EQ$67,$DB8:$IO8+$ZQ8:$AFD8,$AFF8:$AKS8),SUMPRODUCT('calcA'!$D$67:$EQ$67,$DB8:$IO8*1001+$ZQ8:$AFD8))*100+8)</f>
        <v/>
      </c>
      <c r="BU8">
        <f>IF(OR(AF8=1,calcA!$A$6=0),1000000000,IF('calcA'!$JF$18=1,0,100000000)+IF('calcA'!$IQ$18=2,SUMPRODUCT('calcA'!$D$68:$EQ$68,$DB8:$IO8,$IQ8:$OD8)*1000+SUMPRODUCT('calcA'!$D$68:$EQ$68,$DB8:$IO8+$ZQ8:$AFD8,$AFF8:$AKS8),SUMPRODUCT('calcA'!$D$68:$EQ$68,$DB8:$IO8*1001+$ZQ8:$AFD8))*100+9)</f>
        <v/>
      </c>
      <c r="BV8">
        <f>IF(OR(AG8=1,calcA!$A$6=0),1000000000,IF('calcA'!$JF$19=1,0,100000000)+IF('calcA'!$IQ$19=2,SUMPRODUCT('calcA'!$D$69:$EQ$69,$DB8:$IO8,$IQ8:$OD8)*1000+SUMPRODUCT('calcA'!$D$69:$EQ$69,$DB8:$IO8+$ZQ8:$AFD8,$AFF8:$AKS8),SUMPRODUCT('calcA'!$D$69:$EQ$69,$DB8:$IO8*1001+$ZQ8:$AFD8))*100+10)</f>
        <v/>
      </c>
      <c r="BW8">
        <f>IF(OR(AH8=1,calcA!$A$6=0),1000000000,IF('calcA'!$JF$20=1,0,100000000)+IF('calcA'!$IQ$20=2,SUMPRODUCT('calcA'!$D$70:$EQ$70,$DB8:$IO8,$IQ8:$OD8)*1000+SUMPRODUCT('calcA'!$D$70:$EQ$70,$DB8:$IO8+$ZQ8:$AFD8,$AFF8:$AKS8),SUMPRODUCT('calcA'!$D$70:$EQ$70,$DB8:$IO8*1001+$ZQ8:$AFD8))*100+11)</f>
        <v/>
      </c>
      <c r="BX8">
        <f>IF(OR(AI8=1,calcA!$A$6=0),1000000000,IF('calcA'!$JF$21=1,0,100000000)+IF('calcA'!$IQ$21=2,SUMPRODUCT('calcA'!$D$71:$EQ$71,$DB8:$IO8,$IQ8:$OD8)*1000+SUMPRODUCT('calcA'!$D$71:$EQ$71,$DB8:$IO8+$ZQ8:$AFD8,$AFF8:$AKS8),SUMPRODUCT('calcA'!$D$71:$EQ$71,$DB8:$IO8*1001+$ZQ8:$AFD8))*100+12)</f>
        <v/>
      </c>
      <c r="BY8">
        <f>IF(OR(AJ8=1,calcA!$A$6=0),1000000000,IF('calcA'!$JF$22=1,0,100000000)+IF('calcA'!$IQ$22=2,SUMPRODUCT('calcA'!$D$72:$EQ$72,$DB8:$IO8,$IQ8:$OD8)*1000+SUMPRODUCT('calcA'!$D$72:$EQ$72,$DB8:$IO8+$ZQ8:$AFD8,$AFF8:$AKS8),SUMPRODUCT('calcA'!$D$72:$EQ$72,$DB8:$IO8*1001+$ZQ8:$AFD8))*100+13)</f>
        <v/>
      </c>
      <c r="BZ8">
        <f>IF(OR(AK8=1,calcA!$A$6=0),1000000000,IF('calcA'!$JF$23=1,0,100000000)+IF('calcA'!$IQ$23=2,SUMPRODUCT('calcA'!$D$73:$EQ$73,$DB8:$IO8,$IQ8:$OD8)*1000+SUMPRODUCT('calcA'!$D$73:$EQ$73,$DB8:$IO8+$ZQ8:$AFD8,$AFF8:$AKS8),SUMPRODUCT('calcA'!$D$73:$EQ$73,$DB8:$IO8*1001+$ZQ8:$AFD8))*100+14)</f>
        <v/>
      </c>
      <c r="CA8">
        <f>IF(OR(AL8=1,calcA!$A$6=0),1000000000,IF('calcA'!$JF$24=1,0,100000000)+IF('calcA'!$IQ$24=2,SUMPRODUCT('calcA'!$D$74:$EQ$74,$DB8:$IO8,$IQ8:$OD8)*1000+SUMPRODUCT('calcA'!$D$74:$EQ$74,$DB8:$IO8+$ZQ8:$AFD8,$AFF8:$AKS8),SUMPRODUCT('calcA'!$D$74:$EQ$74,$DB8:$IO8*1001+$ZQ8:$AFD8))*100+15)</f>
        <v/>
      </c>
      <c r="CB8">
        <f>IF(OR(AM8=1,calcA!$A$6=0),1000000000,IF('calcA'!$JF$25=1,0,100000000)+IF('calcA'!$IQ$25=2,SUMPRODUCT('calcA'!$D$75:$EQ$75,$DB8:$IO8,$IQ8:$OD8)*1000+SUMPRODUCT('calcA'!$D$75:$EQ$75,$DB8:$IO8+$ZQ8:$AFD8,$AFF8:$AKS8),SUMPRODUCT('calcA'!$D$75:$EQ$75,$DB8:$IO8*1001+$ZQ8:$AFD8))*100+16)</f>
        <v/>
      </c>
      <c r="CC8">
        <f>IF(OR(AN8=1,calcA!$A$6=0),1000000000,IF('calcA'!$JF$26=1,0,100000000)+IF('calcA'!$IQ$26=2,SUMPRODUCT('calcA'!$D$76:$EQ$76,$DB8:$IO8,$IQ8:$OD8)*1000+SUMPRODUCT('calcA'!$D$76:$EQ$76,$DB8:$IO8+$ZQ8:$AFD8,$AFF8:$AKS8),SUMPRODUCT('calcA'!$D$76:$EQ$76,$DB8:$IO8*1001+$ZQ8:$AFD8))*100+17)</f>
        <v/>
      </c>
      <c r="CD8">
        <f>IF(OR(AO8=1,calcA!$A$6=0),1000000000,IF('calcA'!$JF$27=1,0,100000000)+IF('calcA'!$IQ$27=2,SUMPRODUCT('calcA'!$D$77:$EQ$77,$DB8:$IO8,$IQ8:$OD8)*1000+SUMPRODUCT('calcA'!$D$77:$EQ$77,$DB8:$IO8+$ZQ8:$AFD8,$AFF8:$AKS8),SUMPRODUCT('calcA'!$D$77:$EQ$77,$DB8:$IO8*1001+$ZQ8:$AFD8))*100+18)</f>
        <v/>
      </c>
      <c r="CE8">
        <f>IF(OR(AP8=1,calcA!$A$6=0),1000000000,IF('calcA'!$JF$28=1,0,100000000)+IF('calcA'!$IQ$28=2,SUMPRODUCT('calcA'!$D$78:$EQ$78,$DB8:$IO8,$IQ8:$OD8)*1000+SUMPRODUCT('calcA'!$D$78:$EQ$78,$DB8:$IO8+$ZQ8:$AFD8,$AFF8:$AKS8),SUMPRODUCT('calcA'!$D$78:$EQ$78,$DB8:$IO8*1001+$ZQ8:$AFD8))*100+19)</f>
        <v/>
      </c>
      <c r="CF8">
        <f>IF(OR(AQ8=1,calcA!$A$6=0),1000000000,IF('calcA'!$JF$29=1,0,100000000)+IF('calcA'!$IQ$29=2,SUMPRODUCT('calcA'!$D$79:$EQ$79,$DB8:$IO8,$IQ8:$OD8)*1000+SUMPRODUCT('calcA'!$D$79:$EQ$79,$DB8:$IO8+$ZQ8:$AFD8,$AFF8:$AKS8),SUMPRODUCT('calcA'!$D$79:$EQ$79,$DB8:$IO8*1001+$ZQ8:$AFD8))*100+20)</f>
        <v/>
      </c>
      <c r="CG8">
        <f>IF(OR(AR8=1,calcA!$A$6=0),1000000000,IF('calcA'!$JF$30=1,0,100000000)+IF('calcA'!$IQ$30=2,SUMPRODUCT('calcA'!$D$80:$EQ$80,$DB8:$IO8,$IQ8:$OD8)*1000+SUMPRODUCT('calcA'!$D$80:$EQ$80,$DB8:$IO8+$ZQ8:$AFD8,$AFF8:$AKS8),SUMPRODUCT('calcA'!$D$80:$EQ$80,$DB8:$IO8*1001+$ZQ8:$AFD8))*100+21)</f>
        <v/>
      </c>
      <c r="CH8">
        <f>IF(OR(AS8=1,calcA!$A$6=0),1000000000,IF('calcA'!$JF$31=1,0,100000000)+IF('calcA'!$IQ$31=2,SUMPRODUCT('calcA'!$D$81:$EQ$81,$DB8:$IO8,$IQ8:$OD8)*1000+SUMPRODUCT('calcA'!$D$81:$EQ$81,$DB8:$IO8+$ZQ8:$AFD8,$AFF8:$AKS8),SUMPRODUCT('calcA'!$D$81:$EQ$81,$DB8:$IO8*1001+$ZQ8:$AFD8))*100+22)</f>
        <v/>
      </c>
      <c r="CI8">
        <f>IF(OR(AT8=1,calcA!$A$6=0),1000000000,IF('calcA'!$JF$32=1,0,100000000)+IF('calcA'!$IQ$32=2,SUMPRODUCT('calcA'!$D$82:$EQ$82,$DB8:$IO8,$IQ8:$OD8)*1000+SUMPRODUCT('calcA'!$D$82:$EQ$82,$DB8:$IO8+$ZQ8:$AFD8,$AFF8:$AKS8),SUMPRODUCT('calcA'!$D$82:$EQ$82,$DB8:$IO8*1001+$ZQ8:$AFD8))*100+23)</f>
        <v/>
      </c>
      <c r="CJ8">
        <f>IF(OR(AU8=1,calcA!$A$6=0),1000000000,IF('calcA'!$JF$33=1,0,100000000)+IF('calcA'!$IQ$33=2,SUMPRODUCT('calcA'!$D$83:$EQ$83,$DB8:$IO8,$IQ8:$OD8)*1000+SUMPRODUCT('calcA'!$D$83:$EQ$83,$DB8:$IO8+$ZQ8:$AFD8,$AFF8:$AKS8),SUMPRODUCT('calcA'!$D$83:$EQ$83,$DB8:$IO8*1001+$ZQ8:$AFD8))*100+24)</f>
        <v/>
      </c>
      <c r="CK8">
        <f>IF(OR(AV8=1,calcA!$A$6=0),1000000000,IF('calcA'!$JF$34=1,0,100000000)+IF('calcA'!$IQ$34=2,SUMPRODUCT('calcA'!$D$84:$EQ$84,$DB8:$IO8,$IQ8:$OD8)*1000+SUMPRODUCT('calcA'!$D$84:$EQ$84,$DB8:$IO8+$ZQ8:$AFD8,$AFF8:$AKS8),SUMPRODUCT('calcA'!$D$84:$EQ$84,$DB8:$IO8*1001+$ZQ8:$AFD8))*100+25)</f>
        <v/>
      </c>
      <c r="CL8">
        <f>IF(OR(AW8=1,calcA!$A$6=0),1000000000,IF('calcA'!$JF$35=1,0,100000000)+IF('calcA'!$IQ$35=2,SUMPRODUCT('calcA'!$D$85:$EQ$85,$DB8:$IO8,$IQ8:$OD8)*1000+SUMPRODUCT('calcA'!$D$85:$EQ$85,$DB8:$IO8+$ZQ8:$AFD8,$AFF8:$AKS8),SUMPRODUCT('calcA'!$D$85:$EQ$85,$DB8:$IO8*1001+$ZQ8:$AFD8))*100+26)</f>
        <v/>
      </c>
      <c r="CM8">
        <f>IF(OR(AX8=1,calcA!$A$6=0),1000000000,IF('calcA'!$JF$36=1,0,100000000)+IF('calcA'!$IQ$36=2,SUMPRODUCT('calcA'!$D$86:$EQ$86,$DB8:$IO8,$IQ8:$OD8)*1000+SUMPRODUCT('calcA'!$D$86:$EQ$86,$DB8:$IO8+$ZQ8:$AFD8,$AFF8:$AKS8),SUMPRODUCT('calcA'!$D$86:$EQ$86,$DB8:$IO8*1001+$ZQ8:$AFD8))*100+27)</f>
        <v/>
      </c>
      <c r="CN8">
        <f>IF(OR(AY8=1,calcA!$A$6=0),1000000000,IF('calcA'!$JF$37=1,0,100000000)+IF('calcA'!$IQ$37=2,SUMPRODUCT('calcA'!$D$87:$EQ$87,$DB8:$IO8,$IQ8:$OD8)*1000+SUMPRODUCT('calcA'!$D$87:$EQ$87,$DB8:$IO8+$ZQ8:$AFD8,$AFF8:$AKS8),SUMPRODUCT('calcA'!$D$87:$EQ$87,$DB8:$IO8*1001+$ZQ8:$AFD8))*100+28)</f>
        <v/>
      </c>
      <c r="CO8">
        <f>IF(OR(AZ8=1,calcA!$A$6=0),1000000000,IF('calcA'!$JF$38=1,0,100000000)+IF('calcA'!$IQ$38=2,SUMPRODUCT('calcA'!$D$88:$EQ$88,$DB8:$IO8,$IQ8:$OD8)*1000+SUMPRODUCT('calcA'!$D$88:$EQ$88,$DB8:$IO8+$ZQ8:$AFD8,$AFF8:$AKS8),SUMPRODUCT('calcA'!$D$88:$EQ$88,$DB8:$IO8*1001+$ZQ8:$AFD8))*100+29)</f>
        <v/>
      </c>
      <c r="CP8">
        <f>IF(OR(BA8=1,calcA!$A$6=0),1000000000,IF('calcA'!$JF$39=1,0,100000000)+IF('calcA'!$IQ$39=2,SUMPRODUCT('calcA'!$D$89:$EQ$89,$DB8:$IO8,$IQ8:$OD8)*1000+SUMPRODUCT('calcA'!$D$89:$EQ$89,$DB8:$IO8+$ZQ8:$AFD8,$AFF8:$AKS8),SUMPRODUCT('calcA'!$D$89:$EQ$89,$DB8:$IO8*1001+$ZQ8:$AFD8))*100+30)</f>
        <v/>
      </c>
      <c r="CQ8">
        <f>IF(OR(BB8=1,calcA!$A$6=0),1000000000,IF('calcA'!$JF$40=1,0,100000000)+IF('calcA'!$IQ$40=2,SUMPRODUCT('calcA'!$D$90:$EQ$90,$DB8:$IO8,$IQ8:$OD8)*1000+SUMPRODUCT('calcA'!$D$90:$EQ$90,$DB8:$IO8+$ZQ8:$AFD8,$AFF8:$AKS8),SUMPRODUCT('calcA'!$D$90:$EQ$90,$DB8:$IO8*1001+$ZQ8:$AFD8))*100+31)</f>
        <v/>
      </c>
      <c r="CR8">
        <f>IF(OR(BC8=1,calcA!$A$6=0),1000000000,IF('calcA'!$JF$41=1,0,100000000)+IF('calcA'!$IQ$41=2,SUMPRODUCT('calcA'!$D$91:$EQ$91,$DB8:$IO8,$IQ8:$OD8)*1000+SUMPRODUCT('calcA'!$D$91:$EQ$91,$DB8:$IO8+$ZQ8:$AFD8,$AFF8:$AKS8),SUMPRODUCT('calcA'!$D$91:$EQ$91,$DB8:$IO8*1001+$ZQ8:$AFD8))*100+32)</f>
        <v/>
      </c>
      <c r="CS8">
        <f>IF(OR(BD8=1,calcA!$A$6=0),1000000000,IF('calcA'!$JF$42=1,0,100000000)+IF('calcA'!$IQ$42=2,SUMPRODUCT('calcA'!$D$92:$EQ$92,$DB8:$IO8,$IQ8:$OD8)*1000+SUMPRODUCT('calcA'!$D$92:$EQ$92,$DB8:$IO8+$ZQ8:$AFD8,$AFF8:$AKS8),SUMPRODUCT('calcA'!$D$92:$EQ$92,$DB8:$IO8*1001+$ZQ8:$AFD8))*100+33)</f>
        <v/>
      </c>
      <c r="CT8">
        <f>IF(OR(BE8=1,calcA!$A$6=0),1000000000,IF('calcA'!$JF$43=1,0,100000000)+IF('calcA'!$IQ$43=2,SUMPRODUCT('calcA'!$D$93:$EQ$93,$DB8:$IO8,$IQ8:$OD8)*1000+SUMPRODUCT('calcA'!$D$93:$EQ$93,$DB8:$IO8+$ZQ8:$AFD8,$AFF8:$AKS8),SUMPRODUCT('calcA'!$D$93:$EQ$93,$DB8:$IO8*1001+$ZQ8:$AFD8))*100+34)</f>
        <v/>
      </c>
      <c r="CU8">
        <f>IF(OR(BF8=1,calcA!$A$6=0),1000000000,IF('calcA'!$JF$44=1,0,100000000)+IF('calcA'!$IQ$44=2,SUMPRODUCT('calcA'!$D$94:$EQ$94,$DB8:$IO8,$IQ8:$OD8)*1000+SUMPRODUCT('calcA'!$D$94:$EQ$94,$DB8:$IO8+$ZQ8:$AFD8,$AFF8:$AKS8),SUMPRODUCT('calcA'!$D$94:$EQ$94,$DB8:$IO8*1001+$ZQ8:$AFD8))*100+35)</f>
        <v/>
      </c>
      <c r="CV8">
        <f>IF(OR(BG8=1,calcA!$A$6=0),1000000000,IF('calcA'!$JF$45=1,0,100000000)+IF('calcA'!$IQ$45=2,SUMPRODUCT('calcA'!$D$95:$EQ$95,$DB8:$IO8,$IQ8:$OD8)*1000+SUMPRODUCT('calcA'!$D$95:$EQ$95,$DB8:$IO8+$ZQ8:$AFD8,$AFF8:$AKS8),SUMPRODUCT('calcA'!$D$95:$EQ$95,$DB8:$IO8*1001+$ZQ8:$AFD8))*100+36)</f>
        <v/>
      </c>
      <c r="CW8">
        <f>IF(OR(BH8=1,calcA!$A$6=0),1000000000,IF('calcA'!$JF$46=1,0,100000000)+IF('calcA'!$IQ$46=2,SUMPRODUCT('calcA'!$D$96:$EQ$96,$DB8:$IO8,$IQ8:$OD8)*1000+SUMPRODUCT('calcA'!$D$96:$EQ$96,$DB8:$IO8+$ZQ8:$AFD8,$AFF8:$AKS8),SUMPRODUCT('calcA'!$D$96:$EQ$96,$DB8:$IO8*1001+$ZQ8:$AFD8))*100+37)</f>
        <v/>
      </c>
      <c r="CX8">
        <f>IF(OR(BI8=1,calcA!$A$6=0),1000000000,IF('calcA'!$JF$47=1,0,100000000)+IF('calcA'!$IQ$47=2,SUMPRODUCT('calcA'!$D$97:$EQ$97,$DB8:$IO8,$IQ8:$OD8)*1000+SUMPRODUCT('calcA'!$D$97:$EQ$97,$DB8:$IO8+$ZQ8:$AFD8,$AFF8:$AKS8),SUMPRODUCT('calcA'!$D$97:$EQ$97,$DB8:$IO8*1001+$ZQ8:$AFD8))*100+38)</f>
        <v/>
      </c>
      <c r="CY8">
        <f>IF(OR(BJ8=1,calcA!$A$6=0),1000000000,IF('calcA'!$JF$48=1,0,100000000)+IF('calcA'!$IQ$48=2,SUMPRODUCT('calcA'!$D$98:$EQ$98,$DB8:$IO8,$IQ8:$OD8)*1000+SUMPRODUCT('calcA'!$D$98:$EQ$98,$DB8:$IO8+$ZQ8:$AFD8,$AFF8:$AKS8),SUMPRODUCT('calcA'!$D$98:$EQ$98,$DB8:$IO8*1001+$ZQ8:$AFD8))*100+39)</f>
        <v/>
      </c>
      <c r="CZ8">
        <f>IF(OR(BK8=1,calcA!$A$6=0),1000000000,IF('calcA'!$JF$49=1,0,100000000)+IF('calcA'!$IQ$49=2,SUMPRODUCT('calcA'!$D$99:$EQ$99,$DB8:$IO8,$IQ8:$OD8)*1000+SUMPRODUCT('calcA'!$D$99:$EQ$99,$DB8:$IO8+$ZQ8:$AFD8,$AFF8:$AKS8),SUMPRODUCT('calcA'!$D$99:$EQ$99,$DB8:$IO8*1001+$ZQ8:$AFD8))*100+40)</f>
        <v/>
      </c>
      <c r="DB8">
        <f>DB7*IF(OR($C7=1,$G7=1),0,1)</f>
        <v/>
      </c>
      <c r="DC8">
        <f>DC7*IF(OR($C7=2,$G7=2),0,1)</f>
        <v/>
      </c>
      <c r="DD8">
        <f>DD7*IF(OR($C7=3,$G7=3),0,1)</f>
        <v/>
      </c>
      <c r="DE8">
        <f>DE7*IF(OR($C7=4,$G7=4),0,1)</f>
        <v/>
      </c>
      <c r="DF8">
        <f>DF7*IF(OR($C7=5,$G7=5),0,1)</f>
        <v/>
      </c>
      <c r="DG8">
        <f>DG7*IF(OR($C7=6,$G7=6),0,1)</f>
        <v/>
      </c>
      <c r="DH8">
        <f>DH7*IF(OR($C7=7,$G7=7),0,1)</f>
        <v/>
      </c>
      <c r="DI8">
        <f>DI7*IF(OR($C7=8,$G7=8),0,1)</f>
        <v/>
      </c>
      <c r="DJ8">
        <f>DJ7*IF(OR($C7=9,$G7=9),0,1)</f>
        <v/>
      </c>
      <c r="DK8">
        <f>DK7*IF(OR($C7=10,$G7=10),0,1)</f>
        <v/>
      </c>
      <c r="DL8">
        <f>DL7*IF(OR($C7=11,$G7=11),0,1)</f>
        <v/>
      </c>
      <c r="DM8">
        <f>DM7*IF(OR($C7=12,$G7=12),0,1)</f>
        <v/>
      </c>
      <c r="DN8">
        <f>DN7*IF(OR($C7=13,$G7=13),0,1)</f>
        <v/>
      </c>
      <c r="DO8">
        <f>DO7*IF(OR($C7=14,$G7=14),0,1)</f>
        <v/>
      </c>
      <c r="DP8">
        <f>DP7*IF(OR($C7=15,$G7=15),0,1)</f>
        <v/>
      </c>
      <c r="DQ8">
        <f>DQ7*IF(OR($C7=16,$G7=16),0,1)</f>
        <v/>
      </c>
      <c r="DR8">
        <f>DR7*IF(OR($C7=17,$G7=17),0,1)</f>
        <v/>
      </c>
      <c r="DS8">
        <f>DS7*IF(OR($C7=18,$G7=18),0,1)</f>
        <v/>
      </c>
      <c r="DT8">
        <f>DT7*IF(OR($C7=19,$G7=19),0,1)</f>
        <v/>
      </c>
      <c r="DU8">
        <f>DU7*IF(OR($C7=20,$G7=20),0,1)</f>
        <v/>
      </c>
      <c r="DV8">
        <f>DV7*IF(OR($C7=21,$G7=21),0,1)</f>
        <v/>
      </c>
      <c r="DW8">
        <f>DW7*IF(OR($C7=22,$G7=22),0,1)</f>
        <v/>
      </c>
      <c r="DX8">
        <f>DX7*IF(OR($C7=23,$G7=23),0,1)</f>
        <v/>
      </c>
      <c r="DY8">
        <f>DY7*IF(OR($C7=24,$G7=24),0,1)</f>
        <v/>
      </c>
      <c r="DZ8">
        <f>DZ7*IF(OR($C7=25,$G7=25),0,1)</f>
        <v/>
      </c>
      <c r="EA8">
        <f>EA7*IF(OR($C7=26,$G7=26),0,1)</f>
        <v/>
      </c>
      <c r="EB8">
        <f>EB7*IF(OR($C7=27,$G7=27),0,1)</f>
        <v/>
      </c>
      <c r="EC8">
        <f>EC7*IF(OR($C7=28,$G7=28),0,1)</f>
        <v/>
      </c>
      <c r="ED8">
        <f>ED7*IF(OR($C7=29,$G7=29),0,1)</f>
        <v/>
      </c>
      <c r="EE8">
        <f>EE7*IF(OR($C7=30,$G7=30),0,1)</f>
        <v/>
      </c>
      <c r="EF8">
        <f>EF7*IF(OR($C7=31,$G7=31),0,1)</f>
        <v/>
      </c>
      <c r="EG8">
        <f>EG7*IF(OR($C7=32,$G7=32),0,1)</f>
        <v/>
      </c>
      <c r="EH8">
        <f>EH7*IF(OR($C7=33,$G7=33),0,1)</f>
        <v/>
      </c>
      <c r="EI8">
        <f>EI7*IF(OR($C7=34,$G7=34),0,1)</f>
        <v/>
      </c>
      <c r="EJ8">
        <f>EJ7*IF(OR($C7=35,$G7=35),0,1)</f>
        <v/>
      </c>
      <c r="EK8">
        <f>EK7*IF(OR($C7=36,$G7=36),0,1)</f>
        <v/>
      </c>
      <c r="EL8">
        <f>EL7*IF(OR($C7=37,$G7=37),0,1)</f>
        <v/>
      </c>
      <c r="EM8">
        <f>EM7*IF(OR($C7=38,$G7=38),0,1)</f>
        <v/>
      </c>
      <c r="EN8">
        <f>EN7*IF(OR($C7=39,$G7=39),0,1)</f>
        <v/>
      </c>
      <c r="EO8">
        <f>EO7*IF(OR($C7=40,$G7=40),0,1)</f>
        <v/>
      </c>
      <c r="EP8">
        <f>EP7*IF(OR($C7=41,$G7=41),0,1)</f>
        <v/>
      </c>
      <c r="EQ8">
        <f>EQ7*IF(OR($C7=42,$G7=42),0,1)</f>
        <v/>
      </c>
      <c r="ER8">
        <f>ER7*IF(OR($C7=43,$G7=43),0,1)</f>
        <v/>
      </c>
      <c r="ES8">
        <f>ES7*IF(OR($C7=44,$G7=44),0,1)</f>
        <v/>
      </c>
      <c r="ET8">
        <f>ET7*IF(OR($C7=45,$G7=45),0,1)</f>
        <v/>
      </c>
      <c r="EU8">
        <f>EU7*IF(OR($C7=46,$G7=46),0,1)</f>
        <v/>
      </c>
      <c r="EV8">
        <f>EV7*IF(OR($C7=47,$G7=47),0,1)</f>
        <v/>
      </c>
      <c r="EW8">
        <f>EW7*IF(OR($C7=48,$G7=48),0,1)</f>
        <v/>
      </c>
      <c r="EX8">
        <f>EX7*IF(OR($C7=49,$G7=49),0,1)</f>
        <v/>
      </c>
      <c r="EY8">
        <f>EY7*IF(OR($C7=50,$G7=50),0,1)</f>
        <v/>
      </c>
      <c r="EZ8">
        <f>EZ7*IF(OR($C7=51,$G7=51),0,1)</f>
        <v/>
      </c>
      <c r="FA8">
        <f>FA7*IF(OR($C7=52,$G7=52),0,1)</f>
        <v/>
      </c>
      <c r="FB8">
        <f>FB7*IF(OR($C7=53,$G7=53),0,1)</f>
        <v/>
      </c>
      <c r="FC8">
        <f>FC7*IF(OR($C7=54,$G7=54),0,1)</f>
        <v/>
      </c>
      <c r="FD8">
        <f>FD7*IF(OR($C7=55,$G7=55),0,1)</f>
        <v/>
      </c>
      <c r="FE8">
        <f>FE7*IF(OR($C7=56,$G7=56),0,1)</f>
        <v/>
      </c>
      <c r="FF8">
        <f>FF7*IF(OR($C7=57,$G7=57),0,1)</f>
        <v/>
      </c>
      <c r="FG8">
        <f>FG7*IF(OR($C7=58,$G7=58),0,1)</f>
        <v/>
      </c>
      <c r="FH8">
        <f>FH7*IF(OR($C7=59,$G7=59),0,1)</f>
        <v/>
      </c>
      <c r="FI8">
        <f>FI7*IF(OR($C7=60,$G7=60),0,1)</f>
        <v/>
      </c>
      <c r="FJ8">
        <f>FJ7*IF(OR($C7=61,$G7=61),0,1)</f>
        <v/>
      </c>
      <c r="FK8">
        <f>FK7*IF(OR($C7=62,$G7=62),0,1)</f>
        <v/>
      </c>
      <c r="FL8">
        <f>FL7*IF(OR($C7=63,$G7=63),0,1)</f>
        <v/>
      </c>
      <c r="FM8">
        <f>FM7*IF(OR($C7=64,$G7=64),0,1)</f>
        <v/>
      </c>
      <c r="FN8">
        <f>FN7*IF(OR($C7=65,$G7=65),0,1)</f>
        <v/>
      </c>
      <c r="FO8">
        <f>FO7*IF(OR($C7=66,$G7=66),0,1)</f>
        <v/>
      </c>
      <c r="FP8">
        <f>FP7*IF(OR($C7=67,$G7=67),0,1)</f>
        <v/>
      </c>
      <c r="FQ8">
        <f>FQ7*IF(OR($C7=68,$G7=68),0,1)</f>
        <v/>
      </c>
      <c r="FR8">
        <f>FR7*IF(OR($C7=69,$G7=69),0,1)</f>
        <v/>
      </c>
      <c r="FS8">
        <f>FS7*IF(OR($C7=70,$G7=70),0,1)</f>
        <v/>
      </c>
      <c r="FT8">
        <f>FT7*IF(OR($C7=71,$G7=71),0,1)</f>
        <v/>
      </c>
      <c r="FU8">
        <f>FU7*IF(OR($C7=72,$G7=72),0,1)</f>
        <v/>
      </c>
      <c r="FV8">
        <f>FV7*IF(OR($C7=73,$G7=73),0,1)</f>
        <v/>
      </c>
      <c r="FW8">
        <f>FW7*IF(OR($C7=74,$G7=74),0,1)</f>
        <v/>
      </c>
      <c r="FX8">
        <f>FX7*IF(OR($C7=75,$G7=75),0,1)</f>
        <v/>
      </c>
      <c r="FY8">
        <f>FY7*IF(OR($C7=76,$G7=76),0,1)</f>
        <v/>
      </c>
      <c r="FZ8">
        <f>FZ7*IF(OR($C7=77,$G7=77),0,1)</f>
        <v/>
      </c>
      <c r="GA8">
        <f>GA7*IF(OR($C7=78,$G7=78),0,1)</f>
        <v/>
      </c>
      <c r="GB8">
        <f>GB7*IF(OR($C7=79,$G7=79),0,1)</f>
        <v/>
      </c>
      <c r="GC8">
        <f>GC7*IF(OR($C7=80,$G7=80),0,1)</f>
        <v/>
      </c>
      <c r="GD8">
        <f>GD7*IF(OR($C7=81,$G7=81),0,1)</f>
        <v/>
      </c>
      <c r="GE8">
        <f>GE7*IF(OR($C7=82,$G7=82),0,1)</f>
        <v/>
      </c>
      <c r="GF8">
        <f>GF7*IF(OR($C7=83,$G7=83),0,1)</f>
        <v/>
      </c>
      <c r="GG8">
        <f>GG7*IF(OR($C7=84,$G7=84),0,1)</f>
        <v/>
      </c>
      <c r="GH8">
        <f>GH7*IF(OR($C7=85,$G7=85),0,1)</f>
        <v/>
      </c>
      <c r="GI8">
        <f>GI7*IF(OR($C7=86,$G7=86),0,1)</f>
        <v/>
      </c>
      <c r="GJ8">
        <f>GJ7*IF(OR($C7=87,$G7=87),0,1)</f>
        <v/>
      </c>
      <c r="GK8">
        <f>GK7*IF(OR($C7=88,$G7=88),0,1)</f>
        <v/>
      </c>
      <c r="GL8">
        <f>GL7*IF(OR($C7=89,$G7=89),0,1)</f>
        <v/>
      </c>
      <c r="GM8">
        <f>GM7*IF(OR($C7=90,$G7=90),0,1)</f>
        <v/>
      </c>
      <c r="GN8">
        <f>GN7*IF(OR($C7=91,$G7=91),0,1)</f>
        <v/>
      </c>
      <c r="GO8">
        <f>GO7*IF(OR($C7=92,$G7=92),0,1)</f>
        <v/>
      </c>
      <c r="GP8">
        <f>GP7*IF(OR($C7=93,$G7=93),0,1)</f>
        <v/>
      </c>
      <c r="GQ8">
        <f>GQ7*IF(OR($C7=94,$G7=94),0,1)</f>
        <v/>
      </c>
      <c r="GR8">
        <f>GR7*IF(OR($C7=95,$G7=95),0,1)</f>
        <v/>
      </c>
      <c r="GS8">
        <f>GS7*IF(OR($C7=96,$G7=96),0,1)</f>
        <v/>
      </c>
      <c r="GT8">
        <f>GT7*IF(OR($C7=97,$G7=97),0,1)</f>
        <v/>
      </c>
      <c r="GU8">
        <f>GU7*IF(OR($C7=98,$G7=98),0,1)</f>
        <v/>
      </c>
      <c r="GV8">
        <f>GV7*IF(OR($C7=99,$G7=99),0,1)</f>
        <v/>
      </c>
      <c r="GW8">
        <f>GW7*IF(OR($C7=100,$G7=100),0,1)</f>
        <v/>
      </c>
      <c r="GX8">
        <f>GX7*IF(OR($C7=101,$G7=101),0,1)</f>
        <v/>
      </c>
      <c r="GY8">
        <f>GY7*IF(OR($C7=102,$G7=102),0,1)</f>
        <v/>
      </c>
      <c r="GZ8">
        <f>GZ7*IF(OR($C7=103,$G7=103),0,1)</f>
        <v/>
      </c>
      <c r="HA8">
        <f>HA7*IF(OR($C7=104,$G7=104),0,1)</f>
        <v/>
      </c>
      <c r="HB8">
        <f>HB7*IF(OR($C7=105,$G7=105),0,1)</f>
        <v/>
      </c>
      <c r="HC8">
        <f>HC7*IF(OR($C7=106,$G7=106),0,1)</f>
        <v/>
      </c>
      <c r="HD8">
        <f>HD7*IF(OR($C7=107,$G7=107),0,1)</f>
        <v/>
      </c>
      <c r="HE8">
        <f>HE7*IF(OR($C7=108,$G7=108),0,1)</f>
        <v/>
      </c>
      <c r="HF8">
        <f>HF7*IF(OR($C7=109,$G7=109),0,1)</f>
        <v/>
      </c>
      <c r="HG8">
        <f>HG7*IF(OR($C7=110,$G7=110),0,1)</f>
        <v/>
      </c>
      <c r="HH8">
        <f>HH7*IF(OR($C7=111,$G7=111),0,1)</f>
        <v/>
      </c>
      <c r="HI8">
        <f>HI7*IF(OR($C7=112,$G7=112),0,1)</f>
        <v/>
      </c>
      <c r="HJ8">
        <f>HJ7*IF(OR($C7=113,$G7=113),0,1)</f>
        <v/>
      </c>
      <c r="HK8">
        <f>HK7*IF(OR($C7=114,$G7=114),0,1)</f>
        <v/>
      </c>
      <c r="HL8">
        <f>HL7*IF(OR($C7=115,$G7=115),0,1)</f>
        <v/>
      </c>
      <c r="HM8">
        <f>HM7*IF(OR($C7=116,$G7=116),0,1)</f>
        <v/>
      </c>
      <c r="HN8">
        <f>HN7*IF(OR($C7=117,$G7=117),0,1)</f>
        <v/>
      </c>
      <c r="HO8">
        <f>HO7*IF(OR($C7=118,$G7=118),0,1)</f>
        <v/>
      </c>
      <c r="HP8">
        <f>HP7*IF(OR($C7=119,$G7=119),0,1)</f>
        <v/>
      </c>
      <c r="HQ8">
        <f>HQ7*IF(OR($C7=120,$G7=120),0,1)</f>
        <v/>
      </c>
      <c r="HR8">
        <f>HR7*IF(OR($C7=121,$G7=121),0,1)</f>
        <v/>
      </c>
      <c r="HS8">
        <f>HS7*IF(OR($C7=122,$G7=122),0,1)</f>
        <v/>
      </c>
      <c r="HT8">
        <f>HT7*IF(OR($C7=123,$G7=123),0,1)</f>
        <v/>
      </c>
      <c r="HU8">
        <f>HU7*IF(OR($C7=124,$G7=124),0,1)</f>
        <v/>
      </c>
      <c r="HV8">
        <f>HV7*IF(OR($C7=125,$G7=125),0,1)</f>
        <v/>
      </c>
      <c r="HW8">
        <f>HW7*IF(OR($C7=126,$G7=126),0,1)</f>
        <v/>
      </c>
      <c r="HX8">
        <f>HX7*IF(OR($C7=127,$G7=127),0,1)</f>
        <v/>
      </c>
      <c r="HY8">
        <f>HY7*IF(OR($C7=128,$G7=128),0,1)</f>
        <v/>
      </c>
      <c r="HZ8">
        <f>HZ7*IF(OR($C7=129,$G7=129),0,1)</f>
        <v/>
      </c>
      <c r="IA8">
        <f>IA7*IF(OR($C7=130,$G7=130),0,1)</f>
        <v/>
      </c>
      <c r="IB8">
        <f>IB7*IF(OR($C7=131,$G7=131),0,1)</f>
        <v/>
      </c>
      <c r="IC8">
        <f>IC7*IF(OR($C7=132,$G7=132),0,1)</f>
        <v/>
      </c>
      <c r="ID8">
        <f>ID7*IF(OR($C7=133,$G7=133),0,1)</f>
        <v/>
      </c>
      <c r="IE8">
        <f>IE7*IF(OR($C7=134,$G7=134),0,1)</f>
        <v/>
      </c>
      <c r="IF8">
        <f>IF7*IF(OR($C7=135,$G7=135),0,1)</f>
        <v/>
      </c>
      <c r="IG8">
        <f>IG7*IF(OR($C7=136,$G7=136),0,1)</f>
        <v/>
      </c>
      <c r="IH8">
        <f>IH7*IF(OR($C7=137,$G7=137),0,1)</f>
        <v/>
      </c>
      <c r="II8">
        <f>II7*IF(OR($C7=138,$G7=138),0,1)</f>
        <v/>
      </c>
      <c r="IJ8">
        <f>IJ7*IF(OR($C7=139,$G7=139),0,1)</f>
        <v/>
      </c>
      <c r="IK8">
        <f>IK7*IF(OR($C7=140,$G7=140),0,1)</f>
        <v/>
      </c>
      <c r="IL8">
        <f>IL7*IF(OR($C7=141,$G7=141),0,1)</f>
        <v/>
      </c>
      <c r="IM8">
        <f>IM7*IF(OR($C7=142,$G7=142),0,1)</f>
        <v/>
      </c>
      <c r="IN8">
        <f>IN7*IF(OR($C7=143,$G7=143),0,1)</f>
        <v/>
      </c>
      <c r="IO8">
        <f>IO7*IF(OR($C7=144,$G7=144),0,1)</f>
        <v/>
      </c>
      <c r="IQ8">
        <f>IF('calcA'!D$106=1,DC8,1)</f>
        <v/>
      </c>
      <c r="IR8">
        <f>IF('calcA'!E$106=1,DD8,1)</f>
        <v/>
      </c>
      <c r="IS8">
        <f>IF('calcA'!F$106=1,DE8,1)</f>
        <v/>
      </c>
      <c r="IT8">
        <f>IF('calcA'!G$106=1,DF8,1)</f>
        <v/>
      </c>
      <c r="IU8">
        <f>IF('calcA'!H$106=1,DG8,1)</f>
        <v/>
      </c>
      <c r="IV8">
        <f>IF('calcA'!I$106=1,DH8,1)</f>
        <v/>
      </c>
      <c r="IW8">
        <f>IF('calcA'!J$106=1,DI8,1)</f>
        <v/>
      </c>
      <c r="IX8">
        <f>IF('calcA'!K$106=1,DJ8,1)</f>
        <v/>
      </c>
      <c r="IY8">
        <f>IF('calcA'!L$106=1,DK8,1)</f>
        <v/>
      </c>
      <c r="IZ8">
        <f>IF('calcA'!M$106=1,DL8,1)</f>
        <v/>
      </c>
      <c r="JA8">
        <f>IF('calcA'!N$106=1,DM8,1)</f>
        <v/>
      </c>
      <c r="JB8">
        <f>IF('calcA'!O$106=1,DN8,1)</f>
        <v/>
      </c>
      <c r="JC8">
        <f>IF('calcA'!P$106=1,DO8,1)</f>
        <v/>
      </c>
      <c r="JD8">
        <f>IF('calcA'!Q$106=1,DP8,1)</f>
        <v/>
      </c>
      <c r="JE8">
        <f>IF('calcA'!R$106=1,DQ8,1)</f>
        <v/>
      </c>
      <c r="JF8">
        <f>IF('calcA'!S$106=1,DR8,1)</f>
        <v/>
      </c>
      <c r="JG8">
        <f>IF('calcA'!T$106=1,DS8,1)</f>
        <v/>
      </c>
      <c r="JH8">
        <f>IF('calcA'!U$106=1,DT8,1)</f>
        <v/>
      </c>
      <c r="JI8">
        <f>IF('calcA'!V$106=1,DU8,1)</f>
        <v/>
      </c>
      <c r="JJ8">
        <f>IF('calcA'!W$106=1,DV8,1)</f>
        <v/>
      </c>
      <c r="JK8">
        <f>IF('calcA'!X$106=1,DW8,1)</f>
        <v/>
      </c>
      <c r="JL8">
        <f>IF('calcA'!Y$106=1,DX8,1)</f>
        <v/>
      </c>
      <c r="JM8">
        <f>IF('calcA'!Z$106=1,DY8,1)</f>
        <v/>
      </c>
      <c r="JN8">
        <f>IF('calcA'!AA$106=1,DZ8,1)</f>
        <v/>
      </c>
      <c r="JO8">
        <f>IF('calcA'!AB$106=1,EA8,1)</f>
        <v/>
      </c>
      <c r="JP8">
        <f>IF('calcA'!AC$106=1,EB8,1)</f>
        <v/>
      </c>
      <c r="JQ8">
        <f>IF('calcA'!AD$106=1,EC8,1)</f>
        <v/>
      </c>
      <c r="JR8">
        <f>IF('calcA'!AE$106=1,ED8,1)</f>
        <v/>
      </c>
      <c r="JS8">
        <f>IF('calcA'!AF$106=1,EE8,1)</f>
        <v/>
      </c>
      <c r="JT8">
        <f>IF('calcA'!AG$106=1,EF8,1)</f>
        <v/>
      </c>
      <c r="JU8">
        <f>IF('calcA'!AH$106=1,EG8,1)</f>
        <v/>
      </c>
      <c r="JV8">
        <f>IF('calcA'!AI$106=1,EH8,1)</f>
        <v/>
      </c>
      <c r="JW8">
        <f>IF('calcA'!AJ$106=1,EI8,1)</f>
        <v/>
      </c>
      <c r="JX8">
        <f>IF('calcA'!AK$106=1,EJ8,1)</f>
        <v/>
      </c>
      <c r="JY8">
        <f>IF('calcA'!AL$106=1,EK8,1)</f>
        <v/>
      </c>
      <c r="JZ8">
        <f>IF('calcA'!AM$106=1,EL8,1)</f>
        <v/>
      </c>
      <c r="KA8">
        <f>IF('calcA'!AN$106=1,EM8,1)</f>
        <v/>
      </c>
      <c r="KB8">
        <f>IF('calcA'!AO$106=1,EN8,1)</f>
        <v/>
      </c>
      <c r="KC8">
        <f>IF('calcA'!AP$106=1,EO8,1)</f>
        <v/>
      </c>
      <c r="KD8">
        <f>IF('calcA'!AQ$106=1,EP8,1)</f>
        <v/>
      </c>
      <c r="KE8">
        <f>IF('calcA'!AR$106=1,EQ8,1)</f>
        <v/>
      </c>
      <c r="KF8">
        <f>IF('calcA'!AS$106=1,ER8,1)</f>
        <v/>
      </c>
      <c r="KG8">
        <f>IF('calcA'!AT$106=1,ES8,1)</f>
        <v/>
      </c>
      <c r="KH8">
        <f>IF('calcA'!AU$106=1,ET8,1)</f>
        <v/>
      </c>
      <c r="KI8">
        <f>IF('calcA'!AV$106=1,EU8,1)</f>
        <v/>
      </c>
      <c r="KJ8">
        <f>IF('calcA'!AW$106=1,EV8,1)</f>
        <v/>
      </c>
      <c r="KK8">
        <f>IF('calcA'!AX$106=1,EW8,1)</f>
        <v/>
      </c>
      <c r="KL8">
        <f>IF('calcA'!AY$106=1,EX8,1)</f>
        <v/>
      </c>
      <c r="KM8">
        <f>IF('calcA'!AZ$106=1,EY8,1)</f>
        <v/>
      </c>
      <c r="KN8">
        <f>IF('calcA'!BA$106=1,EZ8,1)</f>
        <v/>
      </c>
      <c r="KO8">
        <f>IF('calcA'!BB$106=1,FA8,1)</f>
        <v/>
      </c>
      <c r="KP8">
        <f>IF('calcA'!BC$106=1,FB8,1)</f>
        <v/>
      </c>
      <c r="KQ8">
        <f>IF('calcA'!BD$106=1,FC8,1)</f>
        <v/>
      </c>
      <c r="KR8">
        <f>IF('calcA'!BE$106=1,FD8,1)</f>
        <v/>
      </c>
      <c r="KS8">
        <f>IF('calcA'!BF$106=1,FE8,1)</f>
        <v/>
      </c>
      <c r="KT8">
        <f>IF('calcA'!BG$106=1,FF8,1)</f>
        <v/>
      </c>
      <c r="KU8">
        <f>IF('calcA'!BH$106=1,FG8,1)</f>
        <v/>
      </c>
      <c r="KV8">
        <f>IF('calcA'!BI$106=1,FH8,1)</f>
        <v/>
      </c>
      <c r="KW8">
        <f>IF('calcA'!BJ$106=1,FI8,1)</f>
        <v/>
      </c>
      <c r="KX8">
        <f>IF('calcA'!BK$106=1,FJ8,1)</f>
        <v/>
      </c>
      <c r="KY8">
        <f>IF('calcA'!BL$106=1,FK8,1)</f>
        <v/>
      </c>
      <c r="KZ8">
        <f>IF('calcA'!BM$106=1,FL8,1)</f>
        <v/>
      </c>
      <c r="LA8">
        <f>IF('calcA'!BN$106=1,FM8,1)</f>
        <v/>
      </c>
      <c r="LB8">
        <f>IF('calcA'!BO$106=1,FN8,1)</f>
        <v/>
      </c>
      <c r="LC8">
        <f>IF('calcA'!BP$106=1,FO8,1)</f>
        <v/>
      </c>
      <c r="LD8">
        <f>IF('calcA'!BQ$106=1,FP8,1)</f>
        <v/>
      </c>
      <c r="LE8">
        <f>IF('calcA'!BR$106=1,FQ8,1)</f>
        <v/>
      </c>
      <c r="LF8">
        <f>IF('calcA'!BS$106=1,FR8,1)</f>
        <v/>
      </c>
      <c r="LG8">
        <f>IF('calcA'!BT$106=1,FS8,1)</f>
        <v/>
      </c>
      <c r="LH8">
        <f>IF('calcA'!BU$106=1,FT8,1)</f>
        <v/>
      </c>
      <c r="LI8">
        <f>IF('calcA'!BV$106=1,FU8,1)</f>
        <v/>
      </c>
      <c r="LJ8">
        <f>IF('calcA'!BW$106=1,FV8,1)</f>
        <v/>
      </c>
      <c r="LK8">
        <f>IF('calcA'!BX$106=1,FW8,1)</f>
        <v/>
      </c>
      <c r="LL8">
        <f>IF('calcA'!BY$106=1,FX8,1)</f>
        <v/>
      </c>
      <c r="LM8">
        <f>IF('calcA'!BZ$106=1,FY8,1)</f>
        <v/>
      </c>
      <c r="LN8">
        <f>IF('calcA'!CA$106=1,FZ8,1)</f>
        <v/>
      </c>
      <c r="LO8">
        <f>IF('calcA'!CB$106=1,GA8,1)</f>
        <v/>
      </c>
      <c r="LP8">
        <f>IF('calcA'!CC$106=1,GB8,1)</f>
        <v/>
      </c>
      <c r="LQ8">
        <f>IF('calcA'!CD$106=1,GC8,1)</f>
        <v/>
      </c>
      <c r="LR8">
        <f>IF('calcA'!CE$106=1,GD8,1)</f>
        <v/>
      </c>
      <c r="LS8">
        <f>IF('calcA'!CF$106=1,GE8,1)</f>
        <v/>
      </c>
      <c r="LT8">
        <f>IF('calcA'!CG$106=1,GF8,1)</f>
        <v/>
      </c>
      <c r="LU8">
        <f>IF('calcA'!CH$106=1,GG8,1)</f>
        <v/>
      </c>
      <c r="LV8">
        <f>IF('calcA'!CI$106=1,GH8,1)</f>
        <v/>
      </c>
      <c r="LW8">
        <f>IF('calcA'!CJ$106=1,GI8,1)</f>
        <v/>
      </c>
      <c r="LX8">
        <f>IF('calcA'!CK$106=1,GJ8,1)</f>
        <v/>
      </c>
      <c r="LY8">
        <f>IF('calcA'!CL$106=1,GK8,1)</f>
        <v/>
      </c>
      <c r="LZ8">
        <f>IF('calcA'!CM$106=1,GL8,1)</f>
        <v/>
      </c>
      <c r="MA8">
        <f>IF('calcA'!CN$106=1,GM8,1)</f>
        <v/>
      </c>
      <c r="MB8">
        <f>IF('calcA'!CO$106=1,GN8,1)</f>
        <v/>
      </c>
      <c r="MC8">
        <f>IF('calcA'!CP$106=1,GO8,1)</f>
        <v/>
      </c>
      <c r="MD8">
        <f>IF('calcA'!CQ$106=1,GP8,1)</f>
        <v/>
      </c>
      <c r="ME8">
        <f>IF('calcA'!CR$106=1,GQ8,1)</f>
        <v/>
      </c>
      <c r="MF8">
        <f>IF('calcA'!CS$106=1,GR8,1)</f>
        <v/>
      </c>
      <c r="MG8">
        <f>IF('calcA'!CT$106=1,GS8,1)</f>
        <v/>
      </c>
      <c r="MH8">
        <f>IF('calcA'!CU$106=1,GT8,1)</f>
        <v/>
      </c>
      <c r="MI8">
        <f>IF('calcA'!CV$106=1,GU8,1)</f>
        <v/>
      </c>
      <c r="MJ8">
        <f>IF('calcA'!CW$106=1,GV8,1)</f>
        <v/>
      </c>
      <c r="MK8">
        <f>IF('calcA'!CX$106=1,GW8,1)</f>
        <v/>
      </c>
      <c r="ML8">
        <f>IF('calcA'!CY$106=1,GX8,1)</f>
        <v/>
      </c>
      <c r="MM8">
        <f>IF('calcA'!CZ$106=1,GY8,1)</f>
        <v/>
      </c>
      <c r="MN8">
        <f>IF('calcA'!DA$106=1,GZ8,1)</f>
        <v/>
      </c>
      <c r="MO8">
        <f>IF('calcA'!DB$106=1,HA8,1)</f>
        <v/>
      </c>
      <c r="MP8">
        <f>IF('calcA'!DC$106=1,HB8,1)</f>
        <v/>
      </c>
      <c r="MQ8">
        <f>IF('calcA'!DD$106=1,HC8,1)</f>
        <v/>
      </c>
      <c r="MR8">
        <f>IF('calcA'!DE$106=1,HD8,1)</f>
        <v/>
      </c>
      <c r="MS8">
        <f>IF('calcA'!DF$106=1,HE8,1)</f>
        <v/>
      </c>
      <c r="MT8">
        <f>IF('calcA'!DG$106=1,HF8,1)</f>
        <v/>
      </c>
      <c r="MU8">
        <f>IF('calcA'!DH$106=1,HG8,1)</f>
        <v/>
      </c>
      <c r="MV8">
        <f>IF('calcA'!DI$106=1,HH8,1)</f>
        <v/>
      </c>
      <c r="MW8">
        <f>IF('calcA'!DJ$106=1,HI8,1)</f>
        <v/>
      </c>
      <c r="MX8">
        <f>IF('calcA'!DK$106=1,HJ8,1)</f>
        <v/>
      </c>
      <c r="MY8">
        <f>IF('calcA'!DL$106=1,HK8,1)</f>
        <v/>
      </c>
      <c r="MZ8">
        <f>IF('calcA'!DM$106=1,HL8,1)</f>
        <v/>
      </c>
      <c r="NA8">
        <f>IF('calcA'!DN$106=1,HM8,1)</f>
        <v/>
      </c>
      <c r="NB8">
        <f>IF('calcA'!DO$106=1,HN8,1)</f>
        <v/>
      </c>
      <c r="NC8">
        <f>IF('calcA'!DP$106=1,HO8,1)</f>
        <v/>
      </c>
      <c r="ND8">
        <f>IF('calcA'!DQ$106=1,HP8,1)</f>
        <v/>
      </c>
      <c r="NE8">
        <f>IF('calcA'!DR$106=1,HQ8,1)</f>
        <v/>
      </c>
      <c r="NF8">
        <f>IF('calcA'!DS$106=1,HR8,1)</f>
        <v/>
      </c>
      <c r="NG8">
        <f>IF('calcA'!DT$106=1,HS8,1)</f>
        <v/>
      </c>
      <c r="NH8">
        <f>IF('calcA'!DU$106=1,HT8,1)</f>
        <v/>
      </c>
      <c r="NI8">
        <f>IF('calcA'!DV$106=1,HU8,1)</f>
        <v/>
      </c>
      <c r="NJ8">
        <f>IF('calcA'!DW$106=1,HV8,1)</f>
        <v/>
      </c>
      <c r="NK8">
        <f>IF('calcA'!DX$106=1,HW8,1)</f>
        <v/>
      </c>
      <c r="NL8">
        <f>IF('calcA'!DY$106=1,HX8,1)</f>
        <v/>
      </c>
      <c r="NM8">
        <f>IF('calcA'!DZ$106=1,HY8,1)</f>
        <v/>
      </c>
      <c r="NN8">
        <f>IF('calcA'!EA$106=1,HZ8,1)</f>
        <v/>
      </c>
      <c r="NO8">
        <f>IF('calcA'!EB$106=1,IA8,1)</f>
        <v/>
      </c>
      <c r="NP8">
        <f>IF('calcA'!EC$106=1,IB8,1)</f>
        <v/>
      </c>
      <c r="NQ8">
        <f>IF('calcA'!ED$106=1,IC8,1)</f>
        <v/>
      </c>
      <c r="NR8">
        <f>IF('calcA'!EE$106=1,ID8,1)</f>
        <v/>
      </c>
      <c r="NS8">
        <f>IF('calcA'!EF$106=1,IE8,1)</f>
        <v/>
      </c>
      <c r="NT8">
        <f>IF('calcA'!EG$106=1,IF8,1)</f>
        <v/>
      </c>
      <c r="NU8">
        <f>IF('calcA'!EH$106=1,IG8,1)</f>
        <v/>
      </c>
      <c r="NV8">
        <f>IF('calcA'!EI$106=1,IH8,1)</f>
        <v/>
      </c>
      <c r="NW8">
        <f>IF('calcA'!EJ$106=1,II8,1)</f>
        <v/>
      </c>
      <c r="NX8">
        <f>IF('calcA'!EK$106=1,IJ8,1)</f>
        <v/>
      </c>
      <c r="NY8">
        <f>IF('calcA'!EL$106=1,IK8,1)</f>
        <v/>
      </c>
      <c r="NZ8">
        <f>IF('calcA'!EM$106=1,IL8,1)</f>
        <v/>
      </c>
      <c r="OA8">
        <f>IF('calcA'!EN$106=1,IM8,1)</f>
        <v/>
      </c>
      <c r="OB8">
        <f>IF('calcA'!EO$106=1,IN8,1)</f>
        <v/>
      </c>
      <c r="OC8">
        <f>IF('calcA'!EP$106=1,IO8,1)</f>
        <v/>
      </c>
      <c r="OD8" t="n">
        <v>1</v>
      </c>
      <c r="OF8">
        <f>IF($B8=0,1000000000,IF(INDEX('calcA'!$D$60:$EQ$99,$B8,1)*IF($W8=1,DB8+ZQ8,DB8)=1,IF(AND($E8=2,IF($W8=1,AFF8,IQ8)=0),1000000000,IF($V8=1,INDEX('calcA'!$D$130:$EQ$169,$B8,1)+IF(AND($E8=1,IQ8=0),25,0),IF($F8&gt;0,INDEX('calcA'!D$110:D$114,$F8+1)+IF(AND($E8=1,IQ8=0),1000,0),MIN(TU8,20)*400+(IF('calcA'!D$106=1,1-DC8,0))*150+11+'calcA'!D$5*100000+IF(AND($E8=1,IQ8=0),50000,0))+IF($H8=1,INDEX('calcA'!$D$180:$EQ$219,$B8,1)*4000,0)-IF(AND($U8=1,'calcA'!D$117=1,DC8=0),2000,0))),1000000000))</f>
        <v/>
      </c>
      <c r="OG8">
        <f>IF($B8=0,1000000000,IF(INDEX('calcA'!$D$60:$EQ$99,$B8,2)*IF($W8=1,DC8+ZR8,DC8)=1,IF(AND($E8=2,IF($W8=1,AFG8,IR8)=0),1000000000,IF($V8=1,INDEX('calcA'!$D$130:$EQ$169,$B8,2)+IF(AND($E8=1,IR8=0),25,0),IF($F8&gt;0,INDEX('calcA'!E$110:E$114,$F8+1)+IF(AND($E8=1,IR8=0),1000,0),MIN(TU8,20)*400+(IF('calcA'!D$106=1,1-DB8,0)+IF('calcA'!E$106=1,1-DD8,0))*150+21+'calcA'!E$5*100000+IF(AND($E8=1,IR8=0),50000,0))+IF($H8=1,INDEX('calcA'!$D$180:$EQ$219,$B8,2)*4000,0)-IF(AND('calcA'!D$117=1,UB8&gt;0),2000,0)-IF(AND($U8=1,'calcA'!E$117=1,DD8=0),2000,0))),1000000000))</f>
        <v/>
      </c>
      <c r="OH8">
        <f>IF($B8=0,1000000000,IF(INDEX('calcA'!$D$60:$EQ$99,$B8,3)*IF($W8=1,DD8+ZS8,DD8)=1,IF(AND($E8=2,IF($W8=1,AFH8,IS8)=0),1000000000,IF($V8=1,INDEX('calcA'!$D$130:$EQ$169,$B8,3)+IF(AND($E8=1,IS8=0),25,0),IF($F8&gt;0,INDEX('calcA'!F$110:F$114,$F8+1)+IF(AND($E8=1,IS8=0),1000,0),MIN(TU8,20)*400+(IF('calcA'!E$106=1,1-DC8,0)+IF('calcA'!F$106=1,1-DE8,0))*150+31+'calcA'!F$5*100000+IF(AND($E8=1,IS8=0),50000,0))+IF($H8=1,INDEX('calcA'!$D$180:$EQ$219,$B8,3)*4000,0)-IF(AND('calcA'!E$117=1,UC8&gt;0),2000,0)-IF(AND($U8=1,'calcA'!F$117=1,DE8=0),2000,0))),1000000000))</f>
        <v/>
      </c>
      <c r="OI8">
        <f>IF($B8=0,1000000000,IF(INDEX('calcA'!$D$60:$EQ$99,$B8,4)*IF($W8=1,DE8+ZT8,DE8)=1,IF(AND($E8=2,IF($W8=1,AFI8,IT8)=0),1000000000,IF($V8=1,INDEX('calcA'!$D$130:$EQ$169,$B8,4)+IF(AND($E8=1,IT8=0),25,0),IF($F8&gt;0,INDEX('calcA'!G$110:G$114,$F8+1)+IF(AND($E8=1,IT8=0),1000,0),MIN(TU8,20)*400+(IF('calcA'!F$106=1,1-DD8,0)+IF('calcA'!G$106=1,1-DF8,0))*150+41+'calcA'!G$5*100000+IF(AND($E8=1,IT8=0),50000,0))+IF($H8=1,INDEX('calcA'!$D$180:$EQ$219,$B8,4)*4000,0)-IF(AND('calcA'!F$117=1,UD8&gt;0),2000,0)-IF(AND($U8=1,'calcA'!G$117=1,DF8=0),2000,0))),1000000000))</f>
        <v/>
      </c>
      <c r="OJ8">
        <f>IF($B8=0,1000000000,IF(INDEX('calcA'!$D$60:$EQ$99,$B8,5)*IF($W8=1,DF8+ZU8,DF8)=1,IF(AND($E8=2,IF($W8=1,AFJ8,IU8)=0),1000000000,IF($V8=1,INDEX('calcA'!$D$130:$EQ$169,$B8,5)+IF(AND($E8=1,IU8=0),25,0),IF($F8&gt;0,INDEX('calcA'!H$110:H$114,$F8+1)+IF(AND($E8=1,IU8=0),1000,0),MIN(TU8,20)*400+(IF('calcA'!G$106=1,1-DE8,0)+IF('calcA'!H$106=1,1-DG8,0))*150+51+'calcA'!H$5*100000+IF(AND($E8=1,IU8=0),50000,0))+IF($H8=1,INDEX('calcA'!$D$180:$EQ$219,$B8,5)*4000,0)-IF(AND('calcA'!G$117=1,UE8&gt;0),2000,0)-IF(AND($U8=1,'calcA'!H$117=1,DG8=0),2000,0))),1000000000))</f>
        <v/>
      </c>
      <c r="OK8">
        <f>IF($B8=0,1000000000,IF(INDEX('calcA'!$D$60:$EQ$99,$B8,6)*IF($W8=1,DG8+ZV8,DG8)=1,IF(AND($E8=2,IF($W8=1,AFK8,IV8)=0),1000000000,IF($V8=1,INDEX('calcA'!$D$130:$EQ$169,$B8,6)+IF(AND($E8=1,IV8=0),25,0),IF($F8&gt;0,INDEX('calcA'!I$110:I$114,$F8+1)+IF(AND($E8=1,IV8=0),1000,0),MIN(TU8,20)*400+(IF('calcA'!H$106=1,1-DF8,0)+IF('calcA'!I$106=1,1-DH8,0))*150+61+'calcA'!I$5*100000+IF(AND($E8=1,IV8=0),50000,0))+IF($H8=1,INDEX('calcA'!$D$180:$EQ$219,$B8,6)*4000,0)-IF(AND('calcA'!H$117=1,UF8&gt;0),2000,0)-IF(AND($U8=1,'calcA'!I$117=1,DH8=0),2000,0))),1000000000))</f>
        <v/>
      </c>
      <c r="OL8">
        <f>IF($B8=0,1000000000,IF(INDEX('calcA'!$D$60:$EQ$99,$B8,7)*IF($W8=1,DH8+ZW8,DH8)=1,IF(AND($E8=2,IF($W8=1,AFL8,IW8)=0),1000000000,IF($V8=1,INDEX('calcA'!$D$130:$EQ$169,$B8,7)+IF(AND($E8=1,IW8=0),25,0),IF($F8&gt;0,INDEX('calcA'!J$110:J$114,$F8+1)+IF(AND($E8=1,IW8=0),1000,0),MIN(TU8,20)*400+(IF('calcA'!I$106=1,1-DG8,0)+IF('calcA'!J$106=1,1-DI8,0))*150+71+'calcA'!J$5*100000+IF(AND($E8=1,IW8=0),50000,0))+IF($H8=1,INDEX('calcA'!$D$180:$EQ$219,$B8,7)*4000,0)-IF(AND('calcA'!I$117=1,UG8&gt;0),2000,0)-IF(AND($U8=1,'calcA'!J$117=1,DI8=0),2000,0))),1000000000))</f>
        <v/>
      </c>
      <c r="OM8">
        <f>IF($B8=0,1000000000,IF(INDEX('calcA'!$D$60:$EQ$99,$B8,8)*IF($W8=1,DI8+ZX8,DI8)=1,IF(AND($E8=2,IF($W8=1,AFM8,IX8)=0),1000000000,IF($V8=1,INDEX('calcA'!$D$130:$EQ$169,$B8,8)+IF(AND($E8=1,IX8=0),25,0),IF($F8&gt;0,INDEX('calcA'!K$110:K$114,$F8+1)+IF(AND($E8=1,IX8=0),1000,0),MIN(TU8,20)*400+(IF('calcA'!J$106=1,1-DH8,0)+IF('calcA'!K$106=1,1-DJ8,0))*150+81+'calcA'!K$5*100000+IF(AND($E8=1,IX8=0),50000,0))+IF($H8=1,INDEX('calcA'!$D$180:$EQ$219,$B8,8)*4000,0)-IF(AND('calcA'!J$117=1,UH8&gt;0),2000,0)-IF(AND($U8=1,'calcA'!K$117=1,DJ8=0),2000,0))),1000000000))</f>
        <v/>
      </c>
      <c r="ON8">
        <f>IF($B8=0,1000000000,IF(INDEX('calcA'!$D$60:$EQ$99,$B8,9)*IF($W8=1,DJ8+ZY8,DJ8)=1,IF(AND($E8=2,IF($W8=1,AFN8,IY8)=0),1000000000,IF($V8=1,INDEX('calcA'!$D$130:$EQ$169,$B8,9)+IF(AND($E8=1,IY8=0),25,0),IF($F8&gt;0,INDEX('calcA'!L$110:L$114,$F8+1)+IF(AND($E8=1,IY8=0),1000,0),MIN(TU8,20)*400+(IF('calcA'!K$106=1,1-DI8,0)+IF('calcA'!L$106=1,1-DK8,0))*150+91+'calcA'!L$5*100000+IF(AND($E8=1,IY8=0),50000,0))+IF($H8=1,INDEX('calcA'!$D$180:$EQ$219,$B8,9)*4000,0)-IF(AND('calcA'!K$117=1,UI8&gt;0),2000,0)-IF(AND($U8=1,'calcA'!L$117=1,DK8=0),2000,0))),1000000000))</f>
        <v/>
      </c>
      <c r="OO8">
        <f>IF($B8=0,1000000000,IF(INDEX('calcA'!$D$60:$EQ$99,$B8,10)*IF($W8=1,DK8+ZZ8,DK8)=1,IF(AND($E8=2,IF($W8=1,AFO8,IZ8)=0),1000000000,IF($V8=1,INDEX('calcA'!$D$130:$EQ$169,$B8,10)+IF(AND($E8=1,IZ8=0),25,0),IF($F8&gt;0,INDEX('calcA'!M$110:M$114,$F8+1)+IF(AND($E8=1,IZ8=0),1000,0),MIN(TU8,20)*400+(IF('calcA'!L$106=1,1-DJ8,0)+IF('calcA'!M$106=1,1-DL8,0))*150+101+'calcA'!M$5*100000+IF(AND($E8=1,IZ8=0),50000,0))+IF($H8=1,INDEX('calcA'!$D$180:$EQ$219,$B8,10)*4000,0)-IF(AND('calcA'!L$117=1,UJ8&gt;0),2000,0)-IF(AND($U8=1,'calcA'!M$117=1,DL8=0),2000,0))),1000000000))</f>
        <v/>
      </c>
      <c r="OP8">
        <f>IF($B8=0,1000000000,IF(INDEX('calcA'!$D$60:$EQ$99,$B8,11)*IF($W8=1,DL8+AAA8,DL8)=1,IF(AND($E8=2,IF($W8=1,AFP8,JA8)=0),1000000000,IF($V8=1,INDEX('calcA'!$D$130:$EQ$169,$B8,11)+IF(AND($E8=1,JA8=0),25,0),IF($F8&gt;0,INDEX('calcA'!N$110:N$114,$F8+1)+IF(AND($E8=1,JA8=0),1000,0),MIN(TU8,20)*400+(IF('calcA'!M$106=1,1-DK8,0)+IF('calcA'!N$106=1,1-DM8,0))*150+111+'calcA'!N$5*100000+IF(AND($E8=1,JA8=0),50000,0))+IF($H8=1,INDEX('calcA'!$D$180:$EQ$219,$B8,11)*4000,0)-IF(AND('calcA'!M$117=1,UK8&gt;0),2000,0)-IF(AND($U8=1,'calcA'!N$117=1,DM8=0),2000,0))),1000000000))</f>
        <v/>
      </c>
      <c r="OQ8">
        <f>IF($B8=0,1000000000,IF(INDEX('calcA'!$D$60:$EQ$99,$B8,12)*IF($W8=1,DM8+AAB8,DM8)=1,IF(AND($E8=2,IF($W8=1,AFQ8,JB8)=0),1000000000,IF($V8=1,INDEX('calcA'!$D$130:$EQ$169,$B8,12)+IF(AND($E8=1,JB8=0),25,0),IF($F8&gt;0,INDEX('calcA'!O$110:O$114,$F8+1)+IF(AND($E8=1,JB8=0),1000,0),MIN(TU8,20)*400+(IF('calcA'!N$106=1,1-DL8,0)+IF('calcA'!O$106=1,1-DN8,0))*150+121+'calcA'!O$5*100000+IF(AND($E8=1,JB8=0),50000,0))+IF($H8=1,INDEX('calcA'!$D$180:$EQ$219,$B8,12)*4000,0)-IF(AND('calcA'!N$117=1,UL8&gt;0),2000,0)-IF(AND($U8=1,'calcA'!O$117=1,DN8=0),2000,0))),1000000000))</f>
        <v/>
      </c>
      <c r="OR8">
        <f>IF($B8=0,1000000000,IF(INDEX('calcA'!$D$60:$EQ$99,$B8,13)*IF($W8=1,DN8+AAC8,DN8)=1,IF(AND($E8=2,IF($W8=1,AFR8,JC8)=0),1000000000,IF($V8=1,INDEX('calcA'!$D$130:$EQ$169,$B8,13)+IF(AND($E8=1,JC8=0),25,0),IF($F8&gt;0,INDEX('calcA'!P$110:P$114,$F8+1)+IF(AND($E8=1,JC8=0),1000,0),MIN(TU8,20)*400+(IF('calcA'!O$106=1,1-DM8,0)+IF('calcA'!P$106=1,1-DO8,0))*150+131+'calcA'!P$5*100000+IF(AND($E8=1,JC8=0),50000,0))+IF($H8=1,INDEX('calcA'!$D$180:$EQ$219,$B8,13)*4000,0)-IF(AND('calcA'!O$117=1,UM8&gt;0),2000,0)-IF(AND($U8=1,'calcA'!P$117=1,DO8=0),2000,0))),1000000000))</f>
        <v/>
      </c>
      <c r="OS8">
        <f>IF($B8=0,1000000000,IF(INDEX('calcA'!$D$60:$EQ$99,$B8,14)*IF($W8=1,DO8+AAD8,DO8)=1,IF(AND($E8=2,IF($W8=1,AFS8,JD8)=0),1000000000,IF($V8=1,INDEX('calcA'!$D$130:$EQ$169,$B8,14)+IF(AND($E8=1,JD8=0),25,0),IF($F8&gt;0,INDEX('calcA'!Q$110:Q$114,$F8+1)+IF(AND($E8=1,JD8=0),1000,0),MIN(TU8,20)*400+(IF('calcA'!P$106=1,1-DN8,0)+IF('calcA'!Q$106=1,1-DP8,0))*150+141+'calcA'!Q$5*100000+IF(AND($E8=1,JD8=0),50000,0))+IF($H8=1,INDEX('calcA'!$D$180:$EQ$219,$B8,14)*4000,0)-IF(AND('calcA'!P$117=1,UN8&gt;0),2000,0)-IF(AND($U8=1,'calcA'!Q$117=1,DP8=0),2000,0))),1000000000))</f>
        <v/>
      </c>
      <c r="OT8">
        <f>IF($B8=0,1000000000,IF(INDEX('calcA'!$D$60:$EQ$99,$B8,15)*IF($W8=1,DP8+AAE8,DP8)=1,IF(AND($E8=2,IF($W8=1,AFT8,JE8)=0),1000000000,IF($V8=1,INDEX('calcA'!$D$130:$EQ$169,$B8,15)+IF(AND($E8=1,JE8=0),25,0),IF($F8&gt;0,INDEX('calcA'!R$110:R$114,$F8+1)+IF(AND($E8=1,JE8=0),1000,0),MIN(TU8,20)*400+(IF('calcA'!Q$106=1,1-DO8,0)+IF('calcA'!R$106=1,1-DQ8,0))*150+151+'calcA'!R$5*100000+IF(AND($E8=1,JE8=0),50000,0))+IF($H8=1,INDEX('calcA'!$D$180:$EQ$219,$B8,15)*4000,0)-IF(AND('calcA'!Q$117=1,UO8&gt;0),2000,0)-IF(AND($U8=1,'calcA'!R$117=1,DQ8=0),2000,0))),1000000000))</f>
        <v/>
      </c>
      <c r="OU8">
        <f>IF($B8=0,1000000000,IF(INDEX('calcA'!$D$60:$EQ$99,$B8,16)*IF($W8=1,DQ8+AAF8,DQ8)=1,IF(AND($E8=2,IF($W8=1,AFU8,JF8)=0),1000000000,IF($V8=1,INDEX('calcA'!$D$130:$EQ$169,$B8,16)+IF(AND($E8=1,JF8=0),25,0),IF($F8&gt;0,INDEX('calcA'!S$110:S$114,$F8+1)+IF(AND($E8=1,JF8=0),1000,0),MIN(TU8,20)*400+(IF('calcA'!R$106=1,1-DP8,0)+IF('calcA'!S$106=1,1-DR8,0))*150+161+'calcA'!S$5*100000+IF(AND($E8=1,JF8=0),50000,0))+IF($H8=1,INDEX('calcA'!$D$180:$EQ$219,$B8,16)*4000,0)-IF(AND('calcA'!R$117=1,UP8&gt;0),2000,0)-IF(AND($U8=1,'calcA'!S$117=1,DR8=0),2000,0))),1000000000))</f>
        <v/>
      </c>
      <c r="OV8">
        <f>IF($B8=0,1000000000,IF(INDEX('calcA'!$D$60:$EQ$99,$B8,17)*IF($W8=1,DR8+AAG8,DR8)=1,IF(AND($E8=2,IF($W8=1,AFV8,JG8)=0),1000000000,IF($V8=1,INDEX('calcA'!$D$130:$EQ$169,$B8,17)+IF(AND($E8=1,JG8=0),25,0),IF($F8&gt;0,INDEX('calcA'!T$110:T$114,$F8+1)+IF(AND($E8=1,JG8=0),1000,0),MIN(TU8,20)*400+(IF('calcA'!S$106=1,1-DQ8,0)+IF('calcA'!T$106=1,1-DS8,0))*150+171+'calcA'!T$5*100000+IF(AND($E8=1,JG8=0),50000,0))+IF($H8=1,INDEX('calcA'!$D$180:$EQ$219,$B8,17)*4000,0)-IF(AND('calcA'!S$117=1,UQ8&gt;0),2000,0)-IF(AND($U8=1,'calcA'!T$117=1,DS8=0),2000,0))),1000000000))</f>
        <v/>
      </c>
      <c r="OW8">
        <f>IF($B8=0,1000000000,IF(INDEX('calcA'!$D$60:$EQ$99,$B8,18)*IF($W8=1,DS8+AAH8,DS8)=1,IF(AND($E8=2,IF($W8=1,AFW8,JH8)=0),1000000000,IF($V8=1,INDEX('calcA'!$D$130:$EQ$169,$B8,18)+IF(AND($E8=1,JH8=0),25,0),IF($F8&gt;0,INDEX('calcA'!U$110:U$114,$F8+1)+IF(AND($E8=1,JH8=0),1000,0),MIN(TU8,20)*400+(IF('calcA'!T$106=1,1-DR8,0)+IF('calcA'!U$106=1,1-DT8,0))*150+181+'calcA'!U$5*100000+IF(AND($E8=1,JH8=0),50000,0))+IF($H8=1,INDEX('calcA'!$D$180:$EQ$219,$B8,18)*4000,0)-IF(AND('calcA'!T$117=1,UR8&gt;0),2000,0)-IF(AND($U8=1,'calcA'!U$117=1,DT8=0),2000,0))),1000000000))</f>
        <v/>
      </c>
      <c r="OX8">
        <f>IF($B8=0,1000000000,IF(INDEX('calcA'!$D$60:$EQ$99,$B8,19)*IF($W8=1,DT8+AAI8,DT8)=1,IF(AND($E8=2,IF($W8=1,AFX8,JI8)=0),1000000000,IF($V8=1,INDEX('calcA'!$D$130:$EQ$169,$B8,19)+IF(AND($E8=1,JI8=0),25,0),IF($F8&gt;0,INDEX('calcA'!V$110:V$114,$F8+1)+IF(AND($E8=1,JI8=0),1000,0),MIN(TU8,20)*400+(IF('calcA'!U$106=1,1-DS8,0)+IF('calcA'!V$106=1,1-DU8,0))*150+191+'calcA'!V$5*100000+IF(AND($E8=1,JI8=0),50000,0))+IF($H8=1,INDEX('calcA'!$D$180:$EQ$219,$B8,19)*4000,0)-IF(AND('calcA'!U$117=1,US8&gt;0),2000,0)-IF(AND($U8=1,'calcA'!V$117=1,DU8=0),2000,0))),1000000000))</f>
        <v/>
      </c>
      <c r="OY8">
        <f>IF($B8=0,1000000000,IF(INDEX('calcA'!$D$60:$EQ$99,$B8,20)*IF($W8=1,DU8+AAJ8,DU8)=1,IF(AND($E8=2,IF($W8=1,AFY8,JJ8)=0),1000000000,IF($V8=1,INDEX('calcA'!$D$130:$EQ$169,$B8,20)+IF(AND($E8=1,JJ8=0),25,0),IF($F8&gt;0,INDEX('calcA'!W$110:W$114,$F8+1)+IF(AND($E8=1,JJ8=0),1000,0),MIN(TU8,20)*400+(IF('calcA'!V$106=1,1-DT8,0)+IF('calcA'!W$106=1,1-DV8,0))*150+201+'calcA'!W$5*100000+IF(AND($E8=1,JJ8=0),50000,0))+IF($H8=1,INDEX('calcA'!$D$180:$EQ$219,$B8,20)*4000,0)-IF(AND('calcA'!V$117=1,UT8&gt;0),2000,0)-IF(AND($U8=1,'calcA'!W$117=1,DV8=0),2000,0))),1000000000))</f>
        <v/>
      </c>
      <c r="OZ8">
        <f>IF($B8=0,1000000000,IF(INDEX('calcA'!$D$60:$EQ$99,$B8,21)*IF($W8=1,DV8+AAK8,DV8)=1,IF(AND($E8=2,IF($W8=1,AFZ8,JK8)=0),1000000000,IF($V8=1,INDEX('calcA'!$D$130:$EQ$169,$B8,21)+IF(AND($E8=1,JK8=0),25,0),IF($F8&gt;0,INDEX('calcA'!X$110:X$114,$F8+1)+IF(AND($E8=1,JK8=0),1000,0),MIN(TU8,20)*400+(IF('calcA'!W$106=1,1-DU8,0)+IF('calcA'!X$106=1,1-DW8,0))*150+211+'calcA'!X$5*100000+IF(AND($E8=1,JK8=0),50000,0))+IF($H8=1,INDEX('calcA'!$D$180:$EQ$219,$B8,21)*4000,0)-IF(AND('calcA'!W$117=1,UU8&gt;0),2000,0)-IF(AND($U8=1,'calcA'!X$117=1,DW8=0),2000,0))),1000000000))</f>
        <v/>
      </c>
      <c r="PA8">
        <f>IF($B8=0,1000000000,IF(INDEX('calcA'!$D$60:$EQ$99,$B8,22)*IF($W8=1,DW8+AAL8,DW8)=1,IF(AND($E8=2,IF($W8=1,AGA8,JL8)=0),1000000000,IF($V8=1,INDEX('calcA'!$D$130:$EQ$169,$B8,22)+IF(AND($E8=1,JL8=0),25,0),IF($F8&gt;0,INDEX('calcA'!Y$110:Y$114,$F8+1)+IF(AND($E8=1,JL8=0),1000,0),MIN(TU8,20)*400+(IF('calcA'!X$106=1,1-DV8,0)+IF('calcA'!Y$106=1,1-DX8,0))*150+221+'calcA'!Y$5*100000+IF(AND($E8=1,JL8=0),50000,0))+IF($H8=1,INDEX('calcA'!$D$180:$EQ$219,$B8,22)*4000,0)-IF(AND('calcA'!X$117=1,UV8&gt;0),2000,0)-IF(AND($U8=1,'calcA'!Y$117=1,DX8=0),2000,0))),1000000000))</f>
        <v/>
      </c>
      <c r="PB8">
        <f>IF($B8=0,1000000000,IF(INDEX('calcA'!$D$60:$EQ$99,$B8,23)*IF($W8=1,DX8+AAM8,DX8)=1,IF(AND($E8=2,IF($W8=1,AGB8,JM8)=0),1000000000,IF($V8=1,INDEX('calcA'!$D$130:$EQ$169,$B8,23)+IF(AND($E8=1,JM8=0),25,0),IF($F8&gt;0,INDEX('calcA'!Z$110:Z$114,$F8+1)+IF(AND($E8=1,JM8=0),1000,0),MIN(TU8,20)*400+(IF('calcA'!Y$106=1,1-DW8,0)+IF('calcA'!Z$106=1,1-DY8,0))*150+231+'calcA'!Z$5*100000+IF(AND($E8=1,JM8=0),50000,0))+IF($H8=1,INDEX('calcA'!$D$180:$EQ$219,$B8,23)*4000,0)-IF(AND('calcA'!Y$117=1,UW8&gt;0),2000,0)-IF(AND($U8=1,'calcA'!Z$117=1,DY8=0),2000,0))),1000000000))</f>
        <v/>
      </c>
      <c r="PC8">
        <f>IF($B8=0,1000000000,IF(INDEX('calcA'!$D$60:$EQ$99,$B8,24)*IF($W8=1,DY8+AAN8,DY8)=1,IF(AND($E8=2,IF($W8=1,AGC8,JN8)=0),1000000000,IF($V8=1,INDEX('calcA'!$D$130:$EQ$169,$B8,24)+IF(AND($E8=1,JN8=0),25,0),IF($F8&gt;0,INDEX('calcA'!AA$110:AA$114,$F8+1)+IF(AND($E8=1,JN8=0),1000,0),MIN(TU8,20)*400+(IF('calcA'!Z$106=1,1-DX8,0))*150+241+'calcA'!AA$5*100000+IF(AND($E8=1,JN8=0),50000,0))+IF($H8=1,INDEX('calcA'!$D$180:$EQ$219,$B8,24)*4000,0)-IF(AND('calcA'!Z$117=1,UX8&gt;0),2000,0))),1000000000))</f>
        <v/>
      </c>
      <c r="PD8">
        <f>IF($B8=0,1000000000,IF(INDEX('calcA'!$D$60:$EQ$99,$B8,25)*IF($W8=1,DZ8+AAO8,DZ8)=1,IF(AND($E8=2,IF($W8=1,AGD8,JO8)=0),1000000000,IF($V8=1,INDEX('calcA'!$D$130:$EQ$169,$B8,25)+IF(AND($E8=1,JO8=0),25,0),IF($F8&gt;0,INDEX('calcA'!AB$110:AB$114,$F8+1)+IF(AND($E8=1,JO8=0),1000,0),MIN(TV8,20)*400+(IF('calcA'!AB$106=1,1-EA8,0))*150+12+'calcA'!AB$5*100000+IF(AND($E8=1,JO8=0),50000,0))+IF($H8=1,INDEX('calcA'!$D$180:$EQ$219,$B8,25)*4000,0)-IF(AND($U8=1,'calcA'!AB$117=1,EA8=0),2000,0))),1000000000))</f>
        <v/>
      </c>
      <c r="PE8">
        <f>IF($B8=0,1000000000,IF(INDEX('calcA'!$D$60:$EQ$99,$B8,26)*IF($W8=1,EA8+AAP8,EA8)=1,IF(AND($E8=2,IF($W8=1,AGE8,JP8)=0),1000000000,IF($V8=1,INDEX('calcA'!$D$130:$EQ$169,$B8,26)+IF(AND($E8=1,JP8=0),25,0),IF($F8&gt;0,INDEX('calcA'!AC$110:AC$114,$F8+1)+IF(AND($E8=1,JP8=0),1000,0),MIN(TV8,20)*400+(IF('calcA'!AB$106=1,1-DZ8,0)+IF('calcA'!AC$106=1,1-EB8,0))*150+22+'calcA'!AC$5*100000+IF(AND($E8=1,JP8=0),50000,0))+IF($H8=1,INDEX('calcA'!$D$180:$EQ$219,$B8,26)*4000,0)-IF(AND('calcA'!AB$117=1,UZ8&gt;0),2000,0)-IF(AND($U8=1,'calcA'!AC$117=1,EB8=0),2000,0))),1000000000))</f>
        <v/>
      </c>
      <c r="PF8">
        <f>IF($B8=0,1000000000,IF(INDEX('calcA'!$D$60:$EQ$99,$B8,27)*IF($W8=1,EB8+AAQ8,EB8)=1,IF(AND($E8=2,IF($W8=1,AGF8,JQ8)=0),1000000000,IF($V8=1,INDEX('calcA'!$D$130:$EQ$169,$B8,27)+IF(AND($E8=1,JQ8=0),25,0),IF($F8&gt;0,INDEX('calcA'!AD$110:AD$114,$F8+1)+IF(AND($E8=1,JQ8=0),1000,0),MIN(TV8,20)*400+(IF('calcA'!AC$106=1,1-EA8,0)+IF('calcA'!AD$106=1,1-EC8,0))*150+32+'calcA'!AD$5*100000+IF(AND($E8=1,JQ8=0),50000,0))+IF($H8=1,INDEX('calcA'!$D$180:$EQ$219,$B8,27)*4000,0)-IF(AND('calcA'!AC$117=1,VA8&gt;0),2000,0)-IF(AND($U8=1,'calcA'!AD$117=1,EC8=0),2000,0))),1000000000))</f>
        <v/>
      </c>
      <c r="PG8">
        <f>IF($B8=0,1000000000,IF(INDEX('calcA'!$D$60:$EQ$99,$B8,28)*IF($W8=1,EC8+AAR8,EC8)=1,IF(AND($E8=2,IF($W8=1,AGG8,JR8)=0),1000000000,IF($V8=1,INDEX('calcA'!$D$130:$EQ$169,$B8,28)+IF(AND($E8=1,JR8=0),25,0),IF($F8&gt;0,INDEX('calcA'!AE$110:AE$114,$F8+1)+IF(AND($E8=1,JR8=0),1000,0),MIN(TV8,20)*400+(IF('calcA'!AD$106=1,1-EB8,0)+IF('calcA'!AE$106=1,1-ED8,0))*150+42+'calcA'!AE$5*100000+IF(AND($E8=1,JR8=0),50000,0))+IF($H8=1,INDEX('calcA'!$D$180:$EQ$219,$B8,28)*4000,0)-IF(AND('calcA'!AD$117=1,VB8&gt;0),2000,0)-IF(AND($U8=1,'calcA'!AE$117=1,ED8=0),2000,0))),1000000000))</f>
        <v/>
      </c>
      <c r="PH8">
        <f>IF($B8=0,1000000000,IF(INDEX('calcA'!$D$60:$EQ$99,$B8,29)*IF($W8=1,ED8+AAS8,ED8)=1,IF(AND($E8=2,IF($W8=1,AGH8,JS8)=0),1000000000,IF($V8=1,INDEX('calcA'!$D$130:$EQ$169,$B8,29)+IF(AND($E8=1,JS8=0),25,0),IF($F8&gt;0,INDEX('calcA'!AF$110:AF$114,$F8+1)+IF(AND($E8=1,JS8=0),1000,0),MIN(TV8,20)*400+(IF('calcA'!AE$106=1,1-EC8,0)+IF('calcA'!AF$106=1,1-EE8,0))*150+52+'calcA'!AF$5*100000+IF(AND($E8=1,JS8=0),50000,0))+IF($H8=1,INDEX('calcA'!$D$180:$EQ$219,$B8,29)*4000,0)-IF(AND('calcA'!AE$117=1,VC8&gt;0),2000,0)-IF(AND($U8=1,'calcA'!AF$117=1,EE8=0),2000,0))),1000000000))</f>
        <v/>
      </c>
      <c r="PI8">
        <f>IF($B8=0,1000000000,IF(INDEX('calcA'!$D$60:$EQ$99,$B8,30)*IF($W8=1,EE8+AAT8,EE8)=1,IF(AND($E8=2,IF($W8=1,AGI8,JT8)=0),1000000000,IF($V8=1,INDEX('calcA'!$D$130:$EQ$169,$B8,30)+IF(AND($E8=1,JT8=0),25,0),IF($F8&gt;0,INDEX('calcA'!AG$110:AG$114,$F8+1)+IF(AND($E8=1,JT8=0),1000,0),MIN(TV8,20)*400+(IF('calcA'!AF$106=1,1-ED8,0)+IF('calcA'!AG$106=1,1-EF8,0))*150+62+'calcA'!AG$5*100000+IF(AND($E8=1,JT8=0),50000,0))+IF($H8=1,INDEX('calcA'!$D$180:$EQ$219,$B8,30)*4000,0)-IF(AND('calcA'!AF$117=1,VD8&gt;0),2000,0)-IF(AND($U8=1,'calcA'!AG$117=1,EF8=0),2000,0))),1000000000))</f>
        <v/>
      </c>
      <c r="PJ8">
        <f>IF($B8=0,1000000000,IF(INDEX('calcA'!$D$60:$EQ$99,$B8,31)*IF($W8=1,EF8+AAU8,EF8)=1,IF(AND($E8=2,IF($W8=1,AGJ8,JU8)=0),1000000000,IF($V8=1,INDEX('calcA'!$D$130:$EQ$169,$B8,31)+IF(AND($E8=1,JU8=0),25,0),IF($F8&gt;0,INDEX('calcA'!AH$110:AH$114,$F8+1)+IF(AND($E8=1,JU8=0),1000,0),MIN(TV8,20)*400+(IF('calcA'!AG$106=1,1-EE8,0)+IF('calcA'!AH$106=1,1-EG8,0))*150+72+'calcA'!AH$5*100000+IF(AND($E8=1,JU8=0),50000,0))+IF($H8=1,INDEX('calcA'!$D$180:$EQ$219,$B8,31)*4000,0)-IF(AND('calcA'!AG$117=1,VE8&gt;0),2000,0)-IF(AND($U8=1,'calcA'!AH$117=1,EG8=0),2000,0))),1000000000))</f>
        <v/>
      </c>
      <c r="PK8">
        <f>IF($B8=0,1000000000,IF(INDEX('calcA'!$D$60:$EQ$99,$B8,32)*IF($W8=1,EG8+AAV8,EG8)=1,IF(AND($E8=2,IF($W8=1,AGK8,JV8)=0),1000000000,IF($V8=1,INDEX('calcA'!$D$130:$EQ$169,$B8,32)+IF(AND($E8=1,JV8=0),25,0),IF($F8&gt;0,INDEX('calcA'!AI$110:AI$114,$F8+1)+IF(AND($E8=1,JV8=0),1000,0),MIN(TV8,20)*400+(IF('calcA'!AH$106=1,1-EF8,0)+IF('calcA'!AI$106=1,1-EH8,0))*150+82+'calcA'!AI$5*100000+IF(AND($E8=1,JV8=0),50000,0))+IF($H8=1,INDEX('calcA'!$D$180:$EQ$219,$B8,32)*4000,0)-IF(AND('calcA'!AH$117=1,VF8&gt;0),2000,0)-IF(AND($U8=1,'calcA'!AI$117=1,EH8=0),2000,0))),1000000000))</f>
        <v/>
      </c>
      <c r="PL8">
        <f>IF($B8=0,1000000000,IF(INDEX('calcA'!$D$60:$EQ$99,$B8,33)*IF($W8=1,EH8+AAW8,EH8)=1,IF(AND($E8=2,IF($W8=1,AGL8,JW8)=0),1000000000,IF($V8=1,INDEX('calcA'!$D$130:$EQ$169,$B8,33)+IF(AND($E8=1,JW8=0),25,0),IF($F8&gt;0,INDEX('calcA'!AJ$110:AJ$114,$F8+1)+IF(AND($E8=1,JW8=0),1000,0),MIN(TV8,20)*400+(IF('calcA'!AI$106=1,1-EG8,0)+IF('calcA'!AJ$106=1,1-EI8,0))*150+92+'calcA'!AJ$5*100000+IF(AND($E8=1,JW8=0),50000,0))+IF($H8=1,INDEX('calcA'!$D$180:$EQ$219,$B8,33)*4000,0)-IF(AND('calcA'!AI$117=1,VG8&gt;0),2000,0)-IF(AND($U8=1,'calcA'!AJ$117=1,EI8=0),2000,0))),1000000000))</f>
        <v/>
      </c>
      <c r="PM8">
        <f>IF($B8=0,1000000000,IF(INDEX('calcA'!$D$60:$EQ$99,$B8,34)*IF($W8=1,EI8+AAX8,EI8)=1,IF(AND($E8=2,IF($W8=1,AGM8,JX8)=0),1000000000,IF($V8=1,INDEX('calcA'!$D$130:$EQ$169,$B8,34)+IF(AND($E8=1,JX8=0),25,0),IF($F8&gt;0,INDEX('calcA'!AK$110:AK$114,$F8+1)+IF(AND($E8=1,JX8=0),1000,0),MIN(TV8,20)*400+(IF('calcA'!AJ$106=1,1-EH8,0)+IF('calcA'!AK$106=1,1-EJ8,0))*150+102+'calcA'!AK$5*100000+IF(AND($E8=1,JX8=0),50000,0))+IF($H8=1,INDEX('calcA'!$D$180:$EQ$219,$B8,34)*4000,0)-IF(AND('calcA'!AJ$117=1,VH8&gt;0),2000,0)-IF(AND($U8=1,'calcA'!AK$117=1,EJ8=0),2000,0))),1000000000))</f>
        <v/>
      </c>
      <c r="PN8">
        <f>IF($B8=0,1000000000,IF(INDEX('calcA'!$D$60:$EQ$99,$B8,35)*IF($W8=1,EJ8+AAY8,EJ8)=1,IF(AND($E8=2,IF($W8=1,AGN8,JY8)=0),1000000000,IF($V8=1,INDEX('calcA'!$D$130:$EQ$169,$B8,35)+IF(AND($E8=1,JY8=0),25,0),IF($F8&gt;0,INDEX('calcA'!AL$110:AL$114,$F8+1)+IF(AND($E8=1,JY8=0),1000,0),MIN(TV8,20)*400+(IF('calcA'!AK$106=1,1-EI8,0)+IF('calcA'!AL$106=1,1-EK8,0))*150+112+'calcA'!AL$5*100000+IF(AND($E8=1,JY8=0),50000,0))+IF($H8=1,INDEX('calcA'!$D$180:$EQ$219,$B8,35)*4000,0)-IF(AND('calcA'!AK$117=1,VI8&gt;0),2000,0)-IF(AND($U8=1,'calcA'!AL$117=1,EK8=0),2000,0))),1000000000))</f>
        <v/>
      </c>
      <c r="PO8">
        <f>IF($B8=0,1000000000,IF(INDEX('calcA'!$D$60:$EQ$99,$B8,36)*IF($W8=1,EK8+AAZ8,EK8)=1,IF(AND($E8=2,IF($W8=1,AGO8,JZ8)=0),1000000000,IF($V8=1,INDEX('calcA'!$D$130:$EQ$169,$B8,36)+IF(AND($E8=1,JZ8=0),25,0),IF($F8&gt;0,INDEX('calcA'!AM$110:AM$114,$F8+1)+IF(AND($E8=1,JZ8=0),1000,0),MIN(TV8,20)*400+(IF('calcA'!AL$106=1,1-EJ8,0)+IF('calcA'!AM$106=1,1-EL8,0))*150+122+'calcA'!AM$5*100000+IF(AND($E8=1,JZ8=0),50000,0))+IF($H8=1,INDEX('calcA'!$D$180:$EQ$219,$B8,36)*4000,0)-IF(AND('calcA'!AL$117=1,VJ8&gt;0),2000,0)-IF(AND($U8=1,'calcA'!AM$117=1,EL8=0),2000,0))),1000000000))</f>
        <v/>
      </c>
      <c r="PP8">
        <f>IF($B8=0,1000000000,IF(INDEX('calcA'!$D$60:$EQ$99,$B8,37)*IF($W8=1,EL8+ABA8,EL8)=1,IF(AND($E8=2,IF($W8=1,AGP8,KA8)=0),1000000000,IF($V8=1,INDEX('calcA'!$D$130:$EQ$169,$B8,37)+IF(AND($E8=1,KA8=0),25,0),IF($F8&gt;0,INDEX('calcA'!AN$110:AN$114,$F8+1)+IF(AND($E8=1,KA8=0),1000,0),MIN(TV8,20)*400+(IF('calcA'!AM$106=1,1-EK8,0)+IF('calcA'!AN$106=1,1-EM8,0))*150+132+'calcA'!AN$5*100000+IF(AND($E8=1,KA8=0),50000,0))+IF($H8=1,INDEX('calcA'!$D$180:$EQ$219,$B8,37)*4000,0)-IF(AND('calcA'!AM$117=1,VK8&gt;0),2000,0)-IF(AND($U8=1,'calcA'!AN$117=1,EM8=0),2000,0))),1000000000))</f>
        <v/>
      </c>
      <c r="PQ8">
        <f>IF($B8=0,1000000000,IF(INDEX('calcA'!$D$60:$EQ$99,$B8,38)*IF($W8=1,EM8+ABB8,EM8)=1,IF(AND($E8=2,IF($W8=1,AGQ8,KB8)=0),1000000000,IF($V8=1,INDEX('calcA'!$D$130:$EQ$169,$B8,38)+IF(AND($E8=1,KB8=0),25,0),IF($F8&gt;0,INDEX('calcA'!AO$110:AO$114,$F8+1)+IF(AND($E8=1,KB8=0),1000,0),MIN(TV8,20)*400+(IF('calcA'!AN$106=1,1-EL8,0)+IF('calcA'!AO$106=1,1-EN8,0))*150+142+'calcA'!AO$5*100000+IF(AND($E8=1,KB8=0),50000,0))+IF($H8=1,INDEX('calcA'!$D$180:$EQ$219,$B8,38)*4000,0)-IF(AND('calcA'!AN$117=1,VL8&gt;0),2000,0)-IF(AND($U8=1,'calcA'!AO$117=1,EN8=0),2000,0))),1000000000))</f>
        <v/>
      </c>
      <c r="PR8">
        <f>IF($B8=0,1000000000,IF(INDEX('calcA'!$D$60:$EQ$99,$B8,39)*IF($W8=1,EN8+ABC8,EN8)=1,IF(AND($E8=2,IF($W8=1,AGR8,KC8)=0),1000000000,IF($V8=1,INDEX('calcA'!$D$130:$EQ$169,$B8,39)+IF(AND($E8=1,KC8=0),25,0),IF($F8&gt;0,INDEX('calcA'!AP$110:AP$114,$F8+1)+IF(AND($E8=1,KC8=0),1000,0),MIN(TV8,20)*400+(IF('calcA'!AO$106=1,1-EM8,0)+IF('calcA'!AP$106=1,1-EO8,0))*150+152+'calcA'!AP$5*100000+IF(AND($E8=1,KC8=0),50000,0))+IF($H8=1,INDEX('calcA'!$D$180:$EQ$219,$B8,39)*4000,0)-IF(AND('calcA'!AO$117=1,VM8&gt;0),2000,0)-IF(AND($U8=1,'calcA'!AP$117=1,EO8=0),2000,0))),1000000000))</f>
        <v/>
      </c>
      <c r="PS8">
        <f>IF($B8=0,1000000000,IF(INDEX('calcA'!$D$60:$EQ$99,$B8,40)*IF($W8=1,EO8+ABD8,EO8)=1,IF(AND($E8=2,IF($W8=1,AGS8,KD8)=0),1000000000,IF($V8=1,INDEX('calcA'!$D$130:$EQ$169,$B8,40)+IF(AND($E8=1,KD8=0),25,0),IF($F8&gt;0,INDEX('calcA'!AQ$110:AQ$114,$F8+1)+IF(AND($E8=1,KD8=0),1000,0),MIN(TV8,20)*400+(IF('calcA'!AP$106=1,1-EN8,0)+IF('calcA'!AQ$106=1,1-EP8,0))*150+162+'calcA'!AQ$5*100000+IF(AND($E8=1,KD8=0),50000,0))+IF($H8=1,INDEX('calcA'!$D$180:$EQ$219,$B8,40)*4000,0)-IF(AND('calcA'!AP$117=1,VN8&gt;0),2000,0)-IF(AND($U8=1,'calcA'!AQ$117=1,EP8=0),2000,0))),1000000000))</f>
        <v/>
      </c>
      <c r="PT8">
        <f>IF($B8=0,1000000000,IF(INDEX('calcA'!$D$60:$EQ$99,$B8,41)*IF($W8=1,EP8+ABE8,EP8)=1,IF(AND($E8=2,IF($W8=1,AGT8,KE8)=0),1000000000,IF($V8=1,INDEX('calcA'!$D$130:$EQ$169,$B8,41)+IF(AND($E8=1,KE8=0),25,0),IF($F8&gt;0,INDEX('calcA'!AR$110:AR$114,$F8+1)+IF(AND($E8=1,KE8=0),1000,0),MIN(TV8,20)*400+(IF('calcA'!AQ$106=1,1-EO8,0)+IF('calcA'!AR$106=1,1-EQ8,0))*150+172+'calcA'!AR$5*100000+IF(AND($E8=1,KE8=0),50000,0))+IF($H8=1,INDEX('calcA'!$D$180:$EQ$219,$B8,41)*4000,0)-IF(AND('calcA'!AQ$117=1,VO8&gt;0),2000,0)-IF(AND($U8=1,'calcA'!AR$117=1,EQ8=0),2000,0))),1000000000))</f>
        <v/>
      </c>
      <c r="PU8">
        <f>IF($B8=0,1000000000,IF(INDEX('calcA'!$D$60:$EQ$99,$B8,42)*IF($W8=1,EQ8+ABF8,EQ8)=1,IF(AND($E8=2,IF($W8=1,AGU8,KF8)=0),1000000000,IF($V8=1,INDEX('calcA'!$D$130:$EQ$169,$B8,42)+IF(AND($E8=1,KF8=0),25,0),IF($F8&gt;0,INDEX('calcA'!AS$110:AS$114,$F8+1)+IF(AND($E8=1,KF8=0),1000,0),MIN(TV8,20)*400+(IF('calcA'!AR$106=1,1-EP8,0)+IF('calcA'!AS$106=1,1-ER8,0))*150+182+'calcA'!AS$5*100000+IF(AND($E8=1,KF8=0),50000,0))+IF($H8=1,INDEX('calcA'!$D$180:$EQ$219,$B8,42)*4000,0)-IF(AND('calcA'!AR$117=1,VP8&gt;0),2000,0)-IF(AND($U8=1,'calcA'!AS$117=1,ER8=0),2000,0))),1000000000))</f>
        <v/>
      </c>
      <c r="PV8">
        <f>IF($B8=0,1000000000,IF(INDEX('calcA'!$D$60:$EQ$99,$B8,43)*IF($W8=1,ER8+ABG8,ER8)=1,IF(AND($E8=2,IF($W8=1,AGV8,KG8)=0),1000000000,IF($V8=1,INDEX('calcA'!$D$130:$EQ$169,$B8,43)+IF(AND($E8=1,KG8=0),25,0),IF($F8&gt;0,INDEX('calcA'!AT$110:AT$114,$F8+1)+IF(AND($E8=1,KG8=0),1000,0),MIN(TV8,20)*400+(IF('calcA'!AS$106=1,1-EQ8,0)+IF('calcA'!AT$106=1,1-ES8,0))*150+192+'calcA'!AT$5*100000+IF(AND($E8=1,KG8=0),50000,0))+IF($H8=1,INDEX('calcA'!$D$180:$EQ$219,$B8,43)*4000,0)-IF(AND('calcA'!AS$117=1,VQ8&gt;0),2000,0)-IF(AND($U8=1,'calcA'!AT$117=1,ES8=0),2000,0))),1000000000))</f>
        <v/>
      </c>
      <c r="PW8">
        <f>IF($B8=0,1000000000,IF(INDEX('calcA'!$D$60:$EQ$99,$B8,44)*IF($W8=1,ES8+ABH8,ES8)=1,IF(AND($E8=2,IF($W8=1,AGW8,KH8)=0),1000000000,IF($V8=1,INDEX('calcA'!$D$130:$EQ$169,$B8,44)+IF(AND($E8=1,KH8=0),25,0),IF($F8&gt;0,INDEX('calcA'!AU$110:AU$114,$F8+1)+IF(AND($E8=1,KH8=0),1000,0),MIN(TV8,20)*400+(IF('calcA'!AT$106=1,1-ER8,0)+IF('calcA'!AU$106=1,1-ET8,0))*150+202+'calcA'!AU$5*100000+IF(AND($E8=1,KH8=0),50000,0))+IF($H8=1,INDEX('calcA'!$D$180:$EQ$219,$B8,44)*4000,0)-IF(AND('calcA'!AT$117=1,VR8&gt;0),2000,0)-IF(AND($U8=1,'calcA'!AU$117=1,ET8=0),2000,0))),1000000000))</f>
        <v/>
      </c>
      <c r="PX8">
        <f>IF($B8=0,1000000000,IF(INDEX('calcA'!$D$60:$EQ$99,$B8,45)*IF($W8=1,ET8+ABI8,ET8)=1,IF(AND($E8=2,IF($W8=1,AGX8,KI8)=0),1000000000,IF($V8=1,INDEX('calcA'!$D$130:$EQ$169,$B8,45)+IF(AND($E8=1,KI8=0),25,0),IF($F8&gt;0,INDEX('calcA'!AV$110:AV$114,$F8+1)+IF(AND($E8=1,KI8=0),1000,0),MIN(TV8,20)*400+(IF('calcA'!AU$106=1,1-ES8,0)+IF('calcA'!AV$106=1,1-EU8,0))*150+212+'calcA'!AV$5*100000+IF(AND($E8=1,KI8=0),50000,0))+IF($H8=1,INDEX('calcA'!$D$180:$EQ$219,$B8,45)*4000,0)-IF(AND('calcA'!AU$117=1,VS8&gt;0),2000,0)-IF(AND($U8=1,'calcA'!AV$117=1,EU8=0),2000,0))),1000000000))</f>
        <v/>
      </c>
      <c r="PY8">
        <f>IF($B8=0,1000000000,IF(INDEX('calcA'!$D$60:$EQ$99,$B8,46)*IF($W8=1,EU8+ABJ8,EU8)=1,IF(AND($E8=2,IF($W8=1,AGY8,KJ8)=0),1000000000,IF($V8=1,INDEX('calcA'!$D$130:$EQ$169,$B8,46)+IF(AND($E8=1,KJ8=0),25,0),IF($F8&gt;0,INDEX('calcA'!AW$110:AW$114,$F8+1)+IF(AND($E8=1,KJ8=0),1000,0),MIN(TV8,20)*400+(IF('calcA'!AV$106=1,1-ET8,0)+IF('calcA'!AW$106=1,1-EV8,0))*150+222+'calcA'!AW$5*100000+IF(AND($E8=1,KJ8=0),50000,0))+IF($H8=1,INDEX('calcA'!$D$180:$EQ$219,$B8,46)*4000,0)-IF(AND('calcA'!AV$117=1,VT8&gt;0),2000,0)-IF(AND($U8=1,'calcA'!AW$117=1,EV8=0),2000,0))),1000000000))</f>
        <v/>
      </c>
      <c r="PZ8">
        <f>IF($B8=0,1000000000,IF(INDEX('calcA'!$D$60:$EQ$99,$B8,47)*IF($W8=1,EV8+ABK8,EV8)=1,IF(AND($E8=2,IF($W8=1,AGZ8,KK8)=0),1000000000,IF($V8=1,INDEX('calcA'!$D$130:$EQ$169,$B8,47)+IF(AND($E8=1,KK8=0),25,0),IF($F8&gt;0,INDEX('calcA'!AX$110:AX$114,$F8+1)+IF(AND($E8=1,KK8=0),1000,0),MIN(TV8,20)*400+(IF('calcA'!AW$106=1,1-EU8,0)+IF('calcA'!AX$106=1,1-EW8,0))*150+232+'calcA'!AX$5*100000+IF(AND($E8=1,KK8=0),50000,0))+IF($H8=1,INDEX('calcA'!$D$180:$EQ$219,$B8,47)*4000,0)-IF(AND('calcA'!AW$117=1,VU8&gt;0),2000,0)-IF(AND($U8=1,'calcA'!AX$117=1,EW8=0),2000,0))),1000000000))</f>
        <v/>
      </c>
      <c r="QA8">
        <f>IF($B8=0,1000000000,IF(INDEX('calcA'!$D$60:$EQ$99,$B8,48)*IF($W8=1,EW8+ABL8,EW8)=1,IF(AND($E8=2,IF($W8=1,AHA8,KL8)=0),1000000000,IF($V8=1,INDEX('calcA'!$D$130:$EQ$169,$B8,48)+IF(AND($E8=1,KL8=0),25,0),IF($F8&gt;0,INDEX('calcA'!AY$110:AY$114,$F8+1)+IF(AND($E8=1,KL8=0),1000,0),MIN(TV8,20)*400+(IF('calcA'!AX$106=1,1-EV8,0))*150+242+'calcA'!AY$5*100000+IF(AND($E8=1,KL8=0),50000,0))+IF($H8=1,INDEX('calcA'!$D$180:$EQ$219,$B8,48)*4000,0)-IF(AND('calcA'!AX$117=1,VV8&gt;0),2000,0))),1000000000))</f>
        <v/>
      </c>
      <c r="QB8">
        <f>IF($B8=0,1000000000,IF(INDEX('calcA'!$D$60:$EQ$99,$B8,49)*IF($W8=1,EX8+ABM8,EX8)=1,IF(AND($E8=2,IF($W8=1,AHB8,KM8)=0),1000000000,IF($V8=1,INDEX('calcA'!$D$130:$EQ$169,$B8,49)+IF(AND($E8=1,KM8=0),25,0),IF($F8&gt;0,INDEX('calcA'!AZ$110:AZ$114,$F8+1)+IF(AND($E8=1,KM8=0),1000,0),MIN(TW8,20)*400+(IF('calcA'!AZ$106=1,1-EY8,0))*150+13+'calcA'!AZ$5*100000+IF(AND($E8=1,KM8=0),50000,0))+IF($H8=1,INDEX('calcA'!$D$180:$EQ$219,$B8,49)*4000,0)-IF(AND($U8=1,'calcA'!AZ$117=1,EY8=0),2000,0))),1000000000))</f>
        <v/>
      </c>
      <c r="QC8">
        <f>IF($B8=0,1000000000,IF(INDEX('calcA'!$D$60:$EQ$99,$B8,50)*IF($W8=1,EY8+ABN8,EY8)=1,IF(AND($E8=2,IF($W8=1,AHC8,KN8)=0),1000000000,IF($V8=1,INDEX('calcA'!$D$130:$EQ$169,$B8,50)+IF(AND($E8=1,KN8=0),25,0),IF($F8&gt;0,INDEX('calcA'!BA$110:BA$114,$F8+1)+IF(AND($E8=1,KN8=0),1000,0),MIN(TW8,20)*400+(IF('calcA'!AZ$106=1,1-EX8,0)+IF('calcA'!BA$106=1,1-EZ8,0))*150+23+'calcA'!BA$5*100000+IF(AND($E8=1,KN8=0),50000,0))+IF($H8=1,INDEX('calcA'!$D$180:$EQ$219,$B8,50)*4000,0)-IF(AND('calcA'!AZ$117=1,VX8&gt;0),2000,0)-IF(AND($U8=1,'calcA'!BA$117=1,EZ8=0),2000,0))),1000000000))</f>
        <v/>
      </c>
      <c r="QD8">
        <f>IF($B8=0,1000000000,IF(INDEX('calcA'!$D$60:$EQ$99,$B8,51)*IF($W8=1,EZ8+ABO8,EZ8)=1,IF(AND($E8=2,IF($W8=1,AHD8,KO8)=0),1000000000,IF($V8=1,INDEX('calcA'!$D$130:$EQ$169,$B8,51)+IF(AND($E8=1,KO8=0),25,0),IF($F8&gt;0,INDEX('calcA'!BB$110:BB$114,$F8+1)+IF(AND($E8=1,KO8=0),1000,0),MIN(TW8,20)*400+(IF('calcA'!BA$106=1,1-EY8,0)+IF('calcA'!BB$106=1,1-FA8,0))*150+33+'calcA'!BB$5*100000+IF(AND($E8=1,KO8=0),50000,0))+IF($H8=1,INDEX('calcA'!$D$180:$EQ$219,$B8,51)*4000,0)-IF(AND('calcA'!BA$117=1,VY8&gt;0),2000,0)-IF(AND($U8=1,'calcA'!BB$117=1,FA8=0),2000,0))),1000000000))</f>
        <v/>
      </c>
      <c r="QE8">
        <f>IF($B8=0,1000000000,IF(INDEX('calcA'!$D$60:$EQ$99,$B8,52)*IF($W8=1,FA8+ABP8,FA8)=1,IF(AND($E8=2,IF($W8=1,AHE8,KP8)=0),1000000000,IF($V8=1,INDEX('calcA'!$D$130:$EQ$169,$B8,52)+IF(AND($E8=1,KP8=0),25,0),IF($F8&gt;0,INDEX('calcA'!BC$110:BC$114,$F8+1)+IF(AND($E8=1,KP8=0),1000,0),MIN(TW8,20)*400+(IF('calcA'!BB$106=1,1-EZ8,0)+IF('calcA'!BC$106=1,1-FB8,0))*150+43+'calcA'!BC$5*100000+IF(AND($E8=1,KP8=0),50000,0))+IF($H8=1,INDEX('calcA'!$D$180:$EQ$219,$B8,52)*4000,0)-IF(AND('calcA'!BB$117=1,VZ8&gt;0),2000,0)-IF(AND($U8=1,'calcA'!BC$117=1,FB8=0),2000,0))),1000000000))</f>
        <v/>
      </c>
      <c r="QF8">
        <f>IF($B8=0,1000000000,IF(INDEX('calcA'!$D$60:$EQ$99,$B8,53)*IF($W8=1,FB8+ABQ8,FB8)=1,IF(AND($E8=2,IF($W8=1,AHF8,KQ8)=0),1000000000,IF($V8=1,INDEX('calcA'!$D$130:$EQ$169,$B8,53)+IF(AND($E8=1,KQ8=0),25,0),IF($F8&gt;0,INDEX('calcA'!BD$110:BD$114,$F8+1)+IF(AND($E8=1,KQ8=0),1000,0),MIN(TW8,20)*400+(IF('calcA'!BC$106=1,1-FA8,0)+IF('calcA'!BD$106=1,1-FC8,0))*150+53+'calcA'!BD$5*100000+IF(AND($E8=1,KQ8=0),50000,0))+IF($H8=1,INDEX('calcA'!$D$180:$EQ$219,$B8,53)*4000,0)-IF(AND('calcA'!BC$117=1,WA8&gt;0),2000,0)-IF(AND($U8=1,'calcA'!BD$117=1,FC8=0),2000,0))),1000000000))</f>
        <v/>
      </c>
      <c r="QG8">
        <f>IF($B8=0,1000000000,IF(INDEX('calcA'!$D$60:$EQ$99,$B8,54)*IF($W8=1,FC8+ABR8,FC8)=1,IF(AND($E8=2,IF($W8=1,AHG8,KR8)=0),1000000000,IF($V8=1,INDEX('calcA'!$D$130:$EQ$169,$B8,54)+IF(AND($E8=1,KR8=0),25,0),IF($F8&gt;0,INDEX('calcA'!BE$110:BE$114,$F8+1)+IF(AND($E8=1,KR8=0),1000,0),MIN(TW8,20)*400+(IF('calcA'!BD$106=1,1-FB8,0)+IF('calcA'!BE$106=1,1-FD8,0))*150+63+'calcA'!BE$5*100000+IF(AND($E8=1,KR8=0),50000,0))+IF($H8=1,INDEX('calcA'!$D$180:$EQ$219,$B8,54)*4000,0)-IF(AND('calcA'!BD$117=1,WB8&gt;0),2000,0)-IF(AND($U8=1,'calcA'!BE$117=1,FD8=0),2000,0))),1000000000))</f>
        <v/>
      </c>
      <c r="QH8">
        <f>IF($B8=0,1000000000,IF(INDEX('calcA'!$D$60:$EQ$99,$B8,55)*IF($W8=1,FD8+ABS8,FD8)=1,IF(AND($E8=2,IF($W8=1,AHH8,KS8)=0),1000000000,IF($V8=1,INDEX('calcA'!$D$130:$EQ$169,$B8,55)+IF(AND($E8=1,KS8=0),25,0),IF($F8&gt;0,INDEX('calcA'!BF$110:BF$114,$F8+1)+IF(AND($E8=1,KS8=0),1000,0),MIN(TW8,20)*400+(IF('calcA'!BE$106=1,1-FC8,0)+IF('calcA'!BF$106=1,1-FE8,0))*150+73+'calcA'!BF$5*100000+IF(AND($E8=1,KS8=0),50000,0))+IF($H8=1,INDEX('calcA'!$D$180:$EQ$219,$B8,55)*4000,0)-IF(AND('calcA'!BE$117=1,WC8&gt;0),2000,0)-IF(AND($U8=1,'calcA'!BF$117=1,FE8=0),2000,0))),1000000000))</f>
        <v/>
      </c>
      <c r="QI8">
        <f>IF($B8=0,1000000000,IF(INDEX('calcA'!$D$60:$EQ$99,$B8,56)*IF($W8=1,FE8+ABT8,FE8)=1,IF(AND($E8=2,IF($W8=1,AHI8,KT8)=0),1000000000,IF($V8=1,INDEX('calcA'!$D$130:$EQ$169,$B8,56)+IF(AND($E8=1,KT8=0),25,0),IF($F8&gt;0,INDEX('calcA'!BG$110:BG$114,$F8+1)+IF(AND($E8=1,KT8=0),1000,0),MIN(TW8,20)*400+(IF('calcA'!BF$106=1,1-FD8,0)+IF('calcA'!BG$106=1,1-FF8,0))*150+83+'calcA'!BG$5*100000+IF(AND($E8=1,KT8=0),50000,0))+IF($H8=1,INDEX('calcA'!$D$180:$EQ$219,$B8,56)*4000,0)-IF(AND('calcA'!BF$117=1,WD8&gt;0),2000,0)-IF(AND($U8=1,'calcA'!BG$117=1,FF8=0),2000,0))),1000000000))</f>
        <v/>
      </c>
      <c r="QJ8">
        <f>IF($B8=0,1000000000,IF(INDEX('calcA'!$D$60:$EQ$99,$B8,57)*IF($W8=1,FF8+ABU8,FF8)=1,IF(AND($E8=2,IF($W8=1,AHJ8,KU8)=0),1000000000,IF($V8=1,INDEX('calcA'!$D$130:$EQ$169,$B8,57)+IF(AND($E8=1,KU8=0),25,0),IF($F8&gt;0,INDEX('calcA'!BH$110:BH$114,$F8+1)+IF(AND($E8=1,KU8=0),1000,0),MIN(TW8,20)*400+(IF('calcA'!BG$106=1,1-FE8,0)+IF('calcA'!BH$106=1,1-FG8,0))*150+93+'calcA'!BH$5*100000+IF(AND($E8=1,KU8=0),50000,0))+IF($H8=1,INDEX('calcA'!$D$180:$EQ$219,$B8,57)*4000,0)-IF(AND('calcA'!BG$117=1,WE8&gt;0),2000,0)-IF(AND($U8=1,'calcA'!BH$117=1,FG8=0),2000,0))),1000000000))</f>
        <v/>
      </c>
      <c r="QK8">
        <f>IF($B8=0,1000000000,IF(INDEX('calcA'!$D$60:$EQ$99,$B8,58)*IF($W8=1,FG8+ABV8,FG8)=1,IF(AND($E8=2,IF($W8=1,AHK8,KV8)=0),1000000000,IF($V8=1,INDEX('calcA'!$D$130:$EQ$169,$B8,58)+IF(AND($E8=1,KV8=0),25,0),IF($F8&gt;0,INDEX('calcA'!BI$110:BI$114,$F8+1)+IF(AND($E8=1,KV8=0),1000,0),MIN(TW8,20)*400+(IF('calcA'!BH$106=1,1-FF8,0)+IF('calcA'!BI$106=1,1-FH8,0))*150+103+'calcA'!BI$5*100000+IF(AND($E8=1,KV8=0),50000,0))+IF($H8=1,INDEX('calcA'!$D$180:$EQ$219,$B8,58)*4000,0)-IF(AND('calcA'!BH$117=1,WF8&gt;0),2000,0)-IF(AND($U8=1,'calcA'!BI$117=1,FH8=0),2000,0))),1000000000))</f>
        <v/>
      </c>
      <c r="QL8">
        <f>IF($B8=0,1000000000,IF(INDEX('calcA'!$D$60:$EQ$99,$B8,59)*IF($W8=1,FH8+ABW8,FH8)=1,IF(AND($E8=2,IF($W8=1,AHL8,KW8)=0),1000000000,IF($V8=1,INDEX('calcA'!$D$130:$EQ$169,$B8,59)+IF(AND($E8=1,KW8=0),25,0),IF($F8&gt;0,INDEX('calcA'!BJ$110:BJ$114,$F8+1)+IF(AND($E8=1,KW8=0),1000,0),MIN(TW8,20)*400+(IF('calcA'!BI$106=1,1-FG8,0)+IF('calcA'!BJ$106=1,1-FI8,0))*150+113+'calcA'!BJ$5*100000+IF(AND($E8=1,KW8=0),50000,0))+IF($H8=1,INDEX('calcA'!$D$180:$EQ$219,$B8,59)*4000,0)-IF(AND('calcA'!BI$117=1,WG8&gt;0),2000,0)-IF(AND($U8=1,'calcA'!BJ$117=1,FI8=0),2000,0))),1000000000))</f>
        <v/>
      </c>
      <c r="QM8">
        <f>IF($B8=0,1000000000,IF(INDEX('calcA'!$D$60:$EQ$99,$B8,60)*IF($W8=1,FI8+ABX8,FI8)=1,IF(AND($E8=2,IF($W8=1,AHM8,KX8)=0),1000000000,IF($V8=1,INDEX('calcA'!$D$130:$EQ$169,$B8,60)+IF(AND($E8=1,KX8=0),25,0),IF($F8&gt;0,INDEX('calcA'!BK$110:BK$114,$F8+1)+IF(AND($E8=1,KX8=0),1000,0),MIN(TW8,20)*400+(IF('calcA'!BJ$106=1,1-FH8,0)+IF('calcA'!BK$106=1,1-FJ8,0))*150+123+'calcA'!BK$5*100000+IF(AND($E8=1,KX8=0),50000,0))+IF($H8=1,INDEX('calcA'!$D$180:$EQ$219,$B8,60)*4000,0)-IF(AND('calcA'!BJ$117=1,WH8&gt;0),2000,0)-IF(AND($U8=1,'calcA'!BK$117=1,FJ8=0),2000,0))),1000000000))</f>
        <v/>
      </c>
      <c r="QN8">
        <f>IF($B8=0,1000000000,IF(INDEX('calcA'!$D$60:$EQ$99,$B8,61)*IF($W8=1,FJ8+ABY8,FJ8)=1,IF(AND($E8=2,IF($W8=1,AHN8,KY8)=0),1000000000,IF($V8=1,INDEX('calcA'!$D$130:$EQ$169,$B8,61)+IF(AND($E8=1,KY8=0),25,0),IF($F8&gt;0,INDEX('calcA'!BL$110:BL$114,$F8+1)+IF(AND($E8=1,KY8=0),1000,0),MIN(TW8,20)*400+(IF('calcA'!BK$106=1,1-FI8,0)+IF('calcA'!BL$106=1,1-FK8,0))*150+133+'calcA'!BL$5*100000+IF(AND($E8=1,KY8=0),50000,0))+IF($H8=1,INDEX('calcA'!$D$180:$EQ$219,$B8,61)*4000,0)-IF(AND('calcA'!BK$117=1,WI8&gt;0),2000,0)-IF(AND($U8=1,'calcA'!BL$117=1,FK8=0),2000,0))),1000000000))</f>
        <v/>
      </c>
      <c r="QO8">
        <f>IF($B8=0,1000000000,IF(INDEX('calcA'!$D$60:$EQ$99,$B8,62)*IF($W8=1,FK8+ABZ8,FK8)=1,IF(AND($E8=2,IF($W8=1,AHO8,KZ8)=0),1000000000,IF($V8=1,INDEX('calcA'!$D$130:$EQ$169,$B8,62)+IF(AND($E8=1,KZ8=0),25,0),IF($F8&gt;0,INDEX('calcA'!BM$110:BM$114,$F8+1)+IF(AND($E8=1,KZ8=0),1000,0),MIN(TW8,20)*400+(IF('calcA'!BL$106=1,1-FJ8,0)+IF('calcA'!BM$106=1,1-FL8,0))*150+143+'calcA'!BM$5*100000+IF(AND($E8=1,KZ8=0),50000,0))+IF($H8=1,INDEX('calcA'!$D$180:$EQ$219,$B8,62)*4000,0)-IF(AND('calcA'!BL$117=1,WJ8&gt;0),2000,0)-IF(AND($U8=1,'calcA'!BM$117=1,FL8=0),2000,0))),1000000000))</f>
        <v/>
      </c>
      <c r="QP8">
        <f>IF($B8=0,1000000000,IF(INDEX('calcA'!$D$60:$EQ$99,$B8,63)*IF($W8=1,FL8+ACA8,FL8)=1,IF(AND($E8=2,IF($W8=1,AHP8,LA8)=0),1000000000,IF($V8=1,INDEX('calcA'!$D$130:$EQ$169,$B8,63)+IF(AND($E8=1,LA8=0),25,0),IF($F8&gt;0,INDEX('calcA'!BN$110:BN$114,$F8+1)+IF(AND($E8=1,LA8=0),1000,0),MIN(TW8,20)*400+(IF('calcA'!BM$106=1,1-FK8,0)+IF('calcA'!BN$106=1,1-FM8,0))*150+153+'calcA'!BN$5*100000+IF(AND($E8=1,LA8=0),50000,0))+IF($H8=1,INDEX('calcA'!$D$180:$EQ$219,$B8,63)*4000,0)-IF(AND('calcA'!BM$117=1,WK8&gt;0),2000,0)-IF(AND($U8=1,'calcA'!BN$117=1,FM8=0),2000,0))),1000000000))</f>
        <v/>
      </c>
      <c r="QQ8">
        <f>IF($B8=0,1000000000,IF(INDEX('calcA'!$D$60:$EQ$99,$B8,64)*IF($W8=1,FM8+ACB8,FM8)=1,IF(AND($E8=2,IF($W8=1,AHQ8,LB8)=0),1000000000,IF($V8=1,INDEX('calcA'!$D$130:$EQ$169,$B8,64)+IF(AND($E8=1,LB8=0),25,0),IF($F8&gt;0,INDEX('calcA'!BO$110:BO$114,$F8+1)+IF(AND($E8=1,LB8=0),1000,0),MIN(TW8,20)*400+(IF('calcA'!BN$106=1,1-FL8,0)+IF('calcA'!BO$106=1,1-FN8,0))*150+163+'calcA'!BO$5*100000+IF(AND($E8=1,LB8=0),50000,0))+IF($H8=1,INDEX('calcA'!$D$180:$EQ$219,$B8,64)*4000,0)-IF(AND('calcA'!BN$117=1,WL8&gt;0),2000,0)-IF(AND($U8=1,'calcA'!BO$117=1,FN8=0),2000,0))),1000000000))</f>
        <v/>
      </c>
      <c r="QR8">
        <f>IF($B8=0,1000000000,IF(INDEX('calcA'!$D$60:$EQ$99,$B8,65)*IF($W8=1,FN8+ACC8,FN8)=1,IF(AND($E8=2,IF($W8=1,AHR8,LC8)=0),1000000000,IF($V8=1,INDEX('calcA'!$D$130:$EQ$169,$B8,65)+IF(AND($E8=1,LC8=0),25,0),IF($F8&gt;0,INDEX('calcA'!BP$110:BP$114,$F8+1)+IF(AND($E8=1,LC8=0),1000,0),MIN(TW8,20)*400+(IF('calcA'!BO$106=1,1-FM8,0)+IF('calcA'!BP$106=1,1-FO8,0))*150+173+'calcA'!BP$5*100000+IF(AND($E8=1,LC8=0),50000,0))+IF($H8=1,INDEX('calcA'!$D$180:$EQ$219,$B8,65)*4000,0)-IF(AND('calcA'!BO$117=1,WM8&gt;0),2000,0)-IF(AND($U8=1,'calcA'!BP$117=1,FO8=0),2000,0))),1000000000))</f>
        <v/>
      </c>
      <c r="QS8">
        <f>IF($B8=0,1000000000,IF(INDEX('calcA'!$D$60:$EQ$99,$B8,66)*IF($W8=1,FO8+ACD8,FO8)=1,IF(AND($E8=2,IF($W8=1,AHS8,LD8)=0),1000000000,IF($V8=1,INDEX('calcA'!$D$130:$EQ$169,$B8,66)+IF(AND($E8=1,LD8=0),25,0),IF($F8&gt;0,INDEX('calcA'!BQ$110:BQ$114,$F8+1)+IF(AND($E8=1,LD8=0),1000,0),MIN(TW8,20)*400+(IF('calcA'!BP$106=1,1-FN8,0)+IF('calcA'!BQ$106=1,1-FP8,0))*150+183+'calcA'!BQ$5*100000+IF(AND($E8=1,LD8=0),50000,0))+IF($H8=1,INDEX('calcA'!$D$180:$EQ$219,$B8,66)*4000,0)-IF(AND('calcA'!BP$117=1,WN8&gt;0),2000,0)-IF(AND($U8=1,'calcA'!BQ$117=1,FP8=0),2000,0))),1000000000))</f>
        <v/>
      </c>
      <c r="QT8">
        <f>IF($B8=0,1000000000,IF(INDEX('calcA'!$D$60:$EQ$99,$B8,67)*IF($W8=1,FP8+ACE8,FP8)=1,IF(AND($E8=2,IF($W8=1,AHT8,LE8)=0),1000000000,IF($V8=1,INDEX('calcA'!$D$130:$EQ$169,$B8,67)+IF(AND($E8=1,LE8=0),25,0),IF($F8&gt;0,INDEX('calcA'!BR$110:BR$114,$F8+1)+IF(AND($E8=1,LE8=0),1000,0),MIN(TW8,20)*400+(IF('calcA'!BQ$106=1,1-FO8,0)+IF('calcA'!BR$106=1,1-FQ8,0))*150+193+'calcA'!BR$5*100000+IF(AND($E8=1,LE8=0),50000,0))+IF($H8=1,INDEX('calcA'!$D$180:$EQ$219,$B8,67)*4000,0)-IF(AND('calcA'!BQ$117=1,WO8&gt;0),2000,0)-IF(AND($U8=1,'calcA'!BR$117=1,FQ8=0),2000,0))),1000000000))</f>
        <v/>
      </c>
      <c r="QU8">
        <f>IF($B8=0,1000000000,IF(INDEX('calcA'!$D$60:$EQ$99,$B8,68)*IF($W8=1,FQ8+ACF8,FQ8)=1,IF(AND($E8=2,IF($W8=1,AHU8,LF8)=0),1000000000,IF($V8=1,INDEX('calcA'!$D$130:$EQ$169,$B8,68)+IF(AND($E8=1,LF8=0),25,0),IF($F8&gt;0,INDEX('calcA'!BS$110:BS$114,$F8+1)+IF(AND($E8=1,LF8=0),1000,0),MIN(TW8,20)*400+(IF('calcA'!BR$106=1,1-FP8,0)+IF('calcA'!BS$106=1,1-FR8,0))*150+203+'calcA'!BS$5*100000+IF(AND($E8=1,LF8=0),50000,0))+IF($H8=1,INDEX('calcA'!$D$180:$EQ$219,$B8,68)*4000,0)-IF(AND('calcA'!BR$117=1,WP8&gt;0),2000,0)-IF(AND($U8=1,'calcA'!BS$117=1,FR8=0),2000,0))),1000000000))</f>
        <v/>
      </c>
      <c r="QV8">
        <f>IF($B8=0,1000000000,IF(INDEX('calcA'!$D$60:$EQ$99,$B8,69)*IF($W8=1,FR8+ACG8,FR8)=1,IF(AND($E8=2,IF($W8=1,AHV8,LG8)=0),1000000000,IF($V8=1,INDEX('calcA'!$D$130:$EQ$169,$B8,69)+IF(AND($E8=1,LG8=0),25,0),IF($F8&gt;0,INDEX('calcA'!BT$110:BT$114,$F8+1)+IF(AND($E8=1,LG8=0),1000,0),MIN(TW8,20)*400+(IF('calcA'!BS$106=1,1-FQ8,0)+IF('calcA'!BT$106=1,1-FS8,0))*150+213+'calcA'!BT$5*100000+IF(AND($E8=1,LG8=0),50000,0))+IF($H8=1,INDEX('calcA'!$D$180:$EQ$219,$B8,69)*4000,0)-IF(AND('calcA'!BS$117=1,WQ8&gt;0),2000,0)-IF(AND($U8=1,'calcA'!BT$117=1,FS8=0),2000,0))),1000000000))</f>
        <v/>
      </c>
      <c r="QW8">
        <f>IF($B8=0,1000000000,IF(INDEX('calcA'!$D$60:$EQ$99,$B8,70)*IF($W8=1,FS8+ACH8,FS8)=1,IF(AND($E8=2,IF($W8=1,AHW8,LH8)=0),1000000000,IF($V8=1,INDEX('calcA'!$D$130:$EQ$169,$B8,70)+IF(AND($E8=1,LH8=0),25,0),IF($F8&gt;0,INDEX('calcA'!BU$110:BU$114,$F8+1)+IF(AND($E8=1,LH8=0),1000,0),MIN(TW8,20)*400+(IF('calcA'!BT$106=1,1-FR8,0)+IF('calcA'!BU$106=1,1-FT8,0))*150+223+'calcA'!BU$5*100000+IF(AND($E8=1,LH8=0),50000,0))+IF($H8=1,INDEX('calcA'!$D$180:$EQ$219,$B8,70)*4000,0)-IF(AND('calcA'!BT$117=1,WR8&gt;0),2000,0)-IF(AND($U8=1,'calcA'!BU$117=1,FT8=0),2000,0))),1000000000))</f>
        <v/>
      </c>
      <c r="QX8">
        <f>IF($B8=0,1000000000,IF(INDEX('calcA'!$D$60:$EQ$99,$B8,71)*IF($W8=1,FT8+ACI8,FT8)=1,IF(AND($E8=2,IF($W8=1,AHX8,LI8)=0),1000000000,IF($V8=1,INDEX('calcA'!$D$130:$EQ$169,$B8,71)+IF(AND($E8=1,LI8=0),25,0),IF($F8&gt;0,INDEX('calcA'!BV$110:BV$114,$F8+1)+IF(AND($E8=1,LI8=0),1000,0),MIN(TW8,20)*400+(IF('calcA'!BU$106=1,1-FS8,0)+IF('calcA'!BV$106=1,1-FU8,0))*150+233+'calcA'!BV$5*100000+IF(AND($E8=1,LI8=0),50000,0))+IF($H8=1,INDEX('calcA'!$D$180:$EQ$219,$B8,71)*4000,0)-IF(AND('calcA'!BU$117=1,WS8&gt;0),2000,0)-IF(AND($U8=1,'calcA'!BV$117=1,FU8=0),2000,0))),1000000000))</f>
        <v/>
      </c>
      <c r="QY8">
        <f>IF($B8=0,1000000000,IF(INDEX('calcA'!$D$60:$EQ$99,$B8,72)*IF($W8=1,FU8+ACJ8,FU8)=1,IF(AND($E8=2,IF($W8=1,AHY8,LJ8)=0),1000000000,IF($V8=1,INDEX('calcA'!$D$130:$EQ$169,$B8,72)+IF(AND($E8=1,LJ8=0),25,0),IF($F8&gt;0,INDEX('calcA'!BW$110:BW$114,$F8+1)+IF(AND($E8=1,LJ8=0),1000,0),MIN(TW8,20)*400+(IF('calcA'!BV$106=1,1-FT8,0))*150+243+'calcA'!BW$5*100000+IF(AND($E8=1,LJ8=0),50000,0))+IF($H8=1,INDEX('calcA'!$D$180:$EQ$219,$B8,72)*4000,0)-IF(AND('calcA'!BV$117=1,WT8&gt;0),2000,0))),1000000000))</f>
        <v/>
      </c>
      <c r="QZ8">
        <f>IF($B8=0,1000000000,IF(INDEX('calcA'!$D$60:$EQ$99,$B8,73)*IF($W8=1,FV8+ACK8,FV8)=1,IF(AND($E8=2,IF($W8=1,AHZ8,LK8)=0),1000000000,IF($V8=1,INDEX('calcA'!$D$130:$EQ$169,$B8,73)+IF(AND($E8=1,LK8=0),25,0),IF($F8&gt;0,INDEX('calcA'!BX$110:BX$114,$F8+1)+IF(AND($E8=1,LK8=0),1000,0),MIN(TX8,20)*400+(IF('calcA'!BX$106=1,1-FW8,0))*150+14+'calcA'!BX$5*100000+IF(AND($E8=1,LK8=0),50000,0))+IF($H8=1,INDEX('calcA'!$D$180:$EQ$219,$B8,73)*4000,0)-IF(AND($U8=1,'calcA'!BX$117=1,FW8=0),2000,0))),1000000000))</f>
        <v/>
      </c>
      <c r="RA8">
        <f>IF($B8=0,1000000000,IF(INDEX('calcA'!$D$60:$EQ$99,$B8,74)*IF($W8=1,FW8+ACL8,FW8)=1,IF(AND($E8=2,IF($W8=1,AIA8,LL8)=0),1000000000,IF($V8=1,INDEX('calcA'!$D$130:$EQ$169,$B8,74)+IF(AND($E8=1,LL8=0),25,0),IF($F8&gt;0,INDEX('calcA'!BY$110:BY$114,$F8+1)+IF(AND($E8=1,LL8=0),1000,0),MIN(TX8,20)*400+(IF('calcA'!BX$106=1,1-FV8,0)+IF('calcA'!BY$106=1,1-FX8,0))*150+24+'calcA'!BY$5*100000+IF(AND($E8=1,LL8=0),50000,0))+IF($H8=1,INDEX('calcA'!$D$180:$EQ$219,$B8,74)*4000,0)-IF(AND('calcA'!BX$117=1,WV8&gt;0),2000,0)-IF(AND($U8=1,'calcA'!BY$117=1,FX8=0),2000,0))),1000000000))</f>
        <v/>
      </c>
      <c r="RB8">
        <f>IF($B8=0,1000000000,IF(INDEX('calcA'!$D$60:$EQ$99,$B8,75)*IF($W8=1,FX8+ACM8,FX8)=1,IF(AND($E8=2,IF($W8=1,AIB8,LM8)=0),1000000000,IF($V8=1,INDEX('calcA'!$D$130:$EQ$169,$B8,75)+IF(AND($E8=1,LM8=0),25,0),IF($F8&gt;0,INDEX('calcA'!BZ$110:BZ$114,$F8+1)+IF(AND($E8=1,LM8=0),1000,0),MIN(TX8,20)*400+(IF('calcA'!BY$106=1,1-FW8,0)+IF('calcA'!BZ$106=1,1-FY8,0))*150+34+'calcA'!BZ$5*100000+IF(AND($E8=1,LM8=0),50000,0))+IF($H8=1,INDEX('calcA'!$D$180:$EQ$219,$B8,75)*4000,0)-IF(AND('calcA'!BY$117=1,WW8&gt;0),2000,0)-IF(AND($U8=1,'calcA'!BZ$117=1,FY8=0),2000,0))),1000000000))</f>
        <v/>
      </c>
      <c r="RC8">
        <f>IF($B8=0,1000000000,IF(INDEX('calcA'!$D$60:$EQ$99,$B8,76)*IF($W8=1,FY8+ACN8,FY8)=1,IF(AND($E8=2,IF($W8=1,AIC8,LN8)=0),1000000000,IF($V8=1,INDEX('calcA'!$D$130:$EQ$169,$B8,76)+IF(AND($E8=1,LN8=0),25,0),IF($F8&gt;0,INDEX('calcA'!CA$110:CA$114,$F8+1)+IF(AND($E8=1,LN8=0),1000,0),MIN(TX8,20)*400+(IF('calcA'!BZ$106=1,1-FX8,0)+IF('calcA'!CA$106=1,1-FZ8,0))*150+44+'calcA'!CA$5*100000+IF(AND($E8=1,LN8=0),50000,0))+IF($H8=1,INDEX('calcA'!$D$180:$EQ$219,$B8,76)*4000,0)-IF(AND('calcA'!BZ$117=1,WX8&gt;0),2000,0)-IF(AND($U8=1,'calcA'!CA$117=1,FZ8=0),2000,0))),1000000000))</f>
        <v/>
      </c>
      <c r="RD8">
        <f>IF($B8=0,1000000000,IF(INDEX('calcA'!$D$60:$EQ$99,$B8,77)*IF($W8=1,FZ8+ACO8,FZ8)=1,IF(AND($E8=2,IF($W8=1,AID8,LO8)=0),1000000000,IF($V8=1,INDEX('calcA'!$D$130:$EQ$169,$B8,77)+IF(AND($E8=1,LO8=0),25,0),IF($F8&gt;0,INDEX('calcA'!CB$110:CB$114,$F8+1)+IF(AND($E8=1,LO8=0),1000,0),MIN(TX8,20)*400+(IF('calcA'!CA$106=1,1-FY8,0)+IF('calcA'!CB$106=1,1-GA8,0))*150+54+'calcA'!CB$5*100000+IF(AND($E8=1,LO8=0),50000,0))+IF($H8=1,INDEX('calcA'!$D$180:$EQ$219,$B8,77)*4000,0)-IF(AND('calcA'!CA$117=1,WY8&gt;0),2000,0)-IF(AND($U8=1,'calcA'!CB$117=1,GA8=0),2000,0))),1000000000))</f>
        <v/>
      </c>
      <c r="RE8">
        <f>IF($B8=0,1000000000,IF(INDEX('calcA'!$D$60:$EQ$99,$B8,78)*IF($W8=1,GA8+ACP8,GA8)=1,IF(AND($E8=2,IF($W8=1,AIE8,LP8)=0),1000000000,IF($V8=1,INDEX('calcA'!$D$130:$EQ$169,$B8,78)+IF(AND($E8=1,LP8=0),25,0),IF($F8&gt;0,INDEX('calcA'!CC$110:CC$114,$F8+1)+IF(AND($E8=1,LP8=0),1000,0),MIN(TX8,20)*400+(IF('calcA'!CB$106=1,1-FZ8,0)+IF('calcA'!CC$106=1,1-GB8,0))*150+64+'calcA'!CC$5*100000+IF(AND($E8=1,LP8=0),50000,0))+IF($H8=1,INDEX('calcA'!$D$180:$EQ$219,$B8,78)*4000,0)-IF(AND('calcA'!CB$117=1,WZ8&gt;0),2000,0)-IF(AND($U8=1,'calcA'!CC$117=1,GB8=0),2000,0))),1000000000))</f>
        <v/>
      </c>
      <c r="RF8">
        <f>IF($B8=0,1000000000,IF(INDEX('calcA'!$D$60:$EQ$99,$B8,79)*IF($W8=1,GB8+ACQ8,GB8)=1,IF(AND($E8=2,IF($W8=1,AIF8,LQ8)=0),1000000000,IF($V8=1,INDEX('calcA'!$D$130:$EQ$169,$B8,79)+IF(AND($E8=1,LQ8=0),25,0),IF($F8&gt;0,INDEX('calcA'!CD$110:CD$114,$F8+1)+IF(AND($E8=1,LQ8=0),1000,0),MIN(TX8,20)*400+(IF('calcA'!CC$106=1,1-GA8,0)+IF('calcA'!CD$106=1,1-GC8,0))*150+74+'calcA'!CD$5*100000+IF(AND($E8=1,LQ8=0),50000,0))+IF($H8=1,INDEX('calcA'!$D$180:$EQ$219,$B8,79)*4000,0)-IF(AND('calcA'!CC$117=1,XA8&gt;0),2000,0)-IF(AND($U8=1,'calcA'!CD$117=1,GC8=0),2000,0))),1000000000))</f>
        <v/>
      </c>
      <c r="RG8">
        <f>IF($B8=0,1000000000,IF(INDEX('calcA'!$D$60:$EQ$99,$B8,80)*IF($W8=1,GC8+ACR8,GC8)=1,IF(AND($E8=2,IF($W8=1,AIG8,LR8)=0),1000000000,IF($V8=1,INDEX('calcA'!$D$130:$EQ$169,$B8,80)+IF(AND($E8=1,LR8=0),25,0),IF($F8&gt;0,INDEX('calcA'!CE$110:CE$114,$F8+1)+IF(AND($E8=1,LR8=0),1000,0),MIN(TX8,20)*400+(IF('calcA'!CD$106=1,1-GB8,0)+IF('calcA'!CE$106=1,1-GD8,0))*150+84+'calcA'!CE$5*100000+IF(AND($E8=1,LR8=0),50000,0))+IF($H8=1,INDEX('calcA'!$D$180:$EQ$219,$B8,80)*4000,0)-IF(AND('calcA'!CD$117=1,XB8&gt;0),2000,0)-IF(AND($U8=1,'calcA'!CE$117=1,GD8=0),2000,0))),1000000000))</f>
        <v/>
      </c>
      <c r="RH8">
        <f>IF($B8=0,1000000000,IF(INDEX('calcA'!$D$60:$EQ$99,$B8,81)*IF($W8=1,GD8+ACS8,GD8)=1,IF(AND($E8=2,IF($W8=1,AIH8,LS8)=0),1000000000,IF($V8=1,INDEX('calcA'!$D$130:$EQ$169,$B8,81)+IF(AND($E8=1,LS8=0),25,0),IF($F8&gt;0,INDEX('calcA'!CF$110:CF$114,$F8+1)+IF(AND($E8=1,LS8=0),1000,0),MIN(TX8,20)*400+(IF('calcA'!CE$106=1,1-GC8,0)+IF('calcA'!CF$106=1,1-GE8,0))*150+94+'calcA'!CF$5*100000+IF(AND($E8=1,LS8=0),50000,0))+IF($H8=1,INDEX('calcA'!$D$180:$EQ$219,$B8,81)*4000,0)-IF(AND('calcA'!CE$117=1,XC8&gt;0),2000,0)-IF(AND($U8=1,'calcA'!CF$117=1,GE8=0),2000,0))),1000000000))</f>
        <v/>
      </c>
      <c r="RI8">
        <f>IF($B8=0,1000000000,IF(INDEX('calcA'!$D$60:$EQ$99,$B8,82)*IF($W8=1,GE8+ACT8,GE8)=1,IF(AND($E8=2,IF($W8=1,AII8,LT8)=0),1000000000,IF($V8=1,INDEX('calcA'!$D$130:$EQ$169,$B8,82)+IF(AND($E8=1,LT8=0),25,0),IF($F8&gt;0,INDEX('calcA'!CG$110:CG$114,$F8+1)+IF(AND($E8=1,LT8=0),1000,0),MIN(TX8,20)*400+(IF('calcA'!CF$106=1,1-GD8,0)+IF('calcA'!CG$106=1,1-GF8,0))*150+104+'calcA'!CG$5*100000+IF(AND($E8=1,LT8=0),50000,0))+IF($H8=1,INDEX('calcA'!$D$180:$EQ$219,$B8,82)*4000,0)-IF(AND('calcA'!CF$117=1,XD8&gt;0),2000,0)-IF(AND($U8=1,'calcA'!CG$117=1,GF8=0),2000,0))),1000000000))</f>
        <v/>
      </c>
      <c r="RJ8">
        <f>IF($B8=0,1000000000,IF(INDEX('calcA'!$D$60:$EQ$99,$B8,83)*IF($W8=1,GF8+ACU8,GF8)=1,IF(AND($E8=2,IF($W8=1,AIJ8,LU8)=0),1000000000,IF($V8=1,INDEX('calcA'!$D$130:$EQ$169,$B8,83)+IF(AND($E8=1,LU8=0),25,0),IF($F8&gt;0,INDEX('calcA'!CH$110:CH$114,$F8+1)+IF(AND($E8=1,LU8=0),1000,0),MIN(TX8,20)*400+(IF('calcA'!CG$106=1,1-GE8,0)+IF('calcA'!CH$106=1,1-GG8,0))*150+114+'calcA'!CH$5*100000+IF(AND($E8=1,LU8=0),50000,0))+IF($H8=1,INDEX('calcA'!$D$180:$EQ$219,$B8,83)*4000,0)-IF(AND('calcA'!CG$117=1,XE8&gt;0),2000,0)-IF(AND($U8=1,'calcA'!CH$117=1,GG8=0),2000,0))),1000000000))</f>
        <v/>
      </c>
      <c r="RK8">
        <f>IF($B8=0,1000000000,IF(INDEX('calcA'!$D$60:$EQ$99,$B8,84)*IF($W8=1,GG8+ACV8,GG8)=1,IF(AND($E8=2,IF($W8=1,AIK8,LV8)=0),1000000000,IF($V8=1,INDEX('calcA'!$D$130:$EQ$169,$B8,84)+IF(AND($E8=1,LV8=0),25,0),IF($F8&gt;0,INDEX('calcA'!CI$110:CI$114,$F8+1)+IF(AND($E8=1,LV8=0),1000,0),MIN(TX8,20)*400+(IF('calcA'!CH$106=1,1-GF8,0)+IF('calcA'!CI$106=1,1-GH8,0))*150+124+'calcA'!CI$5*100000+IF(AND($E8=1,LV8=0),50000,0))+IF($H8=1,INDEX('calcA'!$D$180:$EQ$219,$B8,84)*4000,0)-IF(AND('calcA'!CH$117=1,XF8&gt;0),2000,0)-IF(AND($U8=1,'calcA'!CI$117=1,GH8=0),2000,0))),1000000000))</f>
        <v/>
      </c>
      <c r="RL8">
        <f>IF($B8=0,1000000000,IF(INDEX('calcA'!$D$60:$EQ$99,$B8,85)*IF($W8=1,GH8+ACW8,GH8)=1,IF(AND($E8=2,IF($W8=1,AIL8,LW8)=0),1000000000,IF($V8=1,INDEX('calcA'!$D$130:$EQ$169,$B8,85)+IF(AND($E8=1,LW8=0),25,0),IF($F8&gt;0,INDEX('calcA'!CJ$110:CJ$114,$F8+1)+IF(AND($E8=1,LW8=0),1000,0),MIN(TX8,20)*400+(IF('calcA'!CI$106=1,1-GG8,0)+IF('calcA'!CJ$106=1,1-GI8,0))*150+134+'calcA'!CJ$5*100000+IF(AND($E8=1,LW8=0),50000,0))+IF($H8=1,INDEX('calcA'!$D$180:$EQ$219,$B8,85)*4000,0)-IF(AND('calcA'!CI$117=1,XG8&gt;0),2000,0)-IF(AND($U8=1,'calcA'!CJ$117=1,GI8=0),2000,0))),1000000000))</f>
        <v/>
      </c>
      <c r="RM8">
        <f>IF($B8=0,1000000000,IF(INDEX('calcA'!$D$60:$EQ$99,$B8,86)*IF($W8=1,GI8+ACX8,GI8)=1,IF(AND($E8=2,IF($W8=1,AIM8,LX8)=0),1000000000,IF($V8=1,INDEX('calcA'!$D$130:$EQ$169,$B8,86)+IF(AND($E8=1,LX8=0),25,0),IF($F8&gt;0,INDEX('calcA'!CK$110:CK$114,$F8+1)+IF(AND($E8=1,LX8=0),1000,0),MIN(TX8,20)*400+(IF('calcA'!CJ$106=1,1-GH8,0)+IF('calcA'!CK$106=1,1-GJ8,0))*150+144+'calcA'!CK$5*100000+IF(AND($E8=1,LX8=0),50000,0))+IF($H8=1,INDEX('calcA'!$D$180:$EQ$219,$B8,86)*4000,0)-IF(AND('calcA'!CJ$117=1,XH8&gt;0),2000,0)-IF(AND($U8=1,'calcA'!CK$117=1,GJ8=0),2000,0))),1000000000))</f>
        <v/>
      </c>
      <c r="RN8">
        <f>IF($B8=0,1000000000,IF(INDEX('calcA'!$D$60:$EQ$99,$B8,87)*IF($W8=1,GJ8+ACY8,GJ8)=1,IF(AND($E8=2,IF($W8=1,AIN8,LY8)=0),1000000000,IF($V8=1,INDEX('calcA'!$D$130:$EQ$169,$B8,87)+IF(AND($E8=1,LY8=0),25,0),IF($F8&gt;0,INDEX('calcA'!CL$110:CL$114,$F8+1)+IF(AND($E8=1,LY8=0),1000,0),MIN(TX8,20)*400+(IF('calcA'!CK$106=1,1-GI8,0)+IF('calcA'!CL$106=1,1-GK8,0))*150+154+'calcA'!CL$5*100000+IF(AND($E8=1,LY8=0),50000,0))+IF($H8=1,INDEX('calcA'!$D$180:$EQ$219,$B8,87)*4000,0)-IF(AND('calcA'!CK$117=1,XI8&gt;0),2000,0)-IF(AND($U8=1,'calcA'!CL$117=1,GK8=0),2000,0))),1000000000))</f>
        <v/>
      </c>
      <c r="RO8">
        <f>IF($B8=0,1000000000,IF(INDEX('calcA'!$D$60:$EQ$99,$B8,88)*IF($W8=1,GK8+ACZ8,GK8)=1,IF(AND($E8=2,IF($W8=1,AIO8,LZ8)=0),1000000000,IF($V8=1,INDEX('calcA'!$D$130:$EQ$169,$B8,88)+IF(AND($E8=1,LZ8=0),25,0),IF($F8&gt;0,INDEX('calcA'!CM$110:CM$114,$F8+1)+IF(AND($E8=1,LZ8=0),1000,0),MIN(TX8,20)*400+(IF('calcA'!CL$106=1,1-GJ8,0)+IF('calcA'!CM$106=1,1-GL8,0))*150+164+'calcA'!CM$5*100000+IF(AND($E8=1,LZ8=0),50000,0))+IF($H8=1,INDEX('calcA'!$D$180:$EQ$219,$B8,88)*4000,0)-IF(AND('calcA'!CL$117=1,XJ8&gt;0),2000,0)-IF(AND($U8=1,'calcA'!CM$117=1,GL8=0),2000,0))),1000000000))</f>
        <v/>
      </c>
      <c r="RP8">
        <f>IF($B8=0,1000000000,IF(INDEX('calcA'!$D$60:$EQ$99,$B8,89)*IF($W8=1,GL8+ADA8,GL8)=1,IF(AND($E8=2,IF($W8=1,AIP8,MA8)=0),1000000000,IF($V8=1,INDEX('calcA'!$D$130:$EQ$169,$B8,89)+IF(AND($E8=1,MA8=0),25,0),IF($F8&gt;0,INDEX('calcA'!CN$110:CN$114,$F8+1)+IF(AND($E8=1,MA8=0),1000,0),MIN(TX8,20)*400+(IF('calcA'!CM$106=1,1-GK8,0)+IF('calcA'!CN$106=1,1-GM8,0))*150+174+'calcA'!CN$5*100000+IF(AND($E8=1,MA8=0),50000,0))+IF($H8=1,INDEX('calcA'!$D$180:$EQ$219,$B8,89)*4000,0)-IF(AND('calcA'!CM$117=1,XK8&gt;0),2000,0)-IF(AND($U8=1,'calcA'!CN$117=1,GM8=0),2000,0))),1000000000))</f>
        <v/>
      </c>
      <c r="RQ8">
        <f>IF($B8=0,1000000000,IF(INDEX('calcA'!$D$60:$EQ$99,$B8,90)*IF($W8=1,GM8+ADB8,GM8)=1,IF(AND($E8=2,IF($W8=1,AIQ8,MB8)=0),1000000000,IF($V8=1,INDEX('calcA'!$D$130:$EQ$169,$B8,90)+IF(AND($E8=1,MB8=0),25,0),IF($F8&gt;0,INDEX('calcA'!CO$110:CO$114,$F8+1)+IF(AND($E8=1,MB8=0),1000,0),MIN(TX8,20)*400+(IF('calcA'!CN$106=1,1-GL8,0)+IF('calcA'!CO$106=1,1-GN8,0))*150+184+'calcA'!CO$5*100000+IF(AND($E8=1,MB8=0),50000,0))+IF($H8=1,INDEX('calcA'!$D$180:$EQ$219,$B8,90)*4000,0)-IF(AND('calcA'!CN$117=1,XL8&gt;0),2000,0)-IF(AND($U8=1,'calcA'!CO$117=1,GN8=0),2000,0))),1000000000))</f>
        <v/>
      </c>
      <c r="RR8">
        <f>IF($B8=0,1000000000,IF(INDEX('calcA'!$D$60:$EQ$99,$B8,91)*IF($W8=1,GN8+ADC8,GN8)=1,IF(AND($E8=2,IF($W8=1,AIR8,MC8)=0),1000000000,IF($V8=1,INDEX('calcA'!$D$130:$EQ$169,$B8,91)+IF(AND($E8=1,MC8=0),25,0),IF($F8&gt;0,INDEX('calcA'!CP$110:CP$114,$F8+1)+IF(AND($E8=1,MC8=0),1000,0),MIN(TX8,20)*400+(IF('calcA'!CO$106=1,1-GM8,0)+IF('calcA'!CP$106=1,1-GO8,0))*150+194+'calcA'!CP$5*100000+IF(AND($E8=1,MC8=0),50000,0))+IF($H8=1,INDEX('calcA'!$D$180:$EQ$219,$B8,91)*4000,0)-IF(AND('calcA'!CO$117=1,XM8&gt;0),2000,0)-IF(AND($U8=1,'calcA'!CP$117=1,GO8=0),2000,0))),1000000000))</f>
        <v/>
      </c>
      <c r="RS8">
        <f>IF($B8=0,1000000000,IF(INDEX('calcA'!$D$60:$EQ$99,$B8,92)*IF($W8=1,GO8+ADD8,GO8)=1,IF(AND($E8=2,IF($W8=1,AIS8,MD8)=0),1000000000,IF($V8=1,INDEX('calcA'!$D$130:$EQ$169,$B8,92)+IF(AND($E8=1,MD8=0),25,0),IF($F8&gt;0,INDEX('calcA'!CQ$110:CQ$114,$F8+1)+IF(AND($E8=1,MD8=0),1000,0),MIN(TX8,20)*400+(IF('calcA'!CP$106=1,1-GN8,0)+IF('calcA'!CQ$106=1,1-GP8,0))*150+204+'calcA'!CQ$5*100000+IF(AND($E8=1,MD8=0),50000,0))+IF($H8=1,INDEX('calcA'!$D$180:$EQ$219,$B8,92)*4000,0)-IF(AND('calcA'!CP$117=1,XN8&gt;0),2000,0)-IF(AND($U8=1,'calcA'!CQ$117=1,GP8=0),2000,0))),1000000000))</f>
        <v/>
      </c>
      <c r="RT8">
        <f>IF($B8=0,1000000000,IF(INDEX('calcA'!$D$60:$EQ$99,$B8,93)*IF($W8=1,GP8+ADE8,GP8)=1,IF(AND($E8=2,IF($W8=1,AIT8,ME8)=0),1000000000,IF($V8=1,INDEX('calcA'!$D$130:$EQ$169,$B8,93)+IF(AND($E8=1,ME8=0),25,0),IF($F8&gt;0,INDEX('calcA'!CR$110:CR$114,$F8+1)+IF(AND($E8=1,ME8=0),1000,0),MIN(TX8,20)*400+(IF('calcA'!CQ$106=1,1-GO8,0)+IF('calcA'!CR$106=1,1-GQ8,0))*150+214+'calcA'!CR$5*100000+IF(AND($E8=1,ME8=0),50000,0))+IF($H8=1,INDEX('calcA'!$D$180:$EQ$219,$B8,93)*4000,0)-IF(AND('calcA'!CQ$117=1,XO8&gt;0),2000,0)-IF(AND($U8=1,'calcA'!CR$117=1,GQ8=0),2000,0))),1000000000))</f>
        <v/>
      </c>
      <c r="RU8">
        <f>IF($B8=0,1000000000,IF(INDEX('calcA'!$D$60:$EQ$99,$B8,94)*IF($W8=1,GQ8+ADF8,GQ8)=1,IF(AND($E8=2,IF($W8=1,AIU8,MF8)=0),1000000000,IF($V8=1,INDEX('calcA'!$D$130:$EQ$169,$B8,94)+IF(AND($E8=1,MF8=0),25,0),IF($F8&gt;0,INDEX('calcA'!CS$110:CS$114,$F8+1)+IF(AND($E8=1,MF8=0),1000,0),MIN(TX8,20)*400+(IF('calcA'!CR$106=1,1-GP8,0)+IF('calcA'!CS$106=1,1-GR8,0))*150+224+'calcA'!CS$5*100000+IF(AND($E8=1,MF8=0),50000,0))+IF($H8=1,INDEX('calcA'!$D$180:$EQ$219,$B8,94)*4000,0)-IF(AND('calcA'!CR$117=1,XP8&gt;0),2000,0)-IF(AND($U8=1,'calcA'!CS$117=1,GR8=0),2000,0))),1000000000))</f>
        <v/>
      </c>
      <c r="RV8">
        <f>IF($B8=0,1000000000,IF(INDEX('calcA'!$D$60:$EQ$99,$B8,95)*IF($W8=1,GR8+ADG8,GR8)=1,IF(AND($E8=2,IF($W8=1,AIV8,MG8)=0),1000000000,IF($V8=1,INDEX('calcA'!$D$130:$EQ$169,$B8,95)+IF(AND($E8=1,MG8=0),25,0),IF($F8&gt;0,INDEX('calcA'!CT$110:CT$114,$F8+1)+IF(AND($E8=1,MG8=0),1000,0),MIN(TX8,20)*400+(IF('calcA'!CS$106=1,1-GQ8,0)+IF('calcA'!CT$106=1,1-GS8,0))*150+234+'calcA'!CT$5*100000+IF(AND($E8=1,MG8=0),50000,0))+IF($H8=1,INDEX('calcA'!$D$180:$EQ$219,$B8,95)*4000,0)-IF(AND('calcA'!CS$117=1,XQ8&gt;0),2000,0)-IF(AND($U8=1,'calcA'!CT$117=1,GS8=0),2000,0))),1000000000))</f>
        <v/>
      </c>
      <c r="RW8">
        <f>IF($B8=0,1000000000,IF(INDEX('calcA'!$D$60:$EQ$99,$B8,96)*IF($W8=1,GS8+ADH8,GS8)=1,IF(AND($E8=2,IF($W8=1,AIW8,MH8)=0),1000000000,IF($V8=1,INDEX('calcA'!$D$130:$EQ$169,$B8,96)+IF(AND($E8=1,MH8=0),25,0),IF($F8&gt;0,INDEX('calcA'!CU$110:CU$114,$F8+1)+IF(AND($E8=1,MH8=0),1000,0),MIN(TX8,20)*400+(IF('calcA'!CT$106=1,1-GR8,0))*150+244+'calcA'!CU$5*100000+IF(AND($E8=1,MH8=0),50000,0))+IF($H8=1,INDEX('calcA'!$D$180:$EQ$219,$B8,96)*4000,0)-IF(AND('calcA'!CT$117=1,XR8&gt;0),2000,0))),1000000000))</f>
        <v/>
      </c>
      <c r="RX8">
        <f>IF($B8=0,1000000000,IF(INDEX('calcA'!$D$60:$EQ$99,$B8,97)*IF($W8=1,GT8+ADI8,GT8)=1,IF(AND($E8=2,IF($W8=1,AIX8,MI8)=0),1000000000,IF($V8=1,INDEX('calcA'!$D$130:$EQ$169,$B8,97)+IF(AND($E8=1,MI8=0),25,0),IF($F8&gt;0,INDEX('calcA'!CV$110:CV$114,$F8+1)+IF(AND($E8=1,MI8=0),1000,0),MIN(TY8,20)*400+(IF('calcA'!CV$106=1,1-GU8,0))*150+15+'calcA'!CV$5*100000+IF(AND($E8=1,MI8=0),50000,0))+IF($H8=1,INDEX('calcA'!$D$180:$EQ$219,$B8,97)*4000,0)-IF(AND($U8=1,'calcA'!CV$117=1,GU8=0),2000,0))),1000000000))</f>
        <v/>
      </c>
      <c r="RY8">
        <f>IF($B8=0,1000000000,IF(INDEX('calcA'!$D$60:$EQ$99,$B8,98)*IF($W8=1,GU8+ADJ8,GU8)=1,IF(AND($E8=2,IF($W8=1,AIY8,MJ8)=0),1000000000,IF($V8=1,INDEX('calcA'!$D$130:$EQ$169,$B8,98)+IF(AND($E8=1,MJ8=0),25,0),IF($F8&gt;0,INDEX('calcA'!CW$110:CW$114,$F8+1)+IF(AND($E8=1,MJ8=0),1000,0),MIN(TY8,20)*400+(IF('calcA'!CV$106=1,1-GT8,0)+IF('calcA'!CW$106=1,1-GV8,0))*150+25+'calcA'!CW$5*100000+IF(AND($E8=1,MJ8=0),50000,0))+IF($H8=1,INDEX('calcA'!$D$180:$EQ$219,$B8,98)*4000,0)-IF(AND('calcA'!CV$117=1,XT8&gt;0),2000,0)-IF(AND($U8=1,'calcA'!CW$117=1,GV8=0),2000,0))),1000000000))</f>
        <v/>
      </c>
      <c r="RZ8">
        <f>IF($B8=0,1000000000,IF(INDEX('calcA'!$D$60:$EQ$99,$B8,99)*IF($W8=1,GV8+ADK8,GV8)=1,IF(AND($E8=2,IF($W8=1,AIZ8,MK8)=0),1000000000,IF($V8=1,INDEX('calcA'!$D$130:$EQ$169,$B8,99)+IF(AND($E8=1,MK8=0),25,0),IF($F8&gt;0,INDEX('calcA'!CX$110:CX$114,$F8+1)+IF(AND($E8=1,MK8=0),1000,0),MIN(TY8,20)*400+(IF('calcA'!CW$106=1,1-GU8,0)+IF('calcA'!CX$106=1,1-GW8,0))*150+35+'calcA'!CX$5*100000+IF(AND($E8=1,MK8=0),50000,0))+IF($H8=1,INDEX('calcA'!$D$180:$EQ$219,$B8,99)*4000,0)-IF(AND('calcA'!CW$117=1,XU8&gt;0),2000,0)-IF(AND($U8=1,'calcA'!CX$117=1,GW8=0),2000,0))),1000000000))</f>
        <v/>
      </c>
      <c r="SA8">
        <f>IF($B8=0,1000000000,IF(INDEX('calcA'!$D$60:$EQ$99,$B8,100)*IF($W8=1,GW8+ADL8,GW8)=1,IF(AND($E8=2,IF($W8=1,AJA8,ML8)=0),1000000000,IF($V8=1,INDEX('calcA'!$D$130:$EQ$169,$B8,100)+IF(AND($E8=1,ML8=0),25,0),IF($F8&gt;0,INDEX('calcA'!CY$110:CY$114,$F8+1)+IF(AND($E8=1,ML8=0),1000,0),MIN(TY8,20)*400+(IF('calcA'!CX$106=1,1-GV8,0)+IF('calcA'!CY$106=1,1-GX8,0))*150+45+'calcA'!CY$5*100000+IF(AND($E8=1,ML8=0),50000,0))+IF($H8=1,INDEX('calcA'!$D$180:$EQ$219,$B8,100)*4000,0)-IF(AND('calcA'!CX$117=1,XV8&gt;0),2000,0)-IF(AND($U8=1,'calcA'!CY$117=1,GX8=0),2000,0))),1000000000))</f>
        <v/>
      </c>
      <c r="SB8">
        <f>IF($B8=0,1000000000,IF(INDEX('calcA'!$D$60:$EQ$99,$B8,101)*IF($W8=1,GX8+ADM8,GX8)=1,IF(AND($E8=2,IF($W8=1,AJB8,MM8)=0),1000000000,IF($V8=1,INDEX('calcA'!$D$130:$EQ$169,$B8,101)+IF(AND($E8=1,MM8=0),25,0),IF($F8&gt;0,INDEX('calcA'!CZ$110:CZ$114,$F8+1)+IF(AND($E8=1,MM8=0),1000,0),MIN(TY8,20)*400+(IF('calcA'!CY$106=1,1-GW8,0)+IF('calcA'!CZ$106=1,1-GY8,0))*150+55+'calcA'!CZ$5*100000+IF(AND($E8=1,MM8=0),50000,0))+IF($H8=1,INDEX('calcA'!$D$180:$EQ$219,$B8,101)*4000,0)-IF(AND('calcA'!CY$117=1,XW8&gt;0),2000,0)-IF(AND($U8=1,'calcA'!CZ$117=1,GY8=0),2000,0))),1000000000))</f>
        <v/>
      </c>
      <c r="SC8">
        <f>IF($B8=0,1000000000,IF(INDEX('calcA'!$D$60:$EQ$99,$B8,102)*IF($W8=1,GY8+ADN8,GY8)=1,IF(AND($E8=2,IF($W8=1,AJC8,MN8)=0),1000000000,IF($V8=1,INDEX('calcA'!$D$130:$EQ$169,$B8,102)+IF(AND($E8=1,MN8=0),25,0),IF($F8&gt;0,INDEX('calcA'!DA$110:DA$114,$F8+1)+IF(AND($E8=1,MN8=0),1000,0),MIN(TY8,20)*400+(IF('calcA'!CZ$106=1,1-GX8,0)+IF('calcA'!DA$106=1,1-GZ8,0))*150+65+'calcA'!DA$5*100000+IF(AND($E8=1,MN8=0),50000,0))+IF($H8=1,INDEX('calcA'!$D$180:$EQ$219,$B8,102)*4000,0)-IF(AND('calcA'!CZ$117=1,XX8&gt;0),2000,0)-IF(AND($U8=1,'calcA'!DA$117=1,GZ8=0),2000,0))),1000000000))</f>
        <v/>
      </c>
      <c r="SD8">
        <f>IF($B8=0,1000000000,IF(INDEX('calcA'!$D$60:$EQ$99,$B8,103)*IF($W8=1,GZ8+ADO8,GZ8)=1,IF(AND($E8=2,IF($W8=1,AJD8,MO8)=0),1000000000,IF($V8=1,INDEX('calcA'!$D$130:$EQ$169,$B8,103)+IF(AND($E8=1,MO8=0),25,0),IF($F8&gt;0,INDEX('calcA'!DB$110:DB$114,$F8+1)+IF(AND($E8=1,MO8=0),1000,0),MIN(TY8,20)*400+(IF('calcA'!DA$106=1,1-GY8,0)+IF('calcA'!DB$106=1,1-HA8,0))*150+75+'calcA'!DB$5*100000+IF(AND($E8=1,MO8=0),50000,0))+IF($H8=1,INDEX('calcA'!$D$180:$EQ$219,$B8,103)*4000,0)-IF(AND('calcA'!DA$117=1,XY8&gt;0),2000,0)-IF(AND($U8=1,'calcA'!DB$117=1,HA8=0),2000,0))),1000000000))</f>
        <v/>
      </c>
      <c r="SE8">
        <f>IF($B8=0,1000000000,IF(INDEX('calcA'!$D$60:$EQ$99,$B8,104)*IF($W8=1,HA8+ADP8,HA8)=1,IF(AND($E8=2,IF($W8=1,AJE8,MP8)=0),1000000000,IF($V8=1,INDEX('calcA'!$D$130:$EQ$169,$B8,104)+IF(AND($E8=1,MP8=0),25,0),IF($F8&gt;0,INDEX('calcA'!DC$110:DC$114,$F8+1)+IF(AND($E8=1,MP8=0),1000,0),MIN(TY8,20)*400+(IF('calcA'!DB$106=1,1-GZ8,0)+IF('calcA'!DC$106=1,1-HB8,0))*150+85+'calcA'!DC$5*100000+IF(AND($E8=1,MP8=0),50000,0))+IF($H8=1,INDEX('calcA'!$D$180:$EQ$219,$B8,104)*4000,0)-IF(AND('calcA'!DB$117=1,XZ8&gt;0),2000,0)-IF(AND($U8=1,'calcA'!DC$117=1,HB8=0),2000,0))),1000000000))</f>
        <v/>
      </c>
      <c r="SF8">
        <f>IF($B8=0,1000000000,IF(INDEX('calcA'!$D$60:$EQ$99,$B8,105)*IF($W8=1,HB8+ADQ8,HB8)=1,IF(AND($E8=2,IF($W8=1,AJF8,MQ8)=0),1000000000,IF($V8=1,INDEX('calcA'!$D$130:$EQ$169,$B8,105)+IF(AND($E8=1,MQ8=0),25,0),IF($F8&gt;0,INDEX('calcA'!DD$110:DD$114,$F8+1)+IF(AND($E8=1,MQ8=0),1000,0),MIN(TY8,20)*400+(IF('calcA'!DC$106=1,1-HA8,0)+IF('calcA'!DD$106=1,1-HC8,0))*150+95+'calcA'!DD$5*100000+IF(AND($E8=1,MQ8=0),50000,0))+IF($H8=1,INDEX('calcA'!$D$180:$EQ$219,$B8,105)*4000,0)-IF(AND('calcA'!DC$117=1,YA8&gt;0),2000,0)-IF(AND($U8=1,'calcA'!DD$117=1,HC8=0),2000,0))),1000000000))</f>
        <v/>
      </c>
      <c r="SG8">
        <f>IF($B8=0,1000000000,IF(INDEX('calcA'!$D$60:$EQ$99,$B8,106)*IF($W8=1,HC8+ADR8,HC8)=1,IF(AND($E8=2,IF($W8=1,AJG8,MR8)=0),1000000000,IF($V8=1,INDEX('calcA'!$D$130:$EQ$169,$B8,106)+IF(AND($E8=1,MR8=0),25,0),IF($F8&gt;0,INDEX('calcA'!DE$110:DE$114,$F8+1)+IF(AND($E8=1,MR8=0),1000,0),MIN(TY8,20)*400+(IF('calcA'!DD$106=1,1-HB8,0)+IF('calcA'!DE$106=1,1-HD8,0))*150+105+'calcA'!DE$5*100000+IF(AND($E8=1,MR8=0),50000,0))+IF($H8=1,INDEX('calcA'!$D$180:$EQ$219,$B8,106)*4000,0)-IF(AND('calcA'!DD$117=1,YB8&gt;0),2000,0)-IF(AND($U8=1,'calcA'!DE$117=1,HD8=0),2000,0))),1000000000))</f>
        <v/>
      </c>
      <c r="SH8">
        <f>IF($B8=0,1000000000,IF(INDEX('calcA'!$D$60:$EQ$99,$B8,107)*IF($W8=1,HD8+ADS8,HD8)=1,IF(AND($E8=2,IF($W8=1,AJH8,MS8)=0),1000000000,IF($V8=1,INDEX('calcA'!$D$130:$EQ$169,$B8,107)+IF(AND($E8=1,MS8=0),25,0),IF($F8&gt;0,INDEX('calcA'!DF$110:DF$114,$F8+1)+IF(AND($E8=1,MS8=0),1000,0),MIN(TY8,20)*400+(IF('calcA'!DE$106=1,1-HC8,0)+IF('calcA'!DF$106=1,1-HE8,0))*150+115+'calcA'!DF$5*100000+IF(AND($E8=1,MS8=0),50000,0))+IF($H8=1,INDEX('calcA'!$D$180:$EQ$219,$B8,107)*4000,0)-IF(AND('calcA'!DE$117=1,YC8&gt;0),2000,0)-IF(AND($U8=1,'calcA'!DF$117=1,HE8=0),2000,0))),1000000000))</f>
        <v/>
      </c>
      <c r="SI8">
        <f>IF($B8=0,1000000000,IF(INDEX('calcA'!$D$60:$EQ$99,$B8,108)*IF($W8=1,HE8+ADT8,HE8)=1,IF(AND($E8=2,IF($W8=1,AJI8,MT8)=0),1000000000,IF($V8=1,INDEX('calcA'!$D$130:$EQ$169,$B8,108)+IF(AND($E8=1,MT8=0),25,0),IF($F8&gt;0,INDEX('calcA'!DG$110:DG$114,$F8+1)+IF(AND($E8=1,MT8=0),1000,0),MIN(TY8,20)*400+(IF('calcA'!DF$106=1,1-HD8,0)+IF('calcA'!DG$106=1,1-HF8,0))*150+125+'calcA'!DG$5*100000+IF(AND($E8=1,MT8=0),50000,0))+IF($H8=1,INDEX('calcA'!$D$180:$EQ$219,$B8,108)*4000,0)-IF(AND('calcA'!DF$117=1,YD8&gt;0),2000,0)-IF(AND($U8=1,'calcA'!DG$117=1,HF8=0),2000,0))),1000000000))</f>
        <v/>
      </c>
      <c r="SJ8">
        <f>IF($B8=0,1000000000,IF(INDEX('calcA'!$D$60:$EQ$99,$B8,109)*IF($W8=1,HF8+ADU8,HF8)=1,IF(AND($E8=2,IF($W8=1,AJJ8,MU8)=0),1000000000,IF($V8=1,INDEX('calcA'!$D$130:$EQ$169,$B8,109)+IF(AND($E8=1,MU8=0),25,0),IF($F8&gt;0,INDEX('calcA'!DH$110:DH$114,$F8+1)+IF(AND($E8=1,MU8=0),1000,0),MIN(TY8,20)*400+(IF('calcA'!DG$106=1,1-HE8,0)+IF('calcA'!DH$106=1,1-HG8,0))*150+135+'calcA'!DH$5*100000+IF(AND($E8=1,MU8=0),50000,0))+IF($H8=1,INDEX('calcA'!$D$180:$EQ$219,$B8,109)*4000,0)-IF(AND('calcA'!DG$117=1,YE8&gt;0),2000,0)-IF(AND($U8=1,'calcA'!DH$117=1,HG8=0),2000,0))),1000000000))</f>
        <v/>
      </c>
      <c r="SK8">
        <f>IF($B8=0,1000000000,IF(INDEX('calcA'!$D$60:$EQ$99,$B8,110)*IF($W8=1,HG8+ADV8,HG8)=1,IF(AND($E8=2,IF($W8=1,AJK8,MV8)=0),1000000000,IF($V8=1,INDEX('calcA'!$D$130:$EQ$169,$B8,110)+IF(AND($E8=1,MV8=0),25,0),IF($F8&gt;0,INDEX('calcA'!DI$110:DI$114,$F8+1)+IF(AND($E8=1,MV8=0),1000,0),MIN(TY8,20)*400+(IF('calcA'!DH$106=1,1-HF8,0)+IF('calcA'!DI$106=1,1-HH8,0))*150+145+'calcA'!DI$5*100000+IF(AND($E8=1,MV8=0),50000,0))+IF($H8=1,INDEX('calcA'!$D$180:$EQ$219,$B8,110)*4000,0)-IF(AND('calcA'!DH$117=1,YF8&gt;0),2000,0)-IF(AND($U8=1,'calcA'!DI$117=1,HH8=0),2000,0))),1000000000))</f>
        <v/>
      </c>
      <c r="SL8">
        <f>IF($B8=0,1000000000,IF(INDEX('calcA'!$D$60:$EQ$99,$B8,111)*IF($W8=1,HH8+ADW8,HH8)=1,IF(AND($E8=2,IF($W8=1,AJL8,MW8)=0),1000000000,IF($V8=1,INDEX('calcA'!$D$130:$EQ$169,$B8,111)+IF(AND($E8=1,MW8=0),25,0),IF($F8&gt;0,INDEX('calcA'!DJ$110:DJ$114,$F8+1)+IF(AND($E8=1,MW8=0),1000,0),MIN(TY8,20)*400+(IF('calcA'!DI$106=1,1-HG8,0)+IF('calcA'!DJ$106=1,1-HI8,0))*150+155+'calcA'!DJ$5*100000+IF(AND($E8=1,MW8=0),50000,0))+IF($H8=1,INDEX('calcA'!$D$180:$EQ$219,$B8,111)*4000,0)-IF(AND('calcA'!DI$117=1,YG8&gt;0),2000,0)-IF(AND($U8=1,'calcA'!DJ$117=1,HI8=0),2000,0))),1000000000))</f>
        <v/>
      </c>
      <c r="SM8">
        <f>IF($B8=0,1000000000,IF(INDEX('calcA'!$D$60:$EQ$99,$B8,112)*IF($W8=1,HI8+ADX8,HI8)=1,IF(AND($E8=2,IF($W8=1,AJM8,MX8)=0),1000000000,IF($V8=1,INDEX('calcA'!$D$130:$EQ$169,$B8,112)+IF(AND($E8=1,MX8=0),25,0),IF($F8&gt;0,INDEX('calcA'!DK$110:DK$114,$F8+1)+IF(AND($E8=1,MX8=0),1000,0),MIN(TY8,20)*400+(IF('calcA'!DJ$106=1,1-HH8,0)+IF('calcA'!DK$106=1,1-HJ8,0))*150+165+'calcA'!DK$5*100000+IF(AND($E8=1,MX8=0),50000,0))+IF($H8=1,INDEX('calcA'!$D$180:$EQ$219,$B8,112)*4000,0)-IF(AND('calcA'!DJ$117=1,YH8&gt;0),2000,0)-IF(AND($U8=1,'calcA'!DK$117=1,HJ8=0),2000,0))),1000000000))</f>
        <v/>
      </c>
      <c r="SN8">
        <f>IF($B8=0,1000000000,IF(INDEX('calcA'!$D$60:$EQ$99,$B8,113)*IF($W8=1,HJ8+ADY8,HJ8)=1,IF(AND($E8=2,IF($W8=1,AJN8,MY8)=0),1000000000,IF($V8=1,INDEX('calcA'!$D$130:$EQ$169,$B8,113)+IF(AND($E8=1,MY8=0),25,0),IF($F8&gt;0,INDEX('calcA'!DL$110:DL$114,$F8+1)+IF(AND($E8=1,MY8=0),1000,0),MIN(TY8,20)*400+(IF('calcA'!DK$106=1,1-HI8,0)+IF('calcA'!DL$106=1,1-HK8,0))*150+175+'calcA'!DL$5*100000+IF(AND($E8=1,MY8=0),50000,0))+IF($H8=1,INDEX('calcA'!$D$180:$EQ$219,$B8,113)*4000,0)-IF(AND('calcA'!DK$117=1,YI8&gt;0),2000,0)-IF(AND($U8=1,'calcA'!DL$117=1,HK8=0),2000,0))),1000000000))</f>
        <v/>
      </c>
      <c r="SO8">
        <f>IF($B8=0,1000000000,IF(INDEX('calcA'!$D$60:$EQ$99,$B8,114)*IF($W8=1,HK8+ADZ8,HK8)=1,IF(AND($E8=2,IF($W8=1,AJO8,MZ8)=0),1000000000,IF($V8=1,INDEX('calcA'!$D$130:$EQ$169,$B8,114)+IF(AND($E8=1,MZ8=0),25,0),IF($F8&gt;0,INDEX('calcA'!DM$110:DM$114,$F8+1)+IF(AND($E8=1,MZ8=0),1000,0),MIN(TY8,20)*400+(IF('calcA'!DL$106=1,1-HJ8,0)+IF('calcA'!DM$106=1,1-HL8,0))*150+185+'calcA'!DM$5*100000+IF(AND($E8=1,MZ8=0),50000,0))+IF($H8=1,INDEX('calcA'!$D$180:$EQ$219,$B8,114)*4000,0)-IF(AND('calcA'!DL$117=1,YJ8&gt;0),2000,0)-IF(AND($U8=1,'calcA'!DM$117=1,HL8=0),2000,0))),1000000000))</f>
        <v/>
      </c>
      <c r="SP8">
        <f>IF($B8=0,1000000000,IF(INDEX('calcA'!$D$60:$EQ$99,$B8,115)*IF($W8=1,HL8+AEA8,HL8)=1,IF(AND($E8=2,IF($W8=1,AJP8,NA8)=0),1000000000,IF($V8=1,INDEX('calcA'!$D$130:$EQ$169,$B8,115)+IF(AND($E8=1,NA8=0),25,0),IF($F8&gt;0,INDEX('calcA'!DN$110:DN$114,$F8+1)+IF(AND($E8=1,NA8=0),1000,0),MIN(TY8,20)*400+(IF('calcA'!DM$106=1,1-HK8,0)+IF('calcA'!DN$106=1,1-HM8,0))*150+195+'calcA'!DN$5*100000+IF(AND($E8=1,NA8=0),50000,0))+IF($H8=1,INDEX('calcA'!$D$180:$EQ$219,$B8,115)*4000,0)-IF(AND('calcA'!DM$117=1,YK8&gt;0),2000,0)-IF(AND($U8=1,'calcA'!DN$117=1,HM8=0),2000,0))),1000000000))</f>
        <v/>
      </c>
      <c r="SQ8">
        <f>IF($B8=0,1000000000,IF(INDEX('calcA'!$D$60:$EQ$99,$B8,116)*IF($W8=1,HM8+AEB8,HM8)=1,IF(AND($E8=2,IF($W8=1,AJQ8,NB8)=0),1000000000,IF($V8=1,INDEX('calcA'!$D$130:$EQ$169,$B8,116)+IF(AND($E8=1,NB8=0),25,0),IF($F8&gt;0,INDEX('calcA'!DO$110:DO$114,$F8+1)+IF(AND($E8=1,NB8=0),1000,0),MIN(TY8,20)*400+(IF('calcA'!DN$106=1,1-HL8,0)+IF('calcA'!DO$106=1,1-HN8,0))*150+205+'calcA'!DO$5*100000+IF(AND($E8=1,NB8=0),50000,0))+IF($H8=1,INDEX('calcA'!$D$180:$EQ$219,$B8,116)*4000,0)-IF(AND('calcA'!DN$117=1,YL8&gt;0),2000,0)-IF(AND($U8=1,'calcA'!DO$117=1,HN8=0),2000,0))),1000000000))</f>
        <v/>
      </c>
      <c r="SR8">
        <f>IF($B8=0,1000000000,IF(INDEX('calcA'!$D$60:$EQ$99,$B8,117)*IF($W8=1,HN8+AEC8,HN8)=1,IF(AND($E8=2,IF($W8=1,AJR8,NC8)=0),1000000000,IF($V8=1,INDEX('calcA'!$D$130:$EQ$169,$B8,117)+IF(AND($E8=1,NC8=0),25,0),IF($F8&gt;0,INDEX('calcA'!DP$110:DP$114,$F8+1)+IF(AND($E8=1,NC8=0),1000,0),MIN(TY8,20)*400+(IF('calcA'!DO$106=1,1-HM8,0)+IF('calcA'!DP$106=1,1-HO8,0))*150+215+'calcA'!DP$5*100000+IF(AND($E8=1,NC8=0),50000,0))+IF($H8=1,INDEX('calcA'!$D$180:$EQ$219,$B8,117)*4000,0)-IF(AND('calcA'!DO$117=1,YM8&gt;0),2000,0)-IF(AND($U8=1,'calcA'!DP$117=1,HO8=0),2000,0))),1000000000))</f>
        <v/>
      </c>
      <c r="SS8">
        <f>IF($B8=0,1000000000,IF(INDEX('calcA'!$D$60:$EQ$99,$B8,118)*IF($W8=1,HO8+AED8,HO8)=1,IF(AND($E8=2,IF($W8=1,AJS8,ND8)=0),1000000000,IF($V8=1,INDEX('calcA'!$D$130:$EQ$169,$B8,118)+IF(AND($E8=1,ND8=0),25,0),IF($F8&gt;0,INDEX('calcA'!DQ$110:DQ$114,$F8+1)+IF(AND($E8=1,ND8=0),1000,0),MIN(TY8,20)*400+(IF('calcA'!DP$106=1,1-HN8,0)+IF('calcA'!DQ$106=1,1-HP8,0))*150+225+'calcA'!DQ$5*100000+IF(AND($E8=1,ND8=0),50000,0))+IF($H8=1,INDEX('calcA'!$D$180:$EQ$219,$B8,118)*4000,0)-IF(AND('calcA'!DP$117=1,YN8&gt;0),2000,0)-IF(AND($U8=1,'calcA'!DQ$117=1,HP8=0),2000,0))),1000000000))</f>
        <v/>
      </c>
      <c r="ST8">
        <f>IF($B8=0,1000000000,IF(INDEX('calcA'!$D$60:$EQ$99,$B8,119)*IF($W8=1,HP8+AEE8,HP8)=1,IF(AND($E8=2,IF($W8=1,AJT8,NE8)=0),1000000000,IF($V8=1,INDEX('calcA'!$D$130:$EQ$169,$B8,119)+IF(AND($E8=1,NE8=0),25,0),IF($F8&gt;0,INDEX('calcA'!DR$110:DR$114,$F8+1)+IF(AND($E8=1,NE8=0),1000,0),MIN(TY8,20)*400+(IF('calcA'!DQ$106=1,1-HO8,0)+IF('calcA'!DR$106=1,1-HQ8,0))*150+235+'calcA'!DR$5*100000+IF(AND($E8=1,NE8=0),50000,0))+IF($H8=1,INDEX('calcA'!$D$180:$EQ$219,$B8,119)*4000,0)-IF(AND('calcA'!DQ$117=1,YO8&gt;0),2000,0)-IF(AND($U8=1,'calcA'!DR$117=1,HQ8=0),2000,0))),1000000000))</f>
        <v/>
      </c>
      <c r="SU8">
        <f>IF($B8=0,1000000000,IF(INDEX('calcA'!$D$60:$EQ$99,$B8,120)*IF($W8=1,HQ8+AEF8,HQ8)=1,IF(AND($E8=2,IF($W8=1,AJU8,NF8)=0),1000000000,IF($V8=1,INDEX('calcA'!$D$130:$EQ$169,$B8,120)+IF(AND($E8=1,NF8=0),25,0),IF($F8&gt;0,INDEX('calcA'!DS$110:DS$114,$F8+1)+IF(AND($E8=1,NF8=0),1000,0),MIN(TY8,20)*400+(IF('calcA'!DR$106=1,1-HP8,0))*150+245+'calcA'!DS$5*100000+IF(AND($E8=1,NF8=0),50000,0))+IF($H8=1,INDEX('calcA'!$D$180:$EQ$219,$B8,120)*4000,0)-IF(AND('calcA'!DR$117=1,YP8&gt;0),2000,0))),1000000000))</f>
        <v/>
      </c>
      <c r="SV8">
        <f>IF($B8=0,1000000000,IF(INDEX('calcA'!$D$60:$EQ$99,$B8,121)*IF($W8=1,HR8+AEG8,HR8)=1,IF(AND($E8=2,IF($W8=1,AJV8,NG8)=0),1000000000,IF($V8=1,INDEX('calcA'!$D$130:$EQ$169,$B8,121)+IF(AND($E8=1,NG8=0),25,0),IF($F8&gt;0,INDEX('calcA'!DT$110:DT$114,$F8+1)+IF(AND($E8=1,NG8=0),1000,0),MIN(TZ8,20)*400+(IF('calcA'!DT$106=1,1-HS8,0))*150+16+'calcA'!DT$5*100000+IF(AND($E8=1,NG8=0),50000,0))+IF($H8=1,INDEX('calcA'!$D$180:$EQ$219,$B8,121)*4000,0)-IF(AND($U8=1,'calcA'!DT$117=1,HS8=0),2000,0))),1000000000))</f>
        <v/>
      </c>
      <c r="SW8">
        <f>IF($B8=0,1000000000,IF(INDEX('calcA'!$D$60:$EQ$99,$B8,122)*IF($W8=1,HS8+AEH8,HS8)=1,IF(AND($E8=2,IF($W8=1,AJW8,NH8)=0),1000000000,IF($V8=1,INDEX('calcA'!$D$130:$EQ$169,$B8,122)+IF(AND($E8=1,NH8=0),25,0),IF($F8&gt;0,INDEX('calcA'!DU$110:DU$114,$F8+1)+IF(AND($E8=1,NH8=0),1000,0),MIN(TZ8,20)*400+(IF('calcA'!DT$106=1,1-HR8,0)+IF('calcA'!DU$106=1,1-HT8,0))*150+26+'calcA'!DU$5*100000+IF(AND($E8=1,NH8=0),50000,0))+IF($H8=1,INDEX('calcA'!$D$180:$EQ$219,$B8,122)*4000,0)-IF(AND('calcA'!DT$117=1,YR8&gt;0),2000,0)-IF(AND($U8=1,'calcA'!DU$117=1,HT8=0),2000,0))),1000000000))</f>
        <v/>
      </c>
      <c r="SX8">
        <f>IF($B8=0,1000000000,IF(INDEX('calcA'!$D$60:$EQ$99,$B8,123)*IF($W8=1,HT8+AEI8,HT8)=1,IF(AND($E8=2,IF($W8=1,AJX8,NI8)=0),1000000000,IF($V8=1,INDEX('calcA'!$D$130:$EQ$169,$B8,123)+IF(AND($E8=1,NI8=0),25,0),IF($F8&gt;0,INDEX('calcA'!DV$110:DV$114,$F8+1)+IF(AND($E8=1,NI8=0),1000,0),MIN(TZ8,20)*400+(IF('calcA'!DU$106=1,1-HS8,0)+IF('calcA'!DV$106=1,1-HU8,0))*150+36+'calcA'!DV$5*100000+IF(AND($E8=1,NI8=0),50000,0))+IF($H8=1,INDEX('calcA'!$D$180:$EQ$219,$B8,123)*4000,0)-IF(AND('calcA'!DU$117=1,YS8&gt;0),2000,0)-IF(AND($U8=1,'calcA'!DV$117=1,HU8=0),2000,0))),1000000000))</f>
        <v/>
      </c>
      <c r="SY8">
        <f>IF($B8=0,1000000000,IF(INDEX('calcA'!$D$60:$EQ$99,$B8,124)*IF($W8=1,HU8+AEJ8,HU8)=1,IF(AND($E8=2,IF($W8=1,AJY8,NJ8)=0),1000000000,IF($V8=1,INDEX('calcA'!$D$130:$EQ$169,$B8,124)+IF(AND($E8=1,NJ8=0),25,0),IF($F8&gt;0,INDEX('calcA'!DW$110:DW$114,$F8+1)+IF(AND($E8=1,NJ8=0),1000,0),MIN(TZ8,20)*400+(IF('calcA'!DV$106=1,1-HT8,0)+IF('calcA'!DW$106=1,1-HV8,0))*150+46+'calcA'!DW$5*100000+IF(AND($E8=1,NJ8=0),50000,0))+IF($H8=1,INDEX('calcA'!$D$180:$EQ$219,$B8,124)*4000,0)-IF(AND('calcA'!DV$117=1,YT8&gt;0),2000,0)-IF(AND($U8=1,'calcA'!DW$117=1,HV8=0),2000,0))),1000000000))</f>
        <v/>
      </c>
      <c r="SZ8">
        <f>IF($B8=0,1000000000,IF(INDEX('calcA'!$D$60:$EQ$99,$B8,125)*IF($W8=1,HV8+AEK8,HV8)=1,IF(AND($E8=2,IF($W8=1,AJZ8,NK8)=0),1000000000,IF($V8=1,INDEX('calcA'!$D$130:$EQ$169,$B8,125)+IF(AND($E8=1,NK8=0),25,0),IF($F8&gt;0,INDEX('calcA'!DX$110:DX$114,$F8+1)+IF(AND($E8=1,NK8=0),1000,0),MIN(TZ8,20)*400+(IF('calcA'!DW$106=1,1-HU8,0)+IF('calcA'!DX$106=1,1-HW8,0))*150+56+'calcA'!DX$5*100000+IF(AND($E8=1,NK8=0),50000,0))+IF($H8=1,INDEX('calcA'!$D$180:$EQ$219,$B8,125)*4000,0)-IF(AND('calcA'!DW$117=1,YU8&gt;0),2000,0)-IF(AND($U8=1,'calcA'!DX$117=1,HW8=0),2000,0))),1000000000))</f>
        <v/>
      </c>
      <c r="TA8">
        <f>IF($B8=0,1000000000,IF(INDEX('calcA'!$D$60:$EQ$99,$B8,126)*IF($W8=1,HW8+AEL8,HW8)=1,IF(AND($E8=2,IF($W8=1,AKA8,NL8)=0),1000000000,IF($V8=1,INDEX('calcA'!$D$130:$EQ$169,$B8,126)+IF(AND($E8=1,NL8=0),25,0),IF($F8&gt;0,INDEX('calcA'!DY$110:DY$114,$F8+1)+IF(AND($E8=1,NL8=0),1000,0),MIN(TZ8,20)*400+(IF('calcA'!DX$106=1,1-HV8,0)+IF('calcA'!DY$106=1,1-HX8,0))*150+66+'calcA'!DY$5*100000+IF(AND($E8=1,NL8=0),50000,0))+IF($H8=1,INDEX('calcA'!$D$180:$EQ$219,$B8,126)*4000,0)-IF(AND('calcA'!DX$117=1,YV8&gt;0),2000,0)-IF(AND($U8=1,'calcA'!DY$117=1,HX8=0),2000,0))),1000000000))</f>
        <v/>
      </c>
      <c r="TB8">
        <f>IF($B8=0,1000000000,IF(INDEX('calcA'!$D$60:$EQ$99,$B8,127)*IF($W8=1,HX8+AEM8,HX8)=1,IF(AND($E8=2,IF($W8=1,AKB8,NM8)=0),1000000000,IF($V8=1,INDEX('calcA'!$D$130:$EQ$169,$B8,127)+IF(AND($E8=1,NM8=0),25,0),IF($F8&gt;0,INDEX('calcA'!DZ$110:DZ$114,$F8+1)+IF(AND($E8=1,NM8=0),1000,0),MIN(TZ8,20)*400+(IF('calcA'!DY$106=1,1-HW8,0)+IF('calcA'!DZ$106=1,1-HY8,0))*150+76+'calcA'!DZ$5*100000+IF(AND($E8=1,NM8=0),50000,0))+IF($H8=1,INDEX('calcA'!$D$180:$EQ$219,$B8,127)*4000,0)-IF(AND('calcA'!DY$117=1,YW8&gt;0),2000,0)-IF(AND($U8=1,'calcA'!DZ$117=1,HY8=0),2000,0))),1000000000))</f>
        <v/>
      </c>
      <c r="TC8">
        <f>IF($B8=0,1000000000,IF(INDEX('calcA'!$D$60:$EQ$99,$B8,128)*IF($W8=1,HY8+AEN8,HY8)=1,IF(AND($E8=2,IF($W8=1,AKC8,NN8)=0),1000000000,IF($V8=1,INDEX('calcA'!$D$130:$EQ$169,$B8,128)+IF(AND($E8=1,NN8=0),25,0),IF($F8&gt;0,INDEX('calcA'!EA$110:EA$114,$F8+1)+IF(AND($E8=1,NN8=0),1000,0),MIN(TZ8,20)*400+(IF('calcA'!DZ$106=1,1-HX8,0)+IF('calcA'!EA$106=1,1-HZ8,0))*150+86+'calcA'!EA$5*100000+IF(AND($E8=1,NN8=0),50000,0))+IF($H8=1,INDEX('calcA'!$D$180:$EQ$219,$B8,128)*4000,0)-IF(AND('calcA'!DZ$117=1,YX8&gt;0),2000,0)-IF(AND($U8=1,'calcA'!EA$117=1,HZ8=0),2000,0))),1000000000))</f>
        <v/>
      </c>
      <c r="TD8">
        <f>IF($B8=0,1000000000,IF(INDEX('calcA'!$D$60:$EQ$99,$B8,129)*IF($W8=1,HZ8+AEO8,HZ8)=1,IF(AND($E8=2,IF($W8=1,AKD8,NO8)=0),1000000000,IF($V8=1,INDEX('calcA'!$D$130:$EQ$169,$B8,129)+IF(AND($E8=1,NO8=0),25,0),IF($F8&gt;0,INDEX('calcA'!EB$110:EB$114,$F8+1)+IF(AND($E8=1,NO8=0),1000,0),MIN(TZ8,20)*400+(IF('calcA'!EA$106=1,1-HY8,0)+IF('calcA'!EB$106=1,1-IA8,0))*150+96+'calcA'!EB$5*100000+IF(AND($E8=1,NO8=0),50000,0))+IF($H8=1,INDEX('calcA'!$D$180:$EQ$219,$B8,129)*4000,0)-IF(AND('calcA'!EA$117=1,YY8&gt;0),2000,0)-IF(AND($U8=1,'calcA'!EB$117=1,IA8=0),2000,0))),1000000000))</f>
        <v/>
      </c>
      <c r="TE8">
        <f>IF($B8=0,1000000000,IF(INDEX('calcA'!$D$60:$EQ$99,$B8,130)*IF($W8=1,IA8+AEP8,IA8)=1,IF(AND($E8=2,IF($W8=1,AKE8,NP8)=0),1000000000,IF($V8=1,INDEX('calcA'!$D$130:$EQ$169,$B8,130)+IF(AND($E8=1,NP8=0),25,0),IF($F8&gt;0,INDEX('calcA'!EC$110:EC$114,$F8+1)+IF(AND($E8=1,NP8=0),1000,0),MIN(TZ8,20)*400+(IF('calcA'!EB$106=1,1-HZ8,0)+IF('calcA'!EC$106=1,1-IB8,0))*150+106+'calcA'!EC$5*100000+IF(AND($E8=1,NP8=0),50000,0))+IF($H8=1,INDEX('calcA'!$D$180:$EQ$219,$B8,130)*4000,0)-IF(AND('calcA'!EB$117=1,YZ8&gt;0),2000,0)-IF(AND($U8=1,'calcA'!EC$117=1,IB8=0),2000,0))),1000000000))</f>
        <v/>
      </c>
      <c r="TF8">
        <f>IF($B8=0,1000000000,IF(INDEX('calcA'!$D$60:$EQ$99,$B8,131)*IF($W8=1,IB8+AEQ8,IB8)=1,IF(AND($E8=2,IF($W8=1,AKF8,NQ8)=0),1000000000,IF($V8=1,INDEX('calcA'!$D$130:$EQ$169,$B8,131)+IF(AND($E8=1,NQ8=0),25,0),IF($F8&gt;0,INDEX('calcA'!ED$110:ED$114,$F8+1)+IF(AND($E8=1,NQ8=0),1000,0),MIN(TZ8,20)*400+(IF('calcA'!EC$106=1,1-IA8,0)+IF('calcA'!ED$106=1,1-IC8,0))*150+116+'calcA'!ED$5*100000+IF(AND($E8=1,NQ8=0),50000,0))+IF($H8=1,INDEX('calcA'!$D$180:$EQ$219,$B8,131)*4000,0)-IF(AND('calcA'!EC$117=1,ZA8&gt;0),2000,0)-IF(AND($U8=1,'calcA'!ED$117=1,IC8=0),2000,0))),1000000000))</f>
        <v/>
      </c>
      <c r="TG8">
        <f>IF($B8=0,1000000000,IF(INDEX('calcA'!$D$60:$EQ$99,$B8,132)*IF($W8=1,IC8+AER8,IC8)=1,IF(AND($E8=2,IF($W8=1,AKG8,NR8)=0),1000000000,IF($V8=1,INDEX('calcA'!$D$130:$EQ$169,$B8,132)+IF(AND($E8=1,NR8=0),25,0),IF($F8&gt;0,INDEX('calcA'!EE$110:EE$114,$F8+1)+IF(AND($E8=1,NR8=0),1000,0),MIN(TZ8,20)*400+(IF('calcA'!ED$106=1,1-IB8,0)+IF('calcA'!EE$106=1,1-ID8,0))*150+126+'calcA'!EE$5*100000+IF(AND($E8=1,NR8=0),50000,0))+IF($H8=1,INDEX('calcA'!$D$180:$EQ$219,$B8,132)*4000,0)-IF(AND('calcA'!ED$117=1,ZB8&gt;0),2000,0)-IF(AND($U8=1,'calcA'!EE$117=1,ID8=0),2000,0))),1000000000))</f>
        <v/>
      </c>
      <c r="TH8">
        <f>IF($B8=0,1000000000,IF(INDEX('calcA'!$D$60:$EQ$99,$B8,133)*IF($W8=1,ID8+AES8,ID8)=1,IF(AND($E8=2,IF($W8=1,AKH8,NS8)=0),1000000000,IF($V8=1,INDEX('calcA'!$D$130:$EQ$169,$B8,133)+IF(AND($E8=1,NS8=0),25,0),IF($F8&gt;0,INDEX('calcA'!EF$110:EF$114,$F8+1)+IF(AND($E8=1,NS8=0),1000,0),MIN(TZ8,20)*400+(IF('calcA'!EE$106=1,1-IC8,0)+IF('calcA'!EF$106=1,1-IE8,0))*150+136+'calcA'!EF$5*100000+IF(AND($E8=1,NS8=0),50000,0))+IF($H8=1,INDEX('calcA'!$D$180:$EQ$219,$B8,133)*4000,0)-IF(AND('calcA'!EE$117=1,ZC8&gt;0),2000,0)-IF(AND($U8=1,'calcA'!EF$117=1,IE8=0),2000,0))),1000000000))</f>
        <v/>
      </c>
      <c r="TI8">
        <f>IF($B8=0,1000000000,IF(INDEX('calcA'!$D$60:$EQ$99,$B8,134)*IF($W8=1,IE8+AET8,IE8)=1,IF(AND($E8=2,IF($W8=1,AKI8,NT8)=0),1000000000,IF($V8=1,INDEX('calcA'!$D$130:$EQ$169,$B8,134)+IF(AND($E8=1,NT8=0),25,0),IF($F8&gt;0,INDEX('calcA'!EG$110:EG$114,$F8+1)+IF(AND($E8=1,NT8=0),1000,0),MIN(TZ8,20)*400+(IF('calcA'!EF$106=1,1-ID8,0)+IF('calcA'!EG$106=1,1-IF8,0))*150+146+'calcA'!EG$5*100000+IF(AND($E8=1,NT8=0),50000,0))+IF($H8=1,INDEX('calcA'!$D$180:$EQ$219,$B8,134)*4000,0)-IF(AND('calcA'!EF$117=1,ZD8&gt;0),2000,0)-IF(AND($U8=1,'calcA'!EG$117=1,IF8=0),2000,0))),1000000000))</f>
        <v/>
      </c>
      <c r="TJ8">
        <f>IF($B8=0,1000000000,IF(INDEX('calcA'!$D$60:$EQ$99,$B8,135)*IF($W8=1,IF8+AEU8,IF8)=1,IF(AND($E8=2,IF($W8=1,AKJ8,NU8)=0),1000000000,IF($V8=1,INDEX('calcA'!$D$130:$EQ$169,$B8,135)+IF(AND($E8=1,NU8=0),25,0),IF($F8&gt;0,INDEX('calcA'!EH$110:EH$114,$F8+1)+IF(AND($E8=1,NU8=0),1000,0),MIN(TZ8,20)*400+(IF('calcA'!EG$106=1,1-IE8,0)+IF('calcA'!EH$106=1,1-IG8,0))*150+156+'calcA'!EH$5*100000+IF(AND($E8=1,NU8=0),50000,0))+IF($H8=1,INDEX('calcA'!$D$180:$EQ$219,$B8,135)*4000,0)-IF(AND('calcA'!EG$117=1,ZE8&gt;0),2000,0)-IF(AND($U8=1,'calcA'!EH$117=1,IG8=0),2000,0))),1000000000))</f>
        <v/>
      </c>
      <c r="TK8">
        <f>IF($B8=0,1000000000,IF(INDEX('calcA'!$D$60:$EQ$99,$B8,136)*IF($W8=1,IG8+AEV8,IG8)=1,IF(AND($E8=2,IF($W8=1,AKK8,NV8)=0),1000000000,IF($V8=1,INDEX('calcA'!$D$130:$EQ$169,$B8,136)+IF(AND($E8=1,NV8=0),25,0),IF($F8&gt;0,INDEX('calcA'!EI$110:EI$114,$F8+1)+IF(AND($E8=1,NV8=0),1000,0),MIN(TZ8,20)*400+(IF('calcA'!EH$106=1,1-IF8,0)+IF('calcA'!EI$106=1,1-IH8,0))*150+166+'calcA'!EI$5*100000+IF(AND($E8=1,NV8=0),50000,0))+IF($H8=1,INDEX('calcA'!$D$180:$EQ$219,$B8,136)*4000,0)-IF(AND('calcA'!EH$117=1,ZF8&gt;0),2000,0)-IF(AND($U8=1,'calcA'!EI$117=1,IH8=0),2000,0))),1000000000))</f>
        <v/>
      </c>
      <c r="TL8">
        <f>IF($B8=0,1000000000,IF(INDEX('calcA'!$D$60:$EQ$99,$B8,137)*IF($W8=1,IH8+AEW8,IH8)=1,IF(AND($E8=2,IF($W8=1,AKL8,NW8)=0),1000000000,IF($V8=1,INDEX('calcA'!$D$130:$EQ$169,$B8,137)+IF(AND($E8=1,NW8=0),25,0),IF($F8&gt;0,INDEX('calcA'!EJ$110:EJ$114,$F8+1)+IF(AND($E8=1,NW8=0),1000,0),MIN(TZ8,20)*400+(IF('calcA'!EI$106=1,1-IG8,0)+IF('calcA'!EJ$106=1,1-II8,0))*150+176+'calcA'!EJ$5*100000+IF(AND($E8=1,NW8=0),50000,0))+IF($H8=1,INDEX('calcA'!$D$180:$EQ$219,$B8,137)*4000,0)-IF(AND('calcA'!EI$117=1,ZG8&gt;0),2000,0)-IF(AND($U8=1,'calcA'!EJ$117=1,II8=0),2000,0))),1000000000))</f>
        <v/>
      </c>
      <c r="TM8">
        <f>IF($B8=0,1000000000,IF(INDEX('calcA'!$D$60:$EQ$99,$B8,138)*IF($W8=1,II8+AEX8,II8)=1,IF(AND($E8=2,IF($W8=1,AKM8,NX8)=0),1000000000,IF($V8=1,INDEX('calcA'!$D$130:$EQ$169,$B8,138)+IF(AND($E8=1,NX8=0),25,0),IF($F8&gt;0,INDEX('calcA'!EK$110:EK$114,$F8+1)+IF(AND($E8=1,NX8=0),1000,0),MIN(TZ8,20)*400+(IF('calcA'!EJ$106=1,1-IH8,0)+IF('calcA'!EK$106=1,1-IJ8,0))*150+186+'calcA'!EK$5*100000+IF(AND($E8=1,NX8=0),50000,0))+IF($H8=1,INDEX('calcA'!$D$180:$EQ$219,$B8,138)*4000,0)-IF(AND('calcA'!EJ$117=1,ZH8&gt;0),2000,0)-IF(AND($U8=1,'calcA'!EK$117=1,IJ8=0),2000,0))),1000000000))</f>
        <v/>
      </c>
      <c r="TN8">
        <f>IF($B8=0,1000000000,IF(INDEX('calcA'!$D$60:$EQ$99,$B8,139)*IF($W8=1,IJ8+AEY8,IJ8)=1,IF(AND($E8=2,IF($W8=1,AKN8,NY8)=0),1000000000,IF($V8=1,INDEX('calcA'!$D$130:$EQ$169,$B8,139)+IF(AND($E8=1,NY8=0),25,0),IF($F8&gt;0,INDEX('calcA'!EL$110:EL$114,$F8+1)+IF(AND($E8=1,NY8=0),1000,0),MIN(TZ8,20)*400+(IF('calcA'!EK$106=1,1-II8,0)+IF('calcA'!EL$106=1,1-IK8,0))*150+196+'calcA'!EL$5*100000+IF(AND($E8=1,NY8=0),50000,0))+IF($H8=1,INDEX('calcA'!$D$180:$EQ$219,$B8,139)*4000,0)-IF(AND('calcA'!EK$117=1,ZI8&gt;0),2000,0)-IF(AND($U8=1,'calcA'!EL$117=1,IK8=0),2000,0))),1000000000))</f>
        <v/>
      </c>
      <c r="TO8">
        <f>IF($B8=0,1000000000,IF(INDEX('calcA'!$D$60:$EQ$99,$B8,140)*IF($W8=1,IK8+AEZ8,IK8)=1,IF(AND($E8=2,IF($W8=1,AKO8,NZ8)=0),1000000000,IF($V8=1,INDEX('calcA'!$D$130:$EQ$169,$B8,140)+IF(AND($E8=1,NZ8=0),25,0),IF($F8&gt;0,INDEX('calcA'!EM$110:EM$114,$F8+1)+IF(AND($E8=1,NZ8=0),1000,0),MIN(TZ8,20)*400+(IF('calcA'!EL$106=1,1-IJ8,0)+IF('calcA'!EM$106=1,1-IL8,0))*150+206+'calcA'!EM$5*100000+IF(AND($E8=1,NZ8=0),50000,0))+IF($H8=1,INDEX('calcA'!$D$180:$EQ$219,$B8,140)*4000,0)-IF(AND('calcA'!EL$117=1,ZJ8&gt;0),2000,0)-IF(AND($U8=1,'calcA'!EM$117=1,IL8=0),2000,0))),1000000000))</f>
        <v/>
      </c>
      <c r="TP8">
        <f>IF($B8=0,1000000000,IF(INDEX('calcA'!$D$60:$EQ$99,$B8,141)*IF($W8=1,IL8+AFA8,IL8)=1,IF(AND($E8=2,IF($W8=1,AKP8,OA8)=0),1000000000,IF($V8=1,INDEX('calcA'!$D$130:$EQ$169,$B8,141)+IF(AND($E8=1,OA8=0),25,0),IF($F8&gt;0,INDEX('calcA'!EN$110:EN$114,$F8+1)+IF(AND($E8=1,OA8=0),1000,0),MIN(TZ8,20)*400+(IF('calcA'!EM$106=1,1-IK8,0)+IF('calcA'!EN$106=1,1-IM8,0))*150+216+'calcA'!EN$5*100000+IF(AND($E8=1,OA8=0),50000,0))+IF($H8=1,INDEX('calcA'!$D$180:$EQ$219,$B8,141)*4000,0)-IF(AND('calcA'!EM$117=1,ZK8&gt;0),2000,0)-IF(AND($U8=1,'calcA'!EN$117=1,IM8=0),2000,0))),1000000000))</f>
        <v/>
      </c>
      <c r="TQ8">
        <f>IF($B8=0,1000000000,IF(INDEX('calcA'!$D$60:$EQ$99,$B8,142)*IF($W8=1,IM8+AFB8,IM8)=1,IF(AND($E8=2,IF($W8=1,AKQ8,OB8)=0),1000000000,IF($V8=1,INDEX('calcA'!$D$130:$EQ$169,$B8,142)+IF(AND($E8=1,OB8=0),25,0),IF($F8&gt;0,INDEX('calcA'!EO$110:EO$114,$F8+1)+IF(AND($E8=1,OB8=0),1000,0),MIN(TZ8,20)*400+(IF('calcA'!EN$106=1,1-IL8,0)+IF('calcA'!EO$106=1,1-IN8,0))*150+226+'calcA'!EO$5*100000+IF(AND($E8=1,OB8=0),50000,0))+IF($H8=1,INDEX('calcA'!$D$180:$EQ$219,$B8,142)*4000,0)-IF(AND('calcA'!EN$117=1,ZL8&gt;0),2000,0)-IF(AND($U8=1,'calcA'!EO$117=1,IN8=0),2000,0))),1000000000))</f>
        <v/>
      </c>
      <c r="TR8">
        <f>IF($B8=0,1000000000,IF(INDEX('calcA'!$D$60:$EQ$99,$B8,143)*IF($W8=1,IN8+AFC8,IN8)=1,IF(AND($E8=2,IF($W8=1,AKR8,OC8)=0),1000000000,IF($V8=1,INDEX('calcA'!$D$130:$EQ$169,$B8,143)+IF(AND($E8=1,OC8=0),25,0),IF($F8&gt;0,INDEX('calcA'!EP$110:EP$114,$F8+1)+IF(AND($E8=1,OC8=0),1000,0),MIN(TZ8,20)*400+(IF('calcA'!EO$106=1,1-IM8,0)+IF('calcA'!EP$106=1,1-IO8,0))*150+236+'calcA'!EP$5*100000+IF(AND($E8=1,OC8=0),50000,0))+IF($H8=1,INDEX('calcA'!$D$180:$EQ$219,$B8,143)*4000,0)-IF(AND('calcA'!EO$117=1,ZM8&gt;0),2000,0)-IF(AND($U8=1,'calcA'!EP$117=1,IO8=0),2000,0))),1000000000))</f>
        <v/>
      </c>
      <c r="TS8">
        <f>IF($B8=0,1000000000,IF(INDEX('calcA'!$D$60:$EQ$99,$B8,144)*IF($W8=1,IO8+AFD8,IO8)=1,IF(AND($E8=2,IF($W8=1,AKS8,OD8)=0),1000000000,IF($V8=1,INDEX('calcA'!$D$130:$EQ$169,$B8,144)+IF(AND($E8=1,OD8=0),25,0),IF($F8&gt;0,INDEX('calcA'!EQ$110:EQ$114,$F8+1)+IF(AND($E8=1,OD8=0),1000,0),MIN(TZ8,20)*400+(IF('calcA'!EP$106=1,1-IN8,0))*150+246+'calcA'!EQ$5*100000+IF(AND($E8=1,OD8=0),50000,0))+IF($H8=1,INDEX('calcA'!$D$180:$EQ$219,$B8,144)*4000,0)-IF(AND('calcA'!EP$117=1,ZN8&gt;0),2000,0))),1000000000))</f>
        <v/>
      </c>
      <c r="TU8">
        <f>TU7+IF($C7&gt;0,IF(INDEX('calcA'!$D$2:$EQ$2,$C7)=1,1,0),0)</f>
        <v/>
      </c>
      <c r="TV8">
        <f>TV7+IF($C7&gt;0,IF(INDEX('calcA'!$D$2:$EQ$2,$C7)=2,1,0),0)</f>
        <v/>
      </c>
      <c r="TW8">
        <f>TW7+IF($C7&gt;0,IF(INDEX('calcA'!$D$2:$EQ$2,$C7)=3,1,0),0)</f>
        <v/>
      </c>
      <c r="TX8">
        <f>TX7+IF($C7&gt;0,IF(INDEX('calcA'!$D$2:$EQ$2,$C7)=4,1,0),0)</f>
        <v/>
      </c>
      <c r="TY8">
        <f>TY7+IF($C7&gt;0,IF(INDEX('calcA'!$D$2:$EQ$2,$C7)=5,1,0),0)</f>
        <v/>
      </c>
      <c r="TZ8">
        <f>TZ7+IF($C7&gt;0,IF(INDEX('calcA'!$D$2:$EQ$2,$C7)=6,1,0),0)</f>
        <v/>
      </c>
      <c r="UB8">
        <f>UB7+IF(AND($C7=1,$U7=1),1,0)</f>
        <v/>
      </c>
      <c r="UC8">
        <f>UC7+IF(AND($C7=2,$U7=1),1,0)</f>
        <v/>
      </c>
      <c r="UD8">
        <f>UD7+IF(AND($C7=3,$U7=1),1,0)</f>
        <v/>
      </c>
      <c r="UE8">
        <f>UE7+IF(AND($C7=4,$U7=1),1,0)</f>
        <v/>
      </c>
      <c r="UF8">
        <f>UF7+IF(AND($C7=5,$U7=1),1,0)</f>
        <v/>
      </c>
      <c r="UG8">
        <f>UG7+IF(AND($C7=6,$U7=1),1,0)</f>
        <v/>
      </c>
      <c r="UH8">
        <f>UH7+IF(AND($C7=7,$U7=1),1,0)</f>
        <v/>
      </c>
      <c r="UI8">
        <f>UI7+IF(AND($C7=8,$U7=1),1,0)</f>
        <v/>
      </c>
      <c r="UJ8">
        <f>UJ7+IF(AND($C7=9,$U7=1),1,0)</f>
        <v/>
      </c>
      <c r="UK8">
        <f>UK7+IF(AND($C7=10,$U7=1),1,0)</f>
        <v/>
      </c>
      <c r="UL8">
        <f>UL7+IF(AND($C7=11,$U7=1),1,0)</f>
        <v/>
      </c>
      <c r="UM8">
        <f>UM7+IF(AND($C7=12,$U7=1),1,0)</f>
        <v/>
      </c>
      <c r="UN8">
        <f>UN7+IF(AND($C7=13,$U7=1),1,0)</f>
        <v/>
      </c>
      <c r="UO8">
        <f>UO7+IF(AND($C7=14,$U7=1),1,0)</f>
        <v/>
      </c>
      <c r="UP8">
        <f>UP7+IF(AND($C7=15,$U7=1),1,0)</f>
        <v/>
      </c>
      <c r="UQ8">
        <f>UQ7+IF(AND($C7=16,$U7=1),1,0)</f>
        <v/>
      </c>
      <c r="UR8">
        <f>UR7+IF(AND($C7=17,$U7=1),1,0)</f>
        <v/>
      </c>
      <c r="US8">
        <f>US7+IF(AND($C7=18,$U7=1),1,0)</f>
        <v/>
      </c>
      <c r="UT8">
        <f>UT7+IF(AND($C7=19,$U7=1),1,0)</f>
        <v/>
      </c>
      <c r="UU8">
        <f>UU7+IF(AND($C7=20,$U7=1),1,0)</f>
        <v/>
      </c>
      <c r="UV8">
        <f>UV7+IF(AND($C7=21,$U7=1),1,0)</f>
        <v/>
      </c>
      <c r="UW8">
        <f>UW7+IF(AND($C7=22,$U7=1),1,0)</f>
        <v/>
      </c>
      <c r="UX8">
        <f>UX7+IF(AND($C7=23,$U7=1),1,0)</f>
        <v/>
      </c>
      <c r="UY8">
        <f>UY7+IF(AND($C7=24,$U7=1),1,0)</f>
        <v/>
      </c>
      <c r="UZ8">
        <f>UZ7+IF(AND($C7=25,$U7=1),1,0)</f>
        <v/>
      </c>
      <c r="VA8">
        <f>VA7+IF(AND($C7=26,$U7=1),1,0)</f>
        <v/>
      </c>
      <c r="VB8">
        <f>VB7+IF(AND($C7=27,$U7=1),1,0)</f>
        <v/>
      </c>
      <c r="VC8">
        <f>VC7+IF(AND($C7=28,$U7=1),1,0)</f>
        <v/>
      </c>
      <c r="VD8">
        <f>VD7+IF(AND($C7=29,$U7=1),1,0)</f>
        <v/>
      </c>
      <c r="VE8">
        <f>VE7+IF(AND($C7=30,$U7=1),1,0)</f>
        <v/>
      </c>
      <c r="VF8">
        <f>VF7+IF(AND($C7=31,$U7=1),1,0)</f>
        <v/>
      </c>
      <c r="VG8">
        <f>VG7+IF(AND($C7=32,$U7=1),1,0)</f>
        <v/>
      </c>
      <c r="VH8">
        <f>VH7+IF(AND($C7=33,$U7=1),1,0)</f>
        <v/>
      </c>
      <c r="VI8">
        <f>VI7+IF(AND($C7=34,$U7=1),1,0)</f>
        <v/>
      </c>
      <c r="VJ8">
        <f>VJ7+IF(AND($C7=35,$U7=1),1,0)</f>
        <v/>
      </c>
      <c r="VK8">
        <f>VK7+IF(AND($C7=36,$U7=1),1,0)</f>
        <v/>
      </c>
      <c r="VL8">
        <f>VL7+IF(AND($C7=37,$U7=1),1,0)</f>
        <v/>
      </c>
      <c r="VM8">
        <f>VM7+IF(AND($C7=38,$U7=1),1,0)</f>
        <v/>
      </c>
      <c r="VN8">
        <f>VN7+IF(AND($C7=39,$U7=1),1,0)</f>
        <v/>
      </c>
      <c r="VO8">
        <f>VO7+IF(AND($C7=40,$U7=1),1,0)</f>
        <v/>
      </c>
      <c r="VP8">
        <f>VP7+IF(AND($C7=41,$U7=1),1,0)</f>
        <v/>
      </c>
      <c r="VQ8">
        <f>VQ7+IF(AND($C7=42,$U7=1),1,0)</f>
        <v/>
      </c>
      <c r="VR8">
        <f>VR7+IF(AND($C7=43,$U7=1),1,0)</f>
        <v/>
      </c>
      <c r="VS8">
        <f>VS7+IF(AND($C7=44,$U7=1),1,0)</f>
        <v/>
      </c>
      <c r="VT8">
        <f>VT7+IF(AND($C7=45,$U7=1),1,0)</f>
        <v/>
      </c>
      <c r="VU8">
        <f>VU7+IF(AND($C7=46,$U7=1),1,0)</f>
        <v/>
      </c>
      <c r="VV8">
        <f>VV7+IF(AND($C7=47,$U7=1),1,0)</f>
        <v/>
      </c>
      <c r="VW8">
        <f>VW7+IF(AND($C7=48,$U7=1),1,0)</f>
        <v/>
      </c>
      <c r="VX8">
        <f>VX7+IF(AND($C7=49,$U7=1),1,0)</f>
        <v/>
      </c>
      <c r="VY8">
        <f>VY7+IF(AND($C7=50,$U7=1),1,0)</f>
        <v/>
      </c>
      <c r="VZ8">
        <f>VZ7+IF(AND($C7=51,$U7=1),1,0)</f>
        <v/>
      </c>
      <c r="WA8">
        <f>WA7+IF(AND($C7=52,$U7=1),1,0)</f>
        <v/>
      </c>
      <c r="WB8">
        <f>WB7+IF(AND($C7=53,$U7=1),1,0)</f>
        <v/>
      </c>
      <c r="WC8">
        <f>WC7+IF(AND($C7=54,$U7=1),1,0)</f>
        <v/>
      </c>
      <c r="WD8">
        <f>WD7+IF(AND($C7=55,$U7=1),1,0)</f>
        <v/>
      </c>
      <c r="WE8">
        <f>WE7+IF(AND($C7=56,$U7=1),1,0)</f>
        <v/>
      </c>
      <c r="WF8">
        <f>WF7+IF(AND($C7=57,$U7=1),1,0)</f>
        <v/>
      </c>
      <c r="WG8">
        <f>WG7+IF(AND($C7=58,$U7=1),1,0)</f>
        <v/>
      </c>
      <c r="WH8">
        <f>WH7+IF(AND($C7=59,$U7=1),1,0)</f>
        <v/>
      </c>
      <c r="WI8">
        <f>WI7+IF(AND($C7=60,$U7=1),1,0)</f>
        <v/>
      </c>
      <c r="WJ8">
        <f>WJ7+IF(AND($C7=61,$U7=1),1,0)</f>
        <v/>
      </c>
      <c r="WK8">
        <f>WK7+IF(AND($C7=62,$U7=1),1,0)</f>
        <v/>
      </c>
      <c r="WL8">
        <f>WL7+IF(AND($C7=63,$U7=1),1,0)</f>
        <v/>
      </c>
      <c r="WM8">
        <f>WM7+IF(AND($C7=64,$U7=1),1,0)</f>
        <v/>
      </c>
      <c r="WN8">
        <f>WN7+IF(AND($C7=65,$U7=1),1,0)</f>
        <v/>
      </c>
      <c r="WO8">
        <f>WO7+IF(AND($C7=66,$U7=1),1,0)</f>
        <v/>
      </c>
      <c r="WP8">
        <f>WP7+IF(AND($C7=67,$U7=1),1,0)</f>
        <v/>
      </c>
      <c r="WQ8">
        <f>WQ7+IF(AND($C7=68,$U7=1),1,0)</f>
        <v/>
      </c>
      <c r="WR8">
        <f>WR7+IF(AND($C7=69,$U7=1),1,0)</f>
        <v/>
      </c>
      <c r="WS8">
        <f>WS7+IF(AND($C7=70,$U7=1),1,0)</f>
        <v/>
      </c>
      <c r="WT8">
        <f>WT7+IF(AND($C7=71,$U7=1),1,0)</f>
        <v/>
      </c>
      <c r="WU8">
        <f>WU7+IF(AND($C7=72,$U7=1),1,0)</f>
        <v/>
      </c>
      <c r="WV8">
        <f>WV7+IF(AND($C7=73,$U7=1),1,0)</f>
        <v/>
      </c>
      <c r="WW8">
        <f>WW7+IF(AND($C7=74,$U7=1),1,0)</f>
        <v/>
      </c>
      <c r="WX8">
        <f>WX7+IF(AND($C7=75,$U7=1),1,0)</f>
        <v/>
      </c>
      <c r="WY8">
        <f>WY7+IF(AND($C7=76,$U7=1),1,0)</f>
        <v/>
      </c>
      <c r="WZ8">
        <f>WZ7+IF(AND($C7=77,$U7=1),1,0)</f>
        <v/>
      </c>
      <c r="XA8">
        <f>XA7+IF(AND($C7=78,$U7=1),1,0)</f>
        <v/>
      </c>
      <c r="XB8">
        <f>XB7+IF(AND($C7=79,$U7=1),1,0)</f>
        <v/>
      </c>
      <c r="XC8">
        <f>XC7+IF(AND($C7=80,$U7=1),1,0)</f>
        <v/>
      </c>
      <c r="XD8">
        <f>XD7+IF(AND($C7=81,$U7=1),1,0)</f>
        <v/>
      </c>
      <c r="XE8">
        <f>XE7+IF(AND($C7=82,$U7=1),1,0)</f>
        <v/>
      </c>
      <c r="XF8">
        <f>XF7+IF(AND($C7=83,$U7=1),1,0)</f>
        <v/>
      </c>
      <c r="XG8">
        <f>XG7+IF(AND($C7=84,$U7=1),1,0)</f>
        <v/>
      </c>
      <c r="XH8">
        <f>XH7+IF(AND($C7=85,$U7=1),1,0)</f>
        <v/>
      </c>
      <c r="XI8">
        <f>XI7+IF(AND($C7=86,$U7=1),1,0)</f>
        <v/>
      </c>
      <c r="XJ8">
        <f>XJ7+IF(AND($C7=87,$U7=1),1,0)</f>
        <v/>
      </c>
      <c r="XK8">
        <f>XK7+IF(AND($C7=88,$U7=1),1,0)</f>
        <v/>
      </c>
      <c r="XL8">
        <f>XL7+IF(AND($C7=89,$U7=1),1,0)</f>
        <v/>
      </c>
      <c r="XM8">
        <f>XM7+IF(AND($C7=90,$U7=1),1,0)</f>
        <v/>
      </c>
      <c r="XN8">
        <f>XN7+IF(AND($C7=91,$U7=1),1,0)</f>
        <v/>
      </c>
      <c r="XO8">
        <f>XO7+IF(AND($C7=92,$U7=1),1,0)</f>
        <v/>
      </c>
      <c r="XP8">
        <f>XP7+IF(AND($C7=93,$U7=1),1,0)</f>
        <v/>
      </c>
      <c r="XQ8">
        <f>XQ7+IF(AND($C7=94,$U7=1),1,0)</f>
        <v/>
      </c>
      <c r="XR8">
        <f>XR7+IF(AND($C7=95,$U7=1),1,0)</f>
        <v/>
      </c>
      <c r="XS8">
        <f>XS7+IF(AND($C7=96,$U7=1),1,0)</f>
        <v/>
      </c>
      <c r="XT8">
        <f>XT7+IF(AND($C7=97,$U7=1),1,0)</f>
        <v/>
      </c>
      <c r="XU8">
        <f>XU7+IF(AND($C7=98,$U7=1),1,0)</f>
        <v/>
      </c>
      <c r="XV8">
        <f>XV7+IF(AND($C7=99,$U7=1),1,0)</f>
        <v/>
      </c>
      <c r="XW8">
        <f>XW7+IF(AND($C7=100,$U7=1),1,0)</f>
        <v/>
      </c>
      <c r="XX8">
        <f>XX7+IF(AND($C7=101,$U7=1),1,0)</f>
        <v/>
      </c>
      <c r="XY8">
        <f>XY7+IF(AND($C7=102,$U7=1),1,0)</f>
        <v/>
      </c>
      <c r="XZ8">
        <f>XZ7+IF(AND($C7=103,$U7=1),1,0)</f>
        <v/>
      </c>
      <c r="YA8">
        <f>YA7+IF(AND($C7=104,$U7=1),1,0)</f>
        <v/>
      </c>
      <c r="YB8">
        <f>YB7+IF(AND($C7=105,$U7=1),1,0)</f>
        <v/>
      </c>
      <c r="YC8">
        <f>YC7+IF(AND($C7=106,$U7=1),1,0)</f>
        <v/>
      </c>
      <c r="YD8">
        <f>YD7+IF(AND($C7=107,$U7=1),1,0)</f>
        <v/>
      </c>
      <c r="YE8">
        <f>YE7+IF(AND($C7=108,$U7=1),1,0)</f>
        <v/>
      </c>
      <c r="YF8">
        <f>YF7+IF(AND($C7=109,$U7=1),1,0)</f>
        <v/>
      </c>
      <c r="YG8">
        <f>YG7+IF(AND($C7=110,$U7=1),1,0)</f>
        <v/>
      </c>
      <c r="YH8">
        <f>YH7+IF(AND($C7=111,$U7=1),1,0)</f>
        <v/>
      </c>
      <c r="YI8">
        <f>YI7+IF(AND($C7=112,$U7=1),1,0)</f>
        <v/>
      </c>
      <c r="YJ8">
        <f>YJ7+IF(AND($C7=113,$U7=1),1,0)</f>
        <v/>
      </c>
      <c r="YK8">
        <f>YK7+IF(AND($C7=114,$U7=1),1,0)</f>
        <v/>
      </c>
      <c r="YL8">
        <f>YL7+IF(AND($C7=115,$U7=1),1,0)</f>
        <v/>
      </c>
      <c r="YM8">
        <f>YM7+IF(AND($C7=116,$U7=1),1,0)</f>
        <v/>
      </c>
      <c r="YN8">
        <f>YN7+IF(AND($C7=117,$U7=1),1,0)</f>
        <v/>
      </c>
      <c r="YO8">
        <f>YO7+IF(AND($C7=118,$U7=1),1,0)</f>
        <v/>
      </c>
      <c r="YP8">
        <f>YP7+IF(AND($C7=119,$U7=1),1,0)</f>
        <v/>
      </c>
      <c r="YQ8">
        <f>YQ7+IF(AND($C7=120,$U7=1),1,0)</f>
        <v/>
      </c>
      <c r="YR8">
        <f>YR7+IF(AND($C7=121,$U7=1),1,0)</f>
        <v/>
      </c>
      <c r="YS8">
        <f>YS7+IF(AND($C7=122,$U7=1),1,0)</f>
        <v/>
      </c>
      <c r="YT8">
        <f>YT7+IF(AND($C7=123,$U7=1),1,0)</f>
        <v/>
      </c>
      <c r="YU8">
        <f>YU7+IF(AND($C7=124,$U7=1),1,0)</f>
        <v/>
      </c>
      <c r="YV8">
        <f>YV7+IF(AND($C7=125,$U7=1),1,0)</f>
        <v/>
      </c>
      <c r="YW8">
        <f>YW7+IF(AND($C7=126,$U7=1),1,0)</f>
        <v/>
      </c>
      <c r="YX8">
        <f>YX7+IF(AND($C7=127,$U7=1),1,0)</f>
        <v/>
      </c>
      <c r="YY8">
        <f>YY7+IF(AND($C7=128,$U7=1),1,0)</f>
        <v/>
      </c>
      <c r="YZ8">
        <f>YZ7+IF(AND($C7=129,$U7=1),1,0)</f>
        <v/>
      </c>
      <c r="ZA8">
        <f>ZA7+IF(AND($C7=130,$U7=1),1,0)</f>
        <v/>
      </c>
      <c r="ZB8">
        <f>ZB7+IF(AND($C7=131,$U7=1),1,0)</f>
        <v/>
      </c>
      <c r="ZC8">
        <f>ZC7+IF(AND($C7=132,$U7=1),1,0)</f>
        <v/>
      </c>
      <c r="ZD8">
        <f>ZD7+IF(AND($C7=133,$U7=1),1,0)</f>
        <v/>
      </c>
      <c r="ZE8">
        <f>ZE7+IF(AND($C7=134,$U7=1),1,0)</f>
        <v/>
      </c>
      <c r="ZF8">
        <f>ZF7+IF(AND($C7=135,$U7=1),1,0)</f>
        <v/>
      </c>
      <c r="ZG8">
        <f>ZG7+IF(AND($C7=136,$U7=1),1,0)</f>
        <v/>
      </c>
      <c r="ZH8">
        <f>ZH7+IF(AND($C7=137,$U7=1),1,0)</f>
        <v/>
      </c>
      <c r="ZI8">
        <f>ZI7+IF(AND($C7=138,$U7=1),1,0)</f>
        <v/>
      </c>
      <c r="ZJ8">
        <f>ZJ7+IF(AND($C7=139,$U7=1),1,0)</f>
        <v/>
      </c>
      <c r="ZK8">
        <f>ZK7+IF(AND($C7=140,$U7=1),1,0)</f>
        <v/>
      </c>
      <c r="ZL8">
        <f>ZL7+IF(AND($C7=141,$U7=1),1,0)</f>
        <v/>
      </c>
      <c r="ZM8">
        <f>ZM7+IF(AND($C7=142,$U7=1),1,0)</f>
        <v/>
      </c>
      <c r="ZN8">
        <f>ZN7+IF(AND($C7=143,$U7=1),1,0)</f>
        <v/>
      </c>
      <c r="ZO8">
        <f>ZO7+IF(AND($C7=144,$U7=1),1,0)</f>
        <v/>
      </c>
      <c r="ZQ8">
        <f>IF($C7=1,0,ZQ7+IF(AND($G7=1,$E7=1),1,0))</f>
        <v/>
      </c>
      <c r="ZR8">
        <f>IF($C7=2,0,ZR7+IF(AND($G7=2,$E7=1),1,0))</f>
        <v/>
      </c>
      <c r="ZS8">
        <f>IF($C7=3,0,ZS7+IF(AND($G7=3,$E7=1),1,0))</f>
        <v/>
      </c>
      <c r="ZT8">
        <f>IF($C7=4,0,ZT7+IF(AND($G7=4,$E7=1),1,0))</f>
        <v/>
      </c>
      <c r="ZU8">
        <f>IF($C7=5,0,ZU7+IF(AND($G7=5,$E7=1),1,0))</f>
        <v/>
      </c>
      <c r="ZV8">
        <f>IF($C7=6,0,ZV7+IF(AND($G7=6,$E7=1),1,0))</f>
        <v/>
      </c>
      <c r="ZW8">
        <f>IF($C7=7,0,ZW7+IF(AND($G7=7,$E7=1),1,0))</f>
        <v/>
      </c>
      <c r="ZX8">
        <f>IF($C7=8,0,ZX7+IF(AND($G7=8,$E7=1),1,0))</f>
        <v/>
      </c>
      <c r="ZY8">
        <f>IF($C7=9,0,ZY7+IF(AND($G7=9,$E7=1),1,0))</f>
        <v/>
      </c>
      <c r="ZZ8">
        <f>IF($C7=10,0,ZZ7+IF(AND($G7=10,$E7=1),1,0))</f>
        <v/>
      </c>
      <c r="AAA8">
        <f>IF($C7=11,0,AAA7+IF(AND($G7=11,$E7=1),1,0))</f>
        <v/>
      </c>
      <c r="AAB8">
        <f>IF($C7=12,0,AAB7+IF(AND($G7=12,$E7=1),1,0))</f>
        <v/>
      </c>
      <c r="AAC8">
        <f>IF($C7=13,0,AAC7+IF(AND($G7=13,$E7=1),1,0))</f>
        <v/>
      </c>
      <c r="AAD8">
        <f>IF($C7=14,0,AAD7+IF(AND($G7=14,$E7=1),1,0))</f>
        <v/>
      </c>
      <c r="AAE8">
        <f>IF($C7=15,0,AAE7+IF(AND($G7=15,$E7=1),1,0))</f>
        <v/>
      </c>
      <c r="AAF8">
        <f>IF($C7=16,0,AAF7+IF(AND($G7=16,$E7=1),1,0))</f>
        <v/>
      </c>
      <c r="AAG8">
        <f>IF($C7=17,0,AAG7+IF(AND($G7=17,$E7=1),1,0))</f>
        <v/>
      </c>
      <c r="AAH8">
        <f>IF($C7=18,0,AAH7+IF(AND($G7=18,$E7=1),1,0))</f>
        <v/>
      </c>
      <c r="AAI8">
        <f>IF($C7=19,0,AAI7+IF(AND($G7=19,$E7=1),1,0))</f>
        <v/>
      </c>
      <c r="AAJ8">
        <f>IF($C7=20,0,AAJ7+IF(AND($G7=20,$E7=1),1,0))</f>
        <v/>
      </c>
      <c r="AAK8">
        <f>IF($C7=21,0,AAK7+IF(AND($G7=21,$E7=1),1,0))</f>
        <v/>
      </c>
      <c r="AAL8">
        <f>IF($C7=22,0,AAL7+IF(AND($G7=22,$E7=1),1,0))</f>
        <v/>
      </c>
      <c r="AAM8">
        <f>IF($C7=23,0,AAM7+IF(AND($G7=23,$E7=1),1,0))</f>
        <v/>
      </c>
      <c r="AAN8">
        <f>IF($C7=24,0,AAN7+IF(AND($G7=24,$E7=1),1,0))</f>
        <v/>
      </c>
      <c r="AAO8">
        <f>IF($C7=25,0,AAO7+IF(AND($G7=25,$E7=1),1,0))</f>
        <v/>
      </c>
      <c r="AAP8">
        <f>IF($C7=26,0,AAP7+IF(AND($G7=26,$E7=1),1,0))</f>
        <v/>
      </c>
      <c r="AAQ8">
        <f>IF($C7=27,0,AAQ7+IF(AND($G7=27,$E7=1),1,0))</f>
        <v/>
      </c>
      <c r="AAR8">
        <f>IF($C7=28,0,AAR7+IF(AND($G7=28,$E7=1),1,0))</f>
        <v/>
      </c>
      <c r="AAS8">
        <f>IF($C7=29,0,AAS7+IF(AND($G7=29,$E7=1),1,0))</f>
        <v/>
      </c>
      <c r="AAT8">
        <f>IF($C7=30,0,AAT7+IF(AND($G7=30,$E7=1),1,0))</f>
        <v/>
      </c>
      <c r="AAU8">
        <f>IF($C7=31,0,AAU7+IF(AND($G7=31,$E7=1),1,0))</f>
        <v/>
      </c>
      <c r="AAV8">
        <f>IF($C7=32,0,AAV7+IF(AND($G7=32,$E7=1),1,0))</f>
        <v/>
      </c>
      <c r="AAW8">
        <f>IF($C7=33,0,AAW7+IF(AND($G7=33,$E7=1),1,0))</f>
        <v/>
      </c>
      <c r="AAX8">
        <f>IF($C7=34,0,AAX7+IF(AND($G7=34,$E7=1),1,0))</f>
        <v/>
      </c>
      <c r="AAY8">
        <f>IF($C7=35,0,AAY7+IF(AND($G7=35,$E7=1),1,0))</f>
        <v/>
      </c>
      <c r="AAZ8">
        <f>IF($C7=36,0,AAZ7+IF(AND($G7=36,$E7=1),1,0))</f>
        <v/>
      </c>
      <c r="ABA8">
        <f>IF($C7=37,0,ABA7+IF(AND($G7=37,$E7=1),1,0))</f>
        <v/>
      </c>
      <c r="ABB8">
        <f>IF($C7=38,0,ABB7+IF(AND($G7=38,$E7=1),1,0))</f>
        <v/>
      </c>
      <c r="ABC8">
        <f>IF($C7=39,0,ABC7+IF(AND($G7=39,$E7=1),1,0))</f>
        <v/>
      </c>
      <c r="ABD8">
        <f>IF($C7=40,0,ABD7+IF(AND($G7=40,$E7=1),1,0))</f>
        <v/>
      </c>
      <c r="ABE8">
        <f>IF($C7=41,0,ABE7+IF(AND($G7=41,$E7=1),1,0))</f>
        <v/>
      </c>
      <c r="ABF8">
        <f>IF($C7=42,0,ABF7+IF(AND($G7=42,$E7=1),1,0))</f>
        <v/>
      </c>
      <c r="ABG8">
        <f>IF($C7=43,0,ABG7+IF(AND($G7=43,$E7=1),1,0))</f>
        <v/>
      </c>
      <c r="ABH8">
        <f>IF($C7=44,0,ABH7+IF(AND($G7=44,$E7=1),1,0))</f>
        <v/>
      </c>
      <c r="ABI8">
        <f>IF($C7=45,0,ABI7+IF(AND($G7=45,$E7=1),1,0))</f>
        <v/>
      </c>
      <c r="ABJ8">
        <f>IF($C7=46,0,ABJ7+IF(AND($G7=46,$E7=1),1,0))</f>
        <v/>
      </c>
      <c r="ABK8">
        <f>IF($C7=47,0,ABK7+IF(AND($G7=47,$E7=1),1,0))</f>
        <v/>
      </c>
      <c r="ABL8">
        <f>IF($C7=48,0,ABL7+IF(AND($G7=48,$E7=1),1,0))</f>
        <v/>
      </c>
      <c r="ABM8">
        <f>IF($C7=49,0,ABM7+IF(AND($G7=49,$E7=1),1,0))</f>
        <v/>
      </c>
      <c r="ABN8">
        <f>IF($C7=50,0,ABN7+IF(AND($G7=50,$E7=1),1,0))</f>
        <v/>
      </c>
      <c r="ABO8">
        <f>IF($C7=51,0,ABO7+IF(AND($G7=51,$E7=1),1,0))</f>
        <v/>
      </c>
      <c r="ABP8">
        <f>IF($C7=52,0,ABP7+IF(AND($G7=52,$E7=1),1,0))</f>
        <v/>
      </c>
      <c r="ABQ8">
        <f>IF($C7=53,0,ABQ7+IF(AND($G7=53,$E7=1),1,0))</f>
        <v/>
      </c>
      <c r="ABR8">
        <f>IF($C7=54,0,ABR7+IF(AND($G7=54,$E7=1),1,0))</f>
        <v/>
      </c>
      <c r="ABS8">
        <f>IF($C7=55,0,ABS7+IF(AND($G7=55,$E7=1),1,0))</f>
        <v/>
      </c>
      <c r="ABT8">
        <f>IF($C7=56,0,ABT7+IF(AND($G7=56,$E7=1),1,0))</f>
        <v/>
      </c>
      <c r="ABU8">
        <f>IF($C7=57,0,ABU7+IF(AND($G7=57,$E7=1),1,0))</f>
        <v/>
      </c>
      <c r="ABV8">
        <f>IF($C7=58,0,ABV7+IF(AND($G7=58,$E7=1),1,0))</f>
        <v/>
      </c>
      <c r="ABW8">
        <f>IF($C7=59,0,ABW7+IF(AND($G7=59,$E7=1),1,0))</f>
        <v/>
      </c>
      <c r="ABX8">
        <f>IF($C7=60,0,ABX7+IF(AND($G7=60,$E7=1),1,0))</f>
        <v/>
      </c>
      <c r="ABY8">
        <f>IF($C7=61,0,ABY7+IF(AND($G7=61,$E7=1),1,0))</f>
        <v/>
      </c>
      <c r="ABZ8">
        <f>IF($C7=62,0,ABZ7+IF(AND($G7=62,$E7=1),1,0))</f>
        <v/>
      </c>
      <c r="ACA8">
        <f>IF($C7=63,0,ACA7+IF(AND($G7=63,$E7=1),1,0))</f>
        <v/>
      </c>
      <c r="ACB8">
        <f>IF($C7=64,0,ACB7+IF(AND($G7=64,$E7=1),1,0))</f>
        <v/>
      </c>
      <c r="ACC8">
        <f>IF($C7=65,0,ACC7+IF(AND($G7=65,$E7=1),1,0))</f>
        <v/>
      </c>
      <c r="ACD8">
        <f>IF($C7=66,0,ACD7+IF(AND($G7=66,$E7=1),1,0))</f>
        <v/>
      </c>
      <c r="ACE8">
        <f>IF($C7=67,0,ACE7+IF(AND($G7=67,$E7=1),1,0))</f>
        <v/>
      </c>
      <c r="ACF8">
        <f>IF($C7=68,0,ACF7+IF(AND($G7=68,$E7=1),1,0))</f>
        <v/>
      </c>
      <c r="ACG8">
        <f>IF($C7=69,0,ACG7+IF(AND($G7=69,$E7=1),1,0))</f>
        <v/>
      </c>
      <c r="ACH8">
        <f>IF($C7=70,0,ACH7+IF(AND($G7=70,$E7=1),1,0))</f>
        <v/>
      </c>
      <c r="ACI8">
        <f>IF($C7=71,0,ACI7+IF(AND($G7=71,$E7=1),1,0))</f>
        <v/>
      </c>
      <c r="ACJ8">
        <f>IF($C7=72,0,ACJ7+IF(AND($G7=72,$E7=1),1,0))</f>
        <v/>
      </c>
      <c r="ACK8">
        <f>IF($C7=73,0,ACK7+IF(AND($G7=73,$E7=1),1,0))</f>
        <v/>
      </c>
      <c r="ACL8">
        <f>IF($C7=74,0,ACL7+IF(AND($G7=74,$E7=1),1,0))</f>
        <v/>
      </c>
      <c r="ACM8">
        <f>IF($C7=75,0,ACM7+IF(AND($G7=75,$E7=1),1,0))</f>
        <v/>
      </c>
      <c r="ACN8">
        <f>IF($C7=76,0,ACN7+IF(AND($G7=76,$E7=1),1,0))</f>
        <v/>
      </c>
      <c r="ACO8">
        <f>IF($C7=77,0,ACO7+IF(AND($G7=77,$E7=1),1,0))</f>
        <v/>
      </c>
      <c r="ACP8">
        <f>IF($C7=78,0,ACP7+IF(AND($G7=78,$E7=1),1,0))</f>
        <v/>
      </c>
      <c r="ACQ8">
        <f>IF($C7=79,0,ACQ7+IF(AND($G7=79,$E7=1),1,0))</f>
        <v/>
      </c>
      <c r="ACR8">
        <f>IF($C7=80,0,ACR7+IF(AND($G7=80,$E7=1),1,0))</f>
        <v/>
      </c>
      <c r="ACS8">
        <f>IF($C7=81,0,ACS7+IF(AND($G7=81,$E7=1),1,0))</f>
        <v/>
      </c>
      <c r="ACT8">
        <f>IF($C7=82,0,ACT7+IF(AND($G7=82,$E7=1),1,0))</f>
        <v/>
      </c>
      <c r="ACU8">
        <f>IF($C7=83,0,ACU7+IF(AND($G7=83,$E7=1),1,0))</f>
        <v/>
      </c>
      <c r="ACV8">
        <f>IF($C7=84,0,ACV7+IF(AND($G7=84,$E7=1),1,0))</f>
        <v/>
      </c>
      <c r="ACW8">
        <f>IF($C7=85,0,ACW7+IF(AND($G7=85,$E7=1),1,0))</f>
        <v/>
      </c>
      <c r="ACX8">
        <f>IF($C7=86,0,ACX7+IF(AND($G7=86,$E7=1),1,0))</f>
        <v/>
      </c>
      <c r="ACY8">
        <f>IF($C7=87,0,ACY7+IF(AND($G7=87,$E7=1),1,0))</f>
        <v/>
      </c>
      <c r="ACZ8">
        <f>IF($C7=88,0,ACZ7+IF(AND($G7=88,$E7=1),1,0))</f>
        <v/>
      </c>
      <c r="ADA8">
        <f>IF($C7=89,0,ADA7+IF(AND($G7=89,$E7=1),1,0))</f>
        <v/>
      </c>
      <c r="ADB8">
        <f>IF($C7=90,0,ADB7+IF(AND($G7=90,$E7=1),1,0))</f>
        <v/>
      </c>
      <c r="ADC8">
        <f>IF($C7=91,0,ADC7+IF(AND($G7=91,$E7=1),1,0))</f>
        <v/>
      </c>
      <c r="ADD8">
        <f>IF($C7=92,0,ADD7+IF(AND($G7=92,$E7=1),1,0))</f>
        <v/>
      </c>
      <c r="ADE8">
        <f>IF($C7=93,0,ADE7+IF(AND($G7=93,$E7=1),1,0))</f>
        <v/>
      </c>
      <c r="ADF8">
        <f>IF($C7=94,0,ADF7+IF(AND($G7=94,$E7=1),1,0))</f>
        <v/>
      </c>
      <c r="ADG8">
        <f>IF($C7=95,0,ADG7+IF(AND($G7=95,$E7=1),1,0))</f>
        <v/>
      </c>
      <c r="ADH8">
        <f>IF($C7=96,0,ADH7+IF(AND($G7=96,$E7=1),1,0))</f>
        <v/>
      </c>
      <c r="ADI8">
        <f>IF($C7=97,0,ADI7+IF(AND($G7=97,$E7=1),1,0))</f>
        <v/>
      </c>
      <c r="ADJ8">
        <f>IF($C7=98,0,ADJ7+IF(AND($G7=98,$E7=1),1,0))</f>
        <v/>
      </c>
      <c r="ADK8">
        <f>IF($C7=99,0,ADK7+IF(AND($G7=99,$E7=1),1,0))</f>
        <v/>
      </c>
      <c r="ADL8">
        <f>IF($C7=100,0,ADL7+IF(AND($G7=100,$E7=1),1,0))</f>
        <v/>
      </c>
      <c r="ADM8">
        <f>IF($C7=101,0,ADM7+IF(AND($G7=101,$E7=1),1,0))</f>
        <v/>
      </c>
      <c r="ADN8">
        <f>IF($C7=102,0,ADN7+IF(AND($G7=102,$E7=1),1,0))</f>
        <v/>
      </c>
      <c r="ADO8">
        <f>IF($C7=103,0,ADO7+IF(AND($G7=103,$E7=1),1,0))</f>
        <v/>
      </c>
      <c r="ADP8">
        <f>IF($C7=104,0,ADP7+IF(AND($G7=104,$E7=1),1,0))</f>
        <v/>
      </c>
      <c r="ADQ8">
        <f>IF($C7=105,0,ADQ7+IF(AND($G7=105,$E7=1),1,0))</f>
        <v/>
      </c>
      <c r="ADR8">
        <f>IF($C7=106,0,ADR7+IF(AND($G7=106,$E7=1),1,0))</f>
        <v/>
      </c>
      <c r="ADS8">
        <f>IF($C7=107,0,ADS7+IF(AND($G7=107,$E7=1),1,0))</f>
        <v/>
      </c>
      <c r="ADT8">
        <f>IF($C7=108,0,ADT7+IF(AND($G7=108,$E7=1),1,0))</f>
        <v/>
      </c>
      <c r="ADU8">
        <f>IF($C7=109,0,ADU7+IF(AND($G7=109,$E7=1),1,0))</f>
        <v/>
      </c>
      <c r="ADV8">
        <f>IF($C7=110,0,ADV7+IF(AND($G7=110,$E7=1),1,0))</f>
        <v/>
      </c>
      <c r="ADW8">
        <f>IF($C7=111,0,ADW7+IF(AND($G7=111,$E7=1),1,0))</f>
        <v/>
      </c>
      <c r="ADX8">
        <f>IF($C7=112,0,ADX7+IF(AND($G7=112,$E7=1),1,0))</f>
        <v/>
      </c>
      <c r="ADY8">
        <f>IF($C7=113,0,ADY7+IF(AND($G7=113,$E7=1),1,0))</f>
        <v/>
      </c>
      <c r="ADZ8">
        <f>IF($C7=114,0,ADZ7+IF(AND($G7=114,$E7=1),1,0))</f>
        <v/>
      </c>
      <c r="AEA8">
        <f>IF($C7=115,0,AEA7+IF(AND($G7=115,$E7=1),1,0))</f>
        <v/>
      </c>
      <c r="AEB8">
        <f>IF($C7=116,0,AEB7+IF(AND($G7=116,$E7=1),1,0))</f>
        <v/>
      </c>
      <c r="AEC8">
        <f>IF($C7=117,0,AEC7+IF(AND($G7=117,$E7=1),1,0))</f>
        <v/>
      </c>
      <c r="AED8">
        <f>IF($C7=118,0,AED7+IF(AND($G7=118,$E7=1),1,0))</f>
        <v/>
      </c>
      <c r="AEE8">
        <f>IF($C7=119,0,AEE7+IF(AND($G7=119,$E7=1),1,0))</f>
        <v/>
      </c>
      <c r="AEF8">
        <f>IF($C7=120,0,AEF7+IF(AND($G7=120,$E7=1),1,0))</f>
        <v/>
      </c>
      <c r="AEG8">
        <f>IF($C7=121,0,AEG7+IF(AND($G7=121,$E7=1),1,0))</f>
        <v/>
      </c>
      <c r="AEH8">
        <f>IF($C7=122,0,AEH7+IF(AND($G7=122,$E7=1),1,0))</f>
        <v/>
      </c>
      <c r="AEI8">
        <f>IF($C7=123,0,AEI7+IF(AND($G7=123,$E7=1),1,0))</f>
        <v/>
      </c>
      <c r="AEJ8">
        <f>IF($C7=124,0,AEJ7+IF(AND($G7=124,$E7=1),1,0))</f>
        <v/>
      </c>
      <c r="AEK8">
        <f>IF($C7=125,0,AEK7+IF(AND($G7=125,$E7=1),1,0))</f>
        <v/>
      </c>
      <c r="AEL8">
        <f>IF($C7=126,0,AEL7+IF(AND($G7=126,$E7=1),1,0))</f>
        <v/>
      </c>
      <c r="AEM8">
        <f>IF($C7=127,0,AEM7+IF(AND($G7=127,$E7=1),1,0))</f>
        <v/>
      </c>
      <c r="AEN8">
        <f>IF($C7=128,0,AEN7+IF(AND($G7=128,$E7=1),1,0))</f>
        <v/>
      </c>
      <c r="AEO8">
        <f>IF($C7=129,0,AEO7+IF(AND($G7=129,$E7=1),1,0))</f>
        <v/>
      </c>
      <c r="AEP8">
        <f>IF($C7=130,0,AEP7+IF(AND($G7=130,$E7=1),1,0))</f>
        <v/>
      </c>
      <c r="AEQ8">
        <f>IF($C7=131,0,AEQ7+IF(AND($G7=131,$E7=1),1,0))</f>
        <v/>
      </c>
      <c r="AER8">
        <f>IF($C7=132,0,AER7+IF(AND($G7=132,$E7=1),1,0))</f>
        <v/>
      </c>
      <c r="AES8">
        <f>IF($C7=133,0,AES7+IF(AND($G7=133,$E7=1),1,0))</f>
        <v/>
      </c>
      <c r="AET8">
        <f>IF($C7=134,0,AET7+IF(AND($G7=134,$E7=1),1,0))</f>
        <v/>
      </c>
      <c r="AEU8">
        <f>IF($C7=135,0,AEU7+IF(AND($G7=135,$E7=1),1,0))</f>
        <v/>
      </c>
      <c r="AEV8">
        <f>IF($C7=136,0,AEV7+IF(AND($G7=136,$E7=1),1,0))</f>
        <v/>
      </c>
      <c r="AEW8">
        <f>IF($C7=137,0,AEW7+IF(AND($G7=137,$E7=1),1,0))</f>
        <v/>
      </c>
      <c r="AEX8">
        <f>IF($C7=138,0,AEX7+IF(AND($G7=138,$E7=1),1,0))</f>
        <v/>
      </c>
      <c r="AEY8">
        <f>IF($C7=139,0,AEY7+IF(AND($G7=139,$E7=1),1,0))</f>
        <v/>
      </c>
      <c r="AEZ8">
        <f>IF($C7=140,0,AEZ7+IF(AND($G7=140,$E7=1),1,0))</f>
        <v/>
      </c>
      <c r="AFA8">
        <f>IF($C7=141,0,AFA7+IF(AND($G7=141,$E7=1),1,0))</f>
        <v/>
      </c>
      <c r="AFB8">
        <f>IF($C7=142,0,AFB7+IF(AND($G7=142,$E7=1),1,0))</f>
        <v/>
      </c>
      <c r="AFC8">
        <f>IF($C7=143,0,AFC7+IF(AND($G7=143,$E7=1),1,0))</f>
        <v/>
      </c>
      <c r="AFD8">
        <f>IF($C7=144,0,AFD7+IF(AND($G7=144,$E7=1),1,0))</f>
        <v/>
      </c>
      <c r="AFF8">
        <f>IF('calcA'!D$106=1,DC8+ZR8,1)</f>
        <v/>
      </c>
      <c r="AFG8">
        <f>IF('calcA'!E$106=1,DD8+ZS8,1)</f>
        <v/>
      </c>
      <c r="AFH8">
        <f>IF('calcA'!F$106=1,DE8+ZT8,1)</f>
        <v/>
      </c>
      <c r="AFI8">
        <f>IF('calcA'!G$106=1,DF8+ZU8,1)</f>
        <v/>
      </c>
      <c r="AFJ8">
        <f>IF('calcA'!H$106=1,DG8+ZV8,1)</f>
        <v/>
      </c>
      <c r="AFK8">
        <f>IF('calcA'!I$106=1,DH8+ZW8,1)</f>
        <v/>
      </c>
      <c r="AFL8">
        <f>IF('calcA'!J$106=1,DI8+ZX8,1)</f>
        <v/>
      </c>
      <c r="AFM8">
        <f>IF('calcA'!K$106=1,DJ8+ZY8,1)</f>
        <v/>
      </c>
      <c r="AFN8">
        <f>IF('calcA'!L$106=1,DK8+ZZ8,1)</f>
        <v/>
      </c>
      <c r="AFO8">
        <f>IF('calcA'!M$106=1,DL8+AAA8,1)</f>
        <v/>
      </c>
      <c r="AFP8">
        <f>IF('calcA'!N$106=1,DM8+AAB8,1)</f>
        <v/>
      </c>
      <c r="AFQ8">
        <f>IF('calcA'!O$106=1,DN8+AAC8,1)</f>
        <v/>
      </c>
      <c r="AFR8">
        <f>IF('calcA'!P$106=1,DO8+AAD8,1)</f>
        <v/>
      </c>
      <c r="AFS8">
        <f>IF('calcA'!Q$106=1,DP8+AAE8,1)</f>
        <v/>
      </c>
      <c r="AFT8">
        <f>IF('calcA'!R$106=1,DQ8+AAF8,1)</f>
        <v/>
      </c>
      <c r="AFU8">
        <f>IF('calcA'!S$106=1,DR8+AAG8,1)</f>
        <v/>
      </c>
      <c r="AFV8">
        <f>IF('calcA'!T$106=1,DS8+AAH8,1)</f>
        <v/>
      </c>
      <c r="AFW8">
        <f>IF('calcA'!U$106=1,DT8+AAI8,1)</f>
        <v/>
      </c>
      <c r="AFX8">
        <f>IF('calcA'!V$106=1,DU8+AAJ8,1)</f>
        <v/>
      </c>
      <c r="AFY8">
        <f>IF('calcA'!W$106=1,DV8+AAK8,1)</f>
        <v/>
      </c>
      <c r="AFZ8">
        <f>IF('calcA'!X$106=1,DW8+AAL8,1)</f>
        <v/>
      </c>
      <c r="AGA8">
        <f>IF('calcA'!Y$106=1,DX8+AAM8,1)</f>
        <v/>
      </c>
      <c r="AGB8">
        <f>IF('calcA'!Z$106=1,DY8+AAN8,1)</f>
        <v/>
      </c>
      <c r="AGC8">
        <f>IF('calcA'!AA$106=1,DZ8+AAO8,1)</f>
        <v/>
      </c>
      <c r="AGD8">
        <f>IF('calcA'!AB$106=1,EA8+AAP8,1)</f>
        <v/>
      </c>
      <c r="AGE8">
        <f>IF('calcA'!AC$106=1,EB8+AAQ8,1)</f>
        <v/>
      </c>
      <c r="AGF8">
        <f>IF('calcA'!AD$106=1,EC8+AAR8,1)</f>
        <v/>
      </c>
      <c r="AGG8">
        <f>IF('calcA'!AE$106=1,ED8+AAS8,1)</f>
        <v/>
      </c>
      <c r="AGH8">
        <f>IF('calcA'!AF$106=1,EE8+AAT8,1)</f>
        <v/>
      </c>
      <c r="AGI8">
        <f>IF('calcA'!AG$106=1,EF8+AAU8,1)</f>
        <v/>
      </c>
      <c r="AGJ8">
        <f>IF('calcA'!AH$106=1,EG8+AAV8,1)</f>
        <v/>
      </c>
      <c r="AGK8">
        <f>IF('calcA'!AI$106=1,EH8+AAW8,1)</f>
        <v/>
      </c>
      <c r="AGL8">
        <f>IF('calcA'!AJ$106=1,EI8+AAX8,1)</f>
        <v/>
      </c>
      <c r="AGM8">
        <f>IF('calcA'!AK$106=1,EJ8+AAY8,1)</f>
        <v/>
      </c>
      <c r="AGN8">
        <f>IF('calcA'!AL$106=1,EK8+AAZ8,1)</f>
        <v/>
      </c>
      <c r="AGO8">
        <f>IF('calcA'!AM$106=1,EL8+ABA8,1)</f>
        <v/>
      </c>
      <c r="AGP8">
        <f>IF('calcA'!AN$106=1,EM8+ABB8,1)</f>
        <v/>
      </c>
      <c r="AGQ8">
        <f>IF('calcA'!AO$106=1,EN8+ABC8,1)</f>
        <v/>
      </c>
      <c r="AGR8">
        <f>IF('calcA'!AP$106=1,EO8+ABD8,1)</f>
        <v/>
      </c>
      <c r="AGS8">
        <f>IF('calcA'!AQ$106=1,EP8+ABE8,1)</f>
        <v/>
      </c>
      <c r="AGT8">
        <f>IF('calcA'!AR$106=1,EQ8+ABF8,1)</f>
        <v/>
      </c>
      <c r="AGU8">
        <f>IF('calcA'!AS$106=1,ER8+ABG8,1)</f>
        <v/>
      </c>
      <c r="AGV8">
        <f>IF('calcA'!AT$106=1,ES8+ABH8,1)</f>
        <v/>
      </c>
      <c r="AGW8">
        <f>IF('calcA'!AU$106=1,ET8+ABI8,1)</f>
        <v/>
      </c>
      <c r="AGX8">
        <f>IF('calcA'!AV$106=1,EU8+ABJ8,1)</f>
        <v/>
      </c>
      <c r="AGY8">
        <f>IF('calcA'!AW$106=1,EV8+ABK8,1)</f>
        <v/>
      </c>
      <c r="AGZ8">
        <f>IF('calcA'!AX$106=1,EW8+ABL8,1)</f>
        <v/>
      </c>
      <c r="AHA8">
        <f>IF('calcA'!AY$106=1,EX8+ABM8,1)</f>
        <v/>
      </c>
      <c r="AHB8">
        <f>IF('calcA'!AZ$106=1,EY8+ABN8,1)</f>
        <v/>
      </c>
      <c r="AHC8">
        <f>IF('calcA'!BA$106=1,EZ8+ABO8,1)</f>
        <v/>
      </c>
      <c r="AHD8">
        <f>IF('calcA'!BB$106=1,FA8+ABP8,1)</f>
        <v/>
      </c>
      <c r="AHE8">
        <f>IF('calcA'!BC$106=1,FB8+ABQ8,1)</f>
        <v/>
      </c>
      <c r="AHF8">
        <f>IF('calcA'!BD$106=1,FC8+ABR8,1)</f>
        <v/>
      </c>
      <c r="AHG8">
        <f>IF('calcA'!BE$106=1,FD8+ABS8,1)</f>
        <v/>
      </c>
      <c r="AHH8">
        <f>IF('calcA'!BF$106=1,FE8+ABT8,1)</f>
        <v/>
      </c>
      <c r="AHI8">
        <f>IF('calcA'!BG$106=1,FF8+ABU8,1)</f>
        <v/>
      </c>
      <c r="AHJ8">
        <f>IF('calcA'!BH$106=1,FG8+ABV8,1)</f>
        <v/>
      </c>
      <c r="AHK8">
        <f>IF('calcA'!BI$106=1,FH8+ABW8,1)</f>
        <v/>
      </c>
      <c r="AHL8">
        <f>IF('calcA'!BJ$106=1,FI8+ABX8,1)</f>
        <v/>
      </c>
      <c r="AHM8">
        <f>IF('calcA'!BK$106=1,FJ8+ABY8,1)</f>
        <v/>
      </c>
      <c r="AHN8">
        <f>IF('calcA'!BL$106=1,FK8+ABZ8,1)</f>
        <v/>
      </c>
      <c r="AHO8">
        <f>IF('calcA'!BM$106=1,FL8+ACA8,1)</f>
        <v/>
      </c>
      <c r="AHP8">
        <f>IF('calcA'!BN$106=1,FM8+ACB8,1)</f>
        <v/>
      </c>
      <c r="AHQ8">
        <f>IF('calcA'!BO$106=1,FN8+ACC8,1)</f>
        <v/>
      </c>
      <c r="AHR8">
        <f>IF('calcA'!BP$106=1,FO8+ACD8,1)</f>
        <v/>
      </c>
      <c r="AHS8">
        <f>IF('calcA'!BQ$106=1,FP8+ACE8,1)</f>
        <v/>
      </c>
      <c r="AHT8">
        <f>IF('calcA'!BR$106=1,FQ8+ACF8,1)</f>
        <v/>
      </c>
      <c r="AHU8">
        <f>IF('calcA'!BS$106=1,FR8+ACG8,1)</f>
        <v/>
      </c>
      <c r="AHV8">
        <f>IF('calcA'!BT$106=1,FS8+ACH8,1)</f>
        <v/>
      </c>
      <c r="AHW8">
        <f>IF('calcA'!BU$106=1,FT8+ACI8,1)</f>
        <v/>
      </c>
      <c r="AHX8">
        <f>IF('calcA'!BV$106=1,FU8+ACJ8,1)</f>
        <v/>
      </c>
      <c r="AHY8">
        <f>IF('calcA'!BW$106=1,FV8+ACK8,1)</f>
        <v/>
      </c>
      <c r="AHZ8">
        <f>IF('calcA'!BX$106=1,FW8+ACL8,1)</f>
        <v/>
      </c>
      <c r="AIA8">
        <f>IF('calcA'!BY$106=1,FX8+ACM8,1)</f>
        <v/>
      </c>
      <c r="AIB8">
        <f>IF('calcA'!BZ$106=1,FY8+ACN8,1)</f>
        <v/>
      </c>
      <c r="AIC8">
        <f>IF('calcA'!CA$106=1,FZ8+ACO8,1)</f>
        <v/>
      </c>
      <c r="AID8">
        <f>IF('calcA'!CB$106=1,GA8+ACP8,1)</f>
        <v/>
      </c>
      <c r="AIE8">
        <f>IF('calcA'!CC$106=1,GB8+ACQ8,1)</f>
        <v/>
      </c>
      <c r="AIF8">
        <f>IF('calcA'!CD$106=1,GC8+ACR8,1)</f>
        <v/>
      </c>
      <c r="AIG8">
        <f>IF('calcA'!CE$106=1,GD8+ACS8,1)</f>
        <v/>
      </c>
      <c r="AIH8">
        <f>IF('calcA'!CF$106=1,GE8+ACT8,1)</f>
        <v/>
      </c>
      <c r="AII8">
        <f>IF('calcA'!CG$106=1,GF8+ACU8,1)</f>
        <v/>
      </c>
      <c r="AIJ8">
        <f>IF('calcA'!CH$106=1,GG8+ACV8,1)</f>
        <v/>
      </c>
      <c r="AIK8">
        <f>IF('calcA'!CI$106=1,GH8+ACW8,1)</f>
        <v/>
      </c>
      <c r="AIL8">
        <f>IF('calcA'!CJ$106=1,GI8+ACX8,1)</f>
        <v/>
      </c>
      <c r="AIM8">
        <f>IF('calcA'!CK$106=1,GJ8+ACY8,1)</f>
        <v/>
      </c>
      <c r="AIN8">
        <f>IF('calcA'!CL$106=1,GK8+ACZ8,1)</f>
        <v/>
      </c>
      <c r="AIO8">
        <f>IF('calcA'!CM$106=1,GL8+ADA8,1)</f>
        <v/>
      </c>
      <c r="AIP8">
        <f>IF('calcA'!CN$106=1,GM8+ADB8,1)</f>
        <v/>
      </c>
      <c r="AIQ8">
        <f>IF('calcA'!CO$106=1,GN8+ADC8,1)</f>
        <v/>
      </c>
      <c r="AIR8">
        <f>IF('calcA'!CP$106=1,GO8+ADD8,1)</f>
        <v/>
      </c>
      <c r="AIS8">
        <f>IF('calcA'!CQ$106=1,GP8+ADE8,1)</f>
        <v/>
      </c>
      <c r="AIT8">
        <f>IF('calcA'!CR$106=1,GQ8+ADF8,1)</f>
        <v/>
      </c>
      <c r="AIU8">
        <f>IF('calcA'!CS$106=1,GR8+ADG8,1)</f>
        <v/>
      </c>
      <c r="AIV8">
        <f>IF('calcA'!CT$106=1,GS8+ADH8,1)</f>
        <v/>
      </c>
      <c r="AIW8">
        <f>IF('calcA'!CU$106=1,GT8+ADI8,1)</f>
        <v/>
      </c>
      <c r="AIX8">
        <f>IF('calcA'!CV$106=1,GU8+ADJ8,1)</f>
        <v/>
      </c>
      <c r="AIY8">
        <f>IF('calcA'!CW$106=1,GV8+ADK8,1)</f>
        <v/>
      </c>
      <c r="AIZ8">
        <f>IF('calcA'!CX$106=1,GW8+ADL8,1)</f>
        <v/>
      </c>
      <c r="AJA8">
        <f>IF('calcA'!CY$106=1,GX8+ADM8,1)</f>
        <v/>
      </c>
      <c r="AJB8">
        <f>IF('calcA'!CZ$106=1,GY8+ADN8,1)</f>
        <v/>
      </c>
      <c r="AJC8">
        <f>IF('calcA'!DA$106=1,GZ8+ADO8,1)</f>
        <v/>
      </c>
      <c r="AJD8">
        <f>IF('calcA'!DB$106=1,HA8+ADP8,1)</f>
        <v/>
      </c>
      <c r="AJE8">
        <f>IF('calcA'!DC$106=1,HB8+ADQ8,1)</f>
        <v/>
      </c>
      <c r="AJF8">
        <f>IF('calcA'!DD$106=1,HC8+ADR8,1)</f>
        <v/>
      </c>
      <c r="AJG8">
        <f>IF('calcA'!DE$106=1,HD8+ADS8,1)</f>
        <v/>
      </c>
      <c r="AJH8">
        <f>IF('calcA'!DF$106=1,HE8+ADT8,1)</f>
        <v/>
      </c>
      <c r="AJI8">
        <f>IF('calcA'!DG$106=1,HF8+ADU8,1)</f>
        <v/>
      </c>
      <c r="AJJ8">
        <f>IF('calcA'!DH$106=1,HG8+ADV8,1)</f>
        <v/>
      </c>
      <c r="AJK8">
        <f>IF('calcA'!DI$106=1,HH8+ADW8,1)</f>
        <v/>
      </c>
      <c r="AJL8">
        <f>IF('calcA'!DJ$106=1,HI8+ADX8,1)</f>
        <v/>
      </c>
      <c r="AJM8">
        <f>IF('calcA'!DK$106=1,HJ8+ADY8,1)</f>
        <v/>
      </c>
      <c r="AJN8">
        <f>IF('calcA'!DL$106=1,HK8+ADZ8,1)</f>
        <v/>
      </c>
      <c r="AJO8">
        <f>IF('calcA'!DM$106=1,HL8+AEA8,1)</f>
        <v/>
      </c>
      <c r="AJP8">
        <f>IF('calcA'!DN$106=1,HM8+AEB8,1)</f>
        <v/>
      </c>
      <c r="AJQ8">
        <f>IF('calcA'!DO$106=1,HN8+AEC8,1)</f>
        <v/>
      </c>
      <c r="AJR8">
        <f>IF('calcA'!DP$106=1,HO8+AED8,1)</f>
        <v/>
      </c>
      <c r="AJS8">
        <f>IF('calcA'!DQ$106=1,HP8+AEE8,1)</f>
        <v/>
      </c>
      <c r="AJT8">
        <f>IF('calcA'!DR$106=1,HQ8+AEF8,1)</f>
        <v/>
      </c>
      <c r="AJU8">
        <f>IF('calcA'!DS$106=1,HR8+AEG8,1)</f>
        <v/>
      </c>
      <c r="AJV8">
        <f>IF('calcA'!DT$106=1,HS8+AEH8,1)</f>
        <v/>
      </c>
      <c r="AJW8">
        <f>IF('calcA'!DU$106=1,HT8+AEI8,1)</f>
        <v/>
      </c>
      <c r="AJX8">
        <f>IF('calcA'!DV$106=1,HU8+AEJ8,1)</f>
        <v/>
      </c>
      <c r="AJY8">
        <f>IF('calcA'!DW$106=1,HV8+AEK8,1)</f>
        <v/>
      </c>
      <c r="AJZ8">
        <f>IF('calcA'!DX$106=1,HW8+AEL8,1)</f>
        <v/>
      </c>
      <c r="AKA8">
        <f>IF('calcA'!DY$106=1,HX8+AEM8,1)</f>
        <v/>
      </c>
      <c r="AKB8">
        <f>IF('calcA'!DZ$106=1,HY8+AEN8,1)</f>
        <v/>
      </c>
      <c r="AKC8">
        <f>IF('calcA'!EA$106=1,HZ8+AEO8,1)</f>
        <v/>
      </c>
      <c r="AKD8">
        <f>IF('calcA'!EB$106=1,IA8+AEP8,1)</f>
        <v/>
      </c>
      <c r="AKE8">
        <f>IF('calcA'!EC$106=1,IB8+AEQ8,1)</f>
        <v/>
      </c>
      <c r="AKF8">
        <f>IF('calcA'!ED$106=1,IC8+AER8,1)</f>
        <v/>
      </c>
      <c r="AKG8">
        <f>IF('calcA'!EE$106=1,ID8+AES8,1)</f>
        <v/>
      </c>
      <c r="AKH8">
        <f>IF('calcA'!EF$106=1,IE8+AET8,1)</f>
        <v/>
      </c>
      <c r="AKI8">
        <f>IF('calcA'!EG$106=1,IF8+AEU8,1)</f>
        <v/>
      </c>
      <c r="AKJ8">
        <f>IF('calcA'!EH$106=1,IG8+AEV8,1)</f>
        <v/>
      </c>
      <c r="AKK8">
        <f>IF('calcA'!EI$106=1,IH8+AEW8,1)</f>
        <v/>
      </c>
      <c r="AKL8">
        <f>IF('calcA'!EJ$106=1,II8+AEX8,1)</f>
        <v/>
      </c>
      <c r="AKM8">
        <f>IF('calcA'!EK$106=1,IJ8+AEY8,1)</f>
        <v/>
      </c>
      <c r="AKN8">
        <f>IF('calcA'!EL$106=1,IK8+AEZ8,1)</f>
        <v/>
      </c>
      <c r="AKO8">
        <f>IF('calcA'!EM$106=1,IL8+AFA8,1)</f>
        <v/>
      </c>
      <c r="AKP8">
        <f>IF('calcA'!EN$106=1,IM8+AFB8,1)</f>
        <v/>
      </c>
      <c r="AKQ8">
        <f>IF('calcA'!EO$106=1,IN8+AFC8,1)</f>
        <v/>
      </c>
      <c r="AKR8">
        <f>IF('calcA'!EP$106=1,IO8+AFD8,1)</f>
        <v/>
      </c>
      <c r="AKS8" t="n">
        <v>1</v>
      </c>
    </row>
    <row r="9">
      <c r="A9" t="n">
        <v>7</v>
      </c>
      <c r="B9">
        <f>IF(MIN(BM9:CZ9)&gt;=1000000000,0,MATCH(MIN(BM9:CZ9),BM9:CZ9,0))</f>
        <v/>
      </c>
      <c r="C9">
        <f>IF(MIN(OF9:TS9)&gt;=1000000000,0,MATCH(MIN(OF9:TS9),OF9:TS9,0))</f>
        <v/>
      </c>
      <c r="D9">
        <f>IF(C9&gt;0,INDEX('calcA'!$D$5:$EQ$5,C9),0)</f>
        <v/>
      </c>
      <c r="E9">
        <f>IF(B9=0,0,INDEX('calcA'!$IQ$10:$IQ$54,B9))</f>
        <v/>
      </c>
      <c r="F9">
        <f>IF(B9=0,0,INDEX('calcA'!$IP$10:$IP$54,B9))</f>
        <v/>
      </c>
      <c r="G9">
        <f>IF(AND(C9&gt;0,E9&gt;0),IF(AND(INDEX('calcA'!$D$106:$EQ$106,C9)=1,INDEX($IQ9:$OD9,C9)=1),C9+1,0),0)</f>
        <v/>
      </c>
      <c r="H9">
        <f>IF(B9=0,0,INDEX('calcA'!$IW$10:$IW$54,B9))</f>
        <v/>
      </c>
      <c r="U9">
        <f>IF(B9=0,0,INDEX('calcA'!$IX$10:$IX$54,B9))</f>
        <v/>
      </c>
      <c r="V9">
        <f>IF(B9=0,0,INDEX('calcA'!$JF$10:$JF$54,B9))</f>
        <v/>
      </c>
      <c r="W9">
        <f>IF(B9=0,0,IF(IF(E9=2,SUMPRODUCT(INDEX('calcA'!$D$60:$EQ$99,B9,0),$DB9:$IO9,$IQ9:$OD9),SUMPRODUCT(INDEX('calcA'!$D$60:$EQ$99,B9,0),$DB9:$IO9))=0,1,0))</f>
        <v/>
      </c>
      <c r="X9">
        <f>MAX(X8,IF($B8=1,1,0))</f>
        <v/>
      </c>
      <c r="Y9">
        <f>MAX(Y8,IF($B8=2,1,0))</f>
        <v/>
      </c>
      <c r="Z9">
        <f>MAX(Z8,IF($B8=3,1,0))</f>
        <v/>
      </c>
      <c r="AA9">
        <f>MAX(AA8,IF($B8=4,1,0))</f>
        <v/>
      </c>
      <c r="AB9">
        <f>MAX(AB8,IF($B8=5,1,0))</f>
        <v/>
      </c>
      <c r="AC9">
        <f>MAX(AC8,IF($B8=6,1,0))</f>
        <v/>
      </c>
      <c r="AD9">
        <f>MAX(AD8,IF($B8=7,1,0))</f>
        <v/>
      </c>
      <c r="AE9">
        <f>MAX(AE8,IF($B8=8,1,0))</f>
        <v/>
      </c>
      <c r="AF9">
        <f>MAX(AF8,IF($B8=9,1,0))</f>
        <v/>
      </c>
      <c r="AG9">
        <f>MAX(AG8,IF($B8=10,1,0))</f>
        <v/>
      </c>
      <c r="AH9">
        <f>MAX(AH8,IF($B8=11,1,0))</f>
        <v/>
      </c>
      <c r="AI9">
        <f>MAX(AI8,IF($B8=12,1,0))</f>
        <v/>
      </c>
      <c r="AJ9">
        <f>MAX(AJ8,IF($B8=13,1,0))</f>
        <v/>
      </c>
      <c r="AK9">
        <f>MAX(AK8,IF($B8=14,1,0))</f>
        <v/>
      </c>
      <c r="AL9">
        <f>MAX(AL8,IF($B8=15,1,0))</f>
        <v/>
      </c>
      <c r="AM9">
        <f>MAX(AM8,IF($B8=16,1,0))</f>
        <v/>
      </c>
      <c r="AN9">
        <f>MAX(AN8,IF($B8=17,1,0))</f>
        <v/>
      </c>
      <c r="AO9">
        <f>MAX(AO8,IF($B8=18,1,0))</f>
        <v/>
      </c>
      <c r="AP9">
        <f>MAX(AP8,IF($B8=19,1,0))</f>
        <v/>
      </c>
      <c r="AQ9">
        <f>MAX(AQ8,IF($B8=20,1,0))</f>
        <v/>
      </c>
      <c r="AR9">
        <f>MAX(AR8,IF($B8=21,1,0))</f>
        <v/>
      </c>
      <c r="AS9">
        <f>MAX(AS8,IF($B8=22,1,0))</f>
        <v/>
      </c>
      <c r="AT9">
        <f>MAX(AT8,IF($B8=23,1,0))</f>
        <v/>
      </c>
      <c r="AU9">
        <f>MAX(AU8,IF($B8=24,1,0))</f>
        <v/>
      </c>
      <c r="AV9">
        <f>MAX(AV8,IF($B8=25,1,0))</f>
        <v/>
      </c>
      <c r="AW9">
        <f>MAX(AW8,IF($B8=26,1,0))</f>
        <v/>
      </c>
      <c r="AX9">
        <f>MAX(AX8,IF($B8=27,1,0))</f>
        <v/>
      </c>
      <c r="AY9">
        <f>MAX(AY8,IF($B8=28,1,0))</f>
        <v/>
      </c>
      <c r="AZ9">
        <f>MAX(AZ8,IF($B8=29,1,0))</f>
        <v/>
      </c>
      <c r="BA9">
        <f>MAX(BA8,IF($B8=30,1,0))</f>
        <v/>
      </c>
      <c r="BB9">
        <f>MAX(BB8,IF($B8=31,1,0))</f>
        <v/>
      </c>
      <c r="BC9">
        <f>MAX(BC8,IF($B8=32,1,0))</f>
        <v/>
      </c>
      <c r="BD9">
        <f>MAX(BD8,IF($B8=33,1,0))</f>
        <v/>
      </c>
      <c r="BE9">
        <f>MAX(BE8,IF($B8=34,1,0))</f>
        <v/>
      </c>
      <c r="BF9">
        <f>MAX(BF8,IF($B8=35,1,0))</f>
        <v/>
      </c>
      <c r="BG9">
        <f>MAX(BG8,IF($B8=36,1,0))</f>
        <v/>
      </c>
      <c r="BH9">
        <f>MAX(BH8,IF($B8=37,1,0))</f>
        <v/>
      </c>
      <c r="BI9">
        <f>MAX(BI8,IF($B8=38,1,0))</f>
        <v/>
      </c>
      <c r="BJ9">
        <f>MAX(BJ8,IF($B8=39,1,0))</f>
        <v/>
      </c>
      <c r="BK9">
        <f>MAX(BK8,IF($B8=40,1,0))</f>
        <v/>
      </c>
      <c r="BM9">
        <f>IF(OR(X9=1,calcA!$A$6=0),1000000000,IF('calcA'!$JF$10=1,0,100000000)+IF('calcA'!$IQ$10=2,SUMPRODUCT('calcA'!$D$60:$EQ$60,$DB9:$IO9,$IQ9:$OD9)*1000+SUMPRODUCT('calcA'!$D$60:$EQ$60,$DB9:$IO9+$ZQ9:$AFD9,$AFF9:$AKS9),SUMPRODUCT('calcA'!$D$60:$EQ$60,$DB9:$IO9*1001+$ZQ9:$AFD9))*100+1)</f>
        <v/>
      </c>
      <c r="BN9">
        <f>IF(OR(Y9=1,calcA!$A$6=0),1000000000,IF('calcA'!$JF$11=1,0,100000000)+IF('calcA'!$IQ$11=2,SUMPRODUCT('calcA'!$D$61:$EQ$61,$DB9:$IO9,$IQ9:$OD9)*1000+SUMPRODUCT('calcA'!$D$61:$EQ$61,$DB9:$IO9+$ZQ9:$AFD9,$AFF9:$AKS9),SUMPRODUCT('calcA'!$D$61:$EQ$61,$DB9:$IO9*1001+$ZQ9:$AFD9))*100+2)</f>
        <v/>
      </c>
      <c r="BO9">
        <f>IF(OR(Z9=1,calcA!$A$6=0),1000000000,IF('calcA'!$JF$12=1,0,100000000)+IF('calcA'!$IQ$12=2,SUMPRODUCT('calcA'!$D$62:$EQ$62,$DB9:$IO9,$IQ9:$OD9)*1000+SUMPRODUCT('calcA'!$D$62:$EQ$62,$DB9:$IO9+$ZQ9:$AFD9,$AFF9:$AKS9),SUMPRODUCT('calcA'!$D$62:$EQ$62,$DB9:$IO9*1001+$ZQ9:$AFD9))*100+3)</f>
        <v/>
      </c>
      <c r="BP9">
        <f>IF(OR(AA9=1,calcA!$A$6=0),1000000000,IF('calcA'!$JF$13=1,0,100000000)+IF('calcA'!$IQ$13=2,SUMPRODUCT('calcA'!$D$63:$EQ$63,$DB9:$IO9,$IQ9:$OD9)*1000+SUMPRODUCT('calcA'!$D$63:$EQ$63,$DB9:$IO9+$ZQ9:$AFD9,$AFF9:$AKS9),SUMPRODUCT('calcA'!$D$63:$EQ$63,$DB9:$IO9*1001+$ZQ9:$AFD9))*100+4)</f>
        <v/>
      </c>
      <c r="BQ9">
        <f>IF(OR(AB9=1,calcA!$A$6=0),1000000000,IF('calcA'!$JF$14=1,0,100000000)+IF('calcA'!$IQ$14=2,SUMPRODUCT('calcA'!$D$64:$EQ$64,$DB9:$IO9,$IQ9:$OD9)*1000+SUMPRODUCT('calcA'!$D$64:$EQ$64,$DB9:$IO9+$ZQ9:$AFD9,$AFF9:$AKS9),SUMPRODUCT('calcA'!$D$64:$EQ$64,$DB9:$IO9*1001+$ZQ9:$AFD9))*100+5)</f>
        <v/>
      </c>
      <c r="BR9">
        <f>IF(OR(AC9=1,calcA!$A$6=0),1000000000,IF('calcA'!$JF$15=1,0,100000000)+IF('calcA'!$IQ$15=2,SUMPRODUCT('calcA'!$D$65:$EQ$65,$DB9:$IO9,$IQ9:$OD9)*1000+SUMPRODUCT('calcA'!$D$65:$EQ$65,$DB9:$IO9+$ZQ9:$AFD9,$AFF9:$AKS9),SUMPRODUCT('calcA'!$D$65:$EQ$65,$DB9:$IO9*1001+$ZQ9:$AFD9))*100+6)</f>
        <v/>
      </c>
      <c r="BS9">
        <f>IF(OR(AD9=1,calcA!$A$6=0),1000000000,IF('calcA'!$JF$16=1,0,100000000)+IF('calcA'!$IQ$16=2,SUMPRODUCT('calcA'!$D$66:$EQ$66,$DB9:$IO9,$IQ9:$OD9)*1000+SUMPRODUCT('calcA'!$D$66:$EQ$66,$DB9:$IO9+$ZQ9:$AFD9,$AFF9:$AKS9),SUMPRODUCT('calcA'!$D$66:$EQ$66,$DB9:$IO9*1001+$ZQ9:$AFD9))*100+7)</f>
        <v/>
      </c>
      <c r="BT9">
        <f>IF(OR(AE9=1,calcA!$A$6=0),1000000000,IF('calcA'!$JF$17=1,0,100000000)+IF('calcA'!$IQ$17=2,SUMPRODUCT('calcA'!$D$67:$EQ$67,$DB9:$IO9,$IQ9:$OD9)*1000+SUMPRODUCT('calcA'!$D$67:$EQ$67,$DB9:$IO9+$ZQ9:$AFD9,$AFF9:$AKS9),SUMPRODUCT('calcA'!$D$67:$EQ$67,$DB9:$IO9*1001+$ZQ9:$AFD9))*100+8)</f>
        <v/>
      </c>
      <c r="BU9">
        <f>IF(OR(AF9=1,calcA!$A$6=0),1000000000,IF('calcA'!$JF$18=1,0,100000000)+IF('calcA'!$IQ$18=2,SUMPRODUCT('calcA'!$D$68:$EQ$68,$DB9:$IO9,$IQ9:$OD9)*1000+SUMPRODUCT('calcA'!$D$68:$EQ$68,$DB9:$IO9+$ZQ9:$AFD9,$AFF9:$AKS9),SUMPRODUCT('calcA'!$D$68:$EQ$68,$DB9:$IO9*1001+$ZQ9:$AFD9))*100+9)</f>
        <v/>
      </c>
      <c r="BV9">
        <f>IF(OR(AG9=1,calcA!$A$6=0),1000000000,IF('calcA'!$JF$19=1,0,100000000)+IF('calcA'!$IQ$19=2,SUMPRODUCT('calcA'!$D$69:$EQ$69,$DB9:$IO9,$IQ9:$OD9)*1000+SUMPRODUCT('calcA'!$D$69:$EQ$69,$DB9:$IO9+$ZQ9:$AFD9,$AFF9:$AKS9),SUMPRODUCT('calcA'!$D$69:$EQ$69,$DB9:$IO9*1001+$ZQ9:$AFD9))*100+10)</f>
        <v/>
      </c>
      <c r="BW9">
        <f>IF(OR(AH9=1,calcA!$A$6=0),1000000000,IF('calcA'!$JF$20=1,0,100000000)+IF('calcA'!$IQ$20=2,SUMPRODUCT('calcA'!$D$70:$EQ$70,$DB9:$IO9,$IQ9:$OD9)*1000+SUMPRODUCT('calcA'!$D$70:$EQ$70,$DB9:$IO9+$ZQ9:$AFD9,$AFF9:$AKS9),SUMPRODUCT('calcA'!$D$70:$EQ$70,$DB9:$IO9*1001+$ZQ9:$AFD9))*100+11)</f>
        <v/>
      </c>
      <c r="BX9">
        <f>IF(OR(AI9=1,calcA!$A$6=0),1000000000,IF('calcA'!$JF$21=1,0,100000000)+IF('calcA'!$IQ$21=2,SUMPRODUCT('calcA'!$D$71:$EQ$71,$DB9:$IO9,$IQ9:$OD9)*1000+SUMPRODUCT('calcA'!$D$71:$EQ$71,$DB9:$IO9+$ZQ9:$AFD9,$AFF9:$AKS9),SUMPRODUCT('calcA'!$D$71:$EQ$71,$DB9:$IO9*1001+$ZQ9:$AFD9))*100+12)</f>
        <v/>
      </c>
      <c r="BY9">
        <f>IF(OR(AJ9=1,calcA!$A$6=0),1000000000,IF('calcA'!$JF$22=1,0,100000000)+IF('calcA'!$IQ$22=2,SUMPRODUCT('calcA'!$D$72:$EQ$72,$DB9:$IO9,$IQ9:$OD9)*1000+SUMPRODUCT('calcA'!$D$72:$EQ$72,$DB9:$IO9+$ZQ9:$AFD9,$AFF9:$AKS9),SUMPRODUCT('calcA'!$D$72:$EQ$72,$DB9:$IO9*1001+$ZQ9:$AFD9))*100+13)</f>
        <v/>
      </c>
      <c r="BZ9">
        <f>IF(OR(AK9=1,calcA!$A$6=0),1000000000,IF('calcA'!$JF$23=1,0,100000000)+IF('calcA'!$IQ$23=2,SUMPRODUCT('calcA'!$D$73:$EQ$73,$DB9:$IO9,$IQ9:$OD9)*1000+SUMPRODUCT('calcA'!$D$73:$EQ$73,$DB9:$IO9+$ZQ9:$AFD9,$AFF9:$AKS9),SUMPRODUCT('calcA'!$D$73:$EQ$73,$DB9:$IO9*1001+$ZQ9:$AFD9))*100+14)</f>
        <v/>
      </c>
      <c r="CA9">
        <f>IF(OR(AL9=1,calcA!$A$6=0),1000000000,IF('calcA'!$JF$24=1,0,100000000)+IF('calcA'!$IQ$24=2,SUMPRODUCT('calcA'!$D$74:$EQ$74,$DB9:$IO9,$IQ9:$OD9)*1000+SUMPRODUCT('calcA'!$D$74:$EQ$74,$DB9:$IO9+$ZQ9:$AFD9,$AFF9:$AKS9),SUMPRODUCT('calcA'!$D$74:$EQ$74,$DB9:$IO9*1001+$ZQ9:$AFD9))*100+15)</f>
        <v/>
      </c>
      <c r="CB9">
        <f>IF(OR(AM9=1,calcA!$A$6=0),1000000000,IF('calcA'!$JF$25=1,0,100000000)+IF('calcA'!$IQ$25=2,SUMPRODUCT('calcA'!$D$75:$EQ$75,$DB9:$IO9,$IQ9:$OD9)*1000+SUMPRODUCT('calcA'!$D$75:$EQ$75,$DB9:$IO9+$ZQ9:$AFD9,$AFF9:$AKS9),SUMPRODUCT('calcA'!$D$75:$EQ$75,$DB9:$IO9*1001+$ZQ9:$AFD9))*100+16)</f>
        <v/>
      </c>
      <c r="CC9">
        <f>IF(OR(AN9=1,calcA!$A$6=0),1000000000,IF('calcA'!$JF$26=1,0,100000000)+IF('calcA'!$IQ$26=2,SUMPRODUCT('calcA'!$D$76:$EQ$76,$DB9:$IO9,$IQ9:$OD9)*1000+SUMPRODUCT('calcA'!$D$76:$EQ$76,$DB9:$IO9+$ZQ9:$AFD9,$AFF9:$AKS9),SUMPRODUCT('calcA'!$D$76:$EQ$76,$DB9:$IO9*1001+$ZQ9:$AFD9))*100+17)</f>
        <v/>
      </c>
      <c r="CD9">
        <f>IF(OR(AO9=1,calcA!$A$6=0),1000000000,IF('calcA'!$JF$27=1,0,100000000)+IF('calcA'!$IQ$27=2,SUMPRODUCT('calcA'!$D$77:$EQ$77,$DB9:$IO9,$IQ9:$OD9)*1000+SUMPRODUCT('calcA'!$D$77:$EQ$77,$DB9:$IO9+$ZQ9:$AFD9,$AFF9:$AKS9),SUMPRODUCT('calcA'!$D$77:$EQ$77,$DB9:$IO9*1001+$ZQ9:$AFD9))*100+18)</f>
        <v/>
      </c>
      <c r="CE9">
        <f>IF(OR(AP9=1,calcA!$A$6=0),1000000000,IF('calcA'!$JF$28=1,0,100000000)+IF('calcA'!$IQ$28=2,SUMPRODUCT('calcA'!$D$78:$EQ$78,$DB9:$IO9,$IQ9:$OD9)*1000+SUMPRODUCT('calcA'!$D$78:$EQ$78,$DB9:$IO9+$ZQ9:$AFD9,$AFF9:$AKS9),SUMPRODUCT('calcA'!$D$78:$EQ$78,$DB9:$IO9*1001+$ZQ9:$AFD9))*100+19)</f>
        <v/>
      </c>
      <c r="CF9">
        <f>IF(OR(AQ9=1,calcA!$A$6=0),1000000000,IF('calcA'!$JF$29=1,0,100000000)+IF('calcA'!$IQ$29=2,SUMPRODUCT('calcA'!$D$79:$EQ$79,$DB9:$IO9,$IQ9:$OD9)*1000+SUMPRODUCT('calcA'!$D$79:$EQ$79,$DB9:$IO9+$ZQ9:$AFD9,$AFF9:$AKS9),SUMPRODUCT('calcA'!$D$79:$EQ$79,$DB9:$IO9*1001+$ZQ9:$AFD9))*100+20)</f>
        <v/>
      </c>
      <c r="CG9">
        <f>IF(OR(AR9=1,calcA!$A$6=0),1000000000,IF('calcA'!$JF$30=1,0,100000000)+IF('calcA'!$IQ$30=2,SUMPRODUCT('calcA'!$D$80:$EQ$80,$DB9:$IO9,$IQ9:$OD9)*1000+SUMPRODUCT('calcA'!$D$80:$EQ$80,$DB9:$IO9+$ZQ9:$AFD9,$AFF9:$AKS9),SUMPRODUCT('calcA'!$D$80:$EQ$80,$DB9:$IO9*1001+$ZQ9:$AFD9))*100+21)</f>
        <v/>
      </c>
      <c r="CH9">
        <f>IF(OR(AS9=1,calcA!$A$6=0),1000000000,IF('calcA'!$JF$31=1,0,100000000)+IF('calcA'!$IQ$31=2,SUMPRODUCT('calcA'!$D$81:$EQ$81,$DB9:$IO9,$IQ9:$OD9)*1000+SUMPRODUCT('calcA'!$D$81:$EQ$81,$DB9:$IO9+$ZQ9:$AFD9,$AFF9:$AKS9),SUMPRODUCT('calcA'!$D$81:$EQ$81,$DB9:$IO9*1001+$ZQ9:$AFD9))*100+22)</f>
        <v/>
      </c>
      <c r="CI9">
        <f>IF(OR(AT9=1,calcA!$A$6=0),1000000000,IF('calcA'!$JF$32=1,0,100000000)+IF('calcA'!$IQ$32=2,SUMPRODUCT('calcA'!$D$82:$EQ$82,$DB9:$IO9,$IQ9:$OD9)*1000+SUMPRODUCT('calcA'!$D$82:$EQ$82,$DB9:$IO9+$ZQ9:$AFD9,$AFF9:$AKS9),SUMPRODUCT('calcA'!$D$82:$EQ$82,$DB9:$IO9*1001+$ZQ9:$AFD9))*100+23)</f>
        <v/>
      </c>
      <c r="CJ9">
        <f>IF(OR(AU9=1,calcA!$A$6=0),1000000000,IF('calcA'!$JF$33=1,0,100000000)+IF('calcA'!$IQ$33=2,SUMPRODUCT('calcA'!$D$83:$EQ$83,$DB9:$IO9,$IQ9:$OD9)*1000+SUMPRODUCT('calcA'!$D$83:$EQ$83,$DB9:$IO9+$ZQ9:$AFD9,$AFF9:$AKS9),SUMPRODUCT('calcA'!$D$83:$EQ$83,$DB9:$IO9*1001+$ZQ9:$AFD9))*100+24)</f>
        <v/>
      </c>
      <c r="CK9">
        <f>IF(OR(AV9=1,calcA!$A$6=0),1000000000,IF('calcA'!$JF$34=1,0,100000000)+IF('calcA'!$IQ$34=2,SUMPRODUCT('calcA'!$D$84:$EQ$84,$DB9:$IO9,$IQ9:$OD9)*1000+SUMPRODUCT('calcA'!$D$84:$EQ$84,$DB9:$IO9+$ZQ9:$AFD9,$AFF9:$AKS9),SUMPRODUCT('calcA'!$D$84:$EQ$84,$DB9:$IO9*1001+$ZQ9:$AFD9))*100+25)</f>
        <v/>
      </c>
      <c r="CL9">
        <f>IF(OR(AW9=1,calcA!$A$6=0),1000000000,IF('calcA'!$JF$35=1,0,100000000)+IF('calcA'!$IQ$35=2,SUMPRODUCT('calcA'!$D$85:$EQ$85,$DB9:$IO9,$IQ9:$OD9)*1000+SUMPRODUCT('calcA'!$D$85:$EQ$85,$DB9:$IO9+$ZQ9:$AFD9,$AFF9:$AKS9),SUMPRODUCT('calcA'!$D$85:$EQ$85,$DB9:$IO9*1001+$ZQ9:$AFD9))*100+26)</f>
        <v/>
      </c>
      <c r="CM9">
        <f>IF(OR(AX9=1,calcA!$A$6=0),1000000000,IF('calcA'!$JF$36=1,0,100000000)+IF('calcA'!$IQ$36=2,SUMPRODUCT('calcA'!$D$86:$EQ$86,$DB9:$IO9,$IQ9:$OD9)*1000+SUMPRODUCT('calcA'!$D$86:$EQ$86,$DB9:$IO9+$ZQ9:$AFD9,$AFF9:$AKS9),SUMPRODUCT('calcA'!$D$86:$EQ$86,$DB9:$IO9*1001+$ZQ9:$AFD9))*100+27)</f>
        <v/>
      </c>
      <c r="CN9">
        <f>IF(OR(AY9=1,calcA!$A$6=0),1000000000,IF('calcA'!$JF$37=1,0,100000000)+IF('calcA'!$IQ$37=2,SUMPRODUCT('calcA'!$D$87:$EQ$87,$DB9:$IO9,$IQ9:$OD9)*1000+SUMPRODUCT('calcA'!$D$87:$EQ$87,$DB9:$IO9+$ZQ9:$AFD9,$AFF9:$AKS9),SUMPRODUCT('calcA'!$D$87:$EQ$87,$DB9:$IO9*1001+$ZQ9:$AFD9))*100+28)</f>
        <v/>
      </c>
      <c r="CO9">
        <f>IF(OR(AZ9=1,calcA!$A$6=0),1000000000,IF('calcA'!$JF$38=1,0,100000000)+IF('calcA'!$IQ$38=2,SUMPRODUCT('calcA'!$D$88:$EQ$88,$DB9:$IO9,$IQ9:$OD9)*1000+SUMPRODUCT('calcA'!$D$88:$EQ$88,$DB9:$IO9+$ZQ9:$AFD9,$AFF9:$AKS9),SUMPRODUCT('calcA'!$D$88:$EQ$88,$DB9:$IO9*1001+$ZQ9:$AFD9))*100+29)</f>
        <v/>
      </c>
      <c r="CP9">
        <f>IF(OR(BA9=1,calcA!$A$6=0),1000000000,IF('calcA'!$JF$39=1,0,100000000)+IF('calcA'!$IQ$39=2,SUMPRODUCT('calcA'!$D$89:$EQ$89,$DB9:$IO9,$IQ9:$OD9)*1000+SUMPRODUCT('calcA'!$D$89:$EQ$89,$DB9:$IO9+$ZQ9:$AFD9,$AFF9:$AKS9),SUMPRODUCT('calcA'!$D$89:$EQ$89,$DB9:$IO9*1001+$ZQ9:$AFD9))*100+30)</f>
        <v/>
      </c>
      <c r="CQ9">
        <f>IF(OR(BB9=1,calcA!$A$6=0),1000000000,IF('calcA'!$JF$40=1,0,100000000)+IF('calcA'!$IQ$40=2,SUMPRODUCT('calcA'!$D$90:$EQ$90,$DB9:$IO9,$IQ9:$OD9)*1000+SUMPRODUCT('calcA'!$D$90:$EQ$90,$DB9:$IO9+$ZQ9:$AFD9,$AFF9:$AKS9),SUMPRODUCT('calcA'!$D$90:$EQ$90,$DB9:$IO9*1001+$ZQ9:$AFD9))*100+31)</f>
        <v/>
      </c>
      <c r="CR9">
        <f>IF(OR(BC9=1,calcA!$A$6=0),1000000000,IF('calcA'!$JF$41=1,0,100000000)+IF('calcA'!$IQ$41=2,SUMPRODUCT('calcA'!$D$91:$EQ$91,$DB9:$IO9,$IQ9:$OD9)*1000+SUMPRODUCT('calcA'!$D$91:$EQ$91,$DB9:$IO9+$ZQ9:$AFD9,$AFF9:$AKS9),SUMPRODUCT('calcA'!$D$91:$EQ$91,$DB9:$IO9*1001+$ZQ9:$AFD9))*100+32)</f>
        <v/>
      </c>
      <c r="CS9">
        <f>IF(OR(BD9=1,calcA!$A$6=0),1000000000,IF('calcA'!$JF$42=1,0,100000000)+IF('calcA'!$IQ$42=2,SUMPRODUCT('calcA'!$D$92:$EQ$92,$DB9:$IO9,$IQ9:$OD9)*1000+SUMPRODUCT('calcA'!$D$92:$EQ$92,$DB9:$IO9+$ZQ9:$AFD9,$AFF9:$AKS9),SUMPRODUCT('calcA'!$D$92:$EQ$92,$DB9:$IO9*1001+$ZQ9:$AFD9))*100+33)</f>
        <v/>
      </c>
      <c r="CT9">
        <f>IF(OR(BE9=1,calcA!$A$6=0),1000000000,IF('calcA'!$JF$43=1,0,100000000)+IF('calcA'!$IQ$43=2,SUMPRODUCT('calcA'!$D$93:$EQ$93,$DB9:$IO9,$IQ9:$OD9)*1000+SUMPRODUCT('calcA'!$D$93:$EQ$93,$DB9:$IO9+$ZQ9:$AFD9,$AFF9:$AKS9),SUMPRODUCT('calcA'!$D$93:$EQ$93,$DB9:$IO9*1001+$ZQ9:$AFD9))*100+34)</f>
        <v/>
      </c>
      <c r="CU9">
        <f>IF(OR(BF9=1,calcA!$A$6=0),1000000000,IF('calcA'!$JF$44=1,0,100000000)+IF('calcA'!$IQ$44=2,SUMPRODUCT('calcA'!$D$94:$EQ$94,$DB9:$IO9,$IQ9:$OD9)*1000+SUMPRODUCT('calcA'!$D$94:$EQ$94,$DB9:$IO9+$ZQ9:$AFD9,$AFF9:$AKS9),SUMPRODUCT('calcA'!$D$94:$EQ$94,$DB9:$IO9*1001+$ZQ9:$AFD9))*100+35)</f>
        <v/>
      </c>
      <c r="CV9">
        <f>IF(OR(BG9=1,calcA!$A$6=0),1000000000,IF('calcA'!$JF$45=1,0,100000000)+IF('calcA'!$IQ$45=2,SUMPRODUCT('calcA'!$D$95:$EQ$95,$DB9:$IO9,$IQ9:$OD9)*1000+SUMPRODUCT('calcA'!$D$95:$EQ$95,$DB9:$IO9+$ZQ9:$AFD9,$AFF9:$AKS9),SUMPRODUCT('calcA'!$D$95:$EQ$95,$DB9:$IO9*1001+$ZQ9:$AFD9))*100+36)</f>
        <v/>
      </c>
      <c r="CW9">
        <f>IF(OR(BH9=1,calcA!$A$6=0),1000000000,IF('calcA'!$JF$46=1,0,100000000)+IF('calcA'!$IQ$46=2,SUMPRODUCT('calcA'!$D$96:$EQ$96,$DB9:$IO9,$IQ9:$OD9)*1000+SUMPRODUCT('calcA'!$D$96:$EQ$96,$DB9:$IO9+$ZQ9:$AFD9,$AFF9:$AKS9),SUMPRODUCT('calcA'!$D$96:$EQ$96,$DB9:$IO9*1001+$ZQ9:$AFD9))*100+37)</f>
        <v/>
      </c>
      <c r="CX9">
        <f>IF(OR(BI9=1,calcA!$A$6=0),1000000000,IF('calcA'!$JF$47=1,0,100000000)+IF('calcA'!$IQ$47=2,SUMPRODUCT('calcA'!$D$97:$EQ$97,$DB9:$IO9,$IQ9:$OD9)*1000+SUMPRODUCT('calcA'!$D$97:$EQ$97,$DB9:$IO9+$ZQ9:$AFD9,$AFF9:$AKS9),SUMPRODUCT('calcA'!$D$97:$EQ$97,$DB9:$IO9*1001+$ZQ9:$AFD9))*100+38)</f>
        <v/>
      </c>
      <c r="CY9">
        <f>IF(OR(BJ9=1,calcA!$A$6=0),1000000000,IF('calcA'!$JF$48=1,0,100000000)+IF('calcA'!$IQ$48=2,SUMPRODUCT('calcA'!$D$98:$EQ$98,$DB9:$IO9,$IQ9:$OD9)*1000+SUMPRODUCT('calcA'!$D$98:$EQ$98,$DB9:$IO9+$ZQ9:$AFD9,$AFF9:$AKS9),SUMPRODUCT('calcA'!$D$98:$EQ$98,$DB9:$IO9*1001+$ZQ9:$AFD9))*100+39)</f>
        <v/>
      </c>
      <c r="CZ9">
        <f>IF(OR(BK9=1,calcA!$A$6=0),1000000000,IF('calcA'!$JF$49=1,0,100000000)+IF('calcA'!$IQ$49=2,SUMPRODUCT('calcA'!$D$99:$EQ$99,$DB9:$IO9,$IQ9:$OD9)*1000+SUMPRODUCT('calcA'!$D$99:$EQ$99,$DB9:$IO9+$ZQ9:$AFD9,$AFF9:$AKS9),SUMPRODUCT('calcA'!$D$99:$EQ$99,$DB9:$IO9*1001+$ZQ9:$AFD9))*100+40)</f>
        <v/>
      </c>
      <c r="DB9">
        <f>DB8*IF(OR($C8=1,$G8=1),0,1)</f>
        <v/>
      </c>
      <c r="DC9">
        <f>DC8*IF(OR($C8=2,$G8=2),0,1)</f>
        <v/>
      </c>
      <c r="DD9">
        <f>DD8*IF(OR($C8=3,$G8=3),0,1)</f>
        <v/>
      </c>
      <c r="DE9">
        <f>DE8*IF(OR($C8=4,$G8=4),0,1)</f>
        <v/>
      </c>
      <c r="DF9">
        <f>DF8*IF(OR($C8=5,$G8=5),0,1)</f>
        <v/>
      </c>
      <c r="DG9">
        <f>DG8*IF(OR($C8=6,$G8=6),0,1)</f>
        <v/>
      </c>
      <c r="DH9">
        <f>DH8*IF(OR($C8=7,$G8=7),0,1)</f>
        <v/>
      </c>
      <c r="DI9">
        <f>DI8*IF(OR($C8=8,$G8=8),0,1)</f>
        <v/>
      </c>
      <c r="DJ9">
        <f>DJ8*IF(OR($C8=9,$G8=9),0,1)</f>
        <v/>
      </c>
      <c r="DK9">
        <f>DK8*IF(OR($C8=10,$G8=10),0,1)</f>
        <v/>
      </c>
      <c r="DL9">
        <f>DL8*IF(OR($C8=11,$G8=11),0,1)</f>
        <v/>
      </c>
      <c r="DM9">
        <f>DM8*IF(OR($C8=12,$G8=12),0,1)</f>
        <v/>
      </c>
      <c r="DN9">
        <f>DN8*IF(OR($C8=13,$G8=13),0,1)</f>
        <v/>
      </c>
      <c r="DO9">
        <f>DO8*IF(OR($C8=14,$G8=14),0,1)</f>
        <v/>
      </c>
      <c r="DP9">
        <f>DP8*IF(OR($C8=15,$G8=15),0,1)</f>
        <v/>
      </c>
      <c r="DQ9">
        <f>DQ8*IF(OR($C8=16,$G8=16),0,1)</f>
        <v/>
      </c>
      <c r="DR9">
        <f>DR8*IF(OR($C8=17,$G8=17),0,1)</f>
        <v/>
      </c>
      <c r="DS9">
        <f>DS8*IF(OR($C8=18,$G8=18),0,1)</f>
        <v/>
      </c>
      <c r="DT9">
        <f>DT8*IF(OR($C8=19,$G8=19),0,1)</f>
        <v/>
      </c>
      <c r="DU9">
        <f>DU8*IF(OR($C8=20,$G8=20),0,1)</f>
        <v/>
      </c>
      <c r="DV9">
        <f>DV8*IF(OR($C8=21,$G8=21),0,1)</f>
        <v/>
      </c>
      <c r="DW9">
        <f>DW8*IF(OR($C8=22,$G8=22),0,1)</f>
        <v/>
      </c>
      <c r="DX9">
        <f>DX8*IF(OR($C8=23,$G8=23),0,1)</f>
        <v/>
      </c>
      <c r="DY9">
        <f>DY8*IF(OR($C8=24,$G8=24),0,1)</f>
        <v/>
      </c>
      <c r="DZ9">
        <f>DZ8*IF(OR($C8=25,$G8=25),0,1)</f>
        <v/>
      </c>
      <c r="EA9">
        <f>EA8*IF(OR($C8=26,$G8=26),0,1)</f>
        <v/>
      </c>
      <c r="EB9">
        <f>EB8*IF(OR($C8=27,$G8=27),0,1)</f>
        <v/>
      </c>
      <c r="EC9">
        <f>EC8*IF(OR($C8=28,$G8=28),0,1)</f>
        <v/>
      </c>
      <c r="ED9">
        <f>ED8*IF(OR($C8=29,$G8=29),0,1)</f>
        <v/>
      </c>
      <c r="EE9">
        <f>EE8*IF(OR($C8=30,$G8=30),0,1)</f>
        <v/>
      </c>
      <c r="EF9">
        <f>EF8*IF(OR($C8=31,$G8=31),0,1)</f>
        <v/>
      </c>
      <c r="EG9">
        <f>EG8*IF(OR($C8=32,$G8=32),0,1)</f>
        <v/>
      </c>
      <c r="EH9">
        <f>EH8*IF(OR($C8=33,$G8=33),0,1)</f>
        <v/>
      </c>
      <c r="EI9">
        <f>EI8*IF(OR($C8=34,$G8=34),0,1)</f>
        <v/>
      </c>
      <c r="EJ9">
        <f>EJ8*IF(OR($C8=35,$G8=35),0,1)</f>
        <v/>
      </c>
      <c r="EK9">
        <f>EK8*IF(OR($C8=36,$G8=36),0,1)</f>
        <v/>
      </c>
      <c r="EL9">
        <f>EL8*IF(OR($C8=37,$G8=37),0,1)</f>
        <v/>
      </c>
      <c r="EM9">
        <f>EM8*IF(OR($C8=38,$G8=38),0,1)</f>
        <v/>
      </c>
      <c r="EN9">
        <f>EN8*IF(OR($C8=39,$G8=39),0,1)</f>
        <v/>
      </c>
      <c r="EO9">
        <f>EO8*IF(OR($C8=40,$G8=40),0,1)</f>
        <v/>
      </c>
      <c r="EP9">
        <f>EP8*IF(OR($C8=41,$G8=41),0,1)</f>
        <v/>
      </c>
      <c r="EQ9">
        <f>EQ8*IF(OR($C8=42,$G8=42),0,1)</f>
        <v/>
      </c>
      <c r="ER9">
        <f>ER8*IF(OR($C8=43,$G8=43),0,1)</f>
        <v/>
      </c>
      <c r="ES9">
        <f>ES8*IF(OR($C8=44,$G8=44),0,1)</f>
        <v/>
      </c>
      <c r="ET9">
        <f>ET8*IF(OR($C8=45,$G8=45),0,1)</f>
        <v/>
      </c>
      <c r="EU9">
        <f>EU8*IF(OR($C8=46,$G8=46),0,1)</f>
        <v/>
      </c>
      <c r="EV9">
        <f>EV8*IF(OR($C8=47,$G8=47),0,1)</f>
        <v/>
      </c>
      <c r="EW9">
        <f>EW8*IF(OR($C8=48,$G8=48),0,1)</f>
        <v/>
      </c>
      <c r="EX9">
        <f>EX8*IF(OR($C8=49,$G8=49),0,1)</f>
        <v/>
      </c>
      <c r="EY9">
        <f>EY8*IF(OR($C8=50,$G8=50),0,1)</f>
        <v/>
      </c>
      <c r="EZ9">
        <f>EZ8*IF(OR($C8=51,$G8=51),0,1)</f>
        <v/>
      </c>
      <c r="FA9">
        <f>FA8*IF(OR($C8=52,$G8=52),0,1)</f>
        <v/>
      </c>
      <c r="FB9">
        <f>FB8*IF(OR($C8=53,$G8=53),0,1)</f>
        <v/>
      </c>
      <c r="FC9">
        <f>FC8*IF(OR($C8=54,$G8=54),0,1)</f>
        <v/>
      </c>
      <c r="FD9">
        <f>FD8*IF(OR($C8=55,$G8=55),0,1)</f>
        <v/>
      </c>
      <c r="FE9">
        <f>FE8*IF(OR($C8=56,$G8=56),0,1)</f>
        <v/>
      </c>
      <c r="FF9">
        <f>FF8*IF(OR($C8=57,$G8=57),0,1)</f>
        <v/>
      </c>
      <c r="FG9">
        <f>FG8*IF(OR($C8=58,$G8=58),0,1)</f>
        <v/>
      </c>
      <c r="FH9">
        <f>FH8*IF(OR($C8=59,$G8=59),0,1)</f>
        <v/>
      </c>
      <c r="FI9">
        <f>FI8*IF(OR($C8=60,$G8=60),0,1)</f>
        <v/>
      </c>
      <c r="FJ9">
        <f>FJ8*IF(OR($C8=61,$G8=61),0,1)</f>
        <v/>
      </c>
      <c r="FK9">
        <f>FK8*IF(OR($C8=62,$G8=62),0,1)</f>
        <v/>
      </c>
      <c r="FL9">
        <f>FL8*IF(OR($C8=63,$G8=63),0,1)</f>
        <v/>
      </c>
      <c r="FM9">
        <f>FM8*IF(OR($C8=64,$G8=64),0,1)</f>
        <v/>
      </c>
      <c r="FN9">
        <f>FN8*IF(OR($C8=65,$G8=65),0,1)</f>
        <v/>
      </c>
      <c r="FO9">
        <f>FO8*IF(OR($C8=66,$G8=66),0,1)</f>
        <v/>
      </c>
      <c r="FP9">
        <f>FP8*IF(OR($C8=67,$G8=67),0,1)</f>
        <v/>
      </c>
      <c r="FQ9">
        <f>FQ8*IF(OR($C8=68,$G8=68),0,1)</f>
        <v/>
      </c>
      <c r="FR9">
        <f>FR8*IF(OR($C8=69,$G8=69),0,1)</f>
        <v/>
      </c>
      <c r="FS9">
        <f>FS8*IF(OR($C8=70,$G8=70),0,1)</f>
        <v/>
      </c>
      <c r="FT9">
        <f>FT8*IF(OR($C8=71,$G8=71),0,1)</f>
        <v/>
      </c>
      <c r="FU9">
        <f>FU8*IF(OR($C8=72,$G8=72),0,1)</f>
        <v/>
      </c>
      <c r="FV9">
        <f>FV8*IF(OR($C8=73,$G8=73),0,1)</f>
        <v/>
      </c>
      <c r="FW9">
        <f>FW8*IF(OR($C8=74,$G8=74),0,1)</f>
        <v/>
      </c>
      <c r="FX9">
        <f>FX8*IF(OR($C8=75,$G8=75),0,1)</f>
        <v/>
      </c>
      <c r="FY9">
        <f>FY8*IF(OR($C8=76,$G8=76),0,1)</f>
        <v/>
      </c>
      <c r="FZ9">
        <f>FZ8*IF(OR($C8=77,$G8=77),0,1)</f>
        <v/>
      </c>
      <c r="GA9">
        <f>GA8*IF(OR($C8=78,$G8=78),0,1)</f>
        <v/>
      </c>
      <c r="GB9">
        <f>GB8*IF(OR($C8=79,$G8=79),0,1)</f>
        <v/>
      </c>
      <c r="GC9">
        <f>GC8*IF(OR($C8=80,$G8=80),0,1)</f>
        <v/>
      </c>
      <c r="GD9">
        <f>GD8*IF(OR($C8=81,$G8=81),0,1)</f>
        <v/>
      </c>
      <c r="GE9">
        <f>GE8*IF(OR($C8=82,$G8=82),0,1)</f>
        <v/>
      </c>
      <c r="GF9">
        <f>GF8*IF(OR($C8=83,$G8=83),0,1)</f>
        <v/>
      </c>
      <c r="GG9">
        <f>GG8*IF(OR($C8=84,$G8=84),0,1)</f>
        <v/>
      </c>
      <c r="GH9">
        <f>GH8*IF(OR($C8=85,$G8=85),0,1)</f>
        <v/>
      </c>
      <c r="GI9">
        <f>GI8*IF(OR($C8=86,$G8=86),0,1)</f>
        <v/>
      </c>
      <c r="GJ9">
        <f>GJ8*IF(OR($C8=87,$G8=87),0,1)</f>
        <v/>
      </c>
      <c r="GK9">
        <f>GK8*IF(OR($C8=88,$G8=88),0,1)</f>
        <v/>
      </c>
      <c r="GL9">
        <f>GL8*IF(OR($C8=89,$G8=89),0,1)</f>
        <v/>
      </c>
      <c r="GM9">
        <f>GM8*IF(OR($C8=90,$G8=90),0,1)</f>
        <v/>
      </c>
      <c r="GN9">
        <f>GN8*IF(OR($C8=91,$G8=91),0,1)</f>
        <v/>
      </c>
      <c r="GO9">
        <f>GO8*IF(OR($C8=92,$G8=92),0,1)</f>
        <v/>
      </c>
      <c r="GP9">
        <f>GP8*IF(OR($C8=93,$G8=93),0,1)</f>
        <v/>
      </c>
      <c r="GQ9">
        <f>GQ8*IF(OR($C8=94,$G8=94),0,1)</f>
        <v/>
      </c>
      <c r="GR9">
        <f>GR8*IF(OR($C8=95,$G8=95),0,1)</f>
        <v/>
      </c>
      <c r="GS9">
        <f>GS8*IF(OR($C8=96,$G8=96),0,1)</f>
        <v/>
      </c>
      <c r="GT9">
        <f>GT8*IF(OR($C8=97,$G8=97),0,1)</f>
        <v/>
      </c>
      <c r="GU9">
        <f>GU8*IF(OR($C8=98,$G8=98),0,1)</f>
        <v/>
      </c>
      <c r="GV9">
        <f>GV8*IF(OR($C8=99,$G8=99),0,1)</f>
        <v/>
      </c>
      <c r="GW9">
        <f>GW8*IF(OR($C8=100,$G8=100),0,1)</f>
        <v/>
      </c>
      <c r="GX9">
        <f>GX8*IF(OR($C8=101,$G8=101),0,1)</f>
        <v/>
      </c>
      <c r="GY9">
        <f>GY8*IF(OR($C8=102,$G8=102),0,1)</f>
        <v/>
      </c>
      <c r="GZ9">
        <f>GZ8*IF(OR($C8=103,$G8=103),0,1)</f>
        <v/>
      </c>
      <c r="HA9">
        <f>HA8*IF(OR($C8=104,$G8=104),0,1)</f>
        <v/>
      </c>
      <c r="HB9">
        <f>HB8*IF(OR($C8=105,$G8=105),0,1)</f>
        <v/>
      </c>
      <c r="HC9">
        <f>HC8*IF(OR($C8=106,$G8=106),0,1)</f>
        <v/>
      </c>
      <c r="HD9">
        <f>HD8*IF(OR($C8=107,$G8=107),0,1)</f>
        <v/>
      </c>
      <c r="HE9">
        <f>HE8*IF(OR($C8=108,$G8=108),0,1)</f>
        <v/>
      </c>
      <c r="HF9">
        <f>HF8*IF(OR($C8=109,$G8=109),0,1)</f>
        <v/>
      </c>
      <c r="HG9">
        <f>HG8*IF(OR($C8=110,$G8=110),0,1)</f>
        <v/>
      </c>
      <c r="HH9">
        <f>HH8*IF(OR($C8=111,$G8=111),0,1)</f>
        <v/>
      </c>
      <c r="HI9">
        <f>HI8*IF(OR($C8=112,$G8=112),0,1)</f>
        <v/>
      </c>
      <c r="HJ9">
        <f>HJ8*IF(OR($C8=113,$G8=113),0,1)</f>
        <v/>
      </c>
      <c r="HK9">
        <f>HK8*IF(OR($C8=114,$G8=114),0,1)</f>
        <v/>
      </c>
      <c r="HL9">
        <f>HL8*IF(OR($C8=115,$G8=115),0,1)</f>
        <v/>
      </c>
      <c r="HM9">
        <f>HM8*IF(OR($C8=116,$G8=116),0,1)</f>
        <v/>
      </c>
      <c r="HN9">
        <f>HN8*IF(OR($C8=117,$G8=117),0,1)</f>
        <v/>
      </c>
      <c r="HO9">
        <f>HO8*IF(OR($C8=118,$G8=118),0,1)</f>
        <v/>
      </c>
      <c r="HP9">
        <f>HP8*IF(OR($C8=119,$G8=119),0,1)</f>
        <v/>
      </c>
      <c r="HQ9">
        <f>HQ8*IF(OR($C8=120,$G8=120),0,1)</f>
        <v/>
      </c>
      <c r="HR9">
        <f>HR8*IF(OR($C8=121,$G8=121),0,1)</f>
        <v/>
      </c>
      <c r="HS9">
        <f>HS8*IF(OR($C8=122,$G8=122),0,1)</f>
        <v/>
      </c>
      <c r="HT9">
        <f>HT8*IF(OR($C8=123,$G8=123),0,1)</f>
        <v/>
      </c>
      <c r="HU9">
        <f>HU8*IF(OR($C8=124,$G8=124),0,1)</f>
        <v/>
      </c>
      <c r="HV9">
        <f>HV8*IF(OR($C8=125,$G8=125),0,1)</f>
        <v/>
      </c>
      <c r="HW9">
        <f>HW8*IF(OR($C8=126,$G8=126),0,1)</f>
        <v/>
      </c>
      <c r="HX9">
        <f>HX8*IF(OR($C8=127,$G8=127),0,1)</f>
        <v/>
      </c>
      <c r="HY9">
        <f>HY8*IF(OR($C8=128,$G8=128),0,1)</f>
        <v/>
      </c>
      <c r="HZ9">
        <f>HZ8*IF(OR($C8=129,$G8=129),0,1)</f>
        <v/>
      </c>
      <c r="IA9">
        <f>IA8*IF(OR($C8=130,$G8=130),0,1)</f>
        <v/>
      </c>
      <c r="IB9">
        <f>IB8*IF(OR($C8=131,$G8=131),0,1)</f>
        <v/>
      </c>
      <c r="IC9">
        <f>IC8*IF(OR($C8=132,$G8=132),0,1)</f>
        <v/>
      </c>
      <c r="ID9">
        <f>ID8*IF(OR($C8=133,$G8=133),0,1)</f>
        <v/>
      </c>
      <c r="IE9">
        <f>IE8*IF(OR($C8=134,$G8=134),0,1)</f>
        <v/>
      </c>
      <c r="IF9">
        <f>IF8*IF(OR($C8=135,$G8=135),0,1)</f>
        <v/>
      </c>
      <c r="IG9">
        <f>IG8*IF(OR($C8=136,$G8=136),0,1)</f>
        <v/>
      </c>
      <c r="IH9">
        <f>IH8*IF(OR($C8=137,$G8=137),0,1)</f>
        <v/>
      </c>
      <c r="II9">
        <f>II8*IF(OR($C8=138,$G8=138),0,1)</f>
        <v/>
      </c>
      <c r="IJ9">
        <f>IJ8*IF(OR($C8=139,$G8=139),0,1)</f>
        <v/>
      </c>
      <c r="IK9">
        <f>IK8*IF(OR($C8=140,$G8=140),0,1)</f>
        <v/>
      </c>
      <c r="IL9">
        <f>IL8*IF(OR($C8=141,$G8=141),0,1)</f>
        <v/>
      </c>
      <c r="IM9">
        <f>IM8*IF(OR($C8=142,$G8=142),0,1)</f>
        <v/>
      </c>
      <c r="IN9">
        <f>IN8*IF(OR($C8=143,$G8=143),0,1)</f>
        <v/>
      </c>
      <c r="IO9">
        <f>IO8*IF(OR($C8=144,$G8=144),0,1)</f>
        <v/>
      </c>
      <c r="IQ9">
        <f>IF('calcA'!D$106=1,DC9,1)</f>
        <v/>
      </c>
      <c r="IR9">
        <f>IF('calcA'!E$106=1,DD9,1)</f>
        <v/>
      </c>
      <c r="IS9">
        <f>IF('calcA'!F$106=1,DE9,1)</f>
        <v/>
      </c>
      <c r="IT9">
        <f>IF('calcA'!G$106=1,DF9,1)</f>
        <v/>
      </c>
      <c r="IU9">
        <f>IF('calcA'!H$106=1,DG9,1)</f>
        <v/>
      </c>
      <c r="IV9">
        <f>IF('calcA'!I$106=1,DH9,1)</f>
        <v/>
      </c>
      <c r="IW9">
        <f>IF('calcA'!J$106=1,DI9,1)</f>
        <v/>
      </c>
      <c r="IX9">
        <f>IF('calcA'!K$106=1,DJ9,1)</f>
        <v/>
      </c>
      <c r="IY9">
        <f>IF('calcA'!L$106=1,DK9,1)</f>
        <v/>
      </c>
      <c r="IZ9">
        <f>IF('calcA'!M$106=1,DL9,1)</f>
        <v/>
      </c>
      <c r="JA9">
        <f>IF('calcA'!N$106=1,DM9,1)</f>
        <v/>
      </c>
      <c r="JB9">
        <f>IF('calcA'!O$106=1,DN9,1)</f>
        <v/>
      </c>
      <c r="JC9">
        <f>IF('calcA'!P$106=1,DO9,1)</f>
        <v/>
      </c>
      <c r="JD9">
        <f>IF('calcA'!Q$106=1,DP9,1)</f>
        <v/>
      </c>
      <c r="JE9">
        <f>IF('calcA'!R$106=1,DQ9,1)</f>
        <v/>
      </c>
      <c r="JF9">
        <f>IF('calcA'!S$106=1,DR9,1)</f>
        <v/>
      </c>
      <c r="JG9">
        <f>IF('calcA'!T$106=1,DS9,1)</f>
        <v/>
      </c>
      <c r="JH9">
        <f>IF('calcA'!U$106=1,DT9,1)</f>
        <v/>
      </c>
      <c r="JI9">
        <f>IF('calcA'!V$106=1,DU9,1)</f>
        <v/>
      </c>
      <c r="JJ9">
        <f>IF('calcA'!W$106=1,DV9,1)</f>
        <v/>
      </c>
      <c r="JK9">
        <f>IF('calcA'!X$106=1,DW9,1)</f>
        <v/>
      </c>
      <c r="JL9">
        <f>IF('calcA'!Y$106=1,DX9,1)</f>
        <v/>
      </c>
      <c r="JM9">
        <f>IF('calcA'!Z$106=1,DY9,1)</f>
        <v/>
      </c>
      <c r="JN9">
        <f>IF('calcA'!AA$106=1,DZ9,1)</f>
        <v/>
      </c>
      <c r="JO9">
        <f>IF('calcA'!AB$106=1,EA9,1)</f>
        <v/>
      </c>
      <c r="JP9">
        <f>IF('calcA'!AC$106=1,EB9,1)</f>
        <v/>
      </c>
      <c r="JQ9">
        <f>IF('calcA'!AD$106=1,EC9,1)</f>
        <v/>
      </c>
      <c r="JR9">
        <f>IF('calcA'!AE$106=1,ED9,1)</f>
        <v/>
      </c>
      <c r="JS9">
        <f>IF('calcA'!AF$106=1,EE9,1)</f>
        <v/>
      </c>
      <c r="JT9">
        <f>IF('calcA'!AG$106=1,EF9,1)</f>
        <v/>
      </c>
      <c r="JU9">
        <f>IF('calcA'!AH$106=1,EG9,1)</f>
        <v/>
      </c>
      <c r="JV9">
        <f>IF('calcA'!AI$106=1,EH9,1)</f>
        <v/>
      </c>
      <c r="JW9">
        <f>IF('calcA'!AJ$106=1,EI9,1)</f>
        <v/>
      </c>
      <c r="JX9">
        <f>IF('calcA'!AK$106=1,EJ9,1)</f>
        <v/>
      </c>
      <c r="JY9">
        <f>IF('calcA'!AL$106=1,EK9,1)</f>
        <v/>
      </c>
      <c r="JZ9">
        <f>IF('calcA'!AM$106=1,EL9,1)</f>
        <v/>
      </c>
      <c r="KA9">
        <f>IF('calcA'!AN$106=1,EM9,1)</f>
        <v/>
      </c>
      <c r="KB9">
        <f>IF('calcA'!AO$106=1,EN9,1)</f>
        <v/>
      </c>
      <c r="KC9">
        <f>IF('calcA'!AP$106=1,EO9,1)</f>
        <v/>
      </c>
      <c r="KD9">
        <f>IF('calcA'!AQ$106=1,EP9,1)</f>
        <v/>
      </c>
      <c r="KE9">
        <f>IF('calcA'!AR$106=1,EQ9,1)</f>
        <v/>
      </c>
      <c r="KF9">
        <f>IF('calcA'!AS$106=1,ER9,1)</f>
        <v/>
      </c>
      <c r="KG9">
        <f>IF('calcA'!AT$106=1,ES9,1)</f>
        <v/>
      </c>
      <c r="KH9">
        <f>IF('calcA'!AU$106=1,ET9,1)</f>
        <v/>
      </c>
      <c r="KI9">
        <f>IF('calcA'!AV$106=1,EU9,1)</f>
        <v/>
      </c>
      <c r="KJ9">
        <f>IF('calcA'!AW$106=1,EV9,1)</f>
        <v/>
      </c>
      <c r="KK9">
        <f>IF('calcA'!AX$106=1,EW9,1)</f>
        <v/>
      </c>
      <c r="KL9">
        <f>IF('calcA'!AY$106=1,EX9,1)</f>
        <v/>
      </c>
      <c r="KM9">
        <f>IF('calcA'!AZ$106=1,EY9,1)</f>
        <v/>
      </c>
      <c r="KN9">
        <f>IF('calcA'!BA$106=1,EZ9,1)</f>
        <v/>
      </c>
      <c r="KO9">
        <f>IF('calcA'!BB$106=1,FA9,1)</f>
        <v/>
      </c>
      <c r="KP9">
        <f>IF('calcA'!BC$106=1,FB9,1)</f>
        <v/>
      </c>
      <c r="KQ9">
        <f>IF('calcA'!BD$106=1,FC9,1)</f>
        <v/>
      </c>
      <c r="KR9">
        <f>IF('calcA'!BE$106=1,FD9,1)</f>
        <v/>
      </c>
      <c r="KS9">
        <f>IF('calcA'!BF$106=1,FE9,1)</f>
        <v/>
      </c>
      <c r="KT9">
        <f>IF('calcA'!BG$106=1,FF9,1)</f>
        <v/>
      </c>
      <c r="KU9">
        <f>IF('calcA'!BH$106=1,FG9,1)</f>
        <v/>
      </c>
      <c r="KV9">
        <f>IF('calcA'!BI$106=1,FH9,1)</f>
        <v/>
      </c>
      <c r="KW9">
        <f>IF('calcA'!BJ$106=1,FI9,1)</f>
        <v/>
      </c>
      <c r="KX9">
        <f>IF('calcA'!BK$106=1,FJ9,1)</f>
        <v/>
      </c>
      <c r="KY9">
        <f>IF('calcA'!BL$106=1,FK9,1)</f>
        <v/>
      </c>
      <c r="KZ9">
        <f>IF('calcA'!BM$106=1,FL9,1)</f>
        <v/>
      </c>
      <c r="LA9">
        <f>IF('calcA'!BN$106=1,FM9,1)</f>
        <v/>
      </c>
      <c r="LB9">
        <f>IF('calcA'!BO$106=1,FN9,1)</f>
        <v/>
      </c>
      <c r="LC9">
        <f>IF('calcA'!BP$106=1,FO9,1)</f>
        <v/>
      </c>
      <c r="LD9">
        <f>IF('calcA'!BQ$106=1,FP9,1)</f>
        <v/>
      </c>
      <c r="LE9">
        <f>IF('calcA'!BR$106=1,FQ9,1)</f>
        <v/>
      </c>
      <c r="LF9">
        <f>IF('calcA'!BS$106=1,FR9,1)</f>
        <v/>
      </c>
      <c r="LG9">
        <f>IF('calcA'!BT$106=1,FS9,1)</f>
        <v/>
      </c>
      <c r="LH9">
        <f>IF('calcA'!BU$106=1,FT9,1)</f>
        <v/>
      </c>
      <c r="LI9">
        <f>IF('calcA'!BV$106=1,FU9,1)</f>
        <v/>
      </c>
      <c r="LJ9">
        <f>IF('calcA'!BW$106=1,FV9,1)</f>
        <v/>
      </c>
      <c r="LK9">
        <f>IF('calcA'!BX$106=1,FW9,1)</f>
        <v/>
      </c>
      <c r="LL9">
        <f>IF('calcA'!BY$106=1,FX9,1)</f>
        <v/>
      </c>
      <c r="LM9">
        <f>IF('calcA'!BZ$106=1,FY9,1)</f>
        <v/>
      </c>
      <c r="LN9">
        <f>IF('calcA'!CA$106=1,FZ9,1)</f>
        <v/>
      </c>
      <c r="LO9">
        <f>IF('calcA'!CB$106=1,GA9,1)</f>
        <v/>
      </c>
      <c r="LP9">
        <f>IF('calcA'!CC$106=1,GB9,1)</f>
        <v/>
      </c>
      <c r="LQ9">
        <f>IF('calcA'!CD$106=1,GC9,1)</f>
        <v/>
      </c>
      <c r="LR9">
        <f>IF('calcA'!CE$106=1,GD9,1)</f>
        <v/>
      </c>
      <c r="LS9">
        <f>IF('calcA'!CF$106=1,GE9,1)</f>
        <v/>
      </c>
      <c r="LT9">
        <f>IF('calcA'!CG$106=1,GF9,1)</f>
        <v/>
      </c>
      <c r="LU9">
        <f>IF('calcA'!CH$106=1,GG9,1)</f>
        <v/>
      </c>
      <c r="LV9">
        <f>IF('calcA'!CI$106=1,GH9,1)</f>
        <v/>
      </c>
      <c r="LW9">
        <f>IF('calcA'!CJ$106=1,GI9,1)</f>
        <v/>
      </c>
      <c r="LX9">
        <f>IF('calcA'!CK$106=1,GJ9,1)</f>
        <v/>
      </c>
      <c r="LY9">
        <f>IF('calcA'!CL$106=1,GK9,1)</f>
        <v/>
      </c>
      <c r="LZ9">
        <f>IF('calcA'!CM$106=1,GL9,1)</f>
        <v/>
      </c>
      <c r="MA9">
        <f>IF('calcA'!CN$106=1,GM9,1)</f>
        <v/>
      </c>
      <c r="MB9">
        <f>IF('calcA'!CO$106=1,GN9,1)</f>
        <v/>
      </c>
      <c r="MC9">
        <f>IF('calcA'!CP$106=1,GO9,1)</f>
        <v/>
      </c>
      <c r="MD9">
        <f>IF('calcA'!CQ$106=1,GP9,1)</f>
        <v/>
      </c>
      <c r="ME9">
        <f>IF('calcA'!CR$106=1,GQ9,1)</f>
        <v/>
      </c>
      <c r="MF9">
        <f>IF('calcA'!CS$106=1,GR9,1)</f>
        <v/>
      </c>
      <c r="MG9">
        <f>IF('calcA'!CT$106=1,GS9,1)</f>
        <v/>
      </c>
      <c r="MH9">
        <f>IF('calcA'!CU$106=1,GT9,1)</f>
        <v/>
      </c>
      <c r="MI9">
        <f>IF('calcA'!CV$106=1,GU9,1)</f>
        <v/>
      </c>
      <c r="MJ9">
        <f>IF('calcA'!CW$106=1,GV9,1)</f>
        <v/>
      </c>
      <c r="MK9">
        <f>IF('calcA'!CX$106=1,GW9,1)</f>
        <v/>
      </c>
      <c r="ML9">
        <f>IF('calcA'!CY$106=1,GX9,1)</f>
        <v/>
      </c>
      <c r="MM9">
        <f>IF('calcA'!CZ$106=1,GY9,1)</f>
        <v/>
      </c>
      <c r="MN9">
        <f>IF('calcA'!DA$106=1,GZ9,1)</f>
        <v/>
      </c>
      <c r="MO9">
        <f>IF('calcA'!DB$106=1,HA9,1)</f>
        <v/>
      </c>
      <c r="MP9">
        <f>IF('calcA'!DC$106=1,HB9,1)</f>
        <v/>
      </c>
      <c r="MQ9">
        <f>IF('calcA'!DD$106=1,HC9,1)</f>
        <v/>
      </c>
      <c r="MR9">
        <f>IF('calcA'!DE$106=1,HD9,1)</f>
        <v/>
      </c>
      <c r="MS9">
        <f>IF('calcA'!DF$106=1,HE9,1)</f>
        <v/>
      </c>
      <c r="MT9">
        <f>IF('calcA'!DG$106=1,HF9,1)</f>
        <v/>
      </c>
      <c r="MU9">
        <f>IF('calcA'!DH$106=1,HG9,1)</f>
        <v/>
      </c>
      <c r="MV9">
        <f>IF('calcA'!DI$106=1,HH9,1)</f>
        <v/>
      </c>
      <c r="MW9">
        <f>IF('calcA'!DJ$106=1,HI9,1)</f>
        <v/>
      </c>
      <c r="MX9">
        <f>IF('calcA'!DK$106=1,HJ9,1)</f>
        <v/>
      </c>
      <c r="MY9">
        <f>IF('calcA'!DL$106=1,HK9,1)</f>
        <v/>
      </c>
      <c r="MZ9">
        <f>IF('calcA'!DM$106=1,HL9,1)</f>
        <v/>
      </c>
      <c r="NA9">
        <f>IF('calcA'!DN$106=1,HM9,1)</f>
        <v/>
      </c>
      <c r="NB9">
        <f>IF('calcA'!DO$106=1,HN9,1)</f>
        <v/>
      </c>
      <c r="NC9">
        <f>IF('calcA'!DP$106=1,HO9,1)</f>
        <v/>
      </c>
      <c r="ND9">
        <f>IF('calcA'!DQ$106=1,HP9,1)</f>
        <v/>
      </c>
      <c r="NE9">
        <f>IF('calcA'!DR$106=1,HQ9,1)</f>
        <v/>
      </c>
      <c r="NF9">
        <f>IF('calcA'!DS$106=1,HR9,1)</f>
        <v/>
      </c>
      <c r="NG9">
        <f>IF('calcA'!DT$106=1,HS9,1)</f>
        <v/>
      </c>
      <c r="NH9">
        <f>IF('calcA'!DU$106=1,HT9,1)</f>
        <v/>
      </c>
      <c r="NI9">
        <f>IF('calcA'!DV$106=1,HU9,1)</f>
        <v/>
      </c>
      <c r="NJ9">
        <f>IF('calcA'!DW$106=1,HV9,1)</f>
        <v/>
      </c>
      <c r="NK9">
        <f>IF('calcA'!DX$106=1,HW9,1)</f>
        <v/>
      </c>
      <c r="NL9">
        <f>IF('calcA'!DY$106=1,HX9,1)</f>
        <v/>
      </c>
      <c r="NM9">
        <f>IF('calcA'!DZ$106=1,HY9,1)</f>
        <v/>
      </c>
      <c r="NN9">
        <f>IF('calcA'!EA$106=1,HZ9,1)</f>
        <v/>
      </c>
      <c r="NO9">
        <f>IF('calcA'!EB$106=1,IA9,1)</f>
        <v/>
      </c>
      <c r="NP9">
        <f>IF('calcA'!EC$106=1,IB9,1)</f>
        <v/>
      </c>
      <c r="NQ9">
        <f>IF('calcA'!ED$106=1,IC9,1)</f>
        <v/>
      </c>
      <c r="NR9">
        <f>IF('calcA'!EE$106=1,ID9,1)</f>
        <v/>
      </c>
      <c r="NS9">
        <f>IF('calcA'!EF$106=1,IE9,1)</f>
        <v/>
      </c>
      <c r="NT9">
        <f>IF('calcA'!EG$106=1,IF9,1)</f>
        <v/>
      </c>
      <c r="NU9">
        <f>IF('calcA'!EH$106=1,IG9,1)</f>
        <v/>
      </c>
      <c r="NV9">
        <f>IF('calcA'!EI$106=1,IH9,1)</f>
        <v/>
      </c>
      <c r="NW9">
        <f>IF('calcA'!EJ$106=1,II9,1)</f>
        <v/>
      </c>
      <c r="NX9">
        <f>IF('calcA'!EK$106=1,IJ9,1)</f>
        <v/>
      </c>
      <c r="NY9">
        <f>IF('calcA'!EL$106=1,IK9,1)</f>
        <v/>
      </c>
      <c r="NZ9">
        <f>IF('calcA'!EM$106=1,IL9,1)</f>
        <v/>
      </c>
      <c r="OA9">
        <f>IF('calcA'!EN$106=1,IM9,1)</f>
        <v/>
      </c>
      <c r="OB9">
        <f>IF('calcA'!EO$106=1,IN9,1)</f>
        <v/>
      </c>
      <c r="OC9">
        <f>IF('calcA'!EP$106=1,IO9,1)</f>
        <v/>
      </c>
      <c r="OD9" t="n">
        <v>1</v>
      </c>
      <c r="OF9">
        <f>IF($B9=0,1000000000,IF(INDEX('calcA'!$D$60:$EQ$99,$B9,1)*IF($W9=1,DB9+ZQ9,DB9)=1,IF(AND($E9=2,IF($W9=1,AFF9,IQ9)=0),1000000000,IF($V9=1,INDEX('calcA'!$D$130:$EQ$169,$B9,1)+IF(AND($E9=1,IQ9=0),25,0),IF($F9&gt;0,INDEX('calcA'!D$110:D$114,$F9+1)+IF(AND($E9=1,IQ9=0),1000,0),MIN(TU9,20)*400+(IF('calcA'!D$106=1,1-DC9,0))*150+11+'calcA'!D$5*100000+IF(AND($E9=1,IQ9=0),50000,0))+IF($H9=1,INDEX('calcA'!$D$180:$EQ$219,$B9,1)*4000,0)-IF(AND($U9=1,'calcA'!D$117=1,DC9=0),2000,0))),1000000000))</f>
        <v/>
      </c>
      <c r="OG9">
        <f>IF($B9=0,1000000000,IF(INDEX('calcA'!$D$60:$EQ$99,$B9,2)*IF($W9=1,DC9+ZR9,DC9)=1,IF(AND($E9=2,IF($W9=1,AFG9,IR9)=0),1000000000,IF($V9=1,INDEX('calcA'!$D$130:$EQ$169,$B9,2)+IF(AND($E9=1,IR9=0),25,0),IF($F9&gt;0,INDEX('calcA'!E$110:E$114,$F9+1)+IF(AND($E9=1,IR9=0),1000,0),MIN(TU9,20)*400+(IF('calcA'!D$106=1,1-DB9,0)+IF('calcA'!E$106=1,1-DD9,0))*150+21+'calcA'!E$5*100000+IF(AND($E9=1,IR9=0),50000,0))+IF($H9=1,INDEX('calcA'!$D$180:$EQ$219,$B9,2)*4000,0)-IF(AND('calcA'!D$117=1,UB9&gt;0),2000,0)-IF(AND($U9=1,'calcA'!E$117=1,DD9=0),2000,0))),1000000000))</f>
        <v/>
      </c>
      <c r="OH9">
        <f>IF($B9=0,1000000000,IF(INDEX('calcA'!$D$60:$EQ$99,$B9,3)*IF($W9=1,DD9+ZS9,DD9)=1,IF(AND($E9=2,IF($W9=1,AFH9,IS9)=0),1000000000,IF($V9=1,INDEX('calcA'!$D$130:$EQ$169,$B9,3)+IF(AND($E9=1,IS9=0),25,0),IF($F9&gt;0,INDEX('calcA'!F$110:F$114,$F9+1)+IF(AND($E9=1,IS9=0),1000,0),MIN(TU9,20)*400+(IF('calcA'!E$106=1,1-DC9,0)+IF('calcA'!F$106=1,1-DE9,0))*150+31+'calcA'!F$5*100000+IF(AND($E9=1,IS9=0),50000,0))+IF($H9=1,INDEX('calcA'!$D$180:$EQ$219,$B9,3)*4000,0)-IF(AND('calcA'!E$117=1,UC9&gt;0),2000,0)-IF(AND($U9=1,'calcA'!F$117=1,DE9=0),2000,0))),1000000000))</f>
        <v/>
      </c>
      <c r="OI9">
        <f>IF($B9=0,1000000000,IF(INDEX('calcA'!$D$60:$EQ$99,$B9,4)*IF($W9=1,DE9+ZT9,DE9)=1,IF(AND($E9=2,IF($W9=1,AFI9,IT9)=0),1000000000,IF($V9=1,INDEX('calcA'!$D$130:$EQ$169,$B9,4)+IF(AND($E9=1,IT9=0),25,0),IF($F9&gt;0,INDEX('calcA'!G$110:G$114,$F9+1)+IF(AND($E9=1,IT9=0),1000,0),MIN(TU9,20)*400+(IF('calcA'!F$106=1,1-DD9,0)+IF('calcA'!G$106=1,1-DF9,0))*150+41+'calcA'!G$5*100000+IF(AND($E9=1,IT9=0),50000,0))+IF($H9=1,INDEX('calcA'!$D$180:$EQ$219,$B9,4)*4000,0)-IF(AND('calcA'!F$117=1,UD9&gt;0),2000,0)-IF(AND($U9=1,'calcA'!G$117=1,DF9=0),2000,0))),1000000000))</f>
        <v/>
      </c>
      <c r="OJ9">
        <f>IF($B9=0,1000000000,IF(INDEX('calcA'!$D$60:$EQ$99,$B9,5)*IF($W9=1,DF9+ZU9,DF9)=1,IF(AND($E9=2,IF($W9=1,AFJ9,IU9)=0),1000000000,IF($V9=1,INDEX('calcA'!$D$130:$EQ$169,$B9,5)+IF(AND($E9=1,IU9=0),25,0),IF($F9&gt;0,INDEX('calcA'!H$110:H$114,$F9+1)+IF(AND($E9=1,IU9=0),1000,0),MIN(TU9,20)*400+(IF('calcA'!G$106=1,1-DE9,0)+IF('calcA'!H$106=1,1-DG9,0))*150+51+'calcA'!H$5*100000+IF(AND($E9=1,IU9=0),50000,0))+IF($H9=1,INDEX('calcA'!$D$180:$EQ$219,$B9,5)*4000,0)-IF(AND('calcA'!G$117=1,UE9&gt;0),2000,0)-IF(AND($U9=1,'calcA'!H$117=1,DG9=0),2000,0))),1000000000))</f>
        <v/>
      </c>
      <c r="OK9">
        <f>IF($B9=0,1000000000,IF(INDEX('calcA'!$D$60:$EQ$99,$B9,6)*IF($W9=1,DG9+ZV9,DG9)=1,IF(AND($E9=2,IF($W9=1,AFK9,IV9)=0),1000000000,IF($V9=1,INDEX('calcA'!$D$130:$EQ$169,$B9,6)+IF(AND($E9=1,IV9=0),25,0),IF($F9&gt;0,INDEX('calcA'!I$110:I$114,$F9+1)+IF(AND($E9=1,IV9=0),1000,0),MIN(TU9,20)*400+(IF('calcA'!H$106=1,1-DF9,0)+IF('calcA'!I$106=1,1-DH9,0))*150+61+'calcA'!I$5*100000+IF(AND($E9=1,IV9=0),50000,0))+IF($H9=1,INDEX('calcA'!$D$180:$EQ$219,$B9,6)*4000,0)-IF(AND('calcA'!H$117=1,UF9&gt;0),2000,0)-IF(AND($U9=1,'calcA'!I$117=1,DH9=0),2000,0))),1000000000))</f>
        <v/>
      </c>
      <c r="OL9">
        <f>IF($B9=0,1000000000,IF(INDEX('calcA'!$D$60:$EQ$99,$B9,7)*IF($W9=1,DH9+ZW9,DH9)=1,IF(AND($E9=2,IF($W9=1,AFL9,IW9)=0),1000000000,IF($V9=1,INDEX('calcA'!$D$130:$EQ$169,$B9,7)+IF(AND($E9=1,IW9=0),25,0),IF($F9&gt;0,INDEX('calcA'!J$110:J$114,$F9+1)+IF(AND($E9=1,IW9=0),1000,0),MIN(TU9,20)*400+(IF('calcA'!I$106=1,1-DG9,0)+IF('calcA'!J$106=1,1-DI9,0))*150+71+'calcA'!J$5*100000+IF(AND($E9=1,IW9=0),50000,0))+IF($H9=1,INDEX('calcA'!$D$180:$EQ$219,$B9,7)*4000,0)-IF(AND('calcA'!I$117=1,UG9&gt;0),2000,0)-IF(AND($U9=1,'calcA'!J$117=1,DI9=0),2000,0))),1000000000))</f>
        <v/>
      </c>
      <c r="OM9">
        <f>IF($B9=0,1000000000,IF(INDEX('calcA'!$D$60:$EQ$99,$B9,8)*IF($W9=1,DI9+ZX9,DI9)=1,IF(AND($E9=2,IF($W9=1,AFM9,IX9)=0),1000000000,IF($V9=1,INDEX('calcA'!$D$130:$EQ$169,$B9,8)+IF(AND($E9=1,IX9=0),25,0),IF($F9&gt;0,INDEX('calcA'!K$110:K$114,$F9+1)+IF(AND($E9=1,IX9=0),1000,0),MIN(TU9,20)*400+(IF('calcA'!J$106=1,1-DH9,0)+IF('calcA'!K$106=1,1-DJ9,0))*150+81+'calcA'!K$5*100000+IF(AND($E9=1,IX9=0),50000,0))+IF($H9=1,INDEX('calcA'!$D$180:$EQ$219,$B9,8)*4000,0)-IF(AND('calcA'!J$117=1,UH9&gt;0),2000,0)-IF(AND($U9=1,'calcA'!K$117=1,DJ9=0),2000,0))),1000000000))</f>
        <v/>
      </c>
      <c r="ON9">
        <f>IF($B9=0,1000000000,IF(INDEX('calcA'!$D$60:$EQ$99,$B9,9)*IF($W9=1,DJ9+ZY9,DJ9)=1,IF(AND($E9=2,IF($W9=1,AFN9,IY9)=0),1000000000,IF($V9=1,INDEX('calcA'!$D$130:$EQ$169,$B9,9)+IF(AND($E9=1,IY9=0),25,0),IF($F9&gt;0,INDEX('calcA'!L$110:L$114,$F9+1)+IF(AND($E9=1,IY9=0),1000,0),MIN(TU9,20)*400+(IF('calcA'!K$106=1,1-DI9,0)+IF('calcA'!L$106=1,1-DK9,0))*150+91+'calcA'!L$5*100000+IF(AND($E9=1,IY9=0),50000,0))+IF($H9=1,INDEX('calcA'!$D$180:$EQ$219,$B9,9)*4000,0)-IF(AND('calcA'!K$117=1,UI9&gt;0),2000,0)-IF(AND($U9=1,'calcA'!L$117=1,DK9=0),2000,0))),1000000000))</f>
        <v/>
      </c>
      <c r="OO9">
        <f>IF($B9=0,1000000000,IF(INDEX('calcA'!$D$60:$EQ$99,$B9,10)*IF($W9=1,DK9+ZZ9,DK9)=1,IF(AND($E9=2,IF($W9=1,AFO9,IZ9)=0),1000000000,IF($V9=1,INDEX('calcA'!$D$130:$EQ$169,$B9,10)+IF(AND($E9=1,IZ9=0),25,0),IF($F9&gt;0,INDEX('calcA'!M$110:M$114,$F9+1)+IF(AND($E9=1,IZ9=0),1000,0),MIN(TU9,20)*400+(IF('calcA'!L$106=1,1-DJ9,0)+IF('calcA'!M$106=1,1-DL9,0))*150+101+'calcA'!M$5*100000+IF(AND($E9=1,IZ9=0),50000,0))+IF($H9=1,INDEX('calcA'!$D$180:$EQ$219,$B9,10)*4000,0)-IF(AND('calcA'!L$117=1,UJ9&gt;0),2000,0)-IF(AND($U9=1,'calcA'!M$117=1,DL9=0),2000,0))),1000000000))</f>
        <v/>
      </c>
      <c r="OP9">
        <f>IF($B9=0,1000000000,IF(INDEX('calcA'!$D$60:$EQ$99,$B9,11)*IF($W9=1,DL9+AAA9,DL9)=1,IF(AND($E9=2,IF($W9=1,AFP9,JA9)=0),1000000000,IF($V9=1,INDEX('calcA'!$D$130:$EQ$169,$B9,11)+IF(AND($E9=1,JA9=0),25,0),IF($F9&gt;0,INDEX('calcA'!N$110:N$114,$F9+1)+IF(AND($E9=1,JA9=0),1000,0),MIN(TU9,20)*400+(IF('calcA'!M$106=1,1-DK9,0)+IF('calcA'!N$106=1,1-DM9,0))*150+111+'calcA'!N$5*100000+IF(AND($E9=1,JA9=0),50000,0))+IF($H9=1,INDEX('calcA'!$D$180:$EQ$219,$B9,11)*4000,0)-IF(AND('calcA'!M$117=1,UK9&gt;0),2000,0)-IF(AND($U9=1,'calcA'!N$117=1,DM9=0),2000,0))),1000000000))</f>
        <v/>
      </c>
      <c r="OQ9">
        <f>IF($B9=0,1000000000,IF(INDEX('calcA'!$D$60:$EQ$99,$B9,12)*IF($W9=1,DM9+AAB9,DM9)=1,IF(AND($E9=2,IF($W9=1,AFQ9,JB9)=0),1000000000,IF($V9=1,INDEX('calcA'!$D$130:$EQ$169,$B9,12)+IF(AND($E9=1,JB9=0),25,0),IF($F9&gt;0,INDEX('calcA'!O$110:O$114,$F9+1)+IF(AND($E9=1,JB9=0),1000,0),MIN(TU9,20)*400+(IF('calcA'!N$106=1,1-DL9,0)+IF('calcA'!O$106=1,1-DN9,0))*150+121+'calcA'!O$5*100000+IF(AND($E9=1,JB9=0),50000,0))+IF($H9=1,INDEX('calcA'!$D$180:$EQ$219,$B9,12)*4000,0)-IF(AND('calcA'!N$117=1,UL9&gt;0),2000,0)-IF(AND($U9=1,'calcA'!O$117=1,DN9=0),2000,0))),1000000000))</f>
        <v/>
      </c>
      <c r="OR9">
        <f>IF($B9=0,1000000000,IF(INDEX('calcA'!$D$60:$EQ$99,$B9,13)*IF($W9=1,DN9+AAC9,DN9)=1,IF(AND($E9=2,IF($W9=1,AFR9,JC9)=0),1000000000,IF($V9=1,INDEX('calcA'!$D$130:$EQ$169,$B9,13)+IF(AND($E9=1,JC9=0),25,0),IF($F9&gt;0,INDEX('calcA'!P$110:P$114,$F9+1)+IF(AND($E9=1,JC9=0),1000,0),MIN(TU9,20)*400+(IF('calcA'!O$106=1,1-DM9,0)+IF('calcA'!P$106=1,1-DO9,0))*150+131+'calcA'!P$5*100000+IF(AND($E9=1,JC9=0),50000,0))+IF($H9=1,INDEX('calcA'!$D$180:$EQ$219,$B9,13)*4000,0)-IF(AND('calcA'!O$117=1,UM9&gt;0),2000,0)-IF(AND($U9=1,'calcA'!P$117=1,DO9=0),2000,0))),1000000000))</f>
        <v/>
      </c>
      <c r="OS9">
        <f>IF($B9=0,1000000000,IF(INDEX('calcA'!$D$60:$EQ$99,$B9,14)*IF($W9=1,DO9+AAD9,DO9)=1,IF(AND($E9=2,IF($W9=1,AFS9,JD9)=0),1000000000,IF($V9=1,INDEX('calcA'!$D$130:$EQ$169,$B9,14)+IF(AND($E9=1,JD9=0),25,0),IF($F9&gt;0,INDEX('calcA'!Q$110:Q$114,$F9+1)+IF(AND($E9=1,JD9=0),1000,0),MIN(TU9,20)*400+(IF('calcA'!P$106=1,1-DN9,0)+IF('calcA'!Q$106=1,1-DP9,0))*150+141+'calcA'!Q$5*100000+IF(AND($E9=1,JD9=0),50000,0))+IF($H9=1,INDEX('calcA'!$D$180:$EQ$219,$B9,14)*4000,0)-IF(AND('calcA'!P$117=1,UN9&gt;0),2000,0)-IF(AND($U9=1,'calcA'!Q$117=1,DP9=0),2000,0))),1000000000))</f>
        <v/>
      </c>
      <c r="OT9">
        <f>IF($B9=0,1000000000,IF(INDEX('calcA'!$D$60:$EQ$99,$B9,15)*IF($W9=1,DP9+AAE9,DP9)=1,IF(AND($E9=2,IF($W9=1,AFT9,JE9)=0),1000000000,IF($V9=1,INDEX('calcA'!$D$130:$EQ$169,$B9,15)+IF(AND($E9=1,JE9=0),25,0),IF($F9&gt;0,INDEX('calcA'!R$110:R$114,$F9+1)+IF(AND($E9=1,JE9=0),1000,0),MIN(TU9,20)*400+(IF('calcA'!Q$106=1,1-DO9,0)+IF('calcA'!R$106=1,1-DQ9,0))*150+151+'calcA'!R$5*100000+IF(AND($E9=1,JE9=0),50000,0))+IF($H9=1,INDEX('calcA'!$D$180:$EQ$219,$B9,15)*4000,0)-IF(AND('calcA'!Q$117=1,UO9&gt;0),2000,0)-IF(AND($U9=1,'calcA'!R$117=1,DQ9=0),2000,0))),1000000000))</f>
        <v/>
      </c>
      <c r="OU9">
        <f>IF($B9=0,1000000000,IF(INDEX('calcA'!$D$60:$EQ$99,$B9,16)*IF($W9=1,DQ9+AAF9,DQ9)=1,IF(AND($E9=2,IF($W9=1,AFU9,JF9)=0),1000000000,IF($V9=1,INDEX('calcA'!$D$130:$EQ$169,$B9,16)+IF(AND($E9=1,JF9=0),25,0),IF($F9&gt;0,INDEX('calcA'!S$110:S$114,$F9+1)+IF(AND($E9=1,JF9=0),1000,0),MIN(TU9,20)*400+(IF('calcA'!R$106=1,1-DP9,0)+IF('calcA'!S$106=1,1-DR9,0))*150+161+'calcA'!S$5*100000+IF(AND($E9=1,JF9=0),50000,0))+IF($H9=1,INDEX('calcA'!$D$180:$EQ$219,$B9,16)*4000,0)-IF(AND('calcA'!R$117=1,UP9&gt;0),2000,0)-IF(AND($U9=1,'calcA'!S$117=1,DR9=0),2000,0))),1000000000))</f>
        <v/>
      </c>
      <c r="OV9">
        <f>IF($B9=0,1000000000,IF(INDEX('calcA'!$D$60:$EQ$99,$B9,17)*IF($W9=1,DR9+AAG9,DR9)=1,IF(AND($E9=2,IF($W9=1,AFV9,JG9)=0),1000000000,IF($V9=1,INDEX('calcA'!$D$130:$EQ$169,$B9,17)+IF(AND($E9=1,JG9=0),25,0),IF($F9&gt;0,INDEX('calcA'!T$110:T$114,$F9+1)+IF(AND($E9=1,JG9=0),1000,0),MIN(TU9,20)*400+(IF('calcA'!S$106=1,1-DQ9,0)+IF('calcA'!T$106=1,1-DS9,0))*150+171+'calcA'!T$5*100000+IF(AND($E9=1,JG9=0),50000,0))+IF($H9=1,INDEX('calcA'!$D$180:$EQ$219,$B9,17)*4000,0)-IF(AND('calcA'!S$117=1,UQ9&gt;0),2000,0)-IF(AND($U9=1,'calcA'!T$117=1,DS9=0),2000,0))),1000000000))</f>
        <v/>
      </c>
      <c r="OW9">
        <f>IF($B9=0,1000000000,IF(INDEX('calcA'!$D$60:$EQ$99,$B9,18)*IF($W9=1,DS9+AAH9,DS9)=1,IF(AND($E9=2,IF($W9=1,AFW9,JH9)=0),1000000000,IF($V9=1,INDEX('calcA'!$D$130:$EQ$169,$B9,18)+IF(AND($E9=1,JH9=0),25,0),IF($F9&gt;0,INDEX('calcA'!U$110:U$114,$F9+1)+IF(AND($E9=1,JH9=0),1000,0),MIN(TU9,20)*400+(IF('calcA'!T$106=1,1-DR9,0)+IF('calcA'!U$106=1,1-DT9,0))*150+181+'calcA'!U$5*100000+IF(AND($E9=1,JH9=0),50000,0))+IF($H9=1,INDEX('calcA'!$D$180:$EQ$219,$B9,18)*4000,0)-IF(AND('calcA'!T$117=1,UR9&gt;0),2000,0)-IF(AND($U9=1,'calcA'!U$117=1,DT9=0),2000,0))),1000000000))</f>
        <v/>
      </c>
      <c r="OX9">
        <f>IF($B9=0,1000000000,IF(INDEX('calcA'!$D$60:$EQ$99,$B9,19)*IF($W9=1,DT9+AAI9,DT9)=1,IF(AND($E9=2,IF($W9=1,AFX9,JI9)=0),1000000000,IF($V9=1,INDEX('calcA'!$D$130:$EQ$169,$B9,19)+IF(AND($E9=1,JI9=0),25,0),IF($F9&gt;0,INDEX('calcA'!V$110:V$114,$F9+1)+IF(AND($E9=1,JI9=0),1000,0),MIN(TU9,20)*400+(IF('calcA'!U$106=1,1-DS9,0)+IF('calcA'!V$106=1,1-DU9,0))*150+191+'calcA'!V$5*100000+IF(AND($E9=1,JI9=0),50000,0))+IF($H9=1,INDEX('calcA'!$D$180:$EQ$219,$B9,19)*4000,0)-IF(AND('calcA'!U$117=1,US9&gt;0),2000,0)-IF(AND($U9=1,'calcA'!V$117=1,DU9=0),2000,0))),1000000000))</f>
        <v/>
      </c>
      <c r="OY9">
        <f>IF($B9=0,1000000000,IF(INDEX('calcA'!$D$60:$EQ$99,$B9,20)*IF($W9=1,DU9+AAJ9,DU9)=1,IF(AND($E9=2,IF($W9=1,AFY9,JJ9)=0),1000000000,IF($V9=1,INDEX('calcA'!$D$130:$EQ$169,$B9,20)+IF(AND($E9=1,JJ9=0),25,0),IF($F9&gt;0,INDEX('calcA'!W$110:W$114,$F9+1)+IF(AND($E9=1,JJ9=0),1000,0),MIN(TU9,20)*400+(IF('calcA'!V$106=1,1-DT9,0)+IF('calcA'!W$106=1,1-DV9,0))*150+201+'calcA'!W$5*100000+IF(AND($E9=1,JJ9=0),50000,0))+IF($H9=1,INDEX('calcA'!$D$180:$EQ$219,$B9,20)*4000,0)-IF(AND('calcA'!V$117=1,UT9&gt;0),2000,0)-IF(AND($U9=1,'calcA'!W$117=1,DV9=0),2000,0))),1000000000))</f>
        <v/>
      </c>
      <c r="OZ9">
        <f>IF($B9=0,1000000000,IF(INDEX('calcA'!$D$60:$EQ$99,$B9,21)*IF($W9=1,DV9+AAK9,DV9)=1,IF(AND($E9=2,IF($W9=1,AFZ9,JK9)=0),1000000000,IF($V9=1,INDEX('calcA'!$D$130:$EQ$169,$B9,21)+IF(AND($E9=1,JK9=0),25,0),IF($F9&gt;0,INDEX('calcA'!X$110:X$114,$F9+1)+IF(AND($E9=1,JK9=0),1000,0),MIN(TU9,20)*400+(IF('calcA'!W$106=1,1-DU9,0)+IF('calcA'!X$106=1,1-DW9,0))*150+211+'calcA'!X$5*100000+IF(AND($E9=1,JK9=0),50000,0))+IF($H9=1,INDEX('calcA'!$D$180:$EQ$219,$B9,21)*4000,0)-IF(AND('calcA'!W$117=1,UU9&gt;0),2000,0)-IF(AND($U9=1,'calcA'!X$117=1,DW9=0),2000,0))),1000000000))</f>
        <v/>
      </c>
      <c r="PA9">
        <f>IF($B9=0,1000000000,IF(INDEX('calcA'!$D$60:$EQ$99,$B9,22)*IF($W9=1,DW9+AAL9,DW9)=1,IF(AND($E9=2,IF($W9=1,AGA9,JL9)=0),1000000000,IF($V9=1,INDEX('calcA'!$D$130:$EQ$169,$B9,22)+IF(AND($E9=1,JL9=0),25,0),IF($F9&gt;0,INDEX('calcA'!Y$110:Y$114,$F9+1)+IF(AND($E9=1,JL9=0),1000,0),MIN(TU9,20)*400+(IF('calcA'!X$106=1,1-DV9,0)+IF('calcA'!Y$106=1,1-DX9,0))*150+221+'calcA'!Y$5*100000+IF(AND($E9=1,JL9=0),50000,0))+IF($H9=1,INDEX('calcA'!$D$180:$EQ$219,$B9,22)*4000,0)-IF(AND('calcA'!X$117=1,UV9&gt;0),2000,0)-IF(AND($U9=1,'calcA'!Y$117=1,DX9=0),2000,0))),1000000000))</f>
        <v/>
      </c>
      <c r="PB9">
        <f>IF($B9=0,1000000000,IF(INDEX('calcA'!$D$60:$EQ$99,$B9,23)*IF($W9=1,DX9+AAM9,DX9)=1,IF(AND($E9=2,IF($W9=1,AGB9,JM9)=0),1000000000,IF($V9=1,INDEX('calcA'!$D$130:$EQ$169,$B9,23)+IF(AND($E9=1,JM9=0),25,0),IF($F9&gt;0,INDEX('calcA'!Z$110:Z$114,$F9+1)+IF(AND($E9=1,JM9=0),1000,0),MIN(TU9,20)*400+(IF('calcA'!Y$106=1,1-DW9,0)+IF('calcA'!Z$106=1,1-DY9,0))*150+231+'calcA'!Z$5*100000+IF(AND($E9=1,JM9=0),50000,0))+IF($H9=1,INDEX('calcA'!$D$180:$EQ$219,$B9,23)*4000,0)-IF(AND('calcA'!Y$117=1,UW9&gt;0),2000,0)-IF(AND($U9=1,'calcA'!Z$117=1,DY9=0),2000,0))),1000000000))</f>
        <v/>
      </c>
      <c r="PC9">
        <f>IF($B9=0,1000000000,IF(INDEX('calcA'!$D$60:$EQ$99,$B9,24)*IF($W9=1,DY9+AAN9,DY9)=1,IF(AND($E9=2,IF($W9=1,AGC9,JN9)=0),1000000000,IF($V9=1,INDEX('calcA'!$D$130:$EQ$169,$B9,24)+IF(AND($E9=1,JN9=0),25,0),IF($F9&gt;0,INDEX('calcA'!AA$110:AA$114,$F9+1)+IF(AND($E9=1,JN9=0),1000,0),MIN(TU9,20)*400+(IF('calcA'!Z$106=1,1-DX9,0))*150+241+'calcA'!AA$5*100000+IF(AND($E9=1,JN9=0),50000,0))+IF($H9=1,INDEX('calcA'!$D$180:$EQ$219,$B9,24)*4000,0)-IF(AND('calcA'!Z$117=1,UX9&gt;0),2000,0))),1000000000))</f>
        <v/>
      </c>
      <c r="PD9">
        <f>IF($B9=0,1000000000,IF(INDEX('calcA'!$D$60:$EQ$99,$B9,25)*IF($W9=1,DZ9+AAO9,DZ9)=1,IF(AND($E9=2,IF($W9=1,AGD9,JO9)=0),1000000000,IF($V9=1,INDEX('calcA'!$D$130:$EQ$169,$B9,25)+IF(AND($E9=1,JO9=0),25,0),IF($F9&gt;0,INDEX('calcA'!AB$110:AB$114,$F9+1)+IF(AND($E9=1,JO9=0),1000,0),MIN(TV9,20)*400+(IF('calcA'!AB$106=1,1-EA9,0))*150+12+'calcA'!AB$5*100000+IF(AND($E9=1,JO9=0),50000,0))+IF($H9=1,INDEX('calcA'!$D$180:$EQ$219,$B9,25)*4000,0)-IF(AND($U9=1,'calcA'!AB$117=1,EA9=0),2000,0))),1000000000))</f>
        <v/>
      </c>
      <c r="PE9">
        <f>IF($B9=0,1000000000,IF(INDEX('calcA'!$D$60:$EQ$99,$B9,26)*IF($W9=1,EA9+AAP9,EA9)=1,IF(AND($E9=2,IF($W9=1,AGE9,JP9)=0),1000000000,IF($V9=1,INDEX('calcA'!$D$130:$EQ$169,$B9,26)+IF(AND($E9=1,JP9=0),25,0),IF($F9&gt;0,INDEX('calcA'!AC$110:AC$114,$F9+1)+IF(AND($E9=1,JP9=0),1000,0),MIN(TV9,20)*400+(IF('calcA'!AB$106=1,1-DZ9,0)+IF('calcA'!AC$106=1,1-EB9,0))*150+22+'calcA'!AC$5*100000+IF(AND($E9=1,JP9=0),50000,0))+IF($H9=1,INDEX('calcA'!$D$180:$EQ$219,$B9,26)*4000,0)-IF(AND('calcA'!AB$117=1,UZ9&gt;0),2000,0)-IF(AND($U9=1,'calcA'!AC$117=1,EB9=0),2000,0))),1000000000))</f>
        <v/>
      </c>
      <c r="PF9">
        <f>IF($B9=0,1000000000,IF(INDEX('calcA'!$D$60:$EQ$99,$B9,27)*IF($W9=1,EB9+AAQ9,EB9)=1,IF(AND($E9=2,IF($W9=1,AGF9,JQ9)=0),1000000000,IF($V9=1,INDEX('calcA'!$D$130:$EQ$169,$B9,27)+IF(AND($E9=1,JQ9=0),25,0),IF($F9&gt;0,INDEX('calcA'!AD$110:AD$114,$F9+1)+IF(AND($E9=1,JQ9=0),1000,0),MIN(TV9,20)*400+(IF('calcA'!AC$106=1,1-EA9,0)+IF('calcA'!AD$106=1,1-EC9,0))*150+32+'calcA'!AD$5*100000+IF(AND($E9=1,JQ9=0),50000,0))+IF($H9=1,INDEX('calcA'!$D$180:$EQ$219,$B9,27)*4000,0)-IF(AND('calcA'!AC$117=1,VA9&gt;0),2000,0)-IF(AND($U9=1,'calcA'!AD$117=1,EC9=0),2000,0))),1000000000))</f>
        <v/>
      </c>
      <c r="PG9">
        <f>IF($B9=0,1000000000,IF(INDEX('calcA'!$D$60:$EQ$99,$B9,28)*IF($W9=1,EC9+AAR9,EC9)=1,IF(AND($E9=2,IF($W9=1,AGG9,JR9)=0),1000000000,IF($V9=1,INDEX('calcA'!$D$130:$EQ$169,$B9,28)+IF(AND($E9=1,JR9=0),25,0),IF($F9&gt;0,INDEX('calcA'!AE$110:AE$114,$F9+1)+IF(AND($E9=1,JR9=0),1000,0),MIN(TV9,20)*400+(IF('calcA'!AD$106=1,1-EB9,0)+IF('calcA'!AE$106=1,1-ED9,0))*150+42+'calcA'!AE$5*100000+IF(AND($E9=1,JR9=0),50000,0))+IF($H9=1,INDEX('calcA'!$D$180:$EQ$219,$B9,28)*4000,0)-IF(AND('calcA'!AD$117=1,VB9&gt;0),2000,0)-IF(AND($U9=1,'calcA'!AE$117=1,ED9=0),2000,0))),1000000000))</f>
        <v/>
      </c>
      <c r="PH9">
        <f>IF($B9=0,1000000000,IF(INDEX('calcA'!$D$60:$EQ$99,$B9,29)*IF($W9=1,ED9+AAS9,ED9)=1,IF(AND($E9=2,IF($W9=1,AGH9,JS9)=0),1000000000,IF($V9=1,INDEX('calcA'!$D$130:$EQ$169,$B9,29)+IF(AND($E9=1,JS9=0),25,0),IF($F9&gt;0,INDEX('calcA'!AF$110:AF$114,$F9+1)+IF(AND($E9=1,JS9=0),1000,0),MIN(TV9,20)*400+(IF('calcA'!AE$106=1,1-EC9,0)+IF('calcA'!AF$106=1,1-EE9,0))*150+52+'calcA'!AF$5*100000+IF(AND($E9=1,JS9=0),50000,0))+IF($H9=1,INDEX('calcA'!$D$180:$EQ$219,$B9,29)*4000,0)-IF(AND('calcA'!AE$117=1,VC9&gt;0),2000,0)-IF(AND($U9=1,'calcA'!AF$117=1,EE9=0),2000,0))),1000000000))</f>
        <v/>
      </c>
      <c r="PI9">
        <f>IF($B9=0,1000000000,IF(INDEX('calcA'!$D$60:$EQ$99,$B9,30)*IF($W9=1,EE9+AAT9,EE9)=1,IF(AND($E9=2,IF($W9=1,AGI9,JT9)=0),1000000000,IF($V9=1,INDEX('calcA'!$D$130:$EQ$169,$B9,30)+IF(AND($E9=1,JT9=0),25,0),IF($F9&gt;0,INDEX('calcA'!AG$110:AG$114,$F9+1)+IF(AND($E9=1,JT9=0),1000,0),MIN(TV9,20)*400+(IF('calcA'!AF$106=1,1-ED9,0)+IF('calcA'!AG$106=1,1-EF9,0))*150+62+'calcA'!AG$5*100000+IF(AND($E9=1,JT9=0),50000,0))+IF($H9=1,INDEX('calcA'!$D$180:$EQ$219,$B9,30)*4000,0)-IF(AND('calcA'!AF$117=1,VD9&gt;0),2000,0)-IF(AND($U9=1,'calcA'!AG$117=1,EF9=0),2000,0))),1000000000))</f>
        <v/>
      </c>
      <c r="PJ9">
        <f>IF($B9=0,1000000000,IF(INDEX('calcA'!$D$60:$EQ$99,$B9,31)*IF($W9=1,EF9+AAU9,EF9)=1,IF(AND($E9=2,IF($W9=1,AGJ9,JU9)=0),1000000000,IF($V9=1,INDEX('calcA'!$D$130:$EQ$169,$B9,31)+IF(AND($E9=1,JU9=0),25,0),IF($F9&gt;0,INDEX('calcA'!AH$110:AH$114,$F9+1)+IF(AND($E9=1,JU9=0),1000,0),MIN(TV9,20)*400+(IF('calcA'!AG$106=1,1-EE9,0)+IF('calcA'!AH$106=1,1-EG9,0))*150+72+'calcA'!AH$5*100000+IF(AND($E9=1,JU9=0),50000,0))+IF($H9=1,INDEX('calcA'!$D$180:$EQ$219,$B9,31)*4000,0)-IF(AND('calcA'!AG$117=1,VE9&gt;0),2000,0)-IF(AND($U9=1,'calcA'!AH$117=1,EG9=0),2000,0))),1000000000))</f>
        <v/>
      </c>
      <c r="PK9">
        <f>IF($B9=0,1000000000,IF(INDEX('calcA'!$D$60:$EQ$99,$B9,32)*IF($W9=1,EG9+AAV9,EG9)=1,IF(AND($E9=2,IF($W9=1,AGK9,JV9)=0),1000000000,IF($V9=1,INDEX('calcA'!$D$130:$EQ$169,$B9,32)+IF(AND($E9=1,JV9=0),25,0),IF($F9&gt;0,INDEX('calcA'!AI$110:AI$114,$F9+1)+IF(AND($E9=1,JV9=0),1000,0),MIN(TV9,20)*400+(IF('calcA'!AH$106=1,1-EF9,0)+IF('calcA'!AI$106=1,1-EH9,0))*150+82+'calcA'!AI$5*100000+IF(AND($E9=1,JV9=0),50000,0))+IF($H9=1,INDEX('calcA'!$D$180:$EQ$219,$B9,32)*4000,0)-IF(AND('calcA'!AH$117=1,VF9&gt;0),2000,0)-IF(AND($U9=1,'calcA'!AI$117=1,EH9=0),2000,0))),1000000000))</f>
        <v/>
      </c>
      <c r="PL9">
        <f>IF($B9=0,1000000000,IF(INDEX('calcA'!$D$60:$EQ$99,$B9,33)*IF($W9=1,EH9+AAW9,EH9)=1,IF(AND($E9=2,IF($W9=1,AGL9,JW9)=0),1000000000,IF($V9=1,INDEX('calcA'!$D$130:$EQ$169,$B9,33)+IF(AND($E9=1,JW9=0),25,0),IF($F9&gt;0,INDEX('calcA'!AJ$110:AJ$114,$F9+1)+IF(AND($E9=1,JW9=0),1000,0),MIN(TV9,20)*400+(IF('calcA'!AI$106=1,1-EG9,0)+IF('calcA'!AJ$106=1,1-EI9,0))*150+92+'calcA'!AJ$5*100000+IF(AND($E9=1,JW9=0),50000,0))+IF($H9=1,INDEX('calcA'!$D$180:$EQ$219,$B9,33)*4000,0)-IF(AND('calcA'!AI$117=1,VG9&gt;0),2000,0)-IF(AND($U9=1,'calcA'!AJ$117=1,EI9=0),2000,0))),1000000000))</f>
        <v/>
      </c>
      <c r="PM9">
        <f>IF($B9=0,1000000000,IF(INDEX('calcA'!$D$60:$EQ$99,$B9,34)*IF($W9=1,EI9+AAX9,EI9)=1,IF(AND($E9=2,IF($W9=1,AGM9,JX9)=0),1000000000,IF($V9=1,INDEX('calcA'!$D$130:$EQ$169,$B9,34)+IF(AND($E9=1,JX9=0),25,0),IF($F9&gt;0,INDEX('calcA'!AK$110:AK$114,$F9+1)+IF(AND($E9=1,JX9=0),1000,0),MIN(TV9,20)*400+(IF('calcA'!AJ$106=1,1-EH9,0)+IF('calcA'!AK$106=1,1-EJ9,0))*150+102+'calcA'!AK$5*100000+IF(AND($E9=1,JX9=0),50000,0))+IF($H9=1,INDEX('calcA'!$D$180:$EQ$219,$B9,34)*4000,0)-IF(AND('calcA'!AJ$117=1,VH9&gt;0),2000,0)-IF(AND($U9=1,'calcA'!AK$117=1,EJ9=0),2000,0))),1000000000))</f>
        <v/>
      </c>
      <c r="PN9">
        <f>IF($B9=0,1000000000,IF(INDEX('calcA'!$D$60:$EQ$99,$B9,35)*IF($W9=1,EJ9+AAY9,EJ9)=1,IF(AND($E9=2,IF($W9=1,AGN9,JY9)=0),1000000000,IF($V9=1,INDEX('calcA'!$D$130:$EQ$169,$B9,35)+IF(AND($E9=1,JY9=0),25,0),IF($F9&gt;0,INDEX('calcA'!AL$110:AL$114,$F9+1)+IF(AND($E9=1,JY9=0),1000,0),MIN(TV9,20)*400+(IF('calcA'!AK$106=1,1-EI9,0)+IF('calcA'!AL$106=1,1-EK9,0))*150+112+'calcA'!AL$5*100000+IF(AND($E9=1,JY9=0),50000,0))+IF($H9=1,INDEX('calcA'!$D$180:$EQ$219,$B9,35)*4000,0)-IF(AND('calcA'!AK$117=1,VI9&gt;0),2000,0)-IF(AND($U9=1,'calcA'!AL$117=1,EK9=0),2000,0))),1000000000))</f>
        <v/>
      </c>
      <c r="PO9">
        <f>IF($B9=0,1000000000,IF(INDEX('calcA'!$D$60:$EQ$99,$B9,36)*IF($W9=1,EK9+AAZ9,EK9)=1,IF(AND($E9=2,IF($W9=1,AGO9,JZ9)=0),1000000000,IF($V9=1,INDEX('calcA'!$D$130:$EQ$169,$B9,36)+IF(AND($E9=1,JZ9=0),25,0),IF($F9&gt;0,INDEX('calcA'!AM$110:AM$114,$F9+1)+IF(AND($E9=1,JZ9=0),1000,0),MIN(TV9,20)*400+(IF('calcA'!AL$106=1,1-EJ9,0)+IF('calcA'!AM$106=1,1-EL9,0))*150+122+'calcA'!AM$5*100000+IF(AND($E9=1,JZ9=0),50000,0))+IF($H9=1,INDEX('calcA'!$D$180:$EQ$219,$B9,36)*4000,0)-IF(AND('calcA'!AL$117=1,VJ9&gt;0),2000,0)-IF(AND($U9=1,'calcA'!AM$117=1,EL9=0),2000,0))),1000000000))</f>
        <v/>
      </c>
      <c r="PP9">
        <f>IF($B9=0,1000000000,IF(INDEX('calcA'!$D$60:$EQ$99,$B9,37)*IF($W9=1,EL9+ABA9,EL9)=1,IF(AND($E9=2,IF($W9=1,AGP9,KA9)=0),1000000000,IF($V9=1,INDEX('calcA'!$D$130:$EQ$169,$B9,37)+IF(AND($E9=1,KA9=0),25,0),IF($F9&gt;0,INDEX('calcA'!AN$110:AN$114,$F9+1)+IF(AND($E9=1,KA9=0),1000,0),MIN(TV9,20)*400+(IF('calcA'!AM$106=1,1-EK9,0)+IF('calcA'!AN$106=1,1-EM9,0))*150+132+'calcA'!AN$5*100000+IF(AND($E9=1,KA9=0),50000,0))+IF($H9=1,INDEX('calcA'!$D$180:$EQ$219,$B9,37)*4000,0)-IF(AND('calcA'!AM$117=1,VK9&gt;0),2000,0)-IF(AND($U9=1,'calcA'!AN$117=1,EM9=0),2000,0))),1000000000))</f>
        <v/>
      </c>
      <c r="PQ9">
        <f>IF($B9=0,1000000000,IF(INDEX('calcA'!$D$60:$EQ$99,$B9,38)*IF($W9=1,EM9+ABB9,EM9)=1,IF(AND($E9=2,IF($W9=1,AGQ9,KB9)=0),1000000000,IF($V9=1,INDEX('calcA'!$D$130:$EQ$169,$B9,38)+IF(AND($E9=1,KB9=0),25,0),IF($F9&gt;0,INDEX('calcA'!AO$110:AO$114,$F9+1)+IF(AND($E9=1,KB9=0),1000,0),MIN(TV9,20)*400+(IF('calcA'!AN$106=1,1-EL9,0)+IF('calcA'!AO$106=1,1-EN9,0))*150+142+'calcA'!AO$5*100000+IF(AND($E9=1,KB9=0),50000,0))+IF($H9=1,INDEX('calcA'!$D$180:$EQ$219,$B9,38)*4000,0)-IF(AND('calcA'!AN$117=1,VL9&gt;0),2000,0)-IF(AND($U9=1,'calcA'!AO$117=1,EN9=0),2000,0))),1000000000))</f>
        <v/>
      </c>
      <c r="PR9">
        <f>IF($B9=0,1000000000,IF(INDEX('calcA'!$D$60:$EQ$99,$B9,39)*IF($W9=1,EN9+ABC9,EN9)=1,IF(AND($E9=2,IF($W9=1,AGR9,KC9)=0),1000000000,IF($V9=1,INDEX('calcA'!$D$130:$EQ$169,$B9,39)+IF(AND($E9=1,KC9=0),25,0),IF($F9&gt;0,INDEX('calcA'!AP$110:AP$114,$F9+1)+IF(AND($E9=1,KC9=0),1000,0),MIN(TV9,20)*400+(IF('calcA'!AO$106=1,1-EM9,0)+IF('calcA'!AP$106=1,1-EO9,0))*150+152+'calcA'!AP$5*100000+IF(AND($E9=1,KC9=0),50000,0))+IF($H9=1,INDEX('calcA'!$D$180:$EQ$219,$B9,39)*4000,0)-IF(AND('calcA'!AO$117=1,VM9&gt;0),2000,0)-IF(AND($U9=1,'calcA'!AP$117=1,EO9=0),2000,0))),1000000000))</f>
        <v/>
      </c>
      <c r="PS9">
        <f>IF($B9=0,1000000000,IF(INDEX('calcA'!$D$60:$EQ$99,$B9,40)*IF($W9=1,EO9+ABD9,EO9)=1,IF(AND($E9=2,IF($W9=1,AGS9,KD9)=0),1000000000,IF($V9=1,INDEX('calcA'!$D$130:$EQ$169,$B9,40)+IF(AND($E9=1,KD9=0),25,0),IF($F9&gt;0,INDEX('calcA'!AQ$110:AQ$114,$F9+1)+IF(AND($E9=1,KD9=0),1000,0),MIN(TV9,20)*400+(IF('calcA'!AP$106=1,1-EN9,0)+IF('calcA'!AQ$106=1,1-EP9,0))*150+162+'calcA'!AQ$5*100000+IF(AND($E9=1,KD9=0),50000,0))+IF($H9=1,INDEX('calcA'!$D$180:$EQ$219,$B9,40)*4000,0)-IF(AND('calcA'!AP$117=1,VN9&gt;0),2000,0)-IF(AND($U9=1,'calcA'!AQ$117=1,EP9=0),2000,0))),1000000000))</f>
        <v/>
      </c>
      <c r="PT9">
        <f>IF($B9=0,1000000000,IF(INDEX('calcA'!$D$60:$EQ$99,$B9,41)*IF($W9=1,EP9+ABE9,EP9)=1,IF(AND($E9=2,IF($W9=1,AGT9,KE9)=0),1000000000,IF($V9=1,INDEX('calcA'!$D$130:$EQ$169,$B9,41)+IF(AND($E9=1,KE9=0),25,0),IF($F9&gt;0,INDEX('calcA'!AR$110:AR$114,$F9+1)+IF(AND($E9=1,KE9=0),1000,0),MIN(TV9,20)*400+(IF('calcA'!AQ$106=1,1-EO9,0)+IF('calcA'!AR$106=1,1-EQ9,0))*150+172+'calcA'!AR$5*100000+IF(AND($E9=1,KE9=0),50000,0))+IF($H9=1,INDEX('calcA'!$D$180:$EQ$219,$B9,41)*4000,0)-IF(AND('calcA'!AQ$117=1,VO9&gt;0),2000,0)-IF(AND($U9=1,'calcA'!AR$117=1,EQ9=0),2000,0))),1000000000))</f>
        <v/>
      </c>
      <c r="PU9">
        <f>IF($B9=0,1000000000,IF(INDEX('calcA'!$D$60:$EQ$99,$B9,42)*IF($W9=1,EQ9+ABF9,EQ9)=1,IF(AND($E9=2,IF($W9=1,AGU9,KF9)=0),1000000000,IF($V9=1,INDEX('calcA'!$D$130:$EQ$169,$B9,42)+IF(AND($E9=1,KF9=0),25,0),IF($F9&gt;0,INDEX('calcA'!AS$110:AS$114,$F9+1)+IF(AND($E9=1,KF9=0),1000,0),MIN(TV9,20)*400+(IF('calcA'!AR$106=1,1-EP9,0)+IF('calcA'!AS$106=1,1-ER9,0))*150+182+'calcA'!AS$5*100000+IF(AND($E9=1,KF9=0),50000,0))+IF($H9=1,INDEX('calcA'!$D$180:$EQ$219,$B9,42)*4000,0)-IF(AND('calcA'!AR$117=1,VP9&gt;0),2000,0)-IF(AND($U9=1,'calcA'!AS$117=1,ER9=0),2000,0))),1000000000))</f>
        <v/>
      </c>
      <c r="PV9">
        <f>IF($B9=0,1000000000,IF(INDEX('calcA'!$D$60:$EQ$99,$B9,43)*IF($W9=1,ER9+ABG9,ER9)=1,IF(AND($E9=2,IF($W9=1,AGV9,KG9)=0),1000000000,IF($V9=1,INDEX('calcA'!$D$130:$EQ$169,$B9,43)+IF(AND($E9=1,KG9=0),25,0),IF($F9&gt;0,INDEX('calcA'!AT$110:AT$114,$F9+1)+IF(AND($E9=1,KG9=0),1000,0),MIN(TV9,20)*400+(IF('calcA'!AS$106=1,1-EQ9,0)+IF('calcA'!AT$106=1,1-ES9,0))*150+192+'calcA'!AT$5*100000+IF(AND($E9=1,KG9=0),50000,0))+IF($H9=1,INDEX('calcA'!$D$180:$EQ$219,$B9,43)*4000,0)-IF(AND('calcA'!AS$117=1,VQ9&gt;0),2000,0)-IF(AND($U9=1,'calcA'!AT$117=1,ES9=0),2000,0))),1000000000))</f>
        <v/>
      </c>
      <c r="PW9">
        <f>IF($B9=0,1000000000,IF(INDEX('calcA'!$D$60:$EQ$99,$B9,44)*IF($W9=1,ES9+ABH9,ES9)=1,IF(AND($E9=2,IF($W9=1,AGW9,KH9)=0),1000000000,IF($V9=1,INDEX('calcA'!$D$130:$EQ$169,$B9,44)+IF(AND($E9=1,KH9=0),25,0),IF($F9&gt;0,INDEX('calcA'!AU$110:AU$114,$F9+1)+IF(AND($E9=1,KH9=0),1000,0),MIN(TV9,20)*400+(IF('calcA'!AT$106=1,1-ER9,0)+IF('calcA'!AU$106=1,1-ET9,0))*150+202+'calcA'!AU$5*100000+IF(AND($E9=1,KH9=0),50000,0))+IF($H9=1,INDEX('calcA'!$D$180:$EQ$219,$B9,44)*4000,0)-IF(AND('calcA'!AT$117=1,VR9&gt;0),2000,0)-IF(AND($U9=1,'calcA'!AU$117=1,ET9=0),2000,0))),1000000000))</f>
        <v/>
      </c>
      <c r="PX9">
        <f>IF($B9=0,1000000000,IF(INDEX('calcA'!$D$60:$EQ$99,$B9,45)*IF($W9=1,ET9+ABI9,ET9)=1,IF(AND($E9=2,IF($W9=1,AGX9,KI9)=0),1000000000,IF($V9=1,INDEX('calcA'!$D$130:$EQ$169,$B9,45)+IF(AND($E9=1,KI9=0),25,0),IF($F9&gt;0,INDEX('calcA'!AV$110:AV$114,$F9+1)+IF(AND($E9=1,KI9=0),1000,0),MIN(TV9,20)*400+(IF('calcA'!AU$106=1,1-ES9,0)+IF('calcA'!AV$106=1,1-EU9,0))*150+212+'calcA'!AV$5*100000+IF(AND($E9=1,KI9=0),50000,0))+IF($H9=1,INDEX('calcA'!$D$180:$EQ$219,$B9,45)*4000,0)-IF(AND('calcA'!AU$117=1,VS9&gt;0),2000,0)-IF(AND($U9=1,'calcA'!AV$117=1,EU9=0),2000,0))),1000000000))</f>
        <v/>
      </c>
      <c r="PY9">
        <f>IF($B9=0,1000000000,IF(INDEX('calcA'!$D$60:$EQ$99,$B9,46)*IF($W9=1,EU9+ABJ9,EU9)=1,IF(AND($E9=2,IF($W9=1,AGY9,KJ9)=0),1000000000,IF($V9=1,INDEX('calcA'!$D$130:$EQ$169,$B9,46)+IF(AND($E9=1,KJ9=0),25,0),IF($F9&gt;0,INDEX('calcA'!AW$110:AW$114,$F9+1)+IF(AND($E9=1,KJ9=0),1000,0),MIN(TV9,20)*400+(IF('calcA'!AV$106=1,1-ET9,0)+IF('calcA'!AW$106=1,1-EV9,0))*150+222+'calcA'!AW$5*100000+IF(AND($E9=1,KJ9=0),50000,0))+IF($H9=1,INDEX('calcA'!$D$180:$EQ$219,$B9,46)*4000,0)-IF(AND('calcA'!AV$117=1,VT9&gt;0),2000,0)-IF(AND($U9=1,'calcA'!AW$117=1,EV9=0),2000,0))),1000000000))</f>
        <v/>
      </c>
      <c r="PZ9">
        <f>IF($B9=0,1000000000,IF(INDEX('calcA'!$D$60:$EQ$99,$B9,47)*IF($W9=1,EV9+ABK9,EV9)=1,IF(AND($E9=2,IF($W9=1,AGZ9,KK9)=0),1000000000,IF($V9=1,INDEX('calcA'!$D$130:$EQ$169,$B9,47)+IF(AND($E9=1,KK9=0),25,0),IF($F9&gt;0,INDEX('calcA'!AX$110:AX$114,$F9+1)+IF(AND($E9=1,KK9=0),1000,0),MIN(TV9,20)*400+(IF('calcA'!AW$106=1,1-EU9,0)+IF('calcA'!AX$106=1,1-EW9,0))*150+232+'calcA'!AX$5*100000+IF(AND($E9=1,KK9=0),50000,0))+IF($H9=1,INDEX('calcA'!$D$180:$EQ$219,$B9,47)*4000,0)-IF(AND('calcA'!AW$117=1,VU9&gt;0),2000,0)-IF(AND($U9=1,'calcA'!AX$117=1,EW9=0),2000,0))),1000000000))</f>
        <v/>
      </c>
      <c r="QA9">
        <f>IF($B9=0,1000000000,IF(INDEX('calcA'!$D$60:$EQ$99,$B9,48)*IF($W9=1,EW9+ABL9,EW9)=1,IF(AND($E9=2,IF($W9=1,AHA9,KL9)=0),1000000000,IF($V9=1,INDEX('calcA'!$D$130:$EQ$169,$B9,48)+IF(AND($E9=1,KL9=0),25,0),IF($F9&gt;0,INDEX('calcA'!AY$110:AY$114,$F9+1)+IF(AND($E9=1,KL9=0),1000,0),MIN(TV9,20)*400+(IF('calcA'!AX$106=1,1-EV9,0))*150+242+'calcA'!AY$5*100000+IF(AND($E9=1,KL9=0),50000,0))+IF($H9=1,INDEX('calcA'!$D$180:$EQ$219,$B9,48)*4000,0)-IF(AND('calcA'!AX$117=1,VV9&gt;0),2000,0))),1000000000))</f>
        <v/>
      </c>
      <c r="QB9">
        <f>IF($B9=0,1000000000,IF(INDEX('calcA'!$D$60:$EQ$99,$B9,49)*IF($W9=1,EX9+ABM9,EX9)=1,IF(AND($E9=2,IF($W9=1,AHB9,KM9)=0),1000000000,IF($V9=1,INDEX('calcA'!$D$130:$EQ$169,$B9,49)+IF(AND($E9=1,KM9=0),25,0),IF($F9&gt;0,INDEX('calcA'!AZ$110:AZ$114,$F9+1)+IF(AND($E9=1,KM9=0),1000,0),MIN(TW9,20)*400+(IF('calcA'!AZ$106=1,1-EY9,0))*150+13+'calcA'!AZ$5*100000+IF(AND($E9=1,KM9=0),50000,0))+IF($H9=1,INDEX('calcA'!$D$180:$EQ$219,$B9,49)*4000,0)-IF(AND($U9=1,'calcA'!AZ$117=1,EY9=0),2000,0))),1000000000))</f>
        <v/>
      </c>
      <c r="QC9">
        <f>IF($B9=0,1000000000,IF(INDEX('calcA'!$D$60:$EQ$99,$B9,50)*IF($W9=1,EY9+ABN9,EY9)=1,IF(AND($E9=2,IF($W9=1,AHC9,KN9)=0),1000000000,IF($V9=1,INDEX('calcA'!$D$130:$EQ$169,$B9,50)+IF(AND($E9=1,KN9=0),25,0),IF($F9&gt;0,INDEX('calcA'!BA$110:BA$114,$F9+1)+IF(AND($E9=1,KN9=0),1000,0),MIN(TW9,20)*400+(IF('calcA'!AZ$106=1,1-EX9,0)+IF('calcA'!BA$106=1,1-EZ9,0))*150+23+'calcA'!BA$5*100000+IF(AND($E9=1,KN9=0),50000,0))+IF($H9=1,INDEX('calcA'!$D$180:$EQ$219,$B9,50)*4000,0)-IF(AND('calcA'!AZ$117=1,VX9&gt;0),2000,0)-IF(AND($U9=1,'calcA'!BA$117=1,EZ9=0),2000,0))),1000000000))</f>
        <v/>
      </c>
      <c r="QD9">
        <f>IF($B9=0,1000000000,IF(INDEX('calcA'!$D$60:$EQ$99,$B9,51)*IF($W9=1,EZ9+ABO9,EZ9)=1,IF(AND($E9=2,IF($W9=1,AHD9,KO9)=0),1000000000,IF($V9=1,INDEX('calcA'!$D$130:$EQ$169,$B9,51)+IF(AND($E9=1,KO9=0),25,0),IF($F9&gt;0,INDEX('calcA'!BB$110:BB$114,$F9+1)+IF(AND($E9=1,KO9=0),1000,0),MIN(TW9,20)*400+(IF('calcA'!BA$106=1,1-EY9,0)+IF('calcA'!BB$106=1,1-FA9,0))*150+33+'calcA'!BB$5*100000+IF(AND($E9=1,KO9=0),50000,0))+IF($H9=1,INDEX('calcA'!$D$180:$EQ$219,$B9,51)*4000,0)-IF(AND('calcA'!BA$117=1,VY9&gt;0),2000,0)-IF(AND($U9=1,'calcA'!BB$117=1,FA9=0),2000,0))),1000000000))</f>
        <v/>
      </c>
      <c r="QE9">
        <f>IF($B9=0,1000000000,IF(INDEX('calcA'!$D$60:$EQ$99,$B9,52)*IF($W9=1,FA9+ABP9,FA9)=1,IF(AND($E9=2,IF($W9=1,AHE9,KP9)=0),1000000000,IF($V9=1,INDEX('calcA'!$D$130:$EQ$169,$B9,52)+IF(AND($E9=1,KP9=0),25,0),IF($F9&gt;0,INDEX('calcA'!BC$110:BC$114,$F9+1)+IF(AND($E9=1,KP9=0),1000,0),MIN(TW9,20)*400+(IF('calcA'!BB$106=1,1-EZ9,0)+IF('calcA'!BC$106=1,1-FB9,0))*150+43+'calcA'!BC$5*100000+IF(AND($E9=1,KP9=0),50000,0))+IF($H9=1,INDEX('calcA'!$D$180:$EQ$219,$B9,52)*4000,0)-IF(AND('calcA'!BB$117=1,VZ9&gt;0),2000,0)-IF(AND($U9=1,'calcA'!BC$117=1,FB9=0),2000,0))),1000000000))</f>
        <v/>
      </c>
      <c r="QF9">
        <f>IF($B9=0,1000000000,IF(INDEX('calcA'!$D$60:$EQ$99,$B9,53)*IF($W9=1,FB9+ABQ9,FB9)=1,IF(AND($E9=2,IF($W9=1,AHF9,KQ9)=0),1000000000,IF($V9=1,INDEX('calcA'!$D$130:$EQ$169,$B9,53)+IF(AND($E9=1,KQ9=0),25,0),IF($F9&gt;0,INDEX('calcA'!BD$110:BD$114,$F9+1)+IF(AND($E9=1,KQ9=0),1000,0),MIN(TW9,20)*400+(IF('calcA'!BC$106=1,1-FA9,0)+IF('calcA'!BD$106=1,1-FC9,0))*150+53+'calcA'!BD$5*100000+IF(AND($E9=1,KQ9=0),50000,0))+IF($H9=1,INDEX('calcA'!$D$180:$EQ$219,$B9,53)*4000,0)-IF(AND('calcA'!BC$117=1,WA9&gt;0),2000,0)-IF(AND($U9=1,'calcA'!BD$117=1,FC9=0),2000,0))),1000000000))</f>
        <v/>
      </c>
      <c r="QG9">
        <f>IF($B9=0,1000000000,IF(INDEX('calcA'!$D$60:$EQ$99,$B9,54)*IF($W9=1,FC9+ABR9,FC9)=1,IF(AND($E9=2,IF($W9=1,AHG9,KR9)=0),1000000000,IF($V9=1,INDEX('calcA'!$D$130:$EQ$169,$B9,54)+IF(AND($E9=1,KR9=0),25,0),IF($F9&gt;0,INDEX('calcA'!BE$110:BE$114,$F9+1)+IF(AND($E9=1,KR9=0),1000,0),MIN(TW9,20)*400+(IF('calcA'!BD$106=1,1-FB9,0)+IF('calcA'!BE$106=1,1-FD9,0))*150+63+'calcA'!BE$5*100000+IF(AND($E9=1,KR9=0),50000,0))+IF($H9=1,INDEX('calcA'!$D$180:$EQ$219,$B9,54)*4000,0)-IF(AND('calcA'!BD$117=1,WB9&gt;0),2000,0)-IF(AND($U9=1,'calcA'!BE$117=1,FD9=0),2000,0))),1000000000))</f>
        <v/>
      </c>
      <c r="QH9">
        <f>IF($B9=0,1000000000,IF(INDEX('calcA'!$D$60:$EQ$99,$B9,55)*IF($W9=1,FD9+ABS9,FD9)=1,IF(AND($E9=2,IF($W9=1,AHH9,KS9)=0),1000000000,IF($V9=1,INDEX('calcA'!$D$130:$EQ$169,$B9,55)+IF(AND($E9=1,KS9=0),25,0),IF($F9&gt;0,INDEX('calcA'!BF$110:BF$114,$F9+1)+IF(AND($E9=1,KS9=0),1000,0),MIN(TW9,20)*400+(IF('calcA'!BE$106=1,1-FC9,0)+IF('calcA'!BF$106=1,1-FE9,0))*150+73+'calcA'!BF$5*100000+IF(AND($E9=1,KS9=0),50000,0))+IF($H9=1,INDEX('calcA'!$D$180:$EQ$219,$B9,55)*4000,0)-IF(AND('calcA'!BE$117=1,WC9&gt;0),2000,0)-IF(AND($U9=1,'calcA'!BF$117=1,FE9=0),2000,0))),1000000000))</f>
        <v/>
      </c>
      <c r="QI9">
        <f>IF($B9=0,1000000000,IF(INDEX('calcA'!$D$60:$EQ$99,$B9,56)*IF($W9=1,FE9+ABT9,FE9)=1,IF(AND($E9=2,IF($W9=1,AHI9,KT9)=0),1000000000,IF($V9=1,INDEX('calcA'!$D$130:$EQ$169,$B9,56)+IF(AND($E9=1,KT9=0),25,0),IF($F9&gt;0,INDEX('calcA'!BG$110:BG$114,$F9+1)+IF(AND($E9=1,KT9=0),1000,0),MIN(TW9,20)*400+(IF('calcA'!BF$106=1,1-FD9,0)+IF('calcA'!BG$106=1,1-FF9,0))*150+83+'calcA'!BG$5*100000+IF(AND($E9=1,KT9=0),50000,0))+IF($H9=1,INDEX('calcA'!$D$180:$EQ$219,$B9,56)*4000,0)-IF(AND('calcA'!BF$117=1,WD9&gt;0),2000,0)-IF(AND($U9=1,'calcA'!BG$117=1,FF9=0),2000,0))),1000000000))</f>
        <v/>
      </c>
      <c r="QJ9">
        <f>IF($B9=0,1000000000,IF(INDEX('calcA'!$D$60:$EQ$99,$B9,57)*IF($W9=1,FF9+ABU9,FF9)=1,IF(AND($E9=2,IF($W9=1,AHJ9,KU9)=0),1000000000,IF($V9=1,INDEX('calcA'!$D$130:$EQ$169,$B9,57)+IF(AND($E9=1,KU9=0),25,0),IF($F9&gt;0,INDEX('calcA'!BH$110:BH$114,$F9+1)+IF(AND($E9=1,KU9=0),1000,0),MIN(TW9,20)*400+(IF('calcA'!BG$106=1,1-FE9,0)+IF('calcA'!BH$106=1,1-FG9,0))*150+93+'calcA'!BH$5*100000+IF(AND($E9=1,KU9=0),50000,0))+IF($H9=1,INDEX('calcA'!$D$180:$EQ$219,$B9,57)*4000,0)-IF(AND('calcA'!BG$117=1,WE9&gt;0),2000,0)-IF(AND($U9=1,'calcA'!BH$117=1,FG9=0),2000,0))),1000000000))</f>
        <v/>
      </c>
      <c r="QK9">
        <f>IF($B9=0,1000000000,IF(INDEX('calcA'!$D$60:$EQ$99,$B9,58)*IF($W9=1,FG9+ABV9,FG9)=1,IF(AND($E9=2,IF($W9=1,AHK9,KV9)=0),1000000000,IF($V9=1,INDEX('calcA'!$D$130:$EQ$169,$B9,58)+IF(AND($E9=1,KV9=0),25,0),IF($F9&gt;0,INDEX('calcA'!BI$110:BI$114,$F9+1)+IF(AND($E9=1,KV9=0),1000,0),MIN(TW9,20)*400+(IF('calcA'!BH$106=1,1-FF9,0)+IF('calcA'!BI$106=1,1-FH9,0))*150+103+'calcA'!BI$5*100000+IF(AND($E9=1,KV9=0),50000,0))+IF($H9=1,INDEX('calcA'!$D$180:$EQ$219,$B9,58)*4000,0)-IF(AND('calcA'!BH$117=1,WF9&gt;0),2000,0)-IF(AND($U9=1,'calcA'!BI$117=1,FH9=0),2000,0))),1000000000))</f>
        <v/>
      </c>
      <c r="QL9">
        <f>IF($B9=0,1000000000,IF(INDEX('calcA'!$D$60:$EQ$99,$B9,59)*IF($W9=1,FH9+ABW9,FH9)=1,IF(AND($E9=2,IF($W9=1,AHL9,KW9)=0),1000000000,IF($V9=1,INDEX('calcA'!$D$130:$EQ$169,$B9,59)+IF(AND($E9=1,KW9=0),25,0),IF($F9&gt;0,INDEX('calcA'!BJ$110:BJ$114,$F9+1)+IF(AND($E9=1,KW9=0),1000,0),MIN(TW9,20)*400+(IF('calcA'!BI$106=1,1-FG9,0)+IF('calcA'!BJ$106=1,1-FI9,0))*150+113+'calcA'!BJ$5*100000+IF(AND($E9=1,KW9=0),50000,0))+IF($H9=1,INDEX('calcA'!$D$180:$EQ$219,$B9,59)*4000,0)-IF(AND('calcA'!BI$117=1,WG9&gt;0),2000,0)-IF(AND($U9=1,'calcA'!BJ$117=1,FI9=0),2000,0))),1000000000))</f>
        <v/>
      </c>
      <c r="QM9">
        <f>IF($B9=0,1000000000,IF(INDEX('calcA'!$D$60:$EQ$99,$B9,60)*IF($W9=1,FI9+ABX9,FI9)=1,IF(AND($E9=2,IF($W9=1,AHM9,KX9)=0),1000000000,IF($V9=1,INDEX('calcA'!$D$130:$EQ$169,$B9,60)+IF(AND($E9=1,KX9=0),25,0),IF($F9&gt;0,INDEX('calcA'!BK$110:BK$114,$F9+1)+IF(AND($E9=1,KX9=0),1000,0),MIN(TW9,20)*400+(IF('calcA'!BJ$106=1,1-FH9,0)+IF('calcA'!BK$106=1,1-FJ9,0))*150+123+'calcA'!BK$5*100000+IF(AND($E9=1,KX9=0),50000,0))+IF($H9=1,INDEX('calcA'!$D$180:$EQ$219,$B9,60)*4000,0)-IF(AND('calcA'!BJ$117=1,WH9&gt;0),2000,0)-IF(AND($U9=1,'calcA'!BK$117=1,FJ9=0),2000,0))),1000000000))</f>
        <v/>
      </c>
      <c r="QN9">
        <f>IF($B9=0,1000000000,IF(INDEX('calcA'!$D$60:$EQ$99,$B9,61)*IF($W9=1,FJ9+ABY9,FJ9)=1,IF(AND($E9=2,IF($W9=1,AHN9,KY9)=0),1000000000,IF($V9=1,INDEX('calcA'!$D$130:$EQ$169,$B9,61)+IF(AND($E9=1,KY9=0),25,0),IF($F9&gt;0,INDEX('calcA'!BL$110:BL$114,$F9+1)+IF(AND($E9=1,KY9=0),1000,0),MIN(TW9,20)*400+(IF('calcA'!BK$106=1,1-FI9,0)+IF('calcA'!BL$106=1,1-FK9,0))*150+133+'calcA'!BL$5*100000+IF(AND($E9=1,KY9=0),50000,0))+IF($H9=1,INDEX('calcA'!$D$180:$EQ$219,$B9,61)*4000,0)-IF(AND('calcA'!BK$117=1,WI9&gt;0),2000,0)-IF(AND($U9=1,'calcA'!BL$117=1,FK9=0),2000,0))),1000000000))</f>
        <v/>
      </c>
      <c r="QO9">
        <f>IF($B9=0,1000000000,IF(INDEX('calcA'!$D$60:$EQ$99,$B9,62)*IF($W9=1,FK9+ABZ9,FK9)=1,IF(AND($E9=2,IF($W9=1,AHO9,KZ9)=0),1000000000,IF($V9=1,INDEX('calcA'!$D$130:$EQ$169,$B9,62)+IF(AND($E9=1,KZ9=0),25,0),IF($F9&gt;0,INDEX('calcA'!BM$110:BM$114,$F9+1)+IF(AND($E9=1,KZ9=0),1000,0),MIN(TW9,20)*400+(IF('calcA'!BL$106=1,1-FJ9,0)+IF('calcA'!BM$106=1,1-FL9,0))*150+143+'calcA'!BM$5*100000+IF(AND($E9=1,KZ9=0),50000,0))+IF($H9=1,INDEX('calcA'!$D$180:$EQ$219,$B9,62)*4000,0)-IF(AND('calcA'!BL$117=1,WJ9&gt;0),2000,0)-IF(AND($U9=1,'calcA'!BM$117=1,FL9=0),2000,0))),1000000000))</f>
        <v/>
      </c>
      <c r="QP9">
        <f>IF($B9=0,1000000000,IF(INDEX('calcA'!$D$60:$EQ$99,$B9,63)*IF($W9=1,FL9+ACA9,FL9)=1,IF(AND($E9=2,IF($W9=1,AHP9,LA9)=0),1000000000,IF($V9=1,INDEX('calcA'!$D$130:$EQ$169,$B9,63)+IF(AND($E9=1,LA9=0),25,0),IF($F9&gt;0,INDEX('calcA'!BN$110:BN$114,$F9+1)+IF(AND($E9=1,LA9=0),1000,0),MIN(TW9,20)*400+(IF('calcA'!BM$106=1,1-FK9,0)+IF('calcA'!BN$106=1,1-FM9,0))*150+153+'calcA'!BN$5*100000+IF(AND($E9=1,LA9=0),50000,0))+IF($H9=1,INDEX('calcA'!$D$180:$EQ$219,$B9,63)*4000,0)-IF(AND('calcA'!BM$117=1,WK9&gt;0),2000,0)-IF(AND($U9=1,'calcA'!BN$117=1,FM9=0),2000,0))),1000000000))</f>
        <v/>
      </c>
      <c r="QQ9">
        <f>IF($B9=0,1000000000,IF(INDEX('calcA'!$D$60:$EQ$99,$B9,64)*IF($W9=1,FM9+ACB9,FM9)=1,IF(AND($E9=2,IF($W9=1,AHQ9,LB9)=0),1000000000,IF($V9=1,INDEX('calcA'!$D$130:$EQ$169,$B9,64)+IF(AND($E9=1,LB9=0),25,0),IF($F9&gt;0,INDEX('calcA'!BO$110:BO$114,$F9+1)+IF(AND($E9=1,LB9=0),1000,0),MIN(TW9,20)*400+(IF('calcA'!BN$106=1,1-FL9,0)+IF('calcA'!BO$106=1,1-FN9,0))*150+163+'calcA'!BO$5*100000+IF(AND($E9=1,LB9=0),50000,0))+IF($H9=1,INDEX('calcA'!$D$180:$EQ$219,$B9,64)*4000,0)-IF(AND('calcA'!BN$117=1,WL9&gt;0),2000,0)-IF(AND($U9=1,'calcA'!BO$117=1,FN9=0),2000,0))),1000000000))</f>
        <v/>
      </c>
      <c r="QR9">
        <f>IF($B9=0,1000000000,IF(INDEX('calcA'!$D$60:$EQ$99,$B9,65)*IF($W9=1,FN9+ACC9,FN9)=1,IF(AND($E9=2,IF($W9=1,AHR9,LC9)=0),1000000000,IF($V9=1,INDEX('calcA'!$D$130:$EQ$169,$B9,65)+IF(AND($E9=1,LC9=0),25,0),IF($F9&gt;0,INDEX('calcA'!BP$110:BP$114,$F9+1)+IF(AND($E9=1,LC9=0),1000,0),MIN(TW9,20)*400+(IF('calcA'!BO$106=1,1-FM9,0)+IF('calcA'!BP$106=1,1-FO9,0))*150+173+'calcA'!BP$5*100000+IF(AND($E9=1,LC9=0),50000,0))+IF($H9=1,INDEX('calcA'!$D$180:$EQ$219,$B9,65)*4000,0)-IF(AND('calcA'!BO$117=1,WM9&gt;0),2000,0)-IF(AND($U9=1,'calcA'!BP$117=1,FO9=0),2000,0))),1000000000))</f>
        <v/>
      </c>
      <c r="QS9">
        <f>IF($B9=0,1000000000,IF(INDEX('calcA'!$D$60:$EQ$99,$B9,66)*IF($W9=1,FO9+ACD9,FO9)=1,IF(AND($E9=2,IF($W9=1,AHS9,LD9)=0),1000000000,IF($V9=1,INDEX('calcA'!$D$130:$EQ$169,$B9,66)+IF(AND($E9=1,LD9=0),25,0),IF($F9&gt;0,INDEX('calcA'!BQ$110:BQ$114,$F9+1)+IF(AND($E9=1,LD9=0),1000,0),MIN(TW9,20)*400+(IF('calcA'!BP$106=1,1-FN9,0)+IF('calcA'!BQ$106=1,1-FP9,0))*150+183+'calcA'!BQ$5*100000+IF(AND($E9=1,LD9=0),50000,0))+IF($H9=1,INDEX('calcA'!$D$180:$EQ$219,$B9,66)*4000,0)-IF(AND('calcA'!BP$117=1,WN9&gt;0),2000,0)-IF(AND($U9=1,'calcA'!BQ$117=1,FP9=0),2000,0))),1000000000))</f>
        <v/>
      </c>
      <c r="QT9">
        <f>IF($B9=0,1000000000,IF(INDEX('calcA'!$D$60:$EQ$99,$B9,67)*IF($W9=1,FP9+ACE9,FP9)=1,IF(AND($E9=2,IF($W9=1,AHT9,LE9)=0),1000000000,IF($V9=1,INDEX('calcA'!$D$130:$EQ$169,$B9,67)+IF(AND($E9=1,LE9=0),25,0),IF($F9&gt;0,INDEX('calcA'!BR$110:BR$114,$F9+1)+IF(AND($E9=1,LE9=0),1000,0),MIN(TW9,20)*400+(IF('calcA'!BQ$106=1,1-FO9,0)+IF('calcA'!BR$106=1,1-FQ9,0))*150+193+'calcA'!BR$5*100000+IF(AND($E9=1,LE9=0),50000,0))+IF($H9=1,INDEX('calcA'!$D$180:$EQ$219,$B9,67)*4000,0)-IF(AND('calcA'!BQ$117=1,WO9&gt;0),2000,0)-IF(AND($U9=1,'calcA'!BR$117=1,FQ9=0),2000,0))),1000000000))</f>
        <v/>
      </c>
      <c r="QU9">
        <f>IF($B9=0,1000000000,IF(INDEX('calcA'!$D$60:$EQ$99,$B9,68)*IF($W9=1,FQ9+ACF9,FQ9)=1,IF(AND($E9=2,IF($W9=1,AHU9,LF9)=0),1000000000,IF($V9=1,INDEX('calcA'!$D$130:$EQ$169,$B9,68)+IF(AND($E9=1,LF9=0),25,0),IF($F9&gt;0,INDEX('calcA'!BS$110:BS$114,$F9+1)+IF(AND($E9=1,LF9=0),1000,0),MIN(TW9,20)*400+(IF('calcA'!BR$106=1,1-FP9,0)+IF('calcA'!BS$106=1,1-FR9,0))*150+203+'calcA'!BS$5*100000+IF(AND($E9=1,LF9=0),50000,0))+IF($H9=1,INDEX('calcA'!$D$180:$EQ$219,$B9,68)*4000,0)-IF(AND('calcA'!BR$117=1,WP9&gt;0),2000,0)-IF(AND($U9=1,'calcA'!BS$117=1,FR9=0),2000,0))),1000000000))</f>
        <v/>
      </c>
      <c r="QV9">
        <f>IF($B9=0,1000000000,IF(INDEX('calcA'!$D$60:$EQ$99,$B9,69)*IF($W9=1,FR9+ACG9,FR9)=1,IF(AND($E9=2,IF($W9=1,AHV9,LG9)=0),1000000000,IF($V9=1,INDEX('calcA'!$D$130:$EQ$169,$B9,69)+IF(AND($E9=1,LG9=0),25,0),IF($F9&gt;0,INDEX('calcA'!BT$110:BT$114,$F9+1)+IF(AND($E9=1,LG9=0),1000,0),MIN(TW9,20)*400+(IF('calcA'!BS$106=1,1-FQ9,0)+IF('calcA'!BT$106=1,1-FS9,0))*150+213+'calcA'!BT$5*100000+IF(AND($E9=1,LG9=0),50000,0))+IF($H9=1,INDEX('calcA'!$D$180:$EQ$219,$B9,69)*4000,0)-IF(AND('calcA'!BS$117=1,WQ9&gt;0),2000,0)-IF(AND($U9=1,'calcA'!BT$117=1,FS9=0),2000,0))),1000000000))</f>
        <v/>
      </c>
      <c r="QW9">
        <f>IF($B9=0,1000000000,IF(INDEX('calcA'!$D$60:$EQ$99,$B9,70)*IF($W9=1,FS9+ACH9,FS9)=1,IF(AND($E9=2,IF($W9=1,AHW9,LH9)=0),1000000000,IF($V9=1,INDEX('calcA'!$D$130:$EQ$169,$B9,70)+IF(AND($E9=1,LH9=0),25,0),IF($F9&gt;0,INDEX('calcA'!BU$110:BU$114,$F9+1)+IF(AND($E9=1,LH9=0),1000,0),MIN(TW9,20)*400+(IF('calcA'!BT$106=1,1-FR9,0)+IF('calcA'!BU$106=1,1-FT9,0))*150+223+'calcA'!BU$5*100000+IF(AND($E9=1,LH9=0),50000,0))+IF($H9=1,INDEX('calcA'!$D$180:$EQ$219,$B9,70)*4000,0)-IF(AND('calcA'!BT$117=1,WR9&gt;0),2000,0)-IF(AND($U9=1,'calcA'!BU$117=1,FT9=0),2000,0))),1000000000))</f>
        <v/>
      </c>
      <c r="QX9">
        <f>IF($B9=0,1000000000,IF(INDEX('calcA'!$D$60:$EQ$99,$B9,71)*IF($W9=1,FT9+ACI9,FT9)=1,IF(AND($E9=2,IF($W9=1,AHX9,LI9)=0),1000000000,IF($V9=1,INDEX('calcA'!$D$130:$EQ$169,$B9,71)+IF(AND($E9=1,LI9=0),25,0),IF($F9&gt;0,INDEX('calcA'!BV$110:BV$114,$F9+1)+IF(AND($E9=1,LI9=0),1000,0),MIN(TW9,20)*400+(IF('calcA'!BU$106=1,1-FS9,0)+IF('calcA'!BV$106=1,1-FU9,0))*150+233+'calcA'!BV$5*100000+IF(AND($E9=1,LI9=0),50000,0))+IF($H9=1,INDEX('calcA'!$D$180:$EQ$219,$B9,71)*4000,0)-IF(AND('calcA'!BU$117=1,WS9&gt;0),2000,0)-IF(AND($U9=1,'calcA'!BV$117=1,FU9=0),2000,0))),1000000000))</f>
        <v/>
      </c>
      <c r="QY9">
        <f>IF($B9=0,1000000000,IF(INDEX('calcA'!$D$60:$EQ$99,$B9,72)*IF($W9=1,FU9+ACJ9,FU9)=1,IF(AND($E9=2,IF($W9=1,AHY9,LJ9)=0),1000000000,IF($V9=1,INDEX('calcA'!$D$130:$EQ$169,$B9,72)+IF(AND($E9=1,LJ9=0),25,0),IF($F9&gt;0,INDEX('calcA'!BW$110:BW$114,$F9+1)+IF(AND($E9=1,LJ9=0),1000,0),MIN(TW9,20)*400+(IF('calcA'!BV$106=1,1-FT9,0))*150+243+'calcA'!BW$5*100000+IF(AND($E9=1,LJ9=0),50000,0))+IF($H9=1,INDEX('calcA'!$D$180:$EQ$219,$B9,72)*4000,0)-IF(AND('calcA'!BV$117=1,WT9&gt;0),2000,0))),1000000000))</f>
        <v/>
      </c>
      <c r="QZ9">
        <f>IF($B9=0,1000000000,IF(INDEX('calcA'!$D$60:$EQ$99,$B9,73)*IF($W9=1,FV9+ACK9,FV9)=1,IF(AND($E9=2,IF($W9=1,AHZ9,LK9)=0),1000000000,IF($V9=1,INDEX('calcA'!$D$130:$EQ$169,$B9,73)+IF(AND($E9=1,LK9=0),25,0),IF($F9&gt;0,INDEX('calcA'!BX$110:BX$114,$F9+1)+IF(AND($E9=1,LK9=0),1000,0),MIN(TX9,20)*400+(IF('calcA'!BX$106=1,1-FW9,0))*150+14+'calcA'!BX$5*100000+IF(AND($E9=1,LK9=0),50000,0))+IF($H9=1,INDEX('calcA'!$D$180:$EQ$219,$B9,73)*4000,0)-IF(AND($U9=1,'calcA'!BX$117=1,FW9=0),2000,0))),1000000000))</f>
        <v/>
      </c>
      <c r="RA9">
        <f>IF($B9=0,1000000000,IF(INDEX('calcA'!$D$60:$EQ$99,$B9,74)*IF($W9=1,FW9+ACL9,FW9)=1,IF(AND($E9=2,IF($W9=1,AIA9,LL9)=0),1000000000,IF($V9=1,INDEX('calcA'!$D$130:$EQ$169,$B9,74)+IF(AND($E9=1,LL9=0),25,0),IF($F9&gt;0,INDEX('calcA'!BY$110:BY$114,$F9+1)+IF(AND($E9=1,LL9=0),1000,0),MIN(TX9,20)*400+(IF('calcA'!BX$106=1,1-FV9,0)+IF('calcA'!BY$106=1,1-FX9,0))*150+24+'calcA'!BY$5*100000+IF(AND($E9=1,LL9=0),50000,0))+IF($H9=1,INDEX('calcA'!$D$180:$EQ$219,$B9,74)*4000,0)-IF(AND('calcA'!BX$117=1,WV9&gt;0),2000,0)-IF(AND($U9=1,'calcA'!BY$117=1,FX9=0),2000,0))),1000000000))</f>
        <v/>
      </c>
      <c r="RB9">
        <f>IF($B9=0,1000000000,IF(INDEX('calcA'!$D$60:$EQ$99,$B9,75)*IF($W9=1,FX9+ACM9,FX9)=1,IF(AND($E9=2,IF($W9=1,AIB9,LM9)=0),1000000000,IF($V9=1,INDEX('calcA'!$D$130:$EQ$169,$B9,75)+IF(AND($E9=1,LM9=0),25,0),IF($F9&gt;0,INDEX('calcA'!BZ$110:BZ$114,$F9+1)+IF(AND($E9=1,LM9=0),1000,0),MIN(TX9,20)*400+(IF('calcA'!BY$106=1,1-FW9,0)+IF('calcA'!BZ$106=1,1-FY9,0))*150+34+'calcA'!BZ$5*100000+IF(AND($E9=1,LM9=0),50000,0))+IF($H9=1,INDEX('calcA'!$D$180:$EQ$219,$B9,75)*4000,0)-IF(AND('calcA'!BY$117=1,WW9&gt;0),2000,0)-IF(AND($U9=1,'calcA'!BZ$117=1,FY9=0),2000,0))),1000000000))</f>
        <v/>
      </c>
      <c r="RC9">
        <f>IF($B9=0,1000000000,IF(INDEX('calcA'!$D$60:$EQ$99,$B9,76)*IF($W9=1,FY9+ACN9,FY9)=1,IF(AND($E9=2,IF($W9=1,AIC9,LN9)=0),1000000000,IF($V9=1,INDEX('calcA'!$D$130:$EQ$169,$B9,76)+IF(AND($E9=1,LN9=0),25,0),IF($F9&gt;0,INDEX('calcA'!CA$110:CA$114,$F9+1)+IF(AND($E9=1,LN9=0),1000,0),MIN(TX9,20)*400+(IF('calcA'!BZ$106=1,1-FX9,0)+IF('calcA'!CA$106=1,1-FZ9,0))*150+44+'calcA'!CA$5*100000+IF(AND($E9=1,LN9=0),50000,0))+IF($H9=1,INDEX('calcA'!$D$180:$EQ$219,$B9,76)*4000,0)-IF(AND('calcA'!BZ$117=1,WX9&gt;0),2000,0)-IF(AND($U9=1,'calcA'!CA$117=1,FZ9=0),2000,0))),1000000000))</f>
        <v/>
      </c>
      <c r="RD9">
        <f>IF($B9=0,1000000000,IF(INDEX('calcA'!$D$60:$EQ$99,$B9,77)*IF($W9=1,FZ9+ACO9,FZ9)=1,IF(AND($E9=2,IF($W9=1,AID9,LO9)=0),1000000000,IF($V9=1,INDEX('calcA'!$D$130:$EQ$169,$B9,77)+IF(AND($E9=1,LO9=0),25,0),IF($F9&gt;0,INDEX('calcA'!CB$110:CB$114,$F9+1)+IF(AND($E9=1,LO9=0),1000,0),MIN(TX9,20)*400+(IF('calcA'!CA$106=1,1-FY9,0)+IF('calcA'!CB$106=1,1-GA9,0))*150+54+'calcA'!CB$5*100000+IF(AND($E9=1,LO9=0),50000,0))+IF($H9=1,INDEX('calcA'!$D$180:$EQ$219,$B9,77)*4000,0)-IF(AND('calcA'!CA$117=1,WY9&gt;0),2000,0)-IF(AND($U9=1,'calcA'!CB$117=1,GA9=0),2000,0))),1000000000))</f>
        <v/>
      </c>
      <c r="RE9">
        <f>IF($B9=0,1000000000,IF(INDEX('calcA'!$D$60:$EQ$99,$B9,78)*IF($W9=1,GA9+ACP9,GA9)=1,IF(AND($E9=2,IF($W9=1,AIE9,LP9)=0),1000000000,IF($V9=1,INDEX('calcA'!$D$130:$EQ$169,$B9,78)+IF(AND($E9=1,LP9=0),25,0),IF($F9&gt;0,INDEX('calcA'!CC$110:CC$114,$F9+1)+IF(AND($E9=1,LP9=0),1000,0),MIN(TX9,20)*400+(IF('calcA'!CB$106=1,1-FZ9,0)+IF('calcA'!CC$106=1,1-GB9,0))*150+64+'calcA'!CC$5*100000+IF(AND($E9=1,LP9=0),50000,0))+IF($H9=1,INDEX('calcA'!$D$180:$EQ$219,$B9,78)*4000,0)-IF(AND('calcA'!CB$117=1,WZ9&gt;0),2000,0)-IF(AND($U9=1,'calcA'!CC$117=1,GB9=0),2000,0))),1000000000))</f>
        <v/>
      </c>
      <c r="RF9">
        <f>IF($B9=0,1000000000,IF(INDEX('calcA'!$D$60:$EQ$99,$B9,79)*IF($W9=1,GB9+ACQ9,GB9)=1,IF(AND($E9=2,IF($W9=1,AIF9,LQ9)=0),1000000000,IF($V9=1,INDEX('calcA'!$D$130:$EQ$169,$B9,79)+IF(AND($E9=1,LQ9=0),25,0),IF($F9&gt;0,INDEX('calcA'!CD$110:CD$114,$F9+1)+IF(AND($E9=1,LQ9=0),1000,0),MIN(TX9,20)*400+(IF('calcA'!CC$106=1,1-GA9,0)+IF('calcA'!CD$106=1,1-GC9,0))*150+74+'calcA'!CD$5*100000+IF(AND($E9=1,LQ9=0),50000,0))+IF($H9=1,INDEX('calcA'!$D$180:$EQ$219,$B9,79)*4000,0)-IF(AND('calcA'!CC$117=1,XA9&gt;0),2000,0)-IF(AND($U9=1,'calcA'!CD$117=1,GC9=0),2000,0))),1000000000))</f>
        <v/>
      </c>
      <c r="RG9">
        <f>IF($B9=0,1000000000,IF(INDEX('calcA'!$D$60:$EQ$99,$B9,80)*IF($W9=1,GC9+ACR9,GC9)=1,IF(AND($E9=2,IF($W9=1,AIG9,LR9)=0),1000000000,IF($V9=1,INDEX('calcA'!$D$130:$EQ$169,$B9,80)+IF(AND($E9=1,LR9=0),25,0),IF($F9&gt;0,INDEX('calcA'!CE$110:CE$114,$F9+1)+IF(AND($E9=1,LR9=0),1000,0),MIN(TX9,20)*400+(IF('calcA'!CD$106=1,1-GB9,0)+IF('calcA'!CE$106=1,1-GD9,0))*150+84+'calcA'!CE$5*100000+IF(AND($E9=1,LR9=0),50000,0))+IF($H9=1,INDEX('calcA'!$D$180:$EQ$219,$B9,80)*4000,0)-IF(AND('calcA'!CD$117=1,XB9&gt;0),2000,0)-IF(AND($U9=1,'calcA'!CE$117=1,GD9=0),2000,0))),1000000000))</f>
        <v/>
      </c>
      <c r="RH9">
        <f>IF($B9=0,1000000000,IF(INDEX('calcA'!$D$60:$EQ$99,$B9,81)*IF($W9=1,GD9+ACS9,GD9)=1,IF(AND($E9=2,IF($W9=1,AIH9,LS9)=0),1000000000,IF($V9=1,INDEX('calcA'!$D$130:$EQ$169,$B9,81)+IF(AND($E9=1,LS9=0),25,0),IF($F9&gt;0,INDEX('calcA'!CF$110:CF$114,$F9+1)+IF(AND($E9=1,LS9=0),1000,0),MIN(TX9,20)*400+(IF('calcA'!CE$106=1,1-GC9,0)+IF('calcA'!CF$106=1,1-GE9,0))*150+94+'calcA'!CF$5*100000+IF(AND($E9=1,LS9=0),50000,0))+IF($H9=1,INDEX('calcA'!$D$180:$EQ$219,$B9,81)*4000,0)-IF(AND('calcA'!CE$117=1,XC9&gt;0),2000,0)-IF(AND($U9=1,'calcA'!CF$117=1,GE9=0),2000,0))),1000000000))</f>
        <v/>
      </c>
      <c r="RI9">
        <f>IF($B9=0,1000000000,IF(INDEX('calcA'!$D$60:$EQ$99,$B9,82)*IF($W9=1,GE9+ACT9,GE9)=1,IF(AND($E9=2,IF($W9=1,AII9,LT9)=0),1000000000,IF($V9=1,INDEX('calcA'!$D$130:$EQ$169,$B9,82)+IF(AND($E9=1,LT9=0),25,0),IF($F9&gt;0,INDEX('calcA'!CG$110:CG$114,$F9+1)+IF(AND($E9=1,LT9=0),1000,0),MIN(TX9,20)*400+(IF('calcA'!CF$106=1,1-GD9,0)+IF('calcA'!CG$106=1,1-GF9,0))*150+104+'calcA'!CG$5*100000+IF(AND($E9=1,LT9=0),50000,0))+IF($H9=1,INDEX('calcA'!$D$180:$EQ$219,$B9,82)*4000,0)-IF(AND('calcA'!CF$117=1,XD9&gt;0),2000,0)-IF(AND($U9=1,'calcA'!CG$117=1,GF9=0),2000,0))),1000000000))</f>
        <v/>
      </c>
      <c r="RJ9">
        <f>IF($B9=0,1000000000,IF(INDEX('calcA'!$D$60:$EQ$99,$B9,83)*IF($W9=1,GF9+ACU9,GF9)=1,IF(AND($E9=2,IF($W9=1,AIJ9,LU9)=0),1000000000,IF($V9=1,INDEX('calcA'!$D$130:$EQ$169,$B9,83)+IF(AND($E9=1,LU9=0),25,0),IF($F9&gt;0,INDEX('calcA'!CH$110:CH$114,$F9+1)+IF(AND($E9=1,LU9=0),1000,0),MIN(TX9,20)*400+(IF('calcA'!CG$106=1,1-GE9,0)+IF('calcA'!CH$106=1,1-GG9,0))*150+114+'calcA'!CH$5*100000+IF(AND($E9=1,LU9=0),50000,0))+IF($H9=1,INDEX('calcA'!$D$180:$EQ$219,$B9,83)*4000,0)-IF(AND('calcA'!CG$117=1,XE9&gt;0),2000,0)-IF(AND($U9=1,'calcA'!CH$117=1,GG9=0),2000,0))),1000000000))</f>
        <v/>
      </c>
      <c r="RK9">
        <f>IF($B9=0,1000000000,IF(INDEX('calcA'!$D$60:$EQ$99,$B9,84)*IF($W9=1,GG9+ACV9,GG9)=1,IF(AND($E9=2,IF($W9=1,AIK9,LV9)=0),1000000000,IF($V9=1,INDEX('calcA'!$D$130:$EQ$169,$B9,84)+IF(AND($E9=1,LV9=0),25,0),IF($F9&gt;0,INDEX('calcA'!CI$110:CI$114,$F9+1)+IF(AND($E9=1,LV9=0),1000,0),MIN(TX9,20)*400+(IF('calcA'!CH$106=1,1-GF9,0)+IF('calcA'!CI$106=1,1-GH9,0))*150+124+'calcA'!CI$5*100000+IF(AND($E9=1,LV9=0),50000,0))+IF($H9=1,INDEX('calcA'!$D$180:$EQ$219,$B9,84)*4000,0)-IF(AND('calcA'!CH$117=1,XF9&gt;0),2000,0)-IF(AND($U9=1,'calcA'!CI$117=1,GH9=0),2000,0))),1000000000))</f>
        <v/>
      </c>
      <c r="RL9">
        <f>IF($B9=0,1000000000,IF(INDEX('calcA'!$D$60:$EQ$99,$B9,85)*IF($W9=1,GH9+ACW9,GH9)=1,IF(AND($E9=2,IF($W9=1,AIL9,LW9)=0),1000000000,IF($V9=1,INDEX('calcA'!$D$130:$EQ$169,$B9,85)+IF(AND($E9=1,LW9=0),25,0),IF($F9&gt;0,INDEX('calcA'!CJ$110:CJ$114,$F9+1)+IF(AND($E9=1,LW9=0),1000,0),MIN(TX9,20)*400+(IF('calcA'!CI$106=1,1-GG9,0)+IF('calcA'!CJ$106=1,1-GI9,0))*150+134+'calcA'!CJ$5*100000+IF(AND($E9=1,LW9=0),50000,0))+IF($H9=1,INDEX('calcA'!$D$180:$EQ$219,$B9,85)*4000,0)-IF(AND('calcA'!CI$117=1,XG9&gt;0),2000,0)-IF(AND($U9=1,'calcA'!CJ$117=1,GI9=0),2000,0))),1000000000))</f>
        <v/>
      </c>
      <c r="RM9">
        <f>IF($B9=0,1000000000,IF(INDEX('calcA'!$D$60:$EQ$99,$B9,86)*IF($W9=1,GI9+ACX9,GI9)=1,IF(AND($E9=2,IF($W9=1,AIM9,LX9)=0),1000000000,IF($V9=1,INDEX('calcA'!$D$130:$EQ$169,$B9,86)+IF(AND($E9=1,LX9=0),25,0),IF($F9&gt;0,INDEX('calcA'!CK$110:CK$114,$F9+1)+IF(AND($E9=1,LX9=0),1000,0),MIN(TX9,20)*400+(IF('calcA'!CJ$106=1,1-GH9,0)+IF('calcA'!CK$106=1,1-GJ9,0))*150+144+'calcA'!CK$5*100000+IF(AND($E9=1,LX9=0),50000,0))+IF($H9=1,INDEX('calcA'!$D$180:$EQ$219,$B9,86)*4000,0)-IF(AND('calcA'!CJ$117=1,XH9&gt;0),2000,0)-IF(AND($U9=1,'calcA'!CK$117=1,GJ9=0),2000,0))),1000000000))</f>
        <v/>
      </c>
      <c r="RN9">
        <f>IF($B9=0,1000000000,IF(INDEX('calcA'!$D$60:$EQ$99,$B9,87)*IF($W9=1,GJ9+ACY9,GJ9)=1,IF(AND($E9=2,IF($W9=1,AIN9,LY9)=0),1000000000,IF($V9=1,INDEX('calcA'!$D$130:$EQ$169,$B9,87)+IF(AND($E9=1,LY9=0),25,0),IF($F9&gt;0,INDEX('calcA'!CL$110:CL$114,$F9+1)+IF(AND($E9=1,LY9=0),1000,0),MIN(TX9,20)*400+(IF('calcA'!CK$106=1,1-GI9,0)+IF('calcA'!CL$106=1,1-GK9,0))*150+154+'calcA'!CL$5*100000+IF(AND($E9=1,LY9=0),50000,0))+IF($H9=1,INDEX('calcA'!$D$180:$EQ$219,$B9,87)*4000,0)-IF(AND('calcA'!CK$117=1,XI9&gt;0),2000,0)-IF(AND($U9=1,'calcA'!CL$117=1,GK9=0),2000,0))),1000000000))</f>
        <v/>
      </c>
      <c r="RO9">
        <f>IF($B9=0,1000000000,IF(INDEX('calcA'!$D$60:$EQ$99,$B9,88)*IF($W9=1,GK9+ACZ9,GK9)=1,IF(AND($E9=2,IF($W9=1,AIO9,LZ9)=0),1000000000,IF($V9=1,INDEX('calcA'!$D$130:$EQ$169,$B9,88)+IF(AND($E9=1,LZ9=0),25,0),IF($F9&gt;0,INDEX('calcA'!CM$110:CM$114,$F9+1)+IF(AND($E9=1,LZ9=0),1000,0),MIN(TX9,20)*400+(IF('calcA'!CL$106=1,1-GJ9,0)+IF('calcA'!CM$106=1,1-GL9,0))*150+164+'calcA'!CM$5*100000+IF(AND($E9=1,LZ9=0),50000,0))+IF($H9=1,INDEX('calcA'!$D$180:$EQ$219,$B9,88)*4000,0)-IF(AND('calcA'!CL$117=1,XJ9&gt;0),2000,0)-IF(AND($U9=1,'calcA'!CM$117=1,GL9=0),2000,0))),1000000000))</f>
        <v/>
      </c>
      <c r="RP9">
        <f>IF($B9=0,1000000000,IF(INDEX('calcA'!$D$60:$EQ$99,$B9,89)*IF($W9=1,GL9+ADA9,GL9)=1,IF(AND($E9=2,IF($W9=1,AIP9,MA9)=0),1000000000,IF($V9=1,INDEX('calcA'!$D$130:$EQ$169,$B9,89)+IF(AND($E9=1,MA9=0),25,0),IF($F9&gt;0,INDEX('calcA'!CN$110:CN$114,$F9+1)+IF(AND($E9=1,MA9=0),1000,0),MIN(TX9,20)*400+(IF('calcA'!CM$106=1,1-GK9,0)+IF('calcA'!CN$106=1,1-GM9,0))*150+174+'calcA'!CN$5*100000+IF(AND($E9=1,MA9=0),50000,0))+IF($H9=1,INDEX('calcA'!$D$180:$EQ$219,$B9,89)*4000,0)-IF(AND('calcA'!CM$117=1,XK9&gt;0),2000,0)-IF(AND($U9=1,'calcA'!CN$117=1,GM9=0),2000,0))),1000000000))</f>
        <v/>
      </c>
      <c r="RQ9">
        <f>IF($B9=0,1000000000,IF(INDEX('calcA'!$D$60:$EQ$99,$B9,90)*IF($W9=1,GM9+ADB9,GM9)=1,IF(AND($E9=2,IF($W9=1,AIQ9,MB9)=0),1000000000,IF($V9=1,INDEX('calcA'!$D$130:$EQ$169,$B9,90)+IF(AND($E9=1,MB9=0),25,0),IF($F9&gt;0,INDEX('calcA'!CO$110:CO$114,$F9+1)+IF(AND($E9=1,MB9=0),1000,0),MIN(TX9,20)*400+(IF('calcA'!CN$106=1,1-GL9,0)+IF('calcA'!CO$106=1,1-GN9,0))*150+184+'calcA'!CO$5*100000+IF(AND($E9=1,MB9=0),50000,0))+IF($H9=1,INDEX('calcA'!$D$180:$EQ$219,$B9,90)*4000,0)-IF(AND('calcA'!CN$117=1,XL9&gt;0),2000,0)-IF(AND($U9=1,'calcA'!CO$117=1,GN9=0),2000,0))),1000000000))</f>
        <v/>
      </c>
      <c r="RR9">
        <f>IF($B9=0,1000000000,IF(INDEX('calcA'!$D$60:$EQ$99,$B9,91)*IF($W9=1,GN9+ADC9,GN9)=1,IF(AND($E9=2,IF($W9=1,AIR9,MC9)=0),1000000000,IF($V9=1,INDEX('calcA'!$D$130:$EQ$169,$B9,91)+IF(AND($E9=1,MC9=0),25,0),IF($F9&gt;0,INDEX('calcA'!CP$110:CP$114,$F9+1)+IF(AND($E9=1,MC9=0),1000,0),MIN(TX9,20)*400+(IF('calcA'!CO$106=1,1-GM9,0)+IF('calcA'!CP$106=1,1-GO9,0))*150+194+'calcA'!CP$5*100000+IF(AND($E9=1,MC9=0),50000,0))+IF($H9=1,INDEX('calcA'!$D$180:$EQ$219,$B9,91)*4000,0)-IF(AND('calcA'!CO$117=1,XM9&gt;0),2000,0)-IF(AND($U9=1,'calcA'!CP$117=1,GO9=0),2000,0))),1000000000))</f>
        <v/>
      </c>
      <c r="RS9">
        <f>IF($B9=0,1000000000,IF(INDEX('calcA'!$D$60:$EQ$99,$B9,92)*IF($W9=1,GO9+ADD9,GO9)=1,IF(AND($E9=2,IF($W9=1,AIS9,MD9)=0),1000000000,IF($V9=1,INDEX('calcA'!$D$130:$EQ$169,$B9,92)+IF(AND($E9=1,MD9=0),25,0),IF($F9&gt;0,INDEX('calcA'!CQ$110:CQ$114,$F9+1)+IF(AND($E9=1,MD9=0),1000,0),MIN(TX9,20)*400+(IF('calcA'!CP$106=1,1-GN9,0)+IF('calcA'!CQ$106=1,1-GP9,0))*150+204+'calcA'!CQ$5*100000+IF(AND($E9=1,MD9=0),50000,0))+IF($H9=1,INDEX('calcA'!$D$180:$EQ$219,$B9,92)*4000,0)-IF(AND('calcA'!CP$117=1,XN9&gt;0),2000,0)-IF(AND($U9=1,'calcA'!CQ$117=1,GP9=0),2000,0))),1000000000))</f>
        <v/>
      </c>
      <c r="RT9">
        <f>IF($B9=0,1000000000,IF(INDEX('calcA'!$D$60:$EQ$99,$B9,93)*IF($W9=1,GP9+ADE9,GP9)=1,IF(AND($E9=2,IF($W9=1,AIT9,ME9)=0),1000000000,IF($V9=1,INDEX('calcA'!$D$130:$EQ$169,$B9,93)+IF(AND($E9=1,ME9=0),25,0),IF($F9&gt;0,INDEX('calcA'!CR$110:CR$114,$F9+1)+IF(AND($E9=1,ME9=0),1000,0),MIN(TX9,20)*400+(IF('calcA'!CQ$106=1,1-GO9,0)+IF('calcA'!CR$106=1,1-GQ9,0))*150+214+'calcA'!CR$5*100000+IF(AND($E9=1,ME9=0),50000,0))+IF($H9=1,INDEX('calcA'!$D$180:$EQ$219,$B9,93)*4000,0)-IF(AND('calcA'!CQ$117=1,XO9&gt;0),2000,0)-IF(AND($U9=1,'calcA'!CR$117=1,GQ9=0),2000,0))),1000000000))</f>
        <v/>
      </c>
      <c r="RU9">
        <f>IF($B9=0,1000000000,IF(INDEX('calcA'!$D$60:$EQ$99,$B9,94)*IF($W9=1,GQ9+ADF9,GQ9)=1,IF(AND($E9=2,IF($W9=1,AIU9,MF9)=0),1000000000,IF($V9=1,INDEX('calcA'!$D$130:$EQ$169,$B9,94)+IF(AND($E9=1,MF9=0),25,0),IF($F9&gt;0,INDEX('calcA'!CS$110:CS$114,$F9+1)+IF(AND($E9=1,MF9=0),1000,0),MIN(TX9,20)*400+(IF('calcA'!CR$106=1,1-GP9,0)+IF('calcA'!CS$106=1,1-GR9,0))*150+224+'calcA'!CS$5*100000+IF(AND($E9=1,MF9=0),50000,0))+IF($H9=1,INDEX('calcA'!$D$180:$EQ$219,$B9,94)*4000,0)-IF(AND('calcA'!CR$117=1,XP9&gt;0),2000,0)-IF(AND($U9=1,'calcA'!CS$117=1,GR9=0),2000,0))),1000000000))</f>
        <v/>
      </c>
      <c r="RV9">
        <f>IF($B9=0,1000000000,IF(INDEX('calcA'!$D$60:$EQ$99,$B9,95)*IF($W9=1,GR9+ADG9,GR9)=1,IF(AND($E9=2,IF($W9=1,AIV9,MG9)=0),1000000000,IF($V9=1,INDEX('calcA'!$D$130:$EQ$169,$B9,95)+IF(AND($E9=1,MG9=0),25,0),IF($F9&gt;0,INDEX('calcA'!CT$110:CT$114,$F9+1)+IF(AND($E9=1,MG9=0),1000,0),MIN(TX9,20)*400+(IF('calcA'!CS$106=1,1-GQ9,0)+IF('calcA'!CT$106=1,1-GS9,0))*150+234+'calcA'!CT$5*100000+IF(AND($E9=1,MG9=0),50000,0))+IF($H9=1,INDEX('calcA'!$D$180:$EQ$219,$B9,95)*4000,0)-IF(AND('calcA'!CS$117=1,XQ9&gt;0),2000,0)-IF(AND($U9=1,'calcA'!CT$117=1,GS9=0),2000,0))),1000000000))</f>
        <v/>
      </c>
      <c r="RW9">
        <f>IF($B9=0,1000000000,IF(INDEX('calcA'!$D$60:$EQ$99,$B9,96)*IF($W9=1,GS9+ADH9,GS9)=1,IF(AND($E9=2,IF($W9=1,AIW9,MH9)=0),1000000000,IF($V9=1,INDEX('calcA'!$D$130:$EQ$169,$B9,96)+IF(AND($E9=1,MH9=0),25,0),IF($F9&gt;0,INDEX('calcA'!CU$110:CU$114,$F9+1)+IF(AND($E9=1,MH9=0),1000,0),MIN(TX9,20)*400+(IF('calcA'!CT$106=1,1-GR9,0))*150+244+'calcA'!CU$5*100000+IF(AND($E9=1,MH9=0),50000,0))+IF($H9=1,INDEX('calcA'!$D$180:$EQ$219,$B9,96)*4000,0)-IF(AND('calcA'!CT$117=1,XR9&gt;0),2000,0))),1000000000))</f>
        <v/>
      </c>
      <c r="RX9">
        <f>IF($B9=0,1000000000,IF(INDEX('calcA'!$D$60:$EQ$99,$B9,97)*IF($W9=1,GT9+ADI9,GT9)=1,IF(AND($E9=2,IF($W9=1,AIX9,MI9)=0),1000000000,IF($V9=1,INDEX('calcA'!$D$130:$EQ$169,$B9,97)+IF(AND($E9=1,MI9=0),25,0),IF($F9&gt;0,INDEX('calcA'!CV$110:CV$114,$F9+1)+IF(AND($E9=1,MI9=0),1000,0),MIN(TY9,20)*400+(IF('calcA'!CV$106=1,1-GU9,0))*150+15+'calcA'!CV$5*100000+IF(AND($E9=1,MI9=0),50000,0))+IF($H9=1,INDEX('calcA'!$D$180:$EQ$219,$B9,97)*4000,0)-IF(AND($U9=1,'calcA'!CV$117=1,GU9=0),2000,0))),1000000000))</f>
        <v/>
      </c>
      <c r="RY9">
        <f>IF($B9=0,1000000000,IF(INDEX('calcA'!$D$60:$EQ$99,$B9,98)*IF($W9=1,GU9+ADJ9,GU9)=1,IF(AND($E9=2,IF($W9=1,AIY9,MJ9)=0),1000000000,IF($V9=1,INDEX('calcA'!$D$130:$EQ$169,$B9,98)+IF(AND($E9=1,MJ9=0),25,0),IF($F9&gt;0,INDEX('calcA'!CW$110:CW$114,$F9+1)+IF(AND($E9=1,MJ9=0),1000,0),MIN(TY9,20)*400+(IF('calcA'!CV$106=1,1-GT9,0)+IF('calcA'!CW$106=1,1-GV9,0))*150+25+'calcA'!CW$5*100000+IF(AND($E9=1,MJ9=0),50000,0))+IF($H9=1,INDEX('calcA'!$D$180:$EQ$219,$B9,98)*4000,0)-IF(AND('calcA'!CV$117=1,XT9&gt;0),2000,0)-IF(AND($U9=1,'calcA'!CW$117=1,GV9=0),2000,0))),1000000000))</f>
        <v/>
      </c>
      <c r="RZ9">
        <f>IF($B9=0,1000000000,IF(INDEX('calcA'!$D$60:$EQ$99,$B9,99)*IF($W9=1,GV9+ADK9,GV9)=1,IF(AND($E9=2,IF($W9=1,AIZ9,MK9)=0),1000000000,IF($V9=1,INDEX('calcA'!$D$130:$EQ$169,$B9,99)+IF(AND($E9=1,MK9=0),25,0),IF($F9&gt;0,INDEX('calcA'!CX$110:CX$114,$F9+1)+IF(AND($E9=1,MK9=0),1000,0),MIN(TY9,20)*400+(IF('calcA'!CW$106=1,1-GU9,0)+IF('calcA'!CX$106=1,1-GW9,0))*150+35+'calcA'!CX$5*100000+IF(AND($E9=1,MK9=0),50000,0))+IF($H9=1,INDEX('calcA'!$D$180:$EQ$219,$B9,99)*4000,0)-IF(AND('calcA'!CW$117=1,XU9&gt;0),2000,0)-IF(AND($U9=1,'calcA'!CX$117=1,GW9=0),2000,0))),1000000000))</f>
        <v/>
      </c>
      <c r="SA9">
        <f>IF($B9=0,1000000000,IF(INDEX('calcA'!$D$60:$EQ$99,$B9,100)*IF($W9=1,GW9+ADL9,GW9)=1,IF(AND($E9=2,IF($W9=1,AJA9,ML9)=0),1000000000,IF($V9=1,INDEX('calcA'!$D$130:$EQ$169,$B9,100)+IF(AND($E9=1,ML9=0),25,0),IF($F9&gt;0,INDEX('calcA'!CY$110:CY$114,$F9+1)+IF(AND($E9=1,ML9=0),1000,0),MIN(TY9,20)*400+(IF('calcA'!CX$106=1,1-GV9,0)+IF('calcA'!CY$106=1,1-GX9,0))*150+45+'calcA'!CY$5*100000+IF(AND($E9=1,ML9=0),50000,0))+IF($H9=1,INDEX('calcA'!$D$180:$EQ$219,$B9,100)*4000,0)-IF(AND('calcA'!CX$117=1,XV9&gt;0),2000,0)-IF(AND($U9=1,'calcA'!CY$117=1,GX9=0),2000,0))),1000000000))</f>
        <v/>
      </c>
      <c r="SB9">
        <f>IF($B9=0,1000000000,IF(INDEX('calcA'!$D$60:$EQ$99,$B9,101)*IF($W9=1,GX9+ADM9,GX9)=1,IF(AND($E9=2,IF($W9=1,AJB9,MM9)=0),1000000000,IF($V9=1,INDEX('calcA'!$D$130:$EQ$169,$B9,101)+IF(AND($E9=1,MM9=0),25,0),IF($F9&gt;0,INDEX('calcA'!CZ$110:CZ$114,$F9+1)+IF(AND($E9=1,MM9=0),1000,0),MIN(TY9,20)*400+(IF('calcA'!CY$106=1,1-GW9,0)+IF('calcA'!CZ$106=1,1-GY9,0))*150+55+'calcA'!CZ$5*100000+IF(AND($E9=1,MM9=0),50000,0))+IF($H9=1,INDEX('calcA'!$D$180:$EQ$219,$B9,101)*4000,0)-IF(AND('calcA'!CY$117=1,XW9&gt;0),2000,0)-IF(AND($U9=1,'calcA'!CZ$117=1,GY9=0),2000,0))),1000000000))</f>
        <v/>
      </c>
      <c r="SC9">
        <f>IF($B9=0,1000000000,IF(INDEX('calcA'!$D$60:$EQ$99,$B9,102)*IF($W9=1,GY9+ADN9,GY9)=1,IF(AND($E9=2,IF($W9=1,AJC9,MN9)=0),1000000000,IF($V9=1,INDEX('calcA'!$D$130:$EQ$169,$B9,102)+IF(AND($E9=1,MN9=0),25,0),IF($F9&gt;0,INDEX('calcA'!DA$110:DA$114,$F9+1)+IF(AND($E9=1,MN9=0),1000,0),MIN(TY9,20)*400+(IF('calcA'!CZ$106=1,1-GX9,0)+IF('calcA'!DA$106=1,1-GZ9,0))*150+65+'calcA'!DA$5*100000+IF(AND($E9=1,MN9=0),50000,0))+IF($H9=1,INDEX('calcA'!$D$180:$EQ$219,$B9,102)*4000,0)-IF(AND('calcA'!CZ$117=1,XX9&gt;0),2000,0)-IF(AND($U9=1,'calcA'!DA$117=1,GZ9=0),2000,0))),1000000000))</f>
        <v/>
      </c>
      <c r="SD9">
        <f>IF($B9=0,1000000000,IF(INDEX('calcA'!$D$60:$EQ$99,$B9,103)*IF($W9=1,GZ9+ADO9,GZ9)=1,IF(AND($E9=2,IF($W9=1,AJD9,MO9)=0),1000000000,IF($V9=1,INDEX('calcA'!$D$130:$EQ$169,$B9,103)+IF(AND($E9=1,MO9=0),25,0),IF($F9&gt;0,INDEX('calcA'!DB$110:DB$114,$F9+1)+IF(AND($E9=1,MO9=0),1000,0),MIN(TY9,20)*400+(IF('calcA'!DA$106=1,1-GY9,0)+IF('calcA'!DB$106=1,1-HA9,0))*150+75+'calcA'!DB$5*100000+IF(AND($E9=1,MO9=0),50000,0))+IF($H9=1,INDEX('calcA'!$D$180:$EQ$219,$B9,103)*4000,0)-IF(AND('calcA'!DA$117=1,XY9&gt;0),2000,0)-IF(AND($U9=1,'calcA'!DB$117=1,HA9=0),2000,0))),1000000000))</f>
        <v/>
      </c>
      <c r="SE9">
        <f>IF($B9=0,1000000000,IF(INDEX('calcA'!$D$60:$EQ$99,$B9,104)*IF($W9=1,HA9+ADP9,HA9)=1,IF(AND($E9=2,IF($W9=1,AJE9,MP9)=0),1000000000,IF($V9=1,INDEX('calcA'!$D$130:$EQ$169,$B9,104)+IF(AND($E9=1,MP9=0),25,0),IF($F9&gt;0,INDEX('calcA'!DC$110:DC$114,$F9+1)+IF(AND($E9=1,MP9=0),1000,0),MIN(TY9,20)*400+(IF('calcA'!DB$106=1,1-GZ9,0)+IF('calcA'!DC$106=1,1-HB9,0))*150+85+'calcA'!DC$5*100000+IF(AND($E9=1,MP9=0),50000,0))+IF($H9=1,INDEX('calcA'!$D$180:$EQ$219,$B9,104)*4000,0)-IF(AND('calcA'!DB$117=1,XZ9&gt;0),2000,0)-IF(AND($U9=1,'calcA'!DC$117=1,HB9=0),2000,0))),1000000000))</f>
        <v/>
      </c>
      <c r="SF9">
        <f>IF($B9=0,1000000000,IF(INDEX('calcA'!$D$60:$EQ$99,$B9,105)*IF($W9=1,HB9+ADQ9,HB9)=1,IF(AND($E9=2,IF($W9=1,AJF9,MQ9)=0),1000000000,IF($V9=1,INDEX('calcA'!$D$130:$EQ$169,$B9,105)+IF(AND($E9=1,MQ9=0),25,0),IF($F9&gt;0,INDEX('calcA'!DD$110:DD$114,$F9+1)+IF(AND($E9=1,MQ9=0),1000,0),MIN(TY9,20)*400+(IF('calcA'!DC$106=1,1-HA9,0)+IF('calcA'!DD$106=1,1-HC9,0))*150+95+'calcA'!DD$5*100000+IF(AND($E9=1,MQ9=0),50000,0))+IF($H9=1,INDEX('calcA'!$D$180:$EQ$219,$B9,105)*4000,0)-IF(AND('calcA'!DC$117=1,YA9&gt;0),2000,0)-IF(AND($U9=1,'calcA'!DD$117=1,HC9=0),2000,0))),1000000000))</f>
        <v/>
      </c>
      <c r="SG9">
        <f>IF($B9=0,1000000000,IF(INDEX('calcA'!$D$60:$EQ$99,$B9,106)*IF($W9=1,HC9+ADR9,HC9)=1,IF(AND($E9=2,IF($W9=1,AJG9,MR9)=0),1000000000,IF($V9=1,INDEX('calcA'!$D$130:$EQ$169,$B9,106)+IF(AND($E9=1,MR9=0),25,0),IF($F9&gt;0,INDEX('calcA'!DE$110:DE$114,$F9+1)+IF(AND($E9=1,MR9=0),1000,0),MIN(TY9,20)*400+(IF('calcA'!DD$106=1,1-HB9,0)+IF('calcA'!DE$106=1,1-HD9,0))*150+105+'calcA'!DE$5*100000+IF(AND($E9=1,MR9=0),50000,0))+IF($H9=1,INDEX('calcA'!$D$180:$EQ$219,$B9,106)*4000,0)-IF(AND('calcA'!DD$117=1,YB9&gt;0),2000,0)-IF(AND($U9=1,'calcA'!DE$117=1,HD9=0),2000,0))),1000000000))</f>
        <v/>
      </c>
      <c r="SH9">
        <f>IF($B9=0,1000000000,IF(INDEX('calcA'!$D$60:$EQ$99,$B9,107)*IF($W9=1,HD9+ADS9,HD9)=1,IF(AND($E9=2,IF($W9=1,AJH9,MS9)=0),1000000000,IF($V9=1,INDEX('calcA'!$D$130:$EQ$169,$B9,107)+IF(AND($E9=1,MS9=0),25,0),IF($F9&gt;0,INDEX('calcA'!DF$110:DF$114,$F9+1)+IF(AND($E9=1,MS9=0),1000,0),MIN(TY9,20)*400+(IF('calcA'!DE$106=1,1-HC9,0)+IF('calcA'!DF$106=1,1-HE9,0))*150+115+'calcA'!DF$5*100000+IF(AND($E9=1,MS9=0),50000,0))+IF($H9=1,INDEX('calcA'!$D$180:$EQ$219,$B9,107)*4000,0)-IF(AND('calcA'!DE$117=1,YC9&gt;0),2000,0)-IF(AND($U9=1,'calcA'!DF$117=1,HE9=0),2000,0))),1000000000))</f>
        <v/>
      </c>
      <c r="SI9">
        <f>IF($B9=0,1000000000,IF(INDEX('calcA'!$D$60:$EQ$99,$B9,108)*IF($W9=1,HE9+ADT9,HE9)=1,IF(AND($E9=2,IF($W9=1,AJI9,MT9)=0),1000000000,IF($V9=1,INDEX('calcA'!$D$130:$EQ$169,$B9,108)+IF(AND($E9=1,MT9=0),25,0),IF($F9&gt;0,INDEX('calcA'!DG$110:DG$114,$F9+1)+IF(AND($E9=1,MT9=0),1000,0),MIN(TY9,20)*400+(IF('calcA'!DF$106=1,1-HD9,0)+IF('calcA'!DG$106=1,1-HF9,0))*150+125+'calcA'!DG$5*100000+IF(AND($E9=1,MT9=0),50000,0))+IF($H9=1,INDEX('calcA'!$D$180:$EQ$219,$B9,108)*4000,0)-IF(AND('calcA'!DF$117=1,YD9&gt;0),2000,0)-IF(AND($U9=1,'calcA'!DG$117=1,HF9=0),2000,0))),1000000000))</f>
        <v/>
      </c>
      <c r="SJ9">
        <f>IF($B9=0,1000000000,IF(INDEX('calcA'!$D$60:$EQ$99,$B9,109)*IF($W9=1,HF9+ADU9,HF9)=1,IF(AND($E9=2,IF($W9=1,AJJ9,MU9)=0),1000000000,IF($V9=1,INDEX('calcA'!$D$130:$EQ$169,$B9,109)+IF(AND($E9=1,MU9=0),25,0),IF($F9&gt;0,INDEX('calcA'!DH$110:DH$114,$F9+1)+IF(AND($E9=1,MU9=0),1000,0),MIN(TY9,20)*400+(IF('calcA'!DG$106=1,1-HE9,0)+IF('calcA'!DH$106=1,1-HG9,0))*150+135+'calcA'!DH$5*100000+IF(AND($E9=1,MU9=0),50000,0))+IF($H9=1,INDEX('calcA'!$D$180:$EQ$219,$B9,109)*4000,0)-IF(AND('calcA'!DG$117=1,YE9&gt;0),2000,0)-IF(AND($U9=1,'calcA'!DH$117=1,HG9=0),2000,0))),1000000000))</f>
        <v/>
      </c>
      <c r="SK9">
        <f>IF($B9=0,1000000000,IF(INDEX('calcA'!$D$60:$EQ$99,$B9,110)*IF($W9=1,HG9+ADV9,HG9)=1,IF(AND($E9=2,IF($W9=1,AJK9,MV9)=0),1000000000,IF($V9=1,INDEX('calcA'!$D$130:$EQ$169,$B9,110)+IF(AND($E9=1,MV9=0),25,0),IF($F9&gt;0,INDEX('calcA'!DI$110:DI$114,$F9+1)+IF(AND($E9=1,MV9=0),1000,0),MIN(TY9,20)*400+(IF('calcA'!DH$106=1,1-HF9,0)+IF('calcA'!DI$106=1,1-HH9,0))*150+145+'calcA'!DI$5*100000+IF(AND($E9=1,MV9=0),50000,0))+IF($H9=1,INDEX('calcA'!$D$180:$EQ$219,$B9,110)*4000,0)-IF(AND('calcA'!DH$117=1,YF9&gt;0),2000,0)-IF(AND($U9=1,'calcA'!DI$117=1,HH9=0),2000,0))),1000000000))</f>
        <v/>
      </c>
      <c r="SL9">
        <f>IF($B9=0,1000000000,IF(INDEX('calcA'!$D$60:$EQ$99,$B9,111)*IF($W9=1,HH9+ADW9,HH9)=1,IF(AND($E9=2,IF($W9=1,AJL9,MW9)=0),1000000000,IF($V9=1,INDEX('calcA'!$D$130:$EQ$169,$B9,111)+IF(AND($E9=1,MW9=0),25,0),IF($F9&gt;0,INDEX('calcA'!DJ$110:DJ$114,$F9+1)+IF(AND($E9=1,MW9=0),1000,0),MIN(TY9,20)*400+(IF('calcA'!DI$106=1,1-HG9,0)+IF('calcA'!DJ$106=1,1-HI9,0))*150+155+'calcA'!DJ$5*100000+IF(AND($E9=1,MW9=0),50000,0))+IF($H9=1,INDEX('calcA'!$D$180:$EQ$219,$B9,111)*4000,0)-IF(AND('calcA'!DI$117=1,YG9&gt;0),2000,0)-IF(AND($U9=1,'calcA'!DJ$117=1,HI9=0),2000,0))),1000000000))</f>
        <v/>
      </c>
      <c r="SM9">
        <f>IF($B9=0,1000000000,IF(INDEX('calcA'!$D$60:$EQ$99,$B9,112)*IF($W9=1,HI9+ADX9,HI9)=1,IF(AND($E9=2,IF($W9=1,AJM9,MX9)=0),1000000000,IF($V9=1,INDEX('calcA'!$D$130:$EQ$169,$B9,112)+IF(AND($E9=1,MX9=0),25,0),IF($F9&gt;0,INDEX('calcA'!DK$110:DK$114,$F9+1)+IF(AND($E9=1,MX9=0),1000,0),MIN(TY9,20)*400+(IF('calcA'!DJ$106=1,1-HH9,0)+IF('calcA'!DK$106=1,1-HJ9,0))*150+165+'calcA'!DK$5*100000+IF(AND($E9=1,MX9=0),50000,0))+IF($H9=1,INDEX('calcA'!$D$180:$EQ$219,$B9,112)*4000,0)-IF(AND('calcA'!DJ$117=1,YH9&gt;0),2000,0)-IF(AND($U9=1,'calcA'!DK$117=1,HJ9=0),2000,0))),1000000000))</f>
        <v/>
      </c>
      <c r="SN9">
        <f>IF($B9=0,1000000000,IF(INDEX('calcA'!$D$60:$EQ$99,$B9,113)*IF($W9=1,HJ9+ADY9,HJ9)=1,IF(AND($E9=2,IF($W9=1,AJN9,MY9)=0),1000000000,IF($V9=1,INDEX('calcA'!$D$130:$EQ$169,$B9,113)+IF(AND($E9=1,MY9=0),25,0),IF($F9&gt;0,INDEX('calcA'!DL$110:DL$114,$F9+1)+IF(AND($E9=1,MY9=0),1000,0),MIN(TY9,20)*400+(IF('calcA'!DK$106=1,1-HI9,0)+IF('calcA'!DL$106=1,1-HK9,0))*150+175+'calcA'!DL$5*100000+IF(AND($E9=1,MY9=0),50000,0))+IF($H9=1,INDEX('calcA'!$D$180:$EQ$219,$B9,113)*4000,0)-IF(AND('calcA'!DK$117=1,YI9&gt;0),2000,0)-IF(AND($U9=1,'calcA'!DL$117=1,HK9=0),2000,0))),1000000000))</f>
        <v/>
      </c>
      <c r="SO9">
        <f>IF($B9=0,1000000000,IF(INDEX('calcA'!$D$60:$EQ$99,$B9,114)*IF($W9=1,HK9+ADZ9,HK9)=1,IF(AND($E9=2,IF($W9=1,AJO9,MZ9)=0),1000000000,IF($V9=1,INDEX('calcA'!$D$130:$EQ$169,$B9,114)+IF(AND($E9=1,MZ9=0),25,0),IF($F9&gt;0,INDEX('calcA'!DM$110:DM$114,$F9+1)+IF(AND($E9=1,MZ9=0),1000,0),MIN(TY9,20)*400+(IF('calcA'!DL$106=1,1-HJ9,0)+IF('calcA'!DM$106=1,1-HL9,0))*150+185+'calcA'!DM$5*100000+IF(AND($E9=1,MZ9=0),50000,0))+IF($H9=1,INDEX('calcA'!$D$180:$EQ$219,$B9,114)*4000,0)-IF(AND('calcA'!DL$117=1,YJ9&gt;0),2000,0)-IF(AND($U9=1,'calcA'!DM$117=1,HL9=0),2000,0))),1000000000))</f>
        <v/>
      </c>
      <c r="SP9">
        <f>IF($B9=0,1000000000,IF(INDEX('calcA'!$D$60:$EQ$99,$B9,115)*IF($W9=1,HL9+AEA9,HL9)=1,IF(AND($E9=2,IF($W9=1,AJP9,NA9)=0),1000000000,IF($V9=1,INDEX('calcA'!$D$130:$EQ$169,$B9,115)+IF(AND($E9=1,NA9=0),25,0),IF($F9&gt;0,INDEX('calcA'!DN$110:DN$114,$F9+1)+IF(AND($E9=1,NA9=0),1000,0),MIN(TY9,20)*400+(IF('calcA'!DM$106=1,1-HK9,0)+IF('calcA'!DN$106=1,1-HM9,0))*150+195+'calcA'!DN$5*100000+IF(AND($E9=1,NA9=0),50000,0))+IF($H9=1,INDEX('calcA'!$D$180:$EQ$219,$B9,115)*4000,0)-IF(AND('calcA'!DM$117=1,YK9&gt;0),2000,0)-IF(AND($U9=1,'calcA'!DN$117=1,HM9=0),2000,0))),1000000000))</f>
        <v/>
      </c>
      <c r="SQ9">
        <f>IF($B9=0,1000000000,IF(INDEX('calcA'!$D$60:$EQ$99,$B9,116)*IF($W9=1,HM9+AEB9,HM9)=1,IF(AND($E9=2,IF($W9=1,AJQ9,NB9)=0),1000000000,IF($V9=1,INDEX('calcA'!$D$130:$EQ$169,$B9,116)+IF(AND($E9=1,NB9=0),25,0),IF($F9&gt;0,INDEX('calcA'!DO$110:DO$114,$F9+1)+IF(AND($E9=1,NB9=0),1000,0),MIN(TY9,20)*400+(IF('calcA'!DN$106=1,1-HL9,0)+IF('calcA'!DO$106=1,1-HN9,0))*150+205+'calcA'!DO$5*100000+IF(AND($E9=1,NB9=0),50000,0))+IF($H9=1,INDEX('calcA'!$D$180:$EQ$219,$B9,116)*4000,0)-IF(AND('calcA'!DN$117=1,YL9&gt;0),2000,0)-IF(AND($U9=1,'calcA'!DO$117=1,HN9=0),2000,0))),1000000000))</f>
        <v/>
      </c>
      <c r="SR9">
        <f>IF($B9=0,1000000000,IF(INDEX('calcA'!$D$60:$EQ$99,$B9,117)*IF($W9=1,HN9+AEC9,HN9)=1,IF(AND($E9=2,IF($W9=1,AJR9,NC9)=0),1000000000,IF($V9=1,INDEX('calcA'!$D$130:$EQ$169,$B9,117)+IF(AND($E9=1,NC9=0),25,0),IF($F9&gt;0,INDEX('calcA'!DP$110:DP$114,$F9+1)+IF(AND($E9=1,NC9=0),1000,0),MIN(TY9,20)*400+(IF('calcA'!DO$106=1,1-HM9,0)+IF('calcA'!DP$106=1,1-HO9,0))*150+215+'calcA'!DP$5*100000+IF(AND($E9=1,NC9=0),50000,0))+IF($H9=1,INDEX('calcA'!$D$180:$EQ$219,$B9,117)*4000,0)-IF(AND('calcA'!DO$117=1,YM9&gt;0),2000,0)-IF(AND($U9=1,'calcA'!DP$117=1,HO9=0),2000,0))),1000000000))</f>
        <v/>
      </c>
      <c r="SS9">
        <f>IF($B9=0,1000000000,IF(INDEX('calcA'!$D$60:$EQ$99,$B9,118)*IF($W9=1,HO9+AED9,HO9)=1,IF(AND($E9=2,IF($W9=1,AJS9,ND9)=0),1000000000,IF($V9=1,INDEX('calcA'!$D$130:$EQ$169,$B9,118)+IF(AND($E9=1,ND9=0),25,0),IF($F9&gt;0,INDEX('calcA'!DQ$110:DQ$114,$F9+1)+IF(AND($E9=1,ND9=0),1000,0),MIN(TY9,20)*400+(IF('calcA'!DP$106=1,1-HN9,0)+IF('calcA'!DQ$106=1,1-HP9,0))*150+225+'calcA'!DQ$5*100000+IF(AND($E9=1,ND9=0),50000,0))+IF($H9=1,INDEX('calcA'!$D$180:$EQ$219,$B9,118)*4000,0)-IF(AND('calcA'!DP$117=1,YN9&gt;0),2000,0)-IF(AND($U9=1,'calcA'!DQ$117=1,HP9=0),2000,0))),1000000000))</f>
        <v/>
      </c>
      <c r="ST9">
        <f>IF($B9=0,1000000000,IF(INDEX('calcA'!$D$60:$EQ$99,$B9,119)*IF($W9=1,HP9+AEE9,HP9)=1,IF(AND($E9=2,IF($W9=1,AJT9,NE9)=0),1000000000,IF($V9=1,INDEX('calcA'!$D$130:$EQ$169,$B9,119)+IF(AND($E9=1,NE9=0),25,0),IF($F9&gt;0,INDEX('calcA'!DR$110:DR$114,$F9+1)+IF(AND($E9=1,NE9=0),1000,0),MIN(TY9,20)*400+(IF('calcA'!DQ$106=1,1-HO9,0)+IF('calcA'!DR$106=1,1-HQ9,0))*150+235+'calcA'!DR$5*100000+IF(AND($E9=1,NE9=0),50000,0))+IF($H9=1,INDEX('calcA'!$D$180:$EQ$219,$B9,119)*4000,0)-IF(AND('calcA'!DQ$117=1,YO9&gt;0),2000,0)-IF(AND($U9=1,'calcA'!DR$117=1,HQ9=0),2000,0))),1000000000))</f>
        <v/>
      </c>
      <c r="SU9">
        <f>IF($B9=0,1000000000,IF(INDEX('calcA'!$D$60:$EQ$99,$B9,120)*IF($W9=1,HQ9+AEF9,HQ9)=1,IF(AND($E9=2,IF($W9=1,AJU9,NF9)=0),1000000000,IF($V9=1,INDEX('calcA'!$D$130:$EQ$169,$B9,120)+IF(AND($E9=1,NF9=0),25,0),IF($F9&gt;0,INDEX('calcA'!DS$110:DS$114,$F9+1)+IF(AND($E9=1,NF9=0),1000,0),MIN(TY9,20)*400+(IF('calcA'!DR$106=1,1-HP9,0))*150+245+'calcA'!DS$5*100000+IF(AND($E9=1,NF9=0),50000,0))+IF($H9=1,INDEX('calcA'!$D$180:$EQ$219,$B9,120)*4000,0)-IF(AND('calcA'!DR$117=1,YP9&gt;0),2000,0))),1000000000))</f>
        <v/>
      </c>
      <c r="SV9">
        <f>IF($B9=0,1000000000,IF(INDEX('calcA'!$D$60:$EQ$99,$B9,121)*IF($W9=1,HR9+AEG9,HR9)=1,IF(AND($E9=2,IF($W9=1,AJV9,NG9)=0),1000000000,IF($V9=1,INDEX('calcA'!$D$130:$EQ$169,$B9,121)+IF(AND($E9=1,NG9=0),25,0),IF($F9&gt;0,INDEX('calcA'!DT$110:DT$114,$F9+1)+IF(AND($E9=1,NG9=0),1000,0),MIN(TZ9,20)*400+(IF('calcA'!DT$106=1,1-HS9,0))*150+16+'calcA'!DT$5*100000+IF(AND($E9=1,NG9=0),50000,0))+IF($H9=1,INDEX('calcA'!$D$180:$EQ$219,$B9,121)*4000,0)-IF(AND($U9=1,'calcA'!DT$117=1,HS9=0),2000,0))),1000000000))</f>
        <v/>
      </c>
      <c r="SW9">
        <f>IF($B9=0,1000000000,IF(INDEX('calcA'!$D$60:$EQ$99,$B9,122)*IF($W9=1,HS9+AEH9,HS9)=1,IF(AND($E9=2,IF($W9=1,AJW9,NH9)=0),1000000000,IF($V9=1,INDEX('calcA'!$D$130:$EQ$169,$B9,122)+IF(AND($E9=1,NH9=0),25,0),IF($F9&gt;0,INDEX('calcA'!DU$110:DU$114,$F9+1)+IF(AND($E9=1,NH9=0),1000,0),MIN(TZ9,20)*400+(IF('calcA'!DT$106=1,1-HR9,0)+IF('calcA'!DU$106=1,1-HT9,0))*150+26+'calcA'!DU$5*100000+IF(AND($E9=1,NH9=0),50000,0))+IF($H9=1,INDEX('calcA'!$D$180:$EQ$219,$B9,122)*4000,0)-IF(AND('calcA'!DT$117=1,YR9&gt;0),2000,0)-IF(AND($U9=1,'calcA'!DU$117=1,HT9=0),2000,0))),1000000000))</f>
        <v/>
      </c>
      <c r="SX9">
        <f>IF($B9=0,1000000000,IF(INDEX('calcA'!$D$60:$EQ$99,$B9,123)*IF($W9=1,HT9+AEI9,HT9)=1,IF(AND($E9=2,IF($W9=1,AJX9,NI9)=0),1000000000,IF($V9=1,INDEX('calcA'!$D$130:$EQ$169,$B9,123)+IF(AND($E9=1,NI9=0),25,0),IF($F9&gt;0,INDEX('calcA'!DV$110:DV$114,$F9+1)+IF(AND($E9=1,NI9=0),1000,0),MIN(TZ9,20)*400+(IF('calcA'!DU$106=1,1-HS9,0)+IF('calcA'!DV$106=1,1-HU9,0))*150+36+'calcA'!DV$5*100000+IF(AND($E9=1,NI9=0),50000,0))+IF($H9=1,INDEX('calcA'!$D$180:$EQ$219,$B9,123)*4000,0)-IF(AND('calcA'!DU$117=1,YS9&gt;0),2000,0)-IF(AND($U9=1,'calcA'!DV$117=1,HU9=0),2000,0))),1000000000))</f>
        <v/>
      </c>
      <c r="SY9">
        <f>IF($B9=0,1000000000,IF(INDEX('calcA'!$D$60:$EQ$99,$B9,124)*IF($W9=1,HU9+AEJ9,HU9)=1,IF(AND($E9=2,IF($W9=1,AJY9,NJ9)=0),1000000000,IF($V9=1,INDEX('calcA'!$D$130:$EQ$169,$B9,124)+IF(AND($E9=1,NJ9=0),25,0),IF($F9&gt;0,INDEX('calcA'!DW$110:DW$114,$F9+1)+IF(AND($E9=1,NJ9=0),1000,0),MIN(TZ9,20)*400+(IF('calcA'!DV$106=1,1-HT9,0)+IF('calcA'!DW$106=1,1-HV9,0))*150+46+'calcA'!DW$5*100000+IF(AND($E9=1,NJ9=0),50000,0))+IF($H9=1,INDEX('calcA'!$D$180:$EQ$219,$B9,124)*4000,0)-IF(AND('calcA'!DV$117=1,YT9&gt;0),2000,0)-IF(AND($U9=1,'calcA'!DW$117=1,HV9=0),2000,0))),1000000000))</f>
        <v/>
      </c>
      <c r="SZ9">
        <f>IF($B9=0,1000000000,IF(INDEX('calcA'!$D$60:$EQ$99,$B9,125)*IF($W9=1,HV9+AEK9,HV9)=1,IF(AND($E9=2,IF($W9=1,AJZ9,NK9)=0),1000000000,IF($V9=1,INDEX('calcA'!$D$130:$EQ$169,$B9,125)+IF(AND($E9=1,NK9=0),25,0),IF($F9&gt;0,INDEX('calcA'!DX$110:DX$114,$F9+1)+IF(AND($E9=1,NK9=0),1000,0),MIN(TZ9,20)*400+(IF('calcA'!DW$106=1,1-HU9,0)+IF('calcA'!DX$106=1,1-HW9,0))*150+56+'calcA'!DX$5*100000+IF(AND($E9=1,NK9=0),50000,0))+IF($H9=1,INDEX('calcA'!$D$180:$EQ$219,$B9,125)*4000,0)-IF(AND('calcA'!DW$117=1,YU9&gt;0),2000,0)-IF(AND($U9=1,'calcA'!DX$117=1,HW9=0),2000,0))),1000000000))</f>
        <v/>
      </c>
      <c r="TA9">
        <f>IF($B9=0,1000000000,IF(INDEX('calcA'!$D$60:$EQ$99,$B9,126)*IF($W9=1,HW9+AEL9,HW9)=1,IF(AND($E9=2,IF($W9=1,AKA9,NL9)=0),1000000000,IF($V9=1,INDEX('calcA'!$D$130:$EQ$169,$B9,126)+IF(AND($E9=1,NL9=0),25,0),IF($F9&gt;0,INDEX('calcA'!DY$110:DY$114,$F9+1)+IF(AND($E9=1,NL9=0),1000,0),MIN(TZ9,20)*400+(IF('calcA'!DX$106=1,1-HV9,0)+IF('calcA'!DY$106=1,1-HX9,0))*150+66+'calcA'!DY$5*100000+IF(AND($E9=1,NL9=0),50000,0))+IF($H9=1,INDEX('calcA'!$D$180:$EQ$219,$B9,126)*4000,0)-IF(AND('calcA'!DX$117=1,YV9&gt;0),2000,0)-IF(AND($U9=1,'calcA'!DY$117=1,HX9=0),2000,0))),1000000000))</f>
        <v/>
      </c>
      <c r="TB9">
        <f>IF($B9=0,1000000000,IF(INDEX('calcA'!$D$60:$EQ$99,$B9,127)*IF($W9=1,HX9+AEM9,HX9)=1,IF(AND($E9=2,IF($W9=1,AKB9,NM9)=0),1000000000,IF($V9=1,INDEX('calcA'!$D$130:$EQ$169,$B9,127)+IF(AND($E9=1,NM9=0),25,0),IF($F9&gt;0,INDEX('calcA'!DZ$110:DZ$114,$F9+1)+IF(AND($E9=1,NM9=0),1000,0),MIN(TZ9,20)*400+(IF('calcA'!DY$106=1,1-HW9,0)+IF('calcA'!DZ$106=1,1-HY9,0))*150+76+'calcA'!DZ$5*100000+IF(AND($E9=1,NM9=0),50000,0))+IF($H9=1,INDEX('calcA'!$D$180:$EQ$219,$B9,127)*4000,0)-IF(AND('calcA'!DY$117=1,YW9&gt;0),2000,0)-IF(AND($U9=1,'calcA'!DZ$117=1,HY9=0),2000,0))),1000000000))</f>
        <v/>
      </c>
      <c r="TC9">
        <f>IF($B9=0,1000000000,IF(INDEX('calcA'!$D$60:$EQ$99,$B9,128)*IF($W9=1,HY9+AEN9,HY9)=1,IF(AND($E9=2,IF($W9=1,AKC9,NN9)=0),1000000000,IF($V9=1,INDEX('calcA'!$D$130:$EQ$169,$B9,128)+IF(AND($E9=1,NN9=0),25,0),IF($F9&gt;0,INDEX('calcA'!EA$110:EA$114,$F9+1)+IF(AND($E9=1,NN9=0),1000,0),MIN(TZ9,20)*400+(IF('calcA'!DZ$106=1,1-HX9,0)+IF('calcA'!EA$106=1,1-HZ9,0))*150+86+'calcA'!EA$5*100000+IF(AND($E9=1,NN9=0),50000,0))+IF($H9=1,INDEX('calcA'!$D$180:$EQ$219,$B9,128)*4000,0)-IF(AND('calcA'!DZ$117=1,YX9&gt;0),2000,0)-IF(AND($U9=1,'calcA'!EA$117=1,HZ9=0),2000,0))),1000000000))</f>
        <v/>
      </c>
      <c r="TD9">
        <f>IF($B9=0,1000000000,IF(INDEX('calcA'!$D$60:$EQ$99,$B9,129)*IF($W9=1,HZ9+AEO9,HZ9)=1,IF(AND($E9=2,IF($W9=1,AKD9,NO9)=0),1000000000,IF($V9=1,INDEX('calcA'!$D$130:$EQ$169,$B9,129)+IF(AND($E9=1,NO9=0),25,0),IF($F9&gt;0,INDEX('calcA'!EB$110:EB$114,$F9+1)+IF(AND($E9=1,NO9=0),1000,0),MIN(TZ9,20)*400+(IF('calcA'!EA$106=1,1-HY9,0)+IF('calcA'!EB$106=1,1-IA9,0))*150+96+'calcA'!EB$5*100000+IF(AND($E9=1,NO9=0),50000,0))+IF($H9=1,INDEX('calcA'!$D$180:$EQ$219,$B9,129)*4000,0)-IF(AND('calcA'!EA$117=1,YY9&gt;0),2000,0)-IF(AND($U9=1,'calcA'!EB$117=1,IA9=0),2000,0))),1000000000))</f>
        <v/>
      </c>
      <c r="TE9">
        <f>IF($B9=0,1000000000,IF(INDEX('calcA'!$D$60:$EQ$99,$B9,130)*IF($W9=1,IA9+AEP9,IA9)=1,IF(AND($E9=2,IF($W9=1,AKE9,NP9)=0),1000000000,IF($V9=1,INDEX('calcA'!$D$130:$EQ$169,$B9,130)+IF(AND($E9=1,NP9=0),25,0),IF($F9&gt;0,INDEX('calcA'!EC$110:EC$114,$F9+1)+IF(AND($E9=1,NP9=0),1000,0),MIN(TZ9,20)*400+(IF('calcA'!EB$106=1,1-HZ9,0)+IF('calcA'!EC$106=1,1-IB9,0))*150+106+'calcA'!EC$5*100000+IF(AND($E9=1,NP9=0),50000,0))+IF($H9=1,INDEX('calcA'!$D$180:$EQ$219,$B9,130)*4000,0)-IF(AND('calcA'!EB$117=1,YZ9&gt;0),2000,0)-IF(AND($U9=1,'calcA'!EC$117=1,IB9=0),2000,0))),1000000000))</f>
        <v/>
      </c>
      <c r="TF9">
        <f>IF($B9=0,1000000000,IF(INDEX('calcA'!$D$60:$EQ$99,$B9,131)*IF($W9=1,IB9+AEQ9,IB9)=1,IF(AND($E9=2,IF($W9=1,AKF9,NQ9)=0),1000000000,IF($V9=1,INDEX('calcA'!$D$130:$EQ$169,$B9,131)+IF(AND($E9=1,NQ9=0),25,0),IF($F9&gt;0,INDEX('calcA'!ED$110:ED$114,$F9+1)+IF(AND($E9=1,NQ9=0),1000,0),MIN(TZ9,20)*400+(IF('calcA'!EC$106=1,1-IA9,0)+IF('calcA'!ED$106=1,1-IC9,0))*150+116+'calcA'!ED$5*100000+IF(AND($E9=1,NQ9=0),50000,0))+IF($H9=1,INDEX('calcA'!$D$180:$EQ$219,$B9,131)*4000,0)-IF(AND('calcA'!EC$117=1,ZA9&gt;0),2000,0)-IF(AND($U9=1,'calcA'!ED$117=1,IC9=0),2000,0))),1000000000))</f>
        <v/>
      </c>
      <c r="TG9">
        <f>IF($B9=0,1000000000,IF(INDEX('calcA'!$D$60:$EQ$99,$B9,132)*IF($W9=1,IC9+AER9,IC9)=1,IF(AND($E9=2,IF($W9=1,AKG9,NR9)=0),1000000000,IF($V9=1,INDEX('calcA'!$D$130:$EQ$169,$B9,132)+IF(AND($E9=1,NR9=0),25,0),IF($F9&gt;0,INDEX('calcA'!EE$110:EE$114,$F9+1)+IF(AND($E9=1,NR9=0),1000,0),MIN(TZ9,20)*400+(IF('calcA'!ED$106=1,1-IB9,0)+IF('calcA'!EE$106=1,1-ID9,0))*150+126+'calcA'!EE$5*100000+IF(AND($E9=1,NR9=0),50000,0))+IF($H9=1,INDEX('calcA'!$D$180:$EQ$219,$B9,132)*4000,0)-IF(AND('calcA'!ED$117=1,ZB9&gt;0),2000,0)-IF(AND($U9=1,'calcA'!EE$117=1,ID9=0),2000,0))),1000000000))</f>
        <v/>
      </c>
      <c r="TH9">
        <f>IF($B9=0,1000000000,IF(INDEX('calcA'!$D$60:$EQ$99,$B9,133)*IF($W9=1,ID9+AES9,ID9)=1,IF(AND($E9=2,IF($W9=1,AKH9,NS9)=0),1000000000,IF($V9=1,INDEX('calcA'!$D$130:$EQ$169,$B9,133)+IF(AND($E9=1,NS9=0),25,0),IF($F9&gt;0,INDEX('calcA'!EF$110:EF$114,$F9+1)+IF(AND($E9=1,NS9=0),1000,0),MIN(TZ9,20)*400+(IF('calcA'!EE$106=1,1-IC9,0)+IF('calcA'!EF$106=1,1-IE9,0))*150+136+'calcA'!EF$5*100000+IF(AND($E9=1,NS9=0),50000,0))+IF($H9=1,INDEX('calcA'!$D$180:$EQ$219,$B9,133)*4000,0)-IF(AND('calcA'!EE$117=1,ZC9&gt;0),2000,0)-IF(AND($U9=1,'calcA'!EF$117=1,IE9=0),2000,0))),1000000000))</f>
        <v/>
      </c>
      <c r="TI9">
        <f>IF($B9=0,1000000000,IF(INDEX('calcA'!$D$60:$EQ$99,$B9,134)*IF($W9=1,IE9+AET9,IE9)=1,IF(AND($E9=2,IF($W9=1,AKI9,NT9)=0),1000000000,IF($V9=1,INDEX('calcA'!$D$130:$EQ$169,$B9,134)+IF(AND($E9=1,NT9=0),25,0),IF($F9&gt;0,INDEX('calcA'!EG$110:EG$114,$F9+1)+IF(AND($E9=1,NT9=0),1000,0),MIN(TZ9,20)*400+(IF('calcA'!EF$106=1,1-ID9,0)+IF('calcA'!EG$106=1,1-IF9,0))*150+146+'calcA'!EG$5*100000+IF(AND($E9=1,NT9=0),50000,0))+IF($H9=1,INDEX('calcA'!$D$180:$EQ$219,$B9,134)*4000,0)-IF(AND('calcA'!EF$117=1,ZD9&gt;0),2000,0)-IF(AND($U9=1,'calcA'!EG$117=1,IF9=0),2000,0))),1000000000))</f>
        <v/>
      </c>
      <c r="TJ9">
        <f>IF($B9=0,1000000000,IF(INDEX('calcA'!$D$60:$EQ$99,$B9,135)*IF($W9=1,IF9+AEU9,IF9)=1,IF(AND($E9=2,IF($W9=1,AKJ9,NU9)=0),1000000000,IF($V9=1,INDEX('calcA'!$D$130:$EQ$169,$B9,135)+IF(AND($E9=1,NU9=0),25,0),IF($F9&gt;0,INDEX('calcA'!EH$110:EH$114,$F9+1)+IF(AND($E9=1,NU9=0),1000,0),MIN(TZ9,20)*400+(IF('calcA'!EG$106=1,1-IE9,0)+IF('calcA'!EH$106=1,1-IG9,0))*150+156+'calcA'!EH$5*100000+IF(AND($E9=1,NU9=0),50000,0))+IF($H9=1,INDEX('calcA'!$D$180:$EQ$219,$B9,135)*4000,0)-IF(AND('calcA'!EG$117=1,ZE9&gt;0),2000,0)-IF(AND($U9=1,'calcA'!EH$117=1,IG9=0),2000,0))),1000000000))</f>
        <v/>
      </c>
      <c r="TK9">
        <f>IF($B9=0,1000000000,IF(INDEX('calcA'!$D$60:$EQ$99,$B9,136)*IF($W9=1,IG9+AEV9,IG9)=1,IF(AND($E9=2,IF($W9=1,AKK9,NV9)=0),1000000000,IF($V9=1,INDEX('calcA'!$D$130:$EQ$169,$B9,136)+IF(AND($E9=1,NV9=0),25,0),IF($F9&gt;0,INDEX('calcA'!EI$110:EI$114,$F9+1)+IF(AND($E9=1,NV9=0),1000,0),MIN(TZ9,20)*400+(IF('calcA'!EH$106=1,1-IF9,0)+IF('calcA'!EI$106=1,1-IH9,0))*150+166+'calcA'!EI$5*100000+IF(AND($E9=1,NV9=0),50000,0))+IF($H9=1,INDEX('calcA'!$D$180:$EQ$219,$B9,136)*4000,0)-IF(AND('calcA'!EH$117=1,ZF9&gt;0),2000,0)-IF(AND($U9=1,'calcA'!EI$117=1,IH9=0),2000,0))),1000000000))</f>
        <v/>
      </c>
      <c r="TL9">
        <f>IF($B9=0,1000000000,IF(INDEX('calcA'!$D$60:$EQ$99,$B9,137)*IF($W9=1,IH9+AEW9,IH9)=1,IF(AND($E9=2,IF($W9=1,AKL9,NW9)=0),1000000000,IF($V9=1,INDEX('calcA'!$D$130:$EQ$169,$B9,137)+IF(AND($E9=1,NW9=0),25,0),IF($F9&gt;0,INDEX('calcA'!EJ$110:EJ$114,$F9+1)+IF(AND($E9=1,NW9=0),1000,0),MIN(TZ9,20)*400+(IF('calcA'!EI$106=1,1-IG9,0)+IF('calcA'!EJ$106=1,1-II9,0))*150+176+'calcA'!EJ$5*100000+IF(AND($E9=1,NW9=0),50000,0))+IF($H9=1,INDEX('calcA'!$D$180:$EQ$219,$B9,137)*4000,0)-IF(AND('calcA'!EI$117=1,ZG9&gt;0),2000,0)-IF(AND($U9=1,'calcA'!EJ$117=1,II9=0),2000,0))),1000000000))</f>
        <v/>
      </c>
      <c r="TM9">
        <f>IF($B9=0,1000000000,IF(INDEX('calcA'!$D$60:$EQ$99,$B9,138)*IF($W9=1,II9+AEX9,II9)=1,IF(AND($E9=2,IF($W9=1,AKM9,NX9)=0),1000000000,IF($V9=1,INDEX('calcA'!$D$130:$EQ$169,$B9,138)+IF(AND($E9=1,NX9=0),25,0),IF($F9&gt;0,INDEX('calcA'!EK$110:EK$114,$F9+1)+IF(AND($E9=1,NX9=0),1000,0),MIN(TZ9,20)*400+(IF('calcA'!EJ$106=1,1-IH9,0)+IF('calcA'!EK$106=1,1-IJ9,0))*150+186+'calcA'!EK$5*100000+IF(AND($E9=1,NX9=0),50000,0))+IF($H9=1,INDEX('calcA'!$D$180:$EQ$219,$B9,138)*4000,0)-IF(AND('calcA'!EJ$117=1,ZH9&gt;0),2000,0)-IF(AND($U9=1,'calcA'!EK$117=1,IJ9=0),2000,0))),1000000000))</f>
        <v/>
      </c>
      <c r="TN9">
        <f>IF($B9=0,1000000000,IF(INDEX('calcA'!$D$60:$EQ$99,$B9,139)*IF($W9=1,IJ9+AEY9,IJ9)=1,IF(AND($E9=2,IF($W9=1,AKN9,NY9)=0),1000000000,IF($V9=1,INDEX('calcA'!$D$130:$EQ$169,$B9,139)+IF(AND($E9=1,NY9=0),25,0),IF($F9&gt;0,INDEX('calcA'!EL$110:EL$114,$F9+1)+IF(AND($E9=1,NY9=0),1000,0),MIN(TZ9,20)*400+(IF('calcA'!EK$106=1,1-II9,0)+IF('calcA'!EL$106=1,1-IK9,0))*150+196+'calcA'!EL$5*100000+IF(AND($E9=1,NY9=0),50000,0))+IF($H9=1,INDEX('calcA'!$D$180:$EQ$219,$B9,139)*4000,0)-IF(AND('calcA'!EK$117=1,ZI9&gt;0),2000,0)-IF(AND($U9=1,'calcA'!EL$117=1,IK9=0),2000,0))),1000000000))</f>
        <v/>
      </c>
      <c r="TO9">
        <f>IF($B9=0,1000000000,IF(INDEX('calcA'!$D$60:$EQ$99,$B9,140)*IF($W9=1,IK9+AEZ9,IK9)=1,IF(AND($E9=2,IF($W9=1,AKO9,NZ9)=0),1000000000,IF($V9=1,INDEX('calcA'!$D$130:$EQ$169,$B9,140)+IF(AND($E9=1,NZ9=0),25,0),IF($F9&gt;0,INDEX('calcA'!EM$110:EM$114,$F9+1)+IF(AND($E9=1,NZ9=0),1000,0),MIN(TZ9,20)*400+(IF('calcA'!EL$106=1,1-IJ9,0)+IF('calcA'!EM$106=1,1-IL9,0))*150+206+'calcA'!EM$5*100000+IF(AND($E9=1,NZ9=0),50000,0))+IF($H9=1,INDEX('calcA'!$D$180:$EQ$219,$B9,140)*4000,0)-IF(AND('calcA'!EL$117=1,ZJ9&gt;0),2000,0)-IF(AND($U9=1,'calcA'!EM$117=1,IL9=0),2000,0))),1000000000))</f>
        <v/>
      </c>
      <c r="TP9">
        <f>IF($B9=0,1000000000,IF(INDEX('calcA'!$D$60:$EQ$99,$B9,141)*IF($W9=1,IL9+AFA9,IL9)=1,IF(AND($E9=2,IF($W9=1,AKP9,OA9)=0),1000000000,IF($V9=1,INDEX('calcA'!$D$130:$EQ$169,$B9,141)+IF(AND($E9=1,OA9=0),25,0),IF($F9&gt;0,INDEX('calcA'!EN$110:EN$114,$F9+1)+IF(AND($E9=1,OA9=0),1000,0),MIN(TZ9,20)*400+(IF('calcA'!EM$106=1,1-IK9,0)+IF('calcA'!EN$106=1,1-IM9,0))*150+216+'calcA'!EN$5*100000+IF(AND($E9=1,OA9=0),50000,0))+IF($H9=1,INDEX('calcA'!$D$180:$EQ$219,$B9,141)*4000,0)-IF(AND('calcA'!EM$117=1,ZK9&gt;0),2000,0)-IF(AND($U9=1,'calcA'!EN$117=1,IM9=0),2000,0))),1000000000))</f>
        <v/>
      </c>
      <c r="TQ9">
        <f>IF($B9=0,1000000000,IF(INDEX('calcA'!$D$60:$EQ$99,$B9,142)*IF($W9=1,IM9+AFB9,IM9)=1,IF(AND($E9=2,IF($W9=1,AKQ9,OB9)=0),1000000000,IF($V9=1,INDEX('calcA'!$D$130:$EQ$169,$B9,142)+IF(AND($E9=1,OB9=0),25,0),IF($F9&gt;0,INDEX('calcA'!EO$110:EO$114,$F9+1)+IF(AND($E9=1,OB9=0),1000,0),MIN(TZ9,20)*400+(IF('calcA'!EN$106=1,1-IL9,0)+IF('calcA'!EO$106=1,1-IN9,0))*150+226+'calcA'!EO$5*100000+IF(AND($E9=1,OB9=0),50000,0))+IF($H9=1,INDEX('calcA'!$D$180:$EQ$219,$B9,142)*4000,0)-IF(AND('calcA'!EN$117=1,ZL9&gt;0),2000,0)-IF(AND($U9=1,'calcA'!EO$117=1,IN9=0),2000,0))),1000000000))</f>
        <v/>
      </c>
      <c r="TR9">
        <f>IF($B9=0,1000000000,IF(INDEX('calcA'!$D$60:$EQ$99,$B9,143)*IF($W9=1,IN9+AFC9,IN9)=1,IF(AND($E9=2,IF($W9=1,AKR9,OC9)=0),1000000000,IF($V9=1,INDEX('calcA'!$D$130:$EQ$169,$B9,143)+IF(AND($E9=1,OC9=0),25,0),IF($F9&gt;0,INDEX('calcA'!EP$110:EP$114,$F9+1)+IF(AND($E9=1,OC9=0),1000,0),MIN(TZ9,20)*400+(IF('calcA'!EO$106=1,1-IM9,0)+IF('calcA'!EP$106=1,1-IO9,0))*150+236+'calcA'!EP$5*100000+IF(AND($E9=1,OC9=0),50000,0))+IF($H9=1,INDEX('calcA'!$D$180:$EQ$219,$B9,143)*4000,0)-IF(AND('calcA'!EO$117=1,ZM9&gt;0),2000,0)-IF(AND($U9=1,'calcA'!EP$117=1,IO9=0),2000,0))),1000000000))</f>
        <v/>
      </c>
      <c r="TS9">
        <f>IF($B9=0,1000000000,IF(INDEX('calcA'!$D$60:$EQ$99,$B9,144)*IF($W9=1,IO9+AFD9,IO9)=1,IF(AND($E9=2,IF($W9=1,AKS9,OD9)=0),1000000000,IF($V9=1,INDEX('calcA'!$D$130:$EQ$169,$B9,144)+IF(AND($E9=1,OD9=0),25,0),IF($F9&gt;0,INDEX('calcA'!EQ$110:EQ$114,$F9+1)+IF(AND($E9=1,OD9=0),1000,0),MIN(TZ9,20)*400+(IF('calcA'!EP$106=1,1-IN9,0))*150+246+'calcA'!EQ$5*100000+IF(AND($E9=1,OD9=0),50000,0))+IF($H9=1,INDEX('calcA'!$D$180:$EQ$219,$B9,144)*4000,0)-IF(AND('calcA'!EP$117=1,ZN9&gt;0),2000,0))),1000000000))</f>
        <v/>
      </c>
      <c r="TU9">
        <f>TU8+IF($C8&gt;0,IF(INDEX('calcA'!$D$2:$EQ$2,$C8)=1,1,0),0)</f>
        <v/>
      </c>
      <c r="TV9">
        <f>TV8+IF($C8&gt;0,IF(INDEX('calcA'!$D$2:$EQ$2,$C8)=2,1,0),0)</f>
        <v/>
      </c>
      <c r="TW9">
        <f>TW8+IF($C8&gt;0,IF(INDEX('calcA'!$D$2:$EQ$2,$C8)=3,1,0),0)</f>
        <v/>
      </c>
      <c r="TX9">
        <f>TX8+IF($C8&gt;0,IF(INDEX('calcA'!$D$2:$EQ$2,$C8)=4,1,0),0)</f>
        <v/>
      </c>
      <c r="TY9">
        <f>TY8+IF($C8&gt;0,IF(INDEX('calcA'!$D$2:$EQ$2,$C8)=5,1,0),0)</f>
        <v/>
      </c>
      <c r="TZ9">
        <f>TZ8+IF($C8&gt;0,IF(INDEX('calcA'!$D$2:$EQ$2,$C8)=6,1,0),0)</f>
        <v/>
      </c>
      <c r="UB9">
        <f>UB8+IF(AND($C8=1,$U8=1),1,0)</f>
        <v/>
      </c>
      <c r="UC9">
        <f>UC8+IF(AND($C8=2,$U8=1),1,0)</f>
        <v/>
      </c>
      <c r="UD9">
        <f>UD8+IF(AND($C8=3,$U8=1),1,0)</f>
        <v/>
      </c>
      <c r="UE9">
        <f>UE8+IF(AND($C8=4,$U8=1),1,0)</f>
        <v/>
      </c>
      <c r="UF9">
        <f>UF8+IF(AND($C8=5,$U8=1),1,0)</f>
        <v/>
      </c>
      <c r="UG9">
        <f>UG8+IF(AND($C8=6,$U8=1),1,0)</f>
        <v/>
      </c>
      <c r="UH9">
        <f>UH8+IF(AND($C8=7,$U8=1),1,0)</f>
        <v/>
      </c>
      <c r="UI9">
        <f>UI8+IF(AND($C8=8,$U8=1),1,0)</f>
        <v/>
      </c>
      <c r="UJ9">
        <f>UJ8+IF(AND($C8=9,$U8=1),1,0)</f>
        <v/>
      </c>
      <c r="UK9">
        <f>UK8+IF(AND($C8=10,$U8=1),1,0)</f>
        <v/>
      </c>
      <c r="UL9">
        <f>UL8+IF(AND($C8=11,$U8=1),1,0)</f>
        <v/>
      </c>
      <c r="UM9">
        <f>UM8+IF(AND($C8=12,$U8=1),1,0)</f>
        <v/>
      </c>
      <c r="UN9">
        <f>UN8+IF(AND($C8=13,$U8=1),1,0)</f>
        <v/>
      </c>
      <c r="UO9">
        <f>UO8+IF(AND($C8=14,$U8=1),1,0)</f>
        <v/>
      </c>
      <c r="UP9">
        <f>UP8+IF(AND($C8=15,$U8=1),1,0)</f>
        <v/>
      </c>
      <c r="UQ9">
        <f>UQ8+IF(AND($C8=16,$U8=1),1,0)</f>
        <v/>
      </c>
      <c r="UR9">
        <f>UR8+IF(AND($C8=17,$U8=1),1,0)</f>
        <v/>
      </c>
      <c r="US9">
        <f>US8+IF(AND($C8=18,$U8=1),1,0)</f>
        <v/>
      </c>
      <c r="UT9">
        <f>UT8+IF(AND($C8=19,$U8=1),1,0)</f>
        <v/>
      </c>
      <c r="UU9">
        <f>UU8+IF(AND($C8=20,$U8=1),1,0)</f>
        <v/>
      </c>
      <c r="UV9">
        <f>UV8+IF(AND($C8=21,$U8=1),1,0)</f>
        <v/>
      </c>
      <c r="UW9">
        <f>UW8+IF(AND($C8=22,$U8=1),1,0)</f>
        <v/>
      </c>
      <c r="UX9">
        <f>UX8+IF(AND($C8=23,$U8=1),1,0)</f>
        <v/>
      </c>
      <c r="UY9">
        <f>UY8+IF(AND($C8=24,$U8=1),1,0)</f>
        <v/>
      </c>
      <c r="UZ9">
        <f>UZ8+IF(AND($C8=25,$U8=1),1,0)</f>
        <v/>
      </c>
      <c r="VA9">
        <f>VA8+IF(AND($C8=26,$U8=1),1,0)</f>
        <v/>
      </c>
      <c r="VB9">
        <f>VB8+IF(AND($C8=27,$U8=1),1,0)</f>
        <v/>
      </c>
      <c r="VC9">
        <f>VC8+IF(AND($C8=28,$U8=1),1,0)</f>
        <v/>
      </c>
      <c r="VD9">
        <f>VD8+IF(AND($C8=29,$U8=1),1,0)</f>
        <v/>
      </c>
      <c r="VE9">
        <f>VE8+IF(AND($C8=30,$U8=1),1,0)</f>
        <v/>
      </c>
      <c r="VF9">
        <f>VF8+IF(AND($C8=31,$U8=1),1,0)</f>
        <v/>
      </c>
      <c r="VG9">
        <f>VG8+IF(AND($C8=32,$U8=1),1,0)</f>
        <v/>
      </c>
      <c r="VH9">
        <f>VH8+IF(AND($C8=33,$U8=1),1,0)</f>
        <v/>
      </c>
      <c r="VI9">
        <f>VI8+IF(AND($C8=34,$U8=1),1,0)</f>
        <v/>
      </c>
      <c r="VJ9">
        <f>VJ8+IF(AND($C8=35,$U8=1),1,0)</f>
        <v/>
      </c>
      <c r="VK9">
        <f>VK8+IF(AND($C8=36,$U8=1),1,0)</f>
        <v/>
      </c>
      <c r="VL9">
        <f>VL8+IF(AND($C8=37,$U8=1),1,0)</f>
        <v/>
      </c>
      <c r="VM9">
        <f>VM8+IF(AND($C8=38,$U8=1),1,0)</f>
        <v/>
      </c>
      <c r="VN9">
        <f>VN8+IF(AND($C8=39,$U8=1),1,0)</f>
        <v/>
      </c>
      <c r="VO9">
        <f>VO8+IF(AND($C8=40,$U8=1),1,0)</f>
        <v/>
      </c>
      <c r="VP9">
        <f>VP8+IF(AND($C8=41,$U8=1),1,0)</f>
        <v/>
      </c>
      <c r="VQ9">
        <f>VQ8+IF(AND($C8=42,$U8=1),1,0)</f>
        <v/>
      </c>
      <c r="VR9">
        <f>VR8+IF(AND($C8=43,$U8=1),1,0)</f>
        <v/>
      </c>
      <c r="VS9">
        <f>VS8+IF(AND($C8=44,$U8=1),1,0)</f>
        <v/>
      </c>
      <c r="VT9">
        <f>VT8+IF(AND($C8=45,$U8=1),1,0)</f>
        <v/>
      </c>
      <c r="VU9">
        <f>VU8+IF(AND($C8=46,$U8=1),1,0)</f>
        <v/>
      </c>
      <c r="VV9">
        <f>VV8+IF(AND($C8=47,$U8=1),1,0)</f>
        <v/>
      </c>
      <c r="VW9">
        <f>VW8+IF(AND($C8=48,$U8=1),1,0)</f>
        <v/>
      </c>
      <c r="VX9">
        <f>VX8+IF(AND($C8=49,$U8=1),1,0)</f>
        <v/>
      </c>
      <c r="VY9">
        <f>VY8+IF(AND($C8=50,$U8=1),1,0)</f>
        <v/>
      </c>
      <c r="VZ9">
        <f>VZ8+IF(AND($C8=51,$U8=1),1,0)</f>
        <v/>
      </c>
      <c r="WA9">
        <f>WA8+IF(AND($C8=52,$U8=1),1,0)</f>
        <v/>
      </c>
      <c r="WB9">
        <f>WB8+IF(AND($C8=53,$U8=1),1,0)</f>
        <v/>
      </c>
      <c r="WC9">
        <f>WC8+IF(AND($C8=54,$U8=1),1,0)</f>
        <v/>
      </c>
      <c r="WD9">
        <f>WD8+IF(AND($C8=55,$U8=1),1,0)</f>
        <v/>
      </c>
      <c r="WE9">
        <f>WE8+IF(AND($C8=56,$U8=1),1,0)</f>
        <v/>
      </c>
      <c r="WF9">
        <f>WF8+IF(AND($C8=57,$U8=1),1,0)</f>
        <v/>
      </c>
      <c r="WG9">
        <f>WG8+IF(AND($C8=58,$U8=1),1,0)</f>
        <v/>
      </c>
      <c r="WH9">
        <f>WH8+IF(AND($C8=59,$U8=1),1,0)</f>
        <v/>
      </c>
      <c r="WI9">
        <f>WI8+IF(AND($C8=60,$U8=1),1,0)</f>
        <v/>
      </c>
      <c r="WJ9">
        <f>WJ8+IF(AND($C8=61,$U8=1),1,0)</f>
        <v/>
      </c>
      <c r="WK9">
        <f>WK8+IF(AND($C8=62,$U8=1),1,0)</f>
        <v/>
      </c>
      <c r="WL9">
        <f>WL8+IF(AND($C8=63,$U8=1),1,0)</f>
        <v/>
      </c>
      <c r="WM9">
        <f>WM8+IF(AND($C8=64,$U8=1),1,0)</f>
        <v/>
      </c>
      <c r="WN9">
        <f>WN8+IF(AND($C8=65,$U8=1),1,0)</f>
        <v/>
      </c>
      <c r="WO9">
        <f>WO8+IF(AND($C8=66,$U8=1),1,0)</f>
        <v/>
      </c>
      <c r="WP9">
        <f>WP8+IF(AND($C8=67,$U8=1),1,0)</f>
        <v/>
      </c>
      <c r="WQ9">
        <f>WQ8+IF(AND($C8=68,$U8=1),1,0)</f>
        <v/>
      </c>
      <c r="WR9">
        <f>WR8+IF(AND($C8=69,$U8=1),1,0)</f>
        <v/>
      </c>
      <c r="WS9">
        <f>WS8+IF(AND($C8=70,$U8=1),1,0)</f>
        <v/>
      </c>
      <c r="WT9">
        <f>WT8+IF(AND($C8=71,$U8=1),1,0)</f>
        <v/>
      </c>
      <c r="WU9">
        <f>WU8+IF(AND($C8=72,$U8=1),1,0)</f>
        <v/>
      </c>
      <c r="WV9">
        <f>WV8+IF(AND($C8=73,$U8=1),1,0)</f>
        <v/>
      </c>
      <c r="WW9">
        <f>WW8+IF(AND($C8=74,$U8=1),1,0)</f>
        <v/>
      </c>
      <c r="WX9">
        <f>WX8+IF(AND($C8=75,$U8=1),1,0)</f>
        <v/>
      </c>
      <c r="WY9">
        <f>WY8+IF(AND($C8=76,$U8=1),1,0)</f>
        <v/>
      </c>
      <c r="WZ9">
        <f>WZ8+IF(AND($C8=77,$U8=1),1,0)</f>
        <v/>
      </c>
      <c r="XA9">
        <f>XA8+IF(AND($C8=78,$U8=1),1,0)</f>
        <v/>
      </c>
      <c r="XB9">
        <f>XB8+IF(AND($C8=79,$U8=1),1,0)</f>
        <v/>
      </c>
      <c r="XC9">
        <f>XC8+IF(AND($C8=80,$U8=1),1,0)</f>
        <v/>
      </c>
      <c r="XD9">
        <f>XD8+IF(AND($C8=81,$U8=1),1,0)</f>
        <v/>
      </c>
      <c r="XE9">
        <f>XE8+IF(AND($C8=82,$U8=1),1,0)</f>
        <v/>
      </c>
      <c r="XF9">
        <f>XF8+IF(AND($C8=83,$U8=1),1,0)</f>
        <v/>
      </c>
      <c r="XG9">
        <f>XG8+IF(AND($C8=84,$U8=1),1,0)</f>
        <v/>
      </c>
      <c r="XH9">
        <f>XH8+IF(AND($C8=85,$U8=1),1,0)</f>
        <v/>
      </c>
      <c r="XI9">
        <f>XI8+IF(AND($C8=86,$U8=1),1,0)</f>
        <v/>
      </c>
      <c r="XJ9">
        <f>XJ8+IF(AND($C8=87,$U8=1),1,0)</f>
        <v/>
      </c>
      <c r="XK9">
        <f>XK8+IF(AND($C8=88,$U8=1),1,0)</f>
        <v/>
      </c>
      <c r="XL9">
        <f>XL8+IF(AND($C8=89,$U8=1),1,0)</f>
        <v/>
      </c>
      <c r="XM9">
        <f>XM8+IF(AND($C8=90,$U8=1),1,0)</f>
        <v/>
      </c>
      <c r="XN9">
        <f>XN8+IF(AND($C8=91,$U8=1),1,0)</f>
        <v/>
      </c>
      <c r="XO9">
        <f>XO8+IF(AND($C8=92,$U8=1),1,0)</f>
        <v/>
      </c>
      <c r="XP9">
        <f>XP8+IF(AND($C8=93,$U8=1),1,0)</f>
        <v/>
      </c>
      <c r="XQ9">
        <f>XQ8+IF(AND($C8=94,$U8=1),1,0)</f>
        <v/>
      </c>
      <c r="XR9">
        <f>XR8+IF(AND($C8=95,$U8=1),1,0)</f>
        <v/>
      </c>
      <c r="XS9">
        <f>XS8+IF(AND($C8=96,$U8=1),1,0)</f>
        <v/>
      </c>
      <c r="XT9">
        <f>XT8+IF(AND($C8=97,$U8=1),1,0)</f>
        <v/>
      </c>
      <c r="XU9">
        <f>XU8+IF(AND($C8=98,$U8=1),1,0)</f>
        <v/>
      </c>
      <c r="XV9">
        <f>XV8+IF(AND($C8=99,$U8=1),1,0)</f>
        <v/>
      </c>
      <c r="XW9">
        <f>XW8+IF(AND($C8=100,$U8=1),1,0)</f>
        <v/>
      </c>
      <c r="XX9">
        <f>XX8+IF(AND($C8=101,$U8=1),1,0)</f>
        <v/>
      </c>
      <c r="XY9">
        <f>XY8+IF(AND($C8=102,$U8=1),1,0)</f>
        <v/>
      </c>
      <c r="XZ9">
        <f>XZ8+IF(AND($C8=103,$U8=1),1,0)</f>
        <v/>
      </c>
      <c r="YA9">
        <f>YA8+IF(AND($C8=104,$U8=1),1,0)</f>
        <v/>
      </c>
      <c r="YB9">
        <f>YB8+IF(AND($C8=105,$U8=1),1,0)</f>
        <v/>
      </c>
      <c r="YC9">
        <f>YC8+IF(AND($C8=106,$U8=1),1,0)</f>
        <v/>
      </c>
      <c r="YD9">
        <f>YD8+IF(AND($C8=107,$U8=1),1,0)</f>
        <v/>
      </c>
      <c r="YE9">
        <f>YE8+IF(AND($C8=108,$U8=1),1,0)</f>
        <v/>
      </c>
      <c r="YF9">
        <f>YF8+IF(AND($C8=109,$U8=1),1,0)</f>
        <v/>
      </c>
      <c r="YG9">
        <f>YG8+IF(AND($C8=110,$U8=1),1,0)</f>
        <v/>
      </c>
      <c r="YH9">
        <f>YH8+IF(AND($C8=111,$U8=1),1,0)</f>
        <v/>
      </c>
      <c r="YI9">
        <f>YI8+IF(AND($C8=112,$U8=1),1,0)</f>
        <v/>
      </c>
      <c r="YJ9">
        <f>YJ8+IF(AND($C8=113,$U8=1),1,0)</f>
        <v/>
      </c>
      <c r="YK9">
        <f>YK8+IF(AND($C8=114,$U8=1),1,0)</f>
        <v/>
      </c>
      <c r="YL9">
        <f>YL8+IF(AND($C8=115,$U8=1),1,0)</f>
        <v/>
      </c>
      <c r="YM9">
        <f>YM8+IF(AND($C8=116,$U8=1),1,0)</f>
        <v/>
      </c>
      <c r="YN9">
        <f>YN8+IF(AND($C8=117,$U8=1),1,0)</f>
        <v/>
      </c>
      <c r="YO9">
        <f>YO8+IF(AND($C8=118,$U8=1),1,0)</f>
        <v/>
      </c>
      <c r="YP9">
        <f>YP8+IF(AND($C8=119,$U8=1),1,0)</f>
        <v/>
      </c>
      <c r="YQ9">
        <f>YQ8+IF(AND($C8=120,$U8=1),1,0)</f>
        <v/>
      </c>
      <c r="YR9">
        <f>YR8+IF(AND($C8=121,$U8=1),1,0)</f>
        <v/>
      </c>
      <c r="YS9">
        <f>YS8+IF(AND($C8=122,$U8=1),1,0)</f>
        <v/>
      </c>
      <c r="YT9">
        <f>YT8+IF(AND($C8=123,$U8=1),1,0)</f>
        <v/>
      </c>
      <c r="YU9">
        <f>YU8+IF(AND($C8=124,$U8=1),1,0)</f>
        <v/>
      </c>
      <c r="YV9">
        <f>YV8+IF(AND($C8=125,$U8=1),1,0)</f>
        <v/>
      </c>
      <c r="YW9">
        <f>YW8+IF(AND($C8=126,$U8=1),1,0)</f>
        <v/>
      </c>
      <c r="YX9">
        <f>YX8+IF(AND($C8=127,$U8=1),1,0)</f>
        <v/>
      </c>
      <c r="YY9">
        <f>YY8+IF(AND($C8=128,$U8=1),1,0)</f>
        <v/>
      </c>
      <c r="YZ9">
        <f>YZ8+IF(AND($C8=129,$U8=1),1,0)</f>
        <v/>
      </c>
      <c r="ZA9">
        <f>ZA8+IF(AND($C8=130,$U8=1),1,0)</f>
        <v/>
      </c>
      <c r="ZB9">
        <f>ZB8+IF(AND($C8=131,$U8=1),1,0)</f>
        <v/>
      </c>
      <c r="ZC9">
        <f>ZC8+IF(AND($C8=132,$U8=1),1,0)</f>
        <v/>
      </c>
      <c r="ZD9">
        <f>ZD8+IF(AND($C8=133,$U8=1),1,0)</f>
        <v/>
      </c>
      <c r="ZE9">
        <f>ZE8+IF(AND($C8=134,$U8=1),1,0)</f>
        <v/>
      </c>
      <c r="ZF9">
        <f>ZF8+IF(AND($C8=135,$U8=1),1,0)</f>
        <v/>
      </c>
      <c r="ZG9">
        <f>ZG8+IF(AND($C8=136,$U8=1),1,0)</f>
        <v/>
      </c>
      <c r="ZH9">
        <f>ZH8+IF(AND($C8=137,$U8=1),1,0)</f>
        <v/>
      </c>
      <c r="ZI9">
        <f>ZI8+IF(AND($C8=138,$U8=1),1,0)</f>
        <v/>
      </c>
      <c r="ZJ9">
        <f>ZJ8+IF(AND($C8=139,$U8=1),1,0)</f>
        <v/>
      </c>
      <c r="ZK9">
        <f>ZK8+IF(AND($C8=140,$U8=1),1,0)</f>
        <v/>
      </c>
      <c r="ZL9">
        <f>ZL8+IF(AND($C8=141,$U8=1),1,0)</f>
        <v/>
      </c>
      <c r="ZM9">
        <f>ZM8+IF(AND($C8=142,$U8=1),1,0)</f>
        <v/>
      </c>
      <c r="ZN9">
        <f>ZN8+IF(AND($C8=143,$U8=1),1,0)</f>
        <v/>
      </c>
      <c r="ZO9">
        <f>ZO8+IF(AND($C8=144,$U8=1),1,0)</f>
        <v/>
      </c>
      <c r="ZQ9">
        <f>IF($C8=1,0,ZQ8+IF(AND($G8=1,$E8=1),1,0))</f>
        <v/>
      </c>
      <c r="ZR9">
        <f>IF($C8=2,0,ZR8+IF(AND($G8=2,$E8=1),1,0))</f>
        <v/>
      </c>
      <c r="ZS9">
        <f>IF($C8=3,0,ZS8+IF(AND($G8=3,$E8=1),1,0))</f>
        <v/>
      </c>
      <c r="ZT9">
        <f>IF($C8=4,0,ZT8+IF(AND($G8=4,$E8=1),1,0))</f>
        <v/>
      </c>
      <c r="ZU9">
        <f>IF($C8=5,0,ZU8+IF(AND($G8=5,$E8=1),1,0))</f>
        <v/>
      </c>
      <c r="ZV9">
        <f>IF($C8=6,0,ZV8+IF(AND($G8=6,$E8=1),1,0))</f>
        <v/>
      </c>
      <c r="ZW9">
        <f>IF($C8=7,0,ZW8+IF(AND($G8=7,$E8=1),1,0))</f>
        <v/>
      </c>
      <c r="ZX9">
        <f>IF($C8=8,0,ZX8+IF(AND($G8=8,$E8=1),1,0))</f>
        <v/>
      </c>
      <c r="ZY9">
        <f>IF($C8=9,0,ZY8+IF(AND($G8=9,$E8=1),1,0))</f>
        <v/>
      </c>
      <c r="ZZ9">
        <f>IF($C8=10,0,ZZ8+IF(AND($G8=10,$E8=1),1,0))</f>
        <v/>
      </c>
      <c r="AAA9">
        <f>IF($C8=11,0,AAA8+IF(AND($G8=11,$E8=1),1,0))</f>
        <v/>
      </c>
      <c r="AAB9">
        <f>IF($C8=12,0,AAB8+IF(AND($G8=12,$E8=1),1,0))</f>
        <v/>
      </c>
      <c r="AAC9">
        <f>IF($C8=13,0,AAC8+IF(AND($G8=13,$E8=1),1,0))</f>
        <v/>
      </c>
      <c r="AAD9">
        <f>IF($C8=14,0,AAD8+IF(AND($G8=14,$E8=1),1,0))</f>
        <v/>
      </c>
      <c r="AAE9">
        <f>IF($C8=15,0,AAE8+IF(AND($G8=15,$E8=1),1,0))</f>
        <v/>
      </c>
      <c r="AAF9">
        <f>IF($C8=16,0,AAF8+IF(AND($G8=16,$E8=1),1,0))</f>
        <v/>
      </c>
      <c r="AAG9">
        <f>IF($C8=17,0,AAG8+IF(AND($G8=17,$E8=1),1,0))</f>
        <v/>
      </c>
      <c r="AAH9">
        <f>IF($C8=18,0,AAH8+IF(AND($G8=18,$E8=1),1,0))</f>
        <v/>
      </c>
      <c r="AAI9">
        <f>IF($C8=19,0,AAI8+IF(AND($G8=19,$E8=1),1,0))</f>
        <v/>
      </c>
      <c r="AAJ9">
        <f>IF($C8=20,0,AAJ8+IF(AND($G8=20,$E8=1),1,0))</f>
        <v/>
      </c>
      <c r="AAK9">
        <f>IF($C8=21,0,AAK8+IF(AND($G8=21,$E8=1),1,0))</f>
        <v/>
      </c>
      <c r="AAL9">
        <f>IF($C8=22,0,AAL8+IF(AND($G8=22,$E8=1),1,0))</f>
        <v/>
      </c>
      <c r="AAM9">
        <f>IF($C8=23,0,AAM8+IF(AND($G8=23,$E8=1),1,0))</f>
        <v/>
      </c>
      <c r="AAN9">
        <f>IF($C8=24,0,AAN8+IF(AND($G8=24,$E8=1),1,0))</f>
        <v/>
      </c>
      <c r="AAO9">
        <f>IF($C8=25,0,AAO8+IF(AND($G8=25,$E8=1),1,0))</f>
        <v/>
      </c>
      <c r="AAP9">
        <f>IF($C8=26,0,AAP8+IF(AND($G8=26,$E8=1),1,0))</f>
        <v/>
      </c>
      <c r="AAQ9">
        <f>IF($C8=27,0,AAQ8+IF(AND($G8=27,$E8=1),1,0))</f>
        <v/>
      </c>
      <c r="AAR9">
        <f>IF($C8=28,0,AAR8+IF(AND($G8=28,$E8=1),1,0))</f>
        <v/>
      </c>
      <c r="AAS9">
        <f>IF($C8=29,0,AAS8+IF(AND($G8=29,$E8=1),1,0))</f>
        <v/>
      </c>
      <c r="AAT9">
        <f>IF($C8=30,0,AAT8+IF(AND($G8=30,$E8=1),1,0))</f>
        <v/>
      </c>
      <c r="AAU9">
        <f>IF($C8=31,0,AAU8+IF(AND($G8=31,$E8=1),1,0))</f>
        <v/>
      </c>
      <c r="AAV9">
        <f>IF($C8=32,0,AAV8+IF(AND($G8=32,$E8=1),1,0))</f>
        <v/>
      </c>
      <c r="AAW9">
        <f>IF($C8=33,0,AAW8+IF(AND($G8=33,$E8=1),1,0))</f>
        <v/>
      </c>
      <c r="AAX9">
        <f>IF($C8=34,0,AAX8+IF(AND($G8=34,$E8=1),1,0))</f>
        <v/>
      </c>
      <c r="AAY9">
        <f>IF($C8=35,0,AAY8+IF(AND($G8=35,$E8=1),1,0))</f>
        <v/>
      </c>
      <c r="AAZ9">
        <f>IF($C8=36,0,AAZ8+IF(AND($G8=36,$E8=1),1,0))</f>
        <v/>
      </c>
      <c r="ABA9">
        <f>IF($C8=37,0,ABA8+IF(AND($G8=37,$E8=1),1,0))</f>
        <v/>
      </c>
      <c r="ABB9">
        <f>IF($C8=38,0,ABB8+IF(AND($G8=38,$E8=1),1,0))</f>
        <v/>
      </c>
      <c r="ABC9">
        <f>IF($C8=39,0,ABC8+IF(AND($G8=39,$E8=1),1,0))</f>
        <v/>
      </c>
      <c r="ABD9">
        <f>IF($C8=40,0,ABD8+IF(AND($G8=40,$E8=1),1,0))</f>
        <v/>
      </c>
      <c r="ABE9">
        <f>IF($C8=41,0,ABE8+IF(AND($G8=41,$E8=1),1,0))</f>
        <v/>
      </c>
      <c r="ABF9">
        <f>IF($C8=42,0,ABF8+IF(AND($G8=42,$E8=1),1,0))</f>
        <v/>
      </c>
      <c r="ABG9">
        <f>IF($C8=43,0,ABG8+IF(AND($G8=43,$E8=1),1,0))</f>
        <v/>
      </c>
      <c r="ABH9">
        <f>IF($C8=44,0,ABH8+IF(AND($G8=44,$E8=1),1,0))</f>
        <v/>
      </c>
      <c r="ABI9">
        <f>IF($C8=45,0,ABI8+IF(AND($G8=45,$E8=1),1,0))</f>
        <v/>
      </c>
      <c r="ABJ9">
        <f>IF($C8=46,0,ABJ8+IF(AND($G8=46,$E8=1),1,0))</f>
        <v/>
      </c>
      <c r="ABK9">
        <f>IF($C8=47,0,ABK8+IF(AND($G8=47,$E8=1),1,0))</f>
        <v/>
      </c>
      <c r="ABL9">
        <f>IF($C8=48,0,ABL8+IF(AND($G8=48,$E8=1),1,0))</f>
        <v/>
      </c>
      <c r="ABM9">
        <f>IF($C8=49,0,ABM8+IF(AND($G8=49,$E8=1),1,0))</f>
        <v/>
      </c>
      <c r="ABN9">
        <f>IF($C8=50,0,ABN8+IF(AND($G8=50,$E8=1),1,0))</f>
        <v/>
      </c>
      <c r="ABO9">
        <f>IF($C8=51,0,ABO8+IF(AND($G8=51,$E8=1),1,0))</f>
        <v/>
      </c>
      <c r="ABP9">
        <f>IF($C8=52,0,ABP8+IF(AND($G8=52,$E8=1),1,0))</f>
        <v/>
      </c>
      <c r="ABQ9">
        <f>IF($C8=53,0,ABQ8+IF(AND($G8=53,$E8=1),1,0))</f>
        <v/>
      </c>
      <c r="ABR9">
        <f>IF($C8=54,0,ABR8+IF(AND($G8=54,$E8=1),1,0))</f>
        <v/>
      </c>
      <c r="ABS9">
        <f>IF($C8=55,0,ABS8+IF(AND($G8=55,$E8=1),1,0))</f>
        <v/>
      </c>
      <c r="ABT9">
        <f>IF($C8=56,0,ABT8+IF(AND($G8=56,$E8=1),1,0))</f>
        <v/>
      </c>
      <c r="ABU9">
        <f>IF($C8=57,0,ABU8+IF(AND($G8=57,$E8=1),1,0))</f>
        <v/>
      </c>
      <c r="ABV9">
        <f>IF($C8=58,0,ABV8+IF(AND($G8=58,$E8=1),1,0))</f>
        <v/>
      </c>
      <c r="ABW9">
        <f>IF($C8=59,0,ABW8+IF(AND($G8=59,$E8=1),1,0))</f>
        <v/>
      </c>
      <c r="ABX9">
        <f>IF($C8=60,0,ABX8+IF(AND($G8=60,$E8=1),1,0))</f>
        <v/>
      </c>
      <c r="ABY9">
        <f>IF($C8=61,0,ABY8+IF(AND($G8=61,$E8=1),1,0))</f>
        <v/>
      </c>
      <c r="ABZ9">
        <f>IF($C8=62,0,ABZ8+IF(AND($G8=62,$E8=1),1,0))</f>
        <v/>
      </c>
      <c r="ACA9">
        <f>IF($C8=63,0,ACA8+IF(AND($G8=63,$E8=1),1,0))</f>
        <v/>
      </c>
      <c r="ACB9">
        <f>IF($C8=64,0,ACB8+IF(AND($G8=64,$E8=1),1,0))</f>
        <v/>
      </c>
      <c r="ACC9">
        <f>IF($C8=65,0,ACC8+IF(AND($G8=65,$E8=1),1,0))</f>
        <v/>
      </c>
      <c r="ACD9">
        <f>IF($C8=66,0,ACD8+IF(AND($G8=66,$E8=1),1,0))</f>
        <v/>
      </c>
      <c r="ACE9">
        <f>IF($C8=67,0,ACE8+IF(AND($G8=67,$E8=1),1,0))</f>
        <v/>
      </c>
      <c r="ACF9">
        <f>IF($C8=68,0,ACF8+IF(AND($G8=68,$E8=1),1,0))</f>
        <v/>
      </c>
      <c r="ACG9">
        <f>IF($C8=69,0,ACG8+IF(AND($G8=69,$E8=1),1,0))</f>
        <v/>
      </c>
      <c r="ACH9">
        <f>IF($C8=70,0,ACH8+IF(AND($G8=70,$E8=1),1,0))</f>
        <v/>
      </c>
      <c r="ACI9">
        <f>IF($C8=71,0,ACI8+IF(AND($G8=71,$E8=1),1,0))</f>
        <v/>
      </c>
      <c r="ACJ9">
        <f>IF($C8=72,0,ACJ8+IF(AND($G8=72,$E8=1),1,0))</f>
        <v/>
      </c>
      <c r="ACK9">
        <f>IF($C8=73,0,ACK8+IF(AND($G8=73,$E8=1),1,0))</f>
        <v/>
      </c>
      <c r="ACL9">
        <f>IF($C8=74,0,ACL8+IF(AND($G8=74,$E8=1),1,0))</f>
        <v/>
      </c>
      <c r="ACM9">
        <f>IF($C8=75,0,ACM8+IF(AND($G8=75,$E8=1),1,0))</f>
        <v/>
      </c>
      <c r="ACN9">
        <f>IF($C8=76,0,ACN8+IF(AND($G8=76,$E8=1),1,0))</f>
        <v/>
      </c>
      <c r="ACO9">
        <f>IF($C8=77,0,ACO8+IF(AND($G8=77,$E8=1),1,0))</f>
        <v/>
      </c>
      <c r="ACP9">
        <f>IF($C8=78,0,ACP8+IF(AND($G8=78,$E8=1),1,0))</f>
        <v/>
      </c>
      <c r="ACQ9">
        <f>IF($C8=79,0,ACQ8+IF(AND($G8=79,$E8=1),1,0))</f>
        <v/>
      </c>
      <c r="ACR9">
        <f>IF($C8=80,0,ACR8+IF(AND($G8=80,$E8=1),1,0))</f>
        <v/>
      </c>
      <c r="ACS9">
        <f>IF($C8=81,0,ACS8+IF(AND($G8=81,$E8=1),1,0))</f>
        <v/>
      </c>
      <c r="ACT9">
        <f>IF($C8=82,0,ACT8+IF(AND($G8=82,$E8=1),1,0))</f>
        <v/>
      </c>
      <c r="ACU9">
        <f>IF($C8=83,0,ACU8+IF(AND($G8=83,$E8=1),1,0))</f>
        <v/>
      </c>
      <c r="ACV9">
        <f>IF($C8=84,0,ACV8+IF(AND($G8=84,$E8=1),1,0))</f>
        <v/>
      </c>
      <c r="ACW9">
        <f>IF($C8=85,0,ACW8+IF(AND($G8=85,$E8=1),1,0))</f>
        <v/>
      </c>
      <c r="ACX9">
        <f>IF($C8=86,0,ACX8+IF(AND($G8=86,$E8=1),1,0))</f>
        <v/>
      </c>
      <c r="ACY9">
        <f>IF($C8=87,0,ACY8+IF(AND($G8=87,$E8=1),1,0))</f>
        <v/>
      </c>
      <c r="ACZ9">
        <f>IF($C8=88,0,ACZ8+IF(AND($G8=88,$E8=1),1,0))</f>
        <v/>
      </c>
      <c r="ADA9">
        <f>IF($C8=89,0,ADA8+IF(AND($G8=89,$E8=1),1,0))</f>
        <v/>
      </c>
      <c r="ADB9">
        <f>IF($C8=90,0,ADB8+IF(AND($G8=90,$E8=1),1,0))</f>
        <v/>
      </c>
      <c r="ADC9">
        <f>IF($C8=91,0,ADC8+IF(AND($G8=91,$E8=1),1,0))</f>
        <v/>
      </c>
      <c r="ADD9">
        <f>IF($C8=92,0,ADD8+IF(AND($G8=92,$E8=1),1,0))</f>
        <v/>
      </c>
      <c r="ADE9">
        <f>IF($C8=93,0,ADE8+IF(AND($G8=93,$E8=1),1,0))</f>
        <v/>
      </c>
      <c r="ADF9">
        <f>IF($C8=94,0,ADF8+IF(AND($G8=94,$E8=1),1,0))</f>
        <v/>
      </c>
      <c r="ADG9">
        <f>IF($C8=95,0,ADG8+IF(AND($G8=95,$E8=1),1,0))</f>
        <v/>
      </c>
      <c r="ADH9">
        <f>IF($C8=96,0,ADH8+IF(AND($G8=96,$E8=1),1,0))</f>
        <v/>
      </c>
      <c r="ADI9">
        <f>IF($C8=97,0,ADI8+IF(AND($G8=97,$E8=1),1,0))</f>
        <v/>
      </c>
      <c r="ADJ9">
        <f>IF($C8=98,0,ADJ8+IF(AND($G8=98,$E8=1),1,0))</f>
        <v/>
      </c>
      <c r="ADK9">
        <f>IF($C8=99,0,ADK8+IF(AND($G8=99,$E8=1),1,0))</f>
        <v/>
      </c>
      <c r="ADL9">
        <f>IF($C8=100,0,ADL8+IF(AND($G8=100,$E8=1),1,0))</f>
        <v/>
      </c>
      <c r="ADM9">
        <f>IF($C8=101,0,ADM8+IF(AND($G8=101,$E8=1),1,0))</f>
        <v/>
      </c>
      <c r="ADN9">
        <f>IF($C8=102,0,ADN8+IF(AND($G8=102,$E8=1),1,0))</f>
        <v/>
      </c>
      <c r="ADO9">
        <f>IF($C8=103,0,ADO8+IF(AND($G8=103,$E8=1),1,0))</f>
        <v/>
      </c>
      <c r="ADP9">
        <f>IF($C8=104,0,ADP8+IF(AND($G8=104,$E8=1),1,0))</f>
        <v/>
      </c>
      <c r="ADQ9">
        <f>IF($C8=105,0,ADQ8+IF(AND($G8=105,$E8=1),1,0))</f>
        <v/>
      </c>
      <c r="ADR9">
        <f>IF($C8=106,0,ADR8+IF(AND($G8=106,$E8=1),1,0))</f>
        <v/>
      </c>
      <c r="ADS9">
        <f>IF($C8=107,0,ADS8+IF(AND($G8=107,$E8=1),1,0))</f>
        <v/>
      </c>
      <c r="ADT9">
        <f>IF($C8=108,0,ADT8+IF(AND($G8=108,$E8=1),1,0))</f>
        <v/>
      </c>
      <c r="ADU9">
        <f>IF($C8=109,0,ADU8+IF(AND($G8=109,$E8=1),1,0))</f>
        <v/>
      </c>
      <c r="ADV9">
        <f>IF($C8=110,0,ADV8+IF(AND($G8=110,$E8=1),1,0))</f>
        <v/>
      </c>
      <c r="ADW9">
        <f>IF($C8=111,0,ADW8+IF(AND($G8=111,$E8=1),1,0))</f>
        <v/>
      </c>
      <c r="ADX9">
        <f>IF($C8=112,0,ADX8+IF(AND($G8=112,$E8=1),1,0))</f>
        <v/>
      </c>
      <c r="ADY9">
        <f>IF($C8=113,0,ADY8+IF(AND($G8=113,$E8=1),1,0))</f>
        <v/>
      </c>
      <c r="ADZ9">
        <f>IF($C8=114,0,ADZ8+IF(AND($G8=114,$E8=1),1,0))</f>
        <v/>
      </c>
      <c r="AEA9">
        <f>IF($C8=115,0,AEA8+IF(AND($G8=115,$E8=1),1,0))</f>
        <v/>
      </c>
      <c r="AEB9">
        <f>IF($C8=116,0,AEB8+IF(AND($G8=116,$E8=1),1,0))</f>
        <v/>
      </c>
      <c r="AEC9">
        <f>IF($C8=117,0,AEC8+IF(AND($G8=117,$E8=1),1,0))</f>
        <v/>
      </c>
      <c r="AED9">
        <f>IF($C8=118,0,AED8+IF(AND($G8=118,$E8=1),1,0))</f>
        <v/>
      </c>
      <c r="AEE9">
        <f>IF($C8=119,0,AEE8+IF(AND($G8=119,$E8=1),1,0))</f>
        <v/>
      </c>
      <c r="AEF9">
        <f>IF($C8=120,0,AEF8+IF(AND($G8=120,$E8=1),1,0))</f>
        <v/>
      </c>
      <c r="AEG9">
        <f>IF($C8=121,0,AEG8+IF(AND($G8=121,$E8=1),1,0))</f>
        <v/>
      </c>
      <c r="AEH9">
        <f>IF($C8=122,0,AEH8+IF(AND($G8=122,$E8=1),1,0))</f>
        <v/>
      </c>
      <c r="AEI9">
        <f>IF($C8=123,0,AEI8+IF(AND($G8=123,$E8=1),1,0))</f>
        <v/>
      </c>
      <c r="AEJ9">
        <f>IF($C8=124,0,AEJ8+IF(AND($G8=124,$E8=1),1,0))</f>
        <v/>
      </c>
      <c r="AEK9">
        <f>IF($C8=125,0,AEK8+IF(AND($G8=125,$E8=1),1,0))</f>
        <v/>
      </c>
      <c r="AEL9">
        <f>IF($C8=126,0,AEL8+IF(AND($G8=126,$E8=1),1,0))</f>
        <v/>
      </c>
      <c r="AEM9">
        <f>IF($C8=127,0,AEM8+IF(AND($G8=127,$E8=1),1,0))</f>
        <v/>
      </c>
      <c r="AEN9">
        <f>IF($C8=128,0,AEN8+IF(AND($G8=128,$E8=1),1,0))</f>
        <v/>
      </c>
      <c r="AEO9">
        <f>IF($C8=129,0,AEO8+IF(AND($G8=129,$E8=1),1,0))</f>
        <v/>
      </c>
      <c r="AEP9">
        <f>IF($C8=130,0,AEP8+IF(AND($G8=130,$E8=1),1,0))</f>
        <v/>
      </c>
      <c r="AEQ9">
        <f>IF($C8=131,0,AEQ8+IF(AND($G8=131,$E8=1),1,0))</f>
        <v/>
      </c>
      <c r="AER9">
        <f>IF($C8=132,0,AER8+IF(AND($G8=132,$E8=1),1,0))</f>
        <v/>
      </c>
      <c r="AES9">
        <f>IF($C8=133,0,AES8+IF(AND($G8=133,$E8=1),1,0))</f>
        <v/>
      </c>
      <c r="AET9">
        <f>IF($C8=134,0,AET8+IF(AND($G8=134,$E8=1),1,0))</f>
        <v/>
      </c>
      <c r="AEU9">
        <f>IF($C8=135,0,AEU8+IF(AND($G8=135,$E8=1),1,0))</f>
        <v/>
      </c>
      <c r="AEV9">
        <f>IF($C8=136,0,AEV8+IF(AND($G8=136,$E8=1),1,0))</f>
        <v/>
      </c>
      <c r="AEW9">
        <f>IF($C8=137,0,AEW8+IF(AND($G8=137,$E8=1),1,0))</f>
        <v/>
      </c>
      <c r="AEX9">
        <f>IF($C8=138,0,AEX8+IF(AND($G8=138,$E8=1),1,0))</f>
        <v/>
      </c>
      <c r="AEY9">
        <f>IF($C8=139,0,AEY8+IF(AND($G8=139,$E8=1),1,0))</f>
        <v/>
      </c>
      <c r="AEZ9">
        <f>IF($C8=140,0,AEZ8+IF(AND($G8=140,$E8=1),1,0))</f>
        <v/>
      </c>
      <c r="AFA9">
        <f>IF($C8=141,0,AFA8+IF(AND($G8=141,$E8=1),1,0))</f>
        <v/>
      </c>
      <c r="AFB9">
        <f>IF($C8=142,0,AFB8+IF(AND($G8=142,$E8=1),1,0))</f>
        <v/>
      </c>
      <c r="AFC9">
        <f>IF($C8=143,0,AFC8+IF(AND($G8=143,$E8=1),1,0))</f>
        <v/>
      </c>
      <c r="AFD9">
        <f>IF($C8=144,0,AFD8+IF(AND($G8=144,$E8=1),1,0))</f>
        <v/>
      </c>
      <c r="AFF9">
        <f>IF('calcA'!D$106=1,DC9+ZR9,1)</f>
        <v/>
      </c>
      <c r="AFG9">
        <f>IF('calcA'!E$106=1,DD9+ZS9,1)</f>
        <v/>
      </c>
      <c r="AFH9">
        <f>IF('calcA'!F$106=1,DE9+ZT9,1)</f>
        <v/>
      </c>
      <c r="AFI9">
        <f>IF('calcA'!G$106=1,DF9+ZU9,1)</f>
        <v/>
      </c>
      <c r="AFJ9">
        <f>IF('calcA'!H$106=1,DG9+ZV9,1)</f>
        <v/>
      </c>
      <c r="AFK9">
        <f>IF('calcA'!I$106=1,DH9+ZW9,1)</f>
        <v/>
      </c>
      <c r="AFL9">
        <f>IF('calcA'!J$106=1,DI9+ZX9,1)</f>
        <v/>
      </c>
      <c r="AFM9">
        <f>IF('calcA'!K$106=1,DJ9+ZY9,1)</f>
        <v/>
      </c>
      <c r="AFN9">
        <f>IF('calcA'!L$106=1,DK9+ZZ9,1)</f>
        <v/>
      </c>
      <c r="AFO9">
        <f>IF('calcA'!M$106=1,DL9+AAA9,1)</f>
        <v/>
      </c>
      <c r="AFP9">
        <f>IF('calcA'!N$106=1,DM9+AAB9,1)</f>
        <v/>
      </c>
      <c r="AFQ9">
        <f>IF('calcA'!O$106=1,DN9+AAC9,1)</f>
        <v/>
      </c>
      <c r="AFR9">
        <f>IF('calcA'!P$106=1,DO9+AAD9,1)</f>
        <v/>
      </c>
      <c r="AFS9">
        <f>IF('calcA'!Q$106=1,DP9+AAE9,1)</f>
        <v/>
      </c>
      <c r="AFT9">
        <f>IF('calcA'!R$106=1,DQ9+AAF9,1)</f>
        <v/>
      </c>
      <c r="AFU9">
        <f>IF('calcA'!S$106=1,DR9+AAG9,1)</f>
        <v/>
      </c>
      <c r="AFV9">
        <f>IF('calcA'!T$106=1,DS9+AAH9,1)</f>
        <v/>
      </c>
      <c r="AFW9">
        <f>IF('calcA'!U$106=1,DT9+AAI9,1)</f>
        <v/>
      </c>
      <c r="AFX9">
        <f>IF('calcA'!V$106=1,DU9+AAJ9,1)</f>
        <v/>
      </c>
      <c r="AFY9">
        <f>IF('calcA'!W$106=1,DV9+AAK9,1)</f>
        <v/>
      </c>
      <c r="AFZ9">
        <f>IF('calcA'!X$106=1,DW9+AAL9,1)</f>
        <v/>
      </c>
      <c r="AGA9">
        <f>IF('calcA'!Y$106=1,DX9+AAM9,1)</f>
        <v/>
      </c>
      <c r="AGB9">
        <f>IF('calcA'!Z$106=1,DY9+AAN9,1)</f>
        <v/>
      </c>
      <c r="AGC9">
        <f>IF('calcA'!AA$106=1,DZ9+AAO9,1)</f>
        <v/>
      </c>
      <c r="AGD9">
        <f>IF('calcA'!AB$106=1,EA9+AAP9,1)</f>
        <v/>
      </c>
      <c r="AGE9">
        <f>IF('calcA'!AC$106=1,EB9+AAQ9,1)</f>
        <v/>
      </c>
      <c r="AGF9">
        <f>IF('calcA'!AD$106=1,EC9+AAR9,1)</f>
        <v/>
      </c>
      <c r="AGG9">
        <f>IF('calcA'!AE$106=1,ED9+AAS9,1)</f>
        <v/>
      </c>
      <c r="AGH9">
        <f>IF('calcA'!AF$106=1,EE9+AAT9,1)</f>
        <v/>
      </c>
      <c r="AGI9">
        <f>IF('calcA'!AG$106=1,EF9+AAU9,1)</f>
        <v/>
      </c>
      <c r="AGJ9">
        <f>IF('calcA'!AH$106=1,EG9+AAV9,1)</f>
        <v/>
      </c>
      <c r="AGK9">
        <f>IF('calcA'!AI$106=1,EH9+AAW9,1)</f>
        <v/>
      </c>
      <c r="AGL9">
        <f>IF('calcA'!AJ$106=1,EI9+AAX9,1)</f>
        <v/>
      </c>
      <c r="AGM9">
        <f>IF('calcA'!AK$106=1,EJ9+AAY9,1)</f>
        <v/>
      </c>
      <c r="AGN9">
        <f>IF('calcA'!AL$106=1,EK9+AAZ9,1)</f>
        <v/>
      </c>
      <c r="AGO9">
        <f>IF('calcA'!AM$106=1,EL9+ABA9,1)</f>
        <v/>
      </c>
      <c r="AGP9">
        <f>IF('calcA'!AN$106=1,EM9+ABB9,1)</f>
        <v/>
      </c>
      <c r="AGQ9">
        <f>IF('calcA'!AO$106=1,EN9+ABC9,1)</f>
        <v/>
      </c>
      <c r="AGR9">
        <f>IF('calcA'!AP$106=1,EO9+ABD9,1)</f>
        <v/>
      </c>
      <c r="AGS9">
        <f>IF('calcA'!AQ$106=1,EP9+ABE9,1)</f>
        <v/>
      </c>
      <c r="AGT9">
        <f>IF('calcA'!AR$106=1,EQ9+ABF9,1)</f>
        <v/>
      </c>
      <c r="AGU9">
        <f>IF('calcA'!AS$106=1,ER9+ABG9,1)</f>
        <v/>
      </c>
      <c r="AGV9">
        <f>IF('calcA'!AT$106=1,ES9+ABH9,1)</f>
        <v/>
      </c>
      <c r="AGW9">
        <f>IF('calcA'!AU$106=1,ET9+ABI9,1)</f>
        <v/>
      </c>
      <c r="AGX9">
        <f>IF('calcA'!AV$106=1,EU9+ABJ9,1)</f>
        <v/>
      </c>
      <c r="AGY9">
        <f>IF('calcA'!AW$106=1,EV9+ABK9,1)</f>
        <v/>
      </c>
      <c r="AGZ9">
        <f>IF('calcA'!AX$106=1,EW9+ABL9,1)</f>
        <v/>
      </c>
      <c r="AHA9">
        <f>IF('calcA'!AY$106=1,EX9+ABM9,1)</f>
        <v/>
      </c>
      <c r="AHB9">
        <f>IF('calcA'!AZ$106=1,EY9+ABN9,1)</f>
        <v/>
      </c>
      <c r="AHC9">
        <f>IF('calcA'!BA$106=1,EZ9+ABO9,1)</f>
        <v/>
      </c>
      <c r="AHD9">
        <f>IF('calcA'!BB$106=1,FA9+ABP9,1)</f>
        <v/>
      </c>
      <c r="AHE9">
        <f>IF('calcA'!BC$106=1,FB9+ABQ9,1)</f>
        <v/>
      </c>
      <c r="AHF9">
        <f>IF('calcA'!BD$106=1,FC9+ABR9,1)</f>
        <v/>
      </c>
      <c r="AHG9">
        <f>IF('calcA'!BE$106=1,FD9+ABS9,1)</f>
        <v/>
      </c>
      <c r="AHH9">
        <f>IF('calcA'!BF$106=1,FE9+ABT9,1)</f>
        <v/>
      </c>
      <c r="AHI9">
        <f>IF('calcA'!BG$106=1,FF9+ABU9,1)</f>
        <v/>
      </c>
      <c r="AHJ9">
        <f>IF('calcA'!BH$106=1,FG9+ABV9,1)</f>
        <v/>
      </c>
      <c r="AHK9">
        <f>IF('calcA'!BI$106=1,FH9+ABW9,1)</f>
        <v/>
      </c>
      <c r="AHL9">
        <f>IF('calcA'!BJ$106=1,FI9+ABX9,1)</f>
        <v/>
      </c>
      <c r="AHM9">
        <f>IF('calcA'!BK$106=1,FJ9+ABY9,1)</f>
        <v/>
      </c>
      <c r="AHN9">
        <f>IF('calcA'!BL$106=1,FK9+ABZ9,1)</f>
        <v/>
      </c>
      <c r="AHO9">
        <f>IF('calcA'!BM$106=1,FL9+ACA9,1)</f>
        <v/>
      </c>
      <c r="AHP9">
        <f>IF('calcA'!BN$106=1,FM9+ACB9,1)</f>
        <v/>
      </c>
      <c r="AHQ9">
        <f>IF('calcA'!BO$106=1,FN9+ACC9,1)</f>
        <v/>
      </c>
      <c r="AHR9">
        <f>IF('calcA'!BP$106=1,FO9+ACD9,1)</f>
        <v/>
      </c>
      <c r="AHS9">
        <f>IF('calcA'!BQ$106=1,FP9+ACE9,1)</f>
        <v/>
      </c>
      <c r="AHT9">
        <f>IF('calcA'!BR$106=1,FQ9+ACF9,1)</f>
        <v/>
      </c>
      <c r="AHU9">
        <f>IF('calcA'!BS$106=1,FR9+ACG9,1)</f>
        <v/>
      </c>
      <c r="AHV9">
        <f>IF('calcA'!BT$106=1,FS9+ACH9,1)</f>
        <v/>
      </c>
      <c r="AHW9">
        <f>IF('calcA'!BU$106=1,FT9+ACI9,1)</f>
        <v/>
      </c>
      <c r="AHX9">
        <f>IF('calcA'!BV$106=1,FU9+ACJ9,1)</f>
        <v/>
      </c>
      <c r="AHY9">
        <f>IF('calcA'!BW$106=1,FV9+ACK9,1)</f>
        <v/>
      </c>
      <c r="AHZ9">
        <f>IF('calcA'!BX$106=1,FW9+ACL9,1)</f>
        <v/>
      </c>
      <c r="AIA9">
        <f>IF('calcA'!BY$106=1,FX9+ACM9,1)</f>
        <v/>
      </c>
      <c r="AIB9">
        <f>IF('calcA'!BZ$106=1,FY9+ACN9,1)</f>
        <v/>
      </c>
      <c r="AIC9">
        <f>IF('calcA'!CA$106=1,FZ9+ACO9,1)</f>
        <v/>
      </c>
      <c r="AID9">
        <f>IF('calcA'!CB$106=1,GA9+ACP9,1)</f>
        <v/>
      </c>
      <c r="AIE9">
        <f>IF('calcA'!CC$106=1,GB9+ACQ9,1)</f>
        <v/>
      </c>
      <c r="AIF9">
        <f>IF('calcA'!CD$106=1,GC9+ACR9,1)</f>
        <v/>
      </c>
      <c r="AIG9">
        <f>IF('calcA'!CE$106=1,GD9+ACS9,1)</f>
        <v/>
      </c>
      <c r="AIH9">
        <f>IF('calcA'!CF$106=1,GE9+ACT9,1)</f>
        <v/>
      </c>
      <c r="AII9">
        <f>IF('calcA'!CG$106=1,GF9+ACU9,1)</f>
        <v/>
      </c>
      <c r="AIJ9">
        <f>IF('calcA'!CH$106=1,GG9+ACV9,1)</f>
        <v/>
      </c>
      <c r="AIK9">
        <f>IF('calcA'!CI$106=1,GH9+ACW9,1)</f>
        <v/>
      </c>
      <c r="AIL9">
        <f>IF('calcA'!CJ$106=1,GI9+ACX9,1)</f>
        <v/>
      </c>
      <c r="AIM9">
        <f>IF('calcA'!CK$106=1,GJ9+ACY9,1)</f>
        <v/>
      </c>
      <c r="AIN9">
        <f>IF('calcA'!CL$106=1,GK9+ACZ9,1)</f>
        <v/>
      </c>
      <c r="AIO9">
        <f>IF('calcA'!CM$106=1,GL9+ADA9,1)</f>
        <v/>
      </c>
      <c r="AIP9">
        <f>IF('calcA'!CN$106=1,GM9+ADB9,1)</f>
        <v/>
      </c>
      <c r="AIQ9">
        <f>IF('calcA'!CO$106=1,GN9+ADC9,1)</f>
        <v/>
      </c>
      <c r="AIR9">
        <f>IF('calcA'!CP$106=1,GO9+ADD9,1)</f>
        <v/>
      </c>
      <c r="AIS9">
        <f>IF('calcA'!CQ$106=1,GP9+ADE9,1)</f>
        <v/>
      </c>
      <c r="AIT9">
        <f>IF('calcA'!CR$106=1,GQ9+ADF9,1)</f>
        <v/>
      </c>
      <c r="AIU9">
        <f>IF('calcA'!CS$106=1,GR9+ADG9,1)</f>
        <v/>
      </c>
      <c r="AIV9">
        <f>IF('calcA'!CT$106=1,GS9+ADH9,1)</f>
        <v/>
      </c>
      <c r="AIW9">
        <f>IF('calcA'!CU$106=1,GT9+ADI9,1)</f>
        <v/>
      </c>
      <c r="AIX9">
        <f>IF('calcA'!CV$106=1,GU9+ADJ9,1)</f>
        <v/>
      </c>
      <c r="AIY9">
        <f>IF('calcA'!CW$106=1,GV9+ADK9,1)</f>
        <v/>
      </c>
      <c r="AIZ9">
        <f>IF('calcA'!CX$106=1,GW9+ADL9,1)</f>
        <v/>
      </c>
      <c r="AJA9">
        <f>IF('calcA'!CY$106=1,GX9+ADM9,1)</f>
        <v/>
      </c>
      <c r="AJB9">
        <f>IF('calcA'!CZ$106=1,GY9+ADN9,1)</f>
        <v/>
      </c>
      <c r="AJC9">
        <f>IF('calcA'!DA$106=1,GZ9+ADO9,1)</f>
        <v/>
      </c>
      <c r="AJD9">
        <f>IF('calcA'!DB$106=1,HA9+ADP9,1)</f>
        <v/>
      </c>
      <c r="AJE9">
        <f>IF('calcA'!DC$106=1,HB9+ADQ9,1)</f>
        <v/>
      </c>
      <c r="AJF9">
        <f>IF('calcA'!DD$106=1,HC9+ADR9,1)</f>
        <v/>
      </c>
      <c r="AJG9">
        <f>IF('calcA'!DE$106=1,HD9+ADS9,1)</f>
        <v/>
      </c>
      <c r="AJH9">
        <f>IF('calcA'!DF$106=1,HE9+ADT9,1)</f>
        <v/>
      </c>
      <c r="AJI9">
        <f>IF('calcA'!DG$106=1,HF9+ADU9,1)</f>
        <v/>
      </c>
      <c r="AJJ9">
        <f>IF('calcA'!DH$106=1,HG9+ADV9,1)</f>
        <v/>
      </c>
      <c r="AJK9">
        <f>IF('calcA'!DI$106=1,HH9+ADW9,1)</f>
        <v/>
      </c>
      <c r="AJL9">
        <f>IF('calcA'!DJ$106=1,HI9+ADX9,1)</f>
        <v/>
      </c>
      <c r="AJM9">
        <f>IF('calcA'!DK$106=1,HJ9+ADY9,1)</f>
        <v/>
      </c>
      <c r="AJN9">
        <f>IF('calcA'!DL$106=1,HK9+ADZ9,1)</f>
        <v/>
      </c>
      <c r="AJO9">
        <f>IF('calcA'!DM$106=1,HL9+AEA9,1)</f>
        <v/>
      </c>
      <c r="AJP9">
        <f>IF('calcA'!DN$106=1,HM9+AEB9,1)</f>
        <v/>
      </c>
      <c r="AJQ9">
        <f>IF('calcA'!DO$106=1,HN9+AEC9,1)</f>
        <v/>
      </c>
      <c r="AJR9">
        <f>IF('calcA'!DP$106=1,HO9+AED9,1)</f>
        <v/>
      </c>
      <c r="AJS9">
        <f>IF('calcA'!DQ$106=1,HP9+AEE9,1)</f>
        <v/>
      </c>
      <c r="AJT9">
        <f>IF('calcA'!DR$106=1,HQ9+AEF9,1)</f>
        <v/>
      </c>
      <c r="AJU9">
        <f>IF('calcA'!DS$106=1,HR9+AEG9,1)</f>
        <v/>
      </c>
      <c r="AJV9">
        <f>IF('calcA'!DT$106=1,HS9+AEH9,1)</f>
        <v/>
      </c>
      <c r="AJW9">
        <f>IF('calcA'!DU$106=1,HT9+AEI9,1)</f>
        <v/>
      </c>
      <c r="AJX9">
        <f>IF('calcA'!DV$106=1,HU9+AEJ9,1)</f>
        <v/>
      </c>
      <c r="AJY9">
        <f>IF('calcA'!DW$106=1,HV9+AEK9,1)</f>
        <v/>
      </c>
      <c r="AJZ9">
        <f>IF('calcA'!DX$106=1,HW9+AEL9,1)</f>
        <v/>
      </c>
      <c r="AKA9">
        <f>IF('calcA'!DY$106=1,HX9+AEM9,1)</f>
        <v/>
      </c>
      <c r="AKB9">
        <f>IF('calcA'!DZ$106=1,HY9+AEN9,1)</f>
        <v/>
      </c>
      <c r="AKC9">
        <f>IF('calcA'!EA$106=1,HZ9+AEO9,1)</f>
        <v/>
      </c>
      <c r="AKD9">
        <f>IF('calcA'!EB$106=1,IA9+AEP9,1)</f>
        <v/>
      </c>
      <c r="AKE9">
        <f>IF('calcA'!EC$106=1,IB9+AEQ9,1)</f>
        <v/>
      </c>
      <c r="AKF9">
        <f>IF('calcA'!ED$106=1,IC9+AER9,1)</f>
        <v/>
      </c>
      <c r="AKG9">
        <f>IF('calcA'!EE$106=1,ID9+AES9,1)</f>
        <v/>
      </c>
      <c r="AKH9">
        <f>IF('calcA'!EF$106=1,IE9+AET9,1)</f>
        <v/>
      </c>
      <c r="AKI9">
        <f>IF('calcA'!EG$106=1,IF9+AEU9,1)</f>
        <v/>
      </c>
      <c r="AKJ9">
        <f>IF('calcA'!EH$106=1,IG9+AEV9,1)</f>
        <v/>
      </c>
      <c r="AKK9">
        <f>IF('calcA'!EI$106=1,IH9+AEW9,1)</f>
        <v/>
      </c>
      <c r="AKL9">
        <f>IF('calcA'!EJ$106=1,II9+AEX9,1)</f>
        <v/>
      </c>
      <c r="AKM9">
        <f>IF('calcA'!EK$106=1,IJ9+AEY9,1)</f>
        <v/>
      </c>
      <c r="AKN9">
        <f>IF('calcA'!EL$106=1,IK9+AEZ9,1)</f>
        <v/>
      </c>
      <c r="AKO9">
        <f>IF('calcA'!EM$106=1,IL9+AFA9,1)</f>
        <v/>
      </c>
      <c r="AKP9">
        <f>IF('calcA'!EN$106=1,IM9+AFB9,1)</f>
        <v/>
      </c>
      <c r="AKQ9">
        <f>IF('calcA'!EO$106=1,IN9+AFC9,1)</f>
        <v/>
      </c>
      <c r="AKR9">
        <f>IF('calcA'!EP$106=1,IO9+AFD9,1)</f>
        <v/>
      </c>
      <c r="AKS9" t="n">
        <v>1</v>
      </c>
    </row>
    <row r="10">
      <c r="A10" t="n">
        <v>8</v>
      </c>
      <c r="B10">
        <f>IF(MIN(BM10:CZ10)&gt;=1000000000,0,MATCH(MIN(BM10:CZ10),BM10:CZ10,0))</f>
        <v/>
      </c>
      <c r="C10">
        <f>IF(MIN(OF10:TS10)&gt;=1000000000,0,MATCH(MIN(OF10:TS10),OF10:TS10,0))</f>
        <v/>
      </c>
      <c r="D10">
        <f>IF(C10&gt;0,INDEX('calcA'!$D$5:$EQ$5,C10),0)</f>
        <v/>
      </c>
      <c r="E10">
        <f>IF(B10=0,0,INDEX('calcA'!$IQ$10:$IQ$54,B10))</f>
        <v/>
      </c>
      <c r="F10">
        <f>IF(B10=0,0,INDEX('calcA'!$IP$10:$IP$54,B10))</f>
        <v/>
      </c>
      <c r="G10">
        <f>IF(AND(C10&gt;0,E10&gt;0),IF(AND(INDEX('calcA'!$D$106:$EQ$106,C10)=1,INDEX($IQ10:$OD10,C10)=1),C10+1,0),0)</f>
        <v/>
      </c>
      <c r="H10">
        <f>IF(B10=0,0,INDEX('calcA'!$IW$10:$IW$54,B10))</f>
        <v/>
      </c>
      <c r="U10">
        <f>IF(B10=0,0,INDEX('calcA'!$IX$10:$IX$54,B10))</f>
        <v/>
      </c>
      <c r="V10">
        <f>IF(B10=0,0,INDEX('calcA'!$JF$10:$JF$54,B10))</f>
        <v/>
      </c>
      <c r="W10">
        <f>IF(B10=0,0,IF(IF(E10=2,SUMPRODUCT(INDEX('calcA'!$D$60:$EQ$99,B10,0),$DB10:$IO10,$IQ10:$OD10),SUMPRODUCT(INDEX('calcA'!$D$60:$EQ$99,B10,0),$DB10:$IO10))=0,1,0))</f>
        <v/>
      </c>
      <c r="X10">
        <f>MAX(X9,IF($B9=1,1,0))</f>
        <v/>
      </c>
      <c r="Y10">
        <f>MAX(Y9,IF($B9=2,1,0))</f>
        <v/>
      </c>
      <c r="Z10">
        <f>MAX(Z9,IF($B9=3,1,0))</f>
        <v/>
      </c>
      <c r="AA10">
        <f>MAX(AA9,IF($B9=4,1,0))</f>
        <v/>
      </c>
      <c r="AB10">
        <f>MAX(AB9,IF($B9=5,1,0))</f>
        <v/>
      </c>
      <c r="AC10">
        <f>MAX(AC9,IF($B9=6,1,0))</f>
        <v/>
      </c>
      <c r="AD10">
        <f>MAX(AD9,IF($B9=7,1,0))</f>
        <v/>
      </c>
      <c r="AE10">
        <f>MAX(AE9,IF($B9=8,1,0))</f>
        <v/>
      </c>
      <c r="AF10">
        <f>MAX(AF9,IF($B9=9,1,0))</f>
        <v/>
      </c>
      <c r="AG10">
        <f>MAX(AG9,IF($B9=10,1,0))</f>
        <v/>
      </c>
      <c r="AH10">
        <f>MAX(AH9,IF($B9=11,1,0))</f>
        <v/>
      </c>
      <c r="AI10">
        <f>MAX(AI9,IF($B9=12,1,0))</f>
        <v/>
      </c>
      <c r="AJ10">
        <f>MAX(AJ9,IF($B9=13,1,0))</f>
        <v/>
      </c>
      <c r="AK10">
        <f>MAX(AK9,IF($B9=14,1,0))</f>
        <v/>
      </c>
      <c r="AL10">
        <f>MAX(AL9,IF($B9=15,1,0))</f>
        <v/>
      </c>
      <c r="AM10">
        <f>MAX(AM9,IF($B9=16,1,0))</f>
        <v/>
      </c>
      <c r="AN10">
        <f>MAX(AN9,IF($B9=17,1,0))</f>
        <v/>
      </c>
      <c r="AO10">
        <f>MAX(AO9,IF($B9=18,1,0))</f>
        <v/>
      </c>
      <c r="AP10">
        <f>MAX(AP9,IF($B9=19,1,0))</f>
        <v/>
      </c>
      <c r="AQ10">
        <f>MAX(AQ9,IF($B9=20,1,0))</f>
        <v/>
      </c>
      <c r="AR10">
        <f>MAX(AR9,IF($B9=21,1,0))</f>
        <v/>
      </c>
      <c r="AS10">
        <f>MAX(AS9,IF($B9=22,1,0))</f>
        <v/>
      </c>
      <c r="AT10">
        <f>MAX(AT9,IF($B9=23,1,0))</f>
        <v/>
      </c>
      <c r="AU10">
        <f>MAX(AU9,IF($B9=24,1,0))</f>
        <v/>
      </c>
      <c r="AV10">
        <f>MAX(AV9,IF($B9=25,1,0))</f>
        <v/>
      </c>
      <c r="AW10">
        <f>MAX(AW9,IF($B9=26,1,0))</f>
        <v/>
      </c>
      <c r="AX10">
        <f>MAX(AX9,IF($B9=27,1,0))</f>
        <v/>
      </c>
      <c r="AY10">
        <f>MAX(AY9,IF($B9=28,1,0))</f>
        <v/>
      </c>
      <c r="AZ10">
        <f>MAX(AZ9,IF($B9=29,1,0))</f>
        <v/>
      </c>
      <c r="BA10">
        <f>MAX(BA9,IF($B9=30,1,0))</f>
        <v/>
      </c>
      <c r="BB10">
        <f>MAX(BB9,IF($B9=31,1,0))</f>
        <v/>
      </c>
      <c r="BC10">
        <f>MAX(BC9,IF($B9=32,1,0))</f>
        <v/>
      </c>
      <c r="BD10">
        <f>MAX(BD9,IF($B9=33,1,0))</f>
        <v/>
      </c>
      <c r="BE10">
        <f>MAX(BE9,IF($B9=34,1,0))</f>
        <v/>
      </c>
      <c r="BF10">
        <f>MAX(BF9,IF($B9=35,1,0))</f>
        <v/>
      </c>
      <c r="BG10">
        <f>MAX(BG9,IF($B9=36,1,0))</f>
        <v/>
      </c>
      <c r="BH10">
        <f>MAX(BH9,IF($B9=37,1,0))</f>
        <v/>
      </c>
      <c r="BI10">
        <f>MAX(BI9,IF($B9=38,1,0))</f>
        <v/>
      </c>
      <c r="BJ10">
        <f>MAX(BJ9,IF($B9=39,1,0))</f>
        <v/>
      </c>
      <c r="BK10">
        <f>MAX(BK9,IF($B9=40,1,0))</f>
        <v/>
      </c>
      <c r="BM10">
        <f>IF(OR(X10=1,calcA!$A$6=0),1000000000,IF('calcA'!$JF$10=1,0,100000000)+IF('calcA'!$IQ$10=2,SUMPRODUCT('calcA'!$D$60:$EQ$60,$DB10:$IO10,$IQ10:$OD10)*1000+SUMPRODUCT('calcA'!$D$60:$EQ$60,$DB10:$IO10+$ZQ10:$AFD10,$AFF10:$AKS10),SUMPRODUCT('calcA'!$D$60:$EQ$60,$DB10:$IO10*1001+$ZQ10:$AFD10))*100+1)</f>
        <v/>
      </c>
      <c r="BN10">
        <f>IF(OR(Y10=1,calcA!$A$6=0),1000000000,IF('calcA'!$JF$11=1,0,100000000)+IF('calcA'!$IQ$11=2,SUMPRODUCT('calcA'!$D$61:$EQ$61,$DB10:$IO10,$IQ10:$OD10)*1000+SUMPRODUCT('calcA'!$D$61:$EQ$61,$DB10:$IO10+$ZQ10:$AFD10,$AFF10:$AKS10),SUMPRODUCT('calcA'!$D$61:$EQ$61,$DB10:$IO10*1001+$ZQ10:$AFD10))*100+2)</f>
        <v/>
      </c>
      <c r="BO10">
        <f>IF(OR(Z10=1,calcA!$A$6=0),1000000000,IF('calcA'!$JF$12=1,0,100000000)+IF('calcA'!$IQ$12=2,SUMPRODUCT('calcA'!$D$62:$EQ$62,$DB10:$IO10,$IQ10:$OD10)*1000+SUMPRODUCT('calcA'!$D$62:$EQ$62,$DB10:$IO10+$ZQ10:$AFD10,$AFF10:$AKS10),SUMPRODUCT('calcA'!$D$62:$EQ$62,$DB10:$IO10*1001+$ZQ10:$AFD10))*100+3)</f>
        <v/>
      </c>
      <c r="BP10">
        <f>IF(OR(AA10=1,calcA!$A$6=0),1000000000,IF('calcA'!$JF$13=1,0,100000000)+IF('calcA'!$IQ$13=2,SUMPRODUCT('calcA'!$D$63:$EQ$63,$DB10:$IO10,$IQ10:$OD10)*1000+SUMPRODUCT('calcA'!$D$63:$EQ$63,$DB10:$IO10+$ZQ10:$AFD10,$AFF10:$AKS10),SUMPRODUCT('calcA'!$D$63:$EQ$63,$DB10:$IO10*1001+$ZQ10:$AFD10))*100+4)</f>
        <v/>
      </c>
      <c r="BQ10">
        <f>IF(OR(AB10=1,calcA!$A$6=0),1000000000,IF('calcA'!$JF$14=1,0,100000000)+IF('calcA'!$IQ$14=2,SUMPRODUCT('calcA'!$D$64:$EQ$64,$DB10:$IO10,$IQ10:$OD10)*1000+SUMPRODUCT('calcA'!$D$64:$EQ$64,$DB10:$IO10+$ZQ10:$AFD10,$AFF10:$AKS10),SUMPRODUCT('calcA'!$D$64:$EQ$64,$DB10:$IO10*1001+$ZQ10:$AFD10))*100+5)</f>
        <v/>
      </c>
      <c r="BR10">
        <f>IF(OR(AC10=1,calcA!$A$6=0),1000000000,IF('calcA'!$JF$15=1,0,100000000)+IF('calcA'!$IQ$15=2,SUMPRODUCT('calcA'!$D$65:$EQ$65,$DB10:$IO10,$IQ10:$OD10)*1000+SUMPRODUCT('calcA'!$D$65:$EQ$65,$DB10:$IO10+$ZQ10:$AFD10,$AFF10:$AKS10),SUMPRODUCT('calcA'!$D$65:$EQ$65,$DB10:$IO10*1001+$ZQ10:$AFD10))*100+6)</f>
        <v/>
      </c>
      <c r="BS10">
        <f>IF(OR(AD10=1,calcA!$A$6=0),1000000000,IF('calcA'!$JF$16=1,0,100000000)+IF('calcA'!$IQ$16=2,SUMPRODUCT('calcA'!$D$66:$EQ$66,$DB10:$IO10,$IQ10:$OD10)*1000+SUMPRODUCT('calcA'!$D$66:$EQ$66,$DB10:$IO10+$ZQ10:$AFD10,$AFF10:$AKS10),SUMPRODUCT('calcA'!$D$66:$EQ$66,$DB10:$IO10*1001+$ZQ10:$AFD10))*100+7)</f>
        <v/>
      </c>
      <c r="BT10">
        <f>IF(OR(AE10=1,calcA!$A$6=0),1000000000,IF('calcA'!$JF$17=1,0,100000000)+IF('calcA'!$IQ$17=2,SUMPRODUCT('calcA'!$D$67:$EQ$67,$DB10:$IO10,$IQ10:$OD10)*1000+SUMPRODUCT('calcA'!$D$67:$EQ$67,$DB10:$IO10+$ZQ10:$AFD10,$AFF10:$AKS10),SUMPRODUCT('calcA'!$D$67:$EQ$67,$DB10:$IO10*1001+$ZQ10:$AFD10))*100+8)</f>
        <v/>
      </c>
      <c r="BU10">
        <f>IF(OR(AF10=1,calcA!$A$6=0),1000000000,IF('calcA'!$JF$18=1,0,100000000)+IF('calcA'!$IQ$18=2,SUMPRODUCT('calcA'!$D$68:$EQ$68,$DB10:$IO10,$IQ10:$OD10)*1000+SUMPRODUCT('calcA'!$D$68:$EQ$68,$DB10:$IO10+$ZQ10:$AFD10,$AFF10:$AKS10),SUMPRODUCT('calcA'!$D$68:$EQ$68,$DB10:$IO10*1001+$ZQ10:$AFD10))*100+9)</f>
        <v/>
      </c>
      <c r="BV10">
        <f>IF(OR(AG10=1,calcA!$A$6=0),1000000000,IF('calcA'!$JF$19=1,0,100000000)+IF('calcA'!$IQ$19=2,SUMPRODUCT('calcA'!$D$69:$EQ$69,$DB10:$IO10,$IQ10:$OD10)*1000+SUMPRODUCT('calcA'!$D$69:$EQ$69,$DB10:$IO10+$ZQ10:$AFD10,$AFF10:$AKS10),SUMPRODUCT('calcA'!$D$69:$EQ$69,$DB10:$IO10*1001+$ZQ10:$AFD10))*100+10)</f>
        <v/>
      </c>
      <c r="BW10">
        <f>IF(OR(AH10=1,calcA!$A$6=0),1000000000,IF('calcA'!$JF$20=1,0,100000000)+IF('calcA'!$IQ$20=2,SUMPRODUCT('calcA'!$D$70:$EQ$70,$DB10:$IO10,$IQ10:$OD10)*1000+SUMPRODUCT('calcA'!$D$70:$EQ$70,$DB10:$IO10+$ZQ10:$AFD10,$AFF10:$AKS10),SUMPRODUCT('calcA'!$D$70:$EQ$70,$DB10:$IO10*1001+$ZQ10:$AFD10))*100+11)</f>
        <v/>
      </c>
      <c r="BX10">
        <f>IF(OR(AI10=1,calcA!$A$6=0),1000000000,IF('calcA'!$JF$21=1,0,100000000)+IF('calcA'!$IQ$21=2,SUMPRODUCT('calcA'!$D$71:$EQ$71,$DB10:$IO10,$IQ10:$OD10)*1000+SUMPRODUCT('calcA'!$D$71:$EQ$71,$DB10:$IO10+$ZQ10:$AFD10,$AFF10:$AKS10),SUMPRODUCT('calcA'!$D$71:$EQ$71,$DB10:$IO10*1001+$ZQ10:$AFD10))*100+12)</f>
        <v/>
      </c>
      <c r="BY10">
        <f>IF(OR(AJ10=1,calcA!$A$6=0),1000000000,IF('calcA'!$JF$22=1,0,100000000)+IF('calcA'!$IQ$22=2,SUMPRODUCT('calcA'!$D$72:$EQ$72,$DB10:$IO10,$IQ10:$OD10)*1000+SUMPRODUCT('calcA'!$D$72:$EQ$72,$DB10:$IO10+$ZQ10:$AFD10,$AFF10:$AKS10),SUMPRODUCT('calcA'!$D$72:$EQ$72,$DB10:$IO10*1001+$ZQ10:$AFD10))*100+13)</f>
        <v/>
      </c>
      <c r="BZ10">
        <f>IF(OR(AK10=1,calcA!$A$6=0),1000000000,IF('calcA'!$JF$23=1,0,100000000)+IF('calcA'!$IQ$23=2,SUMPRODUCT('calcA'!$D$73:$EQ$73,$DB10:$IO10,$IQ10:$OD10)*1000+SUMPRODUCT('calcA'!$D$73:$EQ$73,$DB10:$IO10+$ZQ10:$AFD10,$AFF10:$AKS10),SUMPRODUCT('calcA'!$D$73:$EQ$73,$DB10:$IO10*1001+$ZQ10:$AFD10))*100+14)</f>
        <v/>
      </c>
      <c r="CA10">
        <f>IF(OR(AL10=1,calcA!$A$6=0),1000000000,IF('calcA'!$JF$24=1,0,100000000)+IF('calcA'!$IQ$24=2,SUMPRODUCT('calcA'!$D$74:$EQ$74,$DB10:$IO10,$IQ10:$OD10)*1000+SUMPRODUCT('calcA'!$D$74:$EQ$74,$DB10:$IO10+$ZQ10:$AFD10,$AFF10:$AKS10),SUMPRODUCT('calcA'!$D$74:$EQ$74,$DB10:$IO10*1001+$ZQ10:$AFD10))*100+15)</f>
        <v/>
      </c>
      <c r="CB10">
        <f>IF(OR(AM10=1,calcA!$A$6=0),1000000000,IF('calcA'!$JF$25=1,0,100000000)+IF('calcA'!$IQ$25=2,SUMPRODUCT('calcA'!$D$75:$EQ$75,$DB10:$IO10,$IQ10:$OD10)*1000+SUMPRODUCT('calcA'!$D$75:$EQ$75,$DB10:$IO10+$ZQ10:$AFD10,$AFF10:$AKS10),SUMPRODUCT('calcA'!$D$75:$EQ$75,$DB10:$IO10*1001+$ZQ10:$AFD10))*100+16)</f>
        <v/>
      </c>
      <c r="CC10">
        <f>IF(OR(AN10=1,calcA!$A$6=0),1000000000,IF('calcA'!$JF$26=1,0,100000000)+IF('calcA'!$IQ$26=2,SUMPRODUCT('calcA'!$D$76:$EQ$76,$DB10:$IO10,$IQ10:$OD10)*1000+SUMPRODUCT('calcA'!$D$76:$EQ$76,$DB10:$IO10+$ZQ10:$AFD10,$AFF10:$AKS10),SUMPRODUCT('calcA'!$D$76:$EQ$76,$DB10:$IO10*1001+$ZQ10:$AFD10))*100+17)</f>
        <v/>
      </c>
      <c r="CD10">
        <f>IF(OR(AO10=1,calcA!$A$6=0),1000000000,IF('calcA'!$JF$27=1,0,100000000)+IF('calcA'!$IQ$27=2,SUMPRODUCT('calcA'!$D$77:$EQ$77,$DB10:$IO10,$IQ10:$OD10)*1000+SUMPRODUCT('calcA'!$D$77:$EQ$77,$DB10:$IO10+$ZQ10:$AFD10,$AFF10:$AKS10),SUMPRODUCT('calcA'!$D$77:$EQ$77,$DB10:$IO10*1001+$ZQ10:$AFD10))*100+18)</f>
        <v/>
      </c>
      <c r="CE10">
        <f>IF(OR(AP10=1,calcA!$A$6=0),1000000000,IF('calcA'!$JF$28=1,0,100000000)+IF('calcA'!$IQ$28=2,SUMPRODUCT('calcA'!$D$78:$EQ$78,$DB10:$IO10,$IQ10:$OD10)*1000+SUMPRODUCT('calcA'!$D$78:$EQ$78,$DB10:$IO10+$ZQ10:$AFD10,$AFF10:$AKS10),SUMPRODUCT('calcA'!$D$78:$EQ$78,$DB10:$IO10*1001+$ZQ10:$AFD10))*100+19)</f>
        <v/>
      </c>
      <c r="CF10">
        <f>IF(OR(AQ10=1,calcA!$A$6=0),1000000000,IF('calcA'!$JF$29=1,0,100000000)+IF('calcA'!$IQ$29=2,SUMPRODUCT('calcA'!$D$79:$EQ$79,$DB10:$IO10,$IQ10:$OD10)*1000+SUMPRODUCT('calcA'!$D$79:$EQ$79,$DB10:$IO10+$ZQ10:$AFD10,$AFF10:$AKS10),SUMPRODUCT('calcA'!$D$79:$EQ$79,$DB10:$IO10*1001+$ZQ10:$AFD10))*100+20)</f>
        <v/>
      </c>
      <c r="CG10">
        <f>IF(OR(AR10=1,calcA!$A$6=0),1000000000,IF('calcA'!$JF$30=1,0,100000000)+IF('calcA'!$IQ$30=2,SUMPRODUCT('calcA'!$D$80:$EQ$80,$DB10:$IO10,$IQ10:$OD10)*1000+SUMPRODUCT('calcA'!$D$80:$EQ$80,$DB10:$IO10+$ZQ10:$AFD10,$AFF10:$AKS10),SUMPRODUCT('calcA'!$D$80:$EQ$80,$DB10:$IO10*1001+$ZQ10:$AFD10))*100+21)</f>
        <v/>
      </c>
      <c r="CH10">
        <f>IF(OR(AS10=1,calcA!$A$6=0),1000000000,IF('calcA'!$JF$31=1,0,100000000)+IF('calcA'!$IQ$31=2,SUMPRODUCT('calcA'!$D$81:$EQ$81,$DB10:$IO10,$IQ10:$OD10)*1000+SUMPRODUCT('calcA'!$D$81:$EQ$81,$DB10:$IO10+$ZQ10:$AFD10,$AFF10:$AKS10),SUMPRODUCT('calcA'!$D$81:$EQ$81,$DB10:$IO10*1001+$ZQ10:$AFD10))*100+22)</f>
        <v/>
      </c>
      <c r="CI10">
        <f>IF(OR(AT10=1,calcA!$A$6=0),1000000000,IF('calcA'!$JF$32=1,0,100000000)+IF('calcA'!$IQ$32=2,SUMPRODUCT('calcA'!$D$82:$EQ$82,$DB10:$IO10,$IQ10:$OD10)*1000+SUMPRODUCT('calcA'!$D$82:$EQ$82,$DB10:$IO10+$ZQ10:$AFD10,$AFF10:$AKS10),SUMPRODUCT('calcA'!$D$82:$EQ$82,$DB10:$IO10*1001+$ZQ10:$AFD10))*100+23)</f>
        <v/>
      </c>
      <c r="CJ10">
        <f>IF(OR(AU10=1,calcA!$A$6=0),1000000000,IF('calcA'!$JF$33=1,0,100000000)+IF('calcA'!$IQ$33=2,SUMPRODUCT('calcA'!$D$83:$EQ$83,$DB10:$IO10,$IQ10:$OD10)*1000+SUMPRODUCT('calcA'!$D$83:$EQ$83,$DB10:$IO10+$ZQ10:$AFD10,$AFF10:$AKS10),SUMPRODUCT('calcA'!$D$83:$EQ$83,$DB10:$IO10*1001+$ZQ10:$AFD10))*100+24)</f>
        <v/>
      </c>
      <c r="CK10">
        <f>IF(OR(AV10=1,calcA!$A$6=0),1000000000,IF('calcA'!$JF$34=1,0,100000000)+IF('calcA'!$IQ$34=2,SUMPRODUCT('calcA'!$D$84:$EQ$84,$DB10:$IO10,$IQ10:$OD10)*1000+SUMPRODUCT('calcA'!$D$84:$EQ$84,$DB10:$IO10+$ZQ10:$AFD10,$AFF10:$AKS10),SUMPRODUCT('calcA'!$D$84:$EQ$84,$DB10:$IO10*1001+$ZQ10:$AFD10))*100+25)</f>
        <v/>
      </c>
      <c r="CL10">
        <f>IF(OR(AW10=1,calcA!$A$6=0),1000000000,IF('calcA'!$JF$35=1,0,100000000)+IF('calcA'!$IQ$35=2,SUMPRODUCT('calcA'!$D$85:$EQ$85,$DB10:$IO10,$IQ10:$OD10)*1000+SUMPRODUCT('calcA'!$D$85:$EQ$85,$DB10:$IO10+$ZQ10:$AFD10,$AFF10:$AKS10),SUMPRODUCT('calcA'!$D$85:$EQ$85,$DB10:$IO10*1001+$ZQ10:$AFD10))*100+26)</f>
        <v/>
      </c>
      <c r="CM10">
        <f>IF(OR(AX10=1,calcA!$A$6=0),1000000000,IF('calcA'!$JF$36=1,0,100000000)+IF('calcA'!$IQ$36=2,SUMPRODUCT('calcA'!$D$86:$EQ$86,$DB10:$IO10,$IQ10:$OD10)*1000+SUMPRODUCT('calcA'!$D$86:$EQ$86,$DB10:$IO10+$ZQ10:$AFD10,$AFF10:$AKS10),SUMPRODUCT('calcA'!$D$86:$EQ$86,$DB10:$IO10*1001+$ZQ10:$AFD10))*100+27)</f>
        <v/>
      </c>
      <c r="CN10">
        <f>IF(OR(AY10=1,calcA!$A$6=0),1000000000,IF('calcA'!$JF$37=1,0,100000000)+IF('calcA'!$IQ$37=2,SUMPRODUCT('calcA'!$D$87:$EQ$87,$DB10:$IO10,$IQ10:$OD10)*1000+SUMPRODUCT('calcA'!$D$87:$EQ$87,$DB10:$IO10+$ZQ10:$AFD10,$AFF10:$AKS10),SUMPRODUCT('calcA'!$D$87:$EQ$87,$DB10:$IO10*1001+$ZQ10:$AFD10))*100+28)</f>
        <v/>
      </c>
      <c r="CO10">
        <f>IF(OR(AZ10=1,calcA!$A$6=0),1000000000,IF('calcA'!$JF$38=1,0,100000000)+IF('calcA'!$IQ$38=2,SUMPRODUCT('calcA'!$D$88:$EQ$88,$DB10:$IO10,$IQ10:$OD10)*1000+SUMPRODUCT('calcA'!$D$88:$EQ$88,$DB10:$IO10+$ZQ10:$AFD10,$AFF10:$AKS10),SUMPRODUCT('calcA'!$D$88:$EQ$88,$DB10:$IO10*1001+$ZQ10:$AFD10))*100+29)</f>
        <v/>
      </c>
      <c r="CP10">
        <f>IF(OR(BA10=1,calcA!$A$6=0),1000000000,IF('calcA'!$JF$39=1,0,100000000)+IF('calcA'!$IQ$39=2,SUMPRODUCT('calcA'!$D$89:$EQ$89,$DB10:$IO10,$IQ10:$OD10)*1000+SUMPRODUCT('calcA'!$D$89:$EQ$89,$DB10:$IO10+$ZQ10:$AFD10,$AFF10:$AKS10),SUMPRODUCT('calcA'!$D$89:$EQ$89,$DB10:$IO10*1001+$ZQ10:$AFD10))*100+30)</f>
        <v/>
      </c>
      <c r="CQ10">
        <f>IF(OR(BB10=1,calcA!$A$6=0),1000000000,IF('calcA'!$JF$40=1,0,100000000)+IF('calcA'!$IQ$40=2,SUMPRODUCT('calcA'!$D$90:$EQ$90,$DB10:$IO10,$IQ10:$OD10)*1000+SUMPRODUCT('calcA'!$D$90:$EQ$90,$DB10:$IO10+$ZQ10:$AFD10,$AFF10:$AKS10),SUMPRODUCT('calcA'!$D$90:$EQ$90,$DB10:$IO10*1001+$ZQ10:$AFD10))*100+31)</f>
        <v/>
      </c>
      <c r="CR10">
        <f>IF(OR(BC10=1,calcA!$A$6=0),1000000000,IF('calcA'!$JF$41=1,0,100000000)+IF('calcA'!$IQ$41=2,SUMPRODUCT('calcA'!$D$91:$EQ$91,$DB10:$IO10,$IQ10:$OD10)*1000+SUMPRODUCT('calcA'!$D$91:$EQ$91,$DB10:$IO10+$ZQ10:$AFD10,$AFF10:$AKS10),SUMPRODUCT('calcA'!$D$91:$EQ$91,$DB10:$IO10*1001+$ZQ10:$AFD10))*100+32)</f>
        <v/>
      </c>
      <c r="CS10">
        <f>IF(OR(BD10=1,calcA!$A$6=0),1000000000,IF('calcA'!$JF$42=1,0,100000000)+IF('calcA'!$IQ$42=2,SUMPRODUCT('calcA'!$D$92:$EQ$92,$DB10:$IO10,$IQ10:$OD10)*1000+SUMPRODUCT('calcA'!$D$92:$EQ$92,$DB10:$IO10+$ZQ10:$AFD10,$AFF10:$AKS10),SUMPRODUCT('calcA'!$D$92:$EQ$92,$DB10:$IO10*1001+$ZQ10:$AFD10))*100+33)</f>
        <v/>
      </c>
      <c r="CT10">
        <f>IF(OR(BE10=1,calcA!$A$6=0),1000000000,IF('calcA'!$JF$43=1,0,100000000)+IF('calcA'!$IQ$43=2,SUMPRODUCT('calcA'!$D$93:$EQ$93,$DB10:$IO10,$IQ10:$OD10)*1000+SUMPRODUCT('calcA'!$D$93:$EQ$93,$DB10:$IO10+$ZQ10:$AFD10,$AFF10:$AKS10),SUMPRODUCT('calcA'!$D$93:$EQ$93,$DB10:$IO10*1001+$ZQ10:$AFD10))*100+34)</f>
        <v/>
      </c>
      <c r="CU10">
        <f>IF(OR(BF10=1,calcA!$A$6=0),1000000000,IF('calcA'!$JF$44=1,0,100000000)+IF('calcA'!$IQ$44=2,SUMPRODUCT('calcA'!$D$94:$EQ$94,$DB10:$IO10,$IQ10:$OD10)*1000+SUMPRODUCT('calcA'!$D$94:$EQ$94,$DB10:$IO10+$ZQ10:$AFD10,$AFF10:$AKS10),SUMPRODUCT('calcA'!$D$94:$EQ$94,$DB10:$IO10*1001+$ZQ10:$AFD10))*100+35)</f>
        <v/>
      </c>
      <c r="CV10">
        <f>IF(OR(BG10=1,calcA!$A$6=0),1000000000,IF('calcA'!$JF$45=1,0,100000000)+IF('calcA'!$IQ$45=2,SUMPRODUCT('calcA'!$D$95:$EQ$95,$DB10:$IO10,$IQ10:$OD10)*1000+SUMPRODUCT('calcA'!$D$95:$EQ$95,$DB10:$IO10+$ZQ10:$AFD10,$AFF10:$AKS10),SUMPRODUCT('calcA'!$D$95:$EQ$95,$DB10:$IO10*1001+$ZQ10:$AFD10))*100+36)</f>
        <v/>
      </c>
      <c r="CW10">
        <f>IF(OR(BH10=1,calcA!$A$6=0),1000000000,IF('calcA'!$JF$46=1,0,100000000)+IF('calcA'!$IQ$46=2,SUMPRODUCT('calcA'!$D$96:$EQ$96,$DB10:$IO10,$IQ10:$OD10)*1000+SUMPRODUCT('calcA'!$D$96:$EQ$96,$DB10:$IO10+$ZQ10:$AFD10,$AFF10:$AKS10),SUMPRODUCT('calcA'!$D$96:$EQ$96,$DB10:$IO10*1001+$ZQ10:$AFD10))*100+37)</f>
        <v/>
      </c>
      <c r="CX10">
        <f>IF(OR(BI10=1,calcA!$A$6=0),1000000000,IF('calcA'!$JF$47=1,0,100000000)+IF('calcA'!$IQ$47=2,SUMPRODUCT('calcA'!$D$97:$EQ$97,$DB10:$IO10,$IQ10:$OD10)*1000+SUMPRODUCT('calcA'!$D$97:$EQ$97,$DB10:$IO10+$ZQ10:$AFD10,$AFF10:$AKS10),SUMPRODUCT('calcA'!$D$97:$EQ$97,$DB10:$IO10*1001+$ZQ10:$AFD10))*100+38)</f>
        <v/>
      </c>
      <c r="CY10">
        <f>IF(OR(BJ10=1,calcA!$A$6=0),1000000000,IF('calcA'!$JF$48=1,0,100000000)+IF('calcA'!$IQ$48=2,SUMPRODUCT('calcA'!$D$98:$EQ$98,$DB10:$IO10,$IQ10:$OD10)*1000+SUMPRODUCT('calcA'!$D$98:$EQ$98,$DB10:$IO10+$ZQ10:$AFD10,$AFF10:$AKS10),SUMPRODUCT('calcA'!$D$98:$EQ$98,$DB10:$IO10*1001+$ZQ10:$AFD10))*100+39)</f>
        <v/>
      </c>
      <c r="CZ10">
        <f>IF(OR(BK10=1,calcA!$A$6=0),1000000000,IF('calcA'!$JF$49=1,0,100000000)+IF('calcA'!$IQ$49=2,SUMPRODUCT('calcA'!$D$99:$EQ$99,$DB10:$IO10,$IQ10:$OD10)*1000+SUMPRODUCT('calcA'!$D$99:$EQ$99,$DB10:$IO10+$ZQ10:$AFD10,$AFF10:$AKS10),SUMPRODUCT('calcA'!$D$99:$EQ$99,$DB10:$IO10*1001+$ZQ10:$AFD10))*100+40)</f>
        <v/>
      </c>
      <c r="DB10">
        <f>DB9*IF(OR($C9=1,$G9=1),0,1)</f>
        <v/>
      </c>
      <c r="DC10">
        <f>DC9*IF(OR($C9=2,$G9=2),0,1)</f>
        <v/>
      </c>
      <c r="DD10">
        <f>DD9*IF(OR($C9=3,$G9=3),0,1)</f>
        <v/>
      </c>
      <c r="DE10">
        <f>DE9*IF(OR($C9=4,$G9=4),0,1)</f>
        <v/>
      </c>
      <c r="DF10">
        <f>DF9*IF(OR($C9=5,$G9=5),0,1)</f>
        <v/>
      </c>
      <c r="DG10">
        <f>DG9*IF(OR($C9=6,$G9=6),0,1)</f>
        <v/>
      </c>
      <c r="DH10">
        <f>DH9*IF(OR($C9=7,$G9=7),0,1)</f>
        <v/>
      </c>
      <c r="DI10">
        <f>DI9*IF(OR($C9=8,$G9=8),0,1)</f>
        <v/>
      </c>
      <c r="DJ10">
        <f>DJ9*IF(OR($C9=9,$G9=9),0,1)</f>
        <v/>
      </c>
      <c r="DK10">
        <f>DK9*IF(OR($C9=10,$G9=10),0,1)</f>
        <v/>
      </c>
      <c r="DL10">
        <f>DL9*IF(OR($C9=11,$G9=11),0,1)</f>
        <v/>
      </c>
      <c r="DM10">
        <f>DM9*IF(OR($C9=12,$G9=12),0,1)</f>
        <v/>
      </c>
      <c r="DN10">
        <f>DN9*IF(OR($C9=13,$G9=13),0,1)</f>
        <v/>
      </c>
      <c r="DO10">
        <f>DO9*IF(OR($C9=14,$G9=14),0,1)</f>
        <v/>
      </c>
      <c r="DP10">
        <f>DP9*IF(OR($C9=15,$G9=15),0,1)</f>
        <v/>
      </c>
      <c r="DQ10">
        <f>DQ9*IF(OR($C9=16,$G9=16),0,1)</f>
        <v/>
      </c>
      <c r="DR10">
        <f>DR9*IF(OR($C9=17,$G9=17),0,1)</f>
        <v/>
      </c>
      <c r="DS10">
        <f>DS9*IF(OR($C9=18,$G9=18),0,1)</f>
        <v/>
      </c>
      <c r="DT10">
        <f>DT9*IF(OR($C9=19,$G9=19),0,1)</f>
        <v/>
      </c>
      <c r="DU10">
        <f>DU9*IF(OR($C9=20,$G9=20),0,1)</f>
        <v/>
      </c>
      <c r="DV10">
        <f>DV9*IF(OR($C9=21,$G9=21),0,1)</f>
        <v/>
      </c>
      <c r="DW10">
        <f>DW9*IF(OR($C9=22,$G9=22),0,1)</f>
        <v/>
      </c>
      <c r="DX10">
        <f>DX9*IF(OR($C9=23,$G9=23),0,1)</f>
        <v/>
      </c>
      <c r="DY10">
        <f>DY9*IF(OR($C9=24,$G9=24),0,1)</f>
        <v/>
      </c>
      <c r="DZ10">
        <f>DZ9*IF(OR($C9=25,$G9=25),0,1)</f>
        <v/>
      </c>
      <c r="EA10">
        <f>EA9*IF(OR($C9=26,$G9=26),0,1)</f>
        <v/>
      </c>
      <c r="EB10">
        <f>EB9*IF(OR($C9=27,$G9=27),0,1)</f>
        <v/>
      </c>
      <c r="EC10">
        <f>EC9*IF(OR($C9=28,$G9=28),0,1)</f>
        <v/>
      </c>
      <c r="ED10">
        <f>ED9*IF(OR($C9=29,$G9=29),0,1)</f>
        <v/>
      </c>
      <c r="EE10">
        <f>EE9*IF(OR($C9=30,$G9=30),0,1)</f>
        <v/>
      </c>
      <c r="EF10">
        <f>EF9*IF(OR($C9=31,$G9=31),0,1)</f>
        <v/>
      </c>
      <c r="EG10">
        <f>EG9*IF(OR($C9=32,$G9=32),0,1)</f>
        <v/>
      </c>
      <c r="EH10">
        <f>EH9*IF(OR($C9=33,$G9=33),0,1)</f>
        <v/>
      </c>
      <c r="EI10">
        <f>EI9*IF(OR($C9=34,$G9=34),0,1)</f>
        <v/>
      </c>
      <c r="EJ10">
        <f>EJ9*IF(OR($C9=35,$G9=35),0,1)</f>
        <v/>
      </c>
      <c r="EK10">
        <f>EK9*IF(OR($C9=36,$G9=36),0,1)</f>
        <v/>
      </c>
      <c r="EL10">
        <f>EL9*IF(OR($C9=37,$G9=37),0,1)</f>
        <v/>
      </c>
      <c r="EM10">
        <f>EM9*IF(OR($C9=38,$G9=38),0,1)</f>
        <v/>
      </c>
      <c r="EN10">
        <f>EN9*IF(OR($C9=39,$G9=39),0,1)</f>
        <v/>
      </c>
      <c r="EO10">
        <f>EO9*IF(OR($C9=40,$G9=40),0,1)</f>
        <v/>
      </c>
      <c r="EP10">
        <f>EP9*IF(OR($C9=41,$G9=41),0,1)</f>
        <v/>
      </c>
      <c r="EQ10">
        <f>EQ9*IF(OR($C9=42,$G9=42),0,1)</f>
        <v/>
      </c>
      <c r="ER10">
        <f>ER9*IF(OR($C9=43,$G9=43),0,1)</f>
        <v/>
      </c>
      <c r="ES10">
        <f>ES9*IF(OR($C9=44,$G9=44),0,1)</f>
        <v/>
      </c>
      <c r="ET10">
        <f>ET9*IF(OR($C9=45,$G9=45),0,1)</f>
        <v/>
      </c>
      <c r="EU10">
        <f>EU9*IF(OR($C9=46,$G9=46),0,1)</f>
        <v/>
      </c>
      <c r="EV10">
        <f>EV9*IF(OR($C9=47,$G9=47),0,1)</f>
        <v/>
      </c>
      <c r="EW10">
        <f>EW9*IF(OR($C9=48,$G9=48),0,1)</f>
        <v/>
      </c>
      <c r="EX10">
        <f>EX9*IF(OR($C9=49,$G9=49),0,1)</f>
        <v/>
      </c>
      <c r="EY10">
        <f>EY9*IF(OR($C9=50,$G9=50),0,1)</f>
        <v/>
      </c>
      <c r="EZ10">
        <f>EZ9*IF(OR($C9=51,$G9=51),0,1)</f>
        <v/>
      </c>
      <c r="FA10">
        <f>FA9*IF(OR($C9=52,$G9=52),0,1)</f>
        <v/>
      </c>
      <c r="FB10">
        <f>FB9*IF(OR($C9=53,$G9=53),0,1)</f>
        <v/>
      </c>
      <c r="FC10">
        <f>FC9*IF(OR($C9=54,$G9=54),0,1)</f>
        <v/>
      </c>
      <c r="FD10">
        <f>FD9*IF(OR($C9=55,$G9=55),0,1)</f>
        <v/>
      </c>
      <c r="FE10">
        <f>FE9*IF(OR($C9=56,$G9=56),0,1)</f>
        <v/>
      </c>
      <c r="FF10">
        <f>FF9*IF(OR($C9=57,$G9=57),0,1)</f>
        <v/>
      </c>
      <c r="FG10">
        <f>FG9*IF(OR($C9=58,$G9=58),0,1)</f>
        <v/>
      </c>
      <c r="FH10">
        <f>FH9*IF(OR($C9=59,$G9=59),0,1)</f>
        <v/>
      </c>
      <c r="FI10">
        <f>FI9*IF(OR($C9=60,$G9=60),0,1)</f>
        <v/>
      </c>
      <c r="FJ10">
        <f>FJ9*IF(OR($C9=61,$G9=61),0,1)</f>
        <v/>
      </c>
      <c r="FK10">
        <f>FK9*IF(OR($C9=62,$G9=62),0,1)</f>
        <v/>
      </c>
      <c r="FL10">
        <f>FL9*IF(OR($C9=63,$G9=63),0,1)</f>
        <v/>
      </c>
      <c r="FM10">
        <f>FM9*IF(OR($C9=64,$G9=64),0,1)</f>
        <v/>
      </c>
      <c r="FN10">
        <f>FN9*IF(OR($C9=65,$G9=65),0,1)</f>
        <v/>
      </c>
      <c r="FO10">
        <f>FO9*IF(OR($C9=66,$G9=66),0,1)</f>
        <v/>
      </c>
      <c r="FP10">
        <f>FP9*IF(OR($C9=67,$G9=67),0,1)</f>
        <v/>
      </c>
      <c r="FQ10">
        <f>FQ9*IF(OR($C9=68,$G9=68),0,1)</f>
        <v/>
      </c>
      <c r="FR10">
        <f>FR9*IF(OR($C9=69,$G9=69),0,1)</f>
        <v/>
      </c>
      <c r="FS10">
        <f>FS9*IF(OR($C9=70,$G9=70),0,1)</f>
        <v/>
      </c>
      <c r="FT10">
        <f>FT9*IF(OR($C9=71,$G9=71),0,1)</f>
        <v/>
      </c>
      <c r="FU10">
        <f>FU9*IF(OR($C9=72,$G9=72),0,1)</f>
        <v/>
      </c>
      <c r="FV10">
        <f>FV9*IF(OR($C9=73,$G9=73),0,1)</f>
        <v/>
      </c>
      <c r="FW10">
        <f>FW9*IF(OR($C9=74,$G9=74),0,1)</f>
        <v/>
      </c>
      <c r="FX10">
        <f>FX9*IF(OR($C9=75,$G9=75),0,1)</f>
        <v/>
      </c>
      <c r="FY10">
        <f>FY9*IF(OR($C9=76,$G9=76),0,1)</f>
        <v/>
      </c>
      <c r="FZ10">
        <f>FZ9*IF(OR($C9=77,$G9=77),0,1)</f>
        <v/>
      </c>
      <c r="GA10">
        <f>GA9*IF(OR($C9=78,$G9=78),0,1)</f>
        <v/>
      </c>
      <c r="GB10">
        <f>GB9*IF(OR($C9=79,$G9=79),0,1)</f>
        <v/>
      </c>
      <c r="GC10">
        <f>GC9*IF(OR($C9=80,$G9=80),0,1)</f>
        <v/>
      </c>
      <c r="GD10">
        <f>GD9*IF(OR($C9=81,$G9=81),0,1)</f>
        <v/>
      </c>
      <c r="GE10">
        <f>GE9*IF(OR($C9=82,$G9=82),0,1)</f>
        <v/>
      </c>
      <c r="GF10">
        <f>GF9*IF(OR($C9=83,$G9=83),0,1)</f>
        <v/>
      </c>
      <c r="GG10">
        <f>GG9*IF(OR($C9=84,$G9=84),0,1)</f>
        <v/>
      </c>
      <c r="GH10">
        <f>GH9*IF(OR($C9=85,$G9=85),0,1)</f>
        <v/>
      </c>
      <c r="GI10">
        <f>GI9*IF(OR($C9=86,$G9=86),0,1)</f>
        <v/>
      </c>
      <c r="GJ10">
        <f>GJ9*IF(OR($C9=87,$G9=87),0,1)</f>
        <v/>
      </c>
      <c r="GK10">
        <f>GK9*IF(OR($C9=88,$G9=88),0,1)</f>
        <v/>
      </c>
      <c r="GL10">
        <f>GL9*IF(OR($C9=89,$G9=89),0,1)</f>
        <v/>
      </c>
      <c r="GM10">
        <f>GM9*IF(OR($C9=90,$G9=90),0,1)</f>
        <v/>
      </c>
      <c r="GN10">
        <f>GN9*IF(OR($C9=91,$G9=91),0,1)</f>
        <v/>
      </c>
      <c r="GO10">
        <f>GO9*IF(OR($C9=92,$G9=92),0,1)</f>
        <v/>
      </c>
      <c r="GP10">
        <f>GP9*IF(OR($C9=93,$G9=93),0,1)</f>
        <v/>
      </c>
      <c r="GQ10">
        <f>GQ9*IF(OR($C9=94,$G9=94),0,1)</f>
        <v/>
      </c>
      <c r="GR10">
        <f>GR9*IF(OR($C9=95,$G9=95),0,1)</f>
        <v/>
      </c>
      <c r="GS10">
        <f>GS9*IF(OR($C9=96,$G9=96),0,1)</f>
        <v/>
      </c>
      <c r="GT10">
        <f>GT9*IF(OR($C9=97,$G9=97),0,1)</f>
        <v/>
      </c>
      <c r="GU10">
        <f>GU9*IF(OR($C9=98,$G9=98),0,1)</f>
        <v/>
      </c>
      <c r="GV10">
        <f>GV9*IF(OR($C9=99,$G9=99),0,1)</f>
        <v/>
      </c>
      <c r="GW10">
        <f>GW9*IF(OR($C9=100,$G9=100),0,1)</f>
        <v/>
      </c>
      <c r="GX10">
        <f>GX9*IF(OR($C9=101,$G9=101),0,1)</f>
        <v/>
      </c>
      <c r="GY10">
        <f>GY9*IF(OR($C9=102,$G9=102),0,1)</f>
        <v/>
      </c>
      <c r="GZ10">
        <f>GZ9*IF(OR($C9=103,$G9=103),0,1)</f>
        <v/>
      </c>
      <c r="HA10">
        <f>HA9*IF(OR($C9=104,$G9=104),0,1)</f>
        <v/>
      </c>
      <c r="HB10">
        <f>HB9*IF(OR($C9=105,$G9=105),0,1)</f>
        <v/>
      </c>
      <c r="HC10">
        <f>HC9*IF(OR($C9=106,$G9=106),0,1)</f>
        <v/>
      </c>
      <c r="HD10">
        <f>HD9*IF(OR($C9=107,$G9=107),0,1)</f>
        <v/>
      </c>
      <c r="HE10">
        <f>HE9*IF(OR($C9=108,$G9=108),0,1)</f>
        <v/>
      </c>
      <c r="HF10">
        <f>HF9*IF(OR($C9=109,$G9=109),0,1)</f>
        <v/>
      </c>
      <c r="HG10">
        <f>HG9*IF(OR($C9=110,$G9=110),0,1)</f>
        <v/>
      </c>
      <c r="HH10">
        <f>HH9*IF(OR($C9=111,$G9=111),0,1)</f>
        <v/>
      </c>
      <c r="HI10">
        <f>HI9*IF(OR($C9=112,$G9=112),0,1)</f>
        <v/>
      </c>
      <c r="HJ10">
        <f>HJ9*IF(OR($C9=113,$G9=113),0,1)</f>
        <v/>
      </c>
      <c r="HK10">
        <f>HK9*IF(OR($C9=114,$G9=114),0,1)</f>
        <v/>
      </c>
      <c r="HL10">
        <f>HL9*IF(OR($C9=115,$G9=115),0,1)</f>
        <v/>
      </c>
      <c r="HM10">
        <f>HM9*IF(OR($C9=116,$G9=116),0,1)</f>
        <v/>
      </c>
      <c r="HN10">
        <f>HN9*IF(OR($C9=117,$G9=117),0,1)</f>
        <v/>
      </c>
      <c r="HO10">
        <f>HO9*IF(OR($C9=118,$G9=118),0,1)</f>
        <v/>
      </c>
      <c r="HP10">
        <f>HP9*IF(OR($C9=119,$G9=119),0,1)</f>
        <v/>
      </c>
      <c r="HQ10">
        <f>HQ9*IF(OR($C9=120,$G9=120),0,1)</f>
        <v/>
      </c>
      <c r="HR10">
        <f>HR9*IF(OR($C9=121,$G9=121),0,1)</f>
        <v/>
      </c>
      <c r="HS10">
        <f>HS9*IF(OR($C9=122,$G9=122),0,1)</f>
        <v/>
      </c>
      <c r="HT10">
        <f>HT9*IF(OR($C9=123,$G9=123),0,1)</f>
        <v/>
      </c>
      <c r="HU10">
        <f>HU9*IF(OR($C9=124,$G9=124),0,1)</f>
        <v/>
      </c>
      <c r="HV10">
        <f>HV9*IF(OR($C9=125,$G9=125),0,1)</f>
        <v/>
      </c>
      <c r="HW10">
        <f>HW9*IF(OR($C9=126,$G9=126),0,1)</f>
        <v/>
      </c>
      <c r="HX10">
        <f>HX9*IF(OR($C9=127,$G9=127),0,1)</f>
        <v/>
      </c>
      <c r="HY10">
        <f>HY9*IF(OR($C9=128,$G9=128),0,1)</f>
        <v/>
      </c>
      <c r="HZ10">
        <f>HZ9*IF(OR($C9=129,$G9=129),0,1)</f>
        <v/>
      </c>
      <c r="IA10">
        <f>IA9*IF(OR($C9=130,$G9=130),0,1)</f>
        <v/>
      </c>
      <c r="IB10">
        <f>IB9*IF(OR($C9=131,$G9=131),0,1)</f>
        <v/>
      </c>
      <c r="IC10">
        <f>IC9*IF(OR($C9=132,$G9=132),0,1)</f>
        <v/>
      </c>
      <c r="ID10">
        <f>ID9*IF(OR($C9=133,$G9=133),0,1)</f>
        <v/>
      </c>
      <c r="IE10">
        <f>IE9*IF(OR($C9=134,$G9=134),0,1)</f>
        <v/>
      </c>
      <c r="IF10">
        <f>IF9*IF(OR($C9=135,$G9=135),0,1)</f>
        <v/>
      </c>
      <c r="IG10">
        <f>IG9*IF(OR($C9=136,$G9=136),0,1)</f>
        <v/>
      </c>
      <c r="IH10">
        <f>IH9*IF(OR($C9=137,$G9=137),0,1)</f>
        <v/>
      </c>
      <c r="II10">
        <f>II9*IF(OR($C9=138,$G9=138),0,1)</f>
        <v/>
      </c>
      <c r="IJ10">
        <f>IJ9*IF(OR($C9=139,$G9=139),0,1)</f>
        <v/>
      </c>
      <c r="IK10">
        <f>IK9*IF(OR($C9=140,$G9=140),0,1)</f>
        <v/>
      </c>
      <c r="IL10">
        <f>IL9*IF(OR($C9=141,$G9=141),0,1)</f>
        <v/>
      </c>
      <c r="IM10">
        <f>IM9*IF(OR($C9=142,$G9=142),0,1)</f>
        <v/>
      </c>
      <c r="IN10">
        <f>IN9*IF(OR($C9=143,$G9=143),0,1)</f>
        <v/>
      </c>
      <c r="IO10">
        <f>IO9*IF(OR($C9=144,$G9=144),0,1)</f>
        <v/>
      </c>
      <c r="IQ10">
        <f>IF('calcA'!D$106=1,DC10,1)</f>
        <v/>
      </c>
      <c r="IR10">
        <f>IF('calcA'!E$106=1,DD10,1)</f>
        <v/>
      </c>
      <c r="IS10">
        <f>IF('calcA'!F$106=1,DE10,1)</f>
        <v/>
      </c>
      <c r="IT10">
        <f>IF('calcA'!G$106=1,DF10,1)</f>
        <v/>
      </c>
      <c r="IU10">
        <f>IF('calcA'!H$106=1,DG10,1)</f>
        <v/>
      </c>
      <c r="IV10">
        <f>IF('calcA'!I$106=1,DH10,1)</f>
        <v/>
      </c>
      <c r="IW10">
        <f>IF('calcA'!J$106=1,DI10,1)</f>
        <v/>
      </c>
      <c r="IX10">
        <f>IF('calcA'!K$106=1,DJ10,1)</f>
        <v/>
      </c>
      <c r="IY10">
        <f>IF('calcA'!L$106=1,DK10,1)</f>
        <v/>
      </c>
      <c r="IZ10">
        <f>IF('calcA'!M$106=1,DL10,1)</f>
        <v/>
      </c>
      <c r="JA10">
        <f>IF('calcA'!N$106=1,DM10,1)</f>
        <v/>
      </c>
      <c r="JB10">
        <f>IF('calcA'!O$106=1,DN10,1)</f>
        <v/>
      </c>
      <c r="JC10">
        <f>IF('calcA'!P$106=1,DO10,1)</f>
        <v/>
      </c>
      <c r="JD10">
        <f>IF('calcA'!Q$106=1,DP10,1)</f>
        <v/>
      </c>
      <c r="JE10">
        <f>IF('calcA'!R$106=1,DQ10,1)</f>
        <v/>
      </c>
      <c r="JF10">
        <f>IF('calcA'!S$106=1,DR10,1)</f>
        <v/>
      </c>
      <c r="JG10">
        <f>IF('calcA'!T$106=1,DS10,1)</f>
        <v/>
      </c>
      <c r="JH10">
        <f>IF('calcA'!U$106=1,DT10,1)</f>
        <v/>
      </c>
      <c r="JI10">
        <f>IF('calcA'!V$106=1,DU10,1)</f>
        <v/>
      </c>
      <c r="JJ10">
        <f>IF('calcA'!W$106=1,DV10,1)</f>
        <v/>
      </c>
      <c r="JK10">
        <f>IF('calcA'!X$106=1,DW10,1)</f>
        <v/>
      </c>
      <c r="JL10">
        <f>IF('calcA'!Y$106=1,DX10,1)</f>
        <v/>
      </c>
      <c r="JM10">
        <f>IF('calcA'!Z$106=1,DY10,1)</f>
        <v/>
      </c>
      <c r="JN10">
        <f>IF('calcA'!AA$106=1,DZ10,1)</f>
        <v/>
      </c>
      <c r="JO10">
        <f>IF('calcA'!AB$106=1,EA10,1)</f>
        <v/>
      </c>
      <c r="JP10">
        <f>IF('calcA'!AC$106=1,EB10,1)</f>
        <v/>
      </c>
      <c r="JQ10">
        <f>IF('calcA'!AD$106=1,EC10,1)</f>
        <v/>
      </c>
      <c r="JR10">
        <f>IF('calcA'!AE$106=1,ED10,1)</f>
        <v/>
      </c>
      <c r="JS10">
        <f>IF('calcA'!AF$106=1,EE10,1)</f>
        <v/>
      </c>
      <c r="JT10">
        <f>IF('calcA'!AG$106=1,EF10,1)</f>
        <v/>
      </c>
      <c r="JU10">
        <f>IF('calcA'!AH$106=1,EG10,1)</f>
        <v/>
      </c>
      <c r="JV10">
        <f>IF('calcA'!AI$106=1,EH10,1)</f>
        <v/>
      </c>
      <c r="JW10">
        <f>IF('calcA'!AJ$106=1,EI10,1)</f>
        <v/>
      </c>
      <c r="JX10">
        <f>IF('calcA'!AK$106=1,EJ10,1)</f>
        <v/>
      </c>
      <c r="JY10">
        <f>IF('calcA'!AL$106=1,EK10,1)</f>
        <v/>
      </c>
      <c r="JZ10">
        <f>IF('calcA'!AM$106=1,EL10,1)</f>
        <v/>
      </c>
      <c r="KA10">
        <f>IF('calcA'!AN$106=1,EM10,1)</f>
        <v/>
      </c>
      <c r="KB10">
        <f>IF('calcA'!AO$106=1,EN10,1)</f>
        <v/>
      </c>
      <c r="KC10">
        <f>IF('calcA'!AP$106=1,EO10,1)</f>
        <v/>
      </c>
      <c r="KD10">
        <f>IF('calcA'!AQ$106=1,EP10,1)</f>
        <v/>
      </c>
      <c r="KE10">
        <f>IF('calcA'!AR$106=1,EQ10,1)</f>
        <v/>
      </c>
      <c r="KF10">
        <f>IF('calcA'!AS$106=1,ER10,1)</f>
        <v/>
      </c>
      <c r="KG10">
        <f>IF('calcA'!AT$106=1,ES10,1)</f>
        <v/>
      </c>
      <c r="KH10">
        <f>IF('calcA'!AU$106=1,ET10,1)</f>
        <v/>
      </c>
      <c r="KI10">
        <f>IF('calcA'!AV$106=1,EU10,1)</f>
        <v/>
      </c>
      <c r="KJ10">
        <f>IF('calcA'!AW$106=1,EV10,1)</f>
        <v/>
      </c>
      <c r="KK10">
        <f>IF('calcA'!AX$106=1,EW10,1)</f>
        <v/>
      </c>
      <c r="KL10">
        <f>IF('calcA'!AY$106=1,EX10,1)</f>
        <v/>
      </c>
      <c r="KM10">
        <f>IF('calcA'!AZ$106=1,EY10,1)</f>
        <v/>
      </c>
      <c r="KN10">
        <f>IF('calcA'!BA$106=1,EZ10,1)</f>
        <v/>
      </c>
      <c r="KO10">
        <f>IF('calcA'!BB$106=1,FA10,1)</f>
        <v/>
      </c>
      <c r="KP10">
        <f>IF('calcA'!BC$106=1,FB10,1)</f>
        <v/>
      </c>
      <c r="KQ10">
        <f>IF('calcA'!BD$106=1,FC10,1)</f>
        <v/>
      </c>
      <c r="KR10">
        <f>IF('calcA'!BE$106=1,FD10,1)</f>
        <v/>
      </c>
      <c r="KS10">
        <f>IF('calcA'!BF$106=1,FE10,1)</f>
        <v/>
      </c>
      <c r="KT10">
        <f>IF('calcA'!BG$106=1,FF10,1)</f>
        <v/>
      </c>
      <c r="KU10">
        <f>IF('calcA'!BH$106=1,FG10,1)</f>
        <v/>
      </c>
      <c r="KV10">
        <f>IF('calcA'!BI$106=1,FH10,1)</f>
        <v/>
      </c>
      <c r="KW10">
        <f>IF('calcA'!BJ$106=1,FI10,1)</f>
        <v/>
      </c>
      <c r="KX10">
        <f>IF('calcA'!BK$106=1,FJ10,1)</f>
        <v/>
      </c>
      <c r="KY10">
        <f>IF('calcA'!BL$106=1,FK10,1)</f>
        <v/>
      </c>
      <c r="KZ10">
        <f>IF('calcA'!BM$106=1,FL10,1)</f>
        <v/>
      </c>
      <c r="LA10">
        <f>IF('calcA'!BN$106=1,FM10,1)</f>
        <v/>
      </c>
      <c r="LB10">
        <f>IF('calcA'!BO$106=1,FN10,1)</f>
        <v/>
      </c>
      <c r="LC10">
        <f>IF('calcA'!BP$106=1,FO10,1)</f>
        <v/>
      </c>
      <c r="LD10">
        <f>IF('calcA'!BQ$106=1,FP10,1)</f>
        <v/>
      </c>
      <c r="LE10">
        <f>IF('calcA'!BR$106=1,FQ10,1)</f>
        <v/>
      </c>
      <c r="LF10">
        <f>IF('calcA'!BS$106=1,FR10,1)</f>
        <v/>
      </c>
      <c r="LG10">
        <f>IF('calcA'!BT$106=1,FS10,1)</f>
        <v/>
      </c>
      <c r="LH10">
        <f>IF('calcA'!BU$106=1,FT10,1)</f>
        <v/>
      </c>
      <c r="LI10">
        <f>IF('calcA'!BV$106=1,FU10,1)</f>
        <v/>
      </c>
      <c r="LJ10">
        <f>IF('calcA'!BW$106=1,FV10,1)</f>
        <v/>
      </c>
      <c r="LK10">
        <f>IF('calcA'!BX$106=1,FW10,1)</f>
        <v/>
      </c>
      <c r="LL10">
        <f>IF('calcA'!BY$106=1,FX10,1)</f>
        <v/>
      </c>
      <c r="LM10">
        <f>IF('calcA'!BZ$106=1,FY10,1)</f>
        <v/>
      </c>
      <c r="LN10">
        <f>IF('calcA'!CA$106=1,FZ10,1)</f>
        <v/>
      </c>
      <c r="LO10">
        <f>IF('calcA'!CB$106=1,GA10,1)</f>
        <v/>
      </c>
      <c r="LP10">
        <f>IF('calcA'!CC$106=1,GB10,1)</f>
        <v/>
      </c>
      <c r="LQ10">
        <f>IF('calcA'!CD$106=1,GC10,1)</f>
        <v/>
      </c>
      <c r="LR10">
        <f>IF('calcA'!CE$106=1,GD10,1)</f>
        <v/>
      </c>
      <c r="LS10">
        <f>IF('calcA'!CF$106=1,GE10,1)</f>
        <v/>
      </c>
      <c r="LT10">
        <f>IF('calcA'!CG$106=1,GF10,1)</f>
        <v/>
      </c>
      <c r="LU10">
        <f>IF('calcA'!CH$106=1,GG10,1)</f>
        <v/>
      </c>
      <c r="LV10">
        <f>IF('calcA'!CI$106=1,GH10,1)</f>
        <v/>
      </c>
      <c r="LW10">
        <f>IF('calcA'!CJ$106=1,GI10,1)</f>
        <v/>
      </c>
      <c r="LX10">
        <f>IF('calcA'!CK$106=1,GJ10,1)</f>
        <v/>
      </c>
      <c r="LY10">
        <f>IF('calcA'!CL$106=1,GK10,1)</f>
        <v/>
      </c>
      <c r="LZ10">
        <f>IF('calcA'!CM$106=1,GL10,1)</f>
        <v/>
      </c>
      <c r="MA10">
        <f>IF('calcA'!CN$106=1,GM10,1)</f>
        <v/>
      </c>
      <c r="MB10">
        <f>IF('calcA'!CO$106=1,GN10,1)</f>
        <v/>
      </c>
      <c r="MC10">
        <f>IF('calcA'!CP$106=1,GO10,1)</f>
        <v/>
      </c>
      <c r="MD10">
        <f>IF('calcA'!CQ$106=1,GP10,1)</f>
        <v/>
      </c>
      <c r="ME10">
        <f>IF('calcA'!CR$106=1,GQ10,1)</f>
        <v/>
      </c>
      <c r="MF10">
        <f>IF('calcA'!CS$106=1,GR10,1)</f>
        <v/>
      </c>
      <c r="MG10">
        <f>IF('calcA'!CT$106=1,GS10,1)</f>
        <v/>
      </c>
      <c r="MH10">
        <f>IF('calcA'!CU$106=1,GT10,1)</f>
        <v/>
      </c>
      <c r="MI10">
        <f>IF('calcA'!CV$106=1,GU10,1)</f>
        <v/>
      </c>
      <c r="MJ10">
        <f>IF('calcA'!CW$106=1,GV10,1)</f>
        <v/>
      </c>
      <c r="MK10">
        <f>IF('calcA'!CX$106=1,GW10,1)</f>
        <v/>
      </c>
      <c r="ML10">
        <f>IF('calcA'!CY$106=1,GX10,1)</f>
        <v/>
      </c>
      <c r="MM10">
        <f>IF('calcA'!CZ$106=1,GY10,1)</f>
        <v/>
      </c>
      <c r="MN10">
        <f>IF('calcA'!DA$106=1,GZ10,1)</f>
        <v/>
      </c>
      <c r="MO10">
        <f>IF('calcA'!DB$106=1,HA10,1)</f>
        <v/>
      </c>
      <c r="MP10">
        <f>IF('calcA'!DC$106=1,HB10,1)</f>
        <v/>
      </c>
      <c r="MQ10">
        <f>IF('calcA'!DD$106=1,HC10,1)</f>
        <v/>
      </c>
      <c r="MR10">
        <f>IF('calcA'!DE$106=1,HD10,1)</f>
        <v/>
      </c>
      <c r="MS10">
        <f>IF('calcA'!DF$106=1,HE10,1)</f>
        <v/>
      </c>
      <c r="MT10">
        <f>IF('calcA'!DG$106=1,HF10,1)</f>
        <v/>
      </c>
      <c r="MU10">
        <f>IF('calcA'!DH$106=1,HG10,1)</f>
        <v/>
      </c>
      <c r="MV10">
        <f>IF('calcA'!DI$106=1,HH10,1)</f>
        <v/>
      </c>
      <c r="MW10">
        <f>IF('calcA'!DJ$106=1,HI10,1)</f>
        <v/>
      </c>
      <c r="MX10">
        <f>IF('calcA'!DK$106=1,HJ10,1)</f>
        <v/>
      </c>
      <c r="MY10">
        <f>IF('calcA'!DL$106=1,HK10,1)</f>
        <v/>
      </c>
      <c r="MZ10">
        <f>IF('calcA'!DM$106=1,HL10,1)</f>
        <v/>
      </c>
      <c r="NA10">
        <f>IF('calcA'!DN$106=1,HM10,1)</f>
        <v/>
      </c>
      <c r="NB10">
        <f>IF('calcA'!DO$106=1,HN10,1)</f>
        <v/>
      </c>
      <c r="NC10">
        <f>IF('calcA'!DP$106=1,HO10,1)</f>
        <v/>
      </c>
      <c r="ND10">
        <f>IF('calcA'!DQ$106=1,HP10,1)</f>
        <v/>
      </c>
      <c r="NE10">
        <f>IF('calcA'!DR$106=1,HQ10,1)</f>
        <v/>
      </c>
      <c r="NF10">
        <f>IF('calcA'!DS$106=1,HR10,1)</f>
        <v/>
      </c>
      <c r="NG10">
        <f>IF('calcA'!DT$106=1,HS10,1)</f>
        <v/>
      </c>
      <c r="NH10">
        <f>IF('calcA'!DU$106=1,HT10,1)</f>
        <v/>
      </c>
      <c r="NI10">
        <f>IF('calcA'!DV$106=1,HU10,1)</f>
        <v/>
      </c>
      <c r="NJ10">
        <f>IF('calcA'!DW$106=1,HV10,1)</f>
        <v/>
      </c>
      <c r="NK10">
        <f>IF('calcA'!DX$106=1,HW10,1)</f>
        <v/>
      </c>
      <c r="NL10">
        <f>IF('calcA'!DY$106=1,HX10,1)</f>
        <v/>
      </c>
      <c r="NM10">
        <f>IF('calcA'!DZ$106=1,HY10,1)</f>
        <v/>
      </c>
      <c r="NN10">
        <f>IF('calcA'!EA$106=1,HZ10,1)</f>
        <v/>
      </c>
      <c r="NO10">
        <f>IF('calcA'!EB$106=1,IA10,1)</f>
        <v/>
      </c>
      <c r="NP10">
        <f>IF('calcA'!EC$106=1,IB10,1)</f>
        <v/>
      </c>
      <c r="NQ10">
        <f>IF('calcA'!ED$106=1,IC10,1)</f>
        <v/>
      </c>
      <c r="NR10">
        <f>IF('calcA'!EE$106=1,ID10,1)</f>
        <v/>
      </c>
      <c r="NS10">
        <f>IF('calcA'!EF$106=1,IE10,1)</f>
        <v/>
      </c>
      <c r="NT10">
        <f>IF('calcA'!EG$106=1,IF10,1)</f>
        <v/>
      </c>
      <c r="NU10">
        <f>IF('calcA'!EH$106=1,IG10,1)</f>
        <v/>
      </c>
      <c r="NV10">
        <f>IF('calcA'!EI$106=1,IH10,1)</f>
        <v/>
      </c>
      <c r="NW10">
        <f>IF('calcA'!EJ$106=1,II10,1)</f>
        <v/>
      </c>
      <c r="NX10">
        <f>IF('calcA'!EK$106=1,IJ10,1)</f>
        <v/>
      </c>
      <c r="NY10">
        <f>IF('calcA'!EL$106=1,IK10,1)</f>
        <v/>
      </c>
      <c r="NZ10">
        <f>IF('calcA'!EM$106=1,IL10,1)</f>
        <v/>
      </c>
      <c r="OA10">
        <f>IF('calcA'!EN$106=1,IM10,1)</f>
        <v/>
      </c>
      <c r="OB10">
        <f>IF('calcA'!EO$106=1,IN10,1)</f>
        <v/>
      </c>
      <c r="OC10">
        <f>IF('calcA'!EP$106=1,IO10,1)</f>
        <v/>
      </c>
      <c r="OD10" t="n">
        <v>1</v>
      </c>
      <c r="OF10">
        <f>IF($B10=0,1000000000,IF(INDEX('calcA'!$D$60:$EQ$99,$B10,1)*IF($W10=1,DB10+ZQ10,DB10)=1,IF(AND($E10=2,IF($W10=1,AFF10,IQ10)=0),1000000000,IF($V10=1,INDEX('calcA'!$D$130:$EQ$169,$B10,1)+IF(AND($E10=1,IQ10=0),25,0),IF($F10&gt;0,INDEX('calcA'!D$110:D$114,$F10+1)+IF(AND($E10=1,IQ10=0),1000,0),MIN(TU10,20)*400+(IF('calcA'!D$106=1,1-DC10,0))*150+11+'calcA'!D$5*100000+IF(AND($E10=1,IQ10=0),50000,0))+IF($H10=1,INDEX('calcA'!$D$180:$EQ$219,$B10,1)*4000,0)-IF(AND($U10=1,'calcA'!D$117=1,DC10=0),2000,0))),1000000000))</f>
        <v/>
      </c>
      <c r="OG10">
        <f>IF($B10=0,1000000000,IF(INDEX('calcA'!$D$60:$EQ$99,$B10,2)*IF($W10=1,DC10+ZR10,DC10)=1,IF(AND($E10=2,IF($W10=1,AFG10,IR10)=0),1000000000,IF($V10=1,INDEX('calcA'!$D$130:$EQ$169,$B10,2)+IF(AND($E10=1,IR10=0),25,0),IF($F10&gt;0,INDEX('calcA'!E$110:E$114,$F10+1)+IF(AND($E10=1,IR10=0),1000,0),MIN(TU10,20)*400+(IF('calcA'!D$106=1,1-DB10,0)+IF('calcA'!E$106=1,1-DD10,0))*150+21+'calcA'!E$5*100000+IF(AND($E10=1,IR10=0),50000,0))+IF($H10=1,INDEX('calcA'!$D$180:$EQ$219,$B10,2)*4000,0)-IF(AND('calcA'!D$117=1,UB10&gt;0),2000,0)-IF(AND($U10=1,'calcA'!E$117=1,DD10=0),2000,0))),1000000000))</f>
        <v/>
      </c>
      <c r="OH10">
        <f>IF($B10=0,1000000000,IF(INDEX('calcA'!$D$60:$EQ$99,$B10,3)*IF($W10=1,DD10+ZS10,DD10)=1,IF(AND($E10=2,IF($W10=1,AFH10,IS10)=0),1000000000,IF($V10=1,INDEX('calcA'!$D$130:$EQ$169,$B10,3)+IF(AND($E10=1,IS10=0),25,0),IF($F10&gt;0,INDEX('calcA'!F$110:F$114,$F10+1)+IF(AND($E10=1,IS10=0),1000,0),MIN(TU10,20)*400+(IF('calcA'!E$106=1,1-DC10,0)+IF('calcA'!F$106=1,1-DE10,0))*150+31+'calcA'!F$5*100000+IF(AND($E10=1,IS10=0),50000,0))+IF($H10=1,INDEX('calcA'!$D$180:$EQ$219,$B10,3)*4000,0)-IF(AND('calcA'!E$117=1,UC10&gt;0),2000,0)-IF(AND($U10=1,'calcA'!F$117=1,DE10=0),2000,0))),1000000000))</f>
        <v/>
      </c>
      <c r="OI10">
        <f>IF($B10=0,1000000000,IF(INDEX('calcA'!$D$60:$EQ$99,$B10,4)*IF($W10=1,DE10+ZT10,DE10)=1,IF(AND($E10=2,IF($W10=1,AFI10,IT10)=0),1000000000,IF($V10=1,INDEX('calcA'!$D$130:$EQ$169,$B10,4)+IF(AND($E10=1,IT10=0),25,0),IF($F10&gt;0,INDEX('calcA'!G$110:G$114,$F10+1)+IF(AND($E10=1,IT10=0),1000,0),MIN(TU10,20)*400+(IF('calcA'!F$106=1,1-DD10,0)+IF('calcA'!G$106=1,1-DF10,0))*150+41+'calcA'!G$5*100000+IF(AND($E10=1,IT10=0),50000,0))+IF($H10=1,INDEX('calcA'!$D$180:$EQ$219,$B10,4)*4000,0)-IF(AND('calcA'!F$117=1,UD10&gt;0),2000,0)-IF(AND($U10=1,'calcA'!G$117=1,DF10=0),2000,0))),1000000000))</f>
        <v/>
      </c>
      <c r="OJ10">
        <f>IF($B10=0,1000000000,IF(INDEX('calcA'!$D$60:$EQ$99,$B10,5)*IF($W10=1,DF10+ZU10,DF10)=1,IF(AND($E10=2,IF($W10=1,AFJ10,IU10)=0),1000000000,IF($V10=1,INDEX('calcA'!$D$130:$EQ$169,$B10,5)+IF(AND($E10=1,IU10=0),25,0),IF($F10&gt;0,INDEX('calcA'!H$110:H$114,$F10+1)+IF(AND($E10=1,IU10=0),1000,0),MIN(TU10,20)*400+(IF('calcA'!G$106=1,1-DE10,0)+IF('calcA'!H$106=1,1-DG10,0))*150+51+'calcA'!H$5*100000+IF(AND($E10=1,IU10=0),50000,0))+IF($H10=1,INDEX('calcA'!$D$180:$EQ$219,$B10,5)*4000,0)-IF(AND('calcA'!G$117=1,UE10&gt;0),2000,0)-IF(AND($U10=1,'calcA'!H$117=1,DG10=0),2000,0))),1000000000))</f>
        <v/>
      </c>
      <c r="OK10">
        <f>IF($B10=0,1000000000,IF(INDEX('calcA'!$D$60:$EQ$99,$B10,6)*IF($W10=1,DG10+ZV10,DG10)=1,IF(AND($E10=2,IF($W10=1,AFK10,IV10)=0),1000000000,IF($V10=1,INDEX('calcA'!$D$130:$EQ$169,$B10,6)+IF(AND($E10=1,IV10=0),25,0),IF($F10&gt;0,INDEX('calcA'!I$110:I$114,$F10+1)+IF(AND($E10=1,IV10=0),1000,0),MIN(TU10,20)*400+(IF('calcA'!H$106=1,1-DF10,0)+IF('calcA'!I$106=1,1-DH10,0))*150+61+'calcA'!I$5*100000+IF(AND($E10=1,IV10=0),50000,0))+IF($H10=1,INDEX('calcA'!$D$180:$EQ$219,$B10,6)*4000,0)-IF(AND('calcA'!H$117=1,UF10&gt;0),2000,0)-IF(AND($U10=1,'calcA'!I$117=1,DH10=0),2000,0))),1000000000))</f>
        <v/>
      </c>
      <c r="OL10">
        <f>IF($B10=0,1000000000,IF(INDEX('calcA'!$D$60:$EQ$99,$B10,7)*IF($W10=1,DH10+ZW10,DH10)=1,IF(AND($E10=2,IF($W10=1,AFL10,IW10)=0),1000000000,IF($V10=1,INDEX('calcA'!$D$130:$EQ$169,$B10,7)+IF(AND($E10=1,IW10=0),25,0),IF($F10&gt;0,INDEX('calcA'!J$110:J$114,$F10+1)+IF(AND($E10=1,IW10=0),1000,0),MIN(TU10,20)*400+(IF('calcA'!I$106=1,1-DG10,0)+IF('calcA'!J$106=1,1-DI10,0))*150+71+'calcA'!J$5*100000+IF(AND($E10=1,IW10=0),50000,0))+IF($H10=1,INDEX('calcA'!$D$180:$EQ$219,$B10,7)*4000,0)-IF(AND('calcA'!I$117=1,UG10&gt;0),2000,0)-IF(AND($U10=1,'calcA'!J$117=1,DI10=0),2000,0))),1000000000))</f>
        <v/>
      </c>
      <c r="OM10">
        <f>IF($B10=0,1000000000,IF(INDEX('calcA'!$D$60:$EQ$99,$B10,8)*IF($W10=1,DI10+ZX10,DI10)=1,IF(AND($E10=2,IF($W10=1,AFM10,IX10)=0),1000000000,IF($V10=1,INDEX('calcA'!$D$130:$EQ$169,$B10,8)+IF(AND($E10=1,IX10=0),25,0),IF($F10&gt;0,INDEX('calcA'!K$110:K$114,$F10+1)+IF(AND($E10=1,IX10=0),1000,0),MIN(TU10,20)*400+(IF('calcA'!J$106=1,1-DH10,0)+IF('calcA'!K$106=1,1-DJ10,0))*150+81+'calcA'!K$5*100000+IF(AND($E10=1,IX10=0),50000,0))+IF($H10=1,INDEX('calcA'!$D$180:$EQ$219,$B10,8)*4000,0)-IF(AND('calcA'!J$117=1,UH10&gt;0),2000,0)-IF(AND($U10=1,'calcA'!K$117=1,DJ10=0),2000,0))),1000000000))</f>
        <v/>
      </c>
      <c r="ON10">
        <f>IF($B10=0,1000000000,IF(INDEX('calcA'!$D$60:$EQ$99,$B10,9)*IF($W10=1,DJ10+ZY10,DJ10)=1,IF(AND($E10=2,IF($W10=1,AFN10,IY10)=0),1000000000,IF($V10=1,INDEX('calcA'!$D$130:$EQ$169,$B10,9)+IF(AND($E10=1,IY10=0),25,0),IF($F10&gt;0,INDEX('calcA'!L$110:L$114,$F10+1)+IF(AND($E10=1,IY10=0),1000,0),MIN(TU10,20)*400+(IF('calcA'!K$106=1,1-DI10,0)+IF('calcA'!L$106=1,1-DK10,0))*150+91+'calcA'!L$5*100000+IF(AND($E10=1,IY10=0),50000,0))+IF($H10=1,INDEX('calcA'!$D$180:$EQ$219,$B10,9)*4000,0)-IF(AND('calcA'!K$117=1,UI10&gt;0),2000,0)-IF(AND($U10=1,'calcA'!L$117=1,DK10=0),2000,0))),1000000000))</f>
        <v/>
      </c>
      <c r="OO10">
        <f>IF($B10=0,1000000000,IF(INDEX('calcA'!$D$60:$EQ$99,$B10,10)*IF($W10=1,DK10+ZZ10,DK10)=1,IF(AND($E10=2,IF($W10=1,AFO10,IZ10)=0),1000000000,IF($V10=1,INDEX('calcA'!$D$130:$EQ$169,$B10,10)+IF(AND($E10=1,IZ10=0),25,0),IF($F10&gt;0,INDEX('calcA'!M$110:M$114,$F10+1)+IF(AND($E10=1,IZ10=0),1000,0),MIN(TU10,20)*400+(IF('calcA'!L$106=1,1-DJ10,0)+IF('calcA'!M$106=1,1-DL10,0))*150+101+'calcA'!M$5*100000+IF(AND($E10=1,IZ10=0),50000,0))+IF($H10=1,INDEX('calcA'!$D$180:$EQ$219,$B10,10)*4000,0)-IF(AND('calcA'!L$117=1,UJ10&gt;0),2000,0)-IF(AND($U10=1,'calcA'!M$117=1,DL10=0),2000,0))),1000000000))</f>
        <v/>
      </c>
      <c r="OP10">
        <f>IF($B10=0,1000000000,IF(INDEX('calcA'!$D$60:$EQ$99,$B10,11)*IF($W10=1,DL10+AAA10,DL10)=1,IF(AND($E10=2,IF($W10=1,AFP10,JA10)=0),1000000000,IF($V10=1,INDEX('calcA'!$D$130:$EQ$169,$B10,11)+IF(AND($E10=1,JA10=0),25,0),IF($F10&gt;0,INDEX('calcA'!N$110:N$114,$F10+1)+IF(AND($E10=1,JA10=0),1000,0),MIN(TU10,20)*400+(IF('calcA'!M$106=1,1-DK10,0)+IF('calcA'!N$106=1,1-DM10,0))*150+111+'calcA'!N$5*100000+IF(AND($E10=1,JA10=0),50000,0))+IF($H10=1,INDEX('calcA'!$D$180:$EQ$219,$B10,11)*4000,0)-IF(AND('calcA'!M$117=1,UK10&gt;0),2000,0)-IF(AND($U10=1,'calcA'!N$117=1,DM10=0),2000,0))),1000000000))</f>
        <v/>
      </c>
      <c r="OQ10">
        <f>IF($B10=0,1000000000,IF(INDEX('calcA'!$D$60:$EQ$99,$B10,12)*IF($W10=1,DM10+AAB10,DM10)=1,IF(AND($E10=2,IF($W10=1,AFQ10,JB10)=0),1000000000,IF($V10=1,INDEX('calcA'!$D$130:$EQ$169,$B10,12)+IF(AND($E10=1,JB10=0),25,0),IF($F10&gt;0,INDEX('calcA'!O$110:O$114,$F10+1)+IF(AND($E10=1,JB10=0),1000,0),MIN(TU10,20)*400+(IF('calcA'!N$106=1,1-DL10,0)+IF('calcA'!O$106=1,1-DN10,0))*150+121+'calcA'!O$5*100000+IF(AND($E10=1,JB10=0),50000,0))+IF($H10=1,INDEX('calcA'!$D$180:$EQ$219,$B10,12)*4000,0)-IF(AND('calcA'!N$117=1,UL10&gt;0),2000,0)-IF(AND($U10=1,'calcA'!O$117=1,DN10=0),2000,0))),1000000000))</f>
        <v/>
      </c>
      <c r="OR10">
        <f>IF($B10=0,1000000000,IF(INDEX('calcA'!$D$60:$EQ$99,$B10,13)*IF($W10=1,DN10+AAC10,DN10)=1,IF(AND($E10=2,IF($W10=1,AFR10,JC10)=0),1000000000,IF($V10=1,INDEX('calcA'!$D$130:$EQ$169,$B10,13)+IF(AND($E10=1,JC10=0),25,0),IF($F10&gt;0,INDEX('calcA'!P$110:P$114,$F10+1)+IF(AND($E10=1,JC10=0),1000,0),MIN(TU10,20)*400+(IF('calcA'!O$106=1,1-DM10,0)+IF('calcA'!P$106=1,1-DO10,0))*150+131+'calcA'!P$5*100000+IF(AND($E10=1,JC10=0),50000,0))+IF($H10=1,INDEX('calcA'!$D$180:$EQ$219,$B10,13)*4000,0)-IF(AND('calcA'!O$117=1,UM10&gt;0),2000,0)-IF(AND($U10=1,'calcA'!P$117=1,DO10=0),2000,0))),1000000000))</f>
        <v/>
      </c>
      <c r="OS10">
        <f>IF($B10=0,1000000000,IF(INDEX('calcA'!$D$60:$EQ$99,$B10,14)*IF($W10=1,DO10+AAD10,DO10)=1,IF(AND($E10=2,IF($W10=1,AFS10,JD10)=0),1000000000,IF($V10=1,INDEX('calcA'!$D$130:$EQ$169,$B10,14)+IF(AND($E10=1,JD10=0),25,0),IF($F10&gt;0,INDEX('calcA'!Q$110:Q$114,$F10+1)+IF(AND($E10=1,JD10=0),1000,0),MIN(TU10,20)*400+(IF('calcA'!P$106=1,1-DN10,0)+IF('calcA'!Q$106=1,1-DP10,0))*150+141+'calcA'!Q$5*100000+IF(AND($E10=1,JD10=0),50000,0))+IF($H10=1,INDEX('calcA'!$D$180:$EQ$219,$B10,14)*4000,0)-IF(AND('calcA'!P$117=1,UN10&gt;0),2000,0)-IF(AND($U10=1,'calcA'!Q$117=1,DP10=0),2000,0))),1000000000))</f>
        <v/>
      </c>
      <c r="OT10">
        <f>IF($B10=0,1000000000,IF(INDEX('calcA'!$D$60:$EQ$99,$B10,15)*IF($W10=1,DP10+AAE10,DP10)=1,IF(AND($E10=2,IF($W10=1,AFT10,JE10)=0),1000000000,IF($V10=1,INDEX('calcA'!$D$130:$EQ$169,$B10,15)+IF(AND($E10=1,JE10=0),25,0),IF($F10&gt;0,INDEX('calcA'!R$110:R$114,$F10+1)+IF(AND($E10=1,JE10=0),1000,0),MIN(TU10,20)*400+(IF('calcA'!Q$106=1,1-DO10,0)+IF('calcA'!R$106=1,1-DQ10,0))*150+151+'calcA'!R$5*100000+IF(AND($E10=1,JE10=0),50000,0))+IF($H10=1,INDEX('calcA'!$D$180:$EQ$219,$B10,15)*4000,0)-IF(AND('calcA'!Q$117=1,UO10&gt;0),2000,0)-IF(AND($U10=1,'calcA'!R$117=1,DQ10=0),2000,0))),1000000000))</f>
        <v/>
      </c>
      <c r="OU10">
        <f>IF($B10=0,1000000000,IF(INDEX('calcA'!$D$60:$EQ$99,$B10,16)*IF($W10=1,DQ10+AAF10,DQ10)=1,IF(AND($E10=2,IF($W10=1,AFU10,JF10)=0),1000000000,IF($V10=1,INDEX('calcA'!$D$130:$EQ$169,$B10,16)+IF(AND($E10=1,JF10=0),25,0),IF($F10&gt;0,INDEX('calcA'!S$110:S$114,$F10+1)+IF(AND($E10=1,JF10=0),1000,0),MIN(TU10,20)*400+(IF('calcA'!R$106=1,1-DP10,0)+IF('calcA'!S$106=1,1-DR10,0))*150+161+'calcA'!S$5*100000+IF(AND($E10=1,JF10=0),50000,0))+IF($H10=1,INDEX('calcA'!$D$180:$EQ$219,$B10,16)*4000,0)-IF(AND('calcA'!R$117=1,UP10&gt;0),2000,0)-IF(AND($U10=1,'calcA'!S$117=1,DR10=0),2000,0))),1000000000))</f>
        <v/>
      </c>
      <c r="OV10">
        <f>IF($B10=0,1000000000,IF(INDEX('calcA'!$D$60:$EQ$99,$B10,17)*IF($W10=1,DR10+AAG10,DR10)=1,IF(AND($E10=2,IF($W10=1,AFV10,JG10)=0),1000000000,IF($V10=1,INDEX('calcA'!$D$130:$EQ$169,$B10,17)+IF(AND($E10=1,JG10=0),25,0),IF($F10&gt;0,INDEX('calcA'!T$110:T$114,$F10+1)+IF(AND($E10=1,JG10=0),1000,0),MIN(TU10,20)*400+(IF('calcA'!S$106=1,1-DQ10,0)+IF('calcA'!T$106=1,1-DS10,0))*150+171+'calcA'!T$5*100000+IF(AND($E10=1,JG10=0),50000,0))+IF($H10=1,INDEX('calcA'!$D$180:$EQ$219,$B10,17)*4000,0)-IF(AND('calcA'!S$117=1,UQ10&gt;0),2000,0)-IF(AND($U10=1,'calcA'!T$117=1,DS10=0),2000,0))),1000000000))</f>
        <v/>
      </c>
      <c r="OW10">
        <f>IF($B10=0,1000000000,IF(INDEX('calcA'!$D$60:$EQ$99,$B10,18)*IF($W10=1,DS10+AAH10,DS10)=1,IF(AND($E10=2,IF($W10=1,AFW10,JH10)=0),1000000000,IF($V10=1,INDEX('calcA'!$D$130:$EQ$169,$B10,18)+IF(AND($E10=1,JH10=0),25,0),IF($F10&gt;0,INDEX('calcA'!U$110:U$114,$F10+1)+IF(AND($E10=1,JH10=0),1000,0),MIN(TU10,20)*400+(IF('calcA'!T$106=1,1-DR10,0)+IF('calcA'!U$106=1,1-DT10,0))*150+181+'calcA'!U$5*100000+IF(AND($E10=1,JH10=0),50000,0))+IF($H10=1,INDEX('calcA'!$D$180:$EQ$219,$B10,18)*4000,0)-IF(AND('calcA'!T$117=1,UR10&gt;0),2000,0)-IF(AND($U10=1,'calcA'!U$117=1,DT10=0),2000,0))),1000000000))</f>
        <v/>
      </c>
      <c r="OX10">
        <f>IF($B10=0,1000000000,IF(INDEX('calcA'!$D$60:$EQ$99,$B10,19)*IF($W10=1,DT10+AAI10,DT10)=1,IF(AND($E10=2,IF($W10=1,AFX10,JI10)=0),1000000000,IF($V10=1,INDEX('calcA'!$D$130:$EQ$169,$B10,19)+IF(AND($E10=1,JI10=0),25,0),IF($F10&gt;0,INDEX('calcA'!V$110:V$114,$F10+1)+IF(AND($E10=1,JI10=0),1000,0),MIN(TU10,20)*400+(IF('calcA'!U$106=1,1-DS10,0)+IF('calcA'!V$106=1,1-DU10,0))*150+191+'calcA'!V$5*100000+IF(AND($E10=1,JI10=0),50000,0))+IF($H10=1,INDEX('calcA'!$D$180:$EQ$219,$B10,19)*4000,0)-IF(AND('calcA'!U$117=1,US10&gt;0),2000,0)-IF(AND($U10=1,'calcA'!V$117=1,DU10=0),2000,0))),1000000000))</f>
        <v/>
      </c>
      <c r="OY10">
        <f>IF($B10=0,1000000000,IF(INDEX('calcA'!$D$60:$EQ$99,$B10,20)*IF($W10=1,DU10+AAJ10,DU10)=1,IF(AND($E10=2,IF($W10=1,AFY10,JJ10)=0),1000000000,IF($V10=1,INDEX('calcA'!$D$130:$EQ$169,$B10,20)+IF(AND($E10=1,JJ10=0),25,0),IF($F10&gt;0,INDEX('calcA'!W$110:W$114,$F10+1)+IF(AND($E10=1,JJ10=0),1000,0),MIN(TU10,20)*400+(IF('calcA'!V$106=1,1-DT10,0)+IF('calcA'!W$106=1,1-DV10,0))*150+201+'calcA'!W$5*100000+IF(AND($E10=1,JJ10=0),50000,0))+IF($H10=1,INDEX('calcA'!$D$180:$EQ$219,$B10,20)*4000,0)-IF(AND('calcA'!V$117=1,UT10&gt;0),2000,0)-IF(AND($U10=1,'calcA'!W$117=1,DV10=0),2000,0))),1000000000))</f>
        <v/>
      </c>
      <c r="OZ10">
        <f>IF($B10=0,1000000000,IF(INDEX('calcA'!$D$60:$EQ$99,$B10,21)*IF($W10=1,DV10+AAK10,DV10)=1,IF(AND($E10=2,IF($W10=1,AFZ10,JK10)=0),1000000000,IF($V10=1,INDEX('calcA'!$D$130:$EQ$169,$B10,21)+IF(AND($E10=1,JK10=0),25,0),IF($F10&gt;0,INDEX('calcA'!X$110:X$114,$F10+1)+IF(AND($E10=1,JK10=0),1000,0),MIN(TU10,20)*400+(IF('calcA'!W$106=1,1-DU10,0)+IF('calcA'!X$106=1,1-DW10,0))*150+211+'calcA'!X$5*100000+IF(AND($E10=1,JK10=0),50000,0))+IF($H10=1,INDEX('calcA'!$D$180:$EQ$219,$B10,21)*4000,0)-IF(AND('calcA'!W$117=1,UU10&gt;0),2000,0)-IF(AND($U10=1,'calcA'!X$117=1,DW10=0),2000,0))),1000000000))</f>
        <v/>
      </c>
      <c r="PA10">
        <f>IF($B10=0,1000000000,IF(INDEX('calcA'!$D$60:$EQ$99,$B10,22)*IF($W10=1,DW10+AAL10,DW10)=1,IF(AND($E10=2,IF($W10=1,AGA10,JL10)=0),1000000000,IF($V10=1,INDEX('calcA'!$D$130:$EQ$169,$B10,22)+IF(AND($E10=1,JL10=0),25,0),IF($F10&gt;0,INDEX('calcA'!Y$110:Y$114,$F10+1)+IF(AND($E10=1,JL10=0),1000,0),MIN(TU10,20)*400+(IF('calcA'!X$106=1,1-DV10,0)+IF('calcA'!Y$106=1,1-DX10,0))*150+221+'calcA'!Y$5*100000+IF(AND($E10=1,JL10=0),50000,0))+IF($H10=1,INDEX('calcA'!$D$180:$EQ$219,$B10,22)*4000,0)-IF(AND('calcA'!X$117=1,UV10&gt;0),2000,0)-IF(AND($U10=1,'calcA'!Y$117=1,DX10=0),2000,0))),1000000000))</f>
        <v/>
      </c>
      <c r="PB10">
        <f>IF($B10=0,1000000000,IF(INDEX('calcA'!$D$60:$EQ$99,$B10,23)*IF($W10=1,DX10+AAM10,DX10)=1,IF(AND($E10=2,IF($W10=1,AGB10,JM10)=0),1000000000,IF($V10=1,INDEX('calcA'!$D$130:$EQ$169,$B10,23)+IF(AND($E10=1,JM10=0),25,0),IF($F10&gt;0,INDEX('calcA'!Z$110:Z$114,$F10+1)+IF(AND($E10=1,JM10=0),1000,0),MIN(TU10,20)*400+(IF('calcA'!Y$106=1,1-DW10,0)+IF('calcA'!Z$106=1,1-DY10,0))*150+231+'calcA'!Z$5*100000+IF(AND($E10=1,JM10=0),50000,0))+IF($H10=1,INDEX('calcA'!$D$180:$EQ$219,$B10,23)*4000,0)-IF(AND('calcA'!Y$117=1,UW10&gt;0),2000,0)-IF(AND($U10=1,'calcA'!Z$117=1,DY10=0),2000,0))),1000000000))</f>
        <v/>
      </c>
      <c r="PC10">
        <f>IF($B10=0,1000000000,IF(INDEX('calcA'!$D$60:$EQ$99,$B10,24)*IF($W10=1,DY10+AAN10,DY10)=1,IF(AND($E10=2,IF($W10=1,AGC10,JN10)=0),1000000000,IF($V10=1,INDEX('calcA'!$D$130:$EQ$169,$B10,24)+IF(AND($E10=1,JN10=0),25,0),IF($F10&gt;0,INDEX('calcA'!AA$110:AA$114,$F10+1)+IF(AND($E10=1,JN10=0),1000,0),MIN(TU10,20)*400+(IF('calcA'!Z$106=1,1-DX10,0))*150+241+'calcA'!AA$5*100000+IF(AND($E10=1,JN10=0),50000,0))+IF($H10=1,INDEX('calcA'!$D$180:$EQ$219,$B10,24)*4000,0)-IF(AND('calcA'!Z$117=1,UX10&gt;0),2000,0))),1000000000))</f>
        <v/>
      </c>
      <c r="PD10">
        <f>IF($B10=0,1000000000,IF(INDEX('calcA'!$D$60:$EQ$99,$B10,25)*IF($W10=1,DZ10+AAO10,DZ10)=1,IF(AND($E10=2,IF($W10=1,AGD10,JO10)=0),1000000000,IF($V10=1,INDEX('calcA'!$D$130:$EQ$169,$B10,25)+IF(AND($E10=1,JO10=0),25,0),IF($F10&gt;0,INDEX('calcA'!AB$110:AB$114,$F10+1)+IF(AND($E10=1,JO10=0),1000,0),MIN(TV10,20)*400+(IF('calcA'!AB$106=1,1-EA10,0))*150+12+'calcA'!AB$5*100000+IF(AND($E10=1,JO10=0),50000,0))+IF($H10=1,INDEX('calcA'!$D$180:$EQ$219,$B10,25)*4000,0)-IF(AND($U10=1,'calcA'!AB$117=1,EA10=0),2000,0))),1000000000))</f>
        <v/>
      </c>
      <c r="PE10">
        <f>IF($B10=0,1000000000,IF(INDEX('calcA'!$D$60:$EQ$99,$B10,26)*IF($W10=1,EA10+AAP10,EA10)=1,IF(AND($E10=2,IF($W10=1,AGE10,JP10)=0),1000000000,IF($V10=1,INDEX('calcA'!$D$130:$EQ$169,$B10,26)+IF(AND($E10=1,JP10=0),25,0),IF($F10&gt;0,INDEX('calcA'!AC$110:AC$114,$F10+1)+IF(AND($E10=1,JP10=0),1000,0),MIN(TV10,20)*400+(IF('calcA'!AB$106=1,1-DZ10,0)+IF('calcA'!AC$106=1,1-EB10,0))*150+22+'calcA'!AC$5*100000+IF(AND($E10=1,JP10=0),50000,0))+IF($H10=1,INDEX('calcA'!$D$180:$EQ$219,$B10,26)*4000,0)-IF(AND('calcA'!AB$117=1,UZ10&gt;0),2000,0)-IF(AND($U10=1,'calcA'!AC$117=1,EB10=0),2000,0))),1000000000))</f>
        <v/>
      </c>
      <c r="PF10">
        <f>IF($B10=0,1000000000,IF(INDEX('calcA'!$D$60:$EQ$99,$B10,27)*IF($W10=1,EB10+AAQ10,EB10)=1,IF(AND($E10=2,IF($W10=1,AGF10,JQ10)=0),1000000000,IF($V10=1,INDEX('calcA'!$D$130:$EQ$169,$B10,27)+IF(AND($E10=1,JQ10=0),25,0),IF($F10&gt;0,INDEX('calcA'!AD$110:AD$114,$F10+1)+IF(AND($E10=1,JQ10=0),1000,0),MIN(TV10,20)*400+(IF('calcA'!AC$106=1,1-EA10,0)+IF('calcA'!AD$106=1,1-EC10,0))*150+32+'calcA'!AD$5*100000+IF(AND($E10=1,JQ10=0),50000,0))+IF($H10=1,INDEX('calcA'!$D$180:$EQ$219,$B10,27)*4000,0)-IF(AND('calcA'!AC$117=1,VA10&gt;0),2000,0)-IF(AND($U10=1,'calcA'!AD$117=1,EC10=0),2000,0))),1000000000))</f>
        <v/>
      </c>
      <c r="PG10">
        <f>IF($B10=0,1000000000,IF(INDEX('calcA'!$D$60:$EQ$99,$B10,28)*IF($W10=1,EC10+AAR10,EC10)=1,IF(AND($E10=2,IF($W10=1,AGG10,JR10)=0),1000000000,IF($V10=1,INDEX('calcA'!$D$130:$EQ$169,$B10,28)+IF(AND($E10=1,JR10=0),25,0),IF($F10&gt;0,INDEX('calcA'!AE$110:AE$114,$F10+1)+IF(AND($E10=1,JR10=0),1000,0),MIN(TV10,20)*400+(IF('calcA'!AD$106=1,1-EB10,0)+IF('calcA'!AE$106=1,1-ED10,0))*150+42+'calcA'!AE$5*100000+IF(AND($E10=1,JR10=0),50000,0))+IF($H10=1,INDEX('calcA'!$D$180:$EQ$219,$B10,28)*4000,0)-IF(AND('calcA'!AD$117=1,VB10&gt;0),2000,0)-IF(AND($U10=1,'calcA'!AE$117=1,ED10=0),2000,0))),1000000000))</f>
        <v/>
      </c>
      <c r="PH10">
        <f>IF($B10=0,1000000000,IF(INDEX('calcA'!$D$60:$EQ$99,$B10,29)*IF($W10=1,ED10+AAS10,ED10)=1,IF(AND($E10=2,IF($W10=1,AGH10,JS10)=0),1000000000,IF($V10=1,INDEX('calcA'!$D$130:$EQ$169,$B10,29)+IF(AND($E10=1,JS10=0),25,0),IF($F10&gt;0,INDEX('calcA'!AF$110:AF$114,$F10+1)+IF(AND($E10=1,JS10=0),1000,0),MIN(TV10,20)*400+(IF('calcA'!AE$106=1,1-EC10,0)+IF('calcA'!AF$106=1,1-EE10,0))*150+52+'calcA'!AF$5*100000+IF(AND($E10=1,JS10=0),50000,0))+IF($H10=1,INDEX('calcA'!$D$180:$EQ$219,$B10,29)*4000,0)-IF(AND('calcA'!AE$117=1,VC10&gt;0),2000,0)-IF(AND($U10=1,'calcA'!AF$117=1,EE10=0),2000,0))),1000000000))</f>
        <v/>
      </c>
      <c r="PI10">
        <f>IF($B10=0,1000000000,IF(INDEX('calcA'!$D$60:$EQ$99,$B10,30)*IF($W10=1,EE10+AAT10,EE10)=1,IF(AND($E10=2,IF($W10=1,AGI10,JT10)=0),1000000000,IF($V10=1,INDEX('calcA'!$D$130:$EQ$169,$B10,30)+IF(AND($E10=1,JT10=0),25,0),IF($F10&gt;0,INDEX('calcA'!AG$110:AG$114,$F10+1)+IF(AND($E10=1,JT10=0),1000,0),MIN(TV10,20)*400+(IF('calcA'!AF$106=1,1-ED10,0)+IF('calcA'!AG$106=1,1-EF10,0))*150+62+'calcA'!AG$5*100000+IF(AND($E10=1,JT10=0),50000,0))+IF($H10=1,INDEX('calcA'!$D$180:$EQ$219,$B10,30)*4000,0)-IF(AND('calcA'!AF$117=1,VD10&gt;0),2000,0)-IF(AND($U10=1,'calcA'!AG$117=1,EF10=0),2000,0))),1000000000))</f>
        <v/>
      </c>
      <c r="PJ10">
        <f>IF($B10=0,1000000000,IF(INDEX('calcA'!$D$60:$EQ$99,$B10,31)*IF($W10=1,EF10+AAU10,EF10)=1,IF(AND($E10=2,IF($W10=1,AGJ10,JU10)=0),1000000000,IF($V10=1,INDEX('calcA'!$D$130:$EQ$169,$B10,31)+IF(AND($E10=1,JU10=0),25,0),IF($F10&gt;0,INDEX('calcA'!AH$110:AH$114,$F10+1)+IF(AND($E10=1,JU10=0),1000,0),MIN(TV10,20)*400+(IF('calcA'!AG$106=1,1-EE10,0)+IF('calcA'!AH$106=1,1-EG10,0))*150+72+'calcA'!AH$5*100000+IF(AND($E10=1,JU10=0),50000,0))+IF($H10=1,INDEX('calcA'!$D$180:$EQ$219,$B10,31)*4000,0)-IF(AND('calcA'!AG$117=1,VE10&gt;0),2000,0)-IF(AND($U10=1,'calcA'!AH$117=1,EG10=0),2000,0))),1000000000))</f>
        <v/>
      </c>
      <c r="PK10">
        <f>IF($B10=0,1000000000,IF(INDEX('calcA'!$D$60:$EQ$99,$B10,32)*IF($W10=1,EG10+AAV10,EG10)=1,IF(AND($E10=2,IF($W10=1,AGK10,JV10)=0),1000000000,IF($V10=1,INDEX('calcA'!$D$130:$EQ$169,$B10,32)+IF(AND($E10=1,JV10=0),25,0),IF($F10&gt;0,INDEX('calcA'!AI$110:AI$114,$F10+1)+IF(AND($E10=1,JV10=0),1000,0),MIN(TV10,20)*400+(IF('calcA'!AH$106=1,1-EF10,0)+IF('calcA'!AI$106=1,1-EH10,0))*150+82+'calcA'!AI$5*100000+IF(AND($E10=1,JV10=0),50000,0))+IF($H10=1,INDEX('calcA'!$D$180:$EQ$219,$B10,32)*4000,0)-IF(AND('calcA'!AH$117=1,VF10&gt;0),2000,0)-IF(AND($U10=1,'calcA'!AI$117=1,EH10=0),2000,0))),1000000000))</f>
        <v/>
      </c>
      <c r="PL10">
        <f>IF($B10=0,1000000000,IF(INDEX('calcA'!$D$60:$EQ$99,$B10,33)*IF($W10=1,EH10+AAW10,EH10)=1,IF(AND($E10=2,IF($W10=1,AGL10,JW10)=0),1000000000,IF($V10=1,INDEX('calcA'!$D$130:$EQ$169,$B10,33)+IF(AND($E10=1,JW10=0),25,0),IF($F10&gt;0,INDEX('calcA'!AJ$110:AJ$114,$F10+1)+IF(AND($E10=1,JW10=0),1000,0),MIN(TV10,20)*400+(IF('calcA'!AI$106=1,1-EG10,0)+IF('calcA'!AJ$106=1,1-EI10,0))*150+92+'calcA'!AJ$5*100000+IF(AND($E10=1,JW10=0),50000,0))+IF($H10=1,INDEX('calcA'!$D$180:$EQ$219,$B10,33)*4000,0)-IF(AND('calcA'!AI$117=1,VG10&gt;0),2000,0)-IF(AND($U10=1,'calcA'!AJ$117=1,EI10=0),2000,0))),1000000000))</f>
        <v/>
      </c>
      <c r="PM10">
        <f>IF($B10=0,1000000000,IF(INDEX('calcA'!$D$60:$EQ$99,$B10,34)*IF($W10=1,EI10+AAX10,EI10)=1,IF(AND($E10=2,IF($W10=1,AGM10,JX10)=0),1000000000,IF($V10=1,INDEX('calcA'!$D$130:$EQ$169,$B10,34)+IF(AND($E10=1,JX10=0),25,0),IF($F10&gt;0,INDEX('calcA'!AK$110:AK$114,$F10+1)+IF(AND($E10=1,JX10=0),1000,0),MIN(TV10,20)*400+(IF('calcA'!AJ$106=1,1-EH10,0)+IF('calcA'!AK$106=1,1-EJ10,0))*150+102+'calcA'!AK$5*100000+IF(AND($E10=1,JX10=0),50000,0))+IF($H10=1,INDEX('calcA'!$D$180:$EQ$219,$B10,34)*4000,0)-IF(AND('calcA'!AJ$117=1,VH10&gt;0),2000,0)-IF(AND($U10=1,'calcA'!AK$117=1,EJ10=0),2000,0))),1000000000))</f>
        <v/>
      </c>
      <c r="PN10">
        <f>IF($B10=0,1000000000,IF(INDEX('calcA'!$D$60:$EQ$99,$B10,35)*IF($W10=1,EJ10+AAY10,EJ10)=1,IF(AND($E10=2,IF($W10=1,AGN10,JY10)=0),1000000000,IF($V10=1,INDEX('calcA'!$D$130:$EQ$169,$B10,35)+IF(AND($E10=1,JY10=0),25,0),IF($F10&gt;0,INDEX('calcA'!AL$110:AL$114,$F10+1)+IF(AND($E10=1,JY10=0),1000,0),MIN(TV10,20)*400+(IF('calcA'!AK$106=1,1-EI10,0)+IF('calcA'!AL$106=1,1-EK10,0))*150+112+'calcA'!AL$5*100000+IF(AND($E10=1,JY10=0),50000,0))+IF($H10=1,INDEX('calcA'!$D$180:$EQ$219,$B10,35)*4000,0)-IF(AND('calcA'!AK$117=1,VI10&gt;0),2000,0)-IF(AND($U10=1,'calcA'!AL$117=1,EK10=0),2000,0))),1000000000))</f>
        <v/>
      </c>
      <c r="PO10">
        <f>IF($B10=0,1000000000,IF(INDEX('calcA'!$D$60:$EQ$99,$B10,36)*IF($W10=1,EK10+AAZ10,EK10)=1,IF(AND($E10=2,IF($W10=1,AGO10,JZ10)=0),1000000000,IF($V10=1,INDEX('calcA'!$D$130:$EQ$169,$B10,36)+IF(AND($E10=1,JZ10=0),25,0),IF($F10&gt;0,INDEX('calcA'!AM$110:AM$114,$F10+1)+IF(AND($E10=1,JZ10=0),1000,0),MIN(TV10,20)*400+(IF('calcA'!AL$106=1,1-EJ10,0)+IF('calcA'!AM$106=1,1-EL10,0))*150+122+'calcA'!AM$5*100000+IF(AND($E10=1,JZ10=0),50000,0))+IF($H10=1,INDEX('calcA'!$D$180:$EQ$219,$B10,36)*4000,0)-IF(AND('calcA'!AL$117=1,VJ10&gt;0),2000,0)-IF(AND($U10=1,'calcA'!AM$117=1,EL10=0),2000,0))),1000000000))</f>
        <v/>
      </c>
      <c r="PP10">
        <f>IF($B10=0,1000000000,IF(INDEX('calcA'!$D$60:$EQ$99,$B10,37)*IF($W10=1,EL10+ABA10,EL10)=1,IF(AND($E10=2,IF($W10=1,AGP10,KA10)=0),1000000000,IF($V10=1,INDEX('calcA'!$D$130:$EQ$169,$B10,37)+IF(AND($E10=1,KA10=0),25,0),IF($F10&gt;0,INDEX('calcA'!AN$110:AN$114,$F10+1)+IF(AND($E10=1,KA10=0),1000,0),MIN(TV10,20)*400+(IF('calcA'!AM$106=1,1-EK10,0)+IF('calcA'!AN$106=1,1-EM10,0))*150+132+'calcA'!AN$5*100000+IF(AND($E10=1,KA10=0),50000,0))+IF($H10=1,INDEX('calcA'!$D$180:$EQ$219,$B10,37)*4000,0)-IF(AND('calcA'!AM$117=1,VK10&gt;0),2000,0)-IF(AND($U10=1,'calcA'!AN$117=1,EM10=0),2000,0))),1000000000))</f>
        <v/>
      </c>
      <c r="PQ10">
        <f>IF($B10=0,1000000000,IF(INDEX('calcA'!$D$60:$EQ$99,$B10,38)*IF($W10=1,EM10+ABB10,EM10)=1,IF(AND($E10=2,IF($W10=1,AGQ10,KB10)=0),1000000000,IF($V10=1,INDEX('calcA'!$D$130:$EQ$169,$B10,38)+IF(AND($E10=1,KB10=0),25,0),IF($F10&gt;0,INDEX('calcA'!AO$110:AO$114,$F10+1)+IF(AND($E10=1,KB10=0),1000,0),MIN(TV10,20)*400+(IF('calcA'!AN$106=1,1-EL10,0)+IF('calcA'!AO$106=1,1-EN10,0))*150+142+'calcA'!AO$5*100000+IF(AND($E10=1,KB10=0),50000,0))+IF($H10=1,INDEX('calcA'!$D$180:$EQ$219,$B10,38)*4000,0)-IF(AND('calcA'!AN$117=1,VL10&gt;0),2000,0)-IF(AND($U10=1,'calcA'!AO$117=1,EN10=0),2000,0))),1000000000))</f>
        <v/>
      </c>
      <c r="PR10">
        <f>IF($B10=0,1000000000,IF(INDEX('calcA'!$D$60:$EQ$99,$B10,39)*IF($W10=1,EN10+ABC10,EN10)=1,IF(AND($E10=2,IF($W10=1,AGR10,KC10)=0),1000000000,IF($V10=1,INDEX('calcA'!$D$130:$EQ$169,$B10,39)+IF(AND($E10=1,KC10=0),25,0),IF($F10&gt;0,INDEX('calcA'!AP$110:AP$114,$F10+1)+IF(AND($E10=1,KC10=0),1000,0),MIN(TV10,20)*400+(IF('calcA'!AO$106=1,1-EM10,0)+IF('calcA'!AP$106=1,1-EO10,0))*150+152+'calcA'!AP$5*100000+IF(AND($E10=1,KC10=0),50000,0))+IF($H10=1,INDEX('calcA'!$D$180:$EQ$219,$B10,39)*4000,0)-IF(AND('calcA'!AO$117=1,VM10&gt;0),2000,0)-IF(AND($U10=1,'calcA'!AP$117=1,EO10=0),2000,0))),1000000000))</f>
        <v/>
      </c>
      <c r="PS10">
        <f>IF($B10=0,1000000000,IF(INDEX('calcA'!$D$60:$EQ$99,$B10,40)*IF($W10=1,EO10+ABD10,EO10)=1,IF(AND($E10=2,IF($W10=1,AGS10,KD10)=0),1000000000,IF($V10=1,INDEX('calcA'!$D$130:$EQ$169,$B10,40)+IF(AND($E10=1,KD10=0),25,0),IF($F10&gt;0,INDEX('calcA'!AQ$110:AQ$114,$F10+1)+IF(AND($E10=1,KD10=0),1000,0),MIN(TV10,20)*400+(IF('calcA'!AP$106=1,1-EN10,0)+IF('calcA'!AQ$106=1,1-EP10,0))*150+162+'calcA'!AQ$5*100000+IF(AND($E10=1,KD10=0),50000,0))+IF($H10=1,INDEX('calcA'!$D$180:$EQ$219,$B10,40)*4000,0)-IF(AND('calcA'!AP$117=1,VN10&gt;0),2000,0)-IF(AND($U10=1,'calcA'!AQ$117=1,EP10=0),2000,0))),1000000000))</f>
        <v/>
      </c>
      <c r="PT10">
        <f>IF($B10=0,1000000000,IF(INDEX('calcA'!$D$60:$EQ$99,$B10,41)*IF($W10=1,EP10+ABE10,EP10)=1,IF(AND($E10=2,IF($W10=1,AGT10,KE10)=0),1000000000,IF($V10=1,INDEX('calcA'!$D$130:$EQ$169,$B10,41)+IF(AND($E10=1,KE10=0),25,0),IF($F10&gt;0,INDEX('calcA'!AR$110:AR$114,$F10+1)+IF(AND($E10=1,KE10=0),1000,0),MIN(TV10,20)*400+(IF('calcA'!AQ$106=1,1-EO10,0)+IF('calcA'!AR$106=1,1-EQ10,0))*150+172+'calcA'!AR$5*100000+IF(AND($E10=1,KE10=0),50000,0))+IF($H10=1,INDEX('calcA'!$D$180:$EQ$219,$B10,41)*4000,0)-IF(AND('calcA'!AQ$117=1,VO10&gt;0),2000,0)-IF(AND($U10=1,'calcA'!AR$117=1,EQ10=0),2000,0))),1000000000))</f>
        <v/>
      </c>
      <c r="PU10">
        <f>IF($B10=0,1000000000,IF(INDEX('calcA'!$D$60:$EQ$99,$B10,42)*IF($W10=1,EQ10+ABF10,EQ10)=1,IF(AND($E10=2,IF($W10=1,AGU10,KF10)=0),1000000000,IF($V10=1,INDEX('calcA'!$D$130:$EQ$169,$B10,42)+IF(AND($E10=1,KF10=0),25,0),IF($F10&gt;0,INDEX('calcA'!AS$110:AS$114,$F10+1)+IF(AND($E10=1,KF10=0),1000,0),MIN(TV10,20)*400+(IF('calcA'!AR$106=1,1-EP10,0)+IF('calcA'!AS$106=1,1-ER10,0))*150+182+'calcA'!AS$5*100000+IF(AND($E10=1,KF10=0),50000,0))+IF($H10=1,INDEX('calcA'!$D$180:$EQ$219,$B10,42)*4000,0)-IF(AND('calcA'!AR$117=1,VP10&gt;0),2000,0)-IF(AND($U10=1,'calcA'!AS$117=1,ER10=0),2000,0))),1000000000))</f>
        <v/>
      </c>
      <c r="PV10">
        <f>IF($B10=0,1000000000,IF(INDEX('calcA'!$D$60:$EQ$99,$B10,43)*IF($W10=1,ER10+ABG10,ER10)=1,IF(AND($E10=2,IF($W10=1,AGV10,KG10)=0),1000000000,IF($V10=1,INDEX('calcA'!$D$130:$EQ$169,$B10,43)+IF(AND($E10=1,KG10=0),25,0),IF($F10&gt;0,INDEX('calcA'!AT$110:AT$114,$F10+1)+IF(AND($E10=1,KG10=0),1000,0),MIN(TV10,20)*400+(IF('calcA'!AS$106=1,1-EQ10,0)+IF('calcA'!AT$106=1,1-ES10,0))*150+192+'calcA'!AT$5*100000+IF(AND($E10=1,KG10=0),50000,0))+IF($H10=1,INDEX('calcA'!$D$180:$EQ$219,$B10,43)*4000,0)-IF(AND('calcA'!AS$117=1,VQ10&gt;0),2000,0)-IF(AND($U10=1,'calcA'!AT$117=1,ES10=0),2000,0))),1000000000))</f>
        <v/>
      </c>
      <c r="PW10">
        <f>IF($B10=0,1000000000,IF(INDEX('calcA'!$D$60:$EQ$99,$B10,44)*IF($W10=1,ES10+ABH10,ES10)=1,IF(AND($E10=2,IF($W10=1,AGW10,KH10)=0),1000000000,IF($V10=1,INDEX('calcA'!$D$130:$EQ$169,$B10,44)+IF(AND($E10=1,KH10=0),25,0),IF($F10&gt;0,INDEX('calcA'!AU$110:AU$114,$F10+1)+IF(AND($E10=1,KH10=0),1000,0),MIN(TV10,20)*400+(IF('calcA'!AT$106=1,1-ER10,0)+IF('calcA'!AU$106=1,1-ET10,0))*150+202+'calcA'!AU$5*100000+IF(AND($E10=1,KH10=0),50000,0))+IF($H10=1,INDEX('calcA'!$D$180:$EQ$219,$B10,44)*4000,0)-IF(AND('calcA'!AT$117=1,VR10&gt;0),2000,0)-IF(AND($U10=1,'calcA'!AU$117=1,ET10=0),2000,0))),1000000000))</f>
        <v/>
      </c>
      <c r="PX10">
        <f>IF($B10=0,1000000000,IF(INDEX('calcA'!$D$60:$EQ$99,$B10,45)*IF($W10=1,ET10+ABI10,ET10)=1,IF(AND($E10=2,IF($W10=1,AGX10,KI10)=0),1000000000,IF($V10=1,INDEX('calcA'!$D$130:$EQ$169,$B10,45)+IF(AND($E10=1,KI10=0),25,0),IF($F10&gt;0,INDEX('calcA'!AV$110:AV$114,$F10+1)+IF(AND($E10=1,KI10=0),1000,0),MIN(TV10,20)*400+(IF('calcA'!AU$106=1,1-ES10,0)+IF('calcA'!AV$106=1,1-EU10,0))*150+212+'calcA'!AV$5*100000+IF(AND($E10=1,KI10=0),50000,0))+IF($H10=1,INDEX('calcA'!$D$180:$EQ$219,$B10,45)*4000,0)-IF(AND('calcA'!AU$117=1,VS10&gt;0),2000,0)-IF(AND($U10=1,'calcA'!AV$117=1,EU10=0),2000,0))),1000000000))</f>
        <v/>
      </c>
      <c r="PY10">
        <f>IF($B10=0,1000000000,IF(INDEX('calcA'!$D$60:$EQ$99,$B10,46)*IF($W10=1,EU10+ABJ10,EU10)=1,IF(AND($E10=2,IF($W10=1,AGY10,KJ10)=0),1000000000,IF($V10=1,INDEX('calcA'!$D$130:$EQ$169,$B10,46)+IF(AND($E10=1,KJ10=0),25,0),IF($F10&gt;0,INDEX('calcA'!AW$110:AW$114,$F10+1)+IF(AND($E10=1,KJ10=0),1000,0),MIN(TV10,20)*400+(IF('calcA'!AV$106=1,1-ET10,0)+IF('calcA'!AW$106=1,1-EV10,0))*150+222+'calcA'!AW$5*100000+IF(AND($E10=1,KJ10=0),50000,0))+IF($H10=1,INDEX('calcA'!$D$180:$EQ$219,$B10,46)*4000,0)-IF(AND('calcA'!AV$117=1,VT10&gt;0),2000,0)-IF(AND($U10=1,'calcA'!AW$117=1,EV10=0),2000,0))),1000000000))</f>
        <v/>
      </c>
      <c r="PZ10">
        <f>IF($B10=0,1000000000,IF(INDEX('calcA'!$D$60:$EQ$99,$B10,47)*IF($W10=1,EV10+ABK10,EV10)=1,IF(AND($E10=2,IF($W10=1,AGZ10,KK10)=0),1000000000,IF($V10=1,INDEX('calcA'!$D$130:$EQ$169,$B10,47)+IF(AND($E10=1,KK10=0),25,0),IF($F10&gt;0,INDEX('calcA'!AX$110:AX$114,$F10+1)+IF(AND($E10=1,KK10=0),1000,0),MIN(TV10,20)*400+(IF('calcA'!AW$106=1,1-EU10,0)+IF('calcA'!AX$106=1,1-EW10,0))*150+232+'calcA'!AX$5*100000+IF(AND($E10=1,KK10=0),50000,0))+IF($H10=1,INDEX('calcA'!$D$180:$EQ$219,$B10,47)*4000,0)-IF(AND('calcA'!AW$117=1,VU10&gt;0),2000,0)-IF(AND($U10=1,'calcA'!AX$117=1,EW10=0),2000,0))),1000000000))</f>
        <v/>
      </c>
      <c r="QA10">
        <f>IF($B10=0,1000000000,IF(INDEX('calcA'!$D$60:$EQ$99,$B10,48)*IF($W10=1,EW10+ABL10,EW10)=1,IF(AND($E10=2,IF($W10=1,AHA10,KL10)=0),1000000000,IF($V10=1,INDEX('calcA'!$D$130:$EQ$169,$B10,48)+IF(AND($E10=1,KL10=0),25,0),IF($F10&gt;0,INDEX('calcA'!AY$110:AY$114,$F10+1)+IF(AND($E10=1,KL10=0),1000,0),MIN(TV10,20)*400+(IF('calcA'!AX$106=1,1-EV10,0))*150+242+'calcA'!AY$5*100000+IF(AND($E10=1,KL10=0),50000,0))+IF($H10=1,INDEX('calcA'!$D$180:$EQ$219,$B10,48)*4000,0)-IF(AND('calcA'!AX$117=1,VV10&gt;0),2000,0))),1000000000))</f>
        <v/>
      </c>
      <c r="QB10">
        <f>IF($B10=0,1000000000,IF(INDEX('calcA'!$D$60:$EQ$99,$B10,49)*IF($W10=1,EX10+ABM10,EX10)=1,IF(AND($E10=2,IF($W10=1,AHB10,KM10)=0),1000000000,IF($V10=1,INDEX('calcA'!$D$130:$EQ$169,$B10,49)+IF(AND($E10=1,KM10=0),25,0),IF($F10&gt;0,INDEX('calcA'!AZ$110:AZ$114,$F10+1)+IF(AND($E10=1,KM10=0),1000,0),MIN(TW10,20)*400+(IF('calcA'!AZ$106=1,1-EY10,0))*150+13+'calcA'!AZ$5*100000+IF(AND($E10=1,KM10=0),50000,0))+IF($H10=1,INDEX('calcA'!$D$180:$EQ$219,$B10,49)*4000,0)-IF(AND($U10=1,'calcA'!AZ$117=1,EY10=0),2000,0))),1000000000))</f>
        <v/>
      </c>
      <c r="QC10">
        <f>IF($B10=0,1000000000,IF(INDEX('calcA'!$D$60:$EQ$99,$B10,50)*IF($W10=1,EY10+ABN10,EY10)=1,IF(AND($E10=2,IF($W10=1,AHC10,KN10)=0),1000000000,IF($V10=1,INDEX('calcA'!$D$130:$EQ$169,$B10,50)+IF(AND($E10=1,KN10=0),25,0),IF($F10&gt;0,INDEX('calcA'!BA$110:BA$114,$F10+1)+IF(AND($E10=1,KN10=0),1000,0),MIN(TW10,20)*400+(IF('calcA'!AZ$106=1,1-EX10,0)+IF('calcA'!BA$106=1,1-EZ10,0))*150+23+'calcA'!BA$5*100000+IF(AND($E10=1,KN10=0),50000,0))+IF($H10=1,INDEX('calcA'!$D$180:$EQ$219,$B10,50)*4000,0)-IF(AND('calcA'!AZ$117=1,VX10&gt;0),2000,0)-IF(AND($U10=1,'calcA'!BA$117=1,EZ10=0),2000,0))),1000000000))</f>
        <v/>
      </c>
      <c r="QD10">
        <f>IF($B10=0,1000000000,IF(INDEX('calcA'!$D$60:$EQ$99,$B10,51)*IF($W10=1,EZ10+ABO10,EZ10)=1,IF(AND($E10=2,IF($W10=1,AHD10,KO10)=0),1000000000,IF($V10=1,INDEX('calcA'!$D$130:$EQ$169,$B10,51)+IF(AND($E10=1,KO10=0),25,0),IF($F10&gt;0,INDEX('calcA'!BB$110:BB$114,$F10+1)+IF(AND($E10=1,KO10=0),1000,0),MIN(TW10,20)*400+(IF('calcA'!BA$106=1,1-EY10,0)+IF('calcA'!BB$106=1,1-FA10,0))*150+33+'calcA'!BB$5*100000+IF(AND($E10=1,KO10=0),50000,0))+IF($H10=1,INDEX('calcA'!$D$180:$EQ$219,$B10,51)*4000,0)-IF(AND('calcA'!BA$117=1,VY10&gt;0),2000,0)-IF(AND($U10=1,'calcA'!BB$117=1,FA10=0),2000,0))),1000000000))</f>
        <v/>
      </c>
      <c r="QE10">
        <f>IF($B10=0,1000000000,IF(INDEX('calcA'!$D$60:$EQ$99,$B10,52)*IF($W10=1,FA10+ABP10,FA10)=1,IF(AND($E10=2,IF($W10=1,AHE10,KP10)=0),1000000000,IF($V10=1,INDEX('calcA'!$D$130:$EQ$169,$B10,52)+IF(AND($E10=1,KP10=0),25,0),IF($F10&gt;0,INDEX('calcA'!BC$110:BC$114,$F10+1)+IF(AND($E10=1,KP10=0),1000,0),MIN(TW10,20)*400+(IF('calcA'!BB$106=1,1-EZ10,0)+IF('calcA'!BC$106=1,1-FB10,0))*150+43+'calcA'!BC$5*100000+IF(AND($E10=1,KP10=0),50000,0))+IF($H10=1,INDEX('calcA'!$D$180:$EQ$219,$B10,52)*4000,0)-IF(AND('calcA'!BB$117=1,VZ10&gt;0),2000,0)-IF(AND($U10=1,'calcA'!BC$117=1,FB10=0),2000,0))),1000000000))</f>
        <v/>
      </c>
      <c r="QF10">
        <f>IF($B10=0,1000000000,IF(INDEX('calcA'!$D$60:$EQ$99,$B10,53)*IF($W10=1,FB10+ABQ10,FB10)=1,IF(AND($E10=2,IF($W10=1,AHF10,KQ10)=0),1000000000,IF($V10=1,INDEX('calcA'!$D$130:$EQ$169,$B10,53)+IF(AND($E10=1,KQ10=0),25,0),IF($F10&gt;0,INDEX('calcA'!BD$110:BD$114,$F10+1)+IF(AND($E10=1,KQ10=0),1000,0),MIN(TW10,20)*400+(IF('calcA'!BC$106=1,1-FA10,0)+IF('calcA'!BD$106=1,1-FC10,0))*150+53+'calcA'!BD$5*100000+IF(AND($E10=1,KQ10=0),50000,0))+IF($H10=1,INDEX('calcA'!$D$180:$EQ$219,$B10,53)*4000,0)-IF(AND('calcA'!BC$117=1,WA10&gt;0),2000,0)-IF(AND($U10=1,'calcA'!BD$117=1,FC10=0),2000,0))),1000000000))</f>
        <v/>
      </c>
      <c r="QG10">
        <f>IF($B10=0,1000000000,IF(INDEX('calcA'!$D$60:$EQ$99,$B10,54)*IF($W10=1,FC10+ABR10,FC10)=1,IF(AND($E10=2,IF($W10=1,AHG10,KR10)=0),1000000000,IF($V10=1,INDEX('calcA'!$D$130:$EQ$169,$B10,54)+IF(AND($E10=1,KR10=0),25,0),IF($F10&gt;0,INDEX('calcA'!BE$110:BE$114,$F10+1)+IF(AND($E10=1,KR10=0),1000,0),MIN(TW10,20)*400+(IF('calcA'!BD$106=1,1-FB10,0)+IF('calcA'!BE$106=1,1-FD10,0))*150+63+'calcA'!BE$5*100000+IF(AND($E10=1,KR10=0),50000,0))+IF($H10=1,INDEX('calcA'!$D$180:$EQ$219,$B10,54)*4000,0)-IF(AND('calcA'!BD$117=1,WB10&gt;0),2000,0)-IF(AND($U10=1,'calcA'!BE$117=1,FD10=0),2000,0))),1000000000))</f>
        <v/>
      </c>
      <c r="QH10">
        <f>IF($B10=0,1000000000,IF(INDEX('calcA'!$D$60:$EQ$99,$B10,55)*IF($W10=1,FD10+ABS10,FD10)=1,IF(AND($E10=2,IF($W10=1,AHH10,KS10)=0),1000000000,IF($V10=1,INDEX('calcA'!$D$130:$EQ$169,$B10,55)+IF(AND($E10=1,KS10=0),25,0),IF($F10&gt;0,INDEX('calcA'!BF$110:BF$114,$F10+1)+IF(AND($E10=1,KS10=0),1000,0),MIN(TW10,20)*400+(IF('calcA'!BE$106=1,1-FC10,0)+IF('calcA'!BF$106=1,1-FE10,0))*150+73+'calcA'!BF$5*100000+IF(AND($E10=1,KS10=0),50000,0))+IF($H10=1,INDEX('calcA'!$D$180:$EQ$219,$B10,55)*4000,0)-IF(AND('calcA'!BE$117=1,WC10&gt;0),2000,0)-IF(AND($U10=1,'calcA'!BF$117=1,FE10=0),2000,0))),1000000000))</f>
        <v/>
      </c>
      <c r="QI10">
        <f>IF($B10=0,1000000000,IF(INDEX('calcA'!$D$60:$EQ$99,$B10,56)*IF($W10=1,FE10+ABT10,FE10)=1,IF(AND($E10=2,IF($W10=1,AHI10,KT10)=0),1000000000,IF($V10=1,INDEX('calcA'!$D$130:$EQ$169,$B10,56)+IF(AND($E10=1,KT10=0),25,0),IF($F10&gt;0,INDEX('calcA'!BG$110:BG$114,$F10+1)+IF(AND($E10=1,KT10=0),1000,0),MIN(TW10,20)*400+(IF('calcA'!BF$106=1,1-FD10,0)+IF('calcA'!BG$106=1,1-FF10,0))*150+83+'calcA'!BG$5*100000+IF(AND($E10=1,KT10=0),50000,0))+IF($H10=1,INDEX('calcA'!$D$180:$EQ$219,$B10,56)*4000,0)-IF(AND('calcA'!BF$117=1,WD10&gt;0),2000,0)-IF(AND($U10=1,'calcA'!BG$117=1,FF10=0),2000,0))),1000000000))</f>
        <v/>
      </c>
      <c r="QJ10">
        <f>IF($B10=0,1000000000,IF(INDEX('calcA'!$D$60:$EQ$99,$B10,57)*IF($W10=1,FF10+ABU10,FF10)=1,IF(AND($E10=2,IF($W10=1,AHJ10,KU10)=0),1000000000,IF($V10=1,INDEX('calcA'!$D$130:$EQ$169,$B10,57)+IF(AND($E10=1,KU10=0),25,0),IF($F10&gt;0,INDEX('calcA'!BH$110:BH$114,$F10+1)+IF(AND($E10=1,KU10=0),1000,0),MIN(TW10,20)*400+(IF('calcA'!BG$106=1,1-FE10,0)+IF('calcA'!BH$106=1,1-FG10,0))*150+93+'calcA'!BH$5*100000+IF(AND($E10=1,KU10=0),50000,0))+IF($H10=1,INDEX('calcA'!$D$180:$EQ$219,$B10,57)*4000,0)-IF(AND('calcA'!BG$117=1,WE10&gt;0),2000,0)-IF(AND($U10=1,'calcA'!BH$117=1,FG10=0),2000,0))),1000000000))</f>
        <v/>
      </c>
      <c r="QK10">
        <f>IF($B10=0,1000000000,IF(INDEX('calcA'!$D$60:$EQ$99,$B10,58)*IF($W10=1,FG10+ABV10,FG10)=1,IF(AND($E10=2,IF($W10=1,AHK10,KV10)=0),1000000000,IF($V10=1,INDEX('calcA'!$D$130:$EQ$169,$B10,58)+IF(AND($E10=1,KV10=0),25,0),IF($F10&gt;0,INDEX('calcA'!BI$110:BI$114,$F10+1)+IF(AND($E10=1,KV10=0),1000,0),MIN(TW10,20)*400+(IF('calcA'!BH$106=1,1-FF10,0)+IF('calcA'!BI$106=1,1-FH10,0))*150+103+'calcA'!BI$5*100000+IF(AND($E10=1,KV10=0),50000,0))+IF($H10=1,INDEX('calcA'!$D$180:$EQ$219,$B10,58)*4000,0)-IF(AND('calcA'!BH$117=1,WF10&gt;0),2000,0)-IF(AND($U10=1,'calcA'!BI$117=1,FH10=0),2000,0))),1000000000))</f>
        <v/>
      </c>
      <c r="QL10">
        <f>IF($B10=0,1000000000,IF(INDEX('calcA'!$D$60:$EQ$99,$B10,59)*IF($W10=1,FH10+ABW10,FH10)=1,IF(AND($E10=2,IF($W10=1,AHL10,KW10)=0),1000000000,IF($V10=1,INDEX('calcA'!$D$130:$EQ$169,$B10,59)+IF(AND($E10=1,KW10=0),25,0),IF($F10&gt;0,INDEX('calcA'!BJ$110:BJ$114,$F10+1)+IF(AND($E10=1,KW10=0),1000,0),MIN(TW10,20)*400+(IF('calcA'!BI$106=1,1-FG10,0)+IF('calcA'!BJ$106=1,1-FI10,0))*150+113+'calcA'!BJ$5*100000+IF(AND($E10=1,KW10=0),50000,0))+IF($H10=1,INDEX('calcA'!$D$180:$EQ$219,$B10,59)*4000,0)-IF(AND('calcA'!BI$117=1,WG10&gt;0),2000,0)-IF(AND($U10=1,'calcA'!BJ$117=1,FI10=0),2000,0))),1000000000))</f>
        <v/>
      </c>
      <c r="QM10">
        <f>IF($B10=0,1000000000,IF(INDEX('calcA'!$D$60:$EQ$99,$B10,60)*IF($W10=1,FI10+ABX10,FI10)=1,IF(AND($E10=2,IF($W10=1,AHM10,KX10)=0),1000000000,IF($V10=1,INDEX('calcA'!$D$130:$EQ$169,$B10,60)+IF(AND($E10=1,KX10=0),25,0),IF($F10&gt;0,INDEX('calcA'!BK$110:BK$114,$F10+1)+IF(AND($E10=1,KX10=0),1000,0),MIN(TW10,20)*400+(IF('calcA'!BJ$106=1,1-FH10,0)+IF('calcA'!BK$106=1,1-FJ10,0))*150+123+'calcA'!BK$5*100000+IF(AND($E10=1,KX10=0),50000,0))+IF($H10=1,INDEX('calcA'!$D$180:$EQ$219,$B10,60)*4000,0)-IF(AND('calcA'!BJ$117=1,WH10&gt;0),2000,0)-IF(AND($U10=1,'calcA'!BK$117=1,FJ10=0),2000,0))),1000000000))</f>
        <v/>
      </c>
      <c r="QN10">
        <f>IF($B10=0,1000000000,IF(INDEX('calcA'!$D$60:$EQ$99,$B10,61)*IF($W10=1,FJ10+ABY10,FJ10)=1,IF(AND($E10=2,IF($W10=1,AHN10,KY10)=0),1000000000,IF($V10=1,INDEX('calcA'!$D$130:$EQ$169,$B10,61)+IF(AND($E10=1,KY10=0),25,0),IF($F10&gt;0,INDEX('calcA'!BL$110:BL$114,$F10+1)+IF(AND($E10=1,KY10=0),1000,0),MIN(TW10,20)*400+(IF('calcA'!BK$106=1,1-FI10,0)+IF('calcA'!BL$106=1,1-FK10,0))*150+133+'calcA'!BL$5*100000+IF(AND($E10=1,KY10=0),50000,0))+IF($H10=1,INDEX('calcA'!$D$180:$EQ$219,$B10,61)*4000,0)-IF(AND('calcA'!BK$117=1,WI10&gt;0),2000,0)-IF(AND($U10=1,'calcA'!BL$117=1,FK10=0),2000,0))),1000000000))</f>
        <v/>
      </c>
      <c r="QO10">
        <f>IF($B10=0,1000000000,IF(INDEX('calcA'!$D$60:$EQ$99,$B10,62)*IF($W10=1,FK10+ABZ10,FK10)=1,IF(AND($E10=2,IF($W10=1,AHO10,KZ10)=0),1000000000,IF($V10=1,INDEX('calcA'!$D$130:$EQ$169,$B10,62)+IF(AND($E10=1,KZ10=0),25,0),IF($F10&gt;0,INDEX('calcA'!BM$110:BM$114,$F10+1)+IF(AND($E10=1,KZ10=0),1000,0),MIN(TW10,20)*400+(IF('calcA'!BL$106=1,1-FJ10,0)+IF('calcA'!BM$106=1,1-FL10,0))*150+143+'calcA'!BM$5*100000+IF(AND($E10=1,KZ10=0),50000,0))+IF($H10=1,INDEX('calcA'!$D$180:$EQ$219,$B10,62)*4000,0)-IF(AND('calcA'!BL$117=1,WJ10&gt;0),2000,0)-IF(AND($U10=1,'calcA'!BM$117=1,FL10=0),2000,0))),1000000000))</f>
        <v/>
      </c>
      <c r="QP10">
        <f>IF($B10=0,1000000000,IF(INDEX('calcA'!$D$60:$EQ$99,$B10,63)*IF($W10=1,FL10+ACA10,FL10)=1,IF(AND($E10=2,IF($W10=1,AHP10,LA10)=0),1000000000,IF($V10=1,INDEX('calcA'!$D$130:$EQ$169,$B10,63)+IF(AND($E10=1,LA10=0),25,0),IF($F10&gt;0,INDEX('calcA'!BN$110:BN$114,$F10+1)+IF(AND($E10=1,LA10=0),1000,0),MIN(TW10,20)*400+(IF('calcA'!BM$106=1,1-FK10,0)+IF('calcA'!BN$106=1,1-FM10,0))*150+153+'calcA'!BN$5*100000+IF(AND($E10=1,LA10=0),50000,0))+IF($H10=1,INDEX('calcA'!$D$180:$EQ$219,$B10,63)*4000,0)-IF(AND('calcA'!BM$117=1,WK10&gt;0),2000,0)-IF(AND($U10=1,'calcA'!BN$117=1,FM10=0),2000,0))),1000000000))</f>
        <v/>
      </c>
      <c r="QQ10">
        <f>IF($B10=0,1000000000,IF(INDEX('calcA'!$D$60:$EQ$99,$B10,64)*IF($W10=1,FM10+ACB10,FM10)=1,IF(AND($E10=2,IF($W10=1,AHQ10,LB10)=0),1000000000,IF($V10=1,INDEX('calcA'!$D$130:$EQ$169,$B10,64)+IF(AND($E10=1,LB10=0),25,0),IF($F10&gt;0,INDEX('calcA'!BO$110:BO$114,$F10+1)+IF(AND($E10=1,LB10=0),1000,0),MIN(TW10,20)*400+(IF('calcA'!BN$106=1,1-FL10,0)+IF('calcA'!BO$106=1,1-FN10,0))*150+163+'calcA'!BO$5*100000+IF(AND($E10=1,LB10=0),50000,0))+IF($H10=1,INDEX('calcA'!$D$180:$EQ$219,$B10,64)*4000,0)-IF(AND('calcA'!BN$117=1,WL10&gt;0),2000,0)-IF(AND($U10=1,'calcA'!BO$117=1,FN10=0),2000,0))),1000000000))</f>
        <v/>
      </c>
      <c r="QR10">
        <f>IF($B10=0,1000000000,IF(INDEX('calcA'!$D$60:$EQ$99,$B10,65)*IF($W10=1,FN10+ACC10,FN10)=1,IF(AND($E10=2,IF($W10=1,AHR10,LC10)=0),1000000000,IF($V10=1,INDEX('calcA'!$D$130:$EQ$169,$B10,65)+IF(AND($E10=1,LC10=0),25,0),IF($F10&gt;0,INDEX('calcA'!BP$110:BP$114,$F10+1)+IF(AND($E10=1,LC10=0),1000,0),MIN(TW10,20)*400+(IF('calcA'!BO$106=1,1-FM10,0)+IF('calcA'!BP$106=1,1-FO10,0))*150+173+'calcA'!BP$5*100000+IF(AND($E10=1,LC10=0),50000,0))+IF($H10=1,INDEX('calcA'!$D$180:$EQ$219,$B10,65)*4000,0)-IF(AND('calcA'!BO$117=1,WM10&gt;0),2000,0)-IF(AND($U10=1,'calcA'!BP$117=1,FO10=0),2000,0))),1000000000))</f>
        <v/>
      </c>
      <c r="QS10">
        <f>IF($B10=0,1000000000,IF(INDEX('calcA'!$D$60:$EQ$99,$B10,66)*IF($W10=1,FO10+ACD10,FO10)=1,IF(AND($E10=2,IF($W10=1,AHS10,LD10)=0),1000000000,IF($V10=1,INDEX('calcA'!$D$130:$EQ$169,$B10,66)+IF(AND($E10=1,LD10=0),25,0),IF($F10&gt;0,INDEX('calcA'!BQ$110:BQ$114,$F10+1)+IF(AND($E10=1,LD10=0),1000,0),MIN(TW10,20)*400+(IF('calcA'!BP$106=1,1-FN10,0)+IF('calcA'!BQ$106=1,1-FP10,0))*150+183+'calcA'!BQ$5*100000+IF(AND($E10=1,LD10=0),50000,0))+IF($H10=1,INDEX('calcA'!$D$180:$EQ$219,$B10,66)*4000,0)-IF(AND('calcA'!BP$117=1,WN10&gt;0),2000,0)-IF(AND($U10=1,'calcA'!BQ$117=1,FP10=0),2000,0))),1000000000))</f>
        <v/>
      </c>
      <c r="QT10">
        <f>IF($B10=0,1000000000,IF(INDEX('calcA'!$D$60:$EQ$99,$B10,67)*IF($W10=1,FP10+ACE10,FP10)=1,IF(AND($E10=2,IF($W10=1,AHT10,LE10)=0),1000000000,IF($V10=1,INDEX('calcA'!$D$130:$EQ$169,$B10,67)+IF(AND($E10=1,LE10=0),25,0),IF($F10&gt;0,INDEX('calcA'!BR$110:BR$114,$F10+1)+IF(AND($E10=1,LE10=0),1000,0),MIN(TW10,20)*400+(IF('calcA'!BQ$106=1,1-FO10,0)+IF('calcA'!BR$106=1,1-FQ10,0))*150+193+'calcA'!BR$5*100000+IF(AND($E10=1,LE10=0),50000,0))+IF($H10=1,INDEX('calcA'!$D$180:$EQ$219,$B10,67)*4000,0)-IF(AND('calcA'!BQ$117=1,WO10&gt;0),2000,0)-IF(AND($U10=1,'calcA'!BR$117=1,FQ10=0),2000,0))),1000000000))</f>
        <v/>
      </c>
      <c r="QU10">
        <f>IF($B10=0,1000000000,IF(INDEX('calcA'!$D$60:$EQ$99,$B10,68)*IF($W10=1,FQ10+ACF10,FQ10)=1,IF(AND($E10=2,IF($W10=1,AHU10,LF10)=0),1000000000,IF($V10=1,INDEX('calcA'!$D$130:$EQ$169,$B10,68)+IF(AND($E10=1,LF10=0),25,0),IF($F10&gt;0,INDEX('calcA'!BS$110:BS$114,$F10+1)+IF(AND($E10=1,LF10=0),1000,0),MIN(TW10,20)*400+(IF('calcA'!BR$106=1,1-FP10,0)+IF('calcA'!BS$106=1,1-FR10,0))*150+203+'calcA'!BS$5*100000+IF(AND($E10=1,LF10=0),50000,0))+IF($H10=1,INDEX('calcA'!$D$180:$EQ$219,$B10,68)*4000,0)-IF(AND('calcA'!BR$117=1,WP10&gt;0),2000,0)-IF(AND($U10=1,'calcA'!BS$117=1,FR10=0),2000,0))),1000000000))</f>
        <v/>
      </c>
      <c r="QV10">
        <f>IF($B10=0,1000000000,IF(INDEX('calcA'!$D$60:$EQ$99,$B10,69)*IF($W10=1,FR10+ACG10,FR10)=1,IF(AND($E10=2,IF($W10=1,AHV10,LG10)=0),1000000000,IF($V10=1,INDEX('calcA'!$D$130:$EQ$169,$B10,69)+IF(AND($E10=1,LG10=0),25,0),IF($F10&gt;0,INDEX('calcA'!BT$110:BT$114,$F10+1)+IF(AND($E10=1,LG10=0),1000,0),MIN(TW10,20)*400+(IF('calcA'!BS$106=1,1-FQ10,0)+IF('calcA'!BT$106=1,1-FS10,0))*150+213+'calcA'!BT$5*100000+IF(AND($E10=1,LG10=0),50000,0))+IF($H10=1,INDEX('calcA'!$D$180:$EQ$219,$B10,69)*4000,0)-IF(AND('calcA'!BS$117=1,WQ10&gt;0),2000,0)-IF(AND($U10=1,'calcA'!BT$117=1,FS10=0),2000,0))),1000000000))</f>
        <v/>
      </c>
      <c r="QW10">
        <f>IF($B10=0,1000000000,IF(INDEX('calcA'!$D$60:$EQ$99,$B10,70)*IF($W10=1,FS10+ACH10,FS10)=1,IF(AND($E10=2,IF($W10=1,AHW10,LH10)=0),1000000000,IF($V10=1,INDEX('calcA'!$D$130:$EQ$169,$B10,70)+IF(AND($E10=1,LH10=0),25,0),IF($F10&gt;0,INDEX('calcA'!BU$110:BU$114,$F10+1)+IF(AND($E10=1,LH10=0),1000,0),MIN(TW10,20)*400+(IF('calcA'!BT$106=1,1-FR10,0)+IF('calcA'!BU$106=1,1-FT10,0))*150+223+'calcA'!BU$5*100000+IF(AND($E10=1,LH10=0),50000,0))+IF($H10=1,INDEX('calcA'!$D$180:$EQ$219,$B10,70)*4000,0)-IF(AND('calcA'!BT$117=1,WR10&gt;0),2000,0)-IF(AND($U10=1,'calcA'!BU$117=1,FT10=0),2000,0))),1000000000))</f>
        <v/>
      </c>
      <c r="QX10">
        <f>IF($B10=0,1000000000,IF(INDEX('calcA'!$D$60:$EQ$99,$B10,71)*IF($W10=1,FT10+ACI10,FT10)=1,IF(AND($E10=2,IF($W10=1,AHX10,LI10)=0),1000000000,IF($V10=1,INDEX('calcA'!$D$130:$EQ$169,$B10,71)+IF(AND($E10=1,LI10=0),25,0),IF($F10&gt;0,INDEX('calcA'!BV$110:BV$114,$F10+1)+IF(AND($E10=1,LI10=0),1000,0),MIN(TW10,20)*400+(IF('calcA'!BU$106=1,1-FS10,0)+IF('calcA'!BV$106=1,1-FU10,0))*150+233+'calcA'!BV$5*100000+IF(AND($E10=1,LI10=0),50000,0))+IF($H10=1,INDEX('calcA'!$D$180:$EQ$219,$B10,71)*4000,0)-IF(AND('calcA'!BU$117=1,WS10&gt;0),2000,0)-IF(AND($U10=1,'calcA'!BV$117=1,FU10=0),2000,0))),1000000000))</f>
        <v/>
      </c>
      <c r="QY10">
        <f>IF($B10=0,1000000000,IF(INDEX('calcA'!$D$60:$EQ$99,$B10,72)*IF($W10=1,FU10+ACJ10,FU10)=1,IF(AND($E10=2,IF($W10=1,AHY10,LJ10)=0),1000000000,IF($V10=1,INDEX('calcA'!$D$130:$EQ$169,$B10,72)+IF(AND($E10=1,LJ10=0),25,0),IF($F10&gt;0,INDEX('calcA'!BW$110:BW$114,$F10+1)+IF(AND($E10=1,LJ10=0),1000,0),MIN(TW10,20)*400+(IF('calcA'!BV$106=1,1-FT10,0))*150+243+'calcA'!BW$5*100000+IF(AND($E10=1,LJ10=0),50000,0))+IF($H10=1,INDEX('calcA'!$D$180:$EQ$219,$B10,72)*4000,0)-IF(AND('calcA'!BV$117=1,WT10&gt;0),2000,0))),1000000000))</f>
        <v/>
      </c>
      <c r="QZ10">
        <f>IF($B10=0,1000000000,IF(INDEX('calcA'!$D$60:$EQ$99,$B10,73)*IF($W10=1,FV10+ACK10,FV10)=1,IF(AND($E10=2,IF($W10=1,AHZ10,LK10)=0),1000000000,IF($V10=1,INDEX('calcA'!$D$130:$EQ$169,$B10,73)+IF(AND($E10=1,LK10=0),25,0),IF($F10&gt;0,INDEX('calcA'!BX$110:BX$114,$F10+1)+IF(AND($E10=1,LK10=0),1000,0),MIN(TX10,20)*400+(IF('calcA'!BX$106=1,1-FW10,0))*150+14+'calcA'!BX$5*100000+IF(AND($E10=1,LK10=0),50000,0))+IF($H10=1,INDEX('calcA'!$D$180:$EQ$219,$B10,73)*4000,0)-IF(AND($U10=1,'calcA'!BX$117=1,FW10=0),2000,0))),1000000000))</f>
        <v/>
      </c>
      <c r="RA10">
        <f>IF($B10=0,1000000000,IF(INDEX('calcA'!$D$60:$EQ$99,$B10,74)*IF($W10=1,FW10+ACL10,FW10)=1,IF(AND($E10=2,IF($W10=1,AIA10,LL10)=0),1000000000,IF($V10=1,INDEX('calcA'!$D$130:$EQ$169,$B10,74)+IF(AND($E10=1,LL10=0),25,0),IF($F10&gt;0,INDEX('calcA'!BY$110:BY$114,$F10+1)+IF(AND($E10=1,LL10=0),1000,0),MIN(TX10,20)*400+(IF('calcA'!BX$106=1,1-FV10,0)+IF('calcA'!BY$106=1,1-FX10,0))*150+24+'calcA'!BY$5*100000+IF(AND($E10=1,LL10=0),50000,0))+IF($H10=1,INDEX('calcA'!$D$180:$EQ$219,$B10,74)*4000,0)-IF(AND('calcA'!BX$117=1,WV10&gt;0),2000,0)-IF(AND($U10=1,'calcA'!BY$117=1,FX10=0),2000,0))),1000000000))</f>
        <v/>
      </c>
      <c r="RB10">
        <f>IF($B10=0,1000000000,IF(INDEX('calcA'!$D$60:$EQ$99,$B10,75)*IF($W10=1,FX10+ACM10,FX10)=1,IF(AND($E10=2,IF($W10=1,AIB10,LM10)=0),1000000000,IF($V10=1,INDEX('calcA'!$D$130:$EQ$169,$B10,75)+IF(AND($E10=1,LM10=0),25,0),IF($F10&gt;0,INDEX('calcA'!BZ$110:BZ$114,$F10+1)+IF(AND($E10=1,LM10=0),1000,0),MIN(TX10,20)*400+(IF('calcA'!BY$106=1,1-FW10,0)+IF('calcA'!BZ$106=1,1-FY10,0))*150+34+'calcA'!BZ$5*100000+IF(AND($E10=1,LM10=0),50000,0))+IF($H10=1,INDEX('calcA'!$D$180:$EQ$219,$B10,75)*4000,0)-IF(AND('calcA'!BY$117=1,WW10&gt;0),2000,0)-IF(AND($U10=1,'calcA'!BZ$117=1,FY10=0),2000,0))),1000000000))</f>
        <v/>
      </c>
      <c r="RC10">
        <f>IF($B10=0,1000000000,IF(INDEX('calcA'!$D$60:$EQ$99,$B10,76)*IF($W10=1,FY10+ACN10,FY10)=1,IF(AND($E10=2,IF($W10=1,AIC10,LN10)=0),1000000000,IF($V10=1,INDEX('calcA'!$D$130:$EQ$169,$B10,76)+IF(AND($E10=1,LN10=0),25,0),IF($F10&gt;0,INDEX('calcA'!CA$110:CA$114,$F10+1)+IF(AND($E10=1,LN10=0),1000,0),MIN(TX10,20)*400+(IF('calcA'!BZ$106=1,1-FX10,0)+IF('calcA'!CA$106=1,1-FZ10,0))*150+44+'calcA'!CA$5*100000+IF(AND($E10=1,LN10=0),50000,0))+IF($H10=1,INDEX('calcA'!$D$180:$EQ$219,$B10,76)*4000,0)-IF(AND('calcA'!BZ$117=1,WX10&gt;0),2000,0)-IF(AND($U10=1,'calcA'!CA$117=1,FZ10=0),2000,0))),1000000000))</f>
        <v/>
      </c>
      <c r="RD10">
        <f>IF($B10=0,1000000000,IF(INDEX('calcA'!$D$60:$EQ$99,$B10,77)*IF($W10=1,FZ10+ACO10,FZ10)=1,IF(AND($E10=2,IF($W10=1,AID10,LO10)=0),1000000000,IF($V10=1,INDEX('calcA'!$D$130:$EQ$169,$B10,77)+IF(AND($E10=1,LO10=0),25,0),IF($F10&gt;0,INDEX('calcA'!CB$110:CB$114,$F10+1)+IF(AND($E10=1,LO10=0),1000,0),MIN(TX10,20)*400+(IF('calcA'!CA$106=1,1-FY10,0)+IF('calcA'!CB$106=1,1-GA10,0))*150+54+'calcA'!CB$5*100000+IF(AND($E10=1,LO10=0),50000,0))+IF($H10=1,INDEX('calcA'!$D$180:$EQ$219,$B10,77)*4000,0)-IF(AND('calcA'!CA$117=1,WY10&gt;0),2000,0)-IF(AND($U10=1,'calcA'!CB$117=1,GA10=0),2000,0))),1000000000))</f>
        <v/>
      </c>
      <c r="RE10">
        <f>IF($B10=0,1000000000,IF(INDEX('calcA'!$D$60:$EQ$99,$B10,78)*IF($W10=1,GA10+ACP10,GA10)=1,IF(AND($E10=2,IF($W10=1,AIE10,LP10)=0),1000000000,IF($V10=1,INDEX('calcA'!$D$130:$EQ$169,$B10,78)+IF(AND($E10=1,LP10=0),25,0),IF($F10&gt;0,INDEX('calcA'!CC$110:CC$114,$F10+1)+IF(AND($E10=1,LP10=0),1000,0),MIN(TX10,20)*400+(IF('calcA'!CB$106=1,1-FZ10,0)+IF('calcA'!CC$106=1,1-GB10,0))*150+64+'calcA'!CC$5*100000+IF(AND($E10=1,LP10=0),50000,0))+IF($H10=1,INDEX('calcA'!$D$180:$EQ$219,$B10,78)*4000,0)-IF(AND('calcA'!CB$117=1,WZ10&gt;0),2000,0)-IF(AND($U10=1,'calcA'!CC$117=1,GB10=0),2000,0))),1000000000))</f>
        <v/>
      </c>
      <c r="RF10">
        <f>IF($B10=0,1000000000,IF(INDEX('calcA'!$D$60:$EQ$99,$B10,79)*IF($W10=1,GB10+ACQ10,GB10)=1,IF(AND($E10=2,IF($W10=1,AIF10,LQ10)=0),1000000000,IF($V10=1,INDEX('calcA'!$D$130:$EQ$169,$B10,79)+IF(AND($E10=1,LQ10=0),25,0),IF($F10&gt;0,INDEX('calcA'!CD$110:CD$114,$F10+1)+IF(AND($E10=1,LQ10=0),1000,0),MIN(TX10,20)*400+(IF('calcA'!CC$106=1,1-GA10,0)+IF('calcA'!CD$106=1,1-GC10,0))*150+74+'calcA'!CD$5*100000+IF(AND($E10=1,LQ10=0),50000,0))+IF($H10=1,INDEX('calcA'!$D$180:$EQ$219,$B10,79)*4000,0)-IF(AND('calcA'!CC$117=1,XA10&gt;0),2000,0)-IF(AND($U10=1,'calcA'!CD$117=1,GC10=0),2000,0))),1000000000))</f>
        <v/>
      </c>
      <c r="RG10">
        <f>IF($B10=0,1000000000,IF(INDEX('calcA'!$D$60:$EQ$99,$B10,80)*IF($W10=1,GC10+ACR10,GC10)=1,IF(AND($E10=2,IF($W10=1,AIG10,LR10)=0),1000000000,IF($V10=1,INDEX('calcA'!$D$130:$EQ$169,$B10,80)+IF(AND($E10=1,LR10=0),25,0),IF($F10&gt;0,INDEX('calcA'!CE$110:CE$114,$F10+1)+IF(AND($E10=1,LR10=0),1000,0),MIN(TX10,20)*400+(IF('calcA'!CD$106=1,1-GB10,0)+IF('calcA'!CE$106=1,1-GD10,0))*150+84+'calcA'!CE$5*100000+IF(AND($E10=1,LR10=0),50000,0))+IF($H10=1,INDEX('calcA'!$D$180:$EQ$219,$B10,80)*4000,0)-IF(AND('calcA'!CD$117=1,XB10&gt;0),2000,0)-IF(AND($U10=1,'calcA'!CE$117=1,GD10=0),2000,0))),1000000000))</f>
        <v/>
      </c>
      <c r="RH10">
        <f>IF($B10=0,1000000000,IF(INDEX('calcA'!$D$60:$EQ$99,$B10,81)*IF($W10=1,GD10+ACS10,GD10)=1,IF(AND($E10=2,IF($W10=1,AIH10,LS10)=0),1000000000,IF($V10=1,INDEX('calcA'!$D$130:$EQ$169,$B10,81)+IF(AND($E10=1,LS10=0),25,0),IF($F10&gt;0,INDEX('calcA'!CF$110:CF$114,$F10+1)+IF(AND($E10=1,LS10=0),1000,0),MIN(TX10,20)*400+(IF('calcA'!CE$106=1,1-GC10,0)+IF('calcA'!CF$106=1,1-GE10,0))*150+94+'calcA'!CF$5*100000+IF(AND($E10=1,LS10=0),50000,0))+IF($H10=1,INDEX('calcA'!$D$180:$EQ$219,$B10,81)*4000,0)-IF(AND('calcA'!CE$117=1,XC10&gt;0),2000,0)-IF(AND($U10=1,'calcA'!CF$117=1,GE10=0),2000,0))),1000000000))</f>
        <v/>
      </c>
      <c r="RI10">
        <f>IF($B10=0,1000000000,IF(INDEX('calcA'!$D$60:$EQ$99,$B10,82)*IF($W10=1,GE10+ACT10,GE10)=1,IF(AND($E10=2,IF($W10=1,AII10,LT10)=0),1000000000,IF($V10=1,INDEX('calcA'!$D$130:$EQ$169,$B10,82)+IF(AND($E10=1,LT10=0),25,0),IF($F10&gt;0,INDEX('calcA'!CG$110:CG$114,$F10+1)+IF(AND($E10=1,LT10=0),1000,0),MIN(TX10,20)*400+(IF('calcA'!CF$106=1,1-GD10,0)+IF('calcA'!CG$106=1,1-GF10,0))*150+104+'calcA'!CG$5*100000+IF(AND($E10=1,LT10=0),50000,0))+IF($H10=1,INDEX('calcA'!$D$180:$EQ$219,$B10,82)*4000,0)-IF(AND('calcA'!CF$117=1,XD10&gt;0),2000,0)-IF(AND($U10=1,'calcA'!CG$117=1,GF10=0),2000,0))),1000000000))</f>
        <v/>
      </c>
      <c r="RJ10">
        <f>IF($B10=0,1000000000,IF(INDEX('calcA'!$D$60:$EQ$99,$B10,83)*IF($W10=1,GF10+ACU10,GF10)=1,IF(AND($E10=2,IF($W10=1,AIJ10,LU10)=0),1000000000,IF($V10=1,INDEX('calcA'!$D$130:$EQ$169,$B10,83)+IF(AND($E10=1,LU10=0),25,0),IF($F10&gt;0,INDEX('calcA'!CH$110:CH$114,$F10+1)+IF(AND($E10=1,LU10=0),1000,0),MIN(TX10,20)*400+(IF('calcA'!CG$106=1,1-GE10,0)+IF('calcA'!CH$106=1,1-GG10,0))*150+114+'calcA'!CH$5*100000+IF(AND($E10=1,LU10=0),50000,0))+IF($H10=1,INDEX('calcA'!$D$180:$EQ$219,$B10,83)*4000,0)-IF(AND('calcA'!CG$117=1,XE10&gt;0),2000,0)-IF(AND($U10=1,'calcA'!CH$117=1,GG10=0),2000,0))),1000000000))</f>
        <v/>
      </c>
      <c r="RK10">
        <f>IF($B10=0,1000000000,IF(INDEX('calcA'!$D$60:$EQ$99,$B10,84)*IF($W10=1,GG10+ACV10,GG10)=1,IF(AND($E10=2,IF($W10=1,AIK10,LV10)=0),1000000000,IF($V10=1,INDEX('calcA'!$D$130:$EQ$169,$B10,84)+IF(AND($E10=1,LV10=0),25,0),IF($F10&gt;0,INDEX('calcA'!CI$110:CI$114,$F10+1)+IF(AND($E10=1,LV10=0),1000,0),MIN(TX10,20)*400+(IF('calcA'!CH$106=1,1-GF10,0)+IF('calcA'!CI$106=1,1-GH10,0))*150+124+'calcA'!CI$5*100000+IF(AND($E10=1,LV10=0),50000,0))+IF($H10=1,INDEX('calcA'!$D$180:$EQ$219,$B10,84)*4000,0)-IF(AND('calcA'!CH$117=1,XF10&gt;0),2000,0)-IF(AND($U10=1,'calcA'!CI$117=1,GH10=0),2000,0))),1000000000))</f>
        <v/>
      </c>
      <c r="RL10">
        <f>IF($B10=0,1000000000,IF(INDEX('calcA'!$D$60:$EQ$99,$B10,85)*IF($W10=1,GH10+ACW10,GH10)=1,IF(AND($E10=2,IF($W10=1,AIL10,LW10)=0),1000000000,IF($V10=1,INDEX('calcA'!$D$130:$EQ$169,$B10,85)+IF(AND($E10=1,LW10=0),25,0),IF($F10&gt;0,INDEX('calcA'!CJ$110:CJ$114,$F10+1)+IF(AND($E10=1,LW10=0),1000,0),MIN(TX10,20)*400+(IF('calcA'!CI$106=1,1-GG10,0)+IF('calcA'!CJ$106=1,1-GI10,0))*150+134+'calcA'!CJ$5*100000+IF(AND($E10=1,LW10=0),50000,0))+IF($H10=1,INDEX('calcA'!$D$180:$EQ$219,$B10,85)*4000,0)-IF(AND('calcA'!CI$117=1,XG10&gt;0),2000,0)-IF(AND($U10=1,'calcA'!CJ$117=1,GI10=0),2000,0))),1000000000))</f>
        <v/>
      </c>
      <c r="RM10">
        <f>IF($B10=0,1000000000,IF(INDEX('calcA'!$D$60:$EQ$99,$B10,86)*IF($W10=1,GI10+ACX10,GI10)=1,IF(AND($E10=2,IF($W10=1,AIM10,LX10)=0),1000000000,IF($V10=1,INDEX('calcA'!$D$130:$EQ$169,$B10,86)+IF(AND($E10=1,LX10=0),25,0),IF($F10&gt;0,INDEX('calcA'!CK$110:CK$114,$F10+1)+IF(AND($E10=1,LX10=0),1000,0),MIN(TX10,20)*400+(IF('calcA'!CJ$106=1,1-GH10,0)+IF('calcA'!CK$106=1,1-GJ10,0))*150+144+'calcA'!CK$5*100000+IF(AND($E10=1,LX10=0),50000,0))+IF($H10=1,INDEX('calcA'!$D$180:$EQ$219,$B10,86)*4000,0)-IF(AND('calcA'!CJ$117=1,XH10&gt;0),2000,0)-IF(AND($U10=1,'calcA'!CK$117=1,GJ10=0),2000,0))),1000000000))</f>
        <v/>
      </c>
      <c r="RN10">
        <f>IF($B10=0,1000000000,IF(INDEX('calcA'!$D$60:$EQ$99,$B10,87)*IF($W10=1,GJ10+ACY10,GJ10)=1,IF(AND($E10=2,IF($W10=1,AIN10,LY10)=0),1000000000,IF($V10=1,INDEX('calcA'!$D$130:$EQ$169,$B10,87)+IF(AND($E10=1,LY10=0),25,0),IF($F10&gt;0,INDEX('calcA'!CL$110:CL$114,$F10+1)+IF(AND($E10=1,LY10=0),1000,0),MIN(TX10,20)*400+(IF('calcA'!CK$106=1,1-GI10,0)+IF('calcA'!CL$106=1,1-GK10,0))*150+154+'calcA'!CL$5*100000+IF(AND($E10=1,LY10=0),50000,0))+IF($H10=1,INDEX('calcA'!$D$180:$EQ$219,$B10,87)*4000,0)-IF(AND('calcA'!CK$117=1,XI10&gt;0),2000,0)-IF(AND($U10=1,'calcA'!CL$117=1,GK10=0),2000,0))),1000000000))</f>
        <v/>
      </c>
      <c r="RO10">
        <f>IF($B10=0,1000000000,IF(INDEX('calcA'!$D$60:$EQ$99,$B10,88)*IF($W10=1,GK10+ACZ10,GK10)=1,IF(AND($E10=2,IF($W10=1,AIO10,LZ10)=0),1000000000,IF($V10=1,INDEX('calcA'!$D$130:$EQ$169,$B10,88)+IF(AND($E10=1,LZ10=0),25,0),IF($F10&gt;0,INDEX('calcA'!CM$110:CM$114,$F10+1)+IF(AND($E10=1,LZ10=0),1000,0),MIN(TX10,20)*400+(IF('calcA'!CL$106=1,1-GJ10,0)+IF('calcA'!CM$106=1,1-GL10,0))*150+164+'calcA'!CM$5*100000+IF(AND($E10=1,LZ10=0),50000,0))+IF($H10=1,INDEX('calcA'!$D$180:$EQ$219,$B10,88)*4000,0)-IF(AND('calcA'!CL$117=1,XJ10&gt;0),2000,0)-IF(AND($U10=1,'calcA'!CM$117=1,GL10=0),2000,0))),1000000000))</f>
        <v/>
      </c>
      <c r="RP10">
        <f>IF($B10=0,1000000000,IF(INDEX('calcA'!$D$60:$EQ$99,$B10,89)*IF($W10=1,GL10+ADA10,GL10)=1,IF(AND($E10=2,IF($W10=1,AIP10,MA10)=0),1000000000,IF($V10=1,INDEX('calcA'!$D$130:$EQ$169,$B10,89)+IF(AND($E10=1,MA10=0),25,0),IF($F10&gt;0,INDEX('calcA'!CN$110:CN$114,$F10+1)+IF(AND($E10=1,MA10=0),1000,0),MIN(TX10,20)*400+(IF('calcA'!CM$106=1,1-GK10,0)+IF('calcA'!CN$106=1,1-GM10,0))*150+174+'calcA'!CN$5*100000+IF(AND($E10=1,MA10=0),50000,0))+IF($H10=1,INDEX('calcA'!$D$180:$EQ$219,$B10,89)*4000,0)-IF(AND('calcA'!CM$117=1,XK10&gt;0),2000,0)-IF(AND($U10=1,'calcA'!CN$117=1,GM10=0),2000,0))),1000000000))</f>
        <v/>
      </c>
      <c r="RQ10">
        <f>IF($B10=0,1000000000,IF(INDEX('calcA'!$D$60:$EQ$99,$B10,90)*IF($W10=1,GM10+ADB10,GM10)=1,IF(AND($E10=2,IF($W10=1,AIQ10,MB10)=0),1000000000,IF($V10=1,INDEX('calcA'!$D$130:$EQ$169,$B10,90)+IF(AND($E10=1,MB10=0),25,0),IF($F10&gt;0,INDEX('calcA'!CO$110:CO$114,$F10+1)+IF(AND($E10=1,MB10=0),1000,0),MIN(TX10,20)*400+(IF('calcA'!CN$106=1,1-GL10,0)+IF('calcA'!CO$106=1,1-GN10,0))*150+184+'calcA'!CO$5*100000+IF(AND($E10=1,MB10=0),50000,0))+IF($H10=1,INDEX('calcA'!$D$180:$EQ$219,$B10,90)*4000,0)-IF(AND('calcA'!CN$117=1,XL10&gt;0),2000,0)-IF(AND($U10=1,'calcA'!CO$117=1,GN10=0),2000,0))),1000000000))</f>
        <v/>
      </c>
      <c r="RR10">
        <f>IF($B10=0,1000000000,IF(INDEX('calcA'!$D$60:$EQ$99,$B10,91)*IF($W10=1,GN10+ADC10,GN10)=1,IF(AND($E10=2,IF($W10=1,AIR10,MC10)=0),1000000000,IF($V10=1,INDEX('calcA'!$D$130:$EQ$169,$B10,91)+IF(AND($E10=1,MC10=0),25,0),IF($F10&gt;0,INDEX('calcA'!CP$110:CP$114,$F10+1)+IF(AND($E10=1,MC10=0),1000,0),MIN(TX10,20)*400+(IF('calcA'!CO$106=1,1-GM10,0)+IF('calcA'!CP$106=1,1-GO10,0))*150+194+'calcA'!CP$5*100000+IF(AND($E10=1,MC10=0),50000,0))+IF($H10=1,INDEX('calcA'!$D$180:$EQ$219,$B10,91)*4000,0)-IF(AND('calcA'!CO$117=1,XM10&gt;0),2000,0)-IF(AND($U10=1,'calcA'!CP$117=1,GO10=0),2000,0))),1000000000))</f>
        <v/>
      </c>
      <c r="RS10">
        <f>IF($B10=0,1000000000,IF(INDEX('calcA'!$D$60:$EQ$99,$B10,92)*IF($W10=1,GO10+ADD10,GO10)=1,IF(AND($E10=2,IF($W10=1,AIS10,MD10)=0),1000000000,IF($V10=1,INDEX('calcA'!$D$130:$EQ$169,$B10,92)+IF(AND($E10=1,MD10=0),25,0),IF($F10&gt;0,INDEX('calcA'!CQ$110:CQ$114,$F10+1)+IF(AND($E10=1,MD10=0),1000,0),MIN(TX10,20)*400+(IF('calcA'!CP$106=1,1-GN10,0)+IF('calcA'!CQ$106=1,1-GP10,0))*150+204+'calcA'!CQ$5*100000+IF(AND($E10=1,MD10=0),50000,0))+IF($H10=1,INDEX('calcA'!$D$180:$EQ$219,$B10,92)*4000,0)-IF(AND('calcA'!CP$117=1,XN10&gt;0),2000,0)-IF(AND($U10=1,'calcA'!CQ$117=1,GP10=0),2000,0))),1000000000))</f>
        <v/>
      </c>
      <c r="RT10">
        <f>IF($B10=0,1000000000,IF(INDEX('calcA'!$D$60:$EQ$99,$B10,93)*IF($W10=1,GP10+ADE10,GP10)=1,IF(AND($E10=2,IF($W10=1,AIT10,ME10)=0),1000000000,IF($V10=1,INDEX('calcA'!$D$130:$EQ$169,$B10,93)+IF(AND($E10=1,ME10=0),25,0),IF($F10&gt;0,INDEX('calcA'!CR$110:CR$114,$F10+1)+IF(AND($E10=1,ME10=0),1000,0),MIN(TX10,20)*400+(IF('calcA'!CQ$106=1,1-GO10,0)+IF('calcA'!CR$106=1,1-GQ10,0))*150+214+'calcA'!CR$5*100000+IF(AND($E10=1,ME10=0),50000,0))+IF($H10=1,INDEX('calcA'!$D$180:$EQ$219,$B10,93)*4000,0)-IF(AND('calcA'!CQ$117=1,XO10&gt;0),2000,0)-IF(AND($U10=1,'calcA'!CR$117=1,GQ10=0),2000,0))),1000000000))</f>
        <v/>
      </c>
      <c r="RU10">
        <f>IF($B10=0,1000000000,IF(INDEX('calcA'!$D$60:$EQ$99,$B10,94)*IF($W10=1,GQ10+ADF10,GQ10)=1,IF(AND($E10=2,IF($W10=1,AIU10,MF10)=0),1000000000,IF($V10=1,INDEX('calcA'!$D$130:$EQ$169,$B10,94)+IF(AND($E10=1,MF10=0),25,0),IF($F10&gt;0,INDEX('calcA'!CS$110:CS$114,$F10+1)+IF(AND($E10=1,MF10=0),1000,0),MIN(TX10,20)*400+(IF('calcA'!CR$106=1,1-GP10,0)+IF('calcA'!CS$106=1,1-GR10,0))*150+224+'calcA'!CS$5*100000+IF(AND($E10=1,MF10=0),50000,0))+IF($H10=1,INDEX('calcA'!$D$180:$EQ$219,$B10,94)*4000,0)-IF(AND('calcA'!CR$117=1,XP10&gt;0),2000,0)-IF(AND($U10=1,'calcA'!CS$117=1,GR10=0),2000,0))),1000000000))</f>
        <v/>
      </c>
      <c r="RV10">
        <f>IF($B10=0,1000000000,IF(INDEX('calcA'!$D$60:$EQ$99,$B10,95)*IF($W10=1,GR10+ADG10,GR10)=1,IF(AND($E10=2,IF($W10=1,AIV10,MG10)=0),1000000000,IF($V10=1,INDEX('calcA'!$D$130:$EQ$169,$B10,95)+IF(AND($E10=1,MG10=0),25,0),IF($F10&gt;0,INDEX('calcA'!CT$110:CT$114,$F10+1)+IF(AND($E10=1,MG10=0),1000,0),MIN(TX10,20)*400+(IF('calcA'!CS$106=1,1-GQ10,0)+IF('calcA'!CT$106=1,1-GS10,0))*150+234+'calcA'!CT$5*100000+IF(AND($E10=1,MG10=0),50000,0))+IF($H10=1,INDEX('calcA'!$D$180:$EQ$219,$B10,95)*4000,0)-IF(AND('calcA'!CS$117=1,XQ10&gt;0),2000,0)-IF(AND($U10=1,'calcA'!CT$117=1,GS10=0),2000,0))),1000000000))</f>
        <v/>
      </c>
      <c r="RW10">
        <f>IF($B10=0,1000000000,IF(INDEX('calcA'!$D$60:$EQ$99,$B10,96)*IF($W10=1,GS10+ADH10,GS10)=1,IF(AND($E10=2,IF($W10=1,AIW10,MH10)=0),1000000000,IF($V10=1,INDEX('calcA'!$D$130:$EQ$169,$B10,96)+IF(AND($E10=1,MH10=0),25,0),IF($F10&gt;0,INDEX('calcA'!CU$110:CU$114,$F10+1)+IF(AND($E10=1,MH10=0),1000,0),MIN(TX10,20)*400+(IF('calcA'!CT$106=1,1-GR10,0))*150+244+'calcA'!CU$5*100000+IF(AND($E10=1,MH10=0),50000,0))+IF($H10=1,INDEX('calcA'!$D$180:$EQ$219,$B10,96)*4000,0)-IF(AND('calcA'!CT$117=1,XR10&gt;0),2000,0))),1000000000))</f>
        <v/>
      </c>
      <c r="RX10">
        <f>IF($B10=0,1000000000,IF(INDEX('calcA'!$D$60:$EQ$99,$B10,97)*IF($W10=1,GT10+ADI10,GT10)=1,IF(AND($E10=2,IF($W10=1,AIX10,MI10)=0),1000000000,IF($V10=1,INDEX('calcA'!$D$130:$EQ$169,$B10,97)+IF(AND($E10=1,MI10=0),25,0),IF($F10&gt;0,INDEX('calcA'!CV$110:CV$114,$F10+1)+IF(AND($E10=1,MI10=0),1000,0),MIN(TY10,20)*400+(IF('calcA'!CV$106=1,1-GU10,0))*150+15+'calcA'!CV$5*100000+IF(AND($E10=1,MI10=0),50000,0))+IF($H10=1,INDEX('calcA'!$D$180:$EQ$219,$B10,97)*4000,0)-IF(AND($U10=1,'calcA'!CV$117=1,GU10=0),2000,0))),1000000000))</f>
        <v/>
      </c>
      <c r="RY10">
        <f>IF($B10=0,1000000000,IF(INDEX('calcA'!$D$60:$EQ$99,$B10,98)*IF($W10=1,GU10+ADJ10,GU10)=1,IF(AND($E10=2,IF($W10=1,AIY10,MJ10)=0),1000000000,IF($V10=1,INDEX('calcA'!$D$130:$EQ$169,$B10,98)+IF(AND($E10=1,MJ10=0),25,0),IF($F10&gt;0,INDEX('calcA'!CW$110:CW$114,$F10+1)+IF(AND($E10=1,MJ10=0),1000,0),MIN(TY10,20)*400+(IF('calcA'!CV$106=1,1-GT10,0)+IF('calcA'!CW$106=1,1-GV10,0))*150+25+'calcA'!CW$5*100000+IF(AND($E10=1,MJ10=0),50000,0))+IF($H10=1,INDEX('calcA'!$D$180:$EQ$219,$B10,98)*4000,0)-IF(AND('calcA'!CV$117=1,XT10&gt;0),2000,0)-IF(AND($U10=1,'calcA'!CW$117=1,GV10=0),2000,0))),1000000000))</f>
        <v/>
      </c>
      <c r="RZ10">
        <f>IF($B10=0,1000000000,IF(INDEX('calcA'!$D$60:$EQ$99,$B10,99)*IF($W10=1,GV10+ADK10,GV10)=1,IF(AND($E10=2,IF($W10=1,AIZ10,MK10)=0),1000000000,IF($V10=1,INDEX('calcA'!$D$130:$EQ$169,$B10,99)+IF(AND($E10=1,MK10=0),25,0),IF($F10&gt;0,INDEX('calcA'!CX$110:CX$114,$F10+1)+IF(AND($E10=1,MK10=0),1000,0),MIN(TY10,20)*400+(IF('calcA'!CW$106=1,1-GU10,0)+IF('calcA'!CX$106=1,1-GW10,0))*150+35+'calcA'!CX$5*100000+IF(AND($E10=1,MK10=0),50000,0))+IF($H10=1,INDEX('calcA'!$D$180:$EQ$219,$B10,99)*4000,0)-IF(AND('calcA'!CW$117=1,XU10&gt;0),2000,0)-IF(AND($U10=1,'calcA'!CX$117=1,GW10=0),2000,0))),1000000000))</f>
        <v/>
      </c>
      <c r="SA10">
        <f>IF($B10=0,1000000000,IF(INDEX('calcA'!$D$60:$EQ$99,$B10,100)*IF($W10=1,GW10+ADL10,GW10)=1,IF(AND($E10=2,IF($W10=1,AJA10,ML10)=0),1000000000,IF($V10=1,INDEX('calcA'!$D$130:$EQ$169,$B10,100)+IF(AND($E10=1,ML10=0),25,0),IF($F10&gt;0,INDEX('calcA'!CY$110:CY$114,$F10+1)+IF(AND($E10=1,ML10=0),1000,0),MIN(TY10,20)*400+(IF('calcA'!CX$106=1,1-GV10,0)+IF('calcA'!CY$106=1,1-GX10,0))*150+45+'calcA'!CY$5*100000+IF(AND($E10=1,ML10=0),50000,0))+IF($H10=1,INDEX('calcA'!$D$180:$EQ$219,$B10,100)*4000,0)-IF(AND('calcA'!CX$117=1,XV10&gt;0),2000,0)-IF(AND($U10=1,'calcA'!CY$117=1,GX10=0),2000,0))),1000000000))</f>
        <v/>
      </c>
      <c r="SB10">
        <f>IF($B10=0,1000000000,IF(INDEX('calcA'!$D$60:$EQ$99,$B10,101)*IF($W10=1,GX10+ADM10,GX10)=1,IF(AND($E10=2,IF($W10=1,AJB10,MM10)=0),1000000000,IF($V10=1,INDEX('calcA'!$D$130:$EQ$169,$B10,101)+IF(AND($E10=1,MM10=0),25,0),IF($F10&gt;0,INDEX('calcA'!CZ$110:CZ$114,$F10+1)+IF(AND($E10=1,MM10=0),1000,0),MIN(TY10,20)*400+(IF('calcA'!CY$106=1,1-GW10,0)+IF('calcA'!CZ$106=1,1-GY10,0))*150+55+'calcA'!CZ$5*100000+IF(AND($E10=1,MM10=0),50000,0))+IF($H10=1,INDEX('calcA'!$D$180:$EQ$219,$B10,101)*4000,0)-IF(AND('calcA'!CY$117=1,XW10&gt;0),2000,0)-IF(AND($U10=1,'calcA'!CZ$117=1,GY10=0),2000,0))),1000000000))</f>
        <v/>
      </c>
      <c r="SC10">
        <f>IF($B10=0,1000000000,IF(INDEX('calcA'!$D$60:$EQ$99,$B10,102)*IF($W10=1,GY10+ADN10,GY10)=1,IF(AND($E10=2,IF($W10=1,AJC10,MN10)=0),1000000000,IF($V10=1,INDEX('calcA'!$D$130:$EQ$169,$B10,102)+IF(AND($E10=1,MN10=0),25,0),IF($F10&gt;0,INDEX('calcA'!DA$110:DA$114,$F10+1)+IF(AND($E10=1,MN10=0),1000,0),MIN(TY10,20)*400+(IF('calcA'!CZ$106=1,1-GX10,0)+IF('calcA'!DA$106=1,1-GZ10,0))*150+65+'calcA'!DA$5*100000+IF(AND($E10=1,MN10=0),50000,0))+IF($H10=1,INDEX('calcA'!$D$180:$EQ$219,$B10,102)*4000,0)-IF(AND('calcA'!CZ$117=1,XX10&gt;0),2000,0)-IF(AND($U10=1,'calcA'!DA$117=1,GZ10=0),2000,0))),1000000000))</f>
        <v/>
      </c>
      <c r="SD10">
        <f>IF($B10=0,1000000000,IF(INDEX('calcA'!$D$60:$EQ$99,$B10,103)*IF($W10=1,GZ10+ADO10,GZ10)=1,IF(AND($E10=2,IF($W10=1,AJD10,MO10)=0),1000000000,IF($V10=1,INDEX('calcA'!$D$130:$EQ$169,$B10,103)+IF(AND($E10=1,MO10=0),25,0),IF($F10&gt;0,INDEX('calcA'!DB$110:DB$114,$F10+1)+IF(AND($E10=1,MO10=0),1000,0),MIN(TY10,20)*400+(IF('calcA'!DA$106=1,1-GY10,0)+IF('calcA'!DB$106=1,1-HA10,0))*150+75+'calcA'!DB$5*100000+IF(AND($E10=1,MO10=0),50000,0))+IF($H10=1,INDEX('calcA'!$D$180:$EQ$219,$B10,103)*4000,0)-IF(AND('calcA'!DA$117=1,XY10&gt;0),2000,0)-IF(AND($U10=1,'calcA'!DB$117=1,HA10=0),2000,0))),1000000000))</f>
        <v/>
      </c>
      <c r="SE10">
        <f>IF($B10=0,1000000000,IF(INDEX('calcA'!$D$60:$EQ$99,$B10,104)*IF($W10=1,HA10+ADP10,HA10)=1,IF(AND($E10=2,IF($W10=1,AJE10,MP10)=0),1000000000,IF($V10=1,INDEX('calcA'!$D$130:$EQ$169,$B10,104)+IF(AND($E10=1,MP10=0),25,0),IF($F10&gt;0,INDEX('calcA'!DC$110:DC$114,$F10+1)+IF(AND($E10=1,MP10=0),1000,0),MIN(TY10,20)*400+(IF('calcA'!DB$106=1,1-GZ10,0)+IF('calcA'!DC$106=1,1-HB10,0))*150+85+'calcA'!DC$5*100000+IF(AND($E10=1,MP10=0),50000,0))+IF($H10=1,INDEX('calcA'!$D$180:$EQ$219,$B10,104)*4000,0)-IF(AND('calcA'!DB$117=1,XZ10&gt;0),2000,0)-IF(AND($U10=1,'calcA'!DC$117=1,HB10=0),2000,0))),1000000000))</f>
        <v/>
      </c>
      <c r="SF10">
        <f>IF($B10=0,1000000000,IF(INDEX('calcA'!$D$60:$EQ$99,$B10,105)*IF($W10=1,HB10+ADQ10,HB10)=1,IF(AND($E10=2,IF($W10=1,AJF10,MQ10)=0),1000000000,IF($V10=1,INDEX('calcA'!$D$130:$EQ$169,$B10,105)+IF(AND($E10=1,MQ10=0),25,0),IF($F10&gt;0,INDEX('calcA'!DD$110:DD$114,$F10+1)+IF(AND($E10=1,MQ10=0),1000,0),MIN(TY10,20)*400+(IF('calcA'!DC$106=1,1-HA10,0)+IF('calcA'!DD$106=1,1-HC10,0))*150+95+'calcA'!DD$5*100000+IF(AND($E10=1,MQ10=0),50000,0))+IF($H10=1,INDEX('calcA'!$D$180:$EQ$219,$B10,105)*4000,0)-IF(AND('calcA'!DC$117=1,YA10&gt;0),2000,0)-IF(AND($U10=1,'calcA'!DD$117=1,HC10=0),2000,0))),1000000000))</f>
        <v/>
      </c>
      <c r="SG10">
        <f>IF($B10=0,1000000000,IF(INDEX('calcA'!$D$60:$EQ$99,$B10,106)*IF($W10=1,HC10+ADR10,HC10)=1,IF(AND($E10=2,IF($W10=1,AJG10,MR10)=0),1000000000,IF($V10=1,INDEX('calcA'!$D$130:$EQ$169,$B10,106)+IF(AND($E10=1,MR10=0),25,0),IF($F10&gt;0,INDEX('calcA'!DE$110:DE$114,$F10+1)+IF(AND($E10=1,MR10=0),1000,0),MIN(TY10,20)*400+(IF('calcA'!DD$106=1,1-HB10,0)+IF('calcA'!DE$106=1,1-HD10,0))*150+105+'calcA'!DE$5*100000+IF(AND($E10=1,MR10=0),50000,0))+IF($H10=1,INDEX('calcA'!$D$180:$EQ$219,$B10,106)*4000,0)-IF(AND('calcA'!DD$117=1,YB10&gt;0),2000,0)-IF(AND($U10=1,'calcA'!DE$117=1,HD10=0),2000,0))),1000000000))</f>
        <v/>
      </c>
      <c r="SH10">
        <f>IF($B10=0,1000000000,IF(INDEX('calcA'!$D$60:$EQ$99,$B10,107)*IF($W10=1,HD10+ADS10,HD10)=1,IF(AND($E10=2,IF($W10=1,AJH10,MS10)=0),1000000000,IF($V10=1,INDEX('calcA'!$D$130:$EQ$169,$B10,107)+IF(AND($E10=1,MS10=0),25,0),IF($F10&gt;0,INDEX('calcA'!DF$110:DF$114,$F10+1)+IF(AND($E10=1,MS10=0),1000,0),MIN(TY10,20)*400+(IF('calcA'!DE$106=1,1-HC10,0)+IF('calcA'!DF$106=1,1-HE10,0))*150+115+'calcA'!DF$5*100000+IF(AND($E10=1,MS10=0),50000,0))+IF($H10=1,INDEX('calcA'!$D$180:$EQ$219,$B10,107)*4000,0)-IF(AND('calcA'!DE$117=1,YC10&gt;0),2000,0)-IF(AND($U10=1,'calcA'!DF$117=1,HE10=0),2000,0))),1000000000))</f>
        <v/>
      </c>
      <c r="SI10">
        <f>IF($B10=0,1000000000,IF(INDEX('calcA'!$D$60:$EQ$99,$B10,108)*IF($W10=1,HE10+ADT10,HE10)=1,IF(AND($E10=2,IF($W10=1,AJI10,MT10)=0),1000000000,IF($V10=1,INDEX('calcA'!$D$130:$EQ$169,$B10,108)+IF(AND($E10=1,MT10=0),25,0),IF($F10&gt;0,INDEX('calcA'!DG$110:DG$114,$F10+1)+IF(AND($E10=1,MT10=0),1000,0),MIN(TY10,20)*400+(IF('calcA'!DF$106=1,1-HD10,0)+IF('calcA'!DG$106=1,1-HF10,0))*150+125+'calcA'!DG$5*100000+IF(AND($E10=1,MT10=0),50000,0))+IF($H10=1,INDEX('calcA'!$D$180:$EQ$219,$B10,108)*4000,0)-IF(AND('calcA'!DF$117=1,YD10&gt;0),2000,0)-IF(AND($U10=1,'calcA'!DG$117=1,HF10=0),2000,0))),1000000000))</f>
        <v/>
      </c>
      <c r="SJ10">
        <f>IF($B10=0,1000000000,IF(INDEX('calcA'!$D$60:$EQ$99,$B10,109)*IF($W10=1,HF10+ADU10,HF10)=1,IF(AND($E10=2,IF($W10=1,AJJ10,MU10)=0),1000000000,IF($V10=1,INDEX('calcA'!$D$130:$EQ$169,$B10,109)+IF(AND($E10=1,MU10=0),25,0),IF($F10&gt;0,INDEX('calcA'!DH$110:DH$114,$F10+1)+IF(AND($E10=1,MU10=0),1000,0),MIN(TY10,20)*400+(IF('calcA'!DG$106=1,1-HE10,0)+IF('calcA'!DH$106=1,1-HG10,0))*150+135+'calcA'!DH$5*100000+IF(AND($E10=1,MU10=0),50000,0))+IF($H10=1,INDEX('calcA'!$D$180:$EQ$219,$B10,109)*4000,0)-IF(AND('calcA'!DG$117=1,YE10&gt;0),2000,0)-IF(AND($U10=1,'calcA'!DH$117=1,HG10=0),2000,0))),1000000000))</f>
        <v/>
      </c>
      <c r="SK10">
        <f>IF($B10=0,1000000000,IF(INDEX('calcA'!$D$60:$EQ$99,$B10,110)*IF($W10=1,HG10+ADV10,HG10)=1,IF(AND($E10=2,IF($W10=1,AJK10,MV10)=0),1000000000,IF($V10=1,INDEX('calcA'!$D$130:$EQ$169,$B10,110)+IF(AND($E10=1,MV10=0),25,0),IF($F10&gt;0,INDEX('calcA'!DI$110:DI$114,$F10+1)+IF(AND($E10=1,MV10=0),1000,0),MIN(TY10,20)*400+(IF('calcA'!DH$106=1,1-HF10,0)+IF('calcA'!DI$106=1,1-HH10,0))*150+145+'calcA'!DI$5*100000+IF(AND($E10=1,MV10=0),50000,0))+IF($H10=1,INDEX('calcA'!$D$180:$EQ$219,$B10,110)*4000,0)-IF(AND('calcA'!DH$117=1,YF10&gt;0),2000,0)-IF(AND($U10=1,'calcA'!DI$117=1,HH10=0),2000,0))),1000000000))</f>
        <v/>
      </c>
      <c r="SL10">
        <f>IF($B10=0,1000000000,IF(INDEX('calcA'!$D$60:$EQ$99,$B10,111)*IF($W10=1,HH10+ADW10,HH10)=1,IF(AND($E10=2,IF($W10=1,AJL10,MW10)=0),1000000000,IF($V10=1,INDEX('calcA'!$D$130:$EQ$169,$B10,111)+IF(AND($E10=1,MW10=0),25,0),IF($F10&gt;0,INDEX('calcA'!DJ$110:DJ$114,$F10+1)+IF(AND($E10=1,MW10=0),1000,0),MIN(TY10,20)*400+(IF('calcA'!DI$106=1,1-HG10,0)+IF('calcA'!DJ$106=1,1-HI10,0))*150+155+'calcA'!DJ$5*100000+IF(AND($E10=1,MW10=0),50000,0))+IF($H10=1,INDEX('calcA'!$D$180:$EQ$219,$B10,111)*4000,0)-IF(AND('calcA'!DI$117=1,YG10&gt;0),2000,0)-IF(AND($U10=1,'calcA'!DJ$117=1,HI10=0),2000,0))),1000000000))</f>
        <v/>
      </c>
      <c r="SM10">
        <f>IF($B10=0,1000000000,IF(INDEX('calcA'!$D$60:$EQ$99,$B10,112)*IF($W10=1,HI10+ADX10,HI10)=1,IF(AND($E10=2,IF($W10=1,AJM10,MX10)=0),1000000000,IF($V10=1,INDEX('calcA'!$D$130:$EQ$169,$B10,112)+IF(AND($E10=1,MX10=0),25,0),IF($F10&gt;0,INDEX('calcA'!DK$110:DK$114,$F10+1)+IF(AND($E10=1,MX10=0),1000,0),MIN(TY10,20)*400+(IF('calcA'!DJ$106=1,1-HH10,0)+IF('calcA'!DK$106=1,1-HJ10,0))*150+165+'calcA'!DK$5*100000+IF(AND($E10=1,MX10=0),50000,0))+IF($H10=1,INDEX('calcA'!$D$180:$EQ$219,$B10,112)*4000,0)-IF(AND('calcA'!DJ$117=1,YH10&gt;0),2000,0)-IF(AND($U10=1,'calcA'!DK$117=1,HJ10=0),2000,0))),1000000000))</f>
        <v/>
      </c>
      <c r="SN10">
        <f>IF($B10=0,1000000000,IF(INDEX('calcA'!$D$60:$EQ$99,$B10,113)*IF($W10=1,HJ10+ADY10,HJ10)=1,IF(AND($E10=2,IF($W10=1,AJN10,MY10)=0),1000000000,IF($V10=1,INDEX('calcA'!$D$130:$EQ$169,$B10,113)+IF(AND($E10=1,MY10=0),25,0),IF($F10&gt;0,INDEX('calcA'!DL$110:DL$114,$F10+1)+IF(AND($E10=1,MY10=0),1000,0),MIN(TY10,20)*400+(IF('calcA'!DK$106=1,1-HI10,0)+IF('calcA'!DL$106=1,1-HK10,0))*150+175+'calcA'!DL$5*100000+IF(AND($E10=1,MY10=0),50000,0))+IF($H10=1,INDEX('calcA'!$D$180:$EQ$219,$B10,113)*4000,0)-IF(AND('calcA'!DK$117=1,YI10&gt;0),2000,0)-IF(AND($U10=1,'calcA'!DL$117=1,HK10=0),2000,0))),1000000000))</f>
        <v/>
      </c>
      <c r="SO10">
        <f>IF($B10=0,1000000000,IF(INDEX('calcA'!$D$60:$EQ$99,$B10,114)*IF($W10=1,HK10+ADZ10,HK10)=1,IF(AND($E10=2,IF($W10=1,AJO10,MZ10)=0),1000000000,IF($V10=1,INDEX('calcA'!$D$130:$EQ$169,$B10,114)+IF(AND($E10=1,MZ10=0),25,0),IF($F10&gt;0,INDEX('calcA'!DM$110:DM$114,$F10+1)+IF(AND($E10=1,MZ10=0),1000,0),MIN(TY10,20)*400+(IF('calcA'!DL$106=1,1-HJ10,0)+IF('calcA'!DM$106=1,1-HL10,0))*150+185+'calcA'!DM$5*100000+IF(AND($E10=1,MZ10=0),50000,0))+IF($H10=1,INDEX('calcA'!$D$180:$EQ$219,$B10,114)*4000,0)-IF(AND('calcA'!DL$117=1,YJ10&gt;0),2000,0)-IF(AND($U10=1,'calcA'!DM$117=1,HL10=0),2000,0))),1000000000))</f>
        <v/>
      </c>
      <c r="SP10">
        <f>IF($B10=0,1000000000,IF(INDEX('calcA'!$D$60:$EQ$99,$B10,115)*IF($W10=1,HL10+AEA10,HL10)=1,IF(AND($E10=2,IF($W10=1,AJP10,NA10)=0),1000000000,IF($V10=1,INDEX('calcA'!$D$130:$EQ$169,$B10,115)+IF(AND($E10=1,NA10=0),25,0),IF($F10&gt;0,INDEX('calcA'!DN$110:DN$114,$F10+1)+IF(AND($E10=1,NA10=0),1000,0),MIN(TY10,20)*400+(IF('calcA'!DM$106=1,1-HK10,0)+IF('calcA'!DN$106=1,1-HM10,0))*150+195+'calcA'!DN$5*100000+IF(AND($E10=1,NA10=0),50000,0))+IF($H10=1,INDEX('calcA'!$D$180:$EQ$219,$B10,115)*4000,0)-IF(AND('calcA'!DM$117=1,YK10&gt;0),2000,0)-IF(AND($U10=1,'calcA'!DN$117=1,HM10=0),2000,0))),1000000000))</f>
        <v/>
      </c>
      <c r="SQ10">
        <f>IF($B10=0,1000000000,IF(INDEX('calcA'!$D$60:$EQ$99,$B10,116)*IF($W10=1,HM10+AEB10,HM10)=1,IF(AND($E10=2,IF($W10=1,AJQ10,NB10)=0),1000000000,IF($V10=1,INDEX('calcA'!$D$130:$EQ$169,$B10,116)+IF(AND($E10=1,NB10=0),25,0),IF($F10&gt;0,INDEX('calcA'!DO$110:DO$114,$F10+1)+IF(AND($E10=1,NB10=0),1000,0),MIN(TY10,20)*400+(IF('calcA'!DN$106=1,1-HL10,0)+IF('calcA'!DO$106=1,1-HN10,0))*150+205+'calcA'!DO$5*100000+IF(AND($E10=1,NB10=0),50000,0))+IF($H10=1,INDEX('calcA'!$D$180:$EQ$219,$B10,116)*4000,0)-IF(AND('calcA'!DN$117=1,YL10&gt;0),2000,0)-IF(AND($U10=1,'calcA'!DO$117=1,HN10=0),2000,0))),1000000000))</f>
        <v/>
      </c>
      <c r="SR10">
        <f>IF($B10=0,1000000000,IF(INDEX('calcA'!$D$60:$EQ$99,$B10,117)*IF($W10=1,HN10+AEC10,HN10)=1,IF(AND($E10=2,IF($W10=1,AJR10,NC10)=0),1000000000,IF($V10=1,INDEX('calcA'!$D$130:$EQ$169,$B10,117)+IF(AND($E10=1,NC10=0),25,0),IF($F10&gt;0,INDEX('calcA'!DP$110:DP$114,$F10+1)+IF(AND($E10=1,NC10=0),1000,0),MIN(TY10,20)*400+(IF('calcA'!DO$106=1,1-HM10,0)+IF('calcA'!DP$106=1,1-HO10,0))*150+215+'calcA'!DP$5*100000+IF(AND($E10=1,NC10=0),50000,0))+IF($H10=1,INDEX('calcA'!$D$180:$EQ$219,$B10,117)*4000,0)-IF(AND('calcA'!DO$117=1,YM10&gt;0),2000,0)-IF(AND($U10=1,'calcA'!DP$117=1,HO10=0),2000,0))),1000000000))</f>
        <v/>
      </c>
      <c r="SS10">
        <f>IF($B10=0,1000000000,IF(INDEX('calcA'!$D$60:$EQ$99,$B10,118)*IF($W10=1,HO10+AED10,HO10)=1,IF(AND($E10=2,IF($W10=1,AJS10,ND10)=0),1000000000,IF($V10=1,INDEX('calcA'!$D$130:$EQ$169,$B10,118)+IF(AND($E10=1,ND10=0),25,0),IF($F10&gt;0,INDEX('calcA'!DQ$110:DQ$114,$F10+1)+IF(AND($E10=1,ND10=0),1000,0),MIN(TY10,20)*400+(IF('calcA'!DP$106=1,1-HN10,0)+IF('calcA'!DQ$106=1,1-HP10,0))*150+225+'calcA'!DQ$5*100000+IF(AND($E10=1,ND10=0),50000,0))+IF($H10=1,INDEX('calcA'!$D$180:$EQ$219,$B10,118)*4000,0)-IF(AND('calcA'!DP$117=1,YN10&gt;0),2000,0)-IF(AND($U10=1,'calcA'!DQ$117=1,HP10=0),2000,0))),1000000000))</f>
        <v/>
      </c>
      <c r="ST10">
        <f>IF($B10=0,1000000000,IF(INDEX('calcA'!$D$60:$EQ$99,$B10,119)*IF($W10=1,HP10+AEE10,HP10)=1,IF(AND($E10=2,IF($W10=1,AJT10,NE10)=0),1000000000,IF($V10=1,INDEX('calcA'!$D$130:$EQ$169,$B10,119)+IF(AND($E10=1,NE10=0),25,0),IF($F10&gt;0,INDEX('calcA'!DR$110:DR$114,$F10+1)+IF(AND($E10=1,NE10=0),1000,0),MIN(TY10,20)*400+(IF('calcA'!DQ$106=1,1-HO10,0)+IF('calcA'!DR$106=1,1-HQ10,0))*150+235+'calcA'!DR$5*100000+IF(AND($E10=1,NE10=0),50000,0))+IF($H10=1,INDEX('calcA'!$D$180:$EQ$219,$B10,119)*4000,0)-IF(AND('calcA'!DQ$117=1,YO10&gt;0),2000,0)-IF(AND($U10=1,'calcA'!DR$117=1,HQ10=0),2000,0))),1000000000))</f>
        <v/>
      </c>
      <c r="SU10">
        <f>IF($B10=0,1000000000,IF(INDEX('calcA'!$D$60:$EQ$99,$B10,120)*IF($W10=1,HQ10+AEF10,HQ10)=1,IF(AND($E10=2,IF($W10=1,AJU10,NF10)=0),1000000000,IF($V10=1,INDEX('calcA'!$D$130:$EQ$169,$B10,120)+IF(AND($E10=1,NF10=0),25,0),IF($F10&gt;0,INDEX('calcA'!DS$110:DS$114,$F10+1)+IF(AND($E10=1,NF10=0),1000,0),MIN(TY10,20)*400+(IF('calcA'!DR$106=1,1-HP10,0))*150+245+'calcA'!DS$5*100000+IF(AND($E10=1,NF10=0),50000,0))+IF($H10=1,INDEX('calcA'!$D$180:$EQ$219,$B10,120)*4000,0)-IF(AND('calcA'!DR$117=1,YP10&gt;0),2000,0))),1000000000))</f>
        <v/>
      </c>
      <c r="SV10">
        <f>IF($B10=0,1000000000,IF(INDEX('calcA'!$D$60:$EQ$99,$B10,121)*IF($W10=1,HR10+AEG10,HR10)=1,IF(AND($E10=2,IF($W10=1,AJV10,NG10)=0),1000000000,IF($V10=1,INDEX('calcA'!$D$130:$EQ$169,$B10,121)+IF(AND($E10=1,NG10=0),25,0),IF($F10&gt;0,INDEX('calcA'!DT$110:DT$114,$F10+1)+IF(AND($E10=1,NG10=0),1000,0),MIN(TZ10,20)*400+(IF('calcA'!DT$106=1,1-HS10,0))*150+16+'calcA'!DT$5*100000+IF(AND($E10=1,NG10=0),50000,0))+IF($H10=1,INDEX('calcA'!$D$180:$EQ$219,$B10,121)*4000,0)-IF(AND($U10=1,'calcA'!DT$117=1,HS10=0),2000,0))),1000000000))</f>
        <v/>
      </c>
      <c r="SW10">
        <f>IF($B10=0,1000000000,IF(INDEX('calcA'!$D$60:$EQ$99,$B10,122)*IF($W10=1,HS10+AEH10,HS10)=1,IF(AND($E10=2,IF($W10=1,AJW10,NH10)=0),1000000000,IF($V10=1,INDEX('calcA'!$D$130:$EQ$169,$B10,122)+IF(AND($E10=1,NH10=0),25,0),IF($F10&gt;0,INDEX('calcA'!DU$110:DU$114,$F10+1)+IF(AND($E10=1,NH10=0),1000,0),MIN(TZ10,20)*400+(IF('calcA'!DT$106=1,1-HR10,0)+IF('calcA'!DU$106=1,1-HT10,0))*150+26+'calcA'!DU$5*100000+IF(AND($E10=1,NH10=0),50000,0))+IF($H10=1,INDEX('calcA'!$D$180:$EQ$219,$B10,122)*4000,0)-IF(AND('calcA'!DT$117=1,YR10&gt;0),2000,0)-IF(AND($U10=1,'calcA'!DU$117=1,HT10=0),2000,0))),1000000000))</f>
        <v/>
      </c>
      <c r="SX10">
        <f>IF($B10=0,1000000000,IF(INDEX('calcA'!$D$60:$EQ$99,$B10,123)*IF($W10=1,HT10+AEI10,HT10)=1,IF(AND($E10=2,IF($W10=1,AJX10,NI10)=0),1000000000,IF($V10=1,INDEX('calcA'!$D$130:$EQ$169,$B10,123)+IF(AND($E10=1,NI10=0),25,0),IF($F10&gt;0,INDEX('calcA'!DV$110:DV$114,$F10+1)+IF(AND($E10=1,NI10=0),1000,0),MIN(TZ10,20)*400+(IF('calcA'!DU$106=1,1-HS10,0)+IF('calcA'!DV$106=1,1-HU10,0))*150+36+'calcA'!DV$5*100000+IF(AND($E10=1,NI10=0),50000,0))+IF($H10=1,INDEX('calcA'!$D$180:$EQ$219,$B10,123)*4000,0)-IF(AND('calcA'!DU$117=1,YS10&gt;0),2000,0)-IF(AND($U10=1,'calcA'!DV$117=1,HU10=0),2000,0))),1000000000))</f>
        <v/>
      </c>
      <c r="SY10">
        <f>IF($B10=0,1000000000,IF(INDEX('calcA'!$D$60:$EQ$99,$B10,124)*IF($W10=1,HU10+AEJ10,HU10)=1,IF(AND($E10=2,IF($W10=1,AJY10,NJ10)=0),1000000000,IF($V10=1,INDEX('calcA'!$D$130:$EQ$169,$B10,124)+IF(AND($E10=1,NJ10=0),25,0),IF($F10&gt;0,INDEX('calcA'!DW$110:DW$114,$F10+1)+IF(AND($E10=1,NJ10=0),1000,0),MIN(TZ10,20)*400+(IF('calcA'!DV$106=1,1-HT10,0)+IF('calcA'!DW$106=1,1-HV10,0))*150+46+'calcA'!DW$5*100000+IF(AND($E10=1,NJ10=0),50000,0))+IF($H10=1,INDEX('calcA'!$D$180:$EQ$219,$B10,124)*4000,0)-IF(AND('calcA'!DV$117=1,YT10&gt;0),2000,0)-IF(AND($U10=1,'calcA'!DW$117=1,HV10=0),2000,0))),1000000000))</f>
        <v/>
      </c>
      <c r="SZ10">
        <f>IF($B10=0,1000000000,IF(INDEX('calcA'!$D$60:$EQ$99,$B10,125)*IF($W10=1,HV10+AEK10,HV10)=1,IF(AND($E10=2,IF($W10=1,AJZ10,NK10)=0),1000000000,IF($V10=1,INDEX('calcA'!$D$130:$EQ$169,$B10,125)+IF(AND($E10=1,NK10=0),25,0),IF($F10&gt;0,INDEX('calcA'!DX$110:DX$114,$F10+1)+IF(AND($E10=1,NK10=0),1000,0),MIN(TZ10,20)*400+(IF('calcA'!DW$106=1,1-HU10,0)+IF('calcA'!DX$106=1,1-HW10,0))*150+56+'calcA'!DX$5*100000+IF(AND($E10=1,NK10=0),50000,0))+IF($H10=1,INDEX('calcA'!$D$180:$EQ$219,$B10,125)*4000,0)-IF(AND('calcA'!DW$117=1,YU10&gt;0),2000,0)-IF(AND($U10=1,'calcA'!DX$117=1,HW10=0),2000,0))),1000000000))</f>
        <v/>
      </c>
      <c r="TA10">
        <f>IF($B10=0,1000000000,IF(INDEX('calcA'!$D$60:$EQ$99,$B10,126)*IF($W10=1,HW10+AEL10,HW10)=1,IF(AND($E10=2,IF($W10=1,AKA10,NL10)=0),1000000000,IF($V10=1,INDEX('calcA'!$D$130:$EQ$169,$B10,126)+IF(AND($E10=1,NL10=0),25,0),IF($F10&gt;0,INDEX('calcA'!DY$110:DY$114,$F10+1)+IF(AND($E10=1,NL10=0),1000,0),MIN(TZ10,20)*400+(IF('calcA'!DX$106=1,1-HV10,0)+IF('calcA'!DY$106=1,1-HX10,0))*150+66+'calcA'!DY$5*100000+IF(AND($E10=1,NL10=0),50000,0))+IF($H10=1,INDEX('calcA'!$D$180:$EQ$219,$B10,126)*4000,0)-IF(AND('calcA'!DX$117=1,YV10&gt;0),2000,0)-IF(AND($U10=1,'calcA'!DY$117=1,HX10=0),2000,0))),1000000000))</f>
        <v/>
      </c>
      <c r="TB10">
        <f>IF($B10=0,1000000000,IF(INDEX('calcA'!$D$60:$EQ$99,$B10,127)*IF($W10=1,HX10+AEM10,HX10)=1,IF(AND($E10=2,IF($W10=1,AKB10,NM10)=0),1000000000,IF($V10=1,INDEX('calcA'!$D$130:$EQ$169,$B10,127)+IF(AND($E10=1,NM10=0),25,0),IF($F10&gt;0,INDEX('calcA'!DZ$110:DZ$114,$F10+1)+IF(AND($E10=1,NM10=0),1000,0),MIN(TZ10,20)*400+(IF('calcA'!DY$106=1,1-HW10,0)+IF('calcA'!DZ$106=1,1-HY10,0))*150+76+'calcA'!DZ$5*100000+IF(AND($E10=1,NM10=0),50000,0))+IF($H10=1,INDEX('calcA'!$D$180:$EQ$219,$B10,127)*4000,0)-IF(AND('calcA'!DY$117=1,YW10&gt;0),2000,0)-IF(AND($U10=1,'calcA'!DZ$117=1,HY10=0),2000,0))),1000000000))</f>
        <v/>
      </c>
      <c r="TC10">
        <f>IF($B10=0,1000000000,IF(INDEX('calcA'!$D$60:$EQ$99,$B10,128)*IF($W10=1,HY10+AEN10,HY10)=1,IF(AND($E10=2,IF($W10=1,AKC10,NN10)=0),1000000000,IF($V10=1,INDEX('calcA'!$D$130:$EQ$169,$B10,128)+IF(AND($E10=1,NN10=0),25,0),IF($F10&gt;0,INDEX('calcA'!EA$110:EA$114,$F10+1)+IF(AND($E10=1,NN10=0),1000,0),MIN(TZ10,20)*400+(IF('calcA'!DZ$106=1,1-HX10,0)+IF('calcA'!EA$106=1,1-HZ10,0))*150+86+'calcA'!EA$5*100000+IF(AND($E10=1,NN10=0),50000,0))+IF($H10=1,INDEX('calcA'!$D$180:$EQ$219,$B10,128)*4000,0)-IF(AND('calcA'!DZ$117=1,YX10&gt;0),2000,0)-IF(AND($U10=1,'calcA'!EA$117=1,HZ10=0),2000,0))),1000000000))</f>
        <v/>
      </c>
      <c r="TD10">
        <f>IF($B10=0,1000000000,IF(INDEX('calcA'!$D$60:$EQ$99,$B10,129)*IF($W10=1,HZ10+AEO10,HZ10)=1,IF(AND($E10=2,IF($W10=1,AKD10,NO10)=0),1000000000,IF($V10=1,INDEX('calcA'!$D$130:$EQ$169,$B10,129)+IF(AND($E10=1,NO10=0),25,0),IF($F10&gt;0,INDEX('calcA'!EB$110:EB$114,$F10+1)+IF(AND($E10=1,NO10=0),1000,0),MIN(TZ10,20)*400+(IF('calcA'!EA$106=1,1-HY10,0)+IF('calcA'!EB$106=1,1-IA10,0))*150+96+'calcA'!EB$5*100000+IF(AND($E10=1,NO10=0),50000,0))+IF($H10=1,INDEX('calcA'!$D$180:$EQ$219,$B10,129)*4000,0)-IF(AND('calcA'!EA$117=1,YY10&gt;0),2000,0)-IF(AND($U10=1,'calcA'!EB$117=1,IA10=0),2000,0))),1000000000))</f>
        <v/>
      </c>
      <c r="TE10">
        <f>IF($B10=0,1000000000,IF(INDEX('calcA'!$D$60:$EQ$99,$B10,130)*IF($W10=1,IA10+AEP10,IA10)=1,IF(AND($E10=2,IF($W10=1,AKE10,NP10)=0),1000000000,IF($V10=1,INDEX('calcA'!$D$130:$EQ$169,$B10,130)+IF(AND($E10=1,NP10=0),25,0),IF($F10&gt;0,INDEX('calcA'!EC$110:EC$114,$F10+1)+IF(AND($E10=1,NP10=0),1000,0),MIN(TZ10,20)*400+(IF('calcA'!EB$106=1,1-HZ10,0)+IF('calcA'!EC$106=1,1-IB10,0))*150+106+'calcA'!EC$5*100000+IF(AND($E10=1,NP10=0),50000,0))+IF($H10=1,INDEX('calcA'!$D$180:$EQ$219,$B10,130)*4000,0)-IF(AND('calcA'!EB$117=1,YZ10&gt;0),2000,0)-IF(AND($U10=1,'calcA'!EC$117=1,IB10=0),2000,0))),1000000000))</f>
        <v/>
      </c>
      <c r="TF10">
        <f>IF($B10=0,1000000000,IF(INDEX('calcA'!$D$60:$EQ$99,$B10,131)*IF($W10=1,IB10+AEQ10,IB10)=1,IF(AND($E10=2,IF($W10=1,AKF10,NQ10)=0),1000000000,IF($V10=1,INDEX('calcA'!$D$130:$EQ$169,$B10,131)+IF(AND($E10=1,NQ10=0),25,0),IF($F10&gt;0,INDEX('calcA'!ED$110:ED$114,$F10+1)+IF(AND($E10=1,NQ10=0),1000,0),MIN(TZ10,20)*400+(IF('calcA'!EC$106=1,1-IA10,0)+IF('calcA'!ED$106=1,1-IC10,0))*150+116+'calcA'!ED$5*100000+IF(AND($E10=1,NQ10=0),50000,0))+IF($H10=1,INDEX('calcA'!$D$180:$EQ$219,$B10,131)*4000,0)-IF(AND('calcA'!EC$117=1,ZA10&gt;0),2000,0)-IF(AND($U10=1,'calcA'!ED$117=1,IC10=0),2000,0))),1000000000))</f>
        <v/>
      </c>
      <c r="TG10">
        <f>IF($B10=0,1000000000,IF(INDEX('calcA'!$D$60:$EQ$99,$B10,132)*IF($W10=1,IC10+AER10,IC10)=1,IF(AND($E10=2,IF($W10=1,AKG10,NR10)=0),1000000000,IF($V10=1,INDEX('calcA'!$D$130:$EQ$169,$B10,132)+IF(AND($E10=1,NR10=0),25,0),IF($F10&gt;0,INDEX('calcA'!EE$110:EE$114,$F10+1)+IF(AND($E10=1,NR10=0),1000,0),MIN(TZ10,20)*400+(IF('calcA'!ED$106=1,1-IB10,0)+IF('calcA'!EE$106=1,1-ID10,0))*150+126+'calcA'!EE$5*100000+IF(AND($E10=1,NR10=0),50000,0))+IF($H10=1,INDEX('calcA'!$D$180:$EQ$219,$B10,132)*4000,0)-IF(AND('calcA'!ED$117=1,ZB10&gt;0),2000,0)-IF(AND($U10=1,'calcA'!EE$117=1,ID10=0),2000,0))),1000000000))</f>
        <v/>
      </c>
      <c r="TH10">
        <f>IF($B10=0,1000000000,IF(INDEX('calcA'!$D$60:$EQ$99,$B10,133)*IF($W10=1,ID10+AES10,ID10)=1,IF(AND($E10=2,IF($W10=1,AKH10,NS10)=0),1000000000,IF($V10=1,INDEX('calcA'!$D$130:$EQ$169,$B10,133)+IF(AND($E10=1,NS10=0),25,0),IF($F10&gt;0,INDEX('calcA'!EF$110:EF$114,$F10+1)+IF(AND($E10=1,NS10=0),1000,0),MIN(TZ10,20)*400+(IF('calcA'!EE$106=1,1-IC10,0)+IF('calcA'!EF$106=1,1-IE10,0))*150+136+'calcA'!EF$5*100000+IF(AND($E10=1,NS10=0),50000,0))+IF($H10=1,INDEX('calcA'!$D$180:$EQ$219,$B10,133)*4000,0)-IF(AND('calcA'!EE$117=1,ZC10&gt;0),2000,0)-IF(AND($U10=1,'calcA'!EF$117=1,IE10=0),2000,0))),1000000000))</f>
        <v/>
      </c>
      <c r="TI10">
        <f>IF($B10=0,1000000000,IF(INDEX('calcA'!$D$60:$EQ$99,$B10,134)*IF($W10=1,IE10+AET10,IE10)=1,IF(AND($E10=2,IF($W10=1,AKI10,NT10)=0),1000000000,IF($V10=1,INDEX('calcA'!$D$130:$EQ$169,$B10,134)+IF(AND($E10=1,NT10=0),25,0),IF($F10&gt;0,INDEX('calcA'!EG$110:EG$114,$F10+1)+IF(AND($E10=1,NT10=0),1000,0),MIN(TZ10,20)*400+(IF('calcA'!EF$106=1,1-ID10,0)+IF('calcA'!EG$106=1,1-IF10,0))*150+146+'calcA'!EG$5*100000+IF(AND($E10=1,NT10=0),50000,0))+IF($H10=1,INDEX('calcA'!$D$180:$EQ$219,$B10,134)*4000,0)-IF(AND('calcA'!EF$117=1,ZD10&gt;0),2000,0)-IF(AND($U10=1,'calcA'!EG$117=1,IF10=0),2000,0))),1000000000))</f>
        <v/>
      </c>
      <c r="TJ10">
        <f>IF($B10=0,1000000000,IF(INDEX('calcA'!$D$60:$EQ$99,$B10,135)*IF($W10=1,IF10+AEU10,IF10)=1,IF(AND($E10=2,IF($W10=1,AKJ10,NU10)=0),1000000000,IF($V10=1,INDEX('calcA'!$D$130:$EQ$169,$B10,135)+IF(AND($E10=1,NU10=0),25,0),IF($F10&gt;0,INDEX('calcA'!EH$110:EH$114,$F10+1)+IF(AND($E10=1,NU10=0),1000,0),MIN(TZ10,20)*400+(IF('calcA'!EG$106=1,1-IE10,0)+IF('calcA'!EH$106=1,1-IG10,0))*150+156+'calcA'!EH$5*100000+IF(AND($E10=1,NU10=0),50000,0))+IF($H10=1,INDEX('calcA'!$D$180:$EQ$219,$B10,135)*4000,0)-IF(AND('calcA'!EG$117=1,ZE10&gt;0),2000,0)-IF(AND($U10=1,'calcA'!EH$117=1,IG10=0),2000,0))),1000000000))</f>
        <v/>
      </c>
      <c r="TK10">
        <f>IF($B10=0,1000000000,IF(INDEX('calcA'!$D$60:$EQ$99,$B10,136)*IF($W10=1,IG10+AEV10,IG10)=1,IF(AND($E10=2,IF($W10=1,AKK10,NV10)=0),1000000000,IF($V10=1,INDEX('calcA'!$D$130:$EQ$169,$B10,136)+IF(AND($E10=1,NV10=0),25,0),IF($F10&gt;0,INDEX('calcA'!EI$110:EI$114,$F10+1)+IF(AND($E10=1,NV10=0),1000,0),MIN(TZ10,20)*400+(IF('calcA'!EH$106=1,1-IF10,0)+IF('calcA'!EI$106=1,1-IH10,0))*150+166+'calcA'!EI$5*100000+IF(AND($E10=1,NV10=0),50000,0))+IF($H10=1,INDEX('calcA'!$D$180:$EQ$219,$B10,136)*4000,0)-IF(AND('calcA'!EH$117=1,ZF10&gt;0),2000,0)-IF(AND($U10=1,'calcA'!EI$117=1,IH10=0),2000,0))),1000000000))</f>
        <v/>
      </c>
      <c r="TL10">
        <f>IF($B10=0,1000000000,IF(INDEX('calcA'!$D$60:$EQ$99,$B10,137)*IF($W10=1,IH10+AEW10,IH10)=1,IF(AND($E10=2,IF($W10=1,AKL10,NW10)=0),1000000000,IF($V10=1,INDEX('calcA'!$D$130:$EQ$169,$B10,137)+IF(AND($E10=1,NW10=0),25,0),IF($F10&gt;0,INDEX('calcA'!EJ$110:EJ$114,$F10+1)+IF(AND($E10=1,NW10=0),1000,0),MIN(TZ10,20)*400+(IF('calcA'!EI$106=1,1-IG10,0)+IF('calcA'!EJ$106=1,1-II10,0))*150+176+'calcA'!EJ$5*100000+IF(AND($E10=1,NW10=0),50000,0))+IF($H10=1,INDEX('calcA'!$D$180:$EQ$219,$B10,137)*4000,0)-IF(AND('calcA'!EI$117=1,ZG10&gt;0),2000,0)-IF(AND($U10=1,'calcA'!EJ$117=1,II10=0),2000,0))),1000000000))</f>
        <v/>
      </c>
      <c r="TM10">
        <f>IF($B10=0,1000000000,IF(INDEX('calcA'!$D$60:$EQ$99,$B10,138)*IF($W10=1,II10+AEX10,II10)=1,IF(AND($E10=2,IF($W10=1,AKM10,NX10)=0),1000000000,IF($V10=1,INDEX('calcA'!$D$130:$EQ$169,$B10,138)+IF(AND($E10=1,NX10=0),25,0),IF($F10&gt;0,INDEX('calcA'!EK$110:EK$114,$F10+1)+IF(AND($E10=1,NX10=0),1000,0),MIN(TZ10,20)*400+(IF('calcA'!EJ$106=1,1-IH10,0)+IF('calcA'!EK$106=1,1-IJ10,0))*150+186+'calcA'!EK$5*100000+IF(AND($E10=1,NX10=0),50000,0))+IF($H10=1,INDEX('calcA'!$D$180:$EQ$219,$B10,138)*4000,0)-IF(AND('calcA'!EJ$117=1,ZH10&gt;0),2000,0)-IF(AND($U10=1,'calcA'!EK$117=1,IJ10=0),2000,0))),1000000000))</f>
        <v/>
      </c>
      <c r="TN10">
        <f>IF($B10=0,1000000000,IF(INDEX('calcA'!$D$60:$EQ$99,$B10,139)*IF($W10=1,IJ10+AEY10,IJ10)=1,IF(AND($E10=2,IF($W10=1,AKN10,NY10)=0),1000000000,IF($V10=1,INDEX('calcA'!$D$130:$EQ$169,$B10,139)+IF(AND($E10=1,NY10=0),25,0),IF($F10&gt;0,INDEX('calcA'!EL$110:EL$114,$F10+1)+IF(AND($E10=1,NY10=0),1000,0),MIN(TZ10,20)*400+(IF('calcA'!EK$106=1,1-II10,0)+IF('calcA'!EL$106=1,1-IK10,0))*150+196+'calcA'!EL$5*100000+IF(AND($E10=1,NY10=0),50000,0))+IF($H10=1,INDEX('calcA'!$D$180:$EQ$219,$B10,139)*4000,0)-IF(AND('calcA'!EK$117=1,ZI10&gt;0),2000,0)-IF(AND($U10=1,'calcA'!EL$117=1,IK10=0),2000,0))),1000000000))</f>
        <v/>
      </c>
      <c r="TO10">
        <f>IF($B10=0,1000000000,IF(INDEX('calcA'!$D$60:$EQ$99,$B10,140)*IF($W10=1,IK10+AEZ10,IK10)=1,IF(AND($E10=2,IF($W10=1,AKO10,NZ10)=0),1000000000,IF($V10=1,INDEX('calcA'!$D$130:$EQ$169,$B10,140)+IF(AND($E10=1,NZ10=0),25,0),IF($F10&gt;0,INDEX('calcA'!EM$110:EM$114,$F10+1)+IF(AND($E10=1,NZ10=0),1000,0),MIN(TZ10,20)*400+(IF('calcA'!EL$106=1,1-IJ10,0)+IF('calcA'!EM$106=1,1-IL10,0))*150+206+'calcA'!EM$5*100000+IF(AND($E10=1,NZ10=0),50000,0))+IF($H10=1,INDEX('calcA'!$D$180:$EQ$219,$B10,140)*4000,0)-IF(AND('calcA'!EL$117=1,ZJ10&gt;0),2000,0)-IF(AND($U10=1,'calcA'!EM$117=1,IL10=0),2000,0))),1000000000))</f>
        <v/>
      </c>
      <c r="TP10">
        <f>IF($B10=0,1000000000,IF(INDEX('calcA'!$D$60:$EQ$99,$B10,141)*IF($W10=1,IL10+AFA10,IL10)=1,IF(AND($E10=2,IF($W10=1,AKP10,OA10)=0),1000000000,IF($V10=1,INDEX('calcA'!$D$130:$EQ$169,$B10,141)+IF(AND($E10=1,OA10=0),25,0),IF($F10&gt;0,INDEX('calcA'!EN$110:EN$114,$F10+1)+IF(AND($E10=1,OA10=0),1000,0),MIN(TZ10,20)*400+(IF('calcA'!EM$106=1,1-IK10,0)+IF('calcA'!EN$106=1,1-IM10,0))*150+216+'calcA'!EN$5*100000+IF(AND($E10=1,OA10=0),50000,0))+IF($H10=1,INDEX('calcA'!$D$180:$EQ$219,$B10,141)*4000,0)-IF(AND('calcA'!EM$117=1,ZK10&gt;0),2000,0)-IF(AND($U10=1,'calcA'!EN$117=1,IM10=0),2000,0))),1000000000))</f>
        <v/>
      </c>
      <c r="TQ10">
        <f>IF($B10=0,1000000000,IF(INDEX('calcA'!$D$60:$EQ$99,$B10,142)*IF($W10=1,IM10+AFB10,IM10)=1,IF(AND($E10=2,IF($W10=1,AKQ10,OB10)=0),1000000000,IF($V10=1,INDEX('calcA'!$D$130:$EQ$169,$B10,142)+IF(AND($E10=1,OB10=0),25,0),IF($F10&gt;0,INDEX('calcA'!EO$110:EO$114,$F10+1)+IF(AND($E10=1,OB10=0),1000,0),MIN(TZ10,20)*400+(IF('calcA'!EN$106=1,1-IL10,0)+IF('calcA'!EO$106=1,1-IN10,0))*150+226+'calcA'!EO$5*100000+IF(AND($E10=1,OB10=0),50000,0))+IF($H10=1,INDEX('calcA'!$D$180:$EQ$219,$B10,142)*4000,0)-IF(AND('calcA'!EN$117=1,ZL10&gt;0),2000,0)-IF(AND($U10=1,'calcA'!EO$117=1,IN10=0),2000,0))),1000000000))</f>
        <v/>
      </c>
      <c r="TR10">
        <f>IF($B10=0,1000000000,IF(INDEX('calcA'!$D$60:$EQ$99,$B10,143)*IF($W10=1,IN10+AFC10,IN10)=1,IF(AND($E10=2,IF($W10=1,AKR10,OC10)=0),1000000000,IF($V10=1,INDEX('calcA'!$D$130:$EQ$169,$B10,143)+IF(AND($E10=1,OC10=0),25,0),IF($F10&gt;0,INDEX('calcA'!EP$110:EP$114,$F10+1)+IF(AND($E10=1,OC10=0),1000,0),MIN(TZ10,20)*400+(IF('calcA'!EO$106=1,1-IM10,0)+IF('calcA'!EP$106=1,1-IO10,0))*150+236+'calcA'!EP$5*100000+IF(AND($E10=1,OC10=0),50000,0))+IF($H10=1,INDEX('calcA'!$D$180:$EQ$219,$B10,143)*4000,0)-IF(AND('calcA'!EO$117=1,ZM10&gt;0),2000,0)-IF(AND($U10=1,'calcA'!EP$117=1,IO10=0),2000,0))),1000000000))</f>
        <v/>
      </c>
      <c r="TS10">
        <f>IF($B10=0,1000000000,IF(INDEX('calcA'!$D$60:$EQ$99,$B10,144)*IF($W10=1,IO10+AFD10,IO10)=1,IF(AND($E10=2,IF($W10=1,AKS10,OD10)=0),1000000000,IF($V10=1,INDEX('calcA'!$D$130:$EQ$169,$B10,144)+IF(AND($E10=1,OD10=0),25,0),IF($F10&gt;0,INDEX('calcA'!EQ$110:EQ$114,$F10+1)+IF(AND($E10=1,OD10=0),1000,0),MIN(TZ10,20)*400+(IF('calcA'!EP$106=1,1-IN10,0))*150+246+'calcA'!EQ$5*100000+IF(AND($E10=1,OD10=0),50000,0))+IF($H10=1,INDEX('calcA'!$D$180:$EQ$219,$B10,144)*4000,0)-IF(AND('calcA'!EP$117=1,ZN10&gt;0),2000,0))),1000000000))</f>
        <v/>
      </c>
      <c r="TU10">
        <f>TU9+IF($C9&gt;0,IF(INDEX('calcA'!$D$2:$EQ$2,$C9)=1,1,0),0)</f>
        <v/>
      </c>
      <c r="TV10">
        <f>TV9+IF($C9&gt;0,IF(INDEX('calcA'!$D$2:$EQ$2,$C9)=2,1,0),0)</f>
        <v/>
      </c>
      <c r="TW10">
        <f>TW9+IF($C9&gt;0,IF(INDEX('calcA'!$D$2:$EQ$2,$C9)=3,1,0),0)</f>
        <v/>
      </c>
      <c r="TX10">
        <f>TX9+IF($C9&gt;0,IF(INDEX('calcA'!$D$2:$EQ$2,$C9)=4,1,0),0)</f>
        <v/>
      </c>
      <c r="TY10">
        <f>TY9+IF($C9&gt;0,IF(INDEX('calcA'!$D$2:$EQ$2,$C9)=5,1,0),0)</f>
        <v/>
      </c>
      <c r="TZ10">
        <f>TZ9+IF($C9&gt;0,IF(INDEX('calcA'!$D$2:$EQ$2,$C9)=6,1,0),0)</f>
        <v/>
      </c>
      <c r="UB10">
        <f>UB9+IF(AND($C9=1,$U9=1),1,0)</f>
        <v/>
      </c>
      <c r="UC10">
        <f>UC9+IF(AND($C9=2,$U9=1),1,0)</f>
        <v/>
      </c>
      <c r="UD10">
        <f>UD9+IF(AND($C9=3,$U9=1),1,0)</f>
        <v/>
      </c>
      <c r="UE10">
        <f>UE9+IF(AND($C9=4,$U9=1),1,0)</f>
        <v/>
      </c>
      <c r="UF10">
        <f>UF9+IF(AND($C9=5,$U9=1),1,0)</f>
        <v/>
      </c>
      <c r="UG10">
        <f>UG9+IF(AND($C9=6,$U9=1),1,0)</f>
        <v/>
      </c>
      <c r="UH10">
        <f>UH9+IF(AND($C9=7,$U9=1),1,0)</f>
        <v/>
      </c>
      <c r="UI10">
        <f>UI9+IF(AND($C9=8,$U9=1),1,0)</f>
        <v/>
      </c>
      <c r="UJ10">
        <f>UJ9+IF(AND($C9=9,$U9=1),1,0)</f>
        <v/>
      </c>
      <c r="UK10">
        <f>UK9+IF(AND($C9=10,$U9=1),1,0)</f>
        <v/>
      </c>
      <c r="UL10">
        <f>UL9+IF(AND($C9=11,$U9=1),1,0)</f>
        <v/>
      </c>
      <c r="UM10">
        <f>UM9+IF(AND($C9=12,$U9=1),1,0)</f>
        <v/>
      </c>
      <c r="UN10">
        <f>UN9+IF(AND($C9=13,$U9=1),1,0)</f>
        <v/>
      </c>
      <c r="UO10">
        <f>UO9+IF(AND($C9=14,$U9=1),1,0)</f>
        <v/>
      </c>
      <c r="UP10">
        <f>UP9+IF(AND($C9=15,$U9=1),1,0)</f>
        <v/>
      </c>
      <c r="UQ10">
        <f>UQ9+IF(AND($C9=16,$U9=1),1,0)</f>
        <v/>
      </c>
      <c r="UR10">
        <f>UR9+IF(AND($C9=17,$U9=1),1,0)</f>
        <v/>
      </c>
      <c r="US10">
        <f>US9+IF(AND($C9=18,$U9=1),1,0)</f>
        <v/>
      </c>
      <c r="UT10">
        <f>UT9+IF(AND($C9=19,$U9=1),1,0)</f>
        <v/>
      </c>
      <c r="UU10">
        <f>UU9+IF(AND($C9=20,$U9=1),1,0)</f>
        <v/>
      </c>
      <c r="UV10">
        <f>UV9+IF(AND($C9=21,$U9=1),1,0)</f>
        <v/>
      </c>
      <c r="UW10">
        <f>UW9+IF(AND($C9=22,$U9=1),1,0)</f>
        <v/>
      </c>
      <c r="UX10">
        <f>UX9+IF(AND($C9=23,$U9=1),1,0)</f>
        <v/>
      </c>
      <c r="UY10">
        <f>UY9+IF(AND($C9=24,$U9=1),1,0)</f>
        <v/>
      </c>
      <c r="UZ10">
        <f>UZ9+IF(AND($C9=25,$U9=1),1,0)</f>
        <v/>
      </c>
      <c r="VA10">
        <f>VA9+IF(AND($C9=26,$U9=1),1,0)</f>
        <v/>
      </c>
      <c r="VB10">
        <f>VB9+IF(AND($C9=27,$U9=1),1,0)</f>
        <v/>
      </c>
      <c r="VC10">
        <f>VC9+IF(AND($C9=28,$U9=1),1,0)</f>
        <v/>
      </c>
      <c r="VD10">
        <f>VD9+IF(AND($C9=29,$U9=1),1,0)</f>
        <v/>
      </c>
      <c r="VE10">
        <f>VE9+IF(AND($C9=30,$U9=1),1,0)</f>
        <v/>
      </c>
      <c r="VF10">
        <f>VF9+IF(AND($C9=31,$U9=1),1,0)</f>
        <v/>
      </c>
      <c r="VG10">
        <f>VG9+IF(AND($C9=32,$U9=1),1,0)</f>
        <v/>
      </c>
      <c r="VH10">
        <f>VH9+IF(AND($C9=33,$U9=1),1,0)</f>
        <v/>
      </c>
      <c r="VI10">
        <f>VI9+IF(AND($C9=34,$U9=1),1,0)</f>
        <v/>
      </c>
      <c r="VJ10">
        <f>VJ9+IF(AND($C9=35,$U9=1),1,0)</f>
        <v/>
      </c>
      <c r="VK10">
        <f>VK9+IF(AND($C9=36,$U9=1),1,0)</f>
        <v/>
      </c>
      <c r="VL10">
        <f>VL9+IF(AND($C9=37,$U9=1),1,0)</f>
        <v/>
      </c>
      <c r="VM10">
        <f>VM9+IF(AND($C9=38,$U9=1),1,0)</f>
        <v/>
      </c>
      <c r="VN10">
        <f>VN9+IF(AND($C9=39,$U9=1),1,0)</f>
        <v/>
      </c>
      <c r="VO10">
        <f>VO9+IF(AND($C9=40,$U9=1),1,0)</f>
        <v/>
      </c>
      <c r="VP10">
        <f>VP9+IF(AND($C9=41,$U9=1),1,0)</f>
        <v/>
      </c>
      <c r="VQ10">
        <f>VQ9+IF(AND($C9=42,$U9=1),1,0)</f>
        <v/>
      </c>
      <c r="VR10">
        <f>VR9+IF(AND($C9=43,$U9=1),1,0)</f>
        <v/>
      </c>
      <c r="VS10">
        <f>VS9+IF(AND($C9=44,$U9=1),1,0)</f>
        <v/>
      </c>
      <c r="VT10">
        <f>VT9+IF(AND($C9=45,$U9=1),1,0)</f>
        <v/>
      </c>
      <c r="VU10">
        <f>VU9+IF(AND($C9=46,$U9=1),1,0)</f>
        <v/>
      </c>
      <c r="VV10">
        <f>VV9+IF(AND($C9=47,$U9=1),1,0)</f>
        <v/>
      </c>
      <c r="VW10">
        <f>VW9+IF(AND($C9=48,$U9=1),1,0)</f>
        <v/>
      </c>
      <c r="VX10">
        <f>VX9+IF(AND($C9=49,$U9=1),1,0)</f>
        <v/>
      </c>
      <c r="VY10">
        <f>VY9+IF(AND($C9=50,$U9=1),1,0)</f>
        <v/>
      </c>
      <c r="VZ10">
        <f>VZ9+IF(AND($C9=51,$U9=1),1,0)</f>
        <v/>
      </c>
      <c r="WA10">
        <f>WA9+IF(AND($C9=52,$U9=1),1,0)</f>
        <v/>
      </c>
      <c r="WB10">
        <f>WB9+IF(AND($C9=53,$U9=1),1,0)</f>
        <v/>
      </c>
      <c r="WC10">
        <f>WC9+IF(AND($C9=54,$U9=1),1,0)</f>
        <v/>
      </c>
      <c r="WD10">
        <f>WD9+IF(AND($C9=55,$U9=1),1,0)</f>
        <v/>
      </c>
      <c r="WE10">
        <f>WE9+IF(AND($C9=56,$U9=1),1,0)</f>
        <v/>
      </c>
      <c r="WF10">
        <f>WF9+IF(AND($C9=57,$U9=1),1,0)</f>
        <v/>
      </c>
      <c r="WG10">
        <f>WG9+IF(AND($C9=58,$U9=1),1,0)</f>
        <v/>
      </c>
      <c r="WH10">
        <f>WH9+IF(AND($C9=59,$U9=1),1,0)</f>
        <v/>
      </c>
      <c r="WI10">
        <f>WI9+IF(AND($C9=60,$U9=1),1,0)</f>
        <v/>
      </c>
      <c r="WJ10">
        <f>WJ9+IF(AND($C9=61,$U9=1),1,0)</f>
        <v/>
      </c>
      <c r="WK10">
        <f>WK9+IF(AND($C9=62,$U9=1),1,0)</f>
        <v/>
      </c>
      <c r="WL10">
        <f>WL9+IF(AND($C9=63,$U9=1),1,0)</f>
        <v/>
      </c>
      <c r="WM10">
        <f>WM9+IF(AND($C9=64,$U9=1),1,0)</f>
        <v/>
      </c>
      <c r="WN10">
        <f>WN9+IF(AND($C9=65,$U9=1),1,0)</f>
        <v/>
      </c>
      <c r="WO10">
        <f>WO9+IF(AND($C9=66,$U9=1),1,0)</f>
        <v/>
      </c>
      <c r="WP10">
        <f>WP9+IF(AND($C9=67,$U9=1),1,0)</f>
        <v/>
      </c>
      <c r="WQ10">
        <f>WQ9+IF(AND($C9=68,$U9=1),1,0)</f>
        <v/>
      </c>
      <c r="WR10">
        <f>WR9+IF(AND($C9=69,$U9=1),1,0)</f>
        <v/>
      </c>
      <c r="WS10">
        <f>WS9+IF(AND($C9=70,$U9=1),1,0)</f>
        <v/>
      </c>
      <c r="WT10">
        <f>WT9+IF(AND($C9=71,$U9=1),1,0)</f>
        <v/>
      </c>
      <c r="WU10">
        <f>WU9+IF(AND($C9=72,$U9=1),1,0)</f>
        <v/>
      </c>
      <c r="WV10">
        <f>WV9+IF(AND($C9=73,$U9=1),1,0)</f>
        <v/>
      </c>
      <c r="WW10">
        <f>WW9+IF(AND($C9=74,$U9=1),1,0)</f>
        <v/>
      </c>
      <c r="WX10">
        <f>WX9+IF(AND($C9=75,$U9=1),1,0)</f>
        <v/>
      </c>
      <c r="WY10">
        <f>WY9+IF(AND($C9=76,$U9=1),1,0)</f>
        <v/>
      </c>
      <c r="WZ10">
        <f>WZ9+IF(AND($C9=77,$U9=1),1,0)</f>
        <v/>
      </c>
      <c r="XA10">
        <f>XA9+IF(AND($C9=78,$U9=1),1,0)</f>
        <v/>
      </c>
      <c r="XB10">
        <f>XB9+IF(AND($C9=79,$U9=1),1,0)</f>
        <v/>
      </c>
      <c r="XC10">
        <f>XC9+IF(AND($C9=80,$U9=1),1,0)</f>
        <v/>
      </c>
      <c r="XD10">
        <f>XD9+IF(AND($C9=81,$U9=1),1,0)</f>
        <v/>
      </c>
      <c r="XE10">
        <f>XE9+IF(AND($C9=82,$U9=1),1,0)</f>
        <v/>
      </c>
      <c r="XF10">
        <f>XF9+IF(AND($C9=83,$U9=1),1,0)</f>
        <v/>
      </c>
      <c r="XG10">
        <f>XG9+IF(AND($C9=84,$U9=1),1,0)</f>
        <v/>
      </c>
      <c r="XH10">
        <f>XH9+IF(AND($C9=85,$U9=1),1,0)</f>
        <v/>
      </c>
      <c r="XI10">
        <f>XI9+IF(AND($C9=86,$U9=1),1,0)</f>
        <v/>
      </c>
      <c r="XJ10">
        <f>XJ9+IF(AND($C9=87,$U9=1),1,0)</f>
        <v/>
      </c>
      <c r="XK10">
        <f>XK9+IF(AND($C9=88,$U9=1),1,0)</f>
        <v/>
      </c>
      <c r="XL10">
        <f>XL9+IF(AND($C9=89,$U9=1),1,0)</f>
        <v/>
      </c>
      <c r="XM10">
        <f>XM9+IF(AND($C9=90,$U9=1),1,0)</f>
        <v/>
      </c>
      <c r="XN10">
        <f>XN9+IF(AND($C9=91,$U9=1),1,0)</f>
        <v/>
      </c>
      <c r="XO10">
        <f>XO9+IF(AND($C9=92,$U9=1),1,0)</f>
        <v/>
      </c>
      <c r="XP10">
        <f>XP9+IF(AND($C9=93,$U9=1),1,0)</f>
        <v/>
      </c>
      <c r="XQ10">
        <f>XQ9+IF(AND($C9=94,$U9=1),1,0)</f>
        <v/>
      </c>
      <c r="XR10">
        <f>XR9+IF(AND($C9=95,$U9=1),1,0)</f>
        <v/>
      </c>
      <c r="XS10">
        <f>XS9+IF(AND($C9=96,$U9=1),1,0)</f>
        <v/>
      </c>
      <c r="XT10">
        <f>XT9+IF(AND($C9=97,$U9=1),1,0)</f>
        <v/>
      </c>
      <c r="XU10">
        <f>XU9+IF(AND($C9=98,$U9=1),1,0)</f>
        <v/>
      </c>
      <c r="XV10">
        <f>XV9+IF(AND($C9=99,$U9=1),1,0)</f>
        <v/>
      </c>
      <c r="XW10">
        <f>XW9+IF(AND($C9=100,$U9=1),1,0)</f>
        <v/>
      </c>
      <c r="XX10">
        <f>XX9+IF(AND($C9=101,$U9=1),1,0)</f>
        <v/>
      </c>
      <c r="XY10">
        <f>XY9+IF(AND($C9=102,$U9=1),1,0)</f>
        <v/>
      </c>
      <c r="XZ10">
        <f>XZ9+IF(AND($C9=103,$U9=1),1,0)</f>
        <v/>
      </c>
      <c r="YA10">
        <f>YA9+IF(AND($C9=104,$U9=1),1,0)</f>
        <v/>
      </c>
      <c r="YB10">
        <f>YB9+IF(AND($C9=105,$U9=1),1,0)</f>
        <v/>
      </c>
      <c r="YC10">
        <f>YC9+IF(AND($C9=106,$U9=1),1,0)</f>
        <v/>
      </c>
      <c r="YD10">
        <f>YD9+IF(AND($C9=107,$U9=1),1,0)</f>
        <v/>
      </c>
      <c r="YE10">
        <f>YE9+IF(AND($C9=108,$U9=1),1,0)</f>
        <v/>
      </c>
      <c r="YF10">
        <f>YF9+IF(AND($C9=109,$U9=1),1,0)</f>
        <v/>
      </c>
      <c r="YG10">
        <f>YG9+IF(AND($C9=110,$U9=1),1,0)</f>
        <v/>
      </c>
      <c r="YH10">
        <f>YH9+IF(AND($C9=111,$U9=1),1,0)</f>
        <v/>
      </c>
      <c r="YI10">
        <f>YI9+IF(AND($C9=112,$U9=1),1,0)</f>
        <v/>
      </c>
      <c r="YJ10">
        <f>YJ9+IF(AND($C9=113,$U9=1),1,0)</f>
        <v/>
      </c>
      <c r="YK10">
        <f>YK9+IF(AND($C9=114,$U9=1),1,0)</f>
        <v/>
      </c>
      <c r="YL10">
        <f>YL9+IF(AND($C9=115,$U9=1),1,0)</f>
        <v/>
      </c>
      <c r="YM10">
        <f>YM9+IF(AND($C9=116,$U9=1),1,0)</f>
        <v/>
      </c>
      <c r="YN10">
        <f>YN9+IF(AND($C9=117,$U9=1),1,0)</f>
        <v/>
      </c>
      <c r="YO10">
        <f>YO9+IF(AND($C9=118,$U9=1),1,0)</f>
        <v/>
      </c>
      <c r="YP10">
        <f>YP9+IF(AND($C9=119,$U9=1),1,0)</f>
        <v/>
      </c>
      <c r="YQ10">
        <f>YQ9+IF(AND($C9=120,$U9=1),1,0)</f>
        <v/>
      </c>
      <c r="YR10">
        <f>YR9+IF(AND($C9=121,$U9=1),1,0)</f>
        <v/>
      </c>
      <c r="YS10">
        <f>YS9+IF(AND($C9=122,$U9=1),1,0)</f>
        <v/>
      </c>
      <c r="YT10">
        <f>YT9+IF(AND($C9=123,$U9=1),1,0)</f>
        <v/>
      </c>
      <c r="YU10">
        <f>YU9+IF(AND($C9=124,$U9=1),1,0)</f>
        <v/>
      </c>
      <c r="YV10">
        <f>YV9+IF(AND($C9=125,$U9=1),1,0)</f>
        <v/>
      </c>
      <c r="YW10">
        <f>YW9+IF(AND($C9=126,$U9=1),1,0)</f>
        <v/>
      </c>
      <c r="YX10">
        <f>YX9+IF(AND($C9=127,$U9=1),1,0)</f>
        <v/>
      </c>
      <c r="YY10">
        <f>YY9+IF(AND($C9=128,$U9=1),1,0)</f>
        <v/>
      </c>
      <c r="YZ10">
        <f>YZ9+IF(AND($C9=129,$U9=1),1,0)</f>
        <v/>
      </c>
      <c r="ZA10">
        <f>ZA9+IF(AND($C9=130,$U9=1),1,0)</f>
        <v/>
      </c>
      <c r="ZB10">
        <f>ZB9+IF(AND($C9=131,$U9=1),1,0)</f>
        <v/>
      </c>
      <c r="ZC10">
        <f>ZC9+IF(AND($C9=132,$U9=1),1,0)</f>
        <v/>
      </c>
      <c r="ZD10">
        <f>ZD9+IF(AND($C9=133,$U9=1),1,0)</f>
        <v/>
      </c>
      <c r="ZE10">
        <f>ZE9+IF(AND($C9=134,$U9=1),1,0)</f>
        <v/>
      </c>
      <c r="ZF10">
        <f>ZF9+IF(AND($C9=135,$U9=1),1,0)</f>
        <v/>
      </c>
      <c r="ZG10">
        <f>ZG9+IF(AND($C9=136,$U9=1),1,0)</f>
        <v/>
      </c>
      <c r="ZH10">
        <f>ZH9+IF(AND($C9=137,$U9=1),1,0)</f>
        <v/>
      </c>
      <c r="ZI10">
        <f>ZI9+IF(AND($C9=138,$U9=1),1,0)</f>
        <v/>
      </c>
      <c r="ZJ10">
        <f>ZJ9+IF(AND($C9=139,$U9=1),1,0)</f>
        <v/>
      </c>
      <c r="ZK10">
        <f>ZK9+IF(AND($C9=140,$U9=1),1,0)</f>
        <v/>
      </c>
      <c r="ZL10">
        <f>ZL9+IF(AND($C9=141,$U9=1),1,0)</f>
        <v/>
      </c>
      <c r="ZM10">
        <f>ZM9+IF(AND($C9=142,$U9=1),1,0)</f>
        <v/>
      </c>
      <c r="ZN10">
        <f>ZN9+IF(AND($C9=143,$U9=1),1,0)</f>
        <v/>
      </c>
      <c r="ZO10">
        <f>ZO9+IF(AND($C9=144,$U9=1),1,0)</f>
        <v/>
      </c>
      <c r="ZQ10">
        <f>IF($C9=1,0,ZQ9+IF(AND($G9=1,$E9=1),1,0))</f>
        <v/>
      </c>
      <c r="ZR10">
        <f>IF($C9=2,0,ZR9+IF(AND($G9=2,$E9=1),1,0))</f>
        <v/>
      </c>
      <c r="ZS10">
        <f>IF($C9=3,0,ZS9+IF(AND($G9=3,$E9=1),1,0))</f>
        <v/>
      </c>
      <c r="ZT10">
        <f>IF($C9=4,0,ZT9+IF(AND($G9=4,$E9=1),1,0))</f>
        <v/>
      </c>
      <c r="ZU10">
        <f>IF($C9=5,0,ZU9+IF(AND($G9=5,$E9=1),1,0))</f>
        <v/>
      </c>
      <c r="ZV10">
        <f>IF($C9=6,0,ZV9+IF(AND($G9=6,$E9=1),1,0))</f>
        <v/>
      </c>
      <c r="ZW10">
        <f>IF($C9=7,0,ZW9+IF(AND($G9=7,$E9=1),1,0))</f>
        <v/>
      </c>
      <c r="ZX10">
        <f>IF($C9=8,0,ZX9+IF(AND($G9=8,$E9=1),1,0))</f>
        <v/>
      </c>
      <c r="ZY10">
        <f>IF($C9=9,0,ZY9+IF(AND($G9=9,$E9=1),1,0))</f>
        <v/>
      </c>
      <c r="ZZ10">
        <f>IF($C9=10,0,ZZ9+IF(AND($G9=10,$E9=1),1,0))</f>
        <v/>
      </c>
      <c r="AAA10">
        <f>IF($C9=11,0,AAA9+IF(AND($G9=11,$E9=1),1,0))</f>
        <v/>
      </c>
      <c r="AAB10">
        <f>IF($C9=12,0,AAB9+IF(AND($G9=12,$E9=1),1,0))</f>
        <v/>
      </c>
      <c r="AAC10">
        <f>IF($C9=13,0,AAC9+IF(AND($G9=13,$E9=1),1,0))</f>
        <v/>
      </c>
      <c r="AAD10">
        <f>IF($C9=14,0,AAD9+IF(AND($G9=14,$E9=1),1,0))</f>
        <v/>
      </c>
      <c r="AAE10">
        <f>IF($C9=15,0,AAE9+IF(AND($G9=15,$E9=1),1,0))</f>
        <v/>
      </c>
      <c r="AAF10">
        <f>IF($C9=16,0,AAF9+IF(AND($G9=16,$E9=1),1,0))</f>
        <v/>
      </c>
      <c r="AAG10">
        <f>IF($C9=17,0,AAG9+IF(AND($G9=17,$E9=1),1,0))</f>
        <v/>
      </c>
      <c r="AAH10">
        <f>IF($C9=18,0,AAH9+IF(AND($G9=18,$E9=1),1,0))</f>
        <v/>
      </c>
      <c r="AAI10">
        <f>IF($C9=19,0,AAI9+IF(AND($G9=19,$E9=1),1,0))</f>
        <v/>
      </c>
      <c r="AAJ10">
        <f>IF($C9=20,0,AAJ9+IF(AND($G9=20,$E9=1),1,0))</f>
        <v/>
      </c>
      <c r="AAK10">
        <f>IF($C9=21,0,AAK9+IF(AND($G9=21,$E9=1),1,0))</f>
        <v/>
      </c>
      <c r="AAL10">
        <f>IF($C9=22,0,AAL9+IF(AND($G9=22,$E9=1),1,0))</f>
        <v/>
      </c>
      <c r="AAM10">
        <f>IF($C9=23,0,AAM9+IF(AND($G9=23,$E9=1),1,0))</f>
        <v/>
      </c>
      <c r="AAN10">
        <f>IF($C9=24,0,AAN9+IF(AND($G9=24,$E9=1),1,0))</f>
        <v/>
      </c>
      <c r="AAO10">
        <f>IF($C9=25,0,AAO9+IF(AND($G9=25,$E9=1),1,0))</f>
        <v/>
      </c>
      <c r="AAP10">
        <f>IF($C9=26,0,AAP9+IF(AND($G9=26,$E9=1),1,0))</f>
        <v/>
      </c>
      <c r="AAQ10">
        <f>IF($C9=27,0,AAQ9+IF(AND($G9=27,$E9=1),1,0))</f>
        <v/>
      </c>
      <c r="AAR10">
        <f>IF($C9=28,0,AAR9+IF(AND($G9=28,$E9=1),1,0))</f>
        <v/>
      </c>
      <c r="AAS10">
        <f>IF($C9=29,0,AAS9+IF(AND($G9=29,$E9=1),1,0))</f>
        <v/>
      </c>
      <c r="AAT10">
        <f>IF($C9=30,0,AAT9+IF(AND($G9=30,$E9=1),1,0))</f>
        <v/>
      </c>
      <c r="AAU10">
        <f>IF($C9=31,0,AAU9+IF(AND($G9=31,$E9=1),1,0))</f>
        <v/>
      </c>
      <c r="AAV10">
        <f>IF($C9=32,0,AAV9+IF(AND($G9=32,$E9=1),1,0))</f>
        <v/>
      </c>
      <c r="AAW10">
        <f>IF($C9=33,0,AAW9+IF(AND($G9=33,$E9=1),1,0))</f>
        <v/>
      </c>
      <c r="AAX10">
        <f>IF($C9=34,0,AAX9+IF(AND($G9=34,$E9=1),1,0))</f>
        <v/>
      </c>
      <c r="AAY10">
        <f>IF($C9=35,0,AAY9+IF(AND($G9=35,$E9=1),1,0))</f>
        <v/>
      </c>
      <c r="AAZ10">
        <f>IF($C9=36,0,AAZ9+IF(AND($G9=36,$E9=1),1,0))</f>
        <v/>
      </c>
      <c r="ABA10">
        <f>IF($C9=37,0,ABA9+IF(AND($G9=37,$E9=1),1,0))</f>
        <v/>
      </c>
      <c r="ABB10">
        <f>IF($C9=38,0,ABB9+IF(AND($G9=38,$E9=1),1,0))</f>
        <v/>
      </c>
      <c r="ABC10">
        <f>IF($C9=39,0,ABC9+IF(AND($G9=39,$E9=1),1,0))</f>
        <v/>
      </c>
      <c r="ABD10">
        <f>IF($C9=40,0,ABD9+IF(AND($G9=40,$E9=1),1,0))</f>
        <v/>
      </c>
      <c r="ABE10">
        <f>IF($C9=41,0,ABE9+IF(AND($G9=41,$E9=1),1,0))</f>
        <v/>
      </c>
      <c r="ABF10">
        <f>IF($C9=42,0,ABF9+IF(AND($G9=42,$E9=1),1,0))</f>
        <v/>
      </c>
      <c r="ABG10">
        <f>IF($C9=43,0,ABG9+IF(AND($G9=43,$E9=1),1,0))</f>
        <v/>
      </c>
      <c r="ABH10">
        <f>IF($C9=44,0,ABH9+IF(AND($G9=44,$E9=1),1,0))</f>
        <v/>
      </c>
      <c r="ABI10">
        <f>IF($C9=45,0,ABI9+IF(AND($G9=45,$E9=1),1,0))</f>
        <v/>
      </c>
      <c r="ABJ10">
        <f>IF($C9=46,0,ABJ9+IF(AND($G9=46,$E9=1),1,0))</f>
        <v/>
      </c>
      <c r="ABK10">
        <f>IF($C9=47,0,ABK9+IF(AND($G9=47,$E9=1),1,0))</f>
        <v/>
      </c>
      <c r="ABL10">
        <f>IF($C9=48,0,ABL9+IF(AND($G9=48,$E9=1),1,0))</f>
        <v/>
      </c>
      <c r="ABM10">
        <f>IF($C9=49,0,ABM9+IF(AND($G9=49,$E9=1),1,0))</f>
        <v/>
      </c>
      <c r="ABN10">
        <f>IF($C9=50,0,ABN9+IF(AND($G9=50,$E9=1),1,0))</f>
        <v/>
      </c>
      <c r="ABO10">
        <f>IF($C9=51,0,ABO9+IF(AND($G9=51,$E9=1),1,0))</f>
        <v/>
      </c>
      <c r="ABP10">
        <f>IF($C9=52,0,ABP9+IF(AND($G9=52,$E9=1),1,0))</f>
        <v/>
      </c>
      <c r="ABQ10">
        <f>IF($C9=53,0,ABQ9+IF(AND($G9=53,$E9=1),1,0))</f>
        <v/>
      </c>
      <c r="ABR10">
        <f>IF($C9=54,0,ABR9+IF(AND($G9=54,$E9=1),1,0))</f>
        <v/>
      </c>
      <c r="ABS10">
        <f>IF($C9=55,0,ABS9+IF(AND($G9=55,$E9=1),1,0))</f>
        <v/>
      </c>
      <c r="ABT10">
        <f>IF($C9=56,0,ABT9+IF(AND($G9=56,$E9=1),1,0))</f>
        <v/>
      </c>
      <c r="ABU10">
        <f>IF($C9=57,0,ABU9+IF(AND($G9=57,$E9=1),1,0))</f>
        <v/>
      </c>
      <c r="ABV10">
        <f>IF($C9=58,0,ABV9+IF(AND($G9=58,$E9=1),1,0))</f>
        <v/>
      </c>
      <c r="ABW10">
        <f>IF($C9=59,0,ABW9+IF(AND($G9=59,$E9=1),1,0))</f>
        <v/>
      </c>
      <c r="ABX10">
        <f>IF($C9=60,0,ABX9+IF(AND($G9=60,$E9=1),1,0))</f>
        <v/>
      </c>
      <c r="ABY10">
        <f>IF($C9=61,0,ABY9+IF(AND($G9=61,$E9=1),1,0))</f>
        <v/>
      </c>
      <c r="ABZ10">
        <f>IF($C9=62,0,ABZ9+IF(AND($G9=62,$E9=1),1,0))</f>
        <v/>
      </c>
      <c r="ACA10">
        <f>IF($C9=63,0,ACA9+IF(AND($G9=63,$E9=1),1,0))</f>
        <v/>
      </c>
      <c r="ACB10">
        <f>IF($C9=64,0,ACB9+IF(AND($G9=64,$E9=1),1,0))</f>
        <v/>
      </c>
      <c r="ACC10">
        <f>IF($C9=65,0,ACC9+IF(AND($G9=65,$E9=1),1,0))</f>
        <v/>
      </c>
      <c r="ACD10">
        <f>IF($C9=66,0,ACD9+IF(AND($G9=66,$E9=1),1,0))</f>
        <v/>
      </c>
      <c r="ACE10">
        <f>IF($C9=67,0,ACE9+IF(AND($G9=67,$E9=1),1,0))</f>
        <v/>
      </c>
      <c r="ACF10">
        <f>IF($C9=68,0,ACF9+IF(AND($G9=68,$E9=1),1,0))</f>
        <v/>
      </c>
      <c r="ACG10">
        <f>IF($C9=69,0,ACG9+IF(AND($G9=69,$E9=1),1,0))</f>
        <v/>
      </c>
      <c r="ACH10">
        <f>IF($C9=70,0,ACH9+IF(AND($G9=70,$E9=1),1,0))</f>
        <v/>
      </c>
      <c r="ACI10">
        <f>IF($C9=71,0,ACI9+IF(AND($G9=71,$E9=1),1,0))</f>
        <v/>
      </c>
      <c r="ACJ10">
        <f>IF($C9=72,0,ACJ9+IF(AND($G9=72,$E9=1),1,0))</f>
        <v/>
      </c>
      <c r="ACK10">
        <f>IF($C9=73,0,ACK9+IF(AND($G9=73,$E9=1),1,0))</f>
        <v/>
      </c>
      <c r="ACL10">
        <f>IF($C9=74,0,ACL9+IF(AND($G9=74,$E9=1),1,0))</f>
        <v/>
      </c>
      <c r="ACM10">
        <f>IF($C9=75,0,ACM9+IF(AND($G9=75,$E9=1),1,0))</f>
        <v/>
      </c>
      <c r="ACN10">
        <f>IF($C9=76,0,ACN9+IF(AND($G9=76,$E9=1),1,0))</f>
        <v/>
      </c>
      <c r="ACO10">
        <f>IF($C9=77,0,ACO9+IF(AND($G9=77,$E9=1),1,0))</f>
        <v/>
      </c>
      <c r="ACP10">
        <f>IF($C9=78,0,ACP9+IF(AND($G9=78,$E9=1),1,0))</f>
        <v/>
      </c>
      <c r="ACQ10">
        <f>IF($C9=79,0,ACQ9+IF(AND($G9=79,$E9=1),1,0))</f>
        <v/>
      </c>
      <c r="ACR10">
        <f>IF($C9=80,0,ACR9+IF(AND($G9=80,$E9=1),1,0))</f>
        <v/>
      </c>
      <c r="ACS10">
        <f>IF($C9=81,0,ACS9+IF(AND($G9=81,$E9=1),1,0))</f>
        <v/>
      </c>
      <c r="ACT10">
        <f>IF($C9=82,0,ACT9+IF(AND($G9=82,$E9=1),1,0))</f>
        <v/>
      </c>
      <c r="ACU10">
        <f>IF($C9=83,0,ACU9+IF(AND($G9=83,$E9=1),1,0))</f>
        <v/>
      </c>
      <c r="ACV10">
        <f>IF($C9=84,0,ACV9+IF(AND($G9=84,$E9=1),1,0))</f>
        <v/>
      </c>
      <c r="ACW10">
        <f>IF($C9=85,0,ACW9+IF(AND($G9=85,$E9=1),1,0))</f>
        <v/>
      </c>
      <c r="ACX10">
        <f>IF($C9=86,0,ACX9+IF(AND($G9=86,$E9=1),1,0))</f>
        <v/>
      </c>
      <c r="ACY10">
        <f>IF($C9=87,0,ACY9+IF(AND($G9=87,$E9=1),1,0))</f>
        <v/>
      </c>
      <c r="ACZ10">
        <f>IF($C9=88,0,ACZ9+IF(AND($G9=88,$E9=1),1,0))</f>
        <v/>
      </c>
      <c r="ADA10">
        <f>IF($C9=89,0,ADA9+IF(AND($G9=89,$E9=1),1,0))</f>
        <v/>
      </c>
      <c r="ADB10">
        <f>IF($C9=90,0,ADB9+IF(AND($G9=90,$E9=1),1,0))</f>
        <v/>
      </c>
      <c r="ADC10">
        <f>IF($C9=91,0,ADC9+IF(AND($G9=91,$E9=1),1,0))</f>
        <v/>
      </c>
      <c r="ADD10">
        <f>IF($C9=92,0,ADD9+IF(AND($G9=92,$E9=1),1,0))</f>
        <v/>
      </c>
      <c r="ADE10">
        <f>IF($C9=93,0,ADE9+IF(AND($G9=93,$E9=1),1,0))</f>
        <v/>
      </c>
      <c r="ADF10">
        <f>IF($C9=94,0,ADF9+IF(AND($G9=94,$E9=1),1,0))</f>
        <v/>
      </c>
      <c r="ADG10">
        <f>IF($C9=95,0,ADG9+IF(AND($G9=95,$E9=1),1,0))</f>
        <v/>
      </c>
      <c r="ADH10">
        <f>IF($C9=96,0,ADH9+IF(AND($G9=96,$E9=1),1,0))</f>
        <v/>
      </c>
      <c r="ADI10">
        <f>IF($C9=97,0,ADI9+IF(AND($G9=97,$E9=1),1,0))</f>
        <v/>
      </c>
      <c r="ADJ10">
        <f>IF($C9=98,0,ADJ9+IF(AND($G9=98,$E9=1),1,0))</f>
        <v/>
      </c>
      <c r="ADK10">
        <f>IF($C9=99,0,ADK9+IF(AND($G9=99,$E9=1),1,0))</f>
        <v/>
      </c>
      <c r="ADL10">
        <f>IF($C9=100,0,ADL9+IF(AND($G9=100,$E9=1),1,0))</f>
        <v/>
      </c>
      <c r="ADM10">
        <f>IF($C9=101,0,ADM9+IF(AND($G9=101,$E9=1),1,0))</f>
        <v/>
      </c>
      <c r="ADN10">
        <f>IF($C9=102,0,ADN9+IF(AND($G9=102,$E9=1),1,0))</f>
        <v/>
      </c>
      <c r="ADO10">
        <f>IF($C9=103,0,ADO9+IF(AND($G9=103,$E9=1),1,0))</f>
        <v/>
      </c>
      <c r="ADP10">
        <f>IF($C9=104,0,ADP9+IF(AND($G9=104,$E9=1),1,0))</f>
        <v/>
      </c>
      <c r="ADQ10">
        <f>IF($C9=105,0,ADQ9+IF(AND($G9=105,$E9=1),1,0))</f>
        <v/>
      </c>
      <c r="ADR10">
        <f>IF($C9=106,0,ADR9+IF(AND($G9=106,$E9=1),1,0))</f>
        <v/>
      </c>
      <c r="ADS10">
        <f>IF($C9=107,0,ADS9+IF(AND($G9=107,$E9=1),1,0))</f>
        <v/>
      </c>
      <c r="ADT10">
        <f>IF($C9=108,0,ADT9+IF(AND($G9=108,$E9=1),1,0))</f>
        <v/>
      </c>
      <c r="ADU10">
        <f>IF($C9=109,0,ADU9+IF(AND($G9=109,$E9=1),1,0))</f>
        <v/>
      </c>
      <c r="ADV10">
        <f>IF($C9=110,0,ADV9+IF(AND($G9=110,$E9=1),1,0))</f>
        <v/>
      </c>
      <c r="ADW10">
        <f>IF($C9=111,0,ADW9+IF(AND($G9=111,$E9=1),1,0))</f>
        <v/>
      </c>
      <c r="ADX10">
        <f>IF($C9=112,0,ADX9+IF(AND($G9=112,$E9=1),1,0))</f>
        <v/>
      </c>
      <c r="ADY10">
        <f>IF($C9=113,0,ADY9+IF(AND($G9=113,$E9=1),1,0))</f>
        <v/>
      </c>
      <c r="ADZ10">
        <f>IF($C9=114,0,ADZ9+IF(AND($G9=114,$E9=1),1,0))</f>
        <v/>
      </c>
      <c r="AEA10">
        <f>IF($C9=115,0,AEA9+IF(AND($G9=115,$E9=1),1,0))</f>
        <v/>
      </c>
      <c r="AEB10">
        <f>IF($C9=116,0,AEB9+IF(AND($G9=116,$E9=1),1,0))</f>
        <v/>
      </c>
      <c r="AEC10">
        <f>IF($C9=117,0,AEC9+IF(AND($G9=117,$E9=1),1,0))</f>
        <v/>
      </c>
      <c r="AED10">
        <f>IF($C9=118,0,AED9+IF(AND($G9=118,$E9=1),1,0))</f>
        <v/>
      </c>
      <c r="AEE10">
        <f>IF($C9=119,0,AEE9+IF(AND($G9=119,$E9=1),1,0))</f>
        <v/>
      </c>
      <c r="AEF10">
        <f>IF($C9=120,0,AEF9+IF(AND($G9=120,$E9=1),1,0))</f>
        <v/>
      </c>
      <c r="AEG10">
        <f>IF($C9=121,0,AEG9+IF(AND($G9=121,$E9=1),1,0))</f>
        <v/>
      </c>
      <c r="AEH10">
        <f>IF($C9=122,0,AEH9+IF(AND($G9=122,$E9=1),1,0))</f>
        <v/>
      </c>
      <c r="AEI10">
        <f>IF($C9=123,0,AEI9+IF(AND($G9=123,$E9=1),1,0))</f>
        <v/>
      </c>
      <c r="AEJ10">
        <f>IF($C9=124,0,AEJ9+IF(AND($G9=124,$E9=1),1,0))</f>
        <v/>
      </c>
      <c r="AEK10">
        <f>IF($C9=125,0,AEK9+IF(AND($G9=125,$E9=1),1,0))</f>
        <v/>
      </c>
      <c r="AEL10">
        <f>IF($C9=126,0,AEL9+IF(AND($G9=126,$E9=1),1,0))</f>
        <v/>
      </c>
      <c r="AEM10">
        <f>IF($C9=127,0,AEM9+IF(AND($G9=127,$E9=1),1,0))</f>
        <v/>
      </c>
      <c r="AEN10">
        <f>IF($C9=128,0,AEN9+IF(AND($G9=128,$E9=1),1,0))</f>
        <v/>
      </c>
      <c r="AEO10">
        <f>IF($C9=129,0,AEO9+IF(AND($G9=129,$E9=1),1,0))</f>
        <v/>
      </c>
      <c r="AEP10">
        <f>IF($C9=130,0,AEP9+IF(AND($G9=130,$E9=1),1,0))</f>
        <v/>
      </c>
      <c r="AEQ10">
        <f>IF($C9=131,0,AEQ9+IF(AND($G9=131,$E9=1),1,0))</f>
        <v/>
      </c>
      <c r="AER10">
        <f>IF($C9=132,0,AER9+IF(AND($G9=132,$E9=1),1,0))</f>
        <v/>
      </c>
      <c r="AES10">
        <f>IF($C9=133,0,AES9+IF(AND($G9=133,$E9=1),1,0))</f>
        <v/>
      </c>
      <c r="AET10">
        <f>IF($C9=134,0,AET9+IF(AND($G9=134,$E9=1),1,0))</f>
        <v/>
      </c>
      <c r="AEU10">
        <f>IF($C9=135,0,AEU9+IF(AND($G9=135,$E9=1),1,0))</f>
        <v/>
      </c>
      <c r="AEV10">
        <f>IF($C9=136,0,AEV9+IF(AND($G9=136,$E9=1),1,0))</f>
        <v/>
      </c>
      <c r="AEW10">
        <f>IF($C9=137,0,AEW9+IF(AND($G9=137,$E9=1),1,0))</f>
        <v/>
      </c>
      <c r="AEX10">
        <f>IF($C9=138,0,AEX9+IF(AND($G9=138,$E9=1),1,0))</f>
        <v/>
      </c>
      <c r="AEY10">
        <f>IF($C9=139,0,AEY9+IF(AND($G9=139,$E9=1),1,0))</f>
        <v/>
      </c>
      <c r="AEZ10">
        <f>IF($C9=140,0,AEZ9+IF(AND($G9=140,$E9=1),1,0))</f>
        <v/>
      </c>
      <c r="AFA10">
        <f>IF($C9=141,0,AFA9+IF(AND($G9=141,$E9=1),1,0))</f>
        <v/>
      </c>
      <c r="AFB10">
        <f>IF($C9=142,0,AFB9+IF(AND($G9=142,$E9=1),1,0))</f>
        <v/>
      </c>
      <c r="AFC10">
        <f>IF($C9=143,0,AFC9+IF(AND($G9=143,$E9=1),1,0))</f>
        <v/>
      </c>
      <c r="AFD10">
        <f>IF($C9=144,0,AFD9+IF(AND($G9=144,$E9=1),1,0))</f>
        <v/>
      </c>
      <c r="AFF10">
        <f>IF('calcA'!D$106=1,DC10+ZR10,1)</f>
        <v/>
      </c>
      <c r="AFG10">
        <f>IF('calcA'!E$106=1,DD10+ZS10,1)</f>
        <v/>
      </c>
      <c r="AFH10">
        <f>IF('calcA'!F$106=1,DE10+ZT10,1)</f>
        <v/>
      </c>
      <c r="AFI10">
        <f>IF('calcA'!G$106=1,DF10+ZU10,1)</f>
        <v/>
      </c>
      <c r="AFJ10">
        <f>IF('calcA'!H$106=1,DG10+ZV10,1)</f>
        <v/>
      </c>
      <c r="AFK10">
        <f>IF('calcA'!I$106=1,DH10+ZW10,1)</f>
        <v/>
      </c>
      <c r="AFL10">
        <f>IF('calcA'!J$106=1,DI10+ZX10,1)</f>
        <v/>
      </c>
      <c r="AFM10">
        <f>IF('calcA'!K$106=1,DJ10+ZY10,1)</f>
        <v/>
      </c>
      <c r="AFN10">
        <f>IF('calcA'!L$106=1,DK10+ZZ10,1)</f>
        <v/>
      </c>
      <c r="AFO10">
        <f>IF('calcA'!M$106=1,DL10+AAA10,1)</f>
        <v/>
      </c>
      <c r="AFP10">
        <f>IF('calcA'!N$106=1,DM10+AAB10,1)</f>
        <v/>
      </c>
      <c r="AFQ10">
        <f>IF('calcA'!O$106=1,DN10+AAC10,1)</f>
        <v/>
      </c>
      <c r="AFR10">
        <f>IF('calcA'!P$106=1,DO10+AAD10,1)</f>
        <v/>
      </c>
      <c r="AFS10">
        <f>IF('calcA'!Q$106=1,DP10+AAE10,1)</f>
        <v/>
      </c>
      <c r="AFT10">
        <f>IF('calcA'!R$106=1,DQ10+AAF10,1)</f>
        <v/>
      </c>
      <c r="AFU10">
        <f>IF('calcA'!S$106=1,DR10+AAG10,1)</f>
        <v/>
      </c>
      <c r="AFV10">
        <f>IF('calcA'!T$106=1,DS10+AAH10,1)</f>
        <v/>
      </c>
      <c r="AFW10">
        <f>IF('calcA'!U$106=1,DT10+AAI10,1)</f>
        <v/>
      </c>
      <c r="AFX10">
        <f>IF('calcA'!V$106=1,DU10+AAJ10,1)</f>
        <v/>
      </c>
      <c r="AFY10">
        <f>IF('calcA'!W$106=1,DV10+AAK10,1)</f>
        <v/>
      </c>
      <c r="AFZ10">
        <f>IF('calcA'!X$106=1,DW10+AAL10,1)</f>
        <v/>
      </c>
      <c r="AGA10">
        <f>IF('calcA'!Y$106=1,DX10+AAM10,1)</f>
        <v/>
      </c>
      <c r="AGB10">
        <f>IF('calcA'!Z$106=1,DY10+AAN10,1)</f>
        <v/>
      </c>
      <c r="AGC10">
        <f>IF('calcA'!AA$106=1,DZ10+AAO10,1)</f>
        <v/>
      </c>
      <c r="AGD10">
        <f>IF('calcA'!AB$106=1,EA10+AAP10,1)</f>
        <v/>
      </c>
      <c r="AGE10">
        <f>IF('calcA'!AC$106=1,EB10+AAQ10,1)</f>
        <v/>
      </c>
      <c r="AGF10">
        <f>IF('calcA'!AD$106=1,EC10+AAR10,1)</f>
        <v/>
      </c>
      <c r="AGG10">
        <f>IF('calcA'!AE$106=1,ED10+AAS10,1)</f>
        <v/>
      </c>
      <c r="AGH10">
        <f>IF('calcA'!AF$106=1,EE10+AAT10,1)</f>
        <v/>
      </c>
      <c r="AGI10">
        <f>IF('calcA'!AG$106=1,EF10+AAU10,1)</f>
        <v/>
      </c>
      <c r="AGJ10">
        <f>IF('calcA'!AH$106=1,EG10+AAV10,1)</f>
        <v/>
      </c>
      <c r="AGK10">
        <f>IF('calcA'!AI$106=1,EH10+AAW10,1)</f>
        <v/>
      </c>
      <c r="AGL10">
        <f>IF('calcA'!AJ$106=1,EI10+AAX10,1)</f>
        <v/>
      </c>
      <c r="AGM10">
        <f>IF('calcA'!AK$106=1,EJ10+AAY10,1)</f>
        <v/>
      </c>
      <c r="AGN10">
        <f>IF('calcA'!AL$106=1,EK10+AAZ10,1)</f>
        <v/>
      </c>
      <c r="AGO10">
        <f>IF('calcA'!AM$106=1,EL10+ABA10,1)</f>
        <v/>
      </c>
      <c r="AGP10">
        <f>IF('calcA'!AN$106=1,EM10+ABB10,1)</f>
        <v/>
      </c>
      <c r="AGQ10">
        <f>IF('calcA'!AO$106=1,EN10+ABC10,1)</f>
        <v/>
      </c>
      <c r="AGR10">
        <f>IF('calcA'!AP$106=1,EO10+ABD10,1)</f>
        <v/>
      </c>
      <c r="AGS10">
        <f>IF('calcA'!AQ$106=1,EP10+ABE10,1)</f>
        <v/>
      </c>
      <c r="AGT10">
        <f>IF('calcA'!AR$106=1,EQ10+ABF10,1)</f>
        <v/>
      </c>
      <c r="AGU10">
        <f>IF('calcA'!AS$106=1,ER10+ABG10,1)</f>
        <v/>
      </c>
      <c r="AGV10">
        <f>IF('calcA'!AT$106=1,ES10+ABH10,1)</f>
        <v/>
      </c>
      <c r="AGW10">
        <f>IF('calcA'!AU$106=1,ET10+ABI10,1)</f>
        <v/>
      </c>
      <c r="AGX10">
        <f>IF('calcA'!AV$106=1,EU10+ABJ10,1)</f>
        <v/>
      </c>
      <c r="AGY10">
        <f>IF('calcA'!AW$106=1,EV10+ABK10,1)</f>
        <v/>
      </c>
      <c r="AGZ10">
        <f>IF('calcA'!AX$106=1,EW10+ABL10,1)</f>
        <v/>
      </c>
      <c r="AHA10">
        <f>IF('calcA'!AY$106=1,EX10+ABM10,1)</f>
        <v/>
      </c>
      <c r="AHB10">
        <f>IF('calcA'!AZ$106=1,EY10+ABN10,1)</f>
        <v/>
      </c>
      <c r="AHC10">
        <f>IF('calcA'!BA$106=1,EZ10+ABO10,1)</f>
        <v/>
      </c>
      <c r="AHD10">
        <f>IF('calcA'!BB$106=1,FA10+ABP10,1)</f>
        <v/>
      </c>
      <c r="AHE10">
        <f>IF('calcA'!BC$106=1,FB10+ABQ10,1)</f>
        <v/>
      </c>
      <c r="AHF10">
        <f>IF('calcA'!BD$106=1,FC10+ABR10,1)</f>
        <v/>
      </c>
      <c r="AHG10">
        <f>IF('calcA'!BE$106=1,FD10+ABS10,1)</f>
        <v/>
      </c>
      <c r="AHH10">
        <f>IF('calcA'!BF$106=1,FE10+ABT10,1)</f>
        <v/>
      </c>
      <c r="AHI10">
        <f>IF('calcA'!BG$106=1,FF10+ABU10,1)</f>
        <v/>
      </c>
      <c r="AHJ10">
        <f>IF('calcA'!BH$106=1,FG10+ABV10,1)</f>
        <v/>
      </c>
      <c r="AHK10">
        <f>IF('calcA'!BI$106=1,FH10+ABW10,1)</f>
        <v/>
      </c>
      <c r="AHL10">
        <f>IF('calcA'!BJ$106=1,FI10+ABX10,1)</f>
        <v/>
      </c>
      <c r="AHM10">
        <f>IF('calcA'!BK$106=1,FJ10+ABY10,1)</f>
        <v/>
      </c>
      <c r="AHN10">
        <f>IF('calcA'!BL$106=1,FK10+ABZ10,1)</f>
        <v/>
      </c>
      <c r="AHO10">
        <f>IF('calcA'!BM$106=1,FL10+ACA10,1)</f>
        <v/>
      </c>
      <c r="AHP10">
        <f>IF('calcA'!BN$106=1,FM10+ACB10,1)</f>
        <v/>
      </c>
      <c r="AHQ10">
        <f>IF('calcA'!BO$106=1,FN10+ACC10,1)</f>
        <v/>
      </c>
      <c r="AHR10">
        <f>IF('calcA'!BP$106=1,FO10+ACD10,1)</f>
        <v/>
      </c>
      <c r="AHS10">
        <f>IF('calcA'!BQ$106=1,FP10+ACE10,1)</f>
        <v/>
      </c>
      <c r="AHT10">
        <f>IF('calcA'!BR$106=1,FQ10+ACF10,1)</f>
        <v/>
      </c>
      <c r="AHU10">
        <f>IF('calcA'!BS$106=1,FR10+ACG10,1)</f>
        <v/>
      </c>
      <c r="AHV10">
        <f>IF('calcA'!BT$106=1,FS10+ACH10,1)</f>
        <v/>
      </c>
      <c r="AHW10">
        <f>IF('calcA'!BU$106=1,FT10+ACI10,1)</f>
        <v/>
      </c>
      <c r="AHX10">
        <f>IF('calcA'!BV$106=1,FU10+ACJ10,1)</f>
        <v/>
      </c>
      <c r="AHY10">
        <f>IF('calcA'!BW$106=1,FV10+ACK10,1)</f>
        <v/>
      </c>
      <c r="AHZ10">
        <f>IF('calcA'!BX$106=1,FW10+ACL10,1)</f>
        <v/>
      </c>
      <c r="AIA10">
        <f>IF('calcA'!BY$106=1,FX10+ACM10,1)</f>
        <v/>
      </c>
      <c r="AIB10">
        <f>IF('calcA'!BZ$106=1,FY10+ACN10,1)</f>
        <v/>
      </c>
      <c r="AIC10">
        <f>IF('calcA'!CA$106=1,FZ10+ACO10,1)</f>
        <v/>
      </c>
      <c r="AID10">
        <f>IF('calcA'!CB$106=1,GA10+ACP10,1)</f>
        <v/>
      </c>
      <c r="AIE10">
        <f>IF('calcA'!CC$106=1,GB10+ACQ10,1)</f>
        <v/>
      </c>
      <c r="AIF10">
        <f>IF('calcA'!CD$106=1,GC10+ACR10,1)</f>
        <v/>
      </c>
      <c r="AIG10">
        <f>IF('calcA'!CE$106=1,GD10+ACS10,1)</f>
        <v/>
      </c>
      <c r="AIH10">
        <f>IF('calcA'!CF$106=1,GE10+ACT10,1)</f>
        <v/>
      </c>
      <c r="AII10">
        <f>IF('calcA'!CG$106=1,GF10+ACU10,1)</f>
        <v/>
      </c>
      <c r="AIJ10">
        <f>IF('calcA'!CH$106=1,GG10+ACV10,1)</f>
        <v/>
      </c>
      <c r="AIK10">
        <f>IF('calcA'!CI$106=1,GH10+ACW10,1)</f>
        <v/>
      </c>
      <c r="AIL10">
        <f>IF('calcA'!CJ$106=1,GI10+ACX10,1)</f>
        <v/>
      </c>
      <c r="AIM10">
        <f>IF('calcA'!CK$106=1,GJ10+ACY10,1)</f>
        <v/>
      </c>
      <c r="AIN10">
        <f>IF('calcA'!CL$106=1,GK10+ACZ10,1)</f>
        <v/>
      </c>
      <c r="AIO10">
        <f>IF('calcA'!CM$106=1,GL10+ADA10,1)</f>
        <v/>
      </c>
      <c r="AIP10">
        <f>IF('calcA'!CN$106=1,GM10+ADB10,1)</f>
        <v/>
      </c>
      <c r="AIQ10">
        <f>IF('calcA'!CO$106=1,GN10+ADC10,1)</f>
        <v/>
      </c>
      <c r="AIR10">
        <f>IF('calcA'!CP$106=1,GO10+ADD10,1)</f>
        <v/>
      </c>
      <c r="AIS10">
        <f>IF('calcA'!CQ$106=1,GP10+ADE10,1)</f>
        <v/>
      </c>
      <c r="AIT10">
        <f>IF('calcA'!CR$106=1,GQ10+ADF10,1)</f>
        <v/>
      </c>
      <c r="AIU10">
        <f>IF('calcA'!CS$106=1,GR10+ADG10,1)</f>
        <v/>
      </c>
      <c r="AIV10">
        <f>IF('calcA'!CT$106=1,GS10+ADH10,1)</f>
        <v/>
      </c>
      <c r="AIW10">
        <f>IF('calcA'!CU$106=1,GT10+ADI10,1)</f>
        <v/>
      </c>
      <c r="AIX10">
        <f>IF('calcA'!CV$106=1,GU10+ADJ10,1)</f>
        <v/>
      </c>
      <c r="AIY10">
        <f>IF('calcA'!CW$106=1,GV10+ADK10,1)</f>
        <v/>
      </c>
      <c r="AIZ10">
        <f>IF('calcA'!CX$106=1,GW10+ADL10,1)</f>
        <v/>
      </c>
      <c r="AJA10">
        <f>IF('calcA'!CY$106=1,GX10+ADM10,1)</f>
        <v/>
      </c>
      <c r="AJB10">
        <f>IF('calcA'!CZ$106=1,GY10+ADN10,1)</f>
        <v/>
      </c>
      <c r="AJC10">
        <f>IF('calcA'!DA$106=1,GZ10+ADO10,1)</f>
        <v/>
      </c>
      <c r="AJD10">
        <f>IF('calcA'!DB$106=1,HA10+ADP10,1)</f>
        <v/>
      </c>
      <c r="AJE10">
        <f>IF('calcA'!DC$106=1,HB10+ADQ10,1)</f>
        <v/>
      </c>
      <c r="AJF10">
        <f>IF('calcA'!DD$106=1,HC10+ADR10,1)</f>
        <v/>
      </c>
      <c r="AJG10">
        <f>IF('calcA'!DE$106=1,HD10+ADS10,1)</f>
        <v/>
      </c>
      <c r="AJH10">
        <f>IF('calcA'!DF$106=1,HE10+ADT10,1)</f>
        <v/>
      </c>
      <c r="AJI10">
        <f>IF('calcA'!DG$106=1,HF10+ADU10,1)</f>
        <v/>
      </c>
      <c r="AJJ10">
        <f>IF('calcA'!DH$106=1,HG10+ADV10,1)</f>
        <v/>
      </c>
      <c r="AJK10">
        <f>IF('calcA'!DI$106=1,HH10+ADW10,1)</f>
        <v/>
      </c>
      <c r="AJL10">
        <f>IF('calcA'!DJ$106=1,HI10+ADX10,1)</f>
        <v/>
      </c>
      <c r="AJM10">
        <f>IF('calcA'!DK$106=1,HJ10+ADY10,1)</f>
        <v/>
      </c>
      <c r="AJN10">
        <f>IF('calcA'!DL$106=1,HK10+ADZ10,1)</f>
        <v/>
      </c>
      <c r="AJO10">
        <f>IF('calcA'!DM$106=1,HL10+AEA10,1)</f>
        <v/>
      </c>
      <c r="AJP10">
        <f>IF('calcA'!DN$106=1,HM10+AEB10,1)</f>
        <v/>
      </c>
      <c r="AJQ10">
        <f>IF('calcA'!DO$106=1,HN10+AEC10,1)</f>
        <v/>
      </c>
      <c r="AJR10">
        <f>IF('calcA'!DP$106=1,HO10+AED10,1)</f>
        <v/>
      </c>
      <c r="AJS10">
        <f>IF('calcA'!DQ$106=1,HP10+AEE10,1)</f>
        <v/>
      </c>
      <c r="AJT10">
        <f>IF('calcA'!DR$106=1,HQ10+AEF10,1)</f>
        <v/>
      </c>
      <c r="AJU10">
        <f>IF('calcA'!DS$106=1,HR10+AEG10,1)</f>
        <v/>
      </c>
      <c r="AJV10">
        <f>IF('calcA'!DT$106=1,HS10+AEH10,1)</f>
        <v/>
      </c>
      <c r="AJW10">
        <f>IF('calcA'!DU$106=1,HT10+AEI10,1)</f>
        <v/>
      </c>
      <c r="AJX10">
        <f>IF('calcA'!DV$106=1,HU10+AEJ10,1)</f>
        <v/>
      </c>
      <c r="AJY10">
        <f>IF('calcA'!DW$106=1,HV10+AEK10,1)</f>
        <v/>
      </c>
      <c r="AJZ10">
        <f>IF('calcA'!DX$106=1,HW10+AEL10,1)</f>
        <v/>
      </c>
      <c r="AKA10">
        <f>IF('calcA'!DY$106=1,HX10+AEM10,1)</f>
        <v/>
      </c>
      <c r="AKB10">
        <f>IF('calcA'!DZ$106=1,HY10+AEN10,1)</f>
        <v/>
      </c>
      <c r="AKC10">
        <f>IF('calcA'!EA$106=1,HZ10+AEO10,1)</f>
        <v/>
      </c>
      <c r="AKD10">
        <f>IF('calcA'!EB$106=1,IA10+AEP10,1)</f>
        <v/>
      </c>
      <c r="AKE10">
        <f>IF('calcA'!EC$106=1,IB10+AEQ10,1)</f>
        <v/>
      </c>
      <c r="AKF10">
        <f>IF('calcA'!ED$106=1,IC10+AER10,1)</f>
        <v/>
      </c>
      <c r="AKG10">
        <f>IF('calcA'!EE$106=1,ID10+AES10,1)</f>
        <v/>
      </c>
      <c r="AKH10">
        <f>IF('calcA'!EF$106=1,IE10+AET10,1)</f>
        <v/>
      </c>
      <c r="AKI10">
        <f>IF('calcA'!EG$106=1,IF10+AEU10,1)</f>
        <v/>
      </c>
      <c r="AKJ10">
        <f>IF('calcA'!EH$106=1,IG10+AEV10,1)</f>
        <v/>
      </c>
      <c r="AKK10">
        <f>IF('calcA'!EI$106=1,IH10+AEW10,1)</f>
        <v/>
      </c>
      <c r="AKL10">
        <f>IF('calcA'!EJ$106=1,II10+AEX10,1)</f>
        <v/>
      </c>
      <c r="AKM10">
        <f>IF('calcA'!EK$106=1,IJ10+AEY10,1)</f>
        <v/>
      </c>
      <c r="AKN10">
        <f>IF('calcA'!EL$106=1,IK10+AEZ10,1)</f>
        <v/>
      </c>
      <c r="AKO10">
        <f>IF('calcA'!EM$106=1,IL10+AFA10,1)</f>
        <v/>
      </c>
      <c r="AKP10">
        <f>IF('calcA'!EN$106=1,IM10+AFB10,1)</f>
        <v/>
      </c>
      <c r="AKQ10">
        <f>IF('calcA'!EO$106=1,IN10+AFC10,1)</f>
        <v/>
      </c>
      <c r="AKR10">
        <f>IF('calcA'!EP$106=1,IO10+AFD10,1)</f>
        <v/>
      </c>
      <c r="AKS10" t="n">
        <v>1</v>
      </c>
    </row>
    <row r="11">
      <c r="A11" t="n">
        <v>9</v>
      </c>
      <c r="B11">
        <f>IF(MIN(BM11:CZ11)&gt;=1000000000,0,MATCH(MIN(BM11:CZ11),BM11:CZ11,0))</f>
        <v/>
      </c>
      <c r="C11">
        <f>IF(MIN(OF11:TS11)&gt;=1000000000,0,MATCH(MIN(OF11:TS11),OF11:TS11,0))</f>
        <v/>
      </c>
      <c r="D11">
        <f>IF(C11&gt;0,INDEX('calcA'!$D$5:$EQ$5,C11),0)</f>
        <v/>
      </c>
      <c r="E11">
        <f>IF(B11=0,0,INDEX('calcA'!$IQ$10:$IQ$54,B11))</f>
        <v/>
      </c>
      <c r="F11">
        <f>IF(B11=0,0,INDEX('calcA'!$IP$10:$IP$54,B11))</f>
        <v/>
      </c>
      <c r="G11">
        <f>IF(AND(C11&gt;0,E11&gt;0),IF(AND(INDEX('calcA'!$D$106:$EQ$106,C11)=1,INDEX($IQ11:$OD11,C11)=1),C11+1,0),0)</f>
        <v/>
      </c>
      <c r="H11">
        <f>IF(B11=0,0,INDEX('calcA'!$IW$10:$IW$54,B11))</f>
        <v/>
      </c>
      <c r="U11">
        <f>IF(B11=0,0,INDEX('calcA'!$IX$10:$IX$54,B11))</f>
        <v/>
      </c>
      <c r="V11">
        <f>IF(B11=0,0,INDEX('calcA'!$JF$10:$JF$54,B11))</f>
        <v/>
      </c>
      <c r="W11">
        <f>IF(B11=0,0,IF(IF(E11=2,SUMPRODUCT(INDEX('calcA'!$D$60:$EQ$99,B11,0),$DB11:$IO11,$IQ11:$OD11),SUMPRODUCT(INDEX('calcA'!$D$60:$EQ$99,B11,0),$DB11:$IO11))=0,1,0))</f>
        <v/>
      </c>
      <c r="X11">
        <f>MAX(X10,IF($B10=1,1,0))</f>
        <v/>
      </c>
      <c r="Y11">
        <f>MAX(Y10,IF($B10=2,1,0))</f>
        <v/>
      </c>
      <c r="Z11">
        <f>MAX(Z10,IF($B10=3,1,0))</f>
        <v/>
      </c>
      <c r="AA11">
        <f>MAX(AA10,IF($B10=4,1,0))</f>
        <v/>
      </c>
      <c r="AB11">
        <f>MAX(AB10,IF($B10=5,1,0))</f>
        <v/>
      </c>
      <c r="AC11">
        <f>MAX(AC10,IF($B10=6,1,0))</f>
        <v/>
      </c>
      <c r="AD11">
        <f>MAX(AD10,IF($B10=7,1,0))</f>
        <v/>
      </c>
      <c r="AE11">
        <f>MAX(AE10,IF($B10=8,1,0))</f>
        <v/>
      </c>
      <c r="AF11">
        <f>MAX(AF10,IF($B10=9,1,0))</f>
        <v/>
      </c>
      <c r="AG11">
        <f>MAX(AG10,IF($B10=10,1,0))</f>
        <v/>
      </c>
      <c r="AH11">
        <f>MAX(AH10,IF($B10=11,1,0))</f>
        <v/>
      </c>
      <c r="AI11">
        <f>MAX(AI10,IF($B10=12,1,0))</f>
        <v/>
      </c>
      <c r="AJ11">
        <f>MAX(AJ10,IF($B10=13,1,0))</f>
        <v/>
      </c>
      <c r="AK11">
        <f>MAX(AK10,IF($B10=14,1,0))</f>
        <v/>
      </c>
      <c r="AL11">
        <f>MAX(AL10,IF($B10=15,1,0))</f>
        <v/>
      </c>
      <c r="AM11">
        <f>MAX(AM10,IF($B10=16,1,0))</f>
        <v/>
      </c>
      <c r="AN11">
        <f>MAX(AN10,IF($B10=17,1,0))</f>
        <v/>
      </c>
      <c r="AO11">
        <f>MAX(AO10,IF($B10=18,1,0))</f>
        <v/>
      </c>
      <c r="AP11">
        <f>MAX(AP10,IF($B10=19,1,0))</f>
        <v/>
      </c>
      <c r="AQ11">
        <f>MAX(AQ10,IF($B10=20,1,0))</f>
        <v/>
      </c>
      <c r="AR11">
        <f>MAX(AR10,IF($B10=21,1,0))</f>
        <v/>
      </c>
      <c r="AS11">
        <f>MAX(AS10,IF($B10=22,1,0))</f>
        <v/>
      </c>
      <c r="AT11">
        <f>MAX(AT10,IF($B10=23,1,0))</f>
        <v/>
      </c>
      <c r="AU11">
        <f>MAX(AU10,IF($B10=24,1,0))</f>
        <v/>
      </c>
      <c r="AV11">
        <f>MAX(AV10,IF($B10=25,1,0))</f>
        <v/>
      </c>
      <c r="AW11">
        <f>MAX(AW10,IF($B10=26,1,0))</f>
        <v/>
      </c>
      <c r="AX11">
        <f>MAX(AX10,IF($B10=27,1,0))</f>
        <v/>
      </c>
      <c r="AY11">
        <f>MAX(AY10,IF($B10=28,1,0))</f>
        <v/>
      </c>
      <c r="AZ11">
        <f>MAX(AZ10,IF($B10=29,1,0))</f>
        <v/>
      </c>
      <c r="BA11">
        <f>MAX(BA10,IF($B10=30,1,0))</f>
        <v/>
      </c>
      <c r="BB11">
        <f>MAX(BB10,IF($B10=31,1,0))</f>
        <v/>
      </c>
      <c r="BC11">
        <f>MAX(BC10,IF($B10=32,1,0))</f>
        <v/>
      </c>
      <c r="BD11">
        <f>MAX(BD10,IF($B10=33,1,0))</f>
        <v/>
      </c>
      <c r="BE11">
        <f>MAX(BE10,IF($B10=34,1,0))</f>
        <v/>
      </c>
      <c r="BF11">
        <f>MAX(BF10,IF($B10=35,1,0))</f>
        <v/>
      </c>
      <c r="BG11">
        <f>MAX(BG10,IF($B10=36,1,0))</f>
        <v/>
      </c>
      <c r="BH11">
        <f>MAX(BH10,IF($B10=37,1,0))</f>
        <v/>
      </c>
      <c r="BI11">
        <f>MAX(BI10,IF($B10=38,1,0))</f>
        <v/>
      </c>
      <c r="BJ11">
        <f>MAX(BJ10,IF($B10=39,1,0))</f>
        <v/>
      </c>
      <c r="BK11">
        <f>MAX(BK10,IF($B10=40,1,0))</f>
        <v/>
      </c>
      <c r="BM11">
        <f>IF(OR(X11=1,calcA!$A$6=0),1000000000,IF('calcA'!$JF$10=1,0,100000000)+IF('calcA'!$IQ$10=2,SUMPRODUCT('calcA'!$D$60:$EQ$60,$DB11:$IO11,$IQ11:$OD11)*1000+SUMPRODUCT('calcA'!$D$60:$EQ$60,$DB11:$IO11+$ZQ11:$AFD11,$AFF11:$AKS11),SUMPRODUCT('calcA'!$D$60:$EQ$60,$DB11:$IO11*1001+$ZQ11:$AFD11))*100+1)</f>
        <v/>
      </c>
      <c r="BN11">
        <f>IF(OR(Y11=1,calcA!$A$6=0),1000000000,IF('calcA'!$JF$11=1,0,100000000)+IF('calcA'!$IQ$11=2,SUMPRODUCT('calcA'!$D$61:$EQ$61,$DB11:$IO11,$IQ11:$OD11)*1000+SUMPRODUCT('calcA'!$D$61:$EQ$61,$DB11:$IO11+$ZQ11:$AFD11,$AFF11:$AKS11),SUMPRODUCT('calcA'!$D$61:$EQ$61,$DB11:$IO11*1001+$ZQ11:$AFD11))*100+2)</f>
        <v/>
      </c>
      <c r="BO11">
        <f>IF(OR(Z11=1,calcA!$A$6=0),1000000000,IF('calcA'!$JF$12=1,0,100000000)+IF('calcA'!$IQ$12=2,SUMPRODUCT('calcA'!$D$62:$EQ$62,$DB11:$IO11,$IQ11:$OD11)*1000+SUMPRODUCT('calcA'!$D$62:$EQ$62,$DB11:$IO11+$ZQ11:$AFD11,$AFF11:$AKS11),SUMPRODUCT('calcA'!$D$62:$EQ$62,$DB11:$IO11*1001+$ZQ11:$AFD11))*100+3)</f>
        <v/>
      </c>
      <c r="BP11">
        <f>IF(OR(AA11=1,calcA!$A$6=0),1000000000,IF('calcA'!$JF$13=1,0,100000000)+IF('calcA'!$IQ$13=2,SUMPRODUCT('calcA'!$D$63:$EQ$63,$DB11:$IO11,$IQ11:$OD11)*1000+SUMPRODUCT('calcA'!$D$63:$EQ$63,$DB11:$IO11+$ZQ11:$AFD11,$AFF11:$AKS11),SUMPRODUCT('calcA'!$D$63:$EQ$63,$DB11:$IO11*1001+$ZQ11:$AFD11))*100+4)</f>
        <v/>
      </c>
      <c r="BQ11">
        <f>IF(OR(AB11=1,calcA!$A$6=0),1000000000,IF('calcA'!$JF$14=1,0,100000000)+IF('calcA'!$IQ$14=2,SUMPRODUCT('calcA'!$D$64:$EQ$64,$DB11:$IO11,$IQ11:$OD11)*1000+SUMPRODUCT('calcA'!$D$64:$EQ$64,$DB11:$IO11+$ZQ11:$AFD11,$AFF11:$AKS11),SUMPRODUCT('calcA'!$D$64:$EQ$64,$DB11:$IO11*1001+$ZQ11:$AFD11))*100+5)</f>
        <v/>
      </c>
      <c r="BR11">
        <f>IF(OR(AC11=1,calcA!$A$6=0),1000000000,IF('calcA'!$JF$15=1,0,100000000)+IF('calcA'!$IQ$15=2,SUMPRODUCT('calcA'!$D$65:$EQ$65,$DB11:$IO11,$IQ11:$OD11)*1000+SUMPRODUCT('calcA'!$D$65:$EQ$65,$DB11:$IO11+$ZQ11:$AFD11,$AFF11:$AKS11),SUMPRODUCT('calcA'!$D$65:$EQ$65,$DB11:$IO11*1001+$ZQ11:$AFD11))*100+6)</f>
        <v/>
      </c>
      <c r="BS11">
        <f>IF(OR(AD11=1,calcA!$A$6=0),1000000000,IF('calcA'!$JF$16=1,0,100000000)+IF('calcA'!$IQ$16=2,SUMPRODUCT('calcA'!$D$66:$EQ$66,$DB11:$IO11,$IQ11:$OD11)*1000+SUMPRODUCT('calcA'!$D$66:$EQ$66,$DB11:$IO11+$ZQ11:$AFD11,$AFF11:$AKS11),SUMPRODUCT('calcA'!$D$66:$EQ$66,$DB11:$IO11*1001+$ZQ11:$AFD11))*100+7)</f>
        <v/>
      </c>
      <c r="BT11">
        <f>IF(OR(AE11=1,calcA!$A$6=0),1000000000,IF('calcA'!$JF$17=1,0,100000000)+IF('calcA'!$IQ$17=2,SUMPRODUCT('calcA'!$D$67:$EQ$67,$DB11:$IO11,$IQ11:$OD11)*1000+SUMPRODUCT('calcA'!$D$67:$EQ$67,$DB11:$IO11+$ZQ11:$AFD11,$AFF11:$AKS11),SUMPRODUCT('calcA'!$D$67:$EQ$67,$DB11:$IO11*1001+$ZQ11:$AFD11))*100+8)</f>
        <v/>
      </c>
      <c r="BU11">
        <f>IF(OR(AF11=1,calcA!$A$6=0),1000000000,IF('calcA'!$JF$18=1,0,100000000)+IF('calcA'!$IQ$18=2,SUMPRODUCT('calcA'!$D$68:$EQ$68,$DB11:$IO11,$IQ11:$OD11)*1000+SUMPRODUCT('calcA'!$D$68:$EQ$68,$DB11:$IO11+$ZQ11:$AFD11,$AFF11:$AKS11),SUMPRODUCT('calcA'!$D$68:$EQ$68,$DB11:$IO11*1001+$ZQ11:$AFD11))*100+9)</f>
        <v/>
      </c>
      <c r="BV11">
        <f>IF(OR(AG11=1,calcA!$A$6=0),1000000000,IF('calcA'!$JF$19=1,0,100000000)+IF('calcA'!$IQ$19=2,SUMPRODUCT('calcA'!$D$69:$EQ$69,$DB11:$IO11,$IQ11:$OD11)*1000+SUMPRODUCT('calcA'!$D$69:$EQ$69,$DB11:$IO11+$ZQ11:$AFD11,$AFF11:$AKS11),SUMPRODUCT('calcA'!$D$69:$EQ$69,$DB11:$IO11*1001+$ZQ11:$AFD11))*100+10)</f>
        <v/>
      </c>
      <c r="BW11">
        <f>IF(OR(AH11=1,calcA!$A$6=0),1000000000,IF('calcA'!$JF$20=1,0,100000000)+IF('calcA'!$IQ$20=2,SUMPRODUCT('calcA'!$D$70:$EQ$70,$DB11:$IO11,$IQ11:$OD11)*1000+SUMPRODUCT('calcA'!$D$70:$EQ$70,$DB11:$IO11+$ZQ11:$AFD11,$AFF11:$AKS11),SUMPRODUCT('calcA'!$D$70:$EQ$70,$DB11:$IO11*1001+$ZQ11:$AFD11))*100+11)</f>
        <v/>
      </c>
      <c r="BX11">
        <f>IF(OR(AI11=1,calcA!$A$6=0),1000000000,IF('calcA'!$JF$21=1,0,100000000)+IF('calcA'!$IQ$21=2,SUMPRODUCT('calcA'!$D$71:$EQ$71,$DB11:$IO11,$IQ11:$OD11)*1000+SUMPRODUCT('calcA'!$D$71:$EQ$71,$DB11:$IO11+$ZQ11:$AFD11,$AFF11:$AKS11),SUMPRODUCT('calcA'!$D$71:$EQ$71,$DB11:$IO11*1001+$ZQ11:$AFD11))*100+12)</f>
        <v/>
      </c>
      <c r="BY11">
        <f>IF(OR(AJ11=1,calcA!$A$6=0),1000000000,IF('calcA'!$JF$22=1,0,100000000)+IF('calcA'!$IQ$22=2,SUMPRODUCT('calcA'!$D$72:$EQ$72,$DB11:$IO11,$IQ11:$OD11)*1000+SUMPRODUCT('calcA'!$D$72:$EQ$72,$DB11:$IO11+$ZQ11:$AFD11,$AFF11:$AKS11),SUMPRODUCT('calcA'!$D$72:$EQ$72,$DB11:$IO11*1001+$ZQ11:$AFD11))*100+13)</f>
        <v/>
      </c>
      <c r="BZ11">
        <f>IF(OR(AK11=1,calcA!$A$6=0),1000000000,IF('calcA'!$JF$23=1,0,100000000)+IF('calcA'!$IQ$23=2,SUMPRODUCT('calcA'!$D$73:$EQ$73,$DB11:$IO11,$IQ11:$OD11)*1000+SUMPRODUCT('calcA'!$D$73:$EQ$73,$DB11:$IO11+$ZQ11:$AFD11,$AFF11:$AKS11),SUMPRODUCT('calcA'!$D$73:$EQ$73,$DB11:$IO11*1001+$ZQ11:$AFD11))*100+14)</f>
        <v/>
      </c>
      <c r="CA11">
        <f>IF(OR(AL11=1,calcA!$A$6=0),1000000000,IF('calcA'!$JF$24=1,0,100000000)+IF('calcA'!$IQ$24=2,SUMPRODUCT('calcA'!$D$74:$EQ$74,$DB11:$IO11,$IQ11:$OD11)*1000+SUMPRODUCT('calcA'!$D$74:$EQ$74,$DB11:$IO11+$ZQ11:$AFD11,$AFF11:$AKS11),SUMPRODUCT('calcA'!$D$74:$EQ$74,$DB11:$IO11*1001+$ZQ11:$AFD11))*100+15)</f>
        <v/>
      </c>
      <c r="CB11">
        <f>IF(OR(AM11=1,calcA!$A$6=0),1000000000,IF('calcA'!$JF$25=1,0,100000000)+IF('calcA'!$IQ$25=2,SUMPRODUCT('calcA'!$D$75:$EQ$75,$DB11:$IO11,$IQ11:$OD11)*1000+SUMPRODUCT('calcA'!$D$75:$EQ$75,$DB11:$IO11+$ZQ11:$AFD11,$AFF11:$AKS11),SUMPRODUCT('calcA'!$D$75:$EQ$75,$DB11:$IO11*1001+$ZQ11:$AFD11))*100+16)</f>
        <v/>
      </c>
      <c r="CC11">
        <f>IF(OR(AN11=1,calcA!$A$6=0),1000000000,IF('calcA'!$JF$26=1,0,100000000)+IF('calcA'!$IQ$26=2,SUMPRODUCT('calcA'!$D$76:$EQ$76,$DB11:$IO11,$IQ11:$OD11)*1000+SUMPRODUCT('calcA'!$D$76:$EQ$76,$DB11:$IO11+$ZQ11:$AFD11,$AFF11:$AKS11),SUMPRODUCT('calcA'!$D$76:$EQ$76,$DB11:$IO11*1001+$ZQ11:$AFD11))*100+17)</f>
        <v/>
      </c>
      <c r="CD11">
        <f>IF(OR(AO11=1,calcA!$A$6=0),1000000000,IF('calcA'!$JF$27=1,0,100000000)+IF('calcA'!$IQ$27=2,SUMPRODUCT('calcA'!$D$77:$EQ$77,$DB11:$IO11,$IQ11:$OD11)*1000+SUMPRODUCT('calcA'!$D$77:$EQ$77,$DB11:$IO11+$ZQ11:$AFD11,$AFF11:$AKS11),SUMPRODUCT('calcA'!$D$77:$EQ$77,$DB11:$IO11*1001+$ZQ11:$AFD11))*100+18)</f>
        <v/>
      </c>
      <c r="CE11">
        <f>IF(OR(AP11=1,calcA!$A$6=0),1000000000,IF('calcA'!$JF$28=1,0,100000000)+IF('calcA'!$IQ$28=2,SUMPRODUCT('calcA'!$D$78:$EQ$78,$DB11:$IO11,$IQ11:$OD11)*1000+SUMPRODUCT('calcA'!$D$78:$EQ$78,$DB11:$IO11+$ZQ11:$AFD11,$AFF11:$AKS11),SUMPRODUCT('calcA'!$D$78:$EQ$78,$DB11:$IO11*1001+$ZQ11:$AFD11))*100+19)</f>
        <v/>
      </c>
      <c r="CF11">
        <f>IF(OR(AQ11=1,calcA!$A$6=0),1000000000,IF('calcA'!$JF$29=1,0,100000000)+IF('calcA'!$IQ$29=2,SUMPRODUCT('calcA'!$D$79:$EQ$79,$DB11:$IO11,$IQ11:$OD11)*1000+SUMPRODUCT('calcA'!$D$79:$EQ$79,$DB11:$IO11+$ZQ11:$AFD11,$AFF11:$AKS11),SUMPRODUCT('calcA'!$D$79:$EQ$79,$DB11:$IO11*1001+$ZQ11:$AFD11))*100+20)</f>
        <v/>
      </c>
      <c r="CG11">
        <f>IF(OR(AR11=1,calcA!$A$6=0),1000000000,IF('calcA'!$JF$30=1,0,100000000)+IF('calcA'!$IQ$30=2,SUMPRODUCT('calcA'!$D$80:$EQ$80,$DB11:$IO11,$IQ11:$OD11)*1000+SUMPRODUCT('calcA'!$D$80:$EQ$80,$DB11:$IO11+$ZQ11:$AFD11,$AFF11:$AKS11),SUMPRODUCT('calcA'!$D$80:$EQ$80,$DB11:$IO11*1001+$ZQ11:$AFD11))*100+21)</f>
        <v/>
      </c>
      <c r="CH11">
        <f>IF(OR(AS11=1,calcA!$A$6=0),1000000000,IF('calcA'!$JF$31=1,0,100000000)+IF('calcA'!$IQ$31=2,SUMPRODUCT('calcA'!$D$81:$EQ$81,$DB11:$IO11,$IQ11:$OD11)*1000+SUMPRODUCT('calcA'!$D$81:$EQ$81,$DB11:$IO11+$ZQ11:$AFD11,$AFF11:$AKS11),SUMPRODUCT('calcA'!$D$81:$EQ$81,$DB11:$IO11*1001+$ZQ11:$AFD11))*100+22)</f>
        <v/>
      </c>
      <c r="CI11">
        <f>IF(OR(AT11=1,calcA!$A$6=0),1000000000,IF('calcA'!$JF$32=1,0,100000000)+IF('calcA'!$IQ$32=2,SUMPRODUCT('calcA'!$D$82:$EQ$82,$DB11:$IO11,$IQ11:$OD11)*1000+SUMPRODUCT('calcA'!$D$82:$EQ$82,$DB11:$IO11+$ZQ11:$AFD11,$AFF11:$AKS11),SUMPRODUCT('calcA'!$D$82:$EQ$82,$DB11:$IO11*1001+$ZQ11:$AFD11))*100+23)</f>
        <v/>
      </c>
      <c r="CJ11">
        <f>IF(OR(AU11=1,calcA!$A$6=0),1000000000,IF('calcA'!$JF$33=1,0,100000000)+IF('calcA'!$IQ$33=2,SUMPRODUCT('calcA'!$D$83:$EQ$83,$DB11:$IO11,$IQ11:$OD11)*1000+SUMPRODUCT('calcA'!$D$83:$EQ$83,$DB11:$IO11+$ZQ11:$AFD11,$AFF11:$AKS11),SUMPRODUCT('calcA'!$D$83:$EQ$83,$DB11:$IO11*1001+$ZQ11:$AFD11))*100+24)</f>
        <v/>
      </c>
      <c r="CK11">
        <f>IF(OR(AV11=1,calcA!$A$6=0),1000000000,IF('calcA'!$JF$34=1,0,100000000)+IF('calcA'!$IQ$34=2,SUMPRODUCT('calcA'!$D$84:$EQ$84,$DB11:$IO11,$IQ11:$OD11)*1000+SUMPRODUCT('calcA'!$D$84:$EQ$84,$DB11:$IO11+$ZQ11:$AFD11,$AFF11:$AKS11),SUMPRODUCT('calcA'!$D$84:$EQ$84,$DB11:$IO11*1001+$ZQ11:$AFD11))*100+25)</f>
        <v/>
      </c>
      <c r="CL11">
        <f>IF(OR(AW11=1,calcA!$A$6=0),1000000000,IF('calcA'!$JF$35=1,0,100000000)+IF('calcA'!$IQ$35=2,SUMPRODUCT('calcA'!$D$85:$EQ$85,$DB11:$IO11,$IQ11:$OD11)*1000+SUMPRODUCT('calcA'!$D$85:$EQ$85,$DB11:$IO11+$ZQ11:$AFD11,$AFF11:$AKS11),SUMPRODUCT('calcA'!$D$85:$EQ$85,$DB11:$IO11*1001+$ZQ11:$AFD11))*100+26)</f>
        <v/>
      </c>
      <c r="CM11">
        <f>IF(OR(AX11=1,calcA!$A$6=0),1000000000,IF('calcA'!$JF$36=1,0,100000000)+IF('calcA'!$IQ$36=2,SUMPRODUCT('calcA'!$D$86:$EQ$86,$DB11:$IO11,$IQ11:$OD11)*1000+SUMPRODUCT('calcA'!$D$86:$EQ$86,$DB11:$IO11+$ZQ11:$AFD11,$AFF11:$AKS11),SUMPRODUCT('calcA'!$D$86:$EQ$86,$DB11:$IO11*1001+$ZQ11:$AFD11))*100+27)</f>
        <v/>
      </c>
      <c r="CN11">
        <f>IF(OR(AY11=1,calcA!$A$6=0),1000000000,IF('calcA'!$JF$37=1,0,100000000)+IF('calcA'!$IQ$37=2,SUMPRODUCT('calcA'!$D$87:$EQ$87,$DB11:$IO11,$IQ11:$OD11)*1000+SUMPRODUCT('calcA'!$D$87:$EQ$87,$DB11:$IO11+$ZQ11:$AFD11,$AFF11:$AKS11),SUMPRODUCT('calcA'!$D$87:$EQ$87,$DB11:$IO11*1001+$ZQ11:$AFD11))*100+28)</f>
        <v/>
      </c>
      <c r="CO11">
        <f>IF(OR(AZ11=1,calcA!$A$6=0),1000000000,IF('calcA'!$JF$38=1,0,100000000)+IF('calcA'!$IQ$38=2,SUMPRODUCT('calcA'!$D$88:$EQ$88,$DB11:$IO11,$IQ11:$OD11)*1000+SUMPRODUCT('calcA'!$D$88:$EQ$88,$DB11:$IO11+$ZQ11:$AFD11,$AFF11:$AKS11),SUMPRODUCT('calcA'!$D$88:$EQ$88,$DB11:$IO11*1001+$ZQ11:$AFD11))*100+29)</f>
        <v/>
      </c>
      <c r="CP11">
        <f>IF(OR(BA11=1,calcA!$A$6=0),1000000000,IF('calcA'!$JF$39=1,0,100000000)+IF('calcA'!$IQ$39=2,SUMPRODUCT('calcA'!$D$89:$EQ$89,$DB11:$IO11,$IQ11:$OD11)*1000+SUMPRODUCT('calcA'!$D$89:$EQ$89,$DB11:$IO11+$ZQ11:$AFD11,$AFF11:$AKS11),SUMPRODUCT('calcA'!$D$89:$EQ$89,$DB11:$IO11*1001+$ZQ11:$AFD11))*100+30)</f>
        <v/>
      </c>
      <c r="CQ11">
        <f>IF(OR(BB11=1,calcA!$A$6=0),1000000000,IF('calcA'!$JF$40=1,0,100000000)+IF('calcA'!$IQ$40=2,SUMPRODUCT('calcA'!$D$90:$EQ$90,$DB11:$IO11,$IQ11:$OD11)*1000+SUMPRODUCT('calcA'!$D$90:$EQ$90,$DB11:$IO11+$ZQ11:$AFD11,$AFF11:$AKS11),SUMPRODUCT('calcA'!$D$90:$EQ$90,$DB11:$IO11*1001+$ZQ11:$AFD11))*100+31)</f>
        <v/>
      </c>
      <c r="CR11">
        <f>IF(OR(BC11=1,calcA!$A$6=0),1000000000,IF('calcA'!$JF$41=1,0,100000000)+IF('calcA'!$IQ$41=2,SUMPRODUCT('calcA'!$D$91:$EQ$91,$DB11:$IO11,$IQ11:$OD11)*1000+SUMPRODUCT('calcA'!$D$91:$EQ$91,$DB11:$IO11+$ZQ11:$AFD11,$AFF11:$AKS11),SUMPRODUCT('calcA'!$D$91:$EQ$91,$DB11:$IO11*1001+$ZQ11:$AFD11))*100+32)</f>
        <v/>
      </c>
      <c r="CS11">
        <f>IF(OR(BD11=1,calcA!$A$6=0),1000000000,IF('calcA'!$JF$42=1,0,100000000)+IF('calcA'!$IQ$42=2,SUMPRODUCT('calcA'!$D$92:$EQ$92,$DB11:$IO11,$IQ11:$OD11)*1000+SUMPRODUCT('calcA'!$D$92:$EQ$92,$DB11:$IO11+$ZQ11:$AFD11,$AFF11:$AKS11),SUMPRODUCT('calcA'!$D$92:$EQ$92,$DB11:$IO11*1001+$ZQ11:$AFD11))*100+33)</f>
        <v/>
      </c>
      <c r="CT11">
        <f>IF(OR(BE11=1,calcA!$A$6=0),1000000000,IF('calcA'!$JF$43=1,0,100000000)+IF('calcA'!$IQ$43=2,SUMPRODUCT('calcA'!$D$93:$EQ$93,$DB11:$IO11,$IQ11:$OD11)*1000+SUMPRODUCT('calcA'!$D$93:$EQ$93,$DB11:$IO11+$ZQ11:$AFD11,$AFF11:$AKS11),SUMPRODUCT('calcA'!$D$93:$EQ$93,$DB11:$IO11*1001+$ZQ11:$AFD11))*100+34)</f>
        <v/>
      </c>
      <c r="CU11">
        <f>IF(OR(BF11=1,calcA!$A$6=0),1000000000,IF('calcA'!$JF$44=1,0,100000000)+IF('calcA'!$IQ$44=2,SUMPRODUCT('calcA'!$D$94:$EQ$94,$DB11:$IO11,$IQ11:$OD11)*1000+SUMPRODUCT('calcA'!$D$94:$EQ$94,$DB11:$IO11+$ZQ11:$AFD11,$AFF11:$AKS11),SUMPRODUCT('calcA'!$D$94:$EQ$94,$DB11:$IO11*1001+$ZQ11:$AFD11))*100+35)</f>
        <v/>
      </c>
      <c r="CV11">
        <f>IF(OR(BG11=1,calcA!$A$6=0),1000000000,IF('calcA'!$JF$45=1,0,100000000)+IF('calcA'!$IQ$45=2,SUMPRODUCT('calcA'!$D$95:$EQ$95,$DB11:$IO11,$IQ11:$OD11)*1000+SUMPRODUCT('calcA'!$D$95:$EQ$95,$DB11:$IO11+$ZQ11:$AFD11,$AFF11:$AKS11),SUMPRODUCT('calcA'!$D$95:$EQ$95,$DB11:$IO11*1001+$ZQ11:$AFD11))*100+36)</f>
        <v/>
      </c>
      <c r="CW11">
        <f>IF(OR(BH11=1,calcA!$A$6=0),1000000000,IF('calcA'!$JF$46=1,0,100000000)+IF('calcA'!$IQ$46=2,SUMPRODUCT('calcA'!$D$96:$EQ$96,$DB11:$IO11,$IQ11:$OD11)*1000+SUMPRODUCT('calcA'!$D$96:$EQ$96,$DB11:$IO11+$ZQ11:$AFD11,$AFF11:$AKS11),SUMPRODUCT('calcA'!$D$96:$EQ$96,$DB11:$IO11*1001+$ZQ11:$AFD11))*100+37)</f>
        <v/>
      </c>
      <c r="CX11">
        <f>IF(OR(BI11=1,calcA!$A$6=0),1000000000,IF('calcA'!$JF$47=1,0,100000000)+IF('calcA'!$IQ$47=2,SUMPRODUCT('calcA'!$D$97:$EQ$97,$DB11:$IO11,$IQ11:$OD11)*1000+SUMPRODUCT('calcA'!$D$97:$EQ$97,$DB11:$IO11+$ZQ11:$AFD11,$AFF11:$AKS11),SUMPRODUCT('calcA'!$D$97:$EQ$97,$DB11:$IO11*1001+$ZQ11:$AFD11))*100+38)</f>
        <v/>
      </c>
      <c r="CY11">
        <f>IF(OR(BJ11=1,calcA!$A$6=0),1000000000,IF('calcA'!$JF$48=1,0,100000000)+IF('calcA'!$IQ$48=2,SUMPRODUCT('calcA'!$D$98:$EQ$98,$DB11:$IO11,$IQ11:$OD11)*1000+SUMPRODUCT('calcA'!$D$98:$EQ$98,$DB11:$IO11+$ZQ11:$AFD11,$AFF11:$AKS11),SUMPRODUCT('calcA'!$D$98:$EQ$98,$DB11:$IO11*1001+$ZQ11:$AFD11))*100+39)</f>
        <v/>
      </c>
      <c r="CZ11">
        <f>IF(OR(BK11=1,calcA!$A$6=0),1000000000,IF('calcA'!$JF$49=1,0,100000000)+IF('calcA'!$IQ$49=2,SUMPRODUCT('calcA'!$D$99:$EQ$99,$DB11:$IO11,$IQ11:$OD11)*1000+SUMPRODUCT('calcA'!$D$99:$EQ$99,$DB11:$IO11+$ZQ11:$AFD11,$AFF11:$AKS11),SUMPRODUCT('calcA'!$D$99:$EQ$99,$DB11:$IO11*1001+$ZQ11:$AFD11))*100+40)</f>
        <v/>
      </c>
      <c r="DB11">
        <f>DB10*IF(OR($C10=1,$G10=1),0,1)</f>
        <v/>
      </c>
      <c r="DC11">
        <f>DC10*IF(OR($C10=2,$G10=2),0,1)</f>
        <v/>
      </c>
      <c r="DD11">
        <f>DD10*IF(OR($C10=3,$G10=3),0,1)</f>
        <v/>
      </c>
      <c r="DE11">
        <f>DE10*IF(OR($C10=4,$G10=4),0,1)</f>
        <v/>
      </c>
      <c r="DF11">
        <f>DF10*IF(OR($C10=5,$G10=5),0,1)</f>
        <v/>
      </c>
      <c r="DG11">
        <f>DG10*IF(OR($C10=6,$G10=6),0,1)</f>
        <v/>
      </c>
      <c r="DH11">
        <f>DH10*IF(OR($C10=7,$G10=7),0,1)</f>
        <v/>
      </c>
      <c r="DI11">
        <f>DI10*IF(OR($C10=8,$G10=8),0,1)</f>
        <v/>
      </c>
      <c r="DJ11">
        <f>DJ10*IF(OR($C10=9,$G10=9),0,1)</f>
        <v/>
      </c>
      <c r="DK11">
        <f>DK10*IF(OR($C10=10,$G10=10),0,1)</f>
        <v/>
      </c>
      <c r="DL11">
        <f>DL10*IF(OR($C10=11,$G10=11),0,1)</f>
        <v/>
      </c>
      <c r="DM11">
        <f>DM10*IF(OR($C10=12,$G10=12),0,1)</f>
        <v/>
      </c>
      <c r="DN11">
        <f>DN10*IF(OR($C10=13,$G10=13),0,1)</f>
        <v/>
      </c>
      <c r="DO11">
        <f>DO10*IF(OR($C10=14,$G10=14),0,1)</f>
        <v/>
      </c>
      <c r="DP11">
        <f>DP10*IF(OR($C10=15,$G10=15),0,1)</f>
        <v/>
      </c>
      <c r="DQ11">
        <f>DQ10*IF(OR($C10=16,$G10=16),0,1)</f>
        <v/>
      </c>
      <c r="DR11">
        <f>DR10*IF(OR($C10=17,$G10=17),0,1)</f>
        <v/>
      </c>
      <c r="DS11">
        <f>DS10*IF(OR($C10=18,$G10=18),0,1)</f>
        <v/>
      </c>
      <c r="DT11">
        <f>DT10*IF(OR($C10=19,$G10=19),0,1)</f>
        <v/>
      </c>
      <c r="DU11">
        <f>DU10*IF(OR($C10=20,$G10=20),0,1)</f>
        <v/>
      </c>
      <c r="DV11">
        <f>DV10*IF(OR($C10=21,$G10=21),0,1)</f>
        <v/>
      </c>
      <c r="DW11">
        <f>DW10*IF(OR($C10=22,$G10=22),0,1)</f>
        <v/>
      </c>
      <c r="DX11">
        <f>DX10*IF(OR($C10=23,$G10=23),0,1)</f>
        <v/>
      </c>
      <c r="DY11">
        <f>DY10*IF(OR($C10=24,$G10=24),0,1)</f>
        <v/>
      </c>
      <c r="DZ11">
        <f>DZ10*IF(OR($C10=25,$G10=25),0,1)</f>
        <v/>
      </c>
      <c r="EA11">
        <f>EA10*IF(OR($C10=26,$G10=26),0,1)</f>
        <v/>
      </c>
      <c r="EB11">
        <f>EB10*IF(OR($C10=27,$G10=27),0,1)</f>
        <v/>
      </c>
      <c r="EC11">
        <f>EC10*IF(OR($C10=28,$G10=28),0,1)</f>
        <v/>
      </c>
      <c r="ED11">
        <f>ED10*IF(OR($C10=29,$G10=29),0,1)</f>
        <v/>
      </c>
      <c r="EE11">
        <f>EE10*IF(OR($C10=30,$G10=30),0,1)</f>
        <v/>
      </c>
      <c r="EF11">
        <f>EF10*IF(OR($C10=31,$G10=31),0,1)</f>
        <v/>
      </c>
      <c r="EG11">
        <f>EG10*IF(OR($C10=32,$G10=32),0,1)</f>
        <v/>
      </c>
      <c r="EH11">
        <f>EH10*IF(OR($C10=33,$G10=33),0,1)</f>
        <v/>
      </c>
      <c r="EI11">
        <f>EI10*IF(OR($C10=34,$G10=34),0,1)</f>
        <v/>
      </c>
      <c r="EJ11">
        <f>EJ10*IF(OR($C10=35,$G10=35),0,1)</f>
        <v/>
      </c>
      <c r="EK11">
        <f>EK10*IF(OR($C10=36,$G10=36),0,1)</f>
        <v/>
      </c>
      <c r="EL11">
        <f>EL10*IF(OR($C10=37,$G10=37),0,1)</f>
        <v/>
      </c>
      <c r="EM11">
        <f>EM10*IF(OR($C10=38,$G10=38),0,1)</f>
        <v/>
      </c>
      <c r="EN11">
        <f>EN10*IF(OR($C10=39,$G10=39),0,1)</f>
        <v/>
      </c>
      <c r="EO11">
        <f>EO10*IF(OR($C10=40,$G10=40),0,1)</f>
        <v/>
      </c>
      <c r="EP11">
        <f>EP10*IF(OR($C10=41,$G10=41),0,1)</f>
        <v/>
      </c>
      <c r="EQ11">
        <f>EQ10*IF(OR($C10=42,$G10=42),0,1)</f>
        <v/>
      </c>
      <c r="ER11">
        <f>ER10*IF(OR($C10=43,$G10=43),0,1)</f>
        <v/>
      </c>
      <c r="ES11">
        <f>ES10*IF(OR($C10=44,$G10=44),0,1)</f>
        <v/>
      </c>
      <c r="ET11">
        <f>ET10*IF(OR($C10=45,$G10=45),0,1)</f>
        <v/>
      </c>
      <c r="EU11">
        <f>EU10*IF(OR($C10=46,$G10=46),0,1)</f>
        <v/>
      </c>
      <c r="EV11">
        <f>EV10*IF(OR($C10=47,$G10=47),0,1)</f>
        <v/>
      </c>
      <c r="EW11">
        <f>EW10*IF(OR($C10=48,$G10=48),0,1)</f>
        <v/>
      </c>
      <c r="EX11">
        <f>EX10*IF(OR($C10=49,$G10=49),0,1)</f>
        <v/>
      </c>
      <c r="EY11">
        <f>EY10*IF(OR($C10=50,$G10=50),0,1)</f>
        <v/>
      </c>
      <c r="EZ11">
        <f>EZ10*IF(OR($C10=51,$G10=51),0,1)</f>
        <v/>
      </c>
      <c r="FA11">
        <f>FA10*IF(OR($C10=52,$G10=52),0,1)</f>
        <v/>
      </c>
      <c r="FB11">
        <f>FB10*IF(OR($C10=53,$G10=53),0,1)</f>
        <v/>
      </c>
      <c r="FC11">
        <f>FC10*IF(OR($C10=54,$G10=54),0,1)</f>
        <v/>
      </c>
      <c r="FD11">
        <f>FD10*IF(OR($C10=55,$G10=55),0,1)</f>
        <v/>
      </c>
      <c r="FE11">
        <f>FE10*IF(OR($C10=56,$G10=56),0,1)</f>
        <v/>
      </c>
      <c r="FF11">
        <f>FF10*IF(OR($C10=57,$G10=57),0,1)</f>
        <v/>
      </c>
      <c r="FG11">
        <f>FG10*IF(OR($C10=58,$G10=58),0,1)</f>
        <v/>
      </c>
      <c r="FH11">
        <f>FH10*IF(OR($C10=59,$G10=59),0,1)</f>
        <v/>
      </c>
      <c r="FI11">
        <f>FI10*IF(OR($C10=60,$G10=60),0,1)</f>
        <v/>
      </c>
      <c r="FJ11">
        <f>FJ10*IF(OR($C10=61,$G10=61),0,1)</f>
        <v/>
      </c>
      <c r="FK11">
        <f>FK10*IF(OR($C10=62,$G10=62),0,1)</f>
        <v/>
      </c>
      <c r="FL11">
        <f>FL10*IF(OR($C10=63,$G10=63),0,1)</f>
        <v/>
      </c>
      <c r="FM11">
        <f>FM10*IF(OR($C10=64,$G10=64),0,1)</f>
        <v/>
      </c>
      <c r="FN11">
        <f>FN10*IF(OR($C10=65,$G10=65),0,1)</f>
        <v/>
      </c>
      <c r="FO11">
        <f>FO10*IF(OR($C10=66,$G10=66),0,1)</f>
        <v/>
      </c>
      <c r="FP11">
        <f>FP10*IF(OR($C10=67,$G10=67),0,1)</f>
        <v/>
      </c>
      <c r="FQ11">
        <f>FQ10*IF(OR($C10=68,$G10=68),0,1)</f>
        <v/>
      </c>
      <c r="FR11">
        <f>FR10*IF(OR($C10=69,$G10=69),0,1)</f>
        <v/>
      </c>
      <c r="FS11">
        <f>FS10*IF(OR($C10=70,$G10=70),0,1)</f>
        <v/>
      </c>
      <c r="FT11">
        <f>FT10*IF(OR($C10=71,$G10=71),0,1)</f>
        <v/>
      </c>
      <c r="FU11">
        <f>FU10*IF(OR($C10=72,$G10=72),0,1)</f>
        <v/>
      </c>
      <c r="FV11">
        <f>FV10*IF(OR($C10=73,$G10=73),0,1)</f>
        <v/>
      </c>
      <c r="FW11">
        <f>FW10*IF(OR($C10=74,$G10=74),0,1)</f>
        <v/>
      </c>
      <c r="FX11">
        <f>FX10*IF(OR($C10=75,$G10=75),0,1)</f>
        <v/>
      </c>
      <c r="FY11">
        <f>FY10*IF(OR($C10=76,$G10=76),0,1)</f>
        <v/>
      </c>
      <c r="FZ11">
        <f>FZ10*IF(OR($C10=77,$G10=77),0,1)</f>
        <v/>
      </c>
      <c r="GA11">
        <f>GA10*IF(OR($C10=78,$G10=78),0,1)</f>
        <v/>
      </c>
      <c r="GB11">
        <f>GB10*IF(OR($C10=79,$G10=79),0,1)</f>
        <v/>
      </c>
      <c r="GC11">
        <f>GC10*IF(OR($C10=80,$G10=80),0,1)</f>
        <v/>
      </c>
      <c r="GD11">
        <f>GD10*IF(OR($C10=81,$G10=81),0,1)</f>
        <v/>
      </c>
      <c r="GE11">
        <f>GE10*IF(OR($C10=82,$G10=82),0,1)</f>
        <v/>
      </c>
      <c r="GF11">
        <f>GF10*IF(OR($C10=83,$G10=83),0,1)</f>
        <v/>
      </c>
      <c r="GG11">
        <f>GG10*IF(OR($C10=84,$G10=84),0,1)</f>
        <v/>
      </c>
      <c r="GH11">
        <f>GH10*IF(OR($C10=85,$G10=85),0,1)</f>
        <v/>
      </c>
      <c r="GI11">
        <f>GI10*IF(OR($C10=86,$G10=86),0,1)</f>
        <v/>
      </c>
      <c r="GJ11">
        <f>GJ10*IF(OR($C10=87,$G10=87),0,1)</f>
        <v/>
      </c>
      <c r="GK11">
        <f>GK10*IF(OR($C10=88,$G10=88),0,1)</f>
        <v/>
      </c>
      <c r="GL11">
        <f>GL10*IF(OR($C10=89,$G10=89),0,1)</f>
        <v/>
      </c>
      <c r="GM11">
        <f>GM10*IF(OR($C10=90,$G10=90),0,1)</f>
        <v/>
      </c>
      <c r="GN11">
        <f>GN10*IF(OR($C10=91,$G10=91),0,1)</f>
        <v/>
      </c>
      <c r="GO11">
        <f>GO10*IF(OR($C10=92,$G10=92),0,1)</f>
        <v/>
      </c>
      <c r="GP11">
        <f>GP10*IF(OR($C10=93,$G10=93),0,1)</f>
        <v/>
      </c>
      <c r="GQ11">
        <f>GQ10*IF(OR($C10=94,$G10=94),0,1)</f>
        <v/>
      </c>
      <c r="GR11">
        <f>GR10*IF(OR($C10=95,$G10=95),0,1)</f>
        <v/>
      </c>
      <c r="GS11">
        <f>GS10*IF(OR($C10=96,$G10=96),0,1)</f>
        <v/>
      </c>
      <c r="GT11">
        <f>GT10*IF(OR($C10=97,$G10=97),0,1)</f>
        <v/>
      </c>
      <c r="GU11">
        <f>GU10*IF(OR($C10=98,$G10=98),0,1)</f>
        <v/>
      </c>
      <c r="GV11">
        <f>GV10*IF(OR($C10=99,$G10=99),0,1)</f>
        <v/>
      </c>
      <c r="GW11">
        <f>GW10*IF(OR($C10=100,$G10=100),0,1)</f>
        <v/>
      </c>
      <c r="GX11">
        <f>GX10*IF(OR($C10=101,$G10=101),0,1)</f>
        <v/>
      </c>
      <c r="GY11">
        <f>GY10*IF(OR($C10=102,$G10=102),0,1)</f>
        <v/>
      </c>
      <c r="GZ11">
        <f>GZ10*IF(OR($C10=103,$G10=103),0,1)</f>
        <v/>
      </c>
      <c r="HA11">
        <f>HA10*IF(OR($C10=104,$G10=104),0,1)</f>
        <v/>
      </c>
      <c r="HB11">
        <f>HB10*IF(OR($C10=105,$G10=105),0,1)</f>
        <v/>
      </c>
      <c r="HC11">
        <f>HC10*IF(OR($C10=106,$G10=106),0,1)</f>
        <v/>
      </c>
      <c r="HD11">
        <f>HD10*IF(OR($C10=107,$G10=107),0,1)</f>
        <v/>
      </c>
      <c r="HE11">
        <f>HE10*IF(OR($C10=108,$G10=108),0,1)</f>
        <v/>
      </c>
      <c r="HF11">
        <f>HF10*IF(OR($C10=109,$G10=109),0,1)</f>
        <v/>
      </c>
      <c r="HG11">
        <f>HG10*IF(OR($C10=110,$G10=110),0,1)</f>
        <v/>
      </c>
      <c r="HH11">
        <f>HH10*IF(OR($C10=111,$G10=111),0,1)</f>
        <v/>
      </c>
      <c r="HI11">
        <f>HI10*IF(OR($C10=112,$G10=112),0,1)</f>
        <v/>
      </c>
      <c r="HJ11">
        <f>HJ10*IF(OR($C10=113,$G10=113),0,1)</f>
        <v/>
      </c>
      <c r="HK11">
        <f>HK10*IF(OR($C10=114,$G10=114),0,1)</f>
        <v/>
      </c>
      <c r="HL11">
        <f>HL10*IF(OR($C10=115,$G10=115),0,1)</f>
        <v/>
      </c>
      <c r="HM11">
        <f>HM10*IF(OR($C10=116,$G10=116),0,1)</f>
        <v/>
      </c>
      <c r="HN11">
        <f>HN10*IF(OR($C10=117,$G10=117),0,1)</f>
        <v/>
      </c>
      <c r="HO11">
        <f>HO10*IF(OR($C10=118,$G10=118),0,1)</f>
        <v/>
      </c>
      <c r="HP11">
        <f>HP10*IF(OR($C10=119,$G10=119),0,1)</f>
        <v/>
      </c>
      <c r="HQ11">
        <f>HQ10*IF(OR($C10=120,$G10=120),0,1)</f>
        <v/>
      </c>
      <c r="HR11">
        <f>HR10*IF(OR($C10=121,$G10=121),0,1)</f>
        <v/>
      </c>
      <c r="HS11">
        <f>HS10*IF(OR($C10=122,$G10=122),0,1)</f>
        <v/>
      </c>
      <c r="HT11">
        <f>HT10*IF(OR($C10=123,$G10=123),0,1)</f>
        <v/>
      </c>
      <c r="HU11">
        <f>HU10*IF(OR($C10=124,$G10=124),0,1)</f>
        <v/>
      </c>
      <c r="HV11">
        <f>HV10*IF(OR($C10=125,$G10=125),0,1)</f>
        <v/>
      </c>
      <c r="HW11">
        <f>HW10*IF(OR($C10=126,$G10=126),0,1)</f>
        <v/>
      </c>
      <c r="HX11">
        <f>HX10*IF(OR($C10=127,$G10=127),0,1)</f>
        <v/>
      </c>
      <c r="HY11">
        <f>HY10*IF(OR($C10=128,$G10=128),0,1)</f>
        <v/>
      </c>
      <c r="HZ11">
        <f>HZ10*IF(OR($C10=129,$G10=129),0,1)</f>
        <v/>
      </c>
      <c r="IA11">
        <f>IA10*IF(OR($C10=130,$G10=130),0,1)</f>
        <v/>
      </c>
      <c r="IB11">
        <f>IB10*IF(OR($C10=131,$G10=131),0,1)</f>
        <v/>
      </c>
      <c r="IC11">
        <f>IC10*IF(OR($C10=132,$G10=132),0,1)</f>
        <v/>
      </c>
      <c r="ID11">
        <f>ID10*IF(OR($C10=133,$G10=133),0,1)</f>
        <v/>
      </c>
      <c r="IE11">
        <f>IE10*IF(OR($C10=134,$G10=134),0,1)</f>
        <v/>
      </c>
      <c r="IF11">
        <f>IF10*IF(OR($C10=135,$G10=135),0,1)</f>
        <v/>
      </c>
      <c r="IG11">
        <f>IG10*IF(OR($C10=136,$G10=136),0,1)</f>
        <v/>
      </c>
      <c r="IH11">
        <f>IH10*IF(OR($C10=137,$G10=137),0,1)</f>
        <v/>
      </c>
      <c r="II11">
        <f>II10*IF(OR($C10=138,$G10=138),0,1)</f>
        <v/>
      </c>
      <c r="IJ11">
        <f>IJ10*IF(OR($C10=139,$G10=139),0,1)</f>
        <v/>
      </c>
      <c r="IK11">
        <f>IK10*IF(OR($C10=140,$G10=140),0,1)</f>
        <v/>
      </c>
      <c r="IL11">
        <f>IL10*IF(OR($C10=141,$G10=141),0,1)</f>
        <v/>
      </c>
      <c r="IM11">
        <f>IM10*IF(OR($C10=142,$G10=142),0,1)</f>
        <v/>
      </c>
      <c r="IN11">
        <f>IN10*IF(OR($C10=143,$G10=143),0,1)</f>
        <v/>
      </c>
      <c r="IO11">
        <f>IO10*IF(OR($C10=144,$G10=144),0,1)</f>
        <v/>
      </c>
      <c r="IQ11">
        <f>IF('calcA'!D$106=1,DC11,1)</f>
        <v/>
      </c>
      <c r="IR11">
        <f>IF('calcA'!E$106=1,DD11,1)</f>
        <v/>
      </c>
      <c r="IS11">
        <f>IF('calcA'!F$106=1,DE11,1)</f>
        <v/>
      </c>
      <c r="IT11">
        <f>IF('calcA'!G$106=1,DF11,1)</f>
        <v/>
      </c>
      <c r="IU11">
        <f>IF('calcA'!H$106=1,DG11,1)</f>
        <v/>
      </c>
      <c r="IV11">
        <f>IF('calcA'!I$106=1,DH11,1)</f>
        <v/>
      </c>
      <c r="IW11">
        <f>IF('calcA'!J$106=1,DI11,1)</f>
        <v/>
      </c>
      <c r="IX11">
        <f>IF('calcA'!K$106=1,DJ11,1)</f>
        <v/>
      </c>
      <c r="IY11">
        <f>IF('calcA'!L$106=1,DK11,1)</f>
        <v/>
      </c>
      <c r="IZ11">
        <f>IF('calcA'!M$106=1,DL11,1)</f>
        <v/>
      </c>
      <c r="JA11">
        <f>IF('calcA'!N$106=1,DM11,1)</f>
        <v/>
      </c>
      <c r="JB11">
        <f>IF('calcA'!O$106=1,DN11,1)</f>
        <v/>
      </c>
      <c r="JC11">
        <f>IF('calcA'!P$106=1,DO11,1)</f>
        <v/>
      </c>
      <c r="JD11">
        <f>IF('calcA'!Q$106=1,DP11,1)</f>
        <v/>
      </c>
      <c r="JE11">
        <f>IF('calcA'!R$106=1,DQ11,1)</f>
        <v/>
      </c>
      <c r="JF11">
        <f>IF('calcA'!S$106=1,DR11,1)</f>
        <v/>
      </c>
      <c r="JG11">
        <f>IF('calcA'!T$106=1,DS11,1)</f>
        <v/>
      </c>
      <c r="JH11">
        <f>IF('calcA'!U$106=1,DT11,1)</f>
        <v/>
      </c>
      <c r="JI11">
        <f>IF('calcA'!V$106=1,DU11,1)</f>
        <v/>
      </c>
      <c r="JJ11">
        <f>IF('calcA'!W$106=1,DV11,1)</f>
        <v/>
      </c>
      <c r="JK11">
        <f>IF('calcA'!X$106=1,DW11,1)</f>
        <v/>
      </c>
      <c r="JL11">
        <f>IF('calcA'!Y$106=1,DX11,1)</f>
        <v/>
      </c>
      <c r="JM11">
        <f>IF('calcA'!Z$106=1,DY11,1)</f>
        <v/>
      </c>
      <c r="JN11">
        <f>IF('calcA'!AA$106=1,DZ11,1)</f>
        <v/>
      </c>
      <c r="JO11">
        <f>IF('calcA'!AB$106=1,EA11,1)</f>
        <v/>
      </c>
      <c r="JP11">
        <f>IF('calcA'!AC$106=1,EB11,1)</f>
        <v/>
      </c>
      <c r="JQ11">
        <f>IF('calcA'!AD$106=1,EC11,1)</f>
        <v/>
      </c>
      <c r="JR11">
        <f>IF('calcA'!AE$106=1,ED11,1)</f>
        <v/>
      </c>
      <c r="JS11">
        <f>IF('calcA'!AF$106=1,EE11,1)</f>
        <v/>
      </c>
      <c r="JT11">
        <f>IF('calcA'!AG$106=1,EF11,1)</f>
        <v/>
      </c>
      <c r="JU11">
        <f>IF('calcA'!AH$106=1,EG11,1)</f>
        <v/>
      </c>
      <c r="JV11">
        <f>IF('calcA'!AI$106=1,EH11,1)</f>
        <v/>
      </c>
      <c r="JW11">
        <f>IF('calcA'!AJ$106=1,EI11,1)</f>
        <v/>
      </c>
      <c r="JX11">
        <f>IF('calcA'!AK$106=1,EJ11,1)</f>
        <v/>
      </c>
      <c r="JY11">
        <f>IF('calcA'!AL$106=1,EK11,1)</f>
        <v/>
      </c>
      <c r="JZ11">
        <f>IF('calcA'!AM$106=1,EL11,1)</f>
        <v/>
      </c>
      <c r="KA11">
        <f>IF('calcA'!AN$106=1,EM11,1)</f>
        <v/>
      </c>
      <c r="KB11">
        <f>IF('calcA'!AO$106=1,EN11,1)</f>
        <v/>
      </c>
      <c r="KC11">
        <f>IF('calcA'!AP$106=1,EO11,1)</f>
        <v/>
      </c>
      <c r="KD11">
        <f>IF('calcA'!AQ$106=1,EP11,1)</f>
        <v/>
      </c>
      <c r="KE11">
        <f>IF('calcA'!AR$106=1,EQ11,1)</f>
        <v/>
      </c>
      <c r="KF11">
        <f>IF('calcA'!AS$106=1,ER11,1)</f>
        <v/>
      </c>
      <c r="KG11">
        <f>IF('calcA'!AT$106=1,ES11,1)</f>
        <v/>
      </c>
      <c r="KH11">
        <f>IF('calcA'!AU$106=1,ET11,1)</f>
        <v/>
      </c>
      <c r="KI11">
        <f>IF('calcA'!AV$106=1,EU11,1)</f>
        <v/>
      </c>
      <c r="KJ11">
        <f>IF('calcA'!AW$106=1,EV11,1)</f>
        <v/>
      </c>
      <c r="KK11">
        <f>IF('calcA'!AX$106=1,EW11,1)</f>
        <v/>
      </c>
      <c r="KL11">
        <f>IF('calcA'!AY$106=1,EX11,1)</f>
        <v/>
      </c>
      <c r="KM11">
        <f>IF('calcA'!AZ$106=1,EY11,1)</f>
        <v/>
      </c>
      <c r="KN11">
        <f>IF('calcA'!BA$106=1,EZ11,1)</f>
        <v/>
      </c>
      <c r="KO11">
        <f>IF('calcA'!BB$106=1,FA11,1)</f>
        <v/>
      </c>
      <c r="KP11">
        <f>IF('calcA'!BC$106=1,FB11,1)</f>
        <v/>
      </c>
      <c r="KQ11">
        <f>IF('calcA'!BD$106=1,FC11,1)</f>
        <v/>
      </c>
      <c r="KR11">
        <f>IF('calcA'!BE$106=1,FD11,1)</f>
        <v/>
      </c>
      <c r="KS11">
        <f>IF('calcA'!BF$106=1,FE11,1)</f>
        <v/>
      </c>
      <c r="KT11">
        <f>IF('calcA'!BG$106=1,FF11,1)</f>
        <v/>
      </c>
      <c r="KU11">
        <f>IF('calcA'!BH$106=1,FG11,1)</f>
        <v/>
      </c>
      <c r="KV11">
        <f>IF('calcA'!BI$106=1,FH11,1)</f>
        <v/>
      </c>
      <c r="KW11">
        <f>IF('calcA'!BJ$106=1,FI11,1)</f>
        <v/>
      </c>
      <c r="KX11">
        <f>IF('calcA'!BK$106=1,FJ11,1)</f>
        <v/>
      </c>
      <c r="KY11">
        <f>IF('calcA'!BL$106=1,FK11,1)</f>
        <v/>
      </c>
      <c r="KZ11">
        <f>IF('calcA'!BM$106=1,FL11,1)</f>
        <v/>
      </c>
      <c r="LA11">
        <f>IF('calcA'!BN$106=1,FM11,1)</f>
        <v/>
      </c>
      <c r="LB11">
        <f>IF('calcA'!BO$106=1,FN11,1)</f>
        <v/>
      </c>
      <c r="LC11">
        <f>IF('calcA'!BP$106=1,FO11,1)</f>
        <v/>
      </c>
      <c r="LD11">
        <f>IF('calcA'!BQ$106=1,FP11,1)</f>
        <v/>
      </c>
      <c r="LE11">
        <f>IF('calcA'!BR$106=1,FQ11,1)</f>
        <v/>
      </c>
      <c r="LF11">
        <f>IF('calcA'!BS$106=1,FR11,1)</f>
        <v/>
      </c>
      <c r="LG11">
        <f>IF('calcA'!BT$106=1,FS11,1)</f>
        <v/>
      </c>
      <c r="LH11">
        <f>IF('calcA'!BU$106=1,FT11,1)</f>
        <v/>
      </c>
      <c r="LI11">
        <f>IF('calcA'!BV$106=1,FU11,1)</f>
        <v/>
      </c>
      <c r="LJ11">
        <f>IF('calcA'!BW$106=1,FV11,1)</f>
        <v/>
      </c>
      <c r="LK11">
        <f>IF('calcA'!BX$106=1,FW11,1)</f>
        <v/>
      </c>
      <c r="LL11">
        <f>IF('calcA'!BY$106=1,FX11,1)</f>
        <v/>
      </c>
      <c r="LM11">
        <f>IF('calcA'!BZ$106=1,FY11,1)</f>
        <v/>
      </c>
      <c r="LN11">
        <f>IF('calcA'!CA$106=1,FZ11,1)</f>
        <v/>
      </c>
      <c r="LO11">
        <f>IF('calcA'!CB$106=1,GA11,1)</f>
        <v/>
      </c>
      <c r="LP11">
        <f>IF('calcA'!CC$106=1,GB11,1)</f>
        <v/>
      </c>
      <c r="LQ11">
        <f>IF('calcA'!CD$106=1,GC11,1)</f>
        <v/>
      </c>
      <c r="LR11">
        <f>IF('calcA'!CE$106=1,GD11,1)</f>
        <v/>
      </c>
      <c r="LS11">
        <f>IF('calcA'!CF$106=1,GE11,1)</f>
        <v/>
      </c>
      <c r="LT11">
        <f>IF('calcA'!CG$106=1,GF11,1)</f>
        <v/>
      </c>
      <c r="LU11">
        <f>IF('calcA'!CH$106=1,GG11,1)</f>
        <v/>
      </c>
      <c r="LV11">
        <f>IF('calcA'!CI$106=1,GH11,1)</f>
        <v/>
      </c>
      <c r="LW11">
        <f>IF('calcA'!CJ$106=1,GI11,1)</f>
        <v/>
      </c>
      <c r="LX11">
        <f>IF('calcA'!CK$106=1,GJ11,1)</f>
        <v/>
      </c>
      <c r="LY11">
        <f>IF('calcA'!CL$106=1,GK11,1)</f>
        <v/>
      </c>
      <c r="LZ11">
        <f>IF('calcA'!CM$106=1,GL11,1)</f>
        <v/>
      </c>
      <c r="MA11">
        <f>IF('calcA'!CN$106=1,GM11,1)</f>
        <v/>
      </c>
      <c r="MB11">
        <f>IF('calcA'!CO$106=1,GN11,1)</f>
        <v/>
      </c>
      <c r="MC11">
        <f>IF('calcA'!CP$106=1,GO11,1)</f>
        <v/>
      </c>
      <c r="MD11">
        <f>IF('calcA'!CQ$106=1,GP11,1)</f>
        <v/>
      </c>
      <c r="ME11">
        <f>IF('calcA'!CR$106=1,GQ11,1)</f>
        <v/>
      </c>
      <c r="MF11">
        <f>IF('calcA'!CS$106=1,GR11,1)</f>
        <v/>
      </c>
      <c r="MG11">
        <f>IF('calcA'!CT$106=1,GS11,1)</f>
        <v/>
      </c>
      <c r="MH11">
        <f>IF('calcA'!CU$106=1,GT11,1)</f>
        <v/>
      </c>
      <c r="MI11">
        <f>IF('calcA'!CV$106=1,GU11,1)</f>
        <v/>
      </c>
      <c r="MJ11">
        <f>IF('calcA'!CW$106=1,GV11,1)</f>
        <v/>
      </c>
      <c r="MK11">
        <f>IF('calcA'!CX$106=1,GW11,1)</f>
        <v/>
      </c>
      <c r="ML11">
        <f>IF('calcA'!CY$106=1,GX11,1)</f>
        <v/>
      </c>
      <c r="MM11">
        <f>IF('calcA'!CZ$106=1,GY11,1)</f>
        <v/>
      </c>
      <c r="MN11">
        <f>IF('calcA'!DA$106=1,GZ11,1)</f>
        <v/>
      </c>
      <c r="MO11">
        <f>IF('calcA'!DB$106=1,HA11,1)</f>
        <v/>
      </c>
      <c r="MP11">
        <f>IF('calcA'!DC$106=1,HB11,1)</f>
        <v/>
      </c>
      <c r="MQ11">
        <f>IF('calcA'!DD$106=1,HC11,1)</f>
        <v/>
      </c>
      <c r="MR11">
        <f>IF('calcA'!DE$106=1,HD11,1)</f>
        <v/>
      </c>
      <c r="MS11">
        <f>IF('calcA'!DF$106=1,HE11,1)</f>
        <v/>
      </c>
      <c r="MT11">
        <f>IF('calcA'!DG$106=1,HF11,1)</f>
        <v/>
      </c>
      <c r="MU11">
        <f>IF('calcA'!DH$106=1,HG11,1)</f>
        <v/>
      </c>
      <c r="MV11">
        <f>IF('calcA'!DI$106=1,HH11,1)</f>
        <v/>
      </c>
      <c r="MW11">
        <f>IF('calcA'!DJ$106=1,HI11,1)</f>
        <v/>
      </c>
      <c r="MX11">
        <f>IF('calcA'!DK$106=1,HJ11,1)</f>
        <v/>
      </c>
      <c r="MY11">
        <f>IF('calcA'!DL$106=1,HK11,1)</f>
        <v/>
      </c>
      <c r="MZ11">
        <f>IF('calcA'!DM$106=1,HL11,1)</f>
        <v/>
      </c>
      <c r="NA11">
        <f>IF('calcA'!DN$106=1,HM11,1)</f>
        <v/>
      </c>
      <c r="NB11">
        <f>IF('calcA'!DO$106=1,HN11,1)</f>
        <v/>
      </c>
      <c r="NC11">
        <f>IF('calcA'!DP$106=1,HO11,1)</f>
        <v/>
      </c>
      <c r="ND11">
        <f>IF('calcA'!DQ$106=1,HP11,1)</f>
        <v/>
      </c>
      <c r="NE11">
        <f>IF('calcA'!DR$106=1,HQ11,1)</f>
        <v/>
      </c>
      <c r="NF11">
        <f>IF('calcA'!DS$106=1,HR11,1)</f>
        <v/>
      </c>
      <c r="NG11">
        <f>IF('calcA'!DT$106=1,HS11,1)</f>
        <v/>
      </c>
      <c r="NH11">
        <f>IF('calcA'!DU$106=1,HT11,1)</f>
        <v/>
      </c>
      <c r="NI11">
        <f>IF('calcA'!DV$106=1,HU11,1)</f>
        <v/>
      </c>
      <c r="NJ11">
        <f>IF('calcA'!DW$106=1,HV11,1)</f>
        <v/>
      </c>
      <c r="NK11">
        <f>IF('calcA'!DX$106=1,HW11,1)</f>
        <v/>
      </c>
      <c r="NL11">
        <f>IF('calcA'!DY$106=1,HX11,1)</f>
        <v/>
      </c>
      <c r="NM11">
        <f>IF('calcA'!DZ$106=1,HY11,1)</f>
        <v/>
      </c>
      <c r="NN11">
        <f>IF('calcA'!EA$106=1,HZ11,1)</f>
        <v/>
      </c>
      <c r="NO11">
        <f>IF('calcA'!EB$106=1,IA11,1)</f>
        <v/>
      </c>
      <c r="NP11">
        <f>IF('calcA'!EC$106=1,IB11,1)</f>
        <v/>
      </c>
      <c r="NQ11">
        <f>IF('calcA'!ED$106=1,IC11,1)</f>
        <v/>
      </c>
      <c r="NR11">
        <f>IF('calcA'!EE$106=1,ID11,1)</f>
        <v/>
      </c>
      <c r="NS11">
        <f>IF('calcA'!EF$106=1,IE11,1)</f>
        <v/>
      </c>
      <c r="NT11">
        <f>IF('calcA'!EG$106=1,IF11,1)</f>
        <v/>
      </c>
      <c r="NU11">
        <f>IF('calcA'!EH$106=1,IG11,1)</f>
        <v/>
      </c>
      <c r="NV11">
        <f>IF('calcA'!EI$106=1,IH11,1)</f>
        <v/>
      </c>
      <c r="NW11">
        <f>IF('calcA'!EJ$106=1,II11,1)</f>
        <v/>
      </c>
      <c r="NX11">
        <f>IF('calcA'!EK$106=1,IJ11,1)</f>
        <v/>
      </c>
      <c r="NY11">
        <f>IF('calcA'!EL$106=1,IK11,1)</f>
        <v/>
      </c>
      <c r="NZ11">
        <f>IF('calcA'!EM$106=1,IL11,1)</f>
        <v/>
      </c>
      <c r="OA11">
        <f>IF('calcA'!EN$106=1,IM11,1)</f>
        <v/>
      </c>
      <c r="OB11">
        <f>IF('calcA'!EO$106=1,IN11,1)</f>
        <v/>
      </c>
      <c r="OC11">
        <f>IF('calcA'!EP$106=1,IO11,1)</f>
        <v/>
      </c>
      <c r="OD11" t="n">
        <v>1</v>
      </c>
      <c r="OF11">
        <f>IF($B11=0,1000000000,IF(INDEX('calcA'!$D$60:$EQ$99,$B11,1)*IF($W11=1,DB11+ZQ11,DB11)=1,IF(AND($E11=2,IF($W11=1,AFF11,IQ11)=0),1000000000,IF($V11=1,INDEX('calcA'!$D$130:$EQ$169,$B11,1)+IF(AND($E11=1,IQ11=0),25,0),IF($F11&gt;0,INDEX('calcA'!D$110:D$114,$F11+1)+IF(AND($E11=1,IQ11=0),1000,0),MIN(TU11,20)*400+(IF('calcA'!D$106=1,1-DC11,0))*150+11+'calcA'!D$5*100000+IF(AND($E11=1,IQ11=0),50000,0))+IF($H11=1,INDEX('calcA'!$D$180:$EQ$219,$B11,1)*4000,0)-IF(AND($U11=1,'calcA'!D$117=1,DC11=0),2000,0))),1000000000))</f>
        <v/>
      </c>
      <c r="OG11">
        <f>IF($B11=0,1000000000,IF(INDEX('calcA'!$D$60:$EQ$99,$B11,2)*IF($W11=1,DC11+ZR11,DC11)=1,IF(AND($E11=2,IF($W11=1,AFG11,IR11)=0),1000000000,IF($V11=1,INDEX('calcA'!$D$130:$EQ$169,$B11,2)+IF(AND($E11=1,IR11=0),25,0),IF($F11&gt;0,INDEX('calcA'!E$110:E$114,$F11+1)+IF(AND($E11=1,IR11=0),1000,0),MIN(TU11,20)*400+(IF('calcA'!D$106=1,1-DB11,0)+IF('calcA'!E$106=1,1-DD11,0))*150+21+'calcA'!E$5*100000+IF(AND($E11=1,IR11=0),50000,0))+IF($H11=1,INDEX('calcA'!$D$180:$EQ$219,$B11,2)*4000,0)-IF(AND('calcA'!D$117=1,UB11&gt;0),2000,0)-IF(AND($U11=1,'calcA'!E$117=1,DD11=0),2000,0))),1000000000))</f>
        <v/>
      </c>
      <c r="OH11">
        <f>IF($B11=0,1000000000,IF(INDEX('calcA'!$D$60:$EQ$99,$B11,3)*IF($W11=1,DD11+ZS11,DD11)=1,IF(AND($E11=2,IF($W11=1,AFH11,IS11)=0),1000000000,IF($V11=1,INDEX('calcA'!$D$130:$EQ$169,$B11,3)+IF(AND($E11=1,IS11=0),25,0),IF($F11&gt;0,INDEX('calcA'!F$110:F$114,$F11+1)+IF(AND($E11=1,IS11=0),1000,0),MIN(TU11,20)*400+(IF('calcA'!E$106=1,1-DC11,0)+IF('calcA'!F$106=1,1-DE11,0))*150+31+'calcA'!F$5*100000+IF(AND($E11=1,IS11=0),50000,0))+IF($H11=1,INDEX('calcA'!$D$180:$EQ$219,$B11,3)*4000,0)-IF(AND('calcA'!E$117=1,UC11&gt;0),2000,0)-IF(AND($U11=1,'calcA'!F$117=1,DE11=0),2000,0))),1000000000))</f>
        <v/>
      </c>
      <c r="OI11">
        <f>IF($B11=0,1000000000,IF(INDEX('calcA'!$D$60:$EQ$99,$B11,4)*IF($W11=1,DE11+ZT11,DE11)=1,IF(AND($E11=2,IF($W11=1,AFI11,IT11)=0),1000000000,IF($V11=1,INDEX('calcA'!$D$130:$EQ$169,$B11,4)+IF(AND($E11=1,IT11=0),25,0),IF($F11&gt;0,INDEX('calcA'!G$110:G$114,$F11+1)+IF(AND($E11=1,IT11=0),1000,0),MIN(TU11,20)*400+(IF('calcA'!F$106=1,1-DD11,0)+IF('calcA'!G$106=1,1-DF11,0))*150+41+'calcA'!G$5*100000+IF(AND($E11=1,IT11=0),50000,0))+IF($H11=1,INDEX('calcA'!$D$180:$EQ$219,$B11,4)*4000,0)-IF(AND('calcA'!F$117=1,UD11&gt;0),2000,0)-IF(AND($U11=1,'calcA'!G$117=1,DF11=0),2000,0))),1000000000))</f>
        <v/>
      </c>
      <c r="OJ11">
        <f>IF($B11=0,1000000000,IF(INDEX('calcA'!$D$60:$EQ$99,$B11,5)*IF($W11=1,DF11+ZU11,DF11)=1,IF(AND($E11=2,IF($W11=1,AFJ11,IU11)=0),1000000000,IF($V11=1,INDEX('calcA'!$D$130:$EQ$169,$B11,5)+IF(AND($E11=1,IU11=0),25,0),IF($F11&gt;0,INDEX('calcA'!H$110:H$114,$F11+1)+IF(AND($E11=1,IU11=0),1000,0),MIN(TU11,20)*400+(IF('calcA'!G$106=1,1-DE11,0)+IF('calcA'!H$106=1,1-DG11,0))*150+51+'calcA'!H$5*100000+IF(AND($E11=1,IU11=0),50000,0))+IF($H11=1,INDEX('calcA'!$D$180:$EQ$219,$B11,5)*4000,0)-IF(AND('calcA'!G$117=1,UE11&gt;0),2000,0)-IF(AND($U11=1,'calcA'!H$117=1,DG11=0),2000,0))),1000000000))</f>
        <v/>
      </c>
      <c r="OK11">
        <f>IF($B11=0,1000000000,IF(INDEX('calcA'!$D$60:$EQ$99,$B11,6)*IF($W11=1,DG11+ZV11,DG11)=1,IF(AND($E11=2,IF($W11=1,AFK11,IV11)=0),1000000000,IF($V11=1,INDEX('calcA'!$D$130:$EQ$169,$B11,6)+IF(AND($E11=1,IV11=0),25,0),IF($F11&gt;0,INDEX('calcA'!I$110:I$114,$F11+1)+IF(AND($E11=1,IV11=0),1000,0),MIN(TU11,20)*400+(IF('calcA'!H$106=1,1-DF11,0)+IF('calcA'!I$106=1,1-DH11,0))*150+61+'calcA'!I$5*100000+IF(AND($E11=1,IV11=0),50000,0))+IF($H11=1,INDEX('calcA'!$D$180:$EQ$219,$B11,6)*4000,0)-IF(AND('calcA'!H$117=1,UF11&gt;0),2000,0)-IF(AND($U11=1,'calcA'!I$117=1,DH11=0),2000,0))),1000000000))</f>
        <v/>
      </c>
      <c r="OL11">
        <f>IF($B11=0,1000000000,IF(INDEX('calcA'!$D$60:$EQ$99,$B11,7)*IF($W11=1,DH11+ZW11,DH11)=1,IF(AND($E11=2,IF($W11=1,AFL11,IW11)=0),1000000000,IF($V11=1,INDEX('calcA'!$D$130:$EQ$169,$B11,7)+IF(AND($E11=1,IW11=0),25,0),IF($F11&gt;0,INDEX('calcA'!J$110:J$114,$F11+1)+IF(AND($E11=1,IW11=0),1000,0),MIN(TU11,20)*400+(IF('calcA'!I$106=1,1-DG11,0)+IF('calcA'!J$106=1,1-DI11,0))*150+71+'calcA'!J$5*100000+IF(AND($E11=1,IW11=0),50000,0))+IF($H11=1,INDEX('calcA'!$D$180:$EQ$219,$B11,7)*4000,0)-IF(AND('calcA'!I$117=1,UG11&gt;0),2000,0)-IF(AND($U11=1,'calcA'!J$117=1,DI11=0),2000,0))),1000000000))</f>
        <v/>
      </c>
      <c r="OM11">
        <f>IF($B11=0,1000000000,IF(INDEX('calcA'!$D$60:$EQ$99,$B11,8)*IF($W11=1,DI11+ZX11,DI11)=1,IF(AND($E11=2,IF($W11=1,AFM11,IX11)=0),1000000000,IF($V11=1,INDEX('calcA'!$D$130:$EQ$169,$B11,8)+IF(AND($E11=1,IX11=0),25,0),IF($F11&gt;0,INDEX('calcA'!K$110:K$114,$F11+1)+IF(AND($E11=1,IX11=0),1000,0),MIN(TU11,20)*400+(IF('calcA'!J$106=1,1-DH11,0)+IF('calcA'!K$106=1,1-DJ11,0))*150+81+'calcA'!K$5*100000+IF(AND($E11=1,IX11=0),50000,0))+IF($H11=1,INDEX('calcA'!$D$180:$EQ$219,$B11,8)*4000,0)-IF(AND('calcA'!J$117=1,UH11&gt;0),2000,0)-IF(AND($U11=1,'calcA'!K$117=1,DJ11=0),2000,0))),1000000000))</f>
        <v/>
      </c>
      <c r="ON11">
        <f>IF($B11=0,1000000000,IF(INDEX('calcA'!$D$60:$EQ$99,$B11,9)*IF($W11=1,DJ11+ZY11,DJ11)=1,IF(AND($E11=2,IF($W11=1,AFN11,IY11)=0),1000000000,IF($V11=1,INDEX('calcA'!$D$130:$EQ$169,$B11,9)+IF(AND($E11=1,IY11=0),25,0),IF($F11&gt;0,INDEX('calcA'!L$110:L$114,$F11+1)+IF(AND($E11=1,IY11=0),1000,0),MIN(TU11,20)*400+(IF('calcA'!K$106=1,1-DI11,0)+IF('calcA'!L$106=1,1-DK11,0))*150+91+'calcA'!L$5*100000+IF(AND($E11=1,IY11=0),50000,0))+IF($H11=1,INDEX('calcA'!$D$180:$EQ$219,$B11,9)*4000,0)-IF(AND('calcA'!K$117=1,UI11&gt;0),2000,0)-IF(AND($U11=1,'calcA'!L$117=1,DK11=0),2000,0))),1000000000))</f>
        <v/>
      </c>
      <c r="OO11">
        <f>IF($B11=0,1000000000,IF(INDEX('calcA'!$D$60:$EQ$99,$B11,10)*IF($W11=1,DK11+ZZ11,DK11)=1,IF(AND($E11=2,IF($W11=1,AFO11,IZ11)=0),1000000000,IF($V11=1,INDEX('calcA'!$D$130:$EQ$169,$B11,10)+IF(AND($E11=1,IZ11=0),25,0),IF($F11&gt;0,INDEX('calcA'!M$110:M$114,$F11+1)+IF(AND($E11=1,IZ11=0),1000,0),MIN(TU11,20)*400+(IF('calcA'!L$106=1,1-DJ11,0)+IF('calcA'!M$106=1,1-DL11,0))*150+101+'calcA'!M$5*100000+IF(AND($E11=1,IZ11=0),50000,0))+IF($H11=1,INDEX('calcA'!$D$180:$EQ$219,$B11,10)*4000,0)-IF(AND('calcA'!L$117=1,UJ11&gt;0),2000,0)-IF(AND($U11=1,'calcA'!M$117=1,DL11=0),2000,0))),1000000000))</f>
        <v/>
      </c>
      <c r="OP11">
        <f>IF($B11=0,1000000000,IF(INDEX('calcA'!$D$60:$EQ$99,$B11,11)*IF($W11=1,DL11+AAA11,DL11)=1,IF(AND($E11=2,IF($W11=1,AFP11,JA11)=0),1000000000,IF($V11=1,INDEX('calcA'!$D$130:$EQ$169,$B11,11)+IF(AND($E11=1,JA11=0),25,0),IF($F11&gt;0,INDEX('calcA'!N$110:N$114,$F11+1)+IF(AND($E11=1,JA11=0),1000,0),MIN(TU11,20)*400+(IF('calcA'!M$106=1,1-DK11,0)+IF('calcA'!N$106=1,1-DM11,0))*150+111+'calcA'!N$5*100000+IF(AND($E11=1,JA11=0),50000,0))+IF($H11=1,INDEX('calcA'!$D$180:$EQ$219,$B11,11)*4000,0)-IF(AND('calcA'!M$117=1,UK11&gt;0),2000,0)-IF(AND($U11=1,'calcA'!N$117=1,DM11=0),2000,0))),1000000000))</f>
        <v/>
      </c>
      <c r="OQ11">
        <f>IF($B11=0,1000000000,IF(INDEX('calcA'!$D$60:$EQ$99,$B11,12)*IF($W11=1,DM11+AAB11,DM11)=1,IF(AND($E11=2,IF($W11=1,AFQ11,JB11)=0),1000000000,IF($V11=1,INDEX('calcA'!$D$130:$EQ$169,$B11,12)+IF(AND($E11=1,JB11=0),25,0),IF($F11&gt;0,INDEX('calcA'!O$110:O$114,$F11+1)+IF(AND($E11=1,JB11=0),1000,0),MIN(TU11,20)*400+(IF('calcA'!N$106=1,1-DL11,0)+IF('calcA'!O$106=1,1-DN11,0))*150+121+'calcA'!O$5*100000+IF(AND($E11=1,JB11=0),50000,0))+IF($H11=1,INDEX('calcA'!$D$180:$EQ$219,$B11,12)*4000,0)-IF(AND('calcA'!N$117=1,UL11&gt;0),2000,0)-IF(AND($U11=1,'calcA'!O$117=1,DN11=0),2000,0))),1000000000))</f>
        <v/>
      </c>
      <c r="OR11">
        <f>IF($B11=0,1000000000,IF(INDEX('calcA'!$D$60:$EQ$99,$B11,13)*IF($W11=1,DN11+AAC11,DN11)=1,IF(AND($E11=2,IF($W11=1,AFR11,JC11)=0),1000000000,IF($V11=1,INDEX('calcA'!$D$130:$EQ$169,$B11,13)+IF(AND($E11=1,JC11=0),25,0),IF($F11&gt;0,INDEX('calcA'!P$110:P$114,$F11+1)+IF(AND($E11=1,JC11=0),1000,0),MIN(TU11,20)*400+(IF('calcA'!O$106=1,1-DM11,0)+IF('calcA'!P$106=1,1-DO11,0))*150+131+'calcA'!P$5*100000+IF(AND($E11=1,JC11=0),50000,0))+IF($H11=1,INDEX('calcA'!$D$180:$EQ$219,$B11,13)*4000,0)-IF(AND('calcA'!O$117=1,UM11&gt;0),2000,0)-IF(AND($U11=1,'calcA'!P$117=1,DO11=0),2000,0))),1000000000))</f>
        <v/>
      </c>
      <c r="OS11">
        <f>IF($B11=0,1000000000,IF(INDEX('calcA'!$D$60:$EQ$99,$B11,14)*IF($W11=1,DO11+AAD11,DO11)=1,IF(AND($E11=2,IF($W11=1,AFS11,JD11)=0),1000000000,IF($V11=1,INDEX('calcA'!$D$130:$EQ$169,$B11,14)+IF(AND($E11=1,JD11=0),25,0),IF($F11&gt;0,INDEX('calcA'!Q$110:Q$114,$F11+1)+IF(AND($E11=1,JD11=0),1000,0),MIN(TU11,20)*400+(IF('calcA'!P$106=1,1-DN11,0)+IF('calcA'!Q$106=1,1-DP11,0))*150+141+'calcA'!Q$5*100000+IF(AND($E11=1,JD11=0),50000,0))+IF($H11=1,INDEX('calcA'!$D$180:$EQ$219,$B11,14)*4000,0)-IF(AND('calcA'!P$117=1,UN11&gt;0),2000,0)-IF(AND($U11=1,'calcA'!Q$117=1,DP11=0),2000,0))),1000000000))</f>
        <v/>
      </c>
      <c r="OT11">
        <f>IF($B11=0,1000000000,IF(INDEX('calcA'!$D$60:$EQ$99,$B11,15)*IF($W11=1,DP11+AAE11,DP11)=1,IF(AND($E11=2,IF($W11=1,AFT11,JE11)=0),1000000000,IF($V11=1,INDEX('calcA'!$D$130:$EQ$169,$B11,15)+IF(AND($E11=1,JE11=0),25,0),IF($F11&gt;0,INDEX('calcA'!R$110:R$114,$F11+1)+IF(AND($E11=1,JE11=0),1000,0),MIN(TU11,20)*400+(IF('calcA'!Q$106=1,1-DO11,0)+IF('calcA'!R$106=1,1-DQ11,0))*150+151+'calcA'!R$5*100000+IF(AND($E11=1,JE11=0),50000,0))+IF($H11=1,INDEX('calcA'!$D$180:$EQ$219,$B11,15)*4000,0)-IF(AND('calcA'!Q$117=1,UO11&gt;0),2000,0)-IF(AND($U11=1,'calcA'!R$117=1,DQ11=0),2000,0))),1000000000))</f>
        <v/>
      </c>
      <c r="OU11">
        <f>IF($B11=0,1000000000,IF(INDEX('calcA'!$D$60:$EQ$99,$B11,16)*IF($W11=1,DQ11+AAF11,DQ11)=1,IF(AND($E11=2,IF($W11=1,AFU11,JF11)=0),1000000000,IF($V11=1,INDEX('calcA'!$D$130:$EQ$169,$B11,16)+IF(AND($E11=1,JF11=0),25,0),IF($F11&gt;0,INDEX('calcA'!S$110:S$114,$F11+1)+IF(AND($E11=1,JF11=0),1000,0),MIN(TU11,20)*400+(IF('calcA'!R$106=1,1-DP11,0)+IF('calcA'!S$106=1,1-DR11,0))*150+161+'calcA'!S$5*100000+IF(AND($E11=1,JF11=0),50000,0))+IF($H11=1,INDEX('calcA'!$D$180:$EQ$219,$B11,16)*4000,0)-IF(AND('calcA'!R$117=1,UP11&gt;0),2000,0)-IF(AND($U11=1,'calcA'!S$117=1,DR11=0),2000,0))),1000000000))</f>
        <v/>
      </c>
      <c r="OV11">
        <f>IF($B11=0,1000000000,IF(INDEX('calcA'!$D$60:$EQ$99,$B11,17)*IF($W11=1,DR11+AAG11,DR11)=1,IF(AND($E11=2,IF($W11=1,AFV11,JG11)=0),1000000000,IF($V11=1,INDEX('calcA'!$D$130:$EQ$169,$B11,17)+IF(AND($E11=1,JG11=0),25,0),IF($F11&gt;0,INDEX('calcA'!T$110:T$114,$F11+1)+IF(AND($E11=1,JG11=0),1000,0),MIN(TU11,20)*400+(IF('calcA'!S$106=1,1-DQ11,0)+IF('calcA'!T$106=1,1-DS11,0))*150+171+'calcA'!T$5*100000+IF(AND($E11=1,JG11=0),50000,0))+IF($H11=1,INDEX('calcA'!$D$180:$EQ$219,$B11,17)*4000,0)-IF(AND('calcA'!S$117=1,UQ11&gt;0),2000,0)-IF(AND($U11=1,'calcA'!T$117=1,DS11=0),2000,0))),1000000000))</f>
        <v/>
      </c>
      <c r="OW11">
        <f>IF($B11=0,1000000000,IF(INDEX('calcA'!$D$60:$EQ$99,$B11,18)*IF($W11=1,DS11+AAH11,DS11)=1,IF(AND($E11=2,IF($W11=1,AFW11,JH11)=0),1000000000,IF($V11=1,INDEX('calcA'!$D$130:$EQ$169,$B11,18)+IF(AND($E11=1,JH11=0),25,0),IF($F11&gt;0,INDEX('calcA'!U$110:U$114,$F11+1)+IF(AND($E11=1,JH11=0),1000,0),MIN(TU11,20)*400+(IF('calcA'!T$106=1,1-DR11,0)+IF('calcA'!U$106=1,1-DT11,0))*150+181+'calcA'!U$5*100000+IF(AND($E11=1,JH11=0),50000,0))+IF($H11=1,INDEX('calcA'!$D$180:$EQ$219,$B11,18)*4000,0)-IF(AND('calcA'!T$117=1,UR11&gt;0),2000,0)-IF(AND($U11=1,'calcA'!U$117=1,DT11=0),2000,0))),1000000000))</f>
        <v/>
      </c>
      <c r="OX11">
        <f>IF($B11=0,1000000000,IF(INDEX('calcA'!$D$60:$EQ$99,$B11,19)*IF($W11=1,DT11+AAI11,DT11)=1,IF(AND($E11=2,IF($W11=1,AFX11,JI11)=0),1000000000,IF($V11=1,INDEX('calcA'!$D$130:$EQ$169,$B11,19)+IF(AND($E11=1,JI11=0),25,0),IF($F11&gt;0,INDEX('calcA'!V$110:V$114,$F11+1)+IF(AND($E11=1,JI11=0),1000,0),MIN(TU11,20)*400+(IF('calcA'!U$106=1,1-DS11,0)+IF('calcA'!V$106=1,1-DU11,0))*150+191+'calcA'!V$5*100000+IF(AND($E11=1,JI11=0),50000,0))+IF($H11=1,INDEX('calcA'!$D$180:$EQ$219,$B11,19)*4000,0)-IF(AND('calcA'!U$117=1,US11&gt;0),2000,0)-IF(AND($U11=1,'calcA'!V$117=1,DU11=0),2000,0))),1000000000))</f>
        <v/>
      </c>
      <c r="OY11">
        <f>IF($B11=0,1000000000,IF(INDEX('calcA'!$D$60:$EQ$99,$B11,20)*IF($W11=1,DU11+AAJ11,DU11)=1,IF(AND($E11=2,IF($W11=1,AFY11,JJ11)=0),1000000000,IF($V11=1,INDEX('calcA'!$D$130:$EQ$169,$B11,20)+IF(AND($E11=1,JJ11=0),25,0),IF($F11&gt;0,INDEX('calcA'!W$110:W$114,$F11+1)+IF(AND($E11=1,JJ11=0),1000,0),MIN(TU11,20)*400+(IF('calcA'!V$106=1,1-DT11,0)+IF('calcA'!W$106=1,1-DV11,0))*150+201+'calcA'!W$5*100000+IF(AND($E11=1,JJ11=0),50000,0))+IF($H11=1,INDEX('calcA'!$D$180:$EQ$219,$B11,20)*4000,0)-IF(AND('calcA'!V$117=1,UT11&gt;0),2000,0)-IF(AND($U11=1,'calcA'!W$117=1,DV11=0),2000,0))),1000000000))</f>
        <v/>
      </c>
      <c r="OZ11">
        <f>IF($B11=0,1000000000,IF(INDEX('calcA'!$D$60:$EQ$99,$B11,21)*IF($W11=1,DV11+AAK11,DV11)=1,IF(AND($E11=2,IF($W11=1,AFZ11,JK11)=0),1000000000,IF($V11=1,INDEX('calcA'!$D$130:$EQ$169,$B11,21)+IF(AND($E11=1,JK11=0),25,0),IF($F11&gt;0,INDEX('calcA'!X$110:X$114,$F11+1)+IF(AND($E11=1,JK11=0),1000,0),MIN(TU11,20)*400+(IF('calcA'!W$106=1,1-DU11,0)+IF('calcA'!X$106=1,1-DW11,0))*150+211+'calcA'!X$5*100000+IF(AND($E11=1,JK11=0),50000,0))+IF($H11=1,INDEX('calcA'!$D$180:$EQ$219,$B11,21)*4000,0)-IF(AND('calcA'!W$117=1,UU11&gt;0),2000,0)-IF(AND($U11=1,'calcA'!X$117=1,DW11=0),2000,0))),1000000000))</f>
        <v/>
      </c>
      <c r="PA11">
        <f>IF($B11=0,1000000000,IF(INDEX('calcA'!$D$60:$EQ$99,$B11,22)*IF($W11=1,DW11+AAL11,DW11)=1,IF(AND($E11=2,IF($W11=1,AGA11,JL11)=0),1000000000,IF($V11=1,INDEX('calcA'!$D$130:$EQ$169,$B11,22)+IF(AND($E11=1,JL11=0),25,0),IF($F11&gt;0,INDEX('calcA'!Y$110:Y$114,$F11+1)+IF(AND($E11=1,JL11=0),1000,0),MIN(TU11,20)*400+(IF('calcA'!X$106=1,1-DV11,0)+IF('calcA'!Y$106=1,1-DX11,0))*150+221+'calcA'!Y$5*100000+IF(AND($E11=1,JL11=0),50000,0))+IF($H11=1,INDEX('calcA'!$D$180:$EQ$219,$B11,22)*4000,0)-IF(AND('calcA'!X$117=1,UV11&gt;0),2000,0)-IF(AND($U11=1,'calcA'!Y$117=1,DX11=0),2000,0))),1000000000))</f>
        <v/>
      </c>
      <c r="PB11">
        <f>IF($B11=0,1000000000,IF(INDEX('calcA'!$D$60:$EQ$99,$B11,23)*IF($W11=1,DX11+AAM11,DX11)=1,IF(AND($E11=2,IF($W11=1,AGB11,JM11)=0),1000000000,IF($V11=1,INDEX('calcA'!$D$130:$EQ$169,$B11,23)+IF(AND($E11=1,JM11=0),25,0),IF($F11&gt;0,INDEX('calcA'!Z$110:Z$114,$F11+1)+IF(AND($E11=1,JM11=0),1000,0),MIN(TU11,20)*400+(IF('calcA'!Y$106=1,1-DW11,0)+IF('calcA'!Z$106=1,1-DY11,0))*150+231+'calcA'!Z$5*100000+IF(AND($E11=1,JM11=0),50000,0))+IF($H11=1,INDEX('calcA'!$D$180:$EQ$219,$B11,23)*4000,0)-IF(AND('calcA'!Y$117=1,UW11&gt;0),2000,0)-IF(AND($U11=1,'calcA'!Z$117=1,DY11=0),2000,0))),1000000000))</f>
        <v/>
      </c>
      <c r="PC11">
        <f>IF($B11=0,1000000000,IF(INDEX('calcA'!$D$60:$EQ$99,$B11,24)*IF($W11=1,DY11+AAN11,DY11)=1,IF(AND($E11=2,IF($W11=1,AGC11,JN11)=0),1000000000,IF($V11=1,INDEX('calcA'!$D$130:$EQ$169,$B11,24)+IF(AND($E11=1,JN11=0),25,0),IF($F11&gt;0,INDEX('calcA'!AA$110:AA$114,$F11+1)+IF(AND($E11=1,JN11=0),1000,0),MIN(TU11,20)*400+(IF('calcA'!Z$106=1,1-DX11,0))*150+241+'calcA'!AA$5*100000+IF(AND($E11=1,JN11=0),50000,0))+IF($H11=1,INDEX('calcA'!$D$180:$EQ$219,$B11,24)*4000,0)-IF(AND('calcA'!Z$117=1,UX11&gt;0),2000,0))),1000000000))</f>
        <v/>
      </c>
      <c r="PD11">
        <f>IF($B11=0,1000000000,IF(INDEX('calcA'!$D$60:$EQ$99,$B11,25)*IF($W11=1,DZ11+AAO11,DZ11)=1,IF(AND($E11=2,IF($W11=1,AGD11,JO11)=0),1000000000,IF($V11=1,INDEX('calcA'!$D$130:$EQ$169,$B11,25)+IF(AND($E11=1,JO11=0),25,0),IF($F11&gt;0,INDEX('calcA'!AB$110:AB$114,$F11+1)+IF(AND($E11=1,JO11=0),1000,0),MIN(TV11,20)*400+(IF('calcA'!AB$106=1,1-EA11,0))*150+12+'calcA'!AB$5*100000+IF(AND($E11=1,JO11=0),50000,0))+IF($H11=1,INDEX('calcA'!$D$180:$EQ$219,$B11,25)*4000,0)-IF(AND($U11=1,'calcA'!AB$117=1,EA11=0),2000,0))),1000000000))</f>
        <v/>
      </c>
      <c r="PE11">
        <f>IF($B11=0,1000000000,IF(INDEX('calcA'!$D$60:$EQ$99,$B11,26)*IF($W11=1,EA11+AAP11,EA11)=1,IF(AND($E11=2,IF($W11=1,AGE11,JP11)=0),1000000000,IF($V11=1,INDEX('calcA'!$D$130:$EQ$169,$B11,26)+IF(AND($E11=1,JP11=0),25,0),IF($F11&gt;0,INDEX('calcA'!AC$110:AC$114,$F11+1)+IF(AND($E11=1,JP11=0),1000,0),MIN(TV11,20)*400+(IF('calcA'!AB$106=1,1-DZ11,0)+IF('calcA'!AC$106=1,1-EB11,0))*150+22+'calcA'!AC$5*100000+IF(AND($E11=1,JP11=0),50000,0))+IF($H11=1,INDEX('calcA'!$D$180:$EQ$219,$B11,26)*4000,0)-IF(AND('calcA'!AB$117=1,UZ11&gt;0),2000,0)-IF(AND($U11=1,'calcA'!AC$117=1,EB11=0),2000,0))),1000000000))</f>
        <v/>
      </c>
      <c r="PF11">
        <f>IF($B11=0,1000000000,IF(INDEX('calcA'!$D$60:$EQ$99,$B11,27)*IF($W11=1,EB11+AAQ11,EB11)=1,IF(AND($E11=2,IF($W11=1,AGF11,JQ11)=0),1000000000,IF($V11=1,INDEX('calcA'!$D$130:$EQ$169,$B11,27)+IF(AND($E11=1,JQ11=0),25,0),IF($F11&gt;0,INDEX('calcA'!AD$110:AD$114,$F11+1)+IF(AND($E11=1,JQ11=0),1000,0),MIN(TV11,20)*400+(IF('calcA'!AC$106=1,1-EA11,0)+IF('calcA'!AD$106=1,1-EC11,0))*150+32+'calcA'!AD$5*100000+IF(AND($E11=1,JQ11=0),50000,0))+IF($H11=1,INDEX('calcA'!$D$180:$EQ$219,$B11,27)*4000,0)-IF(AND('calcA'!AC$117=1,VA11&gt;0),2000,0)-IF(AND($U11=1,'calcA'!AD$117=1,EC11=0),2000,0))),1000000000))</f>
        <v/>
      </c>
      <c r="PG11">
        <f>IF($B11=0,1000000000,IF(INDEX('calcA'!$D$60:$EQ$99,$B11,28)*IF($W11=1,EC11+AAR11,EC11)=1,IF(AND($E11=2,IF($W11=1,AGG11,JR11)=0),1000000000,IF($V11=1,INDEX('calcA'!$D$130:$EQ$169,$B11,28)+IF(AND($E11=1,JR11=0),25,0),IF($F11&gt;0,INDEX('calcA'!AE$110:AE$114,$F11+1)+IF(AND($E11=1,JR11=0),1000,0),MIN(TV11,20)*400+(IF('calcA'!AD$106=1,1-EB11,0)+IF('calcA'!AE$106=1,1-ED11,0))*150+42+'calcA'!AE$5*100000+IF(AND($E11=1,JR11=0),50000,0))+IF($H11=1,INDEX('calcA'!$D$180:$EQ$219,$B11,28)*4000,0)-IF(AND('calcA'!AD$117=1,VB11&gt;0),2000,0)-IF(AND($U11=1,'calcA'!AE$117=1,ED11=0),2000,0))),1000000000))</f>
        <v/>
      </c>
      <c r="PH11">
        <f>IF($B11=0,1000000000,IF(INDEX('calcA'!$D$60:$EQ$99,$B11,29)*IF($W11=1,ED11+AAS11,ED11)=1,IF(AND($E11=2,IF($W11=1,AGH11,JS11)=0),1000000000,IF($V11=1,INDEX('calcA'!$D$130:$EQ$169,$B11,29)+IF(AND($E11=1,JS11=0),25,0),IF($F11&gt;0,INDEX('calcA'!AF$110:AF$114,$F11+1)+IF(AND($E11=1,JS11=0),1000,0),MIN(TV11,20)*400+(IF('calcA'!AE$106=1,1-EC11,0)+IF('calcA'!AF$106=1,1-EE11,0))*150+52+'calcA'!AF$5*100000+IF(AND($E11=1,JS11=0),50000,0))+IF($H11=1,INDEX('calcA'!$D$180:$EQ$219,$B11,29)*4000,0)-IF(AND('calcA'!AE$117=1,VC11&gt;0),2000,0)-IF(AND($U11=1,'calcA'!AF$117=1,EE11=0),2000,0))),1000000000))</f>
        <v/>
      </c>
      <c r="PI11">
        <f>IF($B11=0,1000000000,IF(INDEX('calcA'!$D$60:$EQ$99,$B11,30)*IF($W11=1,EE11+AAT11,EE11)=1,IF(AND($E11=2,IF($W11=1,AGI11,JT11)=0),1000000000,IF($V11=1,INDEX('calcA'!$D$130:$EQ$169,$B11,30)+IF(AND($E11=1,JT11=0),25,0),IF($F11&gt;0,INDEX('calcA'!AG$110:AG$114,$F11+1)+IF(AND($E11=1,JT11=0),1000,0),MIN(TV11,20)*400+(IF('calcA'!AF$106=1,1-ED11,0)+IF('calcA'!AG$106=1,1-EF11,0))*150+62+'calcA'!AG$5*100000+IF(AND($E11=1,JT11=0),50000,0))+IF($H11=1,INDEX('calcA'!$D$180:$EQ$219,$B11,30)*4000,0)-IF(AND('calcA'!AF$117=1,VD11&gt;0),2000,0)-IF(AND($U11=1,'calcA'!AG$117=1,EF11=0),2000,0))),1000000000))</f>
        <v/>
      </c>
      <c r="PJ11">
        <f>IF($B11=0,1000000000,IF(INDEX('calcA'!$D$60:$EQ$99,$B11,31)*IF($W11=1,EF11+AAU11,EF11)=1,IF(AND($E11=2,IF($W11=1,AGJ11,JU11)=0),1000000000,IF($V11=1,INDEX('calcA'!$D$130:$EQ$169,$B11,31)+IF(AND($E11=1,JU11=0),25,0),IF($F11&gt;0,INDEX('calcA'!AH$110:AH$114,$F11+1)+IF(AND($E11=1,JU11=0),1000,0),MIN(TV11,20)*400+(IF('calcA'!AG$106=1,1-EE11,0)+IF('calcA'!AH$106=1,1-EG11,0))*150+72+'calcA'!AH$5*100000+IF(AND($E11=1,JU11=0),50000,0))+IF($H11=1,INDEX('calcA'!$D$180:$EQ$219,$B11,31)*4000,0)-IF(AND('calcA'!AG$117=1,VE11&gt;0),2000,0)-IF(AND($U11=1,'calcA'!AH$117=1,EG11=0),2000,0))),1000000000))</f>
        <v/>
      </c>
      <c r="PK11">
        <f>IF($B11=0,1000000000,IF(INDEX('calcA'!$D$60:$EQ$99,$B11,32)*IF($W11=1,EG11+AAV11,EG11)=1,IF(AND($E11=2,IF($W11=1,AGK11,JV11)=0),1000000000,IF($V11=1,INDEX('calcA'!$D$130:$EQ$169,$B11,32)+IF(AND($E11=1,JV11=0),25,0),IF($F11&gt;0,INDEX('calcA'!AI$110:AI$114,$F11+1)+IF(AND($E11=1,JV11=0),1000,0),MIN(TV11,20)*400+(IF('calcA'!AH$106=1,1-EF11,0)+IF('calcA'!AI$106=1,1-EH11,0))*150+82+'calcA'!AI$5*100000+IF(AND($E11=1,JV11=0),50000,0))+IF($H11=1,INDEX('calcA'!$D$180:$EQ$219,$B11,32)*4000,0)-IF(AND('calcA'!AH$117=1,VF11&gt;0),2000,0)-IF(AND($U11=1,'calcA'!AI$117=1,EH11=0),2000,0))),1000000000))</f>
        <v/>
      </c>
      <c r="PL11">
        <f>IF($B11=0,1000000000,IF(INDEX('calcA'!$D$60:$EQ$99,$B11,33)*IF($W11=1,EH11+AAW11,EH11)=1,IF(AND($E11=2,IF($W11=1,AGL11,JW11)=0),1000000000,IF($V11=1,INDEX('calcA'!$D$130:$EQ$169,$B11,33)+IF(AND($E11=1,JW11=0),25,0),IF($F11&gt;0,INDEX('calcA'!AJ$110:AJ$114,$F11+1)+IF(AND($E11=1,JW11=0),1000,0),MIN(TV11,20)*400+(IF('calcA'!AI$106=1,1-EG11,0)+IF('calcA'!AJ$106=1,1-EI11,0))*150+92+'calcA'!AJ$5*100000+IF(AND($E11=1,JW11=0),50000,0))+IF($H11=1,INDEX('calcA'!$D$180:$EQ$219,$B11,33)*4000,0)-IF(AND('calcA'!AI$117=1,VG11&gt;0),2000,0)-IF(AND($U11=1,'calcA'!AJ$117=1,EI11=0),2000,0))),1000000000))</f>
        <v/>
      </c>
      <c r="PM11">
        <f>IF($B11=0,1000000000,IF(INDEX('calcA'!$D$60:$EQ$99,$B11,34)*IF($W11=1,EI11+AAX11,EI11)=1,IF(AND($E11=2,IF($W11=1,AGM11,JX11)=0),1000000000,IF($V11=1,INDEX('calcA'!$D$130:$EQ$169,$B11,34)+IF(AND($E11=1,JX11=0),25,0),IF($F11&gt;0,INDEX('calcA'!AK$110:AK$114,$F11+1)+IF(AND($E11=1,JX11=0),1000,0),MIN(TV11,20)*400+(IF('calcA'!AJ$106=1,1-EH11,0)+IF('calcA'!AK$106=1,1-EJ11,0))*150+102+'calcA'!AK$5*100000+IF(AND($E11=1,JX11=0),50000,0))+IF($H11=1,INDEX('calcA'!$D$180:$EQ$219,$B11,34)*4000,0)-IF(AND('calcA'!AJ$117=1,VH11&gt;0),2000,0)-IF(AND($U11=1,'calcA'!AK$117=1,EJ11=0),2000,0))),1000000000))</f>
        <v/>
      </c>
      <c r="PN11">
        <f>IF($B11=0,1000000000,IF(INDEX('calcA'!$D$60:$EQ$99,$B11,35)*IF($W11=1,EJ11+AAY11,EJ11)=1,IF(AND($E11=2,IF($W11=1,AGN11,JY11)=0),1000000000,IF($V11=1,INDEX('calcA'!$D$130:$EQ$169,$B11,35)+IF(AND($E11=1,JY11=0),25,0),IF($F11&gt;0,INDEX('calcA'!AL$110:AL$114,$F11+1)+IF(AND($E11=1,JY11=0),1000,0),MIN(TV11,20)*400+(IF('calcA'!AK$106=1,1-EI11,0)+IF('calcA'!AL$106=1,1-EK11,0))*150+112+'calcA'!AL$5*100000+IF(AND($E11=1,JY11=0),50000,0))+IF($H11=1,INDEX('calcA'!$D$180:$EQ$219,$B11,35)*4000,0)-IF(AND('calcA'!AK$117=1,VI11&gt;0),2000,0)-IF(AND($U11=1,'calcA'!AL$117=1,EK11=0),2000,0))),1000000000))</f>
        <v/>
      </c>
      <c r="PO11">
        <f>IF($B11=0,1000000000,IF(INDEX('calcA'!$D$60:$EQ$99,$B11,36)*IF($W11=1,EK11+AAZ11,EK11)=1,IF(AND($E11=2,IF($W11=1,AGO11,JZ11)=0),1000000000,IF($V11=1,INDEX('calcA'!$D$130:$EQ$169,$B11,36)+IF(AND($E11=1,JZ11=0),25,0),IF($F11&gt;0,INDEX('calcA'!AM$110:AM$114,$F11+1)+IF(AND($E11=1,JZ11=0),1000,0),MIN(TV11,20)*400+(IF('calcA'!AL$106=1,1-EJ11,0)+IF('calcA'!AM$106=1,1-EL11,0))*150+122+'calcA'!AM$5*100000+IF(AND($E11=1,JZ11=0),50000,0))+IF($H11=1,INDEX('calcA'!$D$180:$EQ$219,$B11,36)*4000,0)-IF(AND('calcA'!AL$117=1,VJ11&gt;0),2000,0)-IF(AND($U11=1,'calcA'!AM$117=1,EL11=0),2000,0))),1000000000))</f>
        <v/>
      </c>
      <c r="PP11">
        <f>IF($B11=0,1000000000,IF(INDEX('calcA'!$D$60:$EQ$99,$B11,37)*IF($W11=1,EL11+ABA11,EL11)=1,IF(AND($E11=2,IF($W11=1,AGP11,KA11)=0),1000000000,IF($V11=1,INDEX('calcA'!$D$130:$EQ$169,$B11,37)+IF(AND($E11=1,KA11=0),25,0),IF($F11&gt;0,INDEX('calcA'!AN$110:AN$114,$F11+1)+IF(AND($E11=1,KA11=0),1000,0),MIN(TV11,20)*400+(IF('calcA'!AM$106=1,1-EK11,0)+IF('calcA'!AN$106=1,1-EM11,0))*150+132+'calcA'!AN$5*100000+IF(AND($E11=1,KA11=0),50000,0))+IF($H11=1,INDEX('calcA'!$D$180:$EQ$219,$B11,37)*4000,0)-IF(AND('calcA'!AM$117=1,VK11&gt;0),2000,0)-IF(AND($U11=1,'calcA'!AN$117=1,EM11=0),2000,0))),1000000000))</f>
        <v/>
      </c>
      <c r="PQ11">
        <f>IF($B11=0,1000000000,IF(INDEX('calcA'!$D$60:$EQ$99,$B11,38)*IF($W11=1,EM11+ABB11,EM11)=1,IF(AND($E11=2,IF($W11=1,AGQ11,KB11)=0),1000000000,IF($V11=1,INDEX('calcA'!$D$130:$EQ$169,$B11,38)+IF(AND($E11=1,KB11=0),25,0),IF($F11&gt;0,INDEX('calcA'!AO$110:AO$114,$F11+1)+IF(AND($E11=1,KB11=0),1000,0),MIN(TV11,20)*400+(IF('calcA'!AN$106=1,1-EL11,0)+IF('calcA'!AO$106=1,1-EN11,0))*150+142+'calcA'!AO$5*100000+IF(AND($E11=1,KB11=0),50000,0))+IF($H11=1,INDEX('calcA'!$D$180:$EQ$219,$B11,38)*4000,0)-IF(AND('calcA'!AN$117=1,VL11&gt;0),2000,0)-IF(AND($U11=1,'calcA'!AO$117=1,EN11=0),2000,0))),1000000000))</f>
        <v/>
      </c>
      <c r="PR11">
        <f>IF($B11=0,1000000000,IF(INDEX('calcA'!$D$60:$EQ$99,$B11,39)*IF($W11=1,EN11+ABC11,EN11)=1,IF(AND($E11=2,IF($W11=1,AGR11,KC11)=0),1000000000,IF($V11=1,INDEX('calcA'!$D$130:$EQ$169,$B11,39)+IF(AND($E11=1,KC11=0),25,0),IF($F11&gt;0,INDEX('calcA'!AP$110:AP$114,$F11+1)+IF(AND($E11=1,KC11=0),1000,0),MIN(TV11,20)*400+(IF('calcA'!AO$106=1,1-EM11,0)+IF('calcA'!AP$106=1,1-EO11,0))*150+152+'calcA'!AP$5*100000+IF(AND($E11=1,KC11=0),50000,0))+IF($H11=1,INDEX('calcA'!$D$180:$EQ$219,$B11,39)*4000,0)-IF(AND('calcA'!AO$117=1,VM11&gt;0),2000,0)-IF(AND($U11=1,'calcA'!AP$117=1,EO11=0),2000,0))),1000000000))</f>
        <v/>
      </c>
      <c r="PS11">
        <f>IF($B11=0,1000000000,IF(INDEX('calcA'!$D$60:$EQ$99,$B11,40)*IF($W11=1,EO11+ABD11,EO11)=1,IF(AND($E11=2,IF($W11=1,AGS11,KD11)=0),1000000000,IF($V11=1,INDEX('calcA'!$D$130:$EQ$169,$B11,40)+IF(AND($E11=1,KD11=0),25,0),IF($F11&gt;0,INDEX('calcA'!AQ$110:AQ$114,$F11+1)+IF(AND($E11=1,KD11=0),1000,0),MIN(TV11,20)*400+(IF('calcA'!AP$106=1,1-EN11,0)+IF('calcA'!AQ$106=1,1-EP11,0))*150+162+'calcA'!AQ$5*100000+IF(AND($E11=1,KD11=0),50000,0))+IF($H11=1,INDEX('calcA'!$D$180:$EQ$219,$B11,40)*4000,0)-IF(AND('calcA'!AP$117=1,VN11&gt;0),2000,0)-IF(AND($U11=1,'calcA'!AQ$117=1,EP11=0),2000,0))),1000000000))</f>
        <v/>
      </c>
      <c r="PT11">
        <f>IF($B11=0,1000000000,IF(INDEX('calcA'!$D$60:$EQ$99,$B11,41)*IF($W11=1,EP11+ABE11,EP11)=1,IF(AND($E11=2,IF($W11=1,AGT11,KE11)=0),1000000000,IF($V11=1,INDEX('calcA'!$D$130:$EQ$169,$B11,41)+IF(AND($E11=1,KE11=0),25,0),IF($F11&gt;0,INDEX('calcA'!AR$110:AR$114,$F11+1)+IF(AND($E11=1,KE11=0),1000,0),MIN(TV11,20)*400+(IF('calcA'!AQ$106=1,1-EO11,0)+IF('calcA'!AR$106=1,1-EQ11,0))*150+172+'calcA'!AR$5*100000+IF(AND($E11=1,KE11=0),50000,0))+IF($H11=1,INDEX('calcA'!$D$180:$EQ$219,$B11,41)*4000,0)-IF(AND('calcA'!AQ$117=1,VO11&gt;0),2000,0)-IF(AND($U11=1,'calcA'!AR$117=1,EQ11=0),2000,0))),1000000000))</f>
        <v/>
      </c>
      <c r="PU11">
        <f>IF($B11=0,1000000000,IF(INDEX('calcA'!$D$60:$EQ$99,$B11,42)*IF($W11=1,EQ11+ABF11,EQ11)=1,IF(AND($E11=2,IF($W11=1,AGU11,KF11)=0),1000000000,IF($V11=1,INDEX('calcA'!$D$130:$EQ$169,$B11,42)+IF(AND($E11=1,KF11=0),25,0),IF($F11&gt;0,INDEX('calcA'!AS$110:AS$114,$F11+1)+IF(AND($E11=1,KF11=0),1000,0),MIN(TV11,20)*400+(IF('calcA'!AR$106=1,1-EP11,0)+IF('calcA'!AS$106=1,1-ER11,0))*150+182+'calcA'!AS$5*100000+IF(AND($E11=1,KF11=0),50000,0))+IF($H11=1,INDEX('calcA'!$D$180:$EQ$219,$B11,42)*4000,0)-IF(AND('calcA'!AR$117=1,VP11&gt;0),2000,0)-IF(AND($U11=1,'calcA'!AS$117=1,ER11=0),2000,0))),1000000000))</f>
        <v/>
      </c>
      <c r="PV11">
        <f>IF($B11=0,1000000000,IF(INDEX('calcA'!$D$60:$EQ$99,$B11,43)*IF($W11=1,ER11+ABG11,ER11)=1,IF(AND($E11=2,IF($W11=1,AGV11,KG11)=0),1000000000,IF($V11=1,INDEX('calcA'!$D$130:$EQ$169,$B11,43)+IF(AND($E11=1,KG11=0),25,0),IF($F11&gt;0,INDEX('calcA'!AT$110:AT$114,$F11+1)+IF(AND($E11=1,KG11=0),1000,0),MIN(TV11,20)*400+(IF('calcA'!AS$106=1,1-EQ11,0)+IF('calcA'!AT$106=1,1-ES11,0))*150+192+'calcA'!AT$5*100000+IF(AND($E11=1,KG11=0),50000,0))+IF($H11=1,INDEX('calcA'!$D$180:$EQ$219,$B11,43)*4000,0)-IF(AND('calcA'!AS$117=1,VQ11&gt;0),2000,0)-IF(AND($U11=1,'calcA'!AT$117=1,ES11=0),2000,0))),1000000000))</f>
        <v/>
      </c>
      <c r="PW11">
        <f>IF($B11=0,1000000000,IF(INDEX('calcA'!$D$60:$EQ$99,$B11,44)*IF($W11=1,ES11+ABH11,ES11)=1,IF(AND($E11=2,IF($W11=1,AGW11,KH11)=0),1000000000,IF($V11=1,INDEX('calcA'!$D$130:$EQ$169,$B11,44)+IF(AND($E11=1,KH11=0),25,0),IF($F11&gt;0,INDEX('calcA'!AU$110:AU$114,$F11+1)+IF(AND($E11=1,KH11=0),1000,0),MIN(TV11,20)*400+(IF('calcA'!AT$106=1,1-ER11,0)+IF('calcA'!AU$106=1,1-ET11,0))*150+202+'calcA'!AU$5*100000+IF(AND($E11=1,KH11=0),50000,0))+IF($H11=1,INDEX('calcA'!$D$180:$EQ$219,$B11,44)*4000,0)-IF(AND('calcA'!AT$117=1,VR11&gt;0),2000,0)-IF(AND($U11=1,'calcA'!AU$117=1,ET11=0),2000,0))),1000000000))</f>
        <v/>
      </c>
      <c r="PX11">
        <f>IF($B11=0,1000000000,IF(INDEX('calcA'!$D$60:$EQ$99,$B11,45)*IF($W11=1,ET11+ABI11,ET11)=1,IF(AND($E11=2,IF($W11=1,AGX11,KI11)=0),1000000000,IF($V11=1,INDEX('calcA'!$D$130:$EQ$169,$B11,45)+IF(AND($E11=1,KI11=0),25,0),IF($F11&gt;0,INDEX('calcA'!AV$110:AV$114,$F11+1)+IF(AND($E11=1,KI11=0),1000,0),MIN(TV11,20)*400+(IF('calcA'!AU$106=1,1-ES11,0)+IF('calcA'!AV$106=1,1-EU11,0))*150+212+'calcA'!AV$5*100000+IF(AND($E11=1,KI11=0),50000,0))+IF($H11=1,INDEX('calcA'!$D$180:$EQ$219,$B11,45)*4000,0)-IF(AND('calcA'!AU$117=1,VS11&gt;0),2000,0)-IF(AND($U11=1,'calcA'!AV$117=1,EU11=0),2000,0))),1000000000))</f>
        <v/>
      </c>
      <c r="PY11">
        <f>IF($B11=0,1000000000,IF(INDEX('calcA'!$D$60:$EQ$99,$B11,46)*IF($W11=1,EU11+ABJ11,EU11)=1,IF(AND($E11=2,IF($W11=1,AGY11,KJ11)=0),1000000000,IF($V11=1,INDEX('calcA'!$D$130:$EQ$169,$B11,46)+IF(AND($E11=1,KJ11=0),25,0),IF($F11&gt;0,INDEX('calcA'!AW$110:AW$114,$F11+1)+IF(AND($E11=1,KJ11=0),1000,0),MIN(TV11,20)*400+(IF('calcA'!AV$106=1,1-ET11,0)+IF('calcA'!AW$106=1,1-EV11,0))*150+222+'calcA'!AW$5*100000+IF(AND($E11=1,KJ11=0),50000,0))+IF($H11=1,INDEX('calcA'!$D$180:$EQ$219,$B11,46)*4000,0)-IF(AND('calcA'!AV$117=1,VT11&gt;0),2000,0)-IF(AND($U11=1,'calcA'!AW$117=1,EV11=0),2000,0))),1000000000))</f>
        <v/>
      </c>
      <c r="PZ11">
        <f>IF($B11=0,1000000000,IF(INDEX('calcA'!$D$60:$EQ$99,$B11,47)*IF($W11=1,EV11+ABK11,EV11)=1,IF(AND($E11=2,IF($W11=1,AGZ11,KK11)=0),1000000000,IF($V11=1,INDEX('calcA'!$D$130:$EQ$169,$B11,47)+IF(AND($E11=1,KK11=0),25,0),IF($F11&gt;0,INDEX('calcA'!AX$110:AX$114,$F11+1)+IF(AND($E11=1,KK11=0),1000,0),MIN(TV11,20)*400+(IF('calcA'!AW$106=1,1-EU11,0)+IF('calcA'!AX$106=1,1-EW11,0))*150+232+'calcA'!AX$5*100000+IF(AND($E11=1,KK11=0),50000,0))+IF($H11=1,INDEX('calcA'!$D$180:$EQ$219,$B11,47)*4000,0)-IF(AND('calcA'!AW$117=1,VU11&gt;0),2000,0)-IF(AND($U11=1,'calcA'!AX$117=1,EW11=0),2000,0))),1000000000))</f>
        <v/>
      </c>
      <c r="QA11">
        <f>IF($B11=0,1000000000,IF(INDEX('calcA'!$D$60:$EQ$99,$B11,48)*IF($W11=1,EW11+ABL11,EW11)=1,IF(AND($E11=2,IF($W11=1,AHA11,KL11)=0),1000000000,IF($V11=1,INDEX('calcA'!$D$130:$EQ$169,$B11,48)+IF(AND($E11=1,KL11=0),25,0),IF($F11&gt;0,INDEX('calcA'!AY$110:AY$114,$F11+1)+IF(AND($E11=1,KL11=0),1000,0),MIN(TV11,20)*400+(IF('calcA'!AX$106=1,1-EV11,0))*150+242+'calcA'!AY$5*100000+IF(AND($E11=1,KL11=0),50000,0))+IF($H11=1,INDEX('calcA'!$D$180:$EQ$219,$B11,48)*4000,0)-IF(AND('calcA'!AX$117=1,VV11&gt;0),2000,0))),1000000000))</f>
        <v/>
      </c>
      <c r="QB11">
        <f>IF($B11=0,1000000000,IF(INDEX('calcA'!$D$60:$EQ$99,$B11,49)*IF($W11=1,EX11+ABM11,EX11)=1,IF(AND($E11=2,IF($W11=1,AHB11,KM11)=0),1000000000,IF($V11=1,INDEX('calcA'!$D$130:$EQ$169,$B11,49)+IF(AND($E11=1,KM11=0),25,0),IF($F11&gt;0,INDEX('calcA'!AZ$110:AZ$114,$F11+1)+IF(AND($E11=1,KM11=0),1000,0),MIN(TW11,20)*400+(IF('calcA'!AZ$106=1,1-EY11,0))*150+13+'calcA'!AZ$5*100000+IF(AND($E11=1,KM11=0),50000,0))+IF($H11=1,INDEX('calcA'!$D$180:$EQ$219,$B11,49)*4000,0)-IF(AND($U11=1,'calcA'!AZ$117=1,EY11=0),2000,0))),1000000000))</f>
        <v/>
      </c>
      <c r="QC11">
        <f>IF($B11=0,1000000000,IF(INDEX('calcA'!$D$60:$EQ$99,$B11,50)*IF($W11=1,EY11+ABN11,EY11)=1,IF(AND($E11=2,IF($W11=1,AHC11,KN11)=0),1000000000,IF($V11=1,INDEX('calcA'!$D$130:$EQ$169,$B11,50)+IF(AND($E11=1,KN11=0),25,0),IF($F11&gt;0,INDEX('calcA'!BA$110:BA$114,$F11+1)+IF(AND($E11=1,KN11=0),1000,0),MIN(TW11,20)*400+(IF('calcA'!AZ$106=1,1-EX11,0)+IF('calcA'!BA$106=1,1-EZ11,0))*150+23+'calcA'!BA$5*100000+IF(AND($E11=1,KN11=0),50000,0))+IF($H11=1,INDEX('calcA'!$D$180:$EQ$219,$B11,50)*4000,0)-IF(AND('calcA'!AZ$117=1,VX11&gt;0),2000,0)-IF(AND($U11=1,'calcA'!BA$117=1,EZ11=0),2000,0))),1000000000))</f>
        <v/>
      </c>
      <c r="QD11">
        <f>IF($B11=0,1000000000,IF(INDEX('calcA'!$D$60:$EQ$99,$B11,51)*IF($W11=1,EZ11+ABO11,EZ11)=1,IF(AND($E11=2,IF($W11=1,AHD11,KO11)=0),1000000000,IF($V11=1,INDEX('calcA'!$D$130:$EQ$169,$B11,51)+IF(AND($E11=1,KO11=0),25,0),IF($F11&gt;0,INDEX('calcA'!BB$110:BB$114,$F11+1)+IF(AND($E11=1,KO11=0),1000,0),MIN(TW11,20)*400+(IF('calcA'!BA$106=1,1-EY11,0)+IF('calcA'!BB$106=1,1-FA11,0))*150+33+'calcA'!BB$5*100000+IF(AND($E11=1,KO11=0),50000,0))+IF($H11=1,INDEX('calcA'!$D$180:$EQ$219,$B11,51)*4000,0)-IF(AND('calcA'!BA$117=1,VY11&gt;0),2000,0)-IF(AND($U11=1,'calcA'!BB$117=1,FA11=0),2000,0))),1000000000))</f>
        <v/>
      </c>
      <c r="QE11">
        <f>IF($B11=0,1000000000,IF(INDEX('calcA'!$D$60:$EQ$99,$B11,52)*IF($W11=1,FA11+ABP11,FA11)=1,IF(AND($E11=2,IF($W11=1,AHE11,KP11)=0),1000000000,IF($V11=1,INDEX('calcA'!$D$130:$EQ$169,$B11,52)+IF(AND($E11=1,KP11=0),25,0),IF($F11&gt;0,INDEX('calcA'!BC$110:BC$114,$F11+1)+IF(AND($E11=1,KP11=0),1000,0),MIN(TW11,20)*400+(IF('calcA'!BB$106=1,1-EZ11,0)+IF('calcA'!BC$106=1,1-FB11,0))*150+43+'calcA'!BC$5*100000+IF(AND($E11=1,KP11=0),50000,0))+IF($H11=1,INDEX('calcA'!$D$180:$EQ$219,$B11,52)*4000,0)-IF(AND('calcA'!BB$117=1,VZ11&gt;0),2000,0)-IF(AND($U11=1,'calcA'!BC$117=1,FB11=0),2000,0))),1000000000))</f>
        <v/>
      </c>
      <c r="QF11">
        <f>IF($B11=0,1000000000,IF(INDEX('calcA'!$D$60:$EQ$99,$B11,53)*IF($W11=1,FB11+ABQ11,FB11)=1,IF(AND($E11=2,IF($W11=1,AHF11,KQ11)=0),1000000000,IF($V11=1,INDEX('calcA'!$D$130:$EQ$169,$B11,53)+IF(AND($E11=1,KQ11=0),25,0),IF($F11&gt;0,INDEX('calcA'!BD$110:BD$114,$F11+1)+IF(AND($E11=1,KQ11=0),1000,0),MIN(TW11,20)*400+(IF('calcA'!BC$106=1,1-FA11,0)+IF('calcA'!BD$106=1,1-FC11,0))*150+53+'calcA'!BD$5*100000+IF(AND($E11=1,KQ11=0),50000,0))+IF($H11=1,INDEX('calcA'!$D$180:$EQ$219,$B11,53)*4000,0)-IF(AND('calcA'!BC$117=1,WA11&gt;0),2000,0)-IF(AND($U11=1,'calcA'!BD$117=1,FC11=0),2000,0))),1000000000))</f>
        <v/>
      </c>
      <c r="QG11">
        <f>IF($B11=0,1000000000,IF(INDEX('calcA'!$D$60:$EQ$99,$B11,54)*IF($W11=1,FC11+ABR11,FC11)=1,IF(AND($E11=2,IF($W11=1,AHG11,KR11)=0),1000000000,IF($V11=1,INDEX('calcA'!$D$130:$EQ$169,$B11,54)+IF(AND($E11=1,KR11=0),25,0),IF($F11&gt;0,INDEX('calcA'!BE$110:BE$114,$F11+1)+IF(AND($E11=1,KR11=0),1000,0),MIN(TW11,20)*400+(IF('calcA'!BD$106=1,1-FB11,0)+IF('calcA'!BE$106=1,1-FD11,0))*150+63+'calcA'!BE$5*100000+IF(AND($E11=1,KR11=0),50000,0))+IF($H11=1,INDEX('calcA'!$D$180:$EQ$219,$B11,54)*4000,0)-IF(AND('calcA'!BD$117=1,WB11&gt;0),2000,0)-IF(AND($U11=1,'calcA'!BE$117=1,FD11=0),2000,0))),1000000000))</f>
        <v/>
      </c>
      <c r="QH11">
        <f>IF($B11=0,1000000000,IF(INDEX('calcA'!$D$60:$EQ$99,$B11,55)*IF($W11=1,FD11+ABS11,FD11)=1,IF(AND($E11=2,IF($W11=1,AHH11,KS11)=0),1000000000,IF($V11=1,INDEX('calcA'!$D$130:$EQ$169,$B11,55)+IF(AND($E11=1,KS11=0),25,0),IF($F11&gt;0,INDEX('calcA'!BF$110:BF$114,$F11+1)+IF(AND($E11=1,KS11=0),1000,0),MIN(TW11,20)*400+(IF('calcA'!BE$106=1,1-FC11,0)+IF('calcA'!BF$106=1,1-FE11,0))*150+73+'calcA'!BF$5*100000+IF(AND($E11=1,KS11=0),50000,0))+IF($H11=1,INDEX('calcA'!$D$180:$EQ$219,$B11,55)*4000,0)-IF(AND('calcA'!BE$117=1,WC11&gt;0),2000,0)-IF(AND($U11=1,'calcA'!BF$117=1,FE11=0),2000,0))),1000000000))</f>
        <v/>
      </c>
      <c r="QI11">
        <f>IF($B11=0,1000000000,IF(INDEX('calcA'!$D$60:$EQ$99,$B11,56)*IF($W11=1,FE11+ABT11,FE11)=1,IF(AND($E11=2,IF($W11=1,AHI11,KT11)=0),1000000000,IF($V11=1,INDEX('calcA'!$D$130:$EQ$169,$B11,56)+IF(AND($E11=1,KT11=0),25,0),IF($F11&gt;0,INDEX('calcA'!BG$110:BG$114,$F11+1)+IF(AND($E11=1,KT11=0),1000,0),MIN(TW11,20)*400+(IF('calcA'!BF$106=1,1-FD11,0)+IF('calcA'!BG$106=1,1-FF11,0))*150+83+'calcA'!BG$5*100000+IF(AND($E11=1,KT11=0),50000,0))+IF($H11=1,INDEX('calcA'!$D$180:$EQ$219,$B11,56)*4000,0)-IF(AND('calcA'!BF$117=1,WD11&gt;0),2000,0)-IF(AND($U11=1,'calcA'!BG$117=1,FF11=0),2000,0))),1000000000))</f>
        <v/>
      </c>
      <c r="QJ11">
        <f>IF($B11=0,1000000000,IF(INDEX('calcA'!$D$60:$EQ$99,$B11,57)*IF($W11=1,FF11+ABU11,FF11)=1,IF(AND($E11=2,IF($W11=1,AHJ11,KU11)=0),1000000000,IF($V11=1,INDEX('calcA'!$D$130:$EQ$169,$B11,57)+IF(AND($E11=1,KU11=0),25,0),IF($F11&gt;0,INDEX('calcA'!BH$110:BH$114,$F11+1)+IF(AND($E11=1,KU11=0),1000,0),MIN(TW11,20)*400+(IF('calcA'!BG$106=1,1-FE11,0)+IF('calcA'!BH$106=1,1-FG11,0))*150+93+'calcA'!BH$5*100000+IF(AND($E11=1,KU11=0),50000,0))+IF($H11=1,INDEX('calcA'!$D$180:$EQ$219,$B11,57)*4000,0)-IF(AND('calcA'!BG$117=1,WE11&gt;0),2000,0)-IF(AND($U11=1,'calcA'!BH$117=1,FG11=0),2000,0))),1000000000))</f>
        <v/>
      </c>
      <c r="QK11">
        <f>IF($B11=0,1000000000,IF(INDEX('calcA'!$D$60:$EQ$99,$B11,58)*IF($W11=1,FG11+ABV11,FG11)=1,IF(AND($E11=2,IF($W11=1,AHK11,KV11)=0),1000000000,IF($V11=1,INDEX('calcA'!$D$130:$EQ$169,$B11,58)+IF(AND($E11=1,KV11=0),25,0),IF($F11&gt;0,INDEX('calcA'!BI$110:BI$114,$F11+1)+IF(AND($E11=1,KV11=0),1000,0),MIN(TW11,20)*400+(IF('calcA'!BH$106=1,1-FF11,0)+IF('calcA'!BI$106=1,1-FH11,0))*150+103+'calcA'!BI$5*100000+IF(AND($E11=1,KV11=0),50000,0))+IF($H11=1,INDEX('calcA'!$D$180:$EQ$219,$B11,58)*4000,0)-IF(AND('calcA'!BH$117=1,WF11&gt;0),2000,0)-IF(AND($U11=1,'calcA'!BI$117=1,FH11=0),2000,0))),1000000000))</f>
        <v/>
      </c>
      <c r="QL11">
        <f>IF($B11=0,1000000000,IF(INDEX('calcA'!$D$60:$EQ$99,$B11,59)*IF($W11=1,FH11+ABW11,FH11)=1,IF(AND($E11=2,IF($W11=1,AHL11,KW11)=0),1000000000,IF($V11=1,INDEX('calcA'!$D$130:$EQ$169,$B11,59)+IF(AND($E11=1,KW11=0),25,0),IF($F11&gt;0,INDEX('calcA'!BJ$110:BJ$114,$F11+1)+IF(AND($E11=1,KW11=0),1000,0),MIN(TW11,20)*400+(IF('calcA'!BI$106=1,1-FG11,0)+IF('calcA'!BJ$106=1,1-FI11,0))*150+113+'calcA'!BJ$5*100000+IF(AND($E11=1,KW11=0),50000,0))+IF($H11=1,INDEX('calcA'!$D$180:$EQ$219,$B11,59)*4000,0)-IF(AND('calcA'!BI$117=1,WG11&gt;0),2000,0)-IF(AND($U11=1,'calcA'!BJ$117=1,FI11=0),2000,0))),1000000000))</f>
        <v/>
      </c>
      <c r="QM11">
        <f>IF($B11=0,1000000000,IF(INDEX('calcA'!$D$60:$EQ$99,$B11,60)*IF($W11=1,FI11+ABX11,FI11)=1,IF(AND($E11=2,IF($W11=1,AHM11,KX11)=0),1000000000,IF($V11=1,INDEX('calcA'!$D$130:$EQ$169,$B11,60)+IF(AND($E11=1,KX11=0),25,0),IF($F11&gt;0,INDEX('calcA'!BK$110:BK$114,$F11+1)+IF(AND($E11=1,KX11=0),1000,0),MIN(TW11,20)*400+(IF('calcA'!BJ$106=1,1-FH11,0)+IF('calcA'!BK$106=1,1-FJ11,0))*150+123+'calcA'!BK$5*100000+IF(AND($E11=1,KX11=0),50000,0))+IF($H11=1,INDEX('calcA'!$D$180:$EQ$219,$B11,60)*4000,0)-IF(AND('calcA'!BJ$117=1,WH11&gt;0),2000,0)-IF(AND($U11=1,'calcA'!BK$117=1,FJ11=0),2000,0))),1000000000))</f>
        <v/>
      </c>
      <c r="QN11">
        <f>IF($B11=0,1000000000,IF(INDEX('calcA'!$D$60:$EQ$99,$B11,61)*IF($W11=1,FJ11+ABY11,FJ11)=1,IF(AND($E11=2,IF($W11=1,AHN11,KY11)=0),1000000000,IF($V11=1,INDEX('calcA'!$D$130:$EQ$169,$B11,61)+IF(AND($E11=1,KY11=0),25,0),IF($F11&gt;0,INDEX('calcA'!BL$110:BL$114,$F11+1)+IF(AND($E11=1,KY11=0),1000,0),MIN(TW11,20)*400+(IF('calcA'!BK$106=1,1-FI11,0)+IF('calcA'!BL$106=1,1-FK11,0))*150+133+'calcA'!BL$5*100000+IF(AND($E11=1,KY11=0),50000,0))+IF($H11=1,INDEX('calcA'!$D$180:$EQ$219,$B11,61)*4000,0)-IF(AND('calcA'!BK$117=1,WI11&gt;0),2000,0)-IF(AND($U11=1,'calcA'!BL$117=1,FK11=0),2000,0))),1000000000))</f>
        <v/>
      </c>
      <c r="QO11">
        <f>IF($B11=0,1000000000,IF(INDEX('calcA'!$D$60:$EQ$99,$B11,62)*IF($W11=1,FK11+ABZ11,FK11)=1,IF(AND($E11=2,IF($W11=1,AHO11,KZ11)=0),1000000000,IF($V11=1,INDEX('calcA'!$D$130:$EQ$169,$B11,62)+IF(AND($E11=1,KZ11=0),25,0),IF($F11&gt;0,INDEX('calcA'!BM$110:BM$114,$F11+1)+IF(AND($E11=1,KZ11=0),1000,0),MIN(TW11,20)*400+(IF('calcA'!BL$106=1,1-FJ11,0)+IF('calcA'!BM$106=1,1-FL11,0))*150+143+'calcA'!BM$5*100000+IF(AND($E11=1,KZ11=0),50000,0))+IF($H11=1,INDEX('calcA'!$D$180:$EQ$219,$B11,62)*4000,0)-IF(AND('calcA'!BL$117=1,WJ11&gt;0),2000,0)-IF(AND($U11=1,'calcA'!BM$117=1,FL11=0),2000,0))),1000000000))</f>
        <v/>
      </c>
      <c r="QP11">
        <f>IF($B11=0,1000000000,IF(INDEX('calcA'!$D$60:$EQ$99,$B11,63)*IF($W11=1,FL11+ACA11,FL11)=1,IF(AND($E11=2,IF($W11=1,AHP11,LA11)=0),1000000000,IF($V11=1,INDEX('calcA'!$D$130:$EQ$169,$B11,63)+IF(AND($E11=1,LA11=0),25,0),IF($F11&gt;0,INDEX('calcA'!BN$110:BN$114,$F11+1)+IF(AND($E11=1,LA11=0),1000,0),MIN(TW11,20)*400+(IF('calcA'!BM$106=1,1-FK11,0)+IF('calcA'!BN$106=1,1-FM11,0))*150+153+'calcA'!BN$5*100000+IF(AND($E11=1,LA11=0),50000,0))+IF($H11=1,INDEX('calcA'!$D$180:$EQ$219,$B11,63)*4000,0)-IF(AND('calcA'!BM$117=1,WK11&gt;0),2000,0)-IF(AND($U11=1,'calcA'!BN$117=1,FM11=0),2000,0))),1000000000))</f>
        <v/>
      </c>
      <c r="QQ11">
        <f>IF($B11=0,1000000000,IF(INDEX('calcA'!$D$60:$EQ$99,$B11,64)*IF($W11=1,FM11+ACB11,FM11)=1,IF(AND($E11=2,IF($W11=1,AHQ11,LB11)=0),1000000000,IF($V11=1,INDEX('calcA'!$D$130:$EQ$169,$B11,64)+IF(AND($E11=1,LB11=0),25,0),IF($F11&gt;0,INDEX('calcA'!BO$110:BO$114,$F11+1)+IF(AND($E11=1,LB11=0),1000,0),MIN(TW11,20)*400+(IF('calcA'!BN$106=1,1-FL11,0)+IF('calcA'!BO$106=1,1-FN11,0))*150+163+'calcA'!BO$5*100000+IF(AND($E11=1,LB11=0),50000,0))+IF($H11=1,INDEX('calcA'!$D$180:$EQ$219,$B11,64)*4000,0)-IF(AND('calcA'!BN$117=1,WL11&gt;0),2000,0)-IF(AND($U11=1,'calcA'!BO$117=1,FN11=0),2000,0))),1000000000))</f>
        <v/>
      </c>
      <c r="QR11">
        <f>IF($B11=0,1000000000,IF(INDEX('calcA'!$D$60:$EQ$99,$B11,65)*IF($W11=1,FN11+ACC11,FN11)=1,IF(AND($E11=2,IF($W11=1,AHR11,LC11)=0),1000000000,IF($V11=1,INDEX('calcA'!$D$130:$EQ$169,$B11,65)+IF(AND($E11=1,LC11=0),25,0),IF($F11&gt;0,INDEX('calcA'!BP$110:BP$114,$F11+1)+IF(AND($E11=1,LC11=0),1000,0),MIN(TW11,20)*400+(IF('calcA'!BO$106=1,1-FM11,0)+IF('calcA'!BP$106=1,1-FO11,0))*150+173+'calcA'!BP$5*100000+IF(AND($E11=1,LC11=0),50000,0))+IF($H11=1,INDEX('calcA'!$D$180:$EQ$219,$B11,65)*4000,0)-IF(AND('calcA'!BO$117=1,WM11&gt;0),2000,0)-IF(AND($U11=1,'calcA'!BP$117=1,FO11=0),2000,0))),1000000000))</f>
        <v/>
      </c>
      <c r="QS11">
        <f>IF($B11=0,1000000000,IF(INDEX('calcA'!$D$60:$EQ$99,$B11,66)*IF($W11=1,FO11+ACD11,FO11)=1,IF(AND($E11=2,IF($W11=1,AHS11,LD11)=0),1000000000,IF($V11=1,INDEX('calcA'!$D$130:$EQ$169,$B11,66)+IF(AND($E11=1,LD11=0),25,0),IF($F11&gt;0,INDEX('calcA'!BQ$110:BQ$114,$F11+1)+IF(AND($E11=1,LD11=0),1000,0),MIN(TW11,20)*400+(IF('calcA'!BP$106=1,1-FN11,0)+IF('calcA'!BQ$106=1,1-FP11,0))*150+183+'calcA'!BQ$5*100000+IF(AND($E11=1,LD11=0),50000,0))+IF($H11=1,INDEX('calcA'!$D$180:$EQ$219,$B11,66)*4000,0)-IF(AND('calcA'!BP$117=1,WN11&gt;0),2000,0)-IF(AND($U11=1,'calcA'!BQ$117=1,FP11=0),2000,0))),1000000000))</f>
        <v/>
      </c>
      <c r="QT11">
        <f>IF($B11=0,1000000000,IF(INDEX('calcA'!$D$60:$EQ$99,$B11,67)*IF($W11=1,FP11+ACE11,FP11)=1,IF(AND($E11=2,IF($W11=1,AHT11,LE11)=0),1000000000,IF($V11=1,INDEX('calcA'!$D$130:$EQ$169,$B11,67)+IF(AND($E11=1,LE11=0),25,0),IF($F11&gt;0,INDEX('calcA'!BR$110:BR$114,$F11+1)+IF(AND($E11=1,LE11=0),1000,0),MIN(TW11,20)*400+(IF('calcA'!BQ$106=1,1-FO11,0)+IF('calcA'!BR$106=1,1-FQ11,0))*150+193+'calcA'!BR$5*100000+IF(AND($E11=1,LE11=0),50000,0))+IF($H11=1,INDEX('calcA'!$D$180:$EQ$219,$B11,67)*4000,0)-IF(AND('calcA'!BQ$117=1,WO11&gt;0),2000,0)-IF(AND($U11=1,'calcA'!BR$117=1,FQ11=0),2000,0))),1000000000))</f>
        <v/>
      </c>
      <c r="QU11">
        <f>IF($B11=0,1000000000,IF(INDEX('calcA'!$D$60:$EQ$99,$B11,68)*IF($W11=1,FQ11+ACF11,FQ11)=1,IF(AND($E11=2,IF($W11=1,AHU11,LF11)=0),1000000000,IF($V11=1,INDEX('calcA'!$D$130:$EQ$169,$B11,68)+IF(AND($E11=1,LF11=0),25,0),IF($F11&gt;0,INDEX('calcA'!BS$110:BS$114,$F11+1)+IF(AND($E11=1,LF11=0),1000,0),MIN(TW11,20)*400+(IF('calcA'!BR$106=1,1-FP11,0)+IF('calcA'!BS$106=1,1-FR11,0))*150+203+'calcA'!BS$5*100000+IF(AND($E11=1,LF11=0),50000,0))+IF($H11=1,INDEX('calcA'!$D$180:$EQ$219,$B11,68)*4000,0)-IF(AND('calcA'!BR$117=1,WP11&gt;0),2000,0)-IF(AND($U11=1,'calcA'!BS$117=1,FR11=0),2000,0))),1000000000))</f>
        <v/>
      </c>
      <c r="QV11">
        <f>IF($B11=0,1000000000,IF(INDEX('calcA'!$D$60:$EQ$99,$B11,69)*IF($W11=1,FR11+ACG11,FR11)=1,IF(AND($E11=2,IF($W11=1,AHV11,LG11)=0),1000000000,IF($V11=1,INDEX('calcA'!$D$130:$EQ$169,$B11,69)+IF(AND($E11=1,LG11=0),25,0),IF($F11&gt;0,INDEX('calcA'!BT$110:BT$114,$F11+1)+IF(AND($E11=1,LG11=0),1000,0),MIN(TW11,20)*400+(IF('calcA'!BS$106=1,1-FQ11,0)+IF('calcA'!BT$106=1,1-FS11,0))*150+213+'calcA'!BT$5*100000+IF(AND($E11=1,LG11=0),50000,0))+IF($H11=1,INDEX('calcA'!$D$180:$EQ$219,$B11,69)*4000,0)-IF(AND('calcA'!BS$117=1,WQ11&gt;0),2000,0)-IF(AND($U11=1,'calcA'!BT$117=1,FS11=0),2000,0))),1000000000))</f>
        <v/>
      </c>
      <c r="QW11">
        <f>IF($B11=0,1000000000,IF(INDEX('calcA'!$D$60:$EQ$99,$B11,70)*IF($W11=1,FS11+ACH11,FS11)=1,IF(AND($E11=2,IF($W11=1,AHW11,LH11)=0),1000000000,IF($V11=1,INDEX('calcA'!$D$130:$EQ$169,$B11,70)+IF(AND($E11=1,LH11=0),25,0),IF($F11&gt;0,INDEX('calcA'!BU$110:BU$114,$F11+1)+IF(AND($E11=1,LH11=0),1000,0),MIN(TW11,20)*400+(IF('calcA'!BT$106=1,1-FR11,0)+IF('calcA'!BU$106=1,1-FT11,0))*150+223+'calcA'!BU$5*100000+IF(AND($E11=1,LH11=0),50000,0))+IF($H11=1,INDEX('calcA'!$D$180:$EQ$219,$B11,70)*4000,0)-IF(AND('calcA'!BT$117=1,WR11&gt;0),2000,0)-IF(AND($U11=1,'calcA'!BU$117=1,FT11=0),2000,0))),1000000000))</f>
        <v/>
      </c>
      <c r="QX11">
        <f>IF($B11=0,1000000000,IF(INDEX('calcA'!$D$60:$EQ$99,$B11,71)*IF($W11=1,FT11+ACI11,FT11)=1,IF(AND($E11=2,IF($W11=1,AHX11,LI11)=0),1000000000,IF($V11=1,INDEX('calcA'!$D$130:$EQ$169,$B11,71)+IF(AND($E11=1,LI11=0),25,0),IF($F11&gt;0,INDEX('calcA'!BV$110:BV$114,$F11+1)+IF(AND($E11=1,LI11=0),1000,0),MIN(TW11,20)*400+(IF('calcA'!BU$106=1,1-FS11,0)+IF('calcA'!BV$106=1,1-FU11,0))*150+233+'calcA'!BV$5*100000+IF(AND($E11=1,LI11=0),50000,0))+IF($H11=1,INDEX('calcA'!$D$180:$EQ$219,$B11,71)*4000,0)-IF(AND('calcA'!BU$117=1,WS11&gt;0),2000,0)-IF(AND($U11=1,'calcA'!BV$117=1,FU11=0),2000,0))),1000000000))</f>
        <v/>
      </c>
      <c r="QY11">
        <f>IF($B11=0,1000000000,IF(INDEX('calcA'!$D$60:$EQ$99,$B11,72)*IF($W11=1,FU11+ACJ11,FU11)=1,IF(AND($E11=2,IF($W11=1,AHY11,LJ11)=0),1000000000,IF($V11=1,INDEX('calcA'!$D$130:$EQ$169,$B11,72)+IF(AND($E11=1,LJ11=0),25,0),IF($F11&gt;0,INDEX('calcA'!BW$110:BW$114,$F11+1)+IF(AND($E11=1,LJ11=0),1000,0),MIN(TW11,20)*400+(IF('calcA'!BV$106=1,1-FT11,0))*150+243+'calcA'!BW$5*100000+IF(AND($E11=1,LJ11=0),50000,0))+IF($H11=1,INDEX('calcA'!$D$180:$EQ$219,$B11,72)*4000,0)-IF(AND('calcA'!BV$117=1,WT11&gt;0),2000,0))),1000000000))</f>
        <v/>
      </c>
      <c r="QZ11">
        <f>IF($B11=0,1000000000,IF(INDEX('calcA'!$D$60:$EQ$99,$B11,73)*IF($W11=1,FV11+ACK11,FV11)=1,IF(AND($E11=2,IF($W11=1,AHZ11,LK11)=0),1000000000,IF($V11=1,INDEX('calcA'!$D$130:$EQ$169,$B11,73)+IF(AND($E11=1,LK11=0),25,0),IF($F11&gt;0,INDEX('calcA'!BX$110:BX$114,$F11+1)+IF(AND($E11=1,LK11=0),1000,0),MIN(TX11,20)*400+(IF('calcA'!BX$106=1,1-FW11,0))*150+14+'calcA'!BX$5*100000+IF(AND($E11=1,LK11=0),50000,0))+IF($H11=1,INDEX('calcA'!$D$180:$EQ$219,$B11,73)*4000,0)-IF(AND($U11=1,'calcA'!BX$117=1,FW11=0),2000,0))),1000000000))</f>
        <v/>
      </c>
      <c r="RA11">
        <f>IF($B11=0,1000000000,IF(INDEX('calcA'!$D$60:$EQ$99,$B11,74)*IF($W11=1,FW11+ACL11,FW11)=1,IF(AND($E11=2,IF($W11=1,AIA11,LL11)=0),1000000000,IF($V11=1,INDEX('calcA'!$D$130:$EQ$169,$B11,74)+IF(AND($E11=1,LL11=0),25,0),IF($F11&gt;0,INDEX('calcA'!BY$110:BY$114,$F11+1)+IF(AND($E11=1,LL11=0),1000,0),MIN(TX11,20)*400+(IF('calcA'!BX$106=1,1-FV11,0)+IF('calcA'!BY$106=1,1-FX11,0))*150+24+'calcA'!BY$5*100000+IF(AND($E11=1,LL11=0),50000,0))+IF($H11=1,INDEX('calcA'!$D$180:$EQ$219,$B11,74)*4000,0)-IF(AND('calcA'!BX$117=1,WV11&gt;0),2000,0)-IF(AND($U11=1,'calcA'!BY$117=1,FX11=0),2000,0))),1000000000))</f>
        <v/>
      </c>
      <c r="RB11">
        <f>IF($B11=0,1000000000,IF(INDEX('calcA'!$D$60:$EQ$99,$B11,75)*IF($W11=1,FX11+ACM11,FX11)=1,IF(AND($E11=2,IF($W11=1,AIB11,LM11)=0),1000000000,IF($V11=1,INDEX('calcA'!$D$130:$EQ$169,$B11,75)+IF(AND($E11=1,LM11=0),25,0),IF($F11&gt;0,INDEX('calcA'!BZ$110:BZ$114,$F11+1)+IF(AND($E11=1,LM11=0),1000,0),MIN(TX11,20)*400+(IF('calcA'!BY$106=1,1-FW11,0)+IF('calcA'!BZ$106=1,1-FY11,0))*150+34+'calcA'!BZ$5*100000+IF(AND($E11=1,LM11=0),50000,0))+IF($H11=1,INDEX('calcA'!$D$180:$EQ$219,$B11,75)*4000,0)-IF(AND('calcA'!BY$117=1,WW11&gt;0),2000,0)-IF(AND($U11=1,'calcA'!BZ$117=1,FY11=0),2000,0))),1000000000))</f>
        <v/>
      </c>
      <c r="RC11">
        <f>IF($B11=0,1000000000,IF(INDEX('calcA'!$D$60:$EQ$99,$B11,76)*IF($W11=1,FY11+ACN11,FY11)=1,IF(AND($E11=2,IF($W11=1,AIC11,LN11)=0),1000000000,IF($V11=1,INDEX('calcA'!$D$130:$EQ$169,$B11,76)+IF(AND($E11=1,LN11=0),25,0),IF($F11&gt;0,INDEX('calcA'!CA$110:CA$114,$F11+1)+IF(AND($E11=1,LN11=0),1000,0),MIN(TX11,20)*400+(IF('calcA'!BZ$106=1,1-FX11,0)+IF('calcA'!CA$106=1,1-FZ11,0))*150+44+'calcA'!CA$5*100000+IF(AND($E11=1,LN11=0),50000,0))+IF($H11=1,INDEX('calcA'!$D$180:$EQ$219,$B11,76)*4000,0)-IF(AND('calcA'!BZ$117=1,WX11&gt;0),2000,0)-IF(AND($U11=1,'calcA'!CA$117=1,FZ11=0),2000,0))),1000000000))</f>
        <v/>
      </c>
      <c r="RD11">
        <f>IF($B11=0,1000000000,IF(INDEX('calcA'!$D$60:$EQ$99,$B11,77)*IF($W11=1,FZ11+ACO11,FZ11)=1,IF(AND($E11=2,IF($W11=1,AID11,LO11)=0),1000000000,IF($V11=1,INDEX('calcA'!$D$130:$EQ$169,$B11,77)+IF(AND($E11=1,LO11=0),25,0),IF($F11&gt;0,INDEX('calcA'!CB$110:CB$114,$F11+1)+IF(AND($E11=1,LO11=0),1000,0),MIN(TX11,20)*400+(IF('calcA'!CA$106=1,1-FY11,0)+IF('calcA'!CB$106=1,1-GA11,0))*150+54+'calcA'!CB$5*100000+IF(AND($E11=1,LO11=0),50000,0))+IF($H11=1,INDEX('calcA'!$D$180:$EQ$219,$B11,77)*4000,0)-IF(AND('calcA'!CA$117=1,WY11&gt;0),2000,0)-IF(AND($U11=1,'calcA'!CB$117=1,GA11=0),2000,0))),1000000000))</f>
        <v/>
      </c>
      <c r="RE11">
        <f>IF($B11=0,1000000000,IF(INDEX('calcA'!$D$60:$EQ$99,$B11,78)*IF($W11=1,GA11+ACP11,GA11)=1,IF(AND($E11=2,IF($W11=1,AIE11,LP11)=0),1000000000,IF($V11=1,INDEX('calcA'!$D$130:$EQ$169,$B11,78)+IF(AND($E11=1,LP11=0),25,0),IF($F11&gt;0,INDEX('calcA'!CC$110:CC$114,$F11+1)+IF(AND($E11=1,LP11=0),1000,0),MIN(TX11,20)*400+(IF('calcA'!CB$106=1,1-FZ11,0)+IF('calcA'!CC$106=1,1-GB11,0))*150+64+'calcA'!CC$5*100000+IF(AND($E11=1,LP11=0),50000,0))+IF($H11=1,INDEX('calcA'!$D$180:$EQ$219,$B11,78)*4000,0)-IF(AND('calcA'!CB$117=1,WZ11&gt;0),2000,0)-IF(AND($U11=1,'calcA'!CC$117=1,GB11=0),2000,0))),1000000000))</f>
        <v/>
      </c>
      <c r="RF11">
        <f>IF($B11=0,1000000000,IF(INDEX('calcA'!$D$60:$EQ$99,$B11,79)*IF($W11=1,GB11+ACQ11,GB11)=1,IF(AND($E11=2,IF($W11=1,AIF11,LQ11)=0),1000000000,IF($V11=1,INDEX('calcA'!$D$130:$EQ$169,$B11,79)+IF(AND($E11=1,LQ11=0),25,0),IF($F11&gt;0,INDEX('calcA'!CD$110:CD$114,$F11+1)+IF(AND($E11=1,LQ11=0),1000,0),MIN(TX11,20)*400+(IF('calcA'!CC$106=1,1-GA11,0)+IF('calcA'!CD$106=1,1-GC11,0))*150+74+'calcA'!CD$5*100000+IF(AND($E11=1,LQ11=0),50000,0))+IF($H11=1,INDEX('calcA'!$D$180:$EQ$219,$B11,79)*4000,0)-IF(AND('calcA'!CC$117=1,XA11&gt;0),2000,0)-IF(AND($U11=1,'calcA'!CD$117=1,GC11=0),2000,0))),1000000000))</f>
        <v/>
      </c>
      <c r="RG11">
        <f>IF($B11=0,1000000000,IF(INDEX('calcA'!$D$60:$EQ$99,$B11,80)*IF($W11=1,GC11+ACR11,GC11)=1,IF(AND($E11=2,IF($W11=1,AIG11,LR11)=0),1000000000,IF($V11=1,INDEX('calcA'!$D$130:$EQ$169,$B11,80)+IF(AND($E11=1,LR11=0),25,0),IF($F11&gt;0,INDEX('calcA'!CE$110:CE$114,$F11+1)+IF(AND($E11=1,LR11=0),1000,0),MIN(TX11,20)*400+(IF('calcA'!CD$106=1,1-GB11,0)+IF('calcA'!CE$106=1,1-GD11,0))*150+84+'calcA'!CE$5*100000+IF(AND($E11=1,LR11=0),50000,0))+IF($H11=1,INDEX('calcA'!$D$180:$EQ$219,$B11,80)*4000,0)-IF(AND('calcA'!CD$117=1,XB11&gt;0),2000,0)-IF(AND($U11=1,'calcA'!CE$117=1,GD11=0),2000,0))),1000000000))</f>
        <v/>
      </c>
      <c r="RH11">
        <f>IF($B11=0,1000000000,IF(INDEX('calcA'!$D$60:$EQ$99,$B11,81)*IF($W11=1,GD11+ACS11,GD11)=1,IF(AND($E11=2,IF($W11=1,AIH11,LS11)=0),1000000000,IF($V11=1,INDEX('calcA'!$D$130:$EQ$169,$B11,81)+IF(AND($E11=1,LS11=0),25,0),IF($F11&gt;0,INDEX('calcA'!CF$110:CF$114,$F11+1)+IF(AND($E11=1,LS11=0),1000,0),MIN(TX11,20)*400+(IF('calcA'!CE$106=1,1-GC11,0)+IF('calcA'!CF$106=1,1-GE11,0))*150+94+'calcA'!CF$5*100000+IF(AND($E11=1,LS11=0),50000,0))+IF($H11=1,INDEX('calcA'!$D$180:$EQ$219,$B11,81)*4000,0)-IF(AND('calcA'!CE$117=1,XC11&gt;0),2000,0)-IF(AND($U11=1,'calcA'!CF$117=1,GE11=0),2000,0))),1000000000))</f>
        <v/>
      </c>
      <c r="RI11">
        <f>IF($B11=0,1000000000,IF(INDEX('calcA'!$D$60:$EQ$99,$B11,82)*IF($W11=1,GE11+ACT11,GE11)=1,IF(AND($E11=2,IF($W11=1,AII11,LT11)=0),1000000000,IF($V11=1,INDEX('calcA'!$D$130:$EQ$169,$B11,82)+IF(AND($E11=1,LT11=0),25,0),IF($F11&gt;0,INDEX('calcA'!CG$110:CG$114,$F11+1)+IF(AND($E11=1,LT11=0),1000,0),MIN(TX11,20)*400+(IF('calcA'!CF$106=1,1-GD11,0)+IF('calcA'!CG$106=1,1-GF11,0))*150+104+'calcA'!CG$5*100000+IF(AND($E11=1,LT11=0),50000,0))+IF($H11=1,INDEX('calcA'!$D$180:$EQ$219,$B11,82)*4000,0)-IF(AND('calcA'!CF$117=1,XD11&gt;0),2000,0)-IF(AND($U11=1,'calcA'!CG$117=1,GF11=0),2000,0))),1000000000))</f>
        <v/>
      </c>
      <c r="RJ11">
        <f>IF($B11=0,1000000000,IF(INDEX('calcA'!$D$60:$EQ$99,$B11,83)*IF($W11=1,GF11+ACU11,GF11)=1,IF(AND($E11=2,IF($W11=1,AIJ11,LU11)=0),1000000000,IF($V11=1,INDEX('calcA'!$D$130:$EQ$169,$B11,83)+IF(AND($E11=1,LU11=0),25,0),IF($F11&gt;0,INDEX('calcA'!CH$110:CH$114,$F11+1)+IF(AND($E11=1,LU11=0),1000,0),MIN(TX11,20)*400+(IF('calcA'!CG$106=1,1-GE11,0)+IF('calcA'!CH$106=1,1-GG11,0))*150+114+'calcA'!CH$5*100000+IF(AND($E11=1,LU11=0),50000,0))+IF($H11=1,INDEX('calcA'!$D$180:$EQ$219,$B11,83)*4000,0)-IF(AND('calcA'!CG$117=1,XE11&gt;0),2000,0)-IF(AND($U11=1,'calcA'!CH$117=1,GG11=0),2000,0))),1000000000))</f>
        <v/>
      </c>
      <c r="RK11">
        <f>IF($B11=0,1000000000,IF(INDEX('calcA'!$D$60:$EQ$99,$B11,84)*IF($W11=1,GG11+ACV11,GG11)=1,IF(AND($E11=2,IF($W11=1,AIK11,LV11)=0),1000000000,IF($V11=1,INDEX('calcA'!$D$130:$EQ$169,$B11,84)+IF(AND($E11=1,LV11=0),25,0),IF($F11&gt;0,INDEX('calcA'!CI$110:CI$114,$F11+1)+IF(AND($E11=1,LV11=0),1000,0),MIN(TX11,20)*400+(IF('calcA'!CH$106=1,1-GF11,0)+IF('calcA'!CI$106=1,1-GH11,0))*150+124+'calcA'!CI$5*100000+IF(AND($E11=1,LV11=0),50000,0))+IF($H11=1,INDEX('calcA'!$D$180:$EQ$219,$B11,84)*4000,0)-IF(AND('calcA'!CH$117=1,XF11&gt;0),2000,0)-IF(AND($U11=1,'calcA'!CI$117=1,GH11=0),2000,0))),1000000000))</f>
        <v/>
      </c>
      <c r="RL11">
        <f>IF($B11=0,1000000000,IF(INDEX('calcA'!$D$60:$EQ$99,$B11,85)*IF($W11=1,GH11+ACW11,GH11)=1,IF(AND($E11=2,IF($W11=1,AIL11,LW11)=0),1000000000,IF($V11=1,INDEX('calcA'!$D$130:$EQ$169,$B11,85)+IF(AND($E11=1,LW11=0),25,0),IF($F11&gt;0,INDEX('calcA'!CJ$110:CJ$114,$F11+1)+IF(AND($E11=1,LW11=0),1000,0),MIN(TX11,20)*400+(IF('calcA'!CI$106=1,1-GG11,0)+IF('calcA'!CJ$106=1,1-GI11,0))*150+134+'calcA'!CJ$5*100000+IF(AND($E11=1,LW11=0),50000,0))+IF($H11=1,INDEX('calcA'!$D$180:$EQ$219,$B11,85)*4000,0)-IF(AND('calcA'!CI$117=1,XG11&gt;0),2000,0)-IF(AND($U11=1,'calcA'!CJ$117=1,GI11=0),2000,0))),1000000000))</f>
        <v/>
      </c>
      <c r="RM11">
        <f>IF($B11=0,1000000000,IF(INDEX('calcA'!$D$60:$EQ$99,$B11,86)*IF($W11=1,GI11+ACX11,GI11)=1,IF(AND($E11=2,IF($W11=1,AIM11,LX11)=0),1000000000,IF($V11=1,INDEX('calcA'!$D$130:$EQ$169,$B11,86)+IF(AND($E11=1,LX11=0),25,0),IF($F11&gt;0,INDEX('calcA'!CK$110:CK$114,$F11+1)+IF(AND($E11=1,LX11=0),1000,0),MIN(TX11,20)*400+(IF('calcA'!CJ$106=1,1-GH11,0)+IF('calcA'!CK$106=1,1-GJ11,0))*150+144+'calcA'!CK$5*100000+IF(AND($E11=1,LX11=0),50000,0))+IF($H11=1,INDEX('calcA'!$D$180:$EQ$219,$B11,86)*4000,0)-IF(AND('calcA'!CJ$117=1,XH11&gt;0),2000,0)-IF(AND($U11=1,'calcA'!CK$117=1,GJ11=0),2000,0))),1000000000))</f>
        <v/>
      </c>
      <c r="RN11">
        <f>IF($B11=0,1000000000,IF(INDEX('calcA'!$D$60:$EQ$99,$B11,87)*IF($W11=1,GJ11+ACY11,GJ11)=1,IF(AND($E11=2,IF($W11=1,AIN11,LY11)=0),1000000000,IF($V11=1,INDEX('calcA'!$D$130:$EQ$169,$B11,87)+IF(AND($E11=1,LY11=0),25,0),IF($F11&gt;0,INDEX('calcA'!CL$110:CL$114,$F11+1)+IF(AND($E11=1,LY11=0),1000,0),MIN(TX11,20)*400+(IF('calcA'!CK$106=1,1-GI11,0)+IF('calcA'!CL$106=1,1-GK11,0))*150+154+'calcA'!CL$5*100000+IF(AND($E11=1,LY11=0),50000,0))+IF($H11=1,INDEX('calcA'!$D$180:$EQ$219,$B11,87)*4000,0)-IF(AND('calcA'!CK$117=1,XI11&gt;0),2000,0)-IF(AND($U11=1,'calcA'!CL$117=1,GK11=0),2000,0))),1000000000))</f>
        <v/>
      </c>
      <c r="RO11">
        <f>IF($B11=0,1000000000,IF(INDEX('calcA'!$D$60:$EQ$99,$B11,88)*IF($W11=1,GK11+ACZ11,GK11)=1,IF(AND($E11=2,IF($W11=1,AIO11,LZ11)=0),1000000000,IF($V11=1,INDEX('calcA'!$D$130:$EQ$169,$B11,88)+IF(AND($E11=1,LZ11=0),25,0),IF($F11&gt;0,INDEX('calcA'!CM$110:CM$114,$F11+1)+IF(AND($E11=1,LZ11=0),1000,0),MIN(TX11,20)*400+(IF('calcA'!CL$106=1,1-GJ11,0)+IF('calcA'!CM$106=1,1-GL11,0))*150+164+'calcA'!CM$5*100000+IF(AND($E11=1,LZ11=0),50000,0))+IF($H11=1,INDEX('calcA'!$D$180:$EQ$219,$B11,88)*4000,0)-IF(AND('calcA'!CL$117=1,XJ11&gt;0),2000,0)-IF(AND($U11=1,'calcA'!CM$117=1,GL11=0),2000,0))),1000000000))</f>
        <v/>
      </c>
      <c r="RP11">
        <f>IF($B11=0,1000000000,IF(INDEX('calcA'!$D$60:$EQ$99,$B11,89)*IF($W11=1,GL11+ADA11,GL11)=1,IF(AND($E11=2,IF($W11=1,AIP11,MA11)=0),1000000000,IF($V11=1,INDEX('calcA'!$D$130:$EQ$169,$B11,89)+IF(AND($E11=1,MA11=0),25,0),IF($F11&gt;0,INDEX('calcA'!CN$110:CN$114,$F11+1)+IF(AND($E11=1,MA11=0),1000,0),MIN(TX11,20)*400+(IF('calcA'!CM$106=1,1-GK11,0)+IF('calcA'!CN$106=1,1-GM11,0))*150+174+'calcA'!CN$5*100000+IF(AND($E11=1,MA11=0),50000,0))+IF($H11=1,INDEX('calcA'!$D$180:$EQ$219,$B11,89)*4000,0)-IF(AND('calcA'!CM$117=1,XK11&gt;0),2000,0)-IF(AND($U11=1,'calcA'!CN$117=1,GM11=0),2000,0))),1000000000))</f>
        <v/>
      </c>
      <c r="RQ11">
        <f>IF($B11=0,1000000000,IF(INDEX('calcA'!$D$60:$EQ$99,$B11,90)*IF($W11=1,GM11+ADB11,GM11)=1,IF(AND($E11=2,IF($W11=1,AIQ11,MB11)=0),1000000000,IF($V11=1,INDEX('calcA'!$D$130:$EQ$169,$B11,90)+IF(AND($E11=1,MB11=0),25,0),IF($F11&gt;0,INDEX('calcA'!CO$110:CO$114,$F11+1)+IF(AND($E11=1,MB11=0),1000,0),MIN(TX11,20)*400+(IF('calcA'!CN$106=1,1-GL11,0)+IF('calcA'!CO$106=1,1-GN11,0))*150+184+'calcA'!CO$5*100000+IF(AND($E11=1,MB11=0),50000,0))+IF($H11=1,INDEX('calcA'!$D$180:$EQ$219,$B11,90)*4000,0)-IF(AND('calcA'!CN$117=1,XL11&gt;0),2000,0)-IF(AND($U11=1,'calcA'!CO$117=1,GN11=0),2000,0))),1000000000))</f>
        <v/>
      </c>
      <c r="RR11">
        <f>IF($B11=0,1000000000,IF(INDEX('calcA'!$D$60:$EQ$99,$B11,91)*IF($W11=1,GN11+ADC11,GN11)=1,IF(AND($E11=2,IF($W11=1,AIR11,MC11)=0),1000000000,IF($V11=1,INDEX('calcA'!$D$130:$EQ$169,$B11,91)+IF(AND($E11=1,MC11=0),25,0),IF($F11&gt;0,INDEX('calcA'!CP$110:CP$114,$F11+1)+IF(AND($E11=1,MC11=0),1000,0),MIN(TX11,20)*400+(IF('calcA'!CO$106=1,1-GM11,0)+IF('calcA'!CP$106=1,1-GO11,0))*150+194+'calcA'!CP$5*100000+IF(AND($E11=1,MC11=0),50000,0))+IF($H11=1,INDEX('calcA'!$D$180:$EQ$219,$B11,91)*4000,0)-IF(AND('calcA'!CO$117=1,XM11&gt;0),2000,0)-IF(AND($U11=1,'calcA'!CP$117=1,GO11=0),2000,0))),1000000000))</f>
        <v/>
      </c>
      <c r="RS11">
        <f>IF($B11=0,1000000000,IF(INDEX('calcA'!$D$60:$EQ$99,$B11,92)*IF($W11=1,GO11+ADD11,GO11)=1,IF(AND($E11=2,IF($W11=1,AIS11,MD11)=0),1000000000,IF($V11=1,INDEX('calcA'!$D$130:$EQ$169,$B11,92)+IF(AND($E11=1,MD11=0),25,0),IF($F11&gt;0,INDEX('calcA'!CQ$110:CQ$114,$F11+1)+IF(AND($E11=1,MD11=0),1000,0),MIN(TX11,20)*400+(IF('calcA'!CP$106=1,1-GN11,0)+IF('calcA'!CQ$106=1,1-GP11,0))*150+204+'calcA'!CQ$5*100000+IF(AND($E11=1,MD11=0),50000,0))+IF($H11=1,INDEX('calcA'!$D$180:$EQ$219,$B11,92)*4000,0)-IF(AND('calcA'!CP$117=1,XN11&gt;0),2000,0)-IF(AND($U11=1,'calcA'!CQ$117=1,GP11=0),2000,0))),1000000000))</f>
        <v/>
      </c>
      <c r="RT11">
        <f>IF($B11=0,1000000000,IF(INDEX('calcA'!$D$60:$EQ$99,$B11,93)*IF($W11=1,GP11+ADE11,GP11)=1,IF(AND($E11=2,IF($W11=1,AIT11,ME11)=0),1000000000,IF($V11=1,INDEX('calcA'!$D$130:$EQ$169,$B11,93)+IF(AND($E11=1,ME11=0),25,0),IF($F11&gt;0,INDEX('calcA'!CR$110:CR$114,$F11+1)+IF(AND($E11=1,ME11=0),1000,0),MIN(TX11,20)*400+(IF('calcA'!CQ$106=1,1-GO11,0)+IF('calcA'!CR$106=1,1-GQ11,0))*150+214+'calcA'!CR$5*100000+IF(AND($E11=1,ME11=0),50000,0))+IF($H11=1,INDEX('calcA'!$D$180:$EQ$219,$B11,93)*4000,0)-IF(AND('calcA'!CQ$117=1,XO11&gt;0),2000,0)-IF(AND($U11=1,'calcA'!CR$117=1,GQ11=0),2000,0))),1000000000))</f>
        <v/>
      </c>
      <c r="RU11">
        <f>IF($B11=0,1000000000,IF(INDEX('calcA'!$D$60:$EQ$99,$B11,94)*IF($W11=1,GQ11+ADF11,GQ11)=1,IF(AND($E11=2,IF($W11=1,AIU11,MF11)=0),1000000000,IF($V11=1,INDEX('calcA'!$D$130:$EQ$169,$B11,94)+IF(AND($E11=1,MF11=0),25,0),IF($F11&gt;0,INDEX('calcA'!CS$110:CS$114,$F11+1)+IF(AND($E11=1,MF11=0),1000,0),MIN(TX11,20)*400+(IF('calcA'!CR$106=1,1-GP11,0)+IF('calcA'!CS$106=1,1-GR11,0))*150+224+'calcA'!CS$5*100000+IF(AND($E11=1,MF11=0),50000,0))+IF($H11=1,INDEX('calcA'!$D$180:$EQ$219,$B11,94)*4000,0)-IF(AND('calcA'!CR$117=1,XP11&gt;0),2000,0)-IF(AND($U11=1,'calcA'!CS$117=1,GR11=0),2000,0))),1000000000))</f>
        <v/>
      </c>
      <c r="RV11">
        <f>IF($B11=0,1000000000,IF(INDEX('calcA'!$D$60:$EQ$99,$B11,95)*IF($W11=1,GR11+ADG11,GR11)=1,IF(AND($E11=2,IF($W11=1,AIV11,MG11)=0),1000000000,IF($V11=1,INDEX('calcA'!$D$130:$EQ$169,$B11,95)+IF(AND($E11=1,MG11=0),25,0),IF($F11&gt;0,INDEX('calcA'!CT$110:CT$114,$F11+1)+IF(AND($E11=1,MG11=0),1000,0),MIN(TX11,20)*400+(IF('calcA'!CS$106=1,1-GQ11,0)+IF('calcA'!CT$106=1,1-GS11,0))*150+234+'calcA'!CT$5*100000+IF(AND($E11=1,MG11=0),50000,0))+IF($H11=1,INDEX('calcA'!$D$180:$EQ$219,$B11,95)*4000,0)-IF(AND('calcA'!CS$117=1,XQ11&gt;0),2000,0)-IF(AND($U11=1,'calcA'!CT$117=1,GS11=0),2000,0))),1000000000))</f>
        <v/>
      </c>
      <c r="RW11">
        <f>IF($B11=0,1000000000,IF(INDEX('calcA'!$D$60:$EQ$99,$B11,96)*IF($W11=1,GS11+ADH11,GS11)=1,IF(AND($E11=2,IF($W11=1,AIW11,MH11)=0),1000000000,IF($V11=1,INDEX('calcA'!$D$130:$EQ$169,$B11,96)+IF(AND($E11=1,MH11=0),25,0),IF($F11&gt;0,INDEX('calcA'!CU$110:CU$114,$F11+1)+IF(AND($E11=1,MH11=0),1000,0),MIN(TX11,20)*400+(IF('calcA'!CT$106=1,1-GR11,0))*150+244+'calcA'!CU$5*100000+IF(AND($E11=1,MH11=0),50000,0))+IF($H11=1,INDEX('calcA'!$D$180:$EQ$219,$B11,96)*4000,0)-IF(AND('calcA'!CT$117=1,XR11&gt;0),2000,0))),1000000000))</f>
        <v/>
      </c>
      <c r="RX11">
        <f>IF($B11=0,1000000000,IF(INDEX('calcA'!$D$60:$EQ$99,$B11,97)*IF($W11=1,GT11+ADI11,GT11)=1,IF(AND($E11=2,IF($W11=1,AIX11,MI11)=0),1000000000,IF($V11=1,INDEX('calcA'!$D$130:$EQ$169,$B11,97)+IF(AND($E11=1,MI11=0),25,0),IF($F11&gt;0,INDEX('calcA'!CV$110:CV$114,$F11+1)+IF(AND($E11=1,MI11=0),1000,0),MIN(TY11,20)*400+(IF('calcA'!CV$106=1,1-GU11,0))*150+15+'calcA'!CV$5*100000+IF(AND($E11=1,MI11=0),50000,0))+IF($H11=1,INDEX('calcA'!$D$180:$EQ$219,$B11,97)*4000,0)-IF(AND($U11=1,'calcA'!CV$117=1,GU11=0),2000,0))),1000000000))</f>
        <v/>
      </c>
      <c r="RY11">
        <f>IF($B11=0,1000000000,IF(INDEX('calcA'!$D$60:$EQ$99,$B11,98)*IF($W11=1,GU11+ADJ11,GU11)=1,IF(AND($E11=2,IF($W11=1,AIY11,MJ11)=0),1000000000,IF($V11=1,INDEX('calcA'!$D$130:$EQ$169,$B11,98)+IF(AND($E11=1,MJ11=0),25,0),IF($F11&gt;0,INDEX('calcA'!CW$110:CW$114,$F11+1)+IF(AND($E11=1,MJ11=0),1000,0),MIN(TY11,20)*400+(IF('calcA'!CV$106=1,1-GT11,0)+IF('calcA'!CW$106=1,1-GV11,0))*150+25+'calcA'!CW$5*100000+IF(AND($E11=1,MJ11=0),50000,0))+IF($H11=1,INDEX('calcA'!$D$180:$EQ$219,$B11,98)*4000,0)-IF(AND('calcA'!CV$117=1,XT11&gt;0),2000,0)-IF(AND($U11=1,'calcA'!CW$117=1,GV11=0),2000,0))),1000000000))</f>
        <v/>
      </c>
      <c r="RZ11">
        <f>IF($B11=0,1000000000,IF(INDEX('calcA'!$D$60:$EQ$99,$B11,99)*IF($W11=1,GV11+ADK11,GV11)=1,IF(AND($E11=2,IF($W11=1,AIZ11,MK11)=0),1000000000,IF($V11=1,INDEX('calcA'!$D$130:$EQ$169,$B11,99)+IF(AND($E11=1,MK11=0),25,0),IF($F11&gt;0,INDEX('calcA'!CX$110:CX$114,$F11+1)+IF(AND($E11=1,MK11=0),1000,0),MIN(TY11,20)*400+(IF('calcA'!CW$106=1,1-GU11,0)+IF('calcA'!CX$106=1,1-GW11,0))*150+35+'calcA'!CX$5*100000+IF(AND($E11=1,MK11=0),50000,0))+IF($H11=1,INDEX('calcA'!$D$180:$EQ$219,$B11,99)*4000,0)-IF(AND('calcA'!CW$117=1,XU11&gt;0),2000,0)-IF(AND($U11=1,'calcA'!CX$117=1,GW11=0),2000,0))),1000000000))</f>
        <v/>
      </c>
      <c r="SA11">
        <f>IF($B11=0,1000000000,IF(INDEX('calcA'!$D$60:$EQ$99,$B11,100)*IF($W11=1,GW11+ADL11,GW11)=1,IF(AND($E11=2,IF($W11=1,AJA11,ML11)=0),1000000000,IF($V11=1,INDEX('calcA'!$D$130:$EQ$169,$B11,100)+IF(AND($E11=1,ML11=0),25,0),IF($F11&gt;0,INDEX('calcA'!CY$110:CY$114,$F11+1)+IF(AND($E11=1,ML11=0),1000,0),MIN(TY11,20)*400+(IF('calcA'!CX$106=1,1-GV11,0)+IF('calcA'!CY$106=1,1-GX11,0))*150+45+'calcA'!CY$5*100000+IF(AND($E11=1,ML11=0),50000,0))+IF($H11=1,INDEX('calcA'!$D$180:$EQ$219,$B11,100)*4000,0)-IF(AND('calcA'!CX$117=1,XV11&gt;0),2000,0)-IF(AND($U11=1,'calcA'!CY$117=1,GX11=0),2000,0))),1000000000))</f>
        <v/>
      </c>
      <c r="SB11">
        <f>IF($B11=0,1000000000,IF(INDEX('calcA'!$D$60:$EQ$99,$B11,101)*IF($W11=1,GX11+ADM11,GX11)=1,IF(AND($E11=2,IF($W11=1,AJB11,MM11)=0),1000000000,IF($V11=1,INDEX('calcA'!$D$130:$EQ$169,$B11,101)+IF(AND($E11=1,MM11=0),25,0),IF($F11&gt;0,INDEX('calcA'!CZ$110:CZ$114,$F11+1)+IF(AND($E11=1,MM11=0),1000,0),MIN(TY11,20)*400+(IF('calcA'!CY$106=1,1-GW11,0)+IF('calcA'!CZ$106=1,1-GY11,0))*150+55+'calcA'!CZ$5*100000+IF(AND($E11=1,MM11=0),50000,0))+IF($H11=1,INDEX('calcA'!$D$180:$EQ$219,$B11,101)*4000,0)-IF(AND('calcA'!CY$117=1,XW11&gt;0),2000,0)-IF(AND($U11=1,'calcA'!CZ$117=1,GY11=0),2000,0))),1000000000))</f>
        <v/>
      </c>
      <c r="SC11">
        <f>IF($B11=0,1000000000,IF(INDEX('calcA'!$D$60:$EQ$99,$B11,102)*IF($W11=1,GY11+ADN11,GY11)=1,IF(AND($E11=2,IF($W11=1,AJC11,MN11)=0),1000000000,IF($V11=1,INDEX('calcA'!$D$130:$EQ$169,$B11,102)+IF(AND($E11=1,MN11=0),25,0),IF($F11&gt;0,INDEX('calcA'!DA$110:DA$114,$F11+1)+IF(AND($E11=1,MN11=0),1000,0),MIN(TY11,20)*400+(IF('calcA'!CZ$106=1,1-GX11,0)+IF('calcA'!DA$106=1,1-GZ11,0))*150+65+'calcA'!DA$5*100000+IF(AND($E11=1,MN11=0),50000,0))+IF($H11=1,INDEX('calcA'!$D$180:$EQ$219,$B11,102)*4000,0)-IF(AND('calcA'!CZ$117=1,XX11&gt;0),2000,0)-IF(AND($U11=1,'calcA'!DA$117=1,GZ11=0),2000,0))),1000000000))</f>
        <v/>
      </c>
      <c r="SD11">
        <f>IF($B11=0,1000000000,IF(INDEX('calcA'!$D$60:$EQ$99,$B11,103)*IF($W11=1,GZ11+ADO11,GZ11)=1,IF(AND($E11=2,IF($W11=1,AJD11,MO11)=0),1000000000,IF($V11=1,INDEX('calcA'!$D$130:$EQ$169,$B11,103)+IF(AND($E11=1,MO11=0),25,0),IF($F11&gt;0,INDEX('calcA'!DB$110:DB$114,$F11+1)+IF(AND($E11=1,MO11=0),1000,0),MIN(TY11,20)*400+(IF('calcA'!DA$106=1,1-GY11,0)+IF('calcA'!DB$106=1,1-HA11,0))*150+75+'calcA'!DB$5*100000+IF(AND($E11=1,MO11=0),50000,0))+IF($H11=1,INDEX('calcA'!$D$180:$EQ$219,$B11,103)*4000,0)-IF(AND('calcA'!DA$117=1,XY11&gt;0),2000,0)-IF(AND($U11=1,'calcA'!DB$117=1,HA11=0),2000,0))),1000000000))</f>
        <v/>
      </c>
      <c r="SE11">
        <f>IF($B11=0,1000000000,IF(INDEX('calcA'!$D$60:$EQ$99,$B11,104)*IF($W11=1,HA11+ADP11,HA11)=1,IF(AND($E11=2,IF($W11=1,AJE11,MP11)=0),1000000000,IF($V11=1,INDEX('calcA'!$D$130:$EQ$169,$B11,104)+IF(AND($E11=1,MP11=0),25,0),IF($F11&gt;0,INDEX('calcA'!DC$110:DC$114,$F11+1)+IF(AND($E11=1,MP11=0),1000,0),MIN(TY11,20)*400+(IF('calcA'!DB$106=1,1-GZ11,0)+IF('calcA'!DC$106=1,1-HB11,0))*150+85+'calcA'!DC$5*100000+IF(AND($E11=1,MP11=0),50000,0))+IF($H11=1,INDEX('calcA'!$D$180:$EQ$219,$B11,104)*4000,0)-IF(AND('calcA'!DB$117=1,XZ11&gt;0),2000,0)-IF(AND($U11=1,'calcA'!DC$117=1,HB11=0),2000,0))),1000000000))</f>
        <v/>
      </c>
      <c r="SF11">
        <f>IF($B11=0,1000000000,IF(INDEX('calcA'!$D$60:$EQ$99,$B11,105)*IF($W11=1,HB11+ADQ11,HB11)=1,IF(AND($E11=2,IF($W11=1,AJF11,MQ11)=0),1000000000,IF($V11=1,INDEX('calcA'!$D$130:$EQ$169,$B11,105)+IF(AND($E11=1,MQ11=0),25,0),IF($F11&gt;0,INDEX('calcA'!DD$110:DD$114,$F11+1)+IF(AND($E11=1,MQ11=0),1000,0),MIN(TY11,20)*400+(IF('calcA'!DC$106=1,1-HA11,0)+IF('calcA'!DD$106=1,1-HC11,0))*150+95+'calcA'!DD$5*100000+IF(AND($E11=1,MQ11=0),50000,0))+IF($H11=1,INDEX('calcA'!$D$180:$EQ$219,$B11,105)*4000,0)-IF(AND('calcA'!DC$117=1,YA11&gt;0),2000,0)-IF(AND($U11=1,'calcA'!DD$117=1,HC11=0),2000,0))),1000000000))</f>
        <v/>
      </c>
      <c r="SG11">
        <f>IF($B11=0,1000000000,IF(INDEX('calcA'!$D$60:$EQ$99,$B11,106)*IF($W11=1,HC11+ADR11,HC11)=1,IF(AND($E11=2,IF($W11=1,AJG11,MR11)=0),1000000000,IF($V11=1,INDEX('calcA'!$D$130:$EQ$169,$B11,106)+IF(AND($E11=1,MR11=0),25,0),IF($F11&gt;0,INDEX('calcA'!DE$110:DE$114,$F11+1)+IF(AND($E11=1,MR11=0),1000,0),MIN(TY11,20)*400+(IF('calcA'!DD$106=1,1-HB11,0)+IF('calcA'!DE$106=1,1-HD11,0))*150+105+'calcA'!DE$5*100000+IF(AND($E11=1,MR11=0),50000,0))+IF($H11=1,INDEX('calcA'!$D$180:$EQ$219,$B11,106)*4000,0)-IF(AND('calcA'!DD$117=1,YB11&gt;0),2000,0)-IF(AND($U11=1,'calcA'!DE$117=1,HD11=0),2000,0))),1000000000))</f>
        <v/>
      </c>
      <c r="SH11">
        <f>IF($B11=0,1000000000,IF(INDEX('calcA'!$D$60:$EQ$99,$B11,107)*IF($W11=1,HD11+ADS11,HD11)=1,IF(AND($E11=2,IF($W11=1,AJH11,MS11)=0),1000000000,IF($V11=1,INDEX('calcA'!$D$130:$EQ$169,$B11,107)+IF(AND($E11=1,MS11=0),25,0),IF($F11&gt;0,INDEX('calcA'!DF$110:DF$114,$F11+1)+IF(AND($E11=1,MS11=0),1000,0),MIN(TY11,20)*400+(IF('calcA'!DE$106=1,1-HC11,0)+IF('calcA'!DF$106=1,1-HE11,0))*150+115+'calcA'!DF$5*100000+IF(AND($E11=1,MS11=0),50000,0))+IF($H11=1,INDEX('calcA'!$D$180:$EQ$219,$B11,107)*4000,0)-IF(AND('calcA'!DE$117=1,YC11&gt;0),2000,0)-IF(AND($U11=1,'calcA'!DF$117=1,HE11=0),2000,0))),1000000000))</f>
        <v/>
      </c>
      <c r="SI11">
        <f>IF($B11=0,1000000000,IF(INDEX('calcA'!$D$60:$EQ$99,$B11,108)*IF($W11=1,HE11+ADT11,HE11)=1,IF(AND($E11=2,IF($W11=1,AJI11,MT11)=0),1000000000,IF($V11=1,INDEX('calcA'!$D$130:$EQ$169,$B11,108)+IF(AND($E11=1,MT11=0),25,0),IF($F11&gt;0,INDEX('calcA'!DG$110:DG$114,$F11+1)+IF(AND($E11=1,MT11=0),1000,0),MIN(TY11,20)*400+(IF('calcA'!DF$106=1,1-HD11,0)+IF('calcA'!DG$106=1,1-HF11,0))*150+125+'calcA'!DG$5*100000+IF(AND($E11=1,MT11=0),50000,0))+IF($H11=1,INDEX('calcA'!$D$180:$EQ$219,$B11,108)*4000,0)-IF(AND('calcA'!DF$117=1,YD11&gt;0),2000,0)-IF(AND($U11=1,'calcA'!DG$117=1,HF11=0),2000,0))),1000000000))</f>
        <v/>
      </c>
      <c r="SJ11">
        <f>IF($B11=0,1000000000,IF(INDEX('calcA'!$D$60:$EQ$99,$B11,109)*IF($W11=1,HF11+ADU11,HF11)=1,IF(AND($E11=2,IF($W11=1,AJJ11,MU11)=0),1000000000,IF($V11=1,INDEX('calcA'!$D$130:$EQ$169,$B11,109)+IF(AND($E11=1,MU11=0),25,0),IF($F11&gt;0,INDEX('calcA'!DH$110:DH$114,$F11+1)+IF(AND($E11=1,MU11=0),1000,0),MIN(TY11,20)*400+(IF('calcA'!DG$106=1,1-HE11,0)+IF('calcA'!DH$106=1,1-HG11,0))*150+135+'calcA'!DH$5*100000+IF(AND($E11=1,MU11=0),50000,0))+IF($H11=1,INDEX('calcA'!$D$180:$EQ$219,$B11,109)*4000,0)-IF(AND('calcA'!DG$117=1,YE11&gt;0),2000,0)-IF(AND($U11=1,'calcA'!DH$117=1,HG11=0),2000,0))),1000000000))</f>
        <v/>
      </c>
      <c r="SK11">
        <f>IF($B11=0,1000000000,IF(INDEX('calcA'!$D$60:$EQ$99,$B11,110)*IF($W11=1,HG11+ADV11,HG11)=1,IF(AND($E11=2,IF($W11=1,AJK11,MV11)=0),1000000000,IF($V11=1,INDEX('calcA'!$D$130:$EQ$169,$B11,110)+IF(AND($E11=1,MV11=0),25,0),IF($F11&gt;0,INDEX('calcA'!DI$110:DI$114,$F11+1)+IF(AND($E11=1,MV11=0),1000,0),MIN(TY11,20)*400+(IF('calcA'!DH$106=1,1-HF11,0)+IF('calcA'!DI$106=1,1-HH11,0))*150+145+'calcA'!DI$5*100000+IF(AND($E11=1,MV11=0),50000,0))+IF($H11=1,INDEX('calcA'!$D$180:$EQ$219,$B11,110)*4000,0)-IF(AND('calcA'!DH$117=1,YF11&gt;0),2000,0)-IF(AND($U11=1,'calcA'!DI$117=1,HH11=0),2000,0))),1000000000))</f>
        <v/>
      </c>
      <c r="SL11">
        <f>IF($B11=0,1000000000,IF(INDEX('calcA'!$D$60:$EQ$99,$B11,111)*IF($W11=1,HH11+ADW11,HH11)=1,IF(AND($E11=2,IF($W11=1,AJL11,MW11)=0),1000000000,IF($V11=1,INDEX('calcA'!$D$130:$EQ$169,$B11,111)+IF(AND($E11=1,MW11=0),25,0),IF($F11&gt;0,INDEX('calcA'!DJ$110:DJ$114,$F11+1)+IF(AND($E11=1,MW11=0),1000,0),MIN(TY11,20)*400+(IF('calcA'!DI$106=1,1-HG11,0)+IF('calcA'!DJ$106=1,1-HI11,0))*150+155+'calcA'!DJ$5*100000+IF(AND($E11=1,MW11=0),50000,0))+IF($H11=1,INDEX('calcA'!$D$180:$EQ$219,$B11,111)*4000,0)-IF(AND('calcA'!DI$117=1,YG11&gt;0),2000,0)-IF(AND($U11=1,'calcA'!DJ$117=1,HI11=0),2000,0))),1000000000))</f>
        <v/>
      </c>
      <c r="SM11">
        <f>IF($B11=0,1000000000,IF(INDEX('calcA'!$D$60:$EQ$99,$B11,112)*IF($W11=1,HI11+ADX11,HI11)=1,IF(AND($E11=2,IF($W11=1,AJM11,MX11)=0),1000000000,IF($V11=1,INDEX('calcA'!$D$130:$EQ$169,$B11,112)+IF(AND($E11=1,MX11=0),25,0),IF($F11&gt;0,INDEX('calcA'!DK$110:DK$114,$F11+1)+IF(AND($E11=1,MX11=0),1000,0),MIN(TY11,20)*400+(IF('calcA'!DJ$106=1,1-HH11,0)+IF('calcA'!DK$106=1,1-HJ11,0))*150+165+'calcA'!DK$5*100000+IF(AND($E11=1,MX11=0),50000,0))+IF($H11=1,INDEX('calcA'!$D$180:$EQ$219,$B11,112)*4000,0)-IF(AND('calcA'!DJ$117=1,YH11&gt;0),2000,0)-IF(AND($U11=1,'calcA'!DK$117=1,HJ11=0),2000,0))),1000000000))</f>
        <v/>
      </c>
      <c r="SN11">
        <f>IF($B11=0,1000000000,IF(INDEX('calcA'!$D$60:$EQ$99,$B11,113)*IF($W11=1,HJ11+ADY11,HJ11)=1,IF(AND($E11=2,IF($W11=1,AJN11,MY11)=0),1000000000,IF($V11=1,INDEX('calcA'!$D$130:$EQ$169,$B11,113)+IF(AND($E11=1,MY11=0),25,0),IF($F11&gt;0,INDEX('calcA'!DL$110:DL$114,$F11+1)+IF(AND($E11=1,MY11=0),1000,0),MIN(TY11,20)*400+(IF('calcA'!DK$106=1,1-HI11,0)+IF('calcA'!DL$106=1,1-HK11,0))*150+175+'calcA'!DL$5*100000+IF(AND($E11=1,MY11=0),50000,0))+IF($H11=1,INDEX('calcA'!$D$180:$EQ$219,$B11,113)*4000,0)-IF(AND('calcA'!DK$117=1,YI11&gt;0),2000,0)-IF(AND($U11=1,'calcA'!DL$117=1,HK11=0),2000,0))),1000000000))</f>
        <v/>
      </c>
      <c r="SO11">
        <f>IF($B11=0,1000000000,IF(INDEX('calcA'!$D$60:$EQ$99,$B11,114)*IF($W11=1,HK11+ADZ11,HK11)=1,IF(AND($E11=2,IF($W11=1,AJO11,MZ11)=0),1000000000,IF($V11=1,INDEX('calcA'!$D$130:$EQ$169,$B11,114)+IF(AND($E11=1,MZ11=0),25,0),IF($F11&gt;0,INDEX('calcA'!DM$110:DM$114,$F11+1)+IF(AND($E11=1,MZ11=0),1000,0),MIN(TY11,20)*400+(IF('calcA'!DL$106=1,1-HJ11,0)+IF('calcA'!DM$106=1,1-HL11,0))*150+185+'calcA'!DM$5*100000+IF(AND($E11=1,MZ11=0),50000,0))+IF($H11=1,INDEX('calcA'!$D$180:$EQ$219,$B11,114)*4000,0)-IF(AND('calcA'!DL$117=1,YJ11&gt;0),2000,0)-IF(AND($U11=1,'calcA'!DM$117=1,HL11=0),2000,0))),1000000000))</f>
        <v/>
      </c>
      <c r="SP11">
        <f>IF($B11=0,1000000000,IF(INDEX('calcA'!$D$60:$EQ$99,$B11,115)*IF($W11=1,HL11+AEA11,HL11)=1,IF(AND($E11=2,IF($W11=1,AJP11,NA11)=0),1000000000,IF($V11=1,INDEX('calcA'!$D$130:$EQ$169,$B11,115)+IF(AND($E11=1,NA11=0),25,0),IF($F11&gt;0,INDEX('calcA'!DN$110:DN$114,$F11+1)+IF(AND($E11=1,NA11=0),1000,0),MIN(TY11,20)*400+(IF('calcA'!DM$106=1,1-HK11,0)+IF('calcA'!DN$106=1,1-HM11,0))*150+195+'calcA'!DN$5*100000+IF(AND($E11=1,NA11=0),50000,0))+IF($H11=1,INDEX('calcA'!$D$180:$EQ$219,$B11,115)*4000,0)-IF(AND('calcA'!DM$117=1,YK11&gt;0),2000,0)-IF(AND($U11=1,'calcA'!DN$117=1,HM11=0),2000,0))),1000000000))</f>
        <v/>
      </c>
      <c r="SQ11">
        <f>IF($B11=0,1000000000,IF(INDEX('calcA'!$D$60:$EQ$99,$B11,116)*IF($W11=1,HM11+AEB11,HM11)=1,IF(AND($E11=2,IF($W11=1,AJQ11,NB11)=0),1000000000,IF($V11=1,INDEX('calcA'!$D$130:$EQ$169,$B11,116)+IF(AND($E11=1,NB11=0),25,0),IF($F11&gt;0,INDEX('calcA'!DO$110:DO$114,$F11+1)+IF(AND($E11=1,NB11=0),1000,0),MIN(TY11,20)*400+(IF('calcA'!DN$106=1,1-HL11,0)+IF('calcA'!DO$106=1,1-HN11,0))*150+205+'calcA'!DO$5*100000+IF(AND($E11=1,NB11=0),50000,0))+IF($H11=1,INDEX('calcA'!$D$180:$EQ$219,$B11,116)*4000,0)-IF(AND('calcA'!DN$117=1,YL11&gt;0),2000,0)-IF(AND($U11=1,'calcA'!DO$117=1,HN11=0),2000,0))),1000000000))</f>
        <v/>
      </c>
      <c r="SR11">
        <f>IF($B11=0,1000000000,IF(INDEX('calcA'!$D$60:$EQ$99,$B11,117)*IF($W11=1,HN11+AEC11,HN11)=1,IF(AND($E11=2,IF($W11=1,AJR11,NC11)=0),1000000000,IF($V11=1,INDEX('calcA'!$D$130:$EQ$169,$B11,117)+IF(AND($E11=1,NC11=0),25,0),IF($F11&gt;0,INDEX('calcA'!DP$110:DP$114,$F11+1)+IF(AND($E11=1,NC11=0),1000,0),MIN(TY11,20)*400+(IF('calcA'!DO$106=1,1-HM11,0)+IF('calcA'!DP$106=1,1-HO11,0))*150+215+'calcA'!DP$5*100000+IF(AND($E11=1,NC11=0),50000,0))+IF($H11=1,INDEX('calcA'!$D$180:$EQ$219,$B11,117)*4000,0)-IF(AND('calcA'!DO$117=1,YM11&gt;0),2000,0)-IF(AND($U11=1,'calcA'!DP$117=1,HO11=0),2000,0))),1000000000))</f>
        <v/>
      </c>
      <c r="SS11">
        <f>IF($B11=0,1000000000,IF(INDEX('calcA'!$D$60:$EQ$99,$B11,118)*IF($W11=1,HO11+AED11,HO11)=1,IF(AND($E11=2,IF($W11=1,AJS11,ND11)=0),1000000000,IF($V11=1,INDEX('calcA'!$D$130:$EQ$169,$B11,118)+IF(AND($E11=1,ND11=0),25,0),IF($F11&gt;0,INDEX('calcA'!DQ$110:DQ$114,$F11+1)+IF(AND($E11=1,ND11=0),1000,0),MIN(TY11,20)*400+(IF('calcA'!DP$106=1,1-HN11,0)+IF('calcA'!DQ$106=1,1-HP11,0))*150+225+'calcA'!DQ$5*100000+IF(AND($E11=1,ND11=0),50000,0))+IF($H11=1,INDEX('calcA'!$D$180:$EQ$219,$B11,118)*4000,0)-IF(AND('calcA'!DP$117=1,YN11&gt;0),2000,0)-IF(AND($U11=1,'calcA'!DQ$117=1,HP11=0),2000,0))),1000000000))</f>
        <v/>
      </c>
      <c r="ST11">
        <f>IF($B11=0,1000000000,IF(INDEX('calcA'!$D$60:$EQ$99,$B11,119)*IF($W11=1,HP11+AEE11,HP11)=1,IF(AND($E11=2,IF($W11=1,AJT11,NE11)=0),1000000000,IF($V11=1,INDEX('calcA'!$D$130:$EQ$169,$B11,119)+IF(AND($E11=1,NE11=0),25,0),IF($F11&gt;0,INDEX('calcA'!DR$110:DR$114,$F11+1)+IF(AND($E11=1,NE11=0),1000,0),MIN(TY11,20)*400+(IF('calcA'!DQ$106=1,1-HO11,0)+IF('calcA'!DR$106=1,1-HQ11,0))*150+235+'calcA'!DR$5*100000+IF(AND($E11=1,NE11=0),50000,0))+IF($H11=1,INDEX('calcA'!$D$180:$EQ$219,$B11,119)*4000,0)-IF(AND('calcA'!DQ$117=1,YO11&gt;0),2000,0)-IF(AND($U11=1,'calcA'!DR$117=1,HQ11=0),2000,0))),1000000000))</f>
        <v/>
      </c>
      <c r="SU11">
        <f>IF($B11=0,1000000000,IF(INDEX('calcA'!$D$60:$EQ$99,$B11,120)*IF($W11=1,HQ11+AEF11,HQ11)=1,IF(AND($E11=2,IF($W11=1,AJU11,NF11)=0),1000000000,IF($V11=1,INDEX('calcA'!$D$130:$EQ$169,$B11,120)+IF(AND($E11=1,NF11=0),25,0),IF($F11&gt;0,INDEX('calcA'!DS$110:DS$114,$F11+1)+IF(AND($E11=1,NF11=0),1000,0),MIN(TY11,20)*400+(IF('calcA'!DR$106=1,1-HP11,0))*150+245+'calcA'!DS$5*100000+IF(AND($E11=1,NF11=0),50000,0))+IF($H11=1,INDEX('calcA'!$D$180:$EQ$219,$B11,120)*4000,0)-IF(AND('calcA'!DR$117=1,YP11&gt;0),2000,0))),1000000000))</f>
        <v/>
      </c>
      <c r="SV11">
        <f>IF($B11=0,1000000000,IF(INDEX('calcA'!$D$60:$EQ$99,$B11,121)*IF($W11=1,HR11+AEG11,HR11)=1,IF(AND($E11=2,IF($W11=1,AJV11,NG11)=0),1000000000,IF($V11=1,INDEX('calcA'!$D$130:$EQ$169,$B11,121)+IF(AND($E11=1,NG11=0),25,0),IF($F11&gt;0,INDEX('calcA'!DT$110:DT$114,$F11+1)+IF(AND($E11=1,NG11=0),1000,0),MIN(TZ11,20)*400+(IF('calcA'!DT$106=1,1-HS11,0))*150+16+'calcA'!DT$5*100000+IF(AND($E11=1,NG11=0),50000,0))+IF($H11=1,INDEX('calcA'!$D$180:$EQ$219,$B11,121)*4000,0)-IF(AND($U11=1,'calcA'!DT$117=1,HS11=0),2000,0))),1000000000))</f>
        <v/>
      </c>
      <c r="SW11">
        <f>IF($B11=0,1000000000,IF(INDEX('calcA'!$D$60:$EQ$99,$B11,122)*IF($W11=1,HS11+AEH11,HS11)=1,IF(AND($E11=2,IF($W11=1,AJW11,NH11)=0),1000000000,IF($V11=1,INDEX('calcA'!$D$130:$EQ$169,$B11,122)+IF(AND($E11=1,NH11=0),25,0),IF($F11&gt;0,INDEX('calcA'!DU$110:DU$114,$F11+1)+IF(AND($E11=1,NH11=0),1000,0),MIN(TZ11,20)*400+(IF('calcA'!DT$106=1,1-HR11,0)+IF('calcA'!DU$106=1,1-HT11,0))*150+26+'calcA'!DU$5*100000+IF(AND($E11=1,NH11=0),50000,0))+IF($H11=1,INDEX('calcA'!$D$180:$EQ$219,$B11,122)*4000,0)-IF(AND('calcA'!DT$117=1,YR11&gt;0),2000,0)-IF(AND($U11=1,'calcA'!DU$117=1,HT11=0),2000,0))),1000000000))</f>
        <v/>
      </c>
      <c r="SX11">
        <f>IF($B11=0,1000000000,IF(INDEX('calcA'!$D$60:$EQ$99,$B11,123)*IF($W11=1,HT11+AEI11,HT11)=1,IF(AND($E11=2,IF($W11=1,AJX11,NI11)=0),1000000000,IF($V11=1,INDEX('calcA'!$D$130:$EQ$169,$B11,123)+IF(AND($E11=1,NI11=0),25,0),IF($F11&gt;0,INDEX('calcA'!DV$110:DV$114,$F11+1)+IF(AND($E11=1,NI11=0),1000,0),MIN(TZ11,20)*400+(IF('calcA'!DU$106=1,1-HS11,0)+IF('calcA'!DV$106=1,1-HU11,0))*150+36+'calcA'!DV$5*100000+IF(AND($E11=1,NI11=0),50000,0))+IF($H11=1,INDEX('calcA'!$D$180:$EQ$219,$B11,123)*4000,0)-IF(AND('calcA'!DU$117=1,YS11&gt;0),2000,0)-IF(AND($U11=1,'calcA'!DV$117=1,HU11=0),2000,0))),1000000000))</f>
        <v/>
      </c>
      <c r="SY11">
        <f>IF($B11=0,1000000000,IF(INDEX('calcA'!$D$60:$EQ$99,$B11,124)*IF($W11=1,HU11+AEJ11,HU11)=1,IF(AND($E11=2,IF($W11=1,AJY11,NJ11)=0),1000000000,IF($V11=1,INDEX('calcA'!$D$130:$EQ$169,$B11,124)+IF(AND($E11=1,NJ11=0),25,0),IF($F11&gt;0,INDEX('calcA'!DW$110:DW$114,$F11+1)+IF(AND($E11=1,NJ11=0),1000,0),MIN(TZ11,20)*400+(IF('calcA'!DV$106=1,1-HT11,0)+IF('calcA'!DW$106=1,1-HV11,0))*150+46+'calcA'!DW$5*100000+IF(AND($E11=1,NJ11=0),50000,0))+IF($H11=1,INDEX('calcA'!$D$180:$EQ$219,$B11,124)*4000,0)-IF(AND('calcA'!DV$117=1,YT11&gt;0),2000,0)-IF(AND($U11=1,'calcA'!DW$117=1,HV11=0),2000,0))),1000000000))</f>
        <v/>
      </c>
      <c r="SZ11">
        <f>IF($B11=0,1000000000,IF(INDEX('calcA'!$D$60:$EQ$99,$B11,125)*IF($W11=1,HV11+AEK11,HV11)=1,IF(AND($E11=2,IF($W11=1,AJZ11,NK11)=0),1000000000,IF($V11=1,INDEX('calcA'!$D$130:$EQ$169,$B11,125)+IF(AND($E11=1,NK11=0),25,0),IF($F11&gt;0,INDEX('calcA'!DX$110:DX$114,$F11+1)+IF(AND($E11=1,NK11=0),1000,0),MIN(TZ11,20)*400+(IF('calcA'!DW$106=1,1-HU11,0)+IF('calcA'!DX$106=1,1-HW11,0))*150+56+'calcA'!DX$5*100000+IF(AND($E11=1,NK11=0),50000,0))+IF($H11=1,INDEX('calcA'!$D$180:$EQ$219,$B11,125)*4000,0)-IF(AND('calcA'!DW$117=1,YU11&gt;0),2000,0)-IF(AND($U11=1,'calcA'!DX$117=1,HW11=0),2000,0))),1000000000))</f>
        <v/>
      </c>
      <c r="TA11">
        <f>IF($B11=0,1000000000,IF(INDEX('calcA'!$D$60:$EQ$99,$B11,126)*IF($W11=1,HW11+AEL11,HW11)=1,IF(AND($E11=2,IF($W11=1,AKA11,NL11)=0),1000000000,IF($V11=1,INDEX('calcA'!$D$130:$EQ$169,$B11,126)+IF(AND($E11=1,NL11=0),25,0),IF($F11&gt;0,INDEX('calcA'!DY$110:DY$114,$F11+1)+IF(AND($E11=1,NL11=0),1000,0),MIN(TZ11,20)*400+(IF('calcA'!DX$106=1,1-HV11,0)+IF('calcA'!DY$106=1,1-HX11,0))*150+66+'calcA'!DY$5*100000+IF(AND($E11=1,NL11=0),50000,0))+IF($H11=1,INDEX('calcA'!$D$180:$EQ$219,$B11,126)*4000,0)-IF(AND('calcA'!DX$117=1,YV11&gt;0),2000,0)-IF(AND($U11=1,'calcA'!DY$117=1,HX11=0),2000,0))),1000000000))</f>
        <v/>
      </c>
      <c r="TB11">
        <f>IF($B11=0,1000000000,IF(INDEX('calcA'!$D$60:$EQ$99,$B11,127)*IF($W11=1,HX11+AEM11,HX11)=1,IF(AND($E11=2,IF($W11=1,AKB11,NM11)=0),1000000000,IF($V11=1,INDEX('calcA'!$D$130:$EQ$169,$B11,127)+IF(AND($E11=1,NM11=0),25,0),IF($F11&gt;0,INDEX('calcA'!DZ$110:DZ$114,$F11+1)+IF(AND($E11=1,NM11=0),1000,0),MIN(TZ11,20)*400+(IF('calcA'!DY$106=1,1-HW11,0)+IF('calcA'!DZ$106=1,1-HY11,0))*150+76+'calcA'!DZ$5*100000+IF(AND($E11=1,NM11=0),50000,0))+IF($H11=1,INDEX('calcA'!$D$180:$EQ$219,$B11,127)*4000,0)-IF(AND('calcA'!DY$117=1,YW11&gt;0),2000,0)-IF(AND($U11=1,'calcA'!DZ$117=1,HY11=0),2000,0))),1000000000))</f>
        <v/>
      </c>
      <c r="TC11">
        <f>IF($B11=0,1000000000,IF(INDEX('calcA'!$D$60:$EQ$99,$B11,128)*IF($W11=1,HY11+AEN11,HY11)=1,IF(AND($E11=2,IF($W11=1,AKC11,NN11)=0),1000000000,IF($V11=1,INDEX('calcA'!$D$130:$EQ$169,$B11,128)+IF(AND($E11=1,NN11=0),25,0),IF($F11&gt;0,INDEX('calcA'!EA$110:EA$114,$F11+1)+IF(AND($E11=1,NN11=0),1000,0),MIN(TZ11,20)*400+(IF('calcA'!DZ$106=1,1-HX11,0)+IF('calcA'!EA$106=1,1-HZ11,0))*150+86+'calcA'!EA$5*100000+IF(AND($E11=1,NN11=0),50000,0))+IF($H11=1,INDEX('calcA'!$D$180:$EQ$219,$B11,128)*4000,0)-IF(AND('calcA'!DZ$117=1,YX11&gt;0),2000,0)-IF(AND($U11=1,'calcA'!EA$117=1,HZ11=0),2000,0))),1000000000))</f>
        <v/>
      </c>
      <c r="TD11">
        <f>IF($B11=0,1000000000,IF(INDEX('calcA'!$D$60:$EQ$99,$B11,129)*IF($W11=1,HZ11+AEO11,HZ11)=1,IF(AND($E11=2,IF($W11=1,AKD11,NO11)=0),1000000000,IF($V11=1,INDEX('calcA'!$D$130:$EQ$169,$B11,129)+IF(AND($E11=1,NO11=0),25,0),IF($F11&gt;0,INDEX('calcA'!EB$110:EB$114,$F11+1)+IF(AND($E11=1,NO11=0),1000,0),MIN(TZ11,20)*400+(IF('calcA'!EA$106=1,1-HY11,0)+IF('calcA'!EB$106=1,1-IA11,0))*150+96+'calcA'!EB$5*100000+IF(AND($E11=1,NO11=0),50000,0))+IF($H11=1,INDEX('calcA'!$D$180:$EQ$219,$B11,129)*4000,0)-IF(AND('calcA'!EA$117=1,YY11&gt;0),2000,0)-IF(AND($U11=1,'calcA'!EB$117=1,IA11=0),2000,0))),1000000000))</f>
        <v/>
      </c>
      <c r="TE11">
        <f>IF($B11=0,1000000000,IF(INDEX('calcA'!$D$60:$EQ$99,$B11,130)*IF($W11=1,IA11+AEP11,IA11)=1,IF(AND($E11=2,IF($W11=1,AKE11,NP11)=0),1000000000,IF($V11=1,INDEX('calcA'!$D$130:$EQ$169,$B11,130)+IF(AND($E11=1,NP11=0),25,0),IF($F11&gt;0,INDEX('calcA'!EC$110:EC$114,$F11+1)+IF(AND($E11=1,NP11=0),1000,0),MIN(TZ11,20)*400+(IF('calcA'!EB$106=1,1-HZ11,0)+IF('calcA'!EC$106=1,1-IB11,0))*150+106+'calcA'!EC$5*100000+IF(AND($E11=1,NP11=0),50000,0))+IF($H11=1,INDEX('calcA'!$D$180:$EQ$219,$B11,130)*4000,0)-IF(AND('calcA'!EB$117=1,YZ11&gt;0),2000,0)-IF(AND($U11=1,'calcA'!EC$117=1,IB11=0),2000,0))),1000000000))</f>
        <v/>
      </c>
      <c r="TF11">
        <f>IF($B11=0,1000000000,IF(INDEX('calcA'!$D$60:$EQ$99,$B11,131)*IF($W11=1,IB11+AEQ11,IB11)=1,IF(AND($E11=2,IF($W11=1,AKF11,NQ11)=0),1000000000,IF($V11=1,INDEX('calcA'!$D$130:$EQ$169,$B11,131)+IF(AND($E11=1,NQ11=0),25,0),IF($F11&gt;0,INDEX('calcA'!ED$110:ED$114,$F11+1)+IF(AND($E11=1,NQ11=0),1000,0),MIN(TZ11,20)*400+(IF('calcA'!EC$106=1,1-IA11,0)+IF('calcA'!ED$106=1,1-IC11,0))*150+116+'calcA'!ED$5*100000+IF(AND($E11=1,NQ11=0),50000,0))+IF($H11=1,INDEX('calcA'!$D$180:$EQ$219,$B11,131)*4000,0)-IF(AND('calcA'!EC$117=1,ZA11&gt;0),2000,0)-IF(AND($U11=1,'calcA'!ED$117=1,IC11=0),2000,0))),1000000000))</f>
        <v/>
      </c>
      <c r="TG11">
        <f>IF($B11=0,1000000000,IF(INDEX('calcA'!$D$60:$EQ$99,$B11,132)*IF($W11=1,IC11+AER11,IC11)=1,IF(AND($E11=2,IF($W11=1,AKG11,NR11)=0),1000000000,IF($V11=1,INDEX('calcA'!$D$130:$EQ$169,$B11,132)+IF(AND($E11=1,NR11=0),25,0),IF($F11&gt;0,INDEX('calcA'!EE$110:EE$114,$F11+1)+IF(AND($E11=1,NR11=0),1000,0),MIN(TZ11,20)*400+(IF('calcA'!ED$106=1,1-IB11,0)+IF('calcA'!EE$106=1,1-ID11,0))*150+126+'calcA'!EE$5*100000+IF(AND($E11=1,NR11=0),50000,0))+IF($H11=1,INDEX('calcA'!$D$180:$EQ$219,$B11,132)*4000,0)-IF(AND('calcA'!ED$117=1,ZB11&gt;0),2000,0)-IF(AND($U11=1,'calcA'!EE$117=1,ID11=0),2000,0))),1000000000))</f>
        <v/>
      </c>
      <c r="TH11">
        <f>IF($B11=0,1000000000,IF(INDEX('calcA'!$D$60:$EQ$99,$B11,133)*IF($W11=1,ID11+AES11,ID11)=1,IF(AND($E11=2,IF($W11=1,AKH11,NS11)=0),1000000000,IF($V11=1,INDEX('calcA'!$D$130:$EQ$169,$B11,133)+IF(AND($E11=1,NS11=0),25,0),IF($F11&gt;0,INDEX('calcA'!EF$110:EF$114,$F11+1)+IF(AND($E11=1,NS11=0),1000,0),MIN(TZ11,20)*400+(IF('calcA'!EE$106=1,1-IC11,0)+IF('calcA'!EF$106=1,1-IE11,0))*150+136+'calcA'!EF$5*100000+IF(AND($E11=1,NS11=0),50000,0))+IF($H11=1,INDEX('calcA'!$D$180:$EQ$219,$B11,133)*4000,0)-IF(AND('calcA'!EE$117=1,ZC11&gt;0),2000,0)-IF(AND($U11=1,'calcA'!EF$117=1,IE11=0),2000,0))),1000000000))</f>
        <v/>
      </c>
      <c r="TI11">
        <f>IF($B11=0,1000000000,IF(INDEX('calcA'!$D$60:$EQ$99,$B11,134)*IF($W11=1,IE11+AET11,IE11)=1,IF(AND($E11=2,IF($W11=1,AKI11,NT11)=0),1000000000,IF($V11=1,INDEX('calcA'!$D$130:$EQ$169,$B11,134)+IF(AND($E11=1,NT11=0),25,0),IF($F11&gt;0,INDEX('calcA'!EG$110:EG$114,$F11+1)+IF(AND($E11=1,NT11=0),1000,0),MIN(TZ11,20)*400+(IF('calcA'!EF$106=1,1-ID11,0)+IF('calcA'!EG$106=1,1-IF11,0))*150+146+'calcA'!EG$5*100000+IF(AND($E11=1,NT11=0),50000,0))+IF($H11=1,INDEX('calcA'!$D$180:$EQ$219,$B11,134)*4000,0)-IF(AND('calcA'!EF$117=1,ZD11&gt;0),2000,0)-IF(AND($U11=1,'calcA'!EG$117=1,IF11=0),2000,0))),1000000000))</f>
        <v/>
      </c>
      <c r="TJ11">
        <f>IF($B11=0,1000000000,IF(INDEX('calcA'!$D$60:$EQ$99,$B11,135)*IF($W11=1,IF11+AEU11,IF11)=1,IF(AND($E11=2,IF($W11=1,AKJ11,NU11)=0),1000000000,IF($V11=1,INDEX('calcA'!$D$130:$EQ$169,$B11,135)+IF(AND($E11=1,NU11=0),25,0),IF($F11&gt;0,INDEX('calcA'!EH$110:EH$114,$F11+1)+IF(AND($E11=1,NU11=0),1000,0),MIN(TZ11,20)*400+(IF('calcA'!EG$106=1,1-IE11,0)+IF('calcA'!EH$106=1,1-IG11,0))*150+156+'calcA'!EH$5*100000+IF(AND($E11=1,NU11=0),50000,0))+IF($H11=1,INDEX('calcA'!$D$180:$EQ$219,$B11,135)*4000,0)-IF(AND('calcA'!EG$117=1,ZE11&gt;0),2000,0)-IF(AND($U11=1,'calcA'!EH$117=1,IG11=0),2000,0))),1000000000))</f>
        <v/>
      </c>
      <c r="TK11">
        <f>IF($B11=0,1000000000,IF(INDEX('calcA'!$D$60:$EQ$99,$B11,136)*IF($W11=1,IG11+AEV11,IG11)=1,IF(AND($E11=2,IF($W11=1,AKK11,NV11)=0),1000000000,IF($V11=1,INDEX('calcA'!$D$130:$EQ$169,$B11,136)+IF(AND($E11=1,NV11=0),25,0),IF($F11&gt;0,INDEX('calcA'!EI$110:EI$114,$F11+1)+IF(AND($E11=1,NV11=0),1000,0),MIN(TZ11,20)*400+(IF('calcA'!EH$106=1,1-IF11,0)+IF('calcA'!EI$106=1,1-IH11,0))*150+166+'calcA'!EI$5*100000+IF(AND($E11=1,NV11=0),50000,0))+IF($H11=1,INDEX('calcA'!$D$180:$EQ$219,$B11,136)*4000,0)-IF(AND('calcA'!EH$117=1,ZF11&gt;0),2000,0)-IF(AND($U11=1,'calcA'!EI$117=1,IH11=0),2000,0))),1000000000))</f>
        <v/>
      </c>
      <c r="TL11">
        <f>IF($B11=0,1000000000,IF(INDEX('calcA'!$D$60:$EQ$99,$B11,137)*IF($W11=1,IH11+AEW11,IH11)=1,IF(AND($E11=2,IF($W11=1,AKL11,NW11)=0),1000000000,IF($V11=1,INDEX('calcA'!$D$130:$EQ$169,$B11,137)+IF(AND($E11=1,NW11=0),25,0),IF($F11&gt;0,INDEX('calcA'!EJ$110:EJ$114,$F11+1)+IF(AND($E11=1,NW11=0),1000,0),MIN(TZ11,20)*400+(IF('calcA'!EI$106=1,1-IG11,0)+IF('calcA'!EJ$106=1,1-II11,0))*150+176+'calcA'!EJ$5*100000+IF(AND($E11=1,NW11=0),50000,0))+IF($H11=1,INDEX('calcA'!$D$180:$EQ$219,$B11,137)*4000,0)-IF(AND('calcA'!EI$117=1,ZG11&gt;0),2000,0)-IF(AND($U11=1,'calcA'!EJ$117=1,II11=0),2000,0))),1000000000))</f>
        <v/>
      </c>
      <c r="TM11">
        <f>IF($B11=0,1000000000,IF(INDEX('calcA'!$D$60:$EQ$99,$B11,138)*IF($W11=1,II11+AEX11,II11)=1,IF(AND($E11=2,IF($W11=1,AKM11,NX11)=0),1000000000,IF($V11=1,INDEX('calcA'!$D$130:$EQ$169,$B11,138)+IF(AND($E11=1,NX11=0),25,0),IF($F11&gt;0,INDEX('calcA'!EK$110:EK$114,$F11+1)+IF(AND($E11=1,NX11=0),1000,0),MIN(TZ11,20)*400+(IF('calcA'!EJ$106=1,1-IH11,0)+IF('calcA'!EK$106=1,1-IJ11,0))*150+186+'calcA'!EK$5*100000+IF(AND($E11=1,NX11=0),50000,0))+IF($H11=1,INDEX('calcA'!$D$180:$EQ$219,$B11,138)*4000,0)-IF(AND('calcA'!EJ$117=1,ZH11&gt;0),2000,0)-IF(AND($U11=1,'calcA'!EK$117=1,IJ11=0),2000,0))),1000000000))</f>
        <v/>
      </c>
      <c r="TN11">
        <f>IF($B11=0,1000000000,IF(INDEX('calcA'!$D$60:$EQ$99,$B11,139)*IF($W11=1,IJ11+AEY11,IJ11)=1,IF(AND($E11=2,IF($W11=1,AKN11,NY11)=0),1000000000,IF($V11=1,INDEX('calcA'!$D$130:$EQ$169,$B11,139)+IF(AND($E11=1,NY11=0),25,0),IF($F11&gt;0,INDEX('calcA'!EL$110:EL$114,$F11+1)+IF(AND($E11=1,NY11=0),1000,0),MIN(TZ11,20)*400+(IF('calcA'!EK$106=1,1-II11,0)+IF('calcA'!EL$106=1,1-IK11,0))*150+196+'calcA'!EL$5*100000+IF(AND($E11=1,NY11=0),50000,0))+IF($H11=1,INDEX('calcA'!$D$180:$EQ$219,$B11,139)*4000,0)-IF(AND('calcA'!EK$117=1,ZI11&gt;0),2000,0)-IF(AND($U11=1,'calcA'!EL$117=1,IK11=0),2000,0))),1000000000))</f>
        <v/>
      </c>
      <c r="TO11">
        <f>IF($B11=0,1000000000,IF(INDEX('calcA'!$D$60:$EQ$99,$B11,140)*IF($W11=1,IK11+AEZ11,IK11)=1,IF(AND($E11=2,IF($W11=1,AKO11,NZ11)=0),1000000000,IF($V11=1,INDEX('calcA'!$D$130:$EQ$169,$B11,140)+IF(AND($E11=1,NZ11=0),25,0),IF($F11&gt;0,INDEX('calcA'!EM$110:EM$114,$F11+1)+IF(AND($E11=1,NZ11=0),1000,0),MIN(TZ11,20)*400+(IF('calcA'!EL$106=1,1-IJ11,0)+IF('calcA'!EM$106=1,1-IL11,0))*150+206+'calcA'!EM$5*100000+IF(AND($E11=1,NZ11=0),50000,0))+IF($H11=1,INDEX('calcA'!$D$180:$EQ$219,$B11,140)*4000,0)-IF(AND('calcA'!EL$117=1,ZJ11&gt;0),2000,0)-IF(AND($U11=1,'calcA'!EM$117=1,IL11=0),2000,0))),1000000000))</f>
        <v/>
      </c>
      <c r="TP11">
        <f>IF($B11=0,1000000000,IF(INDEX('calcA'!$D$60:$EQ$99,$B11,141)*IF($W11=1,IL11+AFA11,IL11)=1,IF(AND($E11=2,IF($W11=1,AKP11,OA11)=0),1000000000,IF($V11=1,INDEX('calcA'!$D$130:$EQ$169,$B11,141)+IF(AND($E11=1,OA11=0),25,0),IF($F11&gt;0,INDEX('calcA'!EN$110:EN$114,$F11+1)+IF(AND($E11=1,OA11=0),1000,0),MIN(TZ11,20)*400+(IF('calcA'!EM$106=1,1-IK11,0)+IF('calcA'!EN$106=1,1-IM11,0))*150+216+'calcA'!EN$5*100000+IF(AND($E11=1,OA11=0),50000,0))+IF($H11=1,INDEX('calcA'!$D$180:$EQ$219,$B11,141)*4000,0)-IF(AND('calcA'!EM$117=1,ZK11&gt;0),2000,0)-IF(AND($U11=1,'calcA'!EN$117=1,IM11=0),2000,0))),1000000000))</f>
        <v/>
      </c>
      <c r="TQ11">
        <f>IF($B11=0,1000000000,IF(INDEX('calcA'!$D$60:$EQ$99,$B11,142)*IF($W11=1,IM11+AFB11,IM11)=1,IF(AND($E11=2,IF($W11=1,AKQ11,OB11)=0),1000000000,IF($V11=1,INDEX('calcA'!$D$130:$EQ$169,$B11,142)+IF(AND($E11=1,OB11=0),25,0),IF($F11&gt;0,INDEX('calcA'!EO$110:EO$114,$F11+1)+IF(AND($E11=1,OB11=0),1000,0),MIN(TZ11,20)*400+(IF('calcA'!EN$106=1,1-IL11,0)+IF('calcA'!EO$106=1,1-IN11,0))*150+226+'calcA'!EO$5*100000+IF(AND($E11=1,OB11=0),50000,0))+IF($H11=1,INDEX('calcA'!$D$180:$EQ$219,$B11,142)*4000,0)-IF(AND('calcA'!EN$117=1,ZL11&gt;0),2000,0)-IF(AND($U11=1,'calcA'!EO$117=1,IN11=0),2000,0))),1000000000))</f>
        <v/>
      </c>
      <c r="TR11">
        <f>IF($B11=0,1000000000,IF(INDEX('calcA'!$D$60:$EQ$99,$B11,143)*IF($W11=1,IN11+AFC11,IN11)=1,IF(AND($E11=2,IF($W11=1,AKR11,OC11)=0),1000000000,IF($V11=1,INDEX('calcA'!$D$130:$EQ$169,$B11,143)+IF(AND($E11=1,OC11=0),25,0),IF($F11&gt;0,INDEX('calcA'!EP$110:EP$114,$F11+1)+IF(AND($E11=1,OC11=0),1000,0),MIN(TZ11,20)*400+(IF('calcA'!EO$106=1,1-IM11,0)+IF('calcA'!EP$106=1,1-IO11,0))*150+236+'calcA'!EP$5*100000+IF(AND($E11=1,OC11=0),50000,0))+IF($H11=1,INDEX('calcA'!$D$180:$EQ$219,$B11,143)*4000,0)-IF(AND('calcA'!EO$117=1,ZM11&gt;0),2000,0)-IF(AND($U11=1,'calcA'!EP$117=1,IO11=0),2000,0))),1000000000))</f>
        <v/>
      </c>
      <c r="TS11">
        <f>IF($B11=0,1000000000,IF(INDEX('calcA'!$D$60:$EQ$99,$B11,144)*IF($W11=1,IO11+AFD11,IO11)=1,IF(AND($E11=2,IF($W11=1,AKS11,OD11)=0),1000000000,IF($V11=1,INDEX('calcA'!$D$130:$EQ$169,$B11,144)+IF(AND($E11=1,OD11=0),25,0),IF($F11&gt;0,INDEX('calcA'!EQ$110:EQ$114,$F11+1)+IF(AND($E11=1,OD11=0),1000,0),MIN(TZ11,20)*400+(IF('calcA'!EP$106=1,1-IN11,0))*150+246+'calcA'!EQ$5*100000+IF(AND($E11=1,OD11=0),50000,0))+IF($H11=1,INDEX('calcA'!$D$180:$EQ$219,$B11,144)*4000,0)-IF(AND('calcA'!EP$117=1,ZN11&gt;0),2000,0))),1000000000))</f>
        <v/>
      </c>
      <c r="TU11">
        <f>TU10+IF($C10&gt;0,IF(INDEX('calcA'!$D$2:$EQ$2,$C10)=1,1,0),0)</f>
        <v/>
      </c>
      <c r="TV11">
        <f>TV10+IF($C10&gt;0,IF(INDEX('calcA'!$D$2:$EQ$2,$C10)=2,1,0),0)</f>
        <v/>
      </c>
      <c r="TW11">
        <f>TW10+IF($C10&gt;0,IF(INDEX('calcA'!$D$2:$EQ$2,$C10)=3,1,0),0)</f>
        <v/>
      </c>
      <c r="TX11">
        <f>TX10+IF($C10&gt;0,IF(INDEX('calcA'!$D$2:$EQ$2,$C10)=4,1,0),0)</f>
        <v/>
      </c>
      <c r="TY11">
        <f>TY10+IF($C10&gt;0,IF(INDEX('calcA'!$D$2:$EQ$2,$C10)=5,1,0),0)</f>
        <v/>
      </c>
      <c r="TZ11">
        <f>TZ10+IF($C10&gt;0,IF(INDEX('calcA'!$D$2:$EQ$2,$C10)=6,1,0),0)</f>
        <v/>
      </c>
      <c r="UB11">
        <f>UB10+IF(AND($C10=1,$U10=1),1,0)</f>
        <v/>
      </c>
      <c r="UC11">
        <f>UC10+IF(AND($C10=2,$U10=1),1,0)</f>
        <v/>
      </c>
      <c r="UD11">
        <f>UD10+IF(AND($C10=3,$U10=1),1,0)</f>
        <v/>
      </c>
      <c r="UE11">
        <f>UE10+IF(AND($C10=4,$U10=1),1,0)</f>
        <v/>
      </c>
      <c r="UF11">
        <f>UF10+IF(AND($C10=5,$U10=1),1,0)</f>
        <v/>
      </c>
      <c r="UG11">
        <f>UG10+IF(AND($C10=6,$U10=1),1,0)</f>
        <v/>
      </c>
      <c r="UH11">
        <f>UH10+IF(AND($C10=7,$U10=1),1,0)</f>
        <v/>
      </c>
      <c r="UI11">
        <f>UI10+IF(AND($C10=8,$U10=1),1,0)</f>
        <v/>
      </c>
      <c r="UJ11">
        <f>UJ10+IF(AND($C10=9,$U10=1),1,0)</f>
        <v/>
      </c>
      <c r="UK11">
        <f>UK10+IF(AND($C10=10,$U10=1),1,0)</f>
        <v/>
      </c>
      <c r="UL11">
        <f>UL10+IF(AND($C10=11,$U10=1),1,0)</f>
        <v/>
      </c>
      <c r="UM11">
        <f>UM10+IF(AND($C10=12,$U10=1),1,0)</f>
        <v/>
      </c>
      <c r="UN11">
        <f>UN10+IF(AND($C10=13,$U10=1),1,0)</f>
        <v/>
      </c>
      <c r="UO11">
        <f>UO10+IF(AND($C10=14,$U10=1),1,0)</f>
        <v/>
      </c>
      <c r="UP11">
        <f>UP10+IF(AND($C10=15,$U10=1),1,0)</f>
        <v/>
      </c>
      <c r="UQ11">
        <f>UQ10+IF(AND($C10=16,$U10=1),1,0)</f>
        <v/>
      </c>
      <c r="UR11">
        <f>UR10+IF(AND($C10=17,$U10=1),1,0)</f>
        <v/>
      </c>
      <c r="US11">
        <f>US10+IF(AND($C10=18,$U10=1),1,0)</f>
        <v/>
      </c>
      <c r="UT11">
        <f>UT10+IF(AND($C10=19,$U10=1),1,0)</f>
        <v/>
      </c>
      <c r="UU11">
        <f>UU10+IF(AND($C10=20,$U10=1),1,0)</f>
        <v/>
      </c>
      <c r="UV11">
        <f>UV10+IF(AND($C10=21,$U10=1),1,0)</f>
        <v/>
      </c>
      <c r="UW11">
        <f>UW10+IF(AND($C10=22,$U10=1),1,0)</f>
        <v/>
      </c>
      <c r="UX11">
        <f>UX10+IF(AND($C10=23,$U10=1),1,0)</f>
        <v/>
      </c>
      <c r="UY11">
        <f>UY10+IF(AND($C10=24,$U10=1),1,0)</f>
        <v/>
      </c>
      <c r="UZ11">
        <f>UZ10+IF(AND($C10=25,$U10=1),1,0)</f>
        <v/>
      </c>
      <c r="VA11">
        <f>VA10+IF(AND($C10=26,$U10=1),1,0)</f>
        <v/>
      </c>
      <c r="VB11">
        <f>VB10+IF(AND($C10=27,$U10=1),1,0)</f>
        <v/>
      </c>
      <c r="VC11">
        <f>VC10+IF(AND($C10=28,$U10=1),1,0)</f>
        <v/>
      </c>
      <c r="VD11">
        <f>VD10+IF(AND($C10=29,$U10=1),1,0)</f>
        <v/>
      </c>
      <c r="VE11">
        <f>VE10+IF(AND($C10=30,$U10=1),1,0)</f>
        <v/>
      </c>
      <c r="VF11">
        <f>VF10+IF(AND($C10=31,$U10=1),1,0)</f>
        <v/>
      </c>
      <c r="VG11">
        <f>VG10+IF(AND($C10=32,$U10=1),1,0)</f>
        <v/>
      </c>
      <c r="VH11">
        <f>VH10+IF(AND($C10=33,$U10=1),1,0)</f>
        <v/>
      </c>
      <c r="VI11">
        <f>VI10+IF(AND($C10=34,$U10=1),1,0)</f>
        <v/>
      </c>
      <c r="VJ11">
        <f>VJ10+IF(AND($C10=35,$U10=1),1,0)</f>
        <v/>
      </c>
      <c r="VK11">
        <f>VK10+IF(AND($C10=36,$U10=1),1,0)</f>
        <v/>
      </c>
      <c r="VL11">
        <f>VL10+IF(AND($C10=37,$U10=1),1,0)</f>
        <v/>
      </c>
      <c r="VM11">
        <f>VM10+IF(AND($C10=38,$U10=1),1,0)</f>
        <v/>
      </c>
      <c r="VN11">
        <f>VN10+IF(AND($C10=39,$U10=1),1,0)</f>
        <v/>
      </c>
      <c r="VO11">
        <f>VO10+IF(AND($C10=40,$U10=1),1,0)</f>
        <v/>
      </c>
      <c r="VP11">
        <f>VP10+IF(AND($C10=41,$U10=1),1,0)</f>
        <v/>
      </c>
      <c r="VQ11">
        <f>VQ10+IF(AND($C10=42,$U10=1),1,0)</f>
        <v/>
      </c>
      <c r="VR11">
        <f>VR10+IF(AND($C10=43,$U10=1),1,0)</f>
        <v/>
      </c>
      <c r="VS11">
        <f>VS10+IF(AND($C10=44,$U10=1),1,0)</f>
        <v/>
      </c>
      <c r="VT11">
        <f>VT10+IF(AND($C10=45,$U10=1),1,0)</f>
        <v/>
      </c>
      <c r="VU11">
        <f>VU10+IF(AND($C10=46,$U10=1),1,0)</f>
        <v/>
      </c>
      <c r="VV11">
        <f>VV10+IF(AND($C10=47,$U10=1),1,0)</f>
        <v/>
      </c>
      <c r="VW11">
        <f>VW10+IF(AND($C10=48,$U10=1),1,0)</f>
        <v/>
      </c>
      <c r="VX11">
        <f>VX10+IF(AND($C10=49,$U10=1),1,0)</f>
        <v/>
      </c>
      <c r="VY11">
        <f>VY10+IF(AND($C10=50,$U10=1),1,0)</f>
        <v/>
      </c>
      <c r="VZ11">
        <f>VZ10+IF(AND($C10=51,$U10=1),1,0)</f>
        <v/>
      </c>
      <c r="WA11">
        <f>WA10+IF(AND($C10=52,$U10=1),1,0)</f>
        <v/>
      </c>
      <c r="WB11">
        <f>WB10+IF(AND($C10=53,$U10=1),1,0)</f>
        <v/>
      </c>
      <c r="WC11">
        <f>WC10+IF(AND($C10=54,$U10=1),1,0)</f>
        <v/>
      </c>
      <c r="WD11">
        <f>WD10+IF(AND($C10=55,$U10=1),1,0)</f>
        <v/>
      </c>
      <c r="WE11">
        <f>WE10+IF(AND($C10=56,$U10=1),1,0)</f>
        <v/>
      </c>
      <c r="WF11">
        <f>WF10+IF(AND($C10=57,$U10=1),1,0)</f>
        <v/>
      </c>
      <c r="WG11">
        <f>WG10+IF(AND($C10=58,$U10=1),1,0)</f>
        <v/>
      </c>
      <c r="WH11">
        <f>WH10+IF(AND($C10=59,$U10=1),1,0)</f>
        <v/>
      </c>
      <c r="WI11">
        <f>WI10+IF(AND($C10=60,$U10=1),1,0)</f>
        <v/>
      </c>
      <c r="WJ11">
        <f>WJ10+IF(AND($C10=61,$U10=1),1,0)</f>
        <v/>
      </c>
      <c r="WK11">
        <f>WK10+IF(AND($C10=62,$U10=1),1,0)</f>
        <v/>
      </c>
      <c r="WL11">
        <f>WL10+IF(AND($C10=63,$U10=1),1,0)</f>
        <v/>
      </c>
      <c r="WM11">
        <f>WM10+IF(AND($C10=64,$U10=1),1,0)</f>
        <v/>
      </c>
      <c r="WN11">
        <f>WN10+IF(AND($C10=65,$U10=1),1,0)</f>
        <v/>
      </c>
      <c r="WO11">
        <f>WO10+IF(AND($C10=66,$U10=1),1,0)</f>
        <v/>
      </c>
      <c r="WP11">
        <f>WP10+IF(AND($C10=67,$U10=1),1,0)</f>
        <v/>
      </c>
      <c r="WQ11">
        <f>WQ10+IF(AND($C10=68,$U10=1),1,0)</f>
        <v/>
      </c>
      <c r="WR11">
        <f>WR10+IF(AND($C10=69,$U10=1),1,0)</f>
        <v/>
      </c>
      <c r="WS11">
        <f>WS10+IF(AND($C10=70,$U10=1),1,0)</f>
        <v/>
      </c>
      <c r="WT11">
        <f>WT10+IF(AND($C10=71,$U10=1),1,0)</f>
        <v/>
      </c>
      <c r="WU11">
        <f>WU10+IF(AND($C10=72,$U10=1),1,0)</f>
        <v/>
      </c>
      <c r="WV11">
        <f>WV10+IF(AND($C10=73,$U10=1),1,0)</f>
        <v/>
      </c>
      <c r="WW11">
        <f>WW10+IF(AND($C10=74,$U10=1),1,0)</f>
        <v/>
      </c>
      <c r="WX11">
        <f>WX10+IF(AND($C10=75,$U10=1),1,0)</f>
        <v/>
      </c>
      <c r="WY11">
        <f>WY10+IF(AND($C10=76,$U10=1),1,0)</f>
        <v/>
      </c>
      <c r="WZ11">
        <f>WZ10+IF(AND($C10=77,$U10=1),1,0)</f>
        <v/>
      </c>
      <c r="XA11">
        <f>XA10+IF(AND($C10=78,$U10=1),1,0)</f>
        <v/>
      </c>
      <c r="XB11">
        <f>XB10+IF(AND($C10=79,$U10=1),1,0)</f>
        <v/>
      </c>
      <c r="XC11">
        <f>XC10+IF(AND($C10=80,$U10=1),1,0)</f>
        <v/>
      </c>
      <c r="XD11">
        <f>XD10+IF(AND($C10=81,$U10=1),1,0)</f>
        <v/>
      </c>
      <c r="XE11">
        <f>XE10+IF(AND($C10=82,$U10=1),1,0)</f>
        <v/>
      </c>
      <c r="XF11">
        <f>XF10+IF(AND($C10=83,$U10=1),1,0)</f>
        <v/>
      </c>
      <c r="XG11">
        <f>XG10+IF(AND($C10=84,$U10=1),1,0)</f>
        <v/>
      </c>
      <c r="XH11">
        <f>XH10+IF(AND($C10=85,$U10=1),1,0)</f>
        <v/>
      </c>
      <c r="XI11">
        <f>XI10+IF(AND($C10=86,$U10=1),1,0)</f>
        <v/>
      </c>
      <c r="XJ11">
        <f>XJ10+IF(AND($C10=87,$U10=1),1,0)</f>
        <v/>
      </c>
      <c r="XK11">
        <f>XK10+IF(AND($C10=88,$U10=1),1,0)</f>
        <v/>
      </c>
      <c r="XL11">
        <f>XL10+IF(AND($C10=89,$U10=1),1,0)</f>
        <v/>
      </c>
      <c r="XM11">
        <f>XM10+IF(AND($C10=90,$U10=1),1,0)</f>
        <v/>
      </c>
      <c r="XN11">
        <f>XN10+IF(AND($C10=91,$U10=1),1,0)</f>
        <v/>
      </c>
      <c r="XO11">
        <f>XO10+IF(AND($C10=92,$U10=1),1,0)</f>
        <v/>
      </c>
      <c r="XP11">
        <f>XP10+IF(AND($C10=93,$U10=1),1,0)</f>
        <v/>
      </c>
      <c r="XQ11">
        <f>XQ10+IF(AND($C10=94,$U10=1),1,0)</f>
        <v/>
      </c>
      <c r="XR11">
        <f>XR10+IF(AND($C10=95,$U10=1),1,0)</f>
        <v/>
      </c>
      <c r="XS11">
        <f>XS10+IF(AND($C10=96,$U10=1),1,0)</f>
        <v/>
      </c>
      <c r="XT11">
        <f>XT10+IF(AND($C10=97,$U10=1),1,0)</f>
        <v/>
      </c>
      <c r="XU11">
        <f>XU10+IF(AND($C10=98,$U10=1),1,0)</f>
        <v/>
      </c>
      <c r="XV11">
        <f>XV10+IF(AND($C10=99,$U10=1),1,0)</f>
        <v/>
      </c>
      <c r="XW11">
        <f>XW10+IF(AND($C10=100,$U10=1),1,0)</f>
        <v/>
      </c>
      <c r="XX11">
        <f>XX10+IF(AND($C10=101,$U10=1),1,0)</f>
        <v/>
      </c>
      <c r="XY11">
        <f>XY10+IF(AND($C10=102,$U10=1),1,0)</f>
        <v/>
      </c>
      <c r="XZ11">
        <f>XZ10+IF(AND($C10=103,$U10=1),1,0)</f>
        <v/>
      </c>
      <c r="YA11">
        <f>YA10+IF(AND($C10=104,$U10=1),1,0)</f>
        <v/>
      </c>
      <c r="YB11">
        <f>YB10+IF(AND($C10=105,$U10=1),1,0)</f>
        <v/>
      </c>
      <c r="YC11">
        <f>YC10+IF(AND($C10=106,$U10=1),1,0)</f>
        <v/>
      </c>
      <c r="YD11">
        <f>YD10+IF(AND($C10=107,$U10=1),1,0)</f>
        <v/>
      </c>
      <c r="YE11">
        <f>YE10+IF(AND($C10=108,$U10=1),1,0)</f>
        <v/>
      </c>
      <c r="YF11">
        <f>YF10+IF(AND($C10=109,$U10=1),1,0)</f>
        <v/>
      </c>
      <c r="YG11">
        <f>YG10+IF(AND($C10=110,$U10=1),1,0)</f>
        <v/>
      </c>
      <c r="YH11">
        <f>YH10+IF(AND($C10=111,$U10=1),1,0)</f>
        <v/>
      </c>
      <c r="YI11">
        <f>YI10+IF(AND($C10=112,$U10=1),1,0)</f>
        <v/>
      </c>
      <c r="YJ11">
        <f>YJ10+IF(AND($C10=113,$U10=1),1,0)</f>
        <v/>
      </c>
      <c r="YK11">
        <f>YK10+IF(AND($C10=114,$U10=1),1,0)</f>
        <v/>
      </c>
      <c r="YL11">
        <f>YL10+IF(AND($C10=115,$U10=1),1,0)</f>
        <v/>
      </c>
      <c r="YM11">
        <f>YM10+IF(AND($C10=116,$U10=1),1,0)</f>
        <v/>
      </c>
      <c r="YN11">
        <f>YN10+IF(AND($C10=117,$U10=1),1,0)</f>
        <v/>
      </c>
      <c r="YO11">
        <f>YO10+IF(AND($C10=118,$U10=1),1,0)</f>
        <v/>
      </c>
      <c r="YP11">
        <f>YP10+IF(AND($C10=119,$U10=1),1,0)</f>
        <v/>
      </c>
      <c r="YQ11">
        <f>YQ10+IF(AND($C10=120,$U10=1),1,0)</f>
        <v/>
      </c>
      <c r="YR11">
        <f>YR10+IF(AND($C10=121,$U10=1),1,0)</f>
        <v/>
      </c>
      <c r="YS11">
        <f>YS10+IF(AND($C10=122,$U10=1),1,0)</f>
        <v/>
      </c>
      <c r="YT11">
        <f>YT10+IF(AND($C10=123,$U10=1),1,0)</f>
        <v/>
      </c>
      <c r="YU11">
        <f>YU10+IF(AND($C10=124,$U10=1),1,0)</f>
        <v/>
      </c>
      <c r="YV11">
        <f>YV10+IF(AND($C10=125,$U10=1),1,0)</f>
        <v/>
      </c>
      <c r="YW11">
        <f>YW10+IF(AND($C10=126,$U10=1),1,0)</f>
        <v/>
      </c>
      <c r="YX11">
        <f>YX10+IF(AND($C10=127,$U10=1),1,0)</f>
        <v/>
      </c>
      <c r="YY11">
        <f>YY10+IF(AND($C10=128,$U10=1),1,0)</f>
        <v/>
      </c>
      <c r="YZ11">
        <f>YZ10+IF(AND($C10=129,$U10=1),1,0)</f>
        <v/>
      </c>
      <c r="ZA11">
        <f>ZA10+IF(AND($C10=130,$U10=1),1,0)</f>
        <v/>
      </c>
      <c r="ZB11">
        <f>ZB10+IF(AND($C10=131,$U10=1),1,0)</f>
        <v/>
      </c>
      <c r="ZC11">
        <f>ZC10+IF(AND($C10=132,$U10=1),1,0)</f>
        <v/>
      </c>
      <c r="ZD11">
        <f>ZD10+IF(AND($C10=133,$U10=1),1,0)</f>
        <v/>
      </c>
      <c r="ZE11">
        <f>ZE10+IF(AND($C10=134,$U10=1),1,0)</f>
        <v/>
      </c>
      <c r="ZF11">
        <f>ZF10+IF(AND($C10=135,$U10=1),1,0)</f>
        <v/>
      </c>
      <c r="ZG11">
        <f>ZG10+IF(AND($C10=136,$U10=1),1,0)</f>
        <v/>
      </c>
      <c r="ZH11">
        <f>ZH10+IF(AND($C10=137,$U10=1),1,0)</f>
        <v/>
      </c>
      <c r="ZI11">
        <f>ZI10+IF(AND($C10=138,$U10=1),1,0)</f>
        <v/>
      </c>
      <c r="ZJ11">
        <f>ZJ10+IF(AND($C10=139,$U10=1),1,0)</f>
        <v/>
      </c>
      <c r="ZK11">
        <f>ZK10+IF(AND($C10=140,$U10=1),1,0)</f>
        <v/>
      </c>
      <c r="ZL11">
        <f>ZL10+IF(AND($C10=141,$U10=1),1,0)</f>
        <v/>
      </c>
      <c r="ZM11">
        <f>ZM10+IF(AND($C10=142,$U10=1),1,0)</f>
        <v/>
      </c>
      <c r="ZN11">
        <f>ZN10+IF(AND($C10=143,$U10=1),1,0)</f>
        <v/>
      </c>
      <c r="ZO11">
        <f>ZO10+IF(AND($C10=144,$U10=1),1,0)</f>
        <v/>
      </c>
      <c r="ZQ11">
        <f>IF($C10=1,0,ZQ10+IF(AND($G10=1,$E10=1),1,0))</f>
        <v/>
      </c>
      <c r="ZR11">
        <f>IF($C10=2,0,ZR10+IF(AND($G10=2,$E10=1),1,0))</f>
        <v/>
      </c>
      <c r="ZS11">
        <f>IF($C10=3,0,ZS10+IF(AND($G10=3,$E10=1),1,0))</f>
        <v/>
      </c>
      <c r="ZT11">
        <f>IF($C10=4,0,ZT10+IF(AND($G10=4,$E10=1),1,0))</f>
        <v/>
      </c>
      <c r="ZU11">
        <f>IF($C10=5,0,ZU10+IF(AND($G10=5,$E10=1),1,0))</f>
        <v/>
      </c>
      <c r="ZV11">
        <f>IF($C10=6,0,ZV10+IF(AND($G10=6,$E10=1),1,0))</f>
        <v/>
      </c>
      <c r="ZW11">
        <f>IF($C10=7,0,ZW10+IF(AND($G10=7,$E10=1),1,0))</f>
        <v/>
      </c>
      <c r="ZX11">
        <f>IF($C10=8,0,ZX10+IF(AND($G10=8,$E10=1),1,0))</f>
        <v/>
      </c>
      <c r="ZY11">
        <f>IF($C10=9,0,ZY10+IF(AND($G10=9,$E10=1),1,0))</f>
        <v/>
      </c>
      <c r="ZZ11">
        <f>IF($C10=10,0,ZZ10+IF(AND($G10=10,$E10=1),1,0))</f>
        <v/>
      </c>
      <c r="AAA11">
        <f>IF($C10=11,0,AAA10+IF(AND($G10=11,$E10=1),1,0))</f>
        <v/>
      </c>
      <c r="AAB11">
        <f>IF($C10=12,0,AAB10+IF(AND($G10=12,$E10=1),1,0))</f>
        <v/>
      </c>
      <c r="AAC11">
        <f>IF($C10=13,0,AAC10+IF(AND($G10=13,$E10=1),1,0))</f>
        <v/>
      </c>
      <c r="AAD11">
        <f>IF($C10=14,0,AAD10+IF(AND($G10=14,$E10=1),1,0))</f>
        <v/>
      </c>
      <c r="AAE11">
        <f>IF($C10=15,0,AAE10+IF(AND($G10=15,$E10=1),1,0))</f>
        <v/>
      </c>
      <c r="AAF11">
        <f>IF($C10=16,0,AAF10+IF(AND($G10=16,$E10=1),1,0))</f>
        <v/>
      </c>
      <c r="AAG11">
        <f>IF($C10=17,0,AAG10+IF(AND($G10=17,$E10=1),1,0))</f>
        <v/>
      </c>
      <c r="AAH11">
        <f>IF($C10=18,0,AAH10+IF(AND($G10=18,$E10=1),1,0))</f>
        <v/>
      </c>
      <c r="AAI11">
        <f>IF($C10=19,0,AAI10+IF(AND($G10=19,$E10=1),1,0))</f>
        <v/>
      </c>
      <c r="AAJ11">
        <f>IF($C10=20,0,AAJ10+IF(AND($G10=20,$E10=1),1,0))</f>
        <v/>
      </c>
      <c r="AAK11">
        <f>IF($C10=21,0,AAK10+IF(AND($G10=21,$E10=1),1,0))</f>
        <v/>
      </c>
      <c r="AAL11">
        <f>IF($C10=22,0,AAL10+IF(AND($G10=22,$E10=1),1,0))</f>
        <v/>
      </c>
      <c r="AAM11">
        <f>IF($C10=23,0,AAM10+IF(AND($G10=23,$E10=1),1,0))</f>
        <v/>
      </c>
      <c r="AAN11">
        <f>IF($C10=24,0,AAN10+IF(AND($G10=24,$E10=1),1,0))</f>
        <v/>
      </c>
      <c r="AAO11">
        <f>IF($C10=25,0,AAO10+IF(AND($G10=25,$E10=1),1,0))</f>
        <v/>
      </c>
      <c r="AAP11">
        <f>IF($C10=26,0,AAP10+IF(AND($G10=26,$E10=1),1,0))</f>
        <v/>
      </c>
      <c r="AAQ11">
        <f>IF($C10=27,0,AAQ10+IF(AND($G10=27,$E10=1),1,0))</f>
        <v/>
      </c>
      <c r="AAR11">
        <f>IF($C10=28,0,AAR10+IF(AND($G10=28,$E10=1),1,0))</f>
        <v/>
      </c>
      <c r="AAS11">
        <f>IF($C10=29,0,AAS10+IF(AND($G10=29,$E10=1),1,0))</f>
        <v/>
      </c>
      <c r="AAT11">
        <f>IF($C10=30,0,AAT10+IF(AND($G10=30,$E10=1),1,0))</f>
        <v/>
      </c>
      <c r="AAU11">
        <f>IF($C10=31,0,AAU10+IF(AND($G10=31,$E10=1),1,0))</f>
        <v/>
      </c>
      <c r="AAV11">
        <f>IF($C10=32,0,AAV10+IF(AND($G10=32,$E10=1),1,0))</f>
        <v/>
      </c>
      <c r="AAW11">
        <f>IF($C10=33,0,AAW10+IF(AND($G10=33,$E10=1),1,0))</f>
        <v/>
      </c>
      <c r="AAX11">
        <f>IF($C10=34,0,AAX10+IF(AND($G10=34,$E10=1),1,0))</f>
        <v/>
      </c>
      <c r="AAY11">
        <f>IF($C10=35,0,AAY10+IF(AND($G10=35,$E10=1),1,0))</f>
        <v/>
      </c>
      <c r="AAZ11">
        <f>IF($C10=36,0,AAZ10+IF(AND($G10=36,$E10=1),1,0))</f>
        <v/>
      </c>
      <c r="ABA11">
        <f>IF($C10=37,0,ABA10+IF(AND($G10=37,$E10=1),1,0))</f>
        <v/>
      </c>
      <c r="ABB11">
        <f>IF($C10=38,0,ABB10+IF(AND($G10=38,$E10=1),1,0))</f>
        <v/>
      </c>
      <c r="ABC11">
        <f>IF($C10=39,0,ABC10+IF(AND($G10=39,$E10=1),1,0))</f>
        <v/>
      </c>
      <c r="ABD11">
        <f>IF($C10=40,0,ABD10+IF(AND($G10=40,$E10=1),1,0))</f>
        <v/>
      </c>
      <c r="ABE11">
        <f>IF($C10=41,0,ABE10+IF(AND($G10=41,$E10=1),1,0))</f>
        <v/>
      </c>
      <c r="ABF11">
        <f>IF($C10=42,0,ABF10+IF(AND($G10=42,$E10=1),1,0))</f>
        <v/>
      </c>
      <c r="ABG11">
        <f>IF($C10=43,0,ABG10+IF(AND($G10=43,$E10=1),1,0))</f>
        <v/>
      </c>
      <c r="ABH11">
        <f>IF($C10=44,0,ABH10+IF(AND($G10=44,$E10=1),1,0))</f>
        <v/>
      </c>
      <c r="ABI11">
        <f>IF($C10=45,0,ABI10+IF(AND($G10=45,$E10=1),1,0))</f>
        <v/>
      </c>
      <c r="ABJ11">
        <f>IF($C10=46,0,ABJ10+IF(AND($G10=46,$E10=1),1,0))</f>
        <v/>
      </c>
      <c r="ABK11">
        <f>IF($C10=47,0,ABK10+IF(AND($G10=47,$E10=1),1,0))</f>
        <v/>
      </c>
      <c r="ABL11">
        <f>IF($C10=48,0,ABL10+IF(AND($G10=48,$E10=1),1,0))</f>
        <v/>
      </c>
      <c r="ABM11">
        <f>IF($C10=49,0,ABM10+IF(AND($G10=49,$E10=1),1,0))</f>
        <v/>
      </c>
      <c r="ABN11">
        <f>IF($C10=50,0,ABN10+IF(AND($G10=50,$E10=1),1,0))</f>
        <v/>
      </c>
      <c r="ABO11">
        <f>IF($C10=51,0,ABO10+IF(AND($G10=51,$E10=1),1,0))</f>
        <v/>
      </c>
      <c r="ABP11">
        <f>IF($C10=52,0,ABP10+IF(AND($G10=52,$E10=1),1,0))</f>
        <v/>
      </c>
      <c r="ABQ11">
        <f>IF($C10=53,0,ABQ10+IF(AND($G10=53,$E10=1),1,0))</f>
        <v/>
      </c>
      <c r="ABR11">
        <f>IF($C10=54,0,ABR10+IF(AND($G10=54,$E10=1),1,0))</f>
        <v/>
      </c>
      <c r="ABS11">
        <f>IF($C10=55,0,ABS10+IF(AND($G10=55,$E10=1),1,0))</f>
        <v/>
      </c>
      <c r="ABT11">
        <f>IF($C10=56,0,ABT10+IF(AND($G10=56,$E10=1),1,0))</f>
        <v/>
      </c>
      <c r="ABU11">
        <f>IF($C10=57,0,ABU10+IF(AND($G10=57,$E10=1),1,0))</f>
        <v/>
      </c>
      <c r="ABV11">
        <f>IF($C10=58,0,ABV10+IF(AND($G10=58,$E10=1),1,0))</f>
        <v/>
      </c>
      <c r="ABW11">
        <f>IF($C10=59,0,ABW10+IF(AND($G10=59,$E10=1),1,0))</f>
        <v/>
      </c>
      <c r="ABX11">
        <f>IF($C10=60,0,ABX10+IF(AND($G10=60,$E10=1),1,0))</f>
        <v/>
      </c>
      <c r="ABY11">
        <f>IF($C10=61,0,ABY10+IF(AND($G10=61,$E10=1),1,0))</f>
        <v/>
      </c>
      <c r="ABZ11">
        <f>IF($C10=62,0,ABZ10+IF(AND($G10=62,$E10=1),1,0))</f>
        <v/>
      </c>
      <c r="ACA11">
        <f>IF($C10=63,0,ACA10+IF(AND($G10=63,$E10=1),1,0))</f>
        <v/>
      </c>
      <c r="ACB11">
        <f>IF($C10=64,0,ACB10+IF(AND($G10=64,$E10=1),1,0))</f>
        <v/>
      </c>
      <c r="ACC11">
        <f>IF($C10=65,0,ACC10+IF(AND($G10=65,$E10=1),1,0))</f>
        <v/>
      </c>
      <c r="ACD11">
        <f>IF($C10=66,0,ACD10+IF(AND($G10=66,$E10=1),1,0))</f>
        <v/>
      </c>
      <c r="ACE11">
        <f>IF($C10=67,0,ACE10+IF(AND($G10=67,$E10=1),1,0))</f>
        <v/>
      </c>
      <c r="ACF11">
        <f>IF($C10=68,0,ACF10+IF(AND($G10=68,$E10=1),1,0))</f>
        <v/>
      </c>
      <c r="ACG11">
        <f>IF($C10=69,0,ACG10+IF(AND($G10=69,$E10=1),1,0))</f>
        <v/>
      </c>
      <c r="ACH11">
        <f>IF($C10=70,0,ACH10+IF(AND($G10=70,$E10=1),1,0))</f>
        <v/>
      </c>
      <c r="ACI11">
        <f>IF($C10=71,0,ACI10+IF(AND($G10=71,$E10=1),1,0))</f>
        <v/>
      </c>
      <c r="ACJ11">
        <f>IF($C10=72,0,ACJ10+IF(AND($G10=72,$E10=1),1,0))</f>
        <v/>
      </c>
      <c r="ACK11">
        <f>IF($C10=73,0,ACK10+IF(AND($G10=73,$E10=1),1,0))</f>
        <v/>
      </c>
      <c r="ACL11">
        <f>IF($C10=74,0,ACL10+IF(AND($G10=74,$E10=1),1,0))</f>
        <v/>
      </c>
      <c r="ACM11">
        <f>IF($C10=75,0,ACM10+IF(AND($G10=75,$E10=1),1,0))</f>
        <v/>
      </c>
      <c r="ACN11">
        <f>IF($C10=76,0,ACN10+IF(AND($G10=76,$E10=1),1,0))</f>
        <v/>
      </c>
      <c r="ACO11">
        <f>IF($C10=77,0,ACO10+IF(AND($G10=77,$E10=1),1,0))</f>
        <v/>
      </c>
      <c r="ACP11">
        <f>IF($C10=78,0,ACP10+IF(AND($G10=78,$E10=1),1,0))</f>
        <v/>
      </c>
      <c r="ACQ11">
        <f>IF($C10=79,0,ACQ10+IF(AND($G10=79,$E10=1),1,0))</f>
        <v/>
      </c>
      <c r="ACR11">
        <f>IF($C10=80,0,ACR10+IF(AND($G10=80,$E10=1),1,0))</f>
        <v/>
      </c>
      <c r="ACS11">
        <f>IF($C10=81,0,ACS10+IF(AND($G10=81,$E10=1),1,0))</f>
        <v/>
      </c>
      <c r="ACT11">
        <f>IF($C10=82,0,ACT10+IF(AND($G10=82,$E10=1),1,0))</f>
        <v/>
      </c>
      <c r="ACU11">
        <f>IF($C10=83,0,ACU10+IF(AND($G10=83,$E10=1),1,0))</f>
        <v/>
      </c>
      <c r="ACV11">
        <f>IF($C10=84,0,ACV10+IF(AND($G10=84,$E10=1),1,0))</f>
        <v/>
      </c>
      <c r="ACW11">
        <f>IF($C10=85,0,ACW10+IF(AND($G10=85,$E10=1),1,0))</f>
        <v/>
      </c>
      <c r="ACX11">
        <f>IF($C10=86,0,ACX10+IF(AND($G10=86,$E10=1),1,0))</f>
        <v/>
      </c>
      <c r="ACY11">
        <f>IF($C10=87,0,ACY10+IF(AND($G10=87,$E10=1),1,0))</f>
        <v/>
      </c>
      <c r="ACZ11">
        <f>IF($C10=88,0,ACZ10+IF(AND($G10=88,$E10=1),1,0))</f>
        <v/>
      </c>
      <c r="ADA11">
        <f>IF($C10=89,0,ADA10+IF(AND($G10=89,$E10=1),1,0))</f>
        <v/>
      </c>
      <c r="ADB11">
        <f>IF($C10=90,0,ADB10+IF(AND($G10=90,$E10=1),1,0))</f>
        <v/>
      </c>
      <c r="ADC11">
        <f>IF($C10=91,0,ADC10+IF(AND($G10=91,$E10=1),1,0))</f>
        <v/>
      </c>
      <c r="ADD11">
        <f>IF($C10=92,0,ADD10+IF(AND($G10=92,$E10=1),1,0))</f>
        <v/>
      </c>
      <c r="ADE11">
        <f>IF($C10=93,0,ADE10+IF(AND($G10=93,$E10=1),1,0))</f>
        <v/>
      </c>
      <c r="ADF11">
        <f>IF($C10=94,0,ADF10+IF(AND($G10=94,$E10=1),1,0))</f>
        <v/>
      </c>
      <c r="ADG11">
        <f>IF($C10=95,0,ADG10+IF(AND($G10=95,$E10=1),1,0))</f>
        <v/>
      </c>
      <c r="ADH11">
        <f>IF($C10=96,0,ADH10+IF(AND($G10=96,$E10=1),1,0))</f>
        <v/>
      </c>
      <c r="ADI11">
        <f>IF($C10=97,0,ADI10+IF(AND($G10=97,$E10=1),1,0))</f>
        <v/>
      </c>
      <c r="ADJ11">
        <f>IF($C10=98,0,ADJ10+IF(AND($G10=98,$E10=1),1,0))</f>
        <v/>
      </c>
      <c r="ADK11">
        <f>IF($C10=99,0,ADK10+IF(AND($G10=99,$E10=1),1,0))</f>
        <v/>
      </c>
      <c r="ADL11">
        <f>IF($C10=100,0,ADL10+IF(AND($G10=100,$E10=1),1,0))</f>
        <v/>
      </c>
      <c r="ADM11">
        <f>IF($C10=101,0,ADM10+IF(AND($G10=101,$E10=1),1,0))</f>
        <v/>
      </c>
      <c r="ADN11">
        <f>IF($C10=102,0,ADN10+IF(AND($G10=102,$E10=1),1,0))</f>
        <v/>
      </c>
      <c r="ADO11">
        <f>IF($C10=103,0,ADO10+IF(AND($G10=103,$E10=1),1,0))</f>
        <v/>
      </c>
      <c r="ADP11">
        <f>IF($C10=104,0,ADP10+IF(AND($G10=104,$E10=1),1,0))</f>
        <v/>
      </c>
      <c r="ADQ11">
        <f>IF($C10=105,0,ADQ10+IF(AND($G10=105,$E10=1),1,0))</f>
        <v/>
      </c>
      <c r="ADR11">
        <f>IF($C10=106,0,ADR10+IF(AND($G10=106,$E10=1),1,0))</f>
        <v/>
      </c>
      <c r="ADS11">
        <f>IF($C10=107,0,ADS10+IF(AND($G10=107,$E10=1),1,0))</f>
        <v/>
      </c>
      <c r="ADT11">
        <f>IF($C10=108,0,ADT10+IF(AND($G10=108,$E10=1),1,0))</f>
        <v/>
      </c>
      <c r="ADU11">
        <f>IF($C10=109,0,ADU10+IF(AND($G10=109,$E10=1),1,0))</f>
        <v/>
      </c>
      <c r="ADV11">
        <f>IF($C10=110,0,ADV10+IF(AND($G10=110,$E10=1),1,0))</f>
        <v/>
      </c>
      <c r="ADW11">
        <f>IF($C10=111,0,ADW10+IF(AND($G10=111,$E10=1),1,0))</f>
        <v/>
      </c>
      <c r="ADX11">
        <f>IF($C10=112,0,ADX10+IF(AND($G10=112,$E10=1),1,0))</f>
        <v/>
      </c>
      <c r="ADY11">
        <f>IF($C10=113,0,ADY10+IF(AND($G10=113,$E10=1),1,0))</f>
        <v/>
      </c>
      <c r="ADZ11">
        <f>IF($C10=114,0,ADZ10+IF(AND($G10=114,$E10=1),1,0))</f>
        <v/>
      </c>
      <c r="AEA11">
        <f>IF($C10=115,0,AEA10+IF(AND($G10=115,$E10=1),1,0))</f>
        <v/>
      </c>
      <c r="AEB11">
        <f>IF($C10=116,0,AEB10+IF(AND($G10=116,$E10=1),1,0))</f>
        <v/>
      </c>
      <c r="AEC11">
        <f>IF($C10=117,0,AEC10+IF(AND($G10=117,$E10=1),1,0))</f>
        <v/>
      </c>
      <c r="AED11">
        <f>IF($C10=118,0,AED10+IF(AND($G10=118,$E10=1),1,0))</f>
        <v/>
      </c>
      <c r="AEE11">
        <f>IF($C10=119,0,AEE10+IF(AND($G10=119,$E10=1),1,0))</f>
        <v/>
      </c>
      <c r="AEF11">
        <f>IF($C10=120,0,AEF10+IF(AND($G10=120,$E10=1),1,0))</f>
        <v/>
      </c>
      <c r="AEG11">
        <f>IF($C10=121,0,AEG10+IF(AND($G10=121,$E10=1),1,0))</f>
        <v/>
      </c>
      <c r="AEH11">
        <f>IF($C10=122,0,AEH10+IF(AND($G10=122,$E10=1),1,0))</f>
        <v/>
      </c>
      <c r="AEI11">
        <f>IF($C10=123,0,AEI10+IF(AND($G10=123,$E10=1),1,0))</f>
        <v/>
      </c>
      <c r="AEJ11">
        <f>IF($C10=124,0,AEJ10+IF(AND($G10=124,$E10=1),1,0))</f>
        <v/>
      </c>
      <c r="AEK11">
        <f>IF($C10=125,0,AEK10+IF(AND($G10=125,$E10=1),1,0))</f>
        <v/>
      </c>
      <c r="AEL11">
        <f>IF($C10=126,0,AEL10+IF(AND($G10=126,$E10=1),1,0))</f>
        <v/>
      </c>
      <c r="AEM11">
        <f>IF($C10=127,0,AEM10+IF(AND($G10=127,$E10=1),1,0))</f>
        <v/>
      </c>
      <c r="AEN11">
        <f>IF($C10=128,0,AEN10+IF(AND($G10=128,$E10=1),1,0))</f>
        <v/>
      </c>
      <c r="AEO11">
        <f>IF($C10=129,0,AEO10+IF(AND($G10=129,$E10=1),1,0))</f>
        <v/>
      </c>
      <c r="AEP11">
        <f>IF($C10=130,0,AEP10+IF(AND($G10=130,$E10=1),1,0))</f>
        <v/>
      </c>
      <c r="AEQ11">
        <f>IF($C10=131,0,AEQ10+IF(AND($G10=131,$E10=1),1,0))</f>
        <v/>
      </c>
      <c r="AER11">
        <f>IF($C10=132,0,AER10+IF(AND($G10=132,$E10=1),1,0))</f>
        <v/>
      </c>
      <c r="AES11">
        <f>IF($C10=133,0,AES10+IF(AND($G10=133,$E10=1),1,0))</f>
        <v/>
      </c>
      <c r="AET11">
        <f>IF($C10=134,0,AET10+IF(AND($G10=134,$E10=1),1,0))</f>
        <v/>
      </c>
      <c r="AEU11">
        <f>IF($C10=135,0,AEU10+IF(AND($G10=135,$E10=1),1,0))</f>
        <v/>
      </c>
      <c r="AEV11">
        <f>IF($C10=136,0,AEV10+IF(AND($G10=136,$E10=1),1,0))</f>
        <v/>
      </c>
      <c r="AEW11">
        <f>IF($C10=137,0,AEW10+IF(AND($G10=137,$E10=1),1,0))</f>
        <v/>
      </c>
      <c r="AEX11">
        <f>IF($C10=138,0,AEX10+IF(AND($G10=138,$E10=1),1,0))</f>
        <v/>
      </c>
      <c r="AEY11">
        <f>IF($C10=139,0,AEY10+IF(AND($G10=139,$E10=1),1,0))</f>
        <v/>
      </c>
      <c r="AEZ11">
        <f>IF($C10=140,0,AEZ10+IF(AND($G10=140,$E10=1),1,0))</f>
        <v/>
      </c>
      <c r="AFA11">
        <f>IF($C10=141,0,AFA10+IF(AND($G10=141,$E10=1),1,0))</f>
        <v/>
      </c>
      <c r="AFB11">
        <f>IF($C10=142,0,AFB10+IF(AND($G10=142,$E10=1),1,0))</f>
        <v/>
      </c>
      <c r="AFC11">
        <f>IF($C10=143,0,AFC10+IF(AND($G10=143,$E10=1),1,0))</f>
        <v/>
      </c>
      <c r="AFD11">
        <f>IF($C10=144,0,AFD10+IF(AND($G10=144,$E10=1),1,0))</f>
        <v/>
      </c>
      <c r="AFF11">
        <f>IF('calcA'!D$106=1,DC11+ZR11,1)</f>
        <v/>
      </c>
      <c r="AFG11">
        <f>IF('calcA'!E$106=1,DD11+ZS11,1)</f>
        <v/>
      </c>
      <c r="AFH11">
        <f>IF('calcA'!F$106=1,DE11+ZT11,1)</f>
        <v/>
      </c>
      <c r="AFI11">
        <f>IF('calcA'!G$106=1,DF11+ZU11,1)</f>
        <v/>
      </c>
      <c r="AFJ11">
        <f>IF('calcA'!H$106=1,DG11+ZV11,1)</f>
        <v/>
      </c>
      <c r="AFK11">
        <f>IF('calcA'!I$106=1,DH11+ZW11,1)</f>
        <v/>
      </c>
      <c r="AFL11">
        <f>IF('calcA'!J$106=1,DI11+ZX11,1)</f>
        <v/>
      </c>
      <c r="AFM11">
        <f>IF('calcA'!K$106=1,DJ11+ZY11,1)</f>
        <v/>
      </c>
      <c r="AFN11">
        <f>IF('calcA'!L$106=1,DK11+ZZ11,1)</f>
        <v/>
      </c>
      <c r="AFO11">
        <f>IF('calcA'!M$106=1,DL11+AAA11,1)</f>
        <v/>
      </c>
      <c r="AFP11">
        <f>IF('calcA'!N$106=1,DM11+AAB11,1)</f>
        <v/>
      </c>
      <c r="AFQ11">
        <f>IF('calcA'!O$106=1,DN11+AAC11,1)</f>
        <v/>
      </c>
      <c r="AFR11">
        <f>IF('calcA'!P$106=1,DO11+AAD11,1)</f>
        <v/>
      </c>
      <c r="AFS11">
        <f>IF('calcA'!Q$106=1,DP11+AAE11,1)</f>
        <v/>
      </c>
      <c r="AFT11">
        <f>IF('calcA'!R$106=1,DQ11+AAF11,1)</f>
        <v/>
      </c>
      <c r="AFU11">
        <f>IF('calcA'!S$106=1,DR11+AAG11,1)</f>
        <v/>
      </c>
      <c r="AFV11">
        <f>IF('calcA'!T$106=1,DS11+AAH11,1)</f>
        <v/>
      </c>
      <c r="AFW11">
        <f>IF('calcA'!U$106=1,DT11+AAI11,1)</f>
        <v/>
      </c>
      <c r="AFX11">
        <f>IF('calcA'!V$106=1,DU11+AAJ11,1)</f>
        <v/>
      </c>
      <c r="AFY11">
        <f>IF('calcA'!W$106=1,DV11+AAK11,1)</f>
        <v/>
      </c>
      <c r="AFZ11">
        <f>IF('calcA'!X$106=1,DW11+AAL11,1)</f>
        <v/>
      </c>
      <c r="AGA11">
        <f>IF('calcA'!Y$106=1,DX11+AAM11,1)</f>
        <v/>
      </c>
      <c r="AGB11">
        <f>IF('calcA'!Z$106=1,DY11+AAN11,1)</f>
        <v/>
      </c>
      <c r="AGC11">
        <f>IF('calcA'!AA$106=1,DZ11+AAO11,1)</f>
        <v/>
      </c>
      <c r="AGD11">
        <f>IF('calcA'!AB$106=1,EA11+AAP11,1)</f>
        <v/>
      </c>
      <c r="AGE11">
        <f>IF('calcA'!AC$106=1,EB11+AAQ11,1)</f>
        <v/>
      </c>
      <c r="AGF11">
        <f>IF('calcA'!AD$106=1,EC11+AAR11,1)</f>
        <v/>
      </c>
      <c r="AGG11">
        <f>IF('calcA'!AE$106=1,ED11+AAS11,1)</f>
        <v/>
      </c>
      <c r="AGH11">
        <f>IF('calcA'!AF$106=1,EE11+AAT11,1)</f>
        <v/>
      </c>
      <c r="AGI11">
        <f>IF('calcA'!AG$106=1,EF11+AAU11,1)</f>
        <v/>
      </c>
      <c r="AGJ11">
        <f>IF('calcA'!AH$106=1,EG11+AAV11,1)</f>
        <v/>
      </c>
      <c r="AGK11">
        <f>IF('calcA'!AI$106=1,EH11+AAW11,1)</f>
        <v/>
      </c>
      <c r="AGL11">
        <f>IF('calcA'!AJ$106=1,EI11+AAX11,1)</f>
        <v/>
      </c>
      <c r="AGM11">
        <f>IF('calcA'!AK$106=1,EJ11+AAY11,1)</f>
        <v/>
      </c>
      <c r="AGN11">
        <f>IF('calcA'!AL$106=1,EK11+AAZ11,1)</f>
        <v/>
      </c>
      <c r="AGO11">
        <f>IF('calcA'!AM$106=1,EL11+ABA11,1)</f>
        <v/>
      </c>
      <c r="AGP11">
        <f>IF('calcA'!AN$106=1,EM11+ABB11,1)</f>
        <v/>
      </c>
      <c r="AGQ11">
        <f>IF('calcA'!AO$106=1,EN11+ABC11,1)</f>
        <v/>
      </c>
      <c r="AGR11">
        <f>IF('calcA'!AP$106=1,EO11+ABD11,1)</f>
        <v/>
      </c>
      <c r="AGS11">
        <f>IF('calcA'!AQ$106=1,EP11+ABE11,1)</f>
        <v/>
      </c>
      <c r="AGT11">
        <f>IF('calcA'!AR$106=1,EQ11+ABF11,1)</f>
        <v/>
      </c>
      <c r="AGU11">
        <f>IF('calcA'!AS$106=1,ER11+ABG11,1)</f>
        <v/>
      </c>
      <c r="AGV11">
        <f>IF('calcA'!AT$106=1,ES11+ABH11,1)</f>
        <v/>
      </c>
      <c r="AGW11">
        <f>IF('calcA'!AU$106=1,ET11+ABI11,1)</f>
        <v/>
      </c>
      <c r="AGX11">
        <f>IF('calcA'!AV$106=1,EU11+ABJ11,1)</f>
        <v/>
      </c>
      <c r="AGY11">
        <f>IF('calcA'!AW$106=1,EV11+ABK11,1)</f>
        <v/>
      </c>
      <c r="AGZ11">
        <f>IF('calcA'!AX$106=1,EW11+ABL11,1)</f>
        <v/>
      </c>
      <c r="AHA11">
        <f>IF('calcA'!AY$106=1,EX11+ABM11,1)</f>
        <v/>
      </c>
      <c r="AHB11">
        <f>IF('calcA'!AZ$106=1,EY11+ABN11,1)</f>
        <v/>
      </c>
      <c r="AHC11">
        <f>IF('calcA'!BA$106=1,EZ11+ABO11,1)</f>
        <v/>
      </c>
      <c r="AHD11">
        <f>IF('calcA'!BB$106=1,FA11+ABP11,1)</f>
        <v/>
      </c>
      <c r="AHE11">
        <f>IF('calcA'!BC$106=1,FB11+ABQ11,1)</f>
        <v/>
      </c>
      <c r="AHF11">
        <f>IF('calcA'!BD$106=1,FC11+ABR11,1)</f>
        <v/>
      </c>
      <c r="AHG11">
        <f>IF('calcA'!BE$106=1,FD11+ABS11,1)</f>
        <v/>
      </c>
      <c r="AHH11">
        <f>IF('calcA'!BF$106=1,FE11+ABT11,1)</f>
        <v/>
      </c>
      <c r="AHI11">
        <f>IF('calcA'!BG$106=1,FF11+ABU11,1)</f>
        <v/>
      </c>
      <c r="AHJ11">
        <f>IF('calcA'!BH$106=1,FG11+ABV11,1)</f>
        <v/>
      </c>
      <c r="AHK11">
        <f>IF('calcA'!BI$106=1,FH11+ABW11,1)</f>
        <v/>
      </c>
      <c r="AHL11">
        <f>IF('calcA'!BJ$106=1,FI11+ABX11,1)</f>
        <v/>
      </c>
      <c r="AHM11">
        <f>IF('calcA'!BK$106=1,FJ11+ABY11,1)</f>
        <v/>
      </c>
      <c r="AHN11">
        <f>IF('calcA'!BL$106=1,FK11+ABZ11,1)</f>
        <v/>
      </c>
      <c r="AHO11">
        <f>IF('calcA'!BM$106=1,FL11+ACA11,1)</f>
        <v/>
      </c>
      <c r="AHP11">
        <f>IF('calcA'!BN$106=1,FM11+ACB11,1)</f>
        <v/>
      </c>
      <c r="AHQ11">
        <f>IF('calcA'!BO$106=1,FN11+ACC11,1)</f>
        <v/>
      </c>
      <c r="AHR11">
        <f>IF('calcA'!BP$106=1,FO11+ACD11,1)</f>
        <v/>
      </c>
      <c r="AHS11">
        <f>IF('calcA'!BQ$106=1,FP11+ACE11,1)</f>
        <v/>
      </c>
      <c r="AHT11">
        <f>IF('calcA'!BR$106=1,FQ11+ACF11,1)</f>
        <v/>
      </c>
      <c r="AHU11">
        <f>IF('calcA'!BS$106=1,FR11+ACG11,1)</f>
        <v/>
      </c>
      <c r="AHV11">
        <f>IF('calcA'!BT$106=1,FS11+ACH11,1)</f>
        <v/>
      </c>
      <c r="AHW11">
        <f>IF('calcA'!BU$106=1,FT11+ACI11,1)</f>
        <v/>
      </c>
      <c r="AHX11">
        <f>IF('calcA'!BV$106=1,FU11+ACJ11,1)</f>
        <v/>
      </c>
      <c r="AHY11">
        <f>IF('calcA'!BW$106=1,FV11+ACK11,1)</f>
        <v/>
      </c>
      <c r="AHZ11">
        <f>IF('calcA'!BX$106=1,FW11+ACL11,1)</f>
        <v/>
      </c>
      <c r="AIA11">
        <f>IF('calcA'!BY$106=1,FX11+ACM11,1)</f>
        <v/>
      </c>
      <c r="AIB11">
        <f>IF('calcA'!BZ$106=1,FY11+ACN11,1)</f>
        <v/>
      </c>
      <c r="AIC11">
        <f>IF('calcA'!CA$106=1,FZ11+ACO11,1)</f>
        <v/>
      </c>
      <c r="AID11">
        <f>IF('calcA'!CB$106=1,GA11+ACP11,1)</f>
        <v/>
      </c>
      <c r="AIE11">
        <f>IF('calcA'!CC$106=1,GB11+ACQ11,1)</f>
        <v/>
      </c>
      <c r="AIF11">
        <f>IF('calcA'!CD$106=1,GC11+ACR11,1)</f>
        <v/>
      </c>
      <c r="AIG11">
        <f>IF('calcA'!CE$106=1,GD11+ACS11,1)</f>
        <v/>
      </c>
      <c r="AIH11">
        <f>IF('calcA'!CF$106=1,GE11+ACT11,1)</f>
        <v/>
      </c>
      <c r="AII11">
        <f>IF('calcA'!CG$106=1,GF11+ACU11,1)</f>
        <v/>
      </c>
      <c r="AIJ11">
        <f>IF('calcA'!CH$106=1,GG11+ACV11,1)</f>
        <v/>
      </c>
      <c r="AIK11">
        <f>IF('calcA'!CI$106=1,GH11+ACW11,1)</f>
        <v/>
      </c>
      <c r="AIL11">
        <f>IF('calcA'!CJ$106=1,GI11+ACX11,1)</f>
        <v/>
      </c>
      <c r="AIM11">
        <f>IF('calcA'!CK$106=1,GJ11+ACY11,1)</f>
        <v/>
      </c>
      <c r="AIN11">
        <f>IF('calcA'!CL$106=1,GK11+ACZ11,1)</f>
        <v/>
      </c>
      <c r="AIO11">
        <f>IF('calcA'!CM$106=1,GL11+ADA11,1)</f>
        <v/>
      </c>
      <c r="AIP11">
        <f>IF('calcA'!CN$106=1,GM11+ADB11,1)</f>
        <v/>
      </c>
      <c r="AIQ11">
        <f>IF('calcA'!CO$106=1,GN11+ADC11,1)</f>
        <v/>
      </c>
      <c r="AIR11">
        <f>IF('calcA'!CP$106=1,GO11+ADD11,1)</f>
        <v/>
      </c>
      <c r="AIS11">
        <f>IF('calcA'!CQ$106=1,GP11+ADE11,1)</f>
        <v/>
      </c>
      <c r="AIT11">
        <f>IF('calcA'!CR$106=1,GQ11+ADF11,1)</f>
        <v/>
      </c>
      <c r="AIU11">
        <f>IF('calcA'!CS$106=1,GR11+ADG11,1)</f>
        <v/>
      </c>
      <c r="AIV11">
        <f>IF('calcA'!CT$106=1,GS11+ADH11,1)</f>
        <v/>
      </c>
      <c r="AIW11">
        <f>IF('calcA'!CU$106=1,GT11+ADI11,1)</f>
        <v/>
      </c>
      <c r="AIX11">
        <f>IF('calcA'!CV$106=1,GU11+ADJ11,1)</f>
        <v/>
      </c>
      <c r="AIY11">
        <f>IF('calcA'!CW$106=1,GV11+ADK11,1)</f>
        <v/>
      </c>
      <c r="AIZ11">
        <f>IF('calcA'!CX$106=1,GW11+ADL11,1)</f>
        <v/>
      </c>
      <c r="AJA11">
        <f>IF('calcA'!CY$106=1,GX11+ADM11,1)</f>
        <v/>
      </c>
      <c r="AJB11">
        <f>IF('calcA'!CZ$106=1,GY11+ADN11,1)</f>
        <v/>
      </c>
      <c r="AJC11">
        <f>IF('calcA'!DA$106=1,GZ11+ADO11,1)</f>
        <v/>
      </c>
      <c r="AJD11">
        <f>IF('calcA'!DB$106=1,HA11+ADP11,1)</f>
        <v/>
      </c>
      <c r="AJE11">
        <f>IF('calcA'!DC$106=1,HB11+ADQ11,1)</f>
        <v/>
      </c>
      <c r="AJF11">
        <f>IF('calcA'!DD$106=1,HC11+ADR11,1)</f>
        <v/>
      </c>
      <c r="AJG11">
        <f>IF('calcA'!DE$106=1,HD11+ADS11,1)</f>
        <v/>
      </c>
      <c r="AJH11">
        <f>IF('calcA'!DF$106=1,HE11+ADT11,1)</f>
        <v/>
      </c>
      <c r="AJI11">
        <f>IF('calcA'!DG$106=1,HF11+ADU11,1)</f>
        <v/>
      </c>
      <c r="AJJ11">
        <f>IF('calcA'!DH$106=1,HG11+ADV11,1)</f>
        <v/>
      </c>
      <c r="AJK11">
        <f>IF('calcA'!DI$106=1,HH11+ADW11,1)</f>
        <v/>
      </c>
      <c r="AJL11">
        <f>IF('calcA'!DJ$106=1,HI11+ADX11,1)</f>
        <v/>
      </c>
      <c r="AJM11">
        <f>IF('calcA'!DK$106=1,HJ11+ADY11,1)</f>
        <v/>
      </c>
      <c r="AJN11">
        <f>IF('calcA'!DL$106=1,HK11+ADZ11,1)</f>
        <v/>
      </c>
      <c r="AJO11">
        <f>IF('calcA'!DM$106=1,HL11+AEA11,1)</f>
        <v/>
      </c>
      <c r="AJP11">
        <f>IF('calcA'!DN$106=1,HM11+AEB11,1)</f>
        <v/>
      </c>
      <c r="AJQ11">
        <f>IF('calcA'!DO$106=1,HN11+AEC11,1)</f>
        <v/>
      </c>
      <c r="AJR11">
        <f>IF('calcA'!DP$106=1,HO11+AED11,1)</f>
        <v/>
      </c>
      <c r="AJS11">
        <f>IF('calcA'!DQ$106=1,HP11+AEE11,1)</f>
        <v/>
      </c>
      <c r="AJT11">
        <f>IF('calcA'!DR$106=1,HQ11+AEF11,1)</f>
        <v/>
      </c>
      <c r="AJU11">
        <f>IF('calcA'!DS$106=1,HR11+AEG11,1)</f>
        <v/>
      </c>
      <c r="AJV11">
        <f>IF('calcA'!DT$106=1,HS11+AEH11,1)</f>
        <v/>
      </c>
      <c r="AJW11">
        <f>IF('calcA'!DU$106=1,HT11+AEI11,1)</f>
        <v/>
      </c>
      <c r="AJX11">
        <f>IF('calcA'!DV$106=1,HU11+AEJ11,1)</f>
        <v/>
      </c>
      <c r="AJY11">
        <f>IF('calcA'!DW$106=1,HV11+AEK11,1)</f>
        <v/>
      </c>
      <c r="AJZ11">
        <f>IF('calcA'!DX$106=1,HW11+AEL11,1)</f>
        <v/>
      </c>
      <c r="AKA11">
        <f>IF('calcA'!DY$106=1,HX11+AEM11,1)</f>
        <v/>
      </c>
      <c r="AKB11">
        <f>IF('calcA'!DZ$106=1,HY11+AEN11,1)</f>
        <v/>
      </c>
      <c r="AKC11">
        <f>IF('calcA'!EA$106=1,HZ11+AEO11,1)</f>
        <v/>
      </c>
      <c r="AKD11">
        <f>IF('calcA'!EB$106=1,IA11+AEP11,1)</f>
        <v/>
      </c>
      <c r="AKE11">
        <f>IF('calcA'!EC$106=1,IB11+AEQ11,1)</f>
        <v/>
      </c>
      <c r="AKF11">
        <f>IF('calcA'!ED$106=1,IC11+AER11,1)</f>
        <v/>
      </c>
      <c r="AKG11">
        <f>IF('calcA'!EE$106=1,ID11+AES11,1)</f>
        <v/>
      </c>
      <c r="AKH11">
        <f>IF('calcA'!EF$106=1,IE11+AET11,1)</f>
        <v/>
      </c>
      <c r="AKI11">
        <f>IF('calcA'!EG$106=1,IF11+AEU11,1)</f>
        <v/>
      </c>
      <c r="AKJ11">
        <f>IF('calcA'!EH$106=1,IG11+AEV11,1)</f>
        <v/>
      </c>
      <c r="AKK11">
        <f>IF('calcA'!EI$106=1,IH11+AEW11,1)</f>
        <v/>
      </c>
      <c r="AKL11">
        <f>IF('calcA'!EJ$106=1,II11+AEX11,1)</f>
        <v/>
      </c>
      <c r="AKM11">
        <f>IF('calcA'!EK$106=1,IJ11+AEY11,1)</f>
        <v/>
      </c>
      <c r="AKN11">
        <f>IF('calcA'!EL$106=1,IK11+AEZ11,1)</f>
        <v/>
      </c>
      <c r="AKO11">
        <f>IF('calcA'!EM$106=1,IL11+AFA11,1)</f>
        <v/>
      </c>
      <c r="AKP11">
        <f>IF('calcA'!EN$106=1,IM11+AFB11,1)</f>
        <v/>
      </c>
      <c r="AKQ11">
        <f>IF('calcA'!EO$106=1,IN11+AFC11,1)</f>
        <v/>
      </c>
      <c r="AKR11">
        <f>IF('calcA'!EP$106=1,IO11+AFD11,1)</f>
        <v/>
      </c>
      <c r="AKS11" t="n">
        <v>1</v>
      </c>
    </row>
    <row r="12">
      <c r="A12" t="n">
        <v>10</v>
      </c>
      <c r="B12">
        <f>IF(MIN(BM12:CZ12)&gt;=1000000000,0,MATCH(MIN(BM12:CZ12),BM12:CZ12,0))</f>
        <v/>
      </c>
      <c r="C12">
        <f>IF(MIN(OF12:TS12)&gt;=1000000000,0,MATCH(MIN(OF12:TS12),OF12:TS12,0))</f>
        <v/>
      </c>
      <c r="D12">
        <f>IF(C12&gt;0,INDEX('calcA'!$D$5:$EQ$5,C12),0)</f>
        <v/>
      </c>
      <c r="E12">
        <f>IF(B12=0,0,INDEX('calcA'!$IQ$10:$IQ$54,B12))</f>
        <v/>
      </c>
      <c r="F12">
        <f>IF(B12=0,0,INDEX('calcA'!$IP$10:$IP$54,B12))</f>
        <v/>
      </c>
      <c r="G12">
        <f>IF(AND(C12&gt;0,E12&gt;0),IF(AND(INDEX('calcA'!$D$106:$EQ$106,C12)=1,INDEX($IQ12:$OD12,C12)=1),C12+1,0),0)</f>
        <v/>
      </c>
      <c r="H12">
        <f>IF(B12=0,0,INDEX('calcA'!$IW$10:$IW$54,B12))</f>
        <v/>
      </c>
      <c r="U12">
        <f>IF(B12=0,0,INDEX('calcA'!$IX$10:$IX$54,B12))</f>
        <v/>
      </c>
      <c r="V12">
        <f>IF(B12=0,0,INDEX('calcA'!$JF$10:$JF$54,B12))</f>
        <v/>
      </c>
      <c r="W12">
        <f>IF(B12=0,0,IF(IF(E12=2,SUMPRODUCT(INDEX('calcA'!$D$60:$EQ$99,B12,0),$DB12:$IO12,$IQ12:$OD12),SUMPRODUCT(INDEX('calcA'!$D$60:$EQ$99,B12,0),$DB12:$IO12))=0,1,0))</f>
        <v/>
      </c>
      <c r="X12">
        <f>MAX(X11,IF($B11=1,1,0))</f>
        <v/>
      </c>
      <c r="Y12">
        <f>MAX(Y11,IF($B11=2,1,0))</f>
        <v/>
      </c>
      <c r="Z12">
        <f>MAX(Z11,IF($B11=3,1,0))</f>
        <v/>
      </c>
      <c r="AA12">
        <f>MAX(AA11,IF($B11=4,1,0))</f>
        <v/>
      </c>
      <c r="AB12">
        <f>MAX(AB11,IF($B11=5,1,0))</f>
        <v/>
      </c>
      <c r="AC12">
        <f>MAX(AC11,IF($B11=6,1,0))</f>
        <v/>
      </c>
      <c r="AD12">
        <f>MAX(AD11,IF($B11=7,1,0))</f>
        <v/>
      </c>
      <c r="AE12">
        <f>MAX(AE11,IF($B11=8,1,0))</f>
        <v/>
      </c>
      <c r="AF12">
        <f>MAX(AF11,IF($B11=9,1,0))</f>
        <v/>
      </c>
      <c r="AG12">
        <f>MAX(AG11,IF($B11=10,1,0))</f>
        <v/>
      </c>
      <c r="AH12">
        <f>MAX(AH11,IF($B11=11,1,0))</f>
        <v/>
      </c>
      <c r="AI12">
        <f>MAX(AI11,IF($B11=12,1,0))</f>
        <v/>
      </c>
      <c r="AJ12">
        <f>MAX(AJ11,IF($B11=13,1,0))</f>
        <v/>
      </c>
      <c r="AK12">
        <f>MAX(AK11,IF($B11=14,1,0))</f>
        <v/>
      </c>
      <c r="AL12">
        <f>MAX(AL11,IF($B11=15,1,0))</f>
        <v/>
      </c>
      <c r="AM12">
        <f>MAX(AM11,IF($B11=16,1,0))</f>
        <v/>
      </c>
      <c r="AN12">
        <f>MAX(AN11,IF($B11=17,1,0))</f>
        <v/>
      </c>
      <c r="AO12">
        <f>MAX(AO11,IF($B11=18,1,0))</f>
        <v/>
      </c>
      <c r="AP12">
        <f>MAX(AP11,IF($B11=19,1,0))</f>
        <v/>
      </c>
      <c r="AQ12">
        <f>MAX(AQ11,IF($B11=20,1,0))</f>
        <v/>
      </c>
      <c r="AR12">
        <f>MAX(AR11,IF($B11=21,1,0))</f>
        <v/>
      </c>
      <c r="AS12">
        <f>MAX(AS11,IF($B11=22,1,0))</f>
        <v/>
      </c>
      <c r="AT12">
        <f>MAX(AT11,IF($B11=23,1,0))</f>
        <v/>
      </c>
      <c r="AU12">
        <f>MAX(AU11,IF($B11=24,1,0))</f>
        <v/>
      </c>
      <c r="AV12">
        <f>MAX(AV11,IF($B11=25,1,0))</f>
        <v/>
      </c>
      <c r="AW12">
        <f>MAX(AW11,IF($B11=26,1,0))</f>
        <v/>
      </c>
      <c r="AX12">
        <f>MAX(AX11,IF($B11=27,1,0))</f>
        <v/>
      </c>
      <c r="AY12">
        <f>MAX(AY11,IF($B11=28,1,0))</f>
        <v/>
      </c>
      <c r="AZ12">
        <f>MAX(AZ11,IF($B11=29,1,0))</f>
        <v/>
      </c>
      <c r="BA12">
        <f>MAX(BA11,IF($B11=30,1,0))</f>
        <v/>
      </c>
      <c r="BB12">
        <f>MAX(BB11,IF($B11=31,1,0))</f>
        <v/>
      </c>
      <c r="BC12">
        <f>MAX(BC11,IF($B11=32,1,0))</f>
        <v/>
      </c>
      <c r="BD12">
        <f>MAX(BD11,IF($B11=33,1,0))</f>
        <v/>
      </c>
      <c r="BE12">
        <f>MAX(BE11,IF($B11=34,1,0))</f>
        <v/>
      </c>
      <c r="BF12">
        <f>MAX(BF11,IF($B11=35,1,0))</f>
        <v/>
      </c>
      <c r="BG12">
        <f>MAX(BG11,IF($B11=36,1,0))</f>
        <v/>
      </c>
      <c r="BH12">
        <f>MAX(BH11,IF($B11=37,1,0))</f>
        <v/>
      </c>
      <c r="BI12">
        <f>MAX(BI11,IF($B11=38,1,0))</f>
        <v/>
      </c>
      <c r="BJ12">
        <f>MAX(BJ11,IF($B11=39,1,0))</f>
        <v/>
      </c>
      <c r="BK12">
        <f>MAX(BK11,IF($B11=40,1,0))</f>
        <v/>
      </c>
      <c r="BM12">
        <f>IF(OR(X12=1,calcA!$A$6=0),1000000000,IF('calcA'!$JF$10=1,0,100000000)+IF('calcA'!$IQ$10=2,SUMPRODUCT('calcA'!$D$60:$EQ$60,$DB12:$IO12,$IQ12:$OD12)*1000+SUMPRODUCT('calcA'!$D$60:$EQ$60,$DB12:$IO12+$ZQ12:$AFD12,$AFF12:$AKS12),SUMPRODUCT('calcA'!$D$60:$EQ$60,$DB12:$IO12*1001+$ZQ12:$AFD12))*100+1)</f>
        <v/>
      </c>
      <c r="BN12">
        <f>IF(OR(Y12=1,calcA!$A$6=0),1000000000,IF('calcA'!$JF$11=1,0,100000000)+IF('calcA'!$IQ$11=2,SUMPRODUCT('calcA'!$D$61:$EQ$61,$DB12:$IO12,$IQ12:$OD12)*1000+SUMPRODUCT('calcA'!$D$61:$EQ$61,$DB12:$IO12+$ZQ12:$AFD12,$AFF12:$AKS12),SUMPRODUCT('calcA'!$D$61:$EQ$61,$DB12:$IO12*1001+$ZQ12:$AFD12))*100+2)</f>
        <v/>
      </c>
      <c r="BO12">
        <f>IF(OR(Z12=1,calcA!$A$6=0),1000000000,IF('calcA'!$JF$12=1,0,100000000)+IF('calcA'!$IQ$12=2,SUMPRODUCT('calcA'!$D$62:$EQ$62,$DB12:$IO12,$IQ12:$OD12)*1000+SUMPRODUCT('calcA'!$D$62:$EQ$62,$DB12:$IO12+$ZQ12:$AFD12,$AFF12:$AKS12),SUMPRODUCT('calcA'!$D$62:$EQ$62,$DB12:$IO12*1001+$ZQ12:$AFD12))*100+3)</f>
        <v/>
      </c>
      <c r="BP12">
        <f>IF(OR(AA12=1,calcA!$A$6=0),1000000000,IF('calcA'!$JF$13=1,0,100000000)+IF('calcA'!$IQ$13=2,SUMPRODUCT('calcA'!$D$63:$EQ$63,$DB12:$IO12,$IQ12:$OD12)*1000+SUMPRODUCT('calcA'!$D$63:$EQ$63,$DB12:$IO12+$ZQ12:$AFD12,$AFF12:$AKS12),SUMPRODUCT('calcA'!$D$63:$EQ$63,$DB12:$IO12*1001+$ZQ12:$AFD12))*100+4)</f>
        <v/>
      </c>
      <c r="BQ12">
        <f>IF(OR(AB12=1,calcA!$A$6=0),1000000000,IF('calcA'!$JF$14=1,0,100000000)+IF('calcA'!$IQ$14=2,SUMPRODUCT('calcA'!$D$64:$EQ$64,$DB12:$IO12,$IQ12:$OD12)*1000+SUMPRODUCT('calcA'!$D$64:$EQ$64,$DB12:$IO12+$ZQ12:$AFD12,$AFF12:$AKS12),SUMPRODUCT('calcA'!$D$64:$EQ$64,$DB12:$IO12*1001+$ZQ12:$AFD12))*100+5)</f>
        <v/>
      </c>
      <c r="BR12">
        <f>IF(OR(AC12=1,calcA!$A$6=0),1000000000,IF('calcA'!$JF$15=1,0,100000000)+IF('calcA'!$IQ$15=2,SUMPRODUCT('calcA'!$D$65:$EQ$65,$DB12:$IO12,$IQ12:$OD12)*1000+SUMPRODUCT('calcA'!$D$65:$EQ$65,$DB12:$IO12+$ZQ12:$AFD12,$AFF12:$AKS12),SUMPRODUCT('calcA'!$D$65:$EQ$65,$DB12:$IO12*1001+$ZQ12:$AFD12))*100+6)</f>
        <v/>
      </c>
      <c r="BS12">
        <f>IF(OR(AD12=1,calcA!$A$6=0),1000000000,IF('calcA'!$JF$16=1,0,100000000)+IF('calcA'!$IQ$16=2,SUMPRODUCT('calcA'!$D$66:$EQ$66,$DB12:$IO12,$IQ12:$OD12)*1000+SUMPRODUCT('calcA'!$D$66:$EQ$66,$DB12:$IO12+$ZQ12:$AFD12,$AFF12:$AKS12),SUMPRODUCT('calcA'!$D$66:$EQ$66,$DB12:$IO12*1001+$ZQ12:$AFD12))*100+7)</f>
        <v/>
      </c>
      <c r="BT12">
        <f>IF(OR(AE12=1,calcA!$A$6=0),1000000000,IF('calcA'!$JF$17=1,0,100000000)+IF('calcA'!$IQ$17=2,SUMPRODUCT('calcA'!$D$67:$EQ$67,$DB12:$IO12,$IQ12:$OD12)*1000+SUMPRODUCT('calcA'!$D$67:$EQ$67,$DB12:$IO12+$ZQ12:$AFD12,$AFF12:$AKS12),SUMPRODUCT('calcA'!$D$67:$EQ$67,$DB12:$IO12*1001+$ZQ12:$AFD12))*100+8)</f>
        <v/>
      </c>
      <c r="BU12">
        <f>IF(OR(AF12=1,calcA!$A$6=0),1000000000,IF('calcA'!$JF$18=1,0,100000000)+IF('calcA'!$IQ$18=2,SUMPRODUCT('calcA'!$D$68:$EQ$68,$DB12:$IO12,$IQ12:$OD12)*1000+SUMPRODUCT('calcA'!$D$68:$EQ$68,$DB12:$IO12+$ZQ12:$AFD12,$AFF12:$AKS12),SUMPRODUCT('calcA'!$D$68:$EQ$68,$DB12:$IO12*1001+$ZQ12:$AFD12))*100+9)</f>
        <v/>
      </c>
      <c r="BV12">
        <f>IF(OR(AG12=1,calcA!$A$6=0),1000000000,IF('calcA'!$JF$19=1,0,100000000)+IF('calcA'!$IQ$19=2,SUMPRODUCT('calcA'!$D$69:$EQ$69,$DB12:$IO12,$IQ12:$OD12)*1000+SUMPRODUCT('calcA'!$D$69:$EQ$69,$DB12:$IO12+$ZQ12:$AFD12,$AFF12:$AKS12),SUMPRODUCT('calcA'!$D$69:$EQ$69,$DB12:$IO12*1001+$ZQ12:$AFD12))*100+10)</f>
        <v/>
      </c>
      <c r="BW12">
        <f>IF(OR(AH12=1,calcA!$A$6=0),1000000000,IF('calcA'!$JF$20=1,0,100000000)+IF('calcA'!$IQ$20=2,SUMPRODUCT('calcA'!$D$70:$EQ$70,$DB12:$IO12,$IQ12:$OD12)*1000+SUMPRODUCT('calcA'!$D$70:$EQ$70,$DB12:$IO12+$ZQ12:$AFD12,$AFF12:$AKS12),SUMPRODUCT('calcA'!$D$70:$EQ$70,$DB12:$IO12*1001+$ZQ12:$AFD12))*100+11)</f>
        <v/>
      </c>
      <c r="BX12">
        <f>IF(OR(AI12=1,calcA!$A$6=0),1000000000,IF('calcA'!$JF$21=1,0,100000000)+IF('calcA'!$IQ$21=2,SUMPRODUCT('calcA'!$D$71:$EQ$71,$DB12:$IO12,$IQ12:$OD12)*1000+SUMPRODUCT('calcA'!$D$71:$EQ$71,$DB12:$IO12+$ZQ12:$AFD12,$AFF12:$AKS12),SUMPRODUCT('calcA'!$D$71:$EQ$71,$DB12:$IO12*1001+$ZQ12:$AFD12))*100+12)</f>
        <v/>
      </c>
      <c r="BY12">
        <f>IF(OR(AJ12=1,calcA!$A$6=0),1000000000,IF('calcA'!$JF$22=1,0,100000000)+IF('calcA'!$IQ$22=2,SUMPRODUCT('calcA'!$D$72:$EQ$72,$DB12:$IO12,$IQ12:$OD12)*1000+SUMPRODUCT('calcA'!$D$72:$EQ$72,$DB12:$IO12+$ZQ12:$AFD12,$AFF12:$AKS12),SUMPRODUCT('calcA'!$D$72:$EQ$72,$DB12:$IO12*1001+$ZQ12:$AFD12))*100+13)</f>
        <v/>
      </c>
      <c r="BZ12">
        <f>IF(OR(AK12=1,calcA!$A$6=0),1000000000,IF('calcA'!$JF$23=1,0,100000000)+IF('calcA'!$IQ$23=2,SUMPRODUCT('calcA'!$D$73:$EQ$73,$DB12:$IO12,$IQ12:$OD12)*1000+SUMPRODUCT('calcA'!$D$73:$EQ$73,$DB12:$IO12+$ZQ12:$AFD12,$AFF12:$AKS12),SUMPRODUCT('calcA'!$D$73:$EQ$73,$DB12:$IO12*1001+$ZQ12:$AFD12))*100+14)</f>
        <v/>
      </c>
      <c r="CA12">
        <f>IF(OR(AL12=1,calcA!$A$6=0),1000000000,IF('calcA'!$JF$24=1,0,100000000)+IF('calcA'!$IQ$24=2,SUMPRODUCT('calcA'!$D$74:$EQ$74,$DB12:$IO12,$IQ12:$OD12)*1000+SUMPRODUCT('calcA'!$D$74:$EQ$74,$DB12:$IO12+$ZQ12:$AFD12,$AFF12:$AKS12),SUMPRODUCT('calcA'!$D$74:$EQ$74,$DB12:$IO12*1001+$ZQ12:$AFD12))*100+15)</f>
        <v/>
      </c>
      <c r="CB12">
        <f>IF(OR(AM12=1,calcA!$A$6=0),1000000000,IF('calcA'!$JF$25=1,0,100000000)+IF('calcA'!$IQ$25=2,SUMPRODUCT('calcA'!$D$75:$EQ$75,$DB12:$IO12,$IQ12:$OD12)*1000+SUMPRODUCT('calcA'!$D$75:$EQ$75,$DB12:$IO12+$ZQ12:$AFD12,$AFF12:$AKS12),SUMPRODUCT('calcA'!$D$75:$EQ$75,$DB12:$IO12*1001+$ZQ12:$AFD12))*100+16)</f>
        <v/>
      </c>
      <c r="CC12">
        <f>IF(OR(AN12=1,calcA!$A$6=0),1000000000,IF('calcA'!$JF$26=1,0,100000000)+IF('calcA'!$IQ$26=2,SUMPRODUCT('calcA'!$D$76:$EQ$76,$DB12:$IO12,$IQ12:$OD12)*1000+SUMPRODUCT('calcA'!$D$76:$EQ$76,$DB12:$IO12+$ZQ12:$AFD12,$AFF12:$AKS12),SUMPRODUCT('calcA'!$D$76:$EQ$76,$DB12:$IO12*1001+$ZQ12:$AFD12))*100+17)</f>
        <v/>
      </c>
      <c r="CD12">
        <f>IF(OR(AO12=1,calcA!$A$6=0),1000000000,IF('calcA'!$JF$27=1,0,100000000)+IF('calcA'!$IQ$27=2,SUMPRODUCT('calcA'!$D$77:$EQ$77,$DB12:$IO12,$IQ12:$OD12)*1000+SUMPRODUCT('calcA'!$D$77:$EQ$77,$DB12:$IO12+$ZQ12:$AFD12,$AFF12:$AKS12),SUMPRODUCT('calcA'!$D$77:$EQ$77,$DB12:$IO12*1001+$ZQ12:$AFD12))*100+18)</f>
        <v/>
      </c>
      <c r="CE12">
        <f>IF(OR(AP12=1,calcA!$A$6=0),1000000000,IF('calcA'!$JF$28=1,0,100000000)+IF('calcA'!$IQ$28=2,SUMPRODUCT('calcA'!$D$78:$EQ$78,$DB12:$IO12,$IQ12:$OD12)*1000+SUMPRODUCT('calcA'!$D$78:$EQ$78,$DB12:$IO12+$ZQ12:$AFD12,$AFF12:$AKS12),SUMPRODUCT('calcA'!$D$78:$EQ$78,$DB12:$IO12*1001+$ZQ12:$AFD12))*100+19)</f>
        <v/>
      </c>
      <c r="CF12">
        <f>IF(OR(AQ12=1,calcA!$A$6=0),1000000000,IF('calcA'!$JF$29=1,0,100000000)+IF('calcA'!$IQ$29=2,SUMPRODUCT('calcA'!$D$79:$EQ$79,$DB12:$IO12,$IQ12:$OD12)*1000+SUMPRODUCT('calcA'!$D$79:$EQ$79,$DB12:$IO12+$ZQ12:$AFD12,$AFF12:$AKS12),SUMPRODUCT('calcA'!$D$79:$EQ$79,$DB12:$IO12*1001+$ZQ12:$AFD12))*100+20)</f>
        <v/>
      </c>
      <c r="CG12">
        <f>IF(OR(AR12=1,calcA!$A$6=0),1000000000,IF('calcA'!$JF$30=1,0,100000000)+IF('calcA'!$IQ$30=2,SUMPRODUCT('calcA'!$D$80:$EQ$80,$DB12:$IO12,$IQ12:$OD12)*1000+SUMPRODUCT('calcA'!$D$80:$EQ$80,$DB12:$IO12+$ZQ12:$AFD12,$AFF12:$AKS12),SUMPRODUCT('calcA'!$D$80:$EQ$80,$DB12:$IO12*1001+$ZQ12:$AFD12))*100+21)</f>
        <v/>
      </c>
      <c r="CH12">
        <f>IF(OR(AS12=1,calcA!$A$6=0),1000000000,IF('calcA'!$JF$31=1,0,100000000)+IF('calcA'!$IQ$31=2,SUMPRODUCT('calcA'!$D$81:$EQ$81,$DB12:$IO12,$IQ12:$OD12)*1000+SUMPRODUCT('calcA'!$D$81:$EQ$81,$DB12:$IO12+$ZQ12:$AFD12,$AFF12:$AKS12),SUMPRODUCT('calcA'!$D$81:$EQ$81,$DB12:$IO12*1001+$ZQ12:$AFD12))*100+22)</f>
        <v/>
      </c>
      <c r="CI12">
        <f>IF(OR(AT12=1,calcA!$A$6=0),1000000000,IF('calcA'!$JF$32=1,0,100000000)+IF('calcA'!$IQ$32=2,SUMPRODUCT('calcA'!$D$82:$EQ$82,$DB12:$IO12,$IQ12:$OD12)*1000+SUMPRODUCT('calcA'!$D$82:$EQ$82,$DB12:$IO12+$ZQ12:$AFD12,$AFF12:$AKS12),SUMPRODUCT('calcA'!$D$82:$EQ$82,$DB12:$IO12*1001+$ZQ12:$AFD12))*100+23)</f>
        <v/>
      </c>
      <c r="CJ12">
        <f>IF(OR(AU12=1,calcA!$A$6=0),1000000000,IF('calcA'!$JF$33=1,0,100000000)+IF('calcA'!$IQ$33=2,SUMPRODUCT('calcA'!$D$83:$EQ$83,$DB12:$IO12,$IQ12:$OD12)*1000+SUMPRODUCT('calcA'!$D$83:$EQ$83,$DB12:$IO12+$ZQ12:$AFD12,$AFF12:$AKS12),SUMPRODUCT('calcA'!$D$83:$EQ$83,$DB12:$IO12*1001+$ZQ12:$AFD12))*100+24)</f>
        <v/>
      </c>
      <c r="CK12">
        <f>IF(OR(AV12=1,calcA!$A$6=0),1000000000,IF('calcA'!$JF$34=1,0,100000000)+IF('calcA'!$IQ$34=2,SUMPRODUCT('calcA'!$D$84:$EQ$84,$DB12:$IO12,$IQ12:$OD12)*1000+SUMPRODUCT('calcA'!$D$84:$EQ$84,$DB12:$IO12+$ZQ12:$AFD12,$AFF12:$AKS12),SUMPRODUCT('calcA'!$D$84:$EQ$84,$DB12:$IO12*1001+$ZQ12:$AFD12))*100+25)</f>
        <v/>
      </c>
      <c r="CL12">
        <f>IF(OR(AW12=1,calcA!$A$6=0),1000000000,IF('calcA'!$JF$35=1,0,100000000)+IF('calcA'!$IQ$35=2,SUMPRODUCT('calcA'!$D$85:$EQ$85,$DB12:$IO12,$IQ12:$OD12)*1000+SUMPRODUCT('calcA'!$D$85:$EQ$85,$DB12:$IO12+$ZQ12:$AFD12,$AFF12:$AKS12),SUMPRODUCT('calcA'!$D$85:$EQ$85,$DB12:$IO12*1001+$ZQ12:$AFD12))*100+26)</f>
        <v/>
      </c>
      <c r="CM12">
        <f>IF(OR(AX12=1,calcA!$A$6=0),1000000000,IF('calcA'!$JF$36=1,0,100000000)+IF('calcA'!$IQ$36=2,SUMPRODUCT('calcA'!$D$86:$EQ$86,$DB12:$IO12,$IQ12:$OD12)*1000+SUMPRODUCT('calcA'!$D$86:$EQ$86,$DB12:$IO12+$ZQ12:$AFD12,$AFF12:$AKS12),SUMPRODUCT('calcA'!$D$86:$EQ$86,$DB12:$IO12*1001+$ZQ12:$AFD12))*100+27)</f>
        <v/>
      </c>
      <c r="CN12">
        <f>IF(OR(AY12=1,calcA!$A$6=0),1000000000,IF('calcA'!$JF$37=1,0,100000000)+IF('calcA'!$IQ$37=2,SUMPRODUCT('calcA'!$D$87:$EQ$87,$DB12:$IO12,$IQ12:$OD12)*1000+SUMPRODUCT('calcA'!$D$87:$EQ$87,$DB12:$IO12+$ZQ12:$AFD12,$AFF12:$AKS12),SUMPRODUCT('calcA'!$D$87:$EQ$87,$DB12:$IO12*1001+$ZQ12:$AFD12))*100+28)</f>
        <v/>
      </c>
      <c r="CO12">
        <f>IF(OR(AZ12=1,calcA!$A$6=0),1000000000,IF('calcA'!$JF$38=1,0,100000000)+IF('calcA'!$IQ$38=2,SUMPRODUCT('calcA'!$D$88:$EQ$88,$DB12:$IO12,$IQ12:$OD12)*1000+SUMPRODUCT('calcA'!$D$88:$EQ$88,$DB12:$IO12+$ZQ12:$AFD12,$AFF12:$AKS12),SUMPRODUCT('calcA'!$D$88:$EQ$88,$DB12:$IO12*1001+$ZQ12:$AFD12))*100+29)</f>
        <v/>
      </c>
      <c r="CP12">
        <f>IF(OR(BA12=1,calcA!$A$6=0),1000000000,IF('calcA'!$JF$39=1,0,100000000)+IF('calcA'!$IQ$39=2,SUMPRODUCT('calcA'!$D$89:$EQ$89,$DB12:$IO12,$IQ12:$OD12)*1000+SUMPRODUCT('calcA'!$D$89:$EQ$89,$DB12:$IO12+$ZQ12:$AFD12,$AFF12:$AKS12),SUMPRODUCT('calcA'!$D$89:$EQ$89,$DB12:$IO12*1001+$ZQ12:$AFD12))*100+30)</f>
        <v/>
      </c>
      <c r="CQ12">
        <f>IF(OR(BB12=1,calcA!$A$6=0),1000000000,IF('calcA'!$JF$40=1,0,100000000)+IF('calcA'!$IQ$40=2,SUMPRODUCT('calcA'!$D$90:$EQ$90,$DB12:$IO12,$IQ12:$OD12)*1000+SUMPRODUCT('calcA'!$D$90:$EQ$90,$DB12:$IO12+$ZQ12:$AFD12,$AFF12:$AKS12),SUMPRODUCT('calcA'!$D$90:$EQ$90,$DB12:$IO12*1001+$ZQ12:$AFD12))*100+31)</f>
        <v/>
      </c>
      <c r="CR12">
        <f>IF(OR(BC12=1,calcA!$A$6=0),1000000000,IF('calcA'!$JF$41=1,0,100000000)+IF('calcA'!$IQ$41=2,SUMPRODUCT('calcA'!$D$91:$EQ$91,$DB12:$IO12,$IQ12:$OD12)*1000+SUMPRODUCT('calcA'!$D$91:$EQ$91,$DB12:$IO12+$ZQ12:$AFD12,$AFF12:$AKS12),SUMPRODUCT('calcA'!$D$91:$EQ$91,$DB12:$IO12*1001+$ZQ12:$AFD12))*100+32)</f>
        <v/>
      </c>
      <c r="CS12">
        <f>IF(OR(BD12=1,calcA!$A$6=0),1000000000,IF('calcA'!$JF$42=1,0,100000000)+IF('calcA'!$IQ$42=2,SUMPRODUCT('calcA'!$D$92:$EQ$92,$DB12:$IO12,$IQ12:$OD12)*1000+SUMPRODUCT('calcA'!$D$92:$EQ$92,$DB12:$IO12+$ZQ12:$AFD12,$AFF12:$AKS12),SUMPRODUCT('calcA'!$D$92:$EQ$92,$DB12:$IO12*1001+$ZQ12:$AFD12))*100+33)</f>
        <v/>
      </c>
      <c r="CT12">
        <f>IF(OR(BE12=1,calcA!$A$6=0),1000000000,IF('calcA'!$JF$43=1,0,100000000)+IF('calcA'!$IQ$43=2,SUMPRODUCT('calcA'!$D$93:$EQ$93,$DB12:$IO12,$IQ12:$OD12)*1000+SUMPRODUCT('calcA'!$D$93:$EQ$93,$DB12:$IO12+$ZQ12:$AFD12,$AFF12:$AKS12),SUMPRODUCT('calcA'!$D$93:$EQ$93,$DB12:$IO12*1001+$ZQ12:$AFD12))*100+34)</f>
        <v/>
      </c>
      <c r="CU12">
        <f>IF(OR(BF12=1,calcA!$A$6=0),1000000000,IF('calcA'!$JF$44=1,0,100000000)+IF('calcA'!$IQ$44=2,SUMPRODUCT('calcA'!$D$94:$EQ$94,$DB12:$IO12,$IQ12:$OD12)*1000+SUMPRODUCT('calcA'!$D$94:$EQ$94,$DB12:$IO12+$ZQ12:$AFD12,$AFF12:$AKS12),SUMPRODUCT('calcA'!$D$94:$EQ$94,$DB12:$IO12*1001+$ZQ12:$AFD12))*100+35)</f>
        <v/>
      </c>
      <c r="CV12">
        <f>IF(OR(BG12=1,calcA!$A$6=0),1000000000,IF('calcA'!$JF$45=1,0,100000000)+IF('calcA'!$IQ$45=2,SUMPRODUCT('calcA'!$D$95:$EQ$95,$DB12:$IO12,$IQ12:$OD12)*1000+SUMPRODUCT('calcA'!$D$95:$EQ$95,$DB12:$IO12+$ZQ12:$AFD12,$AFF12:$AKS12),SUMPRODUCT('calcA'!$D$95:$EQ$95,$DB12:$IO12*1001+$ZQ12:$AFD12))*100+36)</f>
        <v/>
      </c>
      <c r="CW12">
        <f>IF(OR(BH12=1,calcA!$A$6=0),1000000000,IF('calcA'!$JF$46=1,0,100000000)+IF('calcA'!$IQ$46=2,SUMPRODUCT('calcA'!$D$96:$EQ$96,$DB12:$IO12,$IQ12:$OD12)*1000+SUMPRODUCT('calcA'!$D$96:$EQ$96,$DB12:$IO12+$ZQ12:$AFD12,$AFF12:$AKS12),SUMPRODUCT('calcA'!$D$96:$EQ$96,$DB12:$IO12*1001+$ZQ12:$AFD12))*100+37)</f>
        <v/>
      </c>
      <c r="CX12">
        <f>IF(OR(BI12=1,calcA!$A$6=0),1000000000,IF('calcA'!$JF$47=1,0,100000000)+IF('calcA'!$IQ$47=2,SUMPRODUCT('calcA'!$D$97:$EQ$97,$DB12:$IO12,$IQ12:$OD12)*1000+SUMPRODUCT('calcA'!$D$97:$EQ$97,$DB12:$IO12+$ZQ12:$AFD12,$AFF12:$AKS12),SUMPRODUCT('calcA'!$D$97:$EQ$97,$DB12:$IO12*1001+$ZQ12:$AFD12))*100+38)</f>
        <v/>
      </c>
      <c r="CY12">
        <f>IF(OR(BJ12=1,calcA!$A$6=0),1000000000,IF('calcA'!$JF$48=1,0,100000000)+IF('calcA'!$IQ$48=2,SUMPRODUCT('calcA'!$D$98:$EQ$98,$DB12:$IO12,$IQ12:$OD12)*1000+SUMPRODUCT('calcA'!$D$98:$EQ$98,$DB12:$IO12+$ZQ12:$AFD12,$AFF12:$AKS12),SUMPRODUCT('calcA'!$D$98:$EQ$98,$DB12:$IO12*1001+$ZQ12:$AFD12))*100+39)</f>
        <v/>
      </c>
      <c r="CZ12">
        <f>IF(OR(BK12=1,calcA!$A$6=0),1000000000,IF('calcA'!$JF$49=1,0,100000000)+IF('calcA'!$IQ$49=2,SUMPRODUCT('calcA'!$D$99:$EQ$99,$DB12:$IO12,$IQ12:$OD12)*1000+SUMPRODUCT('calcA'!$D$99:$EQ$99,$DB12:$IO12+$ZQ12:$AFD12,$AFF12:$AKS12),SUMPRODUCT('calcA'!$D$99:$EQ$99,$DB12:$IO12*1001+$ZQ12:$AFD12))*100+40)</f>
        <v/>
      </c>
      <c r="DB12">
        <f>DB11*IF(OR($C11=1,$G11=1),0,1)</f>
        <v/>
      </c>
      <c r="DC12">
        <f>DC11*IF(OR($C11=2,$G11=2),0,1)</f>
        <v/>
      </c>
      <c r="DD12">
        <f>DD11*IF(OR($C11=3,$G11=3),0,1)</f>
        <v/>
      </c>
      <c r="DE12">
        <f>DE11*IF(OR($C11=4,$G11=4),0,1)</f>
        <v/>
      </c>
      <c r="DF12">
        <f>DF11*IF(OR($C11=5,$G11=5),0,1)</f>
        <v/>
      </c>
      <c r="DG12">
        <f>DG11*IF(OR($C11=6,$G11=6),0,1)</f>
        <v/>
      </c>
      <c r="DH12">
        <f>DH11*IF(OR($C11=7,$G11=7),0,1)</f>
        <v/>
      </c>
      <c r="DI12">
        <f>DI11*IF(OR($C11=8,$G11=8),0,1)</f>
        <v/>
      </c>
      <c r="DJ12">
        <f>DJ11*IF(OR($C11=9,$G11=9),0,1)</f>
        <v/>
      </c>
      <c r="DK12">
        <f>DK11*IF(OR($C11=10,$G11=10),0,1)</f>
        <v/>
      </c>
      <c r="DL12">
        <f>DL11*IF(OR($C11=11,$G11=11),0,1)</f>
        <v/>
      </c>
      <c r="DM12">
        <f>DM11*IF(OR($C11=12,$G11=12),0,1)</f>
        <v/>
      </c>
      <c r="DN12">
        <f>DN11*IF(OR($C11=13,$G11=13),0,1)</f>
        <v/>
      </c>
      <c r="DO12">
        <f>DO11*IF(OR($C11=14,$G11=14),0,1)</f>
        <v/>
      </c>
      <c r="DP12">
        <f>DP11*IF(OR($C11=15,$G11=15),0,1)</f>
        <v/>
      </c>
      <c r="DQ12">
        <f>DQ11*IF(OR($C11=16,$G11=16),0,1)</f>
        <v/>
      </c>
      <c r="DR12">
        <f>DR11*IF(OR($C11=17,$G11=17),0,1)</f>
        <v/>
      </c>
      <c r="DS12">
        <f>DS11*IF(OR($C11=18,$G11=18),0,1)</f>
        <v/>
      </c>
      <c r="DT12">
        <f>DT11*IF(OR($C11=19,$G11=19),0,1)</f>
        <v/>
      </c>
      <c r="DU12">
        <f>DU11*IF(OR($C11=20,$G11=20),0,1)</f>
        <v/>
      </c>
      <c r="DV12">
        <f>DV11*IF(OR($C11=21,$G11=21),0,1)</f>
        <v/>
      </c>
      <c r="DW12">
        <f>DW11*IF(OR($C11=22,$G11=22),0,1)</f>
        <v/>
      </c>
      <c r="DX12">
        <f>DX11*IF(OR($C11=23,$G11=23),0,1)</f>
        <v/>
      </c>
      <c r="DY12">
        <f>DY11*IF(OR($C11=24,$G11=24),0,1)</f>
        <v/>
      </c>
      <c r="DZ12">
        <f>DZ11*IF(OR($C11=25,$G11=25),0,1)</f>
        <v/>
      </c>
      <c r="EA12">
        <f>EA11*IF(OR($C11=26,$G11=26),0,1)</f>
        <v/>
      </c>
      <c r="EB12">
        <f>EB11*IF(OR($C11=27,$G11=27),0,1)</f>
        <v/>
      </c>
      <c r="EC12">
        <f>EC11*IF(OR($C11=28,$G11=28),0,1)</f>
        <v/>
      </c>
      <c r="ED12">
        <f>ED11*IF(OR($C11=29,$G11=29),0,1)</f>
        <v/>
      </c>
      <c r="EE12">
        <f>EE11*IF(OR($C11=30,$G11=30),0,1)</f>
        <v/>
      </c>
      <c r="EF12">
        <f>EF11*IF(OR($C11=31,$G11=31),0,1)</f>
        <v/>
      </c>
      <c r="EG12">
        <f>EG11*IF(OR($C11=32,$G11=32),0,1)</f>
        <v/>
      </c>
      <c r="EH12">
        <f>EH11*IF(OR($C11=33,$G11=33),0,1)</f>
        <v/>
      </c>
      <c r="EI12">
        <f>EI11*IF(OR($C11=34,$G11=34),0,1)</f>
        <v/>
      </c>
      <c r="EJ12">
        <f>EJ11*IF(OR($C11=35,$G11=35),0,1)</f>
        <v/>
      </c>
      <c r="EK12">
        <f>EK11*IF(OR($C11=36,$G11=36),0,1)</f>
        <v/>
      </c>
      <c r="EL12">
        <f>EL11*IF(OR($C11=37,$G11=37),0,1)</f>
        <v/>
      </c>
      <c r="EM12">
        <f>EM11*IF(OR($C11=38,$G11=38),0,1)</f>
        <v/>
      </c>
      <c r="EN12">
        <f>EN11*IF(OR($C11=39,$G11=39),0,1)</f>
        <v/>
      </c>
      <c r="EO12">
        <f>EO11*IF(OR($C11=40,$G11=40),0,1)</f>
        <v/>
      </c>
      <c r="EP12">
        <f>EP11*IF(OR($C11=41,$G11=41),0,1)</f>
        <v/>
      </c>
      <c r="EQ12">
        <f>EQ11*IF(OR($C11=42,$G11=42),0,1)</f>
        <v/>
      </c>
      <c r="ER12">
        <f>ER11*IF(OR($C11=43,$G11=43),0,1)</f>
        <v/>
      </c>
      <c r="ES12">
        <f>ES11*IF(OR($C11=44,$G11=44),0,1)</f>
        <v/>
      </c>
      <c r="ET12">
        <f>ET11*IF(OR($C11=45,$G11=45),0,1)</f>
        <v/>
      </c>
      <c r="EU12">
        <f>EU11*IF(OR($C11=46,$G11=46),0,1)</f>
        <v/>
      </c>
      <c r="EV12">
        <f>EV11*IF(OR($C11=47,$G11=47),0,1)</f>
        <v/>
      </c>
      <c r="EW12">
        <f>EW11*IF(OR($C11=48,$G11=48),0,1)</f>
        <v/>
      </c>
      <c r="EX12">
        <f>EX11*IF(OR($C11=49,$G11=49),0,1)</f>
        <v/>
      </c>
      <c r="EY12">
        <f>EY11*IF(OR($C11=50,$G11=50),0,1)</f>
        <v/>
      </c>
      <c r="EZ12">
        <f>EZ11*IF(OR($C11=51,$G11=51),0,1)</f>
        <v/>
      </c>
      <c r="FA12">
        <f>FA11*IF(OR($C11=52,$G11=52),0,1)</f>
        <v/>
      </c>
      <c r="FB12">
        <f>FB11*IF(OR($C11=53,$G11=53),0,1)</f>
        <v/>
      </c>
      <c r="FC12">
        <f>FC11*IF(OR($C11=54,$G11=54),0,1)</f>
        <v/>
      </c>
      <c r="FD12">
        <f>FD11*IF(OR($C11=55,$G11=55),0,1)</f>
        <v/>
      </c>
      <c r="FE12">
        <f>FE11*IF(OR($C11=56,$G11=56),0,1)</f>
        <v/>
      </c>
      <c r="FF12">
        <f>FF11*IF(OR($C11=57,$G11=57),0,1)</f>
        <v/>
      </c>
      <c r="FG12">
        <f>FG11*IF(OR($C11=58,$G11=58),0,1)</f>
        <v/>
      </c>
      <c r="FH12">
        <f>FH11*IF(OR($C11=59,$G11=59),0,1)</f>
        <v/>
      </c>
      <c r="FI12">
        <f>FI11*IF(OR($C11=60,$G11=60),0,1)</f>
        <v/>
      </c>
      <c r="FJ12">
        <f>FJ11*IF(OR($C11=61,$G11=61),0,1)</f>
        <v/>
      </c>
      <c r="FK12">
        <f>FK11*IF(OR($C11=62,$G11=62),0,1)</f>
        <v/>
      </c>
      <c r="FL12">
        <f>FL11*IF(OR($C11=63,$G11=63),0,1)</f>
        <v/>
      </c>
      <c r="FM12">
        <f>FM11*IF(OR($C11=64,$G11=64),0,1)</f>
        <v/>
      </c>
      <c r="FN12">
        <f>FN11*IF(OR($C11=65,$G11=65),0,1)</f>
        <v/>
      </c>
      <c r="FO12">
        <f>FO11*IF(OR($C11=66,$G11=66),0,1)</f>
        <v/>
      </c>
      <c r="FP12">
        <f>FP11*IF(OR($C11=67,$G11=67),0,1)</f>
        <v/>
      </c>
      <c r="FQ12">
        <f>FQ11*IF(OR($C11=68,$G11=68),0,1)</f>
        <v/>
      </c>
      <c r="FR12">
        <f>FR11*IF(OR($C11=69,$G11=69),0,1)</f>
        <v/>
      </c>
      <c r="FS12">
        <f>FS11*IF(OR($C11=70,$G11=70),0,1)</f>
        <v/>
      </c>
      <c r="FT12">
        <f>FT11*IF(OR($C11=71,$G11=71),0,1)</f>
        <v/>
      </c>
      <c r="FU12">
        <f>FU11*IF(OR($C11=72,$G11=72),0,1)</f>
        <v/>
      </c>
      <c r="FV12">
        <f>FV11*IF(OR($C11=73,$G11=73),0,1)</f>
        <v/>
      </c>
      <c r="FW12">
        <f>FW11*IF(OR($C11=74,$G11=74),0,1)</f>
        <v/>
      </c>
      <c r="FX12">
        <f>FX11*IF(OR($C11=75,$G11=75),0,1)</f>
        <v/>
      </c>
      <c r="FY12">
        <f>FY11*IF(OR($C11=76,$G11=76),0,1)</f>
        <v/>
      </c>
      <c r="FZ12">
        <f>FZ11*IF(OR($C11=77,$G11=77),0,1)</f>
        <v/>
      </c>
      <c r="GA12">
        <f>GA11*IF(OR($C11=78,$G11=78),0,1)</f>
        <v/>
      </c>
      <c r="GB12">
        <f>GB11*IF(OR($C11=79,$G11=79),0,1)</f>
        <v/>
      </c>
      <c r="GC12">
        <f>GC11*IF(OR($C11=80,$G11=80),0,1)</f>
        <v/>
      </c>
      <c r="GD12">
        <f>GD11*IF(OR($C11=81,$G11=81),0,1)</f>
        <v/>
      </c>
      <c r="GE12">
        <f>GE11*IF(OR($C11=82,$G11=82),0,1)</f>
        <v/>
      </c>
      <c r="GF12">
        <f>GF11*IF(OR($C11=83,$G11=83),0,1)</f>
        <v/>
      </c>
      <c r="GG12">
        <f>GG11*IF(OR($C11=84,$G11=84),0,1)</f>
        <v/>
      </c>
      <c r="GH12">
        <f>GH11*IF(OR($C11=85,$G11=85),0,1)</f>
        <v/>
      </c>
      <c r="GI12">
        <f>GI11*IF(OR($C11=86,$G11=86),0,1)</f>
        <v/>
      </c>
      <c r="GJ12">
        <f>GJ11*IF(OR($C11=87,$G11=87),0,1)</f>
        <v/>
      </c>
      <c r="GK12">
        <f>GK11*IF(OR($C11=88,$G11=88),0,1)</f>
        <v/>
      </c>
      <c r="GL12">
        <f>GL11*IF(OR($C11=89,$G11=89),0,1)</f>
        <v/>
      </c>
      <c r="GM12">
        <f>GM11*IF(OR($C11=90,$G11=90),0,1)</f>
        <v/>
      </c>
      <c r="GN12">
        <f>GN11*IF(OR($C11=91,$G11=91),0,1)</f>
        <v/>
      </c>
      <c r="GO12">
        <f>GO11*IF(OR($C11=92,$G11=92),0,1)</f>
        <v/>
      </c>
      <c r="GP12">
        <f>GP11*IF(OR($C11=93,$G11=93),0,1)</f>
        <v/>
      </c>
      <c r="GQ12">
        <f>GQ11*IF(OR($C11=94,$G11=94),0,1)</f>
        <v/>
      </c>
      <c r="GR12">
        <f>GR11*IF(OR($C11=95,$G11=95),0,1)</f>
        <v/>
      </c>
      <c r="GS12">
        <f>GS11*IF(OR($C11=96,$G11=96),0,1)</f>
        <v/>
      </c>
      <c r="GT12">
        <f>GT11*IF(OR($C11=97,$G11=97),0,1)</f>
        <v/>
      </c>
      <c r="GU12">
        <f>GU11*IF(OR($C11=98,$G11=98),0,1)</f>
        <v/>
      </c>
      <c r="GV12">
        <f>GV11*IF(OR($C11=99,$G11=99),0,1)</f>
        <v/>
      </c>
      <c r="GW12">
        <f>GW11*IF(OR($C11=100,$G11=100),0,1)</f>
        <v/>
      </c>
      <c r="GX12">
        <f>GX11*IF(OR($C11=101,$G11=101),0,1)</f>
        <v/>
      </c>
      <c r="GY12">
        <f>GY11*IF(OR($C11=102,$G11=102),0,1)</f>
        <v/>
      </c>
      <c r="GZ12">
        <f>GZ11*IF(OR($C11=103,$G11=103),0,1)</f>
        <v/>
      </c>
      <c r="HA12">
        <f>HA11*IF(OR($C11=104,$G11=104),0,1)</f>
        <v/>
      </c>
      <c r="HB12">
        <f>HB11*IF(OR($C11=105,$G11=105),0,1)</f>
        <v/>
      </c>
      <c r="HC12">
        <f>HC11*IF(OR($C11=106,$G11=106),0,1)</f>
        <v/>
      </c>
      <c r="HD12">
        <f>HD11*IF(OR($C11=107,$G11=107),0,1)</f>
        <v/>
      </c>
      <c r="HE12">
        <f>HE11*IF(OR($C11=108,$G11=108),0,1)</f>
        <v/>
      </c>
      <c r="HF12">
        <f>HF11*IF(OR($C11=109,$G11=109),0,1)</f>
        <v/>
      </c>
      <c r="HG12">
        <f>HG11*IF(OR($C11=110,$G11=110),0,1)</f>
        <v/>
      </c>
      <c r="HH12">
        <f>HH11*IF(OR($C11=111,$G11=111),0,1)</f>
        <v/>
      </c>
      <c r="HI12">
        <f>HI11*IF(OR($C11=112,$G11=112),0,1)</f>
        <v/>
      </c>
      <c r="HJ12">
        <f>HJ11*IF(OR($C11=113,$G11=113),0,1)</f>
        <v/>
      </c>
      <c r="HK12">
        <f>HK11*IF(OR($C11=114,$G11=114),0,1)</f>
        <v/>
      </c>
      <c r="HL12">
        <f>HL11*IF(OR($C11=115,$G11=115),0,1)</f>
        <v/>
      </c>
      <c r="HM12">
        <f>HM11*IF(OR($C11=116,$G11=116),0,1)</f>
        <v/>
      </c>
      <c r="HN12">
        <f>HN11*IF(OR($C11=117,$G11=117),0,1)</f>
        <v/>
      </c>
      <c r="HO12">
        <f>HO11*IF(OR($C11=118,$G11=118),0,1)</f>
        <v/>
      </c>
      <c r="HP12">
        <f>HP11*IF(OR($C11=119,$G11=119),0,1)</f>
        <v/>
      </c>
      <c r="HQ12">
        <f>HQ11*IF(OR($C11=120,$G11=120),0,1)</f>
        <v/>
      </c>
      <c r="HR12">
        <f>HR11*IF(OR($C11=121,$G11=121),0,1)</f>
        <v/>
      </c>
      <c r="HS12">
        <f>HS11*IF(OR($C11=122,$G11=122),0,1)</f>
        <v/>
      </c>
      <c r="HT12">
        <f>HT11*IF(OR($C11=123,$G11=123),0,1)</f>
        <v/>
      </c>
      <c r="HU12">
        <f>HU11*IF(OR($C11=124,$G11=124),0,1)</f>
        <v/>
      </c>
      <c r="HV12">
        <f>HV11*IF(OR($C11=125,$G11=125),0,1)</f>
        <v/>
      </c>
      <c r="HW12">
        <f>HW11*IF(OR($C11=126,$G11=126),0,1)</f>
        <v/>
      </c>
      <c r="HX12">
        <f>HX11*IF(OR($C11=127,$G11=127),0,1)</f>
        <v/>
      </c>
      <c r="HY12">
        <f>HY11*IF(OR($C11=128,$G11=128),0,1)</f>
        <v/>
      </c>
      <c r="HZ12">
        <f>HZ11*IF(OR($C11=129,$G11=129),0,1)</f>
        <v/>
      </c>
      <c r="IA12">
        <f>IA11*IF(OR($C11=130,$G11=130),0,1)</f>
        <v/>
      </c>
      <c r="IB12">
        <f>IB11*IF(OR($C11=131,$G11=131),0,1)</f>
        <v/>
      </c>
      <c r="IC12">
        <f>IC11*IF(OR($C11=132,$G11=132),0,1)</f>
        <v/>
      </c>
      <c r="ID12">
        <f>ID11*IF(OR($C11=133,$G11=133),0,1)</f>
        <v/>
      </c>
      <c r="IE12">
        <f>IE11*IF(OR($C11=134,$G11=134),0,1)</f>
        <v/>
      </c>
      <c r="IF12">
        <f>IF11*IF(OR($C11=135,$G11=135),0,1)</f>
        <v/>
      </c>
      <c r="IG12">
        <f>IG11*IF(OR($C11=136,$G11=136),0,1)</f>
        <v/>
      </c>
      <c r="IH12">
        <f>IH11*IF(OR($C11=137,$G11=137),0,1)</f>
        <v/>
      </c>
      <c r="II12">
        <f>II11*IF(OR($C11=138,$G11=138),0,1)</f>
        <v/>
      </c>
      <c r="IJ12">
        <f>IJ11*IF(OR($C11=139,$G11=139),0,1)</f>
        <v/>
      </c>
      <c r="IK12">
        <f>IK11*IF(OR($C11=140,$G11=140),0,1)</f>
        <v/>
      </c>
      <c r="IL12">
        <f>IL11*IF(OR($C11=141,$G11=141),0,1)</f>
        <v/>
      </c>
      <c r="IM12">
        <f>IM11*IF(OR($C11=142,$G11=142),0,1)</f>
        <v/>
      </c>
      <c r="IN12">
        <f>IN11*IF(OR($C11=143,$G11=143),0,1)</f>
        <v/>
      </c>
      <c r="IO12">
        <f>IO11*IF(OR($C11=144,$G11=144),0,1)</f>
        <v/>
      </c>
      <c r="IQ12">
        <f>IF('calcA'!D$106=1,DC12,1)</f>
        <v/>
      </c>
      <c r="IR12">
        <f>IF('calcA'!E$106=1,DD12,1)</f>
        <v/>
      </c>
      <c r="IS12">
        <f>IF('calcA'!F$106=1,DE12,1)</f>
        <v/>
      </c>
      <c r="IT12">
        <f>IF('calcA'!G$106=1,DF12,1)</f>
        <v/>
      </c>
      <c r="IU12">
        <f>IF('calcA'!H$106=1,DG12,1)</f>
        <v/>
      </c>
      <c r="IV12">
        <f>IF('calcA'!I$106=1,DH12,1)</f>
        <v/>
      </c>
      <c r="IW12">
        <f>IF('calcA'!J$106=1,DI12,1)</f>
        <v/>
      </c>
      <c r="IX12">
        <f>IF('calcA'!K$106=1,DJ12,1)</f>
        <v/>
      </c>
      <c r="IY12">
        <f>IF('calcA'!L$106=1,DK12,1)</f>
        <v/>
      </c>
      <c r="IZ12">
        <f>IF('calcA'!M$106=1,DL12,1)</f>
        <v/>
      </c>
      <c r="JA12">
        <f>IF('calcA'!N$106=1,DM12,1)</f>
        <v/>
      </c>
      <c r="JB12">
        <f>IF('calcA'!O$106=1,DN12,1)</f>
        <v/>
      </c>
      <c r="JC12">
        <f>IF('calcA'!P$106=1,DO12,1)</f>
        <v/>
      </c>
      <c r="JD12">
        <f>IF('calcA'!Q$106=1,DP12,1)</f>
        <v/>
      </c>
      <c r="JE12">
        <f>IF('calcA'!R$106=1,DQ12,1)</f>
        <v/>
      </c>
      <c r="JF12">
        <f>IF('calcA'!S$106=1,DR12,1)</f>
        <v/>
      </c>
      <c r="JG12">
        <f>IF('calcA'!T$106=1,DS12,1)</f>
        <v/>
      </c>
      <c r="JH12">
        <f>IF('calcA'!U$106=1,DT12,1)</f>
        <v/>
      </c>
      <c r="JI12">
        <f>IF('calcA'!V$106=1,DU12,1)</f>
        <v/>
      </c>
      <c r="JJ12">
        <f>IF('calcA'!W$106=1,DV12,1)</f>
        <v/>
      </c>
      <c r="JK12">
        <f>IF('calcA'!X$106=1,DW12,1)</f>
        <v/>
      </c>
      <c r="JL12">
        <f>IF('calcA'!Y$106=1,DX12,1)</f>
        <v/>
      </c>
      <c r="JM12">
        <f>IF('calcA'!Z$106=1,DY12,1)</f>
        <v/>
      </c>
      <c r="JN12">
        <f>IF('calcA'!AA$106=1,DZ12,1)</f>
        <v/>
      </c>
      <c r="JO12">
        <f>IF('calcA'!AB$106=1,EA12,1)</f>
        <v/>
      </c>
      <c r="JP12">
        <f>IF('calcA'!AC$106=1,EB12,1)</f>
        <v/>
      </c>
      <c r="JQ12">
        <f>IF('calcA'!AD$106=1,EC12,1)</f>
        <v/>
      </c>
      <c r="JR12">
        <f>IF('calcA'!AE$106=1,ED12,1)</f>
        <v/>
      </c>
      <c r="JS12">
        <f>IF('calcA'!AF$106=1,EE12,1)</f>
        <v/>
      </c>
      <c r="JT12">
        <f>IF('calcA'!AG$106=1,EF12,1)</f>
        <v/>
      </c>
      <c r="JU12">
        <f>IF('calcA'!AH$106=1,EG12,1)</f>
        <v/>
      </c>
      <c r="JV12">
        <f>IF('calcA'!AI$106=1,EH12,1)</f>
        <v/>
      </c>
      <c r="JW12">
        <f>IF('calcA'!AJ$106=1,EI12,1)</f>
        <v/>
      </c>
      <c r="JX12">
        <f>IF('calcA'!AK$106=1,EJ12,1)</f>
        <v/>
      </c>
      <c r="JY12">
        <f>IF('calcA'!AL$106=1,EK12,1)</f>
        <v/>
      </c>
      <c r="JZ12">
        <f>IF('calcA'!AM$106=1,EL12,1)</f>
        <v/>
      </c>
      <c r="KA12">
        <f>IF('calcA'!AN$106=1,EM12,1)</f>
        <v/>
      </c>
      <c r="KB12">
        <f>IF('calcA'!AO$106=1,EN12,1)</f>
        <v/>
      </c>
      <c r="KC12">
        <f>IF('calcA'!AP$106=1,EO12,1)</f>
        <v/>
      </c>
      <c r="KD12">
        <f>IF('calcA'!AQ$106=1,EP12,1)</f>
        <v/>
      </c>
      <c r="KE12">
        <f>IF('calcA'!AR$106=1,EQ12,1)</f>
        <v/>
      </c>
      <c r="KF12">
        <f>IF('calcA'!AS$106=1,ER12,1)</f>
        <v/>
      </c>
      <c r="KG12">
        <f>IF('calcA'!AT$106=1,ES12,1)</f>
        <v/>
      </c>
      <c r="KH12">
        <f>IF('calcA'!AU$106=1,ET12,1)</f>
        <v/>
      </c>
      <c r="KI12">
        <f>IF('calcA'!AV$106=1,EU12,1)</f>
        <v/>
      </c>
      <c r="KJ12">
        <f>IF('calcA'!AW$106=1,EV12,1)</f>
        <v/>
      </c>
      <c r="KK12">
        <f>IF('calcA'!AX$106=1,EW12,1)</f>
        <v/>
      </c>
      <c r="KL12">
        <f>IF('calcA'!AY$106=1,EX12,1)</f>
        <v/>
      </c>
      <c r="KM12">
        <f>IF('calcA'!AZ$106=1,EY12,1)</f>
        <v/>
      </c>
      <c r="KN12">
        <f>IF('calcA'!BA$106=1,EZ12,1)</f>
        <v/>
      </c>
      <c r="KO12">
        <f>IF('calcA'!BB$106=1,FA12,1)</f>
        <v/>
      </c>
      <c r="KP12">
        <f>IF('calcA'!BC$106=1,FB12,1)</f>
        <v/>
      </c>
      <c r="KQ12">
        <f>IF('calcA'!BD$106=1,FC12,1)</f>
        <v/>
      </c>
      <c r="KR12">
        <f>IF('calcA'!BE$106=1,FD12,1)</f>
        <v/>
      </c>
      <c r="KS12">
        <f>IF('calcA'!BF$106=1,FE12,1)</f>
        <v/>
      </c>
      <c r="KT12">
        <f>IF('calcA'!BG$106=1,FF12,1)</f>
        <v/>
      </c>
      <c r="KU12">
        <f>IF('calcA'!BH$106=1,FG12,1)</f>
        <v/>
      </c>
      <c r="KV12">
        <f>IF('calcA'!BI$106=1,FH12,1)</f>
        <v/>
      </c>
      <c r="KW12">
        <f>IF('calcA'!BJ$106=1,FI12,1)</f>
        <v/>
      </c>
      <c r="KX12">
        <f>IF('calcA'!BK$106=1,FJ12,1)</f>
        <v/>
      </c>
      <c r="KY12">
        <f>IF('calcA'!BL$106=1,FK12,1)</f>
        <v/>
      </c>
      <c r="KZ12">
        <f>IF('calcA'!BM$106=1,FL12,1)</f>
        <v/>
      </c>
      <c r="LA12">
        <f>IF('calcA'!BN$106=1,FM12,1)</f>
        <v/>
      </c>
      <c r="LB12">
        <f>IF('calcA'!BO$106=1,FN12,1)</f>
        <v/>
      </c>
      <c r="LC12">
        <f>IF('calcA'!BP$106=1,FO12,1)</f>
        <v/>
      </c>
      <c r="LD12">
        <f>IF('calcA'!BQ$106=1,FP12,1)</f>
        <v/>
      </c>
      <c r="LE12">
        <f>IF('calcA'!BR$106=1,FQ12,1)</f>
        <v/>
      </c>
      <c r="LF12">
        <f>IF('calcA'!BS$106=1,FR12,1)</f>
        <v/>
      </c>
      <c r="LG12">
        <f>IF('calcA'!BT$106=1,FS12,1)</f>
        <v/>
      </c>
      <c r="LH12">
        <f>IF('calcA'!BU$106=1,FT12,1)</f>
        <v/>
      </c>
      <c r="LI12">
        <f>IF('calcA'!BV$106=1,FU12,1)</f>
        <v/>
      </c>
      <c r="LJ12">
        <f>IF('calcA'!BW$106=1,FV12,1)</f>
        <v/>
      </c>
      <c r="LK12">
        <f>IF('calcA'!BX$106=1,FW12,1)</f>
        <v/>
      </c>
      <c r="LL12">
        <f>IF('calcA'!BY$106=1,FX12,1)</f>
        <v/>
      </c>
      <c r="LM12">
        <f>IF('calcA'!BZ$106=1,FY12,1)</f>
        <v/>
      </c>
      <c r="LN12">
        <f>IF('calcA'!CA$106=1,FZ12,1)</f>
        <v/>
      </c>
      <c r="LO12">
        <f>IF('calcA'!CB$106=1,GA12,1)</f>
        <v/>
      </c>
      <c r="LP12">
        <f>IF('calcA'!CC$106=1,GB12,1)</f>
        <v/>
      </c>
      <c r="LQ12">
        <f>IF('calcA'!CD$106=1,GC12,1)</f>
        <v/>
      </c>
      <c r="LR12">
        <f>IF('calcA'!CE$106=1,GD12,1)</f>
        <v/>
      </c>
      <c r="LS12">
        <f>IF('calcA'!CF$106=1,GE12,1)</f>
        <v/>
      </c>
      <c r="LT12">
        <f>IF('calcA'!CG$106=1,GF12,1)</f>
        <v/>
      </c>
      <c r="LU12">
        <f>IF('calcA'!CH$106=1,GG12,1)</f>
        <v/>
      </c>
      <c r="LV12">
        <f>IF('calcA'!CI$106=1,GH12,1)</f>
        <v/>
      </c>
      <c r="LW12">
        <f>IF('calcA'!CJ$106=1,GI12,1)</f>
        <v/>
      </c>
      <c r="LX12">
        <f>IF('calcA'!CK$106=1,GJ12,1)</f>
        <v/>
      </c>
      <c r="LY12">
        <f>IF('calcA'!CL$106=1,GK12,1)</f>
        <v/>
      </c>
      <c r="LZ12">
        <f>IF('calcA'!CM$106=1,GL12,1)</f>
        <v/>
      </c>
      <c r="MA12">
        <f>IF('calcA'!CN$106=1,GM12,1)</f>
        <v/>
      </c>
      <c r="MB12">
        <f>IF('calcA'!CO$106=1,GN12,1)</f>
        <v/>
      </c>
      <c r="MC12">
        <f>IF('calcA'!CP$106=1,GO12,1)</f>
        <v/>
      </c>
      <c r="MD12">
        <f>IF('calcA'!CQ$106=1,GP12,1)</f>
        <v/>
      </c>
      <c r="ME12">
        <f>IF('calcA'!CR$106=1,GQ12,1)</f>
        <v/>
      </c>
      <c r="MF12">
        <f>IF('calcA'!CS$106=1,GR12,1)</f>
        <v/>
      </c>
      <c r="MG12">
        <f>IF('calcA'!CT$106=1,GS12,1)</f>
        <v/>
      </c>
      <c r="MH12">
        <f>IF('calcA'!CU$106=1,GT12,1)</f>
        <v/>
      </c>
      <c r="MI12">
        <f>IF('calcA'!CV$106=1,GU12,1)</f>
        <v/>
      </c>
      <c r="MJ12">
        <f>IF('calcA'!CW$106=1,GV12,1)</f>
        <v/>
      </c>
      <c r="MK12">
        <f>IF('calcA'!CX$106=1,GW12,1)</f>
        <v/>
      </c>
      <c r="ML12">
        <f>IF('calcA'!CY$106=1,GX12,1)</f>
        <v/>
      </c>
      <c r="MM12">
        <f>IF('calcA'!CZ$106=1,GY12,1)</f>
        <v/>
      </c>
      <c r="MN12">
        <f>IF('calcA'!DA$106=1,GZ12,1)</f>
        <v/>
      </c>
      <c r="MO12">
        <f>IF('calcA'!DB$106=1,HA12,1)</f>
        <v/>
      </c>
      <c r="MP12">
        <f>IF('calcA'!DC$106=1,HB12,1)</f>
        <v/>
      </c>
      <c r="MQ12">
        <f>IF('calcA'!DD$106=1,HC12,1)</f>
        <v/>
      </c>
      <c r="MR12">
        <f>IF('calcA'!DE$106=1,HD12,1)</f>
        <v/>
      </c>
      <c r="MS12">
        <f>IF('calcA'!DF$106=1,HE12,1)</f>
        <v/>
      </c>
      <c r="MT12">
        <f>IF('calcA'!DG$106=1,HF12,1)</f>
        <v/>
      </c>
      <c r="MU12">
        <f>IF('calcA'!DH$106=1,HG12,1)</f>
        <v/>
      </c>
      <c r="MV12">
        <f>IF('calcA'!DI$106=1,HH12,1)</f>
        <v/>
      </c>
      <c r="MW12">
        <f>IF('calcA'!DJ$106=1,HI12,1)</f>
        <v/>
      </c>
      <c r="MX12">
        <f>IF('calcA'!DK$106=1,HJ12,1)</f>
        <v/>
      </c>
      <c r="MY12">
        <f>IF('calcA'!DL$106=1,HK12,1)</f>
        <v/>
      </c>
      <c r="MZ12">
        <f>IF('calcA'!DM$106=1,HL12,1)</f>
        <v/>
      </c>
      <c r="NA12">
        <f>IF('calcA'!DN$106=1,HM12,1)</f>
        <v/>
      </c>
      <c r="NB12">
        <f>IF('calcA'!DO$106=1,HN12,1)</f>
        <v/>
      </c>
      <c r="NC12">
        <f>IF('calcA'!DP$106=1,HO12,1)</f>
        <v/>
      </c>
      <c r="ND12">
        <f>IF('calcA'!DQ$106=1,HP12,1)</f>
        <v/>
      </c>
      <c r="NE12">
        <f>IF('calcA'!DR$106=1,HQ12,1)</f>
        <v/>
      </c>
      <c r="NF12">
        <f>IF('calcA'!DS$106=1,HR12,1)</f>
        <v/>
      </c>
      <c r="NG12">
        <f>IF('calcA'!DT$106=1,HS12,1)</f>
        <v/>
      </c>
      <c r="NH12">
        <f>IF('calcA'!DU$106=1,HT12,1)</f>
        <v/>
      </c>
      <c r="NI12">
        <f>IF('calcA'!DV$106=1,HU12,1)</f>
        <v/>
      </c>
      <c r="NJ12">
        <f>IF('calcA'!DW$106=1,HV12,1)</f>
        <v/>
      </c>
      <c r="NK12">
        <f>IF('calcA'!DX$106=1,HW12,1)</f>
        <v/>
      </c>
      <c r="NL12">
        <f>IF('calcA'!DY$106=1,HX12,1)</f>
        <v/>
      </c>
      <c r="NM12">
        <f>IF('calcA'!DZ$106=1,HY12,1)</f>
        <v/>
      </c>
      <c r="NN12">
        <f>IF('calcA'!EA$106=1,HZ12,1)</f>
        <v/>
      </c>
      <c r="NO12">
        <f>IF('calcA'!EB$106=1,IA12,1)</f>
        <v/>
      </c>
      <c r="NP12">
        <f>IF('calcA'!EC$106=1,IB12,1)</f>
        <v/>
      </c>
      <c r="NQ12">
        <f>IF('calcA'!ED$106=1,IC12,1)</f>
        <v/>
      </c>
      <c r="NR12">
        <f>IF('calcA'!EE$106=1,ID12,1)</f>
        <v/>
      </c>
      <c r="NS12">
        <f>IF('calcA'!EF$106=1,IE12,1)</f>
        <v/>
      </c>
      <c r="NT12">
        <f>IF('calcA'!EG$106=1,IF12,1)</f>
        <v/>
      </c>
      <c r="NU12">
        <f>IF('calcA'!EH$106=1,IG12,1)</f>
        <v/>
      </c>
      <c r="NV12">
        <f>IF('calcA'!EI$106=1,IH12,1)</f>
        <v/>
      </c>
      <c r="NW12">
        <f>IF('calcA'!EJ$106=1,II12,1)</f>
        <v/>
      </c>
      <c r="NX12">
        <f>IF('calcA'!EK$106=1,IJ12,1)</f>
        <v/>
      </c>
      <c r="NY12">
        <f>IF('calcA'!EL$106=1,IK12,1)</f>
        <v/>
      </c>
      <c r="NZ12">
        <f>IF('calcA'!EM$106=1,IL12,1)</f>
        <v/>
      </c>
      <c r="OA12">
        <f>IF('calcA'!EN$106=1,IM12,1)</f>
        <v/>
      </c>
      <c r="OB12">
        <f>IF('calcA'!EO$106=1,IN12,1)</f>
        <v/>
      </c>
      <c r="OC12">
        <f>IF('calcA'!EP$106=1,IO12,1)</f>
        <v/>
      </c>
      <c r="OD12" t="n">
        <v>1</v>
      </c>
      <c r="OF12">
        <f>IF($B12=0,1000000000,IF(INDEX('calcA'!$D$60:$EQ$99,$B12,1)*IF($W12=1,DB12+ZQ12,DB12)=1,IF(AND($E12=2,IF($W12=1,AFF12,IQ12)=0),1000000000,IF($V12=1,INDEX('calcA'!$D$130:$EQ$169,$B12,1)+IF(AND($E12=1,IQ12=0),25,0),IF($F12&gt;0,INDEX('calcA'!D$110:D$114,$F12+1)+IF(AND($E12=1,IQ12=0),1000,0),MIN(TU12,20)*400+(IF('calcA'!D$106=1,1-DC12,0))*150+11+'calcA'!D$5*100000+IF(AND($E12=1,IQ12=0),50000,0))+IF($H12=1,INDEX('calcA'!$D$180:$EQ$219,$B12,1)*4000,0)-IF(AND($U12=1,'calcA'!D$117=1,DC12=0),2000,0))),1000000000))</f>
        <v/>
      </c>
      <c r="OG12">
        <f>IF($B12=0,1000000000,IF(INDEX('calcA'!$D$60:$EQ$99,$B12,2)*IF($W12=1,DC12+ZR12,DC12)=1,IF(AND($E12=2,IF($W12=1,AFG12,IR12)=0),1000000000,IF($V12=1,INDEX('calcA'!$D$130:$EQ$169,$B12,2)+IF(AND($E12=1,IR12=0),25,0),IF($F12&gt;0,INDEX('calcA'!E$110:E$114,$F12+1)+IF(AND($E12=1,IR12=0),1000,0),MIN(TU12,20)*400+(IF('calcA'!D$106=1,1-DB12,0)+IF('calcA'!E$106=1,1-DD12,0))*150+21+'calcA'!E$5*100000+IF(AND($E12=1,IR12=0),50000,0))+IF($H12=1,INDEX('calcA'!$D$180:$EQ$219,$B12,2)*4000,0)-IF(AND('calcA'!D$117=1,UB12&gt;0),2000,0)-IF(AND($U12=1,'calcA'!E$117=1,DD12=0),2000,0))),1000000000))</f>
        <v/>
      </c>
      <c r="OH12">
        <f>IF($B12=0,1000000000,IF(INDEX('calcA'!$D$60:$EQ$99,$B12,3)*IF($W12=1,DD12+ZS12,DD12)=1,IF(AND($E12=2,IF($W12=1,AFH12,IS12)=0),1000000000,IF($V12=1,INDEX('calcA'!$D$130:$EQ$169,$B12,3)+IF(AND($E12=1,IS12=0),25,0),IF($F12&gt;0,INDEX('calcA'!F$110:F$114,$F12+1)+IF(AND($E12=1,IS12=0),1000,0),MIN(TU12,20)*400+(IF('calcA'!E$106=1,1-DC12,0)+IF('calcA'!F$106=1,1-DE12,0))*150+31+'calcA'!F$5*100000+IF(AND($E12=1,IS12=0),50000,0))+IF($H12=1,INDEX('calcA'!$D$180:$EQ$219,$B12,3)*4000,0)-IF(AND('calcA'!E$117=1,UC12&gt;0),2000,0)-IF(AND($U12=1,'calcA'!F$117=1,DE12=0),2000,0))),1000000000))</f>
        <v/>
      </c>
      <c r="OI12">
        <f>IF($B12=0,1000000000,IF(INDEX('calcA'!$D$60:$EQ$99,$B12,4)*IF($W12=1,DE12+ZT12,DE12)=1,IF(AND($E12=2,IF($W12=1,AFI12,IT12)=0),1000000000,IF($V12=1,INDEX('calcA'!$D$130:$EQ$169,$B12,4)+IF(AND($E12=1,IT12=0),25,0),IF($F12&gt;0,INDEX('calcA'!G$110:G$114,$F12+1)+IF(AND($E12=1,IT12=0),1000,0),MIN(TU12,20)*400+(IF('calcA'!F$106=1,1-DD12,0)+IF('calcA'!G$106=1,1-DF12,0))*150+41+'calcA'!G$5*100000+IF(AND($E12=1,IT12=0),50000,0))+IF($H12=1,INDEX('calcA'!$D$180:$EQ$219,$B12,4)*4000,0)-IF(AND('calcA'!F$117=1,UD12&gt;0),2000,0)-IF(AND($U12=1,'calcA'!G$117=1,DF12=0),2000,0))),1000000000))</f>
        <v/>
      </c>
      <c r="OJ12">
        <f>IF($B12=0,1000000000,IF(INDEX('calcA'!$D$60:$EQ$99,$B12,5)*IF($W12=1,DF12+ZU12,DF12)=1,IF(AND($E12=2,IF($W12=1,AFJ12,IU12)=0),1000000000,IF($V12=1,INDEX('calcA'!$D$130:$EQ$169,$B12,5)+IF(AND($E12=1,IU12=0),25,0),IF($F12&gt;0,INDEX('calcA'!H$110:H$114,$F12+1)+IF(AND($E12=1,IU12=0),1000,0),MIN(TU12,20)*400+(IF('calcA'!G$106=1,1-DE12,0)+IF('calcA'!H$106=1,1-DG12,0))*150+51+'calcA'!H$5*100000+IF(AND($E12=1,IU12=0),50000,0))+IF($H12=1,INDEX('calcA'!$D$180:$EQ$219,$B12,5)*4000,0)-IF(AND('calcA'!G$117=1,UE12&gt;0),2000,0)-IF(AND($U12=1,'calcA'!H$117=1,DG12=0),2000,0))),1000000000))</f>
        <v/>
      </c>
      <c r="OK12">
        <f>IF($B12=0,1000000000,IF(INDEX('calcA'!$D$60:$EQ$99,$B12,6)*IF($W12=1,DG12+ZV12,DG12)=1,IF(AND($E12=2,IF($W12=1,AFK12,IV12)=0),1000000000,IF($V12=1,INDEX('calcA'!$D$130:$EQ$169,$B12,6)+IF(AND($E12=1,IV12=0),25,0),IF($F12&gt;0,INDEX('calcA'!I$110:I$114,$F12+1)+IF(AND($E12=1,IV12=0),1000,0),MIN(TU12,20)*400+(IF('calcA'!H$106=1,1-DF12,0)+IF('calcA'!I$106=1,1-DH12,0))*150+61+'calcA'!I$5*100000+IF(AND($E12=1,IV12=0),50000,0))+IF($H12=1,INDEX('calcA'!$D$180:$EQ$219,$B12,6)*4000,0)-IF(AND('calcA'!H$117=1,UF12&gt;0),2000,0)-IF(AND($U12=1,'calcA'!I$117=1,DH12=0),2000,0))),1000000000))</f>
        <v/>
      </c>
      <c r="OL12">
        <f>IF($B12=0,1000000000,IF(INDEX('calcA'!$D$60:$EQ$99,$B12,7)*IF($W12=1,DH12+ZW12,DH12)=1,IF(AND($E12=2,IF($W12=1,AFL12,IW12)=0),1000000000,IF($V12=1,INDEX('calcA'!$D$130:$EQ$169,$B12,7)+IF(AND($E12=1,IW12=0),25,0),IF($F12&gt;0,INDEX('calcA'!J$110:J$114,$F12+1)+IF(AND($E12=1,IW12=0),1000,0),MIN(TU12,20)*400+(IF('calcA'!I$106=1,1-DG12,0)+IF('calcA'!J$106=1,1-DI12,0))*150+71+'calcA'!J$5*100000+IF(AND($E12=1,IW12=0),50000,0))+IF($H12=1,INDEX('calcA'!$D$180:$EQ$219,$B12,7)*4000,0)-IF(AND('calcA'!I$117=1,UG12&gt;0),2000,0)-IF(AND($U12=1,'calcA'!J$117=1,DI12=0),2000,0))),1000000000))</f>
        <v/>
      </c>
      <c r="OM12">
        <f>IF($B12=0,1000000000,IF(INDEX('calcA'!$D$60:$EQ$99,$B12,8)*IF($W12=1,DI12+ZX12,DI12)=1,IF(AND($E12=2,IF($W12=1,AFM12,IX12)=0),1000000000,IF($V12=1,INDEX('calcA'!$D$130:$EQ$169,$B12,8)+IF(AND($E12=1,IX12=0),25,0),IF($F12&gt;0,INDEX('calcA'!K$110:K$114,$F12+1)+IF(AND($E12=1,IX12=0),1000,0),MIN(TU12,20)*400+(IF('calcA'!J$106=1,1-DH12,0)+IF('calcA'!K$106=1,1-DJ12,0))*150+81+'calcA'!K$5*100000+IF(AND($E12=1,IX12=0),50000,0))+IF($H12=1,INDEX('calcA'!$D$180:$EQ$219,$B12,8)*4000,0)-IF(AND('calcA'!J$117=1,UH12&gt;0),2000,0)-IF(AND($U12=1,'calcA'!K$117=1,DJ12=0),2000,0))),1000000000))</f>
        <v/>
      </c>
      <c r="ON12">
        <f>IF($B12=0,1000000000,IF(INDEX('calcA'!$D$60:$EQ$99,$B12,9)*IF($W12=1,DJ12+ZY12,DJ12)=1,IF(AND($E12=2,IF($W12=1,AFN12,IY12)=0),1000000000,IF($V12=1,INDEX('calcA'!$D$130:$EQ$169,$B12,9)+IF(AND($E12=1,IY12=0),25,0),IF($F12&gt;0,INDEX('calcA'!L$110:L$114,$F12+1)+IF(AND($E12=1,IY12=0),1000,0),MIN(TU12,20)*400+(IF('calcA'!K$106=1,1-DI12,0)+IF('calcA'!L$106=1,1-DK12,0))*150+91+'calcA'!L$5*100000+IF(AND($E12=1,IY12=0),50000,0))+IF($H12=1,INDEX('calcA'!$D$180:$EQ$219,$B12,9)*4000,0)-IF(AND('calcA'!K$117=1,UI12&gt;0),2000,0)-IF(AND($U12=1,'calcA'!L$117=1,DK12=0),2000,0))),1000000000))</f>
        <v/>
      </c>
      <c r="OO12">
        <f>IF($B12=0,1000000000,IF(INDEX('calcA'!$D$60:$EQ$99,$B12,10)*IF($W12=1,DK12+ZZ12,DK12)=1,IF(AND($E12=2,IF($W12=1,AFO12,IZ12)=0),1000000000,IF($V12=1,INDEX('calcA'!$D$130:$EQ$169,$B12,10)+IF(AND($E12=1,IZ12=0),25,0),IF($F12&gt;0,INDEX('calcA'!M$110:M$114,$F12+1)+IF(AND($E12=1,IZ12=0),1000,0),MIN(TU12,20)*400+(IF('calcA'!L$106=1,1-DJ12,0)+IF('calcA'!M$106=1,1-DL12,0))*150+101+'calcA'!M$5*100000+IF(AND($E12=1,IZ12=0),50000,0))+IF($H12=1,INDEX('calcA'!$D$180:$EQ$219,$B12,10)*4000,0)-IF(AND('calcA'!L$117=1,UJ12&gt;0),2000,0)-IF(AND($U12=1,'calcA'!M$117=1,DL12=0),2000,0))),1000000000))</f>
        <v/>
      </c>
      <c r="OP12">
        <f>IF($B12=0,1000000000,IF(INDEX('calcA'!$D$60:$EQ$99,$B12,11)*IF($W12=1,DL12+AAA12,DL12)=1,IF(AND($E12=2,IF($W12=1,AFP12,JA12)=0),1000000000,IF($V12=1,INDEX('calcA'!$D$130:$EQ$169,$B12,11)+IF(AND($E12=1,JA12=0),25,0),IF($F12&gt;0,INDEX('calcA'!N$110:N$114,$F12+1)+IF(AND($E12=1,JA12=0),1000,0),MIN(TU12,20)*400+(IF('calcA'!M$106=1,1-DK12,0)+IF('calcA'!N$106=1,1-DM12,0))*150+111+'calcA'!N$5*100000+IF(AND($E12=1,JA12=0),50000,0))+IF($H12=1,INDEX('calcA'!$D$180:$EQ$219,$B12,11)*4000,0)-IF(AND('calcA'!M$117=1,UK12&gt;0),2000,0)-IF(AND($U12=1,'calcA'!N$117=1,DM12=0),2000,0))),1000000000))</f>
        <v/>
      </c>
      <c r="OQ12">
        <f>IF($B12=0,1000000000,IF(INDEX('calcA'!$D$60:$EQ$99,$B12,12)*IF($W12=1,DM12+AAB12,DM12)=1,IF(AND($E12=2,IF($W12=1,AFQ12,JB12)=0),1000000000,IF($V12=1,INDEX('calcA'!$D$130:$EQ$169,$B12,12)+IF(AND($E12=1,JB12=0),25,0),IF($F12&gt;0,INDEX('calcA'!O$110:O$114,$F12+1)+IF(AND($E12=1,JB12=0),1000,0),MIN(TU12,20)*400+(IF('calcA'!N$106=1,1-DL12,0)+IF('calcA'!O$106=1,1-DN12,0))*150+121+'calcA'!O$5*100000+IF(AND($E12=1,JB12=0),50000,0))+IF($H12=1,INDEX('calcA'!$D$180:$EQ$219,$B12,12)*4000,0)-IF(AND('calcA'!N$117=1,UL12&gt;0),2000,0)-IF(AND($U12=1,'calcA'!O$117=1,DN12=0),2000,0))),1000000000))</f>
        <v/>
      </c>
      <c r="OR12">
        <f>IF($B12=0,1000000000,IF(INDEX('calcA'!$D$60:$EQ$99,$B12,13)*IF($W12=1,DN12+AAC12,DN12)=1,IF(AND($E12=2,IF($W12=1,AFR12,JC12)=0),1000000000,IF($V12=1,INDEX('calcA'!$D$130:$EQ$169,$B12,13)+IF(AND($E12=1,JC12=0),25,0),IF($F12&gt;0,INDEX('calcA'!P$110:P$114,$F12+1)+IF(AND($E12=1,JC12=0),1000,0),MIN(TU12,20)*400+(IF('calcA'!O$106=1,1-DM12,0)+IF('calcA'!P$106=1,1-DO12,0))*150+131+'calcA'!P$5*100000+IF(AND($E12=1,JC12=0),50000,0))+IF($H12=1,INDEX('calcA'!$D$180:$EQ$219,$B12,13)*4000,0)-IF(AND('calcA'!O$117=1,UM12&gt;0),2000,0)-IF(AND($U12=1,'calcA'!P$117=1,DO12=0),2000,0))),1000000000))</f>
        <v/>
      </c>
      <c r="OS12">
        <f>IF($B12=0,1000000000,IF(INDEX('calcA'!$D$60:$EQ$99,$B12,14)*IF($W12=1,DO12+AAD12,DO12)=1,IF(AND($E12=2,IF($W12=1,AFS12,JD12)=0),1000000000,IF($V12=1,INDEX('calcA'!$D$130:$EQ$169,$B12,14)+IF(AND($E12=1,JD12=0),25,0),IF($F12&gt;0,INDEX('calcA'!Q$110:Q$114,$F12+1)+IF(AND($E12=1,JD12=0),1000,0),MIN(TU12,20)*400+(IF('calcA'!P$106=1,1-DN12,0)+IF('calcA'!Q$106=1,1-DP12,0))*150+141+'calcA'!Q$5*100000+IF(AND($E12=1,JD12=0),50000,0))+IF($H12=1,INDEX('calcA'!$D$180:$EQ$219,$B12,14)*4000,0)-IF(AND('calcA'!P$117=1,UN12&gt;0),2000,0)-IF(AND($U12=1,'calcA'!Q$117=1,DP12=0),2000,0))),1000000000))</f>
        <v/>
      </c>
      <c r="OT12">
        <f>IF($B12=0,1000000000,IF(INDEX('calcA'!$D$60:$EQ$99,$B12,15)*IF($W12=1,DP12+AAE12,DP12)=1,IF(AND($E12=2,IF($W12=1,AFT12,JE12)=0),1000000000,IF($V12=1,INDEX('calcA'!$D$130:$EQ$169,$B12,15)+IF(AND($E12=1,JE12=0),25,0),IF($F12&gt;0,INDEX('calcA'!R$110:R$114,$F12+1)+IF(AND($E12=1,JE12=0),1000,0),MIN(TU12,20)*400+(IF('calcA'!Q$106=1,1-DO12,0)+IF('calcA'!R$106=1,1-DQ12,0))*150+151+'calcA'!R$5*100000+IF(AND($E12=1,JE12=0),50000,0))+IF($H12=1,INDEX('calcA'!$D$180:$EQ$219,$B12,15)*4000,0)-IF(AND('calcA'!Q$117=1,UO12&gt;0),2000,0)-IF(AND($U12=1,'calcA'!R$117=1,DQ12=0),2000,0))),1000000000))</f>
        <v/>
      </c>
      <c r="OU12">
        <f>IF($B12=0,1000000000,IF(INDEX('calcA'!$D$60:$EQ$99,$B12,16)*IF($W12=1,DQ12+AAF12,DQ12)=1,IF(AND($E12=2,IF($W12=1,AFU12,JF12)=0),1000000000,IF($V12=1,INDEX('calcA'!$D$130:$EQ$169,$B12,16)+IF(AND($E12=1,JF12=0),25,0),IF($F12&gt;0,INDEX('calcA'!S$110:S$114,$F12+1)+IF(AND($E12=1,JF12=0),1000,0),MIN(TU12,20)*400+(IF('calcA'!R$106=1,1-DP12,0)+IF('calcA'!S$106=1,1-DR12,0))*150+161+'calcA'!S$5*100000+IF(AND($E12=1,JF12=0),50000,0))+IF($H12=1,INDEX('calcA'!$D$180:$EQ$219,$B12,16)*4000,0)-IF(AND('calcA'!R$117=1,UP12&gt;0),2000,0)-IF(AND($U12=1,'calcA'!S$117=1,DR12=0),2000,0))),1000000000))</f>
        <v/>
      </c>
      <c r="OV12">
        <f>IF($B12=0,1000000000,IF(INDEX('calcA'!$D$60:$EQ$99,$B12,17)*IF($W12=1,DR12+AAG12,DR12)=1,IF(AND($E12=2,IF($W12=1,AFV12,JG12)=0),1000000000,IF($V12=1,INDEX('calcA'!$D$130:$EQ$169,$B12,17)+IF(AND($E12=1,JG12=0),25,0),IF($F12&gt;0,INDEX('calcA'!T$110:T$114,$F12+1)+IF(AND($E12=1,JG12=0),1000,0),MIN(TU12,20)*400+(IF('calcA'!S$106=1,1-DQ12,0)+IF('calcA'!T$106=1,1-DS12,0))*150+171+'calcA'!T$5*100000+IF(AND($E12=1,JG12=0),50000,0))+IF($H12=1,INDEX('calcA'!$D$180:$EQ$219,$B12,17)*4000,0)-IF(AND('calcA'!S$117=1,UQ12&gt;0),2000,0)-IF(AND($U12=1,'calcA'!T$117=1,DS12=0),2000,0))),1000000000))</f>
        <v/>
      </c>
      <c r="OW12">
        <f>IF($B12=0,1000000000,IF(INDEX('calcA'!$D$60:$EQ$99,$B12,18)*IF($W12=1,DS12+AAH12,DS12)=1,IF(AND($E12=2,IF($W12=1,AFW12,JH12)=0),1000000000,IF($V12=1,INDEX('calcA'!$D$130:$EQ$169,$B12,18)+IF(AND($E12=1,JH12=0),25,0),IF($F12&gt;0,INDEX('calcA'!U$110:U$114,$F12+1)+IF(AND($E12=1,JH12=0),1000,0),MIN(TU12,20)*400+(IF('calcA'!T$106=1,1-DR12,0)+IF('calcA'!U$106=1,1-DT12,0))*150+181+'calcA'!U$5*100000+IF(AND($E12=1,JH12=0),50000,0))+IF($H12=1,INDEX('calcA'!$D$180:$EQ$219,$B12,18)*4000,0)-IF(AND('calcA'!T$117=1,UR12&gt;0),2000,0)-IF(AND($U12=1,'calcA'!U$117=1,DT12=0),2000,0))),1000000000))</f>
        <v/>
      </c>
      <c r="OX12">
        <f>IF($B12=0,1000000000,IF(INDEX('calcA'!$D$60:$EQ$99,$B12,19)*IF($W12=1,DT12+AAI12,DT12)=1,IF(AND($E12=2,IF($W12=1,AFX12,JI12)=0),1000000000,IF($V12=1,INDEX('calcA'!$D$130:$EQ$169,$B12,19)+IF(AND($E12=1,JI12=0),25,0),IF($F12&gt;0,INDEX('calcA'!V$110:V$114,$F12+1)+IF(AND($E12=1,JI12=0),1000,0),MIN(TU12,20)*400+(IF('calcA'!U$106=1,1-DS12,0)+IF('calcA'!V$106=1,1-DU12,0))*150+191+'calcA'!V$5*100000+IF(AND($E12=1,JI12=0),50000,0))+IF($H12=1,INDEX('calcA'!$D$180:$EQ$219,$B12,19)*4000,0)-IF(AND('calcA'!U$117=1,US12&gt;0),2000,0)-IF(AND($U12=1,'calcA'!V$117=1,DU12=0),2000,0))),1000000000))</f>
        <v/>
      </c>
      <c r="OY12">
        <f>IF($B12=0,1000000000,IF(INDEX('calcA'!$D$60:$EQ$99,$B12,20)*IF($W12=1,DU12+AAJ12,DU12)=1,IF(AND($E12=2,IF($W12=1,AFY12,JJ12)=0),1000000000,IF($V12=1,INDEX('calcA'!$D$130:$EQ$169,$B12,20)+IF(AND($E12=1,JJ12=0),25,0),IF($F12&gt;0,INDEX('calcA'!W$110:W$114,$F12+1)+IF(AND($E12=1,JJ12=0),1000,0),MIN(TU12,20)*400+(IF('calcA'!V$106=1,1-DT12,0)+IF('calcA'!W$106=1,1-DV12,0))*150+201+'calcA'!W$5*100000+IF(AND($E12=1,JJ12=0),50000,0))+IF($H12=1,INDEX('calcA'!$D$180:$EQ$219,$B12,20)*4000,0)-IF(AND('calcA'!V$117=1,UT12&gt;0),2000,0)-IF(AND($U12=1,'calcA'!W$117=1,DV12=0),2000,0))),1000000000))</f>
        <v/>
      </c>
      <c r="OZ12">
        <f>IF($B12=0,1000000000,IF(INDEX('calcA'!$D$60:$EQ$99,$B12,21)*IF($W12=1,DV12+AAK12,DV12)=1,IF(AND($E12=2,IF($W12=1,AFZ12,JK12)=0),1000000000,IF($V12=1,INDEX('calcA'!$D$130:$EQ$169,$B12,21)+IF(AND($E12=1,JK12=0),25,0),IF($F12&gt;0,INDEX('calcA'!X$110:X$114,$F12+1)+IF(AND($E12=1,JK12=0),1000,0),MIN(TU12,20)*400+(IF('calcA'!W$106=1,1-DU12,0)+IF('calcA'!X$106=1,1-DW12,0))*150+211+'calcA'!X$5*100000+IF(AND($E12=1,JK12=0),50000,0))+IF($H12=1,INDEX('calcA'!$D$180:$EQ$219,$B12,21)*4000,0)-IF(AND('calcA'!W$117=1,UU12&gt;0),2000,0)-IF(AND($U12=1,'calcA'!X$117=1,DW12=0),2000,0))),1000000000))</f>
        <v/>
      </c>
      <c r="PA12">
        <f>IF($B12=0,1000000000,IF(INDEX('calcA'!$D$60:$EQ$99,$B12,22)*IF($W12=1,DW12+AAL12,DW12)=1,IF(AND($E12=2,IF($W12=1,AGA12,JL12)=0),1000000000,IF($V12=1,INDEX('calcA'!$D$130:$EQ$169,$B12,22)+IF(AND($E12=1,JL12=0),25,0),IF($F12&gt;0,INDEX('calcA'!Y$110:Y$114,$F12+1)+IF(AND($E12=1,JL12=0),1000,0),MIN(TU12,20)*400+(IF('calcA'!X$106=1,1-DV12,0)+IF('calcA'!Y$106=1,1-DX12,0))*150+221+'calcA'!Y$5*100000+IF(AND($E12=1,JL12=0),50000,0))+IF($H12=1,INDEX('calcA'!$D$180:$EQ$219,$B12,22)*4000,0)-IF(AND('calcA'!X$117=1,UV12&gt;0),2000,0)-IF(AND($U12=1,'calcA'!Y$117=1,DX12=0),2000,0))),1000000000))</f>
        <v/>
      </c>
      <c r="PB12">
        <f>IF($B12=0,1000000000,IF(INDEX('calcA'!$D$60:$EQ$99,$B12,23)*IF($W12=1,DX12+AAM12,DX12)=1,IF(AND($E12=2,IF($W12=1,AGB12,JM12)=0),1000000000,IF($V12=1,INDEX('calcA'!$D$130:$EQ$169,$B12,23)+IF(AND($E12=1,JM12=0),25,0),IF($F12&gt;0,INDEX('calcA'!Z$110:Z$114,$F12+1)+IF(AND($E12=1,JM12=0),1000,0),MIN(TU12,20)*400+(IF('calcA'!Y$106=1,1-DW12,0)+IF('calcA'!Z$106=1,1-DY12,0))*150+231+'calcA'!Z$5*100000+IF(AND($E12=1,JM12=0),50000,0))+IF($H12=1,INDEX('calcA'!$D$180:$EQ$219,$B12,23)*4000,0)-IF(AND('calcA'!Y$117=1,UW12&gt;0),2000,0)-IF(AND($U12=1,'calcA'!Z$117=1,DY12=0),2000,0))),1000000000))</f>
        <v/>
      </c>
      <c r="PC12">
        <f>IF($B12=0,1000000000,IF(INDEX('calcA'!$D$60:$EQ$99,$B12,24)*IF($W12=1,DY12+AAN12,DY12)=1,IF(AND($E12=2,IF($W12=1,AGC12,JN12)=0),1000000000,IF($V12=1,INDEX('calcA'!$D$130:$EQ$169,$B12,24)+IF(AND($E12=1,JN12=0),25,0),IF($F12&gt;0,INDEX('calcA'!AA$110:AA$114,$F12+1)+IF(AND($E12=1,JN12=0),1000,0),MIN(TU12,20)*400+(IF('calcA'!Z$106=1,1-DX12,0))*150+241+'calcA'!AA$5*100000+IF(AND($E12=1,JN12=0),50000,0))+IF($H12=1,INDEX('calcA'!$D$180:$EQ$219,$B12,24)*4000,0)-IF(AND('calcA'!Z$117=1,UX12&gt;0),2000,0))),1000000000))</f>
        <v/>
      </c>
      <c r="PD12">
        <f>IF($B12=0,1000000000,IF(INDEX('calcA'!$D$60:$EQ$99,$B12,25)*IF($W12=1,DZ12+AAO12,DZ12)=1,IF(AND($E12=2,IF($W12=1,AGD12,JO12)=0),1000000000,IF($V12=1,INDEX('calcA'!$D$130:$EQ$169,$B12,25)+IF(AND($E12=1,JO12=0),25,0),IF($F12&gt;0,INDEX('calcA'!AB$110:AB$114,$F12+1)+IF(AND($E12=1,JO12=0),1000,0),MIN(TV12,20)*400+(IF('calcA'!AB$106=1,1-EA12,0))*150+12+'calcA'!AB$5*100000+IF(AND($E12=1,JO12=0),50000,0))+IF($H12=1,INDEX('calcA'!$D$180:$EQ$219,$B12,25)*4000,0)-IF(AND($U12=1,'calcA'!AB$117=1,EA12=0),2000,0))),1000000000))</f>
        <v/>
      </c>
      <c r="PE12">
        <f>IF($B12=0,1000000000,IF(INDEX('calcA'!$D$60:$EQ$99,$B12,26)*IF($W12=1,EA12+AAP12,EA12)=1,IF(AND($E12=2,IF($W12=1,AGE12,JP12)=0),1000000000,IF($V12=1,INDEX('calcA'!$D$130:$EQ$169,$B12,26)+IF(AND($E12=1,JP12=0),25,0),IF($F12&gt;0,INDEX('calcA'!AC$110:AC$114,$F12+1)+IF(AND($E12=1,JP12=0),1000,0),MIN(TV12,20)*400+(IF('calcA'!AB$106=1,1-DZ12,0)+IF('calcA'!AC$106=1,1-EB12,0))*150+22+'calcA'!AC$5*100000+IF(AND($E12=1,JP12=0),50000,0))+IF($H12=1,INDEX('calcA'!$D$180:$EQ$219,$B12,26)*4000,0)-IF(AND('calcA'!AB$117=1,UZ12&gt;0),2000,0)-IF(AND($U12=1,'calcA'!AC$117=1,EB12=0),2000,0))),1000000000))</f>
        <v/>
      </c>
      <c r="PF12">
        <f>IF($B12=0,1000000000,IF(INDEX('calcA'!$D$60:$EQ$99,$B12,27)*IF($W12=1,EB12+AAQ12,EB12)=1,IF(AND($E12=2,IF($W12=1,AGF12,JQ12)=0),1000000000,IF($V12=1,INDEX('calcA'!$D$130:$EQ$169,$B12,27)+IF(AND($E12=1,JQ12=0),25,0),IF($F12&gt;0,INDEX('calcA'!AD$110:AD$114,$F12+1)+IF(AND($E12=1,JQ12=0),1000,0),MIN(TV12,20)*400+(IF('calcA'!AC$106=1,1-EA12,0)+IF('calcA'!AD$106=1,1-EC12,0))*150+32+'calcA'!AD$5*100000+IF(AND($E12=1,JQ12=0),50000,0))+IF($H12=1,INDEX('calcA'!$D$180:$EQ$219,$B12,27)*4000,0)-IF(AND('calcA'!AC$117=1,VA12&gt;0),2000,0)-IF(AND($U12=1,'calcA'!AD$117=1,EC12=0),2000,0))),1000000000))</f>
        <v/>
      </c>
      <c r="PG12">
        <f>IF($B12=0,1000000000,IF(INDEX('calcA'!$D$60:$EQ$99,$B12,28)*IF($W12=1,EC12+AAR12,EC12)=1,IF(AND($E12=2,IF($W12=1,AGG12,JR12)=0),1000000000,IF($V12=1,INDEX('calcA'!$D$130:$EQ$169,$B12,28)+IF(AND($E12=1,JR12=0),25,0),IF($F12&gt;0,INDEX('calcA'!AE$110:AE$114,$F12+1)+IF(AND($E12=1,JR12=0),1000,0),MIN(TV12,20)*400+(IF('calcA'!AD$106=1,1-EB12,0)+IF('calcA'!AE$106=1,1-ED12,0))*150+42+'calcA'!AE$5*100000+IF(AND($E12=1,JR12=0),50000,0))+IF($H12=1,INDEX('calcA'!$D$180:$EQ$219,$B12,28)*4000,0)-IF(AND('calcA'!AD$117=1,VB12&gt;0),2000,0)-IF(AND($U12=1,'calcA'!AE$117=1,ED12=0),2000,0))),1000000000))</f>
        <v/>
      </c>
      <c r="PH12">
        <f>IF($B12=0,1000000000,IF(INDEX('calcA'!$D$60:$EQ$99,$B12,29)*IF($W12=1,ED12+AAS12,ED12)=1,IF(AND($E12=2,IF($W12=1,AGH12,JS12)=0),1000000000,IF($V12=1,INDEX('calcA'!$D$130:$EQ$169,$B12,29)+IF(AND($E12=1,JS12=0),25,0),IF($F12&gt;0,INDEX('calcA'!AF$110:AF$114,$F12+1)+IF(AND($E12=1,JS12=0),1000,0),MIN(TV12,20)*400+(IF('calcA'!AE$106=1,1-EC12,0)+IF('calcA'!AF$106=1,1-EE12,0))*150+52+'calcA'!AF$5*100000+IF(AND($E12=1,JS12=0),50000,0))+IF($H12=1,INDEX('calcA'!$D$180:$EQ$219,$B12,29)*4000,0)-IF(AND('calcA'!AE$117=1,VC12&gt;0),2000,0)-IF(AND($U12=1,'calcA'!AF$117=1,EE12=0),2000,0))),1000000000))</f>
        <v/>
      </c>
      <c r="PI12">
        <f>IF($B12=0,1000000000,IF(INDEX('calcA'!$D$60:$EQ$99,$B12,30)*IF($W12=1,EE12+AAT12,EE12)=1,IF(AND($E12=2,IF($W12=1,AGI12,JT12)=0),1000000000,IF($V12=1,INDEX('calcA'!$D$130:$EQ$169,$B12,30)+IF(AND($E12=1,JT12=0),25,0),IF($F12&gt;0,INDEX('calcA'!AG$110:AG$114,$F12+1)+IF(AND($E12=1,JT12=0),1000,0),MIN(TV12,20)*400+(IF('calcA'!AF$106=1,1-ED12,0)+IF('calcA'!AG$106=1,1-EF12,0))*150+62+'calcA'!AG$5*100000+IF(AND($E12=1,JT12=0),50000,0))+IF($H12=1,INDEX('calcA'!$D$180:$EQ$219,$B12,30)*4000,0)-IF(AND('calcA'!AF$117=1,VD12&gt;0),2000,0)-IF(AND($U12=1,'calcA'!AG$117=1,EF12=0),2000,0))),1000000000))</f>
        <v/>
      </c>
      <c r="PJ12">
        <f>IF($B12=0,1000000000,IF(INDEX('calcA'!$D$60:$EQ$99,$B12,31)*IF($W12=1,EF12+AAU12,EF12)=1,IF(AND($E12=2,IF($W12=1,AGJ12,JU12)=0),1000000000,IF($V12=1,INDEX('calcA'!$D$130:$EQ$169,$B12,31)+IF(AND($E12=1,JU12=0),25,0),IF($F12&gt;0,INDEX('calcA'!AH$110:AH$114,$F12+1)+IF(AND($E12=1,JU12=0),1000,0),MIN(TV12,20)*400+(IF('calcA'!AG$106=1,1-EE12,0)+IF('calcA'!AH$106=1,1-EG12,0))*150+72+'calcA'!AH$5*100000+IF(AND($E12=1,JU12=0),50000,0))+IF($H12=1,INDEX('calcA'!$D$180:$EQ$219,$B12,31)*4000,0)-IF(AND('calcA'!AG$117=1,VE12&gt;0),2000,0)-IF(AND($U12=1,'calcA'!AH$117=1,EG12=0),2000,0))),1000000000))</f>
        <v/>
      </c>
      <c r="PK12">
        <f>IF($B12=0,1000000000,IF(INDEX('calcA'!$D$60:$EQ$99,$B12,32)*IF($W12=1,EG12+AAV12,EG12)=1,IF(AND($E12=2,IF($W12=1,AGK12,JV12)=0),1000000000,IF($V12=1,INDEX('calcA'!$D$130:$EQ$169,$B12,32)+IF(AND($E12=1,JV12=0),25,0),IF($F12&gt;0,INDEX('calcA'!AI$110:AI$114,$F12+1)+IF(AND($E12=1,JV12=0),1000,0),MIN(TV12,20)*400+(IF('calcA'!AH$106=1,1-EF12,0)+IF('calcA'!AI$106=1,1-EH12,0))*150+82+'calcA'!AI$5*100000+IF(AND($E12=1,JV12=0),50000,0))+IF($H12=1,INDEX('calcA'!$D$180:$EQ$219,$B12,32)*4000,0)-IF(AND('calcA'!AH$117=1,VF12&gt;0),2000,0)-IF(AND($U12=1,'calcA'!AI$117=1,EH12=0),2000,0))),1000000000))</f>
        <v/>
      </c>
      <c r="PL12">
        <f>IF($B12=0,1000000000,IF(INDEX('calcA'!$D$60:$EQ$99,$B12,33)*IF($W12=1,EH12+AAW12,EH12)=1,IF(AND($E12=2,IF($W12=1,AGL12,JW12)=0),1000000000,IF($V12=1,INDEX('calcA'!$D$130:$EQ$169,$B12,33)+IF(AND($E12=1,JW12=0),25,0),IF($F12&gt;0,INDEX('calcA'!AJ$110:AJ$114,$F12+1)+IF(AND($E12=1,JW12=0),1000,0),MIN(TV12,20)*400+(IF('calcA'!AI$106=1,1-EG12,0)+IF('calcA'!AJ$106=1,1-EI12,0))*150+92+'calcA'!AJ$5*100000+IF(AND($E12=1,JW12=0),50000,0))+IF($H12=1,INDEX('calcA'!$D$180:$EQ$219,$B12,33)*4000,0)-IF(AND('calcA'!AI$117=1,VG12&gt;0),2000,0)-IF(AND($U12=1,'calcA'!AJ$117=1,EI12=0),2000,0))),1000000000))</f>
        <v/>
      </c>
      <c r="PM12">
        <f>IF($B12=0,1000000000,IF(INDEX('calcA'!$D$60:$EQ$99,$B12,34)*IF($W12=1,EI12+AAX12,EI12)=1,IF(AND($E12=2,IF($W12=1,AGM12,JX12)=0),1000000000,IF($V12=1,INDEX('calcA'!$D$130:$EQ$169,$B12,34)+IF(AND($E12=1,JX12=0),25,0),IF($F12&gt;0,INDEX('calcA'!AK$110:AK$114,$F12+1)+IF(AND($E12=1,JX12=0),1000,0),MIN(TV12,20)*400+(IF('calcA'!AJ$106=1,1-EH12,0)+IF('calcA'!AK$106=1,1-EJ12,0))*150+102+'calcA'!AK$5*100000+IF(AND($E12=1,JX12=0),50000,0))+IF($H12=1,INDEX('calcA'!$D$180:$EQ$219,$B12,34)*4000,0)-IF(AND('calcA'!AJ$117=1,VH12&gt;0),2000,0)-IF(AND($U12=1,'calcA'!AK$117=1,EJ12=0),2000,0))),1000000000))</f>
        <v/>
      </c>
      <c r="PN12">
        <f>IF($B12=0,1000000000,IF(INDEX('calcA'!$D$60:$EQ$99,$B12,35)*IF($W12=1,EJ12+AAY12,EJ12)=1,IF(AND($E12=2,IF($W12=1,AGN12,JY12)=0),1000000000,IF($V12=1,INDEX('calcA'!$D$130:$EQ$169,$B12,35)+IF(AND($E12=1,JY12=0),25,0),IF($F12&gt;0,INDEX('calcA'!AL$110:AL$114,$F12+1)+IF(AND($E12=1,JY12=0),1000,0),MIN(TV12,20)*400+(IF('calcA'!AK$106=1,1-EI12,0)+IF('calcA'!AL$106=1,1-EK12,0))*150+112+'calcA'!AL$5*100000+IF(AND($E12=1,JY12=0),50000,0))+IF($H12=1,INDEX('calcA'!$D$180:$EQ$219,$B12,35)*4000,0)-IF(AND('calcA'!AK$117=1,VI12&gt;0),2000,0)-IF(AND($U12=1,'calcA'!AL$117=1,EK12=0),2000,0))),1000000000))</f>
        <v/>
      </c>
      <c r="PO12">
        <f>IF($B12=0,1000000000,IF(INDEX('calcA'!$D$60:$EQ$99,$B12,36)*IF($W12=1,EK12+AAZ12,EK12)=1,IF(AND($E12=2,IF($W12=1,AGO12,JZ12)=0),1000000000,IF($V12=1,INDEX('calcA'!$D$130:$EQ$169,$B12,36)+IF(AND($E12=1,JZ12=0),25,0),IF($F12&gt;0,INDEX('calcA'!AM$110:AM$114,$F12+1)+IF(AND($E12=1,JZ12=0),1000,0),MIN(TV12,20)*400+(IF('calcA'!AL$106=1,1-EJ12,0)+IF('calcA'!AM$106=1,1-EL12,0))*150+122+'calcA'!AM$5*100000+IF(AND($E12=1,JZ12=0),50000,0))+IF($H12=1,INDEX('calcA'!$D$180:$EQ$219,$B12,36)*4000,0)-IF(AND('calcA'!AL$117=1,VJ12&gt;0),2000,0)-IF(AND($U12=1,'calcA'!AM$117=1,EL12=0),2000,0))),1000000000))</f>
        <v/>
      </c>
      <c r="PP12">
        <f>IF($B12=0,1000000000,IF(INDEX('calcA'!$D$60:$EQ$99,$B12,37)*IF($W12=1,EL12+ABA12,EL12)=1,IF(AND($E12=2,IF($W12=1,AGP12,KA12)=0),1000000000,IF($V12=1,INDEX('calcA'!$D$130:$EQ$169,$B12,37)+IF(AND($E12=1,KA12=0),25,0),IF($F12&gt;0,INDEX('calcA'!AN$110:AN$114,$F12+1)+IF(AND($E12=1,KA12=0),1000,0),MIN(TV12,20)*400+(IF('calcA'!AM$106=1,1-EK12,0)+IF('calcA'!AN$106=1,1-EM12,0))*150+132+'calcA'!AN$5*100000+IF(AND($E12=1,KA12=0),50000,0))+IF($H12=1,INDEX('calcA'!$D$180:$EQ$219,$B12,37)*4000,0)-IF(AND('calcA'!AM$117=1,VK12&gt;0),2000,0)-IF(AND($U12=1,'calcA'!AN$117=1,EM12=0),2000,0))),1000000000))</f>
        <v/>
      </c>
      <c r="PQ12">
        <f>IF($B12=0,1000000000,IF(INDEX('calcA'!$D$60:$EQ$99,$B12,38)*IF($W12=1,EM12+ABB12,EM12)=1,IF(AND($E12=2,IF($W12=1,AGQ12,KB12)=0),1000000000,IF($V12=1,INDEX('calcA'!$D$130:$EQ$169,$B12,38)+IF(AND($E12=1,KB12=0),25,0),IF($F12&gt;0,INDEX('calcA'!AO$110:AO$114,$F12+1)+IF(AND($E12=1,KB12=0),1000,0),MIN(TV12,20)*400+(IF('calcA'!AN$106=1,1-EL12,0)+IF('calcA'!AO$106=1,1-EN12,0))*150+142+'calcA'!AO$5*100000+IF(AND($E12=1,KB12=0),50000,0))+IF($H12=1,INDEX('calcA'!$D$180:$EQ$219,$B12,38)*4000,0)-IF(AND('calcA'!AN$117=1,VL12&gt;0),2000,0)-IF(AND($U12=1,'calcA'!AO$117=1,EN12=0),2000,0))),1000000000))</f>
        <v/>
      </c>
      <c r="PR12">
        <f>IF($B12=0,1000000000,IF(INDEX('calcA'!$D$60:$EQ$99,$B12,39)*IF($W12=1,EN12+ABC12,EN12)=1,IF(AND($E12=2,IF($W12=1,AGR12,KC12)=0),1000000000,IF($V12=1,INDEX('calcA'!$D$130:$EQ$169,$B12,39)+IF(AND($E12=1,KC12=0),25,0),IF($F12&gt;0,INDEX('calcA'!AP$110:AP$114,$F12+1)+IF(AND($E12=1,KC12=0),1000,0),MIN(TV12,20)*400+(IF('calcA'!AO$106=1,1-EM12,0)+IF('calcA'!AP$106=1,1-EO12,0))*150+152+'calcA'!AP$5*100000+IF(AND($E12=1,KC12=0),50000,0))+IF($H12=1,INDEX('calcA'!$D$180:$EQ$219,$B12,39)*4000,0)-IF(AND('calcA'!AO$117=1,VM12&gt;0),2000,0)-IF(AND($U12=1,'calcA'!AP$117=1,EO12=0),2000,0))),1000000000))</f>
        <v/>
      </c>
      <c r="PS12">
        <f>IF($B12=0,1000000000,IF(INDEX('calcA'!$D$60:$EQ$99,$B12,40)*IF($W12=1,EO12+ABD12,EO12)=1,IF(AND($E12=2,IF($W12=1,AGS12,KD12)=0),1000000000,IF($V12=1,INDEX('calcA'!$D$130:$EQ$169,$B12,40)+IF(AND($E12=1,KD12=0),25,0),IF($F12&gt;0,INDEX('calcA'!AQ$110:AQ$114,$F12+1)+IF(AND($E12=1,KD12=0),1000,0),MIN(TV12,20)*400+(IF('calcA'!AP$106=1,1-EN12,0)+IF('calcA'!AQ$106=1,1-EP12,0))*150+162+'calcA'!AQ$5*100000+IF(AND($E12=1,KD12=0),50000,0))+IF($H12=1,INDEX('calcA'!$D$180:$EQ$219,$B12,40)*4000,0)-IF(AND('calcA'!AP$117=1,VN12&gt;0),2000,0)-IF(AND($U12=1,'calcA'!AQ$117=1,EP12=0),2000,0))),1000000000))</f>
        <v/>
      </c>
      <c r="PT12">
        <f>IF($B12=0,1000000000,IF(INDEX('calcA'!$D$60:$EQ$99,$B12,41)*IF($W12=1,EP12+ABE12,EP12)=1,IF(AND($E12=2,IF($W12=1,AGT12,KE12)=0),1000000000,IF($V12=1,INDEX('calcA'!$D$130:$EQ$169,$B12,41)+IF(AND($E12=1,KE12=0),25,0),IF($F12&gt;0,INDEX('calcA'!AR$110:AR$114,$F12+1)+IF(AND($E12=1,KE12=0),1000,0),MIN(TV12,20)*400+(IF('calcA'!AQ$106=1,1-EO12,0)+IF('calcA'!AR$106=1,1-EQ12,0))*150+172+'calcA'!AR$5*100000+IF(AND($E12=1,KE12=0),50000,0))+IF($H12=1,INDEX('calcA'!$D$180:$EQ$219,$B12,41)*4000,0)-IF(AND('calcA'!AQ$117=1,VO12&gt;0),2000,0)-IF(AND($U12=1,'calcA'!AR$117=1,EQ12=0),2000,0))),1000000000))</f>
        <v/>
      </c>
      <c r="PU12">
        <f>IF($B12=0,1000000000,IF(INDEX('calcA'!$D$60:$EQ$99,$B12,42)*IF($W12=1,EQ12+ABF12,EQ12)=1,IF(AND($E12=2,IF($W12=1,AGU12,KF12)=0),1000000000,IF($V12=1,INDEX('calcA'!$D$130:$EQ$169,$B12,42)+IF(AND($E12=1,KF12=0),25,0),IF($F12&gt;0,INDEX('calcA'!AS$110:AS$114,$F12+1)+IF(AND($E12=1,KF12=0),1000,0),MIN(TV12,20)*400+(IF('calcA'!AR$106=1,1-EP12,0)+IF('calcA'!AS$106=1,1-ER12,0))*150+182+'calcA'!AS$5*100000+IF(AND($E12=1,KF12=0),50000,0))+IF($H12=1,INDEX('calcA'!$D$180:$EQ$219,$B12,42)*4000,0)-IF(AND('calcA'!AR$117=1,VP12&gt;0),2000,0)-IF(AND($U12=1,'calcA'!AS$117=1,ER12=0),2000,0))),1000000000))</f>
        <v/>
      </c>
      <c r="PV12">
        <f>IF($B12=0,1000000000,IF(INDEX('calcA'!$D$60:$EQ$99,$B12,43)*IF($W12=1,ER12+ABG12,ER12)=1,IF(AND($E12=2,IF($W12=1,AGV12,KG12)=0),1000000000,IF($V12=1,INDEX('calcA'!$D$130:$EQ$169,$B12,43)+IF(AND($E12=1,KG12=0),25,0),IF($F12&gt;0,INDEX('calcA'!AT$110:AT$114,$F12+1)+IF(AND($E12=1,KG12=0),1000,0),MIN(TV12,20)*400+(IF('calcA'!AS$106=1,1-EQ12,0)+IF('calcA'!AT$106=1,1-ES12,0))*150+192+'calcA'!AT$5*100000+IF(AND($E12=1,KG12=0),50000,0))+IF($H12=1,INDEX('calcA'!$D$180:$EQ$219,$B12,43)*4000,0)-IF(AND('calcA'!AS$117=1,VQ12&gt;0),2000,0)-IF(AND($U12=1,'calcA'!AT$117=1,ES12=0),2000,0))),1000000000))</f>
        <v/>
      </c>
      <c r="PW12">
        <f>IF($B12=0,1000000000,IF(INDEX('calcA'!$D$60:$EQ$99,$B12,44)*IF($W12=1,ES12+ABH12,ES12)=1,IF(AND($E12=2,IF($W12=1,AGW12,KH12)=0),1000000000,IF($V12=1,INDEX('calcA'!$D$130:$EQ$169,$B12,44)+IF(AND($E12=1,KH12=0),25,0),IF($F12&gt;0,INDEX('calcA'!AU$110:AU$114,$F12+1)+IF(AND($E12=1,KH12=0),1000,0),MIN(TV12,20)*400+(IF('calcA'!AT$106=1,1-ER12,0)+IF('calcA'!AU$106=1,1-ET12,0))*150+202+'calcA'!AU$5*100000+IF(AND($E12=1,KH12=0),50000,0))+IF($H12=1,INDEX('calcA'!$D$180:$EQ$219,$B12,44)*4000,0)-IF(AND('calcA'!AT$117=1,VR12&gt;0),2000,0)-IF(AND($U12=1,'calcA'!AU$117=1,ET12=0),2000,0))),1000000000))</f>
        <v/>
      </c>
      <c r="PX12">
        <f>IF($B12=0,1000000000,IF(INDEX('calcA'!$D$60:$EQ$99,$B12,45)*IF($W12=1,ET12+ABI12,ET12)=1,IF(AND($E12=2,IF($W12=1,AGX12,KI12)=0),1000000000,IF($V12=1,INDEX('calcA'!$D$130:$EQ$169,$B12,45)+IF(AND($E12=1,KI12=0),25,0),IF($F12&gt;0,INDEX('calcA'!AV$110:AV$114,$F12+1)+IF(AND($E12=1,KI12=0),1000,0),MIN(TV12,20)*400+(IF('calcA'!AU$106=1,1-ES12,0)+IF('calcA'!AV$106=1,1-EU12,0))*150+212+'calcA'!AV$5*100000+IF(AND($E12=1,KI12=0),50000,0))+IF($H12=1,INDEX('calcA'!$D$180:$EQ$219,$B12,45)*4000,0)-IF(AND('calcA'!AU$117=1,VS12&gt;0),2000,0)-IF(AND($U12=1,'calcA'!AV$117=1,EU12=0),2000,0))),1000000000))</f>
        <v/>
      </c>
      <c r="PY12">
        <f>IF($B12=0,1000000000,IF(INDEX('calcA'!$D$60:$EQ$99,$B12,46)*IF($W12=1,EU12+ABJ12,EU12)=1,IF(AND($E12=2,IF($W12=1,AGY12,KJ12)=0),1000000000,IF($V12=1,INDEX('calcA'!$D$130:$EQ$169,$B12,46)+IF(AND($E12=1,KJ12=0),25,0),IF($F12&gt;0,INDEX('calcA'!AW$110:AW$114,$F12+1)+IF(AND($E12=1,KJ12=0),1000,0),MIN(TV12,20)*400+(IF('calcA'!AV$106=1,1-ET12,0)+IF('calcA'!AW$106=1,1-EV12,0))*150+222+'calcA'!AW$5*100000+IF(AND($E12=1,KJ12=0),50000,0))+IF($H12=1,INDEX('calcA'!$D$180:$EQ$219,$B12,46)*4000,0)-IF(AND('calcA'!AV$117=1,VT12&gt;0),2000,0)-IF(AND($U12=1,'calcA'!AW$117=1,EV12=0),2000,0))),1000000000))</f>
        <v/>
      </c>
      <c r="PZ12">
        <f>IF($B12=0,1000000000,IF(INDEX('calcA'!$D$60:$EQ$99,$B12,47)*IF($W12=1,EV12+ABK12,EV12)=1,IF(AND($E12=2,IF($W12=1,AGZ12,KK12)=0),1000000000,IF($V12=1,INDEX('calcA'!$D$130:$EQ$169,$B12,47)+IF(AND($E12=1,KK12=0),25,0),IF($F12&gt;0,INDEX('calcA'!AX$110:AX$114,$F12+1)+IF(AND($E12=1,KK12=0),1000,0),MIN(TV12,20)*400+(IF('calcA'!AW$106=1,1-EU12,0)+IF('calcA'!AX$106=1,1-EW12,0))*150+232+'calcA'!AX$5*100000+IF(AND($E12=1,KK12=0),50000,0))+IF($H12=1,INDEX('calcA'!$D$180:$EQ$219,$B12,47)*4000,0)-IF(AND('calcA'!AW$117=1,VU12&gt;0),2000,0)-IF(AND($U12=1,'calcA'!AX$117=1,EW12=0),2000,0))),1000000000))</f>
        <v/>
      </c>
      <c r="QA12">
        <f>IF($B12=0,1000000000,IF(INDEX('calcA'!$D$60:$EQ$99,$B12,48)*IF($W12=1,EW12+ABL12,EW12)=1,IF(AND($E12=2,IF($W12=1,AHA12,KL12)=0),1000000000,IF($V12=1,INDEX('calcA'!$D$130:$EQ$169,$B12,48)+IF(AND($E12=1,KL12=0),25,0),IF($F12&gt;0,INDEX('calcA'!AY$110:AY$114,$F12+1)+IF(AND($E12=1,KL12=0),1000,0),MIN(TV12,20)*400+(IF('calcA'!AX$106=1,1-EV12,0))*150+242+'calcA'!AY$5*100000+IF(AND($E12=1,KL12=0),50000,0))+IF($H12=1,INDEX('calcA'!$D$180:$EQ$219,$B12,48)*4000,0)-IF(AND('calcA'!AX$117=1,VV12&gt;0),2000,0))),1000000000))</f>
        <v/>
      </c>
      <c r="QB12">
        <f>IF($B12=0,1000000000,IF(INDEX('calcA'!$D$60:$EQ$99,$B12,49)*IF($W12=1,EX12+ABM12,EX12)=1,IF(AND($E12=2,IF($W12=1,AHB12,KM12)=0),1000000000,IF($V12=1,INDEX('calcA'!$D$130:$EQ$169,$B12,49)+IF(AND($E12=1,KM12=0),25,0),IF($F12&gt;0,INDEX('calcA'!AZ$110:AZ$114,$F12+1)+IF(AND($E12=1,KM12=0),1000,0),MIN(TW12,20)*400+(IF('calcA'!AZ$106=1,1-EY12,0))*150+13+'calcA'!AZ$5*100000+IF(AND($E12=1,KM12=0),50000,0))+IF($H12=1,INDEX('calcA'!$D$180:$EQ$219,$B12,49)*4000,0)-IF(AND($U12=1,'calcA'!AZ$117=1,EY12=0),2000,0))),1000000000))</f>
        <v/>
      </c>
      <c r="QC12">
        <f>IF($B12=0,1000000000,IF(INDEX('calcA'!$D$60:$EQ$99,$B12,50)*IF($W12=1,EY12+ABN12,EY12)=1,IF(AND($E12=2,IF($W12=1,AHC12,KN12)=0),1000000000,IF($V12=1,INDEX('calcA'!$D$130:$EQ$169,$B12,50)+IF(AND($E12=1,KN12=0),25,0),IF($F12&gt;0,INDEX('calcA'!BA$110:BA$114,$F12+1)+IF(AND($E12=1,KN12=0),1000,0),MIN(TW12,20)*400+(IF('calcA'!AZ$106=1,1-EX12,0)+IF('calcA'!BA$106=1,1-EZ12,0))*150+23+'calcA'!BA$5*100000+IF(AND($E12=1,KN12=0),50000,0))+IF($H12=1,INDEX('calcA'!$D$180:$EQ$219,$B12,50)*4000,0)-IF(AND('calcA'!AZ$117=1,VX12&gt;0),2000,0)-IF(AND($U12=1,'calcA'!BA$117=1,EZ12=0),2000,0))),1000000000))</f>
        <v/>
      </c>
      <c r="QD12">
        <f>IF($B12=0,1000000000,IF(INDEX('calcA'!$D$60:$EQ$99,$B12,51)*IF($W12=1,EZ12+ABO12,EZ12)=1,IF(AND($E12=2,IF($W12=1,AHD12,KO12)=0),1000000000,IF($V12=1,INDEX('calcA'!$D$130:$EQ$169,$B12,51)+IF(AND($E12=1,KO12=0),25,0),IF($F12&gt;0,INDEX('calcA'!BB$110:BB$114,$F12+1)+IF(AND($E12=1,KO12=0),1000,0),MIN(TW12,20)*400+(IF('calcA'!BA$106=1,1-EY12,0)+IF('calcA'!BB$106=1,1-FA12,0))*150+33+'calcA'!BB$5*100000+IF(AND($E12=1,KO12=0),50000,0))+IF($H12=1,INDEX('calcA'!$D$180:$EQ$219,$B12,51)*4000,0)-IF(AND('calcA'!BA$117=1,VY12&gt;0),2000,0)-IF(AND($U12=1,'calcA'!BB$117=1,FA12=0),2000,0))),1000000000))</f>
        <v/>
      </c>
      <c r="QE12">
        <f>IF($B12=0,1000000000,IF(INDEX('calcA'!$D$60:$EQ$99,$B12,52)*IF($W12=1,FA12+ABP12,FA12)=1,IF(AND($E12=2,IF($W12=1,AHE12,KP12)=0),1000000000,IF($V12=1,INDEX('calcA'!$D$130:$EQ$169,$B12,52)+IF(AND($E12=1,KP12=0),25,0),IF($F12&gt;0,INDEX('calcA'!BC$110:BC$114,$F12+1)+IF(AND($E12=1,KP12=0),1000,0),MIN(TW12,20)*400+(IF('calcA'!BB$106=1,1-EZ12,0)+IF('calcA'!BC$106=1,1-FB12,0))*150+43+'calcA'!BC$5*100000+IF(AND($E12=1,KP12=0),50000,0))+IF($H12=1,INDEX('calcA'!$D$180:$EQ$219,$B12,52)*4000,0)-IF(AND('calcA'!BB$117=1,VZ12&gt;0),2000,0)-IF(AND($U12=1,'calcA'!BC$117=1,FB12=0),2000,0))),1000000000))</f>
        <v/>
      </c>
      <c r="QF12">
        <f>IF($B12=0,1000000000,IF(INDEX('calcA'!$D$60:$EQ$99,$B12,53)*IF($W12=1,FB12+ABQ12,FB12)=1,IF(AND($E12=2,IF($W12=1,AHF12,KQ12)=0),1000000000,IF($V12=1,INDEX('calcA'!$D$130:$EQ$169,$B12,53)+IF(AND($E12=1,KQ12=0),25,0),IF($F12&gt;0,INDEX('calcA'!BD$110:BD$114,$F12+1)+IF(AND($E12=1,KQ12=0),1000,0),MIN(TW12,20)*400+(IF('calcA'!BC$106=1,1-FA12,0)+IF('calcA'!BD$106=1,1-FC12,0))*150+53+'calcA'!BD$5*100000+IF(AND($E12=1,KQ12=0),50000,0))+IF($H12=1,INDEX('calcA'!$D$180:$EQ$219,$B12,53)*4000,0)-IF(AND('calcA'!BC$117=1,WA12&gt;0),2000,0)-IF(AND($U12=1,'calcA'!BD$117=1,FC12=0),2000,0))),1000000000))</f>
        <v/>
      </c>
      <c r="QG12">
        <f>IF($B12=0,1000000000,IF(INDEX('calcA'!$D$60:$EQ$99,$B12,54)*IF($W12=1,FC12+ABR12,FC12)=1,IF(AND($E12=2,IF($W12=1,AHG12,KR12)=0),1000000000,IF($V12=1,INDEX('calcA'!$D$130:$EQ$169,$B12,54)+IF(AND($E12=1,KR12=0),25,0),IF($F12&gt;0,INDEX('calcA'!BE$110:BE$114,$F12+1)+IF(AND($E12=1,KR12=0),1000,0),MIN(TW12,20)*400+(IF('calcA'!BD$106=1,1-FB12,0)+IF('calcA'!BE$106=1,1-FD12,0))*150+63+'calcA'!BE$5*100000+IF(AND($E12=1,KR12=0),50000,0))+IF($H12=1,INDEX('calcA'!$D$180:$EQ$219,$B12,54)*4000,0)-IF(AND('calcA'!BD$117=1,WB12&gt;0),2000,0)-IF(AND($U12=1,'calcA'!BE$117=1,FD12=0),2000,0))),1000000000))</f>
        <v/>
      </c>
      <c r="QH12">
        <f>IF($B12=0,1000000000,IF(INDEX('calcA'!$D$60:$EQ$99,$B12,55)*IF($W12=1,FD12+ABS12,FD12)=1,IF(AND($E12=2,IF($W12=1,AHH12,KS12)=0),1000000000,IF($V12=1,INDEX('calcA'!$D$130:$EQ$169,$B12,55)+IF(AND($E12=1,KS12=0),25,0),IF($F12&gt;0,INDEX('calcA'!BF$110:BF$114,$F12+1)+IF(AND($E12=1,KS12=0),1000,0),MIN(TW12,20)*400+(IF('calcA'!BE$106=1,1-FC12,0)+IF('calcA'!BF$106=1,1-FE12,0))*150+73+'calcA'!BF$5*100000+IF(AND($E12=1,KS12=0),50000,0))+IF($H12=1,INDEX('calcA'!$D$180:$EQ$219,$B12,55)*4000,0)-IF(AND('calcA'!BE$117=1,WC12&gt;0),2000,0)-IF(AND($U12=1,'calcA'!BF$117=1,FE12=0),2000,0))),1000000000))</f>
        <v/>
      </c>
      <c r="QI12">
        <f>IF($B12=0,1000000000,IF(INDEX('calcA'!$D$60:$EQ$99,$B12,56)*IF($W12=1,FE12+ABT12,FE12)=1,IF(AND($E12=2,IF($W12=1,AHI12,KT12)=0),1000000000,IF($V12=1,INDEX('calcA'!$D$130:$EQ$169,$B12,56)+IF(AND($E12=1,KT12=0),25,0),IF($F12&gt;0,INDEX('calcA'!BG$110:BG$114,$F12+1)+IF(AND($E12=1,KT12=0),1000,0),MIN(TW12,20)*400+(IF('calcA'!BF$106=1,1-FD12,0)+IF('calcA'!BG$106=1,1-FF12,0))*150+83+'calcA'!BG$5*100000+IF(AND($E12=1,KT12=0),50000,0))+IF($H12=1,INDEX('calcA'!$D$180:$EQ$219,$B12,56)*4000,0)-IF(AND('calcA'!BF$117=1,WD12&gt;0),2000,0)-IF(AND($U12=1,'calcA'!BG$117=1,FF12=0),2000,0))),1000000000))</f>
        <v/>
      </c>
      <c r="QJ12">
        <f>IF($B12=0,1000000000,IF(INDEX('calcA'!$D$60:$EQ$99,$B12,57)*IF($W12=1,FF12+ABU12,FF12)=1,IF(AND($E12=2,IF($W12=1,AHJ12,KU12)=0),1000000000,IF($V12=1,INDEX('calcA'!$D$130:$EQ$169,$B12,57)+IF(AND($E12=1,KU12=0),25,0),IF($F12&gt;0,INDEX('calcA'!BH$110:BH$114,$F12+1)+IF(AND($E12=1,KU12=0),1000,0),MIN(TW12,20)*400+(IF('calcA'!BG$106=1,1-FE12,0)+IF('calcA'!BH$106=1,1-FG12,0))*150+93+'calcA'!BH$5*100000+IF(AND($E12=1,KU12=0),50000,0))+IF($H12=1,INDEX('calcA'!$D$180:$EQ$219,$B12,57)*4000,0)-IF(AND('calcA'!BG$117=1,WE12&gt;0),2000,0)-IF(AND($U12=1,'calcA'!BH$117=1,FG12=0),2000,0))),1000000000))</f>
        <v/>
      </c>
      <c r="QK12">
        <f>IF($B12=0,1000000000,IF(INDEX('calcA'!$D$60:$EQ$99,$B12,58)*IF($W12=1,FG12+ABV12,FG12)=1,IF(AND($E12=2,IF($W12=1,AHK12,KV12)=0),1000000000,IF($V12=1,INDEX('calcA'!$D$130:$EQ$169,$B12,58)+IF(AND($E12=1,KV12=0),25,0),IF($F12&gt;0,INDEX('calcA'!BI$110:BI$114,$F12+1)+IF(AND($E12=1,KV12=0),1000,0),MIN(TW12,20)*400+(IF('calcA'!BH$106=1,1-FF12,0)+IF('calcA'!BI$106=1,1-FH12,0))*150+103+'calcA'!BI$5*100000+IF(AND($E12=1,KV12=0),50000,0))+IF($H12=1,INDEX('calcA'!$D$180:$EQ$219,$B12,58)*4000,0)-IF(AND('calcA'!BH$117=1,WF12&gt;0),2000,0)-IF(AND($U12=1,'calcA'!BI$117=1,FH12=0),2000,0))),1000000000))</f>
        <v/>
      </c>
      <c r="QL12">
        <f>IF($B12=0,1000000000,IF(INDEX('calcA'!$D$60:$EQ$99,$B12,59)*IF($W12=1,FH12+ABW12,FH12)=1,IF(AND($E12=2,IF($W12=1,AHL12,KW12)=0),1000000000,IF($V12=1,INDEX('calcA'!$D$130:$EQ$169,$B12,59)+IF(AND($E12=1,KW12=0),25,0),IF($F12&gt;0,INDEX('calcA'!BJ$110:BJ$114,$F12+1)+IF(AND($E12=1,KW12=0),1000,0),MIN(TW12,20)*400+(IF('calcA'!BI$106=1,1-FG12,0)+IF('calcA'!BJ$106=1,1-FI12,0))*150+113+'calcA'!BJ$5*100000+IF(AND($E12=1,KW12=0),50000,0))+IF($H12=1,INDEX('calcA'!$D$180:$EQ$219,$B12,59)*4000,0)-IF(AND('calcA'!BI$117=1,WG12&gt;0),2000,0)-IF(AND($U12=1,'calcA'!BJ$117=1,FI12=0),2000,0))),1000000000))</f>
        <v/>
      </c>
      <c r="QM12">
        <f>IF($B12=0,1000000000,IF(INDEX('calcA'!$D$60:$EQ$99,$B12,60)*IF($W12=1,FI12+ABX12,FI12)=1,IF(AND($E12=2,IF($W12=1,AHM12,KX12)=0),1000000000,IF($V12=1,INDEX('calcA'!$D$130:$EQ$169,$B12,60)+IF(AND($E12=1,KX12=0),25,0),IF($F12&gt;0,INDEX('calcA'!BK$110:BK$114,$F12+1)+IF(AND($E12=1,KX12=0),1000,0),MIN(TW12,20)*400+(IF('calcA'!BJ$106=1,1-FH12,0)+IF('calcA'!BK$106=1,1-FJ12,0))*150+123+'calcA'!BK$5*100000+IF(AND($E12=1,KX12=0),50000,0))+IF($H12=1,INDEX('calcA'!$D$180:$EQ$219,$B12,60)*4000,0)-IF(AND('calcA'!BJ$117=1,WH12&gt;0),2000,0)-IF(AND($U12=1,'calcA'!BK$117=1,FJ12=0),2000,0))),1000000000))</f>
        <v/>
      </c>
      <c r="QN12">
        <f>IF($B12=0,1000000000,IF(INDEX('calcA'!$D$60:$EQ$99,$B12,61)*IF($W12=1,FJ12+ABY12,FJ12)=1,IF(AND($E12=2,IF($W12=1,AHN12,KY12)=0),1000000000,IF($V12=1,INDEX('calcA'!$D$130:$EQ$169,$B12,61)+IF(AND($E12=1,KY12=0),25,0),IF($F12&gt;0,INDEX('calcA'!BL$110:BL$114,$F12+1)+IF(AND($E12=1,KY12=0),1000,0),MIN(TW12,20)*400+(IF('calcA'!BK$106=1,1-FI12,0)+IF('calcA'!BL$106=1,1-FK12,0))*150+133+'calcA'!BL$5*100000+IF(AND($E12=1,KY12=0),50000,0))+IF($H12=1,INDEX('calcA'!$D$180:$EQ$219,$B12,61)*4000,0)-IF(AND('calcA'!BK$117=1,WI12&gt;0),2000,0)-IF(AND($U12=1,'calcA'!BL$117=1,FK12=0),2000,0))),1000000000))</f>
        <v/>
      </c>
      <c r="QO12">
        <f>IF($B12=0,1000000000,IF(INDEX('calcA'!$D$60:$EQ$99,$B12,62)*IF($W12=1,FK12+ABZ12,FK12)=1,IF(AND($E12=2,IF($W12=1,AHO12,KZ12)=0),1000000000,IF($V12=1,INDEX('calcA'!$D$130:$EQ$169,$B12,62)+IF(AND($E12=1,KZ12=0),25,0),IF($F12&gt;0,INDEX('calcA'!BM$110:BM$114,$F12+1)+IF(AND($E12=1,KZ12=0),1000,0),MIN(TW12,20)*400+(IF('calcA'!BL$106=1,1-FJ12,0)+IF('calcA'!BM$106=1,1-FL12,0))*150+143+'calcA'!BM$5*100000+IF(AND($E12=1,KZ12=0),50000,0))+IF($H12=1,INDEX('calcA'!$D$180:$EQ$219,$B12,62)*4000,0)-IF(AND('calcA'!BL$117=1,WJ12&gt;0),2000,0)-IF(AND($U12=1,'calcA'!BM$117=1,FL12=0),2000,0))),1000000000))</f>
        <v/>
      </c>
      <c r="QP12">
        <f>IF($B12=0,1000000000,IF(INDEX('calcA'!$D$60:$EQ$99,$B12,63)*IF($W12=1,FL12+ACA12,FL12)=1,IF(AND($E12=2,IF($W12=1,AHP12,LA12)=0),1000000000,IF($V12=1,INDEX('calcA'!$D$130:$EQ$169,$B12,63)+IF(AND($E12=1,LA12=0),25,0),IF($F12&gt;0,INDEX('calcA'!BN$110:BN$114,$F12+1)+IF(AND($E12=1,LA12=0),1000,0),MIN(TW12,20)*400+(IF('calcA'!BM$106=1,1-FK12,0)+IF('calcA'!BN$106=1,1-FM12,0))*150+153+'calcA'!BN$5*100000+IF(AND($E12=1,LA12=0),50000,0))+IF($H12=1,INDEX('calcA'!$D$180:$EQ$219,$B12,63)*4000,0)-IF(AND('calcA'!BM$117=1,WK12&gt;0),2000,0)-IF(AND($U12=1,'calcA'!BN$117=1,FM12=0),2000,0))),1000000000))</f>
        <v/>
      </c>
      <c r="QQ12">
        <f>IF($B12=0,1000000000,IF(INDEX('calcA'!$D$60:$EQ$99,$B12,64)*IF($W12=1,FM12+ACB12,FM12)=1,IF(AND($E12=2,IF($W12=1,AHQ12,LB12)=0),1000000000,IF($V12=1,INDEX('calcA'!$D$130:$EQ$169,$B12,64)+IF(AND($E12=1,LB12=0),25,0),IF($F12&gt;0,INDEX('calcA'!BO$110:BO$114,$F12+1)+IF(AND($E12=1,LB12=0),1000,0),MIN(TW12,20)*400+(IF('calcA'!BN$106=1,1-FL12,0)+IF('calcA'!BO$106=1,1-FN12,0))*150+163+'calcA'!BO$5*100000+IF(AND($E12=1,LB12=0),50000,0))+IF($H12=1,INDEX('calcA'!$D$180:$EQ$219,$B12,64)*4000,0)-IF(AND('calcA'!BN$117=1,WL12&gt;0),2000,0)-IF(AND($U12=1,'calcA'!BO$117=1,FN12=0),2000,0))),1000000000))</f>
        <v/>
      </c>
      <c r="QR12">
        <f>IF($B12=0,1000000000,IF(INDEX('calcA'!$D$60:$EQ$99,$B12,65)*IF($W12=1,FN12+ACC12,FN12)=1,IF(AND($E12=2,IF($W12=1,AHR12,LC12)=0),1000000000,IF($V12=1,INDEX('calcA'!$D$130:$EQ$169,$B12,65)+IF(AND($E12=1,LC12=0),25,0),IF($F12&gt;0,INDEX('calcA'!BP$110:BP$114,$F12+1)+IF(AND($E12=1,LC12=0),1000,0),MIN(TW12,20)*400+(IF('calcA'!BO$106=1,1-FM12,0)+IF('calcA'!BP$106=1,1-FO12,0))*150+173+'calcA'!BP$5*100000+IF(AND($E12=1,LC12=0),50000,0))+IF($H12=1,INDEX('calcA'!$D$180:$EQ$219,$B12,65)*4000,0)-IF(AND('calcA'!BO$117=1,WM12&gt;0),2000,0)-IF(AND($U12=1,'calcA'!BP$117=1,FO12=0),2000,0))),1000000000))</f>
        <v/>
      </c>
      <c r="QS12">
        <f>IF($B12=0,1000000000,IF(INDEX('calcA'!$D$60:$EQ$99,$B12,66)*IF($W12=1,FO12+ACD12,FO12)=1,IF(AND($E12=2,IF($W12=1,AHS12,LD12)=0),1000000000,IF($V12=1,INDEX('calcA'!$D$130:$EQ$169,$B12,66)+IF(AND($E12=1,LD12=0),25,0),IF($F12&gt;0,INDEX('calcA'!BQ$110:BQ$114,$F12+1)+IF(AND($E12=1,LD12=0),1000,0),MIN(TW12,20)*400+(IF('calcA'!BP$106=1,1-FN12,0)+IF('calcA'!BQ$106=1,1-FP12,0))*150+183+'calcA'!BQ$5*100000+IF(AND($E12=1,LD12=0),50000,0))+IF($H12=1,INDEX('calcA'!$D$180:$EQ$219,$B12,66)*4000,0)-IF(AND('calcA'!BP$117=1,WN12&gt;0),2000,0)-IF(AND($U12=1,'calcA'!BQ$117=1,FP12=0),2000,0))),1000000000))</f>
        <v/>
      </c>
      <c r="QT12">
        <f>IF($B12=0,1000000000,IF(INDEX('calcA'!$D$60:$EQ$99,$B12,67)*IF($W12=1,FP12+ACE12,FP12)=1,IF(AND($E12=2,IF($W12=1,AHT12,LE12)=0),1000000000,IF($V12=1,INDEX('calcA'!$D$130:$EQ$169,$B12,67)+IF(AND($E12=1,LE12=0),25,0),IF($F12&gt;0,INDEX('calcA'!BR$110:BR$114,$F12+1)+IF(AND($E12=1,LE12=0),1000,0),MIN(TW12,20)*400+(IF('calcA'!BQ$106=1,1-FO12,0)+IF('calcA'!BR$106=1,1-FQ12,0))*150+193+'calcA'!BR$5*100000+IF(AND($E12=1,LE12=0),50000,0))+IF($H12=1,INDEX('calcA'!$D$180:$EQ$219,$B12,67)*4000,0)-IF(AND('calcA'!BQ$117=1,WO12&gt;0),2000,0)-IF(AND($U12=1,'calcA'!BR$117=1,FQ12=0),2000,0))),1000000000))</f>
        <v/>
      </c>
      <c r="QU12">
        <f>IF($B12=0,1000000000,IF(INDEX('calcA'!$D$60:$EQ$99,$B12,68)*IF($W12=1,FQ12+ACF12,FQ12)=1,IF(AND($E12=2,IF($W12=1,AHU12,LF12)=0),1000000000,IF($V12=1,INDEX('calcA'!$D$130:$EQ$169,$B12,68)+IF(AND($E12=1,LF12=0),25,0),IF($F12&gt;0,INDEX('calcA'!BS$110:BS$114,$F12+1)+IF(AND($E12=1,LF12=0),1000,0),MIN(TW12,20)*400+(IF('calcA'!BR$106=1,1-FP12,0)+IF('calcA'!BS$106=1,1-FR12,0))*150+203+'calcA'!BS$5*100000+IF(AND($E12=1,LF12=0),50000,0))+IF($H12=1,INDEX('calcA'!$D$180:$EQ$219,$B12,68)*4000,0)-IF(AND('calcA'!BR$117=1,WP12&gt;0),2000,0)-IF(AND($U12=1,'calcA'!BS$117=1,FR12=0),2000,0))),1000000000))</f>
        <v/>
      </c>
      <c r="QV12">
        <f>IF($B12=0,1000000000,IF(INDEX('calcA'!$D$60:$EQ$99,$B12,69)*IF($W12=1,FR12+ACG12,FR12)=1,IF(AND($E12=2,IF($W12=1,AHV12,LG12)=0),1000000000,IF($V12=1,INDEX('calcA'!$D$130:$EQ$169,$B12,69)+IF(AND($E12=1,LG12=0),25,0),IF($F12&gt;0,INDEX('calcA'!BT$110:BT$114,$F12+1)+IF(AND($E12=1,LG12=0),1000,0),MIN(TW12,20)*400+(IF('calcA'!BS$106=1,1-FQ12,0)+IF('calcA'!BT$106=1,1-FS12,0))*150+213+'calcA'!BT$5*100000+IF(AND($E12=1,LG12=0),50000,0))+IF($H12=1,INDEX('calcA'!$D$180:$EQ$219,$B12,69)*4000,0)-IF(AND('calcA'!BS$117=1,WQ12&gt;0),2000,0)-IF(AND($U12=1,'calcA'!BT$117=1,FS12=0),2000,0))),1000000000))</f>
        <v/>
      </c>
      <c r="QW12">
        <f>IF($B12=0,1000000000,IF(INDEX('calcA'!$D$60:$EQ$99,$B12,70)*IF($W12=1,FS12+ACH12,FS12)=1,IF(AND($E12=2,IF($W12=1,AHW12,LH12)=0),1000000000,IF($V12=1,INDEX('calcA'!$D$130:$EQ$169,$B12,70)+IF(AND($E12=1,LH12=0),25,0),IF($F12&gt;0,INDEX('calcA'!BU$110:BU$114,$F12+1)+IF(AND($E12=1,LH12=0),1000,0),MIN(TW12,20)*400+(IF('calcA'!BT$106=1,1-FR12,0)+IF('calcA'!BU$106=1,1-FT12,0))*150+223+'calcA'!BU$5*100000+IF(AND($E12=1,LH12=0),50000,0))+IF($H12=1,INDEX('calcA'!$D$180:$EQ$219,$B12,70)*4000,0)-IF(AND('calcA'!BT$117=1,WR12&gt;0),2000,0)-IF(AND($U12=1,'calcA'!BU$117=1,FT12=0),2000,0))),1000000000))</f>
        <v/>
      </c>
      <c r="QX12">
        <f>IF($B12=0,1000000000,IF(INDEX('calcA'!$D$60:$EQ$99,$B12,71)*IF($W12=1,FT12+ACI12,FT12)=1,IF(AND($E12=2,IF($W12=1,AHX12,LI12)=0),1000000000,IF($V12=1,INDEX('calcA'!$D$130:$EQ$169,$B12,71)+IF(AND($E12=1,LI12=0),25,0),IF($F12&gt;0,INDEX('calcA'!BV$110:BV$114,$F12+1)+IF(AND($E12=1,LI12=0),1000,0),MIN(TW12,20)*400+(IF('calcA'!BU$106=1,1-FS12,0)+IF('calcA'!BV$106=1,1-FU12,0))*150+233+'calcA'!BV$5*100000+IF(AND($E12=1,LI12=0),50000,0))+IF($H12=1,INDEX('calcA'!$D$180:$EQ$219,$B12,71)*4000,0)-IF(AND('calcA'!BU$117=1,WS12&gt;0),2000,0)-IF(AND($U12=1,'calcA'!BV$117=1,FU12=0),2000,0))),1000000000))</f>
        <v/>
      </c>
      <c r="QY12">
        <f>IF($B12=0,1000000000,IF(INDEX('calcA'!$D$60:$EQ$99,$B12,72)*IF($W12=1,FU12+ACJ12,FU12)=1,IF(AND($E12=2,IF($W12=1,AHY12,LJ12)=0),1000000000,IF($V12=1,INDEX('calcA'!$D$130:$EQ$169,$B12,72)+IF(AND($E12=1,LJ12=0),25,0),IF($F12&gt;0,INDEX('calcA'!BW$110:BW$114,$F12+1)+IF(AND($E12=1,LJ12=0),1000,0),MIN(TW12,20)*400+(IF('calcA'!BV$106=1,1-FT12,0))*150+243+'calcA'!BW$5*100000+IF(AND($E12=1,LJ12=0),50000,0))+IF($H12=1,INDEX('calcA'!$D$180:$EQ$219,$B12,72)*4000,0)-IF(AND('calcA'!BV$117=1,WT12&gt;0),2000,0))),1000000000))</f>
        <v/>
      </c>
      <c r="QZ12">
        <f>IF($B12=0,1000000000,IF(INDEX('calcA'!$D$60:$EQ$99,$B12,73)*IF($W12=1,FV12+ACK12,FV12)=1,IF(AND($E12=2,IF($W12=1,AHZ12,LK12)=0),1000000000,IF($V12=1,INDEX('calcA'!$D$130:$EQ$169,$B12,73)+IF(AND($E12=1,LK12=0),25,0),IF($F12&gt;0,INDEX('calcA'!BX$110:BX$114,$F12+1)+IF(AND($E12=1,LK12=0),1000,0),MIN(TX12,20)*400+(IF('calcA'!BX$106=1,1-FW12,0))*150+14+'calcA'!BX$5*100000+IF(AND($E12=1,LK12=0),50000,0))+IF($H12=1,INDEX('calcA'!$D$180:$EQ$219,$B12,73)*4000,0)-IF(AND($U12=1,'calcA'!BX$117=1,FW12=0),2000,0))),1000000000))</f>
        <v/>
      </c>
      <c r="RA12">
        <f>IF($B12=0,1000000000,IF(INDEX('calcA'!$D$60:$EQ$99,$B12,74)*IF($W12=1,FW12+ACL12,FW12)=1,IF(AND($E12=2,IF($W12=1,AIA12,LL12)=0),1000000000,IF($V12=1,INDEX('calcA'!$D$130:$EQ$169,$B12,74)+IF(AND($E12=1,LL12=0),25,0),IF($F12&gt;0,INDEX('calcA'!BY$110:BY$114,$F12+1)+IF(AND($E12=1,LL12=0),1000,0),MIN(TX12,20)*400+(IF('calcA'!BX$106=1,1-FV12,0)+IF('calcA'!BY$106=1,1-FX12,0))*150+24+'calcA'!BY$5*100000+IF(AND($E12=1,LL12=0),50000,0))+IF($H12=1,INDEX('calcA'!$D$180:$EQ$219,$B12,74)*4000,0)-IF(AND('calcA'!BX$117=1,WV12&gt;0),2000,0)-IF(AND($U12=1,'calcA'!BY$117=1,FX12=0),2000,0))),1000000000))</f>
        <v/>
      </c>
      <c r="RB12">
        <f>IF($B12=0,1000000000,IF(INDEX('calcA'!$D$60:$EQ$99,$B12,75)*IF($W12=1,FX12+ACM12,FX12)=1,IF(AND($E12=2,IF($W12=1,AIB12,LM12)=0),1000000000,IF($V12=1,INDEX('calcA'!$D$130:$EQ$169,$B12,75)+IF(AND($E12=1,LM12=0),25,0),IF($F12&gt;0,INDEX('calcA'!BZ$110:BZ$114,$F12+1)+IF(AND($E12=1,LM12=0),1000,0),MIN(TX12,20)*400+(IF('calcA'!BY$106=1,1-FW12,0)+IF('calcA'!BZ$106=1,1-FY12,0))*150+34+'calcA'!BZ$5*100000+IF(AND($E12=1,LM12=0),50000,0))+IF($H12=1,INDEX('calcA'!$D$180:$EQ$219,$B12,75)*4000,0)-IF(AND('calcA'!BY$117=1,WW12&gt;0),2000,0)-IF(AND($U12=1,'calcA'!BZ$117=1,FY12=0),2000,0))),1000000000))</f>
        <v/>
      </c>
      <c r="RC12">
        <f>IF($B12=0,1000000000,IF(INDEX('calcA'!$D$60:$EQ$99,$B12,76)*IF($W12=1,FY12+ACN12,FY12)=1,IF(AND($E12=2,IF($W12=1,AIC12,LN12)=0),1000000000,IF($V12=1,INDEX('calcA'!$D$130:$EQ$169,$B12,76)+IF(AND($E12=1,LN12=0),25,0),IF($F12&gt;0,INDEX('calcA'!CA$110:CA$114,$F12+1)+IF(AND($E12=1,LN12=0),1000,0),MIN(TX12,20)*400+(IF('calcA'!BZ$106=1,1-FX12,0)+IF('calcA'!CA$106=1,1-FZ12,0))*150+44+'calcA'!CA$5*100000+IF(AND($E12=1,LN12=0),50000,0))+IF($H12=1,INDEX('calcA'!$D$180:$EQ$219,$B12,76)*4000,0)-IF(AND('calcA'!BZ$117=1,WX12&gt;0),2000,0)-IF(AND($U12=1,'calcA'!CA$117=1,FZ12=0),2000,0))),1000000000))</f>
        <v/>
      </c>
      <c r="RD12">
        <f>IF($B12=0,1000000000,IF(INDEX('calcA'!$D$60:$EQ$99,$B12,77)*IF($W12=1,FZ12+ACO12,FZ12)=1,IF(AND($E12=2,IF($W12=1,AID12,LO12)=0),1000000000,IF($V12=1,INDEX('calcA'!$D$130:$EQ$169,$B12,77)+IF(AND($E12=1,LO12=0),25,0),IF($F12&gt;0,INDEX('calcA'!CB$110:CB$114,$F12+1)+IF(AND($E12=1,LO12=0),1000,0),MIN(TX12,20)*400+(IF('calcA'!CA$106=1,1-FY12,0)+IF('calcA'!CB$106=1,1-GA12,0))*150+54+'calcA'!CB$5*100000+IF(AND($E12=1,LO12=0),50000,0))+IF($H12=1,INDEX('calcA'!$D$180:$EQ$219,$B12,77)*4000,0)-IF(AND('calcA'!CA$117=1,WY12&gt;0),2000,0)-IF(AND($U12=1,'calcA'!CB$117=1,GA12=0),2000,0))),1000000000))</f>
        <v/>
      </c>
      <c r="RE12">
        <f>IF($B12=0,1000000000,IF(INDEX('calcA'!$D$60:$EQ$99,$B12,78)*IF($W12=1,GA12+ACP12,GA12)=1,IF(AND($E12=2,IF($W12=1,AIE12,LP12)=0),1000000000,IF($V12=1,INDEX('calcA'!$D$130:$EQ$169,$B12,78)+IF(AND($E12=1,LP12=0),25,0),IF($F12&gt;0,INDEX('calcA'!CC$110:CC$114,$F12+1)+IF(AND($E12=1,LP12=0),1000,0),MIN(TX12,20)*400+(IF('calcA'!CB$106=1,1-FZ12,0)+IF('calcA'!CC$106=1,1-GB12,0))*150+64+'calcA'!CC$5*100000+IF(AND($E12=1,LP12=0),50000,0))+IF($H12=1,INDEX('calcA'!$D$180:$EQ$219,$B12,78)*4000,0)-IF(AND('calcA'!CB$117=1,WZ12&gt;0),2000,0)-IF(AND($U12=1,'calcA'!CC$117=1,GB12=0),2000,0))),1000000000))</f>
        <v/>
      </c>
      <c r="RF12">
        <f>IF($B12=0,1000000000,IF(INDEX('calcA'!$D$60:$EQ$99,$B12,79)*IF($W12=1,GB12+ACQ12,GB12)=1,IF(AND($E12=2,IF($W12=1,AIF12,LQ12)=0),1000000000,IF($V12=1,INDEX('calcA'!$D$130:$EQ$169,$B12,79)+IF(AND($E12=1,LQ12=0),25,0),IF($F12&gt;0,INDEX('calcA'!CD$110:CD$114,$F12+1)+IF(AND($E12=1,LQ12=0),1000,0),MIN(TX12,20)*400+(IF('calcA'!CC$106=1,1-GA12,0)+IF('calcA'!CD$106=1,1-GC12,0))*150+74+'calcA'!CD$5*100000+IF(AND($E12=1,LQ12=0),50000,0))+IF($H12=1,INDEX('calcA'!$D$180:$EQ$219,$B12,79)*4000,0)-IF(AND('calcA'!CC$117=1,XA12&gt;0),2000,0)-IF(AND($U12=1,'calcA'!CD$117=1,GC12=0),2000,0))),1000000000))</f>
        <v/>
      </c>
      <c r="RG12">
        <f>IF($B12=0,1000000000,IF(INDEX('calcA'!$D$60:$EQ$99,$B12,80)*IF($W12=1,GC12+ACR12,GC12)=1,IF(AND($E12=2,IF($W12=1,AIG12,LR12)=0),1000000000,IF($V12=1,INDEX('calcA'!$D$130:$EQ$169,$B12,80)+IF(AND($E12=1,LR12=0),25,0),IF($F12&gt;0,INDEX('calcA'!CE$110:CE$114,$F12+1)+IF(AND($E12=1,LR12=0),1000,0),MIN(TX12,20)*400+(IF('calcA'!CD$106=1,1-GB12,0)+IF('calcA'!CE$106=1,1-GD12,0))*150+84+'calcA'!CE$5*100000+IF(AND($E12=1,LR12=0),50000,0))+IF($H12=1,INDEX('calcA'!$D$180:$EQ$219,$B12,80)*4000,0)-IF(AND('calcA'!CD$117=1,XB12&gt;0),2000,0)-IF(AND($U12=1,'calcA'!CE$117=1,GD12=0),2000,0))),1000000000))</f>
        <v/>
      </c>
      <c r="RH12">
        <f>IF($B12=0,1000000000,IF(INDEX('calcA'!$D$60:$EQ$99,$B12,81)*IF($W12=1,GD12+ACS12,GD12)=1,IF(AND($E12=2,IF($W12=1,AIH12,LS12)=0),1000000000,IF($V12=1,INDEX('calcA'!$D$130:$EQ$169,$B12,81)+IF(AND($E12=1,LS12=0),25,0),IF($F12&gt;0,INDEX('calcA'!CF$110:CF$114,$F12+1)+IF(AND($E12=1,LS12=0),1000,0),MIN(TX12,20)*400+(IF('calcA'!CE$106=1,1-GC12,0)+IF('calcA'!CF$106=1,1-GE12,0))*150+94+'calcA'!CF$5*100000+IF(AND($E12=1,LS12=0),50000,0))+IF($H12=1,INDEX('calcA'!$D$180:$EQ$219,$B12,81)*4000,0)-IF(AND('calcA'!CE$117=1,XC12&gt;0),2000,0)-IF(AND($U12=1,'calcA'!CF$117=1,GE12=0),2000,0))),1000000000))</f>
        <v/>
      </c>
      <c r="RI12">
        <f>IF($B12=0,1000000000,IF(INDEX('calcA'!$D$60:$EQ$99,$B12,82)*IF($W12=1,GE12+ACT12,GE12)=1,IF(AND($E12=2,IF($W12=1,AII12,LT12)=0),1000000000,IF($V12=1,INDEX('calcA'!$D$130:$EQ$169,$B12,82)+IF(AND($E12=1,LT12=0),25,0),IF($F12&gt;0,INDEX('calcA'!CG$110:CG$114,$F12+1)+IF(AND($E12=1,LT12=0),1000,0),MIN(TX12,20)*400+(IF('calcA'!CF$106=1,1-GD12,0)+IF('calcA'!CG$106=1,1-GF12,0))*150+104+'calcA'!CG$5*100000+IF(AND($E12=1,LT12=0),50000,0))+IF($H12=1,INDEX('calcA'!$D$180:$EQ$219,$B12,82)*4000,0)-IF(AND('calcA'!CF$117=1,XD12&gt;0),2000,0)-IF(AND($U12=1,'calcA'!CG$117=1,GF12=0),2000,0))),1000000000))</f>
        <v/>
      </c>
      <c r="RJ12">
        <f>IF($B12=0,1000000000,IF(INDEX('calcA'!$D$60:$EQ$99,$B12,83)*IF($W12=1,GF12+ACU12,GF12)=1,IF(AND($E12=2,IF($W12=1,AIJ12,LU12)=0),1000000000,IF($V12=1,INDEX('calcA'!$D$130:$EQ$169,$B12,83)+IF(AND($E12=1,LU12=0),25,0),IF($F12&gt;0,INDEX('calcA'!CH$110:CH$114,$F12+1)+IF(AND($E12=1,LU12=0),1000,0),MIN(TX12,20)*400+(IF('calcA'!CG$106=1,1-GE12,0)+IF('calcA'!CH$106=1,1-GG12,0))*150+114+'calcA'!CH$5*100000+IF(AND($E12=1,LU12=0),50000,0))+IF($H12=1,INDEX('calcA'!$D$180:$EQ$219,$B12,83)*4000,0)-IF(AND('calcA'!CG$117=1,XE12&gt;0),2000,0)-IF(AND($U12=1,'calcA'!CH$117=1,GG12=0),2000,0))),1000000000))</f>
        <v/>
      </c>
      <c r="RK12">
        <f>IF($B12=0,1000000000,IF(INDEX('calcA'!$D$60:$EQ$99,$B12,84)*IF($W12=1,GG12+ACV12,GG12)=1,IF(AND($E12=2,IF($W12=1,AIK12,LV12)=0),1000000000,IF($V12=1,INDEX('calcA'!$D$130:$EQ$169,$B12,84)+IF(AND($E12=1,LV12=0),25,0),IF($F12&gt;0,INDEX('calcA'!CI$110:CI$114,$F12+1)+IF(AND($E12=1,LV12=0),1000,0),MIN(TX12,20)*400+(IF('calcA'!CH$106=1,1-GF12,0)+IF('calcA'!CI$106=1,1-GH12,0))*150+124+'calcA'!CI$5*100000+IF(AND($E12=1,LV12=0),50000,0))+IF($H12=1,INDEX('calcA'!$D$180:$EQ$219,$B12,84)*4000,0)-IF(AND('calcA'!CH$117=1,XF12&gt;0),2000,0)-IF(AND($U12=1,'calcA'!CI$117=1,GH12=0),2000,0))),1000000000))</f>
        <v/>
      </c>
      <c r="RL12">
        <f>IF($B12=0,1000000000,IF(INDEX('calcA'!$D$60:$EQ$99,$B12,85)*IF($W12=1,GH12+ACW12,GH12)=1,IF(AND($E12=2,IF($W12=1,AIL12,LW12)=0),1000000000,IF($V12=1,INDEX('calcA'!$D$130:$EQ$169,$B12,85)+IF(AND($E12=1,LW12=0),25,0),IF($F12&gt;0,INDEX('calcA'!CJ$110:CJ$114,$F12+1)+IF(AND($E12=1,LW12=0),1000,0),MIN(TX12,20)*400+(IF('calcA'!CI$106=1,1-GG12,0)+IF('calcA'!CJ$106=1,1-GI12,0))*150+134+'calcA'!CJ$5*100000+IF(AND($E12=1,LW12=0),50000,0))+IF($H12=1,INDEX('calcA'!$D$180:$EQ$219,$B12,85)*4000,0)-IF(AND('calcA'!CI$117=1,XG12&gt;0),2000,0)-IF(AND($U12=1,'calcA'!CJ$117=1,GI12=0),2000,0))),1000000000))</f>
        <v/>
      </c>
      <c r="RM12">
        <f>IF($B12=0,1000000000,IF(INDEX('calcA'!$D$60:$EQ$99,$B12,86)*IF($W12=1,GI12+ACX12,GI12)=1,IF(AND($E12=2,IF($W12=1,AIM12,LX12)=0),1000000000,IF($V12=1,INDEX('calcA'!$D$130:$EQ$169,$B12,86)+IF(AND($E12=1,LX12=0),25,0),IF($F12&gt;0,INDEX('calcA'!CK$110:CK$114,$F12+1)+IF(AND($E12=1,LX12=0),1000,0),MIN(TX12,20)*400+(IF('calcA'!CJ$106=1,1-GH12,0)+IF('calcA'!CK$106=1,1-GJ12,0))*150+144+'calcA'!CK$5*100000+IF(AND($E12=1,LX12=0),50000,0))+IF($H12=1,INDEX('calcA'!$D$180:$EQ$219,$B12,86)*4000,0)-IF(AND('calcA'!CJ$117=1,XH12&gt;0),2000,0)-IF(AND($U12=1,'calcA'!CK$117=1,GJ12=0),2000,0))),1000000000))</f>
        <v/>
      </c>
      <c r="RN12">
        <f>IF($B12=0,1000000000,IF(INDEX('calcA'!$D$60:$EQ$99,$B12,87)*IF($W12=1,GJ12+ACY12,GJ12)=1,IF(AND($E12=2,IF($W12=1,AIN12,LY12)=0),1000000000,IF($V12=1,INDEX('calcA'!$D$130:$EQ$169,$B12,87)+IF(AND($E12=1,LY12=0),25,0),IF($F12&gt;0,INDEX('calcA'!CL$110:CL$114,$F12+1)+IF(AND($E12=1,LY12=0),1000,0),MIN(TX12,20)*400+(IF('calcA'!CK$106=1,1-GI12,0)+IF('calcA'!CL$106=1,1-GK12,0))*150+154+'calcA'!CL$5*100000+IF(AND($E12=1,LY12=0),50000,0))+IF($H12=1,INDEX('calcA'!$D$180:$EQ$219,$B12,87)*4000,0)-IF(AND('calcA'!CK$117=1,XI12&gt;0),2000,0)-IF(AND($U12=1,'calcA'!CL$117=1,GK12=0),2000,0))),1000000000))</f>
        <v/>
      </c>
      <c r="RO12">
        <f>IF($B12=0,1000000000,IF(INDEX('calcA'!$D$60:$EQ$99,$B12,88)*IF($W12=1,GK12+ACZ12,GK12)=1,IF(AND($E12=2,IF($W12=1,AIO12,LZ12)=0),1000000000,IF($V12=1,INDEX('calcA'!$D$130:$EQ$169,$B12,88)+IF(AND($E12=1,LZ12=0),25,0),IF($F12&gt;0,INDEX('calcA'!CM$110:CM$114,$F12+1)+IF(AND($E12=1,LZ12=0),1000,0),MIN(TX12,20)*400+(IF('calcA'!CL$106=1,1-GJ12,0)+IF('calcA'!CM$106=1,1-GL12,0))*150+164+'calcA'!CM$5*100000+IF(AND($E12=1,LZ12=0),50000,0))+IF($H12=1,INDEX('calcA'!$D$180:$EQ$219,$B12,88)*4000,0)-IF(AND('calcA'!CL$117=1,XJ12&gt;0),2000,0)-IF(AND($U12=1,'calcA'!CM$117=1,GL12=0),2000,0))),1000000000))</f>
        <v/>
      </c>
      <c r="RP12">
        <f>IF($B12=0,1000000000,IF(INDEX('calcA'!$D$60:$EQ$99,$B12,89)*IF($W12=1,GL12+ADA12,GL12)=1,IF(AND($E12=2,IF($W12=1,AIP12,MA12)=0),1000000000,IF($V12=1,INDEX('calcA'!$D$130:$EQ$169,$B12,89)+IF(AND($E12=1,MA12=0),25,0),IF($F12&gt;0,INDEX('calcA'!CN$110:CN$114,$F12+1)+IF(AND($E12=1,MA12=0),1000,0),MIN(TX12,20)*400+(IF('calcA'!CM$106=1,1-GK12,0)+IF('calcA'!CN$106=1,1-GM12,0))*150+174+'calcA'!CN$5*100000+IF(AND($E12=1,MA12=0),50000,0))+IF($H12=1,INDEX('calcA'!$D$180:$EQ$219,$B12,89)*4000,0)-IF(AND('calcA'!CM$117=1,XK12&gt;0),2000,0)-IF(AND($U12=1,'calcA'!CN$117=1,GM12=0),2000,0))),1000000000))</f>
        <v/>
      </c>
      <c r="RQ12">
        <f>IF($B12=0,1000000000,IF(INDEX('calcA'!$D$60:$EQ$99,$B12,90)*IF($W12=1,GM12+ADB12,GM12)=1,IF(AND($E12=2,IF($W12=1,AIQ12,MB12)=0),1000000000,IF($V12=1,INDEX('calcA'!$D$130:$EQ$169,$B12,90)+IF(AND($E12=1,MB12=0),25,0),IF($F12&gt;0,INDEX('calcA'!CO$110:CO$114,$F12+1)+IF(AND($E12=1,MB12=0),1000,0),MIN(TX12,20)*400+(IF('calcA'!CN$106=1,1-GL12,0)+IF('calcA'!CO$106=1,1-GN12,0))*150+184+'calcA'!CO$5*100000+IF(AND($E12=1,MB12=0),50000,0))+IF($H12=1,INDEX('calcA'!$D$180:$EQ$219,$B12,90)*4000,0)-IF(AND('calcA'!CN$117=1,XL12&gt;0),2000,0)-IF(AND($U12=1,'calcA'!CO$117=1,GN12=0),2000,0))),1000000000))</f>
        <v/>
      </c>
      <c r="RR12">
        <f>IF($B12=0,1000000000,IF(INDEX('calcA'!$D$60:$EQ$99,$B12,91)*IF($W12=1,GN12+ADC12,GN12)=1,IF(AND($E12=2,IF($W12=1,AIR12,MC12)=0),1000000000,IF($V12=1,INDEX('calcA'!$D$130:$EQ$169,$B12,91)+IF(AND($E12=1,MC12=0),25,0),IF($F12&gt;0,INDEX('calcA'!CP$110:CP$114,$F12+1)+IF(AND($E12=1,MC12=0),1000,0),MIN(TX12,20)*400+(IF('calcA'!CO$106=1,1-GM12,0)+IF('calcA'!CP$106=1,1-GO12,0))*150+194+'calcA'!CP$5*100000+IF(AND($E12=1,MC12=0),50000,0))+IF($H12=1,INDEX('calcA'!$D$180:$EQ$219,$B12,91)*4000,0)-IF(AND('calcA'!CO$117=1,XM12&gt;0),2000,0)-IF(AND($U12=1,'calcA'!CP$117=1,GO12=0),2000,0))),1000000000))</f>
        <v/>
      </c>
      <c r="RS12">
        <f>IF($B12=0,1000000000,IF(INDEX('calcA'!$D$60:$EQ$99,$B12,92)*IF($W12=1,GO12+ADD12,GO12)=1,IF(AND($E12=2,IF($W12=1,AIS12,MD12)=0),1000000000,IF($V12=1,INDEX('calcA'!$D$130:$EQ$169,$B12,92)+IF(AND($E12=1,MD12=0),25,0),IF($F12&gt;0,INDEX('calcA'!CQ$110:CQ$114,$F12+1)+IF(AND($E12=1,MD12=0),1000,0),MIN(TX12,20)*400+(IF('calcA'!CP$106=1,1-GN12,0)+IF('calcA'!CQ$106=1,1-GP12,0))*150+204+'calcA'!CQ$5*100000+IF(AND($E12=1,MD12=0),50000,0))+IF($H12=1,INDEX('calcA'!$D$180:$EQ$219,$B12,92)*4000,0)-IF(AND('calcA'!CP$117=1,XN12&gt;0),2000,0)-IF(AND($U12=1,'calcA'!CQ$117=1,GP12=0),2000,0))),1000000000))</f>
        <v/>
      </c>
      <c r="RT12">
        <f>IF($B12=0,1000000000,IF(INDEX('calcA'!$D$60:$EQ$99,$B12,93)*IF($W12=1,GP12+ADE12,GP12)=1,IF(AND($E12=2,IF($W12=1,AIT12,ME12)=0),1000000000,IF($V12=1,INDEX('calcA'!$D$130:$EQ$169,$B12,93)+IF(AND($E12=1,ME12=0),25,0),IF($F12&gt;0,INDEX('calcA'!CR$110:CR$114,$F12+1)+IF(AND($E12=1,ME12=0),1000,0),MIN(TX12,20)*400+(IF('calcA'!CQ$106=1,1-GO12,0)+IF('calcA'!CR$106=1,1-GQ12,0))*150+214+'calcA'!CR$5*100000+IF(AND($E12=1,ME12=0),50000,0))+IF($H12=1,INDEX('calcA'!$D$180:$EQ$219,$B12,93)*4000,0)-IF(AND('calcA'!CQ$117=1,XO12&gt;0),2000,0)-IF(AND($U12=1,'calcA'!CR$117=1,GQ12=0),2000,0))),1000000000))</f>
        <v/>
      </c>
      <c r="RU12">
        <f>IF($B12=0,1000000000,IF(INDEX('calcA'!$D$60:$EQ$99,$B12,94)*IF($W12=1,GQ12+ADF12,GQ12)=1,IF(AND($E12=2,IF($W12=1,AIU12,MF12)=0),1000000000,IF($V12=1,INDEX('calcA'!$D$130:$EQ$169,$B12,94)+IF(AND($E12=1,MF12=0),25,0),IF($F12&gt;0,INDEX('calcA'!CS$110:CS$114,$F12+1)+IF(AND($E12=1,MF12=0),1000,0),MIN(TX12,20)*400+(IF('calcA'!CR$106=1,1-GP12,0)+IF('calcA'!CS$106=1,1-GR12,0))*150+224+'calcA'!CS$5*100000+IF(AND($E12=1,MF12=0),50000,0))+IF($H12=1,INDEX('calcA'!$D$180:$EQ$219,$B12,94)*4000,0)-IF(AND('calcA'!CR$117=1,XP12&gt;0),2000,0)-IF(AND($U12=1,'calcA'!CS$117=1,GR12=0),2000,0))),1000000000))</f>
        <v/>
      </c>
      <c r="RV12">
        <f>IF($B12=0,1000000000,IF(INDEX('calcA'!$D$60:$EQ$99,$B12,95)*IF($W12=1,GR12+ADG12,GR12)=1,IF(AND($E12=2,IF($W12=1,AIV12,MG12)=0),1000000000,IF($V12=1,INDEX('calcA'!$D$130:$EQ$169,$B12,95)+IF(AND($E12=1,MG12=0),25,0),IF($F12&gt;0,INDEX('calcA'!CT$110:CT$114,$F12+1)+IF(AND($E12=1,MG12=0),1000,0),MIN(TX12,20)*400+(IF('calcA'!CS$106=1,1-GQ12,0)+IF('calcA'!CT$106=1,1-GS12,0))*150+234+'calcA'!CT$5*100000+IF(AND($E12=1,MG12=0),50000,0))+IF($H12=1,INDEX('calcA'!$D$180:$EQ$219,$B12,95)*4000,0)-IF(AND('calcA'!CS$117=1,XQ12&gt;0),2000,0)-IF(AND($U12=1,'calcA'!CT$117=1,GS12=0),2000,0))),1000000000))</f>
        <v/>
      </c>
      <c r="RW12">
        <f>IF($B12=0,1000000000,IF(INDEX('calcA'!$D$60:$EQ$99,$B12,96)*IF($W12=1,GS12+ADH12,GS12)=1,IF(AND($E12=2,IF($W12=1,AIW12,MH12)=0),1000000000,IF($V12=1,INDEX('calcA'!$D$130:$EQ$169,$B12,96)+IF(AND($E12=1,MH12=0),25,0),IF($F12&gt;0,INDEX('calcA'!CU$110:CU$114,$F12+1)+IF(AND($E12=1,MH12=0),1000,0),MIN(TX12,20)*400+(IF('calcA'!CT$106=1,1-GR12,0))*150+244+'calcA'!CU$5*100000+IF(AND($E12=1,MH12=0),50000,0))+IF($H12=1,INDEX('calcA'!$D$180:$EQ$219,$B12,96)*4000,0)-IF(AND('calcA'!CT$117=1,XR12&gt;0),2000,0))),1000000000))</f>
        <v/>
      </c>
      <c r="RX12">
        <f>IF($B12=0,1000000000,IF(INDEX('calcA'!$D$60:$EQ$99,$B12,97)*IF($W12=1,GT12+ADI12,GT12)=1,IF(AND($E12=2,IF($W12=1,AIX12,MI12)=0),1000000000,IF($V12=1,INDEX('calcA'!$D$130:$EQ$169,$B12,97)+IF(AND($E12=1,MI12=0),25,0),IF($F12&gt;0,INDEX('calcA'!CV$110:CV$114,$F12+1)+IF(AND($E12=1,MI12=0),1000,0),MIN(TY12,20)*400+(IF('calcA'!CV$106=1,1-GU12,0))*150+15+'calcA'!CV$5*100000+IF(AND($E12=1,MI12=0),50000,0))+IF($H12=1,INDEX('calcA'!$D$180:$EQ$219,$B12,97)*4000,0)-IF(AND($U12=1,'calcA'!CV$117=1,GU12=0),2000,0))),1000000000))</f>
        <v/>
      </c>
      <c r="RY12">
        <f>IF($B12=0,1000000000,IF(INDEX('calcA'!$D$60:$EQ$99,$B12,98)*IF($W12=1,GU12+ADJ12,GU12)=1,IF(AND($E12=2,IF($W12=1,AIY12,MJ12)=0),1000000000,IF($V12=1,INDEX('calcA'!$D$130:$EQ$169,$B12,98)+IF(AND($E12=1,MJ12=0),25,0),IF($F12&gt;0,INDEX('calcA'!CW$110:CW$114,$F12+1)+IF(AND($E12=1,MJ12=0),1000,0),MIN(TY12,20)*400+(IF('calcA'!CV$106=1,1-GT12,0)+IF('calcA'!CW$106=1,1-GV12,0))*150+25+'calcA'!CW$5*100000+IF(AND($E12=1,MJ12=0),50000,0))+IF($H12=1,INDEX('calcA'!$D$180:$EQ$219,$B12,98)*4000,0)-IF(AND('calcA'!CV$117=1,XT12&gt;0),2000,0)-IF(AND($U12=1,'calcA'!CW$117=1,GV12=0),2000,0))),1000000000))</f>
        <v/>
      </c>
      <c r="RZ12">
        <f>IF($B12=0,1000000000,IF(INDEX('calcA'!$D$60:$EQ$99,$B12,99)*IF($W12=1,GV12+ADK12,GV12)=1,IF(AND($E12=2,IF($W12=1,AIZ12,MK12)=0),1000000000,IF($V12=1,INDEX('calcA'!$D$130:$EQ$169,$B12,99)+IF(AND($E12=1,MK12=0),25,0),IF($F12&gt;0,INDEX('calcA'!CX$110:CX$114,$F12+1)+IF(AND($E12=1,MK12=0),1000,0),MIN(TY12,20)*400+(IF('calcA'!CW$106=1,1-GU12,0)+IF('calcA'!CX$106=1,1-GW12,0))*150+35+'calcA'!CX$5*100000+IF(AND($E12=1,MK12=0),50000,0))+IF($H12=1,INDEX('calcA'!$D$180:$EQ$219,$B12,99)*4000,0)-IF(AND('calcA'!CW$117=1,XU12&gt;0),2000,0)-IF(AND($U12=1,'calcA'!CX$117=1,GW12=0),2000,0))),1000000000))</f>
        <v/>
      </c>
      <c r="SA12">
        <f>IF($B12=0,1000000000,IF(INDEX('calcA'!$D$60:$EQ$99,$B12,100)*IF($W12=1,GW12+ADL12,GW12)=1,IF(AND($E12=2,IF($W12=1,AJA12,ML12)=0),1000000000,IF($V12=1,INDEX('calcA'!$D$130:$EQ$169,$B12,100)+IF(AND($E12=1,ML12=0),25,0),IF($F12&gt;0,INDEX('calcA'!CY$110:CY$114,$F12+1)+IF(AND($E12=1,ML12=0),1000,0),MIN(TY12,20)*400+(IF('calcA'!CX$106=1,1-GV12,0)+IF('calcA'!CY$106=1,1-GX12,0))*150+45+'calcA'!CY$5*100000+IF(AND($E12=1,ML12=0),50000,0))+IF($H12=1,INDEX('calcA'!$D$180:$EQ$219,$B12,100)*4000,0)-IF(AND('calcA'!CX$117=1,XV12&gt;0),2000,0)-IF(AND($U12=1,'calcA'!CY$117=1,GX12=0),2000,0))),1000000000))</f>
        <v/>
      </c>
      <c r="SB12">
        <f>IF($B12=0,1000000000,IF(INDEX('calcA'!$D$60:$EQ$99,$B12,101)*IF($W12=1,GX12+ADM12,GX12)=1,IF(AND($E12=2,IF($W12=1,AJB12,MM12)=0),1000000000,IF($V12=1,INDEX('calcA'!$D$130:$EQ$169,$B12,101)+IF(AND($E12=1,MM12=0),25,0),IF($F12&gt;0,INDEX('calcA'!CZ$110:CZ$114,$F12+1)+IF(AND($E12=1,MM12=0),1000,0),MIN(TY12,20)*400+(IF('calcA'!CY$106=1,1-GW12,0)+IF('calcA'!CZ$106=1,1-GY12,0))*150+55+'calcA'!CZ$5*100000+IF(AND($E12=1,MM12=0),50000,0))+IF($H12=1,INDEX('calcA'!$D$180:$EQ$219,$B12,101)*4000,0)-IF(AND('calcA'!CY$117=1,XW12&gt;0),2000,0)-IF(AND($U12=1,'calcA'!CZ$117=1,GY12=0),2000,0))),1000000000))</f>
        <v/>
      </c>
      <c r="SC12">
        <f>IF($B12=0,1000000000,IF(INDEX('calcA'!$D$60:$EQ$99,$B12,102)*IF($W12=1,GY12+ADN12,GY12)=1,IF(AND($E12=2,IF($W12=1,AJC12,MN12)=0),1000000000,IF($V12=1,INDEX('calcA'!$D$130:$EQ$169,$B12,102)+IF(AND($E12=1,MN12=0),25,0),IF($F12&gt;0,INDEX('calcA'!DA$110:DA$114,$F12+1)+IF(AND($E12=1,MN12=0),1000,0),MIN(TY12,20)*400+(IF('calcA'!CZ$106=1,1-GX12,0)+IF('calcA'!DA$106=1,1-GZ12,0))*150+65+'calcA'!DA$5*100000+IF(AND($E12=1,MN12=0),50000,0))+IF($H12=1,INDEX('calcA'!$D$180:$EQ$219,$B12,102)*4000,0)-IF(AND('calcA'!CZ$117=1,XX12&gt;0),2000,0)-IF(AND($U12=1,'calcA'!DA$117=1,GZ12=0),2000,0))),1000000000))</f>
        <v/>
      </c>
      <c r="SD12">
        <f>IF($B12=0,1000000000,IF(INDEX('calcA'!$D$60:$EQ$99,$B12,103)*IF($W12=1,GZ12+ADO12,GZ12)=1,IF(AND($E12=2,IF($W12=1,AJD12,MO12)=0),1000000000,IF($V12=1,INDEX('calcA'!$D$130:$EQ$169,$B12,103)+IF(AND($E12=1,MO12=0),25,0),IF($F12&gt;0,INDEX('calcA'!DB$110:DB$114,$F12+1)+IF(AND($E12=1,MO12=0),1000,0),MIN(TY12,20)*400+(IF('calcA'!DA$106=1,1-GY12,0)+IF('calcA'!DB$106=1,1-HA12,0))*150+75+'calcA'!DB$5*100000+IF(AND($E12=1,MO12=0),50000,0))+IF($H12=1,INDEX('calcA'!$D$180:$EQ$219,$B12,103)*4000,0)-IF(AND('calcA'!DA$117=1,XY12&gt;0),2000,0)-IF(AND($U12=1,'calcA'!DB$117=1,HA12=0),2000,0))),1000000000))</f>
        <v/>
      </c>
      <c r="SE12">
        <f>IF($B12=0,1000000000,IF(INDEX('calcA'!$D$60:$EQ$99,$B12,104)*IF($W12=1,HA12+ADP12,HA12)=1,IF(AND($E12=2,IF($W12=1,AJE12,MP12)=0),1000000000,IF($V12=1,INDEX('calcA'!$D$130:$EQ$169,$B12,104)+IF(AND($E12=1,MP12=0),25,0),IF($F12&gt;0,INDEX('calcA'!DC$110:DC$114,$F12+1)+IF(AND($E12=1,MP12=0),1000,0),MIN(TY12,20)*400+(IF('calcA'!DB$106=1,1-GZ12,0)+IF('calcA'!DC$106=1,1-HB12,0))*150+85+'calcA'!DC$5*100000+IF(AND($E12=1,MP12=0),50000,0))+IF($H12=1,INDEX('calcA'!$D$180:$EQ$219,$B12,104)*4000,0)-IF(AND('calcA'!DB$117=1,XZ12&gt;0),2000,0)-IF(AND($U12=1,'calcA'!DC$117=1,HB12=0),2000,0))),1000000000))</f>
        <v/>
      </c>
      <c r="SF12">
        <f>IF($B12=0,1000000000,IF(INDEX('calcA'!$D$60:$EQ$99,$B12,105)*IF($W12=1,HB12+ADQ12,HB12)=1,IF(AND($E12=2,IF($W12=1,AJF12,MQ12)=0),1000000000,IF($V12=1,INDEX('calcA'!$D$130:$EQ$169,$B12,105)+IF(AND($E12=1,MQ12=0),25,0),IF($F12&gt;0,INDEX('calcA'!DD$110:DD$114,$F12+1)+IF(AND($E12=1,MQ12=0),1000,0),MIN(TY12,20)*400+(IF('calcA'!DC$106=1,1-HA12,0)+IF('calcA'!DD$106=1,1-HC12,0))*150+95+'calcA'!DD$5*100000+IF(AND($E12=1,MQ12=0),50000,0))+IF($H12=1,INDEX('calcA'!$D$180:$EQ$219,$B12,105)*4000,0)-IF(AND('calcA'!DC$117=1,YA12&gt;0),2000,0)-IF(AND($U12=1,'calcA'!DD$117=1,HC12=0),2000,0))),1000000000))</f>
        <v/>
      </c>
      <c r="SG12">
        <f>IF($B12=0,1000000000,IF(INDEX('calcA'!$D$60:$EQ$99,$B12,106)*IF($W12=1,HC12+ADR12,HC12)=1,IF(AND($E12=2,IF($W12=1,AJG12,MR12)=0),1000000000,IF($V12=1,INDEX('calcA'!$D$130:$EQ$169,$B12,106)+IF(AND($E12=1,MR12=0),25,0),IF($F12&gt;0,INDEX('calcA'!DE$110:DE$114,$F12+1)+IF(AND($E12=1,MR12=0),1000,0),MIN(TY12,20)*400+(IF('calcA'!DD$106=1,1-HB12,0)+IF('calcA'!DE$106=1,1-HD12,0))*150+105+'calcA'!DE$5*100000+IF(AND($E12=1,MR12=0),50000,0))+IF($H12=1,INDEX('calcA'!$D$180:$EQ$219,$B12,106)*4000,0)-IF(AND('calcA'!DD$117=1,YB12&gt;0),2000,0)-IF(AND($U12=1,'calcA'!DE$117=1,HD12=0),2000,0))),1000000000))</f>
        <v/>
      </c>
      <c r="SH12">
        <f>IF($B12=0,1000000000,IF(INDEX('calcA'!$D$60:$EQ$99,$B12,107)*IF($W12=1,HD12+ADS12,HD12)=1,IF(AND($E12=2,IF($W12=1,AJH12,MS12)=0),1000000000,IF($V12=1,INDEX('calcA'!$D$130:$EQ$169,$B12,107)+IF(AND($E12=1,MS12=0),25,0),IF($F12&gt;0,INDEX('calcA'!DF$110:DF$114,$F12+1)+IF(AND($E12=1,MS12=0),1000,0),MIN(TY12,20)*400+(IF('calcA'!DE$106=1,1-HC12,0)+IF('calcA'!DF$106=1,1-HE12,0))*150+115+'calcA'!DF$5*100000+IF(AND($E12=1,MS12=0),50000,0))+IF($H12=1,INDEX('calcA'!$D$180:$EQ$219,$B12,107)*4000,0)-IF(AND('calcA'!DE$117=1,YC12&gt;0),2000,0)-IF(AND($U12=1,'calcA'!DF$117=1,HE12=0),2000,0))),1000000000))</f>
        <v/>
      </c>
      <c r="SI12">
        <f>IF($B12=0,1000000000,IF(INDEX('calcA'!$D$60:$EQ$99,$B12,108)*IF($W12=1,HE12+ADT12,HE12)=1,IF(AND($E12=2,IF($W12=1,AJI12,MT12)=0),1000000000,IF($V12=1,INDEX('calcA'!$D$130:$EQ$169,$B12,108)+IF(AND($E12=1,MT12=0),25,0),IF($F12&gt;0,INDEX('calcA'!DG$110:DG$114,$F12+1)+IF(AND($E12=1,MT12=0),1000,0),MIN(TY12,20)*400+(IF('calcA'!DF$106=1,1-HD12,0)+IF('calcA'!DG$106=1,1-HF12,0))*150+125+'calcA'!DG$5*100000+IF(AND($E12=1,MT12=0),50000,0))+IF($H12=1,INDEX('calcA'!$D$180:$EQ$219,$B12,108)*4000,0)-IF(AND('calcA'!DF$117=1,YD12&gt;0),2000,0)-IF(AND($U12=1,'calcA'!DG$117=1,HF12=0),2000,0))),1000000000))</f>
        <v/>
      </c>
      <c r="SJ12">
        <f>IF($B12=0,1000000000,IF(INDEX('calcA'!$D$60:$EQ$99,$B12,109)*IF($W12=1,HF12+ADU12,HF12)=1,IF(AND($E12=2,IF($W12=1,AJJ12,MU12)=0),1000000000,IF($V12=1,INDEX('calcA'!$D$130:$EQ$169,$B12,109)+IF(AND($E12=1,MU12=0),25,0),IF($F12&gt;0,INDEX('calcA'!DH$110:DH$114,$F12+1)+IF(AND($E12=1,MU12=0),1000,0),MIN(TY12,20)*400+(IF('calcA'!DG$106=1,1-HE12,0)+IF('calcA'!DH$106=1,1-HG12,0))*150+135+'calcA'!DH$5*100000+IF(AND($E12=1,MU12=0),50000,0))+IF($H12=1,INDEX('calcA'!$D$180:$EQ$219,$B12,109)*4000,0)-IF(AND('calcA'!DG$117=1,YE12&gt;0),2000,0)-IF(AND($U12=1,'calcA'!DH$117=1,HG12=0),2000,0))),1000000000))</f>
        <v/>
      </c>
      <c r="SK12">
        <f>IF($B12=0,1000000000,IF(INDEX('calcA'!$D$60:$EQ$99,$B12,110)*IF($W12=1,HG12+ADV12,HG12)=1,IF(AND($E12=2,IF($W12=1,AJK12,MV12)=0),1000000000,IF($V12=1,INDEX('calcA'!$D$130:$EQ$169,$B12,110)+IF(AND($E12=1,MV12=0),25,0),IF($F12&gt;0,INDEX('calcA'!DI$110:DI$114,$F12+1)+IF(AND($E12=1,MV12=0),1000,0),MIN(TY12,20)*400+(IF('calcA'!DH$106=1,1-HF12,0)+IF('calcA'!DI$106=1,1-HH12,0))*150+145+'calcA'!DI$5*100000+IF(AND($E12=1,MV12=0),50000,0))+IF($H12=1,INDEX('calcA'!$D$180:$EQ$219,$B12,110)*4000,0)-IF(AND('calcA'!DH$117=1,YF12&gt;0),2000,0)-IF(AND($U12=1,'calcA'!DI$117=1,HH12=0),2000,0))),1000000000))</f>
        <v/>
      </c>
      <c r="SL12">
        <f>IF($B12=0,1000000000,IF(INDEX('calcA'!$D$60:$EQ$99,$B12,111)*IF($W12=1,HH12+ADW12,HH12)=1,IF(AND($E12=2,IF($W12=1,AJL12,MW12)=0),1000000000,IF($V12=1,INDEX('calcA'!$D$130:$EQ$169,$B12,111)+IF(AND($E12=1,MW12=0),25,0),IF($F12&gt;0,INDEX('calcA'!DJ$110:DJ$114,$F12+1)+IF(AND($E12=1,MW12=0),1000,0),MIN(TY12,20)*400+(IF('calcA'!DI$106=1,1-HG12,0)+IF('calcA'!DJ$106=1,1-HI12,0))*150+155+'calcA'!DJ$5*100000+IF(AND($E12=1,MW12=0),50000,0))+IF($H12=1,INDEX('calcA'!$D$180:$EQ$219,$B12,111)*4000,0)-IF(AND('calcA'!DI$117=1,YG12&gt;0),2000,0)-IF(AND($U12=1,'calcA'!DJ$117=1,HI12=0),2000,0))),1000000000))</f>
        <v/>
      </c>
      <c r="SM12">
        <f>IF($B12=0,1000000000,IF(INDEX('calcA'!$D$60:$EQ$99,$B12,112)*IF($W12=1,HI12+ADX12,HI12)=1,IF(AND($E12=2,IF($W12=1,AJM12,MX12)=0),1000000000,IF($V12=1,INDEX('calcA'!$D$130:$EQ$169,$B12,112)+IF(AND($E12=1,MX12=0),25,0),IF($F12&gt;0,INDEX('calcA'!DK$110:DK$114,$F12+1)+IF(AND($E12=1,MX12=0),1000,0),MIN(TY12,20)*400+(IF('calcA'!DJ$106=1,1-HH12,0)+IF('calcA'!DK$106=1,1-HJ12,0))*150+165+'calcA'!DK$5*100000+IF(AND($E12=1,MX12=0),50000,0))+IF($H12=1,INDEX('calcA'!$D$180:$EQ$219,$B12,112)*4000,0)-IF(AND('calcA'!DJ$117=1,YH12&gt;0),2000,0)-IF(AND($U12=1,'calcA'!DK$117=1,HJ12=0),2000,0))),1000000000))</f>
        <v/>
      </c>
      <c r="SN12">
        <f>IF($B12=0,1000000000,IF(INDEX('calcA'!$D$60:$EQ$99,$B12,113)*IF($W12=1,HJ12+ADY12,HJ12)=1,IF(AND($E12=2,IF($W12=1,AJN12,MY12)=0),1000000000,IF($V12=1,INDEX('calcA'!$D$130:$EQ$169,$B12,113)+IF(AND($E12=1,MY12=0),25,0),IF($F12&gt;0,INDEX('calcA'!DL$110:DL$114,$F12+1)+IF(AND($E12=1,MY12=0),1000,0),MIN(TY12,20)*400+(IF('calcA'!DK$106=1,1-HI12,0)+IF('calcA'!DL$106=1,1-HK12,0))*150+175+'calcA'!DL$5*100000+IF(AND($E12=1,MY12=0),50000,0))+IF($H12=1,INDEX('calcA'!$D$180:$EQ$219,$B12,113)*4000,0)-IF(AND('calcA'!DK$117=1,YI12&gt;0),2000,0)-IF(AND($U12=1,'calcA'!DL$117=1,HK12=0),2000,0))),1000000000))</f>
        <v/>
      </c>
      <c r="SO12">
        <f>IF($B12=0,1000000000,IF(INDEX('calcA'!$D$60:$EQ$99,$B12,114)*IF($W12=1,HK12+ADZ12,HK12)=1,IF(AND($E12=2,IF($W12=1,AJO12,MZ12)=0),1000000000,IF($V12=1,INDEX('calcA'!$D$130:$EQ$169,$B12,114)+IF(AND($E12=1,MZ12=0),25,0),IF($F12&gt;0,INDEX('calcA'!DM$110:DM$114,$F12+1)+IF(AND($E12=1,MZ12=0),1000,0),MIN(TY12,20)*400+(IF('calcA'!DL$106=1,1-HJ12,0)+IF('calcA'!DM$106=1,1-HL12,0))*150+185+'calcA'!DM$5*100000+IF(AND($E12=1,MZ12=0),50000,0))+IF($H12=1,INDEX('calcA'!$D$180:$EQ$219,$B12,114)*4000,0)-IF(AND('calcA'!DL$117=1,YJ12&gt;0),2000,0)-IF(AND($U12=1,'calcA'!DM$117=1,HL12=0),2000,0))),1000000000))</f>
        <v/>
      </c>
      <c r="SP12">
        <f>IF($B12=0,1000000000,IF(INDEX('calcA'!$D$60:$EQ$99,$B12,115)*IF($W12=1,HL12+AEA12,HL12)=1,IF(AND($E12=2,IF($W12=1,AJP12,NA12)=0),1000000000,IF($V12=1,INDEX('calcA'!$D$130:$EQ$169,$B12,115)+IF(AND($E12=1,NA12=0),25,0),IF($F12&gt;0,INDEX('calcA'!DN$110:DN$114,$F12+1)+IF(AND($E12=1,NA12=0),1000,0),MIN(TY12,20)*400+(IF('calcA'!DM$106=1,1-HK12,0)+IF('calcA'!DN$106=1,1-HM12,0))*150+195+'calcA'!DN$5*100000+IF(AND($E12=1,NA12=0),50000,0))+IF($H12=1,INDEX('calcA'!$D$180:$EQ$219,$B12,115)*4000,0)-IF(AND('calcA'!DM$117=1,YK12&gt;0),2000,0)-IF(AND($U12=1,'calcA'!DN$117=1,HM12=0),2000,0))),1000000000))</f>
        <v/>
      </c>
      <c r="SQ12">
        <f>IF($B12=0,1000000000,IF(INDEX('calcA'!$D$60:$EQ$99,$B12,116)*IF($W12=1,HM12+AEB12,HM12)=1,IF(AND($E12=2,IF($W12=1,AJQ12,NB12)=0),1000000000,IF($V12=1,INDEX('calcA'!$D$130:$EQ$169,$B12,116)+IF(AND($E12=1,NB12=0),25,0),IF($F12&gt;0,INDEX('calcA'!DO$110:DO$114,$F12+1)+IF(AND($E12=1,NB12=0),1000,0),MIN(TY12,20)*400+(IF('calcA'!DN$106=1,1-HL12,0)+IF('calcA'!DO$106=1,1-HN12,0))*150+205+'calcA'!DO$5*100000+IF(AND($E12=1,NB12=0),50000,0))+IF($H12=1,INDEX('calcA'!$D$180:$EQ$219,$B12,116)*4000,0)-IF(AND('calcA'!DN$117=1,YL12&gt;0),2000,0)-IF(AND($U12=1,'calcA'!DO$117=1,HN12=0),2000,0))),1000000000))</f>
        <v/>
      </c>
      <c r="SR12">
        <f>IF($B12=0,1000000000,IF(INDEX('calcA'!$D$60:$EQ$99,$B12,117)*IF($W12=1,HN12+AEC12,HN12)=1,IF(AND($E12=2,IF($W12=1,AJR12,NC12)=0),1000000000,IF($V12=1,INDEX('calcA'!$D$130:$EQ$169,$B12,117)+IF(AND($E12=1,NC12=0),25,0),IF($F12&gt;0,INDEX('calcA'!DP$110:DP$114,$F12+1)+IF(AND($E12=1,NC12=0),1000,0),MIN(TY12,20)*400+(IF('calcA'!DO$106=1,1-HM12,0)+IF('calcA'!DP$106=1,1-HO12,0))*150+215+'calcA'!DP$5*100000+IF(AND($E12=1,NC12=0),50000,0))+IF($H12=1,INDEX('calcA'!$D$180:$EQ$219,$B12,117)*4000,0)-IF(AND('calcA'!DO$117=1,YM12&gt;0),2000,0)-IF(AND($U12=1,'calcA'!DP$117=1,HO12=0),2000,0))),1000000000))</f>
        <v/>
      </c>
      <c r="SS12">
        <f>IF($B12=0,1000000000,IF(INDEX('calcA'!$D$60:$EQ$99,$B12,118)*IF($W12=1,HO12+AED12,HO12)=1,IF(AND($E12=2,IF($W12=1,AJS12,ND12)=0),1000000000,IF($V12=1,INDEX('calcA'!$D$130:$EQ$169,$B12,118)+IF(AND($E12=1,ND12=0),25,0),IF($F12&gt;0,INDEX('calcA'!DQ$110:DQ$114,$F12+1)+IF(AND($E12=1,ND12=0),1000,0),MIN(TY12,20)*400+(IF('calcA'!DP$106=1,1-HN12,0)+IF('calcA'!DQ$106=1,1-HP12,0))*150+225+'calcA'!DQ$5*100000+IF(AND($E12=1,ND12=0),50000,0))+IF($H12=1,INDEX('calcA'!$D$180:$EQ$219,$B12,118)*4000,0)-IF(AND('calcA'!DP$117=1,YN12&gt;0),2000,0)-IF(AND($U12=1,'calcA'!DQ$117=1,HP12=0),2000,0))),1000000000))</f>
        <v/>
      </c>
      <c r="ST12">
        <f>IF($B12=0,1000000000,IF(INDEX('calcA'!$D$60:$EQ$99,$B12,119)*IF($W12=1,HP12+AEE12,HP12)=1,IF(AND($E12=2,IF($W12=1,AJT12,NE12)=0),1000000000,IF($V12=1,INDEX('calcA'!$D$130:$EQ$169,$B12,119)+IF(AND($E12=1,NE12=0),25,0),IF($F12&gt;0,INDEX('calcA'!DR$110:DR$114,$F12+1)+IF(AND($E12=1,NE12=0),1000,0),MIN(TY12,20)*400+(IF('calcA'!DQ$106=1,1-HO12,0)+IF('calcA'!DR$106=1,1-HQ12,0))*150+235+'calcA'!DR$5*100000+IF(AND($E12=1,NE12=0),50000,0))+IF($H12=1,INDEX('calcA'!$D$180:$EQ$219,$B12,119)*4000,0)-IF(AND('calcA'!DQ$117=1,YO12&gt;0),2000,0)-IF(AND($U12=1,'calcA'!DR$117=1,HQ12=0),2000,0))),1000000000))</f>
        <v/>
      </c>
      <c r="SU12">
        <f>IF($B12=0,1000000000,IF(INDEX('calcA'!$D$60:$EQ$99,$B12,120)*IF($W12=1,HQ12+AEF12,HQ12)=1,IF(AND($E12=2,IF($W12=1,AJU12,NF12)=0),1000000000,IF($V12=1,INDEX('calcA'!$D$130:$EQ$169,$B12,120)+IF(AND($E12=1,NF12=0),25,0),IF($F12&gt;0,INDEX('calcA'!DS$110:DS$114,$F12+1)+IF(AND($E12=1,NF12=0),1000,0),MIN(TY12,20)*400+(IF('calcA'!DR$106=1,1-HP12,0))*150+245+'calcA'!DS$5*100000+IF(AND($E12=1,NF12=0),50000,0))+IF($H12=1,INDEX('calcA'!$D$180:$EQ$219,$B12,120)*4000,0)-IF(AND('calcA'!DR$117=1,YP12&gt;0),2000,0))),1000000000))</f>
        <v/>
      </c>
      <c r="SV12">
        <f>IF($B12=0,1000000000,IF(INDEX('calcA'!$D$60:$EQ$99,$B12,121)*IF($W12=1,HR12+AEG12,HR12)=1,IF(AND($E12=2,IF($W12=1,AJV12,NG12)=0),1000000000,IF($V12=1,INDEX('calcA'!$D$130:$EQ$169,$B12,121)+IF(AND($E12=1,NG12=0),25,0),IF($F12&gt;0,INDEX('calcA'!DT$110:DT$114,$F12+1)+IF(AND($E12=1,NG12=0),1000,0),MIN(TZ12,20)*400+(IF('calcA'!DT$106=1,1-HS12,0))*150+16+'calcA'!DT$5*100000+IF(AND($E12=1,NG12=0),50000,0))+IF($H12=1,INDEX('calcA'!$D$180:$EQ$219,$B12,121)*4000,0)-IF(AND($U12=1,'calcA'!DT$117=1,HS12=0),2000,0))),1000000000))</f>
        <v/>
      </c>
      <c r="SW12">
        <f>IF($B12=0,1000000000,IF(INDEX('calcA'!$D$60:$EQ$99,$B12,122)*IF($W12=1,HS12+AEH12,HS12)=1,IF(AND($E12=2,IF($W12=1,AJW12,NH12)=0),1000000000,IF($V12=1,INDEX('calcA'!$D$130:$EQ$169,$B12,122)+IF(AND($E12=1,NH12=0),25,0),IF($F12&gt;0,INDEX('calcA'!DU$110:DU$114,$F12+1)+IF(AND($E12=1,NH12=0),1000,0),MIN(TZ12,20)*400+(IF('calcA'!DT$106=1,1-HR12,0)+IF('calcA'!DU$106=1,1-HT12,0))*150+26+'calcA'!DU$5*100000+IF(AND($E12=1,NH12=0),50000,0))+IF($H12=1,INDEX('calcA'!$D$180:$EQ$219,$B12,122)*4000,0)-IF(AND('calcA'!DT$117=1,YR12&gt;0),2000,0)-IF(AND($U12=1,'calcA'!DU$117=1,HT12=0),2000,0))),1000000000))</f>
        <v/>
      </c>
      <c r="SX12">
        <f>IF($B12=0,1000000000,IF(INDEX('calcA'!$D$60:$EQ$99,$B12,123)*IF($W12=1,HT12+AEI12,HT12)=1,IF(AND($E12=2,IF($W12=1,AJX12,NI12)=0),1000000000,IF($V12=1,INDEX('calcA'!$D$130:$EQ$169,$B12,123)+IF(AND($E12=1,NI12=0),25,0),IF($F12&gt;0,INDEX('calcA'!DV$110:DV$114,$F12+1)+IF(AND($E12=1,NI12=0),1000,0),MIN(TZ12,20)*400+(IF('calcA'!DU$106=1,1-HS12,0)+IF('calcA'!DV$106=1,1-HU12,0))*150+36+'calcA'!DV$5*100000+IF(AND($E12=1,NI12=0),50000,0))+IF($H12=1,INDEX('calcA'!$D$180:$EQ$219,$B12,123)*4000,0)-IF(AND('calcA'!DU$117=1,YS12&gt;0),2000,0)-IF(AND($U12=1,'calcA'!DV$117=1,HU12=0),2000,0))),1000000000))</f>
        <v/>
      </c>
      <c r="SY12">
        <f>IF($B12=0,1000000000,IF(INDEX('calcA'!$D$60:$EQ$99,$B12,124)*IF($W12=1,HU12+AEJ12,HU12)=1,IF(AND($E12=2,IF($W12=1,AJY12,NJ12)=0),1000000000,IF($V12=1,INDEX('calcA'!$D$130:$EQ$169,$B12,124)+IF(AND($E12=1,NJ12=0),25,0),IF($F12&gt;0,INDEX('calcA'!DW$110:DW$114,$F12+1)+IF(AND($E12=1,NJ12=0),1000,0),MIN(TZ12,20)*400+(IF('calcA'!DV$106=1,1-HT12,0)+IF('calcA'!DW$106=1,1-HV12,0))*150+46+'calcA'!DW$5*100000+IF(AND($E12=1,NJ12=0),50000,0))+IF($H12=1,INDEX('calcA'!$D$180:$EQ$219,$B12,124)*4000,0)-IF(AND('calcA'!DV$117=1,YT12&gt;0),2000,0)-IF(AND($U12=1,'calcA'!DW$117=1,HV12=0),2000,0))),1000000000))</f>
        <v/>
      </c>
      <c r="SZ12">
        <f>IF($B12=0,1000000000,IF(INDEX('calcA'!$D$60:$EQ$99,$B12,125)*IF($W12=1,HV12+AEK12,HV12)=1,IF(AND($E12=2,IF($W12=1,AJZ12,NK12)=0),1000000000,IF($V12=1,INDEX('calcA'!$D$130:$EQ$169,$B12,125)+IF(AND($E12=1,NK12=0),25,0),IF($F12&gt;0,INDEX('calcA'!DX$110:DX$114,$F12+1)+IF(AND($E12=1,NK12=0),1000,0),MIN(TZ12,20)*400+(IF('calcA'!DW$106=1,1-HU12,0)+IF('calcA'!DX$106=1,1-HW12,0))*150+56+'calcA'!DX$5*100000+IF(AND($E12=1,NK12=0),50000,0))+IF($H12=1,INDEX('calcA'!$D$180:$EQ$219,$B12,125)*4000,0)-IF(AND('calcA'!DW$117=1,YU12&gt;0),2000,0)-IF(AND($U12=1,'calcA'!DX$117=1,HW12=0),2000,0))),1000000000))</f>
        <v/>
      </c>
      <c r="TA12">
        <f>IF($B12=0,1000000000,IF(INDEX('calcA'!$D$60:$EQ$99,$B12,126)*IF($W12=1,HW12+AEL12,HW12)=1,IF(AND($E12=2,IF($W12=1,AKA12,NL12)=0),1000000000,IF($V12=1,INDEX('calcA'!$D$130:$EQ$169,$B12,126)+IF(AND($E12=1,NL12=0),25,0),IF($F12&gt;0,INDEX('calcA'!DY$110:DY$114,$F12+1)+IF(AND($E12=1,NL12=0),1000,0),MIN(TZ12,20)*400+(IF('calcA'!DX$106=1,1-HV12,0)+IF('calcA'!DY$106=1,1-HX12,0))*150+66+'calcA'!DY$5*100000+IF(AND($E12=1,NL12=0),50000,0))+IF($H12=1,INDEX('calcA'!$D$180:$EQ$219,$B12,126)*4000,0)-IF(AND('calcA'!DX$117=1,YV12&gt;0),2000,0)-IF(AND($U12=1,'calcA'!DY$117=1,HX12=0),2000,0))),1000000000))</f>
        <v/>
      </c>
      <c r="TB12">
        <f>IF($B12=0,1000000000,IF(INDEX('calcA'!$D$60:$EQ$99,$B12,127)*IF($W12=1,HX12+AEM12,HX12)=1,IF(AND($E12=2,IF($W12=1,AKB12,NM12)=0),1000000000,IF($V12=1,INDEX('calcA'!$D$130:$EQ$169,$B12,127)+IF(AND($E12=1,NM12=0),25,0),IF($F12&gt;0,INDEX('calcA'!DZ$110:DZ$114,$F12+1)+IF(AND($E12=1,NM12=0),1000,0),MIN(TZ12,20)*400+(IF('calcA'!DY$106=1,1-HW12,0)+IF('calcA'!DZ$106=1,1-HY12,0))*150+76+'calcA'!DZ$5*100000+IF(AND($E12=1,NM12=0),50000,0))+IF($H12=1,INDEX('calcA'!$D$180:$EQ$219,$B12,127)*4000,0)-IF(AND('calcA'!DY$117=1,YW12&gt;0),2000,0)-IF(AND($U12=1,'calcA'!DZ$117=1,HY12=0),2000,0))),1000000000))</f>
        <v/>
      </c>
      <c r="TC12">
        <f>IF($B12=0,1000000000,IF(INDEX('calcA'!$D$60:$EQ$99,$B12,128)*IF($W12=1,HY12+AEN12,HY12)=1,IF(AND($E12=2,IF($W12=1,AKC12,NN12)=0),1000000000,IF($V12=1,INDEX('calcA'!$D$130:$EQ$169,$B12,128)+IF(AND($E12=1,NN12=0),25,0),IF($F12&gt;0,INDEX('calcA'!EA$110:EA$114,$F12+1)+IF(AND($E12=1,NN12=0),1000,0),MIN(TZ12,20)*400+(IF('calcA'!DZ$106=1,1-HX12,0)+IF('calcA'!EA$106=1,1-HZ12,0))*150+86+'calcA'!EA$5*100000+IF(AND($E12=1,NN12=0),50000,0))+IF($H12=1,INDEX('calcA'!$D$180:$EQ$219,$B12,128)*4000,0)-IF(AND('calcA'!DZ$117=1,YX12&gt;0),2000,0)-IF(AND($U12=1,'calcA'!EA$117=1,HZ12=0),2000,0))),1000000000))</f>
        <v/>
      </c>
      <c r="TD12">
        <f>IF($B12=0,1000000000,IF(INDEX('calcA'!$D$60:$EQ$99,$B12,129)*IF($W12=1,HZ12+AEO12,HZ12)=1,IF(AND($E12=2,IF($W12=1,AKD12,NO12)=0),1000000000,IF($V12=1,INDEX('calcA'!$D$130:$EQ$169,$B12,129)+IF(AND($E12=1,NO12=0),25,0),IF($F12&gt;0,INDEX('calcA'!EB$110:EB$114,$F12+1)+IF(AND($E12=1,NO12=0),1000,0),MIN(TZ12,20)*400+(IF('calcA'!EA$106=1,1-HY12,0)+IF('calcA'!EB$106=1,1-IA12,0))*150+96+'calcA'!EB$5*100000+IF(AND($E12=1,NO12=0),50000,0))+IF($H12=1,INDEX('calcA'!$D$180:$EQ$219,$B12,129)*4000,0)-IF(AND('calcA'!EA$117=1,YY12&gt;0),2000,0)-IF(AND($U12=1,'calcA'!EB$117=1,IA12=0),2000,0))),1000000000))</f>
        <v/>
      </c>
      <c r="TE12">
        <f>IF($B12=0,1000000000,IF(INDEX('calcA'!$D$60:$EQ$99,$B12,130)*IF($W12=1,IA12+AEP12,IA12)=1,IF(AND($E12=2,IF($W12=1,AKE12,NP12)=0),1000000000,IF($V12=1,INDEX('calcA'!$D$130:$EQ$169,$B12,130)+IF(AND($E12=1,NP12=0),25,0),IF($F12&gt;0,INDEX('calcA'!EC$110:EC$114,$F12+1)+IF(AND($E12=1,NP12=0),1000,0),MIN(TZ12,20)*400+(IF('calcA'!EB$106=1,1-HZ12,0)+IF('calcA'!EC$106=1,1-IB12,0))*150+106+'calcA'!EC$5*100000+IF(AND($E12=1,NP12=0),50000,0))+IF($H12=1,INDEX('calcA'!$D$180:$EQ$219,$B12,130)*4000,0)-IF(AND('calcA'!EB$117=1,YZ12&gt;0),2000,0)-IF(AND($U12=1,'calcA'!EC$117=1,IB12=0),2000,0))),1000000000))</f>
        <v/>
      </c>
      <c r="TF12">
        <f>IF($B12=0,1000000000,IF(INDEX('calcA'!$D$60:$EQ$99,$B12,131)*IF($W12=1,IB12+AEQ12,IB12)=1,IF(AND($E12=2,IF($W12=1,AKF12,NQ12)=0),1000000000,IF($V12=1,INDEX('calcA'!$D$130:$EQ$169,$B12,131)+IF(AND($E12=1,NQ12=0),25,0),IF($F12&gt;0,INDEX('calcA'!ED$110:ED$114,$F12+1)+IF(AND($E12=1,NQ12=0),1000,0),MIN(TZ12,20)*400+(IF('calcA'!EC$106=1,1-IA12,0)+IF('calcA'!ED$106=1,1-IC12,0))*150+116+'calcA'!ED$5*100000+IF(AND($E12=1,NQ12=0),50000,0))+IF($H12=1,INDEX('calcA'!$D$180:$EQ$219,$B12,131)*4000,0)-IF(AND('calcA'!EC$117=1,ZA12&gt;0),2000,0)-IF(AND($U12=1,'calcA'!ED$117=1,IC12=0),2000,0))),1000000000))</f>
        <v/>
      </c>
      <c r="TG12">
        <f>IF($B12=0,1000000000,IF(INDEX('calcA'!$D$60:$EQ$99,$B12,132)*IF($W12=1,IC12+AER12,IC12)=1,IF(AND($E12=2,IF($W12=1,AKG12,NR12)=0),1000000000,IF($V12=1,INDEX('calcA'!$D$130:$EQ$169,$B12,132)+IF(AND($E12=1,NR12=0),25,0),IF($F12&gt;0,INDEX('calcA'!EE$110:EE$114,$F12+1)+IF(AND($E12=1,NR12=0),1000,0),MIN(TZ12,20)*400+(IF('calcA'!ED$106=1,1-IB12,0)+IF('calcA'!EE$106=1,1-ID12,0))*150+126+'calcA'!EE$5*100000+IF(AND($E12=1,NR12=0),50000,0))+IF($H12=1,INDEX('calcA'!$D$180:$EQ$219,$B12,132)*4000,0)-IF(AND('calcA'!ED$117=1,ZB12&gt;0),2000,0)-IF(AND($U12=1,'calcA'!EE$117=1,ID12=0),2000,0))),1000000000))</f>
        <v/>
      </c>
      <c r="TH12">
        <f>IF($B12=0,1000000000,IF(INDEX('calcA'!$D$60:$EQ$99,$B12,133)*IF($W12=1,ID12+AES12,ID12)=1,IF(AND($E12=2,IF($W12=1,AKH12,NS12)=0),1000000000,IF($V12=1,INDEX('calcA'!$D$130:$EQ$169,$B12,133)+IF(AND($E12=1,NS12=0),25,0),IF($F12&gt;0,INDEX('calcA'!EF$110:EF$114,$F12+1)+IF(AND($E12=1,NS12=0),1000,0),MIN(TZ12,20)*400+(IF('calcA'!EE$106=1,1-IC12,0)+IF('calcA'!EF$106=1,1-IE12,0))*150+136+'calcA'!EF$5*100000+IF(AND($E12=1,NS12=0),50000,0))+IF($H12=1,INDEX('calcA'!$D$180:$EQ$219,$B12,133)*4000,0)-IF(AND('calcA'!EE$117=1,ZC12&gt;0),2000,0)-IF(AND($U12=1,'calcA'!EF$117=1,IE12=0),2000,0))),1000000000))</f>
        <v/>
      </c>
      <c r="TI12">
        <f>IF($B12=0,1000000000,IF(INDEX('calcA'!$D$60:$EQ$99,$B12,134)*IF($W12=1,IE12+AET12,IE12)=1,IF(AND($E12=2,IF($W12=1,AKI12,NT12)=0),1000000000,IF($V12=1,INDEX('calcA'!$D$130:$EQ$169,$B12,134)+IF(AND($E12=1,NT12=0),25,0),IF($F12&gt;0,INDEX('calcA'!EG$110:EG$114,$F12+1)+IF(AND($E12=1,NT12=0),1000,0),MIN(TZ12,20)*400+(IF('calcA'!EF$106=1,1-ID12,0)+IF('calcA'!EG$106=1,1-IF12,0))*150+146+'calcA'!EG$5*100000+IF(AND($E12=1,NT12=0),50000,0))+IF($H12=1,INDEX('calcA'!$D$180:$EQ$219,$B12,134)*4000,0)-IF(AND('calcA'!EF$117=1,ZD12&gt;0),2000,0)-IF(AND($U12=1,'calcA'!EG$117=1,IF12=0),2000,0))),1000000000))</f>
        <v/>
      </c>
      <c r="TJ12">
        <f>IF($B12=0,1000000000,IF(INDEX('calcA'!$D$60:$EQ$99,$B12,135)*IF($W12=1,IF12+AEU12,IF12)=1,IF(AND($E12=2,IF($W12=1,AKJ12,NU12)=0),1000000000,IF($V12=1,INDEX('calcA'!$D$130:$EQ$169,$B12,135)+IF(AND($E12=1,NU12=0),25,0),IF($F12&gt;0,INDEX('calcA'!EH$110:EH$114,$F12+1)+IF(AND($E12=1,NU12=0),1000,0),MIN(TZ12,20)*400+(IF('calcA'!EG$106=1,1-IE12,0)+IF('calcA'!EH$106=1,1-IG12,0))*150+156+'calcA'!EH$5*100000+IF(AND($E12=1,NU12=0),50000,0))+IF($H12=1,INDEX('calcA'!$D$180:$EQ$219,$B12,135)*4000,0)-IF(AND('calcA'!EG$117=1,ZE12&gt;0),2000,0)-IF(AND($U12=1,'calcA'!EH$117=1,IG12=0),2000,0))),1000000000))</f>
        <v/>
      </c>
      <c r="TK12">
        <f>IF($B12=0,1000000000,IF(INDEX('calcA'!$D$60:$EQ$99,$B12,136)*IF($W12=1,IG12+AEV12,IG12)=1,IF(AND($E12=2,IF($W12=1,AKK12,NV12)=0),1000000000,IF($V12=1,INDEX('calcA'!$D$130:$EQ$169,$B12,136)+IF(AND($E12=1,NV12=0),25,0),IF($F12&gt;0,INDEX('calcA'!EI$110:EI$114,$F12+1)+IF(AND($E12=1,NV12=0),1000,0),MIN(TZ12,20)*400+(IF('calcA'!EH$106=1,1-IF12,0)+IF('calcA'!EI$106=1,1-IH12,0))*150+166+'calcA'!EI$5*100000+IF(AND($E12=1,NV12=0),50000,0))+IF($H12=1,INDEX('calcA'!$D$180:$EQ$219,$B12,136)*4000,0)-IF(AND('calcA'!EH$117=1,ZF12&gt;0),2000,0)-IF(AND($U12=1,'calcA'!EI$117=1,IH12=0),2000,0))),1000000000))</f>
        <v/>
      </c>
      <c r="TL12">
        <f>IF($B12=0,1000000000,IF(INDEX('calcA'!$D$60:$EQ$99,$B12,137)*IF($W12=1,IH12+AEW12,IH12)=1,IF(AND($E12=2,IF($W12=1,AKL12,NW12)=0),1000000000,IF($V12=1,INDEX('calcA'!$D$130:$EQ$169,$B12,137)+IF(AND($E12=1,NW12=0),25,0),IF($F12&gt;0,INDEX('calcA'!EJ$110:EJ$114,$F12+1)+IF(AND($E12=1,NW12=0),1000,0),MIN(TZ12,20)*400+(IF('calcA'!EI$106=1,1-IG12,0)+IF('calcA'!EJ$106=1,1-II12,0))*150+176+'calcA'!EJ$5*100000+IF(AND($E12=1,NW12=0),50000,0))+IF($H12=1,INDEX('calcA'!$D$180:$EQ$219,$B12,137)*4000,0)-IF(AND('calcA'!EI$117=1,ZG12&gt;0),2000,0)-IF(AND($U12=1,'calcA'!EJ$117=1,II12=0),2000,0))),1000000000))</f>
        <v/>
      </c>
      <c r="TM12">
        <f>IF($B12=0,1000000000,IF(INDEX('calcA'!$D$60:$EQ$99,$B12,138)*IF($W12=1,II12+AEX12,II12)=1,IF(AND($E12=2,IF($W12=1,AKM12,NX12)=0),1000000000,IF($V12=1,INDEX('calcA'!$D$130:$EQ$169,$B12,138)+IF(AND($E12=1,NX12=0),25,0),IF($F12&gt;0,INDEX('calcA'!EK$110:EK$114,$F12+1)+IF(AND($E12=1,NX12=0),1000,0),MIN(TZ12,20)*400+(IF('calcA'!EJ$106=1,1-IH12,0)+IF('calcA'!EK$106=1,1-IJ12,0))*150+186+'calcA'!EK$5*100000+IF(AND($E12=1,NX12=0),50000,0))+IF($H12=1,INDEX('calcA'!$D$180:$EQ$219,$B12,138)*4000,0)-IF(AND('calcA'!EJ$117=1,ZH12&gt;0),2000,0)-IF(AND($U12=1,'calcA'!EK$117=1,IJ12=0),2000,0))),1000000000))</f>
        <v/>
      </c>
      <c r="TN12">
        <f>IF($B12=0,1000000000,IF(INDEX('calcA'!$D$60:$EQ$99,$B12,139)*IF($W12=1,IJ12+AEY12,IJ12)=1,IF(AND($E12=2,IF($W12=1,AKN12,NY12)=0),1000000000,IF($V12=1,INDEX('calcA'!$D$130:$EQ$169,$B12,139)+IF(AND($E12=1,NY12=0),25,0),IF($F12&gt;0,INDEX('calcA'!EL$110:EL$114,$F12+1)+IF(AND($E12=1,NY12=0),1000,0),MIN(TZ12,20)*400+(IF('calcA'!EK$106=1,1-II12,0)+IF('calcA'!EL$106=1,1-IK12,0))*150+196+'calcA'!EL$5*100000+IF(AND($E12=1,NY12=0),50000,0))+IF($H12=1,INDEX('calcA'!$D$180:$EQ$219,$B12,139)*4000,0)-IF(AND('calcA'!EK$117=1,ZI12&gt;0),2000,0)-IF(AND($U12=1,'calcA'!EL$117=1,IK12=0),2000,0))),1000000000))</f>
        <v/>
      </c>
      <c r="TO12">
        <f>IF($B12=0,1000000000,IF(INDEX('calcA'!$D$60:$EQ$99,$B12,140)*IF($W12=1,IK12+AEZ12,IK12)=1,IF(AND($E12=2,IF($W12=1,AKO12,NZ12)=0),1000000000,IF($V12=1,INDEX('calcA'!$D$130:$EQ$169,$B12,140)+IF(AND($E12=1,NZ12=0),25,0),IF($F12&gt;0,INDEX('calcA'!EM$110:EM$114,$F12+1)+IF(AND($E12=1,NZ12=0),1000,0),MIN(TZ12,20)*400+(IF('calcA'!EL$106=1,1-IJ12,0)+IF('calcA'!EM$106=1,1-IL12,0))*150+206+'calcA'!EM$5*100000+IF(AND($E12=1,NZ12=0),50000,0))+IF($H12=1,INDEX('calcA'!$D$180:$EQ$219,$B12,140)*4000,0)-IF(AND('calcA'!EL$117=1,ZJ12&gt;0),2000,0)-IF(AND($U12=1,'calcA'!EM$117=1,IL12=0),2000,0))),1000000000))</f>
        <v/>
      </c>
      <c r="TP12">
        <f>IF($B12=0,1000000000,IF(INDEX('calcA'!$D$60:$EQ$99,$B12,141)*IF($W12=1,IL12+AFA12,IL12)=1,IF(AND($E12=2,IF($W12=1,AKP12,OA12)=0),1000000000,IF($V12=1,INDEX('calcA'!$D$130:$EQ$169,$B12,141)+IF(AND($E12=1,OA12=0),25,0),IF($F12&gt;0,INDEX('calcA'!EN$110:EN$114,$F12+1)+IF(AND($E12=1,OA12=0),1000,0),MIN(TZ12,20)*400+(IF('calcA'!EM$106=1,1-IK12,0)+IF('calcA'!EN$106=1,1-IM12,0))*150+216+'calcA'!EN$5*100000+IF(AND($E12=1,OA12=0),50000,0))+IF($H12=1,INDEX('calcA'!$D$180:$EQ$219,$B12,141)*4000,0)-IF(AND('calcA'!EM$117=1,ZK12&gt;0),2000,0)-IF(AND($U12=1,'calcA'!EN$117=1,IM12=0),2000,0))),1000000000))</f>
        <v/>
      </c>
      <c r="TQ12">
        <f>IF($B12=0,1000000000,IF(INDEX('calcA'!$D$60:$EQ$99,$B12,142)*IF($W12=1,IM12+AFB12,IM12)=1,IF(AND($E12=2,IF($W12=1,AKQ12,OB12)=0),1000000000,IF($V12=1,INDEX('calcA'!$D$130:$EQ$169,$B12,142)+IF(AND($E12=1,OB12=0),25,0),IF($F12&gt;0,INDEX('calcA'!EO$110:EO$114,$F12+1)+IF(AND($E12=1,OB12=0),1000,0),MIN(TZ12,20)*400+(IF('calcA'!EN$106=1,1-IL12,0)+IF('calcA'!EO$106=1,1-IN12,0))*150+226+'calcA'!EO$5*100000+IF(AND($E12=1,OB12=0),50000,0))+IF($H12=1,INDEX('calcA'!$D$180:$EQ$219,$B12,142)*4000,0)-IF(AND('calcA'!EN$117=1,ZL12&gt;0),2000,0)-IF(AND($U12=1,'calcA'!EO$117=1,IN12=0),2000,0))),1000000000))</f>
        <v/>
      </c>
      <c r="TR12">
        <f>IF($B12=0,1000000000,IF(INDEX('calcA'!$D$60:$EQ$99,$B12,143)*IF($W12=1,IN12+AFC12,IN12)=1,IF(AND($E12=2,IF($W12=1,AKR12,OC12)=0),1000000000,IF($V12=1,INDEX('calcA'!$D$130:$EQ$169,$B12,143)+IF(AND($E12=1,OC12=0),25,0),IF($F12&gt;0,INDEX('calcA'!EP$110:EP$114,$F12+1)+IF(AND($E12=1,OC12=0),1000,0),MIN(TZ12,20)*400+(IF('calcA'!EO$106=1,1-IM12,0)+IF('calcA'!EP$106=1,1-IO12,0))*150+236+'calcA'!EP$5*100000+IF(AND($E12=1,OC12=0),50000,0))+IF($H12=1,INDEX('calcA'!$D$180:$EQ$219,$B12,143)*4000,0)-IF(AND('calcA'!EO$117=1,ZM12&gt;0),2000,0)-IF(AND($U12=1,'calcA'!EP$117=1,IO12=0),2000,0))),1000000000))</f>
        <v/>
      </c>
      <c r="TS12">
        <f>IF($B12=0,1000000000,IF(INDEX('calcA'!$D$60:$EQ$99,$B12,144)*IF($W12=1,IO12+AFD12,IO12)=1,IF(AND($E12=2,IF($W12=1,AKS12,OD12)=0),1000000000,IF($V12=1,INDEX('calcA'!$D$130:$EQ$169,$B12,144)+IF(AND($E12=1,OD12=0),25,0),IF($F12&gt;0,INDEX('calcA'!EQ$110:EQ$114,$F12+1)+IF(AND($E12=1,OD12=0),1000,0),MIN(TZ12,20)*400+(IF('calcA'!EP$106=1,1-IN12,0))*150+246+'calcA'!EQ$5*100000+IF(AND($E12=1,OD12=0),50000,0))+IF($H12=1,INDEX('calcA'!$D$180:$EQ$219,$B12,144)*4000,0)-IF(AND('calcA'!EP$117=1,ZN12&gt;0),2000,0))),1000000000))</f>
        <v/>
      </c>
      <c r="TU12">
        <f>TU11+IF($C11&gt;0,IF(INDEX('calcA'!$D$2:$EQ$2,$C11)=1,1,0),0)</f>
        <v/>
      </c>
      <c r="TV12">
        <f>TV11+IF($C11&gt;0,IF(INDEX('calcA'!$D$2:$EQ$2,$C11)=2,1,0),0)</f>
        <v/>
      </c>
      <c r="TW12">
        <f>TW11+IF($C11&gt;0,IF(INDEX('calcA'!$D$2:$EQ$2,$C11)=3,1,0),0)</f>
        <v/>
      </c>
      <c r="TX12">
        <f>TX11+IF($C11&gt;0,IF(INDEX('calcA'!$D$2:$EQ$2,$C11)=4,1,0),0)</f>
        <v/>
      </c>
      <c r="TY12">
        <f>TY11+IF($C11&gt;0,IF(INDEX('calcA'!$D$2:$EQ$2,$C11)=5,1,0),0)</f>
        <v/>
      </c>
      <c r="TZ12">
        <f>TZ11+IF($C11&gt;0,IF(INDEX('calcA'!$D$2:$EQ$2,$C11)=6,1,0),0)</f>
        <v/>
      </c>
      <c r="UB12">
        <f>UB11+IF(AND($C11=1,$U11=1),1,0)</f>
        <v/>
      </c>
      <c r="UC12">
        <f>UC11+IF(AND($C11=2,$U11=1),1,0)</f>
        <v/>
      </c>
      <c r="UD12">
        <f>UD11+IF(AND($C11=3,$U11=1),1,0)</f>
        <v/>
      </c>
      <c r="UE12">
        <f>UE11+IF(AND($C11=4,$U11=1),1,0)</f>
        <v/>
      </c>
      <c r="UF12">
        <f>UF11+IF(AND($C11=5,$U11=1),1,0)</f>
        <v/>
      </c>
      <c r="UG12">
        <f>UG11+IF(AND($C11=6,$U11=1),1,0)</f>
        <v/>
      </c>
      <c r="UH12">
        <f>UH11+IF(AND($C11=7,$U11=1),1,0)</f>
        <v/>
      </c>
      <c r="UI12">
        <f>UI11+IF(AND($C11=8,$U11=1),1,0)</f>
        <v/>
      </c>
      <c r="UJ12">
        <f>UJ11+IF(AND($C11=9,$U11=1),1,0)</f>
        <v/>
      </c>
      <c r="UK12">
        <f>UK11+IF(AND($C11=10,$U11=1),1,0)</f>
        <v/>
      </c>
      <c r="UL12">
        <f>UL11+IF(AND($C11=11,$U11=1),1,0)</f>
        <v/>
      </c>
      <c r="UM12">
        <f>UM11+IF(AND($C11=12,$U11=1),1,0)</f>
        <v/>
      </c>
      <c r="UN12">
        <f>UN11+IF(AND($C11=13,$U11=1),1,0)</f>
        <v/>
      </c>
      <c r="UO12">
        <f>UO11+IF(AND($C11=14,$U11=1),1,0)</f>
        <v/>
      </c>
      <c r="UP12">
        <f>UP11+IF(AND($C11=15,$U11=1),1,0)</f>
        <v/>
      </c>
      <c r="UQ12">
        <f>UQ11+IF(AND($C11=16,$U11=1),1,0)</f>
        <v/>
      </c>
      <c r="UR12">
        <f>UR11+IF(AND($C11=17,$U11=1),1,0)</f>
        <v/>
      </c>
      <c r="US12">
        <f>US11+IF(AND($C11=18,$U11=1),1,0)</f>
        <v/>
      </c>
      <c r="UT12">
        <f>UT11+IF(AND($C11=19,$U11=1),1,0)</f>
        <v/>
      </c>
      <c r="UU12">
        <f>UU11+IF(AND($C11=20,$U11=1),1,0)</f>
        <v/>
      </c>
      <c r="UV12">
        <f>UV11+IF(AND($C11=21,$U11=1),1,0)</f>
        <v/>
      </c>
      <c r="UW12">
        <f>UW11+IF(AND($C11=22,$U11=1),1,0)</f>
        <v/>
      </c>
      <c r="UX12">
        <f>UX11+IF(AND($C11=23,$U11=1),1,0)</f>
        <v/>
      </c>
      <c r="UY12">
        <f>UY11+IF(AND($C11=24,$U11=1),1,0)</f>
        <v/>
      </c>
      <c r="UZ12">
        <f>UZ11+IF(AND($C11=25,$U11=1),1,0)</f>
        <v/>
      </c>
      <c r="VA12">
        <f>VA11+IF(AND($C11=26,$U11=1),1,0)</f>
        <v/>
      </c>
      <c r="VB12">
        <f>VB11+IF(AND($C11=27,$U11=1),1,0)</f>
        <v/>
      </c>
      <c r="VC12">
        <f>VC11+IF(AND($C11=28,$U11=1),1,0)</f>
        <v/>
      </c>
      <c r="VD12">
        <f>VD11+IF(AND($C11=29,$U11=1),1,0)</f>
        <v/>
      </c>
      <c r="VE12">
        <f>VE11+IF(AND($C11=30,$U11=1),1,0)</f>
        <v/>
      </c>
      <c r="VF12">
        <f>VF11+IF(AND($C11=31,$U11=1),1,0)</f>
        <v/>
      </c>
      <c r="VG12">
        <f>VG11+IF(AND($C11=32,$U11=1),1,0)</f>
        <v/>
      </c>
      <c r="VH12">
        <f>VH11+IF(AND($C11=33,$U11=1),1,0)</f>
        <v/>
      </c>
      <c r="VI12">
        <f>VI11+IF(AND($C11=34,$U11=1),1,0)</f>
        <v/>
      </c>
      <c r="VJ12">
        <f>VJ11+IF(AND($C11=35,$U11=1),1,0)</f>
        <v/>
      </c>
      <c r="VK12">
        <f>VK11+IF(AND($C11=36,$U11=1),1,0)</f>
        <v/>
      </c>
      <c r="VL12">
        <f>VL11+IF(AND($C11=37,$U11=1),1,0)</f>
        <v/>
      </c>
      <c r="VM12">
        <f>VM11+IF(AND($C11=38,$U11=1),1,0)</f>
        <v/>
      </c>
      <c r="VN12">
        <f>VN11+IF(AND($C11=39,$U11=1),1,0)</f>
        <v/>
      </c>
      <c r="VO12">
        <f>VO11+IF(AND($C11=40,$U11=1),1,0)</f>
        <v/>
      </c>
      <c r="VP12">
        <f>VP11+IF(AND($C11=41,$U11=1),1,0)</f>
        <v/>
      </c>
      <c r="VQ12">
        <f>VQ11+IF(AND($C11=42,$U11=1),1,0)</f>
        <v/>
      </c>
      <c r="VR12">
        <f>VR11+IF(AND($C11=43,$U11=1),1,0)</f>
        <v/>
      </c>
      <c r="VS12">
        <f>VS11+IF(AND($C11=44,$U11=1),1,0)</f>
        <v/>
      </c>
      <c r="VT12">
        <f>VT11+IF(AND($C11=45,$U11=1),1,0)</f>
        <v/>
      </c>
      <c r="VU12">
        <f>VU11+IF(AND($C11=46,$U11=1),1,0)</f>
        <v/>
      </c>
      <c r="VV12">
        <f>VV11+IF(AND($C11=47,$U11=1),1,0)</f>
        <v/>
      </c>
      <c r="VW12">
        <f>VW11+IF(AND($C11=48,$U11=1),1,0)</f>
        <v/>
      </c>
      <c r="VX12">
        <f>VX11+IF(AND($C11=49,$U11=1),1,0)</f>
        <v/>
      </c>
      <c r="VY12">
        <f>VY11+IF(AND($C11=50,$U11=1),1,0)</f>
        <v/>
      </c>
      <c r="VZ12">
        <f>VZ11+IF(AND($C11=51,$U11=1),1,0)</f>
        <v/>
      </c>
      <c r="WA12">
        <f>WA11+IF(AND($C11=52,$U11=1),1,0)</f>
        <v/>
      </c>
      <c r="WB12">
        <f>WB11+IF(AND($C11=53,$U11=1),1,0)</f>
        <v/>
      </c>
      <c r="WC12">
        <f>WC11+IF(AND($C11=54,$U11=1),1,0)</f>
        <v/>
      </c>
      <c r="WD12">
        <f>WD11+IF(AND($C11=55,$U11=1),1,0)</f>
        <v/>
      </c>
      <c r="WE12">
        <f>WE11+IF(AND($C11=56,$U11=1),1,0)</f>
        <v/>
      </c>
      <c r="WF12">
        <f>WF11+IF(AND($C11=57,$U11=1),1,0)</f>
        <v/>
      </c>
      <c r="WG12">
        <f>WG11+IF(AND($C11=58,$U11=1),1,0)</f>
        <v/>
      </c>
      <c r="WH12">
        <f>WH11+IF(AND($C11=59,$U11=1),1,0)</f>
        <v/>
      </c>
      <c r="WI12">
        <f>WI11+IF(AND($C11=60,$U11=1),1,0)</f>
        <v/>
      </c>
      <c r="WJ12">
        <f>WJ11+IF(AND($C11=61,$U11=1),1,0)</f>
        <v/>
      </c>
      <c r="WK12">
        <f>WK11+IF(AND($C11=62,$U11=1),1,0)</f>
        <v/>
      </c>
      <c r="WL12">
        <f>WL11+IF(AND($C11=63,$U11=1),1,0)</f>
        <v/>
      </c>
      <c r="WM12">
        <f>WM11+IF(AND($C11=64,$U11=1),1,0)</f>
        <v/>
      </c>
      <c r="WN12">
        <f>WN11+IF(AND($C11=65,$U11=1),1,0)</f>
        <v/>
      </c>
      <c r="WO12">
        <f>WO11+IF(AND($C11=66,$U11=1),1,0)</f>
        <v/>
      </c>
      <c r="WP12">
        <f>WP11+IF(AND($C11=67,$U11=1),1,0)</f>
        <v/>
      </c>
      <c r="WQ12">
        <f>WQ11+IF(AND($C11=68,$U11=1),1,0)</f>
        <v/>
      </c>
      <c r="WR12">
        <f>WR11+IF(AND($C11=69,$U11=1),1,0)</f>
        <v/>
      </c>
      <c r="WS12">
        <f>WS11+IF(AND($C11=70,$U11=1),1,0)</f>
        <v/>
      </c>
      <c r="WT12">
        <f>WT11+IF(AND($C11=71,$U11=1),1,0)</f>
        <v/>
      </c>
      <c r="WU12">
        <f>WU11+IF(AND($C11=72,$U11=1),1,0)</f>
        <v/>
      </c>
      <c r="WV12">
        <f>WV11+IF(AND($C11=73,$U11=1),1,0)</f>
        <v/>
      </c>
      <c r="WW12">
        <f>WW11+IF(AND($C11=74,$U11=1),1,0)</f>
        <v/>
      </c>
      <c r="WX12">
        <f>WX11+IF(AND($C11=75,$U11=1),1,0)</f>
        <v/>
      </c>
      <c r="WY12">
        <f>WY11+IF(AND($C11=76,$U11=1),1,0)</f>
        <v/>
      </c>
      <c r="WZ12">
        <f>WZ11+IF(AND($C11=77,$U11=1),1,0)</f>
        <v/>
      </c>
      <c r="XA12">
        <f>XA11+IF(AND($C11=78,$U11=1),1,0)</f>
        <v/>
      </c>
      <c r="XB12">
        <f>XB11+IF(AND($C11=79,$U11=1),1,0)</f>
        <v/>
      </c>
      <c r="XC12">
        <f>XC11+IF(AND($C11=80,$U11=1),1,0)</f>
        <v/>
      </c>
      <c r="XD12">
        <f>XD11+IF(AND($C11=81,$U11=1),1,0)</f>
        <v/>
      </c>
      <c r="XE12">
        <f>XE11+IF(AND($C11=82,$U11=1),1,0)</f>
        <v/>
      </c>
      <c r="XF12">
        <f>XF11+IF(AND($C11=83,$U11=1),1,0)</f>
        <v/>
      </c>
      <c r="XG12">
        <f>XG11+IF(AND($C11=84,$U11=1),1,0)</f>
        <v/>
      </c>
      <c r="XH12">
        <f>XH11+IF(AND($C11=85,$U11=1),1,0)</f>
        <v/>
      </c>
      <c r="XI12">
        <f>XI11+IF(AND($C11=86,$U11=1),1,0)</f>
        <v/>
      </c>
      <c r="XJ12">
        <f>XJ11+IF(AND($C11=87,$U11=1),1,0)</f>
        <v/>
      </c>
      <c r="XK12">
        <f>XK11+IF(AND($C11=88,$U11=1),1,0)</f>
        <v/>
      </c>
      <c r="XL12">
        <f>XL11+IF(AND($C11=89,$U11=1),1,0)</f>
        <v/>
      </c>
      <c r="XM12">
        <f>XM11+IF(AND($C11=90,$U11=1),1,0)</f>
        <v/>
      </c>
      <c r="XN12">
        <f>XN11+IF(AND($C11=91,$U11=1),1,0)</f>
        <v/>
      </c>
      <c r="XO12">
        <f>XO11+IF(AND($C11=92,$U11=1),1,0)</f>
        <v/>
      </c>
      <c r="XP12">
        <f>XP11+IF(AND($C11=93,$U11=1),1,0)</f>
        <v/>
      </c>
      <c r="XQ12">
        <f>XQ11+IF(AND($C11=94,$U11=1),1,0)</f>
        <v/>
      </c>
      <c r="XR12">
        <f>XR11+IF(AND($C11=95,$U11=1),1,0)</f>
        <v/>
      </c>
      <c r="XS12">
        <f>XS11+IF(AND($C11=96,$U11=1),1,0)</f>
        <v/>
      </c>
      <c r="XT12">
        <f>XT11+IF(AND($C11=97,$U11=1),1,0)</f>
        <v/>
      </c>
      <c r="XU12">
        <f>XU11+IF(AND($C11=98,$U11=1),1,0)</f>
        <v/>
      </c>
      <c r="XV12">
        <f>XV11+IF(AND($C11=99,$U11=1),1,0)</f>
        <v/>
      </c>
      <c r="XW12">
        <f>XW11+IF(AND($C11=100,$U11=1),1,0)</f>
        <v/>
      </c>
      <c r="XX12">
        <f>XX11+IF(AND($C11=101,$U11=1),1,0)</f>
        <v/>
      </c>
      <c r="XY12">
        <f>XY11+IF(AND($C11=102,$U11=1),1,0)</f>
        <v/>
      </c>
      <c r="XZ12">
        <f>XZ11+IF(AND($C11=103,$U11=1),1,0)</f>
        <v/>
      </c>
      <c r="YA12">
        <f>YA11+IF(AND($C11=104,$U11=1),1,0)</f>
        <v/>
      </c>
      <c r="YB12">
        <f>YB11+IF(AND($C11=105,$U11=1),1,0)</f>
        <v/>
      </c>
      <c r="YC12">
        <f>YC11+IF(AND($C11=106,$U11=1),1,0)</f>
        <v/>
      </c>
      <c r="YD12">
        <f>YD11+IF(AND($C11=107,$U11=1),1,0)</f>
        <v/>
      </c>
      <c r="YE12">
        <f>YE11+IF(AND($C11=108,$U11=1),1,0)</f>
        <v/>
      </c>
      <c r="YF12">
        <f>YF11+IF(AND($C11=109,$U11=1),1,0)</f>
        <v/>
      </c>
      <c r="YG12">
        <f>YG11+IF(AND($C11=110,$U11=1),1,0)</f>
        <v/>
      </c>
      <c r="YH12">
        <f>YH11+IF(AND($C11=111,$U11=1),1,0)</f>
        <v/>
      </c>
      <c r="YI12">
        <f>YI11+IF(AND($C11=112,$U11=1),1,0)</f>
        <v/>
      </c>
      <c r="YJ12">
        <f>YJ11+IF(AND($C11=113,$U11=1),1,0)</f>
        <v/>
      </c>
      <c r="YK12">
        <f>YK11+IF(AND($C11=114,$U11=1),1,0)</f>
        <v/>
      </c>
      <c r="YL12">
        <f>YL11+IF(AND($C11=115,$U11=1),1,0)</f>
        <v/>
      </c>
      <c r="YM12">
        <f>YM11+IF(AND($C11=116,$U11=1),1,0)</f>
        <v/>
      </c>
      <c r="YN12">
        <f>YN11+IF(AND($C11=117,$U11=1),1,0)</f>
        <v/>
      </c>
      <c r="YO12">
        <f>YO11+IF(AND($C11=118,$U11=1),1,0)</f>
        <v/>
      </c>
      <c r="YP12">
        <f>YP11+IF(AND($C11=119,$U11=1),1,0)</f>
        <v/>
      </c>
      <c r="YQ12">
        <f>YQ11+IF(AND($C11=120,$U11=1),1,0)</f>
        <v/>
      </c>
      <c r="YR12">
        <f>YR11+IF(AND($C11=121,$U11=1),1,0)</f>
        <v/>
      </c>
      <c r="YS12">
        <f>YS11+IF(AND($C11=122,$U11=1),1,0)</f>
        <v/>
      </c>
      <c r="YT12">
        <f>YT11+IF(AND($C11=123,$U11=1),1,0)</f>
        <v/>
      </c>
      <c r="YU12">
        <f>YU11+IF(AND($C11=124,$U11=1),1,0)</f>
        <v/>
      </c>
      <c r="YV12">
        <f>YV11+IF(AND($C11=125,$U11=1),1,0)</f>
        <v/>
      </c>
      <c r="YW12">
        <f>YW11+IF(AND($C11=126,$U11=1),1,0)</f>
        <v/>
      </c>
      <c r="YX12">
        <f>YX11+IF(AND($C11=127,$U11=1),1,0)</f>
        <v/>
      </c>
      <c r="YY12">
        <f>YY11+IF(AND($C11=128,$U11=1),1,0)</f>
        <v/>
      </c>
      <c r="YZ12">
        <f>YZ11+IF(AND($C11=129,$U11=1),1,0)</f>
        <v/>
      </c>
      <c r="ZA12">
        <f>ZA11+IF(AND($C11=130,$U11=1),1,0)</f>
        <v/>
      </c>
      <c r="ZB12">
        <f>ZB11+IF(AND($C11=131,$U11=1),1,0)</f>
        <v/>
      </c>
      <c r="ZC12">
        <f>ZC11+IF(AND($C11=132,$U11=1),1,0)</f>
        <v/>
      </c>
      <c r="ZD12">
        <f>ZD11+IF(AND($C11=133,$U11=1),1,0)</f>
        <v/>
      </c>
      <c r="ZE12">
        <f>ZE11+IF(AND($C11=134,$U11=1),1,0)</f>
        <v/>
      </c>
      <c r="ZF12">
        <f>ZF11+IF(AND($C11=135,$U11=1),1,0)</f>
        <v/>
      </c>
      <c r="ZG12">
        <f>ZG11+IF(AND($C11=136,$U11=1),1,0)</f>
        <v/>
      </c>
      <c r="ZH12">
        <f>ZH11+IF(AND($C11=137,$U11=1),1,0)</f>
        <v/>
      </c>
      <c r="ZI12">
        <f>ZI11+IF(AND($C11=138,$U11=1),1,0)</f>
        <v/>
      </c>
      <c r="ZJ12">
        <f>ZJ11+IF(AND($C11=139,$U11=1),1,0)</f>
        <v/>
      </c>
      <c r="ZK12">
        <f>ZK11+IF(AND($C11=140,$U11=1),1,0)</f>
        <v/>
      </c>
      <c r="ZL12">
        <f>ZL11+IF(AND($C11=141,$U11=1),1,0)</f>
        <v/>
      </c>
      <c r="ZM12">
        <f>ZM11+IF(AND($C11=142,$U11=1),1,0)</f>
        <v/>
      </c>
      <c r="ZN12">
        <f>ZN11+IF(AND($C11=143,$U11=1),1,0)</f>
        <v/>
      </c>
      <c r="ZO12">
        <f>ZO11+IF(AND($C11=144,$U11=1),1,0)</f>
        <v/>
      </c>
      <c r="ZQ12">
        <f>IF($C11=1,0,ZQ11+IF(AND($G11=1,$E11=1),1,0))</f>
        <v/>
      </c>
      <c r="ZR12">
        <f>IF($C11=2,0,ZR11+IF(AND($G11=2,$E11=1),1,0))</f>
        <v/>
      </c>
      <c r="ZS12">
        <f>IF($C11=3,0,ZS11+IF(AND($G11=3,$E11=1),1,0))</f>
        <v/>
      </c>
      <c r="ZT12">
        <f>IF($C11=4,0,ZT11+IF(AND($G11=4,$E11=1),1,0))</f>
        <v/>
      </c>
      <c r="ZU12">
        <f>IF($C11=5,0,ZU11+IF(AND($G11=5,$E11=1),1,0))</f>
        <v/>
      </c>
      <c r="ZV12">
        <f>IF($C11=6,0,ZV11+IF(AND($G11=6,$E11=1),1,0))</f>
        <v/>
      </c>
      <c r="ZW12">
        <f>IF($C11=7,0,ZW11+IF(AND($G11=7,$E11=1),1,0))</f>
        <v/>
      </c>
      <c r="ZX12">
        <f>IF($C11=8,0,ZX11+IF(AND($G11=8,$E11=1),1,0))</f>
        <v/>
      </c>
      <c r="ZY12">
        <f>IF($C11=9,0,ZY11+IF(AND($G11=9,$E11=1),1,0))</f>
        <v/>
      </c>
      <c r="ZZ12">
        <f>IF($C11=10,0,ZZ11+IF(AND($G11=10,$E11=1),1,0))</f>
        <v/>
      </c>
      <c r="AAA12">
        <f>IF($C11=11,0,AAA11+IF(AND($G11=11,$E11=1),1,0))</f>
        <v/>
      </c>
      <c r="AAB12">
        <f>IF($C11=12,0,AAB11+IF(AND($G11=12,$E11=1),1,0))</f>
        <v/>
      </c>
      <c r="AAC12">
        <f>IF($C11=13,0,AAC11+IF(AND($G11=13,$E11=1),1,0))</f>
        <v/>
      </c>
      <c r="AAD12">
        <f>IF($C11=14,0,AAD11+IF(AND($G11=14,$E11=1),1,0))</f>
        <v/>
      </c>
      <c r="AAE12">
        <f>IF($C11=15,0,AAE11+IF(AND($G11=15,$E11=1),1,0))</f>
        <v/>
      </c>
      <c r="AAF12">
        <f>IF($C11=16,0,AAF11+IF(AND($G11=16,$E11=1),1,0))</f>
        <v/>
      </c>
      <c r="AAG12">
        <f>IF($C11=17,0,AAG11+IF(AND($G11=17,$E11=1),1,0))</f>
        <v/>
      </c>
      <c r="AAH12">
        <f>IF($C11=18,0,AAH11+IF(AND($G11=18,$E11=1),1,0))</f>
        <v/>
      </c>
      <c r="AAI12">
        <f>IF($C11=19,0,AAI11+IF(AND($G11=19,$E11=1),1,0))</f>
        <v/>
      </c>
      <c r="AAJ12">
        <f>IF($C11=20,0,AAJ11+IF(AND($G11=20,$E11=1),1,0))</f>
        <v/>
      </c>
      <c r="AAK12">
        <f>IF($C11=21,0,AAK11+IF(AND($G11=21,$E11=1),1,0))</f>
        <v/>
      </c>
      <c r="AAL12">
        <f>IF($C11=22,0,AAL11+IF(AND($G11=22,$E11=1),1,0))</f>
        <v/>
      </c>
      <c r="AAM12">
        <f>IF($C11=23,0,AAM11+IF(AND($G11=23,$E11=1),1,0))</f>
        <v/>
      </c>
      <c r="AAN12">
        <f>IF($C11=24,0,AAN11+IF(AND($G11=24,$E11=1),1,0))</f>
        <v/>
      </c>
      <c r="AAO12">
        <f>IF($C11=25,0,AAO11+IF(AND($G11=25,$E11=1),1,0))</f>
        <v/>
      </c>
      <c r="AAP12">
        <f>IF($C11=26,0,AAP11+IF(AND($G11=26,$E11=1),1,0))</f>
        <v/>
      </c>
      <c r="AAQ12">
        <f>IF($C11=27,0,AAQ11+IF(AND($G11=27,$E11=1),1,0))</f>
        <v/>
      </c>
      <c r="AAR12">
        <f>IF($C11=28,0,AAR11+IF(AND($G11=28,$E11=1),1,0))</f>
        <v/>
      </c>
      <c r="AAS12">
        <f>IF($C11=29,0,AAS11+IF(AND($G11=29,$E11=1),1,0))</f>
        <v/>
      </c>
      <c r="AAT12">
        <f>IF($C11=30,0,AAT11+IF(AND($G11=30,$E11=1),1,0))</f>
        <v/>
      </c>
      <c r="AAU12">
        <f>IF($C11=31,0,AAU11+IF(AND($G11=31,$E11=1),1,0))</f>
        <v/>
      </c>
      <c r="AAV12">
        <f>IF($C11=32,0,AAV11+IF(AND($G11=32,$E11=1),1,0))</f>
        <v/>
      </c>
      <c r="AAW12">
        <f>IF($C11=33,0,AAW11+IF(AND($G11=33,$E11=1),1,0))</f>
        <v/>
      </c>
      <c r="AAX12">
        <f>IF($C11=34,0,AAX11+IF(AND($G11=34,$E11=1),1,0))</f>
        <v/>
      </c>
      <c r="AAY12">
        <f>IF($C11=35,0,AAY11+IF(AND($G11=35,$E11=1),1,0))</f>
        <v/>
      </c>
      <c r="AAZ12">
        <f>IF($C11=36,0,AAZ11+IF(AND($G11=36,$E11=1),1,0))</f>
        <v/>
      </c>
      <c r="ABA12">
        <f>IF($C11=37,0,ABA11+IF(AND($G11=37,$E11=1),1,0))</f>
        <v/>
      </c>
      <c r="ABB12">
        <f>IF($C11=38,0,ABB11+IF(AND($G11=38,$E11=1),1,0))</f>
        <v/>
      </c>
      <c r="ABC12">
        <f>IF($C11=39,0,ABC11+IF(AND($G11=39,$E11=1),1,0))</f>
        <v/>
      </c>
      <c r="ABD12">
        <f>IF($C11=40,0,ABD11+IF(AND($G11=40,$E11=1),1,0))</f>
        <v/>
      </c>
      <c r="ABE12">
        <f>IF($C11=41,0,ABE11+IF(AND($G11=41,$E11=1),1,0))</f>
        <v/>
      </c>
      <c r="ABF12">
        <f>IF($C11=42,0,ABF11+IF(AND($G11=42,$E11=1),1,0))</f>
        <v/>
      </c>
      <c r="ABG12">
        <f>IF($C11=43,0,ABG11+IF(AND($G11=43,$E11=1),1,0))</f>
        <v/>
      </c>
      <c r="ABH12">
        <f>IF($C11=44,0,ABH11+IF(AND($G11=44,$E11=1),1,0))</f>
        <v/>
      </c>
      <c r="ABI12">
        <f>IF($C11=45,0,ABI11+IF(AND($G11=45,$E11=1),1,0))</f>
        <v/>
      </c>
      <c r="ABJ12">
        <f>IF($C11=46,0,ABJ11+IF(AND($G11=46,$E11=1),1,0))</f>
        <v/>
      </c>
      <c r="ABK12">
        <f>IF($C11=47,0,ABK11+IF(AND($G11=47,$E11=1),1,0))</f>
        <v/>
      </c>
      <c r="ABL12">
        <f>IF($C11=48,0,ABL11+IF(AND($G11=48,$E11=1),1,0))</f>
        <v/>
      </c>
      <c r="ABM12">
        <f>IF($C11=49,0,ABM11+IF(AND($G11=49,$E11=1),1,0))</f>
        <v/>
      </c>
      <c r="ABN12">
        <f>IF($C11=50,0,ABN11+IF(AND($G11=50,$E11=1),1,0))</f>
        <v/>
      </c>
      <c r="ABO12">
        <f>IF($C11=51,0,ABO11+IF(AND($G11=51,$E11=1),1,0))</f>
        <v/>
      </c>
      <c r="ABP12">
        <f>IF($C11=52,0,ABP11+IF(AND($G11=52,$E11=1),1,0))</f>
        <v/>
      </c>
      <c r="ABQ12">
        <f>IF($C11=53,0,ABQ11+IF(AND($G11=53,$E11=1),1,0))</f>
        <v/>
      </c>
      <c r="ABR12">
        <f>IF($C11=54,0,ABR11+IF(AND($G11=54,$E11=1),1,0))</f>
        <v/>
      </c>
      <c r="ABS12">
        <f>IF($C11=55,0,ABS11+IF(AND($G11=55,$E11=1),1,0))</f>
        <v/>
      </c>
      <c r="ABT12">
        <f>IF($C11=56,0,ABT11+IF(AND($G11=56,$E11=1),1,0))</f>
        <v/>
      </c>
      <c r="ABU12">
        <f>IF($C11=57,0,ABU11+IF(AND($G11=57,$E11=1),1,0))</f>
        <v/>
      </c>
      <c r="ABV12">
        <f>IF($C11=58,0,ABV11+IF(AND($G11=58,$E11=1),1,0))</f>
        <v/>
      </c>
      <c r="ABW12">
        <f>IF($C11=59,0,ABW11+IF(AND($G11=59,$E11=1),1,0))</f>
        <v/>
      </c>
      <c r="ABX12">
        <f>IF($C11=60,0,ABX11+IF(AND($G11=60,$E11=1),1,0))</f>
        <v/>
      </c>
      <c r="ABY12">
        <f>IF($C11=61,0,ABY11+IF(AND($G11=61,$E11=1),1,0))</f>
        <v/>
      </c>
      <c r="ABZ12">
        <f>IF($C11=62,0,ABZ11+IF(AND($G11=62,$E11=1),1,0))</f>
        <v/>
      </c>
      <c r="ACA12">
        <f>IF($C11=63,0,ACA11+IF(AND($G11=63,$E11=1),1,0))</f>
        <v/>
      </c>
      <c r="ACB12">
        <f>IF($C11=64,0,ACB11+IF(AND($G11=64,$E11=1),1,0))</f>
        <v/>
      </c>
      <c r="ACC12">
        <f>IF($C11=65,0,ACC11+IF(AND($G11=65,$E11=1),1,0))</f>
        <v/>
      </c>
      <c r="ACD12">
        <f>IF($C11=66,0,ACD11+IF(AND($G11=66,$E11=1),1,0))</f>
        <v/>
      </c>
      <c r="ACE12">
        <f>IF($C11=67,0,ACE11+IF(AND($G11=67,$E11=1),1,0))</f>
        <v/>
      </c>
      <c r="ACF12">
        <f>IF($C11=68,0,ACF11+IF(AND($G11=68,$E11=1),1,0))</f>
        <v/>
      </c>
      <c r="ACG12">
        <f>IF($C11=69,0,ACG11+IF(AND($G11=69,$E11=1),1,0))</f>
        <v/>
      </c>
      <c r="ACH12">
        <f>IF($C11=70,0,ACH11+IF(AND($G11=70,$E11=1),1,0))</f>
        <v/>
      </c>
      <c r="ACI12">
        <f>IF($C11=71,0,ACI11+IF(AND($G11=71,$E11=1),1,0))</f>
        <v/>
      </c>
      <c r="ACJ12">
        <f>IF($C11=72,0,ACJ11+IF(AND($G11=72,$E11=1),1,0))</f>
        <v/>
      </c>
      <c r="ACK12">
        <f>IF($C11=73,0,ACK11+IF(AND($G11=73,$E11=1),1,0))</f>
        <v/>
      </c>
      <c r="ACL12">
        <f>IF($C11=74,0,ACL11+IF(AND($G11=74,$E11=1),1,0))</f>
        <v/>
      </c>
      <c r="ACM12">
        <f>IF($C11=75,0,ACM11+IF(AND($G11=75,$E11=1),1,0))</f>
        <v/>
      </c>
      <c r="ACN12">
        <f>IF($C11=76,0,ACN11+IF(AND($G11=76,$E11=1),1,0))</f>
        <v/>
      </c>
      <c r="ACO12">
        <f>IF($C11=77,0,ACO11+IF(AND($G11=77,$E11=1),1,0))</f>
        <v/>
      </c>
      <c r="ACP12">
        <f>IF($C11=78,0,ACP11+IF(AND($G11=78,$E11=1),1,0))</f>
        <v/>
      </c>
      <c r="ACQ12">
        <f>IF($C11=79,0,ACQ11+IF(AND($G11=79,$E11=1),1,0))</f>
        <v/>
      </c>
      <c r="ACR12">
        <f>IF($C11=80,0,ACR11+IF(AND($G11=80,$E11=1),1,0))</f>
        <v/>
      </c>
      <c r="ACS12">
        <f>IF($C11=81,0,ACS11+IF(AND($G11=81,$E11=1),1,0))</f>
        <v/>
      </c>
      <c r="ACT12">
        <f>IF($C11=82,0,ACT11+IF(AND($G11=82,$E11=1),1,0))</f>
        <v/>
      </c>
      <c r="ACU12">
        <f>IF($C11=83,0,ACU11+IF(AND($G11=83,$E11=1),1,0))</f>
        <v/>
      </c>
      <c r="ACV12">
        <f>IF($C11=84,0,ACV11+IF(AND($G11=84,$E11=1),1,0))</f>
        <v/>
      </c>
      <c r="ACW12">
        <f>IF($C11=85,0,ACW11+IF(AND($G11=85,$E11=1),1,0))</f>
        <v/>
      </c>
      <c r="ACX12">
        <f>IF($C11=86,0,ACX11+IF(AND($G11=86,$E11=1),1,0))</f>
        <v/>
      </c>
      <c r="ACY12">
        <f>IF($C11=87,0,ACY11+IF(AND($G11=87,$E11=1),1,0))</f>
        <v/>
      </c>
      <c r="ACZ12">
        <f>IF($C11=88,0,ACZ11+IF(AND($G11=88,$E11=1),1,0))</f>
        <v/>
      </c>
      <c r="ADA12">
        <f>IF($C11=89,0,ADA11+IF(AND($G11=89,$E11=1),1,0))</f>
        <v/>
      </c>
      <c r="ADB12">
        <f>IF($C11=90,0,ADB11+IF(AND($G11=90,$E11=1),1,0))</f>
        <v/>
      </c>
      <c r="ADC12">
        <f>IF($C11=91,0,ADC11+IF(AND($G11=91,$E11=1),1,0))</f>
        <v/>
      </c>
      <c r="ADD12">
        <f>IF($C11=92,0,ADD11+IF(AND($G11=92,$E11=1),1,0))</f>
        <v/>
      </c>
      <c r="ADE12">
        <f>IF($C11=93,0,ADE11+IF(AND($G11=93,$E11=1),1,0))</f>
        <v/>
      </c>
      <c r="ADF12">
        <f>IF($C11=94,0,ADF11+IF(AND($G11=94,$E11=1),1,0))</f>
        <v/>
      </c>
      <c r="ADG12">
        <f>IF($C11=95,0,ADG11+IF(AND($G11=95,$E11=1),1,0))</f>
        <v/>
      </c>
      <c r="ADH12">
        <f>IF($C11=96,0,ADH11+IF(AND($G11=96,$E11=1),1,0))</f>
        <v/>
      </c>
      <c r="ADI12">
        <f>IF($C11=97,0,ADI11+IF(AND($G11=97,$E11=1),1,0))</f>
        <v/>
      </c>
      <c r="ADJ12">
        <f>IF($C11=98,0,ADJ11+IF(AND($G11=98,$E11=1),1,0))</f>
        <v/>
      </c>
      <c r="ADK12">
        <f>IF($C11=99,0,ADK11+IF(AND($G11=99,$E11=1),1,0))</f>
        <v/>
      </c>
      <c r="ADL12">
        <f>IF($C11=100,0,ADL11+IF(AND($G11=100,$E11=1),1,0))</f>
        <v/>
      </c>
      <c r="ADM12">
        <f>IF($C11=101,0,ADM11+IF(AND($G11=101,$E11=1),1,0))</f>
        <v/>
      </c>
      <c r="ADN12">
        <f>IF($C11=102,0,ADN11+IF(AND($G11=102,$E11=1),1,0))</f>
        <v/>
      </c>
      <c r="ADO12">
        <f>IF($C11=103,0,ADO11+IF(AND($G11=103,$E11=1),1,0))</f>
        <v/>
      </c>
      <c r="ADP12">
        <f>IF($C11=104,0,ADP11+IF(AND($G11=104,$E11=1),1,0))</f>
        <v/>
      </c>
      <c r="ADQ12">
        <f>IF($C11=105,0,ADQ11+IF(AND($G11=105,$E11=1),1,0))</f>
        <v/>
      </c>
      <c r="ADR12">
        <f>IF($C11=106,0,ADR11+IF(AND($G11=106,$E11=1),1,0))</f>
        <v/>
      </c>
      <c r="ADS12">
        <f>IF($C11=107,0,ADS11+IF(AND($G11=107,$E11=1),1,0))</f>
        <v/>
      </c>
      <c r="ADT12">
        <f>IF($C11=108,0,ADT11+IF(AND($G11=108,$E11=1),1,0))</f>
        <v/>
      </c>
      <c r="ADU12">
        <f>IF($C11=109,0,ADU11+IF(AND($G11=109,$E11=1),1,0))</f>
        <v/>
      </c>
      <c r="ADV12">
        <f>IF($C11=110,0,ADV11+IF(AND($G11=110,$E11=1),1,0))</f>
        <v/>
      </c>
      <c r="ADW12">
        <f>IF($C11=111,0,ADW11+IF(AND($G11=111,$E11=1),1,0))</f>
        <v/>
      </c>
      <c r="ADX12">
        <f>IF($C11=112,0,ADX11+IF(AND($G11=112,$E11=1),1,0))</f>
        <v/>
      </c>
      <c r="ADY12">
        <f>IF($C11=113,0,ADY11+IF(AND($G11=113,$E11=1),1,0))</f>
        <v/>
      </c>
      <c r="ADZ12">
        <f>IF($C11=114,0,ADZ11+IF(AND($G11=114,$E11=1),1,0))</f>
        <v/>
      </c>
      <c r="AEA12">
        <f>IF($C11=115,0,AEA11+IF(AND($G11=115,$E11=1),1,0))</f>
        <v/>
      </c>
      <c r="AEB12">
        <f>IF($C11=116,0,AEB11+IF(AND($G11=116,$E11=1),1,0))</f>
        <v/>
      </c>
      <c r="AEC12">
        <f>IF($C11=117,0,AEC11+IF(AND($G11=117,$E11=1),1,0))</f>
        <v/>
      </c>
      <c r="AED12">
        <f>IF($C11=118,0,AED11+IF(AND($G11=118,$E11=1),1,0))</f>
        <v/>
      </c>
      <c r="AEE12">
        <f>IF($C11=119,0,AEE11+IF(AND($G11=119,$E11=1),1,0))</f>
        <v/>
      </c>
      <c r="AEF12">
        <f>IF($C11=120,0,AEF11+IF(AND($G11=120,$E11=1),1,0))</f>
        <v/>
      </c>
      <c r="AEG12">
        <f>IF($C11=121,0,AEG11+IF(AND($G11=121,$E11=1),1,0))</f>
        <v/>
      </c>
      <c r="AEH12">
        <f>IF($C11=122,0,AEH11+IF(AND($G11=122,$E11=1),1,0))</f>
        <v/>
      </c>
      <c r="AEI12">
        <f>IF($C11=123,0,AEI11+IF(AND($G11=123,$E11=1),1,0))</f>
        <v/>
      </c>
      <c r="AEJ12">
        <f>IF($C11=124,0,AEJ11+IF(AND($G11=124,$E11=1),1,0))</f>
        <v/>
      </c>
      <c r="AEK12">
        <f>IF($C11=125,0,AEK11+IF(AND($G11=125,$E11=1),1,0))</f>
        <v/>
      </c>
      <c r="AEL12">
        <f>IF($C11=126,0,AEL11+IF(AND($G11=126,$E11=1),1,0))</f>
        <v/>
      </c>
      <c r="AEM12">
        <f>IF($C11=127,0,AEM11+IF(AND($G11=127,$E11=1),1,0))</f>
        <v/>
      </c>
      <c r="AEN12">
        <f>IF($C11=128,0,AEN11+IF(AND($G11=128,$E11=1),1,0))</f>
        <v/>
      </c>
      <c r="AEO12">
        <f>IF($C11=129,0,AEO11+IF(AND($G11=129,$E11=1),1,0))</f>
        <v/>
      </c>
      <c r="AEP12">
        <f>IF($C11=130,0,AEP11+IF(AND($G11=130,$E11=1),1,0))</f>
        <v/>
      </c>
      <c r="AEQ12">
        <f>IF($C11=131,0,AEQ11+IF(AND($G11=131,$E11=1),1,0))</f>
        <v/>
      </c>
      <c r="AER12">
        <f>IF($C11=132,0,AER11+IF(AND($G11=132,$E11=1),1,0))</f>
        <v/>
      </c>
      <c r="AES12">
        <f>IF($C11=133,0,AES11+IF(AND($G11=133,$E11=1),1,0))</f>
        <v/>
      </c>
      <c r="AET12">
        <f>IF($C11=134,0,AET11+IF(AND($G11=134,$E11=1),1,0))</f>
        <v/>
      </c>
      <c r="AEU12">
        <f>IF($C11=135,0,AEU11+IF(AND($G11=135,$E11=1),1,0))</f>
        <v/>
      </c>
      <c r="AEV12">
        <f>IF($C11=136,0,AEV11+IF(AND($G11=136,$E11=1),1,0))</f>
        <v/>
      </c>
      <c r="AEW12">
        <f>IF($C11=137,0,AEW11+IF(AND($G11=137,$E11=1),1,0))</f>
        <v/>
      </c>
      <c r="AEX12">
        <f>IF($C11=138,0,AEX11+IF(AND($G11=138,$E11=1),1,0))</f>
        <v/>
      </c>
      <c r="AEY12">
        <f>IF($C11=139,0,AEY11+IF(AND($G11=139,$E11=1),1,0))</f>
        <v/>
      </c>
      <c r="AEZ12">
        <f>IF($C11=140,0,AEZ11+IF(AND($G11=140,$E11=1),1,0))</f>
        <v/>
      </c>
      <c r="AFA12">
        <f>IF($C11=141,0,AFA11+IF(AND($G11=141,$E11=1),1,0))</f>
        <v/>
      </c>
      <c r="AFB12">
        <f>IF($C11=142,0,AFB11+IF(AND($G11=142,$E11=1),1,0))</f>
        <v/>
      </c>
      <c r="AFC12">
        <f>IF($C11=143,0,AFC11+IF(AND($G11=143,$E11=1),1,0))</f>
        <v/>
      </c>
      <c r="AFD12">
        <f>IF($C11=144,0,AFD11+IF(AND($G11=144,$E11=1),1,0))</f>
        <v/>
      </c>
      <c r="AFF12">
        <f>IF('calcA'!D$106=1,DC12+ZR12,1)</f>
        <v/>
      </c>
      <c r="AFG12">
        <f>IF('calcA'!E$106=1,DD12+ZS12,1)</f>
        <v/>
      </c>
      <c r="AFH12">
        <f>IF('calcA'!F$106=1,DE12+ZT12,1)</f>
        <v/>
      </c>
      <c r="AFI12">
        <f>IF('calcA'!G$106=1,DF12+ZU12,1)</f>
        <v/>
      </c>
      <c r="AFJ12">
        <f>IF('calcA'!H$106=1,DG12+ZV12,1)</f>
        <v/>
      </c>
      <c r="AFK12">
        <f>IF('calcA'!I$106=1,DH12+ZW12,1)</f>
        <v/>
      </c>
      <c r="AFL12">
        <f>IF('calcA'!J$106=1,DI12+ZX12,1)</f>
        <v/>
      </c>
      <c r="AFM12">
        <f>IF('calcA'!K$106=1,DJ12+ZY12,1)</f>
        <v/>
      </c>
      <c r="AFN12">
        <f>IF('calcA'!L$106=1,DK12+ZZ12,1)</f>
        <v/>
      </c>
      <c r="AFO12">
        <f>IF('calcA'!M$106=1,DL12+AAA12,1)</f>
        <v/>
      </c>
      <c r="AFP12">
        <f>IF('calcA'!N$106=1,DM12+AAB12,1)</f>
        <v/>
      </c>
      <c r="AFQ12">
        <f>IF('calcA'!O$106=1,DN12+AAC12,1)</f>
        <v/>
      </c>
      <c r="AFR12">
        <f>IF('calcA'!P$106=1,DO12+AAD12,1)</f>
        <v/>
      </c>
      <c r="AFS12">
        <f>IF('calcA'!Q$106=1,DP12+AAE12,1)</f>
        <v/>
      </c>
      <c r="AFT12">
        <f>IF('calcA'!R$106=1,DQ12+AAF12,1)</f>
        <v/>
      </c>
      <c r="AFU12">
        <f>IF('calcA'!S$106=1,DR12+AAG12,1)</f>
        <v/>
      </c>
      <c r="AFV12">
        <f>IF('calcA'!T$106=1,DS12+AAH12,1)</f>
        <v/>
      </c>
      <c r="AFW12">
        <f>IF('calcA'!U$106=1,DT12+AAI12,1)</f>
        <v/>
      </c>
      <c r="AFX12">
        <f>IF('calcA'!V$106=1,DU12+AAJ12,1)</f>
        <v/>
      </c>
      <c r="AFY12">
        <f>IF('calcA'!W$106=1,DV12+AAK12,1)</f>
        <v/>
      </c>
      <c r="AFZ12">
        <f>IF('calcA'!X$106=1,DW12+AAL12,1)</f>
        <v/>
      </c>
      <c r="AGA12">
        <f>IF('calcA'!Y$106=1,DX12+AAM12,1)</f>
        <v/>
      </c>
      <c r="AGB12">
        <f>IF('calcA'!Z$106=1,DY12+AAN12,1)</f>
        <v/>
      </c>
      <c r="AGC12">
        <f>IF('calcA'!AA$106=1,DZ12+AAO12,1)</f>
        <v/>
      </c>
      <c r="AGD12">
        <f>IF('calcA'!AB$106=1,EA12+AAP12,1)</f>
        <v/>
      </c>
      <c r="AGE12">
        <f>IF('calcA'!AC$106=1,EB12+AAQ12,1)</f>
        <v/>
      </c>
      <c r="AGF12">
        <f>IF('calcA'!AD$106=1,EC12+AAR12,1)</f>
        <v/>
      </c>
      <c r="AGG12">
        <f>IF('calcA'!AE$106=1,ED12+AAS12,1)</f>
        <v/>
      </c>
      <c r="AGH12">
        <f>IF('calcA'!AF$106=1,EE12+AAT12,1)</f>
        <v/>
      </c>
      <c r="AGI12">
        <f>IF('calcA'!AG$106=1,EF12+AAU12,1)</f>
        <v/>
      </c>
      <c r="AGJ12">
        <f>IF('calcA'!AH$106=1,EG12+AAV12,1)</f>
        <v/>
      </c>
      <c r="AGK12">
        <f>IF('calcA'!AI$106=1,EH12+AAW12,1)</f>
        <v/>
      </c>
      <c r="AGL12">
        <f>IF('calcA'!AJ$106=1,EI12+AAX12,1)</f>
        <v/>
      </c>
      <c r="AGM12">
        <f>IF('calcA'!AK$106=1,EJ12+AAY12,1)</f>
        <v/>
      </c>
      <c r="AGN12">
        <f>IF('calcA'!AL$106=1,EK12+AAZ12,1)</f>
        <v/>
      </c>
      <c r="AGO12">
        <f>IF('calcA'!AM$106=1,EL12+ABA12,1)</f>
        <v/>
      </c>
      <c r="AGP12">
        <f>IF('calcA'!AN$106=1,EM12+ABB12,1)</f>
        <v/>
      </c>
      <c r="AGQ12">
        <f>IF('calcA'!AO$106=1,EN12+ABC12,1)</f>
        <v/>
      </c>
      <c r="AGR12">
        <f>IF('calcA'!AP$106=1,EO12+ABD12,1)</f>
        <v/>
      </c>
      <c r="AGS12">
        <f>IF('calcA'!AQ$106=1,EP12+ABE12,1)</f>
        <v/>
      </c>
      <c r="AGT12">
        <f>IF('calcA'!AR$106=1,EQ12+ABF12,1)</f>
        <v/>
      </c>
      <c r="AGU12">
        <f>IF('calcA'!AS$106=1,ER12+ABG12,1)</f>
        <v/>
      </c>
      <c r="AGV12">
        <f>IF('calcA'!AT$106=1,ES12+ABH12,1)</f>
        <v/>
      </c>
      <c r="AGW12">
        <f>IF('calcA'!AU$106=1,ET12+ABI12,1)</f>
        <v/>
      </c>
      <c r="AGX12">
        <f>IF('calcA'!AV$106=1,EU12+ABJ12,1)</f>
        <v/>
      </c>
      <c r="AGY12">
        <f>IF('calcA'!AW$106=1,EV12+ABK12,1)</f>
        <v/>
      </c>
      <c r="AGZ12">
        <f>IF('calcA'!AX$106=1,EW12+ABL12,1)</f>
        <v/>
      </c>
      <c r="AHA12">
        <f>IF('calcA'!AY$106=1,EX12+ABM12,1)</f>
        <v/>
      </c>
      <c r="AHB12">
        <f>IF('calcA'!AZ$106=1,EY12+ABN12,1)</f>
        <v/>
      </c>
      <c r="AHC12">
        <f>IF('calcA'!BA$106=1,EZ12+ABO12,1)</f>
        <v/>
      </c>
      <c r="AHD12">
        <f>IF('calcA'!BB$106=1,FA12+ABP12,1)</f>
        <v/>
      </c>
      <c r="AHE12">
        <f>IF('calcA'!BC$106=1,FB12+ABQ12,1)</f>
        <v/>
      </c>
      <c r="AHF12">
        <f>IF('calcA'!BD$106=1,FC12+ABR12,1)</f>
        <v/>
      </c>
      <c r="AHG12">
        <f>IF('calcA'!BE$106=1,FD12+ABS12,1)</f>
        <v/>
      </c>
      <c r="AHH12">
        <f>IF('calcA'!BF$106=1,FE12+ABT12,1)</f>
        <v/>
      </c>
      <c r="AHI12">
        <f>IF('calcA'!BG$106=1,FF12+ABU12,1)</f>
        <v/>
      </c>
      <c r="AHJ12">
        <f>IF('calcA'!BH$106=1,FG12+ABV12,1)</f>
        <v/>
      </c>
      <c r="AHK12">
        <f>IF('calcA'!BI$106=1,FH12+ABW12,1)</f>
        <v/>
      </c>
      <c r="AHL12">
        <f>IF('calcA'!BJ$106=1,FI12+ABX12,1)</f>
        <v/>
      </c>
      <c r="AHM12">
        <f>IF('calcA'!BK$106=1,FJ12+ABY12,1)</f>
        <v/>
      </c>
      <c r="AHN12">
        <f>IF('calcA'!BL$106=1,FK12+ABZ12,1)</f>
        <v/>
      </c>
      <c r="AHO12">
        <f>IF('calcA'!BM$106=1,FL12+ACA12,1)</f>
        <v/>
      </c>
      <c r="AHP12">
        <f>IF('calcA'!BN$106=1,FM12+ACB12,1)</f>
        <v/>
      </c>
      <c r="AHQ12">
        <f>IF('calcA'!BO$106=1,FN12+ACC12,1)</f>
        <v/>
      </c>
      <c r="AHR12">
        <f>IF('calcA'!BP$106=1,FO12+ACD12,1)</f>
        <v/>
      </c>
      <c r="AHS12">
        <f>IF('calcA'!BQ$106=1,FP12+ACE12,1)</f>
        <v/>
      </c>
      <c r="AHT12">
        <f>IF('calcA'!BR$106=1,FQ12+ACF12,1)</f>
        <v/>
      </c>
      <c r="AHU12">
        <f>IF('calcA'!BS$106=1,FR12+ACG12,1)</f>
        <v/>
      </c>
      <c r="AHV12">
        <f>IF('calcA'!BT$106=1,FS12+ACH12,1)</f>
        <v/>
      </c>
      <c r="AHW12">
        <f>IF('calcA'!BU$106=1,FT12+ACI12,1)</f>
        <v/>
      </c>
      <c r="AHX12">
        <f>IF('calcA'!BV$106=1,FU12+ACJ12,1)</f>
        <v/>
      </c>
      <c r="AHY12">
        <f>IF('calcA'!BW$106=1,FV12+ACK12,1)</f>
        <v/>
      </c>
      <c r="AHZ12">
        <f>IF('calcA'!BX$106=1,FW12+ACL12,1)</f>
        <v/>
      </c>
      <c r="AIA12">
        <f>IF('calcA'!BY$106=1,FX12+ACM12,1)</f>
        <v/>
      </c>
      <c r="AIB12">
        <f>IF('calcA'!BZ$106=1,FY12+ACN12,1)</f>
        <v/>
      </c>
      <c r="AIC12">
        <f>IF('calcA'!CA$106=1,FZ12+ACO12,1)</f>
        <v/>
      </c>
      <c r="AID12">
        <f>IF('calcA'!CB$106=1,GA12+ACP12,1)</f>
        <v/>
      </c>
      <c r="AIE12">
        <f>IF('calcA'!CC$106=1,GB12+ACQ12,1)</f>
        <v/>
      </c>
      <c r="AIF12">
        <f>IF('calcA'!CD$106=1,GC12+ACR12,1)</f>
        <v/>
      </c>
      <c r="AIG12">
        <f>IF('calcA'!CE$106=1,GD12+ACS12,1)</f>
        <v/>
      </c>
      <c r="AIH12">
        <f>IF('calcA'!CF$106=1,GE12+ACT12,1)</f>
        <v/>
      </c>
      <c r="AII12">
        <f>IF('calcA'!CG$106=1,GF12+ACU12,1)</f>
        <v/>
      </c>
      <c r="AIJ12">
        <f>IF('calcA'!CH$106=1,GG12+ACV12,1)</f>
        <v/>
      </c>
      <c r="AIK12">
        <f>IF('calcA'!CI$106=1,GH12+ACW12,1)</f>
        <v/>
      </c>
      <c r="AIL12">
        <f>IF('calcA'!CJ$106=1,GI12+ACX12,1)</f>
        <v/>
      </c>
      <c r="AIM12">
        <f>IF('calcA'!CK$106=1,GJ12+ACY12,1)</f>
        <v/>
      </c>
      <c r="AIN12">
        <f>IF('calcA'!CL$106=1,GK12+ACZ12,1)</f>
        <v/>
      </c>
      <c r="AIO12">
        <f>IF('calcA'!CM$106=1,GL12+ADA12,1)</f>
        <v/>
      </c>
      <c r="AIP12">
        <f>IF('calcA'!CN$106=1,GM12+ADB12,1)</f>
        <v/>
      </c>
      <c r="AIQ12">
        <f>IF('calcA'!CO$106=1,GN12+ADC12,1)</f>
        <v/>
      </c>
      <c r="AIR12">
        <f>IF('calcA'!CP$106=1,GO12+ADD12,1)</f>
        <v/>
      </c>
      <c r="AIS12">
        <f>IF('calcA'!CQ$106=1,GP12+ADE12,1)</f>
        <v/>
      </c>
      <c r="AIT12">
        <f>IF('calcA'!CR$106=1,GQ12+ADF12,1)</f>
        <v/>
      </c>
      <c r="AIU12">
        <f>IF('calcA'!CS$106=1,GR12+ADG12,1)</f>
        <v/>
      </c>
      <c r="AIV12">
        <f>IF('calcA'!CT$106=1,GS12+ADH12,1)</f>
        <v/>
      </c>
      <c r="AIW12">
        <f>IF('calcA'!CU$106=1,GT12+ADI12,1)</f>
        <v/>
      </c>
      <c r="AIX12">
        <f>IF('calcA'!CV$106=1,GU12+ADJ12,1)</f>
        <v/>
      </c>
      <c r="AIY12">
        <f>IF('calcA'!CW$106=1,GV12+ADK12,1)</f>
        <v/>
      </c>
      <c r="AIZ12">
        <f>IF('calcA'!CX$106=1,GW12+ADL12,1)</f>
        <v/>
      </c>
      <c r="AJA12">
        <f>IF('calcA'!CY$106=1,GX12+ADM12,1)</f>
        <v/>
      </c>
      <c r="AJB12">
        <f>IF('calcA'!CZ$106=1,GY12+ADN12,1)</f>
        <v/>
      </c>
      <c r="AJC12">
        <f>IF('calcA'!DA$106=1,GZ12+ADO12,1)</f>
        <v/>
      </c>
      <c r="AJD12">
        <f>IF('calcA'!DB$106=1,HA12+ADP12,1)</f>
        <v/>
      </c>
      <c r="AJE12">
        <f>IF('calcA'!DC$106=1,HB12+ADQ12,1)</f>
        <v/>
      </c>
      <c r="AJF12">
        <f>IF('calcA'!DD$106=1,HC12+ADR12,1)</f>
        <v/>
      </c>
      <c r="AJG12">
        <f>IF('calcA'!DE$106=1,HD12+ADS12,1)</f>
        <v/>
      </c>
      <c r="AJH12">
        <f>IF('calcA'!DF$106=1,HE12+ADT12,1)</f>
        <v/>
      </c>
      <c r="AJI12">
        <f>IF('calcA'!DG$106=1,HF12+ADU12,1)</f>
        <v/>
      </c>
      <c r="AJJ12">
        <f>IF('calcA'!DH$106=1,HG12+ADV12,1)</f>
        <v/>
      </c>
      <c r="AJK12">
        <f>IF('calcA'!DI$106=1,HH12+ADW12,1)</f>
        <v/>
      </c>
      <c r="AJL12">
        <f>IF('calcA'!DJ$106=1,HI12+ADX12,1)</f>
        <v/>
      </c>
      <c r="AJM12">
        <f>IF('calcA'!DK$106=1,HJ12+ADY12,1)</f>
        <v/>
      </c>
      <c r="AJN12">
        <f>IF('calcA'!DL$106=1,HK12+ADZ12,1)</f>
        <v/>
      </c>
      <c r="AJO12">
        <f>IF('calcA'!DM$106=1,HL12+AEA12,1)</f>
        <v/>
      </c>
      <c r="AJP12">
        <f>IF('calcA'!DN$106=1,HM12+AEB12,1)</f>
        <v/>
      </c>
      <c r="AJQ12">
        <f>IF('calcA'!DO$106=1,HN12+AEC12,1)</f>
        <v/>
      </c>
      <c r="AJR12">
        <f>IF('calcA'!DP$106=1,HO12+AED12,1)</f>
        <v/>
      </c>
      <c r="AJS12">
        <f>IF('calcA'!DQ$106=1,HP12+AEE12,1)</f>
        <v/>
      </c>
      <c r="AJT12">
        <f>IF('calcA'!DR$106=1,HQ12+AEF12,1)</f>
        <v/>
      </c>
      <c r="AJU12">
        <f>IF('calcA'!DS$106=1,HR12+AEG12,1)</f>
        <v/>
      </c>
      <c r="AJV12">
        <f>IF('calcA'!DT$106=1,HS12+AEH12,1)</f>
        <v/>
      </c>
      <c r="AJW12">
        <f>IF('calcA'!DU$106=1,HT12+AEI12,1)</f>
        <v/>
      </c>
      <c r="AJX12">
        <f>IF('calcA'!DV$106=1,HU12+AEJ12,1)</f>
        <v/>
      </c>
      <c r="AJY12">
        <f>IF('calcA'!DW$106=1,HV12+AEK12,1)</f>
        <v/>
      </c>
      <c r="AJZ12">
        <f>IF('calcA'!DX$106=1,HW12+AEL12,1)</f>
        <v/>
      </c>
      <c r="AKA12">
        <f>IF('calcA'!DY$106=1,HX12+AEM12,1)</f>
        <v/>
      </c>
      <c r="AKB12">
        <f>IF('calcA'!DZ$106=1,HY12+AEN12,1)</f>
        <v/>
      </c>
      <c r="AKC12">
        <f>IF('calcA'!EA$106=1,HZ12+AEO12,1)</f>
        <v/>
      </c>
      <c r="AKD12">
        <f>IF('calcA'!EB$106=1,IA12+AEP12,1)</f>
        <v/>
      </c>
      <c r="AKE12">
        <f>IF('calcA'!EC$106=1,IB12+AEQ12,1)</f>
        <v/>
      </c>
      <c r="AKF12">
        <f>IF('calcA'!ED$106=1,IC12+AER12,1)</f>
        <v/>
      </c>
      <c r="AKG12">
        <f>IF('calcA'!EE$106=1,ID12+AES12,1)</f>
        <v/>
      </c>
      <c r="AKH12">
        <f>IF('calcA'!EF$106=1,IE12+AET12,1)</f>
        <v/>
      </c>
      <c r="AKI12">
        <f>IF('calcA'!EG$106=1,IF12+AEU12,1)</f>
        <v/>
      </c>
      <c r="AKJ12">
        <f>IF('calcA'!EH$106=1,IG12+AEV12,1)</f>
        <v/>
      </c>
      <c r="AKK12">
        <f>IF('calcA'!EI$106=1,IH12+AEW12,1)</f>
        <v/>
      </c>
      <c r="AKL12">
        <f>IF('calcA'!EJ$106=1,II12+AEX12,1)</f>
        <v/>
      </c>
      <c r="AKM12">
        <f>IF('calcA'!EK$106=1,IJ12+AEY12,1)</f>
        <v/>
      </c>
      <c r="AKN12">
        <f>IF('calcA'!EL$106=1,IK12+AEZ12,1)</f>
        <v/>
      </c>
      <c r="AKO12">
        <f>IF('calcA'!EM$106=1,IL12+AFA12,1)</f>
        <v/>
      </c>
      <c r="AKP12">
        <f>IF('calcA'!EN$106=1,IM12+AFB12,1)</f>
        <v/>
      </c>
      <c r="AKQ12">
        <f>IF('calcA'!EO$106=1,IN12+AFC12,1)</f>
        <v/>
      </c>
      <c r="AKR12">
        <f>IF('calcA'!EP$106=1,IO12+AFD12,1)</f>
        <v/>
      </c>
      <c r="AKS12" t="n">
        <v>1</v>
      </c>
    </row>
    <row r="13">
      <c r="A13" t="n">
        <v>11</v>
      </c>
      <c r="B13">
        <f>IF(MIN(BM13:CZ13)&gt;=1000000000,0,MATCH(MIN(BM13:CZ13),BM13:CZ13,0))</f>
        <v/>
      </c>
      <c r="C13">
        <f>IF(MIN(OF13:TS13)&gt;=1000000000,0,MATCH(MIN(OF13:TS13),OF13:TS13,0))</f>
        <v/>
      </c>
      <c r="D13">
        <f>IF(C13&gt;0,INDEX('calcA'!$D$5:$EQ$5,C13),0)</f>
        <v/>
      </c>
      <c r="E13">
        <f>IF(B13=0,0,INDEX('calcA'!$IQ$10:$IQ$54,B13))</f>
        <v/>
      </c>
      <c r="F13">
        <f>IF(B13=0,0,INDEX('calcA'!$IP$10:$IP$54,B13))</f>
        <v/>
      </c>
      <c r="G13">
        <f>IF(AND(C13&gt;0,E13&gt;0),IF(AND(INDEX('calcA'!$D$106:$EQ$106,C13)=1,INDEX($IQ13:$OD13,C13)=1),C13+1,0),0)</f>
        <v/>
      </c>
      <c r="H13">
        <f>IF(B13=0,0,INDEX('calcA'!$IW$10:$IW$54,B13))</f>
        <v/>
      </c>
      <c r="U13">
        <f>IF(B13=0,0,INDEX('calcA'!$IX$10:$IX$54,B13))</f>
        <v/>
      </c>
      <c r="V13">
        <f>IF(B13=0,0,INDEX('calcA'!$JF$10:$JF$54,B13))</f>
        <v/>
      </c>
      <c r="W13">
        <f>IF(B13=0,0,IF(IF(E13=2,SUMPRODUCT(INDEX('calcA'!$D$60:$EQ$99,B13,0),$DB13:$IO13,$IQ13:$OD13),SUMPRODUCT(INDEX('calcA'!$D$60:$EQ$99,B13,0),$DB13:$IO13))=0,1,0))</f>
        <v/>
      </c>
      <c r="X13">
        <f>MAX(X12,IF($B12=1,1,0))</f>
        <v/>
      </c>
      <c r="Y13">
        <f>MAX(Y12,IF($B12=2,1,0))</f>
        <v/>
      </c>
      <c r="Z13">
        <f>MAX(Z12,IF($B12=3,1,0))</f>
        <v/>
      </c>
      <c r="AA13">
        <f>MAX(AA12,IF($B12=4,1,0))</f>
        <v/>
      </c>
      <c r="AB13">
        <f>MAX(AB12,IF($B12=5,1,0))</f>
        <v/>
      </c>
      <c r="AC13">
        <f>MAX(AC12,IF($B12=6,1,0))</f>
        <v/>
      </c>
      <c r="AD13">
        <f>MAX(AD12,IF($B12=7,1,0))</f>
        <v/>
      </c>
      <c r="AE13">
        <f>MAX(AE12,IF($B12=8,1,0))</f>
        <v/>
      </c>
      <c r="AF13">
        <f>MAX(AF12,IF($B12=9,1,0))</f>
        <v/>
      </c>
      <c r="AG13">
        <f>MAX(AG12,IF($B12=10,1,0))</f>
        <v/>
      </c>
      <c r="AH13">
        <f>MAX(AH12,IF($B12=11,1,0))</f>
        <v/>
      </c>
      <c r="AI13">
        <f>MAX(AI12,IF($B12=12,1,0))</f>
        <v/>
      </c>
      <c r="AJ13">
        <f>MAX(AJ12,IF($B12=13,1,0))</f>
        <v/>
      </c>
      <c r="AK13">
        <f>MAX(AK12,IF($B12=14,1,0))</f>
        <v/>
      </c>
      <c r="AL13">
        <f>MAX(AL12,IF($B12=15,1,0))</f>
        <v/>
      </c>
      <c r="AM13">
        <f>MAX(AM12,IF($B12=16,1,0))</f>
        <v/>
      </c>
      <c r="AN13">
        <f>MAX(AN12,IF($B12=17,1,0))</f>
        <v/>
      </c>
      <c r="AO13">
        <f>MAX(AO12,IF($B12=18,1,0))</f>
        <v/>
      </c>
      <c r="AP13">
        <f>MAX(AP12,IF($B12=19,1,0))</f>
        <v/>
      </c>
      <c r="AQ13">
        <f>MAX(AQ12,IF($B12=20,1,0))</f>
        <v/>
      </c>
      <c r="AR13">
        <f>MAX(AR12,IF($B12=21,1,0))</f>
        <v/>
      </c>
      <c r="AS13">
        <f>MAX(AS12,IF($B12=22,1,0))</f>
        <v/>
      </c>
      <c r="AT13">
        <f>MAX(AT12,IF($B12=23,1,0))</f>
        <v/>
      </c>
      <c r="AU13">
        <f>MAX(AU12,IF($B12=24,1,0))</f>
        <v/>
      </c>
      <c r="AV13">
        <f>MAX(AV12,IF($B12=25,1,0))</f>
        <v/>
      </c>
      <c r="AW13">
        <f>MAX(AW12,IF($B12=26,1,0))</f>
        <v/>
      </c>
      <c r="AX13">
        <f>MAX(AX12,IF($B12=27,1,0))</f>
        <v/>
      </c>
      <c r="AY13">
        <f>MAX(AY12,IF($B12=28,1,0))</f>
        <v/>
      </c>
      <c r="AZ13">
        <f>MAX(AZ12,IF($B12=29,1,0))</f>
        <v/>
      </c>
      <c r="BA13">
        <f>MAX(BA12,IF($B12=30,1,0))</f>
        <v/>
      </c>
      <c r="BB13">
        <f>MAX(BB12,IF($B12=31,1,0))</f>
        <v/>
      </c>
      <c r="BC13">
        <f>MAX(BC12,IF($B12=32,1,0))</f>
        <v/>
      </c>
      <c r="BD13">
        <f>MAX(BD12,IF($B12=33,1,0))</f>
        <v/>
      </c>
      <c r="BE13">
        <f>MAX(BE12,IF($B12=34,1,0))</f>
        <v/>
      </c>
      <c r="BF13">
        <f>MAX(BF12,IF($B12=35,1,0))</f>
        <v/>
      </c>
      <c r="BG13">
        <f>MAX(BG12,IF($B12=36,1,0))</f>
        <v/>
      </c>
      <c r="BH13">
        <f>MAX(BH12,IF($B12=37,1,0))</f>
        <v/>
      </c>
      <c r="BI13">
        <f>MAX(BI12,IF($B12=38,1,0))</f>
        <v/>
      </c>
      <c r="BJ13">
        <f>MAX(BJ12,IF($B12=39,1,0))</f>
        <v/>
      </c>
      <c r="BK13">
        <f>MAX(BK12,IF($B12=40,1,0))</f>
        <v/>
      </c>
      <c r="BM13">
        <f>IF(OR(X13=1,calcA!$A$6=0),1000000000,IF('calcA'!$JF$10=1,0,100000000)+IF('calcA'!$IQ$10=2,SUMPRODUCT('calcA'!$D$60:$EQ$60,$DB13:$IO13,$IQ13:$OD13)*1000+SUMPRODUCT('calcA'!$D$60:$EQ$60,$DB13:$IO13+$ZQ13:$AFD13,$AFF13:$AKS13),SUMPRODUCT('calcA'!$D$60:$EQ$60,$DB13:$IO13*1001+$ZQ13:$AFD13))*100+1)</f>
        <v/>
      </c>
      <c r="BN13">
        <f>IF(OR(Y13=1,calcA!$A$6=0),1000000000,IF('calcA'!$JF$11=1,0,100000000)+IF('calcA'!$IQ$11=2,SUMPRODUCT('calcA'!$D$61:$EQ$61,$DB13:$IO13,$IQ13:$OD13)*1000+SUMPRODUCT('calcA'!$D$61:$EQ$61,$DB13:$IO13+$ZQ13:$AFD13,$AFF13:$AKS13),SUMPRODUCT('calcA'!$D$61:$EQ$61,$DB13:$IO13*1001+$ZQ13:$AFD13))*100+2)</f>
        <v/>
      </c>
      <c r="BO13">
        <f>IF(OR(Z13=1,calcA!$A$6=0),1000000000,IF('calcA'!$JF$12=1,0,100000000)+IF('calcA'!$IQ$12=2,SUMPRODUCT('calcA'!$D$62:$EQ$62,$DB13:$IO13,$IQ13:$OD13)*1000+SUMPRODUCT('calcA'!$D$62:$EQ$62,$DB13:$IO13+$ZQ13:$AFD13,$AFF13:$AKS13),SUMPRODUCT('calcA'!$D$62:$EQ$62,$DB13:$IO13*1001+$ZQ13:$AFD13))*100+3)</f>
        <v/>
      </c>
      <c r="BP13">
        <f>IF(OR(AA13=1,calcA!$A$6=0),1000000000,IF('calcA'!$JF$13=1,0,100000000)+IF('calcA'!$IQ$13=2,SUMPRODUCT('calcA'!$D$63:$EQ$63,$DB13:$IO13,$IQ13:$OD13)*1000+SUMPRODUCT('calcA'!$D$63:$EQ$63,$DB13:$IO13+$ZQ13:$AFD13,$AFF13:$AKS13),SUMPRODUCT('calcA'!$D$63:$EQ$63,$DB13:$IO13*1001+$ZQ13:$AFD13))*100+4)</f>
        <v/>
      </c>
      <c r="BQ13">
        <f>IF(OR(AB13=1,calcA!$A$6=0),1000000000,IF('calcA'!$JF$14=1,0,100000000)+IF('calcA'!$IQ$14=2,SUMPRODUCT('calcA'!$D$64:$EQ$64,$DB13:$IO13,$IQ13:$OD13)*1000+SUMPRODUCT('calcA'!$D$64:$EQ$64,$DB13:$IO13+$ZQ13:$AFD13,$AFF13:$AKS13),SUMPRODUCT('calcA'!$D$64:$EQ$64,$DB13:$IO13*1001+$ZQ13:$AFD13))*100+5)</f>
        <v/>
      </c>
      <c r="BR13">
        <f>IF(OR(AC13=1,calcA!$A$6=0),1000000000,IF('calcA'!$JF$15=1,0,100000000)+IF('calcA'!$IQ$15=2,SUMPRODUCT('calcA'!$D$65:$EQ$65,$DB13:$IO13,$IQ13:$OD13)*1000+SUMPRODUCT('calcA'!$D$65:$EQ$65,$DB13:$IO13+$ZQ13:$AFD13,$AFF13:$AKS13),SUMPRODUCT('calcA'!$D$65:$EQ$65,$DB13:$IO13*1001+$ZQ13:$AFD13))*100+6)</f>
        <v/>
      </c>
      <c r="BS13">
        <f>IF(OR(AD13=1,calcA!$A$6=0),1000000000,IF('calcA'!$JF$16=1,0,100000000)+IF('calcA'!$IQ$16=2,SUMPRODUCT('calcA'!$D$66:$EQ$66,$DB13:$IO13,$IQ13:$OD13)*1000+SUMPRODUCT('calcA'!$D$66:$EQ$66,$DB13:$IO13+$ZQ13:$AFD13,$AFF13:$AKS13),SUMPRODUCT('calcA'!$D$66:$EQ$66,$DB13:$IO13*1001+$ZQ13:$AFD13))*100+7)</f>
        <v/>
      </c>
      <c r="BT13">
        <f>IF(OR(AE13=1,calcA!$A$6=0),1000000000,IF('calcA'!$JF$17=1,0,100000000)+IF('calcA'!$IQ$17=2,SUMPRODUCT('calcA'!$D$67:$EQ$67,$DB13:$IO13,$IQ13:$OD13)*1000+SUMPRODUCT('calcA'!$D$67:$EQ$67,$DB13:$IO13+$ZQ13:$AFD13,$AFF13:$AKS13),SUMPRODUCT('calcA'!$D$67:$EQ$67,$DB13:$IO13*1001+$ZQ13:$AFD13))*100+8)</f>
        <v/>
      </c>
      <c r="BU13">
        <f>IF(OR(AF13=1,calcA!$A$6=0),1000000000,IF('calcA'!$JF$18=1,0,100000000)+IF('calcA'!$IQ$18=2,SUMPRODUCT('calcA'!$D$68:$EQ$68,$DB13:$IO13,$IQ13:$OD13)*1000+SUMPRODUCT('calcA'!$D$68:$EQ$68,$DB13:$IO13+$ZQ13:$AFD13,$AFF13:$AKS13),SUMPRODUCT('calcA'!$D$68:$EQ$68,$DB13:$IO13*1001+$ZQ13:$AFD13))*100+9)</f>
        <v/>
      </c>
      <c r="BV13">
        <f>IF(OR(AG13=1,calcA!$A$6=0),1000000000,IF('calcA'!$JF$19=1,0,100000000)+IF('calcA'!$IQ$19=2,SUMPRODUCT('calcA'!$D$69:$EQ$69,$DB13:$IO13,$IQ13:$OD13)*1000+SUMPRODUCT('calcA'!$D$69:$EQ$69,$DB13:$IO13+$ZQ13:$AFD13,$AFF13:$AKS13),SUMPRODUCT('calcA'!$D$69:$EQ$69,$DB13:$IO13*1001+$ZQ13:$AFD13))*100+10)</f>
        <v/>
      </c>
      <c r="BW13">
        <f>IF(OR(AH13=1,calcA!$A$6=0),1000000000,IF('calcA'!$JF$20=1,0,100000000)+IF('calcA'!$IQ$20=2,SUMPRODUCT('calcA'!$D$70:$EQ$70,$DB13:$IO13,$IQ13:$OD13)*1000+SUMPRODUCT('calcA'!$D$70:$EQ$70,$DB13:$IO13+$ZQ13:$AFD13,$AFF13:$AKS13),SUMPRODUCT('calcA'!$D$70:$EQ$70,$DB13:$IO13*1001+$ZQ13:$AFD13))*100+11)</f>
        <v/>
      </c>
      <c r="BX13">
        <f>IF(OR(AI13=1,calcA!$A$6=0),1000000000,IF('calcA'!$JF$21=1,0,100000000)+IF('calcA'!$IQ$21=2,SUMPRODUCT('calcA'!$D$71:$EQ$71,$DB13:$IO13,$IQ13:$OD13)*1000+SUMPRODUCT('calcA'!$D$71:$EQ$71,$DB13:$IO13+$ZQ13:$AFD13,$AFF13:$AKS13),SUMPRODUCT('calcA'!$D$71:$EQ$71,$DB13:$IO13*1001+$ZQ13:$AFD13))*100+12)</f>
        <v/>
      </c>
      <c r="BY13">
        <f>IF(OR(AJ13=1,calcA!$A$6=0),1000000000,IF('calcA'!$JF$22=1,0,100000000)+IF('calcA'!$IQ$22=2,SUMPRODUCT('calcA'!$D$72:$EQ$72,$DB13:$IO13,$IQ13:$OD13)*1000+SUMPRODUCT('calcA'!$D$72:$EQ$72,$DB13:$IO13+$ZQ13:$AFD13,$AFF13:$AKS13),SUMPRODUCT('calcA'!$D$72:$EQ$72,$DB13:$IO13*1001+$ZQ13:$AFD13))*100+13)</f>
        <v/>
      </c>
      <c r="BZ13">
        <f>IF(OR(AK13=1,calcA!$A$6=0),1000000000,IF('calcA'!$JF$23=1,0,100000000)+IF('calcA'!$IQ$23=2,SUMPRODUCT('calcA'!$D$73:$EQ$73,$DB13:$IO13,$IQ13:$OD13)*1000+SUMPRODUCT('calcA'!$D$73:$EQ$73,$DB13:$IO13+$ZQ13:$AFD13,$AFF13:$AKS13),SUMPRODUCT('calcA'!$D$73:$EQ$73,$DB13:$IO13*1001+$ZQ13:$AFD13))*100+14)</f>
        <v/>
      </c>
      <c r="CA13">
        <f>IF(OR(AL13=1,calcA!$A$6=0),1000000000,IF('calcA'!$JF$24=1,0,100000000)+IF('calcA'!$IQ$24=2,SUMPRODUCT('calcA'!$D$74:$EQ$74,$DB13:$IO13,$IQ13:$OD13)*1000+SUMPRODUCT('calcA'!$D$74:$EQ$74,$DB13:$IO13+$ZQ13:$AFD13,$AFF13:$AKS13),SUMPRODUCT('calcA'!$D$74:$EQ$74,$DB13:$IO13*1001+$ZQ13:$AFD13))*100+15)</f>
        <v/>
      </c>
      <c r="CB13">
        <f>IF(OR(AM13=1,calcA!$A$6=0),1000000000,IF('calcA'!$JF$25=1,0,100000000)+IF('calcA'!$IQ$25=2,SUMPRODUCT('calcA'!$D$75:$EQ$75,$DB13:$IO13,$IQ13:$OD13)*1000+SUMPRODUCT('calcA'!$D$75:$EQ$75,$DB13:$IO13+$ZQ13:$AFD13,$AFF13:$AKS13),SUMPRODUCT('calcA'!$D$75:$EQ$75,$DB13:$IO13*1001+$ZQ13:$AFD13))*100+16)</f>
        <v/>
      </c>
      <c r="CC13">
        <f>IF(OR(AN13=1,calcA!$A$6=0),1000000000,IF('calcA'!$JF$26=1,0,100000000)+IF('calcA'!$IQ$26=2,SUMPRODUCT('calcA'!$D$76:$EQ$76,$DB13:$IO13,$IQ13:$OD13)*1000+SUMPRODUCT('calcA'!$D$76:$EQ$76,$DB13:$IO13+$ZQ13:$AFD13,$AFF13:$AKS13),SUMPRODUCT('calcA'!$D$76:$EQ$76,$DB13:$IO13*1001+$ZQ13:$AFD13))*100+17)</f>
        <v/>
      </c>
      <c r="CD13">
        <f>IF(OR(AO13=1,calcA!$A$6=0),1000000000,IF('calcA'!$JF$27=1,0,100000000)+IF('calcA'!$IQ$27=2,SUMPRODUCT('calcA'!$D$77:$EQ$77,$DB13:$IO13,$IQ13:$OD13)*1000+SUMPRODUCT('calcA'!$D$77:$EQ$77,$DB13:$IO13+$ZQ13:$AFD13,$AFF13:$AKS13),SUMPRODUCT('calcA'!$D$77:$EQ$77,$DB13:$IO13*1001+$ZQ13:$AFD13))*100+18)</f>
        <v/>
      </c>
      <c r="CE13">
        <f>IF(OR(AP13=1,calcA!$A$6=0),1000000000,IF('calcA'!$JF$28=1,0,100000000)+IF('calcA'!$IQ$28=2,SUMPRODUCT('calcA'!$D$78:$EQ$78,$DB13:$IO13,$IQ13:$OD13)*1000+SUMPRODUCT('calcA'!$D$78:$EQ$78,$DB13:$IO13+$ZQ13:$AFD13,$AFF13:$AKS13),SUMPRODUCT('calcA'!$D$78:$EQ$78,$DB13:$IO13*1001+$ZQ13:$AFD13))*100+19)</f>
        <v/>
      </c>
      <c r="CF13">
        <f>IF(OR(AQ13=1,calcA!$A$6=0),1000000000,IF('calcA'!$JF$29=1,0,100000000)+IF('calcA'!$IQ$29=2,SUMPRODUCT('calcA'!$D$79:$EQ$79,$DB13:$IO13,$IQ13:$OD13)*1000+SUMPRODUCT('calcA'!$D$79:$EQ$79,$DB13:$IO13+$ZQ13:$AFD13,$AFF13:$AKS13),SUMPRODUCT('calcA'!$D$79:$EQ$79,$DB13:$IO13*1001+$ZQ13:$AFD13))*100+20)</f>
        <v/>
      </c>
      <c r="CG13">
        <f>IF(OR(AR13=1,calcA!$A$6=0),1000000000,IF('calcA'!$JF$30=1,0,100000000)+IF('calcA'!$IQ$30=2,SUMPRODUCT('calcA'!$D$80:$EQ$80,$DB13:$IO13,$IQ13:$OD13)*1000+SUMPRODUCT('calcA'!$D$80:$EQ$80,$DB13:$IO13+$ZQ13:$AFD13,$AFF13:$AKS13),SUMPRODUCT('calcA'!$D$80:$EQ$80,$DB13:$IO13*1001+$ZQ13:$AFD13))*100+21)</f>
        <v/>
      </c>
      <c r="CH13">
        <f>IF(OR(AS13=1,calcA!$A$6=0),1000000000,IF('calcA'!$JF$31=1,0,100000000)+IF('calcA'!$IQ$31=2,SUMPRODUCT('calcA'!$D$81:$EQ$81,$DB13:$IO13,$IQ13:$OD13)*1000+SUMPRODUCT('calcA'!$D$81:$EQ$81,$DB13:$IO13+$ZQ13:$AFD13,$AFF13:$AKS13),SUMPRODUCT('calcA'!$D$81:$EQ$81,$DB13:$IO13*1001+$ZQ13:$AFD13))*100+22)</f>
        <v/>
      </c>
      <c r="CI13">
        <f>IF(OR(AT13=1,calcA!$A$6=0),1000000000,IF('calcA'!$JF$32=1,0,100000000)+IF('calcA'!$IQ$32=2,SUMPRODUCT('calcA'!$D$82:$EQ$82,$DB13:$IO13,$IQ13:$OD13)*1000+SUMPRODUCT('calcA'!$D$82:$EQ$82,$DB13:$IO13+$ZQ13:$AFD13,$AFF13:$AKS13),SUMPRODUCT('calcA'!$D$82:$EQ$82,$DB13:$IO13*1001+$ZQ13:$AFD13))*100+23)</f>
        <v/>
      </c>
      <c r="CJ13">
        <f>IF(OR(AU13=1,calcA!$A$6=0),1000000000,IF('calcA'!$JF$33=1,0,100000000)+IF('calcA'!$IQ$33=2,SUMPRODUCT('calcA'!$D$83:$EQ$83,$DB13:$IO13,$IQ13:$OD13)*1000+SUMPRODUCT('calcA'!$D$83:$EQ$83,$DB13:$IO13+$ZQ13:$AFD13,$AFF13:$AKS13),SUMPRODUCT('calcA'!$D$83:$EQ$83,$DB13:$IO13*1001+$ZQ13:$AFD13))*100+24)</f>
        <v/>
      </c>
      <c r="CK13">
        <f>IF(OR(AV13=1,calcA!$A$6=0),1000000000,IF('calcA'!$JF$34=1,0,100000000)+IF('calcA'!$IQ$34=2,SUMPRODUCT('calcA'!$D$84:$EQ$84,$DB13:$IO13,$IQ13:$OD13)*1000+SUMPRODUCT('calcA'!$D$84:$EQ$84,$DB13:$IO13+$ZQ13:$AFD13,$AFF13:$AKS13),SUMPRODUCT('calcA'!$D$84:$EQ$84,$DB13:$IO13*1001+$ZQ13:$AFD13))*100+25)</f>
        <v/>
      </c>
      <c r="CL13">
        <f>IF(OR(AW13=1,calcA!$A$6=0),1000000000,IF('calcA'!$JF$35=1,0,100000000)+IF('calcA'!$IQ$35=2,SUMPRODUCT('calcA'!$D$85:$EQ$85,$DB13:$IO13,$IQ13:$OD13)*1000+SUMPRODUCT('calcA'!$D$85:$EQ$85,$DB13:$IO13+$ZQ13:$AFD13,$AFF13:$AKS13),SUMPRODUCT('calcA'!$D$85:$EQ$85,$DB13:$IO13*1001+$ZQ13:$AFD13))*100+26)</f>
        <v/>
      </c>
      <c r="CM13">
        <f>IF(OR(AX13=1,calcA!$A$6=0),1000000000,IF('calcA'!$JF$36=1,0,100000000)+IF('calcA'!$IQ$36=2,SUMPRODUCT('calcA'!$D$86:$EQ$86,$DB13:$IO13,$IQ13:$OD13)*1000+SUMPRODUCT('calcA'!$D$86:$EQ$86,$DB13:$IO13+$ZQ13:$AFD13,$AFF13:$AKS13),SUMPRODUCT('calcA'!$D$86:$EQ$86,$DB13:$IO13*1001+$ZQ13:$AFD13))*100+27)</f>
        <v/>
      </c>
      <c r="CN13">
        <f>IF(OR(AY13=1,calcA!$A$6=0),1000000000,IF('calcA'!$JF$37=1,0,100000000)+IF('calcA'!$IQ$37=2,SUMPRODUCT('calcA'!$D$87:$EQ$87,$DB13:$IO13,$IQ13:$OD13)*1000+SUMPRODUCT('calcA'!$D$87:$EQ$87,$DB13:$IO13+$ZQ13:$AFD13,$AFF13:$AKS13),SUMPRODUCT('calcA'!$D$87:$EQ$87,$DB13:$IO13*1001+$ZQ13:$AFD13))*100+28)</f>
        <v/>
      </c>
      <c r="CO13">
        <f>IF(OR(AZ13=1,calcA!$A$6=0),1000000000,IF('calcA'!$JF$38=1,0,100000000)+IF('calcA'!$IQ$38=2,SUMPRODUCT('calcA'!$D$88:$EQ$88,$DB13:$IO13,$IQ13:$OD13)*1000+SUMPRODUCT('calcA'!$D$88:$EQ$88,$DB13:$IO13+$ZQ13:$AFD13,$AFF13:$AKS13),SUMPRODUCT('calcA'!$D$88:$EQ$88,$DB13:$IO13*1001+$ZQ13:$AFD13))*100+29)</f>
        <v/>
      </c>
      <c r="CP13">
        <f>IF(OR(BA13=1,calcA!$A$6=0),1000000000,IF('calcA'!$JF$39=1,0,100000000)+IF('calcA'!$IQ$39=2,SUMPRODUCT('calcA'!$D$89:$EQ$89,$DB13:$IO13,$IQ13:$OD13)*1000+SUMPRODUCT('calcA'!$D$89:$EQ$89,$DB13:$IO13+$ZQ13:$AFD13,$AFF13:$AKS13),SUMPRODUCT('calcA'!$D$89:$EQ$89,$DB13:$IO13*1001+$ZQ13:$AFD13))*100+30)</f>
        <v/>
      </c>
      <c r="CQ13">
        <f>IF(OR(BB13=1,calcA!$A$6=0),1000000000,IF('calcA'!$JF$40=1,0,100000000)+IF('calcA'!$IQ$40=2,SUMPRODUCT('calcA'!$D$90:$EQ$90,$DB13:$IO13,$IQ13:$OD13)*1000+SUMPRODUCT('calcA'!$D$90:$EQ$90,$DB13:$IO13+$ZQ13:$AFD13,$AFF13:$AKS13),SUMPRODUCT('calcA'!$D$90:$EQ$90,$DB13:$IO13*1001+$ZQ13:$AFD13))*100+31)</f>
        <v/>
      </c>
      <c r="CR13">
        <f>IF(OR(BC13=1,calcA!$A$6=0),1000000000,IF('calcA'!$JF$41=1,0,100000000)+IF('calcA'!$IQ$41=2,SUMPRODUCT('calcA'!$D$91:$EQ$91,$DB13:$IO13,$IQ13:$OD13)*1000+SUMPRODUCT('calcA'!$D$91:$EQ$91,$DB13:$IO13+$ZQ13:$AFD13,$AFF13:$AKS13),SUMPRODUCT('calcA'!$D$91:$EQ$91,$DB13:$IO13*1001+$ZQ13:$AFD13))*100+32)</f>
        <v/>
      </c>
      <c r="CS13">
        <f>IF(OR(BD13=1,calcA!$A$6=0),1000000000,IF('calcA'!$JF$42=1,0,100000000)+IF('calcA'!$IQ$42=2,SUMPRODUCT('calcA'!$D$92:$EQ$92,$DB13:$IO13,$IQ13:$OD13)*1000+SUMPRODUCT('calcA'!$D$92:$EQ$92,$DB13:$IO13+$ZQ13:$AFD13,$AFF13:$AKS13),SUMPRODUCT('calcA'!$D$92:$EQ$92,$DB13:$IO13*1001+$ZQ13:$AFD13))*100+33)</f>
        <v/>
      </c>
      <c r="CT13">
        <f>IF(OR(BE13=1,calcA!$A$6=0),1000000000,IF('calcA'!$JF$43=1,0,100000000)+IF('calcA'!$IQ$43=2,SUMPRODUCT('calcA'!$D$93:$EQ$93,$DB13:$IO13,$IQ13:$OD13)*1000+SUMPRODUCT('calcA'!$D$93:$EQ$93,$DB13:$IO13+$ZQ13:$AFD13,$AFF13:$AKS13),SUMPRODUCT('calcA'!$D$93:$EQ$93,$DB13:$IO13*1001+$ZQ13:$AFD13))*100+34)</f>
        <v/>
      </c>
      <c r="CU13">
        <f>IF(OR(BF13=1,calcA!$A$6=0),1000000000,IF('calcA'!$JF$44=1,0,100000000)+IF('calcA'!$IQ$44=2,SUMPRODUCT('calcA'!$D$94:$EQ$94,$DB13:$IO13,$IQ13:$OD13)*1000+SUMPRODUCT('calcA'!$D$94:$EQ$94,$DB13:$IO13+$ZQ13:$AFD13,$AFF13:$AKS13),SUMPRODUCT('calcA'!$D$94:$EQ$94,$DB13:$IO13*1001+$ZQ13:$AFD13))*100+35)</f>
        <v/>
      </c>
      <c r="CV13">
        <f>IF(OR(BG13=1,calcA!$A$6=0),1000000000,IF('calcA'!$JF$45=1,0,100000000)+IF('calcA'!$IQ$45=2,SUMPRODUCT('calcA'!$D$95:$EQ$95,$DB13:$IO13,$IQ13:$OD13)*1000+SUMPRODUCT('calcA'!$D$95:$EQ$95,$DB13:$IO13+$ZQ13:$AFD13,$AFF13:$AKS13),SUMPRODUCT('calcA'!$D$95:$EQ$95,$DB13:$IO13*1001+$ZQ13:$AFD13))*100+36)</f>
        <v/>
      </c>
      <c r="CW13">
        <f>IF(OR(BH13=1,calcA!$A$6=0),1000000000,IF('calcA'!$JF$46=1,0,100000000)+IF('calcA'!$IQ$46=2,SUMPRODUCT('calcA'!$D$96:$EQ$96,$DB13:$IO13,$IQ13:$OD13)*1000+SUMPRODUCT('calcA'!$D$96:$EQ$96,$DB13:$IO13+$ZQ13:$AFD13,$AFF13:$AKS13),SUMPRODUCT('calcA'!$D$96:$EQ$96,$DB13:$IO13*1001+$ZQ13:$AFD13))*100+37)</f>
        <v/>
      </c>
      <c r="CX13">
        <f>IF(OR(BI13=1,calcA!$A$6=0),1000000000,IF('calcA'!$JF$47=1,0,100000000)+IF('calcA'!$IQ$47=2,SUMPRODUCT('calcA'!$D$97:$EQ$97,$DB13:$IO13,$IQ13:$OD13)*1000+SUMPRODUCT('calcA'!$D$97:$EQ$97,$DB13:$IO13+$ZQ13:$AFD13,$AFF13:$AKS13),SUMPRODUCT('calcA'!$D$97:$EQ$97,$DB13:$IO13*1001+$ZQ13:$AFD13))*100+38)</f>
        <v/>
      </c>
      <c r="CY13">
        <f>IF(OR(BJ13=1,calcA!$A$6=0),1000000000,IF('calcA'!$JF$48=1,0,100000000)+IF('calcA'!$IQ$48=2,SUMPRODUCT('calcA'!$D$98:$EQ$98,$DB13:$IO13,$IQ13:$OD13)*1000+SUMPRODUCT('calcA'!$D$98:$EQ$98,$DB13:$IO13+$ZQ13:$AFD13,$AFF13:$AKS13),SUMPRODUCT('calcA'!$D$98:$EQ$98,$DB13:$IO13*1001+$ZQ13:$AFD13))*100+39)</f>
        <v/>
      </c>
      <c r="CZ13">
        <f>IF(OR(BK13=1,calcA!$A$6=0),1000000000,IF('calcA'!$JF$49=1,0,100000000)+IF('calcA'!$IQ$49=2,SUMPRODUCT('calcA'!$D$99:$EQ$99,$DB13:$IO13,$IQ13:$OD13)*1000+SUMPRODUCT('calcA'!$D$99:$EQ$99,$DB13:$IO13+$ZQ13:$AFD13,$AFF13:$AKS13),SUMPRODUCT('calcA'!$D$99:$EQ$99,$DB13:$IO13*1001+$ZQ13:$AFD13))*100+40)</f>
        <v/>
      </c>
      <c r="DB13">
        <f>DB12*IF(OR($C12=1,$G12=1),0,1)</f>
        <v/>
      </c>
      <c r="DC13">
        <f>DC12*IF(OR($C12=2,$G12=2),0,1)</f>
        <v/>
      </c>
      <c r="DD13">
        <f>DD12*IF(OR($C12=3,$G12=3),0,1)</f>
        <v/>
      </c>
      <c r="DE13">
        <f>DE12*IF(OR($C12=4,$G12=4),0,1)</f>
        <v/>
      </c>
      <c r="DF13">
        <f>DF12*IF(OR($C12=5,$G12=5),0,1)</f>
        <v/>
      </c>
      <c r="DG13">
        <f>DG12*IF(OR($C12=6,$G12=6),0,1)</f>
        <v/>
      </c>
      <c r="DH13">
        <f>DH12*IF(OR($C12=7,$G12=7),0,1)</f>
        <v/>
      </c>
      <c r="DI13">
        <f>DI12*IF(OR($C12=8,$G12=8),0,1)</f>
        <v/>
      </c>
      <c r="DJ13">
        <f>DJ12*IF(OR($C12=9,$G12=9),0,1)</f>
        <v/>
      </c>
      <c r="DK13">
        <f>DK12*IF(OR($C12=10,$G12=10),0,1)</f>
        <v/>
      </c>
      <c r="DL13">
        <f>DL12*IF(OR($C12=11,$G12=11),0,1)</f>
        <v/>
      </c>
      <c r="DM13">
        <f>DM12*IF(OR($C12=12,$G12=12),0,1)</f>
        <v/>
      </c>
      <c r="DN13">
        <f>DN12*IF(OR($C12=13,$G12=13),0,1)</f>
        <v/>
      </c>
      <c r="DO13">
        <f>DO12*IF(OR($C12=14,$G12=14),0,1)</f>
        <v/>
      </c>
      <c r="DP13">
        <f>DP12*IF(OR($C12=15,$G12=15),0,1)</f>
        <v/>
      </c>
      <c r="DQ13">
        <f>DQ12*IF(OR($C12=16,$G12=16),0,1)</f>
        <v/>
      </c>
      <c r="DR13">
        <f>DR12*IF(OR($C12=17,$G12=17),0,1)</f>
        <v/>
      </c>
      <c r="DS13">
        <f>DS12*IF(OR($C12=18,$G12=18),0,1)</f>
        <v/>
      </c>
      <c r="DT13">
        <f>DT12*IF(OR($C12=19,$G12=19),0,1)</f>
        <v/>
      </c>
      <c r="DU13">
        <f>DU12*IF(OR($C12=20,$G12=20),0,1)</f>
        <v/>
      </c>
      <c r="DV13">
        <f>DV12*IF(OR($C12=21,$G12=21),0,1)</f>
        <v/>
      </c>
      <c r="DW13">
        <f>DW12*IF(OR($C12=22,$G12=22),0,1)</f>
        <v/>
      </c>
      <c r="DX13">
        <f>DX12*IF(OR($C12=23,$G12=23),0,1)</f>
        <v/>
      </c>
      <c r="DY13">
        <f>DY12*IF(OR($C12=24,$G12=24),0,1)</f>
        <v/>
      </c>
      <c r="DZ13">
        <f>DZ12*IF(OR($C12=25,$G12=25),0,1)</f>
        <v/>
      </c>
      <c r="EA13">
        <f>EA12*IF(OR($C12=26,$G12=26),0,1)</f>
        <v/>
      </c>
      <c r="EB13">
        <f>EB12*IF(OR($C12=27,$G12=27),0,1)</f>
        <v/>
      </c>
      <c r="EC13">
        <f>EC12*IF(OR($C12=28,$G12=28),0,1)</f>
        <v/>
      </c>
      <c r="ED13">
        <f>ED12*IF(OR($C12=29,$G12=29),0,1)</f>
        <v/>
      </c>
      <c r="EE13">
        <f>EE12*IF(OR($C12=30,$G12=30),0,1)</f>
        <v/>
      </c>
      <c r="EF13">
        <f>EF12*IF(OR($C12=31,$G12=31),0,1)</f>
        <v/>
      </c>
      <c r="EG13">
        <f>EG12*IF(OR($C12=32,$G12=32),0,1)</f>
        <v/>
      </c>
      <c r="EH13">
        <f>EH12*IF(OR($C12=33,$G12=33),0,1)</f>
        <v/>
      </c>
      <c r="EI13">
        <f>EI12*IF(OR($C12=34,$G12=34),0,1)</f>
        <v/>
      </c>
      <c r="EJ13">
        <f>EJ12*IF(OR($C12=35,$G12=35),0,1)</f>
        <v/>
      </c>
      <c r="EK13">
        <f>EK12*IF(OR($C12=36,$G12=36),0,1)</f>
        <v/>
      </c>
      <c r="EL13">
        <f>EL12*IF(OR($C12=37,$G12=37),0,1)</f>
        <v/>
      </c>
      <c r="EM13">
        <f>EM12*IF(OR($C12=38,$G12=38),0,1)</f>
        <v/>
      </c>
      <c r="EN13">
        <f>EN12*IF(OR($C12=39,$G12=39),0,1)</f>
        <v/>
      </c>
      <c r="EO13">
        <f>EO12*IF(OR($C12=40,$G12=40),0,1)</f>
        <v/>
      </c>
      <c r="EP13">
        <f>EP12*IF(OR($C12=41,$G12=41),0,1)</f>
        <v/>
      </c>
      <c r="EQ13">
        <f>EQ12*IF(OR($C12=42,$G12=42),0,1)</f>
        <v/>
      </c>
      <c r="ER13">
        <f>ER12*IF(OR($C12=43,$G12=43),0,1)</f>
        <v/>
      </c>
      <c r="ES13">
        <f>ES12*IF(OR($C12=44,$G12=44),0,1)</f>
        <v/>
      </c>
      <c r="ET13">
        <f>ET12*IF(OR($C12=45,$G12=45),0,1)</f>
        <v/>
      </c>
      <c r="EU13">
        <f>EU12*IF(OR($C12=46,$G12=46),0,1)</f>
        <v/>
      </c>
      <c r="EV13">
        <f>EV12*IF(OR($C12=47,$G12=47),0,1)</f>
        <v/>
      </c>
      <c r="EW13">
        <f>EW12*IF(OR($C12=48,$G12=48),0,1)</f>
        <v/>
      </c>
      <c r="EX13">
        <f>EX12*IF(OR($C12=49,$G12=49),0,1)</f>
        <v/>
      </c>
      <c r="EY13">
        <f>EY12*IF(OR($C12=50,$G12=50),0,1)</f>
        <v/>
      </c>
      <c r="EZ13">
        <f>EZ12*IF(OR($C12=51,$G12=51),0,1)</f>
        <v/>
      </c>
      <c r="FA13">
        <f>FA12*IF(OR($C12=52,$G12=52),0,1)</f>
        <v/>
      </c>
      <c r="FB13">
        <f>FB12*IF(OR($C12=53,$G12=53),0,1)</f>
        <v/>
      </c>
      <c r="FC13">
        <f>FC12*IF(OR($C12=54,$G12=54),0,1)</f>
        <v/>
      </c>
      <c r="FD13">
        <f>FD12*IF(OR($C12=55,$G12=55),0,1)</f>
        <v/>
      </c>
      <c r="FE13">
        <f>FE12*IF(OR($C12=56,$G12=56),0,1)</f>
        <v/>
      </c>
      <c r="FF13">
        <f>FF12*IF(OR($C12=57,$G12=57),0,1)</f>
        <v/>
      </c>
      <c r="FG13">
        <f>FG12*IF(OR($C12=58,$G12=58),0,1)</f>
        <v/>
      </c>
      <c r="FH13">
        <f>FH12*IF(OR($C12=59,$G12=59),0,1)</f>
        <v/>
      </c>
      <c r="FI13">
        <f>FI12*IF(OR($C12=60,$G12=60),0,1)</f>
        <v/>
      </c>
      <c r="FJ13">
        <f>FJ12*IF(OR($C12=61,$G12=61),0,1)</f>
        <v/>
      </c>
      <c r="FK13">
        <f>FK12*IF(OR($C12=62,$G12=62),0,1)</f>
        <v/>
      </c>
      <c r="FL13">
        <f>FL12*IF(OR($C12=63,$G12=63),0,1)</f>
        <v/>
      </c>
      <c r="FM13">
        <f>FM12*IF(OR($C12=64,$G12=64),0,1)</f>
        <v/>
      </c>
      <c r="FN13">
        <f>FN12*IF(OR($C12=65,$G12=65),0,1)</f>
        <v/>
      </c>
      <c r="FO13">
        <f>FO12*IF(OR($C12=66,$G12=66),0,1)</f>
        <v/>
      </c>
      <c r="FP13">
        <f>FP12*IF(OR($C12=67,$G12=67),0,1)</f>
        <v/>
      </c>
      <c r="FQ13">
        <f>FQ12*IF(OR($C12=68,$G12=68),0,1)</f>
        <v/>
      </c>
      <c r="FR13">
        <f>FR12*IF(OR($C12=69,$G12=69),0,1)</f>
        <v/>
      </c>
      <c r="FS13">
        <f>FS12*IF(OR($C12=70,$G12=70),0,1)</f>
        <v/>
      </c>
      <c r="FT13">
        <f>FT12*IF(OR($C12=71,$G12=71),0,1)</f>
        <v/>
      </c>
      <c r="FU13">
        <f>FU12*IF(OR($C12=72,$G12=72),0,1)</f>
        <v/>
      </c>
      <c r="FV13">
        <f>FV12*IF(OR($C12=73,$G12=73),0,1)</f>
        <v/>
      </c>
      <c r="FW13">
        <f>FW12*IF(OR($C12=74,$G12=74),0,1)</f>
        <v/>
      </c>
      <c r="FX13">
        <f>FX12*IF(OR($C12=75,$G12=75),0,1)</f>
        <v/>
      </c>
      <c r="FY13">
        <f>FY12*IF(OR($C12=76,$G12=76),0,1)</f>
        <v/>
      </c>
      <c r="FZ13">
        <f>FZ12*IF(OR($C12=77,$G12=77),0,1)</f>
        <v/>
      </c>
      <c r="GA13">
        <f>GA12*IF(OR($C12=78,$G12=78),0,1)</f>
        <v/>
      </c>
      <c r="GB13">
        <f>GB12*IF(OR($C12=79,$G12=79),0,1)</f>
        <v/>
      </c>
      <c r="GC13">
        <f>GC12*IF(OR($C12=80,$G12=80),0,1)</f>
        <v/>
      </c>
      <c r="GD13">
        <f>GD12*IF(OR($C12=81,$G12=81),0,1)</f>
        <v/>
      </c>
      <c r="GE13">
        <f>GE12*IF(OR($C12=82,$G12=82),0,1)</f>
        <v/>
      </c>
      <c r="GF13">
        <f>GF12*IF(OR($C12=83,$G12=83),0,1)</f>
        <v/>
      </c>
      <c r="GG13">
        <f>GG12*IF(OR($C12=84,$G12=84),0,1)</f>
        <v/>
      </c>
      <c r="GH13">
        <f>GH12*IF(OR($C12=85,$G12=85),0,1)</f>
        <v/>
      </c>
      <c r="GI13">
        <f>GI12*IF(OR($C12=86,$G12=86),0,1)</f>
        <v/>
      </c>
      <c r="GJ13">
        <f>GJ12*IF(OR($C12=87,$G12=87),0,1)</f>
        <v/>
      </c>
      <c r="GK13">
        <f>GK12*IF(OR($C12=88,$G12=88),0,1)</f>
        <v/>
      </c>
      <c r="GL13">
        <f>GL12*IF(OR($C12=89,$G12=89),0,1)</f>
        <v/>
      </c>
      <c r="GM13">
        <f>GM12*IF(OR($C12=90,$G12=90),0,1)</f>
        <v/>
      </c>
      <c r="GN13">
        <f>GN12*IF(OR($C12=91,$G12=91),0,1)</f>
        <v/>
      </c>
      <c r="GO13">
        <f>GO12*IF(OR($C12=92,$G12=92),0,1)</f>
        <v/>
      </c>
      <c r="GP13">
        <f>GP12*IF(OR($C12=93,$G12=93),0,1)</f>
        <v/>
      </c>
      <c r="GQ13">
        <f>GQ12*IF(OR($C12=94,$G12=94),0,1)</f>
        <v/>
      </c>
      <c r="GR13">
        <f>GR12*IF(OR($C12=95,$G12=95),0,1)</f>
        <v/>
      </c>
      <c r="GS13">
        <f>GS12*IF(OR($C12=96,$G12=96),0,1)</f>
        <v/>
      </c>
      <c r="GT13">
        <f>GT12*IF(OR($C12=97,$G12=97),0,1)</f>
        <v/>
      </c>
      <c r="GU13">
        <f>GU12*IF(OR($C12=98,$G12=98),0,1)</f>
        <v/>
      </c>
      <c r="GV13">
        <f>GV12*IF(OR($C12=99,$G12=99),0,1)</f>
        <v/>
      </c>
      <c r="GW13">
        <f>GW12*IF(OR($C12=100,$G12=100),0,1)</f>
        <v/>
      </c>
      <c r="GX13">
        <f>GX12*IF(OR($C12=101,$G12=101),0,1)</f>
        <v/>
      </c>
      <c r="GY13">
        <f>GY12*IF(OR($C12=102,$G12=102),0,1)</f>
        <v/>
      </c>
      <c r="GZ13">
        <f>GZ12*IF(OR($C12=103,$G12=103),0,1)</f>
        <v/>
      </c>
      <c r="HA13">
        <f>HA12*IF(OR($C12=104,$G12=104),0,1)</f>
        <v/>
      </c>
      <c r="HB13">
        <f>HB12*IF(OR($C12=105,$G12=105),0,1)</f>
        <v/>
      </c>
      <c r="HC13">
        <f>HC12*IF(OR($C12=106,$G12=106),0,1)</f>
        <v/>
      </c>
      <c r="HD13">
        <f>HD12*IF(OR($C12=107,$G12=107),0,1)</f>
        <v/>
      </c>
      <c r="HE13">
        <f>HE12*IF(OR($C12=108,$G12=108),0,1)</f>
        <v/>
      </c>
      <c r="HF13">
        <f>HF12*IF(OR($C12=109,$G12=109),0,1)</f>
        <v/>
      </c>
      <c r="HG13">
        <f>HG12*IF(OR($C12=110,$G12=110),0,1)</f>
        <v/>
      </c>
      <c r="HH13">
        <f>HH12*IF(OR($C12=111,$G12=111),0,1)</f>
        <v/>
      </c>
      <c r="HI13">
        <f>HI12*IF(OR($C12=112,$G12=112),0,1)</f>
        <v/>
      </c>
      <c r="HJ13">
        <f>HJ12*IF(OR($C12=113,$G12=113),0,1)</f>
        <v/>
      </c>
      <c r="HK13">
        <f>HK12*IF(OR($C12=114,$G12=114),0,1)</f>
        <v/>
      </c>
      <c r="HL13">
        <f>HL12*IF(OR($C12=115,$G12=115),0,1)</f>
        <v/>
      </c>
      <c r="HM13">
        <f>HM12*IF(OR($C12=116,$G12=116),0,1)</f>
        <v/>
      </c>
      <c r="HN13">
        <f>HN12*IF(OR($C12=117,$G12=117),0,1)</f>
        <v/>
      </c>
      <c r="HO13">
        <f>HO12*IF(OR($C12=118,$G12=118),0,1)</f>
        <v/>
      </c>
      <c r="HP13">
        <f>HP12*IF(OR($C12=119,$G12=119),0,1)</f>
        <v/>
      </c>
      <c r="HQ13">
        <f>HQ12*IF(OR($C12=120,$G12=120),0,1)</f>
        <v/>
      </c>
      <c r="HR13">
        <f>HR12*IF(OR($C12=121,$G12=121),0,1)</f>
        <v/>
      </c>
      <c r="HS13">
        <f>HS12*IF(OR($C12=122,$G12=122),0,1)</f>
        <v/>
      </c>
      <c r="HT13">
        <f>HT12*IF(OR($C12=123,$G12=123),0,1)</f>
        <v/>
      </c>
      <c r="HU13">
        <f>HU12*IF(OR($C12=124,$G12=124),0,1)</f>
        <v/>
      </c>
      <c r="HV13">
        <f>HV12*IF(OR($C12=125,$G12=125),0,1)</f>
        <v/>
      </c>
      <c r="HW13">
        <f>HW12*IF(OR($C12=126,$G12=126),0,1)</f>
        <v/>
      </c>
      <c r="HX13">
        <f>HX12*IF(OR($C12=127,$G12=127),0,1)</f>
        <v/>
      </c>
      <c r="HY13">
        <f>HY12*IF(OR($C12=128,$G12=128),0,1)</f>
        <v/>
      </c>
      <c r="HZ13">
        <f>HZ12*IF(OR($C12=129,$G12=129),0,1)</f>
        <v/>
      </c>
      <c r="IA13">
        <f>IA12*IF(OR($C12=130,$G12=130),0,1)</f>
        <v/>
      </c>
      <c r="IB13">
        <f>IB12*IF(OR($C12=131,$G12=131),0,1)</f>
        <v/>
      </c>
      <c r="IC13">
        <f>IC12*IF(OR($C12=132,$G12=132),0,1)</f>
        <v/>
      </c>
      <c r="ID13">
        <f>ID12*IF(OR($C12=133,$G12=133),0,1)</f>
        <v/>
      </c>
      <c r="IE13">
        <f>IE12*IF(OR($C12=134,$G12=134),0,1)</f>
        <v/>
      </c>
      <c r="IF13">
        <f>IF12*IF(OR($C12=135,$G12=135),0,1)</f>
        <v/>
      </c>
      <c r="IG13">
        <f>IG12*IF(OR($C12=136,$G12=136),0,1)</f>
        <v/>
      </c>
      <c r="IH13">
        <f>IH12*IF(OR($C12=137,$G12=137),0,1)</f>
        <v/>
      </c>
      <c r="II13">
        <f>II12*IF(OR($C12=138,$G12=138),0,1)</f>
        <v/>
      </c>
      <c r="IJ13">
        <f>IJ12*IF(OR($C12=139,$G12=139),0,1)</f>
        <v/>
      </c>
      <c r="IK13">
        <f>IK12*IF(OR($C12=140,$G12=140),0,1)</f>
        <v/>
      </c>
      <c r="IL13">
        <f>IL12*IF(OR($C12=141,$G12=141),0,1)</f>
        <v/>
      </c>
      <c r="IM13">
        <f>IM12*IF(OR($C12=142,$G12=142),0,1)</f>
        <v/>
      </c>
      <c r="IN13">
        <f>IN12*IF(OR($C12=143,$G12=143),0,1)</f>
        <v/>
      </c>
      <c r="IO13">
        <f>IO12*IF(OR($C12=144,$G12=144),0,1)</f>
        <v/>
      </c>
      <c r="IQ13">
        <f>IF('calcA'!D$106=1,DC13,1)</f>
        <v/>
      </c>
      <c r="IR13">
        <f>IF('calcA'!E$106=1,DD13,1)</f>
        <v/>
      </c>
      <c r="IS13">
        <f>IF('calcA'!F$106=1,DE13,1)</f>
        <v/>
      </c>
      <c r="IT13">
        <f>IF('calcA'!G$106=1,DF13,1)</f>
        <v/>
      </c>
      <c r="IU13">
        <f>IF('calcA'!H$106=1,DG13,1)</f>
        <v/>
      </c>
      <c r="IV13">
        <f>IF('calcA'!I$106=1,DH13,1)</f>
        <v/>
      </c>
      <c r="IW13">
        <f>IF('calcA'!J$106=1,DI13,1)</f>
        <v/>
      </c>
      <c r="IX13">
        <f>IF('calcA'!K$106=1,DJ13,1)</f>
        <v/>
      </c>
      <c r="IY13">
        <f>IF('calcA'!L$106=1,DK13,1)</f>
        <v/>
      </c>
      <c r="IZ13">
        <f>IF('calcA'!M$106=1,DL13,1)</f>
        <v/>
      </c>
      <c r="JA13">
        <f>IF('calcA'!N$106=1,DM13,1)</f>
        <v/>
      </c>
      <c r="JB13">
        <f>IF('calcA'!O$106=1,DN13,1)</f>
        <v/>
      </c>
      <c r="JC13">
        <f>IF('calcA'!P$106=1,DO13,1)</f>
        <v/>
      </c>
      <c r="JD13">
        <f>IF('calcA'!Q$106=1,DP13,1)</f>
        <v/>
      </c>
      <c r="JE13">
        <f>IF('calcA'!R$106=1,DQ13,1)</f>
        <v/>
      </c>
      <c r="JF13">
        <f>IF('calcA'!S$106=1,DR13,1)</f>
        <v/>
      </c>
      <c r="JG13">
        <f>IF('calcA'!T$106=1,DS13,1)</f>
        <v/>
      </c>
      <c r="JH13">
        <f>IF('calcA'!U$106=1,DT13,1)</f>
        <v/>
      </c>
      <c r="JI13">
        <f>IF('calcA'!V$106=1,DU13,1)</f>
        <v/>
      </c>
      <c r="JJ13">
        <f>IF('calcA'!W$106=1,DV13,1)</f>
        <v/>
      </c>
      <c r="JK13">
        <f>IF('calcA'!X$106=1,DW13,1)</f>
        <v/>
      </c>
      <c r="JL13">
        <f>IF('calcA'!Y$106=1,DX13,1)</f>
        <v/>
      </c>
      <c r="JM13">
        <f>IF('calcA'!Z$106=1,DY13,1)</f>
        <v/>
      </c>
      <c r="JN13">
        <f>IF('calcA'!AA$106=1,DZ13,1)</f>
        <v/>
      </c>
      <c r="JO13">
        <f>IF('calcA'!AB$106=1,EA13,1)</f>
        <v/>
      </c>
      <c r="JP13">
        <f>IF('calcA'!AC$106=1,EB13,1)</f>
        <v/>
      </c>
      <c r="JQ13">
        <f>IF('calcA'!AD$106=1,EC13,1)</f>
        <v/>
      </c>
      <c r="JR13">
        <f>IF('calcA'!AE$106=1,ED13,1)</f>
        <v/>
      </c>
      <c r="JS13">
        <f>IF('calcA'!AF$106=1,EE13,1)</f>
        <v/>
      </c>
      <c r="JT13">
        <f>IF('calcA'!AG$106=1,EF13,1)</f>
        <v/>
      </c>
      <c r="JU13">
        <f>IF('calcA'!AH$106=1,EG13,1)</f>
        <v/>
      </c>
      <c r="JV13">
        <f>IF('calcA'!AI$106=1,EH13,1)</f>
        <v/>
      </c>
      <c r="JW13">
        <f>IF('calcA'!AJ$106=1,EI13,1)</f>
        <v/>
      </c>
      <c r="JX13">
        <f>IF('calcA'!AK$106=1,EJ13,1)</f>
        <v/>
      </c>
      <c r="JY13">
        <f>IF('calcA'!AL$106=1,EK13,1)</f>
        <v/>
      </c>
      <c r="JZ13">
        <f>IF('calcA'!AM$106=1,EL13,1)</f>
        <v/>
      </c>
      <c r="KA13">
        <f>IF('calcA'!AN$106=1,EM13,1)</f>
        <v/>
      </c>
      <c r="KB13">
        <f>IF('calcA'!AO$106=1,EN13,1)</f>
        <v/>
      </c>
      <c r="KC13">
        <f>IF('calcA'!AP$106=1,EO13,1)</f>
        <v/>
      </c>
      <c r="KD13">
        <f>IF('calcA'!AQ$106=1,EP13,1)</f>
        <v/>
      </c>
      <c r="KE13">
        <f>IF('calcA'!AR$106=1,EQ13,1)</f>
        <v/>
      </c>
      <c r="KF13">
        <f>IF('calcA'!AS$106=1,ER13,1)</f>
        <v/>
      </c>
      <c r="KG13">
        <f>IF('calcA'!AT$106=1,ES13,1)</f>
        <v/>
      </c>
      <c r="KH13">
        <f>IF('calcA'!AU$106=1,ET13,1)</f>
        <v/>
      </c>
      <c r="KI13">
        <f>IF('calcA'!AV$106=1,EU13,1)</f>
        <v/>
      </c>
      <c r="KJ13">
        <f>IF('calcA'!AW$106=1,EV13,1)</f>
        <v/>
      </c>
      <c r="KK13">
        <f>IF('calcA'!AX$106=1,EW13,1)</f>
        <v/>
      </c>
      <c r="KL13">
        <f>IF('calcA'!AY$106=1,EX13,1)</f>
        <v/>
      </c>
      <c r="KM13">
        <f>IF('calcA'!AZ$106=1,EY13,1)</f>
        <v/>
      </c>
      <c r="KN13">
        <f>IF('calcA'!BA$106=1,EZ13,1)</f>
        <v/>
      </c>
      <c r="KO13">
        <f>IF('calcA'!BB$106=1,FA13,1)</f>
        <v/>
      </c>
      <c r="KP13">
        <f>IF('calcA'!BC$106=1,FB13,1)</f>
        <v/>
      </c>
      <c r="KQ13">
        <f>IF('calcA'!BD$106=1,FC13,1)</f>
        <v/>
      </c>
      <c r="KR13">
        <f>IF('calcA'!BE$106=1,FD13,1)</f>
        <v/>
      </c>
      <c r="KS13">
        <f>IF('calcA'!BF$106=1,FE13,1)</f>
        <v/>
      </c>
      <c r="KT13">
        <f>IF('calcA'!BG$106=1,FF13,1)</f>
        <v/>
      </c>
      <c r="KU13">
        <f>IF('calcA'!BH$106=1,FG13,1)</f>
        <v/>
      </c>
      <c r="KV13">
        <f>IF('calcA'!BI$106=1,FH13,1)</f>
        <v/>
      </c>
      <c r="KW13">
        <f>IF('calcA'!BJ$106=1,FI13,1)</f>
        <v/>
      </c>
      <c r="KX13">
        <f>IF('calcA'!BK$106=1,FJ13,1)</f>
        <v/>
      </c>
      <c r="KY13">
        <f>IF('calcA'!BL$106=1,FK13,1)</f>
        <v/>
      </c>
      <c r="KZ13">
        <f>IF('calcA'!BM$106=1,FL13,1)</f>
        <v/>
      </c>
      <c r="LA13">
        <f>IF('calcA'!BN$106=1,FM13,1)</f>
        <v/>
      </c>
      <c r="LB13">
        <f>IF('calcA'!BO$106=1,FN13,1)</f>
        <v/>
      </c>
      <c r="LC13">
        <f>IF('calcA'!BP$106=1,FO13,1)</f>
        <v/>
      </c>
      <c r="LD13">
        <f>IF('calcA'!BQ$106=1,FP13,1)</f>
        <v/>
      </c>
      <c r="LE13">
        <f>IF('calcA'!BR$106=1,FQ13,1)</f>
        <v/>
      </c>
      <c r="LF13">
        <f>IF('calcA'!BS$106=1,FR13,1)</f>
        <v/>
      </c>
      <c r="LG13">
        <f>IF('calcA'!BT$106=1,FS13,1)</f>
        <v/>
      </c>
      <c r="LH13">
        <f>IF('calcA'!BU$106=1,FT13,1)</f>
        <v/>
      </c>
      <c r="LI13">
        <f>IF('calcA'!BV$106=1,FU13,1)</f>
        <v/>
      </c>
      <c r="LJ13">
        <f>IF('calcA'!BW$106=1,FV13,1)</f>
        <v/>
      </c>
      <c r="LK13">
        <f>IF('calcA'!BX$106=1,FW13,1)</f>
        <v/>
      </c>
      <c r="LL13">
        <f>IF('calcA'!BY$106=1,FX13,1)</f>
        <v/>
      </c>
      <c r="LM13">
        <f>IF('calcA'!BZ$106=1,FY13,1)</f>
        <v/>
      </c>
      <c r="LN13">
        <f>IF('calcA'!CA$106=1,FZ13,1)</f>
        <v/>
      </c>
      <c r="LO13">
        <f>IF('calcA'!CB$106=1,GA13,1)</f>
        <v/>
      </c>
      <c r="LP13">
        <f>IF('calcA'!CC$106=1,GB13,1)</f>
        <v/>
      </c>
      <c r="LQ13">
        <f>IF('calcA'!CD$106=1,GC13,1)</f>
        <v/>
      </c>
      <c r="LR13">
        <f>IF('calcA'!CE$106=1,GD13,1)</f>
        <v/>
      </c>
      <c r="LS13">
        <f>IF('calcA'!CF$106=1,GE13,1)</f>
        <v/>
      </c>
      <c r="LT13">
        <f>IF('calcA'!CG$106=1,GF13,1)</f>
        <v/>
      </c>
      <c r="LU13">
        <f>IF('calcA'!CH$106=1,GG13,1)</f>
        <v/>
      </c>
      <c r="LV13">
        <f>IF('calcA'!CI$106=1,GH13,1)</f>
        <v/>
      </c>
      <c r="LW13">
        <f>IF('calcA'!CJ$106=1,GI13,1)</f>
        <v/>
      </c>
      <c r="LX13">
        <f>IF('calcA'!CK$106=1,GJ13,1)</f>
        <v/>
      </c>
      <c r="LY13">
        <f>IF('calcA'!CL$106=1,GK13,1)</f>
        <v/>
      </c>
      <c r="LZ13">
        <f>IF('calcA'!CM$106=1,GL13,1)</f>
        <v/>
      </c>
      <c r="MA13">
        <f>IF('calcA'!CN$106=1,GM13,1)</f>
        <v/>
      </c>
      <c r="MB13">
        <f>IF('calcA'!CO$106=1,GN13,1)</f>
        <v/>
      </c>
      <c r="MC13">
        <f>IF('calcA'!CP$106=1,GO13,1)</f>
        <v/>
      </c>
      <c r="MD13">
        <f>IF('calcA'!CQ$106=1,GP13,1)</f>
        <v/>
      </c>
      <c r="ME13">
        <f>IF('calcA'!CR$106=1,GQ13,1)</f>
        <v/>
      </c>
      <c r="MF13">
        <f>IF('calcA'!CS$106=1,GR13,1)</f>
        <v/>
      </c>
      <c r="MG13">
        <f>IF('calcA'!CT$106=1,GS13,1)</f>
        <v/>
      </c>
      <c r="MH13">
        <f>IF('calcA'!CU$106=1,GT13,1)</f>
        <v/>
      </c>
      <c r="MI13">
        <f>IF('calcA'!CV$106=1,GU13,1)</f>
        <v/>
      </c>
      <c r="MJ13">
        <f>IF('calcA'!CW$106=1,GV13,1)</f>
        <v/>
      </c>
      <c r="MK13">
        <f>IF('calcA'!CX$106=1,GW13,1)</f>
        <v/>
      </c>
      <c r="ML13">
        <f>IF('calcA'!CY$106=1,GX13,1)</f>
        <v/>
      </c>
      <c r="MM13">
        <f>IF('calcA'!CZ$106=1,GY13,1)</f>
        <v/>
      </c>
      <c r="MN13">
        <f>IF('calcA'!DA$106=1,GZ13,1)</f>
        <v/>
      </c>
      <c r="MO13">
        <f>IF('calcA'!DB$106=1,HA13,1)</f>
        <v/>
      </c>
      <c r="MP13">
        <f>IF('calcA'!DC$106=1,HB13,1)</f>
        <v/>
      </c>
      <c r="MQ13">
        <f>IF('calcA'!DD$106=1,HC13,1)</f>
        <v/>
      </c>
      <c r="MR13">
        <f>IF('calcA'!DE$106=1,HD13,1)</f>
        <v/>
      </c>
      <c r="MS13">
        <f>IF('calcA'!DF$106=1,HE13,1)</f>
        <v/>
      </c>
      <c r="MT13">
        <f>IF('calcA'!DG$106=1,HF13,1)</f>
        <v/>
      </c>
      <c r="MU13">
        <f>IF('calcA'!DH$106=1,HG13,1)</f>
        <v/>
      </c>
      <c r="MV13">
        <f>IF('calcA'!DI$106=1,HH13,1)</f>
        <v/>
      </c>
      <c r="MW13">
        <f>IF('calcA'!DJ$106=1,HI13,1)</f>
        <v/>
      </c>
      <c r="MX13">
        <f>IF('calcA'!DK$106=1,HJ13,1)</f>
        <v/>
      </c>
      <c r="MY13">
        <f>IF('calcA'!DL$106=1,HK13,1)</f>
        <v/>
      </c>
      <c r="MZ13">
        <f>IF('calcA'!DM$106=1,HL13,1)</f>
        <v/>
      </c>
      <c r="NA13">
        <f>IF('calcA'!DN$106=1,HM13,1)</f>
        <v/>
      </c>
      <c r="NB13">
        <f>IF('calcA'!DO$106=1,HN13,1)</f>
        <v/>
      </c>
      <c r="NC13">
        <f>IF('calcA'!DP$106=1,HO13,1)</f>
        <v/>
      </c>
      <c r="ND13">
        <f>IF('calcA'!DQ$106=1,HP13,1)</f>
        <v/>
      </c>
      <c r="NE13">
        <f>IF('calcA'!DR$106=1,HQ13,1)</f>
        <v/>
      </c>
      <c r="NF13">
        <f>IF('calcA'!DS$106=1,HR13,1)</f>
        <v/>
      </c>
      <c r="NG13">
        <f>IF('calcA'!DT$106=1,HS13,1)</f>
        <v/>
      </c>
      <c r="NH13">
        <f>IF('calcA'!DU$106=1,HT13,1)</f>
        <v/>
      </c>
      <c r="NI13">
        <f>IF('calcA'!DV$106=1,HU13,1)</f>
        <v/>
      </c>
      <c r="NJ13">
        <f>IF('calcA'!DW$106=1,HV13,1)</f>
        <v/>
      </c>
      <c r="NK13">
        <f>IF('calcA'!DX$106=1,HW13,1)</f>
        <v/>
      </c>
      <c r="NL13">
        <f>IF('calcA'!DY$106=1,HX13,1)</f>
        <v/>
      </c>
      <c r="NM13">
        <f>IF('calcA'!DZ$106=1,HY13,1)</f>
        <v/>
      </c>
      <c r="NN13">
        <f>IF('calcA'!EA$106=1,HZ13,1)</f>
        <v/>
      </c>
      <c r="NO13">
        <f>IF('calcA'!EB$106=1,IA13,1)</f>
        <v/>
      </c>
      <c r="NP13">
        <f>IF('calcA'!EC$106=1,IB13,1)</f>
        <v/>
      </c>
      <c r="NQ13">
        <f>IF('calcA'!ED$106=1,IC13,1)</f>
        <v/>
      </c>
      <c r="NR13">
        <f>IF('calcA'!EE$106=1,ID13,1)</f>
        <v/>
      </c>
      <c r="NS13">
        <f>IF('calcA'!EF$106=1,IE13,1)</f>
        <v/>
      </c>
      <c r="NT13">
        <f>IF('calcA'!EG$106=1,IF13,1)</f>
        <v/>
      </c>
      <c r="NU13">
        <f>IF('calcA'!EH$106=1,IG13,1)</f>
        <v/>
      </c>
      <c r="NV13">
        <f>IF('calcA'!EI$106=1,IH13,1)</f>
        <v/>
      </c>
      <c r="NW13">
        <f>IF('calcA'!EJ$106=1,II13,1)</f>
        <v/>
      </c>
      <c r="NX13">
        <f>IF('calcA'!EK$106=1,IJ13,1)</f>
        <v/>
      </c>
      <c r="NY13">
        <f>IF('calcA'!EL$106=1,IK13,1)</f>
        <v/>
      </c>
      <c r="NZ13">
        <f>IF('calcA'!EM$106=1,IL13,1)</f>
        <v/>
      </c>
      <c r="OA13">
        <f>IF('calcA'!EN$106=1,IM13,1)</f>
        <v/>
      </c>
      <c r="OB13">
        <f>IF('calcA'!EO$106=1,IN13,1)</f>
        <v/>
      </c>
      <c r="OC13">
        <f>IF('calcA'!EP$106=1,IO13,1)</f>
        <v/>
      </c>
      <c r="OD13" t="n">
        <v>1</v>
      </c>
      <c r="OF13">
        <f>IF($B13=0,1000000000,IF(INDEX('calcA'!$D$60:$EQ$99,$B13,1)*IF($W13=1,DB13+ZQ13,DB13)=1,IF(AND($E13=2,IF($W13=1,AFF13,IQ13)=0),1000000000,IF($V13=1,INDEX('calcA'!$D$130:$EQ$169,$B13,1)+IF(AND($E13=1,IQ13=0),25,0),IF($F13&gt;0,INDEX('calcA'!D$110:D$114,$F13+1)+IF(AND($E13=1,IQ13=0),1000,0),MIN(TU13,20)*400+(IF('calcA'!D$106=1,1-DC13,0))*150+11+'calcA'!D$5*100000+IF(AND($E13=1,IQ13=0),50000,0))+IF($H13=1,INDEX('calcA'!$D$180:$EQ$219,$B13,1)*4000,0)-IF(AND($U13=1,'calcA'!D$117=1,DC13=0),2000,0))),1000000000))</f>
        <v/>
      </c>
      <c r="OG13">
        <f>IF($B13=0,1000000000,IF(INDEX('calcA'!$D$60:$EQ$99,$B13,2)*IF($W13=1,DC13+ZR13,DC13)=1,IF(AND($E13=2,IF($W13=1,AFG13,IR13)=0),1000000000,IF($V13=1,INDEX('calcA'!$D$130:$EQ$169,$B13,2)+IF(AND($E13=1,IR13=0),25,0),IF($F13&gt;0,INDEX('calcA'!E$110:E$114,$F13+1)+IF(AND($E13=1,IR13=0),1000,0),MIN(TU13,20)*400+(IF('calcA'!D$106=1,1-DB13,0)+IF('calcA'!E$106=1,1-DD13,0))*150+21+'calcA'!E$5*100000+IF(AND($E13=1,IR13=0),50000,0))+IF($H13=1,INDEX('calcA'!$D$180:$EQ$219,$B13,2)*4000,0)-IF(AND('calcA'!D$117=1,UB13&gt;0),2000,0)-IF(AND($U13=1,'calcA'!E$117=1,DD13=0),2000,0))),1000000000))</f>
        <v/>
      </c>
      <c r="OH13">
        <f>IF($B13=0,1000000000,IF(INDEX('calcA'!$D$60:$EQ$99,$B13,3)*IF($W13=1,DD13+ZS13,DD13)=1,IF(AND($E13=2,IF($W13=1,AFH13,IS13)=0),1000000000,IF($V13=1,INDEX('calcA'!$D$130:$EQ$169,$B13,3)+IF(AND($E13=1,IS13=0),25,0),IF($F13&gt;0,INDEX('calcA'!F$110:F$114,$F13+1)+IF(AND($E13=1,IS13=0),1000,0),MIN(TU13,20)*400+(IF('calcA'!E$106=1,1-DC13,0)+IF('calcA'!F$106=1,1-DE13,0))*150+31+'calcA'!F$5*100000+IF(AND($E13=1,IS13=0),50000,0))+IF($H13=1,INDEX('calcA'!$D$180:$EQ$219,$B13,3)*4000,0)-IF(AND('calcA'!E$117=1,UC13&gt;0),2000,0)-IF(AND($U13=1,'calcA'!F$117=1,DE13=0),2000,0))),1000000000))</f>
        <v/>
      </c>
      <c r="OI13">
        <f>IF($B13=0,1000000000,IF(INDEX('calcA'!$D$60:$EQ$99,$B13,4)*IF($W13=1,DE13+ZT13,DE13)=1,IF(AND($E13=2,IF($W13=1,AFI13,IT13)=0),1000000000,IF($V13=1,INDEX('calcA'!$D$130:$EQ$169,$B13,4)+IF(AND($E13=1,IT13=0),25,0),IF($F13&gt;0,INDEX('calcA'!G$110:G$114,$F13+1)+IF(AND($E13=1,IT13=0),1000,0),MIN(TU13,20)*400+(IF('calcA'!F$106=1,1-DD13,0)+IF('calcA'!G$106=1,1-DF13,0))*150+41+'calcA'!G$5*100000+IF(AND($E13=1,IT13=0),50000,0))+IF($H13=1,INDEX('calcA'!$D$180:$EQ$219,$B13,4)*4000,0)-IF(AND('calcA'!F$117=1,UD13&gt;0),2000,0)-IF(AND($U13=1,'calcA'!G$117=1,DF13=0),2000,0))),1000000000))</f>
        <v/>
      </c>
      <c r="OJ13">
        <f>IF($B13=0,1000000000,IF(INDEX('calcA'!$D$60:$EQ$99,$B13,5)*IF($W13=1,DF13+ZU13,DF13)=1,IF(AND($E13=2,IF($W13=1,AFJ13,IU13)=0),1000000000,IF($V13=1,INDEX('calcA'!$D$130:$EQ$169,$B13,5)+IF(AND($E13=1,IU13=0),25,0),IF($F13&gt;0,INDEX('calcA'!H$110:H$114,$F13+1)+IF(AND($E13=1,IU13=0),1000,0),MIN(TU13,20)*400+(IF('calcA'!G$106=1,1-DE13,0)+IF('calcA'!H$106=1,1-DG13,0))*150+51+'calcA'!H$5*100000+IF(AND($E13=1,IU13=0),50000,0))+IF($H13=1,INDEX('calcA'!$D$180:$EQ$219,$B13,5)*4000,0)-IF(AND('calcA'!G$117=1,UE13&gt;0),2000,0)-IF(AND($U13=1,'calcA'!H$117=1,DG13=0),2000,0))),1000000000))</f>
        <v/>
      </c>
      <c r="OK13">
        <f>IF($B13=0,1000000000,IF(INDEX('calcA'!$D$60:$EQ$99,$B13,6)*IF($W13=1,DG13+ZV13,DG13)=1,IF(AND($E13=2,IF($W13=1,AFK13,IV13)=0),1000000000,IF($V13=1,INDEX('calcA'!$D$130:$EQ$169,$B13,6)+IF(AND($E13=1,IV13=0),25,0),IF($F13&gt;0,INDEX('calcA'!I$110:I$114,$F13+1)+IF(AND($E13=1,IV13=0),1000,0),MIN(TU13,20)*400+(IF('calcA'!H$106=1,1-DF13,0)+IF('calcA'!I$106=1,1-DH13,0))*150+61+'calcA'!I$5*100000+IF(AND($E13=1,IV13=0),50000,0))+IF($H13=1,INDEX('calcA'!$D$180:$EQ$219,$B13,6)*4000,0)-IF(AND('calcA'!H$117=1,UF13&gt;0),2000,0)-IF(AND($U13=1,'calcA'!I$117=1,DH13=0),2000,0))),1000000000))</f>
        <v/>
      </c>
      <c r="OL13">
        <f>IF($B13=0,1000000000,IF(INDEX('calcA'!$D$60:$EQ$99,$B13,7)*IF($W13=1,DH13+ZW13,DH13)=1,IF(AND($E13=2,IF($W13=1,AFL13,IW13)=0),1000000000,IF($V13=1,INDEX('calcA'!$D$130:$EQ$169,$B13,7)+IF(AND($E13=1,IW13=0),25,0),IF($F13&gt;0,INDEX('calcA'!J$110:J$114,$F13+1)+IF(AND($E13=1,IW13=0),1000,0),MIN(TU13,20)*400+(IF('calcA'!I$106=1,1-DG13,0)+IF('calcA'!J$106=1,1-DI13,0))*150+71+'calcA'!J$5*100000+IF(AND($E13=1,IW13=0),50000,0))+IF($H13=1,INDEX('calcA'!$D$180:$EQ$219,$B13,7)*4000,0)-IF(AND('calcA'!I$117=1,UG13&gt;0),2000,0)-IF(AND($U13=1,'calcA'!J$117=1,DI13=0),2000,0))),1000000000))</f>
        <v/>
      </c>
      <c r="OM13">
        <f>IF($B13=0,1000000000,IF(INDEX('calcA'!$D$60:$EQ$99,$B13,8)*IF($W13=1,DI13+ZX13,DI13)=1,IF(AND($E13=2,IF($W13=1,AFM13,IX13)=0),1000000000,IF($V13=1,INDEX('calcA'!$D$130:$EQ$169,$B13,8)+IF(AND($E13=1,IX13=0),25,0),IF($F13&gt;0,INDEX('calcA'!K$110:K$114,$F13+1)+IF(AND($E13=1,IX13=0),1000,0),MIN(TU13,20)*400+(IF('calcA'!J$106=1,1-DH13,0)+IF('calcA'!K$106=1,1-DJ13,0))*150+81+'calcA'!K$5*100000+IF(AND($E13=1,IX13=0),50000,0))+IF($H13=1,INDEX('calcA'!$D$180:$EQ$219,$B13,8)*4000,0)-IF(AND('calcA'!J$117=1,UH13&gt;0),2000,0)-IF(AND($U13=1,'calcA'!K$117=1,DJ13=0),2000,0))),1000000000))</f>
        <v/>
      </c>
      <c r="ON13">
        <f>IF($B13=0,1000000000,IF(INDEX('calcA'!$D$60:$EQ$99,$B13,9)*IF($W13=1,DJ13+ZY13,DJ13)=1,IF(AND($E13=2,IF($W13=1,AFN13,IY13)=0),1000000000,IF($V13=1,INDEX('calcA'!$D$130:$EQ$169,$B13,9)+IF(AND($E13=1,IY13=0),25,0),IF($F13&gt;0,INDEX('calcA'!L$110:L$114,$F13+1)+IF(AND($E13=1,IY13=0),1000,0),MIN(TU13,20)*400+(IF('calcA'!K$106=1,1-DI13,0)+IF('calcA'!L$106=1,1-DK13,0))*150+91+'calcA'!L$5*100000+IF(AND($E13=1,IY13=0),50000,0))+IF($H13=1,INDEX('calcA'!$D$180:$EQ$219,$B13,9)*4000,0)-IF(AND('calcA'!K$117=1,UI13&gt;0),2000,0)-IF(AND($U13=1,'calcA'!L$117=1,DK13=0),2000,0))),1000000000))</f>
        <v/>
      </c>
      <c r="OO13">
        <f>IF($B13=0,1000000000,IF(INDEX('calcA'!$D$60:$EQ$99,$B13,10)*IF($W13=1,DK13+ZZ13,DK13)=1,IF(AND($E13=2,IF($W13=1,AFO13,IZ13)=0),1000000000,IF($V13=1,INDEX('calcA'!$D$130:$EQ$169,$B13,10)+IF(AND($E13=1,IZ13=0),25,0),IF($F13&gt;0,INDEX('calcA'!M$110:M$114,$F13+1)+IF(AND($E13=1,IZ13=0),1000,0),MIN(TU13,20)*400+(IF('calcA'!L$106=1,1-DJ13,0)+IF('calcA'!M$106=1,1-DL13,0))*150+101+'calcA'!M$5*100000+IF(AND($E13=1,IZ13=0),50000,0))+IF($H13=1,INDEX('calcA'!$D$180:$EQ$219,$B13,10)*4000,0)-IF(AND('calcA'!L$117=1,UJ13&gt;0),2000,0)-IF(AND($U13=1,'calcA'!M$117=1,DL13=0),2000,0))),1000000000))</f>
        <v/>
      </c>
      <c r="OP13">
        <f>IF($B13=0,1000000000,IF(INDEX('calcA'!$D$60:$EQ$99,$B13,11)*IF($W13=1,DL13+AAA13,DL13)=1,IF(AND($E13=2,IF($W13=1,AFP13,JA13)=0),1000000000,IF($V13=1,INDEX('calcA'!$D$130:$EQ$169,$B13,11)+IF(AND($E13=1,JA13=0),25,0),IF($F13&gt;0,INDEX('calcA'!N$110:N$114,$F13+1)+IF(AND($E13=1,JA13=0),1000,0),MIN(TU13,20)*400+(IF('calcA'!M$106=1,1-DK13,0)+IF('calcA'!N$106=1,1-DM13,0))*150+111+'calcA'!N$5*100000+IF(AND($E13=1,JA13=0),50000,0))+IF($H13=1,INDEX('calcA'!$D$180:$EQ$219,$B13,11)*4000,0)-IF(AND('calcA'!M$117=1,UK13&gt;0),2000,0)-IF(AND($U13=1,'calcA'!N$117=1,DM13=0),2000,0))),1000000000))</f>
        <v/>
      </c>
      <c r="OQ13">
        <f>IF($B13=0,1000000000,IF(INDEX('calcA'!$D$60:$EQ$99,$B13,12)*IF($W13=1,DM13+AAB13,DM13)=1,IF(AND($E13=2,IF($W13=1,AFQ13,JB13)=0),1000000000,IF($V13=1,INDEX('calcA'!$D$130:$EQ$169,$B13,12)+IF(AND($E13=1,JB13=0),25,0),IF($F13&gt;0,INDEX('calcA'!O$110:O$114,$F13+1)+IF(AND($E13=1,JB13=0),1000,0),MIN(TU13,20)*400+(IF('calcA'!N$106=1,1-DL13,0)+IF('calcA'!O$106=1,1-DN13,0))*150+121+'calcA'!O$5*100000+IF(AND($E13=1,JB13=0),50000,0))+IF($H13=1,INDEX('calcA'!$D$180:$EQ$219,$B13,12)*4000,0)-IF(AND('calcA'!N$117=1,UL13&gt;0),2000,0)-IF(AND($U13=1,'calcA'!O$117=1,DN13=0),2000,0))),1000000000))</f>
        <v/>
      </c>
      <c r="OR13">
        <f>IF($B13=0,1000000000,IF(INDEX('calcA'!$D$60:$EQ$99,$B13,13)*IF($W13=1,DN13+AAC13,DN13)=1,IF(AND($E13=2,IF($W13=1,AFR13,JC13)=0),1000000000,IF($V13=1,INDEX('calcA'!$D$130:$EQ$169,$B13,13)+IF(AND($E13=1,JC13=0),25,0),IF($F13&gt;0,INDEX('calcA'!P$110:P$114,$F13+1)+IF(AND($E13=1,JC13=0),1000,0),MIN(TU13,20)*400+(IF('calcA'!O$106=1,1-DM13,0)+IF('calcA'!P$106=1,1-DO13,0))*150+131+'calcA'!P$5*100000+IF(AND($E13=1,JC13=0),50000,0))+IF($H13=1,INDEX('calcA'!$D$180:$EQ$219,$B13,13)*4000,0)-IF(AND('calcA'!O$117=1,UM13&gt;0),2000,0)-IF(AND($U13=1,'calcA'!P$117=1,DO13=0),2000,0))),1000000000))</f>
        <v/>
      </c>
      <c r="OS13">
        <f>IF($B13=0,1000000000,IF(INDEX('calcA'!$D$60:$EQ$99,$B13,14)*IF($W13=1,DO13+AAD13,DO13)=1,IF(AND($E13=2,IF($W13=1,AFS13,JD13)=0),1000000000,IF($V13=1,INDEX('calcA'!$D$130:$EQ$169,$B13,14)+IF(AND($E13=1,JD13=0),25,0),IF($F13&gt;0,INDEX('calcA'!Q$110:Q$114,$F13+1)+IF(AND($E13=1,JD13=0),1000,0),MIN(TU13,20)*400+(IF('calcA'!P$106=1,1-DN13,0)+IF('calcA'!Q$106=1,1-DP13,0))*150+141+'calcA'!Q$5*100000+IF(AND($E13=1,JD13=0),50000,0))+IF($H13=1,INDEX('calcA'!$D$180:$EQ$219,$B13,14)*4000,0)-IF(AND('calcA'!P$117=1,UN13&gt;0),2000,0)-IF(AND($U13=1,'calcA'!Q$117=1,DP13=0),2000,0))),1000000000))</f>
        <v/>
      </c>
      <c r="OT13">
        <f>IF($B13=0,1000000000,IF(INDEX('calcA'!$D$60:$EQ$99,$B13,15)*IF($W13=1,DP13+AAE13,DP13)=1,IF(AND($E13=2,IF($W13=1,AFT13,JE13)=0),1000000000,IF($V13=1,INDEX('calcA'!$D$130:$EQ$169,$B13,15)+IF(AND($E13=1,JE13=0),25,0),IF($F13&gt;0,INDEX('calcA'!R$110:R$114,$F13+1)+IF(AND($E13=1,JE13=0),1000,0),MIN(TU13,20)*400+(IF('calcA'!Q$106=1,1-DO13,0)+IF('calcA'!R$106=1,1-DQ13,0))*150+151+'calcA'!R$5*100000+IF(AND($E13=1,JE13=0),50000,0))+IF($H13=1,INDEX('calcA'!$D$180:$EQ$219,$B13,15)*4000,0)-IF(AND('calcA'!Q$117=1,UO13&gt;0),2000,0)-IF(AND($U13=1,'calcA'!R$117=1,DQ13=0),2000,0))),1000000000))</f>
        <v/>
      </c>
      <c r="OU13">
        <f>IF($B13=0,1000000000,IF(INDEX('calcA'!$D$60:$EQ$99,$B13,16)*IF($W13=1,DQ13+AAF13,DQ13)=1,IF(AND($E13=2,IF($W13=1,AFU13,JF13)=0),1000000000,IF($V13=1,INDEX('calcA'!$D$130:$EQ$169,$B13,16)+IF(AND($E13=1,JF13=0),25,0),IF($F13&gt;0,INDEX('calcA'!S$110:S$114,$F13+1)+IF(AND($E13=1,JF13=0),1000,0),MIN(TU13,20)*400+(IF('calcA'!R$106=1,1-DP13,0)+IF('calcA'!S$106=1,1-DR13,0))*150+161+'calcA'!S$5*100000+IF(AND($E13=1,JF13=0),50000,0))+IF($H13=1,INDEX('calcA'!$D$180:$EQ$219,$B13,16)*4000,0)-IF(AND('calcA'!R$117=1,UP13&gt;0),2000,0)-IF(AND($U13=1,'calcA'!S$117=1,DR13=0),2000,0))),1000000000))</f>
        <v/>
      </c>
      <c r="OV13">
        <f>IF($B13=0,1000000000,IF(INDEX('calcA'!$D$60:$EQ$99,$B13,17)*IF($W13=1,DR13+AAG13,DR13)=1,IF(AND($E13=2,IF($W13=1,AFV13,JG13)=0),1000000000,IF($V13=1,INDEX('calcA'!$D$130:$EQ$169,$B13,17)+IF(AND($E13=1,JG13=0),25,0),IF($F13&gt;0,INDEX('calcA'!T$110:T$114,$F13+1)+IF(AND($E13=1,JG13=0),1000,0),MIN(TU13,20)*400+(IF('calcA'!S$106=1,1-DQ13,0)+IF('calcA'!T$106=1,1-DS13,0))*150+171+'calcA'!T$5*100000+IF(AND($E13=1,JG13=0),50000,0))+IF($H13=1,INDEX('calcA'!$D$180:$EQ$219,$B13,17)*4000,0)-IF(AND('calcA'!S$117=1,UQ13&gt;0),2000,0)-IF(AND($U13=1,'calcA'!T$117=1,DS13=0),2000,0))),1000000000))</f>
        <v/>
      </c>
      <c r="OW13">
        <f>IF($B13=0,1000000000,IF(INDEX('calcA'!$D$60:$EQ$99,$B13,18)*IF($W13=1,DS13+AAH13,DS13)=1,IF(AND($E13=2,IF($W13=1,AFW13,JH13)=0),1000000000,IF($V13=1,INDEX('calcA'!$D$130:$EQ$169,$B13,18)+IF(AND($E13=1,JH13=0),25,0),IF($F13&gt;0,INDEX('calcA'!U$110:U$114,$F13+1)+IF(AND($E13=1,JH13=0),1000,0),MIN(TU13,20)*400+(IF('calcA'!T$106=1,1-DR13,0)+IF('calcA'!U$106=1,1-DT13,0))*150+181+'calcA'!U$5*100000+IF(AND($E13=1,JH13=0),50000,0))+IF($H13=1,INDEX('calcA'!$D$180:$EQ$219,$B13,18)*4000,0)-IF(AND('calcA'!T$117=1,UR13&gt;0),2000,0)-IF(AND($U13=1,'calcA'!U$117=1,DT13=0),2000,0))),1000000000))</f>
        <v/>
      </c>
      <c r="OX13">
        <f>IF($B13=0,1000000000,IF(INDEX('calcA'!$D$60:$EQ$99,$B13,19)*IF($W13=1,DT13+AAI13,DT13)=1,IF(AND($E13=2,IF($W13=1,AFX13,JI13)=0),1000000000,IF($V13=1,INDEX('calcA'!$D$130:$EQ$169,$B13,19)+IF(AND($E13=1,JI13=0),25,0),IF($F13&gt;0,INDEX('calcA'!V$110:V$114,$F13+1)+IF(AND($E13=1,JI13=0),1000,0),MIN(TU13,20)*400+(IF('calcA'!U$106=1,1-DS13,0)+IF('calcA'!V$106=1,1-DU13,0))*150+191+'calcA'!V$5*100000+IF(AND($E13=1,JI13=0),50000,0))+IF($H13=1,INDEX('calcA'!$D$180:$EQ$219,$B13,19)*4000,0)-IF(AND('calcA'!U$117=1,US13&gt;0),2000,0)-IF(AND($U13=1,'calcA'!V$117=1,DU13=0),2000,0))),1000000000))</f>
        <v/>
      </c>
      <c r="OY13">
        <f>IF($B13=0,1000000000,IF(INDEX('calcA'!$D$60:$EQ$99,$B13,20)*IF($W13=1,DU13+AAJ13,DU13)=1,IF(AND($E13=2,IF($W13=1,AFY13,JJ13)=0),1000000000,IF($V13=1,INDEX('calcA'!$D$130:$EQ$169,$B13,20)+IF(AND($E13=1,JJ13=0),25,0),IF($F13&gt;0,INDEX('calcA'!W$110:W$114,$F13+1)+IF(AND($E13=1,JJ13=0),1000,0),MIN(TU13,20)*400+(IF('calcA'!V$106=1,1-DT13,0)+IF('calcA'!W$106=1,1-DV13,0))*150+201+'calcA'!W$5*100000+IF(AND($E13=1,JJ13=0),50000,0))+IF($H13=1,INDEX('calcA'!$D$180:$EQ$219,$B13,20)*4000,0)-IF(AND('calcA'!V$117=1,UT13&gt;0),2000,0)-IF(AND($U13=1,'calcA'!W$117=1,DV13=0),2000,0))),1000000000))</f>
        <v/>
      </c>
      <c r="OZ13">
        <f>IF($B13=0,1000000000,IF(INDEX('calcA'!$D$60:$EQ$99,$B13,21)*IF($W13=1,DV13+AAK13,DV13)=1,IF(AND($E13=2,IF($W13=1,AFZ13,JK13)=0),1000000000,IF($V13=1,INDEX('calcA'!$D$130:$EQ$169,$B13,21)+IF(AND($E13=1,JK13=0),25,0),IF($F13&gt;0,INDEX('calcA'!X$110:X$114,$F13+1)+IF(AND($E13=1,JK13=0),1000,0),MIN(TU13,20)*400+(IF('calcA'!W$106=1,1-DU13,0)+IF('calcA'!X$106=1,1-DW13,0))*150+211+'calcA'!X$5*100000+IF(AND($E13=1,JK13=0),50000,0))+IF($H13=1,INDEX('calcA'!$D$180:$EQ$219,$B13,21)*4000,0)-IF(AND('calcA'!W$117=1,UU13&gt;0),2000,0)-IF(AND($U13=1,'calcA'!X$117=1,DW13=0),2000,0))),1000000000))</f>
        <v/>
      </c>
      <c r="PA13">
        <f>IF($B13=0,1000000000,IF(INDEX('calcA'!$D$60:$EQ$99,$B13,22)*IF($W13=1,DW13+AAL13,DW13)=1,IF(AND($E13=2,IF($W13=1,AGA13,JL13)=0),1000000000,IF($V13=1,INDEX('calcA'!$D$130:$EQ$169,$B13,22)+IF(AND($E13=1,JL13=0),25,0),IF($F13&gt;0,INDEX('calcA'!Y$110:Y$114,$F13+1)+IF(AND($E13=1,JL13=0),1000,0),MIN(TU13,20)*400+(IF('calcA'!X$106=1,1-DV13,0)+IF('calcA'!Y$106=1,1-DX13,0))*150+221+'calcA'!Y$5*100000+IF(AND($E13=1,JL13=0),50000,0))+IF($H13=1,INDEX('calcA'!$D$180:$EQ$219,$B13,22)*4000,0)-IF(AND('calcA'!X$117=1,UV13&gt;0),2000,0)-IF(AND($U13=1,'calcA'!Y$117=1,DX13=0),2000,0))),1000000000))</f>
        <v/>
      </c>
      <c r="PB13">
        <f>IF($B13=0,1000000000,IF(INDEX('calcA'!$D$60:$EQ$99,$B13,23)*IF($W13=1,DX13+AAM13,DX13)=1,IF(AND($E13=2,IF($W13=1,AGB13,JM13)=0),1000000000,IF($V13=1,INDEX('calcA'!$D$130:$EQ$169,$B13,23)+IF(AND($E13=1,JM13=0),25,0),IF($F13&gt;0,INDEX('calcA'!Z$110:Z$114,$F13+1)+IF(AND($E13=1,JM13=0),1000,0),MIN(TU13,20)*400+(IF('calcA'!Y$106=1,1-DW13,0)+IF('calcA'!Z$106=1,1-DY13,0))*150+231+'calcA'!Z$5*100000+IF(AND($E13=1,JM13=0),50000,0))+IF($H13=1,INDEX('calcA'!$D$180:$EQ$219,$B13,23)*4000,0)-IF(AND('calcA'!Y$117=1,UW13&gt;0),2000,0)-IF(AND($U13=1,'calcA'!Z$117=1,DY13=0),2000,0))),1000000000))</f>
        <v/>
      </c>
      <c r="PC13">
        <f>IF($B13=0,1000000000,IF(INDEX('calcA'!$D$60:$EQ$99,$B13,24)*IF($W13=1,DY13+AAN13,DY13)=1,IF(AND($E13=2,IF($W13=1,AGC13,JN13)=0),1000000000,IF($V13=1,INDEX('calcA'!$D$130:$EQ$169,$B13,24)+IF(AND($E13=1,JN13=0),25,0),IF($F13&gt;0,INDEX('calcA'!AA$110:AA$114,$F13+1)+IF(AND($E13=1,JN13=0),1000,0),MIN(TU13,20)*400+(IF('calcA'!Z$106=1,1-DX13,0))*150+241+'calcA'!AA$5*100000+IF(AND($E13=1,JN13=0),50000,0))+IF($H13=1,INDEX('calcA'!$D$180:$EQ$219,$B13,24)*4000,0)-IF(AND('calcA'!Z$117=1,UX13&gt;0),2000,0))),1000000000))</f>
        <v/>
      </c>
      <c r="PD13">
        <f>IF($B13=0,1000000000,IF(INDEX('calcA'!$D$60:$EQ$99,$B13,25)*IF($W13=1,DZ13+AAO13,DZ13)=1,IF(AND($E13=2,IF($W13=1,AGD13,JO13)=0),1000000000,IF($V13=1,INDEX('calcA'!$D$130:$EQ$169,$B13,25)+IF(AND($E13=1,JO13=0),25,0),IF($F13&gt;0,INDEX('calcA'!AB$110:AB$114,$F13+1)+IF(AND($E13=1,JO13=0),1000,0),MIN(TV13,20)*400+(IF('calcA'!AB$106=1,1-EA13,0))*150+12+'calcA'!AB$5*100000+IF(AND($E13=1,JO13=0),50000,0))+IF($H13=1,INDEX('calcA'!$D$180:$EQ$219,$B13,25)*4000,0)-IF(AND($U13=1,'calcA'!AB$117=1,EA13=0),2000,0))),1000000000))</f>
        <v/>
      </c>
      <c r="PE13">
        <f>IF($B13=0,1000000000,IF(INDEX('calcA'!$D$60:$EQ$99,$B13,26)*IF($W13=1,EA13+AAP13,EA13)=1,IF(AND($E13=2,IF($W13=1,AGE13,JP13)=0),1000000000,IF($V13=1,INDEX('calcA'!$D$130:$EQ$169,$B13,26)+IF(AND($E13=1,JP13=0),25,0),IF($F13&gt;0,INDEX('calcA'!AC$110:AC$114,$F13+1)+IF(AND($E13=1,JP13=0),1000,0),MIN(TV13,20)*400+(IF('calcA'!AB$106=1,1-DZ13,0)+IF('calcA'!AC$106=1,1-EB13,0))*150+22+'calcA'!AC$5*100000+IF(AND($E13=1,JP13=0),50000,0))+IF($H13=1,INDEX('calcA'!$D$180:$EQ$219,$B13,26)*4000,0)-IF(AND('calcA'!AB$117=1,UZ13&gt;0),2000,0)-IF(AND($U13=1,'calcA'!AC$117=1,EB13=0),2000,0))),1000000000))</f>
        <v/>
      </c>
      <c r="PF13">
        <f>IF($B13=0,1000000000,IF(INDEX('calcA'!$D$60:$EQ$99,$B13,27)*IF($W13=1,EB13+AAQ13,EB13)=1,IF(AND($E13=2,IF($W13=1,AGF13,JQ13)=0),1000000000,IF($V13=1,INDEX('calcA'!$D$130:$EQ$169,$B13,27)+IF(AND($E13=1,JQ13=0),25,0),IF($F13&gt;0,INDEX('calcA'!AD$110:AD$114,$F13+1)+IF(AND($E13=1,JQ13=0),1000,0),MIN(TV13,20)*400+(IF('calcA'!AC$106=1,1-EA13,0)+IF('calcA'!AD$106=1,1-EC13,0))*150+32+'calcA'!AD$5*100000+IF(AND($E13=1,JQ13=0),50000,0))+IF($H13=1,INDEX('calcA'!$D$180:$EQ$219,$B13,27)*4000,0)-IF(AND('calcA'!AC$117=1,VA13&gt;0),2000,0)-IF(AND($U13=1,'calcA'!AD$117=1,EC13=0),2000,0))),1000000000))</f>
        <v/>
      </c>
      <c r="PG13">
        <f>IF($B13=0,1000000000,IF(INDEX('calcA'!$D$60:$EQ$99,$B13,28)*IF($W13=1,EC13+AAR13,EC13)=1,IF(AND($E13=2,IF($W13=1,AGG13,JR13)=0),1000000000,IF($V13=1,INDEX('calcA'!$D$130:$EQ$169,$B13,28)+IF(AND($E13=1,JR13=0),25,0),IF($F13&gt;0,INDEX('calcA'!AE$110:AE$114,$F13+1)+IF(AND($E13=1,JR13=0),1000,0),MIN(TV13,20)*400+(IF('calcA'!AD$106=1,1-EB13,0)+IF('calcA'!AE$106=1,1-ED13,0))*150+42+'calcA'!AE$5*100000+IF(AND($E13=1,JR13=0),50000,0))+IF($H13=1,INDEX('calcA'!$D$180:$EQ$219,$B13,28)*4000,0)-IF(AND('calcA'!AD$117=1,VB13&gt;0),2000,0)-IF(AND($U13=1,'calcA'!AE$117=1,ED13=0),2000,0))),1000000000))</f>
        <v/>
      </c>
      <c r="PH13">
        <f>IF($B13=0,1000000000,IF(INDEX('calcA'!$D$60:$EQ$99,$B13,29)*IF($W13=1,ED13+AAS13,ED13)=1,IF(AND($E13=2,IF($W13=1,AGH13,JS13)=0),1000000000,IF($V13=1,INDEX('calcA'!$D$130:$EQ$169,$B13,29)+IF(AND($E13=1,JS13=0),25,0),IF($F13&gt;0,INDEX('calcA'!AF$110:AF$114,$F13+1)+IF(AND($E13=1,JS13=0),1000,0),MIN(TV13,20)*400+(IF('calcA'!AE$106=1,1-EC13,0)+IF('calcA'!AF$106=1,1-EE13,0))*150+52+'calcA'!AF$5*100000+IF(AND($E13=1,JS13=0),50000,0))+IF($H13=1,INDEX('calcA'!$D$180:$EQ$219,$B13,29)*4000,0)-IF(AND('calcA'!AE$117=1,VC13&gt;0),2000,0)-IF(AND($U13=1,'calcA'!AF$117=1,EE13=0),2000,0))),1000000000))</f>
        <v/>
      </c>
      <c r="PI13">
        <f>IF($B13=0,1000000000,IF(INDEX('calcA'!$D$60:$EQ$99,$B13,30)*IF($W13=1,EE13+AAT13,EE13)=1,IF(AND($E13=2,IF($W13=1,AGI13,JT13)=0),1000000000,IF($V13=1,INDEX('calcA'!$D$130:$EQ$169,$B13,30)+IF(AND($E13=1,JT13=0),25,0),IF($F13&gt;0,INDEX('calcA'!AG$110:AG$114,$F13+1)+IF(AND($E13=1,JT13=0),1000,0),MIN(TV13,20)*400+(IF('calcA'!AF$106=1,1-ED13,0)+IF('calcA'!AG$106=1,1-EF13,0))*150+62+'calcA'!AG$5*100000+IF(AND($E13=1,JT13=0),50000,0))+IF($H13=1,INDEX('calcA'!$D$180:$EQ$219,$B13,30)*4000,0)-IF(AND('calcA'!AF$117=1,VD13&gt;0),2000,0)-IF(AND($U13=1,'calcA'!AG$117=1,EF13=0),2000,0))),1000000000))</f>
        <v/>
      </c>
      <c r="PJ13">
        <f>IF($B13=0,1000000000,IF(INDEX('calcA'!$D$60:$EQ$99,$B13,31)*IF($W13=1,EF13+AAU13,EF13)=1,IF(AND($E13=2,IF($W13=1,AGJ13,JU13)=0),1000000000,IF($V13=1,INDEX('calcA'!$D$130:$EQ$169,$B13,31)+IF(AND($E13=1,JU13=0),25,0),IF($F13&gt;0,INDEX('calcA'!AH$110:AH$114,$F13+1)+IF(AND($E13=1,JU13=0),1000,0),MIN(TV13,20)*400+(IF('calcA'!AG$106=1,1-EE13,0)+IF('calcA'!AH$106=1,1-EG13,0))*150+72+'calcA'!AH$5*100000+IF(AND($E13=1,JU13=0),50000,0))+IF($H13=1,INDEX('calcA'!$D$180:$EQ$219,$B13,31)*4000,0)-IF(AND('calcA'!AG$117=1,VE13&gt;0),2000,0)-IF(AND($U13=1,'calcA'!AH$117=1,EG13=0),2000,0))),1000000000))</f>
        <v/>
      </c>
      <c r="PK13">
        <f>IF($B13=0,1000000000,IF(INDEX('calcA'!$D$60:$EQ$99,$B13,32)*IF($W13=1,EG13+AAV13,EG13)=1,IF(AND($E13=2,IF($W13=1,AGK13,JV13)=0),1000000000,IF($V13=1,INDEX('calcA'!$D$130:$EQ$169,$B13,32)+IF(AND($E13=1,JV13=0),25,0),IF($F13&gt;0,INDEX('calcA'!AI$110:AI$114,$F13+1)+IF(AND($E13=1,JV13=0),1000,0),MIN(TV13,20)*400+(IF('calcA'!AH$106=1,1-EF13,0)+IF('calcA'!AI$106=1,1-EH13,0))*150+82+'calcA'!AI$5*100000+IF(AND($E13=1,JV13=0),50000,0))+IF($H13=1,INDEX('calcA'!$D$180:$EQ$219,$B13,32)*4000,0)-IF(AND('calcA'!AH$117=1,VF13&gt;0),2000,0)-IF(AND($U13=1,'calcA'!AI$117=1,EH13=0),2000,0))),1000000000))</f>
        <v/>
      </c>
      <c r="PL13">
        <f>IF($B13=0,1000000000,IF(INDEX('calcA'!$D$60:$EQ$99,$B13,33)*IF($W13=1,EH13+AAW13,EH13)=1,IF(AND($E13=2,IF($W13=1,AGL13,JW13)=0),1000000000,IF($V13=1,INDEX('calcA'!$D$130:$EQ$169,$B13,33)+IF(AND($E13=1,JW13=0),25,0),IF($F13&gt;0,INDEX('calcA'!AJ$110:AJ$114,$F13+1)+IF(AND($E13=1,JW13=0),1000,0),MIN(TV13,20)*400+(IF('calcA'!AI$106=1,1-EG13,0)+IF('calcA'!AJ$106=1,1-EI13,0))*150+92+'calcA'!AJ$5*100000+IF(AND($E13=1,JW13=0),50000,0))+IF($H13=1,INDEX('calcA'!$D$180:$EQ$219,$B13,33)*4000,0)-IF(AND('calcA'!AI$117=1,VG13&gt;0),2000,0)-IF(AND($U13=1,'calcA'!AJ$117=1,EI13=0),2000,0))),1000000000))</f>
        <v/>
      </c>
      <c r="PM13">
        <f>IF($B13=0,1000000000,IF(INDEX('calcA'!$D$60:$EQ$99,$B13,34)*IF($W13=1,EI13+AAX13,EI13)=1,IF(AND($E13=2,IF($W13=1,AGM13,JX13)=0),1000000000,IF($V13=1,INDEX('calcA'!$D$130:$EQ$169,$B13,34)+IF(AND($E13=1,JX13=0),25,0),IF($F13&gt;0,INDEX('calcA'!AK$110:AK$114,$F13+1)+IF(AND($E13=1,JX13=0),1000,0),MIN(TV13,20)*400+(IF('calcA'!AJ$106=1,1-EH13,0)+IF('calcA'!AK$106=1,1-EJ13,0))*150+102+'calcA'!AK$5*100000+IF(AND($E13=1,JX13=0),50000,0))+IF($H13=1,INDEX('calcA'!$D$180:$EQ$219,$B13,34)*4000,0)-IF(AND('calcA'!AJ$117=1,VH13&gt;0),2000,0)-IF(AND($U13=1,'calcA'!AK$117=1,EJ13=0),2000,0))),1000000000))</f>
        <v/>
      </c>
      <c r="PN13">
        <f>IF($B13=0,1000000000,IF(INDEX('calcA'!$D$60:$EQ$99,$B13,35)*IF($W13=1,EJ13+AAY13,EJ13)=1,IF(AND($E13=2,IF($W13=1,AGN13,JY13)=0),1000000000,IF($V13=1,INDEX('calcA'!$D$130:$EQ$169,$B13,35)+IF(AND($E13=1,JY13=0),25,0),IF($F13&gt;0,INDEX('calcA'!AL$110:AL$114,$F13+1)+IF(AND($E13=1,JY13=0),1000,0),MIN(TV13,20)*400+(IF('calcA'!AK$106=1,1-EI13,0)+IF('calcA'!AL$106=1,1-EK13,0))*150+112+'calcA'!AL$5*100000+IF(AND($E13=1,JY13=0),50000,0))+IF($H13=1,INDEX('calcA'!$D$180:$EQ$219,$B13,35)*4000,0)-IF(AND('calcA'!AK$117=1,VI13&gt;0),2000,0)-IF(AND($U13=1,'calcA'!AL$117=1,EK13=0),2000,0))),1000000000))</f>
        <v/>
      </c>
      <c r="PO13">
        <f>IF($B13=0,1000000000,IF(INDEX('calcA'!$D$60:$EQ$99,$B13,36)*IF($W13=1,EK13+AAZ13,EK13)=1,IF(AND($E13=2,IF($W13=1,AGO13,JZ13)=0),1000000000,IF($V13=1,INDEX('calcA'!$D$130:$EQ$169,$B13,36)+IF(AND($E13=1,JZ13=0),25,0),IF($F13&gt;0,INDEX('calcA'!AM$110:AM$114,$F13+1)+IF(AND($E13=1,JZ13=0),1000,0),MIN(TV13,20)*400+(IF('calcA'!AL$106=1,1-EJ13,0)+IF('calcA'!AM$106=1,1-EL13,0))*150+122+'calcA'!AM$5*100000+IF(AND($E13=1,JZ13=0),50000,0))+IF($H13=1,INDEX('calcA'!$D$180:$EQ$219,$B13,36)*4000,0)-IF(AND('calcA'!AL$117=1,VJ13&gt;0),2000,0)-IF(AND($U13=1,'calcA'!AM$117=1,EL13=0),2000,0))),1000000000))</f>
        <v/>
      </c>
      <c r="PP13">
        <f>IF($B13=0,1000000000,IF(INDEX('calcA'!$D$60:$EQ$99,$B13,37)*IF($W13=1,EL13+ABA13,EL13)=1,IF(AND($E13=2,IF($W13=1,AGP13,KA13)=0),1000000000,IF($V13=1,INDEX('calcA'!$D$130:$EQ$169,$B13,37)+IF(AND($E13=1,KA13=0),25,0),IF($F13&gt;0,INDEX('calcA'!AN$110:AN$114,$F13+1)+IF(AND($E13=1,KA13=0),1000,0),MIN(TV13,20)*400+(IF('calcA'!AM$106=1,1-EK13,0)+IF('calcA'!AN$106=1,1-EM13,0))*150+132+'calcA'!AN$5*100000+IF(AND($E13=1,KA13=0),50000,0))+IF($H13=1,INDEX('calcA'!$D$180:$EQ$219,$B13,37)*4000,0)-IF(AND('calcA'!AM$117=1,VK13&gt;0),2000,0)-IF(AND($U13=1,'calcA'!AN$117=1,EM13=0),2000,0))),1000000000))</f>
        <v/>
      </c>
      <c r="PQ13">
        <f>IF($B13=0,1000000000,IF(INDEX('calcA'!$D$60:$EQ$99,$B13,38)*IF($W13=1,EM13+ABB13,EM13)=1,IF(AND($E13=2,IF($W13=1,AGQ13,KB13)=0),1000000000,IF($V13=1,INDEX('calcA'!$D$130:$EQ$169,$B13,38)+IF(AND($E13=1,KB13=0),25,0),IF($F13&gt;0,INDEX('calcA'!AO$110:AO$114,$F13+1)+IF(AND($E13=1,KB13=0),1000,0),MIN(TV13,20)*400+(IF('calcA'!AN$106=1,1-EL13,0)+IF('calcA'!AO$106=1,1-EN13,0))*150+142+'calcA'!AO$5*100000+IF(AND($E13=1,KB13=0),50000,0))+IF($H13=1,INDEX('calcA'!$D$180:$EQ$219,$B13,38)*4000,0)-IF(AND('calcA'!AN$117=1,VL13&gt;0),2000,0)-IF(AND($U13=1,'calcA'!AO$117=1,EN13=0),2000,0))),1000000000))</f>
        <v/>
      </c>
      <c r="PR13">
        <f>IF($B13=0,1000000000,IF(INDEX('calcA'!$D$60:$EQ$99,$B13,39)*IF($W13=1,EN13+ABC13,EN13)=1,IF(AND($E13=2,IF($W13=1,AGR13,KC13)=0),1000000000,IF($V13=1,INDEX('calcA'!$D$130:$EQ$169,$B13,39)+IF(AND($E13=1,KC13=0),25,0),IF($F13&gt;0,INDEX('calcA'!AP$110:AP$114,$F13+1)+IF(AND($E13=1,KC13=0),1000,0),MIN(TV13,20)*400+(IF('calcA'!AO$106=1,1-EM13,0)+IF('calcA'!AP$106=1,1-EO13,0))*150+152+'calcA'!AP$5*100000+IF(AND($E13=1,KC13=0),50000,0))+IF($H13=1,INDEX('calcA'!$D$180:$EQ$219,$B13,39)*4000,0)-IF(AND('calcA'!AO$117=1,VM13&gt;0),2000,0)-IF(AND($U13=1,'calcA'!AP$117=1,EO13=0),2000,0))),1000000000))</f>
        <v/>
      </c>
      <c r="PS13">
        <f>IF($B13=0,1000000000,IF(INDEX('calcA'!$D$60:$EQ$99,$B13,40)*IF($W13=1,EO13+ABD13,EO13)=1,IF(AND($E13=2,IF($W13=1,AGS13,KD13)=0),1000000000,IF($V13=1,INDEX('calcA'!$D$130:$EQ$169,$B13,40)+IF(AND($E13=1,KD13=0),25,0),IF($F13&gt;0,INDEX('calcA'!AQ$110:AQ$114,$F13+1)+IF(AND($E13=1,KD13=0),1000,0),MIN(TV13,20)*400+(IF('calcA'!AP$106=1,1-EN13,0)+IF('calcA'!AQ$106=1,1-EP13,0))*150+162+'calcA'!AQ$5*100000+IF(AND($E13=1,KD13=0),50000,0))+IF($H13=1,INDEX('calcA'!$D$180:$EQ$219,$B13,40)*4000,0)-IF(AND('calcA'!AP$117=1,VN13&gt;0),2000,0)-IF(AND($U13=1,'calcA'!AQ$117=1,EP13=0),2000,0))),1000000000))</f>
        <v/>
      </c>
      <c r="PT13">
        <f>IF($B13=0,1000000000,IF(INDEX('calcA'!$D$60:$EQ$99,$B13,41)*IF($W13=1,EP13+ABE13,EP13)=1,IF(AND($E13=2,IF($W13=1,AGT13,KE13)=0),1000000000,IF($V13=1,INDEX('calcA'!$D$130:$EQ$169,$B13,41)+IF(AND($E13=1,KE13=0),25,0),IF($F13&gt;0,INDEX('calcA'!AR$110:AR$114,$F13+1)+IF(AND($E13=1,KE13=0),1000,0),MIN(TV13,20)*400+(IF('calcA'!AQ$106=1,1-EO13,0)+IF('calcA'!AR$106=1,1-EQ13,0))*150+172+'calcA'!AR$5*100000+IF(AND($E13=1,KE13=0),50000,0))+IF($H13=1,INDEX('calcA'!$D$180:$EQ$219,$B13,41)*4000,0)-IF(AND('calcA'!AQ$117=1,VO13&gt;0),2000,0)-IF(AND($U13=1,'calcA'!AR$117=1,EQ13=0),2000,0))),1000000000))</f>
        <v/>
      </c>
      <c r="PU13">
        <f>IF($B13=0,1000000000,IF(INDEX('calcA'!$D$60:$EQ$99,$B13,42)*IF($W13=1,EQ13+ABF13,EQ13)=1,IF(AND($E13=2,IF($W13=1,AGU13,KF13)=0),1000000000,IF($V13=1,INDEX('calcA'!$D$130:$EQ$169,$B13,42)+IF(AND($E13=1,KF13=0),25,0),IF($F13&gt;0,INDEX('calcA'!AS$110:AS$114,$F13+1)+IF(AND($E13=1,KF13=0),1000,0),MIN(TV13,20)*400+(IF('calcA'!AR$106=1,1-EP13,0)+IF('calcA'!AS$106=1,1-ER13,0))*150+182+'calcA'!AS$5*100000+IF(AND($E13=1,KF13=0),50000,0))+IF($H13=1,INDEX('calcA'!$D$180:$EQ$219,$B13,42)*4000,0)-IF(AND('calcA'!AR$117=1,VP13&gt;0),2000,0)-IF(AND($U13=1,'calcA'!AS$117=1,ER13=0),2000,0))),1000000000))</f>
        <v/>
      </c>
      <c r="PV13">
        <f>IF($B13=0,1000000000,IF(INDEX('calcA'!$D$60:$EQ$99,$B13,43)*IF($W13=1,ER13+ABG13,ER13)=1,IF(AND($E13=2,IF($W13=1,AGV13,KG13)=0),1000000000,IF($V13=1,INDEX('calcA'!$D$130:$EQ$169,$B13,43)+IF(AND($E13=1,KG13=0),25,0),IF($F13&gt;0,INDEX('calcA'!AT$110:AT$114,$F13+1)+IF(AND($E13=1,KG13=0),1000,0),MIN(TV13,20)*400+(IF('calcA'!AS$106=1,1-EQ13,0)+IF('calcA'!AT$106=1,1-ES13,0))*150+192+'calcA'!AT$5*100000+IF(AND($E13=1,KG13=0),50000,0))+IF($H13=1,INDEX('calcA'!$D$180:$EQ$219,$B13,43)*4000,0)-IF(AND('calcA'!AS$117=1,VQ13&gt;0),2000,0)-IF(AND($U13=1,'calcA'!AT$117=1,ES13=0),2000,0))),1000000000))</f>
        <v/>
      </c>
      <c r="PW13">
        <f>IF($B13=0,1000000000,IF(INDEX('calcA'!$D$60:$EQ$99,$B13,44)*IF($W13=1,ES13+ABH13,ES13)=1,IF(AND($E13=2,IF($W13=1,AGW13,KH13)=0),1000000000,IF($V13=1,INDEX('calcA'!$D$130:$EQ$169,$B13,44)+IF(AND($E13=1,KH13=0),25,0),IF($F13&gt;0,INDEX('calcA'!AU$110:AU$114,$F13+1)+IF(AND($E13=1,KH13=0),1000,0),MIN(TV13,20)*400+(IF('calcA'!AT$106=1,1-ER13,0)+IF('calcA'!AU$106=1,1-ET13,0))*150+202+'calcA'!AU$5*100000+IF(AND($E13=1,KH13=0),50000,0))+IF($H13=1,INDEX('calcA'!$D$180:$EQ$219,$B13,44)*4000,0)-IF(AND('calcA'!AT$117=1,VR13&gt;0),2000,0)-IF(AND($U13=1,'calcA'!AU$117=1,ET13=0),2000,0))),1000000000))</f>
        <v/>
      </c>
      <c r="PX13">
        <f>IF($B13=0,1000000000,IF(INDEX('calcA'!$D$60:$EQ$99,$B13,45)*IF($W13=1,ET13+ABI13,ET13)=1,IF(AND($E13=2,IF($W13=1,AGX13,KI13)=0),1000000000,IF($V13=1,INDEX('calcA'!$D$130:$EQ$169,$B13,45)+IF(AND($E13=1,KI13=0),25,0),IF($F13&gt;0,INDEX('calcA'!AV$110:AV$114,$F13+1)+IF(AND($E13=1,KI13=0),1000,0),MIN(TV13,20)*400+(IF('calcA'!AU$106=1,1-ES13,0)+IF('calcA'!AV$106=1,1-EU13,0))*150+212+'calcA'!AV$5*100000+IF(AND($E13=1,KI13=0),50000,0))+IF($H13=1,INDEX('calcA'!$D$180:$EQ$219,$B13,45)*4000,0)-IF(AND('calcA'!AU$117=1,VS13&gt;0),2000,0)-IF(AND($U13=1,'calcA'!AV$117=1,EU13=0),2000,0))),1000000000))</f>
        <v/>
      </c>
      <c r="PY13">
        <f>IF($B13=0,1000000000,IF(INDEX('calcA'!$D$60:$EQ$99,$B13,46)*IF($W13=1,EU13+ABJ13,EU13)=1,IF(AND($E13=2,IF($W13=1,AGY13,KJ13)=0),1000000000,IF($V13=1,INDEX('calcA'!$D$130:$EQ$169,$B13,46)+IF(AND($E13=1,KJ13=0),25,0),IF($F13&gt;0,INDEX('calcA'!AW$110:AW$114,$F13+1)+IF(AND($E13=1,KJ13=0),1000,0),MIN(TV13,20)*400+(IF('calcA'!AV$106=1,1-ET13,0)+IF('calcA'!AW$106=1,1-EV13,0))*150+222+'calcA'!AW$5*100000+IF(AND($E13=1,KJ13=0),50000,0))+IF($H13=1,INDEX('calcA'!$D$180:$EQ$219,$B13,46)*4000,0)-IF(AND('calcA'!AV$117=1,VT13&gt;0),2000,0)-IF(AND($U13=1,'calcA'!AW$117=1,EV13=0),2000,0))),1000000000))</f>
        <v/>
      </c>
      <c r="PZ13">
        <f>IF($B13=0,1000000000,IF(INDEX('calcA'!$D$60:$EQ$99,$B13,47)*IF($W13=1,EV13+ABK13,EV13)=1,IF(AND($E13=2,IF($W13=1,AGZ13,KK13)=0),1000000000,IF($V13=1,INDEX('calcA'!$D$130:$EQ$169,$B13,47)+IF(AND($E13=1,KK13=0),25,0),IF($F13&gt;0,INDEX('calcA'!AX$110:AX$114,$F13+1)+IF(AND($E13=1,KK13=0),1000,0),MIN(TV13,20)*400+(IF('calcA'!AW$106=1,1-EU13,0)+IF('calcA'!AX$106=1,1-EW13,0))*150+232+'calcA'!AX$5*100000+IF(AND($E13=1,KK13=0),50000,0))+IF($H13=1,INDEX('calcA'!$D$180:$EQ$219,$B13,47)*4000,0)-IF(AND('calcA'!AW$117=1,VU13&gt;0),2000,0)-IF(AND($U13=1,'calcA'!AX$117=1,EW13=0),2000,0))),1000000000))</f>
        <v/>
      </c>
      <c r="QA13">
        <f>IF($B13=0,1000000000,IF(INDEX('calcA'!$D$60:$EQ$99,$B13,48)*IF($W13=1,EW13+ABL13,EW13)=1,IF(AND($E13=2,IF($W13=1,AHA13,KL13)=0),1000000000,IF($V13=1,INDEX('calcA'!$D$130:$EQ$169,$B13,48)+IF(AND($E13=1,KL13=0),25,0),IF($F13&gt;0,INDEX('calcA'!AY$110:AY$114,$F13+1)+IF(AND($E13=1,KL13=0),1000,0),MIN(TV13,20)*400+(IF('calcA'!AX$106=1,1-EV13,0))*150+242+'calcA'!AY$5*100000+IF(AND($E13=1,KL13=0),50000,0))+IF($H13=1,INDEX('calcA'!$D$180:$EQ$219,$B13,48)*4000,0)-IF(AND('calcA'!AX$117=1,VV13&gt;0),2000,0))),1000000000))</f>
        <v/>
      </c>
      <c r="QB13">
        <f>IF($B13=0,1000000000,IF(INDEX('calcA'!$D$60:$EQ$99,$B13,49)*IF($W13=1,EX13+ABM13,EX13)=1,IF(AND($E13=2,IF($W13=1,AHB13,KM13)=0),1000000000,IF($V13=1,INDEX('calcA'!$D$130:$EQ$169,$B13,49)+IF(AND($E13=1,KM13=0),25,0),IF($F13&gt;0,INDEX('calcA'!AZ$110:AZ$114,$F13+1)+IF(AND($E13=1,KM13=0),1000,0),MIN(TW13,20)*400+(IF('calcA'!AZ$106=1,1-EY13,0))*150+13+'calcA'!AZ$5*100000+IF(AND($E13=1,KM13=0),50000,0))+IF($H13=1,INDEX('calcA'!$D$180:$EQ$219,$B13,49)*4000,0)-IF(AND($U13=1,'calcA'!AZ$117=1,EY13=0),2000,0))),1000000000))</f>
        <v/>
      </c>
      <c r="QC13">
        <f>IF($B13=0,1000000000,IF(INDEX('calcA'!$D$60:$EQ$99,$B13,50)*IF($W13=1,EY13+ABN13,EY13)=1,IF(AND($E13=2,IF($W13=1,AHC13,KN13)=0),1000000000,IF($V13=1,INDEX('calcA'!$D$130:$EQ$169,$B13,50)+IF(AND($E13=1,KN13=0),25,0),IF($F13&gt;0,INDEX('calcA'!BA$110:BA$114,$F13+1)+IF(AND($E13=1,KN13=0),1000,0),MIN(TW13,20)*400+(IF('calcA'!AZ$106=1,1-EX13,0)+IF('calcA'!BA$106=1,1-EZ13,0))*150+23+'calcA'!BA$5*100000+IF(AND($E13=1,KN13=0),50000,0))+IF($H13=1,INDEX('calcA'!$D$180:$EQ$219,$B13,50)*4000,0)-IF(AND('calcA'!AZ$117=1,VX13&gt;0),2000,0)-IF(AND($U13=1,'calcA'!BA$117=1,EZ13=0),2000,0))),1000000000))</f>
        <v/>
      </c>
      <c r="QD13">
        <f>IF($B13=0,1000000000,IF(INDEX('calcA'!$D$60:$EQ$99,$B13,51)*IF($W13=1,EZ13+ABO13,EZ13)=1,IF(AND($E13=2,IF($W13=1,AHD13,KO13)=0),1000000000,IF($V13=1,INDEX('calcA'!$D$130:$EQ$169,$B13,51)+IF(AND($E13=1,KO13=0),25,0),IF($F13&gt;0,INDEX('calcA'!BB$110:BB$114,$F13+1)+IF(AND($E13=1,KO13=0),1000,0),MIN(TW13,20)*400+(IF('calcA'!BA$106=1,1-EY13,0)+IF('calcA'!BB$106=1,1-FA13,0))*150+33+'calcA'!BB$5*100000+IF(AND($E13=1,KO13=0),50000,0))+IF($H13=1,INDEX('calcA'!$D$180:$EQ$219,$B13,51)*4000,0)-IF(AND('calcA'!BA$117=1,VY13&gt;0),2000,0)-IF(AND($U13=1,'calcA'!BB$117=1,FA13=0),2000,0))),1000000000))</f>
        <v/>
      </c>
      <c r="QE13">
        <f>IF($B13=0,1000000000,IF(INDEX('calcA'!$D$60:$EQ$99,$B13,52)*IF($W13=1,FA13+ABP13,FA13)=1,IF(AND($E13=2,IF($W13=1,AHE13,KP13)=0),1000000000,IF($V13=1,INDEX('calcA'!$D$130:$EQ$169,$B13,52)+IF(AND($E13=1,KP13=0),25,0),IF($F13&gt;0,INDEX('calcA'!BC$110:BC$114,$F13+1)+IF(AND($E13=1,KP13=0),1000,0),MIN(TW13,20)*400+(IF('calcA'!BB$106=1,1-EZ13,0)+IF('calcA'!BC$106=1,1-FB13,0))*150+43+'calcA'!BC$5*100000+IF(AND($E13=1,KP13=0),50000,0))+IF($H13=1,INDEX('calcA'!$D$180:$EQ$219,$B13,52)*4000,0)-IF(AND('calcA'!BB$117=1,VZ13&gt;0),2000,0)-IF(AND($U13=1,'calcA'!BC$117=1,FB13=0),2000,0))),1000000000))</f>
        <v/>
      </c>
      <c r="QF13">
        <f>IF($B13=0,1000000000,IF(INDEX('calcA'!$D$60:$EQ$99,$B13,53)*IF($W13=1,FB13+ABQ13,FB13)=1,IF(AND($E13=2,IF($W13=1,AHF13,KQ13)=0),1000000000,IF($V13=1,INDEX('calcA'!$D$130:$EQ$169,$B13,53)+IF(AND($E13=1,KQ13=0),25,0),IF($F13&gt;0,INDEX('calcA'!BD$110:BD$114,$F13+1)+IF(AND($E13=1,KQ13=0),1000,0),MIN(TW13,20)*400+(IF('calcA'!BC$106=1,1-FA13,0)+IF('calcA'!BD$106=1,1-FC13,0))*150+53+'calcA'!BD$5*100000+IF(AND($E13=1,KQ13=0),50000,0))+IF($H13=1,INDEX('calcA'!$D$180:$EQ$219,$B13,53)*4000,0)-IF(AND('calcA'!BC$117=1,WA13&gt;0),2000,0)-IF(AND($U13=1,'calcA'!BD$117=1,FC13=0),2000,0))),1000000000))</f>
        <v/>
      </c>
      <c r="QG13">
        <f>IF($B13=0,1000000000,IF(INDEX('calcA'!$D$60:$EQ$99,$B13,54)*IF($W13=1,FC13+ABR13,FC13)=1,IF(AND($E13=2,IF($W13=1,AHG13,KR13)=0),1000000000,IF($V13=1,INDEX('calcA'!$D$130:$EQ$169,$B13,54)+IF(AND($E13=1,KR13=0),25,0),IF($F13&gt;0,INDEX('calcA'!BE$110:BE$114,$F13+1)+IF(AND($E13=1,KR13=0),1000,0),MIN(TW13,20)*400+(IF('calcA'!BD$106=1,1-FB13,0)+IF('calcA'!BE$106=1,1-FD13,0))*150+63+'calcA'!BE$5*100000+IF(AND($E13=1,KR13=0),50000,0))+IF($H13=1,INDEX('calcA'!$D$180:$EQ$219,$B13,54)*4000,0)-IF(AND('calcA'!BD$117=1,WB13&gt;0),2000,0)-IF(AND($U13=1,'calcA'!BE$117=1,FD13=0),2000,0))),1000000000))</f>
        <v/>
      </c>
      <c r="QH13">
        <f>IF($B13=0,1000000000,IF(INDEX('calcA'!$D$60:$EQ$99,$B13,55)*IF($W13=1,FD13+ABS13,FD13)=1,IF(AND($E13=2,IF($W13=1,AHH13,KS13)=0),1000000000,IF($V13=1,INDEX('calcA'!$D$130:$EQ$169,$B13,55)+IF(AND($E13=1,KS13=0),25,0),IF($F13&gt;0,INDEX('calcA'!BF$110:BF$114,$F13+1)+IF(AND($E13=1,KS13=0),1000,0),MIN(TW13,20)*400+(IF('calcA'!BE$106=1,1-FC13,0)+IF('calcA'!BF$106=1,1-FE13,0))*150+73+'calcA'!BF$5*100000+IF(AND($E13=1,KS13=0),50000,0))+IF($H13=1,INDEX('calcA'!$D$180:$EQ$219,$B13,55)*4000,0)-IF(AND('calcA'!BE$117=1,WC13&gt;0),2000,0)-IF(AND($U13=1,'calcA'!BF$117=1,FE13=0),2000,0))),1000000000))</f>
        <v/>
      </c>
      <c r="QI13">
        <f>IF($B13=0,1000000000,IF(INDEX('calcA'!$D$60:$EQ$99,$B13,56)*IF($W13=1,FE13+ABT13,FE13)=1,IF(AND($E13=2,IF($W13=1,AHI13,KT13)=0),1000000000,IF($V13=1,INDEX('calcA'!$D$130:$EQ$169,$B13,56)+IF(AND($E13=1,KT13=0),25,0),IF($F13&gt;0,INDEX('calcA'!BG$110:BG$114,$F13+1)+IF(AND($E13=1,KT13=0),1000,0),MIN(TW13,20)*400+(IF('calcA'!BF$106=1,1-FD13,0)+IF('calcA'!BG$106=1,1-FF13,0))*150+83+'calcA'!BG$5*100000+IF(AND($E13=1,KT13=0),50000,0))+IF($H13=1,INDEX('calcA'!$D$180:$EQ$219,$B13,56)*4000,0)-IF(AND('calcA'!BF$117=1,WD13&gt;0),2000,0)-IF(AND($U13=1,'calcA'!BG$117=1,FF13=0),2000,0))),1000000000))</f>
        <v/>
      </c>
      <c r="QJ13">
        <f>IF($B13=0,1000000000,IF(INDEX('calcA'!$D$60:$EQ$99,$B13,57)*IF($W13=1,FF13+ABU13,FF13)=1,IF(AND($E13=2,IF($W13=1,AHJ13,KU13)=0),1000000000,IF($V13=1,INDEX('calcA'!$D$130:$EQ$169,$B13,57)+IF(AND($E13=1,KU13=0),25,0),IF($F13&gt;0,INDEX('calcA'!BH$110:BH$114,$F13+1)+IF(AND($E13=1,KU13=0),1000,0),MIN(TW13,20)*400+(IF('calcA'!BG$106=1,1-FE13,0)+IF('calcA'!BH$106=1,1-FG13,0))*150+93+'calcA'!BH$5*100000+IF(AND($E13=1,KU13=0),50000,0))+IF($H13=1,INDEX('calcA'!$D$180:$EQ$219,$B13,57)*4000,0)-IF(AND('calcA'!BG$117=1,WE13&gt;0),2000,0)-IF(AND($U13=1,'calcA'!BH$117=1,FG13=0),2000,0))),1000000000))</f>
        <v/>
      </c>
      <c r="QK13">
        <f>IF($B13=0,1000000000,IF(INDEX('calcA'!$D$60:$EQ$99,$B13,58)*IF($W13=1,FG13+ABV13,FG13)=1,IF(AND($E13=2,IF($W13=1,AHK13,KV13)=0),1000000000,IF($V13=1,INDEX('calcA'!$D$130:$EQ$169,$B13,58)+IF(AND($E13=1,KV13=0),25,0),IF($F13&gt;0,INDEX('calcA'!BI$110:BI$114,$F13+1)+IF(AND($E13=1,KV13=0),1000,0),MIN(TW13,20)*400+(IF('calcA'!BH$106=1,1-FF13,0)+IF('calcA'!BI$106=1,1-FH13,0))*150+103+'calcA'!BI$5*100000+IF(AND($E13=1,KV13=0),50000,0))+IF($H13=1,INDEX('calcA'!$D$180:$EQ$219,$B13,58)*4000,0)-IF(AND('calcA'!BH$117=1,WF13&gt;0),2000,0)-IF(AND($U13=1,'calcA'!BI$117=1,FH13=0),2000,0))),1000000000))</f>
        <v/>
      </c>
      <c r="QL13">
        <f>IF($B13=0,1000000000,IF(INDEX('calcA'!$D$60:$EQ$99,$B13,59)*IF($W13=1,FH13+ABW13,FH13)=1,IF(AND($E13=2,IF($W13=1,AHL13,KW13)=0),1000000000,IF($V13=1,INDEX('calcA'!$D$130:$EQ$169,$B13,59)+IF(AND($E13=1,KW13=0),25,0),IF($F13&gt;0,INDEX('calcA'!BJ$110:BJ$114,$F13+1)+IF(AND($E13=1,KW13=0),1000,0),MIN(TW13,20)*400+(IF('calcA'!BI$106=1,1-FG13,0)+IF('calcA'!BJ$106=1,1-FI13,0))*150+113+'calcA'!BJ$5*100000+IF(AND($E13=1,KW13=0),50000,0))+IF($H13=1,INDEX('calcA'!$D$180:$EQ$219,$B13,59)*4000,0)-IF(AND('calcA'!BI$117=1,WG13&gt;0),2000,0)-IF(AND($U13=1,'calcA'!BJ$117=1,FI13=0),2000,0))),1000000000))</f>
        <v/>
      </c>
      <c r="QM13">
        <f>IF($B13=0,1000000000,IF(INDEX('calcA'!$D$60:$EQ$99,$B13,60)*IF($W13=1,FI13+ABX13,FI13)=1,IF(AND($E13=2,IF($W13=1,AHM13,KX13)=0),1000000000,IF($V13=1,INDEX('calcA'!$D$130:$EQ$169,$B13,60)+IF(AND($E13=1,KX13=0),25,0),IF($F13&gt;0,INDEX('calcA'!BK$110:BK$114,$F13+1)+IF(AND($E13=1,KX13=0),1000,0),MIN(TW13,20)*400+(IF('calcA'!BJ$106=1,1-FH13,0)+IF('calcA'!BK$106=1,1-FJ13,0))*150+123+'calcA'!BK$5*100000+IF(AND($E13=1,KX13=0),50000,0))+IF($H13=1,INDEX('calcA'!$D$180:$EQ$219,$B13,60)*4000,0)-IF(AND('calcA'!BJ$117=1,WH13&gt;0),2000,0)-IF(AND($U13=1,'calcA'!BK$117=1,FJ13=0),2000,0))),1000000000))</f>
        <v/>
      </c>
      <c r="QN13">
        <f>IF($B13=0,1000000000,IF(INDEX('calcA'!$D$60:$EQ$99,$B13,61)*IF($W13=1,FJ13+ABY13,FJ13)=1,IF(AND($E13=2,IF($W13=1,AHN13,KY13)=0),1000000000,IF($V13=1,INDEX('calcA'!$D$130:$EQ$169,$B13,61)+IF(AND($E13=1,KY13=0),25,0),IF($F13&gt;0,INDEX('calcA'!BL$110:BL$114,$F13+1)+IF(AND($E13=1,KY13=0),1000,0),MIN(TW13,20)*400+(IF('calcA'!BK$106=1,1-FI13,0)+IF('calcA'!BL$106=1,1-FK13,0))*150+133+'calcA'!BL$5*100000+IF(AND($E13=1,KY13=0),50000,0))+IF($H13=1,INDEX('calcA'!$D$180:$EQ$219,$B13,61)*4000,0)-IF(AND('calcA'!BK$117=1,WI13&gt;0),2000,0)-IF(AND($U13=1,'calcA'!BL$117=1,FK13=0),2000,0))),1000000000))</f>
        <v/>
      </c>
      <c r="QO13">
        <f>IF($B13=0,1000000000,IF(INDEX('calcA'!$D$60:$EQ$99,$B13,62)*IF($W13=1,FK13+ABZ13,FK13)=1,IF(AND($E13=2,IF($W13=1,AHO13,KZ13)=0),1000000000,IF($V13=1,INDEX('calcA'!$D$130:$EQ$169,$B13,62)+IF(AND($E13=1,KZ13=0),25,0),IF($F13&gt;0,INDEX('calcA'!BM$110:BM$114,$F13+1)+IF(AND($E13=1,KZ13=0),1000,0),MIN(TW13,20)*400+(IF('calcA'!BL$106=1,1-FJ13,0)+IF('calcA'!BM$106=1,1-FL13,0))*150+143+'calcA'!BM$5*100000+IF(AND($E13=1,KZ13=0),50000,0))+IF($H13=1,INDEX('calcA'!$D$180:$EQ$219,$B13,62)*4000,0)-IF(AND('calcA'!BL$117=1,WJ13&gt;0),2000,0)-IF(AND($U13=1,'calcA'!BM$117=1,FL13=0),2000,0))),1000000000))</f>
        <v/>
      </c>
      <c r="QP13">
        <f>IF($B13=0,1000000000,IF(INDEX('calcA'!$D$60:$EQ$99,$B13,63)*IF($W13=1,FL13+ACA13,FL13)=1,IF(AND($E13=2,IF($W13=1,AHP13,LA13)=0),1000000000,IF($V13=1,INDEX('calcA'!$D$130:$EQ$169,$B13,63)+IF(AND($E13=1,LA13=0),25,0),IF($F13&gt;0,INDEX('calcA'!BN$110:BN$114,$F13+1)+IF(AND($E13=1,LA13=0),1000,0),MIN(TW13,20)*400+(IF('calcA'!BM$106=1,1-FK13,0)+IF('calcA'!BN$106=1,1-FM13,0))*150+153+'calcA'!BN$5*100000+IF(AND($E13=1,LA13=0),50000,0))+IF($H13=1,INDEX('calcA'!$D$180:$EQ$219,$B13,63)*4000,0)-IF(AND('calcA'!BM$117=1,WK13&gt;0),2000,0)-IF(AND($U13=1,'calcA'!BN$117=1,FM13=0),2000,0))),1000000000))</f>
        <v/>
      </c>
      <c r="QQ13">
        <f>IF($B13=0,1000000000,IF(INDEX('calcA'!$D$60:$EQ$99,$B13,64)*IF($W13=1,FM13+ACB13,FM13)=1,IF(AND($E13=2,IF($W13=1,AHQ13,LB13)=0),1000000000,IF($V13=1,INDEX('calcA'!$D$130:$EQ$169,$B13,64)+IF(AND($E13=1,LB13=0),25,0),IF($F13&gt;0,INDEX('calcA'!BO$110:BO$114,$F13+1)+IF(AND($E13=1,LB13=0),1000,0),MIN(TW13,20)*400+(IF('calcA'!BN$106=1,1-FL13,0)+IF('calcA'!BO$106=1,1-FN13,0))*150+163+'calcA'!BO$5*100000+IF(AND($E13=1,LB13=0),50000,0))+IF($H13=1,INDEX('calcA'!$D$180:$EQ$219,$B13,64)*4000,0)-IF(AND('calcA'!BN$117=1,WL13&gt;0),2000,0)-IF(AND($U13=1,'calcA'!BO$117=1,FN13=0),2000,0))),1000000000))</f>
        <v/>
      </c>
      <c r="QR13">
        <f>IF($B13=0,1000000000,IF(INDEX('calcA'!$D$60:$EQ$99,$B13,65)*IF($W13=1,FN13+ACC13,FN13)=1,IF(AND($E13=2,IF($W13=1,AHR13,LC13)=0),1000000000,IF($V13=1,INDEX('calcA'!$D$130:$EQ$169,$B13,65)+IF(AND($E13=1,LC13=0),25,0),IF($F13&gt;0,INDEX('calcA'!BP$110:BP$114,$F13+1)+IF(AND($E13=1,LC13=0),1000,0),MIN(TW13,20)*400+(IF('calcA'!BO$106=1,1-FM13,0)+IF('calcA'!BP$106=1,1-FO13,0))*150+173+'calcA'!BP$5*100000+IF(AND($E13=1,LC13=0),50000,0))+IF($H13=1,INDEX('calcA'!$D$180:$EQ$219,$B13,65)*4000,0)-IF(AND('calcA'!BO$117=1,WM13&gt;0),2000,0)-IF(AND($U13=1,'calcA'!BP$117=1,FO13=0),2000,0))),1000000000))</f>
        <v/>
      </c>
      <c r="QS13">
        <f>IF($B13=0,1000000000,IF(INDEX('calcA'!$D$60:$EQ$99,$B13,66)*IF($W13=1,FO13+ACD13,FO13)=1,IF(AND($E13=2,IF($W13=1,AHS13,LD13)=0),1000000000,IF($V13=1,INDEX('calcA'!$D$130:$EQ$169,$B13,66)+IF(AND($E13=1,LD13=0),25,0),IF($F13&gt;0,INDEX('calcA'!BQ$110:BQ$114,$F13+1)+IF(AND($E13=1,LD13=0),1000,0),MIN(TW13,20)*400+(IF('calcA'!BP$106=1,1-FN13,0)+IF('calcA'!BQ$106=1,1-FP13,0))*150+183+'calcA'!BQ$5*100000+IF(AND($E13=1,LD13=0),50000,0))+IF($H13=1,INDEX('calcA'!$D$180:$EQ$219,$B13,66)*4000,0)-IF(AND('calcA'!BP$117=1,WN13&gt;0),2000,0)-IF(AND($U13=1,'calcA'!BQ$117=1,FP13=0),2000,0))),1000000000))</f>
        <v/>
      </c>
      <c r="QT13">
        <f>IF($B13=0,1000000000,IF(INDEX('calcA'!$D$60:$EQ$99,$B13,67)*IF($W13=1,FP13+ACE13,FP13)=1,IF(AND($E13=2,IF($W13=1,AHT13,LE13)=0),1000000000,IF($V13=1,INDEX('calcA'!$D$130:$EQ$169,$B13,67)+IF(AND($E13=1,LE13=0),25,0),IF($F13&gt;0,INDEX('calcA'!BR$110:BR$114,$F13+1)+IF(AND($E13=1,LE13=0),1000,0),MIN(TW13,20)*400+(IF('calcA'!BQ$106=1,1-FO13,0)+IF('calcA'!BR$106=1,1-FQ13,0))*150+193+'calcA'!BR$5*100000+IF(AND($E13=1,LE13=0),50000,0))+IF($H13=1,INDEX('calcA'!$D$180:$EQ$219,$B13,67)*4000,0)-IF(AND('calcA'!BQ$117=1,WO13&gt;0),2000,0)-IF(AND($U13=1,'calcA'!BR$117=1,FQ13=0),2000,0))),1000000000))</f>
        <v/>
      </c>
      <c r="QU13">
        <f>IF($B13=0,1000000000,IF(INDEX('calcA'!$D$60:$EQ$99,$B13,68)*IF($W13=1,FQ13+ACF13,FQ13)=1,IF(AND($E13=2,IF($W13=1,AHU13,LF13)=0),1000000000,IF($V13=1,INDEX('calcA'!$D$130:$EQ$169,$B13,68)+IF(AND($E13=1,LF13=0),25,0),IF($F13&gt;0,INDEX('calcA'!BS$110:BS$114,$F13+1)+IF(AND($E13=1,LF13=0),1000,0),MIN(TW13,20)*400+(IF('calcA'!BR$106=1,1-FP13,0)+IF('calcA'!BS$106=1,1-FR13,0))*150+203+'calcA'!BS$5*100000+IF(AND($E13=1,LF13=0),50000,0))+IF($H13=1,INDEX('calcA'!$D$180:$EQ$219,$B13,68)*4000,0)-IF(AND('calcA'!BR$117=1,WP13&gt;0),2000,0)-IF(AND($U13=1,'calcA'!BS$117=1,FR13=0),2000,0))),1000000000))</f>
        <v/>
      </c>
      <c r="QV13">
        <f>IF($B13=0,1000000000,IF(INDEX('calcA'!$D$60:$EQ$99,$B13,69)*IF($W13=1,FR13+ACG13,FR13)=1,IF(AND($E13=2,IF($W13=1,AHV13,LG13)=0),1000000000,IF($V13=1,INDEX('calcA'!$D$130:$EQ$169,$B13,69)+IF(AND($E13=1,LG13=0),25,0),IF($F13&gt;0,INDEX('calcA'!BT$110:BT$114,$F13+1)+IF(AND($E13=1,LG13=0),1000,0),MIN(TW13,20)*400+(IF('calcA'!BS$106=1,1-FQ13,0)+IF('calcA'!BT$106=1,1-FS13,0))*150+213+'calcA'!BT$5*100000+IF(AND($E13=1,LG13=0),50000,0))+IF($H13=1,INDEX('calcA'!$D$180:$EQ$219,$B13,69)*4000,0)-IF(AND('calcA'!BS$117=1,WQ13&gt;0),2000,0)-IF(AND($U13=1,'calcA'!BT$117=1,FS13=0),2000,0))),1000000000))</f>
        <v/>
      </c>
      <c r="QW13">
        <f>IF($B13=0,1000000000,IF(INDEX('calcA'!$D$60:$EQ$99,$B13,70)*IF($W13=1,FS13+ACH13,FS13)=1,IF(AND($E13=2,IF($W13=1,AHW13,LH13)=0),1000000000,IF($V13=1,INDEX('calcA'!$D$130:$EQ$169,$B13,70)+IF(AND($E13=1,LH13=0),25,0),IF($F13&gt;0,INDEX('calcA'!BU$110:BU$114,$F13+1)+IF(AND($E13=1,LH13=0),1000,0),MIN(TW13,20)*400+(IF('calcA'!BT$106=1,1-FR13,0)+IF('calcA'!BU$106=1,1-FT13,0))*150+223+'calcA'!BU$5*100000+IF(AND($E13=1,LH13=0),50000,0))+IF($H13=1,INDEX('calcA'!$D$180:$EQ$219,$B13,70)*4000,0)-IF(AND('calcA'!BT$117=1,WR13&gt;0),2000,0)-IF(AND($U13=1,'calcA'!BU$117=1,FT13=0),2000,0))),1000000000))</f>
        <v/>
      </c>
      <c r="QX13">
        <f>IF($B13=0,1000000000,IF(INDEX('calcA'!$D$60:$EQ$99,$B13,71)*IF($W13=1,FT13+ACI13,FT13)=1,IF(AND($E13=2,IF($W13=1,AHX13,LI13)=0),1000000000,IF($V13=1,INDEX('calcA'!$D$130:$EQ$169,$B13,71)+IF(AND($E13=1,LI13=0),25,0),IF($F13&gt;0,INDEX('calcA'!BV$110:BV$114,$F13+1)+IF(AND($E13=1,LI13=0),1000,0),MIN(TW13,20)*400+(IF('calcA'!BU$106=1,1-FS13,0)+IF('calcA'!BV$106=1,1-FU13,0))*150+233+'calcA'!BV$5*100000+IF(AND($E13=1,LI13=0),50000,0))+IF($H13=1,INDEX('calcA'!$D$180:$EQ$219,$B13,71)*4000,0)-IF(AND('calcA'!BU$117=1,WS13&gt;0),2000,0)-IF(AND($U13=1,'calcA'!BV$117=1,FU13=0),2000,0))),1000000000))</f>
        <v/>
      </c>
      <c r="QY13">
        <f>IF($B13=0,1000000000,IF(INDEX('calcA'!$D$60:$EQ$99,$B13,72)*IF($W13=1,FU13+ACJ13,FU13)=1,IF(AND($E13=2,IF($W13=1,AHY13,LJ13)=0),1000000000,IF($V13=1,INDEX('calcA'!$D$130:$EQ$169,$B13,72)+IF(AND($E13=1,LJ13=0),25,0),IF($F13&gt;0,INDEX('calcA'!BW$110:BW$114,$F13+1)+IF(AND($E13=1,LJ13=0),1000,0),MIN(TW13,20)*400+(IF('calcA'!BV$106=1,1-FT13,0))*150+243+'calcA'!BW$5*100000+IF(AND($E13=1,LJ13=0),50000,0))+IF($H13=1,INDEX('calcA'!$D$180:$EQ$219,$B13,72)*4000,0)-IF(AND('calcA'!BV$117=1,WT13&gt;0),2000,0))),1000000000))</f>
        <v/>
      </c>
      <c r="QZ13">
        <f>IF($B13=0,1000000000,IF(INDEX('calcA'!$D$60:$EQ$99,$B13,73)*IF($W13=1,FV13+ACK13,FV13)=1,IF(AND($E13=2,IF($W13=1,AHZ13,LK13)=0),1000000000,IF($V13=1,INDEX('calcA'!$D$130:$EQ$169,$B13,73)+IF(AND($E13=1,LK13=0),25,0),IF($F13&gt;0,INDEX('calcA'!BX$110:BX$114,$F13+1)+IF(AND($E13=1,LK13=0),1000,0),MIN(TX13,20)*400+(IF('calcA'!BX$106=1,1-FW13,0))*150+14+'calcA'!BX$5*100000+IF(AND($E13=1,LK13=0),50000,0))+IF($H13=1,INDEX('calcA'!$D$180:$EQ$219,$B13,73)*4000,0)-IF(AND($U13=1,'calcA'!BX$117=1,FW13=0),2000,0))),1000000000))</f>
        <v/>
      </c>
      <c r="RA13">
        <f>IF($B13=0,1000000000,IF(INDEX('calcA'!$D$60:$EQ$99,$B13,74)*IF($W13=1,FW13+ACL13,FW13)=1,IF(AND($E13=2,IF($W13=1,AIA13,LL13)=0),1000000000,IF($V13=1,INDEX('calcA'!$D$130:$EQ$169,$B13,74)+IF(AND($E13=1,LL13=0),25,0),IF($F13&gt;0,INDEX('calcA'!BY$110:BY$114,$F13+1)+IF(AND($E13=1,LL13=0),1000,0),MIN(TX13,20)*400+(IF('calcA'!BX$106=1,1-FV13,0)+IF('calcA'!BY$106=1,1-FX13,0))*150+24+'calcA'!BY$5*100000+IF(AND($E13=1,LL13=0),50000,0))+IF($H13=1,INDEX('calcA'!$D$180:$EQ$219,$B13,74)*4000,0)-IF(AND('calcA'!BX$117=1,WV13&gt;0),2000,0)-IF(AND($U13=1,'calcA'!BY$117=1,FX13=0),2000,0))),1000000000))</f>
        <v/>
      </c>
      <c r="RB13">
        <f>IF($B13=0,1000000000,IF(INDEX('calcA'!$D$60:$EQ$99,$B13,75)*IF($W13=1,FX13+ACM13,FX13)=1,IF(AND($E13=2,IF($W13=1,AIB13,LM13)=0),1000000000,IF($V13=1,INDEX('calcA'!$D$130:$EQ$169,$B13,75)+IF(AND($E13=1,LM13=0),25,0),IF($F13&gt;0,INDEX('calcA'!BZ$110:BZ$114,$F13+1)+IF(AND($E13=1,LM13=0),1000,0),MIN(TX13,20)*400+(IF('calcA'!BY$106=1,1-FW13,0)+IF('calcA'!BZ$106=1,1-FY13,0))*150+34+'calcA'!BZ$5*100000+IF(AND($E13=1,LM13=0),50000,0))+IF($H13=1,INDEX('calcA'!$D$180:$EQ$219,$B13,75)*4000,0)-IF(AND('calcA'!BY$117=1,WW13&gt;0),2000,0)-IF(AND($U13=1,'calcA'!BZ$117=1,FY13=0),2000,0))),1000000000))</f>
        <v/>
      </c>
      <c r="RC13">
        <f>IF($B13=0,1000000000,IF(INDEX('calcA'!$D$60:$EQ$99,$B13,76)*IF($W13=1,FY13+ACN13,FY13)=1,IF(AND($E13=2,IF($W13=1,AIC13,LN13)=0),1000000000,IF($V13=1,INDEX('calcA'!$D$130:$EQ$169,$B13,76)+IF(AND($E13=1,LN13=0),25,0),IF($F13&gt;0,INDEX('calcA'!CA$110:CA$114,$F13+1)+IF(AND($E13=1,LN13=0),1000,0),MIN(TX13,20)*400+(IF('calcA'!BZ$106=1,1-FX13,0)+IF('calcA'!CA$106=1,1-FZ13,0))*150+44+'calcA'!CA$5*100000+IF(AND($E13=1,LN13=0),50000,0))+IF($H13=1,INDEX('calcA'!$D$180:$EQ$219,$B13,76)*4000,0)-IF(AND('calcA'!BZ$117=1,WX13&gt;0),2000,0)-IF(AND($U13=1,'calcA'!CA$117=1,FZ13=0),2000,0))),1000000000))</f>
        <v/>
      </c>
      <c r="RD13">
        <f>IF($B13=0,1000000000,IF(INDEX('calcA'!$D$60:$EQ$99,$B13,77)*IF($W13=1,FZ13+ACO13,FZ13)=1,IF(AND($E13=2,IF($W13=1,AID13,LO13)=0),1000000000,IF($V13=1,INDEX('calcA'!$D$130:$EQ$169,$B13,77)+IF(AND($E13=1,LO13=0),25,0),IF($F13&gt;0,INDEX('calcA'!CB$110:CB$114,$F13+1)+IF(AND($E13=1,LO13=0),1000,0),MIN(TX13,20)*400+(IF('calcA'!CA$106=1,1-FY13,0)+IF('calcA'!CB$106=1,1-GA13,0))*150+54+'calcA'!CB$5*100000+IF(AND($E13=1,LO13=0),50000,0))+IF($H13=1,INDEX('calcA'!$D$180:$EQ$219,$B13,77)*4000,0)-IF(AND('calcA'!CA$117=1,WY13&gt;0),2000,0)-IF(AND($U13=1,'calcA'!CB$117=1,GA13=0),2000,0))),1000000000))</f>
        <v/>
      </c>
      <c r="RE13">
        <f>IF($B13=0,1000000000,IF(INDEX('calcA'!$D$60:$EQ$99,$B13,78)*IF($W13=1,GA13+ACP13,GA13)=1,IF(AND($E13=2,IF($W13=1,AIE13,LP13)=0),1000000000,IF($V13=1,INDEX('calcA'!$D$130:$EQ$169,$B13,78)+IF(AND($E13=1,LP13=0),25,0),IF($F13&gt;0,INDEX('calcA'!CC$110:CC$114,$F13+1)+IF(AND($E13=1,LP13=0),1000,0),MIN(TX13,20)*400+(IF('calcA'!CB$106=1,1-FZ13,0)+IF('calcA'!CC$106=1,1-GB13,0))*150+64+'calcA'!CC$5*100000+IF(AND($E13=1,LP13=0),50000,0))+IF($H13=1,INDEX('calcA'!$D$180:$EQ$219,$B13,78)*4000,0)-IF(AND('calcA'!CB$117=1,WZ13&gt;0),2000,0)-IF(AND($U13=1,'calcA'!CC$117=1,GB13=0),2000,0))),1000000000))</f>
        <v/>
      </c>
      <c r="RF13">
        <f>IF($B13=0,1000000000,IF(INDEX('calcA'!$D$60:$EQ$99,$B13,79)*IF($W13=1,GB13+ACQ13,GB13)=1,IF(AND($E13=2,IF($W13=1,AIF13,LQ13)=0),1000000000,IF($V13=1,INDEX('calcA'!$D$130:$EQ$169,$B13,79)+IF(AND($E13=1,LQ13=0),25,0),IF($F13&gt;0,INDEX('calcA'!CD$110:CD$114,$F13+1)+IF(AND($E13=1,LQ13=0),1000,0),MIN(TX13,20)*400+(IF('calcA'!CC$106=1,1-GA13,0)+IF('calcA'!CD$106=1,1-GC13,0))*150+74+'calcA'!CD$5*100000+IF(AND($E13=1,LQ13=0),50000,0))+IF($H13=1,INDEX('calcA'!$D$180:$EQ$219,$B13,79)*4000,0)-IF(AND('calcA'!CC$117=1,XA13&gt;0),2000,0)-IF(AND($U13=1,'calcA'!CD$117=1,GC13=0),2000,0))),1000000000))</f>
        <v/>
      </c>
      <c r="RG13">
        <f>IF($B13=0,1000000000,IF(INDEX('calcA'!$D$60:$EQ$99,$B13,80)*IF($W13=1,GC13+ACR13,GC13)=1,IF(AND($E13=2,IF($W13=1,AIG13,LR13)=0),1000000000,IF($V13=1,INDEX('calcA'!$D$130:$EQ$169,$B13,80)+IF(AND($E13=1,LR13=0),25,0),IF($F13&gt;0,INDEX('calcA'!CE$110:CE$114,$F13+1)+IF(AND($E13=1,LR13=0),1000,0),MIN(TX13,20)*400+(IF('calcA'!CD$106=1,1-GB13,0)+IF('calcA'!CE$106=1,1-GD13,0))*150+84+'calcA'!CE$5*100000+IF(AND($E13=1,LR13=0),50000,0))+IF($H13=1,INDEX('calcA'!$D$180:$EQ$219,$B13,80)*4000,0)-IF(AND('calcA'!CD$117=1,XB13&gt;0),2000,0)-IF(AND($U13=1,'calcA'!CE$117=1,GD13=0),2000,0))),1000000000))</f>
        <v/>
      </c>
      <c r="RH13">
        <f>IF($B13=0,1000000000,IF(INDEX('calcA'!$D$60:$EQ$99,$B13,81)*IF($W13=1,GD13+ACS13,GD13)=1,IF(AND($E13=2,IF($W13=1,AIH13,LS13)=0),1000000000,IF($V13=1,INDEX('calcA'!$D$130:$EQ$169,$B13,81)+IF(AND($E13=1,LS13=0),25,0),IF($F13&gt;0,INDEX('calcA'!CF$110:CF$114,$F13+1)+IF(AND($E13=1,LS13=0),1000,0),MIN(TX13,20)*400+(IF('calcA'!CE$106=1,1-GC13,0)+IF('calcA'!CF$106=1,1-GE13,0))*150+94+'calcA'!CF$5*100000+IF(AND($E13=1,LS13=0),50000,0))+IF($H13=1,INDEX('calcA'!$D$180:$EQ$219,$B13,81)*4000,0)-IF(AND('calcA'!CE$117=1,XC13&gt;0),2000,0)-IF(AND($U13=1,'calcA'!CF$117=1,GE13=0),2000,0))),1000000000))</f>
        <v/>
      </c>
      <c r="RI13">
        <f>IF($B13=0,1000000000,IF(INDEX('calcA'!$D$60:$EQ$99,$B13,82)*IF($W13=1,GE13+ACT13,GE13)=1,IF(AND($E13=2,IF($W13=1,AII13,LT13)=0),1000000000,IF($V13=1,INDEX('calcA'!$D$130:$EQ$169,$B13,82)+IF(AND($E13=1,LT13=0),25,0),IF($F13&gt;0,INDEX('calcA'!CG$110:CG$114,$F13+1)+IF(AND($E13=1,LT13=0),1000,0),MIN(TX13,20)*400+(IF('calcA'!CF$106=1,1-GD13,0)+IF('calcA'!CG$106=1,1-GF13,0))*150+104+'calcA'!CG$5*100000+IF(AND($E13=1,LT13=0),50000,0))+IF($H13=1,INDEX('calcA'!$D$180:$EQ$219,$B13,82)*4000,0)-IF(AND('calcA'!CF$117=1,XD13&gt;0),2000,0)-IF(AND($U13=1,'calcA'!CG$117=1,GF13=0),2000,0))),1000000000))</f>
        <v/>
      </c>
      <c r="RJ13">
        <f>IF($B13=0,1000000000,IF(INDEX('calcA'!$D$60:$EQ$99,$B13,83)*IF($W13=1,GF13+ACU13,GF13)=1,IF(AND($E13=2,IF($W13=1,AIJ13,LU13)=0),1000000000,IF($V13=1,INDEX('calcA'!$D$130:$EQ$169,$B13,83)+IF(AND($E13=1,LU13=0),25,0),IF($F13&gt;0,INDEX('calcA'!CH$110:CH$114,$F13+1)+IF(AND($E13=1,LU13=0),1000,0),MIN(TX13,20)*400+(IF('calcA'!CG$106=1,1-GE13,0)+IF('calcA'!CH$106=1,1-GG13,0))*150+114+'calcA'!CH$5*100000+IF(AND($E13=1,LU13=0),50000,0))+IF($H13=1,INDEX('calcA'!$D$180:$EQ$219,$B13,83)*4000,0)-IF(AND('calcA'!CG$117=1,XE13&gt;0),2000,0)-IF(AND($U13=1,'calcA'!CH$117=1,GG13=0),2000,0))),1000000000))</f>
        <v/>
      </c>
      <c r="RK13">
        <f>IF($B13=0,1000000000,IF(INDEX('calcA'!$D$60:$EQ$99,$B13,84)*IF($W13=1,GG13+ACV13,GG13)=1,IF(AND($E13=2,IF($W13=1,AIK13,LV13)=0),1000000000,IF($V13=1,INDEX('calcA'!$D$130:$EQ$169,$B13,84)+IF(AND($E13=1,LV13=0),25,0),IF($F13&gt;0,INDEX('calcA'!CI$110:CI$114,$F13+1)+IF(AND($E13=1,LV13=0),1000,0),MIN(TX13,20)*400+(IF('calcA'!CH$106=1,1-GF13,0)+IF('calcA'!CI$106=1,1-GH13,0))*150+124+'calcA'!CI$5*100000+IF(AND($E13=1,LV13=0),50000,0))+IF($H13=1,INDEX('calcA'!$D$180:$EQ$219,$B13,84)*4000,0)-IF(AND('calcA'!CH$117=1,XF13&gt;0),2000,0)-IF(AND($U13=1,'calcA'!CI$117=1,GH13=0),2000,0))),1000000000))</f>
        <v/>
      </c>
      <c r="RL13">
        <f>IF($B13=0,1000000000,IF(INDEX('calcA'!$D$60:$EQ$99,$B13,85)*IF($W13=1,GH13+ACW13,GH13)=1,IF(AND($E13=2,IF($W13=1,AIL13,LW13)=0),1000000000,IF($V13=1,INDEX('calcA'!$D$130:$EQ$169,$B13,85)+IF(AND($E13=1,LW13=0),25,0),IF($F13&gt;0,INDEX('calcA'!CJ$110:CJ$114,$F13+1)+IF(AND($E13=1,LW13=0),1000,0),MIN(TX13,20)*400+(IF('calcA'!CI$106=1,1-GG13,0)+IF('calcA'!CJ$106=1,1-GI13,0))*150+134+'calcA'!CJ$5*100000+IF(AND($E13=1,LW13=0),50000,0))+IF($H13=1,INDEX('calcA'!$D$180:$EQ$219,$B13,85)*4000,0)-IF(AND('calcA'!CI$117=1,XG13&gt;0),2000,0)-IF(AND($U13=1,'calcA'!CJ$117=1,GI13=0),2000,0))),1000000000))</f>
        <v/>
      </c>
      <c r="RM13">
        <f>IF($B13=0,1000000000,IF(INDEX('calcA'!$D$60:$EQ$99,$B13,86)*IF($W13=1,GI13+ACX13,GI13)=1,IF(AND($E13=2,IF($W13=1,AIM13,LX13)=0),1000000000,IF($V13=1,INDEX('calcA'!$D$130:$EQ$169,$B13,86)+IF(AND($E13=1,LX13=0),25,0),IF($F13&gt;0,INDEX('calcA'!CK$110:CK$114,$F13+1)+IF(AND($E13=1,LX13=0),1000,0),MIN(TX13,20)*400+(IF('calcA'!CJ$106=1,1-GH13,0)+IF('calcA'!CK$106=1,1-GJ13,0))*150+144+'calcA'!CK$5*100000+IF(AND($E13=1,LX13=0),50000,0))+IF($H13=1,INDEX('calcA'!$D$180:$EQ$219,$B13,86)*4000,0)-IF(AND('calcA'!CJ$117=1,XH13&gt;0),2000,0)-IF(AND($U13=1,'calcA'!CK$117=1,GJ13=0),2000,0))),1000000000))</f>
        <v/>
      </c>
      <c r="RN13">
        <f>IF($B13=0,1000000000,IF(INDEX('calcA'!$D$60:$EQ$99,$B13,87)*IF($W13=1,GJ13+ACY13,GJ13)=1,IF(AND($E13=2,IF($W13=1,AIN13,LY13)=0),1000000000,IF($V13=1,INDEX('calcA'!$D$130:$EQ$169,$B13,87)+IF(AND($E13=1,LY13=0),25,0),IF($F13&gt;0,INDEX('calcA'!CL$110:CL$114,$F13+1)+IF(AND($E13=1,LY13=0),1000,0),MIN(TX13,20)*400+(IF('calcA'!CK$106=1,1-GI13,0)+IF('calcA'!CL$106=1,1-GK13,0))*150+154+'calcA'!CL$5*100000+IF(AND($E13=1,LY13=0),50000,0))+IF($H13=1,INDEX('calcA'!$D$180:$EQ$219,$B13,87)*4000,0)-IF(AND('calcA'!CK$117=1,XI13&gt;0),2000,0)-IF(AND($U13=1,'calcA'!CL$117=1,GK13=0),2000,0))),1000000000))</f>
        <v/>
      </c>
      <c r="RO13">
        <f>IF($B13=0,1000000000,IF(INDEX('calcA'!$D$60:$EQ$99,$B13,88)*IF($W13=1,GK13+ACZ13,GK13)=1,IF(AND($E13=2,IF($W13=1,AIO13,LZ13)=0),1000000000,IF($V13=1,INDEX('calcA'!$D$130:$EQ$169,$B13,88)+IF(AND($E13=1,LZ13=0),25,0),IF($F13&gt;0,INDEX('calcA'!CM$110:CM$114,$F13+1)+IF(AND($E13=1,LZ13=0),1000,0),MIN(TX13,20)*400+(IF('calcA'!CL$106=1,1-GJ13,0)+IF('calcA'!CM$106=1,1-GL13,0))*150+164+'calcA'!CM$5*100000+IF(AND($E13=1,LZ13=0),50000,0))+IF($H13=1,INDEX('calcA'!$D$180:$EQ$219,$B13,88)*4000,0)-IF(AND('calcA'!CL$117=1,XJ13&gt;0),2000,0)-IF(AND($U13=1,'calcA'!CM$117=1,GL13=0),2000,0))),1000000000))</f>
        <v/>
      </c>
      <c r="RP13">
        <f>IF($B13=0,1000000000,IF(INDEX('calcA'!$D$60:$EQ$99,$B13,89)*IF($W13=1,GL13+ADA13,GL13)=1,IF(AND($E13=2,IF($W13=1,AIP13,MA13)=0),1000000000,IF($V13=1,INDEX('calcA'!$D$130:$EQ$169,$B13,89)+IF(AND($E13=1,MA13=0),25,0),IF($F13&gt;0,INDEX('calcA'!CN$110:CN$114,$F13+1)+IF(AND($E13=1,MA13=0),1000,0),MIN(TX13,20)*400+(IF('calcA'!CM$106=1,1-GK13,0)+IF('calcA'!CN$106=1,1-GM13,0))*150+174+'calcA'!CN$5*100000+IF(AND($E13=1,MA13=0),50000,0))+IF($H13=1,INDEX('calcA'!$D$180:$EQ$219,$B13,89)*4000,0)-IF(AND('calcA'!CM$117=1,XK13&gt;0),2000,0)-IF(AND($U13=1,'calcA'!CN$117=1,GM13=0),2000,0))),1000000000))</f>
        <v/>
      </c>
      <c r="RQ13">
        <f>IF($B13=0,1000000000,IF(INDEX('calcA'!$D$60:$EQ$99,$B13,90)*IF($W13=1,GM13+ADB13,GM13)=1,IF(AND($E13=2,IF($W13=1,AIQ13,MB13)=0),1000000000,IF($V13=1,INDEX('calcA'!$D$130:$EQ$169,$B13,90)+IF(AND($E13=1,MB13=0),25,0),IF($F13&gt;0,INDEX('calcA'!CO$110:CO$114,$F13+1)+IF(AND($E13=1,MB13=0),1000,0),MIN(TX13,20)*400+(IF('calcA'!CN$106=1,1-GL13,0)+IF('calcA'!CO$106=1,1-GN13,0))*150+184+'calcA'!CO$5*100000+IF(AND($E13=1,MB13=0),50000,0))+IF($H13=1,INDEX('calcA'!$D$180:$EQ$219,$B13,90)*4000,0)-IF(AND('calcA'!CN$117=1,XL13&gt;0),2000,0)-IF(AND($U13=1,'calcA'!CO$117=1,GN13=0),2000,0))),1000000000))</f>
        <v/>
      </c>
      <c r="RR13">
        <f>IF($B13=0,1000000000,IF(INDEX('calcA'!$D$60:$EQ$99,$B13,91)*IF($W13=1,GN13+ADC13,GN13)=1,IF(AND($E13=2,IF($W13=1,AIR13,MC13)=0),1000000000,IF($V13=1,INDEX('calcA'!$D$130:$EQ$169,$B13,91)+IF(AND($E13=1,MC13=0),25,0),IF($F13&gt;0,INDEX('calcA'!CP$110:CP$114,$F13+1)+IF(AND($E13=1,MC13=0),1000,0),MIN(TX13,20)*400+(IF('calcA'!CO$106=1,1-GM13,0)+IF('calcA'!CP$106=1,1-GO13,0))*150+194+'calcA'!CP$5*100000+IF(AND($E13=1,MC13=0),50000,0))+IF($H13=1,INDEX('calcA'!$D$180:$EQ$219,$B13,91)*4000,0)-IF(AND('calcA'!CO$117=1,XM13&gt;0),2000,0)-IF(AND($U13=1,'calcA'!CP$117=1,GO13=0),2000,0))),1000000000))</f>
        <v/>
      </c>
      <c r="RS13">
        <f>IF($B13=0,1000000000,IF(INDEX('calcA'!$D$60:$EQ$99,$B13,92)*IF($W13=1,GO13+ADD13,GO13)=1,IF(AND($E13=2,IF($W13=1,AIS13,MD13)=0),1000000000,IF($V13=1,INDEX('calcA'!$D$130:$EQ$169,$B13,92)+IF(AND($E13=1,MD13=0),25,0),IF($F13&gt;0,INDEX('calcA'!CQ$110:CQ$114,$F13+1)+IF(AND($E13=1,MD13=0),1000,0),MIN(TX13,20)*400+(IF('calcA'!CP$106=1,1-GN13,0)+IF('calcA'!CQ$106=1,1-GP13,0))*150+204+'calcA'!CQ$5*100000+IF(AND($E13=1,MD13=0),50000,0))+IF($H13=1,INDEX('calcA'!$D$180:$EQ$219,$B13,92)*4000,0)-IF(AND('calcA'!CP$117=1,XN13&gt;0),2000,0)-IF(AND($U13=1,'calcA'!CQ$117=1,GP13=0),2000,0))),1000000000))</f>
        <v/>
      </c>
      <c r="RT13">
        <f>IF($B13=0,1000000000,IF(INDEX('calcA'!$D$60:$EQ$99,$B13,93)*IF($W13=1,GP13+ADE13,GP13)=1,IF(AND($E13=2,IF($W13=1,AIT13,ME13)=0),1000000000,IF($V13=1,INDEX('calcA'!$D$130:$EQ$169,$B13,93)+IF(AND($E13=1,ME13=0),25,0),IF($F13&gt;0,INDEX('calcA'!CR$110:CR$114,$F13+1)+IF(AND($E13=1,ME13=0),1000,0),MIN(TX13,20)*400+(IF('calcA'!CQ$106=1,1-GO13,0)+IF('calcA'!CR$106=1,1-GQ13,0))*150+214+'calcA'!CR$5*100000+IF(AND($E13=1,ME13=0),50000,0))+IF($H13=1,INDEX('calcA'!$D$180:$EQ$219,$B13,93)*4000,0)-IF(AND('calcA'!CQ$117=1,XO13&gt;0),2000,0)-IF(AND($U13=1,'calcA'!CR$117=1,GQ13=0),2000,0))),1000000000))</f>
        <v/>
      </c>
      <c r="RU13">
        <f>IF($B13=0,1000000000,IF(INDEX('calcA'!$D$60:$EQ$99,$B13,94)*IF($W13=1,GQ13+ADF13,GQ13)=1,IF(AND($E13=2,IF($W13=1,AIU13,MF13)=0),1000000000,IF($V13=1,INDEX('calcA'!$D$130:$EQ$169,$B13,94)+IF(AND($E13=1,MF13=0),25,0),IF($F13&gt;0,INDEX('calcA'!CS$110:CS$114,$F13+1)+IF(AND($E13=1,MF13=0),1000,0),MIN(TX13,20)*400+(IF('calcA'!CR$106=1,1-GP13,0)+IF('calcA'!CS$106=1,1-GR13,0))*150+224+'calcA'!CS$5*100000+IF(AND($E13=1,MF13=0),50000,0))+IF($H13=1,INDEX('calcA'!$D$180:$EQ$219,$B13,94)*4000,0)-IF(AND('calcA'!CR$117=1,XP13&gt;0),2000,0)-IF(AND($U13=1,'calcA'!CS$117=1,GR13=0),2000,0))),1000000000))</f>
        <v/>
      </c>
      <c r="RV13">
        <f>IF($B13=0,1000000000,IF(INDEX('calcA'!$D$60:$EQ$99,$B13,95)*IF($W13=1,GR13+ADG13,GR13)=1,IF(AND($E13=2,IF($W13=1,AIV13,MG13)=0),1000000000,IF($V13=1,INDEX('calcA'!$D$130:$EQ$169,$B13,95)+IF(AND($E13=1,MG13=0),25,0),IF($F13&gt;0,INDEX('calcA'!CT$110:CT$114,$F13+1)+IF(AND($E13=1,MG13=0),1000,0),MIN(TX13,20)*400+(IF('calcA'!CS$106=1,1-GQ13,0)+IF('calcA'!CT$106=1,1-GS13,0))*150+234+'calcA'!CT$5*100000+IF(AND($E13=1,MG13=0),50000,0))+IF($H13=1,INDEX('calcA'!$D$180:$EQ$219,$B13,95)*4000,0)-IF(AND('calcA'!CS$117=1,XQ13&gt;0),2000,0)-IF(AND($U13=1,'calcA'!CT$117=1,GS13=0),2000,0))),1000000000))</f>
        <v/>
      </c>
      <c r="RW13">
        <f>IF($B13=0,1000000000,IF(INDEX('calcA'!$D$60:$EQ$99,$B13,96)*IF($W13=1,GS13+ADH13,GS13)=1,IF(AND($E13=2,IF($W13=1,AIW13,MH13)=0),1000000000,IF($V13=1,INDEX('calcA'!$D$130:$EQ$169,$B13,96)+IF(AND($E13=1,MH13=0),25,0),IF($F13&gt;0,INDEX('calcA'!CU$110:CU$114,$F13+1)+IF(AND($E13=1,MH13=0),1000,0),MIN(TX13,20)*400+(IF('calcA'!CT$106=1,1-GR13,0))*150+244+'calcA'!CU$5*100000+IF(AND($E13=1,MH13=0),50000,0))+IF($H13=1,INDEX('calcA'!$D$180:$EQ$219,$B13,96)*4000,0)-IF(AND('calcA'!CT$117=1,XR13&gt;0),2000,0))),1000000000))</f>
        <v/>
      </c>
      <c r="RX13">
        <f>IF($B13=0,1000000000,IF(INDEX('calcA'!$D$60:$EQ$99,$B13,97)*IF($W13=1,GT13+ADI13,GT13)=1,IF(AND($E13=2,IF($W13=1,AIX13,MI13)=0),1000000000,IF($V13=1,INDEX('calcA'!$D$130:$EQ$169,$B13,97)+IF(AND($E13=1,MI13=0),25,0),IF($F13&gt;0,INDEX('calcA'!CV$110:CV$114,$F13+1)+IF(AND($E13=1,MI13=0),1000,0),MIN(TY13,20)*400+(IF('calcA'!CV$106=1,1-GU13,0))*150+15+'calcA'!CV$5*100000+IF(AND($E13=1,MI13=0),50000,0))+IF($H13=1,INDEX('calcA'!$D$180:$EQ$219,$B13,97)*4000,0)-IF(AND($U13=1,'calcA'!CV$117=1,GU13=0),2000,0))),1000000000))</f>
        <v/>
      </c>
      <c r="RY13">
        <f>IF($B13=0,1000000000,IF(INDEX('calcA'!$D$60:$EQ$99,$B13,98)*IF($W13=1,GU13+ADJ13,GU13)=1,IF(AND($E13=2,IF($W13=1,AIY13,MJ13)=0),1000000000,IF($V13=1,INDEX('calcA'!$D$130:$EQ$169,$B13,98)+IF(AND($E13=1,MJ13=0),25,0),IF($F13&gt;0,INDEX('calcA'!CW$110:CW$114,$F13+1)+IF(AND($E13=1,MJ13=0),1000,0),MIN(TY13,20)*400+(IF('calcA'!CV$106=1,1-GT13,0)+IF('calcA'!CW$106=1,1-GV13,0))*150+25+'calcA'!CW$5*100000+IF(AND($E13=1,MJ13=0),50000,0))+IF($H13=1,INDEX('calcA'!$D$180:$EQ$219,$B13,98)*4000,0)-IF(AND('calcA'!CV$117=1,XT13&gt;0),2000,0)-IF(AND($U13=1,'calcA'!CW$117=1,GV13=0),2000,0))),1000000000))</f>
        <v/>
      </c>
      <c r="RZ13">
        <f>IF($B13=0,1000000000,IF(INDEX('calcA'!$D$60:$EQ$99,$B13,99)*IF($W13=1,GV13+ADK13,GV13)=1,IF(AND($E13=2,IF($W13=1,AIZ13,MK13)=0),1000000000,IF($V13=1,INDEX('calcA'!$D$130:$EQ$169,$B13,99)+IF(AND($E13=1,MK13=0),25,0),IF($F13&gt;0,INDEX('calcA'!CX$110:CX$114,$F13+1)+IF(AND($E13=1,MK13=0),1000,0),MIN(TY13,20)*400+(IF('calcA'!CW$106=1,1-GU13,0)+IF('calcA'!CX$106=1,1-GW13,0))*150+35+'calcA'!CX$5*100000+IF(AND($E13=1,MK13=0),50000,0))+IF($H13=1,INDEX('calcA'!$D$180:$EQ$219,$B13,99)*4000,0)-IF(AND('calcA'!CW$117=1,XU13&gt;0),2000,0)-IF(AND($U13=1,'calcA'!CX$117=1,GW13=0),2000,0))),1000000000))</f>
        <v/>
      </c>
      <c r="SA13">
        <f>IF($B13=0,1000000000,IF(INDEX('calcA'!$D$60:$EQ$99,$B13,100)*IF($W13=1,GW13+ADL13,GW13)=1,IF(AND($E13=2,IF($W13=1,AJA13,ML13)=0),1000000000,IF($V13=1,INDEX('calcA'!$D$130:$EQ$169,$B13,100)+IF(AND($E13=1,ML13=0),25,0),IF($F13&gt;0,INDEX('calcA'!CY$110:CY$114,$F13+1)+IF(AND($E13=1,ML13=0),1000,0),MIN(TY13,20)*400+(IF('calcA'!CX$106=1,1-GV13,0)+IF('calcA'!CY$106=1,1-GX13,0))*150+45+'calcA'!CY$5*100000+IF(AND($E13=1,ML13=0),50000,0))+IF($H13=1,INDEX('calcA'!$D$180:$EQ$219,$B13,100)*4000,0)-IF(AND('calcA'!CX$117=1,XV13&gt;0),2000,0)-IF(AND($U13=1,'calcA'!CY$117=1,GX13=0),2000,0))),1000000000))</f>
        <v/>
      </c>
      <c r="SB13">
        <f>IF($B13=0,1000000000,IF(INDEX('calcA'!$D$60:$EQ$99,$B13,101)*IF($W13=1,GX13+ADM13,GX13)=1,IF(AND($E13=2,IF($W13=1,AJB13,MM13)=0),1000000000,IF($V13=1,INDEX('calcA'!$D$130:$EQ$169,$B13,101)+IF(AND($E13=1,MM13=0),25,0),IF($F13&gt;0,INDEX('calcA'!CZ$110:CZ$114,$F13+1)+IF(AND($E13=1,MM13=0),1000,0),MIN(TY13,20)*400+(IF('calcA'!CY$106=1,1-GW13,0)+IF('calcA'!CZ$106=1,1-GY13,0))*150+55+'calcA'!CZ$5*100000+IF(AND($E13=1,MM13=0),50000,0))+IF($H13=1,INDEX('calcA'!$D$180:$EQ$219,$B13,101)*4000,0)-IF(AND('calcA'!CY$117=1,XW13&gt;0),2000,0)-IF(AND($U13=1,'calcA'!CZ$117=1,GY13=0),2000,0))),1000000000))</f>
        <v/>
      </c>
      <c r="SC13">
        <f>IF($B13=0,1000000000,IF(INDEX('calcA'!$D$60:$EQ$99,$B13,102)*IF($W13=1,GY13+ADN13,GY13)=1,IF(AND($E13=2,IF($W13=1,AJC13,MN13)=0),1000000000,IF($V13=1,INDEX('calcA'!$D$130:$EQ$169,$B13,102)+IF(AND($E13=1,MN13=0),25,0),IF($F13&gt;0,INDEX('calcA'!DA$110:DA$114,$F13+1)+IF(AND($E13=1,MN13=0),1000,0),MIN(TY13,20)*400+(IF('calcA'!CZ$106=1,1-GX13,0)+IF('calcA'!DA$106=1,1-GZ13,0))*150+65+'calcA'!DA$5*100000+IF(AND($E13=1,MN13=0),50000,0))+IF($H13=1,INDEX('calcA'!$D$180:$EQ$219,$B13,102)*4000,0)-IF(AND('calcA'!CZ$117=1,XX13&gt;0),2000,0)-IF(AND($U13=1,'calcA'!DA$117=1,GZ13=0),2000,0))),1000000000))</f>
        <v/>
      </c>
      <c r="SD13">
        <f>IF($B13=0,1000000000,IF(INDEX('calcA'!$D$60:$EQ$99,$B13,103)*IF($W13=1,GZ13+ADO13,GZ13)=1,IF(AND($E13=2,IF($W13=1,AJD13,MO13)=0),1000000000,IF($V13=1,INDEX('calcA'!$D$130:$EQ$169,$B13,103)+IF(AND($E13=1,MO13=0),25,0),IF($F13&gt;0,INDEX('calcA'!DB$110:DB$114,$F13+1)+IF(AND($E13=1,MO13=0),1000,0),MIN(TY13,20)*400+(IF('calcA'!DA$106=1,1-GY13,0)+IF('calcA'!DB$106=1,1-HA13,0))*150+75+'calcA'!DB$5*100000+IF(AND($E13=1,MO13=0),50000,0))+IF($H13=1,INDEX('calcA'!$D$180:$EQ$219,$B13,103)*4000,0)-IF(AND('calcA'!DA$117=1,XY13&gt;0),2000,0)-IF(AND($U13=1,'calcA'!DB$117=1,HA13=0),2000,0))),1000000000))</f>
        <v/>
      </c>
      <c r="SE13">
        <f>IF($B13=0,1000000000,IF(INDEX('calcA'!$D$60:$EQ$99,$B13,104)*IF($W13=1,HA13+ADP13,HA13)=1,IF(AND($E13=2,IF($W13=1,AJE13,MP13)=0),1000000000,IF($V13=1,INDEX('calcA'!$D$130:$EQ$169,$B13,104)+IF(AND($E13=1,MP13=0),25,0),IF($F13&gt;0,INDEX('calcA'!DC$110:DC$114,$F13+1)+IF(AND($E13=1,MP13=0),1000,0),MIN(TY13,20)*400+(IF('calcA'!DB$106=1,1-GZ13,0)+IF('calcA'!DC$106=1,1-HB13,0))*150+85+'calcA'!DC$5*100000+IF(AND($E13=1,MP13=0),50000,0))+IF($H13=1,INDEX('calcA'!$D$180:$EQ$219,$B13,104)*4000,0)-IF(AND('calcA'!DB$117=1,XZ13&gt;0),2000,0)-IF(AND($U13=1,'calcA'!DC$117=1,HB13=0),2000,0))),1000000000))</f>
        <v/>
      </c>
      <c r="SF13">
        <f>IF($B13=0,1000000000,IF(INDEX('calcA'!$D$60:$EQ$99,$B13,105)*IF($W13=1,HB13+ADQ13,HB13)=1,IF(AND($E13=2,IF($W13=1,AJF13,MQ13)=0),1000000000,IF($V13=1,INDEX('calcA'!$D$130:$EQ$169,$B13,105)+IF(AND($E13=1,MQ13=0),25,0),IF($F13&gt;0,INDEX('calcA'!DD$110:DD$114,$F13+1)+IF(AND($E13=1,MQ13=0),1000,0),MIN(TY13,20)*400+(IF('calcA'!DC$106=1,1-HA13,0)+IF('calcA'!DD$106=1,1-HC13,0))*150+95+'calcA'!DD$5*100000+IF(AND($E13=1,MQ13=0),50000,0))+IF($H13=1,INDEX('calcA'!$D$180:$EQ$219,$B13,105)*4000,0)-IF(AND('calcA'!DC$117=1,YA13&gt;0),2000,0)-IF(AND($U13=1,'calcA'!DD$117=1,HC13=0),2000,0))),1000000000))</f>
        <v/>
      </c>
      <c r="SG13">
        <f>IF($B13=0,1000000000,IF(INDEX('calcA'!$D$60:$EQ$99,$B13,106)*IF($W13=1,HC13+ADR13,HC13)=1,IF(AND($E13=2,IF($W13=1,AJG13,MR13)=0),1000000000,IF($V13=1,INDEX('calcA'!$D$130:$EQ$169,$B13,106)+IF(AND($E13=1,MR13=0),25,0),IF($F13&gt;0,INDEX('calcA'!DE$110:DE$114,$F13+1)+IF(AND($E13=1,MR13=0),1000,0),MIN(TY13,20)*400+(IF('calcA'!DD$106=1,1-HB13,0)+IF('calcA'!DE$106=1,1-HD13,0))*150+105+'calcA'!DE$5*100000+IF(AND($E13=1,MR13=0),50000,0))+IF($H13=1,INDEX('calcA'!$D$180:$EQ$219,$B13,106)*4000,0)-IF(AND('calcA'!DD$117=1,YB13&gt;0),2000,0)-IF(AND($U13=1,'calcA'!DE$117=1,HD13=0),2000,0))),1000000000))</f>
        <v/>
      </c>
      <c r="SH13">
        <f>IF($B13=0,1000000000,IF(INDEX('calcA'!$D$60:$EQ$99,$B13,107)*IF($W13=1,HD13+ADS13,HD13)=1,IF(AND($E13=2,IF($W13=1,AJH13,MS13)=0),1000000000,IF($V13=1,INDEX('calcA'!$D$130:$EQ$169,$B13,107)+IF(AND($E13=1,MS13=0),25,0),IF($F13&gt;0,INDEX('calcA'!DF$110:DF$114,$F13+1)+IF(AND($E13=1,MS13=0),1000,0),MIN(TY13,20)*400+(IF('calcA'!DE$106=1,1-HC13,0)+IF('calcA'!DF$106=1,1-HE13,0))*150+115+'calcA'!DF$5*100000+IF(AND($E13=1,MS13=0),50000,0))+IF($H13=1,INDEX('calcA'!$D$180:$EQ$219,$B13,107)*4000,0)-IF(AND('calcA'!DE$117=1,YC13&gt;0),2000,0)-IF(AND($U13=1,'calcA'!DF$117=1,HE13=0),2000,0))),1000000000))</f>
        <v/>
      </c>
      <c r="SI13">
        <f>IF($B13=0,1000000000,IF(INDEX('calcA'!$D$60:$EQ$99,$B13,108)*IF($W13=1,HE13+ADT13,HE13)=1,IF(AND($E13=2,IF($W13=1,AJI13,MT13)=0),1000000000,IF($V13=1,INDEX('calcA'!$D$130:$EQ$169,$B13,108)+IF(AND($E13=1,MT13=0),25,0),IF($F13&gt;0,INDEX('calcA'!DG$110:DG$114,$F13+1)+IF(AND($E13=1,MT13=0),1000,0),MIN(TY13,20)*400+(IF('calcA'!DF$106=1,1-HD13,0)+IF('calcA'!DG$106=1,1-HF13,0))*150+125+'calcA'!DG$5*100000+IF(AND($E13=1,MT13=0),50000,0))+IF($H13=1,INDEX('calcA'!$D$180:$EQ$219,$B13,108)*4000,0)-IF(AND('calcA'!DF$117=1,YD13&gt;0),2000,0)-IF(AND($U13=1,'calcA'!DG$117=1,HF13=0),2000,0))),1000000000))</f>
        <v/>
      </c>
      <c r="SJ13">
        <f>IF($B13=0,1000000000,IF(INDEX('calcA'!$D$60:$EQ$99,$B13,109)*IF($W13=1,HF13+ADU13,HF13)=1,IF(AND($E13=2,IF($W13=1,AJJ13,MU13)=0),1000000000,IF($V13=1,INDEX('calcA'!$D$130:$EQ$169,$B13,109)+IF(AND($E13=1,MU13=0),25,0),IF($F13&gt;0,INDEX('calcA'!DH$110:DH$114,$F13+1)+IF(AND($E13=1,MU13=0),1000,0),MIN(TY13,20)*400+(IF('calcA'!DG$106=1,1-HE13,0)+IF('calcA'!DH$106=1,1-HG13,0))*150+135+'calcA'!DH$5*100000+IF(AND($E13=1,MU13=0),50000,0))+IF($H13=1,INDEX('calcA'!$D$180:$EQ$219,$B13,109)*4000,0)-IF(AND('calcA'!DG$117=1,YE13&gt;0),2000,0)-IF(AND($U13=1,'calcA'!DH$117=1,HG13=0),2000,0))),1000000000))</f>
        <v/>
      </c>
      <c r="SK13">
        <f>IF($B13=0,1000000000,IF(INDEX('calcA'!$D$60:$EQ$99,$B13,110)*IF($W13=1,HG13+ADV13,HG13)=1,IF(AND($E13=2,IF($W13=1,AJK13,MV13)=0),1000000000,IF($V13=1,INDEX('calcA'!$D$130:$EQ$169,$B13,110)+IF(AND($E13=1,MV13=0),25,0),IF($F13&gt;0,INDEX('calcA'!DI$110:DI$114,$F13+1)+IF(AND($E13=1,MV13=0),1000,0),MIN(TY13,20)*400+(IF('calcA'!DH$106=1,1-HF13,0)+IF('calcA'!DI$106=1,1-HH13,0))*150+145+'calcA'!DI$5*100000+IF(AND($E13=1,MV13=0),50000,0))+IF($H13=1,INDEX('calcA'!$D$180:$EQ$219,$B13,110)*4000,0)-IF(AND('calcA'!DH$117=1,YF13&gt;0),2000,0)-IF(AND($U13=1,'calcA'!DI$117=1,HH13=0),2000,0))),1000000000))</f>
        <v/>
      </c>
      <c r="SL13">
        <f>IF($B13=0,1000000000,IF(INDEX('calcA'!$D$60:$EQ$99,$B13,111)*IF($W13=1,HH13+ADW13,HH13)=1,IF(AND($E13=2,IF($W13=1,AJL13,MW13)=0),1000000000,IF($V13=1,INDEX('calcA'!$D$130:$EQ$169,$B13,111)+IF(AND($E13=1,MW13=0),25,0),IF($F13&gt;0,INDEX('calcA'!DJ$110:DJ$114,$F13+1)+IF(AND($E13=1,MW13=0),1000,0),MIN(TY13,20)*400+(IF('calcA'!DI$106=1,1-HG13,0)+IF('calcA'!DJ$106=1,1-HI13,0))*150+155+'calcA'!DJ$5*100000+IF(AND($E13=1,MW13=0),50000,0))+IF($H13=1,INDEX('calcA'!$D$180:$EQ$219,$B13,111)*4000,0)-IF(AND('calcA'!DI$117=1,YG13&gt;0),2000,0)-IF(AND($U13=1,'calcA'!DJ$117=1,HI13=0),2000,0))),1000000000))</f>
        <v/>
      </c>
      <c r="SM13">
        <f>IF($B13=0,1000000000,IF(INDEX('calcA'!$D$60:$EQ$99,$B13,112)*IF($W13=1,HI13+ADX13,HI13)=1,IF(AND($E13=2,IF($W13=1,AJM13,MX13)=0),1000000000,IF($V13=1,INDEX('calcA'!$D$130:$EQ$169,$B13,112)+IF(AND($E13=1,MX13=0),25,0),IF($F13&gt;0,INDEX('calcA'!DK$110:DK$114,$F13+1)+IF(AND($E13=1,MX13=0),1000,0),MIN(TY13,20)*400+(IF('calcA'!DJ$106=1,1-HH13,0)+IF('calcA'!DK$106=1,1-HJ13,0))*150+165+'calcA'!DK$5*100000+IF(AND($E13=1,MX13=0),50000,0))+IF($H13=1,INDEX('calcA'!$D$180:$EQ$219,$B13,112)*4000,0)-IF(AND('calcA'!DJ$117=1,YH13&gt;0),2000,0)-IF(AND($U13=1,'calcA'!DK$117=1,HJ13=0),2000,0))),1000000000))</f>
        <v/>
      </c>
      <c r="SN13">
        <f>IF($B13=0,1000000000,IF(INDEX('calcA'!$D$60:$EQ$99,$B13,113)*IF($W13=1,HJ13+ADY13,HJ13)=1,IF(AND($E13=2,IF($W13=1,AJN13,MY13)=0),1000000000,IF($V13=1,INDEX('calcA'!$D$130:$EQ$169,$B13,113)+IF(AND($E13=1,MY13=0),25,0),IF($F13&gt;0,INDEX('calcA'!DL$110:DL$114,$F13+1)+IF(AND($E13=1,MY13=0),1000,0),MIN(TY13,20)*400+(IF('calcA'!DK$106=1,1-HI13,0)+IF('calcA'!DL$106=1,1-HK13,0))*150+175+'calcA'!DL$5*100000+IF(AND($E13=1,MY13=0),50000,0))+IF($H13=1,INDEX('calcA'!$D$180:$EQ$219,$B13,113)*4000,0)-IF(AND('calcA'!DK$117=1,YI13&gt;0),2000,0)-IF(AND($U13=1,'calcA'!DL$117=1,HK13=0),2000,0))),1000000000))</f>
        <v/>
      </c>
      <c r="SO13">
        <f>IF($B13=0,1000000000,IF(INDEX('calcA'!$D$60:$EQ$99,$B13,114)*IF($W13=1,HK13+ADZ13,HK13)=1,IF(AND($E13=2,IF($W13=1,AJO13,MZ13)=0),1000000000,IF($V13=1,INDEX('calcA'!$D$130:$EQ$169,$B13,114)+IF(AND($E13=1,MZ13=0),25,0),IF($F13&gt;0,INDEX('calcA'!DM$110:DM$114,$F13+1)+IF(AND($E13=1,MZ13=0),1000,0),MIN(TY13,20)*400+(IF('calcA'!DL$106=1,1-HJ13,0)+IF('calcA'!DM$106=1,1-HL13,0))*150+185+'calcA'!DM$5*100000+IF(AND($E13=1,MZ13=0),50000,0))+IF($H13=1,INDEX('calcA'!$D$180:$EQ$219,$B13,114)*4000,0)-IF(AND('calcA'!DL$117=1,YJ13&gt;0),2000,0)-IF(AND($U13=1,'calcA'!DM$117=1,HL13=0),2000,0))),1000000000))</f>
        <v/>
      </c>
      <c r="SP13">
        <f>IF($B13=0,1000000000,IF(INDEX('calcA'!$D$60:$EQ$99,$B13,115)*IF($W13=1,HL13+AEA13,HL13)=1,IF(AND($E13=2,IF($W13=1,AJP13,NA13)=0),1000000000,IF($V13=1,INDEX('calcA'!$D$130:$EQ$169,$B13,115)+IF(AND($E13=1,NA13=0),25,0),IF($F13&gt;0,INDEX('calcA'!DN$110:DN$114,$F13+1)+IF(AND($E13=1,NA13=0),1000,0),MIN(TY13,20)*400+(IF('calcA'!DM$106=1,1-HK13,0)+IF('calcA'!DN$106=1,1-HM13,0))*150+195+'calcA'!DN$5*100000+IF(AND($E13=1,NA13=0),50000,0))+IF($H13=1,INDEX('calcA'!$D$180:$EQ$219,$B13,115)*4000,0)-IF(AND('calcA'!DM$117=1,YK13&gt;0),2000,0)-IF(AND($U13=1,'calcA'!DN$117=1,HM13=0),2000,0))),1000000000))</f>
        <v/>
      </c>
      <c r="SQ13">
        <f>IF($B13=0,1000000000,IF(INDEX('calcA'!$D$60:$EQ$99,$B13,116)*IF($W13=1,HM13+AEB13,HM13)=1,IF(AND($E13=2,IF($W13=1,AJQ13,NB13)=0),1000000000,IF($V13=1,INDEX('calcA'!$D$130:$EQ$169,$B13,116)+IF(AND($E13=1,NB13=0),25,0),IF($F13&gt;0,INDEX('calcA'!DO$110:DO$114,$F13+1)+IF(AND($E13=1,NB13=0),1000,0),MIN(TY13,20)*400+(IF('calcA'!DN$106=1,1-HL13,0)+IF('calcA'!DO$106=1,1-HN13,0))*150+205+'calcA'!DO$5*100000+IF(AND($E13=1,NB13=0),50000,0))+IF($H13=1,INDEX('calcA'!$D$180:$EQ$219,$B13,116)*4000,0)-IF(AND('calcA'!DN$117=1,YL13&gt;0),2000,0)-IF(AND($U13=1,'calcA'!DO$117=1,HN13=0),2000,0))),1000000000))</f>
        <v/>
      </c>
      <c r="SR13">
        <f>IF($B13=0,1000000000,IF(INDEX('calcA'!$D$60:$EQ$99,$B13,117)*IF($W13=1,HN13+AEC13,HN13)=1,IF(AND($E13=2,IF($W13=1,AJR13,NC13)=0),1000000000,IF($V13=1,INDEX('calcA'!$D$130:$EQ$169,$B13,117)+IF(AND($E13=1,NC13=0),25,0),IF($F13&gt;0,INDEX('calcA'!DP$110:DP$114,$F13+1)+IF(AND($E13=1,NC13=0),1000,0),MIN(TY13,20)*400+(IF('calcA'!DO$106=1,1-HM13,0)+IF('calcA'!DP$106=1,1-HO13,0))*150+215+'calcA'!DP$5*100000+IF(AND($E13=1,NC13=0),50000,0))+IF($H13=1,INDEX('calcA'!$D$180:$EQ$219,$B13,117)*4000,0)-IF(AND('calcA'!DO$117=1,YM13&gt;0),2000,0)-IF(AND($U13=1,'calcA'!DP$117=1,HO13=0),2000,0))),1000000000))</f>
        <v/>
      </c>
      <c r="SS13">
        <f>IF($B13=0,1000000000,IF(INDEX('calcA'!$D$60:$EQ$99,$B13,118)*IF($W13=1,HO13+AED13,HO13)=1,IF(AND($E13=2,IF($W13=1,AJS13,ND13)=0),1000000000,IF($V13=1,INDEX('calcA'!$D$130:$EQ$169,$B13,118)+IF(AND($E13=1,ND13=0),25,0),IF($F13&gt;0,INDEX('calcA'!DQ$110:DQ$114,$F13+1)+IF(AND($E13=1,ND13=0),1000,0),MIN(TY13,20)*400+(IF('calcA'!DP$106=1,1-HN13,0)+IF('calcA'!DQ$106=1,1-HP13,0))*150+225+'calcA'!DQ$5*100000+IF(AND($E13=1,ND13=0),50000,0))+IF($H13=1,INDEX('calcA'!$D$180:$EQ$219,$B13,118)*4000,0)-IF(AND('calcA'!DP$117=1,YN13&gt;0),2000,0)-IF(AND($U13=1,'calcA'!DQ$117=1,HP13=0),2000,0))),1000000000))</f>
        <v/>
      </c>
      <c r="ST13">
        <f>IF($B13=0,1000000000,IF(INDEX('calcA'!$D$60:$EQ$99,$B13,119)*IF($W13=1,HP13+AEE13,HP13)=1,IF(AND($E13=2,IF($W13=1,AJT13,NE13)=0),1000000000,IF($V13=1,INDEX('calcA'!$D$130:$EQ$169,$B13,119)+IF(AND($E13=1,NE13=0),25,0),IF($F13&gt;0,INDEX('calcA'!DR$110:DR$114,$F13+1)+IF(AND($E13=1,NE13=0),1000,0),MIN(TY13,20)*400+(IF('calcA'!DQ$106=1,1-HO13,0)+IF('calcA'!DR$106=1,1-HQ13,0))*150+235+'calcA'!DR$5*100000+IF(AND($E13=1,NE13=0),50000,0))+IF($H13=1,INDEX('calcA'!$D$180:$EQ$219,$B13,119)*4000,0)-IF(AND('calcA'!DQ$117=1,YO13&gt;0),2000,0)-IF(AND($U13=1,'calcA'!DR$117=1,HQ13=0),2000,0))),1000000000))</f>
        <v/>
      </c>
      <c r="SU13">
        <f>IF($B13=0,1000000000,IF(INDEX('calcA'!$D$60:$EQ$99,$B13,120)*IF($W13=1,HQ13+AEF13,HQ13)=1,IF(AND($E13=2,IF($W13=1,AJU13,NF13)=0),1000000000,IF($V13=1,INDEX('calcA'!$D$130:$EQ$169,$B13,120)+IF(AND($E13=1,NF13=0),25,0),IF($F13&gt;0,INDEX('calcA'!DS$110:DS$114,$F13+1)+IF(AND($E13=1,NF13=0),1000,0),MIN(TY13,20)*400+(IF('calcA'!DR$106=1,1-HP13,0))*150+245+'calcA'!DS$5*100000+IF(AND($E13=1,NF13=0),50000,0))+IF($H13=1,INDEX('calcA'!$D$180:$EQ$219,$B13,120)*4000,0)-IF(AND('calcA'!DR$117=1,YP13&gt;0),2000,0))),1000000000))</f>
        <v/>
      </c>
      <c r="SV13">
        <f>IF($B13=0,1000000000,IF(INDEX('calcA'!$D$60:$EQ$99,$B13,121)*IF($W13=1,HR13+AEG13,HR13)=1,IF(AND($E13=2,IF($W13=1,AJV13,NG13)=0),1000000000,IF($V13=1,INDEX('calcA'!$D$130:$EQ$169,$B13,121)+IF(AND($E13=1,NG13=0),25,0),IF($F13&gt;0,INDEX('calcA'!DT$110:DT$114,$F13+1)+IF(AND($E13=1,NG13=0),1000,0),MIN(TZ13,20)*400+(IF('calcA'!DT$106=1,1-HS13,0))*150+16+'calcA'!DT$5*100000+IF(AND($E13=1,NG13=0),50000,0))+IF($H13=1,INDEX('calcA'!$D$180:$EQ$219,$B13,121)*4000,0)-IF(AND($U13=1,'calcA'!DT$117=1,HS13=0),2000,0))),1000000000))</f>
        <v/>
      </c>
      <c r="SW13">
        <f>IF($B13=0,1000000000,IF(INDEX('calcA'!$D$60:$EQ$99,$B13,122)*IF($W13=1,HS13+AEH13,HS13)=1,IF(AND($E13=2,IF($W13=1,AJW13,NH13)=0),1000000000,IF($V13=1,INDEX('calcA'!$D$130:$EQ$169,$B13,122)+IF(AND($E13=1,NH13=0),25,0),IF($F13&gt;0,INDEX('calcA'!DU$110:DU$114,$F13+1)+IF(AND($E13=1,NH13=0),1000,0),MIN(TZ13,20)*400+(IF('calcA'!DT$106=1,1-HR13,0)+IF('calcA'!DU$106=1,1-HT13,0))*150+26+'calcA'!DU$5*100000+IF(AND($E13=1,NH13=0),50000,0))+IF($H13=1,INDEX('calcA'!$D$180:$EQ$219,$B13,122)*4000,0)-IF(AND('calcA'!DT$117=1,YR13&gt;0),2000,0)-IF(AND($U13=1,'calcA'!DU$117=1,HT13=0),2000,0))),1000000000))</f>
        <v/>
      </c>
      <c r="SX13">
        <f>IF($B13=0,1000000000,IF(INDEX('calcA'!$D$60:$EQ$99,$B13,123)*IF($W13=1,HT13+AEI13,HT13)=1,IF(AND($E13=2,IF($W13=1,AJX13,NI13)=0),1000000000,IF($V13=1,INDEX('calcA'!$D$130:$EQ$169,$B13,123)+IF(AND($E13=1,NI13=0),25,0),IF($F13&gt;0,INDEX('calcA'!DV$110:DV$114,$F13+1)+IF(AND($E13=1,NI13=0),1000,0),MIN(TZ13,20)*400+(IF('calcA'!DU$106=1,1-HS13,0)+IF('calcA'!DV$106=1,1-HU13,0))*150+36+'calcA'!DV$5*100000+IF(AND($E13=1,NI13=0),50000,0))+IF($H13=1,INDEX('calcA'!$D$180:$EQ$219,$B13,123)*4000,0)-IF(AND('calcA'!DU$117=1,YS13&gt;0),2000,0)-IF(AND($U13=1,'calcA'!DV$117=1,HU13=0),2000,0))),1000000000))</f>
        <v/>
      </c>
      <c r="SY13">
        <f>IF($B13=0,1000000000,IF(INDEX('calcA'!$D$60:$EQ$99,$B13,124)*IF($W13=1,HU13+AEJ13,HU13)=1,IF(AND($E13=2,IF($W13=1,AJY13,NJ13)=0),1000000000,IF($V13=1,INDEX('calcA'!$D$130:$EQ$169,$B13,124)+IF(AND($E13=1,NJ13=0),25,0),IF($F13&gt;0,INDEX('calcA'!DW$110:DW$114,$F13+1)+IF(AND($E13=1,NJ13=0),1000,0),MIN(TZ13,20)*400+(IF('calcA'!DV$106=1,1-HT13,0)+IF('calcA'!DW$106=1,1-HV13,0))*150+46+'calcA'!DW$5*100000+IF(AND($E13=1,NJ13=0),50000,0))+IF($H13=1,INDEX('calcA'!$D$180:$EQ$219,$B13,124)*4000,0)-IF(AND('calcA'!DV$117=1,YT13&gt;0),2000,0)-IF(AND($U13=1,'calcA'!DW$117=1,HV13=0),2000,0))),1000000000))</f>
        <v/>
      </c>
      <c r="SZ13">
        <f>IF($B13=0,1000000000,IF(INDEX('calcA'!$D$60:$EQ$99,$B13,125)*IF($W13=1,HV13+AEK13,HV13)=1,IF(AND($E13=2,IF($W13=1,AJZ13,NK13)=0),1000000000,IF($V13=1,INDEX('calcA'!$D$130:$EQ$169,$B13,125)+IF(AND($E13=1,NK13=0),25,0),IF($F13&gt;0,INDEX('calcA'!DX$110:DX$114,$F13+1)+IF(AND($E13=1,NK13=0),1000,0),MIN(TZ13,20)*400+(IF('calcA'!DW$106=1,1-HU13,0)+IF('calcA'!DX$106=1,1-HW13,0))*150+56+'calcA'!DX$5*100000+IF(AND($E13=1,NK13=0),50000,0))+IF($H13=1,INDEX('calcA'!$D$180:$EQ$219,$B13,125)*4000,0)-IF(AND('calcA'!DW$117=1,YU13&gt;0),2000,0)-IF(AND($U13=1,'calcA'!DX$117=1,HW13=0),2000,0))),1000000000))</f>
        <v/>
      </c>
      <c r="TA13">
        <f>IF($B13=0,1000000000,IF(INDEX('calcA'!$D$60:$EQ$99,$B13,126)*IF($W13=1,HW13+AEL13,HW13)=1,IF(AND($E13=2,IF($W13=1,AKA13,NL13)=0),1000000000,IF($V13=1,INDEX('calcA'!$D$130:$EQ$169,$B13,126)+IF(AND($E13=1,NL13=0),25,0),IF($F13&gt;0,INDEX('calcA'!DY$110:DY$114,$F13+1)+IF(AND($E13=1,NL13=0),1000,0),MIN(TZ13,20)*400+(IF('calcA'!DX$106=1,1-HV13,0)+IF('calcA'!DY$106=1,1-HX13,0))*150+66+'calcA'!DY$5*100000+IF(AND($E13=1,NL13=0),50000,0))+IF($H13=1,INDEX('calcA'!$D$180:$EQ$219,$B13,126)*4000,0)-IF(AND('calcA'!DX$117=1,YV13&gt;0),2000,0)-IF(AND($U13=1,'calcA'!DY$117=1,HX13=0),2000,0))),1000000000))</f>
        <v/>
      </c>
      <c r="TB13">
        <f>IF($B13=0,1000000000,IF(INDEX('calcA'!$D$60:$EQ$99,$B13,127)*IF($W13=1,HX13+AEM13,HX13)=1,IF(AND($E13=2,IF($W13=1,AKB13,NM13)=0),1000000000,IF($V13=1,INDEX('calcA'!$D$130:$EQ$169,$B13,127)+IF(AND($E13=1,NM13=0),25,0),IF($F13&gt;0,INDEX('calcA'!DZ$110:DZ$114,$F13+1)+IF(AND($E13=1,NM13=0),1000,0),MIN(TZ13,20)*400+(IF('calcA'!DY$106=1,1-HW13,0)+IF('calcA'!DZ$106=1,1-HY13,0))*150+76+'calcA'!DZ$5*100000+IF(AND($E13=1,NM13=0),50000,0))+IF($H13=1,INDEX('calcA'!$D$180:$EQ$219,$B13,127)*4000,0)-IF(AND('calcA'!DY$117=1,YW13&gt;0),2000,0)-IF(AND($U13=1,'calcA'!DZ$117=1,HY13=0),2000,0))),1000000000))</f>
        <v/>
      </c>
      <c r="TC13">
        <f>IF($B13=0,1000000000,IF(INDEX('calcA'!$D$60:$EQ$99,$B13,128)*IF($W13=1,HY13+AEN13,HY13)=1,IF(AND($E13=2,IF($W13=1,AKC13,NN13)=0),1000000000,IF($V13=1,INDEX('calcA'!$D$130:$EQ$169,$B13,128)+IF(AND($E13=1,NN13=0),25,0),IF($F13&gt;0,INDEX('calcA'!EA$110:EA$114,$F13+1)+IF(AND($E13=1,NN13=0),1000,0),MIN(TZ13,20)*400+(IF('calcA'!DZ$106=1,1-HX13,0)+IF('calcA'!EA$106=1,1-HZ13,0))*150+86+'calcA'!EA$5*100000+IF(AND($E13=1,NN13=0),50000,0))+IF($H13=1,INDEX('calcA'!$D$180:$EQ$219,$B13,128)*4000,0)-IF(AND('calcA'!DZ$117=1,YX13&gt;0),2000,0)-IF(AND($U13=1,'calcA'!EA$117=1,HZ13=0),2000,0))),1000000000))</f>
        <v/>
      </c>
      <c r="TD13">
        <f>IF($B13=0,1000000000,IF(INDEX('calcA'!$D$60:$EQ$99,$B13,129)*IF($W13=1,HZ13+AEO13,HZ13)=1,IF(AND($E13=2,IF($W13=1,AKD13,NO13)=0),1000000000,IF($V13=1,INDEX('calcA'!$D$130:$EQ$169,$B13,129)+IF(AND($E13=1,NO13=0),25,0),IF($F13&gt;0,INDEX('calcA'!EB$110:EB$114,$F13+1)+IF(AND($E13=1,NO13=0),1000,0),MIN(TZ13,20)*400+(IF('calcA'!EA$106=1,1-HY13,0)+IF('calcA'!EB$106=1,1-IA13,0))*150+96+'calcA'!EB$5*100000+IF(AND($E13=1,NO13=0),50000,0))+IF($H13=1,INDEX('calcA'!$D$180:$EQ$219,$B13,129)*4000,0)-IF(AND('calcA'!EA$117=1,YY13&gt;0),2000,0)-IF(AND($U13=1,'calcA'!EB$117=1,IA13=0),2000,0))),1000000000))</f>
        <v/>
      </c>
      <c r="TE13">
        <f>IF($B13=0,1000000000,IF(INDEX('calcA'!$D$60:$EQ$99,$B13,130)*IF($W13=1,IA13+AEP13,IA13)=1,IF(AND($E13=2,IF($W13=1,AKE13,NP13)=0),1000000000,IF($V13=1,INDEX('calcA'!$D$130:$EQ$169,$B13,130)+IF(AND($E13=1,NP13=0),25,0),IF($F13&gt;0,INDEX('calcA'!EC$110:EC$114,$F13+1)+IF(AND($E13=1,NP13=0),1000,0),MIN(TZ13,20)*400+(IF('calcA'!EB$106=1,1-HZ13,0)+IF('calcA'!EC$106=1,1-IB13,0))*150+106+'calcA'!EC$5*100000+IF(AND($E13=1,NP13=0),50000,0))+IF($H13=1,INDEX('calcA'!$D$180:$EQ$219,$B13,130)*4000,0)-IF(AND('calcA'!EB$117=1,YZ13&gt;0),2000,0)-IF(AND($U13=1,'calcA'!EC$117=1,IB13=0),2000,0))),1000000000))</f>
        <v/>
      </c>
      <c r="TF13">
        <f>IF($B13=0,1000000000,IF(INDEX('calcA'!$D$60:$EQ$99,$B13,131)*IF($W13=1,IB13+AEQ13,IB13)=1,IF(AND($E13=2,IF($W13=1,AKF13,NQ13)=0),1000000000,IF($V13=1,INDEX('calcA'!$D$130:$EQ$169,$B13,131)+IF(AND($E13=1,NQ13=0),25,0),IF($F13&gt;0,INDEX('calcA'!ED$110:ED$114,$F13+1)+IF(AND($E13=1,NQ13=0),1000,0),MIN(TZ13,20)*400+(IF('calcA'!EC$106=1,1-IA13,0)+IF('calcA'!ED$106=1,1-IC13,0))*150+116+'calcA'!ED$5*100000+IF(AND($E13=1,NQ13=0),50000,0))+IF($H13=1,INDEX('calcA'!$D$180:$EQ$219,$B13,131)*4000,0)-IF(AND('calcA'!EC$117=1,ZA13&gt;0),2000,0)-IF(AND($U13=1,'calcA'!ED$117=1,IC13=0),2000,0))),1000000000))</f>
        <v/>
      </c>
      <c r="TG13">
        <f>IF($B13=0,1000000000,IF(INDEX('calcA'!$D$60:$EQ$99,$B13,132)*IF($W13=1,IC13+AER13,IC13)=1,IF(AND($E13=2,IF($W13=1,AKG13,NR13)=0),1000000000,IF($V13=1,INDEX('calcA'!$D$130:$EQ$169,$B13,132)+IF(AND($E13=1,NR13=0),25,0),IF($F13&gt;0,INDEX('calcA'!EE$110:EE$114,$F13+1)+IF(AND($E13=1,NR13=0),1000,0),MIN(TZ13,20)*400+(IF('calcA'!ED$106=1,1-IB13,0)+IF('calcA'!EE$106=1,1-ID13,0))*150+126+'calcA'!EE$5*100000+IF(AND($E13=1,NR13=0),50000,0))+IF($H13=1,INDEX('calcA'!$D$180:$EQ$219,$B13,132)*4000,0)-IF(AND('calcA'!ED$117=1,ZB13&gt;0),2000,0)-IF(AND($U13=1,'calcA'!EE$117=1,ID13=0),2000,0))),1000000000))</f>
        <v/>
      </c>
      <c r="TH13">
        <f>IF($B13=0,1000000000,IF(INDEX('calcA'!$D$60:$EQ$99,$B13,133)*IF($W13=1,ID13+AES13,ID13)=1,IF(AND($E13=2,IF($W13=1,AKH13,NS13)=0),1000000000,IF($V13=1,INDEX('calcA'!$D$130:$EQ$169,$B13,133)+IF(AND($E13=1,NS13=0),25,0),IF($F13&gt;0,INDEX('calcA'!EF$110:EF$114,$F13+1)+IF(AND($E13=1,NS13=0),1000,0),MIN(TZ13,20)*400+(IF('calcA'!EE$106=1,1-IC13,0)+IF('calcA'!EF$106=1,1-IE13,0))*150+136+'calcA'!EF$5*100000+IF(AND($E13=1,NS13=0),50000,0))+IF($H13=1,INDEX('calcA'!$D$180:$EQ$219,$B13,133)*4000,0)-IF(AND('calcA'!EE$117=1,ZC13&gt;0),2000,0)-IF(AND($U13=1,'calcA'!EF$117=1,IE13=0),2000,0))),1000000000))</f>
        <v/>
      </c>
      <c r="TI13">
        <f>IF($B13=0,1000000000,IF(INDEX('calcA'!$D$60:$EQ$99,$B13,134)*IF($W13=1,IE13+AET13,IE13)=1,IF(AND($E13=2,IF($W13=1,AKI13,NT13)=0),1000000000,IF($V13=1,INDEX('calcA'!$D$130:$EQ$169,$B13,134)+IF(AND($E13=1,NT13=0),25,0),IF($F13&gt;0,INDEX('calcA'!EG$110:EG$114,$F13+1)+IF(AND($E13=1,NT13=0),1000,0),MIN(TZ13,20)*400+(IF('calcA'!EF$106=1,1-ID13,0)+IF('calcA'!EG$106=1,1-IF13,0))*150+146+'calcA'!EG$5*100000+IF(AND($E13=1,NT13=0),50000,0))+IF($H13=1,INDEX('calcA'!$D$180:$EQ$219,$B13,134)*4000,0)-IF(AND('calcA'!EF$117=1,ZD13&gt;0),2000,0)-IF(AND($U13=1,'calcA'!EG$117=1,IF13=0),2000,0))),1000000000))</f>
        <v/>
      </c>
      <c r="TJ13">
        <f>IF($B13=0,1000000000,IF(INDEX('calcA'!$D$60:$EQ$99,$B13,135)*IF($W13=1,IF13+AEU13,IF13)=1,IF(AND($E13=2,IF($W13=1,AKJ13,NU13)=0),1000000000,IF($V13=1,INDEX('calcA'!$D$130:$EQ$169,$B13,135)+IF(AND($E13=1,NU13=0),25,0),IF($F13&gt;0,INDEX('calcA'!EH$110:EH$114,$F13+1)+IF(AND($E13=1,NU13=0),1000,0),MIN(TZ13,20)*400+(IF('calcA'!EG$106=1,1-IE13,0)+IF('calcA'!EH$106=1,1-IG13,0))*150+156+'calcA'!EH$5*100000+IF(AND($E13=1,NU13=0),50000,0))+IF($H13=1,INDEX('calcA'!$D$180:$EQ$219,$B13,135)*4000,0)-IF(AND('calcA'!EG$117=1,ZE13&gt;0),2000,0)-IF(AND($U13=1,'calcA'!EH$117=1,IG13=0),2000,0))),1000000000))</f>
        <v/>
      </c>
      <c r="TK13">
        <f>IF($B13=0,1000000000,IF(INDEX('calcA'!$D$60:$EQ$99,$B13,136)*IF($W13=1,IG13+AEV13,IG13)=1,IF(AND($E13=2,IF($W13=1,AKK13,NV13)=0),1000000000,IF($V13=1,INDEX('calcA'!$D$130:$EQ$169,$B13,136)+IF(AND($E13=1,NV13=0),25,0),IF($F13&gt;0,INDEX('calcA'!EI$110:EI$114,$F13+1)+IF(AND($E13=1,NV13=0),1000,0),MIN(TZ13,20)*400+(IF('calcA'!EH$106=1,1-IF13,0)+IF('calcA'!EI$106=1,1-IH13,0))*150+166+'calcA'!EI$5*100000+IF(AND($E13=1,NV13=0),50000,0))+IF($H13=1,INDEX('calcA'!$D$180:$EQ$219,$B13,136)*4000,0)-IF(AND('calcA'!EH$117=1,ZF13&gt;0),2000,0)-IF(AND($U13=1,'calcA'!EI$117=1,IH13=0),2000,0))),1000000000))</f>
        <v/>
      </c>
      <c r="TL13">
        <f>IF($B13=0,1000000000,IF(INDEX('calcA'!$D$60:$EQ$99,$B13,137)*IF($W13=1,IH13+AEW13,IH13)=1,IF(AND($E13=2,IF($W13=1,AKL13,NW13)=0),1000000000,IF($V13=1,INDEX('calcA'!$D$130:$EQ$169,$B13,137)+IF(AND($E13=1,NW13=0),25,0),IF($F13&gt;0,INDEX('calcA'!EJ$110:EJ$114,$F13+1)+IF(AND($E13=1,NW13=0),1000,0),MIN(TZ13,20)*400+(IF('calcA'!EI$106=1,1-IG13,0)+IF('calcA'!EJ$106=1,1-II13,0))*150+176+'calcA'!EJ$5*100000+IF(AND($E13=1,NW13=0),50000,0))+IF($H13=1,INDEX('calcA'!$D$180:$EQ$219,$B13,137)*4000,0)-IF(AND('calcA'!EI$117=1,ZG13&gt;0),2000,0)-IF(AND($U13=1,'calcA'!EJ$117=1,II13=0),2000,0))),1000000000))</f>
        <v/>
      </c>
      <c r="TM13">
        <f>IF($B13=0,1000000000,IF(INDEX('calcA'!$D$60:$EQ$99,$B13,138)*IF($W13=1,II13+AEX13,II13)=1,IF(AND($E13=2,IF($W13=1,AKM13,NX13)=0),1000000000,IF($V13=1,INDEX('calcA'!$D$130:$EQ$169,$B13,138)+IF(AND($E13=1,NX13=0),25,0),IF($F13&gt;0,INDEX('calcA'!EK$110:EK$114,$F13+1)+IF(AND($E13=1,NX13=0),1000,0),MIN(TZ13,20)*400+(IF('calcA'!EJ$106=1,1-IH13,0)+IF('calcA'!EK$106=1,1-IJ13,0))*150+186+'calcA'!EK$5*100000+IF(AND($E13=1,NX13=0),50000,0))+IF($H13=1,INDEX('calcA'!$D$180:$EQ$219,$B13,138)*4000,0)-IF(AND('calcA'!EJ$117=1,ZH13&gt;0),2000,0)-IF(AND($U13=1,'calcA'!EK$117=1,IJ13=0),2000,0))),1000000000))</f>
        <v/>
      </c>
      <c r="TN13">
        <f>IF($B13=0,1000000000,IF(INDEX('calcA'!$D$60:$EQ$99,$B13,139)*IF($W13=1,IJ13+AEY13,IJ13)=1,IF(AND($E13=2,IF($W13=1,AKN13,NY13)=0),1000000000,IF($V13=1,INDEX('calcA'!$D$130:$EQ$169,$B13,139)+IF(AND($E13=1,NY13=0),25,0),IF($F13&gt;0,INDEX('calcA'!EL$110:EL$114,$F13+1)+IF(AND($E13=1,NY13=0),1000,0),MIN(TZ13,20)*400+(IF('calcA'!EK$106=1,1-II13,0)+IF('calcA'!EL$106=1,1-IK13,0))*150+196+'calcA'!EL$5*100000+IF(AND($E13=1,NY13=0),50000,0))+IF($H13=1,INDEX('calcA'!$D$180:$EQ$219,$B13,139)*4000,0)-IF(AND('calcA'!EK$117=1,ZI13&gt;0),2000,0)-IF(AND($U13=1,'calcA'!EL$117=1,IK13=0),2000,0))),1000000000))</f>
        <v/>
      </c>
      <c r="TO13">
        <f>IF($B13=0,1000000000,IF(INDEX('calcA'!$D$60:$EQ$99,$B13,140)*IF($W13=1,IK13+AEZ13,IK13)=1,IF(AND($E13=2,IF($W13=1,AKO13,NZ13)=0),1000000000,IF($V13=1,INDEX('calcA'!$D$130:$EQ$169,$B13,140)+IF(AND($E13=1,NZ13=0),25,0),IF($F13&gt;0,INDEX('calcA'!EM$110:EM$114,$F13+1)+IF(AND($E13=1,NZ13=0),1000,0),MIN(TZ13,20)*400+(IF('calcA'!EL$106=1,1-IJ13,0)+IF('calcA'!EM$106=1,1-IL13,0))*150+206+'calcA'!EM$5*100000+IF(AND($E13=1,NZ13=0),50000,0))+IF($H13=1,INDEX('calcA'!$D$180:$EQ$219,$B13,140)*4000,0)-IF(AND('calcA'!EL$117=1,ZJ13&gt;0),2000,0)-IF(AND($U13=1,'calcA'!EM$117=1,IL13=0),2000,0))),1000000000))</f>
        <v/>
      </c>
      <c r="TP13">
        <f>IF($B13=0,1000000000,IF(INDEX('calcA'!$D$60:$EQ$99,$B13,141)*IF($W13=1,IL13+AFA13,IL13)=1,IF(AND($E13=2,IF($W13=1,AKP13,OA13)=0),1000000000,IF($V13=1,INDEX('calcA'!$D$130:$EQ$169,$B13,141)+IF(AND($E13=1,OA13=0),25,0),IF($F13&gt;0,INDEX('calcA'!EN$110:EN$114,$F13+1)+IF(AND($E13=1,OA13=0),1000,0),MIN(TZ13,20)*400+(IF('calcA'!EM$106=1,1-IK13,0)+IF('calcA'!EN$106=1,1-IM13,0))*150+216+'calcA'!EN$5*100000+IF(AND($E13=1,OA13=0),50000,0))+IF($H13=1,INDEX('calcA'!$D$180:$EQ$219,$B13,141)*4000,0)-IF(AND('calcA'!EM$117=1,ZK13&gt;0),2000,0)-IF(AND($U13=1,'calcA'!EN$117=1,IM13=0),2000,0))),1000000000))</f>
        <v/>
      </c>
      <c r="TQ13">
        <f>IF($B13=0,1000000000,IF(INDEX('calcA'!$D$60:$EQ$99,$B13,142)*IF($W13=1,IM13+AFB13,IM13)=1,IF(AND($E13=2,IF($W13=1,AKQ13,OB13)=0),1000000000,IF($V13=1,INDEX('calcA'!$D$130:$EQ$169,$B13,142)+IF(AND($E13=1,OB13=0),25,0),IF($F13&gt;0,INDEX('calcA'!EO$110:EO$114,$F13+1)+IF(AND($E13=1,OB13=0),1000,0),MIN(TZ13,20)*400+(IF('calcA'!EN$106=1,1-IL13,0)+IF('calcA'!EO$106=1,1-IN13,0))*150+226+'calcA'!EO$5*100000+IF(AND($E13=1,OB13=0),50000,0))+IF($H13=1,INDEX('calcA'!$D$180:$EQ$219,$B13,142)*4000,0)-IF(AND('calcA'!EN$117=1,ZL13&gt;0),2000,0)-IF(AND($U13=1,'calcA'!EO$117=1,IN13=0),2000,0))),1000000000))</f>
        <v/>
      </c>
      <c r="TR13">
        <f>IF($B13=0,1000000000,IF(INDEX('calcA'!$D$60:$EQ$99,$B13,143)*IF($W13=1,IN13+AFC13,IN13)=1,IF(AND($E13=2,IF($W13=1,AKR13,OC13)=0),1000000000,IF($V13=1,INDEX('calcA'!$D$130:$EQ$169,$B13,143)+IF(AND($E13=1,OC13=0),25,0),IF($F13&gt;0,INDEX('calcA'!EP$110:EP$114,$F13+1)+IF(AND($E13=1,OC13=0),1000,0),MIN(TZ13,20)*400+(IF('calcA'!EO$106=1,1-IM13,0)+IF('calcA'!EP$106=1,1-IO13,0))*150+236+'calcA'!EP$5*100000+IF(AND($E13=1,OC13=0),50000,0))+IF($H13=1,INDEX('calcA'!$D$180:$EQ$219,$B13,143)*4000,0)-IF(AND('calcA'!EO$117=1,ZM13&gt;0),2000,0)-IF(AND($U13=1,'calcA'!EP$117=1,IO13=0),2000,0))),1000000000))</f>
        <v/>
      </c>
      <c r="TS13">
        <f>IF($B13=0,1000000000,IF(INDEX('calcA'!$D$60:$EQ$99,$B13,144)*IF($W13=1,IO13+AFD13,IO13)=1,IF(AND($E13=2,IF($W13=1,AKS13,OD13)=0),1000000000,IF($V13=1,INDEX('calcA'!$D$130:$EQ$169,$B13,144)+IF(AND($E13=1,OD13=0),25,0),IF($F13&gt;0,INDEX('calcA'!EQ$110:EQ$114,$F13+1)+IF(AND($E13=1,OD13=0),1000,0),MIN(TZ13,20)*400+(IF('calcA'!EP$106=1,1-IN13,0))*150+246+'calcA'!EQ$5*100000+IF(AND($E13=1,OD13=0),50000,0))+IF($H13=1,INDEX('calcA'!$D$180:$EQ$219,$B13,144)*4000,0)-IF(AND('calcA'!EP$117=1,ZN13&gt;0),2000,0))),1000000000))</f>
        <v/>
      </c>
      <c r="TU13">
        <f>TU12+IF($C12&gt;0,IF(INDEX('calcA'!$D$2:$EQ$2,$C12)=1,1,0),0)</f>
        <v/>
      </c>
      <c r="TV13">
        <f>TV12+IF($C12&gt;0,IF(INDEX('calcA'!$D$2:$EQ$2,$C12)=2,1,0),0)</f>
        <v/>
      </c>
      <c r="TW13">
        <f>TW12+IF($C12&gt;0,IF(INDEX('calcA'!$D$2:$EQ$2,$C12)=3,1,0),0)</f>
        <v/>
      </c>
      <c r="TX13">
        <f>TX12+IF($C12&gt;0,IF(INDEX('calcA'!$D$2:$EQ$2,$C12)=4,1,0),0)</f>
        <v/>
      </c>
      <c r="TY13">
        <f>TY12+IF($C12&gt;0,IF(INDEX('calcA'!$D$2:$EQ$2,$C12)=5,1,0),0)</f>
        <v/>
      </c>
      <c r="TZ13">
        <f>TZ12+IF($C12&gt;0,IF(INDEX('calcA'!$D$2:$EQ$2,$C12)=6,1,0),0)</f>
        <v/>
      </c>
      <c r="UB13">
        <f>UB12+IF(AND($C12=1,$U12=1),1,0)</f>
        <v/>
      </c>
      <c r="UC13">
        <f>UC12+IF(AND($C12=2,$U12=1),1,0)</f>
        <v/>
      </c>
      <c r="UD13">
        <f>UD12+IF(AND($C12=3,$U12=1),1,0)</f>
        <v/>
      </c>
      <c r="UE13">
        <f>UE12+IF(AND($C12=4,$U12=1),1,0)</f>
        <v/>
      </c>
      <c r="UF13">
        <f>UF12+IF(AND($C12=5,$U12=1),1,0)</f>
        <v/>
      </c>
      <c r="UG13">
        <f>UG12+IF(AND($C12=6,$U12=1),1,0)</f>
        <v/>
      </c>
      <c r="UH13">
        <f>UH12+IF(AND($C12=7,$U12=1),1,0)</f>
        <v/>
      </c>
      <c r="UI13">
        <f>UI12+IF(AND($C12=8,$U12=1),1,0)</f>
        <v/>
      </c>
      <c r="UJ13">
        <f>UJ12+IF(AND($C12=9,$U12=1),1,0)</f>
        <v/>
      </c>
      <c r="UK13">
        <f>UK12+IF(AND($C12=10,$U12=1),1,0)</f>
        <v/>
      </c>
      <c r="UL13">
        <f>UL12+IF(AND($C12=11,$U12=1),1,0)</f>
        <v/>
      </c>
      <c r="UM13">
        <f>UM12+IF(AND($C12=12,$U12=1),1,0)</f>
        <v/>
      </c>
      <c r="UN13">
        <f>UN12+IF(AND($C12=13,$U12=1),1,0)</f>
        <v/>
      </c>
      <c r="UO13">
        <f>UO12+IF(AND($C12=14,$U12=1),1,0)</f>
        <v/>
      </c>
      <c r="UP13">
        <f>UP12+IF(AND($C12=15,$U12=1),1,0)</f>
        <v/>
      </c>
      <c r="UQ13">
        <f>UQ12+IF(AND($C12=16,$U12=1),1,0)</f>
        <v/>
      </c>
      <c r="UR13">
        <f>UR12+IF(AND($C12=17,$U12=1),1,0)</f>
        <v/>
      </c>
      <c r="US13">
        <f>US12+IF(AND($C12=18,$U12=1),1,0)</f>
        <v/>
      </c>
      <c r="UT13">
        <f>UT12+IF(AND($C12=19,$U12=1),1,0)</f>
        <v/>
      </c>
      <c r="UU13">
        <f>UU12+IF(AND($C12=20,$U12=1),1,0)</f>
        <v/>
      </c>
      <c r="UV13">
        <f>UV12+IF(AND($C12=21,$U12=1),1,0)</f>
        <v/>
      </c>
      <c r="UW13">
        <f>UW12+IF(AND($C12=22,$U12=1),1,0)</f>
        <v/>
      </c>
      <c r="UX13">
        <f>UX12+IF(AND($C12=23,$U12=1),1,0)</f>
        <v/>
      </c>
      <c r="UY13">
        <f>UY12+IF(AND($C12=24,$U12=1),1,0)</f>
        <v/>
      </c>
      <c r="UZ13">
        <f>UZ12+IF(AND($C12=25,$U12=1),1,0)</f>
        <v/>
      </c>
      <c r="VA13">
        <f>VA12+IF(AND($C12=26,$U12=1),1,0)</f>
        <v/>
      </c>
      <c r="VB13">
        <f>VB12+IF(AND($C12=27,$U12=1),1,0)</f>
        <v/>
      </c>
      <c r="VC13">
        <f>VC12+IF(AND($C12=28,$U12=1),1,0)</f>
        <v/>
      </c>
      <c r="VD13">
        <f>VD12+IF(AND($C12=29,$U12=1),1,0)</f>
        <v/>
      </c>
      <c r="VE13">
        <f>VE12+IF(AND($C12=30,$U12=1),1,0)</f>
        <v/>
      </c>
      <c r="VF13">
        <f>VF12+IF(AND($C12=31,$U12=1),1,0)</f>
        <v/>
      </c>
      <c r="VG13">
        <f>VG12+IF(AND($C12=32,$U12=1),1,0)</f>
        <v/>
      </c>
      <c r="VH13">
        <f>VH12+IF(AND($C12=33,$U12=1),1,0)</f>
        <v/>
      </c>
      <c r="VI13">
        <f>VI12+IF(AND($C12=34,$U12=1),1,0)</f>
        <v/>
      </c>
      <c r="VJ13">
        <f>VJ12+IF(AND($C12=35,$U12=1),1,0)</f>
        <v/>
      </c>
      <c r="VK13">
        <f>VK12+IF(AND($C12=36,$U12=1),1,0)</f>
        <v/>
      </c>
      <c r="VL13">
        <f>VL12+IF(AND($C12=37,$U12=1),1,0)</f>
        <v/>
      </c>
      <c r="VM13">
        <f>VM12+IF(AND($C12=38,$U12=1),1,0)</f>
        <v/>
      </c>
      <c r="VN13">
        <f>VN12+IF(AND($C12=39,$U12=1),1,0)</f>
        <v/>
      </c>
      <c r="VO13">
        <f>VO12+IF(AND($C12=40,$U12=1),1,0)</f>
        <v/>
      </c>
      <c r="VP13">
        <f>VP12+IF(AND($C12=41,$U12=1),1,0)</f>
        <v/>
      </c>
      <c r="VQ13">
        <f>VQ12+IF(AND($C12=42,$U12=1),1,0)</f>
        <v/>
      </c>
      <c r="VR13">
        <f>VR12+IF(AND($C12=43,$U12=1),1,0)</f>
        <v/>
      </c>
      <c r="VS13">
        <f>VS12+IF(AND($C12=44,$U12=1),1,0)</f>
        <v/>
      </c>
      <c r="VT13">
        <f>VT12+IF(AND($C12=45,$U12=1),1,0)</f>
        <v/>
      </c>
      <c r="VU13">
        <f>VU12+IF(AND($C12=46,$U12=1),1,0)</f>
        <v/>
      </c>
      <c r="VV13">
        <f>VV12+IF(AND($C12=47,$U12=1),1,0)</f>
        <v/>
      </c>
      <c r="VW13">
        <f>VW12+IF(AND($C12=48,$U12=1),1,0)</f>
        <v/>
      </c>
      <c r="VX13">
        <f>VX12+IF(AND($C12=49,$U12=1),1,0)</f>
        <v/>
      </c>
      <c r="VY13">
        <f>VY12+IF(AND($C12=50,$U12=1),1,0)</f>
        <v/>
      </c>
      <c r="VZ13">
        <f>VZ12+IF(AND($C12=51,$U12=1),1,0)</f>
        <v/>
      </c>
      <c r="WA13">
        <f>WA12+IF(AND($C12=52,$U12=1),1,0)</f>
        <v/>
      </c>
      <c r="WB13">
        <f>WB12+IF(AND($C12=53,$U12=1),1,0)</f>
        <v/>
      </c>
      <c r="WC13">
        <f>WC12+IF(AND($C12=54,$U12=1),1,0)</f>
        <v/>
      </c>
      <c r="WD13">
        <f>WD12+IF(AND($C12=55,$U12=1),1,0)</f>
        <v/>
      </c>
      <c r="WE13">
        <f>WE12+IF(AND($C12=56,$U12=1),1,0)</f>
        <v/>
      </c>
      <c r="WF13">
        <f>WF12+IF(AND($C12=57,$U12=1),1,0)</f>
        <v/>
      </c>
      <c r="WG13">
        <f>WG12+IF(AND($C12=58,$U12=1),1,0)</f>
        <v/>
      </c>
      <c r="WH13">
        <f>WH12+IF(AND($C12=59,$U12=1),1,0)</f>
        <v/>
      </c>
      <c r="WI13">
        <f>WI12+IF(AND($C12=60,$U12=1),1,0)</f>
        <v/>
      </c>
      <c r="WJ13">
        <f>WJ12+IF(AND($C12=61,$U12=1),1,0)</f>
        <v/>
      </c>
      <c r="WK13">
        <f>WK12+IF(AND($C12=62,$U12=1),1,0)</f>
        <v/>
      </c>
      <c r="WL13">
        <f>WL12+IF(AND($C12=63,$U12=1),1,0)</f>
        <v/>
      </c>
      <c r="WM13">
        <f>WM12+IF(AND($C12=64,$U12=1),1,0)</f>
        <v/>
      </c>
      <c r="WN13">
        <f>WN12+IF(AND($C12=65,$U12=1),1,0)</f>
        <v/>
      </c>
      <c r="WO13">
        <f>WO12+IF(AND($C12=66,$U12=1),1,0)</f>
        <v/>
      </c>
      <c r="WP13">
        <f>WP12+IF(AND($C12=67,$U12=1),1,0)</f>
        <v/>
      </c>
      <c r="WQ13">
        <f>WQ12+IF(AND($C12=68,$U12=1),1,0)</f>
        <v/>
      </c>
      <c r="WR13">
        <f>WR12+IF(AND($C12=69,$U12=1),1,0)</f>
        <v/>
      </c>
      <c r="WS13">
        <f>WS12+IF(AND($C12=70,$U12=1),1,0)</f>
        <v/>
      </c>
      <c r="WT13">
        <f>WT12+IF(AND($C12=71,$U12=1),1,0)</f>
        <v/>
      </c>
      <c r="WU13">
        <f>WU12+IF(AND($C12=72,$U12=1),1,0)</f>
        <v/>
      </c>
      <c r="WV13">
        <f>WV12+IF(AND($C12=73,$U12=1),1,0)</f>
        <v/>
      </c>
      <c r="WW13">
        <f>WW12+IF(AND($C12=74,$U12=1),1,0)</f>
        <v/>
      </c>
      <c r="WX13">
        <f>WX12+IF(AND($C12=75,$U12=1),1,0)</f>
        <v/>
      </c>
      <c r="WY13">
        <f>WY12+IF(AND($C12=76,$U12=1),1,0)</f>
        <v/>
      </c>
      <c r="WZ13">
        <f>WZ12+IF(AND($C12=77,$U12=1),1,0)</f>
        <v/>
      </c>
      <c r="XA13">
        <f>XA12+IF(AND($C12=78,$U12=1),1,0)</f>
        <v/>
      </c>
      <c r="XB13">
        <f>XB12+IF(AND($C12=79,$U12=1),1,0)</f>
        <v/>
      </c>
      <c r="XC13">
        <f>XC12+IF(AND($C12=80,$U12=1),1,0)</f>
        <v/>
      </c>
      <c r="XD13">
        <f>XD12+IF(AND($C12=81,$U12=1),1,0)</f>
        <v/>
      </c>
      <c r="XE13">
        <f>XE12+IF(AND($C12=82,$U12=1),1,0)</f>
        <v/>
      </c>
      <c r="XF13">
        <f>XF12+IF(AND($C12=83,$U12=1),1,0)</f>
        <v/>
      </c>
      <c r="XG13">
        <f>XG12+IF(AND($C12=84,$U12=1),1,0)</f>
        <v/>
      </c>
      <c r="XH13">
        <f>XH12+IF(AND($C12=85,$U12=1),1,0)</f>
        <v/>
      </c>
      <c r="XI13">
        <f>XI12+IF(AND($C12=86,$U12=1),1,0)</f>
        <v/>
      </c>
      <c r="XJ13">
        <f>XJ12+IF(AND($C12=87,$U12=1),1,0)</f>
        <v/>
      </c>
      <c r="XK13">
        <f>XK12+IF(AND($C12=88,$U12=1),1,0)</f>
        <v/>
      </c>
      <c r="XL13">
        <f>XL12+IF(AND($C12=89,$U12=1),1,0)</f>
        <v/>
      </c>
      <c r="XM13">
        <f>XM12+IF(AND($C12=90,$U12=1),1,0)</f>
        <v/>
      </c>
      <c r="XN13">
        <f>XN12+IF(AND($C12=91,$U12=1),1,0)</f>
        <v/>
      </c>
      <c r="XO13">
        <f>XO12+IF(AND($C12=92,$U12=1),1,0)</f>
        <v/>
      </c>
      <c r="XP13">
        <f>XP12+IF(AND($C12=93,$U12=1),1,0)</f>
        <v/>
      </c>
      <c r="XQ13">
        <f>XQ12+IF(AND($C12=94,$U12=1),1,0)</f>
        <v/>
      </c>
      <c r="XR13">
        <f>XR12+IF(AND($C12=95,$U12=1),1,0)</f>
        <v/>
      </c>
      <c r="XS13">
        <f>XS12+IF(AND($C12=96,$U12=1),1,0)</f>
        <v/>
      </c>
      <c r="XT13">
        <f>XT12+IF(AND($C12=97,$U12=1),1,0)</f>
        <v/>
      </c>
      <c r="XU13">
        <f>XU12+IF(AND($C12=98,$U12=1),1,0)</f>
        <v/>
      </c>
      <c r="XV13">
        <f>XV12+IF(AND($C12=99,$U12=1),1,0)</f>
        <v/>
      </c>
      <c r="XW13">
        <f>XW12+IF(AND($C12=100,$U12=1),1,0)</f>
        <v/>
      </c>
      <c r="XX13">
        <f>XX12+IF(AND($C12=101,$U12=1),1,0)</f>
        <v/>
      </c>
      <c r="XY13">
        <f>XY12+IF(AND($C12=102,$U12=1),1,0)</f>
        <v/>
      </c>
      <c r="XZ13">
        <f>XZ12+IF(AND($C12=103,$U12=1),1,0)</f>
        <v/>
      </c>
      <c r="YA13">
        <f>YA12+IF(AND($C12=104,$U12=1),1,0)</f>
        <v/>
      </c>
      <c r="YB13">
        <f>YB12+IF(AND($C12=105,$U12=1),1,0)</f>
        <v/>
      </c>
      <c r="YC13">
        <f>YC12+IF(AND($C12=106,$U12=1),1,0)</f>
        <v/>
      </c>
      <c r="YD13">
        <f>YD12+IF(AND($C12=107,$U12=1),1,0)</f>
        <v/>
      </c>
      <c r="YE13">
        <f>YE12+IF(AND($C12=108,$U12=1),1,0)</f>
        <v/>
      </c>
      <c r="YF13">
        <f>YF12+IF(AND($C12=109,$U12=1),1,0)</f>
        <v/>
      </c>
      <c r="YG13">
        <f>YG12+IF(AND($C12=110,$U12=1),1,0)</f>
        <v/>
      </c>
      <c r="YH13">
        <f>YH12+IF(AND($C12=111,$U12=1),1,0)</f>
        <v/>
      </c>
      <c r="YI13">
        <f>YI12+IF(AND($C12=112,$U12=1),1,0)</f>
        <v/>
      </c>
      <c r="YJ13">
        <f>YJ12+IF(AND($C12=113,$U12=1),1,0)</f>
        <v/>
      </c>
      <c r="YK13">
        <f>YK12+IF(AND($C12=114,$U12=1),1,0)</f>
        <v/>
      </c>
      <c r="YL13">
        <f>YL12+IF(AND($C12=115,$U12=1),1,0)</f>
        <v/>
      </c>
      <c r="YM13">
        <f>YM12+IF(AND($C12=116,$U12=1),1,0)</f>
        <v/>
      </c>
      <c r="YN13">
        <f>YN12+IF(AND($C12=117,$U12=1),1,0)</f>
        <v/>
      </c>
      <c r="YO13">
        <f>YO12+IF(AND($C12=118,$U12=1),1,0)</f>
        <v/>
      </c>
      <c r="YP13">
        <f>YP12+IF(AND($C12=119,$U12=1),1,0)</f>
        <v/>
      </c>
      <c r="YQ13">
        <f>YQ12+IF(AND($C12=120,$U12=1),1,0)</f>
        <v/>
      </c>
      <c r="YR13">
        <f>YR12+IF(AND($C12=121,$U12=1),1,0)</f>
        <v/>
      </c>
      <c r="YS13">
        <f>YS12+IF(AND($C12=122,$U12=1),1,0)</f>
        <v/>
      </c>
      <c r="YT13">
        <f>YT12+IF(AND($C12=123,$U12=1),1,0)</f>
        <v/>
      </c>
      <c r="YU13">
        <f>YU12+IF(AND($C12=124,$U12=1),1,0)</f>
        <v/>
      </c>
      <c r="YV13">
        <f>YV12+IF(AND($C12=125,$U12=1),1,0)</f>
        <v/>
      </c>
      <c r="YW13">
        <f>YW12+IF(AND($C12=126,$U12=1),1,0)</f>
        <v/>
      </c>
      <c r="YX13">
        <f>YX12+IF(AND($C12=127,$U12=1),1,0)</f>
        <v/>
      </c>
      <c r="YY13">
        <f>YY12+IF(AND($C12=128,$U12=1),1,0)</f>
        <v/>
      </c>
      <c r="YZ13">
        <f>YZ12+IF(AND($C12=129,$U12=1),1,0)</f>
        <v/>
      </c>
      <c r="ZA13">
        <f>ZA12+IF(AND($C12=130,$U12=1),1,0)</f>
        <v/>
      </c>
      <c r="ZB13">
        <f>ZB12+IF(AND($C12=131,$U12=1),1,0)</f>
        <v/>
      </c>
      <c r="ZC13">
        <f>ZC12+IF(AND($C12=132,$U12=1),1,0)</f>
        <v/>
      </c>
      <c r="ZD13">
        <f>ZD12+IF(AND($C12=133,$U12=1),1,0)</f>
        <v/>
      </c>
      <c r="ZE13">
        <f>ZE12+IF(AND($C12=134,$U12=1),1,0)</f>
        <v/>
      </c>
      <c r="ZF13">
        <f>ZF12+IF(AND($C12=135,$U12=1),1,0)</f>
        <v/>
      </c>
      <c r="ZG13">
        <f>ZG12+IF(AND($C12=136,$U12=1),1,0)</f>
        <v/>
      </c>
      <c r="ZH13">
        <f>ZH12+IF(AND($C12=137,$U12=1),1,0)</f>
        <v/>
      </c>
      <c r="ZI13">
        <f>ZI12+IF(AND($C12=138,$U12=1),1,0)</f>
        <v/>
      </c>
      <c r="ZJ13">
        <f>ZJ12+IF(AND($C12=139,$U12=1),1,0)</f>
        <v/>
      </c>
      <c r="ZK13">
        <f>ZK12+IF(AND($C12=140,$U12=1),1,0)</f>
        <v/>
      </c>
      <c r="ZL13">
        <f>ZL12+IF(AND($C12=141,$U12=1),1,0)</f>
        <v/>
      </c>
      <c r="ZM13">
        <f>ZM12+IF(AND($C12=142,$U12=1),1,0)</f>
        <v/>
      </c>
      <c r="ZN13">
        <f>ZN12+IF(AND($C12=143,$U12=1),1,0)</f>
        <v/>
      </c>
      <c r="ZO13">
        <f>ZO12+IF(AND($C12=144,$U12=1),1,0)</f>
        <v/>
      </c>
      <c r="ZQ13">
        <f>IF($C12=1,0,ZQ12+IF(AND($G12=1,$E12=1),1,0))</f>
        <v/>
      </c>
      <c r="ZR13">
        <f>IF($C12=2,0,ZR12+IF(AND($G12=2,$E12=1),1,0))</f>
        <v/>
      </c>
      <c r="ZS13">
        <f>IF($C12=3,0,ZS12+IF(AND($G12=3,$E12=1),1,0))</f>
        <v/>
      </c>
      <c r="ZT13">
        <f>IF($C12=4,0,ZT12+IF(AND($G12=4,$E12=1),1,0))</f>
        <v/>
      </c>
      <c r="ZU13">
        <f>IF($C12=5,0,ZU12+IF(AND($G12=5,$E12=1),1,0))</f>
        <v/>
      </c>
      <c r="ZV13">
        <f>IF($C12=6,0,ZV12+IF(AND($G12=6,$E12=1),1,0))</f>
        <v/>
      </c>
      <c r="ZW13">
        <f>IF($C12=7,0,ZW12+IF(AND($G12=7,$E12=1),1,0))</f>
        <v/>
      </c>
      <c r="ZX13">
        <f>IF($C12=8,0,ZX12+IF(AND($G12=8,$E12=1),1,0))</f>
        <v/>
      </c>
      <c r="ZY13">
        <f>IF($C12=9,0,ZY12+IF(AND($G12=9,$E12=1),1,0))</f>
        <v/>
      </c>
      <c r="ZZ13">
        <f>IF($C12=10,0,ZZ12+IF(AND($G12=10,$E12=1),1,0))</f>
        <v/>
      </c>
      <c r="AAA13">
        <f>IF($C12=11,0,AAA12+IF(AND($G12=11,$E12=1),1,0))</f>
        <v/>
      </c>
      <c r="AAB13">
        <f>IF($C12=12,0,AAB12+IF(AND($G12=12,$E12=1),1,0))</f>
        <v/>
      </c>
      <c r="AAC13">
        <f>IF($C12=13,0,AAC12+IF(AND($G12=13,$E12=1),1,0))</f>
        <v/>
      </c>
      <c r="AAD13">
        <f>IF($C12=14,0,AAD12+IF(AND($G12=14,$E12=1),1,0))</f>
        <v/>
      </c>
      <c r="AAE13">
        <f>IF($C12=15,0,AAE12+IF(AND($G12=15,$E12=1),1,0))</f>
        <v/>
      </c>
      <c r="AAF13">
        <f>IF($C12=16,0,AAF12+IF(AND($G12=16,$E12=1),1,0))</f>
        <v/>
      </c>
      <c r="AAG13">
        <f>IF($C12=17,0,AAG12+IF(AND($G12=17,$E12=1),1,0))</f>
        <v/>
      </c>
      <c r="AAH13">
        <f>IF($C12=18,0,AAH12+IF(AND($G12=18,$E12=1),1,0))</f>
        <v/>
      </c>
      <c r="AAI13">
        <f>IF($C12=19,0,AAI12+IF(AND($G12=19,$E12=1),1,0))</f>
        <v/>
      </c>
      <c r="AAJ13">
        <f>IF($C12=20,0,AAJ12+IF(AND($G12=20,$E12=1),1,0))</f>
        <v/>
      </c>
      <c r="AAK13">
        <f>IF($C12=21,0,AAK12+IF(AND($G12=21,$E12=1),1,0))</f>
        <v/>
      </c>
      <c r="AAL13">
        <f>IF($C12=22,0,AAL12+IF(AND($G12=22,$E12=1),1,0))</f>
        <v/>
      </c>
      <c r="AAM13">
        <f>IF($C12=23,0,AAM12+IF(AND($G12=23,$E12=1),1,0))</f>
        <v/>
      </c>
      <c r="AAN13">
        <f>IF($C12=24,0,AAN12+IF(AND($G12=24,$E12=1),1,0))</f>
        <v/>
      </c>
      <c r="AAO13">
        <f>IF($C12=25,0,AAO12+IF(AND($G12=25,$E12=1),1,0))</f>
        <v/>
      </c>
      <c r="AAP13">
        <f>IF($C12=26,0,AAP12+IF(AND($G12=26,$E12=1),1,0))</f>
        <v/>
      </c>
      <c r="AAQ13">
        <f>IF($C12=27,0,AAQ12+IF(AND($G12=27,$E12=1),1,0))</f>
        <v/>
      </c>
      <c r="AAR13">
        <f>IF($C12=28,0,AAR12+IF(AND($G12=28,$E12=1),1,0))</f>
        <v/>
      </c>
      <c r="AAS13">
        <f>IF($C12=29,0,AAS12+IF(AND($G12=29,$E12=1),1,0))</f>
        <v/>
      </c>
      <c r="AAT13">
        <f>IF($C12=30,0,AAT12+IF(AND($G12=30,$E12=1),1,0))</f>
        <v/>
      </c>
      <c r="AAU13">
        <f>IF($C12=31,0,AAU12+IF(AND($G12=31,$E12=1),1,0))</f>
        <v/>
      </c>
      <c r="AAV13">
        <f>IF($C12=32,0,AAV12+IF(AND($G12=32,$E12=1),1,0))</f>
        <v/>
      </c>
      <c r="AAW13">
        <f>IF($C12=33,0,AAW12+IF(AND($G12=33,$E12=1),1,0))</f>
        <v/>
      </c>
      <c r="AAX13">
        <f>IF($C12=34,0,AAX12+IF(AND($G12=34,$E12=1),1,0))</f>
        <v/>
      </c>
      <c r="AAY13">
        <f>IF($C12=35,0,AAY12+IF(AND($G12=35,$E12=1),1,0))</f>
        <v/>
      </c>
      <c r="AAZ13">
        <f>IF($C12=36,0,AAZ12+IF(AND($G12=36,$E12=1),1,0))</f>
        <v/>
      </c>
      <c r="ABA13">
        <f>IF($C12=37,0,ABA12+IF(AND($G12=37,$E12=1),1,0))</f>
        <v/>
      </c>
      <c r="ABB13">
        <f>IF($C12=38,0,ABB12+IF(AND($G12=38,$E12=1),1,0))</f>
        <v/>
      </c>
      <c r="ABC13">
        <f>IF($C12=39,0,ABC12+IF(AND($G12=39,$E12=1),1,0))</f>
        <v/>
      </c>
      <c r="ABD13">
        <f>IF($C12=40,0,ABD12+IF(AND($G12=40,$E12=1),1,0))</f>
        <v/>
      </c>
      <c r="ABE13">
        <f>IF($C12=41,0,ABE12+IF(AND($G12=41,$E12=1),1,0))</f>
        <v/>
      </c>
      <c r="ABF13">
        <f>IF($C12=42,0,ABF12+IF(AND($G12=42,$E12=1),1,0))</f>
        <v/>
      </c>
      <c r="ABG13">
        <f>IF($C12=43,0,ABG12+IF(AND($G12=43,$E12=1),1,0))</f>
        <v/>
      </c>
      <c r="ABH13">
        <f>IF($C12=44,0,ABH12+IF(AND($G12=44,$E12=1),1,0))</f>
        <v/>
      </c>
      <c r="ABI13">
        <f>IF($C12=45,0,ABI12+IF(AND($G12=45,$E12=1),1,0))</f>
        <v/>
      </c>
      <c r="ABJ13">
        <f>IF($C12=46,0,ABJ12+IF(AND($G12=46,$E12=1),1,0))</f>
        <v/>
      </c>
      <c r="ABK13">
        <f>IF($C12=47,0,ABK12+IF(AND($G12=47,$E12=1),1,0))</f>
        <v/>
      </c>
      <c r="ABL13">
        <f>IF($C12=48,0,ABL12+IF(AND($G12=48,$E12=1),1,0))</f>
        <v/>
      </c>
      <c r="ABM13">
        <f>IF($C12=49,0,ABM12+IF(AND($G12=49,$E12=1),1,0))</f>
        <v/>
      </c>
      <c r="ABN13">
        <f>IF($C12=50,0,ABN12+IF(AND($G12=50,$E12=1),1,0))</f>
        <v/>
      </c>
      <c r="ABO13">
        <f>IF($C12=51,0,ABO12+IF(AND($G12=51,$E12=1),1,0))</f>
        <v/>
      </c>
      <c r="ABP13">
        <f>IF($C12=52,0,ABP12+IF(AND($G12=52,$E12=1),1,0))</f>
        <v/>
      </c>
      <c r="ABQ13">
        <f>IF($C12=53,0,ABQ12+IF(AND($G12=53,$E12=1),1,0))</f>
        <v/>
      </c>
      <c r="ABR13">
        <f>IF($C12=54,0,ABR12+IF(AND($G12=54,$E12=1),1,0))</f>
        <v/>
      </c>
      <c r="ABS13">
        <f>IF($C12=55,0,ABS12+IF(AND($G12=55,$E12=1),1,0))</f>
        <v/>
      </c>
      <c r="ABT13">
        <f>IF($C12=56,0,ABT12+IF(AND($G12=56,$E12=1),1,0))</f>
        <v/>
      </c>
      <c r="ABU13">
        <f>IF($C12=57,0,ABU12+IF(AND($G12=57,$E12=1),1,0))</f>
        <v/>
      </c>
      <c r="ABV13">
        <f>IF($C12=58,0,ABV12+IF(AND($G12=58,$E12=1),1,0))</f>
        <v/>
      </c>
      <c r="ABW13">
        <f>IF($C12=59,0,ABW12+IF(AND($G12=59,$E12=1),1,0))</f>
        <v/>
      </c>
      <c r="ABX13">
        <f>IF($C12=60,0,ABX12+IF(AND($G12=60,$E12=1),1,0))</f>
        <v/>
      </c>
      <c r="ABY13">
        <f>IF($C12=61,0,ABY12+IF(AND($G12=61,$E12=1),1,0))</f>
        <v/>
      </c>
      <c r="ABZ13">
        <f>IF($C12=62,0,ABZ12+IF(AND($G12=62,$E12=1),1,0))</f>
        <v/>
      </c>
      <c r="ACA13">
        <f>IF($C12=63,0,ACA12+IF(AND($G12=63,$E12=1),1,0))</f>
        <v/>
      </c>
      <c r="ACB13">
        <f>IF($C12=64,0,ACB12+IF(AND($G12=64,$E12=1),1,0))</f>
        <v/>
      </c>
      <c r="ACC13">
        <f>IF($C12=65,0,ACC12+IF(AND($G12=65,$E12=1),1,0))</f>
        <v/>
      </c>
      <c r="ACD13">
        <f>IF($C12=66,0,ACD12+IF(AND($G12=66,$E12=1),1,0))</f>
        <v/>
      </c>
      <c r="ACE13">
        <f>IF($C12=67,0,ACE12+IF(AND($G12=67,$E12=1),1,0))</f>
        <v/>
      </c>
      <c r="ACF13">
        <f>IF($C12=68,0,ACF12+IF(AND($G12=68,$E12=1),1,0))</f>
        <v/>
      </c>
      <c r="ACG13">
        <f>IF($C12=69,0,ACG12+IF(AND($G12=69,$E12=1),1,0))</f>
        <v/>
      </c>
      <c r="ACH13">
        <f>IF($C12=70,0,ACH12+IF(AND($G12=70,$E12=1),1,0))</f>
        <v/>
      </c>
      <c r="ACI13">
        <f>IF($C12=71,0,ACI12+IF(AND($G12=71,$E12=1),1,0))</f>
        <v/>
      </c>
      <c r="ACJ13">
        <f>IF($C12=72,0,ACJ12+IF(AND($G12=72,$E12=1),1,0))</f>
        <v/>
      </c>
      <c r="ACK13">
        <f>IF($C12=73,0,ACK12+IF(AND($G12=73,$E12=1),1,0))</f>
        <v/>
      </c>
      <c r="ACL13">
        <f>IF($C12=74,0,ACL12+IF(AND($G12=74,$E12=1),1,0))</f>
        <v/>
      </c>
      <c r="ACM13">
        <f>IF($C12=75,0,ACM12+IF(AND($G12=75,$E12=1),1,0))</f>
        <v/>
      </c>
      <c r="ACN13">
        <f>IF($C12=76,0,ACN12+IF(AND($G12=76,$E12=1),1,0))</f>
        <v/>
      </c>
      <c r="ACO13">
        <f>IF($C12=77,0,ACO12+IF(AND($G12=77,$E12=1),1,0))</f>
        <v/>
      </c>
      <c r="ACP13">
        <f>IF($C12=78,0,ACP12+IF(AND($G12=78,$E12=1),1,0))</f>
        <v/>
      </c>
      <c r="ACQ13">
        <f>IF($C12=79,0,ACQ12+IF(AND($G12=79,$E12=1),1,0))</f>
        <v/>
      </c>
      <c r="ACR13">
        <f>IF($C12=80,0,ACR12+IF(AND($G12=80,$E12=1),1,0))</f>
        <v/>
      </c>
      <c r="ACS13">
        <f>IF($C12=81,0,ACS12+IF(AND($G12=81,$E12=1),1,0))</f>
        <v/>
      </c>
      <c r="ACT13">
        <f>IF($C12=82,0,ACT12+IF(AND($G12=82,$E12=1),1,0))</f>
        <v/>
      </c>
      <c r="ACU13">
        <f>IF($C12=83,0,ACU12+IF(AND($G12=83,$E12=1),1,0))</f>
        <v/>
      </c>
      <c r="ACV13">
        <f>IF($C12=84,0,ACV12+IF(AND($G12=84,$E12=1),1,0))</f>
        <v/>
      </c>
      <c r="ACW13">
        <f>IF($C12=85,0,ACW12+IF(AND($G12=85,$E12=1),1,0))</f>
        <v/>
      </c>
      <c r="ACX13">
        <f>IF($C12=86,0,ACX12+IF(AND($G12=86,$E12=1),1,0))</f>
        <v/>
      </c>
      <c r="ACY13">
        <f>IF($C12=87,0,ACY12+IF(AND($G12=87,$E12=1),1,0))</f>
        <v/>
      </c>
      <c r="ACZ13">
        <f>IF($C12=88,0,ACZ12+IF(AND($G12=88,$E12=1),1,0))</f>
        <v/>
      </c>
      <c r="ADA13">
        <f>IF($C12=89,0,ADA12+IF(AND($G12=89,$E12=1),1,0))</f>
        <v/>
      </c>
      <c r="ADB13">
        <f>IF($C12=90,0,ADB12+IF(AND($G12=90,$E12=1),1,0))</f>
        <v/>
      </c>
      <c r="ADC13">
        <f>IF($C12=91,0,ADC12+IF(AND($G12=91,$E12=1),1,0))</f>
        <v/>
      </c>
      <c r="ADD13">
        <f>IF($C12=92,0,ADD12+IF(AND($G12=92,$E12=1),1,0))</f>
        <v/>
      </c>
      <c r="ADE13">
        <f>IF($C12=93,0,ADE12+IF(AND($G12=93,$E12=1),1,0))</f>
        <v/>
      </c>
      <c r="ADF13">
        <f>IF($C12=94,0,ADF12+IF(AND($G12=94,$E12=1),1,0))</f>
        <v/>
      </c>
      <c r="ADG13">
        <f>IF($C12=95,0,ADG12+IF(AND($G12=95,$E12=1),1,0))</f>
        <v/>
      </c>
      <c r="ADH13">
        <f>IF($C12=96,0,ADH12+IF(AND($G12=96,$E12=1),1,0))</f>
        <v/>
      </c>
      <c r="ADI13">
        <f>IF($C12=97,0,ADI12+IF(AND($G12=97,$E12=1),1,0))</f>
        <v/>
      </c>
      <c r="ADJ13">
        <f>IF($C12=98,0,ADJ12+IF(AND($G12=98,$E12=1),1,0))</f>
        <v/>
      </c>
      <c r="ADK13">
        <f>IF($C12=99,0,ADK12+IF(AND($G12=99,$E12=1),1,0))</f>
        <v/>
      </c>
      <c r="ADL13">
        <f>IF($C12=100,0,ADL12+IF(AND($G12=100,$E12=1),1,0))</f>
        <v/>
      </c>
      <c r="ADM13">
        <f>IF($C12=101,0,ADM12+IF(AND($G12=101,$E12=1),1,0))</f>
        <v/>
      </c>
      <c r="ADN13">
        <f>IF($C12=102,0,ADN12+IF(AND($G12=102,$E12=1),1,0))</f>
        <v/>
      </c>
      <c r="ADO13">
        <f>IF($C12=103,0,ADO12+IF(AND($G12=103,$E12=1),1,0))</f>
        <v/>
      </c>
      <c r="ADP13">
        <f>IF($C12=104,0,ADP12+IF(AND($G12=104,$E12=1),1,0))</f>
        <v/>
      </c>
      <c r="ADQ13">
        <f>IF($C12=105,0,ADQ12+IF(AND($G12=105,$E12=1),1,0))</f>
        <v/>
      </c>
      <c r="ADR13">
        <f>IF($C12=106,0,ADR12+IF(AND($G12=106,$E12=1),1,0))</f>
        <v/>
      </c>
      <c r="ADS13">
        <f>IF($C12=107,0,ADS12+IF(AND($G12=107,$E12=1),1,0))</f>
        <v/>
      </c>
      <c r="ADT13">
        <f>IF($C12=108,0,ADT12+IF(AND($G12=108,$E12=1),1,0))</f>
        <v/>
      </c>
      <c r="ADU13">
        <f>IF($C12=109,0,ADU12+IF(AND($G12=109,$E12=1),1,0))</f>
        <v/>
      </c>
      <c r="ADV13">
        <f>IF($C12=110,0,ADV12+IF(AND($G12=110,$E12=1),1,0))</f>
        <v/>
      </c>
      <c r="ADW13">
        <f>IF($C12=111,0,ADW12+IF(AND($G12=111,$E12=1),1,0))</f>
        <v/>
      </c>
      <c r="ADX13">
        <f>IF($C12=112,0,ADX12+IF(AND($G12=112,$E12=1),1,0))</f>
        <v/>
      </c>
      <c r="ADY13">
        <f>IF($C12=113,0,ADY12+IF(AND($G12=113,$E12=1),1,0))</f>
        <v/>
      </c>
      <c r="ADZ13">
        <f>IF($C12=114,0,ADZ12+IF(AND($G12=114,$E12=1),1,0))</f>
        <v/>
      </c>
      <c r="AEA13">
        <f>IF($C12=115,0,AEA12+IF(AND($G12=115,$E12=1),1,0))</f>
        <v/>
      </c>
      <c r="AEB13">
        <f>IF($C12=116,0,AEB12+IF(AND($G12=116,$E12=1),1,0))</f>
        <v/>
      </c>
      <c r="AEC13">
        <f>IF($C12=117,0,AEC12+IF(AND($G12=117,$E12=1),1,0))</f>
        <v/>
      </c>
      <c r="AED13">
        <f>IF($C12=118,0,AED12+IF(AND($G12=118,$E12=1),1,0))</f>
        <v/>
      </c>
      <c r="AEE13">
        <f>IF($C12=119,0,AEE12+IF(AND($G12=119,$E12=1),1,0))</f>
        <v/>
      </c>
      <c r="AEF13">
        <f>IF($C12=120,0,AEF12+IF(AND($G12=120,$E12=1),1,0))</f>
        <v/>
      </c>
      <c r="AEG13">
        <f>IF($C12=121,0,AEG12+IF(AND($G12=121,$E12=1),1,0))</f>
        <v/>
      </c>
      <c r="AEH13">
        <f>IF($C12=122,0,AEH12+IF(AND($G12=122,$E12=1),1,0))</f>
        <v/>
      </c>
      <c r="AEI13">
        <f>IF($C12=123,0,AEI12+IF(AND($G12=123,$E12=1),1,0))</f>
        <v/>
      </c>
      <c r="AEJ13">
        <f>IF($C12=124,0,AEJ12+IF(AND($G12=124,$E12=1),1,0))</f>
        <v/>
      </c>
      <c r="AEK13">
        <f>IF($C12=125,0,AEK12+IF(AND($G12=125,$E12=1),1,0))</f>
        <v/>
      </c>
      <c r="AEL13">
        <f>IF($C12=126,0,AEL12+IF(AND($G12=126,$E12=1),1,0))</f>
        <v/>
      </c>
      <c r="AEM13">
        <f>IF($C12=127,0,AEM12+IF(AND($G12=127,$E12=1),1,0))</f>
        <v/>
      </c>
      <c r="AEN13">
        <f>IF($C12=128,0,AEN12+IF(AND($G12=128,$E12=1),1,0))</f>
        <v/>
      </c>
      <c r="AEO13">
        <f>IF($C12=129,0,AEO12+IF(AND($G12=129,$E12=1),1,0))</f>
        <v/>
      </c>
      <c r="AEP13">
        <f>IF($C12=130,0,AEP12+IF(AND($G12=130,$E12=1),1,0))</f>
        <v/>
      </c>
      <c r="AEQ13">
        <f>IF($C12=131,0,AEQ12+IF(AND($G12=131,$E12=1),1,0))</f>
        <v/>
      </c>
      <c r="AER13">
        <f>IF($C12=132,0,AER12+IF(AND($G12=132,$E12=1),1,0))</f>
        <v/>
      </c>
      <c r="AES13">
        <f>IF($C12=133,0,AES12+IF(AND($G12=133,$E12=1),1,0))</f>
        <v/>
      </c>
      <c r="AET13">
        <f>IF($C12=134,0,AET12+IF(AND($G12=134,$E12=1),1,0))</f>
        <v/>
      </c>
      <c r="AEU13">
        <f>IF($C12=135,0,AEU12+IF(AND($G12=135,$E12=1),1,0))</f>
        <v/>
      </c>
      <c r="AEV13">
        <f>IF($C12=136,0,AEV12+IF(AND($G12=136,$E12=1),1,0))</f>
        <v/>
      </c>
      <c r="AEW13">
        <f>IF($C12=137,0,AEW12+IF(AND($G12=137,$E12=1),1,0))</f>
        <v/>
      </c>
      <c r="AEX13">
        <f>IF($C12=138,0,AEX12+IF(AND($G12=138,$E12=1),1,0))</f>
        <v/>
      </c>
      <c r="AEY13">
        <f>IF($C12=139,0,AEY12+IF(AND($G12=139,$E12=1),1,0))</f>
        <v/>
      </c>
      <c r="AEZ13">
        <f>IF($C12=140,0,AEZ12+IF(AND($G12=140,$E12=1),1,0))</f>
        <v/>
      </c>
      <c r="AFA13">
        <f>IF($C12=141,0,AFA12+IF(AND($G12=141,$E12=1),1,0))</f>
        <v/>
      </c>
      <c r="AFB13">
        <f>IF($C12=142,0,AFB12+IF(AND($G12=142,$E12=1),1,0))</f>
        <v/>
      </c>
      <c r="AFC13">
        <f>IF($C12=143,0,AFC12+IF(AND($G12=143,$E12=1),1,0))</f>
        <v/>
      </c>
      <c r="AFD13">
        <f>IF($C12=144,0,AFD12+IF(AND($G12=144,$E12=1),1,0))</f>
        <v/>
      </c>
      <c r="AFF13">
        <f>IF('calcA'!D$106=1,DC13+ZR13,1)</f>
        <v/>
      </c>
      <c r="AFG13">
        <f>IF('calcA'!E$106=1,DD13+ZS13,1)</f>
        <v/>
      </c>
      <c r="AFH13">
        <f>IF('calcA'!F$106=1,DE13+ZT13,1)</f>
        <v/>
      </c>
      <c r="AFI13">
        <f>IF('calcA'!G$106=1,DF13+ZU13,1)</f>
        <v/>
      </c>
      <c r="AFJ13">
        <f>IF('calcA'!H$106=1,DG13+ZV13,1)</f>
        <v/>
      </c>
      <c r="AFK13">
        <f>IF('calcA'!I$106=1,DH13+ZW13,1)</f>
        <v/>
      </c>
      <c r="AFL13">
        <f>IF('calcA'!J$106=1,DI13+ZX13,1)</f>
        <v/>
      </c>
      <c r="AFM13">
        <f>IF('calcA'!K$106=1,DJ13+ZY13,1)</f>
        <v/>
      </c>
      <c r="AFN13">
        <f>IF('calcA'!L$106=1,DK13+ZZ13,1)</f>
        <v/>
      </c>
      <c r="AFO13">
        <f>IF('calcA'!M$106=1,DL13+AAA13,1)</f>
        <v/>
      </c>
      <c r="AFP13">
        <f>IF('calcA'!N$106=1,DM13+AAB13,1)</f>
        <v/>
      </c>
      <c r="AFQ13">
        <f>IF('calcA'!O$106=1,DN13+AAC13,1)</f>
        <v/>
      </c>
      <c r="AFR13">
        <f>IF('calcA'!P$106=1,DO13+AAD13,1)</f>
        <v/>
      </c>
      <c r="AFS13">
        <f>IF('calcA'!Q$106=1,DP13+AAE13,1)</f>
        <v/>
      </c>
      <c r="AFT13">
        <f>IF('calcA'!R$106=1,DQ13+AAF13,1)</f>
        <v/>
      </c>
      <c r="AFU13">
        <f>IF('calcA'!S$106=1,DR13+AAG13,1)</f>
        <v/>
      </c>
      <c r="AFV13">
        <f>IF('calcA'!T$106=1,DS13+AAH13,1)</f>
        <v/>
      </c>
      <c r="AFW13">
        <f>IF('calcA'!U$106=1,DT13+AAI13,1)</f>
        <v/>
      </c>
      <c r="AFX13">
        <f>IF('calcA'!V$106=1,DU13+AAJ13,1)</f>
        <v/>
      </c>
      <c r="AFY13">
        <f>IF('calcA'!W$106=1,DV13+AAK13,1)</f>
        <v/>
      </c>
      <c r="AFZ13">
        <f>IF('calcA'!X$106=1,DW13+AAL13,1)</f>
        <v/>
      </c>
      <c r="AGA13">
        <f>IF('calcA'!Y$106=1,DX13+AAM13,1)</f>
        <v/>
      </c>
      <c r="AGB13">
        <f>IF('calcA'!Z$106=1,DY13+AAN13,1)</f>
        <v/>
      </c>
      <c r="AGC13">
        <f>IF('calcA'!AA$106=1,DZ13+AAO13,1)</f>
        <v/>
      </c>
      <c r="AGD13">
        <f>IF('calcA'!AB$106=1,EA13+AAP13,1)</f>
        <v/>
      </c>
      <c r="AGE13">
        <f>IF('calcA'!AC$106=1,EB13+AAQ13,1)</f>
        <v/>
      </c>
      <c r="AGF13">
        <f>IF('calcA'!AD$106=1,EC13+AAR13,1)</f>
        <v/>
      </c>
      <c r="AGG13">
        <f>IF('calcA'!AE$106=1,ED13+AAS13,1)</f>
        <v/>
      </c>
      <c r="AGH13">
        <f>IF('calcA'!AF$106=1,EE13+AAT13,1)</f>
        <v/>
      </c>
      <c r="AGI13">
        <f>IF('calcA'!AG$106=1,EF13+AAU13,1)</f>
        <v/>
      </c>
      <c r="AGJ13">
        <f>IF('calcA'!AH$106=1,EG13+AAV13,1)</f>
        <v/>
      </c>
      <c r="AGK13">
        <f>IF('calcA'!AI$106=1,EH13+AAW13,1)</f>
        <v/>
      </c>
      <c r="AGL13">
        <f>IF('calcA'!AJ$106=1,EI13+AAX13,1)</f>
        <v/>
      </c>
      <c r="AGM13">
        <f>IF('calcA'!AK$106=1,EJ13+AAY13,1)</f>
        <v/>
      </c>
      <c r="AGN13">
        <f>IF('calcA'!AL$106=1,EK13+AAZ13,1)</f>
        <v/>
      </c>
      <c r="AGO13">
        <f>IF('calcA'!AM$106=1,EL13+ABA13,1)</f>
        <v/>
      </c>
      <c r="AGP13">
        <f>IF('calcA'!AN$106=1,EM13+ABB13,1)</f>
        <v/>
      </c>
      <c r="AGQ13">
        <f>IF('calcA'!AO$106=1,EN13+ABC13,1)</f>
        <v/>
      </c>
      <c r="AGR13">
        <f>IF('calcA'!AP$106=1,EO13+ABD13,1)</f>
        <v/>
      </c>
      <c r="AGS13">
        <f>IF('calcA'!AQ$106=1,EP13+ABE13,1)</f>
        <v/>
      </c>
      <c r="AGT13">
        <f>IF('calcA'!AR$106=1,EQ13+ABF13,1)</f>
        <v/>
      </c>
      <c r="AGU13">
        <f>IF('calcA'!AS$106=1,ER13+ABG13,1)</f>
        <v/>
      </c>
      <c r="AGV13">
        <f>IF('calcA'!AT$106=1,ES13+ABH13,1)</f>
        <v/>
      </c>
      <c r="AGW13">
        <f>IF('calcA'!AU$106=1,ET13+ABI13,1)</f>
        <v/>
      </c>
      <c r="AGX13">
        <f>IF('calcA'!AV$106=1,EU13+ABJ13,1)</f>
        <v/>
      </c>
      <c r="AGY13">
        <f>IF('calcA'!AW$106=1,EV13+ABK13,1)</f>
        <v/>
      </c>
      <c r="AGZ13">
        <f>IF('calcA'!AX$106=1,EW13+ABL13,1)</f>
        <v/>
      </c>
      <c r="AHA13">
        <f>IF('calcA'!AY$106=1,EX13+ABM13,1)</f>
        <v/>
      </c>
      <c r="AHB13">
        <f>IF('calcA'!AZ$106=1,EY13+ABN13,1)</f>
        <v/>
      </c>
      <c r="AHC13">
        <f>IF('calcA'!BA$106=1,EZ13+ABO13,1)</f>
        <v/>
      </c>
      <c r="AHD13">
        <f>IF('calcA'!BB$106=1,FA13+ABP13,1)</f>
        <v/>
      </c>
      <c r="AHE13">
        <f>IF('calcA'!BC$106=1,FB13+ABQ13,1)</f>
        <v/>
      </c>
      <c r="AHF13">
        <f>IF('calcA'!BD$106=1,FC13+ABR13,1)</f>
        <v/>
      </c>
      <c r="AHG13">
        <f>IF('calcA'!BE$106=1,FD13+ABS13,1)</f>
        <v/>
      </c>
      <c r="AHH13">
        <f>IF('calcA'!BF$106=1,FE13+ABT13,1)</f>
        <v/>
      </c>
      <c r="AHI13">
        <f>IF('calcA'!BG$106=1,FF13+ABU13,1)</f>
        <v/>
      </c>
      <c r="AHJ13">
        <f>IF('calcA'!BH$106=1,FG13+ABV13,1)</f>
        <v/>
      </c>
      <c r="AHK13">
        <f>IF('calcA'!BI$106=1,FH13+ABW13,1)</f>
        <v/>
      </c>
      <c r="AHL13">
        <f>IF('calcA'!BJ$106=1,FI13+ABX13,1)</f>
        <v/>
      </c>
      <c r="AHM13">
        <f>IF('calcA'!BK$106=1,FJ13+ABY13,1)</f>
        <v/>
      </c>
      <c r="AHN13">
        <f>IF('calcA'!BL$106=1,FK13+ABZ13,1)</f>
        <v/>
      </c>
      <c r="AHO13">
        <f>IF('calcA'!BM$106=1,FL13+ACA13,1)</f>
        <v/>
      </c>
      <c r="AHP13">
        <f>IF('calcA'!BN$106=1,FM13+ACB13,1)</f>
        <v/>
      </c>
      <c r="AHQ13">
        <f>IF('calcA'!BO$106=1,FN13+ACC13,1)</f>
        <v/>
      </c>
      <c r="AHR13">
        <f>IF('calcA'!BP$106=1,FO13+ACD13,1)</f>
        <v/>
      </c>
      <c r="AHS13">
        <f>IF('calcA'!BQ$106=1,FP13+ACE13,1)</f>
        <v/>
      </c>
      <c r="AHT13">
        <f>IF('calcA'!BR$106=1,FQ13+ACF13,1)</f>
        <v/>
      </c>
      <c r="AHU13">
        <f>IF('calcA'!BS$106=1,FR13+ACG13,1)</f>
        <v/>
      </c>
      <c r="AHV13">
        <f>IF('calcA'!BT$106=1,FS13+ACH13,1)</f>
        <v/>
      </c>
      <c r="AHW13">
        <f>IF('calcA'!BU$106=1,FT13+ACI13,1)</f>
        <v/>
      </c>
      <c r="AHX13">
        <f>IF('calcA'!BV$106=1,FU13+ACJ13,1)</f>
        <v/>
      </c>
      <c r="AHY13">
        <f>IF('calcA'!BW$106=1,FV13+ACK13,1)</f>
        <v/>
      </c>
      <c r="AHZ13">
        <f>IF('calcA'!BX$106=1,FW13+ACL13,1)</f>
        <v/>
      </c>
      <c r="AIA13">
        <f>IF('calcA'!BY$106=1,FX13+ACM13,1)</f>
        <v/>
      </c>
      <c r="AIB13">
        <f>IF('calcA'!BZ$106=1,FY13+ACN13,1)</f>
        <v/>
      </c>
      <c r="AIC13">
        <f>IF('calcA'!CA$106=1,FZ13+ACO13,1)</f>
        <v/>
      </c>
      <c r="AID13">
        <f>IF('calcA'!CB$106=1,GA13+ACP13,1)</f>
        <v/>
      </c>
      <c r="AIE13">
        <f>IF('calcA'!CC$106=1,GB13+ACQ13,1)</f>
        <v/>
      </c>
      <c r="AIF13">
        <f>IF('calcA'!CD$106=1,GC13+ACR13,1)</f>
        <v/>
      </c>
      <c r="AIG13">
        <f>IF('calcA'!CE$106=1,GD13+ACS13,1)</f>
        <v/>
      </c>
      <c r="AIH13">
        <f>IF('calcA'!CF$106=1,GE13+ACT13,1)</f>
        <v/>
      </c>
      <c r="AII13">
        <f>IF('calcA'!CG$106=1,GF13+ACU13,1)</f>
        <v/>
      </c>
      <c r="AIJ13">
        <f>IF('calcA'!CH$106=1,GG13+ACV13,1)</f>
        <v/>
      </c>
      <c r="AIK13">
        <f>IF('calcA'!CI$106=1,GH13+ACW13,1)</f>
        <v/>
      </c>
      <c r="AIL13">
        <f>IF('calcA'!CJ$106=1,GI13+ACX13,1)</f>
        <v/>
      </c>
      <c r="AIM13">
        <f>IF('calcA'!CK$106=1,GJ13+ACY13,1)</f>
        <v/>
      </c>
      <c r="AIN13">
        <f>IF('calcA'!CL$106=1,GK13+ACZ13,1)</f>
        <v/>
      </c>
      <c r="AIO13">
        <f>IF('calcA'!CM$106=1,GL13+ADA13,1)</f>
        <v/>
      </c>
      <c r="AIP13">
        <f>IF('calcA'!CN$106=1,GM13+ADB13,1)</f>
        <v/>
      </c>
      <c r="AIQ13">
        <f>IF('calcA'!CO$106=1,GN13+ADC13,1)</f>
        <v/>
      </c>
      <c r="AIR13">
        <f>IF('calcA'!CP$106=1,GO13+ADD13,1)</f>
        <v/>
      </c>
      <c r="AIS13">
        <f>IF('calcA'!CQ$106=1,GP13+ADE13,1)</f>
        <v/>
      </c>
      <c r="AIT13">
        <f>IF('calcA'!CR$106=1,GQ13+ADF13,1)</f>
        <v/>
      </c>
      <c r="AIU13">
        <f>IF('calcA'!CS$106=1,GR13+ADG13,1)</f>
        <v/>
      </c>
      <c r="AIV13">
        <f>IF('calcA'!CT$106=1,GS13+ADH13,1)</f>
        <v/>
      </c>
      <c r="AIW13">
        <f>IF('calcA'!CU$106=1,GT13+ADI13,1)</f>
        <v/>
      </c>
      <c r="AIX13">
        <f>IF('calcA'!CV$106=1,GU13+ADJ13,1)</f>
        <v/>
      </c>
      <c r="AIY13">
        <f>IF('calcA'!CW$106=1,GV13+ADK13,1)</f>
        <v/>
      </c>
      <c r="AIZ13">
        <f>IF('calcA'!CX$106=1,GW13+ADL13,1)</f>
        <v/>
      </c>
      <c r="AJA13">
        <f>IF('calcA'!CY$106=1,GX13+ADM13,1)</f>
        <v/>
      </c>
      <c r="AJB13">
        <f>IF('calcA'!CZ$106=1,GY13+ADN13,1)</f>
        <v/>
      </c>
      <c r="AJC13">
        <f>IF('calcA'!DA$106=1,GZ13+ADO13,1)</f>
        <v/>
      </c>
      <c r="AJD13">
        <f>IF('calcA'!DB$106=1,HA13+ADP13,1)</f>
        <v/>
      </c>
      <c r="AJE13">
        <f>IF('calcA'!DC$106=1,HB13+ADQ13,1)</f>
        <v/>
      </c>
      <c r="AJF13">
        <f>IF('calcA'!DD$106=1,HC13+ADR13,1)</f>
        <v/>
      </c>
      <c r="AJG13">
        <f>IF('calcA'!DE$106=1,HD13+ADS13,1)</f>
        <v/>
      </c>
      <c r="AJH13">
        <f>IF('calcA'!DF$106=1,HE13+ADT13,1)</f>
        <v/>
      </c>
      <c r="AJI13">
        <f>IF('calcA'!DG$106=1,HF13+ADU13,1)</f>
        <v/>
      </c>
      <c r="AJJ13">
        <f>IF('calcA'!DH$106=1,HG13+ADV13,1)</f>
        <v/>
      </c>
      <c r="AJK13">
        <f>IF('calcA'!DI$106=1,HH13+ADW13,1)</f>
        <v/>
      </c>
      <c r="AJL13">
        <f>IF('calcA'!DJ$106=1,HI13+ADX13,1)</f>
        <v/>
      </c>
      <c r="AJM13">
        <f>IF('calcA'!DK$106=1,HJ13+ADY13,1)</f>
        <v/>
      </c>
      <c r="AJN13">
        <f>IF('calcA'!DL$106=1,HK13+ADZ13,1)</f>
        <v/>
      </c>
      <c r="AJO13">
        <f>IF('calcA'!DM$106=1,HL13+AEA13,1)</f>
        <v/>
      </c>
      <c r="AJP13">
        <f>IF('calcA'!DN$106=1,HM13+AEB13,1)</f>
        <v/>
      </c>
      <c r="AJQ13">
        <f>IF('calcA'!DO$106=1,HN13+AEC13,1)</f>
        <v/>
      </c>
      <c r="AJR13">
        <f>IF('calcA'!DP$106=1,HO13+AED13,1)</f>
        <v/>
      </c>
      <c r="AJS13">
        <f>IF('calcA'!DQ$106=1,HP13+AEE13,1)</f>
        <v/>
      </c>
      <c r="AJT13">
        <f>IF('calcA'!DR$106=1,HQ13+AEF13,1)</f>
        <v/>
      </c>
      <c r="AJU13">
        <f>IF('calcA'!DS$106=1,HR13+AEG13,1)</f>
        <v/>
      </c>
      <c r="AJV13">
        <f>IF('calcA'!DT$106=1,HS13+AEH13,1)</f>
        <v/>
      </c>
      <c r="AJW13">
        <f>IF('calcA'!DU$106=1,HT13+AEI13,1)</f>
        <v/>
      </c>
      <c r="AJX13">
        <f>IF('calcA'!DV$106=1,HU13+AEJ13,1)</f>
        <v/>
      </c>
      <c r="AJY13">
        <f>IF('calcA'!DW$106=1,HV13+AEK13,1)</f>
        <v/>
      </c>
      <c r="AJZ13">
        <f>IF('calcA'!DX$106=1,HW13+AEL13,1)</f>
        <v/>
      </c>
      <c r="AKA13">
        <f>IF('calcA'!DY$106=1,HX13+AEM13,1)</f>
        <v/>
      </c>
      <c r="AKB13">
        <f>IF('calcA'!DZ$106=1,HY13+AEN13,1)</f>
        <v/>
      </c>
      <c r="AKC13">
        <f>IF('calcA'!EA$106=1,HZ13+AEO13,1)</f>
        <v/>
      </c>
      <c r="AKD13">
        <f>IF('calcA'!EB$106=1,IA13+AEP13,1)</f>
        <v/>
      </c>
      <c r="AKE13">
        <f>IF('calcA'!EC$106=1,IB13+AEQ13,1)</f>
        <v/>
      </c>
      <c r="AKF13">
        <f>IF('calcA'!ED$106=1,IC13+AER13,1)</f>
        <v/>
      </c>
      <c r="AKG13">
        <f>IF('calcA'!EE$106=1,ID13+AES13,1)</f>
        <v/>
      </c>
      <c r="AKH13">
        <f>IF('calcA'!EF$106=1,IE13+AET13,1)</f>
        <v/>
      </c>
      <c r="AKI13">
        <f>IF('calcA'!EG$106=1,IF13+AEU13,1)</f>
        <v/>
      </c>
      <c r="AKJ13">
        <f>IF('calcA'!EH$106=1,IG13+AEV13,1)</f>
        <v/>
      </c>
      <c r="AKK13">
        <f>IF('calcA'!EI$106=1,IH13+AEW13,1)</f>
        <v/>
      </c>
      <c r="AKL13">
        <f>IF('calcA'!EJ$106=1,II13+AEX13,1)</f>
        <v/>
      </c>
      <c r="AKM13">
        <f>IF('calcA'!EK$106=1,IJ13+AEY13,1)</f>
        <v/>
      </c>
      <c r="AKN13">
        <f>IF('calcA'!EL$106=1,IK13+AEZ13,1)</f>
        <v/>
      </c>
      <c r="AKO13">
        <f>IF('calcA'!EM$106=1,IL13+AFA13,1)</f>
        <v/>
      </c>
      <c r="AKP13">
        <f>IF('calcA'!EN$106=1,IM13+AFB13,1)</f>
        <v/>
      </c>
      <c r="AKQ13">
        <f>IF('calcA'!EO$106=1,IN13+AFC13,1)</f>
        <v/>
      </c>
      <c r="AKR13">
        <f>IF('calcA'!EP$106=1,IO13+AFD13,1)</f>
        <v/>
      </c>
      <c r="AKS13" t="n">
        <v>1</v>
      </c>
    </row>
    <row r="14">
      <c r="A14" t="n">
        <v>12</v>
      </c>
      <c r="B14">
        <f>IF(MIN(BM14:CZ14)&gt;=1000000000,0,MATCH(MIN(BM14:CZ14),BM14:CZ14,0))</f>
        <v/>
      </c>
      <c r="C14">
        <f>IF(MIN(OF14:TS14)&gt;=1000000000,0,MATCH(MIN(OF14:TS14),OF14:TS14,0))</f>
        <v/>
      </c>
      <c r="D14">
        <f>IF(C14&gt;0,INDEX('calcA'!$D$5:$EQ$5,C14),0)</f>
        <v/>
      </c>
      <c r="E14">
        <f>IF(B14=0,0,INDEX('calcA'!$IQ$10:$IQ$54,B14))</f>
        <v/>
      </c>
      <c r="F14">
        <f>IF(B14=0,0,INDEX('calcA'!$IP$10:$IP$54,B14))</f>
        <v/>
      </c>
      <c r="G14">
        <f>IF(AND(C14&gt;0,E14&gt;0),IF(AND(INDEX('calcA'!$D$106:$EQ$106,C14)=1,INDEX($IQ14:$OD14,C14)=1),C14+1,0),0)</f>
        <v/>
      </c>
      <c r="H14">
        <f>IF(B14=0,0,INDEX('calcA'!$IW$10:$IW$54,B14))</f>
        <v/>
      </c>
      <c r="U14">
        <f>IF(B14=0,0,INDEX('calcA'!$IX$10:$IX$54,B14))</f>
        <v/>
      </c>
      <c r="V14">
        <f>IF(B14=0,0,INDEX('calcA'!$JF$10:$JF$54,B14))</f>
        <v/>
      </c>
      <c r="W14">
        <f>IF(B14=0,0,IF(IF(E14=2,SUMPRODUCT(INDEX('calcA'!$D$60:$EQ$99,B14,0),$DB14:$IO14,$IQ14:$OD14),SUMPRODUCT(INDEX('calcA'!$D$60:$EQ$99,B14,0),$DB14:$IO14))=0,1,0))</f>
        <v/>
      </c>
      <c r="X14">
        <f>MAX(X13,IF($B13=1,1,0))</f>
        <v/>
      </c>
      <c r="Y14">
        <f>MAX(Y13,IF($B13=2,1,0))</f>
        <v/>
      </c>
      <c r="Z14">
        <f>MAX(Z13,IF($B13=3,1,0))</f>
        <v/>
      </c>
      <c r="AA14">
        <f>MAX(AA13,IF($B13=4,1,0))</f>
        <v/>
      </c>
      <c r="AB14">
        <f>MAX(AB13,IF($B13=5,1,0))</f>
        <v/>
      </c>
      <c r="AC14">
        <f>MAX(AC13,IF($B13=6,1,0))</f>
        <v/>
      </c>
      <c r="AD14">
        <f>MAX(AD13,IF($B13=7,1,0))</f>
        <v/>
      </c>
      <c r="AE14">
        <f>MAX(AE13,IF($B13=8,1,0))</f>
        <v/>
      </c>
      <c r="AF14">
        <f>MAX(AF13,IF($B13=9,1,0))</f>
        <v/>
      </c>
      <c r="AG14">
        <f>MAX(AG13,IF($B13=10,1,0))</f>
        <v/>
      </c>
      <c r="AH14">
        <f>MAX(AH13,IF($B13=11,1,0))</f>
        <v/>
      </c>
      <c r="AI14">
        <f>MAX(AI13,IF($B13=12,1,0))</f>
        <v/>
      </c>
      <c r="AJ14">
        <f>MAX(AJ13,IF($B13=13,1,0))</f>
        <v/>
      </c>
      <c r="AK14">
        <f>MAX(AK13,IF($B13=14,1,0))</f>
        <v/>
      </c>
      <c r="AL14">
        <f>MAX(AL13,IF($B13=15,1,0))</f>
        <v/>
      </c>
      <c r="AM14">
        <f>MAX(AM13,IF($B13=16,1,0))</f>
        <v/>
      </c>
      <c r="AN14">
        <f>MAX(AN13,IF($B13=17,1,0))</f>
        <v/>
      </c>
      <c r="AO14">
        <f>MAX(AO13,IF($B13=18,1,0))</f>
        <v/>
      </c>
      <c r="AP14">
        <f>MAX(AP13,IF($B13=19,1,0))</f>
        <v/>
      </c>
      <c r="AQ14">
        <f>MAX(AQ13,IF($B13=20,1,0))</f>
        <v/>
      </c>
      <c r="AR14">
        <f>MAX(AR13,IF($B13=21,1,0))</f>
        <v/>
      </c>
      <c r="AS14">
        <f>MAX(AS13,IF($B13=22,1,0))</f>
        <v/>
      </c>
      <c r="AT14">
        <f>MAX(AT13,IF($B13=23,1,0))</f>
        <v/>
      </c>
      <c r="AU14">
        <f>MAX(AU13,IF($B13=24,1,0))</f>
        <v/>
      </c>
      <c r="AV14">
        <f>MAX(AV13,IF($B13=25,1,0))</f>
        <v/>
      </c>
      <c r="AW14">
        <f>MAX(AW13,IF($B13=26,1,0))</f>
        <v/>
      </c>
      <c r="AX14">
        <f>MAX(AX13,IF($B13=27,1,0))</f>
        <v/>
      </c>
      <c r="AY14">
        <f>MAX(AY13,IF($B13=28,1,0))</f>
        <v/>
      </c>
      <c r="AZ14">
        <f>MAX(AZ13,IF($B13=29,1,0))</f>
        <v/>
      </c>
      <c r="BA14">
        <f>MAX(BA13,IF($B13=30,1,0))</f>
        <v/>
      </c>
      <c r="BB14">
        <f>MAX(BB13,IF($B13=31,1,0))</f>
        <v/>
      </c>
      <c r="BC14">
        <f>MAX(BC13,IF($B13=32,1,0))</f>
        <v/>
      </c>
      <c r="BD14">
        <f>MAX(BD13,IF($B13=33,1,0))</f>
        <v/>
      </c>
      <c r="BE14">
        <f>MAX(BE13,IF($B13=34,1,0))</f>
        <v/>
      </c>
      <c r="BF14">
        <f>MAX(BF13,IF($B13=35,1,0))</f>
        <v/>
      </c>
      <c r="BG14">
        <f>MAX(BG13,IF($B13=36,1,0))</f>
        <v/>
      </c>
      <c r="BH14">
        <f>MAX(BH13,IF($B13=37,1,0))</f>
        <v/>
      </c>
      <c r="BI14">
        <f>MAX(BI13,IF($B13=38,1,0))</f>
        <v/>
      </c>
      <c r="BJ14">
        <f>MAX(BJ13,IF($B13=39,1,0))</f>
        <v/>
      </c>
      <c r="BK14">
        <f>MAX(BK13,IF($B13=40,1,0))</f>
        <v/>
      </c>
      <c r="BM14">
        <f>IF(OR(X14=1,calcA!$A$6=0),1000000000,IF('calcA'!$JF$10=1,0,100000000)+IF('calcA'!$IQ$10=2,SUMPRODUCT('calcA'!$D$60:$EQ$60,$DB14:$IO14,$IQ14:$OD14)*1000+SUMPRODUCT('calcA'!$D$60:$EQ$60,$DB14:$IO14+$ZQ14:$AFD14,$AFF14:$AKS14),SUMPRODUCT('calcA'!$D$60:$EQ$60,$DB14:$IO14*1001+$ZQ14:$AFD14))*100+1)</f>
        <v/>
      </c>
      <c r="BN14">
        <f>IF(OR(Y14=1,calcA!$A$6=0),1000000000,IF('calcA'!$JF$11=1,0,100000000)+IF('calcA'!$IQ$11=2,SUMPRODUCT('calcA'!$D$61:$EQ$61,$DB14:$IO14,$IQ14:$OD14)*1000+SUMPRODUCT('calcA'!$D$61:$EQ$61,$DB14:$IO14+$ZQ14:$AFD14,$AFF14:$AKS14),SUMPRODUCT('calcA'!$D$61:$EQ$61,$DB14:$IO14*1001+$ZQ14:$AFD14))*100+2)</f>
        <v/>
      </c>
      <c r="BO14">
        <f>IF(OR(Z14=1,calcA!$A$6=0),1000000000,IF('calcA'!$JF$12=1,0,100000000)+IF('calcA'!$IQ$12=2,SUMPRODUCT('calcA'!$D$62:$EQ$62,$DB14:$IO14,$IQ14:$OD14)*1000+SUMPRODUCT('calcA'!$D$62:$EQ$62,$DB14:$IO14+$ZQ14:$AFD14,$AFF14:$AKS14),SUMPRODUCT('calcA'!$D$62:$EQ$62,$DB14:$IO14*1001+$ZQ14:$AFD14))*100+3)</f>
        <v/>
      </c>
      <c r="BP14">
        <f>IF(OR(AA14=1,calcA!$A$6=0),1000000000,IF('calcA'!$JF$13=1,0,100000000)+IF('calcA'!$IQ$13=2,SUMPRODUCT('calcA'!$D$63:$EQ$63,$DB14:$IO14,$IQ14:$OD14)*1000+SUMPRODUCT('calcA'!$D$63:$EQ$63,$DB14:$IO14+$ZQ14:$AFD14,$AFF14:$AKS14),SUMPRODUCT('calcA'!$D$63:$EQ$63,$DB14:$IO14*1001+$ZQ14:$AFD14))*100+4)</f>
        <v/>
      </c>
      <c r="BQ14">
        <f>IF(OR(AB14=1,calcA!$A$6=0),1000000000,IF('calcA'!$JF$14=1,0,100000000)+IF('calcA'!$IQ$14=2,SUMPRODUCT('calcA'!$D$64:$EQ$64,$DB14:$IO14,$IQ14:$OD14)*1000+SUMPRODUCT('calcA'!$D$64:$EQ$64,$DB14:$IO14+$ZQ14:$AFD14,$AFF14:$AKS14),SUMPRODUCT('calcA'!$D$64:$EQ$64,$DB14:$IO14*1001+$ZQ14:$AFD14))*100+5)</f>
        <v/>
      </c>
      <c r="BR14">
        <f>IF(OR(AC14=1,calcA!$A$6=0),1000000000,IF('calcA'!$JF$15=1,0,100000000)+IF('calcA'!$IQ$15=2,SUMPRODUCT('calcA'!$D$65:$EQ$65,$DB14:$IO14,$IQ14:$OD14)*1000+SUMPRODUCT('calcA'!$D$65:$EQ$65,$DB14:$IO14+$ZQ14:$AFD14,$AFF14:$AKS14),SUMPRODUCT('calcA'!$D$65:$EQ$65,$DB14:$IO14*1001+$ZQ14:$AFD14))*100+6)</f>
        <v/>
      </c>
      <c r="BS14">
        <f>IF(OR(AD14=1,calcA!$A$6=0),1000000000,IF('calcA'!$JF$16=1,0,100000000)+IF('calcA'!$IQ$16=2,SUMPRODUCT('calcA'!$D$66:$EQ$66,$DB14:$IO14,$IQ14:$OD14)*1000+SUMPRODUCT('calcA'!$D$66:$EQ$66,$DB14:$IO14+$ZQ14:$AFD14,$AFF14:$AKS14),SUMPRODUCT('calcA'!$D$66:$EQ$66,$DB14:$IO14*1001+$ZQ14:$AFD14))*100+7)</f>
        <v/>
      </c>
      <c r="BT14">
        <f>IF(OR(AE14=1,calcA!$A$6=0),1000000000,IF('calcA'!$JF$17=1,0,100000000)+IF('calcA'!$IQ$17=2,SUMPRODUCT('calcA'!$D$67:$EQ$67,$DB14:$IO14,$IQ14:$OD14)*1000+SUMPRODUCT('calcA'!$D$67:$EQ$67,$DB14:$IO14+$ZQ14:$AFD14,$AFF14:$AKS14),SUMPRODUCT('calcA'!$D$67:$EQ$67,$DB14:$IO14*1001+$ZQ14:$AFD14))*100+8)</f>
        <v/>
      </c>
      <c r="BU14">
        <f>IF(OR(AF14=1,calcA!$A$6=0),1000000000,IF('calcA'!$JF$18=1,0,100000000)+IF('calcA'!$IQ$18=2,SUMPRODUCT('calcA'!$D$68:$EQ$68,$DB14:$IO14,$IQ14:$OD14)*1000+SUMPRODUCT('calcA'!$D$68:$EQ$68,$DB14:$IO14+$ZQ14:$AFD14,$AFF14:$AKS14),SUMPRODUCT('calcA'!$D$68:$EQ$68,$DB14:$IO14*1001+$ZQ14:$AFD14))*100+9)</f>
        <v/>
      </c>
      <c r="BV14">
        <f>IF(OR(AG14=1,calcA!$A$6=0),1000000000,IF('calcA'!$JF$19=1,0,100000000)+IF('calcA'!$IQ$19=2,SUMPRODUCT('calcA'!$D$69:$EQ$69,$DB14:$IO14,$IQ14:$OD14)*1000+SUMPRODUCT('calcA'!$D$69:$EQ$69,$DB14:$IO14+$ZQ14:$AFD14,$AFF14:$AKS14),SUMPRODUCT('calcA'!$D$69:$EQ$69,$DB14:$IO14*1001+$ZQ14:$AFD14))*100+10)</f>
        <v/>
      </c>
      <c r="BW14">
        <f>IF(OR(AH14=1,calcA!$A$6=0),1000000000,IF('calcA'!$JF$20=1,0,100000000)+IF('calcA'!$IQ$20=2,SUMPRODUCT('calcA'!$D$70:$EQ$70,$DB14:$IO14,$IQ14:$OD14)*1000+SUMPRODUCT('calcA'!$D$70:$EQ$70,$DB14:$IO14+$ZQ14:$AFD14,$AFF14:$AKS14),SUMPRODUCT('calcA'!$D$70:$EQ$70,$DB14:$IO14*1001+$ZQ14:$AFD14))*100+11)</f>
        <v/>
      </c>
      <c r="BX14">
        <f>IF(OR(AI14=1,calcA!$A$6=0),1000000000,IF('calcA'!$JF$21=1,0,100000000)+IF('calcA'!$IQ$21=2,SUMPRODUCT('calcA'!$D$71:$EQ$71,$DB14:$IO14,$IQ14:$OD14)*1000+SUMPRODUCT('calcA'!$D$71:$EQ$71,$DB14:$IO14+$ZQ14:$AFD14,$AFF14:$AKS14),SUMPRODUCT('calcA'!$D$71:$EQ$71,$DB14:$IO14*1001+$ZQ14:$AFD14))*100+12)</f>
        <v/>
      </c>
      <c r="BY14">
        <f>IF(OR(AJ14=1,calcA!$A$6=0),1000000000,IF('calcA'!$JF$22=1,0,100000000)+IF('calcA'!$IQ$22=2,SUMPRODUCT('calcA'!$D$72:$EQ$72,$DB14:$IO14,$IQ14:$OD14)*1000+SUMPRODUCT('calcA'!$D$72:$EQ$72,$DB14:$IO14+$ZQ14:$AFD14,$AFF14:$AKS14),SUMPRODUCT('calcA'!$D$72:$EQ$72,$DB14:$IO14*1001+$ZQ14:$AFD14))*100+13)</f>
        <v/>
      </c>
      <c r="BZ14">
        <f>IF(OR(AK14=1,calcA!$A$6=0),1000000000,IF('calcA'!$JF$23=1,0,100000000)+IF('calcA'!$IQ$23=2,SUMPRODUCT('calcA'!$D$73:$EQ$73,$DB14:$IO14,$IQ14:$OD14)*1000+SUMPRODUCT('calcA'!$D$73:$EQ$73,$DB14:$IO14+$ZQ14:$AFD14,$AFF14:$AKS14),SUMPRODUCT('calcA'!$D$73:$EQ$73,$DB14:$IO14*1001+$ZQ14:$AFD14))*100+14)</f>
        <v/>
      </c>
      <c r="CA14">
        <f>IF(OR(AL14=1,calcA!$A$6=0),1000000000,IF('calcA'!$JF$24=1,0,100000000)+IF('calcA'!$IQ$24=2,SUMPRODUCT('calcA'!$D$74:$EQ$74,$DB14:$IO14,$IQ14:$OD14)*1000+SUMPRODUCT('calcA'!$D$74:$EQ$74,$DB14:$IO14+$ZQ14:$AFD14,$AFF14:$AKS14),SUMPRODUCT('calcA'!$D$74:$EQ$74,$DB14:$IO14*1001+$ZQ14:$AFD14))*100+15)</f>
        <v/>
      </c>
      <c r="CB14">
        <f>IF(OR(AM14=1,calcA!$A$6=0),1000000000,IF('calcA'!$JF$25=1,0,100000000)+IF('calcA'!$IQ$25=2,SUMPRODUCT('calcA'!$D$75:$EQ$75,$DB14:$IO14,$IQ14:$OD14)*1000+SUMPRODUCT('calcA'!$D$75:$EQ$75,$DB14:$IO14+$ZQ14:$AFD14,$AFF14:$AKS14),SUMPRODUCT('calcA'!$D$75:$EQ$75,$DB14:$IO14*1001+$ZQ14:$AFD14))*100+16)</f>
        <v/>
      </c>
      <c r="CC14">
        <f>IF(OR(AN14=1,calcA!$A$6=0),1000000000,IF('calcA'!$JF$26=1,0,100000000)+IF('calcA'!$IQ$26=2,SUMPRODUCT('calcA'!$D$76:$EQ$76,$DB14:$IO14,$IQ14:$OD14)*1000+SUMPRODUCT('calcA'!$D$76:$EQ$76,$DB14:$IO14+$ZQ14:$AFD14,$AFF14:$AKS14),SUMPRODUCT('calcA'!$D$76:$EQ$76,$DB14:$IO14*1001+$ZQ14:$AFD14))*100+17)</f>
        <v/>
      </c>
      <c r="CD14">
        <f>IF(OR(AO14=1,calcA!$A$6=0),1000000000,IF('calcA'!$JF$27=1,0,100000000)+IF('calcA'!$IQ$27=2,SUMPRODUCT('calcA'!$D$77:$EQ$77,$DB14:$IO14,$IQ14:$OD14)*1000+SUMPRODUCT('calcA'!$D$77:$EQ$77,$DB14:$IO14+$ZQ14:$AFD14,$AFF14:$AKS14),SUMPRODUCT('calcA'!$D$77:$EQ$77,$DB14:$IO14*1001+$ZQ14:$AFD14))*100+18)</f>
        <v/>
      </c>
      <c r="CE14">
        <f>IF(OR(AP14=1,calcA!$A$6=0),1000000000,IF('calcA'!$JF$28=1,0,100000000)+IF('calcA'!$IQ$28=2,SUMPRODUCT('calcA'!$D$78:$EQ$78,$DB14:$IO14,$IQ14:$OD14)*1000+SUMPRODUCT('calcA'!$D$78:$EQ$78,$DB14:$IO14+$ZQ14:$AFD14,$AFF14:$AKS14),SUMPRODUCT('calcA'!$D$78:$EQ$78,$DB14:$IO14*1001+$ZQ14:$AFD14))*100+19)</f>
        <v/>
      </c>
      <c r="CF14">
        <f>IF(OR(AQ14=1,calcA!$A$6=0),1000000000,IF('calcA'!$JF$29=1,0,100000000)+IF('calcA'!$IQ$29=2,SUMPRODUCT('calcA'!$D$79:$EQ$79,$DB14:$IO14,$IQ14:$OD14)*1000+SUMPRODUCT('calcA'!$D$79:$EQ$79,$DB14:$IO14+$ZQ14:$AFD14,$AFF14:$AKS14),SUMPRODUCT('calcA'!$D$79:$EQ$79,$DB14:$IO14*1001+$ZQ14:$AFD14))*100+20)</f>
        <v/>
      </c>
      <c r="CG14">
        <f>IF(OR(AR14=1,calcA!$A$6=0),1000000000,IF('calcA'!$JF$30=1,0,100000000)+IF('calcA'!$IQ$30=2,SUMPRODUCT('calcA'!$D$80:$EQ$80,$DB14:$IO14,$IQ14:$OD14)*1000+SUMPRODUCT('calcA'!$D$80:$EQ$80,$DB14:$IO14+$ZQ14:$AFD14,$AFF14:$AKS14),SUMPRODUCT('calcA'!$D$80:$EQ$80,$DB14:$IO14*1001+$ZQ14:$AFD14))*100+21)</f>
        <v/>
      </c>
      <c r="CH14">
        <f>IF(OR(AS14=1,calcA!$A$6=0),1000000000,IF('calcA'!$JF$31=1,0,100000000)+IF('calcA'!$IQ$31=2,SUMPRODUCT('calcA'!$D$81:$EQ$81,$DB14:$IO14,$IQ14:$OD14)*1000+SUMPRODUCT('calcA'!$D$81:$EQ$81,$DB14:$IO14+$ZQ14:$AFD14,$AFF14:$AKS14),SUMPRODUCT('calcA'!$D$81:$EQ$81,$DB14:$IO14*1001+$ZQ14:$AFD14))*100+22)</f>
        <v/>
      </c>
      <c r="CI14">
        <f>IF(OR(AT14=1,calcA!$A$6=0),1000000000,IF('calcA'!$JF$32=1,0,100000000)+IF('calcA'!$IQ$32=2,SUMPRODUCT('calcA'!$D$82:$EQ$82,$DB14:$IO14,$IQ14:$OD14)*1000+SUMPRODUCT('calcA'!$D$82:$EQ$82,$DB14:$IO14+$ZQ14:$AFD14,$AFF14:$AKS14),SUMPRODUCT('calcA'!$D$82:$EQ$82,$DB14:$IO14*1001+$ZQ14:$AFD14))*100+23)</f>
        <v/>
      </c>
      <c r="CJ14">
        <f>IF(OR(AU14=1,calcA!$A$6=0),1000000000,IF('calcA'!$JF$33=1,0,100000000)+IF('calcA'!$IQ$33=2,SUMPRODUCT('calcA'!$D$83:$EQ$83,$DB14:$IO14,$IQ14:$OD14)*1000+SUMPRODUCT('calcA'!$D$83:$EQ$83,$DB14:$IO14+$ZQ14:$AFD14,$AFF14:$AKS14),SUMPRODUCT('calcA'!$D$83:$EQ$83,$DB14:$IO14*1001+$ZQ14:$AFD14))*100+24)</f>
        <v/>
      </c>
      <c r="CK14">
        <f>IF(OR(AV14=1,calcA!$A$6=0),1000000000,IF('calcA'!$JF$34=1,0,100000000)+IF('calcA'!$IQ$34=2,SUMPRODUCT('calcA'!$D$84:$EQ$84,$DB14:$IO14,$IQ14:$OD14)*1000+SUMPRODUCT('calcA'!$D$84:$EQ$84,$DB14:$IO14+$ZQ14:$AFD14,$AFF14:$AKS14),SUMPRODUCT('calcA'!$D$84:$EQ$84,$DB14:$IO14*1001+$ZQ14:$AFD14))*100+25)</f>
        <v/>
      </c>
      <c r="CL14">
        <f>IF(OR(AW14=1,calcA!$A$6=0),1000000000,IF('calcA'!$JF$35=1,0,100000000)+IF('calcA'!$IQ$35=2,SUMPRODUCT('calcA'!$D$85:$EQ$85,$DB14:$IO14,$IQ14:$OD14)*1000+SUMPRODUCT('calcA'!$D$85:$EQ$85,$DB14:$IO14+$ZQ14:$AFD14,$AFF14:$AKS14),SUMPRODUCT('calcA'!$D$85:$EQ$85,$DB14:$IO14*1001+$ZQ14:$AFD14))*100+26)</f>
        <v/>
      </c>
      <c r="CM14">
        <f>IF(OR(AX14=1,calcA!$A$6=0),1000000000,IF('calcA'!$JF$36=1,0,100000000)+IF('calcA'!$IQ$36=2,SUMPRODUCT('calcA'!$D$86:$EQ$86,$DB14:$IO14,$IQ14:$OD14)*1000+SUMPRODUCT('calcA'!$D$86:$EQ$86,$DB14:$IO14+$ZQ14:$AFD14,$AFF14:$AKS14),SUMPRODUCT('calcA'!$D$86:$EQ$86,$DB14:$IO14*1001+$ZQ14:$AFD14))*100+27)</f>
        <v/>
      </c>
      <c r="CN14">
        <f>IF(OR(AY14=1,calcA!$A$6=0),1000000000,IF('calcA'!$JF$37=1,0,100000000)+IF('calcA'!$IQ$37=2,SUMPRODUCT('calcA'!$D$87:$EQ$87,$DB14:$IO14,$IQ14:$OD14)*1000+SUMPRODUCT('calcA'!$D$87:$EQ$87,$DB14:$IO14+$ZQ14:$AFD14,$AFF14:$AKS14),SUMPRODUCT('calcA'!$D$87:$EQ$87,$DB14:$IO14*1001+$ZQ14:$AFD14))*100+28)</f>
        <v/>
      </c>
      <c r="CO14">
        <f>IF(OR(AZ14=1,calcA!$A$6=0),1000000000,IF('calcA'!$JF$38=1,0,100000000)+IF('calcA'!$IQ$38=2,SUMPRODUCT('calcA'!$D$88:$EQ$88,$DB14:$IO14,$IQ14:$OD14)*1000+SUMPRODUCT('calcA'!$D$88:$EQ$88,$DB14:$IO14+$ZQ14:$AFD14,$AFF14:$AKS14),SUMPRODUCT('calcA'!$D$88:$EQ$88,$DB14:$IO14*1001+$ZQ14:$AFD14))*100+29)</f>
        <v/>
      </c>
      <c r="CP14">
        <f>IF(OR(BA14=1,calcA!$A$6=0),1000000000,IF('calcA'!$JF$39=1,0,100000000)+IF('calcA'!$IQ$39=2,SUMPRODUCT('calcA'!$D$89:$EQ$89,$DB14:$IO14,$IQ14:$OD14)*1000+SUMPRODUCT('calcA'!$D$89:$EQ$89,$DB14:$IO14+$ZQ14:$AFD14,$AFF14:$AKS14),SUMPRODUCT('calcA'!$D$89:$EQ$89,$DB14:$IO14*1001+$ZQ14:$AFD14))*100+30)</f>
        <v/>
      </c>
      <c r="CQ14">
        <f>IF(OR(BB14=1,calcA!$A$6=0),1000000000,IF('calcA'!$JF$40=1,0,100000000)+IF('calcA'!$IQ$40=2,SUMPRODUCT('calcA'!$D$90:$EQ$90,$DB14:$IO14,$IQ14:$OD14)*1000+SUMPRODUCT('calcA'!$D$90:$EQ$90,$DB14:$IO14+$ZQ14:$AFD14,$AFF14:$AKS14),SUMPRODUCT('calcA'!$D$90:$EQ$90,$DB14:$IO14*1001+$ZQ14:$AFD14))*100+31)</f>
        <v/>
      </c>
      <c r="CR14">
        <f>IF(OR(BC14=1,calcA!$A$6=0),1000000000,IF('calcA'!$JF$41=1,0,100000000)+IF('calcA'!$IQ$41=2,SUMPRODUCT('calcA'!$D$91:$EQ$91,$DB14:$IO14,$IQ14:$OD14)*1000+SUMPRODUCT('calcA'!$D$91:$EQ$91,$DB14:$IO14+$ZQ14:$AFD14,$AFF14:$AKS14),SUMPRODUCT('calcA'!$D$91:$EQ$91,$DB14:$IO14*1001+$ZQ14:$AFD14))*100+32)</f>
        <v/>
      </c>
      <c r="CS14">
        <f>IF(OR(BD14=1,calcA!$A$6=0),1000000000,IF('calcA'!$JF$42=1,0,100000000)+IF('calcA'!$IQ$42=2,SUMPRODUCT('calcA'!$D$92:$EQ$92,$DB14:$IO14,$IQ14:$OD14)*1000+SUMPRODUCT('calcA'!$D$92:$EQ$92,$DB14:$IO14+$ZQ14:$AFD14,$AFF14:$AKS14),SUMPRODUCT('calcA'!$D$92:$EQ$92,$DB14:$IO14*1001+$ZQ14:$AFD14))*100+33)</f>
        <v/>
      </c>
      <c r="CT14">
        <f>IF(OR(BE14=1,calcA!$A$6=0),1000000000,IF('calcA'!$JF$43=1,0,100000000)+IF('calcA'!$IQ$43=2,SUMPRODUCT('calcA'!$D$93:$EQ$93,$DB14:$IO14,$IQ14:$OD14)*1000+SUMPRODUCT('calcA'!$D$93:$EQ$93,$DB14:$IO14+$ZQ14:$AFD14,$AFF14:$AKS14),SUMPRODUCT('calcA'!$D$93:$EQ$93,$DB14:$IO14*1001+$ZQ14:$AFD14))*100+34)</f>
        <v/>
      </c>
      <c r="CU14">
        <f>IF(OR(BF14=1,calcA!$A$6=0),1000000000,IF('calcA'!$JF$44=1,0,100000000)+IF('calcA'!$IQ$44=2,SUMPRODUCT('calcA'!$D$94:$EQ$94,$DB14:$IO14,$IQ14:$OD14)*1000+SUMPRODUCT('calcA'!$D$94:$EQ$94,$DB14:$IO14+$ZQ14:$AFD14,$AFF14:$AKS14),SUMPRODUCT('calcA'!$D$94:$EQ$94,$DB14:$IO14*1001+$ZQ14:$AFD14))*100+35)</f>
        <v/>
      </c>
      <c r="CV14">
        <f>IF(OR(BG14=1,calcA!$A$6=0),1000000000,IF('calcA'!$JF$45=1,0,100000000)+IF('calcA'!$IQ$45=2,SUMPRODUCT('calcA'!$D$95:$EQ$95,$DB14:$IO14,$IQ14:$OD14)*1000+SUMPRODUCT('calcA'!$D$95:$EQ$95,$DB14:$IO14+$ZQ14:$AFD14,$AFF14:$AKS14),SUMPRODUCT('calcA'!$D$95:$EQ$95,$DB14:$IO14*1001+$ZQ14:$AFD14))*100+36)</f>
        <v/>
      </c>
      <c r="CW14">
        <f>IF(OR(BH14=1,calcA!$A$6=0),1000000000,IF('calcA'!$JF$46=1,0,100000000)+IF('calcA'!$IQ$46=2,SUMPRODUCT('calcA'!$D$96:$EQ$96,$DB14:$IO14,$IQ14:$OD14)*1000+SUMPRODUCT('calcA'!$D$96:$EQ$96,$DB14:$IO14+$ZQ14:$AFD14,$AFF14:$AKS14),SUMPRODUCT('calcA'!$D$96:$EQ$96,$DB14:$IO14*1001+$ZQ14:$AFD14))*100+37)</f>
        <v/>
      </c>
      <c r="CX14">
        <f>IF(OR(BI14=1,calcA!$A$6=0),1000000000,IF('calcA'!$JF$47=1,0,100000000)+IF('calcA'!$IQ$47=2,SUMPRODUCT('calcA'!$D$97:$EQ$97,$DB14:$IO14,$IQ14:$OD14)*1000+SUMPRODUCT('calcA'!$D$97:$EQ$97,$DB14:$IO14+$ZQ14:$AFD14,$AFF14:$AKS14),SUMPRODUCT('calcA'!$D$97:$EQ$97,$DB14:$IO14*1001+$ZQ14:$AFD14))*100+38)</f>
        <v/>
      </c>
      <c r="CY14">
        <f>IF(OR(BJ14=1,calcA!$A$6=0),1000000000,IF('calcA'!$JF$48=1,0,100000000)+IF('calcA'!$IQ$48=2,SUMPRODUCT('calcA'!$D$98:$EQ$98,$DB14:$IO14,$IQ14:$OD14)*1000+SUMPRODUCT('calcA'!$D$98:$EQ$98,$DB14:$IO14+$ZQ14:$AFD14,$AFF14:$AKS14),SUMPRODUCT('calcA'!$D$98:$EQ$98,$DB14:$IO14*1001+$ZQ14:$AFD14))*100+39)</f>
        <v/>
      </c>
      <c r="CZ14">
        <f>IF(OR(BK14=1,calcA!$A$6=0),1000000000,IF('calcA'!$JF$49=1,0,100000000)+IF('calcA'!$IQ$49=2,SUMPRODUCT('calcA'!$D$99:$EQ$99,$DB14:$IO14,$IQ14:$OD14)*1000+SUMPRODUCT('calcA'!$D$99:$EQ$99,$DB14:$IO14+$ZQ14:$AFD14,$AFF14:$AKS14),SUMPRODUCT('calcA'!$D$99:$EQ$99,$DB14:$IO14*1001+$ZQ14:$AFD14))*100+40)</f>
        <v/>
      </c>
      <c r="DB14">
        <f>DB13*IF(OR($C13=1,$G13=1),0,1)</f>
        <v/>
      </c>
      <c r="DC14">
        <f>DC13*IF(OR($C13=2,$G13=2),0,1)</f>
        <v/>
      </c>
      <c r="DD14">
        <f>DD13*IF(OR($C13=3,$G13=3),0,1)</f>
        <v/>
      </c>
      <c r="DE14">
        <f>DE13*IF(OR($C13=4,$G13=4),0,1)</f>
        <v/>
      </c>
      <c r="DF14">
        <f>DF13*IF(OR($C13=5,$G13=5),0,1)</f>
        <v/>
      </c>
      <c r="DG14">
        <f>DG13*IF(OR($C13=6,$G13=6),0,1)</f>
        <v/>
      </c>
      <c r="DH14">
        <f>DH13*IF(OR($C13=7,$G13=7),0,1)</f>
        <v/>
      </c>
      <c r="DI14">
        <f>DI13*IF(OR($C13=8,$G13=8),0,1)</f>
        <v/>
      </c>
      <c r="DJ14">
        <f>DJ13*IF(OR($C13=9,$G13=9),0,1)</f>
        <v/>
      </c>
      <c r="DK14">
        <f>DK13*IF(OR($C13=10,$G13=10),0,1)</f>
        <v/>
      </c>
      <c r="DL14">
        <f>DL13*IF(OR($C13=11,$G13=11),0,1)</f>
        <v/>
      </c>
      <c r="DM14">
        <f>DM13*IF(OR($C13=12,$G13=12),0,1)</f>
        <v/>
      </c>
      <c r="DN14">
        <f>DN13*IF(OR($C13=13,$G13=13),0,1)</f>
        <v/>
      </c>
      <c r="DO14">
        <f>DO13*IF(OR($C13=14,$G13=14),0,1)</f>
        <v/>
      </c>
      <c r="DP14">
        <f>DP13*IF(OR($C13=15,$G13=15),0,1)</f>
        <v/>
      </c>
      <c r="DQ14">
        <f>DQ13*IF(OR($C13=16,$G13=16),0,1)</f>
        <v/>
      </c>
      <c r="DR14">
        <f>DR13*IF(OR($C13=17,$G13=17),0,1)</f>
        <v/>
      </c>
      <c r="DS14">
        <f>DS13*IF(OR($C13=18,$G13=18),0,1)</f>
        <v/>
      </c>
      <c r="DT14">
        <f>DT13*IF(OR($C13=19,$G13=19),0,1)</f>
        <v/>
      </c>
      <c r="DU14">
        <f>DU13*IF(OR($C13=20,$G13=20),0,1)</f>
        <v/>
      </c>
      <c r="DV14">
        <f>DV13*IF(OR($C13=21,$G13=21),0,1)</f>
        <v/>
      </c>
      <c r="DW14">
        <f>DW13*IF(OR($C13=22,$G13=22),0,1)</f>
        <v/>
      </c>
      <c r="DX14">
        <f>DX13*IF(OR($C13=23,$G13=23),0,1)</f>
        <v/>
      </c>
      <c r="DY14">
        <f>DY13*IF(OR($C13=24,$G13=24),0,1)</f>
        <v/>
      </c>
      <c r="DZ14">
        <f>DZ13*IF(OR($C13=25,$G13=25),0,1)</f>
        <v/>
      </c>
      <c r="EA14">
        <f>EA13*IF(OR($C13=26,$G13=26),0,1)</f>
        <v/>
      </c>
      <c r="EB14">
        <f>EB13*IF(OR($C13=27,$G13=27),0,1)</f>
        <v/>
      </c>
      <c r="EC14">
        <f>EC13*IF(OR($C13=28,$G13=28),0,1)</f>
        <v/>
      </c>
      <c r="ED14">
        <f>ED13*IF(OR($C13=29,$G13=29),0,1)</f>
        <v/>
      </c>
      <c r="EE14">
        <f>EE13*IF(OR($C13=30,$G13=30),0,1)</f>
        <v/>
      </c>
      <c r="EF14">
        <f>EF13*IF(OR($C13=31,$G13=31),0,1)</f>
        <v/>
      </c>
      <c r="EG14">
        <f>EG13*IF(OR($C13=32,$G13=32),0,1)</f>
        <v/>
      </c>
      <c r="EH14">
        <f>EH13*IF(OR($C13=33,$G13=33),0,1)</f>
        <v/>
      </c>
      <c r="EI14">
        <f>EI13*IF(OR($C13=34,$G13=34),0,1)</f>
        <v/>
      </c>
      <c r="EJ14">
        <f>EJ13*IF(OR($C13=35,$G13=35),0,1)</f>
        <v/>
      </c>
      <c r="EK14">
        <f>EK13*IF(OR($C13=36,$G13=36),0,1)</f>
        <v/>
      </c>
      <c r="EL14">
        <f>EL13*IF(OR($C13=37,$G13=37),0,1)</f>
        <v/>
      </c>
      <c r="EM14">
        <f>EM13*IF(OR($C13=38,$G13=38),0,1)</f>
        <v/>
      </c>
      <c r="EN14">
        <f>EN13*IF(OR($C13=39,$G13=39),0,1)</f>
        <v/>
      </c>
      <c r="EO14">
        <f>EO13*IF(OR($C13=40,$G13=40),0,1)</f>
        <v/>
      </c>
      <c r="EP14">
        <f>EP13*IF(OR($C13=41,$G13=41),0,1)</f>
        <v/>
      </c>
      <c r="EQ14">
        <f>EQ13*IF(OR($C13=42,$G13=42),0,1)</f>
        <v/>
      </c>
      <c r="ER14">
        <f>ER13*IF(OR($C13=43,$G13=43),0,1)</f>
        <v/>
      </c>
      <c r="ES14">
        <f>ES13*IF(OR($C13=44,$G13=44),0,1)</f>
        <v/>
      </c>
      <c r="ET14">
        <f>ET13*IF(OR($C13=45,$G13=45),0,1)</f>
        <v/>
      </c>
      <c r="EU14">
        <f>EU13*IF(OR($C13=46,$G13=46),0,1)</f>
        <v/>
      </c>
      <c r="EV14">
        <f>EV13*IF(OR($C13=47,$G13=47),0,1)</f>
        <v/>
      </c>
      <c r="EW14">
        <f>EW13*IF(OR($C13=48,$G13=48),0,1)</f>
        <v/>
      </c>
      <c r="EX14">
        <f>EX13*IF(OR($C13=49,$G13=49),0,1)</f>
        <v/>
      </c>
      <c r="EY14">
        <f>EY13*IF(OR($C13=50,$G13=50),0,1)</f>
        <v/>
      </c>
      <c r="EZ14">
        <f>EZ13*IF(OR($C13=51,$G13=51),0,1)</f>
        <v/>
      </c>
      <c r="FA14">
        <f>FA13*IF(OR($C13=52,$G13=52),0,1)</f>
        <v/>
      </c>
      <c r="FB14">
        <f>FB13*IF(OR($C13=53,$G13=53),0,1)</f>
        <v/>
      </c>
      <c r="FC14">
        <f>FC13*IF(OR($C13=54,$G13=54),0,1)</f>
        <v/>
      </c>
      <c r="FD14">
        <f>FD13*IF(OR($C13=55,$G13=55),0,1)</f>
        <v/>
      </c>
      <c r="FE14">
        <f>FE13*IF(OR($C13=56,$G13=56),0,1)</f>
        <v/>
      </c>
      <c r="FF14">
        <f>FF13*IF(OR($C13=57,$G13=57),0,1)</f>
        <v/>
      </c>
      <c r="FG14">
        <f>FG13*IF(OR($C13=58,$G13=58),0,1)</f>
        <v/>
      </c>
      <c r="FH14">
        <f>FH13*IF(OR($C13=59,$G13=59),0,1)</f>
        <v/>
      </c>
      <c r="FI14">
        <f>FI13*IF(OR($C13=60,$G13=60),0,1)</f>
        <v/>
      </c>
      <c r="FJ14">
        <f>FJ13*IF(OR($C13=61,$G13=61),0,1)</f>
        <v/>
      </c>
      <c r="FK14">
        <f>FK13*IF(OR($C13=62,$G13=62),0,1)</f>
        <v/>
      </c>
      <c r="FL14">
        <f>FL13*IF(OR($C13=63,$G13=63),0,1)</f>
        <v/>
      </c>
      <c r="FM14">
        <f>FM13*IF(OR($C13=64,$G13=64),0,1)</f>
        <v/>
      </c>
      <c r="FN14">
        <f>FN13*IF(OR($C13=65,$G13=65),0,1)</f>
        <v/>
      </c>
      <c r="FO14">
        <f>FO13*IF(OR($C13=66,$G13=66),0,1)</f>
        <v/>
      </c>
      <c r="FP14">
        <f>FP13*IF(OR($C13=67,$G13=67),0,1)</f>
        <v/>
      </c>
      <c r="FQ14">
        <f>FQ13*IF(OR($C13=68,$G13=68),0,1)</f>
        <v/>
      </c>
      <c r="FR14">
        <f>FR13*IF(OR($C13=69,$G13=69),0,1)</f>
        <v/>
      </c>
      <c r="FS14">
        <f>FS13*IF(OR($C13=70,$G13=70),0,1)</f>
        <v/>
      </c>
      <c r="FT14">
        <f>FT13*IF(OR($C13=71,$G13=71),0,1)</f>
        <v/>
      </c>
      <c r="FU14">
        <f>FU13*IF(OR($C13=72,$G13=72),0,1)</f>
        <v/>
      </c>
      <c r="FV14">
        <f>FV13*IF(OR($C13=73,$G13=73),0,1)</f>
        <v/>
      </c>
      <c r="FW14">
        <f>FW13*IF(OR($C13=74,$G13=74),0,1)</f>
        <v/>
      </c>
      <c r="FX14">
        <f>FX13*IF(OR($C13=75,$G13=75),0,1)</f>
        <v/>
      </c>
      <c r="FY14">
        <f>FY13*IF(OR($C13=76,$G13=76),0,1)</f>
        <v/>
      </c>
      <c r="FZ14">
        <f>FZ13*IF(OR($C13=77,$G13=77),0,1)</f>
        <v/>
      </c>
      <c r="GA14">
        <f>GA13*IF(OR($C13=78,$G13=78),0,1)</f>
        <v/>
      </c>
      <c r="GB14">
        <f>GB13*IF(OR($C13=79,$G13=79),0,1)</f>
        <v/>
      </c>
      <c r="GC14">
        <f>GC13*IF(OR($C13=80,$G13=80),0,1)</f>
        <v/>
      </c>
      <c r="GD14">
        <f>GD13*IF(OR($C13=81,$G13=81),0,1)</f>
        <v/>
      </c>
      <c r="GE14">
        <f>GE13*IF(OR($C13=82,$G13=82),0,1)</f>
        <v/>
      </c>
      <c r="GF14">
        <f>GF13*IF(OR($C13=83,$G13=83),0,1)</f>
        <v/>
      </c>
      <c r="GG14">
        <f>GG13*IF(OR($C13=84,$G13=84),0,1)</f>
        <v/>
      </c>
      <c r="GH14">
        <f>GH13*IF(OR($C13=85,$G13=85),0,1)</f>
        <v/>
      </c>
      <c r="GI14">
        <f>GI13*IF(OR($C13=86,$G13=86),0,1)</f>
        <v/>
      </c>
      <c r="GJ14">
        <f>GJ13*IF(OR($C13=87,$G13=87),0,1)</f>
        <v/>
      </c>
      <c r="GK14">
        <f>GK13*IF(OR($C13=88,$G13=88),0,1)</f>
        <v/>
      </c>
      <c r="GL14">
        <f>GL13*IF(OR($C13=89,$G13=89),0,1)</f>
        <v/>
      </c>
      <c r="GM14">
        <f>GM13*IF(OR($C13=90,$G13=90),0,1)</f>
        <v/>
      </c>
      <c r="GN14">
        <f>GN13*IF(OR($C13=91,$G13=91),0,1)</f>
        <v/>
      </c>
      <c r="GO14">
        <f>GO13*IF(OR($C13=92,$G13=92),0,1)</f>
        <v/>
      </c>
      <c r="GP14">
        <f>GP13*IF(OR($C13=93,$G13=93),0,1)</f>
        <v/>
      </c>
      <c r="GQ14">
        <f>GQ13*IF(OR($C13=94,$G13=94),0,1)</f>
        <v/>
      </c>
      <c r="GR14">
        <f>GR13*IF(OR($C13=95,$G13=95),0,1)</f>
        <v/>
      </c>
      <c r="GS14">
        <f>GS13*IF(OR($C13=96,$G13=96),0,1)</f>
        <v/>
      </c>
      <c r="GT14">
        <f>GT13*IF(OR($C13=97,$G13=97),0,1)</f>
        <v/>
      </c>
      <c r="GU14">
        <f>GU13*IF(OR($C13=98,$G13=98),0,1)</f>
        <v/>
      </c>
      <c r="GV14">
        <f>GV13*IF(OR($C13=99,$G13=99),0,1)</f>
        <v/>
      </c>
      <c r="GW14">
        <f>GW13*IF(OR($C13=100,$G13=100),0,1)</f>
        <v/>
      </c>
      <c r="GX14">
        <f>GX13*IF(OR($C13=101,$G13=101),0,1)</f>
        <v/>
      </c>
      <c r="GY14">
        <f>GY13*IF(OR($C13=102,$G13=102),0,1)</f>
        <v/>
      </c>
      <c r="GZ14">
        <f>GZ13*IF(OR($C13=103,$G13=103),0,1)</f>
        <v/>
      </c>
      <c r="HA14">
        <f>HA13*IF(OR($C13=104,$G13=104),0,1)</f>
        <v/>
      </c>
      <c r="HB14">
        <f>HB13*IF(OR($C13=105,$G13=105),0,1)</f>
        <v/>
      </c>
      <c r="HC14">
        <f>HC13*IF(OR($C13=106,$G13=106),0,1)</f>
        <v/>
      </c>
      <c r="HD14">
        <f>HD13*IF(OR($C13=107,$G13=107),0,1)</f>
        <v/>
      </c>
      <c r="HE14">
        <f>HE13*IF(OR($C13=108,$G13=108),0,1)</f>
        <v/>
      </c>
      <c r="HF14">
        <f>HF13*IF(OR($C13=109,$G13=109),0,1)</f>
        <v/>
      </c>
      <c r="HG14">
        <f>HG13*IF(OR($C13=110,$G13=110),0,1)</f>
        <v/>
      </c>
      <c r="HH14">
        <f>HH13*IF(OR($C13=111,$G13=111),0,1)</f>
        <v/>
      </c>
      <c r="HI14">
        <f>HI13*IF(OR($C13=112,$G13=112),0,1)</f>
        <v/>
      </c>
      <c r="HJ14">
        <f>HJ13*IF(OR($C13=113,$G13=113),0,1)</f>
        <v/>
      </c>
      <c r="HK14">
        <f>HK13*IF(OR($C13=114,$G13=114),0,1)</f>
        <v/>
      </c>
      <c r="HL14">
        <f>HL13*IF(OR($C13=115,$G13=115),0,1)</f>
        <v/>
      </c>
      <c r="HM14">
        <f>HM13*IF(OR($C13=116,$G13=116),0,1)</f>
        <v/>
      </c>
      <c r="HN14">
        <f>HN13*IF(OR($C13=117,$G13=117),0,1)</f>
        <v/>
      </c>
      <c r="HO14">
        <f>HO13*IF(OR($C13=118,$G13=118),0,1)</f>
        <v/>
      </c>
      <c r="HP14">
        <f>HP13*IF(OR($C13=119,$G13=119),0,1)</f>
        <v/>
      </c>
      <c r="HQ14">
        <f>HQ13*IF(OR($C13=120,$G13=120),0,1)</f>
        <v/>
      </c>
      <c r="HR14">
        <f>HR13*IF(OR($C13=121,$G13=121),0,1)</f>
        <v/>
      </c>
      <c r="HS14">
        <f>HS13*IF(OR($C13=122,$G13=122),0,1)</f>
        <v/>
      </c>
      <c r="HT14">
        <f>HT13*IF(OR($C13=123,$G13=123),0,1)</f>
        <v/>
      </c>
      <c r="HU14">
        <f>HU13*IF(OR($C13=124,$G13=124),0,1)</f>
        <v/>
      </c>
      <c r="HV14">
        <f>HV13*IF(OR($C13=125,$G13=125),0,1)</f>
        <v/>
      </c>
      <c r="HW14">
        <f>HW13*IF(OR($C13=126,$G13=126),0,1)</f>
        <v/>
      </c>
      <c r="HX14">
        <f>HX13*IF(OR($C13=127,$G13=127),0,1)</f>
        <v/>
      </c>
      <c r="HY14">
        <f>HY13*IF(OR($C13=128,$G13=128),0,1)</f>
        <v/>
      </c>
      <c r="HZ14">
        <f>HZ13*IF(OR($C13=129,$G13=129),0,1)</f>
        <v/>
      </c>
      <c r="IA14">
        <f>IA13*IF(OR($C13=130,$G13=130),0,1)</f>
        <v/>
      </c>
      <c r="IB14">
        <f>IB13*IF(OR($C13=131,$G13=131),0,1)</f>
        <v/>
      </c>
      <c r="IC14">
        <f>IC13*IF(OR($C13=132,$G13=132),0,1)</f>
        <v/>
      </c>
      <c r="ID14">
        <f>ID13*IF(OR($C13=133,$G13=133),0,1)</f>
        <v/>
      </c>
      <c r="IE14">
        <f>IE13*IF(OR($C13=134,$G13=134),0,1)</f>
        <v/>
      </c>
      <c r="IF14">
        <f>IF13*IF(OR($C13=135,$G13=135),0,1)</f>
        <v/>
      </c>
      <c r="IG14">
        <f>IG13*IF(OR($C13=136,$G13=136),0,1)</f>
        <v/>
      </c>
      <c r="IH14">
        <f>IH13*IF(OR($C13=137,$G13=137),0,1)</f>
        <v/>
      </c>
      <c r="II14">
        <f>II13*IF(OR($C13=138,$G13=138),0,1)</f>
        <v/>
      </c>
      <c r="IJ14">
        <f>IJ13*IF(OR($C13=139,$G13=139),0,1)</f>
        <v/>
      </c>
      <c r="IK14">
        <f>IK13*IF(OR($C13=140,$G13=140),0,1)</f>
        <v/>
      </c>
      <c r="IL14">
        <f>IL13*IF(OR($C13=141,$G13=141),0,1)</f>
        <v/>
      </c>
      <c r="IM14">
        <f>IM13*IF(OR($C13=142,$G13=142),0,1)</f>
        <v/>
      </c>
      <c r="IN14">
        <f>IN13*IF(OR($C13=143,$G13=143),0,1)</f>
        <v/>
      </c>
      <c r="IO14">
        <f>IO13*IF(OR($C13=144,$G13=144),0,1)</f>
        <v/>
      </c>
      <c r="IQ14">
        <f>IF('calcA'!D$106=1,DC14,1)</f>
        <v/>
      </c>
      <c r="IR14">
        <f>IF('calcA'!E$106=1,DD14,1)</f>
        <v/>
      </c>
      <c r="IS14">
        <f>IF('calcA'!F$106=1,DE14,1)</f>
        <v/>
      </c>
      <c r="IT14">
        <f>IF('calcA'!G$106=1,DF14,1)</f>
        <v/>
      </c>
      <c r="IU14">
        <f>IF('calcA'!H$106=1,DG14,1)</f>
        <v/>
      </c>
      <c r="IV14">
        <f>IF('calcA'!I$106=1,DH14,1)</f>
        <v/>
      </c>
      <c r="IW14">
        <f>IF('calcA'!J$106=1,DI14,1)</f>
        <v/>
      </c>
      <c r="IX14">
        <f>IF('calcA'!K$106=1,DJ14,1)</f>
        <v/>
      </c>
      <c r="IY14">
        <f>IF('calcA'!L$106=1,DK14,1)</f>
        <v/>
      </c>
      <c r="IZ14">
        <f>IF('calcA'!M$106=1,DL14,1)</f>
        <v/>
      </c>
      <c r="JA14">
        <f>IF('calcA'!N$106=1,DM14,1)</f>
        <v/>
      </c>
      <c r="JB14">
        <f>IF('calcA'!O$106=1,DN14,1)</f>
        <v/>
      </c>
      <c r="JC14">
        <f>IF('calcA'!P$106=1,DO14,1)</f>
        <v/>
      </c>
      <c r="JD14">
        <f>IF('calcA'!Q$106=1,DP14,1)</f>
        <v/>
      </c>
      <c r="JE14">
        <f>IF('calcA'!R$106=1,DQ14,1)</f>
        <v/>
      </c>
      <c r="JF14">
        <f>IF('calcA'!S$106=1,DR14,1)</f>
        <v/>
      </c>
      <c r="JG14">
        <f>IF('calcA'!T$106=1,DS14,1)</f>
        <v/>
      </c>
      <c r="JH14">
        <f>IF('calcA'!U$106=1,DT14,1)</f>
        <v/>
      </c>
      <c r="JI14">
        <f>IF('calcA'!V$106=1,DU14,1)</f>
        <v/>
      </c>
      <c r="JJ14">
        <f>IF('calcA'!W$106=1,DV14,1)</f>
        <v/>
      </c>
      <c r="JK14">
        <f>IF('calcA'!X$106=1,DW14,1)</f>
        <v/>
      </c>
      <c r="JL14">
        <f>IF('calcA'!Y$106=1,DX14,1)</f>
        <v/>
      </c>
      <c r="JM14">
        <f>IF('calcA'!Z$106=1,DY14,1)</f>
        <v/>
      </c>
      <c r="JN14">
        <f>IF('calcA'!AA$106=1,DZ14,1)</f>
        <v/>
      </c>
      <c r="JO14">
        <f>IF('calcA'!AB$106=1,EA14,1)</f>
        <v/>
      </c>
      <c r="JP14">
        <f>IF('calcA'!AC$106=1,EB14,1)</f>
        <v/>
      </c>
      <c r="JQ14">
        <f>IF('calcA'!AD$106=1,EC14,1)</f>
        <v/>
      </c>
      <c r="JR14">
        <f>IF('calcA'!AE$106=1,ED14,1)</f>
        <v/>
      </c>
      <c r="JS14">
        <f>IF('calcA'!AF$106=1,EE14,1)</f>
        <v/>
      </c>
      <c r="JT14">
        <f>IF('calcA'!AG$106=1,EF14,1)</f>
        <v/>
      </c>
      <c r="JU14">
        <f>IF('calcA'!AH$106=1,EG14,1)</f>
        <v/>
      </c>
      <c r="JV14">
        <f>IF('calcA'!AI$106=1,EH14,1)</f>
        <v/>
      </c>
      <c r="JW14">
        <f>IF('calcA'!AJ$106=1,EI14,1)</f>
        <v/>
      </c>
      <c r="JX14">
        <f>IF('calcA'!AK$106=1,EJ14,1)</f>
        <v/>
      </c>
      <c r="JY14">
        <f>IF('calcA'!AL$106=1,EK14,1)</f>
        <v/>
      </c>
      <c r="JZ14">
        <f>IF('calcA'!AM$106=1,EL14,1)</f>
        <v/>
      </c>
      <c r="KA14">
        <f>IF('calcA'!AN$106=1,EM14,1)</f>
        <v/>
      </c>
      <c r="KB14">
        <f>IF('calcA'!AO$106=1,EN14,1)</f>
        <v/>
      </c>
      <c r="KC14">
        <f>IF('calcA'!AP$106=1,EO14,1)</f>
        <v/>
      </c>
      <c r="KD14">
        <f>IF('calcA'!AQ$106=1,EP14,1)</f>
        <v/>
      </c>
      <c r="KE14">
        <f>IF('calcA'!AR$106=1,EQ14,1)</f>
        <v/>
      </c>
      <c r="KF14">
        <f>IF('calcA'!AS$106=1,ER14,1)</f>
        <v/>
      </c>
      <c r="KG14">
        <f>IF('calcA'!AT$106=1,ES14,1)</f>
        <v/>
      </c>
      <c r="KH14">
        <f>IF('calcA'!AU$106=1,ET14,1)</f>
        <v/>
      </c>
      <c r="KI14">
        <f>IF('calcA'!AV$106=1,EU14,1)</f>
        <v/>
      </c>
      <c r="KJ14">
        <f>IF('calcA'!AW$106=1,EV14,1)</f>
        <v/>
      </c>
      <c r="KK14">
        <f>IF('calcA'!AX$106=1,EW14,1)</f>
        <v/>
      </c>
      <c r="KL14">
        <f>IF('calcA'!AY$106=1,EX14,1)</f>
        <v/>
      </c>
      <c r="KM14">
        <f>IF('calcA'!AZ$106=1,EY14,1)</f>
        <v/>
      </c>
      <c r="KN14">
        <f>IF('calcA'!BA$106=1,EZ14,1)</f>
        <v/>
      </c>
      <c r="KO14">
        <f>IF('calcA'!BB$106=1,FA14,1)</f>
        <v/>
      </c>
      <c r="KP14">
        <f>IF('calcA'!BC$106=1,FB14,1)</f>
        <v/>
      </c>
      <c r="KQ14">
        <f>IF('calcA'!BD$106=1,FC14,1)</f>
        <v/>
      </c>
      <c r="KR14">
        <f>IF('calcA'!BE$106=1,FD14,1)</f>
        <v/>
      </c>
      <c r="KS14">
        <f>IF('calcA'!BF$106=1,FE14,1)</f>
        <v/>
      </c>
      <c r="KT14">
        <f>IF('calcA'!BG$106=1,FF14,1)</f>
        <v/>
      </c>
      <c r="KU14">
        <f>IF('calcA'!BH$106=1,FG14,1)</f>
        <v/>
      </c>
      <c r="KV14">
        <f>IF('calcA'!BI$106=1,FH14,1)</f>
        <v/>
      </c>
      <c r="KW14">
        <f>IF('calcA'!BJ$106=1,FI14,1)</f>
        <v/>
      </c>
      <c r="KX14">
        <f>IF('calcA'!BK$106=1,FJ14,1)</f>
        <v/>
      </c>
      <c r="KY14">
        <f>IF('calcA'!BL$106=1,FK14,1)</f>
        <v/>
      </c>
      <c r="KZ14">
        <f>IF('calcA'!BM$106=1,FL14,1)</f>
        <v/>
      </c>
      <c r="LA14">
        <f>IF('calcA'!BN$106=1,FM14,1)</f>
        <v/>
      </c>
      <c r="LB14">
        <f>IF('calcA'!BO$106=1,FN14,1)</f>
        <v/>
      </c>
      <c r="LC14">
        <f>IF('calcA'!BP$106=1,FO14,1)</f>
        <v/>
      </c>
      <c r="LD14">
        <f>IF('calcA'!BQ$106=1,FP14,1)</f>
        <v/>
      </c>
      <c r="LE14">
        <f>IF('calcA'!BR$106=1,FQ14,1)</f>
        <v/>
      </c>
      <c r="LF14">
        <f>IF('calcA'!BS$106=1,FR14,1)</f>
        <v/>
      </c>
      <c r="LG14">
        <f>IF('calcA'!BT$106=1,FS14,1)</f>
        <v/>
      </c>
      <c r="LH14">
        <f>IF('calcA'!BU$106=1,FT14,1)</f>
        <v/>
      </c>
      <c r="LI14">
        <f>IF('calcA'!BV$106=1,FU14,1)</f>
        <v/>
      </c>
      <c r="LJ14">
        <f>IF('calcA'!BW$106=1,FV14,1)</f>
        <v/>
      </c>
      <c r="LK14">
        <f>IF('calcA'!BX$106=1,FW14,1)</f>
        <v/>
      </c>
      <c r="LL14">
        <f>IF('calcA'!BY$106=1,FX14,1)</f>
        <v/>
      </c>
      <c r="LM14">
        <f>IF('calcA'!BZ$106=1,FY14,1)</f>
        <v/>
      </c>
      <c r="LN14">
        <f>IF('calcA'!CA$106=1,FZ14,1)</f>
        <v/>
      </c>
      <c r="LO14">
        <f>IF('calcA'!CB$106=1,GA14,1)</f>
        <v/>
      </c>
      <c r="LP14">
        <f>IF('calcA'!CC$106=1,GB14,1)</f>
        <v/>
      </c>
      <c r="LQ14">
        <f>IF('calcA'!CD$106=1,GC14,1)</f>
        <v/>
      </c>
      <c r="LR14">
        <f>IF('calcA'!CE$106=1,GD14,1)</f>
        <v/>
      </c>
      <c r="LS14">
        <f>IF('calcA'!CF$106=1,GE14,1)</f>
        <v/>
      </c>
      <c r="LT14">
        <f>IF('calcA'!CG$106=1,GF14,1)</f>
        <v/>
      </c>
      <c r="LU14">
        <f>IF('calcA'!CH$106=1,GG14,1)</f>
        <v/>
      </c>
      <c r="LV14">
        <f>IF('calcA'!CI$106=1,GH14,1)</f>
        <v/>
      </c>
      <c r="LW14">
        <f>IF('calcA'!CJ$106=1,GI14,1)</f>
        <v/>
      </c>
      <c r="LX14">
        <f>IF('calcA'!CK$106=1,GJ14,1)</f>
        <v/>
      </c>
      <c r="LY14">
        <f>IF('calcA'!CL$106=1,GK14,1)</f>
        <v/>
      </c>
      <c r="LZ14">
        <f>IF('calcA'!CM$106=1,GL14,1)</f>
        <v/>
      </c>
      <c r="MA14">
        <f>IF('calcA'!CN$106=1,GM14,1)</f>
        <v/>
      </c>
      <c r="MB14">
        <f>IF('calcA'!CO$106=1,GN14,1)</f>
        <v/>
      </c>
      <c r="MC14">
        <f>IF('calcA'!CP$106=1,GO14,1)</f>
        <v/>
      </c>
      <c r="MD14">
        <f>IF('calcA'!CQ$106=1,GP14,1)</f>
        <v/>
      </c>
      <c r="ME14">
        <f>IF('calcA'!CR$106=1,GQ14,1)</f>
        <v/>
      </c>
      <c r="MF14">
        <f>IF('calcA'!CS$106=1,GR14,1)</f>
        <v/>
      </c>
      <c r="MG14">
        <f>IF('calcA'!CT$106=1,GS14,1)</f>
        <v/>
      </c>
      <c r="MH14">
        <f>IF('calcA'!CU$106=1,GT14,1)</f>
        <v/>
      </c>
      <c r="MI14">
        <f>IF('calcA'!CV$106=1,GU14,1)</f>
        <v/>
      </c>
      <c r="MJ14">
        <f>IF('calcA'!CW$106=1,GV14,1)</f>
        <v/>
      </c>
      <c r="MK14">
        <f>IF('calcA'!CX$106=1,GW14,1)</f>
        <v/>
      </c>
      <c r="ML14">
        <f>IF('calcA'!CY$106=1,GX14,1)</f>
        <v/>
      </c>
      <c r="MM14">
        <f>IF('calcA'!CZ$106=1,GY14,1)</f>
        <v/>
      </c>
      <c r="MN14">
        <f>IF('calcA'!DA$106=1,GZ14,1)</f>
        <v/>
      </c>
      <c r="MO14">
        <f>IF('calcA'!DB$106=1,HA14,1)</f>
        <v/>
      </c>
      <c r="MP14">
        <f>IF('calcA'!DC$106=1,HB14,1)</f>
        <v/>
      </c>
      <c r="MQ14">
        <f>IF('calcA'!DD$106=1,HC14,1)</f>
        <v/>
      </c>
      <c r="MR14">
        <f>IF('calcA'!DE$106=1,HD14,1)</f>
        <v/>
      </c>
      <c r="MS14">
        <f>IF('calcA'!DF$106=1,HE14,1)</f>
        <v/>
      </c>
      <c r="MT14">
        <f>IF('calcA'!DG$106=1,HF14,1)</f>
        <v/>
      </c>
      <c r="MU14">
        <f>IF('calcA'!DH$106=1,HG14,1)</f>
        <v/>
      </c>
      <c r="MV14">
        <f>IF('calcA'!DI$106=1,HH14,1)</f>
        <v/>
      </c>
      <c r="MW14">
        <f>IF('calcA'!DJ$106=1,HI14,1)</f>
        <v/>
      </c>
      <c r="MX14">
        <f>IF('calcA'!DK$106=1,HJ14,1)</f>
        <v/>
      </c>
      <c r="MY14">
        <f>IF('calcA'!DL$106=1,HK14,1)</f>
        <v/>
      </c>
      <c r="MZ14">
        <f>IF('calcA'!DM$106=1,HL14,1)</f>
        <v/>
      </c>
      <c r="NA14">
        <f>IF('calcA'!DN$106=1,HM14,1)</f>
        <v/>
      </c>
      <c r="NB14">
        <f>IF('calcA'!DO$106=1,HN14,1)</f>
        <v/>
      </c>
      <c r="NC14">
        <f>IF('calcA'!DP$106=1,HO14,1)</f>
        <v/>
      </c>
      <c r="ND14">
        <f>IF('calcA'!DQ$106=1,HP14,1)</f>
        <v/>
      </c>
      <c r="NE14">
        <f>IF('calcA'!DR$106=1,HQ14,1)</f>
        <v/>
      </c>
      <c r="NF14">
        <f>IF('calcA'!DS$106=1,HR14,1)</f>
        <v/>
      </c>
      <c r="NG14">
        <f>IF('calcA'!DT$106=1,HS14,1)</f>
        <v/>
      </c>
      <c r="NH14">
        <f>IF('calcA'!DU$106=1,HT14,1)</f>
        <v/>
      </c>
      <c r="NI14">
        <f>IF('calcA'!DV$106=1,HU14,1)</f>
        <v/>
      </c>
      <c r="NJ14">
        <f>IF('calcA'!DW$106=1,HV14,1)</f>
        <v/>
      </c>
      <c r="NK14">
        <f>IF('calcA'!DX$106=1,HW14,1)</f>
        <v/>
      </c>
      <c r="NL14">
        <f>IF('calcA'!DY$106=1,HX14,1)</f>
        <v/>
      </c>
      <c r="NM14">
        <f>IF('calcA'!DZ$106=1,HY14,1)</f>
        <v/>
      </c>
      <c r="NN14">
        <f>IF('calcA'!EA$106=1,HZ14,1)</f>
        <v/>
      </c>
      <c r="NO14">
        <f>IF('calcA'!EB$106=1,IA14,1)</f>
        <v/>
      </c>
      <c r="NP14">
        <f>IF('calcA'!EC$106=1,IB14,1)</f>
        <v/>
      </c>
      <c r="NQ14">
        <f>IF('calcA'!ED$106=1,IC14,1)</f>
        <v/>
      </c>
      <c r="NR14">
        <f>IF('calcA'!EE$106=1,ID14,1)</f>
        <v/>
      </c>
      <c r="NS14">
        <f>IF('calcA'!EF$106=1,IE14,1)</f>
        <v/>
      </c>
      <c r="NT14">
        <f>IF('calcA'!EG$106=1,IF14,1)</f>
        <v/>
      </c>
      <c r="NU14">
        <f>IF('calcA'!EH$106=1,IG14,1)</f>
        <v/>
      </c>
      <c r="NV14">
        <f>IF('calcA'!EI$106=1,IH14,1)</f>
        <v/>
      </c>
      <c r="NW14">
        <f>IF('calcA'!EJ$106=1,II14,1)</f>
        <v/>
      </c>
      <c r="NX14">
        <f>IF('calcA'!EK$106=1,IJ14,1)</f>
        <v/>
      </c>
      <c r="NY14">
        <f>IF('calcA'!EL$106=1,IK14,1)</f>
        <v/>
      </c>
      <c r="NZ14">
        <f>IF('calcA'!EM$106=1,IL14,1)</f>
        <v/>
      </c>
      <c r="OA14">
        <f>IF('calcA'!EN$106=1,IM14,1)</f>
        <v/>
      </c>
      <c r="OB14">
        <f>IF('calcA'!EO$106=1,IN14,1)</f>
        <v/>
      </c>
      <c r="OC14">
        <f>IF('calcA'!EP$106=1,IO14,1)</f>
        <v/>
      </c>
      <c r="OD14" t="n">
        <v>1</v>
      </c>
      <c r="OF14">
        <f>IF($B14=0,1000000000,IF(INDEX('calcA'!$D$60:$EQ$99,$B14,1)*IF($W14=1,DB14+ZQ14,DB14)=1,IF(AND($E14=2,IF($W14=1,AFF14,IQ14)=0),1000000000,IF($V14=1,INDEX('calcA'!$D$130:$EQ$169,$B14,1)+IF(AND($E14=1,IQ14=0),25,0),IF($F14&gt;0,INDEX('calcA'!D$110:D$114,$F14+1)+IF(AND($E14=1,IQ14=0),1000,0),MIN(TU14,20)*400+(IF('calcA'!D$106=1,1-DC14,0))*150+11+'calcA'!D$5*100000+IF(AND($E14=1,IQ14=0),50000,0))+IF($H14=1,INDEX('calcA'!$D$180:$EQ$219,$B14,1)*4000,0)-IF(AND($U14=1,'calcA'!D$117=1,DC14=0),2000,0))),1000000000))</f>
        <v/>
      </c>
      <c r="OG14">
        <f>IF($B14=0,1000000000,IF(INDEX('calcA'!$D$60:$EQ$99,$B14,2)*IF($W14=1,DC14+ZR14,DC14)=1,IF(AND($E14=2,IF($W14=1,AFG14,IR14)=0),1000000000,IF($V14=1,INDEX('calcA'!$D$130:$EQ$169,$B14,2)+IF(AND($E14=1,IR14=0),25,0),IF($F14&gt;0,INDEX('calcA'!E$110:E$114,$F14+1)+IF(AND($E14=1,IR14=0),1000,0),MIN(TU14,20)*400+(IF('calcA'!D$106=1,1-DB14,0)+IF('calcA'!E$106=1,1-DD14,0))*150+21+'calcA'!E$5*100000+IF(AND($E14=1,IR14=0),50000,0))+IF($H14=1,INDEX('calcA'!$D$180:$EQ$219,$B14,2)*4000,0)-IF(AND('calcA'!D$117=1,UB14&gt;0),2000,0)-IF(AND($U14=1,'calcA'!E$117=1,DD14=0),2000,0))),1000000000))</f>
        <v/>
      </c>
      <c r="OH14">
        <f>IF($B14=0,1000000000,IF(INDEX('calcA'!$D$60:$EQ$99,$B14,3)*IF($W14=1,DD14+ZS14,DD14)=1,IF(AND($E14=2,IF($W14=1,AFH14,IS14)=0),1000000000,IF($V14=1,INDEX('calcA'!$D$130:$EQ$169,$B14,3)+IF(AND($E14=1,IS14=0),25,0),IF($F14&gt;0,INDEX('calcA'!F$110:F$114,$F14+1)+IF(AND($E14=1,IS14=0),1000,0),MIN(TU14,20)*400+(IF('calcA'!E$106=1,1-DC14,0)+IF('calcA'!F$106=1,1-DE14,0))*150+31+'calcA'!F$5*100000+IF(AND($E14=1,IS14=0),50000,0))+IF($H14=1,INDEX('calcA'!$D$180:$EQ$219,$B14,3)*4000,0)-IF(AND('calcA'!E$117=1,UC14&gt;0),2000,0)-IF(AND($U14=1,'calcA'!F$117=1,DE14=0),2000,0))),1000000000))</f>
        <v/>
      </c>
      <c r="OI14">
        <f>IF($B14=0,1000000000,IF(INDEX('calcA'!$D$60:$EQ$99,$B14,4)*IF($W14=1,DE14+ZT14,DE14)=1,IF(AND($E14=2,IF($W14=1,AFI14,IT14)=0),1000000000,IF($V14=1,INDEX('calcA'!$D$130:$EQ$169,$B14,4)+IF(AND($E14=1,IT14=0),25,0),IF($F14&gt;0,INDEX('calcA'!G$110:G$114,$F14+1)+IF(AND($E14=1,IT14=0),1000,0),MIN(TU14,20)*400+(IF('calcA'!F$106=1,1-DD14,0)+IF('calcA'!G$106=1,1-DF14,0))*150+41+'calcA'!G$5*100000+IF(AND($E14=1,IT14=0),50000,0))+IF($H14=1,INDEX('calcA'!$D$180:$EQ$219,$B14,4)*4000,0)-IF(AND('calcA'!F$117=1,UD14&gt;0),2000,0)-IF(AND($U14=1,'calcA'!G$117=1,DF14=0),2000,0))),1000000000))</f>
        <v/>
      </c>
      <c r="OJ14">
        <f>IF($B14=0,1000000000,IF(INDEX('calcA'!$D$60:$EQ$99,$B14,5)*IF($W14=1,DF14+ZU14,DF14)=1,IF(AND($E14=2,IF($W14=1,AFJ14,IU14)=0),1000000000,IF($V14=1,INDEX('calcA'!$D$130:$EQ$169,$B14,5)+IF(AND($E14=1,IU14=0),25,0),IF($F14&gt;0,INDEX('calcA'!H$110:H$114,$F14+1)+IF(AND($E14=1,IU14=0),1000,0),MIN(TU14,20)*400+(IF('calcA'!G$106=1,1-DE14,0)+IF('calcA'!H$106=1,1-DG14,0))*150+51+'calcA'!H$5*100000+IF(AND($E14=1,IU14=0),50000,0))+IF($H14=1,INDEX('calcA'!$D$180:$EQ$219,$B14,5)*4000,0)-IF(AND('calcA'!G$117=1,UE14&gt;0),2000,0)-IF(AND($U14=1,'calcA'!H$117=1,DG14=0),2000,0))),1000000000))</f>
        <v/>
      </c>
      <c r="OK14">
        <f>IF($B14=0,1000000000,IF(INDEX('calcA'!$D$60:$EQ$99,$B14,6)*IF($W14=1,DG14+ZV14,DG14)=1,IF(AND($E14=2,IF($W14=1,AFK14,IV14)=0),1000000000,IF($V14=1,INDEX('calcA'!$D$130:$EQ$169,$B14,6)+IF(AND($E14=1,IV14=0),25,0),IF($F14&gt;0,INDEX('calcA'!I$110:I$114,$F14+1)+IF(AND($E14=1,IV14=0),1000,0),MIN(TU14,20)*400+(IF('calcA'!H$106=1,1-DF14,0)+IF('calcA'!I$106=1,1-DH14,0))*150+61+'calcA'!I$5*100000+IF(AND($E14=1,IV14=0),50000,0))+IF($H14=1,INDEX('calcA'!$D$180:$EQ$219,$B14,6)*4000,0)-IF(AND('calcA'!H$117=1,UF14&gt;0),2000,0)-IF(AND($U14=1,'calcA'!I$117=1,DH14=0),2000,0))),1000000000))</f>
        <v/>
      </c>
      <c r="OL14">
        <f>IF($B14=0,1000000000,IF(INDEX('calcA'!$D$60:$EQ$99,$B14,7)*IF($W14=1,DH14+ZW14,DH14)=1,IF(AND($E14=2,IF($W14=1,AFL14,IW14)=0),1000000000,IF($V14=1,INDEX('calcA'!$D$130:$EQ$169,$B14,7)+IF(AND($E14=1,IW14=0),25,0),IF($F14&gt;0,INDEX('calcA'!J$110:J$114,$F14+1)+IF(AND($E14=1,IW14=0),1000,0),MIN(TU14,20)*400+(IF('calcA'!I$106=1,1-DG14,0)+IF('calcA'!J$106=1,1-DI14,0))*150+71+'calcA'!J$5*100000+IF(AND($E14=1,IW14=0),50000,0))+IF($H14=1,INDEX('calcA'!$D$180:$EQ$219,$B14,7)*4000,0)-IF(AND('calcA'!I$117=1,UG14&gt;0),2000,0)-IF(AND($U14=1,'calcA'!J$117=1,DI14=0),2000,0))),1000000000))</f>
        <v/>
      </c>
      <c r="OM14">
        <f>IF($B14=0,1000000000,IF(INDEX('calcA'!$D$60:$EQ$99,$B14,8)*IF($W14=1,DI14+ZX14,DI14)=1,IF(AND($E14=2,IF($W14=1,AFM14,IX14)=0),1000000000,IF($V14=1,INDEX('calcA'!$D$130:$EQ$169,$B14,8)+IF(AND($E14=1,IX14=0),25,0),IF($F14&gt;0,INDEX('calcA'!K$110:K$114,$F14+1)+IF(AND($E14=1,IX14=0),1000,0),MIN(TU14,20)*400+(IF('calcA'!J$106=1,1-DH14,0)+IF('calcA'!K$106=1,1-DJ14,0))*150+81+'calcA'!K$5*100000+IF(AND($E14=1,IX14=0),50000,0))+IF($H14=1,INDEX('calcA'!$D$180:$EQ$219,$B14,8)*4000,0)-IF(AND('calcA'!J$117=1,UH14&gt;0),2000,0)-IF(AND($U14=1,'calcA'!K$117=1,DJ14=0),2000,0))),1000000000))</f>
        <v/>
      </c>
      <c r="ON14">
        <f>IF($B14=0,1000000000,IF(INDEX('calcA'!$D$60:$EQ$99,$B14,9)*IF($W14=1,DJ14+ZY14,DJ14)=1,IF(AND($E14=2,IF($W14=1,AFN14,IY14)=0),1000000000,IF($V14=1,INDEX('calcA'!$D$130:$EQ$169,$B14,9)+IF(AND($E14=1,IY14=0),25,0),IF($F14&gt;0,INDEX('calcA'!L$110:L$114,$F14+1)+IF(AND($E14=1,IY14=0),1000,0),MIN(TU14,20)*400+(IF('calcA'!K$106=1,1-DI14,0)+IF('calcA'!L$106=1,1-DK14,0))*150+91+'calcA'!L$5*100000+IF(AND($E14=1,IY14=0),50000,0))+IF($H14=1,INDEX('calcA'!$D$180:$EQ$219,$B14,9)*4000,0)-IF(AND('calcA'!K$117=1,UI14&gt;0),2000,0)-IF(AND($U14=1,'calcA'!L$117=1,DK14=0),2000,0))),1000000000))</f>
        <v/>
      </c>
      <c r="OO14">
        <f>IF($B14=0,1000000000,IF(INDEX('calcA'!$D$60:$EQ$99,$B14,10)*IF($W14=1,DK14+ZZ14,DK14)=1,IF(AND($E14=2,IF($W14=1,AFO14,IZ14)=0),1000000000,IF($V14=1,INDEX('calcA'!$D$130:$EQ$169,$B14,10)+IF(AND($E14=1,IZ14=0),25,0),IF($F14&gt;0,INDEX('calcA'!M$110:M$114,$F14+1)+IF(AND($E14=1,IZ14=0),1000,0),MIN(TU14,20)*400+(IF('calcA'!L$106=1,1-DJ14,0)+IF('calcA'!M$106=1,1-DL14,0))*150+101+'calcA'!M$5*100000+IF(AND($E14=1,IZ14=0),50000,0))+IF($H14=1,INDEX('calcA'!$D$180:$EQ$219,$B14,10)*4000,0)-IF(AND('calcA'!L$117=1,UJ14&gt;0),2000,0)-IF(AND($U14=1,'calcA'!M$117=1,DL14=0),2000,0))),1000000000))</f>
        <v/>
      </c>
      <c r="OP14">
        <f>IF($B14=0,1000000000,IF(INDEX('calcA'!$D$60:$EQ$99,$B14,11)*IF($W14=1,DL14+AAA14,DL14)=1,IF(AND($E14=2,IF($W14=1,AFP14,JA14)=0),1000000000,IF($V14=1,INDEX('calcA'!$D$130:$EQ$169,$B14,11)+IF(AND($E14=1,JA14=0),25,0),IF($F14&gt;0,INDEX('calcA'!N$110:N$114,$F14+1)+IF(AND($E14=1,JA14=0),1000,0),MIN(TU14,20)*400+(IF('calcA'!M$106=1,1-DK14,0)+IF('calcA'!N$106=1,1-DM14,0))*150+111+'calcA'!N$5*100000+IF(AND($E14=1,JA14=0),50000,0))+IF($H14=1,INDEX('calcA'!$D$180:$EQ$219,$B14,11)*4000,0)-IF(AND('calcA'!M$117=1,UK14&gt;0),2000,0)-IF(AND($U14=1,'calcA'!N$117=1,DM14=0),2000,0))),1000000000))</f>
        <v/>
      </c>
      <c r="OQ14">
        <f>IF($B14=0,1000000000,IF(INDEX('calcA'!$D$60:$EQ$99,$B14,12)*IF($W14=1,DM14+AAB14,DM14)=1,IF(AND($E14=2,IF($W14=1,AFQ14,JB14)=0),1000000000,IF($V14=1,INDEX('calcA'!$D$130:$EQ$169,$B14,12)+IF(AND($E14=1,JB14=0),25,0),IF($F14&gt;0,INDEX('calcA'!O$110:O$114,$F14+1)+IF(AND($E14=1,JB14=0),1000,0),MIN(TU14,20)*400+(IF('calcA'!N$106=1,1-DL14,0)+IF('calcA'!O$106=1,1-DN14,0))*150+121+'calcA'!O$5*100000+IF(AND($E14=1,JB14=0),50000,0))+IF($H14=1,INDEX('calcA'!$D$180:$EQ$219,$B14,12)*4000,0)-IF(AND('calcA'!N$117=1,UL14&gt;0),2000,0)-IF(AND($U14=1,'calcA'!O$117=1,DN14=0),2000,0))),1000000000))</f>
        <v/>
      </c>
      <c r="OR14">
        <f>IF($B14=0,1000000000,IF(INDEX('calcA'!$D$60:$EQ$99,$B14,13)*IF($W14=1,DN14+AAC14,DN14)=1,IF(AND($E14=2,IF($W14=1,AFR14,JC14)=0),1000000000,IF($V14=1,INDEX('calcA'!$D$130:$EQ$169,$B14,13)+IF(AND($E14=1,JC14=0),25,0),IF($F14&gt;0,INDEX('calcA'!P$110:P$114,$F14+1)+IF(AND($E14=1,JC14=0),1000,0),MIN(TU14,20)*400+(IF('calcA'!O$106=1,1-DM14,0)+IF('calcA'!P$106=1,1-DO14,0))*150+131+'calcA'!P$5*100000+IF(AND($E14=1,JC14=0),50000,0))+IF($H14=1,INDEX('calcA'!$D$180:$EQ$219,$B14,13)*4000,0)-IF(AND('calcA'!O$117=1,UM14&gt;0),2000,0)-IF(AND($U14=1,'calcA'!P$117=1,DO14=0),2000,0))),1000000000))</f>
        <v/>
      </c>
      <c r="OS14">
        <f>IF($B14=0,1000000000,IF(INDEX('calcA'!$D$60:$EQ$99,$B14,14)*IF($W14=1,DO14+AAD14,DO14)=1,IF(AND($E14=2,IF($W14=1,AFS14,JD14)=0),1000000000,IF($V14=1,INDEX('calcA'!$D$130:$EQ$169,$B14,14)+IF(AND($E14=1,JD14=0),25,0),IF($F14&gt;0,INDEX('calcA'!Q$110:Q$114,$F14+1)+IF(AND($E14=1,JD14=0),1000,0),MIN(TU14,20)*400+(IF('calcA'!P$106=1,1-DN14,0)+IF('calcA'!Q$106=1,1-DP14,0))*150+141+'calcA'!Q$5*100000+IF(AND($E14=1,JD14=0),50000,0))+IF($H14=1,INDEX('calcA'!$D$180:$EQ$219,$B14,14)*4000,0)-IF(AND('calcA'!P$117=1,UN14&gt;0),2000,0)-IF(AND($U14=1,'calcA'!Q$117=1,DP14=0),2000,0))),1000000000))</f>
        <v/>
      </c>
      <c r="OT14">
        <f>IF($B14=0,1000000000,IF(INDEX('calcA'!$D$60:$EQ$99,$B14,15)*IF($W14=1,DP14+AAE14,DP14)=1,IF(AND($E14=2,IF($W14=1,AFT14,JE14)=0),1000000000,IF($V14=1,INDEX('calcA'!$D$130:$EQ$169,$B14,15)+IF(AND($E14=1,JE14=0),25,0),IF($F14&gt;0,INDEX('calcA'!R$110:R$114,$F14+1)+IF(AND($E14=1,JE14=0),1000,0),MIN(TU14,20)*400+(IF('calcA'!Q$106=1,1-DO14,0)+IF('calcA'!R$106=1,1-DQ14,0))*150+151+'calcA'!R$5*100000+IF(AND($E14=1,JE14=0),50000,0))+IF($H14=1,INDEX('calcA'!$D$180:$EQ$219,$B14,15)*4000,0)-IF(AND('calcA'!Q$117=1,UO14&gt;0),2000,0)-IF(AND($U14=1,'calcA'!R$117=1,DQ14=0),2000,0))),1000000000))</f>
        <v/>
      </c>
      <c r="OU14">
        <f>IF($B14=0,1000000000,IF(INDEX('calcA'!$D$60:$EQ$99,$B14,16)*IF($W14=1,DQ14+AAF14,DQ14)=1,IF(AND($E14=2,IF($W14=1,AFU14,JF14)=0),1000000000,IF($V14=1,INDEX('calcA'!$D$130:$EQ$169,$B14,16)+IF(AND($E14=1,JF14=0),25,0),IF($F14&gt;0,INDEX('calcA'!S$110:S$114,$F14+1)+IF(AND($E14=1,JF14=0),1000,0),MIN(TU14,20)*400+(IF('calcA'!R$106=1,1-DP14,0)+IF('calcA'!S$106=1,1-DR14,0))*150+161+'calcA'!S$5*100000+IF(AND($E14=1,JF14=0),50000,0))+IF($H14=1,INDEX('calcA'!$D$180:$EQ$219,$B14,16)*4000,0)-IF(AND('calcA'!R$117=1,UP14&gt;0),2000,0)-IF(AND($U14=1,'calcA'!S$117=1,DR14=0),2000,0))),1000000000))</f>
        <v/>
      </c>
      <c r="OV14">
        <f>IF($B14=0,1000000000,IF(INDEX('calcA'!$D$60:$EQ$99,$B14,17)*IF($W14=1,DR14+AAG14,DR14)=1,IF(AND($E14=2,IF($W14=1,AFV14,JG14)=0),1000000000,IF($V14=1,INDEX('calcA'!$D$130:$EQ$169,$B14,17)+IF(AND($E14=1,JG14=0),25,0),IF($F14&gt;0,INDEX('calcA'!T$110:T$114,$F14+1)+IF(AND($E14=1,JG14=0),1000,0),MIN(TU14,20)*400+(IF('calcA'!S$106=1,1-DQ14,0)+IF('calcA'!T$106=1,1-DS14,0))*150+171+'calcA'!T$5*100000+IF(AND($E14=1,JG14=0),50000,0))+IF($H14=1,INDEX('calcA'!$D$180:$EQ$219,$B14,17)*4000,0)-IF(AND('calcA'!S$117=1,UQ14&gt;0),2000,0)-IF(AND($U14=1,'calcA'!T$117=1,DS14=0),2000,0))),1000000000))</f>
        <v/>
      </c>
      <c r="OW14">
        <f>IF($B14=0,1000000000,IF(INDEX('calcA'!$D$60:$EQ$99,$B14,18)*IF($W14=1,DS14+AAH14,DS14)=1,IF(AND($E14=2,IF($W14=1,AFW14,JH14)=0),1000000000,IF($V14=1,INDEX('calcA'!$D$130:$EQ$169,$B14,18)+IF(AND($E14=1,JH14=0),25,0),IF($F14&gt;0,INDEX('calcA'!U$110:U$114,$F14+1)+IF(AND($E14=1,JH14=0),1000,0),MIN(TU14,20)*400+(IF('calcA'!T$106=1,1-DR14,0)+IF('calcA'!U$106=1,1-DT14,0))*150+181+'calcA'!U$5*100000+IF(AND($E14=1,JH14=0),50000,0))+IF($H14=1,INDEX('calcA'!$D$180:$EQ$219,$B14,18)*4000,0)-IF(AND('calcA'!T$117=1,UR14&gt;0),2000,0)-IF(AND($U14=1,'calcA'!U$117=1,DT14=0),2000,0))),1000000000))</f>
        <v/>
      </c>
      <c r="OX14">
        <f>IF($B14=0,1000000000,IF(INDEX('calcA'!$D$60:$EQ$99,$B14,19)*IF($W14=1,DT14+AAI14,DT14)=1,IF(AND($E14=2,IF($W14=1,AFX14,JI14)=0),1000000000,IF($V14=1,INDEX('calcA'!$D$130:$EQ$169,$B14,19)+IF(AND($E14=1,JI14=0),25,0),IF($F14&gt;0,INDEX('calcA'!V$110:V$114,$F14+1)+IF(AND($E14=1,JI14=0),1000,0),MIN(TU14,20)*400+(IF('calcA'!U$106=1,1-DS14,0)+IF('calcA'!V$106=1,1-DU14,0))*150+191+'calcA'!V$5*100000+IF(AND($E14=1,JI14=0),50000,0))+IF($H14=1,INDEX('calcA'!$D$180:$EQ$219,$B14,19)*4000,0)-IF(AND('calcA'!U$117=1,US14&gt;0),2000,0)-IF(AND($U14=1,'calcA'!V$117=1,DU14=0),2000,0))),1000000000))</f>
        <v/>
      </c>
      <c r="OY14">
        <f>IF($B14=0,1000000000,IF(INDEX('calcA'!$D$60:$EQ$99,$B14,20)*IF($W14=1,DU14+AAJ14,DU14)=1,IF(AND($E14=2,IF($W14=1,AFY14,JJ14)=0),1000000000,IF($V14=1,INDEX('calcA'!$D$130:$EQ$169,$B14,20)+IF(AND($E14=1,JJ14=0),25,0),IF($F14&gt;0,INDEX('calcA'!W$110:W$114,$F14+1)+IF(AND($E14=1,JJ14=0),1000,0),MIN(TU14,20)*400+(IF('calcA'!V$106=1,1-DT14,0)+IF('calcA'!W$106=1,1-DV14,0))*150+201+'calcA'!W$5*100000+IF(AND($E14=1,JJ14=0),50000,0))+IF($H14=1,INDEX('calcA'!$D$180:$EQ$219,$B14,20)*4000,0)-IF(AND('calcA'!V$117=1,UT14&gt;0),2000,0)-IF(AND($U14=1,'calcA'!W$117=1,DV14=0),2000,0))),1000000000))</f>
        <v/>
      </c>
      <c r="OZ14">
        <f>IF($B14=0,1000000000,IF(INDEX('calcA'!$D$60:$EQ$99,$B14,21)*IF($W14=1,DV14+AAK14,DV14)=1,IF(AND($E14=2,IF($W14=1,AFZ14,JK14)=0),1000000000,IF($V14=1,INDEX('calcA'!$D$130:$EQ$169,$B14,21)+IF(AND($E14=1,JK14=0),25,0),IF($F14&gt;0,INDEX('calcA'!X$110:X$114,$F14+1)+IF(AND($E14=1,JK14=0),1000,0),MIN(TU14,20)*400+(IF('calcA'!W$106=1,1-DU14,0)+IF('calcA'!X$106=1,1-DW14,0))*150+211+'calcA'!X$5*100000+IF(AND($E14=1,JK14=0),50000,0))+IF($H14=1,INDEX('calcA'!$D$180:$EQ$219,$B14,21)*4000,0)-IF(AND('calcA'!W$117=1,UU14&gt;0),2000,0)-IF(AND($U14=1,'calcA'!X$117=1,DW14=0),2000,0))),1000000000))</f>
        <v/>
      </c>
      <c r="PA14">
        <f>IF($B14=0,1000000000,IF(INDEX('calcA'!$D$60:$EQ$99,$B14,22)*IF($W14=1,DW14+AAL14,DW14)=1,IF(AND($E14=2,IF($W14=1,AGA14,JL14)=0),1000000000,IF($V14=1,INDEX('calcA'!$D$130:$EQ$169,$B14,22)+IF(AND($E14=1,JL14=0),25,0),IF($F14&gt;0,INDEX('calcA'!Y$110:Y$114,$F14+1)+IF(AND($E14=1,JL14=0),1000,0),MIN(TU14,20)*400+(IF('calcA'!X$106=1,1-DV14,0)+IF('calcA'!Y$106=1,1-DX14,0))*150+221+'calcA'!Y$5*100000+IF(AND($E14=1,JL14=0),50000,0))+IF($H14=1,INDEX('calcA'!$D$180:$EQ$219,$B14,22)*4000,0)-IF(AND('calcA'!X$117=1,UV14&gt;0),2000,0)-IF(AND($U14=1,'calcA'!Y$117=1,DX14=0),2000,0))),1000000000))</f>
        <v/>
      </c>
      <c r="PB14">
        <f>IF($B14=0,1000000000,IF(INDEX('calcA'!$D$60:$EQ$99,$B14,23)*IF($W14=1,DX14+AAM14,DX14)=1,IF(AND($E14=2,IF($W14=1,AGB14,JM14)=0),1000000000,IF($V14=1,INDEX('calcA'!$D$130:$EQ$169,$B14,23)+IF(AND($E14=1,JM14=0),25,0),IF($F14&gt;0,INDEX('calcA'!Z$110:Z$114,$F14+1)+IF(AND($E14=1,JM14=0),1000,0),MIN(TU14,20)*400+(IF('calcA'!Y$106=1,1-DW14,0)+IF('calcA'!Z$106=1,1-DY14,0))*150+231+'calcA'!Z$5*100000+IF(AND($E14=1,JM14=0),50000,0))+IF($H14=1,INDEX('calcA'!$D$180:$EQ$219,$B14,23)*4000,0)-IF(AND('calcA'!Y$117=1,UW14&gt;0),2000,0)-IF(AND($U14=1,'calcA'!Z$117=1,DY14=0),2000,0))),1000000000))</f>
        <v/>
      </c>
      <c r="PC14">
        <f>IF($B14=0,1000000000,IF(INDEX('calcA'!$D$60:$EQ$99,$B14,24)*IF($W14=1,DY14+AAN14,DY14)=1,IF(AND($E14=2,IF($W14=1,AGC14,JN14)=0),1000000000,IF($V14=1,INDEX('calcA'!$D$130:$EQ$169,$B14,24)+IF(AND($E14=1,JN14=0),25,0),IF($F14&gt;0,INDEX('calcA'!AA$110:AA$114,$F14+1)+IF(AND($E14=1,JN14=0),1000,0),MIN(TU14,20)*400+(IF('calcA'!Z$106=1,1-DX14,0))*150+241+'calcA'!AA$5*100000+IF(AND($E14=1,JN14=0),50000,0))+IF($H14=1,INDEX('calcA'!$D$180:$EQ$219,$B14,24)*4000,0)-IF(AND('calcA'!Z$117=1,UX14&gt;0),2000,0))),1000000000))</f>
        <v/>
      </c>
      <c r="PD14">
        <f>IF($B14=0,1000000000,IF(INDEX('calcA'!$D$60:$EQ$99,$B14,25)*IF($W14=1,DZ14+AAO14,DZ14)=1,IF(AND($E14=2,IF($W14=1,AGD14,JO14)=0),1000000000,IF($V14=1,INDEX('calcA'!$D$130:$EQ$169,$B14,25)+IF(AND($E14=1,JO14=0),25,0),IF($F14&gt;0,INDEX('calcA'!AB$110:AB$114,$F14+1)+IF(AND($E14=1,JO14=0),1000,0),MIN(TV14,20)*400+(IF('calcA'!AB$106=1,1-EA14,0))*150+12+'calcA'!AB$5*100000+IF(AND($E14=1,JO14=0),50000,0))+IF($H14=1,INDEX('calcA'!$D$180:$EQ$219,$B14,25)*4000,0)-IF(AND($U14=1,'calcA'!AB$117=1,EA14=0),2000,0))),1000000000))</f>
        <v/>
      </c>
      <c r="PE14">
        <f>IF($B14=0,1000000000,IF(INDEX('calcA'!$D$60:$EQ$99,$B14,26)*IF($W14=1,EA14+AAP14,EA14)=1,IF(AND($E14=2,IF($W14=1,AGE14,JP14)=0),1000000000,IF($V14=1,INDEX('calcA'!$D$130:$EQ$169,$B14,26)+IF(AND($E14=1,JP14=0),25,0),IF($F14&gt;0,INDEX('calcA'!AC$110:AC$114,$F14+1)+IF(AND($E14=1,JP14=0),1000,0),MIN(TV14,20)*400+(IF('calcA'!AB$106=1,1-DZ14,0)+IF('calcA'!AC$106=1,1-EB14,0))*150+22+'calcA'!AC$5*100000+IF(AND($E14=1,JP14=0),50000,0))+IF($H14=1,INDEX('calcA'!$D$180:$EQ$219,$B14,26)*4000,0)-IF(AND('calcA'!AB$117=1,UZ14&gt;0),2000,0)-IF(AND($U14=1,'calcA'!AC$117=1,EB14=0),2000,0))),1000000000))</f>
        <v/>
      </c>
      <c r="PF14">
        <f>IF($B14=0,1000000000,IF(INDEX('calcA'!$D$60:$EQ$99,$B14,27)*IF($W14=1,EB14+AAQ14,EB14)=1,IF(AND($E14=2,IF($W14=1,AGF14,JQ14)=0),1000000000,IF($V14=1,INDEX('calcA'!$D$130:$EQ$169,$B14,27)+IF(AND($E14=1,JQ14=0),25,0),IF($F14&gt;0,INDEX('calcA'!AD$110:AD$114,$F14+1)+IF(AND($E14=1,JQ14=0),1000,0),MIN(TV14,20)*400+(IF('calcA'!AC$106=1,1-EA14,0)+IF('calcA'!AD$106=1,1-EC14,0))*150+32+'calcA'!AD$5*100000+IF(AND($E14=1,JQ14=0),50000,0))+IF($H14=1,INDEX('calcA'!$D$180:$EQ$219,$B14,27)*4000,0)-IF(AND('calcA'!AC$117=1,VA14&gt;0),2000,0)-IF(AND($U14=1,'calcA'!AD$117=1,EC14=0),2000,0))),1000000000))</f>
        <v/>
      </c>
      <c r="PG14">
        <f>IF($B14=0,1000000000,IF(INDEX('calcA'!$D$60:$EQ$99,$B14,28)*IF($W14=1,EC14+AAR14,EC14)=1,IF(AND($E14=2,IF($W14=1,AGG14,JR14)=0),1000000000,IF($V14=1,INDEX('calcA'!$D$130:$EQ$169,$B14,28)+IF(AND($E14=1,JR14=0),25,0),IF($F14&gt;0,INDEX('calcA'!AE$110:AE$114,$F14+1)+IF(AND($E14=1,JR14=0),1000,0),MIN(TV14,20)*400+(IF('calcA'!AD$106=1,1-EB14,0)+IF('calcA'!AE$106=1,1-ED14,0))*150+42+'calcA'!AE$5*100000+IF(AND($E14=1,JR14=0),50000,0))+IF($H14=1,INDEX('calcA'!$D$180:$EQ$219,$B14,28)*4000,0)-IF(AND('calcA'!AD$117=1,VB14&gt;0),2000,0)-IF(AND($U14=1,'calcA'!AE$117=1,ED14=0),2000,0))),1000000000))</f>
        <v/>
      </c>
      <c r="PH14">
        <f>IF($B14=0,1000000000,IF(INDEX('calcA'!$D$60:$EQ$99,$B14,29)*IF($W14=1,ED14+AAS14,ED14)=1,IF(AND($E14=2,IF($W14=1,AGH14,JS14)=0),1000000000,IF($V14=1,INDEX('calcA'!$D$130:$EQ$169,$B14,29)+IF(AND($E14=1,JS14=0),25,0),IF($F14&gt;0,INDEX('calcA'!AF$110:AF$114,$F14+1)+IF(AND($E14=1,JS14=0),1000,0),MIN(TV14,20)*400+(IF('calcA'!AE$106=1,1-EC14,0)+IF('calcA'!AF$106=1,1-EE14,0))*150+52+'calcA'!AF$5*100000+IF(AND($E14=1,JS14=0),50000,0))+IF($H14=1,INDEX('calcA'!$D$180:$EQ$219,$B14,29)*4000,0)-IF(AND('calcA'!AE$117=1,VC14&gt;0),2000,0)-IF(AND($U14=1,'calcA'!AF$117=1,EE14=0),2000,0))),1000000000))</f>
        <v/>
      </c>
      <c r="PI14">
        <f>IF($B14=0,1000000000,IF(INDEX('calcA'!$D$60:$EQ$99,$B14,30)*IF($W14=1,EE14+AAT14,EE14)=1,IF(AND($E14=2,IF($W14=1,AGI14,JT14)=0),1000000000,IF($V14=1,INDEX('calcA'!$D$130:$EQ$169,$B14,30)+IF(AND($E14=1,JT14=0),25,0),IF($F14&gt;0,INDEX('calcA'!AG$110:AG$114,$F14+1)+IF(AND($E14=1,JT14=0),1000,0),MIN(TV14,20)*400+(IF('calcA'!AF$106=1,1-ED14,0)+IF('calcA'!AG$106=1,1-EF14,0))*150+62+'calcA'!AG$5*100000+IF(AND($E14=1,JT14=0),50000,0))+IF($H14=1,INDEX('calcA'!$D$180:$EQ$219,$B14,30)*4000,0)-IF(AND('calcA'!AF$117=1,VD14&gt;0),2000,0)-IF(AND($U14=1,'calcA'!AG$117=1,EF14=0),2000,0))),1000000000))</f>
        <v/>
      </c>
      <c r="PJ14">
        <f>IF($B14=0,1000000000,IF(INDEX('calcA'!$D$60:$EQ$99,$B14,31)*IF($W14=1,EF14+AAU14,EF14)=1,IF(AND($E14=2,IF($W14=1,AGJ14,JU14)=0),1000000000,IF($V14=1,INDEX('calcA'!$D$130:$EQ$169,$B14,31)+IF(AND($E14=1,JU14=0),25,0),IF($F14&gt;0,INDEX('calcA'!AH$110:AH$114,$F14+1)+IF(AND($E14=1,JU14=0),1000,0),MIN(TV14,20)*400+(IF('calcA'!AG$106=1,1-EE14,0)+IF('calcA'!AH$106=1,1-EG14,0))*150+72+'calcA'!AH$5*100000+IF(AND($E14=1,JU14=0),50000,0))+IF($H14=1,INDEX('calcA'!$D$180:$EQ$219,$B14,31)*4000,0)-IF(AND('calcA'!AG$117=1,VE14&gt;0),2000,0)-IF(AND($U14=1,'calcA'!AH$117=1,EG14=0),2000,0))),1000000000))</f>
        <v/>
      </c>
      <c r="PK14">
        <f>IF($B14=0,1000000000,IF(INDEX('calcA'!$D$60:$EQ$99,$B14,32)*IF($W14=1,EG14+AAV14,EG14)=1,IF(AND($E14=2,IF($W14=1,AGK14,JV14)=0),1000000000,IF($V14=1,INDEX('calcA'!$D$130:$EQ$169,$B14,32)+IF(AND($E14=1,JV14=0),25,0),IF($F14&gt;0,INDEX('calcA'!AI$110:AI$114,$F14+1)+IF(AND($E14=1,JV14=0),1000,0),MIN(TV14,20)*400+(IF('calcA'!AH$106=1,1-EF14,0)+IF('calcA'!AI$106=1,1-EH14,0))*150+82+'calcA'!AI$5*100000+IF(AND($E14=1,JV14=0),50000,0))+IF($H14=1,INDEX('calcA'!$D$180:$EQ$219,$B14,32)*4000,0)-IF(AND('calcA'!AH$117=1,VF14&gt;0),2000,0)-IF(AND($U14=1,'calcA'!AI$117=1,EH14=0),2000,0))),1000000000))</f>
        <v/>
      </c>
      <c r="PL14">
        <f>IF($B14=0,1000000000,IF(INDEX('calcA'!$D$60:$EQ$99,$B14,33)*IF($W14=1,EH14+AAW14,EH14)=1,IF(AND($E14=2,IF($W14=1,AGL14,JW14)=0),1000000000,IF($V14=1,INDEX('calcA'!$D$130:$EQ$169,$B14,33)+IF(AND($E14=1,JW14=0),25,0),IF($F14&gt;0,INDEX('calcA'!AJ$110:AJ$114,$F14+1)+IF(AND($E14=1,JW14=0),1000,0),MIN(TV14,20)*400+(IF('calcA'!AI$106=1,1-EG14,0)+IF('calcA'!AJ$106=1,1-EI14,0))*150+92+'calcA'!AJ$5*100000+IF(AND($E14=1,JW14=0),50000,0))+IF($H14=1,INDEX('calcA'!$D$180:$EQ$219,$B14,33)*4000,0)-IF(AND('calcA'!AI$117=1,VG14&gt;0),2000,0)-IF(AND($U14=1,'calcA'!AJ$117=1,EI14=0),2000,0))),1000000000))</f>
        <v/>
      </c>
      <c r="PM14">
        <f>IF($B14=0,1000000000,IF(INDEX('calcA'!$D$60:$EQ$99,$B14,34)*IF($W14=1,EI14+AAX14,EI14)=1,IF(AND($E14=2,IF($W14=1,AGM14,JX14)=0),1000000000,IF($V14=1,INDEX('calcA'!$D$130:$EQ$169,$B14,34)+IF(AND($E14=1,JX14=0),25,0),IF($F14&gt;0,INDEX('calcA'!AK$110:AK$114,$F14+1)+IF(AND($E14=1,JX14=0),1000,0),MIN(TV14,20)*400+(IF('calcA'!AJ$106=1,1-EH14,0)+IF('calcA'!AK$106=1,1-EJ14,0))*150+102+'calcA'!AK$5*100000+IF(AND($E14=1,JX14=0),50000,0))+IF($H14=1,INDEX('calcA'!$D$180:$EQ$219,$B14,34)*4000,0)-IF(AND('calcA'!AJ$117=1,VH14&gt;0),2000,0)-IF(AND($U14=1,'calcA'!AK$117=1,EJ14=0),2000,0))),1000000000))</f>
        <v/>
      </c>
      <c r="PN14">
        <f>IF($B14=0,1000000000,IF(INDEX('calcA'!$D$60:$EQ$99,$B14,35)*IF($W14=1,EJ14+AAY14,EJ14)=1,IF(AND($E14=2,IF($W14=1,AGN14,JY14)=0),1000000000,IF($V14=1,INDEX('calcA'!$D$130:$EQ$169,$B14,35)+IF(AND($E14=1,JY14=0),25,0),IF($F14&gt;0,INDEX('calcA'!AL$110:AL$114,$F14+1)+IF(AND($E14=1,JY14=0),1000,0),MIN(TV14,20)*400+(IF('calcA'!AK$106=1,1-EI14,0)+IF('calcA'!AL$106=1,1-EK14,0))*150+112+'calcA'!AL$5*100000+IF(AND($E14=1,JY14=0),50000,0))+IF($H14=1,INDEX('calcA'!$D$180:$EQ$219,$B14,35)*4000,0)-IF(AND('calcA'!AK$117=1,VI14&gt;0),2000,0)-IF(AND($U14=1,'calcA'!AL$117=1,EK14=0),2000,0))),1000000000))</f>
        <v/>
      </c>
      <c r="PO14">
        <f>IF($B14=0,1000000000,IF(INDEX('calcA'!$D$60:$EQ$99,$B14,36)*IF($W14=1,EK14+AAZ14,EK14)=1,IF(AND($E14=2,IF($W14=1,AGO14,JZ14)=0),1000000000,IF($V14=1,INDEX('calcA'!$D$130:$EQ$169,$B14,36)+IF(AND($E14=1,JZ14=0),25,0),IF($F14&gt;0,INDEX('calcA'!AM$110:AM$114,$F14+1)+IF(AND($E14=1,JZ14=0),1000,0),MIN(TV14,20)*400+(IF('calcA'!AL$106=1,1-EJ14,0)+IF('calcA'!AM$106=1,1-EL14,0))*150+122+'calcA'!AM$5*100000+IF(AND($E14=1,JZ14=0),50000,0))+IF($H14=1,INDEX('calcA'!$D$180:$EQ$219,$B14,36)*4000,0)-IF(AND('calcA'!AL$117=1,VJ14&gt;0),2000,0)-IF(AND($U14=1,'calcA'!AM$117=1,EL14=0),2000,0))),1000000000))</f>
        <v/>
      </c>
      <c r="PP14">
        <f>IF($B14=0,1000000000,IF(INDEX('calcA'!$D$60:$EQ$99,$B14,37)*IF($W14=1,EL14+ABA14,EL14)=1,IF(AND($E14=2,IF($W14=1,AGP14,KA14)=0),1000000000,IF($V14=1,INDEX('calcA'!$D$130:$EQ$169,$B14,37)+IF(AND($E14=1,KA14=0),25,0),IF($F14&gt;0,INDEX('calcA'!AN$110:AN$114,$F14+1)+IF(AND($E14=1,KA14=0),1000,0),MIN(TV14,20)*400+(IF('calcA'!AM$106=1,1-EK14,0)+IF('calcA'!AN$106=1,1-EM14,0))*150+132+'calcA'!AN$5*100000+IF(AND($E14=1,KA14=0),50000,0))+IF($H14=1,INDEX('calcA'!$D$180:$EQ$219,$B14,37)*4000,0)-IF(AND('calcA'!AM$117=1,VK14&gt;0),2000,0)-IF(AND($U14=1,'calcA'!AN$117=1,EM14=0),2000,0))),1000000000))</f>
        <v/>
      </c>
      <c r="PQ14">
        <f>IF($B14=0,1000000000,IF(INDEX('calcA'!$D$60:$EQ$99,$B14,38)*IF($W14=1,EM14+ABB14,EM14)=1,IF(AND($E14=2,IF($W14=1,AGQ14,KB14)=0),1000000000,IF($V14=1,INDEX('calcA'!$D$130:$EQ$169,$B14,38)+IF(AND($E14=1,KB14=0),25,0),IF($F14&gt;0,INDEX('calcA'!AO$110:AO$114,$F14+1)+IF(AND($E14=1,KB14=0),1000,0),MIN(TV14,20)*400+(IF('calcA'!AN$106=1,1-EL14,0)+IF('calcA'!AO$106=1,1-EN14,0))*150+142+'calcA'!AO$5*100000+IF(AND($E14=1,KB14=0),50000,0))+IF($H14=1,INDEX('calcA'!$D$180:$EQ$219,$B14,38)*4000,0)-IF(AND('calcA'!AN$117=1,VL14&gt;0),2000,0)-IF(AND($U14=1,'calcA'!AO$117=1,EN14=0),2000,0))),1000000000))</f>
        <v/>
      </c>
      <c r="PR14">
        <f>IF($B14=0,1000000000,IF(INDEX('calcA'!$D$60:$EQ$99,$B14,39)*IF($W14=1,EN14+ABC14,EN14)=1,IF(AND($E14=2,IF($W14=1,AGR14,KC14)=0),1000000000,IF($V14=1,INDEX('calcA'!$D$130:$EQ$169,$B14,39)+IF(AND($E14=1,KC14=0),25,0),IF($F14&gt;0,INDEX('calcA'!AP$110:AP$114,$F14+1)+IF(AND($E14=1,KC14=0),1000,0),MIN(TV14,20)*400+(IF('calcA'!AO$106=1,1-EM14,0)+IF('calcA'!AP$106=1,1-EO14,0))*150+152+'calcA'!AP$5*100000+IF(AND($E14=1,KC14=0),50000,0))+IF($H14=1,INDEX('calcA'!$D$180:$EQ$219,$B14,39)*4000,0)-IF(AND('calcA'!AO$117=1,VM14&gt;0),2000,0)-IF(AND($U14=1,'calcA'!AP$117=1,EO14=0),2000,0))),1000000000))</f>
        <v/>
      </c>
      <c r="PS14">
        <f>IF($B14=0,1000000000,IF(INDEX('calcA'!$D$60:$EQ$99,$B14,40)*IF($W14=1,EO14+ABD14,EO14)=1,IF(AND($E14=2,IF($W14=1,AGS14,KD14)=0),1000000000,IF($V14=1,INDEX('calcA'!$D$130:$EQ$169,$B14,40)+IF(AND($E14=1,KD14=0),25,0),IF($F14&gt;0,INDEX('calcA'!AQ$110:AQ$114,$F14+1)+IF(AND($E14=1,KD14=0),1000,0),MIN(TV14,20)*400+(IF('calcA'!AP$106=1,1-EN14,0)+IF('calcA'!AQ$106=1,1-EP14,0))*150+162+'calcA'!AQ$5*100000+IF(AND($E14=1,KD14=0),50000,0))+IF($H14=1,INDEX('calcA'!$D$180:$EQ$219,$B14,40)*4000,0)-IF(AND('calcA'!AP$117=1,VN14&gt;0),2000,0)-IF(AND($U14=1,'calcA'!AQ$117=1,EP14=0),2000,0))),1000000000))</f>
        <v/>
      </c>
      <c r="PT14">
        <f>IF($B14=0,1000000000,IF(INDEX('calcA'!$D$60:$EQ$99,$B14,41)*IF($W14=1,EP14+ABE14,EP14)=1,IF(AND($E14=2,IF($W14=1,AGT14,KE14)=0),1000000000,IF($V14=1,INDEX('calcA'!$D$130:$EQ$169,$B14,41)+IF(AND($E14=1,KE14=0),25,0),IF($F14&gt;0,INDEX('calcA'!AR$110:AR$114,$F14+1)+IF(AND($E14=1,KE14=0),1000,0),MIN(TV14,20)*400+(IF('calcA'!AQ$106=1,1-EO14,0)+IF('calcA'!AR$106=1,1-EQ14,0))*150+172+'calcA'!AR$5*100000+IF(AND($E14=1,KE14=0),50000,0))+IF($H14=1,INDEX('calcA'!$D$180:$EQ$219,$B14,41)*4000,0)-IF(AND('calcA'!AQ$117=1,VO14&gt;0),2000,0)-IF(AND($U14=1,'calcA'!AR$117=1,EQ14=0),2000,0))),1000000000))</f>
        <v/>
      </c>
      <c r="PU14">
        <f>IF($B14=0,1000000000,IF(INDEX('calcA'!$D$60:$EQ$99,$B14,42)*IF($W14=1,EQ14+ABF14,EQ14)=1,IF(AND($E14=2,IF($W14=1,AGU14,KF14)=0),1000000000,IF($V14=1,INDEX('calcA'!$D$130:$EQ$169,$B14,42)+IF(AND($E14=1,KF14=0),25,0),IF($F14&gt;0,INDEX('calcA'!AS$110:AS$114,$F14+1)+IF(AND($E14=1,KF14=0),1000,0),MIN(TV14,20)*400+(IF('calcA'!AR$106=1,1-EP14,0)+IF('calcA'!AS$106=1,1-ER14,0))*150+182+'calcA'!AS$5*100000+IF(AND($E14=1,KF14=0),50000,0))+IF($H14=1,INDEX('calcA'!$D$180:$EQ$219,$B14,42)*4000,0)-IF(AND('calcA'!AR$117=1,VP14&gt;0),2000,0)-IF(AND($U14=1,'calcA'!AS$117=1,ER14=0),2000,0))),1000000000))</f>
        <v/>
      </c>
      <c r="PV14">
        <f>IF($B14=0,1000000000,IF(INDEX('calcA'!$D$60:$EQ$99,$B14,43)*IF($W14=1,ER14+ABG14,ER14)=1,IF(AND($E14=2,IF($W14=1,AGV14,KG14)=0),1000000000,IF($V14=1,INDEX('calcA'!$D$130:$EQ$169,$B14,43)+IF(AND($E14=1,KG14=0),25,0),IF($F14&gt;0,INDEX('calcA'!AT$110:AT$114,$F14+1)+IF(AND($E14=1,KG14=0),1000,0),MIN(TV14,20)*400+(IF('calcA'!AS$106=1,1-EQ14,0)+IF('calcA'!AT$106=1,1-ES14,0))*150+192+'calcA'!AT$5*100000+IF(AND($E14=1,KG14=0),50000,0))+IF($H14=1,INDEX('calcA'!$D$180:$EQ$219,$B14,43)*4000,0)-IF(AND('calcA'!AS$117=1,VQ14&gt;0),2000,0)-IF(AND($U14=1,'calcA'!AT$117=1,ES14=0),2000,0))),1000000000))</f>
        <v/>
      </c>
      <c r="PW14">
        <f>IF($B14=0,1000000000,IF(INDEX('calcA'!$D$60:$EQ$99,$B14,44)*IF($W14=1,ES14+ABH14,ES14)=1,IF(AND($E14=2,IF($W14=1,AGW14,KH14)=0),1000000000,IF($V14=1,INDEX('calcA'!$D$130:$EQ$169,$B14,44)+IF(AND($E14=1,KH14=0),25,0),IF($F14&gt;0,INDEX('calcA'!AU$110:AU$114,$F14+1)+IF(AND($E14=1,KH14=0),1000,0),MIN(TV14,20)*400+(IF('calcA'!AT$106=1,1-ER14,0)+IF('calcA'!AU$106=1,1-ET14,0))*150+202+'calcA'!AU$5*100000+IF(AND($E14=1,KH14=0),50000,0))+IF($H14=1,INDEX('calcA'!$D$180:$EQ$219,$B14,44)*4000,0)-IF(AND('calcA'!AT$117=1,VR14&gt;0),2000,0)-IF(AND($U14=1,'calcA'!AU$117=1,ET14=0),2000,0))),1000000000))</f>
        <v/>
      </c>
      <c r="PX14">
        <f>IF($B14=0,1000000000,IF(INDEX('calcA'!$D$60:$EQ$99,$B14,45)*IF($W14=1,ET14+ABI14,ET14)=1,IF(AND($E14=2,IF($W14=1,AGX14,KI14)=0),1000000000,IF($V14=1,INDEX('calcA'!$D$130:$EQ$169,$B14,45)+IF(AND($E14=1,KI14=0),25,0),IF($F14&gt;0,INDEX('calcA'!AV$110:AV$114,$F14+1)+IF(AND($E14=1,KI14=0),1000,0),MIN(TV14,20)*400+(IF('calcA'!AU$106=1,1-ES14,0)+IF('calcA'!AV$106=1,1-EU14,0))*150+212+'calcA'!AV$5*100000+IF(AND($E14=1,KI14=0),50000,0))+IF($H14=1,INDEX('calcA'!$D$180:$EQ$219,$B14,45)*4000,0)-IF(AND('calcA'!AU$117=1,VS14&gt;0),2000,0)-IF(AND($U14=1,'calcA'!AV$117=1,EU14=0),2000,0))),1000000000))</f>
        <v/>
      </c>
      <c r="PY14">
        <f>IF($B14=0,1000000000,IF(INDEX('calcA'!$D$60:$EQ$99,$B14,46)*IF($W14=1,EU14+ABJ14,EU14)=1,IF(AND($E14=2,IF($W14=1,AGY14,KJ14)=0),1000000000,IF($V14=1,INDEX('calcA'!$D$130:$EQ$169,$B14,46)+IF(AND($E14=1,KJ14=0),25,0),IF($F14&gt;0,INDEX('calcA'!AW$110:AW$114,$F14+1)+IF(AND($E14=1,KJ14=0),1000,0),MIN(TV14,20)*400+(IF('calcA'!AV$106=1,1-ET14,0)+IF('calcA'!AW$106=1,1-EV14,0))*150+222+'calcA'!AW$5*100000+IF(AND($E14=1,KJ14=0),50000,0))+IF($H14=1,INDEX('calcA'!$D$180:$EQ$219,$B14,46)*4000,0)-IF(AND('calcA'!AV$117=1,VT14&gt;0),2000,0)-IF(AND($U14=1,'calcA'!AW$117=1,EV14=0),2000,0))),1000000000))</f>
        <v/>
      </c>
      <c r="PZ14">
        <f>IF($B14=0,1000000000,IF(INDEX('calcA'!$D$60:$EQ$99,$B14,47)*IF($W14=1,EV14+ABK14,EV14)=1,IF(AND($E14=2,IF($W14=1,AGZ14,KK14)=0),1000000000,IF($V14=1,INDEX('calcA'!$D$130:$EQ$169,$B14,47)+IF(AND($E14=1,KK14=0),25,0),IF($F14&gt;0,INDEX('calcA'!AX$110:AX$114,$F14+1)+IF(AND($E14=1,KK14=0),1000,0),MIN(TV14,20)*400+(IF('calcA'!AW$106=1,1-EU14,0)+IF('calcA'!AX$106=1,1-EW14,0))*150+232+'calcA'!AX$5*100000+IF(AND($E14=1,KK14=0),50000,0))+IF($H14=1,INDEX('calcA'!$D$180:$EQ$219,$B14,47)*4000,0)-IF(AND('calcA'!AW$117=1,VU14&gt;0),2000,0)-IF(AND($U14=1,'calcA'!AX$117=1,EW14=0),2000,0))),1000000000))</f>
        <v/>
      </c>
      <c r="QA14">
        <f>IF($B14=0,1000000000,IF(INDEX('calcA'!$D$60:$EQ$99,$B14,48)*IF($W14=1,EW14+ABL14,EW14)=1,IF(AND($E14=2,IF($W14=1,AHA14,KL14)=0),1000000000,IF($V14=1,INDEX('calcA'!$D$130:$EQ$169,$B14,48)+IF(AND($E14=1,KL14=0),25,0),IF($F14&gt;0,INDEX('calcA'!AY$110:AY$114,$F14+1)+IF(AND($E14=1,KL14=0),1000,0),MIN(TV14,20)*400+(IF('calcA'!AX$106=1,1-EV14,0))*150+242+'calcA'!AY$5*100000+IF(AND($E14=1,KL14=0),50000,0))+IF($H14=1,INDEX('calcA'!$D$180:$EQ$219,$B14,48)*4000,0)-IF(AND('calcA'!AX$117=1,VV14&gt;0),2000,0))),1000000000))</f>
        <v/>
      </c>
      <c r="QB14">
        <f>IF($B14=0,1000000000,IF(INDEX('calcA'!$D$60:$EQ$99,$B14,49)*IF($W14=1,EX14+ABM14,EX14)=1,IF(AND($E14=2,IF($W14=1,AHB14,KM14)=0),1000000000,IF($V14=1,INDEX('calcA'!$D$130:$EQ$169,$B14,49)+IF(AND($E14=1,KM14=0),25,0),IF($F14&gt;0,INDEX('calcA'!AZ$110:AZ$114,$F14+1)+IF(AND($E14=1,KM14=0),1000,0),MIN(TW14,20)*400+(IF('calcA'!AZ$106=1,1-EY14,0))*150+13+'calcA'!AZ$5*100000+IF(AND($E14=1,KM14=0),50000,0))+IF($H14=1,INDEX('calcA'!$D$180:$EQ$219,$B14,49)*4000,0)-IF(AND($U14=1,'calcA'!AZ$117=1,EY14=0),2000,0))),1000000000))</f>
        <v/>
      </c>
      <c r="QC14">
        <f>IF($B14=0,1000000000,IF(INDEX('calcA'!$D$60:$EQ$99,$B14,50)*IF($W14=1,EY14+ABN14,EY14)=1,IF(AND($E14=2,IF($W14=1,AHC14,KN14)=0),1000000000,IF($V14=1,INDEX('calcA'!$D$130:$EQ$169,$B14,50)+IF(AND($E14=1,KN14=0),25,0),IF($F14&gt;0,INDEX('calcA'!BA$110:BA$114,$F14+1)+IF(AND($E14=1,KN14=0),1000,0),MIN(TW14,20)*400+(IF('calcA'!AZ$106=1,1-EX14,0)+IF('calcA'!BA$106=1,1-EZ14,0))*150+23+'calcA'!BA$5*100000+IF(AND($E14=1,KN14=0),50000,0))+IF($H14=1,INDEX('calcA'!$D$180:$EQ$219,$B14,50)*4000,0)-IF(AND('calcA'!AZ$117=1,VX14&gt;0),2000,0)-IF(AND($U14=1,'calcA'!BA$117=1,EZ14=0),2000,0))),1000000000))</f>
        <v/>
      </c>
      <c r="QD14">
        <f>IF($B14=0,1000000000,IF(INDEX('calcA'!$D$60:$EQ$99,$B14,51)*IF($W14=1,EZ14+ABO14,EZ14)=1,IF(AND($E14=2,IF($W14=1,AHD14,KO14)=0),1000000000,IF($V14=1,INDEX('calcA'!$D$130:$EQ$169,$B14,51)+IF(AND($E14=1,KO14=0),25,0),IF($F14&gt;0,INDEX('calcA'!BB$110:BB$114,$F14+1)+IF(AND($E14=1,KO14=0),1000,0),MIN(TW14,20)*400+(IF('calcA'!BA$106=1,1-EY14,0)+IF('calcA'!BB$106=1,1-FA14,0))*150+33+'calcA'!BB$5*100000+IF(AND($E14=1,KO14=0),50000,0))+IF($H14=1,INDEX('calcA'!$D$180:$EQ$219,$B14,51)*4000,0)-IF(AND('calcA'!BA$117=1,VY14&gt;0),2000,0)-IF(AND($U14=1,'calcA'!BB$117=1,FA14=0),2000,0))),1000000000))</f>
        <v/>
      </c>
      <c r="QE14">
        <f>IF($B14=0,1000000000,IF(INDEX('calcA'!$D$60:$EQ$99,$B14,52)*IF($W14=1,FA14+ABP14,FA14)=1,IF(AND($E14=2,IF($W14=1,AHE14,KP14)=0),1000000000,IF($V14=1,INDEX('calcA'!$D$130:$EQ$169,$B14,52)+IF(AND($E14=1,KP14=0),25,0),IF($F14&gt;0,INDEX('calcA'!BC$110:BC$114,$F14+1)+IF(AND($E14=1,KP14=0),1000,0),MIN(TW14,20)*400+(IF('calcA'!BB$106=1,1-EZ14,0)+IF('calcA'!BC$106=1,1-FB14,0))*150+43+'calcA'!BC$5*100000+IF(AND($E14=1,KP14=0),50000,0))+IF($H14=1,INDEX('calcA'!$D$180:$EQ$219,$B14,52)*4000,0)-IF(AND('calcA'!BB$117=1,VZ14&gt;0),2000,0)-IF(AND($U14=1,'calcA'!BC$117=1,FB14=0),2000,0))),1000000000))</f>
        <v/>
      </c>
      <c r="QF14">
        <f>IF($B14=0,1000000000,IF(INDEX('calcA'!$D$60:$EQ$99,$B14,53)*IF($W14=1,FB14+ABQ14,FB14)=1,IF(AND($E14=2,IF($W14=1,AHF14,KQ14)=0),1000000000,IF($V14=1,INDEX('calcA'!$D$130:$EQ$169,$B14,53)+IF(AND($E14=1,KQ14=0),25,0),IF($F14&gt;0,INDEX('calcA'!BD$110:BD$114,$F14+1)+IF(AND($E14=1,KQ14=0),1000,0),MIN(TW14,20)*400+(IF('calcA'!BC$106=1,1-FA14,0)+IF('calcA'!BD$106=1,1-FC14,0))*150+53+'calcA'!BD$5*100000+IF(AND($E14=1,KQ14=0),50000,0))+IF($H14=1,INDEX('calcA'!$D$180:$EQ$219,$B14,53)*4000,0)-IF(AND('calcA'!BC$117=1,WA14&gt;0),2000,0)-IF(AND($U14=1,'calcA'!BD$117=1,FC14=0),2000,0))),1000000000))</f>
        <v/>
      </c>
      <c r="QG14">
        <f>IF($B14=0,1000000000,IF(INDEX('calcA'!$D$60:$EQ$99,$B14,54)*IF($W14=1,FC14+ABR14,FC14)=1,IF(AND($E14=2,IF($W14=1,AHG14,KR14)=0),1000000000,IF($V14=1,INDEX('calcA'!$D$130:$EQ$169,$B14,54)+IF(AND($E14=1,KR14=0),25,0),IF($F14&gt;0,INDEX('calcA'!BE$110:BE$114,$F14+1)+IF(AND($E14=1,KR14=0),1000,0),MIN(TW14,20)*400+(IF('calcA'!BD$106=1,1-FB14,0)+IF('calcA'!BE$106=1,1-FD14,0))*150+63+'calcA'!BE$5*100000+IF(AND($E14=1,KR14=0),50000,0))+IF($H14=1,INDEX('calcA'!$D$180:$EQ$219,$B14,54)*4000,0)-IF(AND('calcA'!BD$117=1,WB14&gt;0),2000,0)-IF(AND($U14=1,'calcA'!BE$117=1,FD14=0),2000,0))),1000000000))</f>
        <v/>
      </c>
      <c r="QH14">
        <f>IF($B14=0,1000000000,IF(INDEX('calcA'!$D$60:$EQ$99,$B14,55)*IF($W14=1,FD14+ABS14,FD14)=1,IF(AND($E14=2,IF($W14=1,AHH14,KS14)=0),1000000000,IF($V14=1,INDEX('calcA'!$D$130:$EQ$169,$B14,55)+IF(AND($E14=1,KS14=0),25,0),IF($F14&gt;0,INDEX('calcA'!BF$110:BF$114,$F14+1)+IF(AND($E14=1,KS14=0),1000,0),MIN(TW14,20)*400+(IF('calcA'!BE$106=1,1-FC14,0)+IF('calcA'!BF$106=1,1-FE14,0))*150+73+'calcA'!BF$5*100000+IF(AND($E14=1,KS14=0),50000,0))+IF($H14=1,INDEX('calcA'!$D$180:$EQ$219,$B14,55)*4000,0)-IF(AND('calcA'!BE$117=1,WC14&gt;0),2000,0)-IF(AND($U14=1,'calcA'!BF$117=1,FE14=0),2000,0))),1000000000))</f>
        <v/>
      </c>
      <c r="QI14">
        <f>IF($B14=0,1000000000,IF(INDEX('calcA'!$D$60:$EQ$99,$B14,56)*IF($W14=1,FE14+ABT14,FE14)=1,IF(AND($E14=2,IF($W14=1,AHI14,KT14)=0),1000000000,IF($V14=1,INDEX('calcA'!$D$130:$EQ$169,$B14,56)+IF(AND($E14=1,KT14=0),25,0),IF($F14&gt;0,INDEX('calcA'!BG$110:BG$114,$F14+1)+IF(AND($E14=1,KT14=0),1000,0),MIN(TW14,20)*400+(IF('calcA'!BF$106=1,1-FD14,0)+IF('calcA'!BG$106=1,1-FF14,0))*150+83+'calcA'!BG$5*100000+IF(AND($E14=1,KT14=0),50000,0))+IF($H14=1,INDEX('calcA'!$D$180:$EQ$219,$B14,56)*4000,0)-IF(AND('calcA'!BF$117=1,WD14&gt;0),2000,0)-IF(AND($U14=1,'calcA'!BG$117=1,FF14=0),2000,0))),1000000000))</f>
        <v/>
      </c>
      <c r="QJ14">
        <f>IF($B14=0,1000000000,IF(INDEX('calcA'!$D$60:$EQ$99,$B14,57)*IF($W14=1,FF14+ABU14,FF14)=1,IF(AND($E14=2,IF($W14=1,AHJ14,KU14)=0),1000000000,IF($V14=1,INDEX('calcA'!$D$130:$EQ$169,$B14,57)+IF(AND($E14=1,KU14=0),25,0),IF($F14&gt;0,INDEX('calcA'!BH$110:BH$114,$F14+1)+IF(AND($E14=1,KU14=0),1000,0),MIN(TW14,20)*400+(IF('calcA'!BG$106=1,1-FE14,0)+IF('calcA'!BH$106=1,1-FG14,0))*150+93+'calcA'!BH$5*100000+IF(AND($E14=1,KU14=0),50000,0))+IF($H14=1,INDEX('calcA'!$D$180:$EQ$219,$B14,57)*4000,0)-IF(AND('calcA'!BG$117=1,WE14&gt;0),2000,0)-IF(AND($U14=1,'calcA'!BH$117=1,FG14=0),2000,0))),1000000000))</f>
        <v/>
      </c>
      <c r="QK14">
        <f>IF($B14=0,1000000000,IF(INDEX('calcA'!$D$60:$EQ$99,$B14,58)*IF($W14=1,FG14+ABV14,FG14)=1,IF(AND($E14=2,IF($W14=1,AHK14,KV14)=0),1000000000,IF($V14=1,INDEX('calcA'!$D$130:$EQ$169,$B14,58)+IF(AND($E14=1,KV14=0),25,0),IF($F14&gt;0,INDEX('calcA'!BI$110:BI$114,$F14+1)+IF(AND($E14=1,KV14=0),1000,0),MIN(TW14,20)*400+(IF('calcA'!BH$106=1,1-FF14,0)+IF('calcA'!BI$106=1,1-FH14,0))*150+103+'calcA'!BI$5*100000+IF(AND($E14=1,KV14=0),50000,0))+IF($H14=1,INDEX('calcA'!$D$180:$EQ$219,$B14,58)*4000,0)-IF(AND('calcA'!BH$117=1,WF14&gt;0),2000,0)-IF(AND($U14=1,'calcA'!BI$117=1,FH14=0),2000,0))),1000000000))</f>
        <v/>
      </c>
      <c r="QL14">
        <f>IF($B14=0,1000000000,IF(INDEX('calcA'!$D$60:$EQ$99,$B14,59)*IF($W14=1,FH14+ABW14,FH14)=1,IF(AND($E14=2,IF($W14=1,AHL14,KW14)=0),1000000000,IF($V14=1,INDEX('calcA'!$D$130:$EQ$169,$B14,59)+IF(AND($E14=1,KW14=0),25,0),IF($F14&gt;0,INDEX('calcA'!BJ$110:BJ$114,$F14+1)+IF(AND($E14=1,KW14=0),1000,0),MIN(TW14,20)*400+(IF('calcA'!BI$106=1,1-FG14,0)+IF('calcA'!BJ$106=1,1-FI14,0))*150+113+'calcA'!BJ$5*100000+IF(AND($E14=1,KW14=0),50000,0))+IF($H14=1,INDEX('calcA'!$D$180:$EQ$219,$B14,59)*4000,0)-IF(AND('calcA'!BI$117=1,WG14&gt;0),2000,0)-IF(AND($U14=1,'calcA'!BJ$117=1,FI14=0),2000,0))),1000000000))</f>
        <v/>
      </c>
      <c r="QM14">
        <f>IF($B14=0,1000000000,IF(INDEX('calcA'!$D$60:$EQ$99,$B14,60)*IF($W14=1,FI14+ABX14,FI14)=1,IF(AND($E14=2,IF($W14=1,AHM14,KX14)=0),1000000000,IF($V14=1,INDEX('calcA'!$D$130:$EQ$169,$B14,60)+IF(AND($E14=1,KX14=0),25,0),IF($F14&gt;0,INDEX('calcA'!BK$110:BK$114,$F14+1)+IF(AND($E14=1,KX14=0),1000,0),MIN(TW14,20)*400+(IF('calcA'!BJ$106=1,1-FH14,0)+IF('calcA'!BK$106=1,1-FJ14,0))*150+123+'calcA'!BK$5*100000+IF(AND($E14=1,KX14=0),50000,0))+IF($H14=1,INDEX('calcA'!$D$180:$EQ$219,$B14,60)*4000,0)-IF(AND('calcA'!BJ$117=1,WH14&gt;0),2000,0)-IF(AND($U14=1,'calcA'!BK$117=1,FJ14=0),2000,0))),1000000000))</f>
        <v/>
      </c>
      <c r="QN14">
        <f>IF($B14=0,1000000000,IF(INDEX('calcA'!$D$60:$EQ$99,$B14,61)*IF($W14=1,FJ14+ABY14,FJ14)=1,IF(AND($E14=2,IF($W14=1,AHN14,KY14)=0),1000000000,IF($V14=1,INDEX('calcA'!$D$130:$EQ$169,$B14,61)+IF(AND($E14=1,KY14=0),25,0),IF($F14&gt;0,INDEX('calcA'!BL$110:BL$114,$F14+1)+IF(AND($E14=1,KY14=0),1000,0),MIN(TW14,20)*400+(IF('calcA'!BK$106=1,1-FI14,0)+IF('calcA'!BL$106=1,1-FK14,0))*150+133+'calcA'!BL$5*100000+IF(AND($E14=1,KY14=0),50000,0))+IF($H14=1,INDEX('calcA'!$D$180:$EQ$219,$B14,61)*4000,0)-IF(AND('calcA'!BK$117=1,WI14&gt;0),2000,0)-IF(AND($U14=1,'calcA'!BL$117=1,FK14=0),2000,0))),1000000000))</f>
        <v/>
      </c>
      <c r="QO14">
        <f>IF($B14=0,1000000000,IF(INDEX('calcA'!$D$60:$EQ$99,$B14,62)*IF($W14=1,FK14+ABZ14,FK14)=1,IF(AND($E14=2,IF($W14=1,AHO14,KZ14)=0),1000000000,IF($V14=1,INDEX('calcA'!$D$130:$EQ$169,$B14,62)+IF(AND($E14=1,KZ14=0),25,0),IF($F14&gt;0,INDEX('calcA'!BM$110:BM$114,$F14+1)+IF(AND($E14=1,KZ14=0),1000,0),MIN(TW14,20)*400+(IF('calcA'!BL$106=1,1-FJ14,0)+IF('calcA'!BM$106=1,1-FL14,0))*150+143+'calcA'!BM$5*100000+IF(AND($E14=1,KZ14=0),50000,0))+IF($H14=1,INDEX('calcA'!$D$180:$EQ$219,$B14,62)*4000,0)-IF(AND('calcA'!BL$117=1,WJ14&gt;0),2000,0)-IF(AND($U14=1,'calcA'!BM$117=1,FL14=0),2000,0))),1000000000))</f>
        <v/>
      </c>
      <c r="QP14">
        <f>IF($B14=0,1000000000,IF(INDEX('calcA'!$D$60:$EQ$99,$B14,63)*IF($W14=1,FL14+ACA14,FL14)=1,IF(AND($E14=2,IF($W14=1,AHP14,LA14)=0),1000000000,IF($V14=1,INDEX('calcA'!$D$130:$EQ$169,$B14,63)+IF(AND($E14=1,LA14=0),25,0),IF($F14&gt;0,INDEX('calcA'!BN$110:BN$114,$F14+1)+IF(AND($E14=1,LA14=0),1000,0),MIN(TW14,20)*400+(IF('calcA'!BM$106=1,1-FK14,0)+IF('calcA'!BN$106=1,1-FM14,0))*150+153+'calcA'!BN$5*100000+IF(AND($E14=1,LA14=0),50000,0))+IF($H14=1,INDEX('calcA'!$D$180:$EQ$219,$B14,63)*4000,0)-IF(AND('calcA'!BM$117=1,WK14&gt;0),2000,0)-IF(AND($U14=1,'calcA'!BN$117=1,FM14=0),2000,0))),1000000000))</f>
        <v/>
      </c>
      <c r="QQ14">
        <f>IF($B14=0,1000000000,IF(INDEX('calcA'!$D$60:$EQ$99,$B14,64)*IF($W14=1,FM14+ACB14,FM14)=1,IF(AND($E14=2,IF($W14=1,AHQ14,LB14)=0),1000000000,IF($V14=1,INDEX('calcA'!$D$130:$EQ$169,$B14,64)+IF(AND($E14=1,LB14=0),25,0),IF($F14&gt;0,INDEX('calcA'!BO$110:BO$114,$F14+1)+IF(AND($E14=1,LB14=0),1000,0),MIN(TW14,20)*400+(IF('calcA'!BN$106=1,1-FL14,0)+IF('calcA'!BO$106=1,1-FN14,0))*150+163+'calcA'!BO$5*100000+IF(AND($E14=1,LB14=0),50000,0))+IF($H14=1,INDEX('calcA'!$D$180:$EQ$219,$B14,64)*4000,0)-IF(AND('calcA'!BN$117=1,WL14&gt;0),2000,0)-IF(AND($U14=1,'calcA'!BO$117=1,FN14=0),2000,0))),1000000000))</f>
        <v/>
      </c>
      <c r="QR14">
        <f>IF($B14=0,1000000000,IF(INDEX('calcA'!$D$60:$EQ$99,$B14,65)*IF($W14=1,FN14+ACC14,FN14)=1,IF(AND($E14=2,IF($W14=1,AHR14,LC14)=0),1000000000,IF($V14=1,INDEX('calcA'!$D$130:$EQ$169,$B14,65)+IF(AND($E14=1,LC14=0),25,0),IF($F14&gt;0,INDEX('calcA'!BP$110:BP$114,$F14+1)+IF(AND($E14=1,LC14=0),1000,0),MIN(TW14,20)*400+(IF('calcA'!BO$106=1,1-FM14,0)+IF('calcA'!BP$106=1,1-FO14,0))*150+173+'calcA'!BP$5*100000+IF(AND($E14=1,LC14=0),50000,0))+IF($H14=1,INDEX('calcA'!$D$180:$EQ$219,$B14,65)*4000,0)-IF(AND('calcA'!BO$117=1,WM14&gt;0),2000,0)-IF(AND($U14=1,'calcA'!BP$117=1,FO14=0),2000,0))),1000000000))</f>
        <v/>
      </c>
      <c r="QS14">
        <f>IF($B14=0,1000000000,IF(INDEX('calcA'!$D$60:$EQ$99,$B14,66)*IF($W14=1,FO14+ACD14,FO14)=1,IF(AND($E14=2,IF($W14=1,AHS14,LD14)=0),1000000000,IF($V14=1,INDEX('calcA'!$D$130:$EQ$169,$B14,66)+IF(AND($E14=1,LD14=0),25,0),IF($F14&gt;0,INDEX('calcA'!BQ$110:BQ$114,$F14+1)+IF(AND($E14=1,LD14=0),1000,0),MIN(TW14,20)*400+(IF('calcA'!BP$106=1,1-FN14,0)+IF('calcA'!BQ$106=1,1-FP14,0))*150+183+'calcA'!BQ$5*100000+IF(AND($E14=1,LD14=0),50000,0))+IF($H14=1,INDEX('calcA'!$D$180:$EQ$219,$B14,66)*4000,0)-IF(AND('calcA'!BP$117=1,WN14&gt;0),2000,0)-IF(AND($U14=1,'calcA'!BQ$117=1,FP14=0),2000,0))),1000000000))</f>
        <v/>
      </c>
      <c r="QT14">
        <f>IF($B14=0,1000000000,IF(INDEX('calcA'!$D$60:$EQ$99,$B14,67)*IF($W14=1,FP14+ACE14,FP14)=1,IF(AND($E14=2,IF($W14=1,AHT14,LE14)=0),1000000000,IF($V14=1,INDEX('calcA'!$D$130:$EQ$169,$B14,67)+IF(AND($E14=1,LE14=0),25,0),IF($F14&gt;0,INDEX('calcA'!BR$110:BR$114,$F14+1)+IF(AND($E14=1,LE14=0),1000,0),MIN(TW14,20)*400+(IF('calcA'!BQ$106=1,1-FO14,0)+IF('calcA'!BR$106=1,1-FQ14,0))*150+193+'calcA'!BR$5*100000+IF(AND($E14=1,LE14=0),50000,0))+IF($H14=1,INDEX('calcA'!$D$180:$EQ$219,$B14,67)*4000,0)-IF(AND('calcA'!BQ$117=1,WO14&gt;0),2000,0)-IF(AND($U14=1,'calcA'!BR$117=1,FQ14=0),2000,0))),1000000000))</f>
        <v/>
      </c>
      <c r="QU14">
        <f>IF($B14=0,1000000000,IF(INDEX('calcA'!$D$60:$EQ$99,$B14,68)*IF($W14=1,FQ14+ACF14,FQ14)=1,IF(AND($E14=2,IF($W14=1,AHU14,LF14)=0),1000000000,IF($V14=1,INDEX('calcA'!$D$130:$EQ$169,$B14,68)+IF(AND($E14=1,LF14=0),25,0),IF($F14&gt;0,INDEX('calcA'!BS$110:BS$114,$F14+1)+IF(AND($E14=1,LF14=0),1000,0),MIN(TW14,20)*400+(IF('calcA'!BR$106=1,1-FP14,0)+IF('calcA'!BS$106=1,1-FR14,0))*150+203+'calcA'!BS$5*100000+IF(AND($E14=1,LF14=0),50000,0))+IF($H14=1,INDEX('calcA'!$D$180:$EQ$219,$B14,68)*4000,0)-IF(AND('calcA'!BR$117=1,WP14&gt;0),2000,0)-IF(AND($U14=1,'calcA'!BS$117=1,FR14=0),2000,0))),1000000000))</f>
        <v/>
      </c>
      <c r="QV14">
        <f>IF($B14=0,1000000000,IF(INDEX('calcA'!$D$60:$EQ$99,$B14,69)*IF($W14=1,FR14+ACG14,FR14)=1,IF(AND($E14=2,IF($W14=1,AHV14,LG14)=0),1000000000,IF($V14=1,INDEX('calcA'!$D$130:$EQ$169,$B14,69)+IF(AND($E14=1,LG14=0),25,0),IF($F14&gt;0,INDEX('calcA'!BT$110:BT$114,$F14+1)+IF(AND($E14=1,LG14=0),1000,0),MIN(TW14,20)*400+(IF('calcA'!BS$106=1,1-FQ14,0)+IF('calcA'!BT$106=1,1-FS14,0))*150+213+'calcA'!BT$5*100000+IF(AND($E14=1,LG14=0),50000,0))+IF($H14=1,INDEX('calcA'!$D$180:$EQ$219,$B14,69)*4000,0)-IF(AND('calcA'!BS$117=1,WQ14&gt;0),2000,0)-IF(AND($U14=1,'calcA'!BT$117=1,FS14=0),2000,0))),1000000000))</f>
        <v/>
      </c>
      <c r="QW14">
        <f>IF($B14=0,1000000000,IF(INDEX('calcA'!$D$60:$EQ$99,$B14,70)*IF($W14=1,FS14+ACH14,FS14)=1,IF(AND($E14=2,IF($W14=1,AHW14,LH14)=0),1000000000,IF($V14=1,INDEX('calcA'!$D$130:$EQ$169,$B14,70)+IF(AND($E14=1,LH14=0),25,0),IF($F14&gt;0,INDEX('calcA'!BU$110:BU$114,$F14+1)+IF(AND($E14=1,LH14=0),1000,0),MIN(TW14,20)*400+(IF('calcA'!BT$106=1,1-FR14,0)+IF('calcA'!BU$106=1,1-FT14,0))*150+223+'calcA'!BU$5*100000+IF(AND($E14=1,LH14=0),50000,0))+IF($H14=1,INDEX('calcA'!$D$180:$EQ$219,$B14,70)*4000,0)-IF(AND('calcA'!BT$117=1,WR14&gt;0),2000,0)-IF(AND($U14=1,'calcA'!BU$117=1,FT14=0),2000,0))),1000000000))</f>
        <v/>
      </c>
      <c r="QX14">
        <f>IF($B14=0,1000000000,IF(INDEX('calcA'!$D$60:$EQ$99,$B14,71)*IF($W14=1,FT14+ACI14,FT14)=1,IF(AND($E14=2,IF($W14=1,AHX14,LI14)=0),1000000000,IF($V14=1,INDEX('calcA'!$D$130:$EQ$169,$B14,71)+IF(AND($E14=1,LI14=0),25,0),IF($F14&gt;0,INDEX('calcA'!BV$110:BV$114,$F14+1)+IF(AND($E14=1,LI14=0),1000,0),MIN(TW14,20)*400+(IF('calcA'!BU$106=1,1-FS14,0)+IF('calcA'!BV$106=1,1-FU14,0))*150+233+'calcA'!BV$5*100000+IF(AND($E14=1,LI14=0),50000,0))+IF($H14=1,INDEX('calcA'!$D$180:$EQ$219,$B14,71)*4000,0)-IF(AND('calcA'!BU$117=1,WS14&gt;0),2000,0)-IF(AND($U14=1,'calcA'!BV$117=1,FU14=0),2000,0))),1000000000))</f>
        <v/>
      </c>
      <c r="QY14">
        <f>IF($B14=0,1000000000,IF(INDEX('calcA'!$D$60:$EQ$99,$B14,72)*IF($W14=1,FU14+ACJ14,FU14)=1,IF(AND($E14=2,IF($W14=1,AHY14,LJ14)=0),1000000000,IF($V14=1,INDEX('calcA'!$D$130:$EQ$169,$B14,72)+IF(AND($E14=1,LJ14=0),25,0),IF($F14&gt;0,INDEX('calcA'!BW$110:BW$114,$F14+1)+IF(AND($E14=1,LJ14=0),1000,0),MIN(TW14,20)*400+(IF('calcA'!BV$106=1,1-FT14,0))*150+243+'calcA'!BW$5*100000+IF(AND($E14=1,LJ14=0),50000,0))+IF($H14=1,INDEX('calcA'!$D$180:$EQ$219,$B14,72)*4000,0)-IF(AND('calcA'!BV$117=1,WT14&gt;0),2000,0))),1000000000))</f>
        <v/>
      </c>
      <c r="QZ14">
        <f>IF($B14=0,1000000000,IF(INDEX('calcA'!$D$60:$EQ$99,$B14,73)*IF($W14=1,FV14+ACK14,FV14)=1,IF(AND($E14=2,IF($W14=1,AHZ14,LK14)=0),1000000000,IF($V14=1,INDEX('calcA'!$D$130:$EQ$169,$B14,73)+IF(AND($E14=1,LK14=0),25,0),IF($F14&gt;0,INDEX('calcA'!BX$110:BX$114,$F14+1)+IF(AND($E14=1,LK14=0),1000,0),MIN(TX14,20)*400+(IF('calcA'!BX$106=1,1-FW14,0))*150+14+'calcA'!BX$5*100000+IF(AND($E14=1,LK14=0),50000,0))+IF($H14=1,INDEX('calcA'!$D$180:$EQ$219,$B14,73)*4000,0)-IF(AND($U14=1,'calcA'!BX$117=1,FW14=0),2000,0))),1000000000))</f>
        <v/>
      </c>
      <c r="RA14">
        <f>IF($B14=0,1000000000,IF(INDEX('calcA'!$D$60:$EQ$99,$B14,74)*IF($W14=1,FW14+ACL14,FW14)=1,IF(AND($E14=2,IF($W14=1,AIA14,LL14)=0),1000000000,IF($V14=1,INDEX('calcA'!$D$130:$EQ$169,$B14,74)+IF(AND($E14=1,LL14=0),25,0),IF($F14&gt;0,INDEX('calcA'!BY$110:BY$114,$F14+1)+IF(AND($E14=1,LL14=0),1000,0),MIN(TX14,20)*400+(IF('calcA'!BX$106=1,1-FV14,0)+IF('calcA'!BY$106=1,1-FX14,0))*150+24+'calcA'!BY$5*100000+IF(AND($E14=1,LL14=0),50000,0))+IF($H14=1,INDEX('calcA'!$D$180:$EQ$219,$B14,74)*4000,0)-IF(AND('calcA'!BX$117=1,WV14&gt;0),2000,0)-IF(AND($U14=1,'calcA'!BY$117=1,FX14=0),2000,0))),1000000000))</f>
        <v/>
      </c>
      <c r="RB14">
        <f>IF($B14=0,1000000000,IF(INDEX('calcA'!$D$60:$EQ$99,$B14,75)*IF($W14=1,FX14+ACM14,FX14)=1,IF(AND($E14=2,IF($W14=1,AIB14,LM14)=0),1000000000,IF($V14=1,INDEX('calcA'!$D$130:$EQ$169,$B14,75)+IF(AND($E14=1,LM14=0),25,0),IF($F14&gt;0,INDEX('calcA'!BZ$110:BZ$114,$F14+1)+IF(AND($E14=1,LM14=0),1000,0),MIN(TX14,20)*400+(IF('calcA'!BY$106=1,1-FW14,0)+IF('calcA'!BZ$106=1,1-FY14,0))*150+34+'calcA'!BZ$5*100000+IF(AND($E14=1,LM14=0),50000,0))+IF($H14=1,INDEX('calcA'!$D$180:$EQ$219,$B14,75)*4000,0)-IF(AND('calcA'!BY$117=1,WW14&gt;0),2000,0)-IF(AND($U14=1,'calcA'!BZ$117=1,FY14=0),2000,0))),1000000000))</f>
        <v/>
      </c>
      <c r="RC14">
        <f>IF($B14=0,1000000000,IF(INDEX('calcA'!$D$60:$EQ$99,$B14,76)*IF($W14=1,FY14+ACN14,FY14)=1,IF(AND($E14=2,IF($W14=1,AIC14,LN14)=0),1000000000,IF($V14=1,INDEX('calcA'!$D$130:$EQ$169,$B14,76)+IF(AND($E14=1,LN14=0),25,0),IF($F14&gt;0,INDEX('calcA'!CA$110:CA$114,$F14+1)+IF(AND($E14=1,LN14=0),1000,0),MIN(TX14,20)*400+(IF('calcA'!BZ$106=1,1-FX14,0)+IF('calcA'!CA$106=1,1-FZ14,0))*150+44+'calcA'!CA$5*100000+IF(AND($E14=1,LN14=0),50000,0))+IF($H14=1,INDEX('calcA'!$D$180:$EQ$219,$B14,76)*4000,0)-IF(AND('calcA'!BZ$117=1,WX14&gt;0),2000,0)-IF(AND($U14=1,'calcA'!CA$117=1,FZ14=0),2000,0))),1000000000))</f>
        <v/>
      </c>
      <c r="RD14">
        <f>IF($B14=0,1000000000,IF(INDEX('calcA'!$D$60:$EQ$99,$B14,77)*IF($W14=1,FZ14+ACO14,FZ14)=1,IF(AND($E14=2,IF($W14=1,AID14,LO14)=0),1000000000,IF($V14=1,INDEX('calcA'!$D$130:$EQ$169,$B14,77)+IF(AND($E14=1,LO14=0),25,0),IF($F14&gt;0,INDEX('calcA'!CB$110:CB$114,$F14+1)+IF(AND($E14=1,LO14=0),1000,0),MIN(TX14,20)*400+(IF('calcA'!CA$106=1,1-FY14,0)+IF('calcA'!CB$106=1,1-GA14,0))*150+54+'calcA'!CB$5*100000+IF(AND($E14=1,LO14=0),50000,0))+IF($H14=1,INDEX('calcA'!$D$180:$EQ$219,$B14,77)*4000,0)-IF(AND('calcA'!CA$117=1,WY14&gt;0),2000,0)-IF(AND($U14=1,'calcA'!CB$117=1,GA14=0),2000,0))),1000000000))</f>
        <v/>
      </c>
      <c r="RE14">
        <f>IF($B14=0,1000000000,IF(INDEX('calcA'!$D$60:$EQ$99,$B14,78)*IF($W14=1,GA14+ACP14,GA14)=1,IF(AND($E14=2,IF($W14=1,AIE14,LP14)=0),1000000000,IF($V14=1,INDEX('calcA'!$D$130:$EQ$169,$B14,78)+IF(AND($E14=1,LP14=0),25,0),IF($F14&gt;0,INDEX('calcA'!CC$110:CC$114,$F14+1)+IF(AND($E14=1,LP14=0),1000,0),MIN(TX14,20)*400+(IF('calcA'!CB$106=1,1-FZ14,0)+IF('calcA'!CC$106=1,1-GB14,0))*150+64+'calcA'!CC$5*100000+IF(AND($E14=1,LP14=0),50000,0))+IF($H14=1,INDEX('calcA'!$D$180:$EQ$219,$B14,78)*4000,0)-IF(AND('calcA'!CB$117=1,WZ14&gt;0),2000,0)-IF(AND($U14=1,'calcA'!CC$117=1,GB14=0),2000,0))),1000000000))</f>
        <v/>
      </c>
      <c r="RF14">
        <f>IF($B14=0,1000000000,IF(INDEX('calcA'!$D$60:$EQ$99,$B14,79)*IF($W14=1,GB14+ACQ14,GB14)=1,IF(AND($E14=2,IF($W14=1,AIF14,LQ14)=0),1000000000,IF($V14=1,INDEX('calcA'!$D$130:$EQ$169,$B14,79)+IF(AND($E14=1,LQ14=0),25,0),IF($F14&gt;0,INDEX('calcA'!CD$110:CD$114,$F14+1)+IF(AND($E14=1,LQ14=0),1000,0),MIN(TX14,20)*400+(IF('calcA'!CC$106=1,1-GA14,0)+IF('calcA'!CD$106=1,1-GC14,0))*150+74+'calcA'!CD$5*100000+IF(AND($E14=1,LQ14=0),50000,0))+IF($H14=1,INDEX('calcA'!$D$180:$EQ$219,$B14,79)*4000,0)-IF(AND('calcA'!CC$117=1,XA14&gt;0),2000,0)-IF(AND($U14=1,'calcA'!CD$117=1,GC14=0),2000,0))),1000000000))</f>
        <v/>
      </c>
      <c r="RG14">
        <f>IF($B14=0,1000000000,IF(INDEX('calcA'!$D$60:$EQ$99,$B14,80)*IF($W14=1,GC14+ACR14,GC14)=1,IF(AND($E14=2,IF($W14=1,AIG14,LR14)=0),1000000000,IF($V14=1,INDEX('calcA'!$D$130:$EQ$169,$B14,80)+IF(AND($E14=1,LR14=0),25,0),IF($F14&gt;0,INDEX('calcA'!CE$110:CE$114,$F14+1)+IF(AND($E14=1,LR14=0),1000,0),MIN(TX14,20)*400+(IF('calcA'!CD$106=1,1-GB14,0)+IF('calcA'!CE$106=1,1-GD14,0))*150+84+'calcA'!CE$5*100000+IF(AND($E14=1,LR14=0),50000,0))+IF($H14=1,INDEX('calcA'!$D$180:$EQ$219,$B14,80)*4000,0)-IF(AND('calcA'!CD$117=1,XB14&gt;0),2000,0)-IF(AND($U14=1,'calcA'!CE$117=1,GD14=0),2000,0))),1000000000))</f>
        <v/>
      </c>
      <c r="RH14">
        <f>IF($B14=0,1000000000,IF(INDEX('calcA'!$D$60:$EQ$99,$B14,81)*IF($W14=1,GD14+ACS14,GD14)=1,IF(AND($E14=2,IF($W14=1,AIH14,LS14)=0),1000000000,IF($V14=1,INDEX('calcA'!$D$130:$EQ$169,$B14,81)+IF(AND($E14=1,LS14=0),25,0),IF($F14&gt;0,INDEX('calcA'!CF$110:CF$114,$F14+1)+IF(AND($E14=1,LS14=0),1000,0),MIN(TX14,20)*400+(IF('calcA'!CE$106=1,1-GC14,0)+IF('calcA'!CF$106=1,1-GE14,0))*150+94+'calcA'!CF$5*100000+IF(AND($E14=1,LS14=0),50000,0))+IF($H14=1,INDEX('calcA'!$D$180:$EQ$219,$B14,81)*4000,0)-IF(AND('calcA'!CE$117=1,XC14&gt;0),2000,0)-IF(AND($U14=1,'calcA'!CF$117=1,GE14=0),2000,0))),1000000000))</f>
        <v/>
      </c>
      <c r="RI14">
        <f>IF($B14=0,1000000000,IF(INDEX('calcA'!$D$60:$EQ$99,$B14,82)*IF($W14=1,GE14+ACT14,GE14)=1,IF(AND($E14=2,IF($W14=1,AII14,LT14)=0),1000000000,IF($V14=1,INDEX('calcA'!$D$130:$EQ$169,$B14,82)+IF(AND($E14=1,LT14=0),25,0),IF($F14&gt;0,INDEX('calcA'!CG$110:CG$114,$F14+1)+IF(AND($E14=1,LT14=0),1000,0),MIN(TX14,20)*400+(IF('calcA'!CF$106=1,1-GD14,0)+IF('calcA'!CG$106=1,1-GF14,0))*150+104+'calcA'!CG$5*100000+IF(AND($E14=1,LT14=0),50000,0))+IF($H14=1,INDEX('calcA'!$D$180:$EQ$219,$B14,82)*4000,0)-IF(AND('calcA'!CF$117=1,XD14&gt;0),2000,0)-IF(AND($U14=1,'calcA'!CG$117=1,GF14=0),2000,0))),1000000000))</f>
        <v/>
      </c>
      <c r="RJ14">
        <f>IF($B14=0,1000000000,IF(INDEX('calcA'!$D$60:$EQ$99,$B14,83)*IF($W14=1,GF14+ACU14,GF14)=1,IF(AND($E14=2,IF($W14=1,AIJ14,LU14)=0),1000000000,IF($V14=1,INDEX('calcA'!$D$130:$EQ$169,$B14,83)+IF(AND($E14=1,LU14=0),25,0),IF($F14&gt;0,INDEX('calcA'!CH$110:CH$114,$F14+1)+IF(AND($E14=1,LU14=0),1000,0),MIN(TX14,20)*400+(IF('calcA'!CG$106=1,1-GE14,0)+IF('calcA'!CH$106=1,1-GG14,0))*150+114+'calcA'!CH$5*100000+IF(AND($E14=1,LU14=0),50000,0))+IF($H14=1,INDEX('calcA'!$D$180:$EQ$219,$B14,83)*4000,0)-IF(AND('calcA'!CG$117=1,XE14&gt;0),2000,0)-IF(AND($U14=1,'calcA'!CH$117=1,GG14=0),2000,0))),1000000000))</f>
        <v/>
      </c>
      <c r="RK14">
        <f>IF($B14=0,1000000000,IF(INDEX('calcA'!$D$60:$EQ$99,$B14,84)*IF($W14=1,GG14+ACV14,GG14)=1,IF(AND($E14=2,IF($W14=1,AIK14,LV14)=0),1000000000,IF($V14=1,INDEX('calcA'!$D$130:$EQ$169,$B14,84)+IF(AND($E14=1,LV14=0),25,0),IF($F14&gt;0,INDEX('calcA'!CI$110:CI$114,$F14+1)+IF(AND($E14=1,LV14=0),1000,0),MIN(TX14,20)*400+(IF('calcA'!CH$106=1,1-GF14,0)+IF('calcA'!CI$106=1,1-GH14,0))*150+124+'calcA'!CI$5*100000+IF(AND($E14=1,LV14=0),50000,0))+IF($H14=1,INDEX('calcA'!$D$180:$EQ$219,$B14,84)*4000,0)-IF(AND('calcA'!CH$117=1,XF14&gt;0),2000,0)-IF(AND($U14=1,'calcA'!CI$117=1,GH14=0),2000,0))),1000000000))</f>
        <v/>
      </c>
      <c r="RL14">
        <f>IF($B14=0,1000000000,IF(INDEX('calcA'!$D$60:$EQ$99,$B14,85)*IF($W14=1,GH14+ACW14,GH14)=1,IF(AND($E14=2,IF($W14=1,AIL14,LW14)=0),1000000000,IF($V14=1,INDEX('calcA'!$D$130:$EQ$169,$B14,85)+IF(AND($E14=1,LW14=0),25,0),IF($F14&gt;0,INDEX('calcA'!CJ$110:CJ$114,$F14+1)+IF(AND($E14=1,LW14=0),1000,0),MIN(TX14,20)*400+(IF('calcA'!CI$106=1,1-GG14,0)+IF('calcA'!CJ$106=1,1-GI14,0))*150+134+'calcA'!CJ$5*100000+IF(AND($E14=1,LW14=0),50000,0))+IF($H14=1,INDEX('calcA'!$D$180:$EQ$219,$B14,85)*4000,0)-IF(AND('calcA'!CI$117=1,XG14&gt;0),2000,0)-IF(AND($U14=1,'calcA'!CJ$117=1,GI14=0),2000,0))),1000000000))</f>
        <v/>
      </c>
      <c r="RM14">
        <f>IF($B14=0,1000000000,IF(INDEX('calcA'!$D$60:$EQ$99,$B14,86)*IF($W14=1,GI14+ACX14,GI14)=1,IF(AND($E14=2,IF($W14=1,AIM14,LX14)=0),1000000000,IF($V14=1,INDEX('calcA'!$D$130:$EQ$169,$B14,86)+IF(AND($E14=1,LX14=0),25,0),IF($F14&gt;0,INDEX('calcA'!CK$110:CK$114,$F14+1)+IF(AND($E14=1,LX14=0),1000,0),MIN(TX14,20)*400+(IF('calcA'!CJ$106=1,1-GH14,0)+IF('calcA'!CK$106=1,1-GJ14,0))*150+144+'calcA'!CK$5*100000+IF(AND($E14=1,LX14=0),50000,0))+IF($H14=1,INDEX('calcA'!$D$180:$EQ$219,$B14,86)*4000,0)-IF(AND('calcA'!CJ$117=1,XH14&gt;0),2000,0)-IF(AND($U14=1,'calcA'!CK$117=1,GJ14=0),2000,0))),1000000000))</f>
        <v/>
      </c>
      <c r="RN14">
        <f>IF($B14=0,1000000000,IF(INDEX('calcA'!$D$60:$EQ$99,$B14,87)*IF($W14=1,GJ14+ACY14,GJ14)=1,IF(AND($E14=2,IF($W14=1,AIN14,LY14)=0),1000000000,IF($V14=1,INDEX('calcA'!$D$130:$EQ$169,$B14,87)+IF(AND($E14=1,LY14=0),25,0),IF($F14&gt;0,INDEX('calcA'!CL$110:CL$114,$F14+1)+IF(AND($E14=1,LY14=0),1000,0),MIN(TX14,20)*400+(IF('calcA'!CK$106=1,1-GI14,0)+IF('calcA'!CL$106=1,1-GK14,0))*150+154+'calcA'!CL$5*100000+IF(AND($E14=1,LY14=0),50000,0))+IF($H14=1,INDEX('calcA'!$D$180:$EQ$219,$B14,87)*4000,0)-IF(AND('calcA'!CK$117=1,XI14&gt;0),2000,0)-IF(AND($U14=1,'calcA'!CL$117=1,GK14=0),2000,0))),1000000000))</f>
        <v/>
      </c>
      <c r="RO14">
        <f>IF($B14=0,1000000000,IF(INDEX('calcA'!$D$60:$EQ$99,$B14,88)*IF($W14=1,GK14+ACZ14,GK14)=1,IF(AND($E14=2,IF($W14=1,AIO14,LZ14)=0),1000000000,IF($V14=1,INDEX('calcA'!$D$130:$EQ$169,$B14,88)+IF(AND($E14=1,LZ14=0),25,0),IF($F14&gt;0,INDEX('calcA'!CM$110:CM$114,$F14+1)+IF(AND($E14=1,LZ14=0),1000,0),MIN(TX14,20)*400+(IF('calcA'!CL$106=1,1-GJ14,0)+IF('calcA'!CM$106=1,1-GL14,0))*150+164+'calcA'!CM$5*100000+IF(AND($E14=1,LZ14=0),50000,0))+IF($H14=1,INDEX('calcA'!$D$180:$EQ$219,$B14,88)*4000,0)-IF(AND('calcA'!CL$117=1,XJ14&gt;0),2000,0)-IF(AND($U14=1,'calcA'!CM$117=1,GL14=0),2000,0))),1000000000))</f>
        <v/>
      </c>
      <c r="RP14">
        <f>IF($B14=0,1000000000,IF(INDEX('calcA'!$D$60:$EQ$99,$B14,89)*IF($W14=1,GL14+ADA14,GL14)=1,IF(AND($E14=2,IF($W14=1,AIP14,MA14)=0),1000000000,IF($V14=1,INDEX('calcA'!$D$130:$EQ$169,$B14,89)+IF(AND($E14=1,MA14=0),25,0),IF($F14&gt;0,INDEX('calcA'!CN$110:CN$114,$F14+1)+IF(AND($E14=1,MA14=0),1000,0),MIN(TX14,20)*400+(IF('calcA'!CM$106=1,1-GK14,0)+IF('calcA'!CN$106=1,1-GM14,0))*150+174+'calcA'!CN$5*100000+IF(AND($E14=1,MA14=0),50000,0))+IF($H14=1,INDEX('calcA'!$D$180:$EQ$219,$B14,89)*4000,0)-IF(AND('calcA'!CM$117=1,XK14&gt;0),2000,0)-IF(AND($U14=1,'calcA'!CN$117=1,GM14=0),2000,0))),1000000000))</f>
        <v/>
      </c>
      <c r="RQ14">
        <f>IF($B14=0,1000000000,IF(INDEX('calcA'!$D$60:$EQ$99,$B14,90)*IF($W14=1,GM14+ADB14,GM14)=1,IF(AND($E14=2,IF($W14=1,AIQ14,MB14)=0),1000000000,IF($V14=1,INDEX('calcA'!$D$130:$EQ$169,$B14,90)+IF(AND($E14=1,MB14=0),25,0),IF($F14&gt;0,INDEX('calcA'!CO$110:CO$114,$F14+1)+IF(AND($E14=1,MB14=0),1000,0),MIN(TX14,20)*400+(IF('calcA'!CN$106=1,1-GL14,0)+IF('calcA'!CO$106=1,1-GN14,0))*150+184+'calcA'!CO$5*100000+IF(AND($E14=1,MB14=0),50000,0))+IF($H14=1,INDEX('calcA'!$D$180:$EQ$219,$B14,90)*4000,0)-IF(AND('calcA'!CN$117=1,XL14&gt;0),2000,0)-IF(AND($U14=1,'calcA'!CO$117=1,GN14=0),2000,0))),1000000000))</f>
        <v/>
      </c>
      <c r="RR14">
        <f>IF($B14=0,1000000000,IF(INDEX('calcA'!$D$60:$EQ$99,$B14,91)*IF($W14=1,GN14+ADC14,GN14)=1,IF(AND($E14=2,IF($W14=1,AIR14,MC14)=0),1000000000,IF($V14=1,INDEX('calcA'!$D$130:$EQ$169,$B14,91)+IF(AND($E14=1,MC14=0),25,0),IF($F14&gt;0,INDEX('calcA'!CP$110:CP$114,$F14+1)+IF(AND($E14=1,MC14=0),1000,0),MIN(TX14,20)*400+(IF('calcA'!CO$106=1,1-GM14,0)+IF('calcA'!CP$106=1,1-GO14,0))*150+194+'calcA'!CP$5*100000+IF(AND($E14=1,MC14=0),50000,0))+IF($H14=1,INDEX('calcA'!$D$180:$EQ$219,$B14,91)*4000,0)-IF(AND('calcA'!CO$117=1,XM14&gt;0),2000,0)-IF(AND($U14=1,'calcA'!CP$117=1,GO14=0),2000,0))),1000000000))</f>
        <v/>
      </c>
      <c r="RS14">
        <f>IF($B14=0,1000000000,IF(INDEX('calcA'!$D$60:$EQ$99,$B14,92)*IF($W14=1,GO14+ADD14,GO14)=1,IF(AND($E14=2,IF($W14=1,AIS14,MD14)=0),1000000000,IF($V14=1,INDEX('calcA'!$D$130:$EQ$169,$B14,92)+IF(AND($E14=1,MD14=0),25,0),IF($F14&gt;0,INDEX('calcA'!CQ$110:CQ$114,$F14+1)+IF(AND($E14=1,MD14=0),1000,0),MIN(TX14,20)*400+(IF('calcA'!CP$106=1,1-GN14,0)+IF('calcA'!CQ$106=1,1-GP14,0))*150+204+'calcA'!CQ$5*100000+IF(AND($E14=1,MD14=0),50000,0))+IF($H14=1,INDEX('calcA'!$D$180:$EQ$219,$B14,92)*4000,0)-IF(AND('calcA'!CP$117=1,XN14&gt;0),2000,0)-IF(AND($U14=1,'calcA'!CQ$117=1,GP14=0),2000,0))),1000000000))</f>
        <v/>
      </c>
      <c r="RT14">
        <f>IF($B14=0,1000000000,IF(INDEX('calcA'!$D$60:$EQ$99,$B14,93)*IF($W14=1,GP14+ADE14,GP14)=1,IF(AND($E14=2,IF($W14=1,AIT14,ME14)=0),1000000000,IF($V14=1,INDEX('calcA'!$D$130:$EQ$169,$B14,93)+IF(AND($E14=1,ME14=0),25,0),IF($F14&gt;0,INDEX('calcA'!CR$110:CR$114,$F14+1)+IF(AND($E14=1,ME14=0),1000,0),MIN(TX14,20)*400+(IF('calcA'!CQ$106=1,1-GO14,0)+IF('calcA'!CR$106=1,1-GQ14,0))*150+214+'calcA'!CR$5*100000+IF(AND($E14=1,ME14=0),50000,0))+IF($H14=1,INDEX('calcA'!$D$180:$EQ$219,$B14,93)*4000,0)-IF(AND('calcA'!CQ$117=1,XO14&gt;0),2000,0)-IF(AND($U14=1,'calcA'!CR$117=1,GQ14=0),2000,0))),1000000000))</f>
        <v/>
      </c>
      <c r="RU14">
        <f>IF($B14=0,1000000000,IF(INDEX('calcA'!$D$60:$EQ$99,$B14,94)*IF($W14=1,GQ14+ADF14,GQ14)=1,IF(AND($E14=2,IF($W14=1,AIU14,MF14)=0),1000000000,IF($V14=1,INDEX('calcA'!$D$130:$EQ$169,$B14,94)+IF(AND($E14=1,MF14=0),25,0),IF($F14&gt;0,INDEX('calcA'!CS$110:CS$114,$F14+1)+IF(AND($E14=1,MF14=0),1000,0),MIN(TX14,20)*400+(IF('calcA'!CR$106=1,1-GP14,0)+IF('calcA'!CS$106=1,1-GR14,0))*150+224+'calcA'!CS$5*100000+IF(AND($E14=1,MF14=0),50000,0))+IF($H14=1,INDEX('calcA'!$D$180:$EQ$219,$B14,94)*4000,0)-IF(AND('calcA'!CR$117=1,XP14&gt;0),2000,0)-IF(AND($U14=1,'calcA'!CS$117=1,GR14=0),2000,0))),1000000000))</f>
        <v/>
      </c>
      <c r="RV14">
        <f>IF($B14=0,1000000000,IF(INDEX('calcA'!$D$60:$EQ$99,$B14,95)*IF($W14=1,GR14+ADG14,GR14)=1,IF(AND($E14=2,IF($W14=1,AIV14,MG14)=0),1000000000,IF($V14=1,INDEX('calcA'!$D$130:$EQ$169,$B14,95)+IF(AND($E14=1,MG14=0),25,0),IF($F14&gt;0,INDEX('calcA'!CT$110:CT$114,$F14+1)+IF(AND($E14=1,MG14=0),1000,0),MIN(TX14,20)*400+(IF('calcA'!CS$106=1,1-GQ14,0)+IF('calcA'!CT$106=1,1-GS14,0))*150+234+'calcA'!CT$5*100000+IF(AND($E14=1,MG14=0),50000,0))+IF($H14=1,INDEX('calcA'!$D$180:$EQ$219,$B14,95)*4000,0)-IF(AND('calcA'!CS$117=1,XQ14&gt;0),2000,0)-IF(AND($U14=1,'calcA'!CT$117=1,GS14=0),2000,0))),1000000000))</f>
        <v/>
      </c>
      <c r="RW14">
        <f>IF($B14=0,1000000000,IF(INDEX('calcA'!$D$60:$EQ$99,$B14,96)*IF($W14=1,GS14+ADH14,GS14)=1,IF(AND($E14=2,IF($W14=1,AIW14,MH14)=0),1000000000,IF($V14=1,INDEX('calcA'!$D$130:$EQ$169,$B14,96)+IF(AND($E14=1,MH14=0),25,0),IF($F14&gt;0,INDEX('calcA'!CU$110:CU$114,$F14+1)+IF(AND($E14=1,MH14=0),1000,0),MIN(TX14,20)*400+(IF('calcA'!CT$106=1,1-GR14,0))*150+244+'calcA'!CU$5*100000+IF(AND($E14=1,MH14=0),50000,0))+IF($H14=1,INDEX('calcA'!$D$180:$EQ$219,$B14,96)*4000,0)-IF(AND('calcA'!CT$117=1,XR14&gt;0),2000,0))),1000000000))</f>
        <v/>
      </c>
      <c r="RX14">
        <f>IF($B14=0,1000000000,IF(INDEX('calcA'!$D$60:$EQ$99,$B14,97)*IF($W14=1,GT14+ADI14,GT14)=1,IF(AND($E14=2,IF($W14=1,AIX14,MI14)=0),1000000000,IF($V14=1,INDEX('calcA'!$D$130:$EQ$169,$B14,97)+IF(AND($E14=1,MI14=0),25,0),IF($F14&gt;0,INDEX('calcA'!CV$110:CV$114,$F14+1)+IF(AND($E14=1,MI14=0),1000,0),MIN(TY14,20)*400+(IF('calcA'!CV$106=1,1-GU14,0))*150+15+'calcA'!CV$5*100000+IF(AND($E14=1,MI14=0),50000,0))+IF($H14=1,INDEX('calcA'!$D$180:$EQ$219,$B14,97)*4000,0)-IF(AND($U14=1,'calcA'!CV$117=1,GU14=0),2000,0))),1000000000))</f>
        <v/>
      </c>
      <c r="RY14">
        <f>IF($B14=0,1000000000,IF(INDEX('calcA'!$D$60:$EQ$99,$B14,98)*IF($W14=1,GU14+ADJ14,GU14)=1,IF(AND($E14=2,IF($W14=1,AIY14,MJ14)=0),1000000000,IF($V14=1,INDEX('calcA'!$D$130:$EQ$169,$B14,98)+IF(AND($E14=1,MJ14=0),25,0),IF($F14&gt;0,INDEX('calcA'!CW$110:CW$114,$F14+1)+IF(AND($E14=1,MJ14=0),1000,0),MIN(TY14,20)*400+(IF('calcA'!CV$106=1,1-GT14,0)+IF('calcA'!CW$106=1,1-GV14,0))*150+25+'calcA'!CW$5*100000+IF(AND($E14=1,MJ14=0),50000,0))+IF($H14=1,INDEX('calcA'!$D$180:$EQ$219,$B14,98)*4000,0)-IF(AND('calcA'!CV$117=1,XT14&gt;0),2000,0)-IF(AND($U14=1,'calcA'!CW$117=1,GV14=0),2000,0))),1000000000))</f>
        <v/>
      </c>
      <c r="RZ14">
        <f>IF($B14=0,1000000000,IF(INDEX('calcA'!$D$60:$EQ$99,$B14,99)*IF($W14=1,GV14+ADK14,GV14)=1,IF(AND($E14=2,IF($W14=1,AIZ14,MK14)=0),1000000000,IF($V14=1,INDEX('calcA'!$D$130:$EQ$169,$B14,99)+IF(AND($E14=1,MK14=0),25,0),IF($F14&gt;0,INDEX('calcA'!CX$110:CX$114,$F14+1)+IF(AND($E14=1,MK14=0),1000,0),MIN(TY14,20)*400+(IF('calcA'!CW$106=1,1-GU14,0)+IF('calcA'!CX$106=1,1-GW14,0))*150+35+'calcA'!CX$5*100000+IF(AND($E14=1,MK14=0),50000,0))+IF($H14=1,INDEX('calcA'!$D$180:$EQ$219,$B14,99)*4000,0)-IF(AND('calcA'!CW$117=1,XU14&gt;0),2000,0)-IF(AND($U14=1,'calcA'!CX$117=1,GW14=0),2000,0))),1000000000))</f>
        <v/>
      </c>
      <c r="SA14">
        <f>IF($B14=0,1000000000,IF(INDEX('calcA'!$D$60:$EQ$99,$B14,100)*IF($W14=1,GW14+ADL14,GW14)=1,IF(AND($E14=2,IF($W14=1,AJA14,ML14)=0),1000000000,IF($V14=1,INDEX('calcA'!$D$130:$EQ$169,$B14,100)+IF(AND($E14=1,ML14=0),25,0),IF($F14&gt;0,INDEX('calcA'!CY$110:CY$114,$F14+1)+IF(AND($E14=1,ML14=0),1000,0),MIN(TY14,20)*400+(IF('calcA'!CX$106=1,1-GV14,0)+IF('calcA'!CY$106=1,1-GX14,0))*150+45+'calcA'!CY$5*100000+IF(AND($E14=1,ML14=0),50000,0))+IF($H14=1,INDEX('calcA'!$D$180:$EQ$219,$B14,100)*4000,0)-IF(AND('calcA'!CX$117=1,XV14&gt;0),2000,0)-IF(AND($U14=1,'calcA'!CY$117=1,GX14=0),2000,0))),1000000000))</f>
        <v/>
      </c>
      <c r="SB14">
        <f>IF($B14=0,1000000000,IF(INDEX('calcA'!$D$60:$EQ$99,$B14,101)*IF($W14=1,GX14+ADM14,GX14)=1,IF(AND($E14=2,IF($W14=1,AJB14,MM14)=0),1000000000,IF($V14=1,INDEX('calcA'!$D$130:$EQ$169,$B14,101)+IF(AND($E14=1,MM14=0),25,0),IF($F14&gt;0,INDEX('calcA'!CZ$110:CZ$114,$F14+1)+IF(AND($E14=1,MM14=0),1000,0),MIN(TY14,20)*400+(IF('calcA'!CY$106=1,1-GW14,0)+IF('calcA'!CZ$106=1,1-GY14,0))*150+55+'calcA'!CZ$5*100000+IF(AND($E14=1,MM14=0),50000,0))+IF($H14=1,INDEX('calcA'!$D$180:$EQ$219,$B14,101)*4000,0)-IF(AND('calcA'!CY$117=1,XW14&gt;0),2000,0)-IF(AND($U14=1,'calcA'!CZ$117=1,GY14=0),2000,0))),1000000000))</f>
        <v/>
      </c>
      <c r="SC14">
        <f>IF($B14=0,1000000000,IF(INDEX('calcA'!$D$60:$EQ$99,$B14,102)*IF($W14=1,GY14+ADN14,GY14)=1,IF(AND($E14=2,IF($W14=1,AJC14,MN14)=0),1000000000,IF($V14=1,INDEX('calcA'!$D$130:$EQ$169,$B14,102)+IF(AND($E14=1,MN14=0),25,0),IF($F14&gt;0,INDEX('calcA'!DA$110:DA$114,$F14+1)+IF(AND($E14=1,MN14=0),1000,0),MIN(TY14,20)*400+(IF('calcA'!CZ$106=1,1-GX14,0)+IF('calcA'!DA$106=1,1-GZ14,0))*150+65+'calcA'!DA$5*100000+IF(AND($E14=1,MN14=0),50000,0))+IF($H14=1,INDEX('calcA'!$D$180:$EQ$219,$B14,102)*4000,0)-IF(AND('calcA'!CZ$117=1,XX14&gt;0),2000,0)-IF(AND($U14=1,'calcA'!DA$117=1,GZ14=0),2000,0))),1000000000))</f>
        <v/>
      </c>
      <c r="SD14">
        <f>IF($B14=0,1000000000,IF(INDEX('calcA'!$D$60:$EQ$99,$B14,103)*IF($W14=1,GZ14+ADO14,GZ14)=1,IF(AND($E14=2,IF($W14=1,AJD14,MO14)=0),1000000000,IF($V14=1,INDEX('calcA'!$D$130:$EQ$169,$B14,103)+IF(AND($E14=1,MO14=0),25,0),IF($F14&gt;0,INDEX('calcA'!DB$110:DB$114,$F14+1)+IF(AND($E14=1,MO14=0),1000,0),MIN(TY14,20)*400+(IF('calcA'!DA$106=1,1-GY14,0)+IF('calcA'!DB$106=1,1-HA14,0))*150+75+'calcA'!DB$5*100000+IF(AND($E14=1,MO14=0),50000,0))+IF($H14=1,INDEX('calcA'!$D$180:$EQ$219,$B14,103)*4000,0)-IF(AND('calcA'!DA$117=1,XY14&gt;0),2000,0)-IF(AND($U14=1,'calcA'!DB$117=1,HA14=0),2000,0))),1000000000))</f>
        <v/>
      </c>
      <c r="SE14">
        <f>IF($B14=0,1000000000,IF(INDEX('calcA'!$D$60:$EQ$99,$B14,104)*IF($W14=1,HA14+ADP14,HA14)=1,IF(AND($E14=2,IF($W14=1,AJE14,MP14)=0),1000000000,IF($V14=1,INDEX('calcA'!$D$130:$EQ$169,$B14,104)+IF(AND($E14=1,MP14=0),25,0),IF($F14&gt;0,INDEX('calcA'!DC$110:DC$114,$F14+1)+IF(AND($E14=1,MP14=0),1000,0),MIN(TY14,20)*400+(IF('calcA'!DB$106=1,1-GZ14,0)+IF('calcA'!DC$106=1,1-HB14,0))*150+85+'calcA'!DC$5*100000+IF(AND($E14=1,MP14=0),50000,0))+IF($H14=1,INDEX('calcA'!$D$180:$EQ$219,$B14,104)*4000,0)-IF(AND('calcA'!DB$117=1,XZ14&gt;0),2000,0)-IF(AND($U14=1,'calcA'!DC$117=1,HB14=0),2000,0))),1000000000))</f>
        <v/>
      </c>
      <c r="SF14">
        <f>IF($B14=0,1000000000,IF(INDEX('calcA'!$D$60:$EQ$99,$B14,105)*IF($W14=1,HB14+ADQ14,HB14)=1,IF(AND($E14=2,IF($W14=1,AJF14,MQ14)=0),1000000000,IF($V14=1,INDEX('calcA'!$D$130:$EQ$169,$B14,105)+IF(AND($E14=1,MQ14=0),25,0),IF($F14&gt;0,INDEX('calcA'!DD$110:DD$114,$F14+1)+IF(AND($E14=1,MQ14=0),1000,0),MIN(TY14,20)*400+(IF('calcA'!DC$106=1,1-HA14,0)+IF('calcA'!DD$106=1,1-HC14,0))*150+95+'calcA'!DD$5*100000+IF(AND($E14=1,MQ14=0),50000,0))+IF($H14=1,INDEX('calcA'!$D$180:$EQ$219,$B14,105)*4000,0)-IF(AND('calcA'!DC$117=1,YA14&gt;0),2000,0)-IF(AND($U14=1,'calcA'!DD$117=1,HC14=0),2000,0))),1000000000))</f>
        <v/>
      </c>
      <c r="SG14">
        <f>IF($B14=0,1000000000,IF(INDEX('calcA'!$D$60:$EQ$99,$B14,106)*IF($W14=1,HC14+ADR14,HC14)=1,IF(AND($E14=2,IF($W14=1,AJG14,MR14)=0),1000000000,IF($V14=1,INDEX('calcA'!$D$130:$EQ$169,$B14,106)+IF(AND($E14=1,MR14=0),25,0),IF($F14&gt;0,INDEX('calcA'!DE$110:DE$114,$F14+1)+IF(AND($E14=1,MR14=0),1000,0),MIN(TY14,20)*400+(IF('calcA'!DD$106=1,1-HB14,0)+IF('calcA'!DE$106=1,1-HD14,0))*150+105+'calcA'!DE$5*100000+IF(AND($E14=1,MR14=0),50000,0))+IF($H14=1,INDEX('calcA'!$D$180:$EQ$219,$B14,106)*4000,0)-IF(AND('calcA'!DD$117=1,YB14&gt;0),2000,0)-IF(AND($U14=1,'calcA'!DE$117=1,HD14=0),2000,0))),1000000000))</f>
        <v/>
      </c>
      <c r="SH14">
        <f>IF($B14=0,1000000000,IF(INDEX('calcA'!$D$60:$EQ$99,$B14,107)*IF($W14=1,HD14+ADS14,HD14)=1,IF(AND($E14=2,IF($W14=1,AJH14,MS14)=0),1000000000,IF($V14=1,INDEX('calcA'!$D$130:$EQ$169,$B14,107)+IF(AND($E14=1,MS14=0),25,0),IF($F14&gt;0,INDEX('calcA'!DF$110:DF$114,$F14+1)+IF(AND($E14=1,MS14=0),1000,0),MIN(TY14,20)*400+(IF('calcA'!DE$106=1,1-HC14,0)+IF('calcA'!DF$106=1,1-HE14,0))*150+115+'calcA'!DF$5*100000+IF(AND($E14=1,MS14=0),50000,0))+IF($H14=1,INDEX('calcA'!$D$180:$EQ$219,$B14,107)*4000,0)-IF(AND('calcA'!DE$117=1,YC14&gt;0),2000,0)-IF(AND($U14=1,'calcA'!DF$117=1,HE14=0),2000,0))),1000000000))</f>
        <v/>
      </c>
      <c r="SI14">
        <f>IF($B14=0,1000000000,IF(INDEX('calcA'!$D$60:$EQ$99,$B14,108)*IF($W14=1,HE14+ADT14,HE14)=1,IF(AND($E14=2,IF($W14=1,AJI14,MT14)=0),1000000000,IF($V14=1,INDEX('calcA'!$D$130:$EQ$169,$B14,108)+IF(AND($E14=1,MT14=0),25,0),IF($F14&gt;0,INDEX('calcA'!DG$110:DG$114,$F14+1)+IF(AND($E14=1,MT14=0),1000,0),MIN(TY14,20)*400+(IF('calcA'!DF$106=1,1-HD14,0)+IF('calcA'!DG$106=1,1-HF14,0))*150+125+'calcA'!DG$5*100000+IF(AND($E14=1,MT14=0),50000,0))+IF($H14=1,INDEX('calcA'!$D$180:$EQ$219,$B14,108)*4000,0)-IF(AND('calcA'!DF$117=1,YD14&gt;0),2000,0)-IF(AND($U14=1,'calcA'!DG$117=1,HF14=0),2000,0))),1000000000))</f>
        <v/>
      </c>
      <c r="SJ14">
        <f>IF($B14=0,1000000000,IF(INDEX('calcA'!$D$60:$EQ$99,$B14,109)*IF($W14=1,HF14+ADU14,HF14)=1,IF(AND($E14=2,IF($W14=1,AJJ14,MU14)=0),1000000000,IF($V14=1,INDEX('calcA'!$D$130:$EQ$169,$B14,109)+IF(AND($E14=1,MU14=0),25,0),IF($F14&gt;0,INDEX('calcA'!DH$110:DH$114,$F14+1)+IF(AND($E14=1,MU14=0),1000,0),MIN(TY14,20)*400+(IF('calcA'!DG$106=1,1-HE14,0)+IF('calcA'!DH$106=1,1-HG14,0))*150+135+'calcA'!DH$5*100000+IF(AND($E14=1,MU14=0),50000,0))+IF($H14=1,INDEX('calcA'!$D$180:$EQ$219,$B14,109)*4000,0)-IF(AND('calcA'!DG$117=1,YE14&gt;0),2000,0)-IF(AND($U14=1,'calcA'!DH$117=1,HG14=0),2000,0))),1000000000))</f>
        <v/>
      </c>
      <c r="SK14">
        <f>IF($B14=0,1000000000,IF(INDEX('calcA'!$D$60:$EQ$99,$B14,110)*IF($W14=1,HG14+ADV14,HG14)=1,IF(AND($E14=2,IF($W14=1,AJK14,MV14)=0),1000000000,IF($V14=1,INDEX('calcA'!$D$130:$EQ$169,$B14,110)+IF(AND($E14=1,MV14=0),25,0),IF($F14&gt;0,INDEX('calcA'!DI$110:DI$114,$F14+1)+IF(AND($E14=1,MV14=0),1000,0),MIN(TY14,20)*400+(IF('calcA'!DH$106=1,1-HF14,0)+IF('calcA'!DI$106=1,1-HH14,0))*150+145+'calcA'!DI$5*100000+IF(AND($E14=1,MV14=0),50000,0))+IF($H14=1,INDEX('calcA'!$D$180:$EQ$219,$B14,110)*4000,0)-IF(AND('calcA'!DH$117=1,YF14&gt;0),2000,0)-IF(AND($U14=1,'calcA'!DI$117=1,HH14=0),2000,0))),1000000000))</f>
        <v/>
      </c>
      <c r="SL14">
        <f>IF($B14=0,1000000000,IF(INDEX('calcA'!$D$60:$EQ$99,$B14,111)*IF($W14=1,HH14+ADW14,HH14)=1,IF(AND($E14=2,IF($W14=1,AJL14,MW14)=0),1000000000,IF($V14=1,INDEX('calcA'!$D$130:$EQ$169,$B14,111)+IF(AND($E14=1,MW14=0),25,0),IF($F14&gt;0,INDEX('calcA'!DJ$110:DJ$114,$F14+1)+IF(AND($E14=1,MW14=0),1000,0),MIN(TY14,20)*400+(IF('calcA'!DI$106=1,1-HG14,0)+IF('calcA'!DJ$106=1,1-HI14,0))*150+155+'calcA'!DJ$5*100000+IF(AND($E14=1,MW14=0),50000,0))+IF($H14=1,INDEX('calcA'!$D$180:$EQ$219,$B14,111)*4000,0)-IF(AND('calcA'!DI$117=1,YG14&gt;0),2000,0)-IF(AND($U14=1,'calcA'!DJ$117=1,HI14=0),2000,0))),1000000000))</f>
        <v/>
      </c>
      <c r="SM14">
        <f>IF($B14=0,1000000000,IF(INDEX('calcA'!$D$60:$EQ$99,$B14,112)*IF($W14=1,HI14+ADX14,HI14)=1,IF(AND($E14=2,IF($W14=1,AJM14,MX14)=0),1000000000,IF($V14=1,INDEX('calcA'!$D$130:$EQ$169,$B14,112)+IF(AND($E14=1,MX14=0),25,0),IF($F14&gt;0,INDEX('calcA'!DK$110:DK$114,$F14+1)+IF(AND($E14=1,MX14=0),1000,0),MIN(TY14,20)*400+(IF('calcA'!DJ$106=1,1-HH14,0)+IF('calcA'!DK$106=1,1-HJ14,0))*150+165+'calcA'!DK$5*100000+IF(AND($E14=1,MX14=0),50000,0))+IF($H14=1,INDEX('calcA'!$D$180:$EQ$219,$B14,112)*4000,0)-IF(AND('calcA'!DJ$117=1,YH14&gt;0),2000,0)-IF(AND($U14=1,'calcA'!DK$117=1,HJ14=0),2000,0))),1000000000))</f>
        <v/>
      </c>
      <c r="SN14">
        <f>IF($B14=0,1000000000,IF(INDEX('calcA'!$D$60:$EQ$99,$B14,113)*IF($W14=1,HJ14+ADY14,HJ14)=1,IF(AND($E14=2,IF($W14=1,AJN14,MY14)=0),1000000000,IF($V14=1,INDEX('calcA'!$D$130:$EQ$169,$B14,113)+IF(AND($E14=1,MY14=0),25,0),IF($F14&gt;0,INDEX('calcA'!DL$110:DL$114,$F14+1)+IF(AND($E14=1,MY14=0),1000,0),MIN(TY14,20)*400+(IF('calcA'!DK$106=1,1-HI14,0)+IF('calcA'!DL$106=1,1-HK14,0))*150+175+'calcA'!DL$5*100000+IF(AND($E14=1,MY14=0),50000,0))+IF($H14=1,INDEX('calcA'!$D$180:$EQ$219,$B14,113)*4000,0)-IF(AND('calcA'!DK$117=1,YI14&gt;0),2000,0)-IF(AND($U14=1,'calcA'!DL$117=1,HK14=0),2000,0))),1000000000))</f>
        <v/>
      </c>
      <c r="SO14">
        <f>IF($B14=0,1000000000,IF(INDEX('calcA'!$D$60:$EQ$99,$B14,114)*IF($W14=1,HK14+ADZ14,HK14)=1,IF(AND($E14=2,IF($W14=1,AJO14,MZ14)=0),1000000000,IF($V14=1,INDEX('calcA'!$D$130:$EQ$169,$B14,114)+IF(AND($E14=1,MZ14=0),25,0),IF($F14&gt;0,INDEX('calcA'!DM$110:DM$114,$F14+1)+IF(AND($E14=1,MZ14=0),1000,0),MIN(TY14,20)*400+(IF('calcA'!DL$106=1,1-HJ14,0)+IF('calcA'!DM$106=1,1-HL14,0))*150+185+'calcA'!DM$5*100000+IF(AND($E14=1,MZ14=0),50000,0))+IF($H14=1,INDEX('calcA'!$D$180:$EQ$219,$B14,114)*4000,0)-IF(AND('calcA'!DL$117=1,YJ14&gt;0),2000,0)-IF(AND($U14=1,'calcA'!DM$117=1,HL14=0),2000,0))),1000000000))</f>
        <v/>
      </c>
      <c r="SP14">
        <f>IF($B14=0,1000000000,IF(INDEX('calcA'!$D$60:$EQ$99,$B14,115)*IF($W14=1,HL14+AEA14,HL14)=1,IF(AND($E14=2,IF($W14=1,AJP14,NA14)=0),1000000000,IF($V14=1,INDEX('calcA'!$D$130:$EQ$169,$B14,115)+IF(AND($E14=1,NA14=0),25,0),IF($F14&gt;0,INDEX('calcA'!DN$110:DN$114,$F14+1)+IF(AND($E14=1,NA14=0),1000,0),MIN(TY14,20)*400+(IF('calcA'!DM$106=1,1-HK14,0)+IF('calcA'!DN$106=1,1-HM14,0))*150+195+'calcA'!DN$5*100000+IF(AND($E14=1,NA14=0),50000,0))+IF($H14=1,INDEX('calcA'!$D$180:$EQ$219,$B14,115)*4000,0)-IF(AND('calcA'!DM$117=1,YK14&gt;0),2000,0)-IF(AND($U14=1,'calcA'!DN$117=1,HM14=0),2000,0))),1000000000))</f>
        <v/>
      </c>
      <c r="SQ14">
        <f>IF($B14=0,1000000000,IF(INDEX('calcA'!$D$60:$EQ$99,$B14,116)*IF($W14=1,HM14+AEB14,HM14)=1,IF(AND($E14=2,IF($W14=1,AJQ14,NB14)=0),1000000000,IF($V14=1,INDEX('calcA'!$D$130:$EQ$169,$B14,116)+IF(AND($E14=1,NB14=0),25,0),IF($F14&gt;0,INDEX('calcA'!DO$110:DO$114,$F14+1)+IF(AND($E14=1,NB14=0),1000,0),MIN(TY14,20)*400+(IF('calcA'!DN$106=1,1-HL14,0)+IF('calcA'!DO$106=1,1-HN14,0))*150+205+'calcA'!DO$5*100000+IF(AND($E14=1,NB14=0),50000,0))+IF($H14=1,INDEX('calcA'!$D$180:$EQ$219,$B14,116)*4000,0)-IF(AND('calcA'!DN$117=1,YL14&gt;0),2000,0)-IF(AND($U14=1,'calcA'!DO$117=1,HN14=0),2000,0))),1000000000))</f>
        <v/>
      </c>
      <c r="SR14">
        <f>IF($B14=0,1000000000,IF(INDEX('calcA'!$D$60:$EQ$99,$B14,117)*IF($W14=1,HN14+AEC14,HN14)=1,IF(AND($E14=2,IF($W14=1,AJR14,NC14)=0),1000000000,IF($V14=1,INDEX('calcA'!$D$130:$EQ$169,$B14,117)+IF(AND($E14=1,NC14=0),25,0),IF($F14&gt;0,INDEX('calcA'!DP$110:DP$114,$F14+1)+IF(AND($E14=1,NC14=0),1000,0),MIN(TY14,20)*400+(IF('calcA'!DO$106=1,1-HM14,0)+IF('calcA'!DP$106=1,1-HO14,0))*150+215+'calcA'!DP$5*100000+IF(AND($E14=1,NC14=0),50000,0))+IF($H14=1,INDEX('calcA'!$D$180:$EQ$219,$B14,117)*4000,0)-IF(AND('calcA'!DO$117=1,YM14&gt;0),2000,0)-IF(AND($U14=1,'calcA'!DP$117=1,HO14=0),2000,0))),1000000000))</f>
        <v/>
      </c>
      <c r="SS14">
        <f>IF($B14=0,1000000000,IF(INDEX('calcA'!$D$60:$EQ$99,$B14,118)*IF($W14=1,HO14+AED14,HO14)=1,IF(AND($E14=2,IF($W14=1,AJS14,ND14)=0),1000000000,IF($V14=1,INDEX('calcA'!$D$130:$EQ$169,$B14,118)+IF(AND($E14=1,ND14=0),25,0),IF($F14&gt;0,INDEX('calcA'!DQ$110:DQ$114,$F14+1)+IF(AND($E14=1,ND14=0),1000,0),MIN(TY14,20)*400+(IF('calcA'!DP$106=1,1-HN14,0)+IF('calcA'!DQ$106=1,1-HP14,0))*150+225+'calcA'!DQ$5*100000+IF(AND($E14=1,ND14=0),50000,0))+IF($H14=1,INDEX('calcA'!$D$180:$EQ$219,$B14,118)*4000,0)-IF(AND('calcA'!DP$117=1,YN14&gt;0),2000,0)-IF(AND($U14=1,'calcA'!DQ$117=1,HP14=0),2000,0))),1000000000))</f>
        <v/>
      </c>
      <c r="ST14">
        <f>IF($B14=0,1000000000,IF(INDEX('calcA'!$D$60:$EQ$99,$B14,119)*IF($W14=1,HP14+AEE14,HP14)=1,IF(AND($E14=2,IF($W14=1,AJT14,NE14)=0),1000000000,IF($V14=1,INDEX('calcA'!$D$130:$EQ$169,$B14,119)+IF(AND($E14=1,NE14=0),25,0),IF($F14&gt;0,INDEX('calcA'!DR$110:DR$114,$F14+1)+IF(AND($E14=1,NE14=0),1000,0),MIN(TY14,20)*400+(IF('calcA'!DQ$106=1,1-HO14,0)+IF('calcA'!DR$106=1,1-HQ14,0))*150+235+'calcA'!DR$5*100000+IF(AND($E14=1,NE14=0),50000,0))+IF($H14=1,INDEX('calcA'!$D$180:$EQ$219,$B14,119)*4000,0)-IF(AND('calcA'!DQ$117=1,YO14&gt;0),2000,0)-IF(AND($U14=1,'calcA'!DR$117=1,HQ14=0),2000,0))),1000000000))</f>
        <v/>
      </c>
      <c r="SU14">
        <f>IF($B14=0,1000000000,IF(INDEX('calcA'!$D$60:$EQ$99,$B14,120)*IF($W14=1,HQ14+AEF14,HQ14)=1,IF(AND($E14=2,IF($W14=1,AJU14,NF14)=0),1000000000,IF($V14=1,INDEX('calcA'!$D$130:$EQ$169,$B14,120)+IF(AND($E14=1,NF14=0),25,0),IF($F14&gt;0,INDEX('calcA'!DS$110:DS$114,$F14+1)+IF(AND($E14=1,NF14=0),1000,0),MIN(TY14,20)*400+(IF('calcA'!DR$106=1,1-HP14,0))*150+245+'calcA'!DS$5*100000+IF(AND($E14=1,NF14=0),50000,0))+IF($H14=1,INDEX('calcA'!$D$180:$EQ$219,$B14,120)*4000,0)-IF(AND('calcA'!DR$117=1,YP14&gt;0),2000,0))),1000000000))</f>
        <v/>
      </c>
      <c r="SV14">
        <f>IF($B14=0,1000000000,IF(INDEX('calcA'!$D$60:$EQ$99,$B14,121)*IF($W14=1,HR14+AEG14,HR14)=1,IF(AND($E14=2,IF($W14=1,AJV14,NG14)=0),1000000000,IF($V14=1,INDEX('calcA'!$D$130:$EQ$169,$B14,121)+IF(AND($E14=1,NG14=0),25,0),IF($F14&gt;0,INDEX('calcA'!DT$110:DT$114,$F14+1)+IF(AND($E14=1,NG14=0),1000,0),MIN(TZ14,20)*400+(IF('calcA'!DT$106=1,1-HS14,0))*150+16+'calcA'!DT$5*100000+IF(AND($E14=1,NG14=0),50000,0))+IF($H14=1,INDEX('calcA'!$D$180:$EQ$219,$B14,121)*4000,0)-IF(AND($U14=1,'calcA'!DT$117=1,HS14=0),2000,0))),1000000000))</f>
        <v/>
      </c>
      <c r="SW14">
        <f>IF($B14=0,1000000000,IF(INDEX('calcA'!$D$60:$EQ$99,$B14,122)*IF($W14=1,HS14+AEH14,HS14)=1,IF(AND($E14=2,IF($W14=1,AJW14,NH14)=0),1000000000,IF($V14=1,INDEX('calcA'!$D$130:$EQ$169,$B14,122)+IF(AND($E14=1,NH14=0),25,0),IF($F14&gt;0,INDEX('calcA'!DU$110:DU$114,$F14+1)+IF(AND($E14=1,NH14=0),1000,0),MIN(TZ14,20)*400+(IF('calcA'!DT$106=1,1-HR14,0)+IF('calcA'!DU$106=1,1-HT14,0))*150+26+'calcA'!DU$5*100000+IF(AND($E14=1,NH14=0),50000,0))+IF($H14=1,INDEX('calcA'!$D$180:$EQ$219,$B14,122)*4000,0)-IF(AND('calcA'!DT$117=1,YR14&gt;0),2000,0)-IF(AND($U14=1,'calcA'!DU$117=1,HT14=0),2000,0))),1000000000))</f>
        <v/>
      </c>
      <c r="SX14">
        <f>IF($B14=0,1000000000,IF(INDEX('calcA'!$D$60:$EQ$99,$B14,123)*IF($W14=1,HT14+AEI14,HT14)=1,IF(AND($E14=2,IF($W14=1,AJX14,NI14)=0),1000000000,IF($V14=1,INDEX('calcA'!$D$130:$EQ$169,$B14,123)+IF(AND($E14=1,NI14=0),25,0),IF($F14&gt;0,INDEX('calcA'!DV$110:DV$114,$F14+1)+IF(AND($E14=1,NI14=0),1000,0),MIN(TZ14,20)*400+(IF('calcA'!DU$106=1,1-HS14,0)+IF('calcA'!DV$106=1,1-HU14,0))*150+36+'calcA'!DV$5*100000+IF(AND($E14=1,NI14=0),50000,0))+IF($H14=1,INDEX('calcA'!$D$180:$EQ$219,$B14,123)*4000,0)-IF(AND('calcA'!DU$117=1,YS14&gt;0),2000,0)-IF(AND($U14=1,'calcA'!DV$117=1,HU14=0),2000,0))),1000000000))</f>
        <v/>
      </c>
      <c r="SY14">
        <f>IF($B14=0,1000000000,IF(INDEX('calcA'!$D$60:$EQ$99,$B14,124)*IF($W14=1,HU14+AEJ14,HU14)=1,IF(AND($E14=2,IF($W14=1,AJY14,NJ14)=0),1000000000,IF($V14=1,INDEX('calcA'!$D$130:$EQ$169,$B14,124)+IF(AND($E14=1,NJ14=0),25,0),IF($F14&gt;0,INDEX('calcA'!DW$110:DW$114,$F14+1)+IF(AND($E14=1,NJ14=0),1000,0),MIN(TZ14,20)*400+(IF('calcA'!DV$106=1,1-HT14,0)+IF('calcA'!DW$106=1,1-HV14,0))*150+46+'calcA'!DW$5*100000+IF(AND($E14=1,NJ14=0),50000,0))+IF($H14=1,INDEX('calcA'!$D$180:$EQ$219,$B14,124)*4000,0)-IF(AND('calcA'!DV$117=1,YT14&gt;0),2000,0)-IF(AND($U14=1,'calcA'!DW$117=1,HV14=0),2000,0))),1000000000))</f>
        <v/>
      </c>
      <c r="SZ14">
        <f>IF($B14=0,1000000000,IF(INDEX('calcA'!$D$60:$EQ$99,$B14,125)*IF($W14=1,HV14+AEK14,HV14)=1,IF(AND($E14=2,IF($W14=1,AJZ14,NK14)=0),1000000000,IF($V14=1,INDEX('calcA'!$D$130:$EQ$169,$B14,125)+IF(AND($E14=1,NK14=0),25,0),IF($F14&gt;0,INDEX('calcA'!DX$110:DX$114,$F14+1)+IF(AND($E14=1,NK14=0),1000,0),MIN(TZ14,20)*400+(IF('calcA'!DW$106=1,1-HU14,0)+IF('calcA'!DX$106=1,1-HW14,0))*150+56+'calcA'!DX$5*100000+IF(AND($E14=1,NK14=0),50000,0))+IF($H14=1,INDEX('calcA'!$D$180:$EQ$219,$B14,125)*4000,0)-IF(AND('calcA'!DW$117=1,YU14&gt;0),2000,0)-IF(AND($U14=1,'calcA'!DX$117=1,HW14=0),2000,0))),1000000000))</f>
        <v/>
      </c>
      <c r="TA14">
        <f>IF($B14=0,1000000000,IF(INDEX('calcA'!$D$60:$EQ$99,$B14,126)*IF($W14=1,HW14+AEL14,HW14)=1,IF(AND($E14=2,IF($W14=1,AKA14,NL14)=0),1000000000,IF($V14=1,INDEX('calcA'!$D$130:$EQ$169,$B14,126)+IF(AND($E14=1,NL14=0),25,0),IF($F14&gt;0,INDEX('calcA'!DY$110:DY$114,$F14+1)+IF(AND($E14=1,NL14=0),1000,0),MIN(TZ14,20)*400+(IF('calcA'!DX$106=1,1-HV14,0)+IF('calcA'!DY$106=1,1-HX14,0))*150+66+'calcA'!DY$5*100000+IF(AND($E14=1,NL14=0),50000,0))+IF($H14=1,INDEX('calcA'!$D$180:$EQ$219,$B14,126)*4000,0)-IF(AND('calcA'!DX$117=1,YV14&gt;0),2000,0)-IF(AND($U14=1,'calcA'!DY$117=1,HX14=0),2000,0))),1000000000))</f>
        <v/>
      </c>
      <c r="TB14">
        <f>IF($B14=0,1000000000,IF(INDEX('calcA'!$D$60:$EQ$99,$B14,127)*IF($W14=1,HX14+AEM14,HX14)=1,IF(AND($E14=2,IF($W14=1,AKB14,NM14)=0),1000000000,IF($V14=1,INDEX('calcA'!$D$130:$EQ$169,$B14,127)+IF(AND($E14=1,NM14=0),25,0),IF($F14&gt;0,INDEX('calcA'!DZ$110:DZ$114,$F14+1)+IF(AND($E14=1,NM14=0),1000,0),MIN(TZ14,20)*400+(IF('calcA'!DY$106=1,1-HW14,0)+IF('calcA'!DZ$106=1,1-HY14,0))*150+76+'calcA'!DZ$5*100000+IF(AND($E14=1,NM14=0),50000,0))+IF($H14=1,INDEX('calcA'!$D$180:$EQ$219,$B14,127)*4000,0)-IF(AND('calcA'!DY$117=1,YW14&gt;0),2000,0)-IF(AND($U14=1,'calcA'!DZ$117=1,HY14=0),2000,0))),1000000000))</f>
        <v/>
      </c>
      <c r="TC14">
        <f>IF($B14=0,1000000000,IF(INDEX('calcA'!$D$60:$EQ$99,$B14,128)*IF($W14=1,HY14+AEN14,HY14)=1,IF(AND($E14=2,IF($W14=1,AKC14,NN14)=0),1000000000,IF($V14=1,INDEX('calcA'!$D$130:$EQ$169,$B14,128)+IF(AND($E14=1,NN14=0),25,0),IF($F14&gt;0,INDEX('calcA'!EA$110:EA$114,$F14+1)+IF(AND($E14=1,NN14=0),1000,0),MIN(TZ14,20)*400+(IF('calcA'!DZ$106=1,1-HX14,0)+IF('calcA'!EA$106=1,1-HZ14,0))*150+86+'calcA'!EA$5*100000+IF(AND($E14=1,NN14=0),50000,0))+IF($H14=1,INDEX('calcA'!$D$180:$EQ$219,$B14,128)*4000,0)-IF(AND('calcA'!DZ$117=1,YX14&gt;0),2000,0)-IF(AND($U14=1,'calcA'!EA$117=1,HZ14=0),2000,0))),1000000000))</f>
        <v/>
      </c>
      <c r="TD14">
        <f>IF($B14=0,1000000000,IF(INDEX('calcA'!$D$60:$EQ$99,$B14,129)*IF($W14=1,HZ14+AEO14,HZ14)=1,IF(AND($E14=2,IF($W14=1,AKD14,NO14)=0),1000000000,IF($V14=1,INDEX('calcA'!$D$130:$EQ$169,$B14,129)+IF(AND($E14=1,NO14=0),25,0),IF($F14&gt;0,INDEX('calcA'!EB$110:EB$114,$F14+1)+IF(AND($E14=1,NO14=0),1000,0),MIN(TZ14,20)*400+(IF('calcA'!EA$106=1,1-HY14,0)+IF('calcA'!EB$106=1,1-IA14,0))*150+96+'calcA'!EB$5*100000+IF(AND($E14=1,NO14=0),50000,0))+IF($H14=1,INDEX('calcA'!$D$180:$EQ$219,$B14,129)*4000,0)-IF(AND('calcA'!EA$117=1,YY14&gt;0),2000,0)-IF(AND($U14=1,'calcA'!EB$117=1,IA14=0),2000,0))),1000000000))</f>
        <v/>
      </c>
      <c r="TE14">
        <f>IF($B14=0,1000000000,IF(INDEX('calcA'!$D$60:$EQ$99,$B14,130)*IF($W14=1,IA14+AEP14,IA14)=1,IF(AND($E14=2,IF($W14=1,AKE14,NP14)=0),1000000000,IF($V14=1,INDEX('calcA'!$D$130:$EQ$169,$B14,130)+IF(AND($E14=1,NP14=0),25,0),IF($F14&gt;0,INDEX('calcA'!EC$110:EC$114,$F14+1)+IF(AND($E14=1,NP14=0),1000,0),MIN(TZ14,20)*400+(IF('calcA'!EB$106=1,1-HZ14,0)+IF('calcA'!EC$106=1,1-IB14,0))*150+106+'calcA'!EC$5*100000+IF(AND($E14=1,NP14=0),50000,0))+IF($H14=1,INDEX('calcA'!$D$180:$EQ$219,$B14,130)*4000,0)-IF(AND('calcA'!EB$117=1,YZ14&gt;0),2000,0)-IF(AND($U14=1,'calcA'!EC$117=1,IB14=0),2000,0))),1000000000))</f>
        <v/>
      </c>
      <c r="TF14">
        <f>IF($B14=0,1000000000,IF(INDEX('calcA'!$D$60:$EQ$99,$B14,131)*IF($W14=1,IB14+AEQ14,IB14)=1,IF(AND($E14=2,IF($W14=1,AKF14,NQ14)=0),1000000000,IF($V14=1,INDEX('calcA'!$D$130:$EQ$169,$B14,131)+IF(AND($E14=1,NQ14=0),25,0),IF($F14&gt;0,INDEX('calcA'!ED$110:ED$114,$F14+1)+IF(AND($E14=1,NQ14=0),1000,0),MIN(TZ14,20)*400+(IF('calcA'!EC$106=1,1-IA14,0)+IF('calcA'!ED$106=1,1-IC14,0))*150+116+'calcA'!ED$5*100000+IF(AND($E14=1,NQ14=0),50000,0))+IF($H14=1,INDEX('calcA'!$D$180:$EQ$219,$B14,131)*4000,0)-IF(AND('calcA'!EC$117=1,ZA14&gt;0),2000,0)-IF(AND($U14=1,'calcA'!ED$117=1,IC14=0),2000,0))),1000000000))</f>
        <v/>
      </c>
      <c r="TG14">
        <f>IF($B14=0,1000000000,IF(INDEX('calcA'!$D$60:$EQ$99,$B14,132)*IF($W14=1,IC14+AER14,IC14)=1,IF(AND($E14=2,IF($W14=1,AKG14,NR14)=0),1000000000,IF($V14=1,INDEX('calcA'!$D$130:$EQ$169,$B14,132)+IF(AND($E14=1,NR14=0),25,0),IF($F14&gt;0,INDEX('calcA'!EE$110:EE$114,$F14+1)+IF(AND($E14=1,NR14=0),1000,0),MIN(TZ14,20)*400+(IF('calcA'!ED$106=1,1-IB14,0)+IF('calcA'!EE$106=1,1-ID14,0))*150+126+'calcA'!EE$5*100000+IF(AND($E14=1,NR14=0),50000,0))+IF($H14=1,INDEX('calcA'!$D$180:$EQ$219,$B14,132)*4000,0)-IF(AND('calcA'!ED$117=1,ZB14&gt;0),2000,0)-IF(AND($U14=1,'calcA'!EE$117=1,ID14=0),2000,0))),1000000000))</f>
        <v/>
      </c>
      <c r="TH14">
        <f>IF($B14=0,1000000000,IF(INDEX('calcA'!$D$60:$EQ$99,$B14,133)*IF($W14=1,ID14+AES14,ID14)=1,IF(AND($E14=2,IF($W14=1,AKH14,NS14)=0),1000000000,IF($V14=1,INDEX('calcA'!$D$130:$EQ$169,$B14,133)+IF(AND($E14=1,NS14=0),25,0),IF($F14&gt;0,INDEX('calcA'!EF$110:EF$114,$F14+1)+IF(AND($E14=1,NS14=0),1000,0),MIN(TZ14,20)*400+(IF('calcA'!EE$106=1,1-IC14,0)+IF('calcA'!EF$106=1,1-IE14,0))*150+136+'calcA'!EF$5*100000+IF(AND($E14=1,NS14=0),50000,0))+IF($H14=1,INDEX('calcA'!$D$180:$EQ$219,$B14,133)*4000,0)-IF(AND('calcA'!EE$117=1,ZC14&gt;0),2000,0)-IF(AND($U14=1,'calcA'!EF$117=1,IE14=0),2000,0))),1000000000))</f>
        <v/>
      </c>
      <c r="TI14">
        <f>IF($B14=0,1000000000,IF(INDEX('calcA'!$D$60:$EQ$99,$B14,134)*IF($W14=1,IE14+AET14,IE14)=1,IF(AND($E14=2,IF($W14=1,AKI14,NT14)=0),1000000000,IF($V14=1,INDEX('calcA'!$D$130:$EQ$169,$B14,134)+IF(AND($E14=1,NT14=0),25,0),IF($F14&gt;0,INDEX('calcA'!EG$110:EG$114,$F14+1)+IF(AND($E14=1,NT14=0),1000,0),MIN(TZ14,20)*400+(IF('calcA'!EF$106=1,1-ID14,0)+IF('calcA'!EG$106=1,1-IF14,0))*150+146+'calcA'!EG$5*100000+IF(AND($E14=1,NT14=0),50000,0))+IF($H14=1,INDEX('calcA'!$D$180:$EQ$219,$B14,134)*4000,0)-IF(AND('calcA'!EF$117=1,ZD14&gt;0),2000,0)-IF(AND($U14=1,'calcA'!EG$117=1,IF14=0),2000,0))),1000000000))</f>
        <v/>
      </c>
      <c r="TJ14">
        <f>IF($B14=0,1000000000,IF(INDEX('calcA'!$D$60:$EQ$99,$B14,135)*IF($W14=1,IF14+AEU14,IF14)=1,IF(AND($E14=2,IF($W14=1,AKJ14,NU14)=0),1000000000,IF($V14=1,INDEX('calcA'!$D$130:$EQ$169,$B14,135)+IF(AND($E14=1,NU14=0),25,0),IF($F14&gt;0,INDEX('calcA'!EH$110:EH$114,$F14+1)+IF(AND($E14=1,NU14=0),1000,0),MIN(TZ14,20)*400+(IF('calcA'!EG$106=1,1-IE14,0)+IF('calcA'!EH$106=1,1-IG14,0))*150+156+'calcA'!EH$5*100000+IF(AND($E14=1,NU14=0),50000,0))+IF($H14=1,INDEX('calcA'!$D$180:$EQ$219,$B14,135)*4000,0)-IF(AND('calcA'!EG$117=1,ZE14&gt;0),2000,0)-IF(AND($U14=1,'calcA'!EH$117=1,IG14=0),2000,0))),1000000000))</f>
        <v/>
      </c>
      <c r="TK14">
        <f>IF($B14=0,1000000000,IF(INDEX('calcA'!$D$60:$EQ$99,$B14,136)*IF($W14=1,IG14+AEV14,IG14)=1,IF(AND($E14=2,IF($W14=1,AKK14,NV14)=0),1000000000,IF($V14=1,INDEX('calcA'!$D$130:$EQ$169,$B14,136)+IF(AND($E14=1,NV14=0),25,0),IF($F14&gt;0,INDEX('calcA'!EI$110:EI$114,$F14+1)+IF(AND($E14=1,NV14=0),1000,0),MIN(TZ14,20)*400+(IF('calcA'!EH$106=1,1-IF14,0)+IF('calcA'!EI$106=1,1-IH14,0))*150+166+'calcA'!EI$5*100000+IF(AND($E14=1,NV14=0),50000,0))+IF($H14=1,INDEX('calcA'!$D$180:$EQ$219,$B14,136)*4000,0)-IF(AND('calcA'!EH$117=1,ZF14&gt;0),2000,0)-IF(AND($U14=1,'calcA'!EI$117=1,IH14=0),2000,0))),1000000000))</f>
        <v/>
      </c>
      <c r="TL14">
        <f>IF($B14=0,1000000000,IF(INDEX('calcA'!$D$60:$EQ$99,$B14,137)*IF($W14=1,IH14+AEW14,IH14)=1,IF(AND($E14=2,IF($W14=1,AKL14,NW14)=0),1000000000,IF($V14=1,INDEX('calcA'!$D$130:$EQ$169,$B14,137)+IF(AND($E14=1,NW14=0),25,0),IF($F14&gt;0,INDEX('calcA'!EJ$110:EJ$114,$F14+1)+IF(AND($E14=1,NW14=0),1000,0),MIN(TZ14,20)*400+(IF('calcA'!EI$106=1,1-IG14,0)+IF('calcA'!EJ$106=1,1-II14,0))*150+176+'calcA'!EJ$5*100000+IF(AND($E14=1,NW14=0),50000,0))+IF($H14=1,INDEX('calcA'!$D$180:$EQ$219,$B14,137)*4000,0)-IF(AND('calcA'!EI$117=1,ZG14&gt;0),2000,0)-IF(AND($U14=1,'calcA'!EJ$117=1,II14=0),2000,0))),1000000000))</f>
        <v/>
      </c>
      <c r="TM14">
        <f>IF($B14=0,1000000000,IF(INDEX('calcA'!$D$60:$EQ$99,$B14,138)*IF($W14=1,II14+AEX14,II14)=1,IF(AND($E14=2,IF($W14=1,AKM14,NX14)=0),1000000000,IF($V14=1,INDEX('calcA'!$D$130:$EQ$169,$B14,138)+IF(AND($E14=1,NX14=0),25,0),IF($F14&gt;0,INDEX('calcA'!EK$110:EK$114,$F14+1)+IF(AND($E14=1,NX14=0),1000,0),MIN(TZ14,20)*400+(IF('calcA'!EJ$106=1,1-IH14,0)+IF('calcA'!EK$106=1,1-IJ14,0))*150+186+'calcA'!EK$5*100000+IF(AND($E14=1,NX14=0),50000,0))+IF($H14=1,INDEX('calcA'!$D$180:$EQ$219,$B14,138)*4000,0)-IF(AND('calcA'!EJ$117=1,ZH14&gt;0),2000,0)-IF(AND($U14=1,'calcA'!EK$117=1,IJ14=0),2000,0))),1000000000))</f>
        <v/>
      </c>
      <c r="TN14">
        <f>IF($B14=0,1000000000,IF(INDEX('calcA'!$D$60:$EQ$99,$B14,139)*IF($W14=1,IJ14+AEY14,IJ14)=1,IF(AND($E14=2,IF($W14=1,AKN14,NY14)=0),1000000000,IF($V14=1,INDEX('calcA'!$D$130:$EQ$169,$B14,139)+IF(AND($E14=1,NY14=0),25,0),IF($F14&gt;0,INDEX('calcA'!EL$110:EL$114,$F14+1)+IF(AND($E14=1,NY14=0),1000,0),MIN(TZ14,20)*400+(IF('calcA'!EK$106=1,1-II14,0)+IF('calcA'!EL$106=1,1-IK14,0))*150+196+'calcA'!EL$5*100000+IF(AND($E14=1,NY14=0),50000,0))+IF($H14=1,INDEX('calcA'!$D$180:$EQ$219,$B14,139)*4000,0)-IF(AND('calcA'!EK$117=1,ZI14&gt;0),2000,0)-IF(AND($U14=1,'calcA'!EL$117=1,IK14=0),2000,0))),1000000000))</f>
        <v/>
      </c>
      <c r="TO14">
        <f>IF($B14=0,1000000000,IF(INDEX('calcA'!$D$60:$EQ$99,$B14,140)*IF($W14=1,IK14+AEZ14,IK14)=1,IF(AND($E14=2,IF($W14=1,AKO14,NZ14)=0),1000000000,IF($V14=1,INDEX('calcA'!$D$130:$EQ$169,$B14,140)+IF(AND($E14=1,NZ14=0),25,0),IF($F14&gt;0,INDEX('calcA'!EM$110:EM$114,$F14+1)+IF(AND($E14=1,NZ14=0),1000,0),MIN(TZ14,20)*400+(IF('calcA'!EL$106=1,1-IJ14,0)+IF('calcA'!EM$106=1,1-IL14,0))*150+206+'calcA'!EM$5*100000+IF(AND($E14=1,NZ14=0),50000,0))+IF($H14=1,INDEX('calcA'!$D$180:$EQ$219,$B14,140)*4000,0)-IF(AND('calcA'!EL$117=1,ZJ14&gt;0),2000,0)-IF(AND($U14=1,'calcA'!EM$117=1,IL14=0),2000,0))),1000000000))</f>
        <v/>
      </c>
      <c r="TP14">
        <f>IF($B14=0,1000000000,IF(INDEX('calcA'!$D$60:$EQ$99,$B14,141)*IF($W14=1,IL14+AFA14,IL14)=1,IF(AND($E14=2,IF($W14=1,AKP14,OA14)=0),1000000000,IF($V14=1,INDEX('calcA'!$D$130:$EQ$169,$B14,141)+IF(AND($E14=1,OA14=0),25,0),IF($F14&gt;0,INDEX('calcA'!EN$110:EN$114,$F14+1)+IF(AND($E14=1,OA14=0),1000,0),MIN(TZ14,20)*400+(IF('calcA'!EM$106=1,1-IK14,0)+IF('calcA'!EN$106=1,1-IM14,0))*150+216+'calcA'!EN$5*100000+IF(AND($E14=1,OA14=0),50000,0))+IF($H14=1,INDEX('calcA'!$D$180:$EQ$219,$B14,141)*4000,0)-IF(AND('calcA'!EM$117=1,ZK14&gt;0),2000,0)-IF(AND($U14=1,'calcA'!EN$117=1,IM14=0),2000,0))),1000000000))</f>
        <v/>
      </c>
      <c r="TQ14">
        <f>IF($B14=0,1000000000,IF(INDEX('calcA'!$D$60:$EQ$99,$B14,142)*IF($W14=1,IM14+AFB14,IM14)=1,IF(AND($E14=2,IF($W14=1,AKQ14,OB14)=0),1000000000,IF($V14=1,INDEX('calcA'!$D$130:$EQ$169,$B14,142)+IF(AND($E14=1,OB14=0),25,0),IF($F14&gt;0,INDEX('calcA'!EO$110:EO$114,$F14+1)+IF(AND($E14=1,OB14=0),1000,0),MIN(TZ14,20)*400+(IF('calcA'!EN$106=1,1-IL14,0)+IF('calcA'!EO$106=1,1-IN14,0))*150+226+'calcA'!EO$5*100000+IF(AND($E14=1,OB14=0),50000,0))+IF($H14=1,INDEX('calcA'!$D$180:$EQ$219,$B14,142)*4000,0)-IF(AND('calcA'!EN$117=1,ZL14&gt;0),2000,0)-IF(AND($U14=1,'calcA'!EO$117=1,IN14=0),2000,0))),1000000000))</f>
        <v/>
      </c>
      <c r="TR14">
        <f>IF($B14=0,1000000000,IF(INDEX('calcA'!$D$60:$EQ$99,$B14,143)*IF($W14=1,IN14+AFC14,IN14)=1,IF(AND($E14=2,IF($W14=1,AKR14,OC14)=0),1000000000,IF($V14=1,INDEX('calcA'!$D$130:$EQ$169,$B14,143)+IF(AND($E14=1,OC14=0),25,0),IF($F14&gt;0,INDEX('calcA'!EP$110:EP$114,$F14+1)+IF(AND($E14=1,OC14=0),1000,0),MIN(TZ14,20)*400+(IF('calcA'!EO$106=1,1-IM14,0)+IF('calcA'!EP$106=1,1-IO14,0))*150+236+'calcA'!EP$5*100000+IF(AND($E14=1,OC14=0),50000,0))+IF($H14=1,INDEX('calcA'!$D$180:$EQ$219,$B14,143)*4000,0)-IF(AND('calcA'!EO$117=1,ZM14&gt;0),2000,0)-IF(AND($U14=1,'calcA'!EP$117=1,IO14=0),2000,0))),1000000000))</f>
        <v/>
      </c>
      <c r="TS14">
        <f>IF($B14=0,1000000000,IF(INDEX('calcA'!$D$60:$EQ$99,$B14,144)*IF($W14=1,IO14+AFD14,IO14)=1,IF(AND($E14=2,IF($W14=1,AKS14,OD14)=0),1000000000,IF($V14=1,INDEX('calcA'!$D$130:$EQ$169,$B14,144)+IF(AND($E14=1,OD14=0),25,0),IF($F14&gt;0,INDEX('calcA'!EQ$110:EQ$114,$F14+1)+IF(AND($E14=1,OD14=0),1000,0),MIN(TZ14,20)*400+(IF('calcA'!EP$106=1,1-IN14,0))*150+246+'calcA'!EQ$5*100000+IF(AND($E14=1,OD14=0),50000,0))+IF($H14=1,INDEX('calcA'!$D$180:$EQ$219,$B14,144)*4000,0)-IF(AND('calcA'!EP$117=1,ZN14&gt;0),2000,0))),1000000000))</f>
        <v/>
      </c>
      <c r="TU14">
        <f>TU13+IF($C13&gt;0,IF(INDEX('calcA'!$D$2:$EQ$2,$C13)=1,1,0),0)</f>
        <v/>
      </c>
      <c r="TV14">
        <f>TV13+IF($C13&gt;0,IF(INDEX('calcA'!$D$2:$EQ$2,$C13)=2,1,0),0)</f>
        <v/>
      </c>
      <c r="TW14">
        <f>TW13+IF($C13&gt;0,IF(INDEX('calcA'!$D$2:$EQ$2,$C13)=3,1,0),0)</f>
        <v/>
      </c>
      <c r="TX14">
        <f>TX13+IF($C13&gt;0,IF(INDEX('calcA'!$D$2:$EQ$2,$C13)=4,1,0),0)</f>
        <v/>
      </c>
      <c r="TY14">
        <f>TY13+IF($C13&gt;0,IF(INDEX('calcA'!$D$2:$EQ$2,$C13)=5,1,0),0)</f>
        <v/>
      </c>
      <c r="TZ14">
        <f>TZ13+IF($C13&gt;0,IF(INDEX('calcA'!$D$2:$EQ$2,$C13)=6,1,0),0)</f>
        <v/>
      </c>
      <c r="UB14">
        <f>UB13+IF(AND($C13=1,$U13=1),1,0)</f>
        <v/>
      </c>
      <c r="UC14">
        <f>UC13+IF(AND($C13=2,$U13=1),1,0)</f>
        <v/>
      </c>
      <c r="UD14">
        <f>UD13+IF(AND($C13=3,$U13=1),1,0)</f>
        <v/>
      </c>
      <c r="UE14">
        <f>UE13+IF(AND($C13=4,$U13=1),1,0)</f>
        <v/>
      </c>
      <c r="UF14">
        <f>UF13+IF(AND($C13=5,$U13=1),1,0)</f>
        <v/>
      </c>
      <c r="UG14">
        <f>UG13+IF(AND($C13=6,$U13=1),1,0)</f>
        <v/>
      </c>
      <c r="UH14">
        <f>UH13+IF(AND($C13=7,$U13=1),1,0)</f>
        <v/>
      </c>
      <c r="UI14">
        <f>UI13+IF(AND($C13=8,$U13=1),1,0)</f>
        <v/>
      </c>
      <c r="UJ14">
        <f>UJ13+IF(AND($C13=9,$U13=1),1,0)</f>
        <v/>
      </c>
      <c r="UK14">
        <f>UK13+IF(AND($C13=10,$U13=1),1,0)</f>
        <v/>
      </c>
      <c r="UL14">
        <f>UL13+IF(AND($C13=11,$U13=1),1,0)</f>
        <v/>
      </c>
      <c r="UM14">
        <f>UM13+IF(AND($C13=12,$U13=1),1,0)</f>
        <v/>
      </c>
      <c r="UN14">
        <f>UN13+IF(AND($C13=13,$U13=1),1,0)</f>
        <v/>
      </c>
      <c r="UO14">
        <f>UO13+IF(AND($C13=14,$U13=1),1,0)</f>
        <v/>
      </c>
      <c r="UP14">
        <f>UP13+IF(AND($C13=15,$U13=1),1,0)</f>
        <v/>
      </c>
      <c r="UQ14">
        <f>UQ13+IF(AND($C13=16,$U13=1),1,0)</f>
        <v/>
      </c>
      <c r="UR14">
        <f>UR13+IF(AND($C13=17,$U13=1),1,0)</f>
        <v/>
      </c>
      <c r="US14">
        <f>US13+IF(AND($C13=18,$U13=1),1,0)</f>
        <v/>
      </c>
      <c r="UT14">
        <f>UT13+IF(AND($C13=19,$U13=1),1,0)</f>
        <v/>
      </c>
      <c r="UU14">
        <f>UU13+IF(AND($C13=20,$U13=1),1,0)</f>
        <v/>
      </c>
      <c r="UV14">
        <f>UV13+IF(AND($C13=21,$U13=1),1,0)</f>
        <v/>
      </c>
      <c r="UW14">
        <f>UW13+IF(AND($C13=22,$U13=1),1,0)</f>
        <v/>
      </c>
      <c r="UX14">
        <f>UX13+IF(AND($C13=23,$U13=1),1,0)</f>
        <v/>
      </c>
      <c r="UY14">
        <f>UY13+IF(AND($C13=24,$U13=1),1,0)</f>
        <v/>
      </c>
      <c r="UZ14">
        <f>UZ13+IF(AND($C13=25,$U13=1),1,0)</f>
        <v/>
      </c>
      <c r="VA14">
        <f>VA13+IF(AND($C13=26,$U13=1),1,0)</f>
        <v/>
      </c>
      <c r="VB14">
        <f>VB13+IF(AND($C13=27,$U13=1),1,0)</f>
        <v/>
      </c>
      <c r="VC14">
        <f>VC13+IF(AND($C13=28,$U13=1),1,0)</f>
        <v/>
      </c>
      <c r="VD14">
        <f>VD13+IF(AND($C13=29,$U13=1),1,0)</f>
        <v/>
      </c>
      <c r="VE14">
        <f>VE13+IF(AND($C13=30,$U13=1),1,0)</f>
        <v/>
      </c>
      <c r="VF14">
        <f>VF13+IF(AND($C13=31,$U13=1),1,0)</f>
        <v/>
      </c>
      <c r="VG14">
        <f>VG13+IF(AND($C13=32,$U13=1),1,0)</f>
        <v/>
      </c>
      <c r="VH14">
        <f>VH13+IF(AND($C13=33,$U13=1),1,0)</f>
        <v/>
      </c>
      <c r="VI14">
        <f>VI13+IF(AND($C13=34,$U13=1),1,0)</f>
        <v/>
      </c>
      <c r="VJ14">
        <f>VJ13+IF(AND($C13=35,$U13=1),1,0)</f>
        <v/>
      </c>
      <c r="VK14">
        <f>VK13+IF(AND($C13=36,$U13=1),1,0)</f>
        <v/>
      </c>
      <c r="VL14">
        <f>VL13+IF(AND($C13=37,$U13=1),1,0)</f>
        <v/>
      </c>
      <c r="VM14">
        <f>VM13+IF(AND($C13=38,$U13=1),1,0)</f>
        <v/>
      </c>
      <c r="VN14">
        <f>VN13+IF(AND($C13=39,$U13=1),1,0)</f>
        <v/>
      </c>
      <c r="VO14">
        <f>VO13+IF(AND($C13=40,$U13=1),1,0)</f>
        <v/>
      </c>
      <c r="VP14">
        <f>VP13+IF(AND($C13=41,$U13=1),1,0)</f>
        <v/>
      </c>
      <c r="VQ14">
        <f>VQ13+IF(AND($C13=42,$U13=1),1,0)</f>
        <v/>
      </c>
      <c r="VR14">
        <f>VR13+IF(AND($C13=43,$U13=1),1,0)</f>
        <v/>
      </c>
      <c r="VS14">
        <f>VS13+IF(AND($C13=44,$U13=1),1,0)</f>
        <v/>
      </c>
      <c r="VT14">
        <f>VT13+IF(AND($C13=45,$U13=1),1,0)</f>
        <v/>
      </c>
      <c r="VU14">
        <f>VU13+IF(AND($C13=46,$U13=1),1,0)</f>
        <v/>
      </c>
      <c r="VV14">
        <f>VV13+IF(AND($C13=47,$U13=1),1,0)</f>
        <v/>
      </c>
      <c r="VW14">
        <f>VW13+IF(AND($C13=48,$U13=1),1,0)</f>
        <v/>
      </c>
      <c r="VX14">
        <f>VX13+IF(AND($C13=49,$U13=1),1,0)</f>
        <v/>
      </c>
      <c r="VY14">
        <f>VY13+IF(AND($C13=50,$U13=1),1,0)</f>
        <v/>
      </c>
      <c r="VZ14">
        <f>VZ13+IF(AND($C13=51,$U13=1),1,0)</f>
        <v/>
      </c>
      <c r="WA14">
        <f>WA13+IF(AND($C13=52,$U13=1),1,0)</f>
        <v/>
      </c>
      <c r="WB14">
        <f>WB13+IF(AND($C13=53,$U13=1),1,0)</f>
        <v/>
      </c>
      <c r="WC14">
        <f>WC13+IF(AND($C13=54,$U13=1),1,0)</f>
        <v/>
      </c>
      <c r="WD14">
        <f>WD13+IF(AND($C13=55,$U13=1),1,0)</f>
        <v/>
      </c>
      <c r="WE14">
        <f>WE13+IF(AND($C13=56,$U13=1),1,0)</f>
        <v/>
      </c>
      <c r="WF14">
        <f>WF13+IF(AND($C13=57,$U13=1),1,0)</f>
        <v/>
      </c>
      <c r="WG14">
        <f>WG13+IF(AND($C13=58,$U13=1),1,0)</f>
        <v/>
      </c>
      <c r="WH14">
        <f>WH13+IF(AND($C13=59,$U13=1),1,0)</f>
        <v/>
      </c>
      <c r="WI14">
        <f>WI13+IF(AND($C13=60,$U13=1),1,0)</f>
        <v/>
      </c>
      <c r="WJ14">
        <f>WJ13+IF(AND($C13=61,$U13=1),1,0)</f>
        <v/>
      </c>
      <c r="WK14">
        <f>WK13+IF(AND($C13=62,$U13=1),1,0)</f>
        <v/>
      </c>
      <c r="WL14">
        <f>WL13+IF(AND($C13=63,$U13=1),1,0)</f>
        <v/>
      </c>
      <c r="WM14">
        <f>WM13+IF(AND($C13=64,$U13=1),1,0)</f>
        <v/>
      </c>
      <c r="WN14">
        <f>WN13+IF(AND($C13=65,$U13=1),1,0)</f>
        <v/>
      </c>
      <c r="WO14">
        <f>WO13+IF(AND($C13=66,$U13=1),1,0)</f>
        <v/>
      </c>
      <c r="WP14">
        <f>WP13+IF(AND($C13=67,$U13=1),1,0)</f>
        <v/>
      </c>
      <c r="WQ14">
        <f>WQ13+IF(AND($C13=68,$U13=1),1,0)</f>
        <v/>
      </c>
      <c r="WR14">
        <f>WR13+IF(AND($C13=69,$U13=1),1,0)</f>
        <v/>
      </c>
      <c r="WS14">
        <f>WS13+IF(AND($C13=70,$U13=1),1,0)</f>
        <v/>
      </c>
      <c r="WT14">
        <f>WT13+IF(AND($C13=71,$U13=1),1,0)</f>
        <v/>
      </c>
      <c r="WU14">
        <f>WU13+IF(AND($C13=72,$U13=1),1,0)</f>
        <v/>
      </c>
      <c r="WV14">
        <f>WV13+IF(AND($C13=73,$U13=1),1,0)</f>
        <v/>
      </c>
      <c r="WW14">
        <f>WW13+IF(AND($C13=74,$U13=1),1,0)</f>
        <v/>
      </c>
      <c r="WX14">
        <f>WX13+IF(AND($C13=75,$U13=1),1,0)</f>
        <v/>
      </c>
      <c r="WY14">
        <f>WY13+IF(AND($C13=76,$U13=1),1,0)</f>
        <v/>
      </c>
      <c r="WZ14">
        <f>WZ13+IF(AND($C13=77,$U13=1),1,0)</f>
        <v/>
      </c>
      <c r="XA14">
        <f>XA13+IF(AND($C13=78,$U13=1),1,0)</f>
        <v/>
      </c>
      <c r="XB14">
        <f>XB13+IF(AND($C13=79,$U13=1),1,0)</f>
        <v/>
      </c>
      <c r="XC14">
        <f>XC13+IF(AND($C13=80,$U13=1),1,0)</f>
        <v/>
      </c>
      <c r="XD14">
        <f>XD13+IF(AND($C13=81,$U13=1),1,0)</f>
        <v/>
      </c>
      <c r="XE14">
        <f>XE13+IF(AND($C13=82,$U13=1),1,0)</f>
        <v/>
      </c>
      <c r="XF14">
        <f>XF13+IF(AND($C13=83,$U13=1),1,0)</f>
        <v/>
      </c>
      <c r="XG14">
        <f>XG13+IF(AND($C13=84,$U13=1),1,0)</f>
        <v/>
      </c>
      <c r="XH14">
        <f>XH13+IF(AND($C13=85,$U13=1),1,0)</f>
        <v/>
      </c>
      <c r="XI14">
        <f>XI13+IF(AND($C13=86,$U13=1),1,0)</f>
        <v/>
      </c>
      <c r="XJ14">
        <f>XJ13+IF(AND($C13=87,$U13=1),1,0)</f>
        <v/>
      </c>
      <c r="XK14">
        <f>XK13+IF(AND($C13=88,$U13=1),1,0)</f>
        <v/>
      </c>
      <c r="XL14">
        <f>XL13+IF(AND($C13=89,$U13=1),1,0)</f>
        <v/>
      </c>
      <c r="XM14">
        <f>XM13+IF(AND($C13=90,$U13=1),1,0)</f>
        <v/>
      </c>
      <c r="XN14">
        <f>XN13+IF(AND($C13=91,$U13=1),1,0)</f>
        <v/>
      </c>
      <c r="XO14">
        <f>XO13+IF(AND($C13=92,$U13=1),1,0)</f>
        <v/>
      </c>
      <c r="XP14">
        <f>XP13+IF(AND($C13=93,$U13=1),1,0)</f>
        <v/>
      </c>
      <c r="XQ14">
        <f>XQ13+IF(AND($C13=94,$U13=1),1,0)</f>
        <v/>
      </c>
      <c r="XR14">
        <f>XR13+IF(AND($C13=95,$U13=1),1,0)</f>
        <v/>
      </c>
      <c r="XS14">
        <f>XS13+IF(AND($C13=96,$U13=1),1,0)</f>
        <v/>
      </c>
      <c r="XT14">
        <f>XT13+IF(AND($C13=97,$U13=1),1,0)</f>
        <v/>
      </c>
      <c r="XU14">
        <f>XU13+IF(AND($C13=98,$U13=1),1,0)</f>
        <v/>
      </c>
      <c r="XV14">
        <f>XV13+IF(AND($C13=99,$U13=1),1,0)</f>
        <v/>
      </c>
      <c r="XW14">
        <f>XW13+IF(AND($C13=100,$U13=1),1,0)</f>
        <v/>
      </c>
      <c r="XX14">
        <f>XX13+IF(AND($C13=101,$U13=1),1,0)</f>
        <v/>
      </c>
      <c r="XY14">
        <f>XY13+IF(AND($C13=102,$U13=1),1,0)</f>
        <v/>
      </c>
      <c r="XZ14">
        <f>XZ13+IF(AND($C13=103,$U13=1),1,0)</f>
        <v/>
      </c>
      <c r="YA14">
        <f>YA13+IF(AND($C13=104,$U13=1),1,0)</f>
        <v/>
      </c>
      <c r="YB14">
        <f>YB13+IF(AND($C13=105,$U13=1),1,0)</f>
        <v/>
      </c>
      <c r="YC14">
        <f>YC13+IF(AND($C13=106,$U13=1),1,0)</f>
        <v/>
      </c>
      <c r="YD14">
        <f>YD13+IF(AND($C13=107,$U13=1),1,0)</f>
        <v/>
      </c>
      <c r="YE14">
        <f>YE13+IF(AND($C13=108,$U13=1),1,0)</f>
        <v/>
      </c>
      <c r="YF14">
        <f>YF13+IF(AND($C13=109,$U13=1),1,0)</f>
        <v/>
      </c>
      <c r="YG14">
        <f>YG13+IF(AND($C13=110,$U13=1),1,0)</f>
        <v/>
      </c>
      <c r="YH14">
        <f>YH13+IF(AND($C13=111,$U13=1),1,0)</f>
        <v/>
      </c>
      <c r="YI14">
        <f>YI13+IF(AND($C13=112,$U13=1),1,0)</f>
        <v/>
      </c>
      <c r="YJ14">
        <f>YJ13+IF(AND($C13=113,$U13=1),1,0)</f>
        <v/>
      </c>
      <c r="YK14">
        <f>YK13+IF(AND($C13=114,$U13=1),1,0)</f>
        <v/>
      </c>
      <c r="YL14">
        <f>YL13+IF(AND($C13=115,$U13=1),1,0)</f>
        <v/>
      </c>
      <c r="YM14">
        <f>YM13+IF(AND($C13=116,$U13=1),1,0)</f>
        <v/>
      </c>
      <c r="YN14">
        <f>YN13+IF(AND($C13=117,$U13=1),1,0)</f>
        <v/>
      </c>
      <c r="YO14">
        <f>YO13+IF(AND($C13=118,$U13=1),1,0)</f>
        <v/>
      </c>
      <c r="YP14">
        <f>YP13+IF(AND($C13=119,$U13=1),1,0)</f>
        <v/>
      </c>
      <c r="YQ14">
        <f>YQ13+IF(AND($C13=120,$U13=1),1,0)</f>
        <v/>
      </c>
      <c r="YR14">
        <f>YR13+IF(AND($C13=121,$U13=1),1,0)</f>
        <v/>
      </c>
      <c r="YS14">
        <f>YS13+IF(AND($C13=122,$U13=1),1,0)</f>
        <v/>
      </c>
      <c r="YT14">
        <f>YT13+IF(AND($C13=123,$U13=1),1,0)</f>
        <v/>
      </c>
      <c r="YU14">
        <f>YU13+IF(AND($C13=124,$U13=1),1,0)</f>
        <v/>
      </c>
      <c r="YV14">
        <f>YV13+IF(AND($C13=125,$U13=1),1,0)</f>
        <v/>
      </c>
      <c r="YW14">
        <f>YW13+IF(AND($C13=126,$U13=1),1,0)</f>
        <v/>
      </c>
      <c r="YX14">
        <f>YX13+IF(AND($C13=127,$U13=1),1,0)</f>
        <v/>
      </c>
      <c r="YY14">
        <f>YY13+IF(AND($C13=128,$U13=1),1,0)</f>
        <v/>
      </c>
      <c r="YZ14">
        <f>YZ13+IF(AND($C13=129,$U13=1),1,0)</f>
        <v/>
      </c>
      <c r="ZA14">
        <f>ZA13+IF(AND($C13=130,$U13=1),1,0)</f>
        <v/>
      </c>
      <c r="ZB14">
        <f>ZB13+IF(AND($C13=131,$U13=1),1,0)</f>
        <v/>
      </c>
      <c r="ZC14">
        <f>ZC13+IF(AND($C13=132,$U13=1),1,0)</f>
        <v/>
      </c>
      <c r="ZD14">
        <f>ZD13+IF(AND($C13=133,$U13=1),1,0)</f>
        <v/>
      </c>
      <c r="ZE14">
        <f>ZE13+IF(AND($C13=134,$U13=1),1,0)</f>
        <v/>
      </c>
      <c r="ZF14">
        <f>ZF13+IF(AND($C13=135,$U13=1),1,0)</f>
        <v/>
      </c>
      <c r="ZG14">
        <f>ZG13+IF(AND($C13=136,$U13=1),1,0)</f>
        <v/>
      </c>
      <c r="ZH14">
        <f>ZH13+IF(AND($C13=137,$U13=1),1,0)</f>
        <v/>
      </c>
      <c r="ZI14">
        <f>ZI13+IF(AND($C13=138,$U13=1),1,0)</f>
        <v/>
      </c>
      <c r="ZJ14">
        <f>ZJ13+IF(AND($C13=139,$U13=1),1,0)</f>
        <v/>
      </c>
      <c r="ZK14">
        <f>ZK13+IF(AND($C13=140,$U13=1),1,0)</f>
        <v/>
      </c>
      <c r="ZL14">
        <f>ZL13+IF(AND($C13=141,$U13=1),1,0)</f>
        <v/>
      </c>
      <c r="ZM14">
        <f>ZM13+IF(AND($C13=142,$U13=1),1,0)</f>
        <v/>
      </c>
      <c r="ZN14">
        <f>ZN13+IF(AND($C13=143,$U13=1),1,0)</f>
        <v/>
      </c>
      <c r="ZO14">
        <f>ZO13+IF(AND($C13=144,$U13=1),1,0)</f>
        <v/>
      </c>
      <c r="ZQ14">
        <f>IF($C13=1,0,ZQ13+IF(AND($G13=1,$E13=1),1,0))</f>
        <v/>
      </c>
      <c r="ZR14">
        <f>IF($C13=2,0,ZR13+IF(AND($G13=2,$E13=1),1,0))</f>
        <v/>
      </c>
      <c r="ZS14">
        <f>IF($C13=3,0,ZS13+IF(AND($G13=3,$E13=1),1,0))</f>
        <v/>
      </c>
      <c r="ZT14">
        <f>IF($C13=4,0,ZT13+IF(AND($G13=4,$E13=1),1,0))</f>
        <v/>
      </c>
      <c r="ZU14">
        <f>IF($C13=5,0,ZU13+IF(AND($G13=5,$E13=1),1,0))</f>
        <v/>
      </c>
      <c r="ZV14">
        <f>IF($C13=6,0,ZV13+IF(AND($G13=6,$E13=1),1,0))</f>
        <v/>
      </c>
      <c r="ZW14">
        <f>IF($C13=7,0,ZW13+IF(AND($G13=7,$E13=1),1,0))</f>
        <v/>
      </c>
      <c r="ZX14">
        <f>IF($C13=8,0,ZX13+IF(AND($G13=8,$E13=1),1,0))</f>
        <v/>
      </c>
      <c r="ZY14">
        <f>IF($C13=9,0,ZY13+IF(AND($G13=9,$E13=1),1,0))</f>
        <v/>
      </c>
      <c r="ZZ14">
        <f>IF($C13=10,0,ZZ13+IF(AND($G13=10,$E13=1),1,0))</f>
        <v/>
      </c>
      <c r="AAA14">
        <f>IF($C13=11,0,AAA13+IF(AND($G13=11,$E13=1),1,0))</f>
        <v/>
      </c>
      <c r="AAB14">
        <f>IF($C13=12,0,AAB13+IF(AND($G13=12,$E13=1),1,0))</f>
        <v/>
      </c>
      <c r="AAC14">
        <f>IF($C13=13,0,AAC13+IF(AND($G13=13,$E13=1),1,0))</f>
        <v/>
      </c>
      <c r="AAD14">
        <f>IF($C13=14,0,AAD13+IF(AND($G13=14,$E13=1),1,0))</f>
        <v/>
      </c>
      <c r="AAE14">
        <f>IF($C13=15,0,AAE13+IF(AND($G13=15,$E13=1),1,0))</f>
        <v/>
      </c>
      <c r="AAF14">
        <f>IF($C13=16,0,AAF13+IF(AND($G13=16,$E13=1),1,0))</f>
        <v/>
      </c>
      <c r="AAG14">
        <f>IF($C13=17,0,AAG13+IF(AND($G13=17,$E13=1),1,0))</f>
        <v/>
      </c>
      <c r="AAH14">
        <f>IF($C13=18,0,AAH13+IF(AND($G13=18,$E13=1),1,0))</f>
        <v/>
      </c>
      <c r="AAI14">
        <f>IF($C13=19,0,AAI13+IF(AND($G13=19,$E13=1),1,0))</f>
        <v/>
      </c>
      <c r="AAJ14">
        <f>IF($C13=20,0,AAJ13+IF(AND($G13=20,$E13=1),1,0))</f>
        <v/>
      </c>
      <c r="AAK14">
        <f>IF($C13=21,0,AAK13+IF(AND($G13=21,$E13=1),1,0))</f>
        <v/>
      </c>
      <c r="AAL14">
        <f>IF($C13=22,0,AAL13+IF(AND($G13=22,$E13=1),1,0))</f>
        <v/>
      </c>
      <c r="AAM14">
        <f>IF($C13=23,0,AAM13+IF(AND($G13=23,$E13=1),1,0))</f>
        <v/>
      </c>
      <c r="AAN14">
        <f>IF($C13=24,0,AAN13+IF(AND($G13=24,$E13=1),1,0))</f>
        <v/>
      </c>
      <c r="AAO14">
        <f>IF($C13=25,0,AAO13+IF(AND($G13=25,$E13=1),1,0))</f>
        <v/>
      </c>
      <c r="AAP14">
        <f>IF($C13=26,0,AAP13+IF(AND($G13=26,$E13=1),1,0))</f>
        <v/>
      </c>
      <c r="AAQ14">
        <f>IF($C13=27,0,AAQ13+IF(AND($G13=27,$E13=1),1,0))</f>
        <v/>
      </c>
      <c r="AAR14">
        <f>IF($C13=28,0,AAR13+IF(AND($G13=28,$E13=1),1,0))</f>
        <v/>
      </c>
      <c r="AAS14">
        <f>IF($C13=29,0,AAS13+IF(AND($G13=29,$E13=1),1,0))</f>
        <v/>
      </c>
      <c r="AAT14">
        <f>IF($C13=30,0,AAT13+IF(AND($G13=30,$E13=1),1,0))</f>
        <v/>
      </c>
      <c r="AAU14">
        <f>IF($C13=31,0,AAU13+IF(AND($G13=31,$E13=1),1,0))</f>
        <v/>
      </c>
      <c r="AAV14">
        <f>IF($C13=32,0,AAV13+IF(AND($G13=32,$E13=1),1,0))</f>
        <v/>
      </c>
      <c r="AAW14">
        <f>IF($C13=33,0,AAW13+IF(AND($G13=33,$E13=1),1,0))</f>
        <v/>
      </c>
      <c r="AAX14">
        <f>IF($C13=34,0,AAX13+IF(AND($G13=34,$E13=1),1,0))</f>
        <v/>
      </c>
      <c r="AAY14">
        <f>IF($C13=35,0,AAY13+IF(AND($G13=35,$E13=1),1,0))</f>
        <v/>
      </c>
      <c r="AAZ14">
        <f>IF($C13=36,0,AAZ13+IF(AND($G13=36,$E13=1),1,0))</f>
        <v/>
      </c>
      <c r="ABA14">
        <f>IF($C13=37,0,ABA13+IF(AND($G13=37,$E13=1),1,0))</f>
        <v/>
      </c>
      <c r="ABB14">
        <f>IF($C13=38,0,ABB13+IF(AND($G13=38,$E13=1),1,0))</f>
        <v/>
      </c>
      <c r="ABC14">
        <f>IF($C13=39,0,ABC13+IF(AND($G13=39,$E13=1),1,0))</f>
        <v/>
      </c>
      <c r="ABD14">
        <f>IF($C13=40,0,ABD13+IF(AND($G13=40,$E13=1),1,0))</f>
        <v/>
      </c>
      <c r="ABE14">
        <f>IF($C13=41,0,ABE13+IF(AND($G13=41,$E13=1),1,0))</f>
        <v/>
      </c>
      <c r="ABF14">
        <f>IF($C13=42,0,ABF13+IF(AND($G13=42,$E13=1),1,0))</f>
        <v/>
      </c>
      <c r="ABG14">
        <f>IF($C13=43,0,ABG13+IF(AND($G13=43,$E13=1),1,0))</f>
        <v/>
      </c>
      <c r="ABH14">
        <f>IF($C13=44,0,ABH13+IF(AND($G13=44,$E13=1),1,0))</f>
        <v/>
      </c>
      <c r="ABI14">
        <f>IF($C13=45,0,ABI13+IF(AND($G13=45,$E13=1),1,0))</f>
        <v/>
      </c>
      <c r="ABJ14">
        <f>IF($C13=46,0,ABJ13+IF(AND($G13=46,$E13=1),1,0))</f>
        <v/>
      </c>
      <c r="ABK14">
        <f>IF($C13=47,0,ABK13+IF(AND($G13=47,$E13=1),1,0))</f>
        <v/>
      </c>
      <c r="ABL14">
        <f>IF($C13=48,0,ABL13+IF(AND($G13=48,$E13=1),1,0))</f>
        <v/>
      </c>
      <c r="ABM14">
        <f>IF($C13=49,0,ABM13+IF(AND($G13=49,$E13=1),1,0))</f>
        <v/>
      </c>
      <c r="ABN14">
        <f>IF($C13=50,0,ABN13+IF(AND($G13=50,$E13=1),1,0))</f>
        <v/>
      </c>
      <c r="ABO14">
        <f>IF($C13=51,0,ABO13+IF(AND($G13=51,$E13=1),1,0))</f>
        <v/>
      </c>
      <c r="ABP14">
        <f>IF($C13=52,0,ABP13+IF(AND($G13=52,$E13=1),1,0))</f>
        <v/>
      </c>
      <c r="ABQ14">
        <f>IF($C13=53,0,ABQ13+IF(AND($G13=53,$E13=1),1,0))</f>
        <v/>
      </c>
      <c r="ABR14">
        <f>IF($C13=54,0,ABR13+IF(AND($G13=54,$E13=1),1,0))</f>
        <v/>
      </c>
      <c r="ABS14">
        <f>IF($C13=55,0,ABS13+IF(AND($G13=55,$E13=1),1,0))</f>
        <v/>
      </c>
      <c r="ABT14">
        <f>IF($C13=56,0,ABT13+IF(AND($G13=56,$E13=1),1,0))</f>
        <v/>
      </c>
      <c r="ABU14">
        <f>IF($C13=57,0,ABU13+IF(AND($G13=57,$E13=1),1,0))</f>
        <v/>
      </c>
      <c r="ABV14">
        <f>IF($C13=58,0,ABV13+IF(AND($G13=58,$E13=1),1,0))</f>
        <v/>
      </c>
      <c r="ABW14">
        <f>IF($C13=59,0,ABW13+IF(AND($G13=59,$E13=1),1,0))</f>
        <v/>
      </c>
      <c r="ABX14">
        <f>IF($C13=60,0,ABX13+IF(AND($G13=60,$E13=1),1,0))</f>
        <v/>
      </c>
      <c r="ABY14">
        <f>IF($C13=61,0,ABY13+IF(AND($G13=61,$E13=1),1,0))</f>
        <v/>
      </c>
      <c r="ABZ14">
        <f>IF($C13=62,0,ABZ13+IF(AND($G13=62,$E13=1),1,0))</f>
        <v/>
      </c>
      <c r="ACA14">
        <f>IF($C13=63,0,ACA13+IF(AND($G13=63,$E13=1),1,0))</f>
        <v/>
      </c>
      <c r="ACB14">
        <f>IF($C13=64,0,ACB13+IF(AND($G13=64,$E13=1),1,0))</f>
        <v/>
      </c>
      <c r="ACC14">
        <f>IF($C13=65,0,ACC13+IF(AND($G13=65,$E13=1),1,0))</f>
        <v/>
      </c>
      <c r="ACD14">
        <f>IF($C13=66,0,ACD13+IF(AND($G13=66,$E13=1),1,0))</f>
        <v/>
      </c>
      <c r="ACE14">
        <f>IF($C13=67,0,ACE13+IF(AND($G13=67,$E13=1),1,0))</f>
        <v/>
      </c>
      <c r="ACF14">
        <f>IF($C13=68,0,ACF13+IF(AND($G13=68,$E13=1),1,0))</f>
        <v/>
      </c>
      <c r="ACG14">
        <f>IF($C13=69,0,ACG13+IF(AND($G13=69,$E13=1),1,0))</f>
        <v/>
      </c>
      <c r="ACH14">
        <f>IF($C13=70,0,ACH13+IF(AND($G13=70,$E13=1),1,0))</f>
        <v/>
      </c>
      <c r="ACI14">
        <f>IF($C13=71,0,ACI13+IF(AND($G13=71,$E13=1),1,0))</f>
        <v/>
      </c>
      <c r="ACJ14">
        <f>IF($C13=72,0,ACJ13+IF(AND($G13=72,$E13=1),1,0))</f>
        <v/>
      </c>
      <c r="ACK14">
        <f>IF($C13=73,0,ACK13+IF(AND($G13=73,$E13=1),1,0))</f>
        <v/>
      </c>
      <c r="ACL14">
        <f>IF($C13=74,0,ACL13+IF(AND($G13=74,$E13=1),1,0))</f>
        <v/>
      </c>
      <c r="ACM14">
        <f>IF($C13=75,0,ACM13+IF(AND($G13=75,$E13=1),1,0))</f>
        <v/>
      </c>
      <c r="ACN14">
        <f>IF($C13=76,0,ACN13+IF(AND($G13=76,$E13=1),1,0))</f>
        <v/>
      </c>
      <c r="ACO14">
        <f>IF($C13=77,0,ACO13+IF(AND($G13=77,$E13=1),1,0))</f>
        <v/>
      </c>
      <c r="ACP14">
        <f>IF($C13=78,0,ACP13+IF(AND($G13=78,$E13=1),1,0))</f>
        <v/>
      </c>
      <c r="ACQ14">
        <f>IF($C13=79,0,ACQ13+IF(AND($G13=79,$E13=1),1,0))</f>
        <v/>
      </c>
      <c r="ACR14">
        <f>IF($C13=80,0,ACR13+IF(AND($G13=80,$E13=1),1,0))</f>
        <v/>
      </c>
      <c r="ACS14">
        <f>IF($C13=81,0,ACS13+IF(AND($G13=81,$E13=1),1,0))</f>
        <v/>
      </c>
      <c r="ACT14">
        <f>IF($C13=82,0,ACT13+IF(AND($G13=82,$E13=1),1,0))</f>
        <v/>
      </c>
      <c r="ACU14">
        <f>IF($C13=83,0,ACU13+IF(AND($G13=83,$E13=1),1,0))</f>
        <v/>
      </c>
      <c r="ACV14">
        <f>IF($C13=84,0,ACV13+IF(AND($G13=84,$E13=1),1,0))</f>
        <v/>
      </c>
      <c r="ACW14">
        <f>IF($C13=85,0,ACW13+IF(AND($G13=85,$E13=1),1,0))</f>
        <v/>
      </c>
      <c r="ACX14">
        <f>IF($C13=86,0,ACX13+IF(AND($G13=86,$E13=1),1,0))</f>
        <v/>
      </c>
      <c r="ACY14">
        <f>IF($C13=87,0,ACY13+IF(AND($G13=87,$E13=1),1,0))</f>
        <v/>
      </c>
      <c r="ACZ14">
        <f>IF($C13=88,0,ACZ13+IF(AND($G13=88,$E13=1),1,0))</f>
        <v/>
      </c>
      <c r="ADA14">
        <f>IF($C13=89,0,ADA13+IF(AND($G13=89,$E13=1),1,0))</f>
        <v/>
      </c>
      <c r="ADB14">
        <f>IF($C13=90,0,ADB13+IF(AND($G13=90,$E13=1),1,0))</f>
        <v/>
      </c>
      <c r="ADC14">
        <f>IF($C13=91,0,ADC13+IF(AND($G13=91,$E13=1),1,0))</f>
        <v/>
      </c>
      <c r="ADD14">
        <f>IF($C13=92,0,ADD13+IF(AND($G13=92,$E13=1),1,0))</f>
        <v/>
      </c>
      <c r="ADE14">
        <f>IF($C13=93,0,ADE13+IF(AND($G13=93,$E13=1),1,0))</f>
        <v/>
      </c>
      <c r="ADF14">
        <f>IF($C13=94,0,ADF13+IF(AND($G13=94,$E13=1),1,0))</f>
        <v/>
      </c>
      <c r="ADG14">
        <f>IF($C13=95,0,ADG13+IF(AND($G13=95,$E13=1),1,0))</f>
        <v/>
      </c>
      <c r="ADH14">
        <f>IF($C13=96,0,ADH13+IF(AND($G13=96,$E13=1),1,0))</f>
        <v/>
      </c>
      <c r="ADI14">
        <f>IF($C13=97,0,ADI13+IF(AND($G13=97,$E13=1),1,0))</f>
        <v/>
      </c>
      <c r="ADJ14">
        <f>IF($C13=98,0,ADJ13+IF(AND($G13=98,$E13=1),1,0))</f>
        <v/>
      </c>
      <c r="ADK14">
        <f>IF($C13=99,0,ADK13+IF(AND($G13=99,$E13=1),1,0))</f>
        <v/>
      </c>
      <c r="ADL14">
        <f>IF($C13=100,0,ADL13+IF(AND($G13=100,$E13=1),1,0))</f>
        <v/>
      </c>
      <c r="ADM14">
        <f>IF($C13=101,0,ADM13+IF(AND($G13=101,$E13=1),1,0))</f>
        <v/>
      </c>
      <c r="ADN14">
        <f>IF($C13=102,0,ADN13+IF(AND($G13=102,$E13=1),1,0))</f>
        <v/>
      </c>
      <c r="ADO14">
        <f>IF($C13=103,0,ADO13+IF(AND($G13=103,$E13=1),1,0))</f>
        <v/>
      </c>
      <c r="ADP14">
        <f>IF($C13=104,0,ADP13+IF(AND($G13=104,$E13=1),1,0))</f>
        <v/>
      </c>
      <c r="ADQ14">
        <f>IF($C13=105,0,ADQ13+IF(AND($G13=105,$E13=1),1,0))</f>
        <v/>
      </c>
      <c r="ADR14">
        <f>IF($C13=106,0,ADR13+IF(AND($G13=106,$E13=1),1,0))</f>
        <v/>
      </c>
      <c r="ADS14">
        <f>IF($C13=107,0,ADS13+IF(AND($G13=107,$E13=1),1,0))</f>
        <v/>
      </c>
      <c r="ADT14">
        <f>IF($C13=108,0,ADT13+IF(AND($G13=108,$E13=1),1,0))</f>
        <v/>
      </c>
      <c r="ADU14">
        <f>IF($C13=109,0,ADU13+IF(AND($G13=109,$E13=1),1,0))</f>
        <v/>
      </c>
      <c r="ADV14">
        <f>IF($C13=110,0,ADV13+IF(AND($G13=110,$E13=1),1,0))</f>
        <v/>
      </c>
      <c r="ADW14">
        <f>IF($C13=111,0,ADW13+IF(AND($G13=111,$E13=1),1,0))</f>
        <v/>
      </c>
      <c r="ADX14">
        <f>IF($C13=112,0,ADX13+IF(AND($G13=112,$E13=1),1,0))</f>
        <v/>
      </c>
      <c r="ADY14">
        <f>IF($C13=113,0,ADY13+IF(AND($G13=113,$E13=1),1,0))</f>
        <v/>
      </c>
      <c r="ADZ14">
        <f>IF($C13=114,0,ADZ13+IF(AND($G13=114,$E13=1),1,0))</f>
        <v/>
      </c>
      <c r="AEA14">
        <f>IF($C13=115,0,AEA13+IF(AND($G13=115,$E13=1),1,0))</f>
        <v/>
      </c>
      <c r="AEB14">
        <f>IF($C13=116,0,AEB13+IF(AND($G13=116,$E13=1),1,0))</f>
        <v/>
      </c>
      <c r="AEC14">
        <f>IF($C13=117,0,AEC13+IF(AND($G13=117,$E13=1),1,0))</f>
        <v/>
      </c>
      <c r="AED14">
        <f>IF($C13=118,0,AED13+IF(AND($G13=118,$E13=1),1,0))</f>
        <v/>
      </c>
      <c r="AEE14">
        <f>IF($C13=119,0,AEE13+IF(AND($G13=119,$E13=1),1,0))</f>
        <v/>
      </c>
      <c r="AEF14">
        <f>IF($C13=120,0,AEF13+IF(AND($G13=120,$E13=1),1,0))</f>
        <v/>
      </c>
      <c r="AEG14">
        <f>IF($C13=121,0,AEG13+IF(AND($G13=121,$E13=1),1,0))</f>
        <v/>
      </c>
      <c r="AEH14">
        <f>IF($C13=122,0,AEH13+IF(AND($G13=122,$E13=1),1,0))</f>
        <v/>
      </c>
      <c r="AEI14">
        <f>IF($C13=123,0,AEI13+IF(AND($G13=123,$E13=1),1,0))</f>
        <v/>
      </c>
      <c r="AEJ14">
        <f>IF($C13=124,0,AEJ13+IF(AND($G13=124,$E13=1),1,0))</f>
        <v/>
      </c>
      <c r="AEK14">
        <f>IF($C13=125,0,AEK13+IF(AND($G13=125,$E13=1),1,0))</f>
        <v/>
      </c>
      <c r="AEL14">
        <f>IF($C13=126,0,AEL13+IF(AND($G13=126,$E13=1),1,0))</f>
        <v/>
      </c>
      <c r="AEM14">
        <f>IF($C13=127,0,AEM13+IF(AND($G13=127,$E13=1),1,0))</f>
        <v/>
      </c>
      <c r="AEN14">
        <f>IF($C13=128,0,AEN13+IF(AND($G13=128,$E13=1),1,0))</f>
        <v/>
      </c>
      <c r="AEO14">
        <f>IF($C13=129,0,AEO13+IF(AND($G13=129,$E13=1),1,0))</f>
        <v/>
      </c>
      <c r="AEP14">
        <f>IF($C13=130,0,AEP13+IF(AND($G13=130,$E13=1),1,0))</f>
        <v/>
      </c>
      <c r="AEQ14">
        <f>IF($C13=131,0,AEQ13+IF(AND($G13=131,$E13=1),1,0))</f>
        <v/>
      </c>
      <c r="AER14">
        <f>IF($C13=132,0,AER13+IF(AND($G13=132,$E13=1),1,0))</f>
        <v/>
      </c>
      <c r="AES14">
        <f>IF($C13=133,0,AES13+IF(AND($G13=133,$E13=1),1,0))</f>
        <v/>
      </c>
      <c r="AET14">
        <f>IF($C13=134,0,AET13+IF(AND($G13=134,$E13=1),1,0))</f>
        <v/>
      </c>
      <c r="AEU14">
        <f>IF($C13=135,0,AEU13+IF(AND($G13=135,$E13=1),1,0))</f>
        <v/>
      </c>
      <c r="AEV14">
        <f>IF($C13=136,0,AEV13+IF(AND($G13=136,$E13=1),1,0))</f>
        <v/>
      </c>
      <c r="AEW14">
        <f>IF($C13=137,0,AEW13+IF(AND($G13=137,$E13=1),1,0))</f>
        <v/>
      </c>
      <c r="AEX14">
        <f>IF($C13=138,0,AEX13+IF(AND($G13=138,$E13=1),1,0))</f>
        <v/>
      </c>
      <c r="AEY14">
        <f>IF($C13=139,0,AEY13+IF(AND($G13=139,$E13=1),1,0))</f>
        <v/>
      </c>
      <c r="AEZ14">
        <f>IF($C13=140,0,AEZ13+IF(AND($G13=140,$E13=1),1,0))</f>
        <v/>
      </c>
      <c r="AFA14">
        <f>IF($C13=141,0,AFA13+IF(AND($G13=141,$E13=1),1,0))</f>
        <v/>
      </c>
      <c r="AFB14">
        <f>IF($C13=142,0,AFB13+IF(AND($G13=142,$E13=1),1,0))</f>
        <v/>
      </c>
      <c r="AFC14">
        <f>IF($C13=143,0,AFC13+IF(AND($G13=143,$E13=1),1,0))</f>
        <v/>
      </c>
      <c r="AFD14">
        <f>IF($C13=144,0,AFD13+IF(AND($G13=144,$E13=1),1,0))</f>
        <v/>
      </c>
      <c r="AFF14">
        <f>IF('calcA'!D$106=1,DC14+ZR14,1)</f>
        <v/>
      </c>
      <c r="AFG14">
        <f>IF('calcA'!E$106=1,DD14+ZS14,1)</f>
        <v/>
      </c>
      <c r="AFH14">
        <f>IF('calcA'!F$106=1,DE14+ZT14,1)</f>
        <v/>
      </c>
      <c r="AFI14">
        <f>IF('calcA'!G$106=1,DF14+ZU14,1)</f>
        <v/>
      </c>
      <c r="AFJ14">
        <f>IF('calcA'!H$106=1,DG14+ZV14,1)</f>
        <v/>
      </c>
      <c r="AFK14">
        <f>IF('calcA'!I$106=1,DH14+ZW14,1)</f>
        <v/>
      </c>
      <c r="AFL14">
        <f>IF('calcA'!J$106=1,DI14+ZX14,1)</f>
        <v/>
      </c>
      <c r="AFM14">
        <f>IF('calcA'!K$106=1,DJ14+ZY14,1)</f>
        <v/>
      </c>
      <c r="AFN14">
        <f>IF('calcA'!L$106=1,DK14+ZZ14,1)</f>
        <v/>
      </c>
      <c r="AFO14">
        <f>IF('calcA'!M$106=1,DL14+AAA14,1)</f>
        <v/>
      </c>
      <c r="AFP14">
        <f>IF('calcA'!N$106=1,DM14+AAB14,1)</f>
        <v/>
      </c>
      <c r="AFQ14">
        <f>IF('calcA'!O$106=1,DN14+AAC14,1)</f>
        <v/>
      </c>
      <c r="AFR14">
        <f>IF('calcA'!P$106=1,DO14+AAD14,1)</f>
        <v/>
      </c>
      <c r="AFS14">
        <f>IF('calcA'!Q$106=1,DP14+AAE14,1)</f>
        <v/>
      </c>
      <c r="AFT14">
        <f>IF('calcA'!R$106=1,DQ14+AAF14,1)</f>
        <v/>
      </c>
      <c r="AFU14">
        <f>IF('calcA'!S$106=1,DR14+AAG14,1)</f>
        <v/>
      </c>
      <c r="AFV14">
        <f>IF('calcA'!T$106=1,DS14+AAH14,1)</f>
        <v/>
      </c>
      <c r="AFW14">
        <f>IF('calcA'!U$106=1,DT14+AAI14,1)</f>
        <v/>
      </c>
      <c r="AFX14">
        <f>IF('calcA'!V$106=1,DU14+AAJ14,1)</f>
        <v/>
      </c>
      <c r="AFY14">
        <f>IF('calcA'!W$106=1,DV14+AAK14,1)</f>
        <v/>
      </c>
      <c r="AFZ14">
        <f>IF('calcA'!X$106=1,DW14+AAL14,1)</f>
        <v/>
      </c>
      <c r="AGA14">
        <f>IF('calcA'!Y$106=1,DX14+AAM14,1)</f>
        <v/>
      </c>
      <c r="AGB14">
        <f>IF('calcA'!Z$106=1,DY14+AAN14,1)</f>
        <v/>
      </c>
      <c r="AGC14">
        <f>IF('calcA'!AA$106=1,DZ14+AAO14,1)</f>
        <v/>
      </c>
      <c r="AGD14">
        <f>IF('calcA'!AB$106=1,EA14+AAP14,1)</f>
        <v/>
      </c>
      <c r="AGE14">
        <f>IF('calcA'!AC$106=1,EB14+AAQ14,1)</f>
        <v/>
      </c>
      <c r="AGF14">
        <f>IF('calcA'!AD$106=1,EC14+AAR14,1)</f>
        <v/>
      </c>
      <c r="AGG14">
        <f>IF('calcA'!AE$106=1,ED14+AAS14,1)</f>
        <v/>
      </c>
      <c r="AGH14">
        <f>IF('calcA'!AF$106=1,EE14+AAT14,1)</f>
        <v/>
      </c>
      <c r="AGI14">
        <f>IF('calcA'!AG$106=1,EF14+AAU14,1)</f>
        <v/>
      </c>
      <c r="AGJ14">
        <f>IF('calcA'!AH$106=1,EG14+AAV14,1)</f>
        <v/>
      </c>
      <c r="AGK14">
        <f>IF('calcA'!AI$106=1,EH14+AAW14,1)</f>
        <v/>
      </c>
      <c r="AGL14">
        <f>IF('calcA'!AJ$106=1,EI14+AAX14,1)</f>
        <v/>
      </c>
      <c r="AGM14">
        <f>IF('calcA'!AK$106=1,EJ14+AAY14,1)</f>
        <v/>
      </c>
      <c r="AGN14">
        <f>IF('calcA'!AL$106=1,EK14+AAZ14,1)</f>
        <v/>
      </c>
      <c r="AGO14">
        <f>IF('calcA'!AM$106=1,EL14+ABA14,1)</f>
        <v/>
      </c>
      <c r="AGP14">
        <f>IF('calcA'!AN$106=1,EM14+ABB14,1)</f>
        <v/>
      </c>
      <c r="AGQ14">
        <f>IF('calcA'!AO$106=1,EN14+ABC14,1)</f>
        <v/>
      </c>
      <c r="AGR14">
        <f>IF('calcA'!AP$106=1,EO14+ABD14,1)</f>
        <v/>
      </c>
      <c r="AGS14">
        <f>IF('calcA'!AQ$106=1,EP14+ABE14,1)</f>
        <v/>
      </c>
      <c r="AGT14">
        <f>IF('calcA'!AR$106=1,EQ14+ABF14,1)</f>
        <v/>
      </c>
      <c r="AGU14">
        <f>IF('calcA'!AS$106=1,ER14+ABG14,1)</f>
        <v/>
      </c>
      <c r="AGV14">
        <f>IF('calcA'!AT$106=1,ES14+ABH14,1)</f>
        <v/>
      </c>
      <c r="AGW14">
        <f>IF('calcA'!AU$106=1,ET14+ABI14,1)</f>
        <v/>
      </c>
      <c r="AGX14">
        <f>IF('calcA'!AV$106=1,EU14+ABJ14,1)</f>
        <v/>
      </c>
      <c r="AGY14">
        <f>IF('calcA'!AW$106=1,EV14+ABK14,1)</f>
        <v/>
      </c>
      <c r="AGZ14">
        <f>IF('calcA'!AX$106=1,EW14+ABL14,1)</f>
        <v/>
      </c>
      <c r="AHA14">
        <f>IF('calcA'!AY$106=1,EX14+ABM14,1)</f>
        <v/>
      </c>
      <c r="AHB14">
        <f>IF('calcA'!AZ$106=1,EY14+ABN14,1)</f>
        <v/>
      </c>
      <c r="AHC14">
        <f>IF('calcA'!BA$106=1,EZ14+ABO14,1)</f>
        <v/>
      </c>
      <c r="AHD14">
        <f>IF('calcA'!BB$106=1,FA14+ABP14,1)</f>
        <v/>
      </c>
      <c r="AHE14">
        <f>IF('calcA'!BC$106=1,FB14+ABQ14,1)</f>
        <v/>
      </c>
      <c r="AHF14">
        <f>IF('calcA'!BD$106=1,FC14+ABR14,1)</f>
        <v/>
      </c>
      <c r="AHG14">
        <f>IF('calcA'!BE$106=1,FD14+ABS14,1)</f>
        <v/>
      </c>
      <c r="AHH14">
        <f>IF('calcA'!BF$106=1,FE14+ABT14,1)</f>
        <v/>
      </c>
      <c r="AHI14">
        <f>IF('calcA'!BG$106=1,FF14+ABU14,1)</f>
        <v/>
      </c>
      <c r="AHJ14">
        <f>IF('calcA'!BH$106=1,FG14+ABV14,1)</f>
        <v/>
      </c>
      <c r="AHK14">
        <f>IF('calcA'!BI$106=1,FH14+ABW14,1)</f>
        <v/>
      </c>
      <c r="AHL14">
        <f>IF('calcA'!BJ$106=1,FI14+ABX14,1)</f>
        <v/>
      </c>
      <c r="AHM14">
        <f>IF('calcA'!BK$106=1,FJ14+ABY14,1)</f>
        <v/>
      </c>
      <c r="AHN14">
        <f>IF('calcA'!BL$106=1,FK14+ABZ14,1)</f>
        <v/>
      </c>
      <c r="AHO14">
        <f>IF('calcA'!BM$106=1,FL14+ACA14,1)</f>
        <v/>
      </c>
      <c r="AHP14">
        <f>IF('calcA'!BN$106=1,FM14+ACB14,1)</f>
        <v/>
      </c>
      <c r="AHQ14">
        <f>IF('calcA'!BO$106=1,FN14+ACC14,1)</f>
        <v/>
      </c>
      <c r="AHR14">
        <f>IF('calcA'!BP$106=1,FO14+ACD14,1)</f>
        <v/>
      </c>
      <c r="AHS14">
        <f>IF('calcA'!BQ$106=1,FP14+ACE14,1)</f>
        <v/>
      </c>
      <c r="AHT14">
        <f>IF('calcA'!BR$106=1,FQ14+ACF14,1)</f>
        <v/>
      </c>
      <c r="AHU14">
        <f>IF('calcA'!BS$106=1,FR14+ACG14,1)</f>
        <v/>
      </c>
      <c r="AHV14">
        <f>IF('calcA'!BT$106=1,FS14+ACH14,1)</f>
        <v/>
      </c>
      <c r="AHW14">
        <f>IF('calcA'!BU$106=1,FT14+ACI14,1)</f>
        <v/>
      </c>
      <c r="AHX14">
        <f>IF('calcA'!BV$106=1,FU14+ACJ14,1)</f>
        <v/>
      </c>
      <c r="AHY14">
        <f>IF('calcA'!BW$106=1,FV14+ACK14,1)</f>
        <v/>
      </c>
      <c r="AHZ14">
        <f>IF('calcA'!BX$106=1,FW14+ACL14,1)</f>
        <v/>
      </c>
      <c r="AIA14">
        <f>IF('calcA'!BY$106=1,FX14+ACM14,1)</f>
        <v/>
      </c>
      <c r="AIB14">
        <f>IF('calcA'!BZ$106=1,FY14+ACN14,1)</f>
        <v/>
      </c>
      <c r="AIC14">
        <f>IF('calcA'!CA$106=1,FZ14+ACO14,1)</f>
        <v/>
      </c>
      <c r="AID14">
        <f>IF('calcA'!CB$106=1,GA14+ACP14,1)</f>
        <v/>
      </c>
      <c r="AIE14">
        <f>IF('calcA'!CC$106=1,GB14+ACQ14,1)</f>
        <v/>
      </c>
      <c r="AIF14">
        <f>IF('calcA'!CD$106=1,GC14+ACR14,1)</f>
        <v/>
      </c>
      <c r="AIG14">
        <f>IF('calcA'!CE$106=1,GD14+ACS14,1)</f>
        <v/>
      </c>
      <c r="AIH14">
        <f>IF('calcA'!CF$106=1,GE14+ACT14,1)</f>
        <v/>
      </c>
      <c r="AII14">
        <f>IF('calcA'!CG$106=1,GF14+ACU14,1)</f>
        <v/>
      </c>
      <c r="AIJ14">
        <f>IF('calcA'!CH$106=1,GG14+ACV14,1)</f>
        <v/>
      </c>
      <c r="AIK14">
        <f>IF('calcA'!CI$106=1,GH14+ACW14,1)</f>
        <v/>
      </c>
      <c r="AIL14">
        <f>IF('calcA'!CJ$106=1,GI14+ACX14,1)</f>
        <v/>
      </c>
      <c r="AIM14">
        <f>IF('calcA'!CK$106=1,GJ14+ACY14,1)</f>
        <v/>
      </c>
      <c r="AIN14">
        <f>IF('calcA'!CL$106=1,GK14+ACZ14,1)</f>
        <v/>
      </c>
      <c r="AIO14">
        <f>IF('calcA'!CM$106=1,GL14+ADA14,1)</f>
        <v/>
      </c>
      <c r="AIP14">
        <f>IF('calcA'!CN$106=1,GM14+ADB14,1)</f>
        <v/>
      </c>
      <c r="AIQ14">
        <f>IF('calcA'!CO$106=1,GN14+ADC14,1)</f>
        <v/>
      </c>
      <c r="AIR14">
        <f>IF('calcA'!CP$106=1,GO14+ADD14,1)</f>
        <v/>
      </c>
      <c r="AIS14">
        <f>IF('calcA'!CQ$106=1,GP14+ADE14,1)</f>
        <v/>
      </c>
      <c r="AIT14">
        <f>IF('calcA'!CR$106=1,GQ14+ADF14,1)</f>
        <v/>
      </c>
      <c r="AIU14">
        <f>IF('calcA'!CS$106=1,GR14+ADG14,1)</f>
        <v/>
      </c>
      <c r="AIV14">
        <f>IF('calcA'!CT$106=1,GS14+ADH14,1)</f>
        <v/>
      </c>
      <c r="AIW14">
        <f>IF('calcA'!CU$106=1,GT14+ADI14,1)</f>
        <v/>
      </c>
      <c r="AIX14">
        <f>IF('calcA'!CV$106=1,GU14+ADJ14,1)</f>
        <v/>
      </c>
      <c r="AIY14">
        <f>IF('calcA'!CW$106=1,GV14+ADK14,1)</f>
        <v/>
      </c>
      <c r="AIZ14">
        <f>IF('calcA'!CX$106=1,GW14+ADL14,1)</f>
        <v/>
      </c>
      <c r="AJA14">
        <f>IF('calcA'!CY$106=1,GX14+ADM14,1)</f>
        <v/>
      </c>
      <c r="AJB14">
        <f>IF('calcA'!CZ$106=1,GY14+ADN14,1)</f>
        <v/>
      </c>
      <c r="AJC14">
        <f>IF('calcA'!DA$106=1,GZ14+ADO14,1)</f>
        <v/>
      </c>
      <c r="AJD14">
        <f>IF('calcA'!DB$106=1,HA14+ADP14,1)</f>
        <v/>
      </c>
      <c r="AJE14">
        <f>IF('calcA'!DC$106=1,HB14+ADQ14,1)</f>
        <v/>
      </c>
      <c r="AJF14">
        <f>IF('calcA'!DD$106=1,HC14+ADR14,1)</f>
        <v/>
      </c>
      <c r="AJG14">
        <f>IF('calcA'!DE$106=1,HD14+ADS14,1)</f>
        <v/>
      </c>
      <c r="AJH14">
        <f>IF('calcA'!DF$106=1,HE14+ADT14,1)</f>
        <v/>
      </c>
      <c r="AJI14">
        <f>IF('calcA'!DG$106=1,HF14+ADU14,1)</f>
        <v/>
      </c>
      <c r="AJJ14">
        <f>IF('calcA'!DH$106=1,HG14+ADV14,1)</f>
        <v/>
      </c>
      <c r="AJK14">
        <f>IF('calcA'!DI$106=1,HH14+ADW14,1)</f>
        <v/>
      </c>
      <c r="AJL14">
        <f>IF('calcA'!DJ$106=1,HI14+ADX14,1)</f>
        <v/>
      </c>
      <c r="AJM14">
        <f>IF('calcA'!DK$106=1,HJ14+ADY14,1)</f>
        <v/>
      </c>
      <c r="AJN14">
        <f>IF('calcA'!DL$106=1,HK14+ADZ14,1)</f>
        <v/>
      </c>
      <c r="AJO14">
        <f>IF('calcA'!DM$106=1,HL14+AEA14,1)</f>
        <v/>
      </c>
      <c r="AJP14">
        <f>IF('calcA'!DN$106=1,HM14+AEB14,1)</f>
        <v/>
      </c>
      <c r="AJQ14">
        <f>IF('calcA'!DO$106=1,HN14+AEC14,1)</f>
        <v/>
      </c>
      <c r="AJR14">
        <f>IF('calcA'!DP$106=1,HO14+AED14,1)</f>
        <v/>
      </c>
      <c r="AJS14">
        <f>IF('calcA'!DQ$106=1,HP14+AEE14,1)</f>
        <v/>
      </c>
      <c r="AJT14">
        <f>IF('calcA'!DR$106=1,HQ14+AEF14,1)</f>
        <v/>
      </c>
      <c r="AJU14">
        <f>IF('calcA'!DS$106=1,HR14+AEG14,1)</f>
        <v/>
      </c>
      <c r="AJV14">
        <f>IF('calcA'!DT$106=1,HS14+AEH14,1)</f>
        <v/>
      </c>
      <c r="AJW14">
        <f>IF('calcA'!DU$106=1,HT14+AEI14,1)</f>
        <v/>
      </c>
      <c r="AJX14">
        <f>IF('calcA'!DV$106=1,HU14+AEJ14,1)</f>
        <v/>
      </c>
      <c r="AJY14">
        <f>IF('calcA'!DW$106=1,HV14+AEK14,1)</f>
        <v/>
      </c>
      <c r="AJZ14">
        <f>IF('calcA'!DX$106=1,HW14+AEL14,1)</f>
        <v/>
      </c>
      <c r="AKA14">
        <f>IF('calcA'!DY$106=1,HX14+AEM14,1)</f>
        <v/>
      </c>
      <c r="AKB14">
        <f>IF('calcA'!DZ$106=1,HY14+AEN14,1)</f>
        <v/>
      </c>
      <c r="AKC14">
        <f>IF('calcA'!EA$106=1,HZ14+AEO14,1)</f>
        <v/>
      </c>
      <c r="AKD14">
        <f>IF('calcA'!EB$106=1,IA14+AEP14,1)</f>
        <v/>
      </c>
      <c r="AKE14">
        <f>IF('calcA'!EC$106=1,IB14+AEQ14,1)</f>
        <v/>
      </c>
      <c r="AKF14">
        <f>IF('calcA'!ED$106=1,IC14+AER14,1)</f>
        <v/>
      </c>
      <c r="AKG14">
        <f>IF('calcA'!EE$106=1,ID14+AES14,1)</f>
        <v/>
      </c>
      <c r="AKH14">
        <f>IF('calcA'!EF$106=1,IE14+AET14,1)</f>
        <v/>
      </c>
      <c r="AKI14">
        <f>IF('calcA'!EG$106=1,IF14+AEU14,1)</f>
        <v/>
      </c>
      <c r="AKJ14">
        <f>IF('calcA'!EH$106=1,IG14+AEV14,1)</f>
        <v/>
      </c>
      <c r="AKK14">
        <f>IF('calcA'!EI$106=1,IH14+AEW14,1)</f>
        <v/>
      </c>
      <c r="AKL14">
        <f>IF('calcA'!EJ$106=1,II14+AEX14,1)</f>
        <v/>
      </c>
      <c r="AKM14">
        <f>IF('calcA'!EK$106=1,IJ14+AEY14,1)</f>
        <v/>
      </c>
      <c r="AKN14">
        <f>IF('calcA'!EL$106=1,IK14+AEZ14,1)</f>
        <v/>
      </c>
      <c r="AKO14">
        <f>IF('calcA'!EM$106=1,IL14+AFA14,1)</f>
        <v/>
      </c>
      <c r="AKP14">
        <f>IF('calcA'!EN$106=1,IM14+AFB14,1)</f>
        <v/>
      </c>
      <c r="AKQ14">
        <f>IF('calcA'!EO$106=1,IN14+AFC14,1)</f>
        <v/>
      </c>
      <c r="AKR14">
        <f>IF('calcA'!EP$106=1,IO14+AFD14,1)</f>
        <v/>
      </c>
      <c r="AKS14" t="n">
        <v>1</v>
      </c>
    </row>
    <row r="15">
      <c r="A15" t="n">
        <v>13</v>
      </c>
      <c r="B15">
        <f>IF(MIN(BM15:CZ15)&gt;=1000000000,0,MATCH(MIN(BM15:CZ15),BM15:CZ15,0))</f>
        <v/>
      </c>
      <c r="C15">
        <f>IF(MIN(OF15:TS15)&gt;=1000000000,0,MATCH(MIN(OF15:TS15),OF15:TS15,0))</f>
        <v/>
      </c>
      <c r="D15">
        <f>IF(C15&gt;0,INDEX('calcA'!$D$5:$EQ$5,C15),0)</f>
        <v/>
      </c>
      <c r="E15">
        <f>IF(B15=0,0,INDEX('calcA'!$IQ$10:$IQ$54,B15))</f>
        <v/>
      </c>
      <c r="F15">
        <f>IF(B15=0,0,INDEX('calcA'!$IP$10:$IP$54,B15))</f>
        <v/>
      </c>
      <c r="G15">
        <f>IF(AND(C15&gt;0,E15&gt;0),IF(AND(INDEX('calcA'!$D$106:$EQ$106,C15)=1,INDEX($IQ15:$OD15,C15)=1),C15+1,0),0)</f>
        <v/>
      </c>
      <c r="H15">
        <f>IF(B15=0,0,INDEX('calcA'!$IW$10:$IW$54,B15))</f>
        <v/>
      </c>
      <c r="U15">
        <f>IF(B15=0,0,INDEX('calcA'!$IX$10:$IX$54,B15))</f>
        <v/>
      </c>
      <c r="V15">
        <f>IF(B15=0,0,INDEX('calcA'!$JF$10:$JF$54,B15))</f>
        <v/>
      </c>
      <c r="W15">
        <f>IF(B15=0,0,IF(IF(E15=2,SUMPRODUCT(INDEX('calcA'!$D$60:$EQ$99,B15,0),$DB15:$IO15,$IQ15:$OD15),SUMPRODUCT(INDEX('calcA'!$D$60:$EQ$99,B15,0),$DB15:$IO15))=0,1,0))</f>
        <v/>
      </c>
      <c r="X15">
        <f>MAX(X14,IF($B14=1,1,0))</f>
        <v/>
      </c>
      <c r="Y15">
        <f>MAX(Y14,IF($B14=2,1,0))</f>
        <v/>
      </c>
      <c r="Z15">
        <f>MAX(Z14,IF($B14=3,1,0))</f>
        <v/>
      </c>
      <c r="AA15">
        <f>MAX(AA14,IF($B14=4,1,0))</f>
        <v/>
      </c>
      <c r="AB15">
        <f>MAX(AB14,IF($B14=5,1,0))</f>
        <v/>
      </c>
      <c r="AC15">
        <f>MAX(AC14,IF($B14=6,1,0))</f>
        <v/>
      </c>
      <c r="AD15">
        <f>MAX(AD14,IF($B14=7,1,0))</f>
        <v/>
      </c>
      <c r="AE15">
        <f>MAX(AE14,IF($B14=8,1,0))</f>
        <v/>
      </c>
      <c r="AF15">
        <f>MAX(AF14,IF($B14=9,1,0))</f>
        <v/>
      </c>
      <c r="AG15">
        <f>MAX(AG14,IF($B14=10,1,0))</f>
        <v/>
      </c>
      <c r="AH15">
        <f>MAX(AH14,IF($B14=11,1,0))</f>
        <v/>
      </c>
      <c r="AI15">
        <f>MAX(AI14,IF($B14=12,1,0))</f>
        <v/>
      </c>
      <c r="AJ15">
        <f>MAX(AJ14,IF($B14=13,1,0))</f>
        <v/>
      </c>
      <c r="AK15">
        <f>MAX(AK14,IF($B14=14,1,0))</f>
        <v/>
      </c>
      <c r="AL15">
        <f>MAX(AL14,IF($B14=15,1,0))</f>
        <v/>
      </c>
      <c r="AM15">
        <f>MAX(AM14,IF($B14=16,1,0))</f>
        <v/>
      </c>
      <c r="AN15">
        <f>MAX(AN14,IF($B14=17,1,0))</f>
        <v/>
      </c>
      <c r="AO15">
        <f>MAX(AO14,IF($B14=18,1,0))</f>
        <v/>
      </c>
      <c r="AP15">
        <f>MAX(AP14,IF($B14=19,1,0))</f>
        <v/>
      </c>
      <c r="AQ15">
        <f>MAX(AQ14,IF($B14=20,1,0))</f>
        <v/>
      </c>
      <c r="AR15">
        <f>MAX(AR14,IF($B14=21,1,0))</f>
        <v/>
      </c>
      <c r="AS15">
        <f>MAX(AS14,IF($B14=22,1,0))</f>
        <v/>
      </c>
      <c r="AT15">
        <f>MAX(AT14,IF($B14=23,1,0))</f>
        <v/>
      </c>
      <c r="AU15">
        <f>MAX(AU14,IF($B14=24,1,0))</f>
        <v/>
      </c>
      <c r="AV15">
        <f>MAX(AV14,IF($B14=25,1,0))</f>
        <v/>
      </c>
      <c r="AW15">
        <f>MAX(AW14,IF($B14=26,1,0))</f>
        <v/>
      </c>
      <c r="AX15">
        <f>MAX(AX14,IF($B14=27,1,0))</f>
        <v/>
      </c>
      <c r="AY15">
        <f>MAX(AY14,IF($B14=28,1,0))</f>
        <v/>
      </c>
      <c r="AZ15">
        <f>MAX(AZ14,IF($B14=29,1,0))</f>
        <v/>
      </c>
      <c r="BA15">
        <f>MAX(BA14,IF($B14=30,1,0))</f>
        <v/>
      </c>
      <c r="BB15">
        <f>MAX(BB14,IF($B14=31,1,0))</f>
        <v/>
      </c>
      <c r="BC15">
        <f>MAX(BC14,IF($B14=32,1,0))</f>
        <v/>
      </c>
      <c r="BD15">
        <f>MAX(BD14,IF($B14=33,1,0))</f>
        <v/>
      </c>
      <c r="BE15">
        <f>MAX(BE14,IF($B14=34,1,0))</f>
        <v/>
      </c>
      <c r="BF15">
        <f>MAX(BF14,IF($B14=35,1,0))</f>
        <v/>
      </c>
      <c r="BG15">
        <f>MAX(BG14,IF($B14=36,1,0))</f>
        <v/>
      </c>
      <c r="BH15">
        <f>MAX(BH14,IF($B14=37,1,0))</f>
        <v/>
      </c>
      <c r="BI15">
        <f>MAX(BI14,IF($B14=38,1,0))</f>
        <v/>
      </c>
      <c r="BJ15">
        <f>MAX(BJ14,IF($B14=39,1,0))</f>
        <v/>
      </c>
      <c r="BK15">
        <f>MAX(BK14,IF($B14=40,1,0))</f>
        <v/>
      </c>
      <c r="BM15">
        <f>IF(OR(X15=1,calcA!$A$6=0),1000000000,IF('calcA'!$JF$10=1,0,100000000)+IF('calcA'!$IQ$10=2,SUMPRODUCT('calcA'!$D$60:$EQ$60,$DB15:$IO15,$IQ15:$OD15)*1000+SUMPRODUCT('calcA'!$D$60:$EQ$60,$DB15:$IO15+$ZQ15:$AFD15,$AFF15:$AKS15),SUMPRODUCT('calcA'!$D$60:$EQ$60,$DB15:$IO15*1001+$ZQ15:$AFD15))*100+1)</f>
        <v/>
      </c>
      <c r="BN15">
        <f>IF(OR(Y15=1,calcA!$A$6=0),1000000000,IF('calcA'!$JF$11=1,0,100000000)+IF('calcA'!$IQ$11=2,SUMPRODUCT('calcA'!$D$61:$EQ$61,$DB15:$IO15,$IQ15:$OD15)*1000+SUMPRODUCT('calcA'!$D$61:$EQ$61,$DB15:$IO15+$ZQ15:$AFD15,$AFF15:$AKS15),SUMPRODUCT('calcA'!$D$61:$EQ$61,$DB15:$IO15*1001+$ZQ15:$AFD15))*100+2)</f>
        <v/>
      </c>
      <c r="BO15">
        <f>IF(OR(Z15=1,calcA!$A$6=0),1000000000,IF('calcA'!$JF$12=1,0,100000000)+IF('calcA'!$IQ$12=2,SUMPRODUCT('calcA'!$D$62:$EQ$62,$DB15:$IO15,$IQ15:$OD15)*1000+SUMPRODUCT('calcA'!$D$62:$EQ$62,$DB15:$IO15+$ZQ15:$AFD15,$AFF15:$AKS15),SUMPRODUCT('calcA'!$D$62:$EQ$62,$DB15:$IO15*1001+$ZQ15:$AFD15))*100+3)</f>
        <v/>
      </c>
      <c r="BP15">
        <f>IF(OR(AA15=1,calcA!$A$6=0),1000000000,IF('calcA'!$JF$13=1,0,100000000)+IF('calcA'!$IQ$13=2,SUMPRODUCT('calcA'!$D$63:$EQ$63,$DB15:$IO15,$IQ15:$OD15)*1000+SUMPRODUCT('calcA'!$D$63:$EQ$63,$DB15:$IO15+$ZQ15:$AFD15,$AFF15:$AKS15),SUMPRODUCT('calcA'!$D$63:$EQ$63,$DB15:$IO15*1001+$ZQ15:$AFD15))*100+4)</f>
        <v/>
      </c>
      <c r="BQ15">
        <f>IF(OR(AB15=1,calcA!$A$6=0),1000000000,IF('calcA'!$JF$14=1,0,100000000)+IF('calcA'!$IQ$14=2,SUMPRODUCT('calcA'!$D$64:$EQ$64,$DB15:$IO15,$IQ15:$OD15)*1000+SUMPRODUCT('calcA'!$D$64:$EQ$64,$DB15:$IO15+$ZQ15:$AFD15,$AFF15:$AKS15),SUMPRODUCT('calcA'!$D$64:$EQ$64,$DB15:$IO15*1001+$ZQ15:$AFD15))*100+5)</f>
        <v/>
      </c>
      <c r="BR15">
        <f>IF(OR(AC15=1,calcA!$A$6=0),1000000000,IF('calcA'!$JF$15=1,0,100000000)+IF('calcA'!$IQ$15=2,SUMPRODUCT('calcA'!$D$65:$EQ$65,$DB15:$IO15,$IQ15:$OD15)*1000+SUMPRODUCT('calcA'!$D$65:$EQ$65,$DB15:$IO15+$ZQ15:$AFD15,$AFF15:$AKS15),SUMPRODUCT('calcA'!$D$65:$EQ$65,$DB15:$IO15*1001+$ZQ15:$AFD15))*100+6)</f>
        <v/>
      </c>
      <c r="BS15">
        <f>IF(OR(AD15=1,calcA!$A$6=0),1000000000,IF('calcA'!$JF$16=1,0,100000000)+IF('calcA'!$IQ$16=2,SUMPRODUCT('calcA'!$D$66:$EQ$66,$DB15:$IO15,$IQ15:$OD15)*1000+SUMPRODUCT('calcA'!$D$66:$EQ$66,$DB15:$IO15+$ZQ15:$AFD15,$AFF15:$AKS15),SUMPRODUCT('calcA'!$D$66:$EQ$66,$DB15:$IO15*1001+$ZQ15:$AFD15))*100+7)</f>
        <v/>
      </c>
      <c r="BT15">
        <f>IF(OR(AE15=1,calcA!$A$6=0),1000000000,IF('calcA'!$JF$17=1,0,100000000)+IF('calcA'!$IQ$17=2,SUMPRODUCT('calcA'!$D$67:$EQ$67,$DB15:$IO15,$IQ15:$OD15)*1000+SUMPRODUCT('calcA'!$D$67:$EQ$67,$DB15:$IO15+$ZQ15:$AFD15,$AFF15:$AKS15),SUMPRODUCT('calcA'!$D$67:$EQ$67,$DB15:$IO15*1001+$ZQ15:$AFD15))*100+8)</f>
        <v/>
      </c>
      <c r="BU15">
        <f>IF(OR(AF15=1,calcA!$A$6=0),1000000000,IF('calcA'!$JF$18=1,0,100000000)+IF('calcA'!$IQ$18=2,SUMPRODUCT('calcA'!$D$68:$EQ$68,$DB15:$IO15,$IQ15:$OD15)*1000+SUMPRODUCT('calcA'!$D$68:$EQ$68,$DB15:$IO15+$ZQ15:$AFD15,$AFF15:$AKS15),SUMPRODUCT('calcA'!$D$68:$EQ$68,$DB15:$IO15*1001+$ZQ15:$AFD15))*100+9)</f>
        <v/>
      </c>
      <c r="BV15">
        <f>IF(OR(AG15=1,calcA!$A$6=0),1000000000,IF('calcA'!$JF$19=1,0,100000000)+IF('calcA'!$IQ$19=2,SUMPRODUCT('calcA'!$D$69:$EQ$69,$DB15:$IO15,$IQ15:$OD15)*1000+SUMPRODUCT('calcA'!$D$69:$EQ$69,$DB15:$IO15+$ZQ15:$AFD15,$AFF15:$AKS15),SUMPRODUCT('calcA'!$D$69:$EQ$69,$DB15:$IO15*1001+$ZQ15:$AFD15))*100+10)</f>
        <v/>
      </c>
      <c r="BW15">
        <f>IF(OR(AH15=1,calcA!$A$6=0),1000000000,IF('calcA'!$JF$20=1,0,100000000)+IF('calcA'!$IQ$20=2,SUMPRODUCT('calcA'!$D$70:$EQ$70,$DB15:$IO15,$IQ15:$OD15)*1000+SUMPRODUCT('calcA'!$D$70:$EQ$70,$DB15:$IO15+$ZQ15:$AFD15,$AFF15:$AKS15),SUMPRODUCT('calcA'!$D$70:$EQ$70,$DB15:$IO15*1001+$ZQ15:$AFD15))*100+11)</f>
        <v/>
      </c>
      <c r="BX15">
        <f>IF(OR(AI15=1,calcA!$A$6=0),1000000000,IF('calcA'!$JF$21=1,0,100000000)+IF('calcA'!$IQ$21=2,SUMPRODUCT('calcA'!$D$71:$EQ$71,$DB15:$IO15,$IQ15:$OD15)*1000+SUMPRODUCT('calcA'!$D$71:$EQ$71,$DB15:$IO15+$ZQ15:$AFD15,$AFF15:$AKS15),SUMPRODUCT('calcA'!$D$71:$EQ$71,$DB15:$IO15*1001+$ZQ15:$AFD15))*100+12)</f>
        <v/>
      </c>
      <c r="BY15">
        <f>IF(OR(AJ15=1,calcA!$A$6=0),1000000000,IF('calcA'!$JF$22=1,0,100000000)+IF('calcA'!$IQ$22=2,SUMPRODUCT('calcA'!$D$72:$EQ$72,$DB15:$IO15,$IQ15:$OD15)*1000+SUMPRODUCT('calcA'!$D$72:$EQ$72,$DB15:$IO15+$ZQ15:$AFD15,$AFF15:$AKS15),SUMPRODUCT('calcA'!$D$72:$EQ$72,$DB15:$IO15*1001+$ZQ15:$AFD15))*100+13)</f>
        <v/>
      </c>
      <c r="BZ15">
        <f>IF(OR(AK15=1,calcA!$A$6=0),1000000000,IF('calcA'!$JF$23=1,0,100000000)+IF('calcA'!$IQ$23=2,SUMPRODUCT('calcA'!$D$73:$EQ$73,$DB15:$IO15,$IQ15:$OD15)*1000+SUMPRODUCT('calcA'!$D$73:$EQ$73,$DB15:$IO15+$ZQ15:$AFD15,$AFF15:$AKS15),SUMPRODUCT('calcA'!$D$73:$EQ$73,$DB15:$IO15*1001+$ZQ15:$AFD15))*100+14)</f>
        <v/>
      </c>
      <c r="CA15">
        <f>IF(OR(AL15=1,calcA!$A$6=0),1000000000,IF('calcA'!$JF$24=1,0,100000000)+IF('calcA'!$IQ$24=2,SUMPRODUCT('calcA'!$D$74:$EQ$74,$DB15:$IO15,$IQ15:$OD15)*1000+SUMPRODUCT('calcA'!$D$74:$EQ$74,$DB15:$IO15+$ZQ15:$AFD15,$AFF15:$AKS15),SUMPRODUCT('calcA'!$D$74:$EQ$74,$DB15:$IO15*1001+$ZQ15:$AFD15))*100+15)</f>
        <v/>
      </c>
      <c r="CB15">
        <f>IF(OR(AM15=1,calcA!$A$6=0),1000000000,IF('calcA'!$JF$25=1,0,100000000)+IF('calcA'!$IQ$25=2,SUMPRODUCT('calcA'!$D$75:$EQ$75,$DB15:$IO15,$IQ15:$OD15)*1000+SUMPRODUCT('calcA'!$D$75:$EQ$75,$DB15:$IO15+$ZQ15:$AFD15,$AFF15:$AKS15),SUMPRODUCT('calcA'!$D$75:$EQ$75,$DB15:$IO15*1001+$ZQ15:$AFD15))*100+16)</f>
        <v/>
      </c>
      <c r="CC15">
        <f>IF(OR(AN15=1,calcA!$A$6=0),1000000000,IF('calcA'!$JF$26=1,0,100000000)+IF('calcA'!$IQ$26=2,SUMPRODUCT('calcA'!$D$76:$EQ$76,$DB15:$IO15,$IQ15:$OD15)*1000+SUMPRODUCT('calcA'!$D$76:$EQ$76,$DB15:$IO15+$ZQ15:$AFD15,$AFF15:$AKS15),SUMPRODUCT('calcA'!$D$76:$EQ$76,$DB15:$IO15*1001+$ZQ15:$AFD15))*100+17)</f>
        <v/>
      </c>
      <c r="CD15">
        <f>IF(OR(AO15=1,calcA!$A$6=0),1000000000,IF('calcA'!$JF$27=1,0,100000000)+IF('calcA'!$IQ$27=2,SUMPRODUCT('calcA'!$D$77:$EQ$77,$DB15:$IO15,$IQ15:$OD15)*1000+SUMPRODUCT('calcA'!$D$77:$EQ$77,$DB15:$IO15+$ZQ15:$AFD15,$AFF15:$AKS15),SUMPRODUCT('calcA'!$D$77:$EQ$77,$DB15:$IO15*1001+$ZQ15:$AFD15))*100+18)</f>
        <v/>
      </c>
      <c r="CE15">
        <f>IF(OR(AP15=1,calcA!$A$6=0),1000000000,IF('calcA'!$JF$28=1,0,100000000)+IF('calcA'!$IQ$28=2,SUMPRODUCT('calcA'!$D$78:$EQ$78,$DB15:$IO15,$IQ15:$OD15)*1000+SUMPRODUCT('calcA'!$D$78:$EQ$78,$DB15:$IO15+$ZQ15:$AFD15,$AFF15:$AKS15),SUMPRODUCT('calcA'!$D$78:$EQ$78,$DB15:$IO15*1001+$ZQ15:$AFD15))*100+19)</f>
        <v/>
      </c>
      <c r="CF15">
        <f>IF(OR(AQ15=1,calcA!$A$6=0),1000000000,IF('calcA'!$JF$29=1,0,100000000)+IF('calcA'!$IQ$29=2,SUMPRODUCT('calcA'!$D$79:$EQ$79,$DB15:$IO15,$IQ15:$OD15)*1000+SUMPRODUCT('calcA'!$D$79:$EQ$79,$DB15:$IO15+$ZQ15:$AFD15,$AFF15:$AKS15),SUMPRODUCT('calcA'!$D$79:$EQ$79,$DB15:$IO15*1001+$ZQ15:$AFD15))*100+20)</f>
        <v/>
      </c>
      <c r="CG15">
        <f>IF(OR(AR15=1,calcA!$A$6=0),1000000000,IF('calcA'!$JF$30=1,0,100000000)+IF('calcA'!$IQ$30=2,SUMPRODUCT('calcA'!$D$80:$EQ$80,$DB15:$IO15,$IQ15:$OD15)*1000+SUMPRODUCT('calcA'!$D$80:$EQ$80,$DB15:$IO15+$ZQ15:$AFD15,$AFF15:$AKS15),SUMPRODUCT('calcA'!$D$80:$EQ$80,$DB15:$IO15*1001+$ZQ15:$AFD15))*100+21)</f>
        <v/>
      </c>
      <c r="CH15">
        <f>IF(OR(AS15=1,calcA!$A$6=0),1000000000,IF('calcA'!$JF$31=1,0,100000000)+IF('calcA'!$IQ$31=2,SUMPRODUCT('calcA'!$D$81:$EQ$81,$DB15:$IO15,$IQ15:$OD15)*1000+SUMPRODUCT('calcA'!$D$81:$EQ$81,$DB15:$IO15+$ZQ15:$AFD15,$AFF15:$AKS15),SUMPRODUCT('calcA'!$D$81:$EQ$81,$DB15:$IO15*1001+$ZQ15:$AFD15))*100+22)</f>
        <v/>
      </c>
      <c r="CI15">
        <f>IF(OR(AT15=1,calcA!$A$6=0),1000000000,IF('calcA'!$JF$32=1,0,100000000)+IF('calcA'!$IQ$32=2,SUMPRODUCT('calcA'!$D$82:$EQ$82,$DB15:$IO15,$IQ15:$OD15)*1000+SUMPRODUCT('calcA'!$D$82:$EQ$82,$DB15:$IO15+$ZQ15:$AFD15,$AFF15:$AKS15),SUMPRODUCT('calcA'!$D$82:$EQ$82,$DB15:$IO15*1001+$ZQ15:$AFD15))*100+23)</f>
        <v/>
      </c>
      <c r="CJ15">
        <f>IF(OR(AU15=1,calcA!$A$6=0),1000000000,IF('calcA'!$JF$33=1,0,100000000)+IF('calcA'!$IQ$33=2,SUMPRODUCT('calcA'!$D$83:$EQ$83,$DB15:$IO15,$IQ15:$OD15)*1000+SUMPRODUCT('calcA'!$D$83:$EQ$83,$DB15:$IO15+$ZQ15:$AFD15,$AFF15:$AKS15),SUMPRODUCT('calcA'!$D$83:$EQ$83,$DB15:$IO15*1001+$ZQ15:$AFD15))*100+24)</f>
        <v/>
      </c>
      <c r="CK15">
        <f>IF(OR(AV15=1,calcA!$A$6=0),1000000000,IF('calcA'!$JF$34=1,0,100000000)+IF('calcA'!$IQ$34=2,SUMPRODUCT('calcA'!$D$84:$EQ$84,$DB15:$IO15,$IQ15:$OD15)*1000+SUMPRODUCT('calcA'!$D$84:$EQ$84,$DB15:$IO15+$ZQ15:$AFD15,$AFF15:$AKS15),SUMPRODUCT('calcA'!$D$84:$EQ$84,$DB15:$IO15*1001+$ZQ15:$AFD15))*100+25)</f>
        <v/>
      </c>
      <c r="CL15">
        <f>IF(OR(AW15=1,calcA!$A$6=0),1000000000,IF('calcA'!$JF$35=1,0,100000000)+IF('calcA'!$IQ$35=2,SUMPRODUCT('calcA'!$D$85:$EQ$85,$DB15:$IO15,$IQ15:$OD15)*1000+SUMPRODUCT('calcA'!$D$85:$EQ$85,$DB15:$IO15+$ZQ15:$AFD15,$AFF15:$AKS15),SUMPRODUCT('calcA'!$D$85:$EQ$85,$DB15:$IO15*1001+$ZQ15:$AFD15))*100+26)</f>
        <v/>
      </c>
      <c r="CM15">
        <f>IF(OR(AX15=1,calcA!$A$6=0),1000000000,IF('calcA'!$JF$36=1,0,100000000)+IF('calcA'!$IQ$36=2,SUMPRODUCT('calcA'!$D$86:$EQ$86,$DB15:$IO15,$IQ15:$OD15)*1000+SUMPRODUCT('calcA'!$D$86:$EQ$86,$DB15:$IO15+$ZQ15:$AFD15,$AFF15:$AKS15),SUMPRODUCT('calcA'!$D$86:$EQ$86,$DB15:$IO15*1001+$ZQ15:$AFD15))*100+27)</f>
        <v/>
      </c>
      <c r="CN15">
        <f>IF(OR(AY15=1,calcA!$A$6=0),1000000000,IF('calcA'!$JF$37=1,0,100000000)+IF('calcA'!$IQ$37=2,SUMPRODUCT('calcA'!$D$87:$EQ$87,$DB15:$IO15,$IQ15:$OD15)*1000+SUMPRODUCT('calcA'!$D$87:$EQ$87,$DB15:$IO15+$ZQ15:$AFD15,$AFF15:$AKS15),SUMPRODUCT('calcA'!$D$87:$EQ$87,$DB15:$IO15*1001+$ZQ15:$AFD15))*100+28)</f>
        <v/>
      </c>
      <c r="CO15">
        <f>IF(OR(AZ15=1,calcA!$A$6=0),1000000000,IF('calcA'!$JF$38=1,0,100000000)+IF('calcA'!$IQ$38=2,SUMPRODUCT('calcA'!$D$88:$EQ$88,$DB15:$IO15,$IQ15:$OD15)*1000+SUMPRODUCT('calcA'!$D$88:$EQ$88,$DB15:$IO15+$ZQ15:$AFD15,$AFF15:$AKS15),SUMPRODUCT('calcA'!$D$88:$EQ$88,$DB15:$IO15*1001+$ZQ15:$AFD15))*100+29)</f>
        <v/>
      </c>
      <c r="CP15">
        <f>IF(OR(BA15=1,calcA!$A$6=0),1000000000,IF('calcA'!$JF$39=1,0,100000000)+IF('calcA'!$IQ$39=2,SUMPRODUCT('calcA'!$D$89:$EQ$89,$DB15:$IO15,$IQ15:$OD15)*1000+SUMPRODUCT('calcA'!$D$89:$EQ$89,$DB15:$IO15+$ZQ15:$AFD15,$AFF15:$AKS15),SUMPRODUCT('calcA'!$D$89:$EQ$89,$DB15:$IO15*1001+$ZQ15:$AFD15))*100+30)</f>
        <v/>
      </c>
      <c r="CQ15">
        <f>IF(OR(BB15=1,calcA!$A$6=0),1000000000,IF('calcA'!$JF$40=1,0,100000000)+IF('calcA'!$IQ$40=2,SUMPRODUCT('calcA'!$D$90:$EQ$90,$DB15:$IO15,$IQ15:$OD15)*1000+SUMPRODUCT('calcA'!$D$90:$EQ$90,$DB15:$IO15+$ZQ15:$AFD15,$AFF15:$AKS15),SUMPRODUCT('calcA'!$D$90:$EQ$90,$DB15:$IO15*1001+$ZQ15:$AFD15))*100+31)</f>
        <v/>
      </c>
      <c r="CR15">
        <f>IF(OR(BC15=1,calcA!$A$6=0),1000000000,IF('calcA'!$JF$41=1,0,100000000)+IF('calcA'!$IQ$41=2,SUMPRODUCT('calcA'!$D$91:$EQ$91,$DB15:$IO15,$IQ15:$OD15)*1000+SUMPRODUCT('calcA'!$D$91:$EQ$91,$DB15:$IO15+$ZQ15:$AFD15,$AFF15:$AKS15),SUMPRODUCT('calcA'!$D$91:$EQ$91,$DB15:$IO15*1001+$ZQ15:$AFD15))*100+32)</f>
        <v/>
      </c>
      <c r="CS15">
        <f>IF(OR(BD15=1,calcA!$A$6=0),1000000000,IF('calcA'!$JF$42=1,0,100000000)+IF('calcA'!$IQ$42=2,SUMPRODUCT('calcA'!$D$92:$EQ$92,$DB15:$IO15,$IQ15:$OD15)*1000+SUMPRODUCT('calcA'!$D$92:$EQ$92,$DB15:$IO15+$ZQ15:$AFD15,$AFF15:$AKS15),SUMPRODUCT('calcA'!$D$92:$EQ$92,$DB15:$IO15*1001+$ZQ15:$AFD15))*100+33)</f>
        <v/>
      </c>
      <c r="CT15">
        <f>IF(OR(BE15=1,calcA!$A$6=0),1000000000,IF('calcA'!$JF$43=1,0,100000000)+IF('calcA'!$IQ$43=2,SUMPRODUCT('calcA'!$D$93:$EQ$93,$DB15:$IO15,$IQ15:$OD15)*1000+SUMPRODUCT('calcA'!$D$93:$EQ$93,$DB15:$IO15+$ZQ15:$AFD15,$AFF15:$AKS15),SUMPRODUCT('calcA'!$D$93:$EQ$93,$DB15:$IO15*1001+$ZQ15:$AFD15))*100+34)</f>
        <v/>
      </c>
      <c r="CU15">
        <f>IF(OR(BF15=1,calcA!$A$6=0),1000000000,IF('calcA'!$JF$44=1,0,100000000)+IF('calcA'!$IQ$44=2,SUMPRODUCT('calcA'!$D$94:$EQ$94,$DB15:$IO15,$IQ15:$OD15)*1000+SUMPRODUCT('calcA'!$D$94:$EQ$94,$DB15:$IO15+$ZQ15:$AFD15,$AFF15:$AKS15),SUMPRODUCT('calcA'!$D$94:$EQ$94,$DB15:$IO15*1001+$ZQ15:$AFD15))*100+35)</f>
        <v/>
      </c>
      <c r="CV15">
        <f>IF(OR(BG15=1,calcA!$A$6=0),1000000000,IF('calcA'!$JF$45=1,0,100000000)+IF('calcA'!$IQ$45=2,SUMPRODUCT('calcA'!$D$95:$EQ$95,$DB15:$IO15,$IQ15:$OD15)*1000+SUMPRODUCT('calcA'!$D$95:$EQ$95,$DB15:$IO15+$ZQ15:$AFD15,$AFF15:$AKS15),SUMPRODUCT('calcA'!$D$95:$EQ$95,$DB15:$IO15*1001+$ZQ15:$AFD15))*100+36)</f>
        <v/>
      </c>
      <c r="CW15">
        <f>IF(OR(BH15=1,calcA!$A$6=0),1000000000,IF('calcA'!$JF$46=1,0,100000000)+IF('calcA'!$IQ$46=2,SUMPRODUCT('calcA'!$D$96:$EQ$96,$DB15:$IO15,$IQ15:$OD15)*1000+SUMPRODUCT('calcA'!$D$96:$EQ$96,$DB15:$IO15+$ZQ15:$AFD15,$AFF15:$AKS15),SUMPRODUCT('calcA'!$D$96:$EQ$96,$DB15:$IO15*1001+$ZQ15:$AFD15))*100+37)</f>
        <v/>
      </c>
      <c r="CX15">
        <f>IF(OR(BI15=1,calcA!$A$6=0),1000000000,IF('calcA'!$JF$47=1,0,100000000)+IF('calcA'!$IQ$47=2,SUMPRODUCT('calcA'!$D$97:$EQ$97,$DB15:$IO15,$IQ15:$OD15)*1000+SUMPRODUCT('calcA'!$D$97:$EQ$97,$DB15:$IO15+$ZQ15:$AFD15,$AFF15:$AKS15),SUMPRODUCT('calcA'!$D$97:$EQ$97,$DB15:$IO15*1001+$ZQ15:$AFD15))*100+38)</f>
        <v/>
      </c>
      <c r="CY15">
        <f>IF(OR(BJ15=1,calcA!$A$6=0),1000000000,IF('calcA'!$JF$48=1,0,100000000)+IF('calcA'!$IQ$48=2,SUMPRODUCT('calcA'!$D$98:$EQ$98,$DB15:$IO15,$IQ15:$OD15)*1000+SUMPRODUCT('calcA'!$D$98:$EQ$98,$DB15:$IO15+$ZQ15:$AFD15,$AFF15:$AKS15),SUMPRODUCT('calcA'!$D$98:$EQ$98,$DB15:$IO15*1001+$ZQ15:$AFD15))*100+39)</f>
        <v/>
      </c>
      <c r="CZ15">
        <f>IF(OR(BK15=1,calcA!$A$6=0),1000000000,IF('calcA'!$JF$49=1,0,100000000)+IF('calcA'!$IQ$49=2,SUMPRODUCT('calcA'!$D$99:$EQ$99,$DB15:$IO15,$IQ15:$OD15)*1000+SUMPRODUCT('calcA'!$D$99:$EQ$99,$DB15:$IO15+$ZQ15:$AFD15,$AFF15:$AKS15),SUMPRODUCT('calcA'!$D$99:$EQ$99,$DB15:$IO15*1001+$ZQ15:$AFD15))*100+40)</f>
        <v/>
      </c>
      <c r="DB15">
        <f>DB14*IF(OR($C14=1,$G14=1),0,1)</f>
        <v/>
      </c>
      <c r="DC15">
        <f>DC14*IF(OR($C14=2,$G14=2),0,1)</f>
        <v/>
      </c>
      <c r="DD15">
        <f>DD14*IF(OR($C14=3,$G14=3),0,1)</f>
        <v/>
      </c>
      <c r="DE15">
        <f>DE14*IF(OR($C14=4,$G14=4),0,1)</f>
        <v/>
      </c>
      <c r="DF15">
        <f>DF14*IF(OR($C14=5,$G14=5),0,1)</f>
        <v/>
      </c>
      <c r="DG15">
        <f>DG14*IF(OR($C14=6,$G14=6),0,1)</f>
        <v/>
      </c>
      <c r="DH15">
        <f>DH14*IF(OR($C14=7,$G14=7),0,1)</f>
        <v/>
      </c>
      <c r="DI15">
        <f>DI14*IF(OR($C14=8,$G14=8),0,1)</f>
        <v/>
      </c>
      <c r="DJ15">
        <f>DJ14*IF(OR($C14=9,$G14=9),0,1)</f>
        <v/>
      </c>
      <c r="DK15">
        <f>DK14*IF(OR($C14=10,$G14=10),0,1)</f>
        <v/>
      </c>
      <c r="DL15">
        <f>DL14*IF(OR($C14=11,$G14=11),0,1)</f>
        <v/>
      </c>
      <c r="DM15">
        <f>DM14*IF(OR($C14=12,$G14=12),0,1)</f>
        <v/>
      </c>
      <c r="DN15">
        <f>DN14*IF(OR($C14=13,$G14=13),0,1)</f>
        <v/>
      </c>
      <c r="DO15">
        <f>DO14*IF(OR($C14=14,$G14=14),0,1)</f>
        <v/>
      </c>
      <c r="DP15">
        <f>DP14*IF(OR($C14=15,$G14=15),0,1)</f>
        <v/>
      </c>
      <c r="DQ15">
        <f>DQ14*IF(OR($C14=16,$G14=16),0,1)</f>
        <v/>
      </c>
      <c r="DR15">
        <f>DR14*IF(OR($C14=17,$G14=17),0,1)</f>
        <v/>
      </c>
      <c r="DS15">
        <f>DS14*IF(OR($C14=18,$G14=18),0,1)</f>
        <v/>
      </c>
      <c r="DT15">
        <f>DT14*IF(OR($C14=19,$G14=19),0,1)</f>
        <v/>
      </c>
      <c r="DU15">
        <f>DU14*IF(OR($C14=20,$G14=20),0,1)</f>
        <v/>
      </c>
      <c r="DV15">
        <f>DV14*IF(OR($C14=21,$G14=21),0,1)</f>
        <v/>
      </c>
      <c r="DW15">
        <f>DW14*IF(OR($C14=22,$G14=22),0,1)</f>
        <v/>
      </c>
      <c r="DX15">
        <f>DX14*IF(OR($C14=23,$G14=23),0,1)</f>
        <v/>
      </c>
      <c r="DY15">
        <f>DY14*IF(OR($C14=24,$G14=24),0,1)</f>
        <v/>
      </c>
      <c r="DZ15">
        <f>DZ14*IF(OR($C14=25,$G14=25),0,1)</f>
        <v/>
      </c>
      <c r="EA15">
        <f>EA14*IF(OR($C14=26,$G14=26),0,1)</f>
        <v/>
      </c>
      <c r="EB15">
        <f>EB14*IF(OR($C14=27,$G14=27),0,1)</f>
        <v/>
      </c>
      <c r="EC15">
        <f>EC14*IF(OR($C14=28,$G14=28),0,1)</f>
        <v/>
      </c>
      <c r="ED15">
        <f>ED14*IF(OR($C14=29,$G14=29),0,1)</f>
        <v/>
      </c>
      <c r="EE15">
        <f>EE14*IF(OR($C14=30,$G14=30),0,1)</f>
        <v/>
      </c>
      <c r="EF15">
        <f>EF14*IF(OR($C14=31,$G14=31),0,1)</f>
        <v/>
      </c>
      <c r="EG15">
        <f>EG14*IF(OR($C14=32,$G14=32),0,1)</f>
        <v/>
      </c>
      <c r="EH15">
        <f>EH14*IF(OR($C14=33,$G14=33),0,1)</f>
        <v/>
      </c>
      <c r="EI15">
        <f>EI14*IF(OR($C14=34,$G14=34),0,1)</f>
        <v/>
      </c>
      <c r="EJ15">
        <f>EJ14*IF(OR($C14=35,$G14=35),0,1)</f>
        <v/>
      </c>
      <c r="EK15">
        <f>EK14*IF(OR($C14=36,$G14=36),0,1)</f>
        <v/>
      </c>
      <c r="EL15">
        <f>EL14*IF(OR($C14=37,$G14=37),0,1)</f>
        <v/>
      </c>
      <c r="EM15">
        <f>EM14*IF(OR($C14=38,$G14=38),0,1)</f>
        <v/>
      </c>
      <c r="EN15">
        <f>EN14*IF(OR($C14=39,$G14=39),0,1)</f>
        <v/>
      </c>
      <c r="EO15">
        <f>EO14*IF(OR($C14=40,$G14=40),0,1)</f>
        <v/>
      </c>
      <c r="EP15">
        <f>EP14*IF(OR($C14=41,$G14=41),0,1)</f>
        <v/>
      </c>
      <c r="EQ15">
        <f>EQ14*IF(OR($C14=42,$G14=42),0,1)</f>
        <v/>
      </c>
      <c r="ER15">
        <f>ER14*IF(OR($C14=43,$G14=43),0,1)</f>
        <v/>
      </c>
      <c r="ES15">
        <f>ES14*IF(OR($C14=44,$G14=44),0,1)</f>
        <v/>
      </c>
      <c r="ET15">
        <f>ET14*IF(OR($C14=45,$G14=45),0,1)</f>
        <v/>
      </c>
      <c r="EU15">
        <f>EU14*IF(OR($C14=46,$G14=46),0,1)</f>
        <v/>
      </c>
      <c r="EV15">
        <f>EV14*IF(OR($C14=47,$G14=47),0,1)</f>
        <v/>
      </c>
      <c r="EW15">
        <f>EW14*IF(OR($C14=48,$G14=48),0,1)</f>
        <v/>
      </c>
      <c r="EX15">
        <f>EX14*IF(OR($C14=49,$G14=49),0,1)</f>
        <v/>
      </c>
      <c r="EY15">
        <f>EY14*IF(OR($C14=50,$G14=50),0,1)</f>
        <v/>
      </c>
      <c r="EZ15">
        <f>EZ14*IF(OR($C14=51,$G14=51),0,1)</f>
        <v/>
      </c>
      <c r="FA15">
        <f>FA14*IF(OR($C14=52,$G14=52),0,1)</f>
        <v/>
      </c>
      <c r="FB15">
        <f>FB14*IF(OR($C14=53,$G14=53),0,1)</f>
        <v/>
      </c>
      <c r="FC15">
        <f>FC14*IF(OR($C14=54,$G14=54),0,1)</f>
        <v/>
      </c>
      <c r="FD15">
        <f>FD14*IF(OR($C14=55,$G14=55),0,1)</f>
        <v/>
      </c>
      <c r="FE15">
        <f>FE14*IF(OR($C14=56,$G14=56),0,1)</f>
        <v/>
      </c>
      <c r="FF15">
        <f>FF14*IF(OR($C14=57,$G14=57),0,1)</f>
        <v/>
      </c>
      <c r="FG15">
        <f>FG14*IF(OR($C14=58,$G14=58),0,1)</f>
        <v/>
      </c>
      <c r="FH15">
        <f>FH14*IF(OR($C14=59,$G14=59),0,1)</f>
        <v/>
      </c>
      <c r="FI15">
        <f>FI14*IF(OR($C14=60,$G14=60),0,1)</f>
        <v/>
      </c>
      <c r="FJ15">
        <f>FJ14*IF(OR($C14=61,$G14=61),0,1)</f>
        <v/>
      </c>
      <c r="FK15">
        <f>FK14*IF(OR($C14=62,$G14=62),0,1)</f>
        <v/>
      </c>
      <c r="FL15">
        <f>FL14*IF(OR($C14=63,$G14=63),0,1)</f>
        <v/>
      </c>
      <c r="FM15">
        <f>FM14*IF(OR($C14=64,$G14=64),0,1)</f>
        <v/>
      </c>
      <c r="FN15">
        <f>FN14*IF(OR($C14=65,$G14=65),0,1)</f>
        <v/>
      </c>
      <c r="FO15">
        <f>FO14*IF(OR($C14=66,$G14=66),0,1)</f>
        <v/>
      </c>
      <c r="FP15">
        <f>FP14*IF(OR($C14=67,$G14=67),0,1)</f>
        <v/>
      </c>
      <c r="FQ15">
        <f>FQ14*IF(OR($C14=68,$G14=68),0,1)</f>
        <v/>
      </c>
      <c r="FR15">
        <f>FR14*IF(OR($C14=69,$G14=69),0,1)</f>
        <v/>
      </c>
      <c r="FS15">
        <f>FS14*IF(OR($C14=70,$G14=70),0,1)</f>
        <v/>
      </c>
      <c r="FT15">
        <f>FT14*IF(OR($C14=71,$G14=71),0,1)</f>
        <v/>
      </c>
      <c r="FU15">
        <f>FU14*IF(OR($C14=72,$G14=72),0,1)</f>
        <v/>
      </c>
      <c r="FV15">
        <f>FV14*IF(OR($C14=73,$G14=73),0,1)</f>
        <v/>
      </c>
      <c r="FW15">
        <f>FW14*IF(OR($C14=74,$G14=74),0,1)</f>
        <v/>
      </c>
      <c r="FX15">
        <f>FX14*IF(OR($C14=75,$G14=75),0,1)</f>
        <v/>
      </c>
      <c r="FY15">
        <f>FY14*IF(OR($C14=76,$G14=76),0,1)</f>
        <v/>
      </c>
      <c r="FZ15">
        <f>FZ14*IF(OR($C14=77,$G14=77),0,1)</f>
        <v/>
      </c>
      <c r="GA15">
        <f>GA14*IF(OR($C14=78,$G14=78),0,1)</f>
        <v/>
      </c>
      <c r="GB15">
        <f>GB14*IF(OR($C14=79,$G14=79),0,1)</f>
        <v/>
      </c>
      <c r="GC15">
        <f>GC14*IF(OR($C14=80,$G14=80),0,1)</f>
        <v/>
      </c>
      <c r="GD15">
        <f>GD14*IF(OR($C14=81,$G14=81),0,1)</f>
        <v/>
      </c>
      <c r="GE15">
        <f>GE14*IF(OR($C14=82,$G14=82),0,1)</f>
        <v/>
      </c>
      <c r="GF15">
        <f>GF14*IF(OR($C14=83,$G14=83),0,1)</f>
        <v/>
      </c>
      <c r="GG15">
        <f>GG14*IF(OR($C14=84,$G14=84),0,1)</f>
        <v/>
      </c>
      <c r="GH15">
        <f>GH14*IF(OR($C14=85,$G14=85),0,1)</f>
        <v/>
      </c>
      <c r="GI15">
        <f>GI14*IF(OR($C14=86,$G14=86),0,1)</f>
        <v/>
      </c>
      <c r="GJ15">
        <f>GJ14*IF(OR($C14=87,$G14=87),0,1)</f>
        <v/>
      </c>
      <c r="GK15">
        <f>GK14*IF(OR($C14=88,$G14=88),0,1)</f>
        <v/>
      </c>
      <c r="GL15">
        <f>GL14*IF(OR($C14=89,$G14=89),0,1)</f>
        <v/>
      </c>
      <c r="GM15">
        <f>GM14*IF(OR($C14=90,$G14=90),0,1)</f>
        <v/>
      </c>
      <c r="GN15">
        <f>GN14*IF(OR($C14=91,$G14=91),0,1)</f>
        <v/>
      </c>
      <c r="GO15">
        <f>GO14*IF(OR($C14=92,$G14=92),0,1)</f>
        <v/>
      </c>
      <c r="GP15">
        <f>GP14*IF(OR($C14=93,$G14=93),0,1)</f>
        <v/>
      </c>
      <c r="GQ15">
        <f>GQ14*IF(OR($C14=94,$G14=94),0,1)</f>
        <v/>
      </c>
      <c r="GR15">
        <f>GR14*IF(OR($C14=95,$G14=95),0,1)</f>
        <v/>
      </c>
      <c r="GS15">
        <f>GS14*IF(OR($C14=96,$G14=96),0,1)</f>
        <v/>
      </c>
      <c r="GT15">
        <f>GT14*IF(OR($C14=97,$G14=97),0,1)</f>
        <v/>
      </c>
      <c r="GU15">
        <f>GU14*IF(OR($C14=98,$G14=98),0,1)</f>
        <v/>
      </c>
      <c r="GV15">
        <f>GV14*IF(OR($C14=99,$G14=99),0,1)</f>
        <v/>
      </c>
      <c r="GW15">
        <f>GW14*IF(OR($C14=100,$G14=100),0,1)</f>
        <v/>
      </c>
      <c r="GX15">
        <f>GX14*IF(OR($C14=101,$G14=101),0,1)</f>
        <v/>
      </c>
      <c r="GY15">
        <f>GY14*IF(OR($C14=102,$G14=102),0,1)</f>
        <v/>
      </c>
      <c r="GZ15">
        <f>GZ14*IF(OR($C14=103,$G14=103),0,1)</f>
        <v/>
      </c>
      <c r="HA15">
        <f>HA14*IF(OR($C14=104,$G14=104),0,1)</f>
        <v/>
      </c>
      <c r="HB15">
        <f>HB14*IF(OR($C14=105,$G14=105),0,1)</f>
        <v/>
      </c>
      <c r="HC15">
        <f>HC14*IF(OR($C14=106,$G14=106),0,1)</f>
        <v/>
      </c>
      <c r="HD15">
        <f>HD14*IF(OR($C14=107,$G14=107),0,1)</f>
        <v/>
      </c>
      <c r="HE15">
        <f>HE14*IF(OR($C14=108,$G14=108),0,1)</f>
        <v/>
      </c>
      <c r="HF15">
        <f>HF14*IF(OR($C14=109,$G14=109),0,1)</f>
        <v/>
      </c>
      <c r="HG15">
        <f>HG14*IF(OR($C14=110,$G14=110),0,1)</f>
        <v/>
      </c>
      <c r="HH15">
        <f>HH14*IF(OR($C14=111,$G14=111),0,1)</f>
        <v/>
      </c>
      <c r="HI15">
        <f>HI14*IF(OR($C14=112,$G14=112),0,1)</f>
        <v/>
      </c>
      <c r="HJ15">
        <f>HJ14*IF(OR($C14=113,$G14=113),0,1)</f>
        <v/>
      </c>
      <c r="HK15">
        <f>HK14*IF(OR($C14=114,$G14=114),0,1)</f>
        <v/>
      </c>
      <c r="HL15">
        <f>HL14*IF(OR($C14=115,$G14=115),0,1)</f>
        <v/>
      </c>
      <c r="HM15">
        <f>HM14*IF(OR($C14=116,$G14=116),0,1)</f>
        <v/>
      </c>
      <c r="HN15">
        <f>HN14*IF(OR($C14=117,$G14=117),0,1)</f>
        <v/>
      </c>
      <c r="HO15">
        <f>HO14*IF(OR($C14=118,$G14=118),0,1)</f>
        <v/>
      </c>
      <c r="HP15">
        <f>HP14*IF(OR($C14=119,$G14=119),0,1)</f>
        <v/>
      </c>
      <c r="HQ15">
        <f>HQ14*IF(OR($C14=120,$G14=120),0,1)</f>
        <v/>
      </c>
      <c r="HR15">
        <f>HR14*IF(OR($C14=121,$G14=121),0,1)</f>
        <v/>
      </c>
      <c r="HS15">
        <f>HS14*IF(OR($C14=122,$G14=122),0,1)</f>
        <v/>
      </c>
      <c r="HT15">
        <f>HT14*IF(OR($C14=123,$G14=123),0,1)</f>
        <v/>
      </c>
      <c r="HU15">
        <f>HU14*IF(OR($C14=124,$G14=124),0,1)</f>
        <v/>
      </c>
      <c r="HV15">
        <f>HV14*IF(OR($C14=125,$G14=125),0,1)</f>
        <v/>
      </c>
      <c r="HW15">
        <f>HW14*IF(OR($C14=126,$G14=126),0,1)</f>
        <v/>
      </c>
      <c r="HX15">
        <f>HX14*IF(OR($C14=127,$G14=127),0,1)</f>
        <v/>
      </c>
      <c r="HY15">
        <f>HY14*IF(OR($C14=128,$G14=128),0,1)</f>
        <v/>
      </c>
      <c r="HZ15">
        <f>HZ14*IF(OR($C14=129,$G14=129),0,1)</f>
        <v/>
      </c>
      <c r="IA15">
        <f>IA14*IF(OR($C14=130,$G14=130),0,1)</f>
        <v/>
      </c>
      <c r="IB15">
        <f>IB14*IF(OR($C14=131,$G14=131),0,1)</f>
        <v/>
      </c>
      <c r="IC15">
        <f>IC14*IF(OR($C14=132,$G14=132),0,1)</f>
        <v/>
      </c>
      <c r="ID15">
        <f>ID14*IF(OR($C14=133,$G14=133),0,1)</f>
        <v/>
      </c>
      <c r="IE15">
        <f>IE14*IF(OR($C14=134,$G14=134),0,1)</f>
        <v/>
      </c>
      <c r="IF15">
        <f>IF14*IF(OR($C14=135,$G14=135),0,1)</f>
        <v/>
      </c>
      <c r="IG15">
        <f>IG14*IF(OR($C14=136,$G14=136),0,1)</f>
        <v/>
      </c>
      <c r="IH15">
        <f>IH14*IF(OR($C14=137,$G14=137),0,1)</f>
        <v/>
      </c>
      <c r="II15">
        <f>II14*IF(OR($C14=138,$G14=138),0,1)</f>
        <v/>
      </c>
      <c r="IJ15">
        <f>IJ14*IF(OR($C14=139,$G14=139),0,1)</f>
        <v/>
      </c>
      <c r="IK15">
        <f>IK14*IF(OR($C14=140,$G14=140),0,1)</f>
        <v/>
      </c>
      <c r="IL15">
        <f>IL14*IF(OR($C14=141,$G14=141),0,1)</f>
        <v/>
      </c>
      <c r="IM15">
        <f>IM14*IF(OR($C14=142,$G14=142),0,1)</f>
        <v/>
      </c>
      <c r="IN15">
        <f>IN14*IF(OR($C14=143,$G14=143),0,1)</f>
        <v/>
      </c>
      <c r="IO15">
        <f>IO14*IF(OR($C14=144,$G14=144),0,1)</f>
        <v/>
      </c>
      <c r="IQ15">
        <f>IF('calcA'!D$106=1,DC15,1)</f>
        <v/>
      </c>
      <c r="IR15">
        <f>IF('calcA'!E$106=1,DD15,1)</f>
        <v/>
      </c>
      <c r="IS15">
        <f>IF('calcA'!F$106=1,DE15,1)</f>
        <v/>
      </c>
      <c r="IT15">
        <f>IF('calcA'!G$106=1,DF15,1)</f>
        <v/>
      </c>
      <c r="IU15">
        <f>IF('calcA'!H$106=1,DG15,1)</f>
        <v/>
      </c>
      <c r="IV15">
        <f>IF('calcA'!I$106=1,DH15,1)</f>
        <v/>
      </c>
      <c r="IW15">
        <f>IF('calcA'!J$106=1,DI15,1)</f>
        <v/>
      </c>
      <c r="IX15">
        <f>IF('calcA'!K$106=1,DJ15,1)</f>
        <v/>
      </c>
      <c r="IY15">
        <f>IF('calcA'!L$106=1,DK15,1)</f>
        <v/>
      </c>
      <c r="IZ15">
        <f>IF('calcA'!M$106=1,DL15,1)</f>
        <v/>
      </c>
      <c r="JA15">
        <f>IF('calcA'!N$106=1,DM15,1)</f>
        <v/>
      </c>
      <c r="JB15">
        <f>IF('calcA'!O$106=1,DN15,1)</f>
        <v/>
      </c>
      <c r="JC15">
        <f>IF('calcA'!P$106=1,DO15,1)</f>
        <v/>
      </c>
      <c r="JD15">
        <f>IF('calcA'!Q$106=1,DP15,1)</f>
        <v/>
      </c>
      <c r="JE15">
        <f>IF('calcA'!R$106=1,DQ15,1)</f>
        <v/>
      </c>
      <c r="JF15">
        <f>IF('calcA'!S$106=1,DR15,1)</f>
        <v/>
      </c>
      <c r="JG15">
        <f>IF('calcA'!T$106=1,DS15,1)</f>
        <v/>
      </c>
      <c r="JH15">
        <f>IF('calcA'!U$106=1,DT15,1)</f>
        <v/>
      </c>
      <c r="JI15">
        <f>IF('calcA'!V$106=1,DU15,1)</f>
        <v/>
      </c>
      <c r="JJ15">
        <f>IF('calcA'!W$106=1,DV15,1)</f>
        <v/>
      </c>
      <c r="JK15">
        <f>IF('calcA'!X$106=1,DW15,1)</f>
        <v/>
      </c>
      <c r="JL15">
        <f>IF('calcA'!Y$106=1,DX15,1)</f>
        <v/>
      </c>
      <c r="JM15">
        <f>IF('calcA'!Z$106=1,DY15,1)</f>
        <v/>
      </c>
      <c r="JN15">
        <f>IF('calcA'!AA$106=1,DZ15,1)</f>
        <v/>
      </c>
      <c r="JO15">
        <f>IF('calcA'!AB$106=1,EA15,1)</f>
        <v/>
      </c>
      <c r="JP15">
        <f>IF('calcA'!AC$106=1,EB15,1)</f>
        <v/>
      </c>
      <c r="JQ15">
        <f>IF('calcA'!AD$106=1,EC15,1)</f>
        <v/>
      </c>
      <c r="JR15">
        <f>IF('calcA'!AE$106=1,ED15,1)</f>
        <v/>
      </c>
      <c r="JS15">
        <f>IF('calcA'!AF$106=1,EE15,1)</f>
        <v/>
      </c>
      <c r="JT15">
        <f>IF('calcA'!AG$106=1,EF15,1)</f>
        <v/>
      </c>
      <c r="JU15">
        <f>IF('calcA'!AH$106=1,EG15,1)</f>
        <v/>
      </c>
      <c r="JV15">
        <f>IF('calcA'!AI$106=1,EH15,1)</f>
        <v/>
      </c>
      <c r="JW15">
        <f>IF('calcA'!AJ$106=1,EI15,1)</f>
        <v/>
      </c>
      <c r="JX15">
        <f>IF('calcA'!AK$106=1,EJ15,1)</f>
        <v/>
      </c>
      <c r="JY15">
        <f>IF('calcA'!AL$106=1,EK15,1)</f>
        <v/>
      </c>
      <c r="JZ15">
        <f>IF('calcA'!AM$106=1,EL15,1)</f>
        <v/>
      </c>
      <c r="KA15">
        <f>IF('calcA'!AN$106=1,EM15,1)</f>
        <v/>
      </c>
      <c r="KB15">
        <f>IF('calcA'!AO$106=1,EN15,1)</f>
        <v/>
      </c>
      <c r="KC15">
        <f>IF('calcA'!AP$106=1,EO15,1)</f>
        <v/>
      </c>
      <c r="KD15">
        <f>IF('calcA'!AQ$106=1,EP15,1)</f>
        <v/>
      </c>
      <c r="KE15">
        <f>IF('calcA'!AR$106=1,EQ15,1)</f>
        <v/>
      </c>
      <c r="KF15">
        <f>IF('calcA'!AS$106=1,ER15,1)</f>
        <v/>
      </c>
      <c r="KG15">
        <f>IF('calcA'!AT$106=1,ES15,1)</f>
        <v/>
      </c>
      <c r="KH15">
        <f>IF('calcA'!AU$106=1,ET15,1)</f>
        <v/>
      </c>
      <c r="KI15">
        <f>IF('calcA'!AV$106=1,EU15,1)</f>
        <v/>
      </c>
      <c r="KJ15">
        <f>IF('calcA'!AW$106=1,EV15,1)</f>
        <v/>
      </c>
      <c r="KK15">
        <f>IF('calcA'!AX$106=1,EW15,1)</f>
        <v/>
      </c>
      <c r="KL15">
        <f>IF('calcA'!AY$106=1,EX15,1)</f>
        <v/>
      </c>
      <c r="KM15">
        <f>IF('calcA'!AZ$106=1,EY15,1)</f>
        <v/>
      </c>
      <c r="KN15">
        <f>IF('calcA'!BA$106=1,EZ15,1)</f>
        <v/>
      </c>
      <c r="KO15">
        <f>IF('calcA'!BB$106=1,FA15,1)</f>
        <v/>
      </c>
      <c r="KP15">
        <f>IF('calcA'!BC$106=1,FB15,1)</f>
        <v/>
      </c>
      <c r="KQ15">
        <f>IF('calcA'!BD$106=1,FC15,1)</f>
        <v/>
      </c>
      <c r="KR15">
        <f>IF('calcA'!BE$106=1,FD15,1)</f>
        <v/>
      </c>
      <c r="KS15">
        <f>IF('calcA'!BF$106=1,FE15,1)</f>
        <v/>
      </c>
      <c r="KT15">
        <f>IF('calcA'!BG$106=1,FF15,1)</f>
        <v/>
      </c>
      <c r="KU15">
        <f>IF('calcA'!BH$106=1,FG15,1)</f>
        <v/>
      </c>
      <c r="KV15">
        <f>IF('calcA'!BI$106=1,FH15,1)</f>
        <v/>
      </c>
      <c r="KW15">
        <f>IF('calcA'!BJ$106=1,FI15,1)</f>
        <v/>
      </c>
      <c r="KX15">
        <f>IF('calcA'!BK$106=1,FJ15,1)</f>
        <v/>
      </c>
      <c r="KY15">
        <f>IF('calcA'!BL$106=1,FK15,1)</f>
        <v/>
      </c>
      <c r="KZ15">
        <f>IF('calcA'!BM$106=1,FL15,1)</f>
        <v/>
      </c>
      <c r="LA15">
        <f>IF('calcA'!BN$106=1,FM15,1)</f>
        <v/>
      </c>
      <c r="LB15">
        <f>IF('calcA'!BO$106=1,FN15,1)</f>
        <v/>
      </c>
      <c r="LC15">
        <f>IF('calcA'!BP$106=1,FO15,1)</f>
        <v/>
      </c>
      <c r="LD15">
        <f>IF('calcA'!BQ$106=1,FP15,1)</f>
        <v/>
      </c>
      <c r="LE15">
        <f>IF('calcA'!BR$106=1,FQ15,1)</f>
        <v/>
      </c>
      <c r="LF15">
        <f>IF('calcA'!BS$106=1,FR15,1)</f>
        <v/>
      </c>
      <c r="LG15">
        <f>IF('calcA'!BT$106=1,FS15,1)</f>
        <v/>
      </c>
      <c r="LH15">
        <f>IF('calcA'!BU$106=1,FT15,1)</f>
        <v/>
      </c>
      <c r="LI15">
        <f>IF('calcA'!BV$106=1,FU15,1)</f>
        <v/>
      </c>
      <c r="LJ15">
        <f>IF('calcA'!BW$106=1,FV15,1)</f>
        <v/>
      </c>
      <c r="LK15">
        <f>IF('calcA'!BX$106=1,FW15,1)</f>
        <v/>
      </c>
      <c r="LL15">
        <f>IF('calcA'!BY$106=1,FX15,1)</f>
        <v/>
      </c>
      <c r="LM15">
        <f>IF('calcA'!BZ$106=1,FY15,1)</f>
        <v/>
      </c>
      <c r="LN15">
        <f>IF('calcA'!CA$106=1,FZ15,1)</f>
        <v/>
      </c>
      <c r="LO15">
        <f>IF('calcA'!CB$106=1,GA15,1)</f>
        <v/>
      </c>
      <c r="LP15">
        <f>IF('calcA'!CC$106=1,GB15,1)</f>
        <v/>
      </c>
      <c r="LQ15">
        <f>IF('calcA'!CD$106=1,GC15,1)</f>
        <v/>
      </c>
      <c r="LR15">
        <f>IF('calcA'!CE$106=1,GD15,1)</f>
        <v/>
      </c>
      <c r="LS15">
        <f>IF('calcA'!CF$106=1,GE15,1)</f>
        <v/>
      </c>
      <c r="LT15">
        <f>IF('calcA'!CG$106=1,GF15,1)</f>
        <v/>
      </c>
      <c r="LU15">
        <f>IF('calcA'!CH$106=1,GG15,1)</f>
        <v/>
      </c>
      <c r="LV15">
        <f>IF('calcA'!CI$106=1,GH15,1)</f>
        <v/>
      </c>
      <c r="LW15">
        <f>IF('calcA'!CJ$106=1,GI15,1)</f>
        <v/>
      </c>
      <c r="LX15">
        <f>IF('calcA'!CK$106=1,GJ15,1)</f>
        <v/>
      </c>
      <c r="LY15">
        <f>IF('calcA'!CL$106=1,GK15,1)</f>
        <v/>
      </c>
      <c r="LZ15">
        <f>IF('calcA'!CM$106=1,GL15,1)</f>
        <v/>
      </c>
      <c r="MA15">
        <f>IF('calcA'!CN$106=1,GM15,1)</f>
        <v/>
      </c>
      <c r="MB15">
        <f>IF('calcA'!CO$106=1,GN15,1)</f>
        <v/>
      </c>
      <c r="MC15">
        <f>IF('calcA'!CP$106=1,GO15,1)</f>
        <v/>
      </c>
      <c r="MD15">
        <f>IF('calcA'!CQ$106=1,GP15,1)</f>
        <v/>
      </c>
      <c r="ME15">
        <f>IF('calcA'!CR$106=1,GQ15,1)</f>
        <v/>
      </c>
      <c r="MF15">
        <f>IF('calcA'!CS$106=1,GR15,1)</f>
        <v/>
      </c>
      <c r="MG15">
        <f>IF('calcA'!CT$106=1,GS15,1)</f>
        <v/>
      </c>
      <c r="MH15">
        <f>IF('calcA'!CU$106=1,GT15,1)</f>
        <v/>
      </c>
      <c r="MI15">
        <f>IF('calcA'!CV$106=1,GU15,1)</f>
        <v/>
      </c>
      <c r="MJ15">
        <f>IF('calcA'!CW$106=1,GV15,1)</f>
        <v/>
      </c>
      <c r="MK15">
        <f>IF('calcA'!CX$106=1,GW15,1)</f>
        <v/>
      </c>
      <c r="ML15">
        <f>IF('calcA'!CY$106=1,GX15,1)</f>
        <v/>
      </c>
      <c r="MM15">
        <f>IF('calcA'!CZ$106=1,GY15,1)</f>
        <v/>
      </c>
      <c r="MN15">
        <f>IF('calcA'!DA$106=1,GZ15,1)</f>
        <v/>
      </c>
      <c r="MO15">
        <f>IF('calcA'!DB$106=1,HA15,1)</f>
        <v/>
      </c>
      <c r="MP15">
        <f>IF('calcA'!DC$106=1,HB15,1)</f>
        <v/>
      </c>
      <c r="MQ15">
        <f>IF('calcA'!DD$106=1,HC15,1)</f>
        <v/>
      </c>
      <c r="MR15">
        <f>IF('calcA'!DE$106=1,HD15,1)</f>
        <v/>
      </c>
      <c r="MS15">
        <f>IF('calcA'!DF$106=1,HE15,1)</f>
        <v/>
      </c>
      <c r="MT15">
        <f>IF('calcA'!DG$106=1,HF15,1)</f>
        <v/>
      </c>
      <c r="MU15">
        <f>IF('calcA'!DH$106=1,HG15,1)</f>
        <v/>
      </c>
      <c r="MV15">
        <f>IF('calcA'!DI$106=1,HH15,1)</f>
        <v/>
      </c>
      <c r="MW15">
        <f>IF('calcA'!DJ$106=1,HI15,1)</f>
        <v/>
      </c>
      <c r="MX15">
        <f>IF('calcA'!DK$106=1,HJ15,1)</f>
        <v/>
      </c>
      <c r="MY15">
        <f>IF('calcA'!DL$106=1,HK15,1)</f>
        <v/>
      </c>
      <c r="MZ15">
        <f>IF('calcA'!DM$106=1,HL15,1)</f>
        <v/>
      </c>
      <c r="NA15">
        <f>IF('calcA'!DN$106=1,HM15,1)</f>
        <v/>
      </c>
      <c r="NB15">
        <f>IF('calcA'!DO$106=1,HN15,1)</f>
        <v/>
      </c>
      <c r="NC15">
        <f>IF('calcA'!DP$106=1,HO15,1)</f>
        <v/>
      </c>
      <c r="ND15">
        <f>IF('calcA'!DQ$106=1,HP15,1)</f>
        <v/>
      </c>
      <c r="NE15">
        <f>IF('calcA'!DR$106=1,HQ15,1)</f>
        <v/>
      </c>
      <c r="NF15">
        <f>IF('calcA'!DS$106=1,HR15,1)</f>
        <v/>
      </c>
      <c r="NG15">
        <f>IF('calcA'!DT$106=1,HS15,1)</f>
        <v/>
      </c>
      <c r="NH15">
        <f>IF('calcA'!DU$106=1,HT15,1)</f>
        <v/>
      </c>
      <c r="NI15">
        <f>IF('calcA'!DV$106=1,HU15,1)</f>
        <v/>
      </c>
      <c r="NJ15">
        <f>IF('calcA'!DW$106=1,HV15,1)</f>
        <v/>
      </c>
      <c r="NK15">
        <f>IF('calcA'!DX$106=1,HW15,1)</f>
        <v/>
      </c>
      <c r="NL15">
        <f>IF('calcA'!DY$106=1,HX15,1)</f>
        <v/>
      </c>
      <c r="NM15">
        <f>IF('calcA'!DZ$106=1,HY15,1)</f>
        <v/>
      </c>
      <c r="NN15">
        <f>IF('calcA'!EA$106=1,HZ15,1)</f>
        <v/>
      </c>
      <c r="NO15">
        <f>IF('calcA'!EB$106=1,IA15,1)</f>
        <v/>
      </c>
      <c r="NP15">
        <f>IF('calcA'!EC$106=1,IB15,1)</f>
        <v/>
      </c>
      <c r="NQ15">
        <f>IF('calcA'!ED$106=1,IC15,1)</f>
        <v/>
      </c>
      <c r="NR15">
        <f>IF('calcA'!EE$106=1,ID15,1)</f>
        <v/>
      </c>
      <c r="NS15">
        <f>IF('calcA'!EF$106=1,IE15,1)</f>
        <v/>
      </c>
      <c r="NT15">
        <f>IF('calcA'!EG$106=1,IF15,1)</f>
        <v/>
      </c>
      <c r="NU15">
        <f>IF('calcA'!EH$106=1,IG15,1)</f>
        <v/>
      </c>
      <c r="NV15">
        <f>IF('calcA'!EI$106=1,IH15,1)</f>
        <v/>
      </c>
      <c r="NW15">
        <f>IF('calcA'!EJ$106=1,II15,1)</f>
        <v/>
      </c>
      <c r="NX15">
        <f>IF('calcA'!EK$106=1,IJ15,1)</f>
        <v/>
      </c>
      <c r="NY15">
        <f>IF('calcA'!EL$106=1,IK15,1)</f>
        <v/>
      </c>
      <c r="NZ15">
        <f>IF('calcA'!EM$106=1,IL15,1)</f>
        <v/>
      </c>
      <c r="OA15">
        <f>IF('calcA'!EN$106=1,IM15,1)</f>
        <v/>
      </c>
      <c r="OB15">
        <f>IF('calcA'!EO$106=1,IN15,1)</f>
        <v/>
      </c>
      <c r="OC15">
        <f>IF('calcA'!EP$106=1,IO15,1)</f>
        <v/>
      </c>
      <c r="OD15" t="n">
        <v>1</v>
      </c>
      <c r="OF15">
        <f>IF($B15=0,1000000000,IF(INDEX('calcA'!$D$60:$EQ$99,$B15,1)*IF($W15=1,DB15+ZQ15,DB15)=1,IF(AND($E15=2,IF($W15=1,AFF15,IQ15)=0),1000000000,IF($V15=1,INDEX('calcA'!$D$130:$EQ$169,$B15,1)+IF(AND($E15=1,IQ15=0),25,0),IF($F15&gt;0,INDEX('calcA'!D$110:D$114,$F15+1)+IF(AND($E15=1,IQ15=0),1000,0),MIN(TU15,20)*400+(IF('calcA'!D$106=1,1-DC15,0))*150+11+'calcA'!D$5*100000+IF(AND($E15=1,IQ15=0),50000,0))+IF($H15=1,INDEX('calcA'!$D$180:$EQ$219,$B15,1)*4000,0)-IF(AND($U15=1,'calcA'!D$117=1,DC15=0),2000,0))),1000000000))</f>
        <v/>
      </c>
      <c r="OG15">
        <f>IF($B15=0,1000000000,IF(INDEX('calcA'!$D$60:$EQ$99,$B15,2)*IF($W15=1,DC15+ZR15,DC15)=1,IF(AND($E15=2,IF($W15=1,AFG15,IR15)=0),1000000000,IF($V15=1,INDEX('calcA'!$D$130:$EQ$169,$B15,2)+IF(AND($E15=1,IR15=0),25,0),IF($F15&gt;0,INDEX('calcA'!E$110:E$114,$F15+1)+IF(AND($E15=1,IR15=0),1000,0),MIN(TU15,20)*400+(IF('calcA'!D$106=1,1-DB15,0)+IF('calcA'!E$106=1,1-DD15,0))*150+21+'calcA'!E$5*100000+IF(AND($E15=1,IR15=0),50000,0))+IF($H15=1,INDEX('calcA'!$D$180:$EQ$219,$B15,2)*4000,0)-IF(AND('calcA'!D$117=1,UB15&gt;0),2000,0)-IF(AND($U15=1,'calcA'!E$117=1,DD15=0),2000,0))),1000000000))</f>
        <v/>
      </c>
      <c r="OH15">
        <f>IF($B15=0,1000000000,IF(INDEX('calcA'!$D$60:$EQ$99,$B15,3)*IF($W15=1,DD15+ZS15,DD15)=1,IF(AND($E15=2,IF($W15=1,AFH15,IS15)=0),1000000000,IF($V15=1,INDEX('calcA'!$D$130:$EQ$169,$B15,3)+IF(AND($E15=1,IS15=0),25,0),IF($F15&gt;0,INDEX('calcA'!F$110:F$114,$F15+1)+IF(AND($E15=1,IS15=0),1000,0),MIN(TU15,20)*400+(IF('calcA'!E$106=1,1-DC15,0)+IF('calcA'!F$106=1,1-DE15,0))*150+31+'calcA'!F$5*100000+IF(AND($E15=1,IS15=0),50000,0))+IF($H15=1,INDEX('calcA'!$D$180:$EQ$219,$B15,3)*4000,0)-IF(AND('calcA'!E$117=1,UC15&gt;0),2000,0)-IF(AND($U15=1,'calcA'!F$117=1,DE15=0),2000,0))),1000000000))</f>
        <v/>
      </c>
      <c r="OI15">
        <f>IF($B15=0,1000000000,IF(INDEX('calcA'!$D$60:$EQ$99,$B15,4)*IF($W15=1,DE15+ZT15,DE15)=1,IF(AND($E15=2,IF($W15=1,AFI15,IT15)=0),1000000000,IF($V15=1,INDEX('calcA'!$D$130:$EQ$169,$B15,4)+IF(AND($E15=1,IT15=0),25,0),IF($F15&gt;0,INDEX('calcA'!G$110:G$114,$F15+1)+IF(AND($E15=1,IT15=0),1000,0),MIN(TU15,20)*400+(IF('calcA'!F$106=1,1-DD15,0)+IF('calcA'!G$106=1,1-DF15,0))*150+41+'calcA'!G$5*100000+IF(AND($E15=1,IT15=0),50000,0))+IF($H15=1,INDEX('calcA'!$D$180:$EQ$219,$B15,4)*4000,0)-IF(AND('calcA'!F$117=1,UD15&gt;0),2000,0)-IF(AND($U15=1,'calcA'!G$117=1,DF15=0),2000,0))),1000000000))</f>
        <v/>
      </c>
      <c r="OJ15">
        <f>IF($B15=0,1000000000,IF(INDEX('calcA'!$D$60:$EQ$99,$B15,5)*IF($W15=1,DF15+ZU15,DF15)=1,IF(AND($E15=2,IF($W15=1,AFJ15,IU15)=0),1000000000,IF($V15=1,INDEX('calcA'!$D$130:$EQ$169,$B15,5)+IF(AND($E15=1,IU15=0),25,0),IF($F15&gt;0,INDEX('calcA'!H$110:H$114,$F15+1)+IF(AND($E15=1,IU15=0),1000,0),MIN(TU15,20)*400+(IF('calcA'!G$106=1,1-DE15,0)+IF('calcA'!H$106=1,1-DG15,0))*150+51+'calcA'!H$5*100000+IF(AND($E15=1,IU15=0),50000,0))+IF($H15=1,INDEX('calcA'!$D$180:$EQ$219,$B15,5)*4000,0)-IF(AND('calcA'!G$117=1,UE15&gt;0),2000,0)-IF(AND($U15=1,'calcA'!H$117=1,DG15=0),2000,0))),1000000000))</f>
        <v/>
      </c>
      <c r="OK15">
        <f>IF($B15=0,1000000000,IF(INDEX('calcA'!$D$60:$EQ$99,$B15,6)*IF($W15=1,DG15+ZV15,DG15)=1,IF(AND($E15=2,IF($W15=1,AFK15,IV15)=0),1000000000,IF($V15=1,INDEX('calcA'!$D$130:$EQ$169,$B15,6)+IF(AND($E15=1,IV15=0),25,0),IF($F15&gt;0,INDEX('calcA'!I$110:I$114,$F15+1)+IF(AND($E15=1,IV15=0),1000,0),MIN(TU15,20)*400+(IF('calcA'!H$106=1,1-DF15,0)+IF('calcA'!I$106=1,1-DH15,0))*150+61+'calcA'!I$5*100000+IF(AND($E15=1,IV15=0),50000,0))+IF($H15=1,INDEX('calcA'!$D$180:$EQ$219,$B15,6)*4000,0)-IF(AND('calcA'!H$117=1,UF15&gt;0),2000,0)-IF(AND($U15=1,'calcA'!I$117=1,DH15=0),2000,0))),1000000000))</f>
        <v/>
      </c>
      <c r="OL15">
        <f>IF($B15=0,1000000000,IF(INDEX('calcA'!$D$60:$EQ$99,$B15,7)*IF($W15=1,DH15+ZW15,DH15)=1,IF(AND($E15=2,IF($W15=1,AFL15,IW15)=0),1000000000,IF($V15=1,INDEX('calcA'!$D$130:$EQ$169,$B15,7)+IF(AND($E15=1,IW15=0),25,0),IF($F15&gt;0,INDEX('calcA'!J$110:J$114,$F15+1)+IF(AND($E15=1,IW15=0),1000,0),MIN(TU15,20)*400+(IF('calcA'!I$106=1,1-DG15,0)+IF('calcA'!J$106=1,1-DI15,0))*150+71+'calcA'!J$5*100000+IF(AND($E15=1,IW15=0),50000,0))+IF($H15=1,INDEX('calcA'!$D$180:$EQ$219,$B15,7)*4000,0)-IF(AND('calcA'!I$117=1,UG15&gt;0),2000,0)-IF(AND($U15=1,'calcA'!J$117=1,DI15=0),2000,0))),1000000000))</f>
        <v/>
      </c>
      <c r="OM15">
        <f>IF($B15=0,1000000000,IF(INDEX('calcA'!$D$60:$EQ$99,$B15,8)*IF($W15=1,DI15+ZX15,DI15)=1,IF(AND($E15=2,IF($W15=1,AFM15,IX15)=0),1000000000,IF($V15=1,INDEX('calcA'!$D$130:$EQ$169,$B15,8)+IF(AND($E15=1,IX15=0),25,0),IF($F15&gt;0,INDEX('calcA'!K$110:K$114,$F15+1)+IF(AND($E15=1,IX15=0),1000,0),MIN(TU15,20)*400+(IF('calcA'!J$106=1,1-DH15,0)+IF('calcA'!K$106=1,1-DJ15,0))*150+81+'calcA'!K$5*100000+IF(AND($E15=1,IX15=0),50000,0))+IF($H15=1,INDEX('calcA'!$D$180:$EQ$219,$B15,8)*4000,0)-IF(AND('calcA'!J$117=1,UH15&gt;0),2000,0)-IF(AND($U15=1,'calcA'!K$117=1,DJ15=0),2000,0))),1000000000))</f>
        <v/>
      </c>
      <c r="ON15">
        <f>IF($B15=0,1000000000,IF(INDEX('calcA'!$D$60:$EQ$99,$B15,9)*IF($W15=1,DJ15+ZY15,DJ15)=1,IF(AND($E15=2,IF($W15=1,AFN15,IY15)=0),1000000000,IF($V15=1,INDEX('calcA'!$D$130:$EQ$169,$B15,9)+IF(AND($E15=1,IY15=0),25,0),IF($F15&gt;0,INDEX('calcA'!L$110:L$114,$F15+1)+IF(AND($E15=1,IY15=0),1000,0),MIN(TU15,20)*400+(IF('calcA'!K$106=1,1-DI15,0)+IF('calcA'!L$106=1,1-DK15,0))*150+91+'calcA'!L$5*100000+IF(AND($E15=1,IY15=0),50000,0))+IF($H15=1,INDEX('calcA'!$D$180:$EQ$219,$B15,9)*4000,0)-IF(AND('calcA'!K$117=1,UI15&gt;0),2000,0)-IF(AND($U15=1,'calcA'!L$117=1,DK15=0),2000,0))),1000000000))</f>
        <v/>
      </c>
      <c r="OO15">
        <f>IF($B15=0,1000000000,IF(INDEX('calcA'!$D$60:$EQ$99,$B15,10)*IF($W15=1,DK15+ZZ15,DK15)=1,IF(AND($E15=2,IF($W15=1,AFO15,IZ15)=0),1000000000,IF($V15=1,INDEX('calcA'!$D$130:$EQ$169,$B15,10)+IF(AND($E15=1,IZ15=0),25,0),IF($F15&gt;0,INDEX('calcA'!M$110:M$114,$F15+1)+IF(AND($E15=1,IZ15=0),1000,0),MIN(TU15,20)*400+(IF('calcA'!L$106=1,1-DJ15,0)+IF('calcA'!M$106=1,1-DL15,0))*150+101+'calcA'!M$5*100000+IF(AND($E15=1,IZ15=0),50000,0))+IF($H15=1,INDEX('calcA'!$D$180:$EQ$219,$B15,10)*4000,0)-IF(AND('calcA'!L$117=1,UJ15&gt;0),2000,0)-IF(AND($U15=1,'calcA'!M$117=1,DL15=0),2000,0))),1000000000))</f>
        <v/>
      </c>
      <c r="OP15">
        <f>IF($B15=0,1000000000,IF(INDEX('calcA'!$D$60:$EQ$99,$B15,11)*IF($W15=1,DL15+AAA15,DL15)=1,IF(AND($E15=2,IF($W15=1,AFP15,JA15)=0),1000000000,IF($V15=1,INDEX('calcA'!$D$130:$EQ$169,$B15,11)+IF(AND($E15=1,JA15=0),25,0),IF($F15&gt;0,INDEX('calcA'!N$110:N$114,$F15+1)+IF(AND($E15=1,JA15=0),1000,0),MIN(TU15,20)*400+(IF('calcA'!M$106=1,1-DK15,0)+IF('calcA'!N$106=1,1-DM15,0))*150+111+'calcA'!N$5*100000+IF(AND($E15=1,JA15=0),50000,0))+IF($H15=1,INDEX('calcA'!$D$180:$EQ$219,$B15,11)*4000,0)-IF(AND('calcA'!M$117=1,UK15&gt;0),2000,0)-IF(AND($U15=1,'calcA'!N$117=1,DM15=0),2000,0))),1000000000))</f>
        <v/>
      </c>
      <c r="OQ15">
        <f>IF($B15=0,1000000000,IF(INDEX('calcA'!$D$60:$EQ$99,$B15,12)*IF($W15=1,DM15+AAB15,DM15)=1,IF(AND($E15=2,IF($W15=1,AFQ15,JB15)=0),1000000000,IF($V15=1,INDEX('calcA'!$D$130:$EQ$169,$B15,12)+IF(AND($E15=1,JB15=0),25,0),IF($F15&gt;0,INDEX('calcA'!O$110:O$114,$F15+1)+IF(AND($E15=1,JB15=0),1000,0),MIN(TU15,20)*400+(IF('calcA'!N$106=1,1-DL15,0)+IF('calcA'!O$106=1,1-DN15,0))*150+121+'calcA'!O$5*100000+IF(AND($E15=1,JB15=0),50000,0))+IF($H15=1,INDEX('calcA'!$D$180:$EQ$219,$B15,12)*4000,0)-IF(AND('calcA'!N$117=1,UL15&gt;0),2000,0)-IF(AND($U15=1,'calcA'!O$117=1,DN15=0),2000,0))),1000000000))</f>
        <v/>
      </c>
      <c r="OR15">
        <f>IF($B15=0,1000000000,IF(INDEX('calcA'!$D$60:$EQ$99,$B15,13)*IF($W15=1,DN15+AAC15,DN15)=1,IF(AND($E15=2,IF($W15=1,AFR15,JC15)=0),1000000000,IF($V15=1,INDEX('calcA'!$D$130:$EQ$169,$B15,13)+IF(AND($E15=1,JC15=0),25,0),IF($F15&gt;0,INDEX('calcA'!P$110:P$114,$F15+1)+IF(AND($E15=1,JC15=0),1000,0),MIN(TU15,20)*400+(IF('calcA'!O$106=1,1-DM15,0)+IF('calcA'!P$106=1,1-DO15,0))*150+131+'calcA'!P$5*100000+IF(AND($E15=1,JC15=0),50000,0))+IF($H15=1,INDEX('calcA'!$D$180:$EQ$219,$B15,13)*4000,0)-IF(AND('calcA'!O$117=1,UM15&gt;0),2000,0)-IF(AND($U15=1,'calcA'!P$117=1,DO15=0),2000,0))),1000000000))</f>
        <v/>
      </c>
      <c r="OS15">
        <f>IF($B15=0,1000000000,IF(INDEX('calcA'!$D$60:$EQ$99,$B15,14)*IF($W15=1,DO15+AAD15,DO15)=1,IF(AND($E15=2,IF($W15=1,AFS15,JD15)=0),1000000000,IF($V15=1,INDEX('calcA'!$D$130:$EQ$169,$B15,14)+IF(AND($E15=1,JD15=0),25,0),IF($F15&gt;0,INDEX('calcA'!Q$110:Q$114,$F15+1)+IF(AND($E15=1,JD15=0),1000,0),MIN(TU15,20)*400+(IF('calcA'!P$106=1,1-DN15,0)+IF('calcA'!Q$106=1,1-DP15,0))*150+141+'calcA'!Q$5*100000+IF(AND($E15=1,JD15=0),50000,0))+IF($H15=1,INDEX('calcA'!$D$180:$EQ$219,$B15,14)*4000,0)-IF(AND('calcA'!P$117=1,UN15&gt;0),2000,0)-IF(AND($U15=1,'calcA'!Q$117=1,DP15=0),2000,0))),1000000000))</f>
        <v/>
      </c>
      <c r="OT15">
        <f>IF($B15=0,1000000000,IF(INDEX('calcA'!$D$60:$EQ$99,$B15,15)*IF($W15=1,DP15+AAE15,DP15)=1,IF(AND($E15=2,IF($W15=1,AFT15,JE15)=0),1000000000,IF($V15=1,INDEX('calcA'!$D$130:$EQ$169,$B15,15)+IF(AND($E15=1,JE15=0),25,0),IF($F15&gt;0,INDEX('calcA'!R$110:R$114,$F15+1)+IF(AND($E15=1,JE15=0),1000,0),MIN(TU15,20)*400+(IF('calcA'!Q$106=1,1-DO15,0)+IF('calcA'!R$106=1,1-DQ15,0))*150+151+'calcA'!R$5*100000+IF(AND($E15=1,JE15=0),50000,0))+IF($H15=1,INDEX('calcA'!$D$180:$EQ$219,$B15,15)*4000,0)-IF(AND('calcA'!Q$117=1,UO15&gt;0),2000,0)-IF(AND($U15=1,'calcA'!R$117=1,DQ15=0),2000,0))),1000000000))</f>
        <v/>
      </c>
      <c r="OU15">
        <f>IF($B15=0,1000000000,IF(INDEX('calcA'!$D$60:$EQ$99,$B15,16)*IF($W15=1,DQ15+AAF15,DQ15)=1,IF(AND($E15=2,IF($W15=1,AFU15,JF15)=0),1000000000,IF($V15=1,INDEX('calcA'!$D$130:$EQ$169,$B15,16)+IF(AND($E15=1,JF15=0),25,0),IF($F15&gt;0,INDEX('calcA'!S$110:S$114,$F15+1)+IF(AND($E15=1,JF15=0),1000,0),MIN(TU15,20)*400+(IF('calcA'!R$106=1,1-DP15,0)+IF('calcA'!S$106=1,1-DR15,0))*150+161+'calcA'!S$5*100000+IF(AND($E15=1,JF15=0),50000,0))+IF($H15=1,INDEX('calcA'!$D$180:$EQ$219,$B15,16)*4000,0)-IF(AND('calcA'!R$117=1,UP15&gt;0),2000,0)-IF(AND($U15=1,'calcA'!S$117=1,DR15=0),2000,0))),1000000000))</f>
        <v/>
      </c>
      <c r="OV15">
        <f>IF($B15=0,1000000000,IF(INDEX('calcA'!$D$60:$EQ$99,$B15,17)*IF($W15=1,DR15+AAG15,DR15)=1,IF(AND($E15=2,IF($W15=1,AFV15,JG15)=0),1000000000,IF($V15=1,INDEX('calcA'!$D$130:$EQ$169,$B15,17)+IF(AND($E15=1,JG15=0),25,0),IF($F15&gt;0,INDEX('calcA'!T$110:T$114,$F15+1)+IF(AND($E15=1,JG15=0),1000,0),MIN(TU15,20)*400+(IF('calcA'!S$106=1,1-DQ15,0)+IF('calcA'!T$106=1,1-DS15,0))*150+171+'calcA'!T$5*100000+IF(AND($E15=1,JG15=0),50000,0))+IF($H15=1,INDEX('calcA'!$D$180:$EQ$219,$B15,17)*4000,0)-IF(AND('calcA'!S$117=1,UQ15&gt;0),2000,0)-IF(AND($U15=1,'calcA'!T$117=1,DS15=0),2000,0))),1000000000))</f>
        <v/>
      </c>
      <c r="OW15">
        <f>IF($B15=0,1000000000,IF(INDEX('calcA'!$D$60:$EQ$99,$B15,18)*IF($W15=1,DS15+AAH15,DS15)=1,IF(AND($E15=2,IF($W15=1,AFW15,JH15)=0),1000000000,IF($V15=1,INDEX('calcA'!$D$130:$EQ$169,$B15,18)+IF(AND($E15=1,JH15=0),25,0),IF($F15&gt;0,INDEX('calcA'!U$110:U$114,$F15+1)+IF(AND($E15=1,JH15=0),1000,0),MIN(TU15,20)*400+(IF('calcA'!T$106=1,1-DR15,0)+IF('calcA'!U$106=1,1-DT15,0))*150+181+'calcA'!U$5*100000+IF(AND($E15=1,JH15=0),50000,0))+IF($H15=1,INDEX('calcA'!$D$180:$EQ$219,$B15,18)*4000,0)-IF(AND('calcA'!T$117=1,UR15&gt;0),2000,0)-IF(AND($U15=1,'calcA'!U$117=1,DT15=0),2000,0))),1000000000))</f>
        <v/>
      </c>
      <c r="OX15">
        <f>IF($B15=0,1000000000,IF(INDEX('calcA'!$D$60:$EQ$99,$B15,19)*IF($W15=1,DT15+AAI15,DT15)=1,IF(AND($E15=2,IF($W15=1,AFX15,JI15)=0),1000000000,IF($V15=1,INDEX('calcA'!$D$130:$EQ$169,$B15,19)+IF(AND($E15=1,JI15=0),25,0),IF($F15&gt;0,INDEX('calcA'!V$110:V$114,$F15+1)+IF(AND($E15=1,JI15=0),1000,0),MIN(TU15,20)*400+(IF('calcA'!U$106=1,1-DS15,0)+IF('calcA'!V$106=1,1-DU15,0))*150+191+'calcA'!V$5*100000+IF(AND($E15=1,JI15=0),50000,0))+IF($H15=1,INDEX('calcA'!$D$180:$EQ$219,$B15,19)*4000,0)-IF(AND('calcA'!U$117=1,US15&gt;0),2000,0)-IF(AND($U15=1,'calcA'!V$117=1,DU15=0),2000,0))),1000000000))</f>
        <v/>
      </c>
      <c r="OY15">
        <f>IF($B15=0,1000000000,IF(INDEX('calcA'!$D$60:$EQ$99,$B15,20)*IF($W15=1,DU15+AAJ15,DU15)=1,IF(AND($E15=2,IF($W15=1,AFY15,JJ15)=0),1000000000,IF($V15=1,INDEX('calcA'!$D$130:$EQ$169,$B15,20)+IF(AND($E15=1,JJ15=0),25,0),IF($F15&gt;0,INDEX('calcA'!W$110:W$114,$F15+1)+IF(AND($E15=1,JJ15=0),1000,0),MIN(TU15,20)*400+(IF('calcA'!V$106=1,1-DT15,0)+IF('calcA'!W$106=1,1-DV15,0))*150+201+'calcA'!W$5*100000+IF(AND($E15=1,JJ15=0),50000,0))+IF($H15=1,INDEX('calcA'!$D$180:$EQ$219,$B15,20)*4000,0)-IF(AND('calcA'!V$117=1,UT15&gt;0),2000,0)-IF(AND($U15=1,'calcA'!W$117=1,DV15=0),2000,0))),1000000000))</f>
        <v/>
      </c>
      <c r="OZ15">
        <f>IF($B15=0,1000000000,IF(INDEX('calcA'!$D$60:$EQ$99,$B15,21)*IF($W15=1,DV15+AAK15,DV15)=1,IF(AND($E15=2,IF($W15=1,AFZ15,JK15)=0),1000000000,IF($V15=1,INDEX('calcA'!$D$130:$EQ$169,$B15,21)+IF(AND($E15=1,JK15=0),25,0),IF($F15&gt;0,INDEX('calcA'!X$110:X$114,$F15+1)+IF(AND($E15=1,JK15=0),1000,0),MIN(TU15,20)*400+(IF('calcA'!W$106=1,1-DU15,0)+IF('calcA'!X$106=1,1-DW15,0))*150+211+'calcA'!X$5*100000+IF(AND($E15=1,JK15=0),50000,0))+IF($H15=1,INDEX('calcA'!$D$180:$EQ$219,$B15,21)*4000,0)-IF(AND('calcA'!W$117=1,UU15&gt;0),2000,0)-IF(AND($U15=1,'calcA'!X$117=1,DW15=0),2000,0))),1000000000))</f>
        <v/>
      </c>
      <c r="PA15">
        <f>IF($B15=0,1000000000,IF(INDEX('calcA'!$D$60:$EQ$99,$B15,22)*IF($W15=1,DW15+AAL15,DW15)=1,IF(AND($E15=2,IF($W15=1,AGA15,JL15)=0),1000000000,IF($V15=1,INDEX('calcA'!$D$130:$EQ$169,$B15,22)+IF(AND($E15=1,JL15=0),25,0),IF($F15&gt;0,INDEX('calcA'!Y$110:Y$114,$F15+1)+IF(AND($E15=1,JL15=0),1000,0),MIN(TU15,20)*400+(IF('calcA'!X$106=1,1-DV15,0)+IF('calcA'!Y$106=1,1-DX15,0))*150+221+'calcA'!Y$5*100000+IF(AND($E15=1,JL15=0),50000,0))+IF($H15=1,INDEX('calcA'!$D$180:$EQ$219,$B15,22)*4000,0)-IF(AND('calcA'!X$117=1,UV15&gt;0),2000,0)-IF(AND($U15=1,'calcA'!Y$117=1,DX15=0),2000,0))),1000000000))</f>
        <v/>
      </c>
      <c r="PB15">
        <f>IF($B15=0,1000000000,IF(INDEX('calcA'!$D$60:$EQ$99,$B15,23)*IF($W15=1,DX15+AAM15,DX15)=1,IF(AND($E15=2,IF($W15=1,AGB15,JM15)=0),1000000000,IF($V15=1,INDEX('calcA'!$D$130:$EQ$169,$B15,23)+IF(AND($E15=1,JM15=0),25,0),IF($F15&gt;0,INDEX('calcA'!Z$110:Z$114,$F15+1)+IF(AND($E15=1,JM15=0),1000,0),MIN(TU15,20)*400+(IF('calcA'!Y$106=1,1-DW15,0)+IF('calcA'!Z$106=1,1-DY15,0))*150+231+'calcA'!Z$5*100000+IF(AND($E15=1,JM15=0),50000,0))+IF($H15=1,INDEX('calcA'!$D$180:$EQ$219,$B15,23)*4000,0)-IF(AND('calcA'!Y$117=1,UW15&gt;0),2000,0)-IF(AND($U15=1,'calcA'!Z$117=1,DY15=0),2000,0))),1000000000))</f>
        <v/>
      </c>
      <c r="PC15">
        <f>IF($B15=0,1000000000,IF(INDEX('calcA'!$D$60:$EQ$99,$B15,24)*IF($W15=1,DY15+AAN15,DY15)=1,IF(AND($E15=2,IF($W15=1,AGC15,JN15)=0),1000000000,IF($V15=1,INDEX('calcA'!$D$130:$EQ$169,$B15,24)+IF(AND($E15=1,JN15=0),25,0),IF($F15&gt;0,INDEX('calcA'!AA$110:AA$114,$F15+1)+IF(AND($E15=1,JN15=0),1000,0),MIN(TU15,20)*400+(IF('calcA'!Z$106=1,1-DX15,0))*150+241+'calcA'!AA$5*100000+IF(AND($E15=1,JN15=0),50000,0))+IF($H15=1,INDEX('calcA'!$D$180:$EQ$219,$B15,24)*4000,0)-IF(AND('calcA'!Z$117=1,UX15&gt;0),2000,0))),1000000000))</f>
        <v/>
      </c>
      <c r="PD15">
        <f>IF($B15=0,1000000000,IF(INDEX('calcA'!$D$60:$EQ$99,$B15,25)*IF($W15=1,DZ15+AAO15,DZ15)=1,IF(AND($E15=2,IF($W15=1,AGD15,JO15)=0),1000000000,IF($V15=1,INDEX('calcA'!$D$130:$EQ$169,$B15,25)+IF(AND($E15=1,JO15=0),25,0),IF($F15&gt;0,INDEX('calcA'!AB$110:AB$114,$F15+1)+IF(AND($E15=1,JO15=0),1000,0),MIN(TV15,20)*400+(IF('calcA'!AB$106=1,1-EA15,0))*150+12+'calcA'!AB$5*100000+IF(AND($E15=1,JO15=0),50000,0))+IF($H15=1,INDEX('calcA'!$D$180:$EQ$219,$B15,25)*4000,0)-IF(AND($U15=1,'calcA'!AB$117=1,EA15=0),2000,0))),1000000000))</f>
        <v/>
      </c>
      <c r="PE15">
        <f>IF($B15=0,1000000000,IF(INDEX('calcA'!$D$60:$EQ$99,$B15,26)*IF($W15=1,EA15+AAP15,EA15)=1,IF(AND($E15=2,IF($W15=1,AGE15,JP15)=0),1000000000,IF($V15=1,INDEX('calcA'!$D$130:$EQ$169,$B15,26)+IF(AND($E15=1,JP15=0),25,0),IF($F15&gt;0,INDEX('calcA'!AC$110:AC$114,$F15+1)+IF(AND($E15=1,JP15=0),1000,0),MIN(TV15,20)*400+(IF('calcA'!AB$106=1,1-DZ15,0)+IF('calcA'!AC$106=1,1-EB15,0))*150+22+'calcA'!AC$5*100000+IF(AND($E15=1,JP15=0),50000,0))+IF($H15=1,INDEX('calcA'!$D$180:$EQ$219,$B15,26)*4000,0)-IF(AND('calcA'!AB$117=1,UZ15&gt;0),2000,0)-IF(AND($U15=1,'calcA'!AC$117=1,EB15=0),2000,0))),1000000000))</f>
        <v/>
      </c>
      <c r="PF15">
        <f>IF($B15=0,1000000000,IF(INDEX('calcA'!$D$60:$EQ$99,$B15,27)*IF($W15=1,EB15+AAQ15,EB15)=1,IF(AND($E15=2,IF($W15=1,AGF15,JQ15)=0),1000000000,IF($V15=1,INDEX('calcA'!$D$130:$EQ$169,$B15,27)+IF(AND($E15=1,JQ15=0),25,0),IF($F15&gt;0,INDEX('calcA'!AD$110:AD$114,$F15+1)+IF(AND($E15=1,JQ15=0),1000,0),MIN(TV15,20)*400+(IF('calcA'!AC$106=1,1-EA15,0)+IF('calcA'!AD$106=1,1-EC15,0))*150+32+'calcA'!AD$5*100000+IF(AND($E15=1,JQ15=0),50000,0))+IF($H15=1,INDEX('calcA'!$D$180:$EQ$219,$B15,27)*4000,0)-IF(AND('calcA'!AC$117=1,VA15&gt;0),2000,0)-IF(AND($U15=1,'calcA'!AD$117=1,EC15=0),2000,0))),1000000000))</f>
        <v/>
      </c>
      <c r="PG15">
        <f>IF($B15=0,1000000000,IF(INDEX('calcA'!$D$60:$EQ$99,$B15,28)*IF($W15=1,EC15+AAR15,EC15)=1,IF(AND($E15=2,IF($W15=1,AGG15,JR15)=0),1000000000,IF($V15=1,INDEX('calcA'!$D$130:$EQ$169,$B15,28)+IF(AND($E15=1,JR15=0),25,0),IF($F15&gt;0,INDEX('calcA'!AE$110:AE$114,$F15+1)+IF(AND($E15=1,JR15=0),1000,0),MIN(TV15,20)*400+(IF('calcA'!AD$106=1,1-EB15,0)+IF('calcA'!AE$106=1,1-ED15,0))*150+42+'calcA'!AE$5*100000+IF(AND($E15=1,JR15=0),50000,0))+IF($H15=1,INDEX('calcA'!$D$180:$EQ$219,$B15,28)*4000,0)-IF(AND('calcA'!AD$117=1,VB15&gt;0),2000,0)-IF(AND($U15=1,'calcA'!AE$117=1,ED15=0),2000,0))),1000000000))</f>
        <v/>
      </c>
      <c r="PH15">
        <f>IF($B15=0,1000000000,IF(INDEX('calcA'!$D$60:$EQ$99,$B15,29)*IF($W15=1,ED15+AAS15,ED15)=1,IF(AND($E15=2,IF($W15=1,AGH15,JS15)=0),1000000000,IF($V15=1,INDEX('calcA'!$D$130:$EQ$169,$B15,29)+IF(AND($E15=1,JS15=0),25,0),IF($F15&gt;0,INDEX('calcA'!AF$110:AF$114,$F15+1)+IF(AND($E15=1,JS15=0),1000,0),MIN(TV15,20)*400+(IF('calcA'!AE$106=1,1-EC15,0)+IF('calcA'!AF$106=1,1-EE15,0))*150+52+'calcA'!AF$5*100000+IF(AND($E15=1,JS15=0),50000,0))+IF($H15=1,INDEX('calcA'!$D$180:$EQ$219,$B15,29)*4000,0)-IF(AND('calcA'!AE$117=1,VC15&gt;0),2000,0)-IF(AND($U15=1,'calcA'!AF$117=1,EE15=0),2000,0))),1000000000))</f>
        <v/>
      </c>
      <c r="PI15">
        <f>IF($B15=0,1000000000,IF(INDEX('calcA'!$D$60:$EQ$99,$B15,30)*IF($W15=1,EE15+AAT15,EE15)=1,IF(AND($E15=2,IF($W15=1,AGI15,JT15)=0),1000000000,IF($V15=1,INDEX('calcA'!$D$130:$EQ$169,$B15,30)+IF(AND($E15=1,JT15=0),25,0),IF($F15&gt;0,INDEX('calcA'!AG$110:AG$114,$F15+1)+IF(AND($E15=1,JT15=0),1000,0),MIN(TV15,20)*400+(IF('calcA'!AF$106=1,1-ED15,0)+IF('calcA'!AG$106=1,1-EF15,0))*150+62+'calcA'!AG$5*100000+IF(AND($E15=1,JT15=0),50000,0))+IF($H15=1,INDEX('calcA'!$D$180:$EQ$219,$B15,30)*4000,0)-IF(AND('calcA'!AF$117=1,VD15&gt;0),2000,0)-IF(AND($U15=1,'calcA'!AG$117=1,EF15=0),2000,0))),1000000000))</f>
        <v/>
      </c>
      <c r="PJ15">
        <f>IF($B15=0,1000000000,IF(INDEX('calcA'!$D$60:$EQ$99,$B15,31)*IF($W15=1,EF15+AAU15,EF15)=1,IF(AND($E15=2,IF($W15=1,AGJ15,JU15)=0),1000000000,IF($V15=1,INDEX('calcA'!$D$130:$EQ$169,$B15,31)+IF(AND($E15=1,JU15=0),25,0),IF($F15&gt;0,INDEX('calcA'!AH$110:AH$114,$F15+1)+IF(AND($E15=1,JU15=0),1000,0),MIN(TV15,20)*400+(IF('calcA'!AG$106=1,1-EE15,0)+IF('calcA'!AH$106=1,1-EG15,0))*150+72+'calcA'!AH$5*100000+IF(AND($E15=1,JU15=0),50000,0))+IF($H15=1,INDEX('calcA'!$D$180:$EQ$219,$B15,31)*4000,0)-IF(AND('calcA'!AG$117=1,VE15&gt;0),2000,0)-IF(AND($U15=1,'calcA'!AH$117=1,EG15=0),2000,0))),1000000000))</f>
        <v/>
      </c>
      <c r="PK15">
        <f>IF($B15=0,1000000000,IF(INDEX('calcA'!$D$60:$EQ$99,$B15,32)*IF($W15=1,EG15+AAV15,EG15)=1,IF(AND($E15=2,IF($W15=1,AGK15,JV15)=0),1000000000,IF($V15=1,INDEX('calcA'!$D$130:$EQ$169,$B15,32)+IF(AND($E15=1,JV15=0),25,0),IF($F15&gt;0,INDEX('calcA'!AI$110:AI$114,$F15+1)+IF(AND($E15=1,JV15=0),1000,0),MIN(TV15,20)*400+(IF('calcA'!AH$106=1,1-EF15,0)+IF('calcA'!AI$106=1,1-EH15,0))*150+82+'calcA'!AI$5*100000+IF(AND($E15=1,JV15=0),50000,0))+IF($H15=1,INDEX('calcA'!$D$180:$EQ$219,$B15,32)*4000,0)-IF(AND('calcA'!AH$117=1,VF15&gt;0),2000,0)-IF(AND($U15=1,'calcA'!AI$117=1,EH15=0),2000,0))),1000000000))</f>
        <v/>
      </c>
      <c r="PL15">
        <f>IF($B15=0,1000000000,IF(INDEX('calcA'!$D$60:$EQ$99,$B15,33)*IF($W15=1,EH15+AAW15,EH15)=1,IF(AND($E15=2,IF($W15=1,AGL15,JW15)=0),1000000000,IF($V15=1,INDEX('calcA'!$D$130:$EQ$169,$B15,33)+IF(AND($E15=1,JW15=0),25,0),IF($F15&gt;0,INDEX('calcA'!AJ$110:AJ$114,$F15+1)+IF(AND($E15=1,JW15=0),1000,0),MIN(TV15,20)*400+(IF('calcA'!AI$106=1,1-EG15,0)+IF('calcA'!AJ$106=1,1-EI15,0))*150+92+'calcA'!AJ$5*100000+IF(AND($E15=1,JW15=0),50000,0))+IF($H15=1,INDEX('calcA'!$D$180:$EQ$219,$B15,33)*4000,0)-IF(AND('calcA'!AI$117=1,VG15&gt;0),2000,0)-IF(AND($U15=1,'calcA'!AJ$117=1,EI15=0),2000,0))),1000000000))</f>
        <v/>
      </c>
      <c r="PM15">
        <f>IF($B15=0,1000000000,IF(INDEX('calcA'!$D$60:$EQ$99,$B15,34)*IF($W15=1,EI15+AAX15,EI15)=1,IF(AND($E15=2,IF($W15=1,AGM15,JX15)=0),1000000000,IF($V15=1,INDEX('calcA'!$D$130:$EQ$169,$B15,34)+IF(AND($E15=1,JX15=0),25,0),IF($F15&gt;0,INDEX('calcA'!AK$110:AK$114,$F15+1)+IF(AND($E15=1,JX15=0),1000,0),MIN(TV15,20)*400+(IF('calcA'!AJ$106=1,1-EH15,0)+IF('calcA'!AK$106=1,1-EJ15,0))*150+102+'calcA'!AK$5*100000+IF(AND($E15=1,JX15=0),50000,0))+IF($H15=1,INDEX('calcA'!$D$180:$EQ$219,$B15,34)*4000,0)-IF(AND('calcA'!AJ$117=1,VH15&gt;0),2000,0)-IF(AND($U15=1,'calcA'!AK$117=1,EJ15=0),2000,0))),1000000000))</f>
        <v/>
      </c>
      <c r="PN15">
        <f>IF($B15=0,1000000000,IF(INDEX('calcA'!$D$60:$EQ$99,$B15,35)*IF($W15=1,EJ15+AAY15,EJ15)=1,IF(AND($E15=2,IF($W15=1,AGN15,JY15)=0),1000000000,IF($V15=1,INDEX('calcA'!$D$130:$EQ$169,$B15,35)+IF(AND($E15=1,JY15=0),25,0),IF($F15&gt;0,INDEX('calcA'!AL$110:AL$114,$F15+1)+IF(AND($E15=1,JY15=0),1000,0),MIN(TV15,20)*400+(IF('calcA'!AK$106=1,1-EI15,0)+IF('calcA'!AL$106=1,1-EK15,0))*150+112+'calcA'!AL$5*100000+IF(AND($E15=1,JY15=0),50000,0))+IF($H15=1,INDEX('calcA'!$D$180:$EQ$219,$B15,35)*4000,0)-IF(AND('calcA'!AK$117=1,VI15&gt;0),2000,0)-IF(AND($U15=1,'calcA'!AL$117=1,EK15=0),2000,0))),1000000000))</f>
        <v/>
      </c>
      <c r="PO15">
        <f>IF($B15=0,1000000000,IF(INDEX('calcA'!$D$60:$EQ$99,$B15,36)*IF($W15=1,EK15+AAZ15,EK15)=1,IF(AND($E15=2,IF($W15=1,AGO15,JZ15)=0),1000000000,IF($V15=1,INDEX('calcA'!$D$130:$EQ$169,$B15,36)+IF(AND($E15=1,JZ15=0),25,0),IF($F15&gt;0,INDEX('calcA'!AM$110:AM$114,$F15+1)+IF(AND($E15=1,JZ15=0),1000,0),MIN(TV15,20)*400+(IF('calcA'!AL$106=1,1-EJ15,0)+IF('calcA'!AM$106=1,1-EL15,0))*150+122+'calcA'!AM$5*100000+IF(AND($E15=1,JZ15=0),50000,0))+IF($H15=1,INDEX('calcA'!$D$180:$EQ$219,$B15,36)*4000,0)-IF(AND('calcA'!AL$117=1,VJ15&gt;0),2000,0)-IF(AND($U15=1,'calcA'!AM$117=1,EL15=0),2000,0))),1000000000))</f>
        <v/>
      </c>
      <c r="PP15">
        <f>IF($B15=0,1000000000,IF(INDEX('calcA'!$D$60:$EQ$99,$B15,37)*IF($W15=1,EL15+ABA15,EL15)=1,IF(AND($E15=2,IF($W15=1,AGP15,KA15)=0),1000000000,IF($V15=1,INDEX('calcA'!$D$130:$EQ$169,$B15,37)+IF(AND($E15=1,KA15=0),25,0),IF($F15&gt;0,INDEX('calcA'!AN$110:AN$114,$F15+1)+IF(AND($E15=1,KA15=0),1000,0),MIN(TV15,20)*400+(IF('calcA'!AM$106=1,1-EK15,0)+IF('calcA'!AN$106=1,1-EM15,0))*150+132+'calcA'!AN$5*100000+IF(AND($E15=1,KA15=0),50000,0))+IF($H15=1,INDEX('calcA'!$D$180:$EQ$219,$B15,37)*4000,0)-IF(AND('calcA'!AM$117=1,VK15&gt;0),2000,0)-IF(AND($U15=1,'calcA'!AN$117=1,EM15=0),2000,0))),1000000000))</f>
        <v/>
      </c>
      <c r="PQ15">
        <f>IF($B15=0,1000000000,IF(INDEX('calcA'!$D$60:$EQ$99,$B15,38)*IF($W15=1,EM15+ABB15,EM15)=1,IF(AND($E15=2,IF($W15=1,AGQ15,KB15)=0),1000000000,IF($V15=1,INDEX('calcA'!$D$130:$EQ$169,$B15,38)+IF(AND($E15=1,KB15=0),25,0),IF($F15&gt;0,INDEX('calcA'!AO$110:AO$114,$F15+1)+IF(AND($E15=1,KB15=0),1000,0),MIN(TV15,20)*400+(IF('calcA'!AN$106=1,1-EL15,0)+IF('calcA'!AO$106=1,1-EN15,0))*150+142+'calcA'!AO$5*100000+IF(AND($E15=1,KB15=0),50000,0))+IF($H15=1,INDEX('calcA'!$D$180:$EQ$219,$B15,38)*4000,0)-IF(AND('calcA'!AN$117=1,VL15&gt;0),2000,0)-IF(AND($U15=1,'calcA'!AO$117=1,EN15=0),2000,0))),1000000000))</f>
        <v/>
      </c>
      <c r="PR15">
        <f>IF($B15=0,1000000000,IF(INDEX('calcA'!$D$60:$EQ$99,$B15,39)*IF($W15=1,EN15+ABC15,EN15)=1,IF(AND($E15=2,IF($W15=1,AGR15,KC15)=0),1000000000,IF($V15=1,INDEX('calcA'!$D$130:$EQ$169,$B15,39)+IF(AND($E15=1,KC15=0),25,0),IF($F15&gt;0,INDEX('calcA'!AP$110:AP$114,$F15+1)+IF(AND($E15=1,KC15=0),1000,0),MIN(TV15,20)*400+(IF('calcA'!AO$106=1,1-EM15,0)+IF('calcA'!AP$106=1,1-EO15,0))*150+152+'calcA'!AP$5*100000+IF(AND($E15=1,KC15=0),50000,0))+IF($H15=1,INDEX('calcA'!$D$180:$EQ$219,$B15,39)*4000,0)-IF(AND('calcA'!AO$117=1,VM15&gt;0),2000,0)-IF(AND($U15=1,'calcA'!AP$117=1,EO15=0),2000,0))),1000000000))</f>
        <v/>
      </c>
      <c r="PS15">
        <f>IF($B15=0,1000000000,IF(INDEX('calcA'!$D$60:$EQ$99,$B15,40)*IF($W15=1,EO15+ABD15,EO15)=1,IF(AND($E15=2,IF($W15=1,AGS15,KD15)=0),1000000000,IF($V15=1,INDEX('calcA'!$D$130:$EQ$169,$B15,40)+IF(AND($E15=1,KD15=0),25,0),IF($F15&gt;0,INDEX('calcA'!AQ$110:AQ$114,$F15+1)+IF(AND($E15=1,KD15=0),1000,0),MIN(TV15,20)*400+(IF('calcA'!AP$106=1,1-EN15,0)+IF('calcA'!AQ$106=1,1-EP15,0))*150+162+'calcA'!AQ$5*100000+IF(AND($E15=1,KD15=0),50000,0))+IF($H15=1,INDEX('calcA'!$D$180:$EQ$219,$B15,40)*4000,0)-IF(AND('calcA'!AP$117=1,VN15&gt;0),2000,0)-IF(AND($U15=1,'calcA'!AQ$117=1,EP15=0),2000,0))),1000000000))</f>
        <v/>
      </c>
      <c r="PT15">
        <f>IF($B15=0,1000000000,IF(INDEX('calcA'!$D$60:$EQ$99,$B15,41)*IF($W15=1,EP15+ABE15,EP15)=1,IF(AND($E15=2,IF($W15=1,AGT15,KE15)=0),1000000000,IF($V15=1,INDEX('calcA'!$D$130:$EQ$169,$B15,41)+IF(AND($E15=1,KE15=0),25,0),IF($F15&gt;0,INDEX('calcA'!AR$110:AR$114,$F15+1)+IF(AND($E15=1,KE15=0),1000,0),MIN(TV15,20)*400+(IF('calcA'!AQ$106=1,1-EO15,0)+IF('calcA'!AR$106=1,1-EQ15,0))*150+172+'calcA'!AR$5*100000+IF(AND($E15=1,KE15=0),50000,0))+IF($H15=1,INDEX('calcA'!$D$180:$EQ$219,$B15,41)*4000,0)-IF(AND('calcA'!AQ$117=1,VO15&gt;0),2000,0)-IF(AND($U15=1,'calcA'!AR$117=1,EQ15=0),2000,0))),1000000000))</f>
        <v/>
      </c>
      <c r="PU15">
        <f>IF($B15=0,1000000000,IF(INDEX('calcA'!$D$60:$EQ$99,$B15,42)*IF($W15=1,EQ15+ABF15,EQ15)=1,IF(AND($E15=2,IF($W15=1,AGU15,KF15)=0),1000000000,IF($V15=1,INDEX('calcA'!$D$130:$EQ$169,$B15,42)+IF(AND($E15=1,KF15=0),25,0),IF($F15&gt;0,INDEX('calcA'!AS$110:AS$114,$F15+1)+IF(AND($E15=1,KF15=0),1000,0),MIN(TV15,20)*400+(IF('calcA'!AR$106=1,1-EP15,0)+IF('calcA'!AS$106=1,1-ER15,0))*150+182+'calcA'!AS$5*100000+IF(AND($E15=1,KF15=0),50000,0))+IF($H15=1,INDEX('calcA'!$D$180:$EQ$219,$B15,42)*4000,0)-IF(AND('calcA'!AR$117=1,VP15&gt;0),2000,0)-IF(AND($U15=1,'calcA'!AS$117=1,ER15=0),2000,0))),1000000000))</f>
        <v/>
      </c>
      <c r="PV15">
        <f>IF($B15=0,1000000000,IF(INDEX('calcA'!$D$60:$EQ$99,$B15,43)*IF($W15=1,ER15+ABG15,ER15)=1,IF(AND($E15=2,IF($W15=1,AGV15,KG15)=0),1000000000,IF($V15=1,INDEX('calcA'!$D$130:$EQ$169,$B15,43)+IF(AND($E15=1,KG15=0),25,0),IF($F15&gt;0,INDEX('calcA'!AT$110:AT$114,$F15+1)+IF(AND($E15=1,KG15=0),1000,0),MIN(TV15,20)*400+(IF('calcA'!AS$106=1,1-EQ15,0)+IF('calcA'!AT$106=1,1-ES15,0))*150+192+'calcA'!AT$5*100000+IF(AND($E15=1,KG15=0),50000,0))+IF($H15=1,INDEX('calcA'!$D$180:$EQ$219,$B15,43)*4000,0)-IF(AND('calcA'!AS$117=1,VQ15&gt;0),2000,0)-IF(AND($U15=1,'calcA'!AT$117=1,ES15=0),2000,0))),1000000000))</f>
        <v/>
      </c>
      <c r="PW15">
        <f>IF($B15=0,1000000000,IF(INDEX('calcA'!$D$60:$EQ$99,$B15,44)*IF($W15=1,ES15+ABH15,ES15)=1,IF(AND($E15=2,IF($W15=1,AGW15,KH15)=0),1000000000,IF($V15=1,INDEX('calcA'!$D$130:$EQ$169,$B15,44)+IF(AND($E15=1,KH15=0),25,0),IF($F15&gt;0,INDEX('calcA'!AU$110:AU$114,$F15+1)+IF(AND($E15=1,KH15=0),1000,0),MIN(TV15,20)*400+(IF('calcA'!AT$106=1,1-ER15,0)+IF('calcA'!AU$106=1,1-ET15,0))*150+202+'calcA'!AU$5*100000+IF(AND($E15=1,KH15=0),50000,0))+IF($H15=1,INDEX('calcA'!$D$180:$EQ$219,$B15,44)*4000,0)-IF(AND('calcA'!AT$117=1,VR15&gt;0),2000,0)-IF(AND($U15=1,'calcA'!AU$117=1,ET15=0),2000,0))),1000000000))</f>
        <v/>
      </c>
      <c r="PX15">
        <f>IF($B15=0,1000000000,IF(INDEX('calcA'!$D$60:$EQ$99,$B15,45)*IF($W15=1,ET15+ABI15,ET15)=1,IF(AND($E15=2,IF($W15=1,AGX15,KI15)=0),1000000000,IF($V15=1,INDEX('calcA'!$D$130:$EQ$169,$B15,45)+IF(AND($E15=1,KI15=0),25,0),IF($F15&gt;0,INDEX('calcA'!AV$110:AV$114,$F15+1)+IF(AND($E15=1,KI15=0),1000,0),MIN(TV15,20)*400+(IF('calcA'!AU$106=1,1-ES15,0)+IF('calcA'!AV$106=1,1-EU15,0))*150+212+'calcA'!AV$5*100000+IF(AND($E15=1,KI15=0),50000,0))+IF($H15=1,INDEX('calcA'!$D$180:$EQ$219,$B15,45)*4000,0)-IF(AND('calcA'!AU$117=1,VS15&gt;0),2000,0)-IF(AND($U15=1,'calcA'!AV$117=1,EU15=0),2000,0))),1000000000))</f>
        <v/>
      </c>
      <c r="PY15">
        <f>IF($B15=0,1000000000,IF(INDEX('calcA'!$D$60:$EQ$99,$B15,46)*IF($W15=1,EU15+ABJ15,EU15)=1,IF(AND($E15=2,IF($W15=1,AGY15,KJ15)=0),1000000000,IF($V15=1,INDEX('calcA'!$D$130:$EQ$169,$B15,46)+IF(AND($E15=1,KJ15=0),25,0),IF($F15&gt;0,INDEX('calcA'!AW$110:AW$114,$F15+1)+IF(AND($E15=1,KJ15=0),1000,0),MIN(TV15,20)*400+(IF('calcA'!AV$106=1,1-ET15,0)+IF('calcA'!AW$106=1,1-EV15,0))*150+222+'calcA'!AW$5*100000+IF(AND($E15=1,KJ15=0),50000,0))+IF($H15=1,INDEX('calcA'!$D$180:$EQ$219,$B15,46)*4000,0)-IF(AND('calcA'!AV$117=1,VT15&gt;0),2000,0)-IF(AND($U15=1,'calcA'!AW$117=1,EV15=0),2000,0))),1000000000))</f>
        <v/>
      </c>
      <c r="PZ15">
        <f>IF($B15=0,1000000000,IF(INDEX('calcA'!$D$60:$EQ$99,$B15,47)*IF($W15=1,EV15+ABK15,EV15)=1,IF(AND($E15=2,IF($W15=1,AGZ15,KK15)=0),1000000000,IF($V15=1,INDEX('calcA'!$D$130:$EQ$169,$B15,47)+IF(AND($E15=1,KK15=0),25,0),IF($F15&gt;0,INDEX('calcA'!AX$110:AX$114,$F15+1)+IF(AND($E15=1,KK15=0),1000,0),MIN(TV15,20)*400+(IF('calcA'!AW$106=1,1-EU15,0)+IF('calcA'!AX$106=1,1-EW15,0))*150+232+'calcA'!AX$5*100000+IF(AND($E15=1,KK15=0),50000,0))+IF($H15=1,INDEX('calcA'!$D$180:$EQ$219,$B15,47)*4000,0)-IF(AND('calcA'!AW$117=1,VU15&gt;0),2000,0)-IF(AND($U15=1,'calcA'!AX$117=1,EW15=0),2000,0))),1000000000))</f>
        <v/>
      </c>
      <c r="QA15">
        <f>IF($B15=0,1000000000,IF(INDEX('calcA'!$D$60:$EQ$99,$B15,48)*IF($W15=1,EW15+ABL15,EW15)=1,IF(AND($E15=2,IF($W15=1,AHA15,KL15)=0),1000000000,IF($V15=1,INDEX('calcA'!$D$130:$EQ$169,$B15,48)+IF(AND($E15=1,KL15=0),25,0),IF($F15&gt;0,INDEX('calcA'!AY$110:AY$114,$F15+1)+IF(AND($E15=1,KL15=0),1000,0),MIN(TV15,20)*400+(IF('calcA'!AX$106=1,1-EV15,0))*150+242+'calcA'!AY$5*100000+IF(AND($E15=1,KL15=0),50000,0))+IF($H15=1,INDEX('calcA'!$D$180:$EQ$219,$B15,48)*4000,0)-IF(AND('calcA'!AX$117=1,VV15&gt;0),2000,0))),1000000000))</f>
        <v/>
      </c>
      <c r="QB15">
        <f>IF($B15=0,1000000000,IF(INDEX('calcA'!$D$60:$EQ$99,$B15,49)*IF($W15=1,EX15+ABM15,EX15)=1,IF(AND($E15=2,IF($W15=1,AHB15,KM15)=0),1000000000,IF($V15=1,INDEX('calcA'!$D$130:$EQ$169,$B15,49)+IF(AND($E15=1,KM15=0),25,0),IF($F15&gt;0,INDEX('calcA'!AZ$110:AZ$114,$F15+1)+IF(AND($E15=1,KM15=0),1000,0),MIN(TW15,20)*400+(IF('calcA'!AZ$106=1,1-EY15,0))*150+13+'calcA'!AZ$5*100000+IF(AND($E15=1,KM15=0),50000,0))+IF($H15=1,INDEX('calcA'!$D$180:$EQ$219,$B15,49)*4000,0)-IF(AND($U15=1,'calcA'!AZ$117=1,EY15=0),2000,0))),1000000000))</f>
        <v/>
      </c>
      <c r="QC15">
        <f>IF($B15=0,1000000000,IF(INDEX('calcA'!$D$60:$EQ$99,$B15,50)*IF($W15=1,EY15+ABN15,EY15)=1,IF(AND($E15=2,IF($W15=1,AHC15,KN15)=0),1000000000,IF($V15=1,INDEX('calcA'!$D$130:$EQ$169,$B15,50)+IF(AND($E15=1,KN15=0),25,0),IF($F15&gt;0,INDEX('calcA'!BA$110:BA$114,$F15+1)+IF(AND($E15=1,KN15=0),1000,0),MIN(TW15,20)*400+(IF('calcA'!AZ$106=1,1-EX15,0)+IF('calcA'!BA$106=1,1-EZ15,0))*150+23+'calcA'!BA$5*100000+IF(AND($E15=1,KN15=0),50000,0))+IF($H15=1,INDEX('calcA'!$D$180:$EQ$219,$B15,50)*4000,0)-IF(AND('calcA'!AZ$117=1,VX15&gt;0),2000,0)-IF(AND($U15=1,'calcA'!BA$117=1,EZ15=0),2000,0))),1000000000))</f>
        <v/>
      </c>
      <c r="QD15">
        <f>IF($B15=0,1000000000,IF(INDEX('calcA'!$D$60:$EQ$99,$B15,51)*IF($W15=1,EZ15+ABO15,EZ15)=1,IF(AND($E15=2,IF($W15=1,AHD15,KO15)=0),1000000000,IF($V15=1,INDEX('calcA'!$D$130:$EQ$169,$B15,51)+IF(AND($E15=1,KO15=0),25,0),IF($F15&gt;0,INDEX('calcA'!BB$110:BB$114,$F15+1)+IF(AND($E15=1,KO15=0),1000,0),MIN(TW15,20)*400+(IF('calcA'!BA$106=1,1-EY15,0)+IF('calcA'!BB$106=1,1-FA15,0))*150+33+'calcA'!BB$5*100000+IF(AND($E15=1,KO15=0),50000,0))+IF($H15=1,INDEX('calcA'!$D$180:$EQ$219,$B15,51)*4000,0)-IF(AND('calcA'!BA$117=1,VY15&gt;0),2000,0)-IF(AND($U15=1,'calcA'!BB$117=1,FA15=0),2000,0))),1000000000))</f>
        <v/>
      </c>
      <c r="QE15">
        <f>IF($B15=0,1000000000,IF(INDEX('calcA'!$D$60:$EQ$99,$B15,52)*IF($W15=1,FA15+ABP15,FA15)=1,IF(AND($E15=2,IF($W15=1,AHE15,KP15)=0),1000000000,IF($V15=1,INDEX('calcA'!$D$130:$EQ$169,$B15,52)+IF(AND($E15=1,KP15=0),25,0),IF($F15&gt;0,INDEX('calcA'!BC$110:BC$114,$F15+1)+IF(AND($E15=1,KP15=0),1000,0),MIN(TW15,20)*400+(IF('calcA'!BB$106=1,1-EZ15,0)+IF('calcA'!BC$106=1,1-FB15,0))*150+43+'calcA'!BC$5*100000+IF(AND($E15=1,KP15=0),50000,0))+IF($H15=1,INDEX('calcA'!$D$180:$EQ$219,$B15,52)*4000,0)-IF(AND('calcA'!BB$117=1,VZ15&gt;0),2000,0)-IF(AND($U15=1,'calcA'!BC$117=1,FB15=0),2000,0))),1000000000))</f>
        <v/>
      </c>
      <c r="QF15">
        <f>IF($B15=0,1000000000,IF(INDEX('calcA'!$D$60:$EQ$99,$B15,53)*IF($W15=1,FB15+ABQ15,FB15)=1,IF(AND($E15=2,IF($W15=1,AHF15,KQ15)=0),1000000000,IF($V15=1,INDEX('calcA'!$D$130:$EQ$169,$B15,53)+IF(AND($E15=1,KQ15=0),25,0),IF($F15&gt;0,INDEX('calcA'!BD$110:BD$114,$F15+1)+IF(AND($E15=1,KQ15=0),1000,0),MIN(TW15,20)*400+(IF('calcA'!BC$106=1,1-FA15,0)+IF('calcA'!BD$106=1,1-FC15,0))*150+53+'calcA'!BD$5*100000+IF(AND($E15=1,KQ15=0),50000,0))+IF($H15=1,INDEX('calcA'!$D$180:$EQ$219,$B15,53)*4000,0)-IF(AND('calcA'!BC$117=1,WA15&gt;0),2000,0)-IF(AND($U15=1,'calcA'!BD$117=1,FC15=0),2000,0))),1000000000))</f>
        <v/>
      </c>
      <c r="QG15">
        <f>IF($B15=0,1000000000,IF(INDEX('calcA'!$D$60:$EQ$99,$B15,54)*IF($W15=1,FC15+ABR15,FC15)=1,IF(AND($E15=2,IF($W15=1,AHG15,KR15)=0),1000000000,IF($V15=1,INDEX('calcA'!$D$130:$EQ$169,$B15,54)+IF(AND($E15=1,KR15=0),25,0),IF($F15&gt;0,INDEX('calcA'!BE$110:BE$114,$F15+1)+IF(AND($E15=1,KR15=0),1000,0),MIN(TW15,20)*400+(IF('calcA'!BD$106=1,1-FB15,0)+IF('calcA'!BE$106=1,1-FD15,0))*150+63+'calcA'!BE$5*100000+IF(AND($E15=1,KR15=0),50000,0))+IF($H15=1,INDEX('calcA'!$D$180:$EQ$219,$B15,54)*4000,0)-IF(AND('calcA'!BD$117=1,WB15&gt;0),2000,0)-IF(AND($U15=1,'calcA'!BE$117=1,FD15=0),2000,0))),1000000000))</f>
        <v/>
      </c>
      <c r="QH15">
        <f>IF($B15=0,1000000000,IF(INDEX('calcA'!$D$60:$EQ$99,$B15,55)*IF($W15=1,FD15+ABS15,FD15)=1,IF(AND($E15=2,IF($W15=1,AHH15,KS15)=0),1000000000,IF($V15=1,INDEX('calcA'!$D$130:$EQ$169,$B15,55)+IF(AND($E15=1,KS15=0),25,0),IF($F15&gt;0,INDEX('calcA'!BF$110:BF$114,$F15+1)+IF(AND($E15=1,KS15=0),1000,0),MIN(TW15,20)*400+(IF('calcA'!BE$106=1,1-FC15,0)+IF('calcA'!BF$106=1,1-FE15,0))*150+73+'calcA'!BF$5*100000+IF(AND($E15=1,KS15=0),50000,0))+IF($H15=1,INDEX('calcA'!$D$180:$EQ$219,$B15,55)*4000,0)-IF(AND('calcA'!BE$117=1,WC15&gt;0),2000,0)-IF(AND($U15=1,'calcA'!BF$117=1,FE15=0),2000,0))),1000000000))</f>
        <v/>
      </c>
      <c r="QI15">
        <f>IF($B15=0,1000000000,IF(INDEX('calcA'!$D$60:$EQ$99,$B15,56)*IF($W15=1,FE15+ABT15,FE15)=1,IF(AND($E15=2,IF($W15=1,AHI15,KT15)=0),1000000000,IF($V15=1,INDEX('calcA'!$D$130:$EQ$169,$B15,56)+IF(AND($E15=1,KT15=0),25,0),IF($F15&gt;0,INDEX('calcA'!BG$110:BG$114,$F15+1)+IF(AND($E15=1,KT15=0),1000,0),MIN(TW15,20)*400+(IF('calcA'!BF$106=1,1-FD15,0)+IF('calcA'!BG$106=1,1-FF15,0))*150+83+'calcA'!BG$5*100000+IF(AND($E15=1,KT15=0),50000,0))+IF($H15=1,INDEX('calcA'!$D$180:$EQ$219,$B15,56)*4000,0)-IF(AND('calcA'!BF$117=1,WD15&gt;0),2000,0)-IF(AND($U15=1,'calcA'!BG$117=1,FF15=0),2000,0))),1000000000))</f>
        <v/>
      </c>
      <c r="QJ15">
        <f>IF($B15=0,1000000000,IF(INDEX('calcA'!$D$60:$EQ$99,$B15,57)*IF($W15=1,FF15+ABU15,FF15)=1,IF(AND($E15=2,IF($W15=1,AHJ15,KU15)=0),1000000000,IF($V15=1,INDEX('calcA'!$D$130:$EQ$169,$B15,57)+IF(AND($E15=1,KU15=0),25,0),IF($F15&gt;0,INDEX('calcA'!BH$110:BH$114,$F15+1)+IF(AND($E15=1,KU15=0),1000,0),MIN(TW15,20)*400+(IF('calcA'!BG$106=1,1-FE15,0)+IF('calcA'!BH$106=1,1-FG15,0))*150+93+'calcA'!BH$5*100000+IF(AND($E15=1,KU15=0),50000,0))+IF($H15=1,INDEX('calcA'!$D$180:$EQ$219,$B15,57)*4000,0)-IF(AND('calcA'!BG$117=1,WE15&gt;0),2000,0)-IF(AND($U15=1,'calcA'!BH$117=1,FG15=0),2000,0))),1000000000))</f>
        <v/>
      </c>
      <c r="QK15">
        <f>IF($B15=0,1000000000,IF(INDEX('calcA'!$D$60:$EQ$99,$B15,58)*IF($W15=1,FG15+ABV15,FG15)=1,IF(AND($E15=2,IF($W15=1,AHK15,KV15)=0),1000000000,IF($V15=1,INDEX('calcA'!$D$130:$EQ$169,$B15,58)+IF(AND($E15=1,KV15=0),25,0),IF($F15&gt;0,INDEX('calcA'!BI$110:BI$114,$F15+1)+IF(AND($E15=1,KV15=0),1000,0),MIN(TW15,20)*400+(IF('calcA'!BH$106=1,1-FF15,0)+IF('calcA'!BI$106=1,1-FH15,0))*150+103+'calcA'!BI$5*100000+IF(AND($E15=1,KV15=0),50000,0))+IF($H15=1,INDEX('calcA'!$D$180:$EQ$219,$B15,58)*4000,0)-IF(AND('calcA'!BH$117=1,WF15&gt;0),2000,0)-IF(AND($U15=1,'calcA'!BI$117=1,FH15=0),2000,0))),1000000000))</f>
        <v/>
      </c>
      <c r="QL15">
        <f>IF($B15=0,1000000000,IF(INDEX('calcA'!$D$60:$EQ$99,$B15,59)*IF($W15=1,FH15+ABW15,FH15)=1,IF(AND($E15=2,IF($W15=1,AHL15,KW15)=0),1000000000,IF($V15=1,INDEX('calcA'!$D$130:$EQ$169,$B15,59)+IF(AND($E15=1,KW15=0),25,0),IF($F15&gt;0,INDEX('calcA'!BJ$110:BJ$114,$F15+1)+IF(AND($E15=1,KW15=0),1000,0),MIN(TW15,20)*400+(IF('calcA'!BI$106=1,1-FG15,0)+IF('calcA'!BJ$106=1,1-FI15,0))*150+113+'calcA'!BJ$5*100000+IF(AND($E15=1,KW15=0),50000,0))+IF($H15=1,INDEX('calcA'!$D$180:$EQ$219,$B15,59)*4000,0)-IF(AND('calcA'!BI$117=1,WG15&gt;0),2000,0)-IF(AND($U15=1,'calcA'!BJ$117=1,FI15=0),2000,0))),1000000000))</f>
        <v/>
      </c>
      <c r="QM15">
        <f>IF($B15=0,1000000000,IF(INDEX('calcA'!$D$60:$EQ$99,$B15,60)*IF($W15=1,FI15+ABX15,FI15)=1,IF(AND($E15=2,IF($W15=1,AHM15,KX15)=0),1000000000,IF($V15=1,INDEX('calcA'!$D$130:$EQ$169,$B15,60)+IF(AND($E15=1,KX15=0),25,0),IF($F15&gt;0,INDEX('calcA'!BK$110:BK$114,$F15+1)+IF(AND($E15=1,KX15=0),1000,0),MIN(TW15,20)*400+(IF('calcA'!BJ$106=1,1-FH15,0)+IF('calcA'!BK$106=1,1-FJ15,0))*150+123+'calcA'!BK$5*100000+IF(AND($E15=1,KX15=0),50000,0))+IF($H15=1,INDEX('calcA'!$D$180:$EQ$219,$B15,60)*4000,0)-IF(AND('calcA'!BJ$117=1,WH15&gt;0),2000,0)-IF(AND($U15=1,'calcA'!BK$117=1,FJ15=0),2000,0))),1000000000))</f>
        <v/>
      </c>
      <c r="QN15">
        <f>IF($B15=0,1000000000,IF(INDEX('calcA'!$D$60:$EQ$99,$B15,61)*IF($W15=1,FJ15+ABY15,FJ15)=1,IF(AND($E15=2,IF($W15=1,AHN15,KY15)=0),1000000000,IF($V15=1,INDEX('calcA'!$D$130:$EQ$169,$B15,61)+IF(AND($E15=1,KY15=0),25,0),IF($F15&gt;0,INDEX('calcA'!BL$110:BL$114,$F15+1)+IF(AND($E15=1,KY15=0),1000,0),MIN(TW15,20)*400+(IF('calcA'!BK$106=1,1-FI15,0)+IF('calcA'!BL$106=1,1-FK15,0))*150+133+'calcA'!BL$5*100000+IF(AND($E15=1,KY15=0),50000,0))+IF($H15=1,INDEX('calcA'!$D$180:$EQ$219,$B15,61)*4000,0)-IF(AND('calcA'!BK$117=1,WI15&gt;0),2000,0)-IF(AND($U15=1,'calcA'!BL$117=1,FK15=0),2000,0))),1000000000))</f>
        <v/>
      </c>
      <c r="QO15">
        <f>IF($B15=0,1000000000,IF(INDEX('calcA'!$D$60:$EQ$99,$B15,62)*IF($W15=1,FK15+ABZ15,FK15)=1,IF(AND($E15=2,IF($W15=1,AHO15,KZ15)=0),1000000000,IF($V15=1,INDEX('calcA'!$D$130:$EQ$169,$B15,62)+IF(AND($E15=1,KZ15=0),25,0),IF($F15&gt;0,INDEX('calcA'!BM$110:BM$114,$F15+1)+IF(AND($E15=1,KZ15=0),1000,0),MIN(TW15,20)*400+(IF('calcA'!BL$106=1,1-FJ15,0)+IF('calcA'!BM$106=1,1-FL15,0))*150+143+'calcA'!BM$5*100000+IF(AND($E15=1,KZ15=0),50000,0))+IF($H15=1,INDEX('calcA'!$D$180:$EQ$219,$B15,62)*4000,0)-IF(AND('calcA'!BL$117=1,WJ15&gt;0),2000,0)-IF(AND($U15=1,'calcA'!BM$117=1,FL15=0),2000,0))),1000000000))</f>
        <v/>
      </c>
      <c r="QP15">
        <f>IF($B15=0,1000000000,IF(INDEX('calcA'!$D$60:$EQ$99,$B15,63)*IF($W15=1,FL15+ACA15,FL15)=1,IF(AND($E15=2,IF($W15=1,AHP15,LA15)=0),1000000000,IF($V15=1,INDEX('calcA'!$D$130:$EQ$169,$B15,63)+IF(AND($E15=1,LA15=0),25,0),IF($F15&gt;0,INDEX('calcA'!BN$110:BN$114,$F15+1)+IF(AND($E15=1,LA15=0),1000,0),MIN(TW15,20)*400+(IF('calcA'!BM$106=1,1-FK15,0)+IF('calcA'!BN$106=1,1-FM15,0))*150+153+'calcA'!BN$5*100000+IF(AND($E15=1,LA15=0),50000,0))+IF($H15=1,INDEX('calcA'!$D$180:$EQ$219,$B15,63)*4000,0)-IF(AND('calcA'!BM$117=1,WK15&gt;0),2000,0)-IF(AND($U15=1,'calcA'!BN$117=1,FM15=0),2000,0))),1000000000))</f>
        <v/>
      </c>
      <c r="QQ15">
        <f>IF($B15=0,1000000000,IF(INDEX('calcA'!$D$60:$EQ$99,$B15,64)*IF($W15=1,FM15+ACB15,FM15)=1,IF(AND($E15=2,IF($W15=1,AHQ15,LB15)=0),1000000000,IF($V15=1,INDEX('calcA'!$D$130:$EQ$169,$B15,64)+IF(AND($E15=1,LB15=0),25,0),IF($F15&gt;0,INDEX('calcA'!BO$110:BO$114,$F15+1)+IF(AND($E15=1,LB15=0),1000,0),MIN(TW15,20)*400+(IF('calcA'!BN$106=1,1-FL15,0)+IF('calcA'!BO$106=1,1-FN15,0))*150+163+'calcA'!BO$5*100000+IF(AND($E15=1,LB15=0),50000,0))+IF($H15=1,INDEX('calcA'!$D$180:$EQ$219,$B15,64)*4000,0)-IF(AND('calcA'!BN$117=1,WL15&gt;0),2000,0)-IF(AND($U15=1,'calcA'!BO$117=1,FN15=0),2000,0))),1000000000))</f>
        <v/>
      </c>
      <c r="QR15">
        <f>IF($B15=0,1000000000,IF(INDEX('calcA'!$D$60:$EQ$99,$B15,65)*IF($W15=1,FN15+ACC15,FN15)=1,IF(AND($E15=2,IF($W15=1,AHR15,LC15)=0),1000000000,IF($V15=1,INDEX('calcA'!$D$130:$EQ$169,$B15,65)+IF(AND($E15=1,LC15=0),25,0),IF($F15&gt;0,INDEX('calcA'!BP$110:BP$114,$F15+1)+IF(AND($E15=1,LC15=0),1000,0),MIN(TW15,20)*400+(IF('calcA'!BO$106=1,1-FM15,0)+IF('calcA'!BP$106=1,1-FO15,0))*150+173+'calcA'!BP$5*100000+IF(AND($E15=1,LC15=0),50000,0))+IF($H15=1,INDEX('calcA'!$D$180:$EQ$219,$B15,65)*4000,0)-IF(AND('calcA'!BO$117=1,WM15&gt;0),2000,0)-IF(AND($U15=1,'calcA'!BP$117=1,FO15=0),2000,0))),1000000000))</f>
        <v/>
      </c>
      <c r="QS15">
        <f>IF($B15=0,1000000000,IF(INDEX('calcA'!$D$60:$EQ$99,$B15,66)*IF($W15=1,FO15+ACD15,FO15)=1,IF(AND($E15=2,IF($W15=1,AHS15,LD15)=0),1000000000,IF($V15=1,INDEX('calcA'!$D$130:$EQ$169,$B15,66)+IF(AND($E15=1,LD15=0),25,0),IF($F15&gt;0,INDEX('calcA'!BQ$110:BQ$114,$F15+1)+IF(AND($E15=1,LD15=0),1000,0),MIN(TW15,20)*400+(IF('calcA'!BP$106=1,1-FN15,0)+IF('calcA'!BQ$106=1,1-FP15,0))*150+183+'calcA'!BQ$5*100000+IF(AND($E15=1,LD15=0),50000,0))+IF($H15=1,INDEX('calcA'!$D$180:$EQ$219,$B15,66)*4000,0)-IF(AND('calcA'!BP$117=1,WN15&gt;0),2000,0)-IF(AND($U15=1,'calcA'!BQ$117=1,FP15=0),2000,0))),1000000000))</f>
        <v/>
      </c>
      <c r="QT15">
        <f>IF($B15=0,1000000000,IF(INDEX('calcA'!$D$60:$EQ$99,$B15,67)*IF($W15=1,FP15+ACE15,FP15)=1,IF(AND($E15=2,IF($W15=1,AHT15,LE15)=0),1000000000,IF($V15=1,INDEX('calcA'!$D$130:$EQ$169,$B15,67)+IF(AND($E15=1,LE15=0),25,0),IF($F15&gt;0,INDEX('calcA'!BR$110:BR$114,$F15+1)+IF(AND($E15=1,LE15=0),1000,0),MIN(TW15,20)*400+(IF('calcA'!BQ$106=1,1-FO15,0)+IF('calcA'!BR$106=1,1-FQ15,0))*150+193+'calcA'!BR$5*100000+IF(AND($E15=1,LE15=0),50000,0))+IF($H15=1,INDEX('calcA'!$D$180:$EQ$219,$B15,67)*4000,0)-IF(AND('calcA'!BQ$117=1,WO15&gt;0),2000,0)-IF(AND($U15=1,'calcA'!BR$117=1,FQ15=0),2000,0))),1000000000))</f>
        <v/>
      </c>
      <c r="QU15">
        <f>IF($B15=0,1000000000,IF(INDEX('calcA'!$D$60:$EQ$99,$B15,68)*IF($W15=1,FQ15+ACF15,FQ15)=1,IF(AND($E15=2,IF($W15=1,AHU15,LF15)=0),1000000000,IF($V15=1,INDEX('calcA'!$D$130:$EQ$169,$B15,68)+IF(AND($E15=1,LF15=0),25,0),IF($F15&gt;0,INDEX('calcA'!BS$110:BS$114,$F15+1)+IF(AND($E15=1,LF15=0),1000,0),MIN(TW15,20)*400+(IF('calcA'!BR$106=1,1-FP15,0)+IF('calcA'!BS$106=1,1-FR15,0))*150+203+'calcA'!BS$5*100000+IF(AND($E15=1,LF15=0),50000,0))+IF($H15=1,INDEX('calcA'!$D$180:$EQ$219,$B15,68)*4000,0)-IF(AND('calcA'!BR$117=1,WP15&gt;0),2000,0)-IF(AND($U15=1,'calcA'!BS$117=1,FR15=0),2000,0))),1000000000))</f>
        <v/>
      </c>
      <c r="QV15">
        <f>IF($B15=0,1000000000,IF(INDEX('calcA'!$D$60:$EQ$99,$B15,69)*IF($W15=1,FR15+ACG15,FR15)=1,IF(AND($E15=2,IF($W15=1,AHV15,LG15)=0),1000000000,IF($V15=1,INDEX('calcA'!$D$130:$EQ$169,$B15,69)+IF(AND($E15=1,LG15=0),25,0),IF($F15&gt;0,INDEX('calcA'!BT$110:BT$114,$F15+1)+IF(AND($E15=1,LG15=0),1000,0),MIN(TW15,20)*400+(IF('calcA'!BS$106=1,1-FQ15,0)+IF('calcA'!BT$106=1,1-FS15,0))*150+213+'calcA'!BT$5*100000+IF(AND($E15=1,LG15=0),50000,0))+IF($H15=1,INDEX('calcA'!$D$180:$EQ$219,$B15,69)*4000,0)-IF(AND('calcA'!BS$117=1,WQ15&gt;0),2000,0)-IF(AND($U15=1,'calcA'!BT$117=1,FS15=0),2000,0))),1000000000))</f>
        <v/>
      </c>
      <c r="QW15">
        <f>IF($B15=0,1000000000,IF(INDEX('calcA'!$D$60:$EQ$99,$B15,70)*IF($W15=1,FS15+ACH15,FS15)=1,IF(AND($E15=2,IF($W15=1,AHW15,LH15)=0),1000000000,IF($V15=1,INDEX('calcA'!$D$130:$EQ$169,$B15,70)+IF(AND($E15=1,LH15=0),25,0),IF($F15&gt;0,INDEX('calcA'!BU$110:BU$114,$F15+1)+IF(AND($E15=1,LH15=0),1000,0),MIN(TW15,20)*400+(IF('calcA'!BT$106=1,1-FR15,0)+IF('calcA'!BU$106=1,1-FT15,0))*150+223+'calcA'!BU$5*100000+IF(AND($E15=1,LH15=0),50000,0))+IF($H15=1,INDEX('calcA'!$D$180:$EQ$219,$B15,70)*4000,0)-IF(AND('calcA'!BT$117=1,WR15&gt;0),2000,0)-IF(AND($U15=1,'calcA'!BU$117=1,FT15=0),2000,0))),1000000000))</f>
        <v/>
      </c>
      <c r="QX15">
        <f>IF($B15=0,1000000000,IF(INDEX('calcA'!$D$60:$EQ$99,$B15,71)*IF($W15=1,FT15+ACI15,FT15)=1,IF(AND($E15=2,IF($W15=1,AHX15,LI15)=0),1000000000,IF($V15=1,INDEX('calcA'!$D$130:$EQ$169,$B15,71)+IF(AND($E15=1,LI15=0),25,0),IF($F15&gt;0,INDEX('calcA'!BV$110:BV$114,$F15+1)+IF(AND($E15=1,LI15=0),1000,0),MIN(TW15,20)*400+(IF('calcA'!BU$106=1,1-FS15,0)+IF('calcA'!BV$106=1,1-FU15,0))*150+233+'calcA'!BV$5*100000+IF(AND($E15=1,LI15=0),50000,0))+IF($H15=1,INDEX('calcA'!$D$180:$EQ$219,$B15,71)*4000,0)-IF(AND('calcA'!BU$117=1,WS15&gt;0),2000,0)-IF(AND($U15=1,'calcA'!BV$117=1,FU15=0),2000,0))),1000000000))</f>
        <v/>
      </c>
      <c r="QY15">
        <f>IF($B15=0,1000000000,IF(INDEX('calcA'!$D$60:$EQ$99,$B15,72)*IF($W15=1,FU15+ACJ15,FU15)=1,IF(AND($E15=2,IF($W15=1,AHY15,LJ15)=0),1000000000,IF($V15=1,INDEX('calcA'!$D$130:$EQ$169,$B15,72)+IF(AND($E15=1,LJ15=0),25,0),IF($F15&gt;0,INDEX('calcA'!BW$110:BW$114,$F15+1)+IF(AND($E15=1,LJ15=0),1000,0),MIN(TW15,20)*400+(IF('calcA'!BV$106=1,1-FT15,0))*150+243+'calcA'!BW$5*100000+IF(AND($E15=1,LJ15=0),50000,0))+IF($H15=1,INDEX('calcA'!$D$180:$EQ$219,$B15,72)*4000,0)-IF(AND('calcA'!BV$117=1,WT15&gt;0),2000,0))),1000000000))</f>
        <v/>
      </c>
      <c r="QZ15">
        <f>IF($B15=0,1000000000,IF(INDEX('calcA'!$D$60:$EQ$99,$B15,73)*IF($W15=1,FV15+ACK15,FV15)=1,IF(AND($E15=2,IF($W15=1,AHZ15,LK15)=0),1000000000,IF($V15=1,INDEX('calcA'!$D$130:$EQ$169,$B15,73)+IF(AND($E15=1,LK15=0),25,0),IF($F15&gt;0,INDEX('calcA'!BX$110:BX$114,$F15+1)+IF(AND($E15=1,LK15=0),1000,0),MIN(TX15,20)*400+(IF('calcA'!BX$106=1,1-FW15,0))*150+14+'calcA'!BX$5*100000+IF(AND($E15=1,LK15=0),50000,0))+IF($H15=1,INDEX('calcA'!$D$180:$EQ$219,$B15,73)*4000,0)-IF(AND($U15=1,'calcA'!BX$117=1,FW15=0),2000,0))),1000000000))</f>
        <v/>
      </c>
      <c r="RA15">
        <f>IF($B15=0,1000000000,IF(INDEX('calcA'!$D$60:$EQ$99,$B15,74)*IF($W15=1,FW15+ACL15,FW15)=1,IF(AND($E15=2,IF($W15=1,AIA15,LL15)=0),1000000000,IF($V15=1,INDEX('calcA'!$D$130:$EQ$169,$B15,74)+IF(AND($E15=1,LL15=0),25,0),IF($F15&gt;0,INDEX('calcA'!BY$110:BY$114,$F15+1)+IF(AND($E15=1,LL15=0),1000,0),MIN(TX15,20)*400+(IF('calcA'!BX$106=1,1-FV15,0)+IF('calcA'!BY$106=1,1-FX15,0))*150+24+'calcA'!BY$5*100000+IF(AND($E15=1,LL15=0),50000,0))+IF($H15=1,INDEX('calcA'!$D$180:$EQ$219,$B15,74)*4000,0)-IF(AND('calcA'!BX$117=1,WV15&gt;0),2000,0)-IF(AND($U15=1,'calcA'!BY$117=1,FX15=0),2000,0))),1000000000))</f>
        <v/>
      </c>
      <c r="RB15">
        <f>IF($B15=0,1000000000,IF(INDEX('calcA'!$D$60:$EQ$99,$B15,75)*IF($W15=1,FX15+ACM15,FX15)=1,IF(AND($E15=2,IF($W15=1,AIB15,LM15)=0),1000000000,IF($V15=1,INDEX('calcA'!$D$130:$EQ$169,$B15,75)+IF(AND($E15=1,LM15=0),25,0),IF($F15&gt;0,INDEX('calcA'!BZ$110:BZ$114,$F15+1)+IF(AND($E15=1,LM15=0),1000,0),MIN(TX15,20)*400+(IF('calcA'!BY$106=1,1-FW15,0)+IF('calcA'!BZ$106=1,1-FY15,0))*150+34+'calcA'!BZ$5*100000+IF(AND($E15=1,LM15=0),50000,0))+IF($H15=1,INDEX('calcA'!$D$180:$EQ$219,$B15,75)*4000,0)-IF(AND('calcA'!BY$117=1,WW15&gt;0),2000,0)-IF(AND($U15=1,'calcA'!BZ$117=1,FY15=0),2000,0))),1000000000))</f>
        <v/>
      </c>
      <c r="RC15">
        <f>IF($B15=0,1000000000,IF(INDEX('calcA'!$D$60:$EQ$99,$B15,76)*IF($W15=1,FY15+ACN15,FY15)=1,IF(AND($E15=2,IF($W15=1,AIC15,LN15)=0),1000000000,IF($V15=1,INDEX('calcA'!$D$130:$EQ$169,$B15,76)+IF(AND($E15=1,LN15=0),25,0),IF($F15&gt;0,INDEX('calcA'!CA$110:CA$114,$F15+1)+IF(AND($E15=1,LN15=0),1000,0),MIN(TX15,20)*400+(IF('calcA'!BZ$106=1,1-FX15,0)+IF('calcA'!CA$106=1,1-FZ15,0))*150+44+'calcA'!CA$5*100000+IF(AND($E15=1,LN15=0),50000,0))+IF($H15=1,INDEX('calcA'!$D$180:$EQ$219,$B15,76)*4000,0)-IF(AND('calcA'!BZ$117=1,WX15&gt;0),2000,0)-IF(AND($U15=1,'calcA'!CA$117=1,FZ15=0),2000,0))),1000000000))</f>
        <v/>
      </c>
      <c r="RD15">
        <f>IF($B15=0,1000000000,IF(INDEX('calcA'!$D$60:$EQ$99,$B15,77)*IF($W15=1,FZ15+ACO15,FZ15)=1,IF(AND($E15=2,IF($W15=1,AID15,LO15)=0),1000000000,IF($V15=1,INDEX('calcA'!$D$130:$EQ$169,$B15,77)+IF(AND($E15=1,LO15=0),25,0),IF($F15&gt;0,INDEX('calcA'!CB$110:CB$114,$F15+1)+IF(AND($E15=1,LO15=0),1000,0),MIN(TX15,20)*400+(IF('calcA'!CA$106=1,1-FY15,0)+IF('calcA'!CB$106=1,1-GA15,0))*150+54+'calcA'!CB$5*100000+IF(AND($E15=1,LO15=0),50000,0))+IF($H15=1,INDEX('calcA'!$D$180:$EQ$219,$B15,77)*4000,0)-IF(AND('calcA'!CA$117=1,WY15&gt;0),2000,0)-IF(AND($U15=1,'calcA'!CB$117=1,GA15=0),2000,0))),1000000000))</f>
        <v/>
      </c>
      <c r="RE15">
        <f>IF($B15=0,1000000000,IF(INDEX('calcA'!$D$60:$EQ$99,$B15,78)*IF($W15=1,GA15+ACP15,GA15)=1,IF(AND($E15=2,IF($W15=1,AIE15,LP15)=0),1000000000,IF($V15=1,INDEX('calcA'!$D$130:$EQ$169,$B15,78)+IF(AND($E15=1,LP15=0),25,0),IF($F15&gt;0,INDEX('calcA'!CC$110:CC$114,$F15+1)+IF(AND($E15=1,LP15=0),1000,0),MIN(TX15,20)*400+(IF('calcA'!CB$106=1,1-FZ15,0)+IF('calcA'!CC$106=1,1-GB15,0))*150+64+'calcA'!CC$5*100000+IF(AND($E15=1,LP15=0),50000,0))+IF($H15=1,INDEX('calcA'!$D$180:$EQ$219,$B15,78)*4000,0)-IF(AND('calcA'!CB$117=1,WZ15&gt;0),2000,0)-IF(AND($U15=1,'calcA'!CC$117=1,GB15=0),2000,0))),1000000000))</f>
        <v/>
      </c>
      <c r="RF15">
        <f>IF($B15=0,1000000000,IF(INDEX('calcA'!$D$60:$EQ$99,$B15,79)*IF($W15=1,GB15+ACQ15,GB15)=1,IF(AND($E15=2,IF($W15=1,AIF15,LQ15)=0),1000000000,IF($V15=1,INDEX('calcA'!$D$130:$EQ$169,$B15,79)+IF(AND($E15=1,LQ15=0),25,0),IF($F15&gt;0,INDEX('calcA'!CD$110:CD$114,$F15+1)+IF(AND($E15=1,LQ15=0),1000,0),MIN(TX15,20)*400+(IF('calcA'!CC$106=1,1-GA15,0)+IF('calcA'!CD$106=1,1-GC15,0))*150+74+'calcA'!CD$5*100000+IF(AND($E15=1,LQ15=0),50000,0))+IF($H15=1,INDEX('calcA'!$D$180:$EQ$219,$B15,79)*4000,0)-IF(AND('calcA'!CC$117=1,XA15&gt;0),2000,0)-IF(AND($U15=1,'calcA'!CD$117=1,GC15=0),2000,0))),1000000000))</f>
        <v/>
      </c>
      <c r="RG15">
        <f>IF($B15=0,1000000000,IF(INDEX('calcA'!$D$60:$EQ$99,$B15,80)*IF($W15=1,GC15+ACR15,GC15)=1,IF(AND($E15=2,IF($W15=1,AIG15,LR15)=0),1000000000,IF($V15=1,INDEX('calcA'!$D$130:$EQ$169,$B15,80)+IF(AND($E15=1,LR15=0),25,0),IF($F15&gt;0,INDEX('calcA'!CE$110:CE$114,$F15+1)+IF(AND($E15=1,LR15=0),1000,0),MIN(TX15,20)*400+(IF('calcA'!CD$106=1,1-GB15,0)+IF('calcA'!CE$106=1,1-GD15,0))*150+84+'calcA'!CE$5*100000+IF(AND($E15=1,LR15=0),50000,0))+IF($H15=1,INDEX('calcA'!$D$180:$EQ$219,$B15,80)*4000,0)-IF(AND('calcA'!CD$117=1,XB15&gt;0),2000,0)-IF(AND($U15=1,'calcA'!CE$117=1,GD15=0),2000,0))),1000000000))</f>
        <v/>
      </c>
      <c r="RH15">
        <f>IF($B15=0,1000000000,IF(INDEX('calcA'!$D$60:$EQ$99,$B15,81)*IF($W15=1,GD15+ACS15,GD15)=1,IF(AND($E15=2,IF($W15=1,AIH15,LS15)=0),1000000000,IF($V15=1,INDEX('calcA'!$D$130:$EQ$169,$B15,81)+IF(AND($E15=1,LS15=0),25,0),IF($F15&gt;0,INDEX('calcA'!CF$110:CF$114,$F15+1)+IF(AND($E15=1,LS15=0),1000,0),MIN(TX15,20)*400+(IF('calcA'!CE$106=1,1-GC15,0)+IF('calcA'!CF$106=1,1-GE15,0))*150+94+'calcA'!CF$5*100000+IF(AND($E15=1,LS15=0),50000,0))+IF($H15=1,INDEX('calcA'!$D$180:$EQ$219,$B15,81)*4000,0)-IF(AND('calcA'!CE$117=1,XC15&gt;0),2000,0)-IF(AND($U15=1,'calcA'!CF$117=1,GE15=0),2000,0))),1000000000))</f>
        <v/>
      </c>
      <c r="RI15">
        <f>IF($B15=0,1000000000,IF(INDEX('calcA'!$D$60:$EQ$99,$B15,82)*IF($W15=1,GE15+ACT15,GE15)=1,IF(AND($E15=2,IF($W15=1,AII15,LT15)=0),1000000000,IF($V15=1,INDEX('calcA'!$D$130:$EQ$169,$B15,82)+IF(AND($E15=1,LT15=0),25,0),IF($F15&gt;0,INDEX('calcA'!CG$110:CG$114,$F15+1)+IF(AND($E15=1,LT15=0),1000,0),MIN(TX15,20)*400+(IF('calcA'!CF$106=1,1-GD15,0)+IF('calcA'!CG$106=1,1-GF15,0))*150+104+'calcA'!CG$5*100000+IF(AND($E15=1,LT15=0),50000,0))+IF($H15=1,INDEX('calcA'!$D$180:$EQ$219,$B15,82)*4000,0)-IF(AND('calcA'!CF$117=1,XD15&gt;0),2000,0)-IF(AND($U15=1,'calcA'!CG$117=1,GF15=0),2000,0))),1000000000))</f>
        <v/>
      </c>
      <c r="RJ15">
        <f>IF($B15=0,1000000000,IF(INDEX('calcA'!$D$60:$EQ$99,$B15,83)*IF($W15=1,GF15+ACU15,GF15)=1,IF(AND($E15=2,IF($W15=1,AIJ15,LU15)=0),1000000000,IF($V15=1,INDEX('calcA'!$D$130:$EQ$169,$B15,83)+IF(AND($E15=1,LU15=0),25,0),IF($F15&gt;0,INDEX('calcA'!CH$110:CH$114,$F15+1)+IF(AND($E15=1,LU15=0),1000,0),MIN(TX15,20)*400+(IF('calcA'!CG$106=1,1-GE15,0)+IF('calcA'!CH$106=1,1-GG15,0))*150+114+'calcA'!CH$5*100000+IF(AND($E15=1,LU15=0),50000,0))+IF($H15=1,INDEX('calcA'!$D$180:$EQ$219,$B15,83)*4000,0)-IF(AND('calcA'!CG$117=1,XE15&gt;0),2000,0)-IF(AND($U15=1,'calcA'!CH$117=1,GG15=0),2000,0))),1000000000))</f>
        <v/>
      </c>
      <c r="RK15">
        <f>IF($B15=0,1000000000,IF(INDEX('calcA'!$D$60:$EQ$99,$B15,84)*IF($W15=1,GG15+ACV15,GG15)=1,IF(AND($E15=2,IF($W15=1,AIK15,LV15)=0),1000000000,IF($V15=1,INDEX('calcA'!$D$130:$EQ$169,$B15,84)+IF(AND($E15=1,LV15=0),25,0),IF($F15&gt;0,INDEX('calcA'!CI$110:CI$114,$F15+1)+IF(AND($E15=1,LV15=0),1000,0),MIN(TX15,20)*400+(IF('calcA'!CH$106=1,1-GF15,0)+IF('calcA'!CI$106=1,1-GH15,0))*150+124+'calcA'!CI$5*100000+IF(AND($E15=1,LV15=0),50000,0))+IF($H15=1,INDEX('calcA'!$D$180:$EQ$219,$B15,84)*4000,0)-IF(AND('calcA'!CH$117=1,XF15&gt;0),2000,0)-IF(AND($U15=1,'calcA'!CI$117=1,GH15=0),2000,0))),1000000000))</f>
        <v/>
      </c>
      <c r="RL15">
        <f>IF($B15=0,1000000000,IF(INDEX('calcA'!$D$60:$EQ$99,$B15,85)*IF($W15=1,GH15+ACW15,GH15)=1,IF(AND($E15=2,IF($W15=1,AIL15,LW15)=0),1000000000,IF($V15=1,INDEX('calcA'!$D$130:$EQ$169,$B15,85)+IF(AND($E15=1,LW15=0),25,0),IF($F15&gt;0,INDEX('calcA'!CJ$110:CJ$114,$F15+1)+IF(AND($E15=1,LW15=0),1000,0),MIN(TX15,20)*400+(IF('calcA'!CI$106=1,1-GG15,0)+IF('calcA'!CJ$106=1,1-GI15,0))*150+134+'calcA'!CJ$5*100000+IF(AND($E15=1,LW15=0),50000,0))+IF($H15=1,INDEX('calcA'!$D$180:$EQ$219,$B15,85)*4000,0)-IF(AND('calcA'!CI$117=1,XG15&gt;0),2000,0)-IF(AND($U15=1,'calcA'!CJ$117=1,GI15=0),2000,0))),1000000000))</f>
        <v/>
      </c>
      <c r="RM15">
        <f>IF($B15=0,1000000000,IF(INDEX('calcA'!$D$60:$EQ$99,$B15,86)*IF($W15=1,GI15+ACX15,GI15)=1,IF(AND($E15=2,IF($W15=1,AIM15,LX15)=0),1000000000,IF($V15=1,INDEX('calcA'!$D$130:$EQ$169,$B15,86)+IF(AND($E15=1,LX15=0),25,0),IF($F15&gt;0,INDEX('calcA'!CK$110:CK$114,$F15+1)+IF(AND($E15=1,LX15=0),1000,0),MIN(TX15,20)*400+(IF('calcA'!CJ$106=1,1-GH15,0)+IF('calcA'!CK$106=1,1-GJ15,0))*150+144+'calcA'!CK$5*100000+IF(AND($E15=1,LX15=0),50000,0))+IF($H15=1,INDEX('calcA'!$D$180:$EQ$219,$B15,86)*4000,0)-IF(AND('calcA'!CJ$117=1,XH15&gt;0),2000,0)-IF(AND($U15=1,'calcA'!CK$117=1,GJ15=0),2000,0))),1000000000))</f>
        <v/>
      </c>
      <c r="RN15">
        <f>IF($B15=0,1000000000,IF(INDEX('calcA'!$D$60:$EQ$99,$B15,87)*IF($W15=1,GJ15+ACY15,GJ15)=1,IF(AND($E15=2,IF($W15=1,AIN15,LY15)=0),1000000000,IF($V15=1,INDEX('calcA'!$D$130:$EQ$169,$B15,87)+IF(AND($E15=1,LY15=0),25,0),IF($F15&gt;0,INDEX('calcA'!CL$110:CL$114,$F15+1)+IF(AND($E15=1,LY15=0),1000,0),MIN(TX15,20)*400+(IF('calcA'!CK$106=1,1-GI15,0)+IF('calcA'!CL$106=1,1-GK15,0))*150+154+'calcA'!CL$5*100000+IF(AND($E15=1,LY15=0),50000,0))+IF($H15=1,INDEX('calcA'!$D$180:$EQ$219,$B15,87)*4000,0)-IF(AND('calcA'!CK$117=1,XI15&gt;0),2000,0)-IF(AND($U15=1,'calcA'!CL$117=1,GK15=0),2000,0))),1000000000))</f>
        <v/>
      </c>
      <c r="RO15">
        <f>IF($B15=0,1000000000,IF(INDEX('calcA'!$D$60:$EQ$99,$B15,88)*IF($W15=1,GK15+ACZ15,GK15)=1,IF(AND($E15=2,IF($W15=1,AIO15,LZ15)=0),1000000000,IF($V15=1,INDEX('calcA'!$D$130:$EQ$169,$B15,88)+IF(AND($E15=1,LZ15=0),25,0),IF($F15&gt;0,INDEX('calcA'!CM$110:CM$114,$F15+1)+IF(AND($E15=1,LZ15=0),1000,0),MIN(TX15,20)*400+(IF('calcA'!CL$106=1,1-GJ15,0)+IF('calcA'!CM$106=1,1-GL15,0))*150+164+'calcA'!CM$5*100000+IF(AND($E15=1,LZ15=0),50000,0))+IF($H15=1,INDEX('calcA'!$D$180:$EQ$219,$B15,88)*4000,0)-IF(AND('calcA'!CL$117=1,XJ15&gt;0),2000,0)-IF(AND($U15=1,'calcA'!CM$117=1,GL15=0),2000,0))),1000000000))</f>
        <v/>
      </c>
      <c r="RP15">
        <f>IF($B15=0,1000000000,IF(INDEX('calcA'!$D$60:$EQ$99,$B15,89)*IF($W15=1,GL15+ADA15,GL15)=1,IF(AND($E15=2,IF($W15=1,AIP15,MA15)=0),1000000000,IF($V15=1,INDEX('calcA'!$D$130:$EQ$169,$B15,89)+IF(AND($E15=1,MA15=0),25,0),IF($F15&gt;0,INDEX('calcA'!CN$110:CN$114,$F15+1)+IF(AND($E15=1,MA15=0),1000,0),MIN(TX15,20)*400+(IF('calcA'!CM$106=1,1-GK15,0)+IF('calcA'!CN$106=1,1-GM15,0))*150+174+'calcA'!CN$5*100000+IF(AND($E15=1,MA15=0),50000,0))+IF($H15=1,INDEX('calcA'!$D$180:$EQ$219,$B15,89)*4000,0)-IF(AND('calcA'!CM$117=1,XK15&gt;0),2000,0)-IF(AND($U15=1,'calcA'!CN$117=1,GM15=0),2000,0))),1000000000))</f>
        <v/>
      </c>
      <c r="RQ15">
        <f>IF($B15=0,1000000000,IF(INDEX('calcA'!$D$60:$EQ$99,$B15,90)*IF($W15=1,GM15+ADB15,GM15)=1,IF(AND($E15=2,IF($W15=1,AIQ15,MB15)=0),1000000000,IF($V15=1,INDEX('calcA'!$D$130:$EQ$169,$B15,90)+IF(AND($E15=1,MB15=0),25,0),IF($F15&gt;0,INDEX('calcA'!CO$110:CO$114,$F15+1)+IF(AND($E15=1,MB15=0),1000,0),MIN(TX15,20)*400+(IF('calcA'!CN$106=1,1-GL15,0)+IF('calcA'!CO$106=1,1-GN15,0))*150+184+'calcA'!CO$5*100000+IF(AND($E15=1,MB15=0),50000,0))+IF($H15=1,INDEX('calcA'!$D$180:$EQ$219,$B15,90)*4000,0)-IF(AND('calcA'!CN$117=1,XL15&gt;0),2000,0)-IF(AND($U15=1,'calcA'!CO$117=1,GN15=0),2000,0))),1000000000))</f>
        <v/>
      </c>
      <c r="RR15">
        <f>IF($B15=0,1000000000,IF(INDEX('calcA'!$D$60:$EQ$99,$B15,91)*IF($W15=1,GN15+ADC15,GN15)=1,IF(AND($E15=2,IF($W15=1,AIR15,MC15)=0),1000000000,IF($V15=1,INDEX('calcA'!$D$130:$EQ$169,$B15,91)+IF(AND($E15=1,MC15=0),25,0),IF($F15&gt;0,INDEX('calcA'!CP$110:CP$114,$F15+1)+IF(AND($E15=1,MC15=0),1000,0),MIN(TX15,20)*400+(IF('calcA'!CO$106=1,1-GM15,0)+IF('calcA'!CP$106=1,1-GO15,0))*150+194+'calcA'!CP$5*100000+IF(AND($E15=1,MC15=0),50000,0))+IF($H15=1,INDEX('calcA'!$D$180:$EQ$219,$B15,91)*4000,0)-IF(AND('calcA'!CO$117=1,XM15&gt;0),2000,0)-IF(AND($U15=1,'calcA'!CP$117=1,GO15=0),2000,0))),1000000000))</f>
        <v/>
      </c>
      <c r="RS15">
        <f>IF($B15=0,1000000000,IF(INDEX('calcA'!$D$60:$EQ$99,$B15,92)*IF($W15=1,GO15+ADD15,GO15)=1,IF(AND($E15=2,IF($W15=1,AIS15,MD15)=0),1000000000,IF($V15=1,INDEX('calcA'!$D$130:$EQ$169,$B15,92)+IF(AND($E15=1,MD15=0),25,0),IF($F15&gt;0,INDEX('calcA'!CQ$110:CQ$114,$F15+1)+IF(AND($E15=1,MD15=0),1000,0),MIN(TX15,20)*400+(IF('calcA'!CP$106=1,1-GN15,0)+IF('calcA'!CQ$106=1,1-GP15,0))*150+204+'calcA'!CQ$5*100000+IF(AND($E15=1,MD15=0),50000,0))+IF($H15=1,INDEX('calcA'!$D$180:$EQ$219,$B15,92)*4000,0)-IF(AND('calcA'!CP$117=1,XN15&gt;0),2000,0)-IF(AND($U15=1,'calcA'!CQ$117=1,GP15=0),2000,0))),1000000000))</f>
        <v/>
      </c>
      <c r="RT15">
        <f>IF($B15=0,1000000000,IF(INDEX('calcA'!$D$60:$EQ$99,$B15,93)*IF($W15=1,GP15+ADE15,GP15)=1,IF(AND($E15=2,IF($W15=1,AIT15,ME15)=0),1000000000,IF($V15=1,INDEX('calcA'!$D$130:$EQ$169,$B15,93)+IF(AND($E15=1,ME15=0),25,0),IF($F15&gt;0,INDEX('calcA'!CR$110:CR$114,$F15+1)+IF(AND($E15=1,ME15=0),1000,0),MIN(TX15,20)*400+(IF('calcA'!CQ$106=1,1-GO15,0)+IF('calcA'!CR$106=1,1-GQ15,0))*150+214+'calcA'!CR$5*100000+IF(AND($E15=1,ME15=0),50000,0))+IF($H15=1,INDEX('calcA'!$D$180:$EQ$219,$B15,93)*4000,0)-IF(AND('calcA'!CQ$117=1,XO15&gt;0),2000,0)-IF(AND($U15=1,'calcA'!CR$117=1,GQ15=0),2000,0))),1000000000))</f>
        <v/>
      </c>
      <c r="RU15">
        <f>IF($B15=0,1000000000,IF(INDEX('calcA'!$D$60:$EQ$99,$B15,94)*IF($W15=1,GQ15+ADF15,GQ15)=1,IF(AND($E15=2,IF($W15=1,AIU15,MF15)=0),1000000000,IF($V15=1,INDEX('calcA'!$D$130:$EQ$169,$B15,94)+IF(AND($E15=1,MF15=0),25,0),IF($F15&gt;0,INDEX('calcA'!CS$110:CS$114,$F15+1)+IF(AND($E15=1,MF15=0),1000,0),MIN(TX15,20)*400+(IF('calcA'!CR$106=1,1-GP15,0)+IF('calcA'!CS$106=1,1-GR15,0))*150+224+'calcA'!CS$5*100000+IF(AND($E15=1,MF15=0),50000,0))+IF($H15=1,INDEX('calcA'!$D$180:$EQ$219,$B15,94)*4000,0)-IF(AND('calcA'!CR$117=1,XP15&gt;0),2000,0)-IF(AND($U15=1,'calcA'!CS$117=1,GR15=0),2000,0))),1000000000))</f>
        <v/>
      </c>
      <c r="RV15">
        <f>IF($B15=0,1000000000,IF(INDEX('calcA'!$D$60:$EQ$99,$B15,95)*IF($W15=1,GR15+ADG15,GR15)=1,IF(AND($E15=2,IF($W15=1,AIV15,MG15)=0),1000000000,IF($V15=1,INDEX('calcA'!$D$130:$EQ$169,$B15,95)+IF(AND($E15=1,MG15=0),25,0),IF($F15&gt;0,INDEX('calcA'!CT$110:CT$114,$F15+1)+IF(AND($E15=1,MG15=0),1000,0),MIN(TX15,20)*400+(IF('calcA'!CS$106=1,1-GQ15,0)+IF('calcA'!CT$106=1,1-GS15,0))*150+234+'calcA'!CT$5*100000+IF(AND($E15=1,MG15=0),50000,0))+IF($H15=1,INDEX('calcA'!$D$180:$EQ$219,$B15,95)*4000,0)-IF(AND('calcA'!CS$117=1,XQ15&gt;0),2000,0)-IF(AND($U15=1,'calcA'!CT$117=1,GS15=0),2000,0))),1000000000))</f>
        <v/>
      </c>
      <c r="RW15">
        <f>IF($B15=0,1000000000,IF(INDEX('calcA'!$D$60:$EQ$99,$B15,96)*IF($W15=1,GS15+ADH15,GS15)=1,IF(AND($E15=2,IF($W15=1,AIW15,MH15)=0),1000000000,IF($V15=1,INDEX('calcA'!$D$130:$EQ$169,$B15,96)+IF(AND($E15=1,MH15=0),25,0),IF($F15&gt;0,INDEX('calcA'!CU$110:CU$114,$F15+1)+IF(AND($E15=1,MH15=0),1000,0),MIN(TX15,20)*400+(IF('calcA'!CT$106=1,1-GR15,0))*150+244+'calcA'!CU$5*100000+IF(AND($E15=1,MH15=0),50000,0))+IF($H15=1,INDEX('calcA'!$D$180:$EQ$219,$B15,96)*4000,0)-IF(AND('calcA'!CT$117=1,XR15&gt;0),2000,0))),1000000000))</f>
        <v/>
      </c>
      <c r="RX15">
        <f>IF($B15=0,1000000000,IF(INDEX('calcA'!$D$60:$EQ$99,$B15,97)*IF($W15=1,GT15+ADI15,GT15)=1,IF(AND($E15=2,IF($W15=1,AIX15,MI15)=0),1000000000,IF($V15=1,INDEX('calcA'!$D$130:$EQ$169,$B15,97)+IF(AND($E15=1,MI15=0),25,0),IF($F15&gt;0,INDEX('calcA'!CV$110:CV$114,$F15+1)+IF(AND($E15=1,MI15=0),1000,0),MIN(TY15,20)*400+(IF('calcA'!CV$106=1,1-GU15,0))*150+15+'calcA'!CV$5*100000+IF(AND($E15=1,MI15=0),50000,0))+IF($H15=1,INDEX('calcA'!$D$180:$EQ$219,$B15,97)*4000,0)-IF(AND($U15=1,'calcA'!CV$117=1,GU15=0),2000,0))),1000000000))</f>
        <v/>
      </c>
      <c r="RY15">
        <f>IF($B15=0,1000000000,IF(INDEX('calcA'!$D$60:$EQ$99,$B15,98)*IF($W15=1,GU15+ADJ15,GU15)=1,IF(AND($E15=2,IF($W15=1,AIY15,MJ15)=0),1000000000,IF($V15=1,INDEX('calcA'!$D$130:$EQ$169,$B15,98)+IF(AND($E15=1,MJ15=0),25,0),IF($F15&gt;0,INDEX('calcA'!CW$110:CW$114,$F15+1)+IF(AND($E15=1,MJ15=0),1000,0),MIN(TY15,20)*400+(IF('calcA'!CV$106=1,1-GT15,0)+IF('calcA'!CW$106=1,1-GV15,0))*150+25+'calcA'!CW$5*100000+IF(AND($E15=1,MJ15=0),50000,0))+IF($H15=1,INDEX('calcA'!$D$180:$EQ$219,$B15,98)*4000,0)-IF(AND('calcA'!CV$117=1,XT15&gt;0),2000,0)-IF(AND($U15=1,'calcA'!CW$117=1,GV15=0),2000,0))),1000000000))</f>
        <v/>
      </c>
      <c r="RZ15">
        <f>IF($B15=0,1000000000,IF(INDEX('calcA'!$D$60:$EQ$99,$B15,99)*IF($W15=1,GV15+ADK15,GV15)=1,IF(AND($E15=2,IF($W15=1,AIZ15,MK15)=0),1000000000,IF($V15=1,INDEX('calcA'!$D$130:$EQ$169,$B15,99)+IF(AND($E15=1,MK15=0),25,0),IF($F15&gt;0,INDEX('calcA'!CX$110:CX$114,$F15+1)+IF(AND($E15=1,MK15=0),1000,0),MIN(TY15,20)*400+(IF('calcA'!CW$106=1,1-GU15,0)+IF('calcA'!CX$106=1,1-GW15,0))*150+35+'calcA'!CX$5*100000+IF(AND($E15=1,MK15=0),50000,0))+IF($H15=1,INDEX('calcA'!$D$180:$EQ$219,$B15,99)*4000,0)-IF(AND('calcA'!CW$117=1,XU15&gt;0),2000,0)-IF(AND($U15=1,'calcA'!CX$117=1,GW15=0),2000,0))),1000000000))</f>
        <v/>
      </c>
      <c r="SA15">
        <f>IF($B15=0,1000000000,IF(INDEX('calcA'!$D$60:$EQ$99,$B15,100)*IF($W15=1,GW15+ADL15,GW15)=1,IF(AND($E15=2,IF($W15=1,AJA15,ML15)=0),1000000000,IF($V15=1,INDEX('calcA'!$D$130:$EQ$169,$B15,100)+IF(AND($E15=1,ML15=0),25,0),IF($F15&gt;0,INDEX('calcA'!CY$110:CY$114,$F15+1)+IF(AND($E15=1,ML15=0),1000,0),MIN(TY15,20)*400+(IF('calcA'!CX$106=1,1-GV15,0)+IF('calcA'!CY$106=1,1-GX15,0))*150+45+'calcA'!CY$5*100000+IF(AND($E15=1,ML15=0),50000,0))+IF($H15=1,INDEX('calcA'!$D$180:$EQ$219,$B15,100)*4000,0)-IF(AND('calcA'!CX$117=1,XV15&gt;0),2000,0)-IF(AND($U15=1,'calcA'!CY$117=1,GX15=0),2000,0))),1000000000))</f>
        <v/>
      </c>
      <c r="SB15">
        <f>IF($B15=0,1000000000,IF(INDEX('calcA'!$D$60:$EQ$99,$B15,101)*IF($W15=1,GX15+ADM15,GX15)=1,IF(AND($E15=2,IF($W15=1,AJB15,MM15)=0),1000000000,IF($V15=1,INDEX('calcA'!$D$130:$EQ$169,$B15,101)+IF(AND($E15=1,MM15=0),25,0),IF($F15&gt;0,INDEX('calcA'!CZ$110:CZ$114,$F15+1)+IF(AND($E15=1,MM15=0),1000,0),MIN(TY15,20)*400+(IF('calcA'!CY$106=1,1-GW15,0)+IF('calcA'!CZ$106=1,1-GY15,0))*150+55+'calcA'!CZ$5*100000+IF(AND($E15=1,MM15=0),50000,0))+IF($H15=1,INDEX('calcA'!$D$180:$EQ$219,$B15,101)*4000,0)-IF(AND('calcA'!CY$117=1,XW15&gt;0),2000,0)-IF(AND($U15=1,'calcA'!CZ$117=1,GY15=0),2000,0))),1000000000))</f>
        <v/>
      </c>
      <c r="SC15">
        <f>IF($B15=0,1000000000,IF(INDEX('calcA'!$D$60:$EQ$99,$B15,102)*IF($W15=1,GY15+ADN15,GY15)=1,IF(AND($E15=2,IF($W15=1,AJC15,MN15)=0),1000000000,IF($V15=1,INDEX('calcA'!$D$130:$EQ$169,$B15,102)+IF(AND($E15=1,MN15=0),25,0),IF($F15&gt;0,INDEX('calcA'!DA$110:DA$114,$F15+1)+IF(AND($E15=1,MN15=0),1000,0),MIN(TY15,20)*400+(IF('calcA'!CZ$106=1,1-GX15,0)+IF('calcA'!DA$106=1,1-GZ15,0))*150+65+'calcA'!DA$5*100000+IF(AND($E15=1,MN15=0),50000,0))+IF($H15=1,INDEX('calcA'!$D$180:$EQ$219,$B15,102)*4000,0)-IF(AND('calcA'!CZ$117=1,XX15&gt;0),2000,0)-IF(AND($U15=1,'calcA'!DA$117=1,GZ15=0),2000,0))),1000000000))</f>
        <v/>
      </c>
      <c r="SD15">
        <f>IF($B15=0,1000000000,IF(INDEX('calcA'!$D$60:$EQ$99,$B15,103)*IF($W15=1,GZ15+ADO15,GZ15)=1,IF(AND($E15=2,IF($W15=1,AJD15,MO15)=0),1000000000,IF($V15=1,INDEX('calcA'!$D$130:$EQ$169,$B15,103)+IF(AND($E15=1,MO15=0),25,0),IF($F15&gt;0,INDEX('calcA'!DB$110:DB$114,$F15+1)+IF(AND($E15=1,MO15=0),1000,0),MIN(TY15,20)*400+(IF('calcA'!DA$106=1,1-GY15,0)+IF('calcA'!DB$106=1,1-HA15,0))*150+75+'calcA'!DB$5*100000+IF(AND($E15=1,MO15=0),50000,0))+IF($H15=1,INDEX('calcA'!$D$180:$EQ$219,$B15,103)*4000,0)-IF(AND('calcA'!DA$117=1,XY15&gt;0),2000,0)-IF(AND($U15=1,'calcA'!DB$117=1,HA15=0),2000,0))),1000000000))</f>
        <v/>
      </c>
      <c r="SE15">
        <f>IF($B15=0,1000000000,IF(INDEX('calcA'!$D$60:$EQ$99,$B15,104)*IF($W15=1,HA15+ADP15,HA15)=1,IF(AND($E15=2,IF($W15=1,AJE15,MP15)=0),1000000000,IF($V15=1,INDEX('calcA'!$D$130:$EQ$169,$B15,104)+IF(AND($E15=1,MP15=0),25,0),IF($F15&gt;0,INDEX('calcA'!DC$110:DC$114,$F15+1)+IF(AND($E15=1,MP15=0),1000,0),MIN(TY15,20)*400+(IF('calcA'!DB$106=1,1-GZ15,0)+IF('calcA'!DC$106=1,1-HB15,0))*150+85+'calcA'!DC$5*100000+IF(AND($E15=1,MP15=0),50000,0))+IF($H15=1,INDEX('calcA'!$D$180:$EQ$219,$B15,104)*4000,0)-IF(AND('calcA'!DB$117=1,XZ15&gt;0),2000,0)-IF(AND($U15=1,'calcA'!DC$117=1,HB15=0),2000,0))),1000000000))</f>
        <v/>
      </c>
      <c r="SF15">
        <f>IF($B15=0,1000000000,IF(INDEX('calcA'!$D$60:$EQ$99,$B15,105)*IF($W15=1,HB15+ADQ15,HB15)=1,IF(AND($E15=2,IF($W15=1,AJF15,MQ15)=0),1000000000,IF($V15=1,INDEX('calcA'!$D$130:$EQ$169,$B15,105)+IF(AND($E15=1,MQ15=0),25,0),IF($F15&gt;0,INDEX('calcA'!DD$110:DD$114,$F15+1)+IF(AND($E15=1,MQ15=0),1000,0),MIN(TY15,20)*400+(IF('calcA'!DC$106=1,1-HA15,0)+IF('calcA'!DD$106=1,1-HC15,0))*150+95+'calcA'!DD$5*100000+IF(AND($E15=1,MQ15=0),50000,0))+IF($H15=1,INDEX('calcA'!$D$180:$EQ$219,$B15,105)*4000,0)-IF(AND('calcA'!DC$117=1,YA15&gt;0),2000,0)-IF(AND($U15=1,'calcA'!DD$117=1,HC15=0),2000,0))),1000000000))</f>
        <v/>
      </c>
      <c r="SG15">
        <f>IF($B15=0,1000000000,IF(INDEX('calcA'!$D$60:$EQ$99,$B15,106)*IF($W15=1,HC15+ADR15,HC15)=1,IF(AND($E15=2,IF($W15=1,AJG15,MR15)=0),1000000000,IF($V15=1,INDEX('calcA'!$D$130:$EQ$169,$B15,106)+IF(AND($E15=1,MR15=0),25,0),IF($F15&gt;0,INDEX('calcA'!DE$110:DE$114,$F15+1)+IF(AND($E15=1,MR15=0),1000,0),MIN(TY15,20)*400+(IF('calcA'!DD$106=1,1-HB15,0)+IF('calcA'!DE$106=1,1-HD15,0))*150+105+'calcA'!DE$5*100000+IF(AND($E15=1,MR15=0),50000,0))+IF($H15=1,INDEX('calcA'!$D$180:$EQ$219,$B15,106)*4000,0)-IF(AND('calcA'!DD$117=1,YB15&gt;0),2000,0)-IF(AND($U15=1,'calcA'!DE$117=1,HD15=0),2000,0))),1000000000))</f>
        <v/>
      </c>
      <c r="SH15">
        <f>IF($B15=0,1000000000,IF(INDEX('calcA'!$D$60:$EQ$99,$B15,107)*IF($W15=1,HD15+ADS15,HD15)=1,IF(AND($E15=2,IF($W15=1,AJH15,MS15)=0),1000000000,IF($V15=1,INDEX('calcA'!$D$130:$EQ$169,$B15,107)+IF(AND($E15=1,MS15=0),25,0),IF($F15&gt;0,INDEX('calcA'!DF$110:DF$114,$F15+1)+IF(AND($E15=1,MS15=0),1000,0),MIN(TY15,20)*400+(IF('calcA'!DE$106=1,1-HC15,0)+IF('calcA'!DF$106=1,1-HE15,0))*150+115+'calcA'!DF$5*100000+IF(AND($E15=1,MS15=0),50000,0))+IF($H15=1,INDEX('calcA'!$D$180:$EQ$219,$B15,107)*4000,0)-IF(AND('calcA'!DE$117=1,YC15&gt;0),2000,0)-IF(AND($U15=1,'calcA'!DF$117=1,HE15=0),2000,0))),1000000000))</f>
        <v/>
      </c>
      <c r="SI15">
        <f>IF($B15=0,1000000000,IF(INDEX('calcA'!$D$60:$EQ$99,$B15,108)*IF($W15=1,HE15+ADT15,HE15)=1,IF(AND($E15=2,IF($W15=1,AJI15,MT15)=0),1000000000,IF($V15=1,INDEX('calcA'!$D$130:$EQ$169,$B15,108)+IF(AND($E15=1,MT15=0),25,0),IF($F15&gt;0,INDEX('calcA'!DG$110:DG$114,$F15+1)+IF(AND($E15=1,MT15=0),1000,0),MIN(TY15,20)*400+(IF('calcA'!DF$106=1,1-HD15,0)+IF('calcA'!DG$106=1,1-HF15,0))*150+125+'calcA'!DG$5*100000+IF(AND($E15=1,MT15=0),50000,0))+IF($H15=1,INDEX('calcA'!$D$180:$EQ$219,$B15,108)*4000,0)-IF(AND('calcA'!DF$117=1,YD15&gt;0),2000,0)-IF(AND($U15=1,'calcA'!DG$117=1,HF15=0),2000,0))),1000000000))</f>
        <v/>
      </c>
      <c r="SJ15">
        <f>IF($B15=0,1000000000,IF(INDEX('calcA'!$D$60:$EQ$99,$B15,109)*IF($W15=1,HF15+ADU15,HF15)=1,IF(AND($E15=2,IF($W15=1,AJJ15,MU15)=0),1000000000,IF($V15=1,INDEX('calcA'!$D$130:$EQ$169,$B15,109)+IF(AND($E15=1,MU15=0),25,0),IF($F15&gt;0,INDEX('calcA'!DH$110:DH$114,$F15+1)+IF(AND($E15=1,MU15=0),1000,0),MIN(TY15,20)*400+(IF('calcA'!DG$106=1,1-HE15,0)+IF('calcA'!DH$106=1,1-HG15,0))*150+135+'calcA'!DH$5*100000+IF(AND($E15=1,MU15=0),50000,0))+IF($H15=1,INDEX('calcA'!$D$180:$EQ$219,$B15,109)*4000,0)-IF(AND('calcA'!DG$117=1,YE15&gt;0),2000,0)-IF(AND($U15=1,'calcA'!DH$117=1,HG15=0),2000,0))),1000000000))</f>
        <v/>
      </c>
      <c r="SK15">
        <f>IF($B15=0,1000000000,IF(INDEX('calcA'!$D$60:$EQ$99,$B15,110)*IF($W15=1,HG15+ADV15,HG15)=1,IF(AND($E15=2,IF($W15=1,AJK15,MV15)=0),1000000000,IF($V15=1,INDEX('calcA'!$D$130:$EQ$169,$B15,110)+IF(AND($E15=1,MV15=0),25,0),IF($F15&gt;0,INDEX('calcA'!DI$110:DI$114,$F15+1)+IF(AND($E15=1,MV15=0),1000,0),MIN(TY15,20)*400+(IF('calcA'!DH$106=1,1-HF15,0)+IF('calcA'!DI$106=1,1-HH15,0))*150+145+'calcA'!DI$5*100000+IF(AND($E15=1,MV15=0),50000,0))+IF($H15=1,INDEX('calcA'!$D$180:$EQ$219,$B15,110)*4000,0)-IF(AND('calcA'!DH$117=1,YF15&gt;0),2000,0)-IF(AND($U15=1,'calcA'!DI$117=1,HH15=0),2000,0))),1000000000))</f>
        <v/>
      </c>
      <c r="SL15">
        <f>IF($B15=0,1000000000,IF(INDEX('calcA'!$D$60:$EQ$99,$B15,111)*IF($W15=1,HH15+ADW15,HH15)=1,IF(AND($E15=2,IF($W15=1,AJL15,MW15)=0),1000000000,IF($V15=1,INDEX('calcA'!$D$130:$EQ$169,$B15,111)+IF(AND($E15=1,MW15=0),25,0),IF($F15&gt;0,INDEX('calcA'!DJ$110:DJ$114,$F15+1)+IF(AND($E15=1,MW15=0),1000,0),MIN(TY15,20)*400+(IF('calcA'!DI$106=1,1-HG15,0)+IF('calcA'!DJ$106=1,1-HI15,0))*150+155+'calcA'!DJ$5*100000+IF(AND($E15=1,MW15=0),50000,0))+IF($H15=1,INDEX('calcA'!$D$180:$EQ$219,$B15,111)*4000,0)-IF(AND('calcA'!DI$117=1,YG15&gt;0),2000,0)-IF(AND($U15=1,'calcA'!DJ$117=1,HI15=0),2000,0))),1000000000))</f>
        <v/>
      </c>
      <c r="SM15">
        <f>IF($B15=0,1000000000,IF(INDEX('calcA'!$D$60:$EQ$99,$B15,112)*IF($W15=1,HI15+ADX15,HI15)=1,IF(AND($E15=2,IF($W15=1,AJM15,MX15)=0),1000000000,IF($V15=1,INDEX('calcA'!$D$130:$EQ$169,$B15,112)+IF(AND($E15=1,MX15=0),25,0),IF($F15&gt;0,INDEX('calcA'!DK$110:DK$114,$F15+1)+IF(AND($E15=1,MX15=0),1000,0),MIN(TY15,20)*400+(IF('calcA'!DJ$106=1,1-HH15,0)+IF('calcA'!DK$106=1,1-HJ15,0))*150+165+'calcA'!DK$5*100000+IF(AND($E15=1,MX15=0),50000,0))+IF($H15=1,INDEX('calcA'!$D$180:$EQ$219,$B15,112)*4000,0)-IF(AND('calcA'!DJ$117=1,YH15&gt;0),2000,0)-IF(AND($U15=1,'calcA'!DK$117=1,HJ15=0),2000,0))),1000000000))</f>
        <v/>
      </c>
      <c r="SN15">
        <f>IF($B15=0,1000000000,IF(INDEX('calcA'!$D$60:$EQ$99,$B15,113)*IF($W15=1,HJ15+ADY15,HJ15)=1,IF(AND($E15=2,IF($W15=1,AJN15,MY15)=0),1000000000,IF($V15=1,INDEX('calcA'!$D$130:$EQ$169,$B15,113)+IF(AND($E15=1,MY15=0),25,0),IF($F15&gt;0,INDEX('calcA'!DL$110:DL$114,$F15+1)+IF(AND($E15=1,MY15=0),1000,0),MIN(TY15,20)*400+(IF('calcA'!DK$106=1,1-HI15,0)+IF('calcA'!DL$106=1,1-HK15,0))*150+175+'calcA'!DL$5*100000+IF(AND($E15=1,MY15=0),50000,0))+IF($H15=1,INDEX('calcA'!$D$180:$EQ$219,$B15,113)*4000,0)-IF(AND('calcA'!DK$117=1,YI15&gt;0),2000,0)-IF(AND($U15=1,'calcA'!DL$117=1,HK15=0),2000,0))),1000000000))</f>
        <v/>
      </c>
      <c r="SO15">
        <f>IF($B15=0,1000000000,IF(INDEX('calcA'!$D$60:$EQ$99,$B15,114)*IF($W15=1,HK15+ADZ15,HK15)=1,IF(AND($E15=2,IF($W15=1,AJO15,MZ15)=0),1000000000,IF($V15=1,INDEX('calcA'!$D$130:$EQ$169,$B15,114)+IF(AND($E15=1,MZ15=0),25,0),IF($F15&gt;0,INDEX('calcA'!DM$110:DM$114,$F15+1)+IF(AND($E15=1,MZ15=0),1000,0),MIN(TY15,20)*400+(IF('calcA'!DL$106=1,1-HJ15,0)+IF('calcA'!DM$106=1,1-HL15,0))*150+185+'calcA'!DM$5*100000+IF(AND($E15=1,MZ15=0),50000,0))+IF($H15=1,INDEX('calcA'!$D$180:$EQ$219,$B15,114)*4000,0)-IF(AND('calcA'!DL$117=1,YJ15&gt;0),2000,0)-IF(AND($U15=1,'calcA'!DM$117=1,HL15=0),2000,0))),1000000000))</f>
        <v/>
      </c>
      <c r="SP15">
        <f>IF($B15=0,1000000000,IF(INDEX('calcA'!$D$60:$EQ$99,$B15,115)*IF($W15=1,HL15+AEA15,HL15)=1,IF(AND($E15=2,IF($W15=1,AJP15,NA15)=0),1000000000,IF($V15=1,INDEX('calcA'!$D$130:$EQ$169,$B15,115)+IF(AND($E15=1,NA15=0),25,0),IF($F15&gt;0,INDEX('calcA'!DN$110:DN$114,$F15+1)+IF(AND($E15=1,NA15=0),1000,0),MIN(TY15,20)*400+(IF('calcA'!DM$106=1,1-HK15,0)+IF('calcA'!DN$106=1,1-HM15,0))*150+195+'calcA'!DN$5*100000+IF(AND($E15=1,NA15=0),50000,0))+IF($H15=1,INDEX('calcA'!$D$180:$EQ$219,$B15,115)*4000,0)-IF(AND('calcA'!DM$117=1,YK15&gt;0),2000,0)-IF(AND($U15=1,'calcA'!DN$117=1,HM15=0),2000,0))),1000000000))</f>
        <v/>
      </c>
      <c r="SQ15">
        <f>IF($B15=0,1000000000,IF(INDEX('calcA'!$D$60:$EQ$99,$B15,116)*IF($W15=1,HM15+AEB15,HM15)=1,IF(AND($E15=2,IF($W15=1,AJQ15,NB15)=0),1000000000,IF($V15=1,INDEX('calcA'!$D$130:$EQ$169,$B15,116)+IF(AND($E15=1,NB15=0),25,0),IF($F15&gt;0,INDEX('calcA'!DO$110:DO$114,$F15+1)+IF(AND($E15=1,NB15=0),1000,0),MIN(TY15,20)*400+(IF('calcA'!DN$106=1,1-HL15,0)+IF('calcA'!DO$106=1,1-HN15,0))*150+205+'calcA'!DO$5*100000+IF(AND($E15=1,NB15=0),50000,0))+IF($H15=1,INDEX('calcA'!$D$180:$EQ$219,$B15,116)*4000,0)-IF(AND('calcA'!DN$117=1,YL15&gt;0),2000,0)-IF(AND($U15=1,'calcA'!DO$117=1,HN15=0),2000,0))),1000000000))</f>
        <v/>
      </c>
      <c r="SR15">
        <f>IF($B15=0,1000000000,IF(INDEX('calcA'!$D$60:$EQ$99,$B15,117)*IF($W15=1,HN15+AEC15,HN15)=1,IF(AND($E15=2,IF($W15=1,AJR15,NC15)=0),1000000000,IF($V15=1,INDEX('calcA'!$D$130:$EQ$169,$B15,117)+IF(AND($E15=1,NC15=0),25,0),IF($F15&gt;0,INDEX('calcA'!DP$110:DP$114,$F15+1)+IF(AND($E15=1,NC15=0),1000,0),MIN(TY15,20)*400+(IF('calcA'!DO$106=1,1-HM15,0)+IF('calcA'!DP$106=1,1-HO15,0))*150+215+'calcA'!DP$5*100000+IF(AND($E15=1,NC15=0),50000,0))+IF($H15=1,INDEX('calcA'!$D$180:$EQ$219,$B15,117)*4000,0)-IF(AND('calcA'!DO$117=1,YM15&gt;0),2000,0)-IF(AND($U15=1,'calcA'!DP$117=1,HO15=0),2000,0))),1000000000))</f>
        <v/>
      </c>
      <c r="SS15">
        <f>IF($B15=0,1000000000,IF(INDEX('calcA'!$D$60:$EQ$99,$B15,118)*IF($W15=1,HO15+AED15,HO15)=1,IF(AND($E15=2,IF($W15=1,AJS15,ND15)=0),1000000000,IF($V15=1,INDEX('calcA'!$D$130:$EQ$169,$B15,118)+IF(AND($E15=1,ND15=0),25,0),IF($F15&gt;0,INDEX('calcA'!DQ$110:DQ$114,$F15+1)+IF(AND($E15=1,ND15=0),1000,0),MIN(TY15,20)*400+(IF('calcA'!DP$106=1,1-HN15,0)+IF('calcA'!DQ$106=1,1-HP15,0))*150+225+'calcA'!DQ$5*100000+IF(AND($E15=1,ND15=0),50000,0))+IF($H15=1,INDEX('calcA'!$D$180:$EQ$219,$B15,118)*4000,0)-IF(AND('calcA'!DP$117=1,YN15&gt;0),2000,0)-IF(AND($U15=1,'calcA'!DQ$117=1,HP15=0),2000,0))),1000000000))</f>
        <v/>
      </c>
      <c r="ST15">
        <f>IF($B15=0,1000000000,IF(INDEX('calcA'!$D$60:$EQ$99,$B15,119)*IF($W15=1,HP15+AEE15,HP15)=1,IF(AND($E15=2,IF($W15=1,AJT15,NE15)=0),1000000000,IF($V15=1,INDEX('calcA'!$D$130:$EQ$169,$B15,119)+IF(AND($E15=1,NE15=0),25,0),IF($F15&gt;0,INDEX('calcA'!DR$110:DR$114,$F15+1)+IF(AND($E15=1,NE15=0),1000,0),MIN(TY15,20)*400+(IF('calcA'!DQ$106=1,1-HO15,0)+IF('calcA'!DR$106=1,1-HQ15,0))*150+235+'calcA'!DR$5*100000+IF(AND($E15=1,NE15=0),50000,0))+IF($H15=1,INDEX('calcA'!$D$180:$EQ$219,$B15,119)*4000,0)-IF(AND('calcA'!DQ$117=1,YO15&gt;0),2000,0)-IF(AND($U15=1,'calcA'!DR$117=1,HQ15=0),2000,0))),1000000000))</f>
        <v/>
      </c>
      <c r="SU15">
        <f>IF($B15=0,1000000000,IF(INDEX('calcA'!$D$60:$EQ$99,$B15,120)*IF($W15=1,HQ15+AEF15,HQ15)=1,IF(AND($E15=2,IF($W15=1,AJU15,NF15)=0),1000000000,IF($V15=1,INDEX('calcA'!$D$130:$EQ$169,$B15,120)+IF(AND($E15=1,NF15=0),25,0),IF($F15&gt;0,INDEX('calcA'!DS$110:DS$114,$F15+1)+IF(AND($E15=1,NF15=0),1000,0),MIN(TY15,20)*400+(IF('calcA'!DR$106=1,1-HP15,0))*150+245+'calcA'!DS$5*100000+IF(AND($E15=1,NF15=0),50000,0))+IF($H15=1,INDEX('calcA'!$D$180:$EQ$219,$B15,120)*4000,0)-IF(AND('calcA'!DR$117=1,YP15&gt;0),2000,0))),1000000000))</f>
        <v/>
      </c>
      <c r="SV15">
        <f>IF($B15=0,1000000000,IF(INDEX('calcA'!$D$60:$EQ$99,$B15,121)*IF($W15=1,HR15+AEG15,HR15)=1,IF(AND($E15=2,IF($W15=1,AJV15,NG15)=0),1000000000,IF($V15=1,INDEX('calcA'!$D$130:$EQ$169,$B15,121)+IF(AND($E15=1,NG15=0),25,0),IF($F15&gt;0,INDEX('calcA'!DT$110:DT$114,$F15+1)+IF(AND($E15=1,NG15=0),1000,0),MIN(TZ15,20)*400+(IF('calcA'!DT$106=1,1-HS15,0))*150+16+'calcA'!DT$5*100000+IF(AND($E15=1,NG15=0),50000,0))+IF($H15=1,INDEX('calcA'!$D$180:$EQ$219,$B15,121)*4000,0)-IF(AND($U15=1,'calcA'!DT$117=1,HS15=0),2000,0))),1000000000))</f>
        <v/>
      </c>
      <c r="SW15">
        <f>IF($B15=0,1000000000,IF(INDEX('calcA'!$D$60:$EQ$99,$B15,122)*IF($W15=1,HS15+AEH15,HS15)=1,IF(AND($E15=2,IF($W15=1,AJW15,NH15)=0),1000000000,IF($V15=1,INDEX('calcA'!$D$130:$EQ$169,$B15,122)+IF(AND($E15=1,NH15=0),25,0),IF($F15&gt;0,INDEX('calcA'!DU$110:DU$114,$F15+1)+IF(AND($E15=1,NH15=0),1000,0),MIN(TZ15,20)*400+(IF('calcA'!DT$106=1,1-HR15,0)+IF('calcA'!DU$106=1,1-HT15,0))*150+26+'calcA'!DU$5*100000+IF(AND($E15=1,NH15=0),50000,0))+IF($H15=1,INDEX('calcA'!$D$180:$EQ$219,$B15,122)*4000,0)-IF(AND('calcA'!DT$117=1,YR15&gt;0),2000,0)-IF(AND($U15=1,'calcA'!DU$117=1,HT15=0),2000,0))),1000000000))</f>
        <v/>
      </c>
      <c r="SX15">
        <f>IF($B15=0,1000000000,IF(INDEX('calcA'!$D$60:$EQ$99,$B15,123)*IF($W15=1,HT15+AEI15,HT15)=1,IF(AND($E15=2,IF($W15=1,AJX15,NI15)=0),1000000000,IF($V15=1,INDEX('calcA'!$D$130:$EQ$169,$B15,123)+IF(AND($E15=1,NI15=0),25,0),IF($F15&gt;0,INDEX('calcA'!DV$110:DV$114,$F15+1)+IF(AND($E15=1,NI15=0),1000,0),MIN(TZ15,20)*400+(IF('calcA'!DU$106=1,1-HS15,0)+IF('calcA'!DV$106=1,1-HU15,0))*150+36+'calcA'!DV$5*100000+IF(AND($E15=1,NI15=0),50000,0))+IF($H15=1,INDEX('calcA'!$D$180:$EQ$219,$B15,123)*4000,0)-IF(AND('calcA'!DU$117=1,YS15&gt;0),2000,0)-IF(AND($U15=1,'calcA'!DV$117=1,HU15=0),2000,0))),1000000000))</f>
        <v/>
      </c>
      <c r="SY15">
        <f>IF($B15=0,1000000000,IF(INDEX('calcA'!$D$60:$EQ$99,$B15,124)*IF($W15=1,HU15+AEJ15,HU15)=1,IF(AND($E15=2,IF($W15=1,AJY15,NJ15)=0),1000000000,IF($V15=1,INDEX('calcA'!$D$130:$EQ$169,$B15,124)+IF(AND($E15=1,NJ15=0),25,0),IF($F15&gt;0,INDEX('calcA'!DW$110:DW$114,$F15+1)+IF(AND($E15=1,NJ15=0),1000,0),MIN(TZ15,20)*400+(IF('calcA'!DV$106=1,1-HT15,0)+IF('calcA'!DW$106=1,1-HV15,0))*150+46+'calcA'!DW$5*100000+IF(AND($E15=1,NJ15=0),50000,0))+IF($H15=1,INDEX('calcA'!$D$180:$EQ$219,$B15,124)*4000,0)-IF(AND('calcA'!DV$117=1,YT15&gt;0),2000,0)-IF(AND($U15=1,'calcA'!DW$117=1,HV15=0),2000,0))),1000000000))</f>
        <v/>
      </c>
      <c r="SZ15">
        <f>IF($B15=0,1000000000,IF(INDEX('calcA'!$D$60:$EQ$99,$B15,125)*IF($W15=1,HV15+AEK15,HV15)=1,IF(AND($E15=2,IF($W15=1,AJZ15,NK15)=0),1000000000,IF($V15=1,INDEX('calcA'!$D$130:$EQ$169,$B15,125)+IF(AND($E15=1,NK15=0),25,0),IF($F15&gt;0,INDEX('calcA'!DX$110:DX$114,$F15+1)+IF(AND($E15=1,NK15=0),1000,0),MIN(TZ15,20)*400+(IF('calcA'!DW$106=1,1-HU15,0)+IF('calcA'!DX$106=1,1-HW15,0))*150+56+'calcA'!DX$5*100000+IF(AND($E15=1,NK15=0),50000,0))+IF($H15=1,INDEX('calcA'!$D$180:$EQ$219,$B15,125)*4000,0)-IF(AND('calcA'!DW$117=1,YU15&gt;0),2000,0)-IF(AND($U15=1,'calcA'!DX$117=1,HW15=0),2000,0))),1000000000))</f>
        <v/>
      </c>
      <c r="TA15">
        <f>IF($B15=0,1000000000,IF(INDEX('calcA'!$D$60:$EQ$99,$B15,126)*IF($W15=1,HW15+AEL15,HW15)=1,IF(AND($E15=2,IF($W15=1,AKA15,NL15)=0),1000000000,IF($V15=1,INDEX('calcA'!$D$130:$EQ$169,$B15,126)+IF(AND($E15=1,NL15=0),25,0),IF($F15&gt;0,INDEX('calcA'!DY$110:DY$114,$F15+1)+IF(AND($E15=1,NL15=0),1000,0),MIN(TZ15,20)*400+(IF('calcA'!DX$106=1,1-HV15,0)+IF('calcA'!DY$106=1,1-HX15,0))*150+66+'calcA'!DY$5*100000+IF(AND($E15=1,NL15=0),50000,0))+IF($H15=1,INDEX('calcA'!$D$180:$EQ$219,$B15,126)*4000,0)-IF(AND('calcA'!DX$117=1,YV15&gt;0),2000,0)-IF(AND($U15=1,'calcA'!DY$117=1,HX15=0),2000,0))),1000000000))</f>
        <v/>
      </c>
      <c r="TB15">
        <f>IF($B15=0,1000000000,IF(INDEX('calcA'!$D$60:$EQ$99,$B15,127)*IF($W15=1,HX15+AEM15,HX15)=1,IF(AND($E15=2,IF($W15=1,AKB15,NM15)=0),1000000000,IF($V15=1,INDEX('calcA'!$D$130:$EQ$169,$B15,127)+IF(AND($E15=1,NM15=0),25,0),IF($F15&gt;0,INDEX('calcA'!DZ$110:DZ$114,$F15+1)+IF(AND($E15=1,NM15=0),1000,0),MIN(TZ15,20)*400+(IF('calcA'!DY$106=1,1-HW15,0)+IF('calcA'!DZ$106=1,1-HY15,0))*150+76+'calcA'!DZ$5*100000+IF(AND($E15=1,NM15=0),50000,0))+IF($H15=1,INDEX('calcA'!$D$180:$EQ$219,$B15,127)*4000,0)-IF(AND('calcA'!DY$117=1,YW15&gt;0),2000,0)-IF(AND($U15=1,'calcA'!DZ$117=1,HY15=0),2000,0))),1000000000))</f>
        <v/>
      </c>
      <c r="TC15">
        <f>IF($B15=0,1000000000,IF(INDEX('calcA'!$D$60:$EQ$99,$B15,128)*IF($W15=1,HY15+AEN15,HY15)=1,IF(AND($E15=2,IF($W15=1,AKC15,NN15)=0),1000000000,IF($V15=1,INDEX('calcA'!$D$130:$EQ$169,$B15,128)+IF(AND($E15=1,NN15=0),25,0),IF($F15&gt;0,INDEX('calcA'!EA$110:EA$114,$F15+1)+IF(AND($E15=1,NN15=0),1000,0),MIN(TZ15,20)*400+(IF('calcA'!DZ$106=1,1-HX15,0)+IF('calcA'!EA$106=1,1-HZ15,0))*150+86+'calcA'!EA$5*100000+IF(AND($E15=1,NN15=0),50000,0))+IF($H15=1,INDEX('calcA'!$D$180:$EQ$219,$B15,128)*4000,0)-IF(AND('calcA'!DZ$117=1,YX15&gt;0),2000,0)-IF(AND($U15=1,'calcA'!EA$117=1,HZ15=0),2000,0))),1000000000))</f>
        <v/>
      </c>
      <c r="TD15">
        <f>IF($B15=0,1000000000,IF(INDEX('calcA'!$D$60:$EQ$99,$B15,129)*IF($W15=1,HZ15+AEO15,HZ15)=1,IF(AND($E15=2,IF($W15=1,AKD15,NO15)=0),1000000000,IF($V15=1,INDEX('calcA'!$D$130:$EQ$169,$B15,129)+IF(AND($E15=1,NO15=0),25,0),IF($F15&gt;0,INDEX('calcA'!EB$110:EB$114,$F15+1)+IF(AND($E15=1,NO15=0),1000,0),MIN(TZ15,20)*400+(IF('calcA'!EA$106=1,1-HY15,0)+IF('calcA'!EB$106=1,1-IA15,0))*150+96+'calcA'!EB$5*100000+IF(AND($E15=1,NO15=0),50000,0))+IF($H15=1,INDEX('calcA'!$D$180:$EQ$219,$B15,129)*4000,0)-IF(AND('calcA'!EA$117=1,YY15&gt;0),2000,0)-IF(AND($U15=1,'calcA'!EB$117=1,IA15=0),2000,0))),1000000000))</f>
        <v/>
      </c>
      <c r="TE15">
        <f>IF($B15=0,1000000000,IF(INDEX('calcA'!$D$60:$EQ$99,$B15,130)*IF($W15=1,IA15+AEP15,IA15)=1,IF(AND($E15=2,IF($W15=1,AKE15,NP15)=0),1000000000,IF($V15=1,INDEX('calcA'!$D$130:$EQ$169,$B15,130)+IF(AND($E15=1,NP15=0),25,0),IF($F15&gt;0,INDEX('calcA'!EC$110:EC$114,$F15+1)+IF(AND($E15=1,NP15=0),1000,0),MIN(TZ15,20)*400+(IF('calcA'!EB$106=1,1-HZ15,0)+IF('calcA'!EC$106=1,1-IB15,0))*150+106+'calcA'!EC$5*100000+IF(AND($E15=1,NP15=0),50000,0))+IF($H15=1,INDEX('calcA'!$D$180:$EQ$219,$B15,130)*4000,0)-IF(AND('calcA'!EB$117=1,YZ15&gt;0),2000,0)-IF(AND($U15=1,'calcA'!EC$117=1,IB15=0),2000,0))),1000000000))</f>
        <v/>
      </c>
      <c r="TF15">
        <f>IF($B15=0,1000000000,IF(INDEX('calcA'!$D$60:$EQ$99,$B15,131)*IF($W15=1,IB15+AEQ15,IB15)=1,IF(AND($E15=2,IF($W15=1,AKF15,NQ15)=0),1000000000,IF($V15=1,INDEX('calcA'!$D$130:$EQ$169,$B15,131)+IF(AND($E15=1,NQ15=0),25,0),IF($F15&gt;0,INDEX('calcA'!ED$110:ED$114,$F15+1)+IF(AND($E15=1,NQ15=0),1000,0),MIN(TZ15,20)*400+(IF('calcA'!EC$106=1,1-IA15,0)+IF('calcA'!ED$106=1,1-IC15,0))*150+116+'calcA'!ED$5*100000+IF(AND($E15=1,NQ15=0),50000,0))+IF($H15=1,INDEX('calcA'!$D$180:$EQ$219,$B15,131)*4000,0)-IF(AND('calcA'!EC$117=1,ZA15&gt;0),2000,0)-IF(AND($U15=1,'calcA'!ED$117=1,IC15=0),2000,0))),1000000000))</f>
        <v/>
      </c>
      <c r="TG15">
        <f>IF($B15=0,1000000000,IF(INDEX('calcA'!$D$60:$EQ$99,$B15,132)*IF($W15=1,IC15+AER15,IC15)=1,IF(AND($E15=2,IF($W15=1,AKG15,NR15)=0),1000000000,IF($V15=1,INDEX('calcA'!$D$130:$EQ$169,$B15,132)+IF(AND($E15=1,NR15=0),25,0),IF($F15&gt;0,INDEX('calcA'!EE$110:EE$114,$F15+1)+IF(AND($E15=1,NR15=0),1000,0),MIN(TZ15,20)*400+(IF('calcA'!ED$106=1,1-IB15,0)+IF('calcA'!EE$106=1,1-ID15,0))*150+126+'calcA'!EE$5*100000+IF(AND($E15=1,NR15=0),50000,0))+IF($H15=1,INDEX('calcA'!$D$180:$EQ$219,$B15,132)*4000,0)-IF(AND('calcA'!ED$117=1,ZB15&gt;0),2000,0)-IF(AND($U15=1,'calcA'!EE$117=1,ID15=0),2000,0))),1000000000))</f>
        <v/>
      </c>
      <c r="TH15">
        <f>IF($B15=0,1000000000,IF(INDEX('calcA'!$D$60:$EQ$99,$B15,133)*IF($W15=1,ID15+AES15,ID15)=1,IF(AND($E15=2,IF($W15=1,AKH15,NS15)=0),1000000000,IF($V15=1,INDEX('calcA'!$D$130:$EQ$169,$B15,133)+IF(AND($E15=1,NS15=0),25,0),IF($F15&gt;0,INDEX('calcA'!EF$110:EF$114,$F15+1)+IF(AND($E15=1,NS15=0),1000,0),MIN(TZ15,20)*400+(IF('calcA'!EE$106=1,1-IC15,0)+IF('calcA'!EF$106=1,1-IE15,0))*150+136+'calcA'!EF$5*100000+IF(AND($E15=1,NS15=0),50000,0))+IF($H15=1,INDEX('calcA'!$D$180:$EQ$219,$B15,133)*4000,0)-IF(AND('calcA'!EE$117=1,ZC15&gt;0),2000,0)-IF(AND($U15=1,'calcA'!EF$117=1,IE15=0),2000,0))),1000000000))</f>
        <v/>
      </c>
      <c r="TI15">
        <f>IF($B15=0,1000000000,IF(INDEX('calcA'!$D$60:$EQ$99,$B15,134)*IF($W15=1,IE15+AET15,IE15)=1,IF(AND($E15=2,IF($W15=1,AKI15,NT15)=0),1000000000,IF($V15=1,INDEX('calcA'!$D$130:$EQ$169,$B15,134)+IF(AND($E15=1,NT15=0),25,0),IF($F15&gt;0,INDEX('calcA'!EG$110:EG$114,$F15+1)+IF(AND($E15=1,NT15=0),1000,0),MIN(TZ15,20)*400+(IF('calcA'!EF$106=1,1-ID15,0)+IF('calcA'!EG$106=1,1-IF15,0))*150+146+'calcA'!EG$5*100000+IF(AND($E15=1,NT15=0),50000,0))+IF($H15=1,INDEX('calcA'!$D$180:$EQ$219,$B15,134)*4000,0)-IF(AND('calcA'!EF$117=1,ZD15&gt;0),2000,0)-IF(AND($U15=1,'calcA'!EG$117=1,IF15=0),2000,0))),1000000000))</f>
        <v/>
      </c>
      <c r="TJ15">
        <f>IF($B15=0,1000000000,IF(INDEX('calcA'!$D$60:$EQ$99,$B15,135)*IF($W15=1,IF15+AEU15,IF15)=1,IF(AND($E15=2,IF($W15=1,AKJ15,NU15)=0),1000000000,IF($V15=1,INDEX('calcA'!$D$130:$EQ$169,$B15,135)+IF(AND($E15=1,NU15=0),25,0),IF($F15&gt;0,INDEX('calcA'!EH$110:EH$114,$F15+1)+IF(AND($E15=1,NU15=0),1000,0),MIN(TZ15,20)*400+(IF('calcA'!EG$106=1,1-IE15,0)+IF('calcA'!EH$106=1,1-IG15,0))*150+156+'calcA'!EH$5*100000+IF(AND($E15=1,NU15=0),50000,0))+IF($H15=1,INDEX('calcA'!$D$180:$EQ$219,$B15,135)*4000,0)-IF(AND('calcA'!EG$117=1,ZE15&gt;0),2000,0)-IF(AND($U15=1,'calcA'!EH$117=1,IG15=0),2000,0))),1000000000))</f>
        <v/>
      </c>
      <c r="TK15">
        <f>IF($B15=0,1000000000,IF(INDEX('calcA'!$D$60:$EQ$99,$B15,136)*IF($W15=1,IG15+AEV15,IG15)=1,IF(AND($E15=2,IF($W15=1,AKK15,NV15)=0),1000000000,IF($V15=1,INDEX('calcA'!$D$130:$EQ$169,$B15,136)+IF(AND($E15=1,NV15=0),25,0),IF($F15&gt;0,INDEX('calcA'!EI$110:EI$114,$F15+1)+IF(AND($E15=1,NV15=0),1000,0),MIN(TZ15,20)*400+(IF('calcA'!EH$106=1,1-IF15,0)+IF('calcA'!EI$106=1,1-IH15,0))*150+166+'calcA'!EI$5*100000+IF(AND($E15=1,NV15=0),50000,0))+IF($H15=1,INDEX('calcA'!$D$180:$EQ$219,$B15,136)*4000,0)-IF(AND('calcA'!EH$117=1,ZF15&gt;0),2000,0)-IF(AND($U15=1,'calcA'!EI$117=1,IH15=0),2000,0))),1000000000))</f>
        <v/>
      </c>
      <c r="TL15">
        <f>IF($B15=0,1000000000,IF(INDEX('calcA'!$D$60:$EQ$99,$B15,137)*IF($W15=1,IH15+AEW15,IH15)=1,IF(AND($E15=2,IF($W15=1,AKL15,NW15)=0),1000000000,IF($V15=1,INDEX('calcA'!$D$130:$EQ$169,$B15,137)+IF(AND($E15=1,NW15=0),25,0),IF($F15&gt;0,INDEX('calcA'!EJ$110:EJ$114,$F15+1)+IF(AND($E15=1,NW15=0),1000,0),MIN(TZ15,20)*400+(IF('calcA'!EI$106=1,1-IG15,0)+IF('calcA'!EJ$106=1,1-II15,0))*150+176+'calcA'!EJ$5*100000+IF(AND($E15=1,NW15=0),50000,0))+IF($H15=1,INDEX('calcA'!$D$180:$EQ$219,$B15,137)*4000,0)-IF(AND('calcA'!EI$117=1,ZG15&gt;0),2000,0)-IF(AND($U15=1,'calcA'!EJ$117=1,II15=0),2000,0))),1000000000))</f>
        <v/>
      </c>
      <c r="TM15">
        <f>IF($B15=0,1000000000,IF(INDEX('calcA'!$D$60:$EQ$99,$B15,138)*IF($W15=1,II15+AEX15,II15)=1,IF(AND($E15=2,IF($W15=1,AKM15,NX15)=0),1000000000,IF($V15=1,INDEX('calcA'!$D$130:$EQ$169,$B15,138)+IF(AND($E15=1,NX15=0),25,0),IF($F15&gt;0,INDEX('calcA'!EK$110:EK$114,$F15+1)+IF(AND($E15=1,NX15=0),1000,0),MIN(TZ15,20)*400+(IF('calcA'!EJ$106=1,1-IH15,0)+IF('calcA'!EK$106=1,1-IJ15,0))*150+186+'calcA'!EK$5*100000+IF(AND($E15=1,NX15=0),50000,0))+IF($H15=1,INDEX('calcA'!$D$180:$EQ$219,$B15,138)*4000,0)-IF(AND('calcA'!EJ$117=1,ZH15&gt;0),2000,0)-IF(AND($U15=1,'calcA'!EK$117=1,IJ15=0),2000,0))),1000000000))</f>
        <v/>
      </c>
      <c r="TN15">
        <f>IF($B15=0,1000000000,IF(INDEX('calcA'!$D$60:$EQ$99,$B15,139)*IF($W15=1,IJ15+AEY15,IJ15)=1,IF(AND($E15=2,IF($W15=1,AKN15,NY15)=0),1000000000,IF($V15=1,INDEX('calcA'!$D$130:$EQ$169,$B15,139)+IF(AND($E15=1,NY15=0),25,0),IF($F15&gt;0,INDEX('calcA'!EL$110:EL$114,$F15+1)+IF(AND($E15=1,NY15=0),1000,0),MIN(TZ15,20)*400+(IF('calcA'!EK$106=1,1-II15,0)+IF('calcA'!EL$106=1,1-IK15,0))*150+196+'calcA'!EL$5*100000+IF(AND($E15=1,NY15=0),50000,0))+IF($H15=1,INDEX('calcA'!$D$180:$EQ$219,$B15,139)*4000,0)-IF(AND('calcA'!EK$117=1,ZI15&gt;0),2000,0)-IF(AND($U15=1,'calcA'!EL$117=1,IK15=0),2000,0))),1000000000))</f>
        <v/>
      </c>
      <c r="TO15">
        <f>IF($B15=0,1000000000,IF(INDEX('calcA'!$D$60:$EQ$99,$B15,140)*IF($W15=1,IK15+AEZ15,IK15)=1,IF(AND($E15=2,IF($W15=1,AKO15,NZ15)=0),1000000000,IF($V15=1,INDEX('calcA'!$D$130:$EQ$169,$B15,140)+IF(AND($E15=1,NZ15=0),25,0),IF($F15&gt;0,INDEX('calcA'!EM$110:EM$114,$F15+1)+IF(AND($E15=1,NZ15=0),1000,0),MIN(TZ15,20)*400+(IF('calcA'!EL$106=1,1-IJ15,0)+IF('calcA'!EM$106=1,1-IL15,0))*150+206+'calcA'!EM$5*100000+IF(AND($E15=1,NZ15=0),50000,0))+IF($H15=1,INDEX('calcA'!$D$180:$EQ$219,$B15,140)*4000,0)-IF(AND('calcA'!EL$117=1,ZJ15&gt;0),2000,0)-IF(AND($U15=1,'calcA'!EM$117=1,IL15=0),2000,0))),1000000000))</f>
        <v/>
      </c>
      <c r="TP15">
        <f>IF($B15=0,1000000000,IF(INDEX('calcA'!$D$60:$EQ$99,$B15,141)*IF($W15=1,IL15+AFA15,IL15)=1,IF(AND($E15=2,IF($W15=1,AKP15,OA15)=0),1000000000,IF($V15=1,INDEX('calcA'!$D$130:$EQ$169,$B15,141)+IF(AND($E15=1,OA15=0),25,0),IF($F15&gt;0,INDEX('calcA'!EN$110:EN$114,$F15+1)+IF(AND($E15=1,OA15=0),1000,0),MIN(TZ15,20)*400+(IF('calcA'!EM$106=1,1-IK15,0)+IF('calcA'!EN$106=1,1-IM15,0))*150+216+'calcA'!EN$5*100000+IF(AND($E15=1,OA15=0),50000,0))+IF($H15=1,INDEX('calcA'!$D$180:$EQ$219,$B15,141)*4000,0)-IF(AND('calcA'!EM$117=1,ZK15&gt;0),2000,0)-IF(AND($U15=1,'calcA'!EN$117=1,IM15=0),2000,0))),1000000000))</f>
        <v/>
      </c>
      <c r="TQ15">
        <f>IF($B15=0,1000000000,IF(INDEX('calcA'!$D$60:$EQ$99,$B15,142)*IF($W15=1,IM15+AFB15,IM15)=1,IF(AND($E15=2,IF($W15=1,AKQ15,OB15)=0),1000000000,IF($V15=1,INDEX('calcA'!$D$130:$EQ$169,$B15,142)+IF(AND($E15=1,OB15=0),25,0),IF($F15&gt;0,INDEX('calcA'!EO$110:EO$114,$F15+1)+IF(AND($E15=1,OB15=0),1000,0),MIN(TZ15,20)*400+(IF('calcA'!EN$106=1,1-IL15,0)+IF('calcA'!EO$106=1,1-IN15,0))*150+226+'calcA'!EO$5*100000+IF(AND($E15=1,OB15=0),50000,0))+IF($H15=1,INDEX('calcA'!$D$180:$EQ$219,$B15,142)*4000,0)-IF(AND('calcA'!EN$117=1,ZL15&gt;0),2000,0)-IF(AND($U15=1,'calcA'!EO$117=1,IN15=0),2000,0))),1000000000))</f>
        <v/>
      </c>
      <c r="TR15">
        <f>IF($B15=0,1000000000,IF(INDEX('calcA'!$D$60:$EQ$99,$B15,143)*IF($W15=1,IN15+AFC15,IN15)=1,IF(AND($E15=2,IF($W15=1,AKR15,OC15)=0),1000000000,IF($V15=1,INDEX('calcA'!$D$130:$EQ$169,$B15,143)+IF(AND($E15=1,OC15=0),25,0),IF($F15&gt;0,INDEX('calcA'!EP$110:EP$114,$F15+1)+IF(AND($E15=1,OC15=0),1000,0),MIN(TZ15,20)*400+(IF('calcA'!EO$106=1,1-IM15,0)+IF('calcA'!EP$106=1,1-IO15,0))*150+236+'calcA'!EP$5*100000+IF(AND($E15=1,OC15=0),50000,0))+IF($H15=1,INDEX('calcA'!$D$180:$EQ$219,$B15,143)*4000,0)-IF(AND('calcA'!EO$117=1,ZM15&gt;0),2000,0)-IF(AND($U15=1,'calcA'!EP$117=1,IO15=0),2000,0))),1000000000))</f>
        <v/>
      </c>
      <c r="TS15">
        <f>IF($B15=0,1000000000,IF(INDEX('calcA'!$D$60:$EQ$99,$B15,144)*IF($W15=1,IO15+AFD15,IO15)=1,IF(AND($E15=2,IF($W15=1,AKS15,OD15)=0),1000000000,IF($V15=1,INDEX('calcA'!$D$130:$EQ$169,$B15,144)+IF(AND($E15=1,OD15=0),25,0),IF($F15&gt;0,INDEX('calcA'!EQ$110:EQ$114,$F15+1)+IF(AND($E15=1,OD15=0),1000,0),MIN(TZ15,20)*400+(IF('calcA'!EP$106=1,1-IN15,0))*150+246+'calcA'!EQ$5*100000+IF(AND($E15=1,OD15=0),50000,0))+IF($H15=1,INDEX('calcA'!$D$180:$EQ$219,$B15,144)*4000,0)-IF(AND('calcA'!EP$117=1,ZN15&gt;0),2000,0))),1000000000))</f>
        <v/>
      </c>
      <c r="TU15">
        <f>TU14+IF($C14&gt;0,IF(INDEX('calcA'!$D$2:$EQ$2,$C14)=1,1,0),0)</f>
        <v/>
      </c>
      <c r="TV15">
        <f>TV14+IF($C14&gt;0,IF(INDEX('calcA'!$D$2:$EQ$2,$C14)=2,1,0),0)</f>
        <v/>
      </c>
      <c r="TW15">
        <f>TW14+IF($C14&gt;0,IF(INDEX('calcA'!$D$2:$EQ$2,$C14)=3,1,0),0)</f>
        <v/>
      </c>
      <c r="TX15">
        <f>TX14+IF($C14&gt;0,IF(INDEX('calcA'!$D$2:$EQ$2,$C14)=4,1,0),0)</f>
        <v/>
      </c>
      <c r="TY15">
        <f>TY14+IF($C14&gt;0,IF(INDEX('calcA'!$D$2:$EQ$2,$C14)=5,1,0),0)</f>
        <v/>
      </c>
      <c r="TZ15">
        <f>TZ14+IF($C14&gt;0,IF(INDEX('calcA'!$D$2:$EQ$2,$C14)=6,1,0),0)</f>
        <v/>
      </c>
      <c r="UB15">
        <f>UB14+IF(AND($C14=1,$U14=1),1,0)</f>
        <v/>
      </c>
      <c r="UC15">
        <f>UC14+IF(AND($C14=2,$U14=1),1,0)</f>
        <v/>
      </c>
      <c r="UD15">
        <f>UD14+IF(AND($C14=3,$U14=1),1,0)</f>
        <v/>
      </c>
      <c r="UE15">
        <f>UE14+IF(AND($C14=4,$U14=1),1,0)</f>
        <v/>
      </c>
      <c r="UF15">
        <f>UF14+IF(AND($C14=5,$U14=1),1,0)</f>
        <v/>
      </c>
      <c r="UG15">
        <f>UG14+IF(AND($C14=6,$U14=1),1,0)</f>
        <v/>
      </c>
      <c r="UH15">
        <f>UH14+IF(AND($C14=7,$U14=1),1,0)</f>
        <v/>
      </c>
      <c r="UI15">
        <f>UI14+IF(AND($C14=8,$U14=1),1,0)</f>
        <v/>
      </c>
      <c r="UJ15">
        <f>UJ14+IF(AND($C14=9,$U14=1),1,0)</f>
        <v/>
      </c>
      <c r="UK15">
        <f>UK14+IF(AND($C14=10,$U14=1),1,0)</f>
        <v/>
      </c>
      <c r="UL15">
        <f>UL14+IF(AND($C14=11,$U14=1),1,0)</f>
        <v/>
      </c>
      <c r="UM15">
        <f>UM14+IF(AND($C14=12,$U14=1),1,0)</f>
        <v/>
      </c>
      <c r="UN15">
        <f>UN14+IF(AND($C14=13,$U14=1),1,0)</f>
        <v/>
      </c>
      <c r="UO15">
        <f>UO14+IF(AND($C14=14,$U14=1),1,0)</f>
        <v/>
      </c>
      <c r="UP15">
        <f>UP14+IF(AND($C14=15,$U14=1),1,0)</f>
        <v/>
      </c>
      <c r="UQ15">
        <f>UQ14+IF(AND($C14=16,$U14=1),1,0)</f>
        <v/>
      </c>
      <c r="UR15">
        <f>UR14+IF(AND($C14=17,$U14=1),1,0)</f>
        <v/>
      </c>
      <c r="US15">
        <f>US14+IF(AND($C14=18,$U14=1),1,0)</f>
        <v/>
      </c>
      <c r="UT15">
        <f>UT14+IF(AND($C14=19,$U14=1),1,0)</f>
        <v/>
      </c>
      <c r="UU15">
        <f>UU14+IF(AND($C14=20,$U14=1),1,0)</f>
        <v/>
      </c>
      <c r="UV15">
        <f>UV14+IF(AND($C14=21,$U14=1),1,0)</f>
        <v/>
      </c>
      <c r="UW15">
        <f>UW14+IF(AND($C14=22,$U14=1),1,0)</f>
        <v/>
      </c>
      <c r="UX15">
        <f>UX14+IF(AND($C14=23,$U14=1),1,0)</f>
        <v/>
      </c>
      <c r="UY15">
        <f>UY14+IF(AND($C14=24,$U14=1),1,0)</f>
        <v/>
      </c>
      <c r="UZ15">
        <f>UZ14+IF(AND($C14=25,$U14=1),1,0)</f>
        <v/>
      </c>
      <c r="VA15">
        <f>VA14+IF(AND($C14=26,$U14=1),1,0)</f>
        <v/>
      </c>
      <c r="VB15">
        <f>VB14+IF(AND($C14=27,$U14=1),1,0)</f>
        <v/>
      </c>
      <c r="VC15">
        <f>VC14+IF(AND($C14=28,$U14=1),1,0)</f>
        <v/>
      </c>
      <c r="VD15">
        <f>VD14+IF(AND($C14=29,$U14=1),1,0)</f>
        <v/>
      </c>
      <c r="VE15">
        <f>VE14+IF(AND($C14=30,$U14=1),1,0)</f>
        <v/>
      </c>
      <c r="VF15">
        <f>VF14+IF(AND($C14=31,$U14=1),1,0)</f>
        <v/>
      </c>
      <c r="VG15">
        <f>VG14+IF(AND($C14=32,$U14=1),1,0)</f>
        <v/>
      </c>
      <c r="VH15">
        <f>VH14+IF(AND($C14=33,$U14=1),1,0)</f>
        <v/>
      </c>
      <c r="VI15">
        <f>VI14+IF(AND($C14=34,$U14=1),1,0)</f>
        <v/>
      </c>
      <c r="VJ15">
        <f>VJ14+IF(AND($C14=35,$U14=1),1,0)</f>
        <v/>
      </c>
      <c r="VK15">
        <f>VK14+IF(AND($C14=36,$U14=1),1,0)</f>
        <v/>
      </c>
      <c r="VL15">
        <f>VL14+IF(AND($C14=37,$U14=1),1,0)</f>
        <v/>
      </c>
      <c r="VM15">
        <f>VM14+IF(AND($C14=38,$U14=1),1,0)</f>
        <v/>
      </c>
      <c r="VN15">
        <f>VN14+IF(AND($C14=39,$U14=1),1,0)</f>
        <v/>
      </c>
      <c r="VO15">
        <f>VO14+IF(AND($C14=40,$U14=1),1,0)</f>
        <v/>
      </c>
      <c r="VP15">
        <f>VP14+IF(AND($C14=41,$U14=1),1,0)</f>
        <v/>
      </c>
      <c r="VQ15">
        <f>VQ14+IF(AND($C14=42,$U14=1),1,0)</f>
        <v/>
      </c>
      <c r="VR15">
        <f>VR14+IF(AND($C14=43,$U14=1),1,0)</f>
        <v/>
      </c>
      <c r="VS15">
        <f>VS14+IF(AND($C14=44,$U14=1),1,0)</f>
        <v/>
      </c>
      <c r="VT15">
        <f>VT14+IF(AND($C14=45,$U14=1),1,0)</f>
        <v/>
      </c>
      <c r="VU15">
        <f>VU14+IF(AND($C14=46,$U14=1),1,0)</f>
        <v/>
      </c>
      <c r="VV15">
        <f>VV14+IF(AND($C14=47,$U14=1),1,0)</f>
        <v/>
      </c>
      <c r="VW15">
        <f>VW14+IF(AND($C14=48,$U14=1),1,0)</f>
        <v/>
      </c>
      <c r="VX15">
        <f>VX14+IF(AND($C14=49,$U14=1),1,0)</f>
        <v/>
      </c>
      <c r="VY15">
        <f>VY14+IF(AND($C14=50,$U14=1),1,0)</f>
        <v/>
      </c>
      <c r="VZ15">
        <f>VZ14+IF(AND($C14=51,$U14=1),1,0)</f>
        <v/>
      </c>
      <c r="WA15">
        <f>WA14+IF(AND($C14=52,$U14=1),1,0)</f>
        <v/>
      </c>
      <c r="WB15">
        <f>WB14+IF(AND($C14=53,$U14=1),1,0)</f>
        <v/>
      </c>
      <c r="WC15">
        <f>WC14+IF(AND($C14=54,$U14=1),1,0)</f>
        <v/>
      </c>
      <c r="WD15">
        <f>WD14+IF(AND($C14=55,$U14=1),1,0)</f>
        <v/>
      </c>
      <c r="WE15">
        <f>WE14+IF(AND($C14=56,$U14=1),1,0)</f>
        <v/>
      </c>
      <c r="WF15">
        <f>WF14+IF(AND($C14=57,$U14=1),1,0)</f>
        <v/>
      </c>
      <c r="WG15">
        <f>WG14+IF(AND($C14=58,$U14=1),1,0)</f>
        <v/>
      </c>
      <c r="WH15">
        <f>WH14+IF(AND($C14=59,$U14=1),1,0)</f>
        <v/>
      </c>
      <c r="WI15">
        <f>WI14+IF(AND($C14=60,$U14=1),1,0)</f>
        <v/>
      </c>
      <c r="WJ15">
        <f>WJ14+IF(AND($C14=61,$U14=1),1,0)</f>
        <v/>
      </c>
      <c r="WK15">
        <f>WK14+IF(AND($C14=62,$U14=1),1,0)</f>
        <v/>
      </c>
      <c r="WL15">
        <f>WL14+IF(AND($C14=63,$U14=1),1,0)</f>
        <v/>
      </c>
      <c r="WM15">
        <f>WM14+IF(AND($C14=64,$U14=1),1,0)</f>
        <v/>
      </c>
      <c r="WN15">
        <f>WN14+IF(AND($C14=65,$U14=1),1,0)</f>
        <v/>
      </c>
      <c r="WO15">
        <f>WO14+IF(AND($C14=66,$U14=1),1,0)</f>
        <v/>
      </c>
      <c r="WP15">
        <f>WP14+IF(AND($C14=67,$U14=1),1,0)</f>
        <v/>
      </c>
      <c r="WQ15">
        <f>WQ14+IF(AND($C14=68,$U14=1),1,0)</f>
        <v/>
      </c>
      <c r="WR15">
        <f>WR14+IF(AND($C14=69,$U14=1),1,0)</f>
        <v/>
      </c>
      <c r="WS15">
        <f>WS14+IF(AND($C14=70,$U14=1),1,0)</f>
        <v/>
      </c>
      <c r="WT15">
        <f>WT14+IF(AND($C14=71,$U14=1),1,0)</f>
        <v/>
      </c>
      <c r="WU15">
        <f>WU14+IF(AND($C14=72,$U14=1),1,0)</f>
        <v/>
      </c>
      <c r="WV15">
        <f>WV14+IF(AND($C14=73,$U14=1),1,0)</f>
        <v/>
      </c>
      <c r="WW15">
        <f>WW14+IF(AND($C14=74,$U14=1),1,0)</f>
        <v/>
      </c>
      <c r="WX15">
        <f>WX14+IF(AND($C14=75,$U14=1),1,0)</f>
        <v/>
      </c>
      <c r="WY15">
        <f>WY14+IF(AND($C14=76,$U14=1),1,0)</f>
        <v/>
      </c>
      <c r="WZ15">
        <f>WZ14+IF(AND($C14=77,$U14=1),1,0)</f>
        <v/>
      </c>
      <c r="XA15">
        <f>XA14+IF(AND($C14=78,$U14=1),1,0)</f>
        <v/>
      </c>
      <c r="XB15">
        <f>XB14+IF(AND($C14=79,$U14=1),1,0)</f>
        <v/>
      </c>
      <c r="XC15">
        <f>XC14+IF(AND($C14=80,$U14=1),1,0)</f>
        <v/>
      </c>
      <c r="XD15">
        <f>XD14+IF(AND($C14=81,$U14=1),1,0)</f>
        <v/>
      </c>
      <c r="XE15">
        <f>XE14+IF(AND($C14=82,$U14=1),1,0)</f>
        <v/>
      </c>
      <c r="XF15">
        <f>XF14+IF(AND($C14=83,$U14=1),1,0)</f>
        <v/>
      </c>
      <c r="XG15">
        <f>XG14+IF(AND($C14=84,$U14=1),1,0)</f>
        <v/>
      </c>
      <c r="XH15">
        <f>XH14+IF(AND($C14=85,$U14=1),1,0)</f>
        <v/>
      </c>
      <c r="XI15">
        <f>XI14+IF(AND($C14=86,$U14=1),1,0)</f>
        <v/>
      </c>
      <c r="XJ15">
        <f>XJ14+IF(AND($C14=87,$U14=1),1,0)</f>
        <v/>
      </c>
      <c r="XK15">
        <f>XK14+IF(AND($C14=88,$U14=1),1,0)</f>
        <v/>
      </c>
      <c r="XL15">
        <f>XL14+IF(AND($C14=89,$U14=1),1,0)</f>
        <v/>
      </c>
      <c r="XM15">
        <f>XM14+IF(AND($C14=90,$U14=1),1,0)</f>
        <v/>
      </c>
      <c r="XN15">
        <f>XN14+IF(AND($C14=91,$U14=1),1,0)</f>
        <v/>
      </c>
      <c r="XO15">
        <f>XO14+IF(AND($C14=92,$U14=1),1,0)</f>
        <v/>
      </c>
      <c r="XP15">
        <f>XP14+IF(AND($C14=93,$U14=1),1,0)</f>
        <v/>
      </c>
      <c r="XQ15">
        <f>XQ14+IF(AND($C14=94,$U14=1),1,0)</f>
        <v/>
      </c>
      <c r="XR15">
        <f>XR14+IF(AND($C14=95,$U14=1),1,0)</f>
        <v/>
      </c>
      <c r="XS15">
        <f>XS14+IF(AND($C14=96,$U14=1),1,0)</f>
        <v/>
      </c>
      <c r="XT15">
        <f>XT14+IF(AND($C14=97,$U14=1),1,0)</f>
        <v/>
      </c>
      <c r="XU15">
        <f>XU14+IF(AND($C14=98,$U14=1),1,0)</f>
        <v/>
      </c>
      <c r="XV15">
        <f>XV14+IF(AND($C14=99,$U14=1),1,0)</f>
        <v/>
      </c>
      <c r="XW15">
        <f>XW14+IF(AND($C14=100,$U14=1),1,0)</f>
        <v/>
      </c>
      <c r="XX15">
        <f>XX14+IF(AND($C14=101,$U14=1),1,0)</f>
        <v/>
      </c>
      <c r="XY15">
        <f>XY14+IF(AND($C14=102,$U14=1),1,0)</f>
        <v/>
      </c>
      <c r="XZ15">
        <f>XZ14+IF(AND($C14=103,$U14=1),1,0)</f>
        <v/>
      </c>
      <c r="YA15">
        <f>YA14+IF(AND($C14=104,$U14=1),1,0)</f>
        <v/>
      </c>
      <c r="YB15">
        <f>YB14+IF(AND($C14=105,$U14=1),1,0)</f>
        <v/>
      </c>
      <c r="YC15">
        <f>YC14+IF(AND($C14=106,$U14=1),1,0)</f>
        <v/>
      </c>
      <c r="YD15">
        <f>YD14+IF(AND($C14=107,$U14=1),1,0)</f>
        <v/>
      </c>
      <c r="YE15">
        <f>YE14+IF(AND($C14=108,$U14=1),1,0)</f>
        <v/>
      </c>
      <c r="YF15">
        <f>YF14+IF(AND($C14=109,$U14=1),1,0)</f>
        <v/>
      </c>
      <c r="YG15">
        <f>YG14+IF(AND($C14=110,$U14=1),1,0)</f>
        <v/>
      </c>
      <c r="YH15">
        <f>YH14+IF(AND($C14=111,$U14=1),1,0)</f>
        <v/>
      </c>
      <c r="YI15">
        <f>YI14+IF(AND($C14=112,$U14=1),1,0)</f>
        <v/>
      </c>
      <c r="YJ15">
        <f>YJ14+IF(AND($C14=113,$U14=1),1,0)</f>
        <v/>
      </c>
      <c r="YK15">
        <f>YK14+IF(AND($C14=114,$U14=1),1,0)</f>
        <v/>
      </c>
      <c r="YL15">
        <f>YL14+IF(AND($C14=115,$U14=1),1,0)</f>
        <v/>
      </c>
      <c r="YM15">
        <f>YM14+IF(AND($C14=116,$U14=1),1,0)</f>
        <v/>
      </c>
      <c r="YN15">
        <f>YN14+IF(AND($C14=117,$U14=1),1,0)</f>
        <v/>
      </c>
      <c r="YO15">
        <f>YO14+IF(AND($C14=118,$U14=1),1,0)</f>
        <v/>
      </c>
      <c r="YP15">
        <f>YP14+IF(AND($C14=119,$U14=1),1,0)</f>
        <v/>
      </c>
      <c r="YQ15">
        <f>YQ14+IF(AND($C14=120,$U14=1),1,0)</f>
        <v/>
      </c>
      <c r="YR15">
        <f>YR14+IF(AND($C14=121,$U14=1),1,0)</f>
        <v/>
      </c>
      <c r="YS15">
        <f>YS14+IF(AND($C14=122,$U14=1),1,0)</f>
        <v/>
      </c>
      <c r="YT15">
        <f>YT14+IF(AND($C14=123,$U14=1),1,0)</f>
        <v/>
      </c>
      <c r="YU15">
        <f>YU14+IF(AND($C14=124,$U14=1),1,0)</f>
        <v/>
      </c>
      <c r="YV15">
        <f>YV14+IF(AND($C14=125,$U14=1),1,0)</f>
        <v/>
      </c>
      <c r="YW15">
        <f>YW14+IF(AND($C14=126,$U14=1),1,0)</f>
        <v/>
      </c>
      <c r="YX15">
        <f>YX14+IF(AND($C14=127,$U14=1),1,0)</f>
        <v/>
      </c>
      <c r="YY15">
        <f>YY14+IF(AND($C14=128,$U14=1),1,0)</f>
        <v/>
      </c>
      <c r="YZ15">
        <f>YZ14+IF(AND($C14=129,$U14=1),1,0)</f>
        <v/>
      </c>
      <c r="ZA15">
        <f>ZA14+IF(AND($C14=130,$U14=1),1,0)</f>
        <v/>
      </c>
      <c r="ZB15">
        <f>ZB14+IF(AND($C14=131,$U14=1),1,0)</f>
        <v/>
      </c>
      <c r="ZC15">
        <f>ZC14+IF(AND($C14=132,$U14=1),1,0)</f>
        <v/>
      </c>
      <c r="ZD15">
        <f>ZD14+IF(AND($C14=133,$U14=1),1,0)</f>
        <v/>
      </c>
      <c r="ZE15">
        <f>ZE14+IF(AND($C14=134,$U14=1),1,0)</f>
        <v/>
      </c>
      <c r="ZF15">
        <f>ZF14+IF(AND($C14=135,$U14=1),1,0)</f>
        <v/>
      </c>
      <c r="ZG15">
        <f>ZG14+IF(AND($C14=136,$U14=1),1,0)</f>
        <v/>
      </c>
      <c r="ZH15">
        <f>ZH14+IF(AND($C14=137,$U14=1),1,0)</f>
        <v/>
      </c>
      <c r="ZI15">
        <f>ZI14+IF(AND($C14=138,$U14=1),1,0)</f>
        <v/>
      </c>
      <c r="ZJ15">
        <f>ZJ14+IF(AND($C14=139,$U14=1),1,0)</f>
        <v/>
      </c>
      <c r="ZK15">
        <f>ZK14+IF(AND($C14=140,$U14=1),1,0)</f>
        <v/>
      </c>
      <c r="ZL15">
        <f>ZL14+IF(AND($C14=141,$U14=1),1,0)</f>
        <v/>
      </c>
      <c r="ZM15">
        <f>ZM14+IF(AND($C14=142,$U14=1),1,0)</f>
        <v/>
      </c>
      <c r="ZN15">
        <f>ZN14+IF(AND($C14=143,$U14=1),1,0)</f>
        <v/>
      </c>
      <c r="ZO15">
        <f>ZO14+IF(AND($C14=144,$U14=1),1,0)</f>
        <v/>
      </c>
      <c r="ZQ15">
        <f>IF($C14=1,0,ZQ14+IF(AND($G14=1,$E14=1),1,0))</f>
        <v/>
      </c>
      <c r="ZR15">
        <f>IF($C14=2,0,ZR14+IF(AND($G14=2,$E14=1),1,0))</f>
        <v/>
      </c>
      <c r="ZS15">
        <f>IF($C14=3,0,ZS14+IF(AND($G14=3,$E14=1),1,0))</f>
        <v/>
      </c>
      <c r="ZT15">
        <f>IF($C14=4,0,ZT14+IF(AND($G14=4,$E14=1),1,0))</f>
        <v/>
      </c>
      <c r="ZU15">
        <f>IF($C14=5,0,ZU14+IF(AND($G14=5,$E14=1),1,0))</f>
        <v/>
      </c>
      <c r="ZV15">
        <f>IF($C14=6,0,ZV14+IF(AND($G14=6,$E14=1),1,0))</f>
        <v/>
      </c>
      <c r="ZW15">
        <f>IF($C14=7,0,ZW14+IF(AND($G14=7,$E14=1),1,0))</f>
        <v/>
      </c>
      <c r="ZX15">
        <f>IF($C14=8,0,ZX14+IF(AND($G14=8,$E14=1),1,0))</f>
        <v/>
      </c>
      <c r="ZY15">
        <f>IF($C14=9,0,ZY14+IF(AND($G14=9,$E14=1),1,0))</f>
        <v/>
      </c>
      <c r="ZZ15">
        <f>IF($C14=10,0,ZZ14+IF(AND($G14=10,$E14=1),1,0))</f>
        <v/>
      </c>
      <c r="AAA15">
        <f>IF($C14=11,0,AAA14+IF(AND($G14=11,$E14=1),1,0))</f>
        <v/>
      </c>
      <c r="AAB15">
        <f>IF($C14=12,0,AAB14+IF(AND($G14=12,$E14=1),1,0))</f>
        <v/>
      </c>
      <c r="AAC15">
        <f>IF($C14=13,0,AAC14+IF(AND($G14=13,$E14=1),1,0))</f>
        <v/>
      </c>
      <c r="AAD15">
        <f>IF($C14=14,0,AAD14+IF(AND($G14=14,$E14=1),1,0))</f>
        <v/>
      </c>
      <c r="AAE15">
        <f>IF($C14=15,0,AAE14+IF(AND($G14=15,$E14=1),1,0))</f>
        <v/>
      </c>
      <c r="AAF15">
        <f>IF($C14=16,0,AAF14+IF(AND($G14=16,$E14=1),1,0))</f>
        <v/>
      </c>
      <c r="AAG15">
        <f>IF($C14=17,0,AAG14+IF(AND($G14=17,$E14=1),1,0))</f>
        <v/>
      </c>
      <c r="AAH15">
        <f>IF($C14=18,0,AAH14+IF(AND($G14=18,$E14=1),1,0))</f>
        <v/>
      </c>
      <c r="AAI15">
        <f>IF($C14=19,0,AAI14+IF(AND($G14=19,$E14=1),1,0))</f>
        <v/>
      </c>
      <c r="AAJ15">
        <f>IF($C14=20,0,AAJ14+IF(AND($G14=20,$E14=1),1,0))</f>
        <v/>
      </c>
      <c r="AAK15">
        <f>IF($C14=21,0,AAK14+IF(AND($G14=21,$E14=1),1,0))</f>
        <v/>
      </c>
      <c r="AAL15">
        <f>IF($C14=22,0,AAL14+IF(AND($G14=22,$E14=1),1,0))</f>
        <v/>
      </c>
      <c r="AAM15">
        <f>IF($C14=23,0,AAM14+IF(AND($G14=23,$E14=1),1,0))</f>
        <v/>
      </c>
      <c r="AAN15">
        <f>IF($C14=24,0,AAN14+IF(AND($G14=24,$E14=1),1,0))</f>
        <v/>
      </c>
      <c r="AAO15">
        <f>IF($C14=25,0,AAO14+IF(AND($G14=25,$E14=1),1,0))</f>
        <v/>
      </c>
      <c r="AAP15">
        <f>IF($C14=26,0,AAP14+IF(AND($G14=26,$E14=1),1,0))</f>
        <v/>
      </c>
      <c r="AAQ15">
        <f>IF($C14=27,0,AAQ14+IF(AND($G14=27,$E14=1),1,0))</f>
        <v/>
      </c>
      <c r="AAR15">
        <f>IF($C14=28,0,AAR14+IF(AND($G14=28,$E14=1),1,0))</f>
        <v/>
      </c>
      <c r="AAS15">
        <f>IF($C14=29,0,AAS14+IF(AND($G14=29,$E14=1),1,0))</f>
        <v/>
      </c>
      <c r="AAT15">
        <f>IF($C14=30,0,AAT14+IF(AND($G14=30,$E14=1),1,0))</f>
        <v/>
      </c>
      <c r="AAU15">
        <f>IF($C14=31,0,AAU14+IF(AND($G14=31,$E14=1),1,0))</f>
        <v/>
      </c>
      <c r="AAV15">
        <f>IF($C14=32,0,AAV14+IF(AND($G14=32,$E14=1),1,0))</f>
        <v/>
      </c>
      <c r="AAW15">
        <f>IF($C14=33,0,AAW14+IF(AND($G14=33,$E14=1),1,0))</f>
        <v/>
      </c>
      <c r="AAX15">
        <f>IF($C14=34,0,AAX14+IF(AND($G14=34,$E14=1),1,0))</f>
        <v/>
      </c>
      <c r="AAY15">
        <f>IF($C14=35,0,AAY14+IF(AND($G14=35,$E14=1),1,0))</f>
        <v/>
      </c>
      <c r="AAZ15">
        <f>IF($C14=36,0,AAZ14+IF(AND($G14=36,$E14=1),1,0))</f>
        <v/>
      </c>
      <c r="ABA15">
        <f>IF($C14=37,0,ABA14+IF(AND($G14=37,$E14=1),1,0))</f>
        <v/>
      </c>
      <c r="ABB15">
        <f>IF($C14=38,0,ABB14+IF(AND($G14=38,$E14=1),1,0))</f>
        <v/>
      </c>
      <c r="ABC15">
        <f>IF($C14=39,0,ABC14+IF(AND($G14=39,$E14=1),1,0))</f>
        <v/>
      </c>
      <c r="ABD15">
        <f>IF($C14=40,0,ABD14+IF(AND($G14=40,$E14=1),1,0))</f>
        <v/>
      </c>
      <c r="ABE15">
        <f>IF($C14=41,0,ABE14+IF(AND($G14=41,$E14=1),1,0))</f>
        <v/>
      </c>
      <c r="ABF15">
        <f>IF($C14=42,0,ABF14+IF(AND($G14=42,$E14=1),1,0))</f>
        <v/>
      </c>
      <c r="ABG15">
        <f>IF($C14=43,0,ABG14+IF(AND($G14=43,$E14=1),1,0))</f>
        <v/>
      </c>
      <c r="ABH15">
        <f>IF($C14=44,0,ABH14+IF(AND($G14=44,$E14=1),1,0))</f>
        <v/>
      </c>
      <c r="ABI15">
        <f>IF($C14=45,0,ABI14+IF(AND($G14=45,$E14=1),1,0))</f>
        <v/>
      </c>
      <c r="ABJ15">
        <f>IF($C14=46,0,ABJ14+IF(AND($G14=46,$E14=1),1,0))</f>
        <v/>
      </c>
      <c r="ABK15">
        <f>IF($C14=47,0,ABK14+IF(AND($G14=47,$E14=1),1,0))</f>
        <v/>
      </c>
      <c r="ABL15">
        <f>IF($C14=48,0,ABL14+IF(AND($G14=48,$E14=1),1,0))</f>
        <v/>
      </c>
      <c r="ABM15">
        <f>IF($C14=49,0,ABM14+IF(AND($G14=49,$E14=1),1,0))</f>
        <v/>
      </c>
      <c r="ABN15">
        <f>IF($C14=50,0,ABN14+IF(AND($G14=50,$E14=1),1,0))</f>
        <v/>
      </c>
      <c r="ABO15">
        <f>IF($C14=51,0,ABO14+IF(AND($G14=51,$E14=1),1,0))</f>
        <v/>
      </c>
      <c r="ABP15">
        <f>IF($C14=52,0,ABP14+IF(AND($G14=52,$E14=1),1,0))</f>
        <v/>
      </c>
      <c r="ABQ15">
        <f>IF($C14=53,0,ABQ14+IF(AND($G14=53,$E14=1),1,0))</f>
        <v/>
      </c>
      <c r="ABR15">
        <f>IF($C14=54,0,ABR14+IF(AND($G14=54,$E14=1),1,0))</f>
        <v/>
      </c>
      <c r="ABS15">
        <f>IF($C14=55,0,ABS14+IF(AND($G14=55,$E14=1),1,0))</f>
        <v/>
      </c>
      <c r="ABT15">
        <f>IF($C14=56,0,ABT14+IF(AND($G14=56,$E14=1),1,0))</f>
        <v/>
      </c>
      <c r="ABU15">
        <f>IF($C14=57,0,ABU14+IF(AND($G14=57,$E14=1),1,0))</f>
        <v/>
      </c>
      <c r="ABV15">
        <f>IF($C14=58,0,ABV14+IF(AND($G14=58,$E14=1),1,0))</f>
        <v/>
      </c>
      <c r="ABW15">
        <f>IF($C14=59,0,ABW14+IF(AND($G14=59,$E14=1),1,0))</f>
        <v/>
      </c>
      <c r="ABX15">
        <f>IF($C14=60,0,ABX14+IF(AND($G14=60,$E14=1),1,0))</f>
        <v/>
      </c>
      <c r="ABY15">
        <f>IF($C14=61,0,ABY14+IF(AND($G14=61,$E14=1),1,0))</f>
        <v/>
      </c>
      <c r="ABZ15">
        <f>IF($C14=62,0,ABZ14+IF(AND($G14=62,$E14=1),1,0))</f>
        <v/>
      </c>
      <c r="ACA15">
        <f>IF($C14=63,0,ACA14+IF(AND($G14=63,$E14=1),1,0))</f>
        <v/>
      </c>
      <c r="ACB15">
        <f>IF($C14=64,0,ACB14+IF(AND($G14=64,$E14=1),1,0))</f>
        <v/>
      </c>
      <c r="ACC15">
        <f>IF($C14=65,0,ACC14+IF(AND($G14=65,$E14=1),1,0))</f>
        <v/>
      </c>
      <c r="ACD15">
        <f>IF($C14=66,0,ACD14+IF(AND($G14=66,$E14=1),1,0))</f>
        <v/>
      </c>
      <c r="ACE15">
        <f>IF($C14=67,0,ACE14+IF(AND($G14=67,$E14=1),1,0))</f>
        <v/>
      </c>
      <c r="ACF15">
        <f>IF($C14=68,0,ACF14+IF(AND($G14=68,$E14=1),1,0))</f>
        <v/>
      </c>
      <c r="ACG15">
        <f>IF($C14=69,0,ACG14+IF(AND($G14=69,$E14=1),1,0))</f>
        <v/>
      </c>
      <c r="ACH15">
        <f>IF($C14=70,0,ACH14+IF(AND($G14=70,$E14=1),1,0))</f>
        <v/>
      </c>
      <c r="ACI15">
        <f>IF($C14=71,0,ACI14+IF(AND($G14=71,$E14=1),1,0))</f>
        <v/>
      </c>
      <c r="ACJ15">
        <f>IF($C14=72,0,ACJ14+IF(AND($G14=72,$E14=1),1,0))</f>
        <v/>
      </c>
      <c r="ACK15">
        <f>IF($C14=73,0,ACK14+IF(AND($G14=73,$E14=1),1,0))</f>
        <v/>
      </c>
      <c r="ACL15">
        <f>IF($C14=74,0,ACL14+IF(AND($G14=74,$E14=1),1,0))</f>
        <v/>
      </c>
      <c r="ACM15">
        <f>IF($C14=75,0,ACM14+IF(AND($G14=75,$E14=1),1,0))</f>
        <v/>
      </c>
      <c r="ACN15">
        <f>IF($C14=76,0,ACN14+IF(AND($G14=76,$E14=1),1,0))</f>
        <v/>
      </c>
      <c r="ACO15">
        <f>IF($C14=77,0,ACO14+IF(AND($G14=77,$E14=1),1,0))</f>
        <v/>
      </c>
      <c r="ACP15">
        <f>IF($C14=78,0,ACP14+IF(AND($G14=78,$E14=1),1,0))</f>
        <v/>
      </c>
      <c r="ACQ15">
        <f>IF($C14=79,0,ACQ14+IF(AND($G14=79,$E14=1),1,0))</f>
        <v/>
      </c>
      <c r="ACR15">
        <f>IF($C14=80,0,ACR14+IF(AND($G14=80,$E14=1),1,0))</f>
        <v/>
      </c>
      <c r="ACS15">
        <f>IF($C14=81,0,ACS14+IF(AND($G14=81,$E14=1),1,0))</f>
        <v/>
      </c>
      <c r="ACT15">
        <f>IF($C14=82,0,ACT14+IF(AND($G14=82,$E14=1),1,0))</f>
        <v/>
      </c>
      <c r="ACU15">
        <f>IF($C14=83,0,ACU14+IF(AND($G14=83,$E14=1),1,0))</f>
        <v/>
      </c>
      <c r="ACV15">
        <f>IF($C14=84,0,ACV14+IF(AND($G14=84,$E14=1),1,0))</f>
        <v/>
      </c>
      <c r="ACW15">
        <f>IF($C14=85,0,ACW14+IF(AND($G14=85,$E14=1),1,0))</f>
        <v/>
      </c>
      <c r="ACX15">
        <f>IF($C14=86,0,ACX14+IF(AND($G14=86,$E14=1),1,0))</f>
        <v/>
      </c>
      <c r="ACY15">
        <f>IF($C14=87,0,ACY14+IF(AND($G14=87,$E14=1),1,0))</f>
        <v/>
      </c>
      <c r="ACZ15">
        <f>IF($C14=88,0,ACZ14+IF(AND($G14=88,$E14=1),1,0))</f>
        <v/>
      </c>
      <c r="ADA15">
        <f>IF($C14=89,0,ADA14+IF(AND($G14=89,$E14=1),1,0))</f>
        <v/>
      </c>
      <c r="ADB15">
        <f>IF($C14=90,0,ADB14+IF(AND($G14=90,$E14=1),1,0))</f>
        <v/>
      </c>
      <c r="ADC15">
        <f>IF($C14=91,0,ADC14+IF(AND($G14=91,$E14=1),1,0))</f>
        <v/>
      </c>
      <c r="ADD15">
        <f>IF($C14=92,0,ADD14+IF(AND($G14=92,$E14=1),1,0))</f>
        <v/>
      </c>
      <c r="ADE15">
        <f>IF($C14=93,0,ADE14+IF(AND($G14=93,$E14=1),1,0))</f>
        <v/>
      </c>
      <c r="ADF15">
        <f>IF($C14=94,0,ADF14+IF(AND($G14=94,$E14=1),1,0))</f>
        <v/>
      </c>
      <c r="ADG15">
        <f>IF($C14=95,0,ADG14+IF(AND($G14=95,$E14=1),1,0))</f>
        <v/>
      </c>
      <c r="ADH15">
        <f>IF($C14=96,0,ADH14+IF(AND($G14=96,$E14=1),1,0))</f>
        <v/>
      </c>
      <c r="ADI15">
        <f>IF($C14=97,0,ADI14+IF(AND($G14=97,$E14=1),1,0))</f>
        <v/>
      </c>
      <c r="ADJ15">
        <f>IF($C14=98,0,ADJ14+IF(AND($G14=98,$E14=1),1,0))</f>
        <v/>
      </c>
      <c r="ADK15">
        <f>IF($C14=99,0,ADK14+IF(AND($G14=99,$E14=1),1,0))</f>
        <v/>
      </c>
      <c r="ADL15">
        <f>IF($C14=100,0,ADL14+IF(AND($G14=100,$E14=1),1,0))</f>
        <v/>
      </c>
      <c r="ADM15">
        <f>IF($C14=101,0,ADM14+IF(AND($G14=101,$E14=1),1,0))</f>
        <v/>
      </c>
      <c r="ADN15">
        <f>IF($C14=102,0,ADN14+IF(AND($G14=102,$E14=1),1,0))</f>
        <v/>
      </c>
      <c r="ADO15">
        <f>IF($C14=103,0,ADO14+IF(AND($G14=103,$E14=1),1,0))</f>
        <v/>
      </c>
      <c r="ADP15">
        <f>IF($C14=104,0,ADP14+IF(AND($G14=104,$E14=1),1,0))</f>
        <v/>
      </c>
      <c r="ADQ15">
        <f>IF($C14=105,0,ADQ14+IF(AND($G14=105,$E14=1),1,0))</f>
        <v/>
      </c>
      <c r="ADR15">
        <f>IF($C14=106,0,ADR14+IF(AND($G14=106,$E14=1),1,0))</f>
        <v/>
      </c>
      <c r="ADS15">
        <f>IF($C14=107,0,ADS14+IF(AND($G14=107,$E14=1),1,0))</f>
        <v/>
      </c>
      <c r="ADT15">
        <f>IF($C14=108,0,ADT14+IF(AND($G14=108,$E14=1),1,0))</f>
        <v/>
      </c>
      <c r="ADU15">
        <f>IF($C14=109,0,ADU14+IF(AND($G14=109,$E14=1),1,0))</f>
        <v/>
      </c>
      <c r="ADV15">
        <f>IF($C14=110,0,ADV14+IF(AND($G14=110,$E14=1),1,0))</f>
        <v/>
      </c>
      <c r="ADW15">
        <f>IF($C14=111,0,ADW14+IF(AND($G14=111,$E14=1),1,0))</f>
        <v/>
      </c>
      <c r="ADX15">
        <f>IF($C14=112,0,ADX14+IF(AND($G14=112,$E14=1),1,0))</f>
        <v/>
      </c>
      <c r="ADY15">
        <f>IF($C14=113,0,ADY14+IF(AND($G14=113,$E14=1),1,0))</f>
        <v/>
      </c>
      <c r="ADZ15">
        <f>IF($C14=114,0,ADZ14+IF(AND($G14=114,$E14=1),1,0))</f>
        <v/>
      </c>
      <c r="AEA15">
        <f>IF($C14=115,0,AEA14+IF(AND($G14=115,$E14=1),1,0))</f>
        <v/>
      </c>
      <c r="AEB15">
        <f>IF($C14=116,0,AEB14+IF(AND($G14=116,$E14=1),1,0))</f>
        <v/>
      </c>
      <c r="AEC15">
        <f>IF($C14=117,0,AEC14+IF(AND($G14=117,$E14=1),1,0))</f>
        <v/>
      </c>
      <c r="AED15">
        <f>IF($C14=118,0,AED14+IF(AND($G14=118,$E14=1),1,0))</f>
        <v/>
      </c>
      <c r="AEE15">
        <f>IF($C14=119,0,AEE14+IF(AND($G14=119,$E14=1),1,0))</f>
        <v/>
      </c>
      <c r="AEF15">
        <f>IF($C14=120,0,AEF14+IF(AND($G14=120,$E14=1),1,0))</f>
        <v/>
      </c>
      <c r="AEG15">
        <f>IF($C14=121,0,AEG14+IF(AND($G14=121,$E14=1),1,0))</f>
        <v/>
      </c>
      <c r="AEH15">
        <f>IF($C14=122,0,AEH14+IF(AND($G14=122,$E14=1),1,0))</f>
        <v/>
      </c>
      <c r="AEI15">
        <f>IF($C14=123,0,AEI14+IF(AND($G14=123,$E14=1),1,0))</f>
        <v/>
      </c>
      <c r="AEJ15">
        <f>IF($C14=124,0,AEJ14+IF(AND($G14=124,$E14=1),1,0))</f>
        <v/>
      </c>
      <c r="AEK15">
        <f>IF($C14=125,0,AEK14+IF(AND($G14=125,$E14=1),1,0))</f>
        <v/>
      </c>
      <c r="AEL15">
        <f>IF($C14=126,0,AEL14+IF(AND($G14=126,$E14=1),1,0))</f>
        <v/>
      </c>
      <c r="AEM15">
        <f>IF($C14=127,0,AEM14+IF(AND($G14=127,$E14=1),1,0))</f>
        <v/>
      </c>
      <c r="AEN15">
        <f>IF($C14=128,0,AEN14+IF(AND($G14=128,$E14=1),1,0))</f>
        <v/>
      </c>
      <c r="AEO15">
        <f>IF($C14=129,0,AEO14+IF(AND($G14=129,$E14=1),1,0))</f>
        <v/>
      </c>
      <c r="AEP15">
        <f>IF($C14=130,0,AEP14+IF(AND($G14=130,$E14=1),1,0))</f>
        <v/>
      </c>
      <c r="AEQ15">
        <f>IF($C14=131,0,AEQ14+IF(AND($G14=131,$E14=1),1,0))</f>
        <v/>
      </c>
      <c r="AER15">
        <f>IF($C14=132,0,AER14+IF(AND($G14=132,$E14=1),1,0))</f>
        <v/>
      </c>
      <c r="AES15">
        <f>IF($C14=133,0,AES14+IF(AND($G14=133,$E14=1),1,0))</f>
        <v/>
      </c>
      <c r="AET15">
        <f>IF($C14=134,0,AET14+IF(AND($G14=134,$E14=1),1,0))</f>
        <v/>
      </c>
      <c r="AEU15">
        <f>IF($C14=135,0,AEU14+IF(AND($G14=135,$E14=1),1,0))</f>
        <v/>
      </c>
      <c r="AEV15">
        <f>IF($C14=136,0,AEV14+IF(AND($G14=136,$E14=1),1,0))</f>
        <v/>
      </c>
      <c r="AEW15">
        <f>IF($C14=137,0,AEW14+IF(AND($G14=137,$E14=1),1,0))</f>
        <v/>
      </c>
      <c r="AEX15">
        <f>IF($C14=138,0,AEX14+IF(AND($G14=138,$E14=1),1,0))</f>
        <v/>
      </c>
      <c r="AEY15">
        <f>IF($C14=139,0,AEY14+IF(AND($G14=139,$E14=1),1,0))</f>
        <v/>
      </c>
      <c r="AEZ15">
        <f>IF($C14=140,0,AEZ14+IF(AND($G14=140,$E14=1),1,0))</f>
        <v/>
      </c>
      <c r="AFA15">
        <f>IF($C14=141,0,AFA14+IF(AND($G14=141,$E14=1),1,0))</f>
        <v/>
      </c>
      <c r="AFB15">
        <f>IF($C14=142,0,AFB14+IF(AND($G14=142,$E14=1),1,0))</f>
        <v/>
      </c>
      <c r="AFC15">
        <f>IF($C14=143,0,AFC14+IF(AND($G14=143,$E14=1),1,0))</f>
        <v/>
      </c>
      <c r="AFD15">
        <f>IF($C14=144,0,AFD14+IF(AND($G14=144,$E14=1),1,0))</f>
        <v/>
      </c>
      <c r="AFF15">
        <f>IF('calcA'!D$106=1,DC15+ZR15,1)</f>
        <v/>
      </c>
      <c r="AFG15">
        <f>IF('calcA'!E$106=1,DD15+ZS15,1)</f>
        <v/>
      </c>
      <c r="AFH15">
        <f>IF('calcA'!F$106=1,DE15+ZT15,1)</f>
        <v/>
      </c>
      <c r="AFI15">
        <f>IF('calcA'!G$106=1,DF15+ZU15,1)</f>
        <v/>
      </c>
      <c r="AFJ15">
        <f>IF('calcA'!H$106=1,DG15+ZV15,1)</f>
        <v/>
      </c>
      <c r="AFK15">
        <f>IF('calcA'!I$106=1,DH15+ZW15,1)</f>
        <v/>
      </c>
      <c r="AFL15">
        <f>IF('calcA'!J$106=1,DI15+ZX15,1)</f>
        <v/>
      </c>
      <c r="AFM15">
        <f>IF('calcA'!K$106=1,DJ15+ZY15,1)</f>
        <v/>
      </c>
      <c r="AFN15">
        <f>IF('calcA'!L$106=1,DK15+ZZ15,1)</f>
        <v/>
      </c>
      <c r="AFO15">
        <f>IF('calcA'!M$106=1,DL15+AAA15,1)</f>
        <v/>
      </c>
      <c r="AFP15">
        <f>IF('calcA'!N$106=1,DM15+AAB15,1)</f>
        <v/>
      </c>
      <c r="AFQ15">
        <f>IF('calcA'!O$106=1,DN15+AAC15,1)</f>
        <v/>
      </c>
      <c r="AFR15">
        <f>IF('calcA'!P$106=1,DO15+AAD15,1)</f>
        <v/>
      </c>
      <c r="AFS15">
        <f>IF('calcA'!Q$106=1,DP15+AAE15,1)</f>
        <v/>
      </c>
      <c r="AFT15">
        <f>IF('calcA'!R$106=1,DQ15+AAF15,1)</f>
        <v/>
      </c>
      <c r="AFU15">
        <f>IF('calcA'!S$106=1,DR15+AAG15,1)</f>
        <v/>
      </c>
      <c r="AFV15">
        <f>IF('calcA'!T$106=1,DS15+AAH15,1)</f>
        <v/>
      </c>
      <c r="AFW15">
        <f>IF('calcA'!U$106=1,DT15+AAI15,1)</f>
        <v/>
      </c>
      <c r="AFX15">
        <f>IF('calcA'!V$106=1,DU15+AAJ15,1)</f>
        <v/>
      </c>
      <c r="AFY15">
        <f>IF('calcA'!W$106=1,DV15+AAK15,1)</f>
        <v/>
      </c>
      <c r="AFZ15">
        <f>IF('calcA'!X$106=1,DW15+AAL15,1)</f>
        <v/>
      </c>
      <c r="AGA15">
        <f>IF('calcA'!Y$106=1,DX15+AAM15,1)</f>
        <v/>
      </c>
      <c r="AGB15">
        <f>IF('calcA'!Z$106=1,DY15+AAN15,1)</f>
        <v/>
      </c>
      <c r="AGC15">
        <f>IF('calcA'!AA$106=1,DZ15+AAO15,1)</f>
        <v/>
      </c>
      <c r="AGD15">
        <f>IF('calcA'!AB$106=1,EA15+AAP15,1)</f>
        <v/>
      </c>
      <c r="AGE15">
        <f>IF('calcA'!AC$106=1,EB15+AAQ15,1)</f>
        <v/>
      </c>
      <c r="AGF15">
        <f>IF('calcA'!AD$106=1,EC15+AAR15,1)</f>
        <v/>
      </c>
      <c r="AGG15">
        <f>IF('calcA'!AE$106=1,ED15+AAS15,1)</f>
        <v/>
      </c>
      <c r="AGH15">
        <f>IF('calcA'!AF$106=1,EE15+AAT15,1)</f>
        <v/>
      </c>
      <c r="AGI15">
        <f>IF('calcA'!AG$106=1,EF15+AAU15,1)</f>
        <v/>
      </c>
      <c r="AGJ15">
        <f>IF('calcA'!AH$106=1,EG15+AAV15,1)</f>
        <v/>
      </c>
      <c r="AGK15">
        <f>IF('calcA'!AI$106=1,EH15+AAW15,1)</f>
        <v/>
      </c>
      <c r="AGL15">
        <f>IF('calcA'!AJ$106=1,EI15+AAX15,1)</f>
        <v/>
      </c>
      <c r="AGM15">
        <f>IF('calcA'!AK$106=1,EJ15+AAY15,1)</f>
        <v/>
      </c>
      <c r="AGN15">
        <f>IF('calcA'!AL$106=1,EK15+AAZ15,1)</f>
        <v/>
      </c>
      <c r="AGO15">
        <f>IF('calcA'!AM$106=1,EL15+ABA15,1)</f>
        <v/>
      </c>
      <c r="AGP15">
        <f>IF('calcA'!AN$106=1,EM15+ABB15,1)</f>
        <v/>
      </c>
      <c r="AGQ15">
        <f>IF('calcA'!AO$106=1,EN15+ABC15,1)</f>
        <v/>
      </c>
      <c r="AGR15">
        <f>IF('calcA'!AP$106=1,EO15+ABD15,1)</f>
        <v/>
      </c>
      <c r="AGS15">
        <f>IF('calcA'!AQ$106=1,EP15+ABE15,1)</f>
        <v/>
      </c>
      <c r="AGT15">
        <f>IF('calcA'!AR$106=1,EQ15+ABF15,1)</f>
        <v/>
      </c>
      <c r="AGU15">
        <f>IF('calcA'!AS$106=1,ER15+ABG15,1)</f>
        <v/>
      </c>
      <c r="AGV15">
        <f>IF('calcA'!AT$106=1,ES15+ABH15,1)</f>
        <v/>
      </c>
      <c r="AGW15">
        <f>IF('calcA'!AU$106=1,ET15+ABI15,1)</f>
        <v/>
      </c>
      <c r="AGX15">
        <f>IF('calcA'!AV$106=1,EU15+ABJ15,1)</f>
        <v/>
      </c>
      <c r="AGY15">
        <f>IF('calcA'!AW$106=1,EV15+ABK15,1)</f>
        <v/>
      </c>
      <c r="AGZ15">
        <f>IF('calcA'!AX$106=1,EW15+ABL15,1)</f>
        <v/>
      </c>
      <c r="AHA15">
        <f>IF('calcA'!AY$106=1,EX15+ABM15,1)</f>
        <v/>
      </c>
      <c r="AHB15">
        <f>IF('calcA'!AZ$106=1,EY15+ABN15,1)</f>
        <v/>
      </c>
      <c r="AHC15">
        <f>IF('calcA'!BA$106=1,EZ15+ABO15,1)</f>
        <v/>
      </c>
      <c r="AHD15">
        <f>IF('calcA'!BB$106=1,FA15+ABP15,1)</f>
        <v/>
      </c>
      <c r="AHE15">
        <f>IF('calcA'!BC$106=1,FB15+ABQ15,1)</f>
        <v/>
      </c>
      <c r="AHF15">
        <f>IF('calcA'!BD$106=1,FC15+ABR15,1)</f>
        <v/>
      </c>
      <c r="AHG15">
        <f>IF('calcA'!BE$106=1,FD15+ABS15,1)</f>
        <v/>
      </c>
      <c r="AHH15">
        <f>IF('calcA'!BF$106=1,FE15+ABT15,1)</f>
        <v/>
      </c>
      <c r="AHI15">
        <f>IF('calcA'!BG$106=1,FF15+ABU15,1)</f>
        <v/>
      </c>
      <c r="AHJ15">
        <f>IF('calcA'!BH$106=1,FG15+ABV15,1)</f>
        <v/>
      </c>
      <c r="AHK15">
        <f>IF('calcA'!BI$106=1,FH15+ABW15,1)</f>
        <v/>
      </c>
      <c r="AHL15">
        <f>IF('calcA'!BJ$106=1,FI15+ABX15,1)</f>
        <v/>
      </c>
      <c r="AHM15">
        <f>IF('calcA'!BK$106=1,FJ15+ABY15,1)</f>
        <v/>
      </c>
      <c r="AHN15">
        <f>IF('calcA'!BL$106=1,FK15+ABZ15,1)</f>
        <v/>
      </c>
      <c r="AHO15">
        <f>IF('calcA'!BM$106=1,FL15+ACA15,1)</f>
        <v/>
      </c>
      <c r="AHP15">
        <f>IF('calcA'!BN$106=1,FM15+ACB15,1)</f>
        <v/>
      </c>
      <c r="AHQ15">
        <f>IF('calcA'!BO$106=1,FN15+ACC15,1)</f>
        <v/>
      </c>
      <c r="AHR15">
        <f>IF('calcA'!BP$106=1,FO15+ACD15,1)</f>
        <v/>
      </c>
      <c r="AHS15">
        <f>IF('calcA'!BQ$106=1,FP15+ACE15,1)</f>
        <v/>
      </c>
      <c r="AHT15">
        <f>IF('calcA'!BR$106=1,FQ15+ACF15,1)</f>
        <v/>
      </c>
      <c r="AHU15">
        <f>IF('calcA'!BS$106=1,FR15+ACG15,1)</f>
        <v/>
      </c>
      <c r="AHV15">
        <f>IF('calcA'!BT$106=1,FS15+ACH15,1)</f>
        <v/>
      </c>
      <c r="AHW15">
        <f>IF('calcA'!BU$106=1,FT15+ACI15,1)</f>
        <v/>
      </c>
      <c r="AHX15">
        <f>IF('calcA'!BV$106=1,FU15+ACJ15,1)</f>
        <v/>
      </c>
      <c r="AHY15">
        <f>IF('calcA'!BW$106=1,FV15+ACK15,1)</f>
        <v/>
      </c>
      <c r="AHZ15">
        <f>IF('calcA'!BX$106=1,FW15+ACL15,1)</f>
        <v/>
      </c>
      <c r="AIA15">
        <f>IF('calcA'!BY$106=1,FX15+ACM15,1)</f>
        <v/>
      </c>
      <c r="AIB15">
        <f>IF('calcA'!BZ$106=1,FY15+ACN15,1)</f>
        <v/>
      </c>
      <c r="AIC15">
        <f>IF('calcA'!CA$106=1,FZ15+ACO15,1)</f>
        <v/>
      </c>
      <c r="AID15">
        <f>IF('calcA'!CB$106=1,GA15+ACP15,1)</f>
        <v/>
      </c>
      <c r="AIE15">
        <f>IF('calcA'!CC$106=1,GB15+ACQ15,1)</f>
        <v/>
      </c>
      <c r="AIF15">
        <f>IF('calcA'!CD$106=1,GC15+ACR15,1)</f>
        <v/>
      </c>
      <c r="AIG15">
        <f>IF('calcA'!CE$106=1,GD15+ACS15,1)</f>
        <v/>
      </c>
      <c r="AIH15">
        <f>IF('calcA'!CF$106=1,GE15+ACT15,1)</f>
        <v/>
      </c>
      <c r="AII15">
        <f>IF('calcA'!CG$106=1,GF15+ACU15,1)</f>
        <v/>
      </c>
      <c r="AIJ15">
        <f>IF('calcA'!CH$106=1,GG15+ACV15,1)</f>
        <v/>
      </c>
      <c r="AIK15">
        <f>IF('calcA'!CI$106=1,GH15+ACW15,1)</f>
        <v/>
      </c>
      <c r="AIL15">
        <f>IF('calcA'!CJ$106=1,GI15+ACX15,1)</f>
        <v/>
      </c>
      <c r="AIM15">
        <f>IF('calcA'!CK$106=1,GJ15+ACY15,1)</f>
        <v/>
      </c>
      <c r="AIN15">
        <f>IF('calcA'!CL$106=1,GK15+ACZ15,1)</f>
        <v/>
      </c>
      <c r="AIO15">
        <f>IF('calcA'!CM$106=1,GL15+ADA15,1)</f>
        <v/>
      </c>
      <c r="AIP15">
        <f>IF('calcA'!CN$106=1,GM15+ADB15,1)</f>
        <v/>
      </c>
      <c r="AIQ15">
        <f>IF('calcA'!CO$106=1,GN15+ADC15,1)</f>
        <v/>
      </c>
      <c r="AIR15">
        <f>IF('calcA'!CP$106=1,GO15+ADD15,1)</f>
        <v/>
      </c>
      <c r="AIS15">
        <f>IF('calcA'!CQ$106=1,GP15+ADE15,1)</f>
        <v/>
      </c>
      <c r="AIT15">
        <f>IF('calcA'!CR$106=1,GQ15+ADF15,1)</f>
        <v/>
      </c>
      <c r="AIU15">
        <f>IF('calcA'!CS$106=1,GR15+ADG15,1)</f>
        <v/>
      </c>
      <c r="AIV15">
        <f>IF('calcA'!CT$106=1,GS15+ADH15,1)</f>
        <v/>
      </c>
      <c r="AIW15">
        <f>IF('calcA'!CU$106=1,GT15+ADI15,1)</f>
        <v/>
      </c>
      <c r="AIX15">
        <f>IF('calcA'!CV$106=1,GU15+ADJ15,1)</f>
        <v/>
      </c>
      <c r="AIY15">
        <f>IF('calcA'!CW$106=1,GV15+ADK15,1)</f>
        <v/>
      </c>
      <c r="AIZ15">
        <f>IF('calcA'!CX$106=1,GW15+ADL15,1)</f>
        <v/>
      </c>
      <c r="AJA15">
        <f>IF('calcA'!CY$106=1,GX15+ADM15,1)</f>
        <v/>
      </c>
      <c r="AJB15">
        <f>IF('calcA'!CZ$106=1,GY15+ADN15,1)</f>
        <v/>
      </c>
      <c r="AJC15">
        <f>IF('calcA'!DA$106=1,GZ15+ADO15,1)</f>
        <v/>
      </c>
      <c r="AJD15">
        <f>IF('calcA'!DB$106=1,HA15+ADP15,1)</f>
        <v/>
      </c>
      <c r="AJE15">
        <f>IF('calcA'!DC$106=1,HB15+ADQ15,1)</f>
        <v/>
      </c>
      <c r="AJF15">
        <f>IF('calcA'!DD$106=1,HC15+ADR15,1)</f>
        <v/>
      </c>
      <c r="AJG15">
        <f>IF('calcA'!DE$106=1,HD15+ADS15,1)</f>
        <v/>
      </c>
      <c r="AJH15">
        <f>IF('calcA'!DF$106=1,HE15+ADT15,1)</f>
        <v/>
      </c>
      <c r="AJI15">
        <f>IF('calcA'!DG$106=1,HF15+ADU15,1)</f>
        <v/>
      </c>
      <c r="AJJ15">
        <f>IF('calcA'!DH$106=1,HG15+ADV15,1)</f>
        <v/>
      </c>
      <c r="AJK15">
        <f>IF('calcA'!DI$106=1,HH15+ADW15,1)</f>
        <v/>
      </c>
      <c r="AJL15">
        <f>IF('calcA'!DJ$106=1,HI15+ADX15,1)</f>
        <v/>
      </c>
      <c r="AJM15">
        <f>IF('calcA'!DK$106=1,HJ15+ADY15,1)</f>
        <v/>
      </c>
      <c r="AJN15">
        <f>IF('calcA'!DL$106=1,HK15+ADZ15,1)</f>
        <v/>
      </c>
      <c r="AJO15">
        <f>IF('calcA'!DM$106=1,HL15+AEA15,1)</f>
        <v/>
      </c>
      <c r="AJP15">
        <f>IF('calcA'!DN$106=1,HM15+AEB15,1)</f>
        <v/>
      </c>
      <c r="AJQ15">
        <f>IF('calcA'!DO$106=1,HN15+AEC15,1)</f>
        <v/>
      </c>
      <c r="AJR15">
        <f>IF('calcA'!DP$106=1,HO15+AED15,1)</f>
        <v/>
      </c>
      <c r="AJS15">
        <f>IF('calcA'!DQ$106=1,HP15+AEE15,1)</f>
        <v/>
      </c>
      <c r="AJT15">
        <f>IF('calcA'!DR$106=1,HQ15+AEF15,1)</f>
        <v/>
      </c>
      <c r="AJU15">
        <f>IF('calcA'!DS$106=1,HR15+AEG15,1)</f>
        <v/>
      </c>
      <c r="AJV15">
        <f>IF('calcA'!DT$106=1,HS15+AEH15,1)</f>
        <v/>
      </c>
      <c r="AJW15">
        <f>IF('calcA'!DU$106=1,HT15+AEI15,1)</f>
        <v/>
      </c>
      <c r="AJX15">
        <f>IF('calcA'!DV$106=1,HU15+AEJ15,1)</f>
        <v/>
      </c>
      <c r="AJY15">
        <f>IF('calcA'!DW$106=1,HV15+AEK15,1)</f>
        <v/>
      </c>
      <c r="AJZ15">
        <f>IF('calcA'!DX$106=1,HW15+AEL15,1)</f>
        <v/>
      </c>
      <c r="AKA15">
        <f>IF('calcA'!DY$106=1,HX15+AEM15,1)</f>
        <v/>
      </c>
      <c r="AKB15">
        <f>IF('calcA'!DZ$106=1,HY15+AEN15,1)</f>
        <v/>
      </c>
      <c r="AKC15">
        <f>IF('calcA'!EA$106=1,HZ15+AEO15,1)</f>
        <v/>
      </c>
      <c r="AKD15">
        <f>IF('calcA'!EB$106=1,IA15+AEP15,1)</f>
        <v/>
      </c>
      <c r="AKE15">
        <f>IF('calcA'!EC$106=1,IB15+AEQ15,1)</f>
        <v/>
      </c>
      <c r="AKF15">
        <f>IF('calcA'!ED$106=1,IC15+AER15,1)</f>
        <v/>
      </c>
      <c r="AKG15">
        <f>IF('calcA'!EE$106=1,ID15+AES15,1)</f>
        <v/>
      </c>
      <c r="AKH15">
        <f>IF('calcA'!EF$106=1,IE15+AET15,1)</f>
        <v/>
      </c>
      <c r="AKI15">
        <f>IF('calcA'!EG$106=1,IF15+AEU15,1)</f>
        <v/>
      </c>
      <c r="AKJ15">
        <f>IF('calcA'!EH$106=1,IG15+AEV15,1)</f>
        <v/>
      </c>
      <c r="AKK15">
        <f>IF('calcA'!EI$106=1,IH15+AEW15,1)</f>
        <v/>
      </c>
      <c r="AKL15">
        <f>IF('calcA'!EJ$106=1,II15+AEX15,1)</f>
        <v/>
      </c>
      <c r="AKM15">
        <f>IF('calcA'!EK$106=1,IJ15+AEY15,1)</f>
        <v/>
      </c>
      <c r="AKN15">
        <f>IF('calcA'!EL$106=1,IK15+AEZ15,1)</f>
        <v/>
      </c>
      <c r="AKO15">
        <f>IF('calcA'!EM$106=1,IL15+AFA15,1)</f>
        <v/>
      </c>
      <c r="AKP15">
        <f>IF('calcA'!EN$106=1,IM15+AFB15,1)</f>
        <v/>
      </c>
      <c r="AKQ15">
        <f>IF('calcA'!EO$106=1,IN15+AFC15,1)</f>
        <v/>
      </c>
      <c r="AKR15">
        <f>IF('calcA'!EP$106=1,IO15+AFD15,1)</f>
        <v/>
      </c>
      <c r="AKS15" t="n">
        <v>1</v>
      </c>
    </row>
    <row r="16">
      <c r="A16" t="n">
        <v>14</v>
      </c>
      <c r="B16">
        <f>IF(MIN(BM16:CZ16)&gt;=1000000000,0,MATCH(MIN(BM16:CZ16),BM16:CZ16,0))</f>
        <v/>
      </c>
      <c r="C16">
        <f>IF(MIN(OF16:TS16)&gt;=1000000000,0,MATCH(MIN(OF16:TS16),OF16:TS16,0))</f>
        <v/>
      </c>
      <c r="D16">
        <f>IF(C16&gt;0,INDEX('calcA'!$D$5:$EQ$5,C16),0)</f>
        <v/>
      </c>
      <c r="E16">
        <f>IF(B16=0,0,INDEX('calcA'!$IQ$10:$IQ$54,B16))</f>
        <v/>
      </c>
      <c r="F16">
        <f>IF(B16=0,0,INDEX('calcA'!$IP$10:$IP$54,B16))</f>
        <v/>
      </c>
      <c r="G16">
        <f>IF(AND(C16&gt;0,E16&gt;0),IF(AND(INDEX('calcA'!$D$106:$EQ$106,C16)=1,INDEX($IQ16:$OD16,C16)=1),C16+1,0),0)</f>
        <v/>
      </c>
      <c r="H16">
        <f>IF(B16=0,0,INDEX('calcA'!$IW$10:$IW$54,B16))</f>
        <v/>
      </c>
      <c r="U16">
        <f>IF(B16=0,0,INDEX('calcA'!$IX$10:$IX$54,B16))</f>
        <v/>
      </c>
      <c r="V16">
        <f>IF(B16=0,0,INDEX('calcA'!$JF$10:$JF$54,B16))</f>
        <v/>
      </c>
      <c r="W16">
        <f>IF(B16=0,0,IF(IF(E16=2,SUMPRODUCT(INDEX('calcA'!$D$60:$EQ$99,B16,0),$DB16:$IO16,$IQ16:$OD16),SUMPRODUCT(INDEX('calcA'!$D$60:$EQ$99,B16,0),$DB16:$IO16))=0,1,0))</f>
        <v/>
      </c>
      <c r="X16">
        <f>MAX(X15,IF($B15=1,1,0))</f>
        <v/>
      </c>
      <c r="Y16">
        <f>MAX(Y15,IF($B15=2,1,0))</f>
        <v/>
      </c>
      <c r="Z16">
        <f>MAX(Z15,IF($B15=3,1,0))</f>
        <v/>
      </c>
      <c r="AA16">
        <f>MAX(AA15,IF($B15=4,1,0))</f>
        <v/>
      </c>
      <c r="AB16">
        <f>MAX(AB15,IF($B15=5,1,0))</f>
        <v/>
      </c>
      <c r="AC16">
        <f>MAX(AC15,IF($B15=6,1,0))</f>
        <v/>
      </c>
      <c r="AD16">
        <f>MAX(AD15,IF($B15=7,1,0))</f>
        <v/>
      </c>
      <c r="AE16">
        <f>MAX(AE15,IF($B15=8,1,0))</f>
        <v/>
      </c>
      <c r="AF16">
        <f>MAX(AF15,IF($B15=9,1,0))</f>
        <v/>
      </c>
      <c r="AG16">
        <f>MAX(AG15,IF($B15=10,1,0))</f>
        <v/>
      </c>
      <c r="AH16">
        <f>MAX(AH15,IF($B15=11,1,0))</f>
        <v/>
      </c>
      <c r="AI16">
        <f>MAX(AI15,IF($B15=12,1,0))</f>
        <v/>
      </c>
      <c r="AJ16">
        <f>MAX(AJ15,IF($B15=13,1,0))</f>
        <v/>
      </c>
      <c r="AK16">
        <f>MAX(AK15,IF($B15=14,1,0))</f>
        <v/>
      </c>
      <c r="AL16">
        <f>MAX(AL15,IF($B15=15,1,0))</f>
        <v/>
      </c>
      <c r="AM16">
        <f>MAX(AM15,IF($B15=16,1,0))</f>
        <v/>
      </c>
      <c r="AN16">
        <f>MAX(AN15,IF($B15=17,1,0))</f>
        <v/>
      </c>
      <c r="AO16">
        <f>MAX(AO15,IF($B15=18,1,0))</f>
        <v/>
      </c>
      <c r="AP16">
        <f>MAX(AP15,IF($B15=19,1,0))</f>
        <v/>
      </c>
      <c r="AQ16">
        <f>MAX(AQ15,IF($B15=20,1,0))</f>
        <v/>
      </c>
      <c r="AR16">
        <f>MAX(AR15,IF($B15=21,1,0))</f>
        <v/>
      </c>
      <c r="AS16">
        <f>MAX(AS15,IF($B15=22,1,0))</f>
        <v/>
      </c>
      <c r="AT16">
        <f>MAX(AT15,IF($B15=23,1,0))</f>
        <v/>
      </c>
      <c r="AU16">
        <f>MAX(AU15,IF($B15=24,1,0))</f>
        <v/>
      </c>
      <c r="AV16">
        <f>MAX(AV15,IF($B15=25,1,0))</f>
        <v/>
      </c>
      <c r="AW16">
        <f>MAX(AW15,IF($B15=26,1,0))</f>
        <v/>
      </c>
      <c r="AX16">
        <f>MAX(AX15,IF($B15=27,1,0))</f>
        <v/>
      </c>
      <c r="AY16">
        <f>MAX(AY15,IF($B15=28,1,0))</f>
        <v/>
      </c>
      <c r="AZ16">
        <f>MAX(AZ15,IF($B15=29,1,0))</f>
        <v/>
      </c>
      <c r="BA16">
        <f>MAX(BA15,IF($B15=30,1,0))</f>
        <v/>
      </c>
      <c r="BB16">
        <f>MAX(BB15,IF($B15=31,1,0))</f>
        <v/>
      </c>
      <c r="BC16">
        <f>MAX(BC15,IF($B15=32,1,0))</f>
        <v/>
      </c>
      <c r="BD16">
        <f>MAX(BD15,IF($B15=33,1,0))</f>
        <v/>
      </c>
      <c r="BE16">
        <f>MAX(BE15,IF($B15=34,1,0))</f>
        <v/>
      </c>
      <c r="BF16">
        <f>MAX(BF15,IF($B15=35,1,0))</f>
        <v/>
      </c>
      <c r="BG16">
        <f>MAX(BG15,IF($B15=36,1,0))</f>
        <v/>
      </c>
      <c r="BH16">
        <f>MAX(BH15,IF($B15=37,1,0))</f>
        <v/>
      </c>
      <c r="BI16">
        <f>MAX(BI15,IF($B15=38,1,0))</f>
        <v/>
      </c>
      <c r="BJ16">
        <f>MAX(BJ15,IF($B15=39,1,0))</f>
        <v/>
      </c>
      <c r="BK16">
        <f>MAX(BK15,IF($B15=40,1,0))</f>
        <v/>
      </c>
      <c r="BM16">
        <f>IF(OR(X16=1,calcA!$A$6=0),1000000000,IF('calcA'!$JF$10=1,0,100000000)+IF('calcA'!$IQ$10=2,SUMPRODUCT('calcA'!$D$60:$EQ$60,$DB16:$IO16,$IQ16:$OD16)*1000+SUMPRODUCT('calcA'!$D$60:$EQ$60,$DB16:$IO16+$ZQ16:$AFD16,$AFF16:$AKS16),SUMPRODUCT('calcA'!$D$60:$EQ$60,$DB16:$IO16*1001+$ZQ16:$AFD16))*100+1)</f>
        <v/>
      </c>
      <c r="BN16">
        <f>IF(OR(Y16=1,calcA!$A$6=0),1000000000,IF('calcA'!$JF$11=1,0,100000000)+IF('calcA'!$IQ$11=2,SUMPRODUCT('calcA'!$D$61:$EQ$61,$DB16:$IO16,$IQ16:$OD16)*1000+SUMPRODUCT('calcA'!$D$61:$EQ$61,$DB16:$IO16+$ZQ16:$AFD16,$AFF16:$AKS16),SUMPRODUCT('calcA'!$D$61:$EQ$61,$DB16:$IO16*1001+$ZQ16:$AFD16))*100+2)</f>
        <v/>
      </c>
      <c r="BO16">
        <f>IF(OR(Z16=1,calcA!$A$6=0),1000000000,IF('calcA'!$JF$12=1,0,100000000)+IF('calcA'!$IQ$12=2,SUMPRODUCT('calcA'!$D$62:$EQ$62,$DB16:$IO16,$IQ16:$OD16)*1000+SUMPRODUCT('calcA'!$D$62:$EQ$62,$DB16:$IO16+$ZQ16:$AFD16,$AFF16:$AKS16),SUMPRODUCT('calcA'!$D$62:$EQ$62,$DB16:$IO16*1001+$ZQ16:$AFD16))*100+3)</f>
        <v/>
      </c>
      <c r="BP16">
        <f>IF(OR(AA16=1,calcA!$A$6=0),1000000000,IF('calcA'!$JF$13=1,0,100000000)+IF('calcA'!$IQ$13=2,SUMPRODUCT('calcA'!$D$63:$EQ$63,$DB16:$IO16,$IQ16:$OD16)*1000+SUMPRODUCT('calcA'!$D$63:$EQ$63,$DB16:$IO16+$ZQ16:$AFD16,$AFF16:$AKS16),SUMPRODUCT('calcA'!$D$63:$EQ$63,$DB16:$IO16*1001+$ZQ16:$AFD16))*100+4)</f>
        <v/>
      </c>
      <c r="BQ16">
        <f>IF(OR(AB16=1,calcA!$A$6=0),1000000000,IF('calcA'!$JF$14=1,0,100000000)+IF('calcA'!$IQ$14=2,SUMPRODUCT('calcA'!$D$64:$EQ$64,$DB16:$IO16,$IQ16:$OD16)*1000+SUMPRODUCT('calcA'!$D$64:$EQ$64,$DB16:$IO16+$ZQ16:$AFD16,$AFF16:$AKS16),SUMPRODUCT('calcA'!$D$64:$EQ$64,$DB16:$IO16*1001+$ZQ16:$AFD16))*100+5)</f>
        <v/>
      </c>
      <c r="BR16">
        <f>IF(OR(AC16=1,calcA!$A$6=0),1000000000,IF('calcA'!$JF$15=1,0,100000000)+IF('calcA'!$IQ$15=2,SUMPRODUCT('calcA'!$D$65:$EQ$65,$DB16:$IO16,$IQ16:$OD16)*1000+SUMPRODUCT('calcA'!$D$65:$EQ$65,$DB16:$IO16+$ZQ16:$AFD16,$AFF16:$AKS16),SUMPRODUCT('calcA'!$D$65:$EQ$65,$DB16:$IO16*1001+$ZQ16:$AFD16))*100+6)</f>
        <v/>
      </c>
      <c r="BS16">
        <f>IF(OR(AD16=1,calcA!$A$6=0),1000000000,IF('calcA'!$JF$16=1,0,100000000)+IF('calcA'!$IQ$16=2,SUMPRODUCT('calcA'!$D$66:$EQ$66,$DB16:$IO16,$IQ16:$OD16)*1000+SUMPRODUCT('calcA'!$D$66:$EQ$66,$DB16:$IO16+$ZQ16:$AFD16,$AFF16:$AKS16),SUMPRODUCT('calcA'!$D$66:$EQ$66,$DB16:$IO16*1001+$ZQ16:$AFD16))*100+7)</f>
        <v/>
      </c>
      <c r="BT16">
        <f>IF(OR(AE16=1,calcA!$A$6=0),1000000000,IF('calcA'!$JF$17=1,0,100000000)+IF('calcA'!$IQ$17=2,SUMPRODUCT('calcA'!$D$67:$EQ$67,$DB16:$IO16,$IQ16:$OD16)*1000+SUMPRODUCT('calcA'!$D$67:$EQ$67,$DB16:$IO16+$ZQ16:$AFD16,$AFF16:$AKS16),SUMPRODUCT('calcA'!$D$67:$EQ$67,$DB16:$IO16*1001+$ZQ16:$AFD16))*100+8)</f>
        <v/>
      </c>
      <c r="BU16">
        <f>IF(OR(AF16=1,calcA!$A$6=0),1000000000,IF('calcA'!$JF$18=1,0,100000000)+IF('calcA'!$IQ$18=2,SUMPRODUCT('calcA'!$D$68:$EQ$68,$DB16:$IO16,$IQ16:$OD16)*1000+SUMPRODUCT('calcA'!$D$68:$EQ$68,$DB16:$IO16+$ZQ16:$AFD16,$AFF16:$AKS16),SUMPRODUCT('calcA'!$D$68:$EQ$68,$DB16:$IO16*1001+$ZQ16:$AFD16))*100+9)</f>
        <v/>
      </c>
      <c r="BV16">
        <f>IF(OR(AG16=1,calcA!$A$6=0),1000000000,IF('calcA'!$JF$19=1,0,100000000)+IF('calcA'!$IQ$19=2,SUMPRODUCT('calcA'!$D$69:$EQ$69,$DB16:$IO16,$IQ16:$OD16)*1000+SUMPRODUCT('calcA'!$D$69:$EQ$69,$DB16:$IO16+$ZQ16:$AFD16,$AFF16:$AKS16),SUMPRODUCT('calcA'!$D$69:$EQ$69,$DB16:$IO16*1001+$ZQ16:$AFD16))*100+10)</f>
        <v/>
      </c>
      <c r="BW16">
        <f>IF(OR(AH16=1,calcA!$A$6=0),1000000000,IF('calcA'!$JF$20=1,0,100000000)+IF('calcA'!$IQ$20=2,SUMPRODUCT('calcA'!$D$70:$EQ$70,$DB16:$IO16,$IQ16:$OD16)*1000+SUMPRODUCT('calcA'!$D$70:$EQ$70,$DB16:$IO16+$ZQ16:$AFD16,$AFF16:$AKS16),SUMPRODUCT('calcA'!$D$70:$EQ$70,$DB16:$IO16*1001+$ZQ16:$AFD16))*100+11)</f>
        <v/>
      </c>
      <c r="BX16">
        <f>IF(OR(AI16=1,calcA!$A$6=0),1000000000,IF('calcA'!$JF$21=1,0,100000000)+IF('calcA'!$IQ$21=2,SUMPRODUCT('calcA'!$D$71:$EQ$71,$DB16:$IO16,$IQ16:$OD16)*1000+SUMPRODUCT('calcA'!$D$71:$EQ$71,$DB16:$IO16+$ZQ16:$AFD16,$AFF16:$AKS16),SUMPRODUCT('calcA'!$D$71:$EQ$71,$DB16:$IO16*1001+$ZQ16:$AFD16))*100+12)</f>
        <v/>
      </c>
      <c r="BY16">
        <f>IF(OR(AJ16=1,calcA!$A$6=0),1000000000,IF('calcA'!$JF$22=1,0,100000000)+IF('calcA'!$IQ$22=2,SUMPRODUCT('calcA'!$D$72:$EQ$72,$DB16:$IO16,$IQ16:$OD16)*1000+SUMPRODUCT('calcA'!$D$72:$EQ$72,$DB16:$IO16+$ZQ16:$AFD16,$AFF16:$AKS16),SUMPRODUCT('calcA'!$D$72:$EQ$72,$DB16:$IO16*1001+$ZQ16:$AFD16))*100+13)</f>
        <v/>
      </c>
      <c r="BZ16">
        <f>IF(OR(AK16=1,calcA!$A$6=0),1000000000,IF('calcA'!$JF$23=1,0,100000000)+IF('calcA'!$IQ$23=2,SUMPRODUCT('calcA'!$D$73:$EQ$73,$DB16:$IO16,$IQ16:$OD16)*1000+SUMPRODUCT('calcA'!$D$73:$EQ$73,$DB16:$IO16+$ZQ16:$AFD16,$AFF16:$AKS16),SUMPRODUCT('calcA'!$D$73:$EQ$73,$DB16:$IO16*1001+$ZQ16:$AFD16))*100+14)</f>
        <v/>
      </c>
      <c r="CA16">
        <f>IF(OR(AL16=1,calcA!$A$6=0),1000000000,IF('calcA'!$JF$24=1,0,100000000)+IF('calcA'!$IQ$24=2,SUMPRODUCT('calcA'!$D$74:$EQ$74,$DB16:$IO16,$IQ16:$OD16)*1000+SUMPRODUCT('calcA'!$D$74:$EQ$74,$DB16:$IO16+$ZQ16:$AFD16,$AFF16:$AKS16),SUMPRODUCT('calcA'!$D$74:$EQ$74,$DB16:$IO16*1001+$ZQ16:$AFD16))*100+15)</f>
        <v/>
      </c>
      <c r="CB16">
        <f>IF(OR(AM16=1,calcA!$A$6=0),1000000000,IF('calcA'!$JF$25=1,0,100000000)+IF('calcA'!$IQ$25=2,SUMPRODUCT('calcA'!$D$75:$EQ$75,$DB16:$IO16,$IQ16:$OD16)*1000+SUMPRODUCT('calcA'!$D$75:$EQ$75,$DB16:$IO16+$ZQ16:$AFD16,$AFF16:$AKS16),SUMPRODUCT('calcA'!$D$75:$EQ$75,$DB16:$IO16*1001+$ZQ16:$AFD16))*100+16)</f>
        <v/>
      </c>
      <c r="CC16">
        <f>IF(OR(AN16=1,calcA!$A$6=0),1000000000,IF('calcA'!$JF$26=1,0,100000000)+IF('calcA'!$IQ$26=2,SUMPRODUCT('calcA'!$D$76:$EQ$76,$DB16:$IO16,$IQ16:$OD16)*1000+SUMPRODUCT('calcA'!$D$76:$EQ$76,$DB16:$IO16+$ZQ16:$AFD16,$AFF16:$AKS16),SUMPRODUCT('calcA'!$D$76:$EQ$76,$DB16:$IO16*1001+$ZQ16:$AFD16))*100+17)</f>
        <v/>
      </c>
      <c r="CD16">
        <f>IF(OR(AO16=1,calcA!$A$6=0),1000000000,IF('calcA'!$JF$27=1,0,100000000)+IF('calcA'!$IQ$27=2,SUMPRODUCT('calcA'!$D$77:$EQ$77,$DB16:$IO16,$IQ16:$OD16)*1000+SUMPRODUCT('calcA'!$D$77:$EQ$77,$DB16:$IO16+$ZQ16:$AFD16,$AFF16:$AKS16),SUMPRODUCT('calcA'!$D$77:$EQ$77,$DB16:$IO16*1001+$ZQ16:$AFD16))*100+18)</f>
        <v/>
      </c>
      <c r="CE16">
        <f>IF(OR(AP16=1,calcA!$A$6=0),1000000000,IF('calcA'!$JF$28=1,0,100000000)+IF('calcA'!$IQ$28=2,SUMPRODUCT('calcA'!$D$78:$EQ$78,$DB16:$IO16,$IQ16:$OD16)*1000+SUMPRODUCT('calcA'!$D$78:$EQ$78,$DB16:$IO16+$ZQ16:$AFD16,$AFF16:$AKS16),SUMPRODUCT('calcA'!$D$78:$EQ$78,$DB16:$IO16*1001+$ZQ16:$AFD16))*100+19)</f>
        <v/>
      </c>
      <c r="CF16">
        <f>IF(OR(AQ16=1,calcA!$A$6=0),1000000000,IF('calcA'!$JF$29=1,0,100000000)+IF('calcA'!$IQ$29=2,SUMPRODUCT('calcA'!$D$79:$EQ$79,$DB16:$IO16,$IQ16:$OD16)*1000+SUMPRODUCT('calcA'!$D$79:$EQ$79,$DB16:$IO16+$ZQ16:$AFD16,$AFF16:$AKS16),SUMPRODUCT('calcA'!$D$79:$EQ$79,$DB16:$IO16*1001+$ZQ16:$AFD16))*100+20)</f>
        <v/>
      </c>
      <c r="CG16">
        <f>IF(OR(AR16=1,calcA!$A$6=0),1000000000,IF('calcA'!$JF$30=1,0,100000000)+IF('calcA'!$IQ$30=2,SUMPRODUCT('calcA'!$D$80:$EQ$80,$DB16:$IO16,$IQ16:$OD16)*1000+SUMPRODUCT('calcA'!$D$80:$EQ$80,$DB16:$IO16+$ZQ16:$AFD16,$AFF16:$AKS16),SUMPRODUCT('calcA'!$D$80:$EQ$80,$DB16:$IO16*1001+$ZQ16:$AFD16))*100+21)</f>
        <v/>
      </c>
      <c r="CH16">
        <f>IF(OR(AS16=1,calcA!$A$6=0),1000000000,IF('calcA'!$JF$31=1,0,100000000)+IF('calcA'!$IQ$31=2,SUMPRODUCT('calcA'!$D$81:$EQ$81,$DB16:$IO16,$IQ16:$OD16)*1000+SUMPRODUCT('calcA'!$D$81:$EQ$81,$DB16:$IO16+$ZQ16:$AFD16,$AFF16:$AKS16),SUMPRODUCT('calcA'!$D$81:$EQ$81,$DB16:$IO16*1001+$ZQ16:$AFD16))*100+22)</f>
        <v/>
      </c>
      <c r="CI16">
        <f>IF(OR(AT16=1,calcA!$A$6=0),1000000000,IF('calcA'!$JF$32=1,0,100000000)+IF('calcA'!$IQ$32=2,SUMPRODUCT('calcA'!$D$82:$EQ$82,$DB16:$IO16,$IQ16:$OD16)*1000+SUMPRODUCT('calcA'!$D$82:$EQ$82,$DB16:$IO16+$ZQ16:$AFD16,$AFF16:$AKS16),SUMPRODUCT('calcA'!$D$82:$EQ$82,$DB16:$IO16*1001+$ZQ16:$AFD16))*100+23)</f>
        <v/>
      </c>
      <c r="CJ16">
        <f>IF(OR(AU16=1,calcA!$A$6=0),1000000000,IF('calcA'!$JF$33=1,0,100000000)+IF('calcA'!$IQ$33=2,SUMPRODUCT('calcA'!$D$83:$EQ$83,$DB16:$IO16,$IQ16:$OD16)*1000+SUMPRODUCT('calcA'!$D$83:$EQ$83,$DB16:$IO16+$ZQ16:$AFD16,$AFF16:$AKS16),SUMPRODUCT('calcA'!$D$83:$EQ$83,$DB16:$IO16*1001+$ZQ16:$AFD16))*100+24)</f>
        <v/>
      </c>
      <c r="CK16">
        <f>IF(OR(AV16=1,calcA!$A$6=0),1000000000,IF('calcA'!$JF$34=1,0,100000000)+IF('calcA'!$IQ$34=2,SUMPRODUCT('calcA'!$D$84:$EQ$84,$DB16:$IO16,$IQ16:$OD16)*1000+SUMPRODUCT('calcA'!$D$84:$EQ$84,$DB16:$IO16+$ZQ16:$AFD16,$AFF16:$AKS16),SUMPRODUCT('calcA'!$D$84:$EQ$84,$DB16:$IO16*1001+$ZQ16:$AFD16))*100+25)</f>
        <v/>
      </c>
      <c r="CL16">
        <f>IF(OR(AW16=1,calcA!$A$6=0),1000000000,IF('calcA'!$JF$35=1,0,100000000)+IF('calcA'!$IQ$35=2,SUMPRODUCT('calcA'!$D$85:$EQ$85,$DB16:$IO16,$IQ16:$OD16)*1000+SUMPRODUCT('calcA'!$D$85:$EQ$85,$DB16:$IO16+$ZQ16:$AFD16,$AFF16:$AKS16),SUMPRODUCT('calcA'!$D$85:$EQ$85,$DB16:$IO16*1001+$ZQ16:$AFD16))*100+26)</f>
        <v/>
      </c>
      <c r="CM16">
        <f>IF(OR(AX16=1,calcA!$A$6=0),1000000000,IF('calcA'!$JF$36=1,0,100000000)+IF('calcA'!$IQ$36=2,SUMPRODUCT('calcA'!$D$86:$EQ$86,$DB16:$IO16,$IQ16:$OD16)*1000+SUMPRODUCT('calcA'!$D$86:$EQ$86,$DB16:$IO16+$ZQ16:$AFD16,$AFF16:$AKS16),SUMPRODUCT('calcA'!$D$86:$EQ$86,$DB16:$IO16*1001+$ZQ16:$AFD16))*100+27)</f>
        <v/>
      </c>
      <c r="CN16">
        <f>IF(OR(AY16=1,calcA!$A$6=0),1000000000,IF('calcA'!$JF$37=1,0,100000000)+IF('calcA'!$IQ$37=2,SUMPRODUCT('calcA'!$D$87:$EQ$87,$DB16:$IO16,$IQ16:$OD16)*1000+SUMPRODUCT('calcA'!$D$87:$EQ$87,$DB16:$IO16+$ZQ16:$AFD16,$AFF16:$AKS16),SUMPRODUCT('calcA'!$D$87:$EQ$87,$DB16:$IO16*1001+$ZQ16:$AFD16))*100+28)</f>
        <v/>
      </c>
      <c r="CO16">
        <f>IF(OR(AZ16=1,calcA!$A$6=0),1000000000,IF('calcA'!$JF$38=1,0,100000000)+IF('calcA'!$IQ$38=2,SUMPRODUCT('calcA'!$D$88:$EQ$88,$DB16:$IO16,$IQ16:$OD16)*1000+SUMPRODUCT('calcA'!$D$88:$EQ$88,$DB16:$IO16+$ZQ16:$AFD16,$AFF16:$AKS16),SUMPRODUCT('calcA'!$D$88:$EQ$88,$DB16:$IO16*1001+$ZQ16:$AFD16))*100+29)</f>
        <v/>
      </c>
      <c r="CP16">
        <f>IF(OR(BA16=1,calcA!$A$6=0),1000000000,IF('calcA'!$JF$39=1,0,100000000)+IF('calcA'!$IQ$39=2,SUMPRODUCT('calcA'!$D$89:$EQ$89,$DB16:$IO16,$IQ16:$OD16)*1000+SUMPRODUCT('calcA'!$D$89:$EQ$89,$DB16:$IO16+$ZQ16:$AFD16,$AFF16:$AKS16),SUMPRODUCT('calcA'!$D$89:$EQ$89,$DB16:$IO16*1001+$ZQ16:$AFD16))*100+30)</f>
        <v/>
      </c>
      <c r="CQ16">
        <f>IF(OR(BB16=1,calcA!$A$6=0),1000000000,IF('calcA'!$JF$40=1,0,100000000)+IF('calcA'!$IQ$40=2,SUMPRODUCT('calcA'!$D$90:$EQ$90,$DB16:$IO16,$IQ16:$OD16)*1000+SUMPRODUCT('calcA'!$D$90:$EQ$90,$DB16:$IO16+$ZQ16:$AFD16,$AFF16:$AKS16),SUMPRODUCT('calcA'!$D$90:$EQ$90,$DB16:$IO16*1001+$ZQ16:$AFD16))*100+31)</f>
        <v/>
      </c>
      <c r="CR16">
        <f>IF(OR(BC16=1,calcA!$A$6=0),1000000000,IF('calcA'!$JF$41=1,0,100000000)+IF('calcA'!$IQ$41=2,SUMPRODUCT('calcA'!$D$91:$EQ$91,$DB16:$IO16,$IQ16:$OD16)*1000+SUMPRODUCT('calcA'!$D$91:$EQ$91,$DB16:$IO16+$ZQ16:$AFD16,$AFF16:$AKS16),SUMPRODUCT('calcA'!$D$91:$EQ$91,$DB16:$IO16*1001+$ZQ16:$AFD16))*100+32)</f>
        <v/>
      </c>
      <c r="CS16">
        <f>IF(OR(BD16=1,calcA!$A$6=0),1000000000,IF('calcA'!$JF$42=1,0,100000000)+IF('calcA'!$IQ$42=2,SUMPRODUCT('calcA'!$D$92:$EQ$92,$DB16:$IO16,$IQ16:$OD16)*1000+SUMPRODUCT('calcA'!$D$92:$EQ$92,$DB16:$IO16+$ZQ16:$AFD16,$AFF16:$AKS16),SUMPRODUCT('calcA'!$D$92:$EQ$92,$DB16:$IO16*1001+$ZQ16:$AFD16))*100+33)</f>
        <v/>
      </c>
      <c r="CT16">
        <f>IF(OR(BE16=1,calcA!$A$6=0),1000000000,IF('calcA'!$JF$43=1,0,100000000)+IF('calcA'!$IQ$43=2,SUMPRODUCT('calcA'!$D$93:$EQ$93,$DB16:$IO16,$IQ16:$OD16)*1000+SUMPRODUCT('calcA'!$D$93:$EQ$93,$DB16:$IO16+$ZQ16:$AFD16,$AFF16:$AKS16),SUMPRODUCT('calcA'!$D$93:$EQ$93,$DB16:$IO16*1001+$ZQ16:$AFD16))*100+34)</f>
        <v/>
      </c>
      <c r="CU16">
        <f>IF(OR(BF16=1,calcA!$A$6=0),1000000000,IF('calcA'!$JF$44=1,0,100000000)+IF('calcA'!$IQ$44=2,SUMPRODUCT('calcA'!$D$94:$EQ$94,$DB16:$IO16,$IQ16:$OD16)*1000+SUMPRODUCT('calcA'!$D$94:$EQ$94,$DB16:$IO16+$ZQ16:$AFD16,$AFF16:$AKS16),SUMPRODUCT('calcA'!$D$94:$EQ$94,$DB16:$IO16*1001+$ZQ16:$AFD16))*100+35)</f>
        <v/>
      </c>
      <c r="CV16">
        <f>IF(OR(BG16=1,calcA!$A$6=0),1000000000,IF('calcA'!$JF$45=1,0,100000000)+IF('calcA'!$IQ$45=2,SUMPRODUCT('calcA'!$D$95:$EQ$95,$DB16:$IO16,$IQ16:$OD16)*1000+SUMPRODUCT('calcA'!$D$95:$EQ$95,$DB16:$IO16+$ZQ16:$AFD16,$AFF16:$AKS16),SUMPRODUCT('calcA'!$D$95:$EQ$95,$DB16:$IO16*1001+$ZQ16:$AFD16))*100+36)</f>
        <v/>
      </c>
      <c r="CW16">
        <f>IF(OR(BH16=1,calcA!$A$6=0),1000000000,IF('calcA'!$JF$46=1,0,100000000)+IF('calcA'!$IQ$46=2,SUMPRODUCT('calcA'!$D$96:$EQ$96,$DB16:$IO16,$IQ16:$OD16)*1000+SUMPRODUCT('calcA'!$D$96:$EQ$96,$DB16:$IO16+$ZQ16:$AFD16,$AFF16:$AKS16),SUMPRODUCT('calcA'!$D$96:$EQ$96,$DB16:$IO16*1001+$ZQ16:$AFD16))*100+37)</f>
        <v/>
      </c>
      <c r="CX16">
        <f>IF(OR(BI16=1,calcA!$A$6=0),1000000000,IF('calcA'!$JF$47=1,0,100000000)+IF('calcA'!$IQ$47=2,SUMPRODUCT('calcA'!$D$97:$EQ$97,$DB16:$IO16,$IQ16:$OD16)*1000+SUMPRODUCT('calcA'!$D$97:$EQ$97,$DB16:$IO16+$ZQ16:$AFD16,$AFF16:$AKS16),SUMPRODUCT('calcA'!$D$97:$EQ$97,$DB16:$IO16*1001+$ZQ16:$AFD16))*100+38)</f>
        <v/>
      </c>
      <c r="CY16">
        <f>IF(OR(BJ16=1,calcA!$A$6=0),1000000000,IF('calcA'!$JF$48=1,0,100000000)+IF('calcA'!$IQ$48=2,SUMPRODUCT('calcA'!$D$98:$EQ$98,$DB16:$IO16,$IQ16:$OD16)*1000+SUMPRODUCT('calcA'!$D$98:$EQ$98,$DB16:$IO16+$ZQ16:$AFD16,$AFF16:$AKS16),SUMPRODUCT('calcA'!$D$98:$EQ$98,$DB16:$IO16*1001+$ZQ16:$AFD16))*100+39)</f>
        <v/>
      </c>
      <c r="CZ16">
        <f>IF(OR(BK16=1,calcA!$A$6=0),1000000000,IF('calcA'!$JF$49=1,0,100000000)+IF('calcA'!$IQ$49=2,SUMPRODUCT('calcA'!$D$99:$EQ$99,$DB16:$IO16,$IQ16:$OD16)*1000+SUMPRODUCT('calcA'!$D$99:$EQ$99,$DB16:$IO16+$ZQ16:$AFD16,$AFF16:$AKS16),SUMPRODUCT('calcA'!$D$99:$EQ$99,$DB16:$IO16*1001+$ZQ16:$AFD16))*100+40)</f>
        <v/>
      </c>
      <c r="DB16">
        <f>DB15*IF(OR($C15=1,$G15=1),0,1)</f>
        <v/>
      </c>
      <c r="DC16">
        <f>DC15*IF(OR($C15=2,$G15=2),0,1)</f>
        <v/>
      </c>
      <c r="DD16">
        <f>DD15*IF(OR($C15=3,$G15=3),0,1)</f>
        <v/>
      </c>
      <c r="DE16">
        <f>DE15*IF(OR($C15=4,$G15=4),0,1)</f>
        <v/>
      </c>
      <c r="DF16">
        <f>DF15*IF(OR($C15=5,$G15=5),0,1)</f>
        <v/>
      </c>
      <c r="DG16">
        <f>DG15*IF(OR($C15=6,$G15=6),0,1)</f>
        <v/>
      </c>
      <c r="DH16">
        <f>DH15*IF(OR($C15=7,$G15=7),0,1)</f>
        <v/>
      </c>
      <c r="DI16">
        <f>DI15*IF(OR($C15=8,$G15=8),0,1)</f>
        <v/>
      </c>
      <c r="DJ16">
        <f>DJ15*IF(OR($C15=9,$G15=9),0,1)</f>
        <v/>
      </c>
      <c r="DK16">
        <f>DK15*IF(OR($C15=10,$G15=10),0,1)</f>
        <v/>
      </c>
      <c r="DL16">
        <f>DL15*IF(OR($C15=11,$G15=11),0,1)</f>
        <v/>
      </c>
      <c r="DM16">
        <f>DM15*IF(OR($C15=12,$G15=12),0,1)</f>
        <v/>
      </c>
      <c r="DN16">
        <f>DN15*IF(OR($C15=13,$G15=13),0,1)</f>
        <v/>
      </c>
      <c r="DO16">
        <f>DO15*IF(OR($C15=14,$G15=14),0,1)</f>
        <v/>
      </c>
      <c r="DP16">
        <f>DP15*IF(OR($C15=15,$G15=15),0,1)</f>
        <v/>
      </c>
      <c r="DQ16">
        <f>DQ15*IF(OR($C15=16,$G15=16),0,1)</f>
        <v/>
      </c>
      <c r="DR16">
        <f>DR15*IF(OR($C15=17,$G15=17),0,1)</f>
        <v/>
      </c>
      <c r="DS16">
        <f>DS15*IF(OR($C15=18,$G15=18),0,1)</f>
        <v/>
      </c>
      <c r="DT16">
        <f>DT15*IF(OR($C15=19,$G15=19),0,1)</f>
        <v/>
      </c>
      <c r="DU16">
        <f>DU15*IF(OR($C15=20,$G15=20),0,1)</f>
        <v/>
      </c>
      <c r="DV16">
        <f>DV15*IF(OR($C15=21,$G15=21),0,1)</f>
        <v/>
      </c>
      <c r="DW16">
        <f>DW15*IF(OR($C15=22,$G15=22),0,1)</f>
        <v/>
      </c>
      <c r="DX16">
        <f>DX15*IF(OR($C15=23,$G15=23),0,1)</f>
        <v/>
      </c>
      <c r="DY16">
        <f>DY15*IF(OR($C15=24,$G15=24),0,1)</f>
        <v/>
      </c>
      <c r="DZ16">
        <f>DZ15*IF(OR($C15=25,$G15=25),0,1)</f>
        <v/>
      </c>
      <c r="EA16">
        <f>EA15*IF(OR($C15=26,$G15=26),0,1)</f>
        <v/>
      </c>
      <c r="EB16">
        <f>EB15*IF(OR($C15=27,$G15=27),0,1)</f>
        <v/>
      </c>
      <c r="EC16">
        <f>EC15*IF(OR($C15=28,$G15=28),0,1)</f>
        <v/>
      </c>
      <c r="ED16">
        <f>ED15*IF(OR($C15=29,$G15=29),0,1)</f>
        <v/>
      </c>
      <c r="EE16">
        <f>EE15*IF(OR($C15=30,$G15=30),0,1)</f>
        <v/>
      </c>
      <c r="EF16">
        <f>EF15*IF(OR($C15=31,$G15=31),0,1)</f>
        <v/>
      </c>
      <c r="EG16">
        <f>EG15*IF(OR($C15=32,$G15=32),0,1)</f>
        <v/>
      </c>
      <c r="EH16">
        <f>EH15*IF(OR($C15=33,$G15=33),0,1)</f>
        <v/>
      </c>
      <c r="EI16">
        <f>EI15*IF(OR($C15=34,$G15=34),0,1)</f>
        <v/>
      </c>
      <c r="EJ16">
        <f>EJ15*IF(OR($C15=35,$G15=35),0,1)</f>
        <v/>
      </c>
      <c r="EK16">
        <f>EK15*IF(OR($C15=36,$G15=36),0,1)</f>
        <v/>
      </c>
      <c r="EL16">
        <f>EL15*IF(OR($C15=37,$G15=37),0,1)</f>
        <v/>
      </c>
      <c r="EM16">
        <f>EM15*IF(OR($C15=38,$G15=38),0,1)</f>
        <v/>
      </c>
      <c r="EN16">
        <f>EN15*IF(OR($C15=39,$G15=39),0,1)</f>
        <v/>
      </c>
      <c r="EO16">
        <f>EO15*IF(OR($C15=40,$G15=40),0,1)</f>
        <v/>
      </c>
      <c r="EP16">
        <f>EP15*IF(OR($C15=41,$G15=41),0,1)</f>
        <v/>
      </c>
      <c r="EQ16">
        <f>EQ15*IF(OR($C15=42,$G15=42),0,1)</f>
        <v/>
      </c>
      <c r="ER16">
        <f>ER15*IF(OR($C15=43,$G15=43),0,1)</f>
        <v/>
      </c>
      <c r="ES16">
        <f>ES15*IF(OR($C15=44,$G15=44),0,1)</f>
        <v/>
      </c>
      <c r="ET16">
        <f>ET15*IF(OR($C15=45,$G15=45),0,1)</f>
        <v/>
      </c>
      <c r="EU16">
        <f>EU15*IF(OR($C15=46,$G15=46),0,1)</f>
        <v/>
      </c>
      <c r="EV16">
        <f>EV15*IF(OR($C15=47,$G15=47),0,1)</f>
        <v/>
      </c>
      <c r="EW16">
        <f>EW15*IF(OR($C15=48,$G15=48),0,1)</f>
        <v/>
      </c>
      <c r="EX16">
        <f>EX15*IF(OR($C15=49,$G15=49),0,1)</f>
        <v/>
      </c>
      <c r="EY16">
        <f>EY15*IF(OR($C15=50,$G15=50),0,1)</f>
        <v/>
      </c>
      <c r="EZ16">
        <f>EZ15*IF(OR($C15=51,$G15=51),0,1)</f>
        <v/>
      </c>
      <c r="FA16">
        <f>FA15*IF(OR($C15=52,$G15=52),0,1)</f>
        <v/>
      </c>
      <c r="FB16">
        <f>FB15*IF(OR($C15=53,$G15=53),0,1)</f>
        <v/>
      </c>
      <c r="FC16">
        <f>FC15*IF(OR($C15=54,$G15=54),0,1)</f>
        <v/>
      </c>
      <c r="FD16">
        <f>FD15*IF(OR($C15=55,$G15=55),0,1)</f>
        <v/>
      </c>
      <c r="FE16">
        <f>FE15*IF(OR($C15=56,$G15=56),0,1)</f>
        <v/>
      </c>
      <c r="FF16">
        <f>FF15*IF(OR($C15=57,$G15=57),0,1)</f>
        <v/>
      </c>
      <c r="FG16">
        <f>FG15*IF(OR($C15=58,$G15=58),0,1)</f>
        <v/>
      </c>
      <c r="FH16">
        <f>FH15*IF(OR($C15=59,$G15=59),0,1)</f>
        <v/>
      </c>
      <c r="FI16">
        <f>FI15*IF(OR($C15=60,$G15=60),0,1)</f>
        <v/>
      </c>
      <c r="FJ16">
        <f>FJ15*IF(OR($C15=61,$G15=61),0,1)</f>
        <v/>
      </c>
      <c r="FK16">
        <f>FK15*IF(OR($C15=62,$G15=62),0,1)</f>
        <v/>
      </c>
      <c r="FL16">
        <f>FL15*IF(OR($C15=63,$G15=63),0,1)</f>
        <v/>
      </c>
      <c r="FM16">
        <f>FM15*IF(OR($C15=64,$G15=64),0,1)</f>
        <v/>
      </c>
      <c r="FN16">
        <f>FN15*IF(OR($C15=65,$G15=65),0,1)</f>
        <v/>
      </c>
      <c r="FO16">
        <f>FO15*IF(OR($C15=66,$G15=66),0,1)</f>
        <v/>
      </c>
      <c r="FP16">
        <f>FP15*IF(OR($C15=67,$G15=67),0,1)</f>
        <v/>
      </c>
      <c r="FQ16">
        <f>FQ15*IF(OR($C15=68,$G15=68),0,1)</f>
        <v/>
      </c>
      <c r="FR16">
        <f>FR15*IF(OR($C15=69,$G15=69),0,1)</f>
        <v/>
      </c>
      <c r="FS16">
        <f>FS15*IF(OR($C15=70,$G15=70),0,1)</f>
        <v/>
      </c>
      <c r="FT16">
        <f>FT15*IF(OR($C15=71,$G15=71),0,1)</f>
        <v/>
      </c>
      <c r="FU16">
        <f>FU15*IF(OR($C15=72,$G15=72),0,1)</f>
        <v/>
      </c>
      <c r="FV16">
        <f>FV15*IF(OR($C15=73,$G15=73),0,1)</f>
        <v/>
      </c>
      <c r="FW16">
        <f>FW15*IF(OR($C15=74,$G15=74),0,1)</f>
        <v/>
      </c>
      <c r="FX16">
        <f>FX15*IF(OR($C15=75,$G15=75),0,1)</f>
        <v/>
      </c>
      <c r="FY16">
        <f>FY15*IF(OR($C15=76,$G15=76),0,1)</f>
        <v/>
      </c>
      <c r="FZ16">
        <f>FZ15*IF(OR($C15=77,$G15=77),0,1)</f>
        <v/>
      </c>
      <c r="GA16">
        <f>GA15*IF(OR($C15=78,$G15=78),0,1)</f>
        <v/>
      </c>
      <c r="GB16">
        <f>GB15*IF(OR($C15=79,$G15=79),0,1)</f>
        <v/>
      </c>
      <c r="GC16">
        <f>GC15*IF(OR($C15=80,$G15=80),0,1)</f>
        <v/>
      </c>
      <c r="GD16">
        <f>GD15*IF(OR($C15=81,$G15=81),0,1)</f>
        <v/>
      </c>
      <c r="GE16">
        <f>GE15*IF(OR($C15=82,$G15=82),0,1)</f>
        <v/>
      </c>
      <c r="GF16">
        <f>GF15*IF(OR($C15=83,$G15=83),0,1)</f>
        <v/>
      </c>
      <c r="GG16">
        <f>GG15*IF(OR($C15=84,$G15=84),0,1)</f>
        <v/>
      </c>
      <c r="GH16">
        <f>GH15*IF(OR($C15=85,$G15=85),0,1)</f>
        <v/>
      </c>
      <c r="GI16">
        <f>GI15*IF(OR($C15=86,$G15=86),0,1)</f>
        <v/>
      </c>
      <c r="GJ16">
        <f>GJ15*IF(OR($C15=87,$G15=87),0,1)</f>
        <v/>
      </c>
      <c r="GK16">
        <f>GK15*IF(OR($C15=88,$G15=88),0,1)</f>
        <v/>
      </c>
      <c r="GL16">
        <f>GL15*IF(OR($C15=89,$G15=89),0,1)</f>
        <v/>
      </c>
      <c r="GM16">
        <f>GM15*IF(OR($C15=90,$G15=90),0,1)</f>
        <v/>
      </c>
      <c r="GN16">
        <f>GN15*IF(OR($C15=91,$G15=91),0,1)</f>
        <v/>
      </c>
      <c r="GO16">
        <f>GO15*IF(OR($C15=92,$G15=92),0,1)</f>
        <v/>
      </c>
      <c r="GP16">
        <f>GP15*IF(OR($C15=93,$G15=93),0,1)</f>
        <v/>
      </c>
      <c r="GQ16">
        <f>GQ15*IF(OR($C15=94,$G15=94),0,1)</f>
        <v/>
      </c>
      <c r="GR16">
        <f>GR15*IF(OR($C15=95,$G15=95),0,1)</f>
        <v/>
      </c>
      <c r="GS16">
        <f>GS15*IF(OR($C15=96,$G15=96),0,1)</f>
        <v/>
      </c>
      <c r="GT16">
        <f>GT15*IF(OR($C15=97,$G15=97),0,1)</f>
        <v/>
      </c>
      <c r="GU16">
        <f>GU15*IF(OR($C15=98,$G15=98),0,1)</f>
        <v/>
      </c>
      <c r="GV16">
        <f>GV15*IF(OR($C15=99,$G15=99),0,1)</f>
        <v/>
      </c>
      <c r="GW16">
        <f>GW15*IF(OR($C15=100,$G15=100),0,1)</f>
        <v/>
      </c>
      <c r="GX16">
        <f>GX15*IF(OR($C15=101,$G15=101),0,1)</f>
        <v/>
      </c>
      <c r="GY16">
        <f>GY15*IF(OR($C15=102,$G15=102),0,1)</f>
        <v/>
      </c>
      <c r="GZ16">
        <f>GZ15*IF(OR($C15=103,$G15=103),0,1)</f>
        <v/>
      </c>
      <c r="HA16">
        <f>HA15*IF(OR($C15=104,$G15=104),0,1)</f>
        <v/>
      </c>
      <c r="HB16">
        <f>HB15*IF(OR($C15=105,$G15=105),0,1)</f>
        <v/>
      </c>
      <c r="HC16">
        <f>HC15*IF(OR($C15=106,$G15=106),0,1)</f>
        <v/>
      </c>
      <c r="HD16">
        <f>HD15*IF(OR($C15=107,$G15=107),0,1)</f>
        <v/>
      </c>
      <c r="HE16">
        <f>HE15*IF(OR($C15=108,$G15=108),0,1)</f>
        <v/>
      </c>
      <c r="HF16">
        <f>HF15*IF(OR($C15=109,$G15=109),0,1)</f>
        <v/>
      </c>
      <c r="HG16">
        <f>HG15*IF(OR($C15=110,$G15=110),0,1)</f>
        <v/>
      </c>
      <c r="HH16">
        <f>HH15*IF(OR($C15=111,$G15=111),0,1)</f>
        <v/>
      </c>
      <c r="HI16">
        <f>HI15*IF(OR($C15=112,$G15=112),0,1)</f>
        <v/>
      </c>
      <c r="HJ16">
        <f>HJ15*IF(OR($C15=113,$G15=113),0,1)</f>
        <v/>
      </c>
      <c r="HK16">
        <f>HK15*IF(OR($C15=114,$G15=114),0,1)</f>
        <v/>
      </c>
      <c r="HL16">
        <f>HL15*IF(OR($C15=115,$G15=115),0,1)</f>
        <v/>
      </c>
      <c r="HM16">
        <f>HM15*IF(OR($C15=116,$G15=116),0,1)</f>
        <v/>
      </c>
      <c r="HN16">
        <f>HN15*IF(OR($C15=117,$G15=117),0,1)</f>
        <v/>
      </c>
      <c r="HO16">
        <f>HO15*IF(OR($C15=118,$G15=118),0,1)</f>
        <v/>
      </c>
      <c r="HP16">
        <f>HP15*IF(OR($C15=119,$G15=119),0,1)</f>
        <v/>
      </c>
      <c r="HQ16">
        <f>HQ15*IF(OR($C15=120,$G15=120),0,1)</f>
        <v/>
      </c>
      <c r="HR16">
        <f>HR15*IF(OR($C15=121,$G15=121),0,1)</f>
        <v/>
      </c>
      <c r="HS16">
        <f>HS15*IF(OR($C15=122,$G15=122),0,1)</f>
        <v/>
      </c>
      <c r="HT16">
        <f>HT15*IF(OR($C15=123,$G15=123),0,1)</f>
        <v/>
      </c>
      <c r="HU16">
        <f>HU15*IF(OR($C15=124,$G15=124),0,1)</f>
        <v/>
      </c>
      <c r="HV16">
        <f>HV15*IF(OR($C15=125,$G15=125),0,1)</f>
        <v/>
      </c>
      <c r="HW16">
        <f>HW15*IF(OR($C15=126,$G15=126),0,1)</f>
        <v/>
      </c>
      <c r="HX16">
        <f>HX15*IF(OR($C15=127,$G15=127),0,1)</f>
        <v/>
      </c>
      <c r="HY16">
        <f>HY15*IF(OR($C15=128,$G15=128),0,1)</f>
        <v/>
      </c>
      <c r="HZ16">
        <f>HZ15*IF(OR($C15=129,$G15=129),0,1)</f>
        <v/>
      </c>
      <c r="IA16">
        <f>IA15*IF(OR($C15=130,$G15=130),0,1)</f>
        <v/>
      </c>
      <c r="IB16">
        <f>IB15*IF(OR($C15=131,$G15=131),0,1)</f>
        <v/>
      </c>
      <c r="IC16">
        <f>IC15*IF(OR($C15=132,$G15=132),0,1)</f>
        <v/>
      </c>
      <c r="ID16">
        <f>ID15*IF(OR($C15=133,$G15=133),0,1)</f>
        <v/>
      </c>
      <c r="IE16">
        <f>IE15*IF(OR($C15=134,$G15=134),0,1)</f>
        <v/>
      </c>
      <c r="IF16">
        <f>IF15*IF(OR($C15=135,$G15=135),0,1)</f>
        <v/>
      </c>
      <c r="IG16">
        <f>IG15*IF(OR($C15=136,$G15=136),0,1)</f>
        <v/>
      </c>
      <c r="IH16">
        <f>IH15*IF(OR($C15=137,$G15=137),0,1)</f>
        <v/>
      </c>
      <c r="II16">
        <f>II15*IF(OR($C15=138,$G15=138),0,1)</f>
        <v/>
      </c>
      <c r="IJ16">
        <f>IJ15*IF(OR($C15=139,$G15=139),0,1)</f>
        <v/>
      </c>
      <c r="IK16">
        <f>IK15*IF(OR($C15=140,$G15=140),0,1)</f>
        <v/>
      </c>
      <c r="IL16">
        <f>IL15*IF(OR($C15=141,$G15=141),0,1)</f>
        <v/>
      </c>
      <c r="IM16">
        <f>IM15*IF(OR($C15=142,$G15=142),0,1)</f>
        <v/>
      </c>
      <c r="IN16">
        <f>IN15*IF(OR($C15=143,$G15=143),0,1)</f>
        <v/>
      </c>
      <c r="IO16">
        <f>IO15*IF(OR($C15=144,$G15=144),0,1)</f>
        <v/>
      </c>
      <c r="IQ16">
        <f>IF('calcA'!D$106=1,DC16,1)</f>
        <v/>
      </c>
      <c r="IR16">
        <f>IF('calcA'!E$106=1,DD16,1)</f>
        <v/>
      </c>
      <c r="IS16">
        <f>IF('calcA'!F$106=1,DE16,1)</f>
        <v/>
      </c>
      <c r="IT16">
        <f>IF('calcA'!G$106=1,DF16,1)</f>
        <v/>
      </c>
      <c r="IU16">
        <f>IF('calcA'!H$106=1,DG16,1)</f>
        <v/>
      </c>
      <c r="IV16">
        <f>IF('calcA'!I$106=1,DH16,1)</f>
        <v/>
      </c>
      <c r="IW16">
        <f>IF('calcA'!J$106=1,DI16,1)</f>
        <v/>
      </c>
      <c r="IX16">
        <f>IF('calcA'!K$106=1,DJ16,1)</f>
        <v/>
      </c>
      <c r="IY16">
        <f>IF('calcA'!L$106=1,DK16,1)</f>
        <v/>
      </c>
      <c r="IZ16">
        <f>IF('calcA'!M$106=1,DL16,1)</f>
        <v/>
      </c>
      <c r="JA16">
        <f>IF('calcA'!N$106=1,DM16,1)</f>
        <v/>
      </c>
      <c r="JB16">
        <f>IF('calcA'!O$106=1,DN16,1)</f>
        <v/>
      </c>
      <c r="JC16">
        <f>IF('calcA'!P$106=1,DO16,1)</f>
        <v/>
      </c>
      <c r="JD16">
        <f>IF('calcA'!Q$106=1,DP16,1)</f>
        <v/>
      </c>
      <c r="JE16">
        <f>IF('calcA'!R$106=1,DQ16,1)</f>
        <v/>
      </c>
      <c r="JF16">
        <f>IF('calcA'!S$106=1,DR16,1)</f>
        <v/>
      </c>
      <c r="JG16">
        <f>IF('calcA'!T$106=1,DS16,1)</f>
        <v/>
      </c>
      <c r="JH16">
        <f>IF('calcA'!U$106=1,DT16,1)</f>
        <v/>
      </c>
      <c r="JI16">
        <f>IF('calcA'!V$106=1,DU16,1)</f>
        <v/>
      </c>
      <c r="JJ16">
        <f>IF('calcA'!W$106=1,DV16,1)</f>
        <v/>
      </c>
      <c r="JK16">
        <f>IF('calcA'!X$106=1,DW16,1)</f>
        <v/>
      </c>
      <c r="JL16">
        <f>IF('calcA'!Y$106=1,DX16,1)</f>
        <v/>
      </c>
      <c r="JM16">
        <f>IF('calcA'!Z$106=1,DY16,1)</f>
        <v/>
      </c>
      <c r="JN16">
        <f>IF('calcA'!AA$106=1,DZ16,1)</f>
        <v/>
      </c>
      <c r="JO16">
        <f>IF('calcA'!AB$106=1,EA16,1)</f>
        <v/>
      </c>
      <c r="JP16">
        <f>IF('calcA'!AC$106=1,EB16,1)</f>
        <v/>
      </c>
      <c r="JQ16">
        <f>IF('calcA'!AD$106=1,EC16,1)</f>
        <v/>
      </c>
      <c r="JR16">
        <f>IF('calcA'!AE$106=1,ED16,1)</f>
        <v/>
      </c>
      <c r="JS16">
        <f>IF('calcA'!AF$106=1,EE16,1)</f>
        <v/>
      </c>
      <c r="JT16">
        <f>IF('calcA'!AG$106=1,EF16,1)</f>
        <v/>
      </c>
      <c r="JU16">
        <f>IF('calcA'!AH$106=1,EG16,1)</f>
        <v/>
      </c>
      <c r="JV16">
        <f>IF('calcA'!AI$106=1,EH16,1)</f>
        <v/>
      </c>
      <c r="JW16">
        <f>IF('calcA'!AJ$106=1,EI16,1)</f>
        <v/>
      </c>
      <c r="JX16">
        <f>IF('calcA'!AK$106=1,EJ16,1)</f>
        <v/>
      </c>
      <c r="JY16">
        <f>IF('calcA'!AL$106=1,EK16,1)</f>
        <v/>
      </c>
      <c r="JZ16">
        <f>IF('calcA'!AM$106=1,EL16,1)</f>
        <v/>
      </c>
      <c r="KA16">
        <f>IF('calcA'!AN$106=1,EM16,1)</f>
        <v/>
      </c>
      <c r="KB16">
        <f>IF('calcA'!AO$106=1,EN16,1)</f>
        <v/>
      </c>
      <c r="KC16">
        <f>IF('calcA'!AP$106=1,EO16,1)</f>
        <v/>
      </c>
      <c r="KD16">
        <f>IF('calcA'!AQ$106=1,EP16,1)</f>
        <v/>
      </c>
      <c r="KE16">
        <f>IF('calcA'!AR$106=1,EQ16,1)</f>
        <v/>
      </c>
      <c r="KF16">
        <f>IF('calcA'!AS$106=1,ER16,1)</f>
        <v/>
      </c>
      <c r="KG16">
        <f>IF('calcA'!AT$106=1,ES16,1)</f>
        <v/>
      </c>
      <c r="KH16">
        <f>IF('calcA'!AU$106=1,ET16,1)</f>
        <v/>
      </c>
      <c r="KI16">
        <f>IF('calcA'!AV$106=1,EU16,1)</f>
        <v/>
      </c>
      <c r="KJ16">
        <f>IF('calcA'!AW$106=1,EV16,1)</f>
        <v/>
      </c>
      <c r="KK16">
        <f>IF('calcA'!AX$106=1,EW16,1)</f>
        <v/>
      </c>
      <c r="KL16">
        <f>IF('calcA'!AY$106=1,EX16,1)</f>
        <v/>
      </c>
      <c r="KM16">
        <f>IF('calcA'!AZ$106=1,EY16,1)</f>
        <v/>
      </c>
      <c r="KN16">
        <f>IF('calcA'!BA$106=1,EZ16,1)</f>
        <v/>
      </c>
      <c r="KO16">
        <f>IF('calcA'!BB$106=1,FA16,1)</f>
        <v/>
      </c>
      <c r="KP16">
        <f>IF('calcA'!BC$106=1,FB16,1)</f>
        <v/>
      </c>
      <c r="KQ16">
        <f>IF('calcA'!BD$106=1,FC16,1)</f>
        <v/>
      </c>
      <c r="KR16">
        <f>IF('calcA'!BE$106=1,FD16,1)</f>
        <v/>
      </c>
      <c r="KS16">
        <f>IF('calcA'!BF$106=1,FE16,1)</f>
        <v/>
      </c>
      <c r="KT16">
        <f>IF('calcA'!BG$106=1,FF16,1)</f>
        <v/>
      </c>
      <c r="KU16">
        <f>IF('calcA'!BH$106=1,FG16,1)</f>
        <v/>
      </c>
      <c r="KV16">
        <f>IF('calcA'!BI$106=1,FH16,1)</f>
        <v/>
      </c>
      <c r="KW16">
        <f>IF('calcA'!BJ$106=1,FI16,1)</f>
        <v/>
      </c>
      <c r="KX16">
        <f>IF('calcA'!BK$106=1,FJ16,1)</f>
        <v/>
      </c>
      <c r="KY16">
        <f>IF('calcA'!BL$106=1,FK16,1)</f>
        <v/>
      </c>
      <c r="KZ16">
        <f>IF('calcA'!BM$106=1,FL16,1)</f>
        <v/>
      </c>
      <c r="LA16">
        <f>IF('calcA'!BN$106=1,FM16,1)</f>
        <v/>
      </c>
      <c r="LB16">
        <f>IF('calcA'!BO$106=1,FN16,1)</f>
        <v/>
      </c>
      <c r="LC16">
        <f>IF('calcA'!BP$106=1,FO16,1)</f>
        <v/>
      </c>
      <c r="LD16">
        <f>IF('calcA'!BQ$106=1,FP16,1)</f>
        <v/>
      </c>
      <c r="LE16">
        <f>IF('calcA'!BR$106=1,FQ16,1)</f>
        <v/>
      </c>
      <c r="LF16">
        <f>IF('calcA'!BS$106=1,FR16,1)</f>
        <v/>
      </c>
      <c r="LG16">
        <f>IF('calcA'!BT$106=1,FS16,1)</f>
        <v/>
      </c>
      <c r="LH16">
        <f>IF('calcA'!BU$106=1,FT16,1)</f>
        <v/>
      </c>
      <c r="LI16">
        <f>IF('calcA'!BV$106=1,FU16,1)</f>
        <v/>
      </c>
      <c r="LJ16">
        <f>IF('calcA'!BW$106=1,FV16,1)</f>
        <v/>
      </c>
      <c r="LK16">
        <f>IF('calcA'!BX$106=1,FW16,1)</f>
        <v/>
      </c>
      <c r="LL16">
        <f>IF('calcA'!BY$106=1,FX16,1)</f>
        <v/>
      </c>
      <c r="LM16">
        <f>IF('calcA'!BZ$106=1,FY16,1)</f>
        <v/>
      </c>
      <c r="LN16">
        <f>IF('calcA'!CA$106=1,FZ16,1)</f>
        <v/>
      </c>
      <c r="LO16">
        <f>IF('calcA'!CB$106=1,GA16,1)</f>
        <v/>
      </c>
      <c r="LP16">
        <f>IF('calcA'!CC$106=1,GB16,1)</f>
        <v/>
      </c>
      <c r="LQ16">
        <f>IF('calcA'!CD$106=1,GC16,1)</f>
        <v/>
      </c>
      <c r="LR16">
        <f>IF('calcA'!CE$106=1,GD16,1)</f>
        <v/>
      </c>
      <c r="LS16">
        <f>IF('calcA'!CF$106=1,GE16,1)</f>
        <v/>
      </c>
      <c r="LT16">
        <f>IF('calcA'!CG$106=1,GF16,1)</f>
        <v/>
      </c>
      <c r="LU16">
        <f>IF('calcA'!CH$106=1,GG16,1)</f>
        <v/>
      </c>
      <c r="LV16">
        <f>IF('calcA'!CI$106=1,GH16,1)</f>
        <v/>
      </c>
      <c r="LW16">
        <f>IF('calcA'!CJ$106=1,GI16,1)</f>
        <v/>
      </c>
      <c r="LX16">
        <f>IF('calcA'!CK$106=1,GJ16,1)</f>
        <v/>
      </c>
      <c r="LY16">
        <f>IF('calcA'!CL$106=1,GK16,1)</f>
        <v/>
      </c>
      <c r="LZ16">
        <f>IF('calcA'!CM$106=1,GL16,1)</f>
        <v/>
      </c>
      <c r="MA16">
        <f>IF('calcA'!CN$106=1,GM16,1)</f>
        <v/>
      </c>
      <c r="MB16">
        <f>IF('calcA'!CO$106=1,GN16,1)</f>
        <v/>
      </c>
      <c r="MC16">
        <f>IF('calcA'!CP$106=1,GO16,1)</f>
        <v/>
      </c>
      <c r="MD16">
        <f>IF('calcA'!CQ$106=1,GP16,1)</f>
        <v/>
      </c>
      <c r="ME16">
        <f>IF('calcA'!CR$106=1,GQ16,1)</f>
        <v/>
      </c>
      <c r="MF16">
        <f>IF('calcA'!CS$106=1,GR16,1)</f>
        <v/>
      </c>
      <c r="MG16">
        <f>IF('calcA'!CT$106=1,GS16,1)</f>
        <v/>
      </c>
      <c r="MH16">
        <f>IF('calcA'!CU$106=1,GT16,1)</f>
        <v/>
      </c>
      <c r="MI16">
        <f>IF('calcA'!CV$106=1,GU16,1)</f>
        <v/>
      </c>
      <c r="MJ16">
        <f>IF('calcA'!CW$106=1,GV16,1)</f>
        <v/>
      </c>
      <c r="MK16">
        <f>IF('calcA'!CX$106=1,GW16,1)</f>
        <v/>
      </c>
      <c r="ML16">
        <f>IF('calcA'!CY$106=1,GX16,1)</f>
        <v/>
      </c>
      <c r="MM16">
        <f>IF('calcA'!CZ$106=1,GY16,1)</f>
        <v/>
      </c>
      <c r="MN16">
        <f>IF('calcA'!DA$106=1,GZ16,1)</f>
        <v/>
      </c>
      <c r="MO16">
        <f>IF('calcA'!DB$106=1,HA16,1)</f>
        <v/>
      </c>
      <c r="MP16">
        <f>IF('calcA'!DC$106=1,HB16,1)</f>
        <v/>
      </c>
      <c r="MQ16">
        <f>IF('calcA'!DD$106=1,HC16,1)</f>
        <v/>
      </c>
      <c r="MR16">
        <f>IF('calcA'!DE$106=1,HD16,1)</f>
        <v/>
      </c>
      <c r="MS16">
        <f>IF('calcA'!DF$106=1,HE16,1)</f>
        <v/>
      </c>
      <c r="MT16">
        <f>IF('calcA'!DG$106=1,HF16,1)</f>
        <v/>
      </c>
      <c r="MU16">
        <f>IF('calcA'!DH$106=1,HG16,1)</f>
        <v/>
      </c>
      <c r="MV16">
        <f>IF('calcA'!DI$106=1,HH16,1)</f>
        <v/>
      </c>
      <c r="MW16">
        <f>IF('calcA'!DJ$106=1,HI16,1)</f>
        <v/>
      </c>
      <c r="MX16">
        <f>IF('calcA'!DK$106=1,HJ16,1)</f>
        <v/>
      </c>
      <c r="MY16">
        <f>IF('calcA'!DL$106=1,HK16,1)</f>
        <v/>
      </c>
      <c r="MZ16">
        <f>IF('calcA'!DM$106=1,HL16,1)</f>
        <v/>
      </c>
      <c r="NA16">
        <f>IF('calcA'!DN$106=1,HM16,1)</f>
        <v/>
      </c>
      <c r="NB16">
        <f>IF('calcA'!DO$106=1,HN16,1)</f>
        <v/>
      </c>
      <c r="NC16">
        <f>IF('calcA'!DP$106=1,HO16,1)</f>
        <v/>
      </c>
      <c r="ND16">
        <f>IF('calcA'!DQ$106=1,HP16,1)</f>
        <v/>
      </c>
      <c r="NE16">
        <f>IF('calcA'!DR$106=1,HQ16,1)</f>
        <v/>
      </c>
      <c r="NF16">
        <f>IF('calcA'!DS$106=1,HR16,1)</f>
        <v/>
      </c>
      <c r="NG16">
        <f>IF('calcA'!DT$106=1,HS16,1)</f>
        <v/>
      </c>
      <c r="NH16">
        <f>IF('calcA'!DU$106=1,HT16,1)</f>
        <v/>
      </c>
      <c r="NI16">
        <f>IF('calcA'!DV$106=1,HU16,1)</f>
        <v/>
      </c>
      <c r="NJ16">
        <f>IF('calcA'!DW$106=1,HV16,1)</f>
        <v/>
      </c>
      <c r="NK16">
        <f>IF('calcA'!DX$106=1,HW16,1)</f>
        <v/>
      </c>
      <c r="NL16">
        <f>IF('calcA'!DY$106=1,HX16,1)</f>
        <v/>
      </c>
      <c r="NM16">
        <f>IF('calcA'!DZ$106=1,HY16,1)</f>
        <v/>
      </c>
      <c r="NN16">
        <f>IF('calcA'!EA$106=1,HZ16,1)</f>
        <v/>
      </c>
      <c r="NO16">
        <f>IF('calcA'!EB$106=1,IA16,1)</f>
        <v/>
      </c>
      <c r="NP16">
        <f>IF('calcA'!EC$106=1,IB16,1)</f>
        <v/>
      </c>
      <c r="NQ16">
        <f>IF('calcA'!ED$106=1,IC16,1)</f>
        <v/>
      </c>
      <c r="NR16">
        <f>IF('calcA'!EE$106=1,ID16,1)</f>
        <v/>
      </c>
      <c r="NS16">
        <f>IF('calcA'!EF$106=1,IE16,1)</f>
        <v/>
      </c>
      <c r="NT16">
        <f>IF('calcA'!EG$106=1,IF16,1)</f>
        <v/>
      </c>
      <c r="NU16">
        <f>IF('calcA'!EH$106=1,IG16,1)</f>
        <v/>
      </c>
      <c r="NV16">
        <f>IF('calcA'!EI$106=1,IH16,1)</f>
        <v/>
      </c>
      <c r="NW16">
        <f>IF('calcA'!EJ$106=1,II16,1)</f>
        <v/>
      </c>
      <c r="NX16">
        <f>IF('calcA'!EK$106=1,IJ16,1)</f>
        <v/>
      </c>
      <c r="NY16">
        <f>IF('calcA'!EL$106=1,IK16,1)</f>
        <v/>
      </c>
      <c r="NZ16">
        <f>IF('calcA'!EM$106=1,IL16,1)</f>
        <v/>
      </c>
      <c r="OA16">
        <f>IF('calcA'!EN$106=1,IM16,1)</f>
        <v/>
      </c>
      <c r="OB16">
        <f>IF('calcA'!EO$106=1,IN16,1)</f>
        <v/>
      </c>
      <c r="OC16">
        <f>IF('calcA'!EP$106=1,IO16,1)</f>
        <v/>
      </c>
      <c r="OD16" t="n">
        <v>1</v>
      </c>
      <c r="OF16">
        <f>IF($B16=0,1000000000,IF(INDEX('calcA'!$D$60:$EQ$99,$B16,1)*IF($W16=1,DB16+ZQ16,DB16)=1,IF(AND($E16=2,IF($W16=1,AFF16,IQ16)=0),1000000000,IF($V16=1,INDEX('calcA'!$D$130:$EQ$169,$B16,1)+IF(AND($E16=1,IQ16=0),25,0),IF($F16&gt;0,INDEX('calcA'!D$110:D$114,$F16+1)+IF(AND($E16=1,IQ16=0),1000,0),MIN(TU16,20)*400+(IF('calcA'!D$106=1,1-DC16,0))*150+11+'calcA'!D$5*100000+IF(AND($E16=1,IQ16=0),50000,0))+IF($H16=1,INDEX('calcA'!$D$180:$EQ$219,$B16,1)*4000,0)-IF(AND($U16=1,'calcA'!D$117=1,DC16=0),2000,0))),1000000000))</f>
        <v/>
      </c>
      <c r="OG16">
        <f>IF($B16=0,1000000000,IF(INDEX('calcA'!$D$60:$EQ$99,$B16,2)*IF($W16=1,DC16+ZR16,DC16)=1,IF(AND($E16=2,IF($W16=1,AFG16,IR16)=0),1000000000,IF($V16=1,INDEX('calcA'!$D$130:$EQ$169,$B16,2)+IF(AND($E16=1,IR16=0),25,0),IF($F16&gt;0,INDEX('calcA'!E$110:E$114,$F16+1)+IF(AND($E16=1,IR16=0),1000,0),MIN(TU16,20)*400+(IF('calcA'!D$106=1,1-DB16,0)+IF('calcA'!E$106=1,1-DD16,0))*150+21+'calcA'!E$5*100000+IF(AND($E16=1,IR16=0),50000,0))+IF($H16=1,INDEX('calcA'!$D$180:$EQ$219,$B16,2)*4000,0)-IF(AND('calcA'!D$117=1,UB16&gt;0),2000,0)-IF(AND($U16=1,'calcA'!E$117=1,DD16=0),2000,0))),1000000000))</f>
        <v/>
      </c>
      <c r="OH16">
        <f>IF($B16=0,1000000000,IF(INDEX('calcA'!$D$60:$EQ$99,$B16,3)*IF($W16=1,DD16+ZS16,DD16)=1,IF(AND($E16=2,IF($W16=1,AFH16,IS16)=0),1000000000,IF($V16=1,INDEX('calcA'!$D$130:$EQ$169,$B16,3)+IF(AND($E16=1,IS16=0),25,0),IF($F16&gt;0,INDEX('calcA'!F$110:F$114,$F16+1)+IF(AND($E16=1,IS16=0),1000,0),MIN(TU16,20)*400+(IF('calcA'!E$106=1,1-DC16,0)+IF('calcA'!F$106=1,1-DE16,0))*150+31+'calcA'!F$5*100000+IF(AND($E16=1,IS16=0),50000,0))+IF($H16=1,INDEX('calcA'!$D$180:$EQ$219,$B16,3)*4000,0)-IF(AND('calcA'!E$117=1,UC16&gt;0),2000,0)-IF(AND($U16=1,'calcA'!F$117=1,DE16=0),2000,0))),1000000000))</f>
        <v/>
      </c>
      <c r="OI16">
        <f>IF($B16=0,1000000000,IF(INDEX('calcA'!$D$60:$EQ$99,$B16,4)*IF($W16=1,DE16+ZT16,DE16)=1,IF(AND($E16=2,IF($W16=1,AFI16,IT16)=0),1000000000,IF($V16=1,INDEX('calcA'!$D$130:$EQ$169,$B16,4)+IF(AND($E16=1,IT16=0),25,0),IF($F16&gt;0,INDEX('calcA'!G$110:G$114,$F16+1)+IF(AND($E16=1,IT16=0),1000,0),MIN(TU16,20)*400+(IF('calcA'!F$106=1,1-DD16,0)+IF('calcA'!G$106=1,1-DF16,0))*150+41+'calcA'!G$5*100000+IF(AND($E16=1,IT16=0),50000,0))+IF($H16=1,INDEX('calcA'!$D$180:$EQ$219,$B16,4)*4000,0)-IF(AND('calcA'!F$117=1,UD16&gt;0),2000,0)-IF(AND($U16=1,'calcA'!G$117=1,DF16=0),2000,0))),1000000000))</f>
        <v/>
      </c>
      <c r="OJ16">
        <f>IF($B16=0,1000000000,IF(INDEX('calcA'!$D$60:$EQ$99,$B16,5)*IF($W16=1,DF16+ZU16,DF16)=1,IF(AND($E16=2,IF($W16=1,AFJ16,IU16)=0),1000000000,IF($V16=1,INDEX('calcA'!$D$130:$EQ$169,$B16,5)+IF(AND($E16=1,IU16=0),25,0),IF($F16&gt;0,INDEX('calcA'!H$110:H$114,$F16+1)+IF(AND($E16=1,IU16=0),1000,0),MIN(TU16,20)*400+(IF('calcA'!G$106=1,1-DE16,0)+IF('calcA'!H$106=1,1-DG16,0))*150+51+'calcA'!H$5*100000+IF(AND($E16=1,IU16=0),50000,0))+IF($H16=1,INDEX('calcA'!$D$180:$EQ$219,$B16,5)*4000,0)-IF(AND('calcA'!G$117=1,UE16&gt;0),2000,0)-IF(AND($U16=1,'calcA'!H$117=1,DG16=0),2000,0))),1000000000))</f>
        <v/>
      </c>
      <c r="OK16">
        <f>IF($B16=0,1000000000,IF(INDEX('calcA'!$D$60:$EQ$99,$B16,6)*IF($W16=1,DG16+ZV16,DG16)=1,IF(AND($E16=2,IF($W16=1,AFK16,IV16)=0),1000000000,IF($V16=1,INDEX('calcA'!$D$130:$EQ$169,$B16,6)+IF(AND($E16=1,IV16=0),25,0),IF($F16&gt;0,INDEX('calcA'!I$110:I$114,$F16+1)+IF(AND($E16=1,IV16=0),1000,0),MIN(TU16,20)*400+(IF('calcA'!H$106=1,1-DF16,0)+IF('calcA'!I$106=1,1-DH16,0))*150+61+'calcA'!I$5*100000+IF(AND($E16=1,IV16=0),50000,0))+IF($H16=1,INDEX('calcA'!$D$180:$EQ$219,$B16,6)*4000,0)-IF(AND('calcA'!H$117=1,UF16&gt;0),2000,0)-IF(AND($U16=1,'calcA'!I$117=1,DH16=0),2000,0))),1000000000))</f>
        <v/>
      </c>
      <c r="OL16">
        <f>IF($B16=0,1000000000,IF(INDEX('calcA'!$D$60:$EQ$99,$B16,7)*IF($W16=1,DH16+ZW16,DH16)=1,IF(AND($E16=2,IF($W16=1,AFL16,IW16)=0),1000000000,IF($V16=1,INDEX('calcA'!$D$130:$EQ$169,$B16,7)+IF(AND($E16=1,IW16=0),25,0),IF($F16&gt;0,INDEX('calcA'!J$110:J$114,$F16+1)+IF(AND($E16=1,IW16=0),1000,0),MIN(TU16,20)*400+(IF('calcA'!I$106=1,1-DG16,0)+IF('calcA'!J$106=1,1-DI16,0))*150+71+'calcA'!J$5*100000+IF(AND($E16=1,IW16=0),50000,0))+IF($H16=1,INDEX('calcA'!$D$180:$EQ$219,$B16,7)*4000,0)-IF(AND('calcA'!I$117=1,UG16&gt;0),2000,0)-IF(AND($U16=1,'calcA'!J$117=1,DI16=0),2000,0))),1000000000))</f>
        <v/>
      </c>
      <c r="OM16">
        <f>IF($B16=0,1000000000,IF(INDEX('calcA'!$D$60:$EQ$99,$B16,8)*IF($W16=1,DI16+ZX16,DI16)=1,IF(AND($E16=2,IF($W16=1,AFM16,IX16)=0),1000000000,IF($V16=1,INDEX('calcA'!$D$130:$EQ$169,$B16,8)+IF(AND($E16=1,IX16=0),25,0),IF($F16&gt;0,INDEX('calcA'!K$110:K$114,$F16+1)+IF(AND($E16=1,IX16=0),1000,0),MIN(TU16,20)*400+(IF('calcA'!J$106=1,1-DH16,0)+IF('calcA'!K$106=1,1-DJ16,0))*150+81+'calcA'!K$5*100000+IF(AND($E16=1,IX16=0),50000,0))+IF($H16=1,INDEX('calcA'!$D$180:$EQ$219,$B16,8)*4000,0)-IF(AND('calcA'!J$117=1,UH16&gt;0),2000,0)-IF(AND($U16=1,'calcA'!K$117=1,DJ16=0),2000,0))),1000000000))</f>
        <v/>
      </c>
      <c r="ON16">
        <f>IF($B16=0,1000000000,IF(INDEX('calcA'!$D$60:$EQ$99,$B16,9)*IF($W16=1,DJ16+ZY16,DJ16)=1,IF(AND($E16=2,IF($W16=1,AFN16,IY16)=0),1000000000,IF($V16=1,INDEX('calcA'!$D$130:$EQ$169,$B16,9)+IF(AND($E16=1,IY16=0),25,0),IF($F16&gt;0,INDEX('calcA'!L$110:L$114,$F16+1)+IF(AND($E16=1,IY16=0),1000,0),MIN(TU16,20)*400+(IF('calcA'!K$106=1,1-DI16,0)+IF('calcA'!L$106=1,1-DK16,0))*150+91+'calcA'!L$5*100000+IF(AND($E16=1,IY16=0),50000,0))+IF($H16=1,INDEX('calcA'!$D$180:$EQ$219,$B16,9)*4000,0)-IF(AND('calcA'!K$117=1,UI16&gt;0),2000,0)-IF(AND($U16=1,'calcA'!L$117=1,DK16=0),2000,0))),1000000000))</f>
        <v/>
      </c>
      <c r="OO16">
        <f>IF($B16=0,1000000000,IF(INDEX('calcA'!$D$60:$EQ$99,$B16,10)*IF($W16=1,DK16+ZZ16,DK16)=1,IF(AND($E16=2,IF($W16=1,AFO16,IZ16)=0),1000000000,IF($V16=1,INDEX('calcA'!$D$130:$EQ$169,$B16,10)+IF(AND($E16=1,IZ16=0),25,0),IF($F16&gt;0,INDEX('calcA'!M$110:M$114,$F16+1)+IF(AND($E16=1,IZ16=0),1000,0),MIN(TU16,20)*400+(IF('calcA'!L$106=1,1-DJ16,0)+IF('calcA'!M$106=1,1-DL16,0))*150+101+'calcA'!M$5*100000+IF(AND($E16=1,IZ16=0),50000,0))+IF($H16=1,INDEX('calcA'!$D$180:$EQ$219,$B16,10)*4000,0)-IF(AND('calcA'!L$117=1,UJ16&gt;0),2000,0)-IF(AND($U16=1,'calcA'!M$117=1,DL16=0),2000,0))),1000000000))</f>
        <v/>
      </c>
      <c r="OP16">
        <f>IF($B16=0,1000000000,IF(INDEX('calcA'!$D$60:$EQ$99,$B16,11)*IF($W16=1,DL16+AAA16,DL16)=1,IF(AND($E16=2,IF($W16=1,AFP16,JA16)=0),1000000000,IF($V16=1,INDEX('calcA'!$D$130:$EQ$169,$B16,11)+IF(AND($E16=1,JA16=0),25,0),IF($F16&gt;0,INDEX('calcA'!N$110:N$114,$F16+1)+IF(AND($E16=1,JA16=0),1000,0),MIN(TU16,20)*400+(IF('calcA'!M$106=1,1-DK16,0)+IF('calcA'!N$106=1,1-DM16,0))*150+111+'calcA'!N$5*100000+IF(AND($E16=1,JA16=0),50000,0))+IF($H16=1,INDEX('calcA'!$D$180:$EQ$219,$B16,11)*4000,0)-IF(AND('calcA'!M$117=1,UK16&gt;0),2000,0)-IF(AND($U16=1,'calcA'!N$117=1,DM16=0),2000,0))),1000000000))</f>
        <v/>
      </c>
      <c r="OQ16">
        <f>IF($B16=0,1000000000,IF(INDEX('calcA'!$D$60:$EQ$99,$B16,12)*IF($W16=1,DM16+AAB16,DM16)=1,IF(AND($E16=2,IF($W16=1,AFQ16,JB16)=0),1000000000,IF($V16=1,INDEX('calcA'!$D$130:$EQ$169,$B16,12)+IF(AND($E16=1,JB16=0),25,0),IF($F16&gt;0,INDEX('calcA'!O$110:O$114,$F16+1)+IF(AND($E16=1,JB16=0),1000,0),MIN(TU16,20)*400+(IF('calcA'!N$106=1,1-DL16,0)+IF('calcA'!O$106=1,1-DN16,0))*150+121+'calcA'!O$5*100000+IF(AND($E16=1,JB16=0),50000,0))+IF($H16=1,INDEX('calcA'!$D$180:$EQ$219,$B16,12)*4000,0)-IF(AND('calcA'!N$117=1,UL16&gt;0),2000,0)-IF(AND($U16=1,'calcA'!O$117=1,DN16=0),2000,0))),1000000000))</f>
        <v/>
      </c>
      <c r="OR16">
        <f>IF($B16=0,1000000000,IF(INDEX('calcA'!$D$60:$EQ$99,$B16,13)*IF($W16=1,DN16+AAC16,DN16)=1,IF(AND($E16=2,IF($W16=1,AFR16,JC16)=0),1000000000,IF($V16=1,INDEX('calcA'!$D$130:$EQ$169,$B16,13)+IF(AND($E16=1,JC16=0),25,0),IF($F16&gt;0,INDEX('calcA'!P$110:P$114,$F16+1)+IF(AND($E16=1,JC16=0),1000,0),MIN(TU16,20)*400+(IF('calcA'!O$106=1,1-DM16,0)+IF('calcA'!P$106=1,1-DO16,0))*150+131+'calcA'!P$5*100000+IF(AND($E16=1,JC16=0),50000,0))+IF($H16=1,INDEX('calcA'!$D$180:$EQ$219,$B16,13)*4000,0)-IF(AND('calcA'!O$117=1,UM16&gt;0),2000,0)-IF(AND($U16=1,'calcA'!P$117=1,DO16=0),2000,0))),1000000000))</f>
        <v/>
      </c>
      <c r="OS16">
        <f>IF($B16=0,1000000000,IF(INDEX('calcA'!$D$60:$EQ$99,$B16,14)*IF($W16=1,DO16+AAD16,DO16)=1,IF(AND($E16=2,IF($W16=1,AFS16,JD16)=0),1000000000,IF($V16=1,INDEX('calcA'!$D$130:$EQ$169,$B16,14)+IF(AND($E16=1,JD16=0),25,0),IF($F16&gt;0,INDEX('calcA'!Q$110:Q$114,$F16+1)+IF(AND($E16=1,JD16=0),1000,0),MIN(TU16,20)*400+(IF('calcA'!P$106=1,1-DN16,0)+IF('calcA'!Q$106=1,1-DP16,0))*150+141+'calcA'!Q$5*100000+IF(AND($E16=1,JD16=0),50000,0))+IF($H16=1,INDEX('calcA'!$D$180:$EQ$219,$B16,14)*4000,0)-IF(AND('calcA'!P$117=1,UN16&gt;0),2000,0)-IF(AND($U16=1,'calcA'!Q$117=1,DP16=0),2000,0))),1000000000))</f>
        <v/>
      </c>
      <c r="OT16">
        <f>IF($B16=0,1000000000,IF(INDEX('calcA'!$D$60:$EQ$99,$B16,15)*IF($W16=1,DP16+AAE16,DP16)=1,IF(AND($E16=2,IF($W16=1,AFT16,JE16)=0),1000000000,IF($V16=1,INDEX('calcA'!$D$130:$EQ$169,$B16,15)+IF(AND($E16=1,JE16=0),25,0),IF($F16&gt;0,INDEX('calcA'!R$110:R$114,$F16+1)+IF(AND($E16=1,JE16=0),1000,0),MIN(TU16,20)*400+(IF('calcA'!Q$106=1,1-DO16,0)+IF('calcA'!R$106=1,1-DQ16,0))*150+151+'calcA'!R$5*100000+IF(AND($E16=1,JE16=0),50000,0))+IF($H16=1,INDEX('calcA'!$D$180:$EQ$219,$B16,15)*4000,0)-IF(AND('calcA'!Q$117=1,UO16&gt;0),2000,0)-IF(AND($U16=1,'calcA'!R$117=1,DQ16=0),2000,0))),1000000000))</f>
        <v/>
      </c>
      <c r="OU16">
        <f>IF($B16=0,1000000000,IF(INDEX('calcA'!$D$60:$EQ$99,$B16,16)*IF($W16=1,DQ16+AAF16,DQ16)=1,IF(AND($E16=2,IF($W16=1,AFU16,JF16)=0),1000000000,IF($V16=1,INDEX('calcA'!$D$130:$EQ$169,$B16,16)+IF(AND($E16=1,JF16=0),25,0),IF($F16&gt;0,INDEX('calcA'!S$110:S$114,$F16+1)+IF(AND($E16=1,JF16=0),1000,0),MIN(TU16,20)*400+(IF('calcA'!R$106=1,1-DP16,0)+IF('calcA'!S$106=1,1-DR16,0))*150+161+'calcA'!S$5*100000+IF(AND($E16=1,JF16=0),50000,0))+IF($H16=1,INDEX('calcA'!$D$180:$EQ$219,$B16,16)*4000,0)-IF(AND('calcA'!R$117=1,UP16&gt;0),2000,0)-IF(AND($U16=1,'calcA'!S$117=1,DR16=0),2000,0))),1000000000))</f>
        <v/>
      </c>
      <c r="OV16">
        <f>IF($B16=0,1000000000,IF(INDEX('calcA'!$D$60:$EQ$99,$B16,17)*IF($W16=1,DR16+AAG16,DR16)=1,IF(AND($E16=2,IF($W16=1,AFV16,JG16)=0),1000000000,IF($V16=1,INDEX('calcA'!$D$130:$EQ$169,$B16,17)+IF(AND($E16=1,JG16=0),25,0),IF($F16&gt;0,INDEX('calcA'!T$110:T$114,$F16+1)+IF(AND($E16=1,JG16=0),1000,0),MIN(TU16,20)*400+(IF('calcA'!S$106=1,1-DQ16,0)+IF('calcA'!T$106=1,1-DS16,0))*150+171+'calcA'!T$5*100000+IF(AND($E16=1,JG16=0),50000,0))+IF($H16=1,INDEX('calcA'!$D$180:$EQ$219,$B16,17)*4000,0)-IF(AND('calcA'!S$117=1,UQ16&gt;0),2000,0)-IF(AND($U16=1,'calcA'!T$117=1,DS16=0),2000,0))),1000000000))</f>
        <v/>
      </c>
      <c r="OW16">
        <f>IF($B16=0,1000000000,IF(INDEX('calcA'!$D$60:$EQ$99,$B16,18)*IF($W16=1,DS16+AAH16,DS16)=1,IF(AND($E16=2,IF($W16=1,AFW16,JH16)=0),1000000000,IF($V16=1,INDEX('calcA'!$D$130:$EQ$169,$B16,18)+IF(AND($E16=1,JH16=0),25,0),IF($F16&gt;0,INDEX('calcA'!U$110:U$114,$F16+1)+IF(AND($E16=1,JH16=0),1000,0),MIN(TU16,20)*400+(IF('calcA'!T$106=1,1-DR16,0)+IF('calcA'!U$106=1,1-DT16,0))*150+181+'calcA'!U$5*100000+IF(AND($E16=1,JH16=0),50000,0))+IF($H16=1,INDEX('calcA'!$D$180:$EQ$219,$B16,18)*4000,0)-IF(AND('calcA'!T$117=1,UR16&gt;0),2000,0)-IF(AND($U16=1,'calcA'!U$117=1,DT16=0),2000,0))),1000000000))</f>
        <v/>
      </c>
      <c r="OX16">
        <f>IF($B16=0,1000000000,IF(INDEX('calcA'!$D$60:$EQ$99,$B16,19)*IF($W16=1,DT16+AAI16,DT16)=1,IF(AND($E16=2,IF($W16=1,AFX16,JI16)=0),1000000000,IF($V16=1,INDEX('calcA'!$D$130:$EQ$169,$B16,19)+IF(AND($E16=1,JI16=0),25,0),IF($F16&gt;0,INDEX('calcA'!V$110:V$114,$F16+1)+IF(AND($E16=1,JI16=0),1000,0),MIN(TU16,20)*400+(IF('calcA'!U$106=1,1-DS16,0)+IF('calcA'!V$106=1,1-DU16,0))*150+191+'calcA'!V$5*100000+IF(AND($E16=1,JI16=0),50000,0))+IF($H16=1,INDEX('calcA'!$D$180:$EQ$219,$B16,19)*4000,0)-IF(AND('calcA'!U$117=1,US16&gt;0),2000,0)-IF(AND($U16=1,'calcA'!V$117=1,DU16=0),2000,0))),1000000000))</f>
        <v/>
      </c>
      <c r="OY16">
        <f>IF($B16=0,1000000000,IF(INDEX('calcA'!$D$60:$EQ$99,$B16,20)*IF($W16=1,DU16+AAJ16,DU16)=1,IF(AND($E16=2,IF($W16=1,AFY16,JJ16)=0),1000000000,IF($V16=1,INDEX('calcA'!$D$130:$EQ$169,$B16,20)+IF(AND($E16=1,JJ16=0),25,0),IF($F16&gt;0,INDEX('calcA'!W$110:W$114,$F16+1)+IF(AND($E16=1,JJ16=0),1000,0),MIN(TU16,20)*400+(IF('calcA'!V$106=1,1-DT16,0)+IF('calcA'!W$106=1,1-DV16,0))*150+201+'calcA'!W$5*100000+IF(AND($E16=1,JJ16=0),50000,0))+IF($H16=1,INDEX('calcA'!$D$180:$EQ$219,$B16,20)*4000,0)-IF(AND('calcA'!V$117=1,UT16&gt;0),2000,0)-IF(AND($U16=1,'calcA'!W$117=1,DV16=0),2000,0))),1000000000))</f>
        <v/>
      </c>
      <c r="OZ16">
        <f>IF($B16=0,1000000000,IF(INDEX('calcA'!$D$60:$EQ$99,$B16,21)*IF($W16=1,DV16+AAK16,DV16)=1,IF(AND($E16=2,IF($W16=1,AFZ16,JK16)=0),1000000000,IF($V16=1,INDEX('calcA'!$D$130:$EQ$169,$B16,21)+IF(AND($E16=1,JK16=0),25,0),IF($F16&gt;0,INDEX('calcA'!X$110:X$114,$F16+1)+IF(AND($E16=1,JK16=0),1000,0),MIN(TU16,20)*400+(IF('calcA'!W$106=1,1-DU16,0)+IF('calcA'!X$106=1,1-DW16,0))*150+211+'calcA'!X$5*100000+IF(AND($E16=1,JK16=0),50000,0))+IF($H16=1,INDEX('calcA'!$D$180:$EQ$219,$B16,21)*4000,0)-IF(AND('calcA'!W$117=1,UU16&gt;0),2000,0)-IF(AND($U16=1,'calcA'!X$117=1,DW16=0),2000,0))),1000000000))</f>
        <v/>
      </c>
      <c r="PA16">
        <f>IF($B16=0,1000000000,IF(INDEX('calcA'!$D$60:$EQ$99,$B16,22)*IF($W16=1,DW16+AAL16,DW16)=1,IF(AND($E16=2,IF($W16=1,AGA16,JL16)=0),1000000000,IF($V16=1,INDEX('calcA'!$D$130:$EQ$169,$B16,22)+IF(AND($E16=1,JL16=0),25,0),IF($F16&gt;0,INDEX('calcA'!Y$110:Y$114,$F16+1)+IF(AND($E16=1,JL16=0),1000,0),MIN(TU16,20)*400+(IF('calcA'!X$106=1,1-DV16,0)+IF('calcA'!Y$106=1,1-DX16,0))*150+221+'calcA'!Y$5*100000+IF(AND($E16=1,JL16=0),50000,0))+IF($H16=1,INDEX('calcA'!$D$180:$EQ$219,$B16,22)*4000,0)-IF(AND('calcA'!X$117=1,UV16&gt;0),2000,0)-IF(AND($U16=1,'calcA'!Y$117=1,DX16=0),2000,0))),1000000000))</f>
        <v/>
      </c>
      <c r="PB16">
        <f>IF($B16=0,1000000000,IF(INDEX('calcA'!$D$60:$EQ$99,$B16,23)*IF($W16=1,DX16+AAM16,DX16)=1,IF(AND($E16=2,IF($W16=1,AGB16,JM16)=0),1000000000,IF($V16=1,INDEX('calcA'!$D$130:$EQ$169,$B16,23)+IF(AND($E16=1,JM16=0),25,0),IF($F16&gt;0,INDEX('calcA'!Z$110:Z$114,$F16+1)+IF(AND($E16=1,JM16=0),1000,0),MIN(TU16,20)*400+(IF('calcA'!Y$106=1,1-DW16,0)+IF('calcA'!Z$106=1,1-DY16,0))*150+231+'calcA'!Z$5*100000+IF(AND($E16=1,JM16=0),50000,0))+IF($H16=1,INDEX('calcA'!$D$180:$EQ$219,$B16,23)*4000,0)-IF(AND('calcA'!Y$117=1,UW16&gt;0),2000,0)-IF(AND($U16=1,'calcA'!Z$117=1,DY16=0),2000,0))),1000000000))</f>
        <v/>
      </c>
      <c r="PC16">
        <f>IF($B16=0,1000000000,IF(INDEX('calcA'!$D$60:$EQ$99,$B16,24)*IF($W16=1,DY16+AAN16,DY16)=1,IF(AND($E16=2,IF($W16=1,AGC16,JN16)=0),1000000000,IF($V16=1,INDEX('calcA'!$D$130:$EQ$169,$B16,24)+IF(AND($E16=1,JN16=0),25,0),IF($F16&gt;0,INDEX('calcA'!AA$110:AA$114,$F16+1)+IF(AND($E16=1,JN16=0),1000,0),MIN(TU16,20)*400+(IF('calcA'!Z$106=1,1-DX16,0))*150+241+'calcA'!AA$5*100000+IF(AND($E16=1,JN16=0),50000,0))+IF($H16=1,INDEX('calcA'!$D$180:$EQ$219,$B16,24)*4000,0)-IF(AND('calcA'!Z$117=1,UX16&gt;0),2000,0))),1000000000))</f>
        <v/>
      </c>
      <c r="PD16">
        <f>IF($B16=0,1000000000,IF(INDEX('calcA'!$D$60:$EQ$99,$B16,25)*IF($W16=1,DZ16+AAO16,DZ16)=1,IF(AND($E16=2,IF($W16=1,AGD16,JO16)=0),1000000000,IF($V16=1,INDEX('calcA'!$D$130:$EQ$169,$B16,25)+IF(AND($E16=1,JO16=0),25,0),IF($F16&gt;0,INDEX('calcA'!AB$110:AB$114,$F16+1)+IF(AND($E16=1,JO16=0),1000,0),MIN(TV16,20)*400+(IF('calcA'!AB$106=1,1-EA16,0))*150+12+'calcA'!AB$5*100000+IF(AND($E16=1,JO16=0),50000,0))+IF($H16=1,INDEX('calcA'!$D$180:$EQ$219,$B16,25)*4000,0)-IF(AND($U16=1,'calcA'!AB$117=1,EA16=0),2000,0))),1000000000))</f>
        <v/>
      </c>
      <c r="PE16">
        <f>IF($B16=0,1000000000,IF(INDEX('calcA'!$D$60:$EQ$99,$B16,26)*IF($W16=1,EA16+AAP16,EA16)=1,IF(AND($E16=2,IF($W16=1,AGE16,JP16)=0),1000000000,IF($V16=1,INDEX('calcA'!$D$130:$EQ$169,$B16,26)+IF(AND($E16=1,JP16=0),25,0),IF($F16&gt;0,INDEX('calcA'!AC$110:AC$114,$F16+1)+IF(AND($E16=1,JP16=0),1000,0),MIN(TV16,20)*400+(IF('calcA'!AB$106=1,1-DZ16,0)+IF('calcA'!AC$106=1,1-EB16,0))*150+22+'calcA'!AC$5*100000+IF(AND($E16=1,JP16=0),50000,0))+IF($H16=1,INDEX('calcA'!$D$180:$EQ$219,$B16,26)*4000,0)-IF(AND('calcA'!AB$117=1,UZ16&gt;0),2000,0)-IF(AND($U16=1,'calcA'!AC$117=1,EB16=0),2000,0))),1000000000))</f>
        <v/>
      </c>
      <c r="PF16">
        <f>IF($B16=0,1000000000,IF(INDEX('calcA'!$D$60:$EQ$99,$B16,27)*IF($W16=1,EB16+AAQ16,EB16)=1,IF(AND($E16=2,IF($W16=1,AGF16,JQ16)=0),1000000000,IF($V16=1,INDEX('calcA'!$D$130:$EQ$169,$B16,27)+IF(AND($E16=1,JQ16=0),25,0),IF($F16&gt;0,INDEX('calcA'!AD$110:AD$114,$F16+1)+IF(AND($E16=1,JQ16=0),1000,0),MIN(TV16,20)*400+(IF('calcA'!AC$106=1,1-EA16,0)+IF('calcA'!AD$106=1,1-EC16,0))*150+32+'calcA'!AD$5*100000+IF(AND($E16=1,JQ16=0),50000,0))+IF($H16=1,INDEX('calcA'!$D$180:$EQ$219,$B16,27)*4000,0)-IF(AND('calcA'!AC$117=1,VA16&gt;0),2000,0)-IF(AND($U16=1,'calcA'!AD$117=1,EC16=0),2000,0))),1000000000))</f>
        <v/>
      </c>
      <c r="PG16">
        <f>IF($B16=0,1000000000,IF(INDEX('calcA'!$D$60:$EQ$99,$B16,28)*IF($W16=1,EC16+AAR16,EC16)=1,IF(AND($E16=2,IF($W16=1,AGG16,JR16)=0),1000000000,IF($V16=1,INDEX('calcA'!$D$130:$EQ$169,$B16,28)+IF(AND($E16=1,JR16=0),25,0),IF($F16&gt;0,INDEX('calcA'!AE$110:AE$114,$F16+1)+IF(AND($E16=1,JR16=0),1000,0),MIN(TV16,20)*400+(IF('calcA'!AD$106=1,1-EB16,0)+IF('calcA'!AE$106=1,1-ED16,0))*150+42+'calcA'!AE$5*100000+IF(AND($E16=1,JR16=0),50000,0))+IF($H16=1,INDEX('calcA'!$D$180:$EQ$219,$B16,28)*4000,0)-IF(AND('calcA'!AD$117=1,VB16&gt;0),2000,0)-IF(AND($U16=1,'calcA'!AE$117=1,ED16=0),2000,0))),1000000000))</f>
        <v/>
      </c>
      <c r="PH16">
        <f>IF($B16=0,1000000000,IF(INDEX('calcA'!$D$60:$EQ$99,$B16,29)*IF($W16=1,ED16+AAS16,ED16)=1,IF(AND($E16=2,IF($W16=1,AGH16,JS16)=0),1000000000,IF($V16=1,INDEX('calcA'!$D$130:$EQ$169,$B16,29)+IF(AND($E16=1,JS16=0),25,0),IF($F16&gt;0,INDEX('calcA'!AF$110:AF$114,$F16+1)+IF(AND($E16=1,JS16=0),1000,0),MIN(TV16,20)*400+(IF('calcA'!AE$106=1,1-EC16,0)+IF('calcA'!AF$106=1,1-EE16,0))*150+52+'calcA'!AF$5*100000+IF(AND($E16=1,JS16=0),50000,0))+IF($H16=1,INDEX('calcA'!$D$180:$EQ$219,$B16,29)*4000,0)-IF(AND('calcA'!AE$117=1,VC16&gt;0),2000,0)-IF(AND($U16=1,'calcA'!AF$117=1,EE16=0),2000,0))),1000000000))</f>
        <v/>
      </c>
      <c r="PI16">
        <f>IF($B16=0,1000000000,IF(INDEX('calcA'!$D$60:$EQ$99,$B16,30)*IF($W16=1,EE16+AAT16,EE16)=1,IF(AND($E16=2,IF($W16=1,AGI16,JT16)=0),1000000000,IF($V16=1,INDEX('calcA'!$D$130:$EQ$169,$B16,30)+IF(AND($E16=1,JT16=0),25,0),IF($F16&gt;0,INDEX('calcA'!AG$110:AG$114,$F16+1)+IF(AND($E16=1,JT16=0),1000,0),MIN(TV16,20)*400+(IF('calcA'!AF$106=1,1-ED16,0)+IF('calcA'!AG$106=1,1-EF16,0))*150+62+'calcA'!AG$5*100000+IF(AND($E16=1,JT16=0),50000,0))+IF($H16=1,INDEX('calcA'!$D$180:$EQ$219,$B16,30)*4000,0)-IF(AND('calcA'!AF$117=1,VD16&gt;0),2000,0)-IF(AND($U16=1,'calcA'!AG$117=1,EF16=0),2000,0))),1000000000))</f>
        <v/>
      </c>
      <c r="PJ16">
        <f>IF($B16=0,1000000000,IF(INDEX('calcA'!$D$60:$EQ$99,$B16,31)*IF($W16=1,EF16+AAU16,EF16)=1,IF(AND($E16=2,IF($W16=1,AGJ16,JU16)=0),1000000000,IF($V16=1,INDEX('calcA'!$D$130:$EQ$169,$B16,31)+IF(AND($E16=1,JU16=0),25,0),IF($F16&gt;0,INDEX('calcA'!AH$110:AH$114,$F16+1)+IF(AND($E16=1,JU16=0),1000,0),MIN(TV16,20)*400+(IF('calcA'!AG$106=1,1-EE16,0)+IF('calcA'!AH$106=1,1-EG16,0))*150+72+'calcA'!AH$5*100000+IF(AND($E16=1,JU16=0),50000,0))+IF($H16=1,INDEX('calcA'!$D$180:$EQ$219,$B16,31)*4000,0)-IF(AND('calcA'!AG$117=1,VE16&gt;0),2000,0)-IF(AND($U16=1,'calcA'!AH$117=1,EG16=0),2000,0))),1000000000))</f>
        <v/>
      </c>
      <c r="PK16">
        <f>IF($B16=0,1000000000,IF(INDEX('calcA'!$D$60:$EQ$99,$B16,32)*IF($W16=1,EG16+AAV16,EG16)=1,IF(AND($E16=2,IF($W16=1,AGK16,JV16)=0),1000000000,IF($V16=1,INDEX('calcA'!$D$130:$EQ$169,$B16,32)+IF(AND($E16=1,JV16=0),25,0),IF($F16&gt;0,INDEX('calcA'!AI$110:AI$114,$F16+1)+IF(AND($E16=1,JV16=0),1000,0),MIN(TV16,20)*400+(IF('calcA'!AH$106=1,1-EF16,0)+IF('calcA'!AI$106=1,1-EH16,0))*150+82+'calcA'!AI$5*100000+IF(AND($E16=1,JV16=0),50000,0))+IF($H16=1,INDEX('calcA'!$D$180:$EQ$219,$B16,32)*4000,0)-IF(AND('calcA'!AH$117=1,VF16&gt;0),2000,0)-IF(AND($U16=1,'calcA'!AI$117=1,EH16=0),2000,0))),1000000000))</f>
        <v/>
      </c>
      <c r="PL16">
        <f>IF($B16=0,1000000000,IF(INDEX('calcA'!$D$60:$EQ$99,$B16,33)*IF($W16=1,EH16+AAW16,EH16)=1,IF(AND($E16=2,IF($W16=1,AGL16,JW16)=0),1000000000,IF($V16=1,INDEX('calcA'!$D$130:$EQ$169,$B16,33)+IF(AND($E16=1,JW16=0),25,0),IF($F16&gt;0,INDEX('calcA'!AJ$110:AJ$114,$F16+1)+IF(AND($E16=1,JW16=0),1000,0),MIN(TV16,20)*400+(IF('calcA'!AI$106=1,1-EG16,0)+IF('calcA'!AJ$106=1,1-EI16,0))*150+92+'calcA'!AJ$5*100000+IF(AND($E16=1,JW16=0),50000,0))+IF($H16=1,INDEX('calcA'!$D$180:$EQ$219,$B16,33)*4000,0)-IF(AND('calcA'!AI$117=1,VG16&gt;0),2000,0)-IF(AND($U16=1,'calcA'!AJ$117=1,EI16=0),2000,0))),1000000000))</f>
        <v/>
      </c>
      <c r="PM16">
        <f>IF($B16=0,1000000000,IF(INDEX('calcA'!$D$60:$EQ$99,$B16,34)*IF($W16=1,EI16+AAX16,EI16)=1,IF(AND($E16=2,IF($W16=1,AGM16,JX16)=0),1000000000,IF($V16=1,INDEX('calcA'!$D$130:$EQ$169,$B16,34)+IF(AND($E16=1,JX16=0),25,0),IF($F16&gt;0,INDEX('calcA'!AK$110:AK$114,$F16+1)+IF(AND($E16=1,JX16=0),1000,0),MIN(TV16,20)*400+(IF('calcA'!AJ$106=1,1-EH16,0)+IF('calcA'!AK$106=1,1-EJ16,0))*150+102+'calcA'!AK$5*100000+IF(AND($E16=1,JX16=0),50000,0))+IF($H16=1,INDEX('calcA'!$D$180:$EQ$219,$B16,34)*4000,0)-IF(AND('calcA'!AJ$117=1,VH16&gt;0),2000,0)-IF(AND($U16=1,'calcA'!AK$117=1,EJ16=0),2000,0))),1000000000))</f>
        <v/>
      </c>
      <c r="PN16">
        <f>IF($B16=0,1000000000,IF(INDEX('calcA'!$D$60:$EQ$99,$B16,35)*IF($W16=1,EJ16+AAY16,EJ16)=1,IF(AND($E16=2,IF($W16=1,AGN16,JY16)=0),1000000000,IF($V16=1,INDEX('calcA'!$D$130:$EQ$169,$B16,35)+IF(AND($E16=1,JY16=0),25,0),IF($F16&gt;0,INDEX('calcA'!AL$110:AL$114,$F16+1)+IF(AND($E16=1,JY16=0),1000,0),MIN(TV16,20)*400+(IF('calcA'!AK$106=1,1-EI16,0)+IF('calcA'!AL$106=1,1-EK16,0))*150+112+'calcA'!AL$5*100000+IF(AND($E16=1,JY16=0),50000,0))+IF($H16=1,INDEX('calcA'!$D$180:$EQ$219,$B16,35)*4000,0)-IF(AND('calcA'!AK$117=1,VI16&gt;0),2000,0)-IF(AND($U16=1,'calcA'!AL$117=1,EK16=0),2000,0))),1000000000))</f>
        <v/>
      </c>
      <c r="PO16">
        <f>IF($B16=0,1000000000,IF(INDEX('calcA'!$D$60:$EQ$99,$B16,36)*IF($W16=1,EK16+AAZ16,EK16)=1,IF(AND($E16=2,IF($W16=1,AGO16,JZ16)=0),1000000000,IF($V16=1,INDEX('calcA'!$D$130:$EQ$169,$B16,36)+IF(AND($E16=1,JZ16=0),25,0),IF($F16&gt;0,INDEX('calcA'!AM$110:AM$114,$F16+1)+IF(AND($E16=1,JZ16=0),1000,0),MIN(TV16,20)*400+(IF('calcA'!AL$106=1,1-EJ16,0)+IF('calcA'!AM$106=1,1-EL16,0))*150+122+'calcA'!AM$5*100000+IF(AND($E16=1,JZ16=0),50000,0))+IF($H16=1,INDEX('calcA'!$D$180:$EQ$219,$B16,36)*4000,0)-IF(AND('calcA'!AL$117=1,VJ16&gt;0),2000,0)-IF(AND($U16=1,'calcA'!AM$117=1,EL16=0),2000,0))),1000000000))</f>
        <v/>
      </c>
      <c r="PP16">
        <f>IF($B16=0,1000000000,IF(INDEX('calcA'!$D$60:$EQ$99,$B16,37)*IF($W16=1,EL16+ABA16,EL16)=1,IF(AND($E16=2,IF($W16=1,AGP16,KA16)=0),1000000000,IF($V16=1,INDEX('calcA'!$D$130:$EQ$169,$B16,37)+IF(AND($E16=1,KA16=0),25,0),IF($F16&gt;0,INDEX('calcA'!AN$110:AN$114,$F16+1)+IF(AND($E16=1,KA16=0),1000,0),MIN(TV16,20)*400+(IF('calcA'!AM$106=1,1-EK16,0)+IF('calcA'!AN$106=1,1-EM16,0))*150+132+'calcA'!AN$5*100000+IF(AND($E16=1,KA16=0),50000,0))+IF($H16=1,INDEX('calcA'!$D$180:$EQ$219,$B16,37)*4000,0)-IF(AND('calcA'!AM$117=1,VK16&gt;0),2000,0)-IF(AND($U16=1,'calcA'!AN$117=1,EM16=0),2000,0))),1000000000))</f>
        <v/>
      </c>
      <c r="PQ16">
        <f>IF($B16=0,1000000000,IF(INDEX('calcA'!$D$60:$EQ$99,$B16,38)*IF($W16=1,EM16+ABB16,EM16)=1,IF(AND($E16=2,IF($W16=1,AGQ16,KB16)=0),1000000000,IF($V16=1,INDEX('calcA'!$D$130:$EQ$169,$B16,38)+IF(AND($E16=1,KB16=0),25,0),IF($F16&gt;0,INDEX('calcA'!AO$110:AO$114,$F16+1)+IF(AND($E16=1,KB16=0),1000,0),MIN(TV16,20)*400+(IF('calcA'!AN$106=1,1-EL16,0)+IF('calcA'!AO$106=1,1-EN16,0))*150+142+'calcA'!AO$5*100000+IF(AND($E16=1,KB16=0),50000,0))+IF($H16=1,INDEX('calcA'!$D$180:$EQ$219,$B16,38)*4000,0)-IF(AND('calcA'!AN$117=1,VL16&gt;0),2000,0)-IF(AND($U16=1,'calcA'!AO$117=1,EN16=0),2000,0))),1000000000))</f>
        <v/>
      </c>
      <c r="PR16">
        <f>IF($B16=0,1000000000,IF(INDEX('calcA'!$D$60:$EQ$99,$B16,39)*IF($W16=1,EN16+ABC16,EN16)=1,IF(AND($E16=2,IF($W16=1,AGR16,KC16)=0),1000000000,IF($V16=1,INDEX('calcA'!$D$130:$EQ$169,$B16,39)+IF(AND($E16=1,KC16=0),25,0),IF($F16&gt;0,INDEX('calcA'!AP$110:AP$114,$F16+1)+IF(AND($E16=1,KC16=0),1000,0),MIN(TV16,20)*400+(IF('calcA'!AO$106=1,1-EM16,0)+IF('calcA'!AP$106=1,1-EO16,0))*150+152+'calcA'!AP$5*100000+IF(AND($E16=1,KC16=0),50000,0))+IF($H16=1,INDEX('calcA'!$D$180:$EQ$219,$B16,39)*4000,0)-IF(AND('calcA'!AO$117=1,VM16&gt;0),2000,0)-IF(AND($U16=1,'calcA'!AP$117=1,EO16=0),2000,0))),1000000000))</f>
        <v/>
      </c>
      <c r="PS16">
        <f>IF($B16=0,1000000000,IF(INDEX('calcA'!$D$60:$EQ$99,$B16,40)*IF($W16=1,EO16+ABD16,EO16)=1,IF(AND($E16=2,IF($W16=1,AGS16,KD16)=0),1000000000,IF($V16=1,INDEX('calcA'!$D$130:$EQ$169,$B16,40)+IF(AND($E16=1,KD16=0),25,0),IF($F16&gt;0,INDEX('calcA'!AQ$110:AQ$114,$F16+1)+IF(AND($E16=1,KD16=0),1000,0),MIN(TV16,20)*400+(IF('calcA'!AP$106=1,1-EN16,0)+IF('calcA'!AQ$106=1,1-EP16,0))*150+162+'calcA'!AQ$5*100000+IF(AND($E16=1,KD16=0),50000,0))+IF($H16=1,INDEX('calcA'!$D$180:$EQ$219,$B16,40)*4000,0)-IF(AND('calcA'!AP$117=1,VN16&gt;0),2000,0)-IF(AND($U16=1,'calcA'!AQ$117=1,EP16=0),2000,0))),1000000000))</f>
        <v/>
      </c>
      <c r="PT16">
        <f>IF($B16=0,1000000000,IF(INDEX('calcA'!$D$60:$EQ$99,$B16,41)*IF($W16=1,EP16+ABE16,EP16)=1,IF(AND($E16=2,IF($W16=1,AGT16,KE16)=0),1000000000,IF($V16=1,INDEX('calcA'!$D$130:$EQ$169,$B16,41)+IF(AND($E16=1,KE16=0),25,0),IF($F16&gt;0,INDEX('calcA'!AR$110:AR$114,$F16+1)+IF(AND($E16=1,KE16=0),1000,0),MIN(TV16,20)*400+(IF('calcA'!AQ$106=1,1-EO16,0)+IF('calcA'!AR$106=1,1-EQ16,0))*150+172+'calcA'!AR$5*100000+IF(AND($E16=1,KE16=0),50000,0))+IF($H16=1,INDEX('calcA'!$D$180:$EQ$219,$B16,41)*4000,0)-IF(AND('calcA'!AQ$117=1,VO16&gt;0),2000,0)-IF(AND($U16=1,'calcA'!AR$117=1,EQ16=0),2000,0))),1000000000))</f>
        <v/>
      </c>
      <c r="PU16">
        <f>IF($B16=0,1000000000,IF(INDEX('calcA'!$D$60:$EQ$99,$B16,42)*IF($W16=1,EQ16+ABF16,EQ16)=1,IF(AND($E16=2,IF($W16=1,AGU16,KF16)=0),1000000000,IF($V16=1,INDEX('calcA'!$D$130:$EQ$169,$B16,42)+IF(AND($E16=1,KF16=0),25,0),IF($F16&gt;0,INDEX('calcA'!AS$110:AS$114,$F16+1)+IF(AND($E16=1,KF16=0),1000,0),MIN(TV16,20)*400+(IF('calcA'!AR$106=1,1-EP16,0)+IF('calcA'!AS$106=1,1-ER16,0))*150+182+'calcA'!AS$5*100000+IF(AND($E16=1,KF16=0),50000,0))+IF($H16=1,INDEX('calcA'!$D$180:$EQ$219,$B16,42)*4000,0)-IF(AND('calcA'!AR$117=1,VP16&gt;0),2000,0)-IF(AND($U16=1,'calcA'!AS$117=1,ER16=0),2000,0))),1000000000))</f>
        <v/>
      </c>
      <c r="PV16">
        <f>IF($B16=0,1000000000,IF(INDEX('calcA'!$D$60:$EQ$99,$B16,43)*IF($W16=1,ER16+ABG16,ER16)=1,IF(AND($E16=2,IF($W16=1,AGV16,KG16)=0),1000000000,IF($V16=1,INDEX('calcA'!$D$130:$EQ$169,$B16,43)+IF(AND($E16=1,KG16=0),25,0),IF($F16&gt;0,INDEX('calcA'!AT$110:AT$114,$F16+1)+IF(AND($E16=1,KG16=0),1000,0),MIN(TV16,20)*400+(IF('calcA'!AS$106=1,1-EQ16,0)+IF('calcA'!AT$106=1,1-ES16,0))*150+192+'calcA'!AT$5*100000+IF(AND($E16=1,KG16=0),50000,0))+IF($H16=1,INDEX('calcA'!$D$180:$EQ$219,$B16,43)*4000,0)-IF(AND('calcA'!AS$117=1,VQ16&gt;0),2000,0)-IF(AND($U16=1,'calcA'!AT$117=1,ES16=0),2000,0))),1000000000))</f>
        <v/>
      </c>
      <c r="PW16">
        <f>IF($B16=0,1000000000,IF(INDEX('calcA'!$D$60:$EQ$99,$B16,44)*IF($W16=1,ES16+ABH16,ES16)=1,IF(AND($E16=2,IF($W16=1,AGW16,KH16)=0),1000000000,IF($V16=1,INDEX('calcA'!$D$130:$EQ$169,$B16,44)+IF(AND($E16=1,KH16=0),25,0),IF($F16&gt;0,INDEX('calcA'!AU$110:AU$114,$F16+1)+IF(AND($E16=1,KH16=0),1000,0),MIN(TV16,20)*400+(IF('calcA'!AT$106=1,1-ER16,0)+IF('calcA'!AU$106=1,1-ET16,0))*150+202+'calcA'!AU$5*100000+IF(AND($E16=1,KH16=0),50000,0))+IF($H16=1,INDEX('calcA'!$D$180:$EQ$219,$B16,44)*4000,0)-IF(AND('calcA'!AT$117=1,VR16&gt;0),2000,0)-IF(AND($U16=1,'calcA'!AU$117=1,ET16=0),2000,0))),1000000000))</f>
        <v/>
      </c>
      <c r="PX16">
        <f>IF($B16=0,1000000000,IF(INDEX('calcA'!$D$60:$EQ$99,$B16,45)*IF($W16=1,ET16+ABI16,ET16)=1,IF(AND($E16=2,IF($W16=1,AGX16,KI16)=0),1000000000,IF($V16=1,INDEX('calcA'!$D$130:$EQ$169,$B16,45)+IF(AND($E16=1,KI16=0),25,0),IF($F16&gt;0,INDEX('calcA'!AV$110:AV$114,$F16+1)+IF(AND($E16=1,KI16=0),1000,0),MIN(TV16,20)*400+(IF('calcA'!AU$106=1,1-ES16,0)+IF('calcA'!AV$106=1,1-EU16,0))*150+212+'calcA'!AV$5*100000+IF(AND($E16=1,KI16=0),50000,0))+IF($H16=1,INDEX('calcA'!$D$180:$EQ$219,$B16,45)*4000,0)-IF(AND('calcA'!AU$117=1,VS16&gt;0),2000,0)-IF(AND($U16=1,'calcA'!AV$117=1,EU16=0),2000,0))),1000000000))</f>
        <v/>
      </c>
      <c r="PY16">
        <f>IF($B16=0,1000000000,IF(INDEX('calcA'!$D$60:$EQ$99,$B16,46)*IF($W16=1,EU16+ABJ16,EU16)=1,IF(AND($E16=2,IF($W16=1,AGY16,KJ16)=0),1000000000,IF($V16=1,INDEX('calcA'!$D$130:$EQ$169,$B16,46)+IF(AND($E16=1,KJ16=0),25,0),IF($F16&gt;0,INDEX('calcA'!AW$110:AW$114,$F16+1)+IF(AND($E16=1,KJ16=0),1000,0),MIN(TV16,20)*400+(IF('calcA'!AV$106=1,1-ET16,0)+IF('calcA'!AW$106=1,1-EV16,0))*150+222+'calcA'!AW$5*100000+IF(AND($E16=1,KJ16=0),50000,0))+IF($H16=1,INDEX('calcA'!$D$180:$EQ$219,$B16,46)*4000,0)-IF(AND('calcA'!AV$117=1,VT16&gt;0),2000,0)-IF(AND($U16=1,'calcA'!AW$117=1,EV16=0),2000,0))),1000000000))</f>
        <v/>
      </c>
      <c r="PZ16">
        <f>IF($B16=0,1000000000,IF(INDEX('calcA'!$D$60:$EQ$99,$B16,47)*IF($W16=1,EV16+ABK16,EV16)=1,IF(AND($E16=2,IF($W16=1,AGZ16,KK16)=0),1000000000,IF($V16=1,INDEX('calcA'!$D$130:$EQ$169,$B16,47)+IF(AND($E16=1,KK16=0),25,0),IF($F16&gt;0,INDEX('calcA'!AX$110:AX$114,$F16+1)+IF(AND($E16=1,KK16=0),1000,0),MIN(TV16,20)*400+(IF('calcA'!AW$106=1,1-EU16,0)+IF('calcA'!AX$106=1,1-EW16,0))*150+232+'calcA'!AX$5*100000+IF(AND($E16=1,KK16=0),50000,0))+IF($H16=1,INDEX('calcA'!$D$180:$EQ$219,$B16,47)*4000,0)-IF(AND('calcA'!AW$117=1,VU16&gt;0),2000,0)-IF(AND($U16=1,'calcA'!AX$117=1,EW16=0),2000,0))),1000000000))</f>
        <v/>
      </c>
      <c r="QA16">
        <f>IF($B16=0,1000000000,IF(INDEX('calcA'!$D$60:$EQ$99,$B16,48)*IF($W16=1,EW16+ABL16,EW16)=1,IF(AND($E16=2,IF($W16=1,AHA16,KL16)=0),1000000000,IF($V16=1,INDEX('calcA'!$D$130:$EQ$169,$B16,48)+IF(AND($E16=1,KL16=0),25,0),IF($F16&gt;0,INDEX('calcA'!AY$110:AY$114,$F16+1)+IF(AND($E16=1,KL16=0),1000,0),MIN(TV16,20)*400+(IF('calcA'!AX$106=1,1-EV16,0))*150+242+'calcA'!AY$5*100000+IF(AND($E16=1,KL16=0),50000,0))+IF($H16=1,INDEX('calcA'!$D$180:$EQ$219,$B16,48)*4000,0)-IF(AND('calcA'!AX$117=1,VV16&gt;0),2000,0))),1000000000))</f>
        <v/>
      </c>
      <c r="QB16">
        <f>IF($B16=0,1000000000,IF(INDEX('calcA'!$D$60:$EQ$99,$B16,49)*IF($W16=1,EX16+ABM16,EX16)=1,IF(AND($E16=2,IF($W16=1,AHB16,KM16)=0),1000000000,IF($V16=1,INDEX('calcA'!$D$130:$EQ$169,$B16,49)+IF(AND($E16=1,KM16=0),25,0),IF($F16&gt;0,INDEX('calcA'!AZ$110:AZ$114,$F16+1)+IF(AND($E16=1,KM16=0),1000,0),MIN(TW16,20)*400+(IF('calcA'!AZ$106=1,1-EY16,0))*150+13+'calcA'!AZ$5*100000+IF(AND($E16=1,KM16=0),50000,0))+IF($H16=1,INDEX('calcA'!$D$180:$EQ$219,$B16,49)*4000,0)-IF(AND($U16=1,'calcA'!AZ$117=1,EY16=0),2000,0))),1000000000))</f>
        <v/>
      </c>
      <c r="QC16">
        <f>IF($B16=0,1000000000,IF(INDEX('calcA'!$D$60:$EQ$99,$B16,50)*IF($W16=1,EY16+ABN16,EY16)=1,IF(AND($E16=2,IF($W16=1,AHC16,KN16)=0),1000000000,IF($V16=1,INDEX('calcA'!$D$130:$EQ$169,$B16,50)+IF(AND($E16=1,KN16=0),25,0),IF($F16&gt;0,INDEX('calcA'!BA$110:BA$114,$F16+1)+IF(AND($E16=1,KN16=0),1000,0),MIN(TW16,20)*400+(IF('calcA'!AZ$106=1,1-EX16,0)+IF('calcA'!BA$106=1,1-EZ16,0))*150+23+'calcA'!BA$5*100000+IF(AND($E16=1,KN16=0),50000,0))+IF($H16=1,INDEX('calcA'!$D$180:$EQ$219,$B16,50)*4000,0)-IF(AND('calcA'!AZ$117=1,VX16&gt;0),2000,0)-IF(AND($U16=1,'calcA'!BA$117=1,EZ16=0),2000,0))),1000000000))</f>
        <v/>
      </c>
      <c r="QD16">
        <f>IF($B16=0,1000000000,IF(INDEX('calcA'!$D$60:$EQ$99,$B16,51)*IF($W16=1,EZ16+ABO16,EZ16)=1,IF(AND($E16=2,IF($W16=1,AHD16,KO16)=0),1000000000,IF($V16=1,INDEX('calcA'!$D$130:$EQ$169,$B16,51)+IF(AND($E16=1,KO16=0),25,0),IF($F16&gt;0,INDEX('calcA'!BB$110:BB$114,$F16+1)+IF(AND($E16=1,KO16=0),1000,0),MIN(TW16,20)*400+(IF('calcA'!BA$106=1,1-EY16,0)+IF('calcA'!BB$106=1,1-FA16,0))*150+33+'calcA'!BB$5*100000+IF(AND($E16=1,KO16=0),50000,0))+IF($H16=1,INDEX('calcA'!$D$180:$EQ$219,$B16,51)*4000,0)-IF(AND('calcA'!BA$117=1,VY16&gt;0),2000,0)-IF(AND($U16=1,'calcA'!BB$117=1,FA16=0),2000,0))),1000000000))</f>
        <v/>
      </c>
      <c r="QE16">
        <f>IF($B16=0,1000000000,IF(INDEX('calcA'!$D$60:$EQ$99,$B16,52)*IF($W16=1,FA16+ABP16,FA16)=1,IF(AND($E16=2,IF($W16=1,AHE16,KP16)=0),1000000000,IF($V16=1,INDEX('calcA'!$D$130:$EQ$169,$B16,52)+IF(AND($E16=1,KP16=0),25,0),IF($F16&gt;0,INDEX('calcA'!BC$110:BC$114,$F16+1)+IF(AND($E16=1,KP16=0),1000,0),MIN(TW16,20)*400+(IF('calcA'!BB$106=1,1-EZ16,0)+IF('calcA'!BC$106=1,1-FB16,0))*150+43+'calcA'!BC$5*100000+IF(AND($E16=1,KP16=0),50000,0))+IF($H16=1,INDEX('calcA'!$D$180:$EQ$219,$B16,52)*4000,0)-IF(AND('calcA'!BB$117=1,VZ16&gt;0),2000,0)-IF(AND($U16=1,'calcA'!BC$117=1,FB16=0),2000,0))),1000000000))</f>
        <v/>
      </c>
      <c r="QF16">
        <f>IF($B16=0,1000000000,IF(INDEX('calcA'!$D$60:$EQ$99,$B16,53)*IF($W16=1,FB16+ABQ16,FB16)=1,IF(AND($E16=2,IF($W16=1,AHF16,KQ16)=0),1000000000,IF($V16=1,INDEX('calcA'!$D$130:$EQ$169,$B16,53)+IF(AND($E16=1,KQ16=0),25,0),IF($F16&gt;0,INDEX('calcA'!BD$110:BD$114,$F16+1)+IF(AND($E16=1,KQ16=0),1000,0),MIN(TW16,20)*400+(IF('calcA'!BC$106=1,1-FA16,0)+IF('calcA'!BD$106=1,1-FC16,0))*150+53+'calcA'!BD$5*100000+IF(AND($E16=1,KQ16=0),50000,0))+IF($H16=1,INDEX('calcA'!$D$180:$EQ$219,$B16,53)*4000,0)-IF(AND('calcA'!BC$117=1,WA16&gt;0),2000,0)-IF(AND($U16=1,'calcA'!BD$117=1,FC16=0),2000,0))),1000000000))</f>
        <v/>
      </c>
      <c r="QG16">
        <f>IF($B16=0,1000000000,IF(INDEX('calcA'!$D$60:$EQ$99,$B16,54)*IF($W16=1,FC16+ABR16,FC16)=1,IF(AND($E16=2,IF($W16=1,AHG16,KR16)=0),1000000000,IF($V16=1,INDEX('calcA'!$D$130:$EQ$169,$B16,54)+IF(AND($E16=1,KR16=0),25,0),IF($F16&gt;0,INDEX('calcA'!BE$110:BE$114,$F16+1)+IF(AND($E16=1,KR16=0),1000,0),MIN(TW16,20)*400+(IF('calcA'!BD$106=1,1-FB16,0)+IF('calcA'!BE$106=1,1-FD16,0))*150+63+'calcA'!BE$5*100000+IF(AND($E16=1,KR16=0),50000,0))+IF($H16=1,INDEX('calcA'!$D$180:$EQ$219,$B16,54)*4000,0)-IF(AND('calcA'!BD$117=1,WB16&gt;0),2000,0)-IF(AND($U16=1,'calcA'!BE$117=1,FD16=0),2000,0))),1000000000))</f>
        <v/>
      </c>
      <c r="QH16">
        <f>IF($B16=0,1000000000,IF(INDEX('calcA'!$D$60:$EQ$99,$B16,55)*IF($W16=1,FD16+ABS16,FD16)=1,IF(AND($E16=2,IF($W16=1,AHH16,KS16)=0),1000000000,IF($V16=1,INDEX('calcA'!$D$130:$EQ$169,$B16,55)+IF(AND($E16=1,KS16=0),25,0),IF($F16&gt;0,INDEX('calcA'!BF$110:BF$114,$F16+1)+IF(AND($E16=1,KS16=0),1000,0),MIN(TW16,20)*400+(IF('calcA'!BE$106=1,1-FC16,0)+IF('calcA'!BF$106=1,1-FE16,0))*150+73+'calcA'!BF$5*100000+IF(AND($E16=1,KS16=0),50000,0))+IF($H16=1,INDEX('calcA'!$D$180:$EQ$219,$B16,55)*4000,0)-IF(AND('calcA'!BE$117=1,WC16&gt;0),2000,0)-IF(AND($U16=1,'calcA'!BF$117=1,FE16=0),2000,0))),1000000000))</f>
        <v/>
      </c>
      <c r="QI16">
        <f>IF($B16=0,1000000000,IF(INDEX('calcA'!$D$60:$EQ$99,$B16,56)*IF($W16=1,FE16+ABT16,FE16)=1,IF(AND($E16=2,IF($W16=1,AHI16,KT16)=0),1000000000,IF($V16=1,INDEX('calcA'!$D$130:$EQ$169,$B16,56)+IF(AND($E16=1,KT16=0),25,0),IF($F16&gt;0,INDEX('calcA'!BG$110:BG$114,$F16+1)+IF(AND($E16=1,KT16=0),1000,0),MIN(TW16,20)*400+(IF('calcA'!BF$106=1,1-FD16,0)+IF('calcA'!BG$106=1,1-FF16,0))*150+83+'calcA'!BG$5*100000+IF(AND($E16=1,KT16=0),50000,0))+IF($H16=1,INDEX('calcA'!$D$180:$EQ$219,$B16,56)*4000,0)-IF(AND('calcA'!BF$117=1,WD16&gt;0),2000,0)-IF(AND($U16=1,'calcA'!BG$117=1,FF16=0),2000,0))),1000000000))</f>
        <v/>
      </c>
      <c r="QJ16">
        <f>IF($B16=0,1000000000,IF(INDEX('calcA'!$D$60:$EQ$99,$B16,57)*IF($W16=1,FF16+ABU16,FF16)=1,IF(AND($E16=2,IF($W16=1,AHJ16,KU16)=0),1000000000,IF($V16=1,INDEX('calcA'!$D$130:$EQ$169,$B16,57)+IF(AND($E16=1,KU16=0),25,0),IF($F16&gt;0,INDEX('calcA'!BH$110:BH$114,$F16+1)+IF(AND($E16=1,KU16=0),1000,0),MIN(TW16,20)*400+(IF('calcA'!BG$106=1,1-FE16,0)+IF('calcA'!BH$106=1,1-FG16,0))*150+93+'calcA'!BH$5*100000+IF(AND($E16=1,KU16=0),50000,0))+IF($H16=1,INDEX('calcA'!$D$180:$EQ$219,$B16,57)*4000,0)-IF(AND('calcA'!BG$117=1,WE16&gt;0),2000,0)-IF(AND($U16=1,'calcA'!BH$117=1,FG16=0),2000,0))),1000000000))</f>
        <v/>
      </c>
      <c r="QK16">
        <f>IF($B16=0,1000000000,IF(INDEX('calcA'!$D$60:$EQ$99,$B16,58)*IF($W16=1,FG16+ABV16,FG16)=1,IF(AND($E16=2,IF($W16=1,AHK16,KV16)=0),1000000000,IF($V16=1,INDEX('calcA'!$D$130:$EQ$169,$B16,58)+IF(AND($E16=1,KV16=0),25,0),IF($F16&gt;0,INDEX('calcA'!BI$110:BI$114,$F16+1)+IF(AND($E16=1,KV16=0),1000,0),MIN(TW16,20)*400+(IF('calcA'!BH$106=1,1-FF16,0)+IF('calcA'!BI$106=1,1-FH16,0))*150+103+'calcA'!BI$5*100000+IF(AND($E16=1,KV16=0),50000,0))+IF($H16=1,INDEX('calcA'!$D$180:$EQ$219,$B16,58)*4000,0)-IF(AND('calcA'!BH$117=1,WF16&gt;0),2000,0)-IF(AND($U16=1,'calcA'!BI$117=1,FH16=0),2000,0))),1000000000))</f>
        <v/>
      </c>
      <c r="QL16">
        <f>IF($B16=0,1000000000,IF(INDEX('calcA'!$D$60:$EQ$99,$B16,59)*IF($W16=1,FH16+ABW16,FH16)=1,IF(AND($E16=2,IF($W16=1,AHL16,KW16)=0),1000000000,IF($V16=1,INDEX('calcA'!$D$130:$EQ$169,$B16,59)+IF(AND($E16=1,KW16=0),25,0),IF($F16&gt;0,INDEX('calcA'!BJ$110:BJ$114,$F16+1)+IF(AND($E16=1,KW16=0),1000,0),MIN(TW16,20)*400+(IF('calcA'!BI$106=1,1-FG16,0)+IF('calcA'!BJ$106=1,1-FI16,0))*150+113+'calcA'!BJ$5*100000+IF(AND($E16=1,KW16=0),50000,0))+IF($H16=1,INDEX('calcA'!$D$180:$EQ$219,$B16,59)*4000,0)-IF(AND('calcA'!BI$117=1,WG16&gt;0),2000,0)-IF(AND($U16=1,'calcA'!BJ$117=1,FI16=0),2000,0))),1000000000))</f>
        <v/>
      </c>
      <c r="QM16">
        <f>IF($B16=0,1000000000,IF(INDEX('calcA'!$D$60:$EQ$99,$B16,60)*IF($W16=1,FI16+ABX16,FI16)=1,IF(AND($E16=2,IF($W16=1,AHM16,KX16)=0),1000000000,IF($V16=1,INDEX('calcA'!$D$130:$EQ$169,$B16,60)+IF(AND($E16=1,KX16=0),25,0),IF($F16&gt;0,INDEX('calcA'!BK$110:BK$114,$F16+1)+IF(AND($E16=1,KX16=0),1000,0),MIN(TW16,20)*400+(IF('calcA'!BJ$106=1,1-FH16,0)+IF('calcA'!BK$106=1,1-FJ16,0))*150+123+'calcA'!BK$5*100000+IF(AND($E16=1,KX16=0),50000,0))+IF($H16=1,INDEX('calcA'!$D$180:$EQ$219,$B16,60)*4000,0)-IF(AND('calcA'!BJ$117=1,WH16&gt;0),2000,0)-IF(AND($U16=1,'calcA'!BK$117=1,FJ16=0),2000,0))),1000000000))</f>
        <v/>
      </c>
      <c r="QN16">
        <f>IF($B16=0,1000000000,IF(INDEX('calcA'!$D$60:$EQ$99,$B16,61)*IF($W16=1,FJ16+ABY16,FJ16)=1,IF(AND($E16=2,IF($W16=1,AHN16,KY16)=0),1000000000,IF($V16=1,INDEX('calcA'!$D$130:$EQ$169,$B16,61)+IF(AND($E16=1,KY16=0),25,0),IF($F16&gt;0,INDEX('calcA'!BL$110:BL$114,$F16+1)+IF(AND($E16=1,KY16=0),1000,0),MIN(TW16,20)*400+(IF('calcA'!BK$106=1,1-FI16,0)+IF('calcA'!BL$106=1,1-FK16,0))*150+133+'calcA'!BL$5*100000+IF(AND($E16=1,KY16=0),50000,0))+IF($H16=1,INDEX('calcA'!$D$180:$EQ$219,$B16,61)*4000,0)-IF(AND('calcA'!BK$117=1,WI16&gt;0),2000,0)-IF(AND($U16=1,'calcA'!BL$117=1,FK16=0),2000,0))),1000000000))</f>
        <v/>
      </c>
      <c r="QO16">
        <f>IF($B16=0,1000000000,IF(INDEX('calcA'!$D$60:$EQ$99,$B16,62)*IF($W16=1,FK16+ABZ16,FK16)=1,IF(AND($E16=2,IF($W16=1,AHO16,KZ16)=0),1000000000,IF($V16=1,INDEX('calcA'!$D$130:$EQ$169,$B16,62)+IF(AND($E16=1,KZ16=0),25,0),IF($F16&gt;0,INDEX('calcA'!BM$110:BM$114,$F16+1)+IF(AND($E16=1,KZ16=0),1000,0),MIN(TW16,20)*400+(IF('calcA'!BL$106=1,1-FJ16,0)+IF('calcA'!BM$106=1,1-FL16,0))*150+143+'calcA'!BM$5*100000+IF(AND($E16=1,KZ16=0),50000,0))+IF($H16=1,INDEX('calcA'!$D$180:$EQ$219,$B16,62)*4000,0)-IF(AND('calcA'!BL$117=1,WJ16&gt;0),2000,0)-IF(AND($U16=1,'calcA'!BM$117=1,FL16=0),2000,0))),1000000000))</f>
        <v/>
      </c>
      <c r="QP16">
        <f>IF($B16=0,1000000000,IF(INDEX('calcA'!$D$60:$EQ$99,$B16,63)*IF($W16=1,FL16+ACA16,FL16)=1,IF(AND($E16=2,IF($W16=1,AHP16,LA16)=0),1000000000,IF($V16=1,INDEX('calcA'!$D$130:$EQ$169,$B16,63)+IF(AND($E16=1,LA16=0),25,0),IF($F16&gt;0,INDEX('calcA'!BN$110:BN$114,$F16+1)+IF(AND($E16=1,LA16=0),1000,0),MIN(TW16,20)*400+(IF('calcA'!BM$106=1,1-FK16,0)+IF('calcA'!BN$106=1,1-FM16,0))*150+153+'calcA'!BN$5*100000+IF(AND($E16=1,LA16=0),50000,0))+IF($H16=1,INDEX('calcA'!$D$180:$EQ$219,$B16,63)*4000,0)-IF(AND('calcA'!BM$117=1,WK16&gt;0),2000,0)-IF(AND($U16=1,'calcA'!BN$117=1,FM16=0),2000,0))),1000000000))</f>
        <v/>
      </c>
      <c r="QQ16">
        <f>IF($B16=0,1000000000,IF(INDEX('calcA'!$D$60:$EQ$99,$B16,64)*IF($W16=1,FM16+ACB16,FM16)=1,IF(AND($E16=2,IF($W16=1,AHQ16,LB16)=0),1000000000,IF($V16=1,INDEX('calcA'!$D$130:$EQ$169,$B16,64)+IF(AND($E16=1,LB16=0),25,0),IF($F16&gt;0,INDEX('calcA'!BO$110:BO$114,$F16+1)+IF(AND($E16=1,LB16=0),1000,0),MIN(TW16,20)*400+(IF('calcA'!BN$106=1,1-FL16,0)+IF('calcA'!BO$106=1,1-FN16,0))*150+163+'calcA'!BO$5*100000+IF(AND($E16=1,LB16=0),50000,0))+IF($H16=1,INDEX('calcA'!$D$180:$EQ$219,$B16,64)*4000,0)-IF(AND('calcA'!BN$117=1,WL16&gt;0),2000,0)-IF(AND($U16=1,'calcA'!BO$117=1,FN16=0),2000,0))),1000000000))</f>
        <v/>
      </c>
      <c r="QR16">
        <f>IF($B16=0,1000000000,IF(INDEX('calcA'!$D$60:$EQ$99,$B16,65)*IF($W16=1,FN16+ACC16,FN16)=1,IF(AND($E16=2,IF($W16=1,AHR16,LC16)=0),1000000000,IF($V16=1,INDEX('calcA'!$D$130:$EQ$169,$B16,65)+IF(AND($E16=1,LC16=0),25,0),IF($F16&gt;0,INDEX('calcA'!BP$110:BP$114,$F16+1)+IF(AND($E16=1,LC16=0),1000,0),MIN(TW16,20)*400+(IF('calcA'!BO$106=1,1-FM16,0)+IF('calcA'!BP$106=1,1-FO16,0))*150+173+'calcA'!BP$5*100000+IF(AND($E16=1,LC16=0),50000,0))+IF($H16=1,INDEX('calcA'!$D$180:$EQ$219,$B16,65)*4000,0)-IF(AND('calcA'!BO$117=1,WM16&gt;0),2000,0)-IF(AND($U16=1,'calcA'!BP$117=1,FO16=0),2000,0))),1000000000))</f>
        <v/>
      </c>
      <c r="QS16">
        <f>IF($B16=0,1000000000,IF(INDEX('calcA'!$D$60:$EQ$99,$B16,66)*IF($W16=1,FO16+ACD16,FO16)=1,IF(AND($E16=2,IF($W16=1,AHS16,LD16)=0),1000000000,IF($V16=1,INDEX('calcA'!$D$130:$EQ$169,$B16,66)+IF(AND($E16=1,LD16=0),25,0),IF($F16&gt;0,INDEX('calcA'!BQ$110:BQ$114,$F16+1)+IF(AND($E16=1,LD16=0),1000,0),MIN(TW16,20)*400+(IF('calcA'!BP$106=1,1-FN16,0)+IF('calcA'!BQ$106=1,1-FP16,0))*150+183+'calcA'!BQ$5*100000+IF(AND($E16=1,LD16=0),50000,0))+IF($H16=1,INDEX('calcA'!$D$180:$EQ$219,$B16,66)*4000,0)-IF(AND('calcA'!BP$117=1,WN16&gt;0),2000,0)-IF(AND($U16=1,'calcA'!BQ$117=1,FP16=0),2000,0))),1000000000))</f>
        <v/>
      </c>
      <c r="QT16">
        <f>IF($B16=0,1000000000,IF(INDEX('calcA'!$D$60:$EQ$99,$B16,67)*IF($W16=1,FP16+ACE16,FP16)=1,IF(AND($E16=2,IF($W16=1,AHT16,LE16)=0),1000000000,IF($V16=1,INDEX('calcA'!$D$130:$EQ$169,$B16,67)+IF(AND($E16=1,LE16=0),25,0),IF($F16&gt;0,INDEX('calcA'!BR$110:BR$114,$F16+1)+IF(AND($E16=1,LE16=0),1000,0),MIN(TW16,20)*400+(IF('calcA'!BQ$106=1,1-FO16,0)+IF('calcA'!BR$106=1,1-FQ16,0))*150+193+'calcA'!BR$5*100000+IF(AND($E16=1,LE16=0),50000,0))+IF($H16=1,INDEX('calcA'!$D$180:$EQ$219,$B16,67)*4000,0)-IF(AND('calcA'!BQ$117=1,WO16&gt;0),2000,0)-IF(AND($U16=1,'calcA'!BR$117=1,FQ16=0),2000,0))),1000000000))</f>
        <v/>
      </c>
      <c r="QU16">
        <f>IF($B16=0,1000000000,IF(INDEX('calcA'!$D$60:$EQ$99,$B16,68)*IF($W16=1,FQ16+ACF16,FQ16)=1,IF(AND($E16=2,IF($W16=1,AHU16,LF16)=0),1000000000,IF($V16=1,INDEX('calcA'!$D$130:$EQ$169,$B16,68)+IF(AND($E16=1,LF16=0),25,0),IF($F16&gt;0,INDEX('calcA'!BS$110:BS$114,$F16+1)+IF(AND($E16=1,LF16=0),1000,0),MIN(TW16,20)*400+(IF('calcA'!BR$106=1,1-FP16,0)+IF('calcA'!BS$106=1,1-FR16,0))*150+203+'calcA'!BS$5*100000+IF(AND($E16=1,LF16=0),50000,0))+IF($H16=1,INDEX('calcA'!$D$180:$EQ$219,$B16,68)*4000,0)-IF(AND('calcA'!BR$117=1,WP16&gt;0),2000,0)-IF(AND($U16=1,'calcA'!BS$117=1,FR16=0),2000,0))),1000000000))</f>
        <v/>
      </c>
      <c r="QV16">
        <f>IF($B16=0,1000000000,IF(INDEX('calcA'!$D$60:$EQ$99,$B16,69)*IF($W16=1,FR16+ACG16,FR16)=1,IF(AND($E16=2,IF($W16=1,AHV16,LG16)=0),1000000000,IF($V16=1,INDEX('calcA'!$D$130:$EQ$169,$B16,69)+IF(AND($E16=1,LG16=0),25,0),IF($F16&gt;0,INDEX('calcA'!BT$110:BT$114,$F16+1)+IF(AND($E16=1,LG16=0),1000,0),MIN(TW16,20)*400+(IF('calcA'!BS$106=1,1-FQ16,0)+IF('calcA'!BT$106=1,1-FS16,0))*150+213+'calcA'!BT$5*100000+IF(AND($E16=1,LG16=0),50000,0))+IF($H16=1,INDEX('calcA'!$D$180:$EQ$219,$B16,69)*4000,0)-IF(AND('calcA'!BS$117=1,WQ16&gt;0),2000,0)-IF(AND($U16=1,'calcA'!BT$117=1,FS16=0),2000,0))),1000000000))</f>
        <v/>
      </c>
      <c r="QW16">
        <f>IF($B16=0,1000000000,IF(INDEX('calcA'!$D$60:$EQ$99,$B16,70)*IF($W16=1,FS16+ACH16,FS16)=1,IF(AND($E16=2,IF($W16=1,AHW16,LH16)=0),1000000000,IF($V16=1,INDEX('calcA'!$D$130:$EQ$169,$B16,70)+IF(AND($E16=1,LH16=0),25,0),IF($F16&gt;0,INDEX('calcA'!BU$110:BU$114,$F16+1)+IF(AND($E16=1,LH16=0),1000,0),MIN(TW16,20)*400+(IF('calcA'!BT$106=1,1-FR16,0)+IF('calcA'!BU$106=1,1-FT16,0))*150+223+'calcA'!BU$5*100000+IF(AND($E16=1,LH16=0),50000,0))+IF($H16=1,INDEX('calcA'!$D$180:$EQ$219,$B16,70)*4000,0)-IF(AND('calcA'!BT$117=1,WR16&gt;0),2000,0)-IF(AND($U16=1,'calcA'!BU$117=1,FT16=0),2000,0))),1000000000))</f>
        <v/>
      </c>
      <c r="QX16">
        <f>IF($B16=0,1000000000,IF(INDEX('calcA'!$D$60:$EQ$99,$B16,71)*IF($W16=1,FT16+ACI16,FT16)=1,IF(AND($E16=2,IF($W16=1,AHX16,LI16)=0),1000000000,IF($V16=1,INDEX('calcA'!$D$130:$EQ$169,$B16,71)+IF(AND($E16=1,LI16=0),25,0),IF($F16&gt;0,INDEX('calcA'!BV$110:BV$114,$F16+1)+IF(AND($E16=1,LI16=0),1000,0),MIN(TW16,20)*400+(IF('calcA'!BU$106=1,1-FS16,0)+IF('calcA'!BV$106=1,1-FU16,0))*150+233+'calcA'!BV$5*100000+IF(AND($E16=1,LI16=0),50000,0))+IF($H16=1,INDEX('calcA'!$D$180:$EQ$219,$B16,71)*4000,0)-IF(AND('calcA'!BU$117=1,WS16&gt;0),2000,0)-IF(AND($U16=1,'calcA'!BV$117=1,FU16=0),2000,0))),1000000000))</f>
        <v/>
      </c>
      <c r="QY16">
        <f>IF($B16=0,1000000000,IF(INDEX('calcA'!$D$60:$EQ$99,$B16,72)*IF($W16=1,FU16+ACJ16,FU16)=1,IF(AND($E16=2,IF($W16=1,AHY16,LJ16)=0),1000000000,IF($V16=1,INDEX('calcA'!$D$130:$EQ$169,$B16,72)+IF(AND($E16=1,LJ16=0),25,0),IF($F16&gt;0,INDEX('calcA'!BW$110:BW$114,$F16+1)+IF(AND($E16=1,LJ16=0),1000,0),MIN(TW16,20)*400+(IF('calcA'!BV$106=1,1-FT16,0))*150+243+'calcA'!BW$5*100000+IF(AND($E16=1,LJ16=0),50000,0))+IF($H16=1,INDEX('calcA'!$D$180:$EQ$219,$B16,72)*4000,0)-IF(AND('calcA'!BV$117=1,WT16&gt;0),2000,0))),1000000000))</f>
        <v/>
      </c>
      <c r="QZ16">
        <f>IF($B16=0,1000000000,IF(INDEX('calcA'!$D$60:$EQ$99,$B16,73)*IF($W16=1,FV16+ACK16,FV16)=1,IF(AND($E16=2,IF($W16=1,AHZ16,LK16)=0),1000000000,IF($V16=1,INDEX('calcA'!$D$130:$EQ$169,$B16,73)+IF(AND($E16=1,LK16=0),25,0),IF($F16&gt;0,INDEX('calcA'!BX$110:BX$114,$F16+1)+IF(AND($E16=1,LK16=0),1000,0),MIN(TX16,20)*400+(IF('calcA'!BX$106=1,1-FW16,0))*150+14+'calcA'!BX$5*100000+IF(AND($E16=1,LK16=0),50000,0))+IF($H16=1,INDEX('calcA'!$D$180:$EQ$219,$B16,73)*4000,0)-IF(AND($U16=1,'calcA'!BX$117=1,FW16=0),2000,0))),1000000000))</f>
        <v/>
      </c>
      <c r="RA16">
        <f>IF($B16=0,1000000000,IF(INDEX('calcA'!$D$60:$EQ$99,$B16,74)*IF($W16=1,FW16+ACL16,FW16)=1,IF(AND($E16=2,IF($W16=1,AIA16,LL16)=0),1000000000,IF($V16=1,INDEX('calcA'!$D$130:$EQ$169,$B16,74)+IF(AND($E16=1,LL16=0),25,0),IF($F16&gt;0,INDEX('calcA'!BY$110:BY$114,$F16+1)+IF(AND($E16=1,LL16=0),1000,0),MIN(TX16,20)*400+(IF('calcA'!BX$106=1,1-FV16,0)+IF('calcA'!BY$106=1,1-FX16,0))*150+24+'calcA'!BY$5*100000+IF(AND($E16=1,LL16=0),50000,0))+IF($H16=1,INDEX('calcA'!$D$180:$EQ$219,$B16,74)*4000,0)-IF(AND('calcA'!BX$117=1,WV16&gt;0),2000,0)-IF(AND($U16=1,'calcA'!BY$117=1,FX16=0),2000,0))),1000000000))</f>
        <v/>
      </c>
      <c r="RB16">
        <f>IF($B16=0,1000000000,IF(INDEX('calcA'!$D$60:$EQ$99,$B16,75)*IF($W16=1,FX16+ACM16,FX16)=1,IF(AND($E16=2,IF($W16=1,AIB16,LM16)=0),1000000000,IF($V16=1,INDEX('calcA'!$D$130:$EQ$169,$B16,75)+IF(AND($E16=1,LM16=0),25,0),IF($F16&gt;0,INDEX('calcA'!BZ$110:BZ$114,$F16+1)+IF(AND($E16=1,LM16=0),1000,0),MIN(TX16,20)*400+(IF('calcA'!BY$106=1,1-FW16,0)+IF('calcA'!BZ$106=1,1-FY16,0))*150+34+'calcA'!BZ$5*100000+IF(AND($E16=1,LM16=0),50000,0))+IF($H16=1,INDEX('calcA'!$D$180:$EQ$219,$B16,75)*4000,0)-IF(AND('calcA'!BY$117=1,WW16&gt;0),2000,0)-IF(AND($U16=1,'calcA'!BZ$117=1,FY16=0),2000,0))),1000000000))</f>
        <v/>
      </c>
      <c r="RC16">
        <f>IF($B16=0,1000000000,IF(INDEX('calcA'!$D$60:$EQ$99,$B16,76)*IF($W16=1,FY16+ACN16,FY16)=1,IF(AND($E16=2,IF($W16=1,AIC16,LN16)=0),1000000000,IF($V16=1,INDEX('calcA'!$D$130:$EQ$169,$B16,76)+IF(AND($E16=1,LN16=0),25,0),IF($F16&gt;0,INDEX('calcA'!CA$110:CA$114,$F16+1)+IF(AND($E16=1,LN16=0),1000,0),MIN(TX16,20)*400+(IF('calcA'!BZ$106=1,1-FX16,0)+IF('calcA'!CA$106=1,1-FZ16,0))*150+44+'calcA'!CA$5*100000+IF(AND($E16=1,LN16=0),50000,0))+IF($H16=1,INDEX('calcA'!$D$180:$EQ$219,$B16,76)*4000,0)-IF(AND('calcA'!BZ$117=1,WX16&gt;0),2000,0)-IF(AND($U16=1,'calcA'!CA$117=1,FZ16=0),2000,0))),1000000000))</f>
        <v/>
      </c>
      <c r="RD16">
        <f>IF($B16=0,1000000000,IF(INDEX('calcA'!$D$60:$EQ$99,$B16,77)*IF($W16=1,FZ16+ACO16,FZ16)=1,IF(AND($E16=2,IF($W16=1,AID16,LO16)=0),1000000000,IF($V16=1,INDEX('calcA'!$D$130:$EQ$169,$B16,77)+IF(AND($E16=1,LO16=0),25,0),IF($F16&gt;0,INDEX('calcA'!CB$110:CB$114,$F16+1)+IF(AND($E16=1,LO16=0),1000,0),MIN(TX16,20)*400+(IF('calcA'!CA$106=1,1-FY16,0)+IF('calcA'!CB$106=1,1-GA16,0))*150+54+'calcA'!CB$5*100000+IF(AND($E16=1,LO16=0),50000,0))+IF($H16=1,INDEX('calcA'!$D$180:$EQ$219,$B16,77)*4000,0)-IF(AND('calcA'!CA$117=1,WY16&gt;0),2000,0)-IF(AND($U16=1,'calcA'!CB$117=1,GA16=0),2000,0))),1000000000))</f>
        <v/>
      </c>
      <c r="RE16">
        <f>IF($B16=0,1000000000,IF(INDEX('calcA'!$D$60:$EQ$99,$B16,78)*IF($W16=1,GA16+ACP16,GA16)=1,IF(AND($E16=2,IF($W16=1,AIE16,LP16)=0),1000000000,IF($V16=1,INDEX('calcA'!$D$130:$EQ$169,$B16,78)+IF(AND($E16=1,LP16=0),25,0),IF($F16&gt;0,INDEX('calcA'!CC$110:CC$114,$F16+1)+IF(AND($E16=1,LP16=0),1000,0),MIN(TX16,20)*400+(IF('calcA'!CB$106=1,1-FZ16,0)+IF('calcA'!CC$106=1,1-GB16,0))*150+64+'calcA'!CC$5*100000+IF(AND($E16=1,LP16=0),50000,0))+IF($H16=1,INDEX('calcA'!$D$180:$EQ$219,$B16,78)*4000,0)-IF(AND('calcA'!CB$117=1,WZ16&gt;0),2000,0)-IF(AND($U16=1,'calcA'!CC$117=1,GB16=0),2000,0))),1000000000))</f>
        <v/>
      </c>
      <c r="RF16">
        <f>IF($B16=0,1000000000,IF(INDEX('calcA'!$D$60:$EQ$99,$B16,79)*IF($W16=1,GB16+ACQ16,GB16)=1,IF(AND($E16=2,IF($W16=1,AIF16,LQ16)=0),1000000000,IF($V16=1,INDEX('calcA'!$D$130:$EQ$169,$B16,79)+IF(AND($E16=1,LQ16=0),25,0),IF($F16&gt;0,INDEX('calcA'!CD$110:CD$114,$F16+1)+IF(AND($E16=1,LQ16=0),1000,0),MIN(TX16,20)*400+(IF('calcA'!CC$106=1,1-GA16,0)+IF('calcA'!CD$106=1,1-GC16,0))*150+74+'calcA'!CD$5*100000+IF(AND($E16=1,LQ16=0),50000,0))+IF($H16=1,INDEX('calcA'!$D$180:$EQ$219,$B16,79)*4000,0)-IF(AND('calcA'!CC$117=1,XA16&gt;0),2000,0)-IF(AND($U16=1,'calcA'!CD$117=1,GC16=0),2000,0))),1000000000))</f>
        <v/>
      </c>
      <c r="RG16">
        <f>IF($B16=0,1000000000,IF(INDEX('calcA'!$D$60:$EQ$99,$B16,80)*IF($W16=1,GC16+ACR16,GC16)=1,IF(AND($E16=2,IF($W16=1,AIG16,LR16)=0),1000000000,IF($V16=1,INDEX('calcA'!$D$130:$EQ$169,$B16,80)+IF(AND($E16=1,LR16=0),25,0),IF($F16&gt;0,INDEX('calcA'!CE$110:CE$114,$F16+1)+IF(AND($E16=1,LR16=0),1000,0),MIN(TX16,20)*400+(IF('calcA'!CD$106=1,1-GB16,0)+IF('calcA'!CE$106=1,1-GD16,0))*150+84+'calcA'!CE$5*100000+IF(AND($E16=1,LR16=0),50000,0))+IF($H16=1,INDEX('calcA'!$D$180:$EQ$219,$B16,80)*4000,0)-IF(AND('calcA'!CD$117=1,XB16&gt;0),2000,0)-IF(AND($U16=1,'calcA'!CE$117=1,GD16=0),2000,0))),1000000000))</f>
        <v/>
      </c>
      <c r="RH16">
        <f>IF($B16=0,1000000000,IF(INDEX('calcA'!$D$60:$EQ$99,$B16,81)*IF($W16=1,GD16+ACS16,GD16)=1,IF(AND($E16=2,IF($W16=1,AIH16,LS16)=0),1000000000,IF($V16=1,INDEX('calcA'!$D$130:$EQ$169,$B16,81)+IF(AND($E16=1,LS16=0),25,0),IF($F16&gt;0,INDEX('calcA'!CF$110:CF$114,$F16+1)+IF(AND($E16=1,LS16=0),1000,0),MIN(TX16,20)*400+(IF('calcA'!CE$106=1,1-GC16,0)+IF('calcA'!CF$106=1,1-GE16,0))*150+94+'calcA'!CF$5*100000+IF(AND($E16=1,LS16=0),50000,0))+IF($H16=1,INDEX('calcA'!$D$180:$EQ$219,$B16,81)*4000,0)-IF(AND('calcA'!CE$117=1,XC16&gt;0),2000,0)-IF(AND($U16=1,'calcA'!CF$117=1,GE16=0),2000,0))),1000000000))</f>
        <v/>
      </c>
      <c r="RI16">
        <f>IF($B16=0,1000000000,IF(INDEX('calcA'!$D$60:$EQ$99,$B16,82)*IF($W16=1,GE16+ACT16,GE16)=1,IF(AND($E16=2,IF($W16=1,AII16,LT16)=0),1000000000,IF($V16=1,INDEX('calcA'!$D$130:$EQ$169,$B16,82)+IF(AND($E16=1,LT16=0),25,0),IF($F16&gt;0,INDEX('calcA'!CG$110:CG$114,$F16+1)+IF(AND($E16=1,LT16=0),1000,0),MIN(TX16,20)*400+(IF('calcA'!CF$106=1,1-GD16,0)+IF('calcA'!CG$106=1,1-GF16,0))*150+104+'calcA'!CG$5*100000+IF(AND($E16=1,LT16=0),50000,0))+IF($H16=1,INDEX('calcA'!$D$180:$EQ$219,$B16,82)*4000,0)-IF(AND('calcA'!CF$117=1,XD16&gt;0),2000,0)-IF(AND($U16=1,'calcA'!CG$117=1,GF16=0),2000,0))),1000000000))</f>
        <v/>
      </c>
      <c r="RJ16">
        <f>IF($B16=0,1000000000,IF(INDEX('calcA'!$D$60:$EQ$99,$B16,83)*IF($W16=1,GF16+ACU16,GF16)=1,IF(AND($E16=2,IF($W16=1,AIJ16,LU16)=0),1000000000,IF($V16=1,INDEX('calcA'!$D$130:$EQ$169,$B16,83)+IF(AND($E16=1,LU16=0),25,0),IF($F16&gt;0,INDEX('calcA'!CH$110:CH$114,$F16+1)+IF(AND($E16=1,LU16=0),1000,0),MIN(TX16,20)*400+(IF('calcA'!CG$106=1,1-GE16,0)+IF('calcA'!CH$106=1,1-GG16,0))*150+114+'calcA'!CH$5*100000+IF(AND($E16=1,LU16=0),50000,0))+IF($H16=1,INDEX('calcA'!$D$180:$EQ$219,$B16,83)*4000,0)-IF(AND('calcA'!CG$117=1,XE16&gt;0),2000,0)-IF(AND($U16=1,'calcA'!CH$117=1,GG16=0),2000,0))),1000000000))</f>
        <v/>
      </c>
      <c r="RK16">
        <f>IF($B16=0,1000000000,IF(INDEX('calcA'!$D$60:$EQ$99,$B16,84)*IF($W16=1,GG16+ACV16,GG16)=1,IF(AND($E16=2,IF($W16=1,AIK16,LV16)=0),1000000000,IF($V16=1,INDEX('calcA'!$D$130:$EQ$169,$B16,84)+IF(AND($E16=1,LV16=0),25,0),IF($F16&gt;0,INDEX('calcA'!CI$110:CI$114,$F16+1)+IF(AND($E16=1,LV16=0),1000,0),MIN(TX16,20)*400+(IF('calcA'!CH$106=1,1-GF16,0)+IF('calcA'!CI$106=1,1-GH16,0))*150+124+'calcA'!CI$5*100000+IF(AND($E16=1,LV16=0),50000,0))+IF($H16=1,INDEX('calcA'!$D$180:$EQ$219,$B16,84)*4000,0)-IF(AND('calcA'!CH$117=1,XF16&gt;0),2000,0)-IF(AND($U16=1,'calcA'!CI$117=1,GH16=0),2000,0))),1000000000))</f>
        <v/>
      </c>
      <c r="RL16">
        <f>IF($B16=0,1000000000,IF(INDEX('calcA'!$D$60:$EQ$99,$B16,85)*IF($W16=1,GH16+ACW16,GH16)=1,IF(AND($E16=2,IF($W16=1,AIL16,LW16)=0),1000000000,IF($V16=1,INDEX('calcA'!$D$130:$EQ$169,$B16,85)+IF(AND($E16=1,LW16=0),25,0),IF($F16&gt;0,INDEX('calcA'!CJ$110:CJ$114,$F16+1)+IF(AND($E16=1,LW16=0),1000,0),MIN(TX16,20)*400+(IF('calcA'!CI$106=1,1-GG16,0)+IF('calcA'!CJ$106=1,1-GI16,0))*150+134+'calcA'!CJ$5*100000+IF(AND($E16=1,LW16=0),50000,0))+IF($H16=1,INDEX('calcA'!$D$180:$EQ$219,$B16,85)*4000,0)-IF(AND('calcA'!CI$117=1,XG16&gt;0),2000,0)-IF(AND($U16=1,'calcA'!CJ$117=1,GI16=0),2000,0))),1000000000))</f>
        <v/>
      </c>
      <c r="RM16">
        <f>IF($B16=0,1000000000,IF(INDEX('calcA'!$D$60:$EQ$99,$B16,86)*IF($W16=1,GI16+ACX16,GI16)=1,IF(AND($E16=2,IF($W16=1,AIM16,LX16)=0),1000000000,IF($V16=1,INDEX('calcA'!$D$130:$EQ$169,$B16,86)+IF(AND($E16=1,LX16=0),25,0),IF($F16&gt;0,INDEX('calcA'!CK$110:CK$114,$F16+1)+IF(AND($E16=1,LX16=0),1000,0),MIN(TX16,20)*400+(IF('calcA'!CJ$106=1,1-GH16,0)+IF('calcA'!CK$106=1,1-GJ16,0))*150+144+'calcA'!CK$5*100000+IF(AND($E16=1,LX16=0),50000,0))+IF($H16=1,INDEX('calcA'!$D$180:$EQ$219,$B16,86)*4000,0)-IF(AND('calcA'!CJ$117=1,XH16&gt;0),2000,0)-IF(AND($U16=1,'calcA'!CK$117=1,GJ16=0),2000,0))),1000000000))</f>
        <v/>
      </c>
      <c r="RN16">
        <f>IF($B16=0,1000000000,IF(INDEX('calcA'!$D$60:$EQ$99,$B16,87)*IF($W16=1,GJ16+ACY16,GJ16)=1,IF(AND($E16=2,IF($W16=1,AIN16,LY16)=0),1000000000,IF($V16=1,INDEX('calcA'!$D$130:$EQ$169,$B16,87)+IF(AND($E16=1,LY16=0),25,0),IF($F16&gt;0,INDEX('calcA'!CL$110:CL$114,$F16+1)+IF(AND($E16=1,LY16=0),1000,0),MIN(TX16,20)*400+(IF('calcA'!CK$106=1,1-GI16,0)+IF('calcA'!CL$106=1,1-GK16,0))*150+154+'calcA'!CL$5*100000+IF(AND($E16=1,LY16=0),50000,0))+IF($H16=1,INDEX('calcA'!$D$180:$EQ$219,$B16,87)*4000,0)-IF(AND('calcA'!CK$117=1,XI16&gt;0),2000,0)-IF(AND($U16=1,'calcA'!CL$117=1,GK16=0),2000,0))),1000000000))</f>
        <v/>
      </c>
      <c r="RO16">
        <f>IF($B16=0,1000000000,IF(INDEX('calcA'!$D$60:$EQ$99,$B16,88)*IF($W16=1,GK16+ACZ16,GK16)=1,IF(AND($E16=2,IF($W16=1,AIO16,LZ16)=0),1000000000,IF($V16=1,INDEX('calcA'!$D$130:$EQ$169,$B16,88)+IF(AND($E16=1,LZ16=0),25,0),IF($F16&gt;0,INDEX('calcA'!CM$110:CM$114,$F16+1)+IF(AND($E16=1,LZ16=0),1000,0),MIN(TX16,20)*400+(IF('calcA'!CL$106=1,1-GJ16,0)+IF('calcA'!CM$106=1,1-GL16,0))*150+164+'calcA'!CM$5*100000+IF(AND($E16=1,LZ16=0),50000,0))+IF($H16=1,INDEX('calcA'!$D$180:$EQ$219,$B16,88)*4000,0)-IF(AND('calcA'!CL$117=1,XJ16&gt;0),2000,0)-IF(AND($U16=1,'calcA'!CM$117=1,GL16=0),2000,0))),1000000000))</f>
        <v/>
      </c>
      <c r="RP16">
        <f>IF($B16=0,1000000000,IF(INDEX('calcA'!$D$60:$EQ$99,$B16,89)*IF($W16=1,GL16+ADA16,GL16)=1,IF(AND($E16=2,IF($W16=1,AIP16,MA16)=0),1000000000,IF($V16=1,INDEX('calcA'!$D$130:$EQ$169,$B16,89)+IF(AND($E16=1,MA16=0),25,0),IF($F16&gt;0,INDEX('calcA'!CN$110:CN$114,$F16+1)+IF(AND($E16=1,MA16=0),1000,0),MIN(TX16,20)*400+(IF('calcA'!CM$106=1,1-GK16,0)+IF('calcA'!CN$106=1,1-GM16,0))*150+174+'calcA'!CN$5*100000+IF(AND($E16=1,MA16=0),50000,0))+IF($H16=1,INDEX('calcA'!$D$180:$EQ$219,$B16,89)*4000,0)-IF(AND('calcA'!CM$117=1,XK16&gt;0),2000,0)-IF(AND($U16=1,'calcA'!CN$117=1,GM16=0),2000,0))),1000000000))</f>
        <v/>
      </c>
      <c r="RQ16">
        <f>IF($B16=0,1000000000,IF(INDEX('calcA'!$D$60:$EQ$99,$B16,90)*IF($W16=1,GM16+ADB16,GM16)=1,IF(AND($E16=2,IF($W16=1,AIQ16,MB16)=0),1000000000,IF($V16=1,INDEX('calcA'!$D$130:$EQ$169,$B16,90)+IF(AND($E16=1,MB16=0),25,0),IF($F16&gt;0,INDEX('calcA'!CO$110:CO$114,$F16+1)+IF(AND($E16=1,MB16=0),1000,0),MIN(TX16,20)*400+(IF('calcA'!CN$106=1,1-GL16,0)+IF('calcA'!CO$106=1,1-GN16,0))*150+184+'calcA'!CO$5*100000+IF(AND($E16=1,MB16=0),50000,0))+IF($H16=1,INDEX('calcA'!$D$180:$EQ$219,$B16,90)*4000,0)-IF(AND('calcA'!CN$117=1,XL16&gt;0),2000,0)-IF(AND($U16=1,'calcA'!CO$117=1,GN16=0),2000,0))),1000000000))</f>
        <v/>
      </c>
      <c r="RR16">
        <f>IF($B16=0,1000000000,IF(INDEX('calcA'!$D$60:$EQ$99,$B16,91)*IF($W16=1,GN16+ADC16,GN16)=1,IF(AND($E16=2,IF($W16=1,AIR16,MC16)=0),1000000000,IF($V16=1,INDEX('calcA'!$D$130:$EQ$169,$B16,91)+IF(AND($E16=1,MC16=0),25,0),IF($F16&gt;0,INDEX('calcA'!CP$110:CP$114,$F16+1)+IF(AND($E16=1,MC16=0),1000,0),MIN(TX16,20)*400+(IF('calcA'!CO$106=1,1-GM16,0)+IF('calcA'!CP$106=1,1-GO16,0))*150+194+'calcA'!CP$5*100000+IF(AND($E16=1,MC16=0),50000,0))+IF($H16=1,INDEX('calcA'!$D$180:$EQ$219,$B16,91)*4000,0)-IF(AND('calcA'!CO$117=1,XM16&gt;0),2000,0)-IF(AND($U16=1,'calcA'!CP$117=1,GO16=0),2000,0))),1000000000))</f>
        <v/>
      </c>
      <c r="RS16">
        <f>IF($B16=0,1000000000,IF(INDEX('calcA'!$D$60:$EQ$99,$B16,92)*IF($W16=1,GO16+ADD16,GO16)=1,IF(AND($E16=2,IF($W16=1,AIS16,MD16)=0),1000000000,IF($V16=1,INDEX('calcA'!$D$130:$EQ$169,$B16,92)+IF(AND($E16=1,MD16=0),25,0),IF($F16&gt;0,INDEX('calcA'!CQ$110:CQ$114,$F16+1)+IF(AND($E16=1,MD16=0),1000,0),MIN(TX16,20)*400+(IF('calcA'!CP$106=1,1-GN16,0)+IF('calcA'!CQ$106=1,1-GP16,0))*150+204+'calcA'!CQ$5*100000+IF(AND($E16=1,MD16=0),50000,0))+IF($H16=1,INDEX('calcA'!$D$180:$EQ$219,$B16,92)*4000,0)-IF(AND('calcA'!CP$117=1,XN16&gt;0),2000,0)-IF(AND($U16=1,'calcA'!CQ$117=1,GP16=0),2000,0))),1000000000))</f>
        <v/>
      </c>
      <c r="RT16">
        <f>IF($B16=0,1000000000,IF(INDEX('calcA'!$D$60:$EQ$99,$B16,93)*IF($W16=1,GP16+ADE16,GP16)=1,IF(AND($E16=2,IF($W16=1,AIT16,ME16)=0),1000000000,IF($V16=1,INDEX('calcA'!$D$130:$EQ$169,$B16,93)+IF(AND($E16=1,ME16=0),25,0),IF($F16&gt;0,INDEX('calcA'!CR$110:CR$114,$F16+1)+IF(AND($E16=1,ME16=0),1000,0),MIN(TX16,20)*400+(IF('calcA'!CQ$106=1,1-GO16,0)+IF('calcA'!CR$106=1,1-GQ16,0))*150+214+'calcA'!CR$5*100000+IF(AND($E16=1,ME16=0),50000,0))+IF($H16=1,INDEX('calcA'!$D$180:$EQ$219,$B16,93)*4000,0)-IF(AND('calcA'!CQ$117=1,XO16&gt;0),2000,0)-IF(AND($U16=1,'calcA'!CR$117=1,GQ16=0),2000,0))),1000000000))</f>
        <v/>
      </c>
      <c r="RU16">
        <f>IF($B16=0,1000000000,IF(INDEX('calcA'!$D$60:$EQ$99,$B16,94)*IF($W16=1,GQ16+ADF16,GQ16)=1,IF(AND($E16=2,IF($W16=1,AIU16,MF16)=0),1000000000,IF($V16=1,INDEX('calcA'!$D$130:$EQ$169,$B16,94)+IF(AND($E16=1,MF16=0),25,0),IF($F16&gt;0,INDEX('calcA'!CS$110:CS$114,$F16+1)+IF(AND($E16=1,MF16=0),1000,0),MIN(TX16,20)*400+(IF('calcA'!CR$106=1,1-GP16,0)+IF('calcA'!CS$106=1,1-GR16,0))*150+224+'calcA'!CS$5*100000+IF(AND($E16=1,MF16=0),50000,0))+IF($H16=1,INDEX('calcA'!$D$180:$EQ$219,$B16,94)*4000,0)-IF(AND('calcA'!CR$117=1,XP16&gt;0),2000,0)-IF(AND($U16=1,'calcA'!CS$117=1,GR16=0),2000,0))),1000000000))</f>
        <v/>
      </c>
      <c r="RV16">
        <f>IF($B16=0,1000000000,IF(INDEX('calcA'!$D$60:$EQ$99,$B16,95)*IF($W16=1,GR16+ADG16,GR16)=1,IF(AND($E16=2,IF($W16=1,AIV16,MG16)=0),1000000000,IF($V16=1,INDEX('calcA'!$D$130:$EQ$169,$B16,95)+IF(AND($E16=1,MG16=0),25,0),IF($F16&gt;0,INDEX('calcA'!CT$110:CT$114,$F16+1)+IF(AND($E16=1,MG16=0),1000,0),MIN(TX16,20)*400+(IF('calcA'!CS$106=1,1-GQ16,0)+IF('calcA'!CT$106=1,1-GS16,0))*150+234+'calcA'!CT$5*100000+IF(AND($E16=1,MG16=0),50000,0))+IF($H16=1,INDEX('calcA'!$D$180:$EQ$219,$B16,95)*4000,0)-IF(AND('calcA'!CS$117=1,XQ16&gt;0),2000,0)-IF(AND($U16=1,'calcA'!CT$117=1,GS16=0),2000,0))),1000000000))</f>
        <v/>
      </c>
      <c r="RW16">
        <f>IF($B16=0,1000000000,IF(INDEX('calcA'!$D$60:$EQ$99,$B16,96)*IF($W16=1,GS16+ADH16,GS16)=1,IF(AND($E16=2,IF($W16=1,AIW16,MH16)=0),1000000000,IF($V16=1,INDEX('calcA'!$D$130:$EQ$169,$B16,96)+IF(AND($E16=1,MH16=0),25,0),IF($F16&gt;0,INDEX('calcA'!CU$110:CU$114,$F16+1)+IF(AND($E16=1,MH16=0),1000,0),MIN(TX16,20)*400+(IF('calcA'!CT$106=1,1-GR16,0))*150+244+'calcA'!CU$5*100000+IF(AND($E16=1,MH16=0),50000,0))+IF($H16=1,INDEX('calcA'!$D$180:$EQ$219,$B16,96)*4000,0)-IF(AND('calcA'!CT$117=1,XR16&gt;0),2000,0))),1000000000))</f>
        <v/>
      </c>
      <c r="RX16">
        <f>IF($B16=0,1000000000,IF(INDEX('calcA'!$D$60:$EQ$99,$B16,97)*IF($W16=1,GT16+ADI16,GT16)=1,IF(AND($E16=2,IF($W16=1,AIX16,MI16)=0),1000000000,IF($V16=1,INDEX('calcA'!$D$130:$EQ$169,$B16,97)+IF(AND($E16=1,MI16=0),25,0),IF($F16&gt;0,INDEX('calcA'!CV$110:CV$114,$F16+1)+IF(AND($E16=1,MI16=0),1000,0),MIN(TY16,20)*400+(IF('calcA'!CV$106=1,1-GU16,0))*150+15+'calcA'!CV$5*100000+IF(AND($E16=1,MI16=0),50000,0))+IF($H16=1,INDEX('calcA'!$D$180:$EQ$219,$B16,97)*4000,0)-IF(AND($U16=1,'calcA'!CV$117=1,GU16=0),2000,0))),1000000000))</f>
        <v/>
      </c>
      <c r="RY16">
        <f>IF($B16=0,1000000000,IF(INDEX('calcA'!$D$60:$EQ$99,$B16,98)*IF($W16=1,GU16+ADJ16,GU16)=1,IF(AND($E16=2,IF($W16=1,AIY16,MJ16)=0),1000000000,IF($V16=1,INDEX('calcA'!$D$130:$EQ$169,$B16,98)+IF(AND($E16=1,MJ16=0),25,0),IF($F16&gt;0,INDEX('calcA'!CW$110:CW$114,$F16+1)+IF(AND($E16=1,MJ16=0),1000,0),MIN(TY16,20)*400+(IF('calcA'!CV$106=1,1-GT16,0)+IF('calcA'!CW$106=1,1-GV16,0))*150+25+'calcA'!CW$5*100000+IF(AND($E16=1,MJ16=0),50000,0))+IF($H16=1,INDEX('calcA'!$D$180:$EQ$219,$B16,98)*4000,0)-IF(AND('calcA'!CV$117=1,XT16&gt;0),2000,0)-IF(AND($U16=1,'calcA'!CW$117=1,GV16=0),2000,0))),1000000000))</f>
        <v/>
      </c>
      <c r="RZ16">
        <f>IF($B16=0,1000000000,IF(INDEX('calcA'!$D$60:$EQ$99,$B16,99)*IF($W16=1,GV16+ADK16,GV16)=1,IF(AND($E16=2,IF($W16=1,AIZ16,MK16)=0),1000000000,IF($V16=1,INDEX('calcA'!$D$130:$EQ$169,$B16,99)+IF(AND($E16=1,MK16=0),25,0),IF($F16&gt;0,INDEX('calcA'!CX$110:CX$114,$F16+1)+IF(AND($E16=1,MK16=0),1000,0),MIN(TY16,20)*400+(IF('calcA'!CW$106=1,1-GU16,0)+IF('calcA'!CX$106=1,1-GW16,0))*150+35+'calcA'!CX$5*100000+IF(AND($E16=1,MK16=0),50000,0))+IF($H16=1,INDEX('calcA'!$D$180:$EQ$219,$B16,99)*4000,0)-IF(AND('calcA'!CW$117=1,XU16&gt;0),2000,0)-IF(AND($U16=1,'calcA'!CX$117=1,GW16=0),2000,0))),1000000000))</f>
        <v/>
      </c>
      <c r="SA16">
        <f>IF($B16=0,1000000000,IF(INDEX('calcA'!$D$60:$EQ$99,$B16,100)*IF($W16=1,GW16+ADL16,GW16)=1,IF(AND($E16=2,IF($W16=1,AJA16,ML16)=0),1000000000,IF($V16=1,INDEX('calcA'!$D$130:$EQ$169,$B16,100)+IF(AND($E16=1,ML16=0),25,0),IF($F16&gt;0,INDEX('calcA'!CY$110:CY$114,$F16+1)+IF(AND($E16=1,ML16=0),1000,0),MIN(TY16,20)*400+(IF('calcA'!CX$106=1,1-GV16,0)+IF('calcA'!CY$106=1,1-GX16,0))*150+45+'calcA'!CY$5*100000+IF(AND($E16=1,ML16=0),50000,0))+IF($H16=1,INDEX('calcA'!$D$180:$EQ$219,$B16,100)*4000,0)-IF(AND('calcA'!CX$117=1,XV16&gt;0),2000,0)-IF(AND($U16=1,'calcA'!CY$117=1,GX16=0),2000,0))),1000000000))</f>
        <v/>
      </c>
      <c r="SB16">
        <f>IF($B16=0,1000000000,IF(INDEX('calcA'!$D$60:$EQ$99,$B16,101)*IF($W16=1,GX16+ADM16,GX16)=1,IF(AND($E16=2,IF($W16=1,AJB16,MM16)=0),1000000000,IF($V16=1,INDEX('calcA'!$D$130:$EQ$169,$B16,101)+IF(AND($E16=1,MM16=0),25,0),IF($F16&gt;0,INDEX('calcA'!CZ$110:CZ$114,$F16+1)+IF(AND($E16=1,MM16=0),1000,0),MIN(TY16,20)*400+(IF('calcA'!CY$106=1,1-GW16,0)+IF('calcA'!CZ$106=1,1-GY16,0))*150+55+'calcA'!CZ$5*100000+IF(AND($E16=1,MM16=0),50000,0))+IF($H16=1,INDEX('calcA'!$D$180:$EQ$219,$B16,101)*4000,0)-IF(AND('calcA'!CY$117=1,XW16&gt;0),2000,0)-IF(AND($U16=1,'calcA'!CZ$117=1,GY16=0),2000,0))),1000000000))</f>
        <v/>
      </c>
      <c r="SC16">
        <f>IF($B16=0,1000000000,IF(INDEX('calcA'!$D$60:$EQ$99,$B16,102)*IF($W16=1,GY16+ADN16,GY16)=1,IF(AND($E16=2,IF($W16=1,AJC16,MN16)=0),1000000000,IF($V16=1,INDEX('calcA'!$D$130:$EQ$169,$B16,102)+IF(AND($E16=1,MN16=0),25,0),IF($F16&gt;0,INDEX('calcA'!DA$110:DA$114,$F16+1)+IF(AND($E16=1,MN16=0),1000,0),MIN(TY16,20)*400+(IF('calcA'!CZ$106=1,1-GX16,0)+IF('calcA'!DA$106=1,1-GZ16,0))*150+65+'calcA'!DA$5*100000+IF(AND($E16=1,MN16=0),50000,0))+IF($H16=1,INDEX('calcA'!$D$180:$EQ$219,$B16,102)*4000,0)-IF(AND('calcA'!CZ$117=1,XX16&gt;0),2000,0)-IF(AND($U16=1,'calcA'!DA$117=1,GZ16=0),2000,0))),1000000000))</f>
        <v/>
      </c>
      <c r="SD16">
        <f>IF($B16=0,1000000000,IF(INDEX('calcA'!$D$60:$EQ$99,$B16,103)*IF($W16=1,GZ16+ADO16,GZ16)=1,IF(AND($E16=2,IF($W16=1,AJD16,MO16)=0),1000000000,IF($V16=1,INDEX('calcA'!$D$130:$EQ$169,$B16,103)+IF(AND($E16=1,MO16=0),25,0),IF($F16&gt;0,INDEX('calcA'!DB$110:DB$114,$F16+1)+IF(AND($E16=1,MO16=0),1000,0),MIN(TY16,20)*400+(IF('calcA'!DA$106=1,1-GY16,0)+IF('calcA'!DB$106=1,1-HA16,0))*150+75+'calcA'!DB$5*100000+IF(AND($E16=1,MO16=0),50000,0))+IF($H16=1,INDEX('calcA'!$D$180:$EQ$219,$B16,103)*4000,0)-IF(AND('calcA'!DA$117=1,XY16&gt;0),2000,0)-IF(AND($U16=1,'calcA'!DB$117=1,HA16=0),2000,0))),1000000000))</f>
        <v/>
      </c>
      <c r="SE16">
        <f>IF($B16=0,1000000000,IF(INDEX('calcA'!$D$60:$EQ$99,$B16,104)*IF($W16=1,HA16+ADP16,HA16)=1,IF(AND($E16=2,IF($W16=1,AJE16,MP16)=0),1000000000,IF($V16=1,INDEX('calcA'!$D$130:$EQ$169,$B16,104)+IF(AND($E16=1,MP16=0),25,0),IF($F16&gt;0,INDEX('calcA'!DC$110:DC$114,$F16+1)+IF(AND($E16=1,MP16=0),1000,0),MIN(TY16,20)*400+(IF('calcA'!DB$106=1,1-GZ16,0)+IF('calcA'!DC$106=1,1-HB16,0))*150+85+'calcA'!DC$5*100000+IF(AND($E16=1,MP16=0),50000,0))+IF($H16=1,INDEX('calcA'!$D$180:$EQ$219,$B16,104)*4000,0)-IF(AND('calcA'!DB$117=1,XZ16&gt;0),2000,0)-IF(AND($U16=1,'calcA'!DC$117=1,HB16=0),2000,0))),1000000000))</f>
        <v/>
      </c>
      <c r="SF16">
        <f>IF($B16=0,1000000000,IF(INDEX('calcA'!$D$60:$EQ$99,$B16,105)*IF($W16=1,HB16+ADQ16,HB16)=1,IF(AND($E16=2,IF($W16=1,AJF16,MQ16)=0),1000000000,IF($V16=1,INDEX('calcA'!$D$130:$EQ$169,$B16,105)+IF(AND($E16=1,MQ16=0),25,0),IF($F16&gt;0,INDEX('calcA'!DD$110:DD$114,$F16+1)+IF(AND($E16=1,MQ16=0),1000,0),MIN(TY16,20)*400+(IF('calcA'!DC$106=1,1-HA16,0)+IF('calcA'!DD$106=1,1-HC16,0))*150+95+'calcA'!DD$5*100000+IF(AND($E16=1,MQ16=0),50000,0))+IF($H16=1,INDEX('calcA'!$D$180:$EQ$219,$B16,105)*4000,0)-IF(AND('calcA'!DC$117=1,YA16&gt;0),2000,0)-IF(AND($U16=1,'calcA'!DD$117=1,HC16=0),2000,0))),1000000000))</f>
        <v/>
      </c>
      <c r="SG16">
        <f>IF($B16=0,1000000000,IF(INDEX('calcA'!$D$60:$EQ$99,$B16,106)*IF($W16=1,HC16+ADR16,HC16)=1,IF(AND($E16=2,IF($W16=1,AJG16,MR16)=0),1000000000,IF($V16=1,INDEX('calcA'!$D$130:$EQ$169,$B16,106)+IF(AND($E16=1,MR16=0),25,0),IF($F16&gt;0,INDEX('calcA'!DE$110:DE$114,$F16+1)+IF(AND($E16=1,MR16=0),1000,0),MIN(TY16,20)*400+(IF('calcA'!DD$106=1,1-HB16,0)+IF('calcA'!DE$106=1,1-HD16,0))*150+105+'calcA'!DE$5*100000+IF(AND($E16=1,MR16=0),50000,0))+IF($H16=1,INDEX('calcA'!$D$180:$EQ$219,$B16,106)*4000,0)-IF(AND('calcA'!DD$117=1,YB16&gt;0),2000,0)-IF(AND($U16=1,'calcA'!DE$117=1,HD16=0),2000,0))),1000000000))</f>
        <v/>
      </c>
      <c r="SH16">
        <f>IF($B16=0,1000000000,IF(INDEX('calcA'!$D$60:$EQ$99,$B16,107)*IF($W16=1,HD16+ADS16,HD16)=1,IF(AND($E16=2,IF($W16=1,AJH16,MS16)=0),1000000000,IF($V16=1,INDEX('calcA'!$D$130:$EQ$169,$B16,107)+IF(AND($E16=1,MS16=0),25,0),IF($F16&gt;0,INDEX('calcA'!DF$110:DF$114,$F16+1)+IF(AND($E16=1,MS16=0),1000,0),MIN(TY16,20)*400+(IF('calcA'!DE$106=1,1-HC16,0)+IF('calcA'!DF$106=1,1-HE16,0))*150+115+'calcA'!DF$5*100000+IF(AND($E16=1,MS16=0),50000,0))+IF($H16=1,INDEX('calcA'!$D$180:$EQ$219,$B16,107)*4000,0)-IF(AND('calcA'!DE$117=1,YC16&gt;0),2000,0)-IF(AND($U16=1,'calcA'!DF$117=1,HE16=0),2000,0))),1000000000))</f>
        <v/>
      </c>
      <c r="SI16">
        <f>IF($B16=0,1000000000,IF(INDEX('calcA'!$D$60:$EQ$99,$B16,108)*IF($W16=1,HE16+ADT16,HE16)=1,IF(AND($E16=2,IF($W16=1,AJI16,MT16)=0),1000000000,IF($V16=1,INDEX('calcA'!$D$130:$EQ$169,$B16,108)+IF(AND($E16=1,MT16=0),25,0),IF($F16&gt;0,INDEX('calcA'!DG$110:DG$114,$F16+1)+IF(AND($E16=1,MT16=0),1000,0),MIN(TY16,20)*400+(IF('calcA'!DF$106=1,1-HD16,0)+IF('calcA'!DG$106=1,1-HF16,0))*150+125+'calcA'!DG$5*100000+IF(AND($E16=1,MT16=0),50000,0))+IF($H16=1,INDEX('calcA'!$D$180:$EQ$219,$B16,108)*4000,0)-IF(AND('calcA'!DF$117=1,YD16&gt;0),2000,0)-IF(AND($U16=1,'calcA'!DG$117=1,HF16=0),2000,0))),1000000000))</f>
        <v/>
      </c>
      <c r="SJ16">
        <f>IF($B16=0,1000000000,IF(INDEX('calcA'!$D$60:$EQ$99,$B16,109)*IF($W16=1,HF16+ADU16,HF16)=1,IF(AND($E16=2,IF($W16=1,AJJ16,MU16)=0),1000000000,IF($V16=1,INDEX('calcA'!$D$130:$EQ$169,$B16,109)+IF(AND($E16=1,MU16=0),25,0),IF($F16&gt;0,INDEX('calcA'!DH$110:DH$114,$F16+1)+IF(AND($E16=1,MU16=0),1000,0),MIN(TY16,20)*400+(IF('calcA'!DG$106=1,1-HE16,0)+IF('calcA'!DH$106=1,1-HG16,0))*150+135+'calcA'!DH$5*100000+IF(AND($E16=1,MU16=0),50000,0))+IF($H16=1,INDEX('calcA'!$D$180:$EQ$219,$B16,109)*4000,0)-IF(AND('calcA'!DG$117=1,YE16&gt;0),2000,0)-IF(AND($U16=1,'calcA'!DH$117=1,HG16=0),2000,0))),1000000000))</f>
        <v/>
      </c>
      <c r="SK16">
        <f>IF($B16=0,1000000000,IF(INDEX('calcA'!$D$60:$EQ$99,$B16,110)*IF($W16=1,HG16+ADV16,HG16)=1,IF(AND($E16=2,IF($W16=1,AJK16,MV16)=0),1000000000,IF($V16=1,INDEX('calcA'!$D$130:$EQ$169,$B16,110)+IF(AND($E16=1,MV16=0),25,0),IF($F16&gt;0,INDEX('calcA'!DI$110:DI$114,$F16+1)+IF(AND($E16=1,MV16=0),1000,0),MIN(TY16,20)*400+(IF('calcA'!DH$106=1,1-HF16,0)+IF('calcA'!DI$106=1,1-HH16,0))*150+145+'calcA'!DI$5*100000+IF(AND($E16=1,MV16=0),50000,0))+IF($H16=1,INDEX('calcA'!$D$180:$EQ$219,$B16,110)*4000,0)-IF(AND('calcA'!DH$117=1,YF16&gt;0),2000,0)-IF(AND($U16=1,'calcA'!DI$117=1,HH16=0),2000,0))),1000000000))</f>
        <v/>
      </c>
      <c r="SL16">
        <f>IF($B16=0,1000000000,IF(INDEX('calcA'!$D$60:$EQ$99,$B16,111)*IF($W16=1,HH16+ADW16,HH16)=1,IF(AND($E16=2,IF($W16=1,AJL16,MW16)=0),1000000000,IF($V16=1,INDEX('calcA'!$D$130:$EQ$169,$B16,111)+IF(AND($E16=1,MW16=0),25,0),IF($F16&gt;0,INDEX('calcA'!DJ$110:DJ$114,$F16+1)+IF(AND($E16=1,MW16=0),1000,0),MIN(TY16,20)*400+(IF('calcA'!DI$106=1,1-HG16,0)+IF('calcA'!DJ$106=1,1-HI16,0))*150+155+'calcA'!DJ$5*100000+IF(AND($E16=1,MW16=0),50000,0))+IF($H16=1,INDEX('calcA'!$D$180:$EQ$219,$B16,111)*4000,0)-IF(AND('calcA'!DI$117=1,YG16&gt;0),2000,0)-IF(AND($U16=1,'calcA'!DJ$117=1,HI16=0),2000,0))),1000000000))</f>
        <v/>
      </c>
      <c r="SM16">
        <f>IF($B16=0,1000000000,IF(INDEX('calcA'!$D$60:$EQ$99,$B16,112)*IF($W16=1,HI16+ADX16,HI16)=1,IF(AND($E16=2,IF($W16=1,AJM16,MX16)=0),1000000000,IF($V16=1,INDEX('calcA'!$D$130:$EQ$169,$B16,112)+IF(AND($E16=1,MX16=0),25,0),IF($F16&gt;0,INDEX('calcA'!DK$110:DK$114,$F16+1)+IF(AND($E16=1,MX16=0),1000,0),MIN(TY16,20)*400+(IF('calcA'!DJ$106=1,1-HH16,0)+IF('calcA'!DK$106=1,1-HJ16,0))*150+165+'calcA'!DK$5*100000+IF(AND($E16=1,MX16=0),50000,0))+IF($H16=1,INDEX('calcA'!$D$180:$EQ$219,$B16,112)*4000,0)-IF(AND('calcA'!DJ$117=1,YH16&gt;0),2000,0)-IF(AND($U16=1,'calcA'!DK$117=1,HJ16=0),2000,0))),1000000000))</f>
        <v/>
      </c>
      <c r="SN16">
        <f>IF($B16=0,1000000000,IF(INDEX('calcA'!$D$60:$EQ$99,$B16,113)*IF($W16=1,HJ16+ADY16,HJ16)=1,IF(AND($E16=2,IF($W16=1,AJN16,MY16)=0),1000000000,IF($V16=1,INDEX('calcA'!$D$130:$EQ$169,$B16,113)+IF(AND($E16=1,MY16=0),25,0),IF($F16&gt;0,INDEX('calcA'!DL$110:DL$114,$F16+1)+IF(AND($E16=1,MY16=0),1000,0),MIN(TY16,20)*400+(IF('calcA'!DK$106=1,1-HI16,0)+IF('calcA'!DL$106=1,1-HK16,0))*150+175+'calcA'!DL$5*100000+IF(AND($E16=1,MY16=0),50000,0))+IF($H16=1,INDEX('calcA'!$D$180:$EQ$219,$B16,113)*4000,0)-IF(AND('calcA'!DK$117=1,YI16&gt;0),2000,0)-IF(AND($U16=1,'calcA'!DL$117=1,HK16=0),2000,0))),1000000000))</f>
        <v/>
      </c>
      <c r="SO16">
        <f>IF($B16=0,1000000000,IF(INDEX('calcA'!$D$60:$EQ$99,$B16,114)*IF($W16=1,HK16+ADZ16,HK16)=1,IF(AND($E16=2,IF($W16=1,AJO16,MZ16)=0),1000000000,IF($V16=1,INDEX('calcA'!$D$130:$EQ$169,$B16,114)+IF(AND($E16=1,MZ16=0),25,0),IF($F16&gt;0,INDEX('calcA'!DM$110:DM$114,$F16+1)+IF(AND($E16=1,MZ16=0),1000,0),MIN(TY16,20)*400+(IF('calcA'!DL$106=1,1-HJ16,0)+IF('calcA'!DM$106=1,1-HL16,0))*150+185+'calcA'!DM$5*100000+IF(AND($E16=1,MZ16=0),50000,0))+IF($H16=1,INDEX('calcA'!$D$180:$EQ$219,$B16,114)*4000,0)-IF(AND('calcA'!DL$117=1,YJ16&gt;0),2000,0)-IF(AND($U16=1,'calcA'!DM$117=1,HL16=0),2000,0))),1000000000))</f>
        <v/>
      </c>
      <c r="SP16">
        <f>IF($B16=0,1000000000,IF(INDEX('calcA'!$D$60:$EQ$99,$B16,115)*IF($W16=1,HL16+AEA16,HL16)=1,IF(AND($E16=2,IF($W16=1,AJP16,NA16)=0),1000000000,IF($V16=1,INDEX('calcA'!$D$130:$EQ$169,$B16,115)+IF(AND($E16=1,NA16=0),25,0),IF($F16&gt;0,INDEX('calcA'!DN$110:DN$114,$F16+1)+IF(AND($E16=1,NA16=0),1000,0),MIN(TY16,20)*400+(IF('calcA'!DM$106=1,1-HK16,0)+IF('calcA'!DN$106=1,1-HM16,0))*150+195+'calcA'!DN$5*100000+IF(AND($E16=1,NA16=0),50000,0))+IF($H16=1,INDEX('calcA'!$D$180:$EQ$219,$B16,115)*4000,0)-IF(AND('calcA'!DM$117=1,YK16&gt;0),2000,0)-IF(AND($U16=1,'calcA'!DN$117=1,HM16=0),2000,0))),1000000000))</f>
        <v/>
      </c>
      <c r="SQ16">
        <f>IF($B16=0,1000000000,IF(INDEX('calcA'!$D$60:$EQ$99,$B16,116)*IF($W16=1,HM16+AEB16,HM16)=1,IF(AND($E16=2,IF($W16=1,AJQ16,NB16)=0),1000000000,IF($V16=1,INDEX('calcA'!$D$130:$EQ$169,$B16,116)+IF(AND($E16=1,NB16=0),25,0),IF($F16&gt;0,INDEX('calcA'!DO$110:DO$114,$F16+1)+IF(AND($E16=1,NB16=0),1000,0),MIN(TY16,20)*400+(IF('calcA'!DN$106=1,1-HL16,0)+IF('calcA'!DO$106=1,1-HN16,0))*150+205+'calcA'!DO$5*100000+IF(AND($E16=1,NB16=0),50000,0))+IF($H16=1,INDEX('calcA'!$D$180:$EQ$219,$B16,116)*4000,0)-IF(AND('calcA'!DN$117=1,YL16&gt;0),2000,0)-IF(AND($U16=1,'calcA'!DO$117=1,HN16=0),2000,0))),1000000000))</f>
        <v/>
      </c>
      <c r="SR16">
        <f>IF($B16=0,1000000000,IF(INDEX('calcA'!$D$60:$EQ$99,$B16,117)*IF($W16=1,HN16+AEC16,HN16)=1,IF(AND($E16=2,IF($W16=1,AJR16,NC16)=0),1000000000,IF($V16=1,INDEX('calcA'!$D$130:$EQ$169,$B16,117)+IF(AND($E16=1,NC16=0),25,0),IF($F16&gt;0,INDEX('calcA'!DP$110:DP$114,$F16+1)+IF(AND($E16=1,NC16=0),1000,0),MIN(TY16,20)*400+(IF('calcA'!DO$106=1,1-HM16,0)+IF('calcA'!DP$106=1,1-HO16,0))*150+215+'calcA'!DP$5*100000+IF(AND($E16=1,NC16=0),50000,0))+IF($H16=1,INDEX('calcA'!$D$180:$EQ$219,$B16,117)*4000,0)-IF(AND('calcA'!DO$117=1,YM16&gt;0),2000,0)-IF(AND($U16=1,'calcA'!DP$117=1,HO16=0),2000,0))),1000000000))</f>
        <v/>
      </c>
      <c r="SS16">
        <f>IF($B16=0,1000000000,IF(INDEX('calcA'!$D$60:$EQ$99,$B16,118)*IF($W16=1,HO16+AED16,HO16)=1,IF(AND($E16=2,IF($W16=1,AJS16,ND16)=0),1000000000,IF($V16=1,INDEX('calcA'!$D$130:$EQ$169,$B16,118)+IF(AND($E16=1,ND16=0),25,0),IF($F16&gt;0,INDEX('calcA'!DQ$110:DQ$114,$F16+1)+IF(AND($E16=1,ND16=0),1000,0),MIN(TY16,20)*400+(IF('calcA'!DP$106=1,1-HN16,0)+IF('calcA'!DQ$106=1,1-HP16,0))*150+225+'calcA'!DQ$5*100000+IF(AND($E16=1,ND16=0),50000,0))+IF($H16=1,INDEX('calcA'!$D$180:$EQ$219,$B16,118)*4000,0)-IF(AND('calcA'!DP$117=1,YN16&gt;0),2000,0)-IF(AND($U16=1,'calcA'!DQ$117=1,HP16=0),2000,0))),1000000000))</f>
        <v/>
      </c>
      <c r="ST16">
        <f>IF($B16=0,1000000000,IF(INDEX('calcA'!$D$60:$EQ$99,$B16,119)*IF($W16=1,HP16+AEE16,HP16)=1,IF(AND($E16=2,IF($W16=1,AJT16,NE16)=0),1000000000,IF($V16=1,INDEX('calcA'!$D$130:$EQ$169,$B16,119)+IF(AND($E16=1,NE16=0),25,0),IF($F16&gt;0,INDEX('calcA'!DR$110:DR$114,$F16+1)+IF(AND($E16=1,NE16=0),1000,0),MIN(TY16,20)*400+(IF('calcA'!DQ$106=1,1-HO16,0)+IF('calcA'!DR$106=1,1-HQ16,0))*150+235+'calcA'!DR$5*100000+IF(AND($E16=1,NE16=0),50000,0))+IF($H16=1,INDEX('calcA'!$D$180:$EQ$219,$B16,119)*4000,0)-IF(AND('calcA'!DQ$117=1,YO16&gt;0),2000,0)-IF(AND($U16=1,'calcA'!DR$117=1,HQ16=0),2000,0))),1000000000))</f>
        <v/>
      </c>
      <c r="SU16">
        <f>IF($B16=0,1000000000,IF(INDEX('calcA'!$D$60:$EQ$99,$B16,120)*IF($W16=1,HQ16+AEF16,HQ16)=1,IF(AND($E16=2,IF($W16=1,AJU16,NF16)=0),1000000000,IF($V16=1,INDEX('calcA'!$D$130:$EQ$169,$B16,120)+IF(AND($E16=1,NF16=0),25,0),IF($F16&gt;0,INDEX('calcA'!DS$110:DS$114,$F16+1)+IF(AND($E16=1,NF16=0),1000,0),MIN(TY16,20)*400+(IF('calcA'!DR$106=1,1-HP16,0))*150+245+'calcA'!DS$5*100000+IF(AND($E16=1,NF16=0),50000,0))+IF($H16=1,INDEX('calcA'!$D$180:$EQ$219,$B16,120)*4000,0)-IF(AND('calcA'!DR$117=1,YP16&gt;0),2000,0))),1000000000))</f>
        <v/>
      </c>
      <c r="SV16">
        <f>IF($B16=0,1000000000,IF(INDEX('calcA'!$D$60:$EQ$99,$B16,121)*IF($W16=1,HR16+AEG16,HR16)=1,IF(AND($E16=2,IF($W16=1,AJV16,NG16)=0),1000000000,IF($V16=1,INDEX('calcA'!$D$130:$EQ$169,$B16,121)+IF(AND($E16=1,NG16=0),25,0),IF($F16&gt;0,INDEX('calcA'!DT$110:DT$114,$F16+1)+IF(AND($E16=1,NG16=0),1000,0),MIN(TZ16,20)*400+(IF('calcA'!DT$106=1,1-HS16,0))*150+16+'calcA'!DT$5*100000+IF(AND($E16=1,NG16=0),50000,0))+IF($H16=1,INDEX('calcA'!$D$180:$EQ$219,$B16,121)*4000,0)-IF(AND($U16=1,'calcA'!DT$117=1,HS16=0),2000,0))),1000000000))</f>
        <v/>
      </c>
      <c r="SW16">
        <f>IF($B16=0,1000000000,IF(INDEX('calcA'!$D$60:$EQ$99,$B16,122)*IF($W16=1,HS16+AEH16,HS16)=1,IF(AND($E16=2,IF($W16=1,AJW16,NH16)=0),1000000000,IF($V16=1,INDEX('calcA'!$D$130:$EQ$169,$B16,122)+IF(AND($E16=1,NH16=0),25,0),IF($F16&gt;0,INDEX('calcA'!DU$110:DU$114,$F16+1)+IF(AND($E16=1,NH16=0),1000,0),MIN(TZ16,20)*400+(IF('calcA'!DT$106=1,1-HR16,0)+IF('calcA'!DU$106=1,1-HT16,0))*150+26+'calcA'!DU$5*100000+IF(AND($E16=1,NH16=0),50000,0))+IF($H16=1,INDEX('calcA'!$D$180:$EQ$219,$B16,122)*4000,0)-IF(AND('calcA'!DT$117=1,YR16&gt;0),2000,0)-IF(AND($U16=1,'calcA'!DU$117=1,HT16=0),2000,0))),1000000000))</f>
        <v/>
      </c>
      <c r="SX16">
        <f>IF($B16=0,1000000000,IF(INDEX('calcA'!$D$60:$EQ$99,$B16,123)*IF($W16=1,HT16+AEI16,HT16)=1,IF(AND($E16=2,IF($W16=1,AJX16,NI16)=0),1000000000,IF($V16=1,INDEX('calcA'!$D$130:$EQ$169,$B16,123)+IF(AND($E16=1,NI16=0),25,0),IF($F16&gt;0,INDEX('calcA'!DV$110:DV$114,$F16+1)+IF(AND($E16=1,NI16=0),1000,0),MIN(TZ16,20)*400+(IF('calcA'!DU$106=1,1-HS16,0)+IF('calcA'!DV$106=1,1-HU16,0))*150+36+'calcA'!DV$5*100000+IF(AND($E16=1,NI16=0),50000,0))+IF($H16=1,INDEX('calcA'!$D$180:$EQ$219,$B16,123)*4000,0)-IF(AND('calcA'!DU$117=1,YS16&gt;0),2000,0)-IF(AND($U16=1,'calcA'!DV$117=1,HU16=0),2000,0))),1000000000))</f>
        <v/>
      </c>
      <c r="SY16">
        <f>IF($B16=0,1000000000,IF(INDEX('calcA'!$D$60:$EQ$99,$B16,124)*IF($W16=1,HU16+AEJ16,HU16)=1,IF(AND($E16=2,IF($W16=1,AJY16,NJ16)=0),1000000000,IF($V16=1,INDEX('calcA'!$D$130:$EQ$169,$B16,124)+IF(AND($E16=1,NJ16=0),25,0),IF($F16&gt;0,INDEX('calcA'!DW$110:DW$114,$F16+1)+IF(AND($E16=1,NJ16=0),1000,0),MIN(TZ16,20)*400+(IF('calcA'!DV$106=1,1-HT16,0)+IF('calcA'!DW$106=1,1-HV16,0))*150+46+'calcA'!DW$5*100000+IF(AND($E16=1,NJ16=0),50000,0))+IF($H16=1,INDEX('calcA'!$D$180:$EQ$219,$B16,124)*4000,0)-IF(AND('calcA'!DV$117=1,YT16&gt;0),2000,0)-IF(AND($U16=1,'calcA'!DW$117=1,HV16=0),2000,0))),1000000000))</f>
        <v/>
      </c>
      <c r="SZ16">
        <f>IF($B16=0,1000000000,IF(INDEX('calcA'!$D$60:$EQ$99,$B16,125)*IF($W16=1,HV16+AEK16,HV16)=1,IF(AND($E16=2,IF($W16=1,AJZ16,NK16)=0),1000000000,IF($V16=1,INDEX('calcA'!$D$130:$EQ$169,$B16,125)+IF(AND($E16=1,NK16=0),25,0),IF($F16&gt;0,INDEX('calcA'!DX$110:DX$114,$F16+1)+IF(AND($E16=1,NK16=0),1000,0),MIN(TZ16,20)*400+(IF('calcA'!DW$106=1,1-HU16,0)+IF('calcA'!DX$106=1,1-HW16,0))*150+56+'calcA'!DX$5*100000+IF(AND($E16=1,NK16=0),50000,0))+IF($H16=1,INDEX('calcA'!$D$180:$EQ$219,$B16,125)*4000,0)-IF(AND('calcA'!DW$117=1,YU16&gt;0),2000,0)-IF(AND($U16=1,'calcA'!DX$117=1,HW16=0),2000,0))),1000000000))</f>
        <v/>
      </c>
      <c r="TA16">
        <f>IF($B16=0,1000000000,IF(INDEX('calcA'!$D$60:$EQ$99,$B16,126)*IF($W16=1,HW16+AEL16,HW16)=1,IF(AND($E16=2,IF($W16=1,AKA16,NL16)=0),1000000000,IF($V16=1,INDEX('calcA'!$D$130:$EQ$169,$B16,126)+IF(AND($E16=1,NL16=0),25,0),IF($F16&gt;0,INDEX('calcA'!DY$110:DY$114,$F16+1)+IF(AND($E16=1,NL16=0),1000,0),MIN(TZ16,20)*400+(IF('calcA'!DX$106=1,1-HV16,0)+IF('calcA'!DY$106=1,1-HX16,0))*150+66+'calcA'!DY$5*100000+IF(AND($E16=1,NL16=0),50000,0))+IF($H16=1,INDEX('calcA'!$D$180:$EQ$219,$B16,126)*4000,0)-IF(AND('calcA'!DX$117=1,YV16&gt;0),2000,0)-IF(AND($U16=1,'calcA'!DY$117=1,HX16=0),2000,0))),1000000000))</f>
        <v/>
      </c>
      <c r="TB16">
        <f>IF($B16=0,1000000000,IF(INDEX('calcA'!$D$60:$EQ$99,$B16,127)*IF($W16=1,HX16+AEM16,HX16)=1,IF(AND($E16=2,IF($W16=1,AKB16,NM16)=0),1000000000,IF($V16=1,INDEX('calcA'!$D$130:$EQ$169,$B16,127)+IF(AND($E16=1,NM16=0),25,0),IF($F16&gt;0,INDEX('calcA'!DZ$110:DZ$114,$F16+1)+IF(AND($E16=1,NM16=0),1000,0),MIN(TZ16,20)*400+(IF('calcA'!DY$106=1,1-HW16,0)+IF('calcA'!DZ$106=1,1-HY16,0))*150+76+'calcA'!DZ$5*100000+IF(AND($E16=1,NM16=0),50000,0))+IF($H16=1,INDEX('calcA'!$D$180:$EQ$219,$B16,127)*4000,0)-IF(AND('calcA'!DY$117=1,YW16&gt;0),2000,0)-IF(AND($U16=1,'calcA'!DZ$117=1,HY16=0),2000,0))),1000000000))</f>
        <v/>
      </c>
      <c r="TC16">
        <f>IF($B16=0,1000000000,IF(INDEX('calcA'!$D$60:$EQ$99,$B16,128)*IF($W16=1,HY16+AEN16,HY16)=1,IF(AND($E16=2,IF($W16=1,AKC16,NN16)=0),1000000000,IF($V16=1,INDEX('calcA'!$D$130:$EQ$169,$B16,128)+IF(AND($E16=1,NN16=0),25,0),IF($F16&gt;0,INDEX('calcA'!EA$110:EA$114,$F16+1)+IF(AND($E16=1,NN16=0),1000,0),MIN(TZ16,20)*400+(IF('calcA'!DZ$106=1,1-HX16,0)+IF('calcA'!EA$106=1,1-HZ16,0))*150+86+'calcA'!EA$5*100000+IF(AND($E16=1,NN16=0),50000,0))+IF($H16=1,INDEX('calcA'!$D$180:$EQ$219,$B16,128)*4000,0)-IF(AND('calcA'!DZ$117=1,YX16&gt;0),2000,0)-IF(AND($U16=1,'calcA'!EA$117=1,HZ16=0),2000,0))),1000000000))</f>
        <v/>
      </c>
      <c r="TD16">
        <f>IF($B16=0,1000000000,IF(INDEX('calcA'!$D$60:$EQ$99,$B16,129)*IF($W16=1,HZ16+AEO16,HZ16)=1,IF(AND($E16=2,IF($W16=1,AKD16,NO16)=0),1000000000,IF($V16=1,INDEX('calcA'!$D$130:$EQ$169,$B16,129)+IF(AND($E16=1,NO16=0),25,0),IF($F16&gt;0,INDEX('calcA'!EB$110:EB$114,$F16+1)+IF(AND($E16=1,NO16=0),1000,0),MIN(TZ16,20)*400+(IF('calcA'!EA$106=1,1-HY16,0)+IF('calcA'!EB$106=1,1-IA16,0))*150+96+'calcA'!EB$5*100000+IF(AND($E16=1,NO16=0),50000,0))+IF($H16=1,INDEX('calcA'!$D$180:$EQ$219,$B16,129)*4000,0)-IF(AND('calcA'!EA$117=1,YY16&gt;0),2000,0)-IF(AND($U16=1,'calcA'!EB$117=1,IA16=0),2000,0))),1000000000))</f>
        <v/>
      </c>
      <c r="TE16">
        <f>IF($B16=0,1000000000,IF(INDEX('calcA'!$D$60:$EQ$99,$B16,130)*IF($W16=1,IA16+AEP16,IA16)=1,IF(AND($E16=2,IF($W16=1,AKE16,NP16)=0),1000000000,IF($V16=1,INDEX('calcA'!$D$130:$EQ$169,$B16,130)+IF(AND($E16=1,NP16=0),25,0),IF($F16&gt;0,INDEX('calcA'!EC$110:EC$114,$F16+1)+IF(AND($E16=1,NP16=0),1000,0),MIN(TZ16,20)*400+(IF('calcA'!EB$106=1,1-HZ16,0)+IF('calcA'!EC$106=1,1-IB16,0))*150+106+'calcA'!EC$5*100000+IF(AND($E16=1,NP16=0),50000,0))+IF($H16=1,INDEX('calcA'!$D$180:$EQ$219,$B16,130)*4000,0)-IF(AND('calcA'!EB$117=1,YZ16&gt;0),2000,0)-IF(AND($U16=1,'calcA'!EC$117=1,IB16=0),2000,0))),1000000000))</f>
        <v/>
      </c>
      <c r="TF16">
        <f>IF($B16=0,1000000000,IF(INDEX('calcA'!$D$60:$EQ$99,$B16,131)*IF($W16=1,IB16+AEQ16,IB16)=1,IF(AND($E16=2,IF($W16=1,AKF16,NQ16)=0),1000000000,IF($V16=1,INDEX('calcA'!$D$130:$EQ$169,$B16,131)+IF(AND($E16=1,NQ16=0),25,0),IF($F16&gt;0,INDEX('calcA'!ED$110:ED$114,$F16+1)+IF(AND($E16=1,NQ16=0),1000,0),MIN(TZ16,20)*400+(IF('calcA'!EC$106=1,1-IA16,0)+IF('calcA'!ED$106=1,1-IC16,0))*150+116+'calcA'!ED$5*100000+IF(AND($E16=1,NQ16=0),50000,0))+IF($H16=1,INDEX('calcA'!$D$180:$EQ$219,$B16,131)*4000,0)-IF(AND('calcA'!EC$117=1,ZA16&gt;0),2000,0)-IF(AND($U16=1,'calcA'!ED$117=1,IC16=0),2000,0))),1000000000))</f>
        <v/>
      </c>
      <c r="TG16">
        <f>IF($B16=0,1000000000,IF(INDEX('calcA'!$D$60:$EQ$99,$B16,132)*IF($W16=1,IC16+AER16,IC16)=1,IF(AND($E16=2,IF($W16=1,AKG16,NR16)=0),1000000000,IF($V16=1,INDEX('calcA'!$D$130:$EQ$169,$B16,132)+IF(AND($E16=1,NR16=0),25,0),IF($F16&gt;0,INDEX('calcA'!EE$110:EE$114,$F16+1)+IF(AND($E16=1,NR16=0),1000,0),MIN(TZ16,20)*400+(IF('calcA'!ED$106=1,1-IB16,0)+IF('calcA'!EE$106=1,1-ID16,0))*150+126+'calcA'!EE$5*100000+IF(AND($E16=1,NR16=0),50000,0))+IF($H16=1,INDEX('calcA'!$D$180:$EQ$219,$B16,132)*4000,0)-IF(AND('calcA'!ED$117=1,ZB16&gt;0),2000,0)-IF(AND($U16=1,'calcA'!EE$117=1,ID16=0),2000,0))),1000000000))</f>
        <v/>
      </c>
      <c r="TH16">
        <f>IF($B16=0,1000000000,IF(INDEX('calcA'!$D$60:$EQ$99,$B16,133)*IF($W16=1,ID16+AES16,ID16)=1,IF(AND($E16=2,IF($W16=1,AKH16,NS16)=0),1000000000,IF($V16=1,INDEX('calcA'!$D$130:$EQ$169,$B16,133)+IF(AND($E16=1,NS16=0),25,0),IF($F16&gt;0,INDEX('calcA'!EF$110:EF$114,$F16+1)+IF(AND($E16=1,NS16=0),1000,0),MIN(TZ16,20)*400+(IF('calcA'!EE$106=1,1-IC16,0)+IF('calcA'!EF$106=1,1-IE16,0))*150+136+'calcA'!EF$5*100000+IF(AND($E16=1,NS16=0),50000,0))+IF($H16=1,INDEX('calcA'!$D$180:$EQ$219,$B16,133)*4000,0)-IF(AND('calcA'!EE$117=1,ZC16&gt;0),2000,0)-IF(AND($U16=1,'calcA'!EF$117=1,IE16=0),2000,0))),1000000000))</f>
        <v/>
      </c>
      <c r="TI16">
        <f>IF($B16=0,1000000000,IF(INDEX('calcA'!$D$60:$EQ$99,$B16,134)*IF($W16=1,IE16+AET16,IE16)=1,IF(AND($E16=2,IF($W16=1,AKI16,NT16)=0),1000000000,IF($V16=1,INDEX('calcA'!$D$130:$EQ$169,$B16,134)+IF(AND($E16=1,NT16=0),25,0),IF($F16&gt;0,INDEX('calcA'!EG$110:EG$114,$F16+1)+IF(AND($E16=1,NT16=0),1000,0),MIN(TZ16,20)*400+(IF('calcA'!EF$106=1,1-ID16,0)+IF('calcA'!EG$106=1,1-IF16,0))*150+146+'calcA'!EG$5*100000+IF(AND($E16=1,NT16=0),50000,0))+IF($H16=1,INDEX('calcA'!$D$180:$EQ$219,$B16,134)*4000,0)-IF(AND('calcA'!EF$117=1,ZD16&gt;0),2000,0)-IF(AND($U16=1,'calcA'!EG$117=1,IF16=0),2000,0))),1000000000))</f>
        <v/>
      </c>
      <c r="TJ16">
        <f>IF($B16=0,1000000000,IF(INDEX('calcA'!$D$60:$EQ$99,$B16,135)*IF($W16=1,IF16+AEU16,IF16)=1,IF(AND($E16=2,IF($W16=1,AKJ16,NU16)=0),1000000000,IF($V16=1,INDEX('calcA'!$D$130:$EQ$169,$B16,135)+IF(AND($E16=1,NU16=0),25,0),IF($F16&gt;0,INDEX('calcA'!EH$110:EH$114,$F16+1)+IF(AND($E16=1,NU16=0),1000,0),MIN(TZ16,20)*400+(IF('calcA'!EG$106=1,1-IE16,0)+IF('calcA'!EH$106=1,1-IG16,0))*150+156+'calcA'!EH$5*100000+IF(AND($E16=1,NU16=0),50000,0))+IF($H16=1,INDEX('calcA'!$D$180:$EQ$219,$B16,135)*4000,0)-IF(AND('calcA'!EG$117=1,ZE16&gt;0),2000,0)-IF(AND($U16=1,'calcA'!EH$117=1,IG16=0),2000,0))),1000000000))</f>
        <v/>
      </c>
      <c r="TK16">
        <f>IF($B16=0,1000000000,IF(INDEX('calcA'!$D$60:$EQ$99,$B16,136)*IF($W16=1,IG16+AEV16,IG16)=1,IF(AND($E16=2,IF($W16=1,AKK16,NV16)=0),1000000000,IF($V16=1,INDEX('calcA'!$D$130:$EQ$169,$B16,136)+IF(AND($E16=1,NV16=0),25,0),IF($F16&gt;0,INDEX('calcA'!EI$110:EI$114,$F16+1)+IF(AND($E16=1,NV16=0),1000,0),MIN(TZ16,20)*400+(IF('calcA'!EH$106=1,1-IF16,0)+IF('calcA'!EI$106=1,1-IH16,0))*150+166+'calcA'!EI$5*100000+IF(AND($E16=1,NV16=0),50000,0))+IF($H16=1,INDEX('calcA'!$D$180:$EQ$219,$B16,136)*4000,0)-IF(AND('calcA'!EH$117=1,ZF16&gt;0),2000,0)-IF(AND($U16=1,'calcA'!EI$117=1,IH16=0),2000,0))),1000000000))</f>
        <v/>
      </c>
      <c r="TL16">
        <f>IF($B16=0,1000000000,IF(INDEX('calcA'!$D$60:$EQ$99,$B16,137)*IF($W16=1,IH16+AEW16,IH16)=1,IF(AND($E16=2,IF($W16=1,AKL16,NW16)=0),1000000000,IF($V16=1,INDEX('calcA'!$D$130:$EQ$169,$B16,137)+IF(AND($E16=1,NW16=0),25,0),IF($F16&gt;0,INDEX('calcA'!EJ$110:EJ$114,$F16+1)+IF(AND($E16=1,NW16=0),1000,0),MIN(TZ16,20)*400+(IF('calcA'!EI$106=1,1-IG16,0)+IF('calcA'!EJ$106=1,1-II16,0))*150+176+'calcA'!EJ$5*100000+IF(AND($E16=1,NW16=0),50000,0))+IF($H16=1,INDEX('calcA'!$D$180:$EQ$219,$B16,137)*4000,0)-IF(AND('calcA'!EI$117=1,ZG16&gt;0),2000,0)-IF(AND($U16=1,'calcA'!EJ$117=1,II16=0),2000,0))),1000000000))</f>
        <v/>
      </c>
      <c r="TM16">
        <f>IF($B16=0,1000000000,IF(INDEX('calcA'!$D$60:$EQ$99,$B16,138)*IF($W16=1,II16+AEX16,II16)=1,IF(AND($E16=2,IF($W16=1,AKM16,NX16)=0),1000000000,IF($V16=1,INDEX('calcA'!$D$130:$EQ$169,$B16,138)+IF(AND($E16=1,NX16=0),25,0),IF($F16&gt;0,INDEX('calcA'!EK$110:EK$114,$F16+1)+IF(AND($E16=1,NX16=0),1000,0),MIN(TZ16,20)*400+(IF('calcA'!EJ$106=1,1-IH16,0)+IF('calcA'!EK$106=1,1-IJ16,0))*150+186+'calcA'!EK$5*100000+IF(AND($E16=1,NX16=0),50000,0))+IF($H16=1,INDEX('calcA'!$D$180:$EQ$219,$B16,138)*4000,0)-IF(AND('calcA'!EJ$117=1,ZH16&gt;0),2000,0)-IF(AND($U16=1,'calcA'!EK$117=1,IJ16=0),2000,0))),1000000000))</f>
        <v/>
      </c>
      <c r="TN16">
        <f>IF($B16=0,1000000000,IF(INDEX('calcA'!$D$60:$EQ$99,$B16,139)*IF($W16=1,IJ16+AEY16,IJ16)=1,IF(AND($E16=2,IF($W16=1,AKN16,NY16)=0),1000000000,IF($V16=1,INDEX('calcA'!$D$130:$EQ$169,$B16,139)+IF(AND($E16=1,NY16=0),25,0),IF($F16&gt;0,INDEX('calcA'!EL$110:EL$114,$F16+1)+IF(AND($E16=1,NY16=0),1000,0),MIN(TZ16,20)*400+(IF('calcA'!EK$106=1,1-II16,0)+IF('calcA'!EL$106=1,1-IK16,0))*150+196+'calcA'!EL$5*100000+IF(AND($E16=1,NY16=0),50000,0))+IF($H16=1,INDEX('calcA'!$D$180:$EQ$219,$B16,139)*4000,0)-IF(AND('calcA'!EK$117=1,ZI16&gt;0),2000,0)-IF(AND($U16=1,'calcA'!EL$117=1,IK16=0),2000,0))),1000000000))</f>
        <v/>
      </c>
      <c r="TO16">
        <f>IF($B16=0,1000000000,IF(INDEX('calcA'!$D$60:$EQ$99,$B16,140)*IF($W16=1,IK16+AEZ16,IK16)=1,IF(AND($E16=2,IF($W16=1,AKO16,NZ16)=0),1000000000,IF($V16=1,INDEX('calcA'!$D$130:$EQ$169,$B16,140)+IF(AND($E16=1,NZ16=0),25,0),IF($F16&gt;0,INDEX('calcA'!EM$110:EM$114,$F16+1)+IF(AND($E16=1,NZ16=0),1000,0),MIN(TZ16,20)*400+(IF('calcA'!EL$106=1,1-IJ16,0)+IF('calcA'!EM$106=1,1-IL16,0))*150+206+'calcA'!EM$5*100000+IF(AND($E16=1,NZ16=0),50000,0))+IF($H16=1,INDEX('calcA'!$D$180:$EQ$219,$B16,140)*4000,0)-IF(AND('calcA'!EL$117=1,ZJ16&gt;0),2000,0)-IF(AND($U16=1,'calcA'!EM$117=1,IL16=0),2000,0))),1000000000))</f>
        <v/>
      </c>
      <c r="TP16">
        <f>IF($B16=0,1000000000,IF(INDEX('calcA'!$D$60:$EQ$99,$B16,141)*IF($W16=1,IL16+AFA16,IL16)=1,IF(AND($E16=2,IF($W16=1,AKP16,OA16)=0),1000000000,IF($V16=1,INDEX('calcA'!$D$130:$EQ$169,$B16,141)+IF(AND($E16=1,OA16=0),25,0),IF($F16&gt;0,INDEX('calcA'!EN$110:EN$114,$F16+1)+IF(AND($E16=1,OA16=0),1000,0),MIN(TZ16,20)*400+(IF('calcA'!EM$106=1,1-IK16,0)+IF('calcA'!EN$106=1,1-IM16,0))*150+216+'calcA'!EN$5*100000+IF(AND($E16=1,OA16=0),50000,0))+IF($H16=1,INDEX('calcA'!$D$180:$EQ$219,$B16,141)*4000,0)-IF(AND('calcA'!EM$117=1,ZK16&gt;0),2000,0)-IF(AND($U16=1,'calcA'!EN$117=1,IM16=0),2000,0))),1000000000))</f>
        <v/>
      </c>
      <c r="TQ16">
        <f>IF($B16=0,1000000000,IF(INDEX('calcA'!$D$60:$EQ$99,$B16,142)*IF($W16=1,IM16+AFB16,IM16)=1,IF(AND($E16=2,IF($W16=1,AKQ16,OB16)=0),1000000000,IF($V16=1,INDEX('calcA'!$D$130:$EQ$169,$B16,142)+IF(AND($E16=1,OB16=0),25,0),IF($F16&gt;0,INDEX('calcA'!EO$110:EO$114,$F16+1)+IF(AND($E16=1,OB16=0),1000,0),MIN(TZ16,20)*400+(IF('calcA'!EN$106=1,1-IL16,0)+IF('calcA'!EO$106=1,1-IN16,0))*150+226+'calcA'!EO$5*100000+IF(AND($E16=1,OB16=0),50000,0))+IF($H16=1,INDEX('calcA'!$D$180:$EQ$219,$B16,142)*4000,0)-IF(AND('calcA'!EN$117=1,ZL16&gt;0),2000,0)-IF(AND($U16=1,'calcA'!EO$117=1,IN16=0),2000,0))),1000000000))</f>
        <v/>
      </c>
      <c r="TR16">
        <f>IF($B16=0,1000000000,IF(INDEX('calcA'!$D$60:$EQ$99,$B16,143)*IF($W16=1,IN16+AFC16,IN16)=1,IF(AND($E16=2,IF($W16=1,AKR16,OC16)=0),1000000000,IF($V16=1,INDEX('calcA'!$D$130:$EQ$169,$B16,143)+IF(AND($E16=1,OC16=0),25,0),IF($F16&gt;0,INDEX('calcA'!EP$110:EP$114,$F16+1)+IF(AND($E16=1,OC16=0),1000,0),MIN(TZ16,20)*400+(IF('calcA'!EO$106=1,1-IM16,0)+IF('calcA'!EP$106=1,1-IO16,0))*150+236+'calcA'!EP$5*100000+IF(AND($E16=1,OC16=0),50000,0))+IF($H16=1,INDEX('calcA'!$D$180:$EQ$219,$B16,143)*4000,0)-IF(AND('calcA'!EO$117=1,ZM16&gt;0),2000,0)-IF(AND($U16=1,'calcA'!EP$117=1,IO16=0),2000,0))),1000000000))</f>
        <v/>
      </c>
      <c r="TS16">
        <f>IF($B16=0,1000000000,IF(INDEX('calcA'!$D$60:$EQ$99,$B16,144)*IF($W16=1,IO16+AFD16,IO16)=1,IF(AND($E16=2,IF($W16=1,AKS16,OD16)=0),1000000000,IF($V16=1,INDEX('calcA'!$D$130:$EQ$169,$B16,144)+IF(AND($E16=1,OD16=0),25,0),IF($F16&gt;0,INDEX('calcA'!EQ$110:EQ$114,$F16+1)+IF(AND($E16=1,OD16=0),1000,0),MIN(TZ16,20)*400+(IF('calcA'!EP$106=1,1-IN16,0))*150+246+'calcA'!EQ$5*100000+IF(AND($E16=1,OD16=0),50000,0))+IF($H16=1,INDEX('calcA'!$D$180:$EQ$219,$B16,144)*4000,0)-IF(AND('calcA'!EP$117=1,ZN16&gt;0),2000,0))),1000000000))</f>
        <v/>
      </c>
      <c r="TU16">
        <f>TU15+IF($C15&gt;0,IF(INDEX('calcA'!$D$2:$EQ$2,$C15)=1,1,0),0)</f>
        <v/>
      </c>
      <c r="TV16">
        <f>TV15+IF($C15&gt;0,IF(INDEX('calcA'!$D$2:$EQ$2,$C15)=2,1,0),0)</f>
        <v/>
      </c>
      <c r="TW16">
        <f>TW15+IF($C15&gt;0,IF(INDEX('calcA'!$D$2:$EQ$2,$C15)=3,1,0),0)</f>
        <v/>
      </c>
      <c r="TX16">
        <f>TX15+IF($C15&gt;0,IF(INDEX('calcA'!$D$2:$EQ$2,$C15)=4,1,0),0)</f>
        <v/>
      </c>
      <c r="TY16">
        <f>TY15+IF($C15&gt;0,IF(INDEX('calcA'!$D$2:$EQ$2,$C15)=5,1,0),0)</f>
        <v/>
      </c>
      <c r="TZ16">
        <f>TZ15+IF($C15&gt;0,IF(INDEX('calcA'!$D$2:$EQ$2,$C15)=6,1,0),0)</f>
        <v/>
      </c>
      <c r="UB16">
        <f>UB15+IF(AND($C15=1,$U15=1),1,0)</f>
        <v/>
      </c>
      <c r="UC16">
        <f>UC15+IF(AND($C15=2,$U15=1),1,0)</f>
        <v/>
      </c>
      <c r="UD16">
        <f>UD15+IF(AND($C15=3,$U15=1),1,0)</f>
        <v/>
      </c>
      <c r="UE16">
        <f>UE15+IF(AND($C15=4,$U15=1),1,0)</f>
        <v/>
      </c>
      <c r="UF16">
        <f>UF15+IF(AND($C15=5,$U15=1),1,0)</f>
        <v/>
      </c>
      <c r="UG16">
        <f>UG15+IF(AND($C15=6,$U15=1),1,0)</f>
        <v/>
      </c>
      <c r="UH16">
        <f>UH15+IF(AND($C15=7,$U15=1),1,0)</f>
        <v/>
      </c>
      <c r="UI16">
        <f>UI15+IF(AND($C15=8,$U15=1),1,0)</f>
        <v/>
      </c>
      <c r="UJ16">
        <f>UJ15+IF(AND($C15=9,$U15=1),1,0)</f>
        <v/>
      </c>
      <c r="UK16">
        <f>UK15+IF(AND($C15=10,$U15=1),1,0)</f>
        <v/>
      </c>
      <c r="UL16">
        <f>UL15+IF(AND($C15=11,$U15=1),1,0)</f>
        <v/>
      </c>
      <c r="UM16">
        <f>UM15+IF(AND($C15=12,$U15=1),1,0)</f>
        <v/>
      </c>
      <c r="UN16">
        <f>UN15+IF(AND($C15=13,$U15=1),1,0)</f>
        <v/>
      </c>
      <c r="UO16">
        <f>UO15+IF(AND($C15=14,$U15=1),1,0)</f>
        <v/>
      </c>
      <c r="UP16">
        <f>UP15+IF(AND($C15=15,$U15=1),1,0)</f>
        <v/>
      </c>
      <c r="UQ16">
        <f>UQ15+IF(AND($C15=16,$U15=1),1,0)</f>
        <v/>
      </c>
      <c r="UR16">
        <f>UR15+IF(AND($C15=17,$U15=1),1,0)</f>
        <v/>
      </c>
      <c r="US16">
        <f>US15+IF(AND($C15=18,$U15=1),1,0)</f>
        <v/>
      </c>
      <c r="UT16">
        <f>UT15+IF(AND($C15=19,$U15=1),1,0)</f>
        <v/>
      </c>
      <c r="UU16">
        <f>UU15+IF(AND($C15=20,$U15=1),1,0)</f>
        <v/>
      </c>
      <c r="UV16">
        <f>UV15+IF(AND($C15=21,$U15=1),1,0)</f>
        <v/>
      </c>
      <c r="UW16">
        <f>UW15+IF(AND($C15=22,$U15=1),1,0)</f>
        <v/>
      </c>
      <c r="UX16">
        <f>UX15+IF(AND($C15=23,$U15=1),1,0)</f>
        <v/>
      </c>
      <c r="UY16">
        <f>UY15+IF(AND($C15=24,$U15=1),1,0)</f>
        <v/>
      </c>
      <c r="UZ16">
        <f>UZ15+IF(AND($C15=25,$U15=1),1,0)</f>
        <v/>
      </c>
      <c r="VA16">
        <f>VA15+IF(AND($C15=26,$U15=1),1,0)</f>
        <v/>
      </c>
      <c r="VB16">
        <f>VB15+IF(AND($C15=27,$U15=1),1,0)</f>
        <v/>
      </c>
      <c r="VC16">
        <f>VC15+IF(AND($C15=28,$U15=1),1,0)</f>
        <v/>
      </c>
      <c r="VD16">
        <f>VD15+IF(AND($C15=29,$U15=1),1,0)</f>
        <v/>
      </c>
      <c r="VE16">
        <f>VE15+IF(AND($C15=30,$U15=1),1,0)</f>
        <v/>
      </c>
      <c r="VF16">
        <f>VF15+IF(AND($C15=31,$U15=1),1,0)</f>
        <v/>
      </c>
      <c r="VG16">
        <f>VG15+IF(AND($C15=32,$U15=1),1,0)</f>
        <v/>
      </c>
      <c r="VH16">
        <f>VH15+IF(AND($C15=33,$U15=1),1,0)</f>
        <v/>
      </c>
      <c r="VI16">
        <f>VI15+IF(AND($C15=34,$U15=1),1,0)</f>
        <v/>
      </c>
      <c r="VJ16">
        <f>VJ15+IF(AND($C15=35,$U15=1),1,0)</f>
        <v/>
      </c>
      <c r="VK16">
        <f>VK15+IF(AND($C15=36,$U15=1),1,0)</f>
        <v/>
      </c>
      <c r="VL16">
        <f>VL15+IF(AND($C15=37,$U15=1),1,0)</f>
        <v/>
      </c>
      <c r="VM16">
        <f>VM15+IF(AND($C15=38,$U15=1),1,0)</f>
        <v/>
      </c>
      <c r="VN16">
        <f>VN15+IF(AND($C15=39,$U15=1),1,0)</f>
        <v/>
      </c>
      <c r="VO16">
        <f>VO15+IF(AND($C15=40,$U15=1),1,0)</f>
        <v/>
      </c>
      <c r="VP16">
        <f>VP15+IF(AND($C15=41,$U15=1),1,0)</f>
        <v/>
      </c>
      <c r="VQ16">
        <f>VQ15+IF(AND($C15=42,$U15=1),1,0)</f>
        <v/>
      </c>
      <c r="VR16">
        <f>VR15+IF(AND($C15=43,$U15=1),1,0)</f>
        <v/>
      </c>
      <c r="VS16">
        <f>VS15+IF(AND($C15=44,$U15=1),1,0)</f>
        <v/>
      </c>
      <c r="VT16">
        <f>VT15+IF(AND($C15=45,$U15=1),1,0)</f>
        <v/>
      </c>
      <c r="VU16">
        <f>VU15+IF(AND($C15=46,$U15=1),1,0)</f>
        <v/>
      </c>
      <c r="VV16">
        <f>VV15+IF(AND($C15=47,$U15=1),1,0)</f>
        <v/>
      </c>
      <c r="VW16">
        <f>VW15+IF(AND($C15=48,$U15=1),1,0)</f>
        <v/>
      </c>
      <c r="VX16">
        <f>VX15+IF(AND($C15=49,$U15=1),1,0)</f>
        <v/>
      </c>
      <c r="VY16">
        <f>VY15+IF(AND($C15=50,$U15=1),1,0)</f>
        <v/>
      </c>
      <c r="VZ16">
        <f>VZ15+IF(AND($C15=51,$U15=1),1,0)</f>
        <v/>
      </c>
      <c r="WA16">
        <f>WA15+IF(AND($C15=52,$U15=1),1,0)</f>
        <v/>
      </c>
      <c r="WB16">
        <f>WB15+IF(AND($C15=53,$U15=1),1,0)</f>
        <v/>
      </c>
      <c r="WC16">
        <f>WC15+IF(AND($C15=54,$U15=1),1,0)</f>
        <v/>
      </c>
      <c r="WD16">
        <f>WD15+IF(AND($C15=55,$U15=1),1,0)</f>
        <v/>
      </c>
      <c r="WE16">
        <f>WE15+IF(AND($C15=56,$U15=1),1,0)</f>
        <v/>
      </c>
      <c r="WF16">
        <f>WF15+IF(AND($C15=57,$U15=1),1,0)</f>
        <v/>
      </c>
      <c r="WG16">
        <f>WG15+IF(AND($C15=58,$U15=1),1,0)</f>
        <v/>
      </c>
      <c r="WH16">
        <f>WH15+IF(AND($C15=59,$U15=1),1,0)</f>
        <v/>
      </c>
      <c r="WI16">
        <f>WI15+IF(AND($C15=60,$U15=1),1,0)</f>
        <v/>
      </c>
      <c r="WJ16">
        <f>WJ15+IF(AND($C15=61,$U15=1),1,0)</f>
        <v/>
      </c>
      <c r="WK16">
        <f>WK15+IF(AND($C15=62,$U15=1),1,0)</f>
        <v/>
      </c>
      <c r="WL16">
        <f>WL15+IF(AND($C15=63,$U15=1),1,0)</f>
        <v/>
      </c>
      <c r="WM16">
        <f>WM15+IF(AND($C15=64,$U15=1),1,0)</f>
        <v/>
      </c>
      <c r="WN16">
        <f>WN15+IF(AND($C15=65,$U15=1),1,0)</f>
        <v/>
      </c>
      <c r="WO16">
        <f>WO15+IF(AND($C15=66,$U15=1),1,0)</f>
        <v/>
      </c>
      <c r="WP16">
        <f>WP15+IF(AND($C15=67,$U15=1),1,0)</f>
        <v/>
      </c>
      <c r="WQ16">
        <f>WQ15+IF(AND($C15=68,$U15=1),1,0)</f>
        <v/>
      </c>
      <c r="WR16">
        <f>WR15+IF(AND($C15=69,$U15=1),1,0)</f>
        <v/>
      </c>
      <c r="WS16">
        <f>WS15+IF(AND($C15=70,$U15=1),1,0)</f>
        <v/>
      </c>
      <c r="WT16">
        <f>WT15+IF(AND($C15=71,$U15=1),1,0)</f>
        <v/>
      </c>
      <c r="WU16">
        <f>WU15+IF(AND($C15=72,$U15=1),1,0)</f>
        <v/>
      </c>
      <c r="WV16">
        <f>WV15+IF(AND($C15=73,$U15=1),1,0)</f>
        <v/>
      </c>
      <c r="WW16">
        <f>WW15+IF(AND($C15=74,$U15=1),1,0)</f>
        <v/>
      </c>
      <c r="WX16">
        <f>WX15+IF(AND($C15=75,$U15=1),1,0)</f>
        <v/>
      </c>
      <c r="WY16">
        <f>WY15+IF(AND($C15=76,$U15=1),1,0)</f>
        <v/>
      </c>
      <c r="WZ16">
        <f>WZ15+IF(AND($C15=77,$U15=1),1,0)</f>
        <v/>
      </c>
      <c r="XA16">
        <f>XA15+IF(AND($C15=78,$U15=1),1,0)</f>
        <v/>
      </c>
      <c r="XB16">
        <f>XB15+IF(AND($C15=79,$U15=1),1,0)</f>
        <v/>
      </c>
      <c r="XC16">
        <f>XC15+IF(AND($C15=80,$U15=1),1,0)</f>
        <v/>
      </c>
      <c r="XD16">
        <f>XD15+IF(AND($C15=81,$U15=1),1,0)</f>
        <v/>
      </c>
      <c r="XE16">
        <f>XE15+IF(AND($C15=82,$U15=1),1,0)</f>
        <v/>
      </c>
      <c r="XF16">
        <f>XF15+IF(AND($C15=83,$U15=1),1,0)</f>
        <v/>
      </c>
      <c r="XG16">
        <f>XG15+IF(AND($C15=84,$U15=1),1,0)</f>
        <v/>
      </c>
      <c r="XH16">
        <f>XH15+IF(AND($C15=85,$U15=1),1,0)</f>
        <v/>
      </c>
      <c r="XI16">
        <f>XI15+IF(AND($C15=86,$U15=1),1,0)</f>
        <v/>
      </c>
      <c r="XJ16">
        <f>XJ15+IF(AND($C15=87,$U15=1),1,0)</f>
        <v/>
      </c>
      <c r="XK16">
        <f>XK15+IF(AND($C15=88,$U15=1),1,0)</f>
        <v/>
      </c>
      <c r="XL16">
        <f>XL15+IF(AND($C15=89,$U15=1),1,0)</f>
        <v/>
      </c>
      <c r="XM16">
        <f>XM15+IF(AND($C15=90,$U15=1),1,0)</f>
        <v/>
      </c>
      <c r="XN16">
        <f>XN15+IF(AND($C15=91,$U15=1),1,0)</f>
        <v/>
      </c>
      <c r="XO16">
        <f>XO15+IF(AND($C15=92,$U15=1),1,0)</f>
        <v/>
      </c>
      <c r="XP16">
        <f>XP15+IF(AND($C15=93,$U15=1),1,0)</f>
        <v/>
      </c>
      <c r="XQ16">
        <f>XQ15+IF(AND($C15=94,$U15=1),1,0)</f>
        <v/>
      </c>
      <c r="XR16">
        <f>XR15+IF(AND($C15=95,$U15=1),1,0)</f>
        <v/>
      </c>
      <c r="XS16">
        <f>XS15+IF(AND($C15=96,$U15=1),1,0)</f>
        <v/>
      </c>
      <c r="XT16">
        <f>XT15+IF(AND($C15=97,$U15=1),1,0)</f>
        <v/>
      </c>
      <c r="XU16">
        <f>XU15+IF(AND($C15=98,$U15=1),1,0)</f>
        <v/>
      </c>
      <c r="XV16">
        <f>XV15+IF(AND($C15=99,$U15=1),1,0)</f>
        <v/>
      </c>
      <c r="XW16">
        <f>XW15+IF(AND($C15=100,$U15=1),1,0)</f>
        <v/>
      </c>
      <c r="XX16">
        <f>XX15+IF(AND($C15=101,$U15=1),1,0)</f>
        <v/>
      </c>
      <c r="XY16">
        <f>XY15+IF(AND($C15=102,$U15=1),1,0)</f>
        <v/>
      </c>
      <c r="XZ16">
        <f>XZ15+IF(AND($C15=103,$U15=1),1,0)</f>
        <v/>
      </c>
      <c r="YA16">
        <f>YA15+IF(AND($C15=104,$U15=1),1,0)</f>
        <v/>
      </c>
      <c r="YB16">
        <f>YB15+IF(AND($C15=105,$U15=1),1,0)</f>
        <v/>
      </c>
      <c r="YC16">
        <f>YC15+IF(AND($C15=106,$U15=1),1,0)</f>
        <v/>
      </c>
      <c r="YD16">
        <f>YD15+IF(AND($C15=107,$U15=1),1,0)</f>
        <v/>
      </c>
      <c r="YE16">
        <f>YE15+IF(AND($C15=108,$U15=1),1,0)</f>
        <v/>
      </c>
      <c r="YF16">
        <f>YF15+IF(AND($C15=109,$U15=1),1,0)</f>
        <v/>
      </c>
      <c r="YG16">
        <f>YG15+IF(AND($C15=110,$U15=1),1,0)</f>
        <v/>
      </c>
      <c r="YH16">
        <f>YH15+IF(AND($C15=111,$U15=1),1,0)</f>
        <v/>
      </c>
      <c r="YI16">
        <f>YI15+IF(AND($C15=112,$U15=1),1,0)</f>
        <v/>
      </c>
      <c r="YJ16">
        <f>YJ15+IF(AND($C15=113,$U15=1),1,0)</f>
        <v/>
      </c>
      <c r="YK16">
        <f>YK15+IF(AND($C15=114,$U15=1),1,0)</f>
        <v/>
      </c>
      <c r="YL16">
        <f>YL15+IF(AND($C15=115,$U15=1),1,0)</f>
        <v/>
      </c>
      <c r="YM16">
        <f>YM15+IF(AND($C15=116,$U15=1),1,0)</f>
        <v/>
      </c>
      <c r="YN16">
        <f>YN15+IF(AND($C15=117,$U15=1),1,0)</f>
        <v/>
      </c>
      <c r="YO16">
        <f>YO15+IF(AND($C15=118,$U15=1),1,0)</f>
        <v/>
      </c>
      <c r="YP16">
        <f>YP15+IF(AND($C15=119,$U15=1),1,0)</f>
        <v/>
      </c>
      <c r="YQ16">
        <f>YQ15+IF(AND($C15=120,$U15=1),1,0)</f>
        <v/>
      </c>
      <c r="YR16">
        <f>YR15+IF(AND($C15=121,$U15=1),1,0)</f>
        <v/>
      </c>
      <c r="YS16">
        <f>YS15+IF(AND($C15=122,$U15=1),1,0)</f>
        <v/>
      </c>
      <c r="YT16">
        <f>YT15+IF(AND($C15=123,$U15=1),1,0)</f>
        <v/>
      </c>
      <c r="YU16">
        <f>YU15+IF(AND($C15=124,$U15=1),1,0)</f>
        <v/>
      </c>
      <c r="YV16">
        <f>YV15+IF(AND($C15=125,$U15=1),1,0)</f>
        <v/>
      </c>
      <c r="YW16">
        <f>YW15+IF(AND($C15=126,$U15=1),1,0)</f>
        <v/>
      </c>
      <c r="YX16">
        <f>YX15+IF(AND($C15=127,$U15=1),1,0)</f>
        <v/>
      </c>
      <c r="YY16">
        <f>YY15+IF(AND($C15=128,$U15=1),1,0)</f>
        <v/>
      </c>
      <c r="YZ16">
        <f>YZ15+IF(AND($C15=129,$U15=1),1,0)</f>
        <v/>
      </c>
      <c r="ZA16">
        <f>ZA15+IF(AND($C15=130,$U15=1),1,0)</f>
        <v/>
      </c>
      <c r="ZB16">
        <f>ZB15+IF(AND($C15=131,$U15=1),1,0)</f>
        <v/>
      </c>
      <c r="ZC16">
        <f>ZC15+IF(AND($C15=132,$U15=1),1,0)</f>
        <v/>
      </c>
      <c r="ZD16">
        <f>ZD15+IF(AND($C15=133,$U15=1),1,0)</f>
        <v/>
      </c>
      <c r="ZE16">
        <f>ZE15+IF(AND($C15=134,$U15=1),1,0)</f>
        <v/>
      </c>
      <c r="ZF16">
        <f>ZF15+IF(AND($C15=135,$U15=1),1,0)</f>
        <v/>
      </c>
      <c r="ZG16">
        <f>ZG15+IF(AND($C15=136,$U15=1),1,0)</f>
        <v/>
      </c>
      <c r="ZH16">
        <f>ZH15+IF(AND($C15=137,$U15=1),1,0)</f>
        <v/>
      </c>
      <c r="ZI16">
        <f>ZI15+IF(AND($C15=138,$U15=1),1,0)</f>
        <v/>
      </c>
      <c r="ZJ16">
        <f>ZJ15+IF(AND($C15=139,$U15=1),1,0)</f>
        <v/>
      </c>
      <c r="ZK16">
        <f>ZK15+IF(AND($C15=140,$U15=1),1,0)</f>
        <v/>
      </c>
      <c r="ZL16">
        <f>ZL15+IF(AND($C15=141,$U15=1),1,0)</f>
        <v/>
      </c>
      <c r="ZM16">
        <f>ZM15+IF(AND($C15=142,$U15=1),1,0)</f>
        <v/>
      </c>
      <c r="ZN16">
        <f>ZN15+IF(AND($C15=143,$U15=1),1,0)</f>
        <v/>
      </c>
      <c r="ZO16">
        <f>ZO15+IF(AND($C15=144,$U15=1),1,0)</f>
        <v/>
      </c>
      <c r="ZQ16">
        <f>IF($C15=1,0,ZQ15+IF(AND($G15=1,$E15=1),1,0))</f>
        <v/>
      </c>
      <c r="ZR16">
        <f>IF($C15=2,0,ZR15+IF(AND($G15=2,$E15=1),1,0))</f>
        <v/>
      </c>
      <c r="ZS16">
        <f>IF($C15=3,0,ZS15+IF(AND($G15=3,$E15=1),1,0))</f>
        <v/>
      </c>
      <c r="ZT16">
        <f>IF($C15=4,0,ZT15+IF(AND($G15=4,$E15=1),1,0))</f>
        <v/>
      </c>
      <c r="ZU16">
        <f>IF($C15=5,0,ZU15+IF(AND($G15=5,$E15=1),1,0))</f>
        <v/>
      </c>
      <c r="ZV16">
        <f>IF($C15=6,0,ZV15+IF(AND($G15=6,$E15=1),1,0))</f>
        <v/>
      </c>
      <c r="ZW16">
        <f>IF($C15=7,0,ZW15+IF(AND($G15=7,$E15=1),1,0))</f>
        <v/>
      </c>
      <c r="ZX16">
        <f>IF($C15=8,0,ZX15+IF(AND($G15=8,$E15=1),1,0))</f>
        <v/>
      </c>
      <c r="ZY16">
        <f>IF($C15=9,0,ZY15+IF(AND($G15=9,$E15=1),1,0))</f>
        <v/>
      </c>
      <c r="ZZ16">
        <f>IF($C15=10,0,ZZ15+IF(AND($G15=10,$E15=1),1,0))</f>
        <v/>
      </c>
      <c r="AAA16">
        <f>IF($C15=11,0,AAA15+IF(AND($G15=11,$E15=1),1,0))</f>
        <v/>
      </c>
      <c r="AAB16">
        <f>IF($C15=12,0,AAB15+IF(AND($G15=12,$E15=1),1,0))</f>
        <v/>
      </c>
      <c r="AAC16">
        <f>IF($C15=13,0,AAC15+IF(AND($G15=13,$E15=1),1,0))</f>
        <v/>
      </c>
      <c r="AAD16">
        <f>IF($C15=14,0,AAD15+IF(AND($G15=14,$E15=1),1,0))</f>
        <v/>
      </c>
      <c r="AAE16">
        <f>IF($C15=15,0,AAE15+IF(AND($G15=15,$E15=1),1,0))</f>
        <v/>
      </c>
      <c r="AAF16">
        <f>IF($C15=16,0,AAF15+IF(AND($G15=16,$E15=1),1,0))</f>
        <v/>
      </c>
      <c r="AAG16">
        <f>IF($C15=17,0,AAG15+IF(AND($G15=17,$E15=1),1,0))</f>
        <v/>
      </c>
      <c r="AAH16">
        <f>IF($C15=18,0,AAH15+IF(AND($G15=18,$E15=1),1,0))</f>
        <v/>
      </c>
      <c r="AAI16">
        <f>IF($C15=19,0,AAI15+IF(AND($G15=19,$E15=1),1,0))</f>
        <v/>
      </c>
      <c r="AAJ16">
        <f>IF($C15=20,0,AAJ15+IF(AND($G15=20,$E15=1),1,0))</f>
        <v/>
      </c>
      <c r="AAK16">
        <f>IF($C15=21,0,AAK15+IF(AND($G15=21,$E15=1),1,0))</f>
        <v/>
      </c>
      <c r="AAL16">
        <f>IF($C15=22,0,AAL15+IF(AND($G15=22,$E15=1),1,0))</f>
        <v/>
      </c>
      <c r="AAM16">
        <f>IF($C15=23,0,AAM15+IF(AND($G15=23,$E15=1),1,0))</f>
        <v/>
      </c>
      <c r="AAN16">
        <f>IF($C15=24,0,AAN15+IF(AND($G15=24,$E15=1),1,0))</f>
        <v/>
      </c>
      <c r="AAO16">
        <f>IF($C15=25,0,AAO15+IF(AND($G15=25,$E15=1),1,0))</f>
        <v/>
      </c>
      <c r="AAP16">
        <f>IF($C15=26,0,AAP15+IF(AND($G15=26,$E15=1),1,0))</f>
        <v/>
      </c>
      <c r="AAQ16">
        <f>IF($C15=27,0,AAQ15+IF(AND($G15=27,$E15=1),1,0))</f>
        <v/>
      </c>
      <c r="AAR16">
        <f>IF($C15=28,0,AAR15+IF(AND($G15=28,$E15=1),1,0))</f>
        <v/>
      </c>
      <c r="AAS16">
        <f>IF($C15=29,0,AAS15+IF(AND($G15=29,$E15=1),1,0))</f>
        <v/>
      </c>
      <c r="AAT16">
        <f>IF($C15=30,0,AAT15+IF(AND($G15=30,$E15=1),1,0))</f>
        <v/>
      </c>
      <c r="AAU16">
        <f>IF($C15=31,0,AAU15+IF(AND($G15=31,$E15=1),1,0))</f>
        <v/>
      </c>
      <c r="AAV16">
        <f>IF($C15=32,0,AAV15+IF(AND($G15=32,$E15=1),1,0))</f>
        <v/>
      </c>
      <c r="AAW16">
        <f>IF($C15=33,0,AAW15+IF(AND($G15=33,$E15=1),1,0))</f>
        <v/>
      </c>
      <c r="AAX16">
        <f>IF($C15=34,0,AAX15+IF(AND($G15=34,$E15=1),1,0))</f>
        <v/>
      </c>
      <c r="AAY16">
        <f>IF($C15=35,0,AAY15+IF(AND($G15=35,$E15=1),1,0))</f>
        <v/>
      </c>
      <c r="AAZ16">
        <f>IF($C15=36,0,AAZ15+IF(AND($G15=36,$E15=1),1,0))</f>
        <v/>
      </c>
      <c r="ABA16">
        <f>IF($C15=37,0,ABA15+IF(AND($G15=37,$E15=1),1,0))</f>
        <v/>
      </c>
      <c r="ABB16">
        <f>IF($C15=38,0,ABB15+IF(AND($G15=38,$E15=1),1,0))</f>
        <v/>
      </c>
      <c r="ABC16">
        <f>IF($C15=39,0,ABC15+IF(AND($G15=39,$E15=1),1,0))</f>
        <v/>
      </c>
      <c r="ABD16">
        <f>IF($C15=40,0,ABD15+IF(AND($G15=40,$E15=1),1,0))</f>
        <v/>
      </c>
      <c r="ABE16">
        <f>IF($C15=41,0,ABE15+IF(AND($G15=41,$E15=1),1,0))</f>
        <v/>
      </c>
      <c r="ABF16">
        <f>IF($C15=42,0,ABF15+IF(AND($G15=42,$E15=1),1,0))</f>
        <v/>
      </c>
      <c r="ABG16">
        <f>IF($C15=43,0,ABG15+IF(AND($G15=43,$E15=1),1,0))</f>
        <v/>
      </c>
      <c r="ABH16">
        <f>IF($C15=44,0,ABH15+IF(AND($G15=44,$E15=1),1,0))</f>
        <v/>
      </c>
      <c r="ABI16">
        <f>IF($C15=45,0,ABI15+IF(AND($G15=45,$E15=1),1,0))</f>
        <v/>
      </c>
      <c r="ABJ16">
        <f>IF($C15=46,0,ABJ15+IF(AND($G15=46,$E15=1),1,0))</f>
        <v/>
      </c>
      <c r="ABK16">
        <f>IF($C15=47,0,ABK15+IF(AND($G15=47,$E15=1),1,0))</f>
        <v/>
      </c>
      <c r="ABL16">
        <f>IF($C15=48,0,ABL15+IF(AND($G15=48,$E15=1),1,0))</f>
        <v/>
      </c>
      <c r="ABM16">
        <f>IF($C15=49,0,ABM15+IF(AND($G15=49,$E15=1),1,0))</f>
        <v/>
      </c>
      <c r="ABN16">
        <f>IF($C15=50,0,ABN15+IF(AND($G15=50,$E15=1),1,0))</f>
        <v/>
      </c>
      <c r="ABO16">
        <f>IF($C15=51,0,ABO15+IF(AND($G15=51,$E15=1),1,0))</f>
        <v/>
      </c>
      <c r="ABP16">
        <f>IF($C15=52,0,ABP15+IF(AND($G15=52,$E15=1),1,0))</f>
        <v/>
      </c>
      <c r="ABQ16">
        <f>IF($C15=53,0,ABQ15+IF(AND($G15=53,$E15=1),1,0))</f>
        <v/>
      </c>
      <c r="ABR16">
        <f>IF($C15=54,0,ABR15+IF(AND($G15=54,$E15=1),1,0))</f>
        <v/>
      </c>
      <c r="ABS16">
        <f>IF($C15=55,0,ABS15+IF(AND($G15=55,$E15=1),1,0))</f>
        <v/>
      </c>
      <c r="ABT16">
        <f>IF($C15=56,0,ABT15+IF(AND($G15=56,$E15=1),1,0))</f>
        <v/>
      </c>
      <c r="ABU16">
        <f>IF($C15=57,0,ABU15+IF(AND($G15=57,$E15=1),1,0))</f>
        <v/>
      </c>
      <c r="ABV16">
        <f>IF($C15=58,0,ABV15+IF(AND($G15=58,$E15=1),1,0))</f>
        <v/>
      </c>
      <c r="ABW16">
        <f>IF($C15=59,0,ABW15+IF(AND($G15=59,$E15=1),1,0))</f>
        <v/>
      </c>
      <c r="ABX16">
        <f>IF($C15=60,0,ABX15+IF(AND($G15=60,$E15=1),1,0))</f>
        <v/>
      </c>
      <c r="ABY16">
        <f>IF($C15=61,0,ABY15+IF(AND($G15=61,$E15=1),1,0))</f>
        <v/>
      </c>
      <c r="ABZ16">
        <f>IF($C15=62,0,ABZ15+IF(AND($G15=62,$E15=1),1,0))</f>
        <v/>
      </c>
      <c r="ACA16">
        <f>IF($C15=63,0,ACA15+IF(AND($G15=63,$E15=1),1,0))</f>
        <v/>
      </c>
      <c r="ACB16">
        <f>IF($C15=64,0,ACB15+IF(AND($G15=64,$E15=1),1,0))</f>
        <v/>
      </c>
      <c r="ACC16">
        <f>IF($C15=65,0,ACC15+IF(AND($G15=65,$E15=1),1,0))</f>
        <v/>
      </c>
      <c r="ACD16">
        <f>IF($C15=66,0,ACD15+IF(AND($G15=66,$E15=1),1,0))</f>
        <v/>
      </c>
      <c r="ACE16">
        <f>IF($C15=67,0,ACE15+IF(AND($G15=67,$E15=1),1,0))</f>
        <v/>
      </c>
      <c r="ACF16">
        <f>IF($C15=68,0,ACF15+IF(AND($G15=68,$E15=1),1,0))</f>
        <v/>
      </c>
      <c r="ACG16">
        <f>IF($C15=69,0,ACG15+IF(AND($G15=69,$E15=1),1,0))</f>
        <v/>
      </c>
      <c r="ACH16">
        <f>IF($C15=70,0,ACH15+IF(AND($G15=70,$E15=1),1,0))</f>
        <v/>
      </c>
      <c r="ACI16">
        <f>IF($C15=71,0,ACI15+IF(AND($G15=71,$E15=1),1,0))</f>
        <v/>
      </c>
      <c r="ACJ16">
        <f>IF($C15=72,0,ACJ15+IF(AND($G15=72,$E15=1),1,0))</f>
        <v/>
      </c>
      <c r="ACK16">
        <f>IF($C15=73,0,ACK15+IF(AND($G15=73,$E15=1),1,0))</f>
        <v/>
      </c>
      <c r="ACL16">
        <f>IF($C15=74,0,ACL15+IF(AND($G15=74,$E15=1),1,0))</f>
        <v/>
      </c>
      <c r="ACM16">
        <f>IF($C15=75,0,ACM15+IF(AND($G15=75,$E15=1),1,0))</f>
        <v/>
      </c>
      <c r="ACN16">
        <f>IF($C15=76,0,ACN15+IF(AND($G15=76,$E15=1),1,0))</f>
        <v/>
      </c>
      <c r="ACO16">
        <f>IF($C15=77,0,ACO15+IF(AND($G15=77,$E15=1),1,0))</f>
        <v/>
      </c>
      <c r="ACP16">
        <f>IF($C15=78,0,ACP15+IF(AND($G15=78,$E15=1),1,0))</f>
        <v/>
      </c>
      <c r="ACQ16">
        <f>IF($C15=79,0,ACQ15+IF(AND($G15=79,$E15=1),1,0))</f>
        <v/>
      </c>
      <c r="ACR16">
        <f>IF($C15=80,0,ACR15+IF(AND($G15=80,$E15=1),1,0))</f>
        <v/>
      </c>
      <c r="ACS16">
        <f>IF($C15=81,0,ACS15+IF(AND($G15=81,$E15=1),1,0))</f>
        <v/>
      </c>
      <c r="ACT16">
        <f>IF($C15=82,0,ACT15+IF(AND($G15=82,$E15=1),1,0))</f>
        <v/>
      </c>
      <c r="ACU16">
        <f>IF($C15=83,0,ACU15+IF(AND($G15=83,$E15=1),1,0))</f>
        <v/>
      </c>
      <c r="ACV16">
        <f>IF($C15=84,0,ACV15+IF(AND($G15=84,$E15=1),1,0))</f>
        <v/>
      </c>
      <c r="ACW16">
        <f>IF($C15=85,0,ACW15+IF(AND($G15=85,$E15=1),1,0))</f>
        <v/>
      </c>
      <c r="ACX16">
        <f>IF($C15=86,0,ACX15+IF(AND($G15=86,$E15=1),1,0))</f>
        <v/>
      </c>
      <c r="ACY16">
        <f>IF($C15=87,0,ACY15+IF(AND($G15=87,$E15=1),1,0))</f>
        <v/>
      </c>
      <c r="ACZ16">
        <f>IF($C15=88,0,ACZ15+IF(AND($G15=88,$E15=1),1,0))</f>
        <v/>
      </c>
      <c r="ADA16">
        <f>IF($C15=89,0,ADA15+IF(AND($G15=89,$E15=1),1,0))</f>
        <v/>
      </c>
      <c r="ADB16">
        <f>IF($C15=90,0,ADB15+IF(AND($G15=90,$E15=1),1,0))</f>
        <v/>
      </c>
      <c r="ADC16">
        <f>IF($C15=91,0,ADC15+IF(AND($G15=91,$E15=1),1,0))</f>
        <v/>
      </c>
      <c r="ADD16">
        <f>IF($C15=92,0,ADD15+IF(AND($G15=92,$E15=1),1,0))</f>
        <v/>
      </c>
      <c r="ADE16">
        <f>IF($C15=93,0,ADE15+IF(AND($G15=93,$E15=1),1,0))</f>
        <v/>
      </c>
      <c r="ADF16">
        <f>IF($C15=94,0,ADF15+IF(AND($G15=94,$E15=1),1,0))</f>
        <v/>
      </c>
      <c r="ADG16">
        <f>IF($C15=95,0,ADG15+IF(AND($G15=95,$E15=1),1,0))</f>
        <v/>
      </c>
      <c r="ADH16">
        <f>IF($C15=96,0,ADH15+IF(AND($G15=96,$E15=1),1,0))</f>
        <v/>
      </c>
      <c r="ADI16">
        <f>IF($C15=97,0,ADI15+IF(AND($G15=97,$E15=1),1,0))</f>
        <v/>
      </c>
      <c r="ADJ16">
        <f>IF($C15=98,0,ADJ15+IF(AND($G15=98,$E15=1),1,0))</f>
        <v/>
      </c>
      <c r="ADK16">
        <f>IF($C15=99,0,ADK15+IF(AND($G15=99,$E15=1),1,0))</f>
        <v/>
      </c>
      <c r="ADL16">
        <f>IF($C15=100,0,ADL15+IF(AND($G15=100,$E15=1),1,0))</f>
        <v/>
      </c>
      <c r="ADM16">
        <f>IF($C15=101,0,ADM15+IF(AND($G15=101,$E15=1),1,0))</f>
        <v/>
      </c>
      <c r="ADN16">
        <f>IF($C15=102,0,ADN15+IF(AND($G15=102,$E15=1),1,0))</f>
        <v/>
      </c>
      <c r="ADO16">
        <f>IF($C15=103,0,ADO15+IF(AND($G15=103,$E15=1),1,0))</f>
        <v/>
      </c>
      <c r="ADP16">
        <f>IF($C15=104,0,ADP15+IF(AND($G15=104,$E15=1),1,0))</f>
        <v/>
      </c>
      <c r="ADQ16">
        <f>IF($C15=105,0,ADQ15+IF(AND($G15=105,$E15=1),1,0))</f>
        <v/>
      </c>
      <c r="ADR16">
        <f>IF($C15=106,0,ADR15+IF(AND($G15=106,$E15=1),1,0))</f>
        <v/>
      </c>
      <c r="ADS16">
        <f>IF($C15=107,0,ADS15+IF(AND($G15=107,$E15=1),1,0))</f>
        <v/>
      </c>
      <c r="ADT16">
        <f>IF($C15=108,0,ADT15+IF(AND($G15=108,$E15=1),1,0))</f>
        <v/>
      </c>
      <c r="ADU16">
        <f>IF($C15=109,0,ADU15+IF(AND($G15=109,$E15=1),1,0))</f>
        <v/>
      </c>
      <c r="ADV16">
        <f>IF($C15=110,0,ADV15+IF(AND($G15=110,$E15=1),1,0))</f>
        <v/>
      </c>
      <c r="ADW16">
        <f>IF($C15=111,0,ADW15+IF(AND($G15=111,$E15=1),1,0))</f>
        <v/>
      </c>
      <c r="ADX16">
        <f>IF($C15=112,0,ADX15+IF(AND($G15=112,$E15=1),1,0))</f>
        <v/>
      </c>
      <c r="ADY16">
        <f>IF($C15=113,0,ADY15+IF(AND($G15=113,$E15=1),1,0))</f>
        <v/>
      </c>
      <c r="ADZ16">
        <f>IF($C15=114,0,ADZ15+IF(AND($G15=114,$E15=1),1,0))</f>
        <v/>
      </c>
      <c r="AEA16">
        <f>IF($C15=115,0,AEA15+IF(AND($G15=115,$E15=1),1,0))</f>
        <v/>
      </c>
      <c r="AEB16">
        <f>IF($C15=116,0,AEB15+IF(AND($G15=116,$E15=1),1,0))</f>
        <v/>
      </c>
      <c r="AEC16">
        <f>IF($C15=117,0,AEC15+IF(AND($G15=117,$E15=1),1,0))</f>
        <v/>
      </c>
      <c r="AED16">
        <f>IF($C15=118,0,AED15+IF(AND($G15=118,$E15=1),1,0))</f>
        <v/>
      </c>
      <c r="AEE16">
        <f>IF($C15=119,0,AEE15+IF(AND($G15=119,$E15=1),1,0))</f>
        <v/>
      </c>
      <c r="AEF16">
        <f>IF($C15=120,0,AEF15+IF(AND($G15=120,$E15=1),1,0))</f>
        <v/>
      </c>
      <c r="AEG16">
        <f>IF($C15=121,0,AEG15+IF(AND($G15=121,$E15=1),1,0))</f>
        <v/>
      </c>
      <c r="AEH16">
        <f>IF($C15=122,0,AEH15+IF(AND($G15=122,$E15=1),1,0))</f>
        <v/>
      </c>
      <c r="AEI16">
        <f>IF($C15=123,0,AEI15+IF(AND($G15=123,$E15=1),1,0))</f>
        <v/>
      </c>
      <c r="AEJ16">
        <f>IF($C15=124,0,AEJ15+IF(AND($G15=124,$E15=1),1,0))</f>
        <v/>
      </c>
      <c r="AEK16">
        <f>IF($C15=125,0,AEK15+IF(AND($G15=125,$E15=1),1,0))</f>
        <v/>
      </c>
      <c r="AEL16">
        <f>IF($C15=126,0,AEL15+IF(AND($G15=126,$E15=1),1,0))</f>
        <v/>
      </c>
      <c r="AEM16">
        <f>IF($C15=127,0,AEM15+IF(AND($G15=127,$E15=1),1,0))</f>
        <v/>
      </c>
      <c r="AEN16">
        <f>IF($C15=128,0,AEN15+IF(AND($G15=128,$E15=1),1,0))</f>
        <v/>
      </c>
      <c r="AEO16">
        <f>IF($C15=129,0,AEO15+IF(AND($G15=129,$E15=1),1,0))</f>
        <v/>
      </c>
      <c r="AEP16">
        <f>IF($C15=130,0,AEP15+IF(AND($G15=130,$E15=1),1,0))</f>
        <v/>
      </c>
      <c r="AEQ16">
        <f>IF($C15=131,0,AEQ15+IF(AND($G15=131,$E15=1),1,0))</f>
        <v/>
      </c>
      <c r="AER16">
        <f>IF($C15=132,0,AER15+IF(AND($G15=132,$E15=1),1,0))</f>
        <v/>
      </c>
      <c r="AES16">
        <f>IF($C15=133,0,AES15+IF(AND($G15=133,$E15=1),1,0))</f>
        <v/>
      </c>
      <c r="AET16">
        <f>IF($C15=134,0,AET15+IF(AND($G15=134,$E15=1),1,0))</f>
        <v/>
      </c>
      <c r="AEU16">
        <f>IF($C15=135,0,AEU15+IF(AND($G15=135,$E15=1),1,0))</f>
        <v/>
      </c>
      <c r="AEV16">
        <f>IF($C15=136,0,AEV15+IF(AND($G15=136,$E15=1),1,0))</f>
        <v/>
      </c>
      <c r="AEW16">
        <f>IF($C15=137,0,AEW15+IF(AND($G15=137,$E15=1),1,0))</f>
        <v/>
      </c>
      <c r="AEX16">
        <f>IF($C15=138,0,AEX15+IF(AND($G15=138,$E15=1),1,0))</f>
        <v/>
      </c>
      <c r="AEY16">
        <f>IF($C15=139,0,AEY15+IF(AND($G15=139,$E15=1),1,0))</f>
        <v/>
      </c>
      <c r="AEZ16">
        <f>IF($C15=140,0,AEZ15+IF(AND($G15=140,$E15=1),1,0))</f>
        <v/>
      </c>
      <c r="AFA16">
        <f>IF($C15=141,0,AFA15+IF(AND($G15=141,$E15=1),1,0))</f>
        <v/>
      </c>
      <c r="AFB16">
        <f>IF($C15=142,0,AFB15+IF(AND($G15=142,$E15=1),1,0))</f>
        <v/>
      </c>
      <c r="AFC16">
        <f>IF($C15=143,0,AFC15+IF(AND($G15=143,$E15=1),1,0))</f>
        <v/>
      </c>
      <c r="AFD16">
        <f>IF($C15=144,0,AFD15+IF(AND($G15=144,$E15=1),1,0))</f>
        <v/>
      </c>
      <c r="AFF16">
        <f>IF('calcA'!D$106=1,DC16+ZR16,1)</f>
        <v/>
      </c>
      <c r="AFG16">
        <f>IF('calcA'!E$106=1,DD16+ZS16,1)</f>
        <v/>
      </c>
      <c r="AFH16">
        <f>IF('calcA'!F$106=1,DE16+ZT16,1)</f>
        <v/>
      </c>
      <c r="AFI16">
        <f>IF('calcA'!G$106=1,DF16+ZU16,1)</f>
        <v/>
      </c>
      <c r="AFJ16">
        <f>IF('calcA'!H$106=1,DG16+ZV16,1)</f>
        <v/>
      </c>
      <c r="AFK16">
        <f>IF('calcA'!I$106=1,DH16+ZW16,1)</f>
        <v/>
      </c>
      <c r="AFL16">
        <f>IF('calcA'!J$106=1,DI16+ZX16,1)</f>
        <v/>
      </c>
      <c r="AFM16">
        <f>IF('calcA'!K$106=1,DJ16+ZY16,1)</f>
        <v/>
      </c>
      <c r="AFN16">
        <f>IF('calcA'!L$106=1,DK16+ZZ16,1)</f>
        <v/>
      </c>
      <c r="AFO16">
        <f>IF('calcA'!M$106=1,DL16+AAA16,1)</f>
        <v/>
      </c>
      <c r="AFP16">
        <f>IF('calcA'!N$106=1,DM16+AAB16,1)</f>
        <v/>
      </c>
      <c r="AFQ16">
        <f>IF('calcA'!O$106=1,DN16+AAC16,1)</f>
        <v/>
      </c>
      <c r="AFR16">
        <f>IF('calcA'!P$106=1,DO16+AAD16,1)</f>
        <v/>
      </c>
      <c r="AFS16">
        <f>IF('calcA'!Q$106=1,DP16+AAE16,1)</f>
        <v/>
      </c>
      <c r="AFT16">
        <f>IF('calcA'!R$106=1,DQ16+AAF16,1)</f>
        <v/>
      </c>
      <c r="AFU16">
        <f>IF('calcA'!S$106=1,DR16+AAG16,1)</f>
        <v/>
      </c>
      <c r="AFV16">
        <f>IF('calcA'!T$106=1,DS16+AAH16,1)</f>
        <v/>
      </c>
      <c r="AFW16">
        <f>IF('calcA'!U$106=1,DT16+AAI16,1)</f>
        <v/>
      </c>
      <c r="AFX16">
        <f>IF('calcA'!V$106=1,DU16+AAJ16,1)</f>
        <v/>
      </c>
      <c r="AFY16">
        <f>IF('calcA'!W$106=1,DV16+AAK16,1)</f>
        <v/>
      </c>
      <c r="AFZ16">
        <f>IF('calcA'!X$106=1,DW16+AAL16,1)</f>
        <v/>
      </c>
      <c r="AGA16">
        <f>IF('calcA'!Y$106=1,DX16+AAM16,1)</f>
        <v/>
      </c>
      <c r="AGB16">
        <f>IF('calcA'!Z$106=1,DY16+AAN16,1)</f>
        <v/>
      </c>
      <c r="AGC16">
        <f>IF('calcA'!AA$106=1,DZ16+AAO16,1)</f>
        <v/>
      </c>
      <c r="AGD16">
        <f>IF('calcA'!AB$106=1,EA16+AAP16,1)</f>
        <v/>
      </c>
      <c r="AGE16">
        <f>IF('calcA'!AC$106=1,EB16+AAQ16,1)</f>
        <v/>
      </c>
      <c r="AGF16">
        <f>IF('calcA'!AD$106=1,EC16+AAR16,1)</f>
        <v/>
      </c>
      <c r="AGG16">
        <f>IF('calcA'!AE$106=1,ED16+AAS16,1)</f>
        <v/>
      </c>
      <c r="AGH16">
        <f>IF('calcA'!AF$106=1,EE16+AAT16,1)</f>
        <v/>
      </c>
      <c r="AGI16">
        <f>IF('calcA'!AG$106=1,EF16+AAU16,1)</f>
        <v/>
      </c>
      <c r="AGJ16">
        <f>IF('calcA'!AH$106=1,EG16+AAV16,1)</f>
        <v/>
      </c>
      <c r="AGK16">
        <f>IF('calcA'!AI$106=1,EH16+AAW16,1)</f>
        <v/>
      </c>
      <c r="AGL16">
        <f>IF('calcA'!AJ$106=1,EI16+AAX16,1)</f>
        <v/>
      </c>
      <c r="AGM16">
        <f>IF('calcA'!AK$106=1,EJ16+AAY16,1)</f>
        <v/>
      </c>
      <c r="AGN16">
        <f>IF('calcA'!AL$106=1,EK16+AAZ16,1)</f>
        <v/>
      </c>
      <c r="AGO16">
        <f>IF('calcA'!AM$106=1,EL16+ABA16,1)</f>
        <v/>
      </c>
      <c r="AGP16">
        <f>IF('calcA'!AN$106=1,EM16+ABB16,1)</f>
        <v/>
      </c>
      <c r="AGQ16">
        <f>IF('calcA'!AO$106=1,EN16+ABC16,1)</f>
        <v/>
      </c>
      <c r="AGR16">
        <f>IF('calcA'!AP$106=1,EO16+ABD16,1)</f>
        <v/>
      </c>
      <c r="AGS16">
        <f>IF('calcA'!AQ$106=1,EP16+ABE16,1)</f>
        <v/>
      </c>
      <c r="AGT16">
        <f>IF('calcA'!AR$106=1,EQ16+ABF16,1)</f>
        <v/>
      </c>
      <c r="AGU16">
        <f>IF('calcA'!AS$106=1,ER16+ABG16,1)</f>
        <v/>
      </c>
      <c r="AGV16">
        <f>IF('calcA'!AT$106=1,ES16+ABH16,1)</f>
        <v/>
      </c>
      <c r="AGW16">
        <f>IF('calcA'!AU$106=1,ET16+ABI16,1)</f>
        <v/>
      </c>
      <c r="AGX16">
        <f>IF('calcA'!AV$106=1,EU16+ABJ16,1)</f>
        <v/>
      </c>
      <c r="AGY16">
        <f>IF('calcA'!AW$106=1,EV16+ABK16,1)</f>
        <v/>
      </c>
      <c r="AGZ16">
        <f>IF('calcA'!AX$106=1,EW16+ABL16,1)</f>
        <v/>
      </c>
      <c r="AHA16">
        <f>IF('calcA'!AY$106=1,EX16+ABM16,1)</f>
        <v/>
      </c>
      <c r="AHB16">
        <f>IF('calcA'!AZ$106=1,EY16+ABN16,1)</f>
        <v/>
      </c>
      <c r="AHC16">
        <f>IF('calcA'!BA$106=1,EZ16+ABO16,1)</f>
        <v/>
      </c>
      <c r="AHD16">
        <f>IF('calcA'!BB$106=1,FA16+ABP16,1)</f>
        <v/>
      </c>
      <c r="AHE16">
        <f>IF('calcA'!BC$106=1,FB16+ABQ16,1)</f>
        <v/>
      </c>
      <c r="AHF16">
        <f>IF('calcA'!BD$106=1,FC16+ABR16,1)</f>
        <v/>
      </c>
      <c r="AHG16">
        <f>IF('calcA'!BE$106=1,FD16+ABS16,1)</f>
        <v/>
      </c>
      <c r="AHH16">
        <f>IF('calcA'!BF$106=1,FE16+ABT16,1)</f>
        <v/>
      </c>
      <c r="AHI16">
        <f>IF('calcA'!BG$106=1,FF16+ABU16,1)</f>
        <v/>
      </c>
      <c r="AHJ16">
        <f>IF('calcA'!BH$106=1,FG16+ABV16,1)</f>
        <v/>
      </c>
      <c r="AHK16">
        <f>IF('calcA'!BI$106=1,FH16+ABW16,1)</f>
        <v/>
      </c>
      <c r="AHL16">
        <f>IF('calcA'!BJ$106=1,FI16+ABX16,1)</f>
        <v/>
      </c>
      <c r="AHM16">
        <f>IF('calcA'!BK$106=1,FJ16+ABY16,1)</f>
        <v/>
      </c>
      <c r="AHN16">
        <f>IF('calcA'!BL$106=1,FK16+ABZ16,1)</f>
        <v/>
      </c>
      <c r="AHO16">
        <f>IF('calcA'!BM$106=1,FL16+ACA16,1)</f>
        <v/>
      </c>
      <c r="AHP16">
        <f>IF('calcA'!BN$106=1,FM16+ACB16,1)</f>
        <v/>
      </c>
      <c r="AHQ16">
        <f>IF('calcA'!BO$106=1,FN16+ACC16,1)</f>
        <v/>
      </c>
      <c r="AHR16">
        <f>IF('calcA'!BP$106=1,FO16+ACD16,1)</f>
        <v/>
      </c>
      <c r="AHS16">
        <f>IF('calcA'!BQ$106=1,FP16+ACE16,1)</f>
        <v/>
      </c>
      <c r="AHT16">
        <f>IF('calcA'!BR$106=1,FQ16+ACF16,1)</f>
        <v/>
      </c>
      <c r="AHU16">
        <f>IF('calcA'!BS$106=1,FR16+ACG16,1)</f>
        <v/>
      </c>
      <c r="AHV16">
        <f>IF('calcA'!BT$106=1,FS16+ACH16,1)</f>
        <v/>
      </c>
      <c r="AHW16">
        <f>IF('calcA'!BU$106=1,FT16+ACI16,1)</f>
        <v/>
      </c>
      <c r="AHX16">
        <f>IF('calcA'!BV$106=1,FU16+ACJ16,1)</f>
        <v/>
      </c>
      <c r="AHY16">
        <f>IF('calcA'!BW$106=1,FV16+ACK16,1)</f>
        <v/>
      </c>
      <c r="AHZ16">
        <f>IF('calcA'!BX$106=1,FW16+ACL16,1)</f>
        <v/>
      </c>
      <c r="AIA16">
        <f>IF('calcA'!BY$106=1,FX16+ACM16,1)</f>
        <v/>
      </c>
      <c r="AIB16">
        <f>IF('calcA'!BZ$106=1,FY16+ACN16,1)</f>
        <v/>
      </c>
      <c r="AIC16">
        <f>IF('calcA'!CA$106=1,FZ16+ACO16,1)</f>
        <v/>
      </c>
      <c r="AID16">
        <f>IF('calcA'!CB$106=1,GA16+ACP16,1)</f>
        <v/>
      </c>
      <c r="AIE16">
        <f>IF('calcA'!CC$106=1,GB16+ACQ16,1)</f>
        <v/>
      </c>
      <c r="AIF16">
        <f>IF('calcA'!CD$106=1,GC16+ACR16,1)</f>
        <v/>
      </c>
      <c r="AIG16">
        <f>IF('calcA'!CE$106=1,GD16+ACS16,1)</f>
        <v/>
      </c>
      <c r="AIH16">
        <f>IF('calcA'!CF$106=1,GE16+ACT16,1)</f>
        <v/>
      </c>
      <c r="AII16">
        <f>IF('calcA'!CG$106=1,GF16+ACU16,1)</f>
        <v/>
      </c>
      <c r="AIJ16">
        <f>IF('calcA'!CH$106=1,GG16+ACV16,1)</f>
        <v/>
      </c>
      <c r="AIK16">
        <f>IF('calcA'!CI$106=1,GH16+ACW16,1)</f>
        <v/>
      </c>
      <c r="AIL16">
        <f>IF('calcA'!CJ$106=1,GI16+ACX16,1)</f>
        <v/>
      </c>
      <c r="AIM16">
        <f>IF('calcA'!CK$106=1,GJ16+ACY16,1)</f>
        <v/>
      </c>
      <c r="AIN16">
        <f>IF('calcA'!CL$106=1,GK16+ACZ16,1)</f>
        <v/>
      </c>
      <c r="AIO16">
        <f>IF('calcA'!CM$106=1,GL16+ADA16,1)</f>
        <v/>
      </c>
      <c r="AIP16">
        <f>IF('calcA'!CN$106=1,GM16+ADB16,1)</f>
        <v/>
      </c>
      <c r="AIQ16">
        <f>IF('calcA'!CO$106=1,GN16+ADC16,1)</f>
        <v/>
      </c>
      <c r="AIR16">
        <f>IF('calcA'!CP$106=1,GO16+ADD16,1)</f>
        <v/>
      </c>
      <c r="AIS16">
        <f>IF('calcA'!CQ$106=1,GP16+ADE16,1)</f>
        <v/>
      </c>
      <c r="AIT16">
        <f>IF('calcA'!CR$106=1,GQ16+ADF16,1)</f>
        <v/>
      </c>
      <c r="AIU16">
        <f>IF('calcA'!CS$106=1,GR16+ADG16,1)</f>
        <v/>
      </c>
      <c r="AIV16">
        <f>IF('calcA'!CT$106=1,GS16+ADH16,1)</f>
        <v/>
      </c>
      <c r="AIW16">
        <f>IF('calcA'!CU$106=1,GT16+ADI16,1)</f>
        <v/>
      </c>
      <c r="AIX16">
        <f>IF('calcA'!CV$106=1,GU16+ADJ16,1)</f>
        <v/>
      </c>
      <c r="AIY16">
        <f>IF('calcA'!CW$106=1,GV16+ADK16,1)</f>
        <v/>
      </c>
      <c r="AIZ16">
        <f>IF('calcA'!CX$106=1,GW16+ADL16,1)</f>
        <v/>
      </c>
      <c r="AJA16">
        <f>IF('calcA'!CY$106=1,GX16+ADM16,1)</f>
        <v/>
      </c>
      <c r="AJB16">
        <f>IF('calcA'!CZ$106=1,GY16+ADN16,1)</f>
        <v/>
      </c>
      <c r="AJC16">
        <f>IF('calcA'!DA$106=1,GZ16+ADO16,1)</f>
        <v/>
      </c>
      <c r="AJD16">
        <f>IF('calcA'!DB$106=1,HA16+ADP16,1)</f>
        <v/>
      </c>
      <c r="AJE16">
        <f>IF('calcA'!DC$106=1,HB16+ADQ16,1)</f>
        <v/>
      </c>
      <c r="AJF16">
        <f>IF('calcA'!DD$106=1,HC16+ADR16,1)</f>
        <v/>
      </c>
      <c r="AJG16">
        <f>IF('calcA'!DE$106=1,HD16+ADS16,1)</f>
        <v/>
      </c>
      <c r="AJH16">
        <f>IF('calcA'!DF$106=1,HE16+ADT16,1)</f>
        <v/>
      </c>
      <c r="AJI16">
        <f>IF('calcA'!DG$106=1,HF16+ADU16,1)</f>
        <v/>
      </c>
      <c r="AJJ16">
        <f>IF('calcA'!DH$106=1,HG16+ADV16,1)</f>
        <v/>
      </c>
      <c r="AJK16">
        <f>IF('calcA'!DI$106=1,HH16+ADW16,1)</f>
        <v/>
      </c>
      <c r="AJL16">
        <f>IF('calcA'!DJ$106=1,HI16+ADX16,1)</f>
        <v/>
      </c>
      <c r="AJM16">
        <f>IF('calcA'!DK$106=1,HJ16+ADY16,1)</f>
        <v/>
      </c>
      <c r="AJN16">
        <f>IF('calcA'!DL$106=1,HK16+ADZ16,1)</f>
        <v/>
      </c>
      <c r="AJO16">
        <f>IF('calcA'!DM$106=1,HL16+AEA16,1)</f>
        <v/>
      </c>
      <c r="AJP16">
        <f>IF('calcA'!DN$106=1,HM16+AEB16,1)</f>
        <v/>
      </c>
      <c r="AJQ16">
        <f>IF('calcA'!DO$106=1,HN16+AEC16,1)</f>
        <v/>
      </c>
      <c r="AJR16">
        <f>IF('calcA'!DP$106=1,HO16+AED16,1)</f>
        <v/>
      </c>
      <c r="AJS16">
        <f>IF('calcA'!DQ$106=1,HP16+AEE16,1)</f>
        <v/>
      </c>
      <c r="AJT16">
        <f>IF('calcA'!DR$106=1,HQ16+AEF16,1)</f>
        <v/>
      </c>
      <c r="AJU16">
        <f>IF('calcA'!DS$106=1,HR16+AEG16,1)</f>
        <v/>
      </c>
      <c r="AJV16">
        <f>IF('calcA'!DT$106=1,HS16+AEH16,1)</f>
        <v/>
      </c>
      <c r="AJW16">
        <f>IF('calcA'!DU$106=1,HT16+AEI16,1)</f>
        <v/>
      </c>
      <c r="AJX16">
        <f>IF('calcA'!DV$106=1,HU16+AEJ16,1)</f>
        <v/>
      </c>
      <c r="AJY16">
        <f>IF('calcA'!DW$106=1,HV16+AEK16,1)</f>
        <v/>
      </c>
      <c r="AJZ16">
        <f>IF('calcA'!DX$106=1,HW16+AEL16,1)</f>
        <v/>
      </c>
      <c r="AKA16">
        <f>IF('calcA'!DY$106=1,HX16+AEM16,1)</f>
        <v/>
      </c>
      <c r="AKB16">
        <f>IF('calcA'!DZ$106=1,HY16+AEN16,1)</f>
        <v/>
      </c>
      <c r="AKC16">
        <f>IF('calcA'!EA$106=1,HZ16+AEO16,1)</f>
        <v/>
      </c>
      <c r="AKD16">
        <f>IF('calcA'!EB$106=1,IA16+AEP16,1)</f>
        <v/>
      </c>
      <c r="AKE16">
        <f>IF('calcA'!EC$106=1,IB16+AEQ16,1)</f>
        <v/>
      </c>
      <c r="AKF16">
        <f>IF('calcA'!ED$106=1,IC16+AER16,1)</f>
        <v/>
      </c>
      <c r="AKG16">
        <f>IF('calcA'!EE$106=1,ID16+AES16,1)</f>
        <v/>
      </c>
      <c r="AKH16">
        <f>IF('calcA'!EF$106=1,IE16+AET16,1)</f>
        <v/>
      </c>
      <c r="AKI16">
        <f>IF('calcA'!EG$106=1,IF16+AEU16,1)</f>
        <v/>
      </c>
      <c r="AKJ16">
        <f>IF('calcA'!EH$106=1,IG16+AEV16,1)</f>
        <v/>
      </c>
      <c r="AKK16">
        <f>IF('calcA'!EI$106=1,IH16+AEW16,1)</f>
        <v/>
      </c>
      <c r="AKL16">
        <f>IF('calcA'!EJ$106=1,II16+AEX16,1)</f>
        <v/>
      </c>
      <c r="AKM16">
        <f>IF('calcA'!EK$106=1,IJ16+AEY16,1)</f>
        <v/>
      </c>
      <c r="AKN16">
        <f>IF('calcA'!EL$106=1,IK16+AEZ16,1)</f>
        <v/>
      </c>
      <c r="AKO16">
        <f>IF('calcA'!EM$106=1,IL16+AFA16,1)</f>
        <v/>
      </c>
      <c r="AKP16">
        <f>IF('calcA'!EN$106=1,IM16+AFB16,1)</f>
        <v/>
      </c>
      <c r="AKQ16">
        <f>IF('calcA'!EO$106=1,IN16+AFC16,1)</f>
        <v/>
      </c>
      <c r="AKR16">
        <f>IF('calcA'!EP$106=1,IO16+AFD16,1)</f>
        <v/>
      </c>
      <c r="AKS16" t="n">
        <v>1</v>
      </c>
    </row>
    <row r="17">
      <c r="A17" t="n">
        <v>15</v>
      </c>
      <c r="B17">
        <f>IF(MIN(BM17:CZ17)&gt;=1000000000,0,MATCH(MIN(BM17:CZ17),BM17:CZ17,0))</f>
        <v/>
      </c>
      <c r="C17">
        <f>IF(MIN(OF17:TS17)&gt;=1000000000,0,MATCH(MIN(OF17:TS17),OF17:TS17,0))</f>
        <v/>
      </c>
      <c r="D17">
        <f>IF(C17&gt;0,INDEX('calcA'!$D$5:$EQ$5,C17),0)</f>
        <v/>
      </c>
      <c r="E17">
        <f>IF(B17=0,0,INDEX('calcA'!$IQ$10:$IQ$54,B17))</f>
        <v/>
      </c>
      <c r="F17">
        <f>IF(B17=0,0,INDEX('calcA'!$IP$10:$IP$54,B17))</f>
        <v/>
      </c>
      <c r="G17">
        <f>IF(AND(C17&gt;0,E17&gt;0),IF(AND(INDEX('calcA'!$D$106:$EQ$106,C17)=1,INDEX($IQ17:$OD17,C17)=1),C17+1,0),0)</f>
        <v/>
      </c>
      <c r="H17">
        <f>IF(B17=0,0,INDEX('calcA'!$IW$10:$IW$54,B17))</f>
        <v/>
      </c>
      <c r="U17">
        <f>IF(B17=0,0,INDEX('calcA'!$IX$10:$IX$54,B17))</f>
        <v/>
      </c>
      <c r="V17">
        <f>IF(B17=0,0,INDEX('calcA'!$JF$10:$JF$54,B17))</f>
        <v/>
      </c>
      <c r="W17">
        <f>IF(B17=0,0,IF(IF(E17=2,SUMPRODUCT(INDEX('calcA'!$D$60:$EQ$99,B17,0),$DB17:$IO17,$IQ17:$OD17),SUMPRODUCT(INDEX('calcA'!$D$60:$EQ$99,B17,0),$DB17:$IO17))=0,1,0))</f>
        <v/>
      </c>
      <c r="X17">
        <f>MAX(X16,IF($B16=1,1,0))</f>
        <v/>
      </c>
      <c r="Y17">
        <f>MAX(Y16,IF($B16=2,1,0))</f>
        <v/>
      </c>
      <c r="Z17">
        <f>MAX(Z16,IF($B16=3,1,0))</f>
        <v/>
      </c>
      <c r="AA17">
        <f>MAX(AA16,IF($B16=4,1,0))</f>
        <v/>
      </c>
      <c r="AB17">
        <f>MAX(AB16,IF($B16=5,1,0))</f>
        <v/>
      </c>
      <c r="AC17">
        <f>MAX(AC16,IF($B16=6,1,0))</f>
        <v/>
      </c>
      <c r="AD17">
        <f>MAX(AD16,IF($B16=7,1,0))</f>
        <v/>
      </c>
      <c r="AE17">
        <f>MAX(AE16,IF($B16=8,1,0))</f>
        <v/>
      </c>
      <c r="AF17">
        <f>MAX(AF16,IF($B16=9,1,0))</f>
        <v/>
      </c>
      <c r="AG17">
        <f>MAX(AG16,IF($B16=10,1,0))</f>
        <v/>
      </c>
      <c r="AH17">
        <f>MAX(AH16,IF($B16=11,1,0))</f>
        <v/>
      </c>
      <c r="AI17">
        <f>MAX(AI16,IF($B16=12,1,0))</f>
        <v/>
      </c>
      <c r="AJ17">
        <f>MAX(AJ16,IF($B16=13,1,0))</f>
        <v/>
      </c>
      <c r="AK17">
        <f>MAX(AK16,IF($B16=14,1,0))</f>
        <v/>
      </c>
      <c r="AL17">
        <f>MAX(AL16,IF($B16=15,1,0))</f>
        <v/>
      </c>
      <c r="AM17">
        <f>MAX(AM16,IF($B16=16,1,0))</f>
        <v/>
      </c>
      <c r="AN17">
        <f>MAX(AN16,IF($B16=17,1,0))</f>
        <v/>
      </c>
      <c r="AO17">
        <f>MAX(AO16,IF($B16=18,1,0))</f>
        <v/>
      </c>
      <c r="AP17">
        <f>MAX(AP16,IF($B16=19,1,0))</f>
        <v/>
      </c>
      <c r="AQ17">
        <f>MAX(AQ16,IF($B16=20,1,0))</f>
        <v/>
      </c>
      <c r="AR17">
        <f>MAX(AR16,IF($B16=21,1,0))</f>
        <v/>
      </c>
      <c r="AS17">
        <f>MAX(AS16,IF($B16=22,1,0))</f>
        <v/>
      </c>
      <c r="AT17">
        <f>MAX(AT16,IF($B16=23,1,0))</f>
        <v/>
      </c>
      <c r="AU17">
        <f>MAX(AU16,IF($B16=24,1,0))</f>
        <v/>
      </c>
      <c r="AV17">
        <f>MAX(AV16,IF($B16=25,1,0))</f>
        <v/>
      </c>
      <c r="AW17">
        <f>MAX(AW16,IF($B16=26,1,0))</f>
        <v/>
      </c>
      <c r="AX17">
        <f>MAX(AX16,IF($B16=27,1,0))</f>
        <v/>
      </c>
      <c r="AY17">
        <f>MAX(AY16,IF($B16=28,1,0))</f>
        <v/>
      </c>
      <c r="AZ17">
        <f>MAX(AZ16,IF($B16=29,1,0))</f>
        <v/>
      </c>
      <c r="BA17">
        <f>MAX(BA16,IF($B16=30,1,0))</f>
        <v/>
      </c>
      <c r="BB17">
        <f>MAX(BB16,IF($B16=31,1,0))</f>
        <v/>
      </c>
      <c r="BC17">
        <f>MAX(BC16,IF($B16=32,1,0))</f>
        <v/>
      </c>
      <c r="BD17">
        <f>MAX(BD16,IF($B16=33,1,0))</f>
        <v/>
      </c>
      <c r="BE17">
        <f>MAX(BE16,IF($B16=34,1,0))</f>
        <v/>
      </c>
      <c r="BF17">
        <f>MAX(BF16,IF($B16=35,1,0))</f>
        <v/>
      </c>
      <c r="BG17">
        <f>MAX(BG16,IF($B16=36,1,0))</f>
        <v/>
      </c>
      <c r="BH17">
        <f>MAX(BH16,IF($B16=37,1,0))</f>
        <v/>
      </c>
      <c r="BI17">
        <f>MAX(BI16,IF($B16=38,1,0))</f>
        <v/>
      </c>
      <c r="BJ17">
        <f>MAX(BJ16,IF($B16=39,1,0))</f>
        <v/>
      </c>
      <c r="BK17">
        <f>MAX(BK16,IF($B16=40,1,0))</f>
        <v/>
      </c>
      <c r="BM17">
        <f>IF(OR(X17=1,calcA!$A$6=0),1000000000,IF('calcA'!$JF$10=1,0,100000000)+IF('calcA'!$IQ$10=2,SUMPRODUCT('calcA'!$D$60:$EQ$60,$DB17:$IO17,$IQ17:$OD17)*1000+SUMPRODUCT('calcA'!$D$60:$EQ$60,$DB17:$IO17+$ZQ17:$AFD17,$AFF17:$AKS17),SUMPRODUCT('calcA'!$D$60:$EQ$60,$DB17:$IO17*1001+$ZQ17:$AFD17))*100+1)</f>
        <v/>
      </c>
      <c r="BN17">
        <f>IF(OR(Y17=1,calcA!$A$6=0),1000000000,IF('calcA'!$JF$11=1,0,100000000)+IF('calcA'!$IQ$11=2,SUMPRODUCT('calcA'!$D$61:$EQ$61,$DB17:$IO17,$IQ17:$OD17)*1000+SUMPRODUCT('calcA'!$D$61:$EQ$61,$DB17:$IO17+$ZQ17:$AFD17,$AFF17:$AKS17),SUMPRODUCT('calcA'!$D$61:$EQ$61,$DB17:$IO17*1001+$ZQ17:$AFD17))*100+2)</f>
        <v/>
      </c>
      <c r="BO17">
        <f>IF(OR(Z17=1,calcA!$A$6=0),1000000000,IF('calcA'!$JF$12=1,0,100000000)+IF('calcA'!$IQ$12=2,SUMPRODUCT('calcA'!$D$62:$EQ$62,$DB17:$IO17,$IQ17:$OD17)*1000+SUMPRODUCT('calcA'!$D$62:$EQ$62,$DB17:$IO17+$ZQ17:$AFD17,$AFF17:$AKS17),SUMPRODUCT('calcA'!$D$62:$EQ$62,$DB17:$IO17*1001+$ZQ17:$AFD17))*100+3)</f>
        <v/>
      </c>
      <c r="BP17">
        <f>IF(OR(AA17=1,calcA!$A$6=0),1000000000,IF('calcA'!$JF$13=1,0,100000000)+IF('calcA'!$IQ$13=2,SUMPRODUCT('calcA'!$D$63:$EQ$63,$DB17:$IO17,$IQ17:$OD17)*1000+SUMPRODUCT('calcA'!$D$63:$EQ$63,$DB17:$IO17+$ZQ17:$AFD17,$AFF17:$AKS17),SUMPRODUCT('calcA'!$D$63:$EQ$63,$DB17:$IO17*1001+$ZQ17:$AFD17))*100+4)</f>
        <v/>
      </c>
      <c r="BQ17">
        <f>IF(OR(AB17=1,calcA!$A$6=0),1000000000,IF('calcA'!$JF$14=1,0,100000000)+IF('calcA'!$IQ$14=2,SUMPRODUCT('calcA'!$D$64:$EQ$64,$DB17:$IO17,$IQ17:$OD17)*1000+SUMPRODUCT('calcA'!$D$64:$EQ$64,$DB17:$IO17+$ZQ17:$AFD17,$AFF17:$AKS17),SUMPRODUCT('calcA'!$D$64:$EQ$64,$DB17:$IO17*1001+$ZQ17:$AFD17))*100+5)</f>
        <v/>
      </c>
      <c r="BR17">
        <f>IF(OR(AC17=1,calcA!$A$6=0),1000000000,IF('calcA'!$JF$15=1,0,100000000)+IF('calcA'!$IQ$15=2,SUMPRODUCT('calcA'!$D$65:$EQ$65,$DB17:$IO17,$IQ17:$OD17)*1000+SUMPRODUCT('calcA'!$D$65:$EQ$65,$DB17:$IO17+$ZQ17:$AFD17,$AFF17:$AKS17),SUMPRODUCT('calcA'!$D$65:$EQ$65,$DB17:$IO17*1001+$ZQ17:$AFD17))*100+6)</f>
        <v/>
      </c>
      <c r="BS17">
        <f>IF(OR(AD17=1,calcA!$A$6=0),1000000000,IF('calcA'!$JF$16=1,0,100000000)+IF('calcA'!$IQ$16=2,SUMPRODUCT('calcA'!$D$66:$EQ$66,$DB17:$IO17,$IQ17:$OD17)*1000+SUMPRODUCT('calcA'!$D$66:$EQ$66,$DB17:$IO17+$ZQ17:$AFD17,$AFF17:$AKS17),SUMPRODUCT('calcA'!$D$66:$EQ$66,$DB17:$IO17*1001+$ZQ17:$AFD17))*100+7)</f>
        <v/>
      </c>
      <c r="BT17">
        <f>IF(OR(AE17=1,calcA!$A$6=0),1000000000,IF('calcA'!$JF$17=1,0,100000000)+IF('calcA'!$IQ$17=2,SUMPRODUCT('calcA'!$D$67:$EQ$67,$DB17:$IO17,$IQ17:$OD17)*1000+SUMPRODUCT('calcA'!$D$67:$EQ$67,$DB17:$IO17+$ZQ17:$AFD17,$AFF17:$AKS17),SUMPRODUCT('calcA'!$D$67:$EQ$67,$DB17:$IO17*1001+$ZQ17:$AFD17))*100+8)</f>
        <v/>
      </c>
      <c r="BU17">
        <f>IF(OR(AF17=1,calcA!$A$6=0),1000000000,IF('calcA'!$JF$18=1,0,100000000)+IF('calcA'!$IQ$18=2,SUMPRODUCT('calcA'!$D$68:$EQ$68,$DB17:$IO17,$IQ17:$OD17)*1000+SUMPRODUCT('calcA'!$D$68:$EQ$68,$DB17:$IO17+$ZQ17:$AFD17,$AFF17:$AKS17),SUMPRODUCT('calcA'!$D$68:$EQ$68,$DB17:$IO17*1001+$ZQ17:$AFD17))*100+9)</f>
        <v/>
      </c>
      <c r="BV17">
        <f>IF(OR(AG17=1,calcA!$A$6=0),1000000000,IF('calcA'!$JF$19=1,0,100000000)+IF('calcA'!$IQ$19=2,SUMPRODUCT('calcA'!$D$69:$EQ$69,$DB17:$IO17,$IQ17:$OD17)*1000+SUMPRODUCT('calcA'!$D$69:$EQ$69,$DB17:$IO17+$ZQ17:$AFD17,$AFF17:$AKS17),SUMPRODUCT('calcA'!$D$69:$EQ$69,$DB17:$IO17*1001+$ZQ17:$AFD17))*100+10)</f>
        <v/>
      </c>
      <c r="BW17">
        <f>IF(OR(AH17=1,calcA!$A$6=0),1000000000,IF('calcA'!$JF$20=1,0,100000000)+IF('calcA'!$IQ$20=2,SUMPRODUCT('calcA'!$D$70:$EQ$70,$DB17:$IO17,$IQ17:$OD17)*1000+SUMPRODUCT('calcA'!$D$70:$EQ$70,$DB17:$IO17+$ZQ17:$AFD17,$AFF17:$AKS17),SUMPRODUCT('calcA'!$D$70:$EQ$70,$DB17:$IO17*1001+$ZQ17:$AFD17))*100+11)</f>
        <v/>
      </c>
      <c r="BX17">
        <f>IF(OR(AI17=1,calcA!$A$6=0),1000000000,IF('calcA'!$JF$21=1,0,100000000)+IF('calcA'!$IQ$21=2,SUMPRODUCT('calcA'!$D$71:$EQ$71,$DB17:$IO17,$IQ17:$OD17)*1000+SUMPRODUCT('calcA'!$D$71:$EQ$71,$DB17:$IO17+$ZQ17:$AFD17,$AFF17:$AKS17),SUMPRODUCT('calcA'!$D$71:$EQ$71,$DB17:$IO17*1001+$ZQ17:$AFD17))*100+12)</f>
        <v/>
      </c>
      <c r="BY17">
        <f>IF(OR(AJ17=1,calcA!$A$6=0),1000000000,IF('calcA'!$JF$22=1,0,100000000)+IF('calcA'!$IQ$22=2,SUMPRODUCT('calcA'!$D$72:$EQ$72,$DB17:$IO17,$IQ17:$OD17)*1000+SUMPRODUCT('calcA'!$D$72:$EQ$72,$DB17:$IO17+$ZQ17:$AFD17,$AFF17:$AKS17),SUMPRODUCT('calcA'!$D$72:$EQ$72,$DB17:$IO17*1001+$ZQ17:$AFD17))*100+13)</f>
        <v/>
      </c>
      <c r="BZ17">
        <f>IF(OR(AK17=1,calcA!$A$6=0),1000000000,IF('calcA'!$JF$23=1,0,100000000)+IF('calcA'!$IQ$23=2,SUMPRODUCT('calcA'!$D$73:$EQ$73,$DB17:$IO17,$IQ17:$OD17)*1000+SUMPRODUCT('calcA'!$D$73:$EQ$73,$DB17:$IO17+$ZQ17:$AFD17,$AFF17:$AKS17),SUMPRODUCT('calcA'!$D$73:$EQ$73,$DB17:$IO17*1001+$ZQ17:$AFD17))*100+14)</f>
        <v/>
      </c>
      <c r="CA17">
        <f>IF(OR(AL17=1,calcA!$A$6=0),1000000000,IF('calcA'!$JF$24=1,0,100000000)+IF('calcA'!$IQ$24=2,SUMPRODUCT('calcA'!$D$74:$EQ$74,$DB17:$IO17,$IQ17:$OD17)*1000+SUMPRODUCT('calcA'!$D$74:$EQ$74,$DB17:$IO17+$ZQ17:$AFD17,$AFF17:$AKS17),SUMPRODUCT('calcA'!$D$74:$EQ$74,$DB17:$IO17*1001+$ZQ17:$AFD17))*100+15)</f>
        <v/>
      </c>
      <c r="CB17">
        <f>IF(OR(AM17=1,calcA!$A$6=0),1000000000,IF('calcA'!$JF$25=1,0,100000000)+IF('calcA'!$IQ$25=2,SUMPRODUCT('calcA'!$D$75:$EQ$75,$DB17:$IO17,$IQ17:$OD17)*1000+SUMPRODUCT('calcA'!$D$75:$EQ$75,$DB17:$IO17+$ZQ17:$AFD17,$AFF17:$AKS17),SUMPRODUCT('calcA'!$D$75:$EQ$75,$DB17:$IO17*1001+$ZQ17:$AFD17))*100+16)</f>
        <v/>
      </c>
      <c r="CC17">
        <f>IF(OR(AN17=1,calcA!$A$6=0),1000000000,IF('calcA'!$JF$26=1,0,100000000)+IF('calcA'!$IQ$26=2,SUMPRODUCT('calcA'!$D$76:$EQ$76,$DB17:$IO17,$IQ17:$OD17)*1000+SUMPRODUCT('calcA'!$D$76:$EQ$76,$DB17:$IO17+$ZQ17:$AFD17,$AFF17:$AKS17),SUMPRODUCT('calcA'!$D$76:$EQ$76,$DB17:$IO17*1001+$ZQ17:$AFD17))*100+17)</f>
        <v/>
      </c>
      <c r="CD17">
        <f>IF(OR(AO17=1,calcA!$A$6=0),1000000000,IF('calcA'!$JF$27=1,0,100000000)+IF('calcA'!$IQ$27=2,SUMPRODUCT('calcA'!$D$77:$EQ$77,$DB17:$IO17,$IQ17:$OD17)*1000+SUMPRODUCT('calcA'!$D$77:$EQ$77,$DB17:$IO17+$ZQ17:$AFD17,$AFF17:$AKS17),SUMPRODUCT('calcA'!$D$77:$EQ$77,$DB17:$IO17*1001+$ZQ17:$AFD17))*100+18)</f>
        <v/>
      </c>
      <c r="CE17">
        <f>IF(OR(AP17=1,calcA!$A$6=0),1000000000,IF('calcA'!$JF$28=1,0,100000000)+IF('calcA'!$IQ$28=2,SUMPRODUCT('calcA'!$D$78:$EQ$78,$DB17:$IO17,$IQ17:$OD17)*1000+SUMPRODUCT('calcA'!$D$78:$EQ$78,$DB17:$IO17+$ZQ17:$AFD17,$AFF17:$AKS17),SUMPRODUCT('calcA'!$D$78:$EQ$78,$DB17:$IO17*1001+$ZQ17:$AFD17))*100+19)</f>
        <v/>
      </c>
      <c r="CF17">
        <f>IF(OR(AQ17=1,calcA!$A$6=0),1000000000,IF('calcA'!$JF$29=1,0,100000000)+IF('calcA'!$IQ$29=2,SUMPRODUCT('calcA'!$D$79:$EQ$79,$DB17:$IO17,$IQ17:$OD17)*1000+SUMPRODUCT('calcA'!$D$79:$EQ$79,$DB17:$IO17+$ZQ17:$AFD17,$AFF17:$AKS17),SUMPRODUCT('calcA'!$D$79:$EQ$79,$DB17:$IO17*1001+$ZQ17:$AFD17))*100+20)</f>
        <v/>
      </c>
      <c r="CG17">
        <f>IF(OR(AR17=1,calcA!$A$6=0),1000000000,IF('calcA'!$JF$30=1,0,100000000)+IF('calcA'!$IQ$30=2,SUMPRODUCT('calcA'!$D$80:$EQ$80,$DB17:$IO17,$IQ17:$OD17)*1000+SUMPRODUCT('calcA'!$D$80:$EQ$80,$DB17:$IO17+$ZQ17:$AFD17,$AFF17:$AKS17),SUMPRODUCT('calcA'!$D$80:$EQ$80,$DB17:$IO17*1001+$ZQ17:$AFD17))*100+21)</f>
        <v/>
      </c>
      <c r="CH17">
        <f>IF(OR(AS17=1,calcA!$A$6=0),1000000000,IF('calcA'!$JF$31=1,0,100000000)+IF('calcA'!$IQ$31=2,SUMPRODUCT('calcA'!$D$81:$EQ$81,$DB17:$IO17,$IQ17:$OD17)*1000+SUMPRODUCT('calcA'!$D$81:$EQ$81,$DB17:$IO17+$ZQ17:$AFD17,$AFF17:$AKS17),SUMPRODUCT('calcA'!$D$81:$EQ$81,$DB17:$IO17*1001+$ZQ17:$AFD17))*100+22)</f>
        <v/>
      </c>
      <c r="CI17">
        <f>IF(OR(AT17=1,calcA!$A$6=0),1000000000,IF('calcA'!$JF$32=1,0,100000000)+IF('calcA'!$IQ$32=2,SUMPRODUCT('calcA'!$D$82:$EQ$82,$DB17:$IO17,$IQ17:$OD17)*1000+SUMPRODUCT('calcA'!$D$82:$EQ$82,$DB17:$IO17+$ZQ17:$AFD17,$AFF17:$AKS17),SUMPRODUCT('calcA'!$D$82:$EQ$82,$DB17:$IO17*1001+$ZQ17:$AFD17))*100+23)</f>
        <v/>
      </c>
      <c r="CJ17">
        <f>IF(OR(AU17=1,calcA!$A$6=0),1000000000,IF('calcA'!$JF$33=1,0,100000000)+IF('calcA'!$IQ$33=2,SUMPRODUCT('calcA'!$D$83:$EQ$83,$DB17:$IO17,$IQ17:$OD17)*1000+SUMPRODUCT('calcA'!$D$83:$EQ$83,$DB17:$IO17+$ZQ17:$AFD17,$AFF17:$AKS17),SUMPRODUCT('calcA'!$D$83:$EQ$83,$DB17:$IO17*1001+$ZQ17:$AFD17))*100+24)</f>
        <v/>
      </c>
      <c r="CK17">
        <f>IF(OR(AV17=1,calcA!$A$6=0),1000000000,IF('calcA'!$JF$34=1,0,100000000)+IF('calcA'!$IQ$34=2,SUMPRODUCT('calcA'!$D$84:$EQ$84,$DB17:$IO17,$IQ17:$OD17)*1000+SUMPRODUCT('calcA'!$D$84:$EQ$84,$DB17:$IO17+$ZQ17:$AFD17,$AFF17:$AKS17),SUMPRODUCT('calcA'!$D$84:$EQ$84,$DB17:$IO17*1001+$ZQ17:$AFD17))*100+25)</f>
        <v/>
      </c>
      <c r="CL17">
        <f>IF(OR(AW17=1,calcA!$A$6=0),1000000000,IF('calcA'!$JF$35=1,0,100000000)+IF('calcA'!$IQ$35=2,SUMPRODUCT('calcA'!$D$85:$EQ$85,$DB17:$IO17,$IQ17:$OD17)*1000+SUMPRODUCT('calcA'!$D$85:$EQ$85,$DB17:$IO17+$ZQ17:$AFD17,$AFF17:$AKS17),SUMPRODUCT('calcA'!$D$85:$EQ$85,$DB17:$IO17*1001+$ZQ17:$AFD17))*100+26)</f>
        <v/>
      </c>
      <c r="CM17">
        <f>IF(OR(AX17=1,calcA!$A$6=0),1000000000,IF('calcA'!$JF$36=1,0,100000000)+IF('calcA'!$IQ$36=2,SUMPRODUCT('calcA'!$D$86:$EQ$86,$DB17:$IO17,$IQ17:$OD17)*1000+SUMPRODUCT('calcA'!$D$86:$EQ$86,$DB17:$IO17+$ZQ17:$AFD17,$AFF17:$AKS17),SUMPRODUCT('calcA'!$D$86:$EQ$86,$DB17:$IO17*1001+$ZQ17:$AFD17))*100+27)</f>
        <v/>
      </c>
      <c r="CN17">
        <f>IF(OR(AY17=1,calcA!$A$6=0),1000000000,IF('calcA'!$JF$37=1,0,100000000)+IF('calcA'!$IQ$37=2,SUMPRODUCT('calcA'!$D$87:$EQ$87,$DB17:$IO17,$IQ17:$OD17)*1000+SUMPRODUCT('calcA'!$D$87:$EQ$87,$DB17:$IO17+$ZQ17:$AFD17,$AFF17:$AKS17),SUMPRODUCT('calcA'!$D$87:$EQ$87,$DB17:$IO17*1001+$ZQ17:$AFD17))*100+28)</f>
        <v/>
      </c>
      <c r="CO17">
        <f>IF(OR(AZ17=1,calcA!$A$6=0),1000000000,IF('calcA'!$JF$38=1,0,100000000)+IF('calcA'!$IQ$38=2,SUMPRODUCT('calcA'!$D$88:$EQ$88,$DB17:$IO17,$IQ17:$OD17)*1000+SUMPRODUCT('calcA'!$D$88:$EQ$88,$DB17:$IO17+$ZQ17:$AFD17,$AFF17:$AKS17),SUMPRODUCT('calcA'!$D$88:$EQ$88,$DB17:$IO17*1001+$ZQ17:$AFD17))*100+29)</f>
        <v/>
      </c>
      <c r="CP17">
        <f>IF(OR(BA17=1,calcA!$A$6=0),1000000000,IF('calcA'!$JF$39=1,0,100000000)+IF('calcA'!$IQ$39=2,SUMPRODUCT('calcA'!$D$89:$EQ$89,$DB17:$IO17,$IQ17:$OD17)*1000+SUMPRODUCT('calcA'!$D$89:$EQ$89,$DB17:$IO17+$ZQ17:$AFD17,$AFF17:$AKS17),SUMPRODUCT('calcA'!$D$89:$EQ$89,$DB17:$IO17*1001+$ZQ17:$AFD17))*100+30)</f>
        <v/>
      </c>
      <c r="CQ17">
        <f>IF(OR(BB17=1,calcA!$A$6=0),1000000000,IF('calcA'!$JF$40=1,0,100000000)+IF('calcA'!$IQ$40=2,SUMPRODUCT('calcA'!$D$90:$EQ$90,$DB17:$IO17,$IQ17:$OD17)*1000+SUMPRODUCT('calcA'!$D$90:$EQ$90,$DB17:$IO17+$ZQ17:$AFD17,$AFF17:$AKS17),SUMPRODUCT('calcA'!$D$90:$EQ$90,$DB17:$IO17*1001+$ZQ17:$AFD17))*100+31)</f>
        <v/>
      </c>
      <c r="CR17">
        <f>IF(OR(BC17=1,calcA!$A$6=0),1000000000,IF('calcA'!$JF$41=1,0,100000000)+IF('calcA'!$IQ$41=2,SUMPRODUCT('calcA'!$D$91:$EQ$91,$DB17:$IO17,$IQ17:$OD17)*1000+SUMPRODUCT('calcA'!$D$91:$EQ$91,$DB17:$IO17+$ZQ17:$AFD17,$AFF17:$AKS17),SUMPRODUCT('calcA'!$D$91:$EQ$91,$DB17:$IO17*1001+$ZQ17:$AFD17))*100+32)</f>
        <v/>
      </c>
      <c r="CS17">
        <f>IF(OR(BD17=1,calcA!$A$6=0),1000000000,IF('calcA'!$JF$42=1,0,100000000)+IF('calcA'!$IQ$42=2,SUMPRODUCT('calcA'!$D$92:$EQ$92,$DB17:$IO17,$IQ17:$OD17)*1000+SUMPRODUCT('calcA'!$D$92:$EQ$92,$DB17:$IO17+$ZQ17:$AFD17,$AFF17:$AKS17),SUMPRODUCT('calcA'!$D$92:$EQ$92,$DB17:$IO17*1001+$ZQ17:$AFD17))*100+33)</f>
        <v/>
      </c>
      <c r="CT17">
        <f>IF(OR(BE17=1,calcA!$A$6=0),1000000000,IF('calcA'!$JF$43=1,0,100000000)+IF('calcA'!$IQ$43=2,SUMPRODUCT('calcA'!$D$93:$EQ$93,$DB17:$IO17,$IQ17:$OD17)*1000+SUMPRODUCT('calcA'!$D$93:$EQ$93,$DB17:$IO17+$ZQ17:$AFD17,$AFF17:$AKS17),SUMPRODUCT('calcA'!$D$93:$EQ$93,$DB17:$IO17*1001+$ZQ17:$AFD17))*100+34)</f>
        <v/>
      </c>
      <c r="CU17">
        <f>IF(OR(BF17=1,calcA!$A$6=0),1000000000,IF('calcA'!$JF$44=1,0,100000000)+IF('calcA'!$IQ$44=2,SUMPRODUCT('calcA'!$D$94:$EQ$94,$DB17:$IO17,$IQ17:$OD17)*1000+SUMPRODUCT('calcA'!$D$94:$EQ$94,$DB17:$IO17+$ZQ17:$AFD17,$AFF17:$AKS17),SUMPRODUCT('calcA'!$D$94:$EQ$94,$DB17:$IO17*1001+$ZQ17:$AFD17))*100+35)</f>
        <v/>
      </c>
      <c r="CV17">
        <f>IF(OR(BG17=1,calcA!$A$6=0),1000000000,IF('calcA'!$JF$45=1,0,100000000)+IF('calcA'!$IQ$45=2,SUMPRODUCT('calcA'!$D$95:$EQ$95,$DB17:$IO17,$IQ17:$OD17)*1000+SUMPRODUCT('calcA'!$D$95:$EQ$95,$DB17:$IO17+$ZQ17:$AFD17,$AFF17:$AKS17),SUMPRODUCT('calcA'!$D$95:$EQ$95,$DB17:$IO17*1001+$ZQ17:$AFD17))*100+36)</f>
        <v/>
      </c>
      <c r="CW17">
        <f>IF(OR(BH17=1,calcA!$A$6=0),1000000000,IF('calcA'!$JF$46=1,0,100000000)+IF('calcA'!$IQ$46=2,SUMPRODUCT('calcA'!$D$96:$EQ$96,$DB17:$IO17,$IQ17:$OD17)*1000+SUMPRODUCT('calcA'!$D$96:$EQ$96,$DB17:$IO17+$ZQ17:$AFD17,$AFF17:$AKS17),SUMPRODUCT('calcA'!$D$96:$EQ$96,$DB17:$IO17*1001+$ZQ17:$AFD17))*100+37)</f>
        <v/>
      </c>
      <c r="CX17">
        <f>IF(OR(BI17=1,calcA!$A$6=0),1000000000,IF('calcA'!$JF$47=1,0,100000000)+IF('calcA'!$IQ$47=2,SUMPRODUCT('calcA'!$D$97:$EQ$97,$DB17:$IO17,$IQ17:$OD17)*1000+SUMPRODUCT('calcA'!$D$97:$EQ$97,$DB17:$IO17+$ZQ17:$AFD17,$AFF17:$AKS17),SUMPRODUCT('calcA'!$D$97:$EQ$97,$DB17:$IO17*1001+$ZQ17:$AFD17))*100+38)</f>
        <v/>
      </c>
      <c r="CY17">
        <f>IF(OR(BJ17=1,calcA!$A$6=0),1000000000,IF('calcA'!$JF$48=1,0,100000000)+IF('calcA'!$IQ$48=2,SUMPRODUCT('calcA'!$D$98:$EQ$98,$DB17:$IO17,$IQ17:$OD17)*1000+SUMPRODUCT('calcA'!$D$98:$EQ$98,$DB17:$IO17+$ZQ17:$AFD17,$AFF17:$AKS17),SUMPRODUCT('calcA'!$D$98:$EQ$98,$DB17:$IO17*1001+$ZQ17:$AFD17))*100+39)</f>
        <v/>
      </c>
      <c r="CZ17">
        <f>IF(OR(BK17=1,calcA!$A$6=0),1000000000,IF('calcA'!$JF$49=1,0,100000000)+IF('calcA'!$IQ$49=2,SUMPRODUCT('calcA'!$D$99:$EQ$99,$DB17:$IO17,$IQ17:$OD17)*1000+SUMPRODUCT('calcA'!$D$99:$EQ$99,$DB17:$IO17+$ZQ17:$AFD17,$AFF17:$AKS17),SUMPRODUCT('calcA'!$D$99:$EQ$99,$DB17:$IO17*1001+$ZQ17:$AFD17))*100+40)</f>
        <v/>
      </c>
      <c r="DB17">
        <f>DB16*IF(OR($C16=1,$G16=1),0,1)</f>
        <v/>
      </c>
      <c r="DC17">
        <f>DC16*IF(OR($C16=2,$G16=2),0,1)</f>
        <v/>
      </c>
      <c r="DD17">
        <f>DD16*IF(OR($C16=3,$G16=3),0,1)</f>
        <v/>
      </c>
      <c r="DE17">
        <f>DE16*IF(OR($C16=4,$G16=4),0,1)</f>
        <v/>
      </c>
      <c r="DF17">
        <f>DF16*IF(OR($C16=5,$G16=5),0,1)</f>
        <v/>
      </c>
      <c r="DG17">
        <f>DG16*IF(OR($C16=6,$G16=6),0,1)</f>
        <v/>
      </c>
      <c r="DH17">
        <f>DH16*IF(OR($C16=7,$G16=7),0,1)</f>
        <v/>
      </c>
      <c r="DI17">
        <f>DI16*IF(OR($C16=8,$G16=8),0,1)</f>
        <v/>
      </c>
      <c r="DJ17">
        <f>DJ16*IF(OR($C16=9,$G16=9),0,1)</f>
        <v/>
      </c>
      <c r="DK17">
        <f>DK16*IF(OR($C16=10,$G16=10),0,1)</f>
        <v/>
      </c>
      <c r="DL17">
        <f>DL16*IF(OR($C16=11,$G16=11),0,1)</f>
        <v/>
      </c>
      <c r="DM17">
        <f>DM16*IF(OR($C16=12,$G16=12),0,1)</f>
        <v/>
      </c>
      <c r="DN17">
        <f>DN16*IF(OR($C16=13,$G16=13),0,1)</f>
        <v/>
      </c>
      <c r="DO17">
        <f>DO16*IF(OR($C16=14,$G16=14),0,1)</f>
        <v/>
      </c>
      <c r="DP17">
        <f>DP16*IF(OR($C16=15,$G16=15),0,1)</f>
        <v/>
      </c>
      <c r="DQ17">
        <f>DQ16*IF(OR($C16=16,$G16=16),0,1)</f>
        <v/>
      </c>
      <c r="DR17">
        <f>DR16*IF(OR($C16=17,$G16=17),0,1)</f>
        <v/>
      </c>
      <c r="DS17">
        <f>DS16*IF(OR($C16=18,$G16=18),0,1)</f>
        <v/>
      </c>
      <c r="DT17">
        <f>DT16*IF(OR($C16=19,$G16=19),0,1)</f>
        <v/>
      </c>
      <c r="DU17">
        <f>DU16*IF(OR($C16=20,$G16=20),0,1)</f>
        <v/>
      </c>
      <c r="DV17">
        <f>DV16*IF(OR($C16=21,$G16=21),0,1)</f>
        <v/>
      </c>
      <c r="DW17">
        <f>DW16*IF(OR($C16=22,$G16=22),0,1)</f>
        <v/>
      </c>
      <c r="DX17">
        <f>DX16*IF(OR($C16=23,$G16=23),0,1)</f>
        <v/>
      </c>
      <c r="DY17">
        <f>DY16*IF(OR($C16=24,$G16=24),0,1)</f>
        <v/>
      </c>
      <c r="DZ17">
        <f>DZ16*IF(OR($C16=25,$G16=25),0,1)</f>
        <v/>
      </c>
      <c r="EA17">
        <f>EA16*IF(OR($C16=26,$G16=26),0,1)</f>
        <v/>
      </c>
      <c r="EB17">
        <f>EB16*IF(OR($C16=27,$G16=27),0,1)</f>
        <v/>
      </c>
      <c r="EC17">
        <f>EC16*IF(OR($C16=28,$G16=28),0,1)</f>
        <v/>
      </c>
      <c r="ED17">
        <f>ED16*IF(OR($C16=29,$G16=29),0,1)</f>
        <v/>
      </c>
      <c r="EE17">
        <f>EE16*IF(OR($C16=30,$G16=30),0,1)</f>
        <v/>
      </c>
      <c r="EF17">
        <f>EF16*IF(OR($C16=31,$G16=31),0,1)</f>
        <v/>
      </c>
      <c r="EG17">
        <f>EG16*IF(OR($C16=32,$G16=32),0,1)</f>
        <v/>
      </c>
      <c r="EH17">
        <f>EH16*IF(OR($C16=33,$G16=33),0,1)</f>
        <v/>
      </c>
      <c r="EI17">
        <f>EI16*IF(OR($C16=34,$G16=34),0,1)</f>
        <v/>
      </c>
      <c r="EJ17">
        <f>EJ16*IF(OR($C16=35,$G16=35),0,1)</f>
        <v/>
      </c>
      <c r="EK17">
        <f>EK16*IF(OR($C16=36,$G16=36),0,1)</f>
        <v/>
      </c>
      <c r="EL17">
        <f>EL16*IF(OR($C16=37,$G16=37),0,1)</f>
        <v/>
      </c>
      <c r="EM17">
        <f>EM16*IF(OR($C16=38,$G16=38),0,1)</f>
        <v/>
      </c>
      <c r="EN17">
        <f>EN16*IF(OR($C16=39,$G16=39),0,1)</f>
        <v/>
      </c>
      <c r="EO17">
        <f>EO16*IF(OR($C16=40,$G16=40),0,1)</f>
        <v/>
      </c>
      <c r="EP17">
        <f>EP16*IF(OR($C16=41,$G16=41),0,1)</f>
        <v/>
      </c>
      <c r="EQ17">
        <f>EQ16*IF(OR($C16=42,$G16=42),0,1)</f>
        <v/>
      </c>
      <c r="ER17">
        <f>ER16*IF(OR($C16=43,$G16=43),0,1)</f>
        <v/>
      </c>
      <c r="ES17">
        <f>ES16*IF(OR($C16=44,$G16=44),0,1)</f>
        <v/>
      </c>
      <c r="ET17">
        <f>ET16*IF(OR($C16=45,$G16=45),0,1)</f>
        <v/>
      </c>
      <c r="EU17">
        <f>EU16*IF(OR($C16=46,$G16=46),0,1)</f>
        <v/>
      </c>
      <c r="EV17">
        <f>EV16*IF(OR($C16=47,$G16=47),0,1)</f>
        <v/>
      </c>
      <c r="EW17">
        <f>EW16*IF(OR($C16=48,$G16=48),0,1)</f>
        <v/>
      </c>
      <c r="EX17">
        <f>EX16*IF(OR($C16=49,$G16=49),0,1)</f>
        <v/>
      </c>
      <c r="EY17">
        <f>EY16*IF(OR($C16=50,$G16=50),0,1)</f>
        <v/>
      </c>
      <c r="EZ17">
        <f>EZ16*IF(OR($C16=51,$G16=51),0,1)</f>
        <v/>
      </c>
      <c r="FA17">
        <f>FA16*IF(OR($C16=52,$G16=52),0,1)</f>
        <v/>
      </c>
      <c r="FB17">
        <f>FB16*IF(OR($C16=53,$G16=53),0,1)</f>
        <v/>
      </c>
      <c r="FC17">
        <f>FC16*IF(OR($C16=54,$G16=54),0,1)</f>
        <v/>
      </c>
      <c r="FD17">
        <f>FD16*IF(OR($C16=55,$G16=55),0,1)</f>
        <v/>
      </c>
      <c r="FE17">
        <f>FE16*IF(OR($C16=56,$G16=56),0,1)</f>
        <v/>
      </c>
      <c r="FF17">
        <f>FF16*IF(OR($C16=57,$G16=57),0,1)</f>
        <v/>
      </c>
      <c r="FG17">
        <f>FG16*IF(OR($C16=58,$G16=58),0,1)</f>
        <v/>
      </c>
      <c r="FH17">
        <f>FH16*IF(OR($C16=59,$G16=59),0,1)</f>
        <v/>
      </c>
      <c r="FI17">
        <f>FI16*IF(OR($C16=60,$G16=60),0,1)</f>
        <v/>
      </c>
      <c r="FJ17">
        <f>FJ16*IF(OR($C16=61,$G16=61),0,1)</f>
        <v/>
      </c>
      <c r="FK17">
        <f>FK16*IF(OR($C16=62,$G16=62),0,1)</f>
        <v/>
      </c>
      <c r="FL17">
        <f>FL16*IF(OR($C16=63,$G16=63),0,1)</f>
        <v/>
      </c>
      <c r="FM17">
        <f>FM16*IF(OR($C16=64,$G16=64),0,1)</f>
        <v/>
      </c>
      <c r="FN17">
        <f>FN16*IF(OR($C16=65,$G16=65),0,1)</f>
        <v/>
      </c>
      <c r="FO17">
        <f>FO16*IF(OR($C16=66,$G16=66),0,1)</f>
        <v/>
      </c>
      <c r="FP17">
        <f>FP16*IF(OR($C16=67,$G16=67),0,1)</f>
        <v/>
      </c>
      <c r="FQ17">
        <f>FQ16*IF(OR($C16=68,$G16=68),0,1)</f>
        <v/>
      </c>
      <c r="FR17">
        <f>FR16*IF(OR($C16=69,$G16=69),0,1)</f>
        <v/>
      </c>
      <c r="FS17">
        <f>FS16*IF(OR($C16=70,$G16=70),0,1)</f>
        <v/>
      </c>
      <c r="FT17">
        <f>FT16*IF(OR($C16=71,$G16=71),0,1)</f>
        <v/>
      </c>
      <c r="FU17">
        <f>FU16*IF(OR($C16=72,$G16=72),0,1)</f>
        <v/>
      </c>
      <c r="FV17">
        <f>FV16*IF(OR($C16=73,$G16=73),0,1)</f>
        <v/>
      </c>
      <c r="FW17">
        <f>FW16*IF(OR($C16=74,$G16=74),0,1)</f>
        <v/>
      </c>
      <c r="FX17">
        <f>FX16*IF(OR($C16=75,$G16=75),0,1)</f>
        <v/>
      </c>
      <c r="FY17">
        <f>FY16*IF(OR($C16=76,$G16=76),0,1)</f>
        <v/>
      </c>
      <c r="FZ17">
        <f>FZ16*IF(OR($C16=77,$G16=77),0,1)</f>
        <v/>
      </c>
      <c r="GA17">
        <f>GA16*IF(OR($C16=78,$G16=78),0,1)</f>
        <v/>
      </c>
      <c r="GB17">
        <f>GB16*IF(OR($C16=79,$G16=79),0,1)</f>
        <v/>
      </c>
      <c r="GC17">
        <f>GC16*IF(OR($C16=80,$G16=80),0,1)</f>
        <v/>
      </c>
      <c r="GD17">
        <f>GD16*IF(OR($C16=81,$G16=81),0,1)</f>
        <v/>
      </c>
      <c r="GE17">
        <f>GE16*IF(OR($C16=82,$G16=82),0,1)</f>
        <v/>
      </c>
      <c r="GF17">
        <f>GF16*IF(OR($C16=83,$G16=83),0,1)</f>
        <v/>
      </c>
      <c r="GG17">
        <f>GG16*IF(OR($C16=84,$G16=84),0,1)</f>
        <v/>
      </c>
      <c r="GH17">
        <f>GH16*IF(OR($C16=85,$G16=85),0,1)</f>
        <v/>
      </c>
      <c r="GI17">
        <f>GI16*IF(OR($C16=86,$G16=86),0,1)</f>
        <v/>
      </c>
      <c r="GJ17">
        <f>GJ16*IF(OR($C16=87,$G16=87),0,1)</f>
        <v/>
      </c>
      <c r="GK17">
        <f>GK16*IF(OR($C16=88,$G16=88),0,1)</f>
        <v/>
      </c>
      <c r="GL17">
        <f>GL16*IF(OR($C16=89,$G16=89),0,1)</f>
        <v/>
      </c>
      <c r="GM17">
        <f>GM16*IF(OR($C16=90,$G16=90),0,1)</f>
        <v/>
      </c>
      <c r="GN17">
        <f>GN16*IF(OR($C16=91,$G16=91),0,1)</f>
        <v/>
      </c>
      <c r="GO17">
        <f>GO16*IF(OR($C16=92,$G16=92),0,1)</f>
        <v/>
      </c>
      <c r="GP17">
        <f>GP16*IF(OR($C16=93,$G16=93),0,1)</f>
        <v/>
      </c>
      <c r="GQ17">
        <f>GQ16*IF(OR($C16=94,$G16=94),0,1)</f>
        <v/>
      </c>
      <c r="GR17">
        <f>GR16*IF(OR($C16=95,$G16=95),0,1)</f>
        <v/>
      </c>
      <c r="GS17">
        <f>GS16*IF(OR($C16=96,$G16=96),0,1)</f>
        <v/>
      </c>
      <c r="GT17">
        <f>GT16*IF(OR($C16=97,$G16=97),0,1)</f>
        <v/>
      </c>
      <c r="GU17">
        <f>GU16*IF(OR($C16=98,$G16=98),0,1)</f>
        <v/>
      </c>
      <c r="GV17">
        <f>GV16*IF(OR($C16=99,$G16=99),0,1)</f>
        <v/>
      </c>
      <c r="GW17">
        <f>GW16*IF(OR($C16=100,$G16=100),0,1)</f>
        <v/>
      </c>
      <c r="GX17">
        <f>GX16*IF(OR($C16=101,$G16=101),0,1)</f>
        <v/>
      </c>
      <c r="GY17">
        <f>GY16*IF(OR($C16=102,$G16=102),0,1)</f>
        <v/>
      </c>
      <c r="GZ17">
        <f>GZ16*IF(OR($C16=103,$G16=103),0,1)</f>
        <v/>
      </c>
      <c r="HA17">
        <f>HA16*IF(OR($C16=104,$G16=104),0,1)</f>
        <v/>
      </c>
      <c r="HB17">
        <f>HB16*IF(OR($C16=105,$G16=105),0,1)</f>
        <v/>
      </c>
      <c r="HC17">
        <f>HC16*IF(OR($C16=106,$G16=106),0,1)</f>
        <v/>
      </c>
      <c r="HD17">
        <f>HD16*IF(OR($C16=107,$G16=107),0,1)</f>
        <v/>
      </c>
      <c r="HE17">
        <f>HE16*IF(OR($C16=108,$G16=108),0,1)</f>
        <v/>
      </c>
      <c r="HF17">
        <f>HF16*IF(OR($C16=109,$G16=109),0,1)</f>
        <v/>
      </c>
      <c r="HG17">
        <f>HG16*IF(OR($C16=110,$G16=110),0,1)</f>
        <v/>
      </c>
      <c r="HH17">
        <f>HH16*IF(OR($C16=111,$G16=111),0,1)</f>
        <v/>
      </c>
      <c r="HI17">
        <f>HI16*IF(OR($C16=112,$G16=112),0,1)</f>
        <v/>
      </c>
      <c r="HJ17">
        <f>HJ16*IF(OR($C16=113,$G16=113),0,1)</f>
        <v/>
      </c>
      <c r="HK17">
        <f>HK16*IF(OR($C16=114,$G16=114),0,1)</f>
        <v/>
      </c>
      <c r="HL17">
        <f>HL16*IF(OR($C16=115,$G16=115),0,1)</f>
        <v/>
      </c>
      <c r="HM17">
        <f>HM16*IF(OR($C16=116,$G16=116),0,1)</f>
        <v/>
      </c>
      <c r="HN17">
        <f>HN16*IF(OR($C16=117,$G16=117),0,1)</f>
        <v/>
      </c>
      <c r="HO17">
        <f>HO16*IF(OR($C16=118,$G16=118),0,1)</f>
        <v/>
      </c>
      <c r="HP17">
        <f>HP16*IF(OR($C16=119,$G16=119),0,1)</f>
        <v/>
      </c>
      <c r="HQ17">
        <f>HQ16*IF(OR($C16=120,$G16=120),0,1)</f>
        <v/>
      </c>
      <c r="HR17">
        <f>HR16*IF(OR($C16=121,$G16=121),0,1)</f>
        <v/>
      </c>
      <c r="HS17">
        <f>HS16*IF(OR($C16=122,$G16=122),0,1)</f>
        <v/>
      </c>
      <c r="HT17">
        <f>HT16*IF(OR($C16=123,$G16=123),0,1)</f>
        <v/>
      </c>
      <c r="HU17">
        <f>HU16*IF(OR($C16=124,$G16=124),0,1)</f>
        <v/>
      </c>
      <c r="HV17">
        <f>HV16*IF(OR($C16=125,$G16=125),0,1)</f>
        <v/>
      </c>
      <c r="HW17">
        <f>HW16*IF(OR($C16=126,$G16=126),0,1)</f>
        <v/>
      </c>
      <c r="HX17">
        <f>HX16*IF(OR($C16=127,$G16=127),0,1)</f>
        <v/>
      </c>
      <c r="HY17">
        <f>HY16*IF(OR($C16=128,$G16=128),0,1)</f>
        <v/>
      </c>
      <c r="HZ17">
        <f>HZ16*IF(OR($C16=129,$G16=129),0,1)</f>
        <v/>
      </c>
      <c r="IA17">
        <f>IA16*IF(OR($C16=130,$G16=130),0,1)</f>
        <v/>
      </c>
      <c r="IB17">
        <f>IB16*IF(OR($C16=131,$G16=131),0,1)</f>
        <v/>
      </c>
      <c r="IC17">
        <f>IC16*IF(OR($C16=132,$G16=132),0,1)</f>
        <v/>
      </c>
      <c r="ID17">
        <f>ID16*IF(OR($C16=133,$G16=133),0,1)</f>
        <v/>
      </c>
      <c r="IE17">
        <f>IE16*IF(OR($C16=134,$G16=134),0,1)</f>
        <v/>
      </c>
      <c r="IF17">
        <f>IF16*IF(OR($C16=135,$G16=135),0,1)</f>
        <v/>
      </c>
      <c r="IG17">
        <f>IG16*IF(OR($C16=136,$G16=136),0,1)</f>
        <v/>
      </c>
      <c r="IH17">
        <f>IH16*IF(OR($C16=137,$G16=137),0,1)</f>
        <v/>
      </c>
      <c r="II17">
        <f>II16*IF(OR($C16=138,$G16=138),0,1)</f>
        <v/>
      </c>
      <c r="IJ17">
        <f>IJ16*IF(OR($C16=139,$G16=139),0,1)</f>
        <v/>
      </c>
      <c r="IK17">
        <f>IK16*IF(OR($C16=140,$G16=140),0,1)</f>
        <v/>
      </c>
      <c r="IL17">
        <f>IL16*IF(OR($C16=141,$G16=141),0,1)</f>
        <v/>
      </c>
      <c r="IM17">
        <f>IM16*IF(OR($C16=142,$G16=142),0,1)</f>
        <v/>
      </c>
      <c r="IN17">
        <f>IN16*IF(OR($C16=143,$G16=143),0,1)</f>
        <v/>
      </c>
      <c r="IO17">
        <f>IO16*IF(OR($C16=144,$G16=144),0,1)</f>
        <v/>
      </c>
      <c r="IQ17">
        <f>IF('calcA'!D$106=1,DC17,1)</f>
        <v/>
      </c>
      <c r="IR17">
        <f>IF('calcA'!E$106=1,DD17,1)</f>
        <v/>
      </c>
      <c r="IS17">
        <f>IF('calcA'!F$106=1,DE17,1)</f>
        <v/>
      </c>
      <c r="IT17">
        <f>IF('calcA'!G$106=1,DF17,1)</f>
        <v/>
      </c>
      <c r="IU17">
        <f>IF('calcA'!H$106=1,DG17,1)</f>
        <v/>
      </c>
      <c r="IV17">
        <f>IF('calcA'!I$106=1,DH17,1)</f>
        <v/>
      </c>
      <c r="IW17">
        <f>IF('calcA'!J$106=1,DI17,1)</f>
        <v/>
      </c>
      <c r="IX17">
        <f>IF('calcA'!K$106=1,DJ17,1)</f>
        <v/>
      </c>
      <c r="IY17">
        <f>IF('calcA'!L$106=1,DK17,1)</f>
        <v/>
      </c>
      <c r="IZ17">
        <f>IF('calcA'!M$106=1,DL17,1)</f>
        <v/>
      </c>
      <c r="JA17">
        <f>IF('calcA'!N$106=1,DM17,1)</f>
        <v/>
      </c>
      <c r="JB17">
        <f>IF('calcA'!O$106=1,DN17,1)</f>
        <v/>
      </c>
      <c r="JC17">
        <f>IF('calcA'!P$106=1,DO17,1)</f>
        <v/>
      </c>
      <c r="JD17">
        <f>IF('calcA'!Q$106=1,DP17,1)</f>
        <v/>
      </c>
      <c r="JE17">
        <f>IF('calcA'!R$106=1,DQ17,1)</f>
        <v/>
      </c>
      <c r="JF17">
        <f>IF('calcA'!S$106=1,DR17,1)</f>
        <v/>
      </c>
      <c r="JG17">
        <f>IF('calcA'!T$106=1,DS17,1)</f>
        <v/>
      </c>
      <c r="JH17">
        <f>IF('calcA'!U$106=1,DT17,1)</f>
        <v/>
      </c>
      <c r="JI17">
        <f>IF('calcA'!V$106=1,DU17,1)</f>
        <v/>
      </c>
      <c r="JJ17">
        <f>IF('calcA'!W$106=1,DV17,1)</f>
        <v/>
      </c>
      <c r="JK17">
        <f>IF('calcA'!X$106=1,DW17,1)</f>
        <v/>
      </c>
      <c r="JL17">
        <f>IF('calcA'!Y$106=1,DX17,1)</f>
        <v/>
      </c>
      <c r="JM17">
        <f>IF('calcA'!Z$106=1,DY17,1)</f>
        <v/>
      </c>
      <c r="JN17">
        <f>IF('calcA'!AA$106=1,DZ17,1)</f>
        <v/>
      </c>
      <c r="JO17">
        <f>IF('calcA'!AB$106=1,EA17,1)</f>
        <v/>
      </c>
      <c r="JP17">
        <f>IF('calcA'!AC$106=1,EB17,1)</f>
        <v/>
      </c>
      <c r="JQ17">
        <f>IF('calcA'!AD$106=1,EC17,1)</f>
        <v/>
      </c>
      <c r="JR17">
        <f>IF('calcA'!AE$106=1,ED17,1)</f>
        <v/>
      </c>
      <c r="JS17">
        <f>IF('calcA'!AF$106=1,EE17,1)</f>
        <v/>
      </c>
      <c r="JT17">
        <f>IF('calcA'!AG$106=1,EF17,1)</f>
        <v/>
      </c>
      <c r="JU17">
        <f>IF('calcA'!AH$106=1,EG17,1)</f>
        <v/>
      </c>
      <c r="JV17">
        <f>IF('calcA'!AI$106=1,EH17,1)</f>
        <v/>
      </c>
      <c r="JW17">
        <f>IF('calcA'!AJ$106=1,EI17,1)</f>
        <v/>
      </c>
      <c r="JX17">
        <f>IF('calcA'!AK$106=1,EJ17,1)</f>
        <v/>
      </c>
      <c r="JY17">
        <f>IF('calcA'!AL$106=1,EK17,1)</f>
        <v/>
      </c>
      <c r="JZ17">
        <f>IF('calcA'!AM$106=1,EL17,1)</f>
        <v/>
      </c>
      <c r="KA17">
        <f>IF('calcA'!AN$106=1,EM17,1)</f>
        <v/>
      </c>
      <c r="KB17">
        <f>IF('calcA'!AO$106=1,EN17,1)</f>
        <v/>
      </c>
      <c r="KC17">
        <f>IF('calcA'!AP$106=1,EO17,1)</f>
        <v/>
      </c>
      <c r="KD17">
        <f>IF('calcA'!AQ$106=1,EP17,1)</f>
        <v/>
      </c>
      <c r="KE17">
        <f>IF('calcA'!AR$106=1,EQ17,1)</f>
        <v/>
      </c>
      <c r="KF17">
        <f>IF('calcA'!AS$106=1,ER17,1)</f>
        <v/>
      </c>
      <c r="KG17">
        <f>IF('calcA'!AT$106=1,ES17,1)</f>
        <v/>
      </c>
      <c r="KH17">
        <f>IF('calcA'!AU$106=1,ET17,1)</f>
        <v/>
      </c>
      <c r="KI17">
        <f>IF('calcA'!AV$106=1,EU17,1)</f>
        <v/>
      </c>
      <c r="KJ17">
        <f>IF('calcA'!AW$106=1,EV17,1)</f>
        <v/>
      </c>
      <c r="KK17">
        <f>IF('calcA'!AX$106=1,EW17,1)</f>
        <v/>
      </c>
      <c r="KL17">
        <f>IF('calcA'!AY$106=1,EX17,1)</f>
        <v/>
      </c>
      <c r="KM17">
        <f>IF('calcA'!AZ$106=1,EY17,1)</f>
        <v/>
      </c>
      <c r="KN17">
        <f>IF('calcA'!BA$106=1,EZ17,1)</f>
        <v/>
      </c>
      <c r="KO17">
        <f>IF('calcA'!BB$106=1,FA17,1)</f>
        <v/>
      </c>
      <c r="KP17">
        <f>IF('calcA'!BC$106=1,FB17,1)</f>
        <v/>
      </c>
      <c r="KQ17">
        <f>IF('calcA'!BD$106=1,FC17,1)</f>
        <v/>
      </c>
      <c r="KR17">
        <f>IF('calcA'!BE$106=1,FD17,1)</f>
        <v/>
      </c>
      <c r="KS17">
        <f>IF('calcA'!BF$106=1,FE17,1)</f>
        <v/>
      </c>
      <c r="KT17">
        <f>IF('calcA'!BG$106=1,FF17,1)</f>
        <v/>
      </c>
      <c r="KU17">
        <f>IF('calcA'!BH$106=1,FG17,1)</f>
        <v/>
      </c>
      <c r="KV17">
        <f>IF('calcA'!BI$106=1,FH17,1)</f>
        <v/>
      </c>
      <c r="KW17">
        <f>IF('calcA'!BJ$106=1,FI17,1)</f>
        <v/>
      </c>
      <c r="KX17">
        <f>IF('calcA'!BK$106=1,FJ17,1)</f>
        <v/>
      </c>
      <c r="KY17">
        <f>IF('calcA'!BL$106=1,FK17,1)</f>
        <v/>
      </c>
      <c r="KZ17">
        <f>IF('calcA'!BM$106=1,FL17,1)</f>
        <v/>
      </c>
      <c r="LA17">
        <f>IF('calcA'!BN$106=1,FM17,1)</f>
        <v/>
      </c>
      <c r="LB17">
        <f>IF('calcA'!BO$106=1,FN17,1)</f>
        <v/>
      </c>
      <c r="LC17">
        <f>IF('calcA'!BP$106=1,FO17,1)</f>
        <v/>
      </c>
      <c r="LD17">
        <f>IF('calcA'!BQ$106=1,FP17,1)</f>
        <v/>
      </c>
      <c r="LE17">
        <f>IF('calcA'!BR$106=1,FQ17,1)</f>
        <v/>
      </c>
      <c r="LF17">
        <f>IF('calcA'!BS$106=1,FR17,1)</f>
        <v/>
      </c>
      <c r="LG17">
        <f>IF('calcA'!BT$106=1,FS17,1)</f>
        <v/>
      </c>
      <c r="LH17">
        <f>IF('calcA'!BU$106=1,FT17,1)</f>
        <v/>
      </c>
      <c r="LI17">
        <f>IF('calcA'!BV$106=1,FU17,1)</f>
        <v/>
      </c>
      <c r="LJ17">
        <f>IF('calcA'!BW$106=1,FV17,1)</f>
        <v/>
      </c>
      <c r="LK17">
        <f>IF('calcA'!BX$106=1,FW17,1)</f>
        <v/>
      </c>
      <c r="LL17">
        <f>IF('calcA'!BY$106=1,FX17,1)</f>
        <v/>
      </c>
      <c r="LM17">
        <f>IF('calcA'!BZ$106=1,FY17,1)</f>
        <v/>
      </c>
      <c r="LN17">
        <f>IF('calcA'!CA$106=1,FZ17,1)</f>
        <v/>
      </c>
      <c r="LO17">
        <f>IF('calcA'!CB$106=1,GA17,1)</f>
        <v/>
      </c>
      <c r="LP17">
        <f>IF('calcA'!CC$106=1,GB17,1)</f>
        <v/>
      </c>
      <c r="LQ17">
        <f>IF('calcA'!CD$106=1,GC17,1)</f>
        <v/>
      </c>
      <c r="LR17">
        <f>IF('calcA'!CE$106=1,GD17,1)</f>
        <v/>
      </c>
      <c r="LS17">
        <f>IF('calcA'!CF$106=1,GE17,1)</f>
        <v/>
      </c>
      <c r="LT17">
        <f>IF('calcA'!CG$106=1,GF17,1)</f>
        <v/>
      </c>
      <c r="LU17">
        <f>IF('calcA'!CH$106=1,GG17,1)</f>
        <v/>
      </c>
      <c r="LV17">
        <f>IF('calcA'!CI$106=1,GH17,1)</f>
        <v/>
      </c>
      <c r="LW17">
        <f>IF('calcA'!CJ$106=1,GI17,1)</f>
        <v/>
      </c>
      <c r="LX17">
        <f>IF('calcA'!CK$106=1,GJ17,1)</f>
        <v/>
      </c>
      <c r="LY17">
        <f>IF('calcA'!CL$106=1,GK17,1)</f>
        <v/>
      </c>
      <c r="LZ17">
        <f>IF('calcA'!CM$106=1,GL17,1)</f>
        <v/>
      </c>
      <c r="MA17">
        <f>IF('calcA'!CN$106=1,GM17,1)</f>
        <v/>
      </c>
      <c r="MB17">
        <f>IF('calcA'!CO$106=1,GN17,1)</f>
        <v/>
      </c>
      <c r="MC17">
        <f>IF('calcA'!CP$106=1,GO17,1)</f>
        <v/>
      </c>
      <c r="MD17">
        <f>IF('calcA'!CQ$106=1,GP17,1)</f>
        <v/>
      </c>
      <c r="ME17">
        <f>IF('calcA'!CR$106=1,GQ17,1)</f>
        <v/>
      </c>
      <c r="MF17">
        <f>IF('calcA'!CS$106=1,GR17,1)</f>
        <v/>
      </c>
      <c r="MG17">
        <f>IF('calcA'!CT$106=1,GS17,1)</f>
        <v/>
      </c>
      <c r="MH17">
        <f>IF('calcA'!CU$106=1,GT17,1)</f>
        <v/>
      </c>
      <c r="MI17">
        <f>IF('calcA'!CV$106=1,GU17,1)</f>
        <v/>
      </c>
      <c r="MJ17">
        <f>IF('calcA'!CW$106=1,GV17,1)</f>
        <v/>
      </c>
      <c r="MK17">
        <f>IF('calcA'!CX$106=1,GW17,1)</f>
        <v/>
      </c>
      <c r="ML17">
        <f>IF('calcA'!CY$106=1,GX17,1)</f>
        <v/>
      </c>
      <c r="MM17">
        <f>IF('calcA'!CZ$106=1,GY17,1)</f>
        <v/>
      </c>
      <c r="MN17">
        <f>IF('calcA'!DA$106=1,GZ17,1)</f>
        <v/>
      </c>
      <c r="MO17">
        <f>IF('calcA'!DB$106=1,HA17,1)</f>
        <v/>
      </c>
      <c r="MP17">
        <f>IF('calcA'!DC$106=1,HB17,1)</f>
        <v/>
      </c>
      <c r="MQ17">
        <f>IF('calcA'!DD$106=1,HC17,1)</f>
        <v/>
      </c>
      <c r="MR17">
        <f>IF('calcA'!DE$106=1,HD17,1)</f>
        <v/>
      </c>
      <c r="MS17">
        <f>IF('calcA'!DF$106=1,HE17,1)</f>
        <v/>
      </c>
      <c r="MT17">
        <f>IF('calcA'!DG$106=1,HF17,1)</f>
        <v/>
      </c>
      <c r="MU17">
        <f>IF('calcA'!DH$106=1,HG17,1)</f>
        <v/>
      </c>
      <c r="MV17">
        <f>IF('calcA'!DI$106=1,HH17,1)</f>
        <v/>
      </c>
      <c r="MW17">
        <f>IF('calcA'!DJ$106=1,HI17,1)</f>
        <v/>
      </c>
      <c r="MX17">
        <f>IF('calcA'!DK$106=1,HJ17,1)</f>
        <v/>
      </c>
      <c r="MY17">
        <f>IF('calcA'!DL$106=1,HK17,1)</f>
        <v/>
      </c>
      <c r="MZ17">
        <f>IF('calcA'!DM$106=1,HL17,1)</f>
        <v/>
      </c>
      <c r="NA17">
        <f>IF('calcA'!DN$106=1,HM17,1)</f>
        <v/>
      </c>
      <c r="NB17">
        <f>IF('calcA'!DO$106=1,HN17,1)</f>
        <v/>
      </c>
      <c r="NC17">
        <f>IF('calcA'!DP$106=1,HO17,1)</f>
        <v/>
      </c>
      <c r="ND17">
        <f>IF('calcA'!DQ$106=1,HP17,1)</f>
        <v/>
      </c>
      <c r="NE17">
        <f>IF('calcA'!DR$106=1,HQ17,1)</f>
        <v/>
      </c>
      <c r="NF17">
        <f>IF('calcA'!DS$106=1,HR17,1)</f>
        <v/>
      </c>
      <c r="NG17">
        <f>IF('calcA'!DT$106=1,HS17,1)</f>
        <v/>
      </c>
      <c r="NH17">
        <f>IF('calcA'!DU$106=1,HT17,1)</f>
        <v/>
      </c>
      <c r="NI17">
        <f>IF('calcA'!DV$106=1,HU17,1)</f>
        <v/>
      </c>
      <c r="NJ17">
        <f>IF('calcA'!DW$106=1,HV17,1)</f>
        <v/>
      </c>
      <c r="NK17">
        <f>IF('calcA'!DX$106=1,HW17,1)</f>
        <v/>
      </c>
      <c r="NL17">
        <f>IF('calcA'!DY$106=1,HX17,1)</f>
        <v/>
      </c>
      <c r="NM17">
        <f>IF('calcA'!DZ$106=1,HY17,1)</f>
        <v/>
      </c>
      <c r="NN17">
        <f>IF('calcA'!EA$106=1,HZ17,1)</f>
        <v/>
      </c>
      <c r="NO17">
        <f>IF('calcA'!EB$106=1,IA17,1)</f>
        <v/>
      </c>
      <c r="NP17">
        <f>IF('calcA'!EC$106=1,IB17,1)</f>
        <v/>
      </c>
      <c r="NQ17">
        <f>IF('calcA'!ED$106=1,IC17,1)</f>
        <v/>
      </c>
      <c r="NR17">
        <f>IF('calcA'!EE$106=1,ID17,1)</f>
        <v/>
      </c>
      <c r="NS17">
        <f>IF('calcA'!EF$106=1,IE17,1)</f>
        <v/>
      </c>
      <c r="NT17">
        <f>IF('calcA'!EG$106=1,IF17,1)</f>
        <v/>
      </c>
      <c r="NU17">
        <f>IF('calcA'!EH$106=1,IG17,1)</f>
        <v/>
      </c>
      <c r="NV17">
        <f>IF('calcA'!EI$106=1,IH17,1)</f>
        <v/>
      </c>
      <c r="NW17">
        <f>IF('calcA'!EJ$106=1,II17,1)</f>
        <v/>
      </c>
      <c r="NX17">
        <f>IF('calcA'!EK$106=1,IJ17,1)</f>
        <v/>
      </c>
      <c r="NY17">
        <f>IF('calcA'!EL$106=1,IK17,1)</f>
        <v/>
      </c>
      <c r="NZ17">
        <f>IF('calcA'!EM$106=1,IL17,1)</f>
        <v/>
      </c>
      <c r="OA17">
        <f>IF('calcA'!EN$106=1,IM17,1)</f>
        <v/>
      </c>
      <c r="OB17">
        <f>IF('calcA'!EO$106=1,IN17,1)</f>
        <v/>
      </c>
      <c r="OC17">
        <f>IF('calcA'!EP$106=1,IO17,1)</f>
        <v/>
      </c>
      <c r="OD17" t="n">
        <v>1</v>
      </c>
      <c r="OF17">
        <f>IF($B17=0,1000000000,IF(INDEX('calcA'!$D$60:$EQ$99,$B17,1)*IF($W17=1,DB17+ZQ17,DB17)=1,IF(AND($E17=2,IF($W17=1,AFF17,IQ17)=0),1000000000,IF($V17=1,INDEX('calcA'!$D$130:$EQ$169,$B17,1)+IF(AND($E17=1,IQ17=0),25,0),IF($F17&gt;0,INDEX('calcA'!D$110:D$114,$F17+1)+IF(AND($E17=1,IQ17=0),1000,0),MIN(TU17,20)*400+(IF('calcA'!D$106=1,1-DC17,0))*150+11+'calcA'!D$5*100000+IF(AND($E17=1,IQ17=0),50000,0))+IF($H17=1,INDEX('calcA'!$D$180:$EQ$219,$B17,1)*4000,0)-IF(AND($U17=1,'calcA'!D$117=1,DC17=0),2000,0))),1000000000))</f>
        <v/>
      </c>
      <c r="OG17">
        <f>IF($B17=0,1000000000,IF(INDEX('calcA'!$D$60:$EQ$99,$B17,2)*IF($W17=1,DC17+ZR17,DC17)=1,IF(AND($E17=2,IF($W17=1,AFG17,IR17)=0),1000000000,IF($V17=1,INDEX('calcA'!$D$130:$EQ$169,$B17,2)+IF(AND($E17=1,IR17=0),25,0),IF($F17&gt;0,INDEX('calcA'!E$110:E$114,$F17+1)+IF(AND($E17=1,IR17=0),1000,0),MIN(TU17,20)*400+(IF('calcA'!D$106=1,1-DB17,0)+IF('calcA'!E$106=1,1-DD17,0))*150+21+'calcA'!E$5*100000+IF(AND($E17=1,IR17=0),50000,0))+IF($H17=1,INDEX('calcA'!$D$180:$EQ$219,$B17,2)*4000,0)-IF(AND('calcA'!D$117=1,UB17&gt;0),2000,0)-IF(AND($U17=1,'calcA'!E$117=1,DD17=0),2000,0))),1000000000))</f>
        <v/>
      </c>
      <c r="OH17">
        <f>IF($B17=0,1000000000,IF(INDEX('calcA'!$D$60:$EQ$99,$B17,3)*IF($W17=1,DD17+ZS17,DD17)=1,IF(AND($E17=2,IF($W17=1,AFH17,IS17)=0),1000000000,IF($V17=1,INDEX('calcA'!$D$130:$EQ$169,$B17,3)+IF(AND($E17=1,IS17=0),25,0),IF($F17&gt;0,INDEX('calcA'!F$110:F$114,$F17+1)+IF(AND($E17=1,IS17=0),1000,0),MIN(TU17,20)*400+(IF('calcA'!E$106=1,1-DC17,0)+IF('calcA'!F$106=1,1-DE17,0))*150+31+'calcA'!F$5*100000+IF(AND($E17=1,IS17=0),50000,0))+IF($H17=1,INDEX('calcA'!$D$180:$EQ$219,$B17,3)*4000,0)-IF(AND('calcA'!E$117=1,UC17&gt;0),2000,0)-IF(AND($U17=1,'calcA'!F$117=1,DE17=0),2000,0))),1000000000))</f>
        <v/>
      </c>
      <c r="OI17">
        <f>IF($B17=0,1000000000,IF(INDEX('calcA'!$D$60:$EQ$99,$B17,4)*IF($W17=1,DE17+ZT17,DE17)=1,IF(AND($E17=2,IF($W17=1,AFI17,IT17)=0),1000000000,IF($V17=1,INDEX('calcA'!$D$130:$EQ$169,$B17,4)+IF(AND($E17=1,IT17=0),25,0),IF($F17&gt;0,INDEX('calcA'!G$110:G$114,$F17+1)+IF(AND($E17=1,IT17=0),1000,0),MIN(TU17,20)*400+(IF('calcA'!F$106=1,1-DD17,0)+IF('calcA'!G$106=1,1-DF17,0))*150+41+'calcA'!G$5*100000+IF(AND($E17=1,IT17=0),50000,0))+IF($H17=1,INDEX('calcA'!$D$180:$EQ$219,$B17,4)*4000,0)-IF(AND('calcA'!F$117=1,UD17&gt;0),2000,0)-IF(AND($U17=1,'calcA'!G$117=1,DF17=0),2000,0))),1000000000))</f>
        <v/>
      </c>
      <c r="OJ17">
        <f>IF($B17=0,1000000000,IF(INDEX('calcA'!$D$60:$EQ$99,$B17,5)*IF($W17=1,DF17+ZU17,DF17)=1,IF(AND($E17=2,IF($W17=1,AFJ17,IU17)=0),1000000000,IF($V17=1,INDEX('calcA'!$D$130:$EQ$169,$B17,5)+IF(AND($E17=1,IU17=0),25,0),IF($F17&gt;0,INDEX('calcA'!H$110:H$114,$F17+1)+IF(AND($E17=1,IU17=0),1000,0),MIN(TU17,20)*400+(IF('calcA'!G$106=1,1-DE17,0)+IF('calcA'!H$106=1,1-DG17,0))*150+51+'calcA'!H$5*100000+IF(AND($E17=1,IU17=0),50000,0))+IF($H17=1,INDEX('calcA'!$D$180:$EQ$219,$B17,5)*4000,0)-IF(AND('calcA'!G$117=1,UE17&gt;0),2000,0)-IF(AND($U17=1,'calcA'!H$117=1,DG17=0),2000,0))),1000000000))</f>
        <v/>
      </c>
      <c r="OK17">
        <f>IF($B17=0,1000000000,IF(INDEX('calcA'!$D$60:$EQ$99,$B17,6)*IF($W17=1,DG17+ZV17,DG17)=1,IF(AND($E17=2,IF($W17=1,AFK17,IV17)=0),1000000000,IF($V17=1,INDEX('calcA'!$D$130:$EQ$169,$B17,6)+IF(AND($E17=1,IV17=0),25,0),IF($F17&gt;0,INDEX('calcA'!I$110:I$114,$F17+1)+IF(AND($E17=1,IV17=0),1000,0),MIN(TU17,20)*400+(IF('calcA'!H$106=1,1-DF17,0)+IF('calcA'!I$106=1,1-DH17,0))*150+61+'calcA'!I$5*100000+IF(AND($E17=1,IV17=0),50000,0))+IF($H17=1,INDEX('calcA'!$D$180:$EQ$219,$B17,6)*4000,0)-IF(AND('calcA'!H$117=1,UF17&gt;0),2000,0)-IF(AND($U17=1,'calcA'!I$117=1,DH17=0),2000,0))),1000000000))</f>
        <v/>
      </c>
      <c r="OL17">
        <f>IF($B17=0,1000000000,IF(INDEX('calcA'!$D$60:$EQ$99,$B17,7)*IF($W17=1,DH17+ZW17,DH17)=1,IF(AND($E17=2,IF($W17=1,AFL17,IW17)=0),1000000000,IF($V17=1,INDEX('calcA'!$D$130:$EQ$169,$B17,7)+IF(AND($E17=1,IW17=0),25,0),IF($F17&gt;0,INDEX('calcA'!J$110:J$114,$F17+1)+IF(AND($E17=1,IW17=0),1000,0),MIN(TU17,20)*400+(IF('calcA'!I$106=1,1-DG17,0)+IF('calcA'!J$106=1,1-DI17,0))*150+71+'calcA'!J$5*100000+IF(AND($E17=1,IW17=0),50000,0))+IF($H17=1,INDEX('calcA'!$D$180:$EQ$219,$B17,7)*4000,0)-IF(AND('calcA'!I$117=1,UG17&gt;0),2000,0)-IF(AND($U17=1,'calcA'!J$117=1,DI17=0),2000,0))),1000000000))</f>
        <v/>
      </c>
      <c r="OM17">
        <f>IF($B17=0,1000000000,IF(INDEX('calcA'!$D$60:$EQ$99,$B17,8)*IF($W17=1,DI17+ZX17,DI17)=1,IF(AND($E17=2,IF($W17=1,AFM17,IX17)=0),1000000000,IF($V17=1,INDEX('calcA'!$D$130:$EQ$169,$B17,8)+IF(AND($E17=1,IX17=0),25,0),IF($F17&gt;0,INDEX('calcA'!K$110:K$114,$F17+1)+IF(AND($E17=1,IX17=0),1000,0),MIN(TU17,20)*400+(IF('calcA'!J$106=1,1-DH17,0)+IF('calcA'!K$106=1,1-DJ17,0))*150+81+'calcA'!K$5*100000+IF(AND($E17=1,IX17=0),50000,0))+IF($H17=1,INDEX('calcA'!$D$180:$EQ$219,$B17,8)*4000,0)-IF(AND('calcA'!J$117=1,UH17&gt;0),2000,0)-IF(AND($U17=1,'calcA'!K$117=1,DJ17=0),2000,0))),1000000000))</f>
        <v/>
      </c>
      <c r="ON17">
        <f>IF($B17=0,1000000000,IF(INDEX('calcA'!$D$60:$EQ$99,$B17,9)*IF($W17=1,DJ17+ZY17,DJ17)=1,IF(AND($E17=2,IF($W17=1,AFN17,IY17)=0),1000000000,IF($V17=1,INDEX('calcA'!$D$130:$EQ$169,$B17,9)+IF(AND($E17=1,IY17=0),25,0),IF($F17&gt;0,INDEX('calcA'!L$110:L$114,$F17+1)+IF(AND($E17=1,IY17=0),1000,0),MIN(TU17,20)*400+(IF('calcA'!K$106=1,1-DI17,0)+IF('calcA'!L$106=1,1-DK17,0))*150+91+'calcA'!L$5*100000+IF(AND($E17=1,IY17=0),50000,0))+IF($H17=1,INDEX('calcA'!$D$180:$EQ$219,$B17,9)*4000,0)-IF(AND('calcA'!K$117=1,UI17&gt;0),2000,0)-IF(AND($U17=1,'calcA'!L$117=1,DK17=0),2000,0))),1000000000))</f>
        <v/>
      </c>
      <c r="OO17">
        <f>IF($B17=0,1000000000,IF(INDEX('calcA'!$D$60:$EQ$99,$B17,10)*IF($W17=1,DK17+ZZ17,DK17)=1,IF(AND($E17=2,IF($W17=1,AFO17,IZ17)=0),1000000000,IF($V17=1,INDEX('calcA'!$D$130:$EQ$169,$B17,10)+IF(AND($E17=1,IZ17=0),25,0),IF($F17&gt;0,INDEX('calcA'!M$110:M$114,$F17+1)+IF(AND($E17=1,IZ17=0),1000,0),MIN(TU17,20)*400+(IF('calcA'!L$106=1,1-DJ17,0)+IF('calcA'!M$106=1,1-DL17,0))*150+101+'calcA'!M$5*100000+IF(AND($E17=1,IZ17=0),50000,0))+IF($H17=1,INDEX('calcA'!$D$180:$EQ$219,$B17,10)*4000,0)-IF(AND('calcA'!L$117=1,UJ17&gt;0),2000,0)-IF(AND($U17=1,'calcA'!M$117=1,DL17=0),2000,0))),1000000000))</f>
        <v/>
      </c>
      <c r="OP17">
        <f>IF($B17=0,1000000000,IF(INDEX('calcA'!$D$60:$EQ$99,$B17,11)*IF($W17=1,DL17+AAA17,DL17)=1,IF(AND($E17=2,IF($W17=1,AFP17,JA17)=0),1000000000,IF($V17=1,INDEX('calcA'!$D$130:$EQ$169,$B17,11)+IF(AND($E17=1,JA17=0),25,0),IF($F17&gt;0,INDEX('calcA'!N$110:N$114,$F17+1)+IF(AND($E17=1,JA17=0),1000,0),MIN(TU17,20)*400+(IF('calcA'!M$106=1,1-DK17,0)+IF('calcA'!N$106=1,1-DM17,0))*150+111+'calcA'!N$5*100000+IF(AND($E17=1,JA17=0),50000,0))+IF($H17=1,INDEX('calcA'!$D$180:$EQ$219,$B17,11)*4000,0)-IF(AND('calcA'!M$117=1,UK17&gt;0),2000,0)-IF(AND($U17=1,'calcA'!N$117=1,DM17=0),2000,0))),1000000000))</f>
        <v/>
      </c>
      <c r="OQ17">
        <f>IF($B17=0,1000000000,IF(INDEX('calcA'!$D$60:$EQ$99,$B17,12)*IF($W17=1,DM17+AAB17,DM17)=1,IF(AND($E17=2,IF($W17=1,AFQ17,JB17)=0),1000000000,IF($V17=1,INDEX('calcA'!$D$130:$EQ$169,$B17,12)+IF(AND($E17=1,JB17=0),25,0),IF($F17&gt;0,INDEX('calcA'!O$110:O$114,$F17+1)+IF(AND($E17=1,JB17=0),1000,0),MIN(TU17,20)*400+(IF('calcA'!N$106=1,1-DL17,0)+IF('calcA'!O$106=1,1-DN17,0))*150+121+'calcA'!O$5*100000+IF(AND($E17=1,JB17=0),50000,0))+IF($H17=1,INDEX('calcA'!$D$180:$EQ$219,$B17,12)*4000,0)-IF(AND('calcA'!N$117=1,UL17&gt;0),2000,0)-IF(AND($U17=1,'calcA'!O$117=1,DN17=0),2000,0))),1000000000))</f>
        <v/>
      </c>
      <c r="OR17">
        <f>IF($B17=0,1000000000,IF(INDEX('calcA'!$D$60:$EQ$99,$B17,13)*IF($W17=1,DN17+AAC17,DN17)=1,IF(AND($E17=2,IF($W17=1,AFR17,JC17)=0),1000000000,IF($V17=1,INDEX('calcA'!$D$130:$EQ$169,$B17,13)+IF(AND($E17=1,JC17=0),25,0),IF($F17&gt;0,INDEX('calcA'!P$110:P$114,$F17+1)+IF(AND($E17=1,JC17=0),1000,0),MIN(TU17,20)*400+(IF('calcA'!O$106=1,1-DM17,0)+IF('calcA'!P$106=1,1-DO17,0))*150+131+'calcA'!P$5*100000+IF(AND($E17=1,JC17=0),50000,0))+IF($H17=1,INDEX('calcA'!$D$180:$EQ$219,$B17,13)*4000,0)-IF(AND('calcA'!O$117=1,UM17&gt;0),2000,0)-IF(AND($U17=1,'calcA'!P$117=1,DO17=0),2000,0))),1000000000))</f>
        <v/>
      </c>
      <c r="OS17">
        <f>IF($B17=0,1000000000,IF(INDEX('calcA'!$D$60:$EQ$99,$B17,14)*IF($W17=1,DO17+AAD17,DO17)=1,IF(AND($E17=2,IF($W17=1,AFS17,JD17)=0),1000000000,IF($V17=1,INDEX('calcA'!$D$130:$EQ$169,$B17,14)+IF(AND($E17=1,JD17=0),25,0),IF($F17&gt;0,INDEX('calcA'!Q$110:Q$114,$F17+1)+IF(AND($E17=1,JD17=0),1000,0),MIN(TU17,20)*400+(IF('calcA'!P$106=1,1-DN17,0)+IF('calcA'!Q$106=1,1-DP17,0))*150+141+'calcA'!Q$5*100000+IF(AND($E17=1,JD17=0),50000,0))+IF($H17=1,INDEX('calcA'!$D$180:$EQ$219,$B17,14)*4000,0)-IF(AND('calcA'!P$117=1,UN17&gt;0),2000,0)-IF(AND($U17=1,'calcA'!Q$117=1,DP17=0),2000,0))),1000000000))</f>
        <v/>
      </c>
      <c r="OT17">
        <f>IF($B17=0,1000000000,IF(INDEX('calcA'!$D$60:$EQ$99,$B17,15)*IF($W17=1,DP17+AAE17,DP17)=1,IF(AND($E17=2,IF($W17=1,AFT17,JE17)=0),1000000000,IF($V17=1,INDEX('calcA'!$D$130:$EQ$169,$B17,15)+IF(AND($E17=1,JE17=0),25,0),IF($F17&gt;0,INDEX('calcA'!R$110:R$114,$F17+1)+IF(AND($E17=1,JE17=0),1000,0),MIN(TU17,20)*400+(IF('calcA'!Q$106=1,1-DO17,0)+IF('calcA'!R$106=1,1-DQ17,0))*150+151+'calcA'!R$5*100000+IF(AND($E17=1,JE17=0),50000,0))+IF($H17=1,INDEX('calcA'!$D$180:$EQ$219,$B17,15)*4000,0)-IF(AND('calcA'!Q$117=1,UO17&gt;0),2000,0)-IF(AND($U17=1,'calcA'!R$117=1,DQ17=0),2000,0))),1000000000))</f>
        <v/>
      </c>
      <c r="OU17">
        <f>IF($B17=0,1000000000,IF(INDEX('calcA'!$D$60:$EQ$99,$B17,16)*IF($W17=1,DQ17+AAF17,DQ17)=1,IF(AND($E17=2,IF($W17=1,AFU17,JF17)=0),1000000000,IF($V17=1,INDEX('calcA'!$D$130:$EQ$169,$B17,16)+IF(AND($E17=1,JF17=0),25,0),IF($F17&gt;0,INDEX('calcA'!S$110:S$114,$F17+1)+IF(AND($E17=1,JF17=0),1000,0),MIN(TU17,20)*400+(IF('calcA'!R$106=1,1-DP17,0)+IF('calcA'!S$106=1,1-DR17,0))*150+161+'calcA'!S$5*100000+IF(AND($E17=1,JF17=0),50000,0))+IF($H17=1,INDEX('calcA'!$D$180:$EQ$219,$B17,16)*4000,0)-IF(AND('calcA'!R$117=1,UP17&gt;0),2000,0)-IF(AND($U17=1,'calcA'!S$117=1,DR17=0),2000,0))),1000000000))</f>
        <v/>
      </c>
      <c r="OV17">
        <f>IF($B17=0,1000000000,IF(INDEX('calcA'!$D$60:$EQ$99,$B17,17)*IF($W17=1,DR17+AAG17,DR17)=1,IF(AND($E17=2,IF($W17=1,AFV17,JG17)=0),1000000000,IF($V17=1,INDEX('calcA'!$D$130:$EQ$169,$B17,17)+IF(AND($E17=1,JG17=0),25,0),IF($F17&gt;0,INDEX('calcA'!T$110:T$114,$F17+1)+IF(AND($E17=1,JG17=0),1000,0),MIN(TU17,20)*400+(IF('calcA'!S$106=1,1-DQ17,0)+IF('calcA'!T$106=1,1-DS17,0))*150+171+'calcA'!T$5*100000+IF(AND($E17=1,JG17=0),50000,0))+IF($H17=1,INDEX('calcA'!$D$180:$EQ$219,$B17,17)*4000,0)-IF(AND('calcA'!S$117=1,UQ17&gt;0),2000,0)-IF(AND($U17=1,'calcA'!T$117=1,DS17=0),2000,0))),1000000000))</f>
        <v/>
      </c>
      <c r="OW17">
        <f>IF($B17=0,1000000000,IF(INDEX('calcA'!$D$60:$EQ$99,$B17,18)*IF($W17=1,DS17+AAH17,DS17)=1,IF(AND($E17=2,IF($W17=1,AFW17,JH17)=0),1000000000,IF($V17=1,INDEX('calcA'!$D$130:$EQ$169,$B17,18)+IF(AND($E17=1,JH17=0),25,0),IF($F17&gt;0,INDEX('calcA'!U$110:U$114,$F17+1)+IF(AND($E17=1,JH17=0),1000,0),MIN(TU17,20)*400+(IF('calcA'!T$106=1,1-DR17,0)+IF('calcA'!U$106=1,1-DT17,0))*150+181+'calcA'!U$5*100000+IF(AND($E17=1,JH17=0),50000,0))+IF($H17=1,INDEX('calcA'!$D$180:$EQ$219,$B17,18)*4000,0)-IF(AND('calcA'!T$117=1,UR17&gt;0),2000,0)-IF(AND($U17=1,'calcA'!U$117=1,DT17=0),2000,0))),1000000000))</f>
        <v/>
      </c>
      <c r="OX17">
        <f>IF($B17=0,1000000000,IF(INDEX('calcA'!$D$60:$EQ$99,$B17,19)*IF($W17=1,DT17+AAI17,DT17)=1,IF(AND($E17=2,IF($W17=1,AFX17,JI17)=0),1000000000,IF($V17=1,INDEX('calcA'!$D$130:$EQ$169,$B17,19)+IF(AND($E17=1,JI17=0),25,0),IF($F17&gt;0,INDEX('calcA'!V$110:V$114,$F17+1)+IF(AND($E17=1,JI17=0),1000,0),MIN(TU17,20)*400+(IF('calcA'!U$106=1,1-DS17,0)+IF('calcA'!V$106=1,1-DU17,0))*150+191+'calcA'!V$5*100000+IF(AND($E17=1,JI17=0),50000,0))+IF($H17=1,INDEX('calcA'!$D$180:$EQ$219,$B17,19)*4000,0)-IF(AND('calcA'!U$117=1,US17&gt;0),2000,0)-IF(AND($U17=1,'calcA'!V$117=1,DU17=0),2000,0))),1000000000))</f>
        <v/>
      </c>
      <c r="OY17">
        <f>IF($B17=0,1000000000,IF(INDEX('calcA'!$D$60:$EQ$99,$B17,20)*IF($W17=1,DU17+AAJ17,DU17)=1,IF(AND($E17=2,IF($W17=1,AFY17,JJ17)=0),1000000000,IF($V17=1,INDEX('calcA'!$D$130:$EQ$169,$B17,20)+IF(AND($E17=1,JJ17=0),25,0),IF($F17&gt;0,INDEX('calcA'!W$110:W$114,$F17+1)+IF(AND($E17=1,JJ17=0),1000,0),MIN(TU17,20)*400+(IF('calcA'!V$106=1,1-DT17,0)+IF('calcA'!W$106=1,1-DV17,0))*150+201+'calcA'!W$5*100000+IF(AND($E17=1,JJ17=0),50000,0))+IF($H17=1,INDEX('calcA'!$D$180:$EQ$219,$B17,20)*4000,0)-IF(AND('calcA'!V$117=1,UT17&gt;0),2000,0)-IF(AND($U17=1,'calcA'!W$117=1,DV17=0),2000,0))),1000000000))</f>
        <v/>
      </c>
      <c r="OZ17">
        <f>IF($B17=0,1000000000,IF(INDEX('calcA'!$D$60:$EQ$99,$B17,21)*IF($W17=1,DV17+AAK17,DV17)=1,IF(AND($E17=2,IF($W17=1,AFZ17,JK17)=0),1000000000,IF($V17=1,INDEX('calcA'!$D$130:$EQ$169,$B17,21)+IF(AND($E17=1,JK17=0),25,0),IF($F17&gt;0,INDEX('calcA'!X$110:X$114,$F17+1)+IF(AND($E17=1,JK17=0),1000,0),MIN(TU17,20)*400+(IF('calcA'!W$106=1,1-DU17,0)+IF('calcA'!X$106=1,1-DW17,0))*150+211+'calcA'!X$5*100000+IF(AND($E17=1,JK17=0),50000,0))+IF($H17=1,INDEX('calcA'!$D$180:$EQ$219,$B17,21)*4000,0)-IF(AND('calcA'!W$117=1,UU17&gt;0),2000,0)-IF(AND($U17=1,'calcA'!X$117=1,DW17=0),2000,0))),1000000000))</f>
        <v/>
      </c>
      <c r="PA17">
        <f>IF($B17=0,1000000000,IF(INDEX('calcA'!$D$60:$EQ$99,$B17,22)*IF($W17=1,DW17+AAL17,DW17)=1,IF(AND($E17=2,IF($W17=1,AGA17,JL17)=0),1000000000,IF($V17=1,INDEX('calcA'!$D$130:$EQ$169,$B17,22)+IF(AND($E17=1,JL17=0),25,0),IF($F17&gt;0,INDEX('calcA'!Y$110:Y$114,$F17+1)+IF(AND($E17=1,JL17=0),1000,0),MIN(TU17,20)*400+(IF('calcA'!X$106=1,1-DV17,0)+IF('calcA'!Y$106=1,1-DX17,0))*150+221+'calcA'!Y$5*100000+IF(AND($E17=1,JL17=0),50000,0))+IF($H17=1,INDEX('calcA'!$D$180:$EQ$219,$B17,22)*4000,0)-IF(AND('calcA'!X$117=1,UV17&gt;0),2000,0)-IF(AND($U17=1,'calcA'!Y$117=1,DX17=0),2000,0))),1000000000))</f>
        <v/>
      </c>
      <c r="PB17">
        <f>IF($B17=0,1000000000,IF(INDEX('calcA'!$D$60:$EQ$99,$B17,23)*IF($W17=1,DX17+AAM17,DX17)=1,IF(AND($E17=2,IF($W17=1,AGB17,JM17)=0),1000000000,IF($V17=1,INDEX('calcA'!$D$130:$EQ$169,$B17,23)+IF(AND($E17=1,JM17=0),25,0),IF($F17&gt;0,INDEX('calcA'!Z$110:Z$114,$F17+1)+IF(AND($E17=1,JM17=0),1000,0),MIN(TU17,20)*400+(IF('calcA'!Y$106=1,1-DW17,0)+IF('calcA'!Z$106=1,1-DY17,0))*150+231+'calcA'!Z$5*100000+IF(AND($E17=1,JM17=0),50000,0))+IF($H17=1,INDEX('calcA'!$D$180:$EQ$219,$B17,23)*4000,0)-IF(AND('calcA'!Y$117=1,UW17&gt;0),2000,0)-IF(AND($U17=1,'calcA'!Z$117=1,DY17=0),2000,0))),1000000000))</f>
        <v/>
      </c>
      <c r="PC17">
        <f>IF($B17=0,1000000000,IF(INDEX('calcA'!$D$60:$EQ$99,$B17,24)*IF($W17=1,DY17+AAN17,DY17)=1,IF(AND($E17=2,IF($W17=1,AGC17,JN17)=0),1000000000,IF($V17=1,INDEX('calcA'!$D$130:$EQ$169,$B17,24)+IF(AND($E17=1,JN17=0),25,0),IF($F17&gt;0,INDEX('calcA'!AA$110:AA$114,$F17+1)+IF(AND($E17=1,JN17=0),1000,0),MIN(TU17,20)*400+(IF('calcA'!Z$106=1,1-DX17,0))*150+241+'calcA'!AA$5*100000+IF(AND($E17=1,JN17=0),50000,0))+IF($H17=1,INDEX('calcA'!$D$180:$EQ$219,$B17,24)*4000,0)-IF(AND('calcA'!Z$117=1,UX17&gt;0),2000,0))),1000000000))</f>
        <v/>
      </c>
      <c r="PD17">
        <f>IF($B17=0,1000000000,IF(INDEX('calcA'!$D$60:$EQ$99,$B17,25)*IF($W17=1,DZ17+AAO17,DZ17)=1,IF(AND($E17=2,IF($W17=1,AGD17,JO17)=0),1000000000,IF($V17=1,INDEX('calcA'!$D$130:$EQ$169,$B17,25)+IF(AND($E17=1,JO17=0),25,0),IF($F17&gt;0,INDEX('calcA'!AB$110:AB$114,$F17+1)+IF(AND($E17=1,JO17=0),1000,0),MIN(TV17,20)*400+(IF('calcA'!AB$106=1,1-EA17,0))*150+12+'calcA'!AB$5*100000+IF(AND($E17=1,JO17=0),50000,0))+IF($H17=1,INDEX('calcA'!$D$180:$EQ$219,$B17,25)*4000,0)-IF(AND($U17=1,'calcA'!AB$117=1,EA17=0),2000,0))),1000000000))</f>
        <v/>
      </c>
      <c r="PE17">
        <f>IF($B17=0,1000000000,IF(INDEX('calcA'!$D$60:$EQ$99,$B17,26)*IF($W17=1,EA17+AAP17,EA17)=1,IF(AND($E17=2,IF($W17=1,AGE17,JP17)=0),1000000000,IF($V17=1,INDEX('calcA'!$D$130:$EQ$169,$B17,26)+IF(AND($E17=1,JP17=0),25,0),IF($F17&gt;0,INDEX('calcA'!AC$110:AC$114,$F17+1)+IF(AND($E17=1,JP17=0),1000,0),MIN(TV17,20)*400+(IF('calcA'!AB$106=1,1-DZ17,0)+IF('calcA'!AC$106=1,1-EB17,0))*150+22+'calcA'!AC$5*100000+IF(AND($E17=1,JP17=0),50000,0))+IF($H17=1,INDEX('calcA'!$D$180:$EQ$219,$B17,26)*4000,0)-IF(AND('calcA'!AB$117=1,UZ17&gt;0),2000,0)-IF(AND($U17=1,'calcA'!AC$117=1,EB17=0),2000,0))),1000000000))</f>
        <v/>
      </c>
      <c r="PF17">
        <f>IF($B17=0,1000000000,IF(INDEX('calcA'!$D$60:$EQ$99,$B17,27)*IF($W17=1,EB17+AAQ17,EB17)=1,IF(AND($E17=2,IF($W17=1,AGF17,JQ17)=0),1000000000,IF($V17=1,INDEX('calcA'!$D$130:$EQ$169,$B17,27)+IF(AND($E17=1,JQ17=0),25,0),IF($F17&gt;0,INDEX('calcA'!AD$110:AD$114,$F17+1)+IF(AND($E17=1,JQ17=0),1000,0),MIN(TV17,20)*400+(IF('calcA'!AC$106=1,1-EA17,0)+IF('calcA'!AD$106=1,1-EC17,0))*150+32+'calcA'!AD$5*100000+IF(AND($E17=1,JQ17=0),50000,0))+IF($H17=1,INDEX('calcA'!$D$180:$EQ$219,$B17,27)*4000,0)-IF(AND('calcA'!AC$117=1,VA17&gt;0),2000,0)-IF(AND($U17=1,'calcA'!AD$117=1,EC17=0),2000,0))),1000000000))</f>
        <v/>
      </c>
      <c r="PG17">
        <f>IF($B17=0,1000000000,IF(INDEX('calcA'!$D$60:$EQ$99,$B17,28)*IF($W17=1,EC17+AAR17,EC17)=1,IF(AND($E17=2,IF($W17=1,AGG17,JR17)=0),1000000000,IF($V17=1,INDEX('calcA'!$D$130:$EQ$169,$B17,28)+IF(AND($E17=1,JR17=0),25,0),IF($F17&gt;0,INDEX('calcA'!AE$110:AE$114,$F17+1)+IF(AND($E17=1,JR17=0),1000,0),MIN(TV17,20)*400+(IF('calcA'!AD$106=1,1-EB17,0)+IF('calcA'!AE$106=1,1-ED17,0))*150+42+'calcA'!AE$5*100000+IF(AND($E17=1,JR17=0),50000,0))+IF($H17=1,INDEX('calcA'!$D$180:$EQ$219,$B17,28)*4000,0)-IF(AND('calcA'!AD$117=1,VB17&gt;0),2000,0)-IF(AND($U17=1,'calcA'!AE$117=1,ED17=0),2000,0))),1000000000))</f>
        <v/>
      </c>
      <c r="PH17">
        <f>IF($B17=0,1000000000,IF(INDEX('calcA'!$D$60:$EQ$99,$B17,29)*IF($W17=1,ED17+AAS17,ED17)=1,IF(AND($E17=2,IF($W17=1,AGH17,JS17)=0),1000000000,IF($V17=1,INDEX('calcA'!$D$130:$EQ$169,$B17,29)+IF(AND($E17=1,JS17=0),25,0),IF($F17&gt;0,INDEX('calcA'!AF$110:AF$114,$F17+1)+IF(AND($E17=1,JS17=0),1000,0),MIN(TV17,20)*400+(IF('calcA'!AE$106=1,1-EC17,0)+IF('calcA'!AF$106=1,1-EE17,0))*150+52+'calcA'!AF$5*100000+IF(AND($E17=1,JS17=0),50000,0))+IF($H17=1,INDEX('calcA'!$D$180:$EQ$219,$B17,29)*4000,0)-IF(AND('calcA'!AE$117=1,VC17&gt;0),2000,0)-IF(AND($U17=1,'calcA'!AF$117=1,EE17=0),2000,0))),1000000000))</f>
        <v/>
      </c>
      <c r="PI17">
        <f>IF($B17=0,1000000000,IF(INDEX('calcA'!$D$60:$EQ$99,$B17,30)*IF($W17=1,EE17+AAT17,EE17)=1,IF(AND($E17=2,IF($W17=1,AGI17,JT17)=0),1000000000,IF($V17=1,INDEX('calcA'!$D$130:$EQ$169,$B17,30)+IF(AND($E17=1,JT17=0),25,0),IF($F17&gt;0,INDEX('calcA'!AG$110:AG$114,$F17+1)+IF(AND($E17=1,JT17=0),1000,0),MIN(TV17,20)*400+(IF('calcA'!AF$106=1,1-ED17,0)+IF('calcA'!AG$106=1,1-EF17,0))*150+62+'calcA'!AG$5*100000+IF(AND($E17=1,JT17=0),50000,0))+IF($H17=1,INDEX('calcA'!$D$180:$EQ$219,$B17,30)*4000,0)-IF(AND('calcA'!AF$117=1,VD17&gt;0),2000,0)-IF(AND($U17=1,'calcA'!AG$117=1,EF17=0),2000,0))),1000000000))</f>
        <v/>
      </c>
      <c r="PJ17">
        <f>IF($B17=0,1000000000,IF(INDEX('calcA'!$D$60:$EQ$99,$B17,31)*IF($W17=1,EF17+AAU17,EF17)=1,IF(AND($E17=2,IF($W17=1,AGJ17,JU17)=0),1000000000,IF($V17=1,INDEX('calcA'!$D$130:$EQ$169,$B17,31)+IF(AND($E17=1,JU17=0),25,0),IF($F17&gt;0,INDEX('calcA'!AH$110:AH$114,$F17+1)+IF(AND($E17=1,JU17=0),1000,0),MIN(TV17,20)*400+(IF('calcA'!AG$106=1,1-EE17,0)+IF('calcA'!AH$106=1,1-EG17,0))*150+72+'calcA'!AH$5*100000+IF(AND($E17=1,JU17=0),50000,0))+IF($H17=1,INDEX('calcA'!$D$180:$EQ$219,$B17,31)*4000,0)-IF(AND('calcA'!AG$117=1,VE17&gt;0),2000,0)-IF(AND($U17=1,'calcA'!AH$117=1,EG17=0),2000,0))),1000000000))</f>
        <v/>
      </c>
      <c r="PK17">
        <f>IF($B17=0,1000000000,IF(INDEX('calcA'!$D$60:$EQ$99,$B17,32)*IF($W17=1,EG17+AAV17,EG17)=1,IF(AND($E17=2,IF($W17=1,AGK17,JV17)=0),1000000000,IF($V17=1,INDEX('calcA'!$D$130:$EQ$169,$B17,32)+IF(AND($E17=1,JV17=0),25,0),IF($F17&gt;0,INDEX('calcA'!AI$110:AI$114,$F17+1)+IF(AND($E17=1,JV17=0),1000,0),MIN(TV17,20)*400+(IF('calcA'!AH$106=1,1-EF17,0)+IF('calcA'!AI$106=1,1-EH17,0))*150+82+'calcA'!AI$5*100000+IF(AND($E17=1,JV17=0),50000,0))+IF($H17=1,INDEX('calcA'!$D$180:$EQ$219,$B17,32)*4000,0)-IF(AND('calcA'!AH$117=1,VF17&gt;0),2000,0)-IF(AND($U17=1,'calcA'!AI$117=1,EH17=0),2000,0))),1000000000))</f>
        <v/>
      </c>
      <c r="PL17">
        <f>IF($B17=0,1000000000,IF(INDEX('calcA'!$D$60:$EQ$99,$B17,33)*IF($W17=1,EH17+AAW17,EH17)=1,IF(AND($E17=2,IF($W17=1,AGL17,JW17)=0),1000000000,IF($V17=1,INDEX('calcA'!$D$130:$EQ$169,$B17,33)+IF(AND($E17=1,JW17=0),25,0),IF($F17&gt;0,INDEX('calcA'!AJ$110:AJ$114,$F17+1)+IF(AND($E17=1,JW17=0),1000,0),MIN(TV17,20)*400+(IF('calcA'!AI$106=1,1-EG17,0)+IF('calcA'!AJ$106=1,1-EI17,0))*150+92+'calcA'!AJ$5*100000+IF(AND($E17=1,JW17=0),50000,0))+IF($H17=1,INDEX('calcA'!$D$180:$EQ$219,$B17,33)*4000,0)-IF(AND('calcA'!AI$117=1,VG17&gt;0),2000,0)-IF(AND($U17=1,'calcA'!AJ$117=1,EI17=0),2000,0))),1000000000))</f>
        <v/>
      </c>
      <c r="PM17">
        <f>IF($B17=0,1000000000,IF(INDEX('calcA'!$D$60:$EQ$99,$B17,34)*IF($W17=1,EI17+AAX17,EI17)=1,IF(AND($E17=2,IF($W17=1,AGM17,JX17)=0),1000000000,IF($V17=1,INDEX('calcA'!$D$130:$EQ$169,$B17,34)+IF(AND($E17=1,JX17=0),25,0),IF($F17&gt;0,INDEX('calcA'!AK$110:AK$114,$F17+1)+IF(AND($E17=1,JX17=0),1000,0),MIN(TV17,20)*400+(IF('calcA'!AJ$106=1,1-EH17,0)+IF('calcA'!AK$106=1,1-EJ17,0))*150+102+'calcA'!AK$5*100000+IF(AND($E17=1,JX17=0),50000,0))+IF($H17=1,INDEX('calcA'!$D$180:$EQ$219,$B17,34)*4000,0)-IF(AND('calcA'!AJ$117=1,VH17&gt;0),2000,0)-IF(AND($U17=1,'calcA'!AK$117=1,EJ17=0),2000,0))),1000000000))</f>
        <v/>
      </c>
      <c r="PN17">
        <f>IF($B17=0,1000000000,IF(INDEX('calcA'!$D$60:$EQ$99,$B17,35)*IF($W17=1,EJ17+AAY17,EJ17)=1,IF(AND($E17=2,IF($W17=1,AGN17,JY17)=0),1000000000,IF($V17=1,INDEX('calcA'!$D$130:$EQ$169,$B17,35)+IF(AND($E17=1,JY17=0),25,0),IF($F17&gt;0,INDEX('calcA'!AL$110:AL$114,$F17+1)+IF(AND($E17=1,JY17=0),1000,0),MIN(TV17,20)*400+(IF('calcA'!AK$106=1,1-EI17,0)+IF('calcA'!AL$106=1,1-EK17,0))*150+112+'calcA'!AL$5*100000+IF(AND($E17=1,JY17=0),50000,0))+IF($H17=1,INDEX('calcA'!$D$180:$EQ$219,$B17,35)*4000,0)-IF(AND('calcA'!AK$117=1,VI17&gt;0),2000,0)-IF(AND($U17=1,'calcA'!AL$117=1,EK17=0),2000,0))),1000000000))</f>
        <v/>
      </c>
      <c r="PO17">
        <f>IF($B17=0,1000000000,IF(INDEX('calcA'!$D$60:$EQ$99,$B17,36)*IF($W17=1,EK17+AAZ17,EK17)=1,IF(AND($E17=2,IF($W17=1,AGO17,JZ17)=0),1000000000,IF($V17=1,INDEX('calcA'!$D$130:$EQ$169,$B17,36)+IF(AND($E17=1,JZ17=0),25,0),IF($F17&gt;0,INDEX('calcA'!AM$110:AM$114,$F17+1)+IF(AND($E17=1,JZ17=0),1000,0),MIN(TV17,20)*400+(IF('calcA'!AL$106=1,1-EJ17,0)+IF('calcA'!AM$106=1,1-EL17,0))*150+122+'calcA'!AM$5*100000+IF(AND($E17=1,JZ17=0),50000,0))+IF($H17=1,INDEX('calcA'!$D$180:$EQ$219,$B17,36)*4000,0)-IF(AND('calcA'!AL$117=1,VJ17&gt;0),2000,0)-IF(AND($U17=1,'calcA'!AM$117=1,EL17=0),2000,0))),1000000000))</f>
        <v/>
      </c>
      <c r="PP17">
        <f>IF($B17=0,1000000000,IF(INDEX('calcA'!$D$60:$EQ$99,$B17,37)*IF($W17=1,EL17+ABA17,EL17)=1,IF(AND($E17=2,IF($W17=1,AGP17,KA17)=0),1000000000,IF($V17=1,INDEX('calcA'!$D$130:$EQ$169,$B17,37)+IF(AND($E17=1,KA17=0),25,0),IF($F17&gt;0,INDEX('calcA'!AN$110:AN$114,$F17+1)+IF(AND($E17=1,KA17=0),1000,0),MIN(TV17,20)*400+(IF('calcA'!AM$106=1,1-EK17,0)+IF('calcA'!AN$106=1,1-EM17,0))*150+132+'calcA'!AN$5*100000+IF(AND($E17=1,KA17=0),50000,0))+IF($H17=1,INDEX('calcA'!$D$180:$EQ$219,$B17,37)*4000,0)-IF(AND('calcA'!AM$117=1,VK17&gt;0),2000,0)-IF(AND($U17=1,'calcA'!AN$117=1,EM17=0),2000,0))),1000000000))</f>
        <v/>
      </c>
      <c r="PQ17">
        <f>IF($B17=0,1000000000,IF(INDEX('calcA'!$D$60:$EQ$99,$B17,38)*IF($W17=1,EM17+ABB17,EM17)=1,IF(AND($E17=2,IF($W17=1,AGQ17,KB17)=0),1000000000,IF($V17=1,INDEX('calcA'!$D$130:$EQ$169,$B17,38)+IF(AND($E17=1,KB17=0),25,0),IF($F17&gt;0,INDEX('calcA'!AO$110:AO$114,$F17+1)+IF(AND($E17=1,KB17=0),1000,0),MIN(TV17,20)*400+(IF('calcA'!AN$106=1,1-EL17,0)+IF('calcA'!AO$106=1,1-EN17,0))*150+142+'calcA'!AO$5*100000+IF(AND($E17=1,KB17=0),50000,0))+IF($H17=1,INDEX('calcA'!$D$180:$EQ$219,$B17,38)*4000,0)-IF(AND('calcA'!AN$117=1,VL17&gt;0),2000,0)-IF(AND($U17=1,'calcA'!AO$117=1,EN17=0),2000,0))),1000000000))</f>
        <v/>
      </c>
      <c r="PR17">
        <f>IF($B17=0,1000000000,IF(INDEX('calcA'!$D$60:$EQ$99,$B17,39)*IF($W17=1,EN17+ABC17,EN17)=1,IF(AND($E17=2,IF($W17=1,AGR17,KC17)=0),1000000000,IF($V17=1,INDEX('calcA'!$D$130:$EQ$169,$B17,39)+IF(AND($E17=1,KC17=0),25,0),IF($F17&gt;0,INDEX('calcA'!AP$110:AP$114,$F17+1)+IF(AND($E17=1,KC17=0),1000,0),MIN(TV17,20)*400+(IF('calcA'!AO$106=1,1-EM17,0)+IF('calcA'!AP$106=1,1-EO17,0))*150+152+'calcA'!AP$5*100000+IF(AND($E17=1,KC17=0),50000,0))+IF($H17=1,INDEX('calcA'!$D$180:$EQ$219,$B17,39)*4000,0)-IF(AND('calcA'!AO$117=1,VM17&gt;0),2000,0)-IF(AND($U17=1,'calcA'!AP$117=1,EO17=0),2000,0))),1000000000))</f>
        <v/>
      </c>
      <c r="PS17">
        <f>IF($B17=0,1000000000,IF(INDEX('calcA'!$D$60:$EQ$99,$B17,40)*IF($W17=1,EO17+ABD17,EO17)=1,IF(AND($E17=2,IF($W17=1,AGS17,KD17)=0),1000000000,IF($V17=1,INDEX('calcA'!$D$130:$EQ$169,$B17,40)+IF(AND($E17=1,KD17=0),25,0),IF($F17&gt;0,INDEX('calcA'!AQ$110:AQ$114,$F17+1)+IF(AND($E17=1,KD17=0),1000,0),MIN(TV17,20)*400+(IF('calcA'!AP$106=1,1-EN17,0)+IF('calcA'!AQ$106=1,1-EP17,0))*150+162+'calcA'!AQ$5*100000+IF(AND($E17=1,KD17=0),50000,0))+IF($H17=1,INDEX('calcA'!$D$180:$EQ$219,$B17,40)*4000,0)-IF(AND('calcA'!AP$117=1,VN17&gt;0),2000,0)-IF(AND($U17=1,'calcA'!AQ$117=1,EP17=0),2000,0))),1000000000))</f>
        <v/>
      </c>
      <c r="PT17">
        <f>IF($B17=0,1000000000,IF(INDEX('calcA'!$D$60:$EQ$99,$B17,41)*IF($W17=1,EP17+ABE17,EP17)=1,IF(AND($E17=2,IF($W17=1,AGT17,KE17)=0),1000000000,IF($V17=1,INDEX('calcA'!$D$130:$EQ$169,$B17,41)+IF(AND($E17=1,KE17=0),25,0),IF($F17&gt;0,INDEX('calcA'!AR$110:AR$114,$F17+1)+IF(AND($E17=1,KE17=0),1000,0),MIN(TV17,20)*400+(IF('calcA'!AQ$106=1,1-EO17,0)+IF('calcA'!AR$106=1,1-EQ17,0))*150+172+'calcA'!AR$5*100000+IF(AND($E17=1,KE17=0),50000,0))+IF($H17=1,INDEX('calcA'!$D$180:$EQ$219,$B17,41)*4000,0)-IF(AND('calcA'!AQ$117=1,VO17&gt;0),2000,0)-IF(AND($U17=1,'calcA'!AR$117=1,EQ17=0),2000,0))),1000000000))</f>
        <v/>
      </c>
      <c r="PU17">
        <f>IF($B17=0,1000000000,IF(INDEX('calcA'!$D$60:$EQ$99,$B17,42)*IF($W17=1,EQ17+ABF17,EQ17)=1,IF(AND($E17=2,IF($W17=1,AGU17,KF17)=0),1000000000,IF($V17=1,INDEX('calcA'!$D$130:$EQ$169,$B17,42)+IF(AND($E17=1,KF17=0),25,0),IF($F17&gt;0,INDEX('calcA'!AS$110:AS$114,$F17+1)+IF(AND($E17=1,KF17=0),1000,0),MIN(TV17,20)*400+(IF('calcA'!AR$106=1,1-EP17,0)+IF('calcA'!AS$106=1,1-ER17,0))*150+182+'calcA'!AS$5*100000+IF(AND($E17=1,KF17=0),50000,0))+IF($H17=1,INDEX('calcA'!$D$180:$EQ$219,$B17,42)*4000,0)-IF(AND('calcA'!AR$117=1,VP17&gt;0),2000,0)-IF(AND($U17=1,'calcA'!AS$117=1,ER17=0),2000,0))),1000000000))</f>
        <v/>
      </c>
      <c r="PV17">
        <f>IF($B17=0,1000000000,IF(INDEX('calcA'!$D$60:$EQ$99,$B17,43)*IF($W17=1,ER17+ABG17,ER17)=1,IF(AND($E17=2,IF($W17=1,AGV17,KG17)=0),1000000000,IF($V17=1,INDEX('calcA'!$D$130:$EQ$169,$B17,43)+IF(AND($E17=1,KG17=0),25,0),IF($F17&gt;0,INDEX('calcA'!AT$110:AT$114,$F17+1)+IF(AND($E17=1,KG17=0),1000,0),MIN(TV17,20)*400+(IF('calcA'!AS$106=1,1-EQ17,0)+IF('calcA'!AT$106=1,1-ES17,0))*150+192+'calcA'!AT$5*100000+IF(AND($E17=1,KG17=0),50000,0))+IF($H17=1,INDEX('calcA'!$D$180:$EQ$219,$B17,43)*4000,0)-IF(AND('calcA'!AS$117=1,VQ17&gt;0),2000,0)-IF(AND($U17=1,'calcA'!AT$117=1,ES17=0),2000,0))),1000000000))</f>
        <v/>
      </c>
      <c r="PW17">
        <f>IF($B17=0,1000000000,IF(INDEX('calcA'!$D$60:$EQ$99,$B17,44)*IF($W17=1,ES17+ABH17,ES17)=1,IF(AND($E17=2,IF($W17=1,AGW17,KH17)=0),1000000000,IF($V17=1,INDEX('calcA'!$D$130:$EQ$169,$B17,44)+IF(AND($E17=1,KH17=0),25,0),IF($F17&gt;0,INDEX('calcA'!AU$110:AU$114,$F17+1)+IF(AND($E17=1,KH17=0),1000,0),MIN(TV17,20)*400+(IF('calcA'!AT$106=1,1-ER17,0)+IF('calcA'!AU$106=1,1-ET17,0))*150+202+'calcA'!AU$5*100000+IF(AND($E17=1,KH17=0),50000,0))+IF($H17=1,INDEX('calcA'!$D$180:$EQ$219,$B17,44)*4000,0)-IF(AND('calcA'!AT$117=1,VR17&gt;0),2000,0)-IF(AND($U17=1,'calcA'!AU$117=1,ET17=0),2000,0))),1000000000))</f>
        <v/>
      </c>
      <c r="PX17">
        <f>IF($B17=0,1000000000,IF(INDEX('calcA'!$D$60:$EQ$99,$B17,45)*IF($W17=1,ET17+ABI17,ET17)=1,IF(AND($E17=2,IF($W17=1,AGX17,KI17)=0),1000000000,IF($V17=1,INDEX('calcA'!$D$130:$EQ$169,$B17,45)+IF(AND($E17=1,KI17=0),25,0),IF($F17&gt;0,INDEX('calcA'!AV$110:AV$114,$F17+1)+IF(AND($E17=1,KI17=0),1000,0),MIN(TV17,20)*400+(IF('calcA'!AU$106=1,1-ES17,0)+IF('calcA'!AV$106=1,1-EU17,0))*150+212+'calcA'!AV$5*100000+IF(AND($E17=1,KI17=0),50000,0))+IF($H17=1,INDEX('calcA'!$D$180:$EQ$219,$B17,45)*4000,0)-IF(AND('calcA'!AU$117=1,VS17&gt;0),2000,0)-IF(AND($U17=1,'calcA'!AV$117=1,EU17=0),2000,0))),1000000000))</f>
        <v/>
      </c>
      <c r="PY17">
        <f>IF($B17=0,1000000000,IF(INDEX('calcA'!$D$60:$EQ$99,$B17,46)*IF($W17=1,EU17+ABJ17,EU17)=1,IF(AND($E17=2,IF($W17=1,AGY17,KJ17)=0),1000000000,IF($V17=1,INDEX('calcA'!$D$130:$EQ$169,$B17,46)+IF(AND($E17=1,KJ17=0),25,0),IF($F17&gt;0,INDEX('calcA'!AW$110:AW$114,$F17+1)+IF(AND($E17=1,KJ17=0),1000,0),MIN(TV17,20)*400+(IF('calcA'!AV$106=1,1-ET17,0)+IF('calcA'!AW$106=1,1-EV17,0))*150+222+'calcA'!AW$5*100000+IF(AND($E17=1,KJ17=0),50000,0))+IF($H17=1,INDEX('calcA'!$D$180:$EQ$219,$B17,46)*4000,0)-IF(AND('calcA'!AV$117=1,VT17&gt;0),2000,0)-IF(AND($U17=1,'calcA'!AW$117=1,EV17=0),2000,0))),1000000000))</f>
        <v/>
      </c>
      <c r="PZ17">
        <f>IF($B17=0,1000000000,IF(INDEX('calcA'!$D$60:$EQ$99,$B17,47)*IF($W17=1,EV17+ABK17,EV17)=1,IF(AND($E17=2,IF($W17=1,AGZ17,KK17)=0),1000000000,IF($V17=1,INDEX('calcA'!$D$130:$EQ$169,$B17,47)+IF(AND($E17=1,KK17=0),25,0),IF($F17&gt;0,INDEX('calcA'!AX$110:AX$114,$F17+1)+IF(AND($E17=1,KK17=0),1000,0),MIN(TV17,20)*400+(IF('calcA'!AW$106=1,1-EU17,0)+IF('calcA'!AX$106=1,1-EW17,0))*150+232+'calcA'!AX$5*100000+IF(AND($E17=1,KK17=0),50000,0))+IF($H17=1,INDEX('calcA'!$D$180:$EQ$219,$B17,47)*4000,0)-IF(AND('calcA'!AW$117=1,VU17&gt;0),2000,0)-IF(AND($U17=1,'calcA'!AX$117=1,EW17=0),2000,0))),1000000000))</f>
        <v/>
      </c>
      <c r="QA17">
        <f>IF($B17=0,1000000000,IF(INDEX('calcA'!$D$60:$EQ$99,$B17,48)*IF($W17=1,EW17+ABL17,EW17)=1,IF(AND($E17=2,IF($W17=1,AHA17,KL17)=0),1000000000,IF($V17=1,INDEX('calcA'!$D$130:$EQ$169,$B17,48)+IF(AND($E17=1,KL17=0),25,0),IF($F17&gt;0,INDEX('calcA'!AY$110:AY$114,$F17+1)+IF(AND($E17=1,KL17=0),1000,0),MIN(TV17,20)*400+(IF('calcA'!AX$106=1,1-EV17,0))*150+242+'calcA'!AY$5*100000+IF(AND($E17=1,KL17=0),50000,0))+IF($H17=1,INDEX('calcA'!$D$180:$EQ$219,$B17,48)*4000,0)-IF(AND('calcA'!AX$117=1,VV17&gt;0),2000,0))),1000000000))</f>
        <v/>
      </c>
      <c r="QB17">
        <f>IF($B17=0,1000000000,IF(INDEX('calcA'!$D$60:$EQ$99,$B17,49)*IF($W17=1,EX17+ABM17,EX17)=1,IF(AND($E17=2,IF($W17=1,AHB17,KM17)=0),1000000000,IF($V17=1,INDEX('calcA'!$D$130:$EQ$169,$B17,49)+IF(AND($E17=1,KM17=0),25,0),IF($F17&gt;0,INDEX('calcA'!AZ$110:AZ$114,$F17+1)+IF(AND($E17=1,KM17=0),1000,0),MIN(TW17,20)*400+(IF('calcA'!AZ$106=1,1-EY17,0))*150+13+'calcA'!AZ$5*100000+IF(AND($E17=1,KM17=0),50000,0))+IF($H17=1,INDEX('calcA'!$D$180:$EQ$219,$B17,49)*4000,0)-IF(AND($U17=1,'calcA'!AZ$117=1,EY17=0),2000,0))),1000000000))</f>
        <v/>
      </c>
      <c r="QC17">
        <f>IF($B17=0,1000000000,IF(INDEX('calcA'!$D$60:$EQ$99,$B17,50)*IF($W17=1,EY17+ABN17,EY17)=1,IF(AND($E17=2,IF($W17=1,AHC17,KN17)=0),1000000000,IF($V17=1,INDEX('calcA'!$D$130:$EQ$169,$B17,50)+IF(AND($E17=1,KN17=0),25,0),IF($F17&gt;0,INDEX('calcA'!BA$110:BA$114,$F17+1)+IF(AND($E17=1,KN17=0),1000,0),MIN(TW17,20)*400+(IF('calcA'!AZ$106=1,1-EX17,0)+IF('calcA'!BA$106=1,1-EZ17,0))*150+23+'calcA'!BA$5*100000+IF(AND($E17=1,KN17=0),50000,0))+IF($H17=1,INDEX('calcA'!$D$180:$EQ$219,$B17,50)*4000,0)-IF(AND('calcA'!AZ$117=1,VX17&gt;0),2000,0)-IF(AND($U17=1,'calcA'!BA$117=1,EZ17=0),2000,0))),1000000000))</f>
        <v/>
      </c>
      <c r="QD17">
        <f>IF($B17=0,1000000000,IF(INDEX('calcA'!$D$60:$EQ$99,$B17,51)*IF($W17=1,EZ17+ABO17,EZ17)=1,IF(AND($E17=2,IF($W17=1,AHD17,KO17)=0),1000000000,IF($V17=1,INDEX('calcA'!$D$130:$EQ$169,$B17,51)+IF(AND($E17=1,KO17=0),25,0),IF($F17&gt;0,INDEX('calcA'!BB$110:BB$114,$F17+1)+IF(AND($E17=1,KO17=0),1000,0),MIN(TW17,20)*400+(IF('calcA'!BA$106=1,1-EY17,0)+IF('calcA'!BB$106=1,1-FA17,0))*150+33+'calcA'!BB$5*100000+IF(AND($E17=1,KO17=0),50000,0))+IF($H17=1,INDEX('calcA'!$D$180:$EQ$219,$B17,51)*4000,0)-IF(AND('calcA'!BA$117=1,VY17&gt;0),2000,0)-IF(AND($U17=1,'calcA'!BB$117=1,FA17=0),2000,0))),1000000000))</f>
        <v/>
      </c>
      <c r="QE17">
        <f>IF($B17=0,1000000000,IF(INDEX('calcA'!$D$60:$EQ$99,$B17,52)*IF($W17=1,FA17+ABP17,FA17)=1,IF(AND($E17=2,IF($W17=1,AHE17,KP17)=0),1000000000,IF($V17=1,INDEX('calcA'!$D$130:$EQ$169,$B17,52)+IF(AND($E17=1,KP17=0),25,0),IF($F17&gt;0,INDEX('calcA'!BC$110:BC$114,$F17+1)+IF(AND($E17=1,KP17=0),1000,0),MIN(TW17,20)*400+(IF('calcA'!BB$106=1,1-EZ17,0)+IF('calcA'!BC$106=1,1-FB17,0))*150+43+'calcA'!BC$5*100000+IF(AND($E17=1,KP17=0),50000,0))+IF($H17=1,INDEX('calcA'!$D$180:$EQ$219,$B17,52)*4000,0)-IF(AND('calcA'!BB$117=1,VZ17&gt;0),2000,0)-IF(AND($U17=1,'calcA'!BC$117=1,FB17=0),2000,0))),1000000000))</f>
        <v/>
      </c>
      <c r="QF17">
        <f>IF($B17=0,1000000000,IF(INDEX('calcA'!$D$60:$EQ$99,$B17,53)*IF($W17=1,FB17+ABQ17,FB17)=1,IF(AND($E17=2,IF($W17=1,AHF17,KQ17)=0),1000000000,IF($V17=1,INDEX('calcA'!$D$130:$EQ$169,$B17,53)+IF(AND($E17=1,KQ17=0),25,0),IF($F17&gt;0,INDEX('calcA'!BD$110:BD$114,$F17+1)+IF(AND($E17=1,KQ17=0),1000,0),MIN(TW17,20)*400+(IF('calcA'!BC$106=1,1-FA17,0)+IF('calcA'!BD$106=1,1-FC17,0))*150+53+'calcA'!BD$5*100000+IF(AND($E17=1,KQ17=0),50000,0))+IF($H17=1,INDEX('calcA'!$D$180:$EQ$219,$B17,53)*4000,0)-IF(AND('calcA'!BC$117=1,WA17&gt;0),2000,0)-IF(AND($U17=1,'calcA'!BD$117=1,FC17=0),2000,0))),1000000000))</f>
        <v/>
      </c>
      <c r="QG17">
        <f>IF($B17=0,1000000000,IF(INDEX('calcA'!$D$60:$EQ$99,$B17,54)*IF($W17=1,FC17+ABR17,FC17)=1,IF(AND($E17=2,IF($W17=1,AHG17,KR17)=0),1000000000,IF($V17=1,INDEX('calcA'!$D$130:$EQ$169,$B17,54)+IF(AND($E17=1,KR17=0),25,0),IF($F17&gt;0,INDEX('calcA'!BE$110:BE$114,$F17+1)+IF(AND($E17=1,KR17=0),1000,0),MIN(TW17,20)*400+(IF('calcA'!BD$106=1,1-FB17,0)+IF('calcA'!BE$106=1,1-FD17,0))*150+63+'calcA'!BE$5*100000+IF(AND($E17=1,KR17=0),50000,0))+IF($H17=1,INDEX('calcA'!$D$180:$EQ$219,$B17,54)*4000,0)-IF(AND('calcA'!BD$117=1,WB17&gt;0),2000,0)-IF(AND($U17=1,'calcA'!BE$117=1,FD17=0),2000,0))),1000000000))</f>
        <v/>
      </c>
      <c r="QH17">
        <f>IF($B17=0,1000000000,IF(INDEX('calcA'!$D$60:$EQ$99,$B17,55)*IF($W17=1,FD17+ABS17,FD17)=1,IF(AND($E17=2,IF($W17=1,AHH17,KS17)=0),1000000000,IF($V17=1,INDEX('calcA'!$D$130:$EQ$169,$B17,55)+IF(AND($E17=1,KS17=0),25,0),IF($F17&gt;0,INDEX('calcA'!BF$110:BF$114,$F17+1)+IF(AND($E17=1,KS17=0),1000,0),MIN(TW17,20)*400+(IF('calcA'!BE$106=1,1-FC17,0)+IF('calcA'!BF$106=1,1-FE17,0))*150+73+'calcA'!BF$5*100000+IF(AND($E17=1,KS17=0),50000,0))+IF($H17=1,INDEX('calcA'!$D$180:$EQ$219,$B17,55)*4000,0)-IF(AND('calcA'!BE$117=1,WC17&gt;0),2000,0)-IF(AND($U17=1,'calcA'!BF$117=1,FE17=0),2000,0))),1000000000))</f>
        <v/>
      </c>
      <c r="QI17">
        <f>IF($B17=0,1000000000,IF(INDEX('calcA'!$D$60:$EQ$99,$B17,56)*IF($W17=1,FE17+ABT17,FE17)=1,IF(AND($E17=2,IF($W17=1,AHI17,KT17)=0),1000000000,IF($V17=1,INDEX('calcA'!$D$130:$EQ$169,$B17,56)+IF(AND($E17=1,KT17=0),25,0),IF($F17&gt;0,INDEX('calcA'!BG$110:BG$114,$F17+1)+IF(AND($E17=1,KT17=0),1000,0),MIN(TW17,20)*400+(IF('calcA'!BF$106=1,1-FD17,0)+IF('calcA'!BG$106=1,1-FF17,0))*150+83+'calcA'!BG$5*100000+IF(AND($E17=1,KT17=0),50000,0))+IF($H17=1,INDEX('calcA'!$D$180:$EQ$219,$B17,56)*4000,0)-IF(AND('calcA'!BF$117=1,WD17&gt;0),2000,0)-IF(AND($U17=1,'calcA'!BG$117=1,FF17=0),2000,0))),1000000000))</f>
        <v/>
      </c>
      <c r="QJ17">
        <f>IF($B17=0,1000000000,IF(INDEX('calcA'!$D$60:$EQ$99,$B17,57)*IF($W17=1,FF17+ABU17,FF17)=1,IF(AND($E17=2,IF($W17=1,AHJ17,KU17)=0),1000000000,IF($V17=1,INDEX('calcA'!$D$130:$EQ$169,$B17,57)+IF(AND($E17=1,KU17=0),25,0),IF($F17&gt;0,INDEX('calcA'!BH$110:BH$114,$F17+1)+IF(AND($E17=1,KU17=0),1000,0),MIN(TW17,20)*400+(IF('calcA'!BG$106=1,1-FE17,0)+IF('calcA'!BH$106=1,1-FG17,0))*150+93+'calcA'!BH$5*100000+IF(AND($E17=1,KU17=0),50000,0))+IF($H17=1,INDEX('calcA'!$D$180:$EQ$219,$B17,57)*4000,0)-IF(AND('calcA'!BG$117=1,WE17&gt;0),2000,0)-IF(AND($U17=1,'calcA'!BH$117=1,FG17=0),2000,0))),1000000000))</f>
        <v/>
      </c>
      <c r="QK17">
        <f>IF($B17=0,1000000000,IF(INDEX('calcA'!$D$60:$EQ$99,$B17,58)*IF($W17=1,FG17+ABV17,FG17)=1,IF(AND($E17=2,IF($W17=1,AHK17,KV17)=0),1000000000,IF($V17=1,INDEX('calcA'!$D$130:$EQ$169,$B17,58)+IF(AND($E17=1,KV17=0),25,0),IF($F17&gt;0,INDEX('calcA'!BI$110:BI$114,$F17+1)+IF(AND($E17=1,KV17=0),1000,0),MIN(TW17,20)*400+(IF('calcA'!BH$106=1,1-FF17,0)+IF('calcA'!BI$106=1,1-FH17,0))*150+103+'calcA'!BI$5*100000+IF(AND($E17=1,KV17=0),50000,0))+IF($H17=1,INDEX('calcA'!$D$180:$EQ$219,$B17,58)*4000,0)-IF(AND('calcA'!BH$117=1,WF17&gt;0),2000,0)-IF(AND($U17=1,'calcA'!BI$117=1,FH17=0),2000,0))),1000000000))</f>
        <v/>
      </c>
      <c r="QL17">
        <f>IF($B17=0,1000000000,IF(INDEX('calcA'!$D$60:$EQ$99,$B17,59)*IF($W17=1,FH17+ABW17,FH17)=1,IF(AND($E17=2,IF($W17=1,AHL17,KW17)=0),1000000000,IF($V17=1,INDEX('calcA'!$D$130:$EQ$169,$B17,59)+IF(AND($E17=1,KW17=0),25,0),IF($F17&gt;0,INDEX('calcA'!BJ$110:BJ$114,$F17+1)+IF(AND($E17=1,KW17=0),1000,0),MIN(TW17,20)*400+(IF('calcA'!BI$106=1,1-FG17,0)+IF('calcA'!BJ$106=1,1-FI17,0))*150+113+'calcA'!BJ$5*100000+IF(AND($E17=1,KW17=0),50000,0))+IF($H17=1,INDEX('calcA'!$D$180:$EQ$219,$B17,59)*4000,0)-IF(AND('calcA'!BI$117=1,WG17&gt;0),2000,0)-IF(AND($U17=1,'calcA'!BJ$117=1,FI17=0),2000,0))),1000000000))</f>
        <v/>
      </c>
      <c r="QM17">
        <f>IF($B17=0,1000000000,IF(INDEX('calcA'!$D$60:$EQ$99,$B17,60)*IF($W17=1,FI17+ABX17,FI17)=1,IF(AND($E17=2,IF($W17=1,AHM17,KX17)=0),1000000000,IF($V17=1,INDEX('calcA'!$D$130:$EQ$169,$B17,60)+IF(AND($E17=1,KX17=0),25,0),IF($F17&gt;0,INDEX('calcA'!BK$110:BK$114,$F17+1)+IF(AND($E17=1,KX17=0),1000,0),MIN(TW17,20)*400+(IF('calcA'!BJ$106=1,1-FH17,0)+IF('calcA'!BK$106=1,1-FJ17,0))*150+123+'calcA'!BK$5*100000+IF(AND($E17=1,KX17=0),50000,0))+IF($H17=1,INDEX('calcA'!$D$180:$EQ$219,$B17,60)*4000,0)-IF(AND('calcA'!BJ$117=1,WH17&gt;0),2000,0)-IF(AND($U17=1,'calcA'!BK$117=1,FJ17=0),2000,0))),1000000000))</f>
        <v/>
      </c>
      <c r="QN17">
        <f>IF($B17=0,1000000000,IF(INDEX('calcA'!$D$60:$EQ$99,$B17,61)*IF($W17=1,FJ17+ABY17,FJ17)=1,IF(AND($E17=2,IF($W17=1,AHN17,KY17)=0),1000000000,IF($V17=1,INDEX('calcA'!$D$130:$EQ$169,$B17,61)+IF(AND($E17=1,KY17=0),25,0),IF($F17&gt;0,INDEX('calcA'!BL$110:BL$114,$F17+1)+IF(AND($E17=1,KY17=0),1000,0),MIN(TW17,20)*400+(IF('calcA'!BK$106=1,1-FI17,0)+IF('calcA'!BL$106=1,1-FK17,0))*150+133+'calcA'!BL$5*100000+IF(AND($E17=1,KY17=0),50000,0))+IF($H17=1,INDEX('calcA'!$D$180:$EQ$219,$B17,61)*4000,0)-IF(AND('calcA'!BK$117=1,WI17&gt;0),2000,0)-IF(AND($U17=1,'calcA'!BL$117=1,FK17=0),2000,0))),1000000000))</f>
        <v/>
      </c>
      <c r="QO17">
        <f>IF($B17=0,1000000000,IF(INDEX('calcA'!$D$60:$EQ$99,$B17,62)*IF($W17=1,FK17+ABZ17,FK17)=1,IF(AND($E17=2,IF($W17=1,AHO17,KZ17)=0),1000000000,IF($V17=1,INDEX('calcA'!$D$130:$EQ$169,$B17,62)+IF(AND($E17=1,KZ17=0),25,0),IF($F17&gt;0,INDEX('calcA'!BM$110:BM$114,$F17+1)+IF(AND($E17=1,KZ17=0),1000,0),MIN(TW17,20)*400+(IF('calcA'!BL$106=1,1-FJ17,0)+IF('calcA'!BM$106=1,1-FL17,0))*150+143+'calcA'!BM$5*100000+IF(AND($E17=1,KZ17=0),50000,0))+IF($H17=1,INDEX('calcA'!$D$180:$EQ$219,$B17,62)*4000,0)-IF(AND('calcA'!BL$117=1,WJ17&gt;0),2000,0)-IF(AND($U17=1,'calcA'!BM$117=1,FL17=0),2000,0))),1000000000))</f>
        <v/>
      </c>
      <c r="QP17">
        <f>IF($B17=0,1000000000,IF(INDEX('calcA'!$D$60:$EQ$99,$B17,63)*IF($W17=1,FL17+ACA17,FL17)=1,IF(AND($E17=2,IF($W17=1,AHP17,LA17)=0),1000000000,IF($V17=1,INDEX('calcA'!$D$130:$EQ$169,$B17,63)+IF(AND($E17=1,LA17=0),25,0),IF($F17&gt;0,INDEX('calcA'!BN$110:BN$114,$F17+1)+IF(AND($E17=1,LA17=0),1000,0),MIN(TW17,20)*400+(IF('calcA'!BM$106=1,1-FK17,0)+IF('calcA'!BN$106=1,1-FM17,0))*150+153+'calcA'!BN$5*100000+IF(AND($E17=1,LA17=0),50000,0))+IF($H17=1,INDEX('calcA'!$D$180:$EQ$219,$B17,63)*4000,0)-IF(AND('calcA'!BM$117=1,WK17&gt;0),2000,0)-IF(AND($U17=1,'calcA'!BN$117=1,FM17=0),2000,0))),1000000000))</f>
        <v/>
      </c>
      <c r="QQ17">
        <f>IF($B17=0,1000000000,IF(INDEX('calcA'!$D$60:$EQ$99,$B17,64)*IF($W17=1,FM17+ACB17,FM17)=1,IF(AND($E17=2,IF($W17=1,AHQ17,LB17)=0),1000000000,IF($V17=1,INDEX('calcA'!$D$130:$EQ$169,$B17,64)+IF(AND($E17=1,LB17=0),25,0),IF($F17&gt;0,INDEX('calcA'!BO$110:BO$114,$F17+1)+IF(AND($E17=1,LB17=0),1000,0),MIN(TW17,20)*400+(IF('calcA'!BN$106=1,1-FL17,0)+IF('calcA'!BO$106=1,1-FN17,0))*150+163+'calcA'!BO$5*100000+IF(AND($E17=1,LB17=0),50000,0))+IF($H17=1,INDEX('calcA'!$D$180:$EQ$219,$B17,64)*4000,0)-IF(AND('calcA'!BN$117=1,WL17&gt;0),2000,0)-IF(AND($U17=1,'calcA'!BO$117=1,FN17=0),2000,0))),1000000000))</f>
        <v/>
      </c>
      <c r="QR17">
        <f>IF($B17=0,1000000000,IF(INDEX('calcA'!$D$60:$EQ$99,$B17,65)*IF($W17=1,FN17+ACC17,FN17)=1,IF(AND($E17=2,IF($W17=1,AHR17,LC17)=0),1000000000,IF($V17=1,INDEX('calcA'!$D$130:$EQ$169,$B17,65)+IF(AND($E17=1,LC17=0),25,0),IF($F17&gt;0,INDEX('calcA'!BP$110:BP$114,$F17+1)+IF(AND($E17=1,LC17=0),1000,0),MIN(TW17,20)*400+(IF('calcA'!BO$106=1,1-FM17,0)+IF('calcA'!BP$106=1,1-FO17,0))*150+173+'calcA'!BP$5*100000+IF(AND($E17=1,LC17=0),50000,0))+IF($H17=1,INDEX('calcA'!$D$180:$EQ$219,$B17,65)*4000,0)-IF(AND('calcA'!BO$117=1,WM17&gt;0),2000,0)-IF(AND($U17=1,'calcA'!BP$117=1,FO17=0),2000,0))),1000000000))</f>
        <v/>
      </c>
      <c r="QS17">
        <f>IF($B17=0,1000000000,IF(INDEX('calcA'!$D$60:$EQ$99,$B17,66)*IF($W17=1,FO17+ACD17,FO17)=1,IF(AND($E17=2,IF($W17=1,AHS17,LD17)=0),1000000000,IF($V17=1,INDEX('calcA'!$D$130:$EQ$169,$B17,66)+IF(AND($E17=1,LD17=0),25,0),IF($F17&gt;0,INDEX('calcA'!BQ$110:BQ$114,$F17+1)+IF(AND($E17=1,LD17=0),1000,0),MIN(TW17,20)*400+(IF('calcA'!BP$106=1,1-FN17,0)+IF('calcA'!BQ$106=1,1-FP17,0))*150+183+'calcA'!BQ$5*100000+IF(AND($E17=1,LD17=0),50000,0))+IF($H17=1,INDEX('calcA'!$D$180:$EQ$219,$B17,66)*4000,0)-IF(AND('calcA'!BP$117=1,WN17&gt;0),2000,0)-IF(AND($U17=1,'calcA'!BQ$117=1,FP17=0),2000,0))),1000000000))</f>
        <v/>
      </c>
      <c r="QT17">
        <f>IF($B17=0,1000000000,IF(INDEX('calcA'!$D$60:$EQ$99,$B17,67)*IF($W17=1,FP17+ACE17,FP17)=1,IF(AND($E17=2,IF($W17=1,AHT17,LE17)=0),1000000000,IF($V17=1,INDEX('calcA'!$D$130:$EQ$169,$B17,67)+IF(AND($E17=1,LE17=0),25,0),IF($F17&gt;0,INDEX('calcA'!BR$110:BR$114,$F17+1)+IF(AND($E17=1,LE17=0),1000,0),MIN(TW17,20)*400+(IF('calcA'!BQ$106=1,1-FO17,0)+IF('calcA'!BR$106=1,1-FQ17,0))*150+193+'calcA'!BR$5*100000+IF(AND($E17=1,LE17=0),50000,0))+IF($H17=1,INDEX('calcA'!$D$180:$EQ$219,$B17,67)*4000,0)-IF(AND('calcA'!BQ$117=1,WO17&gt;0),2000,0)-IF(AND($U17=1,'calcA'!BR$117=1,FQ17=0),2000,0))),1000000000))</f>
        <v/>
      </c>
      <c r="QU17">
        <f>IF($B17=0,1000000000,IF(INDEX('calcA'!$D$60:$EQ$99,$B17,68)*IF($W17=1,FQ17+ACF17,FQ17)=1,IF(AND($E17=2,IF($W17=1,AHU17,LF17)=0),1000000000,IF($V17=1,INDEX('calcA'!$D$130:$EQ$169,$B17,68)+IF(AND($E17=1,LF17=0),25,0),IF($F17&gt;0,INDEX('calcA'!BS$110:BS$114,$F17+1)+IF(AND($E17=1,LF17=0),1000,0),MIN(TW17,20)*400+(IF('calcA'!BR$106=1,1-FP17,0)+IF('calcA'!BS$106=1,1-FR17,0))*150+203+'calcA'!BS$5*100000+IF(AND($E17=1,LF17=0),50000,0))+IF($H17=1,INDEX('calcA'!$D$180:$EQ$219,$B17,68)*4000,0)-IF(AND('calcA'!BR$117=1,WP17&gt;0),2000,0)-IF(AND($U17=1,'calcA'!BS$117=1,FR17=0),2000,0))),1000000000))</f>
        <v/>
      </c>
      <c r="QV17">
        <f>IF($B17=0,1000000000,IF(INDEX('calcA'!$D$60:$EQ$99,$B17,69)*IF($W17=1,FR17+ACG17,FR17)=1,IF(AND($E17=2,IF($W17=1,AHV17,LG17)=0),1000000000,IF($V17=1,INDEX('calcA'!$D$130:$EQ$169,$B17,69)+IF(AND($E17=1,LG17=0),25,0),IF($F17&gt;0,INDEX('calcA'!BT$110:BT$114,$F17+1)+IF(AND($E17=1,LG17=0),1000,0),MIN(TW17,20)*400+(IF('calcA'!BS$106=1,1-FQ17,0)+IF('calcA'!BT$106=1,1-FS17,0))*150+213+'calcA'!BT$5*100000+IF(AND($E17=1,LG17=0),50000,0))+IF($H17=1,INDEX('calcA'!$D$180:$EQ$219,$B17,69)*4000,0)-IF(AND('calcA'!BS$117=1,WQ17&gt;0),2000,0)-IF(AND($U17=1,'calcA'!BT$117=1,FS17=0),2000,0))),1000000000))</f>
        <v/>
      </c>
      <c r="QW17">
        <f>IF($B17=0,1000000000,IF(INDEX('calcA'!$D$60:$EQ$99,$B17,70)*IF($W17=1,FS17+ACH17,FS17)=1,IF(AND($E17=2,IF($W17=1,AHW17,LH17)=0),1000000000,IF($V17=1,INDEX('calcA'!$D$130:$EQ$169,$B17,70)+IF(AND($E17=1,LH17=0),25,0),IF($F17&gt;0,INDEX('calcA'!BU$110:BU$114,$F17+1)+IF(AND($E17=1,LH17=0),1000,0),MIN(TW17,20)*400+(IF('calcA'!BT$106=1,1-FR17,0)+IF('calcA'!BU$106=1,1-FT17,0))*150+223+'calcA'!BU$5*100000+IF(AND($E17=1,LH17=0),50000,0))+IF($H17=1,INDEX('calcA'!$D$180:$EQ$219,$B17,70)*4000,0)-IF(AND('calcA'!BT$117=1,WR17&gt;0),2000,0)-IF(AND($U17=1,'calcA'!BU$117=1,FT17=0),2000,0))),1000000000))</f>
        <v/>
      </c>
      <c r="QX17">
        <f>IF($B17=0,1000000000,IF(INDEX('calcA'!$D$60:$EQ$99,$B17,71)*IF($W17=1,FT17+ACI17,FT17)=1,IF(AND($E17=2,IF($W17=1,AHX17,LI17)=0),1000000000,IF($V17=1,INDEX('calcA'!$D$130:$EQ$169,$B17,71)+IF(AND($E17=1,LI17=0),25,0),IF($F17&gt;0,INDEX('calcA'!BV$110:BV$114,$F17+1)+IF(AND($E17=1,LI17=0),1000,0),MIN(TW17,20)*400+(IF('calcA'!BU$106=1,1-FS17,0)+IF('calcA'!BV$106=1,1-FU17,0))*150+233+'calcA'!BV$5*100000+IF(AND($E17=1,LI17=0),50000,0))+IF($H17=1,INDEX('calcA'!$D$180:$EQ$219,$B17,71)*4000,0)-IF(AND('calcA'!BU$117=1,WS17&gt;0),2000,0)-IF(AND($U17=1,'calcA'!BV$117=1,FU17=0),2000,0))),1000000000))</f>
        <v/>
      </c>
      <c r="QY17">
        <f>IF($B17=0,1000000000,IF(INDEX('calcA'!$D$60:$EQ$99,$B17,72)*IF($W17=1,FU17+ACJ17,FU17)=1,IF(AND($E17=2,IF($W17=1,AHY17,LJ17)=0),1000000000,IF($V17=1,INDEX('calcA'!$D$130:$EQ$169,$B17,72)+IF(AND($E17=1,LJ17=0),25,0),IF($F17&gt;0,INDEX('calcA'!BW$110:BW$114,$F17+1)+IF(AND($E17=1,LJ17=0),1000,0),MIN(TW17,20)*400+(IF('calcA'!BV$106=1,1-FT17,0))*150+243+'calcA'!BW$5*100000+IF(AND($E17=1,LJ17=0),50000,0))+IF($H17=1,INDEX('calcA'!$D$180:$EQ$219,$B17,72)*4000,0)-IF(AND('calcA'!BV$117=1,WT17&gt;0),2000,0))),1000000000))</f>
        <v/>
      </c>
      <c r="QZ17">
        <f>IF($B17=0,1000000000,IF(INDEX('calcA'!$D$60:$EQ$99,$B17,73)*IF($W17=1,FV17+ACK17,FV17)=1,IF(AND($E17=2,IF($W17=1,AHZ17,LK17)=0),1000000000,IF($V17=1,INDEX('calcA'!$D$130:$EQ$169,$B17,73)+IF(AND($E17=1,LK17=0),25,0),IF($F17&gt;0,INDEX('calcA'!BX$110:BX$114,$F17+1)+IF(AND($E17=1,LK17=0),1000,0),MIN(TX17,20)*400+(IF('calcA'!BX$106=1,1-FW17,0))*150+14+'calcA'!BX$5*100000+IF(AND($E17=1,LK17=0),50000,0))+IF($H17=1,INDEX('calcA'!$D$180:$EQ$219,$B17,73)*4000,0)-IF(AND($U17=1,'calcA'!BX$117=1,FW17=0),2000,0))),1000000000))</f>
        <v/>
      </c>
      <c r="RA17">
        <f>IF($B17=0,1000000000,IF(INDEX('calcA'!$D$60:$EQ$99,$B17,74)*IF($W17=1,FW17+ACL17,FW17)=1,IF(AND($E17=2,IF($W17=1,AIA17,LL17)=0),1000000000,IF($V17=1,INDEX('calcA'!$D$130:$EQ$169,$B17,74)+IF(AND($E17=1,LL17=0),25,0),IF($F17&gt;0,INDEX('calcA'!BY$110:BY$114,$F17+1)+IF(AND($E17=1,LL17=0),1000,0),MIN(TX17,20)*400+(IF('calcA'!BX$106=1,1-FV17,0)+IF('calcA'!BY$106=1,1-FX17,0))*150+24+'calcA'!BY$5*100000+IF(AND($E17=1,LL17=0),50000,0))+IF($H17=1,INDEX('calcA'!$D$180:$EQ$219,$B17,74)*4000,0)-IF(AND('calcA'!BX$117=1,WV17&gt;0),2000,0)-IF(AND($U17=1,'calcA'!BY$117=1,FX17=0),2000,0))),1000000000))</f>
        <v/>
      </c>
      <c r="RB17">
        <f>IF($B17=0,1000000000,IF(INDEX('calcA'!$D$60:$EQ$99,$B17,75)*IF($W17=1,FX17+ACM17,FX17)=1,IF(AND($E17=2,IF($W17=1,AIB17,LM17)=0),1000000000,IF($V17=1,INDEX('calcA'!$D$130:$EQ$169,$B17,75)+IF(AND($E17=1,LM17=0),25,0),IF($F17&gt;0,INDEX('calcA'!BZ$110:BZ$114,$F17+1)+IF(AND($E17=1,LM17=0),1000,0),MIN(TX17,20)*400+(IF('calcA'!BY$106=1,1-FW17,0)+IF('calcA'!BZ$106=1,1-FY17,0))*150+34+'calcA'!BZ$5*100000+IF(AND($E17=1,LM17=0),50000,0))+IF($H17=1,INDEX('calcA'!$D$180:$EQ$219,$B17,75)*4000,0)-IF(AND('calcA'!BY$117=1,WW17&gt;0),2000,0)-IF(AND($U17=1,'calcA'!BZ$117=1,FY17=0),2000,0))),1000000000))</f>
        <v/>
      </c>
      <c r="RC17">
        <f>IF($B17=0,1000000000,IF(INDEX('calcA'!$D$60:$EQ$99,$B17,76)*IF($W17=1,FY17+ACN17,FY17)=1,IF(AND($E17=2,IF($W17=1,AIC17,LN17)=0),1000000000,IF($V17=1,INDEX('calcA'!$D$130:$EQ$169,$B17,76)+IF(AND($E17=1,LN17=0),25,0),IF($F17&gt;0,INDEX('calcA'!CA$110:CA$114,$F17+1)+IF(AND($E17=1,LN17=0),1000,0),MIN(TX17,20)*400+(IF('calcA'!BZ$106=1,1-FX17,0)+IF('calcA'!CA$106=1,1-FZ17,0))*150+44+'calcA'!CA$5*100000+IF(AND($E17=1,LN17=0),50000,0))+IF($H17=1,INDEX('calcA'!$D$180:$EQ$219,$B17,76)*4000,0)-IF(AND('calcA'!BZ$117=1,WX17&gt;0),2000,0)-IF(AND($U17=1,'calcA'!CA$117=1,FZ17=0),2000,0))),1000000000))</f>
        <v/>
      </c>
      <c r="RD17">
        <f>IF($B17=0,1000000000,IF(INDEX('calcA'!$D$60:$EQ$99,$B17,77)*IF($W17=1,FZ17+ACO17,FZ17)=1,IF(AND($E17=2,IF($W17=1,AID17,LO17)=0),1000000000,IF($V17=1,INDEX('calcA'!$D$130:$EQ$169,$B17,77)+IF(AND($E17=1,LO17=0),25,0),IF($F17&gt;0,INDEX('calcA'!CB$110:CB$114,$F17+1)+IF(AND($E17=1,LO17=0),1000,0),MIN(TX17,20)*400+(IF('calcA'!CA$106=1,1-FY17,0)+IF('calcA'!CB$106=1,1-GA17,0))*150+54+'calcA'!CB$5*100000+IF(AND($E17=1,LO17=0),50000,0))+IF($H17=1,INDEX('calcA'!$D$180:$EQ$219,$B17,77)*4000,0)-IF(AND('calcA'!CA$117=1,WY17&gt;0),2000,0)-IF(AND($U17=1,'calcA'!CB$117=1,GA17=0),2000,0))),1000000000))</f>
        <v/>
      </c>
      <c r="RE17">
        <f>IF($B17=0,1000000000,IF(INDEX('calcA'!$D$60:$EQ$99,$B17,78)*IF($W17=1,GA17+ACP17,GA17)=1,IF(AND($E17=2,IF($W17=1,AIE17,LP17)=0),1000000000,IF($V17=1,INDEX('calcA'!$D$130:$EQ$169,$B17,78)+IF(AND($E17=1,LP17=0),25,0),IF($F17&gt;0,INDEX('calcA'!CC$110:CC$114,$F17+1)+IF(AND($E17=1,LP17=0),1000,0),MIN(TX17,20)*400+(IF('calcA'!CB$106=1,1-FZ17,0)+IF('calcA'!CC$106=1,1-GB17,0))*150+64+'calcA'!CC$5*100000+IF(AND($E17=1,LP17=0),50000,0))+IF($H17=1,INDEX('calcA'!$D$180:$EQ$219,$B17,78)*4000,0)-IF(AND('calcA'!CB$117=1,WZ17&gt;0),2000,0)-IF(AND($U17=1,'calcA'!CC$117=1,GB17=0),2000,0))),1000000000))</f>
        <v/>
      </c>
      <c r="RF17">
        <f>IF($B17=0,1000000000,IF(INDEX('calcA'!$D$60:$EQ$99,$B17,79)*IF($W17=1,GB17+ACQ17,GB17)=1,IF(AND($E17=2,IF($W17=1,AIF17,LQ17)=0),1000000000,IF($V17=1,INDEX('calcA'!$D$130:$EQ$169,$B17,79)+IF(AND($E17=1,LQ17=0),25,0),IF($F17&gt;0,INDEX('calcA'!CD$110:CD$114,$F17+1)+IF(AND($E17=1,LQ17=0),1000,0),MIN(TX17,20)*400+(IF('calcA'!CC$106=1,1-GA17,0)+IF('calcA'!CD$106=1,1-GC17,0))*150+74+'calcA'!CD$5*100000+IF(AND($E17=1,LQ17=0),50000,0))+IF($H17=1,INDEX('calcA'!$D$180:$EQ$219,$B17,79)*4000,0)-IF(AND('calcA'!CC$117=1,XA17&gt;0),2000,0)-IF(AND($U17=1,'calcA'!CD$117=1,GC17=0),2000,0))),1000000000))</f>
        <v/>
      </c>
      <c r="RG17">
        <f>IF($B17=0,1000000000,IF(INDEX('calcA'!$D$60:$EQ$99,$B17,80)*IF($W17=1,GC17+ACR17,GC17)=1,IF(AND($E17=2,IF($W17=1,AIG17,LR17)=0),1000000000,IF($V17=1,INDEX('calcA'!$D$130:$EQ$169,$B17,80)+IF(AND($E17=1,LR17=0),25,0),IF($F17&gt;0,INDEX('calcA'!CE$110:CE$114,$F17+1)+IF(AND($E17=1,LR17=0),1000,0),MIN(TX17,20)*400+(IF('calcA'!CD$106=1,1-GB17,0)+IF('calcA'!CE$106=1,1-GD17,0))*150+84+'calcA'!CE$5*100000+IF(AND($E17=1,LR17=0),50000,0))+IF($H17=1,INDEX('calcA'!$D$180:$EQ$219,$B17,80)*4000,0)-IF(AND('calcA'!CD$117=1,XB17&gt;0),2000,0)-IF(AND($U17=1,'calcA'!CE$117=1,GD17=0),2000,0))),1000000000))</f>
        <v/>
      </c>
      <c r="RH17">
        <f>IF($B17=0,1000000000,IF(INDEX('calcA'!$D$60:$EQ$99,$B17,81)*IF($W17=1,GD17+ACS17,GD17)=1,IF(AND($E17=2,IF($W17=1,AIH17,LS17)=0),1000000000,IF($V17=1,INDEX('calcA'!$D$130:$EQ$169,$B17,81)+IF(AND($E17=1,LS17=0),25,0),IF($F17&gt;0,INDEX('calcA'!CF$110:CF$114,$F17+1)+IF(AND($E17=1,LS17=0),1000,0),MIN(TX17,20)*400+(IF('calcA'!CE$106=1,1-GC17,0)+IF('calcA'!CF$106=1,1-GE17,0))*150+94+'calcA'!CF$5*100000+IF(AND($E17=1,LS17=0),50000,0))+IF($H17=1,INDEX('calcA'!$D$180:$EQ$219,$B17,81)*4000,0)-IF(AND('calcA'!CE$117=1,XC17&gt;0),2000,0)-IF(AND($U17=1,'calcA'!CF$117=1,GE17=0),2000,0))),1000000000))</f>
        <v/>
      </c>
      <c r="RI17">
        <f>IF($B17=0,1000000000,IF(INDEX('calcA'!$D$60:$EQ$99,$B17,82)*IF($W17=1,GE17+ACT17,GE17)=1,IF(AND($E17=2,IF($W17=1,AII17,LT17)=0),1000000000,IF($V17=1,INDEX('calcA'!$D$130:$EQ$169,$B17,82)+IF(AND($E17=1,LT17=0),25,0),IF($F17&gt;0,INDEX('calcA'!CG$110:CG$114,$F17+1)+IF(AND($E17=1,LT17=0),1000,0),MIN(TX17,20)*400+(IF('calcA'!CF$106=1,1-GD17,0)+IF('calcA'!CG$106=1,1-GF17,0))*150+104+'calcA'!CG$5*100000+IF(AND($E17=1,LT17=0),50000,0))+IF($H17=1,INDEX('calcA'!$D$180:$EQ$219,$B17,82)*4000,0)-IF(AND('calcA'!CF$117=1,XD17&gt;0),2000,0)-IF(AND($U17=1,'calcA'!CG$117=1,GF17=0),2000,0))),1000000000))</f>
        <v/>
      </c>
      <c r="RJ17">
        <f>IF($B17=0,1000000000,IF(INDEX('calcA'!$D$60:$EQ$99,$B17,83)*IF($W17=1,GF17+ACU17,GF17)=1,IF(AND($E17=2,IF($W17=1,AIJ17,LU17)=0),1000000000,IF($V17=1,INDEX('calcA'!$D$130:$EQ$169,$B17,83)+IF(AND($E17=1,LU17=0),25,0),IF($F17&gt;0,INDEX('calcA'!CH$110:CH$114,$F17+1)+IF(AND($E17=1,LU17=0),1000,0),MIN(TX17,20)*400+(IF('calcA'!CG$106=1,1-GE17,0)+IF('calcA'!CH$106=1,1-GG17,0))*150+114+'calcA'!CH$5*100000+IF(AND($E17=1,LU17=0),50000,0))+IF($H17=1,INDEX('calcA'!$D$180:$EQ$219,$B17,83)*4000,0)-IF(AND('calcA'!CG$117=1,XE17&gt;0),2000,0)-IF(AND($U17=1,'calcA'!CH$117=1,GG17=0),2000,0))),1000000000))</f>
        <v/>
      </c>
      <c r="RK17">
        <f>IF($B17=0,1000000000,IF(INDEX('calcA'!$D$60:$EQ$99,$B17,84)*IF($W17=1,GG17+ACV17,GG17)=1,IF(AND($E17=2,IF($W17=1,AIK17,LV17)=0),1000000000,IF($V17=1,INDEX('calcA'!$D$130:$EQ$169,$B17,84)+IF(AND($E17=1,LV17=0),25,0),IF($F17&gt;0,INDEX('calcA'!CI$110:CI$114,$F17+1)+IF(AND($E17=1,LV17=0),1000,0),MIN(TX17,20)*400+(IF('calcA'!CH$106=1,1-GF17,0)+IF('calcA'!CI$106=1,1-GH17,0))*150+124+'calcA'!CI$5*100000+IF(AND($E17=1,LV17=0),50000,0))+IF($H17=1,INDEX('calcA'!$D$180:$EQ$219,$B17,84)*4000,0)-IF(AND('calcA'!CH$117=1,XF17&gt;0),2000,0)-IF(AND($U17=1,'calcA'!CI$117=1,GH17=0),2000,0))),1000000000))</f>
        <v/>
      </c>
      <c r="RL17">
        <f>IF($B17=0,1000000000,IF(INDEX('calcA'!$D$60:$EQ$99,$B17,85)*IF($W17=1,GH17+ACW17,GH17)=1,IF(AND($E17=2,IF($W17=1,AIL17,LW17)=0),1000000000,IF($V17=1,INDEX('calcA'!$D$130:$EQ$169,$B17,85)+IF(AND($E17=1,LW17=0),25,0),IF($F17&gt;0,INDEX('calcA'!CJ$110:CJ$114,$F17+1)+IF(AND($E17=1,LW17=0),1000,0),MIN(TX17,20)*400+(IF('calcA'!CI$106=1,1-GG17,0)+IF('calcA'!CJ$106=1,1-GI17,0))*150+134+'calcA'!CJ$5*100000+IF(AND($E17=1,LW17=0),50000,0))+IF($H17=1,INDEX('calcA'!$D$180:$EQ$219,$B17,85)*4000,0)-IF(AND('calcA'!CI$117=1,XG17&gt;0),2000,0)-IF(AND($U17=1,'calcA'!CJ$117=1,GI17=0),2000,0))),1000000000))</f>
        <v/>
      </c>
      <c r="RM17">
        <f>IF($B17=0,1000000000,IF(INDEX('calcA'!$D$60:$EQ$99,$B17,86)*IF($W17=1,GI17+ACX17,GI17)=1,IF(AND($E17=2,IF($W17=1,AIM17,LX17)=0),1000000000,IF($V17=1,INDEX('calcA'!$D$130:$EQ$169,$B17,86)+IF(AND($E17=1,LX17=0),25,0),IF($F17&gt;0,INDEX('calcA'!CK$110:CK$114,$F17+1)+IF(AND($E17=1,LX17=0),1000,0),MIN(TX17,20)*400+(IF('calcA'!CJ$106=1,1-GH17,0)+IF('calcA'!CK$106=1,1-GJ17,0))*150+144+'calcA'!CK$5*100000+IF(AND($E17=1,LX17=0),50000,0))+IF($H17=1,INDEX('calcA'!$D$180:$EQ$219,$B17,86)*4000,0)-IF(AND('calcA'!CJ$117=1,XH17&gt;0),2000,0)-IF(AND($U17=1,'calcA'!CK$117=1,GJ17=0),2000,0))),1000000000))</f>
        <v/>
      </c>
      <c r="RN17">
        <f>IF($B17=0,1000000000,IF(INDEX('calcA'!$D$60:$EQ$99,$B17,87)*IF($W17=1,GJ17+ACY17,GJ17)=1,IF(AND($E17=2,IF($W17=1,AIN17,LY17)=0),1000000000,IF($V17=1,INDEX('calcA'!$D$130:$EQ$169,$B17,87)+IF(AND($E17=1,LY17=0),25,0),IF($F17&gt;0,INDEX('calcA'!CL$110:CL$114,$F17+1)+IF(AND($E17=1,LY17=0),1000,0),MIN(TX17,20)*400+(IF('calcA'!CK$106=1,1-GI17,0)+IF('calcA'!CL$106=1,1-GK17,0))*150+154+'calcA'!CL$5*100000+IF(AND($E17=1,LY17=0),50000,0))+IF($H17=1,INDEX('calcA'!$D$180:$EQ$219,$B17,87)*4000,0)-IF(AND('calcA'!CK$117=1,XI17&gt;0),2000,0)-IF(AND($U17=1,'calcA'!CL$117=1,GK17=0),2000,0))),1000000000))</f>
        <v/>
      </c>
      <c r="RO17">
        <f>IF($B17=0,1000000000,IF(INDEX('calcA'!$D$60:$EQ$99,$B17,88)*IF($W17=1,GK17+ACZ17,GK17)=1,IF(AND($E17=2,IF($W17=1,AIO17,LZ17)=0),1000000000,IF($V17=1,INDEX('calcA'!$D$130:$EQ$169,$B17,88)+IF(AND($E17=1,LZ17=0),25,0),IF($F17&gt;0,INDEX('calcA'!CM$110:CM$114,$F17+1)+IF(AND($E17=1,LZ17=0),1000,0),MIN(TX17,20)*400+(IF('calcA'!CL$106=1,1-GJ17,0)+IF('calcA'!CM$106=1,1-GL17,0))*150+164+'calcA'!CM$5*100000+IF(AND($E17=1,LZ17=0),50000,0))+IF($H17=1,INDEX('calcA'!$D$180:$EQ$219,$B17,88)*4000,0)-IF(AND('calcA'!CL$117=1,XJ17&gt;0),2000,0)-IF(AND($U17=1,'calcA'!CM$117=1,GL17=0),2000,0))),1000000000))</f>
        <v/>
      </c>
      <c r="RP17">
        <f>IF($B17=0,1000000000,IF(INDEX('calcA'!$D$60:$EQ$99,$B17,89)*IF($W17=1,GL17+ADA17,GL17)=1,IF(AND($E17=2,IF($W17=1,AIP17,MA17)=0),1000000000,IF($V17=1,INDEX('calcA'!$D$130:$EQ$169,$B17,89)+IF(AND($E17=1,MA17=0),25,0),IF($F17&gt;0,INDEX('calcA'!CN$110:CN$114,$F17+1)+IF(AND($E17=1,MA17=0),1000,0),MIN(TX17,20)*400+(IF('calcA'!CM$106=1,1-GK17,0)+IF('calcA'!CN$106=1,1-GM17,0))*150+174+'calcA'!CN$5*100000+IF(AND($E17=1,MA17=0),50000,0))+IF($H17=1,INDEX('calcA'!$D$180:$EQ$219,$B17,89)*4000,0)-IF(AND('calcA'!CM$117=1,XK17&gt;0),2000,0)-IF(AND($U17=1,'calcA'!CN$117=1,GM17=0),2000,0))),1000000000))</f>
        <v/>
      </c>
      <c r="RQ17">
        <f>IF($B17=0,1000000000,IF(INDEX('calcA'!$D$60:$EQ$99,$B17,90)*IF($W17=1,GM17+ADB17,GM17)=1,IF(AND($E17=2,IF($W17=1,AIQ17,MB17)=0),1000000000,IF($V17=1,INDEX('calcA'!$D$130:$EQ$169,$B17,90)+IF(AND($E17=1,MB17=0),25,0),IF($F17&gt;0,INDEX('calcA'!CO$110:CO$114,$F17+1)+IF(AND($E17=1,MB17=0),1000,0),MIN(TX17,20)*400+(IF('calcA'!CN$106=1,1-GL17,0)+IF('calcA'!CO$106=1,1-GN17,0))*150+184+'calcA'!CO$5*100000+IF(AND($E17=1,MB17=0),50000,0))+IF($H17=1,INDEX('calcA'!$D$180:$EQ$219,$B17,90)*4000,0)-IF(AND('calcA'!CN$117=1,XL17&gt;0),2000,0)-IF(AND($U17=1,'calcA'!CO$117=1,GN17=0),2000,0))),1000000000))</f>
        <v/>
      </c>
      <c r="RR17">
        <f>IF($B17=0,1000000000,IF(INDEX('calcA'!$D$60:$EQ$99,$B17,91)*IF($W17=1,GN17+ADC17,GN17)=1,IF(AND($E17=2,IF($W17=1,AIR17,MC17)=0),1000000000,IF($V17=1,INDEX('calcA'!$D$130:$EQ$169,$B17,91)+IF(AND($E17=1,MC17=0),25,0),IF($F17&gt;0,INDEX('calcA'!CP$110:CP$114,$F17+1)+IF(AND($E17=1,MC17=0),1000,0),MIN(TX17,20)*400+(IF('calcA'!CO$106=1,1-GM17,0)+IF('calcA'!CP$106=1,1-GO17,0))*150+194+'calcA'!CP$5*100000+IF(AND($E17=1,MC17=0),50000,0))+IF($H17=1,INDEX('calcA'!$D$180:$EQ$219,$B17,91)*4000,0)-IF(AND('calcA'!CO$117=1,XM17&gt;0),2000,0)-IF(AND($U17=1,'calcA'!CP$117=1,GO17=0),2000,0))),1000000000))</f>
        <v/>
      </c>
      <c r="RS17">
        <f>IF($B17=0,1000000000,IF(INDEX('calcA'!$D$60:$EQ$99,$B17,92)*IF($W17=1,GO17+ADD17,GO17)=1,IF(AND($E17=2,IF($W17=1,AIS17,MD17)=0),1000000000,IF($V17=1,INDEX('calcA'!$D$130:$EQ$169,$B17,92)+IF(AND($E17=1,MD17=0),25,0),IF($F17&gt;0,INDEX('calcA'!CQ$110:CQ$114,$F17+1)+IF(AND($E17=1,MD17=0),1000,0),MIN(TX17,20)*400+(IF('calcA'!CP$106=1,1-GN17,0)+IF('calcA'!CQ$106=1,1-GP17,0))*150+204+'calcA'!CQ$5*100000+IF(AND($E17=1,MD17=0),50000,0))+IF($H17=1,INDEX('calcA'!$D$180:$EQ$219,$B17,92)*4000,0)-IF(AND('calcA'!CP$117=1,XN17&gt;0),2000,0)-IF(AND($U17=1,'calcA'!CQ$117=1,GP17=0),2000,0))),1000000000))</f>
        <v/>
      </c>
      <c r="RT17">
        <f>IF($B17=0,1000000000,IF(INDEX('calcA'!$D$60:$EQ$99,$B17,93)*IF($W17=1,GP17+ADE17,GP17)=1,IF(AND($E17=2,IF($W17=1,AIT17,ME17)=0),1000000000,IF($V17=1,INDEX('calcA'!$D$130:$EQ$169,$B17,93)+IF(AND($E17=1,ME17=0),25,0),IF($F17&gt;0,INDEX('calcA'!CR$110:CR$114,$F17+1)+IF(AND($E17=1,ME17=0),1000,0),MIN(TX17,20)*400+(IF('calcA'!CQ$106=1,1-GO17,0)+IF('calcA'!CR$106=1,1-GQ17,0))*150+214+'calcA'!CR$5*100000+IF(AND($E17=1,ME17=0),50000,0))+IF($H17=1,INDEX('calcA'!$D$180:$EQ$219,$B17,93)*4000,0)-IF(AND('calcA'!CQ$117=1,XO17&gt;0),2000,0)-IF(AND($U17=1,'calcA'!CR$117=1,GQ17=0),2000,0))),1000000000))</f>
        <v/>
      </c>
      <c r="RU17">
        <f>IF($B17=0,1000000000,IF(INDEX('calcA'!$D$60:$EQ$99,$B17,94)*IF($W17=1,GQ17+ADF17,GQ17)=1,IF(AND($E17=2,IF($W17=1,AIU17,MF17)=0),1000000000,IF($V17=1,INDEX('calcA'!$D$130:$EQ$169,$B17,94)+IF(AND($E17=1,MF17=0),25,0),IF($F17&gt;0,INDEX('calcA'!CS$110:CS$114,$F17+1)+IF(AND($E17=1,MF17=0),1000,0),MIN(TX17,20)*400+(IF('calcA'!CR$106=1,1-GP17,0)+IF('calcA'!CS$106=1,1-GR17,0))*150+224+'calcA'!CS$5*100000+IF(AND($E17=1,MF17=0),50000,0))+IF($H17=1,INDEX('calcA'!$D$180:$EQ$219,$B17,94)*4000,0)-IF(AND('calcA'!CR$117=1,XP17&gt;0),2000,0)-IF(AND($U17=1,'calcA'!CS$117=1,GR17=0),2000,0))),1000000000))</f>
        <v/>
      </c>
      <c r="RV17">
        <f>IF($B17=0,1000000000,IF(INDEX('calcA'!$D$60:$EQ$99,$B17,95)*IF($W17=1,GR17+ADG17,GR17)=1,IF(AND($E17=2,IF($W17=1,AIV17,MG17)=0),1000000000,IF($V17=1,INDEX('calcA'!$D$130:$EQ$169,$B17,95)+IF(AND($E17=1,MG17=0),25,0),IF($F17&gt;0,INDEX('calcA'!CT$110:CT$114,$F17+1)+IF(AND($E17=1,MG17=0),1000,0),MIN(TX17,20)*400+(IF('calcA'!CS$106=1,1-GQ17,0)+IF('calcA'!CT$106=1,1-GS17,0))*150+234+'calcA'!CT$5*100000+IF(AND($E17=1,MG17=0),50000,0))+IF($H17=1,INDEX('calcA'!$D$180:$EQ$219,$B17,95)*4000,0)-IF(AND('calcA'!CS$117=1,XQ17&gt;0),2000,0)-IF(AND($U17=1,'calcA'!CT$117=1,GS17=0),2000,0))),1000000000))</f>
        <v/>
      </c>
      <c r="RW17">
        <f>IF($B17=0,1000000000,IF(INDEX('calcA'!$D$60:$EQ$99,$B17,96)*IF($W17=1,GS17+ADH17,GS17)=1,IF(AND($E17=2,IF($W17=1,AIW17,MH17)=0),1000000000,IF($V17=1,INDEX('calcA'!$D$130:$EQ$169,$B17,96)+IF(AND($E17=1,MH17=0),25,0),IF($F17&gt;0,INDEX('calcA'!CU$110:CU$114,$F17+1)+IF(AND($E17=1,MH17=0),1000,0),MIN(TX17,20)*400+(IF('calcA'!CT$106=1,1-GR17,0))*150+244+'calcA'!CU$5*100000+IF(AND($E17=1,MH17=0),50000,0))+IF($H17=1,INDEX('calcA'!$D$180:$EQ$219,$B17,96)*4000,0)-IF(AND('calcA'!CT$117=1,XR17&gt;0),2000,0))),1000000000))</f>
        <v/>
      </c>
      <c r="RX17">
        <f>IF($B17=0,1000000000,IF(INDEX('calcA'!$D$60:$EQ$99,$B17,97)*IF($W17=1,GT17+ADI17,GT17)=1,IF(AND($E17=2,IF($W17=1,AIX17,MI17)=0),1000000000,IF($V17=1,INDEX('calcA'!$D$130:$EQ$169,$B17,97)+IF(AND($E17=1,MI17=0),25,0),IF($F17&gt;0,INDEX('calcA'!CV$110:CV$114,$F17+1)+IF(AND($E17=1,MI17=0),1000,0),MIN(TY17,20)*400+(IF('calcA'!CV$106=1,1-GU17,0))*150+15+'calcA'!CV$5*100000+IF(AND($E17=1,MI17=0),50000,0))+IF($H17=1,INDEX('calcA'!$D$180:$EQ$219,$B17,97)*4000,0)-IF(AND($U17=1,'calcA'!CV$117=1,GU17=0),2000,0))),1000000000))</f>
        <v/>
      </c>
      <c r="RY17">
        <f>IF($B17=0,1000000000,IF(INDEX('calcA'!$D$60:$EQ$99,$B17,98)*IF($W17=1,GU17+ADJ17,GU17)=1,IF(AND($E17=2,IF($W17=1,AIY17,MJ17)=0),1000000000,IF($V17=1,INDEX('calcA'!$D$130:$EQ$169,$B17,98)+IF(AND($E17=1,MJ17=0),25,0),IF($F17&gt;0,INDEX('calcA'!CW$110:CW$114,$F17+1)+IF(AND($E17=1,MJ17=0),1000,0),MIN(TY17,20)*400+(IF('calcA'!CV$106=1,1-GT17,0)+IF('calcA'!CW$106=1,1-GV17,0))*150+25+'calcA'!CW$5*100000+IF(AND($E17=1,MJ17=0),50000,0))+IF($H17=1,INDEX('calcA'!$D$180:$EQ$219,$B17,98)*4000,0)-IF(AND('calcA'!CV$117=1,XT17&gt;0),2000,0)-IF(AND($U17=1,'calcA'!CW$117=1,GV17=0),2000,0))),1000000000))</f>
        <v/>
      </c>
      <c r="RZ17">
        <f>IF($B17=0,1000000000,IF(INDEX('calcA'!$D$60:$EQ$99,$B17,99)*IF($W17=1,GV17+ADK17,GV17)=1,IF(AND($E17=2,IF($W17=1,AIZ17,MK17)=0),1000000000,IF($V17=1,INDEX('calcA'!$D$130:$EQ$169,$B17,99)+IF(AND($E17=1,MK17=0),25,0),IF($F17&gt;0,INDEX('calcA'!CX$110:CX$114,$F17+1)+IF(AND($E17=1,MK17=0),1000,0),MIN(TY17,20)*400+(IF('calcA'!CW$106=1,1-GU17,0)+IF('calcA'!CX$106=1,1-GW17,0))*150+35+'calcA'!CX$5*100000+IF(AND($E17=1,MK17=0),50000,0))+IF($H17=1,INDEX('calcA'!$D$180:$EQ$219,$B17,99)*4000,0)-IF(AND('calcA'!CW$117=1,XU17&gt;0),2000,0)-IF(AND($U17=1,'calcA'!CX$117=1,GW17=0),2000,0))),1000000000))</f>
        <v/>
      </c>
      <c r="SA17">
        <f>IF($B17=0,1000000000,IF(INDEX('calcA'!$D$60:$EQ$99,$B17,100)*IF($W17=1,GW17+ADL17,GW17)=1,IF(AND($E17=2,IF($W17=1,AJA17,ML17)=0),1000000000,IF($V17=1,INDEX('calcA'!$D$130:$EQ$169,$B17,100)+IF(AND($E17=1,ML17=0),25,0),IF($F17&gt;0,INDEX('calcA'!CY$110:CY$114,$F17+1)+IF(AND($E17=1,ML17=0),1000,0),MIN(TY17,20)*400+(IF('calcA'!CX$106=1,1-GV17,0)+IF('calcA'!CY$106=1,1-GX17,0))*150+45+'calcA'!CY$5*100000+IF(AND($E17=1,ML17=0),50000,0))+IF($H17=1,INDEX('calcA'!$D$180:$EQ$219,$B17,100)*4000,0)-IF(AND('calcA'!CX$117=1,XV17&gt;0),2000,0)-IF(AND($U17=1,'calcA'!CY$117=1,GX17=0),2000,0))),1000000000))</f>
        <v/>
      </c>
      <c r="SB17">
        <f>IF($B17=0,1000000000,IF(INDEX('calcA'!$D$60:$EQ$99,$B17,101)*IF($W17=1,GX17+ADM17,GX17)=1,IF(AND($E17=2,IF($W17=1,AJB17,MM17)=0),1000000000,IF($V17=1,INDEX('calcA'!$D$130:$EQ$169,$B17,101)+IF(AND($E17=1,MM17=0),25,0),IF($F17&gt;0,INDEX('calcA'!CZ$110:CZ$114,$F17+1)+IF(AND($E17=1,MM17=0),1000,0),MIN(TY17,20)*400+(IF('calcA'!CY$106=1,1-GW17,0)+IF('calcA'!CZ$106=1,1-GY17,0))*150+55+'calcA'!CZ$5*100000+IF(AND($E17=1,MM17=0),50000,0))+IF($H17=1,INDEX('calcA'!$D$180:$EQ$219,$B17,101)*4000,0)-IF(AND('calcA'!CY$117=1,XW17&gt;0),2000,0)-IF(AND($U17=1,'calcA'!CZ$117=1,GY17=0),2000,0))),1000000000))</f>
        <v/>
      </c>
      <c r="SC17">
        <f>IF($B17=0,1000000000,IF(INDEX('calcA'!$D$60:$EQ$99,$B17,102)*IF($W17=1,GY17+ADN17,GY17)=1,IF(AND($E17=2,IF($W17=1,AJC17,MN17)=0),1000000000,IF($V17=1,INDEX('calcA'!$D$130:$EQ$169,$B17,102)+IF(AND($E17=1,MN17=0),25,0),IF($F17&gt;0,INDEX('calcA'!DA$110:DA$114,$F17+1)+IF(AND($E17=1,MN17=0),1000,0),MIN(TY17,20)*400+(IF('calcA'!CZ$106=1,1-GX17,0)+IF('calcA'!DA$106=1,1-GZ17,0))*150+65+'calcA'!DA$5*100000+IF(AND($E17=1,MN17=0),50000,0))+IF($H17=1,INDEX('calcA'!$D$180:$EQ$219,$B17,102)*4000,0)-IF(AND('calcA'!CZ$117=1,XX17&gt;0),2000,0)-IF(AND($U17=1,'calcA'!DA$117=1,GZ17=0),2000,0))),1000000000))</f>
        <v/>
      </c>
      <c r="SD17">
        <f>IF($B17=0,1000000000,IF(INDEX('calcA'!$D$60:$EQ$99,$B17,103)*IF($W17=1,GZ17+ADO17,GZ17)=1,IF(AND($E17=2,IF($W17=1,AJD17,MO17)=0),1000000000,IF($V17=1,INDEX('calcA'!$D$130:$EQ$169,$B17,103)+IF(AND($E17=1,MO17=0),25,0),IF($F17&gt;0,INDEX('calcA'!DB$110:DB$114,$F17+1)+IF(AND($E17=1,MO17=0),1000,0),MIN(TY17,20)*400+(IF('calcA'!DA$106=1,1-GY17,0)+IF('calcA'!DB$106=1,1-HA17,0))*150+75+'calcA'!DB$5*100000+IF(AND($E17=1,MO17=0),50000,0))+IF($H17=1,INDEX('calcA'!$D$180:$EQ$219,$B17,103)*4000,0)-IF(AND('calcA'!DA$117=1,XY17&gt;0),2000,0)-IF(AND($U17=1,'calcA'!DB$117=1,HA17=0),2000,0))),1000000000))</f>
        <v/>
      </c>
      <c r="SE17">
        <f>IF($B17=0,1000000000,IF(INDEX('calcA'!$D$60:$EQ$99,$B17,104)*IF($W17=1,HA17+ADP17,HA17)=1,IF(AND($E17=2,IF($W17=1,AJE17,MP17)=0),1000000000,IF($V17=1,INDEX('calcA'!$D$130:$EQ$169,$B17,104)+IF(AND($E17=1,MP17=0),25,0),IF($F17&gt;0,INDEX('calcA'!DC$110:DC$114,$F17+1)+IF(AND($E17=1,MP17=0),1000,0),MIN(TY17,20)*400+(IF('calcA'!DB$106=1,1-GZ17,0)+IF('calcA'!DC$106=1,1-HB17,0))*150+85+'calcA'!DC$5*100000+IF(AND($E17=1,MP17=0),50000,0))+IF($H17=1,INDEX('calcA'!$D$180:$EQ$219,$B17,104)*4000,0)-IF(AND('calcA'!DB$117=1,XZ17&gt;0),2000,0)-IF(AND($U17=1,'calcA'!DC$117=1,HB17=0),2000,0))),1000000000))</f>
        <v/>
      </c>
      <c r="SF17">
        <f>IF($B17=0,1000000000,IF(INDEX('calcA'!$D$60:$EQ$99,$B17,105)*IF($W17=1,HB17+ADQ17,HB17)=1,IF(AND($E17=2,IF($W17=1,AJF17,MQ17)=0),1000000000,IF($V17=1,INDEX('calcA'!$D$130:$EQ$169,$B17,105)+IF(AND($E17=1,MQ17=0),25,0),IF($F17&gt;0,INDEX('calcA'!DD$110:DD$114,$F17+1)+IF(AND($E17=1,MQ17=0),1000,0),MIN(TY17,20)*400+(IF('calcA'!DC$106=1,1-HA17,0)+IF('calcA'!DD$106=1,1-HC17,0))*150+95+'calcA'!DD$5*100000+IF(AND($E17=1,MQ17=0),50000,0))+IF($H17=1,INDEX('calcA'!$D$180:$EQ$219,$B17,105)*4000,0)-IF(AND('calcA'!DC$117=1,YA17&gt;0),2000,0)-IF(AND($U17=1,'calcA'!DD$117=1,HC17=0),2000,0))),1000000000))</f>
        <v/>
      </c>
      <c r="SG17">
        <f>IF($B17=0,1000000000,IF(INDEX('calcA'!$D$60:$EQ$99,$B17,106)*IF($W17=1,HC17+ADR17,HC17)=1,IF(AND($E17=2,IF($W17=1,AJG17,MR17)=0),1000000000,IF($V17=1,INDEX('calcA'!$D$130:$EQ$169,$B17,106)+IF(AND($E17=1,MR17=0),25,0),IF($F17&gt;0,INDEX('calcA'!DE$110:DE$114,$F17+1)+IF(AND($E17=1,MR17=0),1000,0),MIN(TY17,20)*400+(IF('calcA'!DD$106=1,1-HB17,0)+IF('calcA'!DE$106=1,1-HD17,0))*150+105+'calcA'!DE$5*100000+IF(AND($E17=1,MR17=0),50000,0))+IF($H17=1,INDEX('calcA'!$D$180:$EQ$219,$B17,106)*4000,0)-IF(AND('calcA'!DD$117=1,YB17&gt;0),2000,0)-IF(AND($U17=1,'calcA'!DE$117=1,HD17=0),2000,0))),1000000000))</f>
        <v/>
      </c>
      <c r="SH17">
        <f>IF($B17=0,1000000000,IF(INDEX('calcA'!$D$60:$EQ$99,$B17,107)*IF($W17=1,HD17+ADS17,HD17)=1,IF(AND($E17=2,IF($W17=1,AJH17,MS17)=0),1000000000,IF($V17=1,INDEX('calcA'!$D$130:$EQ$169,$B17,107)+IF(AND($E17=1,MS17=0),25,0),IF($F17&gt;0,INDEX('calcA'!DF$110:DF$114,$F17+1)+IF(AND($E17=1,MS17=0),1000,0),MIN(TY17,20)*400+(IF('calcA'!DE$106=1,1-HC17,0)+IF('calcA'!DF$106=1,1-HE17,0))*150+115+'calcA'!DF$5*100000+IF(AND($E17=1,MS17=0),50000,0))+IF($H17=1,INDEX('calcA'!$D$180:$EQ$219,$B17,107)*4000,0)-IF(AND('calcA'!DE$117=1,YC17&gt;0),2000,0)-IF(AND($U17=1,'calcA'!DF$117=1,HE17=0),2000,0))),1000000000))</f>
        <v/>
      </c>
      <c r="SI17">
        <f>IF($B17=0,1000000000,IF(INDEX('calcA'!$D$60:$EQ$99,$B17,108)*IF($W17=1,HE17+ADT17,HE17)=1,IF(AND($E17=2,IF($W17=1,AJI17,MT17)=0),1000000000,IF($V17=1,INDEX('calcA'!$D$130:$EQ$169,$B17,108)+IF(AND($E17=1,MT17=0),25,0),IF($F17&gt;0,INDEX('calcA'!DG$110:DG$114,$F17+1)+IF(AND($E17=1,MT17=0),1000,0),MIN(TY17,20)*400+(IF('calcA'!DF$106=1,1-HD17,0)+IF('calcA'!DG$106=1,1-HF17,0))*150+125+'calcA'!DG$5*100000+IF(AND($E17=1,MT17=0),50000,0))+IF($H17=1,INDEX('calcA'!$D$180:$EQ$219,$B17,108)*4000,0)-IF(AND('calcA'!DF$117=1,YD17&gt;0),2000,0)-IF(AND($U17=1,'calcA'!DG$117=1,HF17=0),2000,0))),1000000000))</f>
        <v/>
      </c>
      <c r="SJ17">
        <f>IF($B17=0,1000000000,IF(INDEX('calcA'!$D$60:$EQ$99,$B17,109)*IF($W17=1,HF17+ADU17,HF17)=1,IF(AND($E17=2,IF($W17=1,AJJ17,MU17)=0),1000000000,IF($V17=1,INDEX('calcA'!$D$130:$EQ$169,$B17,109)+IF(AND($E17=1,MU17=0),25,0),IF($F17&gt;0,INDEX('calcA'!DH$110:DH$114,$F17+1)+IF(AND($E17=1,MU17=0),1000,0),MIN(TY17,20)*400+(IF('calcA'!DG$106=1,1-HE17,0)+IF('calcA'!DH$106=1,1-HG17,0))*150+135+'calcA'!DH$5*100000+IF(AND($E17=1,MU17=0),50000,0))+IF($H17=1,INDEX('calcA'!$D$180:$EQ$219,$B17,109)*4000,0)-IF(AND('calcA'!DG$117=1,YE17&gt;0),2000,0)-IF(AND($U17=1,'calcA'!DH$117=1,HG17=0),2000,0))),1000000000))</f>
        <v/>
      </c>
      <c r="SK17">
        <f>IF($B17=0,1000000000,IF(INDEX('calcA'!$D$60:$EQ$99,$B17,110)*IF($W17=1,HG17+ADV17,HG17)=1,IF(AND($E17=2,IF($W17=1,AJK17,MV17)=0),1000000000,IF($V17=1,INDEX('calcA'!$D$130:$EQ$169,$B17,110)+IF(AND($E17=1,MV17=0),25,0),IF($F17&gt;0,INDEX('calcA'!DI$110:DI$114,$F17+1)+IF(AND($E17=1,MV17=0),1000,0),MIN(TY17,20)*400+(IF('calcA'!DH$106=1,1-HF17,0)+IF('calcA'!DI$106=1,1-HH17,0))*150+145+'calcA'!DI$5*100000+IF(AND($E17=1,MV17=0),50000,0))+IF($H17=1,INDEX('calcA'!$D$180:$EQ$219,$B17,110)*4000,0)-IF(AND('calcA'!DH$117=1,YF17&gt;0),2000,0)-IF(AND($U17=1,'calcA'!DI$117=1,HH17=0),2000,0))),1000000000))</f>
        <v/>
      </c>
      <c r="SL17">
        <f>IF($B17=0,1000000000,IF(INDEX('calcA'!$D$60:$EQ$99,$B17,111)*IF($W17=1,HH17+ADW17,HH17)=1,IF(AND($E17=2,IF($W17=1,AJL17,MW17)=0),1000000000,IF($V17=1,INDEX('calcA'!$D$130:$EQ$169,$B17,111)+IF(AND($E17=1,MW17=0),25,0),IF($F17&gt;0,INDEX('calcA'!DJ$110:DJ$114,$F17+1)+IF(AND($E17=1,MW17=0),1000,0),MIN(TY17,20)*400+(IF('calcA'!DI$106=1,1-HG17,0)+IF('calcA'!DJ$106=1,1-HI17,0))*150+155+'calcA'!DJ$5*100000+IF(AND($E17=1,MW17=0),50000,0))+IF($H17=1,INDEX('calcA'!$D$180:$EQ$219,$B17,111)*4000,0)-IF(AND('calcA'!DI$117=1,YG17&gt;0),2000,0)-IF(AND($U17=1,'calcA'!DJ$117=1,HI17=0),2000,0))),1000000000))</f>
        <v/>
      </c>
      <c r="SM17">
        <f>IF($B17=0,1000000000,IF(INDEX('calcA'!$D$60:$EQ$99,$B17,112)*IF($W17=1,HI17+ADX17,HI17)=1,IF(AND($E17=2,IF($W17=1,AJM17,MX17)=0),1000000000,IF($V17=1,INDEX('calcA'!$D$130:$EQ$169,$B17,112)+IF(AND($E17=1,MX17=0),25,0),IF($F17&gt;0,INDEX('calcA'!DK$110:DK$114,$F17+1)+IF(AND($E17=1,MX17=0),1000,0),MIN(TY17,20)*400+(IF('calcA'!DJ$106=1,1-HH17,0)+IF('calcA'!DK$106=1,1-HJ17,0))*150+165+'calcA'!DK$5*100000+IF(AND($E17=1,MX17=0),50000,0))+IF($H17=1,INDEX('calcA'!$D$180:$EQ$219,$B17,112)*4000,0)-IF(AND('calcA'!DJ$117=1,YH17&gt;0),2000,0)-IF(AND($U17=1,'calcA'!DK$117=1,HJ17=0),2000,0))),1000000000))</f>
        <v/>
      </c>
      <c r="SN17">
        <f>IF($B17=0,1000000000,IF(INDEX('calcA'!$D$60:$EQ$99,$B17,113)*IF($W17=1,HJ17+ADY17,HJ17)=1,IF(AND($E17=2,IF($W17=1,AJN17,MY17)=0),1000000000,IF($V17=1,INDEX('calcA'!$D$130:$EQ$169,$B17,113)+IF(AND($E17=1,MY17=0),25,0),IF($F17&gt;0,INDEX('calcA'!DL$110:DL$114,$F17+1)+IF(AND($E17=1,MY17=0),1000,0),MIN(TY17,20)*400+(IF('calcA'!DK$106=1,1-HI17,0)+IF('calcA'!DL$106=1,1-HK17,0))*150+175+'calcA'!DL$5*100000+IF(AND($E17=1,MY17=0),50000,0))+IF($H17=1,INDEX('calcA'!$D$180:$EQ$219,$B17,113)*4000,0)-IF(AND('calcA'!DK$117=1,YI17&gt;0),2000,0)-IF(AND($U17=1,'calcA'!DL$117=1,HK17=0),2000,0))),1000000000))</f>
        <v/>
      </c>
      <c r="SO17">
        <f>IF($B17=0,1000000000,IF(INDEX('calcA'!$D$60:$EQ$99,$B17,114)*IF($W17=1,HK17+ADZ17,HK17)=1,IF(AND($E17=2,IF($W17=1,AJO17,MZ17)=0),1000000000,IF($V17=1,INDEX('calcA'!$D$130:$EQ$169,$B17,114)+IF(AND($E17=1,MZ17=0),25,0),IF($F17&gt;0,INDEX('calcA'!DM$110:DM$114,$F17+1)+IF(AND($E17=1,MZ17=0),1000,0),MIN(TY17,20)*400+(IF('calcA'!DL$106=1,1-HJ17,0)+IF('calcA'!DM$106=1,1-HL17,0))*150+185+'calcA'!DM$5*100000+IF(AND($E17=1,MZ17=0),50000,0))+IF($H17=1,INDEX('calcA'!$D$180:$EQ$219,$B17,114)*4000,0)-IF(AND('calcA'!DL$117=1,YJ17&gt;0),2000,0)-IF(AND($U17=1,'calcA'!DM$117=1,HL17=0),2000,0))),1000000000))</f>
        <v/>
      </c>
      <c r="SP17">
        <f>IF($B17=0,1000000000,IF(INDEX('calcA'!$D$60:$EQ$99,$B17,115)*IF($W17=1,HL17+AEA17,HL17)=1,IF(AND($E17=2,IF($W17=1,AJP17,NA17)=0),1000000000,IF($V17=1,INDEX('calcA'!$D$130:$EQ$169,$B17,115)+IF(AND($E17=1,NA17=0),25,0),IF($F17&gt;0,INDEX('calcA'!DN$110:DN$114,$F17+1)+IF(AND($E17=1,NA17=0),1000,0),MIN(TY17,20)*400+(IF('calcA'!DM$106=1,1-HK17,0)+IF('calcA'!DN$106=1,1-HM17,0))*150+195+'calcA'!DN$5*100000+IF(AND($E17=1,NA17=0),50000,0))+IF($H17=1,INDEX('calcA'!$D$180:$EQ$219,$B17,115)*4000,0)-IF(AND('calcA'!DM$117=1,YK17&gt;0),2000,0)-IF(AND($U17=1,'calcA'!DN$117=1,HM17=0),2000,0))),1000000000))</f>
        <v/>
      </c>
      <c r="SQ17">
        <f>IF($B17=0,1000000000,IF(INDEX('calcA'!$D$60:$EQ$99,$B17,116)*IF($W17=1,HM17+AEB17,HM17)=1,IF(AND($E17=2,IF($W17=1,AJQ17,NB17)=0),1000000000,IF($V17=1,INDEX('calcA'!$D$130:$EQ$169,$B17,116)+IF(AND($E17=1,NB17=0),25,0),IF($F17&gt;0,INDEX('calcA'!DO$110:DO$114,$F17+1)+IF(AND($E17=1,NB17=0),1000,0),MIN(TY17,20)*400+(IF('calcA'!DN$106=1,1-HL17,0)+IF('calcA'!DO$106=1,1-HN17,0))*150+205+'calcA'!DO$5*100000+IF(AND($E17=1,NB17=0),50000,0))+IF($H17=1,INDEX('calcA'!$D$180:$EQ$219,$B17,116)*4000,0)-IF(AND('calcA'!DN$117=1,YL17&gt;0),2000,0)-IF(AND($U17=1,'calcA'!DO$117=1,HN17=0),2000,0))),1000000000))</f>
        <v/>
      </c>
      <c r="SR17">
        <f>IF($B17=0,1000000000,IF(INDEX('calcA'!$D$60:$EQ$99,$B17,117)*IF($W17=1,HN17+AEC17,HN17)=1,IF(AND($E17=2,IF($W17=1,AJR17,NC17)=0),1000000000,IF($V17=1,INDEX('calcA'!$D$130:$EQ$169,$B17,117)+IF(AND($E17=1,NC17=0),25,0),IF($F17&gt;0,INDEX('calcA'!DP$110:DP$114,$F17+1)+IF(AND($E17=1,NC17=0),1000,0),MIN(TY17,20)*400+(IF('calcA'!DO$106=1,1-HM17,0)+IF('calcA'!DP$106=1,1-HO17,0))*150+215+'calcA'!DP$5*100000+IF(AND($E17=1,NC17=0),50000,0))+IF($H17=1,INDEX('calcA'!$D$180:$EQ$219,$B17,117)*4000,0)-IF(AND('calcA'!DO$117=1,YM17&gt;0),2000,0)-IF(AND($U17=1,'calcA'!DP$117=1,HO17=0),2000,0))),1000000000))</f>
        <v/>
      </c>
      <c r="SS17">
        <f>IF($B17=0,1000000000,IF(INDEX('calcA'!$D$60:$EQ$99,$B17,118)*IF($W17=1,HO17+AED17,HO17)=1,IF(AND($E17=2,IF($W17=1,AJS17,ND17)=0),1000000000,IF($V17=1,INDEX('calcA'!$D$130:$EQ$169,$B17,118)+IF(AND($E17=1,ND17=0),25,0),IF($F17&gt;0,INDEX('calcA'!DQ$110:DQ$114,$F17+1)+IF(AND($E17=1,ND17=0),1000,0),MIN(TY17,20)*400+(IF('calcA'!DP$106=1,1-HN17,0)+IF('calcA'!DQ$106=1,1-HP17,0))*150+225+'calcA'!DQ$5*100000+IF(AND($E17=1,ND17=0),50000,0))+IF($H17=1,INDEX('calcA'!$D$180:$EQ$219,$B17,118)*4000,0)-IF(AND('calcA'!DP$117=1,YN17&gt;0),2000,0)-IF(AND($U17=1,'calcA'!DQ$117=1,HP17=0),2000,0))),1000000000))</f>
        <v/>
      </c>
      <c r="ST17">
        <f>IF($B17=0,1000000000,IF(INDEX('calcA'!$D$60:$EQ$99,$B17,119)*IF($W17=1,HP17+AEE17,HP17)=1,IF(AND($E17=2,IF($W17=1,AJT17,NE17)=0),1000000000,IF($V17=1,INDEX('calcA'!$D$130:$EQ$169,$B17,119)+IF(AND($E17=1,NE17=0),25,0),IF($F17&gt;0,INDEX('calcA'!DR$110:DR$114,$F17+1)+IF(AND($E17=1,NE17=0),1000,0),MIN(TY17,20)*400+(IF('calcA'!DQ$106=1,1-HO17,0)+IF('calcA'!DR$106=1,1-HQ17,0))*150+235+'calcA'!DR$5*100000+IF(AND($E17=1,NE17=0),50000,0))+IF($H17=1,INDEX('calcA'!$D$180:$EQ$219,$B17,119)*4000,0)-IF(AND('calcA'!DQ$117=1,YO17&gt;0),2000,0)-IF(AND($U17=1,'calcA'!DR$117=1,HQ17=0),2000,0))),1000000000))</f>
        <v/>
      </c>
      <c r="SU17">
        <f>IF($B17=0,1000000000,IF(INDEX('calcA'!$D$60:$EQ$99,$B17,120)*IF($W17=1,HQ17+AEF17,HQ17)=1,IF(AND($E17=2,IF($W17=1,AJU17,NF17)=0),1000000000,IF($V17=1,INDEX('calcA'!$D$130:$EQ$169,$B17,120)+IF(AND($E17=1,NF17=0),25,0),IF($F17&gt;0,INDEX('calcA'!DS$110:DS$114,$F17+1)+IF(AND($E17=1,NF17=0),1000,0),MIN(TY17,20)*400+(IF('calcA'!DR$106=1,1-HP17,0))*150+245+'calcA'!DS$5*100000+IF(AND($E17=1,NF17=0),50000,0))+IF($H17=1,INDEX('calcA'!$D$180:$EQ$219,$B17,120)*4000,0)-IF(AND('calcA'!DR$117=1,YP17&gt;0),2000,0))),1000000000))</f>
        <v/>
      </c>
      <c r="SV17">
        <f>IF($B17=0,1000000000,IF(INDEX('calcA'!$D$60:$EQ$99,$B17,121)*IF($W17=1,HR17+AEG17,HR17)=1,IF(AND($E17=2,IF($W17=1,AJV17,NG17)=0),1000000000,IF($V17=1,INDEX('calcA'!$D$130:$EQ$169,$B17,121)+IF(AND($E17=1,NG17=0),25,0),IF($F17&gt;0,INDEX('calcA'!DT$110:DT$114,$F17+1)+IF(AND($E17=1,NG17=0),1000,0),MIN(TZ17,20)*400+(IF('calcA'!DT$106=1,1-HS17,0))*150+16+'calcA'!DT$5*100000+IF(AND($E17=1,NG17=0),50000,0))+IF($H17=1,INDEX('calcA'!$D$180:$EQ$219,$B17,121)*4000,0)-IF(AND($U17=1,'calcA'!DT$117=1,HS17=0),2000,0))),1000000000))</f>
        <v/>
      </c>
      <c r="SW17">
        <f>IF($B17=0,1000000000,IF(INDEX('calcA'!$D$60:$EQ$99,$B17,122)*IF($W17=1,HS17+AEH17,HS17)=1,IF(AND($E17=2,IF($W17=1,AJW17,NH17)=0),1000000000,IF($V17=1,INDEX('calcA'!$D$130:$EQ$169,$B17,122)+IF(AND($E17=1,NH17=0),25,0),IF($F17&gt;0,INDEX('calcA'!DU$110:DU$114,$F17+1)+IF(AND($E17=1,NH17=0),1000,0),MIN(TZ17,20)*400+(IF('calcA'!DT$106=1,1-HR17,0)+IF('calcA'!DU$106=1,1-HT17,0))*150+26+'calcA'!DU$5*100000+IF(AND($E17=1,NH17=0),50000,0))+IF($H17=1,INDEX('calcA'!$D$180:$EQ$219,$B17,122)*4000,0)-IF(AND('calcA'!DT$117=1,YR17&gt;0),2000,0)-IF(AND($U17=1,'calcA'!DU$117=1,HT17=0),2000,0))),1000000000))</f>
        <v/>
      </c>
      <c r="SX17">
        <f>IF($B17=0,1000000000,IF(INDEX('calcA'!$D$60:$EQ$99,$B17,123)*IF($W17=1,HT17+AEI17,HT17)=1,IF(AND($E17=2,IF($W17=1,AJX17,NI17)=0),1000000000,IF($V17=1,INDEX('calcA'!$D$130:$EQ$169,$B17,123)+IF(AND($E17=1,NI17=0),25,0),IF($F17&gt;0,INDEX('calcA'!DV$110:DV$114,$F17+1)+IF(AND($E17=1,NI17=0),1000,0),MIN(TZ17,20)*400+(IF('calcA'!DU$106=1,1-HS17,0)+IF('calcA'!DV$106=1,1-HU17,0))*150+36+'calcA'!DV$5*100000+IF(AND($E17=1,NI17=0),50000,0))+IF($H17=1,INDEX('calcA'!$D$180:$EQ$219,$B17,123)*4000,0)-IF(AND('calcA'!DU$117=1,YS17&gt;0),2000,0)-IF(AND($U17=1,'calcA'!DV$117=1,HU17=0),2000,0))),1000000000))</f>
        <v/>
      </c>
      <c r="SY17">
        <f>IF($B17=0,1000000000,IF(INDEX('calcA'!$D$60:$EQ$99,$B17,124)*IF($W17=1,HU17+AEJ17,HU17)=1,IF(AND($E17=2,IF($W17=1,AJY17,NJ17)=0),1000000000,IF($V17=1,INDEX('calcA'!$D$130:$EQ$169,$B17,124)+IF(AND($E17=1,NJ17=0),25,0),IF($F17&gt;0,INDEX('calcA'!DW$110:DW$114,$F17+1)+IF(AND($E17=1,NJ17=0),1000,0),MIN(TZ17,20)*400+(IF('calcA'!DV$106=1,1-HT17,0)+IF('calcA'!DW$106=1,1-HV17,0))*150+46+'calcA'!DW$5*100000+IF(AND($E17=1,NJ17=0),50000,0))+IF($H17=1,INDEX('calcA'!$D$180:$EQ$219,$B17,124)*4000,0)-IF(AND('calcA'!DV$117=1,YT17&gt;0),2000,0)-IF(AND($U17=1,'calcA'!DW$117=1,HV17=0),2000,0))),1000000000))</f>
        <v/>
      </c>
      <c r="SZ17">
        <f>IF($B17=0,1000000000,IF(INDEX('calcA'!$D$60:$EQ$99,$B17,125)*IF($W17=1,HV17+AEK17,HV17)=1,IF(AND($E17=2,IF($W17=1,AJZ17,NK17)=0),1000000000,IF($V17=1,INDEX('calcA'!$D$130:$EQ$169,$B17,125)+IF(AND($E17=1,NK17=0),25,0),IF($F17&gt;0,INDEX('calcA'!DX$110:DX$114,$F17+1)+IF(AND($E17=1,NK17=0),1000,0),MIN(TZ17,20)*400+(IF('calcA'!DW$106=1,1-HU17,0)+IF('calcA'!DX$106=1,1-HW17,0))*150+56+'calcA'!DX$5*100000+IF(AND($E17=1,NK17=0),50000,0))+IF($H17=1,INDEX('calcA'!$D$180:$EQ$219,$B17,125)*4000,0)-IF(AND('calcA'!DW$117=1,YU17&gt;0),2000,0)-IF(AND($U17=1,'calcA'!DX$117=1,HW17=0),2000,0))),1000000000))</f>
        <v/>
      </c>
      <c r="TA17">
        <f>IF($B17=0,1000000000,IF(INDEX('calcA'!$D$60:$EQ$99,$B17,126)*IF($W17=1,HW17+AEL17,HW17)=1,IF(AND($E17=2,IF($W17=1,AKA17,NL17)=0),1000000000,IF($V17=1,INDEX('calcA'!$D$130:$EQ$169,$B17,126)+IF(AND($E17=1,NL17=0),25,0),IF($F17&gt;0,INDEX('calcA'!DY$110:DY$114,$F17+1)+IF(AND($E17=1,NL17=0),1000,0),MIN(TZ17,20)*400+(IF('calcA'!DX$106=1,1-HV17,0)+IF('calcA'!DY$106=1,1-HX17,0))*150+66+'calcA'!DY$5*100000+IF(AND($E17=1,NL17=0),50000,0))+IF($H17=1,INDEX('calcA'!$D$180:$EQ$219,$B17,126)*4000,0)-IF(AND('calcA'!DX$117=1,YV17&gt;0),2000,0)-IF(AND($U17=1,'calcA'!DY$117=1,HX17=0),2000,0))),1000000000))</f>
        <v/>
      </c>
      <c r="TB17">
        <f>IF($B17=0,1000000000,IF(INDEX('calcA'!$D$60:$EQ$99,$B17,127)*IF($W17=1,HX17+AEM17,HX17)=1,IF(AND($E17=2,IF($W17=1,AKB17,NM17)=0),1000000000,IF($V17=1,INDEX('calcA'!$D$130:$EQ$169,$B17,127)+IF(AND($E17=1,NM17=0),25,0),IF($F17&gt;0,INDEX('calcA'!DZ$110:DZ$114,$F17+1)+IF(AND($E17=1,NM17=0),1000,0),MIN(TZ17,20)*400+(IF('calcA'!DY$106=1,1-HW17,0)+IF('calcA'!DZ$106=1,1-HY17,0))*150+76+'calcA'!DZ$5*100000+IF(AND($E17=1,NM17=0),50000,0))+IF($H17=1,INDEX('calcA'!$D$180:$EQ$219,$B17,127)*4000,0)-IF(AND('calcA'!DY$117=1,YW17&gt;0),2000,0)-IF(AND($U17=1,'calcA'!DZ$117=1,HY17=0),2000,0))),1000000000))</f>
        <v/>
      </c>
      <c r="TC17">
        <f>IF($B17=0,1000000000,IF(INDEX('calcA'!$D$60:$EQ$99,$B17,128)*IF($W17=1,HY17+AEN17,HY17)=1,IF(AND($E17=2,IF($W17=1,AKC17,NN17)=0),1000000000,IF($V17=1,INDEX('calcA'!$D$130:$EQ$169,$B17,128)+IF(AND($E17=1,NN17=0),25,0),IF($F17&gt;0,INDEX('calcA'!EA$110:EA$114,$F17+1)+IF(AND($E17=1,NN17=0),1000,0),MIN(TZ17,20)*400+(IF('calcA'!DZ$106=1,1-HX17,0)+IF('calcA'!EA$106=1,1-HZ17,0))*150+86+'calcA'!EA$5*100000+IF(AND($E17=1,NN17=0),50000,0))+IF($H17=1,INDEX('calcA'!$D$180:$EQ$219,$B17,128)*4000,0)-IF(AND('calcA'!DZ$117=1,YX17&gt;0),2000,0)-IF(AND($U17=1,'calcA'!EA$117=1,HZ17=0),2000,0))),1000000000))</f>
        <v/>
      </c>
      <c r="TD17">
        <f>IF($B17=0,1000000000,IF(INDEX('calcA'!$D$60:$EQ$99,$B17,129)*IF($W17=1,HZ17+AEO17,HZ17)=1,IF(AND($E17=2,IF($W17=1,AKD17,NO17)=0),1000000000,IF($V17=1,INDEX('calcA'!$D$130:$EQ$169,$B17,129)+IF(AND($E17=1,NO17=0),25,0),IF($F17&gt;0,INDEX('calcA'!EB$110:EB$114,$F17+1)+IF(AND($E17=1,NO17=0),1000,0),MIN(TZ17,20)*400+(IF('calcA'!EA$106=1,1-HY17,0)+IF('calcA'!EB$106=1,1-IA17,0))*150+96+'calcA'!EB$5*100000+IF(AND($E17=1,NO17=0),50000,0))+IF($H17=1,INDEX('calcA'!$D$180:$EQ$219,$B17,129)*4000,0)-IF(AND('calcA'!EA$117=1,YY17&gt;0),2000,0)-IF(AND($U17=1,'calcA'!EB$117=1,IA17=0),2000,0))),1000000000))</f>
        <v/>
      </c>
      <c r="TE17">
        <f>IF($B17=0,1000000000,IF(INDEX('calcA'!$D$60:$EQ$99,$B17,130)*IF($W17=1,IA17+AEP17,IA17)=1,IF(AND($E17=2,IF($W17=1,AKE17,NP17)=0),1000000000,IF($V17=1,INDEX('calcA'!$D$130:$EQ$169,$B17,130)+IF(AND($E17=1,NP17=0),25,0),IF($F17&gt;0,INDEX('calcA'!EC$110:EC$114,$F17+1)+IF(AND($E17=1,NP17=0),1000,0),MIN(TZ17,20)*400+(IF('calcA'!EB$106=1,1-HZ17,0)+IF('calcA'!EC$106=1,1-IB17,0))*150+106+'calcA'!EC$5*100000+IF(AND($E17=1,NP17=0),50000,0))+IF($H17=1,INDEX('calcA'!$D$180:$EQ$219,$B17,130)*4000,0)-IF(AND('calcA'!EB$117=1,YZ17&gt;0),2000,0)-IF(AND($U17=1,'calcA'!EC$117=1,IB17=0),2000,0))),1000000000))</f>
        <v/>
      </c>
      <c r="TF17">
        <f>IF($B17=0,1000000000,IF(INDEX('calcA'!$D$60:$EQ$99,$B17,131)*IF($W17=1,IB17+AEQ17,IB17)=1,IF(AND($E17=2,IF($W17=1,AKF17,NQ17)=0),1000000000,IF($V17=1,INDEX('calcA'!$D$130:$EQ$169,$B17,131)+IF(AND($E17=1,NQ17=0),25,0),IF($F17&gt;0,INDEX('calcA'!ED$110:ED$114,$F17+1)+IF(AND($E17=1,NQ17=0),1000,0),MIN(TZ17,20)*400+(IF('calcA'!EC$106=1,1-IA17,0)+IF('calcA'!ED$106=1,1-IC17,0))*150+116+'calcA'!ED$5*100000+IF(AND($E17=1,NQ17=0),50000,0))+IF($H17=1,INDEX('calcA'!$D$180:$EQ$219,$B17,131)*4000,0)-IF(AND('calcA'!EC$117=1,ZA17&gt;0),2000,0)-IF(AND($U17=1,'calcA'!ED$117=1,IC17=0),2000,0))),1000000000))</f>
        <v/>
      </c>
      <c r="TG17">
        <f>IF($B17=0,1000000000,IF(INDEX('calcA'!$D$60:$EQ$99,$B17,132)*IF($W17=1,IC17+AER17,IC17)=1,IF(AND($E17=2,IF($W17=1,AKG17,NR17)=0),1000000000,IF($V17=1,INDEX('calcA'!$D$130:$EQ$169,$B17,132)+IF(AND($E17=1,NR17=0),25,0),IF($F17&gt;0,INDEX('calcA'!EE$110:EE$114,$F17+1)+IF(AND($E17=1,NR17=0),1000,0),MIN(TZ17,20)*400+(IF('calcA'!ED$106=1,1-IB17,0)+IF('calcA'!EE$106=1,1-ID17,0))*150+126+'calcA'!EE$5*100000+IF(AND($E17=1,NR17=0),50000,0))+IF($H17=1,INDEX('calcA'!$D$180:$EQ$219,$B17,132)*4000,0)-IF(AND('calcA'!ED$117=1,ZB17&gt;0),2000,0)-IF(AND($U17=1,'calcA'!EE$117=1,ID17=0),2000,0))),1000000000))</f>
        <v/>
      </c>
      <c r="TH17">
        <f>IF($B17=0,1000000000,IF(INDEX('calcA'!$D$60:$EQ$99,$B17,133)*IF($W17=1,ID17+AES17,ID17)=1,IF(AND($E17=2,IF($W17=1,AKH17,NS17)=0),1000000000,IF($V17=1,INDEX('calcA'!$D$130:$EQ$169,$B17,133)+IF(AND($E17=1,NS17=0),25,0),IF($F17&gt;0,INDEX('calcA'!EF$110:EF$114,$F17+1)+IF(AND($E17=1,NS17=0),1000,0),MIN(TZ17,20)*400+(IF('calcA'!EE$106=1,1-IC17,0)+IF('calcA'!EF$106=1,1-IE17,0))*150+136+'calcA'!EF$5*100000+IF(AND($E17=1,NS17=0),50000,0))+IF($H17=1,INDEX('calcA'!$D$180:$EQ$219,$B17,133)*4000,0)-IF(AND('calcA'!EE$117=1,ZC17&gt;0),2000,0)-IF(AND($U17=1,'calcA'!EF$117=1,IE17=0),2000,0))),1000000000))</f>
        <v/>
      </c>
      <c r="TI17">
        <f>IF($B17=0,1000000000,IF(INDEX('calcA'!$D$60:$EQ$99,$B17,134)*IF($W17=1,IE17+AET17,IE17)=1,IF(AND($E17=2,IF($W17=1,AKI17,NT17)=0),1000000000,IF($V17=1,INDEX('calcA'!$D$130:$EQ$169,$B17,134)+IF(AND($E17=1,NT17=0),25,0),IF($F17&gt;0,INDEX('calcA'!EG$110:EG$114,$F17+1)+IF(AND($E17=1,NT17=0),1000,0),MIN(TZ17,20)*400+(IF('calcA'!EF$106=1,1-ID17,0)+IF('calcA'!EG$106=1,1-IF17,0))*150+146+'calcA'!EG$5*100000+IF(AND($E17=1,NT17=0),50000,0))+IF($H17=1,INDEX('calcA'!$D$180:$EQ$219,$B17,134)*4000,0)-IF(AND('calcA'!EF$117=1,ZD17&gt;0),2000,0)-IF(AND($U17=1,'calcA'!EG$117=1,IF17=0),2000,0))),1000000000))</f>
        <v/>
      </c>
      <c r="TJ17">
        <f>IF($B17=0,1000000000,IF(INDEX('calcA'!$D$60:$EQ$99,$B17,135)*IF($W17=1,IF17+AEU17,IF17)=1,IF(AND($E17=2,IF($W17=1,AKJ17,NU17)=0),1000000000,IF($V17=1,INDEX('calcA'!$D$130:$EQ$169,$B17,135)+IF(AND($E17=1,NU17=0),25,0),IF($F17&gt;0,INDEX('calcA'!EH$110:EH$114,$F17+1)+IF(AND($E17=1,NU17=0),1000,0),MIN(TZ17,20)*400+(IF('calcA'!EG$106=1,1-IE17,0)+IF('calcA'!EH$106=1,1-IG17,0))*150+156+'calcA'!EH$5*100000+IF(AND($E17=1,NU17=0),50000,0))+IF($H17=1,INDEX('calcA'!$D$180:$EQ$219,$B17,135)*4000,0)-IF(AND('calcA'!EG$117=1,ZE17&gt;0),2000,0)-IF(AND($U17=1,'calcA'!EH$117=1,IG17=0),2000,0))),1000000000))</f>
        <v/>
      </c>
      <c r="TK17">
        <f>IF($B17=0,1000000000,IF(INDEX('calcA'!$D$60:$EQ$99,$B17,136)*IF($W17=1,IG17+AEV17,IG17)=1,IF(AND($E17=2,IF($W17=1,AKK17,NV17)=0),1000000000,IF($V17=1,INDEX('calcA'!$D$130:$EQ$169,$B17,136)+IF(AND($E17=1,NV17=0),25,0),IF($F17&gt;0,INDEX('calcA'!EI$110:EI$114,$F17+1)+IF(AND($E17=1,NV17=0),1000,0),MIN(TZ17,20)*400+(IF('calcA'!EH$106=1,1-IF17,0)+IF('calcA'!EI$106=1,1-IH17,0))*150+166+'calcA'!EI$5*100000+IF(AND($E17=1,NV17=0),50000,0))+IF($H17=1,INDEX('calcA'!$D$180:$EQ$219,$B17,136)*4000,0)-IF(AND('calcA'!EH$117=1,ZF17&gt;0),2000,0)-IF(AND($U17=1,'calcA'!EI$117=1,IH17=0),2000,0))),1000000000))</f>
        <v/>
      </c>
      <c r="TL17">
        <f>IF($B17=0,1000000000,IF(INDEX('calcA'!$D$60:$EQ$99,$B17,137)*IF($W17=1,IH17+AEW17,IH17)=1,IF(AND($E17=2,IF($W17=1,AKL17,NW17)=0),1000000000,IF($V17=1,INDEX('calcA'!$D$130:$EQ$169,$B17,137)+IF(AND($E17=1,NW17=0),25,0),IF($F17&gt;0,INDEX('calcA'!EJ$110:EJ$114,$F17+1)+IF(AND($E17=1,NW17=0),1000,0),MIN(TZ17,20)*400+(IF('calcA'!EI$106=1,1-IG17,0)+IF('calcA'!EJ$106=1,1-II17,0))*150+176+'calcA'!EJ$5*100000+IF(AND($E17=1,NW17=0),50000,0))+IF($H17=1,INDEX('calcA'!$D$180:$EQ$219,$B17,137)*4000,0)-IF(AND('calcA'!EI$117=1,ZG17&gt;0),2000,0)-IF(AND($U17=1,'calcA'!EJ$117=1,II17=0),2000,0))),1000000000))</f>
        <v/>
      </c>
      <c r="TM17">
        <f>IF($B17=0,1000000000,IF(INDEX('calcA'!$D$60:$EQ$99,$B17,138)*IF($W17=1,II17+AEX17,II17)=1,IF(AND($E17=2,IF($W17=1,AKM17,NX17)=0),1000000000,IF($V17=1,INDEX('calcA'!$D$130:$EQ$169,$B17,138)+IF(AND($E17=1,NX17=0),25,0),IF($F17&gt;0,INDEX('calcA'!EK$110:EK$114,$F17+1)+IF(AND($E17=1,NX17=0),1000,0),MIN(TZ17,20)*400+(IF('calcA'!EJ$106=1,1-IH17,0)+IF('calcA'!EK$106=1,1-IJ17,0))*150+186+'calcA'!EK$5*100000+IF(AND($E17=1,NX17=0),50000,0))+IF($H17=1,INDEX('calcA'!$D$180:$EQ$219,$B17,138)*4000,0)-IF(AND('calcA'!EJ$117=1,ZH17&gt;0),2000,0)-IF(AND($U17=1,'calcA'!EK$117=1,IJ17=0),2000,0))),1000000000))</f>
        <v/>
      </c>
      <c r="TN17">
        <f>IF($B17=0,1000000000,IF(INDEX('calcA'!$D$60:$EQ$99,$B17,139)*IF($W17=1,IJ17+AEY17,IJ17)=1,IF(AND($E17=2,IF($W17=1,AKN17,NY17)=0),1000000000,IF($V17=1,INDEX('calcA'!$D$130:$EQ$169,$B17,139)+IF(AND($E17=1,NY17=0),25,0),IF($F17&gt;0,INDEX('calcA'!EL$110:EL$114,$F17+1)+IF(AND($E17=1,NY17=0),1000,0),MIN(TZ17,20)*400+(IF('calcA'!EK$106=1,1-II17,0)+IF('calcA'!EL$106=1,1-IK17,0))*150+196+'calcA'!EL$5*100000+IF(AND($E17=1,NY17=0),50000,0))+IF($H17=1,INDEX('calcA'!$D$180:$EQ$219,$B17,139)*4000,0)-IF(AND('calcA'!EK$117=1,ZI17&gt;0),2000,0)-IF(AND($U17=1,'calcA'!EL$117=1,IK17=0),2000,0))),1000000000))</f>
        <v/>
      </c>
      <c r="TO17">
        <f>IF($B17=0,1000000000,IF(INDEX('calcA'!$D$60:$EQ$99,$B17,140)*IF($W17=1,IK17+AEZ17,IK17)=1,IF(AND($E17=2,IF($W17=1,AKO17,NZ17)=0),1000000000,IF($V17=1,INDEX('calcA'!$D$130:$EQ$169,$B17,140)+IF(AND($E17=1,NZ17=0),25,0),IF($F17&gt;0,INDEX('calcA'!EM$110:EM$114,$F17+1)+IF(AND($E17=1,NZ17=0),1000,0),MIN(TZ17,20)*400+(IF('calcA'!EL$106=1,1-IJ17,0)+IF('calcA'!EM$106=1,1-IL17,0))*150+206+'calcA'!EM$5*100000+IF(AND($E17=1,NZ17=0),50000,0))+IF($H17=1,INDEX('calcA'!$D$180:$EQ$219,$B17,140)*4000,0)-IF(AND('calcA'!EL$117=1,ZJ17&gt;0),2000,0)-IF(AND($U17=1,'calcA'!EM$117=1,IL17=0),2000,0))),1000000000))</f>
        <v/>
      </c>
      <c r="TP17">
        <f>IF($B17=0,1000000000,IF(INDEX('calcA'!$D$60:$EQ$99,$B17,141)*IF($W17=1,IL17+AFA17,IL17)=1,IF(AND($E17=2,IF($W17=1,AKP17,OA17)=0),1000000000,IF($V17=1,INDEX('calcA'!$D$130:$EQ$169,$B17,141)+IF(AND($E17=1,OA17=0),25,0),IF($F17&gt;0,INDEX('calcA'!EN$110:EN$114,$F17+1)+IF(AND($E17=1,OA17=0),1000,0),MIN(TZ17,20)*400+(IF('calcA'!EM$106=1,1-IK17,0)+IF('calcA'!EN$106=1,1-IM17,0))*150+216+'calcA'!EN$5*100000+IF(AND($E17=1,OA17=0),50000,0))+IF($H17=1,INDEX('calcA'!$D$180:$EQ$219,$B17,141)*4000,0)-IF(AND('calcA'!EM$117=1,ZK17&gt;0),2000,0)-IF(AND($U17=1,'calcA'!EN$117=1,IM17=0),2000,0))),1000000000))</f>
        <v/>
      </c>
      <c r="TQ17">
        <f>IF($B17=0,1000000000,IF(INDEX('calcA'!$D$60:$EQ$99,$B17,142)*IF($W17=1,IM17+AFB17,IM17)=1,IF(AND($E17=2,IF($W17=1,AKQ17,OB17)=0),1000000000,IF($V17=1,INDEX('calcA'!$D$130:$EQ$169,$B17,142)+IF(AND($E17=1,OB17=0),25,0),IF($F17&gt;0,INDEX('calcA'!EO$110:EO$114,$F17+1)+IF(AND($E17=1,OB17=0),1000,0),MIN(TZ17,20)*400+(IF('calcA'!EN$106=1,1-IL17,0)+IF('calcA'!EO$106=1,1-IN17,0))*150+226+'calcA'!EO$5*100000+IF(AND($E17=1,OB17=0),50000,0))+IF($H17=1,INDEX('calcA'!$D$180:$EQ$219,$B17,142)*4000,0)-IF(AND('calcA'!EN$117=1,ZL17&gt;0),2000,0)-IF(AND($U17=1,'calcA'!EO$117=1,IN17=0),2000,0))),1000000000))</f>
        <v/>
      </c>
      <c r="TR17">
        <f>IF($B17=0,1000000000,IF(INDEX('calcA'!$D$60:$EQ$99,$B17,143)*IF($W17=1,IN17+AFC17,IN17)=1,IF(AND($E17=2,IF($W17=1,AKR17,OC17)=0),1000000000,IF($V17=1,INDEX('calcA'!$D$130:$EQ$169,$B17,143)+IF(AND($E17=1,OC17=0),25,0),IF($F17&gt;0,INDEX('calcA'!EP$110:EP$114,$F17+1)+IF(AND($E17=1,OC17=0),1000,0),MIN(TZ17,20)*400+(IF('calcA'!EO$106=1,1-IM17,0)+IF('calcA'!EP$106=1,1-IO17,0))*150+236+'calcA'!EP$5*100000+IF(AND($E17=1,OC17=0),50000,0))+IF($H17=1,INDEX('calcA'!$D$180:$EQ$219,$B17,143)*4000,0)-IF(AND('calcA'!EO$117=1,ZM17&gt;0),2000,0)-IF(AND($U17=1,'calcA'!EP$117=1,IO17=0),2000,0))),1000000000))</f>
        <v/>
      </c>
      <c r="TS17">
        <f>IF($B17=0,1000000000,IF(INDEX('calcA'!$D$60:$EQ$99,$B17,144)*IF($W17=1,IO17+AFD17,IO17)=1,IF(AND($E17=2,IF($W17=1,AKS17,OD17)=0),1000000000,IF($V17=1,INDEX('calcA'!$D$130:$EQ$169,$B17,144)+IF(AND($E17=1,OD17=0),25,0),IF($F17&gt;0,INDEX('calcA'!EQ$110:EQ$114,$F17+1)+IF(AND($E17=1,OD17=0),1000,0),MIN(TZ17,20)*400+(IF('calcA'!EP$106=1,1-IN17,0))*150+246+'calcA'!EQ$5*100000+IF(AND($E17=1,OD17=0),50000,0))+IF($H17=1,INDEX('calcA'!$D$180:$EQ$219,$B17,144)*4000,0)-IF(AND('calcA'!EP$117=1,ZN17&gt;0),2000,0))),1000000000))</f>
        <v/>
      </c>
      <c r="TU17">
        <f>TU16+IF($C16&gt;0,IF(INDEX('calcA'!$D$2:$EQ$2,$C16)=1,1,0),0)</f>
        <v/>
      </c>
      <c r="TV17">
        <f>TV16+IF($C16&gt;0,IF(INDEX('calcA'!$D$2:$EQ$2,$C16)=2,1,0),0)</f>
        <v/>
      </c>
      <c r="TW17">
        <f>TW16+IF($C16&gt;0,IF(INDEX('calcA'!$D$2:$EQ$2,$C16)=3,1,0),0)</f>
        <v/>
      </c>
      <c r="TX17">
        <f>TX16+IF($C16&gt;0,IF(INDEX('calcA'!$D$2:$EQ$2,$C16)=4,1,0),0)</f>
        <v/>
      </c>
      <c r="TY17">
        <f>TY16+IF($C16&gt;0,IF(INDEX('calcA'!$D$2:$EQ$2,$C16)=5,1,0),0)</f>
        <v/>
      </c>
      <c r="TZ17">
        <f>TZ16+IF($C16&gt;0,IF(INDEX('calcA'!$D$2:$EQ$2,$C16)=6,1,0),0)</f>
        <v/>
      </c>
      <c r="UB17">
        <f>UB16+IF(AND($C16=1,$U16=1),1,0)</f>
        <v/>
      </c>
      <c r="UC17">
        <f>UC16+IF(AND($C16=2,$U16=1),1,0)</f>
        <v/>
      </c>
      <c r="UD17">
        <f>UD16+IF(AND($C16=3,$U16=1),1,0)</f>
        <v/>
      </c>
      <c r="UE17">
        <f>UE16+IF(AND($C16=4,$U16=1),1,0)</f>
        <v/>
      </c>
      <c r="UF17">
        <f>UF16+IF(AND($C16=5,$U16=1),1,0)</f>
        <v/>
      </c>
      <c r="UG17">
        <f>UG16+IF(AND($C16=6,$U16=1),1,0)</f>
        <v/>
      </c>
      <c r="UH17">
        <f>UH16+IF(AND($C16=7,$U16=1),1,0)</f>
        <v/>
      </c>
      <c r="UI17">
        <f>UI16+IF(AND($C16=8,$U16=1),1,0)</f>
        <v/>
      </c>
      <c r="UJ17">
        <f>UJ16+IF(AND($C16=9,$U16=1),1,0)</f>
        <v/>
      </c>
      <c r="UK17">
        <f>UK16+IF(AND($C16=10,$U16=1),1,0)</f>
        <v/>
      </c>
      <c r="UL17">
        <f>UL16+IF(AND($C16=11,$U16=1),1,0)</f>
        <v/>
      </c>
      <c r="UM17">
        <f>UM16+IF(AND($C16=12,$U16=1),1,0)</f>
        <v/>
      </c>
      <c r="UN17">
        <f>UN16+IF(AND($C16=13,$U16=1),1,0)</f>
        <v/>
      </c>
      <c r="UO17">
        <f>UO16+IF(AND($C16=14,$U16=1),1,0)</f>
        <v/>
      </c>
      <c r="UP17">
        <f>UP16+IF(AND($C16=15,$U16=1),1,0)</f>
        <v/>
      </c>
      <c r="UQ17">
        <f>UQ16+IF(AND($C16=16,$U16=1),1,0)</f>
        <v/>
      </c>
      <c r="UR17">
        <f>UR16+IF(AND($C16=17,$U16=1),1,0)</f>
        <v/>
      </c>
      <c r="US17">
        <f>US16+IF(AND($C16=18,$U16=1),1,0)</f>
        <v/>
      </c>
      <c r="UT17">
        <f>UT16+IF(AND($C16=19,$U16=1),1,0)</f>
        <v/>
      </c>
      <c r="UU17">
        <f>UU16+IF(AND($C16=20,$U16=1),1,0)</f>
        <v/>
      </c>
      <c r="UV17">
        <f>UV16+IF(AND($C16=21,$U16=1),1,0)</f>
        <v/>
      </c>
      <c r="UW17">
        <f>UW16+IF(AND($C16=22,$U16=1),1,0)</f>
        <v/>
      </c>
      <c r="UX17">
        <f>UX16+IF(AND($C16=23,$U16=1),1,0)</f>
        <v/>
      </c>
      <c r="UY17">
        <f>UY16+IF(AND($C16=24,$U16=1),1,0)</f>
        <v/>
      </c>
      <c r="UZ17">
        <f>UZ16+IF(AND($C16=25,$U16=1),1,0)</f>
        <v/>
      </c>
      <c r="VA17">
        <f>VA16+IF(AND($C16=26,$U16=1),1,0)</f>
        <v/>
      </c>
      <c r="VB17">
        <f>VB16+IF(AND($C16=27,$U16=1),1,0)</f>
        <v/>
      </c>
      <c r="VC17">
        <f>VC16+IF(AND($C16=28,$U16=1),1,0)</f>
        <v/>
      </c>
      <c r="VD17">
        <f>VD16+IF(AND($C16=29,$U16=1),1,0)</f>
        <v/>
      </c>
      <c r="VE17">
        <f>VE16+IF(AND($C16=30,$U16=1),1,0)</f>
        <v/>
      </c>
      <c r="VF17">
        <f>VF16+IF(AND($C16=31,$U16=1),1,0)</f>
        <v/>
      </c>
      <c r="VG17">
        <f>VG16+IF(AND($C16=32,$U16=1),1,0)</f>
        <v/>
      </c>
      <c r="VH17">
        <f>VH16+IF(AND($C16=33,$U16=1),1,0)</f>
        <v/>
      </c>
      <c r="VI17">
        <f>VI16+IF(AND($C16=34,$U16=1),1,0)</f>
        <v/>
      </c>
      <c r="VJ17">
        <f>VJ16+IF(AND($C16=35,$U16=1),1,0)</f>
        <v/>
      </c>
      <c r="VK17">
        <f>VK16+IF(AND($C16=36,$U16=1),1,0)</f>
        <v/>
      </c>
      <c r="VL17">
        <f>VL16+IF(AND($C16=37,$U16=1),1,0)</f>
        <v/>
      </c>
      <c r="VM17">
        <f>VM16+IF(AND($C16=38,$U16=1),1,0)</f>
        <v/>
      </c>
      <c r="VN17">
        <f>VN16+IF(AND($C16=39,$U16=1),1,0)</f>
        <v/>
      </c>
      <c r="VO17">
        <f>VO16+IF(AND($C16=40,$U16=1),1,0)</f>
        <v/>
      </c>
      <c r="VP17">
        <f>VP16+IF(AND($C16=41,$U16=1),1,0)</f>
        <v/>
      </c>
      <c r="VQ17">
        <f>VQ16+IF(AND($C16=42,$U16=1),1,0)</f>
        <v/>
      </c>
      <c r="VR17">
        <f>VR16+IF(AND($C16=43,$U16=1),1,0)</f>
        <v/>
      </c>
      <c r="VS17">
        <f>VS16+IF(AND($C16=44,$U16=1),1,0)</f>
        <v/>
      </c>
      <c r="VT17">
        <f>VT16+IF(AND($C16=45,$U16=1),1,0)</f>
        <v/>
      </c>
      <c r="VU17">
        <f>VU16+IF(AND($C16=46,$U16=1),1,0)</f>
        <v/>
      </c>
      <c r="VV17">
        <f>VV16+IF(AND($C16=47,$U16=1),1,0)</f>
        <v/>
      </c>
      <c r="VW17">
        <f>VW16+IF(AND($C16=48,$U16=1),1,0)</f>
        <v/>
      </c>
      <c r="VX17">
        <f>VX16+IF(AND($C16=49,$U16=1),1,0)</f>
        <v/>
      </c>
      <c r="VY17">
        <f>VY16+IF(AND($C16=50,$U16=1),1,0)</f>
        <v/>
      </c>
      <c r="VZ17">
        <f>VZ16+IF(AND($C16=51,$U16=1),1,0)</f>
        <v/>
      </c>
      <c r="WA17">
        <f>WA16+IF(AND($C16=52,$U16=1),1,0)</f>
        <v/>
      </c>
      <c r="WB17">
        <f>WB16+IF(AND($C16=53,$U16=1),1,0)</f>
        <v/>
      </c>
      <c r="WC17">
        <f>WC16+IF(AND($C16=54,$U16=1),1,0)</f>
        <v/>
      </c>
      <c r="WD17">
        <f>WD16+IF(AND($C16=55,$U16=1),1,0)</f>
        <v/>
      </c>
      <c r="WE17">
        <f>WE16+IF(AND($C16=56,$U16=1),1,0)</f>
        <v/>
      </c>
      <c r="WF17">
        <f>WF16+IF(AND($C16=57,$U16=1),1,0)</f>
        <v/>
      </c>
      <c r="WG17">
        <f>WG16+IF(AND($C16=58,$U16=1),1,0)</f>
        <v/>
      </c>
      <c r="WH17">
        <f>WH16+IF(AND($C16=59,$U16=1),1,0)</f>
        <v/>
      </c>
      <c r="WI17">
        <f>WI16+IF(AND($C16=60,$U16=1),1,0)</f>
        <v/>
      </c>
      <c r="WJ17">
        <f>WJ16+IF(AND($C16=61,$U16=1),1,0)</f>
        <v/>
      </c>
      <c r="WK17">
        <f>WK16+IF(AND($C16=62,$U16=1),1,0)</f>
        <v/>
      </c>
      <c r="WL17">
        <f>WL16+IF(AND($C16=63,$U16=1),1,0)</f>
        <v/>
      </c>
      <c r="WM17">
        <f>WM16+IF(AND($C16=64,$U16=1),1,0)</f>
        <v/>
      </c>
      <c r="WN17">
        <f>WN16+IF(AND($C16=65,$U16=1),1,0)</f>
        <v/>
      </c>
      <c r="WO17">
        <f>WO16+IF(AND($C16=66,$U16=1),1,0)</f>
        <v/>
      </c>
      <c r="WP17">
        <f>WP16+IF(AND($C16=67,$U16=1),1,0)</f>
        <v/>
      </c>
      <c r="WQ17">
        <f>WQ16+IF(AND($C16=68,$U16=1),1,0)</f>
        <v/>
      </c>
      <c r="WR17">
        <f>WR16+IF(AND($C16=69,$U16=1),1,0)</f>
        <v/>
      </c>
      <c r="WS17">
        <f>WS16+IF(AND($C16=70,$U16=1),1,0)</f>
        <v/>
      </c>
      <c r="WT17">
        <f>WT16+IF(AND($C16=71,$U16=1),1,0)</f>
        <v/>
      </c>
      <c r="WU17">
        <f>WU16+IF(AND($C16=72,$U16=1),1,0)</f>
        <v/>
      </c>
      <c r="WV17">
        <f>WV16+IF(AND($C16=73,$U16=1),1,0)</f>
        <v/>
      </c>
      <c r="WW17">
        <f>WW16+IF(AND($C16=74,$U16=1),1,0)</f>
        <v/>
      </c>
      <c r="WX17">
        <f>WX16+IF(AND($C16=75,$U16=1),1,0)</f>
        <v/>
      </c>
      <c r="WY17">
        <f>WY16+IF(AND($C16=76,$U16=1),1,0)</f>
        <v/>
      </c>
      <c r="WZ17">
        <f>WZ16+IF(AND($C16=77,$U16=1),1,0)</f>
        <v/>
      </c>
      <c r="XA17">
        <f>XA16+IF(AND($C16=78,$U16=1),1,0)</f>
        <v/>
      </c>
      <c r="XB17">
        <f>XB16+IF(AND($C16=79,$U16=1),1,0)</f>
        <v/>
      </c>
      <c r="XC17">
        <f>XC16+IF(AND($C16=80,$U16=1),1,0)</f>
        <v/>
      </c>
      <c r="XD17">
        <f>XD16+IF(AND($C16=81,$U16=1),1,0)</f>
        <v/>
      </c>
      <c r="XE17">
        <f>XE16+IF(AND($C16=82,$U16=1),1,0)</f>
        <v/>
      </c>
      <c r="XF17">
        <f>XF16+IF(AND($C16=83,$U16=1),1,0)</f>
        <v/>
      </c>
      <c r="XG17">
        <f>XG16+IF(AND($C16=84,$U16=1),1,0)</f>
        <v/>
      </c>
      <c r="XH17">
        <f>XH16+IF(AND($C16=85,$U16=1),1,0)</f>
        <v/>
      </c>
      <c r="XI17">
        <f>XI16+IF(AND($C16=86,$U16=1),1,0)</f>
        <v/>
      </c>
      <c r="XJ17">
        <f>XJ16+IF(AND($C16=87,$U16=1),1,0)</f>
        <v/>
      </c>
      <c r="XK17">
        <f>XK16+IF(AND($C16=88,$U16=1),1,0)</f>
        <v/>
      </c>
      <c r="XL17">
        <f>XL16+IF(AND($C16=89,$U16=1),1,0)</f>
        <v/>
      </c>
      <c r="XM17">
        <f>XM16+IF(AND($C16=90,$U16=1),1,0)</f>
        <v/>
      </c>
      <c r="XN17">
        <f>XN16+IF(AND($C16=91,$U16=1),1,0)</f>
        <v/>
      </c>
      <c r="XO17">
        <f>XO16+IF(AND($C16=92,$U16=1),1,0)</f>
        <v/>
      </c>
      <c r="XP17">
        <f>XP16+IF(AND($C16=93,$U16=1),1,0)</f>
        <v/>
      </c>
      <c r="XQ17">
        <f>XQ16+IF(AND($C16=94,$U16=1),1,0)</f>
        <v/>
      </c>
      <c r="XR17">
        <f>XR16+IF(AND($C16=95,$U16=1),1,0)</f>
        <v/>
      </c>
      <c r="XS17">
        <f>XS16+IF(AND($C16=96,$U16=1),1,0)</f>
        <v/>
      </c>
      <c r="XT17">
        <f>XT16+IF(AND($C16=97,$U16=1),1,0)</f>
        <v/>
      </c>
      <c r="XU17">
        <f>XU16+IF(AND($C16=98,$U16=1),1,0)</f>
        <v/>
      </c>
      <c r="XV17">
        <f>XV16+IF(AND($C16=99,$U16=1),1,0)</f>
        <v/>
      </c>
      <c r="XW17">
        <f>XW16+IF(AND($C16=100,$U16=1),1,0)</f>
        <v/>
      </c>
      <c r="XX17">
        <f>XX16+IF(AND($C16=101,$U16=1),1,0)</f>
        <v/>
      </c>
      <c r="XY17">
        <f>XY16+IF(AND($C16=102,$U16=1),1,0)</f>
        <v/>
      </c>
      <c r="XZ17">
        <f>XZ16+IF(AND($C16=103,$U16=1),1,0)</f>
        <v/>
      </c>
      <c r="YA17">
        <f>YA16+IF(AND($C16=104,$U16=1),1,0)</f>
        <v/>
      </c>
      <c r="YB17">
        <f>YB16+IF(AND($C16=105,$U16=1),1,0)</f>
        <v/>
      </c>
      <c r="YC17">
        <f>YC16+IF(AND($C16=106,$U16=1),1,0)</f>
        <v/>
      </c>
      <c r="YD17">
        <f>YD16+IF(AND($C16=107,$U16=1),1,0)</f>
        <v/>
      </c>
      <c r="YE17">
        <f>YE16+IF(AND($C16=108,$U16=1),1,0)</f>
        <v/>
      </c>
      <c r="YF17">
        <f>YF16+IF(AND($C16=109,$U16=1),1,0)</f>
        <v/>
      </c>
      <c r="YG17">
        <f>YG16+IF(AND($C16=110,$U16=1),1,0)</f>
        <v/>
      </c>
      <c r="YH17">
        <f>YH16+IF(AND($C16=111,$U16=1),1,0)</f>
        <v/>
      </c>
      <c r="YI17">
        <f>YI16+IF(AND($C16=112,$U16=1),1,0)</f>
        <v/>
      </c>
      <c r="YJ17">
        <f>YJ16+IF(AND($C16=113,$U16=1),1,0)</f>
        <v/>
      </c>
      <c r="YK17">
        <f>YK16+IF(AND($C16=114,$U16=1),1,0)</f>
        <v/>
      </c>
      <c r="YL17">
        <f>YL16+IF(AND($C16=115,$U16=1),1,0)</f>
        <v/>
      </c>
      <c r="YM17">
        <f>YM16+IF(AND($C16=116,$U16=1),1,0)</f>
        <v/>
      </c>
      <c r="YN17">
        <f>YN16+IF(AND($C16=117,$U16=1),1,0)</f>
        <v/>
      </c>
      <c r="YO17">
        <f>YO16+IF(AND($C16=118,$U16=1),1,0)</f>
        <v/>
      </c>
      <c r="YP17">
        <f>YP16+IF(AND($C16=119,$U16=1),1,0)</f>
        <v/>
      </c>
      <c r="YQ17">
        <f>YQ16+IF(AND($C16=120,$U16=1),1,0)</f>
        <v/>
      </c>
      <c r="YR17">
        <f>YR16+IF(AND($C16=121,$U16=1),1,0)</f>
        <v/>
      </c>
      <c r="YS17">
        <f>YS16+IF(AND($C16=122,$U16=1),1,0)</f>
        <v/>
      </c>
      <c r="YT17">
        <f>YT16+IF(AND($C16=123,$U16=1),1,0)</f>
        <v/>
      </c>
      <c r="YU17">
        <f>YU16+IF(AND($C16=124,$U16=1),1,0)</f>
        <v/>
      </c>
      <c r="YV17">
        <f>YV16+IF(AND($C16=125,$U16=1),1,0)</f>
        <v/>
      </c>
      <c r="YW17">
        <f>YW16+IF(AND($C16=126,$U16=1),1,0)</f>
        <v/>
      </c>
      <c r="YX17">
        <f>YX16+IF(AND($C16=127,$U16=1),1,0)</f>
        <v/>
      </c>
      <c r="YY17">
        <f>YY16+IF(AND($C16=128,$U16=1),1,0)</f>
        <v/>
      </c>
      <c r="YZ17">
        <f>YZ16+IF(AND($C16=129,$U16=1),1,0)</f>
        <v/>
      </c>
      <c r="ZA17">
        <f>ZA16+IF(AND($C16=130,$U16=1),1,0)</f>
        <v/>
      </c>
      <c r="ZB17">
        <f>ZB16+IF(AND($C16=131,$U16=1),1,0)</f>
        <v/>
      </c>
      <c r="ZC17">
        <f>ZC16+IF(AND($C16=132,$U16=1),1,0)</f>
        <v/>
      </c>
      <c r="ZD17">
        <f>ZD16+IF(AND($C16=133,$U16=1),1,0)</f>
        <v/>
      </c>
      <c r="ZE17">
        <f>ZE16+IF(AND($C16=134,$U16=1),1,0)</f>
        <v/>
      </c>
      <c r="ZF17">
        <f>ZF16+IF(AND($C16=135,$U16=1),1,0)</f>
        <v/>
      </c>
      <c r="ZG17">
        <f>ZG16+IF(AND($C16=136,$U16=1),1,0)</f>
        <v/>
      </c>
      <c r="ZH17">
        <f>ZH16+IF(AND($C16=137,$U16=1),1,0)</f>
        <v/>
      </c>
      <c r="ZI17">
        <f>ZI16+IF(AND($C16=138,$U16=1),1,0)</f>
        <v/>
      </c>
      <c r="ZJ17">
        <f>ZJ16+IF(AND($C16=139,$U16=1),1,0)</f>
        <v/>
      </c>
      <c r="ZK17">
        <f>ZK16+IF(AND($C16=140,$U16=1),1,0)</f>
        <v/>
      </c>
      <c r="ZL17">
        <f>ZL16+IF(AND($C16=141,$U16=1),1,0)</f>
        <v/>
      </c>
      <c r="ZM17">
        <f>ZM16+IF(AND($C16=142,$U16=1),1,0)</f>
        <v/>
      </c>
      <c r="ZN17">
        <f>ZN16+IF(AND($C16=143,$U16=1),1,0)</f>
        <v/>
      </c>
      <c r="ZO17">
        <f>ZO16+IF(AND($C16=144,$U16=1),1,0)</f>
        <v/>
      </c>
      <c r="ZQ17">
        <f>IF($C16=1,0,ZQ16+IF(AND($G16=1,$E16=1),1,0))</f>
        <v/>
      </c>
      <c r="ZR17">
        <f>IF($C16=2,0,ZR16+IF(AND($G16=2,$E16=1),1,0))</f>
        <v/>
      </c>
      <c r="ZS17">
        <f>IF($C16=3,0,ZS16+IF(AND($G16=3,$E16=1),1,0))</f>
        <v/>
      </c>
      <c r="ZT17">
        <f>IF($C16=4,0,ZT16+IF(AND($G16=4,$E16=1),1,0))</f>
        <v/>
      </c>
      <c r="ZU17">
        <f>IF($C16=5,0,ZU16+IF(AND($G16=5,$E16=1),1,0))</f>
        <v/>
      </c>
      <c r="ZV17">
        <f>IF($C16=6,0,ZV16+IF(AND($G16=6,$E16=1),1,0))</f>
        <v/>
      </c>
      <c r="ZW17">
        <f>IF($C16=7,0,ZW16+IF(AND($G16=7,$E16=1),1,0))</f>
        <v/>
      </c>
      <c r="ZX17">
        <f>IF($C16=8,0,ZX16+IF(AND($G16=8,$E16=1),1,0))</f>
        <v/>
      </c>
      <c r="ZY17">
        <f>IF($C16=9,0,ZY16+IF(AND($G16=9,$E16=1),1,0))</f>
        <v/>
      </c>
      <c r="ZZ17">
        <f>IF($C16=10,0,ZZ16+IF(AND($G16=10,$E16=1),1,0))</f>
        <v/>
      </c>
      <c r="AAA17">
        <f>IF($C16=11,0,AAA16+IF(AND($G16=11,$E16=1),1,0))</f>
        <v/>
      </c>
      <c r="AAB17">
        <f>IF($C16=12,0,AAB16+IF(AND($G16=12,$E16=1),1,0))</f>
        <v/>
      </c>
      <c r="AAC17">
        <f>IF($C16=13,0,AAC16+IF(AND($G16=13,$E16=1),1,0))</f>
        <v/>
      </c>
      <c r="AAD17">
        <f>IF($C16=14,0,AAD16+IF(AND($G16=14,$E16=1),1,0))</f>
        <v/>
      </c>
      <c r="AAE17">
        <f>IF($C16=15,0,AAE16+IF(AND($G16=15,$E16=1),1,0))</f>
        <v/>
      </c>
      <c r="AAF17">
        <f>IF($C16=16,0,AAF16+IF(AND($G16=16,$E16=1),1,0))</f>
        <v/>
      </c>
      <c r="AAG17">
        <f>IF($C16=17,0,AAG16+IF(AND($G16=17,$E16=1),1,0))</f>
        <v/>
      </c>
      <c r="AAH17">
        <f>IF($C16=18,0,AAH16+IF(AND($G16=18,$E16=1),1,0))</f>
        <v/>
      </c>
      <c r="AAI17">
        <f>IF($C16=19,0,AAI16+IF(AND($G16=19,$E16=1),1,0))</f>
        <v/>
      </c>
      <c r="AAJ17">
        <f>IF($C16=20,0,AAJ16+IF(AND($G16=20,$E16=1),1,0))</f>
        <v/>
      </c>
      <c r="AAK17">
        <f>IF($C16=21,0,AAK16+IF(AND($G16=21,$E16=1),1,0))</f>
        <v/>
      </c>
      <c r="AAL17">
        <f>IF($C16=22,0,AAL16+IF(AND($G16=22,$E16=1),1,0))</f>
        <v/>
      </c>
      <c r="AAM17">
        <f>IF($C16=23,0,AAM16+IF(AND($G16=23,$E16=1),1,0))</f>
        <v/>
      </c>
      <c r="AAN17">
        <f>IF($C16=24,0,AAN16+IF(AND($G16=24,$E16=1),1,0))</f>
        <v/>
      </c>
      <c r="AAO17">
        <f>IF($C16=25,0,AAO16+IF(AND($G16=25,$E16=1),1,0))</f>
        <v/>
      </c>
      <c r="AAP17">
        <f>IF($C16=26,0,AAP16+IF(AND($G16=26,$E16=1),1,0))</f>
        <v/>
      </c>
      <c r="AAQ17">
        <f>IF($C16=27,0,AAQ16+IF(AND($G16=27,$E16=1),1,0))</f>
        <v/>
      </c>
      <c r="AAR17">
        <f>IF($C16=28,0,AAR16+IF(AND($G16=28,$E16=1),1,0))</f>
        <v/>
      </c>
      <c r="AAS17">
        <f>IF($C16=29,0,AAS16+IF(AND($G16=29,$E16=1),1,0))</f>
        <v/>
      </c>
      <c r="AAT17">
        <f>IF($C16=30,0,AAT16+IF(AND($G16=30,$E16=1),1,0))</f>
        <v/>
      </c>
      <c r="AAU17">
        <f>IF($C16=31,0,AAU16+IF(AND($G16=31,$E16=1),1,0))</f>
        <v/>
      </c>
      <c r="AAV17">
        <f>IF($C16=32,0,AAV16+IF(AND($G16=32,$E16=1),1,0))</f>
        <v/>
      </c>
      <c r="AAW17">
        <f>IF($C16=33,0,AAW16+IF(AND($G16=33,$E16=1),1,0))</f>
        <v/>
      </c>
      <c r="AAX17">
        <f>IF($C16=34,0,AAX16+IF(AND($G16=34,$E16=1),1,0))</f>
        <v/>
      </c>
      <c r="AAY17">
        <f>IF($C16=35,0,AAY16+IF(AND($G16=35,$E16=1),1,0))</f>
        <v/>
      </c>
      <c r="AAZ17">
        <f>IF($C16=36,0,AAZ16+IF(AND($G16=36,$E16=1),1,0))</f>
        <v/>
      </c>
      <c r="ABA17">
        <f>IF($C16=37,0,ABA16+IF(AND($G16=37,$E16=1),1,0))</f>
        <v/>
      </c>
      <c r="ABB17">
        <f>IF($C16=38,0,ABB16+IF(AND($G16=38,$E16=1),1,0))</f>
        <v/>
      </c>
      <c r="ABC17">
        <f>IF($C16=39,0,ABC16+IF(AND($G16=39,$E16=1),1,0))</f>
        <v/>
      </c>
      <c r="ABD17">
        <f>IF($C16=40,0,ABD16+IF(AND($G16=40,$E16=1),1,0))</f>
        <v/>
      </c>
      <c r="ABE17">
        <f>IF($C16=41,0,ABE16+IF(AND($G16=41,$E16=1),1,0))</f>
        <v/>
      </c>
      <c r="ABF17">
        <f>IF($C16=42,0,ABF16+IF(AND($G16=42,$E16=1),1,0))</f>
        <v/>
      </c>
      <c r="ABG17">
        <f>IF($C16=43,0,ABG16+IF(AND($G16=43,$E16=1),1,0))</f>
        <v/>
      </c>
      <c r="ABH17">
        <f>IF($C16=44,0,ABH16+IF(AND($G16=44,$E16=1),1,0))</f>
        <v/>
      </c>
      <c r="ABI17">
        <f>IF($C16=45,0,ABI16+IF(AND($G16=45,$E16=1),1,0))</f>
        <v/>
      </c>
      <c r="ABJ17">
        <f>IF($C16=46,0,ABJ16+IF(AND($G16=46,$E16=1),1,0))</f>
        <v/>
      </c>
      <c r="ABK17">
        <f>IF($C16=47,0,ABK16+IF(AND($G16=47,$E16=1),1,0))</f>
        <v/>
      </c>
      <c r="ABL17">
        <f>IF($C16=48,0,ABL16+IF(AND($G16=48,$E16=1),1,0))</f>
        <v/>
      </c>
      <c r="ABM17">
        <f>IF($C16=49,0,ABM16+IF(AND($G16=49,$E16=1),1,0))</f>
        <v/>
      </c>
      <c r="ABN17">
        <f>IF($C16=50,0,ABN16+IF(AND($G16=50,$E16=1),1,0))</f>
        <v/>
      </c>
      <c r="ABO17">
        <f>IF($C16=51,0,ABO16+IF(AND($G16=51,$E16=1),1,0))</f>
        <v/>
      </c>
      <c r="ABP17">
        <f>IF($C16=52,0,ABP16+IF(AND($G16=52,$E16=1),1,0))</f>
        <v/>
      </c>
      <c r="ABQ17">
        <f>IF($C16=53,0,ABQ16+IF(AND($G16=53,$E16=1),1,0))</f>
        <v/>
      </c>
      <c r="ABR17">
        <f>IF($C16=54,0,ABR16+IF(AND($G16=54,$E16=1),1,0))</f>
        <v/>
      </c>
      <c r="ABS17">
        <f>IF($C16=55,0,ABS16+IF(AND($G16=55,$E16=1),1,0))</f>
        <v/>
      </c>
      <c r="ABT17">
        <f>IF($C16=56,0,ABT16+IF(AND($G16=56,$E16=1),1,0))</f>
        <v/>
      </c>
      <c r="ABU17">
        <f>IF($C16=57,0,ABU16+IF(AND($G16=57,$E16=1),1,0))</f>
        <v/>
      </c>
      <c r="ABV17">
        <f>IF($C16=58,0,ABV16+IF(AND($G16=58,$E16=1),1,0))</f>
        <v/>
      </c>
      <c r="ABW17">
        <f>IF($C16=59,0,ABW16+IF(AND($G16=59,$E16=1),1,0))</f>
        <v/>
      </c>
      <c r="ABX17">
        <f>IF($C16=60,0,ABX16+IF(AND($G16=60,$E16=1),1,0))</f>
        <v/>
      </c>
      <c r="ABY17">
        <f>IF($C16=61,0,ABY16+IF(AND($G16=61,$E16=1),1,0))</f>
        <v/>
      </c>
      <c r="ABZ17">
        <f>IF($C16=62,0,ABZ16+IF(AND($G16=62,$E16=1),1,0))</f>
        <v/>
      </c>
      <c r="ACA17">
        <f>IF($C16=63,0,ACA16+IF(AND($G16=63,$E16=1),1,0))</f>
        <v/>
      </c>
      <c r="ACB17">
        <f>IF($C16=64,0,ACB16+IF(AND($G16=64,$E16=1),1,0))</f>
        <v/>
      </c>
      <c r="ACC17">
        <f>IF($C16=65,0,ACC16+IF(AND($G16=65,$E16=1),1,0))</f>
        <v/>
      </c>
      <c r="ACD17">
        <f>IF($C16=66,0,ACD16+IF(AND($G16=66,$E16=1),1,0))</f>
        <v/>
      </c>
      <c r="ACE17">
        <f>IF($C16=67,0,ACE16+IF(AND($G16=67,$E16=1),1,0))</f>
        <v/>
      </c>
      <c r="ACF17">
        <f>IF($C16=68,0,ACF16+IF(AND($G16=68,$E16=1),1,0))</f>
        <v/>
      </c>
      <c r="ACG17">
        <f>IF($C16=69,0,ACG16+IF(AND($G16=69,$E16=1),1,0))</f>
        <v/>
      </c>
      <c r="ACH17">
        <f>IF($C16=70,0,ACH16+IF(AND($G16=70,$E16=1),1,0))</f>
        <v/>
      </c>
      <c r="ACI17">
        <f>IF($C16=71,0,ACI16+IF(AND($G16=71,$E16=1),1,0))</f>
        <v/>
      </c>
      <c r="ACJ17">
        <f>IF($C16=72,0,ACJ16+IF(AND($G16=72,$E16=1),1,0))</f>
        <v/>
      </c>
      <c r="ACK17">
        <f>IF($C16=73,0,ACK16+IF(AND($G16=73,$E16=1),1,0))</f>
        <v/>
      </c>
      <c r="ACL17">
        <f>IF($C16=74,0,ACL16+IF(AND($G16=74,$E16=1),1,0))</f>
        <v/>
      </c>
      <c r="ACM17">
        <f>IF($C16=75,0,ACM16+IF(AND($G16=75,$E16=1),1,0))</f>
        <v/>
      </c>
      <c r="ACN17">
        <f>IF($C16=76,0,ACN16+IF(AND($G16=76,$E16=1),1,0))</f>
        <v/>
      </c>
      <c r="ACO17">
        <f>IF($C16=77,0,ACO16+IF(AND($G16=77,$E16=1),1,0))</f>
        <v/>
      </c>
      <c r="ACP17">
        <f>IF($C16=78,0,ACP16+IF(AND($G16=78,$E16=1),1,0))</f>
        <v/>
      </c>
      <c r="ACQ17">
        <f>IF($C16=79,0,ACQ16+IF(AND($G16=79,$E16=1),1,0))</f>
        <v/>
      </c>
      <c r="ACR17">
        <f>IF($C16=80,0,ACR16+IF(AND($G16=80,$E16=1),1,0))</f>
        <v/>
      </c>
      <c r="ACS17">
        <f>IF($C16=81,0,ACS16+IF(AND($G16=81,$E16=1),1,0))</f>
        <v/>
      </c>
      <c r="ACT17">
        <f>IF($C16=82,0,ACT16+IF(AND($G16=82,$E16=1),1,0))</f>
        <v/>
      </c>
      <c r="ACU17">
        <f>IF($C16=83,0,ACU16+IF(AND($G16=83,$E16=1),1,0))</f>
        <v/>
      </c>
      <c r="ACV17">
        <f>IF($C16=84,0,ACV16+IF(AND($G16=84,$E16=1),1,0))</f>
        <v/>
      </c>
      <c r="ACW17">
        <f>IF($C16=85,0,ACW16+IF(AND($G16=85,$E16=1),1,0))</f>
        <v/>
      </c>
      <c r="ACX17">
        <f>IF($C16=86,0,ACX16+IF(AND($G16=86,$E16=1),1,0))</f>
        <v/>
      </c>
      <c r="ACY17">
        <f>IF($C16=87,0,ACY16+IF(AND($G16=87,$E16=1),1,0))</f>
        <v/>
      </c>
      <c r="ACZ17">
        <f>IF($C16=88,0,ACZ16+IF(AND($G16=88,$E16=1),1,0))</f>
        <v/>
      </c>
      <c r="ADA17">
        <f>IF($C16=89,0,ADA16+IF(AND($G16=89,$E16=1),1,0))</f>
        <v/>
      </c>
      <c r="ADB17">
        <f>IF($C16=90,0,ADB16+IF(AND($G16=90,$E16=1),1,0))</f>
        <v/>
      </c>
      <c r="ADC17">
        <f>IF($C16=91,0,ADC16+IF(AND($G16=91,$E16=1),1,0))</f>
        <v/>
      </c>
      <c r="ADD17">
        <f>IF($C16=92,0,ADD16+IF(AND($G16=92,$E16=1),1,0))</f>
        <v/>
      </c>
      <c r="ADE17">
        <f>IF($C16=93,0,ADE16+IF(AND($G16=93,$E16=1),1,0))</f>
        <v/>
      </c>
      <c r="ADF17">
        <f>IF($C16=94,0,ADF16+IF(AND($G16=94,$E16=1),1,0))</f>
        <v/>
      </c>
      <c r="ADG17">
        <f>IF($C16=95,0,ADG16+IF(AND($G16=95,$E16=1),1,0))</f>
        <v/>
      </c>
      <c r="ADH17">
        <f>IF($C16=96,0,ADH16+IF(AND($G16=96,$E16=1),1,0))</f>
        <v/>
      </c>
      <c r="ADI17">
        <f>IF($C16=97,0,ADI16+IF(AND($G16=97,$E16=1),1,0))</f>
        <v/>
      </c>
      <c r="ADJ17">
        <f>IF($C16=98,0,ADJ16+IF(AND($G16=98,$E16=1),1,0))</f>
        <v/>
      </c>
      <c r="ADK17">
        <f>IF($C16=99,0,ADK16+IF(AND($G16=99,$E16=1),1,0))</f>
        <v/>
      </c>
      <c r="ADL17">
        <f>IF($C16=100,0,ADL16+IF(AND($G16=100,$E16=1),1,0))</f>
        <v/>
      </c>
      <c r="ADM17">
        <f>IF($C16=101,0,ADM16+IF(AND($G16=101,$E16=1),1,0))</f>
        <v/>
      </c>
      <c r="ADN17">
        <f>IF($C16=102,0,ADN16+IF(AND($G16=102,$E16=1),1,0))</f>
        <v/>
      </c>
      <c r="ADO17">
        <f>IF($C16=103,0,ADO16+IF(AND($G16=103,$E16=1),1,0))</f>
        <v/>
      </c>
      <c r="ADP17">
        <f>IF($C16=104,0,ADP16+IF(AND($G16=104,$E16=1),1,0))</f>
        <v/>
      </c>
      <c r="ADQ17">
        <f>IF($C16=105,0,ADQ16+IF(AND($G16=105,$E16=1),1,0))</f>
        <v/>
      </c>
      <c r="ADR17">
        <f>IF($C16=106,0,ADR16+IF(AND($G16=106,$E16=1),1,0))</f>
        <v/>
      </c>
      <c r="ADS17">
        <f>IF($C16=107,0,ADS16+IF(AND($G16=107,$E16=1),1,0))</f>
        <v/>
      </c>
      <c r="ADT17">
        <f>IF($C16=108,0,ADT16+IF(AND($G16=108,$E16=1),1,0))</f>
        <v/>
      </c>
      <c r="ADU17">
        <f>IF($C16=109,0,ADU16+IF(AND($G16=109,$E16=1),1,0))</f>
        <v/>
      </c>
      <c r="ADV17">
        <f>IF($C16=110,0,ADV16+IF(AND($G16=110,$E16=1),1,0))</f>
        <v/>
      </c>
      <c r="ADW17">
        <f>IF($C16=111,0,ADW16+IF(AND($G16=111,$E16=1),1,0))</f>
        <v/>
      </c>
      <c r="ADX17">
        <f>IF($C16=112,0,ADX16+IF(AND($G16=112,$E16=1),1,0))</f>
        <v/>
      </c>
      <c r="ADY17">
        <f>IF($C16=113,0,ADY16+IF(AND($G16=113,$E16=1),1,0))</f>
        <v/>
      </c>
      <c r="ADZ17">
        <f>IF($C16=114,0,ADZ16+IF(AND($G16=114,$E16=1),1,0))</f>
        <v/>
      </c>
      <c r="AEA17">
        <f>IF($C16=115,0,AEA16+IF(AND($G16=115,$E16=1),1,0))</f>
        <v/>
      </c>
      <c r="AEB17">
        <f>IF($C16=116,0,AEB16+IF(AND($G16=116,$E16=1),1,0))</f>
        <v/>
      </c>
      <c r="AEC17">
        <f>IF($C16=117,0,AEC16+IF(AND($G16=117,$E16=1),1,0))</f>
        <v/>
      </c>
      <c r="AED17">
        <f>IF($C16=118,0,AED16+IF(AND($G16=118,$E16=1),1,0))</f>
        <v/>
      </c>
      <c r="AEE17">
        <f>IF($C16=119,0,AEE16+IF(AND($G16=119,$E16=1),1,0))</f>
        <v/>
      </c>
      <c r="AEF17">
        <f>IF($C16=120,0,AEF16+IF(AND($G16=120,$E16=1),1,0))</f>
        <v/>
      </c>
      <c r="AEG17">
        <f>IF($C16=121,0,AEG16+IF(AND($G16=121,$E16=1),1,0))</f>
        <v/>
      </c>
      <c r="AEH17">
        <f>IF($C16=122,0,AEH16+IF(AND($G16=122,$E16=1),1,0))</f>
        <v/>
      </c>
      <c r="AEI17">
        <f>IF($C16=123,0,AEI16+IF(AND($G16=123,$E16=1),1,0))</f>
        <v/>
      </c>
      <c r="AEJ17">
        <f>IF($C16=124,0,AEJ16+IF(AND($G16=124,$E16=1),1,0))</f>
        <v/>
      </c>
      <c r="AEK17">
        <f>IF($C16=125,0,AEK16+IF(AND($G16=125,$E16=1),1,0))</f>
        <v/>
      </c>
      <c r="AEL17">
        <f>IF($C16=126,0,AEL16+IF(AND($G16=126,$E16=1),1,0))</f>
        <v/>
      </c>
      <c r="AEM17">
        <f>IF($C16=127,0,AEM16+IF(AND($G16=127,$E16=1),1,0))</f>
        <v/>
      </c>
      <c r="AEN17">
        <f>IF($C16=128,0,AEN16+IF(AND($G16=128,$E16=1),1,0))</f>
        <v/>
      </c>
      <c r="AEO17">
        <f>IF($C16=129,0,AEO16+IF(AND($G16=129,$E16=1),1,0))</f>
        <v/>
      </c>
      <c r="AEP17">
        <f>IF($C16=130,0,AEP16+IF(AND($G16=130,$E16=1),1,0))</f>
        <v/>
      </c>
      <c r="AEQ17">
        <f>IF($C16=131,0,AEQ16+IF(AND($G16=131,$E16=1),1,0))</f>
        <v/>
      </c>
      <c r="AER17">
        <f>IF($C16=132,0,AER16+IF(AND($G16=132,$E16=1),1,0))</f>
        <v/>
      </c>
      <c r="AES17">
        <f>IF($C16=133,0,AES16+IF(AND($G16=133,$E16=1),1,0))</f>
        <v/>
      </c>
      <c r="AET17">
        <f>IF($C16=134,0,AET16+IF(AND($G16=134,$E16=1),1,0))</f>
        <v/>
      </c>
      <c r="AEU17">
        <f>IF($C16=135,0,AEU16+IF(AND($G16=135,$E16=1),1,0))</f>
        <v/>
      </c>
      <c r="AEV17">
        <f>IF($C16=136,0,AEV16+IF(AND($G16=136,$E16=1),1,0))</f>
        <v/>
      </c>
      <c r="AEW17">
        <f>IF($C16=137,0,AEW16+IF(AND($G16=137,$E16=1),1,0))</f>
        <v/>
      </c>
      <c r="AEX17">
        <f>IF($C16=138,0,AEX16+IF(AND($G16=138,$E16=1),1,0))</f>
        <v/>
      </c>
      <c r="AEY17">
        <f>IF($C16=139,0,AEY16+IF(AND($G16=139,$E16=1),1,0))</f>
        <v/>
      </c>
      <c r="AEZ17">
        <f>IF($C16=140,0,AEZ16+IF(AND($G16=140,$E16=1),1,0))</f>
        <v/>
      </c>
      <c r="AFA17">
        <f>IF($C16=141,0,AFA16+IF(AND($G16=141,$E16=1),1,0))</f>
        <v/>
      </c>
      <c r="AFB17">
        <f>IF($C16=142,0,AFB16+IF(AND($G16=142,$E16=1),1,0))</f>
        <v/>
      </c>
      <c r="AFC17">
        <f>IF($C16=143,0,AFC16+IF(AND($G16=143,$E16=1),1,0))</f>
        <v/>
      </c>
      <c r="AFD17">
        <f>IF($C16=144,0,AFD16+IF(AND($G16=144,$E16=1),1,0))</f>
        <v/>
      </c>
      <c r="AFF17">
        <f>IF('calcA'!D$106=1,DC17+ZR17,1)</f>
        <v/>
      </c>
      <c r="AFG17">
        <f>IF('calcA'!E$106=1,DD17+ZS17,1)</f>
        <v/>
      </c>
      <c r="AFH17">
        <f>IF('calcA'!F$106=1,DE17+ZT17,1)</f>
        <v/>
      </c>
      <c r="AFI17">
        <f>IF('calcA'!G$106=1,DF17+ZU17,1)</f>
        <v/>
      </c>
      <c r="AFJ17">
        <f>IF('calcA'!H$106=1,DG17+ZV17,1)</f>
        <v/>
      </c>
      <c r="AFK17">
        <f>IF('calcA'!I$106=1,DH17+ZW17,1)</f>
        <v/>
      </c>
      <c r="AFL17">
        <f>IF('calcA'!J$106=1,DI17+ZX17,1)</f>
        <v/>
      </c>
      <c r="AFM17">
        <f>IF('calcA'!K$106=1,DJ17+ZY17,1)</f>
        <v/>
      </c>
      <c r="AFN17">
        <f>IF('calcA'!L$106=1,DK17+ZZ17,1)</f>
        <v/>
      </c>
      <c r="AFO17">
        <f>IF('calcA'!M$106=1,DL17+AAA17,1)</f>
        <v/>
      </c>
      <c r="AFP17">
        <f>IF('calcA'!N$106=1,DM17+AAB17,1)</f>
        <v/>
      </c>
      <c r="AFQ17">
        <f>IF('calcA'!O$106=1,DN17+AAC17,1)</f>
        <v/>
      </c>
      <c r="AFR17">
        <f>IF('calcA'!P$106=1,DO17+AAD17,1)</f>
        <v/>
      </c>
      <c r="AFS17">
        <f>IF('calcA'!Q$106=1,DP17+AAE17,1)</f>
        <v/>
      </c>
      <c r="AFT17">
        <f>IF('calcA'!R$106=1,DQ17+AAF17,1)</f>
        <v/>
      </c>
      <c r="AFU17">
        <f>IF('calcA'!S$106=1,DR17+AAG17,1)</f>
        <v/>
      </c>
      <c r="AFV17">
        <f>IF('calcA'!T$106=1,DS17+AAH17,1)</f>
        <v/>
      </c>
      <c r="AFW17">
        <f>IF('calcA'!U$106=1,DT17+AAI17,1)</f>
        <v/>
      </c>
      <c r="AFX17">
        <f>IF('calcA'!V$106=1,DU17+AAJ17,1)</f>
        <v/>
      </c>
      <c r="AFY17">
        <f>IF('calcA'!W$106=1,DV17+AAK17,1)</f>
        <v/>
      </c>
      <c r="AFZ17">
        <f>IF('calcA'!X$106=1,DW17+AAL17,1)</f>
        <v/>
      </c>
      <c r="AGA17">
        <f>IF('calcA'!Y$106=1,DX17+AAM17,1)</f>
        <v/>
      </c>
      <c r="AGB17">
        <f>IF('calcA'!Z$106=1,DY17+AAN17,1)</f>
        <v/>
      </c>
      <c r="AGC17">
        <f>IF('calcA'!AA$106=1,DZ17+AAO17,1)</f>
        <v/>
      </c>
      <c r="AGD17">
        <f>IF('calcA'!AB$106=1,EA17+AAP17,1)</f>
        <v/>
      </c>
      <c r="AGE17">
        <f>IF('calcA'!AC$106=1,EB17+AAQ17,1)</f>
        <v/>
      </c>
      <c r="AGF17">
        <f>IF('calcA'!AD$106=1,EC17+AAR17,1)</f>
        <v/>
      </c>
      <c r="AGG17">
        <f>IF('calcA'!AE$106=1,ED17+AAS17,1)</f>
        <v/>
      </c>
      <c r="AGH17">
        <f>IF('calcA'!AF$106=1,EE17+AAT17,1)</f>
        <v/>
      </c>
      <c r="AGI17">
        <f>IF('calcA'!AG$106=1,EF17+AAU17,1)</f>
        <v/>
      </c>
      <c r="AGJ17">
        <f>IF('calcA'!AH$106=1,EG17+AAV17,1)</f>
        <v/>
      </c>
      <c r="AGK17">
        <f>IF('calcA'!AI$106=1,EH17+AAW17,1)</f>
        <v/>
      </c>
      <c r="AGL17">
        <f>IF('calcA'!AJ$106=1,EI17+AAX17,1)</f>
        <v/>
      </c>
      <c r="AGM17">
        <f>IF('calcA'!AK$106=1,EJ17+AAY17,1)</f>
        <v/>
      </c>
      <c r="AGN17">
        <f>IF('calcA'!AL$106=1,EK17+AAZ17,1)</f>
        <v/>
      </c>
      <c r="AGO17">
        <f>IF('calcA'!AM$106=1,EL17+ABA17,1)</f>
        <v/>
      </c>
      <c r="AGP17">
        <f>IF('calcA'!AN$106=1,EM17+ABB17,1)</f>
        <v/>
      </c>
      <c r="AGQ17">
        <f>IF('calcA'!AO$106=1,EN17+ABC17,1)</f>
        <v/>
      </c>
      <c r="AGR17">
        <f>IF('calcA'!AP$106=1,EO17+ABD17,1)</f>
        <v/>
      </c>
      <c r="AGS17">
        <f>IF('calcA'!AQ$106=1,EP17+ABE17,1)</f>
        <v/>
      </c>
      <c r="AGT17">
        <f>IF('calcA'!AR$106=1,EQ17+ABF17,1)</f>
        <v/>
      </c>
      <c r="AGU17">
        <f>IF('calcA'!AS$106=1,ER17+ABG17,1)</f>
        <v/>
      </c>
      <c r="AGV17">
        <f>IF('calcA'!AT$106=1,ES17+ABH17,1)</f>
        <v/>
      </c>
      <c r="AGW17">
        <f>IF('calcA'!AU$106=1,ET17+ABI17,1)</f>
        <v/>
      </c>
      <c r="AGX17">
        <f>IF('calcA'!AV$106=1,EU17+ABJ17,1)</f>
        <v/>
      </c>
      <c r="AGY17">
        <f>IF('calcA'!AW$106=1,EV17+ABK17,1)</f>
        <v/>
      </c>
      <c r="AGZ17">
        <f>IF('calcA'!AX$106=1,EW17+ABL17,1)</f>
        <v/>
      </c>
      <c r="AHA17">
        <f>IF('calcA'!AY$106=1,EX17+ABM17,1)</f>
        <v/>
      </c>
      <c r="AHB17">
        <f>IF('calcA'!AZ$106=1,EY17+ABN17,1)</f>
        <v/>
      </c>
      <c r="AHC17">
        <f>IF('calcA'!BA$106=1,EZ17+ABO17,1)</f>
        <v/>
      </c>
      <c r="AHD17">
        <f>IF('calcA'!BB$106=1,FA17+ABP17,1)</f>
        <v/>
      </c>
      <c r="AHE17">
        <f>IF('calcA'!BC$106=1,FB17+ABQ17,1)</f>
        <v/>
      </c>
      <c r="AHF17">
        <f>IF('calcA'!BD$106=1,FC17+ABR17,1)</f>
        <v/>
      </c>
      <c r="AHG17">
        <f>IF('calcA'!BE$106=1,FD17+ABS17,1)</f>
        <v/>
      </c>
      <c r="AHH17">
        <f>IF('calcA'!BF$106=1,FE17+ABT17,1)</f>
        <v/>
      </c>
      <c r="AHI17">
        <f>IF('calcA'!BG$106=1,FF17+ABU17,1)</f>
        <v/>
      </c>
      <c r="AHJ17">
        <f>IF('calcA'!BH$106=1,FG17+ABV17,1)</f>
        <v/>
      </c>
      <c r="AHK17">
        <f>IF('calcA'!BI$106=1,FH17+ABW17,1)</f>
        <v/>
      </c>
      <c r="AHL17">
        <f>IF('calcA'!BJ$106=1,FI17+ABX17,1)</f>
        <v/>
      </c>
      <c r="AHM17">
        <f>IF('calcA'!BK$106=1,FJ17+ABY17,1)</f>
        <v/>
      </c>
      <c r="AHN17">
        <f>IF('calcA'!BL$106=1,FK17+ABZ17,1)</f>
        <v/>
      </c>
      <c r="AHO17">
        <f>IF('calcA'!BM$106=1,FL17+ACA17,1)</f>
        <v/>
      </c>
      <c r="AHP17">
        <f>IF('calcA'!BN$106=1,FM17+ACB17,1)</f>
        <v/>
      </c>
      <c r="AHQ17">
        <f>IF('calcA'!BO$106=1,FN17+ACC17,1)</f>
        <v/>
      </c>
      <c r="AHR17">
        <f>IF('calcA'!BP$106=1,FO17+ACD17,1)</f>
        <v/>
      </c>
      <c r="AHS17">
        <f>IF('calcA'!BQ$106=1,FP17+ACE17,1)</f>
        <v/>
      </c>
      <c r="AHT17">
        <f>IF('calcA'!BR$106=1,FQ17+ACF17,1)</f>
        <v/>
      </c>
      <c r="AHU17">
        <f>IF('calcA'!BS$106=1,FR17+ACG17,1)</f>
        <v/>
      </c>
      <c r="AHV17">
        <f>IF('calcA'!BT$106=1,FS17+ACH17,1)</f>
        <v/>
      </c>
      <c r="AHW17">
        <f>IF('calcA'!BU$106=1,FT17+ACI17,1)</f>
        <v/>
      </c>
      <c r="AHX17">
        <f>IF('calcA'!BV$106=1,FU17+ACJ17,1)</f>
        <v/>
      </c>
      <c r="AHY17">
        <f>IF('calcA'!BW$106=1,FV17+ACK17,1)</f>
        <v/>
      </c>
      <c r="AHZ17">
        <f>IF('calcA'!BX$106=1,FW17+ACL17,1)</f>
        <v/>
      </c>
      <c r="AIA17">
        <f>IF('calcA'!BY$106=1,FX17+ACM17,1)</f>
        <v/>
      </c>
      <c r="AIB17">
        <f>IF('calcA'!BZ$106=1,FY17+ACN17,1)</f>
        <v/>
      </c>
      <c r="AIC17">
        <f>IF('calcA'!CA$106=1,FZ17+ACO17,1)</f>
        <v/>
      </c>
      <c r="AID17">
        <f>IF('calcA'!CB$106=1,GA17+ACP17,1)</f>
        <v/>
      </c>
      <c r="AIE17">
        <f>IF('calcA'!CC$106=1,GB17+ACQ17,1)</f>
        <v/>
      </c>
      <c r="AIF17">
        <f>IF('calcA'!CD$106=1,GC17+ACR17,1)</f>
        <v/>
      </c>
      <c r="AIG17">
        <f>IF('calcA'!CE$106=1,GD17+ACS17,1)</f>
        <v/>
      </c>
      <c r="AIH17">
        <f>IF('calcA'!CF$106=1,GE17+ACT17,1)</f>
        <v/>
      </c>
      <c r="AII17">
        <f>IF('calcA'!CG$106=1,GF17+ACU17,1)</f>
        <v/>
      </c>
      <c r="AIJ17">
        <f>IF('calcA'!CH$106=1,GG17+ACV17,1)</f>
        <v/>
      </c>
      <c r="AIK17">
        <f>IF('calcA'!CI$106=1,GH17+ACW17,1)</f>
        <v/>
      </c>
      <c r="AIL17">
        <f>IF('calcA'!CJ$106=1,GI17+ACX17,1)</f>
        <v/>
      </c>
      <c r="AIM17">
        <f>IF('calcA'!CK$106=1,GJ17+ACY17,1)</f>
        <v/>
      </c>
      <c r="AIN17">
        <f>IF('calcA'!CL$106=1,GK17+ACZ17,1)</f>
        <v/>
      </c>
      <c r="AIO17">
        <f>IF('calcA'!CM$106=1,GL17+ADA17,1)</f>
        <v/>
      </c>
      <c r="AIP17">
        <f>IF('calcA'!CN$106=1,GM17+ADB17,1)</f>
        <v/>
      </c>
      <c r="AIQ17">
        <f>IF('calcA'!CO$106=1,GN17+ADC17,1)</f>
        <v/>
      </c>
      <c r="AIR17">
        <f>IF('calcA'!CP$106=1,GO17+ADD17,1)</f>
        <v/>
      </c>
      <c r="AIS17">
        <f>IF('calcA'!CQ$106=1,GP17+ADE17,1)</f>
        <v/>
      </c>
      <c r="AIT17">
        <f>IF('calcA'!CR$106=1,GQ17+ADF17,1)</f>
        <v/>
      </c>
      <c r="AIU17">
        <f>IF('calcA'!CS$106=1,GR17+ADG17,1)</f>
        <v/>
      </c>
      <c r="AIV17">
        <f>IF('calcA'!CT$106=1,GS17+ADH17,1)</f>
        <v/>
      </c>
      <c r="AIW17">
        <f>IF('calcA'!CU$106=1,GT17+ADI17,1)</f>
        <v/>
      </c>
      <c r="AIX17">
        <f>IF('calcA'!CV$106=1,GU17+ADJ17,1)</f>
        <v/>
      </c>
      <c r="AIY17">
        <f>IF('calcA'!CW$106=1,GV17+ADK17,1)</f>
        <v/>
      </c>
      <c r="AIZ17">
        <f>IF('calcA'!CX$106=1,GW17+ADL17,1)</f>
        <v/>
      </c>
      <c r="AJA17">
        <f>IF('calcA'!CY$106=1,GX17+ADM17,1)</f>
        <v/>
      </c>
      <c r="AJB17">
        <f>IF('calcA'!CZ$106=1,GY17+ADN17,1)</f>
        <v/>
      </c>
      <c r="AJC17">
        <f>IF('calcA'!DA$106=1,GZ17+ADO17,1)</f>
        <v/>
      </c>
      <c r="AJD17">
        <f>IF('calcA'!DB$106=1,HA17+ADP17,1)</f>
        <v/>
      </c>
      <c r="AJE17">
        <f>IF('calcA'!DC$106=1,HB17+ADQ17,1)</f>
        <v/>
      </c>
      <c r="AJF17">
        <f>IF('calcA'!DD$106=1,HC17+ADR17,1)</f>
        <v/>
      </c>
      <c r="AJG17">
        <f>IF('calcA'!DE$106=1,HD17+ADS17,1)</f>
        <v/>
      </c>
      <c r="AJH17">
        <f>IF('calcA'!DF$106=1,HE17+ADT17,1)</f>
        <v/>
      </c>
      <c r="AJI17">
        <f>IF('calcA'!DG$106=1,HF17+ADU17,1)</f>
        <v/>
      </c>
      <c r="AJJ17">
        <f>IF('calcA'!DH$106=1,HG17+ADV17,1)</f>
        <v/>
      </c>
      <c r="AJK17">
        <f>IF('calcA'!DI$106=1,HH17+ADW17,1)</f>
        <v/>
      </c>
      <c r="AJL17">
        <f>IF('calcA'!DJ$106=1,HI17+ADX17,1)</f>
        <v/>
      </c>
      <c r="AJM17">
        <f>IF('calcA'!DK$106=1,HJ17+ADY17,1)</f>
        <v/>
      </c>
      <c r="AJN17">
        <f>IF('calcA'!DL$106=1,HK17+ADZ17,1)</f>
        <v/>
      </c>
      <c r="AJO17">
        <f>IF('calcA'!DM$106=1,HL17+AEA17,1)</f>
        <v/>
      </c>
      <c r="AJP17">
        <f>IF('calcA'!DN$106=1,HM17+AEB17,1)</f>
        <v/>
      </c>
      <c r="AJQ17">
        <f>IF('calcA'!DO$106=1,HN17+AEC17,1)</f>
        <v/>
      </c>
      <c r="AJR17">
        <f>IF('calcA'!DP$106=1,HO17+AED17,1)</f>
        <v/>
      </c>
      <c r="AJS17">
        <f>IF('calcA'!DQ$106=1,HP17+AEE17,1)</f>
        <v/>
      </c>
      <c r="AJT17">
        <f>IF('calcA'!DR$106=1,HQ17+AEF17,1)</f>
        <v/>
      </c>
      <c r="AJU17">
        <f>IF('calcA'!DS$106=1,HR17+AEG17,1)</f>
        <v/>
      </c>
      <c r="AJV17">
        <f>IF('calcA'!DT$106=1,HS17+AEH17,1)</f>
        <v/>
      </c>
      <c r="AJW17">
        <f>IF('calcA'!DU$106=1,HT17+AEI17,1)</f>
        <v/>
      </c>
      <c r="AJX17">
        <f>IF('calcA'!DV$106=1,HU17+AEJ17,1)</f>
        <v/>
      </c>
      <c r="AJY17">
        <f>IF('calcA'!DW$106=1,HV17+AEK17,1)</f>
        <v/>
      </c>
      <c r="AJZ17">
        <f>IF('calcA'!DX$106=1,HW17+AEL17,1)</f>
        <v/>
      </c>
      <c r="AKA17">
        <f>IF('calcA'!DY$106=1,HX17+AEM17,1)</f>
        <v/>
      </c>
      <c r="AKB17">
        <f>IF('calcA'!DZ$106=1,HY17+AEN17,1)</f>
        <v/>
      </c>
      <c r="AKC17">
        <f>IF('calcA'!EA$106=1,HZ17+AEO17,1)</f>
        <v/>
      </c>
      <c r="AKD17">
        <f>IF('calcA'!EB$106=1,IA17+AEP17,1)</f>
        <v/>
      </c>
      <c r="AKE17">
        <f>IF('calcA'!EC$106=1,IB17+AEQ17,1)</f>
        <v/>
      </c>
      <c r="AKF17">
        <f>IF('calcA'!ED$106=1,IC17+AER17,1)</f>
        <v/>
      </c>
      <c r="AKG17">
        <f>IF('calcA'!EE$106=1,ID17+AES17,1)</f>
        <v/>
      </c>
      <c r="AKH17">
        <f>IF('calcA'!EF$106=1,IE17+AET17,1)</f>
        <v/>
      </c>
      <c r="AKI17">
        <f>IF('calcA'!EG$106=1,IF17+AEU17,1)</f>
        <v/>
      </c>
      <c r="AKJ17">
        <f>IF('calcA'!EH$106=1,IG17+AEV17,1)</f>
        <v/>
      </c>
      <c r="AKK17">
        <f>IF('calcA'!EI$106=1,IH17+AEW17,1)</f>
        <v/>
      </c>
      <c r="AKL17">
        <f>IF('calcA'!EJ$106=1,II17+AEX17,1)</f>
        <v/>
      </c>
      <c r="AKM17">
        <f>IF('calcA'!EK$106=1,IJ17+AEY17,1)</f>
        <v/>
      </c>
      <c r="AKN17">
        <f>IF('calcA'!EL$106=1,IK17+AEZ17,1)</f>
        <v/>
      </c>
      <c r="AKO17">
        <f>IF('calcA'!EM$106=1,IL17+AFA17,1)</f>
        <v/>
      </c>
      <c r="AKP17">
        <f>IF('calcA'!EN$106=1,IM17+AFB17,1)</f>
        <v/>
      </c>
      <c r="AKQ17">
        <f>IF('calcA'!EO$106=1,IN17+AFC17,1)</f>
        <v/>
      </c>
      <c r="AKR17">
        <f>IF('calcA'!EP$106=1,IO17+AFD17,1)</f>
        <v/>
      </c>
      <c r="AKS17" t="n">
        <v>1</v>
      </c>
    </row>
    <row r="18">
      <c r="A18" t="n">
        <v>16</v>
      </c>
      <c r="B18">
        <f>IF(MIN(BM18:CZ18)&gt;=1000000000,0,MATCH(MIN(BM18:CZ18),BM18:CZ18,0))</f>
        <v/>
      </c>
      <c r="C18">
        <f>IF(MIN(OF18:TS18)&gt;=1000000000,0,MATCH(MIN(OF18:TS18),OF18:TS18,0))</f>
        <v/>
      </c>
      <c r="D18">
        <f>IF(C18&gt;0,INDEX('calcA'!$D$5:$EQ$5,C18),0)</f>
        <v/>
      </c>
      <c r="E18">
        <f>IF(B18=0,0,INDEX('calcA'!$IQ$10:$IQ$54,B18))</f>
        <v/>
      </c>
      <c r="F18">
        <f>IF(B18=0,0,INDEX('calcA'!$IP$10:$IP$54,B18))</f>
        <v/>
      </c>
      <c r="G18">
        <f>IF(AND(C18&gt;0,E18&gt;0),IF(AND(INDEX('calcA'!$D$106:$EQ$106,C18)=1,INDEX($IQ18:$OD18,C18)=1),C18+1,0),0)</f>
        <v/>
      </c>
      <c r="H18">
        <f>IF(B18=0,0,INDEX('calcA'!$IW$10:$IW$54,B18))</f>
        <v/>
      </c>
      <c r="U18">
        <f>IF(B18=0,0,INDEX('calcA'!$IX$10:$IX$54,B18))</f>
        <v/>
      </c>
      <c r="V18">
        <f>IF(B18=0,0,INDEX('calcA'!$JF$10:$JF$54,B18))</f>
        <v/>
      </c>
      <c r="W18">
        <f>IF(B18=0,0,IF(IF(E18=2,SUMPRODUCT(INDEX('calcA'!$D$60:$EQ$99,B18,0),$DB18:$IO18,$IQ18:$OD18),SUMPRODUCT(INDEX('calcA'!$D$60:$EQ$99,B18,0),$DB18:$IO18))=0,1,0))</f>
        <v/>
      </c>
      <c r="X18">
        <f>MAX(X17,IF($B17=1,1,0))</f>
        <v/>
      </c>
      <c r="Y18">
        <f>MAX(Y17,IF($B17=2,1,0))</f>
        <v/>
      </c>
      <c r="Z18">
        <f>MAX(Z17,IF($B17=3,1,0))</f>
        <v/>
      </c>
      <c r="AA18">
        <f>MAX(AA17,IF($B17=4,1,0))</f>
        <v/>
      </c>
      <c r="AB18">
        <f>MAX(AB17,IF($B17=5,1,0))</f>
        <v/>
      </c>
      <c r="AC18">
        <f>MAX(AC17,IF($B17=6,1,0))</f>
        <v/>
      </c>
      <c r="AD18">
        <f>MAX(AD17,IF($B17=7,1,0))</f>
        <v/>
      </c>
      <c r="AE18">
        <f>MAX(AE17,IF($B17=8,1,0))</f>
        <v/>
      </c>
      <c r="AF18">
        <f>MAX(AF17,IF($B17=9,1,0))</f>
        <v/>
      </c>
      <c r="AG18">
        <f>MAX(AG17,IF($B17=10,1,0))</f>
        <v/>
      </c>
      <c r="AH18">
        <f>MAX(AH17,IF($B17=11,1,0))</f>
        <v/>
      </c>
      <c r="AI18">
        <f>MAX(AI17,IF($B17=12,1,0))</f>
        <v/>
      </c>
      <c r="AJ18">
        <f>MAX(AJ17,IF($B17=13,1,0))</f>
        <v/>
      </c>
      <c r="AK18">
        <f>MAX(AK17,IF($B17=14,1,0))</f>
        <v/>
      </c>
      <c r="AL18">
        <f>MAX(AL17,IF($B17=15,1,0))</f>
        <v/>
      </c>
      <c r="AM18">
        <f>MAX(AM17,IF($B17=16,1,0))</f>
        <v/>
      </c>
      <c r="AN18">
        <f>MAX(AN17,IF($B17=17,1,0))</f>
        <v/>
      </c>
      <c r="AO18">
        <f>MAX(AO17,IF($B17=18,1,0))</f>
        <v/>
      </c>
      <c r="AP18">
        <f>MAX(AP17,IF($B17=19,1,0))</f>
        <v/>
      </c>
      <c r="AQ18">
        <f>MAX(AQ17,IF($B17=20,1,0))</f>
        <v/>
      </c>
      <c r="AR18">
        <f>MAX(AR17,IF($B17=21,1,0))</f>
        <v/>
      </c>
      <c r="AS18">
        <f>MAX(AS17,IF($B17=22,1,0))</f>
        <v/>
      </c>
      <c r="AT18">
        <f>MAX(AT17,IF($B17=23,1,0))</f>
        <v/>
      </c>
      <c r="AU18">
        <f>MAX(AU17,IF($B17=24,1,0))</f>
        <v/>
      </c>
      <c r="AV18">
        <f>MAX(AV17,IF($B17=25,1,0))</f>
        <v/>
      </c>
      <c r="AW18">
        <f>MAX(AW17,IF($B17=26,1,0))</f>
        <v/>
      </c>
      <c r="AX18">
        <f>MAX(AX17,IF($B17=27,1,0))</f>
        <v/>
      </c>
      <c r="AY18">
        <f>MAX(AY17,IF($B17=28,1,0))</f>
        <v/>
      </c>
      <c r="AZ18">
        <f>MAX(AZ17,IF($B17=29,1,0))</f>
        <v/>
      </c>
      <c r="BA18">
        <f>MAX(BA17,IF($B17=30,1,0))</f>
        <v/>
      </c>
      <c r="BB18">
        <f>MAX(BB17,IF($B17=31,1,0))</f>
        <v/>
      </c>
      <c r="BC18">
        <f>MAX(BC17,IF($B17=32,1,0))</f>
        <v/>
      </c>
      <c r="BD18">
        <f>MAX(BD17,IF($B17=33,1,0))</f>
        <v/>
      </c>
      <c r="BE18">
        <f>MAX(BE17,IF($B17=34,1,0))</f>
        <v/>
      </c>
      <c r="BF18">
        <f>MAX(BF17,IF($B17=35,1,0))</f>
        <v/>
      </c>
      <c r="BG18">
        <f>MAX(BG17,IF($B17=36,1,0))</f>
        <v/>
      </c>
      <c r="BH18">
        <f>MAX(BH17,IF($B17=37,1,0))</f>
        <v/>
      </c>
      <c r="BI18">
        <f>MAX(BI17,IF($B17=38,1,0))</f>
        <v/>
      </c>
      <c r="BJ18">
        <f>MAX(BJ17,IF($B17=39,1,0))</f>
        <v/>
      </c>
      <c r="BK18">
        <f>MAX(BK17,IF($B17=40,1,0))</f>
        <v/>
      </c>
      <c r="BM18">
        <f>IF(OR(X18=1,calcA!$A$6=0),1000000000,IF('calcA'!$JF$10=1,0,100000000)+IF('calcA'!$IQ$10=2,SUMPRODUCT('calcA'!$D$60:$EQ$60,$DB18:$IO18,$IQ18:$OD18)*1000+SUMPRODUCT('calcA'!$D$60:$EQ$60,$DB18:$IO18+$ZQ18:$AFD18,$AFF18:$AKS18),SUMPRODUCT('calcA'!$D$60:$EQ$60,$DB18:$IO18*1001+$ZQ18:$AFD18))*100+1)</f>
        <v/>
      </c>
      <c r="BN18">
        <f>IF(OR(Y18=1,calcA!$A$6=0),1000000000,IF('calcA'!$JF$11=1,0,100000000)+IF('calcA'!$IQ$11=2,SUMPRODUCT('calcA'!$D$61:$EQ$61,$DB18:$IO18,$IQ18:$OD18)*1000+SUMPRODUCT('calcA'!$D$61:$EQ$61,$DB18:$IO18+$ZQ18:$AFD18,$AFF18:$AKS18),SUMPRODUCT('calcA'!$D$61:$EQ$61,$DB18:$IO18*1001+$ZQ18:$AFD18))*100+2)</f>
        <v/>
      </c>
      <c r="BO18">
        <f>IF(OR(Z18=1,calcA!$A$6=0),1000000000,IF('calcA'!$JF$12=1,0,100000000)+IF('calcA'!$IQ$12=2,SUMPRODUCT('calcA'!$D$62:$EQ$62,$DB18:$IO18,$IQ18:$OD18)*1000+SUMPRODUCT('calcA'!$D$62:$EQ$62,$DB18:$IO18+$ZQ18:$AFD18,$AFF18:$AKS18),SUMPRODUCT('calcA'!$D$62:$EQ$62,$DB18:$IO18*1001+$ZQ18:$AFD18))*100+3)</f>
        <v/>
      </c>
      <c r="BP18">
        <f>IF(OR(AA18=1,calcA!$A$6=0),1000000000,IF('calcA'!$JF$13=1,0,100000000)+IF('calcA'!$IQ$13=2,SUMPRODUCT('calcA'!$D$63:$EQ$63,$DB18:$IO18,$IQ18:$OD18)*1000+SUMPRODUCT('calcA'!$D$63:$EQ$63,$DB18:$IO18+$ZQ18:$AFD18,$AFF18:$AKS18),SUMPRODUCT('calcA'!$D$63:$EQ$63,$DB18:$IO18*1001+$ZQ18:$AFD18))*100+4)</f>
        <v/>
      </c>
      <c r="BQ18">
        <f>IF(OR(AB18=1,calcA!$A$6=0),1000000000,IF('calcA'!$JF$14=1,0,100000000)+IF('calcA'!$IQ$14=2,SUMPRODUCT('calcA'!$D$64:$EQ$64,$DB18:$IO18,$IQ18:$OD18)*1000+SUMPRODUCT('calcA'!$D$64:$EQ$64,$DB18:$IO18+$ZQ18:$AFD18,$AFF18:$AKS18),SUMPRODUCT('calcA'!$D$64:$EQ$64,$DB18:$IO18*1001+$ZQ18:$AFD18))*100+5)</f>
        <v/>
      </c>
      <c r="BR18">
        <f>IF(OR(AC18=1,calcA!$A$6=0),1000000000,IF('calcA'!$JF$15=1,0,100000000)+IF('calcA'!$IQ$15=2,SUMPRODUCT('calcA'!$D$65:$EQ$65,$DB18:$IO18,$IQ18:$OD18)*1000+SUMPRODUCT('calcA'!$D$65:$EQ$65,$DB18:$IO18+$ZQ18:$AFD18,$AFF18:$AKS18),SUMPRODUCT('calcA'!$D$65:$EQ$65,$DB18:$IO18*1001+$ZQ18:$AFD18))*100+6)</f>
        <v/>
      </c>
      <c r="BS18">
        <f>IF(OR(AD18=1,calcA!$A$6=0),1000000000,IF('calcA'!$JF$16=1,0,100000000)+IF('calcA'!$IQ$16=2,SUMPRODUCT('calcA'!$D$66:$EQ$66,$DB18:$IO18,$IQ18:$OD18)*1000+SUMPRODUCT('calcA'!$D$66:$EQ$66,$DB18:$IO18+$ZQ18:$AFD18,$AFF18:$AKS18),SUMPRODUCT('calcA'!$D$66:$EQ$66,$DB18:$IO18*1001+$ZQ18:$AFD18))*100+7)</f>
        <v/>
      </c>
      <c r="BT18">
        <f>IF(OR(AE18=1,calcA!$A$6=0),1000000000,IF('calcA'!$JF$17=1,0,100000000)+IF('calcA'!$IQ$17=2,SUMPRODUCT('calcA'!$D$67:$EQ$67,$DB18:$IO18,$IQ18:$OD18)*1000+SUMPRODUCT('calcA'!$D$67:$EQ$67,$DB18:$IO18+$ZQ18:$AFD18,$AFF18:$AKS18),SUMPRODUCT('calcA'!$D$67:$EQ$67,$DB18:$IO18*1001+$ZQ18:$AFD18))*100+8)</f>
        <v/>
      </c>
      <c r="BU18">
        <f>IF(OR(AF18=1,calcA!$A$6=0),1000000000,IF('calcA'!$JF$18=1,0,100000000)+IF('calcA'!$IQ$18=2,SUMPRODUCT('calcA'!$D$68:$EQ$68,$DB18:$IO18,$IQ18:$OD18)*1000+SUMPRODUCT('calcA'!$D$68:$EQ$68,$DB18:$IO18+$ZQ18:$AFD18,$AFF18:$AKS18),SUMPRODUCT('calcA'!$D$68:$EQ$68,$DB18:$IO18*1001+$ZQ18:$AFD18))*100+9)</f>
        <v/>
      </c>
      <c r="BV18">
        <f>IF(OR(AG18=1,calcA!$A$6=0),1000000000,IF('calcA'!$JF$19=1,0,100000000)+IF('calcA'!$IQ$19=2,SUMPRODUCT('calcA'!$D$69:$EQ$69,$DB18:$IO18,$IQ18:$OD18)*1000+SUMPRODUCT('calcA'!$D$69:$EQ$69,$DB18:$IO18+$ZQ18:$AFD18,$AFF18:$AKS18),SUMPRODUCT('calcA'!$D$69:$EQ$69,$DB18:$IO18*1001+$ZQ18:$AFD18))*100+10)</f>
        <v/>
      </c>
      <c r="BW18">
        <f>IF(OR(AH18=1,calcA!$A$6=0),1000000000,IF('calcA'!$JF$20=1,0,100000000)+IF('calcA'!$IQ$20=2,SUMPRODUCT('calcA'!$D$70:$EQ$70,$DB18:$IO18,$IQ18:$OD18)*1000+SUMPRODUCT('calcA'!$D$70:$EQ$70,$DB18:$IO18+$ZQ18:$AFD18,$AFF18:$AKS18),SUMPRODUCT('calcA'!$D$70:$EQ$70,$DB18:$IO18*1001+$ZQ18:$AFD18))*100+11)</f>
        <v/>
      </c>
      <c r="BX18">
        <f>IF(OR(AI18=1,calcA!$A$6=0),1000000000,IF('calcA'!$JF$21=1,0,100000000)+IF('calcA'!$IQ$21=2,SUMPRODUCT('calcA'!$D$71:$EQ$71,$DB18:$IO18,$IQ18:$OD18)*1000+SUMPRODUCT('calcA'!$D$71:$EQ$71,$DB18:$IO18+$ZQ18:$AFD18,$AFF18:$AKS18),SUMPRODUCT('calcA'!$D$71:$EQ$71,$DB18:$IO18*1001+$ZQ18:$AFD18))*100+12)</f>
        <v/>
      </c>
      <c r="BY18">
        <f>IF(OR(AJ18=1,calcA!$A$6=0),1000000000,IF('calcA'!$JF$22=1,0,100000000)+IF('calcA'!$IQ$22=2,SUMPRODUCT('calcA'!$D$72:$EQ$72,$DB18:$IO18,$IQ18:$OD18)*1000+SUMPRODUCT('calcA'!$D$72:$EQ$72,$DB18:$IO18+$ZQ18:$AFD18,$AFF18:$AKS18),SUMPRODUCT('calcA'!$D$72:$EQ$72,$DB18:$IO18*1001+$ZQ18:$AFD18))*100+13)</f>
        <v/>
      </c>
      <c r="BZ18">
        <f>IF(OR(AK18=1,calcA!$A$6=0),1000000000,IF('calcA'!$JF$23=1,0,100000000)+IF('calcA'!$IQ$23=2,SUMPRODUCT('calcA'!$D$73:$EQ$73,$DB18:$IO18,$IQ18:$OD18)*1000+SUMPRODUCT('calcA'!$D$73:$EQ$73,$DB18:$IO18+$ZQ18:$AFD18,$AFF18:$AKS18),SUMPRODUCT('calcA'!$D$73:$EQ$73,$DB18:$IO18*1001+$ZQ18:$AFD18))*100+14)</f>
        <v/>
      </c>
      <c r="CA18">
        <f>IF(OR(AL18=1,calcA!$A$6=0),1000000000,IF('calcA'!$JF$24=1,0,100000000)+IF('calcA'!$IQ$24=2,SUMPRODUCT('calcA'!$D$74:$EQ$74,$DB18:$IO18,$IQ18:$OD18)*1000+SUMPRODUCT('calcA'!$D$74:$EQ$74,$DB18:$IO18+$ZQ18:$AFD18,$AFF18:$AKS18),SUMPRODUCT('calcA'!$D$74:$EQ$74,$DB18:$IO18*1001+$ZQ18:$AFD18))*100+15)</f>
        <v/>
      </c>
      <c r="CB18">
        <f>IF(OR(AM18=1,calcA!$A$6=0),1000000000,IF('calcA'!$JF$25=1,0,100000000)+IF('calcA'!$IQ$25=2,SUMPRODUCT('calcA'!$D$75:$EQ$75,$DB18:$IO18,$IQ18:$OD18)*1000+SUMPRODUCT('calcA'!$D$75:$EQ$75,$DB18:$IO18+$ZQ18:$AFD18,$AFF18:$AKS18),SUMPRODUCT('calcA'!$D$75:$EQ$75,$DB18:$IO18*1001+$ZQ18:$AFD18))*100+16)</f>
        <v/>
      </c>
      <c r="CC18">
        <f>IF(OR(AN18=1,calcA!$A$6=0),1000000000,IF('calcA'!$JF$26=1,0,100000000)+IF('calcA'!$IQ$26=2,SUMPRODUCT('calcA'!$D$76:$EQ$76,$DB18:$IO18,$IQ18:$OD18)*1000+SUMPRODUCT('calcA'!$D$76:$EQ$76,$DB18:$IO18+$ZQ18:$AFD18,$AFF18:$AKS18),SUMPRODUCT('calcA'!$D$76:$EQ$76,$DB18:$IO18*1001+$ZQ18:$AFD18))*100+17)</f>
        <v/>
      </c>
      <c r="CD18">
        <f>IF(OR(AO18=1,calcA!$A$6=0),1000000000,IF('calcA'!$JF$27=1,0,100000000)+IF('calcA'!$IQ$27=2,SUMPRODUCT('calcA'!$D$77:$EQ$77,$DB18:$IO18,$IQ18:$OD18)*1000+SUMPRODUCT('calcA'!$D$77:$EQ$77,$DB18:$IO18+$ZQ18:$AFD18,$AFF18:$AKS18),SUMPRODUCT('calcA'!$D$77:$EQ$77,$DB18:$IO18*1001+$ZQ18:$AFD18))*100+18)</f>
        <v/>
      </c>
      <c r="CE18">
        <f>IF(OR(AP18=1,calcA!$A$6=0),1000000000,IF('calcA'!$JF$28=1,0,100000000)+IF('calcA'!$IQ$28=2,SUMPRODUCT('calcA'!$D$78:$EQ$78,$DB18:$IO18,$IQ18:$OD18)*1000+SUMPRODUCT('calcA'!$D$78:$EQ$78,$DB18:$IO18+$ZQ18:$AFD18,$AFF18:$AKS18),SUMPRODUCT('calcA'!$D$78:$EQ$78,$DB18:$IO18*1001+$ZQ18:$AFD18))*100+19)</f>
        <v/>
      </c>
      <c r="CF18">
        <f>IF(OR(AQ18=1,calcA!$A$6=0),1000000000,IF('calcA'!$JF$29=1,0,100000000)+IF('calcA'!$IQ$29=2,SUMPRODUCT('calcA'!$D$79:$EQ$79,$DB18:$IO18,$IQ18:$OD18)*1000+SUMPRODUCT('calcA'!$D$79:$EQ$79,$DB18:$IO18+$ZQ18:$AFD18,$AFF18:$AKS18),SUMPRODUCT('calcA'!$D$79:$EQ$79,$DB18:$IO18*1001+$ZQ18:$AFD18))*100+20)</f>
        <v/>
      </c>
      <c r="CG18">
        <f>IF(OR(AR18=1,calcA!$A$6=0),1000000000,IF('calcA'!$JF$30=1,0,100000000)+IF('calcA'!$IQ$30=2,SUMPRODUCT('calcA'!$D$80:$EQ$80,$DB18:$IO18,$IQ18:$OD18)*1000+SUMPRODUCT('calcA'!$D$80:$EQ$80,$DB18:$IO18+$ZQ18:$AFD18,$AFF18:$AKS18),SUMPRODUCT('calcA'!$D$80:$EQ$80,$DB18:$IO18*1001+$ZQ18:$AFD18))*100+21)</f>
        <v/>
      </c>
      <c r="CH18">
        <f>IF(OR(AS18=1,calcA!$A$6=0),1000000000,IF('calcA'!$JF$31=1,0,100000000)+IF('calcA'!$IQ$31=2,SUMPRODUCT('calcA'!$D$81:$EQ$81,$DB18:$IO18,$IQ18:$OD18)*1000+SUMPRODUCT('calcA'!$D$81:$EQ$81,$DB18:$IO18+$ZQ18:$AFD18,$AFF18:$AKS18),SUMPRODUCT('calcA'!$D$81:$EQ$81,$DB18:$IO18*1001+$ZQ18:$AFD18))*100+22)</f>
        <v/>
      </c>
      <c r="CI18">
        <f>IF(OR(AT18=1,calcA!$A$6=0),1000000000,IF('calcA'!$JF$32=1,0,100000000)+IF('calcA'!$IQ$32=2,SUMPRODUCT('calcA'!$D$82:$EQ$82,$DB18:$IO18,$IQ18:$OD18)*1000+SUMPRODUCT('calcA'!$D$82:$EQ$82,$DB18:$IO18+$ZQ18:$AFD18,$AFF18:$AKS18),SUMPRODUCT('calcA'!$D$82:$EQ$82,$DB18:$IO18*1001+$ZQ18:$AFD18))*100+23)</f>
        <v/>
      </c>
      <c r="CJ18">
        <f>IF(OR(AU18=1,calcA!$A$6=0),1000000000,IF('calcA'!$JF$33=1,0,100000000)+IF('calcA'!$IQ$33=2,SUMPRODUCT('calcA'!$D$83:$EQ$83,$DB18:$IO18,$IQ18:$OD18)*1000+SUMPRODUCT('calcA'!$D$83:$EQ$83,$DB18:$IO18+$ZQ18:$AFD18,$AFF18:$AKS18),SUMPRODUCT('calcA'!$D$83:$EQ$83,$DB18:$IO18*1001+$ZQ18:$AFD18))*100+24)</f>
        <v/>
      </c>
      <c r="CK18">
        <f>IF(OR(AV18=1,calcA!$A$6=0),1000000000,IF('calcA'!$JF$34=1,0,100000000)+IF('calcA'!$IQ$34=2,SUMPRODUCT('calcA'!$D$84:$EQ$84,$DB18:$IO18,$IQ18:$OD18)*1000+SUMPRODUCT('calcA'!$D$84:$EQ$84,$DB18:$IO18+$ZQ18:$AFD18,$AFF18:$AKS18),SUMPRODUCT('calcA'!$D$84:$EQ$84,$DB18:$IO18*1001+$ZQ18:$AFD18))*100+25)</f>
        <v/>
      </c>
      <c r="CL18">
        <f>IF(OR(AW18=1,calcA!$A$6=0),1000000000,IF('calcA'!$JF$35=1,0,100000000)+IF('calcA'!$IQ$35=2,SUMPRODUCT('calcA'!$D$85:$EQ$85,$DB18:$IO18,$IQ18:$OD18)*1000+SUMPRODUCT('calcA'!$D$85:$EQ$85,$DB18:$IO18+$ZQ18:$AFD18,$AFF18:$AKS18),SUMPRODUCT('calcA'!$D$85:$EQ$85,$DB18:$IO18*1001+$ZQ18:$AFD18))*100+26)</f>
        <v/>
      </c>
      <c r="CM18">
        <f>IF(OR(AX18=1,calcA!$A$6=0),1000000000,IF('calcA'!$JF$36=1,0,100000000)+IF('calcA'!$IQ$36=2,SUMPRODUCT('calcA'!$D$86:$EQ$86,$DB18:$IO18,$IQ18:$OD18)*1000+SUMPRODUCT('calcA'!$D$86:$EQ$86,$DB18:$IO18+$ZQ18:$AFD18,$AFF18:$AKS18),SUMPRODUCT('calcA'!$D$86:$EQ$86,$DB18:$IO18*1001+$ZQ18:$AFD18))*100+27)</f>
        <v/>
      </c>
      <c r="CN18">
        <f>IF(OR(AY18=1,calcA!$A$6=0),1000000000,IF('calcA'!$JF$37=1,0,100000000)+IF('calcA'!$IQ$37=2,SUMPRODUCT('calcA'!$D$87:$EQ$87,$DB18:$IO18,$IQ18:$OD18)*1000+SUMPRODUCT('calcA'!$D$87:$EQ$87,$DB18:$IO18+$ZQ18:$AFD18,$AFF18:$AKS18),SUMPRODUCT('calcA'!$D$87:$EQ$87,$DB18:$IO18*1001+$ZQ18:$AFD18))*100+28)</f>
        <v/>
      </c>
      <c r="CO18">
        <f>IF(OR(AZ18=1,calcA!$A$6=0),1000000000,IF('calcA'!$JF$38=1,0,100000000)+IF('calcA'!$IQ$38=2,SUMPRODUCT('calcA'!$D$88:$EQ$88,$DB18:$IO18,$IQ18:$OD18)*1000+SUMPRODUCT('calcA'!$D$88:$EQ$88,$DB18:$IO18+$ZQ18:$AFD18,$AFF18:$AKS18),SUMPRODUCT('calcA'!$D$88:$EQ$88,$DB18:$IO18*1001+$ZQ18:$AFD18))*100+29)</f>
        <v/>
      </c>
      <c r="CP18">
        <f>IF(OR(BA18=1,calcA!$A$6=0),1000000000,IF('calcA'!$JF$39=1,0,100000000)+IF('calcA'!$IQ$39=2,SUMPRODUCT('calcA'!$D$89:$EQ$89,$DB18:$IO18,$IQ18:$OD18)*1000+SUMPRODUCT('calcA'!$D$89:$EQ$89,$DB18:$IO18+$ZQ18:$AFD18,$AFF18:$AKS18),SUMPRODUCT('calcA'!$D$89:$EQ$89,$DB18:$IO18*1001+$ZQ18:$AFD18))*100+30)</f>
        <v/>
      </c>
      <c r="CQ18">
        <f>IF(OR(BB18=1,calcA!$A$6=0),1000000000,IF('calcA'!$JF$40=1,0,100000000)+IF('calcA'!$IQ$40=2,SUMPRODUCT('calcA'!$D$90:$EQ$90,$DB18:$IO18,$IQ18:$OD18)*1000+SUMPRODUCT('calcA'!$D$90:$EQ$90,$DB18:$IO18+$ZQ18:$AFD18,$AFF18:$AKS18),SUMPRODUCT('calcA'!$D$90:$EQ$90,$DB18:$IO18*1001+$ZQ18:$AFD18))*100+31)</f>
        <v/>
      </c>
      <c r="CR18">
        <f>IF(OR(BC18=1,calcA!$A$6=0),1000000000,IF('calcA'!$JF$41=1,0,100000000)+IF('calcA'!$IQ$41=2,SUMPRODUCT('calcA'!$D$91:$EQ$91,$DB18:$IO18,$IQ18:$OD18)*1000+SUMPRODUCT('calcA'!$D$91:$EQ$91,$DB18:$IO18+$ZQ18:$AFD18,$AFF18:$AKS18),SUMPRODUCT('calcA'!$D$91:$EQ$91,$DB18:$IO18*1001+$ZQ18:$AFD18))*100+32)</f>
        <v/>
      </c>
      <c r="CS18">
        <f>IF(OR(BD18=1,calcA!$A$6=0),1000000000,IF('calcA'!$JF$42=1,0,100000000)+IF('calcA'!$IQ$42=2,SUMPRODUCT('calcA'!$D$92:$EQ$92,$DB18:$IO18,$IQ18:$OD18)*1000+SUMPRODUCT('calcA'!$D$92:$EQ$92,$DB18:$IO18+$ZQ18:$AFD18,$AFF18:$AKS18),SUMPRODUCT('calcA'!$D$92:$EQ$92,$DB18:$IO18*1001+$ZQ18:$AFD18))*100+33)</f>
        <v/>
      </c>
      <c r="CT18">
        <f>IF(OR(BE18=1,calcA!$A$6=0),1000000000,IF('calcA'!$JF$43=1,0,100000000)+IF('calcA'!$IQ$43=2,SUMPRODUCT('calcA'!$D$93:$EQ$93,$DB18:$IO18,$IQ18:$OD18)*1000+SUMPRODUCT('calcA'!$D$93:$EQ$93,$DB18:$IO18+$ZQ18:$AFD18,$AFF18:$AKS18),SUMPRODUCT('calcA'!$D$93:$EQ$93,$DB18:$IO18*1001+$ZQ18:$AFD18))*100+34)</f>
        <v/>
      </c>
      <c r="CU18">
        <f>IF(OR(BF18=1,calcA!$A$6=0),1000000000,IF('calcA'!$JF$44=1,0,100000000)+IF('calcA'!$IQ$44=2,SUMPRODUCT('calcA'!$D$94:$EQ$94,$DB18:$IO18,$IQ18:$OD18)*1000+SUMPRODUCT('calcA'!$D$94:$EQ$94,$DB18:$IO18+$ZQ18:$AFD18,$AFF18:$AKS18),SUMPRODUCT('calcA'!$D$94:$EQ$94,$DB18:$IO18*1001+$ZQ18:$AFD18))*100+35)</f>
        <v/>
      </c>
      <c r="CV18">
        <f>IF(OR(BG18=1,calcA!$A$6=0),1000000000,IF('calcA'!$JF$45=1,0,100000000)+IF('calcA'!$IQ$45=2,SUMPRODUCT('calcA'!$D$95:$EQ$95,$DB18:$IO18,$IQ18:$OD18)*1000+SUMPRODUCT('calcA'!$D$95:$EQ$95,$DB18:$IO18+$ZQ18:$AFD18,$AFF18:$AKS18),SUMPRODUCT('calcA'!$D$95:$EQ$95,$DB18:$IO18*1001+$ZQ18:$AFD18))*100+36)</f>
        <v/>
      </c>
      <c r="CW18">
        <f>IF(OR(BH18=1,calcA!$A$6=0),1000000000,IF('calcA'!$JF$46=1,0,100000000)+IF('calcA'!$IQ$46=2,SUMPRODUCT('calcA'!$D$96:$EQ$96,$DB18:$IO18,$IQ18:$OD18)*1000+SUMPRODUCT('calcA'!$D$96:$EQ$96,$DB18:$IO18+$ZQ18:$AFD18,$AFF18:$AKS18),SUMPRODUCT('calcA'!$D$96:$EQ$96,$DB18:$IO18*1001+$ZQ18:$AFD18))*100+37)</f>
        <v/>
      </c>
      <c r="CX18">
        <f>IF(OR(BI18=1,calcA!$A$6=0),1000000000,IF('calcA'!$JF$47=1,0,100000000)+IF('calcA'!$IQ$47=2,SUMPRODUCT('calcA'!$D$97:$EQ$97,$DB18:$IO18,$IQ18:$OD18)*1000+SUMPRODUCT('calcA'!$D$97:$EQ$97,$DB18:$IO18+$ZQ18:$AFD18,$AFF18:$AKS18),SUMPRODUCT('calcA'!$D$97:$EQ$97,$DB18:$IO18*1001+$ZQ18:$AFD18))*100+38)</f>
        <v/>
      </c>
      <c r="CY18">
        <f>IF(OR(BJ18=1,calcA!$A$6=0),1000000000,IF('calcA'!$JF$48=1,0,100000000)+IF('calcA'!$IQ$48=2,SUMPRODUCT('calcA'!$D$98:$EQ$98,$DB18:$IO18,$IQ18:$OD18)*1000+SUMPRODUCT('calcA'!$D$98:$EQ$98,$DB18:$IO18+$ZQ18:$AFD18,$AFF18:$AKS18),SUMPRODUCT('calcA'!$D$98:$EQ$98,$DB18:$IO18*1001+$ZQ18:$AFD18))*100+39)</f>
        <v/>
      </c>
      <c r="CZ18">
        <f>IF(OR(BK18=1,calcA!$A$6=0),1000000000,IF('calcA'!$JF$49=1,0,100000000)+IF('calcA'!$IQ$49=2,SUMPRODUCT('calcA'!$D$99:$EQ$99,$DB18:$IO18,$IQ18:$OD18)*1000+SUMPRODUCT('calcA'!$D$99:$EQ$99,$DB18:$IO18+$ZQ18:$AFD18,$AFF18:$AKS18),SUMPRODUCT('calcA'!$D$99:$EQ$99,$DB18:$IO18*1001+$ZQ18:$AFD18))*100+40)</f>
        <v/>
      </c>
      <c r="DB18">
        <f>DB17*IF(OR($C17=1,$G17=1),0,1)</f>
        <v/>
      </c>
      <c r="DC18">
        <f>DC17*IF(OR($C17=2,$G17=2),0,1)</f>
        <v/>
      </c>
      <c r="DD18">
        <f>DD17*IF(OR($C17=3,$G17=3),0,1)</f>
        <v/>
      </c>
      <c r="DE18">
        <f>DE17*IF(OR($C17=4,$G17=4),0,1)</f>
        <v/>
      </c>
      <c r="DF18">
        <f>DF17*IF(OR($C17=5,$G17=5),0,1)</f>
        <v/>
      </c>
      <c r="DG18">
        <f>DG17*IF(OR($C17=6,$G17=6),0,1)</f>
        <v/>
      </c>
      <c r="DH18">
        <f>DH17*IF(OR($C17=7,$G17=7),0,1)</f>
        <v/>
      </c>
      <c r="DI18">
        <f>DI17*IF(OR($C17=8,$G17=8),0,1)</f>
        <v/>
      </c>
      <c r="DJ18">
        <f>DJ17*IF(OR($C17=9,$G17=9),0,1)</f>
        <v/>
      </c>
      <c r="DK18">
        <f>DK17*IF(OR($C17=10,$G17=10),0,1)</f>
        <v/>
      </c>
      <c r="DL18">
        <f>DL17*IF(OR($C17=11,$G17=11),0,1)</f>
        <v/>
      </c>
      <c r="DM18">
        <f>DM17*IF(OR($C17=12,$G17=12),0,1)</f>
        <v/>
      </c>
      <c r="DN18">
        <f>DN17*IF(OR($C17=13,$G17=13),0,1)</f>
        <v/>
      </c>
      <c r="DO18">
        <f>DO17*IF(OR($C17=14,$G17=14),0,1)</f>
        <v/>
      </c>
      <c r="DP18">
        <f>DP17*IF(OR($C17=15,$G17=15),0,1)</f>
        <v/>
      </c>
      <c r="DQ18">
        <f>DQ17*IF(OR($C17=16,$G17=16),0,1)</f>
        <v/>
      </c>
      <c r="DR18">
        <f>DR17*IF(OR($C17=17,$G17=17),0,1)</f>
        <v/>
      </c>
      <c r="DS18">
        <f>DS17*IF(OR($C17=18,$G17=18),0,1)</f>
        <v/>
      </c>
      <c r="DT18">
        <f>DT17*IF(OR($C17=19,$G17=19),0,1)</f>
        <v/>
      </c>
      <c r="DU18">
        <f>DU17*IF(OR($C17=20,$G17=20),0,1)</f>
        <v/>
      </c>
      <c r="DV18">
        <f>DV17*IF(OR($C17=21,$G17=21),0,1)</f>
        <v/>
      </c>
      <c r="DW18">
        <f>DW17*IF(OR($C17=22,$G17=22),0,1)</f>
        <v/>
      </c>
      <c r="DX18">
        <f>DX17*IF(OR($C17=23,$G17=23),0,1)</f>
        <v/>
      </c>
      <c r="DY18">
        <f>DY17*IF(OR($C17=24,$G17=24),0,1)</f>
        <v/>
      </c>
      <c r="DZ18">
        <f>DZ17*IF(OR($C17=25,$G17=25),0,1)</f>
        <v/>
      </c>
      <c r="EA18">
        <f>EA17*IF(OR($C17=26,$G17=26),0,1)</f>
        <v/>
      </c>
      <c r="EB18">
        <f>EB17*IF(OR($C17=27,$G17=27),0,1)</f>
        <v/>
      </c>
      <c r="EC18">
        <f>EC17*IF(OR($C17=28,$G17=28),0,1)</f>
        <v/>
      </c>
      <c r="ED18">
        <f>ED17*IF(OR($C17=29,$G17=29),0,1)</f>
        <v/>
      </c>
      <c r="EE18">
        <f>EE17*IF(OR($C17=30,$G17=30),0,1)</f>
        <v/>
      </c>
      <c r="EF18">
        <f>EF17*IF(OR($C17=31,$G17=31),0,1)</f>
        <v/>
      </c>
      <c r="EG18">
        <f>EG17*IF(OR($C17=32,$G17=32),0,1)</f>
        <v/>
      </c>
      <c r="EH18">
        <f>EH17*IF(OR($C17=33,$G17=33),0,1)</f>
        <v/>
      </c>
      <c r="EI18">
        <f>EI17*IF(OR($C17=34,$G17=34),0,1)</f>
        <v/>
      </c>
      <c r="EJ18">
        <f>EJ17*IF(OR($C17=35,$G17=35),0,1)</f>
        <v/>
      </c>
      <c r="EK18">
        <f>EK17*IF(OR($C17=36,$G17=36),0,1)</f>
        <v/>
      </c>
      <c r="EL18">
        <f>EL17*IF(OR($C17=37,$G17=37),0,1)</f>
        <v/>
      </c>
      <c r="EM18">
        <f>EM17*IF(OR($C17=38,$G17=38),0,1)</f>
        <v/>
      </c>
      <c r="EN18">
        <f>EN17*IF(OR($C17=39,$G17=39),0,1)</f>
        <v/>
      </c>
      <c r="EO18">
        <f>EO17*IF(OR($C17=40,$G17=40),0,1)</f>
        <v/>
      </c>
      <c r="EP18">
        <f>EP17*IF(OR($C17=41,$G17=41),0,1)</f>
        <v/>
      </c>
      <c r="EQ18">
        <f>EQ17*IF(OR($C17=42,$G17=42),0,1)</f>
        <v/>
      </c>
      <c r="ER18">
        <f>ER17*IF(OR($C17=43,$G17=43),0,1)</f>
        <v/>
      </c>
      <c r="ES18">
        <f>ES17*IF(OR($C17=44,$G17=44),0,1)</f>
        <v/>
      </c>
      <c r="ET18">
        <f>ET17*IF(OR($C17=45,$G17=45),0,1)</f>
        <v/>
      </c>
      <c r="EU18">
        <f>EU17*IF(OR($C17=46,$G17=46),0,1)</f>
        <v/>
      </c>
      <c r="EV18">
        <f>EV17*IF(OR($C17=47,$G17=47),0,1)</f>
        <v/>
      </c>
      <c r="EW18">
        <f>EW17*IF(OR($C17=48,$G17=48),0,1)</f>
        <v/>
      </c>
      <c r="EX18">
        <f>EX17*IF(OR($C17=49,$G17=49),0,1)</f>
        <v/>
      </c>
      <c r="EY18">
        <f>EY17*IF(OR($C17=50,$G17=50),0,1)</f>
        <v/>
      </c>
      <c r="EZ18">
        <f>EZ17*IF(OR($C17=51,$G17=51),0,1)</f>
        <v/>
      </c>
      <c r="FA18">
        <f>FA17*IF(OR($C17=52,$G17=52),0,1)</f>
        <v/>
      </c>
      <c r="FB18">
        <f>FB17*IF(OR($C17=53,$G17=53),0,1)</f>
        <v/>
      </c>
      <c r="FC18">
        <f>FC17*IF(OR($C17=54,$G17=54),0,1)</f>
        <v/>
      </c>
      <c r="FD18">
        <f>FD17*IF(OR($C17=55,$G17=55),0,1)</f>
        <v/>
      </c>
      <c r="FE18">
        <f>FE17*IF(OR($C17=56,$G17=56),0,1)</f>
        <v/>
      </c>
      <c r="FF18">
        <f>FF17*IF(OR($C17=57,$G17=57),0,1)</f>
        <v/>
      </c>
      <c r="FG18">
        <f>FG17*IF(OR($C17=58,$G17=58),0,1)</f>
        <v/>
      </c>
      <c r="FH18">
        <f>FH17*IF(OR($C17=59,$G17=59),0,1)</f>
        <v/>
      </c>
      <c r="FI18">
        <f>FI17*IF(OR($C17=60,$G17=60),0,1)</f>
        <v/>
      </c>
      <c r="FJ18">
        <f>FJ17*IF(OR($C17=61,$G17=61),0,1)</f>
        <v/>
      </c>
      <c r="FK18">
        <f>FK17*IF(OR($C17=62,$G17=62),0,1)</f>
        <v/>
      </c>
      <c r="FL18">
        <f>FL17*IF(OR($C17=63,$G17=63),0,1)</f>
        <v/>
      </c>
      <c r="FM18">
        <f>FM17*IF(OR($C17=64,$G17=64),0,1)</f>
        <v/>
      </c>
      <c r="FN18">
        <f>FN17*IF(OR($C17=65,$G17=65),0,1)</f>
        <v/>
      </c>
      <c r="FO18">
        <f>FO17*IF(OR($C17=66,$G17=66),0,1)</f>
        <v/>
      </c>
      <c r="FP18">
        <f>FP17*IF(OR($C17=67,$G17=67),0,1)</f>
        <v/>
      </c>
      <c r="FQ18">
        <f>FQ17*IF(OR($C17=68,$G17=68),0,1)</f>
        <v/>
      </c>
      <c r="FR18">
        <f>FR17*IF(OR($C17=69,$G17=69),0,1)</f>
        <v/>
      </c>
      <c r="FS18">
        <f>FS17*IF(OR($C17=70,$G17=70),0,1)</f>
        <v/>
      </c>
      <c r="FT18">
        <f>FT17*IF(OR($C17=71,$G17=71),0,1)</f>
        <v/>
      </c>
      <c r="FU18">
        <f>FU17*IF(OR($C17=72,$G17=72),0,1)</f>
        <v/>
      </c>
      <c r="FV18">
        <f>FV17*IF(OR($C17=73,$G17=73),0,1)</f>
        <v/>
      </c>
      <c r="FW18">
        <f>FW17*IF(OR($C17=74,$G17=74),0,1)</f>
        <v/>
      </c>
      <c r="FX18">
        <f>FX17*IF(OR($C17=75,$G17=75),0,1)</f>
        <v/>
      </c>
      <c r="FY18">
        <f>FY17*IF(OR($C17=76,$G17=76),0,1)</f>
        <v/>
      </c>
      <c r="FZ18">
        <f>FZ17*IF(OR($C17=77,$G17=77),0,1)</f>
        <v/>
      </c>
      <c r="GA18">
        <f>GA17*IF(OR($C17=78,$G17=78),0,1)</f>
        <v/>
      </c>
      <c r="GB18">
        <f>GB17*IF(OR($C17=79,$G17=79),0,1)</f>
        <v/>
      </c>
      <c r="GC18">
        <f>GC17*IF(OR($C17=80,$G17=80),0,1)</f>
        <v/>
      </c>
      <c r="GD18">
        <f>GD17*IF(OR($C17=81,$G17=81),0,1)</f>
        <v/>
      </c>
      <c r="GE18">
        <f>GE17*IF(OR($C17=82,$G17=82),0,1)</f>
        <v/>
      </c>
      <c r="GF18">
        <f>GF17*IF(OR($C17=83,$G17=83),0,1)</f>
        <v/>
      </c>
      <c r="GG18">
        <f>GG17*IF(OR($C17=84,$G17=84),0,1)</f>
        <v/>
      </c>
      <c r="GH18">
        <f>GH17*IF(OR($C17=85,$G17=85),0,1)</f>
        <v/>
      </c>
      <c r="GI18">
        <f>GI17*IF(OR($C17=86,$G17=86),0,1)</f>
        <v/>
      </c>
      <c r="GJ18">
        <f>GJ17*IF(OR($C17=87,$G17=87),0,1)</f>
        <v/>
      </c>
      <c r="GK18">
        <f>GK17*IF(OR($C17=88,$G17=88),0,1)</f>
        <v/>
      </c>
      <c r="GL18">
        <f>GL17*IF(OR($C17=89,$G17=89),0,1)</f>
        <v/>
      </c>
      <c r="GM18">
        <f>GM17*IF(OR($C17=90,$G17=90),0,1)</f>
        <v/>
      </c>
      <c r="GN18">
        <f>GN17*IF(OR($C17=91,$G17=91),0,1)</f>
        <v/>
      </c>
      <c r="GO18">
        <f>GO17*IF(OR($C17=92,$G17=92),0,1)</f>
        <v/>
      </c>
      <c r="GP18">
        <f>GP17*IF(OR($C17=93,$G17=93),0,1)</f>
        <v/>
      </c>
      <c r="GQ18">
        <f>GQ17*IF(OR($C17=94,$G17=94),0,1)</f>
        <v/>
      </c>
      <c r="GR18">
        <f>GR17*IF(OR($C17=95,$G17=95),0,1)</f>
        <v/>
      </c>
      <c r="GS18">
        <f>GS17*IF(OR($C17=96,$G17=96),0,1)</f>
        <v/>
      </c>
      <c r="GT18">
        <f>GT17*IF(OR($C17=97,$G17=97),0,1)</f>
        <v/>
      </c>
      <c r="GU18">
        <f>GU17*IF(OR($C17=98,$G17=98),0,1)</f>
        <v/>
      </c>
      <c r="GV18">
        <f>GV17*IF(OR($C17=99,$G17=99),0,1)</f>
        <v/>
      </c>
      <c r="GW18">
        <f>GW17*IF(OR($C17=100,$G17=100),0,1)</f>
        <v/>
      </c>
      <c r="GX18">
        <f>GX17*IF(OR($C17=101,$G17=101),0,1)</f>
        <v/>
      </c>
      <c r="GY18">
        <f>GY17*IF(OR($C17=102,$G17=102),0,1)</f>
        <v/>
      </c>
      <c r="GZ18">
        <f>GZ17*IF(OR($C17=103,$G17=103),0,1)</f>
        <v/>
      </c>
      <c r="HA18">
        <f>HA17*IF(OR($C17=104,$G17=104),0,1)</f>
        <v/>
      </c>
      <c r="HB18">
        <f>HB17*IF(OR($C17=105,$G17=105),0,1)</f>
        <v/>
      </c>
      <c r="HC18">
        <f>HC17*IF(OR($C17=106,$G17=106),0,1)</f>
        <v/>
      </c>
      <c r="HD18">
        <f>HD17*IF(OR($C17=107,$G17=107),0,1)</f>
        <v/>
      </c>
      <c r="HE18">
        <f>HE17*IF(OR($C17=108,$G17=108),0,1)</f>
        <v/>
      </c>
      <c r="HF18">
        <f>HF17*IF(OR($C17=109,$G17=109),0,1)</f>
        <v/>
      </c>
      <c r="HG18">
        <f>HG17*IF(OR($C17=110,$G17=110),0,1)</f>
        <v/>
      </c>
      <c r="HH18">
        <f>HH17*IF(OR($C17=111,$G17=111),0,1)</f>
        <v/>
      </c>
      <c r="HI18">
        <f>HI17*IF(OR($C17=112,$G17=112),0,1)</f>
        <v/>
      </c>
      <c r="HJ18">
        <f>HJ17*IF(OR($C17=113,$G17=113),0,1)</f>
        <v/>
      </c>
      <c r="HK18">
        <f>HK17*IF(OR($C17=114,$G17=114),0,1)</f>
        <v/>
      </c>
      <c r="HL18">
        <f>HL17*IF(OR($C17=115,$G17=115),0,1)</f>
        <v/>
      </c>
      <c r="HM18">
        <f>HM17*IF(OR($C17=116,$G17=116),0,1)</f>
        <v/>
      </c>
      <c r="HN18">
        <f>HN17*IF(OR($C17=117,$G17=117),0,1)</f>
        <v/>
      </c>
      <c r="HO18">
        <f>HO17*IF(OR($C17=118,$G17=118),0,1)</f>
        <v/>
      </c>
      <c r="HP18">
        <f>HP17*IF(OR($C17=119,$G17=119),0,1)</f>
        <v/>
      </c>
      <c r="HQ18">
        <f>HQ17*IF(OR($C17=120,$G17=120),0,1)</f>
        <v/>
      </c>
      <c r="HR18">
        <f>HR17*IF(OR($C17=121,$G17=121),0,1)</f>
        <v/>
      </c>
      <c r="HS18">
        <f>HS17*IF(OR($C17=122,$G17=122),0,1)</f>
        <v/>
      </c>
      <c r="HT18">
        <f>HT17*IF(OR($C17=123,$G17=123),0,1)</f>
        <v/>
      </c>
      <c r="HU18">
        <f>HU17*IF(OR($C17=124,$G17=124),0,1)</f>
        <v/>
      </c>
      <c r="HV18">
        <f>HV17*IF(OR($C17=125,$G17=125),0,1)</f>
        <v/>
      </c>
      <c r="HW18">
        <f>HW17*IF(OR($C17=126,$G17=126),0,1)</f>
        <v/>
      </c>
      <c r="HX18">
        <f>HX17*IF(OR($C17=127,$G17=127),0,1)</f>
        <v/>
      </c>
      <c r="HY18">
        <f>HY17*IF(OR($C17=128,$G17=128),0,1)</f>
        <v/>
      </c>
      <c r="HZ18">
        <f>HZ17*IF(OR($C17=129,$G17=129),0,1)</f>
        <v/>
      </c>
      <c r="IA18">
        <f>IA17*IF(OR($C17=130,$G17=130),0,1)</f>
        <v/>
      </c>
      <c r="IB18">
        <f>IB17*IF(OR($C17=131,$G17=131),0,1)</f>
        <v/>
      </c>
      <c r="IC18">
        <f>IC17*IF(OR($C17=132,$G17=132),0,1)</f>
        <v/>
      </c>
      <c r="ID18">
        <f>ID17*IF(OR($C17=133,$G17=133),0,1)</f>
        <v/>
      </c>
      <c r="IE18">
        <f>IE17*IF(OR($C17=134,$G17=134),0,1)</f>
        <v/>
      </c>
      <c r="IF18">
        <f>IF17*IF(OR($C17=135,$G17=135),0,1)</f>
        <v/>
      </c>
      <c r="IG18">
        <f>IG17*IF(OR($C17=136,$G17=136),0,1)</f>
        <v/>
      </c>
      <c r="IH18">
        <f>IH17*IF(OR($C17=137,$G17=137),0,1)</f>
        <v/>
      </c>
      <c r="II18">
        <f>II17*IF(OR($C17=138,$G17=138),0,1)</f>
        <v/>
      </c>
      <c r="IJ18">
        <f>IJ17*IF(OR($C17=139,$G17=139),0,1)</f>
        <v/>
      </c>
      <c r="IK18">
        <f>IK17*IF(OR($C17=140,$G17=140),0,1)</f>
        <v/>
      </c>
      <c r="IL18">
        <f>IL17*IF(OR($C17=141,$G17=141),0,1)</f>
        <v/>
      </c>
      <c r="IM18">
        <f>IM17*IF(OR($C17=142,$G17=142),0,1)</f>
        <v/>
      </c>
      <c r="IN18">
        <f>IN17*IF(OR($C17=143,$G17=143),0,1)</f>
        <v/>
      </c>
      <c r="IO18">
        <f>IO17*IF(OR($C17=144,$G17=144),0,1)</f>
        <v/>
      </c>
      <c r="IQ18">
        <f>IF('calcA'!D$106=1,DC18,1)</f>
        <v/>
      </c>
      <c r="IR18">
        <f>IF('calcA'!E$106=1,DD18,1)</f>
        <v/>
      </c>
      <c r="IS18">
        <f>IF('calcA'!F$106=1,DE18,1)</f>
        <v/>
      </c>
      <c r="IT18">
        <f>IF('calcA'!G$106=1,DF18,1)</f>
        <v/>
      </c>
      <c r="IU18">
        <f>IF('calcA'!H$106=1,DG18,1)</f>
        <v/>
      </c>
      <c r="IV18">
        <f>IF('calcA'!I$106=1,DH18,1)</f>
        <v/>
      </c>
      <c r="IW18">
        <f>IF('calcA'!J$106=1,DI18,1)</f>
        <v/>
      </c>
      <c r="IX18">
        <f>IF('calcA'!K$106=1,DJ18,1)</f>
        <v/>
      </c>
      <c r="IY18">
        <f>IF('calcA'!L$106=1,DK18,1)</f>
        <v/>
      </c>
      <c r="IZ18">
        <f>IF('calcA'!M$106=1,DL18,1)</f>
        <v/>
      </c>
      <c r="JA18">
        <f>IF('calcA'!N$106=1,DM18,1)</f>
        <v/>
      </c>
      <c r="JB18">
        <f>IF('calcA'!O$106=1,DN18,1)</f>
        <v/>
      </c>
      <c r="JC18">
        <f>IF('calcA'!P$106=1,DO18,1)</f>
        <v/>
      </c>
      <c r="JD18">
        <f>IF('calcA'!Q$106=1,DP18,1)</f>
        <v/>
      </c>
      <c r="JE18">
        <f>IF('calcA'!R$106=1,DQ18,1)</f>
        <v/>
      </c>
      <c r="JF18">
        <f>IF('calcA'!S$106=1,DR18,1)</f>
        <v/>
      </c>
      <c r="JG18">
        <f>IF('calcA'!T$106=1,DS18,1)</f>
        <v/>
      </c>
      <c r="JH18">
        <f>IF('calcA'!U$106=1,DT18,1)</f>
        <v/>
      </c>
      <c r="JI18">
        <f>IF('calcA'!V$106=1,DU18,1)</f>
        <v/>
      </c>
      <c r="JJ18">
        <f>IF('calcA'!W$106=1,DV18,1)</f>
        <v/>
      </c>
      <c r="JK18">
        <f>IF('calcA'!X$106=1,DW18,1)</f>
        <v/>
      </c>
      <c r="JL18">
        <f>IF('calcA'!Y$106=1,DX18,1)</f>
        <v/>
      </c>
      <c r="JM18">
        <f>IF('calcA'!Z$106=1,DY18,1)</f>
        <v/>
      </c>
      <c r="JN18">
        <f>IF('calcA'!AA$106=1,DZ18,1)</f>
        <v/>
      </c>
      <c r="JO18">
        <f>IF('calcA'!AB$106=1,EA18,1)</f>
        <v/>
      </c>
      <c r="JP18">
        <f>IF('calcA'!AC$106=1,EB18,1)</f>
        <v/>
      </c>
      <c r="JQ18">
        <f>IF('calcA'!AD$106=1,EC18,1)</f>
        <v/>
      </c>
      <c r="JR18">
        <f>IF('calcA'!AE$106=1,ED18,1)</f>
        <v/>
      </c>
      <c r="JS18">
        <f>IF('calcA'!AF$106=1,EE18,1)</f>
        <v/>
      </c>
      <c r="JT18">
        <f>IF('calcA'!AG$106=1,EF18,1)</f>
        <v/>
      </c>
      <c r="JU18">
        <f>IF('calcA'!AH$106=1,EG18,1)</f>
        <v/>
      </c>
      <c r="JV18">
        <f>IF('calcA'!AI$106=1,EH18,1)</f>
        <v/>
      </c>
      <c r="JW18">
        <f>IF('calcA'!AJ$106=1,EI18,1)</f>
        <v/>
      </c>
      <c r="JX18">
        <f>IF('calcA'!AK$106=1,EJ18,1)</f>
        <v/>
      </c>
      <c r="JY18">
        <f>IF('calcA'!AL$106=1,EK18,1)</f>
        <v/>
      </c>
      <c r="JZ18">
        <f>IF('calcA'!AM$106=1,EL18,1)</f>
        <v/>
      </c>
      <c r="KA18">
        <f>IF('calcA'!AN$106=1,EM18,1)</f>
        <v/>
      </c>
      <c r="KB18">
        <f>IF('calcA'!AO$106=1,EN18,1)</f>
        <v/>
      </c>
      <c r="KC18">
        <f>IF('calcA'!AP$106=1,EO18,1)</f>
        <v/>
      </c>
      <c r="KD18">
        <f>IF('calcA'!AQ$106=1,EP18,1)</f>
        <v/>
      </c>
      <c r="KE18">
        <f>IF('calcA'!AR$106=1,EQ18,1)</f>
        <v/>
      </c>
      <c r="KF18">
        <f>IF('calcA'!AS$106=1,ER18,1)</f>
        <v/>
      </c>
      <c r="KG18">
        <f>IF('calcA'!AT$106=1,ES18,1)</f>
        <v/>
      </c>
      <c r="KH18">
        <f>IF('calcA'!AU$106=1,ET18,1)</f>
        <v/>
      </c>
      <c r="KI18">
        <f>IF('calcA'!AV$106=1,EU18,1)</f>
        <v/>
      </c>
      <c r="KJ18">
        <f>IF('calcA'!AW$106=1,EV18,1)</f>
        <v/>
      </c>
      <c r="KK18">
        <f>IF('calcA'!AX$106=1,EW18,1)</f>
        <v/>
      </c>
      <c r="KL18">
        <f>IF('calcA'!AY$106=1,EX18,1)</f>
        <v/>
      </c>
      <c r="KM18">
        <f>IF('calcA'!AZ$106=1,EY18,1)</f>
        <v/>
      </c>
      <c r="KN18">
        <f>IF('calcA'!BA$106=1,EZ18,1)</f>
        <v/>
      </c>
      <c r="KO18">
        <f>IF('calcA'!BB$106=1,FA18,1)</f>
        <v/>
      </c>
      <c r="KP18">
        <f>IF('calcA'!BC$106=1,FB18,1)</f>
        <v/>
      </c>
      <c r="KQ18">
        <f>IF('calcA'!BD$106=1,FC18,1)</f>
        <v/>
      </c>
      <c r="KR18">
        <f>IF('calcA'!BE$106=1,FD18,1)</f>
        <v/>
      </c>
      <c r="KS18">
        <f>IF('calcA'!BF$106=1,FE18,1)</f>
        <v/>
      </c>
      <c r="KT18">
        <f>IF('calcA'!BG$106=1,FF18,1)</f>
        <v/>
      </c>
      <c r="KU18">
        <f>IF('calcA'!BH$106=1,FG18,1)</f>
        <v/>
      </c>
      <c r="KV18">
        <f>IF('calcA'!BI$106=1,FH18,1)</f>
        <v/>
      </c>
      <c r="KW18">
        <f>IF('calcA'!BJ$106=1,FI18,1)</f>
        <v/>
      </c>
      <c r="KX18">
        <f>IF('calcA'!BK$106=1,FJ18,1)</f>
        <v/>
      </c>
      <c r="KY18">
        <f>IF('calcA'!BL$106=1,FK18,1)</f>
        <v/>
      </c>
      <c r="KZ18">
        <f>IF('calcA'!BM$106=1,FL18,1)</f>
        <v/>
      </c>
      <c r="LA18">
        <f>IF('calcA'!BN$106=1,FM18,1)</f>
        <v/>
      </c>
      <c r="LB18">
        <f>IF('calcA'!BO$106=1,FN18,1)</f>
        <v/>
      </c>
      <c r="LC18">
        <f>IF('calcA'!BP$106=1,FO18,1)</f>
        <v/>
      </c>
      <c r="LD18">
        <f>IF('calcA'!BQ$106=1,FP18,1)</f>
        <v/>
      </c>
      <c r="LE18">
        <f>IF('calcA'!BR$106=1,FQ18,1)</f>
        <v/>
      </c>
      <c r="LF18">
        <f>IF('calcA'!BS$106=1,FR18,1)</f>
        <v/>
      </c>
      <c r="LG18">
        <f>IF('calcA'!BT$106=1,FS18,1)</f>
        <v/>
      </c>
      <c r="LH18">
        <f>IF('calcA'!BU$106=1,FT18,1)</f>
        <v/>
      </c>
      <c r="LI18">
        <f>IF('calcA'!BV$106=1,FU18,1)</f>
        <v/>
      </c>
      <c r="LJ18">
        <f>IF('calcA'!BW$106=1,FV18,1)</f>
        <v/>
      </c>
      <c r="LK18">
        <f>IF('calcA'!BX$106=1,FW18,1)</f>
        <v/>
      </c>
      <c r="LL18">
        <f>IF('calcA'!BY$106=1,FX18,1)</f>
        <v/>
      </c>
      <c r="LM18">
        <f>IF('calcA'!BZ$106=1,FY18,1)</f>
        <v/>
      </c>
      <c r="LN18">
        <f>IF('calcA'!CA$106=1,FZ18,1)</f>
        <v/>
      </c>
      <c r="LO18">
        <f>IF('calcA'!CB$106=1,GA18,1)</f>
        <v/>
      </c>
      <c r="LP18">
        <f>IF('calcA'!CC$106=1,GB18,1)</f>
        <v/>
      </c>
      <c r="LQ18">
        <f>IF('calcA'!CD$106=1,GC18,1)</f>
        <v/>
      </c>
      <c r="LR18">
        <f>IF('calcA'!CE$106=1,GD18,1)</f>
        <v/>
      </c>
      <c r="LS18">
        <f>IF('calcA'!CF$106=1,GE18,1)</f>
        <v/>
      </c>
      <c r="LT18">
        <f>IF('calcA'!CG$106=1,GF18,1)</f>
        <v/>
      </c>
      <c r="LU18">
        <f>IF('calcA'!CH$106=1,GG18,1)</f>
        <v/>
      </c>
      <c r="LV18">
        <f>IF('calcA'!CI$106=1,GH18,1)</f>
        <v/>
      </c>
      <c r="LW18">
        <f>IF('calcA'!CJ$106=1,GI18,1)</f>
        <v/>
      </c>
      <c r="LX18">
        <f>IF('calcA'!CK$106=1,GJ18,1)</f>
        <v/>
      </c>
      <c r="LY18">
        <f>IF('calcA'!CL$106=1,GK18,1)</f>
        <v/>
      </c>
      <c r="LZ18">
        <f>IF('calcA'!CM$106=1,GL18,1)</f>
        <v/>
      </c>
      <c r="MA18">
        <f>IF('calcA'!CN$106=1,GM18,1)</f>
        <v/>
      </c>
      <c r="MB18">
        <f>IF('calcA'!CO$106=1,GN18,1)</f>
        <v/>
      </c>
      <c r="MC18">
        <f>IF('calcA'!CP$106=1,GO18,1)</f>
        <v/>
      </c>
      <c r="MD18">
        <f>IF('calcA'!CQ$106=1,GP18,1)</f>
        <v/>
      </c>
      <c r="ME18">
        <f>IF('calcA'!CR$106=1,GQ18,1)</f>
        <v/>
      </c>
      <c r="MF18">
        <f>IF('calcA'!CS$106=1,GR18,1)</f>
        <v/>
      </c>
      <c r="MG18">
        <f>IF('calcA'!CT$106=1,GS18,1)</f>
        <v/>
      </c>
      <c r="MH18">
        <f>IF('calcA'!CU$106=1,GT18,1)</f>
        <v/>
      </c>
      <c r="MI18">
        <f>IF('calcA'!CV$106=1,GU18,1)</f>
        <v/>
      </c>
      <c r="MJ18">
        <f>IF('calcA'!CW$106=1,GV18,1)</f>
        <v/>
      </c>
      <c r="MK18">
        <f>IF('calcA'!CX$106=1,GW18,1)</f>
        <v/>
      </c>
      <c r="ML18">
        <f>IF('calcA'!CY$106=1,GX18,1)</f>
        <v/>
      </c>
      <c r="MM18">
        <f>IF('calcA'!CZ$106=1,GY18,1)</f>
        <v/>
      </c>
      <c r="MN18">
        <f>IF('calcA'!DA$106=1,GZ18,1)</f>
        <v/>
      </c>
      <c r="MO18">
        <f>IF('calcA'!DB$106=1,HA18,1)</f>
        <v/>
      </c>
      <c r="MP18">
        <f>IF('calcA'!DC$106=1,HB18,1)</f>
        <v/>
      </c>
      <c r="MQ18">
        <f>IF('calcA'!DD$106=1,HC18,1)</f>
        <v/>
      </c>
      <c r="MR18">
        <f>IF('calcA'!DE$106=1,HD18,1)</f>
        <v/>
      </c>
      <c r="MS18">
        <f>IF('calcA'!DF$106=1,HE18,1)</f>
        <v/>
      </c>
      <c r="MT18">
        <f>IF('calcA'!DG$106=1,HF18,1)</f>
        <v/>
      </c>
      <c r="MU18">
        <f>IF('calcA'!DH$106=1,HG18,1)</f>
        <v/>
      </c>
      <c r="MV18">
        <f>IF('calcA'!DI$106=1,HH18,1)</f>
        <v/>
      </c>
      <c r="MW18">
        <f>IF('calcA'!DJ$106=1,HI18,1)</f>
        <v/>
      </c>
      <c r="MX18">
        <f>IF('calcA'!DK$106=1,HJ18,1)</f>
        <v/>
      </c>
      <c r="MY18">
        <f>IF('calcA'!DL$106=1,HK18,1)</f>
        <v/>
      </c>
      <c r="MZ18">
        <f>IF('calcA'!DM$106=1,HL18,1)</f>
        <v/>
      </c>
      <c r="NA18">
        <f>IF('calcA'!DN$106=1,HM18,1)</f>
        <v/>
      </c>
      <c r="NB18">
        <f>IF('calcA'!DO$106=1,HN18,1)</f>
        <v/>
      </c>
      <c r="NC18">
        <f>IF('calcA'!DP$106=1,HO18,1)</f>
        <v/>
      </c>
      <c r="ND18">
        <f>IF('calcA'!DQ$106=1,HP18,1)</f>
        <v/>
      </c>
      <c r="NE18">
        <f>IF('calcA'!DR$106=1,HQ18,1)</f>
        <v/>
      </c>
      <c r="NF18">
        <f>IF('calcA'!DS$106=1,HR18,1)</f>
        <v/>
      </c>
      <c r="NG18">
        <f>IF('calcA'!DT$106=1,HS18,1)</f>
        <v/>
      </c>
      <c r="NH18">
        <f>IF('calcA'!DU$106=1,HT18,1)</f>
        <v/>
      </c>
      <c r="NI18">
        <f>IF('calcA'!DV$106=1,HU18,1)</f>
        <v/>
      </c>
      <c r="NJ18">
        <f>IF('calcA'!DW$106=1,HV18,1)</f>
        <v/>
      </c>
      <c r="NK18">
        <f>IF('calcA'!DX$106=1,HW18,1)</f>
        <v/>
      </c>
      <c r="NL18">
        <f>IF('calcA'!DY$106=1,HX18,1)</f>
        <v/>
      </c>
      <c r="NM18">
        <f>IF('calcA'!DZ$106=1,HY18,1)</f>
        <v/>
      </c>
      <c r="NN18">
        <f>IF('calcA'!EA$106=1,HZ18,1)</f>
        <v/>
      </c>
      <c r="NO18">
        <f>IF('calcA'!EB$106=1,IA18,1)</f>
        <v/>
      </c>
      <c r="NP18">
        <f>IF('calcA'!EC$106=1,IB18,1)</f>
        <v/>
      </c>
      <c r="NQ18">
        <f>IF('calcA'!ED$106=1,IC18,1)</f>
        <v/>
      </c>
      <c r="NR18">
        <f>IF('calcA'!EE$106=1,ID18,1)</f>
        <v/>
      </c>
      <c r="NS18">
        <f>IF('calcA'!EF$106=1,IE18,1)</f>
        <v/>
      </c>
      <c r="NT18">
        <f>IF('calcA'!EG$106=1,IF18,1)</f>
        <v/>
      </c>
      <c r="NU18">
        <f>IF('calcA'!EH$106=1,IG18,1)</f>
        <v/>
      </c>
      <c r="NV18">
        <f>IF('calcA'!EI$106=1,IH18,1)</f>
        <v/>
      </c>
      <c r="NW18">
        <f>IF('calcA'!EJ$106=1,II18,1)</f>
        <v/>
      </c>
      <c r="NX18">
        <f>IF('calcA'!EK$106=1,IJ18,1)</f>
        <v/>
      </c>
      <c r="NY18">
        <f>IF('calcA'!EL$106=1,IK18,1)</f>
        <v/>
      </c>
      <c r="NZ18">
        <f>IF('calcA'!EM$106=1,IL18,1)</f>
        <v/>
      </c>
      <c r="OA18">
        <f>IF('calcA'!EN$106=1,IM18,1)</f>
        <v/>
      </c>
      <c r="OB18">
        <f>IF('calcA'!EO$106=1,IN18,1)</f>
        <v/>
      </c>
      <c r="OC18">
        <f>IF('calcA'!EP$106=1,IO18,1)</f>
        <v/>
      </c>
      <c r="OD18" t="n">
        <v>1</v>
      </c>
      <c r="OF18">
        <f>IF($B18=0,1000000000,IF(INDEX('calcA'!$D$60:$EQ$99,$B18,1)*IF($W18=1,DB18+ZQ18,DB18)=1,IF(AND($E18=2,IF($W18=1,AFF18,IQ18)=0),1000000000,IF($V18=1,INDEX('calcA'!$D$130:$EQ$169,$B18,1)+IF(AND($E18=1,IQ18=0),25,0),IF($F18&gt;0,INDEX('calcA'!D$110:D$114,$F18+1)+IF(AND($E18=1,IQ18=0),1000,0),MIN(TU18,20)*400+(IF('calcA'!D$106=1,1-DC18,0))*150+11+'calcA'!D$5*100000+IF(AND($E18=1,IQ18=0),50000,0))+IF($H18=1,INDEX('calcA'!$D$180:$EQ$219,$B18,1)*4000,0)-IF(AND($U18=1,'calcA'!D$117=1,DC18=0),2000,0))),1000000000))</f>
        <v/>
      </c>
      <c r="OG18">
        <f>IF($B18=0,1000000000,IF(INDEX('calcA'!$D$60:$EQ$99,$B18,2)*IF($W18=1,DC18+ZR18,DC18)=1,IF(AND($E18=2,IF($W18=1,AFG18,IR18)=0),1000000000,IF($V18=1,INDEX('calcA'!$D$130:$EQ$169,$B18,2)+IF(AND($E18=1,IR18=0),25,0),IF($F18&gt;0,INDEX('calcA'!E$110:E$114,$F18+1)+IF(AND($E18=1,IR18=0),1000,0),MIN(TU18,20)*400+(IF('calcA'!D$106=1,1-DB18,0)+IF('calcA'!E$106=1,1-DD18,0))*150+21+'calcA'!E$5*100000+IF(AND($E18=1,IR18=0),50000,0))+IF($H18=1,INDEX('calcA'!$D$180:$EQ$219,$B18,2)*4000,0)-IF(AND('calcA'!D$117=1,UB18&gt;0),2000,0)-IF(AND($U18=1,'calcA'!E$117=1,DD18=0),2000,0))),1000000000))</f>
        <v/>
      </c>
      <c r="OH18">
        <f>IF($B18=0,1000000000,IF(INDEX('calcA'!$D$60:$EQ$99,$B18,3)*IF($W18=1,DD18+ZS18,DD18)=1,IF(AND($E18=2,IF($W18=1,AFH18,IS18)=0),1000000000,IF($V18=1,INDEX('calcA'!$D$130:$EQ$169,$B18,3)+IF(AND($E18=1,IS18=0),25,0),IF($F18&gt;0,INDEX('calcA'!F$110:F$114,$F18+1)+IF(AND($E18=1,IS18=0),1000,0),MIN(TU18,20)*400+(IF('calcA'!E$106=1,1-DC18,0)+IF('calcA'!F$106=1,1-DE18,0))*150+31+'calcA'!F$5*100000+IF(AND($E18=1,IS18=0),50000,0))+IF($H18=1,INDEX('calcA'!$D$180:$EQ$219,$B18,3)*4000,0)-IF(AND('calcA'!E$117=1,UC18&gt;0),2000,0)-IF(AND($U18=1,'calcA'!F$117=1,DE18=0),2000,0))),1000000000))</f>
        <v/>
      </c>
      <c r="OI18">
        <f>IF($B18=0,1000000000,IF(INDEX('calcA'!$D$60:$EQ$99,$B18,4)*IF($W18=1,DE18+ZT18,DE18)=1,IF(AND($E18=2,IF($W18=1,AFI18,IT18)=0),1000000000,IF($V18=1,INDEX('calcA'!$D$130:$EQ$169,$B18,4)+IF(AND($E18=1,IT18=0),25,0),IF($F18&gt;0,INDEX('calcA'!G$110:G$114,$F18+1)+IF(AND($E18=1,IT18=0),1000,0),MIN(TU18,20)*400+(IF('calcA'!F$106=1,1-DD18,0)+IF('calcA'!G$106=1,1-DF18,0))*150+41+'calcA'!G$5*100000+IF(AND($E18=1,IT18=0),50000,0))+IF($H18=1,INDEX('calcA'!$D$180:$EQ$219,$B18,4)*4000,0)-IF(AND('calcA'!F$117=1,UD18&gt;0),2000,0)-IF(AND($U18=1,'calcA'!G$117=1,DF18=0),2000,0))),1000000000))</f>
        <v/>
      </c>
      <c r="OJ18">
        <f>IF($B18=0,1000000000,IF(INDEX('calcA'!$D$60:$EQ$99,$B18,5)*IF($W18=1,DF18+ZU18,DF18)=1,IF(AND($E18=2,IF($W18=1,AFJ18,IU18)=0),1000000000,IF($V18=1,INDEX('calcA'!$D$130:$EQ$169,$B18,5)+IF(AND($E18=1,IU18=0),25,0),IF($F18&gt;0,INDEX('calcA'!H$110:H$114,$F18+1)+IF(AND($E18=1,IU18=0),1000,0),MIN(TU18,20)*400+(IF('calcA'!G$106=1,1-DE18,0)+IF('calcA'!H$106=1,1-DG18,0))*150+51+'calcA'!H$5*100000+IF(AND($E18=1,IU18=0),50000,0))+IF($H18=1,INDEX('calcA'!$D$180:$EQ$219,$B18,5)*4000,0)-IF(AND('calcA'!G$117=1,UE18&gt;0),2000,0)-IF(AND($U18=1,'calcA'!H$117=1,DG18=0),2000,0))),1000000000))</f>
        <v/>
      </c>
      <c r="OK18">
        <f>IF($B18=0,1000000000,IF(INDEX('calcA'!$D$60:$EQ$99,$B18,6)*IF($W18=1,DG18+ZV18,DG18)=1,IF(AND($E18=2,IF($W18=1,AFK18,IV18)=0),1000000000,IF($V18=1,INDEX('calcA'!$D$130:$EQ$169,$B18,6)+IF(AND($E18=1,IV18=0),25,0),IF($F18&gt;0,INDEX('calcA'!I$110:I$114,$F18+1)+IF(AND($E18=1,IV18=0),1000,0),MIN(TU18,20)*400+(IF('calcA'!H$106=1,1-DF18,0)+IF('calcA'!I$106=1,1-DH18,0))*150+61+'calcA'!I$5*100000+IF(AND($E18=1,IV18=0),50000,0))+IF($H18=1,INDEX('calcA'!$D$180:$EQ$219,$B18,6)*4000,0)-IF(AND('calcA'!H$117=1,UF18&gt;0),2000,0)-IF(AND($U18=1,'calcA'!I$117=1,DH18=0),2000,0))),1000000000))</f>
        <v/>
      </c>
      <c r="OL18">
        <f>IF($B18=0,1000000000,IF(INDEX('calcA'!$D$60:$EQ$99,$B18,7)*IF($W18=1,DH18+ZW18,DH18)=1,IF(AND($E18=2,IF($W18=1,AFL18,IW18)=0),1000000000,IF($V18=1,INDEX('calcA'!$D$130:$EQ$169,$B18,7)+IF(AND($E18=1,IW18=0),25,0),IF($F18&gt;0,INDEX('calcA'!J$110:J$114,$F18+1)+IF(AND($E18=1,IW18=0),1000,0),MIN(TU18,20)*400+(IF('calcA'!I$106=1,1-DG18,0)+IF('calcA'!J$106=1,1-DI18,0))*150+71+'calcA'!J$5*100000+IF(AND($E18=1,IW18=0),50000,0))+IF($H18=1,INDEX('calcA'!$D$180:$EQ$219,$B18,7)*4000,0)-IF(AND('calcA'!I$117=1,UG18&gt;0),2000,0)-IF(AND($U18=1,'calcA'!J$117=1,DI18=0),2000,0))),1000000000))</f>
        <v/>
      </c>
      <c r="OM18">
        <f>IF($B18=0,1000000000,IF(INDEX('calcA'!$D$60:$EQ$99,$B18,8)*IF($W18=1,DI18+ZX18,DI18)=1,IF(AND($E18=2,IF($W18=1,AFM18,IX18)=0),1000000000,IF($V18=1,INDEX('calcA'!$D$130:$EQ$169,$B18,8)+IF(AND($E18=1,IX18=0),25,0),IF($F18&gt;0,INDEX('calcA'!K$110:K$114,$F18+1)+IF(AND($E18=1,IX18=0),1000,0),MIN(TU18,20)*400+(IF('calcA'!J$106=1,1-DH18,0)+IF('calcA'!K$106=1,1-DJ18,0))*150+81+'calcA'!K$5*100000+IF(AND($E18=1,IX18=0),50000,0))+IF($H18=1,INDEX('calcA'!$D$180:$EQ$219,$B18,8)*4000,0)-IF(AND('calcA'!J$117=1,UH18&gt;0),2000,0)-IF(AND($U18=1,'calcA'!K$117=1,DJ18=0),2000,0))),1000000000))</f>
        <v/>
      </c>
      <c r="ON18">
        <f>IF($B18=0,1000000000,IF(INDEX('calcA'!$D$60:$EQ$99,$B18,9)*IF($W18=1,DJ18+ZY18,DJ18)=1,IF(AND($E18=2,IF($W18=1,AFN18,IY18)=0),1000000000,IF($V18=1,INDEX('calcA'!$D$130:$EQ$169,$B18,9)+IF(AND($E18=1,IY18=0),25,0),IF($F18&gt;0,INDEX('calcA'!L$110:L$114,$F18+1)+IF(AND($E18=1,IY18=0),1000,0),MIN(TU18,20)*400+(IF('calcA'!K$106=1,1-DI18,0)+IF('calcA'!L$106=1,1-DK18,0))*150+91+'calcA'!L$5*100000+IF(AND($E18=1,IY18=0),50000,0))+IF($H18=1,INDEX('calcA'!$D$180:$EQ$219,$B18,9)*4000,0)-IF(AND('calcA'!K$117=1,UI18&gt;0),2000,0)-IF(AND($U18=1,'calcA'!L$117=1,DK18=0),2000,0))),1000000000))</f>
        <v/>
      </c>
      <c r="OO18">
        <f>IF($B18=0,1000000000,IF(INDEX('calcA'!$D$60:$EQ$99,$B18,10)*IF($W18=1,DK18+ZZ18,DK18)=1,IF(AND($E18=2,IF($W18=1,AFO18,IZ18)=0),1000000000,IF($V18=1,INDEX('calcA'!$D$130:$EQ$169,$B18,10)+IF(AND($E18=1,IZ18=0),25,0),IF($F18&gt;0,INDEX('calcA'!M$110:M$114,$F18+1)+IF(AND($E18=1,IZ18=0),1000,0),MIN(TU18,20)*400+(IF('calcA'!L$106=1,1-DJ18,0)+IF('calcA'!M$106=1,1-DL18,0))*150+101+'calcA'!M$5*100000+IF(AND($E18=1,IZ18=0),50000,0))+IF($H18=1,INDEX('calcA'!$D$180:$EQ$219,$B18,10)*4000,0)-IF(AND('calcA'!L$117=1,UJ18&gt;0),2000,0)-IF(AND($U18=1,'calcA'!M$117=1,DL18=0),2000,0))),1000000000))</f>
        <v/>
      </c>
      <c r="OP18">
        <f>IF($B18=0,1000000000,IF(INDEX('calcA'!$D$60:$EQ$99,$B18,11)*IF($W18=1,DL18+AAA18,DL18)=1,IF(AND($E18=2,IF($W18=1,AFP18,JA18)=0),1000000000,IF($V18=1,INDEX('calcA'!$D$130:$EQ$169,$B18,11)+IF(AND($E18=1,JA18=0),25,0),IF($F18&gt;0,INDEX('calcA'!N$110:N$114,$F18+1)+IF(AND($E18=1,JA18=0),1000,0),MIN(TU18,20)*400+(IF('calcA'!M$106=1,1-DK18,0)+IF('calcA'!N$106=1,1-DM18,0))*150+111+'calcA'!N$5*100000+IF(AND($E18=1,JA18=0),50000,0))+IF($H18=1,INDEX('calcA'!$D$180:$EQ$219,$B18,11)*4000,0)-IF(AND('calcA'!M$117=1,UK18&gt;0),2000,0)-IF(AND($U18=1,'calcA'!N$117=1,DM18=0),2000,0))),1000000000))</f>
        <v/>
      </c>
      <c r="OQ18">
        <f>IF($B18=0,1000000000,IF(INDEX('calcA'!$D$60:$EQ$99,$B18,12)*IF($W18=1,DM18+AAB18,DM18)=1,IF(AND($E18=2,IF($W18=1,AFQ18,JB18)=0),1000000000,IF($V18=1,INDEX('calcA'!$D$130:$EQ$169,$B18,12)+IF(AND($E18=1,JB18=0),25,0),IF($F18&gt;0,INDEX('calcA'!O$110:O$114,$F18+1)+IF(AND($E18=1,JB18=0),1000,0),MIN(TU18,20)*400+(IF('calcA'!N$106=1,1-DL18,0)+IF('calcA'!O$106=1,1-DN18,0))*150+121+'calcA'!O$5*100000+IF(AND($E18=1,JB18=0),50000,0))+IF($H18=1,INDEX('calcA'!$D$180:$EQ$219,$B18,12)*4000,0)-IF(AND('calcA'!N$117=1,UL18&gt;0),2000,0)-IF(AND($U18=1,'calcA'!O$117=1,DN18=0),2000,0))),1000000000))</f>
        <v/>
      </c>
      <c r="OR18">
        <f>IF($B18=0,1000000000,IF(INDEX('calcA'!$D$60:$EQ$99,$B18,13)*IF($W18=1,DN18+AAC18,DN18)=1,IF(AND($E18=2,IF($W18=1,AFR18,JC18)=0),1000000000,IF($V18=1,INDEX('calcA'!$D$130:$EQ$169,$B18,13)+IF(AND($E18=1,JC18=0),25,0),IF($F18&gt;0,INDEX('calcA'!P$110:P$114,$F18+1)+IF(AND($E18=1,JC18=0),1000,0),MIN(TU18,20)*400+(IF('calcA'!O$106=1,1-DM18,0)+IF('calcA'!P$106=1,1-DO18,0))*150+131+'calcA'!P$5*100000+IF(AND($E18=1,JC18=0),50000,0))+IF($H18=1,INDEX('calcA'!$D$180:$EQ$219,$B18,13)*4000,0)-IF(AND('calcA'!O$117=1,UM18&gt;0),2000,0)-IF(AND($U18=1,'calcA'!P$117=1,DO18=0),2000,0))),1000000000))</f>
        <v/>
      </c>
      <c r="OS18">
        <f>IF($B18=0,1000000000,IF(INDEX('calcA'!$D$60:$EQ$99,$B18,14)*IF($W18=1,DO18+AAD18,DO18)=1,IF(AND($E18=2,IF($W18=1,AFS18,JD18)=0),1000000000,IF($V18=1,INDEX('calcA'!$D$130:$EQ$169,$B18,14)+IF(AND($E18=1,JD18=0),25,0),IF($F18&gt;0,INDEX('calcA'!Q$110:Q$114,$F18+1)+IF(AND($E18=1,JD18=0),1000,0),MIN(TU18,20)*400+(IF('calcA'!P$106=1,1-DN18,0)+IF('calcA'!Q$106=1,1-DP18,0))*150+141+'calcA'!Q$5*100000+IF(AND($E18=1,JD18=0),50000,0))+IF($H18=1,INDEX('calcA'!$D$180:$EQ$219,$B18,14)*4000,0)-IF(AND('calcA'!P$117=1,UN18&gt;0),2000,0)-IF(AND($U18=1,'calcA'!Q$117=1,DP18=0),2000,0))),1000000000))</f>
        <v/>
      </c>
      <c r="OT18">
        <f>IF($B18=0,1000000000,IF(INDEX('calcA'!$D$60:$EQ$99,$B18,15)*IF($W18=1,DP18+AAE18,DP18)=1,IF(AND($E18=2,IF($W18=1,AFT18,JE18)=0),1000000000,IF($V18=1,INDEX('calcA'!$D$130:$EQ$169,$B18,15)+IF(AND($E18=1,JE18=0),25,0),IF($F18&gt;0,INDEX('calcA'!R$110:R$114,$F18+1)+IF(AND($E18=1,JE18=0),1000,0),MIN(TU18,20)*400+(IF('calcA'!Q$106=1,1-DO18,0)+IF('calcA'!R$106=1,1-DQ18,0))*150+151+'calcA'!R$5*100000+IF(AND($E18=1,JE18=0),50000,0))+IF($H18=1,INDEX('calcA'!$D$180:$EQ$219,$B18,15)*4000,0)-IF(AND('calcA'!Q$117=1,UO18&gt;0),2000,0)-IF(AND($U18=1,'calcA'!R$117=1,DQ18=0),2000,0))),1000000000))</f>
        <v/>
      </c>
      <c r="OU18">
        <f>IF($B18=0,1000000000,IF(INDEX('calcA'!$D$60:$EQ$99,$B18,16)*IF($W18=1,DQ18+AAF18,DQ18)=1,IF(AND($E18=2,IF($W18=1,AFU18,JF18)=0),1000000000,IF($V18=1,INDEX('calcA'!$D$130:$EQ$169,$B18,16)+IF(AND($E18=1,JF18=0),25,0),IF($F18&gt;0,INDEX('calcA'!S$110:S$114,$F18+1)+IF(AND($E18=1,JF18=0),1000,0),MIN(TU18,20)*400+(IF('calcA'!R$106=1,1-DP18,0)+IF('calcA'!S$106=1,1-DR18,0))*150+161+'calcA'!S$5*100000+IF(AND($E18=1,JF18=0),50000,0))+IF($H18=1,INDEX('calcA'!$D$180:$EQ$219,$B18,16)*4000,0)-IF(AND('calcA'!R$117=1,UP18&gt;0),2000,0)-IF(AND($U18=1,'calcA'!S$117=1,DR18=0),2000,0))),1000000000))</f>
        <v/>
      </c>
      <c r="OV18">
        <f>IF($B18=0,1000000000,IF(INDEX('calcA'!$D$60:$EQ$99,$B18,17)*IF($W18=1,DR18+AAG18,DR18)=1,IF(AND($E18=2,IF($W18=1,AFV18,JG18)=0),1000000000,IF($V18=1,INDEX('calcA'!$D$130:$EQ$169,$B18,17)+IF(AND($E18=1,JG18=0),25,0),IF($F18&gt;0,INDEX('calcA'!T$110:T$114,$F18+1)+IF(AND($E18=1,JG18=0),1000,0),MIN(TU18,20)*400+(IF('calcA'!S$106=1,1-DQ18,0)+IF('calcA'!T$106=1,1-DS18,0))*150+171+'calcA'!T$5*100000+IF(AND($E18=1,JG18=0),50000,0))+IF($H18=1,INDEX('calcA'!$D$180:$EQ$219,$B18,17)*4000,0)-IF(AND('calcA'!S$117=1,UQ18&gt;0),2000,0)-IF(AND($U18=1,'calcA'!T$117=1,DS18=0),2000,0))),1000000000))</f>
        <v/>
      </c>
      <c r="OW18">
        <f>IF($B18=0,1000000000,IF(INDEX('calcA'!$D$60:$EQ$99,$B18,18)*IF($W18=1,DS18+AAH18,DS18)=1,IF(AND($E18=2,IF($W18=1,AFW18,JH18)=0),1000000000,IF($V18=1,INDEX('calcA'!$D$130:$EQ$169,$B18,18)+IF(AND($E18=1,JH18=0),25,0),IF($F18&gt;0,INDEX('calcA'!U$110:U$114,$F18+1)+IF(AND($E18=1,JH18=0),1000,0),MIN(TU18,20)*400+(IF('calcA'!T$106=1,1-DR18,0)+IF('calcA'!U$106=1,1-DT18,0))*150+181+'calcA'!U$5*100000+IF(AND($E18=1,JH18=0),50000,0))+IF($H18=1,INDEX('calcA'!$D$180:$EQ$219,$B18,18)*4000,0)-IF(AND('calcA'!T$117=1,UR18&gt;0),2000,0)-IF(AND($U18=1,'calcA'!U$117=1,DT18=0),2000,0))),1000000000))</f>
        <v/>
      </c>
      <c r="OX18">
        <f>IF($B18=0,1000000000,IF(INDEX('calcA'!$D$60:$EQ$99,$B18,19)*IF($W18=1,DT18+AAI18,DT18)=1,IF(AND($E18=2,IF($W18=1,AFX18,JI18)=0),1000000000,IF($V18=1,INDEX('calcA'!$D$130:$EQ$169,$B18,19)+IF(AND($E18=1,JI18=0),25,0),IF($F18&gt;0,INDEX('calcA'!V$110:V$114,$F18+1)+IF(AND($E18=1,JI18=0),1000,0),MIN(TU18,20)*400+(IF('calcA'!U$106=1,1-DS18,0)+IF('calcA'!V$106=1,1-DU18,0))*150+191+'calcA'!V$5*100000+IF(AND($E18=1,JI18=0),50000,0))+IF($H18=1,INDEX('calcA'!$D$180:$EQ$219,$B18,19)*4000,0)-IF(AND('calcA'!U$117=1,US18&gt;0),2000,0)-IF(AND($U18=1,'calcA'!V$117=1,DU18=0),2000,0))),1000000000))</f>
        <v/>
      </c>
      <c r="OY18">
        <f>IF($B18=0,1000000000,IF(INDEX('calcA'!$D$60:$EQ$99,$B18,20)*IF($W18=1,DU18+AAJ18,DU18)=1,IF(AND($E18=2,IF($W18=1,AFY18,JJ18)=0),1000000000,IF($V18=1,INDEX('calcA'!$D$130:$EQ$169,$B18,20)+IF(AND($E18=1,JJ18=0),25,0),IF($F18&gt;0,INDEX('calcA'!W$110:W$114,$F18+1)+IF(AND($E18=1,JJ18=0),1000,0),MIN(TU18,20)*400+(IF('calcA'!V$106=1,1-DT18,0)+IF('calcA'!W$106=1,1-DV18,0))*150+201+'calcA'!W$5*100000+IF(AND($E18=1,JJ18=0),50000,0))+IF($H18=1,INDEX('calcA'!$D$180:$EQ$219,$B18,20)*4000,0)-IF(AND('calcA'!V$117=1,UT18&gt;0),2000,0)-IF(AND($U18=1,'calcA'!W$117=1,DV18=0),2000,0))),1000000000))</f>
        <v/>
      </c>
      <c r="OZ18">
        <f>IF($B18=0,1000000000,IF(INDEX('calcA'!$D$60:$EQ$99,$B18,21)*IF($W18=1,DV18+AAK18,DV18)=1,IF(AND($E18=2,IF($W18=1,AFZ18,JK18)=0),1000000000,IF($V18=1,INDEX('calcA'!$D$130:$EQ$169,$B18,21)+IF(AND($E18=1,JK18=0),25,0),IF($F18&gt;0,INDEX('calcA'!X$110:X$114,$F18+1)+IF(AND($E18=1,JK18=0),1000,0),MIN(TU18,20)*400+(IF('calcA'!W$106=1,1-DU18,0)+IF('calcA'!X$106=1,1-DW18,0))*150+211+'calcA'!X$5*100000+IF(AND($E18=1,JK18=0),50000,0))+IF($H18=1,INDEX('calcA'!$D$180:$EQ$219,$B18,21)*4000,0)-IF(AND('calcA'!W$117=1,UU18&gt;0),2000,0)-IF(AND($U18=1,'calcA'!X$117=1,DW18=0),2000,0))),1000000000))</f>
        <v/>
      </c>
      <c r="PA18">
        <f>IF($B18=0,1000000000,IF(INDEX('calcA'!$D$60:$EQ$99,$B18,22)*IF($W18=1,DW18+AAL18,DW18)=1,IF(AND($E18=2,IF($W18=1,AGA18,JL18)=0),1000000000,IF($V18=1,INDEX('calcA'!$D$130:$EQ$169,$B18,22)+IF(AND($E18=1,JL18=0),25,0),IF($F18&gt;0,INDEX('calcA'!Y$110:Y$114,$F18+1)+IF(AND($E18=1,JL18=0),1000,0),MIN(TU18,20)*400+(IF('calcA'!X$106=1,1-DV18,0)+IF('calcA'!Y$106=1,1-DX18,0))*150+221+'calcA'!Y$5*100000+IF(AND($E18=1,JL18=0),50000,0))+IF($H18=1,INDEX('calcA'!$D$180:$EQ$219,$B18,22)*4000,0)-IF(AND('calcA'!X$117=1,UV18&gt;0),2000,0)-IF(AND($U18=1,'calcA'!Y$117=1,DX18=0),2000,0))),1000000000))</f>
        <v/>
      </c>
      <c r="PB18">
        <f>IF($B18=0,1000000000,IF(INDEX('calcA'!$D$60:$EQ$99,$B18,23)*IF($W18=1,DX18+AAM18,DX18)=1,IF(AND($E18=2,IF($W18=1,AGB18,JM18)=0),1000000000,IF($V18=1,INDEX('calcA'!$D$130:$EQ$169,$B18,23)+IF(AND($E18=1,JM18=0),25,0),IF($F18&gt;0,INDEX('calcA'!Z$110:Z$114,$F18+1)+IF(AND($E18=1,JM18=0),1000,0),MIN(TU18,20)*400+(IF('calcA'!Y$106=1,1-DW18,0)+IF('calcA'!Z$106=1,1-DY18,0))*150+231+'calcA'!Z$5*100000+IF(AND($E18=1,JM18=0),50000,0))+IF($H18=1,INDEX('calcA'!$D$180:$EQ$219,$B18,23)*4000,0)-IF(AND('calcA'!Y$117=1,UW18&gt;0),2000,0)-IF(AND($U18=1,'calcA'!Z$117=1,DY18=0),2000,0))),1000000000))</f>
        <v/>
      </c>
      <c r="PC18">
        <f>IF($B18=0,1000000000,IF(INDEX('calcA'!$D$60:$EQ$99,$B18,24)*IF($W18=1,DY18+AAN18,DY18)=1,IF(AND($E18=2,IF($W18=1,AGC18,JN18)=0),1000000000,IF($V18=1,INDEX('calcA'!$D$130:$EQ$169,$B18,24)+IF(AND($E18=1,JN18=0),25,0),IF($F18&gt;0,INDEX('calcA'!AA$110:AA$114,$F18+1)+IF(AND($E18=1,JN18=0),1000,0),MIN(TU18,20)*400+(IF('calcA'!Z$106=1,1-DX18,0))*150+241+'calcA'!AA$5*100000+IF(AND($E18=1,JN18=0),50000,0))+IF($H18=1,INDEX('calcA'!$D$180:$EQ$219,$B18,24)*4000,0)-IF(AND('calcA'!Z$117=1,UX18&gt;0),2000,0))),1000000000))</f>
        <v/>
      </c>
      <c r="PD18">
        <f>IF($B18=0,1000000000,IF(INDEX('calcA'!$D$60:$EQ$99,$B18,25)*IF($W18=1,DZ18+AAO18,DZ18)=1,IF(AND($E18=2,IF($W18=1,AGD18,JO18)=0),1000000000,IF($V18=1,INDEX('calcA'!$D$130:$EQ$169,$B18,25)+IF(AND($E18=1,JO18=0),25,0),IF($F18&gt;0,INDEX('calcA'!AB$110:AB$114,$F18+1)+IF(AND($E18=1,JO18=0),1000,0),MIN(TV18,20)*400+(IF('calcA'!AB$106=1,1-EA18,0))*150+12+'calcA'!AB$5*100000+IF(AND($E18=1,JO18=0),50000,0))+IF($H18=1,INDEX('calcA'!$D$180:$EQ$219,$B18,25)*4000,0)-IF(AND($U18=1,'calcA'!AB$117=1,EA18=0),2000,0))),1000000000))</f>
        <v/>
      </c>
      <c r="PE18">
        <f>IF($B18=0,1000000000,IF(INDEX('calcA'!$D$60:$EQ$99,$B18,26)*IF($W18=1,EA18+AAP18,EA18)=1,IF(AND($E18=2,IF($W18=1,AGE18,JP18)=0),1000000000,IF($V18=1,INDEX('calcA'!$D$130:$EQ$169,$B18,26)+IF(AND($E18=1,JP18=0),25,0),IF($F18&gt;0,INDEX('calcA'!AC$110:AC$114,$F18+1)+IF(AND($E18=1,JP18=0),1000,0),MIN(TV18,20)*400+(IF('calcA'!AB$106=1,1-DZ18,0)+IF('calcA'!AC$106=1,1-EB18,0))*150+22+'calcA'!AC$5*100000+IF(AND($E18=1,JP18=0),50000,0))+IF($H18=1,INDEX('calcA'!$D$180:$EQ$219,$B18,26)*4000,0)-IF(AND('calcA'!AB$117=1,UZ18&gt;0),2000,0)-IF(AND($U18=1,'calcA'!AC$117=1,EB18=0),2000,0))),1000000000))</f>
        <v/>
      </c>
      <c r="PF18">
        <f>IF($B18=0,1000000000,IF(INDEX('calcA'!$D$60:$EQ$99,$B18,27)*IF($W18=1,EB18+AAQ18,EB18)=1,IF(AND($E18=2,IF($W18=1,AGF18,JQ18)=0),1000000000,IF($V18=1,INDEX('calcA'!$D$130:$EQ$169,$B18,27)+IF(AND($E18=1,JQ18=0),25,0),IF($F18&gt;0,INDEX('calcA'!AD$110:AD$114,$F18+1)+IF(AND($E18=1,JQ18=0),1000,0),MIN(TV18,20)*400+(IF('calcA'!AC$106=1,1-EA18,0)+IF('calcA'!AD$106=1,1-EC18,0))*150+32+'calcA'!AD$5*100000+IF(AND($E18=1,JQ18=0),50000,0))+IF($H18=1,INDEX('calcA'!$D$180:$EQ$219,$B18,27)*4000,0)-IF(AND('calcA'!AC$117=1,VA18&gt;0),2000,0)-IF(AND($U18=1,'calcA'!AD$117=1,EC18=0),2000,0))),1000000000))</f>
        <v/>
      </c>
      <c r="PG18">
        <f>IF($B18=0,1000000000,IF(INDEX('calcA'!$D$60:$EQ$99,$B18,28)*IF($W18=1,EC18+AAR18,EC18)=1,IF(AND($E18=2,IF($W18=1,AGG18,JR18)=0),1000000000,IF($V18=1,INDEX('calcA'!$D$130:$EQ$169,$B18,28)+IF(AND($E18=1,JR18=0),25,0),IF($F18&gt;0,INDEX('calcA'!AE$110:AE$114,$F18+1)+IF(AND($E18=1,JR18=0),1000,0),MIN(TV18,20)*400+(IF('calcA'!AD$106=1,1-EB18,0)+IF('calcA'!AE$106=1,1-ED18,0))*150+42+'calcA'!AE$5*100000+IF(AND($E18=1,JR18=0),50000,0))+IF($H18=1,INDEX('calcA'!$D$180:$EQ$219,$B18,28)*4000,0)-IF(AND('calcA'!AD$117=1,VB18&gt;0),2000,0)-IF(AND($U18=1,'calcA'!AE$117=1,ED18=0),2000,0))),1000000000))</f>
        <v/>
      </c>
      <c r="PH18">
        <f>IF($B18=0,1000000000,IF(INDEX('calcA'!$D$60:$EQ$99,$B18,29)*IF($W18=1,ED18+AAS18,ED18)=1,IF(AND($E18=2,IF($W18=1,AGH18,JS18)=0),1000000000,IF($V18=1,INDEX('calcA'!$D$130:$EQ$169,$B18,29)+IF(AND($E18=1,JS18=0),25,0),IF($F18&gt;0,INDEX('calcA'!AF$110:AF$114,$F18+1)+IF(AND($E18=1,JS18=0),1000,0),MIN(TV18,20)*400+(IF('calcA'!AE$106=1,1-EC18,0)+IF('calcA'!AF$106=1,1-EE18,0))*150+52+'calcA'!AF$5*100000+IF(AND($E18=1,JS18=0),50000,0))+IF($H18=1,INDEX('calcA'!$D$180:$EQ$219,$B18,29)*4000,0)-IF(AND('calcA'!AE$117=1,VC18&gt;0),2000,0)-IF(AND($U18=1,'calcA'!AF$117=1,EE18=0),2000,0))),1000000000))</f>
        <v/>
      </c>
      <c r="PI18">
        <f>IF($B18=0,1000000000,IF(INDEX('calcA'!$D$60:$EQ$99,$B18,30)*IF($W18=1,EE18+AAT18,EE18)=1,IF(AND($E18=2,IF($W18=1,AGI18,JT18)=0),1000000000,IF($V18=1,INDEX('calcA'!$D$130:$EQ$169,$B18,30)+IF(AND($E18=1,JT18=0),25,0),IF($F18&gt;0,INDEX('calcA'!AG$110:AG$114,$F18+1)+IF(AND($E18=1,JT18=0),1000,0),MIN(TV18,20)*400+(IF('calcA'!AF$106=1,1-ED18,0)+IF('calcA'!AG$106=1,1-EF18,0))*150+62+'calcA'!AG$5*100000+IF(AND($E18=1,JT18=0),50000,0))+IF($H18=1,INDEX('calcA'!$D$180:$EQ$219,$B18,30)*4000,0)-IF(AND('calcA'!AF$117=1,VD18&gt;0),2000,0)-IF(AND($U18=1,'calcA'!AG$117=1,EF18=0),2000,0))),1000000000))</f>
        <v/>
      </c>
      <c r="PJ18">
        <f>IF($B18=0,1000000000,IF(INDEX('calcA'!$D$60:$EQ$99,$B18,31)*IF($W18=1,EF18+AAU18,EF18)=1,IF(AND($E18=2,IF($W18=1,AGJ18,JU18)=0),1000000000,IF($V18=1,INDEX('calcA'!$D$130:$EQ$169,$B18,31)+IF(AND($E18=1,JU18=0),25,0),IF($F18&gt;0,INDEX('calcA'!AH$110:AH$114,$F18+1)+IF(AND($E18=1,JU18=0),1000,0),MIN(TV18,20)*400+(IF('calcA'!AG$106=1,1-EE18,0)+IF('calcA'!AH$106=1,1-EG18,0))*150+72+'calcA'!AH$5*100000+IF(AND($E18=1,JU18=0),50000,0))+IF($H18=1,INDEX('calcA'!$D$180:$EQ$219,$B18,31)*4000,0)-IF(AND('calcA'!AG$117=1,VE18&gt;0),2000,0)-IF(AND($U18=1,'calcA'!AH$117=1,EG18=0),2000,0))),1000000000))</f>
        <v/>
      </c>
      <c r="PK18">
        <f>IF($B18=0,1000000000,IF(INDEX('calcA'!$D$60:$EQ$99,$B18,32)*IF($W18=1,EG18+AAV18,EG18)=1,IF(AND($E18=2,IF($W18=1,AGK18,JV18)=0),1000000000,IF($V18=1,INDEX('calcA'!$D$130:$EQ$169,$B18,32)+IF(AND($E18=1,JV18=0),25,0),IF($F18&gt;0,INDEX('calcA'!AI$110:AI$114,$F18+1)+IF(AND($E18=1,JV18=0),1000,0),MIN(TV18,20)*400+(IF('calcA'!AH$106=1,1-EF18,0)+IF('calcA'!AI$106=1,1-EH18,0))*150+82+'calcA'!AI$5*100000+IF(AND($E18=1,JV18=0),50000,0))+IF($H18=1,INDEX('calcA'!$D$180:$EQ$219,$B18,32)*4000,0)-IF(AND('calcA'!AH$117=1,VF18&gt;0),2000,0)-IF(AND($U18=1,'calcA'!AI$117=1,EH18=0),2000,0))),1000000000))</f>
        <v/>
      </c>
      <c r="PL18">
        <f>IF($B18=0,1000000000,IF(INDEX('calcA'!$D$60:$EQ$99,$B18,33)*IF($W18=1,EH18+AAW18,EH18)=1,IF(AND($E18=2,IF($W18=1,AGL18,JW18)=0),1000000000,IF($V18=1,INDEX('calcA'!$D$130:$EQ$169,$B18,33)+IF(AND($E18=1,JW18=0),25,0),IF($F18&gt;0,INDEX('calcA'!AJ$110:AJ$114,$F18+1)+IF(AND($E18=1,JW18=0),1000,0),MIN(TV18,20)*400+(IF('calcA'!AI$106=1,1-EG18,0)+IF('calcA'!AJ$106=1,1-EI18,0))*150+92+'calcA'!AJ$5*100000+IF(AND($E18=1,JW18=0),50000,0))+IF($H18=1,INDEX('calcA'!$D$180:$EQ$219,$B18,33)*4000,0)-IF(AND('calcA'!AI$117=1,VG18&gt;0),2000,0)-IF(AND($U18=1,'calcA'!AJ$117=1,EI18=0),2000,0))),1000000000))</f>
        <v/>
      </c>
      <c r="PM18">
        <f>IF($B18=0,1000000000,IF(INDEX('calcA'!$D$60:$EQ$99,$B18,34)*IF($W18=1,EI18+AAX18,EI18)=1,IF(AND($E18=2,IF($W18=1,AGM18,JX18)=0),1000000000,IF($V18=1,INDEX('calcA'!$D$130:$EQ$169,$B18,34)+IF(AND($E18=1,JX18=0),25,0),IF($F18&gt;0,INDEX('calcA'!AK$110:AK$114,$F18+1)+IF(AND($E18=1,JX18=0),1000,0),MIN(TV18,20)*400+(IF('calcA'!AJ$106=1,1-EH18,0)+IF('calcA'!AK$106=1,1-EJ18,0))*150+102+'calcA'!AK$5*100000+IF(AND($E18=1,JX18=0),50000,0))+IF($H18=1,INDEX('calcA'!$D$180:$EQ$219,$B18,34)*4000,0)-IF(AND('calcA'!AJ$117=1,VH18&gt;0),2000,0)-IF(AND($U18=1,'calcA'!AK$117=1,EJ18=0),2000,0))),1000000000))</f>
        <v/>
      </c>
      <c r="PN18">
        <f>IF($B18=0,1000000000,IF(INDEX('calcA'!$D$60:$EQ$99,$B18,35)*IF($W18=1,EJ18+AAY18,EJ18)=1,IF(AND($E18=2,IF($W18=1,AGN18,JY18)=0),1000000000,IF($V18=1,INDEX('calcA'!$D$130:$EQ$169,$B18,35)+IF(AND($E18=1,JY18=0),25,0),IF($F18&gt;0,INDEX('calcA'!AL$110:AL$114,$F18+1)+IF(AND($E18=1,JY18=0),1000,0),MIN(TV18,20)*400+(IF('calcA'!AK$106=1,1-EI18,0)+IF('calcA'!AL$106=1,1-EK18,0))*150+112+'calcA'!AL$5*100000+IF(AND($E18=1,JY18=0),50000,0))+IF($H18=1,INDEX('calcA'!$D$180:$EQ$219,$B18,35)*4000,0)-IF(AND('calcA'!AK$117=1,VI18&gt;0),2000,0)-IF(AND($U18=1,'calcA'!AL$117=1,EK18=0),2000,0))),1000000000))</f>
        <v/>
      </c>
      <c r="PO18">
        <f>IF($B18=0,1000000000,IF(INDEX('calcA'!$D$60:$EQ$99,$B18,36)*IF($W18=1,EK18+AAZ18,EK18)=1,IF(AND($E18=2,IF($W18=1,AGO18,JZ18)=0),1000000000,IF($V18=1,INDEX('calcA'!$D$130:$EQ$169,$B18,36)+IF(AND($E18=1,JZ18=0),25,0),IF($F18&gt;0,INDEX('calcA'!AM$110:AM$114,$F18+1)+IF(AND($E18=1,JZ18=0),1000,0),MIN(TV18,20)*400+(IF('calcA'!AL$106=1,1-EJ18,0)+IF('calcA'!AM$106=1,1-EL18,0))*150+122+'calcA'!AM$5*100000+IF(AND($E18=1,JZ18=0),50000,0))+IF($H18=1,INDEX('calcA'!$D$180:$EQ$219,$B18,36)*4000,0)-IF(AND('calcA'!AL$117=1,VJ18&gt;0),2000,0)-IF(AND($U18=1,'calcA'!AM$117=1,EL18=0),2000,0))),1000000000))</f>
        <v/>
      </c>
      <c r="PP18">
        <f>IF($B18=0,1000000000,IF(INDEX('calcA'!$D$60:$EQ$99,$B18,37)*IF($W18=1,EL18+ABA18,EL18)=1,IF(AND($E18=2,IF($W18=1,AGP18,KA18)=0),1000000000,IF($V18=1,INDEX('calcA'!$D$130:$EQ$169,$B18,37)+IF(AND($E18=1,KA18=0),25,0),IF($F18&gt;0,INDEX('calcA'!AN$110:AN$114,$F18+1)+IF(AND($E18=1,KA18=0),1000,0),MIN(TV18,20)*400+(IF('calcA'!AM$106=1,1-EK18,0)+IF('calcA'!AN$106=1,1-EM18,0))*150+132+'calcA'!AN$5*100000+IF(AND($E18=1,KA18=0),50000,0))+IF($H18=1,INDEX('calcA'!$D$180:$EQ$219,$B18,37)*4000,0)-IF(AND('calcA'!AM$117=1,VK18&gt;0),2000,0)-IF(AND($U18=1,'calcA'!AN$117=1,EM18=0),2000,0))),1000000000))</f>
        <v/>
      </c>
      <c r="PQ18">
        <f>IF($B18=0,1000000000,IF(INDEX('calcA'!$D$60:$EQ$99,$B18,38)*IF($W18=1,EM18+ABB18,EM18)=1,IF(AND($E18=2,IF($W18=1,AGQ18,KB18)=0),1000000000,IF($V18=1,INDEX('calcA'!$D$130:$EQ$169,$B18,38)+IF(AND($E18=1,KB18=0),25,0),IF($F18&gt;0,INDEX('calcA'!AO$110:AO$114,$F18+1)+IF(AND($E18=1,KB18=0),1000,0),MIN(TV18,20)*400+(IF('calcA'!AN$106=1,1-EL18,0)+IF('calcA'!AO$106=1,1-EN18,0))*150+142+'calcA'!AO$5*100000+IF(AND($E18=1,KB18=0),50000,0))+IF($H18=1,INDEX('calcA'!$D$180:$EQ$219,$B18,38)*4000,0)-IF(AND('calcA'!AN$117=1,VL18&gt;0),2000,0)-IF(AND($U18=1,'calcA'!AO$117=1,EN18=0),2000,0))),1000000000))</f>
        <v/>
      </c>
      <c r="PR18">
        <f>IF($B18=0,1000000000,IF(INDEX('calcA'!$D$60:$EQ$99,$B18,39)*IF($W18=1,EN18+ABC18,EN18)=1,IF(AND($E18=2,IF($W18=1,AGR18,KC18)=0),1000000000,IF($V18=1,INDEX('calcA'!$D$130:$EQ$169,$B18,39)+IF(AND($E18=1,KC18=0),25,0),IF($F18&gt;0,INDEX('calcA'!AP$110:AP$114,$F18+1)+IF(AND($E18=1,KC18=0),1000,0),MIN(TV18,20)*400+(IF('calcA'!AO$106=1,1-EM18,0)+IF('calcA'!AP$106=1,1-EO18,0))*150+152+'calcA'!AP$5*100000+IF(AND($E18=1,KC18=0),50000,0))+IF($H18=1,INDEX('calcA'!$D$180:$EQ$219,$B18,39)*4000,0)-IF(AND('calcA'!AO$117=1,VM18&gt;0),2000,0)-IF(AND($U18=1,'calcA'!AP$117=1,EO18=0),2000,0))),1000000000))</f>
        <v/>
      </c>
      <c r="PS18">
        <f>IF($B18=0,1000000000,IF(INDEX('calcA'!$D$60:$EQ$99,$B18,40)*IF($W18=1,EO18+ABD18,EO18)=1,IF(AND($E18=2,IF($W18=1,AGS18,KD18)=0),1000000000,IF($V18=1,INDEX('calcA'!$D$130:$EQ$169,$B18,40)+IF(AND($E18=1,KD18=0),25,0),IF($F18&gt;0,INDEX('calcA'!AQ$110:AQ$114,$F18+1)+IF(AND($E18=1,KD18=0),1000,0),MIN(TV18,20)*400+(IF('calcA'!AP$106=1,1-EN18,0)+IF('calcA'!AQ$106=1,1-EP18,0))*150+162+'calcA'!AQ$5*100000+IF(AND($E18=1,KD18=0),50000,0))+IF($H18=1,INDEX('calcA'!$D$180:$EQ$219,$B18,40)*4000,0)-IF(AND('calcA'!AP$117=1,VN18&gt;0),2000,0)-IF(AND($U18=1,'calcA'!AQ$117=1,EP18=0),2000,0))),1000000000))</f>
        <v/>
      </c>
      <c r="PT18">
        <f>IF($B18=0,1000000000,IF(INDEX('calcA'!$D$60:$EQ$99,$B18,41)*IF($W18=1,EP18+ABE18,EP18)=1,IF(AND($E18=2,IF($W18=1,AGT18,KE18)=0),1000000000,IF($V18=1,INDEX('calcA'!$D$130:$EQ$169,$B18,41)+IF(AND($E18=1,KE18=0),25,0),IF($F18&gt;0,INDEX('calcA'!AR$110:AR$114,$F18+1)+IF(AND($E18=1,KE18=0),1000,0),MIN(TV18,20)*400+(IF('calcA'!AQ$106=1,1-EO18,0)+IF('calcA'!AR$106=1,1-EQ18,0))*150+172+'calcA'!AR$5*100000+IF(AND($E18=1,KE18=0),50000,0))+IF($H18=1,INDEX('calcA'!$D$180:$EQ$219,$B18,41)*4000,0)-IF(AND('calcA'!AQ$117=1,VO18&gt;0),2000,0)-IF(AND($U18=1,'calcA'!AR$117=1,EQ18=0),2000,0))),1000000000))</f>
        <v/>
      </c>
      <c r="PU18">
        <f>IF($B18=0,1000000000,IF(INDEX('calcA'!$D$60:$EQ$99,$B18,42)*IF($W18=1,EQ18+ABF18,EQ18)=1,IF(AND($E18=2,IF($W18=1,AGU18,KF18)=0),1000000000,IF($V18=1,INDEX('calcA'!$D$130:$EQ$169,$B18,42)+IF(AND($E18=1,KF18=0),25,0),IF($F18&gt;0,INDEX('calcA'!AS$110:AS$114,$F18+1)+IF(AND($E18=1,KF18=0),1000,0),MIN(TV18,20)*400+(IF('calcA'!AR$106=1,1-EP18,0)+IF('calcA'!AS$106=1,1-ER18,0))*150+182+'calcA'!AS$5*100000+IF(AND($E18=1,KF18=0),50000,0))+IF($H18=1,INDEX('calcA'!$D$180:$EQ$219,$B18,42)*4000,0)-IF(AND('calcA'!AR$117=1,VP18&gt;0),2000,0)-IF(AND($U18=1,'calcA'!AS$117=1,ER18=0),2000,0))),1000000000))</f>
        <v/>
      </c>
      <c r="PV18">
        <f>IF($B18=0,1000000000,IF(INDEX('calcA'!$D$60:$EQ$99,$B18,43)*IF($W18=1,ER18+ABG18,ER18)=1,IF(AND($E18=2,IF($W18=1,AGV18,KG18)=0),1000000000,IF($V18=1,INDEX('calcA'!$D$130:$EQ$169,$B18,43)+IF(AND($E18=1,KG18=0),25,0),IF($F18&gt;0,INDEX('calcA'!AT$110:AT$114,$F18+1)+IF(AND($E18=1,KG18=0),1000,0),MIN(TV18,20)*400+(IF('calcA'!AS$106=1,1-EQ18,0)+IF('calcA'!AT$106=1,1-ES18,0))*150+192+'calcA'!AT$5*100000+IF(AND($E18=1,KG18=0),50000,0))+IF($H18=1,INDEX('calcA'!$D$180:$EQ$219,$B18,43)*4000,0)-IF(AND('calcA'!AS$117=1,VQ18&gt;0),2000,0)-IF(AND($U18=1,'calcA'!AT$117=1,ES18=0),2000,0))),1000000000))</f>
        <v/>
      </c>
      <c r="PW18">
        <f>IF($B18=0,1000000000,IF(INDEX('calcA'!$D$60:$EQ$99,$B18,44)*IF($W18=1,ES18+ABH18,ES18)=1,IF(AND($E18=2,IF($W18=1,AGW18,KH18)=0),1000000000,IF($V18=1,INDEX('calcA'!$D$130:$EQ$169,$B18,44)+IF(AND($E18=1,KH18=0),25,0),IF($F18&gt;0,INDEX('calcA'!AU$110:AU$114,$F18+1)+IF(AND($E18=1,KH18=0),1000,0),MIN(TV18,20)*400+(IF('calcA'!AT$106=1,1-ER18,0)+IF('calcA'!AU$106=1,1-ET18,0))*150+202+'calcA'!AU$5*100000+IF(AND($E18=1,KH18=0),50000,0))+IF($H18=1,INDEX('calcA'!$D$180:$EQ$219,$B18,44)*4000,0)-IF(AND('calcA'!AT$117=1,VR18&gt;0),2000,0)-IF(AND($U18=1,'calcA'!AU$117=1,ET18=0),2000,0))),1000000000))</f>
        <v/>
      </c>
      <c r="PX18">
        <f>IF($B18=0,1000000000,IF(INDEX('calcA'!$D$60:$EQ$99,$B18,45)*IF($W18=1,ET18+ABI18,ET18)=1,IF(AND($E18=2,IF($W18=1,AGX18,KI18)=0),1000000000,IF($V18=1,INDEX('calcA'!$D$130:$EQ$169,$B18,45)+IF(AND($E18=1,KI18=0),25,0),IF($F18&gt;0,INDEX('calcA'!AV$110:AV$114,$F18+1)+IF(AND($E18=1,KI18=0),1000,0),MIN(TV18,20)*400+(IF('calcA'!AU$106=1,1-ES18,0)+IF('calcA'!AV$106=1,1-EU18,0))*150+212+'calcA'!AV$5*100000+IF(AND($E18=1,KI18=0),50000,0))+IF($H18=1,INDEX('calcA'!$D$180:$EQ$219,$B18,45)*4000,0)-IF(AND('calcA'!AU$117=1,VS18&gt;0),2000,0)-IF(AND($U18=1,'calcA'!AV$117=1,EU18=0),2000,0))),1000000000))</f>
        <v/>
      </c>
      <c r="PY18">
        <f>IF($B18=0,1000000000,IF(INDEX('calcA'!$D$60:$EQ$99,$B18,46)*IF($W18=1,EU18+ABJ18,EU18)=1,IF(AND($E18=2,IF($W18=1,AGY18,KJ18)=0),1000000000,IF($V18=1,INDEX('calcA'!$D$130:$EQ$169,$B18,46)+IF(AND($E18=1,KJ18=0),25,0),IF($F18&gt;0,INDEX('calcA'!AW$110:AW$114,$F18+1)+IF(AND($E18=1,KJ18=0),1000,0),MIN(TV18,20)*400+(IF('calcA'!AV$106=1,1-ET18,0)+IF('calcA'!AW$106=1,1-EV18,0))*150+222+'calcA'!AW$5*100000+IF(AND($E18=1,KJ18=0),50000,0))+IF($H18=1,INDEX('calcA'!$D$180:$EQ$219,$B18,46)*4000,0)-IF(AND('calcA'!AV$117=1,VT18&gt;0),2000,0)-IF(AND($U18=1,'calcA'!AW$117=1,EV18=0),2000,0))),1000000000))</f>
        <v/>
      </c>
      <c r="PZ18">
        <f>IF($B18=0,1000000000,IF(INDEX('calcA'!$D$60:$EQ$99,$B18,47)*IF($W18=1,EV18+ABK18,EV18)=1,IF(AND($E18=2,IF($W18=1,AGZ18,KK18)=0),1000000000,IF($V18=1,INDEX('calcA'!$D$130:$EQ$169,$B18,47)+IF(AND($E18=1,KK18=0),25,0),IF($F18&gt;0,INDEX('calcA'!AX$110:AX$114,$F18+1)+IF(AND($E18=1,KK18=0),1000,0),MIN(TV18,20)*400+(IF('calcA'!AW$106=1,1-EU18,0)+IF('calcA'!AX$106=1,1-EW18,0))*150+232+'calcA'!AX$5*100000+IF(AND($E18=1,KK18=0),50000,0))+IF($H18=1,INDEX('calcA'!$D$180:$EQ$219,$B18,47)*4000,0)-IF(AND('calcA'!AW$117=1,VU18&gt;0),2000,0)-IF(AND($U18=1,'calcA'!AX$117=1,EW18=0),2000,0))),1000000000))</f>
        <v/>
      </c>
      <c r="QA18">
        <f>IF($B18=0,1000000000,IF(INDEX('calcA'!$D$60:$EQ$99,$B18,48)*IF($W18=1,EW18+ABL18,EW18)=1,IF(AND($E18=2,IF($W18=1,AHA18,KL18)=0),1000000000,IF($V18=1,INDEX('calcA'!$D$130:$EQ$169,$B18,48)+IF(AND($E18=1,KL18=0),25,0),IF($F18&gt;0,INDEX('calcA'!AY$110:AY$114,$F18+1)+IF(AND($E18=1,KL18=0),1000,0),MIN(TV18,20)*400+(IF('calcA'!AX$106=1,1-EV18,0))*150+242+'calcA'!AY$5*100000+IF(AND($E18=1,KL18=0),50000,0))+IF($H18=1,INDEX('calcA'!$D$180:$EQ$219,$B18,48)*4000,0)-IF(AND('calcA'!AX$117=1,VV18&gt;0),2000,0))),1000000000))</f>
        <v/>
      </c>
      <c r="QB18">
        <f>IF($B18=0,1000000000,IF(INDEX('calcA'!$D$60:$EQ$99,$B18,49)*IF($W18=1,EX18+ABM18,EX18)=1,IF(AND($E18=2,IF($W18=1,AHB18,KM18)=0),1000000000,IF($V18=1,INDEX('calcA'!$D$130:$EQ$169,$B18,49)+IF(AND($E18=1,KM18=0),25,0),IF($F18&gt;0,INDEX('calcA'!AZ$110:AZ$114,$F18+1)+IF(AND($E18=1,KM18=0),1000,0),MIN(TW18,20)*400+(IF('calcA'!AZ$106=1,1-EY18,0))*150+13+'calcA'!AZ$5*100000+IF(AND($E18=1,KM18=0),50000,0))+IF($H18=1,INDEX('calcA'!$D$180:$EQ$219,$B18,49)*4000,0)-IF(AND($U18=1,'calcA'!AZ$117=1,EY18=0),2000,0))),1000000000))</f>
        <v/>
      </c>
      <c r="QC18">
        <f>IF($B18=0,1000000000,IF(INDEX('calcA'!$D$60:$EQ$99,$B18,50)*IF($W18=1,EY18+ABN18,EY18)=1,IF(AND($E18=2,IF($W18=1,AHC18,KN18)=0),1000000000,IF($V18=1,INDEX('calcA'!$D$130:$EQ$169,$B18,50)+IF(AND($E18=1,KN18=0),25,0),IF($F18&gt;0,INDEX('calcA'!BA$110:BA$114,$F18+1)+IF(AND($E18=1,KN18=0),1000,0),MIN(TW18,20)*400+(IF('calcA'!AZ$106=1,1-EX18,0)+IF('calcA'!BA$106=1,1-EZ18,0))*150+23+'calcA'!BA$5*100000+IF(AND($E18=1,KN18=0),50000,0))+IF($H18=1,INDEX('calcA'!$D$180:$EQ$219,$B18,50)*4000,0)-IF(AND('calcA'!AZ$117=1,VX18&gt;0),2000,0)-IF(AND($U18=1,'calcA'!BA$117=1,EZ18=0),2000,0))),1000000000))</f>
        <v/>
      </c>
      <c r="QD18">
        <f>IF($B18=0,1000000000,IF(INDEX('calcA'!$D$60:$EQ$99,$B18,51)*IF($W18=1,EZ18+ABO18,EZ18)=1,IF(AND($E18=2,IF($W18=1,AHD18,KO18)=0),1000000000,IF($V18=1,INDEX('calcA'!$D$130:$EQ$169,$B18,51)+IF(AND($E18=1,KO18=0),25,0),IF($F18&gt;0,INDEX('calcA'!BB$110:BB$114,$F18+1)+IF(AND($E18=1,KO18=0),1000,0),MIN(TW18,20)*400+(IF('calcA'!BA$106=1,1-EY18,0)+IF('calcA'!BB$106=1,1-FA18,0))*150+33+'calcA'!BB$5*100000+IF(AND($E18=1,KO18=0),50000,0))+IF($H18=1,INDEX('calcA'!$D$180:$EQ$219,$B18,51)*4000,0)-IF(AND('calcA'!BA$117=1,VY18&gt;0),2000,0)-IF(AND($U18=1,'calcA'!BB$117=1,FA18=0),2000,0))),1000000000))</f>
        <v/>
      </c>
      <c r="QE18">
        <f>IF($B18=0,1000000000,IF(INDEX('calcA'!$D$60:$EQ$99,$B18,52)*IF($W18=1,FA18+ABP18,FA18)=1,IF(AND($E18=2,IF($W18=1,AHE18,KP18)=0),1000000000,IF($V18=1,INDEX('calcA'!$D$130:$EQ$169,$B18,52)+IF(AND($E18=1,KP18=0),25,0),IF($F18&gt;0,INDEX('calcA'!BC$110:BC$114,$F18+1)+IF(AND($E18=1,KP18=0),1000,0),MIN(TW18,20)*400+(IF('calcA'!BB$106=1,1-EZ18,0)+IF('calcA'!BC$106=1,1-FB18,0))*150+43+'calcA'!BC$5*100000+IF(AND($E18=1,KP18=0),50000,0))+IF($H18=1,INDEX('calcA'!$D$180:$EQ$219,$B18,52)*4000,0)-IF(AND('calcA'!BB$117=1,VZ18&gt;0),2000,0)-IF(AND($U18=1,'calcA'!BC$117=1,FB18=0),2000,0))),1000000000))</f>
        <v/>
      </c>
      <c r="QF18">
        <f>IF($B18=0,1000000000,IF(INDEX('calcA'!$D$60:$EQ$99,$B18,53)*IF($W18=1,FB18+ABQ18,FB18)=1,IF(AND($E18=2,IF($W18=1,AHF18,KQ18)=0),1000000000,IF($V18=1,INDEX('calcA'!$D$130:$EQ$169,$B18,53)+IF(AND($E18=1,KQ18=0),25,0),IF($F18&gt;0,INDEX('calcA'!BD$110:BD$114,$F18+1)+IF(AND($E18=1,KQ18=0),1000,0),MIN(TW18,20)*400+(IF('calcA'!BC$106=1,1-FA18,0)+IF('calcA'!BD$106=1,1-FC18,0))*150+53+'calcA'!BD$5*100000+IF(AND($E18=1,KQ18=0),50000,0))+IF($H18=1,INDEX('calcA'!$D$180:$EQ$219,$B18,53)*4000,0)-IF(AND('calcA'!BC$117=1,WA18&gt;0),2000,0)-IF(AND($U18=1,'calcA'!BD$117=1,FC18=0),2000,0))),1000000000))</f>
        <v/>
      </c>
      <c r="QG18">
        <f>IF($B18=0,1000000000,IF(INDEX('calcA'!$D$60:$EQ$99,$B18,54)*IF($W18=1,FC18+ABR18,FC18)=1,IF(AND($E18=2,IF($W18=1,AHG18,KR18)=0),1000000000,IF($V18=1,INDEX('calcA'!$D$130:$EQ$169,$B18,54)+IF(AND($E18=1,KR18=0),25,0),IF($F18&gt;0,INDEX('calcA'!BE$110:BE$114,$F18+1)+IF(AND($E18=1,KR18=0),1000,0),MIN(TW18,20)*400+(IF('calcA'!BD$106=1,1-FB18,0)+IF('calcA'!BE$106=1,1-FD18,0))*150+63+'calcA'!BE$5*100000+IF(AND($E18=1,KR18=0),50000,0))+IF($H18=1,INDEX('calcA'!$D$180:$EQ$219,$B18,54)*4000,0)-IF(AND('calcA'!BD$117=1,WB18&gt;0),2000,0)-IF(AND($U18=1,'calcA'!BE$117=1,FD18=0),2000,0))),1000000000))</f>
        <v/>
      </c>
      <c r="QH18">
        <f>IF($B18=0,1000000000,IF(INDEX('calcA'!$D$60:$EQ$99,$B18,55)*IF($W18=1,FD18+ABS18,FD18)=1,IF(AND($E18=2,IF($W18=1,AHH18,KS18)=0),1000000000,IF($V18=1,INDEX('calcA'!$D$130:$EQ$169,$B18,55)+IF(AND($E18=1,KS18=0),25,0),IF($F18&gt;0,INDEX('calcA'!BF$110:BF$114,$F18+1)+IF(AND($E18=1,KS18=0),1000,0),MIN(TW18,20)*400+(IF('calcA'!BE$106=1,1-FC18,0)+IF('calcA'!BF$106=1,1-FE18,0))*150+73+'calcA'!BF$5*100000+IF(AND($E18=1,KS18=0),50000,0))+IF($H18=1,INDEX('calcA'!$D$180:$EQ$219,$B18,55)*4000,0)-IF(AND('calcA'!BE$117=1,WC18&gt;0),2000,0)-IF(AND($U18=1,'calcA'!BF$117=1,FE18=0),2000,0))),1000000000))</f>
        <v/>
      </c>
      <c r="QI18">
        <f>IF($B18=0,1000000000,IF(INDEX('calcA'!$D$60:$EQ$99,$B18,56)*IF($W18=1,FE18+ABT18,FE18)=1,IF(AND($E18=2,IF($W18=1,AHI18,KT18)=0),1000000000,IF($V18=1,INDEX('calcA'!$D$130:$EQ$169,$B18,56)+IF(AND($E18=1,KT18=0),25,0),IF($F18&gt;0,INDEX('calcA'!BG$110:BG$114,$F18+1)+IF(AND($E18=1,KT18=0),1000,0),MIN(TW18,20)*400+(IF('calcA'!BF$106=1,1-FD18,0)+IF('calcA'!BG$106=1,1-FF18,0))*150+83+'calcA'!BG$5*100000+IF(AND($E18=1,KT18=0),50000,0))+IF($H18=1,INDEX('calcA'!$D$180:$EQ$219,$B18,56)*4000,0)-IF(AND('calcA'!BF$117=1,WD18&gt;0),2000,0)-IF(AND($U18=1,'calcA'!BG$117=1,FF18=0),2000,0))),1000000000))</f>
        <v/>
      </c>
      <c r="QJ18">
        <f>IF($B18=0,1000000000,IF(INDEX('calcA'!$D$60:$EQ$99,$B18,57)*IF($W18=1,FF18+ABU18,FF18)=1,IF(AND($E18=2,IF($W18=1,AHJ18,KU18)=0),1000000000,IF($V18=1,INDEX('calcA'!$D$130:$EQ$169,$B18,57)+IF(AND($E18=1,KU18=0),25,0),IF($F18&gt;0,INDEX('calcA'!BH$110:BH$114,$F18+1)+IF(AND($E18=1,KU18=0),1000,0),MIN(TW18,20)*400+(IF('calcA'!BG$106=1,1-FE18,0)+IF('calcA'!BH$106=1,1-FG18,0))*150+93+'calcA'!BH$5*100000+IF(AND($E18=1,KU18=0),50000,0))+IF($H18=1,INDEX('calcA'!$D$180:$EQ$219,$B18,57)*4000,0)-IF(AND('calcA'!BG$117=1,WE18&gt;0),2000,0)-IF(AND($U18=1,'calcA'!BH$117=1,FG18=0),2000,0))),1000000000))</f>
        <v/>
      </c>
      <c r="QK18">
        <f>IF($B18=0,1000000000,IF(INDEX('calcA'!$D$60:$EQ$99,$B18,58)*IF($W18=1,FG18+ABV18,FG18)=1,IF(AND($E18=2,IF($W18=1,AHK18,KV18)=0),1000000000,IF($V18=1,INDEX('calcA'!$D$130:$EQ$169,$B18,58)+IF(AND($E18=1,KV18=0),25,0),IF($F18&gt;0,INDEX('calcA'!BI$110:BI$114,$F18+1)+IF(AND($E18=1,KV18=0),1000,0),MIN(TW18,20)*400+(IF('calcA'!BH$106=1,1-FF18,0)+IF('calcA'!BI$106=1,1-FH18,0))*150+103+'calcA'!BI$5*100000+IF(AND($E18=1,KV18=0),50000,0))+IF($H18=1,INDEX('calcA'!$D$180:$EQ$219,$B18,58)*4000,0)-IF(AND('calcA'!BH$117=1,WF18&gt;0),2000,0)-IF(AND($U18=1,'calcA'!BI$117=1,FH18=0),2000,0))),1000000000))</f>
        <v/>
      </c>
      <c r="QL18">
        <f>IF($B18=0,1000000000,IF(INDEX('calcA'!$D$60:$EQ$99,$B18,59)*IF($W18=1,FH18+ABW18,FH18)=1,IF(AND($E18=2,IF($W18=1,AHL18,KW18)=0),1000000000,IF($V18=1,INDEX('calcA'!$D$130:$EQ$169,$B18,59)+IF(AND($E18=1,KW18=0),25,0),IF($F18&gt;0,INDEX('calcA'!BJ$110:BJ$114,$F18+1)+IF(AND($E18=1,KW18=0),1000,0),MIN(TW18,20)*400+(IF('calcA'!BI$106=1,1-FG18,0)+IF('calcA'!BJ$106=1,1-FI18,0))*150+113+'calcA'!BJ$5*100000+IF(AND($E18=1,KW18=0),50000,0))+IF($H18=1,INDEX('calcA'!$D$180:$EQ$219,$B18,59)*4000,0)-IF(AND('calcA'!BI$117=1,WG18&gt;0),2000,0)-IF(AND($U18=1,'calcA'!BJ$117=1,FI18=0),2000,0))),1000000000))</f>
        <v/>
      </c>
      <c r="QM18">
        <f>IF($B18=0,1000000000,IF(INDEX('calcA'!$D$60:$EQ$99,$B18,60)*IF($W18=1,FI18+ABX18,FI18)=1,IF(AND($E18=2,IF($W18=1,AHM18,KX18)=0),1000000000,IF($V18=1,INDEX('calcA'!$D$130:$EQ$169,$B18,60)+IF(AND($E18=1,KX18=0),25,0),IF($F18&gt;0,INDEX('calcA'!BK$110:BK$114,$F18+1)+IF(AND($E18=1,KX18=0),1000,0),MIN(TW18,20)*400+(IF('calcA'!BJ$106=1,1-FH18,0)+IF('calcA'!BK$106=1,1-FJ18,0))*150+123+'calcA'!BK$5*100000+IF(AND($E18=1,KX18=0),50000,0))+IF($H18=1,INDEX('calcA'!$D$180:$EQ$219,$B18,60)*4000,0)-IF(AND('calcA'!BJ$117=1,WH18&gt;0),2000,0)-IF(AND($U18=1,'calcA'!BK$117=1,FJ18=0),2000,0))),1000000000))</f>
        <v/>
      </c>
      <c r="QN18">
        <f>IF($B18=0,1000000000,IF(INDEX('calcA'!$D$60:$EQ$99,$B18,61)*IF($W18=1,FJ18+ABY18,FJ18)=1,IF(AND($E18=2,IF($W18=1,AHN18,KY18)=0),1000000000,IF($V18=1,INDEX('calcA'!$D$130:$EQ$169,$B18,61)+IF(AND($E18=1,KY18=0),25,0),IF($F18&gt;0,INDEX('calcA'!BL$110:BL$114,$F18+1)+IF(AND($E18=1,KY18=0),1000,0),MIN(TW18,20)*400+(IF('calcA'!BK$106=1,1-FI18,0)+IF('calcA'!BL$106=1,1-FK18,0))*150+133+'calcA'!BL$5*100000+IF(AND($E18=1,KY18=0),50000,0))+IF($H18=1,INDEX('calcA'!$D$180:$EQ$219,$B18,61)*4000,0)-IF(AND('calcA'!BK$117=1,WI18&gt;0),2000,0)-IF(AND($U18=1,'calcA'!BL$117=1,FK18=0),2000,0))),1000000000))</f>
        <v/>
      </c>
      <c r="QO18">
        <f>IF($B18=0,1000000000,IF(INDEX('calcA'!$D$60:$EQ$99,$B18,62)*IF($W18=1,FK18+ABZ18,FK18)=1,IF(AND($E18=2,IF($W18=1,AHO18,KZ18)=0),1000000000,IF($V18=1,INDEX('calcA'!$D$130:$EQ$169,$B18,62)+IF(AND($E18=1,KZ18=0),25,0),IF($F18&gt;0,INDEX('calcA'!BM$110:BM$114,$F18+1)+IF(AND($E18=1,KZ18=0),1000,0),MIN(TW18,20)*400+(IF('calcA'!BL$106=1,1-FJ18,0)+IF('calcA'!BM$106=1,1-FL18,0))*150+143+'calcA'!BM$5*100000+IF(AND($E18=1,KZ18=0),50000,0))+IF($H18=1,INDEX('calcA'!$D$180:$EQ$219,$B18,62)*4000,0)-IF(AND('calcA'!BL$117=1,WJ18&gt;0),2000,0)-IF(AND($U18=1,'calcA'!BM$117=1,FL18=0),2000,0))),1000000000))</f>
        <v/>
      </c>
      <c r="QP18">
        <f>IF($B18=0,1000000000,IF(INDEX('calcA'!$D$60:$EQ$99,$B18,63)*IF($W18=1,FL18+ACA18,FL18)=1,IF(AND($E18=2,IF($W18=1,AHP18,LA18)=0),1000000000,IF($V18=1,INDEX('calcA'!$D$130:$EQ$169,$B18,63)+IF(AND($E18=1,LA18=0),25,0),IF($F18&gt;0,INDEX('calcA'!BN$110:BN$114,$F18+1)+IF(AND($E18=1,LA18=0),1000,0),MIN(TW18,20)*400+(IF('calcA'!BM$106=1,1-FK18,0)+IF('calcA'!BN$106=1,1-FM18,0))*150+153+'calcA'!BN$5*100000+IF(AND($E18=1,LA18=0),50000,0))+IF($H18=1,INDEX('calcA'!$D$180:$EQ$219,$B18,63)*4000,0)-IF(AND('calcA'!BM$117=1,WK18&gt;0),2000,0)-IF(AND($U18=1,'calcA'!BN$117=1,FM18=0),2000,0))),1000000000))</f>
        <v/>
      </c>
      <c r="QQ18">
        <f>IF($B18=0,1000000000,IF(INDEX('calcA'!$D$60:$EQ$99,$B18,64)*IF($W18=1,FM18+ACB18,FM18)=1,IF(AND($E18=2,IF($W18=1,AHQ18,LB18)=0),1000000000,IF($V18=1,INDEX('calcA'!$D$130:$EQ$169,$B18,64)+IF(AND($E18=1,LB18=0),25,0),IF($F18&gt;0,INDEX('calcA'!BO$110:BO$114,$F18+1)+IF(AND($E18=1,LB18=0),1000,0),MIN(TW18,20)*400+(IF('calcA'!BN$106=1,1-FL18,0)+IF('calcA'!BO$106=1,1-FN18,0))*150+163+'calcA'!BO$5*100000+IF(AND($E18=1,LB18=0),50000,0))+IF($H18=1,INDEX('calcA'!$D$180:$EQ$219,$B18,64)*4000,0)-IF(AND('calcA'!BN$117=1,WL18&gt;0),2000,0)-IF(AND($U18=1,'calcA'!BO$117=1,FN18=0),2000,0))),1000000000))</f>
        <v/>
      </c>
      <c r="QR18">
        <f>IF($B18=0,1000000000,IF(INDEX('calcA'!$D$60:$EQ$99,$B18,65)*IF($W18=1,FN18+ACC18,FN18)=1,IF(AND($E18=2,IF($W18=1,AHR18,LC18)=0),1000000000,IF($V18=1,INDEX('calcA'!$D$130:$EQ$169,$B18,65)+IF(AND($E18=1,LC18=0),25,0),IF($F18&gt;0,INDEX('calcA'!BP$110:BP$114,$F18+1)+IF(AND($E18=1,LC18=0),1000,0),MIN(TW18,20)*400+(IF('calcA'!BO$106=1,1-FM18,0)+IF('calcA'!BP$106=1,1-FO18,0))*150+173+'calcA'!BP$5*100000+IF(AND($E18=1,LC18=0),50000,0))+IF($H18=1,INDEX('calcA'!$D$180:$EQ$219,$B18,65)*4000,0)-IF(AND('calcA'!BO$117=1,WM18&gt;0),2000,0)-IF(AND($U18=1,'calcA'!BP$117=1,FO18=0),2000,0))),1000000000))</f>
        <v/>
      </c>
      <c r="QS18">
        <f>IF($B18=0,1000000000,IF(INDEX('calcA'!$D$60:$EQ$99,$B18,66)*IF($W18=1,FO18+ACD18,FO18)=1,IF(AND($E18=2,IF($W18=1,AHS18,LD18)=0),1000000000,IF($V18=1,INDEX('calcA'!$D$130:$EQ$169,$B18,66)+IF(AND($E18=1,LD18=0),25,0),IF($F18&gt;0,INDEX('calcA'!BQ$110:BQ$114,$F18+1)+IF(AND($E18=1,LD18=0),1000,0),MIN(TW18,20)*400+(IF('calcA'!BP$106=1,1-FN18,0)+IF('calcA'!BQ$106=1,1-FP18,0))*150+183+'calcA'!BQ$5*100000+IF(AND($E18=1,LD18=0),50000,0))+IF($H18=1,INDEX('calcA'!$D$180:$EQ$219,$B18,66)*4000,0)-IF(AND('calcA'!BP$117=1,WN18&gt;0),2000,0)-IF(AND($U18=1,'calcA'!BQ$117=1,FP18=0),2000,0))),1000000000))</f>
        <v/>
      </c>
      <c r="QT18">
        <f>IF($B18=0,1000000000,IF(INDEX('calcA'!$D$60:$EQ$99,$B18,67)*IF($W18=1,FP18+ACE18,FP18)=1,IF(AND($E18=2,IF($W18=1,AHT18,LE18)=0),1000000000,IF($V18=1,INDEX('calcA'!$D$130:$EQ$169,$B18,67)+IF(AND($E18=1,LE18=0),25,0),IF($F18&gt;0,INDEX('calcA'!BR$110:BR$114,$F18+1)+IF(AND($E18=1,LE18=0),1000,0),MIN(TW18,20)*400+(IF('calcA'!BQ$106=1,1-FO18,0)+IF('calcA'!BR$106=1,1-FQ18,0))*150+193+'calcA'!BR$5*100000+IF(AND($E18=1,LE18=0),50000,0))+IF($H18=1,INDEX('calcA'!$D$180:$EQ$219,$B18,67)*4000,0)-IF(AND('calcA'!BQ$117=1,WO18&gt;0),2000,0)-IF(AND($U18=1,'calcA'!BR$117=1,FQ18=0),2000,0))),1000000000))</f>
        <v/>
      </c>
      <c r="QU18">
        <f>IF($B18=0,1000000000,IF(INDEX('calcA'!$D$60:$EQ$99,$B18,68)*IF($W18=1,FQ18+ACF18,FQ18)=1,IF(AND($E18=2,IF($W18=1,AHU18,LF18)=0),1000000000,IF($V18=1,INDEX('calcA'!$D$130:$EQ$169,$B18,68)+IF(AND($E18=1,LF18=0),25,0),IF($F18&gt;0,INDEX('calcA'!BS$110:BS$114,$F18+1)+IF(AND($E18=1,LF18=0),1000,0),MIN(TW18,20)*400+(IF('calcA'!BR$106=1,1-FP18,0)+IF('calcA'!BS$106=1,1-FR18,0))*150+203+'calcA'!BS$5*100000+IF(AND($E18=1,LF18=0),50000,0))+IF($H18=1,INDEX('calcA'!$D$180:$EQ$219,$B18,68)*4000,0)-IF(AND('calcA'!BR$117=1,WP18&gt;0),2000,0)-IF(AND($U18=1,'calcA'!BS$117=1,FR18=0),2000,0))),1000000000))</f>
        <v/>
      </c>
      <c r="QV18">
        <f>IF($B18=0,1000000000,IF(INDEX('calcA'!$D$60:$EQ$99,$B18,69)*IF($W18=1,FR18+ACG18,FR18)=1,IF(AND($E18=2,IF($W18=1,AHV18,LG18)=0),1000000000,IF($V18=1,INDEX('calcA'!$D$130:$EQ$169,$B18,69)+IF(AND($E18=1,LG18=0),25,0),IF($F18&gt;0,INDEX('calcA'!BT$110:BT$114,$F18+1)+IF(AND($E18=1,LG18=0),1000,0),MIN(TW18,20)*400+(IF('calcA'!BS$106=1,1-FQ18,0)+IF('calcA'!BT$106=1,1-FS18,0))*150+213+'calcA'!BT$5*100000+IF(AND($E18=1,LG18=0),50000,0))+IF($H18=1,INDEX('calcA'!$D$180:$EQ$219,$B18,69)*4000,0)-IF(AND('calcA'!BS$117=1,WQ18&gt;0),2000,0)-IF(AND($U18=1,'calcA'!BT$117=1,FS18=0),2000,0))),1000000000))</f>
        <v/>
      </c>
      <c r="QW18">
        <f>IF($B18=0,1000000000,IF(INDEX('calcA'!$D$60:$EQ$99,$B18,70)*IF($W18=1,FS18+ACH18,FS18)=1,IF(AND($E18=2,IF($W18=1,AHW18,LH18)=0),1000000000,IF($V18=1,INDEX('calcA'!$D$130:$EQ$169,$B18,70)+IF(AND($E18=1,LH18=0),25,0),IF($F18&gt;0,INDEX('calcA'!BU$110:BU$114,$F18+1)+IF(AND($E18=1,LH18=0),1000,0),MIN(TW18,20)*400+(IF('calcA'!BT$106=1,1-FR18,0)+IF('calcA'!BU$106=1,1-FT18,0))*150+223+'calcA'!BU$5*100000+IF(AND($E18=1,LH18=0),50000,0))+IF($H18=1,INDEX('calcA'!$D$180:$EQ$219,$B18,70)*4000,0)-IF(AND('calcA'!BT$117=1,WR18&gt;0),2000,0)-IF(AND($U18=1,'calcA'!BU$117=1,FT18=0),2000,0))),1000000000))</f>
        <v/>
      </c>
      <c r="QX18">
        <f>IF($B18=0,1000000000,IF(INDEX('calcA'!$D$60:$EQ$99,$B18,71)*IF($W18=1,FT18+ACI18,FT18)=1,IF(AND($E18=2,IF($W18=1,AHX18,LI18)=0),1000000000,IF($V18=1,INDEX('calcA'!$D$130:$EQ$169,$B18,71)+IF(AND($E18=1,LI18=0),25,0),IF($F18&gt;0,INDEX('calcA'!BV$110:BV$114,$F18+1)+IF(AND($E18=1,LI18=0),1000,0),MIN(TW18,20)*400+(IF('calcA'!BU$106=1,1-FS18,0)+IF('calcA'!BV$106=1,1-FU18,0))*150+233+'calcA'!BV$5*100000+IF(AND($E18=1,LI18=0),50000,0))+IF($H18=1,INDEX('calcA'!$D$180:$EQ$219,$B18,71)*4000,0)-IF(AND('calcA'!BU$117=1,WS18&gt;0),2000,0)-IF(AND($U18=1,'calcA'!BV$117=1,FU18=0),2000,0))),1000000000))</f>
        <v/>
      </c>
      <c r="QY18">
        <f>IF($B18=0,1000000000,IF(INDEX('calcA'!$D$60:$EQ$99,$B18,72)*IF($W18=1,FU18+ACJ18,FU18)=1,IF(AND($E18=2,IF($W18=1,AHY18,LJ18)=0),1000000000,IF($V18=1,INDEX('calcA'!$D$130:$EQ$169,$B18,72)+IF(AND($E18=1,LJ18=0),25,0),IF($F18&gt;0,INDEX('calcA'!BW$110:BW$114,$F18+1)+IF(AND($E18=1,LJ18=0),1000,0),MIN(TW18,20)*400+(IF('calcA'!BV$106=1,1-FT18,0))*150+243+'calcA'!BW$5*100000+IF(AND($E18=1,LJ18=0),50000,0))+IF($H18=1,INDEX('calcA'!$D$180:$EQ$219,$B18,72)*4000,0)-IF(AND('calcA'!BV$117=1,WT18&gt;0),2000,0))),1000000000))</f>
        <v/>
      </c>
      <c r="QZ18">
        <f>IF($B18=0,1000000000,IF(INDEX('calcA'!$D$60:$EQ$99,$B18,73)*IF($W18=1,FV18+ACK18,FV18)=1,IF(AND($E18=2,IF($W18=1,AHZ18,LK18)=0),1000000000,IF($V18=1,INDEX('calcA'!$D$130:$EQ$169,$B18,73)+IF(AND($E18=1,LK18=0),25,0),IF($F18&gt;0,INDEX('calcA'!BX$110:BX$114,$F18+1)+IF(AND($E18=1,LK18=0),1000,0),MIN(TX18,20)*400+(IF('calcA'!BX$106=1,1-FW18,0))*150+14+'calcA'!BX$5*100000+IF(AND($E18=1,LK18=0),50000,0))+IF($H18=1,INDEX('calcA'!$D$180:$EQ$219,$B18,73)*4000,0)-IF(AND($U18=1,'calcA'!BX$117=1,FW18=0),2000,0))),1000000000))</f>
        <v/>
      </c>
      <c r="RA18">
        <f>IF($B18=0,1000000000,IF(INDEX('calcA'!$D$60:$EQ$99,$B18,74)*IF($W18=1,FW18+ACL18,FW18)=1,IF(AND($E18=2,IF($W18=1,AIA18,LL18)=0),1000000000,IF($V18=1,INDEX('calcA'!$D$130:$EQ$169,$B18,74)+IF(AND($E18=1,LL18=0),25,0),IF($F18&gt;0,INDEX('calcA'!BY$110:BY$114,$F18+1)+IF(AND($E18=1,LL18=0),1000,0),MIN(TX18,20)*400+(IF('calcA'!BX$106=1,1-FV18,0)+IF('calcA'!BY$106=1,1-FX18,0))*150+24+'calcA'!BY$5*100000+IF(AND($E18=1,LL18=0),50000,0))+IF($H18=1,INDEX('calcA'!$D$180:$EQ$219,$B18,74)*4000,0)-IF(AND('calcA'!BX$117=1,WV18&gt;0),2000,0)-IF(AND($U18=1,'calcA'!BY$117=1,FX18=0),2000,0))),1000000000))</f>
        <v/>
      </c>
      <c r="RB18">
        <f>IF($B18=0,1000000000,IF(INDEX('calcA'!$D$60:$EQ$99,$B18,75)*IF($W18=1,FX18+ACM18,FX18)=1,IF(AND($E18=2,IF($W18=1,AIB18,LM18)=0),1000000000,IF($V18=1,INDEX('calcA'!$D$130:$EQ$169,$B18,75)+IF(AND($E18=1,LM18=0),25,0),IF($F18&gt;0,INDEX('calcA'!BZ$110:BZ$114,$F18+1)+IF(AND($E18=1,LM18=0),1000,0),MIN(TX18,20)*400+(IF('calcA'!BY$106=1,1-FW18,0)+IF('calcA'!BZ$106=1,1-FY18,0))*150+34+'calcA'!BZ$5*100000+IF(AND($E18=1,LM18=0),50000,0))+IF($H18=1,INDEX('calcA'!$D$180:$EQ$219,$B18,75)*4000,0)-IF(AND('calcA'!BY$117=1,WW18&gt;0),2000,0)-IF(AND($U18=1,'calcA'!BZ$117=1,FY18=0),2000,0))),1000000000))</f>
        <v/>
      </c>
      <c r="RC18">
        <f>IF($B18=0,1000000000,IF(INDEX('calcA'!$D$60:$EQ$99,$B18,76)*IF($W18=1,FY18+ACN18,FY18)=1,IF(AND($E18=2,IF($W18=1,AIC18,LN18)=0),1000000000,IF($V18=1,INDEX('calcA'!$D$130:$EQ$169,$B18,76)+IF(AND($E18=1,LN18=0),25,0),IF($F18&gt;0,INDEX('calcA'!CA$110:CA$114,$F18+1)+IF(AND($E18=1,LN18=0),1000,0),MIN(TX18,20)*400+(IF('calcA'!BZ$106=1,1-FX18,0)+IF('calcA'!CA$106=1,1-FZ18,0))*150+44+'calcA'!CA$5*100000+IF(AND($E18=1,LN18=0),50000,0))+IF($H18=1,INDEX('calcA'!$D$180:$EQ$219,$B18,76)*4000,0)-IF(AND('calcA'!BZ$117=1,WX18&gt;0),2000,0)-IF(AND($U18=1,'calcA'!CA$117=1,FZ18=0),2000,0))),1000000000))</f>
        <v/>
      </c>
      <c r="RD18">
        <f>IF($B18=0,1000000000,IF(INDEX('calcA'!$D$60:$EQ$99,$B18,77)*IF($W18=1,FZ18+ACO18,FZ18)=1,IF(AND($E18=2,IF($W18=1,AID18,LO18)=0),1000000000,IF($V18=1,INDEX('calcA'!$D$130:$EQ$169,$B18,77)+IF(AND($E18=1,LO18=0),25,0),IF($F18&gt;0,INDEX('calcA'!CB$110:CB$114,$F18+1)+IF(AND($E18=1,LO18=0),1000,0),MIN(TX18,20)*400+(IF('calcA'!CA$106=1,1-FY18,0)+IF('calcA'!CB$106=1,1-GA18,0))*150+54+'calcA'!CB$5*100000+IF(AND($E18=1,LO18=0),50000,0))+IF($H18=1,INDEX('calcA'!$D$180:$EQ$219,$B18,77)*4000,0)-IF(AND('calcA'!CA$117=1,WY18&gt;0),2000,0)-IF(AND($U18=1,'calcA'!CB$117=1,GA18=0),2000,0))),1000000000))</f>
        <v/>
      </c>
      <c r="RE18">
        <f>IF($B18=0,1000000000,IF(INDEX('calcA'!$D$60:$EQ$99,$B18,78)*IF($W18=1,GA18+ACP18,GA18)=1,IF(AND($E18=2,IF($W18=1,AIE18,LP18)=0),1000000000,IF($V18=1,INDEX('calcA'!$D$130:$EQ$169,$B18,78)+IF(AND($E18=1,LP18=0),25,0),IF($F18&gt;0,INDEX('calcA'!CC$110:CC$114,$F18+1)+IF(AND($E18=1,LP18=0),1000,0),MIN(TX18,20)*400+(IF('calcA'!CB$106=1,1-FZ18,0)+IF('calcA'!CC$106=1,1-GB18,0))*150+64+'calcA'!CC$5*100000+IF(AND($E18=1,LP18=0),50000,0))+IF($H18=1,INDEX('calcA'!$D$180:$EQ$219,$B18,78)*4000,0)-IF(AND('calcA'!CB$117=1,WZ18&gt;0),2000,0)-IF(AND($U18=1,'calcA'!CC$117=1,GB18=0),2000,0))),1000000000))</f>
        <v/>
      </c>
      <c r="RF18">
        <f>IF($B18=0,1000000000,IF(INDEX('calcA'!$D$60:$EQ$99,$B18,79)*IF($W18=1,GB18+ACQ18,GB18)=1,IF(AND($E18=2,IF($W18=1,AIF18,LQ18)=0),1000000000,IF($V18=1,INDEX('calcA'!$D$130:$EQ$169,$B18,79)+IF(AND($E18=1,LQ18=0),25,0),IF($F18&gt;0,INDEX('calcA'!CD$110:CD$114,$F18+1)+IF(AND($E18=1,LQ18=0),1000,0),MIN(TX18,20)*400+(IF('calcA'!CC$106=1,1-GA18,0)+IF('calcA'!CD$106=1,1-GC18,0))*150+74+'calcA'!CD$5*100000+IF(AND($E18=1,LQ18=0),50000,0))+IF($H18=1,INDEX('calcA'!$D$180:$EQ$219,$B18,79)*4000,0)-IF(AND('calcA'!CC$117=1,XA18&gt;0),2000,0)-IF(AND($U18=1,'calcA'!CD$117=1,GC18=0),2000,0))),1000000000))</f>
        <v/>
      </c>
      <c r="RG18">
        <f>IF($B18=0,1000000000,IF(INDEX('calcA'!$D$60:$EQ$99,$B18,80)*IF($W18=1,GC18+ACR18,GC18)=1,IF(AND($E18=2,IF($W18=1,AIG18,LR18)=0),1000000000,IF($V18=1,INDEX('calcA'!$D$130:$EQ$169,$B18,80)+IF(AND($E18=1,LR18=0),25,0),IF($F18&gt;0,INDEX('calcA'!CE$110:CE$114,$F18+1)+IF(AND($E18=1,LR18=0),1000,0),MIN(TX18,20)*400+(IF('calcA'!CD$106=1,1-GB18,0)+IF('calcA'!CE$106=1,1-GD18,0))*150+84+'calcA'!CE$5*100000+IF(AND($E18=1,LR18=0),50000,0))+IF($H18=1,INDEX('calcA'!$D$180:$EQ$219,$B18,80)*4000,0)-IF(AND('calcA'!CD$117=1,XB18&gt;0),2000,0)-IF(AND($U18=1,'calcA'!CE$117=1,GD18=0),2000,0))),1000000000))</f>
        <v/>
      </c>
      <c r="RH18">
        <f>IF($B18=0,1000000000,IF(INDEX('calcA'!$D$60:$EQ$99,$B18,81)*IF($W18=1,GD18+ACS18,GD18)=1,IF(AND($E18=2,IF($W18=1,AIH18,LS18)=0),1000000000,IF($V18=1,INDEX('calcA'!$D$130:$EQ$169,$B18,81)+IF(AND($E18=1,LS18=0),25,0),IF($F18&gt;0,INDEX('calcA'!CF$110:CF$114,$F18+1)+IF(AND($E18=1,LS18=0),1000,0),MIN(TX18,20)*400+(IF('calcA'!CE$106=1,1-GC18,0)+IF('calcA'!CF$106=1,1-GE18,0))*150+94+'calcA'!CF$5*100000+IF(AND($E18=1,LS18=0),50000,0))+IF($H18=1,INDEX('calcA'!$D$180:$EQ$219,$B18,81)*4000,0)-IF(AND('calcA'!CE$117=1,XC18&gt;0),2000,0)-IF(AND($U18=1,'calcA'!CF$117=1,GE18=0),2000,0))),1000000000))</f>
        <v/>
      </c>
      <c r="RI18">
        <f>IF($B18=0,1000000000,IF(INDEX('calcA'!$D$60:$EQ$99,$B18,82)*IF($W18=1,GE18+ACT18,GE18)=1,IF(AND($E18=2,IF($W18=1,AII18,LT18)=0),1000000000,IF($V18=1,INDEX('calcA'!$D$130:$EQ$169,$B18,82)+IF(AND($E18=1,LT18=0),25,0),IF($F18&gt;0,INDEX('calcA'!CG$110:CG$114,$F18+1)+IF(AND($E18=1,LT18=0),1000,0),MIN(TX18,20)*400+(IF('calcA'!CF$106=1,1-GD18,0)+IF('calcA'!CG$106=1,1-GF18,0))*150+104+'calcA'!CG$5*100000+IF(AND($E18=1,LT18=0),50000,0))+IF($H18=1,INDEX('calcA'!$D$180:$EQ$219,$B18,82)*4000,0)-IF(AND('calcA'!CF$117=1,XD18&gt;0),2000,0)-IF(AND($U18=1,'calcA'!CG$117=1,GF18=0),2000,0))),1000000000))</f>
        <v/>
      </c>
      <c r="RJ18">
        <f>IF($B18=0,1000000000,IF(INDEX('calcA'!$D$60:$EQ$99,$B18,83)*IF($W18=1,GF18+ACU18,GF18)=1,IF(AND($E18=2,IF($W18=1,AIJ18,LU18)=0),1000000000,IF($V18=1,INDEX('calcA'!$D$130:$EQ$169,$B18,83)+IF(AND($E18=1,LU18=0),25,0),IF($F18&gt;0,INDEX('calcA'!CH$110:CH$114,$F18+1)+IF(AND($E18=1,LU18=0),1000,0),MIN(TX18,20)*400+(IF('calcA'!CG$106=1,1-GE18,0)+IF('calcA'!CH$106=1,1-GG18,0))*150+114+'calcA'!CH$5*100000+IF(AND($E18=1,LU18=0),50000,0))+IF($H18=1,INDEX('calcA'!$D$180:$EQ$219,$B18,83)*4000,0)-IF(AND('calcA'!CG$117=1,XE18&gt;0),2000,0)-IF(AND($U18=1,'calcA'!CH$117=1,GG18=0),2000,0))),1000000000))</f>
        <v/>
      </c>
      <c r="RK18">
        <f>IF($B18=0,1000000000,IF(INDEX('calcA'!$D$60:$EQ$99,$B18,84)*IF($W18=1,GG18+ACV18,GG18)=1,IF(AND($E18=2,IF($W18=1,AIK18,LV18)=0),1000000000,IF($V18=1,INDEX('calcA'!$D$130:$EQ$169,$B18,84)+IF(AND($E18=1,LV18=0),25,0),IF($F18&gt;0,INDEX('calcA'!CI$110:CI$114,$F18+1)+IF(AND($E18=1,LV18=0),1000,0),MIN(TX18,20)*400+(IF('calcA'!CH$106=1,1-GF18,0)+IF('calcA'!CI$106=1,1-GH18,0))*150+124+'calcA'!CI$5*100000+IF(AND($E18=1,LV18=0),50000,0))+IF($H18=1,INDEX('calcA'!$D$180:$EQ$219,$B18,84)*4000,0)-IF(AND('calcA'!CH$117=1,XF18&gt;0),2000,0)-IF(AND($U18=1,'calcA'!CI$117=1,GH18=0),2000,0))),1000000000))</f>
        <v/>
      </c>
      <c r="RL18">
        <f>IF($B18=0,1000000000,IF(INDEX('calcA'!$D$60:$EQ$99,$B18,85)*IF($W18=1,GH18+ACW18,GH18)=1,IF(AND($E18=2,IF($W18=1,AIL18,LW18)=0),1000000000,IF($V18=1,INDEX('calcA'!$D$130:$EQ$169,$B18,85)+IF(AND($E18=1,LW18=0),25,0),IF($F18&gt;0,INDEX('calcA'!CJ$110:CJ$114,$F18+1)+IF(AND($E18=1,LW18=0),1000,0),MIN(TX18,20)*400+(IF('calcA'!CI$106=1,1-GG18,0)+IF('calcA'!CJ$106=1,1-GI18,0))*150+134+'calcA'!CJ$5*100000+IF(AND($E18=1,LW18=0),50000,0))+IF($H18=1,INDEX('calcA'!$D$180:$EQ$219,$B18,85)*4000,0)-IF(AND('calcA'!CI$117=1,XG18&gt;0),2000,0)-IF(AND($U18=1,'calcA'!CJ$117=1,GI18=0),2000,0))),1000000000))</f>
        <v/>
      </c>
      <c r="RM18">
        <f>IF($B18=0,1000000000,IF(INDEX('calcA'!$D$60:$EQ$99,$B18,86)*IF($W18=1,GI18+ACX18,GI18)=1,IF(AND($E18=2,IF($W18=1,AIM18,LX18)=0),1000000000,IF($V18=1,INDEX('calcA'!$D$130:$EQ$169,$B18,86)+IF(AND($E18=1,LX18=0),25,0),IF($F18&gt;0,INDEX('calcA'!CK$110:CK$114,$F18+1)+IF(AND($E18=1,LX18=0),1000,0),MIN(TX18,20)*400+(IF('calcA'!CJ$106=1,1-GH18,0)+IF('calcA'!CK$106=1,1-GJ18,0))*150+144+'calcA'!CK$5*100000+IF(AND($E18=1,LX18=0),50000,0))+IF($H18=1,INDEX('calcA'!$D$180:$EQ$219,$B18,86)*4000,0)-IF(AND('calcA'!CJ$117=1,XH18&gt;0),2000,0)-IF(AND($U18=1,'calcA'!CK$117=1,GJ18=0),2000,0))),1000000000))</f>
        <v/>
      </c>
      <c r="RN18">
        <f>IF($B18=0,1000000000,IF(INDEX('calcA'!$D$60:$EQ$99,$B18,87)*IF($W18=1,GJ18+ACY18,GJ18)=1,IF(AND($E18=2,IF($W18=1,AIN18,LY18)=0),1000000000,IF($V18=1,INDEX('calcA'!$D$130:$EQ$169,$B18,87)+IF(AND($E18=1,LY18=0),25,0),IF($F18&gt;0,INDEX('calcA'!CL$110:CL$114,$F18+1)+IF(AND($E18=1,LY18=0),1000,0),MIN(TX18,20)*400+(IF('calcA'!CK$106=1,1-GI18,0)+IF('calcA'!CL$106=1,1-GK18,0))*150+154+'calcA'!CL$5*100000+IF(AND($E18=1,LY18=0),50000,0))+IF($H18=1,INDEX('calcA'!$D$180:$EQ$219,$B18,87)*4000,0)-IF(AND('calcA'!CK$117=1,XI18&gt;0),2000,0)-IF(AND($U18=1,'calcA'!CL$117=1,GK18=0),2000,0))),1000000000))</f>
        <v/>
      </c>
      <c r="RO18">
        <f>IF($B18=0,1000000000,IF(INDEX('calcA'!$D$60:$EQ$99,$B18,88)*IF($W18=1,GK18+ACZ18,GK18)=1,IF(AND($E18=2,IF($W18=1,AIO18,LZ18)=0),1000000000,IF($V18=1,INDEX('calcA'!$D$130:$EQ$169,$B18,88)+IF(AND($E18=1,LZ18=0),25,0),IF($F18&gt;0,INDEX('calcA'!CM$110:CM$114,$F18+1)+IF(AND($E18=1,LZ18=0),1000,0),MIN(TX18,20)*400+(IF('calcA'!CL$106=1,1-GJ18,0)+IF('calcA'!CM$106=1,1-GL18,0))*150+164+'calcA'!CM$5*100000+IF(AND($E18=1,LZ18=0),50000,0))+IF($H18=1,INDEX('calcA'!$D$180:$EQ$219,$B18,88)*4000,0)-IF(AND('calcA'!CL$117=1,XJ18&gt;0),2000,0)-IF(AND($U18=1,'calcA'!CM$117=1,GL18=0),2000,0))),1000000000))</f>
        <v/>
      </c>
      <c r="RP18">
        <f>IF($B18=0,1000000000,IF(INDEX('calcA'!$D$60:$EQ$99,$B18,89)*IF($W18=1,GL18+ADA18,GL18)=1,IF(AND($E18=2,IF($W18=1,AIP18,MA18)=0),1000000000,IF($V18=1,INDEX('calcA'!$D$130:$EQ$169,$B18,89)+IF(AND($E18=1,MA18=0),25,0),IF($F18&gt;0,INDEX('calcA'!CN$110:CN$114,$F18+1)+IF(AND($E18=1,MA18=0),1000,0),MIN(TX18,20)*400+(IF('calcA'!CM$106=1,1-GK18,0)+IF('calcA'!CN$106=1,1-GM18,0))*150+174+'calcA'!CN$5*100000+IF(AND($E18=1,MA18=0),50000,0))+IF($H18=1,INDEX('calcA'!$D$180:$EQ$219,$B18,89)*4000,0)-IF(AND('calcA'!CM$117=1,XK18&gt;0),2000,0)-IF(AND($U18=1,'calcA'!CN$117=1,GM18=0),2000,0))),1000000000))</f>
        <v/>
      </c>
      <c r="RQ18">
        <f>IF($B18=0,1000000000,IF(INDEX('calcA'!$D$60:$EQ$99,$B18,90)*IF($W18=1,GM18+ADB18,GM18)=1,IF(AND($E18=2,IF($W18=1,AIQ18,MB18)=0),1000000000,IF($V18=1,INDEX('calcA'!$D$130:$EQ$169,$B18,90)+IF(AND($E18=1,MB18=0),25,0),IF($F18&gt;0,INDEX('calcA'!CO$110:CO$114,$F18+1)+IF(AND($E18=1,MB18=0),1000,0),MIN(TX18,20)*400+(IF('calcA'!CN$106=1,1-GL18,0)+IF('calcA'!CO$106=1,1-GN18,0))*150+184+'calcA'!CO$5*100000+IF(AND($E18=1,MB18=0),50000,0))+IF($H18=1,INDEX('calcA'!$D$180:$EQ$219,$B18,90)*4000,0)-IF(AND('calcA'!CN$117=1,XL18&gt;0),2000,0)-IF(AND($U18=1,'calcA'!CO$117=1,GN18=0),2000,0))),1000000000))</f>
        <v/>
      </c>
      <c r="RR18">
        <f>IF($B18=0,1000000000,IF(INDEX('calcA'!$D$60:$EQ$99,$B18,91)*IF($W18=1,GN18+ADC18,GN18)=1,IF(AND($E18=2,IF($W18=1,AIR18,MC18)=0),1000000000,IF($V18=1,INDEX('calcA'!$D$130:$EQ$169,$B18,91)+IF(AND($E18=1,MC18=0),25,0),IF($F18&gt;0,INDEX('calcA'!CP$110:CP$114,$F18+1)+IF(AND($E18=1,MC18=0),1000,0),MIN(TX18,20)*400+(IF('calcA'!CO$106=1,1-GM18,0)+IF('calcA'!CP$106=1,1-GO18,0))*150+194+'calcA'!CP$5*100000+IF(AND($E18=1,MC18=0),50000,0))+IF($H18=1,INDEX('calcA'!$D$180:$EQ$219,$B18,91)*4000,0)-IF(AND('calcA'!CO$117=1,XM18&gt;0),2000,0)-IF(AND($U18=1,'calcA'!CP$117=1,GO18=0),2000,0))),1000000000))</f>
        <v/>
      </c>
      <c r="RS18">
        <f>IF($B18=0,1000000000,IF(INDEX('calcA'!$D$60:$EQ$99,$B18,92)*IF($W18=1,GO18+ADD18,GO18)=1,IF(AND($E18=2,IF($W18=1,AIS18,MD18)=0),1000000000,IF($V18=1,INDEX('calcA'!$D$130:$EQ$169,$B18,92)+IF(AND($E18=1,MD18=0),25,0),IF($F18&gt;0,INDEX('calcA'!CQ$110:CQ$114,$F18+1)+IF(AND($E18=1,MD18=0),1000,0),MIN(TX18,20)*400+(IF('calcA'!CP$106=1,1-GN18,0)+IF('calcA'!CQ$106=1,1-GP18,0))*150+204+'calcA'!CQ$5*100000+IF(AND($E18=1,MD18=0),50000,0))+IF($H18=1,INDEX('calcA'!$D$180:$EQ$219,$B18,92)*4000,0)-IF(AND('calcA'!CP$117=1,XN18&gt;0),2000,0)-IF(AND($U18=1,'calcA'!CQ$117=1,GP18=0),2000,0))),1000000000))</f>
        <v/>
      </c>
      <c r="RT18">
        <f>IF($B18=0,1000000000,IF(INDEX('calcA'!$D$60:$EQ$99,$B18,93)*IF($W18=1,GP18+ADE18,GP18)=1,IF(AND($E18=2,IF($W18=1,AIT18,ME18)=0),1000000000,IF($V18=1,INDEX('calcA'!$D$130:$EQ$169,$B18,93)+IF(AND($E18=1,ME18=0),25,0),IF($F18&gt;0,INDEX('calcA'!CR$110:CR$114,$F18+1)+IF(AND($E18=1,ME18=0),1000,0),MIN(TX18,20)*400+(IF('calcA'!CQ$106=1,1-GO18,0)+IF('calcA'!CR$106=1,1-GQ18,0))*150+214+'calcA'!CR$5*100000+IF(AND($E18=1,ME18=0),50000,0))+IF($H18=1,INDEX('calcA'!$D$180:$EQ$219,$B18,93)*4000,0)-IF(AND('calcA'!CQ$117=1,XO18&gt;0),2000,0)-IF(AND($U18=1,'calcA'!CR$117=1,GQ18=0),2000,0))),1000000000))</f>
        <v/>
      </c>
      <c r="RU18">
        <f>IF($B18=0,1000000000,IF(INDEX('calcA'!$D$60:$EQ$99,$B18,94)*IF($W18=1,GQ18+ADF18,GQ18)=1,IF(AND($E18=2,IF($W18=1,AIU18,MF18)=0),1000000000,IF($V18=1,INDEX('calcA'!$D$130:$EQ$169,$B18,94)+IF(AND($E18=1,MF18=0),25,0),IF($F18&gt;0,INDEX('calcA'!CS$110:CS$114,$F18+1)+IF(AND($E18=1,MF18=0),1000,0),MIN(TX18,20)*400+(IF('calcA'!CR$106=1,1-GP18,0)+IF('calcA'!CS$106=1,1-GR18,0))*150+224+'calcA'!CS$5*100000+IF(AND($E18=1,MF18=0),50000,0))+IF($H18=1,INDEX('calcA'!$D$180:$EQ$219,$B18,94)*4000,0)-IF(AND('calcA'!CR$117=1,XP18&gt;0),2000,0)-IF(AND($U18=1,'calcA'!CS$117=1,GR18=0),2000,0))),1000000000))</f>
        <v/>
      </c>
      <c r="RV18">
        <f>IF($B18=0,1000000000,IF(INDEX('calcA'!$D$60:$EQ$99,$B18,95)*IF($W18=1,GR18+ADG18,GR18)=1,IF(AND($E18=2,IF($W18=1,AIV18,MG18)=0),1000000000,IF($V18=1,INDEX('calcA'!$D$130:$EQ$169,$B18,95)+IF(AND($E18=1,MG18=0),25,0),IF($F18&gt;0,INDEX('calcA'!CT$110:CT$114,$F18+1)+IF(AND($E18=1,MG18=0),1000,0),MIN(TX18,20)*400+(IF('calcA'!CS$106=1,1-GQ18,0)+IF('calcA'!CT$106=1,1-GS18,0))*150+234+'calcA'!CT$5*100000+IF(AND($E18=1,MG18=0),50000,0))+IF($H18=1,INDEX('calcA'!$D$180:$EQ$219,$B18,95)*4000,0)-IF(AND('calcA'!CS$117=1,XQ18&gt;0),2000,0)-IF(AND($U18=1,'calcA'!CT$117=1,GS18=0),2000,0))),1000000000))</f>
        <v/>
      </c>
      <c r="RW18">
        <f>IF($B18=0,1000000000,IF(INDEX('calcA'!$D$60:$EQ$99,$B18,96)*IF($W18=1,GS18+ADH18,GS18)=1,IF(AND($E18=2,IF($W18=1,AIW18,MH18)=0),1000000000,IF($V18=1,INDEX('calcA'!$D$130:$EQ$169,$B18,96)+IF(AND($E18=1,MH18=0),25,0),IF($F18&gt;0,INDEX('calcA'!CU$110:CU$114,$F18+1)+IF(AND($E18=1,MH18=0),1000,0),MIN(TX18,20)*400+(IF('calcA'!CT$106=1,1-GR18,0))*150+244+'calcA'!CU$5*100000+IF(AND($E18=1,MH18=0),50000,0))+IF($H18=1,INDEX('calcA'!$D$180:$EQ$219,$B18,96)*4000,0)-IF(AND('calcA'!CT$117=1,XR18&gt;0),2000,0))),1000000000))</f>
        <v/>
      </c>
      <c r="RX18">
        <f>IF($B18=0,1000000000,IF(INDEX('calcA'!$D$60:$EQ$99,$B18,97)*IF($W18=1,GT18+ADI18,GT18)=1,IF(AND($E18=2,IF($W18=1,AIX18,MI18)=0),1000000000,IF($V18=1,INDEX('calcA'!$D$130:$EQ$169,$B18,97)+IF(AND($E18=1,MI18=0),25,0),IF($F18&gt;0,INDEX('calcA'!CV$110:CV$114,$F18+1)+IF(AND($E18=1,MI18=0),1000,0),MIN(TY18,20)*400+(IF('calcA'!CV$106=1,1-GU18,0))*150+15+'calcA'!CV$5*100000+IF(AND($E18=1,MI18=0),50000,0))+IF($H18=1,INDEX('calcA'!$D$180:$EQ$219,$B18,97)*4000,0)-IF(AND($U18=1,'calcA'!CV$117=1,GU18=0),2000,0))),1000000000))</f>
        <v/>
      </c>
      <c r="RY18">
        <f>IF($B18=0,1000000000,IF(INDEX('calcA'!$D$60:$EQ$99,$B18,98)*IF($W18=1,GU18+ADJ18,GU18)=1,IF(AND($E18=2,IF($W18=1,AIY18,MJ18)=0),1000000000,IF($V18=1,INDEX('calcA'!$D$130:$EQ$169,$B18,98)+IF(AND($E18=1,MJ18=0),25,0),IF($F18&gt;0,INDEX('calcA'!CW$110:CW$114,$F18+1)+IF(AND($E18=1,MJ18=0),1000,0),MIN(TY18,20)*400+(IF('calcA'!CV$106=1,1-GT18,0)+IF('calcA'!CW$106=1,1-GV18,0))*150+25+'calcA'!CW$5*100000+IF(AND($E18=1,MJ18=0),50000,0))+IF($H18=1,INDEX('calcA'!$D$180:$EQ$219,$B18,98)*4000,0)-IF(AND('calcA'!CV$117=1,XT18&gt;0),2000,0)-IF(AND($U18=1,'calcA'!CW$117=1,GV18=0),2000,0))),1000000000))</f>
        <v/>
      </c>
      <c r="RZ18">
        <f>IF($B18=0,1000000000,IF(INDEX('calcA'!$D$60:$EQ$99,$B18,99)*IF($W18=1,GV18+ADK18,GV18)=1,IF(AND($E18=2,IF($W18=1,AIZ18,MK18)=0),1000000000,IF($V18=1,INDEX('calcA'!$D$130:$EQ$169,$B18,99)+IF(AND($E18=1,MK18=0),25,0),IF($F18&gt;0,INDEX('calcA'!CX$110:CX$114,$F18+1)+IF(AND($E18=1,MK18=0),1000,0),MIN(TY18,20)*400+(IF('calcA'!CW$106=1,1-GU18,0)+IF('calcA'!CX$106=1,1-GW18,0))*150+35+'calcA'!CX$5*100000+IF(AND($E18=1,MK18=0),50000,0))+IF($H18=1,INDEX('calcA'!$D$180:$EQ$219,$B18,99)*4000,0)-IF(AND('calcA'!CW$117=1,XU18&gt;0),2000,0)-IF(AND($U18=1,'calcA'!CX$117=1,GW18=0),2000,0))),1000000000))</f>
        <v/>
      </c>
      <c r="SA18">
        <f>IF($B18=0,1000000000,IF(INDEX('calcA'!$D$60:$EQ$99,$B18,100)*IF($W18=1,GW18+ADL18,GW18)=1,IF(AND($E18=2,IF($W18=1,AJA18,ML18)=0),1000000000,IF($V18=1,INDEX('calcA'!$D$130:$EQ$169,$B18,100)+IF(AND($E18=1,ML18=0),25,0),IF($F18&gt;0,INDEX('calcA'!CY$110:CY$114,$F18+1)+IF(AND($E18=1,ML18=0),1000,0),MIN(TY18,20)*400+(IF('calcA'!CX$106=1,1-GV18,0)+IF('calcA'!CY$106=1,1-GX18,0))*150+45+'calcA'!CY$5*100000+IF(AND($E18=1,ML18=0),50000,0))+IF($H18=1,INDEX('calcA'!$D$180:$EQ$219,$B18,100)*4000,0)-IF(AND('calcA'!CX$117=1,XV18&gt;0),2000,0)-IF(AND($U18=1,'calcA'!CY$117=1,GX18=0),2000,0))),1000000000))</f>
        <v/>
      </c>
      <c r="SB18">
        <f>IF($B18=0,1000000000,IF(INDEX('calcA'!$D$60:$EQ$99,$B18,101)*IF($W18=1,GX18+ADM18,GX18)=1,IF(AND($E18=2,IF($W18=1,AJB18,MM18)=0),1000000000,IF($V18=1,INDEX('calcA'!$D$130:$EQ$169,$B18,101)+IF(AND($E18=1,MM18=0),25,0),IF($F18&gt;0,INDEX('calcA'!CZ$110:CZ$114,$F18+1)+IF(AND($E18=1,MM18=0),1000,0),MIN(TY18,20)*400+(IF('calcA'!CY$106=1,1-GW18,0)+IF('calcA'!CZ$106=1,1-GY18,0))*150+55+'calcA'!CZ$5*100000+IF(AND($E18=1,MM18=0),50000,0))+IF($H18=1,INDEX('calcA'!$D$180:$EQ$219,$B18,101)*4000,0)-IF(AND('calcA'!CY$117=1,XW18&gt;0),2000,0)-IF(AND($U18=1,'calcA'!CZ$117=1,GY18=0),2000,0))),1000000000))</f>
        <v/>
      </c>
      <c r="SC18">
        <f>IF($B18=0,1000000000,IF(INDEX('calcA'!$D$60:$EQ$99,$B18,102)*IF($W18=1,GY18+ADN18,GY18)=1,IF(AND($E18=2,IF($W18=1,AJC18,MN18)=0),1000000000,IF($V18=1,INDEX('calcA'!$D$130:$EQ$169,$B18,102)+IF(AND($E18=1,MN18=0),25,0),IF($F18&gt;0,INDEX('calcA'!DA$110:DA$114,$F18+1)+IF(AND($E18=1,MN18=0),1000,0),MIN(TY18,20)*400+(IF('calcA'!CZ$106=1,1-GX18,0)+IF('calcA'!DA$106=1,1-GZ18,0))*150+65+'calcA'!DA$5*100000+IF(AND($E18=1,MN18=0),50000,0))+IF($H18=1,INDEX('calcA'!$D$180:$EQ$219,$B18,102)*4000,0)-IF(AND('calcA'!CZ$117=1,XX18&gt;0),2000,0)-IF(AND($U18=1,'calcA'!DA$117=1,GZ18=0),2000,0))),1000000000))</f>
        <v/>
      </c>
      <c r="SD18">
        <f>IF($B18=0,1000000000,IF(INDEX('calcA'!$D$60:$EQ$99,$B18,103)*IF($W18=1,GZ18+ADO18,GZ18)=1,IF(AND($E18=2,IF($W18=1,AJD18,MO18)=0),1000000000,IF($V18=1,INDEX('calcA'!$D$130:$EQ$169,$B18,103)+IF(AND($E18=1,MO18=0),25,0),IF($F18&gt;0,INDEX('calcA'!DB$110:DB$114,$F18+1)+IF(AND($E18=1,MO18=0),1000,0),MIN(TY18,20)*400+(IF('calcA'!DA$106=1,1-GY18,0)+IF('calcA'!DB$106=1,1-HA18,0))*150+75+'calcA'!DB$5*100000+IF(AND($E18=1,MO18=0),50000,0))+IF($H18=1,INDEX('calcA'!$D$180:$EQ$219,$B18,103)*4000,0)-IF(AND('calcA'!DA$117=1,XY18&gt;0),2000,0)-IF(AND($U18=1,'calcA'!DB$117=1,HA18=0),2000,0))),1000000000))</f>
        <v/>
      </c>
      <c r="SE18">
        <f>IF($B18=0,1000000000,IF(INDEX('calcA'!$D$60:$EQ$99,$B18,104)*IF($W18=1,HA18+ADP18,HA18)=1,IF(AND($E18=2,IF($W18=1,AJE18,MP18)=0),1000000000,IF($V18=1,INDEX('calcA'!$D$130:$EQ$169,$B18,104)+IF(AND($E18=1,MP18=0),25,0),IF($F18&gt;0,INDEX('calcA'!DC$110:DC$114,$F18+1)+IF(AND($E18=1,MP18=0),1000,0),MIN(TY18,20)*400+(IF('calcA'!DB$106=1,1-GZ18,0)+IF('calcA'!DC$106=1,1-HB18,0))*150+85+'calcA'!DC$5*100000+IF(AND($E18=1,MP18=0),50000,0))+IF($H18=1,INDEX('calcA'!$D$180:$EQ$219,$B18,104)*4000,0)-IF(AND('calcA'!DB$117=1,XZ18&gt;0),2000,0)-IF(AND($U18=1,'calcA'!DC$117=1,HB18=0),2000,0))),1000000000))</f>
        <v/>
      </c>
      <c r="SF18">
        <f>IF($B18=0,1000000000,IF(INDEX('calcA'!$D$60:$EQ$99,$B18,105)*IF($W18=1,HB18+ADQ18,HB18)=1,IF(AND($E18=2,IF($W18=1,AJF18,MQ18)=0),1000000000,IF($V18=1,INDEX('calcA'!$D$130:$EQ$169,$B18,105)+IF(AND($E18=1,MQ18=0),25,0),IF($F18&gt;0,INDEX('calcA'!DD$110:DD$114,$F18+1)+IF(AND($E18=1,MQ18=0),1000,0),MIN(TY18,20)*400+(IF('calcA'!DC$106=1,1-HA18,0)+IF('calcA'!DD$106=1,1-HC18,0))*150+95+'calcA'!DD$5*100000+IF(AND($E18=1,MQ18=0),50000,0))+IF($H18=1,INDEX('calcA'!$D$180:$EQ$219,$B18,105)*4000,0)-IF(AND('calcA'!DC$117=1,YA18&gt;0),2000,0)-IF(AND($U18=1,'calcA'!DD$117=1,HC18=0),2000,0))),1000000000))</f>
        <v/>
      </c>
      <c r="SG18">
        <f>IF($B18=0,1000000000,IF(INDEX('calcA'!$D$60:$EQ$99,$B18,106)*IF($W18=1,HC18+ADR18,HC18)=1,IF(AND($E18=2,IF($W18=1,AJG18,MR18)=0),1000000000,IF($V18=1,INDEX('calcA'!$D$130:$EQ$169,$B18,106)+IF(AND($E18=1,MR18=0),25,0),IF($F18&gt;0,INDEX('calcA'!DE$110:DE$114,$F18+1)+IF(AND($E18=1,MR18=0),1000,0),MIN(TY18,20)*400+(IF('calcA'!DD$106=1,1-HB18,0)+IF('calcA'!DE$106=1,1-HD18,0))*150+105+'calcA'!DE$5*100000+IF(AND($E18=1,MR18=0),50000,0))+IF($H18=1,INDEX('calcA'!$D$180:$EQ$219,$B18,106)*4000,0)-IF(AND('calcA'!DD$117=1,YB18&gt;0),2000,0)-IF(AND($U18=1,'calcA'!DE$117=1,HD18=0),2000,0))),1000000000))</f>
        <v/>
      </c>
      <c r="SH18">
        <f>IF($B18=0,1000000000,IF(INDEX('calcA'!$D$60:$EQ$99,$B18,107)*IF($W18=1,HD18+ADS18,HD18)=1,IF(AND($E18=2,IF($W18=1,AJH18,MS18)=0),1000000000,IF($V18=1,INDEX('calcA'!$D$130:$EQ$169,$B18,107)+IF(AND($E18=1,MS18=0),25,0),IF($F18&gt;0,INDEX('calcA'!DF$110:DF$114,$F18+1)+IF(AND($E18=1,MS18=0),1000,0),MIN(TY18,20)*400+(IF('calcA'!DE$106=1,1-HC18,0)+IF('calcA'!DF$106=1,1-HE18,0))*150+115+'calcA'!DF$5*100000+IF(AND($E18=1,MS18=0),50000,0))+IF($H18=1,INDEX('calcA'!$D$180:$EQ$219,$B18,107)*4000,0)-IF(AND('calcA'!DE$117=1,YC18&gt;0),2000,0)-IF(AND($U18=1,'calcA'!DF$117=1,HE18=0),2000,0))),1000000000))</f>
        <v/>
      </c>
      <c r="SI18">
        <f>IF($B18=0,1000000000,IF(INDEX('calcA'!$D$60:$EQ$99,$B18,108)*IF($W18=1,HE18+ADT18,HE18)=1,IF(AND($E18=2,IF($W18=1,AJI18,MT18)=0),1000000000,IF($V18=1,INDEX('calcA'!$D$130:$EQ$169,$B18,108)+IF(AND($E18=1,MT18=0),25,0),IF($F18&gt;0,INDEX('calcA'!DG$110:DG$114,$F18+1)+IF(AND($E18=1,MT18=0),1000,0),MIN(TY18,20)*400+(IF('calcA'!DF$106=1,1-HD18,0)+IF('calcA'!DG$106=1,1-HF18,0))*150+125+'calcA'!DG$5*100000+IF(AND($E18=1,MT18=0),50000,0))+IF($H18=1,INDEX('calcA'!$D$180:$EQ$219,$B18,108)*4000,0)-IF(AND('calcA'!DF$117=1,YD18&gt;0),2000,0)-IF(AND($U18=1,'calcA'!DG$117=1,HF18=0),2000,0))),1000000000))</f>
        <v/>
      </c>
      <c r="SJ18">
        <f>IF($B18=0,1000000000,IF(INDEX('calcA'!$D$60:$EQ$99,$B18,109)*IF($W18=1,HF18+ADU18,HF18)=1,IF(AND($E18=2,IF($W18=1,AJJ18,MU18)=0),1000000000,IF($V18=1,INDEX('calcA'!$D$130:$EQ$169,$B18,109)+IF(AND($E18=1,MU18=0),25,0),IF($F18&gt;0,INDEX('calcA'!DH$110:DH$114,$F18+1)+IF(AND($E18=1,MU18=0),1000,0),MIN(TY18,20)*400+(IF('calcA'!DG$106=1,1-HE18,0)+IF('calcA'!DH$106=1,1-HG18,0))*150+135+'calcA'!DH$5*100000+IF(AND($E18=1,MU18=0),50000,0))+IF($H18=1,INDEX('calcA'!$D$180:$EQ$219,$B18,109)*4000,0)-IF(AND('calcA'!DG$117=1,YE18&gt;0),2000,0)-IF(AND($U18=1,'calcA'!DH$117=1,HG18=0),2000,0))),1000000000))</f>
        <v/>
      </c>
      <c r="SK18">
        <f>IF($B18=0,1000000000,IF(INDEX('calcA'!$D$60:$EQ$99,$B18,110)*IF($W18=1,HG18+ADV18,HG18)=1,IF(AND($E18=2,IF($W18=1,AJK18,MV18)=0),1000000000,IF($V18=1,INDEX('calcA'!$D$130:$EQ$169,$B18,110)+IF(AND($E18=1,MV18=0),25,0),IF($F18&gt;0,INDEX('calcA'!DI$110:DI$114,$F18+1)+IF(AND($E18=1,MV18=0),1000,0),MIN(TY18,20)*400+(IF('calcA'!DH$106=1,1-HF18,0)+IF('calcA'!DI$106=1,1-HH18,0))*150+145+'calcA'!DI$5*100000+IF(AND($E18=1,MV18=0),50000,0))+IF($H18=1,INDEX('calcA'!$D$180:$EQ$219,$B18,110)*4000,0)-IF(AND('calcA'!DH$117=1,YF18&gt;0),2000,0)-IF(AND($U18=1,'calcA'!DI$117=1,HH18=0),2000,0))),1000000000))</f>
        <v/>
      </c>
      <c r="SL18">
        <f>IF($B18=0,1000000000,IF(INDEX('calcA'!$D$60:$EQ$99,$B18,111)*IF($W18=1,HH18+ADW18,HH18)=1,IF(AND($E18=2,IF($W18=1,AJL18,MW18)=0),1000000000,IF($V18=1,INDEX('calcA'!$D$130:$EQ$169,$B18,111)+IF(AND($E18=1,MW18=0),25,0),IF($F18&gt;0,INDEX('calcA'!DJ$110:DJ$114,$F18+1)+IF(AND($E18=1,MW18=0),1000,0),MIN(TY18,20)*400+(IF('calcA'!DI$106=1,1-HG18,0)+IF('calcA'!DJ$106=1,1-HI18,0))*150+155+'calcA'!DJ$5*100000+IF(AND($E18=1,MW18=0),50000,0))+IF($H18=1,INDEX('calcA'!$D$180:$EQ$219,$B18,111)*4000,0)-IF(AND('calcA'!DI$117=1,YG18&gt;0),2000,0)-IF(AND($U18=1,'calcA'!DJ$117=1,HI18=0),2000,0))),1000000000))</f>
        <v/>
      </c>
      <c r="SM18">
        <f>IF($B18=0,1000000000,IF(INDEX('calcA'!$D$60:$EQ$99,$B18,112)*IF($W18=1,HI18+ADX18,HI18)=1,IF(AND($E18=2,IF($W18=1,AJM18,MX18)=0),1000000000,IF($V18=1,INDEX('calcA'!$D$130:$EQ$169,$B18,112)+IF(AND($E18=1,MX18=0),25,0),IF($F18&gt;0,INDEX('calcA'!DK$110:DK$114,$F18+1)+IF(AND($E18=1,MX18=0),1000,0),MIN(TY18,20)*400+(IF('calcA'!DJ$106=1,1-HH18,0)+IF('calcA'!DK$106=1,1-HJ18,0))*150+165+'calcA'!DK$5*100000+IF(AND($E18=1,MX18=0),50000,0))+IF($H18=1,INDEX('calcA'!$D$180:$EQ$219,$B18,112)*4000,0)-IF(AND('calcA'!DJ$117=1,YH18&gt;0),2000,0)-IF(AND($U18=1,'calcA'!DK$117=1,HJ18=0),2000,0))),1000000000))</f>
        <v/>
      </c>
      <c r="SN18">
        <f>IF($B18=0,1000000000,IF(INDEX('calcA'!$D$60:$EQ$99,$B18,113)*IF($W18=1,HJ18+ADY18,HJ18)=1,IF(AND($E18=2,IF($W18=1,AJN18,MY18)=0),1000000000,IF($V18=1,INDEX('calcA'!$D$130:$EQ$169,$B18,113)+IF(AND($E18=1,MY18=0),25,0),IF($F18&gt;0,INDEX('calcA'!DL$110:DL$114,$F18+1)+IF(AND($E18=1,MY18=0),1000,0),MIN(TY18,20)*400+(IF('calcA'!DK$106=1,1-HI18,0)+IF('calcA'!DL$106=1,1-HK18,0))*150+175+'calcA'!DL$5*100000+IF(AND($E18=1,MY18=0),50000,0))+IF($H18=1,INDEX('calcA'!$D$180:$EQ$219,$B18,113)*4000,0)-IF(AND('calcA'!DK$117=1,YI18&gt;0),2000,0)-IF(AND($U18=1,'calcA'!DL$117=1,HK18=0),2000,0))),1000000000))</f>
        <v/>
      </c>
      <c r="SO18">
        <f>IF($B18=0,1000000000,IF(INDEX('calcA'!$D$60:$EQ$99,$B18,114)*IF($W18=1,HK18+ADZ18,HK18)=1,IF(AND($E18=2,IF($W18=1,AJO18,MZ18)=0),1000000000,IF($V18=1,INDEX('calcA'!$D$130:$EQ$169,$B18,114)+IF(AND($E18=1,MZ18=0),25,0),IF($F18&gt;0,INDEX('calcA'!DM$110:DM$114,$F18+1)+IF(AND($E18=1,MZ18=0),1000,0),MIN(TY18,20)*400+(IF('calcA'!DL$106=1,1-HJ18,0)+IF('calcA'!DM$106=1,1-HL18,0))*150+185+'calcA'!DM$5*100000+IF(AND($E18=1,MZ18=0),50000,0))+IF($H18=1,INDEX('calcA'!$D$180:$EQ$219,$B18,114)*4000,0)-IF(AND('calcA'!DL$117=1,YJ18&gt;0),2000,0)-IF(AND($U18=1,'calcA'!DM$117=1,HL18=0),2000,0))),1000000000))</f>
        <v/>
      </c>
      <c r="SP18">
        <f>IF($B18=0,1000000000,IF(INDEX('calcA'!$D$60:$EQ$99,$B18,115)*IF($W18=1,HL18+AEA18,HL18)=1,IF(AND($E18=2,IF($W18=1,AJP18,NA18)=0),1000000000,IF($V18=1,INDEX('calcA'!$D$130:$EQ$169,$B18,115)+IF(AND($E18=1,NA18=0),25,0),IF($F18&gt;0,INDEX('calcA'!DN$110:DN$114,$F18+1)+IF(AND($E18=1,NA18=0),1000,0),MIN(TY18,20)*400+(IF('calcA'!DM$106=1,1-HK18,0)+IF('calcA'!DN$106=1,1-HM18,0))*150+195+'calcA'!DN$5*100000+IF(AND($E18=1,NA18=0),50000,0))+IF($H18=1,INDEX('calcA'!$D$180:$EQ$219,$B18,115)*4000,0)-IF(AND('calcA'!DM$117=1,YK18&gt;0),2000,0)-IF(AND($U18=1,'calcA'!DN$117=1,HM18=0),2000,0))),1000000000))</f>
        <v/>
      </c>
      <c r="SQ18">
        <f>IF($B18=0,1000000000,IF(INDEX('calcA'!$D$60:$EQ$99,$B18,116)*IF($W18=1,HM18+AEB18,HM18)=1,IF(AND($E18=2,IF($W18=1,AJQ18,NB18)=0),1000000000,IF($V18=1,INDEX('calcA'!$D$130:$EQ$169,$B18,116)+IF(AND($E18=1,NB18=0),25,0),IF($F18&gt;0,INDEX('calcA'!DO$110:DO$114,$F18+1)+IF(AND($E18=1,NB18=0),1000,0),MIN(TY18,20)*400+(IF('calcA'!DN$106=1,1-HL18,0)+IF('calcA'!DO$106=1,1-HN18,0))*150+205+'calcA'!DO$5*100000+IF(AND($E18=1,NB18=0),50000,0))+IF($H18=1,INDEX('calcA'!$D$180:$EQ$219,$B18,116)*4000,0)-IF(AND('calcA'!DN$117=1,YL18&gt;0),2000,0)-IF(AND($U18=1,'calcA'!DO$117=1,HN18=0),2000,0))),1000000000))</f>
        <v/>
      </c>
      <c r="SR18">
        <f>IF($B18=0,1000000000,IF(INDEX('calcA'!$D$60:$EQ$99,$B18,117)*IF($W18=1,HN18+AEC18,HN18)=1,IF(AND($E18=2,IF($W18=1,AJR18,NC18)=0),1000000000,IF($V18=1,INDEX('calcA'!$D$130:$EQ$169,$B18,117)+IF(AND($E18=1,NC18=0),25,0),IF($F18&gt;0,INDEX('calcA'!DP$110:DP$114,$F18+1)+IF(AND($E18=1,NC18=0),1000,0),MIN(TY18,20)*400+(IF('calcA'!DO$106=1,1-HM18,0)+IF('calcA'!DP$106=1,1-HO18,0))*150+215+'calcA'!DP$5*100000+IF(AND($E18=1,NC18=0),50000,0))+IF($H18=1,INDEX('calcA'!$D$180:$EQ$219,$B18,117)*4000,0)-IF(AND('calcA'!DO$117=1,YM18&gt;0),2000,0)-IF(AND($U18=1,'calcA'!DP$117=1,HO18=0),2000,0))),1000000000))</f>
        <v/>
      </c>
      <c r="SS18">
        <f>IF($B18=0,1000000000,IF(INDEX('calcA'!$D$60:$EQ$99,$B18,118)*IF($W18=1,HO18+AED18,HO18)=1,IF(AND($E18=2,IF($W18=1,AJS18,ND18)=0),1000000000,IF($V18=1,INDEX('calcA'!$D$130:$EQ$169,$B18,118)+IF(AND($E18=1,ND18=0),25,0),IF($F18&gt;0,INDEX('calcA'!DQ$110:DQ$114,$F18+1)+IF(AND($E18=1,ND18=0),1000,0),MIN(TY18,20)*400+(IF('calcA'!DP$106=1,1-HN18,0)+IF('calcA'!DQ$106=1,1-HP18,0))*150+225+'calcA'!DQ$5*100000+IF(AND($E18=1,ND18=0),50000,0))+IF($H18=1,INDEX('calcA'!$D$180:$EQ$219,$B18,118)*4000,0)-IF(AND('calcA'!DP$117=1,YN18&gt;0),2000,0)-IF(AND($U18=1,'calcA'!DQ$117=1,HP18=0),2000,0))),1000000000))</f>
        <v/>
      </c>
      <c r="ST18">
        <f>IF($B18=0,1000000000,IF(INDEX('calcA'!$D$60:$EQ$99,$B18,119)*IF($W18=1,HP18+AEE18,HP18)=1,IF(AND($E18=2,IF($W18=1,AJT18,NE18)=0),1000000000,IF($V18=1,INDEX('calcA'!$D$130:$EQ$169,$B18,119)+IF(AND($E18=1,NE18=0),25,0),IF($F18&gt;0,INDEX('calcA'!DR$110:DR$114,$F18+1)+IF(AND($E18=1,NE18=0),1000,0),MIN(TY18,20)*400+(IF('calcA'!DQ$106=1,1-HO18,0)+IF('calcA'!DR$106=1,1-HQ18,0))*150+235+'calcA'!DR$5*100000+IF(AND($E18=1,NE18=0),50000,0))+IF($H18=1,INDEX('calcA'!$D$180:$EQ$219,$B18,119)*4000,0)-IF(AND('calcA'!DQ$117=1,YO18&gt;0),2000,0)-IF(AND($U18=1,'calcA'!DR$117=1,HQ18=0),2000,0))),1000000000))</f>
        <v/>
      </c>
      <c r="SU18">
        <f>IF($B18=0,1000000000,IF(INDEX('calcA'!$D$60:$EQ$99,$B18,120)*IF($W18=1,HQ18+AEF18,HQ18)=1,IF(AND($E18=2,IF($W18=1,AJU18,NF18)=0),1000000000,IF($V18=1,INDEX('calcA'!$D$130:$EQ$169,$B18,120)+IF(AND($E18=1,NF18=0),25,0),IF($F18&gt;0,INDEX('calcA'!DS$110:DS$114,$F18+1)+IF(AND($E18=1,NF18=0),1000,0),MIN(TY18,20)*400+(IF('calcA'!DR$106=1,1-HP18,0))*150+245+'calcA'!DS$5*100000+IF(AND($E18=1,NF18=0),50000,0))+IF($H18=1,INDEX('calcA'!$D$180:$EQ$219,$B18,120)*4000,0)-IF(AND('calcA'!DR$117=1,YP18&gt;0),2000,0))),1000000000))</f>
        <v/>
      </c>
      <c r="SV18">
        <f>IF($B18=0,1000000000,IF(INDEX('calcA'!$D$60:$EQ$99,$B18,121)*IF($W18=1,HR18+AEG18,HR18)=1,IF(AND($E18=2,IF($W18=1,AJV18,NG18)=0),1000000000,IF($V18=1,INDEX('calcA'!$D$130:$EQ$169,$B18,121)+IF(AND($E18=1,NG18=0),25,0),IF($F18&gt;0,INDEX('calcA'!DT$110:DT$114,$F18+1)+IF(AND($E18=1,NG18=0),1000,0),MIN(TZ18,20)*400+(IF('calcA'!DT$106=1,1-HS18,0))*150+16+'calcA'!DT$5*100000+IF(AND($E18=1,NG18=0),50000,0))+IF($H18=1,INDEX('calcA'!$D$180:$EQ$219,$B18,121)*4000,0)-IF(AND($U18=1,'calcA'!DT$117=1,HS18=0),2000,0))),1000000000))</f>
        <v/>
      </c>
      <c r="SW18">
        <f>IF($B18=0,1000000000,IF(INDEX('calcA'!$D$60:$EQ$99,$B18,122)*IF($W18=1,HS18+AEH18,HS18)=1,IF(AND($E18=2,IF($W18=1,AJW18,NH18)=0),1000000000,IF($V18=1,INDEX('calcA'!$D$130:$EQ$169,$B18,122)+IF(AND($E18=1,NH18=0),25,0),IF($F18&gt;0,INDEX('calcA'!DU$110:DU$114,$F18+1)+IF(AND($E18=1,NH18=0),1000,0),MIN(TZ18,20)*400+(IF('calcA'!DT$106=1,1-HR18,0)+IF('calcA'!DU$106=1,1-HT18,0))*150+26+'calcA'!DU$5*100000+IF(AND($E18=1,NH18=0),50000,0))+IF($H18=1,INDEX('calcA'!$D$180:$EQ$219,$B18,122)*4000,0)-IF(AND('calcA'!DT$117=1,YR18&gt;0),2000,0)-IF(AND($U18=1,'calcA'!DU$117=1,HT18=0),2000,0))),1000000000))</f>
        <v/>
      </c>
      <c r="SX18">
        <f>IF($B18=0,1000000000,IF(INDEX('calcA'!$D$60:$EQ$99,$B18,123)*IF($W18=1,HT18+AEI18,HT18)=1,IF(AND($E18=2,IF($W18=1,AJX18,NI18)=0),1000000000,IF($V18=1,INDEX('calcA'!$D$130:$EQ$169,$B18,123)+IF(AND($E18=1,NI18=0),25,0),IF($F18&gt;0,INDEX('calcA'!DV$110:DV$114,$F18+1)+IF(AND($E18=1,NI18=0),1000,0),MIN(TZ18,20)*400+(IF('calcA'!DU$106=1,1-HS18,0)+IF('calcA'!DV$106=1,1-HU18,0))*150+36+'calcA'!DV$5*100000+IF(AND($E18=1,NI18=0),50000,0))+IF($H18=1,INDEX('calcA'!$D$180:$EQ$219,$B18,123)*4000,0)-IF(AND('calcA'!DU$117=1,YS18&gt;0),2000,0)-IF(AND($U18=1,'calcA'!DV$117=1,HU18=0),2000,0))),1000000000))</f>
        <v/>
      </c>
      <c r="SY18">
        <f>IF($B18=0,1000000000,IF(INDEX('calcA'!$D$60:$EQ$99,$B18,124)*IF($W18=1,HU18+AEJ18,HU18)=1,IF(AND($E18=2,IF($W18=1,AJY18,NJ18)=0),1000000000,IF($V18=1,INDEX('calcA'!$D$130:$EQ$169,$B18,124)+IF(AND($E18=1,NJ18=0),25,0),IF($F18&gt;0,INDEX('calcA'!DW$110:DW$114,$F18+1)+IF(AND($E18=1,NJ18=0),1000,0),MIN(TZ18,20)*400+(IF('calcA'!DV$106=1,1-HT18,0)+IF('calcA'!DW$106=1,1-HV18,0))*150+46+'calcA'!DW$5*100000+IF(AND($E18=1,NJ18=0),50000,0))+IF($H18=1,INDEX('calcA'!$D$180:$EQ$219,$B18,124)*4000,0)-IF(AND('calcA'!DV$117=1,YT18&gt;0),2000,0)-IF(AND($U18=1,'calcA'!DW$117=1,HV18=0),2000,0))),1000000000))</f>
        <v/>
      </c>
      <c r="SZ18">
        <f>IF($B18=0,1000000000,IF(INDEX('calcA'!$D$60:$EQ$99,$B18,125)*IF($W18=1,HV18+AEK18,HV18)=1,IF(AND($E18=2,IF($W18=1,AJZ18,NK18)=0),1000000000,IF($V18=1,INDEX('calcA'!$D$130:$EQ$169,$B18,125)+IF(AND($E18=1,NK18=0),25,0),IF($F18&gt;0,INDEX('calcA'!DX$110:DX$114,$F18+1)+IF(AND($E18=1,NK18=0),1000,0),MIN(TZ18,20)*400+(IF('calcA'!DW$106=1,1-HU18,0)+IF('calcA'!DX$106=1,1-HW18,0))*150+56+'calcA'!DX$5*100000+IF(AND($E18=1,NK18=0),50000,0))+IF($H18=1,INDEX('calcA'!$D$180:$EQ$219,$B18,125)*4000,0)-IF(AND('calcA'!DW$117=1,YU18&gt;0),2000,0)-IF(AND($U18=1,'calcA'!DX$117=1,HW18=0),2000,0))),1000000000))</f>
        <v/>
      </c>
      <c r="TA18">
        <f>IF($B18=0,1000000000,IF(INDEX('calcA'!$D$60:$EQ$99,$B18,126)*IF($W18=1,HW18+AEL18,HW18)=1,IF(AND($E18=2,IF($W18=1,AKA18,NL18)=0),1000000000,IF($V18=1,INDEX('calcA'!$D$130:$EQ$169,$B18,126)+IF(AND($E18=1,NL18=0),25,0),IF($F18&gt;0,INDEX('calcA'!DY$110:DY$114,$F18+1)+IF(AND($E18=1,NL18=0),1000,0),MIN(TZ18,20)*400+(IF('calcA'!DX$106=1,1-HV18,0)+IF('calcA'!DY$106=1,1-HX18,0))*150+66+'calcA'!DY$5*100000+IF(AND($E18=1,NL18=0),50000,0))+IF($H18=1,INDEX('calcA'!$D$180:$EQ$219,$B18,126)*4000,0)-IF(AND('calcA'!DX$117=1,YV18&gt;0),2000,0)-IF(AND($U18=1,'calcA'!DY$117=1,HX18=0),2000,0))),1000000000))</f>
        <v/>
      </c>
      <c r="TB18">
        <f>IF($B18=0,1000000000,IF(INDEX('calcA'!$D$60:$EQ$99,$B18,127)*IF($W18=1,HX18+AEM18,HX18)=1,IF(AND($E18=2,IF($W18=1,AKB18,NM18)=0),1000000000,IF($V18=1,INDEX('calcA'!$D$130:$EQ$169,$B18,127)+IF(AND($E18=1,NM18=0),25,0),IF($F18&gt;0,INDEX('calcA'!DZ$110:DZ$114,$F18+1)+IF(AND($E18=1,NM18=0),1000,0),MIN(TZ18,20)*400+(IF('calcA'!DY$106=1,1-HW18,0)+IF('calcA'!DZ$106=1,1-HY18,0))*150+76+'calcA'!DZ$5*100000+IF(AND($E18=1,NM18=0),50000,0))+IF($H18=1,INDEX('calcA'!$D$180:$EQ$219,$B18,127)*4000,0)-IF(AND('calcA'!DY$117=1,YW18&gt;0),2000,0)-IF(AND($U18=1,'calcA'!DZ$117=1,HY18=0),2000,0))),1000000000))</f>
        <v/>
      </c>
      <c r="TC18">
        <f>IF($B18=0,1000000000,IF(INDEX('calcA'!$D$60:$EQ$99,$B18,128)*IF($W18=1,HY18+AEN18,HY18)=1,IF(AND($E18=2,IF($W18=1,AKC18,NN18)=0),1000000000,IF($V18=1,INDEX('calcA'!$D$130:$EQ$169,$B18,128)+IF(AND($E18=1,NN18=0),25,0),IF($F18&gt;0,INDEX('calcA'!EA$110:EA$114,$F18+1)+IF(AND($E18=1,NN18=0),1000,0),MIN(TZ18,20)*400+(IF('calcA'!DZ$106=1,1-HX18,0)+IF('calcA'!EA$106=1,1-HZ18,0))*150+86+'calcA'!EA$5*100000+IF(AND($E18=1,NN18=0),50000,0))+IF($H18=1,INDEX('calcA'!$D$180:$EQ$219,$B18,128)*4000,0)-IF(AND('calcA'!DZ$117=1,YX18&gt;0),2000,0)-IF(AND($U18=1,'calcA'!EA$117=1,HZ18=0),2000,0))),1000000000))</f>
        <v/>
      </c>
      <c r="TD18">
        <f>IF($B18=0,1000000000,IF(INDEX('calcA'!$D$60:$EQ$99,$B18,129)*IF($W18=1,HZ18+AEO18,HZ18)=1,IF(AND($E18=2,IF($W18=1,AKD18,NO18)=0),1000000000,IF($V18=1,INDEX('calcA'!$D$130:$EQ$169,$B18,129)+IF(AND($E18=1,NO18=0),25,0),IF($F18&gt;0,INDEX('calcA'!EB$110:EB$114,$F18+1)+IF(AND($E18=1,NO18=0),1000,0),MIN(TZ18,20)*400+(IF('calcA'!EA$106=1,1-HY18,0)+IF('calcA'!EB$106=1,1-IA18,0))*150+96+'calcA'!EB$5*100000+IF(AND($E18=1,NO18=0),50000,0))+IF($H18=1,INDEX('calcA'!$D$180:$EQ$219,$B18,129)*4000,0)-IF(AND('calcA'!EA$117=1,YY18&gt;0),2000,0)-IF(AND($U18=1,'calcA'!EB$117=1,IA18=0),2000,0))),1000000000))</f>
        <v/>
      </c>
      <c r="TE18">
        <f>IF($B18=0,1000000000,IF(INDEX('calcA'!$D$60:$EQ$99,$B18,130)*IF($W18=1,IA18+AEP18,IA18)=1,IF(AND($E18=2,IF($W18=1,AKE18,NP18)=0),1000000000,IF($V18=1,INDEX('calcA'!$D$130:$EQ$169,$B18,130)+IF(AND($E18=1,NP18=0),25,0),IF($F18&gt;0,INDEX('calcA'!EC$110:EC$114,$F18+1)+IF(AND($E18=1,NP18=0),1000,0),MIN(TZ18,20)*400+(IF('calcA'!EB$106=1,1-HZ18,0)+IF('calcA'!EC$106=1,1-IB18,0))*150+106+'calcA'!EC$5*100000+IF(AND($E18=1,NP18=0),50000,0))+IF($H18=1,INDEX('calcA'!$D$180:$EQ$219,$B18,130)*4000,0)-IF(AND('calcA'!EB$117=1,YZ18&gt;0),2000,0)-IF(AND($U18=1,'calcA'!EC$117=1,IB18=0),2000,0))),1000000000))</f>
        <v/>
      </c>
      <c r="TF18">
        <f>IF($B18=0,1000000000,IF(INDEX('calcA'!$D$60:$EQ$99,$B18,131)*IF($W18=1,IB18+AEQ18,IB18)=1,IF(AND($E18=2,IF($W18=1,AKF18,NQ18)=0),1000000000,IF($V18=1,INDEX('calcA'!$D$130:$EQ$169,$B18,131)+IF(AND($E18=1,NQ18=0),25,0),IF($F18&gt;0,INDEX('calcA'!ED$110:ED$114,$F18+1)+IF(AND($E18=1,NQ18=0),1000,0),MIN(TZ18,20)*400+(IF('calcA'!EC$106=1,1-IA18,0)+IF('calcA'!ED$106=1,1-IC18,0))*150+116+'calcA'!ED$5*100000+IF(AND($E18=1,NQ18=0),50000,0))+IF($H18=1,INDEX('calcA'!$D$180:$EQ$219,$B18,131)*4000,0)-IF(AND('calcA'!EC$117=1,ZA18&gt;0),2000,0)-IF(AND($U18=1,'calcA'!ED$117=1,IC18=0),2000,0))),1000000000))</f>
        <v/>
      </c>
      <c r="TG18">
        <f>IF($B18=0,1000000000,IF(INDEX('calcA'!$D$60:$EQ$99,$B18,132)*IF($W18=1,IC18+AER18,IC18)=1,IF(AND($E18=2,IF($W18=1,AKG18,NR18)=0),1000000000,IF($V18=1,INDEX('calcA'!$D$130:$EQ$169,$B18,132)+IF(AND($E18=1,NR18=0),25,0),IF($F18&gt;0,INDEX('calcA'!EE$110:EE$114,$F18+1)+IF(AND($E18=1,NR18=0),1000,0),MIN(TZ18,20)*400+(IF('calcA'!ED$106=1,1-IB18,0)+IF('calcA'!EE$106=1,1-ID18,0))*150+126+'calcA'!EE$5*100000+IF(AND($E18=1,NR18=0),50000,0))+IF($H18=1,INDEX('calcA'!$D$180:$EQ$219,$B18,132)*4000,0)-IF(AND('calcA'!ED$117=1,ZB18&gt;0),2000,0)-IF(AND($U18=1,'calcA'!EE$117=1,ID18=0),2000,0))),1000000000))</f>
        <v/>
      </c>
      <c r="TH18">
        <f>IF($B18=0,1000000000,IF(INDEX('calcA'!$D$60:$EQ$99,$B18,133)*IF($W18=1,ID18+AES18,ID18)=1,IF(AND($E18=2,IF($W18=1,AKH18,NS18)=0),1000000000,IF($V18=1,INDEX('calcA'!$D$130:$EQ$169,$B18,133)+IF(AND($E18=1,NS18=0),25,0),IF($F18&gt;0,INDEX('calcA'!EF$110:EF$114,$F18+1)+IF(AND($E18=1,NS18=0),1000,0),MIN(TZ18,20)*400+(IF('calcA'!EE$106=1,1-IC18,0)+IF('calcA'!EF$106=1,1-IE18,0))*150+136+'calcA'!EF$5*100000+IF(AND($E18=1,NS18=0),50000,0))+IF($H18=1,INDEX('calcA'!$D$180:$EQ$219,$B18,133)*4000,0)-IF(AND('calcA'!EE$117=1,ZC18&gt;0),2000,0)-IF(AND($U18=1,'calcA'!EF$117=1,IE18=0),2000,0))),1000000000))</f>
        <v/>
      </c>
      <c r="TI18">
        <f>IF($B18=0,1000000000,IF(INDEX('calcA'!$D$60:$EQ$99,$B18,134)*IF($W18=1,IE18+AET18,IE18)=1,IF(AND($E18=2,IF($W18=1,AKI18,NT18)=0),1000000000,IF($V18=1,INDEX('calcA'!$D$130:$EQ$169,$B18,134)+IF(AND($E18=1,NT18=0),25,0),IF($F18&gt;0,INDEX('calcA'!EG$110:EG$114,$F18+1)+IF(AND($E18=1,NT18=0),1000,0),MIN(TZ18,20)*400+(IF('calcA'!EF$106=1,1-ID18,0)+IF('calcA'!EG$106=1,1-IF18,0))*150+146+'calcA'!EG$5*100000+IF(AND($E18=1,NT18=0),50000,0))+IF($H18=1,INDEX('calcA'!$D$180:$EQ$219,$B18,134)*4000,0)-IF(AND('calcA'!EF$117=1,ZD18&gt;0),2000,0)-IF(AND($U18=1,'calcA'!EG$117=1,IF18=0),2000,0))),1000000000))</f>
        <v/>
      </c>
      <c r="TJ18">
        <f>IF($B18=0,1000000000,IF(INDEX('calcA'!$D$60:$EQ$99,$B18,135)*IF($W18=1,IF18+AEU18,IF18)=1,IF(AND($E18=2,IF($W18=1,AKJ18,NU18)=0),1000000000,IF($V18=1,INDEX('calcA'!$D$130:$EQ$169,$B18,135)+IF(AND($E18=1,NU18=0),25,0),IF($F18&gt;0,INDEX('calcA'!EH$110:EH$114,$F18+1)+IF(AND($E18=1,NU18=0),1000,0),MIN(TZ18,20)*400+(IF('calcA'!EG$106=1,1-IE18,0)+IF('calcA'!EH$106=1,1-IG18,0))*150+156+'calcA'!EH$5*100000+IF(AND($E18=1,NU18=0),50000,0))+IF($H18=1,INDEX('calcA'!$D$180:$EQ$219,$B18,135)*4000,0)-IF(AND('calcA'!EG$117=1,ZE18&gt;0),2000,0)-IF(AND($U18=1,'calcA'!EH$117=1,IG18=0),2000,0))),1000000000))</f>
        <v/>
      </c>
      <c r="TK18">
        <f>IF($B18=0,1000000000,IF(INDEX('calcA'!$D$60:$EQ$99,$B18,136)*IF($W18=1,IG18+AEV18,IG18)=1,IF(AND($E18=2,IF($W18=1,AKK18,NV18)=0),1000000000,IF($V18=1,INDEX('calcA'!$D$130:$EQ$169,$B18,136)+IF(AND($E18=1,NV18=0),25,0),IF($F18&gt;0,INDEX('calcA'!EI$110:EI$114,$F18+1)+IF(AND($E18=1,NV18=0),1000,0),MIN(TZ18,20)*400+(IF('calcA'!EH$106=1,1-IF18,0)+IF('calcA'!EI$106=1,1-IH18,0))*150+166+'calcA'!EI$5*100000+IF(AND($E18=1,NV18=0),50000,0))+IF($H18=1,INDEX('calcA'!$D$180:$EQ$219,$B18,136)*4000,0)-IF(AND('calcA'!EH$117=1,ZF18&gt;0),2000,0)-IF(AND($U18=1,'calcA'!EI$117=1,IH18=0),2000,0))),1000000000))</f>
        <v/>
      </c>
      <c r="TL18">
        <f>IF($B18=0,1000000000,IF(INDEX('calcA'!$D$60:$EQ$99,$B18,137)*IF($W18=1,IH18+AEW18,IH18)=1,IF(AND($E18=2,IF($W18=1,AKL18,NW18)=0),1000000000,IF($V18=1,INDEX('calcA'!$D$130:$EQ$169,$B18,137)+IF(AND($E18=1,NW18=0),25,0),IF($F18&gt;0,INDEX('calcA'!EJ$110:EJ$114,$F18+1)+IF(AND($E18=1,NW18=0),1000,0),MIN(TZ18,20)*400+(IF('calcA'!EI$106=1,1-IG18,0)+IF('calcA'!EJ$106=1,1-II18,0))*150+176+'calcA'!EJ$5*100000+IF(AND($E18=1,NW18=0),50000,0))+IF($H18=1,INDEX('calcA'!$D$180:$EQ$219,$B18,137)*4000,0)-IF(AND('calcA'!EI$117=1,ZG18&gt;0),2000,0)-IF(AND($U18=1,'calcA'!EJ$117=1,II18=0),2000,0))),1000000000))</f>
        <v/>
      </c>
      <c r="TM18">
        <f>IF($B18=0,1000000000,IF(INDEX('calcA'!$D$60:$EQ$99,$B18,138)*IF($W18=1,II18+AEX18,II18)=1,IF(AND($E18=2,IF($W18=1,AKM18,NX18)=0),1000000000,IF($V18=1,INDEX('calcA'!$D$130:$EQ$169,$B18,138)+IF(AND($E18=1,NX18=0),25,0),IF($F18&gt;0,INDEX('calcA'!EK$110:EK$114,$F18+1)+IF(AND($E18=1,NX18=0),1000,0),MIN(TZ18,20)*400+(IF('calcA'!EJ$106=1,1-IH18,0)+IF('calcA'!EK$106=1,1-IJ18,0))*150+186+'calcA'!EK$5*100000+IF(AND($E18=1,NX18=0),50000,0))+IF($H18=1,INDEX('calcA'!$D$180:$EQ$219,$B18,138)*4000,0)-IF(AND('calcA'!EJ$117=1,ZH18&gt;0),2000,0)-IF(AND($U18=1,'calcA'!EK$117=1,IJ18=0),2000,0))),1000000000))</f>
        <v/>
      </c>
      <c r="TN18">
        <f>IF($B18=0,1000000000,IF(INDEX('calcA'!$D$60:$EQ$99,$B18,139)*IF($W18=1,IJ18+AEY18,IJ18)=1,IF(AND($E18=2,IF($W18=1,AKN18,NY18)=0),1000000000,IF($V18=1,INDEX('calcA'!$D$130:$EQ$169,$B18,139)+IF(AND($E18=1,NY18=0),25,0),IF($F18&gt;0,INDEX('calcA'!EL$110:EL$114,$F18+1)+IF(AND($E18=1,NY18=0),1000,0),MIN(TZ18,20)*400+(IF('calcA'!EK$106=1,1-II18,0)+IF('calcA'!EL$106=1,1-IK18,0))*150+196+'calcA'!EL$5*100000+IF(AND($E18=1,NY18=0),50000,0))+IF($H18=1,INDEX('calcA'!$D$180:$EQ$219,$B18,139)*4000,0)-IF(AND('calcA'!EK$117=1,ZI18&gt;0),2000,0)-IF(AND($U18=1,'calcA'!EL$117=1,IK18=0),2000,0))),1000000000))</f>
        <v/>
      </c>
      <c r="TO18">
        <f>IF($B18=0,1000000000,IF(INDEX('calcA'!$D$60:$EQ$99,$B18,140)*IF($W18=1,IK18+AEZ18,IK18)=1,IF(AND($E18=2,IF($W18=1,AKO18,NZ18)=0),1000000000,IF($V18=1,INDEX('calcA'!$D$130:$EQ$169,$B18,140)+IF(AND($E18=1,NZ18=0),25,0),IF($F18&gt;0,INDEX('calcA'!EM$110:EM$114,$F18+1)+IF(AND($E18=1,NZ18=0),1000,0),MIN(TZ18,20)*400+(IF('calcA'!EL$106=1,1-IJ18,0)+IF('calcA'!EM$106=1,1-IL18,0))*150+206+'calcA'!EM$5*100000+IF(AND($E18=1,NZ18=0),50000,0))+IF($H18=1,INDEX('calcA'!$D$180:$EQ$219,$B18,140)*4000,0)-IF(AND('calcA'!EL$117=1,ZJ18&gt;0),2000,0)-IF(AND($U18=1,'calcA'!EM$117=1,IL18=0),2000,0))),1000000000))</f>
        <v/>
      </c>
      <c r="TP18">
        <f>IF($B18=0,1000000000,IF(INDEX('calcA'!$D$60:$EQ$99,$B18,141)*IF($W18=1,IL18+AFA18,IL18)=1,IF(AND($E18=2,IF($W18=1,AKP18,OA18)=0),1000000000,IF($V18=1,INDEX('calcA'!$D$130:$EQ$169,$B18,141)+IF(AND($E18=1,OA18=0),25,0),IF($F18&gt;0,INDEX('calcA'!EN$110:EN$114,$F18+1)+IF(AND($E18=1,OA18=0),1000,0),MIN(TZ18,20)*400+(IF('calcA'!EM$106=1,1-IK18,0)+IF('calcA'!EN$106=1,1-IM18,0))*150+216+'calcA'!EN$5*100000+IF(AND($E18=1,OA18=0),50000,0))+IF($H18=1,INDEX('calcA'!$D$180:$EQ$219,$B18,141)*4000,0)-IF(AND('calcA'!EM$117=1,ZK18&gt;0),2000,0)-IF(AND($U18=1,'calcA'!EN$117=1,IM18=0),2000,0))),1000000000))</f>
        <v/>
      </c>
      <c r="TQ18">
        <f>IF($B18=0,1000000000,IF(INDEX('calcA'!$D$60:$EQ$99,$B18,142)*IF($W18=1,IM18+AFB18,IM18)=1,IF(AND($E18=2,IF($W18=1,AKQ18,OB18)=0),1000000000,IF($V18=1,INDEX('calcA'!$D$130:$EQ$169,$B18,142)+IF(AND($E18=1,OB18=0),25,0),IF($F18&gt;0,INDEX('calcA'!EO$110:EO$114,$F18+1)+IF(AND($E18=1,OB18=0),1000,0),MIN(TZ18,20)*400+(IF('calcA'!EN$106=1,1-IL18,0)+IF('calcA'!EO$106=1,1-IN18,0))*150+226+'calcA'!EO$5*100000+IF(AND($E18=1,OB18=0),50000,0))+IF($H18=1,INDEX('calcA'!$D$180:$EQ$219,$B18,142)*4000,0)-IF(AND('calcA'!EN$117=1,ZL18&gt;0),2000,0)-IF(AND($U18=1,'calcA'!EO$117=1,IN18=0),2000,0))),1000000000))</f>
        <v/>
      </c>
      <c r="TR18">
        <f>IF($B18=0,1000000000,IF(INDEX('calcA'!$D$60:$EQ$99,$B18,143)*IF($W18=1,IN18+AFC18,IN18)=1,IF(AND($E18=2,IF($W18=1,AKR18,OC18)=0),1000000000,IF($V18=1,INDEX('calcA'!$D$130:$EQ$169,$B18,143)+IF(AND($E18=1,OC18=0),25,0),IF($F18&gt;0,INDEX('calcA'!EP$110:EP$114,$F18+1)+IF(AND($E18=1,OC18=0),1000,0),MIN(TZ18,20)*400+(IF('calcA'!EO$106=1,1-IM18,0)+IF('calcA'!EP$106=1,1-IO18,0))*150+236+'calcA'!EP$5*100000+IF(AND($E18=1,OC18=0),50000,0))+IF($H18=1,INDEX('calcA'!$D$180:$EQ$219,$B18,143)*4000,0)-IF(AND('calcA'!EO$117=1,ZM18&gt;0),2000,0)-IF(AND($U18=1,'calcA'!EP$117=1,IO18=0),2000,0))),1000000000))</f>
        <v/>
      </c>
      <c r="TS18">
        <f>IF($B18=0,1000000000,IF(INDEX('calcA'!$D$60:$EQ$99,$B18,144)*IF($W18=1,IO18+AFD18,IO18)=1,IF(AND($E18=2,IF($W18=1,AKS18,OD18)=0),1000000000,IF($V18=1,INDEX('calcA'!$D$130:$EQ$169,$B18,144)+IF(AND($E18=1,OD18=0),25,0),IF($F18&gt;0,INDEX('calcA'!EQ$110:EQ$114,$F18+1)+IF(AND($E18=1,OD18=0),1000,0),MIN(TZ18,20)*400+(IF('calcA'!EP$106=1,1-IN18,0))*150+246+'calcA'!EQ$5*100000+IF(AND($E18=1,OD18=0),50000,0))+IF($H18=1,INDEX('calcA'!$D$180:$EQ$219,$B18,144)*4000,0)-IF(AND('calcA'!EP$117=1,ZN18&gt;0),2000,0))),1000000000))</f>
        <v/>
      </c>
      <c r="TU18">
        <f>TU17+IF($C17&gt;0,IF(INDEX('calcA'!$D$2:$EQ$2,$C17)=1,1,0),0)</f>
        <v/>
      </c>
      <c r="TV18">
        <f>TV17+IF($C17&gt;0,IF(INDEX('calcA'!$D$2:$EQ$2,$C17)=2,1,0),0)</f>
        <v/>
      </c>
      <c r="TW18">
        <f>TW17+IF($C17&gt;0,IF(INDEX('calcA'!$D$2:$EQ$2,$C17)=3,1,0),0)</f>
        <v/>
      </c>
      <c r="TX18">
        <f>TX17+IF($C17&gt;0,IF(INDEX('calcA'!$D$2:$EQ$2,$C17)=4,1,0),0)</f>
        <v/>
      </c>
      <c r="TY18">
        <f>TY17+IF($C17&gt;0,IF(INDEX('calcA'!$D$2:$EQ$2,$C17)=5,1,0),0)</f>
        <v/>
      </c>
      <c r="TZ18">
        <f>TZ17+IF($C17&gt;0,IF(INDEX('calcA'!$D$2:$EQ$2,$C17)=6,1,0),0)</f>
        <v/>
      </c>
      <c r="UB18">
        <f>UB17+IF(AND($C17=1,$U17=1),1,0)</f>
        <v/>
      </c>
      <c r="UC18">
        <f>UC17+IF(AND($C17=2,$U17=1),1,0)</f>
        <v/>
      </c>
      <c r="UD18">
        <f>UD17+IF(AND($C17=3,$U17=1),1,0)</f>
        <v/>
      </c>
      <c r="UE18">
        <f>UE17+IF(AND($C17=4,$U17=1),1,0)</f>
        <v/>
      </c>
      <c r="UF18">
        <f>UF17+IF(AND($C17=5,$U17=1),1,0)</f>
        <v/>
      </c>
      <c r="UG18">
        <f>UG17+IF(AND($C17=6,$U17=1),1,0)</f>
        <v/>
      </c>
      <c r="UH18">
        <f>UH17+IF(AND($C17=7,$U17=1),1,0)</f>
        <v/>
      </c>
      <c r="UI18">
        <f>UI17+IF(AND($C17=8,$U17=1),1,0)</f>
        <v/>
      </c>
      <c r="UJ18">
        <f>UJ17+IF(AND($C17=9,$U17=1),1,0)</f>
        <v/>
      </c>
      <c r="UK18">
        <f>UK17+IF(AND($C17=10,$U17=1),1,0)</f>
        <v/>
      </c>
      <c r="UL18">
        <f>UL17+IF(AND($C17=11,$U17=1),1,0)</f>
        <v/>
      </c>
      <c r="UM18">
        <f>UM17+IF(AND($C17=12,$U17=1),1,0)</f>
        <v/>
      </c>
      <c r="UN18">
        <f>UN17+IF(AND($C17=13,$U17=1),1,0)</f>
        <v/>
      </c>
      <c r="UO18">
        <f>UO17+IF(AND($C17=14,$U17=1),1,0)</f>
        <v/>
      </c>
      <c r="UP18">
        <f>UP17+IF(AND($C17=15,$U17=1),1,0)</f>
        <v/>
      </c>
      <c r="UQ18">
        <f>UQ17+IF(AND($C17=16,$U17=1),1,0)</f>
        <v/>
      </c>
      <c r="UR18">
        <f>UR17+IF(AND($C17=17,$U17=1),1,0)</f>
        <v/>
      </c>
      <c r="US18">
        <f>US17+IF(AND($C17=18,$U17=1),1,0)</f>
        <v/>
      </c>
      <c r="UT18">
        <f>UT17+IF(AND($C17=19,$U17=1),1,0)</f>
        <v/>
      </c>
      <c r="UU18">
        <f>UU17+IF(AND($C17=20,$U17=1),1,0)</f>
        <v/>
      </c>
      <c r="UV18">
        <f>UV17+IF(AND($C17=21,$U17=1),1,0)</f>
        <v/>
      </c>
      <c r="UW18">
        <f>UW17+IF(AND($C17=22,$U17=1),1,0)</f>
        <v/>
      </c>
      <c r="UX18">
        <f>UX17+IF(AND($C17=23,$U17=1),1,0)</f>
        <v/>
      </c>
      <c r="UY18">
        <f>UY17+IF(AND($C17=24,$U17=1),1,0)</f>
        <v/>
      </c>
      <c r="UZ18">
        <f>UZ17+IF(AND($C17=25,$U17=1),1,0)</f>
        <v/>
      </c>
      <c r="VA18">
        <f>VA17+IF(AND($C17=26,$U17=1),1,0)</f>
        <v/>
      </c>
      <c r="VB18">
        <f>VB17+IF(AND($C17=27,$U17=1),1,0)</f>
        <v/>
      </c>
      <c r="VC18">
        <f>VC17+IF(AND($C17=28,$U17=1),1,0)</f>
        <v/>
      </c>
      <c r="VD18">
        <f>VD17+IF(AND($C17=29,$U17=1),1,0)</f>
        <v/>
      </c>
      <c r="VE18">
        <f>VE17+IF(AND($C17=30,$U17=1),1,0)</f>
        <v/>
      </c>
      <c r="VF18">
        <f>VF17+IF(AND($C17=31,$U17=1),1,0)</f>
        <v/>
      </c>
      <c r="VG18">
        <f>VG17+IF(AND($C17=32,$U17=1),1,0)</f>
        <v/>
      </c>
      <c r="VH18">
        <f>VH17+IF(AND($C17=33,$U17=1),1,0)</f>
        <v/>
      </c>
      <c r="VI18">
        <f>VI17+IF(AND($C17=34,$U17=1),1,0)</f>
        <v/>
      </c>
      <c r="VJ18">
        <f>VJ17+IF(AND($C17=35,$U17=1),1,0)</f>
        <v/>
      </c>
      <c r="VK18">
        <f>VK17+IF(AND($C17=36,$U17=1),1,0)</f>
        <v/>
      </c>
      <c r="VL18">
        <f>VL17+IF(AND($C17=37,$U17=1),1,0)</f>
        <v/>
      </c>
      <c r="VM18">
        <f>VM17+IF(AND($C17=38,$U17=1),1,0)</f>
        <v/>
      </c>
      <c r="VN18">
        <f>VN17+IF(AND($C17=39,$U17=1),1,0)</f>
        <v/>
      </c>
      <c r="VO18">
        <f>VO17+IF(AND($C17=40,$U17=1),1,0)</f>
        <v/>
      </c>
      <c r="VP18">
        <f>VP17+IF(AND($C17=41,$U17=1),1,0)</f>
        <v/>
      </c>
      <c r="VQ18">
        <f>VQ17+IF(AND($C17=42,$U17=1),1,0)</f>
        <v/>
      </c>
      <c r="VR18">
        <f>VR17+IF(AND($C17=43,$U17=1),1,0)</f>
        <v/>
      </c>
      <c r="VS18">
        <f>VS17+IF(AND($C17=44,$U17=1),1,0)</f>
        <v/>
      </c>
      <c r="VT18">
        <f>VT17+IF(AND($C17=45,$U17=1),1,0)</f>
        <v/>
      </c>
      <c r="VU18">
        <f>VU17+IF(AND($C17=46,$U17=1),1,0)</f>
        <v/>
      </c>
      <c r="VV18">
        <f>VV17+IF(AND($C17=47,$U17=1),1,0)</f>
        <v/>
      </c>
      <c r="VW18">
        <f>VW17+IF(AND($C17=48,$U17=1),1,0)</f>
        <v/>
      </c>
      <c r="VX18">
        <f>VX17+IF(AND($C17=49,$U17=1),1,0)</f>
        <v/>
      </c>
      <c r="VY18">
        <f>VY17+IF(AND($C17=50,$U17=1),1,0)</f>
        <v/>
      </c>
      <c r="VZ18">
        <f>VZ17+IF(AND($C17=51,$U17=1),1,0)</f>
        <v/>
      </c>
      <c r="WA18">
        <f>WA17+IF(AND($C17=52,$U17=1),1,0)</f>
        <v/>
      </c>
      <c r="WB18">
        <f>WB17+IF(AND($C17=53,$U17=1),1,0)</f>
        <v/>
      </c>
      <c r="WC18">
        <f>WC17+IF(AND($C17=54,$U17=1),1,0)</f>
        <v/>
      </c>
      <c r="WD18">
        <f>WD17+IF(AND($C17=55,$U17=1),1,0)</f>
        <v/>
      </c>
      <c r="WE18">
        <f>WE17+IF(AND($C17=56,$U17=1),1,0)</f>
        <v/>
      </c>
      <c r="WF18">
        <f>WF17+IF(AND($C17=57,$U17=1),1,0)</f>
        <v/>
      </c>
      <c r="WG18">
        <f>WG17+IF(AND($C17=58,$U17=1),1,0)</f>
        <v/>
      </c>
      <c r="WH18">
        <f>WH17+IF(AND($C17=59,$U17=1),1,0)</f>
        <v/>
      </c>
      <c r="WI18">
        <f>WI17+IF(AND($C17=60,$U17=1),1,0)</f>
        <v/>
      </c>
      <c r="WJ18">
        <f>WJ17+IF(AND($C17=61,$U17=1),1,0)</f>
        <v/>
      </c>
      <c r="WK18">
        <f>WK17+IF(AND($C17=62,$U17=1),1,0)</f>
        <v/>
      </c>
      <c r="WL18">
        <f>WL17+IF(AND($C17=63,$U17=1),1,0)</f>
        <v/>
      </c>
      <c r="WM18">
        <f>WM17+IF(AND($C17=64,$U17=1),1,0)</f>
        <v/>
      </c>
      <c r="WN18">
        <f>WN17+IF(AND($C17=65,$U17=1),1,0)</f>
        <v/>
      </c>
      <c r="WO18">
        <f>WO17+IF(AND($C17=66,$U17=1),1,0)</f>
        <v/>
      </c>
      <c r="WP18">
        <f>WP17+IF(AND($C17=67,$U17=1),1,0)</f>
        <v/>
      </c>
      <c r="WQ18">
        <f>WQ17+IF(AND($C17=68,$U17=1),1,0)</f>
        <v/>
      </c>
      <c r="WR18">
        <f>WR17+IF(AND($C17=69,$U17=1),1,0)</f>
        <v/>
      </c>
      <c r="WS18">
        <f>WS17+IF(AND($C17=70,$U17=1),1,0)</f>
        <v/>
      </c>
      <c r="WT18">
        <f>WT17+IF(AND($C17=71,$U17=1),1,0)</f>
        <v/>
      </c>
      <c r="WU18">
        <f>WU17+IF(AND($C17=72,$U17=1),1,0)</f>
        <v/>
      </c>
      <c r="WV18">
        <f>WV17+IF(AND($C17=73,$U17=1),1,0)</f>
        <v/>
      </c>
      <c r="WW18">
        <f>WW17+IF(AND($C17=74,$U17=1),1,0)</f>
        <v/>
      </c>
      <c r="WX18">
        <f>WX17+IF(AND($C17=75,$U17=1),1,0)</f>
        <v/>
      </c>
      <c r="WY18">
        <f>WY17+IF(AND($C17=76,$U17=1),1,0)</f>
        <v/>
      </c>
      <c r="WZ18">
        <f>WZ17+IF(AND($C17=77,$U17=1),1,0)</f>
        <v/>
      </c>
      <c r="XA18">
        <f>XA17+IF(AND($C17=78,$U17=1),1,0)</f>
        <v/>
      </c>
      <c r="XB18">
        <f>XB17+IF(AND($C17=79,$U17=1),1,0)</f>
        <v/>
      </c>
      <c r="XC18">
        <f>XC17+IF(AND($C17=80,$U17=1),1,0)</f>
        <v/>
      </c>
      <c r="XD18">
        <f>XD17+IF(AND($C17=81,$U17=1),1,0)</f>
        <v/>
      </c>
      <c r="XE18">
        <f>XE17+IF(AND($C17=82,$U17=1),1,0)</f>
        <v/>
      </c>
      <c r="XF18">
        <f>XF17+IF(AND($C17=83,$U17=1),1,0)</f>
        <v/>
      </c>
      <c r="XG18">
        <f>XG17+IF(AND($C17=84,$U17=1),1,0)</f>
        <v/>
      </c>
      <c r="XH18">
        <f>XH17+IF(AND($C17=85,$U17=1),1,0)</f>
        <v/>
      </c>
      <c r="XI18">
        <f>XI17+IF(AND($C17=86,$U17=1),1,0)</f>
        <v/>
      </c>
      <c r="XJ18">
        <f>XJ17+IF(AND($C17=87,$U17=1),1,0)</f>
        <v/>
      </c>
      <c r="XK18">
        <f>XK17+IF(AND($C17=88,$U17=1),1,0)</f>
        <v/>
      </c>
      <c r="XL18">
        <f>XL17+IF(AND($C17=89,$U17=1),1,0)</f>
        <v/>
      </c>
      <c r="XM18">
        <f>XM17+IF(AND($C17=90,$U17=1),1,0)</f>
        <v/>
      </c>
      <c r="XN18">
        <f>XN17+IF(AND($C17=91,$U17=1),1,0)</f>
        <v/>
      </c>
      <c r="XO18">
        <f>XO17+IF(AND($C17=92,$U17=1),1,0)</f>
        <v/>
      </c>
      <c r="XP18">
        <f>XP17+IF(AND($C17=93,$U17=1),1,0)</f>
        <v/>
      </c>
      <c r="XQ18">
        <f>XQ17+IF(AND($C17=94,$U17=1),1,0)</f>
        <v/>
      </c>
      <c r="XR18">
        <f>XR17+IF(AND($C17=95,$U17=1),1,0)</f>
        <v/>
      </c>
      <c r="XS18">
        <f>XS17+IF(AND($C17=96,$U17=1),1,0)</f>
        <v/>
      </c>
      <c r="XT18">
        <f>XT17+IF(AND($C17=97,$U17=1),1,0)</f>
        <v/>
      </c>
      <c r="XU18">
        <f>XU17+IF(AND($C17=98,$U17=1),1,0)</f>
        <v/>
      </c>
      <c r="XV18">
        <f>XV17+IF(AND($C17=99,$U17=1),1,0)</f>
        <v/>
      </c>
      <c r="XW18">
        <f>XW17+IF(AND($C17=100,$U17=1),1,0)</f>
        <v/>
      </c>
      <c r="XX18">
        <f>XX17+IF(AND($C17=101,$U17=1),1,0)</f>
        <v/>
      </c>
      <c r="XY18">
        <f>XY17+IF(AND($C17=102,$U17=1),1,0)</f>
        <v/>
      </c>
      <c r="XZ18">
        <f>XZ17+IF(AND($C17=103,$U17=1),1,0)</f>
        <v/>
      </c>
      <c r="YA18">
        <f>YA17+IF(AND($C17=104,$U17=1),1,0)</f>
        <v/>
      </c>
      <c r="YB18">
        <f>YB17+IF(AND($C17=105,$U17=1),1,0)</f>
        <v/>
      </c>
      <c r="YC18">
        <f>YC17+IF(AND($C17=106,$U17=1),1,0)</f>
        <v/>
      </c>
      <c r="YD18">
        <f>YD17+IF(AND($C17=107,$U17=1),1,0)</f>
        <v/>
      </c>
      <c r="YE18">
        <f>YE17+IF(AND($C17=108,$U17=1),1,0)</f>
        <v/>
      </c>
      <c r="YF18">
        <f>YF17+IF(AND($C17=109,$U17=1),1,0)</f>
        <v/>
      </c>
      <c r="YG18">
        <f>YG17+IF(AND($C17=110,$U17=1),1,0)</f>
        <v/>
      </c>
      <c r="YH18">
        <f>YH17+IF(AND($C17=111,$U17=1),1,0)</f>
        <v/>
      </c>
      <c r="YI18">
        <f>YI17+IF(AND($C17=112,$U17=1),1,0)</f>
        <v/>
      </c>
      <c r="YJ18">
        <f>YJ17+IF(AND($C17=113,$U17=1),1,0)</f>
        <v/>
      </c>
      <c r="YK18">
        <f>YK17+IF(AND($C17=114,$U17=1),1,0)</f>
        <v/>
      </c>
      <c r="YL18">
        <f>YL17+IF(AND($C17=115,$U17=1),1,0)</f>
        <v/>
      </c>
      <c r="YM18">
        <f>YM17+IF(AND($C17=116,$U17=1),1,0)</f>
        <v/>
      </c>
      <c r="YN18">
        <f>YN17+IF(AND($C17=117,$U17=1),1,0)</f>
        <v/>
      </c>
      <c r="YO18">
        <f>YO17+IF(AND($C17=118,$U17=1),1,0)</f>
        <v/>
      </c>
      <c r="YP18">
        <f>YP17+IF(AND($C17=119,$U17=1),1,0)</f>
        <v/>
      </c>
      <c r="YQ18">
        <f>YQ17+IF(AND($C17=120,$U17=1),1,0)</f>
        <v/>
      </c>
      <c r="YR18">
        <f>YR17+IF(AND($C17=121,$U17=1),1,0)</f>
        <v/>
      </c>
      <c r="YS18">
        <f>YS17+IF(AND($C17=122,$U17=1),1,0)</f>
        <v/>
      </c>
      <c r="YT18">
        <f>YT17+IF(AND($C17=123,$U17=1),1,0)</f>
        <v/>
      </c>
      <c r="YU18">
        <f>YU17+IF(AND($C17=124,$U17=1),1,0)</f>
        <v/>
      </c>
      <c r="YV18">
        <f>YV17+IF(AND($C17=125,$U17=1),1,0)</f>
        <v/>
      </c>
      <c r="YW18">
        <f>YW17+IF(AND($C17=126,$U17=1),1,0)</f>
        <v/>
      </c>
      <c r="YX18">
        <f>YX17+IF(AND($C17=127,$U17=1),1,0)</f>
        <v/>
      </c>
      <c r="YY18">
        <f>YY17+IF(AND($C17=128,$U17=1),1,0)</f>
        <v/>
      </c>
      <c r="YZ18">
        <f>YZ17+IF(AND($C17=129,$U17=1),1,0)</f>
        <v/>
      </c>
      <c r="ZA18">
        <f>ZA17+IF(AND($C17=130,$U17=1),1,0)</f>
        <v/>
      </c>
      <c r="ZB18">
        <f>ZB17+IF(AND($C17=131,$U17=1),1,0)</f>
        <v/>
      </c>
      <c r="ZC18">
        <f>ZC17+IF(AND($C17=132,$U17=1),1,0)</f>
        <v/>
      </c>
      <c r="ZD18">
        <f>ZD17+IF(AND($C17=133,$U17=1),1,0)</f>
        <v/>
      </c>
      <c r="ZE18">
        <f>ZE17+IF(AND($C17=134,$U17=1),1,0)</f>
        <v/>
      </c>
      <c r="ZF18">
        <f>ZF17+IF(AND($C17=135,$U17=1),1,0)</f>
        <v/>
      </c>
      <c r="ZG18">
        <f>ZG17+IF(AND($C17=136,$U17=1),1,0)</f>
        <v/>
      </c>
      <c r="ZH18">
        <f>ZH17+IF(AND($C17=137,$U17=1),1,0)</f>
        <v/>
      </c>
      <c r="ZI18">
        <f>ZI17+IF(AND($C17=138,$U17=1),1,0)</f>
        <v/>
      </c>
      <c r="ZJ18">
        <f>ZJ17+IF(AND($C17=139,$U17=1),1,0)</f>
        <v/>
      </c>
      <c r="ZK18">
        <f>ZK17+IF(AND($C17=140,$U17=1),1,0)</f>
        <v/>
      </c>
      <c r="ZL18">
        <f>ZL17+IF(AND($C17=141,$U17=1),1,0)</f>
        <v/>
      </c>
      <c r="ZM18">
        <f>ZM17+IF(AND($C17=142,$U17=1),1,0)</f>
        <v/>
      </c>
      <c r="ZN18">
        <f>ZN17+IF(AND($C17=143,$U17=1),1,0)</f>
        <v/>
      </c>
      <c r="ZO18">
        <f>ZO17+IF(AND($C17=144,$U17=1),1,0)</f>
        <v/>
      </c>
      <c r="ZQ18">
        <f>IF($C17=1,0,ZQ17+IF(AND($G17=1,$E17=1),1,0))</f>
        <v/>
      </c>
      <c r="ZR18">
        <f>IF($C17=2,0,ZR17+IF(AND($G17=2,$E17=1),1,0))</f>
        <v/>
      </c>
      <c r="ZS18">
        <f>IF($C17=3,0,ZS17+IF(AND($G17=3,$E17=1),1,0))</f>
        <v/>
      </c>
      <c r="ZT18">
        <f>IF($C17=4,0,ZT17+IF(AND($G17=4,$E17=1),1,0))</f>
        <v/>
      </c>
      <c r="ZU18">
        <f>IF($C17=5,0,ZU17+IF(AND($G17=5,$E17=1),1,0))</f>
        <v/>
      </c>
      <c r="ZV18">
        <f>IF($C17=6,0,ZV17+IF(AND($G17=6,$E17=1),1,0))</f>
        <v/>
      </c>
      <c r="ZW18">
        <f>IF($C17=7,0,ZW17+IF(AND($G17=7,$E17=1),1,0))</f>
        <v/>
      </c>
      <c r="ZX18">
        <f>IF($C17=8,0,ZX17+IF(AND($G17=8,$E17=1),1,0))</f>
        <v/>
      </c>
      <c r="ZY18">
        <f>IF($C17=9,0,ZY17+IF(AND($G17=9,$E17=1),1,0))</f>
        <v/>
      </c>
      <c r="ZZ18">
        <f>IF($C17=10,0,ZZ17+IF(AND($G17=10,$E17=1),1,0))</f>
        <v/>
      </c>
      <c r="AAA18">
        <f>IF($C17=11,0,AAA17+IF(AND($G17=11,$E17=1),1,0))</f>
        <v/>
      </c>
      <c r="AAB18">
        <f>IF($C17=12,0,AAB17+IF(AND($G17=12,$E17=1),1,0))</f>
        <v/>
      </c>
      <c r="AAC18">
        <f>IF($C17=13,0,AAC17+IF(AND($G17=13,$E17=1),1,0))</f>
        <v/>
      </c>
      <c r="AAD18">
        <f>IF($C17=14,0,AAD17+IF(AND($G17=14,$E17=1),1,0))</f>
        <v/>
      </c>
      <c r="AAE18">
        <f>IF($C17=15,0,AAE17+IF(AND($G17=15,$E17=1),1,0))</f>
        <v/>
      </c>
      <c r="AAF18">
        <f>IF($C17=16,0,AAF17+IF(AND($G17=16,$E17=1),1,0))</f>
        <v/>
      </c>
      <c r="AAG18">
        <f>IF($C17=17,0,AAG17+IF(AND($G17=17,$E17=1),1,0))</f>
        <v/>
      </c>
      <c r="AAH18">
        <f>IF($C17=18,0,AAH17+IF(AND($G17=18,$E17=1),1,0))</f>
        <v/>
      </c>
      <c r="AAI18">
        <f>IF($C17=19,0,AAI17+IF(AND($G17=19,$E17=1),1,0))</f>
        <v/>
      </c>
      <c r="AAJ18">
        <f>IF($C17=20,0,AAJ17+IF(AND($G17=20,$E17=1),1,0))</f>
        <v/>
      </c>
      <c r="AAK18">
        <f>IF($C17=21,0,AAK17+IF(AND($G17=21,$E17=1),1,0))</f>
        <v/>
      </c>
      <c r="AAL18">
        <f>IF($C17=22,0,AAL17+IF(AND($G17=22,$E17=1),1,0))</f>
        <v/>
      </c>
      <c r="AAM18">
        <f>IF($C17=23,0,AAM17+IF(AND($G17=23,$E17=1),1,0))</f>
        <v/>
      </c>
      <c r="AAN18">
        <f>IF($C17=24,0,AAN17+IF(AND($G17=24,$E17=1),1,0))</f>
        <v/>
      </c>
      <c r="AAO18">
        <f>IF($C17=25,0,AAO17+IF(AND($G17=25,$E17=1),1,0))</f>
        <v/>
      </c>
      <c r="AAP18">
        <f>IF($C17=26,0,AAP17+IF(AND($G17=26,$E17=1),1,0))</f>
        <v/>
      </c>
      <c r="AAQ18">
        <f>IF($C17=27,0,AAQ17+IF(AND($G17=27,$E17=1),1,0))</f>
        <v/>
      </c>
      <c r="AAR18">
        <f>IF($C17=28,0,AAR17+IF(AND($G17=28,$E17=1),1,0))</f>
        <v/>
      </c>
      <c r="AAS18">
        <f>IF($C17=29,0,AAS17+IF(AND($G17=29,$E17=1),1,0))</f>
        <v/>
      </c>
      <c r="AAT18">
        <f>IF($C17=30,0,AAT17+IF(AND($G17=30,$E17=1),1,0))</f>
        <v/>
      </c>
      <c r="AAU18">
        <f>IF($C17=31,0,AAU17+IF(AND($G17=31,$E17=1),1,0))</f>
        <v/>
      </c>
      <c r="AAV18">
        <f>IF($C17=32,0,AAV17+IF(AND($G17=32,$E17=1),1,0))</f>
        <v/>
      </c>
      <c r="AAW18">
        <f>IF($C17=33,0,AAW17+IF(AND($G17=33,$E17=1),1,0))</f>
        <v/>
      </c>
      <c r="AAX18">
        <f>IF($C17=34,0,AAX17+IF(AND($G17=34,$E17=1),1,0))</f>
        <v/>
      </c>
      <c r="AAY18">
        <f>IF($C17=35,0,AAY17+IF(AND($G17=35,$E17=1),1,0))</f>
        <v/>
      </c>
      <c r="AAZ18">
        <f>IF($C17=36,0,AAZ17+IF(AND($G17=36,$E17=1),1,0))</f>
        <v/>
      </c>
      <c r="ABA18">
        <f>IF($C17=37,0,ABA17+IF(AND($G17=37,$E17=1),1,0))</f>
        <v/>
      </c>
      <c r="ABB18">
        <f>IF($C17=38,0,ABB17+IF(AND($G17=38,$E17=1),1,0))</f>
        <v/>
      </c>
      <c r="ABC18">
        <f>IF($C17=39,0,ABC17+IF(AND($G17=39,$E17=1),1,0))</f>
        <v/>
      </c>
      <c r="ABD18">
        <f>IF($C17=40,0,ABD17+IF(AND($G17=40,$E17=1),1,0))</f>
        <v/>
      </c>
      <c r="ABE18">
        <f>IF($C17=41,0,ABE17+IF(AND($G17=41,$E17=1),1,0))</f>
        <v/>
      </c>
      <c r="ABF18">
        <f>IF($C17=42,0,ABF17+IF(AND($G17=42,$E17=1),1,0))</f>
        <v/>
      </c>
      <c r="ABG18">
        <f>IF($C17=43,0,ABG17+IF(AND($G17=43,$E17=1),1,0))</f>
        <v/>
      </c>
      <c r="ABH18">
        <f>IF($C17=44,0,ABH17+IF(AND($G17=44,$E17=1),1,0))</f>
        <v/>
      </c>
      <c r="ABI18">
        <f>IF($C17=45,0,ABI17+IF(AND($G17=45,$E17=1),1,0))</f>
        <v/>
      </c>
      <c r="ABJ18">
        <f>IF($C17=46,0,ABJ17+IF(AND($G17=46,$E17=1),1,0))</f>
        <v/>
      </c>
      <c r="ABK18">
        <f>IF($C17=47,0,ABK17+IF(AND($G17=47,$E17=1),1,0))</f>
        <v/>
      </c>
      <c r="ABL18">
        <f>IF($C17=48,0,ABL17+IF(AND($G17=48,$E17=1),1,0))</f>
        <v/>
      </c>
      <c r="ABM18">
        <f>IF($C17=49,0,ABM17+IF(AND($G17=49,$E17=1),1,0))</f>
        <v/>
      </c>
      <c r="ABN18">
        <f>IF($C17=50,0,ABN17+IF(AND($G17=50,$E17=1),1,0))</f>
        <v/>
      </c>
      <c r="ABO18">
        <f>IF($C17=51,0,ABO17+IF(AND($G17=51,$E17=1),1,0))</f>
        <v/>
      </c>
      <c r="ABP18">
        <f>IF($C17=52,0,ABP17+IF(AND($G17=52,$E17=1),1,0))</f>
        <v/>
      </c>
      <c r="ABQ18">
        <f>IF($C17=53,0,ABQ17+IF(AND($G17=53,$E17=1),1,0))</f>
        <v/>
      </c>
      <c r="ABR18">
        <f>IF($C17=54,0,ABR17+IF(AND($G17=54,$E17=1),1,0))</f>
        <v/>
      </c>
      <c r="ABS18">
        <f>IF($C17=55,0,ABS17+IF(AND($G17=55,$E17=1),1,0))</f>
        <v/>
      </c>
      <c r="ABT18">
        <f>IF($C17=56,0,ABT17+IF(AND($G17=56,$E17=1),1,0))</f>
        <v/>
      </c>
      <c r="ABU18">
        <f>IF($C17=57,0,ABU17+IF(AND($G17=57,$E17=1),1,0))</f>
        <v/>
      </c>
      <c r="ABV18">
        <f>IF($C17=58,0,ABV17+IF(AND($G17=58,$E17=1),1,0))</f>
        <v/>
      </c>
      <c r="ABW18">
        <f>IF($C17=59,0,ABW17+IF(AND($G17=59,$E17=1),1,0))</f>
        <v/>
      </c>
      <c r="ABX18">
        <f>IF($C17=60,0,ABX17+IF(AND($G17=60,$E17=1),1,0))</f>
        <v/>
      </c>
      <c r="ABY18">
        <f>IF($C17=61,0,ABY17+IF(AND($G17=61,$E17=1),1,0))</f>
        <v/>
      </c>
      <c r="ABZ18">
        <f>IF($C17=62,0,ABZ17+IF(AND($G17=62,$E17=1),1,0))</f>
        <v/>
      </c>
      <c r="ACA18">
        <f>IF($C17=63,0,ACA17+IF(AND($G17=63,$E17=1),1,0))</f>
        <v/>
      </c>
      <c r="ACB18">
        <f>IF($C17=64,0,ACB17+IF(AND($G17=64,$E17=1),1,0))</f>
        <v/>
      </c>
      <c r="ACC18">
        <f>IF($C17=65,0,ACC17+IF(AND($G17=65,$E17=1),1,0))</f>
        <v/>
      </c>
      <c r="ACD18">
        <f>IF($C17=66,0,ACD17+IF(AND($G17=66,$E17=1),1,0))</f>
        <v/>
      </c>
      <c r="ACE18">
        <f>IF($C17=67,0,ACE17+IF(AND($G17=67,$E17=1),1,0))</f>
        <v/>
      </c>
      <c r="ACF18">
        <f>IF($C17=68,0,ACF17+IF(AND($G17=68,$E17=1),1,0))</f>
        <v/>
      </c>
      <c r="ACG18">
        <f>IF($C17=69,0,ACG17+IF(AND($G17=69,$E17=1),1,0))</f>
        <v/>
      </c>
      <c r="ACH18">
        <f>IF($C17=70,0,ACH17+IF(AND($G17=70,$E17=1),1,0))</f>
        <v/>
      </c>
      <c r="ACI18">
        <f>IF($C17=71,0,ACI17+IF(AND($G17=71,$E17=1),1,0))</f>
        <v/>
      </c>
      <c r="ACJ18">
        <f>IF($C17=72,0,ACJ17+IF(AND($G17=72,$E17=1),1,0))</f>
        <v/>
      </c>
      <c r="ACK18">
        <f>IF($C17=73,0,ACK17+IF(AND($G17=73,$E17=1),1,0))</f>
        <v/>
      </c>
      <c r="ACL18">
        <f>IF($C17=74,0,ACL17+IF(AND($G17=74,$E17=1),1,0))</f>
        <v/>
      </c>
      <c r="ACM18">
        <f>IF($C17=75,0,ACM17+IF(AND($G17=75,$E17=1),1,0))</f>
        <v/>
      </c>
      <c r="ACN18">
        <f>IF($C17=76,0,ACN17+IF(AND($G17=76,$E17=1),1,0))</f>
        <v/>
      </c>
      <c r="ACO18">
        <f>IF($C17=77,0,ACO17+IF(AND($G17=77,$E17=1),1,0))</f>
        <v/>
      </c>
      <c r="ACP18">
        <f>IF($C17=78,0,ACP17+IF(AND($G17=78,$E17=1),1,0))</f>
        <v/>
      </c>
      <c r="ACQ18">
        <f>IF($C17=79,0,ACQ17+IF(AND($G17=79,$E17=1),1,0))</f>
        <v/>
      </c>
      <c r="ACR18">
        <f>IF($C17=80,0,ACR17+IF(AND($G17=80,$E17=1),1,0))</f>
        <v/>
      </c>
      <c r="ACS18">
        <f>IF($C17=81,0,ACS17+IF(AND($G17=81,$E17=1),1,0))</f>
        <v/>
      </c>
      <c r="ACT18">
        <f>IF($C17=82,0,ACT17+IF(AND($G17=82,$E17=1),1,0))</f>
        <v/>
      </c>
      <c r="ACU18">
        <f>IF($C17=83,0,ACU17+IF(AND($G17=83,$E17=1),1,0))</f>
        <v/>
      </c>
      <c r="ACV18">
        <f>IF($C17=84,0,ACV17+IF(AND($G17=84,$E17=1),1,0))</f>
        <v/>
      </c>
      <c r="ACW18">
        <f>IF($C17=85,0,ACW17+IF(AND($G17=85,$E17=1),1,0))</f>
        <v/>
      </c>
      <c r="ACX18">
        <f>IF($C17=86,0,ACX17+IF(AND($G17=86,$E17=1),1,0))</f>
        <v/>
      </c>
      <c r="ACY18">
        <f>IF($C17=87,0,ACY17+IF(AND($G17=87,$E17=1),1,0))</f>
        <v/>
      </c>
      <c r="ACZ18">
        <f>IF($C17=88,0,ACZ17+IF(AND($G17=88,$E17=1),1,0))</f>
        <v/>
      </c>
      <c r="ADA18">
        <f>IF($C17=89,0,ADA17+IF(AND($G17=89,$E17=1),1,0))</f>
        <v/>
      </c>
      <c r="ADB18">
        <f>IF($C17=90,0,ADB17+IF(AND($G17=90,$E17=1),1,0))</f>
        <v/>
      </c>
      <c r="ADC18">
        <f>IF($C17=91,0,ADC17+IF(AND($G17=91,$E17=1),1,0))</f>
        <v/>
      </c>
      <c r="ADD18">
        <f>IF($C17=92,0,ADD17+IF(AND($G17=92,$E17=1),1,0))</f>
        <v/>
      </c>
      <c r="ADE18">
        <f>IF($C17=93,0,ADE17+IF(AND($G17=93,$E17=1),1,0))</f>
        <v/>
      </c>
      <c r="ADF18">
        <f>IF($C17=94,0,ADF17+IF(AND($G17=94,$E17=1),1,0))</f>
        <v/>
      </c>
      <c r="ADG18">
        <f>IF($C17=95,0,ADG17+IF(AND($G17=95,$E17=1),1,0))</f>
        <v/>
      </c>
      <c r="ADH18">
        <f>IF($C17=96,0,ADH17+IF(AND($G17=96,$E17=1),1,0))</f>
        <v/>
      </c>
      <c r="ADI18">
        <f>IF($C17=97,0,ADI17+IF(AND($G17=97,$E17=1),1,0))</f>
        <v/>
      </c>
      <c r="ADJ18">
        <f>IF($C17=98,0,ADJ17+IF(AND($G17=98,$E17=1),1,0))</f>
        <v/>
      </c>
      <c r="ADK18">
        <f>IF($C17=99,0,ADK17+IF(AND($G17=99,$E17=1),1,0))</f>
        <v/>
      </c>
      <c r="ADL18">
        <f>IF($C17=100,0,ADL17+IF(AND($G17=100,$E17=1),1,0))</f>
        <v/>
      </c>
      <c r="ADM18">
        <f>IF($C17=101,0,ADM17+IF(AND($G17=101,$E17=1),1,0))</f>
        <v/>
      </c>
      <c r="ADN18">
        <f>IF($C17=102,0,ADN17+IF(AND($G17=102,$E17=1),1,0))</f>
        <v/>
      </c>
      <c r="ADO18">
        <f>IF($C17=103,0,ADO17+IF(AND($G17=103,$E17=1),1,0))</f>
        <v/>
      </c>
      <c r="ADP18">
        <f>IF($C17=104,0,ADP17+IF(AND($G17=104,$E17=1),1,0))</f>
        <v/>
      </c>
      <c r="ADQ18">
        <f>IF($C17=105,0,ADQ17+IF(AND($G17=105,$E17=1),1,0))</f>
        <v/>
      </c>
      <c r="ADR18">
        <f>IF($C17=106,0,ADR17+IF(AND($G17=106,$E17=1),1,0))</f>
        <v/>
      </c>
      <c r="ADS18">
        <f>IF($C17=107,0,ADS17+IF(AND($G17=107,$E17=1),1,0))</f>
        <v/>
      </c>
      <c r="ADT18">
        <f>IF($C17=108,0,ADT17+IF(AND($G17=108,$E17=1),1,0))</f>
        <v/>
      </c>
      <c r="ADU18">
        <f>IF($C17=109,0,ADU17+IF(AND($G17=109,$E17=1),1,0))</f>
        <v/>
      </c>
      <c r="ADV18">
        <f>IF($C17=110,0,ADV17+IF(AND($G17=110,$E17=1),1,0))</f>
        <v/>
      </c>
      <c r="ADW18">
        <f>IF($C17=111,0,ADW17+IF(AND($G17=111,$E17=1),1,0))</f>
        <v/>
      </c>
      <c r="ADX18">
        <f>IF($C17=112,0,ADX17+IF(AND($G17=112,$E17=1),1,0))</f>
        <v/>
      </c>
      <c r="ADY18">
        <f>IF($C17=113,0,ADY17+IF(AND($G17=113,$E17=1),1,0))</f>
        <v/>
      </c>
      <c r="ADZ18">
        <f>IF($C17=114,0,ADZ17+IF(AND($G17=114,$E17=1),1,0))</f>
        <v/>
      </c>
      <c r="AEA18">
        <f>IF($C17=115,0,AEA17+IF(AND($G17=115,$E17=1),1,0))</f>
        <v/>
      </c>
      <c r="AEB18">
        <f>IF($C17=116,0,AEB17+IF(AND($G17=116,$E17=1),1,0))</f>
        <v/>
      </c>
      <c r="AEC18">
        <f>IF($C17=117,0,AEC17+IF(AND($G17=117,$E17=1),1,0))</f>
        <v/>
      </c>
      <c r="AED18">
        <f>IF($C17=118,0,AED17+IF(AND($G17=118,$E17=1),1,0))</f>
        <v/>
      </c>
      <c r="AEE18">
        <f>IF($C17=119,0,AEE17+IF(AND($G17=119,$E17=1),1,0))</f>
        <v/>
      </c>
      <c r="AEF18">
        <f>IF($C17=120,0,AEF17+IF(AND($G17=120,$E17=1),1,0))</f>
        <v/>
      </c>
      <c r="AEG18">
        <f>IF($C17=121,0,AEG17+IF(AND($G17=121,$E17=1),1,0))</f>
        <v/>
      </c>
      <c r="AEH18">
        <f>IF($C17=122,0,AEH17+IF(AND($G17=122,$E17=1),1,0))</f>
        <v/>
      </c>
      <c r="AEI18">
        <f>IF($C17=123,0,AEI17+IF(AND($G17=123,$E17=1),1,0))</f>
        <v/>
      </c>
      <c r="AEJ18">
        <f>IF($C17=124,0,AEJ17+IF(AND($G17=124,$E17=1),1,0))</f>
        <v/>
      </c>
      <c r="AEK18">
        <f>IF($C17=125,0,AEK17+IF(AND($G17=125,$E17=1),1,0))</f>
        <v/>
      </c>
      <c r="AEL18">
        <f>IF($C17=126,0,AEL17+IF(AND($G17=126,$E17=1),1,0))</f>
        <v/>
      </c>
      <c r="AEM18">
        <f>IF($C17=127,0,AEM17+IF(AND($G17=127,$E17=1),1,0))</f>
        <v/>
      </c>
      <c r="AEN18">
        <f>IF($C17=128,0,AEN17+IF(AND($G17=128,$E17=1),1,0))</f>
        <v/>
      </c>
      <c r="AEO18">
        <f>IF($C17=129,0,AEO17+IF(AND($G17=129,$E17=1),1,0))</f>
        <v/>
      </c>
      <c r="AEP18">
        <f>IF($C17=130,0,AEP17+IF(AND($G17=130,$E17=1),1,0))</f>
        <v/>
      </c>
      <c r="AEQ18">
        <f>IF($C17=131,0,AEQ17+IF(AND($G17=131,$E17=1),1,0))</f>
        <v/>
      </c>
      <c r="AER18">
        <f>IF($C17=132,0,AER17+IF(AND($G17=132,$E17=1),1,0))</f>
        <v/>
      </c>
      <c r="AES18">
        <f>IF($C17=133,0,AES17+IF(AND($G17=133,$E17=1),1,0))</f>
        <v/>
      </c>
      <c r="AET18">
        <f>IF($C17=134,0,AET17+IF(AND($G17=134,$E17=1),1,0))</f>
        <v/>
      </c>
      <c r="AEU18">
        <f>IF($C17=135,0,AEU17+IF(AND($G17=135,$E17=1),1,0))</f>
        <v/>
      </c>
      <c r="AEV18">
        <f>IF($C17=136,0,AEV17+IF(AND($G17=136,$E17=1),1,0))</f>
        <v/>
      </c>
      <c r="AEW18">
        <f>IF($C17=137,0,AEW17+IF(AND($G17=137,$E17=1),1,0))</f>
        <v/>
      </c>
      <c r="AEX18">
        <f>IF($C17=138,0,AEX17+IF(AND($G17=138,$E17=1),1,0))</f>
        <v/>
      </c>
      <c r="AEY18">
        <f>IF($C17=139,0,AEY17+IF(AND($G17=139,$E17=1),1,0))</f>
        <v/>
      </c>
      <c r="AEZ18">
        <f>IF($C17=140,0,AEZ17+IF(AND($G17=140,$E17=1),1,0))</f>
        <v/>
      </c>
      <c r="AFA18">
        <f>IF($C17=141,0,AFA17+IF(AND($G17=141,$E17=1),1,0))</f>
        <v/>
      </c>
      <c r="AFB18">
        <f>IF($C17=142,0,AFB17+IF(AND($G17=142,$E17=1),1,0))</f>
        <v/>
      </c>
      <c r="AFC18">
        <f>IF($C17=143,0,AFC17+IF(AND($G17=143,$E17=1),1,0))</f>
        <v/>
      </c>
      <c r="AFD18">
        <f>IF($C17=144,0,AFD17+IF(AND($G17=144,$E17=1),1,0))</f>
        <v/>
      </c>
      <c r="AFF18">
        <f>IF('calcA'!D$106=1,DC18+ZR18,1)</f>
        <v/>
      </c>
      <c r="AFG18">
        <f>IF('calcA'!E$106=1,DD18+ZS18,1)</f>
        <v/>
      </c>
      <c r="AFH18">
        <f>IF('calcA'!F$106=1,DE18+ZT18,1)</f>
        <v/>
      </c>
      <c r="AFI18">
        <f>IF('calcA'!G$106=1,DF18+ZU18,1)</f>
        <v/>
      </c>
      <c r="AFJ18">
        <f>IF('calcA'!H$106=1,DG18+ZV18,1)</f>
        <v/>
      </c>
      <c r="AFK18">
        <f>IF('calcA'!I$106=1,DH18+ZW18,1)</f>
        <v/>
      </c>
      <c r="AFL18">
        <f>IF('calcA'!J$106=1,DI18+ZX18,1)</f>
        <v/>
      </c>
      <c r="AFM18">
        <f>IF('calcA'!K$106=1,DJ18+ZY18,1)</f>
        <v/>
      </c>
      <c r="AFN18">
        <f>IF('calcA'!L$106=1,DK18+ZZ18,1)</f>
        <v/>
      </c>
      <c r="AFO18">
        <f>IF('calcA'!M$106=1,DL18+AAA18,1)</f>
        <v/>
      </c>
      <c r="AFP18">
        <f>IF('calcA'!N$106=1,DM18+AAB18,1)</f>
        <v/>
      </c>
      <c r="AFQ18">
        <f>IF('calcA'!O$106=1,DN18+AAC18,1)</f>
        <v/>
      </c>
      <c r="AFR18">
        <f>IF('calcA'!P$106=1,DO18+AAD18,1)</f>
        <v/>
      </c>
      <c r="AFS18">
        <f>IF('calcA'!Q$106=1,DP18+AAE18,1)</f>
        <v/>
      </c>
      <c r="AFT18">
        <f>IF('calcA'!R$106=1,DQ18+AAF18,1)</f>
        <v/>
      </c>
      <c r="AFU18">
        <f>IF('calcA'!S$106=1,DR18+AAG18,1)</f>
        <v/>
      </c>
      <c r="AFV18">
        <f>IF('calcA'!T$106=1,DS18+AAH18,1)</f>
        <v/>
      </c>
      <c r="AFW18">
        <f>IF('calcA'!U$106=1,DT18+AAI18,1)</f>
        <v/>
      </c>
      <c r="AFX18">
        <f>IF('calcA'!V$106=1,DU18+AAJ18,1)</f>
        <v/>
      </c>
      <c r="AFY18">
        <f>IF('calcA'!W$106=1,DV18+AAK18,1)</f>
        <v/>
      </c>
      <c r="AFZ18">
        <f>IF('calcA'!X$106=1,DW18+AAL18,1)</f>
        <v/>
      </c>
      <c r="AGA18">
        <f>IF('calcA'!Y$106=1,DX18+AAM18,1)</f>
        <v/>
      </c>
      <c r="AGB18">
        <f>IF('calcA'!Z$106=1,DY18+AAN18,1)</f>
        <v/>
      </c>
      <c r="AGC18">
        <f>IF('calcA'!AA$106=1,DZ18+AAO18,1)</f>
        <v/>
      </c>
      <c r="AGD18">
        <f>IF('calcA'!AB$106=1,EA18+AAP18,1)</f>
        <v/>
      </c>
      <c r="AGE18">
        <f>IF('calcA'!AC$106=1,EB18+AAQ18,1)</f>
        <v/>
      </c>
      <c r="AGF18">
        <f>IF('calcA'!AD$106=1,EC18+AAR18,1)</f>
        <v/>
      </c>
      <c r="AGG18">
        <f>IF('calcA'!AE$106=1,ED18+AAS18,1)</f>
        <v/>
      </c>
      <c r="AGH18">
        <f>IF('calcA'!AF$106=1,EE18+AAT18,1)</f>
        <v/>
      </c>
      <c r="AGI18">
        <f>IF('calcA'!AG$106=1,EF18+AAU18,1)</f>
        <v/>
      </c>
      <c r="AGJ18">
        <f>IF('calcA'!AH$106=1,EG18+AAV18,1)</f>
        <v/>
      </c>
      <c r="AGK18">
        <f>IF('calcA'!AI$106=1,EH18+AAW18,1)</f>
        <v/>
      </c>
      <c r="AGL18">
        <f>IF('calcA'!AJ$106=1,EI18+AAX18,1)</f>
        <v/>
      </c>
      <c r="AGM18">
        <f>IF('calcA'!AK$106=1,EJ18+AAY18,1)</f>
        <v/>
      </c>
      <c r="AGN18">
        <f>IF('calcA'!AL$106=1,EK18+AAZ18,1)</f>
        <v/>
      </c>
      <c r="AGO18">
        <f>IF('calcA'!AM$106=1,EL18+ABA18,1)</f>
        <v/>
      </c>
      <c r="AGP18">
        <f>IF('calcA'!AN$106=1,EM18+ABB18,1)</f>
        <v/>
      </c>
      <c r="AGQ18">
        <f>IF('calcA'!AO$106=1,EN18+ABC18,1)</f>
        <v/>
      </c>
      <c r="AGR18">
        <f>IF('calcA'!AP$106=1,EO18+ABD18,1)</f>
        <v/>
      </c>
      <c r="AGS18">
        <f>IF('calcA'!AQ$106=1,EP18+ABE18,1)</f>
        <v/>
      </c>
      <c r="AGT18">
        <f>IF('calcA'!AR$106=1,EQ18+ABF18,1)</f>
        <v/>
      </c>
      <c r="AGU18">
        <f>IF('calcA'!AS$106=1,ER18+ABG18,1)</f>
        <v/>
      </c>
      <c r="AGV18">
        <f>IF('calcA'!AT$106=1,ES18+ABH18,1)</f>
        <v/>
      </c>
      <c r="AGW18">
        <f>IF('calcA'!AU$106=1,ET18+ABI18,1)</f>
        <v/>
      </c>
      <c r="AGX18">
        <f>IF('calcA'!AV$106=1,EU18+ABJ18,1)</f>
        <v/>
      </c>
      <c r="AGY18">
        <f>IF('calcA'!AW$106=1,EV18+ABK18,1)</f>
        <v/>
      </c>
      <c r="AGZ18">
        <f>IF('calcA'!AX$106=1,EW18+ABL18,1)</f>
        <v/>
      </c>
      <c r="AHA18">
        <f>IF('calcA'!AY$106=1,EX18+ABM18,1)</f>
        <v/>
      </c>
      <c r="AHB18">
        <f>IF('calcA'!AZ$106=1,EY18+ABN18,1)</f>
        <v/>
      </c>
      <c r="AHC18">
        <f>IF('calcA'!BA$106=1,EZ18+ABO18,1)</f>
        <v/>
      </c>
      <c r="AHD18">
        <f>IF('calcA'!BB$106=1,FA18+ABP18,1)</f>
        <v/>
      </c>
      <c r="AHE18">
        <f>IF('calcA'!BC$106=1,FB18+ABQ18,1)</f>
        <v/>
      </c>
      <c r="AHF18">
        <f>IF('calcA'!BD$106=1,FC18+ABR18,1)</f>
        <v/>
      </c>
      <c r="AHG18">
        <f>IF('calcA'!BE$106=1,FD18+ABS18,1)</f>
        <v/>
      </c>
      <c r="AHH18">
        <f>IF('calcA'!BF$106=1,FE18+ABT18,1)</f>
        <v/>
      </c>
      <c r="AHI18">
        <f>IF('calcA'!BG$106=1,FF18+ABU18,1)</f>
        <v/>
      </c>
      <c r="AHJ18">
        <f>IF('calcA'!BH$106=1,FG18+ABV18,1)</f>
        <v/>
      </c>
      <c r="AHK18">
        <f>IF('calcA'!BI$106=1,FH18+ABW18,1)</f>
        <v/>
      </c>
      <c r="AHL18">
        <f>IF('calcA'!BJ$106=1,FI18+ABX18,1)</f>
        <v/>
      </c>
      <c r="AHM18">
        <f>IF('calcA'!BK$106=1,FJ18+ABY18,1)</f>
        <v/>
      </c>
      <c r="AHN18">
        <f>IF('calcA'!BL$106=1,FK18+ABZ18,1)</f>
        <v/>
      </c>
      <c r="AHO18">
        <f>IF('calcA'!BM$106=1,FL18+ACA18,1)</f>
        <v/>
      </c>
      <c r="AHP18">
        <f>IF('calcA'!BN$106=1,FM18+ACB18,1)</f>
        <v/>
      </c>
      <c r="AHQ18">
        <f>IF('calcA'!BO$106=1,FN18+ACC18,1)</f>
        <v/>
      </c>
      <c r="AHR18">
        <f>IF('calcA'!BP$106=1,FO18+ACD18,1)</f>
        <v/>
      </c>
      <c r="AHS18">
        <f>IF('calcA'!BQ$106=1,FP18+ACE18,1)</f>
        <v/>
      </c>
      <c r="AHT18">
        <f>IF('calcA'!BR$106=1,FQ18+ACF18,1)</f>
        <v/>
      </c>
      <c r="AHU18">
        <f>IF('calcA'!BS$106=1,FR18+ACG18,1)</f>
        <v/>
      </c>
      <c r="AHV18">
        <f>IF('calcA'!BT$106=1,FS18+ACH18,1)</f>
        <v/>
      </c>
      <c r="AHW18">
        <f>IF('calcA'!BU$106=1,FT18+ACI18,1)</f>
        <v/>
      </c>
      <c r="AHX18">
        <f>IF('calcA'!BV$106=1,FU18+ACJ18,1)</f>
        <v/>
      </c>
      <c r="AHY18">
        <f>IF('calcA'!BW$106=1,FV18+ACK18,1)</f>
        <v/>
      </c>
      <c r="AHZ18">
        <f>IF('calcA'!BX$106=1,FW18+ACL18,1)</f>
        <v/>
      </c>
      <c r="AIA18">
        <f>IF('calcA'!BY$106=1,FX18+ACM18,1)</f>
        <v/>
      </c>
      <c r="AIB18">
        <f>IF('calcA'!BZ$106=1,FY18+ACN18,1)</f>
        <v/>
      </c>
      <c r="AIC18">
        <f>IF('calcA'!CA$106=1,FZ18+ACO18,1)</f>
        <v/>
      </c>
      <c r="AID18">
        <f>IF('calcA'!CB$106=1,GA18+ACP18,1)</f>
        <v/>
      </c>
      <c r="AIE18">
        <f>IF('calcA'!CC$106=1,GB18+ACQ18,1)</f>
        <v/>
      </c>
      <c r="AIF18">
        <f>IF('calcA'!CD$106=1,GC18+ACR18,1)</f>
        <v/>
      </c>
      <c r="AIG18">
        <f>IF('calcA'!CE$106=1,GD18+ACS18,1)</f>
        <v/>
      </c>
      <c r="AIH18">
        <f>IF('calcA'!CF$106=1,GE18+ACT18,1)</f>
        <v/>
      </c>
      <c r="AII18">
        <f>IF('calcA'!CG$106=1,GF18+ACU18,1)</f>
        <v/>
      </c>
      <c r="AIJ18">
        <f>IF('calcA'!CH$106=1,GG18+ACV18,1)</f>
        <v/>
      </c>
      <c r="AIK18">
        <f>IF('calcA'!CI$106=1,GH18+ACW18,1)</f>
        <v/>
      </c>
      <c r="AIL18">
        <f>IF('calcA'!CJ$106=1,GI18+ACX18,1)</f>
        <v/>
      </c>
      <c r="AIM18">
        <f>IF('calcA'!CK$106=1,GJ18+ACY18,1)</f>
        <v/>
      </c>
      <c r="AIN18">
        <f>IF('calcA'!CL$106=1,GK18+ACZ18,1)</f>
        <v/>
      </c>
      <c r="AIO18">
        <f>IF('calcA'!CM$106=1,GL18+ADA18,1)</f>
        <v/>
      </c>
      <c r="AIP18">
        <f>IF('calcA'!CN$106=1,GM18+ADB18,1)</f>
        <v/>
      </c>
      <c r="AIQ18">
        <f>IF('calcA'!CO$106=1,GN18+ADC18,1)</f>
        <v/>
      </c>
      <c r="AIR18">
        <f>IF('calcA'!CP$106=1,GO18+ADD18,1)</f>
        <v/>
      </c>
      <c r="AIS18">
        <f>IF('calcA'!CQ$106=1,GP18+ADE18,1)</f>
        <v/>
      </c>
      <c r="AIT18">
        <f>IF('calcA'!CR$106=1,GQ18+ADF18,1)</f>
        <v/>
      </c>
      <c r="AIU18">
        <f>IF('calcA'!CS$106=1,GR18+ADG18,1)</f>
        <v/>
      </c>
      <c r="AIV18">
        <f>IF('calcA'!CT$106=1,GS18+ADH18,1)</f>
        <v/>
      </c>
      <c r="AIW18">
        <f>IF('calcA'!CU$106=1,GT18+ADI18,1)</f>
        <v/>
      </c>
      <c r="AIX18">
        <f>IF('calcA'!CV$106=1,GU18+ADJ18,1)</f>
        <v/>
      </c>
      <c r="AIY18">
        <f>IF('calcA'!CW$106=1,GV18+ADK18,1)</f>
        <v/>
      </c>
      <c r="AIZ18">
        <f>IF('calcA'!CX$106=1,GW18+ADL18,1)</f>
        <v/>
      </c>
      <c r="AJA18">
        <f>IF('calcA'!CY$106=1,GX18+ADM18,1)</f>
        <v/>
      </c>
      <c r="AJB18">
        <f>IF('calcA'!CZ$106=1,GY18+ADN18,1)</f>
        <v/>
      </c>
      <c r="AJC18">
        <f>IF('calcA'!DA$106=1,GZ18+ADO18,1)</f>
        <v/>
      </c>
      <c r="AJD18">
        <f>IF('calcA'!DB$106=1,HA18+ADP18,1)</f>
        <v/>
      </c>
      <c r="AJE18">
        <f>IF('calcA'!DC$106=1,HB18+ADQ18,1)</f>
        <v/>
      </c>
      <c r="AJF18">
        <f>IF('calcA'!DD$106=1,HC18+ADR18,1)</f>
        <v/>
      </c>
      <c r="AJG18">
        <f>IF('calcA'!DE$106=1,HD18+ADS18,1)</f>
        <v/>
      </c>
      <c r="AJH18">
        <f>IF('calcA'!DF$106=1,HE18+ADT18,1)</f>
        <v/>
      </c>
      <c r="AJI18">
        <f>IF('calcA'!DG$106=1,HF18+ADU18,1)</f>
        <v/>
      </c>
      <c r="AJJ18">
        <f>IF('calcA'!DH$106=1,HG18+ADV18,1)</f>
        <v/>
      </c>
      <c r="AJK18">
        <f>IF('calcA'!DI$106=1,HH18+ADW18,1)</f>
        <v/>
      </c>
      <c r="AJL18">
        <f>IF('calcA'!DJ$106=1,HI18+ADX18,1)</f>
        <v/>
      </c>
      <c r="AJM18">
        <f>IF('calcA'!DK$106=1,HJ18+ADY18,1)</f>
        <v/>
      </c>
      <c r="AJN18">
        <f>IF('calcA'!DL$106=1,HK18+ADZ18,1)</f>
        <v/>
      </c>
      <c r="AJO18">
        <f>IF('calcA'!DM$106=1,HL18+AEA18,1)</f>
        <v/>
      </c>
      <c r="AJP18">
        <f>IF('calcA'!DN$106=1,HM18+AEB18,1)</f>
        <v/>
      </c>
      <c r="AJQ18">
        <f>IF('calcA'!DO$106=1,HN18+AEC18,1)</f>
        <v/>
      </c>
      <c r="AJR18">
        <f>IF('calcA'!DP$106=1,HO18+AED18,1)</f>
        <v/>
      </c>
      <c r="AJS18">
        <f>IF('calcA'!DQ$106=1,HP18+AEE18,1)</f>
        <v/>
      </c>
      <c r="AJT18">
        <f>IF('calcA'!DR$106=1,HQ18+AEF18,1)</f>
        <v/>
      </c>
      <c r="AJU18">
        <f>IF('calcA'!DS$106=1,HR18+AEG18,1)</f>
        <v/>
      </c>
      <c r="AJV18">
        <f>IF('calcA'!DT$106=1,HS18+AEH18,1)</f>
        <v/>
      </c>
      <c r="AJW18">
        <f>IF('calcA'!DU$106=1,HT18+AEI18,1)</f>
        <v/>
      </c>
      <c r="AJX18">
        <f>IF('calcA'!DV$106=1,HU18+AEJ18,1)</f>
        <v/>
      </c>
      <c r="AJY18">
        <f>IF('calcA'!DW$106=1,HV18+AEK18,1)</f>
        <v/>
      </c>
      <c r="AJZ18">
        <f>IF('calcA'!DX$106=1,HW18+AEL18,1)</f>
        <v/>
      </c>
      <c r="AKA18">
        <f>IF('calcA'!DY$106=1,HX18+AEM18,1)</f>
        <v/>
      </c>
      <c r="AKB18">
        <f>IF('calcA'!DZ$106=1,HY18+AEN18,1)</f>
        <v/>
      </c>
      <c r="AKC18">
        <f>IF('calcA'!EA$106=1,HZ18+AEO18,1)</f>
        <v/>
      </c>
      <c r="AKD18">
        <f>IF('calcA'!EB$106=1,IA18+AEP18,1)</f>
        <v/>
      </c>
      <c r="AKE18">
        <f>IF('calcA'!EC$106=1,IB18+AEQ18,1)</f>
        <v/>
      </c>
      <c r="AKF18">
        <f>IF('calcA'!ED$106=1,IC18+AER18,1)</f>
        <v/>
      </c>
      <c r="AKG18">
        <f>IF('calcA'!EE$106=1,ID18+AES18,1)</f>
        <v/>
      </c>
      <c r="AKH18">
        <f>IF('calcA'!EF$106=1,IE18+AET18,1)</f>
        <v/>
      </c>
      <c r="AKI18">
        <f>IF('calcA'!EG$106=1,IF18+AEU18,1)</f>
        <v/>
      </c>
      <c r="AKJ18">
        <f>IF('calcA'!EH$106=1,IG18+AEV18,1)</f>
        <v/>
      </c>
      <c r="AKK18">
        <f>IF('calcA'!EI$106=1,IH18+AEW18,1)</f>
        <v/>
      </c>
      <c r="AKL18">
        <f>IF('calcA'!EJ$106=1,II18+AEX18,1)</f>
        <v/>
      </c>
      <c r="AKM18">
        <f>IF('calcA'!EK$106=1,IJ18+AEY18,1)</f>
        <v/>
      </c>
      <c r="AKN18">
        <f>IF('calcA'!EL$106=1,IK18+AEZ18,1)</f>
        <v/>
      </c>
      <c r="AKO18">
        <f>IF('calcA'!EM$106=1,IL18+AFA18,1)</f>
        <v/>
      </c>
      <c r="AKP18">
        <f>IF('calcA'!EN$106=1,IM18+AFB18,1)</f>
        <v/>
      </c>
      <c r="AKQ18">
        <f>IF('calcA'!EO$106=1,IN18+AFC18,1)</f>
        <v/>
      </c>
      <c r="AKR18">
        <f>IF('calcA'!EP$106=1,IO18+AFD18,1)</f>
        <v/>
      </c>
      <c r="AKS18" t="n">
        <v>1</v>
      </c>
    </row>
    <row r="19">
      <c r="A19" t="n">
        <v>17</v>
      </c>
      <c r="B19">
        <f>IF(MIN(BM19:CZ19)&gt;=1000000000,0,MATCH(MIN(BM19:CZ19),BM19:CZ19,0))</f>
        <v/>
      </c>
      <c r="C19">
        <f>IF(MIN(OF19:TS19)&gt;=1000000000,0,MATCH(MIN(OF19:TS19),OF19:TS19,0))</f>
        <v/>
      </c>
      <c r="D19">
        <f>IF(C19&gt;0,INDEX('calcA'!$D$5:$EQ$5,C19),0)</f>
        <v/>
      </c>
      <c r="E19">
        <f>IF(B19=0,0,INDEX('calcA'!$IQ$10:$IQ$54,B19))</f>
        <v/>
      </c>
      <c r="F19">
        <f>IF(B19=0,0,INDEX('calcA'!$IP$10:$IP$54,B19))</f>
        <v/>
      </c>
      <c r="G19">
        <f>IF(AND(C19&gt;0,E19&gt;0),IF(AND(INDEX('calcA'!$D$106:$EQ$106,C19)=1,INDEX($IQ19:$OD19,C19)=1),C19+1,0),0)</f>
        <v/>
      </c>
      <c r="H19">
        <f>IF(B19=0,0,INDEX('calcA'!$IW$10:$IW$54,B19))</f>
        <v/>
      </c>
      <c r="U19">
        <f>IF(B19=0,0,INDEX('calcA'!$IX$10:$IX$54,B19))</f>
        <v/>
      </c>
      <c r="V19">
        <f>IF(B19=0,0,INDEX('calcA'!$JF$10:$JF$54,B19))</f>
        <v/>
      </c>
      <c r="W19">
        <f>IF(B19=0,0,IF(IF(E19=2,SUMPRODUCT(INDEX('calcA'!$D$60:$EQ$99,B19,0),$DB19:$IO19,$IQ19:$OD19),SUMPRODUCT(INDEX('calcA'!$D$60:$EQ$99,B19,0),$DB19:$IO19))=0,1,0))</f>
        <v/>
      </c>
      <c r="X19">
        <f>MAX(X18,IF($B18=1,1,0))</f>
        <v/>
      </c>
      <c r="Y19">
        <f>MAX(Y18,IF($B18=2,1,0))</f>
        <v/>
      </c>
      <c r="Z19">
        <f>MAX(Z18,IF($B18=3,1,0))</f>
        <v/>
      </c>
      <c r="AA19">
        <f>MAX(AA18,IF($B18=4,1,0))</f>
        <v/>
      </c>
      <c r="AB19">
        <f>MAX(AB18,IF($B18=5,1,0))</f>
        <v/>
      </c>
      <c r="AC19">
        <f>MAX(AC18,IF($B18=6,1,0))</f>
        <v/>
      </c>
      <c r="AD19">
        <f>MAX(AD18,IF($B18=7,1,0))</f>
        <v/>
      </c>
      <c r="AE19">
        <f>MAX(AE18,IF($B18=8,1,0))</f>
        <v/>
      </c>
      <c r="AF19">
        <f>MAX(AF18,IF($B18=9,1,0))</f>
        <v/>
      </c>
      <c r="AG19">
        <f>MAX(AG18,IF($B18=10,1,0))</f>
        <v/>
      </c>
      <c r="AH19">
        <f>MAX(AH18,IF($B18=11,1,0))</f>
        <v/>
      </c>
      <c r="AI19">
        <f>MAX(AI18,IF($B18=12,1,0))</f>
        <v/>
      </c>
      <c r="AJ19">
        <f>MAX(AJ18,IF($B18=13,1,0))</f>
        <v/>
      </c>
      <c r="AK19">
        <f>MAX(AK18,IF($B18=14,1,0))</f>
        <v/>
      </c>
      <c r="AL19">
        <f>MAX(AL18,IF($B18=15,1,0))</f>
        <v/>
      </c>
      <c r="AM19">
        <f>MAX(AM18,IF($B18=16,1,0))</f>
        <v/>
      </c>
      <c r="AN19">
        <f>MAX(AN18,IF($B18=17,1,0))</f>
        <v/>
      </c>
      <c r="AO19">
        <f>MAX(AO18,IF($B18=18,1,0))</f>
        <v/>
      </c>
      <c r="AP19">
        <f>MAX(AP18,IF($B18=19,1,0))</f>
        <v/>
      </c>
      <c r="AQ19">
        <f>MAX(AQ18,IF($B18=20,1,0))</f>
        <v/>
      </c>
      <c r="AR19">
        <f>MAX(AR18,IF($B18=21,1,0))</f>
        <v/>
      </c>
      <c r="AS19">
        <f>MAX(AS18,IF($B18=22,1,0))</f>
        <v/>
      </c>
      <c r="AT19">
        <f>MAX(AT18,IF($B18=23,1,0))</f>
        <v/>
      </c>
      <c r="AU19">
        <f>MAX(AU18,IF($B18=24,1,0))</f>
        <v/>
      </c>
      <c r="AV19">
        <f>MAX(AV18,IF($B18=25,1,0))</f>
        <v/>
      </c>
      <c r="AW19">
        <f>MAX(AW18,IF($B18=26,1,0))</f>
        <v/>
      </c>
      <c r="AX19">
        <f>MAX(AX18,IF($B18=27,1,0))</f>
        <v/>
      </c>
      <c r="AY19">
        <f>MAX(AY18,IF($B18=28,1,0))</f>
        <v/>
      </c>
      <c r="AZ19">
        <f>MAX(AZ18,IF($B18=29,1,0))</f>
        <v/>
      </c>
      <c r="BA19">
        <f>MAX(BA18,IF($B18=30,1,0))</f>
        <v/>
      </c>
      <c r="BB19">
        <f>MAX(BB18,IF($B18=31,1,0))</f>
        <v/>
      </c>
      <c r="BC19">
        <f>MAX(BC18,IF($B18=32,1,0))</f>
        <v/>
      </c>
      <c r="BD19">
        <f>MAX(BD18,IF($B18=33,1,0))</f>
        <v/>
      </c>
      <c r="BE19">
        <f>MAX(BE18,IF($B18=34,1,0))</f>
        <v/>
      </c>
      <c r="BF19">
        <f>MAX(BF18,IF($B18=35,1,0))</f>
        <v/>
      </c>
      <c r="BG19">
        <f>MAX(BG18,IF($B18=36,1,0))</f>
        <v/>
      </c>
      <c r="BH19">
        <f>MAX(BH18,IF($B18=37,1,0))</f>
        <v/>
      </c>
      <c r="BI19">
        <f>MAX(BI18,IF($B18=38,1,0))</f>
        <v/>
      </c>
      <c r="BJ19">
        <f>MAX(BJ18,IF($B18=39,1,0))</f>
        <v/>
      </c>
      <c r="BK19">
        <f>MAX(BK18,IF($B18=40,1,0))</f>
        <v/>
      </c>
      <c r="BM19">
        <f>IF(OR(X19=1,calcA!$A$6=0),1000000000,IF('calcA'!$JF$10=1,0,100000000)+IF('calcA'!$IQ$10=2,SUMPRODUCT('calcA'!$D$60:$EQ$60,$DB19:$IO19,$IQ19:$OD19)*1000+SUMPRODUCT('calcA'!$D$60:$EQ$60,$DB19:$IO19+$ZQ19:$AFD19,$AFF19:$AKS19),SUMPRODUCT('calcA'!$D$60:$EQ$60,$DB19:$IO19*1001+$ZQ19:$AFD19))*100+1)</f>
        <v/>
      </c>
      <c r="BN19">
        <f>IF(OR(Y19=1,calcA!$A$6=0),1000000000,IF('calcA'!$JF$11=1,0,100000000)+IF('calcA'!$IQ$11=2,SUMPRODUCT('calcA'!$D$61:$EQ$61,$DB19:$IO19,$IQ19:$OD19)*1000+SUMPRODUCT('calcA'!$D$61:$EQ$61,$DB19:$IO19+$ZQ19:$AFD19,$AFF19:$AKS19),SUMPRODUCT('calcA'!$D$61:$EQ$61,$DB19:$IO19*1001+$ZQ19:$AFD19))*100+2)</f>
        <v/>
      </c>
      <c r="BO19">
        <f>IF(OR(Z19=1,calcA!$A$6=0),1000000000,IF('calcA'!$JF$12=1,0,100000000)+IF('calcA'!$IQ$12=2,SUMPRODUCT('calcA'!$D$62:$EQ$62,$DB19:$IO19,$IQ19:$OD19)*1000+SUMPRODUCT('calcA'!$D$62:$EQ$62,$DB19:$IO19+$ZQ19:$AFD19,$AFF19:$AKS19),SUMPRODUCT('calcA'!$D$62:$EQ$62,$DB19:$IO19*1001+$ZQ19:$AFD19))*100+3)</f>
        <v/>
      </c>
      <c r="BP19">
        <f>IF(OR(AA19=1,calcA!$A$6=0),1000000000,IF('calcA'!$JF$13=1,0,100000000)+IF('calcA'!$IQ$13=2,SUMPRODUCT('calcA'!$D$63:$EQ$63,$DB19:$IO19,$IQ19:$OD19)*1000+SUMPRODUCT('calcA'!$D$63:$EQ$63,$DB19:$IO19+$ZQ19:$AFD19,$AFF19:$AKS19),SUMPRODUCT('calcA'!$D$63:$EQ$63,$DB19:$IO19*1001+$ZQ19:$AFD19))*100+4)</f>
        <v/>
      </c>
      <c r="BQ19">
        <f>IF(OR(AB19=1,calcA!$A$6=0),1000000000,IF('calcA'!$JF$14=1,0,100000000)+IF('calcA'!$IQ$14=2,SUMPRODUCT('calcA'!$D$64:$EQ$64,$DB19:$IO19,$IQ19:$OD19)*1000+SUMPRODUCT('calcA'!$D$64:$EQ$64,$DB19:$IO19+$ZQ19:$AFD19,$AFF19:$AKS19),SUMPRODUCT('calcA'!$D$64:$EQ$64,$DB19:$IO19*1001+$ZQ19:$AFD19))*100+5)</f>
        <v/>
      </c>
      <c r="BR19">
        <f>IF(OR(AC19=1,calcA!$A$6=0),1000000000,IF('calcA'!$JF$15=1,0,100000000)+IF('calcA'!$IQ$15=2,SUMPRODUCT('calcA'!$D$65:$EQ$65,$DB19:$IO19,$IQ19:$OD19)*1000+SUMPRODUCT('calcA'!$D$65:$EQ$65,$DB19:$IO19+$ZQ19:$AFD19,$AFF19:$AKS19),SUMPRODUCT('calcA'!$D$65:$EQ$65,$DB19:$IO19*1001+$ZQ19:$AFD19))*100+6)</f>
        <v/>
      </c>
      <c r="BS19">
        <f>IF(OR(AD19=1,calcA!$A$6=0),1000000000,IF('calcA'!$JF$16=1,0,100000000)+IF('calcA'!$IQ$16=2,SUMPRODUCT('calcA'!$D$66:$EQ$66,$DB19:$IO19,$IQ19:$OD19)*1000+SUMPRODUCT('calcA'!$D$66:$EQ$66,$DB19:$IO19+$ZQ19:$AFD19,$AFF19:$AKS19),SUMPRODUCT('calcA'!$D$66:$EQ$66,$DB19:$IO19*1001+$ZQ19:$AFD19))*100+7)</f>
        <v/>
      </c>
      <c r="BT19">
        <f>IF(OR(AE19=1,calcA!$A$6=0),1000000000,IF('calcA'!$JF$17=1,0,100000000)+IF('calcA'!$IQ$17=2,SUMPRODUCT('calcA'!$D$67:$EQ$67,$DB19:$IO19,$IQ19:$OD19)*1000+SUMPRODUCT('calcA'!$D$67:$EQ$67,$DB19:$IO19+$ZQ19:$AFD19,$AFF19:$AKS19),SUMPRODUCT('calcA'!$D$67:$EQ$67,$DB19:$IO19*1001+$ZQ19:$AFD19))*100+8)</f>
        <v/>
      </c>
      <c r="BU19">
        <f>IF(OR(AF19=1,calcA!$A$6=0),1000000000,IF('calcA'!$JF$18=1,0,100000000)+IF('calcA'!$IQ$18=2,SUMPRODUCT('calcA'!$D$68:$EQ$68,$DB19:$IO19,$IQ19:$OD19)*1000+SUMPRODUCT('calcA'!$D$68:$EQ$68,$DB19:$IO19+$ZQ19:$AFD19,$AFF19:$AKS19),SUMPRODUCT('calcA'!$D$68:$EQ$68,$DB19:$IO19*1001+$ZQ19:$AFD19))*100+9)</f>
        <v/>
      </c>
      <c r="BV19">
        <f>IF(OR(AG19=1,calcA!$A$6=0),1000000000,IF('calcA'!$JF$19=1,0,100000000)+IF('calcA'!$IQ$19=2,SUMPRODUCT('calcA'!$D$69:$EQ$69,$DB19:$IO19,$IQ19:$OD19)*1000+SUMPRODUCT('calcA'!$D$69:$EQ$69,$DB19:$IO19+$ZQ19:$AFD19,$AFF19:$AKS19),SUMPRODUCT('calcA'!$D$69:$EQ$69,$DB19:$IO19*1001+$ZQ19:$AFD19))*100+10)</f>
        <v/>
      </c>
      <c r="BW19">
        <f>IF(OR(AH19=1,calcA!$A$6=0),1000000000,IF('calcA'!$JF$20=1,0,100000000)+IF('calcA'!$IQ$20=2,SUMPRODUCT('calcA'!$D$70:$EQ$70,$DB19:$IO19,$IQ19:$OD19)*1000+SUMPRODUCT('calcA'!$D$70:$EQ$70,$DB19:$IO19+$ZQ19:$AFD19,$AFF19:$AKS19),SUMPRODUCT('calcA'!$D$70:$EQ$70,$DB19:$IO19*1001+$ZQ19:$AFD19))*100+11)</f>
        <v/>
      </c>
      <c r="BX19">
        <f>IF(OR(AI19=1,calcA!$A$6=0),1000000000,IF('calcA'!$JF$21=1,0,100000000)+IF('calcA'!$IQ$21=2,SUMPRODUCT('calcA'!$D$71:$EQ$71,$DB19:$IO19,$IQ19:$OD19)*1000+SUMPRODUCT('calcA'!$D$71:$EQ$71,$DB19:$IO19+$ZQ19:$AFD19,$AFF19:$AKS19),SUMPRODUCT('calcA'!$D$71:$EQ$71,$DB19:$IO19*1001+$ZQ19:$AFD19))*100+12)</f>
        <v/>
      </c>
      <c r="BY19">
        <f>IF(OR(AJ19=1,calcA!$A$6=0),1000000000,IF('calcA'!$JF$22=1,0,100000000)+IF('calcA'!$IQ$22=2,SUMPRODUCT('calcA'!$D$72:$EQ$72,$DB19:$IO19,$IQ19:$OD19)*1000+SUMPRODUCT('calcA'!$D$72:$EQ$72,$DB19:$IO19+$ZQ19:$AFD19,$AFF19:$AKS19),SUMPRODUCT('calcA'!$D$72:$EQ$72,$DB19:$IO19*1001+$ZQ19:$AFD19))*100+13)</f>
        <v/>
      </c>
      <c r="BZ19">
        <f>IF(OR(AK19=1,calcA!$A$6=0),1000000000,IF('calcA'!$JF$23=1,0,100000000)+IF('calcA'!$IQ$23=2,SUMPRODUCT('calcA'!$D$73:$EQ$73,$DB19:$IO19,$IQ19:$OD19)*1000+SUMPRODUCT('calcA'!$D$73:$EQ$73,$DB19:$IO19+$ZQ19:$AFD19,$AFF19:$AKS19),SUMPRODUCT('calcA'!$D$73:$EQ$73,$DB19:$IO19*1001+$ZQ19:$AFD19))*100+14)</f>
        <v/>
      </c>
      <c r="CA19">
        <f>IF(OR(AL19=1,calcA!$A$6=0),1000000000,IF('calcA'!$JF$24=1,0,100000000)+IF('calcA'!$IQ$24=2,SUMPRODUCT('calcA'!$D$74:$EQ$74,$DB19:$IO19,$IQ19:$OD19)*1000+SUMPRODUCT('calcA'!$D$74:$EQ$74,$DB19:$IO19+$ZQ19:$AFD19,$AFF19:$AKS19),SUMPRODUCT('calcA'!$D$74:$EQ$74,$DB19:$IO19*1001+$ZQ19:$AFD19))*100+15)</f>
        <v/>
      </c>
      <c r="CB19">
        <f>IF(OR(AM19=1,calcA!$A$6=0),1000000000,IF('calcA'!$JF$25=1,0,100000000)+IF('calcA'!$IQ$25=2,SUMPRODUCT('calcA'!$D$75:$EQ$75,$DB19:$IO19,$IQ19:$OD19)*1000+SUMPRODUCT('calcA'!$D$75:$EQ$75,$DB19:$IO19+$ZQ19:$AFD19,$AFF19:$AKS19),SUMPRODUCT('calcA'!$D$75:$EQ$75,$DB19:$IO19*1001+$ZQ19:$AFD19))*100+16)</f>
        <v/>
      </c>
      <c r="CC19">
        <f>IF(OR(AN19=1,calcA!$A$6=0),1000000000,IF('calcA'!$JF$26=1,0,100000000)+IF('calcA'!$IQ$26=2,SUMPRODUCT('calcA'!$D$76:$EQ$76,$DB19:$IO19,$IQ19:$OD19)*1000+SUMPRODUCT('calcA'!$D$76:$EQ$76,$DB19:$IO19+$ZQ19:$AFD19,$AFF19:$AKS19),SUMPRODUCT('calcA'!$D$76:$EQ$76,$DB19:$IO19*1001+$ZQ19:$AFD19))*100+17)</f>
        <v/>
      </c>
      <c r="CD19">
        <f>IF(OR(AO19=1,calcA!$A$6=0),1000000000,IF('calcA'!$JF$27=1,0,100000000)+IF('calcA'!$IQ$27=2,SUMPRODUCT('calcA'!$D$77:$EQ$77,$DB19:$IO19,$IQ19:$OD19)*1000+SUMPRODUCT('calcA'!$D$77:$EQ$77,$DB19:$IO19+$ZQ19:$AFD19,$AFF19:$AKS19),SUMPRODUCT('calcA'!$D$77:$EQ$77,$DB19:$IO19*1001+$ZQ19:$AFD19))*100+18)</f>
        <v/>
      </c>
      <c r="CE19">
        <f>IF(OR(AP19=1,calcA!$A$6=0),1000000000,IF('calcA'!$JF$28=1,0,100000000)+IF('calcA'!$IQ$28=2,SUMPRODUCT('calcA'!$D$78:$EQ$78,$DB19:$IO19,$IQ19:$OD19)*1000+SUMPRODUCT('calcA'!$D$78:$EQ$78,$DB19:$IO19+$ZQ19:$AFD19,$AFF19:$AKS19),SUMPRODUCT('calcA'!$D$78:$EQ$78,$DB19:$IO19*1001+$ZQ19:$AFD19))*100+19)</f>
        <v/>
      </c>
      <c r="CF19">
        <f>IF(OR(AQ19=1,calcA!$A$6=0),1000000000,IF('calcA'!$JF$29=1,0,100000000)+IF('calcA'!$IQ$29=2,SUMPRODUCT('calcA'!$D$79:$EQ$79,$DB19:$IO19,$IQ19:$OD19)*1000+SUMPRODUCT('calcA'!$D$79:$EQ$79,$DB19:$IO19+$ZQ19:$AFD19,$AFF19:$AKS19),SUMPRODUCT('calcA'!$D$79:$EQ$79,$DB19:$IO19*1001+$ZQ19:$AFD19))*100+20)</f>
        <v/>
      </c>
      <c r="CG19">
        <f>IF(OR(AR19=1,calcA!$A$6=0),1000000000,IF('calcA'!$JF$30=1,0,100000000)+IF('calcA'!$IQ$30=2,SUMPRODUCT('calcA'!$D$80:$EQ$80,$DB19:$IO19,$IQ19:$OD19)*1000+SUMPRODUCT('calcA'!$D$80:$EQ$80,$DB19:$IO19+$ZQ19:$AFD19,$AFF19:$AKS19),SUMPRODUCT('calcA'!$D$80:$EQ$80,$DB19:$IO19*1001+$ZQ19:$AFD19))*100+21)</f>
        <v/>
      </c>
      <c r="CH19">
        <f>IF(OR(AS19=1,calcA!$A$6=0),1000000000,IF('calcA'!$JF$31=1,0,100000000)+IF('calcA'!$IQ$31=2,SUMPRODUCT('calcA'!$D$81:$EQ$81,$DB19:$IO19,$IQ19:$OD19)*1000+SUMPRODUCT('calcA'!$D$81:$EQ$81,$DB19:$IO19+$ZQ19:$AFD19,$AFF19:$AKS19),SUMPRODUCT('calcA'!$D$81:$EQ$81,$DB19:$IO19*1001+$ZQ19:$AFD19))*100+22)</f>
        <v/>
      </c>
      <c r="CI19">
        <f>IF(OR(AT19=1,calcA!$A$6=0),1000000000,IF('calcA'!$JF$32=1,0,100000000)+IF('calcA'!$IQ$32=2,SUMPRODUCT('calcA'!$D$82:$EQ$82,$DB19:$IO19,$IQ19:$OD19)*1000+SUMPRODUCT('calcA'!$D$82:$EQ$82,$DB19:$IO19+$ZQ19:$AFD19,$AFF19:$AKS19),SUMPRODUCT('calcA'!$D$82:$EQ$82,$DB19:$IO19*1001+$ZQ19:$AFD19))*100+23)</f>
        <v/>
      </c>
      <c r="CJ19">
        <f>IF(OR(AU19=1,calcA!$A$6=0),1000000000,IF('calcA'!$JF$33=1,0,100000000)+IF('calcA'!$IQ$33=2,SUMPRODUCT('calcA'!$D$83:$EQ$83,$DB19:$IO19,$IQ19:$OD19)*1000+SUMPRODUCT('calcA'!$D$83:$EQ$83,$DB19:$IO19+$ZQ19:$AFD19,$AFF19:$AKS19),SUMPRODUCT('calcA'!$D$83:$EQ$83,$DB19:$IO19*1001+$ZQ19:$AFD19))*100+24)</f>
        <v/>
      </c>
      <c r="CK19">
        <f>IF(OR(AV19=1,calcA!$A$6=0),1000000000,IF('calcA'!$JF$34=1,0,100000000)+IF('calcA'!$IQ$34=2,SUMPRODUCT('calcA'!$D$84:$EQ$84,$DB19:$IO19,$IQ19:$OD19)*1000+SUMPRODUCT('calcA'!$D$84:$EQ$84,$DB19:$IO19+$ZQ19:$AFD19,$AFF19:$AKS19),SUMPRODUCT('calcA'!$D$84:$EQ$84,$DB19:$IO19*1001+$ZQ19:$AFD19))*100+25)</f>
        <v/>
      </c>
      <c r="CL19">
        <f>IF(OR(AW19=1,calcA!$A$6=0),1000000000,IF('calcA'!$JF$35=1,0,100000000)+IF('calcA'!$IQ$35=2,SUMPRODUCT('calcA'!$D$85:$EQ$85,$DB19:$IO19,$IQ19:$OD19)*1000+SUMPRODUCT('calcA'!$D$85:$EQ$85,$DB19:$IO19+$ZQ19:$AFD19,$AFF19:$AKS19),SUMPRODUCT('calcA'!$D$85:$EQ$85,$DB19:$IO19*1001+$ZQ19:$AFD19))*100+26)</f>
        <v/>
      </c>
      <c r="CM19">
        <f>IF(OR(AX19=1,calcA!$A$6=0),1000000000,IF('calcA'!$JF$36=1,0,100000000)+IF('calcA'!$IQ$36=2,SUMPRODUCT('calcA'!$D$86:$EQ$86,$DB19:$IO19,$IQ19:$OD19)*1000+SUMPRODUCT('calcA'!$D$86:$EQ$86,$DB19:$IO19+$ZQ19:$AFD19,$AFF19:$AKS19),SUMPRODUCT('calcA'!$D$86:$EQ$86,$DB19:$IO19*1001+$ZQ19:$AFD19))*100+27)</f>
        <v/>
      </c>
      <c r="CN19">
        <f>IF(OR(AY19=1,calcA!$A$6=0),1000000000,IF('calcA'!$JF$37=1,0,100000000)+IF('calcA'!$IQ$37=2,SUMPRODUCT('calcA'!$D$87:$EQ$87,$DB19:$IO19,$IQ19:$OD19)*1000+SUMPRODUCT('calcA'!$D$87:$EQ$87,$DB19:$IO19+$ZQ19:$AFD19,$AFF19:$AKS19),SUMPRODUCT('calcA'!$D$87:$EQ$87,$DB19:$IO19*1001+$ZQ19:$AFD19))*100+28)</f>
        <v/>
      </c>
      <c r="CO19">
        <f>IF(OR(AZ19=1,calcA!$A$6=0),1000000000,IF('calcA'!$JF$38=1,0,100000000)+IF('calcA'!$IQ$38=2,SUMPRODUCT('calcA'!$D$88:$EQ$88,$DB19:$IO19,$IQ19:$OD19)*1000+SUMPRODUCT('calcA'!$D$88:$EQ$88,$DB19:$IO19+$ZQ19:$AFD19,$AFF19:$AKS19),SUMPRODUCT('calcA'!$D$88:$EQ$88,$DB19:$IO19*1001+$ZQ19:$AFD19))*100+29)</f>
        <v/>
      </c>
      <c r="CP19">
        <f>IF(OR(BA19=1,calcA!$A$6=0),1000000000,IF('calcA'!$JF$39=1,0,100000000)+IF('calcA'!$IQ$39=2,SUMPRODUCT('calcA'!$D$89:$EQ$89,$DB19:$IO19,$IQ19:$OD19)*1000+SUMPRODUCT('calcA'!$D$89:$EQ$89,$DB19:$IO19+$ZQ19:$AFD19,$AFF19:$AKS19),SUMPRODUCT('calcA'!$D$89:$EQ$89,$DB19:$IO19*1001+$ZQ19:$AFD19))*100+30)</f>
        <v/>
      </c>
      <c r="CQ19">
        <f>IF(OR(BB19=1,calcA!$A$6=0),1000000000,IF('calcA'!$JF$40=1,0,100000000)+IF('calcA'!$IQ$40=2,SUMPRODUCT('calcA'!$D$90:$EQ$90,$DB19:$IO19,$IQ19:$OD19)*1000+SUMPRODUCT('calcA'!$D$90:$EQ$90,$DB19:$IO19+$ZQ19:$AFD19,$AFF19:$AKS19),SUMPRODUCT('calcA'!$D$90:$EQ$90,$DB19:$IO19*1001+$ZQ19:$AFD19))*100+31)</f>
        <v/>
      </c>
      <c r="CR19">
        <f>IF(OR(BC19=1,calcA!$A$6=0),1000000000,IF('calcA'!$JF$41=1,0,100000000)+IF('calcA'!$IQ$41=2,SUMPRODUCT('calcA'!$D$91:$EQ$91,$DB19:$IO19,$IQ19:$OD19)*1000+SUMPRODUCT('calcA'!$D$91:$EQ$91,$DB19:$IO19+$ZQ19:$AFD19,$AFF19:$AKS19),SUMPRODUCT('calcA'!$D$91:$EQ$91,$DB19:$IO19*1001+$ZQ19:$AFD19))*100+32)</f>
        <v/>
      </c>
      <c r="CS19">
        <f>IF(OR(BD19=1,calcA!$A$6=0),1000000000,IF('calcA'!$JF$42=1,0,100000000)+IF('calcA'!$IQ$42=2,SUMPRODUCT('calcA'!$D$92:$EQ$92,$DB19:$IO19,$IQ19:$OD19)*1000+SUMPRODUCT('calcA'!$D$92:$EQ$92,$DB19:$IO19+$ZQ19:$AFD19,$AFF19:$AKS19),SUMPRODUCT('calcA'!$D$92:$EQ$92,$DB19:$IO19*1001+$ZQ19:$AFD19))*100+33)</f>
        <v/>
      </c>
      <c r="CT19">
        <f>IF(OR(BE19=1,calcA!$A$6=0),1000000000,IF('calcA'!$JF$43=1,0,100000000)+IF('calcA'!$IQ$43=2,SUMPRODUCT('calcA'!$D$93:$EQ$93,$DB19:$IO19,$IQ19:$OD19)*1000+SUMPRODUCT('calcA'!$D$93:$EQ$93,$DB19:$IO19+$ZQ19:$AFD19,$AFF19:$AKS19),SUMPRODUCT('calcA'!$D$93:$EQ$93,$DB19:$IO19*1001+$ZQ19:$AFD19))*100+34)</f>
        <v/>
      </c>
      <c r="CU19">
        <f>IF(OR(BF19=1,calcA!$A$6=0),1000000000,IF('calcA'!$JF$44=1,0,100000000)+IF('calcA'!$IQ$44=2,SUMPRODUCT('calcA'!$D$94:$EQ$94,$DB19:$IO19,$IQ19:$OD19)*1000+SUMPRODUCT('calcA'!$D$94:$EQ$94,$DB19:$IO19+$ZQ19:$AFD19,$AFF19:$AKS19),SUMPRODUCT('calcA'!$D$94:$EQ$94,$DB19:$IO19*1001+$ZQ19:$AFD19))*100+35)</f>
        <v/>
      </c>
      <c r="CV19">
        <f>IF(OR(BG19=1,calcA!$A$6=0),1000000000,IF('calcA'!$JF$45=1,0,100000000)+IF('calcA'!$IQ$45=2,SUMPRODUCT('calcA'!$D$95:$EQ$95,$DB19:$IO19,$IQ19:$OD19)*1000+SUMPRODUCT('calcA'!$D$95:$EQ$95,$DB19:$IO19+$ZQ19:$AFD19,$AFF19:$AKS19),SUMPRODUCT('calcA'!$D$95:$EQ$95,$DB19:$IO19*1001+$ZQ19:$AFD19))*100+36)</f>
        <v/>
      </c>
      <c r="CW19">
        <f>IF(OR(BH19=1,calcA!$A$6=0),1000000000,IF('calcA'!$JF$46=1,0,100000000)+IF('calcA'!$IQ$46=2,SUMPRODUCT('calcA'!$D$96:$EQ$96,$DB19:$IO19,$IQ19:$OD19)*1000+SUMPRODUCT('calcA'!$D$96:$EQ$96,$DB19:$IO19+$ZQ19:$AFD19,$AFF19:$AKS19),SUMPRODUCT('calcA'!$D$96:$EQ$96,$DB19:$IO19*1001+$ZQ19:$AFD19))*100+37)</f>
        <v/>
      </c>
      <c r="CX19">
        <f>IF(OR(BI19=1,calcA!$A$6=0),1000000000,IF('calcA'!$JF$47=1,0,100000000)+IF('calcA'!$IQ$47=2,SUMPRODUCT('calcA'!$D$97:$EQ$97,$DB19:$IO19,$IQ19:$OD19)*1000+SUMPRODUCT('calcA'!$D$97:$EQ$97,$DB19:$IO19+$ZQ19:$AFD19,$AFF19:$AKS19),SUMPRODUCT('calcA'!$D$97:$EQ$97,$DB19:$IO19*1001+$ZQ19:$AFD19))*100+38)</f>
        <v/>
      </c>
      <c r="CY19">
        <f>IF(OR(BJ19=1,calcA!$A$6=0),1000000000,IF('calcA'!$JF$48=1,0,100000000)+IF('calcA'!$IQ$48=2,SUMPRODUCT('calcA'!$D$98:$EQ$98,$DB19:$IO19,$IQ19:$OD19)*1000+SUMPRODUCT('calcA'!$D$98:$EQ$98,$DB19:$IO19+$ZQ19:$AFD19,$AFF19:$AKS19),SUMPRODUCT('calcA'!$D$98:$EQ$98,$DB19:$IO19*1001+$ZQ19:$AFD19))*100+39)</f>
        <v/>
      </c>
      <c r="CZ19">
        <f>IF(OR(BK19=1,calcA!$A$6=0),1000000000,IF('calcA'!$JF$49=1,0,100000000)+IF('calcA'!$IQ$49=2,SUMPRODUCT('calcA'!$D$99:$EQ$99,$DB19:$IO19,$IQ19:$OD19)*1000+SUMPRODUCT('calcA'!$D$99:$EQ$99,$DB19:$IO19+$ZQ19:$AFD19,$AFF19:$AKS19),SUMPRODUCT('calcA'!$D$99:$EQ$99,$DB19:$IO19*1001+$ZQ19:$AFD19))*100+40)</f>
        <v/>
      </c>
      <c r="DB19">
        <f>DB18*IF(OR($C18=1,$G18=1),0,1)</f>
        <v/>
      </c>
      <c r="DC19">
        <f>DC18*IF(OR($C18=2,$G18=2),0,1)</f>
        <v/>
      </c>
      <c r="DD19">
        <f>DD18*IF(OR($C18=3,$G18=3),0,1)</f>
        <v/>
      </c>
      <c r="DE19">
        <f>DE18*IF(OR($C18=4,$G18=4),0,1)</f>
        <v/>
      </c>
      <c r="DF19">
        <f>DF18*IF(OR($C18=5,$G18=5),0,1)</f>
        <v/>
      </c>
      <c r="DG19">
        <f>DG18*IF(OR($C18=6,$G18=6),0,1)</f>
        <v/>
      </c>
      <c r="DH19">
        <f>DH18*IF(OR($C18=7,$G18=7),0,1)</f>
        <v/>
      </c>
      <c r="DI19">
        <f>DI18*IF(OR($C18=8,$G18=8),0,1)</f>
        <v/>
      </c>
      <c r="DJ19">
        <f>DJ18*IF(OR($C18=9,$G18=9),0,1)</f>
        <v/>
      </c>
      <c r="DK19">
        <f>DK18*IF(OR($C18=10,$G18=10),0,1)</f>
        <v/>
      </c>
      <c r="DL19">
        <f>DL18*IF(OR($C18=11,$G18=11),0,1)</f>
        <v/>
      </c>
      <c r="DM19">
        <f>DM18*IF(OR($C18=12,$G18=12),0,1)</f>
        <v/>
      </c>
      <c r="DN19">
        <f>DN18*IF(OR($C18=13,$G18=13),0,1)</f>
        <v/>
      </c>
      <c r="DO19">
        <f>DO18*IF(OR($C18=14,$G18=14),0,1)</f>
        <v/>
      </c>
      <c r="DP19">
        <f>DP18*IF(OR($C18=15,$G18=15),0,1)</f>
        <v/>
      </c>
      <c r="DQ19">
        <f>DQ18*IF(OR($C18=16,$G18=16),0,1)</f>
        <v/>
      </c>
      <c r="DR19">
        <f>DR18*IF(OR($C18=17,$G18=17),0,1)</f>
        <v/>
      </c>
      <c r="DS19">
        <f>DS18*IF(OR($C18=18,$G18=18),0,1)</f>
        <v/>
      </c>
      <c r="DT19">
        <f>DT18*IF(OR($C18=19,$G18=19),0,1)</f>
        <v/>
      </c>
      <c r="DU19">
        <f>DU18*IF(OR($C18=20,$G18=20),0,1)</f>
        <v/>
      </c>
      <c r="DV19">
        <f>DV18*IF(OR($C18=21,$G18=21),0,1)</f>
        <v/>
      </c>
      <c r="DW19">
        <f>DW18*IF(OR($C18=22,$G18=22),0,1)</f>
        <v/>
      </c>
      <c r="DX19">
        <f>DX18*IF(OR($C18=23,$G18=23),0,1)</f>
        <v/>
      </c>
      <c r="DY19">
        <f>DY18*IF(OR($C18=24,$G18=24),0,1)</f>
        <v/>
      </c>
      <c r="DZ19">
        <f>DZ18*IF(OR($C18=25,$G18=25),0,1)</f>
        <v/>
      </c>
      <c r="EA19">
        <f>EA18*IF(OR($C18=26,$G18=26),0,1)</f>
        <v/>
      </c>
      <c r="EB19">
        <f>EB18*IF(OR($C18=27,$G18=27),0,1)</f>
        <v/>
      </c>
      <c r="EC19">
        <f>EC18*IF(OR($C18=28,$G18=28),0,1)</f>
        <v/>
      </c>
      <c r="ED19">
        <f>ED18*IF(OR($C18=29,$G18=29),0,1)</f>
        <v/>
      </c>
      <c r="EE19">
        <f>EE18*IF(OR($C18=30,$G18=30),0,1)</f>
        <v/>
      </c>
      <c r="EF19">
        <f>EF18*IF(OR($C18=31,$G18=31),0,1)</f>
        <v/>
      </c>
      <c r="EG19">
        <f>EG18*IF(OR($C18=32,$G18=32),0,1)</f>
        <v/>
      </c>
      <c r="EH19">
        <f>EH18*IF(OR($C18=33,$G18=33),0,1)</f>
        <v/>
      </c>
      <c r="EI19">
        <f>EI18*IF(OR($C18=34,$G18=34),0,1)</f>
        <v/>
      </c>
      <c r="EJ19">
        <f>EJ18*IF(OR($C18=35,$G18=35),0,1)</f>
        <v/>
      </c>
      <c r="EK19">
        <f>EK18*IF(OR($C18=36,$G18=36),0,1)</f>
        <v/>
      </c>
      <c r="EL19">
        <f>EL18*IF(OR($C18=37,$G18=37),0,1)</f>
        <v/>
      </c>
      <c r="EM19">
        <f>EM18*IF(OR($C18=38,$G18=38),0,1)</f>
        <v/>
      </c>
      <c r="EN19">
        <f>EN18*IF(OR($C18=39,$G18=39),0,1)</f>
        <v/>
      </c>
      <c r="EO19">
        <f>EO18*IF(OR($C18=40,$G18=40),0,1)</f>
        <v/>
      </c>
      <c r="EP19">
        <f>EP18*IF(OR($C18=41,$G18=41),0,1)</f>
        <v/>
      </c>
      <c r="EQ19">
        <f>EQ18*IF(OR($C18=42,$G18=42),0,1)</f>
        <v/>
      </c>
      <c r="ER19">
        <f>ER18*IF(OR($C18=43,$G18=43),0,1)</f>
        <v/>
      </c>
      <c r="ES19">
        <f>ES18*IF(OR($C18=44,$G18=44),0,1)</f>
        <v/>
      </c>
      <c r="ET19">
        <f>ET18*IF(OR($C18=45,$G18=45),0,1)</f>
        <v/>
      </c>
      <c r="EU19">
        <f>EU18*IF(OR($C18=46,$G18=46),0,1)</f>
        <v/>
      </c>
      <c r="EV19">
        <f>EV18*IF(OR($C18=47,$G18=47),0,1)</f>
        <v/>
      </c>
      <c r="EW19">
        <f>EW18*IF(OR($C18=48,$G18=48),0,1)</f>
        <v/>
      </c>
      <c r="EX19">
        <f>EX18*IF(OR($C18=49,$G18=49),0,1)</f>
        <v/>
      </c>
      <c r="EY19">
        <f>EY18*IF(OR($C18=50,$G18=50),0,1)</f>
        <v/>
      </c>
      <c r="EZ19">
        <f>EZ18*IF(OR($C18=51,$G18=51),0,1)</f>
        <v/>
      </c>
      <c r="FA19">
        <f>FA18*IF(OR($C18=52,$G18=52),0,1)</f>
        <v/>
      </c>
      <c r="FB19">
        <f>FB18*IF(OR($C18=53,$G18=53),0,1)</f>
        <v/>
      </c>
      <c r="FC19">
        <f>FC18*IF(OR($C18=54,$G18=54),0,1)</f>
        <v/>
      </c>
      <c r="FD19">
        <f>FD18*IF(OR($C18=55,$G18=55),0,1)</f>
        <v/>
      </c>
      <c r="FE19">
        <f>FE18*IF(OR($C18=56,$G18=56),0,1)</f>
        <v/>
      </c>
      <c r="FF19">
        <f>FF18*IF(OR($C18=57,$G18=57),0,1)</f>
        <v/>
      </c>
      <c r="FG19">
        <f>FG18*IF(OR($C18=58,$G18=58),0,1)</f>
        <v/>
      </c>
      <c r="FH19">
        <f>FH18*IF(OR($C18=59,$G18=59),0,1)</f>
        <v/>
      </c>
      <c r="FI19">
        <f>FI18*IF(OR($C18=60,$G18=60),0,1)</f>
        <v/>
      </c>
      <c r="FJ19">
        <f>FJ18*IF(OR($C18=61,$G18=61),0,1)</f>
        <v/>
      </c>
      <c r="FK19">
        <f>FK18*IF(OR($C18=62,$G18=62),0,1)</f>
        <v/>
      </c>
      <c r="FL19">
        <f>FL18*IF(OR($C18=63,$G18=63),0,1)</f>
        <v/>
      </c>
      <c r="FM19">
        <f>FM18*IF(OR($C18=64,$G18=64),0,1)</f>
        <v/>
      </c>
      <c r="FN19">
        <f>FN18*IF(OR($C18=65,$G18=65),0,1)</f>
        <v/>
      </c>
      <c r="FO19">
        <f>FO18*IF(OR($C18=66,$G18=66),0,1)</f>
        <v/>
      </c>
      <c r="FP19">
        <f>FP18*IF(OR($C18=67,$G18=67),0,1)</f>
        <v/>
      </c>
      <c r="FQ19">
        <f>FQ18*IF(OR($C18=68,$G18=68),0,1)</f>
        <v/>
      </c>
      <c r="FR19">
        <f>FR18*IF(OR($C18=69,$G18=69),0,1)</f>
        <v/>
      </c>
      <c r="FS19">
        <f>FS18*IF(OR($C18=70,$G18=70),0,1)</f>
        <v/>
      </c>
      <c r="FT19">
        <f>FT18*IF(OR($C18=71,$G18=71),0,1)</f>
        <v/>
      </c>
      <c r="FU19">
        <f>FU18*IF(OR($C18=72,$G18=72),0,1)</f>
        <v/>
      </c>
      <c r="FV19">
        <f>FV18*IF(OR($C18=73,$G18=73),0,1)</f>
        <v/>
      </c>
      <c r="FW19">
        <f>FW18*IF(OR($C18=74,$G18=74),0,1)</f>
        <v/>
      </c>
      <c r="FX19">
        <f>FX18*IF(OR($C18=75,$G18=75),0,1)</f>
        <v/>
      </c>
      <c r="FY19">
        <f>FY18*IF(OR($C18=76,$G18=76),0,1)</f>
        <v/>
      </c>
      <c r="FZ19">
        <f>FZ18*IF(OR($C18=77,$G18=77),0,1)</f>
        <v/>
      </c>
      <c r="GA19">
        <f>GA18*IF(OR($C18=78,$G18=78),0,1)</f>
        <v/>
      </c>
      <c r="GB19">
        <f>GB18*IF(OR($C18=79,$G18=79),0,1)</f>
        <v/>
      </c>
      <c r="GC19">
        <f>GC18*IF(OR($C18=80,$G18=80),0,1)</f>
        <v/>
      </c>
      <c r="GD19">
        <f>GD18*IF(OR($C18=81,$G18=81),0,1)</f>
        <v/>
      </c>
      <c r="GE19">
        <f>GE18*IF(OR($C18=82,$G18=82),0,1)</f>
        <v/>
      </c>
      <c r="GF19">
        <f>GF18*IF(OR($C18=83,$G18=83),0,1)</f>
        <v/>
      </c>
      <c r="GG19">
        <f>GG18*IF(OR($C18=84,$G18=84),0,1)</f>
        <v/>
      </c>
      <c r="GH19">
        <f>GH18*IF(OR($C18=85,$G18=85),0,1)</f>
        <v/>
      </c>
      <c r="GI19">
        <f>GI18*IF(OR($C18=86,$G18=86),0,1)</f>
        <v/>
      </c>
      <c r="GJ19">
        <f>GJ18*IF(OR($C18=87,$G18=87),0,1)</f>
        <v/>
      </c>
      <c r="GK19">
        <f>GK18*IF(OR($C18=88,$G18=88),0,1)</f>
        <v/>
      </c>
      <c r="GL19">
        <f>GL18*IF(OR($C18=89,$G18=89),0,1)</f>
        <v/>
      </c>
      <c r="GM19">
        <f>GM18*IF(OR($C18=90,$G18=90),0,1)</f>
        <v/>
      </c>
      <c r="GN19">
        <f>GN18*IF(OR($C18=91,$G18=91),0,1)</f>
        <v/>
      </c>
      <c r="GO19">
        <f>GO18*IF(OR($C18=92,$G18=92),0,1)</f>
        <v/>
      </c>
      <c r="GP19">
        <f>GP18*IF(OR($C18=93,$G18=93),0,1)</f>
        <v/>
      </c>
      <c r="GQ19">
        <f>GQ18*IF(OR($C18=94,$G18=94),0,1)</f>
        <v/>
      </c>
      <c r="GR19">
        <f>GR18*IF(OR($C18=95,$G18=95),0,1)</f>
        <v/>
      </c>
      <c r="GS19">
        <f>GS18*IF(OR($C18=96,$G18=96),0,1)</f>
        <v/>
      </c>
      <c r="GT19">
        <f>GT18*IF(OR($C18=97,$G18=97),0,1)</f>
        <v/>
      </c>
      <c r="GU19">
        <f>GU18*IF(OR($C18=98,$G18=98),0,1)</f>
        <v/>
      </c>
      <c r="GV19">
        <f>GV18*IF(OR($C18=99,$G18=99),0,1)</f>
        <v/>
      </c>
      <c r="GW19">
        <f>GW18*IF(OR($C18=100,$G18=100),0,1)</f>
        <v/>
      </c>
      <c r="GX19">
        <f>GX18*IF(OR($C18=101,$G18=101),0,1)</f>
        <v/>
      </c>
      <c r="GY19">
        <f>GY18*IF(OR($C18=102,$G18=102),0,1)</f>
        <v/>
      </c>
      <c r="GZ19">
        <f>GZ18*IF(OR($C18=103,$G18=103),0,1)</f>
        <v/>
      </c>
      <c r="HA19">
        <f>HA18*IF(OR($C18=104,$G18=104),0,1)</f>
        <v/>
      </c>
      <c r="HB19">
        <f>HB18*IF(OR($C18=105,$G18=105),0,1)</f>
        <v/>
      </c>
      <c r="HC19">
        <f>HC18*IF(OR($C18=106,$G18=106),0,1)</f>
        <v/>
      </c>
      <c r="HD19">
        <f>HD18*IF(OR($C18=107,$G18=107),0,1)</f>
        <v/>
      </c>
      <c r="HE19">
        <f>HE18*IF(OR($C18=108,$G18=108),0,1)</f>
        <v/>
      </c>
      <c r="HF19">
        <f>HF18*IF(OR($C18=109,$G18=109),0,1)</f>
        <v/>
      </c>
      <c r="HG19">
        <f>HG18*IF(OR($C18=110,$G18=110),0,1)</f>
        <v/>
      </c>
      <c r="HH19">
        <f>HH18*IF(OR($C18=111,$G18=111),0,1)</f>
        <v/>
      </c>
      <c r="HI19">
        <f>HI18*IF(OR($C18=112,$G18=112),0,1)</f>
        <v/>
      </c>
      <c r="HJ19">
        <f>HJ18*IF(OR($C18=113,$G18=113),0,1)</f>
        <v/>
      </c>
      <c r="HK19">
        <f>HK18*IF(OR($C18=114,$G18=114),0,1)</f>
        <v/>
      </c>
      <c r="HL19">
        <f>HL18*IF(OR($C18=115,$G18=115),0,1)</f>
        <v/>
      </c>
      <c r="HM19">
        <f>HM18*IF(OR($C18=116,$G18=116),0,1)</f>
        <v/>
      </c>
      <c r="HN19">
        <f>HN18*IF(OR($C18=117,$G18=117),0,1)</f>
        <v/>
      </c>
      <c r="HO19">
        <f>HO18*IF(OR($C18=118,$G18=118),0,1)</f>
        <v/>
      </c>
      <c r="HP19">
        <f>HP18*IF(OR($C18=119,$G18=119),0,1)</f>
        <v/>
      </c>
      <c r="HQ19">
        <f>HQ18*IF(OR($C18=120,$G18=120),0,1)</f>
        <v/>
      </c>
      <c r="HR19">
        <f>HR18*IF(OR($C18=121,$G18=121),0,1)</f>
        <v/>
      </c>
      <c r="HS19">
        <f>HS18*IF(OR($C18=122,$G18=122),0,1)</f>
        <v/>
      </c>
      <c r="HT19">
        <f>HT18*IF(OR($C18=123,$G18=123),0,1)</f>
        <v/>
      </c>
      <c r="HU19">
        <f>HU18*IF(OR($C18=124,$G18=124),0,1)</f>
        <v/>
      </c>
      <c r="HV19">
        <f>HV18*IF(OR($C18=125,$G18=125),0,1)</f>
        <v/>
      </c>
      <c r="HW19">
        <f>HW18*IF(OR($C18=126,$G18=126),0,1)</f>
        <v/>
      </c>
      <c r="HX19">
        <f>HX18*IF(OR($C18=127,$G18=127),0,1)</f>
        <v/>
      </c>
      <c r="HY19">
        <f>HY18*IF(OR($C18=128,$G18=128),0,1)</f>
        <v/>
      </c>
      <c r="HZ19">
        <f>HZ18*IF(OR($C18=129,$G18=129),0,1)</f>
        <v/>
      </c>
      <c r="IA19">
        <f>IA18*IF(OR($C18=130,$G18=130),0,1)</f>
        <v/>
      </c>
      <c r="IB19">
        <f>IB18*IF(OR($C18=131,$G18=131),0,1)</f>
        <v/>
      </c>
      <c r="IC19">
        <f>IC18*IF(OR($C18=132,$G18=132),0,1)</f>
        <v/>
      </c>
      <c r="ID19">
        <f>ID18*IF(OR($C18=133,$G18=133),0,1)</f>
        <v/>
      </c>
      <c r="IE19">
        <f>IE18*IF(OR($C18=134,$G18=134),0,1)</f>
        <v/>
      </c>
      <c r="IF19">
        <f>IF18*IF(OR($C18=135,$G18=135),0,1)</f>
        <v/>
      </c>
      <c r="IG19">
        <f>IG18*IF(OR($C18=136,$G18=136),0,1)</f>
        <v/>
      </c>
      <c r="IH19">
        <f>IH18*IF(OR($C18=137,$G18=137),0,1)</f>
        <v/>
      </c>
      <c r="II19">
        <f>II18*IF(OR($C18=138,$G18=138),0,1)</f>
        <v/>
      </c>
      <c r="IJ19">
        <f>IJ18*IF(OR($C18=139,$G18=139),0,1)</f>
        <v/>
      </c>
      <c r="IK19">
        <f>IK18*IF(OR($C18=140,$G18=140),0,1)</f>
        <v/>
      </c>
      <c r="IL19">
        <f>IL18*IF(OR($C18=141,$G18=141),0,1)</f>
        <v/>
      </c>
      <c r="IM19">
        <f>IM18*IF(OR($C18=142,$G18=142),0,1)</f>
        <v/>
      </c>
      <c r="IN19">
        <f>IN18*IF(OR($C18=143,$G18=143),0,1)</f>
        <v/>
      </c>
      <c r="IO19">
        <f>IO18*IF(OR($C18=144,$G18=144),0,1)</f>
        <v/>
      </c>
      <c r="IQ19">
        <f>IF('calcA'!D$106=1,DC19,1)</f>
        <v/>
      </c>
      <c r="IR19">
        <f>IF('calcA'!E$106=1,DD19,1)</f>
        <v/>
      </c>
      <c r="IS19">
        <f>IF('calcA'!F$106=1,DE19,1)</f>
        <v/>
      </c>
      <c r="IT19">
        <f>IF('calcA'!G$106=1,DF19,1)</f>
        <v/>
      </c>
      <c r="IU19">
        <f>IF('calcA'!H$106=1,DG19,1)</f>
        <v/>
      </c>
      <c r="IV19">
        <f>IF('calcA'!I$106=1,DH19,1)</f>
        <v/>
      </c>
      <c r="IW19">
        <f>IF('calcA'!J$106=1,DI19,1)</f>
        <v/>
      </c>
      <c r="IX19">
        <f>IF('calcA'!K$106=1,DJ19,1)</f>
        <v/>
      </c>
      <c r="IY19">
        <f>IF('calcA'!L$106=1,DK19,1)</f>
        <v/>
      </c>
      <c r="IZ19">
        <f>IF('calcA'!M$106=1,DL19,1)</f>
        <v/>
      </c>
      <c r="JA19">
        <f>IF('calcA'!N$106=1,DM19,1)</f>
        <v/>
      </c>
      <c r="JB19">
        <f>IF('calcA'!O$106=1,DN19,1)</f>
        <v/>
      </c>
      <c r="JC19">
        <f>IF('calcA'!P$106=1,DO19,1)</f>
        <v/>
      </c>
      <c r="JD19">
        <f>IF('calcA'!Q$106=1,DP19,1)</f>
        <v/>
      </c>
      <c r="JE19">
        <f>IF('calcA'!R$106=1,DQ19,1)</f>
        <v/>
      </c>
      <c r="JF19">
        <f>IF('calcA'!S$106=1,DR19,1)</f>
        <v/>
      </c>
      <c r="JG19">
        <f>IF('calcA'!T$106=1,DS19,1)</f>
        <v/>
      </c>
      <c r="JH19">
        <f>IF('calcA'!U$106=1,DT19,1)</f>
        <v/>
      </c>
      <c r="JI19">
        <f>IF('calcA'!V$106=1,DU19,1)</f>
        <v/>
      </c>
      <c r="JJ19">
        <f>IF('calcA'!W$106=1,DV19,1)</f>
        <v/>
      </c>
      <c r="JK19">
        <f>IF('calcA'!X$106=1,DW19,1)</f>
        <v/>
      </c>
      <c r="JL19">
        <f>IF('calcA'!Y$106=1,DX19,1)</f>
        <v/>
      </c>
      <c r="JM19">
        <f>IF('calcA'!Z$106=1,DY19,1)</f>
        <v/>
      </c>
      <c r="JN19">
        <f>IF('calcA'!AA$106=1,DZ19,1)</f>
        <v/>
      </c>
      <c r="JO19">
        <f>IF('calcA'!AB$106=1,EA19,1)</f>
        <v/>
      </c>
      <c r="JP19">
        <f>IF('calcA'!AC$106=1,EB19,1)</f>
        <v/>
      </c>
      <c r="JQ19">
        <f>IF('calcA'!AD$106=1,EC19,1)</f>
        <v/>
      </c>
      <c r="JR19">
        <f>IF('calcA'!AE$106=1,ED19,1)</f>
        <v/>
      </c>
      <c r="JS19">
        <f>IF('calcA'!AF$106=1,EE19,1)</f>
        <v/>
      </c>
      <c r="JT19">
        <f>IF('calcA'!AG$106=1,EF19,1)</f>
        <v/>
      </c>
      <c r="JU19">
        <f>IF('calcA'!AH$106=1,EG19,1)</f>
        <v/>
      </c>
      <c r="JV19">
        <f>IF('calcA'!AI$106=1,EH19,1)</f>
        <v/>
      </c>
      <c r="JW19">
        <f>IF('calcA'!AJ$106=1,EI19,1)</f>
        <v/>
      </c>
      <c r="JX19">
        <f>IF('calcA'!AK$106=1,EJ19,1)</f>
        <v/>
      </c>
      <c r="JY19">
        <f>IF('calcA'!AL$106=1,EK19,1)</f>
        <v/>
      </c>
      <c r="JZ19">
        <f>IF('calcA'!AM$106=1,EL19,1)</f>
        <v/>
      </c>
      <c r="KA19">
        <f>IF('calcA'!AN$106=1,EM19,1)</f>
        <v/>
      </c>
      <c r="KB19">
        <f>IF('calcA'!AO$106=1,EN19,1)</f>
        <v/>
      </c>
      <c r="KC19">
        <f>IF('calcA'!AP$106=1,EO19,1)</f>
        <v/>
      </c>
      <c r="KD19">
        <f>IF('calcA'!AQ$106=1,EP19,1)</f>
        <v/>
      </c>
      <c r="KE19">
        <f>IF('calcA'!AR$106=1,EQ19,1)</f>
        <v/>
      </c>
      <c r="KF19">
        <f>IF('calcA'!AS$106=1,ER19,1)</f>
        <v/>
      </c>
      <c r="KG19">
        <f>IF('calcA'!AT$106=1,ES19,1)</f>
        <v/>
      </c>
      <c r="KH19">
        <f>IF('calcA'!AU$106=1,ET19,1)</f>
        <v/>
      </c>
      <c r="KI19">
        <f>IF('calcA'!AV$106=1,EU19,1)</f>
        <v/>
      </c>
      <c r="KJ19">
        <f>IF('calcA'!AW$106=1,EV19,1)</f>
        <v/>
      </c>
      <c r="KK19">
        <f>IF('calcA'!AX$106=1,EW19,1)</f>
        <v/>
      </c>
      <c r="KL19">
        <f>IF('calcA'!AY$106=1,EX19,1)</f>
        <v/>
      </c>
      <c r="KM19">
        <f>IF('calcA'!AZ$106=1,EY19,1)</f>
        <v/>
      </c>
      <c r="KN19">
        <f>IF('calcA'!BA$106=1,EZ19,1)</f>
        <v/>
      </c>
      <c r="KO19">
        <f>IF('calcA'!BB$106=1,FA19,1)</f>
        <v/>
      </c>
      <c r="KP19">
        <f>IF('calcA'!BC$106=1,FB19,1)</f>
        <v/>
      </c>
      <c r="KQ19">
        <f>IF('calcA'!BD$106=1,FC19,1)</f>
        <v/>
      </c>
      <c r="KR19">
        <f>IF('calcA'!BE$106=1,FD19,1)</f>
        <v/>
      </c>
      <c r="KS19">
        <f>IF('calcA'!BF$106=1,FE19,1)</f>
        <v/>
      </c>
      <c r="KT19">
        <f>IF('calcA'!BG$106=1,FF19,1)</f>
        <v/>
      </c>
      <c r="KU19">
        <f>IF('calcA'!BH$106=1,FG19,1)</f>
        <v/>
      </c>
      <c r="KV19">
        <f>IF('calcA'!BI$106=1,FH19,1)</f>
        <v/>
      </c>
      <c r="KW19">
        <f>IF('calcA'!BJ$106=1,FI19,1)</f>
        <v/>
      </c>
      <c r="KX19">
        <f>IF('calcA'!BK$106=1,FJ19,1)</f>
        <v/>
      </c>
      <c r="KY19">
        <f>IF('calcA'!BL$106=1,FK19,1)</f>
        <v/>
      </c>
      <c r="KZ19">
        <f>IF('calcA'!BM$106=1,FL19,1)</f>
        <v/>
      </c>
      <c r="LA19">
        <f>IF('calcA'!BN$106=1,FM19,1)</f>
        <v/>
      </c>
      <c r="LB19">
        <f>IF('calcA'!BO$106=1,FN19,1)</f>
        <v/>
      </c>
      <c r="LC19">
        <f>IF('calcA'!BP$106=1,FO19,1)</f>
        <v/>
      </c>
      <c r="LD19">
        <f>IF('calcA'!BQ$106=1,FP19,1)</f>
        <v/>
      </c>
      <c r="LE19">
        <f>IF('calcA'!BR$106=1,FQ19,1)</f>
        <v/>
      </c>
      <c r="LF19">
        <f>IF('calcA'!BS$106=1,FR19,1)</f>
        <v/>
      </c>
      <c r="LG19">
        <f>IF('calcA'!BT$106=1,FS19,1)</f>
        <v/>
      </c>
      <c r="LH19">
        <f>IF('calcA'!BU$106=1,FT19,1)</f>
        <v/>
      </c>
      <c r="LI19">
        <f>IF('calcA'!BV$106=1,FU19,1)</f>
        <v/>
      </c>
      <c r="LJ19">
        <f>IF('calcA'!BW$106=1,FV19,1)</f>
        <v/>
      </c>
      <c r="LK19">
        <f>IF('calcA'!BX$106=1,FW19,1)</f>
        <v/>
      </c>
      <c r="LL19">
        <f>IF('calcA'!BY$106=1,FX19,1)</f>
        <v/>
      </c>
      <c r="LM19">
        <f>IF('calcA'!BZ$106=1,FY19,1)</f>
        <v/>
      </c>
      <c r="LN19">
        <f>IF('calcA'!CA$106=1,FZ19,1)</f>
        <v/>
      </c>
      <c r="LO19">
        <f>IF('calcA'!CB$106=1,GA19,1)</f>
        <v/>
      </c>
      <c r="LP19">
        <f>IF('calcA'!CC$106=1,GB19,1)</f>
        <v/>
      </c>
      <c r="LQ19">
        <f>IF('calcA'!CD$106=1,GC19,1)</f>
        <v/>
      </c>
      <c r="LR19">
        <f>IF('calcA'!CE$106=1,GD19,1)</f>
        <v/>
      </c>
      <c r="LS19">
        <f>IF('calcA'!CF$106=1,GE19,1)</f>
        <v/>
      </c>
      <c r="LT19">
        <f>IF('calcA'!CG$106=1,GF19,1)</f>
        <v/>
      </c>
      <c r="LU19">
        <f>IF('calcA'!CH$106=1,GG19,1)</f>
        <v/>
      </c>
      <c r="LV19">
        <f>IF('calcA'!CI$106=1,GH19,1)</f>
        <v/>
      </c>
      <c r="LW19">
        <f>IF('calcA'!CJ$106=1,GI19,1)</f>
        <v/>
      </c>
      <c r="LX19">
        <f>IF('calcA'!CK$106=1,GJ19,1)</f>
        <v/>
      </c>
      <c r="LY19">
        <f>IF('calcA'!CL$106=1,GK19,1)</f>
        <v/>
      </c>
      <c r="LZ19">
        <f>IF('calcA'!CM$106=1,GL19,1)</f>
        <v/>
      </c>
      <c r="MA19">
        <f>IF('calcA'!CN$106=1,GM19,1)</f>
        <v/>
      </c>
      <c r="MB19">
        <f>IF('calcA'!CO$106=1,GN19,1)</f>
        <v/>
      </c>
      <c r="MC19">
        <f>IF('calcA'!CP$106=1,GO19,1)</f>
        <v/>
      </c>
      <c r="MD19">
        <f>IF('calcA'!CQ$106=1,GP19,1)</f>
        <v/>
      </c>
      <c r="ME19">
        <f>IF('calcA'!CR$106=1,GQ19,1)</f>
        <v/>
      </c>
      <c r="MF19">
        <f>IF('calcA'!CS$106=1,GR19,1)</f>
        <v/>
      </c>
      <c r="MG19">
        <f>IF('calcA'!CT$106=1,GS19,1)</f>
        <v/>
      </c>
      <c r="MH19">
        <f>IF('calcA'!CU$106=1,GT19,1)</f>
        <v/>
      </c>
      <c r="MI19">
        <f>IF('calcA'!CV$106=1,GU19,1)</f>
        <v/>
      </c>
      <c r="MJ19">
        <f>IF('calcA'!CW$106=1,GV19,1)</f>
        <v/>
      </c>
      <c r="MK19">
        <f>IF('calcA'!CX$106=1,GW19,1)</f>
        <v/>
      </c>
      <c r="ML19">
        <f>IF('calcA'!CY$106=1,GX19,1)</f>
        <v/>
      </c>
      <c r="MM19">
        <f>IF('calcA'!CZ$106=1,GY19,1)</f>
        <v/>
      </c>
      <c r="MN19">
        <f>IF('calcA'!DA$106=1,GZ19,1)</f>
        <v/>
      </c>
      <c r="MO19">
        <f>IF('calcA'!DB$106=1,HA19,1)</f>
        <v/>
      </c>
      <c r="MP19">
        <f>IF('calcA'!DC$106=1,HB19,1)</f>
        <v/>
      </c>
      <c r="MQ19">
        <f>IF('calcA'!DD$106=1,HC19,1)</f>
        <v/>
      </c>
      <c r="MR19">
        <f>IF('calcA'!DE$106=1,HD19,1)</f>
        <v/>
      </c>
      <c r="MS19">
        <f>IF('calcA'!DF$106=1,HE19,1)</f>
        <v/>
      </c>
      <c r="MT19">
        <f>IF('calcA'!DG$106=1,HF19,1)</f>
        <v/>
      </c>
      <c r="MU19">
        <f>IF('calcA'!DH$106=1,HG19,1)</f>
        <v/>
      </c>
      <c r="MV19">
        <f>IF('calcA'!DI$106=1,HH19,1)</f>
        <v/>
      </c>
      <c r="MW19">
        <f>IF('calcA'!DJ$106=1,HI19,1)</f>
        <v/>
      </c>
      <c r="MX19">
        <f>IF('calcA'!DK$106=1,HJ19,1)</f>
        <v/>
      </c>
      <c r="MY19">
        <f>IF('calcA'!DL$106=1,HK19,1)</f>
        <v/>
      </c>
      <c r="MZ19">
        <f>IF('calcA'!DM$106=1,HL19,1)</f>
        <v/>
      </c>
      <c r="NA19">
        <f>IF('calcA'!DN$106=1,HM19,1)</f>
        <v/>
      </c>
      <c r="NB19">
        <f>IF('calcA'!DO$106=1,HN19,1)</f>
        <v/>
      </c>
      <c r="NC19">
        <f>IF('calcA'!DP$106=1,HO19,1)</f>
        <v/>
      </c>
      <c r="ND19">
        <f>IF('calcA'!DQ$106=1,HP19,1)</f>
        <v/>
      </c>
      <c r="NE19">
        <f>IF('calcA'!DR$106=1,HQ19,1)</f>
        <v/>
      </c>
      <c r="NF19">
        <f>IF('calcA'!DS$106=1,HR19,1)</f>
        <v/>
      </c>
      <c r="NG19">
        <f>IF('calcA'!DT$106=1,HS19,1)</f>
        <v/>
      </c>
      <c r="NH19">
        <f>IF('calcA'!DU$106=1,HT19,1)</f>
        <v/>
      </c>
      <c r="NI19">
        <f>IF('calcA'!DV$106=1,HU19,1)</f>
        <v/>
      </c>
      <c r="NJ19">
        <f>IF('calcA'!DW$106=1,HV19,1)</f>
        <v/>
      </c>
      <c r="NK19">
        <f>IF('calcA'!DX$106=1,HW19,1)</f>
        <v/>
      </c>
      <c r="NL19">
        <f>IF('calcA'!DY$106=1,HX19,1)</f>
        <v/>
      </c>
      <c r="NM19">
        <f>IF('calcA'!DZ$106=1,HY19,1)</f>
        <v/>
      </c>
      <c r="NN19">
        <f>IF('calcA'!EA$106=1,HZ19,1)</f>
        <v/>
      </c>
      <c r="NO19">
        <f>IF('calcA'!EB$106=1,IA19,1)</f>
        <v/>
      </c>
      <c r="NP19">
        <f>IF('calcA'!EC$106=1,IB19,1)</f>
        <v/>
      </c>
      <c r="NQ19">
        <f>IF('calcA'!ED$106=1,IC19,1)</f>
        <v/>
      </c>
      <c r="NR19">
        <f>IF('calcA'!EE$106=1,ID19,1)</f>
        <v/>
      </c>
      <c r="NS19">
        <f>IF('calcA'!EF$106=1,IE19,1)</f>
        <v/>
      </c>
      <c r="NT19">
        <f>IF('calcA'!EG$106=1,IF19,1)</f>
        <v/>
      </c>
      <c r="NU19">
        <f>IF('calcA'!EH$106=1,IG19,1)</f>
        <v/>
      </c>
      <c r="NV19">
        <f>IF('calcA'!EI$106=1,IH19,1)</f>
        <v/>
      </c>
      <c r="NW19">
        <f>IF('calcA'!EJ$106=1,II19,1)</f>
        <v/>
      </c>
      <c r="NX19">
        <f>IF('calcA'!EK$106=1,IJ19,1)</f>
        <v/>
      </c>
      <c r="NY19">
        <f>IF('calcA'!EL$106=1,IK19,1)</f>
        <v/>
      </c>
      <c r="NZ19">
        <f>IF('calcA'!EM$106=1,IL19,1)</f>
        <v/>
      </c>
      <c r="OA19">
        <f>IF('calcA'!EN$106=1,IM19,1)</f>
        <v/>
      </c>
      <c r="OB19">
        <f>IF('calcA'!EO$106=1,IN19,1)</f>
        <v/>
      </c>
      <c r="OC19">
        <f>IF('calcA'!EP$106=1,IO19,1)</f>
        <v/>
      </c>
      <c r="OD19" t="n">
        <v>1</v>
      </c>
      <c r="OF19">
        <f>IF($B19=0,1000000000,IF(INDEX('calcA'!$D$60:$EQ$99,$B19,1)*IF($W19=1,DB19+ZQ19,DB19)=1,IF(AND($E19=2,IF($W19=1,AFF19,IQ19)=0),1000000000,IF($V19=1,INDEX('calcA'!$D$130:$EQ$169,$B19,1)+IF(AND($E19=1,IQ19=0),25,0),IF($F19&gt;0,INDEX('calcA'!D$110:D$114,$F19+1)+IF(AND($E19=1,IQ19=0),1000,0),MIN(TU19,20)*400+(IF('calcA'!D$106=1,1-DC19,0))*150+11+'calcA'!D$5*100000+IF(AND($E19=1,IQ19=0),50000,0))+IF($H19=1,INDEX('calcA'!$D$180:$EQ$219,$B19,1)*4000,0)-IF(AND($U19=1,'calcA'!D$117=1,DC19=0),2000,0))),1000000000))</f>
        <v/>
      </c>
      <c r="OG19">
        <f>IF($B19=0,1000000000,IF(INDEX('calcA'!$D$60:$EQ$99,$B19,2)*IF($W19=1,DC19+ZR19,DC19)=1,IF(AND($E19=2,IF($W19=1,AFG19,IR19)=0),1000000000,IF($V19=1,INDEX('calcA'!$D$130:$EQ$169,$B19,2)+IF(AND($E19=1,IR19=0),25,0),IF($F19&gt;0,INDEX('calcA'!E$110:E$114,$F19+1)+IF(AND($E19=1,IR19=0),1000,0),MIN(TU19,20)*400+(IF('calcA'!D$106=1,1-DB19,0)+IF('calcA'!E$106=1,1-DD19,0))*150+21+'calcA'!E$5*100000+IF(AND($E19=1,IR19=0),50000,0))+IF($H19=1,INDEX('calcA'!$D$180:$EQ$219,$B19,2)*4000,0)-IF(AND('calcA'!D$117=1,UB19&gt;0),2000,0)-IF(AND($U19=1,'calcA'!E$117=1,DD19=0),2000,0))),1000000000))</f>
        <v/>
      </c>
      <c r="OH19">
        <f>IF($B19=0,1000000000,IF(INDEX('calcA'!$D$60:$EQ$99,$B19,3)*IF($W19=1,DD19+ZS19,DD19)=1,IF(AND($E19=2,IF($W19=1,AFH19,IS19)=0),1000000000,IF($V19=1,INDEX('calcA'!$D$130:$EQ$169,$B19,3)+IF(AND($E19=1,IS19=0),25,0),IF($F19&gt;0,INDEX('calcA'!F$110:F$114,$F19+1)+IF(AND($E19=1,IS19=0),1000,0),MIN(TU19,20)*400+(IF('calcA'!E$106=1,1-DC19,0)+IF('calcA'!F$106=1,1-DE19,0))*150+31+'calcA'!F$5*100000+IF(AND($E19=1,IS19=0),50000,0))+IF($H19=1,INDEX('calcA'!$D$180:$EQ$219,$B19,3)*4000,0)-IF(AND('calcA'!E$117=1,UC19&gt;0),2000,0)-IF(AND($U19=1,'calcA'!F$117=1,DE19=0),2000,0))),1000000000))</f>
        <v/>
      </c>
      <c r="OI19">
        <f>IF($B19=0,1000000000,IF(INDEX('calcA'!$D$60:$EQ$99,$B19,4)*IF($W19=1,DE19+ZT19,DE19)=1,IF(AND($E19=2,IF($W19=1,AFI19,IT19)=0),1000000000,IF($V19=1,INDEX('calcA'!$D$130:$EQ$169,$B19,4)+IF(AND($E19=1,IT19=0),25,0),IF($F19&gt;0,INDEX('calcA'!G$110:G$114,$F19+1)+IF(AND($E19=1,IT19=0),1000,0),MIN(TU19,20)*400+(IF('calcA'!F$106=1,1-DD19,0)+IF('calcA'!G$106=1,1-DF19,0))*150+41+'calcA'!G$5*100000+IF(AND($E19=1,IT19=0),50000,0))+IF($H19=1,INDEX('calcA'!$D$180:$EQ$219,$B19,4)*4000,0)-IF(AND('calcA'!F$117=1,UD19&gt;0),2000,0)-IF(AND($U19=1,'calcA'!G$117=1,DF19=0),2000,0))),1000000000))</f>
        <v/>
      </c>
      <c r="OJ19">
        <f>IF($B19=0,1000000000,IF(INDEX('calcA'!$D$60:$EQ$99,$B19,5)*IF($W19=1,DF19+ZU19,DF19)=1,IF(AND($E19=2,IF($W19=1,AFJ19,IU19)=0),1000000000,IF($V19=1,INDEX('calcA'!$D$130:$EQ$169,$B19,5)+IF(AND($E19=1,IU19=0),25,0),IF($F19&gt;0,INDEX('calcA'!H$110:H$114,$F19+1)+IF(AND($E19=1,IU19=0),1000,0),MIN(TU19,20)*400+(IF('calcA'!G$106=1,1-DE19,0)+IF('calcA'!H$106=1,1-DG19,0))*150+51+'calcA'!H$5*100000+IF(AND($E19=1,IU19=0),50000,0))+IF($H19=1,INDEX('calcA'!$D$180:$EQ$219,$B19,5)*4000,0)-IF(AND('calcA'!G$117=1,UE19&gt;0),2000,0)-IF(AND($U19=1,'calcA'!H$117=1,DG19=0),2000,0))),1000000000))</f>
        <v/>
      </c>
      <c r="OK19">
        <f>IF($B19=0,1000000000,IF(INDEX('calcA'!$D$60:$EQ$99,$B19,6)*IF($W19=1,DG19+ZV19,DG19)=1,IF(AND($E19=2,IF($W19=1,AFK19,IV19)=0),1000000000,IF($V19=1,INDEX('calcA'!$D$130:$EQ$169,$B19,6)+IF(AND($E19=1,IV19=0),25,0),IF($F19&gt;0,INDEX('calcA'!I$110:I$114,$F19+1)+IF(AND($E19=1,IV19=0),1000,0),MIN(TU19,20)*400+(IF('calcA'!H$106=1,1-DF19,0)+IF('calcA'!I$106=1,1-DH19,0))*150+61+'calcA'!I$5*100000+IF(AND($E19=1,IV19=0),50000,0))+IF($H19=1,INDEX('calcA'!$D$180:$EQ$219,$B19,6)*4000,0)-IF(AND('calcA'!H$117=1,UF19&gt;0),2000,0)-IF(AND($U19=1,'calcA'!I$117=1,DH19=0),2000,0))),1000000000))</f>
        <v/>
      </c>
      <c r="OL19">
        <f>IF($B19=0,1000000000,IF(INDEX('calcA'!$D$60:$EQ$99,$B19,7)*IF($W19=1,DH19+ZW19,DH19)=1,IF(AND($E19=2,IF($W19=1,AFL19,IW19)=0),1000000000,IF($V19=1,INDEX('calcA'!$D$130:$EQ$169,$B19,7)+IF(AND($E19=1,IW19=0),25,0),IF($F19&gt;0,INDEX('calcA'!J$110:J$114,$F19+1)+IF(AND($E19=1,IW19=0),1000,0),MIN(TU19,20)*400+(IF('calcA'!I$106=1,1-DG19,0)+IF('calcA'!J$106=1,1-DI19,0))*150+71+'calcA'!J$5*100000+IF(AND($E19=1,IW19=0),50000,0))+IF($H19=1,INDEX('calcA'!$D$180:$EQ$219,$B19,7)*4000,0)-IF(AND('calcA'!I$117=1,UG19&gt;0),2000,0)-IF(AND($U19=1,'calcA'!J$117=1,DI19=0),2000,0))),1000000000))</f>
        <v/>
      </c>
      <c r="OM19">
        <f>IF($B19=0,1000000000,IF(INDEX('calcA'!$D$60:$EQ$99,$B19,8)*IF($W19=1,DI19+ZX19,DI19)=1,IF(AND($E19=2,IF($W19=1,AFM19,IX19)=0),1000000000,IF($V19=1,INDEX('calcA'!$D$130:$EQ$169,$B19,8)+IF(AND($E19=1,IX19=0),25,0),IF($F19&gt;0,INDEX('calcA'!K$110:K$114,$F19+1)+IF(AND($E19=1,IX19=0),1000,0),MIN(TU19,20)*400+(IF('calcA'!J$106=1,1-DH19,0)+IF('calcA'!K$106=1,1-DJ19,0))*150+81+'calcA'!K$5*100000+IF(AND($E19=1,IX19=0),50000,0))+IF($H19=1,INDEX('calcA'!$D$180:$EQ$219,$B19,8)*4000,0)-IF(AND('calcA'!J$117=1,UH19&gt;0),2000,0)-IF(AND($U19=1,'calcA'!K$117=1,DJ19=0),2000,0))),1000000000))</f>
        <v/>
      </c>
      <c r="ON19">
        <f>IF($B19=0,1000000000,IF(INDEX('calcA'!$D$60:$EQ$99,$B19,9)*IF($W19=1,DJ19+ZY19,DJ19)=1,IF(AND($E19=2,IF($W19=1,AFN19,IY19)=0),1000000000,IF($V19=1,INDEX('calcA'!$D$130:$EQ$169,$B19,9)+IF(AND($E19=1,IY19=0),25,0),IF($F19&gt;0,INDEX('calcA'!L$110:L$114,$F19+1)+IF(AND($E19=1,IY19=0),1000,0),MIN(TU19,20)*400+(IF('calcA'!K$106=1,1-DI19,0)+IF('calcA'!L$106=1,1-DK19,0))*150+91+'calcA'!L$5*100000+IF(AND($E19=1,IY19=0),50000,0))+IF($H19=1,INDEX('calcA'!$D$180:$EQ$219,$B19,9)*4000,0)-IF(AND('calcA'!K$117=1,UI19&gt;0),2000,0)-IF(AND($U19=1,'calcA'!L$117=1,DK19=0),2000,0))),1000000000))</f>
        <v/>
      </c>
      <c r="OO19">
        <f>IF($B19=0,1000000000,IF(INDEX('calcA'!$D$60:$EQ$99,$B19,10)*IF($W19=1,DK19+ZZ19,DK19)=1,IF(AND($E19=2,IF($W19=1,AFO19,IZ19)=0),1000000000,IF($V19=1,INDEX('calcA'!$D$130:$EQ$169,$B19,10)+IF(AND($E19=1,IZ19=0),25,0),IF($F19&gt;0,INDEX('calcA'!M$110:M$114,$F19+1)+IF(AND($E19=1,IZ19=0),1000,0),MIN(TU19,20)*400+(IF('calcA'!L$106=1,1-DJ19,0)+IF('calcA'!M$106=1,1-DL19,0))*150+101+'calcA'!M$5*100000+IF(AND($E19=1,IZ19=0),50000,0))+IF($H19=1,INDEX('calcA'!$D$180:$EQ$219,$B19,10)*4000,0)-IF(AND('calcA'!L$117=1,UJ19&gt;0),2000,0)-IF(AND($U19=1,'calcA'!M$117=1,DL19=0),2000,0))),1000000000))</f>
        <v/>
      </c>
      <c r="OP19">
        <f>IF($B19=0,1000000000,IF(INDEX('calcA'!$D$60:$EQ$99,$B19,11)*IF($W19=1,DL19+AAA19,DL19)=1,IF(AND($E19=2,IF($W19=1,AFP19,JA19)=0),1000000000,IF($V19=1,INDEX('calcA'!$D$130:$EQ$169,$B19,11)+IF(AND($E19=1,JA19=0),25,0),IF($F19&gt;0,INDEX('calcA'!N$110:N$114,$F19+1)+IF(AND($E19=1,JA19=0),1000,0),MIN(TU19,20)*400+(IF('calcA'!M$106=1,1-DK19,0)+IF('calcA'!N$106=1,1-DM19,0))*150+111+'calcA'!N$5*100000+IF(AND($E19=1,JA19=0),50000,0))+IF($H19=1,INDEX('calcA'!$D$180:$EQ$219,$B19,11)*4000,0)-IF(AND('calcA'!M$117=1,UK19&gt;0),2000,0)-IF(AND($U19=1,'calcA'!N$117=1,DM19=0),2000,0))),1000000000))</f>
        <v/>
      </c>
      <c r="OQ19">
        <f>IF($B19=0,1000000000,IF(INDEX('calcA'!$D$60:$EQ$99,$B19,12)*IF($W19=1,DM19+AAB19,DM19)=1,IF(AND($E19=2,IF($W19=1,AFQ19,JB19)=0),1000000000,IF($V19=1,INDEX('calcA'!$D$130:$EQ$169,$B19,12)+IF(AND($E19=1,JB19=0),25,0),IF($F19&gt;0,INDEX('calcA'!O$110:O$114,$F19+1)+IF(AND($E19=1,JB19=0),1000,0),MIN(TU19,20)*400+(IF('calcA'!N$106=1,1-DL19,0)+IF('calcA'!O$106=1,1-DN19,0))*150+121+'calcA'!O$5*100000+IF(AND($E19=1,JB19=0),50000,0))+IF($H19=1,INDEX('calcA'!$D$180:$EQ$219,$B19,12)*4000,0)-IF(AND('calcA'!N$117=1,UL19&gt;0),2000,0)-IF(AND($U19=1,'calcA'!O$117=1,DN19=0),2000,0))),1000000000))</f>
        <v/>
      </c>
      <c r="OR19">
        <f>IF($B19=0,1000000000,IF(INDEX('calcA'!$D$60:$EQ$99,$B19,13)*IF($W19=1,DN19+AAC19,DN19)=1,IF(AND($E19=2,IF($W19=1,AFR19,JC19)=0),1000000000,IF($V19=1,INDEX('calcA'!$D$130:$EQ$169,$B19,13)+IF(AND($E19=1,JC19=0),25,0),IF($F19&gt;0,INDEX('calcA'!P$110:P$114,$F19+1)+IF(AND($E19=1,JC19=0),1000,0),MIN(TU19,20)*400+(IF('calcA'!O$106=1,1-DM19,0)+IF('calcA'!P$106=1,1-DO19,0))*150+131+'calcA'!P$5*100000+IF(AND($E19=1,JC19=0),50000,0))+IF($H19=1,INDEX('calcA'!$D$180:$EQ$219,$B19,13)*4000,0)-IF(AND('calcA'!O$117=1,UM19&gt;0),2000,0)-IF(AND($U19=1,'calcA'!P$117=1,DO19=0),2000,0))),1000000000))</f>
        <v/>
      </c>
      <c r="OS19">
        <f>IF($B19=0,1000000000,IF(INDEX('calcA'!$D$60:$EQ$99,$B19,14)*IF($W19=1,DO19+AAD19,DO19)=1,IF(AND($E19=2,IF($W19=1,AFS19,JD19)=0),1000000000,IF($V19=1,INDEX('calcA'!$D$130:$EQ$169,$B19,14)+IF(AND($E19=1,JD19=0),25,0),IF($F19&gt;0,INDEX('calcA'!Q$110:Q$114,$F19+1)+IF(AND($E19=1,JD19=0),1000,0),MIN(TU19,20)*400+(IF('calcA'!P$106=1,1-DN19,0)+IF('calcA'!Q$106=1,1-DP19,0))*150+141+'calcA'!Q$5*100000+IF(AND($E19=1,JD19=0),50000,0))+IF($H19=1,INDEX('calcA'!$D$180:$EQ$219,$B19,14)*4000,0)-IF(AND('calcA'!P$117=1,UN19&gt;0),2000,0)-IF(AND($U19=1,'calcA'!Q$117=1,DP19=0),2000,0))),1000000000))</f>
        <v/>
      </c>
      <c r="OT19">
        <f>IF($B19=0,1000000000,IF(INDEX('calcA'!$D$60:$EQ$99,$B19,15)*IF($W19=1,DP19+AAE19,DP19)=1,IF(AND($E19=2,IF($W19=1,AFT19,JE19)=0),1000000000,IF($V19=1,INDEX('calcA'!$D$130:$EQ$169,$B19,15)+IF(AND($E19=1,JE19=0),25,0),IF($F19&gt;0,INDEX('calcA'!R$110:R$114,$F19+1)+IF(AND($E19=1,JE19=0),1000,0),MIN(TU19,20)*400+(IF('calcA'!Q$106=1,1-DO19,0)+IF('calcA'!R$106=1,1-DQ19,0))*150+151+'calcA'!R$5*100000+IF(AND($E19=1,JE19=0),50000,0))+IF($H19=1,INDEX('calcA'!$D$180:$EQ$219,$B19,15)*4000,0)-IF(AND('calcA'!Q$117=1,UO19&gt;0),2000,0)-IF(AND($U19=1,'calcA'!R$117=1,DQ19=0),2000,0))),1000000000))</f>
        <v/>
      </c>
      <c r="OU19">
        <f>IF($B19=0,1000000000,IF(INDEX('calcA'!$D$60:$EQ$99,$B19,16)*IF($W19=1,DQ19+AAF19,DQ19)=1,IF(AND($E19=2,IF($W19=1,AFU19,JF19)=0),1000000000,IF($V19=1,INDEX('calcA'!$D$130:$EQ$169,$B19,16)+IF(AND($E19=1,JF19=0),25,0),IF($F19&gt;0,INDEX('calcA'!S$110:S$114,$F19+1)+IF(AND($E19=1,JF19=0),1000,0),MIN(TU19,20)*400+(IF('calcA'!R$106=1,1-DP19,0)+IF('calcA'!S$106=1,1-DR19,0))*150+161+'calcA'!S$5*100000+IF(AND($E19=1,JF19=0),50000,0))+IF($H19=1,INDEX('calcA'!$D$180:$EQ$219,$B19,16)*4000,0)-IF(AND('calcA'!R$117=1,UP19&gt;0),2000,0)-IF(AND($U19=1,'calcA'!S$117=1,DR19=0),2000,0))),1000000000))</f>
        <v/>
      </c>
      <c r="OV19">
        <f>IF($B19=0,1000000000,IF(INDEX('calcA'!$D$60:$EQ$99,$B19,17)*IF($W19=1,DR19+AAG19,DR19)=1,IF(AND($E19=2,IF($W19=1,AFV19,JG19)=0),1000000000,IF($V19=1,INDEX('calcA'!$D$130:$EQ$169,$B19,17)+IF(AND($E19=1,JG19=0),25,0),IF($F19&gt;0,INDEX('calcA'!T$110:T$114,$F19+1)+IF(AND($E19=1,JG19=0),1000,0),MIN(TU19,20)*400+(IF('calcA'!S$106=1,1-DQ19,0)+IF('calcA'!T$106=1,1-DS19,0))*150+171+'calcA'!T$5*100000+IF(AND($E19=1,JG19=0),50000,0))+IF($H19=1,INDEX('calcA'!$D$180:$EQ$219,$B19,17)*4000,0)-IF(AND('calcA'!S$117=1,UQ19&gt;0),2000,0)-IF(AND($U19=1,'calcA'!T$117=1,DS19=0),2000,0))),1000000000))</f>
        <v/>
      </c>
      <c r="OW19">
        <f>IF($B19=0,1000000000,IF(INDEX('calcA'!$D$60:$EQ$99,$B19,18)*IF($W19=1,DS19+AAH19,DS19)=1,IF(AND($E19=2,IF($W19=1,AFW19,JH19)=0),1000000000,IF($V19=1,INDEX('calcA'!$D$130:$EQ$169,$B19,18)+IF(AND($E19=1,JH19=0),25,0),IF($F19&gt;0,INDEX('calcA'!U$110:U$114,$F19+1)+IF(AND($E19=1,JH19=0),1000,0),MIN(TU19,20)*400+(IF('calcA'!T$106=1,1-DR19,0)+IF('calcA'!U$106=1,1-DT19,0))*150+181+'calcA'!U$5*100000+IF(AND($E19=1,JH19=0),50000,0))+IF($H19=1,INDEX('calcA'!$D$180:$EQ$219,$B19,18)*4000,0)-IF(AND('calcA'!T$117=1,UR19&gt;0),2000,0)-IF(AND($U19=1,'calcA'!U$117=1,DT19=0),2000,0))),1000000000))</f>
        <v/>
      </c>
      <c r="OX19">
        <f>IF($B19=0,1000000000,IF(INDEX('calcA'!$D$60:$EQ$99,$B19,19)*IF($W19=1,DT19+AAI19,DT19)=1,IF(AND($E19=2,IF($W19=1,AFX19,JI19)=0),1000000000,IF($V19=1,INDEX('calcA'!$D$130:$EQ$169,$B19,19)+IF(AND($E19=1,JI19=0),25,0),IF($F19&gt;0,INDEX('calcA'!V$110:V$114,$F19+1)+IF(AND($E19=1,JI19=0),1000,0),MIN(TU19,20)*400+(IF('calcA'!U$106=1,1-DS19,0)+IF('calcA'!V$106=1,1-DU19,0))*150+191+'calcA'!V$5*100000+IF(AND($E19=1,JI19=0),50000,0))+IF($H19=1,INDEX('calcA'!$D$180:$EQ$219,$B19,19)*4000,0)-IF(AND('calcA'!U$117=1,US19&gt;0),2000,0)-IF(AND($U19=1,'calcA'!V$117=1,DU19=0),2000,0))),1000000000))</f>
        <v/>
      </c>
      <c r="OY19">
        <f>IF($B19=0,1000000000,IF(INDEX('calcA'!$D$60:$EQ$99,$B19,20)*IF($W19=1,DU19+AAJ19,DU19)=1,IF(AND($E19=2,IF($W19=1,AFY19,JJ19)=0),1000000000,IF($V19=1,INDEX('calcA'!$D$130:$EQ$169,$B19,20)+IF(AND($E19=1,JJ19=0),25,0),IF($F19&gt;0,INDEX('calcA'!W$110:W$114,$F19+1)+IF(AND($E19=1,JJ19=0),1000,0),MIN(TU19,20)*400+(IF('calcA'!V$106=1,1-DT19,0)+IF('calcA'!W$106=1,1-DV19,0))*150+201+'calcA'!W$5*100000+IF(AND($E19=1,JJ19=0),50000,0))+IF($H19=1,INDEX('calcA'!$D$180:$EQ$219,$B19,20)*4000,0)-IF(AND('calcA'!V$117=1,UT19&gt;0),2000,0)-IF(AND($U19=1,'calcA'!W$117=1,DV19=0),2000,0))),1000000000))</f>
        <v/>
      </c>
      <c r="OZ19">
        <f>IF($B19=0,1000000000,IF(INDEX('calcA'!$D$60:$EQ$99,$B19,21)*IF($W19=1,DV19+AAK19,DV19)=1,IF(AND($E19=2,IF($W19=1,AFZ19,JK19)=0),1000000000,IF($V19=1,INDEX('calcA'!$D$130:$EQ$169,$B19,21)+IF(AND($E19=1,JK19=0),25,0),IF($F19&gt;0,INDEX('calcA'!X$110:X$114,$F19+1)+IF(AND($E19=1,JK19=0),1000,0),MIN(TU19,20)*400+(IF('calcA'!W$106=1,1-DU19,0)+IF('calcA'!X$106=1,1-DW19,0))*150+211+'calcA'!X$5*100000+IF(AND($E19=1,JK19=0),50000,0))+IF($H19=1,INDEX('calcA'!$D$180:$EQ$219,$B19,21)*4000,0)-IF(AND('calcA'!W$117=1,UU19&gt;0),2000,0)-IF(AND($U19=1,'calcA'!X$117=1,DW19=0),2000,0))),1000000000))</f>
        <v/>
      </c>
      <c r="PA19">
        <f>IF($B19=0,1000000000,IF(INDEX('calcA'!$D$60:$EQ$99,$B19,22)*IF($W19=1,DW19+AAL19,DW19)=1,IF(AND($E19=2,IF($W19=1,AGA19,JL19)=0),1000000000,IF($V19=1,INDEX('calcA'!$D$130:$EQ$169,$B19,22)+IF(AND($E19=1,JL19=0),25,0),IF($F19&gt;0,INDEX('calcA'!Y$110:Y$114,$F19+1)+IF(AND($E19=1,JL19=0),1000,0),MIN(TU19,20)*400+(IF('calcA'!X$106=1,1-DV19,0)+IF('calcA'!Y$106=1,1-DX19,0))*150+221+'calcA'!Y$5*100000+IF(AND($E19=1,JL19=0),50000,0))+IF($H19=1,INDEX('calcA'!$D$180:$EQ$219,$B19,22)*4000,0)-IF(AND('calcA'!X$117=1,UV19&gt;0),2000,0)-IF(AND($U19=1,'calcA'!Y$117=1,DX19=0),2000,0))),1000000000))</f>
        <v/>
      </c>
      <c r="PB19">
        <f>IF($B19=0,1000000000,IF(INDEX('calcA'!$D$60:$EQ$99,$B19,23)*IF($W19=1,DX19+AAM19,DX19)=1,IF(AND($E19=2,IF($W19=1,AGB19,JM19)=0),1000000000,IF($V19=1,INDEX('calcA'!$D$130:$EQ$169,$B19,23)+IF(AND($E19=1,JM19=0),25,0),IF($F19&gt;0,INDEX('calcA'!Z$110:Z$114,$F19+1)+IF(AND($E19=1,JM19=0),1000,0),MIN(TU19,20)*400+(IF('calcA'!Y$106=1,1-DW19,0)+IF('calcA'!Z$106=1,1-DY19,0))*150+231+'calcA'!Z$5*100000+IF(AND($E19=1,JM19=0),50000,0))+IF($H19=1,INDEX('calcA'!$D$180:$EQ$219,$B19,23)*4000,0)-IF(AND('calcA'!Y$117=1,UW19&gt;0),2000,0)-IF(AND($U19=1,'calcA'!Z$117=1,DY19=0),2000,0))),1000000000))</f>
        <v/>
      </c>
      <c r="PC19">
        <f>IF($B19=0,1000000000,IF(INDEX('calcA'!$D$60:$EQ$99,$B19,24)*IF($W19=1,DY19+AAN19,DY19)=1,IF(AND($E19=2,IF($W19=1,AGC19,JN19)=0),1000000000,IF($V19=1,INDEX('calcA'!$D$130:$EQ$169,$B19,24)+IF(AND($E19=1,JN19=0),25,0),IF($F19&gt;0,INDEX('calcA'!AA$110:AA$114,$F19+1)+IF(AND($E19=1,JN19=0),1000,0),MIN(TU19,20)*400+(IF('calcA'!Z$106=1,1-DX19,0))*150+241+'calcA'!AA$5*100000+IF(AND($E19=1,JN19=0),50000,0))+IF($H19=1,INDEX('calcA'!$D$180:$EQ$219,$B19,24)*4000,0)-IF(AND('calcA'!Z$117=1,UX19&gt;0),2000,0))),1000000000))</f>
        <v/>
      </c>
      <c r="PD19">
        <f>IF($B19=0,1000000000,IF(INDEX('calcA'!$D$60:$EQ$99,$B19,25)*IF($W19=1,DZ19+AAO19,DZ19)=1,IF(AND($E19=2,IF($W19=1,AGD19,JO19)=0),1000000000,IF($V19=1,INDEX('calcA'!$D$130:$EQ$169,$B19,25)+IF(AND($E19=1,JO19=0),25,0),IF($F19&gt;0,INDEX('calcA'!AB$110:AB$114,$F19+1)+IF(AND($E19=1,JO19=0),1000,0),MIN(TV19,20)*400+(IF('calcA'!AB$106=1,1-EA19,0))*150+12+'calcA'!AB$5*100000+IF(AND($E19=1,JO19=0),50000,0))+IF($H19=1,INDEX('calcA'!$D$180:$EQ$219,$B19,25)*4000,0)-IF(AND($U19=1,'calcA'!AB$117=1,EA19=0),2000,0))),1000000000))</f>
        <v/>
      </c>
      <c r="PE19">
        <f>IF($B19=0,1000000000,IF(INDEX('calcA'!$D$60:$EQ$99,$B19,26)*IF($W19=1,EA19+AAP19,EA19)=1,IF(AND($E19=2,IF($W19=1,AGE19,JP19)=0),1000000000,IF($V19=1,INDEX('calcA'!$D$130:$EQ$169,$B19,26)+IF(AND($E19=1,JP19=0),25,0),IF($F19&gt;0,INDEX('calcA'!AC$110:AC$114,$F19+1)+IF(AND($E19=1,JP19=0),1000,0),MIN(TV19,20)*400+(IF('calcA'!AB$106=1,1-DZ19,0)+IF('calcA'!AC$106=1,1-EB19,0))*150+22+'calcA'!AC$5*100000+IF(AND($E19=1,JP19=0),50000,0))+IF($H19=1,INDEX('calcA'!$D$180:$EQ$219,$B19,26)*4000,0)-IF(AND('calcA'!AB$117=1,UZ19&gt;0),2000,0)-IF(AND($U19=1,'calcA'!AC$117=1,EB19=0),2000,0))),1000000000))</f>
        <v/>
      </c>
      <c r="PF19">
        <f>IF($B19=0,1000000000,IF(INDEX('calcA'!$D$60:$EQ$99,$B19,27)*IF($W19=1,EB19+AAQ19,EB19)=1,IF(AND($E19=2,IF($W19=1,AGF19,JQ19)=0),1000000000,IF($V19=1,INDEX('calcA'!$D$130:$EQ$169,$B19,27)+IF(AND($E19=1,JQ19=0),25,0),IF($F19&gt;0,INDEX('calcA'!AD$110:AD$114,$F19+1)+IF(AND($E19=1,JQ19=0),1000,0),MIN(TV19,20)*400+(IF('calcA'!AC$106=1,1-EA19,0)+IF('calcA'!AD$106=1,1-EC19,0))*150+32+'calcA'!AD$5*100000+IF(AND($E19=1,JQ19=0),50000,0))+IF($H19=1,INDEX('calcA'!$D$180:$EQ$219,$B19,27)*4000,0)-IF(AND('calcA'!AC$117=1,VA19&gt;0),2000,0)-IF(AND($U19=1,'calcA'!AD$117=1,EC19=0),2000,0))),1000000000))</f>
        <v/>
      </c>
      <c r="PG19">
        <f>IF($B19=0,1000000000,IF(INDEX('calcA'!$D$60:$EQ$99,$B19,28)*IF($W19=1,EC19+AAR19,EC19)=1,IF(AND($E19=2,IF($W19=1,AGG19,JR19)=0),1000000000,IF($V19=1,INDEX('calcA'!$D$130:$EQ$169,$B19,28)+IF(AND($E19=1,JR19=0),25,0),IF($F19&gt;0,INDEX('calcA'!AE$110:AE$114,$F19+1)+IF(AND($E19=1,JR19=0),1000,0),MIN(TV19,20)*400+(IF('calcA'!AD$106=1,1-EB19,0)+IF('calcA'!AE$106=1,1-ED19,0))*150+42+'calcA'!AE$5*100000+IF(AND($E19=1,JR19=0),50000,0))+IF($H19=1,INDEX('calcA'!$D$180:$EQ$219,$B19,28)*4000,0)-IF(AND('calcA'!AD$117=1,VB19&gt;0),2000,0)-IF(AND($U19=1,'calcA'!AE$117=1,ED19=0),2000,0))),1000000000))</f>
        <v/>
      </c>
      <c r="PH19">
        <f>IF($B19=0,1000000000,IF(INDEX('calcA'!$D$60:$EQ$99,$B19,29)*IF($W19=1,ED19+AAS19,ED19)=1,IF(AND($E19=2,IF($W19=1,AGH19,JS19)=0),1000000000,IF($V19=1,INDEX('calcA'!$D$130:$EQ$169,$B19,29)+IF(AND($E19=1,JS19=0),25,0),IF($F19&gt;0,INDEX('calcA'!AF$110:AF$114,$F19+1)+IF(AND($E19=1,JS19=0),1000,0),MIN(TV19,20)*400+(IF('calcA'!AE$106=1,1-EC19,0)+IF('calcA'!AF$106=1,1-EE19,0))*150+52+'calcA'!AF$5*100000+IF(AND($E19=1,JS19=0),50000,0))+IF($H19=1,INDEX('calcA'!$D$180:$EQ$219,$B19,29)*4000,0)-IF(AND('calcA'!AE$117=1,VC19&gt;0),2000,0)-IF(AND($U19=1,'calcA'!AF$117=1,EE19=0),2000,0))),1000000000))</f>
        <v/>
      </c>
      <c r="PI19">
        <f>IF($B19=0,1000000000,IF(INDEX('calcA'!$D$60:$EQ$99,$B19,30)*IF($W19=1,EE19+AAT19,EE19)=1,IF(AND($E19=2,IF($W19=1,AGI19,JT19)=0),1000000000,IF($V19=1,INDEX('calcA'!$D$130:$EQ$169,$B19,30)+IF(AND($E19=1,JT19=0),25,0),IF($F19&gt;0,INDEX('calcA'!AG$110:AG$114,$F19+1)+IF(AND($E19=1,JT19=0),1000,0),MIN(TV19,20)*400+(IF('calcA'!AF$106=1,1-ED19,0)+IF('calcA'!AG$106=1,1-EF19,0))*150+62+'calcA'!AG$5*100000+IF(AND($E19=1,JT19=0),50000,0))+IF($H19=1,INDEX('calcA'!$D$180:$EQ$219,$B19,30)*4000,0)-IF(AND('calcA'!AF$117=1,VD19&gt;0),2000,0)-IF(AND($U19=1,'calcA'!AG$117=1,EF19=0),2000,0))),1000000000))</f>
        <v/>
      </c>
      <c r="PJ19">
        <f>IF($B19=0,1000000000,IF(INDEX('calcA'!$D$60:$EQ$99,$B19,31)*IF($W19=1,EF19+AAU19,EF19)=1,IF(AND($E19=2,IF($W19=1,AGJ19,JU19)=0),1000000000,IF($V19=1,INDEX('calcA'!$D$130:$EQ$169,$B19,31)+IF(AND($E19=1,JU19=0),25,0),IF($F19&gt;0,INDEX('calcA'!AH$110:AH$114,$F19+1)+IF(AND($E19=1,JU19=0),1000,0),MIN(TV19,20)*400+(IF('calcA'!AG$106=1,1-EE19,0)+IF('calcA'!AH$106=1,1-EG19,0))*150+72+'calcA'!AH$5*100000+IF(AND($E19=1,JU19=0),50000,0))+IF($H19=1,INDEX('calcA'!$D$180:$EQ$219,$B19,31)*4000,0)-IF(AND('calcA'!AG$117=1,VE19&gt;0),2000,0)-IF(AND($U19=1,'calcA'!AH$117=1,EG19=0),2000,0))),1000000000))</f>
        <v/>
      </c>
      <c r="PK19">
        <f>IF($B19=0,1000000000,IF(INDEX('calcA'!$D$60:$EQ$99,$B19,32)*IF($W19=1,EG19+AAV19,EG19)=1,IF(AND($E19=2,IF($W19=1,AGK19,JV19)=0),1000000000,IF($V19=1,INDEX('calcA'!$D$130:$EQ$169,$B19,32)+IF(AND($E19=1,JV19=0),25,0),IF($F19&gt;0,INDEX('calcA'!AI$110:AI$114,$F19+1)+IF(AND($E19=1,JV19=0),1000,0),MIN(TV19,20)*400+(IF('calcA'!AH$106=1,1-EF19,0)+IF('calcA'!AI$106=1,1-EH19,0))*150+82+'calcA'!AI$5*100000+IF(AND($E19=1,JV19=0),50000,0))+IF($H19=1,INDEX('calcA'!$D$180:$EQ$219,$B19,32)*4000,0)-IF(AND('calcA'!AH$117=1,VF19&gt;0),2000,0)-IF(AND($U19=1,'calcA'!AI$117=1,EH19=0),2000,0))),1000000000))</f>
        <v/>
      </c>
      <c r="PL19">
        <f>IF($B19=0,1000000000,IF(INDEX('calcA'!$D$60:$EQ$99,$B19,33)*IF($W19=1,EH19+AAW19,EH19)=1,IF(AND($E19=2,IF($W19=1,AGL19,JW19)=0),1000000000,IF($V19=1,INDEX('calcA'!$D$130:$EQ$169,$B19,33)+IF(AND($E19=1,JW19=0),25,0),IF($F19&gt;0,INDEX('calcA'!AJ$110:AJ$114,$F19+1)+IF(AND($E19=1,JW19=0),1000,0),MIN(TV19,20)*400+(IF('calcA'!AI$106=1,1-EG19,0)+IF('calcA'!AJ$106=1,1-EI19,0))*150+92+'calcA'!AJ$5*100000+IF(AND($E19=1,JW19=0),50000,0))+IF($H19=1,INDEX('calcA'!$D$180:$EQ$219,$B19,33)*4000,0)-IF(AND('calcA'!AI$117=1,VG19&gt;0),2000,0)-IF(AND($U19=1,'calcA'!AJ$117=1,EI19=0),2000,0))),1000000000))</f>
        <v/>
      </c>
      <c r="PM19">
        <f>IF($B19=0,1000000000,IF(INDEX('calcA'!$D$60:$EQ$99,$B19,34)*IF($W19=1,EI19+AAX19,EI19)=1,IF(AND($E19=2,IF($W19=1,AGM19,JX19)=0),1000000000,IF($V19=1,INDEX('calcA'!$D$130:$EQ$169,$B19,34)+IF(AND($E19=1,JX19=0),25,0),IF($F19&gt;0,INDEX('calcA'!AK$110:AK$114,$F19+1)+IF(AND($E19=1,JX19=0),1000,0),MIN(TV19,20)*400+(IF('calcA'!AJ$106=1,1-EH19,0)+IF('calcA'!AK$106=1,1-EJ19,0))*150+102+'calcA'!AK$5*100000+IF(AND($E19=1,JX19=0),50000,0))+IF($H19=1,INDEX('calcA'!$D$180:$EQ$219,$B19,34)*4000,0)-IF(AND('calcA'!AJ$117=1,VH19&gt;0),2000,0)-IF(AND($U19=1,'calcA'!AK$117=1,EJ19=0),2000,0))),1000000000))</f>
        <v/>
      </c>
      <c r="PN19">
        <f>IF($B19=0,1000000000,IF(INDEX('calcA'!$D$60:$EQ$99,$B19,35)*IF($W19=1,EJ19+AAY19,EJ19)=1,IF(AND($E19=2,IF($W19=1,AGN19,JY19)=0),1000000000,IF($V19=1,INDEX('calcA'!$D$130:$EQ$169,$B19,35)+IF(AND($E19=1,JY19=0),25,0),IF($F19&gt;0,INDEX('calcA'!AL$110:AL$114,$F19+1)+IF(AND($E19=1,JY19=0),1000,0),MIN(TV19,20)*400+(IF('calcA'!AK$106=1,1-EI19,0)+IF('calcA'!AL$106=1,1-EK19,0))*150+112+'calcA'!AL$5*100000+IF(AND($E19=1,JY19=0),50000,0))+IF($H19=1,INDEX('calcA'!$D$180:$EQ$219,$B19,35)*4000,0)-IF(AND('calcA'!AK$117=1,VI19&gt;0),2000,0)-IF(AND($U19=1,'calcA'!AL$117=1,EK19=0),2000,0))),1000000000))</f>
        <v/>
      </c>
      <c r="PO19">
        <f>IF($B19=0,1000000000,IF(INDEX('calcA'!$D$60:$EQ$99,$B19,36)*IF($W19=1,EK19+AAZ19,EK19)=1,IF(AND($E19=2,IF($W19=1,AGO19,JZ19)=0),1000000000,IF($V19=1,INDEX('calcA'!$D$130:$EQ$169,$B19,36)+IF(AND($E19=1,JZ19=0),25,0),IF($F19&gt;0,INDEX('calcA'!AM$110:AM$114,$F19+1)+IF(AND($E19=1,JZ19=0),1000,0),MIN(TV19,20)*400+(IF('calcA'!AL$106=1,1-EJ19,0)+IF('calcA'!AM$106=1,1-EL19,0))*150+122+'calcA'!AM$5*100000+IF(AND($E19=1,JZ19=0),50000,0))+IF($H19=1,INDEX('calcA'!$D$180:$EQ$219,$B19,36)*4000,0)-IF(AND('calcA'!AL$117=1,VJ19&gt;0),2000,0)-IF(AND($U19=1,'calcA'!AM$117=1,EL19=0),2000,0))),1000000000))</f>
        <v/>
      </c>
      <c r="PP19">
        <f>IF($B19=0,1000000000,IF(INDEX('calcA'!$D$60:$EQ$99,$B19,37)*IF($W19=1,EL19+ABA19,EL19)=1,IF(AND($E19=2,IF($W19=1,AGP19,KA19)=0),1000000000,IF($V19=1,INDEX('calcA'!$D$130:$EQ$169,$B19,37)+IF(AND($E19=1,KA19=0),25,0),IF($F19&gt;0,INDEX('calcA'!AN$110:AN$114,$F19+1)+IF(AND($E19=1,KA19=0),1000,0),MIN(TV19,20)*400+(IF('calcA'!AM$106=1,1-EK19,0)+IF('calcA'!AN$106=1,1-EM19,0))*150+132+'calcA'!AN$5*100000+IF(AND($E19=1,KA19=0),50000,0))+IF($H19=1,INDEX('calcA'!$D$180:$EQ$219,$B19,37)*4000,0)-IF(AND('calcA'!AM$117=1,VK19&gt;0),2000,0)-IF(AND($U19=1,'calcA'!AN$117=1,EM19=0),2000,0))),1000000000))</f>
        <v/>
      </c>
      <c r="PQ19">
        <f>IF($B19=0,1000000000,IF(INDEX('calcA'!$D$60:$EQ$99,$B19,38)*IF($W19=1,EM19+ABB19,EM19)=1,IF(AND($E19=2,IF($W19=1,AGQ19,KB19)=0),1000000000,IF($V19=1,INDEX('calcA'!$D$130:$EQ$169,$B19,38)+IF(AND($E19=1,KB19=0),25,0),IF($F19&gt;0,INDEX('calcA'!AO$110:AO$114,$F19+1)+IF(AND($E19=1,KB19=0),1000,0),MIN(TV19,20)*400+(IF('calcA'!AN$106=1,1-EL19,0)+IF('calcA'!AO$106=1,1-EN19,0))*150+142+'calcA'!AO$5*100000+IF(AND($E19=1,KB19=0),50000,0))+IF($H19=1,INDEX('calcA'!$D$180:$EQ$219,$B19,38)*4000,0)-IF(AND('calcA'!AN$117=1,VL19&gt;0),2000,0)-IF(AND($U19=1,'calcA'!AO$117=1,EN19=0),2000,0))),1000000000))</f>
        <v/>
      </c>
      <c r="PR19">
        <f>IF($B19=0,1000000000,IF(INDEX('calcA'!$D$60:$EQ$99,$B19,39)*IF($W19=1,EN19+ABC19,EN19)=1,IF(AND($E19=2,IF($W19=1,AGR19,KC19)=0),1000000000,IF($V19=1,INDEX('calcA'!$D$130:$EQ$169,$B19,39)+IF(AND($E19=1,KC19=0),25,0),IF($F19&gt;0,INDEX('calcA'!AP$110:AP$114,$F19+1)+IF(AND($E19=1,KC19=0),1000,0),MIN(TV19,20)*400+(IF('calcA'!AO$106=1,1-EM19,0)+IF('calcA'!AP$106=1,1-EO19,0))*150+152+'calcA'!AP$5*100000+IF(AND($E19=1,KC19=0),50000,0))+IF($H19=1,INDEX('calcA'!$D$180:$EQ$219,$B19,39)*4000,0)-IF(AND('calcA'!AO$117=1,VM19&gt;0),2000,0)-IF(AND($U19=1,'calcA'!AP$117=1,EO19=0),2000,0))),1000000000))</f>
        <v/>
      </c>
      <c r="PS19">
        <f>IF($B19=0,1000000000,IF(INDEX('calcA'!$D$60:$EQ$99,$B19,40)*IF($W19=1,EO19+ABD19,EO19)=1,IF(AND($E19=2,IF($W19=1,AGS19,KD19)=0),1000000000,IF($V19=1,INDEX('calcA'!$D$130:$EQ$169,$B19,40)+IF(AND($E19=1,KD19=0),25,0),IF($F19&gt;0,INDEX('calcA'!AQ$110:AQ$114,$F19+1)+IF(AND($E19=1,KD19=0),1000,0),MIN(TV19,20)*400+(IF('calcA'!AP$106=1,1-EN19,0)+IF('calcA'!AQ$106=1,1-EP19,0))*150+162+'calcA'!AQ$5*100000+IF(AND($E19=1,KD19=0),50000,0))+IF($H19=1,INDEX('calcA'!$D$180:$EQ$219,$B19,40)*4000,0)-IF(AND('calcA'!AP$117=1,VN19&gt;0),2000,0)-IF(AND($U19=1,'calcA'!AQ$117=1,EP19=0),2000,0))),1000000000))</f>
        <v/>
      </c>
      <c r="PT19">
        <f>IF($B19=0,1000000000,IF(INDEX('calcA'!$D$60:$EQ$99,$B19,41)*IF($W19=1,EP19+ABE19,EP19)=1,IF(AND($E19=2,IF($W19=1,AGT19,KE19)=0),1000000000,IF($V19=1,INDEX('calcA'!$D$130:$EQ$169,$B19,41)+IF(AND($E19=1,KE19=0),25,0),IF($F19&gt;0,INDEX('calcA'!AR$110:AR$114,$F19+1)+IF(AND($E19=1,KE19=0),1000,0),MIN(TV19,20)*400+(IF('calcA'!AQ$106=1,1-EO19,0)+IF('calcA'!AR$106=1,1-EQ19,0))*150+172+'calcA'!AR$5*100000+IF(AND($E19=1,KE19=0),50000,0))+IF($H19=1,INDEX('calcA'!$D$180:$EQ$219,$B19,41)*4000,0)-IF(AND('calcA'!AQ$117=1,VO19&gt;0),2000,0)-IF(AND($U19=1,'calcA'!AR$117=1,EQ19=0),2000,0))),1000000000))</f>
        <v/>
      </c>
      <c r="PU19">
        <f>IF($B19=0,1000000000,IF(INDEX('calcA'!$D$60:$EQ$99,$B19,42)*IF($W19=1,EQ19+ABF19,EQ19)=1,IF(AND($E19=2,IF($W19=1,AGU19,KF19)=0),1000000000,IF($V19=1,INDEX('calcA'!$D$130:$EQ$169,$B19,42)+IF(AND($E19=1,KF19=0),25,0),IF($F19&gt;0,INDEX('calcA'!AS$110:AS$114,$F19+1)+IF(AND($E19=1,KF19=0),1000,0),MIN(TV19,20)*400+(IF('calcA'!AR$106=1,1-EP19,0)+IF('calcA'!AS$106=1,1-ER19,0))*150+182+'calcA'!AS$5*100000+IF(AND($E19=1,KF19=0),50000,0))+IF($H19=1,INDEX('calcA'!$D$180:$EQ$219,$B19,42)*4000,0)-IF(AND('calcA'!AR$117=1,VP19&gt;0),2000,0)-IF(AND($U19=1,'calcA'!AS$117=1,ER19=0),2000,0))),1000000000))</f>
        <v/>
      </c>
      <c r="PV19">
        <f>IF($B19=0,1000000000,IF(INDEX('calcA'!$D$60:$EQ$99,$B19,43)*IF($W19=1,ER19+ABG19,ER19)=1,IF(AND($E19=2,IF($W19=1,AGV19,KG19)=0),1000000000,IF($V19=1,INDEX('calcA'!$D$130:$EQ$169,$B19,43)+IF(AND($E19=1,KG19=0),25,0),IF($F19&gt;0,INDEX('calcA'!AT$110:AT$114,$F19+1)+IF(AND($E19=1,KG19=0),1000,0),MIN(TV19,20)*400+(IF('calcA'!AS$106=1,1-EQ19,0)+IF('calcA'!AT$106=1,1-ES19,0))*150+192+'calcA'!AT$5*100000+IF(AND($E19=1,KG19=0),50000,0))+IF($H19=1,INDEX('calcA'!$D$180:$EQ$219,$B19,43)*4000,0)-IF(AND('calcA'!AS$117=1,VQ19&gt;0),2000,0)-IF(AND($U19=1,'calcA'!AT$117=1,ES19=0),2000,0))),1000000000))</f>
        <v/>
      </c>
      <c r="PW19">
        <f>IF($B19=0,1000000000,IF(INDEX('calcA'!$D$60:$EQ$99,$B19,44)*IF($W19=1,ES19+ABH19,ES19)=1,IF(AND($E19=2,IF($W19=1,AGW19,KH19)=0),1000000000,IF($V19=1,INDEX('calcA'!$D$130:$EQ$169,$B19,44)+IF(AND($E19=1,KH19=0),25,0),IF($F19&gt;0,INDEX('calcA'!AU$110:AU$114,$F19+1)+IF(AND($E19=1,KH19=0),1000,0),MIN(TV19,20)*400+(IF('calcA'!AT$106=1,1-ER19,0)+IF('calcA'!AU$106=1,1-ET19,0))*150+202+'calcA'!AU$5*100000+IF(AND($E19=1,KH19=0),50000,0))+IF($H19=1,INDEX('calcA'!$D$180:$EQ$219,$B19,44)*4000,0)-IF(AND('calcA'!AT$117=1,VR19&gt;0),2000,0)-IF(AND($U19=1,'calcA'!AU$117=1,ET19=0),2000,0))),1000000000))</f>
        <v/>
      </c>
      <c r="PX19">
        <f>IF($B19=0,1000000000,IF(INDEX('calcA'!$D$60:$EQ$99,$B19,45)*IF($W19=1,ET19+ABI19,ET19)=1,IF(AND($E19=2,IF($W19=1,AGX19,KI19)=0),1000000000,IF($V19=1,INDEX('calcA'!$D$130:$EQ$169,$B19,45)+IF(AND($E19=1,KI19=0),25,0),IF($F19&gt;0,INDEX('calcA'!AV$110:AV$114,$F19+1)+IF(AND($E19=1,KI19=0),1000,0),MIN(TV19,20)*400+(IF('calcA'!AU$106=1,1-ES19,0)+IF('calcA'!AV$106=1,1-EU19,0))*150+212+'calcA'!AV$5*100000+IF(AND($E19=1,KI19=0),50000,0))+IF($H19=1,INDEX('calcA'!$D$180:$EQ$219,$B19,45)*4000,0)-IF(AND('calcA'!AU$117=1,VS19&gt;0),2000,0)-IF(AND($U19=1,'calcA'!AV$117=1,EU19=0),2000,0))),1000000000))</f>
        <v/>
      </c>
      <c r="PY19">
        <f>IF($B19=0,1000000000,IF(INDEX('calcA'!$D$60:$EQ$99,$B19,46)*IF($W19=1,EU19+ABJ19,EU19)=1,IF(AND($E19=2,IF($W19=1,AGY19,KJ19)=0),1000000000,IF($V19=1,INDEX('calcA'!$D$130:$EQ$169,$B19,46)+IF(AND($E19=1,KJ19=0),25,0),IF($F19&gt;0,INDEX('calcA'!AW$110:AW$114,$F19+1)+IF(AND($E19=1,KJ19=0),1000,0),MIN(TV19,20)*400+(IF('calcA'!AV$106=1,1-ET19,0)+IF('calcA'!AW$106=1,1-EV19,0))*150+222+'calcA'!AW$5*100000+IF(AND($E19=1,KJ19=0),50000,0))+IF($H19=1,INDEX('calcA'!$D$180:$EQ$219,$B19,46)*4000,0)-IF(AND('calcA'!AV$117=1,VT19&gt;0),2000,0)-IF(AND($U19=1,'calcA'!AW$117=1,EV19=0),2000,0))),1000000000))</f>
        <v/>
      </c>
      <c r="PZ19">
        <f>IF($B19=0,1000000000,IF(INDEX('calcA'!$D$60:$EQ$99,$B19,47)*IF($W19=1,EV19+ABK19,EV19)=1,IF(AND($E19=2,IF($W19=1,AGZ19,KK19)=0),1000000000,IF($V19=1,INDEX('calcA'!$D$130:$EQ$169,$B19,47)+IF(AND($E19=1,KK19=0),25,0),IF($F19&gt;0,INDEX('calcA'!AX$110:AX$114,$F19+1)+IF(AND($E19=1,KK19=0),1000,0),MIN(TV19,20)*400+(IF('calcA'!AW$106=1,1-EU19,0)+IF('calcA'!AX$106=1,1-EW19,0))*150+232+'calcA'!AX$5*100000+IF(AND($E19=1,KK19=0),50000,0))+IF($H19=1,INDEX('calcA'!$D$180:$EQ$219,$B19,47)*4000,0)-IF(AND('calcA'!AW$117=1,VU19&gt;0),2000,0)-IF(AND($U19=1,'calcA'!AX$117=1,EW19=0),2000,0))),1000000000))</f>
        <v/>
      </c>
      <c r="QA19">
        <f>IF($B19=0,1000000000,IF(INDEX('calcA'!$D$60:$EQ$99,$B19,48)*IF($W19=1,EW19+ABL19,EW19)=1,IF(AND($E19=2,IF($W19=1,AHA19,KL19)=0),1000000000,IF($V19=1,INDEX('calcA'!$D$130:$EQ$169,$B19,48)+IF(AND($E19=1,KL19=0),25,0),IF($F19&gt;0,INDEX('calcA'!AY$110:AY$114,$F19+1)+IF(AND($E19=1,KL19=0),1000,0),MIN(TV19,20)*400+(IF('calcA'!AX$106=1,1-EV19,0))*150+242+'calcA'!AY$5*100000+IF(AND($E19=1,KL19=0),50000,0))+IF($H19=1,INDEX('calcA'!$D$180:$EQ$219,$B19,48)*4000,0)-IF(AND('calcA'!AX$117=1,VV19&gt;0),2000,0))),1000000000))</f>
        <v/>
      </c>
      <c r="QB19">
        <f>IF($B19=0,1000000000,IF(INDEX('calcA'!$D$60:$EQ$99,$B19,49)*IF($W19=1,EX19+ABM19,EX19)=1,IF(AND($E19=2,IF($W19=1,AHB19,KM19)=0),1000000000,IF($V19=1,INDEX('calcA'!$D$130:$EQ$169,$B19,49)+IF(AND($E19=1,KM19=0),25,0),IF($F19&gt;0,INDEX('calcA'!AZ$110:AZ$114,$F19+1)+IF(AND($E19=1,KM19=0),1000,0),MIN(TW19,20)*400+(IF('calcA'!AZ$106=1,1-EY19,0))*150+13+'calcA'!AZ$5*100000+IF(AND($E19=1,KM19=0),50000,0))+IF($H19=1,INDEX('calcA'!$D$180:$EQ$219,$B19,49)*4000,0)-IF(AND($U19=1,'calcA'!AZ$117=1,EY19=0),2000,0))),1000000000))</f>
        <v/>
      </c>
      <c r="QC19">
        <f>IF($B19=0,1000000000,IF(INDEX('calcA'!$D$60:$EQ$99,$B19,50)*IF($W19=1,EY19+ABN19,EY19)=1,IF(AND($E19=2,IF($W19=1,AHC19,KN19)=0),1000000000,IF($V19=1,INDEX('calcA'!$D$130:$EQ$169,$B19,50)+IF(AND($E19=1,KN19=0),25,0),IF($F19&gt;0,INDEX('calcA'!BA$110:BA$114,$F19+1)+IF(AND($E19=1,KN19=0),1000,0),MIN(TW19,20)*400+(IF('calcA'!AZ$106=1,1-EX19,0)+IF('calcA'!BA$106=1,1-EZ19,0))*150+23+'calcA'!BA$5*100000+IF(AND($E19=1,KN19=0),50000,0))+IF($H19=1,INDEX('calcA'!$D$180:$EQ$219,$B19,50)*4000,0)-IF(AND('calcA'!AZ$117=1,VX19&gt;0),2000,0)-IF(AND($U19=1,'calcA'!BA$117=1,EZ19=0),2000,0))),1000000000))</f>
        <v/>
      </c>
      <c r="QD19">
        <f>IF($B19=0,1000000000,IF(INDEX('calcA'!$D$60:$EQ$99,$B19,51)*IF($W19=1,EZ19+ABO19,EZ19)=1,IF(AND($E19=2,IF($W19=1,AHD19,KO19)=0),1000000000,IF($V19=1,INDEX('calcA'!$D$130:$EQ$169,$B19,51)+IF(AND($E19=1,KO19=0),25,0),IF($F19&gt;0,INDEX('calcA'!BB$110:BB$114,$F19+1)+IF(AND($E19=1,KO19=0),1000,0),MIN(TW19,20)*400+(IF('calcA'!BA$106=1,1-EY19,0)+IF('calcA'!BB$106=1,1-FA19,0))*150+33+'calcA'!BB$5*100000+IF(AND($E19=1,KO19=0),50000,0))+IF($H19=1,INDEX('calcA'!$D$180:$EQ$219,$B19,51)*4000,0)-IF(AND('calcA'!BA$117=1,VY19&gt;0),2000,0)-IF(AND($U19=1,'calcA'!BB$117=1,FA19=0),2000,0))),1000000000))</f>
        <v/>
      </c>
      <c r="QE19">
        <f>IF($B19=0,1000000000,IF(INDEX('calcA'!$D$60:$EQ$99,$B19,52)*IF($W19=1,FA19+ABP19,FA19)=1,IF(AND($E19=2,IF($W19=1,AHE19,KP19)=0),1000000000,IF($V19=1,INDEX('calcA'!$D$130:$EQ$169,$B19,52)+IF(AND($E19=1,KP19=0),25,0),IF($F19&gt;0,INDEX('calcA'!BC$110:BC$114,$F19+1)+IF(AND($E19=1,KP19=0),1000,0),MIN(TW19,20)*400+(IF('calcA'!BB$106=1,1-EZ19,0)+IF('calcA'!BC$106=1,1-FB19,0))*150+43+'calcA'!BC$5*100000+IF(AND($E19=1,KP19=0),50000,0))+IF($H19=1,INDEX('calcA'!$D$180:$EQ$219,$B19,52)*4000,0)-IF(AND('calcA'!BB$117=1,VZ19&gt;0),2000,0)-IF(AND($U19=1,'calcA'!BC$117=1,FB19=0),2000,0))),1000000000))</f>
        <v/>
      </c>
      <c r="QF19">
        <f>IF($B19=0,1000000000,IF(INDEX('calcA'!$D$60:$EQ$99,$B19,53)*IF($W19=1,FB19+ABQ19,FB19)=1,IF(AND($E19=2,IF($W19=1,AHF19,KQ19)=0),1000000000,IF($V19=1,INDEX('calcA'!$D$130:$EQ$169,$B19,53)+IF(AND($E19=1,KQ19=0),25,0),IF($F19&gt;0,INDEX('calcA'!BD$110:BD$114,$F19+1)+IF(AND($E19=1,KQ19=0),1000,0),MIN(TW19,20)*400+(IF('calcA'!BC$106=1,1-FA19,0)+IF('calcA'!BD$106=1,1-FC19,0))*150+53+'calcA'!BD$5*100000+IF(AND($E19=1,KQ19=0),50000,0))+IF($H19=1,INDEX('calcA'!$D$180:$EQ$219,$B19,53)*4000,0)-IF(AND('calcA'!BC$117=1,WA19&gt;0),2000,0)-IF(AND($U19=1,'calcA'!BD$117=1,FC19=0),2000,0))),1000000000))</f>
        <v/>
      </c>
      <c r="QG19">
        <f>IF($B19=0,1000000000,IF(INDEX('calcA'!$D$60:$EQ$99,$B19,54)*IF($W19=1,FC19+ABR19,FC19)=1,IF(AND($E19=2,IF($W19=1,AHG19,KR19)=0),1000000000,IF($V19=1,INDEX('calcA'!$D$130:$EQ$169,$B19,54)+IF(AND($E19=1,KR19=0),25,0),IF($F19&gt;0,INDEX('calcA'!BE$110:BE$114,$F19+1)+IF(AND($E19=1,KR19=0),1000,0),MIN(TW19,20)*400+(IF('calcA'!BD$106=1,1-FB19,0)+IF('calcA'!BE$106=1,1-FD19,0))*150+63+'calcA'!BE$5*100000+IF(AND($E19=1,KR19=0),50000,0))+IF($H19=1,INDEX('calcA'!$D$180:$EQ$219,$B19,54)*4000,0)-IF(AND('calcA'!BD$117=1,WB19&gt;0),2000,0)-IF(AND($U19=1,'calcA'!BE$117=1,FD19=0),2000,0))),1000000000))</f>
        <v/>
      </c>
      <c r="QH19">
        <f>IF($B19=0,1000000000,IF(INDEX('calcA'!$D$60:$EQ$99,$B19,55)*IF($W19=1,FD19+ABS19,FD19)=1,IF(AND($E19=2,IF($W19=1,AHH19,KS19)=0),1000000000,IF($V19=1,INDEX('calcA'!$D$130:$EQ$169,$B19,55)+IF(AND($E19=1,KS19=0),25,0),IF($F19&gt;0,INDEX('calcA'!BF$110:BF$114,$F19+1)+IF(AND($E19=1,KS19=0),1000,0),MIN(TW19,20)*400+(IF('calcA'!BE$106=1,1-FC19,0)+IF('calcA'!BF$106=1,1-FE19,0))*150+73+'calcA'!BF$5*100000+IF(AND($E19=1,KS19=0),50000,0))+IF($H19=1,INDEX('calcA'!$D$180:$EQ$219,$B19,55)*4000,0)-IF(AND('calcA'!BE$117=1,WC19&gt;0),2000,0)-IF(AND($U19=1,'calcA'!BF$117=1,FE19=0),2000,0))),1000000000))</f>
        <v/>
      </c>
      <c r="QI19">
        <f>IF($B19=0,1000000000,IF(INDEX('calcA'!$D$60:$EQ$99,$B19,56)*IF($W19=1,FE19+ABT19,FE19)=1,IF(AND($E19=2,IF($W19=1,AHI19,KT19)=0),1000000000,IF($V19=1,INDEX('calcA'!$D$130:$EQ$169,$B19,56)+IF(AND($E19=1,KT19=0),25,0),IF($F19&gt;0,INDEX('calcA'!BG$110:BG$114,$F19+1)+IF(AND($E19=1,KT19=0),1000,0),MIN(TW19,20)*400+(IF('calcA'!BF$106=1,1-FD19,0)+IF('calcA'!BG$106=1,1-FF19,0))*150+83+'calcA'!BG$5*100000+IF(AND($E19=1,KT19=0),50000,0))+IF($H19=1,INDEX('calcA'!$D$180:$EQ$219,$B19,56)*4000,0)-IF(AND('calcA'!BF$117=1,WD19&gt;0),2000,0)-IF(AND($U19=1,'calcA'!BG$117=1,FF19=0),2000,0))),1000000000))</f>
        <v/>
      </c>
      <c r="QJ19">
        <f>IF($B19=0,1000000000,IF(INDEX('calcA'!$D$60:$EQ$99,$B19,57)*IF($W19=1,FF19+ABU19,FF19)=1,IF(AND($E19=2,IF($W19=1,AHJ19,KU19)=0),1000000000,IF($V19=1,INDEX('calcA'!$D$130:$EQ$169,$B19,57)+IF(AND($E19=1,KU19=0),25,0),IF($F19&gt;0,INDEX('calcA'!BH$110:BH$114,$F19+1)+IF(AND($E19=1,KU19=0),1000,0),MIN(TW19,20)*400+(IF('calcA'!BG$106=1,1-FE19,0)+IF('calcA'!BH$106=1,1-FG19,0))*150+93+'calcA'!BH$5*100000+IF(AND($E19=1,KU19=0),50000,0))+IF($H19=1,INDEX('calcA'!$D$180:$EQ$219,$B19,57)*4000,0)-IF(AND('calcA'!BG$117=1,WE19&gt;0),2000,0)-IF(AND($U19=1,'calcA'!BH$117=1,FG19=0),2000,0))),1000000000))</f>
        <v/>
      </c>
      <c r="QK19">
        <f>IF($B19=0,1000000000,IF(INDEX('calcA'!$D$60:$EQ$99,$B19,58)*IF($W19=1,FG19+ABV19,FG19)=1,IF(AND($E19=2,IF($W19=1,AHK19,KV19)=0),1000000000,IF($V19=1,INDEX('calcA'!$D$130:$EQ$169,$B19,58)+IF(AND($E19=1,KV19=0),25,0),IF($F19&gt;0,INDEX('calcA'!BI$110:BI$114,$F19+1)+IF(AND($E19=1,KV19=0),1000,0),MIN(TW19,20)*400+(IF('calcA'!BH$106=1,1-FF19,0)+IF('calcA'!BI$106=1,1-FH19,0))*150+103+'calcA'!BI$5*100000+IF(AND($E19=1,KV19=0),50000,0))+IF($H19=1,INDEX('calcA'!$D$180:$EQ$219,$B19,58)*4000,0)-IF(AND('calcA'!BH$117=1,WF19&gt;0),2000,0)-IF(AND($U19=1,'calcA'!BI$117=1,FH19=0),2000,0))),1000000000))</f>
        <v/>
      </c>
      <c r="QL19">
        <f>IF($B19=0,1000000000,IF(INDEX('calcA'!$D$60:$EQ$99,$B19,59)*IF($W19=1,FH19+ABW19,FH19)=1,IF(AND($E19=2,IF($W19=1,AHL19,KW19)=0),1000000000,IF($V19=1,INDEX('calcA'!$D$130:$EQ$169,$B19,59)+IF(AND($E19=1,KW19=0),25,0),IF($F19&gt;0,INDEX('calcA'!BJ$110:BJ$114,$F19+1)+IF(AND($E19=1,KW19=0),1000,0),MIN(TW19,20)*400+(IF('calcA'!BI$106=1,1-FG19,0)+IF('calcA'!BJ$106=1,1-FI19,0))*150+113+'calcA'!BJ$5*100000+IF(AND($E19=1,KW19=0),50000,0))+IF($H19=1,INDEX('calcA'!$D$180:$EQ$219,$B19,59)*4000,0)-IF(AND('calcA'!BI$117=1,WG19&gt;0),2000,0)-IF(AND($U19=1,'calcA'!BJ$117=1,FI19=0),2000,0))),1000000000))</f>
        <v/>
      </c>
      <c r="QM19">
        <f>IF($B19=0,1000000000,IF(INDEX('calcA'!$D$60:$EQ$99,$B19,60)*IF($W19=1,FI19+ABX19,FI19)=1,IF(AND($E19=2,IF($W19=1,AHM19,KX19)=0),1000000000,IF($V19=1,INDEX('calcA'!$D$130:$EQ$169,$B19,60)+IF(AND($E19=1,KX19=0),25,0),IF($F19&gt;0,INDEX('calcA'!BK$110:BK$114,$F19+1)+IF(AND($E19=1,KX19=0),1000,0),MIN(TW19,20)*400+(IF('calcA'!BJ$106=1,1-FH19,0)+IF('calcA'!BK$106=1,1-FJ19,0))*150+123+'calcA'!BK$5*100000+IF(AND($E19=1,KX19=0),50000,0))+IF($H19=1,INDEX('calcA'!$D$180:$EQ$219,$B19,60)*4000,0)-IF(AND('calcA'!BJ$117=1,WH19&gt;0),2000,0)-IF(AND($U19=1,'calcA'!BK$117=1,FJ19=0),2000,0))),1000000000))</f>
        <v/>
      </c>
      <c r="QN19">
        <f>IF($B19=0,1000000000,IF(INDEX('calcA'!$D$60:$EQ$99,$B19,61)*IF($W19=1,FJ19+ABY19,FJ19)=1,IF(AND($E19=2,IF($W19=1,AHN19,KY19)=0),1000000000,IF($V19=1,INDEX('calcA'!$D$130:$EQ$169,$B19,61)+IF(AND($E19=1,KY19=0),25,0),IF($F19&gt;0,INDEX('calcA'!BL$110:BL$114,$F19+1)+IF(AND($E19=1,KY19=0),1000,0),MIN(TW19,20)*400+(IF('calcA'!BK$106=1,1-FI19,0)+IF('calcA'!BL$106=1,1-FK19,0))*150+133+'calcA'!BL$5*100000+IF(AND($E19=1,KY19=0),50000,0))+IF($H19=1,INDEX('calcA'!$D$180:$EQ$219,$B19,61)*4000,0)-IF(AND('calcA'!BK$117=1,WI19&gt;0),2000,0)-IF(AND($U19=1,'calcA'!BL$117=1,FK19=0),2000,0))),1000000000))</f>
        <v/>
      </c>
      <c r="QO19">
        <f>IF($B19=0,1000000000,IF(INDEX('calcA'!$D$60:$EQ$99,$B19,62)*IF($W19=1,FK19+ABZ19,FK19)=1,IF(AND($E19=2,IF($W19=1,AHO19,KZ19)=0),1000000000,IF($V19=1,INDEX('calcA'!$D$130:$EQ$169,$B19,62)+IF(AND($E19=1,KZ19=0),25,0),IF($F19&gt;0,INDEX('calcA'!BM$110:BM$114,$F19+1)+IF(AND($E19=1,KZ19=0),1000,0),MIN(TW19,20)*400+(IF('calcA'!BL$106=1,1-FJ19,0)+IF('calcA'!BM$106=1,1-FL19,0))*150+143+'calcA'!BM$5*100000+IF(AND($E19=1,KZ19=0),50000,0))+IF($H19=1,INDEX('calcA'!$D$180:$EQ$219,$B19,62)*4000,0)-IF(AND('calcA'!BL$117=1,WJ19&gt;0),2000,0)-IF(AND($U19=1,'calcA'!BM$117=1,FL19=0),2000,0))),1000000000))</f>
        <v/>
      </c>
      <c r="QP19">
        <f>IF($B19=0,1000000000,IF(INDEX('calcA'!$D$60:$EQ$99,$B19,63)*IF($W19=1,FL19+ACA19,FL19)=1,IF(AND($E19=2,IF($W19=1,AHP19,LA19)=0),1000000000,IF($V19=1,INDEX('calcA'!$D$130:$EQ$169,$B19,63)+IF(AND($E19=1,LA19=0),25,0),IF($F19&gt;0,INDEX('calcA'!BN$110:BN$114,$F19+1)+IF(AND($E19=1,LA19=0),1000,0),MIN(TW19,20)*400+(IF('calcA'!BM$106=1,1-FK19,0)+IF('calcA'!BN$106=1,1-FM19,0))*150+153+'calcA'!BN$5*100000+IF(AND($E19=1,LA19=0),50000,0))+IF($H19=1,INDEX('calcA'!$D$180:$EQ$219,$B19,63)*4000,0)-IF(AND('calcA'!BM$117=1,WK19&gt;0),2000,0)-IF(AND($U19=1,'calcA'!BN$117=1,FM19=0),2000,0))),1000000000))</f>
        <v/>
      </c>
      <c r="QQ19">
        <f>IF($B19=0,1000000000,IF(INDEX('calcA'!$D$60:$EQ$99,$B19,64)*IF($W19=1,FM19+ACB19,FM19)=1,IF(AND($E19=2,IF($W19=1,AHQ19,LB19)=0),1000000000,IF($V19=1,INDEX('calcA'!$D$130:$EQ$169,$B19,64)+IF(AND($E19=1,LB19=0),25,0),IF($F19&gt;0,INDEX('calcA'!BO$110:BO$114,$F19+1)+IF(AND($E19=1,LB19=0),1000,0),MIN(TW19,20)*400+(IF('calcA'!BN$106=1,1-FL19,0)+IF('calcA'!BO$106=1,1-FN19,0))*150+163+'calcA'!BO$5*100000+IF(AND($E19=1,LB19=0),50000,0))+IF($H19=1,INDEX('calcA'!$D$180:$EQ$219,$B19,64)*4000,0)-IF(AND('calcA'!BN$117=1,WL19&gt;0),2000,0)-IF(AND($U19=1,'calcA'!BO$117=1,FN19=0),2000,0))),1000000000))</f>
        <v/>
      </c>
      <c r="QR19">
        <f>IF($B19=0,1000000000,IF(INDEX('calcA'!$D$60:$EQ$99,$B19,65)*IF($W19=1,FN19+ACC19,FN19)=1,IF(AND($E19=2,IF($W19=1,AHR19,LC19)=0),1000000000,IF($V19=1,INDEX('calcA'!$D$130:$EQ$169,$B19,65)+IF(AND($E19=1,LC19=0),25,0),IF($F19&gt;0,INDEX('calcA'!BP$110:BP$114,$F19+1)+IF(AND($E19=1,LC19=0),1000,0),MIN(TW19,20)*400+(IF('calcA'!BO$106=1,1-FM19,0)+IF('calcA'!BP$106=1,1-FO19,0))*150+173+'calcA'!BP$5*100000+IF(AND($E19=1,LC19=0),50000,0))+IF($H19=1,INDEX('calcA'!$D$180:$EQ$219,$B19,65)*4000,0)-IF(AND('calcA'!BO$117=1,WM19&gt;0),2000,0)-IF(AND($U19=1,'calcA'!BP$117=1,FO19=0),2000,0))),1000000000))</f>
        <v/>
      </c>
      <c r="QS19">
        <f>IF($B19=0,1000000000,IF(INDEX('calcA'!$D$60:$EQ$99,$B19,66)*IF($W19=1,FO19+ACD19,FO19)=1,IF(AND($E19=2,IF($W19=1,AHS19,LD19)=0),1000000000,IF($V19=1,INDEX('calcA'!$D$130:$EQ$169,$B19,66)+IF(AND($E19=1,LD19=0),25,0),IF($F19&gt;0,INDEX('calcA'!BQ$110:BQ$114,$F19+1)+IF(AND($E19=1,LD19=0),1000,0),MIN(TW19,20)*400+(IF('calcA'!BP$106=1,1-FN19,0)+IF('calcA'!BQ$106=1,1-FP19,0))*150+183+'calcA'!BQ$5*100000+IF(AND($E19=1,LD19=0),50000,0))+IF($H19=1,INDEX('calcA'!$D$180:$EQ$219,$B19,66)*4000,0)-IF(AND('calcA'!BP$117=1,WN19&gt;0),2000,0)-IF(AND($U19=1,'calcA'!BQ$117=1,FP19=0),2000,0))),1000000000))</f>
        <v/>
      </c>
      <c r="QT19">
        <f>IF($B19=0,1000000000,IF(INDEX('calcA'!$D$60:$EQ$99,$B19,67)*IF($W19=1,FP19+ACE19,FP19)=1,IF(AND($E19=2,IF($W19=1,AHT19,LE19)=0),1000000000,IF($V19=1,INDEX('calcA'!$D$130:$EQ$169,$B19,67)+IF(AND($E19=1,LE19=0),25,0),IF($F19&gt;0,INDEX('calcA'!BR$110:BR$114,$F19+1)+IF(AND($E19=1,LE19=0),1000,0),MIN(TW19,20)*400+(IF('calcA'!BQ$106=1,1-FO19,0)+IF('calcA'!BR$106=1,1-FQ19,0))*150+193+'calcA'!BR$5*100000+IF(AND($E19=1,LE19=0),50000,0))+IF($H19=1,INDEX('calcA'!$D$180:$EQ$219,$B19,67)*4000,0)-IF(AND('calcA'!BQ$117=1,WO19&gt;0),2000,0)-IF(AND($U19=1,'calcA'!BR$117=1,FQ19=0),2000,0))),1000000000))</f>
        <v/>
      </c>
      <c r="QU19">
        <f>IF($B19=0,1000000000,IF(INDEX('calcA'!$D$60:$EQ$99,$B19,68)*IF($W19=1,FQ19+ACF19,FQ19)=1,IF(AND($E19=2,IF($W19=1,AHU19,LF19)=0),1000000000,IF($V19=1,INDEX('calcA'!$D$130:$EQ$169,$B19,68)+IF(AND($E19=1,LF19=0),25,0),IF($F19&gt;0,INDEX('calcA'!BS$110:BS$114,$F19+1)+IF(AND($E19=1,LF19=0),1000,0),MIN(TW19,20)*400+(IF('calcA'!BR$106=1,1-FP19,0)+IF('calcA'!BS$106=1,1-FR19,0))*150+203+'calcA'!BS$5*100000+IF(AND($E19=1,LF19=0),50000,0))+IF($H19=1,INDEX('calcA'!$D$180:$EQ$219,$B19,68)*4000,0)-IF(AND('calcA'!BR$117=1,WP19&gt;0),2000,0)-IF(AND($U19=1,'calcA'!BS$117=1,FR19=0),2000,0))),1000000000))</f>
        <v/>
      </c>
      <c r="QV19">
        <f>IF($B19=0,1000000000,IF(INDEX('calcA'!$D$60:$EQ$99,$B19,69)*IF($W19=1,FR19+ACG19,FR19)=1,IF(AND($E19=2,IF($W19=1,AHV19,LG19)=0),1000000000,IF($V19=1,INDEX('calcA'!$D$130:$EQ$169,$B19,69)+IF(AND($E19=1,LG19=0),25,0),IF($F19&gt;0,INDEX('calcA'!BT$110:BT$114,$F19+1)+IF(AND($E19=1,LG19=0),1000,0),MIN(TW19,20)*400+(IF('calcA'!BS$106=1,1-FQ19,0)+IF('calcA'!BT$106=1,1-FS19,0))*150+213+'calcA'!BT$5*100000+IF(AND($E19=1,LG19=0),50000,0))+IF($H19=1,INDEX('calcA'!$D$180:$EQ$219,$B19,69)*4000,0)-IF(AND('calcA'!BS$117=1,WQ19&gt;0),2000,0)-IF(AND($U19=1,'calcA'!BT$117=1,FS19=0),2000,0))),1000000000))</f>
        <v/>
      </c>
      <c r="QW19">
        <f>IF($B19=0,1000000000,IF(INDEX('calcA'!$D$60:$EQ$99,$B19,70)*IF($W19=1,FS19+ACH19,FS19)=1,IF(AND($E19=2,IF($W19=1,AHW19,LH19)=0),1000000000,IF($V19=1,INDEX('calcA'!$D$130:$EQ$169,$B19,70)+IF(AND($E19=1,LH19=0),25,0),IF($F19&gt;0,INDEX('calcA'!BU$110:BU$114,$F19+1)+IF(AND($E19=1,LH19=0),1000,0),MIN(TW19,20)*400+(IF('calcA'!BT$106=1,1-FR19,0)+IF('calcA'!BU$106=1,1-FT19,0))*150+223+'calcA'!BU$5*100000+IF(AND($E19=1,LH19=0),50000,0))+IF($H19=1,INDEX('calcA'!$D$180:$EQ$219,$B19,70)*4000,0)-IF(AND('calcA'!BT$117=1,WR19&gt;0),2000,0)-IF(AND($U19=1,'calcA'!BU$117=1,FT19=0),2000,0))),1000000000))</f>
        <v/>
      </c>
      <c r="QX19">
        <f>IF($B19=0,1000000000,IF(INDEX('calcA'!$D$60:$EQ$99,$B19,71)*IF($W19=1,FT19+ACI19,FT19)=1,IF(AND($E19=2,IF($W19=1,AHX19,LI19)=0),1000000000,IF($V19=1,INDEX('calcA'!$D$130:$EQ$169,$B19,71)+IF(AND($E19=1,LI19=0),25,0),IF($F19&gt;0,INDEX('calcA'!BV$110:BV$114,$F19+1)+IF(AND($E19=1,LI19=0),1000,0),MIN(TW19,20)*400+(IF('calcA'!BU$106=1,1-FS19,0)+IF('calcA'!BV$106=1,1-FU19,0))*150+233+'calcA'!BV$5*100000+IF(AND($E19=1,LI19=0),50000,0))+IF($H19=1,INDEX('calcA'!$D$180:$EQ$219,$B19,71)*4000,0)-IF(AND('calcA'!BU$117=1,WS19&gt;0),2000,0)-IF(AND($U19=1,'calcA'!BV$117=1,FU19=0),2000,0))),1000000000))</f>
        <v/>
      </c>
      <c r="QY19">
        <f>IF($B19=0,1000000000,IF(INDEX('calcA'!$D$60:$EQ$99,$B19,72)*IF($W19=1,FU19+ACJ19,FU19)=1,IF(AND($E19=2,IF($W19=1,AHY19,LJ19)=0),1000000000,IF($V19=1,INDEX('calcA'!$D$130:$EQ$169,$B19,72)+IF(AND($E19=1,LJ19=0),25,0),IF($F19&gt;0,INDEX('calcA'!BW$110:BW$114,$F19+1)+IF(AND($E19=1,LJ19=0),1000,0),MIN(TW19,20)*400+(IF('calcA'!BV$106=1,1-FT19,0))*150+243+'calcA'!BW$5*100000+IF(AND($E19=1,LJ19=0),50000,0))+IF($H19=1,INDEX('calcA'!$D$180:$EQ$219,$B19,72)*4000,0)-IF(AND('calcA'!BV$117=1,WT19&gt;0),2000,0))),1000000000))</f>
        <v/>
      </c>
      <c r="QZ19">
        <f>IF($B19=0,1000000000,IF(INDEX('calcA'!$D$60:$EQ$99,$B19,73)*IF($W19=1,FV19+ACK19,FV19)=1,IF(AND($E19=2,IF($W19=1,AHZ19,LK19)=0),1000000000,IF($V19=1,INDEX('calcA'!$D$130:$EQ$169,$B19,73)+IF(AND($E19=1,LK19=0),25,0),IF($F19&gt;0,INDEX('calcA'!BX$110:BX$114,$F19+1)+IF(AND($E19=1,LK19=0),1000,0),MIN(TX19,20)*400+(IF('calcA'!BX$106=1,1-FW19,0))*150+14+'calcA'!BX$5*100000+IF(AND($E19=1,LK19=0),50000,0))+IF($H19=1,INDEX('calcA'!$D$180:$EQ$219,$B19,73)*4000,0)-IF(AND($U19=1,'calcA'!BX$117=1,FW19=0),2000,0))),1000000000))</f>
        <v/>
      </c>
      <c r="RA19">
        <f>IF($B19=0,1000000000,IF(INDEX('calcA'!$D$60:$EQ$99,$B19,74)*IF($W19=1,FW19+ACL19,FW19)=1,IF(AND($E19=2,IF($W19=1,AIA19,LL19)=0),1000000000,IF($V19=1,INDEX('calcA'!$D$130:$EQ$169,$B19,74)+IF(AND($E19=1,LL19=0),25,0),IF($F19&gt;0,INDEX('calcA'!BY$110:BY$114,$F19+1)+IF(AND($E19=1,LL19=0),1000,0),MIN(TX19,20)*400+(IF('calcA'!BX$106=1,1-FV19,0)+IF('calcA'!BY$106=1,1-FX19,0))*150+24+'calcA'!BY$5*100000+IF(AND($E19=1,LL19=0),50000,0))+IF($H19=1,INDEX('calcA'!$D$180:$EQ$219,$B19,74)*4000,0)-IF(AND('calcA'!BX$117=1,WV19&gt;0),2000,0)-IF(AND($U19=1,'calcA'!BY$117=1,FX19=0),2000,0))),1000000000))</f>
        <v/>
      </c>
      <c r="RB19">
        <f>IF($B19=0,1000000000,IF(INDEX('calcA'!$D$60:$EQ$99,$B19,75)*IF($W19=1,FX19+ACM19,FX19)=1,IF(AND($E19=2,IF($W19=1,AIB19,LM19)=0),1000000000,IF($V19=1,INDEX('calcA'!$D$130:$EQ$169,$B19,75)+IF(AND($E19=1,LM19=0),25,0),IF($F19&gt;0,INDEX('calcA'!BZ$110:BZ$114,$F19+1)+IF(AND($E19=1,LM19=0),1000,0),MIN(TX19,20)*400+(IF('calcA'!BY$106=1,1-FW19,0)+IF('calcA'!BZ$106=1,1-FY19,0))*150+34+'calcA'!BZ$5*100000+IF(AND($E19=1,LM19=0),50000,0))+IF($H19=1,INDEX('calcA'!$D$180:$EQ$219,$B19,75)*4000,0)-IF(AND('calcA'!BY$117=1,WW19&gt;0),2000,0)-IF(AND($U19=1,'calcA'!BZ$117=1,FY19=0),2000,0))),1000000000))</f>
        <v/>
      </c>
      <c r="RC19">
        <f>IF($B19=0,1000000000,IF(INDEX('calcA'!$D$60:$EQ$99,$B19,76)*IF($W19=1,FY19+ACN19,FY19)=1,IF(AND($E19=2,IF($W19=1,AIC19,LN19)=0),1000000000,IF($V19=1,INDEX('calcA'!$D$130:$EQ$169,$B19,76)+IF(AND($E19=1,LN19=0),25,0),IF($F19&gt;0,INDEX('calcA'!CA$110:CA$114,$F19+1)+IF(AND($E19=1,LN19=0),1000,0),MIN(TX19,20)*400+(IF('calcA'!BZ$106=1,1-FX19,0)+IF('calcA'!CA$106=1,1-FZ19,0))*150+44+'calcA'!CA$5*100000+IF(AND($E19=1,LN19=0),50000,0))+IF($H19=1,INDEX('calcA'!$D$180:$EQ$219,$B19,76)*4000,0)-IF(AND('calcA'!BZ$117=1,WX19&gt;0),2000,0)-IF(AND($U19=1,'calcA'!CA$117=1,FZ19=0),2000,0))),1000000000))</f>
        <v/>
      </c>
      <c r="RD19">
        <f>IF($B19=0,1000000000,IF(INDEX('calcA'!$D$60:$EQ$99,$B19,77)*IF($W19=1,FZ19+ACO19,FZ19)=1,IF(AND($E19=2,IF($W19=1,AID19,LO19)=0),1000000000,IF($V19=1,INDEX('calcA'!$D$130:$EQ$169,$B19,77)+IF(AND($E19=1,LO19=0),25,0),IF($F19&gt;0,INDEX('calcA'!CB$110:CB$114,$F19+1)+IF(AND($E19=1,LO19=0),1000,0),MIN(TX19,20)*400+(IF('calcA'!CA$106=1,1-FY19,0)+IF('calcA'!CB$106=1,1-GA19,0))*150+54+'calcA'!CB$5*100000+IF(AND($E19=1,LO19=0),50000,0))+IF($H19=1,INDEX('calcA'!$D$180:$EQ$219,$B19,77)*4000,0)-IF(AND('calcA'!CA$117=1,WY19&gt;0),2000,0)-IF(AND($U19=1,'calcA'!CB$117=1,GA19=0),2000,0))),1000000000))</f>
        <v/>
      </c>
      <c r="RE19">
        <f>IF($B19=0,1000000000,IF(INDEX('calcA'!$D$60:$EQ$99,$B19,78)*IF($W19=1,GA19+ACP19,GA19)=1,IF(AND($E19=2,IF($W19=1,AIE19,LP19)=0),1000000000,IF($V19=1,INDEX('calcA'!$D$130:$EQ$169,$B19,78)+IF(AND($E19=1,LP19=0),25,0),IF($F19&gt;0,INDEX('calcA'!CC$110:CC$114,$F19+1)+IF(AND($E19=1,LP19=0),1000,0),MIN(TX19,20)*400+(IF('calcA'!CB$106=1,1-FZ19,0)+IF('calcA'!CC$106=1,1-GB19,0))*150+64+'calcA'!CC$5*100000+IF(AND($E19=1,LP19=0),50000,0))+IF($H19=1,INDEX('calcA'!$D$180:$EQ$219,$B19,78)*4000,0)-IF(AND('calcA'!CB$117=1,WZ19&gt;0),2000,0)-IF(AND($U19=1,'calcA'!CC$117=1,GB19=0),2000,0))),1000000000))</f>
        <v/>
      </c>
      <c r="RF19">
        <f>IF($B19=0,1000000000,IF(INDEX('calcA'!$D$60:$EQ$99,$B19,79)*IF($W19=1,GB19+ACQ19,GB19)=1,IF(AND($E19=2,IF($W19=1,AIF19,LQ19)=0),1000000000,IF($V19=1,INDEX('calcA'!$D$130:$EQ$169,$B19,79)+IF(AND($E19=1,LQ19=0),25,0),IF($F19&gt;0,INDEX('calcA'!CD$110:CD$114,$F19+1)+IF(AND($E19=1,LQ19=0),1000,0),MIN(TX19,20)*400+(IF('calcA'!CC$106=1,1-GA19,0)+IF('calcA'!CD$106=1,1-GC19,0))*150+74+'calcA'!CD$5*100000+IF(AND($E19=1,LQ19=0),50000,0))+IF($H19=1,INDEX('calcA'!$D$180:$EQ$219,$B19,79)*4000,0)-IF(AND('calcA'!CC$117=1,XA19&gt;0),2000,0)-IF(AND($U19=1,'calcA'!CD$117=1,GC19=0),2000,0))),1000000000))</f>
        <v/>
      </c>
      <c r="RG19">
        <f>IF($B19=0,1000000000,IF(INDEX('calcA'!$D$60:$EQ$99,$B19,80)*IF($W19=1,GC19+ACR19,GC19)=1,IF(AND($E19=2,IF($W19=1,AIG19,LR19)=0),1000000000,IF($V19=1,INDEX('calcA'!$D$130:$EQ$169,$B19,80)+IF(AND($E19=1,LR19=0),25,0),IF($F19&gt;0,INDEX('calcA'!CE$110:CE$114,$F19+1)+IF(AND($E19=1,LR19=0),1000,0),MIN(TX19,20)*400+(IF('calcA'!CD$106=1,1-GB19,0)+IF('calcA'!CE$106=1,1-GD19,0))*150+84+'calcA'!CE$5*100000+IF(AND($E19=1,LR19=0),50000,0))+IF($H19=1,INDEX('calcA'!$D$180:$EQ$219,$B19,80)*4000,0)-IF(AND('calcA'!CD$117=1,XB19&gt;0),2000,0)-IF(AND($U19=1,'calcA'!CE$117=1,GD19=0),2000,0))),1000000000))</f>
        <v/>
      </c>
      <c r="RH19">
        <f>IF($B19=0,1000000000,IF(INDEX('calcA'!$D$60:$EQ$99,$B19,81)*IF($W19=1,GD19+ACS19,GD19)=1,IF(AND($E19=2,IF($W19=1,AIH19,LS19)=0),1000000000,IF($V19=1,INDEX('calcA'!$D$130:$EQ$169,$B19,81)+IF(AND($E19=1,LS19=0),25,0),IF($F19&gt;0,INDEX('calcA'!CF$110:CF$114,$F19+1)+IF(AND($E19=1,LS19=0),1000,0),MIN(TX19,20)*400+(IF('calcA'!CE$106=1,1-GC19,0)+IF('calcA'!CF$106=1,1-GE19,0))*150+94+'calcA'!CF$5*100000+IF(AND($E19=1,LS19=0),50000,0))+IF($H19=1,INDEX('calcA'!$D$180:$EQ$219,$B19,81)*4000,0)-IF(AND('calcA'!CE$117=1,XC19&gt;0),2000,0)-IF(AND($U19=1,'calcA'!CF$117=1,GE19=0),2000,0))),1000000000))</f>
        <v/>
      </c>
      <c r="RI19">
        <f>IF($B19=0,1000000000,IF(INDEX('calcA'!$D$60:$EQ$99,$B19,82)*IF($W19=1,GE19+ACT19,GE19)=1,IF(AND($E19=2,IF($W19=1,AII19,LT19)=0),1000000000,IF($V19=1,INDEX('calcA'!$D$130:$EQ$169,$B19,82)+IF(AND($E19=1,LT19=0),25,0),IF($F19&gt;0,INDEX('calcA'!CG$110:CG$114,$F19+1)+IF(AND($E19=1,LT19=0),1000,0),MIN(TX19,20)*400+(IF('calcA'!CF$106=1,1-GD19,0)+IF('calcA'!CG$106=1,1-GF19,0))*150+104+'calcA'!CG$5*100000+IF(AND($E19=1,LT19=0),50000,0))+IF($H19=1,INDEX('calcA'!$D$180:$EQ$219,$B19,82)*4000,0)-IF(AND('calcA'!CF$117=1,XD19&gt;0),2000,0)-IF(AND($U19=1,'calcA'!CG$117=1,GF19=0),2000,0))),1000000000))</f>
        <v/>
      </c>
      <c r="RJ19">
        <f>IF($B19=0,1000000000,IF(INDEX('calcA'!$D$60:$EQ$99,$B19,83)*IF($W19=1,GF19+ACU19,GF19)=1,IF(AND($E19=2,IF($W19=1,AIJ19,LU19)=0),1000000000,IF($V19=1,INDEX('calcA'!$D$130:$EQ$169,$B19,83)+IF(AND($E19=1,LU19=0),25,0),IF($F19&gt;0,INDEX('calcA'!CH$110:CH$114,$F19+1)+IF(AND($E19=1,LU19=0),1000,0),MIN(TX19,20)*400+(IF('calcA'!CG$106=1,1-GE19,0)+IF('calcA'!CH$106=1,1-GG19,0))*150+114+'calcA'!CH$5*100000+IF(AND($E19=1,LU19=0),50000,0))+IF($H19=1,INDEX('calcA'!$D$180:$EQ$219,$B19,83)*4000,0)-IF(AND('calcA'!CG$117=1,XE19&gt;0),2000,0)-IF(AND($U19=1,'calcA'!CH$117=1,GG19=0),2000,0))),1000000000))</f>
        <v/>
      </c>
      <c r="RK19">
        <f>IF($B19=0,1000000000,IF(INDEX('calcA'!$D$60:$EQ$99,$B19,84)*IF($W19=1,GG19+ACV19,GG19)=1,IF(AND($E19=2,IF($W19=1,AIK19,LV19)=0),1000000000,IF($V19=1,INDEX('calcA'!$D$130:$EQ$169,$B19,84)+IF(AND($E19=1,LV19=0),25,0),IF($F19&gt;0,INDEX('calcA'!CI$110:CI$114,$F19+1)+IF(AND($E19=1,LV19=0),1000,0),MIN(TX19,20)*400+(IF('calcA'!CH$106=1,1-GF19,0)+IF('calcA'!CI$106=1,1-GH19,0))*150+124+'calcA'!CI$5*100000+IF(AND($E19=1,LV19=0),50000,0))+IF($H19=1,INDEX('calcA'!$D$180:$EQ$219,$B19,84)*4000,0)-IF(AND('calcA'!CH$117=1,XF19&gt;0),2000,0)-IF(AND($U19=1,'calcA'!CI$117=1,GH19=0),2000,0))),1000000000))</f>
        <v/>
      </c>
      <c r="RL19">
        <f>IF($B19=0,1000000000,IF(INDEX('calcA'!$D$60:$EQ$99,$B19,85)*IF($W19=1,GH19+ACW19,GH19)=1,IF(AND($E19=2,IF($W19=1,AIL19,LW19)=0),1000000000,IF($V19=1,INDEX('calcA'!$D$130:$EQ$169,$B19,85)+IF(AND($E19=1,LW19=0),25,0),IF($F19&gt;0,INDEX('calcA'!CJ$110:CJ$114,$F19+1)+IF(AND($E19=1,LW19=0),1000,0),MIN(TX19,20)*400+(IF('calcA'!CI$106=1,1-GG19,0)+IF('calcA'!CJ$106=1,1-GI19,0))*150+134+'calcA'!CJ$5*100000+IF(AND($E19=1,LW19=0),50000,0))+IF($H19=1,INDEX('calcA'!$D$180:$EQ$219,$B19,85)*4000,0)-IF(AND('calcA'!CI$117=1,XG19&gt;0),2000,0)-IF(AND($U19=1,'calcA'!CJ$117=1,GI19=0),2000,0))),1000000000))</f>
        <v/>
      </c>
      <c r="RM19">
        <f>IF($B19=0,1000000000,IF(INDEX('calcA'!$D$60:$EQ$99,$B19,86)*IF($W19=1,GI19+ACX19,GI19)=1,IF(AND($E19=2,IF($W19=1,AIM19,LX19)=0),1000000000,IF($V19=1,INDEX('calcA'!$D$130:$EQ$169,$B19,86)+IF(AND($E19=1,LX19=0),25,0),IF($F19&gt;0,INDEX('calcA'!CK$110:CK$114,$F19+1)+IF(AND($E19=1,LX19=0),1000,0),MIN(TX19,20)*400+(IF('calcA'!CJ$106=1,1-GH19,0)+IF('calcA'!CK$106=1,1-GJ19,0))*150+144+'calcA'!CK$5*100000+IF(AND($E19=1,LX19=0),50000,0))+IF($H19=1,INDEX('calcA'!$D$180:$EQ$219,$B19,86)*4000,0)-IF(AND('calcA'!CJ$117=1,XH19&gt;0),2000,0)-IF(AND($U19=1,'calcA'!CK$117=1,GJ19=0),2000,0))),1000000000))</f>
        <v/>
      </c>
      <c r="RN19">
        <f>IF($B19=0,1000000000,IF(INDEX('calcA'!$D$60:$EQ$99,$B19,87)*IF($W19=1,GJ19+ACY19,GJ19)=1,IF(AND($E19=2,IF($W19=1,AIN19,LY19)=0),1000000000,IF($V19=1,INDEX('calcA'!$D$130:$EQ$169,$B19,87)+IF(AND($E19=1,LY19=0),25,0),IF($F19&gt;0,INDEX('calcA'!CL$110:CL$114,$F19+1)+IF(AND($E19=1,LY19=0),1000,0),MIN(TX19,20)*400+(IF('calcA'!CK$106=1,1-GI19,0)+IF('calcA'!CL$106=1,1-GK19,0))*150+154+'calcA'!CL$5*100000+IF(AND($E19=1,LY19=0),50000,0))+IF($H19=1,INDEX('calcA'!$D$180:$EQ$219,$B19,87)*4000,0)-IF(AND('calcA'!CK$117=1,XI19&gt;0),2000,0)-IF(AND($U19=1,'calcA'!CL$117=1,GK19=0),2000,0))),1000000000))</f>
        <v/>
      </c>
      <c r="RO19">
        <f>IF($B19=0,1000000000,IF(INDEX('calcA'!$D$60:$EQ$99,$B19,88)*IF($W19=1,GK19+ACZ19,GK19)=1,IF(AND($E19=2,IF($W19=1,AIO19,LZ19)=0),1000000000,IF($V19=1,INDEX('calcA'!$D$130:$EQ$169,$B19,88)+IF(AND($E19=1,LZ19=0),25,0),IF($F19&gt;0,INDEX('calcA'!CM$110:CM$114,$F19+1)+IF(AND($E19=1,LZ19=0),1000,0),MIN(TX19,20)*400+(IF('calcA'!CL$106=1,1-GJ19,0)+IF('calcA'!CM$106=1,1-GL19,0))*150+164+'calcA'!CM$5*100000+IF(AND($E19=1,LZ19=0),50000,0))+IF($H19=1,INDEX('calcA'!$D$180:$EQ$219,$B19,88)*4000,0)-IF(AND('calcA'!CL$117=1,XJ19&gt;0),2000,0)-IF(AND($U19=1,'calcA'!CM$117=1,GL19=0),2000,0))),1000000000))</f>
        <v/>
      </c>
      <c r="RP19">
        <f>IF($B19=0,1000000000,IF(INDEX('calcA'!$D$60:$EQ$99,$B19,89)*IF($W19=1,GL19+ADA19,GL19)=1,IF(AND($E19=2,IF($W19=1,AIP19,MA19)=0),1000000000,IF($V19=1,INDEX('calcA'!$D$130:$EQ$169,$B19,89)+IF(AND($E19=1,MA19=0),25,0),IF($F19&gt;0,INDEX('calcA'!CN$110:CN$114,$F19+1)+IF(AND($E19=1,MA19=0),1000,0),MIN(TX19,20)*400+(IF('calcA'!CM$106=1,1-GK19,0)+IF('calcA'!CN$106=1,1-GM19,0))*150+174+'calcA'!CN$5*100000+IF(AND($E19=1,MA19=0),50000,0))+IF($H19=1,INDEX('calcA'!$D$180:$EQ$219,$B19,89)*4000,0)-IF(AND('calcA'!CM$117=1,XK19&gt;0),2000,0)-IF(AND($U19=1,'calcA'!CN$117=1,GM19=0),2000,0))),1000000000))</f>
        <v/>
      </c>
      <c r="RQ19">
        <f>IF($B19=0,1000000000,IF(INDEX('calcA'!$D$60:$EQ$99,$B19,90)*IF($W19=1,GM19+ADB19,GM19)=1,IF(AND($E19=2,IF($W19=1,AIQ19,MB19)=0),1000000000,IF($V19=1,INDEX('calcA'!$D$130:$EQ$169,$B19,90)+IF(AND($E19=1,MB19=0),25,0),IF($F19&gt;0,INDEX('calcA'!CO$110:CO$114,$F19+1)+IF(AND($E19=1,MB19=0),1000,0),MIN(TX19,20)*400+(IF('calcA'!CN$106=1,1-GL19,0)+IF('calcA'!CO$106=1,1-GN19,0))*150+184+'calcA'!CO$5*100000+IF(AND($E19=1,MB19=0),50000,0))+IF($H19=1,INDEX('calcA'!$D$180:$EQ$219,$B19,90)*4000,0)-IF(AND('calcA'!CN$117=1,XL19&gt;0),2000,0)-IF(AND($U19=1,'calcA'!CO$117=1,GN19=0),2000,0))),1000000000))</f>
        <v/>
      </c>
      <c r="RR19">
        <f>IF($B19=0,1000000000,IF(INDEX('calcA'!$D$60:$EQ$99,$B19,91)*IF($W19=1,GN19+ADC19,GN19)=1,IF(AND($E19=2,IF($W19=1,AIR19,MC19)=0),1000000000,IF($V19=1,INDEX('calcA'!$D$130:$EQ$169,$B19,91)+IF(AND($E19=1,MC19=0),25,0),IF($F19&gt;0,INDEX('calcA'!CP$110:CP$114,$F19+1)+IF(AND($E19=1,MC19=0),1000,0),MIN(TX19,20)*400+(IF('calcA'!CO$106=1,1-GM19,0)+IF('calcA'!CP$106=1,1-GO19,0))*150+194+'calcA'!CP$5*100000+IF(AND($E19=1,MC19=0),50000,0))+IF($H19=1,INDEX('calcA'!$D$180:$EQ$219,$B19,91)*4000,0)-IF(AND('calcA'!CO$117=1,XM19&gt;0),2000,0)-IF(AND($U19=1,'calcA'!CP$117=1,GO19=0),2000,0))),1000000000))</f>
        <v/>
      </c>
      <c r="RS19">
        <f>IF($B19=0,1000000000,IF(INDEX('calcA'!$D$60:$EQ$99,$B19,92)*IF($W19=1,GO19+ADD19,GO19)=1,IF(AND($E19=2,IF($W19=1,AIS19,MD19)=0),1000000000,IF($V19=1,INDEX('calcA'!$D$130:$EQ$169,$B19,92)+IF(AND($E19=1,MD19=0),25,0),IF($F19&gt;0,INDEX('calcA'!CQ$110:CQ$114,$F19+1)+IF(AND($E19=1,MD19=0),1000,0),MIN(TX19,20)*400+(IF('calcA'!CP$106=1,1-GN19,0)+IF('calcA'!CQ$106=1,1-GP19,0))*150+204+'calcA'!CQ$5*100000+IF(AND($E19=1,MD19=0),50000,0))+IF($H19=1,INDEX('calcA'!$D$180:$EQ$219,$B19,92)*4000,0)-IF(AND('calcA'!CP$117=1,XN19&gt;0),2000,0)-IF(AND($U19=1,'calcA'!CQ$117=1,GP19=0),2000,0))),1000000000))</f>
        <v/>
      </c>
      <c r="RT19">
        <f>IF($B19=0,1000000000,IF(INDEX('calcA'!$D$60:$EQ$99,$B19,93)*IF($W19=1,GP19+ADE19,GP19)=1,IF(AND($E19=2,IF($W19=1,AIT19,ME19)=0),1000000000,IF($V19=1,INDEX('calcA'!$D$130:$EQ$169,$B19,93)+IF(AND($E19=1,ME19=0),25,0),IF($F19&gt;0,INDEX('calcA'!CR$110:CR$114,$F19+1)+IF(AND($E19=1,ME19=0),1000,0),MIN(TX19,20)*400+(IF('calcA'!CQ$106=1,1-GO19,0)+IF('calcA'!CR$106=1,1-GQ19,0))*150+214+'calcA'!CR$5*100000+IF(AND($E19=1,ME19=0),50000,0))+IF($H19=1,INDEX('calcA'!$D$180:$EQ$219,$B19,93)*4000,0)-IF(AND('calcA'!CQ$117=1,XO19&gt;0),2000,0)-IF(AND($U19=1,'calcA'!CR$117=1,GQ19=0),2000,0))),1000000000))</f>
        <v/>
      </c>
      <c r="RU19">
        <f>IF($B19=0,1000000000,IF(INDEX('calcA'!$D$60:$EQ$99,$B19,94)*IF($W19=1,GQ19+ADF19,GQ19)=1,IF(AND($E19=2,IF($W19=1,AIU19,MF19)=0),1000000000,IF($V19=1,INDEX('calcA'!$D$130:$EQ$169,$B19,94)+IF(AND($E19=1,MF19=0),25,0),IF($F19&gt;0,INDEX('calcA'!CS$110:CS$114,$F19+1)+IF(AND($E19=1,MF19=0),1000,0),MIN(TX19,20)*400+(IF('calcA'!CR$106=1,1-GP19,0)+IF('calcA'!CS$106=1,1-GR19,0))*150+224+'calcA'!CS$5*100000+IF(AND($E19=1,MF19=0),50000,0))+IF($H19=1,INDEX('calcA'!$D$180:$EQ$219,$B19,94)*4000,0)-IF(AND('calcA'!CR$117=1,XP19&gt;0),2000,0)-IF(AND($U19=1,'calcA'!CS$117=1,GR19=0),2000,0))),1000000000))</f>
        <v/>
      </c>
      <c r="RV19">
        <f>IF($B19=0,1000000000,IF(INDEX('calcA'!$D$60:$EQ$99,$B19,95)*IF($W19=1,GR19+ADG19,GR19)=1,IF(AND($E19=2,IF($W19=1,AIV19,MG19)=0),1000000000,IF($V19=1,INDEX('calcA'!$D$130:$EQ$169,$B19,95)+IF(AND($E19=1,MG19=0),25,0),IF($F19&gt;0,INDEX('calcA'!CT$110:CT$114,$F19+1)+IF(AND($E19=1,MG19=0),1000,0),MIN(TX19,20)*400+(IF('calcA'!CS$106=1,1-GQ19,0)+IF('calcA'!CT$106=1,1-GS19,0))*150+234+'calcA'!CT$5*100000+IF(AND($E19=1,MG19=0),50000,0))+IF($H19=1,INDEX('calcA'!$D$180:$EQ$219,$B19,95)*4000,0)-IF(AND('calcA'!CS$117=1,XQ19&gt;0),2000,0)-IF(AND($U19=1,'calcA'!CT$117=1,GS19=0),2000,0))),1000000000))</f>
        <v/>
      </c>
      <c r="RW19">
        <f>IF($B19=0,1000000000,IF(INDEX('calcA'!$D$60:$EQ$99,$B19,96)*IF($W19=1,GS19+ADH19,GS19)=1,IF(AND($E19=2,IF($W19=1,AIW19,MH19)=0),1000000000,IF($V19=1,INDEX('calcA'!$D$130:$EQ$169,$B19,96)+IF(AND($E19=1,MH19=0),25,0),IF($F19&gt;0,INDEX('calcA'!CU$110:CU$114,$F19+1)+IF(AND($E19=1,MH19=0),1000,0),MIN(TX19,20)*400+(IF('calcA'!CT$106=1,1-GR19,0))*150+244+'calcA'!CU$5*100000+IF(AND($E19=1,MH19=0),50000,0))+IF($H19=1,INDEX('calcA'!$D$180:$EQ$219,$B19,96)*4000,0)-IF(AND('calcA'!CT$117=1,XR19&gt;0),2000,0))),1000000000))</f>
        <v/>
      </c>
      <c r="RX19">
        <f>IF($B19=0,1000000000,IF(INDEX('calcA'!$D$60:$EQ$99,$B19,97)*IF($W19=1,GT19+ADI19,GT19)=1,IF(AND($E19=2,IF($W19=1,AIX19,MI19)=0),1000000000,IF($V19=1,INDEX('calcA'!$D$130:$EQ$169,$B19,97)+IF(AND($E19=1,MI19=0),25,0),IF($F19&gt;0,INDEX('calcA'!CV$110:CV$114,$F19+1)+IF(AND($E19=1,MI19=0),1000,0),MIN(TY19,20)*400+(IF('calcA'!CV$106=1,1-GU19,0))*150+15+'calcA'!CV$5*100000+IF(AND($E19=1,MI19=0),50000,0))+IF($H19=1,INDEX('calcA'!$D$180:$EQ$219,$B19,97)*4000,0)-IF(AND($U19=1,'calcA'!CV$117=1,GU19=0),2000,0))),1000000000))</f>
        <v/>
      </c>
      <c r="RY19">
        <f>IF($B19=0,1000000000,IF(INDEX('calcA'!$D$60:$EQ$99,$B19,98)*IF($W19=1,GU19+ADJ19,GU19)=1,IF(AND($E19=2,IF($W19=1,AIY19,MJ19)=0),1000000000,IF($V19=1,INDEX('calcA'!$D$130:$EQ$169,$B19,98)+IF(AND($E19=1,MJ19=0),25,0),IF($F19&gt;0,INDEX('calcA'!CW$110:CW$114,$F19+1)+IF(AND($E19=1,MJ19=0),1000,0),MIN(TY19,20)*400+(IF('calcA'!CV$106=1,1-GT19,0)+IF('calcA'!CW$106=1,1-GV19,0))*150+25+'calcA'!CW$5*100000+IF(AND($E19=1,MJ19=0),50000,0))+IF($H19=1,INDEX('calcA'!$D$180:$EQ$219,$B19,98)*4000,0)-IF(AND('calcA'!CV$117=1,XT19&gt;0),2000,0)-IF(AND($U19=1,'calcA'!CW$117=1,GV19=0),2000,0))),1000000000))</f>
        <v/>
      </c>
      <c r="RZ19">
        <f>IF($B19=0,1000000000,IF(INDEX('calcA'!$D$60:$EQ$99,$B19,99)*IF($W19=1,GV19+ADK19,GV19)=1,IF(AND($E19=2,IF($W19=1,AIZ19,MK19)=0),1000000000,IF($V19=1,INDEX('calcA'!$D$130:$EQ$169,$B19,99)+IF(AND($E19=1,MK19=0),25,0),IF($F19&gt;0,INDEX('calcA'!CX$110:CX$114,$F19+1)+IF(AND($E19=1,MK19=0),1000,0),MIN(TY19,20)*400+(IF('calcA'!CW$106=1,1-GU19,0)+IF('calcA'!CX$106=1,1-GW19,0))*150+35+'calcA'!CX$5*100000+IF(AND($E19=1,MK19=0),50000,0))+IF($H19=1,INDEX('calcA'!$D$180:$EQ$219,$B19,99)*4000,0)-IF(AND('calcA'!CW$117=1,XU19&gt;0),2000,0)-IF(AND($U19=1,'calcA'!CX$117=1,GW19=0),2000,0))),1000000000))</f>
        <v/>
      </c>
      <c r="SA19">
        <f>IF($B19=0,1000000000,IF(INDEX('calcA'!$D$60:$EQ$99,$B19,100)*IF($W19=1,GW19+ADL19,GW19)=1,IF(AND($E19=2,IF($W19=1,AJA19,ML19)=0),1000000000,IF($V19=1,INDEX('calcA'!$D$130:$EQ$169,$B19,100)+IF(AND($E19=1,ML19=0),25,0),IF($F19&gt;0,INDEX('calcA'!CY$110:CY$114,$F19+1)+IF(AND($E19=1,ML19=0),1000,0),MIN(TY19,20)*400+(IF('calcA'!CX$106=1,1-GV19,0)+IF('calcA'!CY$106=1,1-GX19,0))*150+45+'calcA'!CY$5*100000+IF(AND($E19=1,ML19=0),50000,0))+IF($H19=1,INDEX('calcA'!$D$180:$EQ$219,$B19,100)*4000,0)-IF(AND('calcA'!CX$117=1,XV19&gt;0),2000,0)-IF(AND($U19=1,'calcA'!CY$117=1,GX19=0),2000,0))),1000000000))</f>
        <v/>
      </c>
      <c r="SB19">
        <f>IF($B19=0,1000000000,IF(INDEX('calcA'!$D$60:$EQ$99,$B19,101)*IF($W19=1,GX19+ADM19,GX19)=1,IF(AND($E19=2,IF($W19=1,AJB19,MM19)=0),1000000000,IF($V19=1,INDEX('calcA'!$D$130:$EQ$169,$B19,101)+IF(AND($E19=1,MM19=0),25,0),IF($F19&gt;0,INDEX('calcA'!CZ$110:CZ$114,$F19+1)+IF(AND($E19=1,MM19=0),1000,0),MIN(TY19,20)*400+(IF('calcA'!CY$106=1,1-GW19,0)+IF('calcA'!CZ$106=1,1-GY19,0))*150+55+'calcA'!CZ$5*100000+IF(AND($E19=1,MM19=0),50000,0))+IF($H19=1,INDEX('calcA'!$D$180:$EQ$219,$B19,101)*4000,0)-IF(AND('calcA'!CY$117=1,XW19&gt;0),2000,0)-IF(AND($U19=1,'calcA'!CZ$117=1,GY19=0),2000,0))),1000000000))</f>
        <v/>
      </c>
      <c r="SC19">
        <f>IF($B19=0,1000000000,IF(INDEX('calcA'!$D$60:$EQ$99,$B19,102)*IF($W19=1,GY19+ADN19,GY19)=1,IF(AND($E19=2,IF($W19=1,AJC19,MN19)=0),1000000000,IF($V19=1,INDEX('calcA'!$D$130:$EQ$169,$B19,102)+IF(AND($E19=1,MN19=0),25,0),IF($F19&gt;0,INDEX('calcA'!DA$110:DA$114,$F19+1)+IF(AND($E19=1,MN19=0),1000,0),MIN(TY19,20)*400+(IF('calcA'!CZ$106=1,1-GX19,0)+IF('calcA'!DA$106=1,1-GZ19,0))*150+65+'calcA'!DA$5*100000+IF(AND($E19=1,MN19=0),50000,0))+IF($H19=1,INDEX('calcA'!$D$180:$EQ$219,$B19,102)*4000,0)-IF(AND('calcA'!CZ$117=1,XX19&gt;0),2000,0)-IF(AND($U19=1,'calcA'!DA$117=1,GZ19=0),2000,0))),1000000000))</f>
        <v/>
      </c>
      <c r="SD19">
        <f>IF($B19=0,1000000000,IF(INDEX('calcA'!$D$60:$EQ$99,$B19,103)*IF($W19=1,GZ19+ADO19,GZ19)=1,IF(AND($E19=2,IF($W19=1,AJD19,MO19)=0),1000000000,IF($V19=1,INDEX('calcA'!$D$130:$EQ$169,$B19,103)+IF(AND($E19=1,MO19=0),25,0),IF($F19&gt;0,INDEX('calcA'!DB$110:DB$114,$F19+1)+IF(AND($E19=1,MO19=0),1000,0),MIN(TY19,20)*400+(IF('calcA'!DA$106=1,1-GY19,0)+IF('calcA'!DB$106=1,1-HA19,0))*150+75+'calcA'!DB$5*100000+IF(AND($E19=1,MO19=0),50000,0))+IF($H19=1,INDEX('calcA'!$D$180:$EQ$219,$B19,103)*4000,0)-IF(AND('calcA'!DA$117=1,XY19&gt;0),2000,0)-IF(AND($U19=1,'calcA'!DB$117=1,HA19=0),2000,0))),1000000000))</f>
        <v/>
      </c>
      <c r="SE19">
        <f>IF($B19=0,1000000000,IF(INDEX('calcA'!$D$60:$EQ$99,$B19,104)*IF($W19=1,HA19+ADP19,HA19)=1,IF(AND($E19=2,IF($W19=1,AJE19,MP19)=0),1000000000,IF($V19=1,INDEX('calcA'!$D$130:$EQ$169,$B19,104)+IF(AND($E19=1,MP19=0),25,0),IF($F19&gt;0,INDEX('calcA'!DC$110:DC$114,$F19+1)+IF(AND($E19=1,MP19=0),1000,0),MIN(TY19,20)*400+(IF('calcA'!DB$106=1,1-GZ19,0)+IF('calcA'!DC$106=1,1-HB19,0))*150+85+'calcA'!DC$5*100000+IF(AND($E19=1,MP19=0),50000,0))+IF($H19=1,INDEX('calcA'!$D$180:$EQ$219,$B19,104)*4000,0)-IF(AND('calcA'!DB$117=1,XZ19&gt;0),2000,0)-IF(AND($U19=1,'calcA'!DC$117=1,HB19=0),2000,0))),1000000000))</f>
        <v/>
      </c>
      <c r="SF19">
        <f>IF($B19=0,1000000000,IF(INDEX('calcA'!$D$60:$EQ$99,$B19,105)*IF($W19=1,HB19+ADQ19,HB19)=1,IF(AND($E19=2,IF($W19=1,AJF19,MQ19)=0),1000000000,IF($V19=1,INDEX('calcA'!$D$130:$EQ$169,$B19,105)+IF(AND($E19=1,MQ19=0),25,0),IF($F19&gt;0,INDEX('calcA'!DD$110:DD$114,$F19+1)+IF(AND($E19=1,MQ19=0),1000,0),MIN(TY19,20)*400+(IF('calcA'!DC$106=1,1-HA19,0)+IF('calcA'!DD$106=1,1-HC19,0))*150+95+'calcA'!DD$5*100000+IF(AND($E19=1,MQ19=0),50000,0))+IF($H19=1,INDEX('calcA'!$D$180:$EQ$219,$B19,105)*4000,0)-IF(AND('calcA'!DC$117=1,YA19&gt;0),2000,0)-IF(AND($U19=1,'calcA'!DD$117=1,HC19=0),2000,0))),1000000000))</f>
        <v/>
      </c>
      <c r="SG19">
        <f>IF($B19=0,1000000000,IF(INDEX('calcA'!$D$60:$EQ$99,$B19,106)*IF($W19=1,HC19+ADR19,HC19)=1,IF(AND($E19=2,IF($W19=1,AJG19,MR19)=0),1000000000,IF($V19=1,INDEX('calcA'!$D$130:$EQ$169,$B19,106)+IF(AND($E19=1,MR19=0),25,0),IF($F19&gt;0,INDEX('calcA'!DE$110:DE$114,$F19+1)+IF(AND($E19=1,MR19=0),1000,0),MIN(TY19,20)*400+(IF('calcA'!DD$106=1,1-HB19,0)+IF('calcA'!DE$106=1,1-HD19,0))*150+105+'calcA'!DE$5*100000+IF(AND($E19=1,MR19=0),50000,0))+IF($H19=1,INDEX('calcA'!$D$180:$EQ$219,$B19,106)*4000,0)-IF(AND('calcA'!DD$117=1,YB19&gt;0),2000,0)-IF(AND($U19=1,'calcA'!DE$117=1,HD19=0),2000,0))),1000000000))</f>
        <v/>
      </c>
      <c r="SH19">
        <f>IF($B19=0,1000000000,IF(INDEX('calcA'!$D$60:$EQ$99,$B19,107)*IF($W19=1,HD19+ADS19,HD19)=1,IF(AND($E19=2,IF($W19=1,AJH19,MS19)=0),1000000000,IF($V19=1,INDEX('calcA'!$D$130:$EQ$169,$B19,107)+IF(AND($E19=1,MS19=0),25,0),IF($F19&gt;0,INDEX('calcA'!DF$110:DF$114,$F19+1)+IF(AND($E19=1,MS19=0),1000,0),MIN(TY19,20)*400+(IF('calcA'!DE$106=1,1-HC19,0)+IF('calcA'!DF$106=1,1-HE19,0))*150+115+'calcA'!DF$5*100000+IF(AND($E19=1,MS19=0),50000,0))+IF($H19=1,INDEX('calcA'!$D$180:$EQ$219,$B19,107)*4000,0)-IF(AND('calcA'!DE$117=1,YC19&gt;0),2000,0)-IF(AND($U19=1,'calcA'!DF$117=1,HE19=0),2000,0))),1000000000))</f>
        <v/>
      </c>
      <c r="SI19">
        <f>IF($B19=0,1000000000,IF(INDEX('calcA'!$D$60:$EQ$99,$B19,108)*IF($W19=1,HE19+ADT19,HE19)=1,IF(AND($E19=2,IF($W19=1,AJI19,MT19)=0),1000000000,IF($V19=1,INDEX('calcA'!$D$130:$EQ$169,$B19,108)+IF(AND($E19=1,MT19=0),25,0),IF($F19&gt;0,INDEX('calcA'!DG$110:DG$114,$F19+1)+IF(AND($E19=1,MT19=0),1000,0),MIN(TY19,20)*400+(IF('calcA'!DF$106=1,1-HD19,0)+IF('calcA'!DG$106=1,1-HF19,0))*150+125+'calcA'!DG$5*100000+IF(AND($E19=1,MT19=0),50000,0))+IF($H19=1,INDEX('calcA'!$D$180:$EQ$219,$B19,108)*4000,0)-IF(AND('calcA'!DF$117=1,YD19&gt;0),2000,0)-IF(AND($U19=1,'calcA'!DG$117=1,HF19=0),2000,0))),1000000000))</f>
        <v/>
      </c>
      <c r="SJ19">
        <f>IF($B19=0,1000000000,IF(INDEX('calcA'!$D$60:$EQ$99,$B19,109)*IF($W19=1,HF19+ADU19,HF19)=1,IF(AND($E19=2,IF($W19=1,AJJ19,MU19)=0),1000000000,IF($V19=1,INDEX('calcA'!$D$130:$EQ$169,$B19,109)+IF(AND($E19=1,MU19=0),25,0),IF($F19&gt;0,INDEX('calcA'!DH$110:DH$114,$F19+1)+IF(AND($E19=1,MU19=0),1000,0),MIN(TY19,20)*400+(IF('calcA'!DG$106=1,1-HE19,0)+IF('calcA'!DH$106=1,1-HG19,0))*150+135+'calcA'!DH$5*100000+IF(AND($E19=1,MU19=0),50000,0))+IF($H19=1,INDEX('calcA'!$D$180:$EQ$219,$B19,109)*4000,0)-IF(AND('calcA'!DG$117=1,YE19&gt;0),2000,0)-IF(AND($U19=1,'calcA'!DH$117=1,HG19=0),2000,0))),1000000000))</f>
        <v/>
      </c>
      <c r="SK19">
        <f>IF($B19=0,1000000000,IF(INDEX('calcA'!$D$60:$EQ$99,$B19,110)*IF($W19=1,HG19+ADV19,HG19)=1,IF(AND($E19=2,IF($W19=1,AJK19,MV19)=0),1000000000,IF($V19=1,INDEX('calcA'!$D$130:$EQ$169,$B19,110)+IF(AND($E19=1,MV19=0),25,0),IF($F19&gt;0,INDEX('calcA'!DI$110:DI$114,$F19+1)+IF(AND($E19=1,MV19=0),1000,0),MIN(TY19,20)*400+(IF('calcA'!DH$106=1,1-HF19,0)+IF('calcA'!DI$106=1,1-HH19,0))*150+145+'calcA'!DI$5*100000+IF(AND($E19=1,MV19=0),50000,0))+IF($H19=1,INDEX('calcA'!$D$180:$EQ$219,$B19,110)*4000,0)-IF(AND('calcA'!DH$117=1,YF19&gt;0),2000,0)-IF(AND($U19=1,'calcA'!DI$117=1,HH19=0),2000,0))),1000000000))</f>
        <v/>
      </c>
      <c r="SL19">
        <f>IF($B19=0,1000000000,IF(INDEX('calcA'!$D$60:$EQ$99,$B19,111)*IF($W19=1,HH19+ADW19,HH19)=1,IF(AND($E19=2,IF($W19=1,AJL19,MW19)=0),1000000000,IF($V19=1,INDEX('calcA'!$D$130:$EQ$169,$B19,111)+IF(AND($E19=1,MW19=0),25,0),IF($F19&gt;0,INDEX('calcA'!DJ$110:DJ$114,$F19+1)+IF(AND($E19=1,MW19=0),1000,0),MIN(TY19,20)*400+(IF('calcA'!DI$106=1,1-HG19,0)+IF('calcA'!DJ$106=1,1-HI19,0))*150+155+'calcA'!DJ$5*100000+IF(AND($E19=1,MW19=0),50000,0))+IF($H19=1,INDEX('calcA'!$D$180:$EQ$219,$B19,111)*4000,0)-IF(AND('calcA'!DI$117=1,YG19&gt;0),2000,0)-IF(AND($U19=1,'calcA'!DJ$117=1,HI19=0),2000,0))),1000000000))</f>
        <v/>
      </c>
      <c r="SM19">
        <f>IF($B19=0,1000000000,IF(INDEX('calcA'!$D$60:$EQ$99,$B19,112)*IF($W19=1,HI19+ADX19,HI19)=1,IF(AND($E19=2,IF($W19=1,AJM19,MX19)=0),1000000000,IF($V19=1,INDEX('calcA'!$D$130:$EQ$169,$B19,112)+IF(AND($E19=1,MX19=0),25,0),IF($F19&gt;0,INDEX('calcA'!DK$110:DK$114,$F19+1)+IF(AND($E19=1,MX19=0),1000,0),MIN(TY19,20)*400+(IF('calcA'!DJ$106=1,1-HH19,0)+IF('calcA'!DK$106=1,1-HJ19,0))*150+165+'calcA'!DK$5*100000+IF(AND($E19=1,MX19=0),50000,0))+IF($H19=1,INDEX('calcA'!$D$180:$EQ$219,$B19,112)*4000,0)-IF(AND('calcA'!DJ$117=1,YH19&gt;0),2000,0)-IF(AND($U19=1,'calcA'!DK$117=1,HJ19=0),2000,0))),1000000000))</f>
        <v/>
      </c>
      <c r="SN19">
        <f>IF($B19=0,1000000000,IF(INDEX('calcA'!$D$60:$EQ$99,$B19,113)*IF($W19=1,HJ19+ADY19,HJ19)=1,IF(AND($E19=2,IF($W19=1,AJN19,MY19)=0),1000000000,IF($V19=1,INDEX('calcA'!$D$130:$EQ$169,$B19,113)+IF(AND($E19=1,MY19=0),25,0),IF($F19&gt;0,INDEX('calcA'!DL$110:DL$114,$F19+1)+IF(AND($E19=1,MY19=0),1000,0),MIN(TY19,20)*400+(IF('calcA'!DK$106=1,1-HI19,0)+IF('calcA'!DL$106=1,1-HK19,0))*150+175+'calcA'!DL$5*100000+IF(AND($E19=1,MY19=0),50000,0))+IF($H19=1,INDEX('calcA'!$D$180:$EQ$219,$B19,113)*4000,0)-IF(AND('calcA'!DK$117=1,YI19&gt;0),2000,0)-IF(AND($U19=1,'calcA'!DL$117=1,HK19=0),2000,0))),1000000000))</f>
        <v/>
      </c>
      <c r="SO19">
        <f>IF($B19=0,1000000000,IF(INDEX('calcA'!$D$60:$EQ$99,$B19,114)*IF($W19=1,HK19+ADZ19,HK19)=1,IF(AND($E19=2,IF($W19=1,AJO19,MZ19)=0),1000000000,IF($V19=1,INDEX('calcA'!$D$130:$EQ$169,$B19,114)+IF(AND($E19=1,MZ19=0),25,0),IF($F19&gt;0,INDEX('calcA'!DM$110:DM$114,$F19+1)+IF(AND($E19=1,MZ19=0),1000,0),MIN(TY19,20)*400+(IF('calcA'!DL$106=1,1-HJ19,0)+IF('calcA'!DM$106=1,1-HL19,0))*150+185+'calcA'!DM$5*100000+IF(AND($E19=1,MZ19=0),50000,0))+IF($H19=1,INDEX('calcA'!$D$180:$EQ$219,$B19,114)*4000,0)-IF(AND('calcA'!DL$117=1,YJ19&gt;0),2000,0)-IF(AND($U19=1,'calcA'!DM$117=1,HL19=0),2000,0))),1000000000))</f>
        <v/>
      </c>
      <c r="SP19">
        <f>IF($B19=0,1000000000,IF(INDEX('calcA'!$D$60:$EQ$99,$B19,115)*IF($W19=1,HL19+AEA19,HL19)=1,IF(AND($E19=2,IF($W19=1,AJP19,NA19)=0),1000000000,IF($V19=1,INDEX('calcA'!$D$130:$EQ$169,$B19,115)+IF(AND($E19=1,NA19=0),25,0),IF($F19&gt;0,INDEX('calcA'!DN$110:DN$114,$F19+1)+IF(AND($E19=1,NA19=0),1000,0),MIN(TY19,20)*400+(IF('calcA'!DM$106=1,1-HK19,0)+IF('calcA'!DN$106=1,1-HM19,0))*150+195+'calcA'!DN$5*100000+IF(AND($E19=1,NA19=0),50000,0))+IF($H19=1,INDEX('calcA'!$D$180:$EQ$219,$B19,115)*4000,0)-IF(AND('calcA'!DM$117=1,YK19&gt;0),2000,0)-IF(AND($U19=1,'calcA'!DN$117=1,HM19=0),2000,0))),1000000000))</f>
        <v/>
      </c>
      <c r="SQ19">
        <f>IF($B19=0,1000000000,IF(INDEX('calcA'!$D$60:$EQ$99,$B19,116)*IF($W19=1,HM19+AEB19,HM19)=1,IF(AND($E19=2,IF($W19=1,AJQ19,NB19)=0),1000000000,IF($V19=1,INDEX('calcA'!$D$130:$EQ$169,$B19,116)+IF(AND($E19=1,NB19=0),25,0),IF($F19&gt;0,INDEX('calcA'!DO$110:DO$114,$F19+1)+IF(AND($E19=1,NB19=0),1000,0),MIN(TY19,20)*400+(IF('calcA'!DN$106=1,1-HL19,0)+IF('calcA'!DO$106=1,1-HN19,0))*150+205+'calcA'!DO$5*100000+IF(AND($E19=1,NB19=0),50000,0))+IF($H19=1,INDEX('calcA'!$D$180:$EQ$219,$B19,116)*4000,0)-IF(AND('calcA'!DN$117=1,YL19&gt;0),2000,0)-IF(AND($U19=1,'calcA'!DO$117=1,HN19=0),2000,0))),1000000000))</f>
        <v/>
      </c>
      <c r="SR19">
        <f>IF($B19=0,1000000000,IF(INDEX('calcA'!$D$60:$EQ$99,$B19,117)*IF($W19=1,HN19+AEC19,HN19)=1,IF(AND($E19=2,IF($W19=1,AJR19,NC19)=0),1000000000,IF($V19=1,INDEX('calcA'!$D$130:$EQ$169,$B19,117)+IF(AND($E19=1,NC19=0),25,0),IF($F19&gt;0,INDEX('calcA'!DP$110:DP$114,$F19+1)+IF(AND($E19=1,NC19=0),1000,0),MIN(TY19,20)*400+(IF('calcA'!DO$106=1,1-HM19,0)+IF('calcA'!DP$106=1,1-HO19,0))*150+215+'calcA'!DP$5*100000+IF(AND($E19=1,NC19=0),50000,0))+IF($H19=1,INDEX('calcA'!$D$180:$EQ$219,$B19,117)*4000,0)-IF(AND('calcA'!DO$117=1,YM19&gt;0),2000,0)-IF(AND($U19=1,'calcA'!DP$117=1,HO19=0),2000,0))),1000000000))</f>
        <v/>
      </c>
      <c r="SS19">
        <f>IF($B19=0,1000000000,IF(INDEX('calcA'!$D$60:$EQ$99,$B19,118)*IF($W19=1,HO19+AED19,HO19)=1,IF(AND($E19=2,IF($W19=1,AJS19,ND19)=0),1000000000,IF($V19=1,INDEX('calcA'!$D$130:$EQ$169,$B19,118)+IF(AND($E19=1,ND19=0),25,0),IF($F19&gt;0,INDEX('calcA'!DQ$110:DQ$114,$F19+1)+IF(AND($E19=1,ND19=0),1000,0),MIN(TY19,20)*400+(IF('calcA'!DP$106=1,1-HN19,0)+IF('calcA'!DQ$106=1,1-HP19,0))*150+225+'calcA'!DQ$5*100000+IF(AND($E19=1,ND19=0),50000,0))+IF($H19=1,INDEX('calcA'!$D$180:$EQ$219,$B19,118)*4000,0)-IF(AND('calcA'!DP$117=1,YN19&gt;0),2000,0)-IF(AND($U19=1,'calcA'!DQ$117=1,HP19=0),2000,0))),1000000000))</f>
        <v/>
      </c>
      <c r="ST19">
        <f>IF($B19=0,1000000000,IF(INDEX('calcA'!$D$60:$EQ$99,$B19,119)*IF($W19=1,HP19+AEE19,HP19)=1,IF(AND($E19=2,IF($W19=1,AJT19,NE19)=0),1000000000,IF($V19=1,INDEX('calcA'!$D$130:$EQ$169,$B19,119)+IF(AND($E19=1,NE19=0),25,0),IF($F19&gt;0,INDEX('calcA'!DR$110:DR$114,$F19+1)+IF(AND($E19=1,NE19=0),1000,0),MIN(TY19,20)*400+(IF('calcA'!DQ$106=1,1-HO19,0)+IF('calcA'!DR$106=1,1-HQ19,0))*150+235+'calcA'!DR$5*100000+IF(AND($E19=1,NE19=0),50000,0))+IF($H19=1,INDEX('calcA'!$D$180:$EQ$219,$B19,119)*4000,0)-IF(AND('calcA'!DQ$117=1,YO19&gt;0),2000,0)-IF(AND($U19=1,'calcA'!DR$117=1,HQ19=0),2000,0))),1000000000))</f>
        <v/>
      </c>
      <c r="SU19">
        <f>IF($B19=0,1000000000,IF(INDEX('calcA'!$D$60:$EQ$99,$B19,120)*IF($W19=1,HQ19+AEF19,HQ19)=1,IF(AND($E19=2,IF($W19=1,AJU19,NF19)=0),1000000000,IF($V19=1,INDEX('calcA'!$D$130:$EQ$169,$B19,120)+IF(AND($E19=1,NF19=0),25,0),IF($F19&gt;0,INDEX('calcA'!DS$110:DS$114,$F19+1)+IF(AND($E19=1,NF19=0),1000,0),MIN(TY19,20)*400+(IF('calcA'!DR$106=1,1-HP19,0))*150+245+'calcA'!DS$5*100000+IF(AND($E19=1,NF19=0),50000,0))+IF($H19=1,INDEX('calcA'!$D$180:$EQ$219,$B19,120)*4000,0)-IF(AND('calcA'!DR$117=1,YP19&gt;0),2000,0))),1000000000))</f>
        <v/>
      </c>
      <c r="SV19">
        <f>IF($B19=0,1000000000,IF(INDEX('calcA'!$D$60:$EQ$99,$B19,121)*IF($W19=1,HR19+AEG19,HR19)=1,IF(AND($E19=2,IF($W19=1,AJV19,NG19)=0),1000000000,IF($V19=1,INDEX('calcA'!$D$130:$EQ$169,$B19,121)+IF(AND($E19=1,NG19=0),25,0),IF($F19&gt;0,INDEX('calcA'!DT$110:DT$114,$F19+1)+IF(AND($E19=1,NG19=0),1000,0),MIN(TZ19,20)*400+(IF('calcA'!DT$106=1,1-HS19,0))*150+16+'calcA'!DT$5*100000+IF(AND($E19=1,NG19=0),50000,0))+IF($H19=1,INDEX('calcA'!$D$180:$EQ$219,$B19,121)*4000,0)-IF(AND($U19=1,'calcA'!DT$117=1,HS19=0),2000,0))),1000000000))</f>
        <v/>
      </c>
      <c r="SW19">
        <f>IF($B19=0,1000000000,IF(INDEX('calcA'!$D$60:$EQ$99,$B19,122)*IF($W19=1,HS19+AEH19,HS19)=1,IF(AND($E19=2,IF($W19=1,AJW19,NH19)=0),1000000000,IF($V19=1,INDEX('calcA'!$D$130:$EQ$169,$B19,122)+IF(AND($E19=1,NH19=0),25,0),IF($F19&gt;0,INDEX('calcA'!DU$110:DU$114,$F19+1)+IF(AND($E19=1,NH19=0),1000,0),MIN(TZ19,20)*400+(IF('calcA'!DT$106=1,1-HR19,0)+IF('calcA'!DU$106=1,1-HT19,0))*150+26+'calcA'!DU$5*100000+IF(AND($E19=1,NH19=0),50000,0))+IF($H19=1,INDEX('calcA'!$D$180:$EQ$219,$B19,122)*4000,0)-IF(AND('calcA'!DT$117=1,YR19&gt;0),2000,0)-IF(AND($U19=1,'calcA'!DU$117=1,HT19=0),2000,0))),1000000000))</f>
        <v/>
      </c>
      <c r="SX19">
        <f>IF($B19=0,1000000000,IF(INDEX('calcA'!$D$60:$EQ$99,$B19,123)*IF($W19=1,HT19+AEI19,HT19)=1,IF(AND($E19=2,IF($W19=1,AJX19,NI19)=0),1000000000,IF($V19=1,INDEX('calcA'!$D$130:$EQ$169,$B19,123)+IF(AND($E19=1,NI19=0),25,0),IF($F19&gt;0,INDEX('calcA'!DV$110:DV$114,$F19+1)+IF(AND($E19=1,NI19=0),1000,0),MIN(TZ19,20)*400+(IF('calcA'!DU$106=1,1-HS19,0)+IF('calcA'!DV$106=1,1-HU19,0))*150+36+'calcA'!DV$5*100000+IF(AND($E19=1,NI19=0),50000,0))+IF($H19=1,INDEX('calcA'!$D$180:$EQ$219,$B19,123)*4000,0)-IF(AND('calcA'!DU$117=1,YS19&gt;0),2000,0)-IF(AND($U19=1,'calcA'!DV$117=1,HU19=0),2000,0))),1000000000))</f>
        <v/>
      </c>
      <c r="SY19">
        <f>IF($B19=0,1000000000,IF(INDEX('calcA'!$D$60:$EQ$99,$B19,124)*IF($W19=1,HU19+AEJ19,HU19)=1,IF(AND($E19=2,IF($W19=1,AJY19,NJ19)=0),1000000000,IF($V19=1,INDEX('calcA'!$D$130:$EQ$169,$B19,124)+IF(AND($E19=1,NJ19=0),25,0),IF($F19&gt;0,INDEX('calcA'!DW$110:DW$114,$F19+1)+IF(AND($E19=1,NJ19=0),1000,0),MIN(TZ19,20)*400+(IF('calcA'!DV$106=1,1-HT19,0)+IF('calcA'!DW$106=1,1-HV19,0))*150+46+'calcA'!DW$5*100000+IF(AND($E19=1,NJ19=0),50000,0))+IF($H19=1,INDEX('calcA'!$D$180:$EQ$219,$B19,124)*4000,0)-IF(AND('calcA'!DV$117=1,YT19&gt;0),2000,0)-IF(AND($U19=1,'calcA'!DW$117=1,HV19=0),2000,0))),1000000000))</f>
        <v/>
      </c>
      <c r="SZ19">
        <f>IF($B19=0,1000000000,IF(INDEX('calcA'!$D$60:$EQ$99,$B19,125)*IF($W19=1,HV19+AEK19,HV19)=1,IF(AND($E19=2,IF($W19=1,AJZ19,NK19)=0),1000000000,IF($V19=1,INDEX('calcA'!$D$130:$EQ$169,$B19,125)+IF(AND($E19=1,NK19=0),25,0),IF($F19&gt;0,INDEX('calcA'!DX$110:DX$114,$F19+1)+IF(AND($E19=1,NK19=0),1000,0),MIN(TZ19,20)*400+(IF('calcA'!DW$106=1,1-HU19,0)+IF('calcA'!DX$106=1,1-HW19,0))*150+56+'calcA'!DX$5*100000+IF(AND($E19=1,NK19=0),50000,0))+IF($H19=1,INDEX('calcA'!$D$180:$EQ$219,$B19,125)*4000,0)-IF(AND('calcA'!DW$117=1,YU19&gt;0),2000,0)-IF(AND($U19=1,'calcA'!DX$117=1,HW19=0),2000,0))),1000000000))</f>
        <v/>
      </c>
      <c r="TA19">
        <f>IF($B19=0,1000000000,IF(INDEX('calcA'!$D$60:$EQ$99,$B19,126)*IF($W19=1,HW19+AEL19,HW19)=1,IF(AND($E19=2,IF($W19=1,AKA19,NL19)=0),1000000000,IF($V19=1,INDEX('calcA'!$D$130:$EQ$169,$B19,126)+IF(AND($E19=1,NL19=0),25,0),IF($F19&gt;0,INDEX('calcA'!DY$110:DY$114,$F19+1)+IF(AND($E19=1,NL19=0),1000,0),MIN(TZ19,20)*400+(IF('calcA'!DX$106=1,1-HV19,0)+IF('calcA'!DY$106=1,1-HX19,0))*150+66+'calcA'!DY$5*100000+IF(AND($E19=1,NL19=0),50000,0))+IF($H19=1,INDEX('calcA'!$D$180:$EQ$219,$B19,126)*4000,0)-IF(AND('calcA'!DX$117=1,YV19&gt;0),2000,0)-IF(AND($U19=1,'calcA'!DY$117=1,HX19=0),2000,0))),1000000000))</f>
        <v/>
      </c>
      <c r="TB19">
        <f>IF($B19=0,1000000000,IF(INDEX('calcA'!$D$60:$EQ$99,$B19,127)*IF($W19=1,HX19+AEM19,HX19)=1,IF(AND($E19=2,IF($W19=1,AKB19,NM19)=0),1000000000,IF($V19=1,INDEX('calcA'!$D$130:$EQ$169,$B19,127)+IF(AND($E19=1,NM19=0),25,0),IF($F19&gt;0,INDEX('calcA'!DZ$110:DZ$114,$F19+1)+IF(AND($E19=1,NM19=0),1000,0),MIN(TZ19,20)*400+(IF('calcA'!DY$106=1,1-HW19,0)+IF('calcA'!DZ$106=1,1-HY19,0))*150+76+'calcA'!DZ$5*100000+IF(AND($E19=1,NM19=0),50000,0))+IF($H19=1,INDEX('calcA'!$D$180:$EQ$219,$B19,127)*4000,0)-IF(AND('calcA'!DY$117=1,YW19&gt;0),2000,0)-IF(AND($U19=1,'calcA'!DZ$117=1,HY19=0),2000,0))),1000000000))</f>
        <v/>
      </c>
      <c r="TC19">
        <f>IF($B19=0,1000000000,IF(INDEX('calcA'!$D$60:$EQ$99,$B19,128)*IF($W19=1,HY19+AEN19,HY19)=1,IF(AND($E19=2,IF($W19=1,AKC19,NN19)=0),1000000000,IF($V19=1,INDEX('calcA'!$D$130:$EQ$169,$B19,128)+IF(AND($E19=1,NN19=0),25,0),IF($F19&gt;0,INDEX('calcA'!EA$110:EA$114,$F19+1)+IF(AND($E19=1,NN19=0),1000,0),MIN(TZ19,20)*400+(IF('calcA'!DZ$106=1,1-HX19,0)+IF('calcA'!EA$106=1,1-HZ19,0))*150+86+'calcA'!EA$5*100000+IF(AND($E19=1,NN19=0),50000,0))+IF($H19=1,INDEX('calcA'!$D$180:$EQ$219,$B19,128)*4000,0)-IF(AND('calcA'!DZ$117=1,YX19&gt;0),2000,0)-IF(AND($U19=1,'calcA'!EA$117=1,HZ19=0),2000,0))),1000000000))</f>
        <v/>
      </c>
      <c r="TD19">
        <f>IF($B19=0,1000000000,IF(INDEX('calcA'!$D$60:$EQ$99,$B19,129)*IF($W19=1,HZ19+AEO19,HZ19)=1,IF(AND($E19=2,IF($W19=1,AKD19,NO19)=0),1000000000,IF($V19=1,INDEX('calcA'!$D$130:$EQ$169,$B19,129)+IF(AND($E19=1,NO19=0),25,0),IF($F19&gt;0,INDEX('calcA'!EB$110:EB$114,$F19+1)+IF(AND($E19=1,NO19=0),1000,0),MIN(TZ19,20)*400+(IF('calcA'!EA$106=1,1-HY19,0)+IF('calcA'!EB$106=1,1-IA19,0))*150+96+'calcA'!EB$5*100000+IF(AND($E19=1,NO19=0),50000,0))+IF($H19=1,INDEX('calcA'!$D$180:$EQ$219,$B19,129)*4000,0)-IF(AND('calcA'!EA$117=1,YY19&gt;0),2000,0)-IF(AND($U19=1,'calcA'!EB$117=1,IA19=0),2000,0))),1000000000))</f>
        <v/>
      </c>
      <c r="TE19">
        <f>IF($B19=0,1000000000,IF(INDEX('calcA'!$D$60:$EQ$99,$B19,130)*IF($W19=1,IA19+AEP19,IA19)=1,IF(AND($E19=2,IF($W19=1,AKE19,NP19)=0),1000000000,IF($V19=1,INDEX('calcA'!$D$130:$EQ$169,$B19,130)+IF(AND($E19=1,NP19=0),25,0),IF($F19&gt;0,INDEX('calcA'!EC$110:EC$114,$F19+1)+IF(AND($E19=1,NP19=0),1000,0),MIN(TZ19,20)*400+(IF('calcA'!EB$106=1,1-HZ19,0)+IF('calcA'!EC$106=1,1-IB19,0))*150+106+'calcA'!EC$5*100000+IF(AND($E19=1,NP19=0),50000,0))+IF($H19=1,INDEX('calcA'!$D$180:$EQ$219,$B19,130)*4000,0)-IF(AND('calcA'!EB$117=1,YZ19&gt;0),2000,0)-IF(AND($U19=1,'calcA'!EC$117=1,IB19=0),2000,0))),1000000000))</f>
        <v/>
      </c>
      <c r="TF19">
        <f>IF($B19=0,1000000000,IF(INDEX('calcA'!$D$60:$EQ$99,$B19,131)*IF($W19=1,IB19+AEQ19,IB19)=1,IF(AND($E19=2,IF($W19=1,AKF19,NQ19)=0),1000000000,IF($V19=1,INDEX('calcA'!$D$130:$EQ$169,$B19,131)+IF(AND($E19=1,NQ19=0),25,0),IF($F19&gt;0,INDEX('calcA'!ED$110:ED$114,$F19+1)+IF(AND($E19=1,NQ19=0),1000,0),MIN(TZ19,20)*400+(IF('calcA'!EC$106=1,1-IA19,0)+IF('calcA'!ED$106=1,1-IC19,0))*150+116+'calcA'!ED$5*100000+IF(AND($E19=1,NQ19=0),50000,0))+IF($H19=1,INDEX('calcA'!$D$180:$EQ$219,$B19,131)*4000,0)-IF(AND('calcA'!EC$117=1,ZA19&gt;0),2000,0)-IF(AND($U19=1,'calcA'!ED$117=1,IC19=0),2000,0))),1000000000))</f>
        <v/>
      </c>
      <c r="TG19">
        <f>IF($B19=0,1000000000,IF(INDEX('calcA'!$D$60:$EQ$99,$B19,132)*IF($W19=1,IC19+AER19,IC19)=1,IF(AND($E19=2,IF($W19=1,AKG19,NR19)=0),1000000000,IF($V19=1,INDEX('calcA'!$D$130:$EQ$169,$B19,132)+IF(AND($E19=1,NR19=0),25,0),IF($F19&gt;0,INDEX('calcA'!EE$110:EE$114,$F19+1)+IF(AND($E19=1,NR19=0),1000,0),MIN(TZ19,20)*400+(IF('calcA'!ED$106=1,1-IB19,0)+IF('calcA'!EE$106=1,1-ID19,0))*150+126+'calcA'!EE$5*100000+IF(AND($E19=1,NR19=0),50000,0))+IF($H19=1,INDEX('calcA'!$D$180:$EQ$219,$B19,132)*4000,0)-IF(AND('calcA'!ED$117=1,ZB19&gt;0),2000,0)-IF(AND($U19=1,'calcA'!EE$117=1,ID19=0),2000,0))),1000000000))</f>
        <v/>
      </c>
      <c r="TH19">
        <f>IF($B19=0,1000000000,IF(INDEX('calcA'!$D$60:$EQ$99,$B19,133)*IF($W19=1,ID19+AES19,ID19)=1,IF(AND($E19=2,IF($W19=1,AKH19,NS19)=0),1000000000,IF($V19=1,INDEX('calcA'!$D$130:$EQ$169,$B19,133)+IF(AND($E19=1,NS19=0),25,0),IF($F19&gt;0,INDEX('calcA'!EF$110:EF$114,$F19+1)+IF(AND($E19=1,NS19=0),1000,0),MIN(TZ19,20)*400+(IF('calcA'!EE$106=1,1-IC19,0)+IF('calcA'!EF$106=1,1-IE19,0))*150+136+'calcA'!EF$5*100000+IF(AND($E19=1,NS19=0),50000,0))+IF($H19=1,INDEX('calcA'!$D$180:$EQ$219,$B19,133)*4000,0)-IF(AND('calcA'!EE$117=1,ZC19&gt;0),2000,0)-IF(AND($U19=1,'calcA'!EF$117=1,IE19=0),2000,0))),1000000000))</f>
        <v/>
      </c>
      <c r="TI19">
        <f>IF($B19=0,1000000000,IF(INDEX('calcA'!$D$60:$EQ$99,$B19,134)*IF($W19=1,IE19+AET19,IE19)=1,IF(AND($E19=2,IF($W19=1,AKI19,NT19)=0),1000000000,IF($V19=1,INDEX('calcA'!$D$130:$EQ$169,$B19,134)+IF(AND($E19=1,NT19=0),25,0),IF($F19&gt;0,INDEX('calcA'!EG$110:EG$114,$F19+1)+IF(AND($E19=1,NT19=0),1000,0),MIN(TZ19,20)*400+(IF('calcA'!EF$106=1,1-ID19,0)+IF('calcA'!EG$106=1,1-IF19,0))*150+146+'calcA'!EG$5*100000+IF(AND($E19=1,NT19=0),50000,0))+IF($H19=1,INDEX('calcA'!$D$180:$EQ$219,$B19,134)*4000,0)-IF(AND('calcA'!EF$117=1,ZD19&gt;0),2000,0)-IF(AND($U19=1,'calcA'!EG$117=1,IF19=0),2000,0))),1000000000))</f>
        <v/>
      </c>
      <c r="TJ19">
        <f>IF($B19=0,1000000000,IF(INDEX('calcA'!$D$60:$EQ$99,$B19,135)*IF($W19=1,IF19+AEU19,IF19)=1,IF(AND($E19=2,IF($W19=1,AKJ19,NU19)=0),1000000000,IF($V19=1,INDEX('calcA'!$D$130:$EQ$169,$B19,135)+IF(AND($E19=1,NU19=0),25,0),IF($F19&gt;0,INDEX('calcA'!EH$110:EH$114,$F19+1)+IF(AND($E19=1,NU19=0),1000,0),MIN(TZ19,20)*400+(IF('calcA'!EG$106=1,1-IE19,0)+IF('calcA'!EH$106=1,1-IG19,0))*150+156+'calcA'!EH$5*100000+IF(AND($E19=1,NU19=0),50000,0))+IF($H19=1,INDEX('calcA'!$D$180:$EQ$219,$B19,135)*4000,0)-IF(AND('calcA'!EG$117=1,ZE19&gt;0),2000,0)-IF(AND($U19=1,'calcA'!EH$117=1,IG19=0),2000,0))),1000000000))</f>
        <v/>
      </c>
      <c r="TK19">
        <f>IF($B19=0,1000000000,IF(INDEX('calcA'!$D$60:$EQ$99,$B19,136)*IF($W19=1,IG19+AEV19,IG19)=1,IF(AND($E19=2,IF($W19=1,AKK19,NV19)=0),1000000000,IF($V19=1,INDEX('calcA'!$D$130:$EQ$169,$B19,136)+IF(AND($E19=1,NV19=0),25,0),IF($F19&gt;0,INDEX('calcA'!EI$110:EI$114,$F19+1)+IF(AND($E19=1,NV19=0),1000,0),MIN(TZ19,20)*400+(IF('calcA'!EH$106=1,1-IF19,0)+IF('calcA'!EI$106=1,1-IH19,0))*150+166+'calcA'!EI$5*100000+IF(AND($E19=1,NV19=0),50000,0))+IF($H19=1,INDEX('calcA'!$D$180:$EQ$219,$B19,136)*4000,0)-IF(AND('calcA'!EH$117=1,ZF19&gt;0),2000,0)-IF(AND($U19=1,'calcA'!EI$117=1,IH19=0),2000,0))),1000000000))</f>
        <v/>
      </c>
      <c r="TL19">
        <f>IF($B19=0,1000000000,IF(INDEX('calcA'!$D$60:$EQ$99,$B19,137)*IF($W19=1,IH19+AEW19,IH19)=1,IF(AND($E19=2,IF($W19=1,AKL19,NW19)=0),1000000000,IF($V19=1,INDEX('calcA'!$D$130:$EQ$169,$B19,137)+IF(AND($E19=1,NW19=0),25,0),IF($F19&gt;0,INDEX('calcA'!EJ$110:EJ$114,$F19+1)+IF(AND($E19=1,NW19=0),1000,0),MIN(TZ19,20)*400+(IF('calcA'!EI$106=1,1-IG19,0)+IF('calcA'!EJ$106=1,1-II19,0))*150+176+'calcA'!EJ$5*100000+IF(AND($E19=1,NW19=0),50000,0))+IF($H19=1,INDEX('calcA'!$D$180:$EQ$219,$B19,137)*4000,0)-IF(AND('calcA'!EI$117=1,ZG19&gt;0),2000,0)-IF(AND($U19=1,'calcA'!EJ$117=1,II19=0),2000,0))),1000000000))</f>
        <v/>
      </c>
      <c r="TM19">
        <f>IF($B19=0,1000000000,IF(INDEX('calcA'!$D$60:$EQ$99,$B19,138)*IF($W19=1,II19+AEX19,II19)=1,IF(AND($E19=2,IF($W19=1,AKM19,NX19)=0),1000000000,IF($V19=1,INDEX('calcA'!$D$130:$EQ$169,$B19,138)+IF(AND($E19=1,NX19=0),25,0),IF($F19&gt;0,INDEX('calcA'!EK$110:EK$114,$F19+1)+IF(AND($E19=1,NX19=0),1000,0),MIN(TZ19,20)*400+(IF('calcA'!EJ$106=1,1-IH19,0)+IF('calcA'!EK$106=1,1-IJ19,0))*150+186+'calcA'!EK$5*100000+IF(AND($E19=1,NX19=0),50000,0))+IF($H19=1,INDEX('calcA'!$D$180:$EQ$219,$B19,138)*4000,0)-IF(AND('calcA'!EJ$117=1,ZH19&gt;0),2000,0)-IF(AND($U19=1,'calcA'!EK$117=1,IJ19=0),2000,0))),1000000000))</f>
        <v/>
      </c>
      <c r="TN19">
        <f>IF($B19=0,1000000000,IF(INDEX('calcA'!$D$60:$EQ$99,$B19,139)*IF($W19=1,IJ19+AEY19,IJ19)=1,IF(AND($E19=2,IF($W19=1,AKN19,NY19)=0),1000000000,IF($V19=1,INDEX('calcA'!$D$130:$EQ$169,$B19,139)+IF(AND($E19=1,NY19=0),25,0),IF($F19&gt;0,INDEX('calcA'!EL$110:EL$114,$F19+1)+IF(AND($E19=1,NY19=0),1000,0),MIN(TZ19,20)*400+(IF('calcA'!EK$106=1,1-II19,0)+IF('calcA'!EL$106=1,1-IK19,0))*150+196+'calcA'!EL$5*100000+IF(AND($E19=1,NY19=0),50000,0))+IF($H19=1,INDEX('calcA'!$D$180:$EQ$219,$B19,139)*4000,0)-IF(AND('calcA'!EK$117=1,ZI19&gt;0),2000,0)-IF(AND($U19=1,'calcA'!EL$117=1,IK19=0),2000,0))),1000000000))</f>
        <v/>
      </c>
      <c r="TO19">
        <f>IF($B19=0,1000000000,IF(INDEX('calcA'!$D$60:$EQ$99,$B19,140)*IF($W19=1,IK19+AEZ19,IK19)=1,IF(AND($E19=2,IF($W19=1,AKO19,NZ19)=0),1000000000,IF($V19=1,INDEX('calcA'!$D$130:$EQ$169,$B19,140)+IF(AND($E19=1,NZ19=0),25,0),IF($F19&gt;0,INDEX('calcA'!EM$110:EM$114,$F19+1)+IF(AND($E19=1,NZ19=0),1000,0),MIN(TZ19,20)*400+(IF('calcA'!EL$106=1,1-IJ19,0)+IF('calcA'!EM$106=1,1-IL19,0))*150+206+'calcA'!EM$5*100000+IF(AND($E19=1,NZ19=0),50000,0))+IF($H19=1,INDEX('calcA'!$D$180:$EQ$219,$B19,140)*4000,0)-IF(AND('calcA'!EL$117=1,ZJ19&gt;0),2000,0)-IF(AND($U19=1,'calcA'!EM$117=1,IL19=0),2000,0))),1000000000))</f>
        <v/>
      </c>
      <c r="TP19">
        <f>IF($B19=0,1000000000,IF(INDEX('calcA'!$D$60:$EQ$99,$B19,141)*IF($W19=1,IL19+AFA19,IL19)=1,IF(AND($E19=2,IF($W19=1,AKP19,OA19)=0),1000000000,IF($V19=1,INDEX('calcA'!$D$130:$EQ$169,$B19,141)+IF(AND($E19=1,OA19=0),25,0),IF($F19&gt;0,INDEX('calcA'!EN$110:EN$114,$F19+1)+IF(AND($E19=1,OA19=0),1000,0),MIN(TZ19,20)*400+(IF('calcA'!EM$106=1,1-IK19,0)+IF('calcA'!EN$106=1,1-IM19,0))*150+216+'calcA'!EN$5*100000+IF(AND($E19=1,OA19=0),50000,0))+IF($H19=1,INDEX('calcA'!$D$180:$EQ$219,$B19,141)*4000,0)-IF(AND('calcA'!EM$117=1,ZK19&gt;0),2000,0)-IF(AND($U19=1,'calcA'!EN$117=1,IM19=0),2000,0))),1000000000))</f>
        <v/>
      </c>
      <c r="TQ19">
        <f>IF($B19=0,1000000000,IF(INDEX('calcA'!$D$60:$EQ$99,$B19,142)*IF($W19=1,IM19+AFB19,IM19)=1,IF(AND($E19=2,IF($W19=1,AKQ19,OB19)=0),1000000000,IF($V19=1,INDEX('calcA'!$D$130:$EQ$169,$B19,142)+IF(AND($E19=1,OB19=0),25,0),IF($F19&gt;0,INDEX('calcA'!EO$110:EO$114,$F19+1)+IF(AND($E19=1,OB19=0),1000,0),MIN(TZ19,20)*400+(IF('calcA'!EN$106=1,1-IL19,0)+IF('calcA'!EO$106=1,1-IN19,0))*150+226+'calcA'!EO$5*100000+IF(AND($E19=1,OB19=0),50000,0))+IF($H19=1,INDEX('calcA'!$D$180:$EQ$219,$B19,142)*4000,0)-IF(AND('calcA'!EN$117=1,ZL19&gt;0),2000,0)-IF(AND($U19=1,'calcA'!EO$117=1,IN19=0),2000,0))),1000000000))</f>
        <v/>
      </c>
      <c r="TR19">
        <f>IF($B19=0,1000000000,IF(INDEX('calcA'!$D$60:$EQ$99,$B19,143)*IF($W19=1,IN19+AFC19,IN19)=1,IF(AND($E19=2,IF($W19=1,AKR19,OC19)=0),1000000000,IF($V19=1,INDEX('calcA'!$D$130:$EQ$169,$B19,143)+IF(AND($E19=1,OC19=0),25,0),IF($F19&gt;0,INDEX('calcA'!EP$110:EP$114,$F19+1)+IF(AND($E19=1,OC19=0),1000,0),MIN(TZ19,20)*400+(IF('calcA'!EO$106=1,1-IM19,0)+IF('calcA'!EP$106=1,1-IO19,0))*150+236+'calcA'!EP$5*100000+IF(AND($E19=1,OC19=0),50000,0))+IF($H19=1,INDEX('calcA'!$D$180:$EQ$219,$B19,143)*4000,0)-IF(AND('calcA'!EO$117=1,ZM19&gt;0),2000,0)-IF(AND($U19=1,'calcA'!EP$117=1,IO19=0),2000,0))),1000000000))</f>
        <v/>
      </c>
      <c r="TS19">
        <f>IF($B19=0,1000000000,IF(INDEX('calcA'!$D$60:$EQ$99,$B19,144)*IF($W19=1,IO19+AFD19,IO19)=1,IF(AND($E19=2,IF($W19=1,AKS19,OD19)=0),1000000000,IF($V19=1,INDEX('calcA'!$D$130:$EQ$169,$B19,144)+IF(AND($E19=1,OD19=0),25,0),IF($F19&gt;0,INDEX('calcA'!EQ$110:EQ$114,$F19+1)+IF(AND($E19=1,OD19=0),1000,0),MIN(TZ19,20)*400+(IF('calcA'!EP$106=1,1-IN19,0))*150+246+'calcA'!EQ$5*100000+IF(AND($E19=1,OD19=0),50000,0))+IF($H19=1,INDEX('calcA'!$D$180:$EQ$219,$B19,144)*4000,0)-IF(AND('calcA'!EP$117=1,ZN19&gt;0),2000,0))),1000000000))</f>
        <v/>
      </c>
      <c r="TU19">
        <f>TU18+IF($C18&gt;0,IF(INDEX('calcA'!$D$2:$EQ$2,$C18)=1,1,0),0)</f>
        <v/>
      </c>
      <c r="TV19">
        <f>TV18+IF($C18&gt;0,IF(INDEX('calcA'!$D$2:$EQ$2,$C18)=2,1,0),0)</f>
        <v/>
      </c>
      <c r="TW19">
        <f>TW18+IF($C18&gt;0,IF(INDEX('calcA'!$D$2:$EQ$2,$C18)=3,1,0),0)</f>
        <v/>
      </c>
      <c r="TX19">
        <f>TX18+IF($C18&gt;0,IF(INDEX('calcA'!$D$2:$EQ$2,$C18)=4,1,0),0)</f>
        <v/>
      </c>
      <c r="TY19">
        <f>TY18+IF($C18&gt;0,IF(INDEX('calcA'!$D$2:$EQ$2,$C18)=5,1,0),0)</f>
        <v/>
      </c>
      <c r="TZ19">
        <f>TZ18+IF($C18&gt;0,IF(INDEX('calcA'!$D$2:$EQ$2,$C18)=6,1,0),0)</f>
        <v/>
      </c>
      <c r="UB19">
        <f>UB18+IF(AND($C18=1,$U18=1),1,0)</f>
        <v/>
      </c>
      <c r="UC19">
        <f>UC18+IF(AND($C18=2,$U18=1),1,0)</f>
        <v/>
      </c>
      <c r="UD19">
        <f>UD18+IF(AND($C18=3,$U18=1),1,0)</f>
        <v/>
      </c>
      <c r="UE19">
        <f>UE18+IF(AND($C18=4,$U18=1),1,0)</f>
        <v/>
      </c>
      <c r="UF19">
        <f>UF18+IF(AND($C18=5,$U18=1),1,0)</f>
        <v/>
      </c>
      <c r="UG19">
        <f>UG18+IF(AND($C18=6,$U18=1),1,0)</f>
        <v/>
      </c>
      <c r="UH19">
        <f>UH18+IF(AND($C18=7,$U18=1),1,0)</f>
        <v/>
      </c>
      <c r="UI19">
        <f>UI18+IF(AND($C18=8,$U18=1),1,0)</f>
        <v/>
      </c>
      <c r="UJ19">
        <f>UJ18+IF(AND($C18=9,$U18=1),1,0)</f>
        <v/>
      </c>
      <c r="UK19">
        <f>UK18+IF(AND($C18=10,$U18=1),1,0)</f>
        <v/>
      </c>
      <c r="UL19">
        <f>UL18+IF(AND($C18=11,$U18=1),1,0)</f>
        <v/>
      </c>
      <c r="UM19">
        <f>UM18+IF(AND($C18=12,$U18=1),1,0)</f>
        <v/>
      </c>
      <c r="UN19">
        <f>UN18+IF(AND($C18=13,$U18=1),1,0)</f>
        <v/>
      </c>
      <c r="UO19">
        <f>UO18+IF(AND($C18=14,$U18=1),1,0)</f>
        <v/>
      </c>
      <c r="UP19">
        <f>UP18+IF(AND($C18=15,$U18=1),1,0)</f>
        <v/>
      </c>
      <c r="UQ19">
        <f>UQ18+IF(AND($C18=16,$U18=1),1,0)</f>
        <v/>
      </c>
      <c r="UR19">
        <f>UR18+IF(AND($C18=17,$U18=1),1,0)</f>
        <v/>
      </c>
      <c r="US19">
        <f>US18+IF(AND($C18=18,$U18=1),1,0)</f>
        <v/>
      </c>
      <c r="UT19">
        <f>UT18+IF(AND($C18=19,$U18=1),1,0)</f>
        <v/>
      </c>
      <c r="UU19">
        <f>UU18+IF(AND($C18=20,$U18=1),1,0)</f>
        <v/>
      </c>
      <c r="UV19">
        <f>UV18+IF(AND($C18=21,$U18=1),1,0)</f>
        <v/>
      </c>
      <c r="UW19">
        <f>UW18+IF(AND($C18=22,$U18=1),1,0)</f>
        <v/>
      </c>
      <c r="UX19">
        <f>UX18+IF(AND($C18=23,$U18=1),1,0)</f>
        <v/>
      </c>
      <c r="UY19">
        <f>UY18+IF(AND($C18=24,$U18=1),1,0)</f>
        <v/>
      </c>
      <c r="UZ19">
        <f>UZ18+IF(AND($C18=25,$U18=1),1,0)</f>
        <v/>
      </c>
      <c r="VA19">
        <f>VA18+IF(AND($C18=26,$U18=1),1,0)</f>
        <v/>
      </c>
      <c r="VB19">
        <f>VB18+IF(AND($C18=27,$U18=1),1,0)</f>
        <v/>
      </c>
      <c r="VC19">
        <f>VC18+IF(AND($C18=28,$U18=1),1,0)</f>
        <v/>
      </c>
      <c r="VD19">
        <f>VD18+IF(AND($C18=29,$U18=1),1,0)</f>
        <v/>
      </c>
      <c r="VE19">
        <f>VE18+IF(AND($C18=30,$U18=1),1,0)</f>
        <v/>
      </c>
      <c r="VF19">
        <f>VF18+IF(AND($C18=31,$U18=1),1,0)</f>
        <v/>
      </c>
      <c r="VG19">
        <f>VG18+IF(AND($C18=32,$U18=1),1,0)</f>
        <v/>
      </c>
      <c r="VH19">
        <f>VH18+IF(AND($C18=33,$U18=1),1,0)</f>
        <v/>
      </c>
      <c r="VI19">
        <f>VI18+IF(AND($C18=34,$U18=1),1,0)</f>
        <v/>
      </c>
      <c r="VJ19">
        <f>VJ18+IF(AND($C18=35,$U18=1),1,0)</f>
        <v/>
      </c>
      <c r="VK19">
        <f>VK18+IF(AND($C18=36,$U18=1),1,0)</f>
        <v/>
      </c>
      <c r="VL19">
        <f>VL18+IF(AND($C18=37,$U18=1),1,0)</f>
        <v/>
      </c>
      <c r="VM19">
        <f>VM18+IF(AND($C18=38,$U18=1),1,0)</f>
        <v/>
      </c>
      <c r="VN19">
        <f>VN18+IF(AND($C18=39,$U18=1),1,0)</f>
        <v/>
      </c>
      <c r="VO19">
        <f>VO18+IF(AND($C18=40,$U18=1),1,0)</f>
        <v/>
      </c>
      <c r="VP19">
        <f>VP18+IF(AND($C18=41,$U18=1),1,0)</f>
        <v/>
      </c>
      <c r="VQ19">
        <f>VQ18+IF(AND($C18=42,$U18=1),1,0)</f>
        <v/>
      </c>
      <c r="VR19">
        <f>VR18+IF(AND($C18=43,$U18=1),1,0)</f>
        <v/>
      </c>
      <c r="VS19">
        <f>VS18+IF(AND($C18=44,$U18=1),1,0)</f>
        <v/>
      </c>
      <c r="VT19">
        <f>VT18+IF(AND($C18=45,$U18=1),1,0)</f>
        <v/>
      </c>
      <c r="VU19">
        <f>VU18+IF(AND($C18=46,$U18=1),1,0)</f>
        <v/>
      </c>
      <c r="VV19">
        <f>VV18+IF(AND($C18=47,$U18=1),1,0)</f>
        <v/>
      </c>
      <c r="VW19">
        <f>VW18+IF(AND($C18=48,$U18=1),1,0)</f>
        <v/>
      </c>
      <c r="VX19">
        <f>VX18+IF(AND($C18=49,$U18=1),1,0)</f>
        <v/>
      </c>
      <c r="VY19">
        <f>VY18+IF(AND($C18=50,$U18=1),1,0)</f>
        <v/>
      </c>
      <c r="VZ19">
        <f>VZ18+IF(AND($C18=51,$U18=1),1,0)</f>
        <v/>
      </c>
      <c r="WA19">
        <f>WA18+IF(AND($C18=52,$U18=1),1,0)</f>
        <v/>
      </c>
      <c r="WB19">
        <f>WB18+IF(AND($C18=53,$U18=1),1,0)</f>
        <v/>
      </c>
      <c r="WC19">
        <f>WC18+IF(AND($C18=54,$U18=1),1,0)</f>
        <v/>
      </c>
      <c r="WD19">
        <f>WD18+IF(AND($C18=55,$U18=1),1,0)</f>
        <v/>
      </c>
      <c r="WE19">
        <f>WE18+IF(AND($C18=56,$U18=1),1,0)</f>
        <v/>
      </c>
      <c r="WF19">
        <f>WF18+IF(AND($C18=57,$U18=1),1,0)</f>
        <v/>
      </c>
      <c r="WG19">
        <f>WG18+IF(AND($C18=58,$U18=1),1,0)</f>
        <v/>
      </c>
      <c r="WH19">
        <f>WH18+IF(AND($C18=59,$U18=1),1,0)</f>
        <v/>
      </c>
      <c r="WI19">
        <f>WI18+IF(AND($C18=60,$U18=1),1,0)</f>
        <v/>
      </c>
      <c r="WJ19">
        <f>WJ18+IF(AND($C18=61,$U18=1),1,0)</f>
        <v/>
      </c>
      <c r="WK19">
        <f>WK18+IF(AND($C18=62,$U18=1),1,0)</f>
        <v/>
      </c>
      <c r="WL19">
        <f>WL18+IF(AND($C18=63,$U18=1),1,0)</f>
        <v/>
      </c>
      <c r="WM19">
        <f>WM18+IF(AND($C18=64,$U18=1),1,0)</f>
        <v/>
      </c>
      <c r="WN19">
        <f>WN18+IF(AND($C18=65,$U18=1),1,0)</f>
        <v/>
      </c>
      <c r="WO19">
        <f>WO18+IF(AND($C18=66,$U18=1),1,0)</f>
        <v/>
      </c>
      <c r="WP19">
        <f>WP18+IF(AND($C18=67,$U18=1),1,0)</f>
        <v/>
      </c>
      <c r="WQ19">
        <f>WQ18+IF(AND($C18=68,$U18=1),1,0)</f>
        <v/>
      </c>
      <c r="WR19">
        <f>WR18+IF(AND($C18=69,$U18=1),1,0)</f>
        <v/>
      </c>
      <c r="WS19">
        <f>WS18+IF(AND($C18=70,$U18=1),1,0)</f>
        <v/>
      </c>
      <c r="WT19">
        <f>WT18+IF(AND($C18=71,$U18=1),1,0)</f>
        <v/>
      </c>
      <c r="WU19">
        <f>WU18+IF(AND($C18=72,$U18=1),1,0)</f>
        <v/>
      </c>
      <c r="WV19">
        <f>WV18+IF(AND($C18=73,$U18=1),1,0)</f>
        <v/>
      </c>
      <c r="WW19">
        <f>WW18+IF(AND($C18=74,$U18=1),1,0)</f>
        <v/>
      </c>
      <c r="WX19">
        <f>WX18+IF(AND($C18=75,$U18=1),1,0)</f>
        <v/>
      </c>
      <c r="WY19">
        <f>WY18+IF(AND($C18=76,$U18=1),1,0)</f>
        <v/>
      </c>
      <c r="WZ19">
        <f>WZ18+IF(AND($C18=77,$U18=1),1,0)</f>
        <v/>
      </c>
      <c r="XA19">
        <f>XA18+IF(AND($C18=78,$U18=1),1,0)</f>
        <v/>
      </c>
      <c r="XB19">
        <f>XB18+IF(AND($C18=79,$U18=1),1,0)</f>
        <v/>
      </c>
      <c r="XC19">
        <f>XC18+IF(AND($C18=80,$U18=1),1,0)</f>
        <v/>
      </c>
      <c r="XD19">
        <f>XD18+IF(AND($C18=81,$U18=1),1,0)</f>
        <v/>
      </c>
      <c r="XE19">
        <f>XE18+IF(AND($C18=82,$U18=1),1,0)</f>
        <v/>
      </c>
      <c r="XF19">
        <f>XF18+IF(AND($C18=83,$U18=1),1,0)</f>
        <v/>
      </c>
      <c r="XG19">
        <f>XG18+IF(AND($C18=84,$U18=1),1,0)</f>
        <v/>
      </c>
      <c r="XH19">
        <f>XH18+IF(AND($C18=85,$U18=1),1,0)</f>
        <v/>
      </c>
      <c r="XI19">
        <f>XI18+IF(AND($C18=86,$U18=1),1,0)</f>
        <v/>
      </c>
      <c r="XJ19">
        <f>XJ18+IF(AND($C18=87,$U18=1),1,0)</f>
        <v/>
      </c>
      <c r="XK19">
        <f>XK18+IF(AND($C18=88,$U18=1),1,0)</f>
        <v/>
      </c>
      <c r="XL19">
        <f>XL18+IF(AND($C18=89,$U18=1),1,0)</f>
        <v/>
      </c>
      <c r="XM19">
        <f>XM18+IF(AND($C18=90,$U18=1),1,0)</f>
        <v/>
      </c>
      <c r="XN19">
        <f>XN18+IF(AND($C18=91,$U18=1),1,0)</f>
        <v/>
      </c>
      <c r="XO19">
        <f>XO18+IF(AND($C18=92,$U18=1),1,0)</f>
        <v/>
      </c>
      <c r="XP19">
        <f>XP18+IF(AND($C18=93,$U18=1),1,0)</f>
        <v/>
      </c>
      <c r="XQ19">
        <f>XQ18+IF(AND($C18=94,$U18=1),1,0)</f>
        <v/>
      </c>
      <c r="XR19">
        <f>XR18+IF(AND($C18=95,$U18=1),1,0)</f>
        <v/>
      </c>
      <c r="XS19">
        <f>XS18+IF(AND($C18=96,$U18=1),1,0)</f>
        <v/>
      </c>
      <c r="XT19">
        <f>XT18+IF(AND($C18=97,$U18=1),1,0)</f>
        <v/>
      </c>
      <c r="XU19">
        <f>XU18+IF(AND($C18=98,$U18=1),1,0)</f>
        <v/>
      </c>
      <c r="XV19">
        <f>XV18+IF(AND($C18=99,$U18=1),1,0)</f>
        <v/>
      </c>
      <c r="XW19">
        <f>XW18+IF(AND($C18=100,$U18=1),1,0)</f>
        <v/>
      </c>
      <c r="XX19">
        <f>XX18+IF(AND($C18=101,$U18=1),1,0)</f>
        <v/>
      </c>
      <c r="XY19">
        <f>XY18+IF(AND($C18=102,$U18=1),1,0)</f>
        <v/>
      </c>
      <c r="XZ19">
        <f>XZ18+IF(AND($C18=103,$U18=1),1,0)</f>
        <v/>
      </c>
      <c r="YA19">
        <f>YA18+IF(AND($C18=104,$U18=1),1,0)</f>
        <v/>
      </c>
      <c r="YB19">
        <f>YB18+IF(AND($C18=105,$U18=1),1,0)</f>
        <v/>
      </c>
      <c r="YC19">
        <f>YC18+IF(AND($C18=106,$U18=1),1,0)</f>
        <v/>
      </c>
      <c r="YD19">
        <f>YD18+IF(AND($C18=107,$U18=1),1,0)</f>
        <v/>
      </c>
      <c r="YE19">
        <f>YE18+IF(AND($C18=108,$U18=1),1,0)</f>
        <v/>
      </c>
      <c r="YF19">
        <f>YF18+IF(AND($C18=109,$U18=1),1,0)</f>
        <v/>
      </c>
      <c r="YG19">
        <f>YG18+IF(AND($C18=110,$U18=1),1,0)</f>
        <v/>
      </c>
      <c r="YH19">
        <f>YH18+IF(AND($C18=111,$U18=1),1,0)</f>
        <v/>
      </c>
      <c r="YI19">
        <f>YI18+IF(AND($C18=112,$U18=1),1,0)</f>
        <v/>
      </c>
      <c r="YJ19">
        <f>YJ18+IF(AND($C18=113,$U18=1),1,0)</f>
        <v/>
      </c>
      <c r="YK19">
        <f>YK18+IF(AND($C18=114,$U18=1),1,0)</f>
        <v/>
      </c>
      <c r="YL19">
        <f>YL18+IF(AND($C18=115,$U18=1),1,0)</f>
        <v/>
      </c>
      <c r="YM19">
        <f>YM18+IF(AND($C18=116,$U18=1),1,0)</f>
        <v/>
      </c>
      <c r="YN19">
        <f>YN18+IF(AND($C18=117,$U18=1),1,0)</f>
        <v/>
      </c>
      <c r="YO19">
        <f>YO18+IF(AND($C18=118,$U18=1),1,0)</f>
        <v/>
      </c>
      <c r="YP19">
        <f>YP18+IF(AND($C18=119,$U18=1),1,0)</f>
        <v/>
      </c>
      <c r="YQ19">
        <f>YQ18+IF(AND($C18=120,$U18=1),1,0)</f>
        <v/>
      </c>
      <c r="YR19">
        <f>YR18+IF(AND($C18=121,$U18=1),1,0)</f>
        <v/>
      </c>
      <c r="YS19">
        <f>YS18+IF(AND($C18=122,$U18=1),1,0)</f>
        <v/>
      </c>
      <c r="YT19">
        <f>YT18+IF(AND($C18=123,$U18=1),1,0)</f>
        <v/>
      </c>
      <c r="YU19">
        <f>YU18+IF(AND($C18=124,$U18=1),1,0)</f>
        <v/>
      </c>
      <c r="YV19">
        <f>YV18+IF(AND($C18=125,$U18=1),1,0)</f>
        <v/>
      </c>
      <c r="YW19">
        <f>YW18+IF(AND($C18=126,$U18=1),1,0)</f>
        <v/>
      </c>
      <c r="YX19">
        <f>YX18+IF(AND($C18=127,$U18=1),1,0)</f>
        <v/>
      </c>
      <c r="YY19">
        <f>YY18+IF(AND($C18=128,$U18=1),1,0)</f>
        <v/>
      </c>
      <c r="YZ19">
        <f>YZ18+IF(AND($C18=129,$U18=1),1,0)</f>
        <v/>
      </c>
      <c r="ZA19">
        <f>ZA18+IF(AND($C18=130,$U18=1),1,0)</f>
        <v/>
      </c>
      <c r="ZB19">
        <f>ZB18+IF(AND($C18=131,$U18=1),1,0)</f>
        <v/>
      </c>
      <c r="ZC19">
        <f>ZC18+IF(AND($C18=132,$U18=1),1,0)</f>
        <v/>
      </c>
      <c r="ZD19">
        <f>ZD18+IF(AND($C18=133,$U18=1),1,0)</f>
        <v/>
      </c>
      <c r="ZE19">
        <f>ZE18+IF(AND($C18=134,$U18=1),1,0)</f>
        <v/>
      </c>
      <c r="ZF19">
        <f>ZF18+IF(AND($C18=135,$U18=1),1,0)</f>
        <v/>
      </c>
      <c r="ZG19">
        <f>ZG18+IF(AND($C18=136,$U18=1),1,0)</f>
        <v/>
      </c>
      <c r="ZH19">
        <f>ZH18+IF(AND($C18=137,$U18=1),1,0)</f>
        <v/>
      </c>
      <c r="ZI19">
        <f>ZI18+IF(AND($C18=138,$U18=1),1,0)</f>
        <v/>
      </c>
      <c r="ZJ19">
        <f>ZJ18+IF(AND($C18=139,$U18=1),1,0)</f>
        <v/>
      </c>
      <c r="ZK19">
        <f>ZK18+IF(AND($C18=140,$U18=1),1,0)</f>
        <v/>
      </c>
      <c r="ZL19">
        <f>ZL18+IF(AND($C18=141,$U18=1),1,0)</f>
        <v/>
      </c>
      <c r="ZM19">
        <f>ZM18+IF(AND($C18=142,$U18=1),1,0)</f>
        <v/>
      </c>
      <c r="ZN19">
        <f>ZN18+IF(AND($C18=143,$U18=1),1,0)</f>
        <v/>
      </c>
      <c r="ZO19">
        <f>ZO18+IF(AND($C18=144,$U18=1),1,0)</f>
        <v/>
      </c>
      <c r="ZQ19">
        <f>IF($C18=1,0,ZQ18+IF(AND($G18=1,$E18=1),1,0))</f>
        <v/>
      </c>
      <c r="ZR19">
        <f>IF($C18=2,0,ZR18+IF(AND($G18=2,$E18=1),1,0))</f>
        <v/>
      </c>
      <c r="ZS19">
        <f>IF($C18=3,0,ZS18+IF(AND($G18=3,$E18=1),1,0))</f>
        <v/>
      </c>
      <c r="ZT19">
        <f>IF($C18=4,0,ZT18+IF(AND($G18=4,$E18=1),1,0))</f>
        <v/>
      </c>
      <c r="ZU19">
        <f>IF($C18=5,0,ZU18+IF(AND($G18=5,$E18=1),1,0))</f>
        <v/>
      </c>
      <c r="ZV19">
        <f>IF($C18=6,0,ZV18+IF(AND($G18=6,$E18=1),1,0))</f>
        <v/>
      </c>
      <c r="ZW19">
        <f>IF($C18=7,0,ZW18+IF(AND($G18=7,$E18=1),1,0))</f>
        <v/>
      </c>
      <c r="ZX19">
        <f>IF($C18=8,0,ZX18+IF(AND($G18=8,$E18=1),1,0))</f>
        <v/>
      </c>
      <c r="ZY19">
        <f>IF($C18=9,0,ZY18+IF(AND($G18=9,$E18=1),1,0))</f>
        <v/>
      </c>
      <c r="ZZ19">
        <f>IF($C18=10,0,ZZ18+IF(AND($G18=10,$E18=1),1,0))</f>
        <v/>
      </c>
      <c r="AAA19">
        <f>IF($C18=11,0,AAA18+IF(AND($G18=11,$E18=1),1,0))</f>
        <v/>
      </c>
      <c r="AAB19">
        <f>IF($C18=12,0,AAB18+IF(AND($G18=12,$E18=1),1,0))</f>
        <v/>
      </c>
      <c r="AAC19">
        <f>IF($C18=13,0,AAC18+IF(AND($G18=13,$E18=1),1,0))</f>
        <v/>
      </c>
      <c r="AAD19">
        <f>IF($C18=14,0,AAD18+IF(AND($G18=14,$E18=1),1,0))</f>
        <v/>
      </c>
      <c r="AAE19">
        <f>IF($C18=15,0,AAE18+IF(AND($G18=15,$E18=1),1,0))</f>
        <v/>
      </c>
      <c r="AAF19">
        <f>IF($C18=16,0,AAF18+IF(AND($G18=16,$E18=1),1,0))</f>
        <v/>
      </c>
      <c r="AAG19">
        <f>IF($C18=17,0,AAG18+IF(AND($G18=17,$E18=1),1,0))</f>
        <v/>
      </c>
      <c r="AAH19">
        <f>IF($C18=18,0,AAH18+IF(AND($G18=18,$E18=1),1,0))</f>
        <v/>
      </c>
      <c r="AAI19">
        <f>IF($C18=19,0,AAI18+IF(AND($G18=19,$E18=1),1,0))</f>
        <v/>
      </c>
      <c r="AAJ19">
        <f>IF($C18=20,0,AAJ18+IF(AND($G18=20,$E18=1),1,0))</f>
        <v/>
      </c>
      <c r="AAK19">
        <f>IF($C18=21,0,AAK18+IF(AND($G18=21,$E18=1),1,0))</f>
        <v/>
      </c>
      <c r="AAL19">
        <f>IF($C18=22,0,AAL18+IF(AND($G18=22,$E18=1),1,0))</f>
        <v/>
      </c>
      <c r="AAM19">
        <f>IF($C18=23,0,AAM18+IF(AND($G18=23,$E18=1),1,0))</f>
        <v/>
      </c>
      <c r="AAN19">
        <f>IF($C18=24,0,AAN18+IF(AND($G18=24,$E18=1),1,0))</f>
        <v/>
      </c>
      <c r="AAO19">
        <f>IF($C18=25,0,AAO18+IF(AND($G18=25,$E18=1),1,0))</f>
        <v/>
      </c>
      <c r="AAP19">
        <f>IF($C18=26,0,AAP18+IF(AND($G18=26,$E18=1),1,0))</f>
        <v/>
      </c>
      <c r="AAQ19">
        <f>IF($C18=27,0,AAQ18+IF(AND($G18=27,$E18=1),1,0))</f>
        <v/>
      </c>
      <c r="AAR19">
        <f>IF($C18=28,0,AAR18+IF(AND($G18=28,$E18=1),1,0))</f>
        <v/>
      </c>
      <c r="AAS19">
        <f>IF($C18=29,0,AAS18+IF(AND($G18=29,$E18=1),1,0))</f>
        <v/>
      </c>
      <c r="AAT19">
        <f>IF($C18=30,0,AAT18+IF(AND($G18=30,$E18=1),1,0))</f>
        <v/>
      </c>
      <c r="AAU19">
        <f>IF($C18=31,0,AAU18+IF(AND($G18=31,$E18=1),1,0))</f>
        <v/>
      </c>
      <c r="AAV19">
        <f>IF($C18=32,0,AAV18+IF(AND($G18=32,$E18=1),1,0))</f>
        <v/>
      </c>
      <c r="AAW19">
        <f>IF($C18=33,0,AAW18+IF(AND($G18=33,$E18=1),1,0))</f>
        <v/>
      </c>
      <c r="AAX19">
        <f>IF($C18=34,0,AAX18+IF(AND($G18=34,$E18=1),1,0))</f>
        <v/>
      </c>
      <c r="AAY19">
        <f>IF($C18=35,0,AAY18+IF(AND($G18=35,$E18=1),1,0))</f>
        <v/>
      </c>
      <c r="AAZ19">
        <f>IF($C18=36,0,AAZ18+IF(AND($G18=36,$E18=1),1,0))</f>
        <v/>
      </c>
      <c r="ABA19">
        <f>IF($C18=37,0,ABA18+IF(AND($G18=37,$E18=1),1,0))</f>
        <v/>
      </c>
      <c r="ABB19">
        <f>IF($C18=38,0,ABB18+IF(AND($G18=38,$E18=1),1,0))</f>
        <v/>
      </c>
      <c r="ABC19">
        <f>IF($C18=39,0,ABC18+IF(AND($G18=39,$E18=1),1,0))</f>
        <v/>
      </c>
      <c r="ABD19">
        <f>IF($C18=40,0,ABD18+IF(AND($G18=40,$E18=1),1,0))</f>
        <v/>
      </c>
      <c r="ABE19">
        <f>IF($C18=41,0,ABE18+IF(AND($G18=41,$E18=1),1,0))</f>
        <v/>
      </c>
      <c r="ABF19">
        <f>IF($C18=42,0,ABF18+IF(AND($G18=42,$E18=1),1,0))</f>
        <v/>
      </c>
      <c r="ABG19">
        <f>IF($C18=43,0,ABG18+IF(AND($G18=43,$E18=1),1,0))</f>
        <v/>
      </c>
      <c r="ABH19">
        <f>IF($C18=44,0,ABH18+IF(AND($G18=44,$E18=1),1,0))</f>
        <v/>
      </c>
      <c r="ABI19">
        <f>IF($C18=45,0,ABI18+IF(AND($G18=45,$E18=1),1,0))</f>
        <v/>
      </c>
      <c r="ABJ19">
        <f>IF($C18=46,0,ABJ18+IF(AND($G18=46,$E18=1),1,0))</f>
        <v/>
      </c>
      <c r="ABK19">
        <f>IF($C18=47,0,ABK18+IF(AND($G18=47,$E18=1),1,0))</f>
        <v/>
      </c>
      <c r="ABL19">
        <f>IF($C18=48,0,ABL18+IF(AND($G18=48,$E18=1),1,0))</f>
        <v/>
      </c>
      <c r="ABM19">
        <f>IF($C18=49,0,ABM18+IF(AND($G18=49,$E18=1),1,0))</f>
        <v/>
      </c>
      <c r="ABN19">
        <f>IF($C18=50,0,ABN18+IF(AND($G18=50,$E18=1),1,0))</f>
        <v/>
      </c>
      <c r="ABO19">
        <f>IF($C18=51,0,ABO18+IF(AND($G18=51,$E18=1),1,0))</f>
        <v/>
      </c>
      <c r="ABP19">
        <f>IF($C18=52,0,ABP18+IF(AND($G18=52,$E18=1),1,0))</f>
        <v/>
      </c>
      <c r="ABQ19">
        <f>IF($C18=53,0,ABQ18+IF(AND($G18=53,$E18=1),1,0))</f>
        <v/>
      </c>
      <c r="ABR19">
        <f>IF($C18=54,0,ABR18+IF(AND($G18=54,$E18=1),1,0))</f>
        <v/>
      </c>
      <c r="ABS19">
        <f>IF($C18=55,0,ABS18+IF(AND($G18=55,$E18=1),1,0))</f>
        <v/>
      </c>
      <c r="ABT19">
        <f>IF($C18=56,0,ABT18+IF(AND($G18=56,$E18=1),1,0))</f>
        <v/>
      </c>
      <c r="ABU19">
        <f>IF($C18=57,0,ABU18+IF(AND($G18=57,$E18=1),1,0))</f>
        <v/>
      </c>
      <c r="ABV19">
        <f>IF($C18=58,0,ABV18+IF(AND($G18=58,$E18=1),1,0))</f>
        <v/>
      </c>
      <c r="ABW19">
        <f>IF($C18=59,0,ABW18+IF(AND($G18=59,$E18=1),1,0))</f>
        <v/>
      </c>
      <c r="ABX19">
        <f>IF($C18=60,0,ABX18+IF(AND($G18=60,$E18=1),1,0))</f>
        <v/>
      </c>
      <c r="ABY19">
        <f>IF($C18=61,0,ABY18+IF(AND($G18=61,$E18=1),1,0))</f>
        <v/>
      </c>
      <c r="ABZ19">
        <f>IF($C18=62,0,ABZ18+IF(AND($G18=62,$E18=1),1,0))</f>
        <v/>
      </c>
      <c r="ACA19">
        <f>IF($C18=63,0,ACA18+IF(AND($G18=63,$E18=1),1,0))</f>
        <v/>
      </c>
      <c r="ACB19">
        <f>IF($C18=64,0,ACB18+IF(AND($G18=64,$E18=1),1,0))</f>
        <v/>
      </c>
      <c r="ACC19">
        <f>IF($C18=65,0,ACC18+IF(AND($G18=65,$E18=1),1,0))</f>
        <v/>
      </c>
      <c r="ACD19">
        <f>IF($C18=66,0,ACD18+IF(AND($G18=66,$E18=1),1,0))</f>
        <v/>
      </c>
      <c r="ACE19">
        <f>IF($C18=67,0,ACE18+IF(AND($G18=67,$E18=1),1,0))</f>
        <v/>
      </c>
      <c r="ACF19">
        <f>IF($C18=68,0,ACF18+IF(AND($G18=68,$E18=1),1,0))</f>
        <v/>
      </c>
      <c r="ACG19">
        <f>IF($C18=69,0,ACG18+IF(AND($G18=69,$E18=1),1,0))</f>
        <v/>
      </c>
      <c r="ACH19">
        <f>IF($C18=70,0,ACH18+IF(AND($G18=70,$E18=1),1,0))</f>
        <v/>
      </c>
      <c r="ACI19">
        <f>IF($C18=71,0,ACI18+IF(AND($G18=71,$E18=1),1,0))</f>
        <v/>
      </c>
      <c r="ACJ19">
        <f>IF($C18=72,0,ACJ18+IF(AND($G18=72,$E18=1),1,0))</f>
        <v/>
      </c>
      <c r="ACK19">
        <f>IF($C18=73,0,ACK18+IF(AND($G18=73,$E18=1),1,0))</f>
        <v/>
      </c>
      <c r="ACL19">
        <f>IF($C18=74,0,ACL18+IF(AND($G18=74,$E18=1),1,0))</f>
        <v/>
      </c>
      <c r="ACM19">
        <f>IF($C18=75,0,ACM18+IF(AND($G18=75,$E18=1),1,0))</f>
        <v/>
      </c>
      <c r="ACN19">
        <f>IF($C18=76,0,ACN18+IF(AND($G18=76,$E18=1),1,0))</f>
        <v/>
      </c>
      <c r="ACO19">
        <f>IF($C18=77,0,ACO18+IF(AND($G18=77,$E18=1),1,0))</f>
        <v/>
      </c>
      <c r="ACP19">
        <f>IF($C18=78,0,ACP18+IF(AND($G18=78,$E18=1),1,0))</f>
        <v/>
      </c>
      <c r="ACQ19">
        <f>IF($C18=79,0,ACQ18+IF(AND($G18=79,$E18=1),1,0))</f>
        <v/>
      </c>
      <c r="ACR19">
        <f>IF($C18=80,0,ACR18+IF(AND($G18=80,$E18=1),1,0))</f>
        <v/>
      </c>
      <c r="ACS19">
        <f>IF($C18=81,0,ACS18+IF(AND($G18=81,$E18=1),1,0))</f>
        <v/>
      </c>
      <c r="ACT19">
        <f>IF($C18=82,0,ACT18+IF(AND($G18=82,$E18=1),1,0))</f>
        <v/>
      </c>
      <c r="ACU19">
        <f>IF($C18=83,0,ACU18+IF(AND($G18=83,$E18=1),1,0))</f>
        <v/>
      </c>
      <c r="ACV19">
        <f>IF($C18=84,0,ACV18+IF(AND($G18=84,$E18=1),1,0))</f>
        <v/>
      </c>
      <c r="ACW19">
        <f>IF($C18=85,0,ACW18+IF(AND($G18=85,$E18=1),1,0))</f>
        <v/>
      </c>
      <c r="ACX19">
        <f>IF($C18=86,0,ACX18+IF(AND($G18=86,$E18=1),1,0))</f>
        <v/>
      </c>
      <c r="ACY19">
        <f>IF($C18=87,0,ACY18+IF(AND($G18=87,$E18=1),1,0))</f>
        <v/>
      </c>
      <c r="ACZ19">
        <f>IF($C18=88,0,ACZ18+IF(AND($G18=88,$E18=1),1,0))</f>
        <v/>
      </c>
      <c r="ADA19">
        <f>IF($C18=89,0,ADA18+IF(AND($G18=89,$E18=1),1,0))</f>
        <v/>
      </c>
      <c r="ADB19">
        <f>IF($C18=90,0,ADB18+IF(AND($G18=90,$E18=1),1,0))</f>
        <v/>
      </c>
      <c r="ADC19">
        <f>IF($C18=91,0,ADC18+IF(AND($G18=91,$E18=1),1,0))</f>
        <v/>
      </c>
      <c r="ADD19">
        <f>IF($C18=92,0,ADD18+IF(AND($G18=92,$E18=1),1,0))</f>
        <v/>
      </c>
      <c r="ADE19">
        <f>IF($C18=93,0,ADE18+IF(AND($G18=93,$E18=1),1,0))</f>
        <v/>
      </c>
      <c r="ADF19">
        <f>IF($C18=94,0,ADF18+IF(AND($G18=94,$E18=1),1,0))</f>
        <v/>
      </c>
      <c r="ADG19">
        <f>IF($C18=95,0,ADG18+IF(AND($G18=95,$E18=1),1,0))</f>
        <v/>
      </c>
      <c r="ADH19">
        <f>IF($C18=96,0,ADH18+IF(AND($G18=96,$E18=1),1,0))</f>
        <v/>
      </c>
      <c r="ADI19">
        <f>IF($C18=97,0,ADI18+IF(AND($G18=97,$E18=1),1,0))</f>
        <v/>
      </c>
      <c r="ADJ19">
        <f>IF($C18=98,0,ADJ18+IF(AND($G18=98,$E18=1),1,0))</f>
        <v/>
      </c>
      <c r="ADK19">
        <f>IF($C18=99,0,ADK18+IF(AND($G18=99,$E18=1),1,0))</f>
        <v/>
      </c>
      <c r="ADL19">
        <f>IF($C18=100,0,ADL18+IF(AND($G18=100,$E18=1),1,0))</f>
        <v/>
      </c>
      <c r="ADM19">
        <f>IF($C18=101,0,ADM18+IF(AND($G18=101,$E18=1),1,0))</f>
        <v/>
      </c>
      <c r="ADN19">
        <f>IF($C18=102,0,ADN18+IF(AND($G18=102,$E18=1),1,0))</f>
        <v/>
      </c>
      <c r="ADO19">
        <f>IF($C18=103,0,ADO18+IF(AND($G18=103,$E18=1),1,0))</f>
        <v/>
      </c>
      <c r="ADP19">
        <f>IF($C18=104,0,ADP18+IF(AND($G18=104,$E18=1),1,0))</f>
        <v/>
      </c>
      <c r="ADQ19">
        <f>IF($C18=105,0,ADQ18+IF(AND($G18=105,$E18=1),1,0))</f>
        <v/>
      </c>
      <c r="ADR19">
        <f>IF($C18=106,0,ADR18+IF(AND($G18=106,$E18=1),1,0))</f>
        <v/>
      </c>
      <c r="ADS19">
        <f>IF($C18=107,0,ADS18+IF(AND($G18=107,$E18=1),1,0))</f>
        <v/>
      </c>
      <c r="ADT19">
        <f>IF($C18=108,0,ADT18+IF(AND($G18=108,$E18=1),1,0))</f>
        <v/>
      </c>
      <c r="ADU19">
        <f>IF($C18=109,0,ADU18+IF(AND($G18=109,$E18=1),1,0))</f>
        <v/>
      </c>
      <c r="ADV19">
        <f>IF($C18=110,0,ADV18+IF(AND($G18=110,$E18=1),1,0))</f>
        <v/>
      </c>
      <c r="ADW19">
        <f>IF($C18=111,0,ADW18+IF(AND($G18=111,$E18=1),1,0))</f>
        <v/>
      </c>
      <c r="ADX19">
        <f>IF($C18=112,0,ADX18+IF(AND($G18=112,$E18=1),1,0))</f>
        <v/>
      </c>
      <c r="ADY19">
        <f>IF($C18=113,0,ADY18+IF(AND($G18=113,$E18=1),1,0))</f>
        <v/>
      </c>
      <c r="ADZ19">
        <f>IF($C18=114,0,ADZ18+IF(AND($G18=114,$E18=1),1,0))</f>
        <v/>
      </c>
      <c r="AEA19">
        <f>IF($C18=115,0,AEA18+IF(AND($G18=115,$E18=1),1,0))</f>
        <v/>
      </c>
      <c r="AEB19">
        <f>IF($C18=116,0,AEB18+IF(AND($G18=116,$E18=1),1,0))</f>
        <v/>
      </c>
      <c r="AEC19">
        <f>IF($C18=117,0,AEC18+IF(AND($G18=117,$E18=1),1,0))</f>
        <v/>
      </c>
      <c r="AED19">
        <f>IF($C18=118,0,AED18+IF(AND($G18=118,$E18=1),1,0))</f>
        <v/>
      </c>
      <c r="AEE19">
        <f>IF($C18=119,0,AEE18+IF(AND($G18=119,$E18=1),1,0))</f>
        <v/>
      </c>
      <c r="AEF19">
        <f>IF($C18=120,0,AEF18+IF(AND($G18=120,$E18=1),1,0))</f>
        <v/>
      </c>
      <c r="AEG19">
        <f>IF($C18=121,0,AEG18+IF(AND($G18=121,$E18=1),1,0))</f>
        <v/>
      </c>
      <c r="AEH19">
        <f>IF($C18=122,0,AEH18+IF(AND($G18=122,$E18=1),1,0))</f>
        <v/>
      </c>
      <c r="AEI19">
        <f>IF($C18=123,0,AEI18+IF(AND($G18=123,$E18=1),1,0))</f>
        <v/>
      </c>
      <c r="AEJ19">
        <f>IF($C18=124,0,AEJ18+IF(AND($G18=124,$E18=1),1,0))</f>
        <v/>
      </c>
      <c r="AEK19">
        <f>IF($C18=125,0,AEK18+IF(AND($G18=125,$E18=1),1,0))</f>
        <v/>
      </c>
      <c r="AEL19">
        <f>IF($C18=126,0,AEL18+IF(AND($G18=126,$E18=1),1,0))</f>
        <v/>
      </c>
      <c r="AEM19">
        <f>IF($C18=127,0,AEM18+IF(AND($G18=127,$E18=1),1,0))</f>
        <v/>
      </c>
      <c r="AEN19">
        <f>IF($C18=128,0,AEN18+IF(AND($G18=128,$E18=1),1,0))</f>
        <v/>
      </c>
      <c r="AEO19">
        <f>IF($C18=129,0,AEO18+IF(AND($G18=129,$E18=1),1,0))</f>
        <v/>
      </c>
      <c r="AEP19">
        <f>IF($C18=130,0,AEP18+IF(AND($G18=130,$E18=1),1,0))</f>
        <v/>
      </c>
      <c r="AEQ19">
        <f>IF($C18=131,0,AEQ18+IF(AND($G18=131,$E18=1),1,0))</f>
        <v/>
      </c>
      <c r="AER19">
        <f>IF($C18=132,0,AER18+IF(AND($G18=132,$E18=1),1,0))</f>
        <v/>
      </c>
      <c r="AES19">
        <f>IF($C18=133,0,AES18+IF(AND($G18=133,$E18=1),1,0))</f>
        <v/>
      </c>
      <c r="AET19">
        <f>IF($C18=134,0,AET18+IF(AND($G18=134,$E18=1),1,0))</f>
        <v/>
      </c>
      <c r="AEU19">
        <f>IF($C18=135,0,AEU18+IF(AND($G18=135,$E18=1),1,0))</f>
        <v/>
      </c>
      <c r="AEV19">
        <f>IF($C18=136,0,AEV18+IF(AND($G18=136,$E18=1),1,0))</f>
        <v/>
      </c>
      <c r="AEW19">
        <f>IF($C18=137,0,AEW18+IF(AND($G18=137,$E18=1),1,0))</f>
        <v/>
      </c>
      <c r="AEX19">
        <f>IF($C18=138,0,AEX18+IF(AND($G18=138,$E18=1),1,0))</f>
        <v/>
      </c>
      <c r="AEY19">
        <f>IF($C18=139,0,AEY18+IF(AND($G18=139,$E18=1),1,0))</f>
        <v/>
      </c>
      <c r="AEZ19">
        <f>IF($C18=140,0,AEZ18+IF(AND($G18=140,$E18=1),1,0))</f>
        <v/>
      </c>
      <c r="AFA19">
        <f>IF($C18=141,0,AFA18+IF(AND($G18=141,$E18=1),1,0))</f>
        <v/>
      </c>
      <c r="AFB19">
        <f>IF($C18=142,0,AFB18+IF(AND($G18=142,$E18=1),1,0))</f>
        <v/>
      </c>
      <c r="AFC19">
        <f>IF($C18=143,0,AFC18+IF(AND($G18=143,$E18=1),1,0))</f>
        <v/>
      </c>
      <c r="AFD19">
        <f>IF($C18=144,0,AFD18+IF(AND($G18=144,$E18=1),1,0))</f>
        <v/>
      </c>
      <c r="AFF19">
        <f>IF('calcA'!D$106=1,DC19+ZR19,1)</f>
        <v/>
      </c>
      <c r="AFG19">
        <f>IF('calcA'!E$106=1,DD19+ZS19,1)</f>
        <v/>
      </c>
      <c r="AFH19">
        <f>IF('calcA'!F$106=1,DE19+ZT19,1)</f>
        <v/>
      </c>
      <c r="AFI19">
        <f>IF('calcA'!G$106=1,DF19+ZU19,1)</f>
        <v/>
      </c>
      <c r="AFJ19">
        <f>IF('calcA'!H$106=1,DG19+ZV19,1)</f>
        <v/>
      </c>
      <c r="AFK19">
        <f>IF('calcA'!I$106=1,DH19+ZW19,1)</f>
        <v/>
      </c>
      <c r="AFL19">
        <f>IF('calcA'!J$106=1,DI19+ZX19,1)</f>
        <v/>
      </c>
      <c r="AFM19">
        <f>IF('calcA'!K$106=1,DJ19+ZY19,1)</f>
        <v/>
      </c>
      <c r="AFN19">
        <f>IF('calcA'!L$106=1,DK19+ZZ19,1)</f>
        <v/>
      </c>
      <c r="AFO19">
        <f>IF('calcA'!M$106=1,DL19+AAA19,1)</f>
        <v/>
      </c>
      <c r="AFP19">
        <f>IF('calcA'!N$106=1,DM19+AAB19,1)</f>
        <v/>
      </c>
      <c r="AFQ19">
        <f>IF('calcA'!O$106=1,DN19+AAC19,1)</f>
        <v/>
      </c>
      <c r="AFR19">
        <f>IF('calcA'!P$106=1,DO19+AAD19,1)</f>
        <v/>
      </c>
      <c r="AFS19">
        <f>IF('calcA'!Q$106=1,DP19+AAE19,1)</f>
        <v/>
      </c>
      <c r="AFT19">
        <f>IF('calcA'!R$106=1,DQ19+AAF19,1)</f>
        <v/>
      </c>
      <c r="AFU19">
        <f>IF('calcA'!S$106=1,DR19+AAG19,1)</f>
        <v/>
      </c>
      <c r="AFV19">
        <f>IF('calcA'!T$106=1,DS19+AAH19,1)</f>
        <v/>
      </c>
      <c r="AFW19">
        <f>IF('calcA'!U$106=1,DT19+AAI19,1)</f>
        <v/>
      </c>
      <c r="AFX19">
        <f>IF('calcA'!V$106=1,DU19+AAJ19,1)</f>
        <v/>
      </c>
      <c r="AFY19">
        <f>IF('calcA'!W$106=1,DV19+AAK19,1)</f>
        <v/>
      </c>
      <c r="AFZ19">
        <f>IF('calcA'!X$106=1,DW19+AAL19,1)</f>
        <v/>
      </c>
      <c r="AGA19">
        <f>IF('calcA'!Y$106=1,DX19+AAM19,1)</f>
        <v/>
      </c>
      <c r="AGB19">
        <f>IF('calcA'!Z$106=1,DY19+AAN19,1)</f>
        <v/>
      </c>
      <c r="AGC19">
        <f>IF('calcA'!AA$106=1,DZ19+AAO19,1)</f>
        <v/>
      </c>
      <c r="AGD19">
        <f>IF('calcA'!AB$106=1,EA19+AAP19,1)</f>
        <v/>
      </c>
      <c r="AGE19">
        <f>IF('calcA'!AC$106=1,EB19+AAQ19,1)</f>
        <v/>
      </c>
      <c r="AGF19">
        <f>IF('calcA'!AD$106=1,EC19+AAR19,1)</f>
        <v/>
      </c>
      <c r="AGG19">
        <f>IF('calcA'!AE$106=1,ED19+AAS19,1)</f>
        <v/>
      </c>
      <c r="AGH19">
        <f>IF('calcA'!AF$106=1,EE19+AAT19,1)</f>
        <v/>
      </c>
      <c r="AGI19">
        <f>IF('calcA'!AG$106=1,EF19+AAU19,1)</f>
        <v/>
      </c>
      <c r="AGJ19">
        <f>IF('calcA'!AH$106=1,EG19+AAV19,1)</f>
        <v/>
      </c>
      <c r="AGK19">
        <f>IF('calcA'!AI$106=1,EH19+AAW19,1)</f>
        <v/>
      </c>
      <c r="AGL19">
        <f>IF('calcA'!AJ$106=1,EI19+AAX19,1)</f>
        <v/>
      </c>
      <c r="AGM19">
        <f>IF('calcA'!AK$106=1,EJ19+AAY19,1)</f>
        <v/>
      </c>
      <c r="AGN19">
        <f>IF('calcA'!AL$106=1,EK19+AAZ19,1)</f>
        <v/>
      </c>
      <c r="AGO19">
        <f>IF('calcA'!AM$106=1,EL19+ABA19,1)</f>
        <v/>
      </c>
      <c r="AGP19">
        <f>IF('calcA'!AN$106=1,EM19+ABB19,1)</f>
        <v/>
      </c>
      <c r="AGQ19">
        <f>IF('calcA'!AO$106=1,EN19+ABC19,1)</f>
        <v/>
      </c>
      <c r="AGR19">
        <f>IF('calcA'!AP$106=1,EO19+ABD19,1)</f>
        <v/>
      </c>
      <c r="AGS19">
        <f>IF('calcA'!AQ$106=1,EP19+ABE19,1)</f>
        <v/>
      </c>
      <c r="AGT19">
        <f>IF('calcA'!AR$106=1,EQ19+ABF19,1)</f>
        <v/>
      </c>
      <c r="AGU19">
        <f>IF('calcA'!AS$106=1,ER19+ABG19,1)</f>
        <v/>
      </c>
      <c r="AGV19">
        <f>IF('calcA'!AT$106=1,ES19+ABH19,1)</f>
        <v/>
      </c>
      <c r="AGW19">
        <f>IF('calcA'!AU$106=1,ET19+ABI19,1)</f>
        <v/>
      </c>
      <c r="AGX19">
        <f>IF('calcA'!AV$106=1,EU19+ABJ19,1)</f>
        <v/>
      </c>
      <c r="AGY19">
        <f>IF('calcA'!AW$106=1,EV19+ABK19,1)</f>
        <v/>
      </c>
      <c r="AGZ19">
        <f>IF('calcA'!AX$106=1,EW19+ABL19,1)</f>
        <v/>
      </c>
      <c r="AHA19">
        <f>IF('calcA'!AY$106=1,EX19+ABM19,1)</f>
        <v/>
      </c>
      <c r="AHB19">
        <f>IF('calcA'!AZ$106=1,EY19+ABN19,1)</f>
        <v/>
      </c>
      <c r="AHC19">
        <f>IF('calcA'!BA$106=1,EZ19+ABO19,1)</f>
        <v/>
      </c>
      <c r="AHD19">
        <f>IF('calcA'!BB$106=1,FA19+ABP19,1)</f>
        <v/>
      </c>
      <c r="AHE19">
        <f>IF('calcA'!BC$106=1,FB19+ABQ19,1)</f>
        <v/>
      </c>
      <c r="AHF19">
        <f>IF('calcA'!BD$106=1,FC19+ABR19,1)</f>
        <v/>
      </c>
      <c r="AHG19">
        <f>IF('calcA'!BE$106=1,FD19+ABS19,1)</f>
        <v/>
      </c>
      <c r="AHH19">
        <f>IF('calcA'!BF$106=1,FE19+ABT19,1)</f>
        <v/>
      </c>
      <c r="AHI19">
        <f>IF('calcA'!BG$106=1,FF19+ABU19,1)</f>
        <v/>
      </c>
      <c r="AHJ19">
        <f>IF('calcA'!BH$106=1,FG19+ABV19,1)</f>
        <v/>
      </c>
      <c r="AHK19">
        <f>IF('calcA'!BI$106=1,FH19+ABW19,1)</f>
        <v/>
      </c>
      <c r="AHL19">
        <f>IF('calcA'!BJ$106=1,FI19+ABX19,1)</f>
        <v/>
      </c>
      <c r="AHM19">
        <f>IF('calcA'!BK$106=1,FJ19+ABY19,1)</f>
        <v/>
      </c>
      <c r="AHN19">
        <f>IF('calcA'!BL$106=1,FK19+ABZ19,1)</f>
        <v/>
      </c>
      <c r="AHO19">
        <f>IF('calcA'!BM$106=1,FL19+ACA19,1)</f>
        <v/>
      </c>
      <c r="AHP19">
        <f>IF('calcA'!BN$106=1,FM19+ACB19,1)</f>
        <v/>
      </c>
      <c r="AHQ19">
        <f>IF('calcA'!BO$106=1,FN19+ACC19,1)</f>
        <v/>
      </c>
      <c r="AHR19">
        <f>IF('calcA'!BP$106=1,FO19+ACD19,1)</f>
        <v/>
      </c>
      <c r="AHS19">
        <f>IF('calcA'!BQ$106=1,FP19+ACE19,1)</f>
        <v/>
      </c>
      <c r="AHT19">
        <f>IF('calcA'!BR$106=1,FQ19+ACF19,1)</f>
        <v/>
      </c>
      <c r="AHU19">
        <f>IF('calcA'!BS$106=1,FR19+ACG19,1)</f>
        <v/>
      </c>
      <c r="AHV19">
        <f>IF('calcA'!BT$106=1,FS19+ACH19,1)</f>
        <v/>
      </c>
      <c r="AHW19">
        <f>IF('calcA'!BU$106=1,FT19+ACI19,1)</f>
        <v/>
      </c>
      <c r="AHX19">
        <f>IF('calcA'!BV$106=1,FU19+ACJ19,1)</f>
        <v/>
      </c>
      <c r="AHY19">
        <f>IF('calcA'!BW$106=1,FV19+ACK19,1)</f>
        <v/>
      </c>
      <c r="AHZ19">
        <f>IF('calcA'!BX$106=1,FW19+ACL19,1)</f>
        <v/>
      </c>
      <c r="AIA19">
        <f>IF('calcA'!BY$106=1,FX19+ACM19,1)</f>
        <v/>
      </c>
      <c r="AIB19">
        <f>IF('calcA'!BZ$106=1,FY19+ACN19,1)</f>
        <v/>
      </c>
      <c r="AIC19">
        <f>IF('calcA'!CA$106=1,FZ19+ACO19,1)</f>
        <v/>
      </c>
      <c r="AID19">
        <f>IF('calcA'!CB$106=1,GA19+ACP19,1)</f>
        <v/>
      </c>
      <c r="AIE19">
        <f>IF('calcA'!CC$106=1,GB19+ACQ19,1)</f>
        <v/>
      </c>
      <c r="AIF19">
        <f>IF('calcA'!CD$106=1,GC19+ACR19,1)</f>
        <v/>
      </c>
      <c r="AIG19">
        <f>IF('calcA'!CE$106=1,GD19+ACS19,1)</f>
        <v/>
      </c>
      <c r="AIH19">
        <f>IF('calcA'!CF$106=1,GE19+ACT19,1)</f>
        <v/>
      </c>
      <c r="AII19">
        <f>IF('calcA'!CG$106=1,GF19+ACU19,1)</f>
        <v/>
      </c>
      <c r="AIJ19">
        <f>IF('calcA'!CH$106=1,GG19+ACV19,1)</f>
        <v/>
      </c>
      <c r="AIK19">
        <f>IF('calcA'!CI$106=1,GH19+ACW19,1)</f>
        <v/>
      </c>
      <c r="AIL19">
        <f>IF('calcA'!CJ$106=1,GI19+ACX19,1)</f>
        <v/>
      </c>
      <c r="AIM19">
        <f>IF('calcA'!CK$106=1,GJ19+ACY19,1)</f>
        <v/>
      </c>
      <c r="AIN19">
        <f>IF('calcA'!CL$106=1,GK19+ACZ19,1)</f>
        <v/>
      </c>
      <c r="AIO19">
        <f>IF('calcA'!CM$106=1,GL19+ADA19,1)</f>
        <v/>
      </c>
      <c r="AIP19">
        <f>IF('calcA'!CN$106=1,GM19+ADB19,1)</f>
        <v/>
      </c>
      <c r="AIQ19">
        <f>IF('calcA'!CO$106=1,GN19+ADC19,1)</f>
        <v/>
      </c>
      <c r="AIR19">
        <f>IF('calcA'!CP$106=1,GO19+ADD19,1)</f>
        <v/>
      </c>
      <c r="AIS19">
        <f>IF('calcA'!CQ$106=1,GP19+ADE19,1)</f>
        <v/>
      </c>
      <c r="AIT19">
        <f>IF('calcA'!CR$106=1,GQ19+ADF19,1)</f>
        <v/>
      </c>
      <c r="AIU19">
        <f>IF('calcA'!CS$106=1,GR19+ADG19,1)</f>
        <v/>
      </c>
      <c r="AIV19">
        <f>IF('calcA'!CT$106=1,GS19+ADH19,1)</f>
        <v/>
      </c>
      <c r="AIW19">
        <f>IF('calcA'!CU$106=1,GT19+ADI19,1)</f>
        <v/>
      </c>
      <c r="AIX19">
        <f>IF('calcA'!CV$106=1,GU19+ADJ19,1)</f>
        <v/>
      </c>
      <c r="AIY19">
        <f>IF('calcA'!CW$106=1,GV19+ADK19,1)</f>
        <v/>
      </c>
      <c r="AIZ19">
        <f>IF('calcA'!CX$106=1,GW19+ADL19,1)</f>
        <v/>
      </c>
      <c r="AJA19">
        <f>IF('calcA'!CY$106=1,GX19+ADM19,1)</f>
        <v/>
      </c>
      <c r="AJB19">
        <f>IF('calcA'!CZ$106=1,GY19+ADN19,1)</f>
        <v/>
      </c>
      <c r="AJC19">
        <f>IF('calcA'!DA$106=1,GZ19+ADO19,1)</f>
        <v/>
      </c>
      <c r="AJD19">
        <f>IF('calcA'!DB$106=1,HA19+ADP19,1)</f>
        <v/>
      </c>
      <c r="AJE19">
        <f>IF('calcA'!DC$106=1,HB19+ADQ19,1)</f>
        <v/>
      </c>
      <c r="AJF19">
        <f>IF('calcA'!DD$106=1,HC19+ADR19,1)</f>
        <v/>
      </c>
      <c r="AJG19">
        <f>IF('calcA'!DE$106=1,HD19+ADS19,1)</f>
        <v/>
      </c>
      <c r="AJH19">
        <f>IF('calcA'!DF$106=1,HE19+ADT19,1)</f>
        <v/>
      </c>
      <c r="AJI19">
        <f>IF('calcA'!DG$106=1,HF19+ADU19,1)</f>
        <v/>
      </c>
      <c r="AJJ19">
        <f>IF('calcA'!DH$106=1,HG19+ADV19,1)</f>
        <v/>
      </c>
      <c r="AJK19">
        <f>IF('calcA'!DI$106=1,HH19+ADW19,1)</f>
        <v/>
      </c>
      <c r="AJL19">
        <f>IF('calcA'!DJ$106=1,HI19+ADX19,1)</f>
        <v/>
      </c>
      <c r="AJM19">
        <f>IF('calcA'!DK$106=1,HJ19+ADY19,1)</f>
        <v/>
      </c>
      <c r="AJN19">
        <f>IF('calcA'!DL$106=1,HK19+ADZ19,1)</f>
        <v/>
      </c>
      <c r="AJO19">
        <f>IF('calcA'!DM$106=1,HL19+AEA19,1)</f>
        <v/>
      </c>
      <c r="AJP19">
        <f>IF('calcA'!DN$106=1,HM19+AEB19,1)</f>
        <v/>
      </c>
      <c r="AJQ19">
        <f>IF('calcA'!DO$106=1,HN19+AEC19,1)</f>
        <v/>
      </c>
      <c r="AJR19">
        <f>IF('calcA'!DP$106=1,HO19+AED19,1)</f>
        <v/>
      </c>
      <c r="AJS19">
        <f>IF('calcA'!DQ$106=1,HP19+AEE19,1)</f>
        <v/>
      </c>
      <c r="AJT19">
        <f>IF('calcA'!DR$106=1,HQ19+AEF19,1)</f>
        <v/>
      </c>
      <c r="AJU19">
        <f>IF('calcA'!DS$106=1,HR19+AEG19,1)</f>
        <v/>
      </c>
      <c r="AJV19">
        <f>IF('calcA'!DT$106=1,HS19+AEH19,1)</f>
        <v/>
      </c>
      <c r="AJW19">
        <f>IF('calcA'!DU$106=1,HT19+AEI19,1)</f>
        <v/>
      </c>
      <c r="AJX19">
        <f>IF('calcA'!DV$106=1,HU19+AEJ19,1)</f>
        <v/>
      </c>
      <c r="AJY19">
        <f>IF('calcA'!DW$106=1,HV19+AEK19,1)</f>
        <v/>
      </c>
      <c r="AJZ19">
        <f>IF('calcA'!DX$106=1,HW19+AEL19,1)</f>
        <v/>
      </c>
      <c r="AKA19">
        <f>IF('calcA'!DY$106=1,HX19+AEM19,1)</f>
        <v/>
      </c>
      <c r="AKB19">
        <f>IF('calcA'!DZ$106=1,HY19+AEN19,1)</f>
        <v/>
      </c>
      <c r="AKC19">
        <f>IF('calcA'!EA$106=1,HZ19+AEO19,1)</f>
        <v/>
      </c>
      <c r="AKD19">
        <f>IF('calcA'!EB$106=1,IA19+AEP19,1)</f>
        <v/>
      </c>
      <c r="AKE19">
        <f>IF('calcA'!EC$106=1,IB19+AEQ19,1)</f>
        <v/>
      </c>
      <c r="AKF19">
        <f>IF('calcA'!ED$106=1,IC19+AER19,1)</f>
        <v/>
      </c>
      <c r="AKG19">
        <f>IF('calcA'!EE$106=1,ID19+AES19,1)</f>
        <v/>
      </c>
      <c r="AKH19">
        <f>IF('calcA'!EF$106=1,IE19+AET19,1)</f>
        <v/>
      </c>
      <c r="AKI19">
        <f>IF('calcA'!EG$106=1,IF19+AEU19,1)</f>
        <v/>
      </c>
      <c r="AKJ19">
        <f>IF('calcA'!EH$106=1,IG19+AEV19,1)</f>
        <v/>
      </c>
      <c r="AKK19">
        <f>IF('calcA'!EI$106=1,IH19+AEW19,1)</f>
        <v/>
      </c>
      <c r="AKL19">
        <f>IF('calcA'!EJ$106=1,II19+AEX19,1)</f>
        <v/>
      </c>
      <c r="AKM19">
        <f>IF('calcA'!EK$106=1,IJ19+AEY19,1)</f>
        <v/>
      </c>
      <c r="AKN19">
        <f>IF('calcA'!EL$106=1,IK19+AEZ19,1)</f>
        <v/>
      </c>
      <c r="AKO19">
        <f>IF('calcA'!EM$106=1,IL19+AFA19,1)</f>
        <v/>
      </c>
      <c r="AKP19">
        <f>IF('calcA'!EN$106=1,IM19+AFB19,1)</f>
        <v/>
      </c>
      <c r="AKQ19">
        <f>IF('calcA'!EO$106=1,IN19+AFC19,1)</f>
        <v/>
      </c>
      <c r="AKR19">
        <f>IF('calcA'!EP$106=1,IO19+AFD19,1)</f>
        <v/>
      </c>
      <c r="AKS19" t="n">
        <v>1</v>
      </c>
    </row>
    <row r="20">
      <c r="A20" t="n">
        <v>18</v>
      </c>
      <c r="B20">
        <f>IF(MIN(BM20:CZ20)&gt;=1000000000,0,MATCH(MIN(BM20:CZ20),BM20:CZ20,0))</f>
        <v/>
      </c>
      <c r="C20">
        <f>IF(MIN(OF20:TS20)&gt;=1000000000,0,MATCH(MIN(OF20:TS20),OF20:TS20,0))</f>
        <v/>
      </c>
      <c r="D20">
        <f>IF(C20&gt;0,INDEX('calcA'!$D$5:$EQ$5,C20),0)</f>
        <v/>
      </c>
      <c r="E20">
        <f>IF(B20=0,0,INDEX('calcA'!$IQ$10:$IQ$54,B20))</f>
        <v/>
      </c>
      <c r="F20">
        <f>IF(B20=0,0,INDEX('calcA'!$IP$10:$IP$54,B20))</f>
        <v/>
      </c>
      <c r="G20">
        <f>IF(AND(C20&gt;0,E20&gt;0),IF(AND(INDEX('calcA'!$D$106:$EQ$106,C20)=1,INDEX($IQ20:$OD20,C20)=1),C20+1,0),0)</f>
        <v/>
      </c>
      <c r="H20">
        <f>IF(B20=0,0,INDEX('calcA'!$IW$10:$IW$54,B20))</f>
        <v/>
      </c>
      <c r="U20">
        <f>IF(B20=0,0,INDEX('calcA'!$IX$10:$IX$54,B20))</f>
        <v/>
      </c>
      <c r="V20">
        <f>IF(B20=0,0,INDEX('calcA'!$JF$10:$JF$54,B20))</f>
        <v/>
      </c>
      <c r="W20">
        <f>IF(B20=0,0,IF(IF(E20=2,SUMPRODUCT(INDEX('calcA'!$D$60:$EQ$99,B20,0),$DB20:$IO20,$IQ20:$OD20),SUMPRODUCT(INDEX('calcA'!$D$60:$EQ$99,B20,0),$DB20:$IO20))=0,1,0))</f>
        <v/>
      </c>
      <c r="X20">
        <f>MAX(X19,IF($B19=1,1,0))</f>
        <v/>
      </c>
      <c r="Y20">
        <f>MAX(Y19,IF($B19=2,1,0))</f>
        <v/>
      </c>
      <c r="Z20">
        <f>MAX(Z19,IF($B19=3,1,0))</f>
        <v/>
      </c>
      <c r="AA20">
        <f>MAX(AA19,IF($B19=4,1,0))</f>
        <v/>
      </c>
      <c r="AB20">
        <f>MAX(AB19,IF($B19=5,1,0))</f>
        <v/>
      </c>
      <c r="AC20">
        <f>MAX(AC19,IF($B19=6,1,0))</f>
        <v/>
      </c>
      <c r="AD20">
        <f>MAX(AD19,IF($B19=7,1,0))</f>
        <v/>
      </c>
      <c r="AE20">
        <f>MAX(AE19,IF($B19=8,1,0))</f>
        <v/>
      </c>
      <c r="AF20">
        <f>MAX(AF19,IF($B19=9,1,0))</f>
        <v/>
      </c>
      <c r="AG20">
        <f>MAX(AG19,IF($B19=10,1,0))</f>
        <v/>
      </c>
      <c r="AH20">
        <f>MAX(AH19,IF($B19=11,1,0))</f>
        <v/>
      </c>
      <c r="AI20">
        <f>MAX(AI19,IF($B19=12,1,0))</f>
        <v/>
      </c>
      <c r="AJ20">
        <f>MAX(AJ19,IF($B19=13,1,0))</f>
        <v/>
      </c>
      <c r="AK20">
        <f>MAX(AK19,IF($B19=14,1,0))</f>
        <v/>
      </c>
      <c r="AL20">
        <f>MAX(AL19,IF($B19=15,1,0))</f>
        <v/>
      </c>
      <c r="AM20">
        <f>MAX(AM19,IF($B19=16,1,0))</f>
        <v/>
      </c>
      <c r="AN20">
        <f>MAX(AN19,IF($B19=17,1,0))</f>
        <v/>
      </c>
      <c r="AO20">
        <f>MAX(AO19,IF($B19=18,1,0))</f>
        <v/>
      </c>
      <c r="AP20">
        <f>MAX(AP19,IF($B19=19,1,0))</f>
        <v/>
      </c>
      <c r="AQ20">
        <f>MAX(AQ19,IF($B19=20,1,0))</f>
        <v/>
      </c>
      <c r="AR20">
        <f>MAX(AR19,IF($B19=21,1,0))</f>
        <v/>
      </c>
      <c r="AS20">
        <f>MAX(AS19,IF($B19=22,1,0))</f>
        <v/>
      </c>
      <c r="AT20">
        <f>MAX(AT19,IF($B19=23,1,0))</f>
        <v/>
      </c>
      <c r="AU20">
        <f>MAX(AU19,IF($B19=24,1,0))</f>
        <v/>
      </c>
      <c r="AV20">
        <f>MAX(AV19,IF($B19=25,1,0))</f>
        <v/>
      </c>
      <c r="AW20">
        <f>MAX(AW19,IF($B19=26,1,0))</f>
        <v/>
      </c>
      <c r="AX20">
        <f>MAX(AX19,IF($B19=27,1,0))</f>
        <v/>
      </c>
      <c r="AY20">
        <f>MAX(AY19,IF($B19=28,1,0))</f>
        <v/>
      </c>
      <c r="AZ20">
        <f>MAX(AZ19,IF($B19=29,1,0))</f>
        <v/>
      </c>
      <c r="BA20">
        <f>MAX(BA19,IF($B19=30,1,0))</f>
        <v/>
      </c>
      <c r="BB20">
        <f>MAX(BB19,IF($B19=31,1,0))</f>
        <v/>
      </c>
      <c r="BC20">
        <f>MAX(BC19,IF($B19=32,1,0))</f>
        <v/>
      </c>
      <c r="BD20">
        <f>MAX(BD19,IF($B19=33,1,0))</f>
        <v/>
      </c>
      <c r="BE20">
        <f>MAX(BE19,IF($B19=34,1,0))</f>
        <v/>
      </c>
      <c r="BF20">
        <f>MAX(BF19,IF($B19=35,1,0))</f>
        <v/>
      </c>
      <c r="BG20">
        <f>MAX(BG19,IF($B19=36,1,0))</f>
        <v/>
      </c>
      <c r="BH20">
        <f>MAX(BH19,IF($B19=37,1,0))</f>
        <v/>
      </c>
      <c r="BI20">
        <f>MAX(BI19,IF($B19=38,1,0))</f>
        <v/>
      </c>
      <c r="BJ20">
        <f>MAX(BJ19,IF($B19=39,1,0))</f>
        <v/>
      </c>
      <c r="BK20">
        <f>MAX(BK19,IF($B19=40,1,0))</f>
        <v/>
      </c>
      <c r="BM20">
        <f>IF(OR(X20=1,calcA!$A$6=0),1000000000,IF('calcA'!$JF$10=1,0,100000000)+IF('calcA'!$IQ$10=2,SUMPRODUCT('calcA'!$D$60:$EQ$60,$DB20:$IO20,$IQ20:$OD20)*1000+SUMPRODUCT('calcA'!$D$60:$EQ$60,$DB20:$IO20+$ZQ20:$AFD20,$AFF20:$AKS20),SUMPRODUCT('calcA'!$D$60:$EQ$60,$DB20:$IO20*1001+$ZQ20:$AFD20))*100+1)</f>
        <v/>
      </c>
      <c r="BN20">
        <f>IF(OR(Y20=1,calcA!$A$6=0),1000000000,IF('calcA'!$JF$11=1,0,100000000)+IF('calcA'!$IQ$11=2,SUMPRODUCT('calcA'!$D$61:$EQ$61,$DB20:$IO20,$IQ20:$OD20)*1000+SUMPRODUCT('calcA'!$D$61:$EQ$61,$DB20:$IO20+$ZQ20:$AFD20,$AFF20:$AKS20),SUMPRODUCT('calcA'!$D$61:$EQ$61,$DB20:$IO20*1001+$ZQ20:$AFD20))*100+2)</f>
        <v/>
      </c>
      <c r="BO20">
        <f>IF(OR(Z20=1,calcA!$A$6=0),1000000000,IF('calcA'!$JF$12=1,0,100000000)+IF('calcA'!$IQ$12=2,SUMPRODUCT('calcA'!$D$62:$EQ$62,$DB20:$IO20,$IQ20:$OD20)*1000+SUMPRODUCT('calcA'!$D$62:$EQ$62,$DB20:$IO20+$ZQ20:$AFD20,$AFF20:$AKS20),SUMPRODUCT('calcA'!$D$62:$EQ$62,$DB20:$IO20*1001+$ZQ20:$AFD20))*100+3)</f>
        <v/>
      </c>
      <c r="BP20">
        <f>IF(OR(AA20=1,calcA!$A$6=0),1000000000,IF('calcA'!$JF$13=1,0,100000000)+IF('calcA'!$IQ$13=2,SUMPRODUCT('calcA'!$D$63:$EQ$63,$DB20:$IO20,$IQ20:$OD20)*1000+SUMPRODUCT('calcA'!$D$63:$EQ$63,$DB20:$IO20+$ZQ20:$AFD20,$AFF20:$AKS20),SUMPRODUCT('calcA'!$D$63:$EQ$63,$DB20:$IO20*1001+$ZQ20:$AFD20))*100+4)</f>
        <v/>
      </c>
      <c r="BQ20">
        <f>IF(OR(AB20=1,calcA!$A$6=0),1000000000,IF('calcA'!$JF$14=1,0,100000000)+IF('calcA'!$IQ$14=2,SUMPRODUCT('calcA'!$D$64:$EQ$64,$DB20:$IO20,$IQ20:$OD20)*1000+SUMPRODUCT('calcA'!$D$64:$EQ$64,$DB20:$IO20+$ZQ20:$AFD20,$AFF20:$AKS20),SUMPRODUCT('calcA'!$D$64:$EQ$64,$DB20:$IO20*1001+$ZQ20:$AFD20))*100+5)</f>
        <v/>
      </c>
      <c r="BR20">
        <f>IF(OR(AC20=1,calcA!$A$6=0),1000000000,IF('calcA'!$JF$15=1,0,100000000)+IF('calcA'!$IQ$15=2,SUMPRODUCT('calcA'!$D$65:$EQ$65,$DB20:$IO20,$IQ20:$OD20)*1000+SUMPRODUCT('calcA'!$D$65:$EQ$65,$DB20:$IO20+$ZQ20:$AFD20,$AFF20:$AKS20),SUMPRODUCT('calcA'!$D$65:$EQ$65,$DB20:$IO20*1001+$ZQ20:$AFD20))*100+6)</f>
        <v/>
      </c>
      <c r="BS20">
        <f>IF(OR(AD20=1,calcA!$A$6=0),1000000000,IF('calcA'!$JF$16=1,0,100000000)+IF('calcA'!$IQ$16=2,SUMPRODUCT('calcA'!$D$66:$EQ$66,$DB20:$IO20,$IQ20:$OD20)*1000+SUMPRODUCT('calcA'!$D$66:$EQ$66,$DB20:$IO20+$ZQ20:$AFD20,$AFF20:$AKS20),SUMPRODUCT('calcA'!$D$66:$EQ$66,$DB20:$IO20*1001+$ZQ20:$AFD20))*100+7)</f>
        <v/>
      </c>
      <c r="BT20">
        <f>IF(OR(AE20=1,calcA!$A$6=0),1000000000,IF('calcA'!$JF$17=1,0,100000000)+IF('calcA'!$IQ$17=2,SUMPRODUCT('calcA'!$D$67:$EQ$67,$DB20:$IO20,$IQ20:$OD20)*1000+SUMPRODUCT('calcA'!$D$67:$EQ$67,$DB20:$IO20+$ZQ20:$AFD20,$AFF20:$AKS20),SUMPRODUCT('calcA'!$D$67:$EQ$67,$DB20:$IO20*1001+$ZQ20:$AFD20))*100+8)</f>
        <v/>
      </c>
      <c r="BU20">
        <f>IF(OR(AF20=1,calcA!$A$6=0),1000000000,IF('calcA'!$JF$18=1,0,100000000)+IF('calcA'!$IQ$18=2,SUMPRODUCT('calcA'!$D$68:$EQ$68,$DB20:$IO20,$IQ20:$OD20)*1000+SUMPRODUCT('calcA'!$D$68:$EQ$68,$DB20:$IO20+$ZQ20:$AFD20,$AFF20:$AKS20),SUMPRODUCT('calcA'!$D$68:$EQ$68,$DB20:$IO20*1001+$ZQ20:$AFD20))*100+9)</f>
        <v/>
      </c>
      <c r="BV20">
        <f>IF(OR(AG20=1,calcA!$A$6=0),1000000000,IF('calcA'!$JF$19=1,0,100000000)+IF('calcA'!$IQ$19=2,SUMPRODUCT('calcA'!$D$69:$EQ$69,$DB20:$IO20,$IQ20:$OD20)*1000+SUMPRODUCT('calcA'!$D$69:$EQ$69,$DB20:$IO20+$ZQ20:$AFD20,$AFF20:$AKS20),SUMPRODUCT('calcA'!$D$69:$EQ$69,$DB20:$IO20*1001+$ZQ20:$AFD20))*100+10)</f>
        <v/>
      </c>
      <c r="BW20">
        <f>IF(OR(AH20=1,calcA!$A$6=0),1000000000,IF('calcA'!$JF$20=1,0,100000000)+IF('calcA'!$IQ$20=2,SUMPRODUCT('calcA'!$D$70:$EQ$70,$DB20:$IO20,$IQ20:$OD20)*1000+SUMPRODUCT('calcA'!$D$70:$EQ$70,$DB20:$IO20+$ZQ20:$AFD20,$AFF20:$AKS20),SUMPRODUCT('calcA'!$D$70:$EQ$70,$DB20:$IO20*1001+$ZQ20:$AFD20))*100+11)</f>
        <v/>
      </c>
      <c r="BX20">
        <f>IF(OR(AI20=1,calcA!$A$6=0),1000000000,IF('calcA'!$JF$21=1,0,100000000)+IF('calcA'!$IQ$21=2,SUMPRODUCT('calcA'!$D$71:$EQ$71,$DB20:$IO20,$IQ20:$OD20)*1000+SUMPRODUCT('calcA'!$D$71:$EQ$71,$DB20:$IO20+$ZQ20:$AFD20,$AFF20:$AKS20),SUMPRODUCT('calcA'!$D$71:$EQ$71,$DB20:$IO20*1001+$ZQ20:$AFD20))*100+12)</f>
        <v/>
      </c>
      <c r="BY20">
        <f>IF(OR(AJ20=1,calcA!$A$6=0),1000000000,IF('calcA'!$JF$22=1,0,100000000)+IF('calcA'!$IQ$22=2,SUMPRODUCT('calcA'!$D$72:$EQ$72,$DB20:$IO20,$IQ20:$OD20)*1000+SUMPRODUCT('calcA'!$D$72:$EQ$72,$DB20:$IO20+$ZQ20:$AFD20,$AFF20:$AKS20),SUMPRODUCT('calcA'!$D$72:$EQ$72,$DB20:$IO20*1001+$ZQ20:$AFD20))*100+13)</f>
        <v/>
      </c>
      <c r="BZ20">
        <f>IF(OR(AK20=1,calcA!$A$6=0),1000000000,IF('calcA'!$JF$23=1,0,100000000)+IF('calcA'!$IQ$23=2,SUMPRODUCT('calcA'!$D$73:$EQ$73,$DB20:$IO20,$IQ20:$OD20)*1000+SUMPRODUCT('calcA'!$D$73:$EQ$73,$DB20:$IO20+$ZQ20:$AFD20,$AFF20:$AKS20),SUMPRODUCT('calcA'!$D$73:$EQ$73,$DB20:$IO20*1001+$ZQ20:$AFD20))*100+14)</f>
        <v/>
      </c>
      <c r="CA20">
        <f>IF(OR(AL20=1,calcA!$A$6=0),1000000000,IF('calcA'!$JF$24=1,0,100000000)+IF('calcA'!$IQ$24=2,SUMPRODUCT('calcA'!$D$74:$EQ$74,$DB20:$IO20,$IQ20:$OD20)*1000+SUMPRODUCT('calcA'!$D$74:$EQ$74,$DB20:$IO20+$ZQ20:$AFD20,$AFF20:$AKS20),SUMPRODUCT('calcA'!$D$74:$EQ$74,$DB20:$IO20*1001+$ZQ20:$AFD20))*100+15)</f>
        <v/>
      </c>
      <c r="CB20">
        <f>IF(OR(AM20=1,calcA!$A$6=0),1000000000,IF('calcA'!$JF$25=1,0,100000000)+IF('calcA'!$IQ$25=2,SUMPRODUCT('calcA'!$D$75:$EQ$75,$DB20:$IO20,$IQ20:$OD20)*1000+SUMPRODUCT('calcA'!$D$75:$EQ$75,$DB20:$IO20+$ZQ20:$AFD20,$AFF20:$AKS20),SUMPRODUCT('calcA'!$D$75:$EQ$75,$DB20:$IO20*1001+$ZQ20:$AFD20))*100+16)</f>
        <v/>
      </c>
      <c r="CC20">
        <f>IF(OR(AN20=1,calcA!$A$6=0),1000000000,IF('calcA'!$JF$26=1,0,100000000)+IF('calcA'!$IQ$26=2,SUMPRODUCT('calcA'!$D$76:$EQ$76,$DB20:$IO20,$IQ20:$OD20)*1000+SUMPRODUCT('calcA'!$D$76:$EQ$76,$DB20:$IO20+$ZQ20:$AFD20,$AFF20:$AKS20),SUMPRODUCT('calcA'!$D$76:$EQ$76,$DB20:$IO20*1001+$ZQ20:$AFD20))*100+17)</f>
        <v/>
      </c>
      <c r="CD20">
        <f>IF(OR(AO20=1,calcA!$A$6=0),1000000000,IF('calcA'!$JF$27=1,0,100000000)+IF('calcA'!$IQ$27=2,SUMPRODUCT('calcA'!$D$77:$EQ$77,$DB20:$IO20,$IQ20:$OD20)*1000+SUMPRODUCT('calcA'!$D$77:$EQ$77,$DB20:$IO20+$ZQ20:$AFD20,$AFF20:$AKS20),SUMPRODUCT('calcA'!$D$77:$EQ$77,$DB20:$IO20*1001+$ZQ20:$AFD20))*100+18)</f>
        <v/>
      </c>
      <c r="CE20">
        <f>IF(OR(AP20=1,calcA!$A$6=0),1000000000,IF('calcA'!$JF$28=1,0,100000000)+IF('calcA'!$IQ$28=2,SUMPRODUCT('calcA'!$D$78:$EQ$78,$DB20:$IO20,$IQ20:$OD20)*1000+SUMPRODUCT('calcA'!$D$78:$EQ$78,$DB20:$IO20+$ZQ20:$AFD20,$AFF20:$AKS20),SUMPRODUCT('calcA'!$D$78:$EQ$78,$DB20:$IO20*1001+$ZQ20:$AFD20))*100+19)</f>
        <v/>
      </c>
      <c r="CF20">
        <f>IF(OR(AQ20=1,calcA!$A$6=0),1000000000,IF('calcA'!$JF$29=1,0,100000000)+IF('calcA'!$IQ$29=2,SUMPRODUCT('calcA'!$D$79:$EQ$79,$DB20:$IO20,$IQ20:$OD20)*1000+SUMPRODUCT('calcA'!$D$79:$EQ$79,$DB20:$IO20+$ZQ20:$AFD20,$AFF20:$AKS20),SUMPRODUCT('calcA'!$D$79:$EQ$79,$DB20:$IO20*1001+$ZQ20:$AFD20))*100+20)</f>
        <v/>
      </c>
      <c r="CG20">
        <f>IF(OR(AR20=1,calcA!$A$6=0),1000000000,IF('calcA'!$JF$30=1,0,100000000)+IF('calcA'!$IQ$30=2,SUMPRODUCT('calcA'!$D$80:$EQ$80,$DB20:$IO20,$IQ20:$OD20)*1000+SUMPRODUCT('calcA'!$D$80:$EQ$80,$DB20:$IO20+$ZQ20:$AFD20,$AFF20:$AKS20),SUMPRODUCT('calcA'!$D$80:$EQ$80,$DB20:$IO20*1001+$ZQ20:$AFD20))*100+21)</f>
        <v/>
      </c>
      <c r="CH20">
        <f>IF(OR(AS20=1,calcA!$A$6=0),1000000000,IF('calcA'!$JF$31=1,0,100000000)+IF('calcA'!$IQ$31=2,SUMPRODUCT('calcA'!$D$81:$EQ$81,$DB20:$IO20,$IQ20:$OD20)*1000+SUMPRODUCT('calcA'!$D$81:$EQ$81,$DB20:$IO20+$ZQ20:$AFD20,$AFF20:$AKS20),SUMPRODUCT('calcA'!$D$81:$EQ$81,$DB20:$IO20*1001+$ZQ20:$AFD20))*100+22)</f>
        <v/>
      </c>
      <c r="CI20">
        <f>IF(OR(AT20=1,calcA!$A$6=0),1000000000,IF('calcA'!$JF$32=1,0,100000000)+IF('calcA'!$IQ$32=2,SUMPRODUCT('calcA'!$D$82:$EQ$82,$DB20:$IO20,$IQ20:$OD20)*1000+SUMPRODUCT('calcA'!$D$82:$EQ$82,$DB20:$IO20+$ZQ20:$AFD20,$AFF20:$AKS20),SUMPRODUCT('calcA'!$D$82:$EQ$82,$DB20:$IO20*1001+$ZQ20:$AFD20))*100+23)</f>
        <v/>
      </c>
      <c r="CJ20">
        <f>IF(OR(AU20=1,calcA!$A$6=0),1000000000,IF('calcA'!$JF$33=1,0,100000000)+IF('calcA'!$IQ$33=2,SUMPRODUCT('calcA'!$D$83:$EQ$83,$DB20:$IO20,$IQ20:$OD20)*1000+SUMPRODUCT('calcA'!$D$83:$EQ$83,$DB20:$IO20+$ZQ20:$AFD20,$AFF20:$AKS20),SUMPRODUCT('calcA'!$D$83:$EQ$83,$DB20:$IO20*1001+$ZQ20:$AFD20))*100+24)</f>
        <v/>
      </c>
      <c r="CK20">
        <f>IF(OR(AV20=1,calcA!$A$6=0),1000000000,IF('calcA'!$JF$34=1,0,100000000)+IF('calcA'!$IQ$34=2,SUMPRODUCT('calcA'!$D$84:$EQ$84,$DB20:$IO20,$IQ20:$OD20)*1000+SUMPRODUCT('calcA'!$D$84:$EQ$84,$DB20:$IO20+$ZQ20:$AFD20,$AFF20:$AKS20),SUMPRODUCT('calcA'!$D$84:$EQ$84,$DB20:$IO20*1001+$ZQ20:$AFD20))*100+25)</f>
        <v/>
      </c>
      <c r="CL20">
        <f>IF(OR(AW20=1,calcA!$A$6=0),1000000000,IF('calcA'!$JF$35=1,0,100000000)+IF('calcA'!$IQ$35=2,SUMPRODUCT('calcA'!$D$85:$EQ$85,$DB20:$IO20,$IQ20:$OD20)*1000+SUMPRODUCT('calcA'!$D$85:$EQ$85,$DB20:$IO20+$ZQ20:$AFD20,$AFF20:$AKS20),SUMPRODUCT('calcA'!$D$85:$EQ$85,$DB20:$IO20*1001+$ZQ20:$AFD20))*100+26)</f>
        <v/>
      </c>
      <c r="CM20">
        <f>IF(OR(AX20=1,calcA!$A$6=0),1000000000,IF('calcA'!$JF$36=1,0,100000000)+IF('calcA'!$IQ$36=2,SUMPRODUCT('calcA'!$D$86:$EQ$86,$DB20:$IO20,$IQ20:$OD20)*1000+SUMPRODUCT('calcA'!$D$86:$EQ$86,$DB20:$IO20+$ZQ20:$AFD20,$AFF20:$AKS20),SUMPRODUCT('calcA'!$D$86:$EQ$86,$DB20:$IO20*1001+$ZQ20:$AFD20))*100+27)</f>
        <v/>
      </c>
      <c r="CN20">
        <f>IF(OR(AY20=1,calcA!$A$6=0),1000000000,IF('calcA'!$JF$37=1,0,100000000)+IF('calcA'!$IQ$37=2,SUMPRODUCT('calcA'!$D$87:$EQ$87,$DB20:$IO20,$IQ20:$OD20)*1000+SUMPRODUCT('calcA'!$D$87:$EQ$87,$DB20:$IO20+$ZQ20:$AFD20,$AFF20:$AKS20),SUMPRODUCT('calcA'!$D$87:$EQ$87,$DB20:$IO20*1001+$ZQ20:$AFD20))*100+28)</f>
        <v/>
      </c>
      <c r="CO20">
        <f>IF(OR(AZ20=1,calcA!$A$6=0),1000000000,IF('calcA'!$JF$38=1,0,100000000)+IF('calcA'!$IQ$38=2,SUMPRODUCT('calcA'!$D$88:$EQ$88,$DB20:$IO20,$IQ20:$OD20)*1000+SUMPRODUCT('calcA'!$D$88:$EQ$88,$DB20:$IO20+$ZQ20:$AFD20,$AFF20:$AKS20),SUMPRODUCT('calcA'!$D$88:$EQ$88,$DB20:$IO20*1001+$ZQ20:$AFD20))*100+29)</f>
        <v/>
      </c>
      <c r="CP20">
        <f>IF(OR(BA20=1,calcA!$A$6=0),1000000000,IF('calcA'!$JF$39=1,0,100000000)+IF('calcA'!$IQ$39=2,SUMPRODUCT('calcA'!$D$89:$EQ$89,$DB20:$IO20,$IQ20:$OD20)*1000+SUMPRODUCT('calcA'!$D$89:$EQ$89,$DB20:$IO20+$ZQ20:$AFD20,$AFF20:$AKS20),SUMPRODUCT('calcA'!$D$89:$EQ$89,$DB20:$IO20*1001+$ZQ20:$AFD20))*100+30)</f>
        <v/>
      </c>
      <c r="CQ20">
        <f>IF(OR(BB20=1,calcA!$A$6=0),1000000000,IF('calcA'!$JF$40=1,0,100000000)+IF('calcA'!$IQ$40=2,SUMPRODUCT('calcA'!$D$90:$EQ$90,$DB20:$IO20,$IQ20:$OD20)*1000+SUMPRODUCT('calcA'!$D$90:$EQ$90,$DB20:$IO20+$ZQ20:$AFD20,$AFF20:$AKS20),SUMPRODUCT('calcA'!$D$90:$EQ$90,$DB20:$IO20*1001+$ZQ20:$AFD20))*100+31)</f>
        <v/>
      </c>
      <c r="CR20">
        <f>IF(OR(BC20=1,calcA!$A$6=0),1000000000,IF('calcA'!$JF$41=1,0,100000000)+IF('calcA'!$IQ$41=2,SUMPRODUCT('calcA'!$D$91:$EQ$91,$DB20:$IO20,$IQ20:$OD20)*1000+SUMPRODUCT('calcA'!$D$91:$EQ$91,$DB20:$IO20+$ZQ20:$AFD20,$AFF20:$AKS20),SUMPRODUCT('calcA'!$D$91:$EQ$91,$DB20:$IO20*1001+$ZQ20:$AFD20))*100+32)</f>
        <v/>
      </c>
      <c r="CS20">
        <f>IF(OR(BD20=1,calcA!$A$6=0),1000000000,IF('calcA'!$JF$42=1,0,100000000)+IF('calcA'!$IQ$42=2,SUMPRODUCT('calcA'!$D$92:$EQ$92,$DB20:$IO20,$IQ20:$OD20)*1000+SUMPRODUCT('calcA'!$D$92:$EQ$92,$DB20:$IO20+$ZQ20:$AFD20,$AFF20:$AKS20),SUMPRODUCT('calcA'!$D$92:$EQ$92,$DB20:$IO20*1001+$ZQ20:$AFD20))*100+33)</f>
        <v/>
      </c>
      <c r="CT20">
        <f>IF(OR(BE20=1,calcA!$A$6=0),1000000000,IF('calcA'!$JF$43=1,0,100000000)+IF('calcA'!$IQ$43=2,SUMPRODUCT('calcA'!$D$93:$EQ$93,$DB20:$IO20,$IQ20:$OD20)*1000+SUMPRODUCT('calcA'!$D$93:$EQ$93,$DB20:$IO20+$ZQ20:$AFD20,$AFF20:$AKS20),SUMPRODUCT('calcA'!$D$93:$EQ$93,$DB20:$IO20*1001+$ZQ20:$AFD20))*100+34)</f>
        <v/>
      </c>
      <c r="CU20">
        <f>IF(OR(BF20=1,calcA!$A$6=0),1000000000,IF('calcA'!$JF$44=1,0,100000000)+IF('calcA'!$IQ$44=2,SUMPRODUCT('calcA'!$D$94:$EQ$94,$DB20:$IO20,$IQ20:$OD20)*1000+SUMPRODUCT('calcA'!$D$94:$EQ$94,$DB20:$IO20+$ZQ20:$AFD20,$AFF20:$AKS20),SUMPRODUCT('calcA'!$D$94:$EQ$94,$DB20:$IO20*1001+$ZQ20:$AFD20))*100+35)</f>
        <v/>
      </c>
      <c r="CV20">
        <f>IF(OR(BG20=1,calcA!$A$6=0),1000000000,IF('calcA'!$JF$45=1,0,100000000)+IF('calcA'!$IQ$45=2,SUMPRODUCT('calcA'!$D$95:$EQ$95,$DB20:$IO20,$IQ20:$OD20)*1000+SUMPRODUCT('calcA'!$D$95:$EQ$95,$DB20:$IO20+$ZQ20:$AFD20,$AFF20:$AKS20),SUMPRODUCT('calcA'!$D$95:$EQ$95,$DB20:$IO20*1001+$ZQ20:$AFD20))*100+36)</f>
        <v/>
      </c>
      <c r="CW20">
        <f>IF(OR(BH20=1,calcA!$A$6=0),1000000000,IF('calcA'!$JF$46=1,0,100000000)+IF('calcA'!$IQ$46=2,SUMPRODUCT('calcA'!$D$96:$EQ$96,$DB20:$IO20,$IQ20:$OD20)*1000+SUMPRODUCT('calcA'!$D$96:$EQ$96,$DB20:$IO20+$ZQ20:$AFD20,$AFF20:$AKS20),SUMPRODUCT('calcA'!$D$96:$EQ$96,$DB20:$IO20*1001+$ZQ20:$AFD20))*100+37)</f>
        <v/>
      </c>
      <c r="CX20">
        <f>IF(OR(BI20=1,calcA!$A$6=0),1000000000,IF('calcA'!$JF$47=1,0,100000000)+IF('calcA'!$IQ$47=2,SUMPRODUCT('calcA'!$D$97:$EQ$97,$DB20:$IO20,$IQ20:$OD20)*1000+SUMPRODUCT('calcA'!$D$97:$EQ$97,$DB20:$IO20+$ZQ20:$AFD20,$AFF20:$AKS20),SUMPRODUCT('calcA'!$D$97:$EQ$97,$DB20:$IO20*1001+$ZQ20:$AFD20))*100+38)</f>
        <v/>
      </c>
      <c r="CY20">
        <f>IF(OR(BJ20=1,calcA!$A$6=0),1000000000,IF('calcA'!$JF$48=1,0,100000000)+IF('calcA'!$IQ$48=2,SUMPRODUCT('calcA'!$D$98:$EQ$98,$DB20:$IO20,$IQ20:$OD20)*1000+SUMPRODUCT('calcA'!$D$98:$EQ$98,$DB20:$IO20+$ZQ20:$AFD20,$AFF20:$AKS20),SUMPRODUCT('calcA'!$D$98:$EQ$98,$DB20:$IO20*1001+$ZQ20:$AFD20))*100+39)</f>
        <v/>
      </c>
      <c r="CZ20">
        <f>IF(OR(BK20=1,calcA!$A$6=0),1000000000,IF('calcA'!$JF$49=1,0,100000000)+IF('calcA'!$IQ$49=2,SUMPRODUCT('calcA'!$D$99:$EQ$99,$DB20:$IO20,$IQ20:$OD20)*1000+SUMPRODUCT('calcA'!$D$99:$EQ$99,$DB20:$IO20+$ZQ20:$AFD20,$AFF20:$AKS20),SUMPRODUCT('calcA'!$D$99:$EQ$99,$DB20:$IO20*1001+$ZQ20:$AFD20))*100+40)</f>
        <v/>
      </c>
      <c r="DB20">
        <f>DB19*IF(OR($C19=1,$G19=1),0,1)</f>
        <v/>
      </c>
      <c r="DC20">
        <f>DC19*IF(OR($C19=2,$G19=2),0,1)</f>
        <v/>
      </c>
      <c r="DD20">
        <f>DD19*IF(OR($C19=3,$G19=3),0,1)</f>
        <v/>
      </c>
      <c r="DE20">
        <f>DE19*IF(OR($C19=4,$G19=4),0,1)</f>
        <v/>
      </c>
      <c r="DF20">
        <f>DF19*IF(OR($C19=5,$G19=5),0,1)</f>
        <v/>
      </c>
      <c r="DG20">
        <f>DG19*IF(OR($C19=6,$G19=6),0,1)</f>
        <v/>
      </c>
      <c r="DH20">
        <f>DH19*IF(OR($C19=7,$G19=7),0,1)</f>
        <v/>
      </c>
      <c r="DI20">
        <f>DI19*IF(OR($C19=8,$G19=8),0,1)</f>
        <v/>
      </c>
      <c r="DJ20">
        <f>DJ19*IF(OR($C19=9,$G19=9),0,1)</f>
        <v/>
      </c>
      <c r="DK20">
        <f>DK19*IF(OR($C19=10,$G19=10),0,1)</f>
        <v/>
      </c>
      <c r="DL20">
        <f>DL19*IF(OR($C19=11,$G19=11),0,1)</f>
        <v/>
      </c>
      <c r="DM20">
        <f>DM19*IF(OR($C19=12,$G19=12),0,1)</f>
        <v/>
      </c>
      <c r="DN20">
        <f>DN19*IF(OR($C19=13,$G19=13),0,1)</f>
        <v/>
      </c>
      <c r="DO20">
        <f>DO19*IF(OR($C19=14,$G19=14),0,1)</f>
        <v/>
      </c>
      <c r="DP20">
        <f>DP19*IF(OR($C19=15,$G19=15),0,1)</f>
        <v/>
      </c>
      <c r="DQ20">
        <f>DQ19*IF(OR($C19=16,$G19=16),0,1)</f>
        <v/>
      </c>
      <c r="DR20">
        <f>DR19*IF(OR($C19=17,$G19=17),0,1)</f>
        <v/>
      </c>
      <c r="DS20">
        <f>DS19*IF(OR($C19=18,$G19=18),0,1)</f>
        <v/>
      </c>
      <c r="DT20">
        <f>DT19*IF(OR($C19=19,$G19=19),0,1)</f>
        <v/>
      </c>
      <c r="DU20">
        <f>DU19*IF(OR($C19=20,$G19=20),0,1)</f>
        <v/>
      </c>
      <c r="DV20">
        <f>DV19*IF(OR($C19=21,$G19=21),0,1)</f>
        <v/>
      </c>
      <c r="DW20">
        <f>DW19*IF(OR($C19=22,$G19=22),0,1)</f>
        <v/>
      </c>
      <c r="DX20">
        <f>DX19*IF(OR($C19=23,$G19=23),0,1)</f>
        <v/>
      </c>
      <c r="DY20">
        <f>DY19*IF(OR($C19=24,$G19=24),0,1)</f>
        <v/>
      </c>
      <c r="DZ20">
        <f>DZ19*IF(OR($C19=25,$G19=25),0,1)</f>
        <v/>
      </c>
      <c r="EA20">
        <f>EA19*IF(OR($C19=26,$G19=26),0,1)</f>
        <v/>
      </c>
      <c r="EB20">
        <f>EB19*IF(OR($C19=27,$G19=27),0,1)</f>
        <v/>
      </c>
      <c r="EC20">
        <f>EC19*IF(OR($C19=28,$G19=28),0,1)</f>
        <v/>
      </c>
      <c r="ED20">
        <f>ED19*IF(OR($C19=29,$G19=29),0,1)</f>
        <v/>
      </c>
      <c r="EE20">
        <f>EE19*IF(OR($C19=30,$G19=30),0,1)</f>
        <v/>
      </c>
      <c r="EF20">
        <f>EF19*IF(OR($C19=31,$G19=31),0,1)</f>
        <v/>
      </c>
      <c r="EG20">
        <f>EG19*IF(OR($C19=32,$G19=32),0,1)</f>
        <v/>
      </c>
      <c r="EH20">
        <f>EH19*IF(OR($C19=33,$G19=33),0,1)</f>
        <v/>
      </c>
      <c r="EI20">
        <f>EI19*IF(OR($C19=34,$G19=34),0,1)</f>
        <v/>
      </c>
      <c r="EJ20">
        <f>EJ19*IF(OR($C19=35,$G19=35),0,1)</f>
        <v/>
      </c>
      <c r="EK20">
        <f>EK19*IF(OR($C19=36,$G19=36),0,1)</f>
        <v/>
      </c>
      <c r="EL20">
        <f>EL19*IF(OR($C19=37,$G19=37),0,1)</f>
        <v/>
      </c>
      <c r="EM20">
        <f>EM19*IF(OR($C19=38,$G19=38),0,1)</f>
        <v/>
      </c>
      <c r="EN20">
        <f>EN19*IF(OR($C19=39,$G19=39),0,1)</f>
        <v/>
      </c>
      <c r="EO20">
        <f>EO19*IF(OR($C19=40,$G19=40),0,1)</f>
        <v/>
      </c>
      <c r="EP20">
        <f>EP19*IF(OR($C19=41,$G19=41),0,1)</f>
        <v/>
      </c>
      <c r="EQ20">
        <f>EQ19*IF(OR($C19=42,$G19=42),0,1)</f>
        <v/>
      </c>
      <c r="ER20">
        <f>ER19*IF(OR($C19=43,$G19=43),0,1)</f>
        <v/>
      </c>
      <c r="ES20">
        <f>ES19*IF(OR($C19=44,$G19=44),0,1)</f>
        <v/>
      </c>
      <c r="ET20">
        <f>ET19*IF(OR($C19=45,$G19=45),0,1)</f>
        <v/>
      </c>
      <c r="EU20">
        <f>EU19*IF(OR($C19=46,$G19=46),0,1)</f>
        <v/>
      </c>
      <c r="EV20">
        <f>EV19*IF(OR($C19=47,$G19=47),0,1)</f>
        <v/>
      </c>
      <c r="EW20">
        <f>EW19*IF(OR($C19=48,$G19=48),0,1)</f>
        <v/>
      </c>
      <c r="EX20">
        <f>EX19*IF(OR($C19=49,$G19=49),0,1)</f>
        <v/>
      </c>
      <c r="EY20">
        <f>EY19*IF(OR($C19=50,$G19=50),0,1)</f>
        <v/>
      </c>
      <c r="EZ20">
        <f>EZ19*IF(OR($C19=51,$G19=51),0,1)</f>
        <v/>
      </c>
      <c r="FA20">
        <f>FA19*IF(OR($C19=52,$G19=52),0,1)</f>
        <v/>
      </c>
      <c r="FB20">
        <f>FB19*IF(OR($C19=53,$G19=53),0,1)</f>
        <v/>
      </c>
      <c r="FC20">
        <f>FC19*IF(OR($C19=54,$G19=54),0,1)</f>
        <v/>
      </c>
      <c r="FD20">
        <f>FD19*IF(OR($C19=55,$G19=55),0,1)</f>
        <v/>
      </c>
      <c r="FE20">
        <f>FE19*IF(OR($C19=56,$G19=56),0,1)</f>
        <v/>
      </c>
      <c r="FF20">
        <f>FF19*IF(OR($C19=57,$G19=57),0,1)</f>
        <v/>
      </c>
      <c r="FG20">
        <f>FG19*IF(OR($C19=58,$G19=58),0,1)</f>
        <v/>
      </c>
      <c r="FH20">
        <f>FH19*IF(OR($C19=59,$G19=59),0,1)</f>
        <v/>
      </c>
      <c r="FI20">
        <f>FI19*IF(OR($C19=60,$G19=60),0,1)</f>
        <v/>
      </c>
      <c r="FJ20">
        <f>FJ19*IF(OR($C19=61,$G19=61),0,1)</f>
        <v/>
      </c>
      <c r="FK20">
        <f>FK19*IF(OR($C19=62,$G19=62),0,1)</f>
        <v/>
      </c>
      <c r="FL20">
        <f>FL19*IF(OR($C19=63,$G19=63),0,1)</f>
        <v/>
      </c>
      <c r="FM20">
        <f>FM19*IF(OR($C19=64,$G19=64),0,1)</f>
        <v/>
      </c>
      <c r="FN20">
        <f>FN19*IF(OR($C19=65,$G19=65),0,1)</f>
        <v/>
      </c>
      <c r="FO20">
        <f>FO19*IF(OR($C19=66,$G19=66),0,1)</f>
        <v/>
      </c>
      <c r="FP20">
        <f>FP19*IF(OR($C19=67,$G19=67),0,1)</f>
        <v/>
      </c>
      <c r="FQ20">
        <f>FQ19*IF(OR($C19=68,$G19=68),0,1)</f>
        <v/>
      </c>
      <c r="FR20">
        <f>FR19*IF(OR($C19=69,$G19=69),0,1)</f>
        <v/>
      </c>
      <c r="FS20">
        <f>FS19*IF(OR($C19=70,$G19=70),0,1)</f>
        <v/>
      </c>
      <c r="FT20">
        <f>FT19*IF(OR($C19=71,$G19=71),0,1)</f>
        <v/>
      </c>
      <c r="FU20">
        <f>FU19*IF(OR($C19=72,$G19=72),0,1)</f>
        <v/>
      </c>
      <c r="FV20">
        <f>FV19*IF(OR($C19=73,$G19=73),0,1)</f>
        <v/>
      </c>
      <c r="FW20">
        <f>FW19*IF(OR($C19=74,$G19=74),0,1)</f>
        <v/>
      </c>
      <c r="FX20">
        <f>FX19*IF(OR($C19=75,$G19=75),0,1)</f>
        <v/>
      </c>
      <c r="FY20">
        <f>FY19*IF(OR($C19=76,$G19=76),0,1)</f>
        <v/>
      </c>
      <c r="FZ20">
        <f>FZ19*IF(OR($C19=77,$G19=77),0,1)</f>
        <v/>
      </c>
      <c r="GA20">
        <f>GA19*IF(OR($C19=78,$G19=78),0,1)</f>
        <v/>
      </c>
      <c r="GB20">
        <f>GB19*IF(OR($C19=79,$G19=79),0,1)</f>
        <v/>
      </c>
      <c r="GC20">
        <f>GC19*IF(OR($C19=80,$G19=80),0,1)</f>
        <v/>
      </c>
      <c r="GD20">
        <f>GD19*IF(OR($C19=81,$G19=81),0,1)</f>
        <v/>
      </c>
      <c r="GE20">
        <f>GE19*IF(OR($C19=82,$G19=82),0,1)</f>
        <v/>
      </c>
      <c r="GF20">
        <f>GF19*IF(OR($C19=83,$G19=83),0,1)</f>
        <v/>
      </c>
      <c r="GG20">
        <f>GG19*IF(OR($C19=84,$G19=84),0,1)</f>
        <v/>
      </c>
      <c r="GH20">
        <f>GH19*IF(OR($C19=85,$G19=85),0,1)</f>
        <v/>
      </c>
      <c r="GI20">
        <f>GI19*IF(OR($C19=86,$G19=86),0,1)</f>
        <v/>
      </c>
      <c r="GJ20">
        <f>GJ19*IF(OR($C19=87,$G19=87),0,1)</f>
        <v/>
      </c>
      <c r="GK20">
        <f>GK19*IF(OR($C19=88,$G19=88),0,1)</f>
        <v/>
      </c>
      <c r="GL20">
        <f>GL19*IF(OR($C19=89,$G19=89),0,1)</f>
        <v/>
      </c>
      <c r="GM20">
        <f>GM19*IF(OR($C19=90,$G19=90),0,1)</f>
        <v/>
      </c>
      <c r="GN20">
        <f>GN19*IF(OR($C19=91,$G19=91),0,1)</f>
        <v/>
      </c>
      <c r="GO20">
        <f>GO19*IF(OR($C19=92,$G19=92),0,1)</f>
        <v/>
      </c>
      <c r="GP20">
        <f>GP19*IF(OR($C19=93,$G19=93),0,1)</f>
        <v/>
      </c>
      <c r="GQ20">
        <f>GQ19*IF(OR($C19=94,$G19=94),0,1)</f>
        <v/>
      </c>
      <c r="GR20">
        <f>GR19*IF(OR($C19=95,$G19=95),0,1)</f>
        <v/>
      </c>
      <c r="GS20">
        <f>GS19*IF(OR($C19=96,$G19=96),0,1)</f>
        <v/>
      </c>
      <c r="GT20">
        <f>GT19*IF(OR($C19=97,$G19=97),0,1)</f>
        <v/>
      </c>
      <c r="GU20">
        <f>GU19*IF(OR($C19=98,$G19=98),0,1)</f>
        <v/>
      </c>
      <c r="GV20">
        <f>GV19*IF(OR($C19=99,$G19=99),0,1)</f>
        <v/>
      </c>
      <c r="GW20">
        <f>GW19*IF(OR($C19=100,$G19=100),0,1)</f>
        <v/>
      </c>
      <c r="GX20">
        <f>GX19*IF(OR($C19=101,$G19=101),0,1)</f>
        <v/>
      </c>
      <c r="GY20">
        <f>GY19*IF(OR($C19=102,$G19=102),0,1)</f>
        <v/>
      </c>
      <c r="GZ20">
        <f>GZ19*IF(OR($C19=103,$G19=103),0,1)</f>
        <v/>
      </c>
      <c r="HA20">
        <f>HA19*IF(OR($C19=104,$G19=104),0,1)</f>
        <v/>
      </c>
      <c r="HB20">
        <f>HB19*IF(OR($C19=105,$G19=105),0,1)</f>
        <v/>
      </c>
      <c r="HC20">
        <f>HC19*IF(OR($C19=106,$G19=106),0,1)</f>
        <v/>
      </c>
      <c r="HD20">
        <f>HD19*IF(OR($C19=107,$G19=107),0,1)</f>
        <v/>
      </c>
      <c r="HE20">
        <f>HE19*IF(OR($C19=108,$G19=108),0,1)</f>
        <v/>
      </c>
      <c r="HF20">
        <f>HF19*IF(OR($C19=109,$G19=109),0,1)</f>
        <v/>
      </c>
      <c r="HG20">
        <f>HG19*IF(OR($C19=110,$G19=110),0,1)</f>
        <v/>
      </c>
      <c r="HH20">
        <f>HH19*IF(OR($C19=111,$G19=111),0,1)</f>
        <v/>
      </c>
      <c r="HI20">
        <f>HI19*IF(OR($C19=112,$G19=112),0,1)</f>
        <v/>
      </c>
      <c r="HJ20">
        <f>HJ19*IF(OR($C19=113,$G19=113),0,1)</f>
        <v/>
      </c>
      <c r="HK20">
        <f>HK19*IF(OR($C19=114,$G19=114),0,1)</f>
        <v/>
      </c>
      <c r="HL20">
        <f>HL19*IF(OR($C19=115,$G19=115),0,1)</f>
        <v/>
      </c>
      <c r="HM20">
        <f>HM19*IF(OR($C19=116,$G19=116),0,1)</f>
        <v/>
      </c>
      <c r="HN20">
        <f>HN19*IF(OR($C19=117,$G19=117),0,1)</f>
        <v/>
      </c>
      <c r="HO20">
        <f>HO19*IF(OR($C19=118,$G19=118),0,1)</f>
        <v/>
      </c>
      <c r="HP20">
        <f>HP19*IF(OR($C19=119,$G19=119),0,1)</f>
        <v/>
      </c>
      <c r="HQ20">
        <f>HQ19*IF(OR($C19=120,$G19=120),0,1)</f>
        <v/>
      </c>
      <c r="HR20">
        <f>HR19*IF(OR($C19=121,$G19=121),0,1)</f>
        <v/>
      </c>
      <c r="HS20">
        <f>HS19*IF(OR($C19=122,$G19=122),0,1)</f>
        <v/>
      </c>
      <c r="HT20">
        <f>HT19*IF(OR($C19=123,$G19=123),0,1)</f>
        <v/>
      </c>
      <c r="HU20">
        <f>HU19*IF(OR($C19=124,$G19=124),0,1)</f>
        <v/>
      </c>
      <c r="HV20">
        <f>HV19*IF(OR($C19=125,$G19=125),0,1)</f>
        <v/>
      </c>
      <c r="HW20">
        <f>HW19*IF(OR($C19=126,$G19=126),0,1)</f>
        <v/>
      </c>
      <c r="HX20">
        <f>HX19*IF(OR($C19=127,$G19=127),0,1)</f>
        <v/>
      </c>
      <c r="HY20">
        <f>HY19*IF(OR($C19=128,$G19=128),0,1)</f>
        <v/>
      </c>
      <c r="HZ20">
        <f>HZ19*IF(OR($C19=129,$G19=129),0,1)</f>
        <v/>
      </c>
      <c r="IA20">
        <f>IA19*IF(OR($C19=130,$G19=130),0,1)</f>
        <v/>
      </c>
      <c r="IB20">
        <f>IB19*IF(OR($C19=131,$G19=131),0,1)</f>
        <v/>
      </c>
      <c r="IC20">
        <f>IC19*IF(OR($C19=132,$G19=132),0,1)</f>
        <v/>
      </c>
      <c r="ID20">
        <f>ID19*IF(OR($C19=133,$G19=133),0,1)</f>
        <v/>
      </c>
      <c r="IE20">
        <f>IE19*IF(OR($C19=134,$G19=134),0,1)</f>
        <v/>
      </c>
      <c r="IF20">
        <f>IF19*IF(OR($C19=135,$G19=135),0,1)</f>
        <v/>
      </c>
      <c r="IG20">
        <f>IG19*IF(OR($C19=136,$G19=136),0,1)</f>
        <v/>
      </c>
      <c r="IH20">
        <f>IH19*IF(OR($C19=137,$G19=137),0,1)</f>
        <v/>
      </c>
      <c r="II20">
        <f>II19*IF(OR($C19=138,$G19=138),0,1)</f>
        <v/>
      </c>
      <c r="IJ20">
        <f>IJ19*IF(OR($C19=139,$G19=139),0,1)</f>
        <v/>
      </c>
      <c r="IK20">
        <f>IK19*IF(OR($C19=140,$G19=140),0,1)</f>
        <v/>
      </c>
      <c r="IL20">
        <f>IL19*IF(OR($C19=141,$G19=141),0,1)</f>
        <v/>
      </c>
      <c r="IM20">
        <f>IM19*IF(OR($C19=142,$G19=142),0,1)</f>
        <v/>
      </c>
      <c r="IN20">
        <f>IN19*IF(OR($C19=143,$G19=143),0,1)</f>
        <v/>
      </c>
      <c r="IO20">
        <f>IO19*IF(OR($C19=144,$G19=144),0,1)</f>
        <v/>
      </c>
      <c r="IQ20">
        <f>IF('calcA'!D$106=1,DC20,1)</f>
        <v/>
      </c>
      <c r="IR20">
        <f>IF('calcA'!E$106=1,DD20,1)</f>
        <v/>
      </c>
      <c r="IS20">
        <f>IF('calcA'!F$106=1,DE20,1)</f>
        <v/>
      </c>
      <c r="IT20">
        <f>IF('calcA'!G$106=1,DF20,1)</f>
        <v/>
      </c>
      <c r="IU20">
        <f>IF('calcA'!H$106=1,DG20,1)</f>
        <v/>
      </c>
      <c r="IV20">
        <f>IF('calcA'!I$106=1,DH20,1)</f>
        <v/>
      </c>
      <c r="IW20">
        <f>IF('calcA'!J$106=1,DI20,1)</f>
        <v/>
      </c>
      <c r="IX20">
        <f>IF('calcA'!K$106=1,DJ20,1)</f>
        <v/>
      </c>
      <c r="IY20">
        <f>IF('calcA'!L$106=1,DK20,1)</f>
        <v/>
      </c>
      <c r="IZ20">
        <f>IF('calcA'!M$106=1,DL20,1)</f>
        <v/>
      </c>
      <c r="JA20">
        <f>IF('calcA'!N$106=1,DM20,1)</f>
        <v/>
      </c>
      <c r="JB20">
        <f>IF('calcA'!O$106=1,DN20,1)</f>
        <v/>
      </c>
      <c r="JC20">
        <f>IF('calcA'!P$106=1,DO20,1)</f>
        <v/>
      </c>
      <c r="JD20">
        <f>IF('calcA'!Q$106=1,DP20,1)</f>
        <v/>
      </c>
      <c r="JE20">
        <f>IF('calcA'!R$106=1,DQ20,1)</f>
        <v/>
      </c>
      <c r="JF20">
        <f>IF('calcA'!S$106=1,DR20,1)</f>
        <v/>
      </c>
      <c r="JG20">
        <f>IF('calcA'!T$106=1,DS20,1)</f>
        <v/>
      </c>
      <c r="JH20">
        <f>IF('calcA'!U$106=1,DT20,1)</f>
        <v/>
      </c>
      <c r="JI20">
        <f>IF('calcA'!V$106=1,DU20,1)</f>
        <v/>
      </c>
      <c r="JJ20">
        <f>IF('calcA'!W$106=1,DV20,1)</f>
        <v/>
      </c>
      <c r="JK20">
        <f>IF('calcA'!X$106=1,DW20,1)</f>
        <v/>
      </c>
      <c r="JL20">
        <f>IF('calcA'!Y$106=1,DX20,1)</f>
        <v/>
      </c>
      <c r="JM20">
        <f>IF('calcA'!Z$106=1,DY20,1)</f>
        <v/>
      </c>
      <c r="JN20">
        <f>IF('calcA'!AA$106=1,DZ20,1)</f>
        <v/>
      </c>
      <c r="JO20">
        <f>IF('calcA'!AB$106=1,EA20,1)</f>
        <v/>
      </c>
      <c r="JP20">
        <f>IF('calcA'!AC$106=1,EB20,1)</f>
        <v/>
      </c>
      <c r="JQ20">
        <f>IF('calcA'!AD$106=1,EC20,1)</f>
        <v/>
      </c>
      <c r="JR20">
        <f>IF('calcA'!AE$106=1,ED20,1)</f>
        <v/>
      </c>
      <c r="JS20">
        <f>IF('calcA'!AF$106=1,EE20,1)</f>
        <v/>
      </c>
      <c r="JT20">
        <f>IF('calcA'!AG$106=1,EF20,1)</f>
        <v/>
      </c>
      <c r="JU20">
        <f>IF('calcA'!AH$106=1,EG20,1)</f>
        <v/>
      </c>
      <c r="JV20">
        <f>IF('calcA'!AI$106=1,EH20,1)</f>
        <v/>
      </c>
      <c r="JW20">
        <f>IF('calcA'!AJ$106=1,EI20,1)</f>
        <v/>
      </c>
      <c r="JX20">
        <f>IF('calcA'!AK$106=1,EJ20,1)</f>
        <v/>
      </c>
      <c r="JY20">
        <f>IF('calcA'!AL$106=1,EK20,1)</f>
        <v/>
      </c>
      <c r="JZ20">
        <f>IF('calcA'!AM$106=1,EL20,1)</f>
        <v/>
      </c>
      <c r="KA20">
        <f>IF('calcA'!AN$106=1,EM20,1)</f>
        <v/>
      </c>
      <c r="KB20">
        <f>IF('calcA'!AO$106=1,EN20,1)</f>
        <v/>
      </c>
      <c r="KC20">
        <f>IF('calcA'!AP$106=1,EO20,1)</f>
        <v/>
      </c>
      <c r="KD20">
        <f>IF('calcA'!AQ$106=1,EP20,1)</f>
        <v/>
      </c>
      <c r="KE20">
        <f>IF('calcA'!AR$106=1,EQ20,1)</f>
        <v/>
      </c>
      <c r="KF20">
        <f>IF('calcA'!AS$106=1,ER20,1)</f>
        <v/>
      </c>
      <c r="KG20">
        <f>IF('calcA'!AT$106=1,ES20,1)</f>
        <v/>
      </c>
      <c r="KH20">
        <f>IF('calcA'!AU$106=1,ET20,1)</f>
        <v/>
      </c>
      <c r="KI20">
        <f>IF('calcA'!AV$106=1,EU20,1)</f>
        <v/>
      </c>
      <c r="KJ20">
        <f>IF('calcA'!AW$106=1,EV20,1)</f>
        <v/>
      </c>
      <c r="KK20">
        <f>IF('calcA'!AX$106=1,EW20,1)</f>
        <v/>
      </c>
      <c r="KL20">
        <f>IF('calcA'!AY$106=1,EX20,1)</f>
        <v/>
      </c>
      <c r="KM20">
        <f>IF('calcA'!AZ$106=1,EY20,1)</f>
        <v/>
      </c>
      <c r="KN20">
        <f>IF('calcA'!BA$106=1,EZ20,1)</f>
        <v/>
      </c>
      <c r="KO20">
        <f>IF('calcA'!BB$106=1,FA20,1)</f>
        <v/>
      </c>
      <c r="KP20">
        <f>IF('calcA'!BC$106=1,FB20,1)</f>
        <v/>
      </c>
      <c r="KQ20">
        <f>IF('calcA'!BD$106=1,FC20,1)</f>
        <v/>
      </c>
      <c r="KR20">
        <f>IF('calcA'!BE$106=1,FD20,1)</f>
        <v/>
      </c>
      <c r="KS20">
        <f>IF('calcA'!BF$106=1,FE20,1)</f>
        <v/>
      </c>
      <c r="KT20">
        <f>IF('calcA'!BG$106=1,FF20,1)</f>
        <v/>
      </c>
      <c r="KU20">
        <f>IF('calcA'!BH$106=1,FG20,1)</f>
        <v/>
      </c>
      <c r="KV20">
        <f>IF('calcA'!BI$106=1,FH20,1)</f>
        <v/>
      </c>
      <c r="KW20">
        <f>IF('calcA'!BJ$106=1,FI20,1)</f>
        <v/>
      </c>
      <c r="KX20">
        <f>IF('calcA'!BK$106=1,FJ20,1)</f>
        <v/>
      </c>
      <c r="KY20">
        <f>IF('calcA'!BL$106=1,FK20,1)</f>
        <v/>
      </c>
      <c r="KZ20">
        <f>IF('calcA'!BM$106=1,FL20,1)</f>
        <v/>
      </c>
      <c r="LA20">
        <f>IF('calcA'!BN$106=1,FM20,1)</f>
        <v/>
      </c>
      <c r="LB20">
        <f>IF('calcA'!BO$106=1,FN20,1)</f>
        <v/>
      </c>
      <c r="LC20">
        <f>IF('calcA'!BP$106=1,FO20,1)</f>
        <v/>
      </c>
      <c r="LD20">
        <f>IF('calcA'!BQ$106=1,FP20,1)</f>
        <v/>
      </c>
      <c r="LE20">
        <f>IF('calcA'!BR$106=1,FQ20,1)</f>
        <v/>
      </c>
      <c r="LF20">
        <f>IF('calcA'!BS$106=1,FR20,1)</f>
        <v/>
      </c>
      <c r="LG20">
        <f>IF('calcA'!BT$106=1,FS20,1)</f>
        <v/>
      </c>
      <c r="LH20">
        <f>IF('calcA'!BU$106=1,FT20,1)</f>
        <v/>
      </c>
      <c r="LI20">
        <f>IF('calcA'!BV$106=1,FU20,1)</f>
        <v/>
      </c>
      <c r="LJ20">
        <f>IF('calcA'!BW$106=1,FV20,1)</f>
        <v/>
      </c>
      <c r="LK20">
        <f>IF('calcA'!BX$106=1,FW20,1)</f>
        <v/>
      </c>
      <c r="LL20">
        <f>IF('calcA'!BY$106=1,FX20,1)</f>
        <v/>
      </c>
      <c r="LM20">
        <f>IF('calcA'!BZ$106=1,FY20,1)</f>
        <v/>
      </c>
      <c r="LN20">
        <f>IF('calcA'!CA$106=1,FZ20,1)</f>
        <v/>
      </c>
      <c r="LO20">
        <f>IF('calcA'!CB$106=1,GA20,1)</f>
        <v/>
      </c>
      <c r="LP20">
        <f>IF('calcA'!CC$106=1,GB20,1)</f>
        <v/>
      </c>
      <c r="LQ20">
        <f>IF('calcA'!CD$106=1,GC20,1)</f>
        <v/>
      </c>
      <c r="LR20">
        <f>IF('calcA'!CE$106=1,GD20,1)</f>
        <v/>
      </c>
      <c r="LS20">
        <f>IF('calcA'!CF$106=1,GE20,1)</f>
        <v/>
      </c>
      <c r="LT20">
        <f>IF('calcA'!CG$106=1,GF20,1)</f>
        <v/>
      </c>
      <c r="LU20">
        <f>IF('calcA'!CH$106=1,GG20,1)</f>
        <v/>
      </c>
      <c r="LV20">
        <f>IF('calcA'!CI$106=1,GH20,1)</f>
        <v/>
      </c>
      <c r="LW20">
        <f>IF('calcA'!CJ$106=1,GI20,1)</f>
        <v/>
      </c>
      <c r="LX20">
        <f>IF('calcA'!CK$106=1,GJ20,1)</f>
        <v/>
      </c>
      <c r="LY20">
        <f>IF('calcA'!CL$106=1,GK20,1)</f>
        <v/>
      </c>
      <c r="LZ20">
        <f>IF('calcA'!CM$106=1,GL20,1)</f>
        <v/>
      </c>
      <c r="MA20">
        <f>IF('calcA'!CN$106=1,GM20,1)</f>
        <v/>
      </c>
      <c r="MB20">
        <f>IF('calcA'!CO$106=1,GN20,1)</f>
        <v/>
      </c>
      <c r="MC20">
        <f>IF('calcA'!CP$106=1,GO20,1)</f>
        <v/>
      </c>
      <c r="MD20">
        <f>IF('calcA'!CQ$106=1,GP20,1)</f>
        <v/>
      </c>
      <c r="ME20">
        <f>IF('calcA'!CR$106=1,GQ20,1)</f>
        <v/>
      </c>
      <c r="MF20">
        <f>IF('calcA'!CS$106=1,GR20,1)</f>
        <v/>
      </c>
      <c r="MG20">
        <f>IF('calcA'!CT$106=1,GS20,1)</f>
        <v/>
      </c>
      <c r="MH20">
        <f>IF('calcA'!CU$106=1,GT20,1)</f>
        <v/>
      </c>
      <c r="MI20">
        <f>IF('calcA'!CV$106=1,GU20,1)</f>
        <v/>
      </c>
      <c r="MJ20">
        <f>IF('calcA'!CW$106=1,GV20,1)</f>
        <v/>
      </c>
      <c r="MK20">
        <f>IF('calcA'!CX$106=1,GW20,1)</f>
        <v/>
      </c>
      <c r="ML20">
        <f>IF('calcA'!CY$106=1,GX20,1)</f>
        <v/>
      </c>
      <c r="MM20">
        <f>IF('calcA'!CZ$106=1,GY20,1)</f>
        <v/>
      </c>
      <c r="MN20">
        <f>IF('calcA'!DA$106=1,GZ20,1)</f>
        <v/>
      </c>
      <c r="MO20">
        <f>IF('calcA'!DB$106=1,HA20,1)</f>
        <v/>
      </c>
      <c r="MP20">
        <f>IF('calcA'!DC$106=1,HB20,1)</f>
        <v/>
      </c>
      <c r="MQ20">
        <f>IF('calcA'!DD$106=1,HC20,1)</f>
        <v/>
      </c>
      <c r="MR20">
        <f>IF('calcA'!DE$106=1,HD20,1)</f>
        <v/>
      </c>
      <c r="MS20">
        <f>IF('calcA'!DF$106=1,HE20,1)</f>
        <v/>
      </c>
      <c r="MT20">
        <f>IF('calcA'!DG$106=1,HF20,1)</f>
        <v/>
      </c>
      <c r="MU20">
        <f>IF('calcA'!DH$106=1,HG20,1)</f>
        <v/>
      </c>
      <c r="MV20">
        <f>IF('calcA'!DI$106=1,HH20,1)</f>
        <v/>
      </c>
      <c r="MW20">
        <f>IF('calcA'!DJ$106=1,HI20,1)</f>
        <v/>
      </c>
      <c r="MX20">
        <f>IF('calcA'!DK$106=1,HJ20,1)</f>
        <v/>
      </c>
      <c r="MY20">
        <f>IF('calcA'!DL$106=1,HK20,1)</f>
        <v/>
      </c>
      <c r="MZ20">
        <f>IF('calcA'!DM$106=1,HL20,1)</f>
        <v/>
      </c>
      <c r="NA20">
        <f>IF('calcA'!DN$106=1,HM20,1)</f>
        <v/>
      </c>
      <c r="NB20">
        <f>IF('calcA'!DO$106=1,HN20,1)</f>
        <v/>
      </c>
      <c r="NC20">
        <f>IF('calcA'!DP$106=1,HO20,1)</f>
        <v/>
      </c>
      <c r="ND20">
        <f>IF('calcA'!DQ$106=1,HP20,1)</f>
        <v/>
      </c>
      <c r="NE20">
        <f>IF('calcA'!DR$106=1,HQ20,1)</f>
        <v/>
      </c>
      <c r="NF20">
        <f>IF('calcA'!DS$106=1,HR20,1)</f>
        <v/>
      </c>
      <c r="NG20">
        <f>IF('calcA'!DT$106=1,HS20,1)</f>
        <v/>
      </c>
      <c r="NH20">
        <f>IF('calcA'!DU$106=1,HT20,1)</f>
        <v/>
      </c>
      <c r="NI20">
        <f>IF('calcA'!DV$106=1,HU20,1)</f>
        <v/>
      </c>
      <c r="NJ20">
        <f>IF('calcA'!DW$106=1,HV20,1)</f>
        <v/>
      </c>
      <c r="NK20">
        <f>IF('calcA'!DX$106=1,HW20,1)</f>
        <v/>
      </c>
      <c r="NL20">
        <f>IF('calcA'!DY$106=1,HX20,1)</f>
        <v/>
      </c>
      <c r="NM20">
        <f>IF('calcA'!DZ$106=1,HY20,1)</f>
        <v/>
      </c>
      <c r="NN20">
        <f>IF('calcA'!EA$106=1,HZ20,1)</f>
        <v/>
      </c>
      <c r="NO20">
        <f>IF('calcA'!EB$106=1,IA20,1)</f>
        <v/>
      </c>
      <c r="NP20">
        <f>IF('calcA'!EC$106=1,IB20,1)</f>
        <v/>
      </c>
      <c r="NQ20">
        <f>IF('calcA'!ED$106=1,IC20,1)</f>
        <v/>
      </c>
      <c r="NR20">
        <f>IF('calcA'!EE$106=1,ID20,1)</f>
        <v/>
      </c>
      <c r="NS20">
        <f>IF('calcA'!EF$106=1,IE20,1)</f>
        <v/>
      </c>
      <c r="NT20">
        <f>IF('calcA'!EG$106=1,IF20,1)</f>
        <v/>
      </c>
      <c r="NU20">
        <f>IF('calcA'!EH$106=1,IG20,1)</f>
        <v/>
      </c>
      <c r="NV20">
        <f>IF('calcA'!EI$106=1,IH20,1)</f>
        <v/>
      </c>
      <c r="NW20">
        <f>IF('calcA'!EJ$106=1,II20,1)</f>
        <v/>
      </c>
      <c r="NX20">
        <f>IF('calcA'!EK$106=1,IJ20,1)</f>
        <v/>
      </c>
      <c r="NY20">
        <f>IF('calcA'!EL$106=1,IK20,1)</f>
        <v/>
      </c>
      <c r="NZ20">
        <f>IF('calcA'!EM$106=1,IL20,1)</f>
        <v/>
      </c>
      <c r="OA20">
        <f>IF('calcA'!EN$106=1,IM20,1)</f>
        <v/>
      </c>
      <c r="OB20">
        <f>IF('calcA'!EO$106=1,IN20,1)</f>
        <v/>
      </c>
      <c r="OC20">
        <f>IF('calcA'!EP$106=1,IO20,1)</f>
        <v/>
      </c>
      <c r="OD20" t="n">
        <v>1</v>
      </c>
      <c r="OF20">
        <f>IF($B20=0,1000000000,IF(INDEX('calcA'!$D$60:$EQ$99,$B20,1)*IF($W20=1,DB20+ZQ20,DB20)=1,IF(AND($E20=2,IF($W20=1,AFF20,IQ20)=0),1000000000,IF($V20=1,INDEX('calcA'!$D$130:$EQ$169,$B20,1)+IF(AND($E20=1,IQ20=0),25,0),IF($F20&gt;0,INDEX('calcA'!D$110:D$114,$F20+1)+IF(AND($E20=1,IQ20=0),1000,0),MIN(TU20,20)*400+(IF('calcA'!D$106=1,1-DC20,0))*150+11+'calcA'!D$5*100000+IF(AND($E20=1,IQ20=0),50000,0))+IF($H20=1,INDEX('calcA'!$D$180:$EQ$219,$B20,1)*4000,0)-IF(AND($U20=1,'calcA'!D$117=1,DC20=0),2000,0))),1000000000))</f>
        <v/>
      </c>
      <c r="OG20">
        <f>IF($B20=0,1000000000,IF(INDEX('calcA'!$D$60:$EQ$99,$B20,2)*IF($W20=1,DC20+ZR20,DC20)=1,IF(AND($E20=2,IF($W20=1,AFG20,IR20)=0),1000000000,IF($V20=1,INDEX('calcA'!$D$130:$EQ$169,$B20,2)+IF(AND($E20=1,IR20=0),25,0),IF($F20&gt;0,INDEX('calcA'!E$110:E$114,$F20+1)+IF(AND($E20=1,IR20=0),1000,0),MIN(TU20,20)*400+(IF('calcA'!D$106=1,1-DB20,0)+IF('calcA'!E$106=1,1-DD20,0))*150+21+'calcA'!E$5*100000+IF(AND($E20=1,IR20=0),50000,0))+IF($H20=1,INDEX('calcA'!$D$180:$EQ$219,$B20,2)*4000,0)-IF(AND('calcA'!D$117=1,UB20&gt;0),2000,0)-IF(AND($U20=1,'calcA'!E$117=1,DD20=0),2000,0))),1000000000))</f>
        <v/>
      </c>
      <c r="OH20">
        <f>IF($B20=0,1000000000,IF(INDEX('calcA'!$D$60:$EQ$99,$B20,3)*IF($W20=1,DD20+ZS20,DD20)=1,IF(AND($E20=2,IF($W20=1,AFH20,IS20)=0),1000000000,IF($V20=1,INDEX('calcA'!$D$130:$EQ$169,$B20,3)+IF(AND($E20=1,IS20=0),25,0),IF($F20&gt;0,INDEX('calcA'!F$110:F$114,$F20+1)+IF(AND($E20=1,IS20=0),1000,0),MIN(TU20,20)*400+(IF('calcA'!E$106=1,1-DC20,0)+IF('calcA'!F$106=1,1-DE20,0))*150+31+'calcA'!F$5*100000+IF(AND($E20=1,IS20=0),50000,0))+IF($H20=1,INDEX('calcA'!$D$180:$EQ$219,$B20,3)*4000,0)-IF(AND('calcA'!E$117=1,UC20&gt;0),2000,0)-IF(AND($U20=1,'calcA'!F$117=1,DE20=0),2000,0))),1000000000))</f>
        <v/>
      </c>
      <c r="OI20">
        <f>IF($B20=0,1000000000,IF(INDEX('calcA'!$D$60:$EQ$99,$B20,4)*IF($W20=1,DE20+ZT20,DE20)=1,IF(AND($E20=2,IF($W20=1,AFI20,IT20)=0),1000000000,IF($V20=1,INDEX('calcA'!$D$130:$EQ$169,$B20,4)+IF(AND($E20=1,IT20=0),25,0),IF($F20&gt;0,INDEX('calcA'!G$110:G$114,$F20+1)+IF(AND($E20=1,IT20=0),1000,0),MIN(TU20,20)*400+(IF('calcA'!F$106=1,1-DD20,0)+IF('calcA'!G$106=1,1-DF20,0))*150+41+'calcA'!G$5*100000+IF(AND($E20=1,IT20=0),50000,0))+IF($H20=1,INDEX('calcA'!$D$180:$EQ$219,$B20,4)*4000,0)-IF(AND('calcA'!F$117=1,UD20&gt;0),2000,0)-IF(AND($U20=1,'calcA'!G$117=1,DF20=0),2000,0))),1000000000))</f>
        <v/>
      </c>
      <c r="OJ20">
        <f>IF($B20=0,1000000000,IF(INDEX('calcA'!$D$60:$EQ$99,$B20,5)*IF($W20=1,DF20+ZU20,DF20)=1,IF(AND($E20=2,IF($W20=1,AFJ20,IU20)=0),1000000000,IF($V20=1,INDEX('calcA'!$D$130:$EQ$169,$B20,5)+IF(AND($E20=1,IU20=0),25,0),IF($F20&gt;0,INDEX('calcA'!H$110:H$114,$F20+1)+IF(AND($E20=1,IU20=0),1000,0),MIN(TU20,20)*400+(IF('calcA'!G$106=1,1-DE20,0)+IF('calcA'!H$106=1,1-DG20,0))*150+51+'calcA'!H$5*100000+IF(AND($E20=1,IU20=0),50000,0))+IF($H20=1,INDEX('calcA'!$D$180:$EQ$219,$B20,5)*4000,0)-IF(AND('calcA'!G$117=1,UE20&gt;0),2000,0)-IF(AND($U20=1,'calcA'!H$117=1,DG20=0),2000,0))),1000000000))</f>
        <v/>
      </c>
      <c r="OK20">
        <f>IF($B20=0,1000000000,IF(INDEX('calcA'!$D$60:$EQ$99,$B20,6)*IF($W20=1,DG20+ZV20,DG20)=1,IF(AND($E20=2,IF($W20=1,AFK20,IV20)=0),1000000000,IF($V20=1,INDEX('calcA'!$D$130:$EQ$169,$B20,6)+IF(AND($E20=1,IV20=0),25,0),IF($F20&gt;0,INDEX('calcA'!I$110:I$114,$F20+1)+IF(AND($E20=1,IV20=0),1000,0),MIN(TU20,20)*400+(IF('calcA'!H$106=1,1-DF20,0)+IF('calcA'!I$106=1,1-DH20,0))*150+61+'calcA'!I$5*100000+IF(AND($E20=1,IV20=0),50000,0))+IF($H20=1,INDEX('calcA'!$D$180:$EQ$219,$B20,6)*4000,0)-IF(AND('calcA'!H$117=1,UF20&gt;0),2000,0)-IF(AND($U20=1,'calcA'!I$117=1,DH20=0),2000,0))),1000000000))</f>
        <v/>
      </c>
      <c r="OL20">
        <f>IF($B20=0,1000000000,IF(INDEX('calcA'!$D$60:$EQ$99,$B20,7)*IF($W20=1,DH20+ZW20,DH20)=1,IF(AND($E20=2,IF($W20=1,AFL20,IW20)=0),1000000000,IF($V20=1,INDEX('calcA'!$D$130:$EQ$169,$B20,7)+IF(AND($E20=1,IW20=0),25,0),IF($F20&gt;0,INDEX('calcA'!J$110:J$114,$F20+1)+IF(AND($E20=1,IW20=0),1000,0),MIN(TU20,20)*400+(IF('calcA'!I$106=1,1-DG20,0)+IF('calcA'!J$106=1,1-DI20,0))*150+71+'calcA'!J$5*100000+IF(AND($E20=1,IW20=0),50000,0))+IF($H20=1,INDEX('calcA'!$D$180:$EQ$219,$B20,7)*4000,0)-IF(AND('calcA'!I$117=1,UG20&gt;0),2000,0)-IF(AND($U20=1,'calcA'!J$117=1,DI20=0),2000,0))),1000000000))</f>
        <v/>
      </c>
      <c r="OM20">
        <f>IF($B20=0,1000000000,IF(INDEX('calcA'!$D$60:$EQ$99,$B20,8)*IF($W20=1,DI20+ZX20,DI20)=1,IF(AND($E20=2,IF($W20=1,AFM20,IX20)=0),1000000000,IF($V20=1,INDEX('calcA'!$D$130:$EQ$169,$B20,8)+IF(AND($E20=1,IX20=0),25,0),IF($F20&gt;0,INDEX('calcA'!K$110:K$114,$F20+1)+IF(AND($E20=1,IX20=0),1000,0),MIN(TU20,20)*400+(IF('calcA'!J$106=1,1-DH20,0)+IF('calcA'!K$106=1,1-DJ20,0))*150+81+'calcA'!K$5*100000+IF(AND($E20=1,IX20=0),50000,0))+IF($H20=1,INDEX('calcA'!$D$180:$EQ$219,$B20,8)*4000,0)-IF(AND('calcA'!J$117=1,UH20&gt;0),2000,0)-IF(AND($U20=1,'calcA'!K$117=1,DJ20=0),2000,0))),1000000000))</f>
        <v/>
      </c>
      <c r="ON20">
        <f>IF($B20=0,1000000000,IF(INDEX('calcA'!$D$60:$EQ$99,$B20,9)*IF($W20=1,DJ20+ZY20,DJ20)=1,IF(AND($E20=2,IF($W20=1,AFN20,IY20)=0),1000000000,IF($V20=1,INDEX('calcA'!$D$130:$EQ$169,$B20,9)+IF(AND($E20=1,IY20=0),25,0),IF($F20&gt;0,INDEX('calcA'!L$110:L$114,$F20+1)+IF(AND($E20=1,IY20=0),1000,0),MIN(TU20,20)*400+(IF('calcA'!K$106=1,1-DI20,0)+IF('calcA'!L$106=1,1-DK20,0))*150+91+'calcA'!L$5*100000+IF(AND($E20=1,IY20=0),50000,0))+IF($H20=1,INDEX('calcA'!$D$180:$EQ$219,$B20,9)*4000,0)-IF(AND('calcA'!K$117=1,UI20&gt;0),2000,0)-IF(AND($U20=1,'calcA'!L$117=1,DK20=0),2000,0))),1000000000))</f>
        <v/>
      </c>
      <c r="OO20">
        <f>IF($B20=0,1000000000,IF(INDEX('calcA'!$D$60:$EQ$99,$B20,10)*IF($W20=1,DK20+ZZ20,DK20)=1,IF(AND($E20=2,IF($W20=1,AFO20,IZ20)=0),1000000000,IF($V20=1,INDEX('calcA'!$D$130:$EQ$169,$B20,10)+IF(AND($E20=1,IZ20=0),25,0),IF($F20&gt;0,INDEX('calcA'!M$110:M$114,$F20+1)+IF(AND($E20=1,IZ20=0),1000,0),MIN(TU20,20)*400+(IF('calcA'!L$106=1,1-DJ20,0)+IF('calcA'!M$106=1,1-DL20,0))*150+101+'calcA'!M$5*100000+IF(AND($E20=1,IZ20=0),50000,0))+IF($H20=1,INDEX('calcA'!$D$180:$EQ$219,$B20,10)*4000,0)-IF(AND('calcA'!L$117=1,UJ20&gt;0),2000,0)-IF(AND($U20=1,'calcA'!M$117=1,DL20=0),2000,0))),1000000000))</f>
        <v/>
      </c>
      <c r="OP20">
        <f>IF($B20=0,1000000000,IF(INDEX('calcA'!$D$60:$EQ$99,$B20,11)*IF($W20=1,DL20+AAA20,DL20)=1,IF(AND($E20=2,IF($W20=1,AFP20,JA20)=0),1000000000,IF($V20=1,INDEX('calcA'!$D$130:$EQ$169,$B20,11)+IF(AND($E20=1,JA20=0),25,0),IF($F20&gt;0,INDEX('calcA'!N$110:N$114,$F20+1)+IF(AND($E20=1,JA20=0),1000,0),MIN(TU20,20)*400+(IF('calcA'!M$106=1,1-DK20,0)+IF('calcA'!N$106=1,1-DM20,0))*150+111+'calcA'!N$5*100000+IF(AND($E20=1,JA20=0),50000,0))+IF($H20=1,INDEX('calcA'!$D$180:$EQ$219,$B20,11)*4000,0)-IF(AND('calcA'!M$117=1,UK20&gt;0),2000,0)-IF(AND($U20=1,'calcA'!N$117=1,DM20=0),2000,0))),1000000000))</f>
        <v/>
      </c>
      <c r="OQ20">
        <f>IF($B20=0,1000000000,IF(INDEX('calcA'!$D$60:$EQ$99,$B20,12)*IF($W20=1,DM20+AAB20,DM20)=1,IF(AND($E20=2,IF($W20=1,AFQ20,JB20)=0),1000000000,IF($V20=1,INDEX('calcA'!$D$130:$EQ$169,$B20,12)+IF(AND($E20=1,JB20=0),25,0),IF($F20&gt;0,INDEX('calcA'!O$110:O$114,$F20+1)+IF(AND($E20=1,JB20=0),1000,0),MIN(TU20,20)*400+(IF('calcA'!N$106=1,1-DL20,0)+IF('calcA'!O$106=1,1-DN20,0))*150+121+'calcA'!O$5*100000+IF(AND($E20=1,JB20=0),50000,0))+IF($H20=1,INDEX('calcA'!$D$180:$EQ$219,$B20,12)*4000,0)-IF(AND('calcA'!N$117=1,UL20&gt;0),2000,0)-IF(AND($U20=1,'calcA'!O$117=1,DN20=0),2000,0))),1000000000))</f>
        <v/>
      </c>
      <c r="OR20">
        <f>IF($B20=0,1000000000,IF(INDEX('calcA'!$D$60:$EQ$99,$B20,13)*IF($W20=1,DN20+AAC20,DN20)=1,IF(AND($E20=2,IF($W20=1,AFR20,JC20)=0),1000000000,IF($V20=1,INDEX('calcA'!$D$130:$EQ$169,$B20,13)+IF(AND($E20=1,JC20=0),25,0),IF($F20&gt;0,INDEX('calcA'!P$110:P$114,$F20+1)+IF(AND($E20=1,JC20=0),1000,0),MIN(TU20,20)*400+(IF('calcA'!O$106=1,1-DM20,0)+IF('calcA'!P$106=1,1-DO20,0))*150+131+'calcA'!P$5*100000+IF(AND($E20=1,JC20=0),50000,0))+IF($H20=1,INDEX('calcA'!$D$180:$EQ$219,$B20,13)*4000,0)-IF(AND('calcA'!O$117=1,UM20&gt;0),2000,0)-IF(AND($U20=1,'calcA'!P$117=1,DO20=0),2000,0))),1000000000))</f>
        <v/>
      </c>
      <c r="OS20">
        <f>IF($B20=0,1000000000,IF(INDEX('calcA'!$D$60:$EQ$99,$B20,14)*IF($W20=1,DO20+AAD20,DO20)=1,IF(AND($E20=2,IF($W20=1,AFS20,JD20)=0),1000000000,IF($V20=1,INDEX('calcA'!$D$130:$EQ$169,$B20,14)+IF(AND($E20=1,JD20=0),25,0),IF($F20&gt;0,INDEX('calcA'!Q$110:Q$114,$F20+1)+IF(AND($E20=1,JD20=0),1000,0),MIN(TU20,20)*400+(IF('calcA'!P$106=1,1-DN20,0)+IF('calcA'!Q$106=1,1-DP20,0))*150+141+'calcA'!Q$5*100000+IF(AND($E20=1,JD20=0),50000,0))+IF($H20=1,INDEX('calcA'!$D$180:$EQ$219,$B20,14)*4000,0)-IF(AND('calcA'!P$117=1,UN20&gt;0),2000,0)-IF(AND($U20=1,'calcA'!Q$117=1,DP20=0),2000,0))),1000000000))</f>
        <v/>
      </c>
      <c r="OT20">
        <f>IF($B20=0,1000000000,IF(INDEX('calcA'!$D$60:$EQ$99,$B20,15)*IF($W20=1,DP20+AAE20,DP20)=1,IF(AND($E20=2,IF($W20=1,AFT20,JE20)=0),1000000000,IF($V20=1,INDEX('calcA'!$D$130:$EQ$169,$B20,15)+IF(AND($E20=1,JE20=0),25,0),IF($F20&gt;0,INDEX('calcA'!R$110:R$114,$F20+1)+IF(AND($E20=1,JE20=0),1000,0),MIN(TU20,20)*400+(IF('calcA'!Q$106=1,1-DO20,0)+IF('calcA'!R$106=1,1-DQ20,0))*150+151+'calcA'!R$5*100000+IF(AND($E20=1,JE20=0),50000,0))+IF($H20=1,INDEX('calcA'!$D$180:$EQ$219,$B20,15)*4000,0)-IF(AND('calcA'!Q$117=1,UO20&gt;0),2000,0)-IF(AND($U20=1,'calcA'!R$117=1,DQ20=0),2000,0))),1000000000))</f>
        <v/>
      </c>
      <c r="OU20">
        <f>IF($B20=0,1000000000,IF(INDEX('calcA'!$D$60:$EQ$99,$B20,16)*IF($W20=1,DQ20+AAF20,DQ20)=1,IF(AND($E20=2,IF($W20=1,AFU20,JF20)=0),1000000000,IF($V20=1,INDEX('calcA'!$D$130:$EQ$169,$B20,16)+IF(AND($E20=1,JF20=0),25,0),IF($F20&gt;0,INDEX('calcA'!S$110:S$114,$F20+1)+IF(AND($E20=1,JF20=0),1000,0),MIN(TU20,20)*400+(IF('calcA'!R$106=1,1-DP20,0)+IF('calcA'!S$106=1,1-DR20,0))*150+161+'calcA'!S$5*100000+IF(AND($E20=1,JF20=0),50000,0))+IF($H20=1,INDEX('calcA'!$D$180:$EQ$219,$B20,16)*4000,0)-IF(AND('calcA'!R$117=1,UP20&gt;0),2000,0)-IF(AND($U20=1,'calcA'!S$117=1,DR20=0),2000,0))),1000000000))</f>
        <v/>
      </c>
      <c r="OV20">
        <f>IF($B20=0,1000000000,IF(INDEX('calcA'!$D$60:$EQ$99,$B20,17)*IF($W20=1,DR20+AAG20,DR20)=1,IF(AND($E20=2,IF($W20=1,AFV20,JG20)=0),1000000000,IF($V20=1,INDEX('calcA'!$D$130:$EQ$169,$B20,17)+IF(AND($E20=1,JG20=0),25,0),IF($F20&gt;0,INDEX('calcA'!T$110:T$114,$F20+1)+IF(AND($E20=1,JG20=0),1000,0),MIN(TU20,20)*400+(IF('calcA'!S$106=1,1-DQ20,0)+IF('calcA'!T$106=1,1-DS20,0))*150+171+'calcA'!T$5*100000+IF(AND($E20=1,JG20=0),50000,0))+IF($H20=1,INDEX('calcA'!$D$180:$EQ$219,$B20,17)*4000,0)-IF(AND('calcA'!S$117=1,UQ20&gt;0),2000,0)-IF(AND($U20=1,'calcA'!T$117=1,DS20=0),2000,0))),1000000000))</f>
        <v/>
      </c>
      <c r="OW20">
        <f>IF($B20=0,1000000000,IF(INDEX('calcA'!$D$60:$EQ$99,$B20,18)*IF($W20=1,DS20+AAH20,DS20)=1,IF(AND($E20=2,IF($W20=1,AFW20,JH20)=0),1000000000,IF($V20=1,INDEX('calcA'!$D$130:$EQ$169,$B20,18)+IF(AND($E20=1,JH20=0),25,0),IF($F20&gt;0,INDEX('calcA'!U$110:U$114,$F20+1)+IF(AND($E20=1,JH20=0),1000,0),MIN(TU20,20)*400+(IF('calcA'!T$106=1,1-DR20,0)+IF('calcA'!U$106=1,1-DT20,0))*150+181+'calcA'!U$5*100000+IF(AND($E20=1,JH20=0),50000,0))+IF($H20=1,INDEX('calcA'!$D$180:$EQ$219,$B20,18)*4000,0)-IF(AND('calcA'!T$117=1,UR20&gt;0),2000,0)-IF(AND($U20=1,'calcA'!U$117=1,DT20=0),2000,0))),1000000000))</f>
        <v/>
      </c>
      <c r="OX20">
        <f>IF($B20=0,1000000000,IF(INDEX('calcA'!$D$60:$EQ$99,$B20,19)*IF($W20=1,DT20+AAI20,DT20)=1,IF(AND($E20=2,IF($W20=1,AFX20,JI20)=0),1000000000,IF($V20=1,INDEX('calcA'!$D$130:$EQ$169,$B20,19)+IF(AND($E20=1,JI20=0),25,0),IF($F20&gt;0,INDEX('calcA'!V$110:V$114,$F20+1)+IF(AND($E20=1,JI20=0),1000,0),MIN(TU20,20)*400+(IF('calcA'!U$106=1,1-DS20,0)+IF('calcA'!V$106=1,1-DU20,0))*150+191+'calcA'!V$5*100000+IF(AND($E20=1,JI20=0),50000,0))+IF($H20=1,INDEX('calcA'!$D$180:$EQ$219,$B20,19)*4000,0)-IF(AND('calcA'!U$117=1,US20&gt;0),2000,0)-IF(AND($U20=1,'calcA'!V$117=1,DU20=0),2000,0))),1000000000))</f>
        <v/>
      </c>
      <c r="OY20">
        <f>IF($B20=0,1000000000,IF(INDEX('calcA'!$D$60:$EQ$99,$B20,20)*IF($W20=1,DU20+AAJ20,DU20)=1,IF(AND($E20=2,IF($W20=1,AFY20,JJ20)=0),1000000000,IF($V20=1,INDEX('calcA'!$D$130:$EQ$169,$B20,20)+IF(AND($E20=1,JJ20=0),25,0),IF($F20&gt;0,INDEX('calcA'!W$110:W$114,$F20+1)+IF(AND($E20=1,JJ20=0),1000,0),MIN(TU20,20)*400+(IF('calcA'!V$106=1,1-DT20,0)+IF('calcA'!W$106=1,1-DV20,0))*150+201+'calcA'!W$5*100000+IF(AND($E20=1,JJ20=0),50000,0))+IF($H20=1,INDEX('calcA'!$D$180:$EQ$219,$B20,20)*4000,0)-IF(AND('calcA'!V$117=1,UT20&gt;0),2000,0)-IF(AND($U20=1,'calcA'!W$117=1,DV20=0),2000,0))),1000000000))</f>
        <v/>
      </c>
      <c r="OZ20">
        <f>IF($B20=0,1000000000,IF(INDEX('calcA'!$D$60:$EQ$99,$B20,21)*IF($W20=1,DV20+AAK20,DV20)=1,IF(AND($E20=2,IF($W20=1,AFZ20,JK20)=0),1000000000,IF($V20=1,INDEX('calcA'!$D$130:$EQ$169,$B20,21)+IF(AND($E20=1,JK20=0),25,0),IF($F20&gt;0,INDEX('calcA'!X$110:X$114,$F20+1)+IF(AND($E20=1,JK20=0),1000,0),MIN(TU20,20)*400+(IF('calcA'!W$106=1,1-DU20,0)+IF('calcA'!X$106=1,1-DW20,0))*150+211+'calcA'!X$5*100000+IF(AND($E20=1,JK20=0),50000,0))+IF($H20=1,INDEX('calcA'!$D$180:$EQ$219,$B20,21)*4000,0)-IF(AND('calcA'!W$117=1,UU20&gt;0),2000,0)-IF(AND($U20=1,'calcA'!X$117=1,DW20=0),2000,0))),1000000000))</f>
        <v/>
      </c>
      <c r="PA20">
        <f>IF($B20=0,1000000000,IF(INDEX('calcA'!$D$60:$EQ$99,$B20,22)*IF($W20=1,DW20+AAL20,DW20)=1,IF(AND($E20=2,IF($W20=1,AGA20,JL20)=0),1000000000,IF($V20=1,INDEX('calcA'!$D$130:$EQ$169,$B20,22)+IF(AND($E20=1,JL20=0),25,0),IF($F20&gt;0,INDEX('calcA'!Y$110:Y$114,$F20+1)+IF(AND($E20=1,JL20=0),1000,0),MIN(TU20,20)*400+(IF('calcA'!X$106=1,1-DV20,0)+IF('calcA'!Y$106=1,1-DX20,0))*150+221+'calcA'!Y$5*100000+IF(AND($E20=1,JL20=0),50000,0))+IF($H20=1,INDEX('calcA'!$D$180:$EQ$219,$B20,22)*4000,0)-IF(AND('calcA'!X$117=1,UV20&gt;0),2000,0)-IF(AND($U20=1,'calcA'!Y$117=1,DX20=0),2000,0))),1000000000))</f>
        <v/>
      </c>
      <c r="PB20">
        <f>IF($B20=0,1000000000,IF(INDEX('calcA'!$D$60:$EQ$99,$B20,23)*IF($W20=1,DX20+AAM20,DX20)=1,IF(AND($E20=2,IF($W20=1,AGB20,JM20)=0),1000000000,IF($V20=1,INDEX('calcA'!$D$130:$EQ$169,$B20,23)+IF(AND($E20=1,JM20=0),25,0),IF($F20&gt;0,INDEX('calcA'!Z$110:Z$114,$F20+1)+IF(AND($E20=1,JM20=0),1000,0),MIN(TU20,20)*400+(IF('calcA'!Y$106=1,1-DW20,0)+IF('calcA'!Z$106=1,1-DY20,0))*150+231+'calcA'!Z$5*100000+IF(AND($E20=1,JM20=0),50000,0))+IF($H20=1,INDEX('calcA'!$D$180:$EQ$219,$B20,23)*4000,0)-IF(AND('calcA'!Y$117=1,UW20&gt;0),2000,0)-IF(AND($U20=1,'calcA'!Z$117=1,DY20=0),2000,0))),1000000000))</f>
        <v/>
      </c>
      <c r="PC20">
        <f>IF($B20=0,1000000000,IF(INDEX('calcA'!$D$60:$EQ$99,$B20,24)*IF($W20=1,DY20+AAN20,DY20)=1,IF(AND($E20=2,IF($W20=1,AGC20,JN20)=0),1000000000,IF($V20=1,INDEX('calcA'!$D$130:$EQ$169,$B20,24)+IF(AND($E20=1,JN20=0),25,0),IF($F20&gt;0,INDEX('calcA'!AA$110:AA$114,$F20+1)+IF(AND($E20=1,JN20=0),1000,0),MIN(TU20,20)*400+(IF('calcA'!Z$106=1,1-DX20,0))*150+241+'calcA'!AA$5*100000+IF(AND($E20=1,JN20=0),50000,0))+IF($H20=1,INDEX('calcA'!$D$180:$EQ$219,$B20,24)*4000,0)-IF(AND('calcA'!Z$117=1,UX20&gt;0),2000,0))),1000000000))</f>
        <v/>
      </c>
      <c r="PD20">
        <f>IF($B20=0,1000000000,IF(INDEX('calcA'!$D$60:$EQ$99,$B20,25)*IF($W20=1,DZ20+AAO20,DZ20)=1,IF(AND($E20=2,IF($W20=1,AGD20,JO20)=0),1000000000,IF($V20=1,INDEX('calcA'!$D$130:$EQ$169,$B20,25)+IF(AND($E20=1,JO20=0),25,0),IF($F20&gt;0,INDEX('calcA'!AB$110:AB$114,$F20+1)+IF(AND($E20=1,JO20=0),1000,0),MIN(TV20,20)*400+(IF('calcA'!AB$106=1,1-EA20,0))*150+12+'calcA'!AB$5*100000+IF(AND($E20=1,JO20=0),50000,0))+IF($H20=1,INDEX('calcA'!$D$180:$EQ$219,$B20,25)*4000,0)-IF(AND($U20=1,'calcA'!AB$117=1,EA20=0),2000,0))),1000000000))</f>
        <v/>
      </c>
      <c r="PE20">
        <f>IF($B20=0,1000000000,IF(INDEX('calcA'!$D$60:$EQ$99,$B20,26)*IF($W20=1,EA20+AAP20,EA20)=1,IF(AND($E20=2,IF($W20=1,AGE20,JP20)=0),1000000000,IF($V20=1,INDEX('calcA'!$D$130:$EQ$169,$B20,26)+IF(AND($E20=1,JP20=0),25,0),IF($F20&gt;0,INDEX('calcA'!AC$110:AC$114,$F20+1)+IF(AND($E20=1,JP20=0),1000,0),MIN(TV20,20)*400+(IF('calcA'!AB$106=1,1-DZ20,0)+IF('calcA'!AC$106=1,1-EB20,0))*150+22+'calcA'!AC$5*100000+IF(AND($E20=1,JP20=0),50000,0))+IF($H20=1,INDEX('calcA'!$D$180:$EQ$219,$B20,26)*4000,0)-IF(AND('calcA'!AB$117=1,UZ20&gt;0),2000,0)-IF(AND($U20=1,'calcA'!AC$117=1,EB20=0),2000,0))),1000000000))</f>
        <v/>
      </c>
      <c r="PF20">
        <f>IF($B20=0,1000000000,IF(INDEX('calcA'!$D$60:$EQ$99,$B20,27)*IF($W20=1,EB20+AAQ20,EB20)=1,IF(AND($E20=2,IF($W20=1,AGF20,JQ20)=0),1000000000,IF($V20=1,INDEX('calcA'!$D$130:$EQ$169,$B20,27)+IF(AND($E20=1,JQ20=0),25,0),IF($F20&gt;0,INDEX('calcA'!AD$110:AD$114,$F20+1)+IF(AND($E20=1,JQ20=0),1000,0),MIN(TV20,20)*400+(IF('calcA'!AC$106=1,1-EA20,0)+IF('calcA'!AD$106=1,1-EC20,0))*150+32+'calcA'!AD$5*100000+IF(AND($E20=1,JQ20=0),50000,0))+IF($H20=1,INDEX('calcA'!$D$180:$EQ$219,$B20,27)*4000,0)-IF(AND('calcA'!AC$117=1,VA20&gt;0),2000,0)-IF(AND($U20=1,'calcA'!AD$117=1,EC20=0),2000,0))),1000000000))</f>
        <v/>
      </c>
      <c r="PG20">
        <f>IF($B20=0,1000000000,IF(INDEX('calcA'!$D$60:$EQ$99,$B20,28)*IF($W20=1,EC20+AAR20,EC20)=1,IF(AND($E20=2,IF($W20=1,AGG20,JR20)=0),1000000000,IF($V20=1,INDEX('calcA'!$D$130:$EQ$169,$B20,28)+IF(AND($E20=1,JR20=0),25,0),IF($F20&gt;0,INDEX('calcA'!AE$110:AE$114,$F20+1)+IF(AND($E20=1,JR20=0),1000,0),MIN(TV20,20)*400+(IF('calcA'!AD$106=1,1-EB20,0)+IF('calcA'!AE$106=1,1-ED20,0))*150+42+'calcA'!AE$5*100000+IF(AND($E20=1,JR20=0),50000,0))+IF($H20=1,INDEX('calcA'!$D$180:$EQ$219,$B20,28)*4000,0)-IF(AND('calcA'!AD$117=1,VB20&gt;0),2000,0)-IF(AND($U20=1,'calcA'!AE$117=1,ED20=0),2000,0))),1000000000))</f>
        <v/>
      </c>
      <c r="PH20">
        <f>IF($B20=0,1000000000,IF(INDEX('calcA'!$D$60:$EQ$99,$B20,29)*IF($W20=1,ED20+AAS20,ED20)=1,IF(AND($E20=2,IF($W20=1,AGH20,JS20)=0),1000000000,IF($V20=1,INDEX('calcA'!$D$130:$EQ$169,$B20,29)+IF(AND($E20=1,JS20=0),25,0),IF($F20&gt;0,INDEX('calcA'!AF$110:AF$114,$F20+1)+IF(AND($E20=1,JS20=0),1000,0),MIN(TV20,20)*400+(IF('calcA'!AE$106=1,1-EC20,0)+IF('calcA'!AF$106=1,1-EE20,0))*150+52+'calcA'!AF$5*100000+IF(AND($E20=1,JS20=0),50000,0))+IF($H20=1,INDEX('calcA'!$D$180:$EQ$219,$B20,29)*4000,0)-IF(AND('calcA'!AE$117=1,VC20&gt;0),2000,0)-IF(AND($U20=1,'calcA'!AF$117=1,EE20=0),2000,0))),1000000000))</f>
        <v/>
      </c>
      <c r="PI20">
        <f>IF($B20=0,1000000000,IF(INDEX('calcA'!$D$60:$EQ$99,$B20,30)*IF($W20=1,EE20+AAT20,EE20)=1,IF(AND($E20=2,IF($W20=1,AGI20,JT20)=0),1000000000,IF($V20=1,INDEX('calcA'!$D$130:$EQ$169,$B20,30)+IF(AND($E20=1,JT20=0),25,0),IF($F20&gt;0,INDEX('calcA'!AG$110:AG$114,$F20+1)+IF(AND($E20=1,JT20=0),1000,0),MIN(TV20,20)*400+(IF('calcA'!AF$106=1,1-ED20,0)+IF('calcA'!AG$106=1,1-EF20,0))*150+62+'calcA'!AG$5*100000+IF(AND($E20=1,JT20=0),50000,0))+IF($H20=1,INDEX('calcA'!$D$180:$EQ$219,$B20,30)*4000,0)-IF(AND('calcA'!AF$117=1,VD20&gt;0),2000,0)-IF(AND($U20=1,'calcA'!AG$117=1,EF20=0),2000,0))),1000000000))</f>
        <v/>
      </c>
      <c r="PJ20">
        <f>IF($B20=0,1000000000,IF(INDEX('calcA'!$D$60:$EQ$99,$B20,31)*IF($W20=1,EF20+AAU20,EF20)=1,IF(AND($E20=2,IF($W20=1,AGJ20,JU20)=0),1000000000,IF($V20=1,INDEX('calcA'!$D$130:$EQ$169,$B20,31)+IF(AND($E20=1,JU20=0),25,0),IF($F20&gt;0,INDEX('calcA'!AH$110:AH$114,$F20+1)+IF(AND($E20=1,JU20=0),1000,0),MIN(TV20,20)*400+(IF('calcA'!AG$106=1,1-EE20,0)+IF('calcA'!AH$106=1,1-EG20,0))*150+72+'calcA'!AH$5*100000+IF(AND($E20=1,JU20=0),50000,0))+IF($H20=1,INDEX('calcA'!$D$180:$EQ$219,$B20,31)*4000,0)-IF(AND('calcA'!AG$117=1,VE20&gt;0),2000,0)-IF(AND($U20=1,'calcA'!AH$117=1,EG20=0),2000,0))),1000000000))</f>
        <v/>
      </c>
      <c r="PK20">
        <f>IF($B20=0,1000000000,IF(INDEX('calcA'!$D$60:$EQ$99,$B20,32)*IF($W20=1,EG20+AAV20,EG20)=1,IF(AND($E20=2,IF($W20=1,AGK20,JV20)=0),1000000000,IF($V20=1,INDEX('calcA'!$D$130:$EQ$169,$B20,32)+IF(AND($E20=1,JV20=0),25,0),IF($F20&gt;0,INDEX('calcA'!AI$110:AI$114,$F20+1)+IF(AND($E20=1,JV20=0),1000,0),MIN(TV20,20)*400+(IF('calcA'!AH$106=1,1-EF20,0)+IF('calcA'!AI$106=1,1-EH20,0))*150+82+'calcA'!AI$5*100000+IF(AND($E20=1,JV20=0),50000,0))+IF($H20=1,INDEX('calcA'!$D$180:$EQ$219,$B20,32)*4000,0)-IF(AND('calcA'!AH$117=1,VF20&gt;0),2000,0)-IF(AND($U20=1,'calcA'!AI$117=1,EH20=0),2000,0))),1000000000))</f>
        <v/>
      </c>
      <c r="PL20">
        <f>IF($B20=0,1000000000,IF(INDEX('calcA'!$D$60:$EQ$99,$B20,33)*IF($W20=1,EH20+AAW20,EH20)=1,IF(AND($E20=2,IF($W20=1,AGL20,JW20)=0),1000000000,IF($V20=1,INDEX('calcA'!$D$130:$EQ$169,$B20,33)+IF(AND($E20=1,JW20=0),25,0),IF($F20&gt;0,INDEX('calcA'!AJ$110:AJ$114,$F20+1)+IF(AND($E20=1,JW20=0),1000,0),MIN(TV20,20)*400+(IF('calcA'!AI$106=1,1-EG20,0)+IF('calcA'!AJ$106=1,1-EI20,0))*150+92+'calcA'!AJ$5*100000+IF(AND($E20=1,JW20=0),50000,0))+IF($H20=1,INDEX('calcA'!$D$180:$EQ$219,$B20,33)*4000,0)-IF(AND('calcA'!AI$117=1,VG20&gt;0),2000,0)-IF(AND($U20=1,'calcA'!AJ$117=1,EI20=0),2000,0))),1000000000))</f>
        <v/>
      </c>
      <c r="PM20">
        <f>IF($B20=0,1000000000,IF(INDEX('calcA'!$D$60:$EQ$99,$B20,34)*IF($W20=1,EI20+AAX20,EI20)=1,IF(AND($E20=2,IF($W20=1,AGM20,JX20)=0),1000000000,IF($V20=1,INDEX('calcA'!$D$130:$EQ$169,$B20,34)+IF(AND($E20=1,JX20=0),25,0),IF($F20&gt;0,INDEX('calcA'!AK$110:AK$114,$F20+1)+IF(AND($E20=1,JX20=0),1000,0),MIN(TV20,20)*400+(IF('calcA'!AJ$106=1,1-EH20,0)+IF('calcA'!AK$106=1,1-EJ20,0))*150+102+'calcA'!AK$5*100000+IF(AND($E20=1,JX20=0),50000,0))+IF($H20=1,INDEX('calcA'!$D$180:$EQ$219,$B20,34)*4000,0)-IF(AND('calcA'!AJ$117=1,VH20&gt;0),2000,0)-IF(AND($U20=1,'calcA'!AK$117=1,EJ20=0),2000,0))),1000000000))</f>
        <v/>
      </c>
      <c r="PN20">
        <f>IF($B20=0,1000000000,IF(INDEX('calcA'!$D$60:$EQ$99,$B20,35)*IF($W20=1,EJ20+AAY20,EJ20)=1,IF(AND($E20=2,IF($W20=1,AGN20,JY20)=0),1000000000,IF($V20=1,INDEX('calcA'!$D$130:$EQ$169,$B20,35)+IF(AND($E20=1,JY20=0),25,0),IF($F20&gt;0,INDEX('calcA'!AL$110:AL$114,$F20+1)+IF(AND($E20=1,JY20=0),1000,0),MIN(TV20,20)*400+(IF('calcA'!AK$106=1,1-EI20,0)+IF('calcA'!AL$106=1,1-EK20,0))*150+112+'calcA'!AL$5*100000+IF(AND($E20=1,JY20=0),50000,0))+IF($H20=1,INDEX('calcA'!$D$180:$EQ$219,$B20,35)*4000,0)-IF(AND('calcA'!AK$117=1,VI20&gt;0),2000,0)-IF(AND($U20=1,'calcA'!AL$117=1,EK20=0),2000,0))),1000000000))</f>
        <v/>
      </c>
      <c r="PO20">
        <f>IF($B20=0,1000000000,IF(INDEX('calcA'!$D$60:$EQ$99,$B20,36)*IF($W20=1,EK20+AAZ20,EK20)=1,IF(AND($E20=2,IF($W20=1,AGO20,JZ20)=0),1000000000,IF($V20=1,INDEX('calcA'!$D$130:$EQ$169,$B20,36)+IF(AND($E20=1,JZ20=0),25,0),IF($F20&gt;0,INDEX('calcA'!AM$110:AM$114,$F20+1)+IF(AND($E20=1,JZ20=0),1000,0),MIN(TV20,20)*400+(IF('calcA'!AL$106=1,1-EJ20,0)+IF('calcA'!AM$106=1,1-EL20,0))*150+122+'calcA'!AM$5*100000+IF(AND($E20=1,JZ20=0),50000,0))+IF($H20=1,INDEX('calcA'!$D$180:$EQ$219,$B20,36)*4000,0)-IF(AND('calcA'!AL$117=1,VJ20&gt;0),2000,0)-IF(AND($U20=1,'calcA'!AM$117=1,EL20=0),2000,0))),1000000000))</f>
        <v/>
      </c>
      <c r="PP20">
        <f>IF($B20=0,1000000000,IF(INDEX('calcA'!$D$60:$EQ$99,$B20,37)*IF($W20=1,EL20+ABA20,EL20)=1,IF(AND($E20=2,IF($W20=1,AGP20,KA20)=0),1000000000,IF($V20=1,INDEX('calcA'!$D$130:$EQ$169,$B20,37)+IF(AND($E20=1,KA20=0),25,0),IF($F20&gt;0,INDEX('calcA'!AN$110:AN$114,$F20+1)+IF(AND($E20=1,KA20=0),1000,0),MIN(TV20,20)*400+(IF('calcA'!AM$106=1,1-EK20,0)+IF('calcA'!AN$106=1,1-EM20,0))*150+132+'calcA'!AN$5*100000+IF(AND($E20=1,KA20=0),50000,0))+IF($H20=1,INDEX('calcA'!$D$180:$EQ$219,$B20,37)*4000,0)-IF(AND('calcA'!AM$117=1,VK20&gt;0),2000,0)-IF(AND($U20=1,'calcA'!AN$117=1,EM20=0),2000,0))),1000000000))</f>
        <v/>
      </c>
      <c r="PQ20">
        <f>IF($B20=0,1000000000,IF(INDEX('calcA'!$D$60:$EQ$99,$B20,38)*IF($W20=1,EM20+ABB20,EM20)=1,IF(AND($E20=2,IF($W20=1,AGQ20,KB20)=0),1000000000,IF($V20=1,INDEX('calcA'!$D$130:$EQ$169,$B20,38)+IF(AND($E20=1,KB20=0),25,0),IF($F20&gt;0,INDEX('calcA'!AO$110:AO$114,$F20+1)+IF(AND($E20=1,KB20=0),1000,0),MIN(TV20,20)*400+(IF('calcA'!AN$106=1,1-EL20,0)+IF('calcA'!AO$106=1,1-EN20,0))*150+142+'calcA'!AO$5*100000+IF(AND($E20=1,KB20=0),50000,0))+IF($H20=1,INDEX('calcA'!$D$180:$EQ$219,$B20,38)*4000,0)-IF(AND('calcA'!AN$117=1,VL20&gt;0),2000,0)-IF(AND($U20=1,'calcA'!AO$117=1,EN20=0),2000,0))),1000000000))</f>
        <v/>
      </c>
      <c r="PR20">
        <f>IF($B20=0,1000000000,IF(INDEX('calcA'!$D$60:$EQ$99,$B20,39)*IF($W20=1,EN20+ABC20,EN20)=1,IF(AND($E20=2,IF($W20=1,AGR20,KC20)=0),1000000000,IF($V20=1,INDEX('calcA'!$D$130:$EQ$169,$B20,39)+IF(AND($E20=1,KC20=0),25,0),IF($F20&gt;0,INDEX('calcA'!AP$110:AP$114,$F20+1)+IF(AND($E20=1,KC20=0),1000,0),MIN(TV20,20)*400+(IF('calcA'!AO$106=1,1-EM20,0)+IF('calcA'!AP$106=1,1-EO20,0))*150+152+'calcA'!AP$5*100000+IF(AND($E20=1,KC20=0),50000,0))+IF($H20=1,INDEX('calcA'!$D$180:$EQ$219,$B20,39)*4000,0)-IF(AND('calcA'!AO$117=1,VM20&gt;0),2000,0)-IF(AND($U20=1,'calcA'!AP$117=1,EO20=0),2000,0))),1000000000))</f>
        <v/>
      </c>
      <c r="PS20">
        <f>IF($B20=0,1000000000,IF(INDEX('calcA'!$D$60:$EQ$99,$B20,40)*IF($W20=1,EO20+ABD20,EO20)=1,IF(AND($E20=2,IF($W20=1,AGS20,KD20)=0),1000000000,IF($V20=1,INDEX('calcA'!$D$130:$EQ$169,$B20,40)+IF(AND($E20=1,KD20=0),25,0),IF($F20&gt;0,INDEX('calcA'!AQ$110:AQ$114,$F20+1)+IF(AND($E20=1,KD20=0),1000,0),MIN(TV20,20)*400+(IF('calcA'!AP$106=1,1-EN20,0)+IF('calcA'!AQ$106=1,1-EP20,0))*150+162+'calcA'!AQ$5*100000+IF(AND($E20=1,KD20=0),50000,0))+IF($H20=1,INDEX('calcA'!$D$180:$EQ$219,$B20,40)*4000,0)-IF(AND('calcA'!AP$117=1,VN20&gt;0),2000,0)-IF(AND($U20=1,'calcA'!AQ$117=1,EP20=0),2000,0))),1000000000))</f>
        <v/>
      </c>
      <c r="PT20">
        <f>IF($B20=0,1000000000,IF(INDEX('calcA'!$D$60:$EQ$99,$B20,41)*IF($W20=1,EP20+ABE20,EP20)=1,IF(AND($E20=2,IF($W20=1,AGT20,KE20)=0),1000000000,IF($V20=1,INDEX('calcA'!$D$130:$EQ$169,$B20,41)+IF(AND($E20=1,KE20=0),25,0),IF($F20&gt;0,INDEX('calcA'!AR$110:AR$114,$F20+1)+IF(AND($E20=1,KE20=0),1000,0),MIN(TV20,20)*400+(IF('calcA'!AQ$106=1,1-EO20,0)+IF('calcA'!AR$106=1,1-EQ20,0))*150+172+'calcA'!AR$5*100000+IF(AND($E20=1,KE20=0),50000,0))+IF($H20=1,INDEX('calcA'!$D$180:$EQ$219,$B20,41)*4000,0)-IF(AND('calcA'!AQ$117=1,VO20&gt;0),2000,0)-IF(AND($U20=1,'calcA'!AR$117=1,EQ20=0),2000,0))),1000000000))</f>
        <v/>
      </c>
      <c r="PU20">
        <f>IF($B20=0,1000000000,IF(INDEX('calcA'!$D$60:$EQ$99,$B20,42)*IF($W20=1,EQ20+ABF20,EQ20)=1,IF(AND($E20=2,IF($W20=1,AGU20,KF20)=0),1000000000,IF($V20=1,INDEX('calcA'!$D$130:$EQ$169,$B20,42)+IF(AND($E20=1,KF20=0),25,0),IF($F20&gt;0,INDEX('calcA'!AS$110:AS$114,$F20+1)+IF(AND($E20=1,KF20=0),1000,0),MIN(TV20,20)*400+(IF('calcA'!AR$106=1,1-EP20,0)+IF('calcA'!AS$106=1,1-ER20,0))*150+182+'calcA'!AS$5*100000+IF(AND($E20=1,KF20=0),50000,0))+IF($H20=1,INDEX('calcA'!$D$180:$EQ$219,$B20,42)*4000,0)-IF(AND('calcA'!AR$117=1,VP20&gt;0),2000,0)-IF(AND($U20=1,'calcA'!AS$117=1,ER20=0),2000,0))),1000000000))</f>
        <v/>
      </c>
      <c r="PV20">
        <f>IF($B20=0,1000000000,IF(INDEX('calcA'!$D$60:$EQ$99,$B20,43)*IF($W20=1,ER20+ABG20,ER20)=1,IF(AND($E20=2,IF($W20=1,AGV20,KG20)=0),1000000000,IF($V20=1,INDEX('calcA'!$D$130:$EQ$169,$B20,43)+IF(AND($E20=1,KG20=0),25,0),IF($F20&gt;0,INDEX('calcA'!AT$110:AT$114,$F20+1)+IF(AND($E20=1,KG20=0),1000,0),MIN(TV20,20)*400+(IF('calcA'!AS$106=1,1-EQ20,0)+IF('calcA'!AT$106=1,1-ES20,0))*150+192+'calcA'!AT$5*100000+IF(AND($E20=1,KG20=0),50000,0))+IF($H20=1,INDEX('calcA'!$D$180:$EQ$219,$B20,43)*4000,0)-IF(AND('calcA'!AS$117=1,VQ20&gt;0),2000,0)-IF(AND($U20=1,'calcA'!AT$117=1,ES20=0),2000,0))),1000000000))</f>
        <v/>
      </c>
      <c r="PW20">
        <f>IF($B20=0,1000000000,IF(INDEX('calcA'!$D$60:$EQ$99,$B20,44)*IF($W20=1,ES20+ABH20,ES20)=1,IF(AND($E20=2,IF($W20=1,AGW20,KH20)=0),1000000000,IF($V20=1,INDEX('calcA'!$D$130:$EQ$169,$B20,44)+IF(AND($E20=1,KH20=0),25,0),IF($F20&gt;0,INDEX('calcA'!AU$110:AU$114,$F20+1)+IF(AND($E20=1,KH20=0),1000,0),MIN(TV20,20)*400+(IF('calcA'!AT$106=1,1-ER20,0)+IF('calcA'!AU$106=1,1-ET20,0))*150+202+'calcA'!AU$5*100000+IF(AND($E20=1,KH20=0),50000,0))+IF($H20=1,INDEX('calcA'!$D$180:$EQ$219,$B20,44)*4000,0)-IF(AND('calcA'!AT$117=1,VR20&gt;0),2000,0)-IF(AND($U20=1,'calcA'!AU$117=1,ET20=0),2000,0))),1000000000))</f>
        <v/>
      </c>
      <c r="PX20">
        <f>IF($B20=0,1000000000,IF(INDEX('calcA'!$D$60:$EQ$99,$B20,45)*IF($W20=1,ET20+ABI20,ET20)=1,IF(AND($E20=2,IF($W20=1,AGX20,KI20)=0),1000000000,IF($V20=1,INDEX('calcA'!$D$130:$EQ$169,$B20,45)+IF(AND($E20=1,KI20=0),25,0),IF($F20&gt;0,INDEX('calcA'!AV$110:AV$114,$F20+1)+IF(AND($E20=1,KI20=0),1000,0),MIN(TV20,20)*400+(IF('calcA'!AU$106=1,1-ES20,0)+IF('calcA'!AV$106=1,1-EU20,0))*150+212+'calcA'!AV$5*100000+IF(AND($E20=1,KI20=0),50000,0))+IF($H20=1,INDEX('calcA'!$D$180:$EQ$219,$B20,45)*4000,0)-IF(AND('calcA'!AU$117=1,VS20&gt;0),2000,0)-IF(AND($U20=1,'calcA'!AV$117=1,EU20=0),2000,0))),1000000000))</f>
        <v/>
      </c>
      <c r="PY20">
        <f>IF($B20=0,1000000000,IF(INDEX('calcA'!$D$60:$EQ$99,$B20,46)*IF($W20=1,EU20+ABJ20,EU20)=1,IF(AND($E20=2,IF($W20=1,AGY20,KJ20)=0),1000000000,IF($V20=1,INDEX('calcA'!$D$130:$EQ$169,$B20,46)+IF(AND($E20=1,KJ20=0),25,0),IF($F20&gt;0,INDEX('calcA'!AW$110:AW$114,$F20+1)+IF(AND($E20=1,KJ20=0),1000,0),MIN(TV20,20)*400+(IF('calcA'!AV$106=1,1-ET20,0)+IF('calcA'!AW$106=1,1-EV20,0))*150+222+'calcA'!AW$5*100000+IF(AND($E20=1,KJ20=0),50000,0))+IF($H20=1,INDEX('calcA'!$D$180:$EQ$219,$B20,46)*4000,0)-IF(AND('calcA'!AV$117=1,VT20&gt;0),2000,0)-IF(AND($U20=1,'calcA'!AW$117=1,EV20=0),2000,0))),1000000000))</f>
        <v/>
      </c>
      <c r="PZ20">
        <f>IF($B20=0,1000000000,IF(INDEX('calcA'!$D$60:$EQ$99,$B20,47)*IF($W20=1,EV20+ABK20,EV20)=1,IF(AND($E20=2,IF($W20=1,AGZ20,KK20)=0),1000000000,IF($V20=1,INDEX('calcA'!$D$130:$EQ$169,$B20,47)+IF(AND($E20=1,KK20=0),25,0),IF($F20&gt;0,INDEX('calcA'!AX$110:AX$114,$F20+1)+IF(AND($E20=1,KK20=0),1000,0),MIN(TV20,20)*400+(IF('calcA'!AW$106=1,1-EU20,0)+IF('calcA'!AX$106=1,1-EW20,0))*150+232+'calcA'!AX$5*100000+IF(AND($E20=1,KK20=0),50000,0))+IF($H20=1,INDEX('calcA'!$D$180:$EQ$219,$B20,47)*4000,0)-IF(AND('calcA'!AW$117=1,VU20&gt;0),2000,0)-IF(AND($U20=1,'calcA'!AX$117=1,EW20=0),2000,0))),1000000000))</f>
        <v/>
      </c>
      <c r="QA20">
        <f>IF($B20=0,1000000000,IF(INDEX('calcA'!$D$60:$EQ$99,$B20,48)*IF($W20=1,EW20+ABL20,EW20)=1,IF(AND($E20=2,IF($W20=1,AHA20,KL20)=0),1000000000,IF($V20=1,INDEX('calcA'!$D$130:$EQ$169,$B20,48)+IF(AND($E20=1,KL20=0),25,0),IF($F20&gt;0,INDEX('calcA'!AY$110:AY$114,$F20+1)+IF(AND($E20=1,KL20=0),1000,0),MIN(TV20,20)*400+(IF('calcA'!AX$106=1,1-EV20,0))*150+242+'calcA'!AY$5*100000+IF(AND($E20=1,KL20=0),50000,0))+IF($H20=1,INDEX('calcA'!$D$180:$EQ$219,$B20,48)*4000,0)-IF(AND('calcA'!AX$117=1,VV20&gt;0),2000,0))),1000000000))</f>
        <v/>
      </c>
      <c r="QB20">
        <f>IF($B20=0,1000000000,IF(INDEX('calcA'!$D$60:$EQ$99,$B20,49)*IF($W20=1,EX20+ABM20,EX20)=1,IF(AND($E20=2,IF($W20=1,AHB20,KM20)=0),1000000000,IF($V20=1,INDEX('calcA'!$D$130:$EQ$169,$B20,49)+IF(AND($E20=1,KM20=0),25,0),IF($F20&gt;0,INDEX('calcA'!AZ$110:AZ$114,$F20+1)+IF(AND($E20=1,KM20=0),1000,0),MIN(TW20,20)*400+(IF('calcA'!AZ$106=1,1-EY20,0))*150+13+'calcA'!AZ$5*100000+IF(AND($E20=1,KM20=0),50000,0))+IF($H20=1,INDEX('calcA'!$D$180:$EQ$219,$B20,49)*4000,0)-IF(AND($U20=1,'calcA'!AZ$117=1,EY20=0),2000,0))),1000000000))</f>
        <v/>
      </c>
      <c r="QC20">
        <f>IF($B20=0,1000000000,IF(INDEX('calcA'!$D$60:$EQ$99,$B20,50)*IF($W20=1,EY20+ABN20,EY20)=1,IF(AND($E20=2,IF($W20=1,AHC20,KN20)=0),1000000000,IF($V20=1,INDEX('calcA'!$D$130:$EQ$169,$B20,50)+IF(AND($E20=1,KN20=0),25,0),IF($F20&gt;0,INDEX('calcA'!BA$110:BA$114,$F20+1)+IF(AND($E20=1,KN20=0),1000,0),MIN(TW20,20)*400+(IF('calcA'!AZ$106=1,1-EX20,0)+IF('calcA'!BA$106=1,1-EZ20,0))*150+23+'calcA'!BA$5*100000+IF(AND($E20=1,KN20=0),50000,0))+IF($H20=1,INDEX('calcA'!$D$180:$EQ$219,$B20,50)*4000,0)-IF(AND('calcA'!AZ$117=1,VX20&gt;0),2000,0)-IF(AND($U20=1,'calcA'!BA$117=1,EZ20=0),2000,0))),1000000000))</f>
        <v/>
      </c>
      <c r="QD20">
        <f>IF($B20=0,1000000000,IF(INDEX('calcA'!$D$60:$EQ$99,$B20,51)*IF($W20=1,EZ20+ABO20,EZ20)=1,IF(AND($E20=2,IF($W20=1,AHD20,KO20)=0),1000000000,IF($V20=1,INDEX('calcA'!$D$130:$EQ$169,$B20,51)+IF(AND($E20=1,KO20=0),25,0),IF($F20&gt;0,INDEX('calcA'!BB$110:BB$114,$F20+1)+IF(AND($E20=1,KO20=0),1000,0),MIN(TW20,20)*400+(IF('calcA'!BA$106=1,1-EY20,0)+IF('calcA'!BB$106=1,1-FA20,0))*150+33+'calcA'!BB$5*100000+IF(AND($E20=1,KO20=0),50000,0))+IF($H20=1,INDEX('calcA'!$D$180:$EQ$219,$B20,51)*4000,0)-IF(AND('calcA'!BA$117=1,VY20&gt;0),2000,0)-IF(AND($U20=1,'calcA'!BB$117=1,FA20=0),2000,0))),1000000000))</f>
        <v/>
      </c>
      <c r="QE20">
        <f>IF($B20=0,1000000000,IF(INDEX('calcA'!$D$60:$EQ$99,$B20,52)*IF($W20=1,FA20+ABP20,FA20)=1,IF(AND($E20=2,IF($W20=1,AHE20,KP20)=0),1000000000,IF($V20=1,INDEX('calcA'!$D$130:$EQ$169,$B20,52)+IF(AND($E20=1,KP20=0),25,0),IF($F20&gt;0,INDEX('calcA'!BC$110:BC$114,$F20+1)+IF(AND($E20=1,KP20=0),1000,0),MIN(TW20,20)*400+(IF('calcA'!BB$106=1,1-EZ20,0)+IF('calcA'!BC$106=1,1-FB20,0))*150+43+'calcA'!BC$5*100000+IF(AND($E20=1,KP20=0),50000,0))+IF($H20=1,INDEX('calcA'!$D$180:$EQ$219,$B20,52)*4000,0)-IF(AND('calcA'!BB$117=1,VZ20&gt;0),2000,0)-IF(AND($U20=1,'calcA'!BC$117=1,FB20=0),2000,0))),1000000000))</f>
        <v/>
      </c>
      <c r="QF20">
        <f>IF($B20=0,1000000000,IF(INDEX('calcA'!$D$60:$EQ$99,$B20,53)*IF($W20=1,FB20+ABQ20,FB20)=1,IF(AND($E20=2,IF($W20=1,AHF20,KQ20)=0),1000000000,IF($V20=1,INDEX('calcA'!$D$130:$EQ$169,$B20,53)+IF(AND($E20=1,KQ20=0),25,0),IF($F20&gt;0,INDEX('calcA'!BD$110:BD$114,$F20+1)+IF(AND($E20=1,KQ20=0),1000,0),MIN(TW20,20)*400+(IF('calcA'!BC$106=1,1-FA20,0)+IF('calcA'!BD$106=1,1-FC20,0))*150+53+'calcA'!BD$5*100000+IF(AND($E20=1,KQ20=0),50000,0))+IF($H20=1,INDEX('calcA'!$D$180:$EQ$219,$B20,53)*4000,0)-IF(AND('calcA'!BC$117=1,WA20&gt;0),2000,0)-IF(AND($U20=1,'calcA'!BD$117=1,FC20=0),2000,0))),1000000000))</f>
        <v/>
      </c>
      <c r="QG20">
        <f>IF($B20=0,1000000000,IF(INDEX('calcA'!$D$60:$EQ$99,$B20,54)*IF($W20=1,FC20+ABR20,FC20)=1,IF(AND($E20=2,IF($W20=1,AHG20,KR20)=0),1000000000,IF($V20=1,INDEX('calcA'!$D$130:$EQ$169,$B20,54)+IF(AND($E20=1,KR20=0),25,0),IF($F20&gt;0,INDEX('calcA'!BE$110:BE$114,$F20+1)+IF(AND($E20=1,KR20=0),1000,0),MIN(TW20,20)*400+(IF('calcA'!BD$106=1,1-FB20,0)+IF('calcA'!BE$106=1,1-FD20,0))*150+63+'calcA'!BE$5*100000+IF(AND($E20=1,KR20=0),50000,0))+IF($H20=1,INDEX('calcA'!$D$180:$EQ$219,$B20,54)*4000,0)-IF(AND('calcA'!BD$117=1,WB20&gt;0),2000,0)-IF(AND($U20=1,'calcA'!BE$117=1,FD20=0),2000,0))),1000000000))</f>
        <v/>
      </c>
      <c r="QH20">
        <f>IF($B20=0,1000000000,IF(INDEX('calcA'!$D$60:$EQ$99,$B20,55)*IF($W20=1,FD20+ABS20,FD20)=1,IF(AND($E20=2,IF($W20=1,AHH20,KS20)=0),1000000000,IF($V20=1,INDEX('calcA'!$D$130:$EQ$169,$B20,55)+IF(AND($E20=1,KS20=0),25,0),IF($F20&gt;0,INDEX('calcA'!BF$110:BF$114,$F20+1)+IF(AND($E20=1,KS20=0),1000,0),MIN(TW20,20)*400+(IF('calcA'!BE$106=1,1-FC20,0)+IF('calcA'!BF$106=1,1-FE20,0))*150+73+'calcA'!BF$5*100000+IF(AND($E20=1,KS20=0),50000,0))+IF($H20=1,INDEX('calcA'!$D$180:$EQ$219,$B20,55)*4000,0)-IF(AND('calcA'!BE$117=1,WC20&gt;0),2000,0)-IF(AND($U20=1,'calcA'!BF$117=1,FE20=0),2000,0))),1000000000))</f>
        <v/>
      </c>
      <c r="QI20">
        <f>IF($B20=0,1000000000,IF(INDEX('calcA'!$D$60:$EQ$99,$B20,56)*IF($W20=1,FE20+ABT20,FE20)=1,IF(AND($E20=2,IF($W20=1,AHI20,KT20)=0),1000000000,IF($V20=1,INDEX('calcA'!$D$130:$EQ$169,$B20,56)+IF(AND($E20=1,KT20=0),25,0),IF($F20&gt;0,INDEX('calcA'!BG$110:BG$114,$F20+1)+IF(AND($E20=1,KT20=0),1000,0),MIN(TW20,20)*400+(IF('calcA'!BF$106=1,1-FD20,0)+IF('calcA'!BG$106=1,1-FF20,0))*150+83+'calcA'!BG$5*100000+IF(AND($E20=1,KT20=0),50000,0))+IF($H20=1,INDEX('calcA'!$D$180:$EQ$219,$B20,56)*4000,0)-IF(AND('calcA'!BF$117=1,WD20&gt;0),2000,0)-IF(AND($U20=1,'calcA'!BG$117=1,FF20=0),2000,0))),1000000000))</f>
        <v/>
      </c>
      <c r="QJ20">
        <f>IF($B20=0,1000000000,IF(INDEX('calcA'!$D$60:$EQ$99,$B20,57)*IF($W20=1,FF20+ABU20,FF20)=1,IF(AND($E20=2,IF($W20=1,AHJ20,KU20)=0),1000000000,IF($V20=1,INDEX('calcA'!$D$130:$EQ$169,$B20,57)+IF(AND($E20=1,KU20=0),25,0),IF($F20&gt;0,INDEX('calcA'!BH$110:BH$114,$F20+1)+IF(AND($E20=1,KU20=0),1000,0),MIN(TW20,20)*400+(IF('calcA'!BG$106=1,1-FE20,0)+IF('calcA'!BH$106=1,1-FG20,0))*150+93+'calcA'!BH$5*100000+IF(AND($E20=1,KU20=0),50000,0))+IF($H20=1,INDEX('calcA'!$D$180:$EQ$219,$B20,57)*4000,0)-IF(AND('calcA'!BG$117=1,WE20&gt;0),2000,0)-IF(AND($U20=1,'calcA'!BH$117=1,FG20=0),2000,0))),1000000000))</f>
        <v/>
      </c>
      <c r="QK20">
        <f>IF($B20=0,1000000000,IF(INDEX('calcA'!$D$60:$EQ$99,$B20,58)*IF($W20=1,FG20+ABV20,FG20)=1,IF(AND($E20=2,IF($W20=1,AHK20,KV20)=0),1000000000,IF($V20=1,INDEX('calcA'!$D$130:$EQ$169,$B20,58)+IF(AND($E20=1,KV20=0),25,0),IF($F20&gt;0,INDEX('calcA'!BI$110:BI$114,$F20+1)+IF(AND($E20=1,KV20=0),1000,0),MIN(TW20,20)*400+(IF('calcA'!BH$106=1,1-FF20,0)+IF('calcA'!BI$106=1,1-FH20,0))*150+103+'calcA'!BI$5*100000+IF(AND($E20=1,KV20=0),50000,0))+IF($H20=1,INDEX('calcA'!$D$180:$EQ$219,$B20,58)*4000,0)-IF(AND('calcA'!BH$117=1,WF20&gt;0),2000,0)-IF(AND($U20=1,'calcA'!BI$117=1,FH20=0),2000,0))),1000000000))</f>
        <v/>
      </c>
      <c r="QL20">
        <f>IF($B20=0,1000000000,IF(INDEX('calcA'!$D$60:$EQ$99,$B20,59)*IF($W20=1,FH20+ABW20,FH20)=1,IF(AND($E20=2,IF($W20=1,AHL20,KW20)=0),1000000000,IF($V20=1,INDEX('calcA'!$D$130:$EQ$169,$B20,59)+IF(AND($E20=1,KW20=0),25,0),IF($F20&gt;0,INDEX('calcA'!BJ$110:BJ$114,$F20+1)+IF(AND($E20=1,KW20=0),1000,0),MIN(TW20,20)*400+(IF('calcA'!BI$106=1,1-FG20,0)+IF('calcA'!BJ$106=1,1-FI20,0))*150+113+'calcA'!BJ$5*100000+IF(AND($E20=1,KW20=0),50000,0))+IF($H20=1,INDEX('calcA'!$D$180:$EQ$219,$B20,59)*4000,0)-IF(AND('calcA'!BI$117=1,WG20&gt;0),2000,0)-IF(AND($U20=1,'calcA'!BJ$117=1,FI20=0),2000,0))),1000000000))</f>
        <v/>
      </c>
      <c r="QM20">
        <f>IF($B20=0,1000000000,IF(INDEX('calcA'!$D$60:$EQ$99,$B20,60)*IF($W20=1,FI20+ABX20,FI20)=1,IF(AND($E20=2,IF($W20=1,AHM20,KX20)=0),1000000000,IF($V20=1,INDEX('calcA'!$D$130:$EQ$169,$B20,60)+IF(AND($E20=1,KX20=0),25,0),IF($F20&gt;0,INDEX('calcA'!BK$110:BK$114,$F20+1)+IF(AND($E20=1,KX20=0),1000,0),MIN(TW20,20)*400+(IF('calcA'!BJ$106=1,1-FH20,0)+IF('calcA'!BK$106=1,1-FJ20,0))*150+123+'calcA'!BK$5*100000+IF(AND($E20=1,KX20=0),50000,0))+IF($H20=1,INDEX('calcA'!$D$180:$EQ$219,$B20,60)*4000,0)-IF(AND('calcA'!BJ$117=1,WH20&gt;0),2000,0)-IF(AND($U20=1,'calcA'!BK$117=1,FJ20=0),2000,0))),1000000000))</f>
        <v/>
      </c>
      <c r="QN20">
        <f>IF($B20=0,1000000000,IF(INDEX('calcA'!$D$60:$EQ$99,$B20,61)*IF($W20=1,FJ20+ABY20,FJ20)=1,IF(AND($E20=2,IF($W20=1,AHN20,KY20)=0),1000000000,IF($V20=1,INDEX('calcA'!$D$130:$EQ$169,$B20,61)+IF(AND($E20=1,KY20=0),25,0),IF($F20&gt;0,INDEX('calcA'!BL$110:BL$114,$F20+1)+IF(AND($E20=1,KY20=0),1000,0),MIN(TW20,20)*400+(IF('calcA'!BK$106=1,1-FI20,0)+IF('calcA'!BL$106=1,1-FK20,0))*150+133+'calcA'!BL$5*100000+IF(AND($E20=1,KY20=0),50000,0))+IF($H20=1,INDEX('calcA'!$D$180:$EQ$219,$B20,61)*4000,0)-IF(AND('calcA'!BK$117=1,WI20&gt;0),2000,0)-IF(AND($U20=1,'calcA'!BL$117=1,FK20=0),2000,0))),1000000000))</f>
        <v/>
      </c>
      <c r="QO20">
        <f>IF($B20=0,1000000000,IF(INDEX('calcA'!$D$60:$EQ$99,$B20,62)*IF($W20=1,FK20+ABZ20,FK20)=1,IF(AND($E20=2,IF($W20=1,AHO20,KZ20)=0),1000000000,IF($V20=1,INDEX('calcA'!$D$130:$EQ$169,$B20,62)+IF(AND($E20=1,KZ20=0),25,0),IF($F20&gt;0,INDEX('calcA'!BM$110:BM$114,$F20+1)+IF(AND($E20=1,KZ20=0),1000,0),MIN(TW20,20)*400+(IF('calcA'!BL$106=1,1-FJ20,0)+IF('calcA'!BM$106=1,1-FL20,0))*150+143+'calcA'!BM$5*100000+IF(AND($E20=1,KZ20=0),50000,0))+IF($H20=1,INDEX('calcA'!$D$180:$EQ$219,$B20,62)*4000,0)-IF(AND('calcA'!BL$117=1,WJ20&gt;0),2000,0)-IF(AND($U20=1,'calcA'!BM$117=1,FL20=0),2000,0))),1000000000))</f>
        <v/>
      </c>
      <c r="QP20">
        <f>IF($B20=0,1000000000,IF(INDEX('calcA'!$D$60:$EQ$99,$B20,63)*IF($W20=1,FL20+ACA20,FL20)=1,IF(AND($E20=2,IF($W20=1,AHP20,LA20)=0),1000000000,IF($V20=1,INDEX('calcA'!$D$130:$EQ$169,$B20,63)+IF(AND($E20=1,LA20=0),25,0),IF($F20&gt;0,INDEX('calcA'!BN$110:BN$114,$F20+1)+IF(AND($E20=1,LA20=0),1000,0),MIN(TW20,20)*400+(IF('calcA'!BM$106=1,1-FK20,0)+IF('calcA'!BN$106=1,1-FM20,0))*150+153+'calcA'!BN$5*100000+IF(AND($E20=1,LA20=0),50000,0))+IF($H20=1,INDEX('calcA'!$D$180:$EQ$219,$B20,63)*4000,0)-IF(AND('calcA'!BM$117=1,WK20&gt;0),2000,0)-IF(AND($U20=1,'calcA'!BN$117=1,FM20=0),2000,0))),1000000000))</f>
        <v/>
      </c>
      <c r="QQ20">
        <f>IF($B20=0,1000000000,IF(INDEX('calcA'!$D$60:$EQ$99,$B20,64)*IF($W20=1,FM20+ACB20,FM20)=1,IF(AND($E20=2,IF($W20=1,AHQ20,LB20)=0),1000000000,IF($V20=1,INDEX('calcA'!$D$130:$EQ$169,$B20,64)+IF(AND($E20=1,LB20=0),25,0),IF($F20&gt;0,INDEX('calcA'!BO$110:BO$114,$F20+1)+IF(AND($E20=1,LB20=0),1000,0),MIN(TW20,20)*400+(IF('calcA'!BN$106=1,1-FL20,0)+IF('calcA'!BO$106=1,1-FN20,0))*150+163+'calcA'!BO$5*100000+IF(AND($E20=1,LB20=0),50000,0))+IF($H20=1,INDEX('calcA'!$D$180:$EQ$219,$B20,64)*4000,0)-IF(AND('calcA'!BN$117=1,WL20&gt;0),2000,0)-IF(AND($U20=1,'calcA'!BO$117=1,FN20=0),2000,0))),1000000000))</f>
        <v/>
      </c>
      <c r="QR20">
        <f>IF($B20=0,1000000000,IF(INDEX('calcA'!$D$60:$EQ$99,$B20,65)*IF($W20=1,FN20+ACC20,FN20)=1,IF(AND($E20=2,IF($W20=1,AHR20,LC20)=0),1000000000,IF($V20=1,INDEX('calcA'!$D$130:$EQ$169,$B20,65)+IF(AND($E20=1,LC20=0),25,0),IF($F20&gt;0,INDEX('calcA'!BP$110:BP$114,$F20+1)+IF(AND($E20=1,LC20=0),1000,0),MIN(TW20,20)*400+(IF('calcA'!BO$106=1,1-FM20,0)+IF('calcA'!BP$106=1,1-FO20,0))*150+173+'calcA'!BP$5*100000+IF(AND($E20=1,LC20=0),50000,0))+IF($H20=1,INDEX('calcA'!$D$180:$EQ$219,$B20,65)*4000,0)-IF(AND('calcA'!BO$117=1,WM20&gt;0),2000,0)-IF(AND($U20=1,'calcA'!BP$117=1,FO20=0),2000,0))),1000000000))</f>
        <v/>
      </c>
      <c r="QS20">
        <f>IF($B20=0,1000000000,IF(INDEX('calcA'!$D$60:$EQ$99,$B20,66)*IF($W20=1,FO20+ACD20,FO20)=1,IF(AND($E20=2,IF($W20=1,AHS20,LD20)=0),1000000000,IF($V20=1,INDEX('calcA'!$D$130:$EQ$169,$B20,66)+IF(AND($E20=1,LD20=0),25,0),IF($F20&gt;0,INDEX('calcA'!BQ$110:BQ$114,$F20+1)+IF(AND($E20=1,LD20=0),1000,0),MIN(TW20,20)*400+(IF('calcA'!BP$106=1,1-FN20,0)+IF('calcA'!BQ$106=1,1-FP20,0))*150+183+'calcA'!BQ$5*100000+IF(AND($E20=1,LD20=0),50000,0))+IF($H20=1,INDEX('calcA'!$D$180:$EQ$219,$B20,66)*4000,0)-IF(AND('calcA'!BP$117=1,WN20&gt;0),2000,0)-IF(AND($U20=1,'calcA'!BQ$117=1,FP20=0),2000,0))),1000000000))</f>
        <v/>
      </c>
      <c r="QT20">
        <f>IF($B20=0,1000000000,IF(INDEX('calcA'!$D$60:$EQ$99,$B20,67)*IF($W20=1,FP20+ACE20,FP20)=1,IF(AND($E20=2,IF($W20=1,AHT20,LE20)=0),1000000000,IF($V20=1,INDEX('calcA'!$D$130:$EQ$169,$B20,67)+IF(AND($E20=1,LE20=0),25,0),IF($F20&gt;0,INDEX('calcA'!BR$110:BR$114,$F20+1)+IF(AND($E20=1,LE20=0),1000,0),MIN(TW20,20)*400+(IF('calcA'!BQ$106=1,1-FO20,0)+IF('calcA'!BR$106=1,1-FQ20,0))*150+193+'calcA'!BR$5*100000+IF(AND($E20=1,LE20=0),50000,0))+IF($H20=1,INDEX('calcA'!$D$180:$EQ$219,$B20,67)*4000,0)-IF(AND('calcA'!BQ$117=1,WO20&gt;0),2000,0)-IF(AND($U20=1,'calcA'!BR$117=1,FQ20=0),2000,0))),1000000000))</f>
        <v/>
      </c>
      <c r="QU20">
        <f>IF($B20=0,1000000000,IF(INDEX('calcA'!$D$60:$EQ$99,$B20,68)*IF($W20=1,FQ20+ACF20,FQ20)=1,IF(AND($E20=2,IF($W20=1,AHU20,LF20)=0),1000000000,IF($V20=1,INDEX('calcA'!$D$130:$EQ$169,$B20,68)+IF(AND($E20=1,LF20=0),25,0),IF($F20&gt;0,INDEX('calcA'!BS$110:BS$114,$F20+1)+IF(AND($E20=1,LF20=0),1000,0),MIN(TW20,20)*400+(IF('calcA'!BR$106=1,1-FP20,0)+IF('calcA'!BS$106=1,1-FR20,0))*150+203+'calcA'!BS$5*100000+IF(AND($E20=1,LF20=0),50000,0))+IF($H20=1,INDEX('calcA'!$D$180:$EQ$219,$B20,68)*4000,0)-IF(AND('calcA'!BR$117=1,WP20&gt;0),2000,0)-IF(AND($U20=1,'calcA'!BS$117=1,FR20=0),2000,0))),1000000000))</f>
        <v/>
      </c>
      <c r="QV20">
        <f>IF($B20=0,1000000000,IF(INDEX('calcA'!$D$60:$EQ$99,$B20,69)*IF($W20=1,FR20+ACG20,FR20)=1,IF(AND($E20=2,IF($W20=1,AHV20,LG20)=0),1000000000,IF($V20=1,INDEX('calcA'!$D$130:$EQ$169,$B20,69)+IF(AND($E20=1,LG20=0),25,0),IF($F20&gt;0,INDEX('calcA'!BT$110:BT$114,$F20+1)+IF(AND($E20=1,LG20=0),1000,0),MIN(TW20,20)*400+(IF('calcA'!BS$106=1,1-FQ20,0)+IF('calcA'!BT$106=1,1-FS20,0))*150+213+'calcA'!BT$5*100000+IF(AND($E20=1,LG20=0),50000,0))+IF($H20=1,INDEX('calcA'!$D$180:$EQ$219,$B20,69)*4000,0)-IF(AND('calcA'!BS$117=1,WQ20&gt;0),2000,0)-IF(AND($U20=1,'calcA'!BT$117=1,FS20=0),2000,0))),1000000000))</f>
        <v/>
      </c>
      <c r="QW20">
        <f>IF($B20=0,1000000000,IF(INDEX('calcA'!$D$60:$EQ$99,$B20,70)*IF($W20=1,FS20+ACH20,FS20)=1,IF(AND($E20=2,IF($W20=1,AHW20,LH20)=0),1000000000,IF($V20=1,INDEX('calcA'!$D$130:$EQ$169,$B20,70)+IF(AND($E20=1,LH20=0),25,0),IF($F20&gt;0,INDEX('calcA'!BU$110:BU$114,$F20+1)+IF(AND($E20=1,LH20=0),1000,0),MIN(TW20,20)*400+(IF('calcA'!BT$106=1,1-FR20,0)+IF('calcA'!BU$106=1,1-FT20,0))*150+223+'calcA'!BU$5*100000+IF(AND($E20=1,LH20=0),50000,0))+IF($H20=1,INDEX('calcA'!$D$180:$EQ$219,$B20,70)*4000,0)-IF(AND('calcA'!BT$117=1,WR20&gt;0),2000,0)-IF(AND($U20=1,'calcA'!BU$117=1,FT20=0),2000,0))),1000000000))</f>
        <v/>
      </c>
      <c r="QX20">
        <f>IF($B20=0,1000000000,IF(INDEX('calcA'!$D$60:$EQ$99,$B20,71)*IF($W20=1,FT20+ACI20,FT20)=1,IF(AND($E20=2,IF($W20=1,AHX20,LI20)=0),1000000000,IF($V20=1,INDEX('calcA'!$D$130:$EQ$169,$B20,71)+IF(AND($E20=1,LI20=0),25,0),IF($F20&gt;0,INDEX('calcA'!BV$110:BV$114,$F20+1)+IF(AND($E20=1,LI20=0),1000,0),MIN(TW20,20)*400+(IF('calcA'!BU$106=1,1-FS20,0)+IF('calcA'!BV$106=1,1-FU20,0))*150+233+'calcA'!BV$5*100000+IF(AND($E20=1,LI20=0),50000,0))+IF($H20=1,INDEX('calcA'!$D$180:$EQ$219,$B20,71)*4000,0)-IF(AND('calcA'!BU$117=1,WS20&gt;0),2000,0)-IF(AND($U20=1,'calcA'!BV$117=1,FU20=0),2000,0))),1000000000))</f>
        <v/>
      </c>
      <c r="QY20">
        <f>IF($B20=0,1000000000,IF(INDEX('calcA'!$D$60:$EQ$99,$B20,72)*IF($W20=1,FU20+ACJ20,FU20)=1,IF(AND($E20=2,IF($W20=1,AHY20,LJ20)=0),1000000000,IF($V20=1,INDEX('calcA'!$D$130:$EQ$169,$B20,72)+IF(AND($E20=1,LJ20=0),25,0),IF($F20&gt;0,INDEX('calcA'!BW$110:BW$114,$F20+1)+IF(AND($E20=1,LJ20=0),1000,0),MIN(TW20,20)*400+(IF('calcA'!BV$106=1,1-FT20,0))*150+243+'calcA'!BW$5*100000+IF(AND($E20=1,LJ20=0),50000,0))+IF($H20=1,INDEX('calcA'!$D$180:$EQ$219,$B20,72)*4000,0)-IF(AND('calcA'!BV$117=1,WT20&gt;0),2000,0))),1000000000))</f>
        <v/>
      </c>
      <c r="QZ20">
        <f>IF($B20=0,1000000000,IF(INDEX('calcA'!$D$60:$EQ$99,$B20,73)*IF($W20=1,FV20+ACK20,FV20)=1,IF(AND($E20=2,IF($W20=1,AHZ20,LK20)=0),1000000000,IF($V20=1,INDEX('calcA'!$D$130:$EQ$169,$B20,73)+IF(AND($E20=1,LK20=0),25,0),IF($F20&gt;0,INDEX('calcA'!BX$110:BX$114,$F20+1)+IF(AND($E20=1,LK20=0),1000,0),MIN(TX20,20)*400+(IF('calcA'!BX$106=1,1-FW20,0))*150+14+'calcA'!BX$5*100000+IF(AND($E20=1,LK20=0),50000,0))+IF($H20=1,INDEX('calcA'!$D$180:$EQ$219,$B20,73)*4000,0)-IF(AND($U20=1,'calcA'!BX$117=1,FW20=0),2000,0))),1000000000))</f>
        <v/>
      </c>
      <c r="RA20">
        <f>IF($B20=0,1000000000,IF(INDEX('calcA'!$D$60:$EQ$99,$B20,74)*IF($W20=1,FW20+ACL20,FW20)=1,IF(AND($E20=2,IF($W20=1,AIA20,LL20)=0),1000000000,IF($V20=1,INDEX('calcA'!$D$130:$EQ$169,$B20,74)+IF(AND($E20=1,LL20=0),25,0),IF($F20&gt;0,INDEX('calcA'!BY$110:BY$114,$F20+1)+IF(AND($E20=1,LL20=0),1000,0),MIN(TX20,20)*400+(IF('calcA'!BX$106=1,1-FV20,0)+IF('calcA'!BY$106=1,1-FX20,0))*150+24+'calcA'!BY$5*100000+IF(AND($E20=1,LL20=0),50000,0))+IF($H20=1,INDEX('calcA'!$D$180:$EQ$219,$B20,74)*4000,0)-IF(AND('calcA'!BX$117=1,WV20&gt;0),2000,0)-IF(AND($U20=1,'calcA'!BY$117=1,FX20=0),2000,0))),1000000000))</f>
        <v/>
      </c>
      <c r="RB20">
        <f>IF($B20=0,1000000000,IF(INDEX('calcA'!$D$60:$EQ$99,$B20,75)*IF($W20=1,FX20+ACM20,FX20)=1,IF(AND($E20=2,IF($W20=1,AIB20,LM20)=0),1000000000,IF($V20=1,INDEX('calcA'!$D$130:$EQ$169,$B20,75)+IF(AND($E20=1,LM20=0),25,0),IF($F20&gt;0,INDEX('calcA'!BZ$110:BZ$114,$F20+1)+IF(AND($E20=1,LM20=0),1000,0),MIN(TX20,20)*400+(IF('calcA'!BY$106=1,1-FW20,0)+IF('calcA'!BZ$106=1,1-FY20,0))*150+34+'calcA'!BZ$5*100000+IF(AND($E20=1,LM20=0),50000,0))+IF($H20=1,INDEX('calcA'!$D$180:$EQ$219,$B20,75)*4000,0)-IF(AND('calcA'!BY$117=1,WW20&gt;0),2000,0)-IF(AND($U20=1,'calcA'!BZ$117=1,FY20=0),2000,0))),1000000000))</f>
        <v/>
      </c>
      <c r="RC20">
        <f>IF($B20=0,1000000000,IF(INDEX('calcA'!$D$60:$EQ$99,$B20,76)*IF($W20=1,FY20+ACN20,FY20)=1,IF(AND($E20=2,IF($W20=1,AIC20,LN20)=0),1000000000,IF($V20=1,INDEX('calcA'!$D$130:$EQ$169,$B20,76)+IF(AND($E20=1,LN20=0),25,0),IF($F20&gt;0,INDEX('calcA'!CA$110:CA$114,$F20+1)+IF(AND($E20=1,LN20=0),1000,0),MIN(TX20,20)*400+(IF('calcA'!BZ$106=1,1-FX20,0)+IF('calcA'!CA$106=1,1-FZ20,0))*150+44+'calcA'!CA$5*100000+IF(AND($E20=1,LN20=0),50000,0))+IF($H20=1,INDEX('calcA'!$D$180:$EQ$219,$B20,76)*4000,0)-IF(AND('calcA'!BZ$117=1,WX20&gt;0),2000,0)-IF(AND($U20=1,'calcA'!CA$117=1,FZ20=0),2000,0))),1000000000))</f>
        <v/>
      </c>
      <c r="RD20">
        <f>IF($B20=0,1000000000,IF(INDEX('calcA'!$D$60:$EQ$99,$B20,77)*IF($W20=1,FZ20+ACO20,FZ20)=1,IF(AND($E20=2,IF($W20=1,AID20,LO20)=0),1000000000,IF($V20=1,INDEX('calcA'!$D$130:$EQ$169,$B20,77)+IF(AND($E20=1,LO20=0),25,0),IF($F20&gt;0,INDEX('calcA'!CB$110:CB$114,$F20+1)+IF(AND($E20=1,LO20=0),1000,0),MIN(TX20,20)*400+(IF('calcA'!CA$106=1,1-FY20,0)+IF('calcA'!CB$106=1,1-GA20,0))*150+54+'calcA'!CB$5*100000+IF(AND($E20=1,LO20=0),50000,0))+IF($H20=1,INDEX('calcA'!$D$180:$EQ$219,$B20,77)*4000,0)-IF(AND('calcA'!CA$117=1,WY20&gt;0),2000,0)-IF(AND($U20=1,'calcA'!CB$117=1,GA20=0),2000,0))),1000000000))</f>
        <v/>
      </c>
      <c r="RE20">
        <f>IF($B20=0,1000000000,IF(INDEX('calcA'!$D$60:$EQ$99,$B20,78)*IF($W20=1,GA20+ACP20,GA20)=1,IF(AND($E20=2,IF($W20=1,AIE20,LP20)=0),1000000000,IF($V20=1,INDEX('calcA'!$D$130:$EQ$169,$B20,78)+IF(AND($E20=1,LP20=0),25,0),IF($F20&gt;0,INDEX('calcA'!CC$110:CC$114,$F20+1)+IF(AND($E20=1,LP20=0),1000,0),MIN(TX20,20)*400+(IF('calcA'!CB$106=1,1-FZ20,0)+IF('calcA'!CC$106=1,1-GB20,0))*150+64+'calcA'!CC$5*100000+IF(AND($E20=1,LP20=0),50000,0))+IF($H20=1,INDEX('calcA'!$D$180:$EQ$219,$B20,78)*4000,0)-IF(AND('calcA'!CB$117=1,WZ20&gt;0),2000,0)-IF(AND($U20=1,'calcA'!CC$117=1,GB20=0),2000,0))),1000000000))</f>
        <v/>
      </c>
      <c r="RF20">
        <f>IF($B20=0,1000000000,IF(INDEX('calcA'!$D$60:$EQ$99,$B20,79)*IF($W20=1,GB20+ACQ20,GB20)=1,IF(AND($E20=2,IF($W20=1,AIF20,LQ20)=0),1000000000,IF($V20=1,INDEX('calcA'!$D$130:$EQ$169,$B20,79)+IF(AND($E20=1,LQ20=0),25,0),IF($F20&gt;0,INDEX('calcA'!CD$110:CD$114,$F20+1)+IF(AND($E20=1,LQ20=0),1000,0),MIN(TX20,20)*400+(IF('calcA'!CC$106=1,1-GA20,0)+IF('calcA'!CD$106=1,1-GC20,0))*150+74+'calcA'!CD$5*100000+IF(AND($E20=1,LQ20=0),50000,0))+IF($H20=1,INDEX('calcA'!$D$180:$EQ$219,$B20,79)*4000,0)-IF(AND('calcA'!CC$117=1,XA20&gt;0),2000,0)-IF(AND($U20=1,'calcA'!CD$117=1,GC20=0),2000,0))),1000000000))</f>
        <v/>
      </c>
      <c r="RG20">
        <f>IF($B20=0,1000000000,IF(INDEX('calcA'!$D$60:$EQ$99,$B20,80)*IF($W20=1,GC20+ACR20,GC20)=1,IF(AND($E20=2,IF($W20=1,AIG20,LR20)=0),1000000000,IF($V20=1,INDEX('calcA'!$D$130:$EQ$169,$B20,80)+IF(AND($E20=1,LR20=0),25,0),IF($F20&gt;0,INDEX('calcA'!CE$110:CE$114,$F20+1)+IF(AND($E20=1,LR20=0),1000,0),MIN(TX20,20)*400+(IF('calcA'!CD$106=1,1-GB20,0)+IF('calcA'!CE$106=1,1-GD20,0))*150+84+'calcA'!CE$5*100000+IF(AND($E20=1,LR20=0),50000,0))+IF($H20=1,INDEX('calcA'!$D$180:$EQ$219,$B20,80)*4000,0)-IF(AND('calcA'!CD$117=1,XB20&gt;0),2000,0)-IF(AND($U20=1,'calcA'!CE$117=1,GD20=0),2000,0))),1000000000))</f>
        <v/>
      </c>
      <c r="RH20">
        <f>IF($B20=0,1000000000,IF(INDEX('calcA'!$D$60:$EQ$99,$B20,81)*IF($W20=1,GD20+ACS20,GD20)=1,IF(AND($E20=2,IF($W20=1,AIH20,LS20)=0),1000000000,IF($V20=1,INDEX('calcA'!$D$130:$EQ$169,$B20,81)+IF(AND($E20=1,LS20=0),25,0),IF($F20&gt;0,INDEX('calcA'!CF$110:CF$114,$F20+1)+IF(AND($E20=1,LS20=0),1000,0),MIN(TX20,20)*400+(IF('calcA'!CE$106=1,1-GC20,0)+IF('calcA'!CF$106=1,1-GE20,0))*150+94+'calcA'!CF$5*100000+IF(AND($E20=1,LS20=0),50000,0))+IF($H20=1,INDEX('calcA'!$D$180:$EQ$219,$B20,81)*4000,0)-IF(AND('calcA'!CE$117=1,XC20&gt;0),2000,0)-IF(AND($U20=1,'calcA'!CF$117=1,GE20=0),2000,0))),1000000000))</f>
        <v/>
      </c>
      <c r="RI20">
        <f>IF($B20=0,1000000000,IF(INDEX('calcA'!$D$60:$EQ$99,$B20,82)*IF($W20=1,GE20+ACT20,GE20)=1,IF(AND($E20=2,IF($W20=1,AII20,LT20)=0),1000000000,IF($V20=1,INDEX('calcA'!$D$130:$EQ$169,$B20,82)+IF(AND($E20=1,LT20=0),25,0),IF($F20&gt;0,INDEX('calcA'!CG$110:CG$114,$F20+1)+IF(AND($E20=1,LT20=0),1000,0),MIN(TX20,20)*400+(IF('calcA'!CF$106=1,1-GD20,0)+IF('calcA'!CG$106=1,1-GF20,0))*150+104+'calcA'!CG$5*100000+IF(AND($E20=1,LT20=0),50000,0))+IF($H20=1,INDEX('calcA'!$D$180:$EQ$219,$B20,82)*4000,0)-IF(AND('calcA'!CF$117=1,XD20&gt;0),2000,0)-IF(AND($U20=1,'calcA'!CG$117=1,GF20=0),2000,0))),1000000000))</f>
        <v/>
      </c>
      <c r="RJ20">
        <f>IF($B20=0,1000000000,IF(INDEX('calcA'!$D$60:$EQ$99,$B20,83)*IF($W20=1,GF20+ACU20,GF20)=1,IF(AND($E20=2,IF($W20=1,AIJ20,LU20)=0),1000000000,IF($V20=1,INDEX('calcA'!$D$130:$EQ$169,$B20,83)+IF(AND($E20=1,LU20=0),25,0),IF($F20&gt;0,INDEX('calcA'!CH$110:CH$114,$F20+1)+IF(AND($E20=1,LU20=0),1000,0),MIN(TX20,20)*400+(IF('calcA'!CG$106=1,1-GE20,0)+IF('calcA'!CH$106=1,1-GG20,0))*150+114+'calcA'!CH$5*100000+IF(AND($E20=1,LU20=0),50000,0))+IF($H20=1,INDEX('calcA'!$D$180:$EQ$219,$B20,83)*4000,0)-IF(AND('calcA'!CG$117=1,XE20&gt;0),2000,0)-IF(AND($U20=1,'calcA'!CH$117=1,GG20=0),2000,0))),1000000000))</f>
        <v/>
      </c>
      <c r="RK20">
        <f>IF($B20=0,1000000000,IF(INDEX('calcA'!$D$60:$EQ$99,$B20,84)*IF($W20=1,GG20+ACV20,GG20)=1,IF(AND($E20=2,IF($W20=1,AIK20,LV20)=0),1000000000,IF($V20=1,INDEX('calcA'!$D$130:$EQ$169,$B20,84)+IF(AND($E20=1,LV20=0),25,0),IF($F20&gt;0,INDEX('calcA'!CI$110:CI$114,$F20+1)+IF(AND($E20=1,LV20=0),1000,0),MIN(TX20,20)*400+(IF('calcA'!CH$106=1,1-GF20,0)+IF('calcA'!CI$106=1,1-GH20,0))*150+124+'calcA'!CI$5*100000+IF(AND($E20=1,LV20=0),50000,0))+IF($H20=1,INDEX('calcA'!$D$180:$EQ$219,$B20,84)*4000,0)-IF(AND('calcA'!CH$117=1,XF20&gt;0),2000,0)-IF(AND($U20=1,'calcA'!CI$117=1,GH20=0),2000,0))),1000000000))</f>
        <v/>
      </c>
      <c r="RL20">
        <f>IF($B20=0,1000000000,IF(INDEX('calcA'!$D$60:$EQ$99,$B20,85)*IF($W20=1,GH20+ACW20,GH20)=1,IF(AND($E20=2,IF($W20=1,AIL20,LW20)=0),1000000000,IF($V20=1,INDEX('calcA'!$D$130:$EQ$169,$B20,85)+IF(AND($E20=1,LW20=0),25,0),IF($F20&gt;0,INDEX('calcA'!CJ$110:CJ$114,$F20+1)+IF(AND($E20=1,LW20=0),1000,0),MIN(TX20,20)*400+(IF('calcA'!CI$106=1,1-GG20,0)+IF('calcA'!CJ$106=1,1-GI20,0))*150+134+'calcA'!CJ$5*100000+IF(AND($E20=1,LW20=0),50000,0))+IF($H20=1,INDEX('calcA'!$D$180:$EQ$219,$B20,85)*4000,0)-IF(AND('calcA'!CI$117=1,XG20&gt;0),2000,0)-IF(AND($U20=1,'calcA'!CJ$117=1,GI20=0),2000,0))),1000000000))</f>
        <v/>
      </c>
      <c r="RM20">
        <f>IF($B20=0,1000000000,IF(INDEX('calcA'!$D$60:$EQ$99,$B20,86)*IF($W20=1,GI20+ACX20,GI20)=1,IF(AND($E20=2,IF($W20=1,AIM20,LX20)=0),1000000000,IF($V20=1,INDEX('calcA'!$D$130:$EQ$169,$B20,86)+IF(AND($E20=1,LX20=0),25,0),IF($F20&gt;0,INDEX('calcA'!CK$110:CK$114,$F20+1)+IF(AND($E20=1,LX20=0),1000,0),MIN(TX20,20)*400+(IF('calcA'!CJ$106=1,1-GH20,0)+IF('calcA'!CK$106=1,1-GJ20,0))*150+144+'calcA'!CK$5*100000+IF(AND($E20=1,LX20=0),50000,0))+IF($H20=1,INDEX('calcA'!$D$180:$EQ$219,$B20,86)*4000,0)-IF(AND('calcA'!CJ$117=1,XH20&gt;0),2000,0)-IF(AND($U20=1,'calcA'!CK$117=1,GJ20=0),2000,0))),1000000000))</f>
        <v/>
      </c>
      <c r="RN20">
        <f>IF($B20=0,1000000000,IF(INDEX('calcA'!$D$60:$EQ$99,$B20,87)*IF($W20=1,GJ20+ACY20,GJ20)=1,IF(AND($E20=2,IF($W20=1,AIN20,LY20)=0),1000000000,IF($V20=1,INDEX('calcA'!$D$130:$EQ$169,$B20,87)+IF(AND($E20=1,LY20=0),25,0),IF($F20&gt;0,INDEX('calcA'!CL$110:CL$114,$F20+1)+IF(AND($E20=1,LY20=0),1000,0),MIN(TX20,20)*400+(IF('calcA'!CK$106=1,1-GI20,0)+IF('calcA'!CL$106=1,1-GK20,0))*150+154+'calcA'!CL$5*100000+IF(AND($E20=1,LY20=0),50000,0))+IF($H20=1,INDEX('calcA'!$D$180:$EQ$219,$B20,87)*4000,0)-IF(AND('calcA'!CK$117=1,XI20&gt;0),2000,0)-IF(AND($U20=1,'calcA'!CL$117=1,GK20=0),2000,0))),1000000000))</f>
        <v/>
      </c>
      <c r="RO20">
        <f>IF($B20=0,1000000000,IF(INDEX('calcA'!$D$60:$EQ$99,$B20,88)*IF($W20=1,GK20+ACZ20,GK20)=1,IF(AND($E20=2,IF($W20=1,AIO20,LZ20)=0),1000000000,IF($V20=1,INDEX('calcA'!$D$130:$EQ$169,$B20,88)+IF(AND($E20=1,LZ20=0),25,0),IF($F20&gt;0,INDEX('calcA'!CM$110:CM$114,$F20+1)+IF(AND($E20=1,LZ20=0),1000,0),MIN(TX20,20)*400+(IF('calcA'!CL$106=1,1-GJ20,0)+IF('calcA'!CM$106=1,1-GL20,0))*150+164+'calcA'!CM$5*100000+IF(AND($E20=1,LZ20=0),50000,0))+IF($H20=1,INDEX('calcA'!$D$180:$EQ$219,$B20,88)*4000,0)-IF(AND('calcA'!CL$117=1,XJ20&gt;0),2000,0)-IF(AND($U20=1,'calcA'!CM$117=1,GL20=0),2000,0))),1000000000))</f>
        <v/>
      </c>
      <c r="RP20">
        <f>IF($B20=0,1000000000,IF(INDEX('calcA'!$D$60:$EQ$99,$B20,89)*IF($W20=1,GL20+ADA20,GL20)=1,IF(AND($E20=2,IF($W20=1,AIP20,MA20)=0),1000000000,IF($V20=1,INDEX('calcA'!$D$130:$EQ$169,$B20,89)+IF(AND($E20=1,MA20=0),25,0),IF($F20&gt;0,INDEX('calcA'!CN$110:CN$114,$F20+1)+IF(AND($E20=1,MA20=0),1000,0),MIN(TX20,20)*400+(IF('calcA'!CM$106=1,1-GK20,0)+IF('calcA'!CN$106=1,1-GM20,0))*150+174+'calcA'!CN$5*100000+IF(AND($E20=1,MA20=0),50000,0))+IF($H20=1,INDEX('calcA'!$D$180:$EQ$219,$B20,89)*4000,0)-IF(AND('calcA'!CM$117=1,XK20&gt;0),2000,0)-IF(AND($U20=1,'calcA'!CN$117=1,GM20=0),2000,0))),1000000000))</f>
        <v/>
      </c>
      <c r="RQ20">
        <f>IF($B20=0,1000000000,IF(INDEX('calcA'!$D$60:$EQ$99,$B20,90)*IF($W20=1,GM20+ADB20,GM20)=1,IF(AND($E20=2,IF($W20=1,AIQ20,MB20)=0),1000000000,IF($V20=1,INDEX('calcA'!$D$130:$EQ$169,$B20,90)+IF(AND($E20=1,MB20=0),25,0),IF($F20&gt;0,INDEX('calcA'!CO$110:CO$114,$F20+1)+IF(AND($E20=1,MB20=0),1000,0),MIN(TX20,20)*400+(IF('calcA'!CN$106=1,1-GL20,0)+IF('calcA'!CO$106=1,1-GN20,0))*150+184+'calcA'!CO$5*100000+IF(AND($E20=1,MB20=0),50000,0))+IF($H20=1,INDEX('calcA'!$D$180:$EQ$219,$B20,90)*4000,0)-IF(AND('calcA'!CN$117=1,XL20&gt;0),2000,0)-IF(AND($U20=1,'calcA'!CO$117=1,GN20=0),2000,0))),1000000000))</f>
        <v/>
      </c>
      <c r="RR20">
        <f>IF($B20=0,1000000000,IF(INDEX('calcA'!$D$60:$EQ$99,$B20,91)*IF($W20=1,GN20+ADC20,GN20)=1,IF(AND($E20=2,IF($W20=1,AIR20,MC20)=0),1000000000,IF($V20=1,INDEX('calcA'!$D$130:$EQ$169,$B20,91)+IF(AND($E20=1,MC20=0),25,0),IF($F20&gt;0,INDEX('calcA'!CP$110:CP$114,$F20+1)+IF(AND($E20=1,MC20=0),1000,0),MIN(TX20,20)*400+(IF('calcA'!CO$106=1,1-GM20,0)+IF('calcA'!CP$106=1,1-GO20,0))*150+194+'calcA'!CP$5*100000+IF(AND($E20=1,MC20=0),50000,0))+IF($H20=1,INDEX('calcA'!$D$180:$EQ$219,$B20,91)*4000,0)-IF(AND('calcA'!CO$117=1,XM20&gt;0),2000,0)-IF(AND($U20=1,'calcA'!CP$117=1,GO20=0),2000,0))),1000000000))</f>
        <v/>
      </c>
      <c r="RS20">
        <f>IF($B20=0,1000000000,IF(INDEX('calcA'!$D$60:$EQ$99,$B20,92)*IF($W20=1,GO20+ADD20,GO20)=1,IF(AND($E20=2,IF($W20=1,AIS20,MD20)=0),1000000000,IF($V20=1,INDEX('calcA'!$D$130:$EQ$169,$B20,92)+IF(AND($E20=1,MD20=0),25,0),IF($F20&gt;0,INDEX('calcA'!CQ$110:CQ$114,$F20+1)+IF(AND($E20=1,MD20=0),1000,0),MIN(TX20,20)*400+(IF('calcA'!CP$106=1,1-GN20,0)+IF('calcA'!CQ$106=1,1-GP20,0))*150+204+'calcA'!CQ$5*100000+IF(AND($E20=1,MD20=0),50000,0))+IF($H20=1,INDEX('calcA'!$D$180:$EQ$219,$B20,92)*4000,0)-IF(AND('calcA'!CP$117=1,XN20&gt;0),2000,0)-IF(AND($U20=1,'calcA'!CQ$117=1,GP20=0),2000,0))),1000000000))</f>
        <v/>
      </c>
      <c r="RT20">
        <f>IF($B20=0,1000000000,IF(INDEX('calcA'!$D$60:$EQ$99,$B20,93)*IF($W20=1,GP20+ADE20,GP20)=1,IF(AND($E20=2,IF($W20=1,AIT20,ME20)=0),1000000000,IF($V20=1,INDEX('calcA'!$D$130:$EQ$169,$B20,93)+IF(AND($E20=1,ME20=0),25,0),IF($F20&gt;0,INDEX('calcA'!CR$110:CR$114,$F20+1)+IF(AND($E20=1,ME20=0),1000,0),MIN(TX20,20)*400+(IF('calcA'!CQ$106=1,1-GO20,0)+IF('calcA'!CR$106=1,1-GQ20,0))*150+214+'calcA'!CR$5*100000+IF(AND($E20=1,ME20=0),50000,0))+IF($H20=1,INDEX('calcA'!$D$180:$EQ$219,$B20,93)*4000,0)-IF(AND('calcA'!CQ$117=1,XO20&gt;0),2000,0)-IF(AND($U20=1,'calcA'!CR$117=1,GQ20=0),2000,0))),1000000000))</f>
        <v/>
      </c>
      <c r="RU20">
        <f>IF($B20=0,1000000000,IF(INDEX('calcA'!$D$60:$EQ$99,$B20,94)*IF($W20=1,GQ20+ADF20,GQ20)=1,IF(AND($E20=2,IF($W20=1,AIU20,MF20)=0),1000000000,IF($V20=1,INDEX('calcA'!$D$130:$EQ$169,$B20,94)+IF(AND($E20=1,MF20=0),25,0),IF($F20&gt;0,INDEX('calcA'!CS$110:CS$114,$F20+1)+IF(AND($E20=1,MF20=0),1000,0),MIN(TX20,20)*400+(IF('calcA'!CR$106=1,1-GP20,0)+IF('calcA'!CS$106=1,1-GR20,0))*150+224+'calcA'!CS$5*100000+IF(AND($E20=1,MF20=0),50000,0))+IF($H20=1,INDEX('calcA'!$D$180:$EQ$219,$B20,94)*4000,0)-IF(AND('calcA'!CR$117=1,XP20&gt;0),2000,0)-IF(AND($U20=1,'calcA'!CS$117=1,GR20=0),2000,0))),1000000000))</f>
        <v/>
      </c>
      <c r="RV20">
        <f>IF($B20=0,1000000000,IF(INDEX('calcA'!$D$60:$EQ$99,$B20,95)*IF($W20=1,GR20+ADG20,GR20)=1,IF(AND($E20=2,IF($W20=1,AIV20,MG20)=0),1000000000,IF($V20=1,INDEX('calcA'!$D$130:$EQ$169,$B20,95)+IF(AND($E20=1,MG20=0),25,0),IF($F20&gt;0,INDEX('calcA'!CT$110:CT$114,$F20+1)+IF(AND($E20=1,MG20=0),1000,0),MIN(TX20,20)*400+(IF('calcA'!CS$106=1,1-GQ20,0)+IF('calcA'!CT$106=1,1-GS20,0))*150+234+'calcA'!CT$5*100000+IF(AND($E20=1,MG20=0),50000,0))+IF($H20=1,INDEX('calcA'!$D$180:$EQ$219,$B20,95)*4000,0)-IF(AND('calcA'!CS$117=1,XQ20&gt;0),2000,0)-IF(AND($U20=1,'calcA'!CT$117=1,GS20=0),2000,0))),1000000000))</f>
        <v/>
      </c>
      <c r="RW20">
        <f>IF($B20=0,1000000000,IF(INDEX('calcA'!$D$60:$EQ$99,$B20,96)*IF($W20=1,GS20+ADH20,GS20)=1,IF(AND($E20=2,IF($W20=1,AIW20,MH20)=0),1000000000,IF($V20=1,INDEX('calcA'!$D$130:$EQ$169,$B20,96)+IF(AND($E20=1,MH20=0),25,0),IF($F20&gt;0,INDEX('calcA'!CU$110:CU$114,$F20+1)+IF(AND($E20=1,MH20=0),1000,0),MIN(TX20,20)*400+(IF('calcA'!CT$106=1,1-GR20,0))*150+244+'calcA'!CU$5*100000+IF(AND($E20=1,MH20=0),50000,0))+IF($H20=1,INDEX('calcA'!$D$180:$EQ$219,$B20,96)*4000,0)-IF(AND('calcA'!CT$117=1,XR20&gt;0),2000,0))),1000000000))</f>
        <v/>
      </c>
      <c r="RX20">
        <f>IF($B20=0,1000000000,IF(INDEX('calcA'!$D$60:$EQ$99,$B20,97)*IF($W20=1,GT20+ADI20,GT20)=1,IF(AND($E20=2,IF($W20=1,AIX20,MI20)=0),1000000000,IF($V20=1,INDEX('calcA'!$D$130:$EQ$169,$B20,97)+IF(AND($E20=1,MI20=0),25,0),IF($F20&gt;0,INDEX('calcA'!CV$110:CV$114,$F20+1)+IF(AND($E20=1,MI20=0),1000,0),MIN(TY20,20)*400+(IF('calcA'!CV$106=1,1-GU20,0))*150+15+'calcA'!CV$5*100000+IF(AND($E20=1,MI20=0),50000,0))+IF($H20=1,INDEX('calcA'!$D$180:$EQ$219,$B20,97)*4000,0)-IF(AND($U20=1,'calcA'!CV$117=1,GU20=0),2000,0))),1000000000))</f>
        <v/>
      </c>
      <c r="RY20">
        <f>IF($B20=0,1000000000,IF(INDEX('calcA'!$D$60:$EQ$99,$B20,98)*IF($W20=1,GU20+ADJ20,GU20)=1,IF(AND($E20=2,IF($W20=1,AIY20,MJ20)=0),1000000000,IF($V20=1,INDEX('calcA'!$D$130:$EQ$169,$B20,98)+IF(AND($E20=1,MJ20=0),25,0),IF($F20&gt;0,INDEX('calcA'!CW$110:CW$114,$F20+1)+IF(AND($E20=1,MJ20=0),1000,0),MIN(TY20,20)*400+(IF('calcA'!CV$106=1,1-GT20,0)+IF('calcA'!CW$106=1,1-GV20,0))*150+25+'calcA'!CW$5*100000+IF(AND($E20=1,MJ20=0),50000,0))+IF($H20=1,INDEX('calcA'!$D$180:$EQ$219,$B20,98)*4000,0)-IF(AND('calcA'!CV$117=1,XT20&gt;0),2000,0)-IF(AND($U20=1,'calcA'!CW$117=1,GV20=0),2000,0))),1000000000))</f>
        <v/>
      </c>
      <c r="RZ20">
        <f>IF($B20=0,1000000000,IF(INDEX('calcA'!$D$60:$EQ$99,$B20,99)*IF($W20=1,GV20+ADK20,GV20)=1,IF(AND($E20=2,IF($W20=1,AIZ20,MK20)=0),1000000000,IF($V20=1,INDEX('calcA'!$D$130:$EQ$169,$B20,99)+IF(AND($E20=1,MK20=0),25,0),IF($F20&gt;0,INDEX('calcA'!CX$110:CX$114,$F20+1)+IF(AND($E20=1,MK20=0),1000,0),MIN(TY20,20)*400+(IF('calcA'!CW$106=1,1-GU20,0)+IF('calcA'!CX$106=1,1-GW20,0))*150+35+'calcA'!CX$5*100000+IF(AND($E20=1,MK20=0),50000,0))+IF($H20=1,INDEX('calcA'!$D$180:$EQ$219,$B20,99)*4000,0)-IF(AND('calcA'!CW$117=1,XU20&gt;0),2000,0)-IF(AND($U20=1,'calcA'!CX$117=1,GW20=0),2000,0))),1000000000))</f>
        <v/>
      </c>
      <c r="SA20">
        <f>IF($B20=0,1000000000,IF(INDEX('calcA'!$D$60:$EQ$99,$B20,100)*IF($W20=1,GW20+ADL20,GW20)=1,IF(AND($E20=2,IF($W20=1,AJA20,ML20)=0),1000000000,IF($V20=1,INDEX('calcA'!$D$130:$EQ$169,$B20,100)+IF(AND($E20=1,ML20=0),25,0),IF($F20&gt;0,INDEX('calcA'!CY$110:CY$114,$F20+1)+IF(AND($E20=1,ML20=0),1000,0),MIN(TY20,20)*400+(IF('calcA'!CX$106=1,1-GV20,0)+IF('calcA'!CY$106=1,1-GX20,0))*150+45+'calcA'!CY$5*100000+IF(AND($E20=1,ML20=0),50000,0))+IF($H20=1,INDEX('calcA'!$D$180:$EQ$219,$B20,100)*4000,0)-IF(AND('calcA'!CX$117=1,XV20&gt;0),2000,0)-IF(AND($U20=1,'calcA'!CY$117=1,GX20=0),2000,0))),1000000000))</f>
        <v/>
      </c>
      <c r="SB20">
        <f>IF($B20=0,1000000000,IF(INDEX('calcA'!$D$60:$EQ$99,$B20,101)*IF($W20=1,GX20+ADM20,GX20)=1,IF(AND($E20=2,IF($W20=1,AJB20,MM20)=0),1000000000,IF($V20=1,INDEX('calcA'!$D$130:$EQ$169,$B20,101)+IF(AND($E20=1,MM20=0),25,0),IF($F20&gt;0,INDEX('calcA'!CZ$110:CZ$114,$F20+1)+IF(AND($E20=1,MM20=0),1000,0),MIN(TY20,20)*400+(IF('calcA'!CY$106=1,1-GW20,0)+IF('calcA'!CZ$106=1,1-GY20,0))*150+55+'calcA'!CZ$5*100000+IF(AND($E20=1,MM20=0),50000,0))+IF($H20=1,INDEX('calcA'!$D$180:$EQ$219,$B20,101)*4000,0)-IF(AND('calcA'!CY$117=1,XW20&gt;0),2000,0)-IF(AND($U20=1,'calcA'!CZ$117=1,GY20=0),2000,0))),1000000000))</f>
        <v/>
      </c>
      <c r="SC20">
        <f>IF($B20=0,1000000000,IF(INDEX('calcA'!$D$60:$EQ$99,$B20,102)*IF($W20=1,GY20+ADN20,GY20)=1,IF(AND($E20=2,IF($W20=1,AJC20,MN20)=0),1000000000,IF($V20=1,INDEX('calcA'!$D$130:$EQ$169,$B20,102)+IF(AND($E20=1,MN20=0),25,0),IF($F20&gt;0,INDEX('calcA'!DA$110:DA$114,$F20+1)+IF(AND($E20=1,MN20=0),1000,0),MIN(TY20,20)*400+(IF('calcA'!CZ$106=1,1-GX20,0)+IF('calcA'!DA$106=1,1-GZ20,0))*150+65+'calcA'!DA$5*100000+IF(AND($E20=1,MN20=0),50000,0))+IF($H20=1,INDEX('calcA'!$D$180:$EQ$219,$B20,102)*4000,0)-IF(AND('calcA'!CZ$117=1,XX20&gt;0),2000,0)-IF(AND($U20=1,'calcA'!DA$117=1,GZ20=0),2000,0))),1000000000))</f>
        <v/>
      </c>
      <c r="SD20">
        <f>IF($B20=0,1000000000,IF(INDEX('calcA'!$D$60:$EQ$99,$B20,103)*IF($W20=1,GZ20+ADO20,GZ20)=1,IF(AND($E20=2,IF($W20=1,AJD20,MO20)=0),1000000000,IF($V20=1,INDEX('calcA'!$D$130:$EQ$169,$B20,103)+IF(AND($E20=1,MO20=0),25,0),IF($F20&gt;0,INDEX('calcA'!DB$110:DB$114,$F20+1)+IF(AND($E20=1,MO20=0),1000,0),MIN(TY20,20)*400+(IF('calcA'!DA$106=1,1-GY20,0)+IF('calcA'!DB$106=1,1-HA20,0))*150+75+'calcA'!DB$5*100000+IF(AND($E20=1,MO20=0),50000,0))+IF($H20=1,INDEX('calcA'!$D$180:$EQ$219,$B20,103)*4000,0)-IF(AND('calcA'!DA$117=1,XY20&gt;0),2000,0)-IF(AND($U20=1,'calcA'!DB$117=1,HA20=0),2000,0))),1000000000))</f>
        <v/>
      </c>
      <c r="SE20">
        <f>IF($B20=0,1000000000,IF(INDEX('calcA'!$D$60:$EQ$99,$B20,104)*IF($W20=1,HA20+ADP20,HA20)=1,IF(AND($E20=2,IF($W20=1,AJE20,MP20)=0),1000000000,IF($V20=1,INDEX('calcA'!$D$130:$EQ$169,$B20,104)+IF(AND($E20=1,MP20=0),25,0),IF($F20&gt;0,INDEX('calcA'!DC$110:DC$114,$F20+1)+IF(AND($E20=1,MP20=0),1000,0),MIN(TY20,20)*400+(IF('calcA'!DB$106=1,1-GZ20,0)+IF('calcA'!DC$106=1,1-HB20,0))*150+85+'calcA'!DC$5*100000+IF(AND($E20=1,MP20=0),50000,0))+IF($H20=1,INDEX('calcA'!$D$180:$EQ$219,$B20,104)*4000,0)-IF(AND('calcA'!DB$117=1,XZ20&gt;0),2000,0)-IF(AND($U20=1,'calcA'!DC$117=1,HB20=0),2000,0))),1000000000))</f>
        <v/>
      </c>
      <c r="SF20">
        <f>IF($B20=0,1000000000,IF(INDEX('calcA'!$D$60:$EQ$99,$B20,105)*IF($W20=1,HB20+ADQ20,HB20)=1,IF(AND($E20=2,IF($W20=1,AJF20,MQ20)=0),1000000000,IF($V20=1,INDEX('calcA'!$D$130:$EQ$169,$B20,105)+IF(AND($E20=1,MQ20=0),25,0),IF($F20&gt;0,INDEX('calcA'!DD$110:DD$114,$F20+1)+IF(AND($E20=1,MQ20=0),1000,0),MIN(TY20,20)*400+(IF('calcA'!DC$106=1,1-HA20,0)+IF('calcA'!DD$106=1,1-HC20,0))*150+95+'calcA'!DD$5*100000+IF(AND($E20=1,MQ20=0),50000,0))+IF($H20=1,INDEX('calcA'!$D$180:$EQ$219,$B20,105)*4000,0)-IF(AND('calcA'!DC$117=1,YA20&gt;0),2000,0)-IF(AND($U20=1,'calcA'!DD$117=1,HC20=0),2000,0))),1000000000))</f>
        <v/>
      </c>
      <c r="SG20">
        <f>IF($B20=0,1000000000,IF(INDEX('calcA'!$D$60:$EQ$99,$B20,106)*IF($W20=1,HC20+ADR20,HC20)=1,IF(AND($E20=2,IF($W20=1,AJG20,MR20)=0),1000000000,IF($V20=1,INDEX('calcA'!$D$130:$EQ$169,$B20,106)+IF(AND($E20=1,MR20=0),25,0),IF($F20&gt;0,INDEX('calcA'!DE$110:DE$114,$F20+1)+IF(AND($E20=1,MR20=0),1000,0),MIN(TY20,20)*400+(IF('calcA'!DD$106=1,1-HB20,0)+IF('calcA'!DE$106=1,1-HD20,0))*150+105+'calcA'!DE$5*100000+IF(AND($E20=1,MR20=0),50000,0))+IF($H20=1,INDEX('calcA'!$D$180:$EQ$219,$B20,106)*4000,0)-IF(AND('calcA'!DD$117=1,YB20&gt;0),2000,0)-IF(AND($U20=1,'calcA'!DE$117=1,HD20=0),2000,0))),1000000000))</f>
        <v/>
      </c>
      <c r="SH20">
        <f>IF($B20=0,1000000000,IF(INDEX('calcA'!$D$60:$EQ$99,$B20,107)*IF($W20=1,HD20+ADS20,HD20)=1,IF(AND($E20=2,IF($W20=1,AJH20,MS20)=0),1000000000,IF($V20=1,INDEX('calcA'!$D$130:$EQ$169,$B20,107)+IF(AND($E20=1,MS20=0),25,0),IF($F20&gt;0,INDEX('calcA'!DF$110:DF$114,$F20+1)+IF(AND($E20=1,MS20=0),1000,0),MIN(TY20,20)*400+(IF('calcA'!DE$106=1,1-HC20,0)+IF('calcA'!DF$106=1,1-HE20,0))*150+115+'calcA'!DF$5*100000+IF(AND($E20=1,MS20=0),50000,0))+IF($H20=1,INDEX('calcA'!$D$180:$EQ$219,$B20,107)*4000,0)-IF(AND('calcA'!DE$117=1,YC20&gt;0),2000,0)-IF(AND($U20=1,'calcA'!DF$117=1,HE20=0),2000,0))),1000000000))</f>
        <v/>
      </c>
      <c r="SI20">
        <f>IF($B20=0,1000000000,IF(INDEX('calcA'!$D$60:$EQ$99,$B20,108)*IF($W20=1,HE20+ADT20,HE20)=1,IF(AND($E20=2,IF($W20=1,AJI20,MT20)=0),1000000000,IF($V20=1,INDEX('calcA'!$D$130:$EQ$169,$B20,108)+IF(AND($E20=1,MT20=0),25,0),IF($F20&gt;0,INDEX('calcA'!DG$110:DG$114,$F20+1)+IF(AND($E20=1,MT20=0),1000,0),MIN(TY20,20)*400+(IF('calcA'!DF$106=1,1-HD20,0)+IF('calcA'!DG$106=1,1-HF20,0))*150+125+'calcA'!DG$5*100000+IF(AND($E20=1,MT20=0),50000,0))+IF($H20=1,INDEX('calcA'!$D$180:$EQ$219,$B20,108)*4000,0)-IF(AND('calcA'!DF$117=1,YD20&gt;0),2000,0)-IF(AND($U20=1,'calcA'!DG$117=1,HF20=0),2000,0))),1000000000))</f>
        <v/>
      </c>
      <c r="SJ20">
        <f>IF($B20=0,1000000000,IF(INDEX('calcA'!$D$60:$EQ$99,$B20,109)*IF($W20=1,HF20+ADU20,HF20)=1,IF(AND($E20=2,IF($W20=1,AJJ20,MU20)=0),1000000000,IF($V20=1,INDEX('calcA'!$D$130:$EQ$169,$B20,109)+IF(AND($E20=1,MU20=0),25,0),IF($F20&gt;0,INDEX('calcA'!DH$110:DH$114,$F20+1)+IF(AND($E20=1,MU20=0),1000,0),MIN(TY20,20)*400+(IF('calcA'!DG$106=1,1-HE20,0)+IF('calcA'!DH$106=1,1-HG20,0))*150+135+'calcA'!DH$5*100000+IF(AND($E20=1,MU20=0),50000,0))+IF($H20=1,INDEX('calcA'!$D$180:$EQ$219,$B20,109)*4000,0)-IF(AND('calcA'!DG$117=1,YE20&gt;0),2000,0)-IF(AND($U20=1,'calcA'!DH$117=1,HG20=0),2000,0))),1000000000))</f>
        <v/>
      </c>
      <c r="SK20">
        <f>IF($B20=0,1000000000,IF(INDEX('calcA'!$D$60:$EQ$99,$B20,110)*IF($W20=1,HG20+ADV20,HG20)=1,IF(AND($E20=2,IF($W20=1,AJK20,MV20)=0),1000000000,IF($V20=1,INDEX('calcA'!$D$130:$EQ$169,$B20,110)+IF(AND($E20=1,MV20=0),25,0),IF($F20&gt;0,INDEX('calcA'!DI$110:DI$114,$F20+1)+IF(AND($E20=1,MV20=0),1000,0),MIN(TY20,20)*400+(IF('calcA'!DH$106=1,1-HF20,0)+IF('calcA'!DI$106=1,1-HH20,0))*150+145+'calcA'!DI$5*100000+IF(AND($E20=1,MV20=0),50000,0))+IF($H20=1,INDEX('calcA'!$D$180:$EQ$219,$B20,110)*4000,0)-IF(AND('calcA'!DH$117=1,YF20&gt;0),2000,0)-IF(AND($U20=1,'calcA'!DI$117=1,HH20=0),2000,0))),1000000000))</f>
        <v/>
      </c>
      <c r="SL20">
        <f>IF($B20=0,1000000000,IF(INDEX('calcA'!$D$60:$EQ$99,$B20,111)*IF($W20=1,HH20+ADW20,HH20)=1,IF(AND($E20=2,IF($W20=1,AJL20,MW20)=0),1000000000,IF($V20=1,INDEX('calcA'!$D$130:$EQ$169,$B20,111)+IF(AND($E20=1,MW20=0),25,0),IF($F20&gt;0,INDEX('calcA'!DJ$110:DJ$114,$F20+1)+IF(AND($E20=1,MW20=0),1000,0),MIN(TY20,20)*400+(IF('calcA'!DI$106=1,1-HG20,0)+IF('calcA'!DJ$106=1,1-HI20,0))*150+155+'calcA'!DJ$5*100000+IF(AND($E20=1,MW20=0),50000,0))+IF($H20=1,INDEX('calcA'!$D$180:$EQ$219,$B20,111)*4000,0)-IF(AND('calcA'!DI$117=1,YG20&gt;0),2000,0)-IF(AND($U20=1,'calcA'!DJ$117=1,HI20=0),2000,0))),1000000000))</f>
        <v/>
      </c>
      <c r="SM20">
        <f>IF($B20=0,1000000000,IF(INDEX('calcA'!$D$60:$EQ$99,$B20,112)*IF($W20=1,HI20+ADX20,HI20)=1,IF(AND($E20=2,IF($W20=1,AJM20,MX20)=0),1000000000,IF($V20=1,INDEX('calcA'!$D$130:$EQ$169,$B20,112)+IF(AND($E20=1,MX20=0),25,0),IF($F20&gt;0,INDEX('calcA'!DK$110:DK$114,$F20+1)+IF(AND($E20=1,MX20=0),1000,0),MIN(TY20,20)*400+(IF('calcA'!DJ$106=1,1-HH20,0)+IF('calcA'!DK$106=1,1-HJ20,0))*150+165+'calcA'!DK$5*100000+IF(AND($E20=1,MX20=0),50000,0))+IF($H20=1,INDEX('calcA'!$D$180:$EQ$219,$B20,112)*4000,0)-IF(AND('calcA'!DJ$117=1,YH20&gt;0),2000,0)-IF(AND($U20=1,'calcA'!DK$117=1,HJ20=0),2000,0))),1000000000))</f>
        <v/>
      </c>
      <c r="SN20">
        <f>IF($B20=0,1000000000,IF(INDEX('calcA'!$D$60:$EQ$99,$B20,113)*IF($W20=1,HJ20+ADY20,HJ20)=1,IF(AND($E20=2,IF($W20=1,AJN20,MY20)=0),1000000000,IF($V20=1,INDEX('calcA'!$D$130:$EQ$169,$B20,113)+IF(AND($E20=1,MY20=0),25,0),IF($F20&gt;0,INDEX('calcA'!DL$110:DL$114,$F20+1)+IF(AND($E20=1,MY20=0),1000,0),MIN(TY20,20)*400+(IF('calcA'!DK$106=1,1-HI20,0)+IF('calcA'!DL$106=1,1-HK20,0))*150+175+'calcA'!DL$5*100000+IF(AND($E20=1,MY20=0),50000,0))+IF($H20=1,INDEX('calcA'!$D$180:$EQ$219,$B20,113)*4000,0)-IF(AND('calcA'!DK$117=1,YI20&gt;0),2000,0)-IF(AND($U20=1,'calcA'!DL$117=1,HK20=0),2000,0))),1000000000))</f>
        <v/>
      </c>
      <c r="SO20">
        <f>IF($B20=0,1000000000,IF(INDEX('calcA'!$D$60:$EQ$99,$B20,114)*IF($W20=1,HK20+ADZ20,HK20)=1,IF(AND($E20=2,IF($W20=1,AJO20,MZ20)=0),1000000000,IF($V20=1,INDEX('calcA'!$D$130:$EQ$169,$B20,114)+IF(AND($E20=1,MZ20=0),25,0),IF($F20&gt;0,INDEX('calcA'!DM$110:DM$114,$F20+1)+IF(AND($E20=1,MZ20=0),1000,0),MIN(TY20,20)*400+(IF('calcA'!DL$106=1,1-HJ20,0)+IF('calcA'!DM$106=1,1-HL20,0))*150+185+'calcA'!DM$5*100000+IF(AND($E20=1,MZ20=0),50000,0))+IF($H20=1,INDEX('calcA'!$D$180:$EQ$219,$B20,114)*4000,0)-IF(AND('calcA'!DL$117=1,YJ20&gt;0),2000,0)-IF(AND($U20=1,'calcA'!DM$117=1,HL20=0),2000,0))),1000000000))</f>
        <v/>
      </c>
      <c r="SP20">
        <f>IF($B20=0,1000000000,IF(INDEX('calcA'!$D$60:$EQ$99,$B20,115)*IF($W20=1,HL20+AEA20,HL20)=1,IF(AND($E20=2,IF($W20=1,AJP20,NA20)=0),1000000000,IF($V20=1,INDEX('calcA'!$D$130:$EQ$169,$B20,115)+IF(AND($E20=1,NA20=0),25,0),IF($F20&gt;0,INDEX('calcA'!DN$110:DN$114,$F20+1)+IF(AND($E20=1,NA20=0),1000,0),MIN(TY20,20)*400+(IF('calcA'!DM$106=1,1-HK20,0)+IF('calcA'!DN$106=1,1-HM20,0))*150+195+'calcA'!DN$5*100000+IF(AND($E20=1,NA20=0),50000,0))+IF($H20=1,INDEX('calcA'!$D$180:$EQ$219,$B20,115)*4000,0)-IF(AND('calcA'!DM$117=1,YK20&gt;0),2000,0)-IF(AND($U20=1,'calcA'!DN$117=1,HM20=0),2000,0))),1000000000))</f>
        <v/>
      </c>
      <c r="SQ20">
        <f>IF($B20=0,1000000000,IF(INDEX('calcA'!$D$60:$EQ$99,$B20,116)*IF($W20=1,HM20+AEB20,HM20)=1,IF(AND($E20=2,IF($W20=1,AJQ20,NB20)=0),1000000000,IF($V20=1,INDEX('calcA'!$D$130:$EQ$169,$B20,116)+IF(AND($E20=1,NB20=0),25,0),IF($F20&gt;0,INDEX('calcA'!DO$110:DO$114,$F20+1)+IF(AND($E20=1,NB20=0),1000,0),MIN(TY20,20)*400+(IF('calcA'!DN$106=1,1-HL20,0)+IF('calcA'!DO$106=1,1-HN20,0))*150+205+'calcA'!DO$5*100000+IF(AND($E20=1,NB20=0),50000,0))+IF($H20=1,INDEX('calcA'!$D$180:$EQ$219,$B20,116)*4000,0)-IF(AND('calcA'!DN$117=1,YL20&gt;0),2000,0)-IF(AND($U20=1,'calcA'!DO$117=1,HN20=0),2000,0))),1000000000))</f>
        <v/>
      </c>
      <c r="SR20">
        <f>IF($B20=0,1000000000,IF(INDEX('calcA'!$D$60:$EQ$99,$B20,117)*IF($W20=1,HN20+AEC20,HN20)=1,IF(AND($E20=2,IF($W20=1,AJR20,NC20)=0),1000000000,IF($V20=1,INDEX('calcA'!$D$130:$EQ$169,$B20,117)+IF(AND($E20=1,NC20=0),25,0),IF($F20&gt;0,INDEX('calcA'!DP$110:DP$114,$F20+1)+IF(AND($E20=1,NC20=0),1000,0),MIN(TY20,20)*400+(IF('calcA'!DO$106=1,1-HM20,0)+IF('calcA'!DP$106=1,1-HO20,0))*150+215+'calcA'!DP$5*100000+IF(AND($E20=1,NC20=0),50000,0))+IF($H20=1,INDEX('calcA'!$D$180:$EQ$219,$B20,117)*4000,0)-IF(AND('calcA'!DO$117=1,YM20&gt;0),2000,0)-IF(AND($U20=1,'calcA'!DP$117=1,HO20=0),2000,0))),1000000000))</f>
        <v/>
      </c>
      <c r="SS20">
        <f>IF($B20=0,1000000000,IF(INDEX('calcA'!$D$60:$EQ$99,$B20,118)*IF($W20=1,HO20+AED20,HO20)=1,IF(AND($E20=2,IF($W20=1,AJS20,ND20)=0),1000000000,IF($V20=1,INDEX('calcA'!$D$130:$EQ$169,$B20,118)+IF(AND($E20=1,ND20=0),25,0),IF($F20&gt;0,INDEX('calcA'!DQ$110:DQ$114,$F20+1)+IF(AND($E20=1,ND20=0),1000,0),MIN(TY20,20)*400+(IF('calcA'!DP$106=1,1-HN20,0)+IF('calcA'!DQ$106=1,1-HP20,0))*150+225+'calcA'!DQ$5*100000+IF(AND($E20=1,ND20=0),50000,0))+IF($H20=1,INDEX('calcA'!$D$180:$EQ$219,$B20,118)*4000,0)-IF(AND('calcA'!DP$117=1,YN20&gt;0),2000,0)-IF(AND($U20=1,'calcA'!DQ$117=1,HP20=0),2000,0))),1000000000))</f>
        <v/>
      </c>
      <c r="ST20">
        <f>IF($B20=0,1000000000,IF(INDEX('calcA'!$D$60:$EQ$99,$B20,119)*IF($W20=1,HP20+AEE20,HP20)=1,IF(AND($E20=2,IF($W20=1,AJT20,NE20)=0),1000000000,IF($V20=1,INDEX('calcA'!$D$130:$EQ$169,$B20,119)+IF(AND($E20=1,NE20=0),25,0),IF($F20&gt;0,INDEX('calcA'!DR$110:DR$114,$F20+1)+IF(AND($E20=1,NE20=0),1000,0),MIN(TY20,20)*400+(IF('calcA'!DQ$106=1,1-HO20,0)+IF('calcA'!DR$106=1,1-HQ20,0))*150+235+'calcA'!DR$5*100000+IF(AND($E20=1,NE20=0),50000,0))+IF($H20=1,INDEX('calcA'!$D$180:$EQ$219,$B20,119)*4000,0)-IF(AND('calcA'!DQ$117=1,YO20&gt;0),2000,0)-IF(AND($U20=1,'calcA'!DR$117=1,HQ20=0),2000,0))),1000000000))</f>
        <v/>
      </c>
      <c r="SU20">
        <f>IF($B20=0,1000000000,IF(INDEX('calcA'!$D$60:$EQ$99,$B20,120)*IF($W20=1,HQ20+AEF20,HQ20)=1,IF(AND($E20=2,IF($W20=1,AJU20,NF20)=0),1000000000,IF($V20=1,INDEX('calcA'!$D$130:$EQ$169,$B20,120)+IF(AND($E20=1,NF20=0),25,0),IF($F20&gt;0,INDEX('calcA'!DS$110:DS$114,$F20+1)+IF(AND($E20=1,NF20=0),1000,0),MIN(TY20,20)*400+(IF('calcA'!DR$106=1,1-HP20,0))*150+245+'calcA'!DS$5*100000+IF(AND($E20=1,NF20=0),50000,0))+IF($H20=1,INDEX('calcA'!$D$180:$EQ$219,$B20,120)*4000,0)-IF(AND('calcA'!DR$117=1,YP20&gt;0),2000,0))),1000000000))</f>
        <v/>
      </c>
      <c r="SV20">
        <f>IF($B20=0,1000000000,IF(INDEX('calcA'!$D$60:$EQ$99,$B20,121)*IF($W20=1,HR20+AEG20,HR20)=1,IF(AND($E20=2,IF($W20=1,AJV20,NG20)=0),1000000000,IF($V20=1,INDEX('calcA'!$D$130:$EQ$169,$B20,121)+IF(AND($E20=1,NG20=0),25,0),IF($F20&gt;0,INDEX('calcA'!DT$110:DT$114,$F20+1)+IF(AND($E20=1,NG20=0),1000,0),MIN(TZ20,20)*400+(IF('calcA'!DT$106=1,1-HS20,0))*150+16+'calcA'!DT$5*100000+IF(AND($E20=1,NG20=0),50000,0))+IF($H20=1,INDEX('calcA'!$D$180:$EQ$219,$B20,121)*4000,0)-IF(AND($U20=1,'calcA'!DT$117=1,HS20=0),2000,0))),1000000000))</f>
        <v/>
      </c>
      <c r="SW20">
        <f>IF($B20=0,1000000000,IF(INDEX('calcA'!$D$60:$EQ$99,$B20,122)*IF($W20=1,HS20+AEH20,HS20)=1,IF(AND($E20=2,IF($W20=1,AJW20,NH20)=0),1000000000,IF($V20=1,INDEX('calcA'!$D$130:$EQ$169,$B20,122)+IF(AND($E20=1,NH20=0),25,0),IF($F20&gt;0,INDEX('calcA'!DU$110:DU$114,$F20+1)+IF(AND($E20=1,NH20=0),1000,0),MIN(TZ20,20)*400+(IF('calcA'!DT$106=1,1-HR20,0)+IF('calcA'!DU$106=1,1-HT20,0))*150+26+'calcA'!DU$5*100000+IF(AND($E20=1,NH20=0),50000,0))+IF($H20=1,INDEX('calcA'!$D$180:$EQ$219,$B20,122)*4000,0)-IF(AND('calcA'!DT$117=1,YR20&gt;0),2000,0)-IF(AND($U20=1,'calcA'!DU$117=1,HT20=0),2000,0))),1000000000))</f>
        <v/>
      </c>
      <c r="SX20">
        <f>IF($B20=0,1000000000,IF(INDEX('calcA'!$D$60:$EQ$99,$B20,123)*IF($W20=1,HT20+AEI20,HT20)=1,IF(AND($E20=2,IF($W20=1,AJX20,NI20)=0),1000000000,IF($V20=1,INDEX('calcA'!$D$130:$EQ$169,$B20,123)+IF(AND($E20=1,NI20=0),25,0),IF($F20&gt;0,INDEX('calcA'!DV$110:DV$114,$F20+1)+IF(AND($E20=1,NI20=0),1000,0),MIN(TZ20,20)*400+(IF('calcA'!DU$106=1,1-HS20,0)+IF('calcA'!DV$106=1,1-HU20,0))*150+36+'calcA'!DV$5*100000+IF(AND($E20=1,NI20=0),50000,0))+IF($H20=1,INDEX('calcA'!$D$180:$EQ$219,$B20,123)*4000,0)-IF(AND('calcA'!DU$117=1,YS20&gt;0),2000,0)-IF(AND($U20=1,'calcA'!DV$117=1,HU20=0),2000,0))),1000000000))</f>
        <v/>
      </c>
      <c r="SY20">
        <f>IF($B20=0,1000000000,IF(INDEX('calcA'!$D$60:$EQ$99,$B20,124)*IF($W20=1,HU20+AEJ20,HU20)=1,IF(AND($E20=2,IF($W20=1,AJY20,NJ20)=0),1000000000,IF($V20=1,INDEX('calcA'!$D$130:$EQ$169,$B20,124)+IF(AND($E20=1,NJ20=0),25,0),IF($F20&gt;0,INDEX('calcA'!DW$110:DW$114,$F20+1)+IF(AND($E20=1,NJ20=0),1000,0),MIN(TZ20,20)*400+(IF('calcA'!DV$106=1,1-HT20,0)+IF('calcA'!DW$106=1,1-HV20,0))*150+46+'calcA'!DW$5*100000+IF(AND($E20=1,NJ20=0),50000,0))+IF($H20=1,INDEX('calcA'!$D$180:$EQ$219,$B20,124)*4000,0)-IF(AND('calcA'!DV$117=1,YT20&gt;0),2000,0)-IF(AND($U20=1,'calcA'!DW$117=1,HV20=0),2000,0))),1000000000))</f>
        <v/>
      </c>
      <c r="SZ20">
        <f>IF($B20=0,1000000000,IF(INDEX('calcA'!$D$60:$EQ$99,$B20,125)*IF($W20=1,HV20+AEK20,HV20)=1,IF(AND($E20=2,IF($W20=1,AJZ20,NK20)=0),1000000000,IF($V20=1,INDEX('calcA'!$D$130:$EQ$169,$B20,125)+IF(AND($E20=1,NK20=0),25,0),IF($F20&gt;0,INDEX('calcA'!DX$110:DX$114,$F20+1)+IF(AND($E20=1,NK20=0),1000,0),MIN(TZ20,20)*400+(IF('calcA'!DW$106=1,1-HU20,0)+IF('calcA'!DX$106=1,1-HW20,0))*150+56+'calcA'!DX$5*100000+IF(AND($E20=1,NK20=0),50000,0))+IF($H20=1,INDEX('calcA'!$D$180:$EQ$219,$B20,125)*4000,0)-IF(AND('calcA'!DW$117=1,YU20&gt;0),2000,0)-IF(AND($U20=1,'calcA'!DX$117=1,HW20=0),2000,0))),1000000000))</f>
        <v/>
      </c>
      <c r="TA20">
        <f>IF($B20=0,1000000000,IF(INDEX('calcA'!$D$60:$EQ$99,$B20,126)*IF($W20=1,HW20+AEL20,HW20)=1,IF(AND($E20=2,IF($W20=1,AKA20,NL20)=0),1000000000,IF($V20=1,INDEX('calcA'!$D$130:$EQ$169,$B20,126)+IF(AND($E20=1,NL20=0),25,0),IF($F20&gt;0,INDEX('calcA'!DY$110:DY$114,$F20+1)+IF(AND($E20=1,NL20=0),1000,0),MIN(TZ20,20)*400+(IF('calcA'!DX$106=1,1-HV20,0)+IF('calcA'!DY$106=1,1-HX20,0))*150+66+'calcA'!DY$5*100000+IF(AND($E20=1,NL20=0),50000,0))+IF($H20=1,INDEX('calcA'!$D$180:$EQ$219,$B20,126)*4000,0)-IF(AND('calcA'!DX$117=1,YV20&gt;0),2000,0)-IF(AND($U20=1,'calcA'!DY$117=1,HX20=0),2000,0))),1000000000))</f>
        <v/>
      </c>
      <c r="TB20">
        <f>IF($B20=0,1000000000,IF(INDEX('calcA'!$D$60:$EQ$99,$B20,127)*IF($W20=1,HX20+AEM20,HX20)=1,IF(AND($E20=2,IF($W20=1,AKB20,NM20)=0),1000000000,IF($V20=1,INDEX('calcA'!$D$130:$EQ$169,$B20,127)+IF(AND($E20=1,NM20=0),25,0),IF($F20&gt;0,INDEX('calcA'!DZ$110:DZ$114,$F20+1)+IF(AND($E20=1,NM20=0),1000,0),MIN(TZ20,20)*400+(IF('calcA'!DY$106=1,1-HW20,0)+IF('calcA'!DZ$106=1,1-HY20,0))*150+76+'calcA'!DZ$5*100000+IF(AND($E20=1,NM20=0),50000,0))+IF($H20=1,INDEX('calcA'!$D$180:$EQ$219,$B20,127)*4000,0)-IF(AND('calcA'!DY$117=1,YW20&gt;0),2000,0)-IF(AND($U20=1,'calcA'!DZ$117=1,HY20=0),2000,0))),1000000000))</f>
        <v/>
      </c>
      <c r="TC20">
        <f>IF($B20=0,1000000000,IF(INDEX('calcA'!$D$60:$EQ$99,$B20,128)*IF($W20=1,HY20+AEN20,HY20)=1,IF(AND($E20=2,IF($W20=1,AKC20,NN20)=0),1000000000,IF($V20=1,INDEX('calcA'!$D$130:$EQ$169,$B20,128)+IF(AND($E20=1,NN20=0),25,0),IF($F20&gt;0,INDEX('calcA'!EA$110:EA$114,$F20+1)+IF(AND($E20=1,NN20=0),1000,0),MIN(TZ20,20)*400+(IF('calcA'!DZ$106=1,1-HX20,0)+IF('calcA'!EA$106=1,1-HZ20,0))*150+86+'calcA'!EA$5*100000+IF(AND($E20=1,NN20=0),50000,0))+IF($H20=1,INDEX('calcA'!$D$180:$EQ$219,$B20,128)*4000,0)-IF(AND('calcA'!DZ$117=1,YX20&gt;0),2000,0)-IF(AND($U20=1,'calcA'!EA$117=1,HZ20=0),2000,0))),1000000000))</f>
        <v/>
      </c>
      <c r="TD20">
        <f>IF($B20=0,1000000000,IF(INDEX('calcA'!$D$60:$EQ$99,$B20,129)*IF($W20=1,HZ20+AEO20,HZ20)=1,IF(AND($E20=2,IF($W20=1,AKD20,NO20)=0),1000000000,IF($V20=1,INDEX('calcA'!$D$130:$EQ$169,$B20,129)+IF(AND($E20=1,NO20=0),25,0),IF($F20&gt;0,INDEX('calcA'!EB$110:EB$114,$F20+1)+IF(AND($E20=1,NO20=0),1000,0),MIN(TZ20,20)*400+(IF('calcA'!EA$106=1,1-HY20,0)+IF('calcA'!EB$106=1,1-IA20,0))*150+96+'calcA'!EB$5*100000+IF(AND($E20=1,NO20=0),50000,0))+IF($H20=1,INDEX('calcA'!$D$180:$EQ$219,$B20,129)*4000,0)-IF(AND('calcA'!EA$117=1,YY20&gt;0),2000,0)-IF(AND($U20=1,'calcA'!EB$117=1,IA20=0),2000,0))),1000000000))</f>
        <v/>
      </c>
      <c r="TE20">
        <f>IF($B20=0,1000000000,IF(INDEX('calcA'!$D$60:$EQ$99,$B20,130)*IF($W20=1,IA20+AEP20,IA20)=1,IF(AND($E20=2,IF($W20=1,AKE20,NP20)=0),1000000000,IF($V20=1,INDEX('calcA'!$D$130:$EQ$169,$B20,130)+IF(AND($E20=1,NP20=0),25,0),IF($F20&gt;0,INDEX('calcA'!EC$110:EC$114,$F20+1)+IF(AND($E20=1,NP20=0),1000,0),MIN(TZ20,20)*400+(IF('calcA'!EB$106=1,1-HZ20,0)+IF('calcA'!EC$106=1,1-IB20,0))*150+106+'calcA'!EC$5*100000+IF(AND($E20=1,NP20=0),50000,0))+IF($H20=1,INDEX('calcA'!$D$180:$EQ$219,$B20,130)*4000,0)-IF(AND('calcA'!EB$117=1,YZ20&gt;0),2000,0)-IF(AND($U20=1,'calcA'!EC$117=1,IB20=0),2000,0))),1000000000))</f>
        <v/>
      </c>
      <c r="TF20">
        <f>IF($B20=0,1000000000,IF(INDEX('calcA'!$D$60:$EQ$99,$B20,131)*IF($W20=1,IB20+AEQ20,IB20)=1,IF(AND($E20=2,IF($W20=1,AKF20,NQ20)=0),1000000000,IF($V20=1,INDEX('calcA'!$D$130:$EQ$169,$B20,131)+IF(AND($E20=1,NQ20=0),25,0),IF($F20&gt;0,INDEX('calcA'!ED$110:ED$114,$F20+1)+IF(AND($E20=1,NQ20=0),1000,0),MIN(TZ20,20)*400+(IF('calcA'!EC$106=1,1-IA20,0)+IF('calcA'!ED$106=1,1-IC20,0))*150+116+'calcA'!ED$5*100000+IF(AND($E20=1,NQ20=0),50000,0))+IF($H20=1,INDEX('calcA'!$D$180:$EQ$219,$B20,131)*4000,0)-IF(AND('calcA'!EC$117=1,ZA20&gt;0),2000,0)-IF(AND($U20=1,'calcA'!ED$117=1,IC20=0),2000,0))),1000000000))</f>
        <v/>
      </c>
      <c r="TG20">
        <f>IF($B20=0,1000000000,IF(INDEX('calcA'!$D$60:$EQ$99,$B20,132)*IF($W20=1,IC20+AER20,IC20)=1,IF(AND($E20=2,IF($W20=1,AKG20,NR20)=0),1000000000,IF($V20=1,INDEX('calcA'!$D$130:$EQ$169,$B20,132)+IF(AND($E20=1,NR20=0),25,0),IF($F20&gt;0,INDEX('calcA'!EE$110:EE$114,$F20+1)+IF(AND($E20=1,NR20=0),1000,0),MIN(TZ20,20)*400+(IF('calcA'!ED$106=1,1-IB20,0)+IF('calcA'!EE$106=1,1-ID20,0))*150+126+'calcA'!EE$5*100000+IF(AND($E20=1,NR20=0),50000,0))+IF($H20=1,INDEX('calcA'!$D$180:$EQ$219,$B20,132)*4000,0)-IF(AND('calcA'!ED$117=1,ZB20&gt;0),2000,0)-IF(AND($U20=1,'calcA'!EE$117=1,ID20=0),2000,0))),1000000000))</f>
        <v/>
      </c>
      <c r="TH20">
        <f>IF($B20=0,1000000000,IF(INDEX('calcA'!$D$60:$EQ$99,$B20,133)*IF($W20=1,ID20+AES20,ID20)=1,IF(AND($E20=2,IF($W20=1,AKH20,NS20)=0),1000000000,IF($V20=1,INDEX('calcA'!$D$130:$EQ$169,$B20,133)+IF(AND($E20=1,NS20=0),25,0),IF($F20&gt;0,INDEX('calcA'!EF$110:EF$114,$F20+1)+IF(AND($E20=1,NS20=0),1000,0),MIN(TZ20,20)*400+(IF('calcA'!EE$106=1,1-IC20,0)+IF('calcA'!EF$106=1,1-IE20,0))*150+136+'calcA'!EF$5*100000+IF(AND($E20=1,NS20=0),50000,0))+IF($H20=1,INDEX('calcA'!$D$180:$EQ$219,$B20,133)*4000,0)-IF(AND('calcA'!EE$117=1,ZC20&gt;0),2000,0)-IF(AND($U20=1,'calcA'!EF$117=1,IE20=0),2000,0))),1000000000))</f>
        <v/>
      </c>
      <c r="TI20">
        <f>IF($B20=0,1000000000,IF(INDEX('calcA'!$D$60:$EQ$99,$B20,134)*IF($W20=1,IE20+AET20,IE20)=1,IF(AND($E20=2,IF($W20=1,AKI20,NT20)=0),1000000000,IF($V20=1,INDEX('calcA'!$D$130:$EQ$169,$B20,134)+IF(AND($E20=1,NT20=0),25,0),IF($F20&gt;0,INDEX('calcA'!EG$110:EG$114,$F20+1)+IF(AND($E20=1,NT20=0),1000,0),MIN(TZ20,20)*400+(IF('calcA'!EF$106=1,1-ID20,0)+IF('calcA'!EG$106=1,1-IF20,0))*150+146+'calcA'!EG$5*100000+IF(AND($E20=1,NT20=0),50000,0))+IF($H20=1,INDEX('calcA'!$D$180:$EQ$219,$B20,134)*4000,0)-IF(AND('calcA'!EF$117=1,ZD20&gt;0),2000,0)-IF(AND($U20=1,'calcA'!EG$117=1,IF20=0),2000,0))),1000000000))</f>
        <v/>
      </c>
      <c r="TJ20">
        <f>IF($B20=0,1000000000,IF(INDEX('calcA'!$D$60:$EQ$99,$B20,135)*IF($W20=1,IF20+AEU20,IF20)=1,IF(AND($E20=2,IF($W20=1,AKJ20,NU20)=0),1000000000,IF($V20=1,INDEX('calcA'!$D$130:$EQ$169,$B20,135)+IF(AND($E20=1,NU20=0),25,0),IF($F20&gt;0,INDEX('calcA'!EH$110:EH$114,$F20+1)+IF(AND($E20=1,NU20=0),1000,0),MIN(TZ20,20)*400+(IF('calcA'!EG$106=1,1-IE20,0)+IF('calcA'!EH$106=1,1-IG20,0))*150+156+'calcA'!EH$5*100000+IF(AND($E20=1,NU20=0),50000,0))+IF($H20=1,INDEX('calcA'!$D$180:$EQ$219,$B20,135)*4000,0)-IF(AND('calcA'!EG$117=1,ZE20&gt;0),2000,0)-IF(AND($U20=1,'calcA'!EH$117=1,IG20=0),2000,0))),1000000000))</f>
        <v/>
      </c>
      <c r="TK20">
        <f>IF($B20=0,1000000000,IF(INDEX('calcA'!$D$60:$EQ$99,$B20,136)*IF($W20=1,IG20+AEV20,IG20)=1,IF(AND($E20=2,IF($W20=1,AKK20,NV20)=0),1000000000,IF($V20=1,INDEX('calcA'!$D$130:$EQ$169,$B20,136)+IF(AND($E20=1,NV20=0),25,0),IF($F20&gt;0,INDEX('calcA'!EI$110:EI$114,$F20+1)+IF(AND($E20=1,NV20=0),1000,0),MIN(TZ20,20)*400+(IF('calcA'!EH$106=1,1-IF20,0)+IF('calcA'!EI$106=1,1-IH20,0))*150+166+'calcA'!EI$5*100000+IF(AND($E20=1,NV20=0),50000,0))+IF($H20=1,INDEX('calcA'!$D$180:$EQ$219,$B20,136)*4000,0)-IF(AND('calcA'!EH$117=1,ZF20&gt;0),2000,0)-IF(AND($U20=1,'calcA'!EI$117=1,IH20=0),2000,0))),1000000000))</f>
        <v/>
      </c>
      <c r="TL20">
        <f>IF($B20=0,1000000000,IF(INDEX('calcA'!$D$60:$EQ$99,$B20,137)*IF($W20=1,IH20+AEW20,IH20)=1,IF(AND($E20=2,IF($W20=1,AKL20,NW20)=0),1000000000,IF($V20=1,INDEX('calcA'!$D$130:$EQ$169,$B20,137)+IF(AND($E20=1,NW20=0),25,0),IF($F20&gt;0,INDEX('calcA'!EJ$110:EJ$114,$F20+1)+IF(AND($E20=1,NW20=0),1000,0),MIN(TZ20,20)*400+(IF('calcA'!EI$106=1,1-IG20,0)+IF('calcA'!EJ$106=1,1-II20,0))*150+176+'calcA'!EJ$5*100000+IF(AND($E20=1,NW20=0),50000,0))+IF($H20=1,INDEX('calcA'!$D$180:$EQ$219,$B20,137)*4000,0)-IF(AND('calcA'!EI$117=1,ZG20&gt;0),2000,0)-IF(AND($U20=1,'calcA'!EJ$117=1,II20=0),2000,0))),1000000000))</f>
        <v/>
      </c>
      <c r="TM20">
        <f>IF($B20=0,1000000000,IF(INDEX('calcA'!$D$60:$EQ$99,$B20,138)*IF($W20=1,II20+AEX20,II20)=1,IF(AND($E20=2,IF($W20=1,AKM20,NX20)=0),1000000000,IF($V20=1,INDEX('calcA'!$D$130:$EQ$169,$B20,138)+IF(AND($E20=1,NX20=0),25,0),IF($F20&gt;0,INDEX('calcA'!EK$110:EK$114,$F20+1)+IF(AND($E20=1,NX20=0),1000,0),MIN(TZ20,20)*400+(IF('calcA'!EJ$106=1,1-IH20,0)+IF('calcA'!EK$106=1,1-IJ20,0))*150+186+'calcA'!EK$5*100000+IF(AND($E20=1,NX20=0),50000,0))+IF($H20=1,INDEX('calcA'!$D$180:$EQ$219,$B20,138)*4000,0)-IF(AND('calcA'!EJ$117=1,ZH20&gt;0),2000,0)-IF(AND($U20=1,'calcA'!EK$117=1,IJ20=0),2000,0))),1000000000))</f>
        <v/>
      </c>
      <c r="TN20">
        <f>IF($B20=0,1000000000,IF(INDEX('calcA'!$D$60:$EQ$99,$B20,139)*IF($W20=1,IJ20+AEY20,IJ20)=1,IF(AND($E20=2,IF($W20=1,AKN20,NY20)=0),1000000000,IF($V20=1,INDEX('calcA'!$D$130:$EQ$169,$B20,139)+IF(AND($E20=1,NY20=0),25,0),IF($F20&gt;0,INDEX('calcA'!EL$110:EL$114,$F20+1)+IF(AND($E20=1,NY20=0),1000,0),MIN(TZ20,20)*400+(IF('calcA'!EK$106=1,1-II20,0)+IF('calcA'!EL$106=1,1-IK20,0))*150+196+'calcA'!EL$5*100000+IF(AND($E20=1,NY20=0),50000,0))+IF($H20=1,INDEX('calcA'!$D$180:$EQ$219,$B20,139)*4000,0)-IF(AND('calcA'!EK$117=1,ZI20&gt;0),2000,0)-IF(AND($U20=1,'calcA'!EL$117=1,IK20=0),2000,0))),1000000000))</f>
        <v/>
      </c>
      <c r="TO20">
        <f>IF($B20=0,1000000000,IF(INDEX('calcA'!$D$60:$EQ$99,$B20,140)*IF($W20=1,IK20+AEZ20,IK20)=1,IF(AND($E20=2,IF($W20=1,AKO20,NZ20)=0),1000000000,IF($V20=1,INDEX('calcA'!$D$130:$EQ$169,$B20,140)+IF(AND($E20=1,NZ20=0),25,0),IF($F20&gt;0,INDEX('calcA'!EM$110:EM$114,$F20+1)+IF(AND($E20=1,NZ20=0),1000,0),MIN(TZ20,20)*400+(IF('calcA'!EL$106=1,1-IJ20,0)+IF('calcA'!EM$106=1,1-IL20,0))*150+206+'calcA'!EM$5*100000+IF(AND($E20=1,NZ20=0),50000,0))+IF($H20=1,INDEX('calcA'!$D$180:$EQ$219,$B20,140)*4000,0)-IF(AND('calcA'!EL$117=1,ZJ20&gt;0),2000,0)-IF(AND($U20=1,'calcA'!EM$117=1,IL20=0),2000,0))),1000000000))</f>
        <v/>
      </c>
      <c r="TP20">
        <f>IF($B20=0,1000000000,IF(INDEX('calcA'!$D$60:$EQ$99,$B20,141)*IF($W20=1,IL20+AFA20,IL20)=1,IF(AND($E20=2,IF($W20=1,AKP20,OA20)=0),1000000000,IF($V20=1,INDEX('calcA'!$D$130:$EQ$169,$B20,141)+IF(AND($E20=1,OA20=0),25,0),IF($F20&gt;0,INDEX('calcA'!EN$110:EN$114,$F20+1)+IF(AND($E20=1,OA20=0),1000,0),MIN(TZ20,20)*400+(IF('calcA'!EM$106=1,1-IK20,0)+IF('calcA'!EN$106=1,1-IM20,0))*150+216+'calcA'!EN$5*100000+IF(AND($E20=1,OA20=0),50000,0))+IF($H20=1,INDEX('calcA'!$D$180:$EQ$219,$B20,141)*4000,0)-IF(AND('calcA'!EM$117=1,ZK20&gt;0),2000,0)-IF(AND($U20=1,'calcA'!EN$117=1,IM20=0),2000,0))),1000000000))</f>
        <v/>
      </c>
      <c r="TQ20">
        <f>IF($B20=0,1000000000,IF(INDEX('calcA'!$D$60:$EQ$99,$B20,142)*IF($W20=1,IM20+AFB20,IM20)=1,IF(AND($E20=2,IF($W20=1,AKQ20,OB20)=0),1000000000,IF($V20=1,INDEX('calcA'!$D$130:$EQ$169,$B20,142)+IF(AND($E20=1,OB20=0),25,0),IF($F20&gt;0,INDEX('calcA'!EO$110:EO$114,$F20+1)+IF(AND($E20=1,OB20=0),1000,0),MIN(TZ20,20)*400+(IF('calcA'!EN$106=1,1-IL20,0)+IF('calcA'!EO$106=1,1-IN20,0))*150+226+'calcA'!EO$5*100000+IF(AND($E20=1,OB20=0),50000,0))+IF($H20=1,INDEX('calcA'!$D$180:$EQ$219,$B20,142)*4000,0)-IF(AND('calcA'!EN$117=1,ZL20&gt;0),2000,0)-IF(AND($U20=1,'calcA'!EO$117=1,IN20=0),2000,0))),1000000000))</f>
        <v/>
      </c>
      <c r="TR20">
        <f>IF($B20=0,1000000000,IF(INDEX('calcA'!$D$60:$EQ$99,$B20,143)*IF($W20=1,IN20+AFC20,IN20)=1,IF(AND($E20=2,IF($W20=1,AKR20,OC20)=0),1000000000,IF($V20=1,INDEX('calcA'!$D$130:$EQ$169,$B20,143)+IF(AND($E20=1,OC20=0),25,0),IF($F20&gt;0,INDEX('calcA'!EP$110:EP$114,$F20+1)+IF(AND($E20=1,OC20=0),1000,0),MIN(TZ20,20)*400+(IF('calcA'!EO$106=1,1-IM20,0)+IF('calcA'!EP$106=1,1-IO20,0))*150+236+'calcA'!EP$5*100000+IF(AND($E20=1,OC20=0),50000,0))+IF($H20=1,INDEX('calcA'!$D$180:$EQ$219,$B20,143)*4000,0)-IF(AND('calcA'!EO$117=1,ZM20&gt;0),2000,0)-IF(AND($U20=1,'calcA'!EP$117=1,IO20=0),2000,0))),1000000000))</f>
        <v/>
      </c>
      <c r="TS20">
        <f>IF($B20=0,1000000000,IF(INDEX('calcA'!$D$60:$EQ$99,$B20,144)*IF($W20=1,IO20+AFD20,IO20)=1,IF(AND($E20=2,IF($W20=1,AKS20,OD20)=0),1000000000,IF($V20=1,INDEX('calcA'!$D$130:$EQ$169,$B20,144)+IF(AND($E20=1,OD20=0),25,0),IF($F20&gt;0,INDEX('calcA'!EQ$110:EQ$114,$F20+1)+IF(AND($E20=1,OD20=0),1000,0),MIN(TZ20,20)*400+(IF('calcA'!EP$106=1,1-IN20,0))*150+246+'calcA'!EQ$5*100000+IF(AND($E20=1,OD20=0),50000,0))+IF($H20=1,INDEX('calcA'!$D$180:$EQ$219,$B20,144)*4000,0)-IF(AND('calcA'!EP$117=1,ZN20&gt;0),2000,0))),1000000000))</f>
        <v/>
      </c>
      <c r="TU20">
        <f>TU19+IF($C19&gt;0,IF(INDEX('calcA'!$D$2:$EQ$2,$C19)=1,1,0),0)</f>
        <v/>
      </c>
      <c r="TV20">
        <f>TV19+IF($C19&gt;0,IF(INDEX('calcA'!$D$2:$EQ$2,$C19)=2,1,0),0)</f>
        <v/>
      </c>
      <c r="TW20">
        <f>TW19+IF($C19&gt;0,IF(INDEX('calcA'!$D$2:$EQ$2,$C19)=3,1,0),0)</f>
        <v/>
      </c>
      <c r="TX20">
        <f>TX19+IF($C19&gt;0,IF(INDEX('calcA'!$D$2:$EQ$2,$C19)=4,1,0),0)</f>
        <v/>
      </c>
      <c r="TY20">
        <f>TY19+IF($C19&gt;0,IF(INDEX('calcA'!$D$2:$EQ$2,$C19)=5,1,0),0)</f>
        <v/>
      </c>
      <c r="TZ20">
        <f>TZ19+IF($C19&gt;0,IF(INDEX('calcA'!$D$2:$EQ$2,$C19)=6,1,0),0)</f>
        <v/>
      </c>
      <c r="UB20">
        <f>UB19+IF(AND($C19=1,$U19=1),1,0)</f>
        <v/>
      </c>
      <c r="UC20">
        <f>UC19+IF(AND($C19=2,$U19=1),1,0)</f>
        <v/>
      </c>
      <c r="UD20">
        <f>UD19+IF(AND($C19=3,$U19=1),1,0)</f>
        <v/>
      </c>
      <c r="UE20">
        <f>UE19+IF(AND($C19=4,$U19=1),1,0)</f>
        <v/>
      </c>
      <c r="UF20">
        <f>UF19+IF(AND($C19=5,$U19=1),1,0)</f>
        <v/>
      </c>
      <c r="UG20">
        <f>UG19+IF(AND($C19=6,$U19=1),1,0)</f>
        <v/>
      </c>
      <c r="UH20">
        <f>UH19+IF(AND($C19=7,$U19=1),1,0)</f>
        <v/>
      </c>
      <c r="UI20">
        <f>UI19+IF(AND($C19=8,$U19=1),1,0)</f>
        <v/>
      </c>
      <c r="UJ20">
        <f>UJ19+IF(AND($C19=9,$U19=1),1,0)</f>
        <v/>
      </c>
      <c r="UK20">
        <f>UK19+IF(AND($C19=10,$U19=1),1,0)</f>
        <v/>
      </c>
      <c r="UL20">
        <f>UL19+IF(AND($C19=11,$U19=1),1,0)</f>
        <v/>
      </c>
      <c r="UM20">
        <f>UM19+IF(AND($C19=12,$U19=1),1,0)</f>
        <v/>
      </c>
      <c r="UN20">
        <f>UN19+IF(AND($C19=13,$U19=1),1,0)</f>
        <v/>
      </c>
      <c r="UO20">
        <f>UO19+IF(AND($C19=14,$U19=1),1,0)</f>
        <v/>
      </c>
      <c r="UP20">
        <f>UP19+IF(AND($C19=15,$U19=1),1,0)</f>
        <v/>
      </c>
      <c r="UQ20">
        <f>UQ19+IF(AND($C19=16,$U19=1),1,0)</f>
        <v/>
      </c>
      <c r="UR20">
        <f>UR19+IF(AND($C19=17,$U19=1),1,0)</f>
        <v/>
      </c>
      <c r="US20">
        <f>US19+IF(AND($C19=18,$U19=1),1,0)</f>
        <v/>
      </c>
      <c r="UT20">
        <f>UT19+IF(AND($C19=19,$U19=1),1,0)</f>
        <v/>
      </c>
      <c r="UU20">
        <f>UU19+IF(AND($C19=20,$U19=1),1,0)</f>
        <v/>
      </c>
      <c r="UV20">
        <f>UV19+IF(AND($C19=21,$U19=1),1,0)</f>
        <v/>
      </c>
      <c r="UW20">
        <f>UW19+IF(AND($C19=22,$U19=1),1,0)</f>
        <v/>
      </c>
      <c r="UX20">
        <f>UX19+IF(AND($C19=23,$U19=1),1,0)</f>
        <v/>
      </c>
      <c r="UY20">
        <f>UY19+IF(AND($C19=24,$U19=1),1,0)</f>
        <v/>
      </c>
      <c r="UZ20">
        <f>UZ19+IF(AND($C19=25,$U19=1),1,0)</f>
        <v/>
      </c>
      <c r="VA20">
        <f>VA19+IF(AND($C19=26,$U19=1),1,0)</f>
        <v/>
      </c>
      <c r="VB20">
        <f>VB19+IF(AND($C19=27,$U19=1),1,0)</f>
        <v/>
      </c>
      <c r="VC20">
        <f>VC19+IF(AND($C19=28,$U19=1),1,0)</f>
        <v/>
      </c>
      <c r="VD20">
        <f>VD19+IF(AND($C19=29,$U19=1),1,0)</f>
        <v/>
      </c>
      <c r="VE20">
        <f>VE19+IF(AND($C19=30,$U19=1),1,0)</f>
        <v/>
      </c>
      <c r="VF20">
        <f>VF19+IF(AND($C19=31,$U19=1),1,0)</f>
        <v/>
      </c>
      <c r="VG20">
        <f>VG19+IF(AND($C19=32,$U19=1),1,0)</f>
        <v/>
      </c>
      <c r="VH20">
        <f>VH19+IF(AND($C19=33,$U19=1),1,0)</f>
        <v/>
      </c>
      <c r="VI20">
        <f>VI19+IF(AND($C19=34,$U19=1),1,0)</f>
        <v/>
      </c>
      <c r="VJ20">
        <f>VJ19+IF(AND($C19=35,$U19=1),1,0)</f>
        <v/>
      </c>
      <c r="VK20">
        <f>VK19+IF(AND($C19=36,$U19=1),1,0)</f>
        <v/>
      </c>
      <c r="VL20">
        <f>VL19+IF(AND($C19=37,$U19=1),1,0)</f>
        <v/>
      </c>
      <c r="VM20">
        <f>VM19+IF(AND($C19=38,$U19=1),1,0)</f>
        <v/>
      </c>
      <c r="VN20">
        <f>VN19+IF(AND($C19=39,$U19=1),1,0)</f>
        <v/>
      </c>
      <c r="VO20">
        <f>VO19+IF(AND($C19=40,$U19=1),1,0)</f>
        <v/>
      </c>
      <c r="VP20">
        <f>VP19+IF(AND($C19=41,$U19=1),1,0)</f>
        <v/>
      </c>
      <c r="VQ20">
        <f>VQ19+IF(AND($C19=42,$U19=1),1,0)</f>
        <v/>
      </c>
      <c r="VR20">
        <f>VR19+IF(AND($C19=43,$U19=1),1,0)</f>
        <v/>
      </c>
      <c r="VS20">
        <f>VS19+IF(AND($C19=44,$U19=1),1,0)</f>
        <v/>
      </c>
      <c r="VT20">
        <f>VT19+IF(AND($C19=45,$U19=1),1,0)</f>
        <v/>
      </c>
      <c r="VU20">
        <f>VU19+IF(AND($C19=46,$U19=1),1,0)</f>
        <v/>
      </c>
      <c r="VV20">
        <f>VV19+IF(AND($C19=47,$U19=1),1,0)</f>
        <v/>
      </c>
      <c r="VW20">
        <f>VW19+IF(AND($C19=48,$U19=1),1,0)</f>
        <v/>
      </c>
      <c r="VX20">
        <f>VX19+IF(AND($C19=49,$U19=1),1,0)</f>
        <v/>
      </c>
      <c r="VY20">
        <f>VY19+IF(AND($C19=50,$U19=1),1,0)</f>
        <v/>
      </c>
      <c r="VZ20">
        <f>VZ19+IF(AND($C19=51,$U19=1),1,0)</f>
        <v/>
      </c>
      <c r="WA20">
        <f>WA19+IF(AND($C19=52,$U19=1),1,0)</f>
        <v/>
      </c>
      <c r="WB20">
        <f>WB19+IF(AND($C19=53,$U19=1),1,0)</f>
        <v/>
      </c>
      <c r="WC20">
        <f>WC19+IF(AND($C19=54,$U19=1),1,0)</f>
        <v/>
      </c>
      <c r="WD20">
        <f>WD19+IF(AND($C19=55,$U19=1),1,0)</f>
        <v/>
      </c>
      <c r="WE20">
        <f>WE19+IF(AND($C19=56,$U19=1),1,0)</f>
        <v/>
      </c>
      <c r="WF20">
        <f>WF19+IF(AND($C19=57,$U19=1),1,0)</f>
        <v/>
      </c>
      <c r="WG20">
        <f>WG19+IF(AND($C19=58,$U19=1),1,0)</f>
        <v/>
      </c>
      <c r="WH20">
        <f>WH19+IF(AND($C19=59,$U19=1),1,0)</f>
        <v/>
      </c>
      <c r="WI20">
        <f>WI19+IF(AND($C19=60,$U19=1),1,0)</f>
        <v/>
      </c>
      <c r="WJ20">
        <f>WJ19+IF(AND($C19=61,$U19=1),1,0)</f>
        <v/>
      </c>
      <c r="WK20">
        <f>WK19+IF(AND($C19=62,$U19=1),1,0)</f>
        <v/>
      </c>
      <c r="WL20">
        <f>WL19+IF(AND($C19=63,$U19=1),1,0)</f>
        <v/>
      </c>
      <c r="WM20">
        <f>WM19+IF(AND($C19=64,$U19=1),1,0)</f>
        <v/>
      </c>
      <c r="WN20">
        <f>WN19+IF(AND($C19=65,$U19=1),1,0)</f>
        <v/>
      </c>
      <c r="WO20">
        <f>WO19+IF(AND($C19=66,$U19=1),1,0)</f>
        <v/>
      </c>
      <c r="WP20">
        <f>WP19+IF(AND($C19=67,$U19=1),1,0)</f>
        <v/>
      </c>
      <c r="WQ20">
        <f>WQ19+IF(AND($C19=68,$U19=1),1,0)</f>
        <v/>
      </c>
      <c r="WR20">
        <f>WR19+IF(AND($C19=69,$U19=1),1,0)</f>
        <v/>
      </c>
      <c r="WS20">
        <f>WS19+IF(AND($C19=70,$U19=1),1,0)</f>
        <v/>
      </c>
      <c r="WT20">
        <f>WT19+IF(AND($C19=71,$U19=1),1,0)</f>
        <v/>
      </c>
      <c r="WU20">
        <f>WU19+IF(AND($C19=72,$U19=1),1,0)</f>
        <v/>
      </c>
      <c r="WV20">
        <f>WV19+IF(AND($C19=73,$U19=1),1,0)</f>
        <v/>
      </c>
      <c r="WW20">
        <f>WW19+IF(AND($C19=74,$U19=1),1,0)</f>
        <v/>
      </c>
      <c r="WX20">
        <f>WX19+IF(AND($C19=75,$U19=1),1,0)</f>
        <v/>
      </c>
      <c r="WY20">
        <f>WY19+IF(AND($C19=76,$U19=1),1,0)</f>
        <v/>
      </c>
      <c r="WZ20">
        <f>WZ19+IF(AND($C19=77,$U19=1),1,0)</f>
        <v/>
      </c>
      <c r="XA20">
        <f>XA19+IF(AND($C19=78,$U19=1),1,0)</f>
        <v/>
      </c>
      <c r="XB20">
        <f>XB19+IF(AND($C19=79,$U19=1),1,0)</f>
        <v/>
      </c>
      <c r="XC20">
        <f>XC19+IF(AND($C19=80,$U19=1),1,0)</f>
        <v/>
      </c>
      <c r="XD20">
        <f>XD19+IF(AND($C19=81,$U19=1),1,0)</f>
        <v/>
      </c>
      <c r="XE20">
        <f>XE19+IF(AND($C19=82,$U19=1),1,0)</f>
        <v/>
      </c>
      <c r="XF20">
        <f>XF19+IF(AND($C19=83,$U19=1),1,0)</f>
        <v/>
      </c>
      <c r="XG20">
        <f>XG19+IF(AND($C19=84,$U19=1),1,0)</f>
        <v/>
      </c>
      <c r="XH20">
        <f>XH19+IF(AND($C19=85,$U19=1),1,0)</f>
        <v/>
      </c>
      <c r="XI20">
        <f>XI19+IF(AND($C19=86,$U19=1),1,0)</f>
        <v/>
      </c>
      <c r="XJ20">
        <f>XJ19+IF(AND($C19=87,$U19=1),1,0)</f>
        <v/>
      </c>
      <c r="XK20">
        <f>XK19+IF(AND($C19=88,$U19=1),1,0)</f>
        <v/>
      </c>
      <c r="XL20">
        <f>XL19+IF(AND($C19=89,$U19=1),1,0)</f>
        <v/>
      </c>
      <c r="XM20">
        <f>XM19+IF(AND($C19=90,$U19=1),1,0)</f>
        <v/>
      </c>
      <c r="XN20">
        <f>XN19+IF(AND($C19=91,$U19=1),1,0)</f>
        <v/>
      </c>
      <c r="XO20">
        <f>XO19+IF(AND($C19=92,$U19=1),1,0)</f>
        <v/>
      </c>
      <c r="XP20">
        <f>XP19+IF(AND($C19=93,$U19=1),1,0)</f>
        <v/>
      </c>
      <c r="XQ20">
        <f>XQ19+IF(AND($C19=94,$U19=1),1,0)</f>
        <v/>
      </c>
      <c r="XR20">
        <f>XR19+IF(AND($C19=95,$U19=1),1,0)</f>
        <v/>
      </c>
      <c r="XS20">
        <f>XS19+IF(AND($C19=96,$U19=1),1,0)</f>
        <v/>
      </c>
      <c r="XT20">
        <f>XT19+IF(AND($C19=97,$U19=1),1,0)</f>
        <v/>
      </c>
      <c r="XU20">
        <f>XU19+IF(AND($C19=98,$U19=1),1,0)</f>
        <v/>
      </c>
      <c r="XV20">
        <f>XV19+IF(AND($C19=99,$U19=1),1,0)</f>
        <v/>
      </c>
      <c r="XW20">
        <f>XW19+IF(AND($C19=100,$U19=1),1,0)</f>
        <v/>
      </c>
      <c r="XX20">
        <f>XX19+IF(AND($C19=101,$U19=1),1,0)</f>
        <v/>
      </c>
      <c r="XY20">
        <f>XY19+IF(AND($C19=102,$U19=1),1,0)</f>
        <v/>
      </c>
      <c r="XZ20">
        <f>XZ19+IF(AND($C19=103,$U19=1),1,0)</f>
        <v/>
      </c>
      <c r="YA20">
        <f>YA19+IF(AND($C19=104,$U19=1),1,0)</f>
        <v/>
      </c>
      <c r="YB20">
        <f>YB19+IF(AND($C19=105,$U19=1),1,0)</f>
        <v/>
      </c>
      <c r="YC20">
        <f>YC19+IF(AND($C19=106,$U19=1),1,0)</f>
        <v/>
      </c>
      <c r="YD20">
        <f>YD19+IF(AND($C19=107,$U19=1),1,0)</f>
        <v/>
      </c>
      <c r="YE20">
        <f>YE19+IF(AND($C19=108,$U19=1),1,0)</f>
        <v/>
      </c>
      <c r="YF20">
        <f>YF19+IF(AND($C19=109,$U19=1),1,0)</f>
        <v/>
      </c>
      <c r="YG20">
        <f>YG19+IF(AND($C19=110,$U19=1),1,0)</f>
        <v/>
      </c>
      <c r="YH20">
        <f>YH19+IF(AND($C19=111,$U19=1),1,0)</f>
        <v/>
      </c>
      <c r="YI20">
        <f>YI19+IF(AND($C19=112,$U19=1),1,0)</f>
        <v/>
      </c>
      <c r="YJ20">
        <f>YJ19+IF(AND($C19=113,$U19=1),1,0)</f>
        <v/>
      </c>
      <c r="YK20">
        <f>YK19+IF(AND($C19=114,$U19=1),1,0)</f>
        <v/>
      </c>
      <c r="YL20">
        <f>YL19+IF(AND($C19=115,$U19=1),1,0)</f>
        <v/>
      </c>
      <c r="YM20">
        <f>YM19+IF(AND($C19=116,$U19=1),1,0)</f>
        <v/>
      </c>
      <c r="YN20">
        <f>YN19+IF(AND($C19=117,$U19=1),1,0)</f>
        <v/>
      </c>
      <c r="YO20">
        <f>YO19+IF(AND($C19=118,$U19=1),1,0)</f>
        <v/>
      </c>
      <c r="YP20">
        <f>YP19+IF(AND($C19=119,$U19=1),1,0)</f>
        <v/>
      </c>
      <c r="YQ20">
        <f>YQ19+IF(AND($C19=120,$U19=1),1,0)</f>
        <v/>
      </c>
      <c r="YR20">
        <f>YR19+IF(AND($C19=121,$U19=1),1,0)</f>
        <v/>
      </c>
      <c r="YS20">
        <f>YS19+IF(AND($C19=122,$U19=1),1,0)</f>
        <v/>
      </c>
      <c r="YT20">
        <f>YT19+IF(AND($C19=123,$U19=1),1,0)</f>
        <v/>
      </c>
      <c r="YU20">
        <f>YU19+IF(AND($C19=124,$U19=1),1,0)</f>
        <v/>
      </c>
      <c r="YV20">
        <f>YV19+IF(AND($C19=125,$U19=1),1,0)</f>
        <v/>
      </c>
      <c r="YW20">
        <f>YW19+IF(AND($C19=126,$U19=1),1,0)</f>
        <v/>
      </c>
      <c r="YX20">
        <f>YX19+IF(AND($C19=127,$U19=1),1,0)</f>
        <v/>
      </c>
      <c r="YY20">
        <f>YY19+IF(AND($C19=128,$U19=1),1,0)</f>
        <v/>
      </c>
      <c r="YZ20">
        <f>YZ19+IF(AND($C19=129,$U19=1),1,0)</f>
        <v/>
      </c>
      <c r="ZA20">
        <f>ZA19+IF(AND($C19=130,$U19=1),1,0)</f>
        <v/>
      </c>
      <c r="ZB20">
        <f>ZB19+IF(AND($C19=131,$U19=1),1,0)</f>
        <v/>
      </c>
      <c r="ZC20">
        <f>ZC19+IF(AND($C19=132,$U19=1),1,0)</f>
        <v/>
      </c>
      <c r="ZD20">
        <f>ZD19+IF(AND($C19=133,$U19=1),1,0)</f>
        <v/>
      </c>
      <c r="ZE20">
        <f>ZE19+IF(AND($C19=134,$U19=1),1,0)</f>
        <v/>
      </c>
      <c r="ZF20">
        <f>ZF19+IF(AND($C19=135,$U19=1),1,0)</f>
        <v/>
      </c>
      <c r="ZG20">
        <f>ZG19+IF(AND($C19=136,$U19=1),1,0)</f>
        <v/>
      </c>
      <c r="ZH20">
        <f>ZH19+IF(AND($C19=137,$U19=1),1,0)</f>
        <v/>
      </c>
      <c r="ZI20">
        <f>ZI19+IF(AND($C19=138,$U19=1),1,0)</f>
        <v/>
      </c>
      <c r="ZJ20">
        <f>ZJ19+IF(AND($C19=139,$U19=1),1,0)</f>
        <v/>
      </c>
      <c r="ZK20">
        <f>ZK19+IF(AND($C19=140,$U19=1),1,0)</f>
        <v/>
      </c>
      <c r="ZL20">
        <f>ZL19+IF(AND($C19=141,$U19=1),1,0)</f>
        <v/>
      </c>
      <c r="ZM20">
        <f>ZM19+IF(AND($C19=142,$U19=1),1,0)</f>
        <v/>
      </c>
      <c r="ZN20">
        <f>ZN19+IF(AND($C19=143,$U19=1),1,0)</f>
        <v/>
      </c>
      <c r="ZO20">
        <f>ZO19+IF(AND($C19=144,$U19=1),1,0)</f>
        <v/>
      </c>
      <c r="ZQ20">
        <f>IF($C19=1,0,ZQ19+IF(AND($G19=1,$E19=1),1,0))</f>
        <v/>
      </c>
      <c r="ZR20">
        <f>IF($C19=2,0,ZR19+IF(AND($G19=2,$E19=1),1,0))</f>
        <v/>
      </c>
      <c r="ZS20">
        <f>IF($C19=3,0,ZS19+IF(AND($G19=3,$E19=1),1,0))</f>
        <v/>
      </c>
      <c r="ZT20">
        <f>IF($C19=4,0,ZT19+IF(AND($G19=4,$E19=1),1,0))</f>
        <v/>
      </c>
      <c r="ZU20">
        <f>IF($C19=5,0,ZU19+IF(AND($G19=5,$E19=1),1,0))</f>
        <v/>
      </c>
      <c r="ZV20">
        <f>IF($C19=6,0,ZV19+IF(AND($G19=6,$E19=1),1,0))</f>
        <v/>
      </c>
      <c r="ZW20">
        <f>IF($C19=7,0,ZW19+IF(AND($G19=7,$E19=1),1,0))</f>
        <v/>
      </c>
      <c r="ZX20">
        <f>IF($C19=8,0,ZX19+IF(AND($G19=8,$E19=1),1,0))</f>
        <v/>
      </c>
      <c r="ZY20">
        <f>IF($C19=9,0,ZY19+IF(AND($G19=9,$E19=1),1,0))</f>
        <v/>
      </c>
      <c r="ZZ20">
        <f>IF($C19=10,0,ZZ19+IF(AND($G19=10,$E19=1),1,0))</f>
        <v/>
      </c>
      <c r="AAA20">
        <f>IF($C19=11,0,AAA19+IF(AND($G19=11,$E19=1),1,0))</f>
        <v/>
      </c>
      <c r="AAB20">
        <f>IF($C19=12,0,AAB19+IF(AND($G19=12,$E19=1),1,0))</f>
        <v/>
      </c>
      <c r="AAC20">
        <f>IF($C19=13,0,AAC19+IF(AND($G19=13,$E19=1),1,0))</f>
        <v/>
      </c>
      <c r="AAD20">
        <f>IF($C19=14,0,AAD19+IF(AND($G19=14,$E19=1),1,0))</f>
        <v/>
      </c>
      <c r="AAE20">
        <f>IF($C19=15,0,AAE19+IF(AND($G19=15,$E19=1),1,0))</f>
        <v/>
      </c>
      <c r="AAF20">
        <f>IF($C19=16,0,AAF19+IF(AND($G19=16,$E19=1),1,0))</f>
        <v/>
      </c>
      <c r="AAG20">
        <f>IF($C19=17,0,AAG19+IF(AND($G19=17,$E19=1),1,0))</f>
        <v/>
      </c>
      <c r="AAH20">
        <f>IF($C19=18,0,AAH19+IF(AND($G19=18,$E19=1),1,0))</f>
        <v/>
      </c>
      <c r="AAI20">
        <f>IF($C19=19,0,AAI19+IF(AND($G19=19,$E19=1),1,0))</f>
        <v/>
      </c>
      <c r="AAJ20">
        <f>IF($C19=20,0,AAJ19+IF(AND($G19=20,$E19=1),1,0))</f>
        <v/>
      </c>
      <c r="AAK20">
        <f>IF($C19=21,0,AAK19+IF(AND($G19=21,$E19=1),1,0))</f>
        <v/>
      </c>
      <c r="AAL20">
        <f>IF($C19=22,0,AAL19+IF(AND($G19=22,$E19=1),1,0))</f>
        <v/>
      </c>
      <c r="AAM20">
        <f>IF($C19=23,0,AAM19+IF(AND($G19=23,$E19=1),1,0))</f>
        <v/>
      </c>
      <c r="AAN20">
        <f>IF($C19=24,0,AAN19+IF(AND($G19=24,$E19=1),1,0))</f>
        <v/>
      </c>
      <c r="AAO20">
        <f>IF($C19=25,0,AAO19+IF(AND($G19=25,$E19=1),1,0))</f>
        <v/>
      </c>
      <c r="AAP20">
        <f>IF($C19=26,0,AAP19+IF(AND($G19=26,$E19=1),1,0))</f>
        <v/>
      </c>
      <c r="AAQ20">
        <f>IF($C19=27,0,AAQ19+IF(AND($G19=27,$E19=1),1,0))</f>
        <v/>
      </c>
      <c r="AAR20">
        <f>IF($C19=28,0,AAR19+IF(AND($G19=28,$E19=1),1,0))</f>
        <v/>
      </c>
      <c r="AAS20">
        <f>IF($C19=29,0,AAS19+IF(AND($G19=29,$E19=1),1,0))</f>
        <v/>
      </c>
      <c r="AAT20">
        <f>IF($C19=30,0,AAT19+IF(AND($G19=30,$E19=1),1,0))</f>
        <v/>
      </c>
      <c r="AAU20">
        <f>IF($C19=31,0,AAU19+IF(AND($G19=31,$E19=1),1,0))</f>
        <v/>
      </c>
      <c r="AAV20">
        <f>IF($C19=32,0,AAV19+IF(AND($G19=32,$E19=1),1,0))</f>
        <v/>
      </c>
      <c r="AAW20">
        <f>IF($C19=33,0,AAW19+IF(AND($G19=33,$E19=1),1,0))</f>
        <v/>
      </c>
      <c r="AAX20">
        <f>IF($C19=34,0,AAX19+IF(AND($G19=34,$E19=1),1,0))</f>
        <v/>
      </c>
      <c r="AAY20">
        <f>IF($C19=35,0,AAY19+IF(AND($G19=35,$E19=1),1,0))</f>
        <v/>
      </c>
      <c r="AAZ20">
        <f>IF($C19=36,0,AAZ19+IF(AND($G19=36,$E19=1),1,0))</f>
        <v/>
      </c>
      <c r="ABA20">
        <f>IF($C19=37,0,ABA19+IF(AND($G19=37,$E19=1),1,0))</f>
        <v/>
      </c>
      <c r="ABB20">
        <f>IF($C19=38,0,ABB19+IF(AND($G19=38,$E19=1),1,0))</f>
        <v/>
      </c>
      <c r="ABC20">
        <f>IF($C19=39,0,ABC19+IF(AND($G19=39,$E19=1),1,0))</f>
        <v/>
      </c>
      <c r="ABD20">
        <f>IF($C19=40,0,ABD19+IF(AND($G19=40,$E19=1),1,0))</f>
        <v/>
      </c>
      <c r="ABE20">
        <f>IF($C19=41,0,ABE19+IF(AND($G19=41,$E19=1),1,0))</f>
        <v/>
      </c>
      <c r="ABF20">
        <f>IF($C19=42,0,ABF19+IF(AND($G19=42,$E19=1),1,0))</f>
        <v/>
      </c>
      <c r="ABG20">
        <f>IF($C19=43,0,ABG19+IF(AND($G19=43,$E19=1),1,0))</f>
        <v/>
      </c>
      <c r="ABH20">
        <f>IF($C19=44,0,ABH19+IF(AND($G19=44,$E19=1),1,0))</f>
        <v/>
      </c>
      <c r="ABI20">
        <f>IF($C19=45,0,ABI19+IF(AND($G19=45,$E19=1),1,0))</f>
        <v/>
      </c>
      <c r="ABJ20">
        <f>IF($C19=46,0,ABJ19+IF(AND($G19=46,$E19=1),1,0))</f>
        <v/>
      </c>
      <c r="ABK20">
        <f>IF($C19=47,0,ABK19+IF(AND($G19=47,$E19=1),1,0))</f>
        <v/>
      </c>
      <c r="ABL20">
        <f>IF($C19=48,0,ABL19+IF(AND($G19=48,$E19=1),1,0))</f>
        <v/>
      </c>
      <c r="ABM20">
        <f>IF($C19=49,0,ABM19+IF(AND($G19=49,$E19=1),1,0))</f>
        <v/>
      </c>
      <c r="ABN20">
        <f>IF($C19=50,0,ABN19+IF(AND($G19=50,$E19=1),1,0))</f>
        <v/>
      </c>
      <c r="ABO20">
        <f>IF($C19=51,0,ABO19+IF(AND($G19=51,$E19=1),1,0))</f>
        <v/>
      </c>
      <c r="ABP20">
        <f>IF($C19=52,0,ABP19+IF(AND($G19=52,$E19=1),1,0))</f>
        <v/>
      </c>
      <c r="ABQ20">
        <f>IF($C19=53,0,ABQ19+IF(AND($G19=53,$E19=1),1,0))</f>
        <v/>
      </c>
      <c r="ABR20">
        <f>IF($C19=54,0,ABR19+IF(AND($G19=54,$E19=1),1,0))</f>
        <v/>
      </c>
      <c r="ABS20">
        <f>IF($C19=55,0,ABS19+IF(AND($G19=55,$E19=1),1,0))</f>
        <v/>
      </c>
      <c r="ABT20">
        <f>IF($C19=56,0,ABT19+IF(AND($G19=56,$E19=1),1,0))</f>
        <v/>
      </c>
      <c r="ABU20">
        <f>IF($C19=57,0,ABU19+IF(AND($G19=57,$E19=1),1,0))</f>
        <v/>
      </c>
      <c r="ABV20">
        <f>IF($C19=58,0,ABV19+IF(AND($G19=58,$E19=1),1,0))</f>
        <v/>
      </c>
      <c r="ABW20">
        <f>IF($C19=59,0,ABW19+IF(AND($G19=59,$E19=1),1,0))</f>
        <v/>
      </c>
      <c r="ABX20">
        <f>IF($C19=60,0,ABX19+IF(AND($G19=60,$E19=1),1,0))</f>
        <v/>
      </c>
      <c r="ABY20">
        <f>IF($C19=61,0,ABY19+IF(AND($G19=61,$E19=1),1,0))</f>
        <v/>
      </c>
      <c r="ABZ20">
        <f>IF($C19=62,0,ABZ19+IF(AND($G19=62,$E19=1),1,0))</f>
        <v/>
      </c>
      <c r="ACA20">
        <f>IF($C19=63,0,ACA19+IF(AND($G19=63,$E19=1),1,0))</f>
        <v/>
      </c>
      <c r="ACB20">
        <f>IF($C19=64,0,ACB19+IF(AND($G19=64,$E19=1),1,0))</f>
        <v/>
      </c>
      <c r="ACC20">
        <f>IF($C19=65,0,ACC19+IF(AND($G19=65,$E19=1),1,0))</f>
        <v/>
      </c>
      <c r="ACD20">
        <f>IF($C19=66,0,ACD19+IF(AND($G19=66,$E19=1),1,0))</f>
        <v/>
      </c>
      <c r="ACE20">
        <f>IF($C19=67,0,ACE19+IF(AND($G19=67,$E19=1),1,0))</f>
        <v/>
      </c>
      <c r="ACF20">
        <f>IF($C19=68,0,ACF19+IF(AND($G19=68,$E19=1),1,0))</f>
        <v/>
      </c>
      <c r="ACG20">
        <f>IF($C19=69,0,ACG19+IF(AND($G19=69,$E19=1),1,0))</f>
        <v/>
      </c>
      <c r="ACH20">
        <f>IF($C19=70,0,ACH19+IF(AND($G19=70,$E19=1),1,0))</f>
        <v/>
      </c>
      <c r="ACI20">
        <f>IF($C19=71,0,ACI19+IF(AND($G19=71,$E19=1),1,0))</f>
        <v/>
      </c>
      <c r="ACJ20">
        <f>IF($C19=72,0,ACJ19+IF(AND($G19=72,$E19=1),1,0))</f>
        <v/>
      </c>
      <c r="ACK20">
        <f>IF($C19=73,0,ACK19+IF(AND($G19=73,$E19=1),1,0))</f>
        <v/>
      </c>
      <c r="ACL20">
        <f>IF($C19=74,0,ACL19+IF(AND($G19=74,$E19=1),1,0))</f>
        <v/>
      </c>
      <c r="ACM20">
        <f>IF($C19=75,0,ACM19+IF(AND($G19=75,$E19=1),1,0))</f>
        <v/>
      </c>
      <c r="ACN20">
        <f>IF($C19=76,0,ACN19+IF(AND($G19=76,$E19=1),1,0))</f>
        <v/>
      </c>
      <c r="ACO20">
        <f>IF($C19=77,0,ACO19+IF(AND($G19=77,$E19=1),1,0))</f>
        <v/>
      </c>
      <c r="ACP20">
        <f>IF($C19=78,0,ACP19+IF(AND($G19=78,$E19=1),1,0))</f>
        <v/>
      </c>
      <c r="ACQ20">
        <f>IF($C19=79,0,ACQ19+IF(AND($G19=79,$E19=1),1,0))</f>
        <v/>
      </c>
      <c r="ACR20">
        <f>IF($C19=80,0,ACR19+IF(AND($G19=80,$E19=1),1,0))</f>
        <v/>
      </c>
      <c r="ACS20">
        <f>IF($C19=81,0,ACS19+IF(AND($G19=81,$E19=1),1,0))</f>
        <v/>
      </c>
      <c r="ACT20">
        <f>IF($C19=82,0,ACT19+IF(AND($G19=82,$E19=1),1,0))</f>
        <v/>
      </c>
      <c r="ACU20">
        <f>IF($C19=83,0,ACU19+IF(AND($G19=83,$E19=1),1,0))</f>
        <v/>
      </c>
      <c r="ACV20">
        <f>IF($C19=84,0,ACV19+IF(AND($G19=84,$E19=1),1,0))</f>
        <v/>
      </c>
      <c r="ACW20">
        <f>IF($C19=85,0,ACW19+IF(AND($G19=85,$E19=1),1,0))</f>
        <v/>
      </c>
      <c r="ACX20">
        <f>IF($C19=86,0,ACX19+IF(AND($G19=86,$E19=1),1,0))</f>
        <v/>
      </c>
      <c r="ACY20">
        <f>IF($C19=87,0,ACY19+IF(AND($G19=87,$E19=1),1,0))</f>
        <v/>
      </c>
      <c r="ACZ20">
        <f>IF($C19=88,0,ACZ19+IF(AND($G19=88,$E19=1),1,0))</f>
        <v/>
      </c>
      <c r="ADA20">
        <f>IF($C19=89,0,ADA19+IF(AND($G19=89,$E19=1),1,0))</f>
        <v/>
      </c>
      <c r="ADB20">
        <f>IF($C19=90,0,ADB19+IF(AND($G19=90,$E19=1),1,0))</f>
        <v/>
      </c>
      <c r="ADC20">
        <f>IF($C19=91,0,ADC19+IF(AND($G19=91,$E19=1),1,0))</f>
        <v/>
      </c>
      <c r="ADD20">
        <f>IF($C19=92,0,ADD19+IF(AND($G19=92,$E19=1),1,0))</f>
        <v/>
      </c>
      <c r="ADE20">
        <f>IF($C19=93,0,ADE19+IF(AND($G19=93,$E19=1),1,0))</f>
        <v/>
      </c>
      <c r="ADF20">
        <f>IF($C19=94,0,ADF19+IF(AND($G19=94,$E19=1),1,0))</f>
        <v/>
      </c>
      <c r="ADG20">
        <f>IF($C19=95,0,ADG19+IF(AND($G19=95,$E19=1),1,0))</f>
        <v/>
      </c>
      <c r="ADH20">
        <f>IF($C19=96,0,ADH19+IF(AND($G19=96,$E19=1),1,0))</f>
        <v/>
      </c>
      <c r="ADI20">
        <f>IF($C19=97,0,ADI19+IF(AND($G19=97,$E19=1),1,0))</f>
        <v/>
      </c>
      <c r="ADJ20">
        <f>IF($C19=98,0,ADJ19+IF(AND($G19=98,$E19=1),1,0))</f>
        <v/>
      </c>
      <c r="ADK20">
        <f>IF($C19=99,0,ADK19+IF(AND($G19=99,$E19=1),1,0))</f>
        <v/>
      </c>
      <c r="ADL20">
        <f>IF($C19=100,0,ADL19+IF(AND($G19=100,$E19=1),1,0))</f>
        <v/>
      </c>
      <c r="ADM20">
        <f>IF($C19=101,0,ADM19+IF(AND($G19=101,$E19=1),1,0))</f>
        <v/>
      </c>
      <c r="ADN20">
        <f>IF($C19=102,0,ADN19+IF(AND($G19=102,$E19=1),1,0))</f>
        <v/>
      </c>
      <c r="ADO20">
        <f>IF($C19=103,0,ADO19+IF(AND($G19=103,$E19=1),1,0))</f>
        <v/>
      </c>
      <c r="ADP20">
        <f>IF($C19=104,0,ADP19+IF(AND($G19=104,$E19=1),1,0))</f>
        <v/>
      </c>
      <c r="ADQ20">
        <f>IF($C19=105,0,ADQ19+IF(AND($G19=105,$E19=1),1,0))</f>
        <v/>
      </c>
      <c r="ADR20">
        <f>IF($C19=106,0,ADR19+IF(AND($G19=106,$E19=1),1,0))</f>
        <v/>
      </c>
      <c r="ADS20">
        <f>IF($C19=107,0,ADS19+IF(AND($G19=107,$E19=1),1,0))</f>
        <v/>
      </c>
      <c r="ADT20">
        <f>IF($C19=108,0,ADT19+IF(AND($G19=108,$E19=1),1,0))</f>
        <v/>
      </c>
      <c r="ADU20">
        <f>IF($C19=109,0,ADU19+IF(AND($G19=109,$E19=1),1,0))</f>
        <v/>
      </c>
      <c r="ADV20">
        <f>IF($C19=110,0,ADV19+IF(AND($G19=110,$E19=1),1,0))</f>
        <v/>
      </c>
      <c r="ADW20">
        <f>IF($C19=111,0,ADW19+IF(AND($G19=111,$E19=1),1,0))</f>
        <v/>
      </c>
      <c r="ADX20">
        <f>IF($C19=112,0,ADX19+IF(AND($G19=112,$E19=1),1,0))</f>
        <v/>
      </c>
      <c r="ADY20">
        <f>IF($C19=113,0,ADY19+IF(AND($G19=113,$E19=1),1,0))</f>
        <v/>
      </c>
      <c r="ADZ20">
        <f>IF($C19=114,0,ADZ19+IF(AND($G19=114,$E19=1),1,0))</f>
        <v/>
      </c>
      <c r="AEA20">
        <f>IF($C19=115,0,AEA19+IF(AND($G19=115,$E19=1),1,0))</f>
        <v/>
      </c>
      <c r="AEB20">
        <f>IF($C19=116,0,AEB19+IF(AND($G19=116,$E19=1),1,0))</f>
        <v/>
      </c>
      <c r="AEC20">
        <f>IF($C19=117,0,AEC19+IF(AND($G19=117,$E19=1),1,0))</f>
        <v/>
      </c>
      <c r="AED20">
        <f>IF($C19=118,0,AED19+IF(AND($G19=118,$E19=1),1,0))</f>
        <v/>
      </c>
      <c r="AEE20">
        <f>IF($C19=119,0,AEE19+IF(AND($G19=119,$E19=1),1,0))</f>
        <v/>
      </c>
      <c r="AEF20">
        <f>IF($C19=120,0,AEF19+IF(AND($G19=120,$E19=1),1,0))</f>
        <v/>
      </c>
      <c r="AEG20">
        <f>IF($C19=121,0,AEG19+IF(AND($G19=121,$E19=1),1,0))</f>
        <v/>
      </c>
      <c r="AEH20">
        <f>IF($C19=122,0,AEH19+IF(AND($G19=122,$E19=1),1,0))</f>
        <v/>
      </c>
      <c r="AEI20">
        <f>IF($C19=123,0,AEI19+IF(AND($G19=123,$E19=1),1,0))</f>
        <v/>
      </c>
      <c r="AEJ20">
        <f>IF($C19=124,0,AEJ19+IF(AND($G19=124,$E19=1),1,0))</f>
        <v/>
      </c>
      <c r="AEK20">
        <f>IF($C19=125,0,AEK19+IF(AND($G19=125,$E19=1),1,0))</f>
        <v/>
      </c>
      <c r="AEL20">
        <f>IF($C19=126,0,AEL19+IF(AND($G19=126,$E19=1),1,0))</f>
        <v/>
      </c>
      <c r="AEM20">
        <f>IF($C19=127,0,AEM19+IF(AND($G19=127,$E19=1),1,0))</f>
        <v/>
      </c>
      <c r="AEN20">
        <f>IF($C19=128,0,AEN19+IF(AND($G19=128,$E19=1),1,0))</f>
        <v/>
      </c>
      <c r="AEO20">
        <f>IF($C19=129,0,AEO19+IF(AND($G19=129,$E19=1),1,0))</f>
        <v/>
      </c>
      <c r="AEP20">
        <f>IF($C19=130,0,AEP19+IF(AND($G19=130,$E19=1),1,0))</f>
        <v/>
      </c>
      <c r="AEQ20">
        <f>IF($C19=131,0,AEQ19+IF(AND($G19=131,$E19=1),1,0))</f>
        <v/>
      </c>
      <c r="AER20">
        <f>IF($C19=132,0,AER19+IF(AND($G19=132,$E19=1),1,0))</f>
        <v/>
      </c>
      <c r="AES20">
        <f>IF($C19=133,0,AES19+IF(AND($G19=133,$E19=1),1,0))</f>
        <v/>
      </c>
      <c r="AET20">
        <f>IF($C19=134,0,AET19+IF(AND($G19=134,$E19=1),1,0))</f>
        <v/>
      </c>
      <c r="AEU20">
        <f>IF($C19=135,0,AEU19+IF(AND($G19=135,$E19=1),1,0))</f>
        <v/>
      </c>
      <c r="AEV20">
        <f>IF($C19=136,0,AEV19+IF(AND($G19=136,$E19=1),1,0))</f>
        <v/>
      </c>
      <c r="AEW20">
        <f>IF($C19=137,0,AEW19+IF(AND($G19=137,$E19=1),1,0))</f>
        <v/>
      </c>
      <c r="AEX20">
        <f>IF($C19=138,0,AEX19+IF(AND($G19=138,$E19=1),1,0))</f>
        <v/>
      </c>
      <c r="AEY20">
        <f>IF($C19=139,0,AEY19+IF(AND($G19=139,$E19=1),1,0))</f>
        <v/>
      </c>
      <c r="AEZ20">
        <f>IF($C19=140,0,AEZ19+IF(AND($G19=140,$E19=1),1,0))</f>
        <v/>
      </c>
      <c r="AFA20">
        <f>IF($C19=141,0,AFA19+IF(AND($G19=141,$E19=1),1,0))</f>
        <v/>
      </c>
      <c r="AFB20">
        <f>IF($C19=142,0,AFB19+IF(AND($G19=142,$E19=1),1,0))</f>
        <v/>
      </c>
      <c r="AFC20">
        <f>IF($C19=143,0,AFC19+IF(AND($G19=143,$E19=1),1,0))</f>
        <v/>
      </c>
      <c r="AFD20">
        <f>IF($C19=144,0,AFD19+IF(AND($G19=144,$E19=1),1,0))</f>
        <v/>
      </c>
      <c r="AFF20">
        <f>IF('calcA'!D$106=1,DC20+ZR20,1)</f>
        <v/>
      </c>
      <c r="AFG20">
        <f>IF('calcA'!E$106=1,DD20+ZS20,1)</f>
        <v/>
      </c>
      <c r="AFH20">
        <f>IF('calcA'!F$106=1,DE20+ZT20,1)</f>
        <v/>
      </c>
      <c r="AFI20">
        <f>IF('calcA'!G$106=1,DF20+ZU20,1)</f>
        <v/>
      </c>
      <c r="AFJ20">
        <f>IF('calcA'!H$106=1,DG20+ZV20,1)</f>
        <v/>
      </c>
      <c r="AFK20">
        <f>IF('calcA'!I$106=1,DH20+ZW20,1)</f>
        <v/>
      </c>
      <c r="AFL20">
        <f>IF('calcA'!J$106=1,DI20+ZX20,1)</f>
        <v/>
      </c>
      <c r="AFM20">
        <f>IF('calcA'!K$106=1,DJ20+ZY20,1)</f>
        <v/>
      </c>
      <c r="AFN20">
        <f>IF('calcA'!L$106=1,DK20+ZZ20,1)</f>
        <v/>
      </c>
      <c r="AFO20">
        <f>IF('calcA'!M$106=1,DL20+AAA20,1)</f>
        <v/>
      </c>
      <c r="AFP20">
        <f>IF('calcA'!N$106=1,DM20+AAB20,1)</f>
        <v/>
      </c>
      <c r="AFQ20">
        <f>IF('calcA'!O$106=1,DN20+AAC20,1)</f>
        <v/>
      </c>
      <c r="AFR20">
        <f>IF('calcA'!P$106=1,DO20+AAD20,1)</f>
        <v/>
      </c>
      <c r="AFS20">
        <f>IF('calcA'!Q$106=1,DP20+AAE20,1)</f>
        <v/>
      </c>
      <c r="AFT20">
        <f>IF('calcA'!R$106=1,DQ20+AAF20,1)</f>
        <v/>
      </c>
      <c r="AFU20">
        <f>IF('calcA'!S$106=1,DR20+AAG20,1)</f>
        <v/>
      </c>
      <c r="AFV20">
        <f>IF('calcA'!T$106=1,DS20+AAH20,1)</f>
        <v/>
      </c>
      <c r="AFW20">
        <f>IF('calcA'!U$106=1,DT20+AAI20,1)</f>
        <v/>
      </c>
      <c r="AFX20">
        <f>IF('calcA'!V$106=1,DU20+AAJ20,1)</f>
        <v/>
      </c>
      <c r="AFY20">
        <f>IF('calcA'!W$106=1,DV20+AAK20,1)</f>
        <v/>
      </c>
      <c r="AFZ20">
        <f>IF('calcA'!X$106=1,DW20+AAL20,1)</f>
        <v/>
      </c>
      <c r="AGA20">
        <f>IF('calcA'!Y$106=1,DX20+AAM20,1)</f>
        <v/>
      </c>
      <c r="AGB20">
        <f>IF('calcA'!Z$106=1,DY20+AAN20,1)</f>
        <v/>
      </c>
      <c r="AGC20">
        <f>IF('calcA'!AA$106=1,DZ20+AAO20,1)</f>
        <v/>
      </c>
      <c r="AGD20">
        <f>IF('calcA'!AB$106=1,EA20+AAP20,1)</f>
        <v/>
      </c>
      <c r="AGE20">
        <f>IF('calcA'!AC$106=1,EB20+AAQ20,1)</f>
        <v/>
      </c>
      <c r="AGF20">
        <f>IF('calcA'!AD$106=1,EC20+AAR20,1)</f>
        <v/>
      </c>
      <c r="AGG20">
        <f>IF('calcA'!AE$106=1,ED20+AAS20,1)</f>
        <v/>
      </c>
      <c r="AGH20">
        <f>IF('calcA'!AF$106=1,EE20+AAT20,1)</f>
        <v/>
      </c>
      <c r="AGI20">
        <f>IF('calcA'!AG$106=1,EF20+AAU20,1)</f>
        <v/>
      </c>
      <c r="AGJ20">
        <f>IF('calcA'!AH$106=1,EG20+AAV20,1)</f>
        <v/>
      </c>
      <c r="AGK20">
        <f>IF('calcA'!AI$106=1,EH20+AAW20,1)</f>
        <v/>
      </c>
      <c r="AGL20">
        <f>IF('calcA'!AJ$106=1,EI20+AAX20,1)</f>
        <v/>
      </c>
      <c r="AGM20">
        <f>IF('calcA'!AK$106=1,EJ20+AAY20,1)</f>
        <v/>
      </c>
      <c r="AGN20">
        <f>IF('calcA'!AL$106=1,EK20+AAZ20,1)</f>
        <v/>
      </c>
      <c r="AGO20">
        <f>IF('calcA'!AM$106=1,EL20+ABA20,1)</f>
        <v/>
      </c>
      <c r="AGP20">
        <f>IF('calcA'!AN$106=1,EM20+ABB20,1)</f>
        <v/>
      </c>
      <c r="AGQ20">
        <f>IF('calcA'!AO$106=1,EN20+ABC20,1)</f>
        <v/>
      </c>
      <c r="AGR20">
        <f>IF('calcA'!AP$106=1,EO20+ABD20,1)</f>
        <v/>
      </c>
      <c r="AGS20">
        <f>IF('calcA'!AQ$106=1,EP20+ABE20,1)</f>
        <v/>
      </c>
      <c r="AGT20">
        <f>IF('calcA'!AR$106=1,EQ20+ABF20,1)</f>
        <v/>
      </c>
      <c r="AGU20">
        <f>IF('calcA'!AS$106=1,ER20+ABG20,1)</f>
        <v/>
      </c>
      <c r="AGV20">
        <f>IF('calcA'!AT$106=1,ES20+ABH20,1)</f>
        <v/>
      </c>
      <c r="AGW20">
        <f>IF('calcA'!AU$106=1,ET20+ABI20,1)</f>
        <v/>
      </c>
      <c r="AGX20">
        <f>IF('calcA'!AV$106=1,EU20+ABJ20,1)</f>
        <v/>
      </c>
      <c r="AGY20">
        <f>IF('calcA'!AW$106=1,EV20+ABK20,1)</f>
        <v/>
      </c>
      <c r="AGZ20">
        <f>IF('calcA'!AX$106=1,EW20+ABL20,1)</f>
        <v/>
      </c>
      <c r="AHA20">
        <f>IF('calcA'!AY$106=1,EX20+ABM20,1)</f>
        <v/>
      </c>
      <c r="AHB20">
        <f>IF('calcA'!AZ$106=1,EY20+ABN20,1)</f>
        <v/>
      </c>
      <c r="AHC20">
        <f>IF('calcA'!BA$106=1,EZ20+ABO20,1)</f>
        <v/>
      </c>
      <c r="AHD20">
        <f>IF('calcA'!BB$106=1,FA20+ABP20,1)</f>
        <v/>
      </c>
      <c r="AHE20">
        <f>IF('calcA'!BC$106=1,FB20+ABQ20,1)</f>
        <v/>
      </c>
      <c r="AHF20">
        <f>IF('calcA'!BD$106=1,FC20+ABR20,1)</f>
        <v/>
      </c>
      <c r="AHG20">
        <f>IF('calcA'!BE$106=1,FD20+ABS20,1)</f>
        <v/>
      </c>
      <c r="AHH20">
        <f>IF('calcA'!BF$106=1,FE20+ABT20,1)</f>
        <v/>
      </c>
      <c r="AHI20">
        <f>IF('calcA'!BG$106=1,FF20+ABU20,1)</f>
        <v/>
      </c>
      <c r="AHJ20">
        <f>IF('calcA'!BH$106=1,FG20+ABV20,1)</f>
        <v/>
      </c>
      <c r="AHK20">
        <f>IF('calcA'!BI$106=1,FH20+ABW20,1)</f>
        <v/>
      </c>
      <c r="AHL20">
        <f>IF('calcA'!BJ$106=1,FI20+ABX20,1)</f>
        <v/>
      </c>
      <c r="AHM20">
        <f>IF('calcA'!BK$106=1,FJ20+ABY20,1)</f>
        <v/>
      </c>
      <c r="AHN20">
        <f>IF('calcA'!BL$106=1,FK20+ABZ20,1)</f>
        <v/>
      </c>
      <c r="AHO20">
        <f>IF('calcA'!BM$106=1,FL20+ACA20,1)</f>
        <v/>
      </c>
      <c r="AHP20">
        <f>IF('calcA'!BN$106=1,FM20+ACB20,1)</f>
        <v/>
      </c>
      <c r="AHQ20">
        <f>IF('calcA'!BO$106=1,FN20+ACC20,1)</f>
        <v/>
      </c>
      <c r="AHR20">
        <f>IF('calcA'!BP$106=1,FO20+ACD20,1)</f>
        <v/>
      </c>
      <c r="AHS20">
        <f>IF('calcA'!BQ$106=1,FP20+ACE20,1)</f>
        <v/>
      </c>
      <c r="AHT20">
        <f>IF('calcA'!BR$106=1,FQ20+ACF20,1)</f>
        <v/>
      </c>
      <c r="AHU20">
        <f>IF('calcA'!BS$106=1,FR20+ACG20,1)</f>
        <v/>
      </c>
      <c r="AHV20">
        <f>IF('calcA'!BT$106=1,FS20+ACH20,1)</f>
        <v/>
      </c>
      <c r="AHW20">
        <f>IF('calcA'!BU$106=1,FT20+ACI20,1)</f>
        <v/>
      </c>
      <c r="AHX20">
        <f>IF('calcA'!BV$106=1,FU20+ACJ20,1)</f>
        <v/>
      </c>
      <c r="AHY20">
        <f>IF('calcA'!BW$106=1,FV20+ACK20,1)</f>
        <v/>
      </c>
      <c r="AHZ20">
        <f>IF('calcA'!BX$106=1,FW20+ACL20,1)</f>
        <v/>
      </c>
      <c r="AIA20">
        <f>IF('calcA'!BY$106=1,FX20+ACM20,1)</f>
        <v/>
      </c>
      <c r="AIB20">
        <f>IF('calcA'!BZ$106=1,FY20+ACN20,1)</f>
        <v/>
      </c>
      <c r="AIC20">
        <f>IF('calcA'!CA$106=1,FZ20+ACO20,1)</f>
        <v/>
      </c>
      <c r="AID20">
        <f>IF('calcA'!CB$106=1,GA20+ACP20,1)</f>
        <v/>
      </c>
      <c r="AIE20">
        <f>IF('calcA'!CC$106=1,GB20+ACQ20,1)</f>
        <v/>
      </c>
      <c r="AIF20">
        <f>IF('calcA'!CD$106=1,GC20+ACR20,1)</f>
        <v/>
      </c>
      <c r="AIG20">
        <f>IF('calcA'!CE$106=1,GD20+ACS20,1)</f>
        <v/>
      </c>
      <c r="AIH20">
        <f>IF('calcA'!CF$106=1,GE20+ACT20,1)</f>
        <v/>
      </c>
      <c r="AII20">
        <f>IF('calcA'!CG$106=1,GF20+ACU20,1)</f>
        <v/>
      </c>
      <c r="AIJ20">
        <f>IF('calcA'!CH$106=1,GG20+ACV20,1)</f>
        <v/>
      </c>
      <c r="AIK20">
        <f>IF('calcA'!CI$106=1,GH20+ACW20,1)</f>
        <v/>
      </c>
      <c r="AIL20">
        <f>IF('calcA'!CJ$106=1,GI20+ACX20,1)</f>
        <v/>
      </c>
      <c r="AIM20">
        <f>IF('calcA'!CK$106=1,GJ20+ACY20,1)</f>
        <v/>
      </c>
      <c r="AIN20">
        <f>IF('calcA'!CL$106=1,GK20+ACZ20,1)</f>
        <v/>
      </c>
      <c r="AIO20">
        <f>IF('calcA'!CM$106=1,GL20+ADA20,1)</f>
        <v/>
      </c>
      <c r="AIP20">
        <f>IF('calcA'!CN$106=1,GM20+ADB20,1)</f>
        <v/>
      </c>
      <c r="AIQ20">
        <f>IF('calcA'!CO$106=1,GN20+ADC20,1)</f>
        <v/>
      </c>
      <c r="AIR20">
        <f>IF('calcA'!CP$106=1,GO20+ADD20,1)</f>
        <v/>
      </c>
      <c r="AIS20">
        <f>IF('calcA'!CQ$106=1,GP20+ADE20,1)</f>
        <v/>
      </c>
      <c r="AIT20">
        <f>IF('calcA'!CR$106=1,GQ20+ADF20,1)</f>
        <v/>
      </c>
      <c r="AIU20">
        <f>IF('calcA'!CS$106=1,GR20+ADG20,1)</f>
        <v/>
      </c>
      <c r="AIV20">
        <f>IF('calcA'!CT$106=1,GS20+ADH20,1)</f>
        <v/>
      </c>
      <c r="AIW20">
        <f>IF('calcA'!CU$106=1,GT20+ADI20,1)</f>
        <v/>
      </c>
      <c r="AIX20">
        <f>IF('calcA'!CV$106=1,GU20+ADJ20,1)</f>
        <v/>
      </c>
      <c r="AIY20">
        <f>IF('calcA'!CW$106=1,GV20+ADK20,1)</f>
        <v/>
      </c>
      <c r="AIZ20">
        <f>IF('calcA'!CX$106=1,GW20+ADL20,1)</f>
        <v/>
      </c>
      <c r="AJA20">
        <f>IF('calcA'!CY$106=1,GX20+ADM20,1)</f>
        <v/>
      </c>
      <c r="AJB20">
        <f>IF('calcA'!CZ$106=1,GY20+ADN20,1)</f>
        <v/>
      </c>
      <c r="AJC20">
        <f>IF('calcA'!DA$106=1,GZ20+ADO20,1)</f>
        <v/>
      </c>
      <c r="AJD20">
        <f>IF('calcA'!DB$106=1,HA20+ADP20,1)</f>
        <v/>
      </c>
      <c r="AJE20">
        <f>IF('calcA'!DC$106=1,HB20+ADQ20,1)</f>
        <v/>
      </c>
      <c r="AJF20">
        <f>IF('calcA'!DD$106=1,HC20+ADR20,1)</f>
        <v/>
      </c>
      <c r="AJG20">
        <f>IF('calcA'!DE$106=1,HD20+ADS20,1)</f>
        <v/>
      </c>
      <c r="AJH20">
        <f>IF('calcA'!DF$106=1,HE20+ADT20,1)</f>
        <v/>
      </c>
      <c r="AJI20">
        <f>IF('calcA'!DG$106=1,HF20+ADU20,1)</f>
        <v/>
      </c>
      <c r="AJJ20">
        <f>IF('calcA'!DH$106=1,HG20+ADV20,1)</f>
        <v/>
      </c>
      <c r="AJK20">
        <f>IF('calcA'!DI$106=1,HH20+ADW20,1)</f>
        <v/>
      </c>
      <c r="AJL20">
        <f>IF('calcA'!DJ$106=1,HI20+ADX20,1)</f>
        <v/>
      </c>
      <c r="AJM20">
        <f>IF('calcA'!DK$106=1,HJ20+ADY20,1)</f>
        <v/>
      </c>
      <c r="AJN20">
        <f>IF('calcA'!DL$106=1,HK20+ADZ20,1)</f>
        <v/>
      </c>
      <c r="AJO20">
        <f>IF('calcA'!DM$106=1,HL20+AEA20,1)</f>
        <v/>
      </c>
      <c r="AJP20">
        <f>IF('calcA'!DN$106=1,HM20+AEB20,1)</f>
        <v/>
      </c>
      <c r="AJQ20">
        <f>IF('calcA'!DO$106=1,HN20+AEC20,1)</f>
        <v/>
      </c>
      <c r="AJR20">
        <f>IF('calcA'!DP$106=1,HO20+AED20,1)</f>
        <v/>
      </c>
      <c r="AJS20">
        <f>IF('calcA'!DQ$106=1,HP20+AEE20,1)</f>
        <v/>
      </c>
      <c r="AJT20">
        <f>IF('calcA'!DR$106=1,HQ20+AEF20,1)</f>
        <v/>
      </c>
      <c r="AJU20">
        <f>IF('calcA'!DS$106=1,HR20+AEG20,1)</f>
        <v/>
      </c>
      <c r="AJV20">
        <f>IF('calcA'!DT$106=1,HS20+AEH20,1)</f>
        <v/>
      </c>
      <c r="AJW20">
        <f>IF('calcA'!DU$106=1,HT20+AEI20,1)</f>
        <v/>
      </c>
      <c r="AJX20">
        <f>IF('calcA'!DV$106=1,HU20+AEJ20,1)</f>
        <v/>
      </c>
      <c r="AJY20">
        <f>IF('calcA'!DW$106=1,HV20+AEK20,1)</f>
        <v/>
      </c>
      <c r="AJZ20">
        <f>IF('calcA'!DX$106=1,HW20+AEL20,1)</f>
        <v/>
      </c>
      <c r="AKA20">
        <f>IF('calcA'!DY$106=1,HX20+AEM20,1)</f>
        <v/>
      </c>
      <c r="AKB20">
        <f>IF('calcA'!DZ$106=1,HY20+AEN20,1)</f>
        <v/>
      </c>
      <c r="AKC20">
        <f>IF('calcA'!EA$106=1,HZ20+AEO20,1)</f>
        <v/>
      </c>
      <c r="AKD20">
        <f>IF('calcA'!EB$106=1,IA20+AEP20,1)</f>
        <v/>
      </c>
      <c r="AKE20">
        <f>IF('calcA'!EC$106=1,IB20+AEQ20,1)</f>
        <v/>
      </c>
      <c r="AKF20">
        <f>IF('calcA'!ED$106=1,IC20+AER20,1)</f>
        <v/>
      </c>
      <c r="AKG20">
        <f>IF('calcA'!EE$106=1,ID20+AES20,1)</f>
        <v/>
      </c>
      <c r="AKH20">
        <f>IF('calcA'!EF$106=1,IE20+AET20,1)</f>
        <v/>
      </c>
      <c r="AKI20">
        <f>IF('calcA'!EG$106=1,IF20+AEU20,1)</f>
        <v/>
      </c>
      <c r="AKJ20">
        <f>IF('calcA'!EH$106=1,IG20+AEV20,1)</f>
        <v/>
      </c>
      <c r="AKK20">
        <f>IF('calcA'!EI$106=1,IH20+AEW20,1)</f>
        <v/>
      </c>
      <c r="AKL20">
        <f>IF('calcA'!EJ$106=1,II20+AEX20,1)</f>
        <v/>
      </c>
      <c r="AKM20">
        <f>IF('calcA'!EK$106=1,IJ20+AEY20,1)</f>
        <v/>
      </c>
      <c r="AKN20">
        <f>IF('calcA'!EL$106=1,IK20+AEZ20,1)</f>
        <v/>
      </c>
      <c r="AKO20">
        <f>IF('calcA'!EM$106=1,IL20+AFA20,1)</f>
        <v/>
      </c>
      <c r="AKP20">
        <f>IF('calcA'!EN$106=1,IM20+AFB20,1)</f>
        <v/>
      </c>
      <c r="AKQ20">
        <f>IF('calcA'!EO$106=1,IN20+AFC20,1)</f>
        <v/>
      </c>
      <c r="AKR20">
        <f>IF('calcA'!EP$106=1,IO20+AFD20,1)</f>
        <v/>
      </c>
      <c r="AKS20" t="n">
        <v>1</v>
      </c>
    </row>
    <row r="21">
      <c r="A21" t="n">
        <v>19</v>
      </c>
      <c r="B21">
        <f>IF(MIN(BM21:CZ21)&gt;=1000000000,0,MATCH(MIN(BM21:CZ21),BM21:CZ21,0))</f>
        <v/>
      </c>
      <c r="C21">
        <f>IF(MIN(OF21:TS21)&gt;=1000000000,0,MATCH(MIN(OF21:TS21),OF21:TS21,0))</f>
        <v/>
      </c>
      <c r="D21">
        <f>IF(C21&gt;0,INDEX('calcA'!$D$5:$EQ$5,C21),0)</f>
        <v/>
      </c>
      <c r="E21">
        <f>IF(B21=0,0,INDEX('calcA'!$IQ$10:$IQ$54,B21))</f>
        <v/>
      </c>
      <c r="F21">
        <f>IF(B21=0,0,INDEX('calcA'!$IP$10:$IP$54,B21))</f>
        <v/>
      </c>
      <c r="G21">
        <f>IF(AND(C21&gt;0,E21&gt;0),IF(AND(INDEX('calcA'!$D$106:$EQ$106,C21)=1,INDEX($IQ21:$OD21,C21)=1),C21+1,0),0)</f>
        <v/>
      </c>
      <c r="H21">
        <f>IF(B21=0,0,INDEX('calcA'!$IW$10:$IW$54,B21))</f>
        <v/>
      </c>
      <c r="U21">
        <f>IF(B21=0,0,INDEX('calcA'!$IX$10:$IX$54,B21))</f>
        <v/>
      </c>
      <c r="V21">
        <f>IF(B21=0,0,INDEX('calcA'!$JF$10:$JF$54,B21))</f>
        <v/>
      </c>
      <c r="W21">
        <f>IF(B21=0,0,IF(IF(E21=2,SUMPRODUCT(INDEX('calcA'!$D$60:$EQ$99,B21,0),$DB21:$IO21,$IQ21:$OD21),SUMPRODUCT(INDEX('calcA'!$D$60:$EQ$99,B21,0),$DB21:$IO21))=0,1,0))</f>
        <v/>
      </c>
      <c r="X21">
        <f>MAX(X20,IF($B20=1,1,0))</f>
        <v/>
      </c>
      <c r="Y21">
        <f>MAX(Y20,IF($B20=2,1,0))</f>
        <v/>
      </c>
      <c r="Z21">
        <f>MAX(Z20,IF($B20=3,1,0))</f>
        <v/>
      </c>
      <c r="AA21">
        <f>MAX(AA20,IF($B20=4,1,0))</f>
        <v/>
      </c>
      <c r="AB21">
        <f>MAX(AB20,IF($B20=5,1,0))</f>
        <v/>
      </c>
      <c r="AC21">
        <f>MAX(AC20,IF($B20=6,1,0))</f>
        <v/>
      </c>
      <c r="AD21">
        <f>MAX(AD20,IF($B20=7,1,0))</f>
        <v/>
      </c>
      <c r="AE21">
        <f>MAX(AE20,IF($B20=8,1,0))</f>
        <v/>
      </c>
      <c r="AF21">
        <f>MAX(AF20,IF($B20=9,1,0))</f>
        <v/>
      </c>
      <c r="AG21">
        <f>MAX(AG20,IF($B20=10,1,0))</f>
        <v/>
      </c>
      <c r="AH21">
        <f>MAX(AH20,IF($B20=11,1,0))</f>
        <v/>
      </c>
      <c r="AI21">
        <f>MAX(AI20,IF($B20=12,1,0))</f>
        <v/>
      </c>
      <c r="AJ21">
        <f>MAX(AJ20,IF($B20=13,1,0))</f>
        <v/>
      </c>
      <c r="AK21">
        <f>MAX(AK20,IF($B20=14,1,0))</f>
        <v/>
      </c>
      <c r="AL21">
        <f>MAX(AL20,IF($B20=15,1,0))</f>
        <v/>
      </c>
      <c r="AM21">
        <f>MAX(AM20,IF($B20=16,1,0))</f>
        <v/>
      </c>
      <c r="AN21">
        <f>MAX(AN20,IF($B20=17,1,0))</f>
        <v/>
      </c>
      <c r="AO21">
        <f>MAX(AO20,IF($B20=18,1,0))</f>
        <v/>
      </c>
      <c r="AP21">
        <f>MAX(AP20,IF($B20=19,1,0))</f>
        <v/>
      </c>
      <c r="AQ21">
        <f>MAX(AQ20,IF($B20=20,1,0))</f>
        <v/>
      </c>
      <c r="AR21">
        <f>MAX(AR20,IF($B20=21,1,0))</f>
        <v/>
      </c>
      <c r="AS21">
        <f>MAX(AS20,IF($B20=22,1,0))</f>
        <v/>
      </c>
      <c r="AT21">
        <f>MAX(AT20,IF($B20=23,1,0))</f>
        <v/>
      </c>
      <c r="AU21">
        <f>MAX(AU20,IF($B20=24,1,0))</f>
        <v/>
      </c>
      <c r="AV21">
        <f>MAX(AV20,IF($B20=25,1,0))</f>
        <v/>
      </c>
      <c r="AW21">
        <f>MAX(AW20,IF($B20=26,1,0))</f>
        <v/>
      </c>
      <c r="AX21">
        <f>MAX(AX20,IF($B20=27,1,0))</f>
        <v/>
      </c>
      <c r="AY21">
        <f>MAX(AY20,IF($B20=28,1,0))</f>
        <v/>
      </c>
      <c r="AZ21">
        <f>MAX(AZ20,IF($B20=29,1,0))</f>
        <v/>
      </c>
      <c r="BA21">
        <f>MAX(BA20,IF($B20=30,1,0))</f>
        <v/>
      </c>
      <c r="BB21">
        <f>MAX(BB20,IF($B20=31,1,0))</f>
        <v/>
      </c>
      <c r="BC21">
        <f>MAX(BC20,IF($B20=32,1,0))</f>
        <v/>
      </c>
      <c r="BD21">
        <f>MAX(BD20,IF($B20=33,1,0))</f>
        <v/>
      </c>
      <c r="BE21">
        <f>MAX(BE20,IF($B20=34,1,0))</f>
        <v/>
      </c>
      <c r="BF21">
        <f>MAX(BF20,IF($B20=35,1,0))</f>
        <v/>
      </c>
      <c r="BG21">
        <f>MAX(BG20,IF($B20=36,1,0))</f>
        <v/>
      </c>
      <c r="BH21">
        <f>MAX(BH20,IF($B20=37,1,0))</f>
        <v/>
      </c>
      <c r="BI21">
        <f>MAX(BI20,IF($B20=38,1,0))</f>
        <v/>
      </c>
      <c r="BJ21">
        <f>MAX(BJ20,IF($B20=39,1,0))</f>
        <v/>
      </c>
      <c r="BK21">
        <f>MAX(BK20,IF($B20=40,1,0))</f>
        <v/>
      </c>
      <c r="BM21">
        <f>IF(OR(X21=1,calcA!$A$6=0),1000000000,IF('calcA'!$JF$10=1,0,100000000)+IF('calcA'!$IQ$10=2,SUMPRODUCT('calcA'!$D$60:$EQ$60,$DB21:$IO21,$IQ21:$OD21)*1000+SUMPRODUCT('calcA'!$D$60:$EQ$60,$DB21:$IO21+$ZQ21:$AFD21,$AFF21:$AKS21),SUMPRODUCT('calcA'!$D$60:$EQ$60,$DB21:$IO21*1001+$ZQ21:$AFD21))*100+1)</f>
        <v/>
      </c>
      <c r="BN21">
        <f>IF(OR(Y21=1,calcA!$A$6=0),1000000000,IF('calcA'!$JF$11=1,0,100000000)+IF('calcA'!$IQ$11=2,SUMPRODUCT('calcA'!$D$61:$EQ$61,$DB21:$IO21,$IQ21:$OD21)*1000+SUMPRODUCT('calcA'!$D$61:$EQ$61,$DB21:$IO21+$ZQ21:$AFD21,$AFF21:$AKS21),SUMPRODUCT('calcA'!$D$61:$EQ$61,$DB21:$IO21*1001+$ZQ21:$AFD21))*100+2)</f>
        <v/>
      </c>
      <c r="BO21">
        <f>IF(OR(Z21=1,calcA!$A$6=0),1000000000,IF('calcA'!$JF$12=1,0,100000000)+IF('calcA'!$IQ$12=2,SUMPRODUCT('calcA'!$D$62:$EQ$62,$DB21:$IO21,$IQ21:$OD21)*1000+SUMPRODUCT('calcA'!$D$62:$EQ$62,$DB21:$IO21+$ZQ21:$AFD21,$AFF21:$AKS21),SUMPRODUCT('calcA'!$D$62:$EQ$62,$DB21:$IO21*1001+$ZQ21:$AFD21))*100+3)</f>
        <v/>
      </c>
      <c r="BP21">
        <f>IF(OR(AA21=1,calcA!$A$6=0),1000000000,IF('calcA'!$JF$13=1,0,100000000)+IF('calcA'!$IQ$13=2,SUMPRODUCT('calcA'!$D$63:$EQ$63,$DB21:$IO21,$IQ21:$OD21)*1000+SUMPRODUCT('calcA'!$D$63:$EQ$63,$DB21:$IO21+$ZQ21:$AFD21,$AFF21:$AKS21),SUMPRODUCT('calcA'!$D$63:$EQ$63,$DB21:$IO21*1001+$ZQ21:$AFD21))*100+4)</f>
        <v/>
      </c>
      <c r="BQ21">
        <f>IF(OR(AB21=1,calcA!$A$6=0),1000000000,IF('calcA'!$JF$14=1,0,100000000)+IF('calcA'!$IQ$14=2,SUMPRODUCT('calcA'!$D$64:$EQ$64,$DB21:$IO21,$IQ21:$OD21)*1000+SUMPRODUCT('calcA'!$D$64:$EQ$64,$DB21:$IO21+$ZQ21:$AFD21,$AFF21:$AKS21),SUMPRODUCT('calcA'!$D$64:$EQ$64,$DB21:$IO21*1001+$ZQ21:$AFD21))*100+5)</f>
        <v/>
      </c>
      <c r="BR21">
        <f>IF(OR(AC21=1,calcA!$A$6=0),1000000000,IF('calcA'!$JF$15=1,0,100000000)+IF('calcA'!$IQ$15=2,SUMPRODUCT('calcA'!$D$65:$EQ$65,$DB21:$IO21,$IQ21:$OD21)*1000+SUMPRODUCT('calcA'!$D$65:$EQ$65,$DB21:$IO21+$ZQ21:$AFD21,$AFF21:$AKS21),SUMPRODUCT('calcA'!$D$65:$EQ$65,$DB21:$IO21*1001+$ZQ21:$AFD21))*100+6)</f>
        <v/>
      </c>
      <c r="BS21">
        <f>IF(OR(AD21=1,calcA!$A$6=0),1000000000,IF('calcA'!$JF$16=1,0,100000000)+IF('calcA'!$IQ$16=2,SUMPRODUCT('calcA'!$D$66:$EQ$66,$DB21:$IO21,$IQ21:$OD21)*1000+SUMPRODUCT('calcA'!$D$66:$EQ$66,$DB21:$IO21+$ZQ21:$AFD21,$AFF21:$AKS21),SUMPRODUCT('calcA'!$D$66:$EQ$66,$DB21:$IO21*1001+$ZQ21:$AFD21))*100+7)</f>
        <v/>
      </c>
      <c r="BT21">
        <f>IF(OR(AE21=1,calcA!$A$6=0),1000000000,IF('calcA'!$JF$17=1,0,100000000)+IF('calcA'!$IQ$17=2,SUMPRODUCT('calcA'!$D$67:$EQ$67,$DB21:$IO21,$IQ21:$OD21)*1000+SUMPRODUCT('calcA'!$D$67:$EQ$67,$DB21:$IO21+$ZQ21:$AFD21,$AFF21:$AKS21),SUMPRODUCT('calcA'!$D$67:$EQ$67,$DB21:$IO21*1001+$ZQ21:$AFD21))*100+8)</f>
        <v/>
      </c>
      <c r="BU21">
        <f>IF(OR(AF21=1,calcA!$A$6=0),1000000000,IF('calcA'!$JF$18=1,0,100000000)+IF('calcA'!$IQ$18=2,SUMPRODUCT('calcA'!$D$68:$EQ$68,$DB21:$IO21,$IQ21:$OD21)*1000+SUMPRODUCT('calcA'!$D$68:$EQ$68,$DB21:$IO21+$ZQ21:$AFD21,$AFF21:$AKS21),SUMPRODUCT('calcA'!$D$68:$EQ$68,$DB21:$IO21*1001+$ZQ21:$AFD21))*100+9)</f>
        <v/>
      </c>
      <c r="BV21">
        <f>IF(OR(AG21=1,calcA!$A$6=0),1000000000,IF('calcA'!$JF$19=1,0,100000000)+IF('calcA'!$IQ$19=2,SUMPRODUCT('calcA'!$D$69:$EQ$69,$DB21:$IO21,$IQ21:$OD21)*1000+SUMPRODUCT('calcA'!$D$69:$EQ$69,$DB21:$IO21+$ZQ21:$AFD21,$AFF21:$AKS21),SUMPRODUCT('calcA'!$D$69:$EQ$69,$DB21:$IO21*1001+$ZQ21:$AFD21))*100+10)</f>
        <v/>
      </c>
      <c r="BW21">
        <f>IF(OR(AH21=1,calcA!$A$6=0),1000000000,IF('calcA'!$JF$20=1,0,100000000)+IF('calcA'!$IQ$20=2,SUMPRODUCT('calcA'!$D$70:$EQ$70,$DB21:$IO21,$IQ21:$OD21)*1000+SUMPRODUCT('calcA'!$D$70:$EQ$70,$DB21:$IO21+$ZQ21:$AFD21,$AFF21:$AKS21),SUMPRODUCT('calcA'!$D$70:$EQ$70,$DB21:$IO21*1001+$ZQ21:$AFD21))*100+11)</f>
        <v/>
      </c>
      <c r="BX21">
        <f>IF(OR(AI21=1,calcA!$A$6=0),1000000000,IF('calcA'!$JF$21=1,0,100000000)+IF('calcA'!$IQ$21=2,SUMPRODUCT('calcA'!$D$71:$EQ$71,$DB21:$IO21,$IQ21:$OD21)*1000+SUMPRODUCT('calcA'!$D$71:$EQ$71,$DB21:$IO21+$ZQ21:$AFD21,$AFF21:$AKS21),SUMPRODUCT('calcA'!$D$71:$EQ$71,$DB21:$IO21*1001+$ZQ21:$AFD21))*100+12)</f>
        <v/>
      </c>
      <c r="BY21">
        <f>IF(OR(AJ21=1,calcA!$A$6=0),1000000000,IF('calcA'!$JF$22=1,0,100000000)+IF('calcA'!$IQ$22=2,SUMPRODUCT('calcA'!$D$72:$EQ$72,$DB21:$IO21,$IQ21:$OD21)*1000+SUMPRODUCT('calcA'!$D$72:$EQ$72,$DB21:$IO21+$ZQ21:$AFD21,$AFF21:$AKS21),SUMPRODUCT('calcA'!$D$72:$EQ$72,$DB21:$IO21*1001+$ZQ21:$AFD21))*100+13)</f>
        <v/>
      </c>
      <c r="BZ21">
        <f>IF(OR(AK21=1,calcA!$A$6=0),1000000000,IF('calcA'!$JF$23=1,0,100000000)+IF('calcA'!$IQ$23=2,SUMPRODUCT('calcA'!$D$73:$EQ$73,$DB21:$IO21,$IQ21:$OD21)*1000+SUMPRODUCT('calcA'!$D$73:$EQ$73,$DB21:$IO21+$ZQ21:$AFD21,$AFF21:$AKS21),SUMPRODUCT('calcA'!$D$73:$EQ$73,$DB21:$IO21*1001+$ZQ21:$AFD21))*100+14)</f>
        <v/>
      </c>
      <c r="CA21">
        <f>IF(OR(AL21=1,calcA!$A$6=0),1000000000,IF('calcA'!$JF$24=1,0,100000000)+IF('calcA'!$IQ$24=2,SUMPRODUCT('calcA'!$D$74:$EQ$74,$DB21:$IO21,$IQ21:$OD21)*1000+SUMPRODUCT('calcA'!$D$74:$EQ$74,$DB21:$IO21+$ZQ21:$AFD21,$AFF21:$AKS21),SUMPRODUCT('calcA'!$D$74:$EQ$74,$DB21:$IO21*1001+$ZQ21:$AFD21))*100+15)</f>
        <v/>
      </c>
      <c r="CB21">
        <f>IF(OR(AM21=1,calcA!$A$6=0),1000000000,IF('calcA'!$JF$25=1,0,100000000)+IF('calcA'!$IQ$25=2,SUMPRODUCT('calcA'!$D$75:$EQ$75,$DB21:$IO21,$IQ21:$OD21)*1000+SUMPRODUCT('calcA'!$D$75:$EQ$75,$DB21:$IO21+$ZQ21:$AFD21,$AFF21:$AKS21),SUMPRODUCT('calcA'!$D$75:$EQ$75,$DB21:$IO21*1001+$ZQ21:$AFD21))*100+16)</f>
        <v/>
      </c>
      <c r="CC21">
        <f>IF(OR(AN21=1,calcA!$A$6=0),1000000000,IF('calcA'!$JF$26=1,0,100000000)+IF('calcA'!$IQ$26=2,SUMPRODUCT('calcA'!$D$76:$EQ$76,$DB21:$IO21,$IQ21:$OD21)*1000+SUMPRODUCT('calcA'!$D$76:$EQ$76,$DB21:$IO21+$ZQ21:$AFD21,$AFF21:$AKS21),SUMPRODUCT('calcA'!$D$76:$EQ$76,$DB21:$IO21*1001+$ZQ21:$AFD21))*100+17)</f>
        <v/>
      </c>
      <c r="CD21">
        <f>IF(OR(AO21=1,calcA!$A$6=0),1000000000,IF('calcA'!$JF$27=1,0,100000000)+IF('calcA'!$IQ$27=2,SUMPRODUCT('calcA'!$D$77:$EQ$77,$DB21:$IO21,$IQ21:$OD21)*1000+SUMPRODUCT('calcA'!$D$77:$EQ$77,$DB21:$IO21+$ZQ21:$AFD21,$AFF21:$AKS21),SUMPRODUCT('calcA'!$D$77:$EQ$77,$DB21:$IO21*1001+$ZQ21:$AFD21))*100+18)</f>
        <v/>
      </c>
      <c r="CE21">
        <f>IF(OR(AP21=1,calcA!$A$6=0),1000000000,IF('calcA'!$JF$28=1,0,100000000)+IF('calcA'!$IQ$28=2,SUMPRODUCT('calcA'!$D$78:$EQ$78,$DB21:$IO21,$IQ21:$OD21)*1000+SUMPRODUCT('calcA'!$D$78:$EQ$78,$DB21:$IO21+$ZQ21:$AFD21,$AFF21:$AKS21),SUMPRODUCT('calcA'!$D$78:$EQ$78,$DB21:$IO21*1001+$ZQ21:$AFD21))*100+19)</f>
        <v/>
      </c>
      <c r="CF21">
        <f>IF(OR(AQ21=1,calcA!$A$6=0),1000000000,IF('calcA'!$JF$29=1,0,100000000)+IF('calcA'!$IQ$29=2,SUMPRODUCT('calcA'!$D$79:$EQ$79,$DB21:$IO21,$IQ21:$OD21)*1000+SUMPRODUCT('calcA'!$D$79:$EQ$79,$DB21:$IO21+$ZQ21:$AFD21,$AFF21:$AKS21),SUMPRODUCT('calcA'!$D$79:$EQ$79,$DB21:$IO21*1001+$ZQ21:$AFD21))*100+20)</f>
        <v/>
      </c>
      <c r="CG21">
        <f>IF(OR(AR21=1,calcA!$A$6=0),1000000000,IF('calcA'!$JF$30=1,0,100000000)+IF('calcA'!$IQ$30=2,SUMPRODUCT('calcA'!$D$80:$EQ$80,$DB21:$IO21,$IQ21:$OD21)*1000+SUMPRODUCT('calcA'!$D$80:$EQ$80,$DB21:$IO21+$ZQ21:$AFD21,$AFF21:$AKS21),SUMPRODUCT('calcA'!$D$80:$EQ$80,$DB21:$IO21*1001+$ZQ21:$AFD21))*100+21)</f>
        <v/>
      </c>
      <c r="CH21">
        <f>IF(OR(AS21=1,calcA!$A$6=0),1000000000,IF('calcA'!$JF$31=1,0,100000000)+IF('calcA'!$IQ$31=2,SUMPRODUCT('calcA'!$D$81:$EQ$81,$DB21:$IO21,$IQ21:$OD21)*1000+SUMPRODUCT('calcA'!$D$81:$EQ$81,$DB21:$IO21+$ZQ21:$AFD21,$AFF21:$AKS21),SUMPRODUCT('calcA'!$D$81:$EQ$81,$DB21:$IO21*1001+$ZQ21:$AFD21))*100+22)</f>
        <v/>
      </c>
      <c r="CI21">
        <f>IF(OR(AT21=1,calcA!$A$6=0),1000000000,IF('calcA'!$JF$32=1,0,100000000)+IF('calcA'!$IQ$32=2,SUMPRODUCT('calcA'!$D$82:$EQ$82,$DB21:$IO21,$IQ21:$OD21)*1000+SUMPRODUCT('calcA'!$D$82:$EQ$82,$DB21:$IO21+$ZQ21:$AFD21,$AFF21:$AKS21),SUMPRODUCT('calcA'!$D$82:$EQ$82,$DB21:$IO21*1001+$ZQ21:$AFD21))*100+23)</f>
        <v/>
      </c>
      <c r="CJ21">
        <f>IF(OR(AU21=1,calcA!$A$6=0),1000000000,IF('calcA'!$JF$33=1,0,100000000)+IF('calcA'!$IQ$33=2,SUMPRODUCT('calcA'!$D$83:$EQ$83,$DB21:$IO21,$IQ21:$OD21)*1000+SUMPRODUCT('calcA'!$D$83:$EQ$83,$DB21:$IO21+$ZQ21:$AFD21,$AFF21:$AKS21),SUMPRODUCT('calcA'!$D$83:$EQ$83,$DB21:$IO21*1001+$ZQ21:$AFD21))*100+24)</f>
        <v/>
      </c>
      <c r="CK21">
        <f>IF(OR(AV21=1,calcA!$A$6=0),1000000000,IF('calcA'!$JF$34=1,0,100000000)+IF('calcA'!$IQ$34=2,SUMPRODUCT('calcA'!$D$84:$EQ$84,$DB21:$IO21,$IQ21:$OD21)*1000+SUMPRODUCT('calcA'!$D$84:$EQ$84,$DB21:$IO21+$ZQ21:$AFD21,$AFF21:$AKS21),SUMPRODUCT('calcA'!$D$84:$EQ$84,$DB21:$IO21*1001+$ZQ21:$AFD21))*100+25)</f>
        <v/>
      </c>
      <c r="CL21">
        <f>IF(OR(AW21=1,calcA!$A$6=0),1000000000,IF('calcA'!$JF$35=1,0,100000000)+IF('calcA'!$IQ$35=2,SUMPRODUCT('calcA'!$D$85:$EQ$85,$DB21:$IO21,$IQ21:$OD21)*1000+SUMPRODUCT('calcA'!$D$85:$EQ$85,$DB21:$IO21+$ZQ21:$AFD21,$AFF21:$AKS21),SUMPRODUCT('calcA'!$D$85:$EQ$85,$DB21:$IO21*1001+$ZQ21:$AFD21))*100+26)</f>
        <v/>
      </c>
      <c r="CM21">
        <f>IF(OR(AX21=1,calcA!$A$6=0),1000000000,IF('calcA'!$JF$36=1,0,100000000)+IF('calcA'!$IQ$36=2,SUMPRODUCT('calcA'!$D$86:$EQ$86,$DB21:$IO21,$IQ21:$OD21)*1000+SUMPRODUCT('calcA'!$D$86:$EQ$86,$DB21:$IO21+$ZQ21:$AFD21,$AFF21:$AKS21),SUMPRODUCT('calcA'!$D$86:$EQ$86,$DB21:$IO21*1001+$ZQ21:$AFD21))*100+27)</f>
        <v/>
      </c>
      <c r="CN21">
        <f>IF(OR(AY21=1,calcA!$A$6=0),1000000000,IF('calcA'!$JF$37=1,0,100000000)+IF('calcA'!$IQ$37=2,SUMPRODUCT('calcA'!$D$87:$EQ$87,$DB21:$IO21,$IQ21:$OD21)*1000+SUMPRODUCT('calcA'!$D$87:$EQ$87,$DB21:$IO21+$ZQ21:$AFD21,$AFF21:$AKS21),SUMPRODUCT('calcA'!$D$87:$EQ$87,$DB21:$IO21*1001+$ZQ21:$AFD21))*100+28)</f>
        <v/>
      </c>
      <c r="CO21">
        <f>IF(OR(AZ21=1,calcA!$A$6=0),1000000000,IF('calcA'!$JF$38=1,0,100000000)+IF('calcA'!$IQ$38=2,SUMPRODUCT('calcA'!$D$88:$EQ$88,$DB21:$IO21,$IQ21:$OD21)*1000+SUMPRODUCT('calcA'!$D$88:$EQ$88,$DB21:$IO21+$ZQ21:$AFD21,$AFF21:$AKS21),SUMPRODUCT('calcA'!$D$88:$EQ$88,$DB21:$IO21*1001+$ZQ21:$AFD21))*100+29)</f>
        <v/>
      </c>
      <c r="CP21">
        <f>IF(OR(BA21=1,calcA!$A$6=0),1000000000,IF('calcA'!$JF$39=1,0,100000000)+IF('calcA'!$IQ$39=2,SUMPRODUCT('calcA'!$D$89:$EQ$89,$DB21:$IO21,$IQ21:$OD21)*1000+SUMPRODUCT('calcA'!$D$89:$EQ$89,$DB21:$IO21+$ZQ21:$AFD21,$AFF21:$AKS21),SUMPRODUCT('calcA'!$D$89:$EQ$89,$DB21:$IO21*1001+$ZQ21:$AFD21))*100+30)</f>
        <v/>
      </c>
      <c r="CQ21">
        <f>IF(OR(BB21=1,calcA!$A$6=0),1000000000,IF('calcA'!$JF$40=1,0,100000000)+IF('calcA'!$IQ$40=2,SUMPRODUCT('calcA'!$D$90:$EQ$90,$DB21:$IO21,$IQ21:$OD21)*1000+SUMPRODUCT('calcA'!$D$90:$EQ$90,$DB21:$IO21+$ZQ21:$AFD21,$AFF21:$AKS21),SUMPRODUCT('calcA'!$D$90:$EQ$90,$DB21:$IO21*1001+$ZQ21:$AFD21))*100+31)</f>
        <v/>
      </c>
      <c r="CR21">
        <f>IF(OR(BC21=1,calcA!$A$6=0),1000000000,IF('calcA'!$JF$41=1,0,100000000)+IF('calcA'!$IQ$41=2,SUMPRODUCT('calcA'!$D$91:$EQ$91,$DB21:$IO21,$IQ21:$OD21)*1000+SUMPRODUCT('calcA'!$D$91:$EQ$91,$DB21:$IO21+$ZQ21:$AFD21,$AFF21:$AKS21),SUMPRODUCT('calcA'!$D$91:$EQ$91,$DB21:$IO21*1001+$ZQ21:$AFD21))*100+32)</f>
        <v/>
      </c>
      <c r="CS21">
        <f>IF(OR(BD21=1,calcA!$A$6=0),1000000000,IF('calcA'!$JF$42=1,0,100000000)+IF('calcA'!$IQ$42=2,SUMPRODUCT('calcA'!$D$92:$EQ$92,$DB21:$IO21,$IQ21:$OD21)*1000+SUMPRODUCT('calcA'!$D$92:$EQ$92,$DB21:$IO21+$ZQ21:$AFD21,$AFF21:$AKS21),SUMPRODUCT('calcA'!$D$92:$EQ$92,$DB21:$IO21*1001+$ZQ21:$AFD21))*100+33)</f>
        <v/>
      </c>
      <c r="CT21">
        <f>IF(OR(BE21=1,calcA!$A$6=0),1000000000,IF('calcA'!$JF$43=1,0,100000000)+IF('calcA'!$IQ$43=2,SUMPRODUCT('calcA'!$D$93:$EQ$93,$DB21:$IO21,$IQ21:$OD21)*1000+SUMPRODUCT('calcA'!$D$93:$EQ$93,$DB21:$IO21+$ZQ21:$AFD21,$AFF21:$AKS21),SUMPRODUCT('calcA'!$D$93:$EQ$93,$DB21:$IO21*1001+$ZQ21:$AFD21))*100+34)</f>
        <v/>
      </c>
      <c r="CU21">
        <f>IF(OR(BF21=1,calcA!$A$6=0),1000000000,IF('calcA'!$JF$44=1,0,100000000)+IF('calcA'!$IQ$44=2,SUMPRODUCT('calcA'!$D$94:$EQ$94,$DB21:$IO21,$IQ21:$OD21)*1000+SUMPRODUCT('calcA'!$D$94:$EQ$94,$DB21:$IO21+$ZQ21:$AFD21,$AFF21:$AKS21),SUMPRODUCT('calcA'!$D$94:$EQ$94,$DB21:$IO21*1001+$ZQ21:$AFD21))*100+35)</f>
        <v/>
      </c>
      <c r="CV21">
        <f>IF(OR(BG21=1,calcA!$A$6=0),1000000000,IF('calcA'!$JF$45=1,0,100000000)+IF('calcA'!$IQ$45=2,SUMPRODUCT('calcA'!$D$95:$EQ$95,$DB21:$IO21,$IQ21:$OD21)*1000+SUMPRODUCT('calcA'!$D$95:$EQ$95,$DB21:$IO21+$ZQ21:$AFD21,$AFF21:$AKS21),SUMPRODUCT('calcA'!$D$95:$EQ$95,$DB21:$IO21*1001+$ZQ21:$AFD21))*100+36)</f>
        <v/>
      </c>
      <c r="CW21">
        <f>IF(OR(BH21=1,calcA!$A$6=0),1000000000,IF('calcA'!$JF$46=1,0,100000000)+IF('calcA'!$IQ$46=2,SUMPRODUCT('calcA'!$D$96:$EQ$96,$DB21:$IO21,$IQ21:$OD21)*1000+SUMPRODUCT('calcA'!$D$96:$EQ$96,$DB21:$IO21+$ZQ21:$AFD21,$AFF21:$AKS21),SUMPRODUCT('calcA'!$D$96:$EQ$96,$DB21:$IO21*1001+$ZQ21:$AFD21))*100+37)</f>
        <v/>
      </c>
      <c r="CX21">
        <f>IF(OR(BI21=1,calcA!$A$6=0),1000000000,IF('calcA'!$JF$47=1,0,100000000)+IF('calcA'!$IQ$47=2,SUMPRODUCT('calcA'!$D$97:$EQ$97,$DB21:$IO21,$IQ21:$OD21)*1000+SUMPRODUCT('calcA'!$D$97:$EQ$97,$DB21:$IO21+$ZQ21:$AFD21,$AFF21:$AKS21),SUMPRODUCT('calcA'!$D$97:$EQ$97,$DB21:$IO21*1001+$ZQ21:$AFD21))*100+38)</f>
        <v/>
      </c>
      <c r="CY21">
        <f>IF(OR(BJ21=1,calcA!$A$6=0),1000000000,IF('calcA'!$JF$48=1,0,100000000)+IF('calcA'!$IQ$48=2,SUMPRODUCT('calcA'!$D$98:$EQ$98,$DB21:$IO21,$IQ21:$OD21)*1000+SUMPRODUCT('calcA'!$D$98:$EQ$98,$DB21:$IO21+$ZQ21:$AFD21,$AFF21:$AKS21),SUMPRODUCT('calcA'!$D$98:$EQ$98,$DB21:$IO21*1001+$ZQ21:$AFD21))*100+39)</f>
        <v/>
      </c>
      <c r="CZ21">
        <f>IF(OR(BK21=1,calcA!$A$6=0),1000000000,IF('calcA'!$JF$49=1,0,100000000)+IF('calcA'!$IQ$49=2,SUMPRODUCT('calcA'!$D$99:$EQ$99,$DB21:$IO21,$IQ21:$OD21)*1000+SUMPRODUCT('calcA'!$D$99:$EQ$99,$DB21:$IO21+$ZQ21:$AFD21,$AFF21:$AKS21),SUMPRODUCT('calcA'!$D$99:$EQ$99,$DB21:$IO21*1001+$ZQ21:$AFD21))*100+40)</f>
        <v/>
      </c>
      <c r="DB21">
        <f>DB20*IF(OR($C20=1,$G20=1),0,1)</f>
        <v/>
      </c>
      <c r="DC21">
        <f>DC20*IF(OR($C20=2,$G20=2),0,1)</f>
        <v/>
      </c>
      <c r="DD21">
        <f>DD20*IF(OR($C20=3,$G20=3),0,1)</f>
        <v/>
      </c>
      <c r="DE21">
        <f>DE20*IF(OR($C20=4,$G20=4),0,1)</f>
        <v/>
      </c>
      <c r="DF21">
        <f>DF20*IF(OR($C20=5,$G20=5),0,1)</f>
        <v/>
      </c>
      <c r="DG21">
        <f>DG20*IF(OR($C20=6,$G20=6),0,1)</f>
        <v/>
      </c>
      <c r="DH21">
        <f>DH20*IF(OR($C20=7,$G20=7),0,1)</f>
        <v/>
      </c>
      <c r="DI21">
        <f>DI20*IF(OR($C20=8,$G20=8),0,1)</f>
        <v/>
      </c>
      <c r="DJ21">
        <f>DJ20*IF(OR($C20=9,$G20=9),0,1)</f>
        <v/>
      </c>
      <c r="DK21">
        <f>DK20*IF(OR($C20=10,$G20=10),0,1)</f>
        <v/>
      </c>
      <c r="DL21">
        <f>DL20*IF(OR($C20=11,$G20=11),0,1)</f>
        <v/>
      </c>
      <c r="DM21">
        <f>DM20*IF(OR($C20=12,$G20=12),0,1)</f>
        <v/>
      </c>
      <c r="DN21">
        <f>DN20*IF(OR($C20=13,$G20=13),0,1)</f>
        <v/>
      </c>
      <c r="DO21">
        <f>DO20*IF(OR($C20=14,$G20=14),0,1)</f>
        <v/>
      </c>
      <c r="DP21">
        <f>DP20*IF(OR($C20=15,$G20=15),0,1)</f>
        <v/>
      </c>
      <c r="DQ21">
        <f>DQ20*IF(OR($C20=16,$G20=16),0,1)</f>
        <v/>
      </c>
      <c r="DR21">
        <f>DR20*IF(OR($C20=17,$G20=17),0,1)</f>
        <v/>
      </c>
      <c r="DS21">
        <f>DS20*IF(OR($C20=18,$G20=18),0,1)</f>
        <v/>
      </c>
      <c r="DT21">
        <f>DT20*IF(OR($C20=19,$G20=19),0,1)</f>
        <v/>
      </c>
      <c r="DU21">
        <f>DU20*IF(OR($C20=20,$G20=20),0,1)</f>
        <v/>
      </c>
      <c r="DV21">
        <f>DV20*IF(OR($C20=21,$G20=21),0,1)</f>
        <v/>
      </c>
      <c r="DW21">
        <f>DW20*IF(OR($C20=22,$G20=22),0,1)</f>
        <v/>
      </c>
      <c r="DX21">
        <f>DX20*IF(OR($C20=23,$G20=23),0,1)</f>
        <v/>
      </c>
      <c r="DY21">
        <f>DY20*IF(OR($C20=24,$G20=24),0,1)</f>
        <v/>
      </c>
      <c r="DZ21">
        <f>DZ20*IF(OR($C20=25,$G20=25),0,1)</f>
        <v/>
      </c>
      <c r="EA21">
        <f>EA20*IF(OR($C20=26,$G20=26),0,1)</f>
        <v/>
      </c>
      <c r="EB21">
        <f>EB20*IF(OR($C20=27,$G20=27),0,1)</f>
        <v/>
      </c>
      <c r="EC21">
        <f>EC20*IF(OR($C20=28,$G20=28),0,1)</f>
        <v/>
      </c>
      <c r="ED21">
        <f>ED20*IF(OR($C20=29,$G20=29),0,1)</f>
        <v/>
      </c>
      <c r="EE21">
        <f>EE20*IF(OR($C20=30,$G20=30),0,1)</f>
        <v/>
      </c>
      <c r="EF21">
        <f>EF20*IF(OR($C20=31,$G20=31),0,1)</f>
        <v/>
      </c>
      <c r="EG21">
        <f>EG20*IF(OR($C20=32,$G20=32),0,1)</f>
        <v/>
      </c>
      <c r="EH21">
        <f>EH20*IF(OR($C20=33,$G20=33),0,1)</f>
        <v/>
      </c>
      <c r="EI21">
        <f>EI20*IF(OR($C20=34,$G20=34),0,1)</f>
        <v/>
      </c>
      <c r="EJ21">
        <f>EJ20*IF(OR($C20=35,$G20=35),0,1)</f>
        <v/>
      </c>
      <c r="EK21">
        <f>EK20*IF(OR($C20=36,$G20=36),0,1)</f>
        <v/>
      </c>
      <c r="EL21">
        <f>EL20*IF(OR($C20=37,$G20=37),0,1)</f>
        <v/>
      </c>
      <c r="EM21">
        <f>EM20*IF(OR($C20=38,$G20=38),0,1)</f>
        <v/>
      </c>
      <c r="EN21">
        <f>EN20*IF(OR($C20=39,$G20=39),0,1)</f>
        <v/>
      </c>
      <c r="EO21">
        <f>EO20*IF(OR($C20=40,$G20=40),0,1)</f>
        <v/>
      </c>
      <c r="EP21">
        <f>EP20*IF(OR($C20=41,$G20=41),0,1)</f>
        <v/>
      </c>
      <c r="EQ21">
        <f>EQ20*IF(OR($C20=42,$G20=42),0,1)</f>
        <v/>
      </c>
      <c r="ER21">
        <f>ER20*IF(OR($C20=43,$G20=43),0,1)</f>
        <v/>
      </c>
      <c r="ES21">
        <f>ES20*IF(OR($C20=44,$G20=44),0,1)</f>
        <v/>
      </c>
      <c r="ET21">
        <f>ET20*IF(OR($C20=45,$G20=45),0,1)</f>
        <v/>
      </c>
      <c r="EU21">
        <f>EU20*IF(OR($C20=46,$G20=46),0,1)</f>
        <v/>
      </c>
      <c r="EV21">
        <f>EV20*IF(OR($C20=47,$G20=47),0,1)</f>
        <v/>
      </c>
      <c r="EW21">
        <f>EW20*IF(OR($C20=48,$G20=48),0,1)</f>
        <v/>
      </c>
      <c r="EX21">
        <f>EX20*IF(OR($C20=49,$G20=49),0,1)</f>
        <v/>
      </c>
      <c r="EY21">
        <f>EY20*IF(OR($C20=50,$G20=50),0,1)</f>
        <v/>
      </c>
      <c r="EZ21">
        <f>EZ20*IF(OR($C20=51,$G20=51),0,1)</f>
        <v/>
      </c>
      <c r="FA21">
        <f>FA20*IF(OR($C20=52,$G20=52),0,1)</f>
        <v/>
      </c>
      <c r="FB21">
        <f>FB20*IF(OR($C20=53,$G20=53),0,1)</f>
        <v/>
      </c>
      <c r="FC21">
        <f>FC20*IF(OR($C20=54,$G20=54),0,1)</f>
        <v/>
      </c>
      <c r="FD21">
        <f>FD20*IF(OR($C20=55,$G20=55),0,1)</f>
        <v/>
      </c>
      <c r="FE21">
        <f>FE20*IF(OR($C20=56,$G20=56),0,1)</f>
        <v/>
      </c>
      <c r="FF21">
        <f>FF20*IF(OR($C20=57,$G20=57),0,1)</f>
        <v/>
      </c>
      <c r="FG21">
        <f>FG20*IF(OR($C20=58,$G20=58),0,1)</f>
        <v/>
      </c>
      <c r="FH21">
        <f>FH20*IF(OR($C20=59,$G20=59),0,1)</f>
        <v/>
      </c>
      <c r="FI21">
        <f>FI20*IF(OR($C20=60,$G20=60),0,1)</f>
        <v/>
      </c>
      <c r="FJ21">
        <f>FJ20*IF(OR($C20=61,$G20=61),0,1)</f>
        <v/>
      </c>
      <c r="FK21">
        <f>FK20*IF(OR($C20=62,$G20=62),0,1)</f>
        <v/>
      </c>
      <c r="FL21">
        <f>FL20*IF(OR($C20=63,$G20=63),0,1)</f>
        <v/>
      </c>
      <c r="FM21">
        <f>FM20*IF(OR($C20=64,$G20=64),0,1)</f>
        <v/>
      </c>
      <c r="FN21">
        <f>FN20*IF(OR($C20=65,$G20=65),0,1)</f>
        <v/>
      </c>
      <c r="FO21">
        <f>FO20*IF(OR($C20=66,$G20=66),0,1)</f>
        <v/>
      </c>
      <c r="FP21">
        <f>FP20*IF(OR($C20=67,$G20=67),0,1)</f>
        <v/>
      </c>
      <c r="FQ21">
        <f>FQ20*IF(OR($C20=68,$G20=68),0,1)</f>
        <v/>
      </c>
      <c r="FR21">
        <f>FR20*IF(OR($C20=69,$G20=69),0,1)</f>
        <v/>
      </c>
      <c r="FS21">
        <f>FS20*IF(OR($C20=70,$G20=70),0,1)</f>
        <v/>
      </c>
      <c r="FT21">
        <f>FT20*IF(OR($C20=71,$G20=71),0,1)</f>
        <v/>
      </c>
      <c r="FU21">
        <f>FU20*IF(OR($C20=72,$G20=72),0,1)</f>
        <v/>
      </c>
      <c r="FV21">
        <f>FV20*IF(OR($C20=73,$G20=73),0,1)</f>
        <v/>
      </c>
      <c r="FW21">
        <f>FW20*IF(OR($C20=74,$G20=74),0,1)</f>
        <v/>
      </c>
      <c r="FX21">
        <f>FX20*IF(OR($C20=75,$G20=75),0,1)</f>
        <v/>
      </c>
      <c r="FY21">
        <f>FY20*IF(OR($C20=76,$G20=76),0,1)</f>
        <v/>
      </c>
      <c r="FZ21">
        <f>FZ20*IF(OR($C20=77,$G20=77),0,1)</f>
        <v/>
      </c>
      <c r="GA21">
        <f>GA20*IF(OR($C20=78,$G20=78),0,1)</f>
        <v/>
      </c>
      <c r="GB21">
        <f>GB20*IF(OR($C20=79,$G20=79),0,1)</f>
        <v/>
      </c>
      <c r="GC21">
        <f>GC20*IF(OR($C20=80,$G20=80),0,1)</f>
        <v/>
      </c>
      <c r="GD21">
        <f>GD20*IF(OR($C20=81,$G20=81),0,1)</f>
        <v/>
      </c>
      <c r="GE21">
        <f>GE20*IF(OR($C20=82,$G20=82),0,1)</f>
        <v/>
      </c>
      <c r="GF21">
        <f>GF20*IF(OR($C20=83,$G20=83),0,1)</f>
        <v/>
      </c>
      <c r="GG21">
        <f>GG20*IF(OR($C20=84,$G20=84),0,1)</f>
        <v/>
      </c>
      <c r="GH21">
        <f>GH20*IF(OR($C20=85,$G20=85),0,1)</f>
        <v/>
      </c>
      <c r="GI21">
        <f>GI20*IF(OR($C20=86,$G20=86),0,1)</f>
        <v/>
      </c>
      <c r="GJ21">
        <f>GJ20*IF(OR($C20=87,$G20=87),0,1)</f>
        <v/>
      </c>
      <c r="GK21">
        <f>GK20*IF(OR($C20=88,$G20=88),0,1)</f>
        <v/>
      </c>
      <c r="GL21">
        <f>GL20*IF(OR($C20=89,$G20=89),0,1)</f>
        <v/>
      </c>
      <c r="GM21">
        <f>GM20*IF(OR($C20=90,$G20=90),0,1)</f>
        <v/>
      </c>
      <c r="GN21">
        <f>GN20*IF(OR($C20=91,$G20=91),0,1)</f>
        <v/>
      </c>
      <c r="GO21">
        <f>GO20*IF(OR($C20=92,$G20=92),0,1)</f>
        <v/>
      </c>
      <c r="GP21">
        <f>GP20*IF(OR($C20=93,$G20=93),0,1)</f>
        <v/>
      </c>
      <c r="GQ21">
        <f>GQ20*IF(OR($C20=94,$G20=94),0,1)</f>
        <v/>
      </c>
      <c r="GR21">
        <f>GR20*IF(OR($C20=95,$G20=95),0,1)</f>
        <v/>
      </c>
      <c r="GS21">
        <f>GS20*IF(OR($C20=96,$G20=96),0,1)</f>
        <v/>
      </c>
      <c r="GT21">
        <f>GT20*IF(OR($C20=97,$G20=97),0,1)</f>
        <v/>
      </c>
      <c r="GU21">
        <f>GU20*IF(OR($C20=98,$G20=98),0,1)</f>
        <v/>
      </c>
      <c r="GV21">
        <f>GV20*IF(OR($C20=99,$G20=99),0,1)</f>
        <v/>
      </c>
      <c r="GW21">
        <f>GW20*IF(OR($C20=100,$G20=100),0,1)</f>
        <v/>
      </c>
      <c r="GX21">
        <f>GX20*IF(OR($C20=101,$G20=101),0,1)</f>
        <v/>
      </c>
      <c r="GY21">
        <f>GY20*IF(OR($C20=102,$G20=102),0,1)</f>
        <v/>
      </c>
      <c r="GZ21">
        <f>GZ20*IF(OR($C20=103,$G20=103),0,1)</f>
        <v/>
      </c>
      <c r="HA21">
        <f>HA20*IF(OR($C20=104,$G20=104),0,1)</f>
        <v/>
      </c>
      <c r="HB21">
        <f>HB20*IF(OR($C20=105,$G20=105),0,1)</f>
        <v/>
      </c>
      <c r="HC21">
        <f>HC20*IF(OR($C20=106,$G20=106),0,1)</f>
        <v/>
      </c>
      <c r="HD21">
        <f>HD20*IF(OR($C20=107,$G20=107),0,1)</f>
        <v/>
      </c>
      <c r="HE21">
        <f>HE20*IF(OR($C20=108,$G20=108),0,1)</f>
        <v/>
      </c>
      <c r="HF21">
        <f>HF20*IF(OR($C20=109,$G20=109),0,1)</f>
        <v/>
      </c>
      <c r="HG21">
        <f>HG20*IF(OR($C20=110,$G20=110),0,1)</f>
        <v/>
      </c>
      <c r="HH21">
        <f>HH20*IF(OR($C20=111,$G20=111),0,1)</f>
        <v/>
      </c>
      <c r="HI21">
        <f>HI20*IF(OR($C20=112,$G20=112),0,1)</f>
        <v/>
      </c>
      <c r="HJ21">
        <f>HJ20*IF(OR($C20=113,$G20=113),0,1)</f>
        <v/>
      </c>
      <c r="HK21">
        <f>HK20*IF(OR($C20=114,$G20=114),0,1)</f>
        <v/>
      </c>
      <c r="HL21">
        <f>HL20*IF(OR($C20=115,$G20=115),0,1)</f>
        <v/>
      </c>
      <c r="HM21">
        <f>HM20*IF(OR($C20=116,$G20=116),0,1)</f>
        <v/>
      </c>
      <c r="HN21">
        <f>HN20*IF(OR($C20=117,$G20=117),0,1)</f>
        <v/>
      </c>
      <c r="HO21">
        <f>HO20*IF(OR($C20=118,$G20=118),0,1)</f>
        <v/>
      </c>
      <c r="HP21">
        <f>HP20*IF(OR($C20=119,$G20=119),0,1)</f>
        <v/>
      </c>
      <c r="HQ21">
        <f>HQ20*IF(OR($C20=120,$G20=120),0,1)</f>
        <v/>
      </c>
      <c r="HR21">
        <f>HR20*IF(OR($C20=121,$G20=121),0,1)</f>
        <v/>
      </c>
      <c r="HS21">
        <f>HS20*IF(OR($C20=122,$G20=122),0,1)</f>
        <v/>
      </c>
      <c r="HT21">
        <f>HT20*IF(OR($C20=123,$G20=123),0,1)</f>
        <v/>
      </c>
      <c r="HU21">
        <f>HU20*IF(OR($C20=124,$G20=124),0,1)</f>
        <v/>
      </c>
      <c r="HV21">
        <f>HV20*IF(OR($C20=125,$G20=125),0,1)</f>
        <v/>
      </c>
      <c r="HW21">
        <f>HW20*IF(OR($C20=126,$G20=126),0,1)</f>
        <v/>
      </c>
      <c r="HX21">
        <f>HX20*IF(OR($C20=127,$G20=127),0,1)</f>
        <v/>
      </c>
      <c r="HY21">
        <f>HY20*IF(OR($C20=128,$G20=128),0,1)</f>
        <v/>
      </c>
      <c r="HZ21">
        <f>HZ20*IF(OR($C20=129,$G20=129),0,1)</f>
        <v/>
      </c>
      <c r="IA21">
        <f>IA20*IF(OR($C20=130,$G20=130),0,1)</f>
        <v/>
      </c>
      <c r="IB21">
        <f>IB20*IF(OR($C20=131,$G20=131),0,1)</f>
        <v/>
      </c>
      <c r="IC21">
        <f>IC20*IF(OR($C20=132,$G20=132),0,1)</f>
        <v/>
      </c>
      <c r="ID21">
        <f>ID20*IF(OR($C20=133,$G20=133),0,1)</f>
        <v/>
      </c>
      <c r="IE21">
        <f>IE20*IF(OR($C20=134,$G20=134),0,1)</f>
        <v/>
      </c>
      <c r="IF21">
        <f>IF20*IF(OR($C20=135,$G20=135),0,1)</f>
        <v/>
      </c>
      <c r="IG21">
        <f>IG20*IF(OR($C20=136,$G20=136),0,1)</f>
        <v/>
      </c>
      <c r="IH21">
        <f>IH20*IF(OR($C20=137,$G20=137),0,1)</f>
        <v/>
      </c>
      <c r="II21">
        <f>II20*IF(OR($C20=138,$G20=138),0,1)</f>
        <v/>
      </c>
      <c r="IJ21">
        <f>IJ20*IF(OR($C20=139,$G20=139),0,1)</f>
        <v/>
      </c>
      <c r="IK21">
        <f>IK20*IF(OR($C20=140,$G20=140),0,1)</f>
        <v/>
      </c>
      <c r="IL21">
        <f>IL20*IF(OR($C20=141,$G20=141),0,1)</f>
        <v/>
      </c>
      <c r="IM21">
        <f>IM20*IF(OR($C20=142,$G20=142),0,1)</f>
        <v/>
      </c>
      <c r="IN21">
        <f>IN20*IF(OR($C20=143,$G20=143),0,1)</f>
        <v/>
      </c>
      <c r="IO21">
        <f>IO20*IF(OR($C20=144,$G20=144),0,1)</f>
        <v/>
      </c>
      <c r="IQ21">
        <f>IF('calcA'!D$106=1,DC21,1)</f>
        <v/>
      </c>
      <c r="IR21">
        <f>IF('calcA'!E$106=1,DD21,1)</f>
        <v/>
      </c>
      <c r="IS21">
        <f>IF('calcA'!F$106=1,DE21,1)</f>
        <v/>
      </c>
      <c r="IT21">
        <f>IF('calcA'!G$106=1,DF21,1)</f>
        <v/>
      </c>
      <c r="IU21">
        <f>IF('calcA'!H$106=1,DG21,1)</f>
        <v/>
      </c>
      <c r="IV21">
        <f>IF('calcA'!I$106=1,DH21,1)</f>
        <v/>
      </c>
      <c r="IW21">
        <f>IF('calcA'!J$106=1,DI21,1)</f>
        <v/>
      </c>
      <c r="IX21">
        <f>IF('calcA'!K$106=1,DJ21,1)</f>
        <v/>
      </c>
      <c r="IY21">
        <f>IF('calcA'!L$106=1,DK21,1)</f>
        <v/>
      </c>
      <c r="IZ21">
        <f>IF('calcA'!M$106=1,DL21,1)</f>
        <v/>
      </c>
      <c r="JA21">
        <f>IF('calcA'!N$106=1,DM21,1)</f>
        <v/>
      </c>
      <c r="JB21">
        <f>IF('calcA'!O$106=1,DN21,1)</f>
        <v/>
      </c>
      <c r="JC21">
        <f>IF('calcA'!P$106=1,DO21,1)</f>
        <v/>
      </c>
      <c r="JD21">
        <f>IF('calcA'!Q$106=1,DP21,1)</f>
        <v/>
      </c>
      <c r="JE21">
        <f>IF('calcA'!R$106=1,DQ21,1)</f>
        <v/>
      </c>
      <c r="JF21">
        <f>IF('calcA'!S$106=1,DR21,1)</f>
        <v/>
      </c>
      <c r="JG21">
        <f>IF('calcA'!T$106=1,DS21,1)</f>
        <v/>
      </c>
      <c r="JH21">
        <f>IF('calcA'!U$106=1,DT21,1)</f>
        <v/>
      </c>
      <c r="JI21">
        <f>IF('calcA'!V$106=1,DU21,1)</f>
        <v/>
      </c>
      <c r="JJ21">
        <f>IF('calcA'!W$106=1,DV21,1)</f>
        <v/>
      </c>
      <c r="JK21">
        <f>IF('calcA'!X$106=1,DW21,1)</f>
        <v/>
      </c>
      <c r="JL21">
        <f>IF('calcA'!Y$106=1,DX21,1)</f>
        <v/>
      </c>
      <c r="JM21">
        <f>IF('calcA'!Z$106=1,DY21,1)</f>
        <v/>
      </c>
      <c r="JN21">
        <f>IF('calcA'!AA$106=1,DZ21,1)</f>
        <v/>
      </c>
      <c r="JO21">
        <f>IF('calcA'!AB$106=1,EA21,1)</f>
        <v/>
      </c>
      <c r="JP21">
        <f>IF('calcA'!AC$106=1,EB21,1)</f>
        <v/>
      </c>
      <c r="JQ21">
        <f>IF('calcA'!AD$106=1,EC21,1)</f>
        <v/>
      </c>
      <c r="JR21">
        <f>IF('calcA'!AE$106=1,ED21,1)</f>
        <v/>
      </c>
      <c r="JS21">
        <f>IF('calcA'!AF$106=1,EE21,1)</f>
        <v/>
      </c>
      <c r="JT21">
        <f>IF('calcA'!AG$106=1,EF21,1)</f>
        <v/>
      </c>
      <c r="JU21">
        <f>IF('calcA'!AH$106=1,EG21,1)</f>
        <v/>
      </c>
      <c r="JV21">
        <f>IF('calcA'!AI$106=1,EH21,1)</f>
        <v/>
      </c>
      <c r="JW21">
        <f>IF('calcA'!AJ$106=1,EI21,1)</f>
        <v/>
      </c>
      <c r="JX21">
        <f>IF('calcA'!AK$106=1,EJ21,1)</f>
        <v/>
      </c>
      <c r="JY21">
        <f>IF('calcA'!AL$106=1,EK21,1)</f>
        <v/>
      </c>
      <c r="JZ21">
        <f>IF('calcA'!AM$106=1,EL21,1)</f>
        <v/>
      </c>
      <c r="KA21">
        <f>IF('calcA'!AN$106=1,EM21,1)</f>
        <v/>
      </c>
      <c r="KB21">
        <f>IF('calcA'!AO$106=1,EN21,1)</f>
        <v/>
      </c>
      <c r="KC21">
        <f>IF('calcA'!AP$106=1,EO21,1)</f>
        <v/>
      </c>
      <c r="KD21">
        <f>IF('calcA'!AQ$106=1,EP21,1)</f>
        <v/>
      </c>
      <c r="KE21">
        <f>IF('calcA'!AR$106=1,EQ21,1)</f>
        <v/>
      </c>
      <c r="KF21">
        <f>IF('calcA'!AS$106=1,ER21,1)</f>
        <v/>
      </c>
      <c r="KG21">
        <f>IF('calcA'!AT$106=1,ES21,1)</f>
        <v/>
      </c>
      <c r="KH21">
        <f>IF('calcA'!AU$106=1,ET21,1)</f>
        <v/>
      </c>
      <c r="KI21">
        <f>IF('calcA'!AV$106=1,EU21,1)</f>
        <v/>
      </c>
      <c r="KJ21">
        <f>IF('calcA'!AW$106=1,EV21,1)</f>
        <v/>
      </c>
      <c r="KK21">
        <f>IF('calcA'!AX$106=1,EW21,1)</f>
        <v/>
      </c>
      <c r="KL21">
        <f>IF('calcA'!AY$106=1,EX21,1)</f>
        <v/>
      </c>
      <c r="KM21">
        <f>IF('calcA'!AZ$106=1,EY21,1)</f>
        <v/>
      </c>
      <c r="KN21">
        <f>IF('calcA'!BA$106=1,EZ21,1)</f>
        <v/>
      </c>
      <c r="KO21">
        <f>IF('calcA'!BB$106=1,FA21,1)</f>
        <v/>
      </c>
      <c r="KP21">
        <f>IF('calcA'!BC$106=1,FB21,1)</f>
        <v/>
      </c>
      <c r="KQ21">
        <f>IF('calcA'!BD$106=1,FC21,1)</f>
        <v/>
      </c>
      <c r="KR21">
        <f>IF('calcA'!BE$106=1,FD21,1)</f>
        <v/>
      </c>
      <c r="KS21">
        <f>IF('calcA'!BF$106=1,FE21,1)</f>
        <v/>
      </c>
      <c r="KT21">
        <f>IF('calcA'!BG$106=1,FF21,1)</f>
        <v/>
      </c>
      <c r="KU21">
        <f>IF('calcA'!BH$106=1,FG21,1)</f>
        <v/>
      </c>
      <c r="KV21">
        <f>IF('calcA'!BI$106=1,FH21,1)</f>
        <v/>
      </c>
      <c r="KW21">
        <f>IF('calcA'!BJ$106=1,FI21,1)</f>
        <v/>
      </c>
      <c r="KX21">
        <f>IF('calcA'!BK$106=1,FJ21,1)</f>
        <v/>
      </c>
      <c r="KY21">
        <f>IF('calcA'!BL$106=1,FK21,1)</f>
        <v/>
      </c>
      <c r="KZ21">
        <f>IF('calcA'!BM$106=1,FL21,1)</f>
        <v/>
      </c>
      <c r="LA21">
        <f>IF('calcA'!BN$106=1,FM21,1)</f>
        <v/>
      </c>
      <c r="LB21">
        <f>IF('calcA'!BO$106=1,FN21,1)</f>
        <v/>
      </c>
      <c r="LC21">
        <f>IF('calcA'!BP$106=1,FO21,1)</f>
        <v/>
      </c>
      <c r="LD21">
        <f>IF('calcA'!BQ$106=1,FP21,1)</f>
        <v/>
      </c>
      <c r="LE21">
        <f>IF('calcA'!BR$106=1,FQ21,1)</f>
        <v/>
      </c>
      <c r="LF21">
        <f>IF('calcA'!BS$106=1,FR21,1)</f>
        <v/>
      </c>
      <c r="LG21">
        <f>IF('calcA'!BT$106=1,FS21,1)</f>
        <v/>
      </c>
      <c r="LH21">
        <f>IF('calcA'!BU$106=1,FT21,1)</f>
        <v/>
      </c>
      <c r="LI21">
        <f>IF('calcA'!BV$106=1,FU21,1)</f>
        <v/>
      </c>
      <c r="LJ21">
        <f>IF('calcA'!BW$106=1,FV21,1)</f>
        <v/>
      </c>
      <c r="LK21">
        <f>IF('calcA'!BX$106=1,FW21,1)</f>
        <v/>
      </c>
      <c r="LL21">
        <f>IF('calcA'!BY$106=1,FX21,1)</f>
        <v/>
      </c>
      <c r="LM21">
        <f>IF('calcA'!BZ$106=1,FY21,1)</f>
        <v/>
      </c>
      <c r="LN21">
        <f>IF('calcA'!CA$106=1,FZ21,1)</f>
        <v/>
      </c>
      <c r="LO21">
        <f>IF('calcA'!CB$106=1,GA21,1)</f>
        <v/>
      </c>
      <c r="LP21">
        <f>IF('calcA'!CC$106=1,GB21,1)</f>
        <v/>
      </c>
      <c r="LQ21">
        <f>IF('calcA'!CD$106=1,GC21,1)</f>
        <v/>
      </c>
      <c r="LR21">
        <f>IF('calcA'!CE$106=1,GD21,1)</f>
        <v/>
      </c>
      <c r="LS21">
        <f>IF('calcA'!CF$106=1,GE21,1)</f>
        <v/>
      </c>
      <c r="LT21">
        <f>IF('calcA'!CG$106=1,GF21,1)</f>
        <v/>
      </c>
      <c r="LU21">
        <f>IF('calcA'!CH$106=1,GG21,1)</f>
        <v/>
      </c>
      <c r="LV21">
        <f>IF('calcA'!CI$106=1,GH21,1)</f>
        <v/>
      </c>
      <c r="LW21">
        <f>IF('calcA'!CJ$106=1,GI21,1)</f>
        <v/>
      </c>
      <c r="LX21">
        <f>IF('calcA'!CK$106=1,GJ21,1)</f>
        <v/>
      </c>
      <c r="LY21">
        <f>IF('calcA'!CL$106=1,GK21,1)</f>
        <v/>
      </c>
      <c r="LZ21">
        <f>IF('calcA'!CM$106=1,GL21,1)</f>
        <v/>
      </c>
      <c r="MA21">
        <f>IF('calcA'!CN$106=1,GM21,1)</f>
        <v/>
      </c>
      <c r="MB21">
        <f>IF('calcA'!CO$106=1,GN21,1)</f>
        <v/>
      </c>
      <c r="MC21">
        <f>IF('calcA'!CP$106=1,GO21,1)</f>
        <v/>
      </c>
      <c r="MD21">
        <f>IF('calcA'!CQ$106=1,GP21,1)</f>
        <v/>
      </c>
      <c r="ME21">
        <f>IF('calcA'!CR$106=1,GQ21,1)</f>
        <v/>
      </c>
      <c r="MF21">
        <f>IF('calcA'!CS$106=1,GR21,1)</f>
        <v/>
      </c>
      <c r="MG21">
        <f>IF('calcA'!CT$106=1,GS21,1)</f>
        <v/>
      </c>
      <c r="MH21">
        <f>IF('calcA'!CU$106=1,GT21,1)</f>
        <v/>
      </c>
      <c r="MI21">
        <f>IF('calcA'!CV$106=1,GU21,1)</f>
        <v/>
      </c>
      <c r="MJ21">
        <f>IF('calcA'!CW$106=1,GV21,1)</f>
        <v/>
      </c>
      <c r="MK21">
        <f>IF('calcA'!CX$106=1,GW21,1)</f>
        <v/>
      </c>
      <c r="ML21">
        <f>IF('calcA'!CY$106=1,GX21,1)</f>
        <v/>
      </c>
      <c r="MM21">
        <f>IF('calcA'!CZ$106=1,GY21,1)</f>
        <v/>
      </c>
      <c r="MN21">
        <f>IF('calcA'!DA$106=1,GZ21,1)</f>
        <v/>
      </c>
      <c r="MO21">
        <f>IF('calcA'!DB$106=1,HA21,1)</f>
        <v/>
      </c>
      <c r="MP21">
        <f>IF('calcA'!DC$106=1,HB21,1)</f>
        <v/>
      </c>
      <c r="MQ21">
        <f>IF('calcA'!DD$106=1,HC21,1)</f>
        <v/>
      </c>
      <c r="MR21">
        <f>IF('calcA'!DE$106=1,HD21,1)</f>
        <v/>
      </c>
      <c r="MS21">
        <f>IF('calcA'!DF$106=1,HE21,1)</f>
        <v/>
      </c>
      <c r="MT21">
        <f>IF('calcA'!DG$106=1,HF21,1)</f>
        <v/>
      </c>
      <c r="MU21">
        <f>IF('calcA'!DH$106=1,HG21,1)</f>
        <v/>
      </c>
      <c r="MV21">
        <f>IF('calcA'!DI$106=1,HH21,1)</f>
        <v/>
      </c>
      <c r="MW21">
        <f>IF('calcA'!DJ$106=1,HI21,1)</f>
        <v/>
      </c>
      <c r="MX21">
        <f>IF('calcA'!DK$106=1,HJ21,1)</f>
        <v/>
      </c>
      <c r="MY21">
        <f>IF('calcA'!DL$106=1,HK21,1)</f>
        <v/>
      </c>
      <c r="MZ21">
        <f>IF('calcA'!DM$106=1,HL21,1)</f>
        <v/>
      </c>
      <c r="NA21">
        <f>IF('calcA'!DN$106=1,HM21,1)</f>
        <v/>
      </c>
      <c r="NB21">
        <f>IF('calcA'!DO$106=1,HN21,1)</f>
        <v/>
      </c>
      <c r="NC21">
        <f>IF('calcA'!DP$106=1,HO21,1)</f>
        <v/>
      </c>
      <c r="ND21">
        <f>IF('calcA'!DQ$106=1,HP21,1)</f>
        <v/>
      </c>
      <c r="NE21">
        <f>IF('calcA'!DR$106=1,HQ21,1)</f>
        <v/>
      </c>
      <c r="NF21">
        <f>IF('calcA'!DS$106=1,HR21,1)</f>
        <v/>
      </c>
      <c r="NG21">
        <f>IF('calcA'!DT$106=1,HS21,1)</f>
        <v/>
      </c>
      <c r="NH21">
        <f>IF('calcA'!DU$106=1,HT21,1)</f>
        <v/>
      </c>
      <c r="NI21">
        <f>IF('calcA'!DV$106=1,HU21,1)</f>
        <v/>
      </c>
      <c r="NJ21">
        <f>IF('calcA'!DW$106=1,HV21,1)</f>
        <v/>
      </c>
      <c r="NK21">
        <f>IF('calcA'!DX$106=1,HW21,1)</f>
        <v/>
      </c>
      <c r="NL21">
        <f>IF('calcA'!DY$106=1,HX21,1)</f>
        <v/>
      </c>
      <c r="NM21">
        <f>IF('calcA'!DZ$106=1,HY21,1)</f>
        <v/>
      </c>
      <c r="NN21">
        <f>IF('calcA'!EA$106=1,HZ21,1)</f>
        <v/>
      </c>
      <c r="NO21">
        <f>IF('calcA'!EB$106=1,IA21,1)</f>
        <v/>
      </c>
      <c r="NP21">
        <f>IF('calcA'!EC$106=1,IB21,1)</f>
        <v/>
      </c>
      <c r="NQ21">
        <f>IF('calcA'!ED$106=1,IC21,1)</f>
        <v/>
      </c>
      <c r="NR21">
        <f>IF('calcA'!EE$106=1,ID21,1)</f>
        <v/>
      </c>
      <c r="NS21">
        <f>IF('calcA'!EF$106=1,IE21,1)</f>
        <v/>
      </c>
      <c r="NT21">
        <f>IF('calcA'!EG$106=1,IF21,1)</f>
        <v/>
      </c>
      <c r="NU21">
        <f>IF('calcA'!EH$106=1,IG21,1)</f>
        <v/>
      </c>
      <c r="NV21">
        <f>IF('calcA'!EI$106=1,IH21,1)</f>
        <v/>
      </c>
      <c r="NW21">
        <f>IF('calcA'!EJ$106=1,II21,1)</f>
        <v/>
      </c>
      <c r="NX21">
        <f>IF('calcA'!EK$106=1,IJ21,1)</f>
        <v/>
      </c>
      <c r="NY21">
        <f>IF('calcA'!EL$106=1,IK21,1)</f>
        <v/>
      </c>
      <c r="NZ21">
        <f>IF('calcA'!EM$106=1,IL21,1)</f>
        <v/>
      </c>
      <c r="OA21">
        <f>IF('calcA'!EN$106=1,IM21,1)</f>
        <v/>
      </c>
      <c r="OB21">
        <f>IF('calcA'!EO$106=1,IN21,1)</f>
        <v/>
      </c>
      <c r="OC21">
        <f>IF('calcA'!EP$106=1,IO21,1)</f>
        <v/>
      </c>
      <c r="OD21" t="n">
        <v>1</v>
      </c>
      <c r="OF21">
        <f>IF($B21=0,1000000000,IF(INDEX('calcA'!$D$60:$EQ$99,$B21,1)*IF($W21=1,DB21+ZQ21,DB21)=1,IF(AND($E21=2,IF($W21=1,AFF21,IQ21)=0),1000000000,IF($V21=1,INDEX('calcA'!$D$130:$EQ$169,$B21,1)+IF(AND($E21=1,IQ21=0),25,0),IF($F21&gt;0,INDEX('calcA'!D$110:D$114,$F21+1)+IF(AND($E21=1,IQ21=0),1000,0),MIN(TU21,20)*400+(IF('calcA'!D$106=1,1-DC21,0))*150+11+'calcA'!D$5*100000+IF(AND($E21=1,IQ21=0),50000,0))+IF($H21=1,INDEX('calcA'!$D$180:$EQ$219,$B21,1)*4000,0)-IF(AND($U21=1,'calcA'!D$117=1,DC21=0),2000,0))),1000000000))</f>
        <v/>
      </c>
      <c r="OG21">
        <f>IF($B21=0,1000000000,IF(INDEX('calcA'!$D$60:$EQ$99,$B21,2)*IF($W21=1,DC21+ZR21,DC21)=1,IF(AND($E21=2,IF($W21=1,AFG21,IR21)=0),1000000000,IF($V21=1,INDEX('calcA'!$D$130:$EQ$169,$B21,2)+IF(AND($E21=1,IR21=0),25,0),IF($F21&gt;0,INDEX('calcA'!E$110:E$114,$F21+1)+IF(AND($E21=1,IR21=0),1000,0),MIN(TU21,20)*400+(IF('calcA'!D$106=1,1-DB21,0)+IF('calcA'!E$106=1,1-DD21,0))*150+21+'calcA'!E$5*100000+IF(AND($E21=1,IR21=0),50000,0))+IF($H21=1,INDEX('calcA'!$D$180:$EQ$219,$B21,2)*4000,0)-IF(AND('calcA'!D$117=1,UB21&gt;0),2000,0)-IF(AND($U21=1,'calcA'!E$117=1,DD21=0),2000,0))),1000000000))</f>
        <v/>
      </c>
      <c r="OH21">
        <f>IF($B21=0,1000000000,IF(INDEX('calcA'!$D$60:$EQ$99,$B21,3)*IF($W21=1,DD21+ZS21,DD21)=1,IF(AND($E21=2,IF($W21=1,AFH21,IS21)=0),1000000000,IF($V21=1,INDEX('calcA'!$D$130:$EQ$169,$B21,3)+IF(AND($E21=1,IS21=0),25,0),IF($F21&gt;0,INDEX('calcA'!F$110:F$114,$F21+1)+IF(AND($E21=1,IS21=0),1000,0),MIN(TU21,20)*400+(IF('calcA'!E$106=1,1-DC21,0)+IF('calcA'!F$106=1,1-DE21,0))*150+31+'calcA'!F$5*100000+IF(AND($E21=1,IS21=0),50000,0))+IF($H21=1,INDEX('calcA'!$D$180:$EQ$219,$B21,3)*4000,0)-IF(AND('calcA'!E$117=1,UC21&gt;0),2000,0)-IF(AND($U21=1,'calcA'!F$117=1,DE21=0),2000,0))),1000000000))</f>
        <v/>
      </c>
      <c r="OI21">
        <f>IF($B21=0,1000000000,IF(INDEX('calcA'!$D$60:$EQ$99,$B21,4)*IF($W21=1,DE21+ZT21,DE21)=1,IF(AND($E21=2,IF($W21=1,AFI21,IT21)=0),1000000000,IF($V21=1,INDEX('calcA'!$D$130:$EQ$169,$B21,4)+IF(AND($E21=1,IT21=0),25,0),IF($F21&gt;0,INDEX('calcA'!G$110:G$114,$F21+1)+IF(AND($E21=1,IT21=0),1000,0),MIN(TU21,20)*400+(IF('calcA'!F$106=1,1-DD21,0)+IF('calcA'!G$106=1,1-DF21,0))*150+41+'calcA'!G$5*100000+IF(AND($E21=1,IT21=0),50000,0))+IF($H21=1,INDEX('calcA'!$D$180:$EQ$219,$B21,4)*4000,0)-IF(AND('calcA'!F$117=1,UD21&gt;0),2000,0)-IF(AND($U21=1,'calcA'!G$117=1,DF21=0),2000,0))),1000000000))</f>
        <v/>
      </c>
      <c r="OJ21">
        <f>IF($B21=0,1000000000,IF(INDEX('calcA'!$D$60:$EQ$99,$B21,5)*IF($W21=1,DF21+ZU21,DF21)=1,IF(AND($E21=2,IF($W21=1,AFJ21,IU21)=0),1000000000,IF($V21=1,INDEX('calcA'!$D$130:$EQ$169,$B21,5)+IF(AND($E21=1,IU21=0),25,0),IF($F21&gt;0,INDEX('calcA'!H$110:H$114,$F21+1)+IF(AND($E21=1,IU21=0),1000,0),MIN(TU21,20)*400+(IF('calcA'!G$106=1,1-DE21,0)+IF('calcA'!H$106=1,1-DG21,0))*150+51+'calcA'!H$5*100000+IF(AND($E21=1,IU21=0),50000,0))+IF($H21=1,INDEX('calcA'!$D$180:$EQ$219,$B21,5)*4000,0)-IF(AND('calcA'!G$117=1,UE21&gt;0),2000,0)-IF(AND($U21=1,'calcA'!H$117=1,DG21=0),2000,0))),1000000000))</f>
        <v/>
      </c>
      <c r="OK21">
        <f>IF($B21=0,1000000000,IF(INDEX('calcA'!$D$60:$EQ$99,$B21,6)*IF($W21=1,DG21+ZV21,DG21)=1,IF(AND($E21=2,IF($W21=1,AFK21,IV21)=0),1000000000,IF($V21=1,INDEX('calcA'!$D$130:$EQ$169,$B21,6)+IF(AND($E21=1,IV21=0),25,0),IF($F21&gt;0,INDEX('calcA'!I$110:I$114,$F21+1)+IF(AND($E21=1,IV21=0),1000,0),MIN(TU21,20)*400+(IF('calcA'!H$106=1,1-DF21,0)+IF('calcA'!I$106=1,1-DH21,0))*150+61+'calcA'!I$5*100000+IF(AND($E21=1,IV21=0),50000,0))+IF($H21=1,INDEX('calcA'!$D$180:$EQ$219,$B21,6)*4000,0)-IF(AND('calcA'!H$117=1,UF21&gt;0),2000,0)-IF(AND($U21=1,'calcA'!I$117=1,DH21=0),2000,0))),1000000000))</f>
        <v/>
      </c>
      <c r="OL21">
        <f>IF($B21=0,1000000000,IF(INDEX('calcA'!$D$60:$EQ$99,$B21,7)*IF($W21=1,DH21+ZW21,DH21)=1,IF(AND($E21=2,IF($W21=1,AFL21,IW21)=0),1000000000,IF($V21=1,INDEX('calcA'!$D$130:$EQ$169,$B21,7)+IF(AND($E21=1,IW21=0),25,0),IF($F21&gt;0,INDEX('calcA'!J$110:J$114,$F21+1)+IF(AND($E21=1,IW21=0),1000,0),MIN(TU21,20)*400+(IF('calcA'!I$106=1,1-DG21,0)+IF('calcA'!J$106=1,1-DI21,0))*150+71+'calcA'!J$5*100000+IF(AND($E21=1,IW21=0),50000,0))+IF($H21=1,INDEX('calcA'!$D$180:$EQ$219,$B21,7)*4000,0)-IF(AND('calcA'!I$117=1,UG21&gt;0),2000,0)-IF(AND($U21=1,'calcA'!J$117=1,DI21=0),2000,0))),1000000000))</f>
        <v/>
      </c>
      <c r="OM21">
        <f>IF($B21=0,1000000000,IF(INDEX('calcA'!$D$60:$EQ$99,$B21,8)*IF($W21=1,DI21+ZX21,DI21)=1,IF(AND($E21=2,IF($W21=1,AFM21,IX21)=0),1000000000,IF($V21=1,INDEX('calcA'!$D$130:$EQ$169,$B21,8)+IF(AND($E21=1,IX21=0),25,0),IF($F21&gt;0,INDEX('calcA'!K$110:K$114,$F21+1)+IF(AND($E21=1,IX21=0),1000,0),MIN(TU21,20)*400+(IF('calcA'!J$106=1,1-DH21,0)+IF('calcA'!K$106=1,1-DJ21,0))*150+81+'calcA'!K$5*100000+IF(AND($E21=1,IX21=0),50000,0))+IF($H21=1,INDEX('calcA'!$D$180:$EQ$219,$B21,8)*4000,0)-IF(AND('calcA'!J$117=1,UH21&gt;0),2000,0)-IF(AND($U21=1,'calcA'!K$117=1,DJ21=0),2000,0))),1000000000))</f>
        <v/>
      </c>
      <c r="ON21">
        <f>IF($B21=0,1000000000,IF(INDEX('calcA'!$D$60:$EQ$99,$B21,9)*IF($W21=1,DJ21+ZY21,DJ21)=1,IF(AND($E21=2,IF($W21=1,AFN21,IY21)=0),1000000000,IF($V21=1,INDEX('calcA'!$D$130:$EQ$169,$B21,9)+IF(AND($E21=1,IY21=0),25,0),IF($F21&gt;0,INDEX('calcA'!L$110:L$114,$F21+1)+IF(AND($E21=1,IY21=0),1000,0),MIN(TU21,20)*400+(IF('calcA'!K$106=1,1-DI21,0)+IF('calcA'!L$106=1,1-DK21,0))*150+91+'calcA'!L$5*100000+IF(AND($E21=1,IY21=0),50000,0))+IF($H21=1,INDEX('calcA'!$D$180:$EQ$219,$B21,9)*4000,0)-IF(AND('calcA'!K$117=1,UI21&gt;0),2000,0)-IF(AND($U21=1,'calcA'!L$117=1,DK21=0),2000,0))),1000000000))</f>
        <v/>
      </c>
      <c r="OO21">
        <f>IF($B21=0,1000000000,IF(INDEX('calcA'!$D$60:$EQ$99,$B21,10)*IF($W21=1,DK21+ZZ21,DK21)=1,IF(AND($E21=2,IF($W21=1,AFO21,IZ21)=0),1000000000,IF($V21=1,INDEX('calcA'!$D$130:$EQ$169,$B21,10)+IF(AND($E21=1,IZ21=0),25,0),IF($F21&gt;0,INDEX('calcA'!M$110:M$114,$F21+1)+IF(AND($E21=1,IZ21=0),1000,0),MIN(TU21,20)*400+(IF('calcA'!L$106=1,1-DJ21,0)+IF('calcA'!M$106=1,1-DL21,0))*150+101+'calcA'!M$5*100000+IF(AND($E21=1,IZ21=0),50000,0))+IF($H21=1,INDEX('calcA'!$D$180:$EQ$219,$B21,10)*4000,0)-IF(AND('calcA'!L$117=1,UJ21&gt;0),2000,0)-IF(AND($U21=1,'calcA'!M$117=1,DL21=0),2000,0))),1000000000))</f>
        <v/>
      </c>
      <c r="OP21">
        <f>IF($B21=0,1000000000,IF(INDEX('calcA'!$D$60:$EQ$99,$B21,11)*IF($W21=1,DL21+AAA21,DL21)=1,IF(AND($E21=2,IF($W21=1,AFP21,JA21)=0),1000000000,IF($V21=1,INDEX('calcA'!$D$130:$EQ$169,$B21,11)+IF(AND($E21=1,JA21=0),25,0),IF($F21&gt;0,INDEX('calcA'!N$110:N$114,$F21+1)+IF(AND($E21=1,JA21=0),1000,0),MIN(TU21,20)*400+(IF('calcA'!M$106=1,1-DK21,0)+IF('calcA'!N$106=1,1-DM21,0))*150+111+'calcA'!N$5*100000+IF(AND($E21=1,JA21=0),50000,0))+IF($H21=1,INDEX('calcA'!$D$180:$EQ$219,$B21,11)*4000,0)-IF(AND('calcA'!M$117=1,UK21&gt;0),2000,0)-IF(AND($U21=1,'calcA'!N$117=1,DM21=0),2000,0))),1000000000))</f>
        <v/>
      </c>
      <c r="OQ21">
        <f>IF($B21=0,1000000000,IF(INDEX('calcA'!$D$60:$EQ$99,$B21,12)*IF($W21=1,DM21+AAB21,DM21)=1,IF(AND($E21=2,IF($W21=1,AFQ21,JB21)=0),1000000000,IF($V21=1,INDEX('calcA'!$D$130:$EQ$169,$B21,12)+IF(AND($E21=1,JB21=0),25,0),IF($F21&gt;0,INDEX('calcA'!O$110:O$114,$F21+1)+IF(AND($E21=1,JB21=0),1000,0),MIN(TU21,20)*400+(IF('calcA'!N$106=1,1-DL21,0)+IF('calcA'!O$106=1,1-DN21,0))*150+121+'calcA'!O$5*100000+IF(AND($E21=1,JB21=0),50000,0))+IF($H21=1,INDEX('calcA'!$D$180:$EQ$219,$B21,12)*4000,0)-IF(AND('calcA'!N$117=1,UL21&gt;0),2000,0)-IF(AND($U21=1,'calcA'!O$117=1,DN21=0),2000,0))),1000000000))</f>
        <v/>
      </c>
      <c r="OR21">
        <f>IF($B21=0,1000000000,IF(INDEX('calcA'!$D$60:$EQ$99,$B21,13)*IF($W21=1,DN21+AAC21,DN21)=1,IF(AND($E21=2,IF($W21=1,AFR21,JC21)=0),1000000000,IF($V21=1,INDEX('calcA'!$D$130:$EQ$169,$B21,13)+IF(AND($E21=1,JC21=0),25,0),IF($F21&gt;0,INDEX('calcA'!P$110:P$114,$F21+1)+IF(AND($E21=1,JC21=0),1000,0),MIN(TU21,20)*400+(IF('calcA'!O$106=1,1-DM21,0)+IF('calcA'!P$106=1,1-DO21,0))*150+131+'calcA'!P$5*100000+IF(AND($E21=1,JC21=0),50000,0))+IF($H21=1,INDEX('calcA'!$D$180:$EQ$219,$B21,13)*4000,0)-IF(AND('calcA'!O$117=1,UM21&gt;0),2000,0)-IF(AND($U21=1,'calcA'!P$117=1,DO21=0),2000,0))),1000000000))</f>
        <v/>
      </c>
      <c r="OS21">
        <f>IF($B21=0,1000000000,IF(INDEX('calcA'!$D$60:$EQ$99,$B21,14)*IF($W21=1,DO21+AAD21,DO21)=1,IF(AND($E21=2,IF($W21=1,AFS21,JD21)=0),1000000000,IF($V21=1,INDEX('calcA'!$D$130:$EQ$169,$B21,14)+IF(AND($E21=1,JD21=0),25,0),IF($F21&gt;0,INDEX('calcA'!Q$110:Q$114,$F21+1)+IF(AND($E21=1,JD21=0),1000,0),MIN(TU21,20)*400+(IF('calcA'!P$106=1,1-DN21,0)+IF('calcA'!Q$106=1,1-DP21,0))*150+141+'calcA'!Q$5*100000+IF(AND($E21=1,JD21=0),50000,0))+IF($H21=1,INDEX('calcA'!$D$180:$EQ$219,$B21,14)*4000,0)-IF(AND('calcA'!P$117=1,UN21&gt;0),2000,0)-IF(AND($U21=1,'calcA'!Q$117=1,DP21=0),2000,0))),1000000000))</f>
        <v/>
      </c>
      <c r="OT21">
        <f>IF($B21=0,1000000000,IF(INDEX('calcA'!$D$60:$EQ$99,$B21,15)*IF($W21=1,DP21+AAE21,DP21)=1,IF(AND($E21=2,IF($W21=1,AFT21,JE21)=0),1000000000,IF($V21=1,INDEX('calcA'!$D$130:$EQ$169,$B21,15)+IF(AND($E21=1,JE21=0),25,0),IF($F21&gt;0,INDEX('calcA'!R$110:R$114,$F21+1)+IF(AND($E21=1,JE21=0),1000,0),MIN(TU21,20)*400+(IF('calcA'!Q$106=1,1-DO21,0)+IF('calcA'!R$106=1,1-DQ21,0))*150+151+'calcA'!R$5*100000+IF(AND($E21=1,JE21=0),50000,0))+IF($H21=1,INDEX('calcA'!$D$180:$EQ$219,$B21,15)*4000,0)-IF(AND('calcA'!Q$117=1,UO21&gt;0),2000,0)-IF(AND($U21=1,'calcA'!R$117=1,DQ21=0),2000,0))),1000000000))</f>
        <v/>
      </c>
      <c r="OU21">
        <f>IF($B21=0,1000000000,IF(INDEX('calcA'!$D$60:$EQ$99,$B21,16)*IF($W21=1,DQ21+AAF21,DQ21)=1,IF(AND($E21=2,IF($W21=1,AFU21,JF21)=0),1000000000,IF($V21=1,INDEX('calcA'!$D$130:$EQ$169,$B21,16)+IF(AND($E21=1,JF21=0),25,0),IF($F21&gt;0,INDEX('calcA'!S$110:S$114,$F21+1)+IF(AND($E21=1,JF21=0),1000,0),MIN(TU21,20)*400+(IF('calcA'!R$106=1,1-DP21,0)+IF('calcA'!S$106=1,1-DR21,0))*150+161+'calcA'!S$5*100000+IF(AND($E21=1,JF21=0),50000,0))+IF($H21=1,INDEX('calcA'!$D$180:$EQ$219,$B21,16)*4000,0)-IF(AND('calcA'!R$117=1,UP21&gt;0),2000,0)-IF(AND($U21=1,'calcA'!S$117=1,DR21=0),2000,0))),1000000000))</f>
        <v/>
      </c>
      <c r="OV21">
        <f>IF($B21=0,1000000000,IF(INDEX('calcA'!$D$60:$EQ$99,$B21,17)*IF($W21=1,DR21+AAG21,DR21)=1,IF(AND($E21=2,IF($W21=1,AFV21,JG21)=0),1000000000,IF($V21=1,INDEX('calcA'!$D$130:$EQ$169,$B21,17)+IF(AND($E21=1,JG21=0),25,0),IF($F21&gt;0,INDEX('calcA'!T$110:T$114,$F21+1)+IF(AND($E21=1,JG21=0),1000,0),MIN(TU21,20)*400+(IF('calcA'!S$106=1,1-DQ21,0)+IF('calcA'!T$106=1,1-DS21,0))*150+171+'calcA'!T$5*100000+IF(AND($E21=1,JG21=0),50000,0))+IF($H21=1,INDEX('calcA'!$D$180:$EQ$219,$B21,17)*4000,0)-IF(AND('calcA'!S$117=1,UQ21&gt;0),2000,0)-IF(AND($U21=1,'calcA'!T$117=1,DS21=0),2000,0))),1000000000))</f>
        <v/>
      </c>
      <c r="OW21">
        <f>IF($B21=0,1000000000,IF(INDEX('calcA'!$D$60:$EQ$99,$B21,18)*IF($W21=1,DS21+AAH21,DS21)=1,IF(AND($E21=2,IF($W21=1,AFW21,JH21)=0),1000000000,IF($V21=1,INDEX('calcA'!$D$130:$EQ$169,$B21,18)+IF(AND($E21=1,JH21=0),25,0),IF($F21&gt;0,INDEX('calcA'!U$110:U$114,$F21+1)+IF(AND($E21=1,JH21=0),1000,0),MIN(TU21,20)*400+(IF('calcA'!T$106=1,1-DR21,0)+IF('calcA'!U$106=1,1-DT21,0))*150+181+'calcA'!U$5*100000+IF(AND($E21=1,JH21=0),50000,0))+IF($H21=1,INDEX('calcA'!$D$180:$EQ$219,$B21,18)*4000,0)-IF(AND('calcA'!T$117=1,UR21&gt;0),2000,0)-IF(AND($U21=1,'calcA'!U$117=1,DT21=0),2000,0))),1000000000))</f>
        <v/>
      </c>
      <c r="OX21">
        <f>IF($B21=0,1000000000,IF(INDEX('calcA'!$D$60:$EQ$99,$B21,19)*IF($W21=1,DT21+AAI21,DT21)=1,IF(AND($E21=2,IF($W21=1,AFX21,JI21)=0),1000000000,IF($V21=1,INDEX('calcA'!$D$130:$EQ$169,$B21,19)+IF(AND($E21=1,JI21=0),25,0),IF($F21&gt;0,INDEX('calcA'!V$110:V$114,$F21+1)+IF(AND($E21=1,JI21=0),1000,0),MIN(TU21,20)*400+(IF('calcA'!U$106=1,1-DS21,0)+IF('calcA'!V$106=1,1-DU21,0))*150+191+'calcA'!V$5*100000+IF(AND($E21=1,JI21=0),50000,0))+IF($H21=1,INDEX('calcA'!$D$180:$EQ$219,$B21,19)*4000,0)-IF(AND('calcA'!U$117=1,US21&gt;0),2000,0)-IF(AND($U21=1,'calcA'!V$117=1,DU21=0),2000,0))),1000000000))</f>
        <v/>
      </c>
      <c r="OY21">
        <f>IF($B21=0,1000000000,IF(INDEX('calcA'!$D$60:$EQ$99,$B21,20)*IF($W21=1,DU21+AAJ21,DU21)=1,IF(AND($E21=2,IF($W21=1,AFY21,JJ21)=0),1000000000,IF($V21=1,INDEX('calcA'!$D$130:$EQ$169,$B21,20)+IF(AND($E21=1,JJ21=0),25,0),IF($F21&gt;0,INDEX('calcA'!W$110:W$114,$F21+1)+IF(AND($E21=1,JJ21=0),1000,0),MIN(TU21,20)*400+(IF('calcA'!V$106=1,1-DT21,0)+IF('calcA'!W$106=1,1-DV21,0))*150+201+'calcA'!W$5*100000+IF(AND($E21=1,JJ21=0),50000,0))+IF($H21=1,INDEX('calcA'!$D$180:$EQ$219,$B21,20)*4000,0)-IF(AND('calcA'!V$117=1,UT21&gt;0),2000,0)-IF(AND($U21=1,'calcA'!W$117=1,DV21=0),2000,0))),1000000000))</f>
        <v/>
      </c>
      <c r="OZ21">
        <f>IF($B21=0,1000000000,IF(INDEX('calcA'!$D$60:$EQ$99,$B21,21)*IF($W21=1,DV21+AAK21,DV21)=1,IF(AND($E21=2,IF($W21=1,AFZ21,JK21)=0),1000000000,IF($V21=1,INDEX('calcA'!$D$130:$EQ$169,$B21,21)+IF(AND($E21=1,JK21=0),25,0),IF($F21&gt;0,INDEX('calcA'!X$110:X$114,$F21+1)+IF(AND($E21=1,JK21=0),1000,0),MIN(TU21,20)*400+(IF('calcA'!W$106=1,1-DU21,0)+IF('calcA'!X$106=1,1-DW21,0))*150+211+'calcA'!X$5*100000+IF(AND($E21=1,JK21=0),50000,0))+IF($H21=1,INDEX('calcA'!$D$180:$EQ$219,$B21,21)*4000,0)-IF(AND('calcA'!W$117=1,UU21&gt;0),2000,0)-IF(AND($U21=1,'calcA'!X$117=1,DW21=0),2000,0))),1000000000))</f>
        <v/>
      </c>
      <c r="PA21">
        <f>IF($B21=0,1000000000,IF(INDEX('calcA'!$D$60:$EQ$99,$B21,22)*IF($W21=1,DW21+AAL21,DW21)=1,IF(AND($E21=2,IF($W21=1,AGA21,JL21)=0),1000000000,IF($V21=1,INDEX('calcA'!$D$130:$EQ$169,$B21,22)+IF(AND($E21=1,JL21=0),25,0),IF($F21&gt;0,INDEX('calcA'!Y$110:Y$114,$F21+1)+IF(AND($E21=1,JL21=0),1000,0),MIN(TU21,20)*400+(IF('calcA'!X$106=1,1-DV21,0)+IF('calcA'!Y$106=1,1-DX21,0))*150+221+'calcA'!Y$5*100000+IF(AND($E21=1,JL21=0),50000,0))+IF($H21=1,INDEX('calcA'!$D$180:$EQ$219,$B21,22)*4000,0)-IF(AND('calcA'!X$117=1,UV21&gt;0),2000,0)-IF(AND($U21=1,'calcA'!Y$117=1,DX21=0),2000,0))),1000000000))</f>
        <v/>
      </c>
      <c r="PB21">
        <f>IF($B21=0,1000000000,IF(INDEX('calcA'!$D$60:$EQ$99,$B21,23)*IF($W21=1,DX21+AAM21,DX21)=1,IF(AND($E21=2,IF($W21=1,AGB21,JM21)=0),1000000000,IF($V21=1,INDEX('calcA'!$D$130:$EQ$169,$B21,23)+IF(AND($E21=1,JM21=0),25,0),IF($F21&gt;0,INDEX('calcA'!Z$110:Z$114,$F21+1)+IF(AND($E21=1,JM21=0),1000,0),MIN(TU21,20)*400+(IF('calcA'!Y$106=1,1-DW21,0)+IF('calcA'!Z$106=1,1-DY21,0))*150+231+'calcA'!Z$5*100000+IF(AND($E21=1,JM21=0),50000,0))+IF($H21=1,INDEX('calcA'!$D$180:$EQ$219,$B21,23)*4000,0)-IF(AND('calcA'!Y$117=1,UW21&gt;0),2000,0)-IF(AND($U21=1,'calcA'!Z$117=1,DY21=0),2000,0))),1000000000))</f>
        <v/>
      </c>
      <c r="PC21">
        <f>IF($B21=0,1000000000,IF(INDEX('calcA'!$D$60:$EQ$99,$B21,24)*IF($W21=1,DY21+AAN21,DY21)=1,IF(AND($E21=2,IF($W21=1,AGC21,JN21)=0),1000000000,IF($V21=1,INDEX('calcA'!$D$130:$EQ$169,$B21,24)+IF(AND($E21=1,JN21=0),25,0),IF($F21&gt;0,INDEX('calcA'!AA$110:AA$114,$F21+1)+IF(AND($E21=1,JN21=0),1000,0),MIN(TU21,20)*400+(IF('calcA'!Z$106=1,1-DX21,0))*150+241+'calcA'!AA$5*100000+IF(AND($E21=1,JN21=0),50000,0))+IF($H21=1,INDEX('calcA'!$D$180:$EQ$219,$B21,24)*4000,0)-IF(AND('calcA'!Z$117=1,UX21&gt;0),2000,0))),1000000000))</f>
        <v/>
      </c>
      <c r="PD21">
        <f>IF($B21=0,1000000000,IF(INDEX('calcA'!$D$60:$EQ$99,$B21,25)*IF($W21=1,DZ21+AAO21,DZ21)=1,IF(AND($E21=2,IF($W21=1,AGD21,JO21)=0),1000000000,IF($V21=1,INDEX('calcA'!$D$130:$EQ$169,$B21,25)+IF(AND($E21=1,JO21=0),25,0),IF($F21&gt;0,INDEX('calcA'!AB$110:AB$114,$F21+1)+IF(AND($E21=1,JO21=0),1000,0),MIN(TV21,20)*400+(IF('calcA'!AB$106=1,1-EA21,0))*150+12+'calcA'!AB$5*100000+IF(AND($E21=1,JO21=0),50000,0))+IF($H21=1,INDEX('calcA'!$D$180:$EQ$219,$B21,25)*4000,0)-IF(AND($U21=1,'calcA'!AB$117=1,EA21=0),2000,0))),1000000000))</f>
        <v/>
      </c>
      <c r="PE21">
        <f>IF($B21=0,1000000000,IF(INDEX('calcA'!$D$60:$EQ$99,$B21,26)*IF($W21=1,EA21+AAP21,EA21)=1,IF(AND($E21=2,IF($W21=1,AGE21,JP21)=0),1000000000,IF($V21=1,INDEX('calcA'!$D$130:$EQ$169,$B21,26)+IF(AND($E21=1,JP21=0),25,0),IF($F21&gt;0,INDEX('calcA'!AC$110:AC$114,$F21+1)+IF(AND($E21=1,JP21=0),1000,0),MIN(TV21,20)*400+(IF('calcA'!AB$106=1,1-DZ21,0)+IF('calcA'!AC$106=1,1-EB21,0))*150+22+'calcA'!AC$5*100000+IF(AND($E21=1,JP21=0),50000,0))+IF($H21=1,INDEX('calcA'!$D$180:$EQ$219,$B21,26)*4000,0)-IF(AND('calcA'!AB$117=1,UZ21&gt;0),2000,0)-IF(AND($U21=1,'calcA'!AC$117=1,EB21=0),2000,0))),1000000000))</f>
        <v/>
      </c>
      <c r="PF21">
        <f>IF($B21=0,1000000000,IF(INDEX('calcA'!$D$60:$EQ$99,$B21,27)*IF($W21=1,EB21+AAQ21,EB21)=1,IF(AND($E21=2,IF($W21=1,AGF21,JQ21)=0),1000000000,IF($V21=1,INDEX('calcA'!$D$130:$EQ$169,$B21,27)+IF(AND($E21=1,JQ21=0),25,0),IF($F21&gt;0,INDEX('calcA'!AD$110:AD$114,$F21+1)+IF(AND($E21=1,JQ21=0),1000,0),MIN(TV21,20)*400+(IF('calcA'!AC$106=1,1-EA21,0)+IF('calcA'!AD$106=1,1-EC21,0))*150+32+'calcA'!AD$5*100000+IF(AND($E21=1,JQ21=0),50000,0))+IF($H21=1,INDEX('calcA'!$D$180:$EQ$219,$B21,27)*4000,0)-IF(AND('calcA'!AC$117=1,VA21&gt;0),2000,0)-IF(AND($U21=1,'calcA'!AD$117=1,EC21=0),2000,0))),1000000000))</f>
        <v/>
      </c>
      <c r="PG21">
        <f>IF($B21=0,1000000000,IF(INDEX('calcA'!$D$60:$EQ$99,$B21,28)*IF($W21=1,EC21+AAR21,EC21)=1,IF(AND($E21=2,IF($W21=1,AGG21,JR21)=0),1000000000,IF($V21=1,INDEX('calcA'!$D$130:$EQ$169,$B21,28)+IF(AND($E21=1,JR21=0),25,0),IF($F21&gt;0,INDEX('calcA'!AE$110:AE$114,$F21+1)+IF(AND($E21=1,JR21=0),1000,0),MIN(TV21,20)*400+(IF('calcA'!AD$106=1,1-EB21,0)+IF('calcA'!AE$106=1,1-ED21,0))*150+42+'calcA'!AE$5*100000+IF(AND($E21=1,JR21=0),50000,0))+IF($H21=1,INDEX('calcA'!$D$180:$EQ$219,$B21,28)*4000,0)-IF(AND('calcA'!AD$117=1,VB21&gt;0),2000,0)-IF(AND($U21=1,'calcA'!AE$117=1,ED21=0),2000,0))),1000000000))</f>
        <v/>
      </c>
      <c r="PH21">
        <f>IF($B21=0,1000000000,IF(INDEX('calcA'!$D$60:$EQ$99,$B21,29)*IF($W21=1,ED21+AAS21,ED21)=1,IF(AND($E21=2,IF($W21=1,AGH21,JS21)=0),1000000000,IF($V21=1,INDEX('calcA'!$D$130:$EQ$169,$B21,29)+IF(AND($E21=1,JS21=0),25,0),IF($F21&gt;0,INDEX('calcA'!AF$110:AF$114,$F21+1)+IF(AND($E21=1,JS21=0),1000,0),MIN(TV21,20)*400+(IF('calcA'!AE$106=1,1-EC21,0)+IF('calcA'!AF$106=1,1-EE21,0))*150+52+'calcA'!AF$5*100000+IF(AND($E21=1,JS21=0),50000,0))+IF($H21=1,INDEX('calcA'!$D$180:$EQ$219,$B21,29)*4000,0)-IF(AND('calcA'!AE$117=1,VC21&gt;0),2000,0)-IF(AND($U21=1,'calcA'!AF$117=1,EE21=0),2000,0))),1000000000))</f>
        <v/>
      </c>
      <c r="PI21">
        <f>IF($B21=0,1000000000,IF(INDEX('calcA'!$D$60:$EQ$99,$B21,30)*IF($W21=1,EE21+AAT21,EE21)=1,IF(AND($E21=2,IF($W21=1,AGI21,JT21)=0),1000000000,IF($V21=1,INDEX('calcA'!$D$130:$EQ$169,$B21,30)+IF(AND($E21=1,JT21=0),25,0),IF($F21&gt;0,INDEX('calcA'!AG$110:AG$114,$F21+1)+IF(AND($E21=1,JT21=0),1000,0),MIN(TV21,20)*400+(IF('calcA'!AF$106=1,1-ED21,0)+IF('calcA'!AG$106=1,1-EF21,0))*150+62+'calcA'!AG$5*100000+IF(AND($E21=1,JT21=0),50000,0))+IF($H21=1,INDEX('calcA'!$D$180:$EQ$219,$B21,30)*4000,0)-IF(AND('calcA'!AF$117=1,VD21&gt;0),2000,0)-IF(AND($U21=1,'calcA'!AG$117=1,EF21=0),2000,0))),1000000000))</f>
        <v/>
      </c>
      <c r="PJ21">
        <f>IF($B21=0,1000000000,IF(INDEX('calcA'!$D$60:$EQ$99,$B21,31)*IF($W21=1,EF21+AAU21,EF21)=1,IF(AND($E21=2,IF($W21=1,AGJ21,JU21)=0),1000000000,IF($V21=1,INDEX('calcA'!$D$130:$EQ$169,$B21,31)+IF(AND($E21=1,JU21=0),25,0),IF($F21&gt;0,INDEX('calcA'!AH$110:AH$114,$F21+1)+IF(AND($E21=1,JU21=0),1000,0),MIN(TV21,20)*400+(IF('calcA'!AG$106=1,1-EE21,0)+IF('calcA'!AH$106=1,1-EG21,0))*150+72+'calcA'!AH$5*100000+IF(AND($E21=1,JU21=0),50000,0))+IF($H21=1,INDEX('calcA'!$D$180:$EQ$219,$B21,31)*4000,0)-IF(AND('calcA'!AG$117=1,VE21&gt;0),2000,0)-IF(AND($U21=1,'calcA'!AH$117=1,EG21=0),2000,0))),1000000000))</f>
        <v/>
      </c>
      <c r="PK21">
        <f>IF($B21=0,1000000000,IF(INDEX('calcA'!$D$60:$EQ$99,$B21,32)*IF($W21=1,EG21+AAV21,EG21)=1,IF(AND($E21=2,IF($W21=1,AGK21,JV21)=0),1000000000,IF($V21=1,INDEX('calcA'!$D$130:$EQ$169,$B21,32)+IF(AND($E21=1,JV21=0),25,0),IF($F21&gt;0,INDEX('calcA'!AI$110:AI$114,$F21+1)+IF(AND($E21=1,JV21=0),1000,0),MIN(TV21,20)*400+(IF('calcA'!AH$106=1,1-EF21,0)+IF('calcA'!AI$106=1,1-EH21,0))*150+82+'calcA'!AI$5*100000+IF(AND($E21=1,JV21=0),50000,0))+IF($H21=1,INDEX('calcA'!$D$180:$EQ$219,$B21,32)*4000,0)-IF(AND('calcA'!AH$117=1,VF21&gt;0),2000,0)-IF(AND($U21=1,'calcA'!AI$117=1,EH21=0),2000,0))),1000000000))</f>
        <v/>
      </c>
      <c r="PL21">
        <f>IF($B21=0,1000000000,IF(INDEX('calcA'!$D$60:$EQ$99,$B21,33)*IF($W21=1,EH21+AAW21,EH21)=1,IF(AND($E21=2,IF($W21=1,AGL21,JW21)=0),1000000000,IF($V21=1,INDEX('calcA'!$D$130:$EQ$169,$B21,33)+IF(AND($E21=1,JW21=0),25,0),IF($F21&gt;0,INDEX('calcA'!AJ$110:AJ$114,$F21+1)+IF(AND($E21=1,JW21=0),1000,0),MIN(TV21,20)*400+(IF('calcA'!AI$106=1,1-EG21,0)+IF('calcA'!AJ$106=1,1-EI21,0))*150+92+'calcA'!AJ$5*100000+IF(AND($E21=1,JW21=0),50000,0))+IF($H21=1,INDEX('calcA'!$D$180:$EQ$219,$B21,33)*4000,0)-IF(AND('calcA'!AI$117=1,VG21&gt;0),2000,0)-IF(AND($U21=1,'calcA'!AJ$117=1,EI21=0),2000,0))),1000000000))</f>
        <v/>
      </c>
      <c r="PM21">
        <f>IF($B21=0,1000000000,IF(INDEX('calcA'!$D$60:$EQ$99,$B21,34)*IF($W21=1,EI21+AAX21,EI21)=1,IF(AND($E21=2,IF($W21=1,AGM21,JX21)=0),1000000000,IF($V21=1,INDEX('calcA'!$D$130:$EQ$169,$B21,34)+IF(AND($E21=1,JX21=0),25,0),IF($F21&gt;0,INDEX('calcA'!AK$110:AK$114,$F21+1)+IF(AND($E21=1,JX21=0),1000,0),MIN(TV21,20)*400+(IF('calcA'!AJ$106=1,1-EH21,0)+IF('calcA'!AK$106=1,1-EJ21,0))*150+102+'calcA'!AK$5*100000+IF(AND($E21=1,JX21=0),50000,0))+IF($H21=1,INDEX('calcA'!$D$180:$EQ$219,$B21,34)*4000,0)-IF(AND('calcA'!AJ$117=1,VH21&gt;0),2000,0)-IF(AND($U21=1,'calcA'!AK$117=1,EJ21=0),2000,0))),1000000000))</f>
        <v/>
      </c>
      <c r="PN21">
        <f>IF($B21=0,1000000000,IF(INDEX('calcA'!$D$60:$EQ$99,$B21,35)*IF($W21=1,EJ21+AAY21,EJ21)=1,IF(AND($E21=2,IF($W21=1,AGN21,JY21)=0),1000000000,IF($V21=1,INDEX('calcA'!$D$130:$EQ$169,$B21,35)+IF(AND($E21=1,JY21=0),25,0),IF($F21&gt;0,INDEX('calcA'!AL$110:AL$114,$F21+1)+IF(AND($E21=1,JY21=0),1000,0),MIN(TV21,20)*400+(IF('calcA'!AK$106=1,1-EI21,0)+IF('calcA'!AL$106=1,1-EK21,0))*150+112+'calcA'!AL$5*100000+IF(AND($E21=1,JY21=0),50000,0))+IF($H21=1,INDEX('calcA'!$D$180:$EQ$219,$B21,35)*4000,0)-IF(AND('calcA'!AK$117=1,VI21&gt;0),2000,0)-IF(AND($U21=1,'calcA'!AL$117=1,EK21=0),2000,0))),1000000000))</f>
        <v/>
      </c>
      <c r="PO21">
        <f>IF($B21=0,1000000000,IF(INDEX('calcA'!$D$60:$EQ$99,$B21,36)*IF($W21=1,EK21+AAZ21,EK21)=1,IF(AND($E21=2,IF($W21=1,AGO21,JZ21)=0),1000000000,IF($V21=1,INDEX('calcA'!$D$130:$EQ$169,$B21,36)+IF(AND($E21=1,JZ21=0),25,0),IF($F21&gt;0,INDEX('calcA'!AM$110:AM$114,$F21+1)+IF(AND($E21=1,JZ21=0),1000,0),MIN(TV21,20)*400+(IF('calcA'!AL$106=1,1-EJ21,0)+IF('calcA'!AM$106=1,1-EL21,0))*150+122+'calcA'!AM$5*100000+IF(AND($E21=1,JZ21=0),50000,0))+IF($H21=1,INDEX('calcA'!$D$180:$EQ$219,$B21,36)*4000,0)-IF(AND('calcA'!AL$117=1,VJ21&gt;0),2000,0)-IF(AND($U21=1,'calcA'!AM$117=1,EL21=0),2000,0))),1000000000))</f>
        <v/>
      </c>
      <c r="PP21">
        <f>IF($B21=0,1000000000,IF(INDEX('calcA'!$D$60:$EQ$99,$B21,37)*IF($W21=1,EL21+ABA21,EL21)=1,IF(AND($E21=2,IF($W21=1,AGP21,KA21)=0),1000000000,IF($V21=1,INDEX('calcA'!$D$130:$EQ$169,$B21,37)+IF(AND($E21=1,KA21=0),25,0),IF($F21&gt;0,INDEX('calcA'!AN$110:AN$114,$F21+1)+IF(AND($E21=1,KA21=0),1000,0),MIN(TV21,20)*400+(IF('calcA'!AM$106=1,1-EK21,0)+IF('calcA'!AN$106=1,1-EM21,0))*150+132+'calcA'!AN$5*100000+IF(AND($E21=1,KA21=0),50000,0))+IF($H21=1,INDEX('calcA'!$D$180:$EQ$219,$B21,37)*4000,0)-IF(AND('calcA'!AM$117=1,VK21&gt;0),2000,0)-IF(AND($U21=1,'calcA'!AN$117=1,EM21=0),2000,0))),1000000000))</f>
        <v/>
      </c>
      <c r="PQ21">
        <f>IF($B21=0,1000000000,IF(INDEX('calcA'!$D$60:$EQ$99,$B21,38)*IF($W21=1,EM21+ABB21,EM21)=1,IF(AND($E21=2,IF($W21=1,AGQ21,KB21)=0),1000000000,IF($V21=1,INDEX('calcA'!$D$130:$EQ$169,$B21,38)+IF(AND($E21=1,KB21=0),25,0),IF($F21&gt;0,INDEX('calcA'!AO$110:AO$114,$F21+1)+IF(AND($E21=1,KB21=0),1000,0),MIN(TV21,20)*400+(IF('calcA'!AN$106=1,1-EL21,0)+IF('calcA'!AO$106=1,1-EN21,0))*150+142+'calcA'!AO$5*100000+IF(AND($E21=1,KB21=0),50000,0))+IF($H21=1,INDEX('calcA'!$D$180:$EQ$219,$B21,38)*4000,0)-IF(AND('calcA'!AN$117=1,VL21&gt;0),2000,0)-IF(AND($U21=1,'calcA'!AO$117=1,EN21=0),2000,0))),1000000000))</f>
        <v/>
      </c>
      <c r="PR21">
        <f>IF($B21=0,1000000000,IF(INDEX('calcA'!$D$60:$EQ$99,$B21,39)*IF($W21=1,EN21+ABC21,EN21)=1,IF(AND($E21=2,IF($W21=1,AGR21,KC21)=0),1000000000,IF($V21=1,INDEX('calcA'!$D$130:$EQ$169,$B21,39)+IF(AND($E21=1,KC21=0),25,0),IF($F21&gt;0,INDEX('calcA'!AP$110:AP$114,$F21+1)+IF(AND($E21=1,KC21=0),1000,0),MIN(TV21,20)*400+(IF('calcA'!AO$106=1,1-EM21,0)+IF('calcA'!AP$106=1,1-EO21,0))*150+152+'calcA'!AP$5*100000+IF(AND($E21=1,KC21=0),50000,0))+IF($H21=1,INDEX('calcA'!$D$180:$EQ$219,$B21,39)*4000,0)-IF(AND('calcA'!AO$117=1,VM21&gt;0),2000,0)-IF(AND($U21=1,'calcA'!AP$117=1,EO21=0),2000,0))),1000000000))</f>
        <v/>
      </c>
      <c r="PS21">
        <f>IF($B21=0,1000000000,IF(INDEX('calcA'!$D$60:$EQ$99,$B21,40)*IF($W21=1,EO21+ABD21,EO21)=1,IF(AND($E21=2,IF($W21=1,AGS21,KD21)=0),1000000000,IF($V21=1,INDEX('calcA'!$D$130:$EQ$169,$B21,40)+IF(AND($E21=1,KD21=0),25,0),IF($F21&gt;0,INDEX('calcA'!AQ$110:AQ$114,$F21+1)+IF(AND($E21=1,KD21=0),1000,0),MIN(TV21,20)*400+(IF('calcA'!AP$106=1,1-EN21,0)+IF('calcA'!AQ$106=1,1-EP21,0))*150+162+'calcA'!AQ$5*100000+IF(AND($E21=1,KD21=0),50000,0))+IF($H21=1,INDEX('calcA'!$D$180:$EQ$219,$B21,40)*4000,0)-IF(AND('calcA'!AP$117=1,VN21&gt;0),2000,0)-IF(AND($U21=1,'calcA'!AQ$117=1,EP21=0),2000,0))),1000000000))</f>
        <v/>
      </c>
      <c r="PT21">
        <f>IF($B21=0,1000000000,IF(INDEX('calcA'!$D$60:$EQ$99,$B21,41)*IF($W21=1,EP21+ABE21,EP21)=1,IF(AND($E21=2,IF($W21=1,AGT21,KE21)=0),1000000000,IF($V21=1,INDEX('calcA'!$D$130:$EQ$169,$B21,41)+IF(AND($E21=1,KE21=0),25,0),IF($F21&gt;0,INDEX('calcA'!AR$110:AR$114,$F21+1)+IF(AND($E21=1,KE21=0),1000,0),MIN(TV21,20)*400+(IF('calcA'!AQ$106=1,1-EO21,0)+IF('calcA'!AR$106=1,1-EQ21,0))*150+172+'calcA'!AR$5*100000+IF(AND($E21=1,KE21=0),50000,0))+IF($H21=1,INDEX('calcA'!$D$180:$EQ$219,$B21,41)*4000,0)-IF(AND('calcA'!AQ$117=1,VO21&gt;0),2000,0)-IF(AND($U21=1,'calcA'!AR$117=1,EQ21=0),2000,0))),1000000000))</f>
        <v/>
      </c>
      <c r="PU21">
        <f>IF($B21=0,1000000000,IF(INDEX('calcA'!$D$60:$EQ$99,$B21,42)*IF($W21=1,EQ21+ABF21,EQ21)=1,IF(AND($E21=2,IF($W21=1,AGU21,KF21)=0),1000000000,IF($V21=1,INDEX('calcA'!$D$130:$EQ$169,$B21,42)+IF(AND($E21=1,KF21=0),25,0),IF($F21&gt;0,INDEX('calcA'!AS$110:AS$114,$F21+1)+IF(AND($E21=1,KF21=0),1000,0),MIN(TV21,20)*400+(IF('calcA'!AR$106=1,1-EP21,0)+IF('calcA'!AS$106=1,1-ER21,0))*150+182+'calcA'!AS$5*100000+IF(AND($E21=1,KF21=0),50000,0))+IF($H21=1,INDEX('calcA'!$D$180:$EQ$219,$B21,42)*4000,0)-IF(AND('calcA'!AR$117=1,VP21&gt;0),2000,0)-IF(AND($U21=1,'calcA'!AS$117=1,ER21=0),2000,0))),1000000000))</f>
        <v/>
      </c>
      <c r="PV21">
        <f>IF($B21=0,1000000000,IF(INDEX('calcA'!$D$60:$EQ$99,$B21,43)*IF($W21=1,ER21+ABG21,ER21)=1,IF(AND($E21=2,IF($W21=1,AGV21,KG21)=0),1000000000,IF($V21=1,INDEX('calcA'!$D$130:$EQ$169,$B21,43)+IF(AND($E21=1,KG21=0),25,0),IF($F21&gt;0,INDEX('calcA'!AT$110:AT$114,$F21+1)+IF(AND($E21=1,KG21=0),1000,0),MIN(TV21,20)*400+(IF('calcA'!AS$106=1,1-EQ21,0)+IF('calcA'!AT$106=1,1-ES21,0))*150+192+'calcA'!AT$5*100000+IF(AND($E21=1,KG21=0),50000,0))+IF($H21=1,INDEX('calcA'!$D$180:$EQ$219,$B21,43)*4000,0)-IF(AND('calcA'!AS$117=1,VQ21&gt;0),2000,0)-IF(AND($U21=1,'calcA'!AT$117=1,ES21=0),2000,0))),1000000000))</f>
        <v/>
      </c>
      <c r="PW21">
        <f>IF($B21=0,1000000000,IF(INDEX('calcA'!$D$60:$EQ$99,$B21,44)*IF($W21=1,ES21+ABH21,ES21)=1,IF(AND($E21=2,IF($W21=1,AGW21,KH21)=0),1000000000,IF($V21=1,INDEX('calcA'!$D$130:$EQ$169,$B21,44)+IF(AND($E21=1,KH21=0),25,0),IF($F21&gt;0,INDEX('calcA'!AU$110:AU$114,$F21+1)+IF(AND($E21=1,KH21=0),1000,0),MIN(TV21,20)*400+(IF('calcA'!AT$106=1,1-ER21,0)+IF('calcA'!AU$106=1,1-ET21,0))*150+202+'calcA'!AU$5*100000+IF(AND($E21=1,KH21=0),50000,0))+IF($H21=1,INDEX('calcA'!$D$180:$EQ$219,$B21,44)*4000,0)-IF(AND('calcA'!AT$117=1,VR21&gt;0),2000,0)-IF(AND($U21=1,'calcA'!AU$117=1,ET21=0),2000,0))),1000000000))</f>
        <v/>
      </c>
      <c r="PX21">
        <f>IF($B21=0,1000000000,IF(INDEX('calcA'!$D$60:$EQ$99,$B21,45)*IF($W21=1,ET21+ABI21,ET21)=1,IF(AND($E21=2,IF($W21=1,AGX21,KI21)=0),1000000000,IF($V21=1,INDEX('calcA'!$D$130:$EQ$169,$B21,45)+IF(AND($E21=1,KI21=0),25,0),IF($F21&gt;0,INDEX('calcA'!AV$110:AV$114,$F21+1)+IF(AND($E21=1,KI21=0),1000,0),MIN(TV21,20)*400+(IF('calcA'!AU$106=1,1-ES21,0)+IF('calcA'!AV$106=1,1-EU21,0))*150+212+'calcA'!AV$5*100000+IF(AND($E21=1,KI21=0),50000,0))+IF($H21=1,INDEX('calcA'!$D$180:$EQ$219,$B21,45)*4000,0)-IF(AND('calcA'!AU$117=1,VS21&gt;0),2000,0)-IF(AND($U21=1,'calcA'!AV$117=1,EU21=0),2000,0))),1000000000))</f>
        <v/>
      </c>
      <c r="PY21">
        <f>IF($B21=0,1000000000,IF(INDEX('calcA'!$D$60:$EQ$99,$B21,46)*IF($W21=1,EU21+ABJ21,EU21)=1,IF(AND($E21=2,IF($W21=1,AGY21,KJ21)=0),1000000000,IF($V21=1,INDEX('calcA'!$D$130:$EQ$169,$B21,46)+IF(AND($E21=1,KJ21=0),25,0),IF($F21&gt;0,INDEX('calcA'!AW$110:AW$114,$F21+1)+IF(AND($E21=1,KJ21=0),1000,0),MIN(TV21,20)*400+(IF('calcA'!AV$106=1,1-ET21,0)+IF('calcA'!AW$106=1,1-EV21,0))*150+222+'calcA'!AW$5*100000+IF(AND($E21=1,KJ21=0),50000,0))+IF($H21=1,INDEX('calcA'!$D$180:$EQ$219,$B21,46)*4000,0)-IF(AND('calcA'!AV$117=1,VT21&gt;0),2000,0)-IF(AND($U21=1,'calcA'!AW$117=1,EV21=0),2000,0))),1000000000))</f>
        <v/>
      </c>
      <c r="PZ21">
        <f>IF($B21=0,1000000000,IF(INDEX('calcA'!$D$60:$EQ$99,$B21,47)*IF($W21=1,EV21+ABK21,EV21)=1,IF(AND($E21=2,IF($W21=1,AGZ21,KK21)=0),1000000000,IF($V21=1,INDEX('calcA'!$D$130:$EQ$169,$B21,47)+IF(AND($E21=1,KK21=0),25,0),IF($F21&gt;0,INDEX('calcA'!AX$110:AX$114,$F21+1)+IF(AND($E21=1,KK21=0),1000,0),MIN(TV21,20)*400+(IF('calcA'!AW$106=1,1-EU21,0)+IF('calcA'!AX$106=1,1-EW21,0))*150+232+'calcA'!AX$5*100000+IF(AND($E21=1,KK21=0),50000,0))+IF($H21=1,INDEX('calcA'!$D$180:$EQ$219,$B21,47)*4000,0)-IF(AND('calcA'!AW$117=1,VU21&gt;0),2000,0)-IF(AND($U21=1,'calcA'!AX$117=1,EW21=0),2000,0))),1000000000))</f>
        <v/>
      </c>
      <c r="QA21">
        <f>IF($B21=0,1000000000,IF(INDEX('calcA'!$D$60:$EQ$99,$B21,48)*IF($W21=1,EW21+ABL21,EW21)=1,IF(AND($E21=2,IF($W21=1,AHA21,KL21)=0),1000000000,IF($V21=1,INDEX('calcA'!$D$130:$EQ$169,$B21,48)+IF(AND($E21=1,KL21=0),25,0),IF($F21&gt;0,INDEX('calcA'!AY$110:AY$114,$F21+1)+IF(AND($E21=1,KL21=0),1000,0),MIN(TV21,20)*400+(IF('calcA'!AX$106=1,1-EV21,0))*150+242+'calcA'!AY$5*100000+IF(AND($E21=1,KL21=0),50000,0))+IF($H21=1,INDEX('calcA'!$D$180:$EQ$219,$B21,48)*4000,0)-IF(AND('calcA'!AX$117=1,VV21&gt;0),2000,0))),1000000000))</f>
        <v/>
      </c>
      <c r="QB21">
        <f>IF($B21=0,1000000000,IF(INDEX('calcA'!$D$60:$EQ$99,$B21,49)*IF($W21=1,EX21+ABM21,EX21)=1,IF(AND($E21=2,IF($W21=1,AHB21,KM21)=0),1000000000,IF($V21=1,INDEX('calcA'!$D$130:$EQ$169,$B21,49)+IF(AND($E21=1,KM21=0),25,0),IF($F21&gt;0,INDEX('calcA'!AZ$110:AZ$114,$F21+1)+IF(AND($E21=1,KM21=0),1000,0),MIN(TW21,20)*400+(IF('calcA'!AZ$106=1,1-EY21,0))*150+13+'calcA'!AZ$5*100000+IF(AND($E21=1,KM21=0),50000,0))+IF($H21=1,INDEX('calcA'!$D$180:$EQ$219,$B21,49)*4000,0)-IF(AND($U21=1,'calcA'!AZ$117=1,EY21=0),2000,0))),1000000000))</f>
        <v/>
      </c>
      <c r="QC21">
        <f>IF($B21=0,1000000000,IF(INDEX('calcA'!$D$60:$EQ$99,$B21,50)*IF($W21=1,EY21+ABN21,EY21)=1,IF(AND($E21=2,IF($W21=1,AHC21,KN21)=0),1000000000,IF($V21=1,INDEX('calcA'!$D$130:$EQ$169,$B21,50)+IF(AND($E21=1,KN21=0),25,0),IF($F21&gt;0,INDEX('calcA'!BA$110:BA$114,$F21+1)+IF(AND($E21=1,KN21=0),1000,0),MIN(TW21,20)*400+(IF('calcA'!AZ$106=1,1-EX21,0)+IF('calcA'!BA$106=1,1-EZ21,0))*150+23+'calcA'!BA$5*100000+IF(AND($E21=1,KN21=0),50000,0))+IF($H21=1,INDEX('calcA'!$D$180:$EQ$219,$B21,50)*4000,0)-IF(AND('calcA'!AZ$117=1,VX21&gt;0),2000,0)-IF(AND($U21=1,'calcA'!BA$117=1,EZ21=0),2000,0))),1000000000))</f>
        <v/>
      </c>
      <c r="QD21">
        <f>IF($B21=0,1000000000,IF(INDEX('calcA'!$D$60:$EQ$99,$B21,51)*IF($W21=1,EZ21+ABO21,EZ21)=1,IF(AND($E21=2,IF($W21=1,AHD21,KO21)=0),1000000000,IF($V21=1,INDEX('calcA'!$D$130:$EQ$169,$B21,51)+IF(AND($E21=1,KO21=0),25,0),IF($F21&gt;0,INDEX('calcA'!BB$110:BB$114,$F21+1)+IF(AND($E21=1,KO21=0),1000,0),MIN(TW21,20)*400+(IF('calcA'!BA$106=1,1-EY21,0)+IF('calcA'!BB$106=1,1-FA21,0))*150+33+'calcA'!BB$5*100000+IF(AND($E21=1,KO21=0),50000,0))+IF($H21=1,INDEX('calcA'!$D$180:$EQ$219,$B21,51)*4000,0)-IF(AND('calcA'!BA$117=1,VY21&gt;0),2000,0)-IF(AND($U21=1,'calcA'!BB$117=1,FA21=0),2000,0))),1000000000))</f>
        <v/>
      </c>
      <c r="QE21">
        <f>IF($B21=0,1000000000,IF(INDEX('calcA'!$D$60:$EQ$99,$B21,52)*IF($W21=1,FA21+ABP21,FA21)=1,IF(AND($E21=2,IF($W21=1,AHE21,KP21)=0),1000000000,IF($V21=1,INDEX('calcA'!$D$130:$EQ$169,$B21,52)+IF(AND($E21=1,KP21=0),25,0),IF($F21&gt;0,INDEX('calcA'!BC$110:BC$114,$F21+1)+IF(AND($E21=1,KP21=0),1000,0),MIN(TW21,20)*400+(IF('calcA'!BB$106=1,1-EZ21,0)+IF('calcA'!BC$106=1,1-FB21,0))*150+43+'calcA'!BC$5*100000+IF(AND($E21=1,KP21=0),50000,0))+IF($H21=1,INDEX('calcA'!$D$180:$EQ$219,$B21,52)*4000,0)-IF(AND('calcA'!BB$117=1,VZ21&gt;0),2000,0)-IF(AND($U21=1,'calcA'!BC$117=1,FB21=0),2000,0))),1000000000))</f>
        <v/>
      </c>
      <c r="QF21">
        <f>IF($B21=0,1000000000,IF(INDEX('calcA'!$D$60:$EQ$99,$B21,53)*IF($W21=1,FB21+ABQ21,FB21)=1,IF(AND($E21=2,IF($W21=1,AHF21,KQ21)=0),1000000000,IF($V21=1,INDEX('calcA'!$D$130:$EQ$169,$B21,53)+IF(AND($E21=1,KQ21=0),25,0),IF($F21&gt;0,INDEX('calcA'!BD$110:BD$114,$F21+1)+IF(AND($E21=1,KQ21=0),1000,0),MIN(TW21,20)*400+(IF('calcA'!BC$106=1,1-FA21,0)+IF('calcA'!BD$106=1,1-FC21,0))*150+53+'calcA'!BD$5*100000+IF(AND($E21=1,KQ21=0),50000,0))+IF($H21=1,INDEX('calcA'!$D$180:$EQ$219,$B21,53)*4000,0)-IF(AND('calcA'!BC$117=1,WA21&gt;0),2000,0)-IF(AND($U21=1,'calcA'!BD$117=1,FC21=0),2000,0))),1000000000))</f>
        <v/>
      </c>
      <c r="QG21">
        <f>IF($B21=0,1000000000,IF(INDEX('calcA'!$D$60:$EQ$99,$B21,54)*IF($W21=1,FC21+ABR21,FC21)=1,IF(AND($E21=2,IF($W21=1,AHG21,KR21)=0),1000000000,IF($V21=1,INDEX('calcA'!$D$130:$EQ$169,$B21,54)+IF(AND($E21=1,KR21=0),25,0),IF($F21&gt;0,INDEX('calcA'!BE$110:BE$114,$F21+1)+IF(AND($E21=1,KR21=0),1000,0),MIN(TW21,20)*400+(IF('calcA'!BD$106=1,1-FB21,0)+IF('calcA'!BE$106=1,1-FD21,0))*150+63+'calcA'!BE$5*100000+IF(AND($E21=1,KR21=0),50000,0))+IF($H21=1,INDEX('calcA'!$D$180:$EQ$219,$B21,54)*4000,0)-IF(AND('calcA'!BD$117=1,WB21&gt;0),2000,0)-IF(AND($U21=1,'calcA'!BE$117=1,FD21=0),2000,0))),1000000000))</f>
        <v/>
      </c>
      <c r="QH21">
        <f>IF($B21=0,1000000000,IF(INDEX('calcA'!$D$60:$EQ$99,$B21,55)*IF($W21=1,FD21+ABS21,FD21)=1,IF(AND($E21=2,IF($W21=1,AHH21,KS21)=0),1000000000,IF($V21=1,INDEX('calcA'!$D$130:$EQ$169,$B21,55)+IF(AND($E21=1,KS21=0),25,0),IF($F21&gt;0,INDEX('calcA'!BF$110:BF$114,$F21+1)+IF(AND($E21=1,KS21=0),1000,0),MIN(TW21,20)*400+(IF('calcA'!BE$106=1,1-FC21,0)+IF('calcA'!BF$106=1,1-FE21,0))*150+73+'calcA'!BF$5*100000+IF(AND($E21=1,KS21=0),50000,0))+IF($H21=1,INDEX('calcA'!$D$180:$EQ$219,$B21,55)*4000,0)-IF(AND('calcA'!BE$117=1,WC21&gt;0),2000,0)-IF(AND($U21=1,'calcA'!BF$117=1,FE21=0),2000,0))),1000000000))</f>
        <v/>
      </c>
      <c r="QI21">
        <f>IF($B21=0,1000000000,IF(INDEX('calcA'!$D$60:$EQ$99,$B21,56)*IF($W21=1,FE21+ABT21,FE21)=1,IF(AND($E21=2,IF($W21=1,AHI21,KT21)=0),1000000000,IF($V21=1,INDEX('calcA'!$D$130:$EQ$169,$B21,56)+IF(AND($E21=1,KT21=0),25,0),IF($F21&gt;0,INDEX('calcA'!BG$110:BG$114,$F21+1)+IF(AND($E21=1,KT21=0),1000,0),MIN(TW21,20)*400+(IF('calcA'!BF$106=1,1-FD21,0)+IF('calcA'!BG$106=1,1-FF21,0))*150+83+'calcA'!BG$5*100000+IF(AND($E21=1,KT21=0),50000,0))+IF($H21=1,INDEX('calcA'!$D$180:$EQ$219,$B21,56)*4000,0)-IF(AND('calcA'!BF$117=1,WD21&gt;0),2000,0)-IF(AND($U21=1,'calcA'!BG$117=1,FF21=0),2000,0))),1000000000))</f>
        <v/>
      </c>
      <c r="QJ21">
        <f>IF($B21=0,1000000000,IF(INDEX('calcA'!$D$60:$EQ$99,$B21,57)*IF($W21=1,FF21+ABU21,FF21)=1,IF(AND($E21=2,IF($W21=1,AHJ21,KU21)=0),1000000000,IF($V21=1,INDEX('calcA'!$D$130:$EQ$169,$B21,57)+IF(AND($E21=1,KU21=0),25,0),IF($F21&gt;0,INDEX('calcA'!BH$110:BH$114,$F21+1)+IF(AND($E21=1,KU21=0),1000,0),MIN(TW21,20)*400+(IF('calcA'!BG$106=1,1-FE21,0)+IF('calcA'!BH$106=1,1-FG21,0))*150+93+'calcA'!BH$5*100000+IF(AND($E21=1,KU21=0),50000,0))+IF($H21=1,INDEX('calcA'!$D$180:$EQ$219,$B21,57)*4000,0)-IF(AND('calcA'!BG$117=1,WE21&gt;0),2000,0)-IF(AND($U21=1,'calcA'!BH$117=1,FG21=0),2000,0))),1000000000))</f>
        <v/>
      </c>
      <c r="QK21">
        <f>IF($B21=0,1000000000,IF(INDEX('calcA'!$D$60:$EQ$99,$B21,58)*IF($W21=1,FG21+ABV21,FG21)=1,IF(AND($E21=2,IF($W21=1,AHK21,KV21)=0),1000000000,IF($V21=1,INDEX('calcA'!$D$130:$EQ$169,$B21,58)+IF(AND($E21=1,KV21=0),25,0),IF($F21&gt;0,INDEX('calcA'!BI$110:BI$114,$F21+1)+IF(AND($E21=1,KV21=0),1000,0),MIN(TW21,20)*400+(IF('calcA'!BH$106=1,1-FF21,0)+IF('calcA'!BI$106=1,1-FH21,0))*150+103+'calcA'!BI$5*100000+IF(AND($E21=1,KV21=0),50000,0))+IF($H21=1,INDEX('calcA'!$D$180:$EQ$219,$B21,58)*4000,0)-IF(AND('calcA'!BH$117=1,WF21&gt;0),2000,0)-IF(AND($U21=1,'calcA'!BI$117=1,FH21=0),2000,0))),1000000000))</f>
        <v/>
      </c>
      <c r="QL21">
        <f>IF($B21=0,1000000000,IF(INDEX('calcA'!$D$60:$EQ$99,$B21,59)*IF($W21=1,FH21+ABW21,FH21)=1,IF(AND($E21=2,IF($W21=1,AHL21,KW21)=0),1000000000,IF($V21=1,INDEX('calcA'!$D$130:$EQ$169,$B21,59)+IF(AND($E21=1,KW21=0),25,0),IF($F21&gt;0,INDEX('calcA'!BJ$110:BJ$114,$F21+1)+IF(AND($E21=1,KW21=0),1000,0),MIN(TW21,20)*400+(IF('calcA'!BI$106=1,1-FG21,0)+IF('calcA'!BJ$106=1,1-FI21,0))*150+113+'calcA'!BJ$5*100000+IF(AND($E21=1,KW21=0),50000,0))+IF($H21=1,INDEX('calcA'!$D$180:$EQ$219,$B21,59)*4000,0)-IF(AND('calcA'!BI$117=1,WG21&gt;0),2000,0)-IF(AND($U21=1,'calcA'!BJ$117=1,FI21=0),2000,0))),1000000000))</f>
        <v/>
      </c>
      <c r="QM21">
        <f>IF($B21=0,1000000000,IF(INDEX('calcA'!$D$60:$EQ$99,$B21,60)*IF($W21=1,FI21+ABX21,FI21)=1,IF(AND($E21=2,IF($W21=1,AHM21,KX21)=0),1000000000,IF($V21=1,INDEX('calcA'!$D$130:$EQ$169,$B21,60)+IF(AND($E21=1,KX21=0),25,0),IF($F21&gt;0,INDEX('calcA'!BK$110:BK$114,$F21+1)+IF(AND($E21=1,KX21=0),1000,0),MIN(TW21,20)*400+(IF('calcA'!BJ$106=1,1-FH21,0)+IF('calcA'!BK$106=1,1-FJ21,0))*150+123+'calcA'!BK$5*100000+IF(AND($E21=1,KX21=0),50000,0))+IF($H21=1,INDEX('calcA'!$D$180:$EQ$219,$B21,60)*4000,0)-IF(AND('calcA'!BJ$117=1,WH21&gt;0),2000,0)-IF(AND($U21=1,'calcA'!BK$117=1,FJ21=0),2000,0))),1000000000))</f>
        <v/>
      </c>
      <c r="QN21">
        <f>IF($B21=0,1000000000,IF(INDEX('calcA'!$D$60:$EQ$99,$B21,61)*IF($W21=1,FJ21+ABY21,FJ21)=1,IF(AND($E21=2,IF($W21=1,AHN21,KY21)=0),1000000000,IF($V21=1,INDEX('calcA'!$D$130:$EQ$169,$B21,61)+IF(AND($E21=1,KY21=0),25,0),IF($F21&gt;0,INDEX('calcA'!BL$110:BL$114,$F21+1)+IF(AND($E21=1,KY21=0),1000,0),MIN(TW21,20)*400+(IF('calcA'!BK$106=1,1-FI21,0)+IF('calcA'!BL$106=1,1-FK21,0))*150+133+'calcA'!BL$5*100000+IF(AND($E21=1,KY21=0),50000,0))+IF($H21=1,INDEX('calcA'!$D$180:$EQ$219,$B21,61)*4000,0)-IF(AND('calcA'!BK$117=1,WI21&gt;0),2000,0)-IF(AND($U21=1,'calcA'!BL$117=1,FK21=0),2000,0))),1000000000))</f>
        <v/>
      </c>
      <c r="QO21">
        <f>IF($B21=0,1000000000,IF(INDEX('calcA'!$D$60:$EQ$99,$B21,62)*IF($W21=1,FK21+ABZ21,FK21)=1,IF(AND($E21=2,IF($W21=1,AHO21,KZ21)=0),1000000000,IF($V21=1,INDEX('calcA'!$D$130:$EQ$169,$B21,62)+IF(AND($E21=1,KZ21=0),25,0),IF($F21&gt;0,INDEX('calcA'!BM$110:BM$114,$F21+1)+IF(AND($E21=1,KZ21=0),1000,0),MIN(TW21,20)*400+(IF('calcA'!BL$106=1,1-FJ21,0)+IF('calcA'!BM$106=1,1-FL21,0))*150+143+'calcA'!BM$5*100000+IF(AND($E21=1,KZ21=0),50000,0))+IF($H21=1,INDEX('calcA'!$D$180:$EQ$219,$B21,62)*4000,0)-IF(AND('calcA'!BL$117=1,WJ21&gt;0),2000,0)-IF(AND($U21=1,'calcA'!BM$117=1,FL21=0),2000,0))),1000000000))</f>
        <v/>
      </c>
      <c r="QP21">
        <f>IF($B21=0,1000000000,IF(INDEX('calcA'!$D$60:$EQ$99,$B21,63)*IF($W21=1,FL21+ACA21,FL21)=1,IF(AND($E21=2,IF($W21=1,AHP21,LA21)=0),1000000000,IF($V21=1,INDEX('calcA'!$D$130:$EQ$169,$B21,63)+IF(AND($E21=1,LA21=0),25,0),IF($F21&gt;0,INDEX('calcA'!BN$110:BN$114,$F21+1)+IF(AND($E21=1,LA21=0),1000,0),MIN(TW21,20)*400+(IF('calcA'!BM$106=1,1-FK21,0)+IF('calcA'!BN$106=1,1-FM21,0))*150+153+'calcA'!BN$5*100000+IF(AND($E21=1,LA21=0),50000,0))+IF($H21=1,INDEX('calcA'!$D$180:$EQ$219,$B21,63)*4000,0)-IF(AND('calcA'!BM$117=1,WK21&gt;0),2000,0)-IF(AND($U21=1,'calcA'!BN$117=1,FM21=0),2000,0))),1000000000))</f>
        <v/>
      </c>
      <c r="QQ21">
        <f>IF($B21=0,1000000000,IF(INDEX('calcA'!$D$60:$EQ$99,$B21,64)*IF($W21=1,FM21+ACB21,FM21)=1,IF(AND($E21=2,IF($W21=1,AHQ21,LB21)=0),1000000000,IF($V21=1,INDEX('calcA'!$D$130:$EQ$169,$B21,64)+IF(AND($E21=1,LB21=0),25,0),IF($F21&gt;0,INDEX('calcA'!BO$110:BO$114,$F21+1)+IF(AND($E21=1,LB21=0),1000,0),MIN(TW21,20)*400+(IF('calcA'!BN$106=1,1-FL21,0)+IF('calcA'!BO$106=1,1-FN21,0))*150+163+'calcA'!BO$5*100000+IF(AND($E21=1,LB21=0),50000,0))+IF($H21=1,INDEX('calcA'!$D$180:$EQ$219,$B21,64)*4000,0)-IF(AND('calcA'!BN$117=1,WL21&gt;0),2000,0)-IF(AND($U21=1,'calcA'!BO$117=1,FN21=0),2000,0))),1000000000))</f>
        <v/>
      </c>
      <c r="QR21">
        <f>IF($B21=0,1000000000,IF(INDEX('calcA'!$D$60:$EQ$99,$B21,65)*IF($W21=1,FN21+ACC21,FN21)=1,IF(AND($E21=2,IF($W21=1,AHR21,LC21)=0),1000000000,IF($V21=1,INDEX('calcA'!$D$130:$EQ$169,$B21,65)+IF(AND($E21=1,LC21=0),25,0),IF($F21&gt;0,INDEX('calcA'!BP$110:BP$114,$F21+1)+IF(AND($E21=1,LC21=0),1000,0),MIN(TW21,20)*400+(IF('calcA'!BO$106=1,1-FM21,0)+IF('calcA'!BP$106=1,1-FO21,0))*150+173+'calcA'!BP$5*100000+IF(AND($E21=1,LC21=0),50000,0))+IF($H21=1,INDEX('calcA'!$D$180:$EQ$219,$B21,65)*4000,0)-IF(AND('calcA'!BO$117=1,WM21&gt;0),2000,0)-IF(AND($U21=1,'calcA'!BP$117=1,FO21=0),2000,0))),1000000000))</f>
        <v/>
      </c>
      <c r="QS21">
        <f>IF($B21=0,1000000000,IF(INDEX('calcA'!$D$60:$EQ$99,$B21,66)*IF($W21=1,FO21+ACD21,FO21)=1,IF(AND($E21=2,IF($W21=1,AHS21,LD21)=0),1000000000,IF($V21=1,INDEX('calcA'!$D$130:$EQ$169,$B21,66)+IF(AND($E21=1,LD21=0),25,0),IF($F21&gt;0,INDEX('calcA'!BQ$110:BQ$114,$F21+1)+IF(AND($E21=1,LD21=0),1000,0),MIN(TW21,20)*400+(IF('calcA'!BP$106=1,1-FN21,0)+IF('calcA'!BQ$106=1,1-FP21,0))*150+183+'calcA'!BQ$5*100000+IF(AND($E21=1,LD21=0),50000,0))+IF($H21=1,INDEX('calcA'!$D$180:$EQ$219,$B21,66)*4000,0)-IF(AND('calcA'!BP$117=1,WN21&gt;0),2000,0)-IF(AND($U21=1,'calcA'!BQ$117=1,FP21=0),2000,0))),1000000000))</f>
        <v/>
      </c>
      <c r="QT21">
        <f>IF($B21=0,1000000000,IF(INDEX('calcA'!$D$60:$EQ$99,$B21,67)*IF($W21=1,FP21+ACE21,FP21)=1,IF(AND($E21=2,IF($W21=1,AHT21,LE21)=0),1000000000,IF($V21=1,INDEX('calcA'!$D$130:$EQ$169,$B21,67)+IF(AND($E21=1,LE21=0),25,0),IF($F21&gt;0,INDEX('calcA'!BR$110:BR$114,$F21+1)+IF(AND($E21=1,LE21=0),1000,0),MIN(TW21,20)*400+(IF('calcA'!BQ$106=1,1-FO21,0)+IF('calcA'!BR$106=1,1-FQ21,0))*150+193+'calcA'!BR$5*100000+IF(AND($E21=1,LE21=0),50000,0))+IF($H21=1,INDEX('calcA'!$D$180:$EQ$219,$B21,67)*4000,0)-IF(AND('calcA'!BQ$117=1,WO21&gt;0),2000,0)-IF(AND($U21=1,'calcA'!BR$117=1,FQ21=0),2000,0))),1000000000))</f>
        <v/>
      </c>
      <c r="QU21">
        <f>IF($B21=0,1000000000,IF(INDEX('calcA'!$D$60:$EQ$99,$B21,68)*IF($W21=1,FQ21+ACF21,FQ21)=1,IF(AND($E21=2,IF($W21=1,AHU21,LF21)=0),1000000000,IF($V21=1,INDEX('calcA'!$D$130:$EQ$169,$B21,68)+IF(AND($E21=1,LF21=0),25,0),IF($F21&gt;0,INDEX('calcA'!BS$110:BS$114,$F21+1)+IF(AND($E21=1,LF21=0),1000,0),MIN(TW21,20)*400+(IF('calcA'!BR$106=1,1-FP21,0)+IF('calcA'!BS$106=1,1-FR21,0))*150+203+'calcA'!BS$5*100000+IF(AND($E21=1,LF21=0),50000,0))+IF($H21=1,INDEX('calcA'!$D$180:$EQ$219,$B21,68)*4000,0)-IF(AND('calcA'!BR$117=1,WP21&gt;0),2000,0)-IF(AND($U21=1,'calcA'!BS$117=1,FR21=0),2000,0))),1000000000))</f>
        <v/>
      </c>
      <c r="QV21">
        <f>IF($B21=0,1000000000,IF(INDEX('calcA'!$D$60:$EQ$99,$B21,69)*IF($W21=1,FR21+ACG21,FR21)=1,IF(AND($E21=2,IF($W21=1,AHV21,LG21)=0),1000000000,IF($V21=1,INDEX('calcA'!$D$130:$EQ$169,$B21,69)+IF(AND($E21=1,LG21=0),25,0),IF($F21&gt;0,INDEX('calcA'!BT$110:BT$114,$F21+1)+IF(AND($E21=1,LG21=0),1000,0),MIN(TW21,20)*400+(IF('calcA'!BS$106=1,1-FQ21,0)+IF('calcA'!BT$106=1,1-FS21,0))*150+213+'calcA'!BT$5*100000+IF(AND($E21=1,LG21=0),50000,0))+IF($H21=1,INDEX('calcA'!$D$180:$EQ$219,$B21,69)*4000,0)-IF(AND('calcA'!BS$117=1,WQ21&gt;0),2000,0)-IF(AND($U21=1,'calcA'!BT$117=1,FS21=0),2000,0))),1000000000))</f>
        <v/>
      </c>
      <c r="QW21">
        <f>IF($B21=0,1000000000,IF(INDEX('calcA'!$D$60:$EQ$99,$B21,70)*IF($W21=1,FS21+ACH21,FS21)=1,IF(AND($E21=2,IF($W21=1,AHW21,LH21)=0),1000000000,IF($V21=1,INDEX('calcA'!$D$130:$EQ$169,$B21,70)+IF(AND($E21=1,LH21=0),25,0),IF($F21&gt;0,INDEX('calcA'!BU$110:BU$114,$F21+1)+IF(AND($E21=1,LH21=0),1000,0),MIN(TW21,20)*400+(IF('calcA'!BT$106=1,1-FR21,0)+IF('calcA'!BU$106=1,1-FT21,0))*150+223+'calcA'!BU$5*100000+IF(AND($E21=1,LH21=0),50000,0))+IF($H21=1,INDEX('calcA'!$D$180:$EQ$219,$B21,70)*4000,0)-IF(AND('calcA'!BT$117=1,WR21&gt;0),2000,0)-IF(AND($U21=1,'calcA'!BU$117=1,FT21=0),2000,0))),1000000000))</f>
        <v/>
      </c>
      <c r="QX21">
        <f>IF($B21=0,1000000000,IF(INDEX('calcA'!$D$60:$EQ$99,$B21,71)*IF($W21=1,FT21+ACI21,FT21)=1,IF(AND($E21=2,IF($W21=1,AHX21,LI21)=0),1000000000,IF($V21=1,INDEX('calcA'!$D$130:$EQ$169,$B21,71)+IF(AND($E21=1,LI21=0),25,0),IF($F21&gt;0,INDEX('calcA'!BV$110:BV$114,$F21+1)+IF(AND($E21=1,LI21=0),1000,0),MIN(TW21,20)*400+(IF('calcA'!BU$106=1,1-FS21,0)+IF('calcA'!BV$106=1,1-FU21,0))*150+233+'calcA'!BV$5*100000+IF(AND($E21=1,LI21=0),50000,0))+IF($H21=1,INDEX('calcA'!$D$180:$EQ$219,$B21,71)*4000,0)-IF(AND('calcA'!BU$117=1,WS21&gt;0),2000,0)-IF(AND($U21=1,'calcA'!BV$117=1,FU21=0),2000,0))),1000000000))</f>
        <v/>
      </c>
      <c r="QY21">
        <f>IF($B21=0,1000000000,IF(INDEX('calcA'!$D$60:$EQ$99,$B21,72)*IF($W21=1,FU21+ACJ21,FU21)=1,IF(AND($E21=2,IF($W21=1,AHY21,LJ21)=0),1000000000,IF($V21=1,INDEX('calcA'!$D$130:$EQ$169,$B21,72)+IF(AND($E21=1,LJ21=0),25,0),IF($F21&gt;0,INDEX('calcA'!BW$110:BW$114,$F21+1)+IF(AND($E21=1,LJ21=0),1000,0),MIN(TW21,20)*400+(IF('calcA'!BV$106=1,1-FT21,0))*150+243+'calcA'!BW$5*100000+IF(AND($E21=1,LJ21=0),50000,0))+IF($H21=1,INDEX('calcA'!$D$180:$EQ$219,$B21,72)*4000,0)-IF(AND('calcA'!BV$117=1,WT21&gt;0),2000,0))),1000000000))</f>
        <v/>
      </c>
      <c r="QZ21">
        <f>IF($B21=0,1000000000,IF(INDEX('calcA'!$D$60:$EQ$99,$B21,73)*IF($W21=1,FV21+ACK21,FV21)=1,IF(AND($E21=2,IF($W21=1,AHZ21,LK21)=0),1000000000,IF($V21=1,INDEX('calcA'!$D$130:$EQ$169,$B21,73)+IF(AND($E21=1,LK21=0),25,0),IF($F21&gt;0,INDEX('calcA'!BX$110:BX$114,$F21+1)+IF(AND($E21=1,LK21=0),1000,0),MIN(TX21,20)*400+(IF('calcA'!BX$106=1,1-FW21,0))*150+14+'calcA'!BX$5*100000+IF(AND($E21=1,LK21=0),50000,0))+IF($H21=1,INDEX('calcA'!$D$180:$EQ$219,$B21,73)*4000,0)-IF(AND($U21=1,'calcA'!BX$117=1,FW21=0),2000,0))),1000000000))</f>
        <v/>
      </c>
      <c r="RA21">
        <f>IF($B21=0,1000000000,IF(INDEX('calcA'!$D$60:$EQ$99,$B21,74)*IF($W21=1,FW21+ACL21,FW21)=1,IF(AND($E21=2,IF($W21=1,AIA21,LL21)=0),1000000000,IF($V21=1,INDEX('calcA'!$D$130:$EQ$169,$B21,74)+IF(AND($E21=1,LL21=0),25,0),IF($F21&gt;0,INDEX('calcA'!BY$110:BY$114,$F21+1)+IF(AND($E21=1,LL21=0),1000,0),MIN(TX21,20)*400+(IF('calcA'!BX$106=1,1-FV21,0)+IF('calcA'!BY$106=1,1-FX21,0))*150+24+'calcA'!BY$5*100000+IF(AND($E21=1,LL21=0),50000,0))+IF($H21=1,INDEX('calcA'!$D$180:$EQ$219,$B21,74)*4000,0)-IF(AND('calcA'!BX$117=1,WV21&gt;0),2000,0)-IF(AND($U21=1,'calcA'!BY$117=1,FX21=0),2000,0))),1000000000))</f>
        <v/>
      </c>
      <c r="RB21">
        <f>IF($B21=0,1000000000,IF(INDEX('calcA'!$D$60:$EQ$99,$B21,75)*IF($W21=1,FX21+ACM21,FX21)=1,IF(AND($E21=2,IF($W21=1,AIB21,LM21)=0),1000000000,IF($V21=1,INDEX('calcA'!$D$130:$EQ$169,$B21,75)+IF(AND($E21=1,LM21=0),25,0),IF($F21&gt;0,INDEX('calcA'!BZ$110:BZ$114,$F21+1)+IF(AND($E21=1,LM21=0),1000,0),MIN(TX21,20)*400+(IF('calcA'!BY$106=1,1-FW21,0)+IF('calcA'!BZ$106=1,1-FY21,0))*150+34+'calcA'!BZ$5*100000+IF(AND($E21=1,LM21=0),50000,0))+IF($H21=1,INDEX('calcA'!$D$180:$EQ$219,$B21,75)*4000,0)-IF(AND('calcA'!BY$117=1,WW21&gt;0),2000,0)-IF(AND($U21=1,'calcA'!BZ$117=1,FY21=0),2000,0))),1000000000))</f>
        <v/>
      </c>
      <c r="RC21">
        <f>IF($B21=0,1000000000,IF(INDEX('calcA'!$D$60:$EQ$99,$B21,76)*IF($W21=1,FY21+ACN21,FY21)=1,IF(AND($E21=2,IF($W21=1,AIC21,LN21)=0),1000000000,IF($V21=1,INDEX('calcA'!$D$130:$EQ$169,$B21,76)+IF(AND($E21=1,LN21=0),25,0),IF($F21&gt;0,INDEX('calcA'!CA$110:CA$114,$F21+1)+IF(AND($E21=1,LN21=0),1000,0),MIN(TX21,20)*400+(IF('calcA'!BZ$106=1,1-FX21,0)+IF('calcA'!CA$106=1,1-FZ21,0))*150+44+'calcA'!CA$5*100000+IF(AND($E21=1,LN21=0),50000,0))+IF($H21=1,INDEX('calcA'!$D$180:$EQ$219,$B21,76)*4000,0)-IF(AND('calcA'!BZ$117=1,WX21&gt;0),2000,0)-IF(AND($U21=1,'calcA'!CA$117=1,FZ21=0),2000,0))),1000000000))</f>
        <v/>
      </c>
      <c r="RD21">
        <f>IF($B21=0,1000000000,IF(INDEX('calcA'!$D$60:$EQ$99,$B21,77)*IF($W21=1,FZ21+ACO21,FZ21)=1,IF(AND($E21=2,IF($W21=1,AID21,LO21)=0),1000000000,IF($V21=1,INDEX('calcA'!$D$130:$EQ$169,$B21,77)+IF(AND($E21=1,LO21=0),25,0),IF($F21&gt;0,INDEX('calcA'!CB$110:CB$114,$F21+1)+IF(AND($E21=1,LO21=0),1000,0),MIN(TX21,20)*400+(IF('calcA'!CA$106=1,1-FY21,0)+IF('calcA'!CB$106=1,1-GA21,0))*150+54+'calcA'!CB$5*100000+IF(AND($E21=1,LO21=0),50000,0))+IF($H21=1,INDEX('calcA'!$D$180:$EQ$219,$B21,77)*4000,0)-IF(AND('calcA'!CA$117=1,WY21&gt;0),2000,0)-IF(AND($U21=1,'calcA'!CB$117=1,GA21=0),2000,0))),1000000000))</f>
        <v/>
      </c>
      <c r="RE21">
        <f>IF($B21=0,1000000000,IF(INDEX('calcA'!$D$60:$EQ$99,$B21,78)*IF($W21=1,GA21+ACP21,GA21)=1,IF(AND($E21=2,IF($W21=1,AIE21,LP21)=0),1000000000,IF($V21=1,INDEX('calcA'!$D$130:$EQ$169,$B21,78)+IF(AND($E21=1,LP21=0),25,0),IF($F21&gt;0,INDEX('calcA'!CC$110:CC$114,$F21+1)+IF(AND($E21=1,LP21=0),1000,0),MIN(TX21,20)*400+(IF('calcA'!CB$106=1,1-FZ21,0)+IF('calcA'!CC$106=1,1-GB21,0))*150+64+'calcA'!CC$5*100000+IF(AND($E21=1,LP21=0),50000,0))+IF($H21=1,INDEX('calcA'!$D$180:$EQ$219,$B21,78)*4000,0)-IF(AND('calcA'!CB$117=1,WZ21&gt;0),2000,0)-IF(AND($U21=1,'calcA'!CC$117=1,GB21=0),2000,0))),1000000000))</f>
        <v/>
      </c>
      <c r="RF21">
        <f>IF($B21=0,1000000000,IF(INDEX('calcA'!$D$60:$EQ$99,$B21,79)*IF($W21=1,GB21+ACQ21,GB21)=1,IF(AND($E21=2,IF($W21=1,AIF21,LQ21)=0),1000000000,IF($V21=1,INDEX('calcA'!$D$130:$EQ$169,$B21,79)+IF(AND($E21=1,LQ21=0),25,0),IF($F21&gt;0,INDEX('calcA'!CD$110:CD$114,$F21+1)+IF(AND($E21=1,LQ21=0),1000,0),MIN(TX21,20)*400+(IF('calcA'!CC$106=1,1-GA21,0)+IF('calcA'!CD$106=1,1-GC21,0))*150+74+'calcA'!CD$5*100000+IF(AND($E21=1,LQ21=0),50000,0))+IF($H21=1,INDEX('calcA'!$D$180:$EQ$219,$B21,79)*4000,0)-IF(AND('calcA'!CC$117=1,XA21&gt;0),2000,0)-IF(AND($U21=1,'calcA'!CD$117=1,GC21=0),2000,0))),1000000000))</f>
        <v/>
      </c>
      <c r="RG21">
        <f>IF($B21=0,1000000000,IF(INDEX('calcA'!$D$60:$EQ$99,$B21,80)*IF($W21=1,GC21+ACR21,GC21)=1,IF(AND($E21=2,IF($W21=1,AIG21,LR21)=0),1000000000,IF($V21=1,INDEX('calcA'!$D$130:$EQ$169,$B21,80)+IF(AND($E21=1,LR21=0),25,0),IF($F21&gt;0,INDEX('calcA'!CE$110:CE$114,$F21+1)+IF(AND($E21=1,LR21=0),1000,0),MIN(TX21,20)*400+(IF('calcA'!CD$106=1,1-GB21,0)+IF('calcA'!CE$106=1,1-GD21,0))*150+84+'calcA'!CE$5*100000+IF(AND($E21=1,LR21=0),50000,0))+IF($H21=1,INDEX('calcA'!$D$180:$EQ$219,$B21,80)*4000,0)-IF(AND('calcA'!CD$117=1,XB21&gt;0),2000,0)-IF(AND($U21=1,'calcA'!CE$117=1,GD21=0),2000,0))),1000000000))</f>
        <v/>
      </c>
      <c r="RH21">
        <f>IF($B21=0,1000000000,IF(INDEX('calcA'!$D$60:$EQ$99,$B21,81)*IF($W21=1,GD21+ACS21,GD21)=1,IF(AND($E21=2,IF($W21=1,AIH21,LS21)=0),1000000000,IF($V21=1,INDEX('calcA'!$D$130:$EQ$169,$B21,81)+IF(AND($E21=1,LS21=0),25,0),IF($F21&gt;0,INDEX('calcA'!CF$110:CF$114,$F21+1)+IF(AND($E21=1,LS21=0),1000,0),MIN(TX21,20)*400+(IF('calcA'!CE$106=1,1-GC21,0)+IF('calcA'!CF$106=1,1-GE21,0))*150+94+'calcA'!CF$5*100000+IF(AND($E21=1,LS21=0),50000,0))+IF($H21=1,INDEX('calcA'!$D$180:$EQ$219,$B21,81)*4000,0)-IF(AND('calcA'!CE$117=1,XC21&gt;0),2000,0)-IF(AND($U21=1,'calcA'!CF$117=1,GE21=0),2000,0))),1000000000))</f>
        <v/>
      </c>
      <c r="RI21">
        <f>IF($B21=0,1000000000,IF(INDEX('calcA'!$D$60:$EQ$99,$B21,82)*IF($W21=1,GE21+ACT21,GE21)=1,IF(AND($E21=2,IF($W21=1,AII21,LT21)=0),1000000000,IF($V21=1,INDEX('calcA'!$D$130:$EQ$169,$B21,82)+IF(AND($E21=1,LT21=0),25,0),IF($F21&gt;0,INDEX('calcA'!CG$110:CG$114,$F21+1)+IF(AND($E21=1,LT21=0),1000,0),MIN(TX21,20)*400+(IF('calcA'!CF$106=1,1-GD21,0)+IF('calcA'!CG$106=1,1-GF21,0))*150+104+'calcA'!CG$5*100000+IF(AND($E21=1,LT21=0),50000,0))+IF($H21=1,INDEX('calcA'!$D$180:$EQ$219,$B21,82)*4000,0)-IF(AND('calcA'!CF$117=1,XD21&gt;0),2000,0)-IF(AND($U21=1,'calcA'!CG$117=1,GF21=0),2000,0))),1000000000))</f>
        <v/>
      </c>
      <c r="RJ21">
        <f>IF($B21=0,1000000000,IF(INDEX('calcA'!$D$60:$EQ$99,$B21,83)*IF($W21=1,GF21+ACU21,GF21)=1,IF(AND($E21=2,IF($W21=1,AIJ21,LU21)=0),1000000000,IF($V21=1,INDEX('calcA'!$D$130:$EQ$169,$B21,83)+IF(AND($E21=1,LU21=0),25,0),IF($F21&gt;0,INDEX('calcA'!CH$110:CH$114,$F21+1)+IF(AND($E21=1,LU21=0),1000,0),MIN(TX21,20)*400+(IF('calcA'!CG$106=1,1-GE21,0)+IF('calcA'!CH$106=1,1-GG21,0))*150+114+'calcA'!CH$5*100000+IF(AND($E21=1,LU21=0),50000,0))+IF($H21=1,INDEX('calcA'!$D$180:$EQ$219,$B21,83)*4000,0)-IF(AND('calcA'!CG$117=1,XE21&gt;0),2000,0)-IF(AND($U21=1,'calcA'!CH$117=1,GG21=0),2000,0))),1000000000))</f>
        <v/>
      </c>
      <c r="RK21">
        <f>IF($B21=0,1000000000,IF(INDEX('calcA'!$D$60:$EQ$99,$B21,84)*IF($W21=1,GG21+ACV21,GG21)=1,IF(AND($E21=2,IF($W21=1,AIK21,LV21)=0),1000000000,IF($V21=1,INDEX('calcA'!$D$130:$EQ$169,$B21,84)+IF(AND($E21=1,LV21=0),25,0),IF($F21&gt;0,INDEX('calcA'!CI$110:CI$114,$F21+1)+IF(AND($E21=1,LV21=0),1000,0),MIN(TX21,20)*400+(IF('calcA'!CH$106=1,1-GF21,0)+IF('calcA'!CI$106=1,1-GH21,0))*150+124+'calcA'!CI$5*100000+IF(AND($E21=1,LV21=0),50000,0))+IF($H21=1,INDEX('calcA'!$D$180:$EQ$219,$B21,84)*4000,0)-IF(AND('calcA'!CH$117=1,XF21&gt;0),2000,0)-IF(AND($U21=1,'calcA'!CI$117=1,GH21=0),2000,0))),1000000000))</f>
        <v/>
      </c>
      <c r="RL21">
        <f>IF($B21=0,1000000000,IF(INDEX('calcA'!$D$60:$EQ$99,$B21,85)*IF($W21=1,GH21+ACW21,GH21)=1,IF(AND($E21=2,IF($W21=1,AIL21,LW21)=0),1000000000,IF($V21=1,INDEX('calcA'!$D$130:$EQ$169,$B21,85)+IF(AND($E21=1,LW21=0),25,0),IF($F21&gt;0,INDEX('calcA'!CJ$110:CJ$114,$F21+1)+IF(AND($E21=1,LW21=0),1000,0),MIN(TX21,20)*400+(IF('calcA'!CI$106=1,1-GG21,0)+IF('calcA'!CJ$106=1,1-GI21,0))*150+134+'calcA'!CJ$5*100000+IF(AND($E21=1,LW21=0),50000,0))+IF($H21=1,INDEX('calcA'!$D$180:$EQ$219,$B21,85)*4000,0)-IF(AND('calcA'!CI$117=1,XG21&gt;0),2000,0)-IF(AND($U21=1,'calcA'!CJ$117=1,GI21=0),2000,0))),1000000000))</f>
        <v/>
      </c>
      <c r="RM21">
        <f>IF($B21=0,1000000000,IF(INDEX('calcA'!$D$60:$EQ$99,$B21,86)*IF($W21=1,GI21+ACX21,GI21)=1,IF(AND($E21=2,IF($W21=1,AIM21,LX21)=0),1000000000,IF($V21=1,INDEX('calcA'!$D$130:$EQ$169,$B21,86)+IF(AND($E21=1,LX21=0),25,0),IF($F21&gt;0,INDEX('calcA'!CK$110:CK$114,$F21+1)+IF(AND($E21=1,LX21=0),1000,0),MIN(TX21,20)*400+(IF('calcA'!CJ$106=1,1-GH21,0)+IF('calcA'!CK$106=1,1-GJ21,0))*150+144+'calcA'!CK$5*100000+IF(AND($E21=1,LX21=0),50000,0))+IF($H21=1,INDEX('calcA'!$D$180:$EQ$219,$B21,86)*4000,0)-IF(AND('calcA'!CJ$117=1,XH21&gt;0),2000,0)-IF(AND($U21=1,'calcA'!CK$117=1,GJ21=0),2000,0))),1000000000))</f>
        <v/>
      </c>
      <c r="RN21">
        <f>IF($B21=0,1000000000,IF(INDEX('calcA'!$D$60:$EQ$99,$B21,87)*IF($W21=1,GJ21+ACY21,GJ21)=1,IF(AND($E21=2,IF($W21=1,AIN21,LY21)=0),1000000000,IF($V21=1,INDEX('calcA'!$D$130:$EQ$169,$B21,87)+IF(AND($E21=1,LY21=0),25,0),IF($F21&gt;0,INDEX('calcA'!CL$110:CL$114,$F21+1)+IF(AND($E21=1,LY21=0),1000,0),MIN(TX21,20)*400+(IF('calcA'!CK$106=1,1-GI21,0)+IF('calcA'!CL$106=1,1-GK21,0))*150+154+'calcA'!CL$5*100000+IF(AND($E21=1,LY21=0),50000,0))+IF($H21=1,INDEX('calcA'!$D$180:$EQ$219,$B21,87)*4000,0)-IF(AND('calcA'!CK$117=1,XI21&gt;0),2000,0)-IF(AND($U21=1,'calcA'!CL$117=1,GK21=0),2000,0))),1000000000))</f>
        <v/>
      </c>
      <c r="RO21">
        <f>IF($B21=0,1000000000,IF(INDEX('calcA'!$D$60:$EQ$99,$B21,88)*IF($W21=1,GK21+ACZ21,GK21)=1,IF(AND($E21=2,IF($W21=1,AIO21,LZ21)=0),1000000000,IF($V21=1,INDEX('calcA'!$D$130:$EQ$169,$B21,88)+IF(AND($E21=1,LZ21=0),25,0),IF($F21&gt;0,INDEX('calcA'!CM$110:CM$114,$F21+1)+IF(AND($E21=1,LZ21=0),1000,0),MIN(TX21,20)*400+(IF('calcA'!CL$106=1,1-GJ21,0)+IF('calcA'!CM$106=1,1-GL21,0))*150+164+'calcA'!CM$5*100000+IF(AND($E21=1,LZ21=0),50000,0))+IF($H21=1,INDEX('calcA'!$D$180:$EQ$219,$B21,88)*4000,0)-IF(AND('calcA'!CL$117=1,XJ21&gt;0),2000,0)-IF(AND($U21=1,'calcA'!CM$117=1,GL21=0),2000,0))),1000000000))</f>
        <v/>
      </c>
      <c r="RP21">
        <f>IF($B21=0,1000000000,IF(INDEX('calcA'!$D$60:$EQ$99,$B21,89)*IF($W21=1,GL21+ADA21,GL21)=1,IF(AND($E21=2,IF($W21=1,AIP21,MA21)=0),1000000000,IF($V21=1,INDEX('calcA'!$D$130:$EQ$169,$B21,89)+IF(AND($E21=1,MA21=0),25,0),IF($F21&gt;0,INDEX('calcA'!CN$110:CN$114,$F21+1)+IF(AND($E21=1,MA21=0),1000,0),MIN(TX21,20)*400+(IF('calcA'!CM$106=1,1-GK21,0)+IF('calcA'!CN$106=1,1-GM21,0))*150+174+'calcA'!CN$5*100000+IF(AND($E21=1,MA21=0),50000,0))+IF($H21=1,INDEX('calcA'!$D$180:$EQ$219,$B21,89)*4000,0)-IF(AND('calcA'!CM$117=1,XK21&gt;0),2000,0)-IF(AND($U21=1,'calcA'!CN$117=1,GM21=0),2000,0))),1000000000))</f>
        <v/>
      </c>
      <c r="RQ21">
        <f>IF($B21=0,1000000000,IF(INDEX('calcA'!$D$60:$EQ$99,$B21,90)*IF($W21=1,GM21+ADB21,GM21)=1,IF(AND($E21=2,IF($W21=1,AIQ21,MB21)=0),1000000000,IF($V21=1,INDEX('calcA'!$D$130:$EQ$169,$B21,90)+IF(AND($E21=1,MB21=0),25,0),IF($F21&gt;0,INDEX('calcA'!CO$110:CO$114,$F21+1)+IF(AND($E21=1,MB21=0),1000,0),MIN(TX21,20)*400+(IF('calcA'!CN$106=1,1-GL21,0)+IF('calcA'!CO$106=1,1-GN21,0))*150+184+'calcA'!CO$5*100000+IF(AND($E21=1,MB21=0),50000,0))+IF($H21=1,INDEX('calcA'!$D$180:$EQ$219,$B21,90)*4000,0)-IF(AND('calcA'!CN$117=1,XL21&gt;0),2000,0)-IF(AND($U21=1,'calcA'!CO$117=1,GN21=0),2000,0))),1000000000))</f>
        <v/>
      </c>
      <c r="RR21">
        <f>IF($B21=0,1000000000,IF(INDEX('calcA'!$D$60:$EQ$99,$B21,91)*IF($W21=1,GN21+ADC21,GN21)=1,IF(AND($E21=2,IF($W21=1,AIR21,MC21)=0),1000000000,IF($V21=1,INDEX('calcA'!$D$130:$EQ$169,$B21,91)+IF(AND($E21=1,MC21=0),25,0),IF($F21&gt;0,INDEX('calcA'!CP$110:CP$114,$F21+1)+IF(AND($E21=1,MC21=0),1000,0),MIN(TX21,20)*400+(IF('calcA'!CO$106=1,1-GM21,0)+IF('calcA'!CP$106=1,1-GO21,0))*150+194+'calcA'!CP$5*100000+IF(AND($E21=1,MC21=0),50000,0))+IF($H21=1,INDEX('calcA'!$D$180:$EQ$219,$B21,91)*4000,0)-IF(AND('calcA'!CO$117=1,XM21&gt;0),2000,0)-IF(AND($U21=1,'calcA'!CP$117=1,GO21=0),2000,0))),1000000000))</f>
        <v/>
      </c>
      <c r="RS21">
        <f>IF($B21=0,1000000000,IF(INDEX('calcA'!$D$60:$EQ$99,$B21,92)*IF($W21=1,GO21+ADD21,GO21)=1,IF(AND($E21=2,IF($W21=1,AIS21,MD21)=0),1000000000,IF($V21=1,INDEX('calcA'!$D$130:$EQ$169,$B21,92)+IF(AND($E21=1,MD21=0),25,0),IF($F21&gt;0,INDEX('calcA'!CQ$110:CQ$114,$F21+1)+IF(AND($E21=1,MD21=0),1000,0),MIN(TX21,20)*400+(IF('calcA'!CP$106=1,1-GN21,0)+IF('calcA'!CQ$106=1,1-GP21,0))*150+204+'calcA'!CQ$5*100000+IF(AND($E21=1,MD21=0),50000,0))+IF($H21=1,INDEX('calcA'!$D$180:$EQ$219,$B21,92)*4000,0)-IF(AND('calcA'!CP$117=1,XN21&gt;0),2000,0)-IF(AND($U21=1,'calcA'!CQ$117=1,GP21=0),2000,0))),1000000000))</f>
        <v/>
      </c>
      <c r="RT21">
        <f>IF($B21=0,1000000000,IF(INDEX('calcA'!$D$60:$EQ$99,$B21,93)*IF($W21=1,GP21+ADE21,GP21)=1,IF(AND($E21=2,IF($W21=1,AIT21,ME21)=0),1000000000,IF($V21=1,INDEX('calcA'!$D$130:$EQ$169,$B21,93)+IF(AND($E21=1,ME21=0),25,0),IF($F21&gt;0,INDEX('calcA'!CR$110:CR$114,$F21+1)+IF(AND($E21=1,ME21=0),1000,0),MIN(TX21,20)*400+(IF('calcA'!CQ$106=1,1-GO21,0)+IF('calcA'!CR$106=1,1-GQ21,0))*150+214+'calcA'!CR$5*100000+IF(AND($E21=1,ME21=0),50000,0))+IF($H21=1,INDEX('calcA'!$D$180:$EQ$219,$B21,93)*4000,0)-IF(AND('calcA'!CQ$117=1,XO21&gt;0),2000,0)-IF(AND($U21=1,'calcA'!CR$117=1,GQ21=0),2000,0))),1000000000))</f>
        <v/>
      </c>
      <c r="RU21">
        <f>IF($B21=0,1000000000,IF(INDEX('calcA'!$D$60:$EQ$99,$B21,94)*IF($W21=1,GQ21+ADF21,GQ21)=1,IF(AND($E21=2,IF($W21=1,AIU21,MF21)=0),1000000000,IF($V21=1,INDEX('calcA'!$D$130:$EQ$169,$B21,94)+IF(AND($E21=1,MF21=0),25,0),IF($F21&gt;0,INDEX('calcA'!CS$110:CS$114,$F21+1)+IF(AND($E21=1,MF21=0),1000,0),MIN(TX21,20)*400+(IF('calcA'!CR$106=1,1-GP21,0)+IF('calcA'!CS$106=1,1-GR21,0))*150+224+'calcA'!CS$5*100000+IF(AND($E21=1,MF21=0),50000,0))+IF($H21=1,INDEX('calcA'!$D$180:$EQ$219,$B21,94)*4000,0)-IF(AND('calcA'!CR$117=1,XP21&gt;0),2000,0)-IF(AND($U21=1,'calcA'!CS$117=1,GR21=0),2000,0))),1000000000))</f>
        <v/>
      </c>
      <c r="RV21">
        <f>IF($B21=0,1000000000,IF(INDEX('calcA'!$D$60:$EQ$99,$B21,95)*IF($W21=1,GR21+ADG21,GR21)=1,IF(AND($E21=2,IF($W21=1,AIV21,MG21)=0),1000000000,IF($V21=1,INDEX('calcA'!$D$130:$EQ$169,$B21,95)+IF(AND($E21=1,MG21=0),25,0),IF($F21&gt;0,INDEX('calcA'!CT$110:CT$114,$F21+1)+IF(AND($E21=1,MG21=0),1000,0),MIN(TX21,20)*400+(IF('calcA'!CS$106=1,1-GQ21,0)+IF('calcA'!CT$106=1,1-GS21,0))*150+234+'calcA'!CT$5*100000+IF(AND($E21=1,MG21=0),50000,0))+IF($H21=1,INDEX('calcA'!$D$180:$EQ$219,$B21,95)*4000,0)-IF(AND('calcA'!CS$117=1,XQ21&gt;0),2000,0)-IF(AND($U21=1,'calcA'!CT$117=1,GS21=0),2000,0))),1000000000))</f>
        <v/>
      </c>
      <c r="RW21">
        <f>IF($B21=0,1000000000,IF(INDEX('calcA'!$D$60:$EQ$99,$B21,96)*IF($W21=1,GS21+ADH21,GS21)=1,IF(AND($E21=2,IF($W21=1,AIW21,MH21)=0),1000000000,IF($V21=1,INDEX('calcA'!$D$130:$EQ$169,$B21,96)+IF(AND($E21=1,MH21=0),25,0),IF($F21&gt;0,INDEX('calcA'!CU$110:CU$114,$F21+1)+IF(AND($E21=1,MH21=0),1000,0),MIN(TX21,20)*400+(IF('calcA'!CT$106=1,1-GR21,0))*150+244+'calcA'!CU$5*100000+IF(AND($E21=1,MH21=0),50000,0))+IF($H21=1,INDEX('calcA'!$D$180:$EQ$219,$B21,96)*4000,0)-IF(AND('calcA'!CT$117=1,XR21&gt;0),2000,0))),1000000000))</f>
        <v/>
      </c>
      <c r="RX21">
        <f>IF($B21=0,1000000000,IF(INDEX('calcA'!$D$60:$EQ$99,$B21,97)*IF($W21=1,GT21+ADI21,GT21)=1,IF(AND($E21=2,IF($W21=1,AIX21,MI21)=0),1000000000,IF($V21=1,INDEX('calcA'!$D$130:$EQ$169,$B21,97)+IF(AND($E21=1,MI21=0),25,0),IF($F21&gt;0,INDEX('calcA'!CV$110:CV$114,$F21+1)+IF(AND($E21=1,MI21=0),1000,0),MIN(TY21,20)*400+(IF('calcA'!CV$106=1,1-GU21,0))*150+15+'calcA'!CV$5*100000+IF(AND($E21=1,MI21=0),50000,0))+IF($H21=1,INDEX('calcA'!$D$180:$EQ$219,$B21,97)*4000,0)-IF(AND($U21=1,'calcA'!CV$117=1,GU21=0),2000,0))),1000000000))</f>
        <v/>
      </c>
      <c r="RY21">
        <f>IF($B21=0,1000000000,IF(INDEX('calcA'!$D$60:$EQ$99,$B21,98)*IF($W21=1,GU21+ADJ21,GU21)=1,IF(AND($E21=2,IF($W21=1,AIY21,MJ21)=0),1000000000,IF($V21=1,INDEX('calcA'!$D$130:$EQ$169,$B21,98)+IF(AND($E21=1,MJ21=0),25,0),IF($F21&gt;0,INDEX('calcA'!CW$110:CW$114,$F21+1)+IF(AND($E21=1,MJ21=0),1000,0),MIN(TY21,20)*400+(IF('calcA'!CV$106=1,1-GT21,0)+IF('calcA'!CW$106=1,1-GV21,0))*150+25+'calcA'!CW$5*100000+IF(AND($E21=1,MJ21=0),50000,0))+IF($H21=1,INDEX('calcA'!$D$180:$EQ$219,$B21,98)*4000,0)-IF(AND('calcA'!CV$117=1,XT21&gt;0),2000,0)-IF(AND($U21=1,'calcA'!CW$117=1,GV21=0),2000,0))),1000000000))</f>
        <v/>
      </c>
      <c r="RZ21">
        <f>IF($B21=0,1000000000,IF(INDEX('calcA'!$D$60:$EQ$99,$B21,99)*IF($W21=1,GV21+ADK21,GV21)=1,IF(AND($E21=2,IF($W21=1,AIZ21,MK21)=0),1000000000,IF($V21=1,INDEX('calcA'!$D$130:$EQ$169,$B21,99)+IF(AND($E21=1,MK21=0),25,0),IF($F21&gt;0,INDEX('calcA'!CX$110:CX$114,$F21+1)+IF(AND($E21=1,MK21=0),1000,0),MIN(TY21,20)*400+(IF('calcA'!CW$106=1,1-GU21,0)+IF('calcA'!CX$106=1,1-GW21,0))*150+35+'calcA'!CX$5*100000+IF(AND($E21=1,MK21=0),50000,0))+IF($H21=1,INDEX('calcA'!$D$180:$EQ$219,$B21,99)*4000,0)-IF(AND('calcA'!CW$117=1,XU21&gt;0),2000,0)-IF(AND($U21=1,'calcA'!CX$117=1,GW21=0),2000,0))),1000000000))</f>
        <v/>
      </c>
      <c r="SA21">
        <f>IF($B21=0,1000000000,IF(INDEX('calcA'!$D$60:$EQ$99,$B21,100)*IF($W21=1,GW21+ADL21,GW21)=1,IF(AND($E21=2,IF($W21=1,AJA21,ML21)=0),1000000000,IF($V21=1,INDEX('calcA'!$D$130:$EQ$169,$B21,100)+IF(AND($E21=1,ML21=0),25,0),IF($F21&gt;0,INDEX('calcA'!CY$110:CY$114,$F21+1)+IF(AND($E21=1,ML21=0),1000,0),MIN(TY21,20)*400+(IF('calcA'!CX$106=1,1-GV21,0)+IF('calcA'!CY$106=1,1-GX21,0))*150+45+'calcA'!CY$5*100000+IF(AND($E21=1,ML21=0),50000,0))+IF($H21=1,INDEX('calcA'!$D$180:$EQ$219,$B21,100)*4000,0)-IF(AND('calcA'!CX$117=1,XV21&gt;0),2000,0)-IF(AND($U21=1,'calcA'!CY$117=1,GX21=0),2000,0))),1000000000))</f>
        <v/>
      </c>
      <c r="SB21">
        <f>IF($B21=0,1000000000,IF(INDEX('calcA'!$D$60:$EQ$99,$B21,101)*IF($W21=1,GX21+ADM21,GX21)=1,IF(AND($E21=2,IF($W21=1,AJB21,MM21)=0),1000000000,IF($V21=1,INDEX('calcA'!$D$130:$EQ$169,$B21,101)+IF(AND($E21=1,MM21=0),25,0),IF($F21&gt;0,INDEX('calcA'!CZ$110:CZ$114,$F21+1)+IF(AND($E21=1,MM21=0),1000,0),MIN(TY21,20)*400+(IF('calcA'!CY$106=1,1-GW21,0)+IF('calcA'!CZ$106=1,1-GY21,0))*150+55+'calcA'!CZ$5*100000+IF(AND($E21=1,MM21=0),50000,0))+IF($H21=1,INDEX('calcA'!$D$180:$EQ$219,$B21,101)*4000,0)-IF(AND('calcA'!CY$117=1,XW21&gt;0),2000,0)-IF(AND($U21=1,'calcA'!CZ$117=1,GY21=0),2000,0))),1000000000))</f>
        <v/>
      </c>
      <c r="SC21">
        <f>IF($B21=0,1000000000,IF(INDEX('calcA'!$D$60:$EQ$99,$B21,102)*IF($W21=1,GY21+ADN21,GY21)=1,IF(AND($E21=2,IF($W21=1,AJC21,MN21)=0),1000000000,IF($V21=1,INDEX('calcA'!$D$130:$EQ$169,$B21,102)+IF(AND($E21=1,MN21=0),25,0),IF($F21&gt;0,INDEX('calcA'!DA$110:DA$114,$F21+1)+IF(AND($E21=1,MN21=0),1000,0),MIN(TY21,20)*400+(IF('calcA'!CZ$106=1,1-GX21,0)+IF('calcA'!DA$106=1,1-GZ21,0))*150+65+'calcA'!DA$5*100000+IF(AND($E21=1,MN21=0),50000,0))+IF($H21=1,INDEX('calcA'!$D$180:$EQ$219,$B21,102)*4000,0)-IF(AND('calcA'!CZ$117=1,XX21&gt;0),2000,0)-IF(AND($U21=1,'calcA'!DA$117=1,GZ21=0),2000,0))),1000000000))</f>
        <v/>
      </c>
      <c r="SD21">
        <f>IF($B21=0,1000000000,IF(INDEX('calcA'!$D$60:$EQ$99,$B21,103)*IF($W21=1,GZ21+ADO21,GZ21)=1,IF(AND($E21=2,IF($W21=1,AJD21,MO21)=0),1000000000,IF($V21=1,INDEX('calcA'!$D$130:$EQ$169,$B21,103)+IF(AND($E21=1,MO21=0),25,0),IF($F21&gt;0,INDEX('calcA'!DB$110:DB$114,$F21+1)+IF(AND($E21=1,MO21=0),1000,0),MIN(TY21,20)*400+(IF('calcA'!DA$106=1,1-GY21,0)+IF('calcA'!DB$106=1,1-HA21,0))*150+75+'calcA'!DB$5*100000+IF(AND($E21=1,MO21=0),50000,0))+IF($H21=1,INDEX('calcA'!$D$180:$EQ$219,$B21,103)*4000,0)-IF(AND('calcA'!DA$117=1,XY21&gt;0),2000,0)-IF(AND($U21=1,'calcA'!DB$117=1,HA21=0),2000,0))),1000000000))</f>
        <v/>
      </c>
      <c r="SE21">
        <f>IF($B21=0,1000000000,IF(INDEX('calcA'!$D$60:$EQ$99,$B21,104)*IF($W21=1,HA21+ADP21,HA21)=1,IF(AND($E21=2,IF($W21=1,AJE21,MP21)=0),1000000000,IF($V21=1,INDEX('calcA'!$D$130:$EQ$169,$B21,104)+IF(AND($E21=1,MP21=0),25,0),IF($F21&gt;0,INDEX('calcA'!DC$110:DC$114,$F21+1)+IF(AND($E21=1,MP21=0),1000,0),MIN(TY21,20)*400+(IF('calcA'!DB$106=1,1-GZ21,0)+IF('calcA'!DC$106=1,1-HB21,0))*150+85+'calcA'!DC$5*100000+IF(AND($E21=1,MP21=0),50000,0))+IF($H21=1,INDEX('calcA'!$D$180:$EQ$219,$B21,104)*4000,0)-IF(AND('calcA'!DB$117=1,XZ21&gt;0),2000,0)-IF(AND($U21=1,'calcA'!DC$117=1,HB21=0),2000,0))),1000000000))</f>
        <v/>
      </c>
      <c r="SF21">
        <f>IF($B21=0,1000000000,IF(INDEX('calcA'!$D$60:$EQ$99,$B21,105)*IF($W21=1,HB21+ADQ21,HB21)=1,IF(AND($E21=2,IF($W21=1,AJF21,MQ21)=0),1000000000,IF($V21=1,INDEX('calcA'!$D$130:$EQ$169,$B21,105)+IF(AND($E21=1,MQ21=0),25,0),IF($F21&gt;0,INDEX('calcA'!DD$110:DD$114,$F21+1)+IF(AND($E21=1,MQ21=0),1000,0),MIN(TY21,20)*400+(IF('calcA'!DC$106=1,1-HA21,0)+IF('calcA'!DD$106=1,1-HC21,0))*150+95+'calcA'!DD$5*100000+IF(AND($E21=1,MQ21=0),50000,0))+IF($H21=1,INDEX('calcA'!$D$180:$EQ$219,$B21,105)*4000,0)-IF(AND('calcA'!DC$117=1,YA21&gt;0),2000,0)-IF(AND($U21=1,'calcA'!DD$117=1,HC21=0),2000,0))),1000000000))</f>
        <v/>
      </c>
      <c r="SG21">
        <f>IF($B21=0,1000000000,IF(INDEX('calcA'!$D$60:$EQ$99,$B21,106)*IF($W21=1,HC21+ADR21,HC21)=1,IF(AND($E21=2,IF($W21=1,AJG21,MR21)=0),1000000000,IF($V21=1,INDEX('calcA'!$D$130:$EQ$169,$B21,106)+IF(AND($E21=1,MR21=0),25,0),IF($F21&gt;0,INDEX('calcA'!DE$110:DE$114,$F21+1)+IF(AND($E21=1,MR21=0),1000,0),MIN(TY21,20)*400+(IF('calcA'!DD$106=1,1-HB21,0)+IF('calcA'!DE$106=1,1-HD21,0))*150+105+'calcA'!DE$5*100000+IF(AND($E21=1,MR21=0),50000,0))+IF($H21=1,INDEX('calcA'!$D$180:$EQ$219,$B21,106)*4000,0)-IF(AND('calcA'!DD$117=1,YB21&gt;0),2000,0)-IF(AND($U21=1,'calcA'!DE$117=1,HD21=0),2000,0))),1000000000))</f>
        <v/>
      </c>
      <c r="SH21">
        <f>IF($B21=0,1000000000,IF(INDEX('calcA'!$D$60:$EQ$99,$B21,107)*IF($W21=1,HD21+ADS21,HD21)=1,IF(AND($E21=2,IF($W21=1,AJH21,MS21)=0),1000000000,IF($V21=1,INDEX('calcA'!$D$130:$EQ$169,$B21,107)+IF(AND($E21=1,MS21=0),25,0),IF($F21&gt;0,INDEX('calcA'!DF$110:DF$114,$F21+1)+IF(AND($E21=1,MS21=0),1000,0),MIN(TY21,20)*400+(IF('calcA'!DE$106=1,1-HC21,0)+IF('calcA'!DF$106=1,1-HE21,0))*150+115+'calcA'!DF$5*100000+IF(AND($E21=1,MS21=0),50000,0))+IF($H21=1,INDEX('calcA'!$D$180:$EQ$219,$B21,107)*4000,0)-IF(AND('calcA'!DE$117=1,YC21&gt;0),2000,0)-IF(AND($U21=1,'calcA'!DF$117=1,HE21=0),2000,0))),1000000000))</f>
        <v/>
      </c>
      <c r="SI21">
        <f>IF($B21=0,1000000000,IF(INDEX('calcA'!$D$60:$EQ$99,$B21,108)*IF($W21=1,HE21+ADT21,HE21)=1,IF(AND($E21=2,IF($W21=1,AJI21,MT21)=0),1000000000,IF($V21=1,INDEX('calcA'!$D$130:$EQ$169,$B21,108)+IF(AND($E21=1,MT21=0),25,0),IF($F21&gt;0,INDEX('calcA'!DG$110:DG$114,$F21+1)+IF(AND($E21=1,MT21=0),1000,0),MIN(TY21,20)*400+(IF('calcA'!DF$106=1,1-HD21,0)+IF('calcA'!DG$106=1,1-HF21,0))*150+125+'calcA'!DG$5*100000+IF(AND($E21=1,MT21=0),50000,0))+IF($H21=1,INDEX('calcA'!$D$180:$EQ$219,$B21,108)*4000,0)-IF(AND('calcA'!DF$117=1,YD21&gt;0),2000,0)-IF(AND($U21=1,'calcA'!DG$117=1,HF21=0),2000,0))),1000000000))</f>
        <v/>
      </c>
      <c r="SJ21">
        <f>IF($B21=0,1000000000,IF(INDEX('calcA'!$D$60:$EQ$99,$B21,109)*IF($W21=1,HF21+ADU21,HF21)=1,IF(AND($E21=2,IF($W21=1,AJJ21,MU21)=0),1000000000,IF($V21=1,INDEX('calcA'!$D$130:$EQ$169,$B21,109)+IF(AND($E21=1,MU21=0),25,0),IF($F21&gt;0,INDEX('calcA'!DH$110:DH$114,$F21+1)+IF(AND($E21=1,MU21=0),1000,0),MIN(TY21,20)*400+(IF('calcA'!DG$106=1,1-HE21,0)+IF('calcA'!DH$106=1,1-HG21,0))*150+135+'calcA'!DH$5*100000+IF(AND($E21=1,MU21=0),50000,0))+IF($H21=1,INDEX('calcA'!$D$180:$EQ$219,$B21,109)*4000,0)-IF(AND('calcA'!DG$117=1,YE21&gt;0),2000,0)-IF(AND($U21=1,'calcA'!DH$117=1,HG21=0),2000,0))),1000000000))</f>
        <v/>
      </c>
      <c r="SK21">
        <f>IF($B21=0,1000000000,IF(INDEX('calcA'!$D$60:$EQ$99,$B21,110)*IF($W21=1,HG21+ADV21,HG21)=1,IF(AND($E21=2,IF($W21=1,AJK21,MV21)=0),1000000000,IF($V21=1,INDEX('calcA'!$D$130:$EQ$169,$B21,110)+IF(AND($E21=1,MV21=0),25,0),IF($F21&gt;0,INDEX('calcA'!DI$110:DI$114,$F21+1)+IF(AND($E21=1,MV21=0),1000,0),MIN(TY21,20)*400+(IF('calcA'!DH$106=1,1-HF21,0)+IF('calcA'!DI$106=1,1-HH21,0))*150+145+'calcA'!DI$5*100000+IF(AND($E21=1,MV21=0),50000,0))+IF($H21=1,INDEX('calcA'!$D$180:$EQ$219,$B21,110)*4000,0)-IF(AND('calcA'!DH$117=1,YF21&gt;0),2000,0)-IF(AND($U21=1,'calcA'!DI$117=1,HH21=0),2000,0))),1000000000))</f>
        <v/>
      </c>
      <c r="SL21">
        <f>IF($B21=0,1000000000,IF(INDEX('calcA'!$D$60:$EQ$99,$B21,111)*IF($W21=1,HH21+ADW21,HH21)=1,IF(AND($E21=2,IF($W21=1,AJL21,MW21)=0),1000000000,IF($V21=1,INDEX('calcA'!$D$130:$EQ$169,$B21,111)+IF(AND($E21=1,MW21=0),25,0),IF($F21&gt;0,INDEX('calcA'!DJ$110:DJ$114,$F21+1)+IF(AND($E21=1,MW21=0),1000,0),MIN(TY21,20)*400+(IF('calcA'!DI$106=1,1-HG21,0)+IF('calcA'!DJ$106=1,1-HI21,0))*150+155+'calcA'!DJ$5*100000+IF(AND($E21=1,MW21=0),50000,0))+IF($H21=1,INDEX('calcA'!$D$180:$EQ$219,$B21,111)*4000,0)-IF(AND('calcA'!DI$117=1,YG21&gt;0),2000,0)-IF(AND($U21=1,'calcA'!DJ$117=1,HI21=0),2000,0))),1000000000))</f>
        <v/>
      </c>
      <c r="SM21">
        <f>IF($B21=0,1000000000,IF(INDEX('calcA'!$D$60:$EQ$99,$B21,112)*IF($W21=1,HI21+ADX21,HI21)=1,IF(AND($E21=2,IF($W21=1,AJM21,MX21)=0),1000000000,IF($V21=1,INDEX('calcA'!$D$130:$EQ$169,$B21,112)+IF(AND($E21=1,MX21=0),25,0),IF($F21&gt;0,INDEX('calcA'!DK$110:DK$114,$F21+1)+IF(AND($E21=1,MX21=0),1000,0),MIN(TY21,20)*400+(IF('calcA'!DJ$106=1,1-HH21,0)+IF('calcA'!DK$106=1,1-HJ21,0))*150+165+'calcA'!DK$5*100000+IF(AND($E21=1,MX21=0),50000,0))+IF($H21=1,INDEX('calcA'!$D$180:$EQ$219,$B21,112)*4000,0)-IF(AND('calcA'!DJ$117=1,YH21&gt;0),2000,0)-IF(AND($U21=1,'calcA'!DK$117=1,HJ21=0),2000,0))),1000000000))</f>
        <v/>
      </c>
      <c r="SN21">
        <f>IF($B21=0,1000000000,IF(INDEX('calcA'!$D$60:$EQ$99,$B21,113)*IF($W21=1,HJ21+ADY21,HJ21)=1,IF(AND($E21=2,IF($W21=1,AJN21,MY21)=0),1000000000,IF($V21=1,INDEX('calcA'!$D$130:$EQ$169,$B21,113)+IF(AND($E21=1,MY21=0),25,0),IF($F21&gt;0,INDEX('calcA'!DL$110:DL$114,$F21+1)+IF(AND($E21=1,MY21=0),1000,0),MIN(TY21,20)*400+(IF('calcA'!DK$106=1,1-HI21,0)+IF('calcA'!DL$106=1,1-HK21,0))*150+175+'calcA'!DL$5*100000+IF(AND($E21=1,MY21=0),50000,0))+IF($H21=1,INDEX('calcA'!$D$180:$EQ$219,$B21,113)*4000,0)-IF(AND('calcA'!DK$117=1,YI21&gt;0),2000,0)-IF(AND($U21=1,'calcA'!DL$117=1,HK21=0),2000,0))),1000000000))</f>
        <v/>
      </c>
      <c r="SO21">
        <f>IF($B21=0,1000000000,IF(INDEX('calcA'!$D$60:$EQ$99,$B21,114)*IF($W21=1,HK21+ADZ21,HK21)=1,IF(AND($E21=2,IF($W21=1,AJO21,MZ21)=0),1000000000,IF($V21=1,INDEX('calcA'!$D$130:$EQ$169,$B21,114)+IF(AND($E21=1,MZ21=0),25,0),IF($F21&gt;0,INDEX('calcA'!DM$110:DM$114,$F21+1)+IF(AND($E21=1,MZ21=0),1000,0),MIN(TY21,20)*400+(IF('calcA'!DL$106=1,1-HJ21,0)+IF('calcA'!DM$106=1,1-HL21,0))*150+185+'calcA'!DM$5*100000+IF(AND($E21=1,MZ21=0),50000,0))+IF($H21=1,INDEX('calcA'!$D$180:$EQ$219,$B21,114)*4000,0)-IF(AND('calcA'!DL$117=1,YJ21&gt;0),2000,0)-IF(AND($U21=1,'calcA'!DM$117=1,HL21=0),2000,0))),1000000000))</f>
        <v/>
      </c>
      <c r="SP21">
        <f>IF($B21=0,1000000000,IF(INDEX('calcA'!$D$60:$EQ$99,$B21,115)*IF($W21=1,HL21+AEA21,HL21)=1,IF(AND($E21=2,IF($W21=1,AJP21,NA21)=0),1000000000,IF($V21=1,INDEX('calcA'!$D$130:$EQ$169,$B21,115)+IF(AND($E21=1,NA21=0),25,0),IF($F21&gt;0,INDEX('calcA'!DN$110:DN$114,$F21+1)+IF(AND($E21=1,NA21=0),1000,0),MIN(TY21,20)*400+(IF('calcA'!DM$106=1,1-HK21,0)+IF('calcA'!DN$106=1,1-HM21,0))*150+195+'calcA'!DN$5*100000+IF(AND($E21=1,NA21=0),50000,0))+IF($H21=1,INDEX('calcA'!$D$180:$EQ$219,$B21,115)*4000,0)-IF(AND('calcA'!DM$117=1,YK21&gt;0),2000,0)-IF(AND($U21=1,'calcA'!DN$117=1,HM21=0),2000,0))),1000000000))</f>
        <v/>
      </c>
      <c r="SQ21">
        <f>IF($B21=0,1000000000,IF(INDEX('calcA'!$D$60:$EQ$99,$B21,116)*IF($W21=1,HM21+AEB21,HM21)=1,IF(AND($E21=2,IF($W21=1,AJQ21,NB21)=0),1000000000,IF($V21=1,INDEX('calcA'!$D$130:$EQ$169,$B21,116)+IF(AND($E21=1,NB21=0),25,0),IF($F21&gt;0,INDEX('calcA'!DO$110:DO$114,$F21+1)+IF(AND($E21=1,NB21=0),1000,0),MIN(TY21,20)*400+(IF('calcA'!DN$106=1,1-HL21,0)+IF('calcA'!DO$106=1,1-HN21,0))*150+205+'calcA'!DO$5*100000+IF(AND($E21=1,NB21=0),50000,0))+IF($H21=1,INDEX('calcA'!$D$180:$EQ$219,$B21,116)*4000,0)-IF(AND('calcA'!DN$117=1,YL21&gt;0),2000,0)-IF(AND($U21=1,'calcA'!DO$117=1,HN21=0),2000,0))),1000000000))</f>
        <v/>
      </c>
      <c r="SR21">
        <f>IF($B21=0,1000000000,IF(INDEX('calcA'!$D$60:$EQ$99,$B21,117)*IF($W21=1,HN21+AEC21,HN21)=1,IF(AND($E21=2,IF($W21=1,AJR21,NC21)=0),1000000000,IF($V21=1,INDEX('calcA'!$D$130:$EQ$169,$B21,117)+IF(AND($E21=1,NC21=0),25,0),IF($F21&gt;0,INDEX('calcA'!DP$110:DP$114,$F21+1)+IF(AND($E21=1,NC21=0),1000,0),MIN(TY21,20)*400+(IF('calcA'!DO$106=1,1-HM21,0)+IF('calcA'!DP$106=1,1-HO21,0))*150+215+'calcA'!DP$5*100000+IF(AND($E21=1,NC21=0),50000,0))+IF($H21=1,INDEX('calcA'!$D$180:$EQ$219,$B21,117)*4000,0)-IF(AND('calcA'!DO$117=1,YM21&gt;0),2000,0)-IF(AND($U21=1,'calcA'!DP$117=1,HO21=0),2000,0))),1000000000))</f>
        <v/>
      </c>
      <c r="SS21">
        <f>IF($B21=0,1000000000,IF(INDEX('calcA'!$D$60:$EQ$99,$B21,118)*IF($W21=1,HO21+AED21,HO21)=1,IF(AND($E21=2,IF($W21=1,AJS21,ND21)=0),1000000000,IF($V21=1,INDEX('calcA'!$D$130:$EQ$169,$B21,118)+IF(AND($E21=1,ND21=0),25,0),IF($F21&gt;0,INDEX('calcA'!DQ$110:DQ$114,$F21+1)+IF(AND($E21=1,ND21=0),1000,0),MIN(TY21,20)*400+(IF('calcA'!DP$106=1,1-HN21,0)+IF('calcA'!DQ$106=1,1-HP21,0))*150+225+'calcA'!DQ$5*100000+IF(AND($E21=1,ND21=0),50000,0))+IF($H21=1,INDEX('calcA'!$D$180:$EQ$219,$B21,118)*4000,0)-IF(AND('calcA'!DP$117=1,YN21&gt;0),2000,0)-IF(AND($U21=1,'calcA'!DQ$117=1,HP21=0),2000,0))),1000000000))</f>
        <v/>
      </c>
      <c r="ST21">
        <f>IF($B21=0,1000000000,IF(INDEX('calcA'!$D$60:$EQ$99,$B21,119)*IF($W21=1,HP21+AEE21,HP21)=1,IF(AND($E21=2,IF($W21=1,AJT21,NE21)=0),1000000000,IF($V21=1,INDEX('calcA'!$D$130:$EQ$169,$B21,119)+IF(AND($E21=1,NE21=0),25,0),IF($F21&gt;0,INDEX('calcA'!DR$110:DR$114,$F21+1)+IF(AND($E21=1,NE21=0),1000,0),MIN(TY21,20)*400+(IF('calcA'!DQ$106=1,1-HO21,0)+IF('calcA'!DR$106=1,1-HQ21,0))*150+235+'calcA'!DR$5*100000+IF(AND($E21=1,NE21=0),50000,0))+IF($H21=1,INDEX('calcA'!$D$180:$EQ$219,$B21,119)*4000,0)-IF(AND('calcA'!DQ$117=1,YO21&gt;0),2000,0)-IF(AND($U21=1,'calcA'!DR$117=1,HQ21=0),2000,0))),1000000000))</f>
        <v/>
      </c>
      <c r="SU21">
        <f>IF($B21=0,1000000000,IF(INDEX('calcA'!$D$60:$EQ$99,$B21,120)*IF($W21=1,HQ21+AEF21,HQ21)=1,IF(AND($E21=2,IF($W21=1,AJU21,NF21)=0),1000000000,IF($V21=1,INDEX('calcA'!$D$130:$EQ$169,$B21,120)+IF(AND($E21=1,NF21=0),25,0),IF($F21&gt;0,INDEX('calcA'!DS$110:DS$114,$F21+1)+IF(AND($E21=1,NF21=0),1000,0),MIN(TY21,20)*400+(IF('calcA'!DR$106=1,1-HP21,0))*150+245+'calcA'!DS$5*100000+IF(AND($E21=1,NF21=0),50000,0))+IF($H21=1,INDEX('calcA'!$D$180:$EQ$219,$B21,120)*4000,0)-IF(AND('calcA'!DR$117=1,YP21&gt;0),2000,0))),1000000000))</f>
        <v/>
      </c>
      <c r="SV21">
        <f>IF($B21=0,1000000000,IF(INDEX('calcA'!$D$60:$EQ$99,$B21,121)*IF($W21=1,HR21+AEG21,HR21)=1,IF(AND($E21=2,IF($W21=1,AJV21,NG21)=0),1000000000,IF($V21=1,INDEX('calcA'!$D$130:$EQ$169,$B21,121)+IF(AND($E21=1,NG21=0),25,0),IF($F21&gt;0,INDEX('calcA'!DT$110:DT$114,$F21+1)+IF(AND($E21=1,NG21=0),1000,0),MIN(TZ21,20)*400+(IF('calcA'!DT$106=1,1-HS21,0))*150+16+'calcA'!DT$5*100000+IF(AND($E21=1,NG21=0),50000,0))+IF($H21=1,INDEX('calcA'!$D$180:$EQ$219,$B21,121)*4000,0)-IF(AND($U21=1,'calcA'!DT$117=1,HS21=0),2000,0))),1000000000))</f>
        <v/>
      </c>
      <c r="SW21">
        <f>IF($B21=0,1000000000,IF(INDEX('calcA'!$D$60:$EQ$99,$B21,122)*IF($W21=1,HS21+AEH21,HS21)=1,IF(AND($E21=2,IF($W21=1,AJW21,NH21)=0),1000000000,IF($V21=1,INDEX('calcA'!$D$130:$EQ$169,$B21,122)+IF(AND($E21=1,NH21=0),25,0),IF($F21&gt;0,INDEX('calcA'!DU$110:DU$114,$F21+1)+IF(AND($E21=1,NH21=0),1000,0),MIN(TZ21,20)*400+(IF('calcA'!DT$106=1,1-HR21,0)+IF('calcA'!DU$106=1,1-HT21,0))*150+26+'calcA'!DU$5*100000+IF(AND($E21=1,NH21=0),50000,0))+IF($H21=1,INDEX('calcA'!$D$180:$EQ$219,$B21,122)*4000,0)-IF(AND('calcA'!DT$117=1,YR21&gt;0),2000,0)-IF(AND($U21=1,'calcA'!DU$117=1,HT21=0),2000,0))),1000000000))</f>
        <v/>
      </c>
      <c r="SX21">
        <f>IF($B21=0,1000000000,IF(INDEX('calcA'!$D$60:$EQ$99,$B21,123)*IF($W21=1,HT21+AEI21,HT21)=1,IF(AND($E21=2,IF($W21=1,AJX21,NI21)=0),1000000000,IF($V21=1,INDEX('calcA'!$D$130:$EQ$169,$B21,123)+IF(AND($E21=1,NI21=0),25,0),IF($F21&gt;0,INDEX('calcA'!DV$110:DV$114,$F21+1)+IF(AND($E21=1,NI21=0),1000,0),MIN(TZ21,20)*400+(IF('calcA'!DU$106=1,1-HS21,0)+IF('calcA'!DV$106=1,1-HU21,0))*150+36+'calcA'!DV$5*100000+IF(AND($E21=1,NI21=0),50000,0))+IF($H21=1,INDEX('calcA'!$D$180:$EQ$219,$B21,123)*4000,0)-IF(AND('calcA'!DU$117=1,YS21&gt;0),2000,0)-IF(AND($U21=1,'calcA'!DV$117=1,HU21=0),2000,0))),1000000000))</f>
        <v/>
      </c>
      <c r="SY21">
        <f>IF($B21=0,1000000000,IF(INDEX('calcA'!$D$60:$EQ$99,$B21,124)*IF($W21=1,HU21+AEJ21,HU21)=1,IF(AND($E21=2,IF($W21=1,AJY21,NJ21)=0),1000000000,IF($V21=1,INDEX('calcA'!$D$130:$EQ$169,$B21,124)+IF(AND($E21=1,NJ21=0),25,0),IF($F21&gt;0,INDEX('calcA'!DW$110:DW$114,$F21+1)+IF(AND($E21=1,NJ21=0),1000,0),MIN(TZ21,20)*400+(IF('calcA'!DV$106=1,1-HT21,0)+IF('calcA'!DW$106=1,1-HV21,0))*150+46+'calcA'!DW$5*100000+IF(AND($E21=1,NJ21=0),50000,0))+IF($H21=1,INDEX('calcA'!$D$180:$EQ$219,$B21,124)*4000,0)-IF(AND('calcA'!DV$117=1,YT21&gt;0),2000,0)-IF(AND($U21=1,'calcA'!DW$117=1,HV21=0),2000,0))),1000000000))</f>
        <v/>
      </c>
      <c r="SZ21">
        <f>IF($B21=0,1000000000,IF(INDEX('calcA'!$D$60:$EQ$99,$B21,125)*IF($W21=1,HV21+AEK21,HV21)=1,IF(AND($E21=2,IF($W21=1,AJZ21,NK21)=0),1000000000,IF($V21=1,INDEX('calcA'!$D$130:$EQ$169,$B21,125)+IF(AND($E21=1,NK21=0),25,0),IF($F21&gt;0,INDEX('calcA'!DX$110:DX$114,$F21+1)+IF(AND($E21=1,NK21=0),1000,0),MIN(TZ21,20)*400+(IF('calcA'!DW$106=1,1-HU21,0)+IF('calcA'!DX$106=1,1-HW21,0))*150+56+'calcA'!DX$5*100000+IF(AND($E21=1,NK21=0),50000,0))+IF($H21=1,INDEX('calcA'!$D$180:$EQ$219,$B21,125)*4000,0)-IF(AND('calcA'!DW$117=1,YU21&gt;0),2000,0)-IF(AND($U21=1,'calcA'!DX$117=1,HW21=0),2000,0))),1000000000))</f>
        <v/>
      </c>
      <c r="TA21">
        <f>IF($B21=0,1000000000,IF(INDEX('calcA'!$D$60:$EQ$99,$B21,126)*IF($W21=1,HW21+AEL21,HW21)=1,IF(AND($E21=2,IF($W21=1,AKA21,NL21)=0),1000000000,IF($V21=1,INDEX('calcA'!$D$130:$EQ$169,$B21,126)+IF(AND($E21=1,NL21=0),25,0),IF($F21&gt;0,INDEX('calcA'!DY$110:DY$114,$F21+1)+IF(AND($E21=1,NL21=0),1000,0),MIN(TZ21,20)*400+(IF('calcA'!DX$106=1,1-HV21,0)+IF('calcA'!DY$106=1,1-HX21,0))*150+66+'calcA'!DY$5*100000+IF(AND($E21=1,NL21=0),50000,0))+IF($H21=1,INDEX('calcA'!$D$180:$EQ$219,$B21,126)*4000,0)-IF(AND('calcA'!DX$117=1,YV21&gt;0),2000,0)-IF(AND($U21=1,'calcA'!DY$117=1,HX21=0),2000,0))),1000000000))</f>
        <v/>
      </c>
      <c r="TB21">
        <f>IF($B21=0,1000000000,IF(INDEX('calcA'!$D$60:$EQ$99,$B21,127)*IF($W21=1,HX21+AEM21,HX21)=1,IF(AND($E21=2,IF($W21=1,AKB21,NM21)=0),1000000000,IF($V21=1,INDEX('calcA'!$D$130:$EQ$169,$B21,127)+IF(AND($E21=1,NM21=0),25,0),IF($F21&gt;0,INDEX('calcA'!DZ$110:DZ$114,$F21+1)+IF(AND($E21=1,NM21=0),1000,0),MIN(TZ21,20)*400+(IF('calcA'!DY$106=1,1-HW21,0)+IF('calcA'!DZ$106=1,1-HY21,0))*150+76+'calcA'!DZ$5*100000+IF(AND($E21=1,NM21=0),50000,0))+IF($H21=1,INDEX('calcA'!$D$180:$EQ$219,$B21,127)*4000,0)-IF(AND('calcA'!DY$117=1,YW21&gt;0),2000,0)-IF(AND($U21=1,'calcA'!DZ$117=1,HY21=0),2000,0))),1000000000))</f>
        <v/>
      </c>
      <c r="TC21">
        <f>IF($B21=0,1000000000,IF(INDEX('calcA'!$D$60:$EQ$99,$B21,128)*IF($W21=1,HY21+AEN21,HY21)=1,IF(AND($E21=2,IF($W21=1,AKC21,NN21)=0),1000000000,IF($V21=1,INDEX('calcA'!$D$130:$EQ$169,$B21,128)+IF(AND($E21=1,NN21=0),25,0),IF($F21&gt;0,INDEX('calcA'!EA$110:EA$114,$F21+1)+IF(AND($E21=1,NN21=0),1000,0),MIN(TZ21,20)*400+(IF('calcA'!DZ$106=1,1-HX21,0)+IF('calcA'!EA$106=1,1-HZ21,0))*150+86+'calcA'!EA$5*100000+IF(AND($E21=1,NN21=0),50000,0))+IF($H21=1,INDEX('calcA'!$D$180:$EQ$219,$B21,128)*4000,0)-IF(AND('calcA'!DZ$117=1,YX21&gt;0),2000,0)-IF(AND($U21=1,'calcA'!EA$117=1,HZ21=0),2000,0))),1000000000))</f>
        <v/>
      </c>
      <c r="TD21">
        <f>IF($B21=0,1000000000,IF(INDEX('calcA'!$D$60:$EQ$99,$B21,129)*IF($W21=1,HZ21+AEO21,HZ21)=1,IF(AND($E21=2,IF($W21=1,AKD21,NO21)=0),1000000000,IF($V21=1,INDEX('calcA'!$D$130:$EQ$169,$B21,129)+IF(AND($E21=1,NO21=0),25,0),IF($F21&gt;0,INDEX('calcA'!EB$110:EB$114,$F21+1)+IF(AND($E21=1,NO21=0),1000,0),MIN(TZ21,20)*400+(IF('calcA'!EA$106=1,1-HY21,0)+IF('calcA'!EB$106=1,1-IA21,0))*150+96+'calcA'!EB$5*100000+IF(AND($E21=1,NO21=0),50000,0))+IF($H21=1,INDEX('calcA'!$D$180:$EQ$219,$B21,129)*4000,0)-IF(AND('calcA'!EA$117=1,YY21&gt;0),2000,0)-IF(AND($U21=1,'calcA'!EB$117=1,IA21=0),2000,0))),1000000000))</f>
        <v/>
      </c>
      <c r="TE21">
        <f>IF($B21=0,1000000000,IF(INDEX('calcA'!$D$60:$EQ$99,$B21,130)*IF($W21=1,IA21+AEP21,IA21)=1,IF(AND($E21=2,IF($W21=1,AKE21,NP21)=0),1000000000,IF($V21=1,INDEX('calcA'!$D$130:$EQ$169,$B21,130)+IF(AND($E21=1,NP21=0),25,0),IF($F21&gt;0,INDEX('calcA'!EC$110:EC$114,$F21+1)+IF(AND($E21=1,NP21=0),1000,0),MIN(TZ21,20)*400+(IF('calcA'!EB$106=1,1-HZ21,0)+IF('calcA'!EC$106=1,1-IB21,0))*150+106+'calcA'!EC$5*100000+IF(AND($E21=1,NP21=0),50000,0))+IF($H21=1,INDEX('calcA'!$D$180:$EQ$219,$B21,130)*4000,0)-IF(AND('calcA'!EB$117=1,YZ21&gt;0),2000,0)-IF(AND($U21=1,'calcA'!EC$117=1,IB21=0),2000,0))),1000000000))</f>
        <v/>
      </c>
      <c r="TF21">
        <f>IF($B21=0,1000000000,IF(INDEX('calcA'!$D$60:$EQ$99,$B21,131)*IF($W21=1,IB21+AEQ21,IB21)=1,IF(AND($E21=2,IF($W21=1,AKF21,NQ21)=0),1000000000,IF($V21=1,INDEX('calcA'!$D$130:$EQ$169,$B21,131)+IF(AND($E21=1,NQ21=0),25,0),IF($F21&gt;0,INDEX('calcA'!ED$110:ED$114,$F21+1)+IF(AND($E21=1,NQ21=0),1000,0),MIN(TZ21,20)*400+(IF('calcA'!EC$106=1,1-IA21,0)+IF('calcA'!ED$106=1,1-IC21,0))*150+116+'calcA'!ED$5*100000+IF(AND($E21=1,NQ21=0),50000,0))+IF($H21=1,INDEX('calcA'!$D$180:$EQ$219,$B21,131)*4000,0)-IF(AND('calcA'!EC$117=1,ZA21&gt;0),2000,0)-IF(AND($U21=1,'calcA'!ED$117=1,IC21=0),2000,0))),1000000000))</f>
        <v/>
      </c>
      <c r="TG21">
        <f>IF($B21=0,1000000000,IF(INDEX('calcA'!$D$60:$EQ$99,$B21,132)*IF($W21=1,IC21+AER21,IC21)=1,IF(AND($E21=2,IF($W21=1,AKG21,NR21)=0),1000000000,IF($V21=1,INDEX('calcA'!$D$130:$EQ$169,$B21,132)+IF(AND($E21=1,NR21=0),25,0),IF($F21&gt;0,INDEX('calcA'!EE$110:EE$114,$F21+1)+IF(AND($E21=1,NR21=0),1000,0),MIN(TZ21,20)*400+(IF('calcA'!ED$106=1,1-IB21,0)+IF('calcA'!EE$106=1,1-ID21,0))*150+126+'calcA'!EE$5*100000+IF(AND($E21=1,NR21=0),50000,0))+IF($H21=1,INDEX('calcA'!$D$180:$EQ$219,$B21,132)*4000,0)-IF(AND('calcA'!ED$117=1,ZB21&gt;0),2000,0)-IF(AND($U21=1,'calcA'!EE$117=1,ID21=0),2000,0))),1000000000))</f>
        <v/>
      </c>
      <c r="TH21">
        <f>IF($B21=0,1000000000,IF(INDEX('calcA'!$D$60:$EQ$99,$B21,133)*IF($W21=1,ID21+AES21,ID21)=1,IF(AND($E21=2,IF($W21=1,AKH21,NS21)=0),1000000000,IF($V21=1,INDEX('calcA'!$D$130:$EQ$169,$B21,133)+IF(AND($E21=1,NS21=0),25,0),IF($F21&gt;0,INDEX('calcA'!EF$110:EF$114,$F21+1)+IF(AND($E21=1,NS21=0),1000,0),MIN(TZ21,20)*400+(IF('calcA'!EE$106=1,1-IC21,0)+IF('calcA'!EF$106=1,1-IE21,0))*150+136+'calcA'!EF$5*100000+IF(AND($E21=1,NS21=0),50000,0))+IF($H21=1,INDEX('calcA'!$D$180:$EQ$219,$B21,133)*4000,0)-IF(AND('calcA'!EE$117=1,ZC21&gt;0),2000,0)-IF(AND($U21=1,'calcA'!EF$117=1,IE21=0),2000,0))),1000000000))</f>
        <v/>
      </c>
      <c r="TI21">
        <f>IF($B21=0,1000000000,IF(INDEX('calcA'!$D$60:$EQ$99,$B21,134)*IF($W21=1,IE21+AET21,IE21)=1,IF(AND($E21=2,IF($W21=1,AKI21,NT21)=0),1000000000,IF($V21=1,INDEX('calcA'!$D$130:$EQ$169,$B21,134)+IF(AND($E21=1,NT21=0),25,0),IF($F21&gt;0,INDEX('calcA'!EG$110:EG$114,$F21+1)+IF(AND($E21=1,NT21=0),1000,0),MIN(TZ21,20)*400+(IF('calcA'!EF$106=1,1-ID21,0)+IF('calcA'!EG$106=1,1-IF21,0))*150+146+'calcA'!EG$5*100000+IF(AND($E21=1,NT21=0),50000,0))+IF($H21=1,INDEX('calcA'!$D$180:$EQ$219,$B21,134)*4000,0)-IF(AND('calcA'!EF$117=1,ZD21&gt;0),2000,0)-IF(AND($U21=1,'calcA'!EG$117=1,IF21=0),2000,0))),1000000000))</f>
        <v/>
      </c>
      <c r="TJ21">
        <f>IF($B21=0,1000000000,IF(INDEX('calcA'!$D$60:$EQ$99,$B21,135)*IF($W21=1,IF21+AEU21,IF21)=1,IF(AND($E21=2,IF($W21=1,AKJ21,NU21)=0),1000000000,IF($V21=1,INDEX('calcA'!$D$130:$EQ$169,$B21,135)+IF(AND($E21=1,NU21=0),25,0),IF($F21&gt;0,INDEX('calcA'!EH$110:EH$114,$F21+1)+IF(AND($E21=1,NU21=0),1000,0),MIN(TZ21,20)*400+(IF('calcA'!EG$106=1,1-IE21,0)+IF('calcA'!EH$106=1,1-IG21,0))*150+156+'calcA'!EH$5*100000+IF(AND($E21=1,NU21=0),50000,0))+IF($H21=1,INDEX('calcA'!$D$180:$EQ$219,$B21,135)*4000,0)-IF(AND('calcA'!EG$117=1,ZE21&gt;0),2000,0)-IF(AND($U21=1,'calcA'!EH$117=1,IG21=0),2000,0))),1000000000))</f>
        <v/>
      </c>
      <c r="TK21">
        <f>IF($B21=0,1000000000,IF(INDEX('calcA'!$D$60:$EQ$99,$B21,136)*IF($W21=1,IG21+AEV21,IG21)=1,IF(AND($E21=2,IF($W21=1,AKK21,NV21)=0),1000000000,IF($V21=1,INDEX('calcA'!$D$130:$EQ$169,$B21,136)+IF(AND($E21=1,NV21=0),25,0),IF($F21&gt;0,INDEX('calcA'!EI$110:EI$114,$F21+1)+IF(AND($E21=1,NV21=0),1000,0),MIN(TZ21,20)*400+(IF('calcA'!EH$106=1,1-IF21,0)+IF('calcA'!EI$106=1,1-IH21,0))*150+166+'calcA'!EI$5*100000+IF(AND($E21=1,NV21=0),50000,0))+IF($H21=1,INDEX('calcA'!$D$180:$EQ$219,$B21,136)*4000,0)-IF(AND('calcA'!EH$117=1,ZF21&gt;0),2000,0)-IF(AND($U21=1,'calcA'!EI$117=1,IH21=0),2000,0))),1000000000))</f>
        <v/>
      </c>
      <c r="TL21">
        <f>IF($B21=0,1000000000,IF(INDEX('calcA'!$D$60:$EQ$99,$B21,137)*IF($W21=1,IH21+AEW21,IH21)=1,IF(AND($E21=2,IF($W21=1,AKL21,NW21)=0),1000000000,IF($V21=1,INDEX('calcA'!$D$130:$EQ$169,$B21,137)+IF(AND($E21=1,NW21=0),25,0),IF($F21&gt;0,INDEX('calcA'!EJ$110:EJ$114,$F21+1)+IF(AND($E21=1,NW21=0),1000,0),MIN(TZ21,20)*400+(IF('calcA'!EI$106=1,1-IG21,0)+IF('calcA'!EJ$106=1,1-II21,0))*150+176+'calcA'!EJ$5*100000+IF(AND($E21=1,NW21=0),50000,0))+IF($H21=1,INDEX('calcA'!$D$180:$EQ$219,$B21,137)*4000,0)-IF(AND('calcA'!EI$117=1,ZG21&gt;0),2000,0)-IF(AND($U21=1,'calcA'!EJ$117=1,II21=0),2000,0))),1000000000))</f>
        <v/>
      </c>
      <c r="TM21">
        <f>IF($B21=0,1000000000,IF(INDEX('calcA'!$D$60:$EQ$99,$B21,138)*IF($W21=1,II21+AEX21,II21)=1,IF(AND($E21=2,IF($W21=1,AKM21,NX21)=0),1000000000,IF($V21=1,INDEX('calcA'!$D$130:$EQ$169,$B21,138)+IF(AND($E21=1,NX21=0),25,0),IF($F21&gt;0,INDEX('calcA'!EK$110:EK$114,$F21+1)+IF(AND($E21=1,NX21=0),1000,0),MIN(TZ21,20)*400+(IF('calcA'!EJ$106=1,1-IH21,0)+IF('calcA'!EK$106=1,1-IJ21,0))*150+186+'calcA'!EK$5*100000+IF(AND($E21=1,NX21=0),50000,0))+IF($H21=1,INDEX('calcA'!$D$180:$EQ$219,$B21,138)*4000,0)-IF(AND('calcA'!EJ$117=1,ZH21&gt;0),2000,0)-IF(AND($U21=1,'calcA'!EK$117=1,IJ21=0),2000,0))),1000000000))</f>
        <v/>
      </c>
      <c r="TN21">
        <f>IF($B21=0,1000000000,IF(INDEX('calcA'!$D$60:$EQ$99,$B21,139)*IF($W21=1,IJ21+AEY21,IJ21)=1,IF(AND($E21=2,IF($W21=1,AKN21,NY21)=0),1000000000,IF($V21=1,INDEX('calcA'!$D$130:$EQ$169,$B21,139)+IF(AND($E21=1,NY21=0),25,0),IF($F21&gt;0,INDEX('calcA'!EL$110:EL$114,$F21+1)+IF(AND($E21=1,NY21=0),1000,0),MIN(TZ21,20)*400+(IF('calcA'!EK$106=1,1-II21,0)+IF('calcA'!EL$106=1,1-IK21,0))*150+196+'calcA'!EL$5*100000+IF(AND($E21=1,NY21=0),50000,0))+IF($H21=1,INDEX('calcA'!$D$180:$EQ$219,$B21,139)*4000,0)-IF(AND('calcA'!EK$117=1,ZI21&gt;0),2000,0)-IF(AND($U21=1,'calcA'!EL$117=1,IK21=0),2000,0))),1000000000))</f>
        <v/>
      </c>
      <c r="TO21">
        <f>IF($B21=0,1000000000,IF(INDEX('calcA'!$D$60:$EQ$99,$B21,140)*IF($W21=1,IK21+AEZ21,IK21)=1,IF(AND($E21=2,IF($W21=1,AKO21,NZ21)=0),1000000000,IF($V21=1,INDEX('calcA'!$D$130:$EQ$169,$B21,140)+IF(AND($E21=1,NZ21=0),25,0),IF($F21&gt;0,INDEX('calcA'!EM$110:EM$114,$F21+1)+IF(AND($E21=1,NZ21=0),1000,0),MIN(TZ21,20)*400+(IF('calcA'!EL$106=1,1-IJ21,0)+IF('calcA'!EM$106=1,1-IL21,0))*150+206+'calcA'!EM$5*100000+IF(AND($E21=1,NZ21=0),50000,0))+IF($H21=1,INDEX('calcA'!$D$180:$EQ$219,$B21,140)*4000,0)-IF(AND('calcA'!EL$117=1,ZJ21&gt;0),2000,0)-IF(AND($U21=1,'calcA'!EM$117=1,IL21=0),2000,0))),1000000000))</f>
        <v/>
      </c>
      <c r="TP21">
        <f>IF($B21=0,1000000000,IF(INDEX('calcA'!$D$60:$EQ$99,$B21,141)*IF($W21=1,IL21+AFA21,IL21)=1,IF(AND($E21=2,IF($W21=1,AKP21,OA21)=0),1000000000,IF($V21=1,INDEX('calcA'!$D$130:$EQ$169,$B21,141)+IF(AND($E21=1,OA21=0),25,0),IF($F21&gt;0,INDEX('calcA'!EN$110:EN$114,$F21+1)+IF(AND($E21=1,OA21=0),1000,0),MIN(TZ21,20)*400+(IF('calcA'!EM$106=1,1-IK21,0)+IF('calcA'!EN$106=1,1-IM21,0))*150+216+'calcA'!EN$5*100000+IF(AND($E21=1,OA21=0),50000,0))+IF($H21=1,INDEX('calcA'!$D$180:$EQ$219,$B21,141)*4000,0)-IF(AND('calcA'!EM$117=1,ZK21&gt;0),2000,0)-IF(AND($U21=1,'calcA'!EN$117=1,IM21=0),2000,0))),1000000000))</f>
        <v/>
      </c>
      <c r="TQ21">
        <f>IF($B21=0,1000000000,IF(INDEX('calcA'!$D$60:$EQ$99,$B21,142)*IF($W21=1,IM21+AFB21,IM21)=1,IF(AND($E21=2,IF($W21=1,AKQ21,OB21)=0),1000000000,IF($V21=1,INDEX('calcA'!$D$130:$EQ$169,$B21,142)+IF(AND($E21=1,OB21=0),25,0),IF($F21&gt;0,INDEX('calcA'!EO$110:EO$114,$F21+1)+IF(AND($E21=1,OB21=0),1000,0),MIN(TZ21,20)*400+(IF('calcA'!EN$106=1,1-IL21,0)+IF('calcA'!EO$106=1,1-IN21,0))*150+226+'calcA'!EO$5*100000+IF(AND($E21=1,OB21=0),50000,0))+IF($H21=1,INDEX('calcA'!$D$180:$EQ$219,$B21,142)*4000,0)-IF(AND('calcA'!EN$117=1,ZL21&gt;0),2000,0)-IF(AND($U21=1,'calcA'!EO$117=1,IN21=0),2000,0))),1000000000))</f>
        <v/>
      </c>
      <c r="TR21">
        <f>IF($B21=0,1000000000,IF(INDEX('calcA'!$D$60:$EQ$99,$B21,143)*IF($W21=1,IN21+AFC21,IN21)=1,IF(AND($E21=2,IF($W21=1,AKR21,OC21)=0),1000000000,IF($V21=1,INDEX('calcA'!$D$130:$EQ$169,$B21,143)+IF(AND($E21=1,OC21=0),25,0),IF($F21&gt;0,INDEX('calcA'!EP$110:EP$114,$F21+1)+IF(AND($E21=1,OC21=0),1000,0),MIN(TZ21,20)*400+(IF('calcA'!EO$106=1,1-IM21,0)+IF('calcA'!EP$106=1,1-IO21,0))*150+236+'calcA'!EP$5*100000+IF(AND($E21=1,OC21=0),50000,0))+IF($H21=1,INDEX('calcA'!$D$180:$EQ$219,$B21,143)*4000,0)-IF(AND('calcA'!EO$117=1,ZM21&gt;0),2000,0)-IF(AND($U21=1,'calcA'!EP$117=1,IO21=0),2000,0))),1000000000))</f>
        <v/>
      </c>
      <c r="TS21">
        <f>IF($B21=0,1000000000,IF(INDEX('calcA'!$D$60:$EQ$99,$B21,144)*IF($W21=1,IO21+AFD21,IO21)=1,IF(AND($E21=2,IF($W21=1,AKS21,OD21)=0),1000000000,IF($V21=1,INDEX('calcA'!$D$130:$EQ$169,$B21,144)+IF(AND($E21=1,OD21=0),25,0),IF($F21&gt;0,INDEX('calcA'!EQ$110:EQ$114,$F21+1)+IF(AND($E21=1,OD21=0),1000,0),MIN(TZ21,20)*400+(IF('calcA'!EP$106=1,1-IN21,0))*150+246+'calcA'!EQ$5*100000+IF(AND($E21=1,OD21=0),50000,0))+IF($H21=1,INDEX('calcA'!$D$180:$EQ$219,$B21,144)*4000,0)-IF(AND('calcA'!EP$117=1,ZN21&gt;0),2000,0))),1000000000))</f>
        <v/>
      </c>
      <c r="TU21">
        <f>TU20+IF($C20&gt;0,IF(INDEX('calcA'!$D$2:$EQ$2,$C20)=1,1,0),0)</f>
        <v/>
      </c>
      <c r="TV21">
        <f>TV20+IF($C20&gt;0,IF(INDEX('calcA'!$D$2:$EQ$2,$C20)=2,1,0),0)</f>
        <v/>
      </c>
      <c r="TW21">
        <f>TW20+IF($C20&gt;0,IF(INDEX('calcA'!$D$2:$EQ$2,$C20)=3,1,0),0)</f>
        <v/>
      </c>
      <c r="TX21">
        <f>TX20+IF($C20&gt;0,IF(INDEX('calcA'!$D$2:$EQ$2,$C20)=4,1,0),0)</f>
        <v/>
      </c>
      <c r="TY21">
        <f>TY20+IF($C20&gt;0,IF(INDEX('calcA'!$D$2:$EQ$2,$C20)=5,1,0),0)</f>
        <v/>
      </c>
      <c r="TZ21">
        <f>TZ20+IF($C20&gt;0,IF(INDEX('calcA'!$D$2:$EQ$2,$C20)=6,1,0),0)</f>
        <v/>
      </c>
      <c r="UB21">
        <f>UB20+IF(AND($C20=1,$U20=1),1,0)</f>
        <v/>
      </c>
      <c r="UC21">
        <f>UC20+IF(AND($C20=2,$U20=1),1,0)</f>
        <v/>
      </c>
      <c r="UD21">
        <f>UD20+IF(AND($C20=3,$U20=1),1,0)</f>
        <v/>
      </c>
      <c r="UE21">
        <f>UE20+IF(AND($C20=4,$U20=1),1,0)</f>
        <v/>
      </c>
      <c r="UF21">
        <f>UF20+IF(AND($C20=5,$U20=1),1,0)</f>
        <v/>
      </c>
      <c r="UG21">
        <f>UG20+IF(AND($C20=6,$U20=1),1,0)</f>
        <v/>
      </c>
      <c r="UH21">
        <f>UH20+IF(AND($C20=7,$U20=1),1,0)</f>
        <v/>
      </c>
      <c r="UI21">
        <f>UI20+IF(AND($C20=8,$U20=1),1,0)</f>
        <v/>
      </c>
      <c r="UJ21">
        <f>UJ20+IF(AND($C20=9,$U20=1),1,0)</f>
        <v/>
      </c>
      <c r="UK21">
        <f>UK20+IF(AND($C20=10,$U20=1),1,0)</f>
        <v/>
      </c>
      <c r="UL21">
        <f>UL20+IF(AND($C20=11,$U20=1),1,0)</f>
        <v/>
      </c>
      <c r="UM21">
        <f>UM20+IF(AND($C20=12,$U20=1),1,0)</f>
        <v/>
      </c>
      <c r="UN21">
        <f>UN20+IF(AND($C20=13,$U20=1),1,0)</f>
        <v/>
      </c>
      <c r="UO21">
        <f>UO20+IF(AND($C20=14,$U20=1),1,0)</f>
        <v/>
      </c>
      <c r="UP21">
        <f>UP20+IF(AND($C20=15,$U20=1),1,0)</f>
        <v/>
      </c>
      <c r="UQ21">
        <f>UQ20+IF(AND($C20=16,$U20=1),1,0)</f>
        <v/>
      </c>
      <c r="UR21">
        <f>UR20+IF(AND($C20=17,$U20=1),1,0)</f>
        <v/>
      </c>
      <c r="US21">
        <f>US20+IF(AND($C20=18,$U20=1),1,0)</f>
        <v/>
      </c>
      <c r="UT21">
        <f>UT20+IF(AND($C20=19,$U20=1),1,0)</f>
        <v/>
      </c>
      <c r="UU21">
        <f>UU20+IF(AND($C20=20,$U20=1),1,0)</f>
        <v/>
      </c>
      <c r="UV21">
        <f>UV20+IF(AND($C20=21,$U20=1),1,0)</f>
        <v/>
      </c>
      <c r="UW21">
        <f>UW20+IF(AND($C20=22,$U20=1),1,0)</f>
        <v/>
      </c>
      <c r="UX21">
        <f>UX20+IF(AND($C20=23,$U20=1),1,0)</f>
        <v/>
      </c>
      <c r="UY21">
        <f>UY20+IF(AND($C20=24,$U20=1),1,0)</f>
        <v/>
      </c>
      <c r="UZ21">
        <f>UZ20+IF(AND($C20=25,$U20=1),1,0)</f>
        <v/>
      </c>
      <c r="VA21">
        <f>VA20+IF(AND($C20=26,$U20=1),1,0)</f>
        <v/>
      </c>
      <c r="VB21">
        <f>VB20+IF(AND($C20=27,$U20=1),1,0)</f>
        <v/>
      </c>
      <c r="VC21">
        <f>VC20+IF(AND($C20=28,$U20=1),1,0)</f>
        <v/>
      </c>
      <c r="VD21">
        <f>VD20+IF(AND($C20=29,$U20=1),1,0)</f>
        <v/>
      </c>
      <c r="VE21">
        <f>VE20+IF(AND($C20=30,$U20=1),1,0)</f>
        <v/>
      </c>
      <c r="VF21">
        <f>VF20+IF(AND($C20=31,$U20=1),1,0)</f>
        <v/>
      </c>
      <c r="VG21">
        <f>VG20+IF(AND($C20=32,$U20=1),1,0)</f>
        <v/>
      </c>
      <c r="VH21">
        <f>VH20+IF(AND($C20=33,$U20=1),1,0)</f>
        <v/>
      </c>
      <c r="VI21">
        <f>VI20+IF(AND($C20=34,$U20=1),1,0)</f>
        <v/>
      </c>
      <c r="VJ21">
        <f>VJ20+IF(AND($C20=35,$U20=1),1,0)</f>
        <v/>
      </c>
      <c r="VK21">
        <f>VK20+IF(AND($C20=36,$U20=1),1,0)</f>
        <v/>
      </c>
      <c r="VL21">
        <f>VL20+IF(AND($C20=37,$U20=1),1,0)</f>
        <v/>
      </c>
      <c r="VM21">
        <f>VM20+IF(AND($C20=38,$U20=1),1,0)</f>
        <v/>
      </c>
      <c r="VN21">
        <f>VN20+IF(AND($C20=39,$U20=1),1,0)</f>
        <v/>
      </c>
      <c r="VO21">
        <f>VO20+IF(AND($C20=40,$U20=1),1,0)</f>
        <v/>
      </c>
      <c r="VP21">
        <f>VP20+IF(AND($C20=41,$U20=1),1,0)</f>
        <v/>
      </c>
      <c r="VQ21">
        <f>VQ20+IF(AND($C20=42,$U20=1),1,0)</f>
        <v/>
      </c>
      <c r="VR21">
        <f>VR20+IF(AND($C20=43,$U20=1),1,0)</f>
        <v/>
      </c>
      <c r="VS21">
        <f>VS20+IF(AND($C20=44,$U20=1),1,0)</f>
        <v/>
      </c>
      <c r="VT21">
        <f>VT20+IF(AND($C20=45,$U20=1),1,0)</f>
        <v/>
      </c>
      <c r="VU21">
        <f>VU20+IF(AND($C20=46,$U20=1),1,0)</f>
        <v/>
      </c>
      <c r="VV21">
        <f>VV20+IF(AND($C20=47,$U20=1),1,0)</f>
        <v/>
      </c>
      <c r="VW21">
        <f>VW20+IF(AND($C20=48,$U20=1),1,0)</f>
        <v/>
      </c>
      <c r="VX21">
        <f>VX20+IF(AND($C20=49,$U20=1),1,0)</f>
        <v/>
      </c>
      <c r="VY21">
        <f>VY20+IF(AND($C20=50,$U20=1),1,0)</f>
        <v/>
      </c>
      <c r="VZ21">
        <f>VZ20+IF(AND($C20=51,$U20=1),1,0)</f>
        <v/>
      </c>
      <c r="WA21">
        <f>WA20+IF(AND($C20=52,$U20=1),1,0)</f>
        <v/>
      </c>
      <c r="WB21">
        <f>WB20+IF(AND($C20=53,$U20=1),1,0)</f>
        <v/>
      </c>
      <c r="WC21">
        <f>WC20+IF(AND($C20=54,$U20=1),1,0)</f>
        <v/>
      </c>
      <c r="WD21">
        <f>WD20+IF(AND($C20=55,$U20=1),1,0)</f>
        <v/>
      </c>
      <c r="WE21">
        <f>WE20+IF(AND($C20=56,$U20=1),1,0)</f>
        <v/>
      </c>
      <c r="WF21">
        <f>WF20+IF(AND($C20=57,$U20=1),1,0)</f>
        <v/>
      </c>
      <c r="WG21">
        <f>WG20+IF(AND($C20=58,$U20=1),1,0)</f>
        <v/>
      </c>
      <c r="WH21">
        <f>WH20+IF(AND($C20=59,$U20=1),1,0)</f>
        <v/>
      </c>
      <c r="WI21">
        <f>WI20+IF(AND($C20=60,$U20=1),1,0)</f>
        <v/>
      </c>
      <c r="WJ21">
        <f>WJ20+IF(AND($C20=61,$U20=1),1,0)</f>
        <v/>
      </c>
      <c r="WK21">
        <f>WK20+IF(AND($C20=62,$U20=1),1,0)</f>
        <v/>
      </c>
      <c r="WL21">
        <f>WL20+IF(AND($C20=63,$U20=1),1,0)</f>
        <v/>
      </c>
      <c r="WM21">
        <f>WM20+IF(AND($C20=64,$U20=1),1,0)</f>
        <v/>
      </c>
      <c r="WN21">
        <f>WN20+IF(AND($C20=65,$U20=1),1,0)</f>
        <v/>
      </c>
      <c r="WO21">
        <f>WO20+IF(AND($C20=66,$U20=1),1,0)</f>
        <v/>
      </c>
      <c r="WP21">
        <f>WP20+IF(AND($C20=67,$U20=1),1,0)</f>
        <v/>
      </c>
      <c r="WQ21">
        <f>WQ20+IF(AND($C20=68,$U20=1),1,0)</f>
        <v/>
      </c>
      <c r="WR21">
        <f>WR20+IF(AND($C20=69,$U20=1),1,0)</f>
        <v/>
      </c>
      <c r="WS21">
        <f>WS20+IF(AND($C20=70,$U20=1),1,0)</f>
        <v/>
      </c>
      <c r="WT21">
        <f>WT20+IF(AND($C20=71,$U20=1),1,0)</f>
        <v/>
      </c>
      <c r="WU21">
        <f>WU20+IF(AND($C20=72,$U20=1),1,0)</f>
        <v/>
      </c>
      <c r="WV21">
        <f>WV20+IF(AND($C20=73,$U20=1),1,0)</f>
        <v/>
      </c>
      <c r="WW21">
        <f>WW20+IF(AND($C20=74,$U20=1),1,0)</f>
        <v/>
      </c>
      <c r="WX21">
        <f>WX20+IF(AND($C20=75,$U20=1),1,0)</f>
        <v/>
      </c>
      <c r="WY21">
        <f>WY20+IF(AND($C20=76,$U20=1),1,0)</f>
        <v/>
      </c>
      <c r="WZ21">
        <f>WZ20+IF(AND($C20=77,$U20=1),1,0)</f>
        <v/>
      </c>
      <c r="XA21">
        <f>XA20+IF(AND($C20=78,$U20=1),1,0)</f>
        <v/>
      </c>
      <c r="XB21">
        <f>XB20+IF(AND($C20=79,$U20=1),1,0)</f>
        <v/>
      </c>
      <c r="XC21">
        <f>XC20+IF(AND($C20=80,$U20=1),1,0)</f>
        <v/>
      </c>
      <c r="XD21">
        <f>XD20+IF(AND($C20=81,$U20=1),1,0)</f>
        <v/>
      </c>
      <c r="XE21">
        <f>XE20+IF(AND($C20=82,$U20=1),1,0)</f>
        <v/>
      </c>
      <c r="XF21">
        <f>XF20+IF(AND($C20=83,$U20=1),1,0)</f>
        <v/>
      </c>
      <c r="XG21">
        <f>XG20+IF(AND($C20=84,$U20=1),1,0)</f>
        <v/>
      </c>
      <c r="XH21">
        <f>XH20+IF(AND($C20=85,$U20=1),1,0)</f>
        <v/>
      </c>
      <c r="XI21">
        <f>XI20+IF(AND($C20=86,$U20=1),1,0)</f>
        <v/>
      </c>
      <c r="XJ21">
        <f>XJ20+IF(AND($C20=87,$U20=1),1,0)</f>
        <v/>
      </c>
      <c r="XK21">
        <f>XK20+IF(AND($C20=88,$U20=1),1,0)</f>
        <v/>
      </c>
      <c r="XL21">
        <f>XL20+IF(AND($C20=89,$U20=1),1,0)</f>
        <v/>
      </c>
      <c r="XM21">
        <f>XM20+IF(AND($C20=90,$U20=1),1,0)</f>
        <v/>
      </c>
      <c r="XN21">
        <f>XN20+IF(AND($C20=91,$U20=1),1,0)</f>
        <v/>
      </c>
      <c r="XO21">
        <f>XO20+IF(AND($C20=92,$U20=1),1,0)</f>
        <v/>
      </c>
      <c r="XP21">
        <f>XP20+IF(AND($C20=93,$U20=1),1,0)</f>
        <v/>
      </c>
      <c r="XQ21">
        <f>XQ20+IF(AND($C20=94,$U20=1),1,0)</f>
        <v/>
      </c>
      <c r="XR21">
        <f>XR20+IF(AND($C20=95,$U20=1),1,0)</f>
        <v/>
      </c>
      <c r="XS21">
        <f>XS20+IF(AND($C20=96,$U20=1),1,0)</f>
        <v/>
      </c>
      <c r="XT21">
        <f>XT20+IF(AND($C20=97,$U20=1),1,0)</f>
        <v/>
      </c>
      <c r="XU21">
        <f>XU20+IF(AND($C20=98,$U20=1),1,0)</f>
        <v/>
      </c>
      <c r="XV21">
        <f>XV20+IF(AND($C20=99,$U20=1),1,0)</f>
        <v/>
      </c>
      <c r="XW21">
        <f>XW20+IF(AND($C20=100,$U20=1),1,0)</f>
        <v/>
      </c>
      <c r="XX21">
        <f>XX20+IF(AND($C20=101,$U20=1),1,0)</f>
        <v/>
      </c>
      <c r="XY21">
        <f>XY20+IF(AND($C20=102,$U20=1),1,0)</f>
        <v/>
      </c>
      <c r="XZ21">
        <f>XZ20+IF(AND($C20=103,$U20=1),1,0)</f>
        <v/>
      </c>
      <c r="YA21">
        <f>YA20+IF(AND($C20=104,$U20=1),1,0)</f>
        <v/>
      </c>
      <c r="YB21">
        <f>YB20+IF(AND($C20=105,$U20=1),1,0)</f>
        <v/>
      </c>
      <c r="YC21">
        <f>YC20+IF(AND($C20=106,$U20=1),1,0)</f>
        <v/>
      </c>
      <c r="YD21">
        <f>YD20+IF(AND($C20=107,$U20=1),1,0)</f>
        <v/>
      </c>
      <c r="YE21">
        <f>YE20+IF(AND($C20=108,$U20=1),1,0)</f>
        <v/>
      </c>
      <c r="YF21">
        <f>YF20+IF(AND($C20=109,$U20=1),1,0)</f>
        <v/>
      </c>
      <c r="YG21">
        <f>YG20+IF(AND($C20=110,$U20=1),1,0)</f>
        <v/>
      </c>
      <c r="YH21">
        <f>YH20+IF(AND($C20=111,$U20=1),1,0)</f>
        <v/>
      </c>
      <c r="YI21">
        <f>YI20+IF(AND($C20=112,$U20=1),1,0)</f>
        <v/>
      </c>
      <c r="YJ21">
        <f>YJ20+IF(AND($C20=113,$U20=1),1,0)</f>
        <v/>
      </c>
      <c r="YK21">
        <f>YK20+IF(AND($C20=114,$U20=1),1,0)</f>
        <v/>
      </c>
      <c r="YL21">
        <f>YL20+IF(AND($C20=115,$U20=1),1,0)</f>
        <v/>
      </c>
      <c r="YM21">
        <f>YM20+IF(AND($C20=116,$U20=1),1,0)</f>
        <v/>
      </c>
      <c r="YN21">
        <f>YN20+IF(AND($C20=117,$U20=1),1,0)</f>
        <v/>
      </c>
      <c r="YO21">
        <f>YO20+IF(AND($C20=118,$U20=1),1,0)</f>
        <v/>
      </c>
      <c r="YP21">
        <f>YP20+IF(AND($C20=119,$U20=1),1,0)</f>
        <v/>
      </c>
      <c r="YQ21">
        <f>YQ20+IF(AND($C20=120,$U20=1),1,0)</f>
        <v/>
      </c>
      <c r="YR21">
        <f>YR20+IF(AND($C20=121,$U20=1),1,0)</f>
        <v/>
      </c>
      <c r="YS21">
        <f>YS20+IF(AND($C20=122,$U20=1),1,0)</f>
        <v/>
      </c>
      <c r="YT21">
        <f>YT20+IF(AND($C20=123,$U20=1),1,0)</f>
        <v/>
      </c>
      <c r="YU21">
        <f>YU20+IF(AND($C20=124,$U20=1),1,0)</f>
        <v/>
      </c>
      <c r="YV21">
        <f>YV20+IF(AND($C20=125,$U20=1),1,0)</f>
        <v/>
      </c>
      <c r="YW21">
        <f>YW20+IF(AND($C20=126,$U20=1),1,0)</f>
        <v/>
      </c>
      <c r="YX21">
        <f>YX20+IF(AND($C20=127,$U20=1),1,0)</f>
        <v/>
      </c>
      <c r="YY21">
        <f>YY20+IF(AND($C20=128,$U20=1),1,0)</f>
        <v/>
      </c>
      <c r="YZ21">
        <f>YZ20+IF(AND($C20=129,$U20=1),1,0)</f>
        <v/>
      </c>
      <c r="ZA21">
        <f>ZA20+IF(AND($C20=130,$U20=1),1,0)</f>
        <v/>
      </c>
      <c r="ZB21">
        <f>ZB20+IF(AND($C20=131,$U20=1),1,0)</f>
        <v/>
      </c>
      <c r="ZC21">
        <f>ZC20+IF(AND($C20=132,$U20=1),1,0)</f>
        <v/>
      </c>
      <c r="ZD21">
        <f>ZD20+IF(AND($C20=133,$U20=1),1,0)</f>
        <v/>
      </c>
      <c r="ZE21">
        <f>ZE20+IF(AND($C20=134,$U20=1),1,0)</f>
        <v/>
      </c>
      <c r="ZF21">
        <f>ZF20+IF(AND($C20=135,$U20=1),1,0)</f>
        <v/>
      </c>
      <c r="ZG21">
        <f>ZG20+IF(AND($C20=136,$U20=1),1,0)</f>
        <v/>
      </c>
      <c r="ZH21">
        <f>ZH20+IF(AND($C20=137,$U20=1),1,0)</f>
        <v/>
      </c>
      <c r="ZI21">
        <f>ZI20+IF(AND($C20=138,$U20=1),1,0)</f>
        <v/>
      </c>
      <c r="ZJ21">
        <f>ZJ20+IF(AND($C20=139,$U20=1),1,0)</f>
        <v/>
      </c>
      <c r="ZK21">
        <f>ZK20+IF(AND($C20=140,$U20=1),1,0)</f>
        <v/>
      </c>
      <c r="ZL21">
        <f>ZL20+IF(AND($C20=141,$U20=1),1,0)</f>
        <v/>
      </c>
      <c r="ZM21">
        <f>ZM20+IF(AND($C20=142,$U20=1),1,0)</f>
        <v/>
      </c>
      <c r="ZN21">
        <f>ZN20+IF(AND($C20=143,$U20=1),1,0)</f>
        <v/>
      </c>
      <c r="ZO21">
        <f>ZO20+IF(AND($C20=144,$U20=1),1,0)</f>
        <v/>
      </c>
      <c r="ZQ21">
        <f>IF($C20=1,0,ZQ20+IF(AND($G20=1,$E20=1),1,0))</f>
        <v/>
      </c>
      <c r="ZR21">
        <f>IF($C20=2,0,ZR20+IF(AND($G20=2,$E20=1),1,0))</f>
        <v/>
      </c>
      <c r="ZS21">
        <f>IF($C20=3,0,ZS20+IF(AND($G20=3,$E20=1),1,0))</f>
        <v/>
      </c>
      <c r="ZT21">
        <f>IF($C20=4,0,ZT20+IF(AND($G20=4,$E20=1),1,0))</f>
        <v/>
      </c>
      <c r="ZU21">
        <f>IF($C20=5,0,ZU20+IF(AND($G20=5,$E20=1),1,0))</f>
        <v/>
      </c>
      <c r="ZV21">
        <f>IF($C20=6,0,ZV20+IF(AND($G20=6,$E20=1),1,0))</f>
        <v/>
      </c>
      <c r="ZW21">
        <f>IF($C20=7,0,ZW20+IF(AND($G20=7,$E20=1),1,0))</f>
        <v/>
      </c>
      <c r="ZX21">
        <f>IF($C20=8,0,ZX20+IF(AND($G20=8,$E20=1),1,0))</f>
        <v/>
      </c>
      <c r="ZY21">
        <f>IF($C20=9,0,ZY20+IF(AND($G20=9,$E20=1),1,0))</f>
        <v/>
      </c>
      <c r="ZZ21">
        <f>IF($C20=10,0,ZZ20+IF(AND($G20=10,$E20=1),1,0))</f>
        <v/>
      </c>
      <c r="AAA21">
        <f>IF($C20=11,0,AAA20+IF(AND($G20=11,$E20=1),1,0))</f>
        <v/>
      </c>
      <c r="AAB21">
        <f>IF($C20=12,0,AAB20+IF(AND($G20=12,$E20=1),1,0))</f>
        <v/>
      </c>
      <c r="AAC21">
        <f>IF($C20=13,0,AAC20+IF(AND($G20=13,$E20=1),1,0))</f>
        <v/>
      </c>
      <c r="AAD21">
        <f>IF($C20=14,0,AAD20+IF(AND($G20=14,$E20=1),1,0))</f>
        <v/>
      </c>
      <c r="AAE21">
        <f>IF($C20=15,0,AAE20+IF(AND($G20=15,$E20=1),1,0))</f>
        <v/>
      </c>
      <c r="AAF21">
        <f>IF($C20=16,0,AAF20+IF(AND($G20=16,$E20=1),1,0))</f>
        <v/>
      </c>
      <c r="AAG21">
        <f>IF($C20=17,0,AAG20+IF(AND($G20=17,$E20=1),1,0))</f>
        <v/>
      </c>
      <c r="AAH21">
        <f>IF($C20=18,0,AAH20+IF(AND($G20=18,$E20=1),1,0))</f>
        <v/>
      </c>
      <c r="AAI21">
        <f>IF($C20=19,0,AAI20+IF(AND($G20=19,$E20=1),1,0))</f>
        <v/>
      </c>
      <c r="AAJ21">
        <f>IF($C20=20,0,AAJ20+IF(AND($G20=20,$E20=1),1,0))</f>
        <v/>
      </c>
      <c r="AAK21">
        <f>IF($C20=21,0,AAK20+IF(AND($G20=21,$E20=1),1,0))</f>
        <v/>
      </c>
      <c r="AAL21">
        <f>IF($C20=22,0,AAL20+IF(AND($G20=22,$E20=1),1,0))</f>
        <v/>
      </c>
      <c r="AAM21">
        <f>IF($C20=23,0,AAM20+IF(AND($G20=23,$E20=1),1,0))</f>
        <v/>
      </c>
      <c r="AAN21">
        <f>IF($C20=24,0,AAN20+IF(AND($G20=24,$E20=1),1,0))</f>
        <v/>
      </c>
      <c r="AAO21">
        <f>IF($C20=25,0,AAO20+IF(AND($G20=25,$E20=1),1,0))</f>
        <v/>
      </c>
      <c r="AAP21">
        <f>IF($C20=26,0,AAP20+IF(AND($G20=26,$E20=1),1,0))</f>
        <v/>
      </c>
      <c r="AAQ21">
        <f>IF($C20=27,0,AAQ20+IF(AND($G20=27,$E20=1),1,0))</f>
        <v/>
      </c>
      <c r="AAR21">
        <f>IF($C20=28,0,AAR20+IF(AND($G20=28,$E20=1),1,0))</f>
        <v/>
      </c>
      <c r="AAS21">
        <f>IF($C20=29,0,AAS20+IF(AND($G20=29,$E20=1),1,0))</f>
        <v/>
      </c>
      <c r="AAT21">
        <f>IF($C20=30,0,AAT20+IF(AND($G20=30,$E20=1),1,0))</f>
        <v/>
      </c>
      <c r="AAU21">
        <f>IF($C20=31,0,AAU20+IF(AND($G20=31,$E20=1),1,0))</f>
        <v/>
      </c>
      <c r="AAV21">
        <f>IF($C20=32,0,AAV20+IF(AND($G20=32,$E20=1),1,0))</f>
        <v/>
      </c>
      <c r="AAW21">
        <f>IF($C20=33,0,AAW20+IF(AND($G20=33,$E20=1),1,0))</f>
        <v/>
      </c>
      <c r="AAX21">
        <f>IF($C20=34,0,AAX20+IF(AND($G20=34,$E20=1),1,0))</f>
        <v/>
      </c>
      <c r="AAY21">
        <f>IF($C20=35,0,AAY20+IF(AND($G20=35,$E20=1),1,0))</f>
        <v/>
      </c>
      <c r="AAZ21">
        <f>IF($C20=36,0,AAZ20+IF(AND($G20=36,$E20=1),1,0))</f>
        <v/>
      </c>
      <c r="ABA21">
        <f>IF($C20=37,0,ABA20+IF(AND($G20=37,$E20=1),1,0))</f>
        <v/>
      </c>
      <c r="ABB21">
        <f>IF($C20=38,0,ABB20+IF(AND($G20=38,$E20=1),1,0))</f>
        <v/>
      </c>
      <c r="ABC21">
        <f>IF($C20=39,0,ABC20+IF(AND($G20=39,$E20=1),1,0))</f>
        <v/>
      </c>
      <c r="ABD21">
        <f>IF($C20=40,0,ABD20+IF(AND($G20=40,$E20=1),1,0))</f>
        <v/>
      </c>
      <c r="ABE21">
        <f>IF($C20=41,0,ABE20+IF(AND($G20=41,$E20=1),1,0))</f>
        <v/>
      </c>
      <c r="ABF21">
        <f>IF($C20=42,0,ABF20+IF(AND($G20=42,$E20=1),1,0))</f>
        <v/>
      </c>
      <c r="ABG21">
        <f>IF($C20=43,0,ABG20+IF(AND($G20=43,$E20=1),1,0))</f>
        <v/>
      </c>
      <c r="ABH21">
        <f>IF($C20=44,0,ABH20+IF(AND($G20=44,$E20=1),1,0))</f>
        <v/>
      </c>
      <c r="ABI21">
        <f>IF($C20=45,0,ABI20+IF(AND($G20=45,$E20=1),1,0))</f>
        <v/>
      </c>
      <c r="ABJ21">
        <f>IF($C20=46,0,ABJ20+IF(AND($G20=46,$E20=1),1,0))</f>
        <v/>
      </c>
      <c r="ABK21">
        <f>IF($C20=47,0,ABK20+IF(AND($G20=47,$E20=1),1,0))</f>
        <v/>
      </c>
      <c r="ABL21">
        <f>IF($C20=48,0,ABL20+IF(AND($G20=48,$E20=1),1,0))</f>
        <v/>
      </c>
      <c r="ABM21">
        <f>IF($C20=49,0,ABM20+IF(AND($G20=49,$E20=1),1,0))</f>
        <v/>
      </c>
      <c r="ABN21">
        <f>IF($C20=50,0,ABN20+IF(AND($G20=50,$E20=1),1,0))</f>
        <v/>
      </c>
      <c r="ABO21">
        <f>IF($C20=51,0,ABO20+IF(AND($G20=51,$E20=1),1,0))</f>
        <v/>
      </c>
      <c r="ABP21">
        <f>IF($C20=52,0,ABP20+IF(AND($G20=52,$E20=1),1,0))</f>
        <v/>
      </c>
      <c r="ABQ21">
        <f>IF($C20=53,0,ABQ20+IF(AND($G20=53,$E20=1),1,0))</f>
        <v/>
      </c>
      <c r="ABR21">
        <f>IF($C20=54,0,ABR20+IF(AND($G20=54,$E20=1),1,0))</f>
        <v/>
      </c>
      <c r="ABS21">
        <f>IF($C20=55,0,ABS20+IF(AND($G20=55,$E20=1),1,0))</f>
        <v/>
      </c>
      <c r="ABT21">
        <f>IF($C20=56,0,ABT20+IF(AND($G20=56,$E20=1),1,0))</f>
        <v/>
      </c>
      <c r="ABU21">
        <f>IF($C20=57,0,ABU20+IF(AND($G20=57,$E20=1),1,0))</f>
        <v/>
      </c>
      <c r="ABV21">
        <f>IF($C20=58,0,ABV20+IF(AND($G20=58,$E20=1),1,0))</f>
        <v/>
      </c>
      <c r="ABW21">
        <f>IF($C20=59,0,ABW20+IF(AND($G20=59,$E20=1),1,0))</f>
        <v/>
      </c>
      <c r="ABX21">
        <f>IF($C20=60,0,ABX20+IF(AND($G20=60,$E20=1),1,0))</f>
        <v/>
      </c>
      <c r="ABY21">
        <f>IF($C20=61,0,ABY20+IF(AND($G20=61,$E20=1),1,0))</f>
        <v/>
      </c>
      <c r="ABZ21">
        <f>IF($C20=62,0,ABZ20+IF(AND($G20=62,$E20=1),1,0))</f>
        <v/>
      </c>
      <c r="ACA21">
        <f>IF($C20=63,0,ACA20+IF(AND($G20=63,$E20=1),1,0))</f>
        <v/>
      </c>
      <c r="ACB21">
        <f>IF($C20=64,0,ACB20+IF(AND($G20=64,$E20=1),1,0))</f>
        <v/>
      </c>
      <c r="ACC21">
        <f>IF($C20=65,0,ACC20+IF(AND($G20=65,$E20=1),1,0))</f>
        <v/>
      </c>
      <c r="ACD21">
        <f>IF($C20=66,0,ACD20+IF(AND($G20=66,$E20=1),1,0))</f>
        <v/>
      </c>
      <c r="ACE21">
        <f>IF($C20=67,0,ACE20+IF(AND($G20=67,$E20=1),1,0))</f>
        <v/>
      </c>
      <c r="ACF21">
        <f>IF($C20=68,0,ACF20+IF(AND($G20=68,$E20=1),1,0))</f>
        <v/>
      </c>
      <c r="ACG21">
        <f>IF($C20=69,0,ACG20+IF(AND($G20=69,$E20=1),1,0))</f>
        <v/>
      </c>
      <c r="ACH21">
        <f>IF($C20=70,0,ACH20+IF(AND($G20=70,$E20=1),1,0))</f>
        <v/>
      </c>
      <c r="ACI21">
        <f>IF($C20=71,0,ACI20+IF(AND($G20=71,$E20=1),1,0))</f>
        <v/>
      </c>
      <c r="ACJ21">
        <f>IF($C20=72,0,ACJ20+IF(AND($G20=72,$E20=1),1,0))</f>
        <v/>
      </c>
      <c r="ACK21">
        <f>IF($C20=73,0,ACK20+IF(AND($G20=73,$E20=1),1,0))</f>
        <v/>
      </c>
      <c r="ACL21">
        <f>IF($C20=74,0,ACL20+IF(AND($G20=74,$E20=1),1,0))</f>
        <v/>
      </c>
      <c r="ACM21">
        <f>IF($C20=75,0,ACM20+IF(AND($G20=75,$E20=1),1,0))</f>
        <v/>
      </c>
      <c r="ACN21">
        <f>IF($C20=76,0,ACN20+IF(AND($G20=76,$E20=1),1,0))</f>
        <v/>
      </c>
      <c r="ACO21">
        <f>IF($C20=77,0,ACO20+IF(AND($G20=77,$E20=1),1,0))</f>
        <v/>
      </c>
      <c r="ACP21">
        <f>IF($C20=78,0,ACP20+IF(AND($G20=78,$E20=1),1,0))</f>
        <v/>
      </c>
      <c r="ACQ21">
        <f>IF($C20=79,0,ACQ20+IF(AND($G20=79,$E20=1),1,0))</f>
        <v/>
      </c>
      <c r="ACR21">
        <f>IF($C20=80,0,ACR20+IF(AND($G20=80,$E20=1),1,0))</f>
        <v/>
      </c>
      <c r="ACS21">
        <f>IF($C20=81,0,ACS20+IF(AND($G20=81,$E20=1),1,0))</f>
        <v/>
      </c>
      <c r="ACT21">
        <f>IF($C20=82,0,ACT20+IF(AND($G20=82,$E20=1),1,0))</f>
        <v/>
      </c>
      <c r="ACU21">
        <f>IF($C20=83,0,ACU20+IF(AND($G20=83,$E20=1),1,0))</f>
        <v/>
      </c>
      <c r="ACV21">
        <f>IF($C20=84,0,ACV20+IF(AND($G20=84,$E20=1),1,0))</f>
        <v/>
      </c>
      <c r="ACW21">
        <f>IF($C20=85,0,ACW20+IF(AND($G20=85,$E20=1),1,0))</f>
        <v/>
      </c>
      <c r="ACX21">
        <f>IF($C20=86,0,ACX20+IF(AND($G20=86,$E20=1),1,0))</f>
        <v/>
      </c>
      <c r="ACY21">
        <f>IF($C20=87,0,ACY20+IF(AND($G20=87,$E20=1),1,0))</f>
        <v/>
      </c>
      <c r="ACZ21">
        <f>IF($C20=88,0,ACZ20+IF(AND($G20=88,$E20=1),1,0))</f>
        <v/>
      </c>
      <c r="ADA21">
        <f>IF($C20=89,0,ADA20+IF(AND($G20=89,$E20=1),1,0))</f>
        <v/>
      </c>
      <c r="ADB21">
        <f>IF($C20=90,0,ADB20+IF(AND($G20=90,$E20=1),1,0))</f>
        <v/>
      </c>
      <c r="ADC21">
        <f>IF($C20=91,0,ADC20+IF(AND($G20=91,$E20=1),1,0))</f>
        <v/>
      </c>
      <c r="ADD21">
        <f>IF($C20=92,0,ADD20+IF(AND($G20=92,$E20=1),1,0))</f>
        <v/>
      </c>
      <c r="ADE21">
        <f>IF($C20=93,0,ADE20+IF(AND($G20=93,$E20=1),1,0))</f>
        <v/>
      </c>
      <c r="ADF21">
        <f>IF($C20=94,0,ADF20+IF(AND($G20=94,$E20=1),1,0))</f>
        <v/>
      </c>
      <c r="ADG21">
        <f>IF($C20=95,0,ADG20+IF(AND($G20=95,$E20=1),1,0))</f>
        <v/>
      </c>
      <c r="ADH21">
        <f>IF($C20=96,0,ADH20+IF(AND($G20=96,$E20=1),1,0))</f>
        <v/>
      </c>
      <c r="ADI21">
        <f>IF($C20=97,0,ADI20+IF(AND($G20=97,$E20=1),1,0))</f>
        <v/>
      </c>
      <c r="ADJ21">
        <f>IF($C20=98,0,ADJ20+IF(AND($G20=98,$E20=1),1,0))</f>
        <v/>
      </c>
      <c r="ADK21">
        <f>IF($C20=99,0,ADK20+IF(AND($G20=99,$E20=1),1,0))</f>
        <v/>
      </c>
      <c r="ADL21">
        <f>IF($C20=100,0,ADL20+IF(AND($G20=100,$E20=1),1,0))</f>
        <v/>
      </c>
      <c r="ADM21">
        <f>IF($C20=101,0,ADM20+IF(AND($G20=101,$E20=1),1,0))</f>
        <v/>
      </c>
      <c r="ADN21">
        <f>IF($C20=102,0,ADN20+IF(AND($G20=102,$E20=1),1,0))</f>
        <v/>
      </c>
      <c r="ADO21">
        <f>IF($C20=103,0,ADO20+IF(AND($G20=103,$E20=1),1,0))</f>
        <v/>
      </c>
      <c r="ADP21">
        <f>IF($C20=104,0,ADP20+IF(AND($G20=104,$E20=1),1,0))</f>
        <v/>
      </c>
      <c r="ADQ21">
        <f>IF($C20=105,0,ADQ20+IF(AND($G20=105,$E20=1),1,0))</f>
        <v/>
      </c>
      <c r="ADR21">
        <f>IF($C20=106,0,ADR20+IF(AND($G20=106,$E20=1),1,0))</f>
        <v/>
      </c>
      <c r="ADS21">
        <f>IF($C20=107,0,ADS20+IF(AND($G20=107,$E20=1),1,0))</f>
        <v/>
      </c>
      <c r="ADT21">
        <f>IF($C20=108,0,ADT20+IF(AND($G20=108,$E20=1),1,0))</f>
        <v/>
      </c>
      <c r="ADU21">
        <f>IF($C20=109,0,ADU20+IF(AND($G20=109,$E20=1),1,0))</f>
        <v/>
      </c>
      <c r="ADV21">
        <f>IF($C20=110,0,ADV20+IF(AND($G20=110,$E20=1),1,0))</f>
        <v/>
      </c>
      <c r="ADW21">
        <f>IF($C20=111,0,ADW20+IF(AND($G20=111,$E20=1),1,0))</f>
        <v/>
      </c>
      <c r="ADX21">
        <f>IF($C20=112,0,ADX20+IF(AND($G20=112,$E20=1),1,0))</f>
        <v/>
      </c>
      <c r="ADY21">
        <f>IF($C20=113,0,ADY20+IF(AND($G20=113,$E20=1),1,0))</f>
        <v/>
      </c>
      <c r="ADZ21">
        <f>IF($C20=114,0,ADZ20+IF(AND($G20=114,$E20=1),1,0))</f>
        <v/>
      </c>
      <c r="AEA21">
        <f>IF($C20=115,0,AEA20+IF(AND($G20=115,$E20=1),1,0))</f>
        <v/>
      </c>
      <c r="AEB21">
        <f>IF($C20=116,0,AEB20+IF(AND($G20=116,$E20=1),1,0))</f>
        <v/>
      </c>
      <c r="AEC21">
        <f>IF($C20=117,0,AEC20+IF(AND($G20=117,$E20=1),1,0))</f>
        <v/>
      </c>
      <c r="AED21">
        <f>IF($C20=118,0,AED20+IF(AND($G20=118,$E20=1),1,0))</f>
        <v/>
      </c>
      <c r="AEE21">
        <f>IF($C20=119,0,AEE20+IF(AND($G20=119,$E20=1),1,0))</f>
        <v/>
      </c>
      <c r="AEF21">
        <f>IF($C20=120,0,AEF20+IF(AND($G20=120,$E20=1),1,0))</f>
        <v/>
      </c>
      <c r="AEG21">
        <f>IF($C20=121,0,AEG20+IF(AND($G20=121,$E20=1),1,0))</f>
        <v/>
      </c>
      <c r="AEH21">
        <f>IF($C20=122,0,AEH20+IF(AND($G20=122,$E20=1),1,0))</f>
        <v/>
      </c>
      <c r="AEI21">
        <f>IF($C20=123,0,AEI20+IF(AND($G20=123,$E20=1),1,0))</f>
        <v/>
      </c>
      <c r="AEJ21">
        <f>IF($C20=124,0,AEJ20+IF(AND($G20=124,$E20=1),1,0))</f>
        <v/>
      </c>
      <c r="AEK21">
        <f>IF($C20=125,0,AEK20+IF(AND($G20=125,$E20=1),1,0))</f>
        <v/>
      </c>
      <c r="AEL21">
        <f>IF($C20=126,0,AEL20+IF(AND($G20=126,$E20=1),1,0))</f>
        <v/>
      </c>
      <c r="AEM21">
        <f>IF($C20=127,0,AEM20+IF(AND($G20=127,$E20=1),1,0))</f>
        <v/>
      </c>
      <c r="AEN21">
        <f>IF($C20=128,0,AEN20+IF(AND($G20=128,$E20=1),1,0))</f>
        <v/>
      </c>
      <c r="AEO21">
        <f>IF($C20=129,0,AEO20+IF(AND($G20=129,$E20=1),1,0))</f>
        <v/>
      </c>
      <c r="AEP21">
        <f>IF($C20=130,0,AEP20+IF(AND($G20=130,$E20=1),1,0))</f>
        <v/>
      </c>
      <c r="AEQ21">
        <f>IF($C20=131,0,AEQ20+IF(AND($G20=131,$E20=1),1,0))</f>
        <v/>
      </c>
      <c r="AER21">
        <f>IF($C20=132,0,AER20+IF(AND($G20=132,$E20=1),1,0))</f>
        <v/>
      </c>
      <c r="AES21">
        <f>IF($C20=133,0,AES20+IF(AND($G20=133,$E20=1),1,0))</f>
        <v/>
      </c>
      <c r="AET21">
        <f>IF($C20=134,0,AET20+IF(AND($G20=134,$E20=1),1,0))</f>
        <v/>
      </c>
      <c r="AEU21">
        <f>IF($C20=135,0,AEU20+IF(AND($G20=135,$E20=1),1,0))</f>
        <v/>
      </c>
      <c r="AEV21">
        <f>IF($C20=136,0,AEV20+IF(AND($G20=136,$E20=1),1,0))</f>
        <v/>
      </c>
      <c r="AEW21">
        <f>IF($C20=137,0,AEW20+IF(AND($G20=137,$E20=1),1,0))</f>
        <v/>
      </c>
      <c r="AEX21">
        <f>IF($C20=138,0,AEX20+IF(AND($G20=138,$E20=1),1,0))</f>
        <v/>
      </c>
      <c r="AEY21">
        <f>IF($C20=139,0,AEY20+IF(AND($G20=139,$E20=1),1,0))</f>
        <v/>
      </c>
      <c r="AEZ21">
        <f>IF($C20=140,0,AEZ20+IF(AND($G20=140,$E20=1),1,0))</f>
        <v/>
      </c>
      <c r="AFA21">
        <f>IF($C20=141,0,AFA20+IF(AND($G20=141,$E20=1),1,0))</f>
        <v/>
      </c>
      <c r="AFB21">
        <f>IF($C20=142,0,AFB20+IF(AND($G20=142,$E20=1),1,0))</f>
        <v/>
      </c>
      <c r="AFC21">
        <f>IF($C20=143,0,AFC20+IF(AND($G20=143,$E20=1),1,0))</f>
        <v/>
      </c>
      <c r="AFD21">
        <f>IF($C20=144,0,AFD20+IF(AND($G20=144,$E20=1),1,0))</f>
        <v/>
      </c>
      <c r="AFF21">
        <f>IF('calcA'!D$106=1,DC21+ZR21,1)</f>
        <v/>
      </c>
      <c r="AFG21">
        <f>IF('calcA'!E$106=1,DD21+ZS21,1)</f>
        <v/>
      </c>
      <c r="AFH21">
        <f>IF('calcA'!F$106=1,DE21+ZT21,1)</f>
        <v/>
      </c>
      <c r="AFI21">
        <f>IF('calcA'!G$106=1,DF21+ZU21,1)</f>
        <v/>
      </c>
      <c r="AFJ21">
        <f>IF('calcA'!H$106=1,DG21+ZV21,1)</f>
        <v/>
      </c>
      <c r="AFK21">
        <f>IF('calcA'!I$106=1,DH21+ZW21,1)</f>
        <v/>
      </c>
      <c r="AFL21">
        <f>IF('calcA'!J$106=1,DI21+ZX21,1)</f>
        <v/>
      </c>
      <c r="AFM21">
        <f>IF('calcA'!K$106=1,DJ21+ZY21,1)</f>
        <v/>
      </c>
      <c r="AFN21">
        <f>IF('calcA'!L$106=1,DK21+ZZ21,1)</f>
        <v/>
      </c>
      <c r="AFO21">
        <f>IF('calcA'!M$106=1,DL21+AAA21,1)</f>
        <v/>
      </c>
      <c r="AFP21">
        <f>IF('calcA'!N$106=1,DM21+AAB21,1)</f>
        <v/>
      </c>
      <c r="AFQ21">
        <f>IF('calcA'!O$106=1,DN21+AAC21,1)</f>
        <v/>
      </c>
      <c r="AFR21">
        <f>IF('calcA'!P$106=1,DO21+AAD21,1)</f>
        <v/>
      </c>
      <c r="AFS21">
        <f>IF('calcA'!Q$106=1,DP21+AAE21,1)</f>
        <v/>
      </c>
      <c r="AFT21">
        <f>IF('calcA'!R$106=1,DQ21+AAF21,1)</f>
        <v/>
      </c>
      <c r="AFU21">
        <f>IF('calcA'!S$106=1,DR21+AAG21,1)</f>
        <v/>
      </c>
      <c r="AFV21">
        <f>IF('calcA'!T$106=1,DS21+AAH21,1)</f>
        <v/>
      </c>
      <c r="AFW21">
        <f>IF('calcA'!U$106=1,DT21+AAI21,1)</f>
        <v/>
      </c>
      <c r="AFX21">
        <f>IF('calcA'!V$106=1,DU21+AAJ21,1)</f>
        <v/>
      </c>
      <c r="AFY21">
        <f>IF('calcA'!W$106=1,DV21+AAK21,1)</f>
        <v/>
      </c>
      <c r="AFZ21">
        <f>IF('calcA'!X$106=1,DW21+AAL21,1)</f>
        <v/>
      </c>
      <c r="AGA21">
        <f>IF('calcA'!Y$106=1,DX21+AAM21,1)</f>
        <v/>
      </c>
      <c r="AGB21">
        <f>IF('calcA'!Z$106=1,DY21+AAN21,1)</f>
        <v/>
      </c>
      <c r="AGC21">
        <f>IF('calcA'!AA$106=1,DZ21+AAO21,1)</f>
        <v/>
      </c>
      <c r="AGD21">
        <f>IF('calcA'!AB$106=1,EA21+AAP21,1)</f>
        <v/>
      </c>
      <c r="AGE21">
        <f>IF('calcA'!AC$106=1,EB21+AAQ21,1)</f>
        <v/>
      </c>
      <c r="AGF21">
        <f>IF('calcA'!AD$106=1,EC21+AAR21,1)</f>
        <v/>
      </c>
      <c r="AGG21">
        <f>IF('calcA'!AE$106=1,ED21+AAS21,1)</f>
        <v/>
      </c>
      <c r="AGH21">
        <f>IF('calcA'!AF$106=1,EE21+AAT21,1)</f>
        <v/>
      </c>
      <c r="AGI21">
        <f>IF('calcA'!AG$106=1,EF21+AAU21,1)</f>
        <v/>
      </c>
      <c r="AGJ21">
        <f>IF('calcA'!AH$106=1,EG21+AAV21,1)</f>
        <v/>
      </c>
      <c r="AGK21">
        <f>IF('calcA'!AI$106=1,EH21+AAW21,1)</f>
        <v/>
      </c>
      <c r="AGL21">
        <f>IF('calcA'!AJ$106=1,EI21+AAX21,1)</f>
        <v/>
      </c>
      <c r="AGM21">
        <f>IF('calcA'!AK$106=1,EJ21+AAY21,1)</f>
        <v/>
      </c>
      <c r="AGN21">
        <f>IF('calcA'!AL$106=1,EK21+AAZ21,1)</f>
        <v/>
      </c>
      <c r="AGO21">
        <f>IF('calcA'!AM$106=1,EL21+ABA21,1)</f>
        <v/>
      </c>
      <c r="AGP21">
        <f>IF('calcA'!AN$106=1,EM21+ABB21,1)</f>
        <v/>
      </c>
      <c r="AGQ21">
        <f>IF('calcA'!AO$106=1,EN21+ABC21,1)</f>
        <v/>
      </c>
      <c r="AGR21">
        <f>IF('calcA'!AP$106=1,EO21+ABD21,1)</f>
        <v/>
      </c>
      <c r="AGS21">
        <f>IF('calcA'!AQ$106=1,EP21+ABE21,1)</f>
        <v/>
      </c>
      <c r="AGT21">
        <f>IF('calcA'!AR$106=1,EQ21+ABF21,1)</f>
        <v/>
      </c>
      <c r="AGU21">
        <f>IF('calcA'!AS$106=1,ER21+ABG21,1)</f>
        <v/>
      </c>
      <c r="AGV21">
        <f>IF('calcA'!AT$106=1,ES21+ABH21,1)</f>
        <v/>
      </c>
      <c r="AGW21">
        <f>IF('calcA'!AU$106=1,ET21+ABI21,1)</f>
        <v/>
      </c>
      <c r="AGX21">
        <f>IF('calcA'!AV$106=1,EU21+ABJ21,1)</f>
        <v/>
      </c>
      <c r="AGY21">
        <f>IF('calcA'!AW$106=1,EV21+ABK21,1)</f>
        <v/>
      </c>
      <c r="AGZ21">
        <f>IF('calcA'!AX$106=1,EW21+ABL21,1)</f>
        <v/>
      </c>
      <c r="AHA21">
        <f>IF('calcA'!AY$106=1,EX21+ABM21,1)</f>
        <v/>
      </c>
      <c r="AHB21">
        <f>IF('calcA'!AZ$106=1,EY21+ABN21,1)</f>
        <v/>
      </c>
      <c r="AHC21">
        <f>IF('calcA'!BA$106=1,EZ21+ABO21,1)</f>
        <v/>
      </c>
      <c r="AHD21">
        <f>IF('calcA'!BB$106=1,FA21+ABP21,1)</f>
        <v/>
      </c>
      <c r="AHE21">
        <f>IF('calcA'!BC$106=1,FB21+ABQ21,1)</f>
        <v/>
      </c>
      <c r="AHF21">
        <f>IF('calcA'!BD$106=1,FC21+ABR21,1)</f>
        <v/>
      </c>
      <c r="AHG21">
        <f>IF('calcA'!BE$106=1,FD21+ABS21,1)</f>
        <v/>
      </c>
      <c r="AHH21">
        <f>IF('calcA'!BF$106=1,FE21+ABT21,1)</f>
        <v/>
      </c>
      <c r="AHI21">
        <f>IF('calcA'!BG$106=1,FF21+ABU21,1)</f>
        <v/>
      </c>
      <c r="AHJ21">
        <f>IF('calcA'!BH$106=1,FG21+ABV21,1)</f>
        <v/>
      </c>
      <c r="AHK21">
        <f>IF('calcA'!BI$106=1,FH21+ABW21,1)</f>
        <v/>
      </c>
      <c r="AHL21">
        <f>IF('calcA'!BJ$106=1,FI21+ABX21,1)</f>
        <v/>
      </c>
      <c r="AHM21">
        <f>IF('calcA'!BK$106=1,FJ21+ABY21,1)</f>
        <v/>
      </c>
      <c r="AHN21">
        <f>IF('calcA'!BL$106=1,FK21+ABZ21,1)</f>
        <v/>
      </c>
      <c r="AHO21">
        <f>IF('calcA'!BM$106=1,FL21+ACA21,1)</f>
        <v/>
      </c>
      <c r="AHP21">
        <f>IF('calcA'!BN$106=1,FM21+ACB21,1)</f>
        <v/>
      </c>
      <c r="AHQ21">
        <f>IF('calcA'!BO$106=1,FN21+ACC21,1)</f>
        <v/>
      </c>
      <c r="AHR21">
        <f>IF('calcA'!BP$106=1,FO21+ACD21,1)</f>
        <v/>
      </c>
      <c r="AHS21">
        <f>IF('calcA'!BQ$106=1,FP21+ACE21,1)</f>
        <v/>
      </c>
      <c r="AHT21">
        <f>IF('calcA'!BR$106=1,FQ21+ACF21,1)</f>
        <v/>
      </c>
      <c r="AHU21">
        <f>IF('calcA'!BS$106=1,FR21+ACG21,1)</f>
        <v/>
      </c>
      <c r="AHV21">
        <f>IF('calcA'!BT$106=1,FS21+ACH21,1)</f>
        <v/>
      </c>
      <c r="AHW21">
        <f>IF('calcA'!BU$106=1,FT21+ACI21,1)</f>
        <v/>
      </c>
      <c r="AHX21">
        <f>IF('calcA'!BV$106=1,FU21+ACJ21,1)</f>
        <v/>
      </c>
      <c r="AHY21">
        <f>IF('calcA'!BW$106=1,FV21+ACK21,1)</f>
        <v/>
      </c>
      <c r="AHZ21">
        <f>IF('calcA'!BX$106=1,FW21+ACL21,1)</f>
        <v/>
      </c>
      <c r="AIA21">
        <f>IF('calcA'!BY$106=1,FX21+ACM21,1)</f>
        <v/>
      </c>
      <c r="AIB21">
        <f>IF('calcA'!BZ$106=1,FY21+ACN21,1)</f>
        <v/>
      </c>
      <c r="AIC21">
        <f>IF('calcA'!CA$106=1,FZ21+ACO21,1)</f>
        <v/>
      </c>
      <c r="AID21">
        <f>IF('calcA'!CB$106=1,GA21+ACP21,1)</f>
        <v/>
      </c>
      <c r="AIE21">
        <f>IF('calcA'!CC$106=1,GB21+ACQ21,1)</f>
        <v/>
      </c>
      <c r="AIF21">
        <f>IF('calcA'!CD$106=1,GC21+ACR21,1)</f>
        <v/>
      </c>
      <c r="AIG21">
        <f>IF('calcA'!CE$106=1,GD21+ACS21,1)</f>
        <v/>
      </c>
      <c r="AIH21">
        <f>IF('calcA'!CF$106=1,GE21+ACT21,1)</f>
        <v/>
      </c>
      <c r="AII21">
        <f>IF('calcA'!CG$106=1,GF21+ACU21,1)</f>
        <v/>
      </c>
      <c r="AIJ21">
        <f>IF('calcA'!CH$106=1,GG21+ACV21,1)</f>
        <v/>
      </c>
      <c r="AIK21">
        <f>IF('calcA'!CI$106=1,GH21+ACW21,1)</f>
        <v/>
      </c>
      <c r="AIL21">
        <f>IF('calcA'!CJ$106=1,GI21+ACX21,1)</f>
        <v/>
      </c>
      <c r="AIM21">
        <f>IF('calcA'!CK$106=1,GJ21+ACY21,1)</f>
        <v/>
      </c>
      <c r="AIN21">
        <f>IF('calcA'!CL$106=1,GK21+ACZ21,1)</f>
        <v/>
      </c>
      <c r="AIO21">
        <f>IF('calcA'!CM$106=1,GL21+ADA21,1)</f>
        <v/>
      </c>
      <c r="AIP21">
        <f>IF('calcA'!CN$106=1,GM21+ADB21,1)</f>
        <v/>
      </c>
      <c r="AIQ21">
        <f>IF('calcA'!CO$106=1,GN21+ADC21,1)</f>
        <v/>
      </c>
      <c r="AIR21">
        <f>IF('calcA'!CP$106=1,GO21+ADD21,1)</f>
        <v/>
      </c>
      <c r="AIS21">
        <f>IF('calcA'!CQ$106=1,GP21+ADE21,1)</f>
        <v/>
      </c>
      <c r="AIT21">
        <f>IF('calcA'!CR$106=1,GQ21+ADF21,1)</f>
        <v/>
      </c>
      <c r="AIU21">
        <f>IF('calcA'!CS$106=1,GR21+ADG21,1)</f>
        <v/>
      </c>
      <c r="AIV21">
        <f>IF('calcA'!CT$106=1,GS21+ADH21,1)</f>
        <v/>
      </c>
      <c r="AIW21">
        <f>IF('calcA'!CU$106=1,GT21+ADI21,1)</f>
        <v/>
      </c>
      <c r="AIX21">
        <f>IF('calcA'!CV$106=1,GU21+ADJ21,1)</f>
        <v/>
      </c>
      <c r="AIY21">
        <f>IF('calcA'!CW$106=1,GV21+ADK21,1)</f>
        <v/>
      </c>
      <c r="AIZ21">
        <f>IF('calcA'!CX$106=1,GW21+ADL21,1)</f>
        <v/>
      </c>
      <c r="AJA21">
        <f>IF('calcA'!CY$106=1,GX21+ADM21,1)</f>
        <v/>
      </c>
      <c r="AJB21">
        <f>IF('calcA'!CZ$106=1,GY21+ADN21,1)</f>
        <v/>
      </c>
      <c r="AJC21">
        <f>IF('calcA'!DA$106=1,GZ21+ADO21,1)</f>
        <v/>
      </c>
      <c r="AJD21">
        <f>IF('calcA'!DB$106=1,HA21+ADP21,1)</f>
        <v/>
      </c>
      <c r="AJE21">
        <f>IF('calcA'!DC$106=1,HB21+ADQ21,1)</f>
        <v/>
      </c>
      <c r="AJF21">
        <f>IF('calcA'!DD$106=1,HC21+ADR21,1)</f>
        <v/>
      </c>
      <c r="AJG21">
        <f>IF('calcA'!DE$106=1,HD21+ADS21,1)</f>
        <v/>
      </c>
      <c r="AJH21">
        <f>IF('calcA'!DF$106=1,HE21+ADT21,1)</f>
        <v/>
      </c>
      <c r="AJI21">
        <f>IF('calcA'!DG$106=1,HF21+ADU21,1)</f>
        <v/>
      </c>
      <c r="AJJ21">
        <f>IF('calcA'!DH$106=1,HG21+ADV21,1)</f>
        <v/>
      </c>
      <c r="AJK21">
        <f>IF('calcA'!DI$106=1,HH21+ADW21,1)</f>
        <v/>
      </c>
      <c r="AJL21">
        <f>IF('calcA'!DJ$106=1,HI21+ADX21,1)</f>
        <v/>
      </c>
      <c r="AJM21">
        <f>IF('calcA'!DK$106=1,HJ21+ADY21,1)</f>
        <v/>
      </c>
      <c r="AJN21">
        <f>IF('calcA'!DL$106=1,HK21+ADZ21,1)</f>
        <v/>
      </c>
      <c r="AJO21">
        <f>IF('calcA'!DM$106=1,HL21+AEA21,1)</f>
        <v/>
      </c>
      <c r="AJP21">
        <f>IF('calcA'!DN$106=1,HM21+AEB21,1)</f>
        <v/>
      </c>
      <c r="AJQ21">
        <f>IF('calcA'!DO$106=1,HN21+AEC21,1)</f>
        <v/>
      </c>
      <c r="AJR21">
        <f>IF('calcA'!DP$106=1,HO21+AED21,1)</f>
        <v/>
      </c>
      <c r="AJS21">
        <f>IF('calcA'!DQ$106=1,HP21+AEE21,1)</f>
        <v/>
      </c>
      <c r="AJT21">
        <f>IF('calcA'!DR$106=1,HQ21+AEF21,1)</f>
        <v/>
      </c>
      <c r="AJU21">
        <f>IF('calcA'!DS$106=1,HR21+AEG21,1)</f>
        <v/>
      </c>
      <c r="AJV21">
        <f>IF('calcA'!DT$106=1,HS21+AEH21,1)</f>
        <v/>
      </c>
      <c r="AJW21">
        <f>IF('calcA'!DU$106=1,HT21+AEI21,1)</f>
        <v/>
      </c>
      <c r="AJX21">
        <f>IF('calcA'!DV$106=1,HU21+AEJ21,1)</f>
        <v/>
      </c>
      <c r="AJY21">
        <f>IF('calcA'!DW$106=1,HV21+AEK21,1)</f>
        <v/>
      </c>
      <c r="AJZ21">
        <f>IF('calcA'!DX$106=1,HW21+AEL21,1)</f>
        <v/>
      </c>
      <c r="AKA21">
        <f>IF('calcA'!DY$106=1,HX21+AEM21,1)</f>
        <v/>
      </c>
      <c r="AKB21">
        <f>IF('calcA'!DZ$106=1,HY21+AEN21,1)</f>
        <v/>
      </c>
      <c r="AKC21">
        <f>IF('calcA'!EA$106=1,HZ21+AEO21,1)</f>
        <v/>
      </c>
      <c r="AKD21">
        <f>IF('calcA'!EB$106=1,IA21+AEP21,1)</f>
        <v/>
      </c>
      <c r="AKE21">
        <f>IF('calcA'!EC$106=1,IB21+AEQ21,1)</f>
        <v/>
      </c>
      <c r="AKF21">
        <f>IF('calcA'!ED$106=1,IC21+AER21,1)</f>
        <v/>
      </c>
      <c r="AKG21">
        <f>IF('calcA'!EE$106=1,ID21+AES21,1)</f>
        <v/>
      </c>
      <c r="AKH21">
        <f>IF('calcA'!EF$106=1,IE21+AET21,1)</f>
        <v/>
      </c>
      <c r="AKI21">
        <f>IF('calcA'!EG$106=1,IF21+AEU21,1)</f>
        <v/>
      </c>
      <c r="AKJ21">
        <f>IF('calcA'!EH$106=1,IG21+AEV21,1)</f>
        <v/>
      </c>
      <c r="AKK21">
        <f>IF('calcA'!EI$106=1,IH21+AEW21,1)</f>
        <v/>
      </c>
      <c r="AKL21">
        <f>IF('calcA'!EJ$106=1,II21+AEX21,1)</f>
        <v/>
      </c>
      <c r="AKM21">
        <f>IF('calcA'!EK$106=1,IJ21+AEY21,1)</f>
        <v/>
      </c>
      <c r="AKN21">
        <f>IF('calcA'!EL$106=1,IK21+AEZ21,1)</f>
        <v/>
      </c>
      <c r="AKO21">
        <f>IF('calcA'!EM$106=1,IL21+AFA21,1)</f>
        <v/>
      </c>
      <c r="AKP21">
        <f>IF('calcA'!EN$106=1,IM21+AFB21,1)</f>
        <v/>
      </c>
      <c r="AKQ21">
        <f>IF('calcA'!EO$106=1,IN21+AFC21,1)</f>
        <v/>
      </c>
      <c r="AKR21">
        <f>IF('calcA'!EP$106=1,IO21+AFD21,1)</f>
        <v/>
      </c>
      <c r="AKS21" t="n">
        <v>1</v>
      </c>
    </row>
    <row r="22">
      <c r="A22" t="n">
        <v>20</v>
      </c>
      <c r="B22">
        <f>IF(MIN(BM22:CZ22)&gt;=1000000000,0,MATCH(MIN(BM22:CZ22),BM22:CZ22,0))</f>
        <v/>
      </c>
      <c r="C22">
        <f>IF(MIN(OF22:TS22)&gt;=1000000000,0,MATCH(MIN(OF22:TS22),OF22:TS22,0))</f>
        <v/>
      </c>
      <c r="D22">
        <f>IF(C22&gt;0,INDEX('calcA'!$D$5:$EQ$5,C22),0)</f>
        <v/>
      </c>
      <c r="E22">
        <f>IF(B22=0,0,INDEX('calcA'!$IQ$10:$IQ$54,B22))</f>
        <v/>
      </c>
      <c r="F22">
        <f>IF(B22=0,0,INDEX('calcA'!$IP$10:$IP$54,B22))</f>
        <v/>
      </c>
      <c r="G22">
        <f>IF(AND(C22&gt;0,E22&gt;0),IF(AND(INDEX('calcA'!$D$106:$EQ$106,C22)=1,INDEX($IQ22:$OD22,C22)=1),C22+1,0),0)</f>
        <v/>
      </c>
      <c r="H22">
        <f>IF(B22=0,0,INDEX('calcA'!$IW$10:$IW$54,B22))</f>
        <v/>
      </c>
      <c r="U22">
        <f>IF(B22=0,0,INDEX('calcA'!$IX$10:$IX$54,B22))</f>
        <v/>
      </c>
      <c r="V22">
        <f>IF(B22=0,0,INDEX('calcA'!$JF$10:$JF$54,B22))</f>
        <v/>
      </c>
      <c r="W22">
        <f>IF(B22=0,0,IF(IF(E22=2,SUMPRODUCT(INDEX('calcA'!$D$60:$EQ$99,B22,0),$DB22:$IO22,$IQ22:$OD22),SUMPRODUCT(INDEX('calcA'!$D$60:$EQ$99,B22,0),$DB22:$IO22))=0,1,0))</f>
        <v/>
      </c>
      <c r="X22">
        <f>MAX(X21,IF($B21=1,1,0))</f>
        <v/>
      </c>
      <c r="Y22">
        <f>MAX(Y21,IF($B21=2,1,0))</f>
        <v/>
      </c>
      <c r="Z22">
        <f>MAX(Z21,IF($B21=3,1,0))</f>
        <v/>
      </c>
      <c r="AA22">
        <f>MAX(AA21,IF($B21=4,1,0))</f>
        <v/>
      </c>
      <c r="AB22">
        <f>MAX(AB21,IF($B21=5,1,0))</f>
        <v/>
      </c>
      <c r="AC22">
        <f>MAX(AC21,IF($B21=6,1,0))</f>
        <v/>
      </c>
      <c r="AD22">
        <f>MAX(AD21,IF($B21=7,1,0))</f>
        <v/>
      </c>
      <c r="AE22">
        <f>MAX(AE21,IF($B21=8,1,0))</f>
        <v/>
      </c>
      <c r="AF22">
        <f>MAX(AF21,IF($B21=9,1,0))</f>
        <v/>
      </c>
      <c r="AG22">
        <f>MAX(AG21,IF($B21=10,1,0))</f>
        <v/>
      </c>
      <c r="AH22">
        <f>MAX(AH21,IF($B21=11,1,0))</f>
        <v/>
      </c>
      <c r="AI22">
        <f>MAX(AI21,IF($B21=12,1,0))</f>
        <v/>
      </c>
      <c r="AJ22">
        <f>MAX(AJ21,IF($B21=13,1,0))</f>
        <v/>
      </c>
      <c r="AK22">
        <f>MAX(AK21,IF($B21=14,1,0))</f>
        <v/>
      </c>
      <c r="AL22">
        <f>MAX(AL21,IF($B21=15,1,0))</f>
        <v/>
      </c>
      <c r="AM22">
        <f>MAX(AM21,IF($B21=16,1,0))</f>
        <v/>
      </c>
      <c r="AN22">
        <f>MAX(AN21,IF($B21=17,1,0))</f>
        <v/>
      </c>
      <c r="AO22">
        <f>MAX(AO21,IF($B21=18,1,0))</f>
        <v/>
      </c>
      <c r="AP22">
        <f>MAX(AP21,IF($B21=19,1,0))</f>
        <v/>
      </c>
      <c r="AQ22">
        <f>MAX(AQ21,IF($B21=20,1,0))</f>
        <v/>
      </c>
      <c r="AR22">
        <f>MAX(AR21,IF($B21=21,1,0))</f>
        <v/>
      </c>
      <c r="AS22">
        <f>MAX(AS21,IF($B21=22,1,0))</f>
        <v/>
      </c>
      <c r="AT22">
        <f>MAX(AT21,IF($B21=23,1,0))</f>
        <v/>
      </c>
      <c r="AU22">
        <f>MAX(AU21,IF($B21=24,1,0))</f>
        <v/>
      </c>
      <c r="AV22">
        <f>MAX(AV21,IF($B21=25,1,0))</f>
        <v/>
      </c>
      <c r="AW22">
        <f>MAX(AW21,IF($B21=26,1,0))</f>
        <v/>
      </c>
      <c r="AX22">
        <f>MAX(AX21,IF($B21=27,1,0))</f>
        <v/>
      </c>
      <c r="AY22">
        <f>MAX(AY21,IF($B21=28,1,0))</f>
        <v/>
      </c>
      <c r="AZ22">
        <f>MAX(AZ21,IF($B21=29,1,0))</f>
        <v/>
      </c>
      <c r="BA22">
        <f>MAX(BA21,IF($B21=30,1,0))</f>
        <v/>
      </c>
      <c r="BB22">
        <f>MAX(BB21,IF($B21=31,1,0))</f>
        <v/>
      </c>
      <c r="BC22">
        <f>MAX(BC21,IF($B21=32,1,0))</f>
        <v/>
      </c>
      <c r="BD22">
        <f>MAX(BD21,IF($B21=33,1,0))</f>
        <v/>
      </c>
      <c r="BE22">
        <f>MAX(BE21,IF($B21=34,1,0))</f>
        <v/>
      </c>
      <c r="BF22">
        <f>MAX(BF21,IF($B21=35,1,0))</f>
        <v/>
      </c>
      <c r="BG22">
        <f>MAX(BG21,IF($B21=36,1,0))</f>
        <v/>
      </c>
      <c r="BH22">
        <f>MAX(BH21,IF($B21=37,1,0))</f>
        <v/>
      </c>
      <c r="BI22">
        <f>MAX(BI21,IF($B21=38,1,0))</f>
        <v/>
      </c>
      <c r="BJ22">
        <f>MAX(BJ21,IF($B21=39,1,0))</f>
        <v/>
      </c>
      <c r="BK22">
        <f>MAX(BK21,IF($B21=40,1,0))</f>
        <v/>
      </c>
      <c r="BM22">
        <f>IF(OR(X22=1,calcA!$A$6=0),1000000000,IF('calcA'!$JF$10=1,0,100000000)+IF('calcA'!$IQ$10=2,SUMPRODUCT('calcA'!$D$60:$EQ$60,$DB22:$IO22,$IQ22:$OD22)*1000+SUMPRODUCT('calcA'!$D$60:$EQ$60,$DB22:$IO22+$ZQ22:$AFD22,$AFF22:$AKS22),SUMPRODUCT('calcA'!$D$60:$EQ$60,$DB22:$IO22*1001+$ZQ22:$AFD22))*100+1)</f>
        <v/>
      </c>
      <c r="BN22">
        <f>IF(OR(Y22=1,calcA!$A$6=0),1000000000,IF('calcA'!$JF$11=1,0,100000000)+IF('calcA'!$IQ$11=2,SUMPRODUCT('calcA'!$D$61:$EQ$61,$DB22:$IO22,$IQ22:$OD22)*1000+SUMPRODUCT('calcA'!$D$61:$EQ$61,$DB22:$IO22+$ZQ22:$AFD22,$AFF22:$AKS22),SUMPRODUCT('calcA'!$D$61:$EQ$61,$DB22:$IO22*1001+$ZQ22:$AFD22))*100+2)</f>
        <v/>
      </c>
      <c r="BO22">
        <f>IF(OR(Z22=1,calcA!$A$6=0),1000000000,IF('calcA'!$JF$12=1,0,100000000)+IF('calcA'!$IQ$12=2,SUMPRODUCT('calcA'!$D$62:$EQ$62,$DB22:$IO22,$IQ22:$OD22)*1000+SUMPRODUCT('calcA'!$D$62:$EQ$62,$DB22:$IO22+$ZQ22:$AFD22,$AFF22:$AKS22),SUMPRODUCT('calcA'!$D$62:$EQ$62,$DB22:$IO22*1001+$ZQ22:$AFD22))*100+3)</f>
        <v/>
      </c>
      <c r="BP22">
        <f>IF(OR(AA22=1,calcA!$A$6=0),1000000000,IF('calcA'!$JF$13=1,0,100000000)+IF('calcA'!$IQ$13=2,SUMPRODUCT('calcA'!$D$63:$EQ$63,$DB22:$IO22,$IQ22:$OD22)*1000+SUMPRODUCT('calcA'!$D$63:$EQ$63,$DB22:$IO22+$ZQ22:$AFD22,$AFF22:$AKS22),SUMPRODUCT('calcA'!$D$63:$EQ$63,$DB22:$IO22*1001+$ZQ22:$AFD22))*100+4)</f>
        <v/>
      </c>
      <c r="BQ22">
        <f>IF(OR(AB22=1,calcA!$A$6=0),1000000000,IF('calcA'!$JF$14=1,0,100000000)+IF('calcA'!$IQ$14=2,SUMPRODUCT('calcA'!$D$64:$EQ$64,$DB22:$IO22,$IQ22:$OD22)*1000+SUMPRODUCT('calcA'!$D$64:$EQ$64,$DB22:$IO22+$ZQ22:$AFD22,$AFF22:$AKS22),SUMPRODUCT('calcA'!$D$64:$EQ$64,$DB22:$IO22*1001+$ZQ22:$AFD22))*100+5)</f>
        <v/>
      </c>
      <c r="BR22">
        <f>IF(OR(AC22=1,calcA!$A$6=0),1000000000,IF('calcA'!$JF$15=1,0,100000000)+IF('calcA'!$IQ$15=2,SUMPRODUCT('calcA'!$D$65:$EQ$65,$DB22:$IO22,$IQ22:$OD22)*1000+SUMPRODUCT('calcA'!$D$65:$EQ$65,$DB22:$IO22+$ZQ22:$AFD22,$AFF22:$AKS22),SUMPRODUCT('calcA'!$D$65:$EQ$65,$DB22:$IO22*1001+$ZQ22:$AFD22))*100+6)</f>
        <v/>
      </c>
      <c r="BS22">
        <f>IF(OR(AD22=1,calcA!$A$6=0),1000000000,IF('calcA'!$JF$16=1,0,100000000)+IF('calcA'!$IQ$16=2,SUMPRODUCT('calcA'!$D$66:$EQ$66,$DB22:$IO22,$IQ22:$OD22)*1000+SUMPRODUCT('calcA'!$D$66:$EQ$66,$DB22:$IO22+$ZQ22:$AFD22,$AFF22:$AKS22),SUMPRODUCT('calcA'!$D$66:$EQ$66,$DB22:$IO22*1001+$ZQ22:$AFD22))*100+7)</f>
        <v/>
      </c>
      <c r="BT22">
        <f>IF(OR(AE22=1,calcA!$A$6=0),1000000000,IF('calcA'!$JF$17=1,0,100000000)+IF('calcA'!$IQ$17=2,SUMPRODUCT('calcA'!$D$67:$EQ$67,$DB22:$IO22,$IQ22:$OD22)*1000+SUMPRODUCT('calcA'!$D$67:$EQ$67,$DB22:$IO22+$ZQ22:$AFD22,$AFF22:$AKS22),SUMPRODUCT('calcA'!$D$67:$EQ$67,$DB22:$IO22*1001+$ZQ22:$AFD22))*100+8)</f>
        <v/>
      </c>
      <c r="BU22">
        <f>IF(OR(AF22=1,calcA!$A$6=0),1000000000,IF('calcA'!$JF$18=1,0,100000000)+IF('calcA'!$IQ$18=2,SUMPRODUCT('calcA'!$D$68:$EQ$68,$DB22:$IO22,$IQ22:$OD22)*1000+SUMPRODUCT('calcA'!$D$68:$EQ$68,$DB22:$IO22+$ZQ22:$AFD22,$AFF22:$AKS22),SUMPRODUCT('calcA'!$D$68:$EQ$68,$DB22:$IO22*1001+$ZQ22:$AFD22))*100+9)</f>
        <v/>
      </c>
      <c r="BV22">
        <f>IF(OR(AG22=1,calcA!$A$6=0),1000000000,IF('calcA'!$JF$19=1,0,100000000)+IF('calcA'!$IQ$19=2,SUMPRODUCT('calcA'!$D$69:$EQ$69,$DB22:$IO22,$IQ22:$OD22)*1000+SUMPRODUCT('calcA'!$D$69:$EQ$69,$DB22:$IO22+$ZQ22:$AFD22,$AFF22:$AKS22),SUMPRODUCT('calcA'!$D$69:$EQ$69,$DB22:$IO22*1001+$ZQ22:$AFD22))*100+10)</f>
        <v/>
      </c>
      <c r="BW22">
        <f>IF(OR(AH22=1,calcA!$A$6=0),1000000000,IF('calcA'!$JF$20=1,0,100000000)+IF('calcA'!$IQ$20=2,SUMPRODUCT('calcA'!$D$70:$EQ$70,$DB22:$IO22,$IQ22:$OD22)*1000+SUMPRODUCT('calcA'!$D$70:$EQ$70,$DB22:$IO22+$ZQ22:$AFD22,$AFF22:$AKS22),SUMPRODUCT('calcA'!$D$70:$EQ$70,$DB22:$IO22*1001+$ZQ22:$AFD22))*100+11)</f>
        <v/>
      </c>
      <c r="BX22">
        <f>IF(OR(AI22=1,calcA!$A$6=0),1000000000,IF('calcA'!$JF$21=1,0,100000000)+IF('calcA'!$IQ$21=2,SUMPRODUCT('calcA'!$D$71:$EQ$71,$DB22:$IO22,$IQ22:$OD22)*1000+SUMPRODUCT('calcA'!$D$71:$EQ$71,$DB22:$IO22+$ZQ22:$AFD22,$AFF22:$AKS22),SUMPRODUCT('calcA'!$D$71:$EQ$71,$DB22:$IO22*1001+$ZQ22:$AFD22))*100+12)</f>
        <v/>
      </c>
      <c r="BY22">
        <f>IF(OR(AJ22=1,calcA!$A$6=0),1000000000,IF('calcA'!$JF$22=1,0,100000000)+IF('calcA'!$IQ$22=2,SUMPRODUCT('calcA'!$D$72:$EQ$72,$DB22:$IO22,$IQ22:$OD22)*1000+SUMPRODUCT('calcA'!$D$72:$EQ$72,$DB22:$IO22+$ZQ22:$AFD22,$AFF22:$AKS22),SUMPRODUCT('calcA'!$D$72:$EQ$72,$DB22:$IO22*1001+$ZQ22:$AFD22))*100+13)</f>
        <v/>
      </c>
      <c r="BZ22">
        <f>IF(OR(AK22=1,calcA!$A$6=0),1000000000,IF('calcA'!$JF$23=1,0,100000000)+IF('calcA'!$IQ$23=2,SUMPRODUCT('calcA'!$D$73:$EQ$73,$DB22:$IO22,$IQ22:$OD22)*1000+SUMPRODUCT('calcA'!$D$73:$EQ$73,$DB22:$IO22+$ZQ22:$AFD22,$AFF22:$AKS22),SUMPRODUCT('calcA'!$D$73:$EQ$73,$DB22:$IO22*1001+$ZQ22:$AFD22))*100+14)</f>
        <v/>
      </c>
      <c r="CA22">
        <f>IF(OR(AL22=1,calcA!$A$6=0),1000000000,IF('calcA'!$JF$24=1,0,100000000)+IF('calcA'!$IQ$24=2,SUMPRODUCT('calcA'!$D$74:$EQ$74,$DB22:$IO22,$IQ22:$OD22)*1000+SUMPRODUCT('calcA'!$D$74:$EQ$74,$DB22:$IO22+$ZQ22:$AFD22,$AFF22:$AKS22),SUMPRODUCT('calcA'!$D$74:$EQ$74,$DB22:$IO22*1001+$ZQ22:$AFD22))*100+15)</f>
        <v/>
      </c>
      <c r="CB22">
        <f>IF(OR(AM22=1,calcA!$A$6=0),1000000000,IF('calcA'!$JF$25=1,0,100000000)+IF('calcA'!$IQ$25=2,SUMPRODUCT('calcA'!$D$75:$EQ$75,$DB22:$IO22,$IQ22:$OD22)*1000+SUMPRODUCT('calcA'!$D$75:$EQ$75,$DB22:$IO22+$ZQ22:$AFD22,$AFF22:$AKS22),SUMPRODUCT('calcA'!$D$75:$EQ$75,$DB22:$IO22*1001+$ZQ22:$AFD22))*100+16)</f>
        <v/>
      </c>
      <c r="CC22">
        <f>IF(OR(AN22=1,calcA!$A$6=0),1000000000,IF('calcA'!$JF$26=1,0,100000000)+IF('calcA'!$IQ$26=2,SUMPRODUCT('calcA'!$D$76:$EQ$76,$DB22:$IO22,$IQ22:$OD22)*1000+SUMPRODUCT('calcA'!$D$76:$EQ$76,$DB22:$IO22+$ZQ22:$AFD22,$AFF22:$AKS22),SUMPRODUCT('calcA'!$D$76:$EQ$76,$DB22:$IO22*1001+$ZQ22:$AFD22))*100+17)</f>
        <v/>
      </c>
      <c r="CD22">
        <f>IF(OR(AO22=1,calcA!$A$6=0),1000000000,IF('calcA'!$JF$27=1,0,100000000)+IF('calcA'!$IQ$27=2,SUMPRODUCT('calcA'!$D$77:$EQ$77,$DB22:$IO22,$IQ22:$OD22)*1000+SUMPRODUCT('calcA'!$D$77:$EQ$77,$DB22:$IO22+$ZQ22:$AFD22,$AFF22:$AKS22),SUMPRODUCT('calcA'!$D$77:$EQ$77,$DB22:$IO22*1001+$ZQ22:$AFD22))*100+18)</f>
        <v/>
      </c>
      <c r="CE22">
        <f>IF(OR(AP22=1,calcA!$A$6=0),1000000000,IF('calcA'!$JF$28=1,0,100000000)+IF('calcA'!$IQ$28=2,SUMPRODUCT('calcA'!$D$78:$EQ$78,$DB22:$IO22,$IQ22:$OD22)*1000+SUMPRODUCT('calcA'!$D$78:$EQ$78,$DB22:$IO22+$ZQ22:$AFD22,$AFF22:$AKS22),SUMPRODUCT('calcA'!$D$78:$EQ$78,$DB22:$IO22*1001+$ZQ22:$AFD22))*100+19)</f>
        <v/>
      </c>
      <c r="CF22">
        <f>IF(OR(AQ22=1,calcA!$A$6=0),1000000000,IF('calcA'!$JF$29=1,0,100000000)+IF('calcA'!$IQ$29=2,SUMPRODUCT('calcA'!$D$79:$EQ$79,$DB22:$IO22,$IQ22:$OD22)*1000+SUMPRODUCT('calcA'!$D$79:$EQ$79,$DB22:$IO22+$ZQ22:$AFD22,$AFF22:$AKS22),SUMPRODUCT('calcA'!$D$79:$EQ$79,$DB22:$IO22*1001+$ZQ22:$AFD22))*100+20)</f>
        <v/>
      </c>
      <c r="CG22">
        <f>IF(OR(AR22=1,calcA!$A$6=0),1000000000,IF('calcA'!$JF$30=1,0,100000000)+IF('calcA'!$IQ$30=2,SUMPRODUCT('calcA'!$D$80:$EQ$80,$DB22:$IO22,$IQ22:$OD22)*1000+SUMPRODUCT('calcA'!$D$80:$EQ$80,$DB22:$IO22+$ZQ22:$AFD22,$AFF22:$AKS22),SUMPRODUCT('calcA'!$D$80:$EQ$80,$DB22:$IO22*1001+$ZQ22:$AFD22))*100+21)</f>
        <v/>
      </c>
      <c r="CH22">
        <f>IF(OR(AS22=1,calcA!$A$6=0),1000000000,IF('calcA'!$JF$31=1,0,100000000)+IF('calcA'!$IQ$31=2,SUMPRODUCT('calcA'!$D$81:$EQ$81,$DB22:$IO22,$IQ22:$OD22)*1000+SUMPRODUCT('calcA'!$D$81:$EQ$81,$DB22:$IO22+$ZQ22:$AFD22,$AFF22:$AKS22),SUMPRODUCT('calcA'!$D$81:$EQ$81,$DB22:$IO22*1001+$ZQ22:$AFD22))*100+22)</f>
        <v/>
      </c>
      <c r="CI22">
        <f>IF(OR(AT22=1,calcA!$A$6=0),1000000000,IF('calcA'!$JF$32=1,0,100000000)+IF('calcA'!$IQ$32=2,SUMPRODUCT('calcA'!$D$82:$EQ$82,$DB22:$IO22,$IQ22:$OD22)*1000+SUMPRODUCT('calcA'!$D$82:$EQ$82,$DB22:$IO22+$ZQ22:$AFD22,$AFF22:$AKS22),SUMPRODUCT('calcA'!$D$82:$EQ$82,$DB22:$IO22*1001+$ZQ22:$AFD22))*100+23)</f>
        <v/>
      </c>
      <c r="CJ22">
        <f>IF(OR(AU22=1,calcA!$A$6=0),1000000000,IF('calcA'!$JF$33=1,0,100000000)+IF('calcA'!$IQ$33=2,SUMPRODUCT('calcA'!$D$83:$EQ$83,$DB22:$IO22,$IQ22:$OD22)*1000+SUMPRODUCT('calcA'!$D$83:$EQ$83,$DB22:$IO22+$ZQ22:$AFD22,$AFF22:$AKS22),SUMPRODUCT('calcA'!$D$83:$EQ$83,$DB22:$IO22*1001+$ZQ22:$AFD22))*100+24)</f>
        <v/>
      </c>
      <c r="CK22">
        <f>IF(OR(AV22=1,calcA!$A$6=0),1000000000,IF('calcA'!$JF$34=1,0,100000000)+IF('calcA'!$IQ$34=2,SUMPRODUCT('calcA'!$D$84:$EQ$84,$DB22:$IO22,$IQ22:$OD22)*1000+SUMPRODUCT('calcA'!$D$84:$EQ$84,$DB22:$IO22+$ZQ22:$AFD22,$AFF22:$AKS22),SUMPRODUCT('calcA'!$D$84:$EQ$84,$DB22:$IO22*1001+$ZQ22:$AFD22))*100+25)</f>
        <v/>
      </c>
      <c r="CL22">
        <f>IF(OR(AW22=1,calcA!$A$6=0),1000000000,IF('calcA'!$JF$35=1,0,100000000)+IF('calcA'!$IQ$35=2,SUMPRODUCT('calcA'!$D$85:$EQ$85,$DB22:$IO22,$IQ22:$OD22)*1000+SUMPRODUCT('calcA'!$D$85:$EQ$85,$DB22:$IO22+$ZQ22:$AFD22,$AFF22:$AKS22),SUMPRODUCT('calcA'!$D$85:$EQ$85,$DB22:$IO22*1001+$ZQ22:$AFD22))*100+26)</f>
        <v/>
      </c>
      <c r="CM22">
        <f>IF(OR(AX22=1,calcA!$A$6=0),1000000000,IF('calcA'!$JF$36=1,0,100000000)+IF('calcA'!$IQ$36=2,SUMPRODUCT('calcA'!$D$86:$EQ$86,$DB22:$IO22,$IQ22:$OD22)*1000+SUMPRODUCT('calcA'!$D$86:$EQ$86,$DB22:$IO22+$ZQ22:$AFD22,$AFF22:$AKS22),SUMPRODUCT('calcA'!$D$86:$EQ$86,$DB22:$IO22*1001+$ZQ22:$AFD22))*100+27)</f>
        <v/>
      </c>
      <c r="CN22">
        <f>IF(OR(AY22=1,calcA!$A$6=0),1000000000,IF('calcA'!$JF$37=1,0,100000000)+IF('calcA'!$IQ$37=2,SUMPRODUCT('calcA'!$D$87:$EQ$87,$DB22:$IO22,$IQ22:$OD22)*1000+SUMPRODUCT('calcA'!$D$87:$EQ$87,$DB22:$IO22+$ZQ22:$AFD22,$AFF22:$AKS22),SUMPRODUCT('calcA'!$D$87:$EQ$87,$DB22:$IO22*1001+$ZQ22:$AFD22))*100+28)</f>
        <v/>
      </c>
      <c r="CO22">
        <f>IF(OR(AZ22=1,calcA!$A$6=0),1000000000,IF('calcA'!$JF$38=1,0,100000000)+IF('calcA'!$IQ$38=2,SUMPRODUCT('calcA'!$D$88:$EQ$88,$DB22:$IO22,$IQ22:$OD22)*1000+SUMPRODUCT('calcA'!$D$88:$EQ$88,$DB22:$IO22+$ZQ22:$AFD22,$AFF22:$AKS22),SUMPRODUCT('calcA'!$D$88:$EQ$88,$DB22:$IO22*1001+$ZQ22:$AFD22))*100+29)</f>
        <v/>
      </c>
      <c r="CP22">
        <f>IF(OR(BA22=1,calcA!$A$6=0),1000000000,IF('calcA'!$JF$39=1,0,100000000)+IF('calcA'!$IQ$39=2,SUMPRODUCT('calcA'!$D$89:$EQ$89,$DB22:$IO22,$IQ22:$OD22)*1000+SUMPRODUCT('calcA'!$D$89:$EQ$89,$DB22:$IO22+$ZQ22:$AFD22,$AFF22:$AKS22),SUMPRODUCT('calcA'!$D$89:$EQ$89,$DB22:$IO22*1001+$ZQ22:$AFD22))*100+30)</f>
        <v/>
      </c>
      <c r="CQ22">
        <f>IF(OR(BB22=1,calcA!$A$6=0),1000000000,IF('calcA'!$JF$40=1,0,100000000)+IF('calcA'!$IQ$40=2,SUMPRODUCT('calcA'!$D$90:$EQ$90,$DB22:$IO22,$IQ22:$OD22)*1000+SUMPRODUCT('calcA'!$D$90:$EQ$90,$DB22:$IO22+$ZQ22:$AFD22,$AFF22:$AKS22),SUMPRODUCT('calcA'!$D$90:$EQ$90,$DB22:$IO22*1001+$ZQ22:$AFD22))*100+31)</f>
        <v/>
      </c>
      <c r="CR22">
        <f>IF(OR(BC22=1,calcA!$A$6=0),1000000000,IF('calcA'!$JF$41=1,0,100000000)+IF('calcA'!$IQ$41=2,SUMPRODUCT('calcA'!$D$91:$EQ$91,$DB22:$IO22,$IQ22:$OD22)*1000+SUMPRODUCT('calcA'!$D$91:$EQ$91,$DB22:$IO22+$ZQ22:$AFD22,$AFF22:$AKS22),SUMPRODUCT('calcA'!$D$91:$EQ$91,$DB22:$IO22*1001+$ZQ22:$AFD22))*100+32)</f>
        <v/>
      </c>
      <c r="CS22">
        <f>IF(OR(BD22=1,calcA!$A$6=0),1000000000,IF('calcA'!$JF$42=1,0,100000000)+IF('calcA'!$IQ$42=2,SUMPRODUCT('calcA'!$D$92:$EQ$92,$DB22:$IO22,$IQ22:$OD22)*1000+SUMPRODUCT('calcA'!$D$92:$EQ$92,$DB22:$IO22+$ZQ22:$AFD22,$AFF22:$AKS22),SUMPRODUCT('calcA'!$D$92:$EQ$92,$DB22:$IO22*1001+$ZQ22:$AFD22))*100+33)</f>
        <v/>
      </c>
      <c r="CT22">
        <f>IF(OR(BE22=1,calcA!$A$6=0),1000000000,IF('calcA'!$JF$43=1,0,100000000)+IF('calcA'!$IQ$43=2,SUMPRODUCT('calcA'!$D$93:$EQ$93,$DB22:$IO22,$IQ22:$OD22)*1000+SUMPRODUCT('calcA'!$D$93:$EQ$93,$DB22:$IO22+$ZQ22:$AFD22,$AFF22:$AKS22),SUMPRODUCT('calcA'!$D$93:$EQ$93,$DB22:$IO22*1001+$ZQ22:$AFD22))*100+34)</f>
        <v/>
      </c>
      <c r="CU22">
        <f>IF(OR(BF22=1,calcA!$A$6=0),1000000000,IF('calcA'!$JF$44=1,0,100000000)+IF('calcA'!$IQ$44=2,SUMPRODUCT('calcA'!$D$94:$EQ$94,$DB22:$IO22,$IQ22:$OD22)*1000+SUMPRODUCT('calcA'!$D$94:$EQ$94,$DB22:$IO22+$ZQ22:$AFD22,$AFF22:$AKS22),SUMPRODUCT('calcA'!$D$94:$EQ$94,$DB22:$IO22*1001+$ZQ22:$AFD22))*100+35)</f>
        <v/>
      </c>
      <c r="CV22">
        <f>IF(OR(BG22=1,calcA!$A$6=0),1000000000,IF('calcA'!$JF$45=1,0,100000000)+IF('calcA'!$IQ$45=2,SUMPRODUCT('calcA'!$D$95:$EQ$95,$DB22:$IO22,$IQ22:$OD22)*1000+SUMPRODUCT('calcA'!$D$95:$EQ$95,$DB22:$IO22+$ZQ22:$AFD22,$AFF22:$AKS22),SUMPRODUCT('calcA'!$D$95:$EQ$95,$DB22:$IO22*1001+$ZQ22:$AFD22))*100+36)</f>
        <v/>
      </c>
      <c r="CW22">
        <f>IF(OR(BH22=1,calcA!$A$6=0),1000000000,IF('calcA'!$JF$46=1,0,100000000)+IF('calcA'!$IQ$46=2,SUMPRODUCT('calcA'!$D$96:$EQ$96,$DB22:$IO22,$IQ22:$OD22)*1000+SUMPRODUCT('calcA'!$D$96:$EQ$96,$DB22:$IO22+$ZQ22:$AFD22,$AFF22:$AKS22),SUMPRODUCT('calcA'!$D$96:$EQ$96,$DB22:$IO22*1001+$ZQ22:$AFD22))*100+37)</f>
        <v/>
      </c>
      <c r="CX22">
        <f>IF(OR(BI22=1,calcA!$A$6=0),1000000000,IF('calcA'!$JF$47=1,0,100000000)+IF('calcA'!$IQ$47=2,SUMPRODUCT('calcA'!$D$97:$EQ$97,$DB22:$IO22,$IQ22:$OD22)*1000+SUMPRODUCT('calcA'!$D$97:$EQ$97,$DB22:$IO22+$ZQ22:$AFD22,$AFF22:$AKS22),SUMPRODUCT('calcA'!$D$97:$EQ$97,$DB22:$IO22*1001+$ZQ22:$AFD22))*100+38)</f>
        <v/>
      </c>
      <c r="CY22">
        <f>IF(OR(BJ22=1,calcA!$A$6=0),1000000000,IF('calcA'!$JF$48=1,0,100000000)+IF('calcA'!$IQ$48=2,SUMPRODUCT('calcA'!$D$98:$EQ$98,$DB22:$IO22,$IQ22:$OD22)*1000+SUMPRODUCT('calcA'!$D$98:$EQ$98,$DB22:$IO22+$ZQ22:$AFD22,$AFF22:$AKS22),SUMPRODUCT('calcA'!$D$98:$EQ$98,$DB22:$IO22*1001+$ZQ22:$AFD22))*100+39)</f>
        <v/>
      </c>
      <c r="CZ22">
        <f>IF(OR(BK22=1,calcA!$A$6=0),1000000000,IF('calcA'!$JF$49=1,0,100000000)+IF('calcA'!$IQ$49=2,SUMPRODUCT('calcA'!$D$99:$EQ$99,$DB22:$IO22,$IQ22:$OD22)*1000+SUMPRODUCT('calcA'!$D$99:$EQ$99,$DB22:$IO22+$ZQ22:$AFD22,$AFF22:$AKS22),SUMPRODUCT('calcA'!$D$99:$EQ$99,$DB22:$IO22*1001+$ZQ22:$AFD22))*100+40)</f>
        <v/>
      </c>
      <c r="DB22">
        <f>DB21*IF(OR($C21=1,$G21=1),0,1)</f>
        <v/>
      </c>
      <c r="DC22">
        <f>DC21*IF(OR($C21=2,$G21=2),0,1)</f>
        <v/>
      </c>
      <c r="DD22">
        <f>DD21*IF(OR($C21=3,$G21=3),0,1)</f>
        <v/>
      </c>
      <c r="DE22">
        <f>DE21*IF(OR($C21=4,$G21=4),0,1)</f>
        <v/>
      </c>
      <c r="DF22">
        <f>DF21*IF(OR($C21=5,$G21=5),0,1)</f>
        <v/>
      </c>
      <c r="DG22">
        <f>DG21*IF(OR($C21=6,$G21=6),0,1)</f>
        <v/>
      </c>
      <c r="DH22">
        <f>DH21*IF(OR($C21=7,$G21=7),0,1)</f>
        <v/>
      </c>
      <c r="DI22">
        <f>DI21*IF(OR($C21=8,$G21=8),0,1)</f>
        <v/>
      </c>
      <c r="DJ22">
        <f>DJ21*IF(OR($C21=9,$G21=9),0,1)</f>
        <v/>
      </c>
      <c r="DK22">
        <f>DK21*IF(OR($C21=10,$G21=10),0,1)</f>
        <v/>
      </c>
      <c r="DL22">
        <f>DL21*IF(OR($C21=11,$G21=11),0,1)</f>
        <v/>
      </c>
      <c r="DM22">
        <f>DM21*IF(OR($C21=12,$G21=12),0,1)</f>
        <v/>
      </c>
      <c r="DN22">
        <f>DN21*IF(OR($C21=13,$G21=13),0,1)</f>
        <v/>
      </c>
      <c r="DO22">
        <f>DO21*IF(OR($C21=14,$G21=14),0,1)</f>
        <v/>
      </c>
      <c r="DP22">
        <f>DP21*IF(OR($C21=15,$G21=15),0,1)</f>
        <v/>
      </c>
      <c r="DQ22">
        <f>DQ21*IF(OR($C21=16,$G21=16),0,1)</f>
        <v/>
      </c>
      <c r="DR22">
        <f>DR21*IF(OR($C21=17,$G21=17),0,1)</f>
        <v/>
      </c>
      <c r="DS22">
        <f>DS21*IF(OR($C21=18,$G21=18),0,1)</f>
        <v/>
      </c>
      <c r="DT22">
        <f>DT21*IF(OR($C21=19,$G21=19),0,1)</f>
        <v/>
      </c>
      <c r="DU22">
        <f>DU21*IF(OR($C21=20,$G21=20),0,1)</f>
        <v/>
      </c>
      <c r="DV22">
        <f>DV21*IF(OR($C21=21,$G21=21),0,1)</f>
        <v/>
      </c>
      <c r="DW22">
        <f>DW21*IF(OR($C21=22,$G21=22),0,1)</f>
        <v/>
      </c>
      <c r="DX22">
        <f>DX21*IF(OR($C21=23,$G21=23),0,1)</f>
        <v/>
      </c>
      <c r="DY22">
        <f>DY21*IF(OR($C21=24,$G21=24),0,1)</f>
        <v/>
      </c>
      <c r="DZ22">
        <f>DZ21*IF(OR($C21=25,$G21=25),0,1)</f>
        <v/>
      </c>
      <c r="EA22">
        <f>EA21*IF(OR($C21=26,$G21=26),0,1)</f>
        <v/>
      </c>
      <c r="EB22">
        <f>EB21*IF(OR($C21=27,$G21=27),0,1)</f>
        <v/>
      </c>
      <c r="EC22">
        <f>EC21*IF(OR($C21=28,$G21=28),0,1)</f>
        <v/>
      </c>
      <c r="ED22">
        <f>ED21*IF(OR($C21=29,$G21=29),0,1)</f>
        <v/>
      </c>
      <c r="EE22">
        <f>EE21*IF(OR($C21=30,$G21=30),0,1)</f>
        <v/>
      </c>
      <c r="EF22">
        <f>EF21*IF(OR($C21=31,$G21=31),0,1)</f>
        <v/>
      </c>
      <c r="EG22">
        <f>EG21*IF(OR($C21=32,$G21=32),0,1)</f>
        <v/>
      </c>
      <c r="EH22">
        <f>EH21*IF(OR($C21=33,$G21=33),0,1)</f>
        <v/>
      </c>
      <c r="EI22">
        <f>EI21*IF(OR($C21=34,$G21=34),0,1)</f>
        <v/>
      </c>
      <c r="EJ22">
        <f>EJ21*IF(OR($C21=35,$G21=35),0,1)</f>
        <v/>
      </c>
      <c r="EK22">
        <f>EK21*IF(OR($C21=36,$G21=36),0,1)</f>
        <v/>
      </c>
      <c r="EL22">
        <f>EL21*IF(OR($C21=37,$G21=37),0,1)</f>
        <v/>
      </c>
      <c r="EM22">
        <f>EM21*IF(OR($C21=38,$G21=38),0,1)</f>
        <v/>
      </c>
      <c r="EN22">
        <f>EN21*IF(OR($C21=39,$G21=39),0,1)</f>
        <v/>
      </c>
      <c r="EO22">
        <f>EO21*IF(OR($C21=40,$G21=40),0,1)</f>
        <v/>
      </c>
      <c r="EP22">
        <f>EP21*IF(OR($C21=41,$G21=41),0,1)</f>
        <v/>
      </c>
      <c r="EQ22">
        <f>EQ21*IF(OR($C21=42,$G21=42),0,1)</f>
        <v/>
      </c>
      <c r="ER22">
        <f>ER21*IF(OR($C21=43,$G21=43),0,1)</f>
        <v/>
      </c>
      <c r="ES22">
        <f>ES21*IF(OR($C21=44,$G21=44),0,1)</f>
        <v/>
      </c>
      <c r="ET22">
        <f>ET21*IF(OR($C21=45,$G21=45),0,1)</f>
        <v/>
      </c>
      <c r="EU22">
        <f>EU21*IF(OR($C21=46,$G21=46),0,1)</f>
        <v/>
      </c>
      <c r="EV22">
        <f>EV21*IF(OR($C21=47,$G21=47),0,1)</f>
        <v/>
      </c>
      <c r="EW22">
        <f>EW21*IF(OR($C21=48,$G21=48),0,1)</f>
        <v/>
      </c>
      <c r="EX22">
        <f>EX21*IF(OR($C21=49,$G21=49),0,1)</f>
        <v/>
      </c>
      <c r="EY22">
        <f>EY21*IF(OR($C21=50,$G21=50),0,1)</f>
        <v/>
      </c>
      <c r="EZ22">
        <f>EZ21*IF(OR($C21=51,$G21=51),0,1)</f>
        <v/>
      </c>
      <c r="FA22">
        <f>FA21*IF(OR($C21=52,$G21=52),0,1)</f>
        <v/>
      </c>
      <c r="FB22">
        <f>FB21*IF(OR($C21=53,$G21=53),0,1)</f>
        <v/>
      </c>
      <c r="FC22">
        <f>FC21*IF(OR($C21=54,$G21=54),0,1)</f>
        <v/>
      </c>
      <c r="FD22">
        <f>FD21*IF(OR($C21=55,$G21=55),0,1)</f>
        <v/>
      </c>
      <c r="FE22">
        <f>FE21*IF(OR($C21=56,$G21=56),0,1)</f>
        <v/>
      </c>
      <c r="FF22">
        <f>FF21*IF(OR($C21=57,$G21=57),0,1)</f>
        <v/>
      </c>
      <c r="FG22">
        <f>FG21*IF(OR($C21=58,$G21=58),0,1)</f>
        <v/>
      </c>
      <c r="FH22">
        <f>FH21*IF(OR($C21=59,$G21=59),0,1)</f>
        <v/>
      </c>
      <c r="FI22">
        <f>FI21*IF(OR($C21=60,$G21=60),0,1)</f>
        <v/>
      </c>
      <c r="FJ22">
        <f>FJ21*IF(OR($C21=61,$G21=61),0,1)</f>
        <v/>
      </c>
      <c r="FK22">
        <f>FK21*IF(OR($C21=62,$G21=62),0,1)</f>
        <v/>
      </c>
      <c r="FL22">
        <f>FL21*IF(OR($C21=63,$G21=63),0,1)</f>
        <v/>
      </c>
      <c r="FM22">
        <f>FM21*IF(OR($C21=64,$G21=64),0,1)</f>
        <v/>
      </c>
      <c r="FN22">
        <f>FN21*IF(OR($C21=65,$G21=65),0,1)</f>
        <v/>
      </c>
      <c r="FO22">
        <f>FO21*IF(OR($C21=66,$G21=66),0,1)</f>
        <v/>
      </c>
      <c r="FP22">
        <f>FP21*IF(OR($C21=67,$G21=67),0,1)</f>
        <v/>
      </c>
      <c r="FQ22">
        <f>FQ21*IF(OR($C21=68,$G21=68),0,1)</f>
        <v/>
      </c>
      <c r="FR22">
        <f>FR21*IF(OR($C21=69,$G21=69),0,1)</f>
        <v/>
      </c>
      <c r="FS22">
        <f>FS21*IF(OR($C21=70,$G21=70),0,1)</f>
        <v/>
      </c>
      <c r="FT22">
        <f>FT21*IF(OR($C21=71,$G21=71),0,1)</f>
        <v/>
      </c>
      <c r="FU22">
        <f>FU21*IF(OR($C21=72,$G21=72),0,1)</f>
        <v/>
      </c>
      <c r="FV22">
        <f>FV21*IF(OR($C21=73,$G21=73),0,1)</f>
        <v/>
      </c>
      <c r="FW22">
        <f>FW21*IF(OR($C21=74,$G21=74),0,1)</f>
        <v/>
      </c>
      <c r="FX22">
        <f>FX21*IF(OR($C21=75,$G21=75),0,1)</f>
        <v/>
      </c>
      <c r="FY22">
        <f>FY21*IF(OR($C21=76,$G21=76),0,1)</f>
        <v/>
      </c>
      <c r="FZ22">
        <f>FZ21*IF(OR($C21=77,$G21=77),0,1)</f>
        <v/>
      </c>
      <c r="GA22">
        <f>GA21*IF(OR($C21=78,$G21=78),0,1)</f>
        <v/>
      </c>
      <c r="GB22">
        <f>GB21*IF(OR($C21=79,$G21=79),0,1)</f>
        <v/>
      </c>
      <c r="GC22">
        <f>GC21*IF(OR($C21=80,$G21=80),0,1)</f>
        <v/>
      </c>
      <c r="GD22">
        <f>GD21*IF(OR($C21=81,$G21=81),0,1)</f>
        <v/>
      </c>
      <c r="GE22">
        <f>GE21*IF(OR($C21=82,$G21=82),0,1)</f>
        <v/>
      </c>
      <c r="GF22">
        <f>GF21*IF(OR($C21=83,$G21=83),0,1)</f>
        <v/>
      </c>
      <c r="GG22">
        <f>GG21*IF(OR($C21=84,$G21=84),0,1)</f>
        <v/>
      </c>
      <c r="GH22">
        <f>GH21*IF(OR($C21=85,$G21=85),0,1)</f>
        <v/>
      </c>
      <c r="GI22">
        <f>GI21*IF(OR($C21=86,$G21=86),0,1)</f>
        <v/>
      </c>
      <c r="GJ22">
        <f>GJ21*IF(OR($C21=87,$G21=87),0,1)</f>
        <v/>
      </c>
      <c r="GK22">
        <f>GK21*IF(OR($C21=88,$G21=88),0,1)</f>
        <v/>
      </c>
      <c r="GL22">
        <f>GL21*IF(OR($C21=89,$G21=89),0,1)</f>
        <v/>
      </c>
      <c r="GM22">
        <f>GM21*IF(OR($C21=90,$G21=90),0,1)</f>
        <v/>
      </c>
      <c r="GN22">
        <f>GN21*IF(OR($C21=91,$G21=91),0,1)</f>
        <v/>
      </c>
      <c r="GO22">
        <f>GO21*IF(OR($C21=92,$G21=92),0,1)</f>
        <v/>
      </c>
      <c r="GP22">
        <f>GP21*IF(OR($C21=93,$G21=93),0,1)</f>
        <v/>
      </c>
      <c r="GQ22">
        <f>GQ21*IF(OR($C21=94,$G21=94),0,1)</f>
        <v/>
      </c>
      <c r="GR22">
        <f>GR21*IF(OR($C21=95,$G21=95),0,1)</f>
        <v/>
      </c>
      <c r="GS22">
        <f>GS21*IF(OR($C21=96,$G21=96),0,1)</f>
        <v/>
      </c>
      <c r="GT22">
        <f>GT21*IF(OR($C21=97,$G21=97),0,1)</f>
        <v/>
      </c>
      <c r="GU22">
        <f>GU21*IF(OR($C21=98,$G21=98),0,1)</f>
        <v/>
      </c>
      <c r="GV22">
        <f>GV21*IF(OR($C21=99,$G21=99),0,1)</f>
        <v/>
      </c>
      <c r="GW22">
        <f>GW21*IF(OR($C21=100,$G21=100),0,1)</f>
        <v/>
      </c>
      <c r="GX22">
        <f>GX21*IF(OR($C21=101,$G21=101),0,1)</f>
        <v/>
      </c>
      <c r="GY22">
        <f>GY21*IF(OR($C21=102,$G21=102),0,1)</f>
        <v/>
      </c>
      <c r="GZ22">
        <f>GZ21*IF(OR($C21=103,$G21=103),0,1)</f>
        <v/>
      </c>
      <c r="HA22">
        <f>HA21*IF(OR($C21=104,$G21=104),0,1)</f>
        <v/>
      </c>
      <c r="HB22">
        <f>HB21*IF(OR($C21=105,$G21=105),0,1)</f>
        <v/>
      </c>
      <c r="HC22">
        <f>HC21*IF(OR($C21=106,$G21=106),0,1)</f>
        <v/>
      </c>
      <c r="HD22">
        <f>HD21*IF(OR($C21=107,$G21=107),0,1)</f>
        <v/>
      </c>
      <c r="HE22">
        <f>HE21*IF(OR($C21=108,$G21=108),0,1)</f>
        <v/>
      </c>
      <c r="HF22">
        <f>HF21*IF(OR($C21=109,$G21=109),0,1)</f>
        <v/>
      </c>
      <c r="HG22">
        <f>HG21*IF(OR($C21=110,$G21=110),0,1)</f>
        <v/>
      </c>
      <c r="HH22">
        <f>HH21*IF(OR($C21=111,$G21=111),0,1)</f>
        <v/>
      </c>
      <c r="HI22">
        <f>HI21*IF(OR($C21=112,$G21=112),0,1)</f>
        <v/>
      </c>
      <c r="HJ22">
        <f>HJ21*IF(OR($C21=113,$G21=113),0,1)</f>
        <v/>
      </c>
      <c r="HK22">
        <f>HK21*IF(OR($C21=114,$G21=114),0,1)</f>
        <v/>
      </c>
      <c r="HL22">
        <f>HL21*IF(OR($C21=115,$G21=115),0,1)</f>
        <v/>
      </c>
      <c r="HM22">
        <f>HM21*IF(OR($C21=116,$G21=116),0,1)</f>
        <v/>
      </c>
      <c r="HN22">
        <f>HN21*IF(OR($C21=117,$G21=117),0,1)</f>
        <v/>
      </c>
      <c r="HO22">
        <f>HO21*IF(OR($C21=118,$G21=118),0,1)</f>
        <v/>
      </c>
      <c r="HP22">
        <f>HP21*IF(OR($C21=119,$G21=119),0,1)</f>
        <v/>
      </c>
      <c r="HQ22">
        <f>HQ21*IF(OR($C21=120,$G21=120),0,1)</f>
        <v/>
      </c>
      <c r="HR22">
        <f>HR21*IF(OR($C21=121,$G21=121),0,1)</f>
        <v/>
      </c>
      <c r="HS22">
        <f>HS21*IF(OR($C21=122,$G21=122),0,1)</f>
        <v/>
      </c>
      <c r="HT22">
        <f>HT21*IF(OR($C21=123,$G21=123),0,1)</f>
        <v/>
      </c>
      <c r="HU22">
        <f>HU21*IF(OR($C21=124,$G21=124),0,1)</f>
        <v/>
      </c>
      <c r="HV22">
        <f>HV21*IF(OR($C21=125,$G21=125),0,1)</f>
        <v/>
      </c>
      <c r="HW22">
        <f>HW21*IF(OR($C21=126,$G21=126),0,1)</f>
        <v/>
      </c>
      <c r="HX22">
        <f>HX21*IF(OR($C21=127,$G21=127),0,1)</f>
        <v/>
      </c>
      <c r="HY22">
        <f>HY21*IF(OR($C21=128,$G21=128),0,1)</f>
        <v/>
      </c>
      <c r="HZ22">
        <f>HZ21*IF(OR($C21=129,$G21=129),0,1)</f>
        <v/>
      </c>
      <c r="IA22">
        <f>IA21*IF(OR($C21=130,$G21=130),0,1)</f>
        <v/>
      </c>
      <c r="IB22">
        <f>IB21*IF(OR($C21=131,$G21=131),0,1)</f>
        <v/>
      </c>
      <c r="IC22">
        <f>IC21*IF(OR($C21=132,$G21=132),0,1)</f>
        <v/>
      </c>
      <c r="ID22">
        <f>ID21*IF(OR($C21=133,$G21=133),0,1)</f>
        <v/>
      </c>
      <c r="IE22">
        <f>IE21*IF(OR($C21=134,$G21=134),0,1)</f>
        <v/>
      </c>
      <c r="IF22">
        <f>IF21*IF(OR($C21=135,$G21=135),0,1)</f>
        <v/>
      </c>
      <c r="IG22">
        <f>IG21*IF(OR($C21=136,$G21=136),0,1)</f>
        <v/>
      </c>
      <c r="IH22">
        <f>IH21*IF(OR($C21=137,$G21=137),0,1)</f>
        <v/>
      </c>
      <c r="II22">
        <f>II21*IF(OR($C21=138,$G21=138),0,1)</f>
        <v/>
      </c>
      <c r="IJ22">
        <f>IJ21*IF(OR($C21=139,$G21=139),0,1)</f>
        <v/>
      </c>
      <c r="IK22">
        <f>IK21*IF(OR($C21=140,$G21=140),0,1)</f>
        <v/>
      </c>
      <c r="IL22">
        <f>IL21*IF(OR($C21=141,$G21=141),0,1)</f>
        <v/>
      </c>
      <c r="IM22">
        <f>IM21*IF(OR($C21=142,$G21=142),0,1)</f>
        <v/>
      </c>
      <c r="IN22">
        <f>IN21*IF(OR($C21=143,$G21=143),0,1)</f>
        <v/>
      </c>
      <c r="IO22">
        <f>IO21*IF(OR($C21=144,$G21=144),0,1)</f>
        <v/>
      </c>
      <c r="IQ22">
        <f>IF('calcA'!D$106=1,DC22,1)</f>
        <v/>
      </c>
      <c r="IR22">
        <f>IF('calcA'!E$106=1,DD22,1)</f>
        <v/>
      </c>
      <c r="IS22">
        <f>IF('calcA'!F$106=1,DE22,1)</f>
        <v/>
      </c>
      <c r="IT22">
        <f>IF('calcA'!G$106=1,DF22,1)</f>
        <v/>
      </c>
      <c r="IU22">
        <f>IF('calcA'!H$106=1,DG22,1)</f>
        <v/>
      </c>
      <c r="IV22">
        <f>IF('calcA'!I$106=1,DH22,1)</f>
        <v/>
      </c>
      <c r="IW22">
        <f>IF('calcA'!J$106=1,DI22,1)</f>
        <v/>
      </c>
      <c r="IX22">
        <f>IF('calcA'!K$106=1,DJ22,1)</f>
        <v/>
      </c>
      <c r="IY22">
        <f>IF('calcA'!L$106=1,DK22,1)</f>
        <v/>
      </c>
      <c r="IZ22">
        <f>IF('calcA'!M$106=1,DL22,1)</f>
        <v/>
      </c>
      <c r="JA22">
        <f>IF('calcA'!N$106=1,DM22,1)</f>
        <v/>
      </c>
      <c r="JB22">
        <f>IF('calcA'!O$106=1,DN22,1)</f>
        <v/>
      </c>
      <c r="JC22">
        <f>IF('calcA'!P$106=1,DO22,1)</f>
        <v/>
      </c>
      <c r="JD22">
        <f>IF('calcA'!Q$106=1,DP22,1)</f>
        <v/>
      </c>
      <c r="JE22">
        <f>IF('calcA'!R$106=1,DQ22,1)</f>
        <v/>
      </c>
      <c r="JF22">
        <f>IF('calcA'!S$106=1,DR22,1)</f>
        <v/>
      </c>
      <c r="JG22">
        <f>IF('calcA'!T$106=1,DS22,1)</f>
        <v/>
      </c>
      <c r="JH22">
        <f>IF('calcA'!U$106=1,DT22,1)</f>
        <v/>
      </c>
      <c r="JI22">
        <f>IF('calcA'!V$106=1,DU22,1)</f>
        <v/>
      </c>
      <c r="JJ22">
        <f>IF('calcA'!W$106=1,DV22,1)</f>
        <v/>
      </c>
      <c r="JK22">
        <f>IF('calcA'!X$106=1,DW22,1)</f>
        <v/>
      </c>
      <c r="JL22">
        <f>IF('calcA'!Y$106=1,DX22,1)</f>
        <v/>
      </c>
      <c r="JM22">
        <f>IF('calcA'!Z$106=1,DY22,1)</f>
        <v/>
      </c>
      <c r="JN22">
        <f>IF('calcA'!AA$106=1,DZ22,1)</f>
        <v/>
      </c>
      <c r="JO22">
        <f>IF('calcA'!AB$106=1,EA22,1)</f>
        <v/>
      </c>
      <c r="JP22">
        <f>IF('calcA'!AC$106=1,EB22,1)</f>
        <v/>
      </c>
      <c r="JQ22">
        <f>IF('calcA'!AD$106=1,EC22,1)</f>
        <v/>
      </c>
      <c r="JR22">
        <f>IF('calcA'!AE$106=1,ED22,1)</f>
        <v/>
      </c>
      <c r="JS22">
        <f>IF('calcA'!AF$106=1,EE22,1)</f>
        <v/>
      </c>
      <c r="JT22">
        <f>IF('calcA'!AG$106=1,EF22,1)</f>
        <v/>
      </c>
      <c r="JU22">
        <f>IF('calcA'!AH$106=1,EG22,1)</f>
        <v/>
      </c>
      <c r="JV22">
        <f>IF('calcA'!AI$106=1,EH22,1)</f>
        <v/>
      </c>
      <c r="JW22">
        <f>IF('calcA'!AJ$106=1,EI22,1)</f>
        <v/>
      </c>
      <c r="JX22">
        <f>IF('calcA'!AK$106=1,EJ22,1)</f>
        <v/>
      </c>
      <c r="JY22">
        <f>IF('calcA'!AL$106=1,EK22,1)</f>
        <v/>
      </c>
      <c r="JZ22">
        <f>IF('calcA'!AM$106=1,EL22,1)</f>
        <v/>
      </c>
      <c r="KA22">
        <f>IF('calcA'!AN$106=1,EM22,1)</f>
        <v/>
      </c>
      <c r="KB22">
        <f>IF('calcA'!AO$106=1,EN22,1)</f>
        <v/>
      </c>
      <c r="KC22">
        <f>IF('calcA'!AP$106=1,EO22,1)</f>
        <v/>
      </c>
      <c r="KD22">
        <f>IF('calcA'!AQ$106=1,EP22,1)</f>
        <v/>
      </c>
      <c r="KE22">
        <f>IF('calcA'!AR$106=1,EQ22,1)</f>
        <v/>
      </c>
      <c r="KF22">
        <f>IF('calcA'!AS$106=1,ER22,1)</f>
        <v/>
      </c>
      <c r="KG22">
        <f>IF('calcA'!AT$106=1,ES22,1)</f>
        <v/>
      </c>
      <c r="KH22">
        <f>IF('calcA'!AU$106=1,ET22,1)</f>
        <v/>
      </c>
      <c r="KI22">
        <f>IF('calcA'!AV$106=1,EU22,1)</f>
        <v/>
      </c>
      <c r="KJ22">
        <f>IF('calcA'!AW$106=1,EV22,1)</f>
        <v/>
      </c>
      <c r="KK22">
        <f>IF('calcA'!AX$106=1,EW22,1)</f>
        <v/>
      </c>
      <c r="KL22">
        <f>IF('calcA'!AY$106=1,EX22,1)</f>
        <v/>
      </c>
      <c r="KM22">
        <f>IF('calcA'!AZ$106=1,EY22,1)</f>
        <v/>
      </c>
      <c r="KN22">
        <f>IF('calcA'!BA$106=1,EZ22,1)</f>
        <v/>
      </c>
      <c r="KO22">
        <f>IF('calcA'!BB$106=1,FA22,1)</f>
        <v/>
      </c>
      <c r="KP22">
        <f>IF('calcA'!BC$106=1,FB22,1)</f>
        <v/>
      </c>
      <c r="KQ22">
        <f>IF('calcA'!BD$106=1,FC22,1)</f>
        <v/>
      </c>
      <c r="KR22">
        <f>IF('calcA'!BE$106=1,FD22,1)</f>
        <v/>
      </c>
      <c r="KS22">
        <f>IF('calcA'!BF$106=1,FE22,1)</f>
        <v/>
      </c>
      <c r="KT22">
        <f>IF('calcA'!BG$106=1,FF22,1)</f>
        <v/>
      </c>
      <c r="KU22">
        <f>IF('calcA'!BH$106=1,FG22,1)</f>
        <v/>
      </c>
      <c r="KV22">
        <f>IF('calcA'!BI$106=1,FH22,1)</f>
        <v/>
      </c>
      <c r="KW22">
        <f>IF('calcA'!BJ$106=1,FI22,1)</f>
        <v/>
      </c>
      <c r="KX22">
        <f>IF('calcA'!BK$106=1,FJ22,1)</f>
        <v/>
      </c>
      <c r="KY22">
        <f>IF('calcA'!BL$106=1,FK22,1)</f>
        <v/>
      </c>
      <c r="KZ22">
        <f>IF('calcA'!BM$106=1,FL22,1)</f>
        <v/>
      </c>
      <c r="LA22">
        <f>IF('calcA'!BN$106=1,FM22,1)</f>
        <v/>
      </c>
      <c r="LB22">
        <f>IF('calcA'!BO$106=1,FN22,1)</f>
        <v/>
      </c>
      <c r="LC22">
        <f>IF('calcA'!BP$106=1,FO22,1)</f>
        <v/>
      </c>
      <c r="LD22">
        <f>IF('calcA'!BQ$106=1,FP22,1)</f>
        <v/>
      </c>
      <c r="LE22">
        <f>IF('calcA'!BR$106=1,FQ22,1)</f>
        <v/>
      </c>
      <c r="LF22">
        <f>IF('calcA'!BS$106=1,FR22,1)</f>
        <v/>
      </c>
      <c r="LG22">
        <f>IF('calcA'!BT$106=1,FS22,1)</f>
        <v/>
      </c>
      <c r="LH22">
        <f>IF('calcA'!BU$106=1,FT22,1)</f>
        <v/>
      </c>
      <c r="LI22">
        <f>IF('calcA'!BV$106=1,FU22,1)</f>
        <v/>
      </c>
      <c r="LJ22">
        <f>IF('calcA'!BW$106=1,FV22,1)</f>
        <v/>
      </c>
      <c r="LK22">
        <f>IF('calcA'!BX$106=1,FW22,1)</f>
        <v/>
      </c>
      <c r="LL22">
        <f>IF('calcA'!BY$106=1,FX22,1)</f>
        <v/>
      </c>
      <c r="LM22">
        <f>IF('calcA'!BZ$106=1,FY22,1)</f>
        <v/>
      </c>
      <c r="LN22">
        <f>IF('calcA'!CA$106=1,FZ22,1)</f>
        <v/>
      </c>
      <c r="LO22">
        <f>IF('calcA'!CB$106=1,GA22,1)</f>
        <v/>
      </c>
      <c r="LP22">
        <f>IF('calcA'!CC$106=1,GB22,1)</f>
        <v/>
      </c>
      <c r="LQ22">
        <f>IF('calcA'!CD$106=1,GC22,1)</f>
        <v/>
      </c>
      <c r="LR22">
        <f>IF('calcA'!CE$106=1,GD22,1)</f>
        <v/>
      </c>
      <c r="LS22">
        <f>IF('calcA'!CF$106=1,GE22,1)</f>
        <v/>
      </c>
      <c r="LT22">
        <f>IF('calcA'!CG$106=1,GF22,1)</f>
        <v/>
      </c>
      <c r="LU22">
        <f>IF('calcA'!CH$106=1,GG22,1)</f>
        <v/>
      </c>
      <c r="LV22">
        <f>IF('calcA'!CI$106=1,GH22,1)</f>
        <v/>
      </c>
      <c r="LW22">
        <f>IF('calcA'!CJ$106=1,GI22,1)</f>
        <v/>
      </c>
      <c r="LX22">
        <f>IF('calcA'!CK$106=1,GJ22,1)</f>
        <v/>
      </c>
      <c r="LY22">
        <f>IF('calcA'!CL$106=1,GK22,1)</f>
        <v/>
      </c>
      <c r="LZ22">
        <f>IF('calcA'!CM$106=1,GL22,1)</f>
        <v/>
      </c>
      <c r="MA22">
        <f>IF('calcA'!CN$106=1,GM22,1)</f>
        <v/>
      </c>
      <c r="MB22">
        <f>IF('calcA'!CO$106=1,GN22,1)</f>
        <v/>
      </c>
      <c r="MC22">
        <f>IF('calcA'!CP$106=1,GO22,1)</f>
        <v/>
      </c>
      <c r="MD22">
        <f>IF('calcA'!CQ$106=1,GP22,1)</f>
        <v/>
      </c>
      <c r="ME22">
        <f>IF('calcA'!CR$106=1,GQ22,1)</f>
        <v/>
      </c>
      <c r="MF22">
        <f>IF('calcA'!CS$106=1,GR22,1)</f>
        <v/>
      </c>
      <c r="MG22">
        <f>IF('calcA'!CT$106=1,GS22,1)</f>
        <v/>
      </c>
      <c r="MH22">
        <f>IF('calcA'!CU$106=1,GT22,1)</f>
        <v/>
      </c>
      <c r="MI22">
        <f>IF('calcA'!CV$106=1,GU22,1)</f>
        <v/>
      </c>
      <c r="MJ22">
        <f>IF('calcA'!CW$106=1,GV22,1)</f>
        <v/>
      </c>
      <c r="MK22">
        <f>IF('calcA'!CX$106=1,GW22,1)</f>
        <v/>
      </c>
      <c r="ML22">
        <f>IF('calcA'!CY$106=1,GX22,1)</f>
        <v/>
      </c>
      <c r="MM22">
        <f>IF('calcA'!CZ$106=1,GY22,1)</f>
        <v/>
      </c>
      <c r="MN22">
        <f>IF('calcA'!DA$106=1,GZ22,1)</f>
        <v/>
      </c>
      <c r="MO22">
        <f>IF('calcA'!DB$106=1,HA22,1)</f>
        <v/>
      </c>
      <c r="MP22">
        <f>IF('calcA'!DC$106=1,HB22,1)</f>
        <v/>
      </c>
      <c r="MQ22">
        <f>IF('calcA'!DD$106=1,HC22,1)</f>
        <v/>
      </c>
      <c r="MR22">
        <f>IF('calcA'!DE$106=1,HD22,1)</f>
        <v/>
      </c>
      <c r="MS22">
        <f>IF('calcA'!DF$106=1,HE22,1)</f>
        <v/>
      </c>
      <c r="MT22">
        <f>IF('calcA'!DG$106=1,HF22,1)</f>
        <v/>
      </c>
      <c r="MU22">
        <f>IF('calcA'!DH$106=1,HG22,1)</f>
        <v/>
      </c>
      <c r="MV22">
        <f>IF('calcA'!DI$106=1,HH22,1)</f>
        <v/>
      </c>
      <c r="MW22">
        <f>IF('calcA'!DJ$106=1,HI22,1)</f>
        <v/>
      </c>
      <c r="MX22">
        <f>IF('calcA'!DK$106=1,HJ22,1)</f>
        <v/>
      </c>
      <c r="MY22">
        <f>IF('calcA'!DL$106=1,HK22,1)</f>
        <v/>
      </c>
      <c r="MZ22">
        <f>IF('calcA'!DM$106=1,HL22,1)</f>
        <v/>
      </c>
      <c r="NA22">
        <f>IF('calcA'!DN$106=1,HM22,1)</f>
        <v/>
      </c>
      <c r="NB22">
        <f>IF('calcA'!DO$106=1,HN22,1)</f>
        <v/>
      </c>
      <c r="NC22">
        <f>IF('calcA'!DP$106=1,HO22,1)</f>
        <v/>
      </c>
      <c r="ND22">
        <f>IF('calcA'!DQ$106=1,HP22,1)</f>
        <v/>
      </c>
      <c r="NE22">
        <f>IF('calcA'!DR$106=1,HQ22,1)</f>
        <v/>
      </c>
      <c r="NF22">
        <f>IF('calcA'!DS$106=1,HR22,1)</f>
        <v/>
      </c>
      <c r="NG22">
        <f>IF('calcA'!DT$106=1,HS22,1)</f>
        <v/>
      </c>
      <c r="NH22">
        <f>IF('calcA'!DU$106=1,HT22,1)</f>
        <v/>
      </c>
      <c r="NI22">
        <f>IF('calcA'!DV$106=1,HU22,1)</f>
        <v/>
      </c>
      <c r="NJ22">
        <f>IF('calcA'!DW$106=1,HV22,1)</f>
        <v/>
      </c>
      <c r="NK22">
        <f>IF('calcA'!DX$106=1,HW22,1)</f>
        <v/>
      </c>
      <c r="NL22">
        <f>IF('calcA'!DY$106=1,HX22,1)</f>
        <v/>
      </c>
      <c r="NM22">
        <f>IF('calcA'!DZ$106=1,HY22,1)</f>
        <v/>
      </c>
      <c r="NN22">
        <f>IF('calcA'!EA$106=1,HZ22,1)</f>
        <v/>
      </c>
      <c r="NO22">
        <f>IF('calcA'!EB$106=1,IA22,1)</f>
        <v/>
      </c>
      <c r="NP22">
        <f>IF('calcA'!EC$106=1,IB22,1)</f>
        <v/>
      </c>
      <c r="NQ22">
        <f>IF('calcA'!ED$106=1,IC22,1)</f>
        <v/>
      </c>
      <c r="NR22">
        <f>IF('calcA'!EE$106=1,ID22,1)</f>
        <v/>
      </c>
      <c r="NS22">
        <f>IF('calcA'!EF$106=1,IE22,1)</f>
        <v/>
      </c>
      <c r="NT22">
        <f>IF('calcA'!EG$106=1,IF22,1)</f>
        <v/>
      </c>
      <c r="NU22">
        <f>IF('calcA'!EH$106=1,IG22,1)</f>
        <v/>
      </c>
      <c r="NV22">
        <f>IF('calcA'!EI$106=1,IH22,1)</f>
        <v/>
      </c>
      <c r="NW22">
        <f>IF('calcA'!EJ$106=1,II22,1)</f>
        <v/>
      </c>
      <c r="NX22">
        <f>IF('calcA'!EK$106=1,IJ22,1)</f>
        <v/>
      </c>
      <c r="NY22">
        <f>IF('calcA'!EL$106=1,IK22,1)</f>
        <v/>
      </c>
      <c r="NZ22">
        <f>IF('calcA'!EM$106=1,IL22,1)</f>
        <v/>
      </c>
      <c r="OA22">
        <f>IF('calcA'!EN$106=1,IM22,1)</f>
        <v/>
      </c>
      <c r="OB22">
        <f>IF('calcA'!EO$106=1,IN22,1)</f>
        <v/>
      </c>
      <c r="OC22">
        <f>IF('calcA'!EP$106=1,IO22,1)</f>
        <v/>
      </c>
      <c r="OD22" t="n">
        <v>1</v>
      </c>
      <c r="OF22">
        <f>IF($B22=0,1000000000,IF(INDEX('calcA'!$D$60:$EQ$99,$B22,1)*IF($W22=1,DB22+ZQ22,DB22)=1,IF(AND($E22=2,IF($W22=1,AFF22,IQ22)=0),1000000000,IF($V22=1,INDEX('calcA'!$D$130:$EQ$169,$B22,1)+IF(AND($E22=1,IQ22=0),25,0),IF($F22&gt;0,INDEX('calcA'!D$110:D$114,$F22+1)+IF(AND($E22=1,IQ22=0),1000,0),MIN(TU22,20)*400+(IF('calcA'!D$106=1,1-DC22,0))*150+11+'calcA'!D$5*100000+IF(AND($E22=1,IQ22=0),50000,0))+IF($H22=1,INDEX('calcA'!$D$180:$EQ$219,$B22,1)*4000,0)-IF(AND($U22=1,'calcA'!D$117=1,DC22=0),2000,0))),1000000000))</f>
        <v/>
      </c>
      <c r="OG22">
        <f>IF($B22=0,1000000000,IF(INDEX('calcA'!$D$60:$EQ$99,$B22,2)*IF($W22=1,DC22+ZR22,DC22)=1,IF(AND($E22=2,IF($W22=1,AFG22,IR22)=0),1000000000,IF($V22=1,INDEX('calcA'!$D$130:$EQ$169,$B22,2)+IF(AND($E22=1,IR22=0),25,0),IF($F22&gt;0,INDEX('calcA'!E$110:E$114,$F22+1)+IF(AND($E22=1,IR22=0),1000,0),MIN(TU22,20)*400+(IF('calcA'!D$106=1,1-DB22,0)+IF('calcA'!E$106=1,1-DD22,0))*150+21+'calcA'!E$5*100000+IF(AND($E22=1,IR22=0),50000,0))+IF($H22=1,INDEX('calcA'!$D$180:$EQ$219,$B22,2)*4000,0)-IF(AND('calcA'!D$117=1,UB22&gt;0),2000,0)-IF(AND($U22=1,'calcA'!E$117=1,DD22=0),2000,0))),1000000000))</f>
        <v/>
      </c>
      <c r="OH22">
        <f>IF($B22=0,1000000000,IF(INDEX('calcA'!$D$60:$EQ$99,$B22,3)*IF($W22=1,DD22+ZS22,DD22)=1,IF(AND($E22=2,IF($W22=1,AFH22,IS22)=0),1000000000,IF($V22=1,INDEX('calcA'!$D$130:$EQ$169,$B22,3)+IF(AND($E22=1,IS22=0),25,0),IF($F22&gt;0,INDEX('calcA'!F$110:F$114,$F22+1)+IF(AND($E22=1,IS22=0),1000,0),MIN(TU22,20)*400+(IF('calcA'!E$106=1,1-DC22,0)+IF('calcA'!F$106=1,1-DE22,0))*150+31+'calcA'!F$5*100000+IF(AND($E22=1,IS22=0),50000,0))+IF($H22=1,INDEX('calcA'!$D$180:$EQ$219,$B22,3)*4000,0)-IF(AND('calcA'!E$117=1,UC22&gt;0),2000,0)-IF(AND($U22=1,'calcA'!F$117=1,DE22=0),2000,0))),1000000000))</f>
        <v/>
      </c>
      <c r="OI22">
        <f>IF($B22=0,1000000000,IF(INDEX('calcA'!$D$60:$EQ$99,$B22,4)*IF($W22=1,DE22+ZT22,DE22)=1,IF(AND($E22=2,IF($W22=1,AFI22,IT22)=0),1000000000,IF($V22=1,INDEX('calcA'!$D$130:$EQ$169,$B22,4)+IF(AND($E22=1,IT22=0),25,0),IF($F22&gt;0,INDEX('calcA'!G$110:G$114,$F22+1)+IF(AND($E22=1,IT22=0),1000,0),MIN(TU22,20)*400+(IF('calcA'!F$106=1,1-DD22,0)+IF('calcA'!G$106=1,1-DF22,0))*150+41+'calcA'!G$5*100000+IF(AND($E22=1,IT22=0),50000,0))+IF($H22=1,INDEX('calcA'!$D$180:$EQ$219,$B22,4)*4000,0)-IF(AND('calcA'!F$117=1,UD22&gt;0),2000,0)-IF(AND($U22=1,'calcA'!G$117=1,DF22=0),2000,0))),1000000000))</f>
        <v/>
      </c>
      <c r="OJ22">
        <f>IF($B22=0,1000000000,IF(INDEX('calcA'!$D$60:$EQ$99,$B22,5)*IF($W22=1,DF22+ZU22,DF22)=1,IF(AND($E22=2,IF($W22=1,AFJ22,IU22)=0),1000000000,IF($V22=1,INDEX('calcA'!$D$130:$EQ$169,$B22,5)+IF(AND($E22=1,IU22=0),25,0),IF($F22&gt;0,INDEX('calcA'!H$110:H$114,$F22+1)+IF(AND($E22=1,IU22=0),1000,0),MIN(TU22,20)*400+(IF('calcA'!G$106=1,1-DE22,0)+IF('calcA'!H$106=1,1-DG22,0))*150+51+'calcA'!H$5*100000+IF(AND($E22=1,IU22=0),50000,0))+IF($H22=1,INDEX('calcA'!$D$180:$EQ$219,$B22,5)*4000,0)-IF(AND('calcA'!G$117=1,UE22&gt;0),2000,0)-IF(AND($U22=1,'calcA'!H$117=1,DG22=0),2000,0))),1000000000))</f>
        <v/>
      </c>
      <c r="OK22">
        <f>IF($B22=0,1000000000,IF(INDEX('calcA'!$D$60:$EQ$99,$B22,6)*IF($W22=1,DG22+ZV22,DG22)=1,IF(AND($E22=2,IF($W22=1,AFK22,IV22)=0),1000000000,IF($V22=1,INDEX('calcA'!$D$130:$EQ$169,$B22,6)+IF(AND($E22=1,IV22=0),25,0),IF($F22&gt;0,INDEX('calcA'!I$110:I$114,$F22+1)+IF(AND($E22=1,IV22=0),1000,0),MIN(TU22,20)*400+(IF('calcA'!H$106=1,1-DF22,0)+IF('calcA'!I$106=1,1-DH22,0))*150+61+'calcA'!I$5*100000+IF(AND($E22=1,IV22=0),50000,0))+IF($H22=1,INDEX('calcA'!$D$180:$EQ$219,$B22,6)*4000,0)-IF(AND('calcA'!H$117=1,UF22&gt;0),2000,0)-IF(AND($U22=1,'calcA'!I$117=1,DH22=0),2000,0))),1000000000))</f>
        <v/>
      </c>
      <c r="OL22">
        <f>IF($B22=0,1000000000,IF(INDEX('calcA'!$D$60:$EQ$99,$B22,7)*IF($W22=1,DH22+ZW22,DH22)=1,IF(AND($E22=2,IF($W22=1,AFL22,IW22)=0),1000000000,IF($V22=1,INDEX('calcA'!$D$130:$EQ$169,$B22,7)+IF(AND($E22=1,IW22=0),25,0),IF($F22&gt;0,INDEX('calcA'!J$110:J$114,$F22+1)+IF(AND($E22=1,IW22=0),1000,0),MIN(TU22,20)*400+(IF('calcA'!I$106=1,1-DG22,0)+IF('calcA'!J$106=1,1-DI22,0))*150+71+'calcA'!J$5*100000+IF(AND($E22=1,IW22=0),50000,0))+IF($H22=1,INDEX('calcA'!$D$180:$EQ$219,$B22,7)*4000,0)-IF(AND('calcA'!I$117=1,UG22&gt;0),2000,0)-IF(AND($U22=1,'calcA'!J$117=1,DI22=0),2000,0))),1000000000))</f>
        <v/>
      </c>
      <c r="OM22">
        <f>IF($B22=0,1000000000,IF(INDEX('calcA'!$D$60:$EQ$99,$B22,8)*IF($W22=1,DI22+ZX22,DI22)=1,IF(AND($E22=2,IF($W22=1,AFM22,IX22)=0),1000000000,IF($V22=1,INDEX('calcA'!$D$130:$EQ$169,$B22,8)+IF(AND($E22=1,IX22=0),25,0),IF($F22&gt;0,INDEX('calcA'!K$110:K$114,$F22+1)+IF(AND($E22=1,IX22=0),1000,0),MIN(TU22,20)*400+(IF('calcA'!J$106=1,1-DH22,0)+IF('calcA'!K$106=1,1-DJ22,0))*150+81+'calcA'!K$5*100000+IF(AND($E22=1,IX22=0),50000,0))+IF($H22=1,INDEX('calcA'!$D$180:$EQ$219,$B22,8)*4000,0)-IF(AND('calcA'!J$117=1,UH22&gt;0),2000,0)-IF(AND($U22=1,'calcA'!K$117=1,DJ22=0),2000,0))),1000000000))</f>
        <v/>
      </c>
      <c r="ON22">
        <f>IF($B22=0,1000000000,IF(INDEX('calcA'!$D$60:$EQ$99,$B22,9)*IF($W22=1,DJ22+ZY22,DJ22)=1,IF(AND($E22=2,IF($W22=1,AFN22,IY22)=0),1000000000,IF($V22=1,INDEX('calcA'!$D$130:$EQ$169,$B22,9)+IF(AND($E22=1,IY22=0),25,0),IF($F22&gt;0,INDEX('calcA'!L$110:L$114,$F22+1)+IF(AND($E22=1,IY22=0),1000,0),MIN(TU22,20)*400+(IF('calcA'!K$106=1,1-DI22,0)+IF('calcA'!L$106=1,1-DK22,0))*150+91+'calcA'!L$5*100000+IF(AND($E22=1,IY22=0),50000,0))+IF($H22=1,INDEX('calcA'!$D$180:$EQ$219,$B22,9)*4000,0)-IF(AND('calcA'!K$117=1,UI22&gt;0),2000,0)-IF(AND($U22=1,'calcA'!L$117=1,DK22=0),2000,0))),1000000000))</f>
        <v/>
      </c>
      <c r="OO22">
        <f>IF($B22=0,1000000000,IF(INDEX('calcA'!$D$60:$EQ$99,$B22,10)*IF($W22=1,DK22+ZZ22,DK22)=1,IF(AND($E22=2,IF($W22=1,AFO22,IZ22)=0),1000000000,IF($V22=1,INDEX('calcA'!$D$130:$EQ$169,$B22,10)+IF(AND($E22=1,IZ22=0),25,0),IF($F22&gt;0,INDEX('calcA'!M$110:M$114,$F22+1)+IF(AND($E22=1,IZ22=0),1000,0),MIN(TU22,20)*400+(IF('calcA'!L$106=1,1-DJ22,0)+IF('calcA'!M$106=1,1-DL22,0))*150+101+'calcA'!M$5*100000+IF(AND($E22=1,IZ22=0),50000,0))+IF($H22=1,INDEX('calcA'!$D$180:$EQ$219,$B22,10)*4000,0)-IF(AND('calcA'!L$117=1,UJ22&gt;0),2000,0)-IF(AND($U22=1,'calcA'!M$117=1,DL22=0),2000,0))),1000000000))</f>
        <v/>
      </c>
      <c r="OP22">
        <f>IF($B22=0,1000000000,IF(INDEX('calcA'!$D$60:$EQ$99,$B22,11)*IF($W22=1,DL22+AAA22,DL22)=1,IF(AND($E22=2,IF($W22=1,AFP22,JA22)=0),1000000000,IF($V22=1,INDEX('calcA'!$D$130:$EQ$169,$B22,11)+IF(AND($E22=1,JA22=0),25,0),IF($F22&gt;0,INDEX('calcA'!N$110:N$114,$F22+1)+IF(AND($E22=1,JA22=0),1000,0),MIN(TU22,20)*400+(IF('calcA'!M$106=1,1-DK22,0)+IF('calcA'!N$106=1,1-DM22,0))*150+111+'calcA'!N$5*100000+IF(AND($E22=1,JA22=0),50000,0))+IF($H22=1,INDEX('calcA'!$D$180:$EQ$219,$B22,11)*4000,0)-IF(AND('calcA'!M$117=1,UK22&gt;0),2000,0)-IF(AND($U22=1,'calcA'!N$117=1,DM22=0),2000,0))),1000000000))</f>
        <v/>
      </c>
      <c r="OQ22">
        <f>IF($B22=0,1000000000,IF(INDEX('calcA'!$D$60:$EQ$99,$B22,12)*IF($W22=1,DM22+AAB22,DM22)=1,IF(AND($E22=2,IF($W22=1,AFQ22,JB22)=0),1000000000,IF($V22=1,INDEX('calcA'!$D$130:$EQ$169,$B22,12)+IF(AND($E22=1,JB22=0),25,0),IF($F22&gt;0,INDEX('calcA'!O$110:O$114,$F22+1)+IF(AND($E22=1,JB22=0),1000,0),MIN(TU22,20)*400+(IF('calcA'!N$106=1,1-DL22,0)+IF('calcA'!O$106=1,1-DN22,0))*150+121+'calcA'!O$5*100000+IF(AND($E22=1,JB22=0),50000,0))+IF($H22=1,INDEX('calcA'!$D$180:$EQ$219,$B22,12)*4000,0)-IF(AND('calcA'!N$117=1,UL22&gt;0),2000,0)-IF(AND($U22=1,'calcA'!O$117=1,DN22=0),2000,0))),1000000000))</f>
        <v/>
      </c>
      <c r="OR22">
        <f>IF($B22=0,1000000000,IF(INDEX('calcA'!$D$60:$EQ$99,$B22,13)*IF($W22=1,DN22+AAC22,DN22)=1,IF(AND($E22=2,IF($W22=1,AFR22,JC22)=0),1000000000,IF($V22=1,INDEX('calcA'!$D$130:$EQ$169,$B22,13)+IF(AND($E22=1,JC22=0),25,0),IF($F22&gt;0,INDEX('calcA'!P$110:P$114,$F22+1)+IF(AND($E22=1,JC22=0),1000,0),MIN(TU22,20)*400+(IF('calcA'!O$106=1,1-DM22,0)+IF('calcA'!P$106=1,1-DO22,0))*150+131+'calcA'!P$5*100000+IF(AND($E22=1,JC22=0),50000,0))+IF($H22=1,INDEX('calcA'!$D$180:$EQ$219,$B22,13)*4000,0)-IF(AND('calcA'!O$117=1,UM22&gt;0),2000,0)-IF(AND($U22=1,'calcA'!P$117=1,DO22=0),2000,0))),1000000000))</f>
        <v/>
      </c>
      <c r="OS22">
        <f>IF($B22=0,1000000000,IF(INDEX('calcA'!$D$60:$EQ$99,$B22,14)*IF($W22=1,DO22+AAD22,DO22)=1,IF(AND($E22=2,IF($W22=1,AFS22,JD22)=0),1000000000,IF($V22=1,INDEX('calcA'!$D$130:$EQ$169,$B22,14)+IF(AND($E22=1,JD22=0),25,0),IF($F22&gt;0,INDEX('calcA'!Q$110:Q$114,$F22+1)+IF(AND($E22=1,JD22=0),1000,0),MIN(TU22,20)*400+(IF('calcA'!P$106=1,1-DN22,0)+IF('calcA'!Q$106=1,1-DP22,0))*150+141+'calcA'!Q$5*100000+IF(AND($E22=1,JD22=0),50000,0))+IF($H22=1,INDEX('calcA'!$D$180:$EQ$219,$B22,14)*4000,0)-IF(AND('calcA'!P$117=1,UN22&gt;0),2000,0)-IF(AND($U22=1,'calcA'!Q$117=1,DP22=0),2000,0))),1000000000))</f>
        <v/>
      </c>
      <c r="OT22">
        <f>IF($B22=0,1000000000,IF(INDEX('calcA'!$D$60:$EQ$99,$B22,15)*IF($W22=1,DP22+AAE22,DP22)=1,IF(AND($E22=2,IF($W22=1,AFT22,JE22)=0),1000000000,IF($V22=1,INDEX('calcA'!$D$130:$EQ$169,$B22,15)+IF(AND($E22=1,JE22=0),25,0),IF($F22&gt;0,INDEX('calcA'!R$110:R$114,$F22+1)+IF(AND($E22=1,JE22=0),1000,0),MIN(TU22,20)*400+(IF('calcA'!Q$106=1,1-DO22,0)+IF('calcA'!R$106=1,1-DQ22,0))*150+151+'calcA'!R$5*100000+IF(AND($E22=1,JE22=0),50000,0))+IF($H22=1,INDEX('calcA'!$D$180:$EQ$219,$B22,15)*4000,0)-IF(AND('calcA'!Q$117=1,UO22&gt;0),2000,0)-IF(AND($U22=1,'calcA'!R$117=1,DQ22=0),2000,0))),1000000000))</f>
        <v/>
      </c>
      <c r="OU22">
        <f>IF($B22=0,1000000000,IF(INDEX('calcA'!$D$60:$EQ$99,$B22,16)*IF($W22=1,DQ22+AAF22,DQ22)=1,IF(AND($E22=2,IF($W22=1,AFU22,JF22)=0),1000000000,IF($V22=1,INDEX('calcA'!$D$130:$EQ$169,$B22,16)+IF(AND($E22=1,JF22=0),25,0),IF($F22&gt;0,INDEX('calcA'!S$110:S$114,$F22+1)+IF(AND($E22=1,JF22=0),1000,0),MIN(TU22,20)*400+(IF('calcA'!R$106=1,1-DP22,0)+IF('calcA'!S$106=1,1-DR22,0))*150+161+'calcA'!S$5*100000+IF(AND($E22=1,JF22=0),50000,0))+IF($H22=1,INDEX('calcA'!$D$180:$EQ$219,$B22,16)*4000,0)-IF(AND('calcA'!R$117=1,UP22&gt;0),2000,0)-IF(AND($U22=1,'calcA'!S$117=1,DR22=0),2000,0))),1000000000))</f>
        <v/>
      </c>
      <c r="OV22">
        <f>IF($B22=0,1000000000,IF(INDEX('calcA'!$D$60:$EQ$99,$B22,17)*IF($W22=1,DR22+AAG22,DR22)=1,IF(AND($E22=2,IF($W22=1,AFV22,JG22)=0),1000000000,IF($V22=1,INDEX('calcA'!$D$130:$EQ$169,$B22,17)+IF(AND($E22=1,JG22=0),25,0),IF($F22&gt;0,INDEX('calcA'!T$110:T$114,$F22+1)+IF(AND($E22=1,JG22=0),1000,0),MIN(TU22,20)*400+(IF('calcA'!S$106=1,1-DQ22,0)+IF('calcA'!T$106=1,1-DS22,0))*150+171+'calcA'!T$5*100000+IF(AND($E22=1,JG22=0),50000,0))+IF($H22=1,INDEX('calcA'!$D$180:$EQ$219,$B22,17)*4000,0)-IF(AND('calcA'!S$117=1,UQ22&gt;0),2000,0)-IF(AND($U22=1,'calcA'!T$117=1,DS22=0),2000,0))),1000000000))</f>
        <v/>
      </c>
      <c r="OW22">
        <f>IF($B22=0,1000000000,IF(INDEX('calcA'!$D$60:$EQ$99,$B22,18)*IF($W22=1,DS22+AAH22,DS22)=1,IF(AND($E22=2,IF($W22=1,AFW22,JH22)=0),1000000000,IF($V22=1,INDEX('calcA'!$D$130:$EQ$169,$B22,18)+IF(AND($E22=1,JH22=0),25,0),IF($F22&gt;0,INDEX('calcA'!U$110:U$114,$F22+1)+IF(AND($E22=1,JH22=0),1000,0),MIN(TU22,20)*400+(IF('calcA'!T$106=1,1-DR22,0)+IF('calcA'!U$106=1,1-DT22,0))*150+181+'calcA'!U$5*100000+IF(AND($E22=1,JH22=0),50000,0))+IF($H22=1,INDEX('calcA'!$D$180:$EQ$219,$B22,18)*4000,0)-IF(AND('calcA'!T$117=1,UR22&gt;0),2000,0)-IF(AND($U22=1,'calcA'!U$117=1,DT22=0),2000,0))),1000000000))</f>
        <v/>
      </c>
      <c r="OX22">
        <f>IF($B22=0,1000000000,IF(INDEX('calcA'!$D$60:$EQ$99,$B22,19)*IF($W22=1,DT22+AAI22,DT22)=1,IF(AND($E22=2,IF($W22=1,AFX22,JI22)=0),1000000000,IF($V22=1,INDEX('calcA'!$D$130:$EQ$169,$B22,19)+IF(AND($E22=1,JI22=0),25,0),IF($F22&gt;0,INDEX('calcA'!V$110:V$114,$F22+1)+IF(AND($E22=1,JI22=0),1000,0),MIN(TU22,20)*400+(IF('calcA'!U$106=1,1-DS22,0)+IF('calcA'!V$106=1,1-DU22,0))*150+191+'calcA'!V$5*100000+IF(AND($E22=1,JI22=0),50000,0))+IF($H22=1,INDEX('calcA'!$D$180:$EQ$219,$B22,19)*4000,0)-IF(AND('calcA'!U$117=1,US22&gt;0),2000,0)-IF(AND($U22=1,'calcA'!V$117=1,DU22=0),2000,0))),1000000000))</f>
        <v/>
      </c>
      <c r="OY22">
        <f>IF($B22=0,1000000000,IF(INDEX('calcA'!$D$60:$EQ$99,$B22,20)*IF($W22=1,DU22+AAJ22,DU22)=1,IF(AND($E22=2,IF($W22=1,AFY22,JJ22)=0),1000000000,IF($V22=1,INDEX('calcA'!$D$130:$EQ$169,$B22,20)+IF(AND($E22=1,JJ22=0),25,0),IF($F22&gt;0,INDEX('calcA'!W$110:W$114,$F22+1)+IF(AND($E22=1,JJ22=0),1000,0),MIN(TU22,20)*400+(IF('calcA'!V$106=1,1-DT22,0)+IF('calcA'!W$106=1,1-DV22,0))*150+201+'calcA'!W$5*100000+IF(AND($E22=1,JJ22=0),50000,0))+IF($H22=1,INDEX('calcA'!$D$180:$EQ$219,$B22,20)*4000,0)-IF(AND('calcA'!V$117=1,UT22&gt;0),2000,0)-IF(AND($U22=1,'calcA'!W$117=1,DV22=0),2000,0))),1000000000))</f>
        <v/>
      </c>
      <c r="OZ22">
        <f>IF($B22=0,1000000000,IF(INDEX('calcA'!$D$60:$EQ$99,$B22,21)*IF($W22=1,DV22+AAK22,DV22)=1,IF(AND($E22=2,IF($W22=1,AFZ22,JK22)=0),1000000000,IF($V22=1,INDEX('calcA'!$D$130:$EQ$169,$B22,21)+IF(AND($E22=1,JK22=0),25,0),IF($F22&gt;0,INDEX('calcA'!X$110:X$114,$F22+1)+IF(AND($E22=1,JK22=0),1000,0),MIN(TU22,20)*400+(IF('calcA'!W$106=1,1-DU22,0)+IF('calcA'!X$106=1,1-DW22,0))*150+211+'calcA'!X$5*100000+IF(AND($E22=1,JK22=0),50000,0))+IF($H22=1,INDEX('calcA'!$D$180:$EQ$219,$B22,21)*4000,0)-IF(AND('calcA'!W$117=1,UU22&gt;0),2000,0)-IF(AND($U22=1,'calcA'!X$117=1,DW22=0),2000,0))),1000000000))</f>
        <v/>
      </c>
      <c r="PA22">
        <f>IF($B22=0,1000000000,IF(INDEX('calcA'!$D$60:$EQ$99,$B22,22)*IF($W22=1,DW22+AAL22,DW22)=1,IF(AND($E22=2,IF($W22=1,AGA22,JL22)=0),1000000000,IF($V22=1,INDEX('calcA'!$D$130:$EQ$169,$B22,22)+IF(AND($E22=1,JL22=0),25,0),IF($F22&gt;0,INDEX('calcA'!Y$110:Y$114,$F22+1)+IF(AND($E22=1,JL22=0),1000,0),MIN(TU22,20)*400+(IF('calcA'!X$106=1,1-DV22,0)+IF('calcA'!Y$106=1,1-DX22,0))*150+221+'calcA'!Y$5*100000+IF(AND($E22=1,JL22=0),50000,0))+IF($H22=1,INDEX('calcA'!$D$180:$EQ$219,$B22,22)*4000,0)-IF(AND('calcA'!X$117=1,UV22&gt;0),2000,0)-IF(AND($U22=1,'calcA'!Y$117=1,DX22=0),2000,0))),1000000000))</f>
        <v/>
      </c>
      <c r="PB22">
        <f>IF($B22=0,1000000000,IF(INDEX('calcA'!$D$60:$EQ$99,$B22,23)*IF($W22=1,DX22+AAM22,DX22)=1,IF(AND($E22=2,IF($W22=1,AGB22,JM22)=0),1000000000,IF($V22=1,INDEX('calcA'!$D$130:$EQ$169,$B22,23)+IF(AND($E22=1,JM22=0),25,0),IF($F22&gt;0,INDEX('calcA'!Z$110:Z$114,$F22+1)+IF(AND($E22=1,JM22=0),1000,0),MIN(TU22,20)*400+(IF('calcA'!Y$106=1,1-DW22,0)+IF('calcA'!Z$106=1,1-DY22,0))*150+231+'calcA'!Z$5*100000+IF(AND($E22=1,JM22=0),50000,0))+IF($H22=1,INDEX('calcA'!$D$180:$EQ$219,$B22,23)*4000,0)-IF(AND('calcA'!Y$117=1,UW22&gt;0),2000,0)-IF(AND($U22=1,'calcA'!Z$117=1,DY22=0),2000,0))),1000000000))</f>
        <v/>
      </c>
      <c r="PC22">
        <f>IF($B22=0,1000000000,IF(INDEX('calcA'!$D$60:$EQ$99,$B22,24)*IF($W22=1,DY22+AAN22,DY22)=1,IF(AND($E22=2,IF($W22=1,AGC22,JN22)=0),1000000000,IF($V22=1,INDEX('calcA'!$D$130:$EQ$169,$B22,24)+IF(AND($E22=1,JN22=0),25,0),IF($F22&gt;0,INDEX('calcA'!AA$110:AA$114,$F22+1)+IF(AND($E22=1,JN22=0),1000,0),MIN(TU22,20)*400+(IF('calcA'!Z$106=1,1-DX22,0))*150+241+'calcA'!AA$5*100000+IF(AND($E22=1,JN22=0),50000,0))+IF($H22=1,INDEX('calcA'!$D$180:$EQ$219,$B22,24)*4000,0)-IF(AND('calcA'!Z$117=1,UX22&gt;0),2000,0))),1000000000))</f>
        <v/>
      </c>
      <c r="PD22">
        <f>IF($B22=0,1000000000,IF(INDEX('calcA'!$D$60:$EQ$99,$B22,25)*IF($W22=1,DZ22+AAO22,DZ22)=1,IF(AND($E22=2,IF($W22=1,AGD22,JO22)=0),1000000000,IF($V22=1,INDEX('calcA'!$D$130:$EQ$169,$B22,25)+IF(AND($E22=1,JO22=0),25,0),IF($F22&gt;0,INDEX('calcA'!AB$110:AB$114,$F22+1)+IF(AND($E22=1,JO22=0),1000,0),MIN(TV22,20)*400+(IF('calcA'!AB$106=1,1-EA22,0))*150+12+'calcA'!AB$5*100000+IF(AND($E22=1,JO22=0),50000,0))+IF($H22=1,INDEX('calcA'!$D$180:$EQ$219,$B22,25)*4000,0)-IF(AND($U22=1,'calcA'!AB$117=1,EA22=0),2000,0))),1000000000))</f>
        <v/>
      </c>
      <c r="PE22">
        <f>IF($B22=0,1000000000,IF(INDEX('calcA'!$D$60:$EQ$99,$B22,26)*IF($W22=1,EA22+AAP22,EA22)=1,IF(AND($E22=2,IF($W22=1,AGE22,JP22)=0),1000000000,IF($V22=1,INDEX('calcA'!$D$130:$EQ$169,$B22,26)+IF(AND($E22=1,JP22=0),25,0),IF($F22&gt;0,INDEX('calcA'!AC$110:AC$114,$F22+1)+IF(AND($E22=1,JP22=0),1000,0),MIN(TV22,20)*400+(IF('calcA'!AB$106=1,1-DZ22,0)+IF('calcA'!AC$106=1,1-EB22,0))*150+22+'calcA'!AC$5*100000+IF(AND($E22=1,JP22=0),50000,0))+IF($H22=1,INDEX('calcA'!$D$180:$EQ$219,$B22,26)*4000,0)-IF(AND('calcA'!AB$117=1,UZ22&gt;0),2000,0)-IF(AND($U22=1,'calcA'!AC$117=1,EB22=0),2000,0))),1000000000))</f>
        <v/>
      </c>
      <c r="PF22">
        <f>IF($B22=0,1000000000,IF(INDEX('calcA'!$D$60:$EQ$99,$B22,27)*IF($W22=1,EB22+AAQ22,EB22)=1,IF(AND($E22=2,IF($W22=1,AGF22,JQ22)=0),1000000000,IF($V22=1,INDEX('calcA'!$D$130:$EQ$169,$B22,27)+IF(AND($E22=1,JQ22=0),25,0),IF($F22&gt;0,INDEX('calcA'!AD$110:AD$114,$F22+1)+IF(AND($E22=1,JQ22=0),1000,0),MIN(TV22,20)*400+(IF('calcA'!AC$106=1,1-EA22,0)+IF('calcA'!AD$106=1,1-EC22,0))*150+32+'calcA'!AD$5*100000+IF(AND($E22=1,JQ22=0),50000,0))+IF($H22=1,INDEX('calcA'!$D$180:$EQ$219,$B22,27)*4000,0)-IF(AND('calcA'!AC$117=1,VA22&gt;0),2000,0)-IF(AND($U22=1,'calcA'!AD$117=1,EC22=0),2000,0))),1000000000))</f>
        <v/>
      </c>
      <c r="PG22">
        <f>IF($B22=0,1000000000,IF(INDEX('calcA'!$D$60:$EQ$99,$B22,28)*IF($W22=1,EC22+AAR22,EC22)=1,IF(AND($E22=2,IF($W22=1,AGG22,JR22)=0),1000000000,IF($V22=1,INDEX('calcA'!$D$130:$EQ$169,$B22,28)+IF(AND($E22=1,JR22=0),25,0),IF($F22&gt;0,INDEX('calcA'!AE$110:AE$114,$F22+1)+IF(AND($E22=1,JR22=0),1000,0),MIN(TV22,20)*400+(IF('calcA'!AD$106=1,1-EB22,0)+IF('calcA'!AE$106=1,1-ED22,0))*150+42+'calcA'!AE$5*100000+IF(AND($E22=1,JR22=0),50000,0))+IF($H22=1,INDEX('calcA'!$D$180:$EQ$219,$B22,28)*4000,0)-IF(AND('calcA'!AD$117=1,VB22&gt;0),2000,0)-IF(AND($U22=1,'calcA'!AE$117=1,ED22=0),2000,0))),1000000000))</f>
        <v/>
      </c>
      <c r="PH22">
        <f>IF($B22=0,1000000000,IF(INDEX('calcA'!$D$60:$EQ$99,$B22,29)*IF($W22=1,ED22+AAS22,ED22)=1,IF(AND($E22=2,IF($W22=1,AGH22,JS22)=0),1000000000,IF($V22=1,INDEX('calcA'!$D$130:$EQ$169,$B22,29)+IF(AND($E22=1,JS22=0),25,0),IF($F22&gt;0,INDEX('calcA'!AF$110:AF$114,$F22+1)+IF(AND($E22=1,JS22=0),1000,0),MIN(TV22,20)*400+(IF('calcA'!AE$106=1,1-EC22,0)+IF('calcA'!AF$106=1,1-EE22,0))*150+52+'calcA'!AF$5*100000+IF(AND($E22=1,JS22=0),50000,0))+IF($H22=1,INDEX('calcA'!$D$180:$EQ$219,$B22,29)*4000,0)-IF(AND('calcA'!AE$117=1,VC22&gt;0),2000,0)-IF(AND($U22=1,'calcA'!AF$117=1,EE22=0),2000,0))),1000000000))</f>
        <v/>
      </c>
      <c r="PI22">
        <f>IF($B22=0,1000000000,IF(INDEX('calcA'!$D$60:$EQ$99,$B22,30)*IF($W22=1,EE22+AAT22,EE22)=1,IF(AND($E22=2,IF($W22=1,AGI22,JT22)=0),1000000000,IF($V22=1,INDEX('calcA'!$D$130:$EQ$169,$B22,30)+IF(AND($E22=1,JT22=0),25,0),IF($F22&gt;0,INDEX('calcA'!AG$110:AG$114,$F22+1)+IF(AND($E22=1,JT22=0),1000,0),MIN(TV22,20)*400+(IF('calcA'!AF$106=1,1-ED22,0)+IF('calcA'!AG$106=1,1-EF22,0))*150+62+'calcA'!AG$5*100000+IF(AND($E22=1,JT22=0),50000,0))+IF($H22=1,INDEX('calcA'!$D$180:$EQ$219,$B22,30)*4000,0)-IF(AND('calcA'!AF$117=1,VD22&gt;0),2000,0)-IF(AND($U22=1,'calcA'!AG$117=1,EF22=0),2000,0))),1000000000))</f>
        <v/>
      </c>
      <c r="PJ22">
        <f>IF($B22=0,1000000000,IF(INDEX('calcA'!$D$60:$EQ$99,$B22,31)*IF($W22=1,EF22+AAU22,EF22)=1,IF(AND($E22=2,IF($W22=1,AGJ22,JU22)=0),1000000000,IF($V22=1,INDEX('calcA'!$D$130:$EQ$169,$B22,31)+IF(AND($E22=1,JU22=0),25,0),IF($F22&gt;0,INDEX('calcA'!AH$110:AH$114,$F22+1)+IF(AND($E22=1,JU22=0),1000,0),MIN(TV22,20)*400+(IF('calcA'!AG$106=1,1-EE22,0)+IF('calcA'!AH$106=1,1-EG22,0))*150+72+'calcA'!AH$5*100000+IF(AND($E22=1,JU22=0),50000,0))+IF($H22=1,INDEX('calcA'!$D$180:$EQ$219,$B22,31)*4000,0)-IF(AND('calcA'!AG$117=1,VE22&gt;0),2000,0)-IF(AND($U22=1,'calcA'!AH$117=1,EG22=0),2000,0))),1000000000))</f>
        <v/>
      </c>
      <c r="PK22">
        <f>IF($B22=0,1000000000,IF(INDEX('calcA'!$D$60:$EQ$99,$B22,32)*IF($W22=1,EG22+AAV22,EG22)=1,IF(AND($E22=2,IF($W22=1,AGK22,JV22)=0),1000000000,IF($V22=1,INDEX('calcA'!$D$130:$EQ$169,$B22,32)+IF(AND($E22=1,JV22=0),25,0),IF($F22&gt;0,INDEX('calcA'!AI$110:AI$114,$F22+1)+IF(AND($E22=1,JV22=0),1000,0),MIN(TV22,20)*400+(IF('calcA'!AH$106=1,1-EF22,0)+IF('calcA'!AI$106=1,1-EH22,0))*150+82+'calcA'!AI$5*100000+IF(AND($E22=1,JV22=0),50000,0))+IF($H22=1,INDEX('calcA'!$D$180:$EQ$219,$B22,32)*4000,0)-IF(AND('calcA'!AH$117=1,VF22&gt;0),2000,0)-IF(AND($U22=1,'calcA'!AI$117=1,EH22=0),2000,0))),1000000000))</f>
        <v/>
      </c>
      <c r="PL22">
        <f>IF($B22=0,1000000000,IF(INDEX('calcA'!$D$60:$EQ$99,$B22,33)*IF($W22=1,EH22+AAW22,EH22)=1,IF(AND($E22=2,IF($W22=1,AGL22,JW22)=0),1000000000,IF($V22=1,INDEX('calcA'!$D$130:$EQ$169,$B22,33)+IF(AND($E22=1,JW22=0),25,0),IF($F22&gt;0,INDEX('calcA'!AJ$110:AJ$114,$F22+1)+IF(AND($E22=1,JW22=0),1000,0),MIN(TV22,20)*400+(IF('calcA'!AI$106=1,1-EG22,0)+IF('calcA'!AJ$106=1,1-EI22,0))*150+92+'calcA'!AJ$5*100000+IF(AND($E22=1,JW22=0),50000,0))+IF($H22=1,INDEX('calcA'!$D$180:$EQ$219,$B22,33)*4000,0)-IF(AND('calcA'!AI$117=1,VG22&gt;0),2000,0)-IF(AND($U22=1,'calcA'!AJ$117=1,EI22=0),2000,0))),1000000000))</f>
        <v/>
      </c>
      <c r="PM22">
        <f>IF($B22=0,1000000000,IF(INDEX('calcA'!$D$60:$EQ$99,$B22,34)*IF($W22=1,EI22+AAX22,EI22)=1,IF(AND($E22=2,IF($W22=1,AGM22,JX22)=0),1000000000,IF($V22=1,INDEX('calcA'!$D$130:$EQ$169,$B22,34)+IF(AND($E22=1,JX22=0),25,0),IF($F22&gt;0,INDEX('calcA'!AK$110:AK$114,$F22+1)+IF(AND($E22=1,JX22=0),1000,0),MIN(TV22,20)*400+(IF('calcA'!AJ$106=1,1-EH22,0)+IF('calcA'!AK$106=1,1-EJ22,0))*150+102+'calcA'!AK$5*100000+IF(AND($E22=1,JX22=0),50000,0))+IF($H22=1,INDEX('calcA'!$D$180:$EQ$219,$B22,34)*4000,0)-IF(AND('calcA'!AJ$117=1,VH22&gt;0),2000,0)-IF(AND($U22=1,'calcA'!AK$117=1,EJ22=0),2000,0))),1000000000))</f>
        <v/>
      </c>
      <c r="PN22">
        <f>IF($B22=0,1000000000,IF(INDEX('calcA'!$D$60:$EQ$99,$B22,35)*IF($W22=1,EJ22+AAY22,EJ22)=1,IF(AND($E22=2,IF($W22=1,AGN22,JY22)=0),1000000000,IF($V22=1,INDEX('calcA'!$D$130:$EQ$169,$B22,35)+IF(AND($E22=1,JY22=0),25,0),IF($F22&gt;0,INDEX('calcA'!AL$110:AL$114,$F22+1)+IF(AND($E22=1,JY22=0),1000,0),MIN(TV22,20)*400+(IF('calcA'!AK$106=1,1-EI22,0)+IF('calcA'!AL$106=1,1-EK22,0))*150+112+'calcA'!AL$5*100000+IF(AND($E22=1,JY22=0),50000,0))+IF($H22=1,INDEX('calcA'!$D$180:$EQ$219,$B22,35)*4000,0)-IF(AND('calcA'!AK$117=1,VI22&gt;0),2000,0)-IF(AND($U22=1,'calcA'!AL$117=1,EK22=0),2000,0))),1000000000))</f>
        <v/>
      </c>
      <c r="PO22">
        <f>IF($B22=0,1000000000,IF(INDEX('calcA'!$D$60:$EQ$99,$B22,36)*IF($W22=1,EK22+AAZ22,EK22)=1,IF(AND($E22=2,IF($W22=1,AGO22,JZ22)=0),1000000000,IF($V22=1,INDEX('calcA'!$D$130:$EQ$169,$B22,36)+IF(AND($E22=1,JZ22=0),25,0),IF($F22&gt;0,INDEX('calcA'!AM$110:AM$114,$F22+1)+IF(AND($E22=1,JZ22=0),1000,0),MIN(TV22,20)*400+(IF('calcA'!AL$106=1,1-EJ22,0)+IF('calcA'!AM$106=1,1-EL22,0))*150+122+'calcA'!AM$5*100000+IF(AND($E22=1,JZ22=0),50000,0))+IF($H22=1,INDEX('calcA'!$D$180:$EQ$219,$B22,36)*4000,0)-IF(AND('calcA'!AL$117=1,VJ22&gt;0),2000,0)-IF(AND($U22=1,'calcA'!AM$117=1,EL22=0),2000,0))),1000000000))</f>
        <v/>
      </c>
      <c r="PP22">
        <f>IF($B22=0,1000000000,IF(INDEX('calcA'!$D$60:$EQ$99,$B22,37)*IF($W22=1,EL22+ABA22,EL22)=1,IF(AND($E22=2,IF($W22=1,AGP22,KA22)=0),1000000000,IF($V22=1,INDEX('calcA'!$D$130:$EQ$169,$B22,37)+IF(AND($E22=1,KA22=0),25,0),IF($F22&gt;0,INDEX('calcA'!AN$110:AN$114,$F22+1)+IF(AND($E22=1,KA22=0),1000,0),MIN(TV22,20)*400+(IF('calcA'!AM$106=1,1-EK22,0)+IF('calcA'!AN$106=1,1-EM22,0))*150+132+'calcA'!AN$5*100000+IF(AND($E22=1,KA22=0),50000,0))+IF($H22=1,INDEX('calcA'!$D$180:$EQ$219,$B22,37)*4000,0)-IF(AND('calcA'!AM$117=1,VK22&gt;0),2000,0)-IF(AND($U22=1,'calcA'!AN$117=1,EM22=0),2000,0))),1000000000))</f>
        <v/>
      </c>
      <c r="PQ22">
        <f>IF($B22=0,1000000000,IF(INDEX('calcA'!$D$60:$EQ$99,$B22,38)*IF($W22=1,EM22+ABB22,EM22)=1,IF(AND($E22=2,IF($W22=1,AGQ22,KB22)=0),1000000000,IF($V22=1,INDEX('calcA'!$D$130:$EQ$169,$B22,38)+IF(AND($E22=1,KB22=0),25,0),IF($F22&gt;0,INDEX('calcA'!AO$110:AO$114,$F22+1)+IF(AND($E22=1,KB22=0),1000,0),MIN(TV22,20)*400+(IF('calcA'!AN$106=1,1-EL22,0)+IF('calcA'!AO$106=1,1-EN22,0))*150+142+'calcA'!AO$5*100000+IF(AND($E22=1,KB22=0),50000,0))+IF($H22=1,INDEX('calcA'!$D$180:$EQ$219,$B22,38)*4000,0)-IF(AND('calcA'!AN$117=1,VL22&gt;0),2000,0)-IF(AND($U22=1,'calcA'!AO$117=1,EN22=0),2000,0))),1000000000))</f>
        <v/>
      </c>
      <c r="PR22">
        <f>IF($B22=0,1000000000,IF(INDEX('calcA'!$D$60:$EQ$99,$B22,39)*IF($W22=1,EN22+ABC22,EN22)=1,IF(AND($E22=2,IF($W22=1,AGR22,KC22)=0),1000000000,IF($V22=1,INDEX('calcA'!$D$130:$EQ$169,$B22,39)+IF(AND($E22=1,KC22=0),25,0),IF($F22&gt;0,INDEX('calcA'!AP$110:AP$114,$F22+1)+IF(AND($E22=1,KC22=0),1000,0),MIN(TV22,20)*400+(IF('calcA'!AO$106=1,1-EM22,0)+IF('calcA'!AP$106=1,1-EO22,0))*150+152+'calcA'!AP$5*100000+IF(AND($E22=1,KC22=0),50000,0))+IF($H22=1,INDEX('calcA'!$D$180:$EQ$219,$B22,39)*4000,0)-IF(AND('calcA'!AO$117=1,VM22&gt;0),2000,0)-IF(AND($U22=1,'calcA'!AP$117=1,EO22=0),2000,0))),1000000000))</f>
        <v/>
      </c>
      <c r="PS22">
        <f>IF($B22=0,1000000000,IF(INDEX('calcA'!$D$60:$EQ$99,$B22,40)*IF($W22=1,EO22+ABD22,EO22)=1,IF(AND($E22=2,IF($W22=1,AGS22,KD22)=0),1000000000,IF($V22=1,INDEX('calcA'!$D$130:$EQ$169,$B22,40)+IF(AND($E22=1,KD22=0),25,0),IF($F22&gt;0,INDEX('calcA'!AQ$110:AQ$114,$F22+1)+IF(AND($E22=1,KD22=0),1000,0),MIN(TV22,20)*400+(IF('calcA'!AP$106=1,1-EN22,0)+IF('calcA'!AQ$106=1,1-EP22,0))*150+162+'calcA'!AQ$5*100000+IF(AND($E22=1,KD22=0),50000,0))+IF($H22=1,INDEX('calcA'!$D$180:$EQ$219,$B22,40)*4000,0)-IF(AND('calcA'!AP$117=1,VN22&gt;0),2000,0)-IF(AND($U22=1,'calcA'!AQ$117=1,EP22=0),2000,0))),1000000000))</f>
        <v/>
      </c>
      <c r="PT22">
        <f>IF($B22=0,1000000000,IF(INDEX('calcA'!$D$60:$EQ$99,$B22,41)*IF($W22=1,EP22+ABE22,EP22)=1,IF(AND($E22=2,IF($W22=1,AGT22,KE22)=0),1000000000,IF($V22=1,INDEX('calcA'!$D$130:$EQ$169,$B22,41)+IF(AND($E22=1,KE22=0),25,0),IF($F22&gt;0,INDEX('calcA'!AR$110:AR$114,$F22+1)+IF(AND($E22=1,KE22=0),1000,0),MIN(TV22,20)*400+(IF('calcA'!AQ$106=1,1-EO22,0)+IF('calcA'!AR$106=1,1-EQ22,0))*150+172+'calcA'!AR$5*100000+IF(AND($E22=1,KE22=0),50000,0))+IF($H22=1,INDEX('calcA'!$D$180:$EQ$219,$B22,41)*4000,0)-IF(AND('calcA'!AQ$117=1,VO22&gt;0),2000,0)-IF(AND($U22=1,'calcA'!AR$117=1,EQ22=0),2000,0))),1000000000))</f>
        <v/>
      </c>
      <c r="PU22">
        <f>IF($B22=0,1000000000,IF(INDEX('calcA'!$D$60:$EQ$99,$B22,42)*IF($W22=1,EQ22+ABF22,EQ22)=1,IF(AND($E22=2,IF($W22=1,AGU22,KF22)=0),1000000000,IF($V22=1,INDEX('calcA'!$D$130:$EQ$169,$B22,42)+IF(AND($E22=1,KF22=0),25,0),IF($F22&gt;0,INDEX('calcA'!AS$110:AS$114,$F22+1)+IF(AND($E22=1,KF22=0),1000,0),MIN(TV22,20)*400+(IF('calcA'!AR$106=1,1-EP22,0)+IF('calcA'!AS$106=1,1-ER22,0))*150+182+'calcA'!AS$5*100000+IF(AND($E22=1,KF22=0),50000,0))+IF($H22=1,INDEX('calcA'!$D$180:$EQ$219,$B22,42)*4000,0)-IF(AND('calcA'!AR$117=1,VP22&gt;0),2000,0)-IF(AND($U22=1,'calcA'!AS$117=1,ER22=0),2000,0))),1000000000))</f>
        <v/>
      </c>
      <c r="PV22">
        <f>IF($B22=0,1000000000,IF(INDEX('calcA'!$D$60:$EQ$99,$B22,43)*IF($W22=1,ER22+ABG22,ER22)=1,IF(AND($E22=2,IF($W22=1,AGV22,KG22)=0),1000000000,IF($V22=1,INDEX('calcA'!$D$130:$EQ$169,$B22,43)+IF(AND($E22=1,KG22=0),25,0),IF($F22&gt;0,INDEX('calcA'!AT$110:AT$114,$F22+1)+IF(AND($E22=1,KG22=0),1000,0),MIN(TV22,20)*400+(IF('calcA'!AS$106=1,1-EQ22,0)+IF('calcA'!AT$106=1,1-ES22,0))*150+192+'calcA'!AT$5*100000+IF(AND($E22=1,KG22=0),50000,0))+IF($H22=1,INDEX('calcA'!$D$180:$EQ$219,$B22,43)*4000,0)-IF(AND('calcA'!AS$117=1,VQ22&gt;0),2000,0)-IF(AND($U22=1,'calcA'!AT$117=1,ES22=0),2000,0))),1000000000))</f>
        <v/>
      </c>
      <c r="PW22">
        <f>IF($B22=0,1000000000,IF(INDEX('calcA'!$D$60:$EQ$99,$B22,44)*IF($W22=1,ES22+ABH22,ES22)=1,IF(AND($E22=2,IF($W22=1,AGW22,KH22)=0),1000000000,IF($V22=1,INDEX('calcA'!$D$130:$EQ$169,$B22,44)+IF(AND($E22=1,KH22=0),25,0),IF($F22&gt;0,INDEX('calcA'!AU$110:AU$114,$F22+1)+IF(AND($E22=1,KH22=0),1000,0),MIN(TV22,20)*400+(IF('calcA'!AT$106=1,1-ER22,0)+IF('calcA'!AU$106=1,1-ET22,0))*150+202+'calcA'!AU$5*100000+IF(AND($E22=1,KH22=0),50000,0))+IF($H22=1,INDEX('calcA'!$D$180:$EQ$219,$B22,44)*4000,0)-IF(AND('calcA'!AT$117=1,VR22&gt;0),2000,0)-IF(AND($U22=1,'calcA'!AU$117=1,ET22=0),2000,0))),1000000000))</f>
        <v/>
      </c>
      <c r="PX22">
        <f>IF($B22=0,1000000000,IF(INDEX('calcA'!$D$60:$EQ$99,$B22,45)*IF($W22=1,ET22+ABI22,ET22)=1,IF(AND($E22=2,IF($W22=1,AGX22,KI22)=0),1000000000,IF($V22=1,INDEX('calcA'!$D$130:$EQ$169,$B22,45)+IF(AND($E22=1,KI22=0),25,0),IF($F22&gt;0,INDEX('calcA'!AV$110:AV$114,$F22+1)+IF(AND($E22=1,KI22=0),1000,0),MIN(TV22,20)*400+(IF('calcA'!AU$106=1,1-ES22,0)+IF('calcA'!AV$106=1,1-EU22,0))*150+212+'calcA'!AV$5*100000+IF(AND($E22=1,KI22=0),50000,0))+IF($H22=1,INDEX('calcA'!$D$180:$EQ$219,$B22,45)*4000,0)-IF(AND('calcA'!AU$117=1,VS22&gt;0),2000,0)-IF(AND($U22=1,'calcA'!AV$117=1,EU22=0),2000,0))),1000000000))</f>
        <v/>
      </c>
      <c r="PY22">
        <f>IF($B22=0,1000000000,IF(INDEX('calcA'!$D$60:$EQ$99,$B22,46)*IF($W22=1,EU22+ABJ22,EU22)=1,IF(AND($E22=2,IF($W22=1,AGY22,KJ22)=0),1000000000,IF($V22=1,INDEX('calcA'!$D$130:$EQ$169,$B22,46)+IF(AND($E22=1,KJ22=0),25,0),IF($F22&gt;0,INDEX('calcA'!AW$110:AW$114,$F22+1)+IF(AND($E22=1,KJ22=0),1000,0),MIN(TV22,20)*400+(IF('calcA'!AV$106=1,1-ET22,0)+IF('calcA'!AW$106=1,1-EV22,0))*150+222+'calcA'!AW$5*100000+IF(AND($E22=1,KJ22=0),50000,0))+IF($H22=1,INDEX('calcA'!$D$180:$EQ$219,$B22,46)*4000,0)-IF(AND('calcA'!AV$117=1,VT22&gt;0),2000,0)-IF(AND($U22=1,'calcA'!AW$117=1,EV22=0),2000,0))),1000000000))</f>
        <v/>
      </c>
      <c r="PZ22">
        <f>IF($B22=0,1000000000,IF(INDEX('calcA'!$D$60:$EQ$99,$B22,47)*IF($W22=1,EV22+ABK22,EV22)=1,IF(AND($E22=2,IF($W22=1,AGZ22,KK22)=0),1000000000,IF($V22=1,INDEX('calcA'!$D$130:$EQ$169,$B22,47)+IF(AND($E22=1,KK22=0),25,0),IF($F22&gt;0,INDEX('calcA'!AX$110:AX$114,$F22+1)+IF(AND($E22=1,KK22=0),1000,0),MIN(TV22,20)*400+(IF('calcA'!AW$106=1,1-EU22,0)+IF('calcA'!AX$106=1,1-EW22,0))*150+232+'calcA'!AX$5*100000+IF(AND($E22=1,KK22=0),50000,0))+IF($H22=1,INDEX('calcA'!$D$180:$EQ$219,$B22,47)*4000,0)-IF(AND('calcA'!AW$117=1,VU22&gt;0),2000,0)-IF(AND($U22=1,'calcA'!AX$117=1,EW22=0),2000,0))),1000000000))</f>
        <v/>
      </c>
      <c r="QA22">
        <f>IF($B22=0,1000000000,IF(INDEX('calcA'!$D$60:$EQ$99,$B22,48)*IF($W22=1,EW22+ABL22,EW22)=1,IF(AND($E22=2,IF($W22=1,AHA22,KL22)=0),1000000000,IF($V22=1,INDEX('calcA'!$D$130:$EQ$169,$B22,48)+IF(AND($E22=1,KL22=0),25,0),IF($F22&gt;0,INDEX('calcA'!AY$110:AY$114,$F22+1)+IF(AND($E22=1,KL22=0),1000,0),MIN(TV22,20)*400+(IF('calcA'!AX$106=1,1-EV22,0))*150+242+'calcA'!AY$5*100000+IF(AND($E22=1,KL22=0),50000,0))+IF($H22=1,INDEX('calcA'!$D$180:$EQ$219,$B22,48)*4000,0)-IF(AND('calcA'!AX$117=1,VV22&gt;0),2000,0))),1000000000))</f>
        <v/>
      </c>
      <c r="QB22">
        <f>IF($B22=0,1000000000,IF(INDEX('calcA'!$D$60:$EQ$99,$B22,49)*IF($W22=1,EX22+ABM22,EX22)=1,IF(AND($E22=2,IF($W22=1,AHB22,KM22)=0),1000000000,IF($V22=1,INDEX('calcA'!$D$130:$EQ$169,$B22,49)+IF(AND($E22=1,KM22=0),25,0),IF($F22&gt;0,INDEX('calcA'!AZ$110:AZ$114,$F22+1)+IF(AND($E22=1,KM22=0),1000,0),MIN(TW22,20)*400+(IF('calcA'!AZ$106=1,1-EY22,0))*150+13+'calcA'!AZ$5*100000+IF(AND($E22=1,KM22=0),50000,0))+IF($H22=1,INDEX('calcA'!$D$180:$EQ$219,$B22,49)*4000,0)-IF(AND($U22=1,'calcA'!AZ$117=1,EY22=0),2000,0))),1000000000))</f>
        <v/>
      </c>
      <c r="QC22">
        <f>IF($B22=0,1000000000,IF(INDEX('calcA'!$D$60:$EQ$99,$B22,50)*IF($W22=1,EY22+ABN22,EY22)=1,IF(AND($E22=2,IF($W22=1,AHC22,KN22)=0),1000000000,IF($V22=1,INDEX('calcA'!$D$130:$EQ$169,$B22,50)+IF(AND($E22=1,KN22=0),25,0),IF($F22&gt;0,INDEX('calcA'!BA$110:BA$114,$F22+1)+IF(AND($E22=1,KN22=0),1000,0),MIN(TW22,20)*400+(IF('calcA'!AZ$106=1,1-EX22,0)+IF('calcA'!BA$106=1,1-EZ22,0))*150+23+'calcA'!BA$5*100000+IF(AND($E22=1,KN22=0),50000,0))+IF($H22=1,INDEX('calcA'!$D$180:$EQ$219,$B22,50)*4000,0)-IF(AND('calcA'!AZ$117=1,VX22&gt;0),2000,0)-IF(AND($U22=1,'calcA'!BA$117=1,EZ22=0),2000,0))),1000000000))</f>
        <v/>
      </c>
      <c r="QD22">
        <f>IF($B22=0,1000000000,IF(INDEX('calcA'!$D$60:$EQ$99,$B22,51)*IF($W22=1,EZ22+ABO22,EZ22)=1,IF(AND($E22=2,IF($W22=1,AHD22,KO22)=0),1000000000,IF($V22=1,INDEX('calcA'!$D$130:$EQ$169,$B22,51)+IF(AND($E22=1,KO22=0),25,0),IF($F22&gt;0,INDEX('calcA'!BB$110:BB$114,$F22+1)+IF(AND($E22=1,KO22=0),1000,0),MIN(TW22,20)*400+(IF('calcA'!BA$106=1,1-EY22,0)+IF('calcA'!BB$106=1,1-FA22,0))*150+33+'calcA'!BB$5*100000+IF(AND($E22=1,KO22=0),50000,0))+IF($H22=1,INDEX('calcA'!$D$180:$EQ$219,$B22,51)*4000,0)-IF(AND('calcA'!BA$117=1,VY22&gt;0),2000,0)-IF(AND($U22=1,'calcA'!BB$117=1,FA22=0),2000,0))),1000000000))</f>
        <v/>
      </c>
      <c r="QE22">
        <f>IF($B22=0,1000000000,IF(INDEX('calcA'!$D$60:$EQ$99,$B22,52)*IF($W22=1,FA22+ABP22,FA22)=1,IF(AND($E22=2,IF($W22=1,AHE22,KP22)=0),1000000000,IF($V22=1,INDEX('calcA'!$D$130:$EQ$169,$B22,52)+IF(AND($E22=1,KP22=0),25,0),IF($F22&gt;0,INDEX('calcA'!BC$110:BC$114,$F22+1)+IF(AND($E22=1,KP22=0),1000,0),MIN(TW22,20)*400+(IF('calcA'!BB$106=1,1-EZ22,0)+IF('calcA'!BC$106=1,1-FB22,0))*150+43+'calcA'!BC$5*100000+IF(AND($E22=1,KP22=0),50000,0))+IF($H22=1,INDEX('calcA'!$D$180:$EQ$219,$B22,52)*4000,0)-IF(AND('calcA'!BB$117=1,VZ22&gt;0),2000,0)-IF(AND($U22=1,'calcA'!BC$117=1,FB22=0),2000,0))),1000000000))</f>
        <v/>
      </c>
      <c r="QF22">
        <f>IF($B22=0,1000000000,IF(INDEX('calcA'!$D$60:$EQ$99,$B22,53)*IF($W22=1,FB22+ABQ22,FB22)=1,IF(AND($E22=2,IF($W22=1,AHF22,KQ22)=0),1000000000,IF($V22=1,INDEX('calcA'!$D$130:$EQ$169,$B22,53)+IF(AND($E22=1,KQ22=0),25,0),IF($F22&gt;0,INDEX('calcA'!BD$110:BD$114,$F22+1)+IF(AND($E22=1,KQ22=0),1000,0),MIN(TW22,20)*400+(IF('calcA'!BC$106=1,1-FA22,0)+IF('calcA'!BD$106=1,1-FC22,0))*150+53+'calcA'!BD$5*100000+IF(AND($E22=1,KQ22=0),50000,0))+IF($H22=1,INDEX('calcA'!$D$180:$EQ$219,$B22,53)*4000,0)-IF(AND('calcA'!BC$117=1,WA22&gt;0),2000,0)-IF(AND($U22=1,'calcA'!BD$117=1,FC22=0),2000,0))),1000000000))</f>
        <v/>
      </c>
      <c r="QG22">
        <f>IF($B22=0,1000000000,IF(INDEX('calcA'!$D$60:$EQ$99,$B22,54)*IF($W22=1,FC22+ABR22,FC22)=1,IF(AND($E22=2,IF($W22=1,AHG22,KR22)=0),1000000000,IF($V22=1,INDEX('calcA'!$D$130:$EQ$169,$B22,54)+IF(AND($E22=1,KR22=0),25,0),IF($F22&gt;0,INDEX('calcA'!BE$110:BE$114,$F22+1)+IF(AND($E22=1,KR22=0),1000,0),MIN(TW22,20)*400+(IF('calcA'!BD$106=1,1-FB22,0)+IF('calcA'!BE$106=1,1-FD22,0))*150+63+'calcA'!BE$5*100000+IF(AND($E22=1,KR22=0),50000,0))+IF($H22=1,INDEX('calcA'!$D$180:$EQ$219,$B22,54)*4000,0)-IF(AND('calcA'!BD$117=1,WB22&gt;0),2000,0)-IF(AND($U22=1,'calcA'!BE$117=1,FD22=0),2000,0))),1000000000))</f>
        <v/>
      </c>
      <c r="QH22">
        <f>IF($B22=0,1000000000,IF(INDEX('calcA'!$D$60:$EQ$99,$B22,55)*IF($W22=1,FD22+ABS22,FD22)=1,IF(AND($E22=2,IF($W22=1,AHH22,KS22)=0),1000000000,IF($V22=1,INDEX('calcA'!$D$130:$EQ$169,$B22,55)+IF(AND($E22=1,KS22=0),25,0),IF($F22&gt;0,INDEX('calcA'!BF$110:BF$114,$F22+1)+IF(AND($E22=1,KS22=0),1000,0),MIN(TW22,20)*400+(IF('calcA'!BE$106=1,1-FC22,0)+IF('calcA'!BF$106=1,1-FE22,0))*150+73+'calcA'!BF$5*100000+IF(AND($E22=1,KS22=0),50000,0))+IF($H22=1,INDEX('calcA'!$D$180:$EQ$219,$B22,55)*4000,0)-IF(AND('calcA'!BE$117=1,WC22&gt;0),2000,0)-IF(AND($U22=1,'calcA'!BF$117=1,FE22=0),2000,0))),1000000000))</f>
        <v/>
      </c>
      <c r="QI22">
        <f>IF($B22=0,1000000000,IF(INDEX('calcA'!$D$60:$EQ$99,$B22,56)*IF($W22=1,FE22+ABT22,FE22)=1,IF(AND($E22=2,IF($W22=1,AHI22,KT22)=0),1000000000,IF($V22=1,INDEX('calcA'!$D$130:$EQ$169,$B22,56)+IF(AND($E22=1,KT22=0),25,0),IF($F22&gt;0,INDEX('calcA'!BG$110:BG$114,$F22+1)+IF(AND($E22=1,KT22=0),1000,0),MIN(TW22,20)*400+(IF('calcA'!BF$106=1,1-FD22,0)+IF('calcA'!BG$106=1,1-FF22,0))*150+83+'calcA'!BG$5*100000+IF(AND($E22=1,KT22=0),50000,0))+IF($H22=1,INDEX('calcA'!$D$180:$EQ$219,$B22,56)*4000,0)-IF(AND('calcA'!BF$117=1,WD22&gt;0),2000,0)-IF(AND($U22=1,'calcA'!BG$117=1,FF22=0),2000,0))),1000000000))</f>
        <v/>
      </c>
      <c r="QJ22">
        <f>IF($B22=0,1000000000,IF(INDEX('calcA'!$D$60:$EQ$99,$B22,57)*IF($W22=1,FF22+ABU22,FF22)=1,IF(AND($E22=2,IF($W22=1,AHJ22,KU22)=0),1000000000,IF($V22=1,INDEX('calcA'!$D$130:$EQ$169,$B22,57)+IF(AND($E22=1,KU22=0),25,0),IF($F22&gt;0,INDEX('calcA'!BH$110:BH$114,$F22+1)+IF(AND($E22=1,KU22=0),1000,0),MIN(TW22,20)*400+(IF('calcA'!BG$106=1,1-FE22,0)+IF('calcA'!BH$106=1,1-FG22,0))*150+93+'calcA'!BH$5*100000+IF(AND($E22=1,KU22=0),50000,0))+IF($H22=1,INDEX('calcA'!$D$180:$EQ$219,$B22,57)*4000,0)-IF(AND('calcA'!BG$117=1,WE22&gt;0),2000,0)-IF(AND($U22=1,'calcA'!BH$117=1,FG22=0),2000,0))),1000000000))</f>
        <v/>
      </c>
      <c r="QK22">
        <f>IF($B22=0,1000000000,IF(INDEX('calcA'!$D$60:$EQ$99,$B22,58)*IF($W22=1,FG22+ABV22,FG22)=1,IF(AND($E22=2,IF($W22=1,AHK22,KV22)=0),1000000000,IF($V22=1,INDEX('calcA'!$D$130:$EQ$169,$B22,58)+IF(AND($E22=1,KV22=0),25,0),IF($F22&gt;0,INDEX('calcA'!BI$110:BI$114,$F22+1)+IF(AND($E22=1,KV22=0),1000,0),MIN(TW22,20)*400+(IF('calcA'!BH$106=1,1-FF22,0)+IF('calcA'!BI$106=1,1-FH22,0))*150+103+'calcA'!BI$5*100000+IF(AND($E22=1,KV22=0),50000,0))+IF($H22=1,INDEX('calcA'!$D$180:$EQ$219,$B22,58)*4000,0)-IF(AND('calcA'!BH$117=1,WF22&gt;0),2000,0)-IF(AND($U22=1,'calcA'!BI$117=1,FH22=0),2000,0))),1000000000))</f>
        <v/>
      </c>
      <c r="QL22">
        <f>IF($B22=0,1000000000,IF(INDEX('calcA'!$D$60:$EQ$99,$B22,59)*IF($W22=1,FH22+ABW22,FH22)=1,IF(AND($E22=2,IF($W22=1,AHL22,KW22)=0),1000000000,IF($V22=1,INDEX('calcA'!$D$130:$EQ$169,$B22,59)+IF(AND($E22=1,KW22=0),25,0),IF($F22&gt;0,INDEX('calcA'!BJ$110:BJ$114,$F22+1)+IF(AND($E22=1,KW22=0),1000,0),MIN(TW22,20)*400+(IF('calcA'!BI$106=1,1-FG22,0)+IF('calcA'!BJ$106=1,1-FI22,0))*150+113+'calcA'!BJ$5*100000+IF(AND($E22=1,KW22=0),50000,0))+IF($H22=1,INDEX('calcA'!$D$180:$EQ$219,$B22,59)*4000,0)-IF(AND('calcA'!BI$117=1,WG22&gt;0),2000,0)-IF(AND($U22=1,'calcA'!BJ$117=1,FI22=0),2000,0))),1000000000))</f>
        <v/>
      </c>
      <c r="QM22">
        <f>IF($B22=0,1000000000,IF(INDEX('calcA'!$D$60:$EQ$99,$B22,60)*IF($W22=1,FI22+ABX22,FI22)=1,IF(AND($E22=2,IF($W22=1,AHM22,KX22)=0),1000000000,IF($V22=1,INDEX('calcA'!$D$130:$EQ$169,$B22,60)+IF(AND($E22=1,KX22=0),25,0),IF($F22&gt;0,INDEX('calcA'!BK$110:BK$114,$F22+1)+IF(AND($E22=1,KX22=0),1000,0),MIN(TW22,20)*400+(IF('calcA'!BJ$106=1,1-FH22,0)+IF('calcA'!BK$106=1,1-FJ22,0))*150+123+'calcA'!BK$5*100000+IF(AND($E22=1,KX22=0),50000,0))+IF($H22=1,INDEX('calcA'!$D$180:$EQ$219,$B22,60)*4000,0)-IF(AND('calcA'!BJ$117=1,WH22&gt;0),2000,0)-IF(AND($U22=1,'calcA'!BK$117=1,FJ22=0),2000,0))),1000000000))</f>
        <v/>
      </c>
      <c r="QN22">
        <f>IF($B22=0,1000000000,IF(INDEX('calcA'!$D$60:$EQ$99,$B22,61)*IF($W22=1,FJ22+ABY22,FJ22)=1,IF(AND($E22=2,IF($W22=1,AHN22,KY22)=0),1000000000,IF($V22=1,INDEX('calcA'!$D$130:$EQ$169,$B22,61)+IF(AND($E22=1,KY22=0),25,0),IF($F22&gt;0,INDEX('calcA'!BL$110:BL$114,$F22+1)+IF(AND($E22=1,KY22=0),1000,0),MIN(TW22,20)*400+(IF('calcA'!BK$106=1,1-FI22,0)+IF('calcA'!BL$106=1,1-FK22,0))*150+133+'calcA'!BL$5*100000+IF(AND($E22=1,KY22=0),50000,0))+IF($H22=1,INDEX('calcA'!$D$180:$EQ$219,$B22,61)*4000,0)-IF(AND('calcA'!BK$117=1,WI22&gt;0),2000,0)-IF(AND($U22=1,'calcA'!BL$117=1,FK22=0),2000,0))),1000000000))</f>
        <v/>
      </c>
      <c r="QO22">
        <f>IF($B22=0,1000000000,IF(INDEX('calcA'!$D$60:$EQ$99,$B22,62)*IF($W22=1,FK22+ABZ22,FK22)=1,IF(AND($E22=2,IF($W22=1,AHO22,KZ22)=0),1000000000,IF($V22=1,INDEX('calcA'!$D$130:$EQ$169,$B22,62)+IF(AND($E22=1,KZ22=0),25,0),IF($F22&gt;0,INDEX('calcA'!BM$110:BM$114,$F22+1)+IF(AND($E22=1,KZ22=0),1000,0),MIN(TW22,20)*400+(IF('calcA'!BL$106=1,1-FJ22,0)+IF('calcA'!BM$106=1,1-FL22,0))*150+143+'calcA'!BM$5*100000+IF(AND($E22=1,KZ22=0),50000,0))+IF($H22=1,INDEX('calcA'!$D$180:$EQ$219,$B22,62)*4000,0)-IF(AND('calcA'!BL$117=1,WJ22&gt;0),2000,0)-IF(AND($U22=1,'calcA'!BM$117=1,FL22=0),2000,0))),1000000000))</f>
        <v/>
      </c>
      <c r="QP22">
        <f>IF($B22=0,1000000000,IF(INDEX('calcA'!$D$60:$EQ$99,$B22,63)*IF($W22=1,FL22+ACA22,FL22)=1,IF(AND($E22=2,IF($W22=1,AHP22,LA22)=0),1000000000,IF($V22=1,INDEX('calcA'!$D$130:$EQ$169,$B22,63)+IF(AND($E22=1,LA22=0),25,0),IF($F22&gt;0,INDEX('calcA'!BN$110:BN$114,$F22+1)+IF(AND($E22=1,LA22=0),1000,0),MIN(TW22,20)*400+(IF('calcA'!BM$106=1,1-FK22,0)+IF('calcA'!BN$106=1,1-FM22,0))*150+153+'calcA'!BN$5*100000+IF(AND($E22=1,LA22=0),50000,0))+IF($H22=1,INDEX('calcA'!$D$180:$EQ$219,$B22,63)*4000,0)-IF(AND('calcA'!BM$117=1,WK22&gt;0),2000,0)-IF(AND($U22=1,'calcA'!BN$117=1,FM22=0),2000,0))),1000000000))</f>
        <v/>
      </c>
      <c r="QQ22">
        <f>IF($B22=0,1000000000,IF(INDEX('calcA'!$D$60:$EQ$99,$B22,64)*IF($W22=1,FM22+ACB22,FM22)=1,IF(AND($E22=2,IF($W22=1,AHQ22,LB22)=0),1000000000,IF($V22=1,INDEX('calcA'!$D$130:$EQ$169,$B22,64)+IF(AND($E22=1,LB22=0),25,0),IF($F22&gt;0,INDEX('calcA'!BO$110:BO$114,$F22+1)+IF(AND($E22=1,LB22=0),1000,0),MIN(TW22,20)*400+(IF('calcA'!BN$106=1,1-FL22,0)+IF('calcA'!BO$106=1,1-FN22,0))*150+163+'calcA'!BO$5*100000+IF(AND($E22=1,LB22=0),50000,0))+IF($H22=1,INDEX('calcA'!$D$180:$EQ$219,$B22,64)*4000,0)-IF(AND('calcA'!BN$117=1,WL22&gt;0),2000,0)-IF(AND($U22=1,'calcA'!BO$117=1,FN22=0),2000,0))),1000000000))</f>
        <v/>
      </c>
      <c r="QR22">
        <f>IF($B22=0,1000000000,IF(INDEX('calcA'!$D$60:$EQ$99,$B22,65)*IF($W22=1,FN22+ACC22,FN22)=1,IF(AND($E22=2,IF($W22=1,AHR22,LC22)=0),1000000000,IF($V22=1,INDEX('calcA'!$D$130:$EQ$169,$B22,65)+IF(AND($E22=1,LC22=0),25,0),IF($F22&gt;0,INDEX('calcA'!BP$110:BP$114,$F22+1)+IF(AND($E22=1,LC22=0),1000,0),MIN(TW22,20)*400+(IF('calcA'!BO$106=1,1-FM22,0)+IF('calcA'!BP$106=1,1-FO22,0))*150+173+'calcA'!BP$5*100000+IF(AND($E22=1,LC22=0),50000,0))+IF($H22=1,INDEX('calcA'!$D$180:$EQ$219,$B22,65)*4000,0)-IF(AND('calcA'!BO$117=1,WM22&gt;0),2000,0)-IF(AND($U22=1,'calcA'!BP$117=1,FO22=0),2000,0))),1000000000))</f>
        <v/>
      </c>
      <c r="QS22">
        <f>IF($B22=0,1000000000,IF(INDEX('calcA'!$D$60:$EQ$99,$B22,66)*IF($W22=1,FO22+ACD22,FO22)=1,IF(AND($E22=2,IF($W22=1,AHS22,LD22)=0),1000000000,IF($V22=1,INDEX('calcA'!$D$130:$EQ$169,$B22,66)+IF(AND($E22=1,LD22=0),25,0),IF($F22&gt;0,INDEX('calcA'!BQ$110:BQ$114,$F22+1)+IF(AND($E22=1,LD22=0),1000,0),MIN(TW22,20)*400+(IF('calcA'!BP$106=1,1-FN22,0)+IF('calcA'!BQ$106=1,1-FP22,0))*150+183+'calcA'!BQ$5*100000+IF(AND($E22=1,LD22=0),50000,0))+IF($H22=1,INDEX('calcA'!$D$180:$EQ$219,$B22,66)*4000,0)-IF(AND('calcA'!BP$117=1,WN22&gt;0),2000,0)-IF(AND($U22=1,'calcA'!BQ$117=1,FP22=0),2000,0))),1000000000))</f>
        <v/>
      </c>
      <c r="QT22">
        <f>IF($B22=0,1000000000,IF(INDEX('calcA'!$D$60:$EQ$99,$B22,67)*IF($W22=1,FP22+ACE22,FP22)=1,IF(AND($E22=2,IF($W22=1,AHT22,LE22)=0),1000000000,IF($V22=1,INDEX('calcA'!$D$130:$EQ$169,$B22,67)+IF(AND($E22=1,LE22=0),25,0),IF($F22&gt;0,INDEX('calcA'!BR$110:BR$114,$F22+1)+IF(AND($E22=1,LE22=0),1000,0),MIN(TW22,20)*400+(IF('calcA'!BQ$106=1,1-FO22,0)+IF('calcA'!BR$106=1,1-FQ22,0))*150+193+'calcA'!BR$5*100000+IF(AND($E22=1,LE22=0),50000,0))+IF($H22=1,INDEX('calcA'!$D$180:$EQ$219,$B22,67)*4000,0)-IF(AND('calcA'!BQ$117=1,WO22&gt;0),2000,0)-IF(AND($U22=1,'calcA'!BR$117=1,FQ22=0),2000,0))),1000000000))</f>
        <v/>
      </c>
      <c r="QU22">
        <f>IF($B22=0,1000000000,IF(INDEX('calcA'!$D$60:$EQ$99,$B22,68)*IF($W22=1,FQ22+ACF22,FQ22)=1,IF(AND($E22=2,IF($W22=1,AHU22,LF22)=0),1000000000,IF($V22=1,INDEX('calcA'!$D$130:$EQ$169,$B22,68)+IF(AND($E22=1,LF22=0),25,0),IF($F22&gt;0,INDEX('calcA'!BS$110:BS$114,$F22+1)+IF(AND($E22=1,LF22=0),1000,0),MIN(TW22,20)*400+(IF('calcA'!BR$106=1,1-FP22,0)+IF('calcA'!BS$106=1,1-FR22,0))*150+203+'calcA'!BS$5*100000+IF(AND($E22=1,LF22=0),50000,0))+IF($H22=1,INDEX('calcA'!$D$180:$EQ$219,$B22,68)*4000,0)-IF(AND('calcA'!BR$117=1,WP22&gt;0),2000,0)-IF(AND($U22=1,'calcA'!BS$117=1,FR22=0),2000,0))),1000000000))</f>
        <v/>
      </c>
      <c r="QV22">
        <f>IF($B22=0,1000000000,IF(INDEX('calcA'!$D$60:$EQ$99,$B22,69)*IF($W22=1,FR22+ACG22,FR22)=1,IF(AND($E22=2,IF($W22=1,AHV22,LG22)=0),1000000000,IF($V22=1,INDEX('calcA'!$D$130:$EQ$169,$B22,69)+IF(AND($E22=1,LG22=0),25,0),IF($F22&gt;0,INDEX('calcA'!BT$110:BT$114,$F22+1)+IF(AND($E22=1,LG22=0),1000,0),MIN(TW22,20)*400+(IF('calcA'!BS$106=1,1-FQ22,0)+IF('calcA'!BT$106=1,1-FS22,0))*150+213+'calcA'!BT$5*100000+IF(AND($E22=1,LG22=0),50000,0))+IF($H22=1,INDEX('calcA'!$D$180:$EQ$219,$B22,69)*4000,0)-IF(AND('calcA'!BS$117=1,WQ22&gt;0),2000,0)-IF(AND($U22=1,'calcA'!BT$117=1,FS22=0),2000,0))),1000000000))</f>
        <v/>
      </c>
      <c r="QW22">
        <f>IF($B22=0,1000000000,IF(INDEX('calcA'!$D$60:$EQ$99,$B22,70)*IF($W22=1,FS22+ACH22,FS22)=1,IF(AND($E22=2,IF($W22=1,AHW22,LH22)=0),1000000000,IF($V22=1,INDEX('calcA'!$D$130:$EQ$169,$B22,70)+IF(AND($E22=1,LH22=0),25,0),IF($F22&gt;0,INDEX('calcA'!BU$110:BU$114,$F22+1)+IF(AND($E22=1,LH22=0),1000,0),MIN(TW22,20)*400+(IF('calcA'!BT$106=1,1-FR22,0)+IF('calcA'!BU$106=1,1-FT22,0))*150+223+'calcA'!BU$5*100000+IF(AND($E22=1,LH22=0),50000,0))+IF($H22=1,INDEX('calcA'!$D$180:$EQ$219,$B22,70)*4000,0)-IF(AND('calcA'!BT$117=1,WR22&gt;0),2000,0)-IF(AND($U22=1,'calcA'!BU$117=1,FT22=0),2000,0))),1000000000))</f>
        <v/>
      </c>
      <c r="QX22">
        <f>IF($B22=0,1000000000,IF(INDEX('calcA'!$D$60:$EQ$99,$B22,71)*IF($W22=1,FT22+ACI22,FT22)=1,IF(AND($E22=2,IF($W22=1,AHX22,LI22)=0),1000000000,IF($V22=1,INDEX('calcA'!$D$130:$EQ$169,$B22,71)+IF(AND($E22=1,LI22=0),25,0),IF($F22&gt;0,INDEX('calcA'!BV$110:BV$114,$F22+1)+IF(AND($E22=1,LI22=0),1000,0),MIN(TW22,20)*400+(IF('calcA'!BU$106=1,1-FS22,0)+IF('calcA'!BV$106=1,1-FU22,0))*150+233+'calcA'!BV$5*100000+IF(AND($E22=1,LI22=0),50000,0))+IF($H22=1,INDEX('calcA'!$D$180:$EQ$219,$B22,71)*4000,0)-IF(AND('calcA'!BU$117=1,WS22&gt;0),2000,0)-IF(AND($U22=1,'calcA'!BV$117=1,FU22=0),2000,0))),1000000000))</f>
        <v/>
      </c>
      <c r="QY22">
        <f>IF($B22=0,1000000000,IF(INDEX('calcA'!$D$60:$EQ$99,$B22,72)*IF($W22=1,FU22+ACJ22,FU22)=1,IF(AND($E22=2,IF($W22=1,AHY22,LJ22)=0),1000000000,IF($V22=1,INDEX('calcA'!$D$130:$EQ$169,$B22,72)+IF(AND($E22=1,LJ22=0),25,0),IF($F22&gt;0,INDEX('calcA'!BW$110:BW$114,$F22+1)+IF(AND($E22=1,LJ22=0),1000,0),MIN(TW22,20)*400+(IF('calcA'!BV$106=1,1-FT22,0))*150+243+'calcA'!BW$5*100000+IF(AND($E22=1,LJ22=0),50000,0))+IF($H22=1,INDEX('calcA'!$D$180:$EQ$219,$B22,72)*4000,0)-IF(AND('calcA'!BV$117=1,WT22&gt;0),2000,0))),1000000000))</f>
        <v/>
      </c>
      <c r="QZ22">
        <f>IF($B22=0,1000000000,IF(INDEX('calcA'!$D$60:$EQ$99,$B22,73)*IF($W22=1,FV22+ACK22,FV22)=1,IF(AND($E22=2,IF($W22=1,AHZ22,LK22)=0),1000000000,IF($V22=1,INDEX('calcA'!$D$130:$EQ$169,$B22,73)+IF(AND($E22=1,LK22=0),25,0),IF($F22&gt;0,INDEX('calcA'!BX$110:BX$114,$F22+1)+IF(AND($E22=1,LK22=0),1000,0),MIN(TX22,20)*400+(IF('calcA'!BX$106=1,1-FW22,0))*150+14+'calcA'!BX$5*100000+IF(AND($E22=1,LK22=0),50000,0))+IF($H22=1,INDEX('calcA'!$D$180:$EQ$219,$B22,73)*4000,0)-IF(AND($U22=1,'calcA'!BX$117=1,FW22=0),2000,0))),1000000000))</f>
        <v/>
      </c>
      <c r="RA22">
        <f>IF($B22=0,1000000000,IF(INDEX('calcA'!$D$60:$EQ$99,$B22,74)*IF($W22=1,FW22+ACL22,FW22)=1,IF(AND($E22=2,IF($W22=1,AIA22,LL22)=0),1000000000,IF($V22=1,INDEX('calcA'!$D$130:$EQ$169,$B22,74)+IF(AND($E22=1,LL22=0),25,0),IF($F22&gt;0,INDEX('calcA'!BY$110:BY$114,$F22+1)+IF(AND($E22=1,LL22=0),1000,0),MIN(TX22,20)*400+(IF('calcA'!BX$106=1,1-FV22,0)+IF('calcA'!BY$106=1,1-FX22,0))*150+24+'calcA'!BY$5*100000+IF(AND($E22=1,LL22=0),50000,0))+IF($H22=1,INDEX('calcA'!$D$180:$EQ$219,$B22,74)*4000,0)-IF(AND('calcA'!BX$117=1,WV22&gt;0),2000,0)-IF(AND($U22=1,'calcA'!BY$117=1,FX22=0),2000,0))),1000000000))</f>
        <v/>
      </c>
      <c r="RB22">
        <f>IF($B22=0,1000000000,IF(INDEX('calcA'!$D$60:$EQ$99,$B22,75)*IF($W22=1,FX22+ACM22,FX22)=1,IF(AND($E22=2,IF($W22=1,AIB22,LM22)=0),1000000000,IF($V22=1,INDEX('calcA'!$D$130:$EQ$169,$B22,75)+IF(AND($E22=1,LM22=0),25,0),IF($F22&gt;0,INDEX('calcA'!BZ$110:BZ$114,$F22+1)+IF(AND($E22=1,LM22=0),1000,0),MIN(TX22,20)*400+(IF('calcA'!BY$106=1,1-FW22,0)+IF('calcA'!BZ$106=1,1-FY22,0))*150+34+'calcA'!BZ$5*100000+IF(AND($E22=1,LM22=0),50000,0))+IF($H22=1,INDEX('calcA'!$D$180:$EQ$219,$B22,75)*4000,0)-IF(AND('calcA'!BY$117=1,WW22&gt;0),2000,0)-IF(AND($U22=1,'calcA'!BZ$117=1,FY22=0),2000,0))),1000000000))</f>
        <v/>
      </c>
      <c r="RC22">
        <f>IF($B22=0,1000000000,IF(INDEX('calcA'!$D$60:$EQ$99,$B22,76)*IF($W22=1,FY22+ACN22,FY22)=1,IF(AND($E22=2,IF($W22=1,AIC22,LN22)=0),1000000000,IF($V22=1,INDEX('calcA'!$D$130:$EQ$169,$B22,76)+IF(AND($E22=1,LN22=0),25,0),IF($F22&gt;0,INDEX('calcA'!CA$110:CA$114,$F22+1)+IF(AND($E22=1,LN22=0),1000,0),MIN(TX22,20)*400+(IF('calcA'!BZ$106=1,1-FX22,0)+IF('calcA'!CA$106=1,1-FZ22,0))*150+44+'calcA'!CA$5*100000+IF(AND($E22=1,LN22=0),50000,0))+IF($H22=1,INDEX('calcA'!$D$180:$EQ$219,$B22,76)*4000,0)-IF(AND('calcA'!BZ$117=1,WX22&gt;0),2000,0)-IF(AND($U22=1,'calcA'!CA$117=1,FZ22=0),2000,0))),1000000000))</f>
        <v/>
      </c>
      <c r="RD22">
        <f>IF($B22=0,1000000000,IF(INDEX('calcA'!$D$60:$EQ$99,$B22,77)*IF($W22=1,FZ22+ACO22,FZ22)=1,IF(AND($E22=2,IF($W22=1,AID22,LO22)=0),1000000000,IF($V22=1,INDEX('calcA'!$D$130:$EQ$169,$B22,77)+IF(AND($E22=1,LO22=0),25,0),IF($F22&gt;0,INDEX('calcA'!CB$110:CB$114,$F22+1)+IF(AND($E22=1,LO22=0),1000,0),MIN(TX22,20)*400+(IF('calcA'!CA$106=1,1-FY22,0)+IF('calcA'!CB$106=1,1-GA22,0))*150+54+'calcA'!CB$5*100000+IF(AND($E22=1,LO22=0),50000,0))+IF($H22=1,INDEX('calcA'!$D$180:$EQ$219,$B22,77)*4000,0)-IF(AND('calcA'!CA$117=1,WY22&gt;0),2000,0)-IF(AND($U22=1,'calcA'!CB$117=1,GA22=0),2000,0))),1000000000))</f>
        <v/>
      </c>
      <c r="RE22">
        <f>IF($B22=0,1000000000,IF(INDEX('calcA'!$D$60:$EQ$99,$B22,78)*IF($W22=1,GA22+ACP22,GA22)=1,IF(AND($E22=2,IF($W22=1,AIE22,LP22)=0),1000000000,IF($V22=1,INDEX('calcA'!$D$130:$EQ$169,$B22,78)+IF(AND($E22=1,LP22=0),25,0),IF($F22&gt;0,INDEX('calcA'!CC$110:CC$114,$F22+1)+IF(AND($E22=1,LP22=0),1000,0),MIN(TX22,20)*400+(IF('calcA'!CB$106=1,1-FZ22,0)+IF('calcA'!CC$106=1,1-GB22,0))*150+64+'calcA'!CC$5*100000+IF(AND($E22=1,LP22=0),50000,0))+IF($H22=1,INDEX('calcA'!$D$180:$EQ$219,$B22,78)*4000,0)-IF(AND('calcA'!CB$117=1,WZ22&gt;0),2000,0)-IF(AND($U22=1,'calcA'!CC$117=1,GB22=0),2000,0))),1000000000))</f>
        <v/>
      </c>
      <c r="RF22">
        <f>IF($B22=0,1000000000,IF(INDEX('calcA'!$D$60:$EQ$99,$B22,79)*IF($W22=1,GB22+ACQ22,GB22)=1,IF(AND($E22=2,IF($W22=1,AIF22,LQ22)=0),1000000000,IF($V22=1,INDEX('calcA'!$D$130:$EQ$169,$B22,79)+IF(AND($E22=1,LQ22=0),25,0),IF($F22&gt;0,INDEX('calcA'!CD$110:CD$114,$F22+1)+IF(AND($E22=1,LQ22=0),1000,0),MIN(TX22,20)*400+(IF('calcA'!CC$106=1,1-GA22,0)+IF('calcA'!CD$106=1,1-GC22,0))*150+74+'calcA'!CD$5*100000+IF(AND($E22=1,LQ22=0),50000,0))+IF($H22=1,INDEX('calcA'!$D$180:$EQ$219,$B22,79)*4000,0)-IF(AND('calcA'!CC$117=1,XA22&gt;0),2000,0)-IF(AND($U22=1,'calcA'!CD$117=1,GC22=0),2000,0))),1000000000))</f>
        <v/>
      </c>
      <c r="RG22">
        <f>IF($B22=0,1000000000,IF(INDEX('calcA'!$D$60:$EQ$99,$B22,80)*IF($W22=1,GC22+ACR22,GC22)=1,IF(AND($E22=2,IF($W22=1,AIG22,LR22)=0),1000000000,IF($V22=1,INDEX('calcA'!$D$130:$EQ$169,$B22,80)+IF(AND($E22=1,LR22=0),25,0),IF($F22&gt;0,INDEX('calcA'!CE$110:CE$114,$F22+1)+IF(AND($E22=1,LR22=0),1000,0),MIN(TX22,20)*400+(IF('calcA'!CD$106=1,1-GB22,0)+IF('calcA'!CE$106=1,1-GD22,0))*150+84+'calcA'!CE$5*100000+IF(AND($E22=1,LR22=0),50000,0))+IF($H22=1,INDEX('calcA'!$D$180:$EQ$219,$B22,80)*4000,0)-IF(AND('calcA'!CD$117=1,XB22&gt;0),2000,0)-IF(AND($U22=1,'calcA'!CE$117=1,GD22=0),2000,0))),1000000000))</f>
        <v/>
      </c>
      <c r="RH22">
        <f>IF($B22=0,1000000000,IF(INDEX('calcA'!$D$60:$EQ$99,$B22,81)*IF($W22=1,GD22+ACS22,GD22)=1,IF(AND($E22=2,IF($W22=1,AIH22,LS22)=0),1000000000,IF($V22=1,INDEX('calcA'!$D$130:$EQ$169,$B22,81)+IF(AND($E22=1,LS22=0),25,0),IF($F22&gt;0,INDEX('calcA'!CF$110:CF$114,$F22+1)+IF(AND($E22=1,LS22=0),1000,0),MIN(TX22,20)*400+(IF('calcA'!CE$106=1,1-GC22,0)+IF('calcA'!CF$106=1,1-GE22,0))*150+94+'calcA'!CF$5*100000+IF(AND($E22=1,LS22=0),50000,0))+IF($H22=1,INDEX('calcA'!$D$180:$EQ$219,$B22,81)*4000,0)-IF(AND('calcA'!CE$117=1,XC22&gt;0),2000,0)-IF(AND($U22=1,'calcA'!CF$117=1,GE22=0),2000,0))),1000000000))</f>
        <v/>
      </c>
      <c r="RI22">
        <f>IF($B22=0,1000000000,IF(INDEX('calcA'!$D$60:$EQ$99,$B22,82)*IF($W22=1,GE22+ACT22,GE22)=1,IF(AND($E22=2,IF($W22=1,AII22,LT22)=0),1000000000,IF($V22=1,INDEX('calcA'!$D$130:$EQ$169,$B22,82)+IF(AND($E22=1,LT22=0),25,0),IF($F22&gt;0,INDEX('calcA'!CG$110:CG$114,$F22+1)+IF(AND($E22=1,LT22=0),1000,0),MIN(TX22,20)*400+(IF('calcA'!CF$106=1,1-GD22,0)+IF('calcA'!CG$106=1,1-GF22,0))*150+104+'calcA'!CG$5*100000+IF(AND($E22=1,LT22=0),50000,0))+IF($H22=1,INDEX('calcA'!$D$180:$EQ$219,$B22,82)*4000,0)-IF(AND('calcA'!CF$117=1,XD22&gt;0),2000,0)-IF(AND($U22=1,'calcA'!CG$117=1,GF22=0),2000,0))),1000000000))</f>
        <v/>
      </c>
      <c r="RJ22">
        <f>IF($B22=0,1000000000,IF(INDEX('calcA'!$D$60:$EQ$99,$B22,83)*IF($W22=1,GF22+ACU22,GF22)=1,IF(AND($E22=2,IF($W22=1,AIJ22,LU22)=0),1000000000,IF($V22=1,INDEX('calcA'!$D$130:$EQ$169,$B22,83)+IF(AND($E22=1,LU22=0),25,0),IF($F22&gt;0,INDEX('calcA'!CH$110:CH$114,$F22+1)+IF(AND($E22=1,LU22=0),1000,0),MIN(TX22,20)*400+(IF('calcA'!CG$106=1,1-GE22,0)+IF('calcA'!CH$106=1,1-GG22,0))*150+114+'calcA'!CH$5*100000+IF(AND($E22=1,LU22=0),50000,0))+IF($H22=1,INDEX('calcA'!$D$180:$EQ$219,$B22,83)*4000,0)-IF(AND('calcA'!CG$117=1,XE22&gt;0),2000,0)-IF(AND($U22=1,'calcA'!CH$117=1,GG22=0),2000,0))),1000000000))</f>
        <v/>
      </c>
      <c r="RK22">
        <f>IF($B22=0,1000000000,IF(INDEX('calcA'!$D$60:$EQ$99,$B22,84)*IF($W22=1,GG22+ACV22,GG22)=1,IF(AND($E22=2,IF($W22=1,AIK22,LV22)=0),1000000000,IF($V22=1,INDEX('calcA'!$D$130:$EQ$169,$B22,84)+IF(AND($E22=1,LV22=0),25,0),IF($F22&gt;0,INDEX('calcA'!CI$110:CI$114,$F22+1)+IF(AND($E22=1,LV22=0),1000,0),MIN(TX22,20)*400+(IF('calcA'!CH$106=1,1-GF22,0)+IF('calcA'!CI$106=1,1-GH22,0))*150+124+'calcA'!CI$5*100000+IF(AND($E22=1,LV22=0),50000,0))+IF($H22=1,INDEX('calcA'!$D$180:$EQ$219,$B22,84)*4000,0)-IF(AND('calcA'!CH$117=1,XF22&gt;0),2000,0)-IF(AND($U22=1,'calcA'!CI$117=1,GH22=0),2000,0))),1000000000))</f>
        <v/>
      </c>
      <c r="RL22">
        <f>IF($B22=0,1000000000,IF(INDEX('calcA'!$D$60:$EQ$99,$B22,85)*IF($W22=1,GH22+ACW22,GH22)=1,IF(AND($E22=2,IF($W22=1,AIL22,LW22)=0),1000000000,IF($V22=1,INDEX('calcA'!$D$130:$EQ$169,$B22,85)+IF(AND($E22=1,LW22=0),25,0),IF($F22&gt;0,INDEX('calcA'!CJ$110:CJ$114,$F22+1)+IF(AND($E22=1,LW22=0),1000,0),MIN(TX22,20)*400+(IF('calcA'!CI$106=1,1-GG22,0)+IF('calcA'!CJ$106=1,1-GI22,0))*150+134+'calcA'!CJ$5*100000+IF(AND($E22=1,LW22=0),50000,0))+IF($H22=1,INDEX('calcA'!$D$180:$EQ$219,$B22,85)*4000,0)-IF(AND('calcA'!CI$117=1,XG22&gt;0),2000,0)-IF(AND($U22=1,'calcA'!CJ$117=1,GI22=0),2000,0))),1000000000))</f>
        <v/>
      </c>
      <c r="RM22">
        <f>IF($B22=0,1000000000,IF(INDEX('calcA'!$D$60:$EQ$99,$B22,86)*IF($W22=1,GI22+ACX22,GI22)=1,IF(AND($E22=2,IF($W22=1,AIM22,LX22)=0),1000000000,IF($V22=1,INDEX('calcA'!$D$130:$EQ$169,$B22,86)+IF(AND($E22=1,LX22=0),25,0),IF($F22&gt;0,INDEX('calcA'!CK$110:CK$114,$F22+1)+IF(AND($E22=1,LX22=0),1000,0),MIN(TX22,20)*400+(IF('calcA'!CJ$106=1,1-GH22,0)+IF('calcA'!CK$106=1,1-GJ22,0))*150+144+'calcA'!CK$5*100000+IF(AND($E22=1,LX22=0),50000,0))+IF($H22=1,INDEX('calcA'!$D$180:$EQ$219,$B22,86)*4000,0)-IF(AND('calcA'!CJ$117=1,XH22&gt;0),2000,0)-IF(AND($U22=1,'calcA'!CK$117=1,GJ22=0),2000,0))),1000000000))</f>
        <v/>
      </c>
      <c r="RN22">
        <f>IF($B22=0,1000000000,IF(INDEX('calcA'!$D$60:$EQ$99,$B22,87)*IF($W22=1,GJ22+ACY22,GJ22)=1,IF(AND($E22=2,IF($W22=1,AIN22,LY22)=0),1000000000,IF($V22=1,INDEX('calcA'!$D$130:$EQ$169,$B22,87)+IF(AND($E22=1,LY22=0),25,0),IF($F22&gt;0,INDEX('calcA'!CL$110:CL$114,$F22+1)+IF(AND($E22=1,LY22=0),1000,0),MIN(TX22,20)*400+(IF('calcA'!CK$106=1,1-GI22,0)+IF('calcA'!CL$106=1,1-GK22,0))*150+154+'calcA'!CL$5*100000+IF(AND($E22=1,LY22=0),50000,0))+IF($H22=1,INDEX('calcA'!$D$180:$EQ$219,$B22,87)*4000,0)-IF(AND('calcA'!CK$117=1,XI22&gt;0),2000,0)-IF(AND($U22=1,'calcA'!CL$117=1,GK22=0),2000,0))),1000000000))</f>
        <v/>
      </c>
      <c r="RO22">
        <f>IF($B22=0,1000000000,IF(INDEX('calcA'!$D$60:$EQ$99,$B22,88)*IF($W22=1,GK22+ACZ22,GK22)=1,IF(AND($E22=2,IF($W22=1,AIO22,LZ22)=0),1000000000,IF($V22=1,INDEX('calcA'!$D$130:$EQ$169,$B22,88)+IF(AND($E22=1,LZ22=0),25,0),IF($F22&gt;0,INDEX('calcA'!CM$110:CM$114,$F22+1)+IF(AND($E22=1,LZ22=0),1000,0),MIN(TX22,20)*400+(IF('calcA'!CL$106=1,1-GJ22,0)+IF('calcA'!CM$106=1,1-GL22,0))*150+164+'calcA'!CM$5*100000+IF(AND($E22=1,LZ22=0),50000,0))+IF($H22=1,INDEX('calcA'!$D$180:$EQ$219,$B22,88)*4000,0)-IF(AND('calcA'!CL$117=1,XJ22&gt;0),2000,0)-IF(AND($U22=1,'calcA'!CM$117=1,GL22=0),2000,0))),1000000000))</f>
        <v/>
      </c>
      <c r="RP22">
        <f>IF($B22=0,1000000000,IF(INDEX('calcA'!$D$60:$EQ$99,$B22,89)*IF($W22=1,GL22+ADA22,GL22)=1,IF(AND($E22=2,IF($W22=1,AIP22,MA22)=0),1000000000,IF($V22=1,INDEX('calcA'!$D$130:$EQ$169,$B22,89)+IF(AND($E22=1,MA22=0),25,0),IF($F22&gt;0,INDEX('calcA'!CN$110:CN$114,$F22+1)+IF(AND($E22=1,MA22=0),1000,0),MIN(TX22,20)*400+(IF('calcA'!CM$106=1,1-GK22,0)+IF('calcA'!CN$106=1,1-GM22,0))*150+174+'calcA'!CN$5*100000+IF(AND($E22=1,MA22=0),50000,0))+IF($H22=1,INDEX('calcA'!$D$180:$EQ$219,$B22,89)*4000,0)-IF(AND('calcA'!CM$117=1,XK22&gt;0),2000,0)-IF(AND($U22=1,'calcA'!CN$117=1,GM22=0),2000,0))),1000000000))</f>
        <v/>
      </c>
      <c r="RQ22">
        <f>IF($B22=0,1000000000,IF(INDEX('calcA'!$D$60:$EQ$99,$B22,90)*IF($W22=1,GM22+ADB22,GM22)=1,IF(AND($E22=2,IF($W22=1,AIQ22,MB22)=0),1000000000,IF($V22=1,INDEX('calcA'!$D$130:$EQ$169,$B22,90)+IF(AND($E22=1,MB22=0),25,0),IF($F22&gt;0,INDEX('calcA'!CO$110:CO$114,$F22+1)+IF(AND($E22=1,MB22=0),1000,0),MIN(TX22,20)*400+(IF('calcA'!CN$106=1,1-GL22,0)+IF('calcA'!CO$106=1,1-GN22,0))*150+184+'calcA'!CO$5*100000+IF(AND($E22=1,MB22=0),50000,0))+IF($H22=1,INDEX('calcA'!$D$180:$EQ$219,$B22,90)*4000,0)-IF(AND('calcA'!CN$117=1,XL22&gt;0),2000,0)-IF(AND($U22=1,'calcA'!CO$117=1,GN22=0),2000,0))),1000000000))</f>
        <v/>
      </c>
      <c r="RR22">
        <f>IF($B22=0,1000000000,IF(INDEX('calcA'!$D$60:$EQ$99,$B22,91)*IF($W22=1,GN22+ADC22,GN22)=1,IF(AND($E22=2,IF($W22=1,AIR22,MC22)=0),1000000000,IF($V22=1,INDEX('calcA'!$D$130:$EQ$169,$B22,91)+IF(AND($E22=1,MC22=0),25,0),IF($F22&gt;0,INDEX('calcA'!CP$110:CP$114,$F22+1)+IF(AND($E22=1,MC22=0),1000,0),MIN(TX22,20)*400+(IF('calcA'!CO$106=1,1-GM22,0)+IF('calcA'!CP$106=1,1-GO22,0))*150+194+'calcA'!CP$5*100000+IF(AND($E22=1,MC22=0),50000,0))+IF($H22=1,INDEX('calcA'!$D$180:$EQ$219,$B22,91)*4000,0)-IF(AND('calcA'!CO$117=1,XM22&gt;0),2000,0)-IF(AND($U22=1,'calcA'!CP$117=1,GO22=0),2000,0))),1000000000))</f>
        <v/>
      </c>
      <c r="RS22">
        <f>IF($B22=0,1000000000,IF(INDEX('calcA'!$D$60:$EQ$99,$B22,92)*IF($W22=1,GO22+ADD22,GO22)=1,IF(AND($E22=2,IF($W22=1,AIS22,MD22)=0),1000000000,IF($V22=1,INDEX('calcA'!$D$130:$EQ$169,$B22,92)+IF(AND($E22=1,MD22=0),25,0),IF($F22&gt;0,INDEX('calcA'!CQ$110:CQ$114,$F22+1)+IF(AND($E22=1,MD22=0),1000,0),MIN(TX22,20)*400+(IF('calcA'!CP$106=1,1-GN22,0)+IF('calcA'!CQ$106=1,1-GP22,0))*150+204+'calcA'!CQ$5*100000+IF(AND($E22=1,MD22=0),50000,0))+IF($H22=1,INDEX('calcA'!$D$180:$EQ$219,$B22,92)*4000,0)-IF(AND('calcA'!CP$117=1,XN22&gt;0),2000,0)-IF(AND($U22=1,'calcA'!CQ$117=1,GP22=0),2000,0))),1000000000))</f>
        <v/>
      </c>
      <c r="RT22">
        <f>IF($B22=0,1000000000,IF(INDEX('calcA'!$D$60:$EQ$99,$B22,93)*IF($W22=1,GP22+ADE22,GP22)=1,IF(AND($E22=2,IF($W22=1,AIT22,ME22)=0),1000000000,IF($V22=1,INDEX('calcA'!$D$130:$EQ$169,$B22,93)+IF(AND($E22=1,ME22=0),25,0),IF($F22&gt;0,INDEX('calcA'!CR$110:CR$114,$F22+1)+IF(AND($E22=1,ME22=0),1000,0),MIN(TX22,20)*400+(IF('calcA'!CQ$106=1,1-GO22,0)+IF('calcA'!CR$106=1,1-GQ22,0))*150+214+'calcA'!CR$5*100000+IF(AND($E22=1,ME22=0),50000,0))+IF($H22=1,INDEX('calcA'!$D$180:$EQ$219,$B22,93)*4000,0)-IF(AND('calcA'!CQ$117=1,XO22&gt;0),2000,0)-IF(AND($U22=1,'calcA'!CR$117=1,GQ22=0),2000,0))),1000000000))</f>
        <v/>
      </c>
      <c r="RU22">
        <f>IF($B22=0,1000000000,IF(INDEX('calcA'!$D$60:$EQ$99,$B22,94)*IF($W22=1,GQ22+ADF22,GQ22)=1,IF(AND($E22=2,IF($W22=1,AIU22,MF22)=0),1000000000,IF($V22=1,INDEX('calcA'!$D$130:$EQ$169,$B22,94)+IF(AND($E22=1,MF22=0),25,0),IF($F22&gt;0,INDEX('calcA'!CS$110:CS$114,$F22+1)+IF(AND($E22=1,MF22=0),1000,0),MIN(TX22,20)*400+(IF('calcA'!CR$106=1,1-GP22,0)+IF('calcA'!CS$106=1,1-GR22,0))*150+224+'calcA'!CS$5*100000+IF(AND($E22=1,MF22=0),50000,0))+IF($H22=1,INDEX('calcA'!$D$180:$EQ$219,$B22,94)*4000,0)-IF(AND('calcA'!CR$117=1,XP22&gt;0),2000,0)-IF(AND($U22=1,'calcA'!CS$117=1,GR22=0),2000,0))),1000000000))</f>
        <v/>
      </c>
      <c r="RV22">
        <f>IF($B22=0,1000000000,IF(INDEX('calcA'!$D$60:$EQ$99,$B22,95)*IF($W22=1,GR22+ADG22,GR22)=1,IF(AND($E22=2,IF($W22=1,AIV22,MG22)=0),1000000000,IF($V22=1,INDEX('calcA'!$D$130:$EQ$169,$B22,95)+IF(AND($E22=1,MG22=0),25,0),IF($F22&gt;0,INDEX('calcA'!CT$110:CT$114,$F22+1)+IF(AND($E22=1,MG22=0),1000,0),MIN(TX22,20)*400+(IF('calcA'!CS$106=1,1-GQ22,0)+IF('calcA'!CT$106=1,1-GS22,0))*150+234+'calcA'!CT$5*100000+IF(AND($E22=1,MG22=0),50000,0))+IF($H22=1,INDEX('calcA'!$D$180:$EQ$219,$B22,95)*4000,0)-IF(AND('calcA'!CS$117=1,XQ22&gt;0),2000,0)-IF(AND($U22=1,'calcA'!CT$117=1,GS22=0),2000,0))),1000000000))</f>
        <v/>
      </c>
      <c r="RW22">
        <f>IF($B22=0,1000000000,IF(INDEX('calcA'!$D$60:$EQ$99,$B22,96)*IF($W22=1,GS22+ADH22,GS22)=1,IF(AND($E22=2,IF($W22=1,AIW22,MH22)=0),1000000000,IF($V22=1,INDEX('calcA'!$D$130:$EQ$169,$B22,96)+IF(AND($E22=1,MH22=0),25,0),IF($F22&gt;0,INDEX('calcA'!CU$110:CU$114,$F22+1)+IF(AND($E22=1,MH22=0),1000,0),MIN(TX22,20)*400+(IF('calcA'!CT$106=1,1-GR22,0))*150+244+'calcA'!CU$5*100000+IF(AND($E22=1,MH22=0),50000,0))+IF($H22=1,INDEX('calcA'!$D$180:$EQ$219,$B22,96)*4000,0)-IF(AND('calcA'!CT$117=1,XR22&gt;0),2000,0))),1000000000))</f>
        <v/>
      </c>
      <c r="RX22">
        <f>IF($B22=0,1000000000,IF(INDEX('calcA'!$D$60:$EQ$99,$B22,97)*IF($W22=1,GT22+ADI22,GT22)=1,IF(AND($E22=2,IF($W22=1,AIX22,MI22)=0),1000000000,IF($V22=1,INDEX('calcA'!$D$130:$EQ$169,$B22,97)+IF(AND($E22=1,MI22=0),25,0),IF($F22&gt;0,INDEX('calcA'!CV$110:CV$114,$F22+1)+IF(AND($E22=1,MI22=0),1000,0),MIN(TY22,20)*400+(IF('calcA'!CV$106=1,1-GU22,0))*150+15+'calcA'!CV$5*100000+IF(AND($E22=1,MI22=0),50000,0))+IF($H22=1,INDEX('calcA'!$D$180:$EQ$219,$B22,97)*4000,0)-IF(AND($U22=1,'calcA'!CV$117=1,GU22=0),2000,0))),1000000000))</f>
        <v/>
      </c>
      <c r="RY22">
        <f>IF($B22=0,1000000000,IF(INDEX('calcA'!$D$60:$EQ$99,$B22,98)*IF($W22=1,GU22+ADJ22,GU22)=1,IF(AND($E22=2,IF($W22=1,AIY22,MJ22)=0),1000000000,IF($V22=1,INDEX('calcA'!$D$130:$EQ$169,$B22,98)+IF(AND($E22=1,MJ22=0),25,0),IF($F22&gt;0,INDEX('calcA'!CW$110:CW$114,$F22+1)+IF(AND($E22=1,MJ22=0),1000,0),MIN(TY22,20)*400+(IF('calcA'!CV$106=1,1-GT22,0)+IF('calcA'!CW$106=1,1-GV22,0))*150+25+'calcA'!CW$5*100000+IF(AND($E22=1,MJ22=0),50000,0))+IF($H22=1,INDEX('calcA'!$D$180:$EQ$219,$B22,98)*4000,0)-IF(AND('calcA'!CV$117=1,XT22&gt;0),2000,0)-IF(AND($U22=1,'calcA'!CW$117=1,GV22=0),2000,0))),1000000000))</f>
        <v/>
      </c>
      <c r="RZ22">
        <f>IF($B22=0,1000000000,IF(INDEX('calcA'!$D$60:$EQ$99,$B22,99)*IF($W22=1,GV22+ADK22,GV22)=1,IF(AND($E22=2,IF($W22=1,AIZ22,MK22)=0),1000000000,IF($V22=1,INDEX('calcA'!$D$130:$EQ$169,$B22,99)+IF(AND($E22=1,MK22=0),25,0),IF($F22&gt;0,INDEX('calcA'!CX$110:CX$114,$F22+1)+IF(AND($E22=1,MK22=0),1000,0),MIN(TY22,20)*400+(IF('calcA'!CW$106=1,1-GU22,0)+IF('calcA'!CX$106=1,1-GW22,0))*150+35+'calcA'!CX$5*100000+IF(AND($E22=1,MK22=0),50000,0))+IF($H22=1,INDEX('calcA'!$D$180:$EQ$219,$B22,99)*4000,0)-IF(AND('calcA'!CW$117=1,XU22&gt;0),2000,0)-IF(AND($U22=1,'calcA'!CX$117=1,GW22=0),2000,0))),1000000000))</f>
        <v/>
      </c>
      <c r="SA22">
        <f>IF($B22=0,1000000000,IF(INDEX('calcA'!$D$60:$EQ$99,$B22,100)*IF($W22=1,GW22+ADL22,GW22)=1,IF(AND($E22=2,IF($W22=1,AJA22,ML22)=0),1000000000,IF($V22=1,INDEX('calcA'!$D$130:$EQ$169,$B22,100)+IF(AND($E22=1,ML22=0),25,0),IF($F22&gt;0,INDEX('calcA'!CY$110:CY$114,$F22+1)+IF(AND($E22=1,ML22=0),1000,0),MIN(TY22,20)*400+(IF('calcA'!CX$106=1,1-GV22,0)+IF('calcA'!CY$106=1,1-GX22,0))*150+45+'calcA'!CY$5*100000+IF(AND($E22=1,ML22=0),50000,0))+IF($H22=1,INDEX('calcA'!$D$180:$EQ$219,$B22,100)*4000,0)-IF(AND('calcA'!CX$117=1,XV22&gt;0),2000,0)-IF(AND($U22=1,'calcA'!CY$117=1,GX22=0),2000,0))),1000000000))</f>
        <v/>
      </c>
      <c r="SB22">
        <f>IF($B22=0,1000000000,IF(INDEX('calcA'!$D$60:$EQ$99,$B22,101)*IF($W22=1,GX22+ADM22,GX22)=1,IF(AND($E22=2,IF($W22=1,AJB22,MM22)=0),1000000000,IF($V22=1,INDEX('calcA'!$D$130:$EQ$169,$B22,101)+IF(AND($E22=1,MM22=0),25,0),IF($F22&gt;0,INDEX('calcA'!CZ$110:CZ$114,$F22+1)+IF(AND($E22=1,MM22=0),1000,0),MIN(TY22,20)*400+(IF('calcA'!CY$106=1,1-GW22,0)+IF('calcA'!CZ$106=1,1-GY22,0))*150+55+'calcA'!CZ$5*100000+IF(AND($E22=1,MM22=0),50000,0))+IF($H22=1,INDEX('calcA'!$D$180:$EQ$219,$B22,101)*4000,0)-IF(AND('calcA'!CY$117=1,XW22&gt;0),2000,0)-IF(AND($U22=1,'calcA'!CZ$117=1,GY22=0),2000,0))),1000000000))</f>
        <v/>
      </c>
      <c r="SC22">
        <f>IF($B22=0,1000000000,IF(INDEX('calcA'!$D$60:$EQ$99,$B22,102)*IF($W22=1,GY22+ADN22,GY22)=1,IF(AND($E22=2,IF($W22=1,AJC22,MN22)=0),1000000000,IF($V22=1,INDEX('calcA'!$D$130:$EQ$169,$B22,102)+IF(AND($E22=1,MN22=0),25,0),IF($F22&gt;0,INDEX('calcA'!DA$110:DA$114,$F22+1)+IF(AND($E22=1,MN22=0),1000,0),MIN(TY22,20)*400+(IF('calcA'!CZ$106=1,1-GX22,0)+IF('calcA'!DA$106=1,1-GZ22,0))*150+65+'calcA'!DA$5*100000+IF(AND($E22=1,MN22=0),50000,0))+IF($H22=1,INDEX('calcA'!$D$180:$EQ$219,$B22,102)*4000,0)-IF(AND('calcA'!CZ$117=1,XX22&gt;0),2000,0)-IF(AND($U22=1,'calcA'!DA$117=1,GZ22=0),2000,0))),1000000000))</f>
        <v/>
      </c>
      <c r="SD22">
        <f>IF($B22=0,1000000000,IF(INDEX('calcA'!$D$60:$EQ$99,$B22,103)*IF($W22=1,GZ22+ADO22,GZ22)=1,IF(AND($E22=2,IF($W22=1,AJD22,MO22)=0),1000000000,IF($V22=1,INDEX('calcA'!$D$130:$EQ$169,$B22,103)+IF(AND($E22=1,MO22=0),25,0),IF($F22&gt;0,INDEX('calcA'!DB$110:DB$114,$F22+1)+IF(AND($E22=1,MO22=0),1000,0),MIN(TY22,20)*400+(IF('calcA'!DA$106=1,1-GY22,0)+IF('calcA'!DB$106=1,1-HA22,0))*150+75+'calcA'!DB$5*100000+IF(AND($E22=1,MO22=0),50000,0))+IF($H22=1,INDEX('calcA'!$D$180:$EQ$219,$B22,103)*4000,0)-IF(AND('calcA'!DA$117=1,XY22&gt;0),2000,0)-IF(AND($U22=1,'calcA'!DB$117=1,HA22=0),2000,0))),1000000000))</f>
        <v/>
      </c>
      <c r="SE22">
        <f>IF($B22=0,1000000000,IF(INDEX('calcA'!$D$60:$EQ$99,$B22,104)*IF($W22=1,HA22+ADP22,HA22)=1,IF(AND($E22=2,IF($W22=1,AJE22,MP22)=0),1000000000,IF($V22=1,INDEX('calcA'!$D$130:$EQ$169,$B22,104)+IF(AND($E22=1,MP22=0),25,0),IF($F22&gt;0,INDEX('calcA'!DC$110:DC$114,$F22+1)+IF(AND($E22=1,MP22=0),1000,0),MIN(TY22,20)*400+(IF('calcA'!DB$106=1,1-GZ22,0)+IF('calcA'!DC$106=1,1-HB22,0))*150+85+'calcA'!DC$5*100000+IF(AND($E22=1,MP22=0),50000,0))+IF($H22=1,INDEX('calcA'!$D$180:$EQ$219,$B22,104)*4000,0)-IF(AND('calcA'!DB$117=1,XZ22&gt;0),2000,0)-IF(AND($U22=1,'calcA'!DC$117=1,HB22=0),2000,0))),1000000000))</f>
        <v/>
      </c>
      <c r="SF22">
        <f>IF($B22=0,1000000000,IF(INDEX('calcA'!$D$60:$EQ$99,$B22,105)*IF($W22=1,HB22+ADQ22,HB22)=1,IF(AND($E22=2,IF($W22=1,AJF22,MQ22)=0),1000000000,IF($V22=1,INDEX('calcA'!$D$130:$EQ$169,$B22,105)+IF(AND($E22=1,MQ22=0),25,0),IF($F22&gt;0,INDEX('calcA'!DD$110:DD$114,$F22+1)+IF(AND($E22=1,MQ22=0),1000,0),MIN(TY22,20)*400+(IF('calcA'!DC$106=1,1-HA22,0)+IF('calcA'!DD$106=1,1-HC22,0))*150+95+'calcA'!DD$5*100000+IF(AND($E22=1,MQ22=0),50000,0))+IF($H22=1,INDEX('calcA'!$D$180:$EQ$219,$B22,105)*4000,0)-IF(AND('calcA'!DC$117=1,YA22&gt;0),2000,0)-IF(AND($U22=1,'calcA'!DD$117=1,HC22=0),2000,0))),1000000000))</f>
        <v/>
      </c>
      <c r="SG22">
        <f>IF($B22=0,1000000000,IF(INDEX('calcA'!$D$60:$EQ$99,$B22,106)*IF($W22=1,HC22+ADR22,HC22)=1,IF(AND($E22=2,IF($W22=1,AJG22,MR22)=0),1000000000,IF($V22=1,INDEX('calcA'!$D$130:$EQ$169,$B22,106)+IF(AND($E22=1,MR22=0),25,0),IF($F22&gt;0,INDEX('calcA'!DE$110:DE$114,$F22+1)+IF(AND($E22=1,MR22=0),1000,0),MIN(TY22,20)*400+(IF('calcA'!DD$106=1,1-HB22,0)+IF('calcA'!DE$106=1,1-HD22,0))*150+105+'calcA'!DE$5*100000+IF(AND($E22=1,MR22=0),50000,0))+IF($H22=1,INDEX('calcA'!$D$180:$EQ$219,$B22,106)*4000,0)-IF(AND('calcA'!DD$117=1,YB22&gt;0),2000,0)-IF(AND($U22=1,'calcA'!DE$117=1,HD22=0),2000,0))),1000000000))</f>
        <v/>
      </c>
      <c r="SH22">
        <f>IF($B22=0,1000000000,IF(INDEX('calcA'!$D$60:$EQ$99,$B22,107)*IF($W22=1,HD22+ADS22,HD22)=1,IF(AND($E22=2,IF($W22=1,AJH22,MS22)=0),1000000000,IF($V22=1,INDEX('calcA'!$D$130:$EQ$169,$B22,107)+IF(AND($E22=1,MS22=0),25,0),IF($F22&gt;0,INDEX('calcA'!DF$110:DF$114,$F22+1)+IF(AND($E22=1,MS22=0),1000,0),MIN(TY22,20)*400+(IF('calcA'!DE$106=1,1-HC22,0)+IF('calcA'!DF$106=1,1-HE22,0))*150+115+'calcA'!DF$5*100000+IF(AND($E22=1,MS22=0),50000,0))+IF($H22=1,INDEX('calcA'!$D$180:$EQ$219,$B22,107)*4000,0)-IF(AND('calcA'!DE$117=1,YC22&gt;0),2000,0)-IF(AND($U22=1,'calcA'!DF$117=1,HE22=0),2000,0))),1000000000))</f>
        <v/>
      </c>
      <c r="SI22">
        <f>IF($B22=0,1000000000,IF(INDEX('calcA'!$D$60:$EQ$99,$B22,108)*IF($W22=1,HE22+ADT22,HE22)=1,IF(AND($E22=2,IF($W22=1,AJI22,MT22)=0),1000000000,IF($V22=1,INDEX('calcA'!$D$130:$EQ$169,$B22,108)+IF(AND($E22=1,MT22=0),25,0),IF($F22&gt;0,INDEX('calcA'!DG$110:DG$114,$F22+1)+IF(AND($E22=1,MT22=0),1000,0),MIN(TY22,20)*400+(IF('calcA'!DF$106=1,1-HD22,0)+IF('calcA'!DG$106=1,1-HF22,0))*150+125+'calcA'!DG$5*100000+IF(AND($E22=1,MT22=0),50000,0))+IF($H22=1,INDEX('calcA'!$D$180:$EQ$219,$B22,108)*4000,0)-IF(AND('calcA'!DF$117=1,YD22&gt;0),2000,0)-IF(AND($U22=1,'calcA'!DG$117=1,HF22=0),2000,0))),1000000000))</f>
        <v/>
      </c>
      <c r="SJ22">
        <f>IF($B22=0,1000000000,IF(INDEX('calcA'!$D$60:$EQ$99,$B22,109)*IF($W22=1,HF22+ADU22,HF22)=1,IF(AND($E22=2,IF($W22=1,AJJ22,MU22)=0),1000000000,IF($V22=1,INDEX('calcA'!$D$130:$EQ$169,$B22,109)+IF(AND($E22=1,MU22=0),25,0),IF($F22&gt;0,INDEX('calcA'!DH$110:DH$114,$F22+1)+IF(AND($E22=1,MU22=0),1000,0),MIN(TY22,20)*400+(IF('calcA'!DG$106=1,1-HE22,0)+IF('calcA'!DH$106=1,1-HG22,0))*150+135+'calcA'!DH$5*100000+IF(AND($E22=1,MU22=0),50000,0))+IF($H22=1,INDEX('calcA'!$D$180:$EQ$219,$B22,109)*4000,0)-IF(AND('calcA'!DG$117=1,YE22&gt;0),2000,0)-IF(AND($U22=1,'calcA'!DH$117=1,HG22=0),2000,0))),1000000000))</f>
        <v/>
      </c>
      <c r="SK22">
        <f>IF($B22=0,1000000000,IF(INDEX('calcA'!$D$60:$EQ$99,$B22,110)*IF($W22=1,HG22+ADV22,HG22)=1,IF(AND($E22=2,IF($W22=1,AJK22,MV22)=0),1000000000,IF($V22=1,INDEX('calcA'!$D$130:$EQ$169,$B22,110)+IF(AND($E22=1,MV22=0),25,0),IF($F22&gt;0,INDEX('calcA'!DI$110:DI$114,$F22+1)+IF(AND($E22=1,MV22=0),1000,0),MIN(TY22,20)*400+(IF('calcA'!DH$106=1,1-HF22,0)+IF('calcA'!DI$106=1,1-HH22,0))*150+145+'calcA'!DI$5*100000+IF(AND($E22=1,MV22=0),50000,0))+IF($H22=1,INDEX('calcA'!$D$180:$EQ$219,$B22,110)*4000,0)-IF(AND('calcA'!DH$117=1,YF22&gt;0),2000,0)-IF(AND($U22=1,'calcA'!DI$117=1,HH22=0),2000,0))),1000000000))</f>
        <v/>
      </c>
      <c r="SL22">
        <f>IF($B22=0,1000000000,IF(INDEX('calcA'!$D$60:$EQ$99,$B22,111)*IF($W22=1,HH22+ADW22,HH22)=1,IF(AND($E22=2,IF($W22=1,AJL22,MW22)=0),1000000000,IF($V22=1,INDEX('calcA'!$D$130:$EQ$169,$B22,111)+IF(AND($E22=1,MW22=0),25,0),IF($F22&gt;0,INDEX('calcA'!DJ$110:DJ$114,$F22+1)+IF(AND($E22=1,MW22=0),1000,0),MIN(TY22,20)*400+(IF('calcA'!DI$106=1,1-HG22,0)+IF('calcA'!DJ$106=1,1-HI22,0))*150+155+'calcA'!DJ$5*100000+IF(AND($E22=1,MW22=0),50000,0))+IF($H22=1,INDEX('calcA'!$D$180:$EQ$219,$B22,111)*4000,0)-IF(AND('calcA'!DI$117=1,YG22&gt;0),2000,0)-IF(AND($U22=1,'calcA'!DJ$117=1,HI22=0),2000,0))),1000000000))</f>
        <v/>
      </c>
      <c r="SM22">
        <f>IF($B22=0,1000000000,IF(INDEX('calcA'!$D$60:$EQ$99,$B22,112)*IF($W22=1,HI22+ADX22,HI22)=1,IF(AND($E22=2,IF($W22=1,AJM22,MX22)=0),1000000000,IF($V22=1,INDEX('calcA'!$D$130:$EQ$169,$B22,112)+IF(AND($E22=1,MX22=0),25,0),IF($F22&gt;0,INDEX('calcA'!DK$110:DK$114,$F22+1)+IF(AND($E22=1,MX22=0),1000,0),MIN(TY22,20)*400+(IF('calcA'!DJ$106=1,1-HH22,0)+IF('calcA'!DK$106=1,1-HJ22,0))*150+165+'calcA'!DK$5*100000+IF(AND($E22=1,MX22=0),50000,0))+IF($H22=1,INDEX('calcA'!$D$180:$EQ$219,$B22,112)*4000,0)-IF(AND('calcA'!DJ$117=1,YH22&gt;0),2000,0)-IF(AND($U22=1,'calcA'!DK$117=1,HJ22=0),2000,0))),1000000000))</f>
        <v/>
      </c>
      <c r="SN22">
        <f>IF($B22=0,1000000000,IF(INDEX('calcA'!$D$60:$EQ$99,$B22,113)*IF($W22=1,HJ22+ADY22,HJ22)=1,IF(AND($E22=2,IF($W22=1,AJN22,MY22)=0),1000000000,IF($V22=1,INDEX('calcA'!$D$130:$EQ$169,$B22,113)+IF(AND($E22=1,MY22=0),25,0),IF($F22&gt;0,INDEX('calcA'!DL$110:DL$114,$F22+1)+IF(AND($E22=1,MY22=0),1000,0),MIN(TY22,20)*400+(IF('calcA'!DK$106=1,1-HI22,0)+IF('calcA'!DL$106=1,1-HK22,0))*150+175+'calcA'!DL$5*100000+IF(AND($E22=1,MY22=0),50000,0))+IF($H22=1,INDEX('calcA'!$D$180:$EQ$219,$B22,113)*4000,0)-IF(AND('calcA'!DK$117=1,YI22&gt;0),2000,0)-IF(AND($U22=1,'calcA'!DL$117=1,HK22=0),2000,0))),1000000000))</f>
        <v/>
      </c>
      <c r="SO22">
        <f>IF($B22=0,1000000000,IF(INDEX('calcA'!$D$60:$EQ$99,$B22,114)*IF($W22=1,HK22+ADZ22,HK22)=1,IF(AND($E22=2,IF($W22=1,AJO22,MZ22)=0),1000000000,IF($V22=1,INDEX('calcA'!$D$130:$EQ$169,$B22,114)+IF(AND($E22=1,MZ22=0),25,0),IF($F22&gt;0,INDEX('calcA'!DM$110:DM$114,$F22+1)+IF(AND($E22=1,MZ22=0),1000,0),MIN(TY22,20)*400+(IF('calcA'!DL$106=1,1-HJ22,0)+IF('calcA'!DM$106=1,1-HL22,0))*150+185+'calcA'!DM$5*100000+IF(AND($E22=1,MZ22=0),50000,0))+IF($H22=1,INDEX('calcA'!$D$180:$EQ$219,$B22,114)*4000,0)-IF(AND('calcA'!DL$117=1,YJ22&gt;0),2000,0)-IF(AND($U22=1,'calcA'!DM$117=1,HL22=0),2000,0))),1000000000))</f>
        <v/>
      </c>
      <c r="SP22">
        <f>IF($B22=0,1000000000,IF(INDEX('calcA'!$D$60:$EQ$99,$B22,115)*IF($W22=1,HL22+AEA22,HL22)=1,IF(AND($E22=2,IF($W22=1,AJP22,NA22)=0),1000000000,IF($V22=1,INDEX('calcA'!$D$130:$EQ$169,$B22,115)+IF(AND($E22=1,NA22=0),25,0),IF($F22&gt;0,INDEX('calcA'!DN$110:DN$114,$F22+1)+IF(AND($E22=1,NA22=0),1000,0),MIN(TY22,20)*400+(IF('calcA'!DM$106=1,1-HK22,0)+IF('calcA'!DN$106=1,1-HM22,0))*150+195+'calcA'!DN$5*100000+IF(AND($E22=1,NA22=0),50000,0))+IF($H22=1,INDEX('calcA'!$D$180:$EQ$219,$B22,115)*4000,0)-IF(AND('calcA'!DM$117=1,YK22&gt;0),2000,0)-IF(AND($U22=1,'calcA'!DN$117=1,HM22=0),2000,0))),1000000000))</f>
        <v/>
      </c>
      <c r="SQ22">
        <f>IF($B22=0,1000000000,IF(INDEX('calcA'!$D$60:$EQ$99,$B22,116)*IF($W22=1,HM22+AEB22,HM22)=1,IF(AND($E22=2,IF($W22=1,AJQ22,NB22)=0),1000000000,IF($V22=1,INDEX('calcA'!$D$130:$EQ$169,$B22,116)+IF(AND($E22=1,NB22=0),25,0),IF($F22&gt;0,INDEX('calcA'!DO$110:DO$114,$F22+1)+IF(AND($E22=1,NB22=0),1000,0),MIN(TY22,20)*400+(IF('calcA'!DN$106=1,1-HL22,0)+IF('calcA'!DO$106=1,1-HN22,0))*150+205+'calcA'!DO$5*100000+IF(AND($E22=1,NB22=0),50000,0))+IF($H22=1,INDEX('calcA'!$D$180:$EQ$219,$B22,116)*4000,0)-IF(AND('calcA'!DN$117=1,YL22&gt;0),2000,0)-IF(AND($U22=1,'calcA'!DO$117=1,HN22=0),2000,0))),1000000000))</f>
        <v/>
      </c>
      <c r="SR22">
        <f>IF($B22=0,1000000000,IF(INDEX('calcA'!$D$60:$EQ$99,$B22,117)*IF($W22=1,HN22+AEC22,HN22)=1,IF(AND($E22=2,IF($W22=1,AJR22,NC22)=0),1000000000,IF($V22=1,INDEX('calcA'!$D$130:$EQ$169,$B22,117)+IF(AND($E22=1,NC22=0),25,0),IF($F22&gt;0,INDEX('calcA'!DP$110:DP$114,$F22+1)+IF(AND($E22=1,NC22=0),1000,0),MIN(TY22,20)*400+(IF('calcA'!DO$106=1,1-HM22,0)+IF('calcA'!DP$106=1,1-HO22,0))*150+215+'calcA'!DP$5*100000+IF(AND($E22=1,NC22=0),50000,0))+IF($H22=1,INDEX('calcA'!$D$180:$EQ$219,$B22,117)*4000,0)-IF(AND('calcA'!DO$117=1,YM22&gt;0),2000,0)-IF(AND($U22=1,'calcA'!DP$117=1,HO22=0),2000,0))),1000000000))</f>
        <v/>
      </c>
      <c r="SS22">
        <f>IF($B22=0,1000000000,IF(INDEX('calcA'!$D$60:$EQ$99,$B22,118)*IF($W22=1,HO22+AED22,HO22)=1,IF(AND($E22=2,IF($W22=1,AJS22,ND22)=0),1000000000,IF($V22=1,INDEX('calcA'!$D$130:$EQ$169,$B22,118)+IF(AND($E22=1,ND22=0),25,0),IF($F22&gt;0,INDEX('calcA'!DQ$110:DQ$114,$F22+1)+IF(AND($E22=1,ND22=0),1000,0),MIN(TY22,20)*400+(IF('calcA'!DP$106=1,1-HN22,0)+IF('calcA'!DQ$106=1,1-HP22,0))*150+225+'calcA'!DQ$5*100000+IF(AND($E22=1,ND22=0),50000,0))+IF($H22=1,INDEX('calcA'!$D$180:$EQ$219,$B22,118)*4000,0)-IF(AND('calcA'!DP$117=1,YN22&gt;0),2000,0)-IF(AND($U22=1,'calcA'!DQ$117=1,HP22=0),2000,0))),1000000000))</f>
        <v/>
      </c>
      <c r="ST22">
        <f>IF($B22=0,1000000000,IF(INDEX('calcA'!$D$60:$EQ$99,$B22,119)*IF($W22=1,HP22+AEE22,HP22)=1,IF(AND($E22=2,IF($W22=1,AJT22,NE22)=0),1000000000,IF($V22=1,INDEX('calcA'!$D$130:$EQ$169,$B22,119)+IF(AND($E22=1,NE22=0),25,0),IF($F22&gt;0,INDEX('calcA'!DR$110:DR$114,$F22+1)+IF(AND($E22=1,NE22=0),1000,0),MIN(TY22,20)*400+(IF('calcA'!DQ$106=1,1-HO22,0)+IF('calcA'!DR$106=1,1-HQ22,0))*150+235+'calcA'!DR$5*100000+IF(AND($E22=1,NE22=0),50000,0))+IF($H22=1,INDEX('calcA'!$D$180:$EQ$219,$B22,119)*4000,0)-IF(AND('calcA'!DQ$117=1,YO22&gt;0),2000,0)-IF(AND($U22=1,'calcA'!DR$117=1,HQ22=0),2000,0))),1000000000))</f>
        <v/>
      </c>
      <c r="SU22">
        <f>IF($B22=0,1000000000,IF(INDEX('calcA'!$D$60:$EQ$99,$B22,120)*IF($W22=1,HQ22+AEF22,HQ22)=1,IF(AND($E22=2,IF($W22=1,AJU22,NF22)=0),1000000000,IF($V22=1,INDEX('calcA'!$D$130:$EQ$169,$B22,120)+IF(AND($E22=1,NF22=0),25,0),IF($F22&gt;0,INDEX('calcA'!DS$110:DS$114,$F22+1)+IF(AND($E22=1,NF22=0),1000,0),MIN(TY22,20)*400+(IF('calcA'!DR$106=1,1-HP22,0))*150+245+'calcA'!DS$5*100000+IF(AND($E22=1,NF22=0),50000,0))+IF($H22=1,INDEX('calcA'!$D$180:$EQ$219,$B22,120)*4000,0)-IF(AND('calcA'!DR$117=1,YP22&gt;0),2000,0))),1000000000))</f>
        <v/>
      </c>
      <c r="SV22">
        <f>IF($B22=0,1000000000,IF(INDEX('calcA'!$D$60:$EQ$99,$B22,121)*IF($W22=1,HR22+AEG22,HR22)=1,IF(AND($E22=2,IF($W22=1,AJV22,NG22)=0),1000000000,IF($V22=1,INDEX('calcA'!$D$130:$EQ$169,$B22,121)+IF(AND($E22=1,NG22=0),25,0),IF($F22&gt;0,INDEX('calcA'!DT$110:DT$114,$F22+1)+IF(AND($E22=1,NG22=0),1000,0),MIN(TZ22,20)*400+(IF('calcA'!DT$106=1,1-HS22,0))*150+16+'calcA'!DT$5*100000+IF(AND($E22=1,NG22=0),50000,0))+IF($H22=1,INDEX('calcA'!$D$180:$EQ$219,$B22,121)*4000,0)-IF(AND($U22=1,'calcA'!DT$117=1,HS22=0),2000,0))),1000000000))</f>
        <v/>
      </c>
      <c r="SW22">
        <f>IF($B22=0,1000000000,IF(INDEX('calcA'!$D$60:$EQ$99,$B22,122)*IF($W22=1,HS22+AEH22,HS22)=1,IF(AND($E22=2,IF($W22=1,AJW22,NH22)=0),1000000000,IF($V22=1,INDEX('calcA'!$D$130:$EQ$169,$B22,122)+IF(AND($E22=1,NH22=0),25,0),IF($F22&gt;0,INDEX('calcA'!DU$110:DU$114,$F22+1)+IF(AND($E22=1,NH22=0),1000,0),MIN(TZ22,20)*400+(IF('calcA'!DT$106=1,1-HR22,0)+IF('calcA'!DU$106=1,1-HT22,0))*150+26+'calcA'!DU$5*100000+IF(AND($E22=1,NH22=0),50000,0))+IF($H22=1,INDEX('calcA'!$D$180:$EQ$219,$B22,122)*4000,0)-IF(AND('calcA'!DT$117=1,YR22&gt;0),2000,0)-IF(AND($U22=1,'calcA'!DU$117=1,HT22=0),2000,0))),1000000000))</f>
        <v/>
      </c>
      <c r="SX22">
        <f>IF($B22=0,1000000000,IF(INDEX('calcA'!$D$60:$EQ$99,$B22,123)*IF($W22=1,HT22+AEI22,HT22)=1,IF(AND($E22=2,IF($W22=1,AJX22,NI22)=0),1000000000,IF($V22=1,INDEX('calcA'!$D$130:$EQ$169,$B22,123)+IF(AND($E22=1,NI22=0),25,0),IF($F22&gt;0,INDEX('calcA'!DV$110:DV$114,$F22+1)+IF(AND($E22=1,NI22=0),1000,0),MIN(TZ22,20)*400+(IF('calcA'!DU$106=1,1-HS22,0)+IF('calcA'!DV$106=1,1-HU22,0))*150+36+'calcA'!DV$5*100000+IF(AND($E22=1,NI22=0),50000,0))+IF($H22=1,INDEX('calcA'!$D$180:$EQ$219,$B22,123)*4000,0)-IF(AND('calcA'!DU$117=1,YS22&gt;0),2000,0)-IF(AND($U22=1,'calcA'!DV$117=1,HU22=0),2000,0))),1000000000))</f>
        <v/>
      </c>
      <c r="SY22">
        <f>IF($B22=0,1000000000,IF(INDEX('calcA'!$D$60:$EQ$99,$B22,124)*IF($W22=1,HU22+AEJ22,HU22)=1,IF(AND($E22=2,IF($W22=1,AJY22,NJ22)=0),1000000000,IF($V22=1,INDEX('calcA'!$D$130:$EQ$169,$B22,124)+IF(AND($E22=1,NJ22=0),25,0),IF($F22&gt;0,INDEX('calcA'!DW$110:DW$114,$F22+1)+IF(AND($E22=1,NJ22=0),1000,0),MIN(TZ22,20)*400+(IF('calcA'!DV$106=1,1-HT22,0)+IF('calcA'!DW$106=1,1-HV22,0))*150+46+'calcA'!DW$5*100000+IF(AND($E22=1,NJ22=0),50000,0))+IF($H22=1,INDEX('calcA'!$D$180:$EQ$219,$B22,124)*4000,0)-IF(AND('calcA'!DV$117=1,YT22&gt;0),2000,0)-IF(AND($U22=1,'calcA'!DW$117=1,HV22=0),2000,0))),1000000000))</f>
        <v/>
      </c>
      <c r="SZ22">
        <f>IF($B22=0,1000000000,IF(INDEX('calcA'!$D$60:$EQ$99,$B22,125)*IF($W22=1,HV22+AEK22,HV22)=1,IF(AND($E22=2,IF($W22=1,AJZ22,NK22)=0),1000000000,IF($V22=1,INDEX('calcA'!$D$130:$EQ$169,$B22,125)+IF(AND($E22=1,NK22=0),25,0),IF($F22&gt;0,INDEX('calcA'!DX$110:DX$114,$F22+1)+IF(AND($E22=1,NK22=0),1000,0),MIN(TZ22,20)*400+(IF('calcA'!DW$106=1,1-HU22,0)+IF('calcA'!DX$106=1,1-HW22,0))*150+56+'calcA'!DX$5*100000+IF(AND($E22=1,NK22=0),50000,0))+IF($H22=1,INDEX('calcA'!$D$180:$EQ$219,$B22,125)*4000,0)-IF(AND('calcA'!DW$117=1,YU22&gt;0),2000,0)-IF(AND($U22=1,'calcA'!DX$117=1,HW22=0),2000,0))),1000000000))</f>
        <v/>
      </c>
      <c r="TA22">
        <f>IF($B22=0,1000000000,IF(INDEX('calcA'!$D$60:$EQ$99,$B22,126)*IF($W22=1,HW22+AEL22,HW22)=1,IF(AND($E22=2,IF($W22=1,AKA22,NL22)=0),1000000000,IF($V22=1,INDEX('calcA'!$D$130:$EQ$169,$B22,126)+IF(AND($E22=1,NL22=0),25,0),IF($F22&gt;0,INDEX('calcA'!DY$110:DY$114,$F22+1)+IF(AND($E22=1,NL22=0),1000,0),MIN(TZ22,20)*400+(IF('calcA'!DX$106=1,1-HV22,0)+IF('calcA'!DY$106=1,1-HX22,0))*150+66+'calcA'!DY$5*100000+IF(AND($E22=1,NL22=0),50000,0))+IF($H22=1,INDEX('calcA'!$D$180:$EQ$219,$B22,126)*4000,0)-IF(AND('calcA'!DX$117=1,YV22&gt;0),2000,0)-IF(AND($U22=1,'calcA'!DY$117=1,HX22=0),2000,0))),1000000000))</f>
        <v/>
      </c>
      <c r="TB22">
        <f>IF($B22=0,1000000000,IF(INDEX('calcA'!$D$60:$EQ$99,$B22,127)*IF($W22=1,HX22+AEM22,HX22)=1,IF(AND($E22=2,IF($W22=1,AKB22,NM22)=0),1000000000,IF($V22=1,INDEX('calcA'!$D$130:$EQ$169,$B22,127)+IF(AND($E22=1,NM22=0),25,0),IF($F22&gt;0,INDEX('calcA'!DZ$110:DZ$114,$F22+1)+IF(AND($E22=1,NM22=0),1000,0),MIN(TZ22,20)*400+(IF('calcA'!DY$106=1,1-HW22,0)+IF('calcA'!DZ$106=1,1-HY22,0))*150+76+'calcA'!DZ$5*100000+IF(AND($E22=1,NM22=0),50000,0))+IF($H22=1,INDEX('calcA'!$D$180:$EQ$219,$B22,127)*4000,0)-IF(AND('calcA'!DY$117=1,YW22&gt;0),2000,0)-IF(AND($U22=1,'calcA'!DZ$117=1,HY22=0),2000,0))),1000000000))</f>
        <v/>
      </c>
      <c r="TC22">
        <f>IF($B22=0,1000000000,IF(INDEX('calcA'!$D$60:$EQ$99,$B22,128)*IF($W22=1,HY22+AEN22,HY22)=1,IF(AND($E22=2,IF($W22=1,AKC22,NN22)=0),1000000000,IF($V22=1,INDEX('calcA'!$D$130:$EQ$169,$B22,128)+IF(AND($E22=1,NN22=0),25,0),IF($F22&gt;0,INDEX('calcA'!EA$110:EA$114,$F22+1)+IF(AND($E22=1,NN22=0),1000,0),MIN(TZ22,20)*400+(IF('calcA'!DZ$106=1,1-HX22,0)+IF('calcA'!EA$106=1,1-HZ22,0))*150+86+'calcA'!EA$5*100000+IF(AND($E22=1,NN22=0),50000,0))+IF($H22=1,INDEX('calcA'!$D$180:$EQ$219,$B22,128)*4000,0)-IF(AND('calcA'!DZ$117=1,YX22&gt;0),2000,0)-IF(AND($U22=1,'calcA'!EA$117=1,HZ22=0),2000,0))),1000000000))</f>
        <v/>
      </c>
      <c r="TD22">
        <f>IF($B22=0,1000000000,IF(INDEX('calcA'!$D$60:$EQ$99,$B22,129)*IF($W22=1,HZ22+AEO22,HZ22)=1,IF(AND($E22=2,IF($W22=1,AKD22,NO22)=0),1000000000,IF($V22=1,INDEX('calcA'!$D$130:$EQ$169,$B22,129)+IF(AND($E22=1,NO22=0),25,0),IF($F22&gt;0,INDEX('calcA'!EB$110:EB$114,$F22+1)+IF(AND($E22=1,NO22=0),1000,0),MIN(TZ22,20)*400+(IF('calcA'!EA$106=1,1-HY22,0)+IF('calcA'!EB$106=1,1-IA22,0))*150+96+'calcA'!EB$5*100000+IF(AND($E22=1,NO22=0),50000,0))+IF($H22=1,INDEX('calcA'!$D$180:$EQ$219,$B22,129)*4000,0)-IF(AND('calcA'!EA$117=1,YY22&gt;0),2000,0)-IF(AND($U22=1,'calcA'!EB$117=1,IA22=0),2000,0))),1000000000))</f>
        <v/>
      </c>
      <c r="TE22">
        <f>IF($B22=0,1000000000,IF(INDEX('calcA'!$D$60:$EQ$99,$B22,130)*IF($W22=1,IA22+AEP22,IA22)=1,IF(AND($E22=2,IF($W22=1,AKE22,NP22)=0),1000000000,IF($V22=1,INDEX('calcA'!$D$130:$EQ$169,$B22,130)+IF(AND($E22=1,NP22=0),25,0),IF($F22&gt;0,INDEX('calcA'!EC$110:EC$114,$F22+1)+IF(AND($E22=1,NP22=0),1000,0),MIN(TZ22,20)*400+(IF('calcA'!EB$106=1,1-HZ22,0)+IF('calcA'!EC$106=1,1-IB22,0))*150+106+'calcA'!EC$5*100000+IF(AND($E22=1,NP22=0),50000,0))+IF($H22=1,INDEX('calcA'!$D$180:$EQ$219,$B22,130)*4000,0)-IF(AND('calcA'!EB$117=1,YZ22&gt;0),2000,0)-IF(AND($U22=1,'calcA'!EC$117=1,IB22=0),2000,0))),1000000000))</f>
        <v/>
      </c>
      <c r="TF22">
        <f>IF($B22=0,1000000000,IF(INDEX('calcA'!$D$60:$EQ$99,$B22,131)*IF($W22=1,IB22+AEQ22,IB22)=1,IF(AND($E22=2,IF($W22=1,AKF22,NQ22)=0),1000000000,IF($V22=1,INDEX('calcA'!$D$130:$EQ$169,$B22,131)+IF(AND($E22=1,NQ22=0),25,0),IF($F22&gt;0,INDEX('calcA'!ED$110:ED$114,$F22+1)+IF(AND($E22=1,NQ22=0),1000,0),MIN(TZ22,20)*400+(IF('calcA'!EC$106=1,1-IA22,0)+IF('calcA'!ED$106=1,1-IC22,0))*150+116+'calcA'!ED$5*100000+IF(AND($E22=1,NQ22=0),50000,0))+IF($H22=1,INDEX('calcA'!$D$180:$EQ$219,$B22,131)*4000,0)-IF(AND('calcA'!EC$117=1,ZA22&gt;0),2000,0)-IF(AND($U22=1,'calcA'!ED$117=1,IC22=0),2000,0))),1000000000))</f>
        <v/>
      </c>
      <c r="TG22">
        <f>IF($B22=0,1000000000,IF(INDEX('calcA'!$D$60:$EQ$99,$B22,132)*IF($W22=1,IC22+AER22,IC22)=1,IF(AND($E22=2,IF($W22=1,AKG22,NR22)=0),1000000000,IF($V22=1,INDEX('calcA'!$D$130:$EQ$169,$B22,132)+IF(AND($E22=1,NR22=0),25,0),IF($F22&gt;0,INDEX('calcA'!EE$110:EE$114,$F22+1)+IF(AND($E22=1,NR22=0),1000,0),MIN(TZ22,20)*400+(IF('calcA'!ED$106=1,1-IB22,0)+IF('calcA'!EE$106=1,1-ID22,0))*150+126+'calcA'!EE$5*100000+IF(AND($E22=1,NR22=0),50000,0))+IF($H22=1,INDEX('calcA'!$D$180:$EQ$219,$B22,132)*4000,0)-IF(AND('calcA'!ED$117=1,ZB22&gt;0),2000,0)-IF(AND($U22=1,'calcA'!EE$117=1,ID22=0),2000,0))),1000000000))</f>
        <v/>
      </c>
      <c r="TH22">
        <f>IF($B22=0,1000000000,IF(INDEX('calcA'!$D$60:$EQ$99,$B22,133)*IF($W22=1,ID22+AES22,ID22)=1,IF(AND($E22=2,IF($W22=1,AKH22,NS22)=0),1000000000,IF($V22=1,INDEX('calcA'!$D$130:$EQ$169,$B22,133)+IF(AND($E22=1,NS22=0),25,0),IF($F22&gt;0,INDEX('calcA'!EF$110:EF$114,$F22+1)+IF(AND($E22=1,NS22=0),1000,0),MIN(TZ22,20)*400+(IF('calcA'!EE$106=1,1-IC22,0)+IF('calcA'!EF$106=1,1-IE22,0))*150+136+'calcA'!EF$5*100000+IF(AND($E22=1,NS22=0),50000,0))+IF($H22=1,INDEX('calcA'!$D$180:$EQ$219,$B22,133)*4000,0)-IF(AND('calcA'!EE$117=1,ZC22&gt;0),2000,0)-IF(AND($U22=1,'calcA'!EF$117=1,IE22=0),2000,0))),1000000000))</f>
        <v/>
      </c>
      <c r="TI22">
        <f>IF($B22=0,1000000000,IF(INDEX('calcA'!$D$60:$EQ$99,$B22,134)*IF($W22=1,IE22+AET22,IE22)=1,IF(AND($E22=2,IF($W22=1,AKI22,NT22)=0),1000000000,IF($V22=1,INDEX('calcA'!$D$130:$EQ$169,$B22,134)+IF(AND($E22=1,NT22=0),25,0),IF($F22&gt;0,INDEX('calcA'!EG$110:EG$114,$F22+1)+IF(AND($E22=1,NT22=0),1000,0),MIN(TZ22,20)*400+(IF('calcA'!EF$106=1,1-ID22,0)+IF('calcA'!EG$106=1,1-IF22,0))*150+146+'calcA'!EG$5*100000+IF(AND($E22=1,NT22=0),50000,0))+IF($H22=1,INDEX('calcA'!$D$180:$EQ$219,$B22,134)*4000,0)-IF(AND('calcA'!EF$117=1,ZD22&gt;0),2000,0)-IF(AND($U22=1,'calcA'!EG$117=1,IF22=0),2000,0))),1000000000))</f>
        <v/>
      </c>
      <c r="TJ22">
        <f>IF($B22=0,1000000000,IF(INDEX('calcA'!$D$60:$EQ$99,$B22,135)*IF($W22=1,IF22+AEU22,IF22)=1,IF(AND($E22=2,IF($W22=1,AKJ22,NU22)=0),1000000000,IF($V22=1,INDEX('calcA'!$D$130:$EQ$169,$B22,135)+IF(AND($E22=1,NU22=0),25,0),IF($F22&gt;0,INDEX('calcA'!EH$110:EH$114,$F22+1)+IF(AND($E22=1,NU22=0),1000,0),MIN(TZ22,20)*400+(IF('calcA'!EG$106=1,1-IE22,0)+IF('calcA'!EH$106=1,1-IG22,0))*150+156+'calcA'!EH$5*100000+IF(AND($E22=1,NU22=0),50000,0))+IF($H22=1,INDEX('calcA'!$D$180:$EQ$219,$B22,135)*4000,0)-IF(AND('calcA'!EG$117=1,ZE22&gt;0),2000,0)-IF(AND($U22=1,'calcA'!EH$117=1,IG22=0),2000,0))),1000000000))</f>
        <v/>
      </c>
      <c r="TK22">
        <f>IF($B22=0,1000000000,IF(INDEX('calcA'!$D$60:$EQ$99,$B22,136)*IF($W22=1,IG22+AEV22,IG22)=1,IF(AND($E22=2,IF($W22=1,AKK22,NV22)=0),1000000000,IF($V22=1,INDEX('calcA'!$D$130:$EQ$169,$B22,136)+IF(AND($E22=1,NV22=0),25,0),IF($F22&gt;0,INDEX('calcA'!EI$110:EI$114,$F22+1)+IF(AND($E22=1,NV22=0),1000,0),MIN(TZ22,20)*400+(IF('calcA'!EH$106=1,1-IF22,0)+IF('calcA'!EI$106=1,1-IH22,0))*150+166+'calcA'!EI$5*100000+IF(AND($E22=1,NV22=0),50000,0))+IF($H22=1,INDEX('calcA'!$D$180:$EQ$219,$B22,136)*4000,0)-IF(AND('calcA'!EH$117=1,ZF22&gt;0),2000,0)-IF(AND($U22=1,'calcA'!EI$117=1,IH22=0),2000,0))),1000000000))</f>
        <v/>
      </c>
      <c r="TL22">
        <f>IF($B22=0,1000000000,IF(INDEX('calcA'!$D$60:$EQ$99,$B22,137)*IF($W22=1,IH22+AEW22,IH22)=1,IF(AND($E22=2,IF($W22=1,AKL22,NW22)=0),1000000000,IF($V22=1,INDEX('calcA'!$D$130:$EQ$169,$B22,137)+IF(AND($E22=1,NW22=0),25,0),IF($F22&gt;0,INDEX('calcA'!EJ$110:EJ$114,$F22+1)+IF(AND($E22=1,NW22=0),1000,0),MIN(TZ22,20)*400+(IF('calcA'!EI$106=1,1-IG22,0)+IF('calcA'!EJ$106=1,1-II22,0))*150+176+'calcA'!EJ$5*100000+IF(AND($E22=1,NW22=0),50000,0))+IF($H22=1,INDEX('calcA'!$D$180:$EQ$219,$B22,137)*4000,0)-IF(AND('calcA'!EI$117=1,ZG22&gt;0),2000,0)-IF(AND($U22=1,'calcA'!EJ$117=1,II22=0),2000,0))),1000000000))</f>
        <v/>
      </c>
      <c r="TM22">
        <f>IF($B22=0,1000000000,IF(INDEX('calcA'!$D$60:$EQ$99,$B22,138)*IF($W22=1,II22+AEX22,II22)=1,IF(AND($E22=2,IF($W22=1,AKM22,NX22)=0),1000000000,IF($V22=1,INDEX('calcA'!$D$130:$EQ$169,$B22,138)+IF(AND($E22=1,NX22=0),25,0),IF($F22&gt;0,INDEX('calcA'!EK$110:EK$114,$F22+1)+IF(AND($E22=1,NX22=0),1000,0),MIN(TZ22,20)*400+(IF('calcA'!EJ$106=1,1-IH22,0)+IF('calcA'!EK$106=1,1-IJ22,0))*150+186+'calcA'!EK$5*100000+IF(AND($E22=1,NX22=0),50000,0))+IF($H22=1,INDEX('calcA'!$D$180:$EQ$219,$B22,138)*4000,0)-IF(AND('calcA'!EJ$117=1,ZH22&gt;0),2000,0)-IF(AND($U22=1,'calcA'!EK$117=1,IJ22=0),2000,0))),1000000000))</f>
        <v/>
      </c>
      <c r="TN22">
        <f>IF($B22=0,1000000000,IF(INDEX('calcA'!$D$60:$EQ$99,$B22,139)*IF($W22=1,IJ22+AEY22,IJ22)=1,IF(AND($E22=2,IF($W22=1,AKN22,NY22)=0),1000000000,IF($V22=1,INDEX('calcA'!$D$130:$EQ$169,$B22,139)+IF(AND($E22=1,NY22=0),25,0),IF($F22&gt;0,INDEX('calcA'!EL$110:EL$114,$F22+1)+IF(AND($E22=1,NY22=0),1000,0),MIN(TZ22,20)*400+(IF('calcA'!EK$106=1,1-II22,0)+IF('calcA'!EL$106=1,1-IK22,0))*150+196+'calcA'!EL$5*100000+IF(AND($E22=1,NY22=0),50000,0))+IF($H22=1,INDEX('calcA'!$D$180:$EQ$219,$B22,139)*4000,0)-IF(AND('calcA'!EK$117=1,ZI22&gt;0),2000,0)-IF(AND($U22=1,'calcA'!EL$117=1,IK22=0),2000,0))),1000000000))</f>
        <v/>
      </c>
      <c r="TO22">
        <f>IF($B22=0,1000000000,IF(INDEX('calcA'!$D$60:$EQ$99,$B22,140)*IF($W22=1,IK22+AEZ22,IK22)=1,IF(AND($E22=2,IF($W22=1,AKO22,NZ22)=0),1000000000,IF($V22=1,INDEX('calcA'!$D$130:$EQ$169,$B22,140)+IF(AND($E22=1,NZ22=0),25,0),IF($F22&gt;0,INDEX('calcA'!EM$110:EM$114,$F22+1)+IF(AND($E22=1,NZ22=0),1000,0),MIN(TZ22,20)*400+(IF('calcA'!EL$106=1,1-IJ22,0)+IF('calcA'!EM$106=1,1-IL22,0))*150+206+'calcA'!EM$5*100000+IF(AND($E22=1,NZ22=0),50000,0))+IF($H22=1,INDEX('calcA'!$D$180:$EQ$219,$B22,140)*4000,0)-IF(AND('calcA'!EL$117=1,ZJ22&gt;0),2000,0)-IF(AND($U22=1,'calcA'!EM$117=1,IL22=0),2000,0))),1000000000))</f>
        <v/>
      </c>
      <c r="TP22">
        <f>IF($B22=0,1000000000,IF(INDEX('calcA'!$D$60:$EQ$99,$B22,141)*IF($W22=1,IL22+AFA22,IL22)=1,IF(AND($E22=2,IF($W22=1,AKP22,OA22)=0),1000000000,IF($V22=1,INDEX('calcA'!$D$130:$EQ$169,$B22,141)+IF(AND($E22=1,OA22=0),25,0),IF($F22&gt;0,INDEX('calcA'!EN$110:EN$114,$F22+1)+IF(AND($E22=1,OA22=0),1000,0),MIN(TZ22,20)*400+(IF('calcA'!EM$106=1,1-IK22,0)+IF('calcA'!EN$106=1,1-IM22,0))*150+216+'calcA'!EN$5*100000+IF(AND($E22=1,OA22=0),50000,0))+IF($H22=1,INDEX('calcA'!$D$180:$EQ$219,$B22,141)*4000,0)-IF(AND('calcA'!EM$117=1,ZK22&gt;0),2000,0)-IF(AND($U22=1,'calcA'!EN$117=1,IM22=0),2000,0))),1000000000))</f>
        <v/>
      </c>
      <c r="TQ22">
        <f>IF($B22=0,1000000000,IF(INDEX('calcA'!$D$60:$EQ$99,$B22,142)*IF($W22=1,IM22+AFB22,IM22)=1,IF(AND($E22=2,IF($W22=1,AKQ22,OB22)=0),1000000000,IF($V22=1,INDEX('calcA'!$D$130:$EQ$169,$B22,142)+IF(AND($E22=1,OB22=0),25,0),IF($F22&gt;0,INDEX('calcA'!EO$110:EO$114,$F22+1)+IF(AND($E22=1,OB22=0),1000,0),MIN(TZ22,20)*400+(IF('calcA'!EN$106=1,1-IL22,0)+IF('calcA'!EO$106=1,1-IN22,0))*150+226+'calcA'!EO$5*100000+IF(AND($E22=1,OB22=0),50000,0))+IF($H22=1,INDEX('calcA'!$D$180:$EQ$219,$B22,142)*4000,0)-IF(AND('calcA'!EN$117=1,ZL22&gt;0),2000,0)-IF(AND($U22=1,'calcA'!EO$117=1,IN22=0),2000,0))),1000000000))</f>
        <v/>
      </c>
      <c r="TR22">
        <f>IF($B22=0,1000000000,IF(INDEX('calcA'!$D$60:$EQ$99,$B22,143)*IF($W22=1,IN22+AFC22,IN22)=1,IF(AND($E22=2,IF($W22=1,AKR22,OC22)=0),1000000000,IF($V22=1,INDEX('calcA'!$D$130:$EQ$169,$B22,143)+IF(AND($E22=1,OC22=0),25,0),IF($F22&gt;0,INDEX('calcA'!EP$110:EP$114,$F22+1)+IF(AND($E22=1,OC22=0),1000,0),MIN(TZ22,20)*400+(IF('calcA'!EO$106=1,1-IM22,0)+IF('calcA'!EP$106=1,1-IO22,0))*150+236+'calcA'!EP$5*100000+IF(AND($E22=1,OC22=0),50000,0))+IF($H22=1,INDEX('calcA'!$D$180:$EQ$219,$B22,143)*4000,0)-IF(AND('calcA'!EO$117=1,ZM22&gt;0),2000,0)-IF(AND($U22=1,'calcA'!EP$117=1,IO22=0),2000,0))),1000000000))</f>
        <v/>
      </c>
      <c r="TS22">
        <f>IF($B22=0,1000000000,IF(INDEX('calcA'!$D$60:$EQ$99,$B22,144)*IF($W22=1,IO22+AFD22,IO22)=1,IF(AND($E22=2,IF($W22=1,AKS22,OD22)=0),1000000000,IF($V22=1,INDEX('calcA'!$D$130:$EQ$169,$B22,144)+IF(AND($E22=1,OD22=0),25,0),IF($F22&gt;0,INDEX('calcA'!EQ$110:EQ$114,$F22+1)+IF(AND($E22=1,OD22=0),1000,0),MIN(TZ22,20)*400+(IF('calcA'!EP$106=1,1-IN22,0))*150+246+'calcA'!EQ$5*100000+IF(AND($E22=1,OD22=0),50000,0))+IF($H22=1,INDEX('calcA'!$D$180:$EQ$219,$B22,144)*4000,0)-IF(AND('calcA'!EP$117=1,ZN22&gt;0),2000,0))),1000000000))</f>
        <v/>
      </c>
      <c r="TU22">
        <f>TU21+IF($C21&gt;0,IF(INDEX('calcA'!$D$2:$EQ$2,$C21)=1,1,0),0)</f>
        <v/>
      </c>
      <c r="TV22">
        <f>TV21+IF($C21&gt;0,IF(INDEX('calcA'!$D$2:$EQ$2,$C21)=2,1,0),0)</f>
        <v/>
      </c>
      <c r="TW22">
        <f>TW21+IF($C21&gt;0,IF(INDEX('calcA'!$D$2:$EQ$2,$C21)=3,1,0),0)</f>
        <v/>
      </c>
      <c r="TX22">
        <f>TX21+IF($C21&gt;0,IF(INDEX('calcA'!$D$2:$EQ$2,$C21)=4,1,0),0)</f>
        <v/>
      </c>
      <c r="TY22">
        <f>TY21+IF($C21&gt;0,IF(INDEX('calcA'!$D$2:$EQ$2,$C21)=5,1,0),0)</f>
        <v/>
      </c>
      <c r="TZ22">
        <f>TZ21+IF($C21&gt;0,IF(INDEX('calcA'!$D$2:$EQ$2,$C21)=6,1,0),0)</f>
        <v/>
      </c>
      <c r="UB22">
        <f>UB21+IF(AND($C21=1,$U21=1),1,0)</f>
        <v/>
      </c>
      <c r="UC22">
        <f>UC21+IF(AND($C21=2,$U21=1),1,0)</f>
        <v/>
      </c>
      <c r="UD22">
        <f>UD21+IF(AND($C21=3,$U21=1),1,0)</f>
        <v/>
      </c>
      <c r="UE22">
        <f>UE21+IF(AND($C21=4,$U21=1),1,0)</f>
        <v/>
      </c>
      <c r="UF22">
        <f>UF21+IF(AND($C21=5,$U21=1),1,0)</f>
        <v/>
      </c>
      <c r="UG22">
        <f>UG21+IF(AND($C21=6,$U21=1),1,0)</f>
        <v/>
      </c>
      <c r="UH22">
        <f>UH21+IF(AND($C21=7,$U21=1),1,0)</f>
        <v/>
      </c>
      <c r="UI22">
        <f>UI21+IF(AND($C21=8,$U21=1),1,0)</f>
        <v/>
      </c>
      <c r="UJ22">
        <f>UJ21+IF(AND($C21=9,$U21=1),1,0)</f>
        <v/>
      </c>
      <c r="UK22">
        <f>UK21+IF(AND($C21=10,$U21=1),1,0)</f>
        <v/>
      </c>
      <c r="UL22">
        <f>UL21+IF(AND($C21=11,$U21=1),1,0)</f>
        <v/>
      </c>
      <c r="UM22">
        <f>UM21+IF(AND($C21=12,$U21=1),1,0)</f>
        <v/>
      </c>
      <c r="UN22">
        <f>UN21+IF(AND($C21=13,$U21=1),1,0)</f>
        <v/>
      </c>
      <c r="UO22">
        <f>UO21+IF(AND($C21=14,$U21=1),1,0)</f>
        <v/>
      </c>
      <c r="UP22">
        <f>UP21+IF(AND($C21=15,$U21=1),1,0)</f>
        <v/>
      </c>
      <c r="UQ22">
        <f>UQ21+IF(AND($C21=16,$U21=1),1,0)</f>
        <v/>
      </c>
      <c r="UR22">
        <f>UR21+IF(AND($C21=17,$U21=1),1,0)</f>
        <v/>
      </c>
      <c r="US22">
        <f>US21+IF(AND($C21=18,$U21=1),1,0)</f>
        <v/>
      </c>
      <c r="UT22">
        <f>UT21+IF(AND($C21=19,$U21=1),1,0)</f>
        <v/>
      </c>
      <c r="UU22">
        <f>UU21+IF(AND($C21=20,$U21=1),1,0)</f>
        <v/>
      </c>
      <c r="UV22">
        <f>UV21+IF(AND($C21=21,$U21=1),1,0)</f>
        <v/>
      </c>
      <c r="UW22">
        <f>UW21+IF(AND($C21=22,$U21=1),1,0)</f>
        <v/>
      </c>
      <c r="UX22">
        <f>UX21+IF(AND($C21=23,$U21=1),1,0)</f>
        <v/>
      </c>
      <c r="UY22">
        <f>UY21+IF(AND($C21=24,$U21=1),1,0)</f>
        <v/>
      </c>
      <c r="UZ22">
        <f>UZ21+IF(AND($C21=25,$U21=1),1,0)</f>
        <v/>
      </c>
      <c r="VA22">
        <f>VA21+IF(AND($C21=26,$U21=1),1,0)</f>
        <v/>
      </c>
      <c r="VB22">
        <f>VB21+IF(AND($C21=27,$U21=1),1,0)</f>
        <v/>
      </c>
      <c r="VC22">
        <f>VC21+IF(AND($C21=28,$U21=1),1,0)</f>
        <v/>
      </c>
      <c r="VD22">
        <f>VD21+IF(AND($C21=29,$U21=1),1,0)</f>
        <v/>
      </c>
      <c r="VE22">
        <f>VE21+IF(AND($C21=30,$U21=1),1,0)</f>
        <v/>
      </c>
      <c r="VF22">
        <f>VF21+IF(AND($C21=31,$U21=1),1,0)</f>
        <v/>
      </c>
      <c r="VG22">
        <f>VG21+IF(AND($C21=32,$U21=1),1,0)</f>
        <v/>
      </c>
      <c r="VH22">
        <f>VH21+IF(AND($C21=33,$U21=1),1,0)</f>
        <v/>
      </c>
      <c r="VI22">
        <f>VI21+IF(AND($C21=34,$U21=1),1,0)</f>
        <v/>
      </c>
      <c r="VJ22">
        <f>VJ21+IF(AND($C21=35,$U21=1),1,0)</f>
        <v/>
      </c>
      <c r="VK22">
        <f>VK21+IF(AND($C21=36,$U21=1),1,0)</f>
        <v/>
      </c>
      <c r="VL22">
        <f>VL21+IF(AND($C21=37,$U21=1),1,0)</f>
        <v/>
      </c>
      <c r="VM22">
        <f>VM21+IF(AND($C21=38,$U21=1),1,0)</f>
        <v/>
      </c>
      <c r="VN22">
        <f>VN21+IF(AND($C21=39,$U21=1),1,0)</f>
        <v/>
      </c>
      <c r="VO22">
        <f>VO21+IF(AND($C21=40,$U21=1),1,0)</f>
        <v/>
      </c>
      <c r="VP22">
        <f>VP21+IF(AND($C21=41,$U21=1),1,0)</f>
        <v/>
      </c>
      <c r="VQ22">
        <f>VQ21+IF(AND($C21=42,$U21=1),1,0)</f>
        <v/>
      </c>
      <c r="VR22">
        <f>VR21+IF(AND($C21=43,$U21=1),1,0)</f>
        <v/>
      </c>
      <c r="VS22">
        <f>VS21+IF(AND($C21=44,$U21=1),1,0)</f>
        <v/>
      </c>
      <c r="VT22">
        <f>VT21+IF(AND($C21=45,$U21=1),1,0)</f>
        <v/>
      </c>
      <c r="VU22">
        <f>VU21+IF(AND($C21=46,$U21=1),1,0)</f>
        <v/>
      </c>
      <c r="VV22">
        <f>VV21+IF(AND($C21=47,$U21=1),1,0)</f>
        <v/>
      </c>
      <c r="VW22">
        <f>VW21+IF(AND($C21=48,$U21=1),1,0)</f>
        <v/>
      </c>
      <c r="VX22">
        <f>VX21+IF(AND($C21=49,$U21=1),1,0)</f>
        <v/>
      </c>
      <c r="VY22">
        <f>VY21+IF(AND($C21=50,$U21=1),1,0)</f>
        <v/>
      </c>
      <c r="VZ22">
        <f>VZ21+IF(AND($C21=51,$U21=1),1,0)</f>
        <v/>
      </c>
      <c r="WA22">
        <f>WA21+IF(AND($C21=52,$U21=1),1,0)</f>
        <v/>
      </c>
      <c r="WB22">
        <f>WB21+IF(AND($C21=53,$U21=1),1,0)</f>
        <v/>
      </c>
      <c r="WC22">
        <f>WC21+IF(AND($C21=54,$U21=1),1,0)</f>
        <v/>
      </c>
      <c r="WD22">
        <f>WD21+IF(AND($C21=55,$U21=1),1,0)</f>
        <v/>
      </c>
      <c r="WE22">
        <f>WE21+IF(AND($C21=56,$U21=1),1,0)</f>
        <v/>
      </c>
      <c r="WF22">
        <f>WF21+IF(AND($C21=57,$U21=1),1,0)</f>
        <v/>
      </c>
      <c r="WG22">
        <f>WG21+IF(AND($C21=58,$U21=1),1,0)</f>
        <v/>
      </c>
      <c r="WH22">
        <f>WH21+IF(AND($C21=59,$U21=1),1,0)</f>
        <v/>
      </c>
      <c r="WI22">
        <f>WI21+IF(AND($C21=60,$U21=1),1,0)</f>
        <v/>
      </c>
      <c r="WJ22">
        <f>WJ21+IF(AND($C21=61,$U21=1),1,0)</f>
        <v/>
      </c>
      <c r="WK22">
        <f>WK21+IF(AND($C21=62,$U21=1),1,0)</f>
        <v/>
      </c>
      <c r="WL22">
        <f>WL21+IF(AND($C21=63,$U21=1),1,0)</f>
        <v/>
      </c>
      <c r="WM22">
        <f>WM21+IF(AND($C21=64,$U21=1),1,0)</f>
        <v/>
      </c>
      <c r="WN22">
        <f>WN21+IF(AND($C21=65,$U21=1),1,0)</f>
        <v/>
      </c>
      <c r="WO22">
        <f>WO21+IF(AND($C21=66,$U21=1),1,0)</f>
        <v/>
      </c>
      <c r="WP22">
        <f>WP21+IF(AND($C21=67,$U21=1),1,0)</f>
        <v/>
      </c>
      <c r="WQ22">
        <f>WQ21+IF(AND($C21=68,$U21=1),1,0)</f>
        <v/>
      </c>
      <c r="WR22">
        <f>WR21+IF(AND($C21=69,$U21=1),1,0)</f>
        <v/>
      </c>
      <c r="WS22">
        <f>WS21+IF(AND($C21=70,$U21=1),1,0)</f>
        <v/>
      </c>
      <c r="WT22">
        <f>WT21+IF(AND($C21=71,$U21=1),1,0)</f>
        <v/>
      </c>
      <c r="WU22">
        <f>WU21+IF(AND($C21=72,$U21=1),1,0)</f>
        <v/>
      </c>
      <c r="WV22">
        <f>WV21+IF(AND($C21=73,$U21=1),1,0)</f>
        <v/>
      </c>
      <c r="WW22">
        <f>WW21+IF(AND($C21=74,$U21=1),1,0)</f>
        <v/>
      </c>
      <c r="WX22">
        <f>WX21+IF(AND($C21=75,$U21=1),1,0)</f>
        <v/>
      </c>
      <c r="WY22">
        <f>WY21+IF(AND($C21=76,$U21=1),1,0)</f>
        <v/>
      </c>
      <c r="WZ22">
        <f>WZ21+IF(AND($C21=77,$U21=1),1,0)</f>
        <v/>
      </c>
      <c r="XA22">
        <f>XA21+IF(AND($C21=78,$U21=1),1,0)</f>
        <v/>
      </c>
      <c r="XB22">
        <f>XB21+IF(AND($C21=79,$U21=1),1,0)</f>
        <v/>
      </c>
      <c r="XC22">
        <f>XC21+IF(AND($C21=80,$U21=1),1,0)</f>
        <v/>
      </c>
      <c r="XD22">
        <f>XD21+IF(AND($C21=81,$U21=1),1,0)</f>
        <v/>
      </c>
      <c r="XE22">
        <f>XE21+IF(AND($C21=82,$U21=1),1,0)</f>
        <v/>
      </c>
      <c r="XF22">
        <f>XF21+IF(AND($C21=83,$U21=1),1,0)</f>
        <v/>
      </c>
      <c r="XG22">
        <f>XG21+IF(AND($C21=84,$U21=1),1,0)</f>
        <v/>
      </c>
      <c r="XH22">
        <f>XH21+IF(AND($C21=85,$U21=1),1,0)</f>
        <v/>
      </c>
      <c r="XI22">
        <f>XI21+IF(AND($C21=86,$U21=1),1,0)</f>
        <v/>
      </c>
      <c r="XJ22">
        <f>XJ21+IF(AND($C21=87,$U21=1),1,0)</f>
        <v/>
      </c>
      <c r="XK22">
        <f>XK21+IF(AND($C21=88,$U21=1),1,0)</f>
        <v/>
      </c>
      <c r="XL22">
        <f>XL21+IF(AND($C21=89,$U21=1),1,0)</f>
        <v/>
      </c>
      <c r="XM22">
        <f>XM21+IF(AND($C21=90,$U21=1),1,0)</f>
        <v/>
      </c>
      <c r="XN22">
        <f>XN21+IF(AND($C21=91,$U21=1),1,0)</f>
        <v/>
      </c>
      <c r="XO22">
        <f>XO21+IF(AND($C21=92,$U21=1),1,0)</f>
        <v/>
      </c>
      <c r="XP22">
        <f>XP21+IF(AND($C21=93,$U21=1),1,0)</f>
        <v/>
      </c>
      <c r="XQ22">
        <f>XQ21+IF(AND($C21=94,$U21=1),1,0)</f>
        <v/>
      </c>
      <c r="XR22">
        <f>XR21+IF(AND($C21=95,$U21=1),1,0)</f>
        <v/>
      </c>
      <c r="XS22">
        <f>XS21+IF(AND($C21=96,$U21=1),1,0)</f>
        <v/>
      </c>
      <c r="XT22">
        <f>XT21+IF(AND($C21=97,$U21=1),1,0)</f>
        <v/>
      </c>
      <c r="XU22">
        <f>XU21+IF(AND($C21=98,$U21=1),1,0)</f>
        <v/>
      </c>
      <c r="XV22">
        <f>XV21+IF(AND($C21=99,$U21=1),1,0)</f>
        <v/>
      </c>
      <c r="XW22">
        <f>XW21+IF(AND($C21=100,$U21=1),1,0)</f>
        <v/>
      </c>
      <c r="XX22">
        <f>XX21+IF(AND($C21=101,$U21=1),1,0)</f>
        <v/>
      </c>
      <c r="XY22">
        <f>XY21+IF(AND($C21=102,$U21=1),1,0)</f>
        <v/>
      </c>
      <c r="XZ22">
        <f>XZ21+IF(AND($C21=103,$U21=1),1,0)</f>
        <v/>
      </c>
      <c r="YA22">
        <f>YA21+IF(AND($C21=104,$U21=1),1,0)</f>
        <v/>
      </c>
      <c r="YB22">
        <f>YB21+IF(AND($C21=105,$U21=1),1,0)</f>
        <v/>
      </c>
      <c r="YC22">
        <f>YC21+IF(AND($C21=106,$U21=1),1,0)</f>
        <v/>
      </c>
      <c r="YD22">
        <f>YD21+IF(AND($C21=107,$U21=1),1,0)</f>
        <v/>
      </c>
      <c r="YE22">
        <f>YE21+IF(AND($C21=108,$U21=1),1,0)</f>
        <v/>
      </c>
      <c r="YF22">
        <f>YF21+IF(AND($C21=109,$U21=1),1,0)</f>
        <v/>
      </c>
      <c r="YG22">
        <f>YG21+IF(AND($C21=110,$U21=1),1,0)</f>
        <v/>
      </c>
      <c r="YH22">
        <f>YH21+IF(AND($C21=111,$U21=1),1,0)</f>
        <v/>
      </c>
      <c r="YI22">
        <f>YI21+IF(AND($C21=112,$U21=1),1,0)</f>
        <v/>
      </c>
      <c r="YJ22">
        <f>YJ21+IF(AND($C21=113,$U21=1),1,0)</f>
        <v/>
      </c>
      <c r="YK22">
        <f>YK21+IF(AND($C21=114,$U21=1),1,0)</f>
        <v/>
      </c>
      <c r="YL22">
        <f>YL21+IF(AND($C21=115,$U21=1),1,0)</f>
        <v/>
      </c>
      <c r="YM22">
        <f>YM21+IF(AND($C21=116,$U21=1),1,0)</f>
        <v/>
      </c>
      <c r="YN22">
        <f>YN21+IF(AND($C21=117,$U21=1),1,0)</f>
        <v/>
      </c>
      <c r="YO22">
        <f>YO21+IF(AND($C21=118,$U21=1),1,0)</f>
        <v/>
      </c>
      <c r="YP22">
        <f>YP21+IF(AND($C21=119,$U21=1),1,0)</f>
        <v/>
      </c>
      <c r="YQ22">
        <f>YQ21+IF(AND($C21=120,$U21=1),1,0)</f>
        <v/>
      </c>
      <c r="YR22">
        <f>YR21+IF(AND($C21=121,$U21=1),1,0)</f>
        <v/>
      </c>
      <c r="YS22">
        <f>YS21+IF(AND($C21=122,$U21=1),1,0)</f>
        <v/>
      </c>
      <c r="YT22">
        <f>YT21+IF(AND($C21=123,$U21=1),1,0)</f>
        <v/>
      </c>
      <c r="YU22">
        <f>YU21+IF(AND($C21=124,$U21=1),1,0)</f>
        <v/>
      </c>
      <c r="YV22">
        <f>YV21+IF(AND($C21=125,$U21=1),1,0)</f>
        <v/>
      </c>
      <c r="YW22">
        <f>YW21+IF(AND($C21=126,$U21=1),1,0)</f>
        <v/>
      </c>
      <c r="YX22">
        <f>YX21+IF(AND($C21=127,$U21=1),1,0)</f>
        <v/>
      </c>
      <c r="YY22">
        <f>YY21+IF(AND($C21=128,$U21=1),1,0)</f>
        <v/>
      </c>
      <c r="YZ22">
        <f>YZ21+IF(AND($C21=129,$U21=1),1,0)</f>
        <v/>
      </c>
      <c r="ZA22">
        <f>ZA21+IF(AND($C21=130,$U21=1),1,0)</f>
        <v/>
      </c>
      <c r="ZB22">
        <f>ZB21+IF(AND($C21=131,$U21=1),1,0)</f>
        <v/>
      </c>
      <c r="ZC22">
        <f>ZC21+IF(AND($C21=132,$U21=1),1,0)</f>
        <v/>
      </c>
      <c r="ZD22">
        <f>ZD21+IF(AND($C21=133,$U21=1),1,0)</f>
        <v/>
      </c>
      <c r="ZE22">
        <f>ZE21+IF(AND($C21=134,$U21=1),1,0)</f>
        <v/>
      </c>
      <c r="ZF22">
        <f>ZF21+IF(AND($C21=135,$U21=1),1,0)</f>
        <v/>
      </c>
      <c r="ZG22">
        <f>ZG21+IF(AND($C21=136,$U21=1),1,0)</f>
        <v/>
      </c>
      <c r="ZH22">
        <f>ZH21+IF(AND($C21=137,$U21=1),1,0)</f>
        <v/>
      </c>
      <c r="ZI22">
        <f>ZI21+IF(AND($C21=138,$U21=1),1,0)</f>
        <v/>
      </c>
      <c r="ZJ22">
        <f>ZJ21+IF(AND($C21=139,$U21=1),1,0)</f>
        <v/>
      </c>
      <c r="ZK22">
        <f>ZK21+IF(AND($C21=140,$U21=1),1,0)</f>
        <v/>
      </c>
      <c r="ZL22">
        <f>ZL21+IF(AND($C21=141,$U21=1),1,0)</f>
        <v/>
      </c>
      <c r="ZM22">
        <f>ZM21+IF(AND($C21=142,$U21=1),1,0)</f>
        <v/>
      </c>
      <c r="ZN22">
        <f>ZN21+IF(AND($C21=143,$U21=1),1,0)</f>
        <v/>
      </c>
      <c r="ZO22">
        <f>ZO21+IF(AND($C21=144,$U21=1),1,0)</f>
        <v/>
      </c>
      <c r="ZQ22">
        <f>IF($C21=1,0,ZQ21+IF(AND($G21=1,$E21=1),1,0))</f>
        <v/>
      </c>
      <c r="ZR22">
        <f>IF($C21=2,0,ZR21+IF(AND($G21=2,$E21=1),1,0))</f>
        <v/>
      </c>
      <c r="ZS22">
        <f>IF($C21=3,0,ZS21+IF(AND($G21=3,$E21=1),1,0))</f>
        <v/>
      </c>
      <c r="ZT22">
        <f>IF($C21=4,0,ZT21+IF(AND($G21=4,$E21=1),1,0))</f>
        <v/>
      </c>
      <c r="ZU22">
        <f>IF($C21=5,0,ZU21+IF(AND($G21=5,$E21=1),1,0))</f>
        <v/>
      </c>
      <c r="ZV22">
        <f>IF($C21=6,0,ZV21+IF(AND($G21=6,$E21=1),1,0))</f>
        <v/>
      </c>
      <c r="ZW22">
        <f>IF($C21=7,0,ZW21+IF(AND($G21=7,$E21=1),1,0))</f>
        <v/>
      </c>
      <c r="ZX22">
        <f>IF($C21=8,0,ZX21+IF(AND($G21=8,$E21=1),1,0))</f>
        <v/>
      </c>
      <c r="ZY22">
        <f>IF($C21=9,0,ZY21+IF(AND($G21=9,$E21=1),1,0))</f>
        <v/>
      </c>
      <c r="ZZ22">
        <f>IF($C21=10,0,ZZ21+IF(AND($G21=10,$E21=1),1,0))</f>
        <v/>
      </c>
      <c r="AAA22">
        <f>IF($C21=11,0,AAA21+IF(AND($G21=11,$E21=1),1,0))</f>
        <v/>
      </c>
      <c r="AAB22">
        <f>IF($C21=12,0,AAB21+IF(AND($G21=12,$E21=1),1,0))</f>
        <v/>
      </c>
      <c r="AAC22">
        <f>IF($C21=13,0,AAC21+IF(AND($G21=13,$E21=1),1,0))</f>
        <v/>
      </c>
      <c r="AAD22">
        <f>IF($C21=14,0,AAD21+IF(AND($G21=14,$E21=1),1,0))</f>
        <v/>
      </c>
      <c r="AAE22">
        <f>IF($C21=15,0,AAE21+IF(AND($G21=15,$E21=1),1,0))</f>
        <v/>
      </c>
      <c r="AAF22">
        <f>IF($C21=16,0,AAF21+IF(AND($G21=16,$E21=1),1,0))</f>
        <v/>
      </c>
      <c r="AAG22">
        <f>IF($C21=17,0,AAG21+IF(AND($G21=17,$E21=1),1,0))</f>
        <v/>
      </c>
      <c r="AAH22">
        <f>IF($C21=18,0,AAH21+IF(AND($G21=18,$E21=1),1,0))</f>
        <v/>
      </c>
      <c r="AAI22">
        <f>IF($C21=19,0,AAI21+IF(AND($G21=19,$E21=1),1,0))</f>
        <v/>
      </c>
      <c r="AAJ22">
        <f>IF($C21=20,0,AAJ21+IF(AND($G21=20,$E21=1),1,0))</f>
        <v/>
      </c>
      <c r="AAK22">
        <f>IF($C21=21,0,AAK21+IF(AND($G21=21,$E21=1),1,0))</f>
        <v/>
      </c>
      <c r="AAL22">
        <f>IF($C21=22,0,AAL21+IF(AND($G21=22,$E21=1),1,0))</f>
        <v/>
      </c>
      <c r="AAM22">
        <f>IF($C21=23,0,AAM21+IF(AND($G21=23,$E21=1),1,0))</f>
        <v/>
      </c>
      <c r="AAN22">
        <f>IF($C21=24,0,AAN21+IF(AND($G21=24,$E21=1),1,0))</f>
        <v/>
      </c>
      <c r="AAO22">
        <f>IF($C21=25,0,AAO21+IF(AND($G21=25,$E21=1),1,0))</f>
        <v/>
      </c>
      <c r="AAP22">
        <f>IF($C21=26,0,AAP21+IF(AND($G21=26,$E21=1),1,0))</f>
        <v/>
      </c>
      <c r="AAQ22">
        <f>IF($C21=27,0,AAQ21+IF(AND($G21=27,$E21=1),1,0))</f>
        <v/>
      </c>
      <c r="AAR22">
        <f>IF($C21=28,0,AAR21+IF(AND($G21=28,$E21=1),1,0))</f>
        <v/>
      </c>
      <c r="AAS22">
        <f>IF($C21=29,0,AAS21+IF(AND($G21=29,$E21=1),1,0))</f>
        <v/>
      </c>
      <c r="AAT22">
        <f>IF($C21=30,0,AAT21+IF(AND($G21=30,$E21=1),1,0))</f>
        <v/>
      </c>
      <c r="AAU22">
        <f>IF($C21=31,0,AAU21+IF(AND($G21=31,$E21=1),1,0))</f>
        <v/>
      </c>
      <c r="AAV22">
        <f>IF($C21=32,0,AAV21+IF(AND($G21=32,$E21=1),1,0))</f>
        <v/>
      </c>
      <c r="AAW22">
        <f>IF($C21=33,0,AAW21+IF(AND($G21=33,$E21=1),1,0))</f>
        <v/>
      </c>
      <c r="AAX22">
        <f>IF($C21=34,0,AAX21+IF(AND($G21=34,$E21=1),1,0))</f>
        <v/>
      </c>
      <c r="AAY22">
        <f>IF($C21=35,0,AAY21+IF(AND($G21=35,$E21=1),1,0))</f>
        <v/>
      </c>
      <c r="AAZ22">
        <f>IF($C21=36,0,AAZ21+IF(AND($G21=36,$E21=1),1,0))</f>
        <v/>
      </c>
      <c r="ABA22">
        <f>IF($C21=37,0,ABA21+IF(AND($G21=37,$E21=1),1,0))</f>
        <v/>
      </c>
      <c r="ABB22">
        <f>IF($C21=38,0,ABB21+IF(AND($G21=38,$E21=1),1,0))</f>
        <v/>
      </c>
      <c r="ABC22">
        <f>IF($C21=39,0,ABC21+IF(AND($G21=39,$E21=1),1,0))</f>
        <v/>
      </c>
      <c r="ABD22">
        <f>IF($C21=40,0,ABD21+IF(AND($G21=40,$E21=1),1,0))</f>
        <v/>
      </c>
      <c r="ABE22">
        <f>IF($C21=41,0,ABE21+IF(AND($G21=41,$E21=1),1,0))</f>
        <v/>
      </c>
      <c r="ABF22">
        <f>IF($C21=42,0,ABF21+IF(AND($G21=42,$E21=1),1,0))</f>
        <v/>
      </c>
      <c r="ABG22">
        <f>IF($C21=43,0,ABG21+IF(AND($G21=43,$E21=1),1,0))</f>
        <v/>
      </c>
      <c r="ABH22">
        <f>IF($C21=44,0,ABH21+IF(AND($G21=44,$E21=1),1,0))</f>
        <v/>
      </c>
      <c r="ABI22">
        <f>IF($C21=45,0,ABI21+IF(AND($G21=45,$E21=1),1,0))</f>
        <v/>
      </c>
      <c r="ABJ22">
        <f>IF($C21=46,0,ABJ21+IF(AND($G21=46,$E21=1),1,0))</f>
        <v/>
      </c>
      <c r="ABK22">
        <f>IF($C21=47,0,ABK21+IF(AND($G21=47,$E21=1),1,0))</f>
        <v/>
      </c>
      <c r="ABL22">
        <f>IF($C21=48,0,ABL21+IF(AND($G21=48,$E21=1),1,0))</f>
        <v/>
      </c>
      <c r="ABM22">
        <f>IF($C21=49,0,ABM21+IF(AND($G21=49,$E21=1),1,0))</f>
        <v/>
      </c>
      <c r="ABN22">
        <f>IF($C21=50,0,ABN21+IF(AND($G21=50,$E21=1),1,0))</f>
        <v/>
      </c>
      <c r="ABO22">
        <f>IF($C21=51,0,ABO21+IF(AND($G21=51,$E21=1),1,0))</f>
        <v/>
      </c>
      <c r="ABP22">
        <f>IF($C21=52,0,ABP21+IF(AND($G21=52,$E21=1),1,0))</f>
        <v/>
      </c>
      <c r="ABQ22">
        <f>IF($C21=53,0,ABQ21+IF(AND($G21=53,$E21=1),1,0))</f>
        <v/>
      </c>
      <c r="ABR22">
        <f>IF($C21=54,0,ABR21+IF(AND($G21=54,$E21=1),1,0))</f>
        <v/>
      </c>
      <c r="ABS22">
        <f>IF($C21=55,0,ABS21+IF(AND($G21=55,$E21=1),1,0))</f>
        <v/>
      </c>
      <c r="ABT22">
        <f>IF($C21=56,0,ABT21+IF(AND($G21=56,$E21=1),1,0))</f>
        <v/>
      </c>
      <c r="ABU22">
        <f>IF($C21=57,0,ABU21+IF(AND($G21=57,$E21=1),1,0))</f>
        <v/>
      </c>
      <c r="ABV22">
        <f>IF($C21=58,0,ABV21+IF(AND($G21=58,$E21=1),1,0))</f>
        <v/>
      </c>
      <c r="ABW22">
        <f>IF($C21=59,0,ABW21+IF(AND($G21=59,$E21=1),1,0))</f>
        <v/>
      </c>
      <c r="ABX22">
        <f>IF($C21=60,0,ABX21+IF(AND($G21=60,$E21=1),1,0))</f>
        <v/>
      </c>
      <c r="ABY22">
        <f>IF($C21=61,0,ABY21+IF(AND($G21=61,$E21=1),1,0))</f>
        <v/>
      </c>
      <c r="ABZ22">
        <f>IF($C21=62,0,ABZ21+IF(AND($G21=62,$E21=1),1,0))</f>
        <v/>
      </c>
      <c r="ACA22">
        <f>IF($C21=63,0,ACA21+IF(AND($G21=63,$E21=1),1,0))</f>
        <v/>
      </c>
      <c r="ACB22">
        <f>IF($C21=64,0,ACB21+IF(AND($G21=64,$E21=1),1,0))</f>
        <v/>
      </c>
      <c r="ACC22">
        <f>IF($C21=65,0,ACC21+IF(AND($G21=65,$E21=1),1,0))</f>
        <v/>
      </c>
      <c r="ACD22">
        <f>IF($C21=66,0,ACD21+IF(AND($G21=66,$E21=1),1,0))</f>
        <v/>
      </c>
      <c r="ACE22">
        <f>IF($C21=67,0,ACE21+IF(AND($G21=67,$E21=1),1,0))</f>
        <v/>
      </c>
      <c r="ACF22">
        <f>IF($C21=68,0,ACF21+IF(AND($G21=68,$E21=1),1,0))</f>
        <v/>
      </c>
      <c r="ACG22">
        <f>IF($C21=69,0,ACG21+IF(AND($G21=69,$E21=1),1,0))</f>
        <v/>
      </c>
      <c r="ACH22">
        <f>IF($C21=70,0,ACH21+IF(AND($G21=70,$E21=1),1,0))</f>
        <v/>
      </c>
      <c r="ACI22">
        <f>IF($C21=71,0,ACI21+IF(AND($G21=71,$E21=1),1,0))</f>
        <v/>
      </c>
      <c r="ACJ22">
        <f>IF($C21=72,0,ACJ21+IF(AND($G21=72,$E21=1),1,0))</f>
        <v/>
      </c>
      <c r="ACK22">
        <f>IF($C21=73,0,ACK21+IF(AND($G21=73,$E21=1),1,0))</f>
        <v/>
      </c>
      <c r="ACL22">
        <f>IF($C21=74,0,ACL21+IF(AND($G21=74,$E21=1),1,0))</f>
        <v/>
      </c>
      <c r="ACM22">
        <f>IF($C21=75,0,ACM21+IF(AND($G21=75,$E21=1),1,0))</f>
        <v/>
      </c>
      <c r="ACN22">
        <f>IF($C21=76,0,ACN21+IF(AND($G21=76,$E21=1),1,0))</f>
        <v/>
      </c>
      <c r="ACO22">
        <f>IF($C21=77,0,ACO21+IF(AND($G21=77,$E21=1),1,0))</f>
        <v/>
      </c>
      <c r="ACP22">
        <f>IF($C21=78,0,ACP21+IF(AND($G21=78,$E21=1),1,0))</f>
        <v/>
      </c>
      <c r="ACQ22">
        <f>IF($C21=79,0,ACQ21+IF(AND($G21=79,$E21=1),1,0))</f>
        <v/>
      </c>
      <c r="ACR22">
        <f>IF($C21=80,0,ACR21+IF(AND($G21=80,$E21=1),1,0))</f>
        <v/>
      </c>
      <c r="ACS22">
        <f>IF($C21=81,0,ACS21+IF(AND($G21=81,$E21=1),1,0))</f>
        <v/>
      </c>
      <c r="ACT22">
        <f>IF($C21=82,0,ACT21+IF(AND($G21=82,$E21=1),1,0))</f>
        <v/>
      </c>
      <c r="ACU22">
        <f>IF($C21=83,0,ACU21+IF(AND($G21=83,$E21=1),1,0))</f>
        <v/>
      </c>
      <c r="ACV22">
        <f>IF($C21=84,0,ACV21+IF(AND($G21=84,$E21=1),1,0))</f>
        <v/>
      </c>
      <c r="ACW22">
        <f>IF($C21=85,0,ACW21+IF(AND($G21=85,$E21=1),1,0))</f>
        <v/>
      </c>
      <c r="ACX22">
        <f>IF($C21=86,0,ACX21+IF(AND($G21=86,$E21=1),1,0))</f>
        <v/>
      </c>
      <c r="ACY22">
        <f>IF($C21=87,0,ACY21+IF(AND($G21=87,$E21=1),1,0))</f>
        <v/>
      </c>
      <c r="ACZ22">
        <f>IF($C21=88,0,ACZ21+IF(AND($G21=88,$E21=1),1,0))</f>
        <v/>
      </c>
      <c r="ADA22">
        <f>IF($C21=89,0,ADA21+IF(AND($G21=89,$E21=1),1,0))</f>
        <v/>
      </c>
      <c r="ADB22">
        <f>IF($C21=90,0,ADB21+IF(AND($G21=90,$E21=1),1,0))</f>
        <v/>
      </c>
      <c r="ADC22">
        <f>IF($C21=91,0,ADC21+IF(AND($G21=91,$E21=1),1,0))</f>
        <v/>
      </c>
      <c r="ADD22">
        <f>IF($C21=92,0,ADD21+IF(AND($G21=92,$E21=1),1,0))</f>
        <v/>
      </c>
      <c r="ADE22">
        <f>IF($C21=93,0,ADE21+IF(AND($G21=93,$E21=1),1,0))</f>
        <v/>
      </c>
      <c r="ADF22">
        <f>IF($C21=94,0,ADF21+IF(AND($G21=94,$E21=1),1,0))</f>
        <v/>
      </c>
      <c r="ADG22">
        <f>IF($C21=95,0,ADG21+IF(AND($G21=95,$E21=1),1,0))</f>
        <v/>
      </c>
      <c r="ADH22">
        <f>IF($C21=96,0,ADH21+IF(AND($G21=96,$E21=1),1,0))</f>
        <v/>
      </c>
      <c r="ADI22">
        <f>IF($C21=97,0,ADI21+IF(AND($G21=97,$E21=1),1,0))</f>
        <v/>
      </c>
      <c r="ADJ22">
        <f>IF($C21=98,0,ADJ21+IF(AND($G21=98,$E21=1),1,0))</f>
        <v/>
      </c>
      <c r="ADK22">
        <f>IF($C21=99,0,ADK21+IF(AND($G21=99,$E21=1),1,0))</f>
        <v/>
      </c>
      <c r="ADL22">
        <f>IF($C21=100,0,ADL21+IF(AND($G21=100,$E21=1),1,0))</f>
        <v/>
      </c>
      <c r="ADM22">
        <f>IF($C21=101,0,ADM21+IF(AND($G21=101,$E21=1),1,0))</f>
        <v/>
      </c>
      <c r="ADN22">
        <f>IF($C21=102,0,ADN21+IF(AND($G21=102,$E21=1),1,0))</f>
        <v/>
      </c>
      <c r="ADO22">
        <f>IF($C21=103,0,ADO21+IF(AND($G21=103,$E21=1),1,0))</f>
        <v/>
      </c>
      <c r="ADP22">
        <f>IF($C21=104,0,ADP21+IF(AND($G21=104,$E21=1),1,0))</f>
        <v/>
      </c>
      <c r="ADQ22">
        <f>IF($C21=105,0,ADQ21+IF(AND($G21=105,$E21=1),1,0))</f>
        <v/>
      </c>
      <c r="ADR22">
        <f>IF($C21=106,0,ADR21+IF(AND($G21=106,$E21=1),1,0))</f>
        <v/>
      </c>
      <c r="ADS22">
        <f>IF($C21=107,0,ADS21+IF(AND($G21=107,$E21=1),1,0))</f>
        <v/>
      </c>
      <c r="ADT22">
        <f>IF($C21=108,0,ADT21+IF(AND($G21=108,$E21=1),1,0))</f>
        <v/>
      </c>
      <c r="ADU22">
        <f>IF($C21=109,0,ADU21+IF(AND($G21=109,$E21=1),1,0))</f>
        <v/>
      </c>
      <c r="ADV22">
        <f>IF($C21=110,0,ADV21+IF(AND($G21=110,$E21=1),1,0))</f>
        <v/>
      </c>
      <c r="ADW22">
        <f>IF($C21=111,0,ADW21+IF(AND($G21=111,$E21=1),1,0))</f>
        <v/>
      </c>
      <c r="ADX22">
        <f>IF($C21=112,0,ADX21+IF(AND($G21=112,$E21=1),1,0))</f>
        <v/>
      </c>
      <c r="ADY22">
        <f>IF($C21=113,0,ADY21+IF(AND($G21=113,$E21=1),1,0))</f>
        <v/>
      </c>
      <c r="ADZ22">
        <f>IF($C21=114,0,ADZ21+IF(AND($G21=114,$E21=1),1,0))</f>
        <v/>
      </c>
      <c r="AEA22">
        <f>IF($C21=115,0,AEA21+IF(AND($G21=115,$E21=1),1,0))</f>
        <v/>
      </c>
      <c r="AEB22">
        <f>IF($C21=116,0,AEB21+IF(AND($G21=116,$E21=1),1,0))</f>
        <v/>
      </c>
      <c r="AEC22">
        <f>IF($C21=117,0,AEC21+IF(AND($G21=117,$E21=1),1,0))</f>
        <v/>
      </c>
      <c r="AED22">
        <f>IF($C21=118,0,AED21+IF(AND($G21=118,$E21=1),1,0))</f>
        <v/>
      </c>
      <c r="AEE22">
        <f>IF($C21=119,0,AEE21+IF(AND($G21=119,$E21=1),1,0))</f>
        <v/>
      </c>
      <c r="AEF22">
        <f>IF($C21=120,0,AEF21+IF(AND($G21=120,$E21=1),1,0))</f>
        <v/>
      </c>
      <c r="AEG22">
        <f>IF($C21=121,0,AEG21+IF(AND($G21=121,$E21=1),1,0))</f>
        <v/>
      </c>
      <c r="AEH22">
        <f>IF($C21=122,0,AEH21+IF(AND($G21=122,$E21=1),1,0))</f>
        <v/>
      </c>
      <c r="AEI22">
        <f>IF($C21=123,0,AEI21+IF(AND($G21=123,$E21=1),1,0))</f>
        <v/>
      </c>
      <c r="AEJ22">
        <f>IF($C21=124,0,AEJ21+IF(AND($G21=124,$E21=1),1,0))</f>
        <v/>
      </c>
      <c r="AEK22">
        <f>IF($C21=125,0,AEK21+IF(AND($G21=125,$E21=1),1,0))</f>
        <v/>
      </c>
      <c r="AEL22">
        <f>IF($C21=126,0,AEL21+IF(AND($G21=126,$E21=1),1,0))</f>
        <v/>
      </c>
      <c r="AEM22">
        <f>IF($C21=127,0,AEM21+IF(AND($G21=127,$E21=1),1,0))</f>
        <v/>
      </c>
      <c r="AEN22">
        <f>IF($C21=128,0,AEN21+IF(AND($G21=128,$E21=1),1,0))</f>
        <v/>
      </c>
      <c r="AEO22">
        <f>IF($C21=129,0,AEO21+IF(AND($G21=129,$E21=1),1,0))</f>
        <v/>
      </c>
      <c r="AEP22">
        <f>IF($C21=130,0,AEP21+IF(AND($G21=130,$E21=1),1,0))</f>
        <v/>
      </c>
      <c r="AEQ22">
        <f>IF($C21=131,0,AEQ21+IF(AND($G21=131,$E21=1),1,0))</f>
        <v/>
      </c>
      <c r="AER22">
        <f>IF($C21=132,0,AER21+IF(AND($G21=132,$E21=1),1,0))</f>
        <v/>
      </c>
      <c r="AES22">
        <f>IF($C21=133,0,AES21+IF(AND($G21=133,$E21=1),1,0))</f>
        <v/>
      </c>
      <c r="AET22">
        <f>IF($C21=134,0,AET21+IF(AND($G21=134,$E21=1),1,0))</f>
        <v/>
      </c>
      <c r="AEU22">
        <f>IF($C21=135,0,AEU21+IF(AND($G21=135,$E21=1),1,0))</f>
        <v/>
      </c>
      <c r="AEV22">
        <f>IF($C21=136,0,AEV21+IF(AND($G21=136,$E21=1),1,0))</f>
        <v/>
      </c>
      <c r="AEW22">
        <f>IF($C21=137,0,AEW21+IF(AND($G21=137,$E21=1),1,0))</f>
        <v/>
      </c>
      <c r="AEX22">
        <f>IF($C21=138,0,AEX21+IF(AND($G21=138,$E21=1),1,0))</f>
        <v/>
      </c>
      <c r="AEY22">
        <f>IF($C21=139,0,AEY21+IF(AND($G21=139,$E21=1),1,0))</f>
        <v/>
      </c>
      <c r="AEZ22">
        <f>IF($C21=140,0,AEZ21+IF(AND($G21=140,$E21=1),1,0))</f>
        <v/>
      </c>
      <c r="AFA22">
        <f>IF($C21=141,0,AFA21+IF(AND($G21=141,$E21=1),1,0))</f>
        <v/>
      </c>
      <c r="AFB22">
        <f>IF($C21=142,0,AFB21+IF(AND($G21=142,$E21=1),1,0))</f>
        <v/>
      </c>
      <c r="AFC22">
        <f>IF($C21=143,0,AFC21+IF(AND($G21=143,$E21=1),1,0))</f>
        <v/>
      </c>
      <c r="AFD22">
        <f>IF($C21=144,0,AFD21+IF(AND($G21=144,$E21=1),1,0))</f>
        <v/>
      </c>
      <c r="AFF22">
        <f>IF('calcA'!D$106=1,DC22+ZR22,1)</f>
        <v/>
      </c>
      <c r="AFG22">
        <f>IF('calcA'!E$106=1,DD22+ZS22,1)</f>
        <v/>
      </c>
      <c r="AFH22">
        <f>IF('calcA'!F$106=1,DE22+ZT22,1)</f>
        <v/>
      </c>
      <c r="AFI22">
        <f>IF('calcA'!G$106=1,DF22+ZU22,1)</f>
        <v/>
      </c>
      <c r="AFJ22">
        <f>IF('calcA'!H$106=1,DG22+ZV22,1)</f>
        <v/>
      </c>
      <c r="AFK22">
        <f>IF('calcA'!I$106=1,DH22+ZW22,1)</f>
        <v/>
      </c>
      <c r="AFL22">
        <f>IF('calcA'!J$106=1,DI22+ZX22,1)</f>
        <v/>
      </c>
      <c r="AFM22">
        <f>IF('calcA'!K$106=1,DJ22+ZY22,1)</f>
        <v/>
      </c>
      <c r="AFN22">
        <f>IF('calcA'!L$106=1,DK22+ZZ22,1)</f>
        <v/>
      </c>
      <c r="AFO22">
        <f>IF('calcA'!M$106=1,DL22+AAA22,1)</f>
        <v/>
      </c>
      <c r="AFP22">
        <f>IF('calcA'!N$106=1,DM22+AAB22,1)</f>
        <v/>
      </c>
      <c r="AFQ22">
        <f>IF('calcA'!O$106=1,DN22+AAC22,1)</f>
        <v/>
      </c>
      <c r="AFR22">
        <f>IF('calcA'!P$106=1,DO22+AAD22,1)</f>
        <v/>
      </c>
      <c r="AFS22">
        <f>IF('calcA'!Q$106=1,DP22+AAE22,1)</f>
        <v/>
      </c>
      <c r="AFT22">
        <f>IF('calcA'!R$106=1,DQ22+AAF22,1)</f>
        <v/>
      </c>
      <c r="AFU22">
        <f>IF('calcA'!S$106=1,DR22+AAG22,1)</f>
        <v/>
      </c>
      <c r="AFV22">
        <f>IF('calcA'!T$106=1,DS22+AAH22,1)</f>
        <v/>
      </c>
      <c r="AFW22">
        <f>IF('calcA'!U$106=1,DT22+AAI22,1)</f>
        <v/>
      </c>
      <c r="AFX22">
        <f>IF('calcA'!V$106=1,DU22+AAJ22,1)</f>
        <v/>
      </c>
      <c r="AFY22">
        <f>IF('calcA'!W$106=1,DV22+AAK22,1)</f>
        <v/>
      </c>
      <c r="AFZ22">
        <f>IF('calcA'!X$106=1,DW22+AAL22,1)</f>
        <v/>
      </c>
      <c r="AGA22">
        <f>IF('calcA'!Y$106=1,DX22+AAM22,1)</f>
        <v/>
      </c>
      <c r="AGB22">
        <f>IF('calcA'!Z$106=1,DY22+AAN22,1)</f>
        <v/>
      </c>
      <c r="AGC22">
        <f>IF('calcA'!AA$106=1,DZ22+AAO22,1)</f>
        <v/>
      </c>
      <c r="AGD22">
        <f>IF('calcA'!AB$106=1,EA22+AAP22,1)</f>
        <v/>
      </c>
      <c r="AGE22">
        <f>IF('calcA'!AC$106=1,EB22+AAQ22,1)</f>
        <v/>
      </c>
      <c r="AGF22">
        <f>IF('calcA'!AD$106=1,EC22+AAR22,1)</f>
        <v/>
      </c>
      <c r="AGG22">
        <f>IF('calcA'!AE$106=1,ED22+AAS22,1)</f>
        <v/>
      </c>
      <c r="AGH22">
        <f>IF('calcA'!AF$106=1,EE22+AAT22,1)</f>
        <v/>
      </c>
      <c r="AGI22">
        <f>IF('calcA'!AG$106=1,EF22+AAU22,1)</f>
        <v/>
      </c>
      <c r="AGJ22">
        <f>IF('calcA'!AH$106=1,EG22+AAV22,1)</f>
        <v/>
      </c>
      <c r="AGK22">
        <f>IF('calcA'!AI$106=1,EH22+AAW22,1)</f>
        <v/>
      </c>
      <c r="AGL22">
        <f>IF('calcA'!AJ$106=1,EI22+AAX22,1)</f>
        <v/>
      </c>
      <c r="AGM22">
        <f>IF('calcA'!AK$106=1,EJ22+AAY22,1)</f>
        <v/>
      </c>
      <c r="AGN22">
        <f>IF('calcA'!AL$106=1,EK22+AAZ22,1)</f>
        <v/>
      </c>
      <c r="AGO22">
        <f>IF('calcA'!AM$106=1,EL22+ABA22,1)</f>
        <v/>
      </c>
      <c r="AGP22">
        <f>IF('calcA'!AN$106=1,EM22+ABB22,1)</f>
        <v/>
      </c>
      <c r="AGQ22">
        <f>IF('calcA'!AO$106=1,EN22+ABC22,1)</f>
        <v/>
      </c>
      <c r="AGR22">
        <f>IF('calcA'!AP$106=1,EO22+ABD22,1)</f>
        <v/>
      </c>
      <c r="AGS22">
        <f>IF('calcA'!AQ$106=1,EP22+ABE22,1)</f>
        <v/>
      </c>
      <c r="AGT22">
        <f>IF('calcA'!AR$106=1,EQ22+ABF22,1)</f>
        <v/>
      </c>
      <c r="AGU22">
        <f>IF('calcA'!AS$106=1,ER22+ABG22,1)</f>
        <v/>
      </c>
      <c r="AGV22">
        <f>IF('calcA'!AT$106=1,ES22+ABH22,1)</f>
        <v/>
      </c>
      <c r="AGW22">
        <f>IF('calcA'!AU$106=1,ET22+ABI22,1)</f>
        <v/>
      </c>
      <c r="AGX22">
        <f>IF('calcA'!AV$106=1,EU22+ABJ22,1)</f>
        <v/>
      </c>
      <c r="AGY22">
        <f>IF('calcA'!AW$106=1,EV22+ABK22,1)</f>
        <v/>
      </c>
      <c r="AGZ22">
        <f>IF('calcA'!AX$106=1,EW22+ABL22,1)</f>
        <v/>
      </c>
      <c r="AHA22">
        <f>IF('calcA'!AY$106=1,EX22+ABM22,1)</f>
        <v/>
      </c>
      <c r="AHB22">
        <f>IF('calcA'!AZ$106=1,EY22+ABN22,1)</f>
        <v/>
      </c>
      <c r="AHC22">
        <f>IF('calcA'!BA$106=1,EZ22+ABO22,1)</f>
        <v/>
      </c>
      <c r="AHD22">
        <f>IF('calcA'!BB$106=1,FA22+ABP22,1)</f>
        <v/>
      </c>
      <c r="AHE22">
        <f>IF('calcA'!BC$106=1,FB22+ABQ22,1)</f>
        <v/>
      </c>
      <c r="AHF22">
        <f>IF('calcA'!BD$106=1,FC22+ABR22,1)</f>
        <v/>
      </c>
      <c r="AHG22">
        <f>IF('calcA'!BE$106=1,FD22+ABS22,1)</f>
        <v/>
      </c>
      <c r="AHH22">
        <f>IF('calcA'!BF$106=1,FE22+ABT22,1)</f>
        <v/>
      </c>
      <c r="AHI22">
        <f>IF('calcA'!BG$106=1,FF22+ABU22,1)</f>
        <v/>
      </c>
      <c r="AHJ22">
        <f>IF('calcA'!BH$106=1,FG22+ABV22,1)</f>
        <v/>
      </c>
      <c r="AHK22">
        <f>IF('calcA'!BI$106=1,FH22+ABW22,1)</f>
        <v/>
      </c>
      <c r="AHL22">
        <f>IF('calcA'!BJ$106=1,FI22+ABX22,1)</f>
        <v/>
      </c>
      <c r="AHM22">
        <f>IF('calcA'!BK$106=1,FJ22+ABY22,1)</f>
        <v/>
      </c>
      <c r="AHN22">
        <f>IF('calcA'!BL$106=1,FK22+ABZ22,1)</f>
        <v/>
      </c>
      <c r="AHO22">
        <f>IF('calcA'!BM$106=1,FL22+ACA22,1)</f>
        <v/>
      </c>
      <c r="AHP22">
        <f>IF('calcA'!BN$106=1,FM22+ACB22,1)</f>
        <v/>
      </c>
      <c r="AHQ22">
        <f>IF('calcA'!BO$106=1,FN22+ACC22,1)</f>
        <v/>
      </c>
      <c r="AHR22">
        <f>IF('calcA'!BP$106=1,FO22+ACD22,1)</f>
        <v/>
      </c>
      <c r="AHS22">
        <f>IF('calcA'!BQ$106=1,FP22+ACE22,1)</f>
        <v/>
      </c>
      <c r="AHT22">
        <f>IF('calcA'!BR$106=1,FQ22+ACF22,1)</f>
        <v/>
      </c>
      <c r="AHU22">
        <f>IF('calcA'!BS$106=1,FR22+ACG22,1)</f>
        <v/>
      </c>
      <c r="AHV22">
        <f>IF('calcA'!BT$106=1,FS22+ACH22,1)</f>
        <v/>
      </c>
      <c r="AHW22">
        <f>IF('calcA'!BU$106=1,FT22+ACI22,1)</f>
        <v/>
      </c>
      <c r="AHX22">
        <f>IF('calcA'!BV$106=1,FU22+ACJ22,1)</f>
        <v/>
      </c>
      <c r="AHY22">
        <f>IF('calcA'!BW$106=1,FV22+ACK22,1)</f>
        <v/>
      </c>
      <c r="AHZ22">
        <f>IF('calcA'!BX$106=1,FW22+ACL22,1)</f>
        <v/>
      </c>
      <c r="AIA22">
        <f>IF('calcA'!BY$106=1,FX22+ACM22,1)</f>
        <v/>
      </c>
      <c r="AIB22">
        <f>IF('calcA'!BZ$106=1,FY22+ACN22,1)</f>
        <v/>
      </c>
      <c r="AIC22">
        <f>IF('calcA'!CA$106=1,FZ22+ACO22,1)</f>
        <v/>
      </c>
      <c r="AID22">
        <f>IF('calcA'!CB$106=1,GA22+ACP22,1)</f>
        <v/>
      </c>
      <c r="AIE22">
        <f>IF('calcA'!CC$106=1,GB22+ACQ22,1)</f>
        <v/>
      </c>
      <c r="AIF22">
        <f>IF('calcA'!CD$106=1,GC22+ACR22,1)</f>
        <v/>
      </c>
      <c r="AIG22">
        <f>IF('calcA'!CE$106=1,GD22+ACS22,1)</f>
        <v/>
      </c>
      <c r="AIH22">
        <f>IF('calcA'!CF$106=1,GE22+ACT22,1)</f>
        <v/>
      </c>
      <c r="AII22">
        <f>IF('calcA'!CG$106=1,GF22+ACU22,1)</f>
        <v/>
      </c>
      <c r="AIJ22">
        <f>IF('calcA'!CH$106=1,GG22+ACV22,1)</f>
        <v/>
      </c>
      <c r="AIK22">
        <f>IF('calcA'!CI$106=1,GH22+ACW22,1)</f>
        <v/>
      </c>
      <c r="AIL22">
        <f>IF('calcA'!CJ$106=1,GI22+ACX22,1)</f>
        <v/>
      </c>
      <c r="AIM22">
        <f>IF('calcA'!CK$106=1,GJ22+ACY22,1)</f>
        <v/>
      </c>
      <c r="AIN22">
        <f>IF('calcA'!CL$106=1,GK22+ACZ22,1)</f>
        <v/>
      </c>
      <c r="AIO22">
        <f>IF('calcA'!CM$106=1,GL22+ADA22,1)</f>
        <v/>
      </c>
      <c r="AIP22">
        <f>IF('calcA'!CN$106=1,GM22+ADB22,1)</f>
        <v/>
      </c>
      <c r="AIQ22">
        <f>IF('calcA'!CO$106=1,GN22+ADC22,1)</f>
        <v/>
      </c>
      <c r="AIR22">
        <f>IF('calcA'!CP$106=1,GO22+ADD22,1)</f>
        <v/>
      </c>
      <c r="AIS22">
        <f>IF('calcA'!CQ$106=1,GP22+ADE22,1)</f>
        <v/>
      </c>
      <c r="AIT22">
        <f>IF('calcA'!CR$106=1,GQ22+ADF22,1)</f>
        <v/>
      </c>
      <c r="AIU22">
        <f>IF('calcA'!CS$106=1,GR22+ADG22,1)</f>
        <v/>
      </c>
      <c r="AIV22">
        <f>IF('calcA'!CT$106=1,GS22+ADH22,1)</f>
        <v/>
      </c>
      <c r="AIW22">
        <f>IF('calcA'!CU$106=1,GT22+ADI22,1)</f>
        <v/>
      </c>
      <c r="AIX22">
        <f>IF('calcA'!CV$106=1,GU22+ADJ22,1)</f>
        <v/>
      </c>
      <c r="AIY22">
        <f>IF('calcA'!CW$106=1,GV22+ADK22,1)</f>
        <v/>
      </c>
      <c r="AIZ22">
        <f>IF('calcA'!CX$106=1,GW22+ADL22,1)</f>
        <v/>
      </c>
      <c r="AJA22">
        <f>IF('calcA'!CY$106=1,GX22+ADM22,1)</f>
        <v/>
      </c>
      <c r="AJB22">
        <f>IF('calcA'!CZ$106=1,GY22+ADN22,1)</f>
        <v/>
      </c>
      <c r="AJC22">
        <f>IF('calcA'!DA$106=1,GZ22+ADO22,1)</f>
        <v/>
      </c>
      <c r="AJD22">
        <f>IF('calcA'!DB$106=1,HA22+ADP22,1)</f>
        <v/>
      </c>
      <c r="AJE22">
        <f>IF('calcA'!DC$106=1,HB22+ADQ22,1)</f>
        <v/>
      </c>
      <c r="AJF22">
        <f>IF('calcA'!DD$106=1,HC22+ADR22,1)</f>
        <v/>
      </c>
      <c r="AJG22">
        <f>IF('calcA'!DE$106=1,HD22+ADS22,1)</f>
        <v/>
      </c>
      <c r="AJH22">
        <f>IF('calcA'!DF$106=1,HE22+ADT22,1)</f>
        <v/>
      </c>
      <c r="AJI22">
        <f>IF('calcA'!DG$106=1,HF22+ADU22,1)</f>
        <v/>
      </c>
      <c r="AJJ22">
        <f>IF('calcA'!DH$106=1,HG22+ADV22,1)</f>
        <v/>
      </c>
      <c r="AJK22">
        <f>IF('calcA'!DI$106=1,HH22+ADW22,1)</f>
        <v/>
      </c>
      <c r="AJL22">
        <f>IF('calcA'!DJ$106=1,HI22+ADX22,1)</f>
        <v/>
      </c>
      <c r="AJM22">
        <f>IF('calcA'!DK$106=1,HJ22+ADY22,1)</f>
        <v/>
      </c>
      <c r="AJN22">
        <f>IF('calcA'!DL$106=1,HK22+ADZ22,1)</f>
        <v/>
      </c>
      <c r="AJO22">
        <f>IF('calcA'!DM$106=1,HL22+AEA22,1)</f>
        <v/>
      </c>
      <c r="AJP22">
        <f>IF('calcA'!DN$106=1,HM22+AEB22,1)</f>
        <v/>
      </c>
      <c r="AJQ22">
        <f>IF('calcA'!DO$106=1,HN22+AEC22,1)</f>
        <v/>
      </c>
      <c r="AJR22">
        <f>IF('calcA'!DP$106=1,HO22+AED22,1)</f>
        <v/>
      </c>
      <c r="AJS22">
        <f>IF('calcA'!DQ$106=1,HP22+AEE22,1)</f>
        <v/>
      </c>
      <c r="AJT22">
        <f>IF('calcA'!DR$106=1,HQ22+AEF22,1)</f>
        <v/>
      </c>
      <c r="AJU22">
        <f>IF('calcA'!DS$106=1,HR22+AEG22,1)</f>
        <v/>
      </c>
      <c r="AJV22">
        <f>IF('calcA'!DT$106=1,HS22+AEH22,1)</f>
        <v/>
      </c>
      <c r="AJW22">
        <f>IF('calcA'!DU$106=1,HT22+AEI22,1)</f>
        <v/>
      </c>
      <c r="AJX22">
        <f>IF('calcA'!DV$106=1,HU22+AEJ22,1)</f>
        <v/>
      </c>
      <c r="AJY22">
        <f>IF('calcA'!DW$106=1,HV22+AEK22,1)</f>
        <v/>
      </c>
      <c r="AJZ22">
        <f>IF('calcA'!DX$106=1,HW22+AEL22,1)</f>
        <v/>
      </c>
      <c r="AKA22">
        <f>IF('calcA'!DY$106=1,HX22+AEM22,1)</f>
        <v/>
      </c>
      <c r="AKB22">
        <f>IF('calcA'!DZ$106=1,HY22+AEN22,1)</f>
        <v/>
      </c>
      <c r="AKC22">
        <f>IF('calcA'!EA$106=1,HZ22+AEO22,1)</f>
        <v/>
      </c>
      <c r="AKD22">
        <f>IF('calcA'!EB$106=1,IA22+AEP22,1)</f>
        <v/>
      </c>
      <c r="AKE22">
        <f>IF('calcA'!EC$106=1,IB22+AEQ22,1)</f>
        <v/>
      </c>
      <c r="AKF22">
        <f>IF('calcA'!ED$106=1,IC22+AER22,1)</f>
        <v/>
      </c>
      <c r="AKG22">
        <f>IF('calcA'!EE$106=1,ID22+AES22,1)</f>
        <v/>
      </c>
      <c r="AKH22">
        <f>IF('calcA'!EF$106=1,IE22+AET22,1)</f>
        <v/>
      </c>
      <c r="AKI22">
        <f>IF('calcA'!EG$106=1,IF22+AEU22,1)</f>
        <v/>
      </c>
      <c r="AKJ22">
        <f>IF('calcA'!EH$106=1,IG22+AEV22,1)</f>
        <v/>
      </c>
      <c r="AKK22">
        <f>IF('calcA'!EI$106=1,IH22+AEW22,1)</f>
        <v/>
      </c>
      <c r="AKL22">
        <f>IF('calcA'!EJ$106=1,II22+AEX22,1)</f>
        <v/>
      </c>
      <c r="AKM22">
        <f>IF('calcA'!EK$106=1,IJ22+AEY22,1)</f>
        <v/>
      </c>
      <c r="AKN22">
        <f>IF('calcA'!EL$106=1,IK22+AEZ22,1)</f>
        <v/>
      </c>
      <c r="AKO22">
        <f>IF('calcA'!EM$106=1,IL22+AFA22,1)</f>
        <v/>
      </c>
      <c r="AKP22">
        <f>IF('calcA'!EN$106=1,IM22+AFB22,1)</f>
        <v/>
      </c>
      <c r="AKQ22">
        <f>IF('calcA'!EO$106=1,IN22+AFC22,1)</f>
        <v/>
      </c>
      <c r="AKR22">
        <f>IF('calcA'!EP$106=1,IO22+AFD22,1)</f>
        <v/>
      </c>
      <c r="AKS22" t="n">
        <v>1</v>
      </c>
    </row>
    <row r="23">
      <c r="A23" t="n">
        <v>21</v>
      </c>
      <c r="B23">
        <f>IF(MIN(BM23:CZ23)&gt;=1000000000,0,MATCH(MIN(BM23:CZ23),BM23:CZ23,0))</f>
        <v/>
      </c>
      <c r="C23">
        <f>IF(MIN(OF23:TS23)&gt;=1000000000,0,MATCH(MIN(OF23:TS23),OF23:TS23,0))</f>
        <v/>
      </c>
      <c r="D23">
        <f>IF(C23&gt;0,INDEX('calcA'!$D$5:$EQ$5,C23),0)</f>
        <v/>
      </c>
      <c r="E23">
        <f>IF(B23=0,0,INDEX('calcA'!$IQ$10:$IQ$54,B23))</f>
        <v/>
      </c>
      <c r="F23">
        <f>IF(B23=0,0,INDEX('calcA'!$IP$10:$IP$54,B23))</f>
        <v/>
      </c>
      <c r="G23">
        <f>IF(AND(C23&gt;0,E23&gt;0),IF(AND(INDEX('calcA'!$D$106:$EQ$106,C23)=1,INDEX($IQ23:$OD23,C23)=1),C23+1,0),0)</f>
        <v/>
      </c>
      <c r="H23">
        <f>IF(B23=0,0,INDEX('calcA'!$IW$10:$IW$54,B23))</f>
        <v/>
      </c>
      <c r="U23">
        <f>IF(B23=0,0,INDEX('calcA'!$IX$10:$IX$54,B23))</f>
        <v/>
      </c>
      <c r="V23">
        <f>IF(B23=0,0,INDEX('calcA'!$JF$10:$JF$54,B23))</f>
        <v/>
      </c>
      <c r="W23">
        <f>IF(B23=0,0,IF(IF(E23=2,SUMPRODUCT(INDEX('calcA'!$D$60:$EQ$99,B23,0),$DB23:$IO23,$IQ23:$OD23),SUMPRODUCT(INDEX('calcA'!$D$60:$EQ$99,B23,0),$DB23:$IO23))=0,1,0))</f>
        <v/>
      </c>
      <c r="X23">
        <f>MAX(X22,IF($B22=1,1,0))</f>
        <v/>
      </c>
      <c r="Y23">
        <f>MAX(Y22,IF($B22=2,1,0))</f>
        <v/>
      </c>
      <c r="Z23">
        <f>MAX(Z22,IF($B22=3,1,0))</f>
        <v/>
      </c>
      <c r="AA23">
        <f>MAX(AA22,IF($B22=4,1,0))</f>
        <v/>
      </c>
      <c r="AB23">
        <f>MAX(AB22,IF($B22=5,1,0))</f>
        <v/>
      </c>
      <c r="AC23">
        <f>MAX(AC22,IF($B22=6,1,0))</f>
        <v/>
      </c>
      <c r="AD23">
        <f>MAX(AD22,IF($B22=7,1,0))</f>
        <v/>
      </c>
      <c r="AE23">
        <f>MAX(AE22,IF($B22=8,1,0))</f>
        <v/>
      </c>
      <c r="AF23">
        <f>MAX(AF22,IF($B22=9,1,0))</f>
        <v/>
      </c>
      <c r="AG23">
        <f>MAX(AG22,IF($B22=10,1,0))</f>
        <v/>
      </c>
      <c r="AH23">
        <f>MAX(AH22,IF($B22=11,1,0))</f>
        <v/>
      </c>
      <c r="AI23">
        <f>MAX(AI22,IF($B22=12,1,0))</f>
        <v/>
      </c>
      <c r="AJ23">
        <f>MAX(AJ22,IF($B22=13,1,0))</f>
        <v/>
      </c>
      <c r="AK23">
        <f>MAX(AK22,IF($B22=14,1,0))</f>
        <v/>
      </c>
      <c r="AL23">
        <f>MAX(AL22,IF($B22=15,1,0))</f>
        <v/>
      </c>
      <c r="AM23">
        <f>MAX(AM22,IF($B22=16,1,0))</f>
        <v/>
      </c>
      <c r="AN23">
        <f>MAX(AN22,IF($B22=17,1,0))</f>
        <v/>
      </c>
      <c r="AO23">
        <f>MAX(AO22,IF($B22=18,1,0))</f>
        <v/>
      </c>
      <c r="AP23">
        <f>MAX(AP22,IF($B22=19,1,0))</f>
        <v/>
      </c>
      <c r="AQ23">
        <f>MAX(AQ22,IF($B22=20,1,0))</f>
        <v/>
      </c>
      <c r="AR23">
        <f>MAX(AR22,IF($B22=21,1,0))</f>
        <v/>
      </c>
      <c r="AS23">
        <f>MAX(AS22,IF($B22=22,1,0))</f>
        <v/>
      </c>
      <c r="AT23">
        <f>MAX(AT22,IF($B22=23,1,0))</f>
        <v/>
      </c>
      <c r="AU23">
        <f>MAX(AU22,IF($B22=24,1,0))</f>
        <v/>
      </c>
      <c r="AV23">
        <f>MAX(AV22,IF($B22=25,1,0))</f>
        <v/>
      </c>
      <c r="AW23">
        <f>MAX(AW22,IF($B22=26,1,0))</f>
        <v/>
      </c>
      <c r="AX23">
        <f>MAX(AX22,IF($B22=27,1,0))</f>
        <v/>
      </c>
      <c r="AY23">
        <f>MAX(AY22,IF($B22=28,1,0))</f>
        <v/>
      </c>
      <c r="AZ23">
        <f>MAX(AZ22,IF($B22=29,1,0))</f>
        <v/>
      </c>
      <c r="BA23">
        <f>MAX(BA22,IF($B22=30,1,0))</f>
        <v/>
      </c>
      <c r="BB23">
        <f>MAX(BB22,IF($B22=31,1,0))</f>
        <v/>
      </c>
      <c r="BC23">
        <f>MAX(BC22,IF($B22=32,1,0))</f>
        <v/>
      </c>
      <c r="BD23">
        <f>MAX(BD22,IF($B22=33,1,0))</f>
        <v/>
      </c>
      <c r="BE23">
        <f>MAX(BE22,IF($B22=34,1,0))</f>
        <v/>
      </c>
      <c r="BF23">
        <f>MAX(BF22,IF($B22=35,1,0))</f>
        <v/>
      </c>
      <c r="BG23">
        <f>MAX(BG22,IF($B22=36,1,0))</f>
        <v/>
      </c>
      <c r="BH23">
        <f>MAX(BH22,IF($B22=37,1,0))</f>
        <v/>
      </c>
      <c r="BI23">
        <f>MAX(BI22,IF($B22=38,1,0))</f>
        <v/>
      </c>
      <c r="BJ23">
        <f>MAX(BJ22,IF($B22=39,1,0))</f>
        <v/>
      </c>
      <c r="BK23">
        <f>MAX(BK22,IF($B22=40,1,0))</f>
        <v/>
      </c>
      <c r="BM23">
        <f>IF(OR(X23=1,calcA!$A$6=0),1000000000,IF('calcA'!$JF$10=1,0,100000000)+IF('calcA'!$IQ$10=2,SUMPRODUCT('calcA'!$D$60:$EQ$60,$DB23:$IO23,$IQ23:$OD23)*1000+SUMPRODUCT('calcA'!$D$60:$EQ$60,$DB23:$IO23+$ZQ23:$AFD23,$AFF23:$AKS23),SUMPRODUCT('calcA'!$D$60:$EQ$60,$DB23:$IO23*1001+$ZQ23:$AFD23))*100+1)</f>
        <v/>
      </c>
      <c r="BN23">
        <f>IF(OR(Y23=1,calcA!$A$6=0),1000000000,IF('calcA'!$JF$11=1,0,100000000)+IF('calcA'!$IQ$11=2,SUMPRODUCT('calcA'!$D$61:$EQ$61,$DB23:$IO23,$IQ23:$OD23)*1000+SUMPRODUCT('calcA'!$D$61:$EQ$61,$DB23:$IO23+$ZQ23:$AFD23,$AFF23:$AKS23),SUMPRODUCT('calcA'!$D$61:$EQ$61,$DB23:$IO23*1001+$ZQ23:$AFD23))*100+2)</f>
        <v/>
      </c>
      <c r="BO23">
        <f>IF(OR(Z23=1,calcA!$A$6=0),1000000000,IF('calcA'!$JF$12=1,0,100000000)+IF('calcA'!$IQ$12=2,SUMPRODUCT('calcA'!$D$62:$EQ$62,$DB23:$IO23,$IQ23:$OD23)*1000+SUMPRODUCT('calcA'!$D$62:$EQ$62,$DB23:$IO23+$ZQ23:$AFD23,$AFF23:$AKS23),SUMPRODUCT('calcA'!$D$62:$EQ$62,$DB23:$IO23*1001+$ZQ23:$AFD23))*100+3)</f>
        <v/>
      </c>
      <c r="BP23">
        <f>IF(OR(AA23=1,calcA!$A$6=0),1000000000,IF('calcA'!$JF$13=1,0,100000000)+IF('calcA'!$IQ$13=2,SUMPRODUCT('calcA'!$D$63:$EQ$63,$DB23:$IO23,$IQ23:$OD23)*1000+SUMPRODUCT('calcA'!$D$63:$EQ$63,$DB23:$IO23+$ZQ23:$AFD23,$AFF23:$AKS23),SUMPRODUCT('calcA'!$D$63:$EQ$63,$DB23:$IO23*1001+$ZQ23:$AFD23))*100+4)</f>
        <v/>
      </c>
      <c r="BQ23">
        <f>IF(OR(AB23=1,calcA!$A$6=0),1000000000,IF('calcA'!$JF$14=1,0,100000000)+IF('calcA'!$IQ$14=2,SUMPRODUCT('calcA'!$D$64:$EQ$64,$DB23:$IO23,$IQ23:$OD23)*1000+SUMPRODUCT('calcA'!$D$64:$EQ$64,$DB23:$IO23+$ZQ23:$AFD23,$AFF23:$AKS23),SUMPRODUCT('calcA'!$D$64:$EQ$64,$DB23:$IO23*1001+$ZQ23:$AFD23))*100+5)</f>
        <v/>
      </c>
      <c r="BR23">
        <f>IF(OR(AC23=1,calcA!$A$6=0),1000000000,IF('calcA'!$JF$15=1,0,100000000)+IF('calcA'!$IQ$15=2,SUMPRODUCT('calcA'!$D$65:$EQ$65,$DB23:$IO23,$IQ23:$OD23)*1000+SUMPRODUCT('calcA'!$D$65:$EQ$65,$DB23:$IO23+$ZQ23:$AFD23,$AFF23:$AKS23),SUMPRODUCT('calcA'!$D$65:$EQ$65,$DB23:$IO23*1001+$ZQ23:$AFD23))*100+6)</f>
        <v/>
      </c>
      <c r="BS23">
        <f>IF(OR(AD23=1,calcA!$A$6=0),1000000000,IF('calcA'!$JF$16=1,0,100000000)+IF('calcA'!$IQ$16=2,SUMPRODUCT('calcA'!$D$66:$EQ$66,$DB23:$IO23,$IQ23:$OD23)*1000+SUMPRODUCT('calcA'!$D$66:$EQ$66,$DB23:$IO23+$ZQ23:$AFD23,$AFF23:$AKS23),SUMPRODUCT('calcA'!$D$66:$EQ$66,$DB23:$IO23*1001+$ZQ23:$AFD23))*100+7)</f>
        <v/>
      </c>
      <c r="BT23">
        <f>IF(OR(AE23=1,calcA!$A$6=0),1000000000,IF('calcA'!$JF$17=1,0,100000000)+IF('calcA'!$IQ$17=2,SUMPRODUCT('calcA'!$D$67:$EQ$67,$DB23:$IO23,$IQ23:$OD23)*1000+SUMPRODUCT('calcA'!$D$67:$EQ$67,$DB23:$IO23+$ZQ23:$AFD23,$AFF23:$AKS23),SUMPRODUCT('calcA'!$D$67:$EQ$67,$DB23:$IO23*1001+$ZQ23:$AFD23))*100+8)</f>
        <v/>
      </c>
      <c r="BU23">
        <f>IF(OR(AF23=1,calcA!$A$6=0),1000000000,IF('calcA'!$JF$18=1,0,100000000)+IF('calcA'!$IQ$18=2,SUMPRODUCT('calcA'!$D$68:$EQ$68,$DB23:$IO23,$IQ23:$OD23)*1000+SUMPRODUCT('calcA'!$D$68:$EQ$68,$DB23:$IO23+$ZQ23:$AFD23,$AFF23:$AKS23),SUMPRODUCT('calcA'!$D$68:$EQ$68,$DB23:$IO23*1001+$ZQ23:$AFD23))*100+9)</f>
        <v/>
      </c>
      <c r="BV23">
        <f>IF(OR(AG23=1,calcA!$A$6=0),1000000000,IF('calcA'!$JF$19=1,0,100000000)+IF('calcA'!$IQ$19=2,SUMPRODUCT('calcA'!$D$69:$EQ$69,$DB23:$IO23,$IQ23:$OD23)*1000+SUMPRODUCT('calcA'!$D$69:$EQ$69,$DB23:$IO23+$ZQ23:$AFD23,$AFF23:$AKS23),SUMPRODUCT('calcA'!$D$69:$EQ$69,$DB23:$IO23*1001+$ZQ23:$AFD23))*100+10)</f>
        <v/>
      </c>
      <c r="BW23">
        <f>IF(OR(AH23=1,calcA!$A$6=0),1000000000,IF('calcA'!$JF$20=1,0,100000000)+IF('calcA'!$IQ$20=2,SUMPRODUCT('calcA'!$D$70:$EQ$70,$DB23:$IO23,$IQ23:$OD23)*1000+SUMPRODUCT('calcA'!$D$70:$EQ$70,$DB23:$IO23+$ZQ23:$AFD23,$AFF23:$AKS23),SUMPRODUCT('calcA'!$D$70:$EQ$70,$DB23:$IO23*1001+$ZQ23:$AFD23))*100+11)</f>
        <v/>
      </c>
      <c r="BX23">
        <f>IF(OR(AI23=1,calcA!$A$6=0),1000000000,IF('calcA'!$JF$21=1,0,100000000)+IF('calcA'!$IQ$21=2,SUMPRODUCT('calcA'!$D$71:$EQ$71,$DB23:$IO23,$IQ23:$OD23)*1000+SUMPRODUCT('calcA'!$D$71:$EQ$71,$DB23:$IO23+$ZQ23:$AFD23,$AFF23:$AKS23),SUMPRODUCT('calcA'!$D$71:$EQ$71,$DB23:$IO23*1001+$ZQ23:$AFD23))*100+12)</f>
        <v/>
      </c>
      <c r="BY23">
        <f>IF(OR(AJ23=1,calcA!$A$6=0),1000000000,IF('calcA'!$JF$22=1,0,100000000)+IF('calcA'!$IQ$22=2,SUMPRODUCT('calcA'!$D$72:$EQ$72,$DB23:$IO23,$IQ23:$OD23)*1000+SUMPRODUCT('calcA'!$D$72:$EQ$72,$DB23:$IO23+$ZQ23:$AFD23,$AFF23:$AKS23),SUMPRODUCT('calcA'!$D$72:$EQ$72,$DB23:$IO23*1001+$ZQ23:$AFD23))*100+13)</f>
        <v/>
      </c>
      <c r="BZ23">
        <f>IF(OR(AK23=1,calcA!$A$6=0),1000000000,IF('calcA'!$JF$23=1,0,100000000)+IF('calcA'!$IQ$23=2,SUMPRODUCT('calcA'!$D$73:$EQ$73,$DB23:$IO23,$IQ23:$OD23)*1000+SUMPRODUCT('calcA'!$D$73:$EQ$73,$DB23:$IO23+$ZQ23:$AFD23,$AFF23:$AKS23),SUMPRODUCT('calcA'!$D$73:$EQ$73,$DB23:$IO23*1001+$ZQ23:$AFD23))*100+14)</f>
        <v/>
      </c>
      <c r="CA23">
        <f>IF(OR(AL23=1,calcA!$A$6=0),1000000000,IF('calcA'!$JF$24=1,0,100000000)+IF('calcA'!$IQ$24=2,SUMPRODUCT('calcA'!$D$74:$EQ$74,$DB23:$IO23,$IQ23:$OD23)*1000+SUMPRODUCT('calcA'!$D$74:$EQ$74,$DB23:$IO23+$ZQ23:$AFD23,$AFF23:$AKS23),SUMPRODUCT('calcA'!$D$74:$EQ$74,$DB23:$IO23*1001+$ZQ23:$AFD23))*100+15)</f>
        <v/>
      </c>
      <c r="CB23">
        <f>IF(OR(AM23=1,calcA!$A$6=0),1000000000,IF('calcA'!$JF$25=1,0,100000000)+IF('calcA'!$IQ$25=2,SUMPRODUCT('calcA'!$D$75:$EQ$75,$DB23:$IO23,$IQ23:$OD23)*1000+SUMPRODUCT('calcA'!$D$75:$EQ$75,$DB23:$IO23+$ZQ23:$AFD23,$AFF23:$AKS23),SUMPRODUCT('calcA'!$D$75:$EQ$75,$DB23:$IO23*1001+$ZQ23:$AFD23))*100+16)</f>
        <v/>
      </c>
      <c r="CC23">
        <f>IF(OR(AN23=1,calcA!$A$6=0),1000000000,IF('calcA'!$JF$26=1,0,100000000)+IF('calcA'!$IQ$26=2,SUMPRODUCT('calcA'!$D$76:$EQ$76,$DB23:$IO23,$IQ23:$OD23)*1000+SUMPRODUCT('calcA'!$D$76:$EQ$76,$DB23:$IO23+$ZQ23:$AFD23,$AFF23:$AKS23),SUMPRODUCT('calcA'!$D$76:$EQ$76,$DB23:$IO23*1001+$ZQ23:$AFD23))*100+17)</f>
        <v/>
      </c>
      <c r="CD23">
        <f>IF(OR(AO23=1,calcA!$A$6=0),1000000000,IF('calcA'!$JF$27=1,0,100000000)+IF('calcA'!$IQ$27=2,SUMPRODUCT('calcA'!$D$77:$EQ$77,$DB23:$IO23,$IQ23:$OD23)*1000+SUMPRODUCT('calcA'!$D$77:$EQ$77,$DB23:$IO23+$ZQ23:$AFD23,$AFF23:$AKS23),SUMPRODUCT('calcA'!$D$77:$EQ$77,$DB23:$IO23*1001+$ZQ23:$AFD23))*100+18)</f>
        <v/>
      </c>
      <c r="CE23">
        <f>IF(OR(AP23=1,calcA!$A$6=0),1000000000,IF('calcA'!$JF$28=1,0,100000000)+IF('calcA'!$IQ$28=2,SUMPRODUCT('calcA'!$D$78:$EQ$78,$DB23:$IO23,$IQ23:$OD23)*1000+SUMPRODUCT('calcA'!$D$78:$EQ$78,$DB23:$IO23+$ZQ23:$AFD23,$AFF23:$AKS23),SUMPRODUCT('calcA'!$D$78:$EQ$78,$DB23:$IO23*1001+$ZQ23:$AFD23))*100+19)</f>
        <v/>
      </c>
      <c r="CF23">
        <f>IF(OR(AQ23=1,calcA!$A$6=0),1000000000,IF('calcA'!$JF$29=1,0,100000000)+IF('calcA'!$IQ$29=2,SUMPRODUCT('calcA'!$D$79:$EQ$79,$DB23:$IO23,$IQ23:$OD23)*1000+SUMPRODUCT('calcA'!$D$79:$EQ$79,$DB23:$IO23+$ZQ23:$AFD23,$AFF23:$AKS23),SUMPRODUCT('calcA'!$D$79:$EQ$79,$DB23:$IO23*1001+$ZQ23:$AFD23))*100+20)</f>
        <v/>
      </c>
      <c r="CG23">
        <f>IF(OR(AR23=1,calcA!$A$6=0),1000000000,IF('calcA'!$JF$30=1,0,100000000)+IF('calcA'!$IQ$30=2,SUMPRODUCT('calcA'!$D$80:$EQ$80,$DB23:$IO23,$IQ23:$OD23)*1000+SUMPRODUCT('calcA'!$D$80:$EQ$80,$DB23:$IO23+$ZQ23:$AFD23,$AFF23:$AKS23),SUMPRODUCT('calcA'!$D$80:$EQ$80,$DB23:$IO23*1001+$ZQ23:$AFD23))*100+21)</f>
        <v/>
      </c>
      <c r="CH23">
        <f>IF(OR(AS23=1,calcA!$A$6=0),1000000000,IF('calcA'!$JF$31=1,0,100000000)+IF('calcA'!$IQ$31=2,SUMPRODUCT('calcA'!$D$81:$EQ$81,$DB23:$IO23,$IQ23:$OD23)*1000+SUMPRODUCT('calcA'!$D$81:$EQ$81,$DB23:$IO23+$ZQ23:$AFD23,$AFF23:$AKS23),SUMPRODUCT('calcA'!$D$81:$EQ$81,$DB23:$IO23*1001+$ZQ23:$AFD23))*100+22)</f>
        <v/>
      </c>
      <c r="CI23">
        <f>IF(OR(AT23=1,calcA!$A$6=0),1000000000,IF('calcA'!$JF$32=1,0,100000000)+IF('calcA'!$IQ$32=2,SUMPRODUCT('calcA'!$D$82:$EQ$82,$DB23:$IO23,$IQ23:$OD23)*1000+SUMPRODUCT('calcA'!$D$82:$EQ$82,$DB23:$IO23+$ZQ23:$AFD23,$AFF23:$AKS23),SUMPRODUCT('calcA'!$D$82:$EQ$82,$DB23:$IO23*1001+$ZQ23:$AFD23))*100+23)</f>
        <v/>
      </c>
      <c r="CJ23">
        <f>IF(OR(AU23=1,calcA!$A$6=0),1000000000,IF('calcA'!$JF$33=1,0,100000000)+IF('calcA'!$IQ$33=2,SUMPRODUCT('calcA'!$D$83:$EQ$83,$DB23:$IO23,$IQ23:$OD23)*1000+SUMPRODUCT('calcA'!$D$83:$EQ$83,$DB23:$IO23+$ZQ23:$AFD23,$AFF23:$AKS23),SUMPRODUCT('calcA'!$D$83:$EQ$83,$DB23:$IO23*1001+$ZQ23:$AFD23))*100+24)</f>
        <v/>
      </c>
      <c r="CK23">
        <f>IF(OR(AV23=1,calcA!$A$6=0),1000000000,IF('calcA'!$JF$34=1,0,100000000)+IF('calcA'!$IQ$34=2,SUMPRODUCT('calcA'!$D$84:$EQ$84,$DB23:$IO23,$IQ23:$OD23)*1000+SUMPRODUCT('calcA'!$D$84:$EQ$84,$DB23:$IO23+$ZQ23:$AFD23,$AFF23:$AKS23),SUMPRODUCT('calcA'!$D$84:$EQ$84,$DB23:$IO23*1001+$ZQ23:$AFD23))*100+25)</f>
        <v/>
      </c>
      <c r="CL23">
        <f>IF(OR(AW23=1,calcA!$A$6=0),1000000000,IF('calcA'!$JF$35=1,0,100000000)+IF('calcA'!$IQ$35=2,SUMPRODUCT('calcA'!$D$85:$EQ$85,$DB23:$IO23,$IQ23:$OD23)*1000+SUMPRODUCT('calcA'!$D$85:$EQ$85,$DB23:$IO23+$ZQ23:$AFD23,$AFF23:$AKS23),SUMPRODUCT('calcA'!$D$85:$EQ$85,$DB23:$IO23*1001+$ZQ23:$AFD23))*100+26)</f>
        <v/>
      </c>
      <c r="CM23">
        <f>IF(OR(AX23=1,calcA!$A$6=0),1000000000,IF('calcA'!$JF$36=1,0,100000000)+IF('calcA'!$IQ$36=2,SUMPRODUCT('calcA'!$D$86:$EQ$86,$DB23:$IO23,$IQ23:$OD23)*1000+SUMPRODUCT('calcA'!$D$86:$EQ$86,$DB23:$IO23+$ZQ23:$AFD23,$AFF23:$AKS23),SUMPRODUCT('calcA'!$D$86:$EQ$86,$DB23:$IO23*1001+$ZQ23:$AFD23))*100+27)</f>
        <v/>
      </c>
      <c r="CN23">
        <f>IF(OR(AY23=1,calcA!$A$6=0),1000000000,IF('calcA'!$JF$37=1,0,100000000)+IF('calcA'!$IQ$37=2,SUMPRODUCT('calcA'!$D$87:$EQ$87,$DB23:$IO23,$IQ23:$OD23)*1000+SUMPRODUCT('calcA'!$D$87:$EQ$87,$DB23:$IO23+$ZQ23:$AFD23,$AFF23:$AKS23),SUMPRODUCT('calcA'!$D$87:$EQ$87,$DB23:$IO23*1001+$ZQ23:$AFD23))*100+28)</f>
        <v/>
      </c>
      <c r="CO23">
        <f>IF(OR(AZ23=1,calcA!$A$6=0),1000000000,IF('calcA'!$JF$38=1,0,100000000)+IF('calcA'!$IQ$38=2,SUMPRODUCT('calcA'!$D$88:$EQ$88,$DB23:$IO23,$IQ23:$OD23)*1000+SUMPRODUCT('calcA'!$D$88:$EQ$88,$DB23:$IO23+$ZQ23:$AFD23,$AFF23:$AKS23),SUMPRODUCT('calcA'!$D$88:$EQ$88,$DB23:$IO23*1001+$ZQ23:$AFD23))*100+29)</f>
        <v/>
      </c>
      <c r="CP23">
        <f>IF(OR(BA23=1,calcA!$A$6=0),1000000000,IF('calcA'!$JF$39=1,0,100000000)+IF('calcA'!$IQ$39=2,SUMPRODUCT('calcA'!$D$89:$EQ$89,$DB23:$IO23,$IQ23:$OD23)*1000+SUMPRODUCT('calcA'!$D$89:$EQ$89,$DB23:$IO23+$ZQ23:$AFD23,$AFF23:$AKS23),SUMPRODUCT('calcA'!$D$89:$EQ$89,$DB23:$IO23*1001+$ZQ23:$AFD23))*100+30)</f>
        <v/>
      </c>
      <c r="CQ23">
        <f>IF(OR(BB23=1,calcA!$A$6=0),1000000000,IF('calcA'!$JF$40=1,0,100000000)+IF('calcA'!$IQ$40=2,SUMPRODUCT('calcA'!$D$90:$EQ$90,$DB23:$IO23,$IQ23:$OD23)*1000+SUMPRODUCT('calcA'!$D$90:$EQ$90,$DB23:$IO23+$ZQ23:$AFD23,$AFF23:$AKS23),SUMPRODUCT('calcA'!$D$90:$EQ$90,$DB23:$IO23*1001+$ZQ23:$AFD23))*100+31)</f>
        <v/>
      </c>
      <c r="CR23">
        <f>IF(OR(BC23=1,calcA!$A$6=0),1000000000,IF('calcA'!$JF$41=1,0,100000000)+IF('calcA'!$IQ$41=2,SUMPRODUCT('calcA'!$D$91:$EQ$91,$DB23:$IO23,$IQ23:$OD23)*1000+SUMPRODUCT('calcA'!$D$91:$EQ$91,$DB23:$IO23+$ZQ23:$AFD23,$AFF23:$AKS23),SUMPRODUCT('calcA'!$D$91:$EQ$91,$DB23:$IO23*1001+$ZQ23:$AFD23))*100+32)</f>
        <v/>
      </c>
      <c r="CS23">
        <f>IF(OR(BD23=1,calcA!$A$6=0),1000000000,IF('calcA'!$JF$42=1,0,100000000)+IF('calcA'!$IQ$42=2,SUMPRODUCT('calcA'!$D$92:$EQ$92,$DB23:$IO23,$IQ23:$OD23)*1000+SUMPRODUCT('calcA'!$D$92:$EQ$92,$DB23:$IO23+$ZQ23:$AFD23,$AFF23:$AKS23),SUMPRODUCT('calcA'!$D$92:$EQ$92,$DB23:$IO23*1001+$ZQ23:$AFD23))*100+33)</f>
        <v/>
      </c>
      <c r="CT23">
        <f>IF(OR(BE23=1,calcA!$A$6=0),1000000000,IF('calcA'!$JF$43=1,0,100000000)+IF('calcA'!$IQ$43=2,SUMPRODUCT('calcA'!$D$93:$EQ$93,$DB23:$IO23,$IQ23:$OD23)*1000+SUMPRODUCT('calcA'!$D$93:$EQ$93,$DB23:$IO23+$ZQ23:$AFD23,$AFF23:$AKS23),SUMPRODUCT('calcA'!$D$93:$EQ$93,$DB23:$IO23*1001+$ZQ23:$AFD23))*100+34)</f>
        <v/>
      </c>
      <c r="CU23">
        <f>IF(OR(BF23=1,calcA!$A$6=0),1000000000,IF('calcA'!$JF$44=1,0,100000000)+IF('calcA'!$IQ$44=2,SUMPRODUCT('calcA'!$D$94:$EQ$94,$DB23:$IO23,$IQ23:$OD23)*1000+SUMPRODUCT('calcA'!$D$94:$EQ$94,$DB23:$IO23+$ZQ23:$AFD23,$AFF23:$AKS23),SUMPRODUCT('calcA'!$D$94:$EQ$94,$DB23:$IO23*1001+$ZQ23:$AFD23))*100+35)</f>
        <v/>
      </c>
      <c r="CV23">
        <f>IF(OR(BG23=1,calcA!$A$6=0),1000000000,IF('calcA'!$JF$45=1,0,100000000)+IF('calcA'!$IQ$45=2,SUMPRODUCT('calcA'!$D$95:$EQ$95,$DB23:$IO23,$IQ23:$OD23)*1000+SUMPRODUCT('calcA'!$D$95:$EQ$95,$DB23:$IO23+$ZQ23:$AFD23,$AFF23:$AKS23),SUMPRODUCT('calcA'!$D$95:$EQ$95,$DB23:$IO23*1001+$ZQ23:$AFD23))*100+36)</f>
        <v/>
      </c>
      <c r="CW23">
        <f>IF(OR(BH23=1,calcA!$A$6=0),1000000000,IF('calcA'!$JF$46=1,0,100000000)+IF('calcA'!$IQ$46=2,SUMPRODUCT('calcA'!$D$96:$EQ$96,$DB23:$IO23,$IQ23:$OD23)*1000+SUMPRODUCT('calcA'!$D$96:$EQ$96,$DB23:$IO23+$ZQ23:$AFD23,$AFF23:$AKS23),SUMPRODUCT('calcA'!$D$96:$EQ$96,$DB23:$IO23*1001+$ZQ23:$AFD23))*100+37)</f>
        <v/>
      </c>
      <c r="CX23">
        <f>IF(OR(BI23=1,calcA!$A$6=0),1000000000,IF('calcA'!$JF$47=1,0,100000000)+IF('calcA'!$IQ$47=2,SUMPRODUCT('calcA'!$D$97:$EQ$97,$DB23:$IO23,$IQ23:$OD23)*1000+SUMPRODUCT('calcA'!$D$97:$EQ$97,$DB23:$IO23+$ZQ23:$AFD23,$AFF23:$AKS23),SUMPRODUCT('calcA'!$D$97:$EQ$97,$DB23:$IO23*1001+$ZQ23:$AFD23))*100+38)</f>
        <v/>
      </c>
      <c r="CY23">
        <f>IF(OR(BJ23=1,calcA!$A$6=0),1000000000,IF('calcA'!$JF$48=1,0,100000000)+IF('calcA'!$IQ$48=2,SUMPRODUCT('calcA'!$D$98:$EQ$98,$DB23:$IO23,$IQ23:$OD23)*1000+SUMPRODUCT('calcA'!$D$98:$EQ$98,$DB23:$IO23+$ZQ23:$AFD23,$AFF23:$AKS23),SUMPRODUCT('calcA'!$D$98:$EQ$98,$DB23:$IO23*1001+$ZQ23:$AFD23))*100+39)</f>
        <v/>
      </c>
      <c r="CZ23">
        <f>IF(OR(BK23=1,calcA!$A$6=0),1000000000,IF('calcA'!$JF$49=1,0,100000000)+IF('calcA'!$IQ$49=2,SUMPRODUCT('calcA'!$D$99:$EQ$99,$DB23:$IO23,$IQ23:$OD23)*1000+SUMPRODUCT('calcA'!$D$99:$EQ$99,$DB23:$IO23+$ZQ23:$AFD23,$AFF23:$AKS23),SUMPRODUCT('calcA'!$D$99:$EQ$99,$DB23:$IO23*1001+$ZQ23:$AFD23))*100+40)</f>
        <v/>
      </c>
      <c r="DB23">
        <f>DB22*IF(OR($C22=1,$G22=1),0,1)</f>
        <v/>
      </c>
      <c r="DC23">
        <f>DC22*IF(OR($C22=2,$G22=2),0,1)</f>
        <v/>
      </c>
      <c r="DD23">
        <f>DD22*IF(OR($C22=3,$G22=3),0,1)</f>
        <v/>
      </c>
      <c r="DE23">
        <f>DE22*IF(OR($C22=4,$G22=4),0,1)</f>
        <v/>
      </c>
      <c r="DF23">
        <f>DF22*IF(OR($C22=5,$G22=5),0,1)</f>
        <v/>
      </c>
      <c r="DG23">
        <f>DG22*IF(OR($C22=6,$G22=6),0,1)</f>
        <v/>
      </c>
      <c r="DH23">
        <f>DH22*IF(OR($C22=7,$G22=7),0,1)</f>
        <v/>
      </c>
      <c r="DI23">
        <f>DI22*IF(OR($C22=8,$G22=8),0,1)</f>
        <v/>
      </c>
      <c r="DJ23">
        <f>DJ22*IF(OR($C22=9,$G22=9),0,1)</f>
        <v/>
      </c>
      <c r="DK23">
        <f>DK22*IF(OR($C22=10,$G22=10),0,1)</f>
        <v/>
      </c>
      <c r="DL23">
        <f>DL22*IF(OR($C22=11,$G22=11),0,1)</f>
        <v/>
      </c>
      <c r="DM23">
        <f>DM22*IF(OR($C22=12,$G22=12),0,1)</f>
        <v/>
      </c>
      <c r="DN23">
        <f>DN22*IF(OR($C22=13,$G22=13),0,1)</f>
        <v/>
      </c>
      <c r="DO23">
        <f>DO22*IF(OR($C22=14,$G22=14),0,1)</f>
        <v/>
      </c>
      <c r="DP23">
        <f>DP22*IF(OR($C22=15,$G22=15),0,1)</f>
        <v/>
      </c>
      <c r="DQ23">
        <f>DQ22*IF(OR($C22=16,$G22=16),0,1)</f>
        <v/>
      </c>
      <c r="DR23">
        <f>DR22*IF(OR($C22=17,$G22=17),0,1)</f>
        <v/>
      </c>
      <c r="DS23">
        <f>DS22*IF(OR($C22=18,$G22=18),0,1)</f>
        <v/>
      </c>
      <c r="DT23">
        <f>DT22*IF(OR($C22=19,$G22=19),0,1)</f>
        <v/>
      </c>
      <c r="DU23">
        <f>DU22*IF(OR($C22=20,$G22=20),0,1)</f>
        <v/>
      </c>
      <c r="DV23">
        <f>DV22*IF(OR($C22=21,$G22=21),0,1)</f>
        <v/>
      </c>
      <c r="DW23">
        <f>DW22*IF(OR($C22=22,$G22=22),0,1)</f>
        <v/>
      </c>
      <c r="DX23">
        <f>DX22*IF(OR($C22=23,$G22=23),0,1)</f>
        <v/>
      </c>
      <c r="DY23">
        <f>DY22*IF(OR($C22=24,$G22=24),0,1)</f>
        <v/>
      </c>
      <c r="DZ23">
        <f>DZ22*IF(OR($C22=25,$G22=25),0,1)</f>
        <v/>
      </c>
      <c r="EA23">
        <f>EA22*IF(OR($C22=26,$G22=26),0,1)</f>
        <v/>
      </c>
      <c r="EB23">
        <f>EB22*IF(OR($C22=27,$G22=27),0,1)</f>
        <v/>
      </c>
      <c r="EC23">
        <f>EC22*IF(OR($C22=28,$G22=28),0,1)</f>
        <v/>
      </c>
      <c r="ED23">
        <f>ED22*IF(OR($C22=29,$G22=29),0,1)</f>
        <v/>
      </c>
      <c r="EE23">
        <f>EE22*IF(OR($C22=30,$G22=30),0,1)</f>
        <v/>
      </c>
      <c r="EF23">
        <f>EF22*IF(OR($C22=31,$G22=31),0,1)</f>
        <v/>
      </c>
      <c r="EG23">
        <f>EG22*IF(OR($C22=32,$G22=32),0,1)</f>
        <v/>
      </c>
      <c r="EH23">
        <f>EH22*IF(OR($C22=33,$G22=33),0,1)</f>
        <v/>
      </c>
      <c r="EI23">
        <f>EI22*IF(OR($C22=34,$G22=34),0,1)</f>
        <v/>
      </c>
      <c r="EJ23">
        <f>EJ22*IF(OR($C22=35,$G22=35),0,1)</f>
        <v/>
      </c>
      <c r="EK23">
        <f>EK22*IF(OR($C22=36,$G22=36),0,1)</f>
        <v/>
      </c>
      <c r="EL23">
        <f>EL22*IF(OR($C22=37,$G22=37),0,1)</f>
        <v/>
      </c>
      <c r="EM23">
        <f>EM22*IF(OR($C22=38,$G22=38),0,1)</f>
        <v/>
      </c>
      <c r="EN23">
        <f>EN22*IF(OR($C22=39,$G22=39),0,1)</f>
        <v/>
      </c>
      <c r="EO23">
        <f>EO22*IF(OR($C22=40,$G22=40),0,1)</f>
        <v/>
      </c>
      <c r="EP23">
        <f>EP22*IF(OR($C22=41,$G22=41),0,1)</f>
        <v/>
      </c>
      <c r="EQ23">
        <f>EQ22*IF(OR($C22=42,$G22=42),0,1)</f>
        <v/>
      </c>
      <c r="ER23">
        <f>ER22*IF(OR($C22=43,$G22=43),0,1)</f>
        <v/>
      </c>
      <c r="ES23">
        <f>ES22*IF(OR($C22=44,$G22=44),0,1)</f>
        <v/>
      </c>
      <c r="ET23">
        <f>ET22*IF(OR($C22=45,$G22=45),0,1)</f>
        <v/>
      </c>
      <c r="EU23">
        <f>EU22*IF(OR($C22=46,$G22=46),0,1)</f>
        <v/>
      </c>
      <c r="EV23">
        <f>EV22*IF(OR($C22=47,$G22=47),0,1)</f>
        <v/>
      </c>
      <c r="EW23">
        <f>EW22*IF(OR($C22=48,$G22=48),0,1)</f>
        <v/>
      </c>
      <c r="EX23">
        <f>EX22*IF(OR($C22=49,$G22=49),0,1)</f>
        <v/>
      </c>
      <c r="EY23">
        <f>EY22*IF(OR($C22=50,$G22=50),0,1)</f>
        <v/>
      </c>
      <c r="EZ23">
        <f>EZ22*IF(OR($C22=51,$G22=51),0,1)</f>
        <v/>
      </c>
      <c r="FA23">
        <f>FA22*IF(OR($C22=52,$G22=52),0,1)</f>
        <v/>
      </c>
      <c r="FB23">
        <f>FB22*IF(OR($C22=53,$G22=53),0,1)</f>
        <v/>
      </c>
      <c r="FC23">
        <f>FC22*IF(OR($C22=54,$G22=54),0,1)</f>
        <v/>
      </c>
      <c r="FD23">
        <f>FD22*IF(OR($C22=55,$G22=55),0,1)</f>
        <v/>
      </c>
      <c r="FE23">
        <f>FE22*IF(OR($C22=56,$G22=56),0,1)</f>
        <v/>
      </c>
      <c r="FF23">
        <f>FF22*IF(OR($C22=57,$G22=57),0,1)</f>
        <v/>
      </c>
      <c r="FG23">
        <f>FG22*IF(OR($C22=58,$G22=58),0,1)</f>
        <v/>
      </c>
      <c r="FH23">
        <f>FH22*IF(OR($C22=59,$G22=59),0,1)</f>
        <v/>
      </c>
      <c r="FI23">
        <f>FI22*IF(OR($C22=60,$G22=60),0,1)</f>
        <v/>
      </c>
      <c r="FJ23">
        <f>FJ22*IF(OR($C22=61,$G22=61),0,1)</f>
        <v/>
      </c>
      <c r="FK23">
        <f>FK22*IF(OR($C22=62,$G22=62),0,1)</f>
        <v/>
      </c>
      <c r="FL23">
        <f>FL22*IF(OR($C22=63,$G22=63),0,1)</f>
        <v/>
      </c>
      <c r="FM23">
        <f>FM22*IF(OR($C22=64,$G22=64),0,1)</f>
        <v/>
      </c>
      <c r="FN23">
        <f>FN22*IF(OR($C22=65,$G22=65),0,1)</f>
        <v/>
      </c>
      <c r="FO23">
        <f>FO22*IF(OR($C22=66,$G22=66),0,1)</f>
        <v/>
      </c>
      <c r="FP23">
        <f>FP22*IF(OR($C22=67,$G22=67),0,1)</f>
        <v/>
      </c>
      <c r="FQ23">
        <f>FQ22*IF(OR($C22=68,$G22=68),0,1)</f>
        <v/>
      </c>
      <c r="FR23">
        <f>FR22*IF(OR($C22=69,$G22=69),0,1)</f>
        <v/>
      </c>
      <c r="FS23">
        <f>FS22*IF(OR($C22=70,$G22=70),0,1)</f>
        <v/>
      </c>
      <c r="FT23">
        <f>FT22*IF(OR($C22=71,$G22=71),0,1)</f>
        <v/>
      </c>
      <c r="FU23">
        <f>FU22*IF(OR($C22=72,$G22=72),0,1)</f>
        <v/>
      </c>
      <c r="FV23">
        <f>FV22*IF(OR($C22=73,$G22=73),0,1)</f>
        <v/>
      </c>
      <c r="FW23">
        <f>FW22*IF(OR($C22=74,$G22=74),0,1)</f>
        <v/>
      </c>
      <c r="FX23">
        <f>FX22*IF(OR($C22=75,$G22=75),0,1)</f>
        <v/>
      </c>
      <c r="FY23">
        <f>FY22*IF(OR($C22=76,$G22=76),0,1)</f>
        <v/>
      </c>
      <c r="FZ23">
        <f>FZ22*IF(OR($C22=77,$G22=77),0,1)</f>
        <v/>
      </c>
      <c r="GA23">
        <f>GA22*IF(OR($C22=78,$G22=78),0,1)</f>
        <v/>
      </c>
      <c r="GB23">
        <f>GB22*IF(OR($C22=79,$G22=79),0,1)</f>
        <v/>
      </c>
      <c r="GC23">
        <f>GC22*IF(OR($C22=80,$G22=80),0,1)</f>
        <v/>
      </c>
      <c r="GD23">
        <f>GD22*IF(OR($C22=81,$G22=81),0,1)</f>
        <v/>
      </c>
      <c r="GE23">
        <f>GE22*IF(OR($C22=82,$G22=82),0,1)</f>
        <v/>
      </c>
      <c r="GF23">
        <f>GF22*IF(OR($C22=83,$G22=83),0,1)</f>
        <v/>
      </c>
      <c r="GG23">
        <f>GG22*IF(OR($C22=84,$G22=84),0,1)</f>
        <v/>
      </c>
      <c r="GH23">
        <f>GH22*IF(OR($C22=85,$G22=85),0,1)</f>
        <v/>
      </c>
      <c r="GI23">
        <f>GI22*IF(OR($C22=86,$G22=86),0,1)</f>
        <v/>
      </c>
      <c r="GJ23">
        <f>GJ22*IF(OR($C22=87,$G22=87),0,1)</f>
        <v/>
      </c>
      <c r="GK23">
        <f>GK22*IF(OR($C22=88,$G22=88),0,1)</f>
        <v/>
      </c>
      <c r="GL23">
        <f>GL22*IF(OR($C22=89,$G22=89),0,1)</f>
        <v/>
      </c>
      <c r="GM23">
        <f>GM22*IF(OR($C22=90,$G22=90),0,1)</f>
        <v/>
      </c>
      <c r="GN23">
        <f>GN22*IF(OR($C22=91,$G22=91),0,1)</f>
        <v/>
      </c>
      <c r="GO23">
        <f>GO22*IF(OR($C22=92,$G22=92),0,1)</f>
        <v/>
      </c>
      <c r="GP23">
        <f>GP22*IF(OR($C22=93,$G22=93),0,1)</f>
        <v/>
      </c>
      <c r="GQ23">
        <f>GQ22*IF(OR($C22=94,$G22=94),0,1)</f>
        <v/>
      </c>
      <c r="GR23">
        <f>GR22*IF(OR($C22=95,$G22=95),0,1)</f>
        <v/>
      </c>
      <c r="GS23">
        <f>GS22*IF(OR($C22=96,$G22=96),0,1)</f>
        <v/>
      </c>
      <c r="GT23">
        <f>GT22*IF(OR($C22=97,$G22=97),0,1)</f>
        <v/>
      </c>
      <c r="GU23">
        <f>GU22*IF(OR($C22=98,$G22=98),0,1)</f>
        <v/>
      </c>
      <c r="GV23">
        <f>GV22*IF(OR($C22=99,$G22=99),0,1)</f>
        <v/>
      </c>
      <c r="GW23">
        <f>GW22*IF(OR($C22=100,$G22=100),0,1)</f>
        <v/>
      </c>
      <c r="GX23">
        <f>GX22*IF(OR($C22=101,$G22=101),0,1)</f>
        <v/>
      </c>
      <c r="GY23">
        <f>GY22*IF(OR($C22=102,$G22=102),0,1)</f>
        <v/>
      </c>
      <c r="GZ23">
        <f>GZ22*IF(OR($C22=103,$G22=103),0,1)</f>
        <v/>
      </c>
      <c r="HA23">
        <f>HA22*IF(OR($C22=104,$G22=104),0,1)</f>
        <v/>
      </c>
      <c r="HB23">
        <f>HB22*IF(OR($C22=105,$G22=105),0,1)</f>
        <v/>
      </c>
      <c r="HC23">
        <f>HC22*IF(OR($C22=106,$G22=106),0,1)</f>
        <v/>
      </c>
      <c r="HD23">
        <f>HD22*IF(OR($C22=107,$G22=107),0,1)</f>
        <v/>
      </c>
      <c r="HE23">
        <f>HE22*IF(OR($C22=108,$G22=108),0,1)</f>
        <v/>
      </c>
      <c r="HF23">
        <f>HF22*IF(OR($C22=109,$G22=109),0,1)</f>
        <v/>
      </c>
      <c r="HG23">
        <f>HG22*IF(OR($C22=110,$G22=110),0,1)</f>
        <v/>
      </c>
      <c r="HH23">
        <f>HH22*IF(OR($C22=111,$G22=111),0,1)</f>
        <v/>
      </c>
      <c r="HI23">
        <f>HI22*IF(OR($C22=112,$G22=112),0,1)</f>
        <v/>
      </c>
      <c r="HJ23">
        <f>HJ22*IF(OR($C22=113,$G22=113),0,1)</f>
        <v/>
      </c>
      <c r="HK23">
        <f>HK22*IF(OR($C22=114,$G22=114),0,1)</f>
        <v/>
      </c>
      <c r="HL23">
        <f>HL22*IF(OR($C22=115,$G22=115),0,1)</f>
        <v/>
      </c>
      <c r="HM23">
        <f>HM22*IF(OR($C22=116,$G22=116),0,1)</f>
        <v/>
      </c>
      <c r="HN23">
        <f>HN22*IF(OR($C22=117,$G22=117),0,1)</f>
        <v/>
      </c>
      <c r="HO23">
        <f>HO22*IF(OR($C22=118,$G22=118),0,1)</f>
        <v/>
      </c>
      <c r="HP23">
        <f>HP22*IF(OR($C22=119,$G22=119),0,1)</f>
        <v/>
      </c>
      <c r="HQ23">
        <f>HQ22*IF(OR($C22=120,$G22=120),0,1)</f>
        <v/>
      </c>
      <c r="HR23">
        <f>HR22*IF(OR($C22=121,$G22=121),0,1)</f>
        <v/>
      </c>
      <c r="HS23">
        <f>HS22*IF(OR($C22=122,$G22=122),0,1)</f>
        <v/>
      </c>
      <c r="HT23">
        <f>HT22*IF(OR($C22=123,$G22=123),0,1)</f>
        <v/>
      </c>
      <c r="HU23">
        <f>HU22*IF(OR($C22=124,$G22=124),0,1)</f>
        <v/>
      </c>
      <c r="HV23">
        <f>HV22*IF(OR($C22=125,$G22=125),0,1)</f>
        <v/>
      </c>
      <c r="HW23">
        <f>HW22*IF(OR($C22=126,$G22=126),0,1)</f>
        <v/>
      </c>
      <c r="HX23">
        <f>HX22*IF(OR($C22=127,$G22=127),0,1)</f>
        <v/>
      </c>
      <c r="HY23">
        <f>HY22*IF(OR($C22=128,$G22=128),0,1)</f>
        <v/>
      </c>
      <c r="HZ23">
        <f>HZ22*IF(OR($C22=129,$G22=129),0,1)</f>
        <v/>
      </c>
      <c r="IA23">
        <f>IA22*IF(OR($C22=130,$G22=130),0,1)</f>
        <v/>
      </c>
      <c r="IB23">
        <f>IB22*IF(OR($C22=131,$G22=131),0,1)</f>
        <v/>
      </c>
      <c r="IC23">
        <f>IC22*IF(OR($C22=132,$G22=132),0,1)</f>
        <v/>
      </c>
      <c r="ID23">
        <f>ID22*IF(OR($C22=133,$G22=133),0,1)</f>
        <v/>
      </c>
      <c r="IE23">
        <f>IE22*IF(OR($C22=134,$G22=134),0,1)</f>
        <v/>
      </c>
      <c r="IF23">
        <f>IF22*IF(OR($C22=135,$G22=135),0,1)</f>
        <v/>
      </c>
      <c r="IG23">
        <f>IG22*IF(OR($C22=136,$G22=136),0,1)</f>
        <v/>
      </c>
      <c r="IH23">
        <f>IH22*IF(OR($C22=137,$G22=137),0,1)</f>
        <v/>
      </c>
      <c r="II23">
        <f>II22*IF(OR($C22=138,$G22=138),0,1)</f>
        <v/>
      </c>
      <c r="IJ23">
        <f>IJ22*IF(OR($C22=139,$G22=139),0,1)</f>
        <v/>
      </c>
      <c r="IK23">
        <f>IK22*IF(OR($C22=140,$G22=140),0,1)</f>
        <v/>
      </c>
      <c r="IL23">
        <f>IL22*IF(OR($C22=141,$G22=141),0,1)</f>
        <v/>
      </c>
      <c r="IM23">
        <f>IM22*IF(OR($C22=142,$G22=142),0,1)</f>
        <v/>
      </c>
      <c r="IN23">
        <f>IN22*IF(OR($C22=143,$G22=143),0,1)</f>
        <v/>
      </c>
      <c r="IO23">
        <f>IO22*IF(OR($C22=144,$G22=144),0,1)</f>
        <v/>
      </c>
      <c r="IQ23">
        <f>IF('calcA'!D$106=1,DC23,1)</f>
        <v/>
      </c>
      <c r="IR23">
        <f>IF('calcA'!E$106=1,DD23,1)</f>
        <v/>
      </c>
      <c r="IS23">
        <f>IF('calcA'!F$106=1,DE23,1)</f>
        <v/>
      </c>
      <c r="IT23">
        <f>IF('calcA'!G$106=1,DF23,1)</f>
        <v/>
      </c>
      <c r="IU23">
        <f>IF('calcA'!H$106=1,DG23,1)</f>
        <v/>
      </c>
      <c r="IV23">
        <f>IF('calcA'!I$106=1,DH23,1)</f>
        <v/>
      </c>
      <c r="IW23">
        <f>IF('calcA'!J$106=1,DI23,1)</f>
        <v/>
      </c>
      <c r="IX23">
        <f>IF('calcA'!K$106=1,DJ23,1)</f>
        <v/>
      </c>
      <c r="IY23">
        <f>IF('calcA'!L$106=1,DK23,1)</f>
        <v/>
      </c>
      <c r="IZ23">
        <f>IF('calcA'!M$106=1,DL23,1)</f>
        <v/>
      </c>
      <c r="JA23">
        <f>IF('calcA'!N$106=1,DM23,1)</f>
        <v/>
      </c>
      <c r="JB23">
        <f>IF('calcA'!O$106=1,DN23,1)</f>
        <v/>
      </c>
      <c r="JC23">
        <f>IF('calcA'!P$106=1,DO23,1)</f>
        <v/>
      </c>
      <c r="JD23">
        <f>IF('calcA'!Q$106=1,DP23,1)</f>
        <v/>
      </c>
      <c r="JE23">
        <f>IF('calcA'!R$106=1,DQ23,1)</f>
        <v/>
      </c>
      <c r="JF23">
        <f>IF('calcA'!S$106=1,DR23,1)</f>
        <v/>
      </c>
      <c r="JG23">
        <f>IF('calcA'!T$106=1,DS23,1)</f>
        <v/>
      </c>
      <c r="JH23">
        <f>IF('calcA'!U$106=1,DT23,1)</f>
        <v/>
      </c>
      <c r="JI23">
        <f>IF('calcA'!V$106=1,DU23,1)</f>
        <v/>
      </c>
      <c r="JJ23">
        <f>IF('calcA'!W$106=1,DV23,1)</f>
        <v/>
      </c>
      <c r="JK23">
        <f>IF('calcA'!X$106=1,DW23,1)</f>
        <v/>
      </c>
      <c r="JL23">
        <f>IF('calcA'!Y$106=1,DX23,1)</f>
        <v/>
      </c>
      <c r="JM23">
        <f>IF('calcA'!Z$106=1,DY23,1)</f>
        <v/>
      </c>
      <c r="JN23">
        <f>IF('calcA'!AA$106=1,DZ23,1)</f>
        <v/>
      </c>
      <c r="JO23">
        <f>IF('calcA'!AB$106=1,EA23,1)</f>
        <v/>
      </c>
      <c r="JP23">
        <f>IF('calcA'!AC$106=1,EB23,1)</f>
        <v/>
      </c>
      <c r="JQ23">
        <f>IF('calcA'!AD$106=1,EC23,1)</f>
        <v/>
      </c>
      <c r="JR23">
        <f>IF('calcA'!AE$106=1,ED23,1)</f>
        <v/>
      </c>
      <c r="JS23">
        <f>IF('calcA'!AF$106=1,EE23,1)</f>
        <v/>
      </c>
      <c r="JT23">
        <f>IF('calcA'!AG$106=1,EF23,1)</f>
        <v/>
      </c>
      <c r="JU23">
        <f>IF('calcA'!AH$106=1,EG23,1)</f>
        <v/>
      </c>
      <c r="JV23">
        <f>IF('calcA'!AI$106=1,EH23,1)</f>
        <v/>
      </c>
      <c r="JW23">
        <f>IF('calcA'!AJ$106=1,EI23,1)</f>
        <v/>
      </c>
      <c r="JX23">
        <f>IF('calcA'!AK$106=1,EJ23,1)</f>
        <v/>
      </c>
      <c r="JY23">
        <f>IF('calcA'!AL$106=1,EK23,1)</f>
        <v/>
      </c>
      <c r="JZ23">
        <f>IF('calcA'!AM$106=1,EL23,1)</f>
        <v/>
      </c>
      <c r="KA23">
        <f>IF('calcA'!AN$106=1,EM23,1)</f>
        <v/>
      </c>
      <c r="KB23">
        <f>IF('calcA'!AO$106=1,EN23,1)</f>
        <v/>
      </c>
      <c r="KC23">
        <f>IF('calcA'!AP$106=1,EO23,1)</f>
        <v/>
      </c>
      <c r="KD23">
        <f>IF('calcA'!AQ$106=1,EP23,1)</f>
        <v/>
      </c>
      <c r="KE23">
        <f>IF('calcA'!AR$106=1,EQ23,1)</f>
        <v/>
      </c>
      <c r="KF23">
        <f>IF('calcA'!AS$106=1,ER23,1)</f>
        <v/>
      </c>
      <c r="KG23">
        <f>IF('calcA'!AT$106=1,ES23,1)</f>
        <v/>
      </c>
      <c r="KH23">
        <f>IF('calcA'!AU$106=1,ET23,1)</f>
        <v/>
      </c>
      <c r="KI23">
        <f>IF('calcA'!AV$106=1,EU23,1)</f>
        <v/>
      </c>
      <c r="KJ23">
        <f>IF('calcA'!AW$106=1,EV23,1)</f>
        <v/>
      </c>
      <c r="KK23">
        <f>IF('calcA'!AX$106=1,EW23,1)</f>
        <v/>
      </c>
      <c r="KL23">
        <f>IF('calcA'!AY$106=1,EX23,1)</f>
        <v/>
      </c>
      <c r="KM23">
        <f>IF('calcA'!AZ$106=1,EY23,1)</f>
        <v/>
      </c>
      <c r="KN23">
        <f>IF('calcA'!BA$106=1,EZ23,1)</f>
        <v/>
      </c>
      <c r="KO23">
        <f>IF('calcA'!BB$106=1,FA23,1)</f>
        <v/>
      </c>
      <c r="KP23">
        <f>IF('calcA'!BC$106=1,FB23,1)</f>
        <v/>
      </c>
      <c r="KQ23">
        <f>IF('calcA'!BD$106=1,FC23,1)</f>
        <v/>
      </c>
      <c r="KR23">
        <f>IF('calcA'!BE$106=1,FD23,1)</f>
        <v/>
      </c>
      <c r="KS23">
        <f>IF('calcA'!BF$106=1,FE23,1)</f>
        <v/>
      </c>
      <c r="KT23">
        <f>IF('calcA'!BG$106=1,FF23,1)</f>
        <v/>
      </c>
      <c r="KU23">
        <f>IF('calcA'!BH$106=1,FG23,1)</f>
        <v/>
      </c>
      <c r="KV23">
        <f>IF('calcA'!BI$106=1,FH23,1)</f>
        <v/>
      </c>
      <c r="KW23">
        <f>IF('calcA'!BJ$106=1,FI23,1)</f>
        <v/>
      </c>
      <c r="KX23">
        <f>IF('calcA'!BK$106=1,FJ23,1)</f>
        <v/>
      </c>
      <c r="KY23">
        <f>IF('calcA'!BL$106=1,FK23,1)</f>
        <v/>
      </c>
      <c r="KZ23">
        <f>IF('calcA'!BM$106=1,FL23,1)</f>
        <v/>
      </c>
      <c r="LA23">
        <f>IF('calcA'!BN$106=1,FM23,1)</f>
        <v/>
      </c>
      <c r="LB23">
        <f>IF('calcA'!BO$106=1,FN23,1)</f>
        <v/>
      </c>
      <c r="LC23">
        <f>IF('calcA'!BP$106=1,FO23,1)</f>
        <v/>
      </c>
      <c r="LD23">
        <f>IF('calcA'!BQ$106=1,FP23,1)</f>
        <v/>
      </c>
      <c r="LE23">
        <f>IF('calcA'!BR$106=1,FQ23,1)</f>
        <v/>
      </c>
      <c r="LF23">
        <f>IF('calcA'!BS$106=1,FR23,1)</f>
        <v/>
      </c>
      <c r="LG23">
        <f>IF('calcA'!BT$106=1,FS23,1)</f>
        <v/>
      </c>
      <c r="LH23">
        <f>IF('calcA'!BU$106=1,FT23,1)</f>
        <v/>
      </c>
      <c r="LI23">
        <f>IF('calcA'!BV$106=1,FU23,1)</f>
        <v/>
      </c>
      <c r="LJ23">
        <f>IF('calcA'!BW$106=1,FV23,1)</f>
        <v/>
      </c>
      <c r="LK23">
        <f>IF('calcA'!BX$106=1,FW23,1)</f>
        <v/>
      </c>
      <c r="LL23">
        <f>IF('calcA'!BY$106=1,FX23,1)</f>
        <v/>
      </c>
      <c r="LM23">
        <f>IF('calcA'!BZ$106=1,FY23,1)</f>
        <v/>
      </c>
      <c r="LN23">
        <f>IF('calcA'!CA$106=1,FZ23,1)</f>
        <v/>
      </c>
      <c r="LO23">
        <f>IF('calcA'!CB$106=1,GA23,1)</f>
        <v/>
      </c>
      <c r="LP23">
        <f>IF('calcA'!CC$106=1,GB23,1)</f>
        <v/>
      </c>
      <c r="LQ23">
        <f>IF('calcA'!CD$106=1,GC23,1)</f>
        <v/>
      </c>
      <c r="LR23">
        <f>IF('calcA'!CE$106=1,GD23,1)</f>
        <v/>
      </c>
      <c r="LS23">
        <f>IF('calcA'!CF$106=1,GE23,1)</f>
        <v/>
      </c>
      <c r="LT23">
        <f>IF('calcA'!CG$106=1,GF23,1)</f>
        <v/>
      </c>
      <c r="LU23">
        <f>IF('calcA'!CH$106=1,GG23,1)</f>
        <v/>
      </c>
      <c r="LV23">
        <f>IF('calcA'!CI$106=1,GH23,1)</f>
        <v/>
      </c>
      <c r="LW23">
        <f>IF('calcA'!CJ$106=1,GI23,1)</f>
        <v/>
      </c>
      <c r="LX23">
        <f>IF('calcA'!CK$106=1,GJ23,1)</f>
        <v/>
      </c>
      <c r="LY23">
        <f>IF('calcA'!CL$106=1,GK23,1)</f>
        <v/>
      </c>
      <c r="LZ23">
        <f>IF('calcA'!CM$106=1,GL23,1)</f>
        <v/>
      </c>
      <c r="MA23">
        <f>IF('calcA'!CN$106=1,GM23,1)</f>
        <v/>
      </c>
      <c r="MB23">
        <f>IF('calcA'!CO$106=1,GN23,1)</f>
        <v/>
      </c>
      <c r="MC23">
        <f>IF('calcA'!CP$106=1,GO23,1)</f>
        <v/>
      </c>
      <c r="MD23">
        <f>IF('calcA'!CQ$106=1,GP23,1)</f>
        <v/>
      </c>
      <c r="ME23">
        <f>IF('calcA'!CR$106=1,GQ23,1)</f>
        <v/>
      </c>
      <c r="MF23">
        <f>IF('calcA'!CS$106=1,GR23,1)</f>
        <v/>
      </c>
      <c r="MG23">
        <f>IF('calcA'!CT$106=1,GS23,1)</f>
        <v/>
      </c>
      <c r="MH23">
        <f>IF('calcA'!CU$106=1,GT23,1)</f>
        <v/>
      </c>
      <c r="MI23">
        <f>IF('calcA'!CV$106=1,GU23,1)</f>
        <v/>
      </c>
      <c r="MJ23">
        <f>IF('calcA'!CW$106=1,GV23,1)</f>
        <v/>
      </c>
      <c r="MK23">
        <f>IF('calcA'!CX$106=1,GW23,1)</f>
        <v/>
      </c>
      <c r="ML23">
        <f>IF('calcA'!CY$106=1,GX23,1)</f>
        <v/>
      </c>
      <c r="MM23">
        <f>IF('calcA'!CZ$106=1,GY23,1)</f>
        <v/>
      </c>
      <c r="MN23">
        <f>IF('calcA'!DA$106=1,GZ23,1)</f>
        <v/>
      </c>
      <c r="MO23">
        <f>IF('calcA'!DB$106=1,HA23,1)</f>
        <v/>
      </c>
      <c r="MP23">
        <f>IF('calcA'!DC$106=1,HB23,1)</f>
        <v/>
      </c>
      <c r="MQ23">
        <f>IF('calcA'!DD$106=1,HC23,1)</f>
        <v/>
      </c>
      <c r="MR23">
        <f>IF('calcA'!DE$106=1,HD23,1)</f>
        <v/>
      </c>
      <c r="MS23">
        <f>IF('calcA'!DF$106=1,HE23,1)</f>
        <v/>
      </c>
      <c r="MT23">
        <f>IF('calcA'!DG$106=1,HF23,1)</f>
        <v/>
      </c>
      <c r="MU23">
        <f>IF('calcA'!DH$106=1,HG23,1)</f>
        <v/>
      </c>
      <c r="MV23">
        <f>IF('calcA'!DI$106=1,HH23,1)</f>
        <v/>
      </c>
      <c r="MW23">
        <f>IF('calcA'!DJ$106=1,HI23,1)</f>
        <v/>
      </c>
      <c r="MX23">
        <f>IF('calcA'!DK$106=1,HJ23,1)</f>
        <v/>
      </c>
      <c r="MY23">
        <f>IF('calcA'!DL$106=1,HK23,1)</f>
        <v/>
      </c>
      <c r="MZ23">
        <f>IF('calcA'!DM$106=1,HL23,1)</f>
        <v/>
      </c>
      <c r="NA23">
        <f>IF('calcA'!DN$106=1,HM23,1)</f>
        <v/>
      </c>
      <c r="NB23">
        <f>IF('calcA'!DO$106=1,HN23,1)</f>
        <v/>
      </c>
      <c r="NC23">
        <f>IF('calcA'!DP$106=1,HO23,1)</f>
        <v/>
      </c>
      <c r="ND23">
        <f>IF('calcA'!DQ$106=1,HP23,1)</f>
        <v/>
      </c>
      <c r="NE23">
        <f>IF('calcA'!DR$106=1,HQ23,1)</f>
        <v/>
      </c>
      <c r="NF23">
        <f>IF('calcA'!DS$106=1,HR23,1)</f>
        <v/>
      </c>
      <c r="NG23">
        <f>IF('calcA'!DT$106=1,HS23,1)</f>
        <v/>
      </c>
      <c r="NH23">
        <f>IF('calcA'!DU$106=1,HT23,1)</f>
        <v/>
      </c>
      <c r="NI23">
        <f>IF('calcA'!DV$106=1,HU23,1)</f>
        <v/>
      </c>
      <c r="NJ23">
        <f>IF('calcA'!DW$106=1,HV23,1)</f>
        <v/>
      </c>
      <c r="NK23">
        <f>IF('calcA'!DX$106=1,HW23,1)</f>
        <v/>
      </c>
      <c r="NL23">
        <f>IF('calcA'!DY$106=1,HX23,1)</f>
        <v/>
      </c>
      <c r="NM23">
        <f>IF('calcA'!DZ$106=1,HY23,1)</f>
        <v/>
      </c>
      <c r="NN23">
        <f>IF('calcA'!EA$106=1,HZ23,1)</f>
        <v/>
      </c>
      <c r="NO23">
        <f>IF('calcA'!EB$106=1,IA23,1)</f>
        <v/>
      </c>
      <c r="NP23">
        <f>IF('calcA'!EC$106=1,IB23,1)</f>
        <v/>
      </c>
      <c r="NQ23">
        <f>IF('calcA'!ED$106=1,IC23,1)</f>
        <v/>
      </c>
      <c r="NR23">
        <f>IF('calcA'!EE$106=1,ID23,1)</f>
        <v/>
      </c>
      <c r="NS23">
        <f>IF('calcA'!EF$106=1,IE23,1)</f>
        <v/>
      </c>
      <c r="NT23">
        <f>IF('calcA'!EG$106=1,IF23,1)</f>
        <v/>
      </c>
      <c r="NU23">
        <f>IF('calcA'!EH$106=1,IG23,1)</f>
        <v/>
      </c>
      <c r="NV23">
        <f>IF('calcA'!EI$106=1,IH23,1)</f>
        <v/>
      </c>
      <c r="NW23">
        <f>IF('calcA'!EJ$106=1,II23,1)</f>
        <v/>
      </c>
      <c r="NX23">
        <f>IF('calcA'!EK$106=1,IJ23,1)</f>
        <v/>
      </c>
      <c r="NY23">
        <f>IF('calcA'!EL$106=1,IK23,1)</f>
        <v/>
      </c>
      <c r="NZ23">
        <f>IF('calcA'!EM$106=1,IL23,1)</f>
        <v/>
      </c>
      <c r="OA23">
        <f>IF('calcA'!EN$106=1,IM23,1)</f>
        <v/>
      </c>
      <c r="OB23">
        <f>IF('calcA'!EO$106=1,IN23,1)</f>
        <v/>
      </c>
      <c r="OC23">
        <f>IF('calcA'!EP$106=1,IO23,1)</f>
        <v/>
      </c>
      <c r="OD23" t="n">
        <v>1</v>
      </c>
      <c r="OF23">
        <f>IF($B23=0,1000000000,IF(INDEX('calcA'!$D$60:$EQ$99,$B23,1)*IF($W23=1,DB23+ZQ23,DB23)=1,IF(AND($E23=2,IF($W23=1,AFF23,IQ23)=0),1000000000,IF($V23=1,INDEX('calcA'!$D$130:$EQ$169,$B23,1)+IF(AND($E23=1,IQ23=0),25,0),IF($F23&gt;0,INDEX('calcA'!D$110:D$114,$F23+1)+IF(AND($E23=1,IQ23=0),1000,0),MIN(TU23,20)*400+(IF('calcA'!D$106=1,1-DC23,0))*150+11+'calcA'!D$5*100000+IF(AND($E23=1,IQ23=0),50000,0))+IF($H23=1,INDEX('calcA'!$D$180:$EQ$219,$B23,1)*4000,0)-IF(AND($U23=1,'calcA'!D$117=1,DC23=0),2000,0))),1000000000))</f>
        <v/>
      </c>
      <c r="OG23">
        <f>IF($B23=0,1000000000,IF(INDEX('calcA'!$D$60:$EQ$99,$B23,2)*IF($W23=1,DC23+ZR23,DC23)=1,IF(AND($E23=2,IF($W23=1,AFG23,IR23)=0),1000000000,IF($V23=1,INDEX('calcA'!$D$130:$EQ$169,$B23,2)+IF(AND($E23=1,IR23=0),25,0),IF($F23&gt;0,INDEX('calcA'!E$110:E$114,$F23+1)+IF(AND($E23=1,IR23=0),1000,0),MIN(TU23,20)*400+(IF('calcA'!D$106=1,1-DB23,0)+IF('calcA'!E$106=1,1-DD23,0))*150+21+'calcA'!E$5*100000+IF(AND($E23=1,IR23=0),50000,0))+IF($H23=1,INDEX('calcA'!$D$180:$EQ$219,$B23,2)*4000,0)-IF(AND('calcA'!D$117=1,UB23&gt;0),2000,0)-IF(AND($U23=1,'calcA'!E$117=1,DD23=0),2000,0))),1000000000))</f>
        <v/>
      </c>
      <c r="OH23">
        <f>IF($B23=0,1000000000,IF(INDEX('calcA'!$D$60:$EQ$99,$B23,3)*IF($W23=1,DD23+ZS23,DD23)=1,IF(AND($E23=2,IF($W23=1,AFH23,IS23)=0),1000000000,IF($V23=1,INDEX('calcA'!$D$130:$EQ$169,$B23,3)+IF(AND($E23=1,IS23=0),25,0),IF($F23&gt;0,INDEX('calcA'!F$110:F$114,$F23+1)+IF(AND($E23=1,IS23=0),1000,0),MIN(TU23,20)*400+(IF('calcA'!E$106=1,1-DC23,0)+IF('calcA'!F$106=1,1-DE23,0))*150+31+'calcA'!F$5*100000+IF(AND($E23=1,IS23=0),50000,0))+IF($H23=1,INDEX('calcA'!$D$180:$EQ$219,$B23,3)*4000,0)-IF(AND('calcA'!E$117=1,UC23&gt;0),2000,0)-IF(AND($U23=1,'calcA'!F$117=1,DE23=0),2000,0))),1000000000))</f>
        <v/>
      </c>
      <c r="OI23">
        <f>IF($B23=0,1000000000,IF(INDEX('calcA'!$D$60:$EQ$99,$B23,4)*IF($W23=1,DE23+ZT23,DE23)=1,IF(AND($E23=2,IF($W23=1,AFI23,IT23)=0),1000000000,IF($V23=1,INDEX('calcA'!$D$130:$EQ$169,$B23,4)+IF(AND($E23=1,IT23=0),25,0),IF($F23&gt;0,INDEX('calcA'!G$110:G$114,$F23+1)+IF(AND($E23=1,IT23=0),1000,0),MIN(TU23,20)*400+(IF('calcA'!F$106=1,1-DD23,0)+IF('calcA'!G$106=1,1-DF23,0))*150+41+'calcA'!G$5*100000+IF(AND($E23=1,IT23=0),50000,0))+IF($H23=1,INDEX('calcA'!$D$180:$EQ$219,$B23,4)*4000,0)-IF(AND('calcA'!F$117=1,UD23&gt;0),2000,0)-IF(AND($U23=1,'calcA'!G$117=1,DF23=0),2000,0))),1000000000))</f>
        <v/>
      </c>
      <c r="OJ23">
        <f>IF($B23=0,1000000000,IF(INDEX('calcA'!$D$60:$EQ$99,$B23,5)*IF($W23=1,DF23+ZU23,DF23)=1,IF(AND($E23=2,IF($W23=1,AFJ23,IU23)=0),1000000000,IF($V23=1,INDEX('calcA'!$D$130:$EQ$169,$B23,5)+IF(AND($E23=1,IU23=0),25,0),IF($F23&gt;0,INDEX('calcA'!H$110:H$114,$F23+1)+IF(AND($E23=1,IU23=0),1000,0),MIN(TU23,20)*400+(IF('calcA'!G$106=1,1-DE23,0)+IF('calcA'!H$106=1,1-DG23,0))*150+51+'calcA'!H$5*100000+IF(AND($E23=1,IU23=0),50000,0))+IF($H23=1,INDEX('calcA'!$D$180:$EQ$219,$B23,5)*4000,0)-IF(AND('calcA'!G$117=1,UE23&gt;0),2000,0)-IF(AND($U23=1,'calcA'!H$117=1,DG23=0),2000,0))),1000000000))</f>
        <v/>
      </c>
      <c r="OK23">
        <f>IF($B23=0,1000000000,IF(INDEX('calcA'!$D$60:$EQ$99,$B23,6)*IF($W23=1,DG23+ZV23,DG23)=1,IF(AND($E23=2,IF($W23=1,AFK23,IV23)=0),1000000000,IF($V23=1,INDEX('calcA'!$D$130:$EQ$169,$B23,6)+IF(AND($E23=1,IV23=0),25,0),IF($F23&gt;0,INDEX('calcA'!I$110:I$114,$F23+1)+IF(AND($E23=1,IV23=0),1000,0),MIN(TU23,20)*400+(IF('calcA'!H$106=1,1-DF23,0)+IF('calcA'!I$106=1,1-DH23,0))*150+61+'calcA'!I$5*100000+IF(AND($E23=1,IV23=0),50000,0))+IF($H23=1,INDEX('calcA'!$D$180:$EQ$219,$B23,6)*4000,0)-IF(AND('calcA'!H$117=1,UF23&gt;0),2000,0)-IF(AND($U23=1,'calcA'!I$117=1,DH23=0),2000,0))),1000000000))</f>
        <v/>
      </c>
      <c r="OL23">
        <f>IF($B23=0,1000000000,IF(INDEX('calcA'!$D$60:$EQ$99,$B23,7)*IF($W23=1,DH23+ZW23,DH23)=1,IF(AND($E23=2,IF($W23=1,AFL23,IW23)=0),1000000000,IF($V23=1,INDEX('calcA'!$D$130:$EQ$169,$B23,7)+IF(AND($E23=1,IW23=0),25,0),IF($F23&gt;0,INDEX('calcA'!J$110:J$114,$F23+1)+IF(AND($E23=1,IW23=0),1000,0),MIN(TU23,20)*400+(IF('calcA'!I$106=1,1-DG23,0)+IF('calcA'!J$106=1,1-DI23,0))*150+71+'calcA'!J$5*100000+IF(AND($E23=1,IW23=0),50000,0))+IF($H23=1,INDEX('calcA'!$D$180:$EQ$219,$B23,7)*4000,0)-IF(AND('calcA'!I$117=1,UG23&gt;0),2000,0)-IF(AND($U23=1,'calcA'!J$117=1,DI23=0),2000,0))),1000000000))</f>
        <v/>
      </c>
      <c r="OM23">
        <f>IF($B23=0,1000000000,IF(INDEX('calcA'!$D$60:$EQ$99,$B23,8)*IF($W23=1,DI23+ZX23,DI23)=1,IF(AND($E23=2,IF($W23=1,AFM23,IX23)=0),1000000000,IF($V23=1,INDEX('calcA'!$D$130:$EQ$169,$B23,8)+IF(AND($E23=1,IX23=0),25,0),IF($F23&gt;0,INDEX('calcA'!K$110:K$114,$F23+1)+IF(AND($E23=1,IX23=0),1000,0),MIN(TU23,20)*400+(IF('calcA'!J$106=1,1-DH23,0)+IF('calcA'!K$106=1,1-DJ23,0))*150+81+'calcA'!K$5*100000+IF(AND($E23=1,IX23=0),50000,0))+IF($H23=1,INDEX('calcA'!$D$180:$EQ$219,$B23,8)*4000,0)-IF(AND('calcA'!J$117=1,UH23&gt;0),2000,0)-IF(AND($U23=1,'calcA'!K$117=1,DJ23=0),2000,0))),1000000000))</f>
        <v/>
      </c>
      <c r="ON23">
        <f>IF($B23=0,1000000000,IF(INDEX('calcA'!$D$60:$EQ$99,$B23,9)*IF($W23=1,DJ23+ZY23,DJ23)=1,IF(AND($E23=2,IF($W23=1,AFN23,IY23)=0),1000000000,IF($V23=1,INDEX('calcA'!$D$130:$EQ$169,$B23,9)+IF(AND($E23=1,IY23=0),25,0),IF($F23&gt;0,INDEX('calcA'!L$110:L$114,$F23+1)+IF(AND($E23=1,IY23=0),1000,0),MIN(TU23,20)*400+(IF('calcA'!K$106=1,1-DI23,0)+IF('calcA'!L$106=1,1-DK23,0))*150+91+'calcA'!L$5*100000+IF(AND($E23=1,IY23=0),50000,0))+IF($H23=1,INDEX('calcA'!$D$180:$EQ$219,$B23,9)*4000,0)-IF(AND('calcA'!K$117=1,UI23&gt;0),2000,0)-IF(AND($U23=1,'calcA'!L$117=1,DK23=0),2000,0))),1000000000))</f>
        <v/>
      </c>
      <c r="OO23">
        <f>IF($B23=0,1000000000,IF(INDEX('calcA'!$D$60:$EQ$99,$B23,10)*IF($W23=1,DK23+ZZ23,DK23)=1,IF(AND($E23=2,IF($W23=1,AFO23,IZ23)=0),1000000000,IF($V23=1,INDEX('calcA'!$D$130:$EQ$169,$B23,10)+IF(AND($E23=1,IZ23=0),25,0),IF($F23&gt;0,INDEX('calcA'!M$110:M$114,$F23+1)+IF(AND($E23=1,IZ23=0),1000,0),MIN(TU23,20)*400+(IF('calcA'!L$106=1,1-DJ23,0)+IF('calcA'!M$106=1,1-DL23,0))*150+101+'calcA'!M$5*100000+IF(AND($E23=1,IZ23=0),50000,0))+IF($H23=1,INDEX('calcA'!$D$180:$EQ$219,$B23,10)*4000,0)-IF(AND('calcA'!L$117=1,UJ23&gt;0),2000,0)-IF(AND($U23=1,'calcA'!M$117=1,DL23=0),2000,0))),1000000000))</f>
        <v/>
      </c>
      <c r="OP23">
        <f>IF($B23=0,1000000000,IF(INDEX('calcA'!$D$60:$EQ$99,$B23,11)*IF($W23=1,DL23+AAA23,DL23)=1,IF(AND($E23=2,IF($W23=1,AFP23,JA23)=0),1000000000,IF($V23=1,INDEX('calcA'!$D$130:$EQ$169,$B23,11)+IF(AND($E23=1,JA23=0),25,0),IF($F23&gt;0,INDEX('calcA'!N$110:N$114,$F23+1)+IF(AND($E23=1,JA23=0),1000,0),MIN(TU23,20)*400+(IF('calcA'!M$106=1,1-DK23,0)+IF('calcA'!N$106=1,1-DM23,0))*150+111+'calcA'!N$5*100000+IF(AND($E23=1,JA23=0),50000,0))+IF($H23=1,INDEX('calcA'!$D$180:$EQ$219,$B23,11)*4000,0)-IF(AND('calcA'!M$117=1,UK23&gt;0),2000,0)-IF(AND($U23=1,'calcA'!N$117=1,DM23=0),2000,0))),1000000000))</f>
        <v/>
      </c>
      <c r="OQ23">
        <f>IF($B23=0,1000000000,IF(INDEX('calcA'!$D$60:$EQ$99,$B23,12)*IF($W23=1,DM23+AAB23,DM23)=1,IF(AND($E23=2,IF($W23=1,AFQ23,JB23)=0),1000000000,IF($V23=1,INDEX('calcA'!$D$130:$EQ$169,$B23,12)+IF(AND($E23=1,JB23=0),25,0),IF($F23&gt;0,INDEX('calcA'!O$110:O$114,$F23+1)+IF(AND($E23=1,JB23=0),1000,0),MIN(TU23,20)*400+(IF('calcA'!N$106=1,1-DL23,0)+IF('calcA'!O$106=1,1-DN23,0))*150+121+'calcA'!O$5*100000+IF(AND($E23=1,JB23=0),50000,0))+IF($H23=1,INDEX('calcA'!$D$180:$EQ$219,$B23,12)*4000,0)-IF(AND('calcA'!N$117=1,UL23&gt;0),2000,0)-IF(AND($U23=1,'calcA'!O$117=1,DN23=0),2000,0))),1000000000))</f>
        <v/>
      </c>
      <c r="OR23">
        <f>IF($B23=0,1000000000,IF(INDEX('calcA'!$D$60:$EQ$99,$B23,13)*IF($W23=1,DN23+AAC23,DN23)=1,IF(AND($E23=2,IF($W23=1,AFR23,JC23)=0),1000000000,IF($V23=1,INDEX('calcA'!$D$130:$EQ$169,$B23,13)+IF(AND($E23=1,JC23=0),25,0),IF($F23&gt;0,INDEX('calcA'!P$110:P$114,$F23+1)+IF(AND($E23=1,JC23=0),1000,0),MIN(TU23,20)*400+(IF('calcA'!O$106=1,1-DM23,0)+IF('calcA'!P$106=1,1-DO23,0))*150+131+'calcA'!P$5*100000+IF(AND($E23=1,JC23=0),50000,0))+IF($H23=1,INDEX('calcA'!$D$180:$EQ$219,$B23,13)*4000,0)-IF(AND('calcA'!O$117=1,UM23&gt;0),2000,0)-IF(AND($U23=1,'calcA'!P$117=1,DO23=0),2000,0))),1000000000))</f>
        <v/>
      </c>
      <c r="OS23">
        <f>IF($B23=0,1000000000,IF(INDEX('calcA'!$D$60:$EQ$99,$B23,14)*IF($W23=1,DO23+AAD23,DO23)=1,IF(AND($E23=2,IF($W23=1,AFS23,JD23)=0),1000000000,IF($V23=1,INDEX('calcA'!$D$130:$EQ$169,$B23,14)+IF(AND($E23=1,JD23=0),25,0),IF($F23&gt;0,INDEX('calcA'!Q$110:Q$114,$F23+1)+IF(AND($E23=1,JD23=0),1000,0),MIN(TU23,20)*400+(IF('calcA'!P$106=1,1-DN23,0)+IF('calcA'!Q$106=1,1-DP23,0))*150+141+'calcA'!Q$5*100000+IF(AND($E23=1,JD23=0),50000,0))+IF($H23=1,INDEX('calcA'!$D$180:$EQ$219,$B23,14)*4000,0)-IF(AND('calcA'!P$117=1,UN23&gt;0),2000,0)-IF(AND($U23=1,'calcA'!Q$117=1,DP23=0),2000,0))),1000000000))</f>
        <v/>
      </c>
      <c r="OT23">
        <f>IF($B23=0,1000000000,IF(INDEX('calcA'!$D$60:$EQ$99,$B23,15)*IF($W23=1,DP23+AAE23,DP23)=1,IF(AND($E23=2,IF($W23=1,AFT23,JE23)=0),1000000000,IF($V23=1,INDEX('calcA'!$D$130:$EQ$169,$B23,15)+IF(AND($E23=1,JE23=0),25,0),IF($F23&gt;0,INDEX('calcA'!R$110:R$114,$F23+1)+IF(AND($E23=1,JE23=0),1000,0),MIN(TU23,20)*400+(IF('calcA'!Q$106=1,1-DO23,0)+IF('calcA'!R$106=1,1-DQ23,0))*150+151+'calcA'!R$5*100000+IF(AND($E23=1,JE23=0),50000,0))+IF($H23=1,INDEX('calcA'!$D$180:$EQ$219,$B23,15)*4000,0)-IF(AND('calcA'!Q$117=1,UO23&gt;0),2000,0)-IF(AND($U23=1,'calcA'!R$117=1,DQ23=0),2000,0))),1000000000))</f>
        <v/>
      </c>
      <c r="OU23">
        <f>IF($B23=0,1000000000,IF(INDEX('calcA'!$D$60:$EQ$99,$B23,16)*IF($W23=1,DQ23+AAF23,DQ23)=1,IF(AND($E23=2,IF($W23=1,AFU23,JF23)=0),1000000000,IF($V23=1,INDEX('calcA'!$D$130:$EQ$169,$B23,16)+IF(AND($E23=1,JF23=0),25,0),IF($F23&gt;0,INDEX('calcA'!S$110:S$114,$F23+1)+IF(AND($E23=1,JF23=0),1000,0),MIN(TU23,20)*400+(IF('calcA'!R$106=1,1-DP23,0)+IF('calcA'!S$106=1,1-DR23,0))*150+161+'calcA'!S$5*100000+IF(AND($E23=1,JF23=0),50000,0))+IF($H23=1,INDEX('calcA'!$D$180:$EQ$219,$B23,16)*4000,0)-IF(AND('calcA'!R$117=1,UP23&gt;0),2000,0)-IF(AND($U23=1,'calcA'!S$117=1,DR23=0),2000,0))),1000000000))</f>
        <v/>
      </c>
      <c r="OV23">
        <f>IF($B23=0,1000000000,IF(INDEX('calcA'!$D$60:$EQ$99,$B23,17)*IF($W23=1,DR23+AAG23,DR23)=1,IF(AND($E23=2,IF($W23=1,AFV23,JG23)=0),1000000000,IF($V23=1,INDEX('calcA'!$D$130:$EQ$169,$B23,17)+IF(AND($E23=1,JG23=0),25,0),IF($F23&gt;0,INDEX('calcA'!T$110:T$114,$F23+1)+IF(AND($E23=1,JG23=0),1000,0),MIN(TU23,20)*400+(IF('calcA'!S$106=1,1-DQ23,0)+IF('calcA'!T$106=1,1-DS23,0))*150+171+'calcA'!T$5*100000+IF(AND($E23=1,JG23=0),50000,0))+IF($H23=1,INDEX('calcA'!$D$180:$EQ$219,$B23,17)*4000,0)-IF(AND('calcA'!S$117=1,UQ23&gt;0),2000,0)-IF(AND($U23=1,'calcA'!T$117=1,DS23=0),2000,0))),1000000000))</f>
        <v/>
      </c>
      <c r="OW23">
        <f>IF($B23=0,1000000000,IF(INDEX('calcA'!$D$60:$EQ$99,$B23,18)*IF($W23=1,DS23+AAH23,DS23)=1,IF(AND($E23=2,IF($W23=1,AFW23,JH23)=0),1000000000,IF($V23=1,INDEX('calcA'!$D$130:$EQ$169,$B23,18)+IF(AND($E23=1,JH23=0),25,0),IF($F23&gt;0,INDEX('calcA'!U$110:U$114,$F23+1)+IF(AND($E23=1,JH23=0),1000,0),MIN(TU23,20)*400+(IF('calcA'!T$106=1,1-DR23,0)+IF('calcA'!U$106=1,1-DT23,0))*150+181+'calcA'!U$5*100000+IF(AND($E23=1,JH23=0),50000,0))+IF($H23=1,INDEX('calcA'!$D$180:$EQ$219,$B23,18)*4000,0)-IF(AND('calcA'!T$117=1,UR23&gt;0),2000,0)-IF(AND($U23=1,'calcA'!U$117=1,DT23=0),2000,0))),1000000000))</f>
        <v/>
      </c>
      <c r="OX23">
        <f>IF($B23=0,1000000000,IF(INDEX('calcA'!$D$60:$EQ$99,$B23,19)*IF($W23=1,DT23+AAI23,DT23)=1,IF(AND($E23=2,IF($W23=1,AFX23,JI23)=0),1000000000,IF($V23=1,INDEX('calcA'!$D$130:$EQ$169,$B23,19)+IF(AND($E23=1,JI23=0),25,0),IF($F23&gt;0,INDEX('calcA'!V$110:V$114,$F23+1)+IF(AND($E23=1,JI23=0),1000,0),MIN(TU23,20)*400+(IF('calcA'!U$106=1,1-DS23,0)+IF('calcA'!V$106=1,1-DU23,0))*150+191+'calcA'!V$5*100000+IF(AND($E23=1,JI23=0),50000,0))+IF($H23=1,INDEX('calcA'!$D$180:$EQ$219,$B23,19)*4000,0)-IF(AND('calcA'!U$117=1,US23&gt;0),2000,0)-IF(AND($U23=1,'calcA'!V$117=1,DU23=0),2000,0))),1000000000))</f>
        <v/>
      </c>
      <c r="OY23">
        <f>IF($B23=0,1000000000,IF(INDEX('calcA'!$D$60:$EQ$99,$B23,20)*IF($W23=1,DU23+AAJ23,DU23)=1,IF(AND($E23=2,IF($W23=1,AFY23,JJ23)=0),1000000000,IF($V23=1,INDEX('calcA'!$D$130:$EQ$169,$B23,20)+IF(AND($E23=1,JJ23=0),25,0),IF($F23&gt;0,INDEX('calcA'!W$110:W$114,$F23+1)+IF(AND($E23=1,JJ23=0),1000,0),MIN(TU23,20)*400+(IF('calcA'!V$106=1,1-DT23,0)+IF('calcA'!W$106=1,1-DV23,0))*150+201+'calcA'!W$5*100000+IF(AND($E23=1,JJ23=0),50000,0))+IF($H23=1,INDEX('calcA'!$D$180:$EQ$219,$B23,20)*4000,0)-IF(AND('calcA'!V$117=1,UT23&gt;0),2000,0)-IF(AND($U23=1,'calcA'!W$117=1,DV23=0),2000,0))),1000000000))</f>
        <v/>
      </c>
      <c r="OZ23">
        <f>IF($B23=0,1000000000,IF(INDEX('calcA'!$D$60:$EQ$99,$B23,21)*IF($W23=1,DV23+AAK23,DV23)=1,IF(AND($E23=2,IF($W23=1,AFZ23,JK23)=0),1000000000,IF($V23=1,INDEX('calcA'!$D$130:$EQ$169,$B23,21)+IF(AND($E23=1,JK23=0),25,0),IF($F23&gt;0,INDEX('calcA'!X$110:X$114,$F23+1)+IF(AND($E23=1,JK23=0),1000,0),MIN(TU23,20)*400+(IF('calcA'!W$106=1,1-DU23,0)+IF('calcA'!X$106=1,1-DW23,0))*150+211+'calcA'!X$5*100000+IF(AND($E23=1,JK23=0),50000,0))+IF($H23=1,INDEX('calcA'!$D$180:$EQ$219,$B23,21)*4000,0)-IF(AND('calcA'!W$117=1,UU23&gt;0),2000,0)-IF(AND($U23=1,'calcA'!X$117=1,DW23=0),2000,0))),1000000000))</f>
        <v/>
      </c>
      <c r="PA23">
        <f>IF($B23=0,1000000000,IF(INDEX('calcA'!$D$60:$EQ$99,$B23,22)*IF($W23=1,DW23+AAL23,DW23)=1,IF(AND($E23=2,IF($W23=1,AGA23,JL23)=0),1000000000,IF($V23=1,INDEX('calcA'!$D$130:$EQ$169,$B23,22)+IF(AND($E23=1,JL23=0),25,0),IF($F23&gt;0,INDEX('calcA'!Y$110:Y$114,$F23+1)+IF(AND($E23=1,JL23=0),1000,0),MIN(TU23,20)*400+(IF('calcA'!X$106=1,1-DV23,0)+IF('calcA'!Y$106=1,1-DX23,0))*150+221+'calcA'!Y$5*100000+IF(AND($E23=1,JL23=0),50000,0))+IF($H23=1,INDEX('calcA'!$D$180:$EQ$219,$B23,22)*4000,0)-IF(AND('calcA'!X$117=1,UV23&gt;0),2000,0)-IF(AND($U23=1,'calcA'!Y$117=1,DX23=0),2000,0))),1000000000))</f>
        <v/>
      </c>
      <c r="PB23">
        <f>IF($B23=0,1000000000,IF(INDEX('calcA'!$D$60:$EQ$99,$B23,23)*IF($W23=1,DX23+AAM23,DX23)=1,IF(AND($E23=2,IF($W23=1,AGB23,JM23)=0),1000000000,IF($V23=1,INDEX('calcA'!$D$130:$EQ$169,$B23,23)+IF(AND($E23=1,JM23=0),25,0),IF($F23&gt;0,INDEX('calcA'!Z$110:Z$114,$F23+1)+IF(AND($E23=1,JM23=0),1000,0),MIN(TU23,20)*400+(IF('calcA'!Y$106=1,1-DW23,0)+IF('calcA'!Z$106=1,1-DY23,0))*150+231+'calcA'!Z$5*100000+IF(AND($E23=1,JM23=0),50000,0))+IF($H23=1,INDEX('calcA'!$D$180:$EQ$219,$B23,23)*4000,0)-IF(AND('calcA'!Y$117=1,UW23&gt;0),2000,0)-IF(AND($U23=1,'calcA'!Z$117=1,DY23=0),2000,0))),1000000000))</f>
        <v/>
      </c>
      <c r="PC23">
        <f>IF($B23=0,1000000000,IF(INDEX('calcA'!$D$60:$EQ$99,$B23,24)*IF($W23=1,DY23+AAN23,DY23)=1,IF(AND($E23=2,IF($W23=1,AGC23,JN23)=0),1000000000,IF($V23=1,INDEX('calcA'!$D$130:$EQ$169,$B23,24)+IF(AND($E23=1,JN23=0),25,0),IF($F23&gt;0,INDEX('calcA'!AA$110:AA$114,$F23+1)+IF(AND($E23=1,JN23=0),1000,0),MIN(TU23,20)*400+(IF('calcA'!Z$106=1,1-DX23,0))*150+241+'calcA'!AA$5*100000+IF(AND($E23=1,JN23=0),50000,0))+IF($H23=1,INDEX('calcA'!$D$180:$EQ$219,$B23,24)*4000,0)-IF(AND('calcA'!Z$117=1,UX23&gt;0),2000,0))),1000000000))</f>
        <v/>
      </c>
      <c r="PD23">
        <f>IF($B23=0,1000000000,IF(INDEX('calcA'!$D$60:$EQ$99,$B23,25)*IF($W23=1,DZ23+AAO23,DZ23)=1,IF(AND($E23=2,IF($W23=1,AGD23,JO23)=0),1000000000,IF($V23=1,INDEX('calcA'!$D$130:$EQ$169,$B23,25)+IF(AND($E23=1,JO23=0),25,0),IF($F23&gt;0,INDEX('calcA'!AB$110:AB$114,$F23+1)+IF(AND($E23=1,JO23=0),1000,0),MIN(TV23,20)*400+(IF('calcA'!AB$106=1,1-EA23,0))*150+12+'calcA'!AB$5*100000+IF(AND($E23=1,JO23=0),50000,0))+IF($H23=1,INDEX('calcA'!$D$180:$EQ$219,$B23,25)*4000,0)-IF(AND($U23=1,'calcA'!AB$117=1,EA23=0),2000,0))),1000000000))</f>
        <v/>
      </c>
      <c r="PE23">
        <f>IF($B23=0,1000000000,IF(INDEX('calcA'!$D$60:$EQ$99,$B23,26)*IF($W23=1,EA23+AAP23,EA23)=1,IF(AND($E23=2,IF($W23=1,AGE23,JP23)=0),1000000000,IF($V23=1,INDEX('calcA'!$D$130:$EQ$169,$B23,26)+IF(AND($E23=1,JP23=0),25,0),IF($F23&gt;0,INDEX('calcA'!AC$110:AC$114,$F23+1)+IF(AND($E23=1,JP23=0),1000,0),MIN(TV23,20)*400+(IF('calcA'!AB$106=1,1-DZ23,0)+IF('calcA'!AC$106=1,1-EB23,0))*150+22+'calcA'!AC$5*100000+IF(AND($E23=1,JP23=0),50000,0))+IF($H23=1,INDEX('calcA'!$D$180:$EQ$219,$B23,26)*4000,0)-IF(AND('calcA'!AB$117=1,UZ23&gt;0),2000,0)-IF(AND($U23=1,'calcA'!AC$117=1,EB23=0),2000,0))),1000000000))</f>
        <v/>
      </c>
      <c r="PF23">
        <f>IF($B23=0,1000000000,IF(INDEX('calcA'!$D$60:$EQ$99,$B23,27)*IF($W23=1,EB23+AAQ23,EB23)=1,IF(AND($E23=2,IF($W23=1,AGF23,JQ23)=0),1000000000,IF($V23=1,INDEX('calcA'!$D$130:$EQ$169,$B23,27)+IF(AND($E23=1,JQ23=0),25,0),IF($F23&gt;0,INDEX('calcA'!AD$110:AD$114,$F23+1)+IF(AND($E23=1,JQ23=0),1000,0),MIN(TV23,20)*400+(IF('calcA'!AC$106=1,1-EA23,0)+IF('calcA'!AD$106=1,1-EC23,0))*150+32+'calcA'!AD$5*100000+IF(AND($E23=1,JQ23=0),50000,0))+IF($H23=1,INDEX('calcA'!$D$180:$EQ$219,$B23,27)*4000,0)-IF(AND('calcA'!AC$117=1,VA23&gt;0),2000,0)-IF(AND($U23=1,'calcA'!AD$117=1,EC23=0),2000,0))),1000000000))</f>
        <v/>
      </c>
      <c r="PG23">
        <f>IF($B23=0,1000000000,IF(INDEX('calcA'!$D$60:$EQ$99,$B23,28)*IF($W23=1,EC23+AAR23,EC23)=1,IF(AND($E23=2,IF($W23=1,AGG23,JR23)=0),1000000000,IF($V23=1,INDEX('calcA'!$D$130:$EQ$169,$B23,28)+IF(AND($E23=1,JR23=0),25,0),IF($F23&gt;0,INDEX('calcA'!AE$110:AE$114,$F23+1)+IF(AND($E23=1,JR23=0),1000,0),MIN(TV23,20)*400+(IF('calcA'!AD$106=1,1-EB23,0)+IF('calcA'!AE$106=1,1-ED23,0))*150+42+'calcA'!AE$5*100000+IF(AND($E23=1,JR23=0),50000,0))+IF($H23=1,INDEX('calcA'!$D$180:$EQ$219,$B23,28)*4000,0)-IF(AND('calcA'!AD$117=1,VB23&gt;0),2000,0)-IF(AND($U23=1,'calcA'!AE$117=1,ED23=0),2000,0))),1000000000))</f>
        <v/>
      </c>
      <c r="PH23">
        <f>IF($B23=0,1000000000,IF(INDEX('calcA'!$D$60:$EQ$99,$B23,29)*IF($W23=1,ED23+AAS23,ED23)=1,IF(AND($E23=2,IF($W23=1,AGH23,JS23)=0),1000000000,IF($V23=1,INDEX('calcA'!$D$130:$EQ$169,$B23,29)+IF(AND($E23=1,JS23=0),25,0),IF($F23&gt;0,INDEX('calcA'!AF$110:AF$114,$F23+1)+IF(AND($E23=1,JS23=0),1000,0),MIN(TV23,20)*400+(IF('calcA'!AE$106=1,1-EC23,0)+IF('calcA'!AF$106=1,1-EE23,0))*150+52+'calcA'!AF$5*100000+IF(AND($E23=1,JS23=0),50000,0))+IF($H23=1,INDEX('calcA'!$D$180:$EQ$219,$B23,29)*4000,0)-IF(AND('calcA'!AE$117=1,VC23&gt;0),2000,0)-IF(AND($U23=1,'calcA'!AF$117=1,EE23=0),2000,0))),1000000000))</f>
        <v/>
      </c>
      <c r="PI23">
        <f>IF($B23=0,1000000000,IF(INDEX('calcA'!$D$60:$EQ$99,$B23,30)*IF($W23=1,EE23+AAT23,EE23)=1,IF(AND($E23=2,IF($W23=1,AGI23,JT23)=0),1000000000,IF($V23=1,INDEX('calcA'!$D$130:$EQ$169,$B23,30)+IF(AND($E23=1,JT23=0),25,0),IF($F23&gt;0,INDEX('calcA'!AG$110:AG$114,$F23+1)+IF(AND($E23=1,JT23=0),1000,0),MIN(TV23,20)*400+(IF('calcA'!AF$106=1,1-ED23,0)+IF('calcA'!AG$106=1,1-EF23,0))*150+62+'calcA'!AG$5*100000+IF(AND($E23=1,JT23=0),50000,0))+IF($H23=1,INDEX('calcA'!$D$180:$EQ$219,$B23,30)*4000,0)-IF(AND('calcA'!AF$117=1,VD23&gt;0),2000,0)-IF(AND($U23=1,'calcA'!AG$117=1,EF23=0),2000,0))),1000000000))</f>
        <v/>
      </c>
      <c r="PJ23">
        <f>IF($B23=0,1000000000,IF(INDEX('calcA'!$D$60:$EQ$99,$B23,31)*IF($W23=1,EF23+AAU23,EF23)=1,IF(AND($E23=2,IF($W23=1,AGJ23,JU23)=0),1000000000,IF($V23=1,INDEX('calcA'!$D$130:$EQ$169,$B23,31)+IF(AND($E23=1,JU23=0),25,0),IF($F23&gt;0,INDEX('calcA'!AH$110:AH$114,$F23+1)+IF(AND($E23=1,JU23=0),1000,0),MIN(TV23,20)*400+(IF('calcA'!AG$106=1,1-EE23,0)+IF('calcA'!AH$106=1,1-EG23,0))*150+72+'calcA'!AH$5*100000+IF(AND($E23=1,JU23=0),50000,0))+IF($H23=1,INDEX('calcA'!$D$180:$EQ$219,$B23,31)*4000,0)-IF(AND('calcA'!AG$117=1,VE23&gt;0),2000,0)-IF(AND($U23=1,'calcA'!AH$117=1,EG23=0),2000,0))),1000000000))</f>
        <v/>
      </c>
      <c r="PK23">
        <f>IF($B23=0,1000000000,IF(INDEX('calcA'!$D$60:$EQ$99,$B23,32)*IF($W23=1,EG23+AAV23,EG23)=1,IF(AND($E23=2,IF($W23=1,AGK23,JV23)=0),1000000000,IF($V23=1,INDEX('calcA'!$D$130:$EQ$169,$B23,32)+IF(AND($E23=1,JV23=0),25,0),IF($F23&gt;0,INDEX('calcA'!AI$110:AI$114,$F23+1)+IF(AND($E23=1,JV23=0),1000,0),MIN(TV23,20)*400+(IF('calcA'!AH$106=1,1-EF23,0)+IF('calcA'!AI$106=1,1-EH23,0))*150+82+'calcA'!AI$5*100000+IF(AND($E23=1,JV23=0),50000,0))+IF($H23=1,INDEX('calcA'!$D$180:$EQ$219,$B23,32)*4000,0)-IF(AND('calcA'!AH$117=1,VF23&gt;0),2000,0)-IF(AND($U23=1,'calcA'!AI$117=1,EH23=0),2000,0))),1000000000))</f>
        <v/>
      </c>
      <c r="PL23">
        <f>IF($B23=0,1000000000,IF(INDEX('calcA'!$D$60:$EQ$99,$B23,33)*IF($W23=1,EH23+AAW23,EH23)=1,IF(AND($E23=2,IF($W23=1,AGL23,JW23)=0),1000000000,IF($V23=1,INDEX('calcA'!$D$130:$EQ$169,$B23,33)+IF(AND($E23=1,JW23=0),25,0),IF($F23&gt;0,INDEX('calcA'!AJ$110:AJ$114,$F23+1)+IF(AND($E23=1,JW23=0),1000,0),MIN(TV23,20)*400+(IF('calcA'!AI$106=1,1-EG23,0)+IF('calcA'!AJ$106=1,1-EI23,0))*150+92+'calcA'!AJ$5*100000+IF(AND($E23=1,JW23=0),50000,0))+IF($H23=1,INDEX('calcA'!$D$180:$EQ$219,$B23,33)*4000,0)-IF(AND('calcA'!AI$117=1,VG23&gt;0),2000,0)-IF(AND($U23=1,'calcA'!AJ$117=1,EI23=0),2000,0))),1000000000))</f>
        <v/>
      </c>
      <c r="PM23">
        <f>IF($B23=0,1000000000,IF(INDEX('calcA'!$D$60:$EQ$99,$B23,34)*IF($W23=1,EI23+AAX23,EI23)=1,IF(AND($E23=2,IF($W23=1,AGM23,JX23)=0),1000000000,IF($V23=1,INDEX('calcA'!$D$130:$EQ$169,$B23,34)+IF(AND($E23=1,JX23=0),25,0),IF($F23&gt;0,INDEX('calcA'!AK$110:AK$114,$F23+1)+IF(AND($E23=1,JX23=0),1000,0),MIN(TV23,20)*400+(IF('calcA'!AJ$106=1,1-EH23,0)+IF('calcA'!AK$106=1,1-EJ23,0))*150+102+'calcA'!AK$5*100000+IF(AND($E23=1,JX23=0),50000,0))+IF($H23=1,INDEX('calcA'!$D$180:$EQ$219,$B23,34)*4000,0)-IF(AND('calcA'!AJ$117=1,VH23&gt;0),2000,0)-IF(AND($U23=1,'calcA'!AK$117=1,EJ23=0),2000,0))),1000000000))</f>
        <v/>
      </c>
      <c r="PN23">
        <f>IF($B23=0,1000000000,IF(INDEX('calcA'!$D$60:$EQ$99,$B23,35)*IF($W23=1,EJ23+AAY23,EJ23)=1,IF(AND($E23=2,IF($W23=1,AGN23,JY23)=0),1000000000,IF($V23=1,INDEX('calcA'!$D$130:$EQ$169,$B23,35)+IF(AND($E23=1,JY23=0),25,0),IF($F23&gt;0,INDEX('calcA'!AL$110:AL$114,$F23+1)+IF(AND($E23=1,JY23=0),1000,0),MIN(TV23,20)*400+(IF('calcA'!AK$106=1,1-EI23,0)+IF('calcA'!AL$106=1,1-EK23,0))*150+112+'calcA'!AL$5*100000+IF(AND($E23=1,JY23=0),50000,0))+IF($H23=1,INDEX('calcA'!$D$180:$EQ$219,$B23,35)*4000,0)-IF(AND('calcA'!AK$117=1,VI23&gt;0),2000,0)-IF(AND($U23=1,'calcA'!AL$117=1,EK23=0),2000,0))),1000000000))</f>
        <v/>
      </c>
      <c r="PO23">
        <f>IF($B23=0,1000000000,IF(INDEX('calcA'!$D$60:$EQ$99,$B23,36)*IF($W23=1,EK23+AAZ23,EK23)=1,IF(AND($E23=2,IF($W23=1,AGO23,JZ23)=0),1000000000,IF($V23=1,INDEX('calcA'!$D$130:$EQ$169,$B23,36)+IF(AND($E23=1,JZ23=0),25,0),IF($F23&gt;0,INDEX('calcA'!AM$110:AM$114,$F23+1)+IF(AND($E23=1,JZ23=0),1000,0),MIN(TV23,20)*400+(IF('calcA'!AL$106=1,1-EJ23,0)+IF('calcA'!AM$106=1,1-EL23,0))*150+122+'calcA'!AM$5*100000+IF(AND($E23=1,JZ23=0),50000,0))+IF($H23=1,INDEX('calcA'!$D$180:$EQ$219,$B23,36)*4000,0)-IF(AND('calcA'!AL$117=1,VJ23&gt;0),2000,0)-IF(AND($U23=1,'calcA'!AM$117=1,EL23=0),2000,0))),1000000000))</f>
        <v/>
      </c>
      <c r="PP23">
        <f>IF($B23=0,1000000000,IF(INDEX('calcA'!$D$60:$EQ$99,$B23,37)*IF($W23=1,EL23+ABA23,EL23)=1,IF(AND($E23=2,IF($W23=1,AGP23,KA23)=0),1000000000,IF($V23=1,INDEX('calcA'!$D$130:$EQ$169,$B23,37)+IF(AND($E23=1,KA23=0),25,0),IF($F23&gt;0,INDEX('calcA'!AN$110:AN$114,$F23+1)+IF(AND($E23=1,KA23=0),1000,0),MIN(TV23,20)*400+(IF('calcA'!AM$106=1,1-EK23,0)+IF('calcA'!AN$106=1,1-EM23,0))*150+132+'calcA'!AN$5*100000+IF(AND($E23=1,KA23=0),50000,0))+IF($H23=1,INDEX('calcA'!$D$180:$EQ$219,$B23,37)*4000,0)-IF(AND('calcA'!AM$117=1,VK23&gt;0),2000,0)-IF(AND($U23=1,'calcA'!AN$117=1,EM23=0),2000,0))),1000000000))</f>
        <v/>
      </c>
      <c r="PQ23">
        <f>IF($B23=0,1000000000,IF(INDEX('calcA'!$D$60:$EQ$99,$B23,38)*IF($W23=1,EM23+ABB23,EM23)=1,IF(AND($E23=2,IF($W23=1,AGQ23,KB23)=0),1000000000,IF($V23=1,INDEX('calcA'!$D$130:$EQ$169,$B23,38)+IF(AND($E23=1,KB23=0),25,0),IF($F23&gt;0,INDEX('calcA'!AO$110:AO$114,$F23+1)+IF(AND($E23=1,KB23=0),1000,0),MIN(TV23,20)*400+(IF('calcA'!AN$106=1,1-EL23,0)+IF('calcA'!AO$106=1,1-EN23,0))*150+142+'calcA'!AO$5*100000+IF(AND($E23=1,KB23=0),50000,0))+IF($H23=1,INDEX('calcA'!$D$180:$EQ$219,$B23,38)*4000,0)-IF(AND('calcA'!AN$117=1,VL23&gt;0),2000,0)-IF(AND($U23=1,'calcA'!AO$117=1,EN23=0),2000,0))),1000000000))</f>
        <v/>
      </c>
      <c r="PR23">
        <f>IF($B23=0,1000000000,IF(INDEX('calcA'!$D$60:$EQ$99,$B23,39)*IF($W23=1,EN23+ABC23,EN23)=1,IF(AND($E23=2,IF($W23=1,AGR23,KC23)=0),1000000000,IF($V23=1,INDEX('calcA'!$D$130:$EQ$169,$B23,39)+IF(AND($E23=1,KC23=0),25,0),IF($F23&gt;0,INDEX('calcA'!AP$110:AP$114,$F23+1)+IF(AND($E23=1,KC23=0),1000,0),MIN(TV23,20)*400+(IF('calcA'!AO$106=1,1-EM23,0)+IF('calcA'!AP$106=1,1-EO23,0))*150+152+'calcA'!AP$5*100000+IF(AND($E23=1,KC23=0),50000,0))+IF($H23=1,INDEX('calcA'!$D$180:$EQ$219,$B23,39)*4000,0)-IF(AND('calcA'!AO$117=1,VM23&gt;0),2000,0)-IF(AND($U23=1,'calcA'!AP$117=1,EO23=0),2000,0))),1000000000))</f>
        <v/>
      </c>
      <c r="PS23">
        <f>IF($B23=0,1000000000,IF(INDEX('calcA'!$D$60:$EQ$99,$B23,40)*IF($W23=1,EO23+ABD23,EO23)=1,IF(AND($E23=2,IF($W23=1,AGS23,KD23)=0),1000000000,IF($V23=1,INDEX('calcA'!$D$130:$EQ$169,$B23,40)+IF(AND($E23=1,KD23=0),25,0),IF($F23&gt;0,INDEX('calcA'!AQ$110:AQ$114,$F23+1)+IF(AND($E23=1,KD23=0),1000,0),MIN(TV23,20)*400+(IF('calcA'!AP$106=1,1-EN23,0)+IF('calcA'!AQ$106=1,1-EP23,0))*150+162+'calcA'!AQ$5*100000+IF(AND($E23=1,KD23=0),50000,0))+IF($H23=1,INDEX('calcA'!$D$180:$EQ$219,$B23,40)*4000,0)-IF(AND('calcA'!AP$117=1,VN23&gt;0),2000,0)-IF(AND($U23=1,'calcA'!AQ$117=1,EP23=0),2000,0))),1000000000))</f>
        <v/>
      </c>
      <c r="PT23">
        <f>IF($B23=0,1000000000,IF(INDEX('calcA'!$D$60:$EQ$99,$B23,41)*IF($W23=1,EP23+ABE23,EP23)=1,IF(AND($E23=2,IF($W23=1,AGT23,KE23)=0),1000000000,IF($V23=1,INDEX('calcA'!$D$130:$EQ$169,$B23,41)+IF(AND($E23=1,KE23=0),25,0),IF($F23&gt;0,INDEX('calcA'!AR$110:AR$114,$F23+1)+IF(AND($E23=1,KE23=0),1000,0),MIN(TV23,20)*400+(IF('calcA'!AQ$106=1,1-EO23,0)+IF('calcA'!AR$106=1,1-EQ23,0))*150+172+'calcA'!AR$5*100000+IF(AND($E23=1,KE23=0),50000,0))+IF($H23=1,INDEX('calcA'!$D$180:$EQ$219,$B23,41)*4000,0)-IF(AND('calcA'!AQ$117=1,VO23&gt;0),2000,0)-IF(AND($U23=1,'calcA'!AR$117=1,EQ23=0),2000,0))),1000000000))</f>
        <v/>
      </c>
      <c r="PU23">
        <f>IF($B23=0,1000000000,IF(INDEX('calcA'!$D$60:$EQ$99,$B23,42)*IF($W23=1,EQ23+ABF23,EQ23)=1,IF(AND($E23=2,IF($W23=1,AGU23,KF23)=0),1000000000,IF($V23=1,INDEX('calcA'!$D$130:$EQ$169,$B23,42)+IF(AND($E23=1,KF23=0),25,0),IF($F23&gt;0,INDEX('calcA'!AS$110:AS$114,$F23+1)+IF(AND($E23=1,KF23=0),1000,0),MIN(TV23,20)*400+(IF('calcA'!AR$106=1,1-EP23,0)+IF('calcA'!AS$106=1,1-ER23,0))*150+182+'calcA'!AS$5*100000+IF(AND($E23=1,KF23=0),50000,0))+IF($H23=1,INDEX('calcA'!$D$180:$EQ$219,$B23,42)*4000,0)-IF(AND('calcA'!AR$117=1,VP23&gt;0),2000,0)-IF(AND($U23=1,'calcA'!AS$117=1,ER23=0),2000,0))),1000000000))</f>
        <v/>
      </c>
      <c r="PV23">
        <f>IF($B23=0,1000000000,IF(INDEX('calcA'!$D$60:$EQ$99,$B23,43)*IF($W23=1,ER23+ABG23,ER23)=1,IF(AND($E23=2,IF($W23=1,AGV23,KG23)=0),1000000000,IF($V23=1,INDEX('calcA'!$D$130:$EQ$169,$B23,43)+IF(AND($E23=1,KG23=0),25,0),IF($F23&gt;0,INDEX('calcA'!AT$110:AT$114,$F23+1)+IF(AND($E23=1,KG23=0),1000,0),MIN(TV23,20)*400+(IF('calcA'!AS$106=1,1-EQ23,0)+IF('calcA'!AT$106=1,1-ES23,0))*150+192+'calcA'!AT$5*100000+IF(AND($E23=1,KG23=0),50000,0))+IF($H23=1,INDEX('calcA'!$D$180:$EQ$219,$B23,43)*4000,0)-IF(AND('calcA'!AS$117=1,VQ23&gt;0),2000,0)-IF(AND($U23=1,'calcA'!AT$117=1,ES23=0),2000,0))),1000000000))</f>
        <v/>
      </c>
      <c r="PW23">
        <f>IF($B23=0,1000000000,IF(INDEX('calcA'!$D$60:$EQ$99,$B23,44)*IF($W23=1,ES23+ABH23,ES23)=1,IF(AND($E23=2,IF($W23=1,AGW23,KH23)=0),1000000000,IF($V23=1,INDEX('calcA'!$D$130:$EQ$169,$B23,44)+IF(AND($E23=1,KH23=0),25,0),IF($F23&gt;0,INDEX('calcA'!AU$110:AU$114,$F23+1)+IF(AND($E23=1,KH23=0),1000,0),MIN(TV23,20)*400+(IF('calcA'!AT$106=1,1-ER23,0)+IF('calcA'!AU$106=1,1-ET23,0))*150+202+'calcA'!AU$5*100000+IF(AND($E23=1,KH23=0),50000,0))+IF($H23=1,INDEX('calcA'!$D$180:$EQ$219,$B23,44)*4000,0)-IF(AND('calcA'!AT$117=1,VR23&gt;0),2000,0)-IF(AND($U23=1,'calcA'!AU$117=1,ET23=0),2000,0))),1000000000))</f>
        <v/>
      </c>
      <c r="PX23">
        <f>IF($B23=0,1000000000,IF(INDEX('calcA'!$D$60:$EQ$99,$B23,45)*IF($W23=1,ET23+ABI23,ET23)=1,IF(AND($E23=2,IF($W23=1,AGX23,KI23)=0),1000000000,IF($V23=1,INDEX('calcA'!$D$130:$EQ$169,$B23,45)+IF(AND($E23=1,KI23=0),25,0),IF($F23&gt;0,INDEX('calcA'!AV$110:AV$114,$F23+1)+IF(AND($E23=1,KI23=0),1000,0),MIN(TV23,20)*400+(IF('calcA'!AU$106=1,1-ES23,0)+IF('calcA'!AV$106=1,1-EU23,0))*150+212+'calcA'!AV$5*100000+IF(AND($E23=1,KI23=0),50000,0))+IF($H23=1,INDEX('calcA'!$D$180:$EQ$219,$B23,45)*4000,0)-IF(AND('calcA'!AU$117=1,VS23&gt;0),2000,0)-IF(AND($U23=1,'calcA'!AV$117=1,EU23=0),2000,0))),1000000000))</f>
        <v/>
      </c>
      <c r="PY23">
        <f>IF($B23=0,1000000000,IF(INDEX('calcA'!$D$60:$EQ$99,$B23,46)*IF($W23=1,EU23+ABJ23,EU23)=1,IF(AND($E23=2,IF($W23=1,AGY23,KJ23)=0),1000000000,IF($V23=1,INDEX('calcA'!$D$130:$EQ$169,$B23,46)+IF(AND($E23=1,KJ23=0),25,0),IF($F23&gt;0,INDEX('calcA'!AW$110:AW$114,$F23+1)+IF(AND($E23=1,KJ23=0),1000,0),MIN(TV23,20)*400+(IF('calcA'!AV$106=1,1-ET23,0)+IF('calcA'!AW$106=1,1-EV23,0))*150+222+'calcA'!AW$5*100000+IF(AND($E23=1,KJ23=0),50000,0))+IF($H23=1,INDEX('calcA'!$D$180:$EQ$219,$B23,46)*4000,0)-IF(AND('calcA'!AV$117=1,VT23&gt;0),2000,0)-IF(AND($U23=1,'calcA'!AW$117=1,EV23=0),2000,0))),1000000000))</f>
        <v/>
      </c>
      <c r="PZ23">
        <f>IF($B23=0,1000000000,IF(INDEX('calcA'!$D$60:$EQ$99,$B23,47)*IF($W23=1,EV23+ABK23,EV23)=1,IF(AND($E23=2,IF($W23=1,AGZ23,KK23)=0),1000000000,IF($V23=1,INDEX('calcA'!$D$130:$EQ$169,$B23,47)+IF(AND($E23=1,KK23=0),25,0),IF($F23&gt;0,INDEX('calcA'!AX$110:AX$114,$F23+1)+IF(AND($E23=1,KK23=0),1000,0),MIN(TV23,20)*400+(IF('calcA'!AW$106=1,1-EU23,0)+IF('calcA'!AX$106=1,1-EW23,0))*150+232+'calcA'!AX$5*100000+IF(AND($E23=1,KK23=0),50000,0))+IF($H23=1,INDEX('calcA'!$D$180:$EQ$219,$B23,47)*4000,0)-IF(AND('calcA'!AW$117=1,VU23&gt;0),2000,0)-IF(AND($U23=1,'calcA'!AX$117=1,EW23=0),2000,0))),1000000000))</f>
        <v/>
      </c>
      <c r="QA23">
        <f>IF($B23=0,1000000000,IF(INDEX('calcA'!$D$60:$EQ$99,$B23,48)*IF($W23=1,EW23+ABL23,EW23)=1,IF(AND($E23=2,IF($W23=1,AHA23,KL23)=0),1000000000,IF($V23=1,INDEX('calcA'!$D$130:$EQ$169,$B23,48)+IF(AND($E23=1,KL23=0),25,0),IF($F23&gt;0,INDEX('calcA'!AY$110:AY$114,$F23+1)+IF(AND($E23=1,KL23=0),1000,0),MIN(TV23,20)*400+(IF('calcA'!AX$106=1,1-EV23,0))*150+242+'calcA'!AY$5*100000+IF(AND($E23=1,KL23=0),50000,0))+IF($H23=1,INDEX('calcA'!$D$180:$EQ$219,$B23,48)*4000,0)-IF(AND('calcA'!AX$117=1,VV23&gt;0),2000,0))),1000000000))</f>
        <v/>
      </c>
      <c r="QB23">
        <f>IF($B23=0,1000000000,IF(INDEX('calcA'!$D$60:$EQ$99,$B23,49)*IF($W23=1,EX23+ABM23,EX23)=1,IF(AND($E23=2,IF($W23=1,AHB23,KM23)=0),1000000000,IF($V23=1,INDEX('calcA'!$D$130:$EQ$169,$B23,49)+IF(AND($E23=1,KM23=0),25,0),IF($F23&gt;0,INDEX('calcA'!AZ$110:AZ$114,$F23+1)+IF(AND($E23=1,KM23=0),1000,0),MIN(TW23,20)*400+(IF('calcA'!AZ$106=1,1-EY23,0))*150+13+'calcA'!AZ$5*100000+IF(AND($E23=1,KM23=0),50000,0))+IF($H23=1,INDEX('calcA'!$D$180:$EQ$219,$B23,49)*4000,0)-IF(AND($U23=1,'calcA'!AZ$117=1,EY23=0),2000,0))),1000000000))</f>
        <v/>
      </c>
      <c r="QC23">
        <f>IF($B23=0,1000000000,IF(INDEX('calcA'!$D$60:$EQ$99,$B23,50)*IF($W23=1,EY23+ABN23,EY23)=1,IF(AND($E23=2,IF($W23=1,AHC23,KN23)=0),1000000000,IF($V23=1,INDEX('calcA'!$D$130:$EQ$169,$B23,50)+IF(AND($E23=1,KN23=0),25,0),IF($F23&gt;0,INDEX('calcA'!BA$110:BA$114,$F23+1)+IF(AND($E23=1,KN23=0),1000,0),MIN(TW23,20)*400+(IF('calcA'!AZ$106=1,1-EX23,0)+IF('calcA'!BA$106=1,1-EZ23,0))*150+23+'calcA'!BA$5*100000+IF(AND($E23=1,KN23=0),50000,0))+IF($H23=1,INDEX('calcA'!$D$180:$EQ$219,$B23,50)*4000,0)-IF(AND('calcA'!AZ$117=1,VX23&gt;0),2000,0)-IF(AND($U23=1,'calcA'!BA$117=1,EZ23=0),2000,0))),1000000000))</f>
        <v/>
      </c>
      <c r="QD23">
        <f>IF($B23=0,1000000000,IF(INDEX('calcA'!$D$60:$EQ$99,$B23,51)*IF($W23=1,EZ23+ABO23,EZ23)=1,IF(AND($E23=2,IF($W23=1,AHD23,KO23)=0),1000000000,IF($V23=1,INDEX('calcA'!$D$130:$EQ$169,$B23,51)+IF(AND($E23=1,KO23=0),25,0),IF($F23&gt;0,INDEX('calcA'!BB$110:BB$114,$F23+1)+IF(AND($E23=1,KO23=0),1000,0),MIN(TW23,20)*400+(IF('calcA'!BA$106=1,1-EY23,0)+IF('calcA'!BB$106=1,1-FA23,0))*150+33+'calcA'!BB$5*100000+IF(AND($E23=1,KO23=0),50000,0))+IF($H23=1,INDEX('calcA'!$D$180:$EQ$219,$B23,51)*4000,0)-IF(AND('calcA'!BA$117=1,VY23&gt;0),2000,0)-IF(AND($U23=1,'calcA'!BB$117=1,FA23=0),2000,0))),1000000000))</f>
        <v/>
      </c>
      <c r="QE23">
        <f>IF($B23=0,1000000000,IF(INDEX('calcA'!$D$60:$EQ$99,$B23,52)*IF($W23=1,FA23+ABP23,FA23)=1,IF(AND($E23=2,IF($W23=1,AHE23,KP23)=0),1000000000,IF($V23=1,INDEX('calcA'!$D$130:$EQ$169,$B23,52)+IF(AND($E23=1,KP23=0),25,0),IF($F23&gt;0,INDEX('calcA'!BC$110:BC$114,$F23+1)+IF(AND($E23=1,KP23=0),1000,0),MIN(TW23,20)*400+(IF('calcA'!BB$106=1,1-EZ23,0)+IF('calcA'!BC$106=1,1-FB23,0))*150+43+'calcA'!BC$5*100000+IF(AND($E23=1,KP23=0),50000,0))+IF($H23=1,INDEX('calcA'!$D$180:$EQ$219,$B23,52)*4000,0)-IF(AND('calcA'!BB$117=1,VZ23&gt;0),2000,0)-IF(AND($U23=1,'calcA'!BC$117=1,FB23=0),2000,0))),1000000000))</f>
        <v/>
      </c>
      <c r="QF23">
        <f>IF($B23=0,1000000000,IF(INDEX('calcA'!$D$60:$EQ$99,$B23,53)*IF($W23=1,FB23+ABQ23,FB23)=1,IF(AND($E23=2,IF($W23=1,AHF23,KQ23)=0),1000000000,IF($V23=1,INDEX('calcA'!$D$130:$EQ$169,$B23,53)+IF(AND($E23=1,KQ23=0),25,0),IF($F23&gt;0,INDEX('calcA'!BD$110:BD$114,$F23+1)+IF(AND($E23=1,KQ23=0),1000,0),MIN(TW23,20)*400+(IF('calcA'!BC$106=1,1-FA23,0)+IF('calcA'!BD$106=1,1-FC23,0))*150+53+'calcA'!BD$5*100000+IF(AND($E23=1,KQ23=0),50000,0))+IF($H23=1,INDEX('calcA'!$D$180:$EQ$219,$B23,53)*4000,0)-IF(AND('calcA'!BC$117=1,WA23&gt;0),2000,0)-IF(AND($U23=1,'calcA'!BD$117=1,FC23=0),2000,0))),1000000000))</f>
        <v/>
      </c>
      <c r="QG23">
        <f>IF($B23=0,1000000000,IF(INDEX('calcA'!$D$60:$EQ$99,$B23,54)*IF($W23=1,FC23+ABR23,FC23)=1,IF(AND($E23=2,IF($W23=1,AHG23,KR23)=0),1000000000,IF($V23=1,INDEX('calcA'!$D$130:$EQ$169,$B23,54)+IF(AND($E23=1,KR23=0),25,0),IF($F23&gt;0,INDEX('calcA'!BE$110:BE$114,$F23+1)+IF(AND($E23=1,KR23=0),1000,0),MIN(TW23,20)*400+(IF('calcA'!BD$106=1,1-FB23,0)+IF('calcA'!BE$106=1,1-FD23,0))*150+63+'calcA'!BE$5*100000+IF(AND($E23=1,KR23=0),50000,0))+IF($H23=1,INDEX('calcA'!$D$180:$EQ$219,$B23,54)*4000,0)-IF(AND('calcA'!BD$117=1,WB23&gt;0),2000,0)-IF(AND($U23=1,'calcA'!BE$117=1,FD23=0),2000,0))),1000000000))</f>
        <v/>
      </c>
      <c r="QH23">
        <f>IF($B23=0,1000000000,IF(INDEX('calcA'!$D$60:$EQ$99,$B23,55)*IF($W23=1,FD23+ABS23,FD23)=1,IF(AND($E23=2,IF($W23=1,AHH23,KS23)=0),1000000000,IF($V23=1,INDEX('calcA'!$D$130:$EQ$169,$B23,55)+IF(AND($E23=1,KS23=0),25,0),IF($F23&gt;0,INDEX('calcA'!BF$110:BF$114,$F23+1)+IF(AND($E23=1,KS23=0),1000,0),MIN(TW23,20)*400+(IF('calcA'!BE$106=1,1-FC23,0)+IF('calcA'!BF$106=1,1-FE23,0))*150+73+'calcA'!BF$5*100000+IF(AND($E23=1,KS23=0),50000,0))+IF($H23=1,INDEX('calcA'!$D$180:$EQ$219,$B23,55)*4000,0)-IF(AND('calcA'!BE$117=1,WC23&gt;0),2000,0)-IF(AND($U23=1,'calcA'!BF$117=1,FE23=0),2000,0))),1000000000))</f>
        <v/>
      </c>
      <c r="QI23">
        <f>IF($B23=0,1000000000,IF(INDEX('calcA'!$D$60:$EQ$99,$B23,56)*IF($W23=1,FE23+ABT23,FE23)=1,IF(AND($E23=2,IF($W23=1,AHI23,KT23)=0),1000000000,IF($V23=1,INDEX('calcA'!$D$130:$EQ$169,$B23,56)+IF(AND($E23=1,KT23=0),25,0),IF($F23&gt;0,INDEX('calcA'!BG$110:BG$114,$F23+1)+IF(AND($E23=1,KT23=0),1000,0),MIN(TW23,20)*400+(IF('calcA'!BF$106=1,1-FD23,0)+IF('calcA'!BG$106=1,1-FF23,0))*150+83+'calcA'!BG$5*100000+IF(AND($E23=1,KT23=0),50000,0))+IF($H23=1,INDEX('calcA'!$D$180:$EQ$219,$B23,56)*4000,0)-IF(AND('calcA'!BF$117=1,WD23&gt;0),2000,0)-IF(AND($U23=1,'calcA'!BG$117=1,FF23=0),2000,0))),1000000000))</f>
        <v/>
      </c>
      <c r="QJ23">
        <f>IF($B23=0,1000000000,IF(INDEX('calcA'!$D$60:$EQ$99,$B23,57)*IF($W23=1,FF23+ABU23,FF23)=1,IF(AND($E23=2,IF($W23=1,AHJ23,KU23)=0),1000000000,IF($V23=1,INDEX('calcA'!$D$130:$EQ$169,$B23,57)+IF(AND($E23=1,KU23=0),25,0),IF($F23&gt;0,INDEX('calcA'!BH$110:BH$114,$F23+1)+IF(AND($E23=1,KU23=0),1000,0),MIN(TW23,20)*400+(IF('calcA'!BG$106=1,1-FE23,0)+IF('calcA'!BH$106=1,1-FG23,0))*150+93+'calcA'!BH$5*100000+IF(AND($E23=1,KU23=0),50000,0))+IF($H23=1,INDEX('calcA'!$D$180:$EQ$219,$B23,57)*4000,0)-IF(AND('calcA'!BG$117=1,WE23&gt;0),2000,0)-IF(AND($U23=1,'calcA'!BH$117=1,FG23=0),2000,0))),1000000000))</f>
        <v/>
      </c>
      <c r="QK23">
        <f>IF($B23=0,1000000000,IF(INDEX('calcA'!$D$60:$EQ$99,$B23,58)*IF($W23=1,FG23+ABV23,FG23)=1,IF(AND($E23=2,IF($W23=1,AHK23,KV23)=0),1000000000,IF($V23=1,INDEX('calcA'!$D$130:$EQ$169,$B23,58)+IF(AND($E23=1,KV23=0),25,0),IF($F23&gt;0,INDEX('calcA'!BI$110:BI$114,$F23+1)+IF(AND($E23=1,KV23=0),1000,0),MIN(TW23,20)*400+(IF('calcA'!BH$106=1,1-FF23,0)+IF('calcA'!BI$106=1,1-FH23,0))*150+103+'calcA'!BI$5*100000+IF(AND($E23=1,KV23=0),50000,0))+IF($H23=1,INDEX('calcA'!$D$180:$EQ$219,$B23,58)*4000,0)-IF(AND('calcA'!BH$117=1,WF23&gt;0),2000,0)-IF(AND($U23=1,'calcA'!BI$117=1,FH23=0),2000,0))),1000000000))</f>
        <v/>
      </c>
      <c r="QL23">
        <f>IF($B23=0,1000000000,IF(INDEX('calcA'!$D$60:$EQ$99,$B23,59)*IF($W23=1,FH23+ABW23,FH23)=1,IF(AND($E23=2,IF($W23=1,AHL23,KW23)=0),1000000000,IF($V23=1,INDEX('calcA'!$D$130:$EQ$169,$B23,59)+IF(AND($E23=1,KW23=0),25,0),IF($F23&gt;0,INDEX('calcA'!BJ$110:BJ$114,$F23+1)+IF(AND($E23=1,KW23=0),1000,0),MIN(TW23,20)*400+(IF('calcA'!BI$106=1,1-FG23,0)+IF('calcA'!BJ$106=1,1-FI23,0))*150+113+'calcA'!BJ$5*100000+IF(AND($E23=1,KW23=0),50000,0))+IF($H23=1,INDEX('calcA'!$D$180:$EQ$219,$B23,59)*4000,0)-IF(AND('calcA'!BI$117=1,WG23&gt;0),2000,0)-IF(AND($U23=1,'calcA'!BJ$117=1,FI23=0),2000,0))),1000000000))</f>
        <v/>
      </c>
      <c r="QM23">
        <f>IF($B23=0,1000000000,IF(INDEX('calcA'!$D$60:$EQ$99,$B23,60)*IF($W23=1,FI23+ABX23,FI23)=1,IF(AND($E23=2,IF($W23=1,AHM23,KX23)=0),1000000000,IF($V23=1,INDEX('calcA'!$D$130:$EQ$169,$B23,60)+IF(AND($E23=1,KX23=0),25,0),IF($F23&gt;0,INDEX('calcA'!BK$110:BK$114,$F23+1)+IF(AND($E23=1,KX23=0),1000,0),MIN(TW23,20)*400+(IF('calcA'!BJ$106=1,1-FH23,0)+IF('calcA'!BK$106=1,1-FJ23,0))*150+123+'calcA'!BK$5*100000+IF(AND($E23=1,KX23=0),50000,0))+IF($H23=1,INDEX('calcA'!$D$180:$EQ$219,$B23,60)*4000,0)-IF(AND('calcA'!BJ$117=1,WH23&gt;0),2000,0)-IF(AND($U23=1,'calcA'!BK$117=1,FJ23=0),2000,0))),1000000000))</f>
        <v/>
      </c>
      <c r="QN23">
        <f>IF($B23=0,1000000000,IF(INDEX('calcA'!$D$60:$EQ$99,$B23,61)*IF($W23=1,FJ23+ABY23,FJ23)=1,IF(AND($E23=2,IF($W23=1,AHN23,KY23)=0),1000000000,IF($V23=1,INDEX('calcA'!$D$130:$EQ$169,$B23,61)+IF(AND($E23=1,KY23=0),25,0),IF($F23&gt;0,INDEX('calcA'!BL$110:BL$114,$F23+1)+IF(AND($E23=1,KY23=0),1000,0),MIN(TW23,20)*400+(IF('calcA'!BK$106=1,1-FI23,0)+IF('calcA'!BL$106=1,1-FK23,0))*150+133+'calcA'!BL$5*100000+IF(AND($E23=1,KY23=0),50000,0))+IF($H23=1,INDEX('calcA'!$D$180:$EQ$219,$B23,61)*4000,0)-IF(AND('calcA'!BK$117=1,WI23&gt;0),2000,0)-IF(AND($U23=1,'calcA'!BL$117=1,FK23=0),2000,0))),1000000000))</f>
        <v/>
      </c>
      <c r="QO23">
        <f>IF($B23=0,1000000000,IF(INDEX('calcA'!$D$60:$EQ$99,$B23,62)*IF($W23=1,FK23+ABZ23,FK23)=1,IF(AND($E23=2,IF($W23=1,AHO23,KZ23)=0),1000000000,IF($V23=1,INDEX('calcA'!$D$130:$EQ$169,$B23,62)+IF(AND($E23=1,KZ23=0),25,0),IF($F23&gt;0,INDEX('calcA'!BM$110:BM$114,$F23+1)+IF(AND($E23=1,KZ23=0),1000,0),MIN(TW23,20)*400+(IF('calcA'!BL$106=1,1-FJ23,0)+IF('calcA'!BM$106=1,1-FL23,0))*150+143+'calcA'!BM$5*100000+IF(AND($E23=1,KZ23=0),50000,0))+IF($H23=1,INDEX('calcA'!$D$180:$EQ$219,$B23,62)*4000,0)-IF(AND('calcA'!BL$117=1,WJ23&gt;0),2000,0)-IF(AND($U23=1,'calcA'!BM$117=1,FL23=0),2000,0))),1000000000))</f>
        <v/>
      </c>
      <c r="QP23">
        <f>IF($B23=0,1000000000,IF(INDEX('calcA'!$D$60:$EQ$99,$B23,63)*IF($W23=1,FL23+ACA23,FL23)=1,IF(AND($E23=2,IF($W23=1,AHP23,LA23)=0),1000000000,IF($V23=1,INDEX('calcA'!$D$130:$EQ$169,$B23,63)+IF(AND($E23=1,LA23=0),25,0),IF($F23&gt;0,INDEX('calcA'!BN$110:BN$114,$F23+1)+IF(AND($E23=1,LA23=0),1000,0),MIN(TW23,20)*400+(IF('calcA'!BM$106=1,1-FK23,0)+IF('calcA'!BN$106=1,1-FM23,0))*150+153+'calcA'!BN$5*100000+IF(AND($E23=1,LA23=0),50000,0))+IF($H23=1,INDEX('calcA'!$D$180:$EQ$219,$B23,63)*4000,0)-IF(AND('calcA'!BM$117=1,WK23&gt;0),2000,0)-IF(AND($U23=1,'calcA'!BN$117=1,FM23=0),2000,0))),1000000000))</f>
        <v/>
      </c>
      <c r="QQ23">
        <f>IF($B23=0,1000000000,IF(INDEX('calcA'!$D$60:$EQ$99,$B23,64)*IF($W23=1,FM23+ACB23,FM23)=1,IF(AND($E23=2,IF($W23=1,AHQ23,LB23)=0),1000000000,IF($V23=1,INDEX('calcA'!$D$130:$EQ$169,$B23,64)+IF(AND($E23=1,LB23=0),25,0),IF($F23&gt;0,INDEX('calcA'!BO$110:BO$114,$F23+1)+IF(AND($E23=1,LB23=0),1000,0),MIN(TW23,20)*400+(IF('calcA'!BN$106=1,1-FL23,0)+IF('calcA'!BO$106=1,1-FN23,0))*150+163+'calcA'!BO$5*100000+IF(AND($E23=1,LB23=0),50000,0))+IF($H23=1,INDEX('calcA'!$D$180:$EQ$219,$B23,64)*4000,0)-IF(AND('calcA'!BN$117=1,WL23&gt;0),2000,0)-IF(AND($U23=1,'calcA'!BO$117=1,FN23=0),2000,0))),1000000000))</f>
        <v/>
      </c>
      <c r="QR23">
        <f>IF($B23=0,1000000000,IF(INDEX('calcA'!$D$60:$EQ$99,$B23,65)*IF($W23=1,FN23+ACC23,FN23)=1,IF(AND($E23=2,IF($W23=1,AHR23,LC23)=0),1000000000,IF($V23=1,INDEX('calcA'!$D$130:$EQ$169,$B23,65)+IF(AND($E23=1,LC23=0),25,0),IF($F23&gt;0,INDEX('calcA'!BP$110:BP$114,$F23+1)+IF(AND($E23=1,LC23=0),1000,0),MIN(TW23,20)*400+(IF('calcA'!BO$106=1,1-FM23,0)+IF('calcA'!BP$106=1,1-FO23,0))*150+173+'calcA'!BP$5*100000+IF(AND($E23=1,LC23=0),50000,0))+IF($H23=1,INDEX('calcA'!$D$180:$EQ$219,$B23,65)*4000,0)-IF(AND('calcA'!BO$117=1,WM23&gt;0),2000,0)-IF(AND($U23=1,'calcA'!BP$117=1,FO23=0),2000,0))),1000000000))</f>
        <v/>
      </c>
      <c r="QS23">
        <f>IF($B23=0,1000000000,IF(INDEX('calcA'!$D$60:$EQ$99,$B23,66)*IF($W23=1,FO23+ACD23,FO23)=1,IF(AND($E23=2,IF($W23=1,AHS23,LD23)=0),1000000000,IF($V23=1,INDEX('calcA'!$D$130:$EQ$169,$B23,66)+IF(AND($E23=1,LD23=0),25,0),IF($F23&gt;0,INDEX('calcA'!BQ$110:BQ$114,$F23+1)+IF(AND($E23=1,LD23=0),1000,0),MIN(TW23,20)*400+(IF('calcA'!BP$106=1,1-FN23,0)+IF('calcA'!BQ$106=1,1-FP23,0))*150+183+'calcA'!BQ$5*100000+IF(AND($E23=1,LD23=0),50000,0))+IF($H23=1,INDEX('calcA'!$D$180:$EQ$219,$B23,66)*4000,0)-IF(AND('calcA'!BP$117=1,WN23&gt;0),2000,0)-IF(AND($U23=1,'calcA'!BQ$117=1,FP23=0),2000,0))),1000000000))</f>
        <v/>
      </c>
      <c r="QT23">
        <f>IF($B23=0,1000000000,IF(INDEX('calcA'!$D$60:$EQ$99,$B23,67)*IF($W23=1,FP23+ACE23,FP23)=1,IF(AND($E23=2,IF($W23=1,AHT23,LE23)=0),1000000000,IF($V23=1,INDEX('calcA'!$D$130:$EQ$169,$B23,67)+IF(AND($E23=1,LE23=0),25,0),IF($F23&gt;0,INDEX('calcA'!BR$110:BR$114,$F23+1)+IF(AND($E23=1,LE23=0),1000,0),MIN(TW23,20)*400+(IF('calcA'!BQ$106=1,1-FO23,0)+IF('calcA'!BR$106=1,1-FQ23,0))*150+193+'calcA'!BR$5*100000+IF(AND($E23=1,LE23=0),50000,0))+IF($H23=1,INDEX('calcA'!$D$180:$EQ$219,$B23,67)*4000,0)-IF(AND('calcA'!BQ$117=1,WO23&gt;0),2000,0)-IF(AND($U23=1,'calcA'!BR$117=1,FQ23=0),2000,0))),1000000000))</f>
        <v/>
      </c>
      <c r="QU23">
        <f>IF($B23=0,1000000000,IF(INDEX('calcA'!$D$60:$EQ$99,$B23,68)*IF($W23=1,FQ23+ACF23,FQ23)=1,IF(AND($E23=2,IF($W23=1,AHU23,LF23)=0),1000000000,IF($V23=1,INDEX('calcA'!$D$130:$EQ$169,$B23,68)+IF(AND($E23=1,LF23=0),25,0),IF($F23&gt;0,INDEX('calcA'!BS$110:BS$114,$F23+1)+IF(AND($E23=1,LF23=0),1000,0),MIN(TW23,20)*400+(IF('calcA'!BR$106=1,1-FP23,0)+IF('calcA'!BS$106=1,1-FR23,0))*150+203+'calcA'!BS$5*100000+IF(AND($E23=1,LF23=0),50000,0))+IF($H23=1,INDEX('calcA'!$D$180:$EQ$219,$B23,68)*4000,0)-IF(AND('calcA'!BR$117=1,WP23&gt;0),2000,0)-IF(AND($U23=1,'calcA'!BS$117=1,FR23=0),2000,0))),1000000000))</f>
        <v/>
      </c>
      <c r="QV23">
        <f>IF($B23=0,1000000000,IF(INDEX('calcA'!$D$60:$EQ$99,$B23,69)*IF($W23=1,FR23+ACG23,FR23)=1,IF(AND($E23=2,IF($W23=1,AHV23,LG23)=0),1000000000,IF($V23=1,INDEX('calcA'!$D$130:$EQ$169,$B23,69)+IF(AND($E23=1,LG23=0),25,0),IF($F23&gt;0,INDEX('calcA'!BT$110:BT$114,$F23+1)+IF(AND($E23=1,LG23=0),1000,0),MIN(TW23,20)*400+(IF('calcA'!BS$106=1,1-FQ23,0)+IF('calcA'!BT$106=1,1-FS23,0))*150+213+'calcA'!BT$5*100000+IF(AND($E23=1,LG23=0),50000,0))+IF($H23=1,INDEX('calcA'!$D$180:$EQ$219,$B23,69)*4000,0)-IF(AND('calcA'!BS$117=1,WQ23&gt;0),2000,0)-IF(AND($U23=1,'calcA'!BT$117=1,FS23=0),2000,0))),1000000000))</f>
        <v/>
      </c>
      <c r="QW23">
        <f>IF($B23=0,1000000000,IF(INDEX('calcA'!$D$60:$EQ$99,$B23,70)*IF($W23=1,FS23+ACH23,FS23)=1,IF(AND($E23=2,IF($W23=1,AHW23,LH23)=0),1000000000,IF($V23=1,INDEX('calcA'!$D$130:$EQ$169,$B23,70)+IF(AND($E23=1,LH23=0),25,0),IF($F23&gt;0,INDEX('calcA'!BU$110:BU$114,$F23+1)+IF(AND($E23=1,LH23=0),1000,0),MIN(TW23,20)*400+(IF('calcA'!BT$106=1,1-FR23,0)+IF('calcA'!BU$106=1,1-FT23,0))*150+223+'calcA'!BU$5*100000+IF(AND($E23=1,LH23=0),50000,0))+IF($H23=1,INDEX('calcA'!$D$180:$EQ$219,$B23,70)*4000,0)-IF(AND('calcA'!BT$117=1,WR23&gt;0),2000,0)-IF(AND($U23=1,'calcA'!BU$117=1,FT23=0),2000,0))),1000000000))</f>
        <v/>
      </c>
      <c r="QX23">
        <f>IF($B23=0,1000000000,IF(INDEX('calcA'!$D$60:$EQ$99,$B23,71)*IF($W23=1,FT23+ACI23,FT23)=1,IF(AND($E23=2,IF($W23=1,AHX23,LI23)=0),1000000000,IF($V23=1,INDEX('calcA'!$D$130:$EQ$169,$B23,71)+IF(AND($E23=1,LI23=0),25,0),IF($F23&gt;0,INDEX('calcA'!BV$110:BV$114,$F23+1)+IF(AND($E23=1,LI23=0),1000,0),MIN(TW23,20)*400+(IF('calcA'!BU$106=1,1-FS23,0)+IF('calcA'!BV$106=1,1-FU23,0))*150+233+'calcA'!BV$5*100000+IF(AND($E23=1,LI23=0),50000,0))+IF($H23=1,INDEX('calcA'!$D$180:$EQ$219,$B23,71)*4000,0)-IF(AND('calcA'!BU$117=1,WS23&gt;0),2000,0)-IF(AND($U23=1,'calcA'!BV$117=1,FU23=0),2000,0))),1000000000))</f>
        <v/>
      </c>
      <c r="QY23">
        <f>IF($B23=0,1000000000,IF(INDEX('calcA'!$D$60:$EQ$99,$B23,72)*IF($W23=1,FU23+ACJ23,FU23)=1,IF(AND($E23=2,IF($W23=1,AHY23,LJ23)=0),1000000000,IF($V23=1,INDEX('calcA'!$D$130:$EQ$169,$B23,72)+IF(AND($E23=1,LJ23=0),25,0),IF($F23&gt;0,INDEX('calcA'!BW$110:BW$114,$F23+1)+IF(AND($E23=1,LJ23=0),1000,0),MIN(TW23,20)*400+(IF('calcA'!BV$106=1,1-FT23,0))*150+243+'calcA'!BW$5*100000+IF(AND($E23=1,LJ23=0),50000,0))+IF($H23=1,INDEX('calcA'!$D$180:$EQ$219,$B23,72)*4000,0)-IF(AND('calcA'!BV$117=1,WT23&gt;0),2000,0))),1000000000))</f>
        <v/>
      </c>
      <c r="QZ23">
        <f>IF($B23=0,1000000000,IF(INDEX('calcA'!$D$60:$EQ$99,$B23,73)*IF($W23=1,FV23+ACK23,FV23)=1,IF(AND($E23=2,IF($W23=1,AHZ23,LK23)=0),1000000000,IF($V23=1,INDEX('calcA'!$D$130:$EQ$169,$B23,73)+IF(AND($E23=1,LK23=0),25,0),IF($F23&gt;0,INDEX('calcA'!BX$110:BX$114,$F23+1)+IF(AND($E23=1,LK23=0),1000,0),MIN(TX23,20)*400+(IF('calcA'!BX$106=1,1-FW23,0))*150+14+'calcA'!BX$5*100000+IF(AND($E23=1,LK23=0),50000,0))+IF($H23=1,INDEX('calcA'!$D$180:$EQ$219,$B23,73)*4000,0)-IF(AND($U23=1,'calcA'!BX$117=1,FW23=0),2000,0))),1000000000))</f>
        <v/>
      </c>
      <c r="RA23">
        <f>IF($B23=0,1000000000,IF(INDEX('calcA'!$D$60:$EQ$99,$B23,74)*IF($W23=1,FW23+ACL23,FW23)=1,IF(AND($E23=2,IF($W23=1,AIA23,LL23)=0),1000000000,IF($V23=1,INDEX('calcA'!$D$130:$EQ$169,$B23,74)+IF(AND($E23=1,LL23=0),25,0),IF($F23&gt;0,INDEX('calcA'!BY$110:BY$114,$F23+1)+IF(AND($E23=1,LL23=0),1000,0),MIN(TX23,20)*400+(IF('calcA'!BX$106=1,1-FV23,0)+IF('calcA'!BY$106=1,1-FX23,0))*150+24+'calcA'!BY$5*100000+IF(AND($E23=1,LL23=0),50000,0))+IF($H23=1,INDEX('calcA'!$D$180:$EQ$219,$B23,74)*4000,0)-IF(AND('calcA'!BX$117=1,WV23&gt;0),2000,0)-IF(AND($U23=1,'calcA'!BY$117=1,FX23=0),2000,0))),1000000000))</f>
        <v/>
      </c>
      <c r="RB23">
        <f>IF($B23=0,1000000000,IF(INDEX('calcA'!$D$60:$EQ$99,$B23,75)*IF($W23=1,FX23+ACM23,FX23)=1,IF(AND($E23=2,IF($W23=1,AIB23,LM23)=0),1000000000,IF($V23=1,INDEX('calcA'!$D$130:$EQ$169,$B23,75)+IF(AND($E23=1,LM23=0),25,0),IF($F23&gt;0,INDEX('calcA'!BZ$110:BZ$114,$F23+1)+IF(AND($E23=1,LM23=0),1000,0),MIN(TX23,20)*400+(IF('calcA'!BY$106=1,1-FW23,0)+IF('calcA'!BZ$106=1,1-FY23,0))*150+34+'calcA'!BZ$5*100000+IF(AND($E23=1,LM23=0),50000,0))+IF($H23=1,INDEX('calcA'!$D$180:$EQ$219,$B23,75)*4000,0)-IF(AND('calcA'!BY$117=1,WW23&gt;0),2000,0)-IF(AND($U23=1,'calcA'!BZ$117=1,FY23=0),2000,0))),1000000000))</f>
        <v/>
      </c>
      <c r="RC23">
        <f>IF($B23=0,1000000000,IF(INDEX('calcA'!$D$60:$EQ$99,$B23,76)*IF($W23=1,FY23+ACN23,FY23)=1,IF(AND($E23=2,IF($W23=1,AIC23,LN23)=0),1000000000,IF($V23=1,INDEX('calcA'!$D$130:$EQ$169,$B23,76)+IF(AND($E23=1,LN23=0),25,0),IF($F23&gt;0,INDEX('calcA'!CA$110:CA$114,$F23+1)+IF(AND($E23=1,LN23=0),1000,0),MIN(TX23,20)*400+(IF('calcA'!BZ$106=1,1-FX23,0)+IF('calcA'!CA$106=1,1-FZ23,0))*150+44+'calcA'!CA$5*100000+IF(AND($E23=1,LN23=0),50000,0))+IF($H23=1,INDEX('calcA'!$D$180:$EQ$219,$B23,76)*4000,0)-IF(AND('calcA'!BZ$117=1,WX23&gt;0),2000,0)-IF(AND($U23=1,'calcA'!CA$117=1,FZ23=0),2000,0))),1000000000))</f>
        <v/>
      </c>
      <c r="RD23">
        <f>IF($B23=0,1000000000,IF(INDEX('calcA'!$D$60:$EQ$99,$B23,77)*IF($W23=1,FZ23+ACO23,FZ23)=1,IF(AND($E23=2,IF($W23=1,AID23,LO23)=0),1000000000,IF($V23=1,INDEX('calcA'!$D$130:$EQ$169,$B23,77)+IF(AND($E23=1,LO23=0),25,0),IF($F23&gt;0,INDEX('calcA'!CB$110:CB$114,$F23+1)+IF(AND($E23=1,LO23=0),1000,0),MIN(TX23,20)*400+(IF('calcA'!CA$106=1,1-FY23,0)+IF('calcA'!CB$106=1,1-GA23,0))*150+54+'calcA'!CB$5*100000+IF(AND($E23=1,LO23=0),50000,0))+IF($H23=1,INDEX('calcA'!$D$180:$EQ$219,$B23,77)*4000,0)-IF(AND('calcA'!CA$117=1,WY23&gt;0),2000,0)-IF(AND($U23=1,'calcA'!CB$117=1,GA23=0),2000,0))),1000000000))</f>
        <v/>
      </c>
      <c r="RE23">
        <f>IF($B23=0,1000000000,IF(INDEX('calcA'!$D$60:$EQ$99,$B23,78)*IF($W23=1,GA23+ACP23,GA23)=1,IF(AND($E23=2,IF($W23=1,AIE23,LP23)=0),1000000000,IF($V23=1,INDEX('calcA'!$D$130:$EQ$169,$B23,78)+IF(AND($E23=1,LP23=0),25,0),IF($F23&gt;0,INDEX('calcA'!CC$110:CC$114,$F23+1)+IF(AND($E23=1,LP23=0),1000,0),MIN(TX23,20)*400+(IF('calcA'!CB$106=1,1-FZ23,0)+IF('calcA'!CC$106=1,1-GB23,0))*150+64+'calcA'!CC$5*100000+IF(AND($E23=1,LP23=0),50000,0))+IF($H23=1,INDEX('calcA'!$D$180:$EQ$219,$B23,78)*4000,0)-IF(AND('calcA'!CB$117=1,WZ23&gt;0),2000,0)-IF(AND($U23=1,'calcA'!CC$117=1,GB23=0),2000,0))),1000000000))</f>
        <v/>
      </c>
      <c r="RF23">
        <f>IF($B23=0,1000000000,IF(INDEX('calcA'!$D$60:$EQ$99,$B23,79)*IF($W23=1,GB23+ACQ23,GB23)=1,IF(AND($E23=2,IF($W23=1,AIF23,LQ23)=0),1000000000,IF($V23=1,INDEX('calcA'!$D$130:$EQ$169,$B23,79)+IF(AND($E23=1,LQ23=0),25,0),IF($F23&gt;0,INDEX('calcA'!CD$110:CD$114,$F23+1)+IF(AND($E23=1,LQ23=0),1000,0),MIN(TX23,20)*400+(IF('calcA'!CC$106=1,1-GA23,0)+IF('calcA'!CD$106=1,1-GC23,0))*150+74+'calcA'!CD$5*100000+IF(AND($E23=1,LQ23=0),50000,0))+IF($H23=1,INDEX('calcA'!$D$180:$EQ$219,$B23,79)*4000,0)-IF(AND('calcA'!CC$117=1,XA23&gt;0),2000,0)-IF(AND($U23=1,'calcA'!CD$117=1,GC23=0),2000,0))),1000000000))</f>
        <v/>
      </c>
      <c r="RG23">
        <f>IF($B23=0,1000000000,IF(INDEX('calcA'!$D$60:$EQ$99,$B23,80)*IF($W23=1,GC23+ACR23,GC23)=1,IF(AND($E23=2,IF($W23=1,AIG23,LR23)=0),1000000000,IF($V23=1,INDEX('calcA'!$D$130:$EQ$169,$B23,80)+IF(AND($E23=1,LR23=0),25,0),IF($F23&gt;0,INDEX('calcA'!CE$110:CE$114,$F23+1)+IF(AND($E23=1,LR23=0),1000,0),MIN(TX23,20)*400+(IF('calcA'!CD$106=1,1-GB23,0)+IF('calcA'!CE$106=1,1-GD23,0))*150+84+'calcA'!CE$5*100000+IF(AND($E23=1,LR23=0),50000,0))+IF($H23=1,INDEX('calcA'!$D$180:$EQ$219,$B23,80)*4000,0)-IF(AND('calcA'!CD$117=1,XB23&gt;0),2000,0)-IF(AND($U23=1,'calcA'!CE$117=1,GD23=0),2000,0))),1000000000))</f>
        <v/>
      </c>
      <c r="RH23">
        <f>IF($B23=0,1000000000,IF(INDEX('calcA'!$D$60:$EQ$99,$B23,81)*IF($W23=1,GD23+ACS23,GD23)=1,IF(AND($E23=2,IF($W23=1,AIH23,LS23)=0),1000000000,IF($V23=1,INDEX('calcA'!$D$130:$EQ$169,$B23,81)+IF(AND($E23=1,LS23=0),25,0),IF($F23&gt;0,INDEX('calcA'!CF$110:CF$114,$F23+1)+IF(AND($E23=1,LS23=0),1000,0),MIN(TX23,20)*400+(IF('calcA'!CE$106=1,1-GC23,0)+IF('calcA'!CF$106=1,1-GE23,0))*150+94+'calcA'!CF$5*100000+IF(AND($E23=1,LS23=0),50000,0))+IF($H23=1,INDEX('calcA'!$D$180:$EQ$219,$B23,81)*4000,0)-IF(AND('calcA'!CE$117=1,XC23&gt;0),2000,0)-IF(AND($U23=1,'calcA'!CF$117=1,GE23=0),2000,0))),1000000000))</f>
        <v/>
      </c>
      <c r="RI23">
        <f>IF($B23=0,1000000000,IF(INDEX('calcA'!$D$60:$EQ$99,$B23,82)*IF($W23=1,GE23+ACT23,GE23)=1,IF(AND($E23=2,IF($W23=1,AII23,LT23)=0),1000000000,IF($V23=1,INDEX('calcA'!$D$130:$EQ$169,$B23,82)+IF(AND($E23=1,LT23=0),25,0),IF($F23&gt;0,INDEX('calcA'!CG$110:CG$114,$F23+1)+IF(AND($E23=1,LT23=0),1000,0),MIN(TX23,20)*400+(IF('calcA'!CF$106=1,1-GD23,0)+IF('calcA'!CG$106=1,1-GF23,0))*150+104+'calcA'!CG$5*100000+IF(AND($E23=1,LT23=0),50000,0))+IF($H23=1,INDEX('calcA'!$D$180:$EQ$219,$B23,82)*4000,0)-IF(AND('calcA'!CF$117=1,XD23&gt;0),2000,0)-IF(AND($U23=1,'calcA'!CG$117=1,GF23=0),2000,0))),1000000000))</f>
        <v/>
      </c>
      <c r="RJ23">
        <f>IF($B23=0,1000000000,IF(INDEX('calcA'!$D$60:$EQ$99,$B23,83)*IF($W23=1,GF23+ACU23,GF23)=1,IF(AND($E23=2,IF($W23=1,AIJ23,LU23)=0),1000000000,IF($V23=1,INDEX('calcA'!$D$130:$EQ$169,$B23,83)+IF(AND($E23=1,LU23=0),25,0),IF($F23&gt;0,INDEX('calcA'!CH$110:CH$114,$F23+1)+IF(AND($E23=1,LU23=0),1000,0),MIN(TX23,20)*400+(IF('calcA'!CG$106=1,1-GE23,0)+IF('calcA'!CH$106=1,1-GG23,0))*150+114+'calcA'!CH$5*100000+IF(AND($E23=1,LU23=0),50000,0))+IF($H23=1,INDEX('calcA'!$D$180:$EQ$219,$B23,83)*4000,0)-IF(AND('calcA'!CG$117=1,XE23&gt;0),2000,0)-IF(AND($U23=1,'calcA'!CH$117=1,GG23=0),2000,0))),1000000000))</f>
        <v/>
      </c>
      <c r="RK23">
        <f>IF($B23=0,1000000000,IF(INDEX('calcA'!$D$60:$EQ$99,$B23,84)*IF($W23=1,GG23+ACV23,GG23)=1,IF(AND($E23=2,IF($W23=1,AIK23,LV23)=0),1000000000,IF($V23=1,INDEX('calcA'!$D$130:$EQ$169,$B23,84)+IF(AND($E23=1,LV23=0),25,0),IF($F23&gt;0,INDEX('calcA'!CI$110:CI$114,$F23+1)+IF(AND($E23=1,LV23=0),1000,0),MIN(TX23,20)*400+(IF('calcA'!CH$106=1,1-GF23,0)+IF('calcA'!CI$106=1,1-GH23,0))*150+124+'calcA'!CI$5*100000+IF(AND($E23=1,LV23=0),50000,0))+IF($H23=1,INDEX('calcA'!$D$180:$EQ$219,$B23,84)*4000,0)-IF(AND('calcA'!CH$117=1,XF23&gt;0),2000,0)-IF(AND($U23=1,'calcA'!CI$117=1,GH23=0),2000,0))),1000000000))</f>
        <v/>
      </c>
      <c r="RL23">
        <f>IF($B23=0,1000000000,IF(INDEX('calcA'!$D$60:$EQ$99,$B23,85)*IF($W23=1,GH23+ACW23,GH23)=1,IF(AND($E23=2,IF($W23=1,AIL23,LW23)=0),1000000000,IF($V23=1,INDEX('calcA'!$D$130:$EQ$169,$B23,85)+IF(AND($E23=1,LW23=0),25,0),IF($F23&gt;0,INDEX('calcA'!CJ$110:CJ$114,$F23+1)+IF(AND($E23=1,LW23=0),1000,0),MIN(TX23,20)*400+(IF('calcA'!CI$106=1,1-GG23,0)+IF('calcA'!CJ$106=1,1-GI23,0))*150+134+'calcA'!CJ$5*100000+IF(AND($E23=1,LW23=0),50000,0))+IF($H23=1,INDEX('calcA'!$D$180:$EQ$219,$B23,85)*4000,0)-IF(AND('calcA'!CI$117=1,XG23&gt;0),2000,0)-IF(AND($U23=1,'calcA'!CJ$117=1,GI23=0),2000,0))),1000000000))</f>
        <v/>
      </c>
      <c r="RM23">
        <f>IF($B23=0,1000000000,IF(INDEX('calcA'!$D$60:$EQ$99,$B23,86)*IF($W23=1,GI23+ACX23,GI23)=1,IF(AND($E23=2,IF($W23=1,AIM23,LX23)=0),1000000000,IF($V23=1,INDEX('calcA'!$D$130:$EQ$169,$B23,86)+IF(AND($E23=1,LX23=0),25,0),IF($F23&gt;0,INDEX('calcA'!CK$110:CK$114,$F23+1)+IF(AND($E23=1,LX23=0),1000,0),MIN(TX23,20)*400+(IF('calcA'!CJ$106=1,1-GH23,0)+IF('calcA'!CK$106=1,1-GJ23,0))*150+144+'calcA'!CK$5*100000+IF(AND($E23=1,LX23=0),50000,0))+IF($H23=1,INDEX('calcA'!$D$180:$EQ$219,$B23,86)*4000,0)-IF(AND('calcA'!CJ$117=1,XH23&gt;0),2000,0)-IF(AND($U23=1,'calcA'!CK$117=1,GJ23=0),2000,0))),1000000000))</f>
        <v/>
      </c>
      <c r="RN23">
        <f>IF($B23=0,1000000000,IF(INDEX('calcA'!$D$60:$EQ$99,$B23,87)*IF($W23=1,GJ23+ACY23,GJ23)=1,IF(AND($E23=2,IF($W23=1,AIN23,LY23)=0),1000000000,IF($V23=1,INDEX('calcA'!$D$130:$EQ$169,$B23,87)+IF(AND($E23=1,LY23=0),25,0),IF($F23&gt;0,INDEX('calcA'!CL$110:CL$114,$F23+1)+IF(AND($E23=1,LY23=0),1000,0),MIN(TX23,20)*400+(IF('calcA'!CK$106=1,1-GI23,0)+IF('calcA'!CL$106=1,1-GK23,0))*150+154+'calcA'!CL$5*100000+IF(AND($E23=1,LY23=0),50000,0))+IF($H23=1,INDEX('calcA'!$D$180:$EQ$219,$B23,87)*4000,0)-IF(AND('calcA'!CK$117=1,XI23&gt;0),2000,0)-IF(AND($U23=1,'calcA'!CL$117=1,GK23=0),2000,0))),1000000000))</f>
        <v/>
      </c>
      <c r="RO23">
        <f>IF($B23=0,1000000000,IF(INDEX('calcA'!$D$60:$EQ$99,$B23,88)*IF($W23=1,GK23+ACZ23,GK23)=1,IF(AND($E23=2,IF($W23=1,AIO23,LZ23)=0),1000000000,IF($V23=1,INDEX('calcA'!$D$130:$EQ$169,$B23,88)+IF(AND($E23=1,LZ23=0),25,0),IF($F23&gt;0,INDEX('calcA'!CM$110:CM$114,$F23+1)+IF(AND($E23=1,LZ23=0),1000,0),MIN(TX23,20)*400+(IF('calcA'!CL$106=1,1-GJ23,0)+IF('calcA'!CM$106=1,1-GL23,0))*150+164+'calcA'!CM$5*100000+IF(AND($E23=1,LZ23=0),50000,0))+IF($H23=1,INDEX('calcA'!$D$180:$EQ$219,$B23,88)*4000,0)-IF(AND('calcA'!CL$117=1,XJ23&gt;0),2000,0)-IF(AND($U23=1,'calcA'!CM$117=1,GL23=0),2000,0))),1000000000))</f>
        <v/>
      </c>
      <c r="RP23">
        <f>IF($B23=0,1000000000,IF(INDEX('calcA'!$D$60:$EQ$99,$B23,89)*IF($W23=1,GL23+ADA23,GL23)=1,IF(AND($E23=2,IF($W23=1,AIP23,MA23)=0),1000000000,IF($V23=1,INDEX('calcA'!$D$130:$EQ$169,$B23,89)+IF(AND($E23=1,MA23=0),25,0),IF($F23&gt;0,INDEX('calcA'!CN$110:CN$114,$F23+1)+IF(AND($E23=1,MA23=0),1000,0),MIN(TX23,20)*400+(IF('calcA'!CM$106=1,1-GK23,0)+IF('calcA'!CN$106=1,1-GM23,0))*150+174+'calcA'!CN$5*100000+IF(AND($E23=1,MA23=0),50000,0))+IF($H23=1,INDEX('calcA'!$D$180:$EQ$219,$B23,89)*4000,0)-IF(AND('calcA'!CM$117=1,XK23&gt;0),2000,0)-IF(AND($U23=1,'calcA'!CN$117=1,GM23=0),2000,0))),1000000000))</f>
        <v/>
      </c>
      <c r="RQ23">
        <f>IF($B23=0,1000000000,IF(INDEX('calcA'!$D$60:$EQ$99,$B23,90)*IF($W23=1,GM23+ADB23,GM23)=1,IF(AND($E23=2,IF($W23=1,AIQ23,MB23)=0),1000000000,IF($V23=1,INDEX('calcA'!$D$130:$EQ$169,$B23,90)+IF(AND($E23=1,MB23=0),25,0),IF($F23&gt;0,INDEX('calcA'!CO$110:CO$114,$F23+1)+IF(AND($E23=1,MB23=0),1000,0),MIN(TX23,20)*400+(IF('calcA'!CN$106=1,1-GL23,0)+IF('calcA'!CO$106=1,1-GN23,0))*150+184+'calcA'!CO$5*100000+IF(AND($E23=1,MB23=0),50000,0))+IF($H23=1,INDEX('calcA'!$D$180:$EQ$219,$B23,90)*4000,0)-IF(AND('calcA'!CN$117=1,XL23&gt;0),2000,0)-IF(AND($U23=1,'calcA'!CO$117=1,GN23=0),2000,0))),1000000000))</f>
        <v/>
      </c>
      <c r="RR23">
        <f>IF($B23=0,1000000000,IF(INDEX('calcA'!$D$60:$EQ$99,$B23,91)*IF($W23=1,GN23+ADC23,GN23)=1,IF(AND($E23=2,IF($W23=1,AIR23,MC23)=0),1000000000,IF($V23=1,INDEX('calcA'!$D$130:$EQ$169,$B23,91)+IF(AND($E23=1,MC23=0),25,0),IF($F23&gt;0,INDEX('calcA'!CP$110:CP$114,$F23+1)+IF(AND($E23=1,MC23=0),1000,0),MIN(TX23,20)*400+(IF('calcA'!CO$106=1,1-GM23,0)+IF('calcA'!CP$106=1,1-GO23,0))*150+194+'calcA'!CP$5*100000+IF(AND($E23=1,MC23=0),50000,0))+IF($H23=1,INDEX('calcA'!$D$180:$EQ$219,$B23,91)*4000,0)-IF(AND('calcA'!CO$117=1,XM23&gt;0),2000,0)-IF(AND($U23=1,'calcA'!CP$117=1,GO23=0),2000,0))),1000000000))</f>
        <v/>
      </c>
      <c r="RS23">
        <f>IF($B23=0,1000000000,IF(INDEX('calcA'!$D$60:$EQ$99,$B23,92)*IF($W23=1,GO23+ADD23,GO23)=1,IF(AND($E23=2,IF($W23=1,AIS23,MD23)=0),1000000000,IF($V23=1,INDEX('calcA'!$D$130:$EQ$169,$B23,92)+IF(AND($E23=1,MD23=0),25,0),IF($F23&gt;0,INDEX('calcA'!CQ$110:CQ$114,$F23+1)+IF(AND($E23=1,MD23=0),1000,0),MIN(TX23,20)*400+(IF('calcA'!CP$106=1,1-GN23,0)+IF('calcA'!CQ$106=1,1-GP23,0))*150+204+'calcA'!CQ$5*100000+IF(AND($E23=1,MD23=0),50000,0))+IF($H23=1,INDEX('calcA'!$D$180:$EQ$219,$B23,92)*4000,0)-IF(AND('calcA'!CP$117=1,XN23&gt;0),2000,0)-IF(AND($U23=1,'calcA'!CQ$117=1,GP23=0),2000,0))),1000000000))</f>
        <v/>
      </c>
      <c r="RT23">
        <f>IF($B23=0,1000000000,IF(INDEX('calcA'!$D$60:$EQ$99,$B23,93)*IF($W23=1,GP23+ADE23,GP23)=1,IF(AND($E23=2,IF($W23=1,AIT23,ME23)=0),1000000000,IF($V23=1,INDEX('calcA'!$D$130:$EQ$169,$B23,93)+IF(AND($E23=1,ME23=0),25,0),IF($F23&gt;0,INDEX('calcA'!CR$110:CR$114,$F23+1)+IF(AND($E23=1,ME23=0),1000,0),MIN(TX23,20)*400+(IF('calcA'!CQ$106=1,1-GO23,0)+IF('calcA'!CR$106=1,1-GQ23,0))*150+214+'calcA'!CR$5*100000+IF(AND($E23=1,ME23=0),50000,0))+IF($H23=1,INDEX('calcA'!$D$180:$EQ$219,$B23,93)*4000,0)-IF(AND('calcA'!CQ$117=1,XO23&gt;0),2000,0)-IF(AND($U23=1,'calcA'!CR$117=1,GQ23=0),2000,0))),1000000000))</f>
        <v/>
      </c>
      <c r="RU23">
        <f>IF($B23=0,1000000000,IF(INDEX('calcA'!$D$60:$EQ$99,$B23,94)*IF($W23=1,GQ23+ADF23,GQ23)=1,IF(AND($E23=2,IF($W23=1,AIU23,MF23)=0),1000000000,IF($V23=1,INDEX('calcA'!$D$130:$EQ$169,$B23,94)+IF(AND($E23=1,MF23=0),25,0),IF($F23&gt;0,INDEX('calcA'!CS$110:CS$114,$F23+1)+IF(AND($E23=1,MF23=0),1000,0),MIN(TX23,20)*400+(IF('calcA'!CR$106=1,1-GP23,0)+IF('calcA'!CS$106=1,1-GR23,0))*150+224+'calcA'!CS$5*100000+IF(AND($E23=1,MF23=0),50000,0))+IF($H23=1,INDEX('calcA'!$D$180:$EQ$219,$B23,94)*4000,0)-IF(AND('calcA'!CR$117=1,XP23&gt;0),2000,0)-IF(AND($U23=1,'calcA'!CS$117=1,GR23=0),2000,0))),1000000000))</f>
        <v/>
      </c>
      <c r="RV23">
        <f>IF($B23=0,1000000000,IF(INDEX('calcA'!$D$60:$EQ$99,$B23,95)*IF($W23=1,GR23+ADG23,GR23)=1,IF(AND($E23=2,IF($W23=1,AIV23,MG23)=0),1000000000,IF($V23=1,INDEX('calcA'!$D$130:$EQ$169,$B23,95)+IF(AND($E23=1,MG23=0),25,0),IF($F23&gt;0,INDEX('calcA'!CT$110:CT$114,$F23+1)+IF(AND($E23=1,MG23=0),1000,0),MIN(TX23,20)*400+(IF('calcA'!CS$106=1,1-GQ23,0)+IF('calcA'!CT$106=1,1-GS23,0))*150+234+'calcA'!CT$5*100000+IF(AND($E23=1,MG23=0),50000,0))+IF($H23=1,INDEX('calcA'!$D$180:$EQ$219,$B23,95)*4000,0)-IF(AND('calcA'!CS$117=1,XQ23&gt;0),2000,0)-IF(AND($U23=1,'calcA'!CT$117=1,GS23=0),2000,0))),1000000000))</f>
        <v/>
      </c>
      <c r="RW23">
        <f>IF($B23=0,1000000000,IF(INDEX('calcA'!$D$60:$EQ$99,$B23,96)*IF($W23=1,GS23+ADH23,GS23)=1,IF(AND($E23=2,IF($W23=1,AIW23,MH23)=0),1000000000,IF($V23=1,INDEX('calcA'!$D$130:$EQ$169,$B23,96)+IF(AND($E23=1,MH23=0),25,0),IF($F23&gt;0,INDEX('calcA'!CU$110:CU$114,$F23+1)+IF(AND($E23=1,MH23=0),1000,0),MIN(TX23,20)*400+(IF('calcA'!CT$106=1,1-GR23,0))*150+244+'calcA'!CU$5*100000+IF(AND($E23=1,MH23=0),50000,0))+IF($H23=1,INDEX('calcA'!$D$180:$EQ$219,$B23,96)*4000,0)-IF(AND('calcA'!CT$117=1,XR23&gt;0),2000,0))),1000000000))</f>
        <v/>
      </c>
      <c r="RX23">
        <f>IF($B23=0,1000000000,IF(INDEX('calcA'!$D$60:$EQ$99,$B23,97)*IF($W23=1,GT23+ADI23,GT23)=1,IF(AND($E23=2,IF($W23=1,AIX23,MI23)=0),1000000000,IF($V23=1,INDEX('calcA'!$D$130:$EQ$169,$B23,97)+IF(AND($E23=1,MI23=0),25,0),IF($F23&gt;0,INDEX('calcA'!CV$110:CV$114,$F23+1)+IF(AND($E23=1,MI23=0),1000,0),MIN(TY23,20)*400+(IF('calcA'!CV$106=1,1-GU23,0))*150+15+'calcA'!CV$5*100000+IF(AND($E23=1,MI23=0),50000,0))+IF($H23=1,INDEX('calcA'!$D$180:$EQ$219,$B23,97)*4000,0)-IF(AND($U23=1,'calcA'!CV$117=1,GU23=0),2000,0))),1000000000))</f>
        <v/>
      </c>
      <c r="RY23">
        <f>IF($B23=0,1000000000,IF(INDEX('calcA'!$D$60:$EQ$99,$B23,98)*IF($W23=1,GU23+ADJ23,GU23)=1,IF(AND($E23=2,IF($W23=1,AIY23,MJ23)=0),1000000000,IF($V23=1,INDEX('calcA'!$D$130:$EQ$169,$B23,98)+IF(AND($E23=1,MJ23=0),25,0),IF($F23&gt;0,INDEX('calcA'!CW$110:CW$114,$F23+1)+IF(AND($E23=1,MJ23=0),1000,0),MIN(TY23,20)*400+(IF('calcA'!CV$106=1,1-GT23,0)+IF('calcA'!CW$106=1,1-GV23,0))*150+25+'calcA'!CW$5*100000+IF(AND($E23=1,MJ23=0),50000,0))+IF($H23=1,INDEX('calcA'!$D$180:$EQ$219,$B23,98)*4000,0)-IF(AND('calcA'!CV$117=1,XT23&gt;0),2000,0)-IF(AND($U23=1,'calcA'!CW$117=1,GV23=0),2000,0))),1000000000))</f>
        <v/>
      </c>
      <c r="RZ23">
        <f>IF($B23=0,1000000000,IF(INDEX('calcA'!$D$60:$EQ$99,$B23,99)*IF($W23=1,GV23+ADK23,GV23)=1,IF(AND($E23=2,IF($W23=1,AIZ23,MK23)=0),1000000000,IF($V23=1,INDEX('calcA'!$D$130:$EQ$169,$B23,99)+IF(AND($E23=1,MK23=0),25,0),IF($F23&gt;0,INDEX('calcA'!CX$110:CX$114,$F23+1)+IF(AND($E23=1,MK23=0),1000,0),MIN(TY23,20)*400+(IF('calcA'!CW$106=1,1-GU23,0)+IF('calcA'!CX$106=1,1-GW23,0))*150+35+'calcA'!CX$5*100000+IF(AND($E23=1,MK23=0),50000,0))+IF($H23=1,INDEX('calcA'!$D$180:$EQ$219,$B23,99)*4000,0)-IF(AND('calcA'!CW$117=1,XU23&gt;0),2000,0)-IF(AND($U23=1,'calcA'!CX$117=1,GW23=0),2000,0))),1000000000))</f>
        <v/>
      </c>
      <c r="SA23">
        <f>IF($B23=0,1000000000,IF(INDEX('calcA'!$D$60:$EQ$99,$B23,100)*IF($W23=1,GW23+ADL23,GW23)=1,IF(AND($E23=2,IF($W23=1,AJA23,ML23)=0),1000000000,IF($V23=1,INDEX('calcA'!$D$130:$EQ$169,$B23,100)+IF(AND($E23=1,ML23=0),25,0),IF($F23&gt;0,INDEX('calcA'!CY$110:CY$114,$F23+1)+IF(AND($E23=1,ML23=0),1000,0),MIN(TY23,20)*400+(IF('calcA'!CX$106=1,1-GV23,0)+IF('calcA'!CY$106=1,1-GX23,0))*150+45+'calcA'!CY$5*100000+IF(AND($E23=1,ML23=0),50000,0))+IF($H23=1,INDEX('calcA'!$D$180:$EQ$219,$B23,100)*4000,0)-IF(AND('calcA'!CX$117=1,XV23&gt;0),2000,0)-IF(AND($U23=1,'calcA'!CY$117=1,GX23=0),2000,0))),1000000000))</f>
        <v/>
      </c>
      <c r="SB23">
        <f>IF($B23=0,1000000000,IF(INDEX('calcA'!$D$60:$EQ$99,$B23,101)*IF($W23=1,GX23+ADM23,GX23)=1,IF(AND($E23=2,IF($W23=1,AJB23,MM23)=0),1000000000,IF($V23=1,INDEX('calcA'!$D$130:$EQ$169,$B23,101)+IF(AND($E23=1,MM23=0),25,0),IF($F23&gt;0,INDEX('calcA'!CZ$110:CZ$114,$F23+1)+IF(AND($E23=1,MM23=0),1000,0),MIN(TY23,20)*400+(IF('calcA'!CY$106=1,1-GW23,0)+IF('calcA'!CZ$106=1,1-GY23,0))*150+55+'calcA'!CZ$5*100000+IF(AND($E23=1,MM23=0),50000,0))+IF($H23=1,INDEX('calcA'!$D$180:$EQ$219,$B23,101)*4000,0)-IF(AND('calcA'!CY$117=1,XW23&gt;0),2000,0)-IF(AND($U23=1,'calcA'!CZ$117=1,GY23=0),2000,0))),1000000000))</f>
        <v/>
      </c>
      <c r="SC23">
        <f>IF($B23=0,1000000000,IF(INDEX('calcA'!$D$60:$EQ$99,$B23,102)*IF($W23=1,GY23+ADN23,GY23)=1,IF(AND($E23=2,IF($W23=1,AJC23,MN23)=0),1000000000,IF($V23=1,INDEX('calcA'!$D$130:$EQ$169,$B23,102)+IF(AND($E23=1,MN23=0),25,0),IF($F23&gt;0,INDEX('calcA'!DA$110:DA$114,$F23+1)+IF(AND($E23=1,MN23=0),1000,0),MIN(TY23,20)*400+(IF('calcA'!CZ$106=1,1-GX23,0)+IF('calcA'!DA$106=1,1-GZ23,0))*150+65+'calcA'!DA$5*100000+IF(AND($E23=1,MN23=0),50000,0))+IF($H23=1,INDEX('calcA'!$D$180:$EQ$219,$B23,102)*4000,0)-IF(AND('calcA'!CZ$117=1,XX23&gt;0),2000,0)-IF(AND($U23=1,'calcA'!DA$117=1,GZ23=0),2000,0))),1000000000))</f>
        <v/>
      </c>
      <c r="SD23">
        <f>IF($B23=0,1000000000,IF(INDEX('calcA'!$D$60:$EQ$99,$B23,103)*IF($W23=1,GZ23+ADO23,GZ23)=1,IF(AND($E23=2,IF($W23=1,AJD23,MO23)=0),1000000000,IF($V23=1,INDEX('calcA'!$D$130:$EQ$169,$B23,103)+IF(AND($E23=1,MO23=0),25,0),IF($F23&gt;0,INDEX('calcA'!DB$110:DB$114,$F23+1)+IF(AND($E23=1,MO23=0),1000,0),MIN(TY23,20)*400+(IF('calcA'!DA$106=1,1-GY23,0)+IF('calcA'!DB$106=1,1-HA23,0))*150+75+'calcA'!DB$5*100000+IF(AND($E23=1,MO23=0),50000,0))+IF($H23=1,INDEX('calcA'!$D$180:$EQ$219,$B23,103)*4000,0)-IF(AND('calcA'!DA$117=1,XY23&gt;0),2000,0)-IF(AND($U23=1,'calcA'!DB$117=1,HA23=0),2000,0))),1000000000))</f>
        <v/>
      </c>
      <c r="SE23">
        <f>IF($B23=0,1000000000,IF(INDEX('calcA'!$D$60:$EQ$99,$B23,104)*IF($W23=1,HA23+ADP23,HA23)=1,IF(AND($E23=2,IF($W23=1,AJE23,MP23)=0),1000000000,IF($V23=1,INDEX('calcA'!$D$130:$EQ$169,$B23,104)+IF(AND($E23=1,MP23=0),25,0),IF($F23&gt;0,INDEX('calcA'!DC$110:DC$114,$F23+1)+IF(AND($E23=1,MP23=0),1000,0),MIN(TY23,20)*400+(IF('calcA'!DB$106=1,1-GZ23,0)+IF('calcA'!DC$106=1,1-HB23,0))*150+85+'calcA'!DC$5*100000+IF(AND($E23=1,MP23=0),50000,0))+IF($H23=1,INDEX('calcA'!$D$180:$EQ$219,$B23,104)*4000,0)-IF(AND('calcA'!DB$117=1,XZ23&gt;0),2000,0)-IF(AND($U23=1,'calcA'!DC$117=1,HB23=0),2000,0))),1000000000))</f>
        <v/>
      </c>
      <c r="SF23">
        <f>IF($B23=0,1000000000,IF(INDEX('calcA'!$D$60:$EQ$99,$B23,105)*IF($W23=1,HB23+ADQ23,HB23)=1,IF(AND($E23=2,IF($W23=1,AJF23,MQ23)=0),1000000000,IF($V23=1,INDEX('calcA'!$D$130:$EQ$169,$B23,105)+IF(AND($E23=1,MQ23=0),25,0),IF($F23&gt;0,INDEX('calcA'!DD$110:DD$114,$F23+1)+IF(AND($E23=1,MQ23=0),1000,0),MIN(TY23,20)*400+(IF('calcA'!DC$106=1,1-HA23,0)+IF('calcA'!DD$106=1,1-HC23,0))*150+95+'calcA'!DD$5*100000+IF(AND($E23=1,MQ23=0),50000,0))+IF($H23=1,INDEX('calcA'!$D$180:$EQ$219,$B23,105)*4000,0)-IF(AND('calcA'!DC$117=1,YA23&gt;0),2000,0)-IF(AND($U23=1,'calcA'!DD$117=1,HC23=0),2000,0))),1000000000))</f>
        <v/>
      </c>
      <c r="SG23">
        <f>IF($B23=0,1000000000,IF(INDEX('calcA'!$D$60:$EQ$99,$B23,106)*IF($W23=1,HC23+ADR23,HC23)=1,IF(AND($E23=2,IF($W23=1,AJG23,MR23)=0),1000000000,IF($V23=1,INDEX('calcA'!$D$130:$EQ$169,$B23,106)+IF(AND($E23=1,MR23=0),25,0),IF($F23&gt;0,INDEX('calcA'!DE$110:DE$114,$F23+1)+IF(AND($E23=1,MR23=0),1000,0),MIN(TY23,20)*400+(IF('calcA'!DD$106=1,1-HB23,0)+IF('calcA'!DE$106=1,1-HD23,0))*150+105+'calcA'!DE$5*100000+IF(AND($E23=1,MR23=0),50000,0))+IF($H23=1,INDEX('calcA'!$D$180:$EQ$219,$B23,106)*4000,0)-IF(AND('calcA'!DD$117=1,YB23&gt;0),2000,0)-IF(AND($U23=1,'calcA'!DE$117=1,HD23=0),2000,0))),1000000000))</f>
        <v/>
      </c>
      <c r="SH23">
        <f>IF($B23=0,1000000000,IF(INDEX('calcA'!$D$60:$EQ$99,$B23,107)*IF($W23=1,HD23+ADS23,HD23)=1,IF(AND($E23=2,IF($W23=1,AJH23,MS23)=0),1000000000,IF($V23=1,INDEX('calcA'!$D$130:$EQ$169,$B23,107)+IF(AND($E23=1,MS23=0),25,0),IF($F23&gt;0,INDEX('calcA'!DF$110:DF$114,$F23+1)+IF(AND($E23=1,MS23=0),1000,0),MIN(TY23,20)*400+(IF('calcA'!DE$106=1,1-HC23,0)+IF('calcA'!DF$106=1,1-HE23,0))*150+115+'calcA'!DF$5*100000+IF(AND($E23=1,MS23=0),50000,0))+IF($H23=1,INDEX('calcA'!$D$180:$EQ$219,$B23,107)*4000,0)-IF(AND('calcA'!DE$117=1,YC23&gt;0),2000,0)-IF(AND($U23=1,'calcA'!DF$117=1,HE23=0),2000,0))),1000000000))</f>
        <v/>
      </c>
      <c r="SI23">
        <f>IF($B23=0,1000000000,IF(INDEX('calcA'!$D$60:$EQ$99,$B23,108)*IF($W23=1,HE23+ADT23,HE23)=1,IF(AND($E23=2,IF($W23=1,AJI23,MT23)=0),1000000000,IF($V23=1,INDEX('calcA'!$D$130:$EQ$169,$B23,108)+IF(AND($E23=1,MT23=0),25,0),IF($F23&gt;0,INDEX('calcA'!DG$110:DG$114,$F23+1)+IF(AND($E23=1,MT23=0),1000,0),MIN(TY23,20)*400+(IF('calcA'!DF$106=1,1-HD23,0)+IF('calcA'!DG$106=1,1-HF23,0))*150+125+'calcA'!DG$5*100000+IF(AND($E23=1,MT23=0),50000,0))+IF($H23=1,INDEX('calcA'!$D$180:$EQ$219,$B23,108)*4000,0)-IF(AND('calcA'!DF$117=1,YD23&gt;0),2000,0)-IF(AND($U23=1,'calcA'!DG$117=1,HF23=0),2000,0))),1000000000))</f>
        <v/>
      </c>
      <c r="SJ23">
        <f>IF($B23=0,1000000000,IF(INDEX('calcA'!$D$60:$EQ$99,$B23,109)*IF($W23=1,HF23+ADU23,HF23)=1,IF(AND($E23=2,IF($W23=1,AJJ23,MU23)=0),1000000000,IF($V23=1,INDEX('calcA'!$D$130:$EQ$169,$B23,109)+IF(AND($E23=1,MU23=0),25,0),IF($F23&gt;0,INDEX('calcA'!DH$110:DH$114,$F23+1)+IF(AND($E23=1,MU23=0),1000,0),MIN(TY23,20)*400+(IF('calcA'!DG$106=1,1-HE23,0)+IF('calcA'!DH$106=1,1-HG23,0))*150+135+'calcA'!DH$5*100000+IF(AND($E23=1,MU23=0),50000,0))+IF($H23=1,INDEX('calcA'!$D$180:$EQ$219,$B23,109)*4000,0)-IF(AND('calcA'!DG$117=1,YE23&gt;0),2000,0)-IF(AND($U23=1,'calcA'!DH$117=1,HG23=0),2000,0))),1000000000))</f>
        <v/>
      </c>
      <c r="SK23">
        <f>IF($B23=0,1000000000,IF(INDEX('calcA'!$D$60:$EQ$99,$B23,110)*IF($W23=1,HG23+ADV23,HG23)=1,IF(AND($E23=2,IF($W23=1,AJK23,MV23)=0),1000000000,IF($V23=1,INDEX('calcA'!$D$130:$EQ$169,$B23,110)+IF(AND($E23=1,MV23=0),25,0),IF($F23&gt;0,INDEX('calcA'!DI$110:DI$114,$F23+1)+IF(AND($E23=1,MV23=0),1000,0),MIN(TY23,20)*400+(IF('calcA'!DH$106=1,1-HF23,0)+IF('calcA'!DI$106=1,1-HH23,0))*150+145+'calcA'!DI$5*100000+IF(AND($E23=1,MV23=0),50000,0))+IF($H23=1,INDEX('calcA'!$D$180:$EQ$219,$B23,110)*4000,0)-IF(AND('calcA'!DH$117=1,YF23&gt;0),2000,0)-IF(AND($U23=1,'calcA'!DI$117=1,HH23=0),2000,0))),1000000000))</f>
        <v/>
      </c>
      <c r="SL23">
        <f>IF($B23=0,1000000000,IF(INDEX('calcA'!$D$60:$EQ$99,$B23,111)*IF($W23=1,HH23+ADW23,HH23)=1,IF(AND($E23=2,IF($W23=1,AJL23,MW23)=0),1000000000,IF($V23=1,INDEX('calcA'!$D$130:$EQ$169,$B23,111)+IF(AND($E23=1,MW23=0),25,0),IF($F23&gt;0,INDEX('calcA'!DJ$110:DJ$114,$F23+1)+IF(AND($E23=1,MW23=0),1000,0),MIN(TY23,20)*400+(IF('calcA'!DI$106=1,1-HG23,0)+IF('calcA'!DJ$106=1,1-HI23,0))*150+155+'calcA'!DJ$5*100000+IF(AND($E23=1,MW23=0),50000,0))+IF($H23=1,INDEX('calcA'!$D$180:$EQ$219,$B23,111)*4000,0)-IF(AND('calcA'!DI$117=1,YG23&gt;0),2000,0)-IF(AND($U23=1,'calcA'!DJ$117=1,HI23=0),2000,0))),1000000000))</f>
        <v/>
      </c>
      <c r="SM23">
        <f>IF($B23=0,1000000000,IF(INDEX('calcA'!$D$60:$EQ$99,$B23,112)*IF($W23=1,HI23+ADX23,HI23)=1,IF(AND($E23=2,IF($W23=1,AJM23,MX23)=0),1000000000,IF($V23=1,INDEX('calcA'!$D$130:$EQ$169,$B23,112)+IF(AND($E23=1,MX23=0),25,0),IF($F23&gt;0,INDEX('calcA'!DK$110:DK$114,$F23+1)+IF(AND($E23=1,MX23=0),1000,0),MIN(TY23,20)*400+(IF('calcA'!DJ$106=1,1-HH23,0)+IF('calcA'!DK$106=1,1-HJ23,0))*150+165+'calcA'!DK$5*100000+IF(AND($E23=1,MX23=0),50000,0))+IF($H23=1,INDEX('calcA'!$D$180:$EQ$219,$B23,112)*4000,0)-IF(AND('calcA'!DJ$117=1,YH23&gt;0),2000,0)-IF(AND($U23=1,'calcA'!DK$117=1,HJ23=0),2000,0))),1000000000))</f>
        <v/>
      </c>
      <c r="SN23">
        <f>IF($B23=0,1000000000,IF(INDEX('calcA'!$D$60:$EQ$99,$B23,113)*IF($W23=1,HJ23+ADY23,HJ23)=1,IF(AND($E23=2,IF($W23=1,AJN23,MY23)=0),1000000000,IF($V23=1,INDEX('calcA'!$D$130:$EQ$169,$B23,113)+IF(AND($E23=1,MY23=0),25,0),IF($F23&gt;0,INDEX('calcA'!DL$110:DL$114,$F23+1)+IF(AND($E23=1,MY23=0),1000,0),MIN(TY23,20)*400+(IF('calcA'!DK$106=1,1-HI23,0)+IF('calcA'!DL$106=1,1-HK23,0))*150+175+'calcA'!DL$5*100000+IF(AND($E23=1,MY23=0),50000,0))+IF($H23=1,INDEX('calcA'!$D$180:$EQ$219,$B23,113)*4000,0)-IF(AND('calcA'!DK$117=1,YI23&gt;0),2000,0)-IF(AND($U23=1,'calcA'!DL$117=1,HK23=0),2000,0))),1000000000))</f>
        <v/>
      </c>
      <c r="SO23">
        <f>IF($B23=0,1000000000,IF(INDEX('calcA'!$D$60:$EQ$99,$B23,114)*IF($W23=1,HK23+ADZ23,HK23)=1,IF(AND($E23=2,IF($W23=1,AJO23,MZ23)=0),1000000000,IF($V23=1,INDEX('calcA'!$D$130:$EQ$169,$B23,114)+IF(AND($E23=1,MZ23=0),25,0),IF($F23&gt;0,INDEX('calcA'!DM$110:DM$114,$F23+1)+IF(AND($E23=1,MZ23=0),1000,0),MIN(TY23,20)*400+(IF('calcA'!DL$106=1,1-HJ23,0)+IF('calcA'!DM$106=1,1-HL23,0))*150+185+'calcA'!DM$5*100000+IF(AND($E23=1,MZ23=0),50000,0))+IF($H23=1,INDEX('calcA'!$D$180:$EQ$219,$B23,114)*4000,0)-IF(AND('calcA'!DL$117=1,YJ23&gt;0),2000,0)-IF(AND($U23=1,'calcA'!DM$117=1,HL23=0),2000,0))),1000000000))</f>
        <v/>
      </c>
      <c r="SP23">
        <f>IF($B23=0,1000000000,IF(INDEX('calcA'!$D$60:$EQ$99,$B23,115)*IF($W23=1,HL23+AEA23,HL23)=1,IF(AND($E23=2,IF($W23=1,AJP23,NA23)=0),1000000000,IF($V23=1,INDEX('calcA'!$D$130:$EQ$169,$B23,115)+IF(AND($E23=1,NA23=0),25,0),IF($F23&gt;0,INDEX('calcA'!DN$110:DN$114,$F23+1)+IF(AND($E23=1,NA23=0),1000,0),MIN(TY23,20)*400+(IF('calcA'!DM$106=1,1-HK23,0)+IF('calcA'!DN$106=1,1-HM23,0))*150+195+'calcA'!DN$5*100000+IF(AND($E23=1,NA23=0),50000,0))+IF($H23=1,INDEX('calcA'!$D$180:$EQ$219,$B23,115)*4000,0)-IF(AND('calcA'!DM$117=1,YK23&gt;0),2000,0)-IF(AND($U23=1,'calcA'!DN$117=1,HM23=0),2000,0))),1000000000))</f>
        <v/>
      </c>
      <c r="SQ23">
        <f>IF($B23=0,1000000000,IF(INDEX('calcA'!$D$60:$EQ$99,$B23,116)*IF($W23=1,HM23+AEB23,HM23)=1,IF(AND($E23=2,IF($W23=1,AJQ23,NB23)=0),1000000000,IF($V23=1,INDEX('calcA'!$D$130:$EQ$169,$B23,116)+IF(AND($E23=1,NB23=0),25,0),IF($F23&gt;0,INDEX('calcA'!DO$110:DO$114,$F23+1)+IF(AND($E23=1,NB23=0),1000,0),MIN(TY23,20)*400+(IF('calcA'!DN$106=1,1-HL23,0)+IF('calcA'!DO$106=1,1-HN23,0))*150+205+'calcA'!DO$5*100000+IF(AND($E23=1,NB23=0),50000,0))+IF($H23=1,INDEX('calcA'!$D$180:$EQ$219,$B23,116)*4000,0)-IF(AND('calcA'!DN$117=1,YL23&gt;0),2000,0)-IF(AND($U23=1,'calcA'!DO$117=1,HN23=0),2000,0))),1000000000))</f>
        <v/>
      </c>
      <c r="SR23">
        <f>IF($B23=0,1000000000,IF(INDEX('calcA'!$D$60:$EQ$99,$B23,117)*IF($W23=1,HN23+AEC23,HN23)=1,IF(AND($E23=2,IF($W23=1,AJR23,NC23)=0),1000000000,IF($V23=1,INDEX('calcA'!$D$130:$EQ$169,$B23,117)+IF(AND($E23=1,NC23=0),25,0),IF($F23&gt;0,INDEX('calcA'!DP$110:DP$114,$F23+1)+IF(AND($E23=1,NC23=0),1000,0),MIN(TY23,20)*400+(IF('calcA'!DO$106=1,1-HM23,0)+IF('calcA'!DP$106=1,1-HO23,0))*150+215+'calcA'!DP$5*100000+IF(AND($E23=1,NC23=0),50000,0))+IF($H23=1,INDEX('calcA'!$D$180:$EQ$219,$B23,117)*4000,0)-IF(AND('calcA'!DO$117=1,YM23&gt;0),2000,0)-IF(AND($U23=1,'calcA'!DP$117=1,HO23=0),2000,0))),1000000000))</f>
        <v/>
      </c>
      <c r="SS23">
        <f>IF($B23=0,1000000000,IF(INDEX('calcA'!$D$60:$EQ$99,$B23,118)*IF($W23=1,HO23+AED23,HO23)=1,IF(AND($E23=2,IF($W23=1,AJS23,ND23)=0),1000000000,IF($V23=1,INDEX('calcA'!$D$130:$EQ$169,$B23,118)+IF(AND($E23=1,ND23=0),25,0),IF($F23&gt;0,INDEX('calcA'!DQ$110:DQ$114,$F23+1)+IF(AND($E23=1,ND23=0),1000,0),MIN(TY23,20)*400+(IF('calcA'!DP$106=1,1-HN23,0)+IF('calcA'!DQ$106=1,1-HP23,0))*150+225+'calcA'!DQ$5*100000+IF(AND($E23=1,ND23=0),50000,0))+IF($H23=1,INDEX('calcA'!$D$180:$EQ$219,$B23,118)*4000,0)-IF(AND('calcA'!DP$117=1,YN23&gt;0),2000,0)-IF(AND($U23=1,'calcA'!DQ$117=1,HP23=0),2000,0))),1000000000))</f>
        <v/>
      </c>
      <c r="ST23">
        <f>IF($B23=0,1000000000,IF(INDEX('calcA'!$D$60:$EQ$99,$B23,119)*IF($W23=1,HP23+AEE23,HP23)=1,IF(AND($E23=2,IF($W23=1,AJT23,NE23)=0),1000000000,IF($V23=1,INDEX('calcA'!$D$130:$EQ$169,$B23,119)+IF(AND($E23=1,NE23=0),25,0),IF($F23&gt;0,INDEX('calcA'!DR$110:DR$114,$F23+1)+IF(AND($E23=1,NE23=0),1000,0),MIN(TY23,20)*400+(IF('calcA'!DQ$106=1,1-HO23,0)+IF('calcA'!DR$106=1,1-HQ23,0))*150+235+'calcA'!DR$5*100000+IF(AND($E23=1,NE23=0),50000,0))+IF($H23=1,INDEX('calcA'!$D$180:$EQ$219,$B23,119)*4000,0)-IF(AND('calcA'!DQ$117=1,YO23&gt;0),2000,0)-IF(AND($U23=1,'calcA'!DR$117=1,HQ23=0),2000,0))),1000000000))</f>
        <v/>
      </c>
      <c r="SU23">
        <f>IF($B23=0,1000000000,IF(INDEX('calcA'!$D$60:$EQ$99,$B23,120)*IF($W23=1,HQ23+AEF23,HQ23)=1,IF(AND($E23=2,IF($W23=1,AJU23,NF23)=0),1000000000,IF($V23=1,INDEX('calcA'!$D$130:$EQ$169,$B23,120)+IF(AND($E23=1,NF23=0),25,0),IF($F23&gt;0,INDEX('calcA'!DS$110:DS$114,$F23+1)+IF(AND($E23=1,NF23=0),1000,0),MIN(TY23,20)*400+(IF('calcA'!DR$106=1,1-HP23,0))*150+245+'calcA'!DS$5*100000+IF(AND($E23=1,NF23=0),50000,0))+IF($H23=1,INDEX('calcA'!$D$180:$EQ$219,$B23,120)*4000,0)-IF(AND('calcA'!DR$117=1,YP23&gt;0),2000,0))),1000000000))</f>
        <v/>
      </c>
      <c r="SV23">
        <f>IF($B23=0,1000000000,IF(INDEX('calcA'!$D$60:$EQ$99,$B23,121)*IF($W23=1,HR23+AEG23,HR23)=1,IF(AND($E23=2,IF($W23=1,AJV23,NG23)=0),1000000000,IF($V23=1,INDEX('calcA'!$D$130:$EQ$169,$B23,121)+IF(AND($E23=1,NG23=0),25,0),IF($F23&gt;0,INDEX('calcA'!DT$110:DT$114,$F23+1)+IF(AND($E23=1,NG23=0),1000,0),MIN(TZ23,20)*400+(IF('calcA'!DT$106=1,1-HS23,0))*150+16+'calcA'!DT$5*100000+IF(AND($E23=1,NG23=0),50000,0))+IF($H23=1,INDEX('calcA'!$D$180:$EQ$219,$B23,121)*4000,0)-IF(AND($U23=1,'calcA'!DT$117=1,HS23=0),2000,0))),1000000000))</f>
        <v/>
      </c>
      <c r="SW23">
        <f>IF($B23=0,1000000000,IF(INDEX('calcA'!$D$60:$EQ$99,$B23,122)*IF($W23=1,HS23+AEH23,HS23)=1,IF(AND($E23=2,IF($W23=1,AJW23,NH23)=0),1000000000,IF($V23=1,INDEX('calcA'!$D$130:$EQ$169,$B23,122)+IF(AND($E23=1,NH23=0),25,0),IF($F23&gt;0,INDEX('calcA'!DU$110:DU$114,$F23+1)+IF(AND($E23=1,NH23=0),1000,0),MIN(TZ23,20)*400+(IF('calcA'!DT$106=1,1-HR23,0)+IF('calcA'!DU$106=1,1-HT23,0))*150+26+'calcA'!DU$5*100000+IF(AND($E23=1,NH23=0),50000,0))+IF($H23=1,INDEX('calcA'!$D$180:$EQ$219,$B23,122)*4000,0)-IF(AND('calcA'!DT$117=1,YR23&gt;0),2000,0)-IF(AND($U23=1,'calcA'!DU$117=1,HT23=0),2000,0))),1000000000))</f>
        <v/>
      </c>
      <c r="SX23">
        <f>IF($B23=0,1000000000,IF(INDEX('calcA'!$D$60:$EQ$99,$B23,123)*IF($W23=1,HT23+AEI23,HT23)=1,IF(AND($E23=2,IF($W23=1,AJX23,NI23)=0),1000000000,IF($V23=1,INDEX('calcA'!$D$130:$EQ$169,$B23,123)+IF(AND($E23=1,NI23=0),25,0),IF($F23&gt;0,INDEX('calcA'!DV$110:DV$114,$F23+1)+IF(AND($E23=1,NI23=0),1000,0),MIN(TZ23,20)*400+(IF('calcA'!DU$106=1,1-HS23,0)+IF('calcA'!DV$106=1,1-HU23,0))*150+36+'calcA'!DV$5*100000+IF(AND($E23=1,NI23=0),50000,0))+IF($H23=1,INDEX('calcA'!$D$180:$EQ$219,$B23,123)*4000,0)-IF(AND('calcA'!DU$117=1,YS23&gt;0),2000,0)-IF(AND($U23=1,'calcA'!DV$117=1,HU23=0),2000,0))),1000000000))</f>
        <v/>
      </c>
      <c r="SY23">
        <f>IF($B23=0,1000000000,IF(INDEX('calcA'!$D$60:$EQ$99,$B23,124)*IF($W23=1,HU23+AEJ23,HU23)=1,IF(AND($E23=2,IF($W23=1,AJY23,NJ23)=0),1000000000,IF($V23=1,INDEX('calcA'!$D$130:$EQ$169,$B23,124)+IF(AND($E23=1,NJ23=0),25,0),IF($F23&gt;0,INDEX('calcA'!DW$110:DW$114,$F23+1)+IF(AND($E23=1,NJ23=0),1000,0),MIN(TZ23,20)*400+(IF('calcA'!DV$106=1,1-HT23,0)+IF('calcA'!DW$106=1,1-HV23,0))*150+46+'calcA'!DW$5*100000+IF(AND($E23=1,NJ23=0),50000,0))+IF($H23=1,INDEX('calcA'!$D$180:$EQ$219,$B23,124)*4000,0)-IF(AND('calcA'!DV$117=1,YT23&gt;0),2000,0)-IF(AND($U23=1,'calcA'!DW$117=1,HV23=0),2000,0))),1000000000))</f>
        <v/>
      </c>
      <c r="SZ23">
        <f>IF($B23=0,1000000000,IF(INDEX('calcA'!$D$60:$EQ$99,$B23,125)*IF($W23=1,HV23+AEK23,HV23)=1,IF(AND($E23=2,IF($W23=1,AJZ23,NK23)=0),1000000000,IF($V23=1,INDEX('calcA'!$D$130:$EQ$169,$B23,125)+IF(AND($E23=1,NK23=0),25,0),IF($F23&gt;0,INDEX('calcA'!DX$110:DX$114,$F23+1)+IF(AND($E23=1,NK23=0),1000,0),MIN(TZ23,20)*400+(IF('calcA'!DW$106=1,1-HU23,0)+IF('calcA'!DX$106=1,1-HW23,0))*150+56+'calcA'!DX$5*100000+IF(AND($E23=1,NK23=0),50000,0))+IF($H23=1,INDEX('calcA'!$D$180:$EQ$219,$B23,125)*4000,0)-IF(AND('calcA'!DW$117=1,YU23&gt;0),2000,0)-IF(AND($U23=1,'calcA'!DX$117=1,HW23=0),2000,0))),1000000000))</f>
        <v/>
      </c>
      <c r="TA23">
        <f>IF($B23=0,1000000000,IF(INDEX('calcA'!$D$60:$EQ$99,$B23,126)*IF($W23=1,HW23+AEL23,HW23)=1,IF(AND($E23=2,IF($W23=1,AKA23,NL23)=0),1000000000,IF($V23=1,INDEX('calcA'!$D$130:$EQ$169,$B23,126)+IF(AND($E23=1,NL23=0),25,0),IF($F23&gt;0,INDEX('calcA'!DY$110:DY$114,$F23+1)+IF(AND($E23=1,NL23=0),1000,0),MIN(TZ23,20)*400+(IF('calcA'!DX$106=1,1-HV23,0)+IF('calcA'!DY$106=1,1-HX23,0))*150+66+'calcA'!DY$5*100000+IF(AND($E23=1,NL23=0),50000,0))+IF($H23=1,INDEX('calcA'!$D$180:$EQ$219,$B23,126)*4000,0)-IF(AND('calcA'!DX$117=1,YV23&gt;0),2000,0)-IF(AND($U23=1,'calcA'!DY$117=1,HX23=0),2000,0))),1000000000))</f>
        <v/>
      </c>
      <c r="TB23">
        <f>IF($B23=0,1000000000,IF(INDEX('calcA'!$D$60:$EQ$99,$B23,127)*IF($W23=1,HX23+AEM23,HX23)=1,IF(AND($E23=2,IF($W23=1,AKB23,NM23)=0),1000000000,IF($V23=1,INDEX('calcA'!$D$130:$EQ$169,$B23,127)+IF(AND($E23=1,NM23=0),25,0),IF($F23&gt;0,INDEX('calcA'!DZ$110:DZ$114,$F23+1)+IF(AND($E23=1,NM23=0),1000,0),MIN(TZ23,20)*400+(IF('calcA'!DY$106=1,1-HW23,0)+IF('calcA'!DZ$106=1,1-HY23,0))*150+76+'calcA'!DZ$5*100000+IF(AND($E23=1,NM23=0),50000,0))+IF($H23=1,INDEX('calcA'!$D$180:$EQ$219,$B23,127)*4000,0)-IF(AND('calcA'!DY$117=1,YW23&gt;0),2000,0)-IF(AND($U23=1,'calcA'!DZ$117=1,HY23=0),2000,0))),1000000000))</f>
        <v/>
      </c>
      <c r="TC23">
        <f>IF($B23=0,1000000000,IF(INDEX('calcA'!$D$60:$EQ$99,$B23,128)*IF($W23=1,HY23+AEN23,HY23)=1,IF(AND($E23=2,IF($W23=1,AKC23,NN23)=0),1000000000,IF($V23=1,INDEX('calcA'!$D$130:$EQ$169,$B23,128)+IF(AND($E23=1,NN23=0),25,0),IF($F23&gt;0,INDEX('calcA'!EA$110:EA$114,$F23+1)+IF(AND($E23=1,NN23=0),1000,0),MIN(TZ23,20)*400+(IF('calcA'!DZ$106=1,1-HX23,0)+IF('calcA'!EA$106=1,1-HZ23,0))*150+86+'calcA'!EA$5*100000+IF(AND($E23=1,NN23=0),50000,0))+IF($H23=1,INDEX('calcA'!$D$180:$EQ$219,$B23,128)*4000,0)-IF(AND('calcA'!DZ$117=1,YX23&gt;0),2000,0)-IF(AND($U23=1,'calcA'!EA$117=1,HZ23=0),2000,0))),1000000000))</f>
        <v/>
      </c>
      <c r="TD23">
        <f>IF($B23=0,1000000000,IF(INDEX('calcA'!$D$60:$EQ$99,$B23,129)*IF($W23=1,HZ23+AEO23,HZ23)=1,IF(AND($E23=2,IF($W23=1,AKD23,NO23)=0),1000000000,IF($V23=1,INDEX('calcA'!$D$130:$EQ$169,$B23,129)+IF(AND($E23=1,NO23=0),25,0),IF($F23&gt;0,INDEX('calcA'!EB$110:EB$114,$F23+1)+IF(AND($E23=1,NO23=0),1000,0),MIN(TZ23,20)*400+(IF('calcA'!EA$106=1,1-HY23,0)+IF('calcA'!EB$106=1,1-IA23,0))*150+96+'calcA'!EB$5*100000+IF(AND($E23=1,NO23=0),50000,0))+IF($H23=1,INDEX('calcA'!$D$180:$EQ$219,$B23,129)*4000,0)-IF(AND('calcA'!EA$117=1,YY23&gt;0),2000,0)-IF(AND($U23=1,'calcA'!EB$117=1,IA23=0),2000,0))),1000000000))</f>
        <v/>
      </c>
      <c r="TE23">
        <f>IF($B23=0,1000000000,IF(INDEX('calcA'!$D$60:$EQ$99,$B23,130)*IF($W23=1,IA23+AEP23,IA23)=1,IF(AND($E23=2,IF($W23=1,AKE23,NP23)=0),1000000000,IF($V23=1,INDEX('calcA'!$D$130:$EQ$169,$B23,130)+IF(AND($E23=1,NP23=0),25,0),IF($F23&gt;0,INDEX('calcA'!EC$110:EC$114,$F23+1)+IF(AND($E23=1,NP23=0),1000,0),MIN(TZ23,20)*400+(IF('calcA'!EB$106=1,1-HZ23,0)+IF('calcA'!EC$106=1,1-IB23,0))*150+106+'calcA'!EC$5*100000+IF(AND($E23=1,NP23=0),50000,0))+IF($H23=1,INDEX('calcA'!$D$180:$EQ$219,$B23,130)*4000,0)-IF(AND('calcA'!EB$117=1,YZ23&gt;0),2000,0)-IF(AND($U23=1,'calcA'!EC$117=1,IB23=0),2000,0))),1000000000))</f>
        <v/>
      </c>
      <c r="TF23">
        <f>IF($B23=0,1000000000,IF(INDEX('calcA'!$D$60:$EQ$99,$B23,131)*IF($W23=1,IB23+AEQ23,IB23)=1,IF(AND($E23=2,IF($W23=1,AKF23,NQ23)=0),1000000000,IF($V23=1,INDEX('calcA'!$D$130:$EQ$169,$B23,131)+IF(AND($E23=1,NQ23=0),25,0),IF($F23&gt;0,INDEX('calcA'!ED$110:ED$114,$F23+1)+IF(AND($E23=1,NQ23=0),1000,0),MIN(TZ23,20)*400+(IF('calcA'!EC$106=1,1-IA23,0)+IF('calcA'!ED$106=1,1-IC23,0))*150+116+'calcA'!ED$5*100000+IF(AND($E23=1,NQ23=0),50000,0))+IF($H23=1,INDEX('calcA'!$D$180:$EQ$219,$B23,131)*4000,0)-IF(AND('calcA'!EC$117=1,ZA23&gt;0),2000,0)-IF(AND($U23=1,'calcA'!ED$117=1,IC23=0),2000,0))),1000000000))</f>
        <v/>
      </c>
      <c r="TG23">
        <f>IF($B23=0,1000000000,IF(INDEX('calcA'!$D$60:$EQ$99,$B23,132)*IF($W23=1,IC23+AER23,IC23)=1,IF(AND($E23=2,IF($W23=1,AKG23,NR23)=0),1000000000,IF($V23=1,INDEX('calcA'!$D$130:$EQ$169,$B23,132)+IF(AND($E23=1,NR23=0),25,0),IF($F23&gt;0,INDEX('calcA'!EE$110:EE$114,$F23+1)+IF(AND($E23=1,NR23=0),1000,0),MIN(TZ23,20)*400+(IF('calcA'!ED$106=1,1-IB23,0)+IF('calcA'!EE$106=1,1-ID23,0))*150+126+'calcA'!EE$5*100000+IF(AND($E23=1,NR23=0),50000,0))+IF($H23=1,INDEX('calcA'!$D$180:$EQ$219,$B23,132)*4000,0)-IF(AND('calcA'!ED$117=1,ZB23&gt;0),2000,0)-IF(AND($U23=1,'calcA'!EE$117=1,ID23=0),2000,0))),1000000000))</f>
        <v/>
      </c>
      <c r="TH23">
        <f>IF($B23=0,1000000000,IF(INDEX('calcA'!$D$60:$EQ$99,$B23,133)*IF($W23=1,ID23+AES23,ID23)=1,IF(AND($E23=2,IF($W23=1,AKH23,NS23)=0),1000000000,IF($V23=1,INDEX('calcA'!$D$130:$EQ$169,$B23,133)+IF(AND($E23=1,NS23=0),25,0),IF($F23&gt;0,INDEX('calcA'!EF$110:EF$114,$F23+1)+IF(AND($E23=1,NS23=0),1000,0),MIN(TZ23,20)*400+(IF('calcA'!EE$106=1,1-IC23,0)+IF('calcA'!EF$106=1,1-IE23,0))*150+136+'calcA'!EF$5*100000+IF(AND($E23=1,NS23=0),50000,0))+IF($H23=1,INDEX('calcA'!$D$180:$EQ$219,$B23,133)*4000,0)-IF(AND('calcA'!EE$117=1,ZC23&gt;0),2000,0)-IF(AND($U23=1,'calcA'!EF$117=1,IE23=0),2000,0))),1000000000))</f>
        <v/>
      </c>
      <c r="TI23">
        <f>IF($B23=0,1000000000,IF(INDEX('calcA'!$D$60:$EQ$99,$B23,134)*IF($W23=1,IE23+AET23,IE23)=1,IF(AND($E23=2,IF($W23=1,AKI23,NT23)=0),1000000000,IF($V23=1,INDEX('calcA'!$D$130:$EQ$169,$B23,134)+IF(AND($E23=1,NT23=0),25,0),IF($F23&gt;0,INDEX('calcA'!EG$110:EG$114,$F23+1)+IF(AND($E23=1,NT23=0),1000,0),MIN(TZ23,20)*400+(IF('calcA'!EF$106=1,1-ID23,0)+IF('calcA'!EG$106=1,1-IF23,0))*150+146+'calcA'!EG$5*100000+IF(AND($E23=1,NT23=0),50000,0))+IF($H23=1,INDEX('calcA'!$D$180:$EQ$219,$B23,134)*4000,0)-IF(AND('calcA'!EF$117=1,ZD23&gt;0),2000,0)-IF(AND($U23=1,'calcA'!EG$117=1,IF23=0),2000,0))),1000000000))</f>
        <v/>
      </c>
      <c r="TJ23">
        <f>IF($B23=0,1000000000,IF(INDEX('calcA'!$D$60:$EQ$99,$B23,135)*IF($W23=1,IF23+AEU23,IF23)=1,IF(AND($E23=2,IF($W23=1,AKJ23,NU23)=0),1000000000,IF($V23=1,INDEX('calcA'!$D$130:$EQ$169,$B23,135)+IF(AND($E23=1,NU23=0),25,0),IF($F23&gt;0,INDEX('calcA'!EH$110:EH$114,$F23+1)+IF(AND($E23=1,NU23=0),1000,0),MIN(TZ23,20)*400+(IF('calcA'!EG$106=1,1-IE23,0)+IF('calcA'!EH$106=1,1-IG23,0))*150+156+'calcA'!EH$5*100000+IF(AND($E23=1,NU23=0),50000,0))+IF($H23=1,INDEX('calcA'!$D$180:$EQ$219,$B23,135)*4000,0)-IF(AND('calcA'!EG$117=1,ZE23&gt;0),2000,0)-IF(AND($U23=1,'calcA'!EH$117=1,IG23=0),2000,0))),1000000000))</f>
        <v/>
      </c>
      <c r="TK23">
        <f>IF($B23=0,1000000000,IF(INDEX('calcA'!$D$60:$EQ$99,$B23,136)*IF($W23=1,IG23+AEV23,IG23)=1,IF(AND($E23=2,IF($W23=1,AKK23,NV23)=0),1000000000,IF($V23=1,INDEX('calcA'!$D$130:$EQ$169,$B23,136)+IF(AND($E23=1,NV23=0),25,0),IF($F23&gt;0,INDEX('calcA'!EI$110:EI$114,$F23+1)+IF(AND($E23=1,NV23=0),1000,0),MIN(TZ23,20)*400+(IF('calcA'!EH$106=1,1-IF23,0)+IF('calcA'!EI$106=1,1-IH23,0))*150+166+'calcA'!EI$5*100000+IF(AND($E23=1,NV23=0),50000,0))+IF($H23=1,INDEX('calcA'!$D$180:$EQ$219,$B23,136)*4000,0)-IF(AND('calcA'!EH$117=1,ZF23&gt;0),2000,0)-IF(AND($U23=1,'calcA'!EI$117=1,IH23=0),2000,0))),1000000000))</f>
        <v/>
      </c>
      <c r="TL23">
        <f>IF($B23=0,1000000000,IF(INDEX('calcA'!$D$60:$EQ$99,$B23,137)*IF($W23=1,IH23+AEW23,IH23)=1,IF(AND($E23=2,IF($W23=1,AKL23,NW23)=0),1000000000,IF($V23=1,INDEX('calcA'!$D$130:$EQ$169,$B23,137)+IF(AND($E23=1,NW23=0),25,0),IF($F23&gt;0,INDEX('calcA'!EJ$110:EJ$114,$F23+1)+IF(AND($E23=1,NW23=0),1000,0),MIN(TZ23,20)*400+(IF('calcA'!EI$106=1,1-IG23,0)+IF('calcA'!EJ$106=1,1-II23,0))*150+176+'calcA'!EJ$5*100000+IF(AND($E23=1,NW23=0),50000,0))+IF($H23=1,INDEX('calcA'!$D$180:$EQ$219,$B23,137)*4000,0)-IF(AND('calcA'!EI$117=1,ZG23&gt;0),2000,0)-IF(AND($U23=1,'calcA'!EJ$117=1,II23=0),2000,0))),1000000000))</f>
        <v/>
      </c>
      <c r="TM23">
        <f>IF($B23=0,1000000000,IF(INDEX('calcA'!$D$60:$EQ$99,$B23,138)*IF($W23=1,II23+AEX23,II23)=1,IF(AND($E23=2,IF($W23=1,AKM23,NX23)=0),1000000000,IF($V23=1,INDEX('calcA'!$D$130:$EQ$169,$B23,138)+IF(AND($E23=1,NX23=0),25,0),IF($F23&gt;0,INDEX('calcA'!EK$110:EK$114,$F23+1)+IF(AND($E23=1,NX23=0),1000,0),MIN(TZ23,20)*400+(IF('calcA'!EJ$106=1,1-IH23,0)+IF('calcA'!EK$106=1,1-IJ23,0))*150+186+'calcA'!EK$5*100000+IF(AND($E23=1,NX23=0),50000,0))+IF($H23=1,INDEX('calcA'!$D$180:$EQ$219,$B23,138)*4000,0)-IF(AND('calcA'!EJ$117=1,ZH23&gt;0),2000,0)-IF(AND($U23=1,'calcA'!EK$117=1,IJ23=0),2000,0))),1000000000))</f>
        <v/>
      </c>
      <c r="TN23">
        <f>IF($B23=0,1000000000,IF(INDEX('calcA'!$D$60:$EQ$99,$B23,139)*IF($W23=1,IJ23+AEY23,IJ23)=1,IF(AND($E23=2,IF($W23=1,AKN23,NY23)=0),1000000000,IF($V23=1,INDEX('calcA'!$D$130:$EQ$169,$B23,139)+IF(AND($E23=1,NY23=0),25,0),IF($F23&gt;0,INDEX('calcA'!EL$110:EL$114,$F23+1)+IF(AND($E23=1,NY23=0),1000,0),MIN(TZ23,20)*400+(IF('calcA'!EK$106=1,1-II23,0)+IF('calcA'!EL$106=1,1-IK23,0))*150+196+'calcA'!EL$5*100000+IF(AND($E23=1,NY23=0),50000,0))+IF($H23=1,INDEX('calcA'!$D$180:$EQ$219,$B23,139)*4000,0)-IF(AND('calcA'!EK$117=1,ZI23&gt;0),2000,0)-IF(AND($U23=1,'calcA'!EL$117=1,IK23=0),2000,0))),1000000000))</f>
        <v/>
      </c>
      <c r="TO23">
        <f>IF($B23=0,1000000000,IF(INDEX('calcA'!$D$60:$EQ$99,$B23,140)*IF($W23=1,IK23+AEZ23,IK23)=1,IF(AND($E23=2,IF($W23=1,AKO23,NZ23)=0),1000000000,IF($V23=1,INDEX('calcA'!$D$130:$EQ$169,$B23,140)+IF(AND($E23=1,NZ23=0),25,0),IF($F23&gt;0,INDEX('calcA'!EM$110:EM$114,$F23+1)+IF(AND($E23=1,NZ23=0),1000,0),MIN(TZ23,20)*400+(IF('calcA'!EL$106=1,1-IJ23,0)+IF('calcA'!EM$106=1,1-IL23,0))*150+206+'calcA'!EM$5*100000+IF(AND($E23=1,NZ23=0),50000,0))+IF($H23=1,INDEX('calcA'!$D$180:$EQ$219,$B23,140)*4000,0)-IF(AND('calcA'!EL$117=1,ZJ23&gt;0),2000,0)-IF(AND($U23=1,'calcA'!EM$117=1,IL23=0),2000,0))),1000000000))</f>
        <v/>
      </c>
      <c r="TP23">
        <f>IF($B23=0,1000000000,IF(INDEX('calcA'!$D$60:$EQ$99,$B23,141)*IF($W23=1,IL23+AFA23,IL23)=1,IF(AND($E23=2,IF($W23=1,AKP23,OA23)=0),1000000000,IF($V23=1,INDEX('calcA'!$D$130:$EQ$169,$B23,141)+IF(AND($E23=1,OA23=0),25,0),IF($F23&gt;0,INDEX('calcA'!EN$110:EN$114,$F23+1)+IF(AND($E23=1,OA23=0),1000,0),MIN(TZ23,20)*400+(IF('calcA'!EM$106=1,1-IK23,0)+IF('calcA'!EN$106=1,1-IM23,0))*150+216+'calcA'!EN$5*100000+IF(AND($E23=1,OA23=0),50000,0))+IF($H23=1,INDEX('calcA'!$D$180:$EQ$219,$B23,141)*4000,0)-IF(AND('calcA'!EM$117=1,ZK23&gt;0),2000,0)-IF(AND($U23=1,'calcA'!EN$117=1,IM23=0),2000,0))),1000000000))</f>
        <v/>
      </c>
      <c r="TQ23">
        <f>IF($B23=0,1000000000,IF(INDEX('calcA'!$D$60:$EQ$99,$B23,142)*IF($W23=1,IM23+AFB23,IM23)=1,IF(AND($E23=2,IF($W23=1,AKQ23,OB23)=0),1000000000,IF($V23=1,INDEX('calcA'!$D$130:$EQ$169,$B23,142)+IF(AND($E23=1,OB23=0),25,0),IF($F23&gt;0,INDEX('calcA'!EO$110:EO$114,$F23+1)+IF(AND($E23=1,OB23=0),1000,0),MIN(TZ23,20)*400+(IF('calcA'!EN$106=1,1-IL23,0)+IF('calcA'!EO$106=1,1-IN23,0))*150+226+'calcA'!EO$5*100000+IF(AND($E23=1,OB23=0),50000,0))+IF($H23=1,INDEX('calcA'!$D$180:$EQ$219,$B23,142)*4000,0)-IF(AND('calcA'!EN$117=1,ZL23&gt;0),2000,0)-IF(AND($U23=1,'calcA'!EO$117=1,IN23=0),2000,0))),1000000000))</f>
        <v/>
      </c>
      <c r="TR23">
        <f>IF($B23=0,1000000000,IF(INDEX('calcA'!$D$60:$EQ$99,$B23,143)*IF($W23=1,IN23+AFC23,IN23)=1,IF(AND($E23=2,IF($W23=1,AKR23,OC23)=0),1000000000,IF($V23=1,INDEX('calcA'!$D$130:$EQ$169,$B23,143)+IF(AND($E23=1,OC23=0),25,0),IF($F23&gt;0,INDEX('calcA'!EP$110:EP$114,$F23+1)+IF(AND($E23=1,OC23=0),1000,0),MIN(TZ23,20)*400+(IF('calcA'!EO$106=1,1-IM23,0)+IF('calcA'!EP$106=1,1-IO23,0))*150+236+'calcA'!EP$5*100000+IF(AND($E23=1,OC23=0),50000,0))+IF($H23=1,INDEX('calcA'!$D$180:$EQ$219,$B23,143)*4000,0)-IF(AND('calcA'!EO$117=1,ZM23&gt;0),2000,0)-IF(AND($U23=1,'calcA'!EP$117=1,IO23=0),2000,0))),1000000000))</f>
        <v/>
      </c>
      <c r="TS23">
        <f>IF($B23=0,1000000000,IF(INDEX('calcA'!$D$60:$EQ$99,$B23,144)*IF($W23=1,IO23+AFD23,IO23)=1,IF(AND($E23=2,IF($W23=1,AKS23,OD23)=0),1000000000,IF($V23=1,INDEX('calcA'!$D$130:$EQ$169,$B23,144)+IF(AND($E23=1,OD23=0),25,0),IF($F23&gt;0,INDEX('calcA'!EQ$110:EQ$114,$F23+1)+IF(AND($E23=1,OD23=0),1000,0),MIN(TZ23,20)*400+(IF('calcA'!EP$106=1,1-IN23,0))*150+246+'calcA'!EQ$5*100000+IF(AND($E23=1,OD23=0),50000,0))+IF($H23=1,INDEX('calcA'!$D$180:$EQ$219,$B23,144)*4000,0)-IF(AND('calcA'!EP$117=1,ZN23&gt;0),2000,0))),1000000000))</f>
        <v/>
      </c>
      <c r="TU23">
        <f>TU22+IF($C22&gt;0,IF(INDEX('calcA'!$D$2:$EQ$2,$C22)=1,1,0),0)</f>
        <v/>
      </c>
      <c r="TV23">
        <f>TV22+IF($C22&gt;0,IF(INDEX('calcA'!$D$2:$EQ$2,$C22)=2,1,0),0)</f>
        <v/>
      </c>
      <c r="TW23">
        <f>TW22+IF($C22&gt;0,IF(INDEX('calcA'!$D$2:$EQ$2,$C22)=3,1,0),0)</f>
        <v/>
      </c>
      <c r="TX23">
        <f>TX22+IF($C22&gt;0,IF(INDEX('calcA'!$D$2:$EQ$2,$C22)=4,1,0),0)</f>
        <v/>
      </c>
      <c r="TY23">
        <f>TY22+IF($C22&gt;0,IF(INDEX('calcA'!$D$2:$EQ$2,$C22)=5,1,0),0)</f>
        <v/>
      </c>
      <c r="TZ23">
        <f>TZ22+IF($C22&gt;0,IF(INDEX('calcA'!$D$2:$EQ$2,$C22)=6,1,0),0)</f>
        <v/>
      </c>
      <c r="UB23">
        <f>UB22+IF(AND($C22=1,$U22=1),1,0)</f>
        <v/>
      </c>
      <c r="UC23">
        <f>UC22+IF(AND($C22=2,$U22=1),1,0)</f>
        <v/>
      </c>
      <c r="UD23">
        <f>UD22+IF(AND($C22=3,$U22=1),1,0)</f>
        <v/>
      </c>
      <c r="UE23">
        <f>UE22+IF(AND($C22=4,$U22=1),1,0)</f>
        <v/>
      </c>
      <c r="UF23">
        <f>UF22+IF(AND($C22=5,$U22=1),1,0)</f>
        <v/>
      </c>
      <c r="UG23">
        <f>UG22+IF(AND($C22=6,$U22=1),1,0)</f>
        <v/>
      </c>
      <c r="UH23">
        <f>UH22+IF(AND($C22=7,$U22=1),1,0)</f>
        <v/>
      </c>
      <c r="UI23">
        <f>UI22+IF(AND($C22=8,$U22=1),1,0)</f>
        <v/>
      </c>
      <c r="UJ23">
        <f>UJ22+IF(AND($C22=9,$U22=1),1,0)</f>
        <v/>
      </c>
      <c r="UK23">
        <f>UK22+IF(AND($C22=10,$U22=1),1,0)</f>
        <v/>
      </c>
      <c r="UL23">
        <f>UL22+IF(AND($C22=11,$U22=1),1,0)</f>
        <v/>
      </c>
      <c r="UM23">
        <f>UM22+IF(AND($C22=12,$U22=1),1,0)</f>
        <v/>
      </c>
      <c r="UN23">
        <f>UN22+IF(AND($C22=13,$U22=1),1,0)</f>
        <v/>
      </c>
      <c r="UO23">
        <f>UO22+IF(AND($C22=14,$U22=1),1,0)</f>
        <v/>
      </c>
      <c r="UP23">
        <f>UP22+IF(AND($C22=15,$U22=1),1,0)</f>
        <v/>
      </c>
      <c r="UQ23">
        <f>UQ22+IF(AND($C22=16,$U22=1),1,0)</f>
        <v/>
      </c>
      <c r="UR23">
        <f>UR22+IF(AND($C22=17,$U22=1),1,0)</f>
        <v/>
      </c>
      <c r="US23">
        <f>US22+IF(AND($C22=18,$U22=1),1,0)</f>
        <v/>
      </c>
      <c r="UT23">
        <f>UT22+IF(AND($C22=19,$U22=1),1,0)</f>
        <v/>
      </c>
      <c r="UU23">
        <f>UU22+IF(AND($C22=20,$U22=1),1,0)</f>
        <v/>
      </c>
      <c r="UV23">
        <f>UV22+IF(AND($C22=21,$U22=1),1,0)</f>
        <v/>
      </c>
      <c r="UW23">
        <f>UW22+IF(AND($C22=22,$U22=1),1,0)</f>
        <v/>
      </c>
      <c r="UX23">
        <f>UX22+IF(AND($C22=23,$U22=1),1,0)</f>
        <v/>
      </c>
      <c r="UY23">
        <f>UY22+IF(AND($C22=24,$U22=1),1,0)</f>
        <v/>
      </c>
      <c r="UZ23">
        <f>UZ22+IF(AND($C22=25,$U22=1),1,0)</f>
        <v/>
      </c>
      <c r="VA23">
        <f>VA22+IF(AND($C22=26,$U22=1),1,0)</f>
        <v/>
      </c>
      <c r="VB23">
        <f>VB22+IF(AND($C22=27,$U22=1),1,0)</f>
        <v/>
      </c>
      <c r="VC23">
        <f>VC22+IF(AND($C22=28,$U22=1),1,0)</f>
        <v/>
      </c>
      <c r="VD23">
        <f>VD22+IF(AND($C22=29,$U22=1),1,0)</f>
        <v/>
      </c>
      <c r="VE23">
        <f>VE22+IF(AND($C22=30,$U22=1),1,0)</f>
        <v/>
      </c>
      <c r="VF23">
        <f>VF22+IF(AND($C22=31,$U22=1),1,0)</f>
        <v/>
      </c>
      <c r="VG23">
        <f>VG22+IF(AND($C22=32,$U22=1),1,0)</f>
        <v/>
      </c>
      <c r="VH23">
        <f>VH22+IF(AND($C22=33,$U22=1),1,0)</f>
        <v/>
      </c>
      <c r="VI23">
        <f>VI22+IF(AND($C22=34,$U22=1),1,0)</f>
        <v/>
      </c>
      <c r="VJ23">
        <f>VJ22+IF(AND($C22=35,$U22=1),1,0)</f>
        <v/>
      </c>
      <c r="VK23">
        <f>VK22+IF(AND($C22=36,$U22=1),1,0)</f>
        <v/>
      </c>
      <c r="VL23">
        <f>VL22+IF(AND($C22=37,$U22=1),1,0)</f>
        <v/>
      </c>
      <c r="VM23">
        <f>VM22+IF(AND($C22=38,$U22=1),1,0)</f>
        <v/>
      </c>
      <c r="VN23">
        <f>VN22+IF(AND($C22=39,$U22=1),1,0)</f>
        <v/>
      </c>
      <c r="VO23">
        <f>VO22+IF(AND($C22=40,$U22=1),1,0)</f>
        <v/>
      </c>
      <c r="VP23">
        <f>VP22+IF(AND($C22=41,$U22=1),1,0)</f>
        <v/>
      </c>
      <c r="VQ23">
        <f>VQ22+IF(AND($C22=42,$U22=1),1,0)</f>
        <v/>
      </c>
      <c r="VR23">
        <f>VR22+IF(AND($C22=43,$U22=1),1,0)</f>
        <v/>
      </c>
      <c r="VS23">
        <f>VS22+IF(AND($C22=44,$U22=1),1,0)</f>
        <v/>
      </c>
      <c r="VT23">
        <f>VT22+IF(AND($C22=45,$U22=1),1,0)</f>
        <v/>
      </c>
      <c r="VU23">
        <f>VU22+IF(AND($C22=46,$U22=1),1,0)</f>
        <v/>
      </c>
      <c r="VV23">
        <f>VV22+IF(AND($C22=47,$U22=1),1,0)</f>
        <v/>
      </c>
      <c r="VW23">
        <f>VW22+IF(AND($C22=48,$U22=1),1,0)</f>
        <v/>
      </c>
      <c r="VX23">
        <f>VX22+IF(AND($C22=49,$U22=1),1,0)</f>
        <v/>
      </c>
      <c r="VY23">
        <f>VY22+IF(AND($C22=50,$U22=1),1,0)</f>
        <v/>
      </c>
      <c r="VZ23">
        <f>VZ22+IF(AND($C22=51,$U22=1),1,0)</f>
        <v/>
      </c>
      <c r="WA23">
        <f>WA22+IF(AND($C22=52,$U22=1),1,0)</f>
        <v/>
      </c>
      <c r="WB23">
        <f>WB22+IF(AND($C22=53,$U22=1),1,0)</f>
        <v/>
      </c>
      <c r="WC23">
        <f>WC22+IF(AND($C22=54,$U22=1),1,0)</f>
        <v/>
      </c>
      <c r="WD23">
        <f>WD22+IF(AND($C22=55,$U22=1),1,0)</f>
        <v/>
      </c>
      <c r="WE23">
        <f>WE22+IF(AND($C22=56,$U22=1),1,0)</f>
        <v/>
      </c>
      <c r="WF23">
        <f>WF22+IF(AND($C22=57,$U22=1),1,0)</f>
        <v/>
      </c>
      <c r="WG23">
        <f>WG22+IF(AND($C22=58,$U22=1),1,0)</f>
        <v/>
      </c>
      <c r="WH23">
        <f>WH22+IF(AND($C22=59,$U22=1),1,0)</f>
        <v/>
      </c>
      <c r="WI23">
        <f>WI22+IF(AND($C22=60,$U22=1),1,0)</f>
        <v/>
      </c>
      <c r="WJ23">
        <f>WJ22+IF(AND($C22=61,$U22=1),1,0)</f>
        <v/>
      </c>
      <c r="WK23">
        <f>WK22+IF(AND($C22=62,$U22=1),1,0)</f>
        <v/>
      </c>
      <c r="WL23">
        <f>WL22+IF(AND($C22=63,$U22=1),1,0)</f>
        <v/>
      </c>
      <c r="WM23">
        <f>WM22+IF(AND($C22=64,$U22=1),1,0)</f>
        <v/>
      </c>
      <c r="WN23">
        <f>WN22+IF(AND($C22=65,$U22=1),1,0)</f>
        <v/>
      </c>
      <c r="WO23">
        <f>WO22+IF(AND($C22=66,$U22=1),1,0)</f>
        <v/>
      </c>
      <c r="WP23">
        <f>WP22+IF(AND($C22=67,$U22=1),1,0)</f>
        <v/>
      </c>
      <c r="WQ23">
        <f>WQ22+IF(AND($C22=68,$U22=1),1,0)</f>
        <v/>
      </c>
      <c r="WR23">
        <f>WR22+IF(AND($C22=69,$U22=1),1,0)</f>
        <v/>
      </c>
      <c r="WS23">
        <f>WS22+IF(AND($C22=70,$U22=1),1,0)</f>
        <v/>
      </c>
      <c r="WT23">
        <f>WT22+IF(AND($C22=71,$U22=1),1,0)</f>
        <v/>
      </c>
      <c r="WU23">
        <f>WU22+IF(AND($C22=72,$U22=1),1,0)</f>
        <v/>
      </c>
      <c r="WV23">
        <f>WV22+IF(AND($C22=73,$U22=1),1,0)</f>
        <v/>
      </c>
      <c r="WW23">
        <f>WW22+IF(AND($C22=74,$U22=1),1,0)</f>
        <v/>
      </c>
      <c r="WX23">
        <f>WX22+IF(AND($C22=75,$U22=1),1,0)</f>
        <v/>
      </c>
      <c r="WY23">
        <f>WY22+IF(AND($C22=76,$U22=1),1,0)</f>
        <v/>
      </c>
      <c r="WZ23">
        <f>WZ22+IF(AND($C22=77,$U22=1),1,0)</f>
        <v/>
      </c>
      <c r="XA23">
        <f>XA22+IF(AND($C22=78,$U22=1),1,0)</f>
        <v/>
      </c>
      <c r="XB23">
        <f>XB22+IF(AND($C22=79,$U22=1),1,0)</f>
        <v/>
      </c>
      <c r="XC23">
        <f>XC22+IF(AND($C22=80,$U22=1),1,0)</f>
        <v/>
      </c>
      <c r="XD23">
        <f>XD22+IF(AND($C22=81,$U22=1),1,0)</f>
        <v/>
      </c>
      <c r="XE23">
        <f>XE22+IF(AND($C22=82,$U22=1),1,0)</f>
        <v/>
      </c>
      <c r="XF23">
        <f>XF22+IF(AND($C22=83,$U22=1),1,0)</f>
        <v/>
      </c>
      <c r="XG23">
        <f>XG22+IF(AND($C22=84,$U22=1),1,0)</f>
        <v/>
      </c>
      <c r="XH23">
        <f>XH22+IF(AND($C22=85,$U22=1),1,0)</f>
        <v/>
      </c>
      <c r="XI23">
        <f>XI22+IF(AND($C22=86,$U22=1),1,0)</f>
        <v/>
      </c>
      <c r="XJ23">
        <f>XJ22+IF(AND($C22=87,$U22=1),1,0)</f>
        <v/>
      </c>
      <c r="XK23">
        <f>XK22+IF(AND($C22=88,$U22=1),1,0)</f>
        <v/>
      </c>
      <c r="XL23">
        <f>XL22+IF(AND($C22=89,$U22=1),1,0)</f>
        <v/>
      </c>
      <c r="XM23">
        <f>XM22+IF(AND($C22=90,$U22=1),1,0)</f>
        <v/>
      </c>
      <c r="XN23">
        <f>XN22+IF(AND($C22=91,$U22=1),1,0)</f>
        <v/>
      </c>
      <c r="XO23">
        <f>XO22+IF(AND($C22=92,$U22=1),1,0)</f>
        <v/>
      </c>
      <c r="XP23">
        <f>XP22+IF(AND($C22=93,$U22=1),1,0)</f>
        <v/>
      </c>
      <c r="XQ23">
        <f>XQ22+IF(AND($C22=94,$U22=1),1,0)</f>
        <v/>
      </c>
      <c r="XR23">
        <f>XR22+IF(AND($C22=95,$U22=1),1,0)</f>
        <v/>
      </c>
      <c r="XS23">
        <f>XS22+IF(AND($C22=96,$U22=1),1,0)</f>
        <v/>
      </c>
      <c r="XT23">
        <f>XT22+IF(AND($C22=97,$U22=1),1,0)</f>
        <v/>
      </c>
      <c r="XU23">
        <f>XU22+IF(AND($C22=98,$U22=1),1,0)</f>
        <v/>
      </c>
      <c r="XV23">
        <f>XV22+IF(AND($C22=99,$U22=1),1,0)</f>
        <v/>
      </c>
      <c r="XW23">
        <f>XW22+IF(AND($C22=100,$U22=1),1,0)</f>
        <v/>
      </c>
      <c r="XX23">
        <f>XX22+IF(AND($C22=101,$U22=1),1,0)</f>
        <v/>
      </c>
      <c r="XY23">
        <f>XY22+IF(AND($C22=102,$U22=1),1,0)</f>
        <v/>
      </c>
      <c r="XZ23">
        <f>XZ22+IF(AND($C22=103,$U22=1),1,0)</f>
        <v/>
      </c>
      <c r="YA23">
        <f>YA22+IF(AND($C22=104,$U22=1),1,0)</f>
        <v/>
      </c>
      <c r="YB23">
        <f>YB22+IF(AND($C22=105,$U22=1),1,0)</f>
        <v/>
      </c>
      <c r="YC23">
        <f>YC22+IF(AND($C22=106,$U22=1),1,0)</f>
        <v/>
      </c>
      <c r="YD23">
        <f>YD22+IF(AND($C22=107,$U22=1),1,0)</f>
        <v/>
      </c>
      <c r="YE23">
        <f>YE22+IF(AND($C22=108,$U22=1),1,0)</f>
        <v/>
      </c>
      <c r="YF23">
        <f>YF22+IF(AND($C22=109,$U22=1),1,0)</f>
        <v/>
      </c>
      <c r="YG23">
        <f>YG22+IF(AND($C22=110,$U22=1),1,0)</f>
        <v/>
      </c>
      <c r="YH23">
        <f>YH22+IF(AND($C22=111,$U22=1),1,0)</f>
        <v/>
      </c>
      <c r="YI23">
        <f>YI22+IF(AND($C22=112,$U22=1),1,0)</f>
        <v/>
      </c>
      <c r="YJ23">
        <f>YJ22+IF(AND($C22=113,$U22=1),1,0)</f>
        <v/>
      </c>
      <c r="YK23">
        <f>YK22+IF(AND($C22=114,$U22=1),1,0)</f>
        <v/>
      </c>
      <c r="YL23">
        <f>YL22+IF(AND($C22=115,$U22=1),1,0)</f>
        <v/>
      </c>
      <c r="YM23">
        <f>YM22+IF(AND($C22=116,$U22=1),1,0)</f>
        <v/>
      </c>
      <c r="YN23">
        <f>YN22+IF(AND($C22=117,$U22=1),1,0)</f>
        <v/>
      </c>
      <c r="YO23">
        <f>YO22+IF(AND($C22=118,$U22=1),1,0)</f>
        <v/>
      </c>
      <c r="YP23">
        <f>YP22+IF(AND($C22=119,$U22=1),1,0)</f>
        <v/>
      </c>
      <c r="YQ23">
        <f>YQ22+IF(AND($C22=120,$U22=1),1,0)</f>
        <v/>
      </c>
      <c r="YR23">
        <f>YR22+IF(AND($C22=121,$U22=1),1,0)</f>
        <v/>
      </c>
      <c r="YS23">
        <f>YS22+IF(AND($C22=122,$U22=1),1,0)</f>
        <v/>
      </c>
      <c r="YT23">
        <f>YT22+IF(AND($C22=123,$U22=1),1,0)</f>
        <v/>
      </c>
      <c r="YU23">
        <f>YU22+IF(AND($C22=124,$U22=1),1,0)</f>
        <v/>
      </c>
      <c r="YV23">
        <f>YV22+IF(AND($C22=125,$U22=1),1,0)</f>
        <v/>
      </c>
      <c r="YW23">
        <f>YW22+IF(AND($C22=126,$U22=1),1,0)</f>
        <v/>
      </c>
      <c r="YX23">
        <f>YX22+IF(AND($C22=127,$U22=1),1,0)</f>
        <v/>
      </c>
      <c r="YY23">
        <f>YY22+IF(AND($C22=128,$U22=1),1,0)</f>
        <v/>
      </c>
      <c r="YZ23">
        <f>YZ22+IF(AND($C22=129,$U22=1),1,0)</f>
        <v/>
      </c>
      <c r="ZA23">
        <f>ZA22+IF(AND($C22=130,$U22=1),1,0)</f>
        <v/>
      </c>
      <c r="ZB23">
        <f>ZB22+IF(AND($C22=131,$U22=1),1,0)</f>
        <v/>
      </c>
      <c r="ZC23">
        <f>ZC22+IF(AND($C22=132,$U22=1),1,0)</f>
        <v/>
      </c>
      <c r="ZD23">
        <f>ZD22+IF(AND($C22=133,$U22=1),1,0)</f>
        <v/>
      </c>
      <c r="ZE23">
        <f>ZE22+IF(AND($C22=134,$U22=1),1,0)</f>
        <v/>
      </c>
      <c r="ZF23">
        <f>ZF22+IF(AND($C22=135,$U22=1),1,0)</f>
        <v/>
      </c>
      <c r="ZG23">
        <f>ZG22+IF(AND($C22=136,$U22=1),1,0)</f>
        <v/>
      </c>
      <c r="ZH23">
        <f>ZH22+IF(AND($C22=137,$U22=1),1,0)</f>
        <v/>
      </c>
      <c r="ZI23">
        <f>ZI22+IF(AND($C22=138,$U22=1),1,0)</f>
        <v/>
      </c>
      <c r="ZJ23">
        <f>ZJ22+IF(AND($C22=139,$U22=1),1,0)</f>
        <v/>
      </c>
      <c r="ZK23">
        <f>ZK22+IF(AND($C22=140,$U22=1),1,0)</f>
        <v/>
      </c>
      <c r="ZL23">
        <f>ZL22+IF(AND($C22=141,$U22=1),1,0)</f>
        <v/>
      </c>
      <c r="ZM23">
        <f>ZM22+IF(AND($C22=142,$U22=1),1,0)</f>
        <v/>
      </c>
      <c r="ZN23">
        <f>ZN22+IF(AND($C22=143,$U22=1),1,0)</f>
        <v/>
      </c>
      <c r="ZO23">
        <f>ZO22+IF(AND($C22=144,$U22=1),1,0)</f>
        <v/>
      </c>
      <c r="ZQ23">
        <f>IF($C22=1,0,ZQ22+IF(AND($G22=1,$E22=1),1,0))</f>
        <v/>
      </c>
      <c r="ZR23">
        <f>IF($C22=2,0,ZR22+IF(AND($G22=2,$E22=1),1,0))</f>
        <v/>
      </c>
      <c r="ZS23">
        <f>IF($C22=3,0,ZS22+IF(AND($G22=3,$E22=1),1,0))</f>
        <v/>
      </c>
      <c r="ZT23">
        <f>IF($C22=4,0,ZT22+IF(AND($G22=4,$E22=1),1,0))</f>
        <v/>
      </c>
      <c r="ZU23">
        <f>IF($C22=5,0,ZU22+IF(AND($G22=5,$E22=1),1,0))</f>
        <v/>
      </c>
      <c r="ZV23">
        <f>IF($C22=6,0,ZV22+IF(AND($G22=6,$E22=1),1,0))</f>
        <v/>
      </c>
      <c r="ZW23">
        <f>IF($C22=7,0,ZW22+IF(AND($G22=7,$E22=1),1,0))</f>
        <v/>
      </c>
      <c r="ZX23">
        <f>IF($C22=8,0,ZX22+IF(AND($G22=8,$E22=1),1,0))</f>
        <v/>
      </c>
      <c r="ZY23">
        <f>IF($C22=9,0,ZY22+IF(AND($G22=9,$E22=1),1,0))</f>
        <v/>
      </c>
      <c r="ZZ23">
        <f>IF($C22=10,0,ZZ22+IF(AND($G22=10,$E22=1),1,0))</f>
        <v/>
      </c>
      <c r="AAA23">
        <f>IF($C22=11,0,AAA22+IF(AND($G22=11,$E22=1),1,0))</f>
        <v/>
      </c>
      <c r="AAB23">
        <f>IF($C22=12,0,AAB22+IF(AND($G22=12,$E22=1),1,0))</f>
        <v/>
      </c>
      <c r="AAC23">
        <f>IF($C22=13,0,AAC22+IF(AND($G22=13,$E22=1),1,0))</f>
        <v/>
      </c>
      <c r="AAD23">
        <f>IF($C22=14,0,AAD22+IF(AND($G22=14,$E22=1),1,0))</f>
        <v/>
      </c>
      <c r="AAE23">
        <f>IF($C22=15,0,AAE22+IF(AND($G22=15,$E22=1),1,0))</f>
        <v/>
      </c>
      <c r="AAF23">
        <f>IF($C22=16,0,AAF22+IF(AND($G22=16,$E22=1),1,0))</f>
        <v/>
      </c>
      <c r="AAG23">
        <f>IF($C22=17,0,AAG22+IF(AND($G22=17,$E22=1),1,0))</f>
        <v/>
      </c>
      <c r="AAH23">
        <f>IF($C22=18,0,AAH22+IF(AND($G22=18,$E22=1),1,0))</f>
        <v/>
      </c>
      <c r="AAI23">
        <f>IF($C22=19,0,AAI22+IF(AND($G22=19,$E22=1),1,0))</f>
        <v/>
      </c>
      <c r="AAJ23">
        <f>IF($C22=20,0,AAJ22+IF(AND($G22=20,$E22=1),1,0))</f>
        <v/>
      </c>
      <c r="AAK23">
        <f>IF($C22=21,0,AAK22+IF(AND($G22=21,$E22=1),1,0))</f>
        <v/>
      </c>
      <c r="AAL23">
        <f>IF($C22=22,0,AAL22+IF(AND($G22=22,$E22=1),1,0))</f>
        <v/>
      </c>
      <c r="AAM23">
        <f>IF($C22=23,0,AAM22+IF(AND($G22=23,$E22=1),1,0))</f>
        <v/>
      </c>
      <c r="AAN23">
        <f>IF($C22=24,0,AAN22+IF(AND($G22=24,$E22=1),1,0))</f>
        <v/>
      </c>
      <c r="AAO23">
        <f>IF($C22=25,0,AAO22+IF(AND($G22=25,$E22=1),1,0))</f>
        <v/>
      </c>
      <c r="AAP23">
        <f>IF($C22=26,0,AAP22+IF(AND($G22=26,$E22=1),1,0))</f>
        <v/>
      </c>
      <c r="AAQ23">
        <f>IF($C22=27,0,AAQ22+IF(AND($G22=27,$E22=1),1,0))</f>
        <v/>
      </c>
      <c r="AAR23">
        <f>IF($C22=28,0,AAR22+IF(AND($G22=28,$E22=1),1,0))</f>
        <v/>
      </c>
      <c r="AAS23">
        <f>IF($C22=29,0,AAS22+IF(AND($G22=29,$E22=1),1,0))</f>
        <v/>
      </c>
      <c r="AAT23">
        <f>IF($C22=30,0,AAT22+IF(AND($G22=30,$E22=1),1,0))</f>
        <v/>
      </c>
      <c r="AAU23">
        <f>IF($C22=31,0,AAU22+IF(AND($G22=31,$E22=1),1,0))</f>
        <v/>
      </c>
      <c r="AAV23">
        <f>IF($C22=32,0,AAV22+IF(AND($G22=32,$E22=1),1,0))</f>
        <v/>
      </c>
      <c r="AAW23">
        <f>IF($C22=33,0,AAW22+IF(AND($G22=33,$E22=1),1,0))</f>
        <v/>
      </c>
      <c r="AAX23">
        <f>IF($C22=34,0,AAX22+IF(AND($G22=34,$E22=1),1,0))</f>
        <v/>
      </c>
      <c r="AAY23">
        <f>IF($C22=35,0,AAY22+IF(AND($G22=35,$E22=1),1,0))</f>
        <v/>
      </c>
      <c r="AAZ23">
        <f>IF($C22=36,0,AAZ22+IF(AND($G22=36,$E22=1),1,0))</f>
        <v/>
      </c>
      <c r="ABA23">
        <f>IF($C22=37,0,ABA22+IF(AND($G22=37,$E22=1),1,0))</f>
        <v/>
      </c>
      <c r="ABB23">
        <f>IF($C22=38,0,ABB22+IF(AND($G22=38,$E22=1),1,0))</f>
        <v/>
      </c>
      <c r="ABC23">
        <f>IF($C22=39,0,ABC22+IF(AND($G22=39,$E22=1),1,0))</f>
        <v/>
      </c>
      <c r="ABD23">
        <f>IF($C22=40,0,ABD22+IF(AND($G22=40,$E22=1),1,0))</f>
        <v/>
      </c>
      <c r="ABE23">
        <f>IF($C22=41,0,ABE22+IF(AND($G22=41,$E22=1),1,0))</f>
        <v/>
      </c>
      <c r="ABF23">
        <f>IF($C22=42,0,ABF22+IF(AND($G22=42,$E22=1),1,0))</f>
        <v/>
      </c>
      <c r="ABG23">
        <f>IF($C22=43,0,ABG22+IF(AND($G22=43,$E22=1),1,0))</f>
        <v/>
      </c>
      <c r="ABH23">
        <f>IF($C22=44,0,ABH22+IF(AND($G22=44,$E22=1),1,0))</f>
        <v/>
      </c>
      <c r="ABI23">
        <f>IF($C22=45,0,ABI22+IF(AND($G22=45,$E22=1),1,0))</f>
        <v/>
      </c>
      <c r="ABJ23">
        <f>IF($C22=46,0,ABJ22+IF(AND($G22=46,$E22=1),1,0))</f>
        <v/>
      </c>
      <c r="ABK23">
        <f>IF($C22=47,0,ABK22+IF(AND($G22=47,$E22=1),1,0))</f>
        <v/>
      </c>
      <c r="ABL23">
        <f>IF($C22=48,0,ABL22+IF(AND($G22=48,$E22=1),1,0))</f>
        <v/>
      </c>
      <c r="ABM23">
        <f>IF($C22=49,0,ABM22+IF(AND($G22=49,$E22=1),1,0))</f>
        <v/>
      </c>
      <c r="ABN23">
        <f>IF($C22=50,0,ABN22+IF(AND($G22=50,$E22=1),1,0))</f>
        <v/>
      </c>
      <c r="ABO23">
        <f>IF($C22=51,0,ABO22+IF(AND($G22=51,$E22=1),1,0))</f>
        <v/>
      </c>
      <c r="ABP23">
        <f>IF($C22=52,0,ABP22+IF(AND($G22=52,$E22=1),1,0))</f>
        <v/>
      </c>
      <c r="ABQ23">
        <f>IF($C22=53,0,ABQ22+IF(AND($G22=53,$E22=1),1,0))</f>
        <v/>
      </c>
      <c r="ABR23">
        <f>IF($C22=54,0,ABR22+IF(AND($G22=54,$E22=1),1,0))</f>
        <v/>
      </c>
      <c r="ABS23">
        <f>IF($C22=55,0,ABS22+IF(AND($G22=55,$E22=1),1,0))</f>
        <v/>
      </c>
      <c r="ABT23">
        <f>IF($C22=56,0,ABT22+IF(AND($G22=56,$E22=1),1,0))</f>
        <v/>
      </c>
      <c r="ABU23">
        <f>IF($C22=57,0,ABU22+IF(AND($G22=57,$E22=1),1,0))</f>
        <v/>
      </c>
      <c r="ABV23">
        <f>IF($C22=58,0,ABV22+IF(AND($G22=58,$E22=1),1,0))</f>
        <v/>
      </c>
      <c r="ABW23">
        <f>IF($C22=59,0,ABW22+IF(AND($G22=59,$E22=1),1,0))</f>
        <v/>
      </c>
      <c r="ABX23">
        <f>IF($C22=60,0,ABX22+IF(AND($G22=60,$E22=1),1,0))</f>
        <v/>
      </c>
      <c r="ABY23">
        <f>IF($C22=61,0,ABY22+IF(AND($G22=61,$E22=1),1,0))</f>
        <v/>
      </c>
      <c r="ABZ23">
        <f>IF($C22=62,0,ABZ22+IF(AND($G22=62,$E22=1),1,0))</f>
        <v/>
      </c>
      <c r="ACA23">
        <f>IF($C22=63,0,ACA22+IF(AND($G22=63,$E22=1),1,0))</f>
        <v/>
      </c>
      <c r="ACB23">
        <f>IF($C22=64,0,ACB22+IF(AND($G22=64,$E22=1),1,0))</f>
        <v/>
      </c>
      <c r="ACC23">
        <f>IF($C22=65,0,ACC22+IF(AND($G22=65,$E22=1),1,0))</f>
        <v/>
      </c>
      <c r="ACD23">
        <f>IF($C22=66,0,ACD22+IF(AND($G22=66,$E22=1),1,0))</f>
        <v/>
      </c>
      <c r="ACE23">
        <f>IF($C22=67,0,ACE22+IF(AND($G22=67,$E22=1),1,0))</f>
        <v/>
      </c>
      <c r="ACF23">
        <f>IF($C22=68,0,ACF22+IF(AND($G22=68,$E22=1),1,0))</f>
        <v/>
      </c>
      <c r="ACG23">
        <f>IF($C22=69,0,ACG22+IF(AND($G22=69,$E22=1),1,0))</f>
        <v/>
      </c>
      <c r="ACH23">
        <f>IF($C22=70,0,ACH22+IF(AND($G22=70,$E22=1),1,0))</f>
        <v/>
      </c>
      <c r="ACI23">
        <f>IF($C22=71,0,ACI22+IF(AND($G22=71,$E22=1),1,0))</f>
        <v/>
      </c>
      <c r="ACJ23">
        <f>IF($C22=72,0,ACJ22+IF(AND($G22=72,$E22=1),1,0))</f>
        <v/>
      </c>
      <c r="ACK23">
        <f>IF($C22=73,0,ACK22+IF(AND($G22=73,$E22=1),1,0))</f>
        <v/>
      </c>
      <c r="ACL23">
        <f>IF($C22=74,0,ACL22+IF(AND($G22=74,$E22=1),1,0))</f>
        <v/>
      </c>
      <c r="ACM23">
        <f>IF($C22=75,0,ACM22+IF(AND($G22=75,$E22=1),1,0))</f>
        <v/>
      </c>
      <c r="ACN23">
        <f>IF($C22=76,0,ACN22+IF(AND($G22=76,$E22=1),1,0))</f>
        <v/>
      </c>
      <c r="ACO23">
        <f>IF($C22=77,0,ACO22+IF(AND($G22=77,$E22=1),1,0))</f>
        <v/>
      </c>
      <c r="ACP23">
        <f>IF($C22=78,0,ACP22+IF(AND($G22=78,$E22=1),1,0))</f>
        <v/>
      </c>
      <c r="ACQ23">
        <f>IF($C22=79,0,ACQ22+IF(AND($G22=79,$E22=1),1,0))</f>
        <v/>
      </c>
      <c r="ACR23">
        <f>IF($C22=80,0,ACR22+IF(AND($G22=80,$E22=1),1,0))</f>
        <v/>
      </c>
      <c r="ACS23">
        <f>IF($C22=81,0,ACS22+IF(AND($G22=81,$E22=1),1,0))</f>
        <v/>
      </c>
      <c r="ACT23">
        <f>IF($C22=82,0,ACT22+IF(AND($G22=82,$E22=1),1,0))</f>
        <v/>
      </c>
      <c r="ACU23">
        <f>IF($C22=83,0,ACU22+IF(AND($G22=83,$E22=1),1,0))</f>
        <v/>
      </c>
      <c r="ACV23">
        <f>IF($C22=84,0,ACV22+IF(AND($G22=84,$E22=1),1,0))</f>
        <v/>
      </c>
      <c r="ACW23">
        <f>IF($C22=85,0,ACW22+IF(AND($G22=85,$E22=1),1,0))</f>
        <v/>
      </c>
      <c r="ACX23">
        <f>IF($C22=86,0,ACX22+IF(AND($G22=86,$E22=1),1,0))</f>
        <v/>
      </c>
      <c r="ACY23">
        <f>IF($C22=87,0,ACY22+IF(AND($G22=87,$E22=1),1,0))</f>
        <v/>
      </c>
      <c r="ACZ23">
        <f>IF($C22=88,0,ACZ22+IF(AND($G22=88,$E22=1),1,0))</f>
        <v/>
      </c>
      <c r="ADA23">
        <f>IF($C22=89,0,ADA22+IF(AND($G22=89,$E22=1),1,0))</f>
        <v/>
      </c>
      <c r="ADB23">
        <f>IF($C22=90,0,ADB22+IF(AND($G22=90,$E22=1),1,0))</f>
        <v/>
      </c>
      <c r="ADC23">
        <f>IF($C22=91,0,ADC22+IF(AND($G22=91,$E22=1),1,0))</f>
        <v/>
      </c>
      <c r="ADD23">
        <f>IF($C22=92,0,ADD22+IF(AND($G22=92,$E22=1),1,0))</f>
        <v/>
      </c>
      <c r="ADE23">
        <f>IF($C22=93,0,ADE22+IF(AND($G22=93,$E22=1),1,0))</f>
        <v/>
      </c>
      <c r="ADF23">
        <f>IF($C22=94,0,ADF22+IF(AND($G22=94,$E22=1),1,0))</f>
        <v/>
      </c>
      <c r="ADG23">
        <f>IF($C22=95,0,ADG22+IF(AND($G22=95,$E22=1),1,0))</f>
        <v/>
      </c>
      <c r="ADH23">
        <f>IF($C22=96,0,ADH22+IF(AND($G22=96,$E22=1),1,0))</f>
        <v/>
      </c>
      <c r="ADI23">
        <f>IF($C22=97,0,ADI22+IF(AND($G22=97,$E22=1),1,0))</f>
        <v/>
      </c>
      <c r="ADJ23">
        <f>IF($C22=98,0,ADJ22+IF(AND($G22=98,$E22=1),1,0))</f>
        <v/>
      </c>
      <c r="ADK23">
        <f>IF($C22=99,0,ADK22+IF(AND($G22=99,$E22=1),1,0))</f>
        <v/>
      </c>
      <c r="ADL23">
        <f>IF($C22=100,0,ADL22+IF(AND($G22=100,$E22=1),1,0))</f>
        <v/>
      </c>
      <c r="ADM23">
        <f>IF($C22=101,0,ADM22+IF(AND($G22=101,$E22=1),1,0))</f>
        <v/>
      </c>
      <c r="ADN23">
        <f>IF($C22=102,0,ADN22+IF(AND($G22=102,$E22=1),1,0))</f>
        <v/>
      </c>
      <c r="ADO23">
        <f>IF($C22=103,0,ADO22+IF(AND($G22=103,$E22=1),1,0))</f>
        <v/>
      </c>
      <c r="ADP23">
        <f>IF($C22=104,0,ADP22+IF(AND($G22=104,$E22=1),1,0))</f>
        <v/>
      </c>
      <c r="ADQ23">
        <f>IF($C22=105,0,ADQ22+IF(AND($G22=105,$E22=1),1,0))</f>
        <v/>
      </c>
      <c r="ADR23">
        <f>IF($C22=106,0,ADR22+IF(AND($G22=106,$E22=1),1,0))</f>
        <v/>
      </c>
      <c r="ADS23">
        <f>IF($C22=107,0,ADS22+IF(AND($G22=107,$E22=1),1,0))</f>
        <v/>
      </c>
      <c r="ADT23">
        <f>IF($C22=108,0,ADT22+IF(AND($G22=108,$E22=1),1,0))</f>
        <v/>
      </c>
      <c r="ADU23">
        <f>IF($C22=109,0,ADU22+IF(AND($G22=109,$E22=1),1,0))</f>
        <v/>
      </c>
      <c r="ADV23">
        <f>IF($C22=110,0,ADV22+IF(AND($G22=110,$E22=1),1,0))</f>
        <v/>
      </c>
      <c r="ADW23">
        <f>IF($C22=111,0,ADW22+IF(AND($G22=111,$E22=1),1,0))</f>
        <v/>
      </c>
      <c r="ADX23">
        <f>IF($C22=112,0,ADX22+IF(AND($G22=112,$E22=1),1,0))</f>
        <v/>
      </c>
      <c r="ADY23">
        <f>IF($C22=113,0,ADY22+IF(AND($G22=113,$E22=1),1,0))</f>
        <v/>
      </c>
      <c r="ADZ23">
        <f>IF($C22=114,0,ADZ22+IF(AND($G22=114,$E22=1),1,0))</f>
        <v/>
      </c>
      <c r="AEA23">
        <f>IF($C22=115,0,AEA22+IF(AND($G22=115,$E22=1),1,0))</f>
        <v/>
      </c>
      <c r="AEB23">
        <f>IF($C22=116,0,AEB22+IF(AND($G22=116,$E22=1),1,0))</f>
        <v/>
      </c>
      <c r="AEC23">
        <f>IF($C22=117,0,AEC22+IF(AND($G22=117,$E22=1),1,0))</f>
        <v/>
      </c>
      <c r="AED23">
        <f>IF($C22=118,0,AED22+IF(AND($G22=118,$E22=1),1,0))</f>
        <v/>
      </c>
      <c r="AEE23">
        <f>IF($C22=119,0,AEE22+IF(AND($G22=119,$E22=1),1,0))</f>
        <v/>
      </c>
      <c r="AEF23">
        <f>IF($C22=120,0,AEF22+IF(AND($G22=120,$E22=1),1,0))</f>
        <v/>
      </c>
      <c r="AEG23">
        <f>IF($C22=121,0,AEG22+IF(AND($G22=121,$E22=1),1,0))</f>
        <v/>
      </c>
      <c r="AEH23">
        <f>IF($C22=122,0,AEH22+IF(AND($G22=122,$E22=1),1,0))</f>
        <v/>
      </c>
      <c r="AEI23">
        <f>IF($C22=123,0,AEI22+IF(AND($G22=123,$E22=1),1,0))</f>
        <v/>
      </c>
      <c r="AEJ23">
        <f>IF($C22=124,0,AEJ22+IF(AND($G22=124,$E22=1),1,0))</f>
        <v/>
      </c>
      <c r="AEK23">
        <f>IF($C22=125,0,AEK22+IF(AND($G22=125,$E22=1),1,0))</f>
        <v/>
      </c>
      <c r="AEL23">
        <f>IF($C22=126,0,AEL22+IF(AND($G22=126,$E22=1),1,0))</f>
        <v/>
      </c>
      <c r="AEM23">
        <f>IF($C22=127,0,AEM22+IF(AND($G22=127,$E22=1),1,0))</f>
        <v/>
      </c>
      <c r="AEN23">
        <f>IF($C22=128,0,AEN22+IF(AND($G22=128,$E22=1),1,0))</f>
        <v/>
      </c>
      <c r="AEO23">
        <f>IF($C22=129,0,AEO22+IF(AND($G22=129,$E22=1),1,0))</f>
        <v/>
      </c>
      <c r="AEP23">
        <f>IF($C22=130,0,AEP22+IF(AND($G22=130,$E22=1),1,0))</f>
        <v/>
      </c>
      <c r="AEQ23">
        <f>IF($C22=131,0,AEQ22+IF(AND($G22=131,$E22=1),1,0))</f>
        <v/>
      </c>
      <c r="AER23">
        <f>IF($C22=132,0,AER22+IF(AND($G22=132,$E22=1),1,0))</f>
        <v/>
      </c>
      <c r="AES23">
        <f>IF($C22=133,0,AES22+IF(AND($G22=133,$E22=1),1,0))</f>
        <v/>
      </c>
      <c r="AET23">
        <f>IF($C22=134,0,AET22+IF(AND($G22=134,$E22=1),1,0))</f>
        <v/>
      </c>
      <c r="AEU23">
        <f>IF($C22=135,0,AEU22+IF(AND($G22=135,$E22=1),1,0))</f>
        <v/>
      </c>
      <c r="AEV23">
        <f>IF($C22=136,0,AEV22+IF(AND($G22=136,$E22=1),1,0))</f>
        <v/>
      </c>
      <c r="AEW23">
        <f>IF($C22=137,0,AEW22+IF(AND($G22=137,$E22=1),1,0))</f>
        <v/>
      </c>
      <c r="AEX23">
        <f>IF($C22=138,0,AEX22+IF(AND($G22=138,$E22=1),1,0))</f>
        <v/>
      </c>
      <c r="AEY23">
        <f>IF($C22=139,0,AEY22+IF(AND($G22=139,$E22=1),1,0))</f>
        <v/>
      </c>
      <c r="AEZ23">
        <f>IF($C22=140,0,AEZ22+IF(AND($G22=140,$E22=1),1,0))</f>
        <v/>
      </c>
      <c r="AFA23">
        <f>IF($C22=141,0,AFA22+IF(AND($G22=141,$E22=1),1,0))</f>
        <v/>
      </c>
      <c r="AFB23">
        <f>IF($C22=142,0,AFB22+IF(AND($G22=142,$E22=1),1,0))</f>
        <v/>
      </c>
      <c r="AFC23">
        <f>IF($C22=143,0,AFC22+IF(AND($G22=143,$E22=1),1,0))</f>
        <v/>
      </c>
      <c r="AFD23">
        <f>IF($C22=144,0,AFD22+IF(AND($G22=144,$E22=1),1,0))</f>
        <v/>
      </c>
      <c r="AFF23">
        <f>IF('calcA'!D$106=1,DC23+ZR23,1)</f>
        <v/>
      </c>
      <c r="AFG23">
        <f>IF('calcA'!E$106=1,DD23+ZS23,1)</f>
        <v/>
      </c>
      <c r="AFH23">
        <f>IF('calcA'!F$106=1,DE23+ZT23,1)</f>
        <v/>
      </c>
      <c r="AFI23">
        <f>IF('calcA'!G$106=1,DF23+ZU23,1)</f>
        <v/>
      </c>
      <c r="AFJ23">
        <f>IF('calcA'!H$106=1,DG23+ZV23,1)</f>
        <v/>
      </c>
      <c r="AFK23">
        <f>IF('calcA'!I$106=1,DH23+ZW23,1)</f>
        <v/>
      </c>
      <c r="AFL23">
        <f>IF('calcA'!J$106=1,DI23+ZX23,1)</f>
        <v/>
      </c>
      <c r="AFM23">
        <f>IF('calcA'!K$106=1,DJ23+ZY23,1)</f>
        <v/>
      </c>
      <c r="AFN23">
        <f>IF('calcA'!L$106=1,DK23+ZZ23,1)</f>
        <v/>
      </c>
      <c r="AFO23">
        <f>IF('calcA'!M$106=1,DL23+AAA23,1)</f>
        <v/>
      </c>
      <c r="AFP23">
        <f>IF('calcA'!N$106=1,DM23+AAB23,1)</f>
        <v/>
      </c>
      <c r="AFQ23">
        <f>IF('calcA'!O$106=1,DN23+AAC23,1)</f>
        <v/>
      </c>
      <c r="AFR23">
        <f>IF('calcA'!P$106=1,DO23+AAD23,1)</f>
        <v/>
      </c>
      <c r="AFS23">
        <f>IF('calcA'!Q$106=1,DP23+AAE23,1)</f>
        <v/>
      </c>
      <c r="AFT23">
        <f>IF('calcA'!R$106=1,DQ23+AAF23,1)</f>
        <v/>
      </c>
      <c r="AFU23">
        <f>IF('calcA'!S$106=1,DR23+AAG23,1)</f>
        <v/>
      </c>
      <c r="AFV23">
        <f>IF('calcA'!T$106=1,DS23+AAH23,1)</f>
        <v/>
      </c>
      <c r="AFW23">
        <f>IF('calcA'!U$106=1,DT23+AAI23,1)</f>
        <v/>
      </c>
      <c r="AFX23">
        <f>IF('calcA'!V$106=1,DU23+AAJ23,1)</f>
        <v/>
      </c>
      <c r="AFY23">
        <f>IF('calcA'!W$106=1,DV23+AAK23,1)</f>
        <v/>
      </c>
      <c r="AFZ23">
        <f>IF('calcA'!X$106=1,DW23+AAL23,1)</f>
        <v/>
      </c>
      <c r="AGA23">
        <f>IF('calcA'!Y$106=1,DX23+AAM23,1)</f>
        <v/>
      </c>
      <c r="AGB23">
        <f>IF('calcA'!Z$106=1,DY23+AAN23,1)</f>
        <v/>
      </c>
      <c r="AGC23">
        <f>IF('calcA'!AA$106=1,DZ23+AAO23,1)</f>
        <v/>
      </c>
      <c r="AGD23">
        <f>IF('calcA'!AB$106=1,EA23+AAP23,1)</f>
        <v/>
      </c>
      <c r="AGE23">
        <f>IF('calcA'!AC$106=1,EB23+AAQ23,1)</f>
        <v/>
      </c>
      <c r="AGF23">
        <f>IF('calcA'!AD$106=1,EC23+AAR23,1)</f>
        <v/>
      </c>
      <c r="AGG23">
        <f>IF('calcA'!AE$106=1,ED23+AAS23,1)</f>
        <v/>
      </c>
      <c r="AGH23">
        <f>IF('calcA'!AF$106=1,EE23+AAT23,1)</f>
        <v/>
      </c>
      <c r="AGI23">
        <f>IF('calcA'!AG$106=1,EF23+AAU23,1)</f>
        <v/>
      </c>
      <c r="AGJ23">
        <f>IF('calcA'!AH$106=1,EG23+AAV23,1)</f>
        <v/>
      </c>
      <c r="AGK23">
        <f>IF('calcA'!AI$106=1,EH23+AAW23,1)</f>
        <v/>
      </c>
      <c r="AGL23">
        <f>IF('calcA'!AJ$106=1,EI23+AAX23,1)</f>
        <v/>
      </c>
      <c r="AGM23">
        <f>IF('calcA'!AK$106=1,EJ23+AAY23,1)</f>
        <v/>
      </c>
      <c r="AGN23">
        <f>IF('calcA'!AL$106=1,EK23+AAZ23,1)</f>
        <v/>
      </c>
      <c r="AGO23">
        <f>IF('calcA'!AM$106=1,EL23+ABA23,1)</f>
        <v/>
      </c>
      <c r="AGP23">
        <f>IF('calcA'!AN$106=1,EM23+ABB23,1)</f>
        <v/>
      </c>
      <c r="AGQ23">
        <f>IF('calcA'!AO$106=1,EN23+ABC23,1)</f>
        <v/>
      </c>
      <c r="AGR23">
        <f>IF('calcA'!AP$106=1,EO23+ABD23,1)</f>
        <v/>
      </c>
      <c r="AGS23">
        <f>IF('calcA'!AQ$106=1,EP23+ABE23,1)</f>
        <v/>
      </c>
      <c r="AGT23">
        <f>IF('calcA'!AR$106=1,EQ23+ABF23,1)</f>
        <v/>
      </c>
      <c r="AGU23">
        <f>IF('calcA'!AS$106=1,ER23+ABG23,1)</f>
        <v/>
      </c>
      <c r="AGV23">
        <f>IF('calcA'!AT$106=1,ES23+ABH23,1)</f>
        <v/>
      </c>
      <c r="AGW23">
        <f>IF('calcA'!AU$106=1,ET23+ABI23,1)</f>
        <v/>
      </c>
      <c r="AGX23">
        <f>IF('calcA'!AV$106=1,EU23+ABJ23,1)</f>
        <v/>
      </c>
      <c r="AGY23">
        <f>IF('calcA'!AW$106=1,EV23+ABK23,1)</f>
        <v/>
      </c>
      <c r="AGZ23">
        <f>IF('calcA'!AX$106=1,EW23+ABL23,1)</f>
        <v/>
      </c>
      <c r="AHA23">
        <f>IF('calcA'!AY$106=1,EX23+ABM23,1)</f>
        <v/>
      </c>
      <c r="AHB23">
        <f>IF('calcA'!AZ$106=1,EY23+ABN23,1)</f>
        <v/>
      </c>
      <c r="AHC23">
        <f>IF('calcA'!BA$106=1,EZ23+ABO23,1)</f>
        <v/>
      </c>
      <c r="AHD23">
        <f>IF('calcA'!BB$106=1,FA23+ABP23,1)</f>
        <v/>
      </c>
      <c r="AHE23">
        <f>IF('calcA'!BC$106=1,FB23+ABQ23,1)</f>
        <v/>
      </c>
      <c r="AHF23">
        <f>IF('calcA'!BD$106=1,FC23+ABR23,1)</f>
        <v/>
      </c>
      <c r="AHG23">
        <f>IF('calcA'!BE$106=1,FD23+ABS23,1)</f>
        <v/>
      </c>
      <c r="AHH23">
        <f>IF('calcA'!BF$106=1,FE23+ABT23,1)</f>
        <v/>
      </c>
      <c r="AHI23">
        <f>IF('calcA'!BG$106=1,FF23+ABU23,1)</f>
        <v/>
      </c>
      <c r="AHJ23">
        <f>IF('calcA'!BH$106=1,FG23+ABV23,1)</f>
        <v/>
      </c>
      <c r="AHK23">
        <f>IF('calcA'!BI$106=1,FH23+ABW23,1)</f>
        <v/>
      </c>
      <c r="AHL23">
        <f>IF('calcA'!BJ$106=1,FI23+ABX23,1)</f>
        <v/>
      </c>
      <c r="AHM23">
        <f>IF('calcA'!BK$106=1,FJ23+ABY23,1)</f>
        <v/>
      </c>
      <c r="AHN23">
        <f>IF('calcA'!BL$106=1,FK23+ABZ23,1)</f>
        <v/>
      </c>
      <c r="AHO23">
        <f>IF('calcA'!BM$106=1,FL23+ACA23,1)</f>
        <v/>
      </c>
      <c r="AHP23">
        <f>IF('calcA'!BN$106=1,FM23+ACB23,1)</f>
        <v/>
      </c>
      <c r="AHQ23">
        <f>IF('calcA'!BO$106=1,FN23+ACC23,1)</f>
        <v/>
      </c>
      <c r="AHR23">
        <f>IF('calcA'!BP$106=1,FO23+ACD23,1)</f>
        <v/>
      </c>
      <c r="AHS23">
        <f>IF('calcA'!BQ$106=1,FP23+ACE23,1)</f>
        <v/>
      </c>
      <c r="AHT23">
        <f>IF('calcA'!BR$106=1,FQ23+ACF23,1)</f>
        <v/>
      </c>
      <c r="AHU23">
        <f>IF('calcA'!BS$106=1,FR23+ACG23,1)</f>
        <v/>
      </c>
      <c r="AHV23">
        <f>IF('calcA'!BT$106=1,FS23+ACH23,1)</f>
        <v/>
      </c>
      <c r="AHW23">
        <f>IF('calcA'!BU$106=1,FT23+ACI23,1)</f>
        <v/>
      </c>
      <c r="AHX23">
        <f>IF('calcA'!BV$106=1,FU23+ACJ23,1)</f>
        <v/>
      </c>
      <c r="AHY23">
        <f>IF('calcA'!BW$106=1,FV23+ACK23,1)</f>
        <v/>
      </c>
      <c r="AHZ23">
        <f>IF('calcA'!BX$106=1,FW23+ACL23,1)</f>
        <v/>
      </c>
      <c r="AIA23">
        <f>IF('calcA'!BY$106=1,FX23+ACM23,1)</f>
        <v/>
      </c>
      <c r="AIB23">
        <f>IF('calcA'!BZ$106=1,FY23+ACN23,1)</f>
        <v/>
      </c>
      <c r="AIC23">
        <f>IF('calcA'!CA$106=1,FZ23+ACO23,1)</f>
        <v/>
      </c>
      <c r="AID23">
        <f>IF('calcA'!CB$106=1,GA23+ACP23,1)</f>
        <v/>
      </c>
      <c r="AIE23">
        <f>IF('calcA'!CC$106=1,GB23+ACQ23,1)</f>
        <v/>
      </c>
      <c r="AIF23">
        <f>IF('calcA'!CD$106=1,GC23+ACR23,1)</f>
        <v/>
      </c>
      <c r="AIG23">
        <f>IF('calcA'!CE$106=1,GD23+ACS23,1)</f>
        <v/>
      </c>
      <c r="AIH23">
        <f>IF('calcA'!CF$106=1,GE23+ACT23,1)</f>
        <v/>
      </c>
      <c r="AII23">
        <f>IF('calcA'!CG$106=1,GF23+ACU23,1)</f>
        <v/>
      </c>
      <c r="AIJ23">
        <f>IF('calcA'!CH$106=1,GG23+ACV23,1)</f>
        <v/>
      </c>
      <c r="AIK23">
        <f>IF('calcA'!CI$106=1,GH23+ACW23,1)</f>
        <v/>
      </c>
      <c r="AIL23">
        <f>IF('calcA'!CJ$106=1,GI23+ACX23,1)</f>
        <v/>
      </c>
      <c r="AIM23">
        <f>IF('calcA'!CK$106=1,GJ23+ACY23,1)</f>
        <v/>
      </c>
      <c r="AIN23">
        <f>IF('calcA'!CL$106=1,GK23+ACZ23,1)</f>
        <v/>
      </c>
      <c r="AIO23">
        <f>IF('calcA'!CM$106=1,GL23+ADA23,1)</f>
        <v/>
      </c>
      <c r="AIP23">
        <f>IF('calcA'!CN$106=1,GM23+ADB23,1)</f>
        <v/>
      </c>
      <c r="AIQ23">
        <f>IF('calcA'!CO$106=1,GN23+ADC23,1)</f>
        <v/>
      </c>
      <c r="AIR23">
        <f>IF('calcA'!CP$106=1,GO23+ADD23,1)</f>
        <v/>
      </c>
      <c r="AIS23">
        <f>IF('calcA'!CQ$106=1,GP23+ADE23,1)</f>
        <v/>
      </c>
      <c r="AIT23">
        <f>IF('calcA'!CR$106=1,GQ23+ADF23,1)</f>
        <v/>
      </c>
      <c r="AIU23">
        <f>IF('calcA'!CS$106=1,GR23+ADG23,1)</f>
        <v/>
      </c>
      <c r="AIV23">
        <f>IF('calcA'!CT$106=1,GS23+ADH23,1)</f>
        <v/>
      </c>
      <c r="AIW23">
        <f>IF('calcA'!CU$106=1,GT23+ADI23,1)</f>
        <v/>
      </c>
      <c r="AIX23">
        <f>IF('calcA'!CV$106=1,GU23+ADJ23,1)</f>
        <v/>
      </c>
      <c r="AIY23">
        <f>IF('calcA'!CW$106=1,GV23+ADK23,1)</f>
        <v/>
      </c>
      <c r="AIZ23">
        <f>IF('calcA'!CX$106=1,GW23+ADL23,1)</f>
        <v/>
      </c>
      <c r="AJA23">
        <f>IF('calcA'!CY$106=1,GX23+ADM23,1)</f>
        <v/>
      </c>
      <c r="AJB23">
        <f>IF('calcA'!CZ$106=1,GY23+ADN23,1)</f>
        <v/>
      </c>
      <c r="AJC23">
        <f>IF('calcA'!DA$106=1,GZ23+ADO23,1)</f>
        <v/>
      </c>
      <c r="AJD23">
        <f>IF('calcA'!DB$106=1,HA23+ADP23,1)</f>
        <v/>
      </c>
      <c r="AJE23">
        <f>IF('calcA'!DC$106=1,HB23+ADQ23,1)</f>
        <v/>
      </c>
      <c r="AJF23">
        <f>IF('calcA'!DD$106=1,HC23+ADR23,1)</f>
        <v/>
      </c>
      <c r="AJG23">
        <f>IF('calcA'!DE$106=1,HD23+ADS23,1)</f>
        <v/>
      </c>
      <c r="AJH23">
        <f>IF('calcA'!DF$106=1,HE23+ADT23,1)</f>
        <v/>
      </c>
      <c r="AJI23">
        <f>IF('calcA'!DG$106=1,HF23+ADU23,1)</f>
        <v/>
      </c>
      <c r="AJJ23">
        <f>IF('calcA'!DH$106=1,HG23+ADV23,1)</f>
        <v/>
      </c>
      <c r="AJK23">
        <f>IF('calcA'!DI$106=1,HH23+ADW23,1)</f>
        <v/>
      </c>
      <c r="AJL23">
        <f>IF('calcA'!DJ$106=1,HI23+ADX23,1)</f>
        <v/>
      </c>
      <c r="AJM23">
        <f>IF('calcA'!DK$106=1,HJ23+ADY23,1)</f>
        <v/>
      </c>
      <c r="AJN23">
        <f>IF('calcA'!DL$106=1,HK23+ADZ23,1)</f>
        <v/>
      </c>
      <c r="AJO23">
        <f>IF('calcA'!DM$106=1,HL23+AEA23,1)</f>
        <v/>
      </c>
      <c r="AJP23">
        <f>IF('calcA'!DN$106=1,HM23+AEB23,1)</f>
        <v/>
      </c>
      <c r="AJQ23">
        <f>IF('calcA'!DO$106=1,HN23+AEC23,1)</f>
        <v/>
      </c>
      <c r="AJR23">
        <f>IF('calcA'!DP$106=1,HO23+AED23,1)</f>
        <v/>
      </c>
      <c r="AJS23">
        <f>IF('calcA'!DQ$106=1,HP23+AEE23,1)</f>
        <v/>
      </c>
      <c r="AJT23">
        <f>IF('calcA'!DR$106=1,HQ23+AEF23,1)</f>
        <v/>
      </c>
      <c r="AJU23">
        <f>IF('calcA'!DS$106=1,HR23+AEG23,1)</f>
        <v/>
      </c>
      <c r="AJV23">
        <f>IF('calcA'!DT$106=1,HS23+AEH23,1)</f>
        <v/>
      </c>
      <c r="AJW23">
        <f>IF('calcA'!DU$106=1,HT23+AEI23,1)</f>
        <v/>
      </c>
      <c r="AJX23">
        <f>IF('calcA'!DV$106=1,HU23+AEJ23,1)</f>
        <v/>
      </c>
      <c r="AJY23">
        <f>IF('calcA'!DW$106=1,HV23+AEK23,1)</f>
        <v/>
      </c>
      <c r="AJZ23">
        <f>IF('calcA'!DX$106=1,HW23+AEL23,1)</f>
        <v/>
      </c>
      <c r="AKA23">
        <f>IF('calcA'!DY$106=1,HX23+AEM23,1)</f>
        <v/>
      </c>
      <c r="AKB23">
        <f>IF('calcA'!DZ$106=1,HY23+AEN23,1)</f>
        <v/>
      </c>
      <c r="AKC23">
        <f>IF('calcA'!EA$106=1,HZ23+AEO23,1)</f>
        <v/>
      </c>
      <c r="AKD23">
        <f>IF('calcA'!EB$106=1,IA23+AEP23,1)</f>
        <v/>
      </c>
      <c r="AKE23">
        <f>IF('calcA'!EC$106=1,IB23+AEQ23,1)</f>
        <v/>
      </c>
      <c r="AKF23">
        <f>IF('calcA'!ED$106=1,IC23+AER23,1)</f>
        <v/>
      </c>
      <c r="AKG23">
        <f>IF('calcA'!EE$106=1,ID23+AES23,1)</f>
        <v/>
      </c>
      <c r="AKH23">
        <f>IF('calcA'!EF$106=1,IE23+AET23,1)</f>
        <v/>
      </c>
      <c r="AKI23">
        <f>IF('calcA'!EG$106=1,IF23+AEU23,1)</f>
        <v/>
      </c>
      <c r="AKJ23">
        <f>IF('calcA'!EH$106=1,IG23+AEV23,1)</f>
        <v/>
      </c>
      <c r="AKK23">
        <f>IF('calcA'!EI$106=1,IH23+AEW23,1)</f>
        <v/>
      </c>
      <c r="AKL23">
        <f>IF('calcA'!EJ$106=1,II23+AEX23,1)</f>
        <v/>
      </c>
      <c r="AKM23">
        <f>IF('calcA'!EK$106=1,IJ23+AEY23,1)</f>
        <v/>
      </c>
      <c r="AKN23">
        <f>IF('calcA'!EL$106=1,IK23+AEZ23,1)</f>
        <v/>
      </c>
      <c r="AKO23">
        <f>IF('calcA'!EM$106=1,IL23+AFA23,1)</f>
        <v/>
      </c>
      <c r="AKP23">
        <f>IF('calcA'!EN$106=1,IM23+AFB23,1)</f>
        <v/>
      </c>
      <c r="AKQ23">
        <f>IF('calcA'!EO$106=1,IN23+AFC23,1)</f>
        <v/>
      </c>
      <c r="AKR23">
        <f>IF('calcA'!EP$106=1,IO23+AFD23,1)</f>
        <v/>
      </c>
      <c r="AKS23" t="n">
        <v>1</v>
      </c>
    </row>
    <row r="24">
      <c r="A24" t="n">
        <v>22</v>
      </c>
      <c r="B24">
        <f>IF(MIN(BM24:CZ24)&gt;=1000000000,0,MATCH(MIN(BM24:CZ24),BM24:CZ24,0))</f>
        <v/>
      </c>
      <c r="C24">
        <f>IF(MIN(OF24:TS24)&gt;=1000000000,0,MATCH(MIN(OF24:TS24),OF24:TS24,0))</f>
        <v/>
      </c>
      <c r="D24">
        <f>IF(C24&gt;0,INDEX('calcA'!$D$5:$EQ$5,C24),0)</f>
        <v/>
      </c>
      <c r="E24">
        <f>IF(B24=0,0,INDEX('calcA'!$IQ$10:$IQ$54,B24))</f>
        <v/>
      </c>
      <c r="F24">
        <f>IF(B24=0,0,INDEX('calcA'!$IP$10:$IP$54,B24))</f>
        <v/>
      </c>
      <c r="G24">
        <f>IF(AND(C24&gt;0,E24&gt;0),IF(AND(INDEX('calcA'!$D$106:$EQ$106,C24)=1,INDEX($IQ24:$OD24,C24)=1),C24+1,0),0)</f>
        <v/>
      </c>
      <c r="H24">
        <f>IF(B24=0,0,INDEX('calcA'!$IW$10:$IW$54,B24))</f>
        <v/>
      </c>
      <c r="U24">
        <f>IF(B24=0,0,INDEX('calcA'!$IX$10:$IX$54,B24))</f>
        <v/>
      </c>
      <c r="V24">
        <f>IF(B24=0,0,INDEX('calcA'!$JF$10:$JF$54,B24))</f>
        <v/>
      </c>
      <c r="W24">
        <f>IF(B24=0,0,IF(IF(E24=2,SUMPRODUCT(INDEX('calcA'!$D$60:$EQ$99,B24,0),$DB24:$IO24,$IQ24:$OD24),SUMPRODUCT(INDEX('calcA'!$D$60:$EQ$99,B24,0),$DB24:$IO24))=0,1,0))</f>
        <v/>
      </c>
      <c r="X24">
        <f>MAX(X23,IF($B23=1,1,0))</f>
        <v/>
      </c>
      <c r="Y24">
        <f>MAX(Y23,IF($B23=2,1,0))</f>
        <v/>
      </c>
      <c r="Z24">
        <f>MAX(Z23,IF($B23=3,1,0))</f>
        <v/>
      </c>
      <c r="AA24">
        <f>MAX(AA23,IF($B23=4,1,0))</f>
        <v/>
      </c>
      <c r="AB24">
        <f>MAX(AB23,IF($B23=5,1,0))</f>
        <v/>
      </c>
      <c r="AC24">
        <f>MAX(AC23,IF($B23=6,1,0))</f>
        <v/>
      </c>
      <c r="AD24">
        <f>MAX(AD23,IF($B23=7,1,0))</f>
        <v/>
      </c>
      <c r="AE24">
        <f>MAX(AE23,IF($B23=8,1,0))</f>
        <v/>
      </c>
      <c r="AF24">
        <f>MAX(AF23,IF($B23=9,1,0))</f>
        <v/>
      </c>
      <c r="AG24">
        <f>MAX(AG23,IF($B23=10,1,0))</f>
        <v/>
      </c>
      <c r="AH24">
        <f>MAX(AH23,IF($B23=11,1,0))</f>
        <v/>
      </c>
      <c r="AI24">
        <f>MAX(AI23,IF($B23=12,1,0))</f>
        <v/>
      </c>
      <c r="AJ24">
        <f>MAX(AJ23,IF($B23=13,1,0))</f>
        <v/>
      </c>
      <c r="AK24">
        <f>MAX(AK23,IF($B23=14,1,0))</f>
        <v/>
      </c>
      <c r="AL24">
        <f>MAX(AL23,IF($B23=15,1,0))</f>
        <v/>
      </c>
      <c r="AM24">
        <f>MAX(AM23,IF($B23=16,1,0))</f>
        <v/>
      </c>
      <c r="AN24">
        <f>MAX(AN23,IF($B23=17,1,0))</f>
        <v/>
      </c>
      <c r="AO24">
        <f>MAX(AO23,IF($B23=18,1,0))</f>
        <v/>
      </c>
      <c r="AP24">
        <f>MAX(AP23,IF($B23=19,1,0))</f>
        <v/>
      </c>
      <c r="AQ24">
        <f>MAX(AQ23,IF($B23=20,1,0))</f>
        <v/>
      </c>
      <c r="AR24">
        <f>MAX(AR23,IF($B23=21,1,0))</f>
        <v/>
      </c>
      <c r="AS24">
        <f>MAX(AS23,IF($B23=22,1,0))</f>
        <v/>
      </c>
      <c r="AT24">
        <f>MAX(AT23,IF($B23=23,1,0))</f>
        <v/>
      </c>
      <c r="AU24">
        <f>MAX(AU23,IF($B23=24,1,0))</f>
        <v/>
      </c>
      <c r="AV24">
        <f>MAX(AV23,IF($B23=25,1,0))</f>
        <v/>
      </c>
      <c r="AW24">
        <f>MAX(AW23,IF($B23=26,1,0))</f>
        <v/>
      </c>
      <c r="AX24">
        <f>MAX(AX23,IF($B23=27,1,0))</f>
        <v/>
      </c>
      <c r="AY24">
        <f>MAX(AY23,IF($B23=28,1,0))</f>
        <v/>
      </c>
      <c r="AZ24">
        <f>MAX(AZ23,IF($B23=29,1,0))</f>
        <v/>
      </c>
      <c r="BA24">
        <f>MAX(BA23,IF($B23=30,1,0))</f>
        <v/>
      </c>
      <c r="BB24">
        <f>MAX(BB23,IF($B23=31,1,0))</f>
        <v/>
      </c>
      <c r="BC24">
        <f>MAX(BC23,IF($B23=32,1,0))</f>
        <v/>
      </c>
      <c r="BD24">
        <f>MAX(BD23,IF($B23=33,1,0))</f>
        <v/>
      </c>
      <c r="BE24">
        <f>MAX(BE23,IF($B23=34,1,0))</f>
        <v/>
      </c>
      <c r="BF24">
        <f>MAX(BF23,IF($B23=35,1,0))</f>
        <v/>
      </c>
      <c r="BG24">
        <f>MAX(BG23,IF($B23=36,1,0))</f>
        <v/>
      </c>
      <c r="BH24">
        <f>MAX(BH23,IF($B23=37,1,0))</f>
        <v/>
      </c>
      <c r="BI24">
        <f>MAX(BI23,IF($B23=38,1,0))</f>
        <v/>
      </c>
      <c r="BJ24">
        <f>MAX(BJ23,IF($B23=39,1,0))</f>
        <v/>
      </c>
      <c r="BK24">
        <f>MAX(BK23,IF($B23=40,1,0))</f>
        <v/>
      </c>
      <c r="BM24">
        <f>IF(OR(X24=1,calcA!$A$6=0),1000000000,IF('calcA'!$JF$10=1,0,100000000)+IF('calcA'!$IQ$10=2,SUMPRODUCT('calcA'!$D$60:$EQ$60,$DB24:$IO24,$IQ24:$OD24)*1000+SUMPRODUCT('calcA'!$D$60:$EQ$60,$DB24:$IO24+$ZQ24:$AFD24,$AFF24:$AKS24),SUMPRODUCT('calcA'!$D$60:$EQ$60,$DB24:$IO24*1001+$ZQ24:$AFD24))*100+1)</f>
        <v/>
      </c>
      <c r="BN24">
        <f>IF(OR(Y24=1,calcA!$A$6=0),1000000000,IF('calcA'!$JF$11=1,0,100000000)+IF('calcA'!$IQ$11=2,SUMPRODUCT('calcA'!$D$61:$EQ$61,$DB24:$IO24,$IQ24:$OD24)*1000+SUMPRODUCT('calcA'!$D$61:$EQ$61,$DB24:$IO24+$ZQ24:$AFD24,$AFF24:$AKS24),SUMPRODUCT('calcA'!$D$61:$EQ$61,$DB24:$IO24*1001+$ZQ24:$AFD24))*100+2)</f>
        <v/>
      </c>
      <c r="BO24">
        <f>IF(OR(Z24=1,calcA!$A$6=0),1000000000,IF('calcA'!$JF$12=1,0,100000000)+IF('calcA'!$IQ$12=2,SUMPRODUCT('calcA'!$D$62:$EQ$62,$DB24:$IO24,$IQ24:$OD24)*1000+SUMPRODUCT('calcA'!$D$62:$EQ$62,$DB24:$IO24+$ZQ24:$AFD24,$AFF24:$AKS24),SUMPRODUCT('calcA'!$D$62:$EQ$62,$DB24:$IO24*1001+$ZQ24:$AFD24))*100+3)</f>
        <v/>
      </c>
      <c r="BP24">
        <f>IF(OR(AA24=1,calcA!$A$6=0),1000000000,IF('calcA'!$JF$13=1,0,100000000)+IF('calcA'!$IQ$13=2,SUMPRODUCT('calcA'!$D$63:$EQ$63,$DB24:$IO24,$IQ24:$OD24)*1000+SUMPRODUCT('calcA'!$D$63:$EQ$63,$DB24:$IO24+$ZQ24:$AFD24,$AFF24:$AKS24),SUMPRODUCT('calcA'!$D$63:$EQ$63,$DB24:$IO24*1001+$ZQ24:$AFD24))*100+4)</f>
        <v/>
      </c>
      <c r="BQ24">
        <f>IF(OR(AB24=1,calcA!$A$6=0),1000000000,IF('calcA'!$JF$14=1,0,100000000)+IF('calcA'!$IQ$14=2,SUMPRODUCT('calcA'!$D$64:$EQ$64,$DB24:$IO24,$IQ24:$OD24)*1000+SUMPRODUCT('calcA'!$D$64:$EQ$64,$DB24:$IO24+$ZQ24:$AFD24,$AFF24:$AKS24),SUMPRODUCT('calcA'!$D$64:$EQ$64,$DB24:$IO24*1001+$ZQ24:$AFD24))*100+5)</f>
        <v/>
      </c>
      <c r="BR24">
        <f>IF(OR(AC24=1,calcA!$A$6=0),1000000000,IF('calcA'!$JF$15=1,0,100000000)+IF('calcA'!$IQ$15=2,SUMPRODUCT('calcA'!$D$65:$EQ$65,$DB24:$IO24,$IQ24:$OD24)*1000+SUMPRODUCT('calcA'!$D$65:$EQ$65,$DB24:$IO24+$ZQ24:$AFD24,$AFF24:$AKS24),SUMPRODUCT('calcA'!$D$65:$EQ$65,$DB24:$IO24*1001+$ZQ24:$AFD24))*100+6)</f>
        <v/>
      </c>
      <c r="BS24">
        <f>IF(OR(AD24=1,calcA!$A$6=0),1000000000,IF('calcA'!$JF$16=1,0,100000000)+IF('calcA'!$IQ$16=2,SUMPRODUCT('calcA'!$D$66:$EQ$66,$DB24:$IO24,$IQ24:$OD24)*1000+SUMPRODUCT('calcA'!$D$66:$EQ$66,$DB24:$IO24+$ZQ24:$AFD24,$AFF24:$AKS24),SUMPRODUCT('calcA'!$D$66:$EQ$66,$DB24:$IO24*1001+$ZQ24:$AFD24))*100+7)</f>
        <v/>
      </c>
      <c r="BT24">
        <f>IF(OR(AE24=1,calcA!$A$6=0),1000000000,IF('calcA'!$JF$17=1,0,100000000)+IF('calcA'!$IQ$17=2,SUMPRODUCT('calcA'!$D$67:$EQ$67,$DB24:$IO24,$IQ24:$OD24)*1000+SUMPRODUCT('calcA'!$D$67:$EQ$67,$DB24:$IO24+$ZQ24:$AFD24,$AFF24:$AKS24),SUMPRODUCT('calcA'!$D$67:$EQ$67,$DB24:$IO24*1001+$ZQ24:$AFD24))*100+8)</f>
        <v/>
      </c>
      <c r="BU24">
        <f>IF(OR(AF24=1,calcA!$A$6=0),1000000000,IF('calcA'!$JF$18=1,0,100000000)+IF('calcA'!$IQ$18=2,SUMPRODUCT('calcA'!$D$68:$EQ$68,$DB24:$IO24,$IQ24:$OD24)*1000+SUMPRODUCT('calcA'!$D$68:$EQ$68,$DB24:$IO24+$ZQ24:$AFD24,$AFF24:$AKS24),SUMPRODUCT('calcA'!$D$68:$EQ$68,$DB24:$IO24*1001+$ZQ24:$AFD24))*100+9)</f>
        <v/>
      </c>
      <c r="BV24">
        <f>IF(OR(AG24=1,calcA!$A$6=0),1000000000,IF('calcA'!$JF$19=1,0,100000000)+IF('calcA'!$IQ$19=2,SUMPRODUCT('calcA'!$D$69:$EQ$69,$DB24:$IO24,$IQ24:$OD24)*1000+SUMPRODUCT('calcA'!$D$69:$EQ$69,$DB24:$IO24+$ZQ24:$AFD24,$AFF24:$AKS24),SUMPRODUCT('calcA'!$D$69:$EQ$69,$DB24:$IO24*1001+$ZQ24:$AFD24))*100+10)</f>
        <v/>
      </c>
      <c r="BW24">
        <f>IF(OR(AH24=1,calcA!$A$6=0),1000000000,IF('calcA'!$JF$20=1,0,100000000)+IF('calcA'!$IQ$20=2,SUMPRODUCT('calcA'!$D$70:$EQ$70,$DB24:$IO24,$IQ24:$OD24)*1000+SUMPRODUCT('calcA'!$D$70:$EQ$70,$DB24:$IO24+$ZQ24:$AFD24,$AFF24:$AKS24),SUMPRODUCT('calcA'!$D$70:$EQ$70,$DB24:$IO24*1001+$ZQ24:$AFD24))*100+11)</f>
        <v/>
      </c>
      <c r="BX24">
        <f>IF(OR(AI24=1,calcA!$A$6=0),1000000000,IF('calcA'!$JF$21=1,0,100000000)+IF('calcA'!$IQ$21=2,SUMPRODUCT('calcA'!$D$71:$EQ$71,$DB24:$IO24,$IQ24:$OD24)*1000+SUMPRODUCT('calcA'!$D$71:$EQ$71,$DB24:$IO24+$ZQ24:$AFD24,$AFF24:$AKS24),SUMPRODUCT('calcA'!$D$71:$EQ$71,$DB24:$IO24*1001+$ZQ24:$AFD24))*100+12)</f>
        <v/>
      </c>
      <c r="BY24">
        <f>IF(OR(AJ24=1,calcA!$A$6=0),1000000000,IF('calcA'!$JF$22=1,0,100000000)+IF('calcA'!$IQ$22=2,SUMPRODUCT('calcA'!$D$72:$EQ$72,$DB24:$IO24,$IQ24:$OD24)*1000+SUMPRODUCT('calcA'!$D$72:$EQ$72,$DB24:$IO24+$ZQ24:$AFD24,$AFF24:$AKS24),SUMPRODUCT('calcA'!$D$72:$EQ$72,$DB24:$IO24*1001+$ZQ24:$AFD24))*100+13)</f>
        <v/>
      </c>
      <c r="BZ24">
        <f>IF(OR(AK24=1,calcA!$A$6=0),1000000000,IF('calcA'!$JF$23=1,0,100000000)+IF('calcA'!$IQ$23=2,SUMPRODUCT('calcA'!$D$73:$EQ$73,$DB24:$IO24,$IQ24:$OD24)*1000+SUMPRODUCT('calcA'!$D$73:$EQ$73,$DB24:$IO24+$ZQ24:$AFD24,$AFF24:$AKS24),SUMPRODUCT('calcA'!$D$73:$EQ$73,$DB24:$IO24*1001+$ZQ24:$AFD24))*100+14)</f>
        <v/>
      </c>
      <c r="CA24">
        <f>IF(OR(AL24=1,calcA!$A$6=0),1000000000,IF('calcA'!$JF$24=1,0,100000000)+IF('calcA'!$IQ$24=2,SUMPRODUCT('calcA'!$D$74:$EQ$74,$DB24:$IO24,$IQ24:$OD24)*1000+SUMPRODUCT('calcA'!$D$74:$EQ$74,$DB24:$IO24+$ZQ24:$AFD24,$AFF24:$AKS24),SUMPRODUCT('calcA'!$D$74:$EQ$74,$DB24:$IO24*1001+$ZQ24:$AFD24))*100+15)</f>
        <v/>
      </c>
      <c r="CB24">
        <f>IF(OR(AM24=1,calcA!$A$6=0),1000000000,IF('calcA'!$JF$25=1,0,100000000)+IF('calcA'!$IQ$25=2,SUMPRODUCT('calcA'!$D$75:$EQ$75,$DB24:$IO24,$IQ24:$OD24)*1000+SUMPRODUCT('calcA'!$D$75:$EQ$75,$DB24:$IO24+$ZQ24:$AFD24,$AFF24:$AKS24),SUMPRODUCT('calcA'!$D$75:$EQ$75,$DB24:$IO24*1001+$ZQ24:$AFD24))*100+16)</f>
        <v/>
      </c>
      <c r="CC24">
        <f>IF(OR(AN24=1,calcA!$A$6=0),1000000000,IF('calcA'!$JF$26=1,0,100000000)+IF('calcA'!$IQ$26=2,SUMPRODUCT('calcA'!$D$76:$EQ$76,$DB24:$IO24,$IQ24:$OD24)*1000+SUMPRODUCT('calcA'!$D$76:$EQ$76,$DB24:$IO24+$ZQ24:$AFD24,$AFF24:$AKS24),SUMPRODUCT('calcA'!$D$76:$EQ$76,$DB24:$IO24*1001+$ZQ24:$AFD24))*100+17)</f>
        <v/>
      </c>
      <c r="CD24">
        <f>IF(OR(AO24=1,calcA!$A$6=0),1000000000,IF('calcA'!$JF$27=1,0,100000000)+IF('calcA'!$IQ$27=2,SUMPRODUCT('calcA'!$D$77:$EQ$77,$DB24:$IO24,$IQ24:$OD24)*1000+SUMPRODUCT('calcA'!$D$77:$EQ$77,$DB24:$IO24+$ZQ24:$AFD24,$AFF24:$AKS24),SUMPRODUCT('calcA'!$D$77:$EQ$77,$DB24:$IO24*1001+$ZQ24:$AFD24))*100+18)</f>
        <v/>
      </c>
      <c r="CE24">
        <f>IF(OR(AP24=1,calcA!$A$6=0),1000000000,IF('calcA'!$JF$28=1,0,100000000)+IF('calcA'!$IQ$28=2,SUMPRODUCT('calcA'!$D$78:$EQ$78,$DB24:$IO24,$IQ24:$OD24)*1000+SUMPRODUCT('calcA'!$D$78:$EQ$78,$DB24:$IO24+$ZQ24:$AFD24,$AFF24:$AKS24),SUMPRODUCT('calcA'!$D$78:$EQ$78,$DB24:$IO24*1001+$ZQ24:$AFD24))*100+19)</f>
        <v/>
      </c>
      <c r="CF24">
        <f>IF(OR(AQ24=1,calcA!$A$6=0),1000000000,IF('calcA'!$JF$29=1,0,100000000)+IF('calcA'!$IQ$29=2,SUMPRODUCT('calcA'!$D$79:$EQ$79,$DB24:$IO24,$IQ24:$OD24)*1000+SUMPRODUCT('calcA'!$D$79:$EQ$79,$DB24:$IO24+$ZQ24:$AFD24,$AFF24:$AKS24),SUMPRODUCT('calcA'!$D$79:$EQ$79,$DB24:$IO24*1001+$ZQ24:$AFD24))*100+20)</f>
        <v/>
      </c>
      <c r="CG24">
        <f>IF(OR(AR24=1,calcA!$A$6=0),1000000000,IF('calcA'!$JF$30=1,0,100000000)+IF('calcA'!$IQ$30=2,SUMPRODUCT('calcA'!$D$80:$EQ$80,$DB24:$IO24,$IQ24:$OD24)*1000+SUMPRODUCT('calcA'!$D$80:$EQ$80,$DB24:$IO24+$ZQ24:$AFD24,$AFF24:$AKS24),SUMPRODUCT('calcA'!$D$80:$EQ$80,$DB24:$IO24*1001+$ZQ24:$AFD24))*100+21)</f>
        <v/>
      </c>
      <c r="CH24">
        <f>IF(OR(AS24=1,calcA!$A$6=0),1000000000,IF('calcA'!$JF$31=1,0,100000000)+IF('calcA'!$IQ$31=2,SUMPRODUCT('calcA'!$D$81:$EQ$81,$DB24:$IO24,$IQ24:$OD24)*1000+SUMPRODUCT('calcA'!$D$81:$EQ$81,$DB24:$IO24+$ZQ24:$AFD24,$AFF24:$AKS24),SUMPRODUCT('calcA'!$D$81:$EQ$81,$DB24:$IO24*1001+$ZQ24:$AFD24))*100+22)</f>
        <v/>
      </c>
      <c r="CI24">
        <f>IF(OR(AT24=1,calcA!$A$6=0),1000000000,IF('calcA'!$JF$32=1,0,100000000)+IF('calcA'!$IQ$32=2,SUMPRODUCT('calcA'!$D$82:$EQ$82,$DB24:$IO24,$IQ24:$OD24)*1000+SUMPRODUCT('calcA'!$D$82:$EQ$82,$DB24:$IO24+$ZQ24:$AFD24,$AFF24:$AKS24),SUMPRODUCT('calcA'!$D$82:$EQ$82,$DB24:$IO24*1001+$ZQ24:$AFD24))*100+23)</f>
        <v/>
      </c>
      <c r="CJ24">
        <f>IF(OR(AU24=1,calcA!$A$6=0),1000000000,IF('calcA'!$JF$33=1,0,100000000)+IF('calcA'!$IQ$33=2,SUMPRODUCT('calcA'!$D$83:$EQ$83,$DB24:$IO24,$IQ24:$OD24)*1000+SUMPRODUCT('calcA'!$D$83:$EQ$83,$DB24:$IO24+$ZQ24:$AFD24,$AFF24:$AKS24),SUMPRODUCT('calcA'!$D$83:$EQ$83,$DB24:$IO24*1001+$ZQ24:$AFD24))*100+24)</f>
        <v/>
      </c>
      <c r="CK24">
        <f>IF(OR(AV24=1,calcA!$A$6=0),1000000000,IF('calcA'!$JF$34=1,0,100000000)+IF('calcA'!$IQ$34=2,SUMPRODUCT('calcA'!$D$84:$EQ$84,$DB24:$IO24,$IQ24:$OD24)*1000+SUMPRODUCT('calcA'!$D$84:$EQ$84,$DB24:$IO24+$ZQ24:$AFD24,$AFF24:$AKS24),SUMPRODUCT('calcA'!$D$84:$EQ$84,$DB24:$IO24*1001+$ZQ24:$AFD24))*100+25)</f>
        <v/>
      </c>
      <c r="CL24">
        <f>IF(OR(AW24=1,calcA!$A$6=0),1000000000,IF('calcA'!$JF$35=1,0,100000000)+IF('calcA'!$IQ$35=2,SUMPRODUCT('calcA'!$D$85:$EQ$85,$DB24:$IO24,$IQ24:$OD24)*1000+SUMPRODUCT('calcA'!$D$85:$EQ$85,$DB24:$IO24+$ZQ24:$AFD24,$AFF24:$AKS24),SUMPRODUCT('calcA'!$D$85:$EQ$85,$DB24:$IO24*1001+$ZQ24:$AFD24))*100+26)</f>
        <v/>
      </c>
      <c r="CM24">
        <f>IF(OR(AX24=1,calcA!$A$6=0),1000000000,IF('calcA'!$JF$36=1,0,100000000)+IF('calcA'!$IQ$36=2,SUMPRODUCT('calcA'!$D$86:$EQ$86,$DB24:$IO24,$IQ24:$OD24)*1000+SUMPRODUCT('calcA'!$D$86:$EQ$86,$DB24:$IO24+$ZQ24:$AFD24,$AFF24:$AKS24),SUMPRODUCT('calcA'!$D$86:$EQ$86,$DB24:$IO24*1001+$ZQ24:$AFD24))*100+27)</f>
        <v/>
      </c>
      <c r="CN24">
        <f>IF(OR(AY24=1,calcA!$A$6=0),1000000000,IF('calcA'!$JF$37=1,0,100000000)+IF('calcA'!$IQ$37=2,SUMPRODUCT('calcA'!$D$87:$EQ$87,$DB24:$IO24,$IQ24:$OD24)*1000+SUMPRODUCT('calcA'!$D$87:$EQ$87,$DB24:$IO24+$ZQ24:$AFD24,$AFF24:$AKS24),SUMPRODUCT('calcA'!$D$87:$EQ$87,$DB24:$IO24*1001+$ZQ24:$AFD24))*100+28)</f>
        <v/>
      </c>
      <c r="CO24">
        <f>IF(OR(AZ24=1,calcA!$A$6=0),1000000000,IF('calcA'!$JF$38=1,0,100000000)+IF('calcA'!$IQ$38=2,SUMPRODUCT('calcA'!$D$88:$EQ$88,$DB24:$IO24,$IQ24:$OD24)*1000+SUMPRODUCT('calcA'!$D$88:$EQ$88,$DB24:$IO24+$ZQ24:$AFD24,$AFF24:$AKS24),SUMPRODUCT('calcA'!$D$88:$EQ$88,$DB24:$IO24*1001+$ZQ24:$AFD24))*100+29)</f>
        <v/>
      </c>
      <c r="CP24">
        <f>IF(OR(BA24=1,calcA!$A$6=0),1000000000,IF('calcA'!$JF$39=1,0,100000000)+IF('calcA'!$IQ$39=2,SUMPRODUCT('calcA'!$D$89:$EQ$89,$DB24:$IO24,$IQ24:$OD24)*1000+SUMPRODUCT('calcA'!$D$89:$EQ$89,$DB24:$IO24+$ZQ24:$AFD24,$AFF24:$AKS24),SUMPRODUCT('calcA'!$D$89:$EQ$89,$DB24:$IO24*1001+$ZQ24:$AFD24))*100+30)</f>
        <v/>
      </c>
      <c r="CQ24">
        <f>IF(OR(BB24=1,calcA!$A$6=0),1000000000,IF('calcA'!$JF$40=1,0,100000000)+IF('calcA'!$IQ$40=2,SUMPRODUCT('calcA'!$D$90:$EQ$90,$DB24:$IO24,$IQ24:$OD24)*1000+SUMPRODUCT('calcA'!$D$90:$EQ$90,$DB24:$IO24+$ZQ24:$AFD24,$AFF24:$AKS24),SUMPRODUCT('calcA'!$D$90:$EQ$90,$DB24:$IO24*1001+$ZQ24:$AFD24))*100+31)</f>
        <v/>
      </c>
      <c r="CR24">
        <f>IF(OR(BC24=1,calcA!$A$6=0),1000000000,IF('calcA'!$JF$41=1,0,100000000)+IF('calcA'!$IQ$41=2,SUMPRODUCT('calcA'!$D$91:$EQ$91,$DB24:$IO24,$IQ24:$OD24)*1000+SUMPRODUCT('calcA'!$D$91:$EQ$91,$DB24:$IO24+$ZQ24:$AFD24,$AFF24:$AKS24),SUMPRODUCT('calcA'!$D$91:$EQ$91,$DB24:$IO24*1001+$ZQ24:$AFD24))*100+32)</f>
        <v/>
      </c>
      <c r="CS24">
        <f>IF(OR(BD24=1,calcA!$A$6=0),1000000000,IF('calcA'!$JF$42=1,0,100000000)+IF('calcA'!$IQ$42=2,SUMPRODUCT('calcA'!$D$92:$EQ$92,$DB24:$IO24,$IQ24:$OD24)*1000+SUMPRODUCT('calcA'!$D$92:$EQ$92,$DB24:$IO24+$ZQ24:$AFD24,$AFF24:$AKS24),SUMPRODUCT('calcA'!$D$92:$EQ$92,$DB24:$IO24*1001+$ZQ24:$AFD24))*100+33)</f>
        <v/>
      </c>
      <c r="CT24">
        <f>IF(OR(BE24=1,calcA!$A$6=0),1000000000,IF('calcA'!$JF$43=1,0,100000000)+IF('calcA'!$IQ$43=2,SUMPRODUCT('calcA'!$D$93:$EQ$93,$DB24:$IO24,$IQ24:$OD24)*1000+SUMPRODUCT('calcA'!$D$93:$EQ$93,$DB24:$IO24+$ZQ24:$AFD24,$AFF24:$AKS24),SUMPRODUCT('calcA'!$D$93:$EQ$93,$DB24:$IO24*1001+$ZQ24:$AFD24))*100+34)</f>
        <v/>
      </c>
      <c r="CU24">
        <f>IF(OR(BF24=1,calcA!$A$6=0),1000000000,IF('calcA'!$JF$44=1,0,100000000)+IF('calcA'!$IQ$44=2,SUMPRODUCT('calcA'!$D$94:$EQ$94,$DB24:$IO24,$IQ24:$OD24)*1000+SUMPRODUCT('calcA'!$D$94:$EQ$94,$DB24:$IO24+$ZQ24:$AFD24,$AFF24:$AKS24),SUMPRODUCT('calcA'!$D$94:$EQ$94,$DB24:$IO24*1001+$ZQ24:$AFD24))*100+35)</f>
        <v/>
      </c>
      <c r="CV24">
        <f>IF(OR(BG24=1,calcA!$A$6=0),1000000000,IF('calcA'!$JF$45=1,0,100000000)+IF('calcA'!$IQ$45=2,SUMPRODUCT('calcA'!$D$95:$EQ$95,$DB24:$IO24,$IQ24:$OD24)*1000+SUMPRODUCT('calcA'!$D$95:$EQ$95,$DB24:$IO24+$ZQ24:$AFD24,$AFF24:$AKS24),SUMPRODUCT('calcA'!$D$95:$EQ$95,$DB24:$IO24*1001+$ZQ24:$AFD24))*100+36)</f>
        <v/>
      </c>
      <c r="CW24">
        <f>IF(OR(BH24=1,calcA!$A$6=0),1000000000,IF('calcA'!$JF$46=1,0,100000000)+IF('calcA'!$IQ$46=2,SUMPRODUCT('calcA'!$D$96:$EQ$96,$DB24:$IO24,$IQ24:$OD24)*1000+SUMPRODUCT('calcA'!$D$96:$EQ$96,$DB24:$IO24+$ZQ24:$AFD24,$AFF24:$AKS24),SUMPRODUCT('calcA'!$D$96:$EQ$96,$DB24:$IO24*1001+$ZQ24:$AFD24))*100+37)</f>
        <v/>
      </c>
      <c r="CX24">
        <f>IF(OR(BI24=1,calcA!$A$6=0),1000000000,IF('calcA'!$JF$47=1,0,100000000)+IF('calcA'!$IQ$47=2,SUMPRODUCT('calcA'!$D$97:$EQ$97,$DB24:$IO24,$IQ24:$OD24)*1000+SUMPRODUCT('calcA'!$D$97:$EQ$97,$DB24:$IO24+$ZQ24:$AFD24,$AFF24:$AKS24),SUMPRODUCT('calcA'!$D$97:$EQ$97,$DB24:$IO24*1001+$ZQ24:$AFD24))*100+38)</f>
        <v/>
      </c>
      <c r="CY24">
        <f>IF(OR(BJ24=1,calcA!$A$6=0),1000000000,IF('calcA'!$JF$48=1,0,100000000)+IF('calcA'!$IQ$48=2,SUMPRODUCT('calcA'!$D$98:$EQ$98,$DB24:$IO24,$IQ24:$OD24)*1000+SUMPRODUCT('calcA'!$D$98:$EQ$98,$DB24:$IO24+$ZQ24:$AFD24,$AFF24:$AKS24),SUMPRODUCT('calcA'!$D$98:$EQ$98,$DB24:$IO24*1001+$ZQ24:$AFD24))*100+39)</f>
        <v/>
      </c>
      <c r="CZ24">
        <f>IF(OR(BK24=1,calcA!$A$6=0),1000000000,IF('calcA'!$JF$49=1,0,100000000)+IF('calcA'!$IQ$49=2,SUMPRODUCT('calcA'!$D$99:$EQ$99,$DB24:$IO24,$IQ24:$OD24)*1000+SUMPRODUCT('calcA'!$D$99:$EQ$99,$DB24:$IO24+$ZQ24:$AFD24,$AFF24:$AKS24),SUMPRODUCT('calcA'!$D$99:$EQ$99,$DB24:$IO24*1001+$ZQ24:$AFD24))*100+40)</f>
        <v/>
      </c>
      <c r="DB24">
        <f>DB23*IF(OR($C23=1,$G23=1),0,1)</f>
        <v/>
      </c>
      <c r="DC24">
        <f>DC23*IF(OR($C23=2,$G23=2),0,1)</f>
        <v/>
      </c>
      <c r="DD24">
        <f>DD23*IF(OR($C23=3,$G23=3),0,1)</f>
        <v/>
      </c>
      <c r="DE24">
        <f>DE23*IF(OR($C23=4,$G23=4),0,1)</f>
        <v/>
      </c>
      <c r="DF24">
        <f>DF23*IF(OR($C23=5,$G23=5),0,1)</f>
        <v/>
      </c>
      <c r="DG24">
        <f>DG23*IF(OR($C23=6,$G23=6),0,1)</f>
        <v/>
      </c>
      <c r="DH24">
        <f>DH23*IF(OR($C23=7,$G23=7),0,1)</f>
        <v/>
      </c>
      <c r="DI24">
        <f>DI23*IF(OR($C23=8,$G23=8),0,1)</f>
        <v/>
      </c>
      <c r="DJ24">
        <f>DJ23*IF(OR($C23=9,$G23=9),0,1)</f>
        <v/>
      </c>
      <c r="DK24">
        <f>DK23*IF(OR($C23=10,$G23=10),0,1)</f>
        <v/>
      </c>
      <c r="DL24">
        <f>DL23*IF(OR($C23=11,$G23=11),0,1)</f>
        <v/>
      </c>
      <c r="DM24">
        <f>DM23*IF(OR($C23=12,$G23=12),0,1)</f>
        <v/>
      </c>
      <c r="DN24">
        <f>DN23*IF(OR($C23=13,$G23=13),0,1)</f>
        <v/>
      </c>
      <c r="DO24">
        <f>DO23*IF(OR($C23=14,$G23=14),0,1)</f>
        <v/>
      </c>
      <c r="DP24">
        <f>DP23*IF(OR($C23=15,$G23=15),0,1)</f>
        <v/>
      </c>
      <c r="DQ24">
        <f>DQ23*IF(OR($C23=16,$G23=16),0,1)</f>
        <v/>
      </c>
      <c r="DR24">
        <f>DR23*IF(OR($C23=17,$G23=17),0,1)</f>
        <v/>
      </c>
      <c r="DS24">
        <f>DS23*IF(OR($C23=18,$G23=18),0,1)</f>
        <v/>
      </c>
      <c r="DT24">
        <f>DT23*IF(OR($C23=19,$G23=19),0,1)</f>
        <v/>
      </c>
      <c r="DU24">
        <f>DU23*IF(OR($C23=20,$G23=20),0,1)</f>
        <v/>
      </c>
      <c r="DV24">
        <f>DV23*IF(OR($C23=21,$G23=21),0,1)</f>
        <v/>
      </c>
      <c r="DW24">
        <f>DW23*IF(OR($C23=22,$G23=22),0,1)</f>
        <v/>
      </c>
      <c r="DX24">
        <f>DX23*IF(OR($C23=23,$G23=23),0,1)</f>
        <v/>
      </c>
      <c r="DY24">
        <f>DY23*IF(OR($C23=24,$G23=24),0,1)</f>
        <v/>
      </c>
      <c r="DZ24">
        <f>DZ23*IF(OR($C23=25,$G23=25),0,1)</f>
        <v/>
      </c>
      <c r="EA24">
        <f>EA23*IF(OR($C23=26,$G23=26),0,1)</f>
        <v/>
      </c>
      <c r="EB24">
        <f>EB23*IF(OR($C23=27,$G23=27),0,1)</f>
        <v/>
      </c>
      <c r="EC24">
        <f>EC23*IF(OR($C23=28,$G23=28),0,1)</f>
        <v/>
      </c>
      <c r="ED24">
        <f>ED23*IF(OR($C23=29,$G23=29),0,1)</f>
        <v/>
      </c>
      <c r="EE24">
        <f>EE23*IF(OR($C23=30,$G23=30),0,1)</f>
        <v/>
      </c>
      <c r="EF24">
        <f>EF23*IF(OR($C23=31,$G23=31),0,1)</f>
        <v/>
      </c>
      <c r="EG24">
        <f>EG23*IF(OR($C23=32,$G23=32),0,1)</f>
        <v/>
      </c>
      <c r="EH24">
        <f>EH23*IF(OR($C23=33,$G23=33),0,1)</f>
        <v/>
      </c>
      <c r="EI24">
        <f>EI23*IF(OR($C23=34,$G23=34),0,1)</f>
        <v/>
      </c>
      <c r="EJ24">
        <f>EJ23*IF(OR($C23=35,$G23=35),0,1)</f>
        <v/>
      </c>
      <c r="EK24">
        <f>EK23*IF(OR($C23=36,$G23=36),0,1)</f>
        <v/>
      </c>
      <c r="EL24">
        <f>EL23*IF(OR($C23=37,$G23=37),0,1)</f>
        <v/>
      </c>
      <c r="EM24">
        <f>EM23*IF(OR($C23=38,$G23=38),0,1)</f>
        <v/>
      </c>
      <c r="EN24">
        <f>EN23*IF(OR($C23=39,$G23=39),0,1)</f>
        <v/>
      </c>
      <c r="EO24">
        <f>EO23*IF(OR($C23=40,$G23=40),0,1)</f>
        <v/>
      </c>
      <c r="EP24">
        <f>EP23*IF(OR($C23=41,$G23=41),0,1)</f>
        <v/>
      </c>
      <c r="EQ24">
        <f>EQ23*IF(OR($C23=42,$G23=42),0,1)</f>
        <v/>
      </c>
      <c r="ER24">
        <f>ER23*IF(OR($C23=43,$G23=43),0,1)</f>
        <v/>
      </c>
      <c r="ES24">
        <f>ES23*IF(OR($C23=44,$G23=44),0,1)</f>
        <v/>
      </c>
      <c r="ET24">
        <f>ET23*IF(OR($C23=45,$G23=45),0,1)</f>
        <v/>
      </c>
      <c r="EU24">
        <f>EU23*IF(OR($C23=46,$G23=46),0,1)</f>
        <v/>
      </c>
      <c r="EV24">
        <f>EV23*IF(OR($C23=47,$G23=47),0,1)</f>
        <v/>
      </c>
      <c r="EW24">
        <f>EW23*IF(OR($C23=48,$G23=48),0,1)</f>
        <v/>
      </c>
      <c r="EX24">
        <f>EX23*IF(OR($C23=49,$G23=49),0,1)</f>
        <v/>
      </c>
      <c r="EY24">
        <f>EY23*IF(OR($C23=50,$G23=50),0,1)</f>
        <v/>
      </c>
      <c r="EZ24">
        <f>EZ23*IF(OR($C23=51,$G23=51),0,1)</f>
        <v/>
      </c>
      <c r="FA24">
        <f>FA23*IF(OR($C23=52,$G23=52),0,1)</f>
        <v/>
      </c>
      <c r="FB24">
        <f>FB23*IF(OR($C23=53,$G23=53),0,1)</f>
        <v/>
      </c>
      <c r="FC24">
        <f>FC23*IF(OR($C23=54,$G23=54),0,1)</f>
        <v/>
      </c>
      <c r="FD24">
        <f>FD23*IF(OR($C23=55,$G23=55),0,1)</f>
        <v/>
      </c>
      <c r="FE24">
        <f>FE23*IF(OR($C23=56,$G23=56),0,1)</f>
        <v/>
      </c>
      <c r="FF24">
        <f>FF23*IF(OR($C23=57,$G23=57),0,1)</f>
        <v/>
      </c>
      <c r="FG24">
        <f>FG23*IF(OR($C23=58,$G23=58),0,1)</f>
        <v/>
      </c>
      <c r="FH24">
        <f>FH23*IF(OR($C23=59,$G23=59),0,1)</f>
        <v/>
      </c>
      <c r="FI24">
        <f>FI23*IF(OR($C23=60,$G23=60),0,1)</f>
        <v/>
      </c>
      <c r="FJ24">
        <f>FJ23*IF(OR($C23=61,$G23=61),0,1)</f>
        <v/>
      </c>
      <c r="FK24">
        <f>FK23*IF(OR($C23=62,$G23=62),0,1)</f>
        <v/>
      </c>
      <c r="FL24">
        <f>FL23*IF(OR($C23=63,$G23=63),0,1)</f>
        <v/>
      </c>
      <c r="FM24">
        <f>FM23*IF(OR($C23=64,$G23=64),0,1)</f>
        <v/>
      </c>
      <c r="FN24">
        <f>FN23*IF(OR($C23=65,$G23=65),0,1)</f>
        <v/>
      </c>
      <c r="FO24">
        <f>FO23*IF(OR($C23=66,$G23=66),0,1)</f>
        <v/>
      </c>
      <c r="FP24">
        <f>FP23*IF(OR($C23=67,$G23=67),0,1)</f>
        <v/>
      </c>
      <c r="FQ24">
        <f>FQ23*IF(OR($C23=68,$G23=68),0,1)</f>
        <v/>
      </c>
      <c r="FR24">
        <f>FR23*IF(OR($C23=69,$G23=69),0,1)</f>
        <v/>
      </c>
      <c r="FS24">
        <f>FS23*IF(OR($C23=70,$G23=70),0,1)</f>
        <v/>
      </c>
      <c r="FT24">
        <f>FT23*IF(OR($C23=71,$G23=71),0,1)</f>
        <v/>
      </c>
      <c r="FU24">
        <f>FU23*IF(OR($C23=72,$G23=72),0,1)</f>
        <v/>
      </c>
      <c r="FV24">
        <f>FV23*IF(OR($C23=73,$G23=73),0,1)</f>
        <v/>
      </c>
      <c r="FW24">
        <f>FW23*IF(OR($C23=74,$G23=74),0,1)</f>
        <v/>
      </c>
      <c r="FX24">
        <f>FX23*IF(OR($C23=75,$G23=75),0,1)</f>
        <v/>
      </c>
      <c r="FY24">
        <f>FY23*IF(OR($C23=76,$G23=76),0,1)</f>
        <v/>
      </c>
      <c r="FZ24">
        <f>FZ23*IF(OR($C23=77,$G23=77),0,1)</f>
        <v/>
      </c>
      <c r="GA24">
        <f>GA23*IF(OR($C23=78,$G23=78),0,1)</f>
        <v/>
      </c>
      <c r="GB24">
        <f>GB23*IF(OR($C23=79,$G23=79),0,1)</f>
        <v/>
      </c>
      <c r="GC24">
        <f>GC23*IF(OR($C23=80,$G23=80),0,1)</f>
        <v/>
      </c>
      <c r="GD24">
        <f>GD23*IF(OR($C23=81,$G23=81),0,1)</f>
        <v/>
      </c>
      <c r="GE24">
        <f>GE23*IF(OR($C23=82,$G23=82),0,1)</f>
        <v/>
      </c>
      <c r="GF24">
        <f>GF23*IF(OR($C23=83,$G23=83),0,1)</f>
        <v/>
      </c>
      <c r="GG24">
        <f>GG23*IF(OR($C23=84,$G23=84),0,1)</f>
        <v/>
      </c>
      <c r="GH24">
        <f>GH23*IF(OR($C23=85,$G23=85),0,1)</f>
        <v/>
      </c>
      <c r="GI24">
        <f>GI23*IF(OR($C23=86,$G23=86),0,1)</f>
        <v/>
      </c>
      <c r="GJ24">
        <f>GJ23*IF(OR($C23=87,$G23=87),0,1)</f>
        <v/>
      </c>
      <c r="GK24">
        <f>GK23*IF(OR($C23=88,$G23=88),0,1)</f>
        <v/>
      </c>
      <c r="GL24">
        <f>GL23*IF(OR($C23=89,$G23=89),0,1)</f>
        <v/>
      </c>
      <c r="GM24">
        <f>GM23*IF(OR($C23=90,$G23=90),0,1)</f>
        <v/>
      </c>
      <c r="GN24">
        <f>GN23*IF(OR($C23=91,$G23=91),0,1)</f>
        <v/>
      </c>
      <c r="GO24">
        <f>GO23*IF(OR($C23=92,$G23=92),0,1)</f>
        <v/>
      </c>
      <c r="GP24">
        <f>GP23*IF(OR($C23=93,$G23=93),0,1)</f>
        <v/>
      </c>
      <c r="GQ24">
        <f>GQ23*IF(OR($C23=94,$G23=94),0,1)</f>
        <v/>
      </c>
      <c r="GR24">
        <f>GR23*IF(OR($C23=95,$G23=95),0,1)</f>
        <v/>
      </c>
      <c r="GS24">
        <f>GS23*IF(OR($C23=96,$G23=96),0,1)</f>
        <v/>
      </c>
      <c r="GT24">
        <f>GT23*IF(OR($C23=97,$G23=97),0,1)</f>
        <v/>
      </c>
      <c r="GU24">
        <f>GU23*IF(OR($C23=98,$G23=98),0,1)</f>
        <v/>
      </c>
      <c r="GV24">
        <f>GV23*IF(OR($C23=99,$G23=99),0,1)</f>
        <v/>
      </c>
      <c r="GW24">
        <f>GW23*IF(OR($C23=100,$G23=100),0,1)</f>
        <v/>
      </c>
      <c r="GX24">
        <f>GX23*IF(OR($C23=101,$G23=101),0,1)</f>
        <v/>
      </c>
      <c r="GY24">
        <f>GY23*IF(OR($C23=102,$G23=102),0,1)</f>
        <v/>
      </c>
      <c r="GZ24">
        <f>GZ23*IF(OR($C23=103,$G23=103),0,1)</f>
        <v/>
      </c>
      <c r="HA24">
        <f>HA23*IF(OR($C23=104,$G23=104),0,1)</f>
        <v/>
      </c>
      <c r="HB24">
        <f>HB23*IF(OR($C23=105,$G23=105),0,1)</f>
        <v/>
      </c>
      <c r="HC24">
        <f>HC23*IF(OR($C23=106,$G23=106),0,1)</f>
        <v/>
      </c>
      <c r="HD24">
        <f>HD23*IF(OR($C23=107,$G23=107),0,1)</f>
        <v/>
      </c>
      <c r="HE24">
        <f>HE23*IF(OR($C23=108,$G23=108),0,1)</f>
        <v/>
      </c>
      <c r="HF24">
        <f>HF23*IF(OR($C23=109,$G23=109),0,1)</f>
        <v/>
      </c>
      <c r="HG24">
        <f>HG23*IF(OR($C23=110,$G23=110),0,1)</f>
        <v/>
      </c>
      <c r="HH24">
        <f>HH23*IF(OR($C23=111,$G23=111),0,1)</f>
        <v/>
      </c>
      <c r="HI24">
        <f>HI23*IF(OR($C23=112,$G23=112),0,1)</f>
        <v/>
      </c>
      <c r="HJ24">
        <f>HJ23*IF(OR($C23=113,$G23=113),0,1)</f>
        <v/>
      </c>
      <c r="HK24">
        <f>HK23*IF(OR($C23=114,$G23=114),0,1)</f>
        <v/>
      </c>
      <c r="HL24">
        <f>HL23*IF(OR($C23=115,$G23=115),0,1)</f>
        <v/>
      </c>
      <c r="HM24">
        <f>HM23*IF(OR($C23=116,$G23=116),0,1)</f>
        <v/>
      </c>
      <c r="HN24">
        <f>HN23*IF(OR($C23=117,$G23=117),0,1)</f>
        <v/>
      </c>
      <c r="HO24">
        <f>HO23*IF(OR($C23=118,$G23=118),0,1)</f>
        <v/>
      </c>
      <c r="HP24">
        <f>HP23*IF(OR($C23=119,$G23=119),0,1)</f>
        <v/>
      </c>
      <c r="HQ24">
        <f>HQ23*IF(OR($C23=120,$G23=120),0,1)</f>
        <v/>
      </c>
      <c r="HR24">
        <f>HR23*IF(OR($C23=121,$G23=121),0,1)</f>
        <v/>
      </c>
      <c r="HS24">
        <f>HS23*IF(OR($C23=122,$G23=122),0,1)</f>
        <v/>
      </c>
      <c r="HT24">
        <f>HT23*IF(OR($C23=123,$G23=123),0,1)</f>
        <v/>
      </c>
      <c r="HU24">
        <f>HU23*IF(OR($C23=124,$G23=124),0,1)</f>
        <v/>
      </c>
      <c r="HV24">
        <f>HV23*IF(OR($C23=125,$G23=125),0,1)</f>
        <v/>
      </c>
      <c r="HW24">
        <f>HW23*IF(OR($C23=126,$G23=126),0,1)</f>
        <v/>
      </c>
      <c r="HX24">
        <f>HX23*IF(OR($C23=127,$G23=127),0,1)</f>
        <v/>
      </c>
      <c r="HY24">
        <f>HY23*IF(OR($C23=128,$G23=128),0,1)</f>
        <v/>
      </c>
      <c r="HZ24">
        <f>HZ23*IF(OR($C23=129,$G23=129),0,1)</f>
        <v/>
      </c>
      <c r="IA24">
        <f>IA23*IF(OR($C23=130,$G23=130),0,1)</f>
        <v/>
      </c>
      <c r="IB24">
        <f>IB23*IF(OR($C23=131,$G23=131),0,1)</f>
        <v/>
      </c>
      <c r="IC24">
        <f>IC23*IF(OR($C23=132,$G23=132),0,1)</f>
        <v/>
      </c>
      <c r="ID24">
        <f>ID23*IF(OR($C23=133,$G23=133),0,1)</f>
        <v/>
      </c>
      <c r="IE24">
        <f>IE23*IF(OR($C23=134,$G23=134),0,1)</f>
        <v/>
      </c>
      <c r="IF24">
        <f>IF23*IF(OR($C23=135,$G23=135),0,1)</f>
        <v/>
      </c>
      <c r="IG24">
        <f>IG23*IF(OR($C23=136,$G23=136),0,1)</f>
        <v/>
      </c>
      <c r="IH24">
        <f>IH23*IF(OR($C23=137,$G23=137),0,1)</f>
        <v/>
      </c>
      <c r="II24">
        <f>II23*IF(OR($C23=138,$G23=138),0,1)</f>
        <v/>
      </c>
      <c r="IJ24">
        <f>IJ23*IF(OR($C23=139,$G23=139),0,1)</f>
        <v/>
      </c>
      <c r="IK24">
        <f>IK23*IF(OR($C23=140,$G23=140),0,1)</f>
        <v/>
      </c>
      <c r="IL24">
        <f>IL23*IF(OR($C23=141,$G23=141),0,1)</f>
        <v/>
      </c>
      <c r="IM24">
        <f>IM23*IF(OR($C23=142,$G23=142),0,1)</f>
        <v/>
      </c>
      <c r="IN24">
        <f>IN23*IF(OR($C23=143,$G23=143),0,1)</f>
        <v/>
      </c>
      <c r="IO24">
        <f>IO23*IF(OR($C23=144,$G23=144),0,1)</f>
        <v/>
      </c>
      <c r="IQ24">
        <f>IF('calcA'!D$106=1,DC24,1)</f>
        <v/>
      </c>
      <c r="IR24">
        <f>IF('calcA'!E$106=1,DD24,1)</f>
        <v/>
      </c>
      <c r="IS24">
        <f>IF('calcA'!F$106=1,DE24,1)</f>
        <v/>
      </c>
      <c r="IT24">
        <f>IF('calcA'!G$106=1,DF24,1)</f>
        <v/>
      </c>
      <c r="IU24">
        <f>IF('calcA'!H$106=1,DG24,1)</f>
        <v/>
      </c>
      <c r="IV24">
        <f>IF('calcA'!I$106=1,DH24,1)</f>
        <v/>
      </c>
      <c r="IW24">
        <f>IF('calcA'!J$106=1,DI24,1)</f>
        <v/>
      </c>
      <c r="IX24">
        <f>IF('calcA'!K$106=1,DJ24,1)</f>
        <v/>
      </c>
      <c r="IY24">
        <f>IF('calcA'!L$106=1,DK24,1)</f>
        <v/>
      </c>
      <c r="IZ24">
        <f>IF('calcA'!M$106=1,DL24,1)</f>
        <v/>
      </c>
      <c r="JA24">
        <f>IF('calcA'!N$106=1,DM24,1)</f>
        <v/>
      </c>
      <c r="JB24">
        <f>IF('calcA'!O$106=1,DN24,1)</f>
        <v/>
      </c>
      <c r="JC24">
        <f>IF('calcA'!P$106=1,DO24,1)</f>
        <v/>
      </c>
      <c r="JD24">
        <f>IF('calcA'!Q$106=1,DP24,1)</f>
        <v/>
      </c>
      <c r="JE24">
        <f>IF('calcA'!R$106=1,DQ24,1)</f>
        <v/>
      </c>
      <c r="JF24">
        <f>IF('calcA'!S$106=1,DR24,1)</f>
        <v/>
      </c>
      <c r="JG24">
        <f>IF('calcA'!T$106=1,DS24,1)</f>
        <v/>
      </c>
      <c r="JH24">
        <f>IF('calcA'!U$106=1,DT24,1)</f>
        <v/>
      </c>
      <c r="JI24">
        <f>IF('calcA'!V$106=1,DU24,1)</f>
        <v/>
      </c>
      <c r="JJ24">
        <f>IF('calcA'!W$106=1,DV24,1)</f>
        <v/>
      </c>
      <c r="JK24">
        <f>IF('calcA'!X$106=1,DW24,1)</f>
        <v/>
      </c>
      <c r="JL24">
        <f>IF('calcA'!Y$106=1,DX24,1)</f>
        <v/>
      </c>
      <c r="JM24">
        <f>IF('calcA'!Z$106=1,DY24,1)</f>
        <v/>
      </c>
      <c r="JN24">
        <f>IF('calcA'!AA$106=1,DZ24,1)</f>
        <v/>
      </c>
      <c r="JO24">
        <f>IF('calcA'!AB$106=1,EA24,1)</f>
        <v/>
      </c>
      <c r="JP24">
        <f>IF('calcA'!AC$106=1,EB24,1)</f>
        <v/>
      </c>
      <c r="JQ24">
        <f>IF('calcA'!AD$106=1,EC24,1)</f>
        <v/>
      </c>
      <c r="JR24">
        <f>IF('calcA'!AE$106=1,ED24,1)</f>
        <v/>
      </c>
      <c r="JS24">
        <f>IF('calcA'!AF$106=1,EE24,1)</f>
        <v/>
      </c>
      <c r="JT24">
        <f>IF('calcA'!AG$106=1,EF24,1)</f>
        <v/>
      </c>
      <c r="JU24">
        <f>IF('calcA'!AH$106=1,EG24,1)</f>
        <v/>
      </c>
      <c r="JV24">
        <f>IF('calcA'!AI$106=1,EH24,1)</f>
        <v/>
      </c>
      <c r="JW24">
        <f>IF('calcA'!AJ$106=1,EI24,1)</f>
        <v/>
      </c>
      <c r="JX24">
        <f>IF('calcA'!AK$106=1,EJ24,1)</f>
        <v/>
      </c>
      <c r="JY24">
        <f>IF('calcA'!AL$106=1,EK24,1)</f>
        <v/>
      </c>
      <c r="JZ24">
        <f>IF('calcA'!AM$106=1,EL24,1)</f>
        <v/>
      </c>
      <c r="KA24">
        <f>IF('calcA'!AN$106=1,EM24,1)</f>
        <v/>
      </c>
      <c r="KB24">
        <f>IF('calcA'!AO$106=1,EN24,1)</f>
        <v/>
      </c>
      <c r="KC24">
        <f>IF('calcA'!AP$106=1,EO24,1)</f>
        <v/>
      </c>
      <c r="KD24">
        <f>IF('calcA'!AQ$106=1,EP24,1)</f>
        <v/>
      </c>
      <c r="KE24">
        <f>IF('calcA'!AR$106=1,EQ24,1)</f>
        <v/>
      </c>
      <c r="KF24">
        <f>IF('calcA'!AS$106=1,ER24,1)</f>
        <v/>
      </c>
      <c r="KG24">
        <f>IF('calcA'!AT$106=1,ES24,1)</f>
        <v/>
      </c>
      <c r="KH24">
        <f>IF('calcA'!AU$106=1,ET24,1)</f>
        <v/>
      </c>
      <c r="KI24">
        <f>IF('calcA'!AV$106=1,EU24,1)</f>
        <v/>
      </c>
      <c r="KJ24">
        <f>IF('calcA'!AW$106=1,EV24,1)</f>
        <v/>
      </c>
      <c r="KK24">
        <f>IF('calcA'!AX$106=1,EW24,1)</f>
        <v/>
      </c>
      <c r="KL24">
        <f>IF('calcA'!AY$106=1,EX24,1)</f>
        <v/>
      </c>
      <c r="KM24">
        <f>IF('calcA'!AZ$106=1,EY24,1)</f>
        <v/>
      </c>
      <c r="KN24">
        <f>IF('calcA'!BA$106=1,EZ24,1)</f>
        <v/>
      </c>
      <c r="KO24">
        <f>IF('calcA'!BB$106=1,FA24,1)</f>
        <v/>
      </c>
      <c r="KP24">
        <f>IF('calcA'!BC$106=1,FB24,1)</f>
        <v/>
      </c>
      <c r="KQ24">
        <f>IF('calcA'!BD$106=1,FC24,1)</f>
        <v/>
      </c>
      <c r="KR24">
        <f>IF('calcA'!BE$106=1,FD24,1)</f>
        <v/>
      </c>
      <c r="KS24">
        <f>IF('calcA'!BF$106=1,FE24,1)</f>
        <v/>
      </c>
      <c r="KT24">
        <f>IF('calcA'!BG$106=1,FF24,1)</f>
        <v/>
      </c>
      <c r="KU24">
        <f>IF('calcA'!BH$106=1,FG24,1)</f>
        <v/>
      </c>
      <c r="KV24">
        <f>IF('calcA'!BI$106=1,FH24,1)</f>
        <v/>
      </c>
      <c r="KW24">
        <f>IF('calcA'!BJ$106=1,FI24,1)</f>
        <v/>
      </c>
      <c r="KX24">
        <f>IF('calcA'!BK$106=1,FJ24,1)</f>
        <v/>
      </c>
      <c r="KY24">
        <f>IF('calcA'!BL$106=1,FK24,1)</f>
        <v/>
      </c>
      <c r="KZ24">
        <f>IF('calcA'!BM$106=1,FL24,1)</f>
        <v/>
      </c>
      <c r="LA24">
        <f>IF('calcA'!BN$106=1,FM24,1)</f>
        <v/>
      </c>
      <c r="LB24">
        <f>IF('calcA'!BO$106=1,FN24,1)</f>
        <v/>
      </c>
      <c r="LC24">
        <f>IF('calcA'!BP$106=1,FO24,1)</f>
        <v/>
      </c>
      <c r="LD24">
        <f>IF('calcA'!BQ$106=1,FP24,1)</f>
        <v/>
      </c>
      <c r="LE24">
        <f>IF('calcA'!BR$106=1,FQ24,1)</f>
        <v/>
      </c>
      <c r="LF24">
        <f>IF('calcA'!BS$106=1,FR24,1)</f>
        <v/>
      </c>
      <c r="LG24">
        <f>IF('calcA'!BT$106=1,FS24,1)</f>
        <v/>
      </c>
      <c r="LH24">
        <f>IF('calcA'!BU$106=1,FT24,1)</f>
        <v/>
      </c>
      <c r="LI24">
        <f>IF('calcA'!BV$106=1,FU24,1)</f>
        <v/>
      </c>
      <c r="LJ24">
        <f>IF('calcA'!BW$106=1,FV24,1)</f>
        <v/>
      </c>
      <c r="LK24">
        <f>IF('calcA'!BX$106=1,FW24,1)</f>
        <v/>
      </c>
      <c r="LL24">
        <f>IF('calcA'!BY$106=1,FX24,1)</f>
        <v/>
      </c>
      <c r="LM24">
        <f>IF('calcA'!BZ$106=1,FY24,1)</f>
        <v/>
      </c>
      <c r="LN24">
        <f>IF('calcA'!CA$106=1,FZ24,1)</f>
        <v/>
      </c>
      <c r="LO24">
        <f>IF('calcA'!CB$106=1,GA24,1)</f>
        <v/>
      </c>
      <c r="LP24">
        <f>IF('calcA'!CC$106=1,GB24,1)</f>
        <v/>
      </c>
      <c r="LQ24">
        <f>IF('calcA'!CD$106=1,GC24,1)</f>
        <v/>
      </c>
      <c r="LR24">
        <f>IF('calcA'!CE$106=1,GD24,1)</f>
        <v/>
      </c>
      <c r="LS24">
        <f>IF('calcA'!CF$106=1,GE24,1)</f>
        <v/>
      </c>
      <c r="LT24">
        <f>IF('calcA'!CG$106=1,GF24,1)</f>
        <v/>
      </c>
      <c r="LU24">
        <f>IF('calcA'!CH$106=1,GG24,1)</f>
        <v/>
      </c>
      <c r="LV24">
        <f>IF('calcA'!CI$106=1,GH24,1)</f>
        <v/>
      </c>
      <c r="LW24">
        <f>IF('calcA'!CJ$106=1,GI24,1)</f>
        <v/>
      </c>
      <c r="LX24">
        <f>IF('calcA'!CK$106=1,GJ24,1)</f>
        <v/>
      </c>
      <c r="LY24">
        <f>IF('calcA'!CL$106=1,GK24,1)</f>
        <v/>
      </c>
      <c r="LZ24">
        <f>IF('calcA'!CM$106=1,GL24,1)</f>
        <v/>
      </c>
      <c r="MA24">
        <f>IF('calcA'!CN$106=1,GM24,1)</f>
        <v/>
      </c>
      <c r="MB24">
        <f>IF('calcA'!CO$106=1,GN24,1)</f>
        <v/>
      </c>
      <c r="MC24">
        <f>IF('calcA'!CP$106=1,GO24,1)</f>
        <v/>
      </c>
      <c r="MD24">
        <f>IF('calcA'!CQ$106=1,GP24,1)</f>
        <v/>
      </c>
      <c r="ME24">
        <f>IF('calcA'!CR$106=1,GQ24,1)</f>
        <v/>
      </c>
      <c r="MF24">
        <f>IF('calcA'!CS$106=1,GR24,1)</f>
        <v/>
      </c>
      <c r="MG24">
        <f>IF('calcA'!CT$106=1,GS24,1)</f>
        <v/>
      </c>
      <c r="MH24">
        <f>IF('calcA'!CU$106=1,GT24,1)</f>
        <v/>
      </c>
      <c r="MI24">
        <f>IF('calcA'!CV$106=1,GU24,1)</f>
        <v/>
      </c>
      <c r="MJ24">
        <f>IF('calcA'!CW$106=1,GV24,1)</f>
        <v/>
      </c>
      <c r="MK24">
        <f>IF('calcA'!CX$106=1,GW24,1)</f>
        <v/>
      </c>
      <c r="ML24">
        <f>IF('calcA'!CY$106=1,GX24,1)</f>
        <v/>
      </c>
      <c r="MM24">
        <f>IF('calcA'!CZ$106=1,GY24,1)</f>
        <v/>
      </c>
      <c r="MN24">
        <f>IF('calcA'!DA$106=1,GZ24,1)</f>
        <v/>
      </c>
      <c r="MO24">
        <f>IF('calcA'!DB$106=1,HA24,1)</f>
        <v/>
      </c>
      <c r="MP24">
        <f>IF('calcA'!DC$106=1,HB24,1)</f>
        <v/>
      </c>
      <c r="MQ24">
        <f>IF('calcA'!DD$106=1,HC24,1)</f>
        <v/>
      </c>
      <c r="MR24">
        <f>IF('calcA'!DE$106=1,HD24,1)</f>
        <v/>
      </c>
      <c r="MS24">
        <f>IF('calcA'!DF$106=1,HE24,1)</f>
        <v/>
      </c>
      <c r="MT24">
        <f>IF('calcA'!DG$106=1,HF24,1)</f>
        <v/>
      </c>
      <c r="MU24">
        <f>IF('calcA'!DH$106=1,HG24,1)</f>
        <v/>
      </c>
      <c r="MV24">
        <f>IF('calcA'!DI$106=1,HH24,1)</f>
        <v/>
      </c>
      <c r="MW24">
        <f>IF('calcA'!DJ$106=1,HI24,1)</f>
        <v/>
      </c>
      <c r="MX24">
        <f>IF('calcA'!DK$106=1,HJ24,1)</f>
        <v/>
      </c>
      <c r="MY24">
        <f>IF('calcA'!DL$106=1,HK24,1)</f>
        <v/>
      </c>
      <c r="MZ24">
        <f>IF('calcA'!DM$106=1,HL24,1)</f>
        <v/>
      </c>
      <c r="NA24">
        <f>IF('calcA'!DN$106=1,HM24,1)</f>
        <v/>
      </c>
      <c r="NB24">
        <f>IF('calcA'!DO$106=1,HN24,1)</f>
        <v/>
      </c>
      <c r="NC24">
        <f>IF('calcA'!DP$106=1,HO24,1)</f>
        <v/>
      </c>
      <c r="ND24">
        <f>IF('calcA'!DQ$106=1,HP24,1)</f>
        <v/>
      </c>
      <c r="NE24">
        <f>IF('calcA'!DR$106=1,HQ24,1)</f>
        <v/>
      </c>
      <c r="NF24">
        <f>IF('calcA'!DS$106=1,HR24,1)</f>
        <v/>
      </c>
      <c r="NG24">
        <f>IF('calcA'!DT$106=1,HS24,1)</f>
        <v/>
      </c>
      <c r="NH24">
        <f>IF('calcA'!DU$106=1,HT24,1)</f>
        <v/>
      </c>
      <c r="NI24">
        <f>IF('calcA'!DV$106=1,HU24,1)</f>
        <v/>
      </c>
      <c r="NJ24">
        <f>IF('calcA'!DW$106=1,HV24,1)</f>
        <v/>
      </c>
      <c r="NK24">
        <f>IF('calcA'!DX$106=1,HW24,1)</f>
        <v/>
      </c>
      <c r="NL24">
        <f>IF('calcA'!DY$106=1,HX24,1)</f>
        <v/>
      </c>
      <c r="NM24">
        <f>IF('calcA'!DZ$106=1,HY24,1)</f>
        <v/>
      </c>
      <c r="NN24">
        <f>IF('calcA'!EA$106=1,HZ24,1)</f>
        <v/>
      </c>
      <c r="NO24">
        <f>IF('calcA'!EB$106=1,IA24,1)</f>
        <v/>
      </c>
      <c r="NP24">
        <f>IF('calcA'!EC$106=1,IB24,1)</f>
        <v/>
      </c>
      <c r="NQ24">
        <f>IF('calcA'!ED$106=1,IC24,1)</f>
        <v/>
      </c>
      <c r="NR24">
        <f>IF('calcA'!EE$106=1,ID24,1)</f>
        <v/>
      </c>
      <c r="NS24">
        <f>IF('calcA'!EF$106=1,IE24,1)</f>
        <v/>
      </c>
      <c r="NT24">
        <f>IF('calcA'!EG$106=1,IF24,1)</f>
        <v/>
      </c>
      <c r="NU24">
        <f>IF('calcA'!EH$106=1,IG24,1)</f>
        <v/>
      </c>
      <c r="NV24">
        <f>IF('calcA'!EI$106=1,IH24,1)</f>
        <v/>
      </c>
      <c r="NW24">
        <f>IF('calcA'!EJ$106=1,II24,1)</f>
        <v/>
      </c>
      <c r="NX24">
        <f>IF('calcA'!EK$106=1,IJ24,1)</f>
        <v/>
      </c>
      <c r="NY24">
        <f>IF('calcA'!EL$106=1,IK24,1)</f>
        <v/>
      </c>
      <c r="NZ24">
        <f>IF('calcA'!EM$106=1,IL24,1)</f>
        <v/>
      </c>
      <c r="OA24">
        <f>IF('calcA'!EN$106=1,IM24,1)</f>
        <v/>
      </c>
      <c r="OB24">
        <f>IF('calcA'!EO$106=1,IN24,1)</f>
        <v/>
      </c>
      <c r="OC24">
        <f>IF('calcA'!EP$106=1,IO24,1)</f>
        <v/>
      </c>
      <c r="OD24" t="n">
        <v>1</v>
      </c>
      <c r="OF24">
        <f>IF($B24=0,1000000000,IF(INDEX('calcA'!$D$60:$EQ$99,$B24,1)*IF($W24=1,DB24+ZQ24,DB24)=1,IF(AND($E24=2,IF($W24=1,AFF24,IQ24)=0),1000000000,IF($V24=1,INDEX('calcA'!$D$130:$EQ$169,$B24,1)+IF(AND($E24=1,IQ24=0),25,0),IF($F24&gt;0,INDEX('calcA'!D$110:D$114,$F24+1)+IF(AND($E24=1,IQ24=0),1000,0),MIN(TU24,20)*400+(IF('calcA'!D$106=1,1-DC24,0))*150+11+'calcA'!D$5*100000+IF(AND($E24=1,IQ24=0),50000,0))+IF($H24=1,INDEX('calcA'!$D$180:$EQ$219,$B24,1)*4000,0)-IF(AND($U24=1,'calcA'!D$117=1,DC24=0),2000,0))),1000000000))</f>
        <v/>
      </c>
      <c r="OG24">
        <f>IF($B24=0,1000000000,IF(INDEX('calcA'!$D$60:$EQ$99,$B24,2)*IF($W24=1,DC24+ZR24,DC24)=1,IF(AND($E24=2,IF($W24=1,AFG24,IR24)=0),1000000000,IF($V24=1,INDEX('calcA'!$D$130:$EQ$169,$B24,2)+IF(AND($E24=1,IR24=0),25,0),IF($F24&gt;0,INDEX('calcA'!E$110:E$114,$F24+1)+IF(AND($E24=1,IR24=0),1000,0),MIN(TU24,20)*400+(IF('calcA'!D$106=1,1-DB24,0)+IF('calcA'!E$106=1,1-DD24,0))*150+21+'calcA'!E$5*100000+IF(AND($E24=1,IR24=0),50000,0))+IF($H24=1,INDEX('calcA'!$D$180:$EQ$219,$B24,2)*4000,0)-IF(AND('calcA'!D$117=1,UB24&gt;0),2000,0)-IF(AND($U24=1,'calcA'!E$117=1,DD24=0),2000,0))),1000000000))</f>
        <v/>
      </c>
      <c r="OH24">
        <f>IF($B24=0,1000000000,IF(INDEX('calcA'!$D$60:$EQ$99,$B24,3)*IF($W24=1,DD24+ZS24,DD24)=1,IF(AND($E24=2,IF($W24=1,AFH24,IS24)=0),1000000000,IF($V24=1,INDEX('calcA'!$D$130:$EQ$169,$B24,3)+IF(AND($E24=1,IS24=0),25,0),IF($F24&gt;0,INDEX('calcA'!F$110:F$114,$F24+1)+IF(AND($E24=1,IS24=0),1000,0),MIN(TU24,20)*400+(IF('calcA'!E$106=1,1-DC24,0)+IF('calcA'!F$106=1,1-DE24,0))*150+31+'calcA'!F$5*100000+IF(AND($E24=1,IS24=0),50000,0))+IF($H24=1,INDEX('calcA'!$D$180:$EQ$219,$B24,3)*4000,0)-IF(AND('calcA'!E$117=1,UC24&gt;0),2000,0)-IF(AND($U24=1,'calcA'!F$117=1,DE24=0),2000,0))),1000000000))</f>
        <v/>
      </c>
      <c r="OI24">
        <f>IF($B24=0,1000000000,IF(INDEX('calcA'!$D$60:$EQ$99,$B24,4)*IF($W24=1,DE24+ZT24,DE24)=1,IF(AND($E24=2,IF($W24=1,AFI24,IT24)=0),1000000000,IF($V24=1,INDEX('calcA'!$D$130:$EQ$169,$B24,4)+IF(AND($E24=1,IT24=0),25,0),IF($F24&gt;0,INDEX('calcA'!G$110:G$114,$F24+1)+IF(AND($E24=1,IT24=0),1000,0),MIN(TU24,20)*400+(IF('calcA'!F$106=1,1-DD24,0)+IF('calcA'!G$106=1,1-DF24,0))*150+41+'calcA'!G$5*100000+IF(AND($E24=1,IT24=0),50000,0))+IF($H24=1,INDEX('calcA'!$D$180:$EQ$219,$B24,4)*4000,0)-IF(AND('calcA'!F$117=1,UD24&gt;0),2000,0)-IF(AND($U24=1,'calcA'!G$117=1,DF24=0),2000,0))),1000000000))</f>
        <v/>
      </c>
      <c r="OJ24">
        <f>IF($B24=0,1000000000,IF(INDEX('calcA'!$D$60:$EQ$99,$B24,5)*IF($W24=1,DF24+ZU24,DF24)=1,IF(AND($E24=2,IF($W24=1,AFJ24,IU24)=0),1000000000,IF($V24=1,INDEX('calcA'!$D$130:$EQ$169,$B24,5)+IF(AND($E24=1,IU24=0),25,0),IF($F24&gt;0,INDEX('calcA'!H$110:H$114,$F24+1)+IF(AND($E24=1,IU24=0),1000,0),MIN(TU24,20)*400+(IF('calcA'!G$106=1,1-DE24,0)+IF('calcA'!H$106=1,1-DG24,0))*150+51+'calcA'!H$5*100000+IF(AND($E24=1,IU24=0),50000,0))+IF($H24=1,INDEX('calcA'!$D$180:$EQ$219,$B24,5)*4000,0)-IF(AND('calcA'!G$117=1,UE24&gt;0),2000,0)-IF(AND($U24=1,'calcA'!H$117=1,DG24=0),2000,0))),1000000000))</f>
        <v/>
      </c>
      <c r="OK24">
        <f>IF($B24=0,1000000000,IF(INDEX('calcA'!$D$60:$EQ$99,$B24,6)*IF($W24=1,DG24+ZV24,DG24)=1,IF(AND($E24=2,IF($W24=1,AFK24,IV24)=0),1000000000,IF($V24=1,INDEX('calcA'!$D$130:$EQ$169,$B24,6)+IF(AND($E24=1,IV24=0),25,0),IF($F24&gt;0,INDEX('calcA'!I$110:I$114,$F24+1)+IF(AND($E24=1,IV24=0),1000,0),MIN(TU24,20)*400+(IF('calcA'!H$106=1,1-DF24,0)+IF('calcA'!I$106=1,1-DH24,0))*150+61+'calcA'!I$5*100000+IF(AND($E24=1,IV24=0),50000,0))+IF($H24=1,INDEX('calcA'!$D$180:$EQ$219,$B24,6)*4000,0)-IF(AND('calcA'!H$117=1,UF24&gt;0),2000,0)-IF(AND($U24=1,'calcA'!I$117=1,DH24=0),2000,0))),1000000000))</f>
        <v/>
      </c>
      <c r="OL24">
        <f>IF($B24=0,1000000000,IF(INDEX('calcA'!$D$60:$EQ$99,$B24,7)*IF($W24=1,DH24+ZW24,DH24)=1,IF(AND($E24=2,IF($W24=1,AFL24,IW24)=0),1000000000,IF($V24=1,INDEX('calcA'!$D$130:$EQ$169,$B24,7)+IF(AND($E24=1,IW24=0),25,0),IF($F24&gt;0,INDEX('calcA'!J$110:J$114,$F24+1)+IF(AND($E24=1,IW24=0),1000,0),MIN(TU24,20)*400+(IF('calcA'!I$106=1,1-DG24,0)+IF('calcA'!J$106=1,1-DI24,0))*150+71+'calcA'!J$5*100000+IF(AND($E24=1,IW24=0),50000,0))+IF($H24=1,INDEX('calcA'!$D$180:$EQ$219,$B24,7)*4000,0)-IF(AND('calcA'!I$117=1,UG24&gt;0),2000,0)-IF(AND($U24=1,'calcA'!J$117=1,DI24=0),2000,0))),1000000000))</f>
        <v/>
      </c>
      <c r="OM24">
        <f>IF($B24=0,1000000000,IF(INDEX('calcA'!$D$60:$EQ$99,$B24,8)*IF($W24=1,DI24+ZX24,DI24)=1,IF(AND($E24=2,IF($W24=1,AFM24,IX24)=0),1000000000,IF($V24=1,INDEX('calcA'!$D$130:$EQ$169,$B24,8)+IF(AND($E24=1,IX24=0),25,0),IF($F24&gt;0,INDEX('calcA'!K$110:K$114,$F24+1)+IF(AND($E24=1,IX24=0),1000,0),MIN(TU24,20)*400+(IF('calcA'!J$106=1,1-DH24,0)+IF('calcA'!K$106=1,1-DJ24,0))*150+81+'calcA'!K$5*100000+IF(AND($E24=1,IX24=0),50000,0))+IF($H24=1,INDEX('calcA'!$D$180:$EQ$219,$B24,8)*4000,0)-IF(AND('calcA'!J$117=1,UH24&gt;0),2000,0)-IF(AND($U24=1,'calcA'!K$117=1,DJ24=0),2000,0))),1000000000))</f>
        <v/>
      </c>
      <c r="ON24">
        <f>IF($B24=0,1000000000,IF(INDEX('calcA'!$D$60:$EQ$99,$B24,9)*IF($W24=1,DJ24+ZY24,DJ24)=1,IF(AND($E24=2,IF($W24=1,AFN24,IY24)=0),1000000000,IF($V24=1,INDEX('calcA'!$D$130:$EQ$169,$B24,9)+IF(AND($E24=1,IY24=0),25,0),IF($F24&gt;0,INDEX('calcA'!L$110:L$114,$F24+1)+IF(AND($E24=1,IY24=0),1000,0),MIN(TU24,20)*400+(IF('calcA'!K$106=1,1-DI24,0)+IF('calcA'!L$106=1,1-DK24,0))*150+91+'calcA'!L$5*100000+IF(AND($E24=1,IY24=0),50000,0))+IF($H24=1,INDEX('calcA'!$D$180:$EQ$219,$B24,9)*4000,0)-IF(AND('calcA'!K$117=1,UI24&gt;0),2000,0)-IF(AND($U24=1,'calcA'!L$117=1,DK24=0),2000,0))),1000000000))</f>
        <v/>
      </c>
      <c r="OO24">
        <f>IF($B24=0,1000000000,IF(INDEX('calcA'!$D$60:$EQ$99,$B24,10)*IF($W24=1,DK24+ZZ24,DK24)=1,IF(AND($E24=2,IF($W24=1,AFO24,IZ24)=0),1000000000,IF($V24=1,INDEX('calcA'!$D$130:$EQ$169,$B24,10)+IF(AND($E24=1,IZ24=0),25,0),IF($F24&gt;0,INDEX('calcA'!M$110:M$114,$F24+1)+IF(AND($E24=1,IZ24=0),1000,0),MIN(TU24,20)*400+(IF('calcA'!L$106=1,1-DJ24,0)+IF('calcA'!M$106=1,1-DL24,0))*150+101+'calcA'!M$5*100000+IF(AND($E24=1,IZ24=0),50000,0))+IF($H24=1,INDEX('calcA'!$D$180:$EQ$219,$B24,10)*4000,0)-IF(AND('calcA'!L$117=1,UJ24&gt;0),2000,0)-IF(AND($U24=1,'calcA'!M$117=1,DL24=0),2000,0))),1000000000))</f>
        <v/>
      </c>
      <c r="OP24">
        <f>IF($B24=0,1000000000,IF(INDEX('calcA'!$D$60:$EQ$99,$B24,11)*IF($W24=1,DL24+AAA24,DL24)=1,IF(AND($E24=2,IF($W24=1,AFP24,JA24)=0),1000000000,IF($V24=1,INDEX('calcA'!$D$130:$EQ$169,$B24,11)+IF(AND($E24=1,JA24=0),25,0),IF($F24&gt;0,INDEX('calcA'!N$110:N$114,$F24+1)+IF(AND($E24=1,JA24=0),1000,0),MIN(TU24,20)*400+(IF('calcA'!M$106=1,1-DK24,0)+IF('calcA'!N$106=1,1-DM24,0))*150+111+'calcA'!N$5*100000+IF(AND($E24=1,JA24=0),50000,0))+IF($H24=1,INDEX('calcA'!$D$180:$EQ$219,$B24,11)*4000,0)-IF(AND('calcA'!M$117=1,UK24&gt;0),2000,0)-IF(AND($U24=1,'calcA'!N$117=1,DM24=0),2000,0))),1000000000))</f>
        <v/>
      </c>
      <c r="OQ24">
        <f>IF($B24=0,1000000000,IF(INDEX('calcA'!$D$60:$EQ$99,$B24,12)*IF($W24=1,DM24+AAB24,DM24)=1,IF(AND($E24=2,IF($W24=1,AFQ24,JB24)=0),1000000000,IF($V24=1,INDEX('calcA'!$D$130:$EQ$169,$B24,12)+IF(AND($E24=1,JB24=0),25,0),IF($F24&gt;0,INDEX('calcA'!O$110:O$114,$F24+1)+IF(AND($E24=1,JB24=0),1000,0),MIN(TU24,20)*400+(IF('calcA'!N$106=1,1-DL24,0)+IF('calcA'!O$106=1,1-DN24,0))*150+121+'calcA'!O$5*100000+IF(AND($E24=1,JB24=0),50000,0))+IF($H24=1,INDEX('calcA'!$D$180:$EQ$219,$B24,12)*4000,0)-IF(AND('calcA'!N$117=1,UL24&gt;0),2000,0)-IF(AND($U24=1,'calcA'!O$117=1,DN24=0),2000,0))),1000000000))</f>
        <v/>
      </c>
      <c r="OR24">
        <f>IF($B24=0,1000000000,IF(INDEX('calcA'!$D$60:$EQ$99,$B24,13)*IF($W24=1,DN24+AAC24,DN24)=1,IF(AND($E24=2,IF($W24=1,AFR24,JC24)=0),1000000000,IF($V24=1,INDEX('calcA'!$D$130:$EQ$169,$B24,13)+IF(AND($E24=1,JC24=0),25,0),IF($F24&gt;0,INDEX('calcA'!P$110:P$114,$F24+1)+IF(AND($E24=1,JC24=0),1000,0),MIN(TU24,20)*400+(IF('calcA'!O$106=1,1-DM24,0)+IF('calcA'!P$106=1,1-DO24,0))*150+131+'calcA'!P$5*100000+IF(AND($E24=1,JC24=0),50000,0))+IF($H24=1,INDEX('calcA'!$D$180:$EQ$219,$B24,13)*4000,0)-IF(AND('calcA'!O$117=1,UM24&gt;0),2000,0)-IF(AND($U24=1,'calcA'!P$117=1,DO24=0),2000,0))),1000000000))</f>
        <v/>
      </c>
      <c r="OS24">
        <f>IF($B24=0,1000000000,IF(INDEX('calcA'!$D$60:$EQ$99,$B24,14)*IF($W24=1,DO24+AAD24,DO24)=1,IF(AND($E24=2,IF($W24=1,AFS24,JD24)=0),1000000000,IF($V24=1,INDEX('calcA'!$D$130:$EQ$169,$B24,14)+IF(AND($E24=1,JD24=0),25,0),IF($F24&gt;0,INDEX('calcA'!Q$110:Q$114,$F24+1)+IF(AND($E24=1,JD24=0),1000,0),MIN(TU24,20)*400+(IF('calcA'!P$106=1,1-DN24,0)+IF('calcA'!Q$106=1,1-DP24,0))*150+141+'calcA'!Q$5*100000+IF(AND($E24=1,JD24=0),50000,0))+IF($H24=1,INDEX('calcA'!$D$180:$EQ$219,$B24,14)*4000,0)-IF(AND('calcA'!P$117=1,UN24&gt;0),2000,0)-IF(AND($U24=1,'calcA'!Q$117=1,DP24=0),2000,0))),1000000000))</f>
        <v/>
      </c>
      <c r="OT24">
        <f>IF($B24=0,1000000000,IF(INDEX('calcA'!$D$60:$EQ$99,$B24,15)*IF($W24=1,DP24+AAE24,DP24)=1,IF(AND($E24=2,IF($W24=1,AFT24,JE24)=0),1000000000,IF($V24=1,INDEX('calcA'!$D$130:$EQ$169,$B24,15)+IF(AND($E24=1,JE24=0),25,0),IF($F24&gt;0,INDEX('calcA'!R$110:R$114,$F24+1)+IF(AND($E24=1,JE24=0),1000,0),MIN(TU24,20)*400+(IF('calcA'!Q$106=1,1-DO24,0)+IF('calcA'!R$106=1,1-DQ24,0))*150+151+'calcA'!R$5*100000+IF(AND($E24=1,JE24=0),50000,0))+IF($H24=1,INDEX('calcA'!$D$180:$EQ$219,$B24,15)*4000,0)-IF(AND('calcA'!Q$117=1,UO24&gt;0),2000,0)-IF(AND($U24=1,'calcA'!R$117=1,DQ24=0),2000,0))),1000000000))</f>
        <v/>
      </c>
      <c r="OU24">
        <f>IF($B24=0,1000000000,IF(INDEX('calcA'!$D$60:$EQ$99,$B24,16)*IF($W24=1,DQ24+AAF24,DQ24)=1,IF(AND($E24=2,IF($W24=1,AFU24,JF24)=0),1000000000,IF($V24=1,INDEX('calcA'!$D$130:$EQ$169,$B24,16)+IF(AND($E24=1,JF24=0),25,0),IF($F24&gt;0,INDEX('calcA'!S$110:S$114,$F24+1)+IF(AND($E24=1,JF24=0),1000,0),MIN(TU24,20)*400+(IF('calcA'!R$106=1,1-DP24,0)+IF('calcA'!S$106=1,1-DR24,0))*150+161+'calcA'!S$5*100000+IF(AND($E24=1,JF24=0),50000,0))+IF($H24=1,INDEX('calcA'!$D$180:$EQ$219,$B24,16)*4000,0)-IF(AND('calcA'!R$117=1,UP24&gt;0),2000,0)-IF(AND($U24=1,'calcA'!S$117=1,DR24=0),2000,0))),1000000000))</f>
        <v/>
      </c>
      <c r="OV24">
        <f>IF($B24=0,1000000000,IF(INDEX('calcA'!$D$60:$EQ$99,$B24,17)*IF($W24=1,DR24+AAG24,DR24)=1,IF(AND($E24=2,IF($W24=1,AFV24,JG24)=0),1000000000,IF($V24=1,INDEX('calcA'!$D$130:$EQ$169,$B24,17)+IF(AND($E24=1,JG24=0),25,0),IF($F24&gt;0,INDEX('calcA'!T$110:T$114,$F24+1)+IF(AND($E24=1,JG24=0),1000,0),MIN(TU24,20)*400+(IF('calcA'!S$106=1,1-DQ24,0)+IF('calcA'!T$106=1,1-DS24,0))*150+171+'calcA'!T$5*100000+IF(AND($E24=1,JG24=0),50000,0))+IF($H24=1,INDEX('calcA'!$D$180:$EQ$219,$B24,17)*4000,0)-IF(AND('calcA'!S$117=1,UQ24&gt;0),2000,0)-IF(AND($U24=1,'calcA'!T$117=1,DS24=0),2000,0))),1000000000))</f>
        <v/>
      </c>
      <c r="OW24">
        <f>IF($B24=0,1000000000,IF(INDEX('calcA'!$D$60:$EQ$99,$B24,18)*IF($W24=1,DS24+AAH24,DS24)=1,IF(AND($E24=2,IF($W24=1,AFW24,JH24)=0),1000000000,IF($V24=1,INDEX('calcA'!$D$130:$EQ$169,$B24,18)+IF(AND($E24=1,JH24=0),25,0),IF($F24&gt;0,INDEX('calcA'!U$110:U$114,$F24+1)+IF(AND($E24=1,JH24=0),1000,0),MIN(TU24,20)*400+(IF('calcA'!T$106=1,1-DR24,0)+IF('calcA'!U$106=1,1-DT24,0))*150+181+'calcA'!U$5*100000+IF(AND($E24=1,JH24=0),50000,0))+IF($H24=1,INDEX('calcA'!$D$180:$EQ$219,$B24,18)*4000,0)-IF(AND('calcA'!T$117=1,UR24&gt;0),2000,0)-IF(AND($U24=1,'calcA'!U$117=1,DT24=0),2000,0))),1000000000))</f>
        <v/>
      </c>
      <c r="OX24">
        <f>IF($B24=0,1000000000,IF(INDEX('calcA'!$D$60:$EQ$99,$B24,19)*IF($W24=1,DT24+AAI24,DT24)=1,IF(AND($E24=2,IF($W24=1,AFX24,JI24)=0),1000000000,IF($V24=1,INDEX('calcA'!$D$130:$EQ$169,$B24,19)+IF(AND($E24=1,JI24=0),25,0),IF($F24&gt;0,INDEX('calcA'!V$110:V$114,$F24+1)+IF(AND($E24=1,JI24=0),1000,0),MIN(TU24,20)*400+(IF('calcA'!U$106=1,1-DS24,0)+IF('calcA'!V$106=1,1-DU24,0))*150+191+'calcA'!V$5*100000+IF(AND($E24=1,JI24=0),50000,0))+IF($H24=1,INDEX('calcA'!$D$180:$EQ$219,$B24,19)*4000,0)-IF(AND('calcA'!U$117=1,US24&gt;0),2000,0)-IF(AND($U24=1,'calcA'!V$117=1,DU24=0),2000,0))),1000000000))</f>
        <v/>
      </c>
      <c r="OY24">
        <f>IF($B24=0,1000000000,IF(INDEX('calcA'!$D$60:$EQ$99,$B24,20)*IF($W24=1,DU24+AAJ24,DU24)=1,IF(AND($E24=2,IF($W24=1,AFY24,JJ24)=0),1000000000,IF($V24=1,INDEX('calcA'!$D$130:$EQ$169,$B24,20)+IF(AND($E24=1,JJ24=0),25,0),IF($F24&gt;0,INDEX('calcA'!W$110:W$114,$F24+1)+IF(AND($E24=1,JJ24=0),1000,0),MIN(TU24,20)*400+(IF('calcA'!V$106=1,1-DT24,0)+IF('calcA'!W$106=1,1-DV24,0))*150+201+'calcA'!W$5*100000+IF(AND($E24=1,JJ24=0),50000,0))+IF($H24=1,INDEX('calcA'!$D$180:$EQ$219,$B24,20)*4000,0)-IF(AND('calcA'!V$117=1,UT24&gt;0),2000,0)-IF(AND($U24=1,'calcA'!W$117=1,DV24=0),2000,0))),1000000000))</f>
        <v/>
      </c>
      <c r="OZ24">
        <f>IF($B24=0,1000000000,IF(INDEX('calcA'!$D$60:$EQ$99,$B24,21)*IF($W24=1,DV24+AAK24,DV24)=1,IF(AND($E24=2,IF($W24=1,AFZ24,JK24)=0),1000000000,IF($V24=1,INDEX('calcA'!$D$130:$EQ$169,$B24,21)+IF(AND($E24=1,JK24=0),25,0),IF($F24&gt;0,INDEX('calcA'!X$110:X$114,$F24+1)+IF(AND($E24=1,JK24=0),1000,0),MIN(TU24,20)*400+(IF('calcA'!W$106=1,1-DU24,0)+IF('calcA'!X$106=1,1-DW24,0))*150+211+'calcA'!X$5*100000+IF(AND($E24=1,JK24=0),50000,0))+IF($H24=1,INDEX('calcA'!$D$180:$EQ$219,$B24,21)*4000,0)-IF(AND('calcA'!W$117=1,UU24&gt;0),2000,0)-IF(AND($U24=1,'calcA'!X$117=1,DW24=0),2000,0))),1000000000))</f>
        <v/>
      </c>
      <c r="PA24">
        <f>IF($B24=0,1000000000,IF(INDEX('calcA'!$D$60:$EQ$99,$B24,22)*IF($W24=1,DW24+AAL24,DW24)=1,IF(AND($E24=2,IF($W24=1,AGA24,JL24)=0),1000000000,IF($V24=1,INDEX('calcA'!$D$130:$EQ$169,$B24,22)+IF(AND($E24=1,JL24=0),25,0),IF($F24&gt;0,INDEX('calcA'!Y$110:Y$114,$F24+1)+IF(AND($E24=1,JL24=0),1000,0),MIN(TU24,20)*400+(IF('calcA'!X$106=1,1-DV24,0)+IF('calcA'!Y$106=1,1-DX24,0))*150+221+'calcA'!Y$5*100000+IF(AND($E24=1,JL24=0),50000,0))+IF($H24=1,INDEX('calcA'!$D$180:$EQ$219,$B24,22)*4000,0)-IF(AND('calcA'!X$117=1,UV24&gt;0),2000,0)-IF(AND($U24=1,'calcA'!Y$117=1,DX24=0),2000,0))),1000000000))</f>
        <v/>
      </c>
      <c r="PB24">
        <f>IF($B24=0,1000000000,IF(INDEX('calcA'!$D$60:$EQ$99,$B24,23)*IF($W24=1,DX24+AAM24,DX24)=1,IF(AND($E24=2,IF($W24=1,AGB24,JM24)=0),1000000000,IF($V24=1,INDEX('calcA'!$D$130:$EQ$169,$B24,23)+IF(AND($E24=1,JM24=0),25,0),IF($F24&gt;0,INDEX('calcA'!Z$110:Z$114,$F24+1)+IF(AND($E24=1,JM24=0),1000,0),MIN(TU24,20)*400+(IF('calcA'!Y$106=1,1-DW24,0)+IF('calcA'!Z$106=1,1-DY24,0))*150+231+'calcA'!Z$5*100000+IF(AND($E24=1,JM24=0),50000,0))+IF($H24=1,INDEX('calcA'!$D$180:$EQ$219,$B24,23)*4000,0)-IF(AND('calcA'!Y$117=1,UW24&gt;0),2000,0)-IF(AND($U24=1,'calcA'!Z$117=1,DY24=0),2000,0))),1000000000))</f>
        <v/>
      </c>
      <c r="PC24">
        <f>IF($B24=0,1000000000,IF(INDEX('calcA'!$D$60:$EQ$99,$B24,24)*IF($W24=1,DY24+AAN24,DY24)=1,IF(AND($E24=2,IF($W24=1,AGC24,JN24)=0),1000000000,IF($V24=1,INDEX('calcA'!$D$130:$EQ$169,$B24,24)+IF(AND($E24=1,JN24=0),25,0),IF($F24&gt;0,INDEX('calcA'!AA$110:AA$114,$F24+1)+IF(AND($E24=1,JN24=0),1000,0),MIN(TU24,20)*400+(IF('calcA'!Z$106=1,1-DX24,0))*150+241+'calcA'!AA$5*100000+IF(AND($E24=1,JN24=0),50000,0))+IF($H24=1,INDEX('calcA'!$D$180:$EQ$219,$B24,24)*4000,0)-IF(AND('calcA'!Z$117=1,UX24&gt;0),2000,0))),1000000000))</f>
        <v/>
      </c>
      <c r="PD24">
        <f>IF($B24=0,1000000000,IF(INDEX('calcA'!$D$60:$EQ$99,$B24,25)*IF($W24=1,DZ24+AAO24,DZ24)=1,IF(AND($E24=2,IF($W24=1,AGD24,JO24)=0),1000000000,IF($V24=1,INDEX('calcA'!$D$130:$EQ$169,$B24,25)+IF(AND($E24=1,JO24=0),25,0),IF($F24&gt;0,INDEX('calcA'!AB$110:AB$114,$F24+1)+IF(AND($E24=1,JO24=0),1000,0),MIN(TV24,20)*400+(IF('calcA'!AB$106=1,1-EA24,0))*150+12+'calcA'!AB$5*100000+IF(AND($E24=1,JO24=0),50000,0))+IF($H24=1,INDEX('calcA'!$D$180:$EQ$219,$B24,25)*4000,0)-IF(AND($U24=1,'calcA'!AB$117=1,EA24=0),2000,0))),1000000000))</f>
        <v/>
      </c>
      <c r="PE24">
        <f>IF($B24=0,1000000000,IF(INDEX('calcA'!$D$60:$EQ$99,$B24,26)*IF($W24=1,EA24+AAP24,EA24)=1,IF(AND($E24=2,IF($W24=1,AGE24,JP24)=0),1000000000,IF($V24=1,INDEX('calcA'!$D$130:$EQ$169,$B24,26)+IF(AND($E24=1,JP24=0),25,0),IF($F24&gt;0,INDEX('calcA'!AC$110:AC$114,$F24+1)+IF(AND($E24=1,JP24=0),1000,0),MIN(TV24,20)*400+(IF('calcA'!AB$106=1,1-DZ24,0)+IF('calcA'!AC$106=1,1-EB24,0))*150+22+'calcA'!AC$5*100000+IF(AND($E24=1,JP24=0),50000,0))+IF($H24=1,INDEX('calcA'!$D$180:$EQ$219,$B24,26)*4000,0)-IF(AND('calcA'!AB$117=1,UZ24&gt;0),2000,0)-IF(AND($U24=1,'calcA'!AC$117=1,EB24=0),2000,0))),1000000000))</f>
        <v/>
      </c>
      <c r="PF24">
        <f>IF($B24=0,1000000000,IF(INDEX('calcA'!$D$60:$EQ$99,$B24,27)*IF($W24=1,EB24+AAQ24,EB24)=1,IF(AND($E24=2,IF($W24=1,AGF24,JQ24)=0),1000000000,IF($V24=1,INDEX('calcA'!$D$130:$EQ$169,$B24,27)+IF(AND($E24=1,JQ24=0),25,0),IF($F24&gt;0,INDEX('calcA'!AD$110:AD$114,$F24+1)+IF(AND($E24=1,JQ24=0),1000,0),MIN(TV24,20)*400+(IF('calcA'!AC$106=1,1-EA24,0)+IF('calcA'!AD$106=1,1-EC24,0))*150+32+'calcA'!AD$5*100000+IF(AND($E24=1,JQ24=0),50000,0))+IF($H24=1,INDEX('calcA'!$D$180:$EQ$219,$B24,27)*4000,0)-IF(AND('calcA'!AC$117=1,VA24&gt;0),2000,0)-IF(AND($U24=1,'calcA'!AD$117=1,EC24=0),2000,0))),1000000000))</f>
        <v/>
      </c>
      <c r="PG24">
        <f>IF($B24=0,1000000000,IF(INDEX('calcA'!$D$60:$EQ$99,$B24,28)*IF($W24=1,EC24+AAR24,EC24)=1,IF(AND($E24=2,IF($W24=1,AGG24,JR24)=0),1000000000,IF($V24=1,INDEX('calcA'!$D$130:$EQ$169,$B24,28)+IF(AND($E24=1,JR24=0),25,0),IF($F24&gt;0,INDEX('calcA'!AE$110:AE$114,$F24+1)+IF(AND($E24=1,JR24=0),1000,0),MIN(TV24,20)*400+(IF('calcA'!AD$106=1,1-EB24,0)+IF('calcA'!AE$106=1,1-ED24,0))*150+42+'calcA'!AE$5*100000+IF(AND($E24=1,JR24=0),50000,0))+IF($H24=1,INDEX('calcA'!$D$180:$EQ$219,$B24,28)*4000,0)-IF(AND('calcA'!AD$117=1,VB24&gt;0),2000,0)-IF(AND($U24=1,'calcA'!AE$117=1,ED24=0),2000,0))),1000000000))</f>
        <v/>
      </c>
      <c r="PH24">
        <f>IF($B24=0,1000000000,IF(INDEX('calcA'!$D$60:$EQ$99,$B24,29)*IF($W24=1,ED24+AAS24,ED24)=1,IF(AND($E24=2,IF($W24=1,AGH24,JS24)=0),1000000000,IF($V24=1,INDEX('calcA'!$D$130:$EQ$169,$B24,29)+IF(AND($E24=1,JS24=0),25,0),IF($F24&gt;0,INDEX('calcA'!AF$110:AF$114,$F24+1)+IF(AND($E24=1,JS24=0),1000,0),MIN(TV24,20)*400+(IF('calcA'!AE$106=1,1-EC24,0)+IF('calcA'!AF$106=1,1-EE24,0))*150+52+'calcA'!AF$5*100000+IF(AND($E24=1,JS24=0),50000,0))+IF($H24=1,INDEX('calcA'!$D$180:$EQ$219,$B24,29)*4000,0)-IF(AND('calcA'!AE$117=1,VC24&gt;0),2000,0)-IF(AND($U24=1,'calcA'!AF$117=1,EE24=0),2000,0))),1000000000))</f>
        <v/>
      </c>
      <c r="PI24">
        <f>IF($B24=0,1000000000,IF(INDEX('calcA'!$D$60:$EQ$99,$B24,30)*IF($W24=1,EE24+AAT24,EE24)=1,IF(AND($E24=2,IF($W24=1,AGI24,JT24)=0),1000000000,IF($V24=1,INDEX('calcA'!$D$130:$EQ$169,$B24,30)+IF(AND($E24=1,JT24=0),25,0),IF($F24&gt;0,INDEX('calcA'!AG$110:AG$114,$F24+1)+IF(AND($E24=1,JT24=0),1000,0),MIN(TV24,20)*400+(IF('calcA'!AF$106=1,1-ED24,0)+IF('calcA'!AG$106=1,1-EF24,0))*150+62+'calcA'!AG$5*100000+IF(AND($E24=1,JT24=0),50000,0))+IF($H24=1,INDEX('calcA'!$D$180:$EQ$219,$B24,30)*4000,0)-IF(AND('calcA'!AF$117=1,VD24&gt;0),2000,0)-IF(AND($U24=1,'calcA'!AG$117=1,EF24=0),2000,0))),1000000000))</f>
        <v/>
      </c>
      <c r="PJ24">
        <f>IF($B24=0,1000000000,IF(INDEX('calcA'!$D$60:$EQ$99,$B24,31)*IF($W24=1,EF24+AAU24,EF24)=1,IF(AND($E24=2,IF($W24=1,AGJ24,JU24)=0),1000000000,IF($V24=1,INDEX('calcA'!$D$130:$EQ$169,$B24,31)+IF(AND($E24=1,JU24=0),25,0),IF($F24&gt;0,INDEX('calcA'!AH$110:AH$114,$F24+1)+IF(AND($E24=1,JU24=0),1000,0),MIN(TV24,20)*400+(IF('calcA'!AG$106=1,1-EE24,0)+IF('calcA'!AH$106=1,1-EG24,0))*150+72+'calcA'!AH$5*100000+IF(AND($E24=1,JU24=0),50000,0))+IF($H24=1,INDEX('calcA'!$D$180:$EQ$219,$B24,31)*4000,0)-IF(AND('calcA'!AG$117=1,VE24&gt;0),2000,0)-IF(AND($U24=1,'calcA'!AH$117=1,EG24=0),2000,0))),1000000000))</f>
        <v/>
      </c>
      <c r="PK24">
        <f>IF($B24=0,1000000000,IF(INDEX('calcA'!$D$60:$EQ$99,$B24,32)*IF($W24=1,EG24+AAV24,EG24)=1,IF(AND($E24=2,IF($W24=1,AGK24,JV24)=0),1000000000,IF($V24=1,INDEX('calcA'!$D$130:$EQ$169,$B24,32)+IF(AND($E24=1,JV24=0),25,0),IF($F24&gt;0,INDEX('calcA'!AI$110:AI$114,$F24+1)+IF(AND($E24=1,JV24=0),1000,0),MIN(TV24,20)*400+(IF('calcA'!AH$106=1,1-EF24,0)+IF('calcA'!AI$106=1,1-EH24,0))*150+82+'calcA'!AI$5*100000+IF(AND($E24=1,JV24=0),50000,0))+IF($H24=1,INDEX('calcA'!$D$180:$EQ$219,$B24,32)*4000,0)-IF(AND('calcA'!AH$117=1,VF24&gt;0),2000,0)-IF(AND($U24=1,'calcA'!AI$117=1,EH24=0),2000,0))),1000000000))</f>
        <v/>
      </c>
      <c r="PL24">
        <f>IF($B24=0,1000000000,IF(INDEX('calcA'!$D$60:$EQ$99,$B24,33)*IF($W24=1,EH24+AAW24,EH24)=1,IF(AND($E24=2,IF($W24=1,AGL24,JW24)=0),1000000000,IF($V24=1,INDEX('calcA'!$D$130:$EQ$169,$B24,33)+IF(AND($E24=1,JW24=0),25,0),IF($F24&gt;0,INDEX('calcA'!AJ$110:AJ$114,$F24+1)+IF(AND($E24=1,JW24=0),1000,0),MIN(TV24,20)*400+(IF('calcA'!AI$106=1,1-EG24,0)+IF('calcA'!AJ$106=1,1-EI24,0))*150+92+'calcA'!AJ$5*100000+IF(AND($E24=1,JW24=0),50000,0))+IF($H24=1,INDEX('calcA'!$D$180:$EQ$219,$B24,33)*4000,0)-IF(AND('calcA'!AI$117=1,VG24&gt;0),2000,0)-IF(AND($U24=1,'calcA'!AJ$117=1,EI24=0),2000,0))),1000000000))</f>
        <v/>
      </c>
      <c r="PM24">
        <f>IF($B24=0,1000000000,IF(INDEX('calcA'!$D$60:$EQ$99,$B24,34)*IF($W24=1,EI24+AAX24,EI24)=1,IF(AND($E24=2,IF($W24=1,AGM24,JX24)=0),1000000000,IF($V24=1,INDEX('calcA'!$D$130:$EQ$169,$B24,34)+IF(AND($E24=1,JX24=0),25,0),IF($F24&gt;0,INDEX('calcA'!AK$110:AK$114,$F24+1)+IF(AND($E24=1,JX24=0),1000,0),MIN(TV24,20)*400+(IF('calcA'!AJ$106=1,1-EH24,0)+IF('calcA'!AK$106=1,1-EJ24,0))*150+102+'calcA'!AK$5*100000+IF(AND($E24=1,JX24=0),50000,0))+IF($H24=1,INDEX('calcA'!$D$180:$EQ$219,$B24,34)*4000,0)-IF(AND('calcA'!AJ$117=1,VH24&gt;0),2000,0)-IF(AND($U24=1,'calcA'!AK$117=1,EJ24=0),2000,0))),1000000000))</f>
        <v/>
      </c>
      <c r="PN24">
        <f>IF($B24=0,1000000000,IF(INDEX('calcA'!$D$60:$EQ$99,$B24,35)*IF($W24=1,EJ24+AAY24,EJ24)=1,IF(AND($E24=2,IF($W24=1,AGN24,JY24)=0),1000000000,IF($V24=1,INDEX('calcA'!$D$130:$EQ$169,$B24,35)+IF(AND($E24=1,JY24=0),25,0),IF($F24&gt;0,INDEX('calcA'!AL$110:AL$114,$F24+1)+IF(AND($E24=1,JY24=0),1000,0),MIN(TV24,20)*400+(IF('calcA'!AK$106=1,1-EI24,0)+IF('calcA'!AL$106=1,1-EK24,0))*150+112+'calcA'!AL$5*100000+IF(AND($E24=1,JY24=0),50000,0))+IF($H24=1,INDEX('calcA'!$D$180:$EQ$219,$B24,35)*4000,0)-IF(AND('calcA'!AK$117=1,VI24&gt;0),2000,0)-IF(AND($U24=1,'calcA'!AL$117=1,EK24=0),2000,0))),1000000000))</f>
        <v/>
      </c>
      <c r="PO24">
        <f>IF($B24=0,1000000000,IF(INDEX('calcA'!$D$60:$EQ$99,$B24,36)*IF($W24=1,EK24+AAZ24,EK24)=1,IF(AND($E24=2,IF($W24=1,AGO24,JZ24)=0),1000000000,IF($V24=1,INDEX('calcA'!$D$130:$EQ$169,$B24,36)+IF(AND($E24=1,JZ24=0),25,0),IF($F24&gt;0,INDEX('calcA'!AM$110:AM$114,$F24+1)+IF(AND($E24=1,JZ24=0),1000,0),MIN(TV24,20)*400+(IF('calcA'!AL$106=1,1-EJ24,0)+IF('calcA'!AM$106=1,1-EL24,0))*150+122+'calcA'!AM$5*100000+IF(AND($E24=1,JZ24=0),50000,0))+IF($H24=1,INDEX('calcA'!$D$180:$EQ$219,$B24,36)*4000,0)-IF(AND('calcA'!AL$117=1,VJ24&gt;0),2000,0)-IF(AND($U24=1,'calcA'!AM$117=1,EL24=0),2000,0))),1000000000))</f>
        <v/>
      </c>
      <c r="PP24">
        <f>IF($B24=0,1000000000,IF(INDEX('calcA'!$D$60:$EQ$99,$B24,37)*IF($W24=1,EL24+ABA24,EL24)=1,IF(AND($E24=2,IF($W24=1,AGP24,KA24)=0),1000000000,IF($V24=1,INDEX('calcA'!$D$130:$EQ$169,$B24,37)+IF(AND($E24=1,KA24=0),25,0),IF($F24&gt;0,INDEX('calcA'!AN$110:AN$114,$F24+1)+IF(AND($E24=1,KA24=0),1000,0),MIN(TV24,20)*400+(IF('calcA'!AM$106=1,1-EK24,0)+IF('calcA'!AN$106=1,1-EM24,0))*150+132+'calcA'!AN$5*100000+IF(AND($E24=1,KA24=0),50000,0))+IF($H24=1,INDEX('calcA'!$D$180:$EQ$219,$B24,37)*4000,0)-IF(AND('calcA'!AM$117=1,VK24&gt;0),2000,0)-IF(AND($U24=1,'calcA'!AN$117=1,EM24=0),2000,0))),1000000000))</f>
        <v/>
      </c>
      <c r="PQ24">
        <f>IF($B24=0,1000000000,IF(INDEX('calcA'!$D$60:$EQ$99,$B24,38)*IF($W24=1,EM24+ABB24,EM24)=1,IF(AND($E24=2,IF($W24=1,AGQ24,KB24)=0),1000000000,IF($V24=1,INDEX('calcA'!$D$130:$EQ$169,$B24,38)+IF(AND($E24=1,KB24=0),25,0),IF($F24&gt;0,INDEX('calcA'!AO$110:AO$114,$F24+1)+IF(AND($E24=1,KB24=0),1000,0),MIN(TV24,20)*400+(IF('calcA'!AN$106=1,1-EL24,0)+IF('calcA'!AO$106=1,1-EN24,0))*150+142+'calcA'!AO$5*100000+IF(AND($E24=1,KB24=0),50000,0))+IF($H24=1,INDEX('calcA'!$D$180:$EQ$219,$B24,38)*4000,0)-IF(AND('calcA'!AN$117=1,VL24&gt;0),2000,0)-IF(AND($U24=1,'calcA'!AO$117=1,EN24=0),2000,0))),1000000000))</f>
        <v/>
      </c>
      <c r="PR24">
        <f>IF($B24=0,1000000000,IF(INDEX('calcA'!$D$60:$EQ$99,$B24,39)*IF($W24=1,EN24+ABC24,EN24)=1,IF(AND($E24=2,IF($W24=1,AGR24,KC24)=0),1000000000,IF($V24=1,INDEX('calcA'!$D$130:$EQ$169,$B24,39)+IF(AND($E24=1,KC24=0),25,0),IF($F24&gt;0,INDEX('calcA'!AP$110:AP$114,$F24+1)+IF(AND($E24=1,KC24=0),1000,0),MIN(TV24,20)*400+(IF('calcA'!AO$106=1,1-EM24,0)+IF('calcA'!AP$106=1,1-EO24,0))*150+152+'calcA'!AP$5*100000+IF(AND($E24=1,KC24=0),50000,0))+IF($H24=1,INDEX('calcA'!$D$180:$EQ$219,$B24,39)*4000,0)-IF(AND('calcA'!AO$117=1,VM24&gt;0),2000,0)-IF(AND($U24=1,'calcA'!AP$117=1,EO24=0),2000,0))),1000000000))</f>
        <v/>
      </c>
      <c r="PS24">
        <f>IF($B24=0,1000000000,IF(INDEX('calcA'!$D$60:$EQ$99,$B24,40)*IF($W24=1,EO24+ABD24,EO24)=1,IF(AND($E24=2,IF($W24=1,AGS24,KD24)=0),1000000000,IF($V24=1,INDEX('calcA'!$D$130:$EQ$169,$B24,40)+IF(AND($E24=1,KD24=0),25,0),IF($F24&gt;0,INDEX('calcA'!AQ$110:AQ$114,$F24+1)+IF(AND($E24=1,KD24=0),1000,0),MIN(TV24,20)*400+(IF('calcA'!AP$106=1,1-EN24,0)+IF('calcA'!AQ$106=1,1-EP24,0))*150+162+'calcA'!AQ$5*100000+IF(AND($E24=1,KD24=0),50000,0))+IF($H24=1,INDEX('calcA'!$D$180:$EQ$219,$B24,40)*4000,0)-IF(AND('calcA'!AP$117=1,VN24&gt;0),2000,0)-IF(AND($U24=1,'calcA'!AQ$117=1,EP24=0),2000,0))),1000000000))</f>
        <v/>
      </c>
      <c r="PT24">
        <f>IF($B24=0,1000000000,IF(INDEX('calcA'!$D$60:$EQ$99,$B24,41)*IF($W24=1,EP24+ABE24,EP24)=1,IF(AND($E24=2,IF($W24=1,AGT24,KE24)=0),1000000000,IF($V24=1,INDEX('calcA'!$D$130:$EQ$169,$B24,41)+IF(AND($E24=1,KE24=0),25,0),IF($F24&gt;0,INDEX('calcA'!AR$110:AR$114,$F24+1)+IF(AND($E24=1,KE24=0),1000,0),MIN(TV24,20)*400+(IF('calcA'!AQ$106=1,1-EO24,0)+IF('calcA'!AR$106=1,1-EQ24,0))*150+172+'calcA'!AR$5*100000+IF(AND($E24=1,KE24=0),50000,0))+IF($H24=1,INDEX('calcA'!$D$180:$EQ$219,$B24,41)*4000,0)-IF(AND('calcA'!AQ$117=1,VO24&gt;0),2000,0)-IF(AND($U24=1,'calcA'!AR$117=1,EQ24=0),2000,0))),1000000000))</f>
        <v/>
      </c>
      <c r="PU24">
        <f>IF($B24=0,1000000000,IF(INDEX('calcA'!$D$60:$EQ$99,$B24,42)*IF($W24=1,EQ24+ABF24,EQ24)=1,IF(AND($E24=2,IF($W24=1,AGU24,KF24)=0),1000000000,IF($V24=1,INDEX('calcA'!$D$130:$EQ$169,$B24,42)+IF(AND($E24=1,KF24=0),25,0),IF($F24&gt;0,INDEX('calcA'!AS$110:AS$114,$F24+1)+IF(AND($E24=1,KF24=0),1000,0),MIN(TV24,20)*400+(IF('calcA'!AR$106=1,1-EP24,0)+IF('calcA'!AS$106=1,1-ER24,0))*150+182+'calcA'!AS$5*100000+IF(AND($E24=1,KF24=0),50000,0))+IF($H24=1,INDEX('calcA'!$D$180:$EQ$219,$B24,42)*4000,0)-IF(AND('calcA'!AR$117=1,VP24&gt;0),2000,0)-IF(AND($U24=1,'calcA'!AS$117=1,ER24=0),2000,0))),1000000000))</f>
        <v/>
      </c>
      <c r="PV24">
        <f>IF($B24=0,1000000000,IF(INDEX('calcA'!$D$60:$EQ$99,$B24,43)*IF($W24=1,ER24+ABG24,ER24)=1,IF(AND($E24=2,IF($W24=1,AGV24,KG24)=0),1000000000,IF($V24=1,INDEX('calcA'!$D$130:$EQ$169,$B24,43)+IF(AND($E24=1,KG24=0),25,0),IF($F24&gt;0,INDEX('calcA'!AT$110:AT$114,$F24+1)+IF(AND($E24=1,KG24=0),1000,0),MIN(TV24,20)*400+(IF('calcA'!AS$106=1,1-EQ24,0)+IF('calcA'!AT$106=1,1-ES24,0))*150+192+'calcA'!AT$5*100000+IF(AND($E24=1,KG24=0),50000,0))+IF($H24=1,INDEX('calcA'!$D$180:$EQ$219,$B24,43)*4000,0)-IF(AND('calcA'!AS$117=1,VQ24&gt;0),2000,0)-IF(AND($U24=1,'calcA'!AT$117=1,ES24=0),2000,0))),1000000000))</f>
        <v/>
      </c>
      <c r="PW24">
        <f>IF($B24=0,1000000000,IF(INDEX('calcA'!$D$60:$EQ$99,$B24,44)*IF($W24=1,ES24+ABH24,ES24)=1,IF(AND($E24=2,IF($W24=1,AGW24,KH24)=0),1000000000,IF($V24=1,INDEX('calcA'!$D$130:$EQ$169,$B24,44)+IF(AND($E24=1,KH24=0),25,0),IF($F24&gt;0,INDEX('calcA'!AU$110:AU$114,$F24+1)+IF(AND($E24=1,KH24=0),1000,0),MIN(TV24,20)*400+(IF('calcA'!AT$106=1,1-ER24,0)+IF('calcA'!AU$106=1,1-ET24,0))*150+202+'calcA'!AU$5*100000+IF(AND($E24=1,KH24=0),50000,0))+IF($H24=1,INDEX('calcA'!$D$180:$EQ$219,$B24,44)*4000,0)-IF(AND('calcA'!AT$117=1,VR24&gt;0),2000,0)-IF(AND($U24=1,'calcA'!AU$117=1,ET24=0),2000,0))),1000000000))</f>
        <v/>
      </c>
      <c r="PX24">
        <f>IF($B24=0,1000000000,IF(INDEX('calcA'!$D$60:$EQ$99,$B24,45)*IF($W24=1,ET24+ABI24,ET24)=1,IF(AND($E24=2,IF($W24=1,AGX24,KI24)=0),1000000000,IF($V24=1,INDEX('calcA'!$D$130:$EQ$169,$B24,45)+IF(AND($E24=1,KI24=0),25,0),IF($F24&gt;0,INDEX('calcA'!AV$110:AV$114,$F24+1)+IF(AND($E24=1,KI24=0),1000,0),MIN(TV24,20)*400+(IF('calcA'!AU$106=1,1-ES24,0)+IF('calcA'!AV$106=1,1-EU24,0))*150+212+'calcA'!AV$5*100000+IF(AND($E24=1,KI24=0),50000,0))+IF($H24=1,INDEX('calcA'!$D$180:$EQ$219,$B24,45)*4000,0)-IF(AND('calcA'!AU$117=1,VS24&gt;0),2000,0)-IF(AND($U24=1,'calcA'!AV$117=1,EU24=0),2000,0))),1000000000))</f>
        <v/>
      </c>
      <c r="PY24">
        <f>IF($B24=0,1000000000,IF(INDEX('calcA'!$D$60:$EQ$99,$B24,46)*IF($W24=1,EU24+ABJ24,EU24)=1,IF(AND($E24=2,IF($W24=1,AGY24,KJ24)=0),1000000000,IF($V24=1,INDEX('calcA'!$D$130:$EQ$169,$B24,46)+IF(AND($E24=1,KJ24=0),25,0),IF($F24&gt;0,INDEX('calcA'!AW$110:AW$114,$F24+1)+IF(AND($E24=1,KJ24=0),1000,0),MIN(TV24,20)*400+(IF('calcA'!AV$106=1,1-ET24,0)+IF('calcA'!AW$106=1,1-EV24,0))*150+222+'calcA'!AW$5*100000+IF(AND($E24=1,KJ24=0),50000,0))+IF($H24=1,INDEX('calcA'!$D$180:$EQ$219,$B24,46)*4000,0)-IF(AND('calcA'!AV$117=1,VT24&gt;0),2000,0)-IF(AND($U24=1,'calcA'!AW$117=1,EV24=0),2000,0))),1000000000))</f>
        <v/>
      </c>
      <c r="PZ24">
        <f>IF($B24=0,1000000000,IF(INDEX('calcA'!$D$60:$EQ$99,$B24,47)*IF($W24=1,EV24+ABK24,EV24)=1,IF(AND($E24=2,IF($W24=1,AGZ24,KK24)=0),1000000000,IF($V24=1,INDEX('calcA'!$D$130:$EQ$169,$B24,47)+IF(AND($E24=1,KK24=0),25,0),IF($F24&gt;0,INDEX('calcA'!AX$110:AX$114,$F24+1)+IF(AND($E24=1,KK24=0),1000,0),MIN(TV24,20)*400+(IF('calcA'!AW$106=1,1-EU24,0)+IF('calcA'!AX$106=1,1-EW24,0))*150+232+'calcA'!AX$5*100000+IF(AND($E24=1,KK24=0),50000,0))+IF($H24=1,INDEX('calcA'!$D$180:$EQ$219,$B24,47)*4000,0)-IF(AND('calcA'!AW$117=1,VU24&gt;0),2000,0)-IF(AND($U24=1,'calcA'!AX$117=1,EW24=0),2000,0))),1000000000))</f>
        <v/>
      </c>
      <c r="QA24">
        <f>IF($B24=0,1000000000,IF(INDEX('calcA'!$D$60:$EQ$99,$B24,48)*IF($W24=1,EW24+ABL24,EW24)=1,IF(AND($E24=2,IF($W24=1,AHA24,KL24)=0),1000000000,IF($V24=1,INDEX('calcA'!$D$130:$EQ$169,$B24,48)+IF(AND($E24=1,KL24=0),25,0),IF($F24&gt;0,INDEX('calcA'!AY$110:AY$114,$F24+1)+IF(AND($E24=1,KL24=0),1000,0),MIN(TV24,20)*400+(IF('calcA'!AX$106=1,1-EV24,0))*150+242+'calcA'!AY$5*100000+IF(AND($E24=1,KL24=0),50000,0))+IF($H24=1,INDEX('calcA'!$D$180:$EQ$219,$B24,48)*4000,0)-IF(AND('calcA'!AX$117=1,VV24&gt;0),2000,0))),1000000000))</f>
        <v/>
      </c>
      <c r="QB24">
        <f>IF($B24=0,1000000000,IF(INDEX('calcA'!$D$60:$EQ$99,$B24,49)*IF($W24=1,EX24+ABM24,EX24)=1,IF(AND($E24=2,IF($W24=1,AHB24,KM24)=0),1000000000,IF($V24=1,INDEX('calcA'!$D$130:$EQ$169,$B24,49)+IF(AND($E24=1,KM24=0),25,0),IF($F24&gt;0,INDEX('calcA'!AZ$110:AZ$114,$F24+1)+IF(AND($E24=1,KM24=0),1000,0),MIN(TW24,20)*400+(IF('calcA'!AZ$106=1,1-EY24,0))*150+13+'calcA'!AZ$5*100000+IF(AND($E24=1,KM24=0),50000,0))+IF($H24=1,INDEX('calcA'!$D$180:$EQ$219,$B24,49)*4000,0)-IF(AND($U24=1,'calcA'!AZ$117=1,EY24=0),2000,0))),1000000000))</f>
        <v/>
      </c>
      <c r="QC24">
        <f>IF($B24=0,1000000000,IF(INDEX('calcA'!$D$60:$EQ$99,$B24,50)*IF($W24=1,EY24+ABN24,EY24)=1,IF(AND($E24=2,IF($W24=1,AHC24,KN24)=0),1000000000,IF($V24=1,INDEX('calcA'!$D$130:$EQ$169,$B24,50)+IF(AND($E24=1,KN24=0),25,0),IF($F24&gt;0,INDEX('calcA'!BA$110:BA$114,$F24+1)+IF(AND($E24=1,KN24=0),1000,0),MIN(TW24,20)*400+(IF('calcA'!AZ$106=1,1-EX24,0)+IF('calcA'!BA$106=1,1-EZ24,0))*150+23+'calcA'!BA$5*100000+IF(AND($E24=1,KN24=0),50000,0))+IF($H24=1,INDEX('calcA'!$D$180:$EQ$219,$B24,50)*4000,0)-IF(AND('calcA'!AZ$117=1,VX24&gt;0),2000,0)-IF(AND($U24=1,'calcA'!BA$117=1,EZ24=0),2000,0))),1000000000))</f>
        <v/>
      </c>
      <c r="QD24">
        <f>IF($B24=0,1000000000,IF(INDEX('calcA'!$D$60:$EQ$99,$B24,51)*IF($W24=1,EZ24+ABO24,EZ24)=1,IF(AND($E24=2,IF($W24=1,AHD24,KO24)=0),1000000000,IF($V24=1,INDEX('calcA'!$D$130:$EQ$169,$B24,51)+IF(AND($E24=1,KO24=0),25,0),IF($F24&gt;0,INDEX('calcA'!BB$110:BB$114,$F24+1)+IF(AND($E24=1,KO24=0),1000,0),MIN(TW24,20)*400+(IF('calcA'!BA$106=1,1-EY24,0)+IF('calcA'!BB$106=1,1-FA24,0))*150+33+'calcA'!BB$5*100000+IF(AND($E24=1,KO24=0),50000,0))+IF($H24=1,INDEX('calcA'!$D$180:$EQ$219,$B24,51)*4000,0)-IF(AND('calcA'!BA$117=1,VY24&gt;0),2000,0)-IF(AND($U24=1,'calcA'!BB$117=1,FA24=0),2000,0))),1000000000))</f>
        <v/>
      </c>
      <c r="QE24">
        <f>IF($B24=0,1000000000,IF(INDEX('calcA'!$D$60:$EQ$99,$B24,52)*IF($W24=1,FA24+ABP24,FA24)=1,IF(AND($E24=2,IF($W24=1,AHE24,KP24)=0),1000000000,IF($V24=1,INDEX('calcA'!$D$130:$EQ$169,$B24,52)+IF(AND($E24=1,KP24=0),25,0),IF($F24&gt;0,INDEX('calcA'!BC$110:BC$114,$F24+1)+IF(AND($E24=1,KP24=0),1000,0),MIN(TW24,20)*400+(IF('calcA'!BB$106=1,1-EZ24,0)+IF('calcA'!BC$106=1,1-FB24,0))*150+43+'calcA'!BC$5*100000+IF(AND($E24=1,KP24=0),50000,0))+IF($H24=1,INDEX('calcA'!$D$180:$EQ$219,$B24,52)*4000,0)-IF(AND('calcA'!BB$117=1,VZ24&gt;0),2000,0)-IF(AND($U24=1,'calcA'!BC$117=1,FB24=0),2000,0))),1000000000))</f>
        <v/>
      </c>
      <c r="QF24">
        <f>IF($B24=0,1000000000,IF(INDEX('calcA'!$D$60:$EQ$99,$B24,53)*IF($W24=1,FB24+ABQ24,FB24)=1,IF(AND($E24=2,IF($W24=1,AHF24,KQ24)=0),1000000000,IF($V24=1,INDEX('calcA'!$D$130:$EQ$169,$B24,53)+IF(AND($E24=1,KQ24=0),25,0),IF($F24&gt;0,INDEX('calcA'!BD$110:BD$114,$F24+1)+IF(AND($E24=1,KQ24=0),1000,0),MIN(TW24,20)*400+(IF('calcA'!BC$106=1,1-FA24,0)+IF('calcA'!BD$106=1,1-FC24,0))*150+53+'calcA'!BD$5*100000+IF(AND($E24=1,KQ24=0),50000,0))+IF($H24=1,INDEX('calcA'!$D$180:$EQ$219,$B24,53)*4000,0)-IF(AND('calcA'!BC$117=1,WA24&gt;0),2000,0)-IF(AND($U24=1,'calcA'!BD$117=1,FC24=0),2000,0))),1000000000))</f>
        <v/>
      </c>
      <c r="QG24">
        <f>IF($B24=0,1000000000,IF(INDEX('calcA'!$D$60:$EQ$99,$B24,54)*IF($W24=1,FC24+ABR24,FC24)=1,IF(AND($E24=2,IF($W24=1,AHG24,KR24)=0),1000000000,IF($V24=1,INDEX('calcA'!$D$130:$EQ$169,$B24,54)+IF(AND($E24=1,KR24=0),25,0),IF($F24&gt;0,INDEX('calcA'!BE$110:BE$114,$F24+1)+IF(AND($E24=1,KR24=0),1000,0),MIN(TW24,20)*400+(IF('calcA'!BD$106=1,1-FB24,0)+IF('calcA'!BE$106=1,1-FD24,0))*150+63+'calcA'!BE$5*100000+IF(AND($E24=1,KR24=0),50000,0))+IF($H24=1,INDEX('calcA'!$D$180:$EQ$219,$B24,54)*4000,0)-IF(AND('calcA'!BD$117=1,WB24&gt;0),2000,0)-IF(AND($U24=1,'calcA'!BE$117=1,FD24=0),2000,0))),1000000000))</f>
        <v/>
      </c>
      <c r="QH24">
        <f>IF($B24=0,1000000000,IF(INDEX('calcA'!$D$60:$EQ$99,$B24,55)*IF($W24=1,FD24+ABS24,FD24)=1,IF(AND($E24=2,IF($W24=1,AHH24,KS24)=0),1000000000,IF($V24=1,INDEX('calcA'!$D$130:$EQ$169,$B24,55)+IF(AND($E24=1,KS24=0),25,0),IF($F24&gt;0,INDEX('calcA'!BF$110:BF$114,$F24+1)+IF(AND($E24=1,KS24=0),1000,0),MIN(TW24,20)*400+(IF('calcA'!BE$106=1,1-FC24,0)+IF('calcA'!BF$106=1,1-FE24,0))*150+73+'calcA'!BF$5*100000+IF(AND($E24=1,KS24=0),50000,0))+IF($H24=1,INDEX('calcA'!$D$180:$EQ$219,$B24,55)*4000,0)-IF(AND('calcA'!BE$117=1,WC24&gt;0),2000,0)-IF(AND($U24=1,'calcA'!BF$117=1,FE24=0),2000,0))),1000000000))</f>
        <v/>
      </c>
      <c r="QI24">
        <f>IF($B24=0,1000000000,IF(INDEX('calcA'!$D$60:$EQ$99,$B24,56)*IF($W24=1,FE24+ABT24,FE24)=1,IF(AND($E24=2,IF($W24=1,AHI24,KT24)=0),1000000000,IF($V24=1,INDEX('calcA'!$D$130:$EQ$169,$B24,56)+IF(AND($E24=1,KT24=0),25,0),IF($F24&gt;0,INDEX('calcA'!BG$110:BG$114,$F24+1)+IF(AND($E24=1,KT24=0),1000,0),MIN(TW24,20)*400+(IF('calcA'!BF$106=1,1-FD24,0)+IF('calcA'!BG$106=1,1-FF24,0))*150+83+'calcA'!BG$5*100000+IF(AND($E24=1,KT24=0),50000,0))+IF($H24=1,INDEX('calcA'!$D$180:$EQ$219,$B24,56)*4000,0)-IF(AND('calcA'!BF$117=1,WD24&gt;0),2000,0)-IF(AND($U24=1,'calcA'!BG$117=1,FF24=0),2000,0))),1000000000))</f>
        <v/>
      </c>
      <c r="QJ24">
        <f>IF($B24=0,1000000000,IF(INDEX('calcA'!$D$60:$EQ$99,$B24,57)*IF($W24=1,FF24+ABU24,FF24)=1,IF(AND($E24=2,IF($W24=1,AHJ24,KU24)=0),1000000000,IF($V24=1,INDEX('calcA'!$D$130:$EQ$169,$B24,57)+IF(AND($E24=1,KU24=0),25,0),IF($F24&gt;0,INDEX('calcA'!BH$110:BH$114,$F24+1)+IF(AND($E24=1,KU24=0),1000,0),MIN(TW24,20)*400+(IF('calcA'!BG$106=1,1-FE24,0)+IF('calcA'!BH$106=1,1-FG24,0))*150+93+'calcA'!BH$5*100000+IF(AND($E24=1,KU24=0),50000,0))+IF($H24=1,INDEX('calcA'!$D$180:$EQ$219,$B24,57)*4000,0)-IF(AND('calcA'!BG$117=1,WE24&gt;0),2000,0)-IF(AND($U24=1,'calcA'!BH$117=1,FG24=0),2000,0))),1000000000))</f>
        <v/>
      </c>
      <c r="QK24">
        <f>IF($B24=0,1000000000,IF(INDEX('calcA'!$D$60:$EQ$99,$B24,58)*IF($W24=1,FG24+ABV24,FG24)=1,IF(AND($E24=2,IF($W24=1,AHK24,KV24)=0),1000000000,IF($V24=1,INDEX('calcA'!$D$130:$EQ$169,$B24,58)+IF(AND($E24=1,KV24=0),25,0),IF($F24&gt;0,INDEX('calcA'!BI$110:BI$114,$F24+1)+IF(AND($E24=1,KV24=0),1000,0),MIN(TW24,20)*400+(IF('calcA'!BH$106=1,1-FF24,0)+IF('calcA'!BI$106=1,1-FH24,0))*150+103+'calcA'!BI$5*100000+IF(AND($E24=1,KV24=0),50000,0))+IF($H24=1,INDEX('calcA'!$D$180:$EQ$219,$B24,58)*4000,0)-IF(AND('calcA'!BH$117=1,WF24&gt;0),2000,0)-IF(AND($U24=1,'calcA'!BI$117=1,FH24=0),2000,0))),1000000000))</f>
        <v/>
      </c>
      <c r="QL24">
        <f>IF($B24=0,1000000000,IF(INDEX('calcA'!$D$60:$EQ$99,$B24,59)*IF($W24=1,FH24+ABW24,FH24)=1,IF(AND($E24=2,IF($W24=1,AHL24,KW24)=0),1000000000,IF($V24=1,INDEX('calcA'!$D$130:$EQ$169,$B24,59)+IF(AND($E24=1,KW24=0),25,0),IF($F24&gt;0,INDEX('calcA'!BJ$110:BJ$114,$F24+1)+IF(AND($E24=1,KW24=0),1000,0),MIN(TW24,20)*400+(IF('calcA'!BI$106=1,1-FG24,0)+IF('calcA'!BJ$106=1,1-FI24,0))*150+113+'calcA'!BJ$5*100000+IF(AND($E24=1,KW24=0),50000,0))+IF($H24=1,INDEX('calcA'!$D$180:$EQ$219,$B24,59)*4000,0)-IF(AND('calcA'!BI$117=1,WG24&gt;0),2000,0)-IF(AND($U24=1,'calcA'!BJ$117=1,FI24=0),2000,0))),1000000000))</f>
        <v/>
      </c>
      <c r="QM24">
        <f>IF($B24=0,1000000000,IF(INDEX('calcA'!$D$60:$EQ$99,$B24,60)*IF($W24=1,FI24+ABX24,FI24)=1,IF(AND($E24=2,IF($W24=1,AHM24,KX24)=0),1000000000,IF($V24=1,INDEX('calcA'!$D$130:$EQ$169,$B24,60)+IF(AND($E24=1,KX24=0),25,0),IF($F24&gt;0,INDEX('calcA'!BK$110:BK$114,$F24+1)+IF(AND($E24=1,KX24=0),1000,0),MIN(TW24,20)*400+(IF('calcA'!BJ$106=1,1-FH24,0)+IF('calcA'!BK$106=1,1-FJ24,0))*150+123+'calcA'!BK$5*100000+IF(AND($E24=1,KX24=0),50000,0))+IF($H24=1,INDEX('calcA'!$D$180:$EQ$219,$B24,60)*4000,0)-IF(AND('calcA'!BJ$117=1,WH24&gt;0),2000,0)-IF(AND($U24=1,'calcA'!BK$117=1,FJ24=0),2000,0))),1000000000))</f>
        <v/>
      </c>
      <c r="QN24">
        <f>IF($B24=0,1000000000,IF(INDEX('calcA'!$D$60:$EQ$99,$B24,61)*IF($W24=1,FJ24+ABY24,FJ24)=1,IF(AND($E24=2,IF($W24=1,AHN24,KY24)=0),1000000000,IF($V24=1,INDEX('calcA'!$D$130:$EQ$169,$B24,61)+IF(AND($E24=1,KY24=0),25,0),IF($F24&gt;0,INDEX('calcA'!BL$110:BL$114,$F24+1)+IF(AND($E24=1,KY24=0),1000,0),MIN(TW24,20)*400+(IF('calcA'!BK$106=1,1-FI24,0)+IF('calcA'!BL$106=1,1-FK24,0))*150+133+'calcA'!BL$5*100000+IF(AND($E24=1,KY24=0),50000,0))+IF($H24=1,INDEX('calcA'!$D$180:$EQ$219,$B24,61)*4000,0)-IF(AND('calcA'!BK$117=1,WI24&gt;0),2000,0)-IF(AND($U24=1,'calcA'!BL$117=1,FK24=0),2000,0))),1000000000))</f>
        <v/>
      </c>
      <c r="QO24">
        <f>IF($B24=0,1000000000,IF(INDEX('calcA'!$D$60:$EQ$99,$B24,62)*IF($W24=1,FK24+ABZ24,FK24)=1,IF(AND($E24=2,IF($W24=1,AHO24,KZ24)=0),1000000000,IF($V24=1,INDEX('calcA'!$D$130:$EQ$169,$B24,62)+IF(AND($E24=1,KZ24=0),25,0),IF($F24&gt;0,INDEX('calcA'!BM$110:BM$114,$F24+1)+IF(AND($E24=1,KZ24=0),1000,0),MIN(TW24,20)*400+(IF('calcA'!BL$106=1,1-FJ24,0)+IF('calcA'!BM$106=1,1-FL24,0))*150+143+'calcA'!BM$5*100000+IF(AND($E24=1,KZ24=0),50000,0))+IF($H24=1,INDEX('calcA'!$D$180:$EQ$219,$B24,62)*4000,0)-IF(AND('calcA'!BL$117=1,WJ24&gt;0),2000,0)-IF(AND($U24=1,'calcA'!BM$117=1,FL24=0),2000,0))),1000000000))</f>
        <v/>
      </c>
      <c r="QP24">
        <f>IF($B24=0,1000000000,IF(INDEX('calcA'!$D$60:$EQ$99,$B24,63)*IF($W24=1,FL24+ACA24,FL24)=1,IF(AND($E24=2,IF($W24=1,AHP24,LA24)=0),1000000000,IF($V24=1,INDEX('calcA'!$D$130:$EQ$169,$B24,63)+IF(AND($E24=1,LA24=0),25,0),IF($F24&gt;0,INDEX('calcA'!BN$110:BN$114,$F24+1)+IF(AND($E24=1,LA24=0),1000,0),MIN(TW24,20)*400+(IF('calcA'!BM$106=1,1-FK24,0)+IF('calcA'!BN$106=1,1-FM24,0))*150+153+'calcA'!BN$5*100000+IF(AND($E24=1,LA24=0),50000,0))+IF($H24=1,INDEX('calcA'!$D$180:$EQ$219,$B24,63)*4000,0)-IF(AND('calcA'!BM$117=1,WK24&gt;0),2000,0)-IF(AND($U24=1,'calcA'!BN$117=1,FM24=0),2000,0))),1000000000))</f>
        <v/>
      </c>
      <c r="QQ24">
        <f>IF($B24=0,1000000000,IF(INDEX('calcA'!$D$60:$EQ$99,$B24,64)*IF($W24=1,FM24+ACB24,FM24)=1,IF(AND($E24=2,IF($W24=1,AHQ24,LB24)=0),1000000000,IF($V24=1,INDEX('calcA'!$D$130:$EQ$169,$B24,64)+IF(AND($E24=1,LB24=0),25,0),IF($F24&gt;0,INDEX('calcA'!BO$110:BO$114,$F24+1)+IF(AND($E24=1,LB24=0),1000,0),MIN(TW24,20)*400+(IF('calcA'!BN$106=1,1-FL24,0)+IF('calcA'!BO$106=1,1-FN24,0))*150+163+'calcA'!BO$5*100000+IF(AND($E24=1,LB24=0),50000,0))+IF($H24=1,INDEX('calcA'!$D$180:$EQ$219,$B24,64)*4000,0)-IF(AND('calcA'!BN$117=1,WL24&gt;0),2000,0)-IF(AND($U24=1,'calcA'!BO$117=1,FN24=0),2000,0))),1000000000))</f>
        <v/>
      </c>
      <c r="QR24">
        <f>IF($B24=0,1000000000,IF(INDEX('calcA'!$D$60:$EQ$99,$B24,65)*IF($W24=1,FN24+ACC24,FN24)=1,IF(AND($E24=2,IF($W24=1,AHR24,LC24)=0),1000000000,IF($V24=1,INDEX('calcA'!$D$130:$EQ$169,$B24,65)+IF(AND($E24=1,LC24=0),25,0),IF($F24&gt;0,INDEX('calcA'!BP$110:BP$114,$F24+1)+IF(AND($E24=1,LC24=0),1000,0),MIN(TW24,20)*400+(IF('calcA'!BO$106=1,1-FM24,0)+IF('calcA'!BP$106=1,1-FO24,0))*150+173+'calcA'!BP$5*100000+IF(AND($E24=1,LC24=0),50000,0))+IF($H24=1,INDEX('calcA'!$D$180:$EQ$219,$B24,65)*4000,0)-IF(AND('calcA'!BO$117=1,WM24&gt;0),2000,0)-IF(AND($U24=1,'calcA'!BP$117=1,FO24=0),2000,0))),1000000000))</f>
        <v/>
      </c>
      <c r="QS24">
        <f>IF($B24=0,1000000000,IF(INDEX('calcA'!$D$60:$EQ$99,$B24,66)*IF($W24=1,FO24+ACD24,FO24)=1,IF(AND($E24=2,IF($W24=1,AHS24,LD24)=0),1000000000,IF($V24=1,INDEX('calcA'!$D$130:$EQ$169,$B24,66)+IF(AND($E24=1,LD24=0),25,0),IF($F24&gt;0,INDEX('calcA'!BQ$110:BQ$114,$F24+1)+IF(AND($E24=1,LD24=0),1000,0),MIN(TW24,20)*400+(IF('calcA'!BP$106=1,1-FN24,0)+IF('calcA'!BQ$106=1,1-FP24,0))*150+183+'calcA'!BQ$5*100000+IF(AND($E24=1,LD24=0),50000,0))+IF($H24=1,INDEX('calcA'!$D$180:$EQ$219,$B24,66)*4000,0)-IF(AND('calcA'!BP$117=1,WN24&gt;0),2000,0)-IF(AND($U24=1,'calcA'!BQ$117=1,FP24=0),2000,0))),1000000000))</f>
        <v/>
      </c>
      <c r="QT24">
        <f>IF($B24=0,1000000000,IF(INDEX('calcA'!$D$60:$EQ$99,$B24,67)*IF($W24=1,FP24+ACE24,FP24)=1,IF(AND($E24=2,IF($W24=1,AHT24,LE24)=0),1000000000,IF($V24=1,INDEX('calcA'!$D$130:$EQ$169,$B24,67)+IF(AND($E24=1,LE24=0),25,0),IF($F24&gt;0,INDEX('calcA'!BR$110:BR$114,$F24+1)+IF(AND($E24=1,LE24=0),1000,0),MIN(TW24,20)*400+(IF('calcA'!BQ$106=1,1-FO24,0)+IF('calcA'!BR$106=1,1-FQ24,0))*150+193+'calcA'!BR$5*100000+IF(AND($E24=1,LE24=0),50000,0))+IF($H24=1,INDEX('calcA'!$D$180:$EQ$219,$B24,67)*4000,0)-IF(AND('calcA'!BQ$117=1,WO24&gt;0),2000,0)-IF(AND($U24=1,'calcA'!BR$117=1,FQ24=0),2000,0))),1000000000))</f>
        <v/>
      </c>
      <c r="QU24">
        <f>IF($B24=0,1000000000,IF(INDEX('calcA'!$D$60:$EQ$99,$B24,68)*IF($W24=1,FQ24+ACF24,FQ24)=1,IF(AND($E24=2,IF($W24=1,AHU24,LF24)=0),1000000000,IF($V24=1,INDEX('calcA'!$D$130:$EQ$169,$B24,68)+IF(AND($E24=1,LF24=0),25,0),IF($F24&gt;0,INDEX('calcA'!BS$110:BS$114,$F24+1)+IF(AND($E24=1,LF24=0),1000,0),MIN(TW24,20)*400+(IF('calcA'!BR$106=1,1-FP24,0)+IF('calcA'!BS$106=1,1-FR24,0))*150+203+'calcA'!BS$5*100000+IF(AND($E24=1,LF24=0),50000,0))+IF($H24=1,INDEX('calcA'!$D$180:$EQ$219,$B24,68)*4000,0)-IF(AND('calcA'!BR$117=1,WP24&gt;0),2000,0)-IF(AND($U24=1,'calcA'!BS$117=1,FR24=0),2000,0))),1000000000))</f>
        <v/>
      </c>
      <c r="QV24">
        <f>IF($B24=0,1000000000,IF(INDEX('calcA'!$D$60:$EQ$99,$B24,69)*IF($W24=1,FR24+ACG24,FR24)=1,IF(AND($E24=2,IF($W24=1,AHV24,LG24)=0),1000000000,IF($V24=1,INDEX('calcA'!$D$130:$EQ$169,$B24,69)+IF(AND($E24=1,LG24=0),25,0),IF($F24&gt;0,INDEX('calcA'!BT$110:BT$114,$F24+1)+IF(AND($E24=1,LG24=0),1000,0),MIN(TW24,20)*400+(IF('calcA'!BS$106=1,1-FQ24,0)+IF('calcA'!BT$106=1,1-FS24,0))*150+213+'calcA'!BT$5*100000+IF(AND($E24=1,LG24=0),50000,0))+IF($H24=1,INDEX('calcA'!$D$180:$EQ$219,$B24,69)*4000,0)-IF(AND('calcA'!BS$117=1,WQ24&gt;0),2000,0)-IF(AND($U24=1,'calcA'!BT$117=1,FS24=0),2000,0))),1000000000))</f>
        <v/>
      </c>
      <c r="QW24">
        <f>IF($B24=0,1000000000,IF(INDEX('calcA'!$D$60:$EQ$99,$B24,70)*IF($W24=1,FS24+ACH24,FS24)=1,IF(AND($E24=2,IF($W24=1,AHW24,LH24)=0),1000000000,IF($V24=1,INDEX('calcA'!$D$130:$EQ$169,$B24,70)+IF(AND($E24=1,LH24=0),25,0),IF($F24&gt;0,INDEX('calcA'!BU$110:BU$114,$F24+1)+IF(AND($E24=1,LH24=0),1000,0),MIN(TW24,20)*400+(IF('calcA'!BT$106=1,1-FR24,0)+IF('calcA'!BU$106=1,1-FT24,0))*150+223+'calcA'!BU$5*100000+IF(AND($E24=1,LH24=0),50000,0))+IF($H24=1,INDEX('calcA'!$D$180:$EQ$219,$B24,70)*4000,0)-IF(AND('calcA'!BT$117=1,WR24&gt;0),2000,0)-IF(AND($U24=1,'calcA'!BU$117=1,FT24=0),2000,0))),1000000000))</f>
        <v/>
      </c>
      <c r="QX24">
        <f>IF($B24=0,1000000000,IF(INDEX('calcA'!$D$60:$EQ$99,$B24,71)*IF($W24=1,FT24+ACI24,FT24)=1,IF(AND($E24=2,IF($W24=1,AHX24,LI24)=0),1000000000,IF($V24=1,INDEX('calcA'!$D$130:$EQ$169,$B24,71)+IF(AND($E24=1,LI24=0),25,0),IF($F24&gt;0,INDEX('calcA'!BV$110:BV$114,$F24+1)+IF(AND($E24=1,LI24=0),1000,0),MIN(TW24,20)*400+(IF('calcA'!BU$106=1,1-FS24,0)+IF('calcA'!BV$106=1,1-FU24,0))*150+233+'calcA'!BV$5*100000+IF(AND($E24=1,LI24=0),50000,0))+IF($H24=1,INDEX('calcA'!$D$180:$EQ$219,$B24,71)*4000,0)-IF(AND('calcA'!BU$117=1,WS24&gt;0),2000,0)-IF(AND($U24=1,'calcA'!BV$117=1,FU24=0),2000,0))),1000000000))</f>
        <v/>
      </c>
      <c r="QY24">
        <f>IF($B24=0,1000000000,IF(INDEX('calcA'!$D$60:$EQ$99,$B24,72)*IF($W24=1,FU24+ACJ24,FU24)=1,IF(AND($E24=2,IF($W24=1,AHY24,LJ24)=0),1000000000,IF($V24=1,INDEX('calcA'!$D$130:$EQ$169,$B24,72)+IF(AND($E24=1,LJ24=0),25,0),IF($F24&gt;0,INDEX('calcA'!BW$110:BW$114,$F24+1)+IF(AND($E24=1,LJ24=0),1000,0),MIN(TW24,20)*400+(IF('calcA'!BV$106=1,1-FT24,0))*150+243+'calcA'!BW$5*100000+IF(AND($E24=1,LJ24=0),50000,0))+IF($H24=1,INDEX('calcA'!$D$180:$EQ$219,$B24,72)*4000,0)-IF(AND('calcA'!BV$117=1,WT24&gt;0),2000,0))),1000000000))</f>
        <v/>
      </c>
      <c r="QZ24">
        <f>IF($B24=0,1000000000,IF(INDEX('calcA'!$D$60:$EQ$99,$B24,73)*IF($W24=1,FV24+ACK24,FV24)=1,IF(AND($E24=2,IF($W24=1,AHZ24,LK24)=0),1000000000,IF($V24=1,INDEX('calcA'!$D$130:$EQ$169,$B24,73)+IF(AND($E24=1,LK24=0),25,0),IF($F24&gt;0,INDEX('calcA'!BX$110:BX$114,$F24+1)+IF(AND($E24=1,LK24=0),1000,0),MIN(TX24,20)*400+(IF('calcA'!BX$106=1,1-FW24,0))*150+14+'calcA'!BX$5*100000+IF(AND($E24=1,LK24=0),50000,0))+IF($H24=1,INDEX('calcA'!$D$180:$EQ$219,$B24,73)*4000,0)-IF(AND($U24=1,'calcA'!BX$117=1,FW24=0),2000,0))),1000000000))</f>
        <v/>
      </c>
      <c r="RA24">
        <f>IF($B24=0,1000000000,IF(INDEX('calcA'!$D$60:$EQ$99,$B24,74)*IF($W24=1,FW24+ACL24,FW24)=1,IF(AND($E24=2,IF($W24=1,AIA24,LL24)=0),1000000000,IF($V24=1,INDEX('calcA'!$D$130:$EQ$169,$B24,74)+IF(AND($E24=1,LL24=0),25,0),IF($F24&gt;0,INDEX('calcA'!BY$110:BY$114,$F24+1)+IF(AND($E24=1,LL24=0),1000,0),MIN(TX24,20)*400+(IF('calcA'!BX$106=1,1-FV24,0)+IF('calcA'!BY$106=1,1-FX24,0))*150+24+'calcA'!BY$5*100000+IF(AND($E24=1,LL24=0),50000,0))+IF($H24=1,INDEX('calcA'!$D$180:$EQ$219,$B24,74)*4000,0)-IF(AND('calcA'!BX$117=1,WV24&gt;0),2000,0)-IF(AND($U24=1,'calcA'!BY$117=1,FX24=0),2000,0))),1000000000))</f>
        <v/>
      </c>
      <c r="RB24">
        <f>IF($B24=0,1000000000,IF(INDEX('calcA'!$D$60:$EQ$99,$B24,75)*IF($W24=1,FX24+ACM24,FX24)=1,IF(AND($E24=2,IF($W24=1,AIB24,LM24)=0),1000000000,IF($V24=1,INDEX('calcA'!$D$130:$EQ$169,$B24,75)+IF(AND($E24=1,LM24=0),25,0),IF($F24&gt;0,INDEX('calcA'!BZ$110:BZ$114,$F24+1)+IF(AND($E24=1,LM24=0),1000,0),MIN(TX24,20)*400+(IF('calcA'!BY$106=1,1-FW24,0)+IF('calcA'!BZ$106=1,1-FY24,0))*150+34+'calcA'!BZ$5*100000+IF(AND($E24=1,LM24=0),50000,0))+IF($H24=1,INDEX('calcA'!$D$180:$EQ$219,$B24,75)*4000,0)-IF(AND('calcA'!BY$117=1,WW24&gt;0),2000,0)-IF(AND($U24=1,'calcA'!BZ$117=1,FY24=0),2000,0))),1000000000))</f>
        <v/>
      </c>
      <c r="RC24">
        <f>IF($B24=0,1000000000,IF(INDEX('calcA'!$D$60:$EQ$99,$B24,76)*IF($W24=1,FY24+ACN24,FY24)=1,IF(AND($E24=2,IF($W24=1,AIC24,LN24)=0),1000000000,IF($V24=1,INDEX('calcA'!$D$130:$EQ$169,$B24,76)+IF(AND($E24=1,LN24=0),25,0),IF($F24&gt;0,INDEX('calcA'!CA$110:CA$114,$F24+1)+IF(AND($E24=1,LN24=0),1000,0),MIN(TX24,20)*400+(IF('calcA'!BZ$106=1,1-FX24,0)+IF('calcA'!CA$106=1,1-FZ24,0))*150+44+'calcA'!CA$5*100000+IF(AND($E24=1,LN24=0),50000,0))+IF($H24=1,INDEX('calcA'!$D$180:$EQ$219,$B24,76)*4000,0)-IF(AND('calcA'!BZ$117=1,WX24&gt;0),2000,0)-IF(AND($U24=1,'calcA'!CA$117=1,FZ24=0),2000,0))),1000000000))</f>
        <v/>
      </c>
      <c r="RD24">
        <f>IF($B24=0,1000000000,IF(INDEX('calcA'!$D$60:$EQ$99,$B24,77)*IF($W24=1,FZ24+ACO24,FZ24)=1,IF(AND($E24=2,IF($W24=1,AID24,LO24)=0),1000000000,IF($V24=1,INDEX('calcA'!$D$130:$EQ$169,$B24,77)+IF(AND($E24=1,LO24=0),25,0),IF($F24&gt;0,INDEX('calcA'!CB$110:CB$114,$F24+1)+IF(AND($E24=1,LO24=0),1000,0),MIN(TX24,20)*400+(IF('calcA'!CA$106=1,1-FY24,0)+IF('calcA'!CB$106=1,1-GA24,0))*150+54+'calcA'!CB$5*100000+IF(AND($E24=1,LO24=0),50000,0))+IF($H24=1,INDEX('calcA'!$D$180:$EQ$219,$B24,77)*4000,0)-IF(AND('calcA'!CA$117=1,WY24&gt;0),2000,0)-IF(AND($U24=1,'calcA'!CB$117=1,GA24=0),2000,0))),1000000000))</f>
        <v/>
      </c>
      <c r="RE24">
        <f>IF($B24=0,1000000000,IF(INDEX('calcA'!$D$60:$EQ$99,$B24,78)*IF($W24=1,GA24+ACP24,GA24)=1,IF(AND($E24=2,IF($W24=1,AIE24,LP24)=0),1000000000,IF($V24=1,INDEX('calcA'!$D$130:$EQ$169,$B24,78)+IF(AND($E24=1,LP24=0),25,0),IF($F24&gt;0,INDEX('calcA'!CC$110:CC$114,$F24+1)+IF(AND($E24=1,LP24=0),1000,0),MIN(TX24,20)*400+(IF('calcA'!CB$106=1,1-FZ24,0)+IF('calcA'!CC$106=1,1-GB24,0))*150+64+'calcA'!CC$5*100000+IF(AND($E24=1,LP24=0),50000,0))+IF($H24=1,INDEX('calcA'!$D$180:$EQ$219,$B24,78)*4000,0)-IF(AND('calcA'!CB$117=1,WZ24&gt;0),2000,0)-IF(AND($U24=1,'calcA'!CC$117=1,GB24=0),2000,0))),1000000000))</f>
        <v/>
      </c>
      <c r="RF24">
        <f>IF($B24=0,1000000000,IF(INDEX('calcA'!$D$60:$EQ$99,$B24,79)*IF($W24=1,GB24+ACQ24,GB24)=1,IF(AND($E24=2,IF($W24=1,AIF24,LQ24)=0),1000000000,IF($V24=1,INDEX('calcA'!$D$130:$EQ$169,$B24,79)+IF(AND($E24=1,LQ24=0),25,0),IF($F24&gt;0,INDEX('calcA'!CD$110:CD$114,$F24+1)+IF(AND($E24=1,LQ24=0),1000,0),MIN(TX24,20)*400+(IF('calcA'!CC$106=1,1-GA24,0)+IF('calcA'!CD$106=1,1-GC24,0))*150+74+'calcA'!CD$5*100000+IF(AND($E24=1,LQ24=0),50000,0))+IF($H24=1,INDEX('calcA'!$D$180:$EQ$219,$B24,79)*4000,0)-IF(AND('calcA'!CC$117=1,XA24&gt;0),2000,0)-IF(AND($U24=1,'calcA'!CD$117=1,GC24=0),2000,0))),1000000000))</f>
        <v/>
      </c>
      <c r="RG24">
        <f>IF($B24=0,1000000000,IF(INDEX('calcA'!$D$60:$EQ$99,$B24,80)*IF($W24=1,GC24+ACR24,GC24)=1,IF(AND($E24=2,IF($W24=1,AIG24,LR24)=0),1000000000,IF($V24=1,INDEX('calcA'!$D$130:$EQ$169,$B24,80)+IF(AND($E24=1,LR24=0),25,0),IF($F24&gt;0,INDEX('calcA'!CE$110:CE$114,$F24+1)+IF(AND($E24=1,LR24=0),1000,0),MIN(TX24,20)*400+(IF('calcA'!CD$106=1,1-GB24,0)+IF('calcA'!CE$106=1,1-GD24,0))*150+84+'calcA'!CE$5*100000+IF(AND($E24=1,LR24=0),50000,0))+IF($H24=1,INDEX('calcA'!$D$180:$EQ$219,$B24,80)*4000,0)-IF(AND('calcA'!CD$117=1,XB24&gt;0),2000,0)-IF(AND($U24=1,'calcA'!CE$117=1,GD24=0),2000,0))),1000000000))</f>
        <v/>
      </c>
      <c r="RH24">
        <f>IF($B24=0,1000000000,IF(INDEX('calcA'!$D$60:$EQ$99,$B24,81)*IF($W24=1,GD24+ACS24,GD24)=1,IF(AND($E24=2,IF($W24=1,AIH24,LS24)=0),1000000000,IF($V24=1,INDEX('calcA'!$D$130:$EQ$169,$B24,81)+IF(AND($E24=1,LS24=0),25,0),IF($F24&gt;0,INDEX('calcA'!CF$110:CF$114,$F24+1)+IF(AND($E24=1,LS24=0),1000,0),MIN(TX24,20)*400+(IF('calcA'!CE$106=1,1-GC24,0)+IF('calcA'!CF$106=1,1-GE24,0))*150+94+'calcA'!CF$5*100000+IF(AND($E24=1,LS24=0),50000,0))+IF($H24=1,INDEX('calcA'!$D$180:$EQ$219,$B24,81)*4000,0)-IF(AND('calcA'!CE$117=1,XC24&gt;0),2000,0)-IF(AND($U24=1,'calcA'!CF$117=1,GE24=0),2000,0))),1000000000))</f>
        <v/>
      </c>
      <c r="RI24">
        <f>IF($B24=0,1000000000,IF(INDEX('calcA'!$D$60:$EQ$99,$B24,82)*IF($W24=1,GE24+ACT24,GE24)=1,IF(AND($E24=2,IF($W24=1,AII24,LT24)=0),1000000000,IF($V24=1,INDEX('calcA'!$D$130:$EQ$169,$B24,82)+IF(AND($E24=1,LT24=0),25,0),IF($F24&gt;0,INDEX('calcA'!CG$110:CG$114,$F24+1)+IF(AND($E24=1,LT24=0),1000,0),MIN(TX24,20)*400+(IF('calcA'!CF$106=1,1-GD24,0)+IF('calcA'!CG$106=1,1-GF24,0))*150+104+'calcA'!CG$5*100000+IF(AND($E24=1,LT24=0),50000,0))+IF($H24=1,INDEX('calcA'!$D$180:$EQ$219,$B24,82)*4000,0)-IF(AND('calcA'!CF$117=1,XD24&gt;0),2000,0)-IF(AND($U24=1,'calcA'!CG$117=1,GF24=0),2000,0))),1000000000))</f>
        <v/>
      </c>
      <c r="RJ24">
        <f>IF($B24=0,1000000000,IF(INDEX('calcA'!$D$60:$EQ$99,$B24,83)*IF($W24=1,GF24+ACU24,GF24)=1,IF(AND($E24=2,IF($W24=1,AIJ24,LU24)=0),1000000000,IF($V24=1,INDEX('calcA'!$D$130:$EQ$169,$B24,83)+IF(AND($E24=1,LU24=0),25,0),IF($F24&gt;0,INDEX('calcA'!CH$110:CH$114,$F24+1)+IF(AND($E24=1,LU24=0),1000,0),MIN(TX24,20)*400+(IF('calcA'!CG$106=1,1-GE24,0)+IF('calcA'!CH$106=1,1-GG24,0))*150+114+'calcA'!CH$5*100000+IF(AND($E24=1,LU24=0),50000,0))+IF($H24=1,INDEX('calcA'!$D$180:$EQ$219,$B24,83)*4000,0)-IF(AND('calcA'!CG$117=1,XE24&gt;0),2000,0)-IF(AND($U24=1,'calcA'!CH$117=1,GG24=0),2000,0))),1000000000))</f>
        <v/>
      </c>
      <c r="RK24">
        <f>IF($B24=0,1000000000,IF(INDEX('calcA'!$D$60:$EQ$99,$B24,84)*IF($W24=1,GG24+ACV24,GG24)=1,IF(AND($E24=2,IF($W24=1,AIK24,LV24)=0),1000000000,IF($V24=1,INDEX('calcA'!$D$130:$EQ$169,$B24,84)+IF(AND($E24=1,LV24=0),25,0),IF($F24&gt;0,INDEX('calcA'!CI$110:CI$114,$F24+1)+IF(AND($E24=1,LV24=0),1000,0),MIN(TX24,20)*400+(IF('calcA'!CH$106=1,1-GF24,0)+IF('calcA'!CI$106=1,1-GH24,0))*150+124+'calcA'!CI$5*100000+IF(AND($E24=1,LV24=0),50000,0))+IF($H24=1,INDEX('calcA'!$D$180:$EQ$219,$B24,84)*4000,0)-IF(AND('calcA'!CH$117=1,XF24&gt;0),2000,0)-IF(AND($U24=1,'calcA'!CI$117=1,GH24=0),2000,0))),1000000000))</f>
        <v/>
      </c>
      <c r="RL24">
        <f>IF($B24=0,1000000000,IF(INDEX('calcA'!$D$60:$EQ$99,$B24,85)*IF($W24=1,GH24+ACW24,GH24)=1,IF(AND($E24=2,IF($W24=1,AIL24,LW24)=0),1000000000,IF($V24=1,INDEX('calcA'!$D$130:$EQ$169,$B24,85)+IF(AND($E24=1,LW24=0),25,0),IF($F24&gt;0,INDEX('calcA'!CJ$110:CJ$114,$F24+1)+IF(AND($E24=1,LW24=0),1000,0),MIN(TX24,20)*400+(IF('calcA'!CI$106=1,1-GG24,0)+IF('calcA'!CJ$106=1,1-GI24,0))*150+134+'calcA'!CJ$5*100000+IF(AND($E24=1,LW24=0),50000,0))+IF($H24=1,INDEX('calcA'!$D$180:$EQ$219,$B24,85)*4000,0)-IF(AND('calcA'!CI$117=1,XG24&gt;0),2000,0)-IF(AND($U24=1,'calcA'!CJ$117=1,GI24=0),2000,0))),1000000000))</f>
        <v/>
      </c>
      <c r="RM24">
        <f>IF($B24=0,1000000000,IF(INDEX('calcA'!$D$60:$EQ$99,$B24,86)*IF($W24=1,GI24+ACX24,GI24)=1,IF(AND($E24=2,IF($W24=1,AIM24,LX24)=0),1000000000,IF($V24=1,INDEX('calcA'!$D$130:$EQ$169,$B24,86)+IF(AND($E24=1,LX24=0),25,0),IF($F24&gt;0,INDEX('calcA'!CK$110:CK$114,$F24+1)+IF(AND($E24=1,LX24=0),1000,0),MIN(TX24,20)*400+(IF('calcA'!CJ$106=1,1-GH24,0)+IF('calcA'!CK$106=1,1-GJ24,0))*150+144+'calcA'!CK$5*100000+IF(AND($E24=1,LX24=0),50000,0))+IF($H24=1,INDEX('calcA'!$D$180:$EQ$219,$B24,86)*4000,0)-IF(AND('calcA'!CJ$117=1,XH24&gt;0),2000,0)-IF(AND($U24=1,'calcA'!CK$117=1,GJ24=0),2000,0))),1000000000))</f>
        <v/>
      </c>
      <c r="RN24">
        <f>IF($B24=0,1000000000,IF(INDEX('calcA'!$D$60:$EQ$99,$B24,87)*IF($W24=1,GJ24+ACY24,GJ24)=1,IF(AND($E24=2,IF($W24=1,AIN24,LY24)=0),1000000000,IF($V24=1,INDEX('calcA'!$D$130:$EQ$169,$B24,87)+IF(AND($E24=1,LY24=0),25,0),IF($F24&gt;0,INDEX('calcA'!CL$110:CL$114,$F24+1)+IF(AND($E24=1,LY24=0),1000,0),MIN(TX24,20)*400+(IF('calcA'!CK$106=1,1-GI24,0)+IF('calcA'!CL$106=1,1-GK24,0))*150+154+'calcA'!CL$5*100000+IF(AND($E24=1,LY24=0),50000,0))+IF($H24=1,INDEX('calcA'!$D$180:$EQ$219,$B24,87)*4000,0)-IF(AND('calcA'!CK$117=1,XI24&gt;0),2000,0)-IF(AND($U24=1,'calcA'!CL$117=1,GK24=0),2000,0))),1000000000))</f>
        <v/>
      </c>
      <c r="RO24">
        <f>IF($B24=0,1000000000,IF(INDEX('calcA'!$D$60:$EQ$99,$B24,88)*IF($W24=1,GK24+ACZ24,GK24)=1,IF(AND($E24=2,IF($W24=1,AIO24,LZ24)=0),1000000000,IF($V24=1,INDEX('calcA'!$D$130:$EQ$169,$B24,88)+IF(AND($E24=1,LZ24=0),25,0),IF($F24&gt;0,INDEX('calcA'!CM$110:CM$114,$F24+1)+IF(AND($E24=1,LZ24=0),1000,0),MIN(TX24,20)*400+(IF('calcA'!CL$106=1,1-GJ24,0)+IF('calcA'!CM$106=1,1-GL24,0))*150+164+'calcA'!CM$5*100000+IF(AND($E24=1,LZ24=0),50000,0))+IF($H24=1,INDEX('calcA'!$D$180:$EQ$219,$B24,88)*4000,0)-IF(AND('calcA'!CL$117=1,XJ24&gt;0),2000,0)-IF(AND($U24=1,'calcA'!CM$117=1,GL24=0),2000,0))),1000000000))</f>
        <v/>
      </c>
      <c r="RP24">
        <f>IF($B24=0,1000000000,IF(INDEX('calcA'!$D$60:$EQ$99,$B24,89)*IF($W24=1,GL24+ADA24,GL24)=1,IF(AND($E24=2,IF($W24=1,AIP24,MA24)=0),1000000000,IF($V24=1,INDEX('calcA'!$D$130:$EQ$169,$B24,89)+IF(AND($E24=1,MA24=0),25,0),IF($F24&gt;0,INDEX('calcA'!CN$110:CN$114,$F24+1)+IF(AND($E24=1,MA24=0),1000,0),MIN(TX24,20)*400+(IF('calcA'!CM$106=1,1-GK24,0)+IF('calcA'!CN$106=1,1-GM24,0))*150+174+'calcA'!CN$5*100000+IF(AND($E24=1,MA24=0),50000,0))+IF($H24=1,INDEX('calcA'!$D$180:$EQ$219,$B24,89)*4000,0)-IF(AND('calcA'!CM$117=1,XK24&gt;0),2000,0)-IF(AND($U24=1,'calcA'!CN$117=1,GM24=0),2000,0))),1000000000))</f>
        <v/>
      </c>
      <c r="RQ24">
        <f>IF($B24=0,1000000000,IF(INDEX('calcA'!$D$60:$EQ$99,$B24,90)*IF($W24=1,GM24+ADB24,GM24)=1,IF(AND($E24=2,IF($W24=1,AIQ24,MB24)=0),1000000000,IF($V24=1,INDEX('calcA'!$D$130:$EQ$169,$B24,90)+IF(AND($E24=1,MB24=0),25,0),IF($F24&gt;0,INDEX('calcA'!CO$110:CO$114,$F24+1)+IF(AND($E24=1,MB24=0),1000,0),MIN(TX24,20)*400+(IF('calcA'!CN$106=1,1-GL24,0)+IF('calcA'!CO$106=1,1-GN24,0))*150+184+'calcA'!CO$5*100000+IF(AND($E24=1,MB24=0),50000,0))+IF($H24=1,INDEX('calcA'!$D$180:$EQ$219,$B24,90)*4000,0)-IF(AND('calcA'!CN$117=1,XL24&gt;0),2000,0)-IF(AND($U24=1,'calcA'!CO$117=1,GN24=0),2000,0))),1000000000))</f>
        <v/>
      </c>
      <c r="RR24">
        <f>IF($B24=0,1000000000,IF(INDEX('calcA'!$D$60:$EQ$99,$B24,91)*IF($W24=1,GN24+ADC24,GN24)=1,IF(AND($E24=2,IF($W24=1,AIR24,MC24)=0),1000000000,IF($V24=1,INDEX('calcA'!$D$130:$EQ$169,$B24,91)+IF(AND($E24=1,MC24=0),25,0),IF($F24&gt;0,INDEX('calcA'!CP$110:CP$114,$F24+1)+IF(AND($E24=1,MC24=0),1000,0),MIN(TX24,20)*400+(IF('calcA'!CO$106=1,1-GM24,0)+IF('calcA'!CP$106=1,1-GO24,0))*150+194+'calcA'!CP$5*100000+IF(AND($E24=1,MC24=0),50000,0))+IF($H24=1,INDEX('calcA'!$D$180:$EQ$219,$B24,91)*4000,0)-IF(AND('calcA'!CO$117=1,XM24&gt;0),2000,0)-IF(AND($U24=1,'calcA'!CP$117=1,GO24=0),2000,0))),1000000000))</f>
        <v/>
      </c>
      <c r="RS24">
        <f>IF($B24=0,1000000000,IF(INDEX('calcA'!$D$60:$EQ$99,$B24,92)*IF($W24=1,GO24+ADD24,GO24)=1,IF(AND($E24=2,IF($W24=1,AIS24,MD24)=0),1000000000,IF($V24=1,INDEX('calcA'!$D$130:$EQ$169,$B24,92)+IF(AND($E24=1,MD24=0),25,0),IF($F24&gt;0,INDEX('calcA'!CQ$110:CQ$114,$F24+1)+IF(AND($E24=1,MD24=0),1000,0),MIN(TX24,20)*400+(IF('calcA'!CP$106=1,1-GN24,0)+IF('calcA'!CQ$106=1,1-GP24,0))*150+204+'calcA'!CQ$5*100000+IF(AND($E24=1,MD24=0),50000,0))+IF($H24=1,INDEX('calcA'!$D$180:$EQ$219,$B24,92)*4000,0)-IF(AND('calcA'!CP$117=1,XN24&gt;0),2000,0)-IF(AND($U24=1,'calcA'!CQ$117=1,GP24=0),2000,0))),1000000000))</f>
        <v/>
      </c>
      <c r="RT24">
        <f>IF($B24=0,1000000000,IF(INDEX('calcA'!$D$60:$EQ$99,$B24,93)*IF($W24=1,GP24+ADE24,GP24)=1,IF(AND($E24=2,IF($W24=1,AIT24,ME24)=0),1000000000,IF($V24=1,INDEX('calcA'!$D$130:$EQ$169,$B24,93)+IF(AND($E24=1,ME24=0),25,0),IF($F24&gt;0,INDEX('calcA'!CR$110:CR$114,$F24+1)+IF(AND($E24=1,ME24=0),1000,0),MIN(TX24,20)*400+(IF('calcA'!CQ$106=1,1-GO24,0)+IF('calcA'!CR$106=1,1-GQ24,0))*150+214+'calcA'!CR$5*100000+IF(AND($E24=1,ME24=0),50000,0))+IF($H24=1,INDEX('calcA'!$D$180:$EQ$219,$B24,93)*4000,0)-IF(AND('calcA'!CQ$117=1,XO24&gt;0),2000,0)-IF(AND($U24=1,'calcA'!CR$117=1,GQ24=0),2000,0))),1000000000))</f>
        <v/>
      </c>
      <c r="RU24">
        <f>IF($B24=0,1000000000,IF(INDEX('calcA'!$D$60:$EQ$99,$B24,94)*IF($W24=1,GQ24+ADF24,GQ24)=1,IF(AND($E24=2,IF($W24=1,AIU24,MF24)=0),1000000000,IF($V24=1,INDEX('calcA'!$D$130:$EQ$169,$B24,94)+IF(AND($E24=1,MF24=0),25,0),IF($F24&gt;0,INDEX('calcA'!CS$110:CS$114,$F24+1)+IF(AND($E24=1,MF24=0),1000,0),MIN(TX24,20)*400+(IF('calcA'!CR$106=1,1-GP24,0)+IF('calcA'!CS$106=1,1-GR24,0))*150+224+'calcA'!CS$5*100000+IF(AND($E24=1,MF24=0),50000,0))+IF($H24=1,INDEX('calcA'!$D$180:$EQ$219,$B24,94)*4000,0)-IF(AND('calcA'!CR$117=1,XP24&gt;0),2000,0)-IF(AND($U24=1,'calcA'!CS$117=1,GR24=0),2000,0))),1000000000))</f>
        <v/>
      </c>
      <c r="RV24">
        <f>IF($B24=0,1000000000,IF(INDEX('calcA'!$D$60:$EQ$99,$B24,95)*IF($W24=1,GR24+ADG24,GR24)=1,IF(AND($E24=2,IF($W24=1,AIV24,MG24)=0),1000000000,IF($V24=1,INDEX('calcA'!$D$130:$EQ$169,$B24,95)+IF(AND($E24=1,MG24=0),25,0),IF($F24&gt;0,INDEX('calcA'!CT$110:CT$114,$F24+1)+IF(AND($E24=1,MG24=0),1000,0),MIN(TX24,20)*400+(IF('calcA'!CS$106=1,1-GQ24,0)+IF('calcA'!CT$106=1,1-GS24,0))*150+234+'calcA'!CT$5*100000+IF(AND($E24=1,MG24=0),50000,0))+IF($H24=1,INDEX('calcA'!$D$180:$EQ$219,$B24,95)*4000,0)-IF(AND('calcA'!CS$117=1,XQ24&gt;0),2000,0)-IF(AND($U24=1,'calcA'!CT$117=1,GS24=0),2000,0))),1000000000))</f>
        <v/>
      </c>
      <c r="RW24">
        <f>IF($B24=0,1000000000,IF(INDEX('calcA'!$D$60:$EQ$99,$B24,96)*IF($W24=1,GS24+ADH24,GS24)=1,IF(AND($E24=2,IF($W24=1,AIW24,MH24)=0),1000000000,IF($V24=1,INDEX('calcA'!$D$130:$EQ$169,$B24,96)+IF(AND($E24=1,MH24=0),25,0),IF($F24&gt;0,INDEX('calcA'!CU$110:CU$114,$F24+1)+IF(AND($E24=1,MH24=0),1000,0),MIN(TX24,20)*400+(IF('calcA'!CT$106=1,1-GR24,0))*150+244+'calcA'!CU$5*100000+IF(AND($E24=1,MH24=0),50000,0))+IF($H24=1,INDEX('calcA'!$D$180:$EQ$219,$B24,96)*4000,0)-IF(AND('calcA'!CT$117=1,XR24&gt;0),2000,0))),1000000000))</f>
        <v/>
      </c>
      <c r="RX24">
        <f>IF($B24=0,1000000000,IF(INDEX('calcA'!$D$60:$EQ$99,$B24,97)*IF($W24=1,GT24+ADI24,GT24)=1,IF(AND($E24=2,IF($W24=1,AIX24,MI24)=0),1000000000,IF($V24=1,INDEX('calcA'!$D$130:$EQ$169,$B24,97)+IF(AND($E24=1,MI24=0),25,0),IF($F24&gt;0,INDEX('calcA'!CV$110:CV$114,$F24+1)+IF(AND($E24=1,MI24=0),1000,0),MIN(TY24,20)*400+(IF('calcA'!CV$106=1,1-GU24,0))*150+15+'calcA'!CV$5*100000+IF(AND($E24=1,MI24=0),50000,0))+IF($H24=1,INDEX('calcA'!$D$180:$EQ$219,$B24,97)*4000,0)-IF(AND($U24=1,'calcA'!CV$117=1,GU24=0),2000,0))),1000000000))</f>
        <v/>
      </c>
      <c r="RY24">
        <f>IF($B24=0,1000000000,IF(INDEX('calcA'!$D$60:$EQ$99,$B24,98)*IF($W24=1,GU24+ADJ24,GU24)=1,IF(AND($E24=2,IF($W24=1,AIY24,MJ24)=0),1000000000,IF($V24=1,INDEX('calcA'!$D$130:$EQ$169,$B24,98)+IF(AND($E24=1,MJ24=0),25,0),IF($F24&gt;0,INDEX('calcA'!CW$110:CW$114,$F24+1)+IF(AND($E24=1,MJ24=0),1000,0),MIN(TY24,20)*400+(IF('calcA'!CV$106=1,1-GT24,0)+IF('calcA'!CW$106=1,1-GV24,0))*150+25+'calcA'!CW$5*100000+IF(AND($E24=1,MJ24=0),50000,0))+IF($H24=1,INDEX('calcA'!$D$180:$EQ$219,$B24,98)*4000,0)-IF(AND('calcA'!CV$117=1,XT24&gt;0),2000,0)-IF(AND($U24=1,'calcA'!CW$117=1,GV24=0),2000,0))),1000000000))</f>
        <v/>
      </c>
      <c r="RZ24">
        <f>IF($B24=0,1000000000,IF(INDEX('calcA'!$D$60:$EQ$99,$B24,99)*IF($W24=1,GV24+ADK24,GV24)=1,IF(AND($E24=2,IF($W24=1,AIZ24,MK24)=0),1000000000,IF($V24=1,INDEX('calcA'!$D$130:$EQ$169,$B24,99)+IF(AND($E24=1,MK24=0),25,0),IF($F24&gt;0,INDEX('calcA'!CX$110:CX$114,$F24+1)+IF(AND($E24=1,MK24=0),1000,0),MIN(TY24,20)*400+(IF('calcA'!CW$106=1,1-GU24,0)+IF('calcA'!CX$106=1,1-GW24,0))*150+35+'calcA'!CX$5*100000+IF(AND($E24=1,MK24=0),50000,0))+IF($H24=1,INDEX('calcA'!$D$180:$EQ$219,$B24,99)*4000,0)-IF(AND('calcA'!CW$117=1,XU24&gt;0),2000,0)-IF(AND($U24=1,'calcA'!CX$117=1,GW24=0),2000,0))),1000000000))</f>
        <v/>
      </c>
      <c r="SA24">
        <f>IF($B24=0,1000000000,IF(INDEX('calcA'!$D$60:$EQ$99,$B24,100)*IF($W24=1,GW24+ADL24,GW24)=1,IF(AND($E24=2,IF($W24=1,AJA24,ML24)=0),1000000000,IF($V24=1,INDEX('calcA'!$D$130:$EQ$169,$B24,100)+IF(AND($E24=1,ML24=0),25,0),IF($F24&gt;0,INDEX('calcA'!CY$110:CY$114,$F24+1)+IF(AND($E24=1,ML24=0),1000,0),MIN(TY24,20)*400+(IF('calcA'!CX$106=1,1-GV24,0)+IF('calcA'!CY$106=1,1-GX24,0))*150+45+'calcA'!CY$5*100000+IF(AND($E24=1,ML24=0),50000,0))+IF($H24=1,INDEX('calcA'!$D$180:$EQ$219,$B24,100)*4000,0)-IF(AND('calcA'!CX$117=1,XV24&gt;0),2000,0)-IF(AND($U24=1,'calcA'!CY$117=1,GX24=0),2000,0))),1000000000))</f>
        <v/>
      </c>
      <c r="SB24">
        <f>IF($B24=0,1000000000,IF(INDEX('calcA'!$D$60:$EQ$99,$B24,101)*IF($W24=1,GX24+ADM24,GX24)=1,IF(AND($E24=2,IF($W24=1,AJB24,MM24)=0),1000000000,IF($V24=1,INDEX('calcA'!$D$130:$EQ$169,$B24,101)+IF(AND($E24=1,MM24=0),25,0),IF($F24&gt;0,INDEX('calcA'!CZ$110:CZ$114,$F24+1)+IF(AND($E24=1,MM24=0),1000,0),MIN(TY24,20)*400+(IF('calcA'!CY$106=1,1-GW24,0)+IF('calcA'!CZ$106=1,1-GY24,0))*150+55+'calcA'!CZ$5*100000+IF(AND($E24=1,MM24=0),50000,0))+IF($H24=1,INDEX('calcA'!$D$180:$EQ$219,$B24,101)*4000,0)-IF(AND('calcA'!CY$117=1,XW24&gt;0),2000,0)-IF(AND($U24=1,'calcA'!CZ$117=1,GY24=0),2000,0))),1000000000))</f>
        <v/>
      </c>
      <c r="SC24">
        <f>IF($B24=0,1000000000,IF(INDEX('calcA'!$D$60:$EQ$99,$B24,102)*IF($W24=1,GY24+ADN24,GY24)=1,IF(AND($E24=2,IF($W24=1,AJC24,MN24)=0),1000000000,IF($V24=1,INDEX('calcA'!$D$130:$EQ$169,$B24,102)+IF(AND($E24=1,MN24=0),25,0),IF($F24&gt;0,INDEX('calcA'!DA$110:DA$114,$F24+1)+IF(AND($E24=1,MN24=0),1000,0),MIN(TY24,20)*400+(IF('calcA'!CZ$106=1,1-GX24,0)+IF('calcA'!DA$106=1,1-GZ24,0))*150+65+'calcA'!DA$5*100000+IF(AND($E24=1,MN24=0),50000,0))+IF($H24=1,INDEX('calcA'!$D$180:$EQ$219,$B24,102)*4000,0)-IF(AND('calcA'!CZ$117=1,XX24&gt;0),2000,0)-IF(AND($U24=1,'calcA'!DA$117=1,GZ24=0),2000,0))),1000000000))</f>
        <v/>
      </c>
      <c r="SD24">
        <f>IF($B24=0,1000000000,IF(INDEX('calcA'!$D$60:$EQ$99,$B24,103)*IF($W24=1,GZ24+ADO24,GZ24)=1,IF(AND($E24=2,IF($W24=1,AJD24,MO24)=0),1000000000,IF($V24=1,INDEX('calcA'!$D$130:$EQ$169,$B24,103)+IF(AND($E24=1,MO24=0),25,0),IF($F24&gt;0,INDEX('calcA'!DB$110:DB$114,$F24+1)+IF(AND($E24=1,MO24=0),1000,0),MIN(TY24,20)*400+(IF('calcA'!DA$106=1,1-GY24,0)+IF('calcA'!DB$106=1,1-HA24,0))*150+75+'calcA'!DB$5*100000+IF(AND($E24=1,MO24=0),50000,0))+IF($H24=1,INDEX('calcA'!$D$180:$EQ$219,$B24,103)*4000,0)-IF(AND('calcA'!DA$117=1,XY24&gt;0),2000,0)-IF(AND($U24=1,'calcA'!DB$117=1,HA24=0),2000,0))),1000000000))</f>
        <v/>
      </c>
      <c r="SE24">
        <f>IF($B24=0,1000000000,IF(INDEX('calcA'!$D$60:$EQ$99,$B24,104)*IF($W24=1,HA24+ADP24,HA24)=1,IF(AND($E24=2,IF($W24=1,AJE24,MP24)=0),1000000000,IF($V24=1,INDEX('calcA'!$D$130:$EQ$169,$B24,104)+IF(AND($E24=1,MP24=0),25,0),IF($F24&gt;0,INDEX('calcA'!DC$110:DC$114,$F24+1)+IF(AND($E24=1,MP24=0),1000,0),MIN(TY24,20)*400+(IF('calcA'!DB$106=1,1-GZ24,0)+IF('calcA'!DC$106=1,1-HB24,0))*150+85+'calcA'!DC$5*100000+IF(AND($E24=1,MP24=0),50000,0))+IF($H24=1,INDEX('calcA'!$D$180:$EQ$219,$B24,104)*4000,0)-IF(AND('calcA'!DB$117=1,XZ24&gt;0),2000,0)-IF(AND($U24=1,'calcA'!DC$117=1,HB24=0),2000,0))),1000000000))</f>
        <v/>
      </c>
      <c r="SF24">
        <f>IF($B24=0,1000000000,IF(INDEX('calcA'!$D$60:$EQ$99,$B24,105)*IF($W24=1,HB24+ADQ24,HB24)=1,IF(AND($E24=2,IF($W24=1,AJF24,MQ24)=0),1000000000,IF($V24=1,INDEX('calcA'!$D$130:$EQ$169,$B24,105)+IF(AND($E24=1,MQ24=0),25,0),IF($F24&gt;0,INDEX('calcA'!DD$110:DD$114,$F24+1)+IF(AND($E24=1,MQ24=0),1000,0),MIN(TY24,20)*400+(IF('calcA'!DC$106=1,1-HA24,0)+IF('calcA'!DD$106=1,1-HC24,0))*150+95+'calcA'!DD$5*100000+IF(AND($E24=1,MQ24=0),50000,0))+IF($H24=1,INDEX('calcA'!$D$180:$EQ$219,$B24,105)*4000,0)-IF(AND('calcA'!DC$117=1,YA24&gt;0),2000,0)-IF(AND($U24=1,'calcA'!DD$117=1,HC24=0),2000,0))),1000000000))</f>
        <v/>
      </c>
      <c r="SG24">
        <f>IF($B24=0,1000000000,IF(INDEX('calcA'!$D$60:$EQ$99,$B24,106)*IF($W24=1,HC24+ADR24,HC24)=1,IF(AND($E24=2,IF($W24=1,AJG24,MR24)=0),1000000000,IF($V24=1,INDEX('calcA'!$D$130:$EQ$169,$B24,106)+IF(AND($E24=1,MR24=0),25,0),IF($F24&gt;0,INDEX('calcA'!DE$110:DE$114,$F24+1)+IF(AND($E24=1,MR24=0),1000,0),MIN(TY24,20)*400+(IF('calcA'!DD$106=1,1-HB24,0)+IF('calcA'!DE$106=1,1-HD24,0))*150+105+'calcA'!DE$5*100000+IF(AND($E24=1,MR24=0),50000,0))+IF($H24=1,INDEX('calcA'!$D$180:$EQ$219,$B24,106)*4000,0)-IF(AND('calcA'!DD$117=1,YB24&gt;0),2000,0)-IF(AND($U24=1,'calcA'!DE$117=1,HD24=0),2000,0))),1000000000))</f>
        <v/>
      </c>
      <c r="SH24">
        <f>IF($B24=0,1000000000,IF(INDEX('calcA'!$D$60:$EQ$99,$B24,107)*IF($W24=1,HD24+ADS24,HD24)=1,IF(AND($E24=2,IF($W24=1,AJH24,MS24)=0),1000000000,IF($V24=1,INDEX('calcA'!$D$130:$EQ$169,$B24,107)+IF(AND($E24=1,MS24=0),25,0),IF($F24&gt;0,INDEX('calcA'!DF$110:DF$114,$F24+1)+IF(AND($E24=1,MS24=0),1000,0),MIN(TY24,20)*400+(IF('calcA'!DE$106=1,1-HC24,0)+IF('calcA'!DF$106=1,1-HE24,0))*150+115+'calcA'!DF$5*100000+IF(AND($E24=1,MS24=0),50000,0))+IF($H24=1,INDEX('calcA'!$D$180:$EQ$219,$B24,107)*4000,0)-IF(AND('calcA'!DE$117=1,YC24&gt;0),2000,0)-IF(AND($U24=1,'calcA'!DF$117=1,HE24=0),2000,0))),1000000000))</f>
        <v/>
      </c>
      <c r="SI24">
        <f>IF($B24=0,1000000000,IF(INDEX('calcA'!$D$60:$EQ$99,$B24,108)*IF($W24=1,HE24+ADT24,HE24)=1,IF(AND($E24=2,IF($W24=1,AJI24,MT24)=0),1000000000,IF($V24=1,INDEX('calcA'!$D$130:$EQ$169,$B24,108)+IF(AND($E24=1,MT24=0),25,0),IF($F24&gt;0,INDEX('calcA'!DG$110:DG$114,$F24+1)+IF(AND($E24=1,MT24=0),1000,0),MIN(TY24,20)*400+(IF('calcA'!DF$106=1,1-HD24,0)+IF('calcA'!DG$106=1,1-HF24,0))*150+125+'calcA'!DG$5*100000+IF(AND($E24=1,MT24=0),50000,0))+IF($H24=1,INDEX('calcA'!$D$180:$EQ$219,$B24,108)*4000,0)-IF(AND('calcA'!DF$117=1,YD24&gt;0),2000,0)-IF(AND($U24=1,'calcA'!DG$117=1,HF24=0),2000,0))),1000000000))</f>
        <v/>
      </c>
      <c r="SJ24">
        <f>IF($B24=0,1000000000,IF(INDEX('calcA'!$D$60:$EQ$99,$B24,109)*IF($W24=1,HF24+ADU24,HF24)=1,IF(AND($E24=2,IF($W24=1,AJJ24,MU24)=0),1000000000,IF($V24=1,INDEX('calcA'!$D$130:$EQ$169,$B24,109)+IF(AND($E24=1,MU24=0),25,0),IF($F24&gt;0,INDEX('calcA'!DH$110:DH$114,$F24+1)+IF(AND($E24=1,MU24=0),1000,0),MIN(TY24,20)*400+(IF('calcA'!DG$106=1,1-HE24,0)+IF('calcA'!DH$106=1,1-HG24,0))*150+135+'calcA'!DH$5*100000+IF(AND($E24=1,MU24=0),50000,0))+IF($H24=1,INDEX('calcA'!$D$180:$EQ$219,$B24,109)*4000,0)-IF(AND('calcA'!DG$117=1,YE24&gt;0),2000,0)-IF(AND($U24=1,'calcA'!DH$117=1,HG24=0),2000,0))),1000000000))</f>
        <v/>
      </c>
      <c r="SK24">
        <f>IF($B24=0,1000000000,IF(INDEX('calcA'!$D$60:$EQ$99,$B24,110)*IF($W24=1,HG24+ADV24,HG24)=1,IF(AND($E24=2,IF($W24=1,AJK24,MV24)=0),1000000000,IF($V24=1,INDEX('calcA'!$D$130:$EQ$169,$B24,110)+IF(AND($E24=1,MV24=0),25,0),IF($F24&gt;0,INDEX('calcA'!DI$110:DI$114,$F24+1)+IF(AND($E24=1,MV24=0),1000,0),MIN(TY24,20)*400+(IF('calcA'!DH$106=1,1-HF24,0)+IF('calcA'!DI$106=1,1-HH24,0))*150+145+'calcA'!DI$5*100000+IF(AND($E24=1,MV24=0),50000,0))+IF($H24=1,INDEX('calcA'!$D$180:$EQ$219,$B24,110)*4000,0)-IF(AND('calcA'!DH$117=1,YF24&gt;0),2000,0)-IF(AND($U24=1,'calcA'!DI$117=1,HH24=0),2000,0))),1000000000))</f>
        <v/>
      </c>
      <c r="SL24">
        <f>IF($B24=0,1000000000,IF(INDEX('calcA'!$D$60:$EQ$99,$B24,111)*IF($W24=1,HH24+ADW24,HH24)=1,IF(AND($E24=2,IF($W24=1,AJL24,MW24)=0),1000000000,IF($V24=1,INDEX('calcA'!$D$130:$EQ$169,$B24,111)+IF(AND($E24=1,MW24=0),25,0),IF($F24&gt;0,INDEX('calcA'!DJ$110:DJ$114,$F24+1)+IF(AND($E24=1,MW24=0),1000,0),MIN(TY24,20)*400+(IF('calcA'!DI$106=1,1-HG24,0)+IF('calcA'!DJ$106=1,1-HI24,0))*150+155+'calcA'!DJ$5*100000+IF(AND($E24=1,MW24=0),50000,0))+IF($H24=1,INDEX('calcA'!$D$180:$EQ$219,$B24,111)*4000,0)-IF(AND('calcA'!DI$117=1,YG24&gt;0),2000,0)-IF(AND($U24=1,'calcA'!DJ$117=1,HI24=0),2000,0))),1000000000))</f>
        <v/>
      </c>
      <c r="SM24">
        <f>IF($B24=0,1000000000,IF(INDEX('calcA'!$D$60:$EQ$99,$B24,112)*IF($W24=1,HI24+ADX24,HI24)=1,IF(AND($E24=2,IF($W24=1,AJM24,MX24)=0),1000000000,IF($V24=1,INDEX('calcA'!$D$130:$EQ$169,$B24,112)+IF(AND($E24=1,MX24=0),25,0),IF($F24&gt;0,INDEX('calcA'!DK$110:DK$114,$F24+1)+IF(AND($E24=1,MX24=0),1000,0),MIN(TY24,20)*400+(IF('calcA'!DJ$106=1,1-HH24,0)+IF('calcA'!DK$106=1,1-HJ24,0))*150+165+'calcA'!DK$5*100000+IF(AND($E24=1,MX24=0),50000,0))+IF($H24=1,INDEX('calcA'!$D$180:$EQ$219,$B24,112)*4000,0)-IF(AND('calcA'!DJ$117=1,YH24&gt;0),2000,0)-IF(AND($U24=1,'calcA'!DK$117=1,HJ24=0),2000,0))),1000000000))</f>
        <v/>
      </c>
      <c r="SN24">
        <f>IF($B24=0,1000000000,IF(INDEX('calcA'!$D$60:$EQ$99,$B24,113)*IF($W24=1,HJ24+ADY24,HJ24)=1,IF(AND($E24=2,IF($W24=1,AJN24,MY24)=0),1000000000,IF($V24=1,INDEX('calcA'!$D$130:$EQ$169,$B24,113)+IF(AND($E24=1,MY24=0),25,0),IF($F24&gt;0,INDEX('calcA'!DL$110:DL$114,$F24+1)+IF(AND($E24=1,MY24=0),1000,0),MIN(TY24,20)*400+(IF('calcA'!DK$106=1,1-HI24,0)+IF('calcA'!DL$106=1,1-HK24,0))*150+175+'calcA'!DL$5*100000+IF(AND($E24=1,MY24=0),50000,0))+IF($H24=1,INDEX('calcA'!$D$180:$EQ$219,$B24,113)*4000,0)-IF(AND('calcA'!DK$117=1,YI24&gt;0),2000,0)-IF(AND($U24=1,'calcA'!DL$117=1,HK24=0),2000,0))),1000000000))</f>
        <v/>
      </c>
      <c r="SO24">
        <f>IF($B24=0,1000000000,IF(INDEX('calcA'!$D$60:$EQ$99,$B24,114)*IF($W24=1,HK24+ADZ24,HK24)=1,IF(AND($E24=2,IF($W24=1,AJO24,MZ24)=0),1000000000,IF($V24=1,INDEX('calcA'!$D$130:$EQ$169,$B24,114)+IF(AND($E24=1,MZ24=0),25,0),IF($F24&gt;0,INDEX('calcA'!DM$110:DM$114,$F24+1)+IF(AND($E24=1,MZ24=0),1000,0),MIN(TY24,20)*400+(IF('calcA'!DL$106=1,1-HJ24,0)+IF('calcA'!DM$106=1,1-HL24,0))*150+185+'calcA'!DM$5*100000+IF(AND($E24=1,MZ24=0),50000,0))+IF($H24=1,INDEX('calcA'!$D$180:$EQ$219,$B24,114)*4000,0)-IF(AND('calcA'!DL$117=1,YJ24&gt;0),2000,0)-IF(AND($U24=1,'calcA'!DM$117=1,HL24=0),2000,0))),1000000000))</f>
        <v/>
      </c>
      <c r="SP24">
        <f>IF($B24=0,1000000000,IF(INDEX('calcA'!$D$60:$EQ$99,$B24,115)*IF($W24=1,HL24+AEA24,HL24)=1,IF(AND($E24=2,IF($W24=1,AJP24,NA24)=0),1000000000,IF($V24=1,INDEX('calcA'!$D$130:$EQ$169,$B24,115)+IF(AND($E24=1,NA24=0),25,0),IF($F24&gt;0,INDEX('calcA'!DN$110:DN$114,$F24+1)+IF(AND($E24=1,NA24=0),1000,0),MIN(TY24,20)*400+(IF('calcA'!DM$106=1,1-HK24,0)+IF('calcA'!DN$106=1,1-HM24,0))*150+195+'calcA'!DN$5*100000+IF(AND($E24=1,NA24=0),50000,0))+IF($H24=1,INDEX('calcA'!$D$180:$EQ$219,$B24,115)*4000,0)-IF(AND('calcA'!DM$117=1,YK24&gt;0),2000,0)-IF(AND($U24=1,'calcA'!DN$117=1,HM24=0),2000,0))),1000000000))</f>
        <v/>
      </c>
      <c r="SQ24">
        <f>IF($B24=0,1000000000,IF(INDEX('calcA'!$D$60:$EQ$99,$B24,116)*IF($W24=1,HM24+AEB24,HM24)=1,IF(AND($E24=2,IF($W24=1,AJQ24,NB24)=0),1000000000,IF($V24=1,INDEX('calcA'!$D$130:$EQ$169,$B24,116)+IF(AND($E24=1,NB24=0),25,0),IF($F24&gt;0,INDEX('calcA'!DO$110:DO$114,$F24+1)+IF(AND($E24=1,NB24=0),1000,0),MIN(TY24,20)*400+(IF('calcA'!DN$106=1,1-HL24,0)+IF('calcA'!DO$106=1,1-HN24,0))*150+205+'calcA'!DO$5*100000+IF(AND($E24=1,NB24=0),50000,0))+IF($H24=1,INDEX('calcA'!$D$180:$EQ$219,$B24,116)*4000,0)-IF(AND('calcA'!DN$117=1,YL24&gt;0),2000,0)-IF(AND($U24=1,'calcA'!DO$117=1,HN24=0),2000,0))),1000000000))</f>
        <v/>
      </c>
      <c r="SR24">
        <f>IF($B24=0,1000000000,IF(INDEX('calcA'!$D$60:$EQ$99,$B24,117)*IF($W24=1,HN24+AEC24,HN24)=1,IF(AND($E24=2,IF($W24=1,AJR24,NC24)=0),1000000000,IF($V24=1,INDEX('calcA'!$D$130:$EQ$169,$B24,117)+IF(AND($E24=1,NC24=0),25,0),IF($F24&gt;0,INDEX('calcA'!DP$110:DP$114,$F24+1)+IF(AND($E24=1,NC24=0),1000,0),MIN(TY24,20)*400+(IF('calcA'!DO$106=1,1-HM24,0)+IF('calcA'!DP$106=1,1-HO24,0))*150+215+'calcA'!DP$5*100000+IF(AND($E24=1,NC24=0),50000,0))+IF($H24=1,INDEX('calcA'!$D$180:$EQ$219,$B24,117)*4000,0)-IF(AND('calcA'!DO$117=1,YM24&gt;0),2000,0)-IF(AND($U24=1,'calcA'!DP$117=1,HO24=0),2000,0))),1000000000))</f>
        <v/>
      </c>
      <c r="SS24">
        <f>IF($B24=0,1000000000,IF(INDEX('calcA'!$D$60:$EQ$99,$B24,118)*IF($W24=1,HO24+AED24,HO24)=1,IF(AND($E24=2,IF($W24=1,AJS24,ND24)=0),1000000000,IF($V24=1,INDEX('calcA'!$D$130:$EQ$169,$B24,118)+IF(AND($E24=1,ND24=0),25,0),IF($F24&gt;0,INDEX('calcA'!DQ$110:DQ$114,$F24+1)+IF(AND($E24=1,ND24=0),1000,0),MIN(TY24,20)*400+(IF('calcA'!DP$106=1,1-HN24,0)+IF('calcA'!DQ$106=1,1-HP24,0))*150+225+'calcA'!DQ$5*100000+IF(AND($E24=1,ND24=0),50000,0))+IF($H24=1,INDEX('calcA'!$D$180:$EQ$219,$B24,118)*4000,0)-IF(AND('calcA'!DP$117=1,YN24&gt;0),2000,0)-IF(AND($U24=1,'calcA'!DQ$117=1,HP24=0),2000,0))),1000000000))</f>
        <v/>
      </c>
      <c r="ST24">
        <f>IF($B24=0,1000000000,IF(INDEX('calcA'!$D$60:$EQ$99,$B24,119)*IF($W24=1,HP24+AEE24,HP24)=1,IF(AND($E24=2,IF($W24=1,AJT24,NE24)=0),1000000000,IF($V24=1,INDEX('calcA'!$D$130:$EQ$169,$B24,119)+IF(AND($E24=1,NE24=0),25,0),IF($F24&gt;0,INDEX('calcA'!DR$110:DR$114,$F24+1)+IF(AND($E24=1,NE24=0),1000,0),MIN(TY24,20)*400+(IF('calcA'!DQ$106=1,1-HO24,0)+IF('calcA'!DR$106=1,1-HQ24,0))*150+235+'calcA'!DR$5*100000+IF(AND($E24=1,NE24=0),50000,0))+IF($H24=1,INDEX('calcA'!$D$180:$EQ$219,$B24,119)*4000,0)-IF(AND('calcA'!DQ$117=1,YO24&gt;0),2000,0)-IF(AND($U24=1,'calcA'!DR$117=1,HQ24=0),2000,0))),1000000000))</f>
        <v/>
      </c>
      <c r="SU24">
        <f>IF($B24=0,1000000000,IF(INDEX('calcA'!$D$60:$EQ$99,$B24,120)*IF($W24=1,HQ24+AEF24,HQ24)=1,IF(AND($E24=2,IF($W24=1,AJU24,NF24)=0),1000000000,IF($V24=1,INDEX('calcA'!$D$130:$EQ$169,$B24,120)+IF(AND($E24=1,NF24=0),25,0),IF($F24&gt;0,INDEX('calcA'!DS$110:DS$114,$F24+1)+IF(AND($E24=1,NF24=0),1000,0),MIN(TY24,20)*400+(IF('calcA'!DR$106=1,1-HP24,0))*150+245+'calcA'!DS$5*100000+IF(AND($E24=1,NF24=0),50000,0))+IF($H24=1,INDEX('calcA'!$D$180:$EQ$219,$B24,120)*4000,0)-IF(AND('calcA'!DR$117=1,YP24&gt;0),2000,0))),1000000000))</f>
        <v/>
      </c>
      <c r="SV24">
        <f>IF($B24=0,1000000000,IF(INDEX('calcA'!$D$60:$EQ$99,$B24,121)*IF($W24=1,HR24+AEG24,HR24)=1,IF(AND($E24=2,IF($W24=1,AJV24,NG24)=0),1000000000,IF($V24=1,INDEX('calcA'!$D$130:$EQ$169,$B24,121)+IF(AND($E24=1,NG24=0),25,0),IF($F24&gt;0,INDEX('calcA'!DT$110:DT$114,$F24+1)+IF(AND($E24=1,NG24=0),1000,0),MIN(TZ24,20)*400+(IF('calcA'!DT$106=1,1-HS24,0))*150+16+'calcA'!DT$5*100000+IF(AND($E24=1,NG24=0),50000,0))+IF($H24=1,INDEX('calcA'!$D$180:$EQ$219,$B24,121)*4000,0)-IF(AND($U24=1,'calcA'!DT$117=1,HS24=0),2000,0))),1000000000))</f>
        <v/>
      </c>
      <c r="SW24">
        <f>IF($B24=0,1000000000,IF(INDEX('calcA'!$D$60:$EQ$99,$B24,122)*IF($W24=1,HS24+AEH24,HS24)=1,IF(AND($E24=2,IF($W24=1,AJW24,NH24)=0),1000000000,IF($V24=1,INDEX('calcA'!$D$130:$EQ$169,$B24,122)+IF(AND($E24=1,NH24=0),25,0),IF($F24&gt;0,INDEX('calcA'!DU$110:DU$114,$F24+1)+IF(AND($E24=1,NH24=0),1000,0),MIN(TZ24,20)*400+(IF('calcA'!DT$106=1,1-HR24,0)+IF('calcA'!DU$106=1,1-HT24,0))*150+26+'calcA'!DU$5*100000+IF(AND($E24=1,NH24=0),50000,0))+IF($H24=1,INDEX('calcA'!$D$180:$EQ$219,$B24,122)*4000,0)-IF(AND('calcA'!DT$117=1,YR24&gt;0),2000,0)-IF(AND($U24=1,'calcA'!DU$117=1,HT24=0),2000,0))),1000000000))</f>
        <v/>
      </c>
      <c r="SX24">
        <f>IF($B24=0,1000000000,IF(INDEX('calcA'!$D$60:$EQ$99,$B24,123)*IF($W24=1,HT24+AEI24,HT24)=1,IF(AND($E24=2,IF($W24=1,AJX24,NI24)=0),1000000000,IF($V24=1,INDEX('calcA'!$D$130:$EQ$169,$B24,123)+IF(AND($E24=1,NI24=0),25,0),IF($F24&gt;0,INDEX('calcA'!DV$110:DV$114,$F24+1)+IF(AND($E24=1,NI24=0),1000,0),MIN(TZ24,20)*400+(IF('calcA'!DU$106=1,1-HS24,0)+IF('calcA'!DV$106=1,1-HU24,0))*150+36+'calcA'!DV$5*100000+IF(AND($E24=1,NI24=0),50000,0))+IF($H24=1,INDEX('calcA'!$D$180:$EQ$219,$B24,123)*4000,0)-IF(AND('calcA'!DU$117=1,YS24&gt;0),2000,0)-IF(AND($U24=1,'calcA'!DV$117=1,HU24=0),2000,0))),1000000000))</f>
        <v/>
      </c>
      <c r="SY24">
        <f>IF($B24=0,1000000000,IF(INDEX('calcA'!$D$60:$EQ$99,$B24,124)*IF($W24=1,HU24+AEJ24,HU24)=1,IF(AND($E24=2,IF($W24=1,AJY24,NJ24)=0),1000000000,IF($V24=1,INDEX('calcA'!$D$130:$EQ$169,$B24,124)+IF(AND($E24=1,NJ24=0),25,0),IF($F24&gt;0,INDEX('calcA'!DW$110:DW$114,$F24+1)+IF(AND($E24=1,NJ24=0),1000,0),MIN(TZ24,20)*400+(IF('calcA'!DV$106=1,1-HT24,0)+IF('calcA'!DW$106=1,1-HV24,0))*150+46+'calcA'!DW$5*100000+IF(AND($E24=1,NJ24=0),50000,0))+IF($H24=1,INDEX('calcA'!$D$180:$EQ$219,$B24,124)*4000,0)-IF(AND('calcA'!DV$117=1,YT24&gt;0),2000,0)-IF(AND($U24=1,'calcA'!DW$117=1,HV24=0),2000,0))),1000000000))</f>
        <v/>
      </c>
      <c r="SZ24">
        <f>IF($B24=0,1000000000,IF(INDEX('calcA'!$D$60:$EQ$99,$B24,125)*IF($W24=1,HV24+AEK24,HV24)=1,IF(AND($E24=2,IF($W24=1,AJZ24,NK24)=0),1000000000,IF($V24=1,INDEX('calcA'!$D$130:$EQ$169,$B24,125)+IF(AND($E24=1,NK24=0),25,0),IF($F24&gt;0,INDEX('calcA'!DX$110:DX$114,$F24+1)+IF(AND($E24=1,NK24=0),1000,0),MIN(TZ24,20)*400+(IF('calcA'!DW$106=1,1-HU24,0)+IF('calcA'!DX$106=1,1-HW24,0))*150+56+'calcA'!DX$5*100000+IF(AND($E24=1,NK24=0),50000,0))+IF($H24=1,INDEX('calcA'!$D$180:$EQ$219,$B24,125)*4000,0)-IF(AND('calcA'!DW$117=1,YU24&gt;0),2000,0)-IF(AND($U24=1,'calcA'!DX$117=1,HW24=0),2000,0))),1000000000))</f>
        <v/>
      </c>
      <c r="TA24">
        <f>IF($B24=0,1000000000,IF(INDEX('calcA'!$D$60:$EQ$99,$B24,126)*IF($W24=1,HW24+AEL24,HW24)=1,IF(AND($E24=2,IF($W24=1,AKA24,NL24)=0),1000000000,IF($V24=1,INDEX('calcA'!$D$130:$EQ$169,$B24,126)+IF(AND($E24=1,NL24=0),25,0),IF($F24&gt;0,INDEX('calcA'!DY$110:DY$114,$F24+1)+IF(AND($E24=1,NL24=0),1000,0),MIN(TZ24,20)*400+(IF('calcA'!DX$106=1,1-HV24,0)+IF('calcA'!DY$106=1,1-HX24,0))*150+66+'calcA'!DY$5*100000+IF(AND($E24=1,NL24=0),50000,0))+IF($H24=1,INDEX('calcA'!$D$180:$EQ$219,$B24,126)*4000,0)-IF(AND('calcA'!DX$117=1,YV24&gt;0),2000,0)-IF(AND($U24=1,'calcA'!DY$117=1,HX24=0),2000,0))),1000000000))</f>
        <v/>
      </c>
      <c r="TB24">
        <f>IF($B24=0,1000000000,IF(INDEX('calcA'!$D$60:$EQ$99,$B24,127)*IF($W24=1,HX24+AEM24,HX24)=1,IF(AND($E24=2,IF($W24=1,AKB24,NM24)=0),1000000000,IF($V24=1,INDEX('calcA'!$D$130:$EQ$169,$B24,127)+IF(AND($E24=1,NM24=0),25,0),IF($F24&gt;0,INDEX('calcA'!DZ$110:DZ$114,$F24+1)+IF(AND($E24=1,NM24=0),1000,0),MIN(TZ24,20)*400+(IF('calcA'!DY$106=1,1-HW24,0)+IF('calcA'!DZ$106=1,1-HY24,0))*150+76+'calcA'!DZ$5*100000+IF(AND($E24=1,NM24=0),50000,0))+IF($H24=1,INDEX('calcA'!$D$180:$EQ$219,$B24,127)*4000,0)-IF(AND('calcA'!DY$117=1,YW24&gt;0),2000,0)-IF(AND($U24=1,'calcA'!DZ$117=1,HY24=0),2000,0))),1000000000))</f>
        <v/>
      </c>
      <c r="TC24">
        <f>IF($B24=0,1000000000,IF(INDEX('calcA'!$D$60:$EQ$99,$B24,128)*IF($W24=1,HY24+AEN24,HY24)=1,IF(AND($E24=2,IF($W24=1,AKC24,NN24)=0),1000000000,IF($V24=1,INDEX('calcA'!$D$130:$EQ$169,$B24,128)+IF(AND($E24=1,NN24=0),25,0),IF($F24&gt;0,INDEX('calcA'!EA$110:EA$114,$F24+1)+IF(AND($E24=1,NN24=0),1000,0),MIN(TZ24,20)*400+(IF('calcA'!DZ$106=1,1-HX24,0)+IF('calcA'!EA$106=1,1-HZ24,0))*150+86+'calcA'!EA$5*100000+IF(AND($E24=1,NN24=0),50000,0))+IF($H24=1,INDEX('calcA'!$D$180:$EQ$219,$B24,128)*4000,0)-IF(AND('calcA'!DZ$117=1,YX24&gt;0),2000,0)-IF(AND($U24=1,'calcA'!EA$117=1,HZ24=0),2000,0))),1000000000))</f>
        <v/>
      </c>
      <c r="TD24">
        <f>IF($B24=0,1000000000,IF(INDEX('calcA'!$D$60:$EQ$99,$B24,129)*IF($W24=1,HZ24+AEO24,HZ24)=1,IF(AND($E24=2,IF($W24=1,AKD24,NO24)=0),1000000000,IF($V24=1,INDEX('calcA'!$D$130:$EQ$169,$B24,129)+IF(AND($E24=1,NO24=0),25,0),IF($F24&gt;0,INDEX('calcA'!EB$110:EB$114,$F24+1)+IF(AND($E24=1,NO24=0),1000,0),MIN(TZ24,20)*400+(IF('calcA'!EA$106=1,1-HY24,0)+IF('calcA'!EB$106=1,1-IA24,0))*150+96+'calcA'!EB$5*100000+IF(AND($E24=1,NO24=0),50000,0))+IF($H24=1,INDEX('calcA'!$D$180:$EQ$219,$B24,129)*4000,0)-IF(AND('calcA'!EA$117=1,YY24&gt;0),2000,0)-IF(AND($U24=1,'calcA'!EB$117=1,IA24=0),2000,0))),1000000000))</f>
        <v/>
      </c>
      <c r="TE24">
        <f>IF($B24=0,1000000000,IF(INDEX('calcA'!$D$60:$EQ$99,$B24,130)*IF($W24=1,IA24+AEP24,IA24)=1,IF(AND($E24=2,IF($W24=1,AKE24,NP24)=0),1000000000,IF($V24=1,INDEX('calcA'!$D$130:$EQ$169,$B24,130)+IF(AND($E24=1,NP24=0),25,0),IF($F24&gt;0,INDEX('calcA'!EC$110:EC$114,$F24+1)+IF(AND($E24=1,NP24=0),1000,0),MIN(TZ24,20)*400+(IF('calcA'!EB$106=1,1-HZ24,0)+IF('calcA'!EC$106=1,1-IB24,0))*150+106+'calcA'!EC$5*100000+IF(AND($E24=1,NP24=0),50000,0))+IF($H24=1,INDEX('calcA'!$D$180:$EQ$219,$B24,130)*4000,0)-IF(AND('calcA'!EB$117=1,YZ24&gt;0),2000,0)-IF(AND($U24=1,'calcA'!EC$117=1,IB24=0),2000,0))),1000000000))</f>
        <v/>
      </c>
      <c r="TF24">
        <f>IF($B24=0,1000000000,IF(INDEX('calcA'!$D$60:$EQ$99,$B24,131)*IF($W24=1,IB24+AEQ24,IB24)=1,IF(AND($E24=2,IF($W24=1,AKF24,NQ24)=0),1000000000,IF($V24=1,INDEX('calcA'!$D$130:$EQ$169,$B24,131)+IF(AND($E24=1,NQ24=0),25,0),IF($F24&gt;0,INDEX('calcA'!ED$110:ED$114,$F24+1)+IF(AND($E24=1,NQ24=0),1000,0),MIN(TZ24,20)*400+(IF('calcA'!EC$106=1,1-IA24,0)+IF('calcA'!ED$106=1,1-IC24,0))*150+116+'calcA'!ED$5*100000+IF(AND($E24=1,NQ24=0),50000,0))+IF($H24=1,INDEX('calcA'!$D$180:$EQ$219,$B24,131)*4000,0)-IF(AND('calcA'!EC$117=1,ZA24&gt;0),2000,0)-IF(AND($U24=1,'calcA'!ED$117=1,IC24=0),2000,0))),1000000000))</f>
        <v/>
      </c>
      <c r="TG24">
        <f>IF($B24=0,1000000000,IF(INDEX('calcA'!$D$60:$EQ$99,$B24,132)*IF($W24=1,IC24+AER24,IC24)=1,IF(AND($E24=2,IF($W24=1,AKG24,NR24)=0),1000000000,IF($V24=1,INDEX('calcA'!$D$130:$EQ$169,$B24,132)+IF(AND($E24=1,NR24=0),25,0),IF($F24&gt;0,INDEX('calcA'!EE$110:EE$114,$F24+1)+IF(AND($E24=1,NR24=0),1000,0),MIN(TZ24,20)*400+(IF('calcA'!ED$106=1,1-IB24,0)+IF('calcA'!EE$106=1,1-ID24,0))*150+126+'calcA'!EE$5*100000+IF(AND($E24=1,NR24=0),50000,0))+IF($H24=1,INDEX('calcA'!$D$180:$EQ$219,$B24,132)*4000,0)-IF(AND('calcA'!ED$117=1,ZB24&gt;0),2000,0)-IF(AND($U24=1,'calcA'!EE$117=1,ID24=0),2000,0))),1000000000))</f>
        <v/>
      </c>
      <c r="TH24">
        <f>IF($B24=0,1000000000,IF(INDEX('calcA'!$D$60:$EQ$99,$B24,133)*IF($W24=1,ID24+AES24,ID24)=1,IF(AND($E24=2,IF($W24=1,AKH24,NS24)=0),1000000000,IF($V24=1,INDEX('calcA'!$D$130:$EQ$169,$B24,133)+IF(AND($E24=1,NS24=0),25,0),IF($F24&gt;0,INDEX('calcA'!EF$110:EF$114,$F24+1)+IF(AND($E24=1,NS24=0),1000,0),MIN(TZ24,20)*400+(IF('calcA'!EE$106=1,1-IC24,0)+IF('calcA'!EF$106=1,1-IE24,0))*150+136+'calcA'!EF$5*100000+IF(AND($E24=1,NS24=0),50000,0))+IF($H24=1,INDEX('calcA'!$D$180:$EQ$219,$B24,133)*4000,0)-IF(AND('calcA'!EE$117=1,ZC24&gt;0),2000,0)-IF(AND($U24=1,'calcA'!EF$117=1,IE24=0),2000,0))),1000000000))</f>
        <v/>
      </c>
      <c r="TI24">
        <f>IF($B24=0,1000000000,IF(INDEX('calcA'!$D$60:$EQ$99,$B24,134)*IF($W24=1,IE24+AET24,IE24)=1,IF(AND($E24=2,IF($W24=1,AKI24,NT24)=0),1000000000,IF($V24=1,INDEX('calcA'!$D$130:$EQ$169,$B24,134)+IF(AND($E24=1,NT24=0),25,0),IF($F24&gt;0,INDEX('calcA'!EG$110:EG$114,$F24+1)+IF(AND($E24=1,NT24=0),1000,0),MIN(TZ24,20)*400+(IF('calcA'!EF$106=1,1-ID24,0)+IF('calcA'!EG$106=1,1-IF24,0))*150+146+'calcA'!EG$5*100000+IF(AND($E24=1,NT24=0),50000,0))+IF($H24=1,INDEX('calcA'!$D$180:$EQ$219,$B24,134)*4000,0)-IF(AND('calcA'!EF$117=1,ZD24&gt;0),2000,0)-IF(AND($U24=1,'calcA'!EG$117=1,IF24=0),2000,0))),1000000000))</f>
        <v/>
      </c>
      <c r="TJ24">
        <f>IF($B24=0,1000000000,IF(INDEX('calcA'!$D$60:$EQ$99,$B24,135)*IF($W24=1,IF24+AEU24,IF24)=1,IF(AND($E24=2,IF($W24=1,AKJ24,NU24)=0),1000000000,IF($V24=1,INDEX('calcA'!$D$130:$EQ$169,$B24,135)+IF(AND($E24=1,NU24=0),25,0),IF($F24&gt;0,INDEX('calcA'!EH$110:EH$114,$F24+1)+IF(AND($E24=1,NU24=0),1000,0),MIN(TZ24,20)*400+(IF('calcA'!EG$106=1,1-IE24,0)+IF('calcA'!EH$106=1,1-IG24,0))*150+156+'calcA'!EH$5*100000+IF(AND($E24=1,NU24=0),50000,0))+IF($H24=1,INDEX('calcA'!$D$180:$EQ$219,$B24,135)*4000,0)-IF(AND('calcA'!EG$117=1,ZE24&gt;0),2000,0)-IF(AND($U24=1,'calcA'!EH$117=1,IG24=0),2000,0))),1000000000))</f>
        <v/>
      </c>
      <c r="TK24">
        <f>IF($B24=0,1000000000,IF(INDEX('calcA'!$D$60:$EQ$99,$B24,136)*IF($W24=1,IG24+AEV24,IG24)=1,IF(AND($E24=2,IF($W24=1,AKK24,NV24)=0),1000000000,IF($V24=1,INDEX('calcA'!$D$130:$EQ$169,$B24,136)+IF(AND($E24=1,NV24=0),25,0),IF($F24&gt;0,INDEX('calcA'!EI$110:EI$114,$F24+1)+IF(AND($E24=1,NV24=0),1000,0),MIN(TZ24,20)*400+(IF('calcA'!EH$106=1,1-IF24,0)+IF('calcA'!EI$106=1,1-IH24,0))*150+166+'calcA'!EI$5*100000+IF(AND($E24=1,NV24=0),50000,0))+IF($H24=1,INDEX('calcA'!$D$180:$EQ$219,$B24,136)*4000,0)-IF(AND('calcA'!EH$117=1,ZF24&gt;0),2000,0)-IF(AND($U24=1,'calcA'!EI$117=1,IH24=0),2000,0))),1000000000))</f>
        <v/>
      </c>
      <c r="TL24">
        <f>IF($B24=0,1000000000,IF(INDEX('calcA'!$D$60:$EQ$99,$B24,137)*IF($W24=1,IH24+AEW24,IH24)=1,IF(AND($E24=2,IF($W24=1,AKL24,NW24)=0),1000000000,IF($V24=1,INDEX('calcA'!$D$130:$EQ$169,$B24,137)+IF(AND($E24=1,NW24=0),25,0),IF($F24&gt;0,INDEX('calcA'!EJ$110:EJ$114,$F24+1)+IF(AND($E24=1,NW24=0),1000,0),MIN(TZ24,20)*400+(IF('calcA'!EI$106=1,1-IG24,0)+IF('calcA'!EJ$106=1,1-II24,0))*150+176+'calcA'!EJ$5*100000+IF(AND($E24=1,NW24=0),50000,0))+IF($H24=1,INDEX('calcA'!$D$180:$EQ$219,$B24,137)*4000,0)-IF(AND('calcA'!EI$117=1,ZG24&gt;0),2000,0)-IF(AND($U24=1,'calcA'!EJ$117=1,II24=0),2000,0))),1000000000))</f>
        <v/>
      </c>
      <c r="TM24">
        <f>IF($B24=0,1000000000,IF(INDEX('calcA'!$D$60:$EQ$99,$B24,138)*IF($W24=1,II24+AEX24,II24)=1,IF(AND($E24=2,IF($W24=1,AKM24,NX24)=0),1000000000,IF($V24=1,INDEX('calcA'!$D$130:$EQ$169,$B24,138)+IF(AND($E24=1,NX24=0),25,0),IF($F24&gt;0,INDEX('calcA'!EK$110:EK$114,$F24+1)+IF(AND($E24=1,NX24=0),1000,0),MIN(TZ24,20)*400+(IF('calcA'!EJ$106=1,1-IH24,0)+IF('calcA'!EK$106=1,1-IJ24,0))*150+186+'calcA'!EK$5*100000+IF(AND($E24=1,NX24=0),50000,0))+IF($H24=1,INDEX('calcA'!$D$180:$EQ$219,$B24,138)*4000,0)-IF(AND('calcA'!EJ$117=1,ZH24&gt;0),2000,0)-IF(AND($U24=1,'calcA'!EK$117=1,IJ24=0),2000,0))),1000000000))</f>
        <v/>
      </c>
      <c r="TN24">
        <f>IF($B24=0,1000000000,IF(INDEX('calcA'!$D$60:$EQ$99,$B24,139)*IF($W24=1,IJ24+AEY24,IJ24)=1,IF(AND($E24=2,IF($W24=1,AKN24,NY24)=0),1000000000,IF($V24=1,INDEX('calcA'!$D$130:$EQ$169,$B24,139)+IF(AND($E24=1,NY24=0),25,0),IF($F24&gt;0,INDEX('calcA'!EL$110:EL$114,$F24+1)+IF(AND($E24=1,NY24=0),1000,0),MIN(TZ24,20)*400+(IF('calcA'!EK$106=1,1-II24,0)+IF('calcA'!EL$106=1,1-IK24,0))*150+196+'calcA'!EL$5*100000+IF(AND($E24=1,NY24=0),50000,0))+IF($H24=1,INDEX('calcA'!$D$180:$EQ$219,$B24,139)*4000,0)-IF(AND('calcA'!EK$117=1,ZI24&gt;0),2000,0)-IF(AND($U24=1,'calcA'!EL$117=1,IK24=0),2000,0))),1000000000))</f>
        <v/>
      </c>
      <c r="TO24">
        <f>IF($B24=0,1000000000,IF(INDEX('calcA'!$D$60:$EQ$99,$B24,140)*IF($W24=1,IK24+AEZ24,IK24)=1,IF(AND($E24=2,IF($W24=1,AKO24,NZ24)=0),1000000000,IF($V24=1,INDEX('calcA'!$D$130:$EQ$169,$B24,140)+IF(AND($E24=1,NZ24=0),25,0),IF($F24&gt;0,INDEX('calcA'!EM$110:EM$114,$F24+1)+IF(AND($E24=1,NZ24=0),1000,0),MIN(TZ24,20)*400+(IF('calcA'!EL$106=1,1-IJ24,0)+IF('calcA'!EM$106=1,1-IL24,0))*150+206+'calcA'!EM$5*100000+IF(AND($E24=1,NZ24=0),50000,0))+IF($H24=1,INDEX('calcA'!$D$180:$EQ$219,$B24,140)*4000,0)-IF(AND('calcA'!EL$117=1,ZJ24&gt;0),2000,0)-IF(AND($U24=1,'calcA'!EM$117=1,IL24=0),2000,0))),1000000000))</f>
        <v/>
      </c>
      <c r="TP24">
        <f>IF($B24=0,1000000000,IF(INDEX('calcA'!$D$60:$EQ$99,$B24,141)*IF($W24=1,IL24+AFA24,IL24)=1,IF(AND($E24=2,IF($W24=1,AKP24,OA24)=0),1000000000,IF($V24=1,INDEX('calcA'!$D$130:$EQ$169,$B24,141)+IF(AND($E24=1,OA24=0),25,0),IF($F24&gt;0,INDEX('calcA'!EN$110:EN$114,$F24+1)+IF(AND($E24=1,OA24=0),1000,0),MIN(TZ24,20)*400+(IF('calcA'!EM$106=1,1-IK24,0)+IF('calcA'!EN$106=1,1-IM24,0))*150+216+'calcA'!EN$5*100000+IF(AND($E24=1,OA24=0),50000,0))+IF($H24=1,INDEX('calcA'!$D$180:$EQ$219,$B24,141)*4000,0)-IF(AND('calcA'!EM$117=1,ZK24&gt;0),2000,0)-IF(AND($U24=1,'calcA'!EN$117=1,IM24=0),2000,0))),1000000000))</f>
        <v/>
      </c>
      <c r="TQ24">
        <f>IF($B24=0,1000000000,IF(INDEX('calcA'!$D$60:$EQ$99,$B24,142)*IF($W24=1,IM24+AFB24,IM24)=1,IF(AND($E24=2,IF($W24=1,AKQ24,OB24)=0),1000000000,IF($V24=1,INDEX('calcA'!$D$130:$EQ$169,$B24,142)+IF(AND($E24=1,OB24=0),25,0),IF($F24&gt;0,INDEX('calcA'!EO$110:EO$114,$F24+1)+IF(AND($E24=1,OB24=0),1000,0),MIN(TZ24,20)*400+(IF('calcA'!EN$106=1,1-IL24,0)+IF('calcA'!EO$106=1,1-IN24,0))*150+226+'calcA'!EO$5*100000+IF(AND($E24=1,OB24=0),50000,0))+IF($H24=1,INDEX('calcA'!$D$180:$EQ$219,$B24,142)*4000,0)-IF(AND('calcA'!EN$117=1,ZL24&gt;0),2000,0)-IF(AND($U24=1,'calcA'!EO$117=1,IN24=0),2000,0))),1000000000))</f>
        <v/>
      </c>
      <c r="TR24">
        <f>IF($B24=0,1000000000,IF(INDEX('calcA'!$D$60:$EQ$99,$B24,143)*IF($W24=1,IN24+AFC24,IN24)=1,IF(AND($E24=2,IF($W24=1,AKR24,OC24)=0),1000000000,IF($V24=1,INDEX('calcA'!$D$130:$EQ$169,$B24,143)+IF(AND($E24=1,OC24=0),25,0),IF($F24&gt;0,INDEX('calcA'!EP$110:EP$114,$F24+1)+IF(AND($E24=1,OC24=0),1000,0),MIN(TZ24,20)*400+(IF('calcA'!EO$106=1,1-IM24,0)+IF('calcA'!EP$106=1,1-IO24,0))*150+236+'calcA'!EP$5*100000+IF(AND($E24=1,OC24=0),50000,0))+IF($H24=1,INDEX('calcA'!$D$180:$EQ$219,$B24,143)*4000,0)-IF(AND('calcA'!EO$117=1,ZM24&gt;0),2000,0)-IF(AND($U24=1,'calcA'!EP$117=1,IO24=0),2000,0))),1000000000))</f>
        <v/>
      </c>
      <c r="TS24">
        <f>IF($B24=0,1000000000,IF(INDEX('calcA'!$D$60:$EQ$99,$B24,144)*IF($W24=1,IO24+AFD24,IO24)=1,IF(AND($E24=2,IF($W24=1,AKS24,OD24)=0),1000000000,IF($V24=1,INDEX('calcA'!$D$130:$EQ$169,$B24,144)+IF(AND($E24=1,OD24=0),25,0),IF($F24&gt;0,INDEX('calcA'!EQ$110:EQ$114,$F24+1)+IF(AND($E24=1,OD24=0),1000,0),MIN(TZ24,20)*400+(IF('calcA'!EP$106=1,1-IN24,0))*150+246+'calcA'!EQ$5*100000+IF(AND($E24=1,OD24=0),50000,0))+IF($H24=1,INDEX('calcA'!$D$180:$EQ$219,$B24,144)*4000,0)-IF(AND('calcA'!EP$117=1,ZN24&gt;0),2000,0))),1000000000))</f>
        <v/>
      </c>
      <c r="TU24">
        <f>TU23+IF($C23&gt;0,IF(INDEX('calcA'!$D$2:$EQ$2,$C23)=1,1,0),0)</f>
        <v/>
      </c>
      <c r="TV24">
        <f>TV23+IF($C23&gt;0,IF(INDEX('calcA'!$D$2:$EQ$2,$C23)=2,1,0),0)</f>
        <v/>
      </c>
      <c r="TW24">
        <f>TW23+IF($C23&gt;0,IF(INDEX('calcA'!$D$2:$EQ$2,$C23)=3,1,0),0)</f>
        <v/>
      </c>
      <c r="TX24">
        <f>TX23+IF($C23&gt;0,IF(INDEX('calcA'!$D$2:$EQ$2,$C23)=4,1,0),0)</f>
        <v/>
      </c>
      <c r="TY24">
        <f>TY23+IF($C23&gt;0,IF(INDEX('calcA'!$D$2:$EQ$2,$C23)=5,1,0),0)</f>
        <v/>
      </c>
      <c r="TZ24">
        <f>TZ23+IF($C23&gt;0,IF(INDEX('calcA'!$D$2:$EQ$2,$C23)=6,1,0),0)</f>
        <v/>
      </c>
      <c r="UB24">
        <f>UB23+IF(AND($C23=1,$U23=1),1,0)</f>
        <v/>
      </c>
      <c r="UC24">
        <f>UC23+IF(AND($C23=2,$U23=1),1,0)</f>
        <v/>
      </c>
      <c r="UD24">
        <f>UD23+IF(AND($C23=3,$U23=1),1,0)</f>
        <v/>
      </c>
      <c r="UE24">
        <f>UE23+IF(AND($C23=4,$U23=1),1,0)</f>
        <v/>
      </c>
      <c r="UF24">
        <f>UF23+IF(AND($C23=5,$U23=1),1,0)</f>
        <v/>
      </c>
      <c r="UG24">
        <f>UG23+IF(AND($C23=6,$U23=1),1,0)</f>
        <v/>
      </c>
      <c r="UH24">
        <f>UH23+IF(AND($C23=7,$U23=1),1,0)</f>
        <v/>
      </c>
      <c r="UI24">
        <f>UI23+IF(AND($C23=8,$U23=1),1,0)</f>
        <v/>
      </c>
      <c r="UJ24">
        <f>UJ23+IF(AND($C23=9,$U23=1),1,0)</f>
        <v/>
      </c>
      <c r="UK24">
        <f>UK23+IF(AND($C23=10,$U23=1),1,0)</f>
        <v/>
      </c>
      <c r="UL24">
        <f>UL23+IF(AND($C23=11,$U23=1),1,0)</f>
        <v/>
      </c>
      <c r="UM24">
        <f>UM23+IF(AND($C23=12,$U23=1),1,0)</f>
        <v/>
      </c>
      <c r="UN24">
        <f>UN23+IF(AND($C23=13,$U23=1),1,0)</f>
        <v/>
      </c>
      <c r="UO24">
        <f>UO23+IF(AND($C23=14,$U23=1),1,0)</f>
        <v/>
      </c>
      <c r="UP24">
        <f>UP23+IF(AND($C23=15,$U23=1),1,0)</f>
        <v/>
      </c>
      <c r="UQ24">
        <f>UQ23+IF(AND($C23=16,$U23=1),1,0)</f>
        <v/>
      </c>
      <c r="UR24">
        <f>UR23+IF(AND($C23=17,$U23=1),1,0)</f>
        <v/>
      </c>
      <c r="US24">
        <f>US23+IF(AND($C23=18,$U23=1),1,0)</f>
        <v/>
      </c>
      <c r="UT24">
        <f>UT23+IF(AND($C23=19,$U23=1),1,0)</f>
        <v/>
      </c>
      <c r="UU24">
        <f>UU23+IF(AND($C23=20,$U23=1),1,0)</f>
        <v/>
      </c>
      <c r="UV24">
        <f>UV23+IF(AND($C23=21,$U23=1),1,0)</f>
        <v/>
      </c>
      <c r="UW24">
        <f>UW23+IF(AND($C23=22,$U23=1),1,0)</f>
        <v/>
      </c>
      <c r="UX24">
        <f>UX23+IF(AND($C23=23,$U23=1),1,0)</f>
        <v/>
      </c>
      <c r="UY24">
        <f>UY23+IF(AND($C23=24,$U23=1),1,0)</f>
        <v/>
      </c>
      <c r="UZ24">
        <f>UZ23+IF(AND($C23=25,$U23=1),1,0)</f>
        <v/>
      </c>
      <c r="VA24">
        <f>VA23+IF(AND($C23=26,$U23=1),1,0)</f>
        <v/>
      </c>
      <c r="VB24">
        <f>VB23+IF(AND($C23=27,$U23=1),1,0)</f>
        <v/>
      </c>
      <c r="VC24">
        <f>VC23+IF(AND($C23=28,$U23=1),1,0)</f>
        <v/>
      </c>
      <c r="VD24">
        <f>VD23+IF(AND($C23=29,$U23=1),1,0)</f>
        <v/>
      </c>
      <c r="VE24">
        <f>VE23+IF(AND($C23=30,$U23=1),1,0)</f>
        <v/>
      </c>
      <c r="VF24">
        <f>VF23+IF(AND($C23=31,$U23=1),1,0)</f>
        <v/>
      </c>
      <c r="VG24">
        <f>VG23+IF(AND($C23=32,$U23=1),1,0)</f>
        <v/>
      </c>
      <c r="VH24">
        <f>VH23+IF(AND($C23=33,$U23=1),1,0)</f>
        <v/>
      </c>
      <c r="VI24">
        <f>VI23+IF(AND($C23=34,$U23=1),1,0)</f>
        <v/>
      </c>
      <c r="VJ24">
        <f>VJ23+IF(AND($C23=35,$U23=1),1,0)</f>
        <v/>
      </c>
      <c r="VK24">
        <f>VK23+IF(AND($C23=36,$U23=1),1,0)</f>
        <v/>
      </c>
      <c r="VL24">
        <f>VL23+IF(AND($C23=37,$U23=1),1,0)</f>
        <v/>
      </c>
      <c r="VM24">
        <f>VM23+IF(AND($C23=38,$U23=1),1,0)</f>
        <v/>
      </c>
      <c r="VN24">
        <f>VN23+IF(AND($C23=39,$U23=1),1,0)</f>
        <v/>
      </c>
      <c r="VO24">
        <f>VO23+IF(AND($C23=40,$U23=1),1,0)</f>
        <v/>
      </c>
      <c r="VP24">
        <f>VP23+IF(AND($C23=41,$U23=1),1,0)</f>
        <v/>
      </c>
      <c r="VQ24">
        <f>VQ23+IF(AND($C23=42,$U23=1),1,0)</f>
        <v/>
      </c>
      <c r="VR24">
        <f>VR23+IF(AND($C23=43,$U23=1),1,0)</f>
        <v/>
      </c>
      <c r="VS24">
        <f>VS23+IF(AND($C23=44,$U23=1),1,0)</f>
        <v/>
      </c>
      <c r="VT24">
        <f>VT23+IF(AND($C23=45,$U23=1),1,0)</f>
        <v/>
      </c>
      <c r="VU24">
        <f>VU23+IF(AND($C23=46,$U23=1),1,0)</f>
        <v/>
      </c>
      <c r="VV24">
        <f>VV23+IF(AND($C23=47,$U23=1),1,0)</f>
        <v/>
      </c>
      <c r="VW24">
        <f>VW23+IF(AND($C23=48,$U23=1),1,0)</f>
        <v/>
      </c>
      <c r="VX24">
        <f>VX23+IF(AND($C23=49,$U23=1),1,0)</f>
        <v/>
      </c>
      <c r="VY24">
        <f>VY23+IF(AND($C23=50,$U23=1),1,0)</f>
        <v/>
      </c>
      <c r="VZ24">
        <f>VZ23+IF(AND($C23=51,$U23=1),1,0)</f>
        <v/>
      </c>
      <c r="WA24">
        <f>WA23+IF(AND($C23=52,$U23=1),1,0)</f>
        <v/>
      </c>
      <c r="WB24">
        <f>WB23+IF(AND($C23=53,$U23=1),1,0)</f>
        <v/>
      </c>
      <c r="WC24">
        <f>WC23+IF(AND($C23=54,$U23=1),1,0)</f>
        <v/>
      </c>
      <c r="WD24">
        <f>WD23+IF(AND($C23=55,$U23=1),1,0)</f>
        <v/>
      </c>
      <c r="WE24">
        <f>WE23+IF(AND($C23=56,$U23=1),1,0)</f>
        <v/>
      </c>
      <c r="WF24">
        <f>WF23+IF(AND($C23=57,$U23=1),1,0)</f>
        <v/>
      </c>
      <c r="WG24">
        <f>WG23+IF(AND($C23=58,$U23=1),1,0)</f>
        <v/>
      </c>
      <c r="WH24">
        <f>WH23+IF(AND($C23=59,$U23=1),1,0)</f>
        <v/>
      </c>
      <c r="WI24">
        <f>WI23+IF(AND($C23=60,$U23=1),1,0)</f>
        <v/>
      </c>
      <c r="WJ24">
        <f>WJ23+IF(AND($C23=61,$U23=1),1,0)</f>
        <v/>
      </c>
      <c r="WK24">
        <f>WK23+IF(AND($C23=62,$U23=1),1,0)</f>
        <v/>
      </c>
      <c r="WL24">
        <f>WL23+IF(AND($C23=63,$U23=1),1,0)</f>
        <v/>
      </c>
      <c r="WM24">
        <f>WM23+IF(AND($C23=64,$U23=1),1,0)</f>
        <v/>
      </c>
      <c r="WN24">
        <f>WN23+IF(AND($C23=65,$U23=1),1,0)</f>
        <v/>
      </c>
      <c r="WO24">
        <f>WO23+IF(AND($C23=66,$U23=1),1,0)</f>
        <v/>
      </c>
      <c r="WP24">
        <f>WP23+IF(AND($C23=67,$U23=1),1,0)</f>
        <v/>
      </c>
      <c r="WQ24">
        <f>WQ23+IF(AND($C23=68,$U23=1),1,0)</f>
        <v/>
      </c>
      <c r="WR24">
        <f>WR23+IF(AND($C23=69,$U23=1),1,0)</f>
        <v/>
      </c>
      <c r="WS24">
        <f>WS23+IF(AND($C23=70,$U23=1),1,0)</f>
        <v/>
      </c>
      <c r="WT24">
        <f>WT23+IF(AND($C23=71,$U23=1),1,0)</f>
        <v/>
      </c>
      <c r="WU24">
        <f>WU23+IF(AND($C23=72,$U23=1),1,0)</f>
        <v/>
      </c>
      <c r="WV24">
        <f>WV23+IF(AND($C23=73,$U23=1),1,0)</f>
        <v/>
      </c>
      <c r="WW24">
        <f>WW23+IF(AND($C23=74,$U23=1),1,0)</f>
        <v/>
      </c>
      <c r="WX24">
        <f>WX23+IF(AND($C23=75,$U23=1),1,0)</f>
        <v/>
      </c>
      <c r="WY24">
        <f>WY23+IF(AND($C23=76,$U23=1),1,0)</f>
        <v/>
      </c>
      <c r="WZ24">
        <f>WZ23+IF(AND($C23=77,$U23=1),1,0)</f>
        <v/>
      </c>
      <c r="XA24">
        <f>XA23+IF(AND($C23=78,$U23=1),1,0)</f>
        <v/>
      </c>
      <c r="XB24">
        <f>XB23+IF(AND($C23=79,$U23=1),1,0)</f>
        <v/>
      </c>
      <c r="XC24">
        <f>XC23+IF(AND($C23=80,$U23=1),1,0)</f>
        <v/>
      </c>
      <c r="XD24">
        <f>XD23+IF(AND($C23=81,$U23=1),1,0)</f>
        <v/>
      </c>
      <c r="XE24">
        <f>XE23+IF(AND($C23=82,$U23=1),1,0)</f>
        <v/>
      </c>
      <c r="XF24">
        <f>XF23+IF(AND($C23=83,$U23=1),1,0)</f>
        <v/>
      </c>
      <c r="XG24">
        <f>XG23+IF(AND($C23=84,$U23=1),1,0)</f>
        <v/>
      </c>
      <c r="XH24">
        <f>XH23+IF(AND($C23=85,$U23=1),1,0)</f>
        <v/>
      </c>
      <c r="XI24">
        <f>XI23+IF(AND($C23=86,$U23=1),1,0)</f>
        <v/>
      </c>
      <c r="XJ24">
        <f>XJ23+IF(AND($C23=87,$U23=1),1,0)</f>
        <v/>
      </c>
      <c r="XK24">
        <f>XK23+IF(AND($C23=88,$U23=1),1,0)</f>
        <v/>
      </c>
      <c r="XL24">
        <f>XL23+IF(AND($C23=89,$U23=1),1,0)</f>
        <v/>
      </c>
      <c r="XM24">
        <f>XM23+IF(AND($C23=90,$U23=1),1,0)</f>
        <v/>
      </c>
      <c r="XN24">
        <f>XN23+IF(AND($C23=91,$U23=1),1,0)</f>
        <v/>
      </c>
      <c r="XO24">
        <f>XO23+IF(AND($C23=92,$U23=1),1,0)</f>
        <v/>
      </c>
      <c r="XP24">
        <f>XP23+IF(AND($C23=93,$U23=1),1,0)</f>
        <v/>
      </c>
      <c r="XQ24">
        <f>XQ23+IF(AND($C23=94,$U23=1),1,0)</f>
        <v/>
      </c>
      <c r="XR24">
        <f>XR23+IF(AND($C23=95,$U23=1),1,0)</f>
        <v/>
      </c>
      <c r="XS24">
        <f>XS23+IF(AND($C23=96,$U23=1),1,0)</f>
        <v/>
      </c>
      <c r="XT24">
        <f>XT23+IF(AND($C23=97,$U23=1),1,0)</f>
        <v/>
      </c>
      <c r="XU24">
        <f>XU23+IF(AND($C23=98,$U23=1),1,0)</f>
        <v/>
      </c>
      <c r="XV24">
        <f>XV23+IF(AND($C23=99,$U23=1),1,0)</f>
        <v/>
      </c>
      <c r="XW24">
        <f>XW23+IF(AND($C23=100,$U23=1),1,0)</f>
        <v/>
      </c>
      <c r="XX24">
        <f>XX23+IF(AND($C23=101,$U23=1),1,0)</f>
        <v/>
      </c>
      <c r="XY24">
        <f>XY23+IF(AND($C23=102,$U23=1),1,0)</f>
        <v/>
      </c>
      <c r="XZ24">
        <f>XZ23+IF(AND($C23=103,$U23=1),1,0)</f>
        <v/>
      </c>
      <c r="YA24">
        <f>YA23+IF(AND($C23=104,$U23=1),1,0)</f>
        <v/>
      </c>
      <c r="YB24">
        <f>YB23+IF(AND($C23=105,$U23=1),1,0)</f>
        <v/>
      </c>
      <c r="YC24">
        <f>YC23+IF(AND($C23=106,$U23=1),1,0)</f>
        <v/>
      </c>
      <c r="YD24">
        <f>YD23+IF(AND($C23=107,$U23=1),1,0)</f>
        <v/>
      </c>
      <c r="YE24">
        <f>YE23+IF(AND($C23=108,$U23=1),1,0)</f>
        <v/>
      </c>
      <c r="YF24">
        <f>YF23+IF(AND($C23=109,$U23=1),1,0)</f>
        <v/>
      </c>
      <c r="YG24">
        <f>YG23+IF(AND($C23=110,$U23=1),1,0)</f>
        <v/>
      </c>
      <c r="YH24">
        <f>YH23+IF(AND($C23=111,$U23=1),1,0)</f>
        <v/>
      </c>
      <c r="YI24">
        <f>YI23+IF(AND($C23=112,$U23=1),1,0)</f>
        <v/>
      </c>
      <c r="YJ24">
        <f>YJ23+IF(AND($C23=113,$U23=1),1,0)</f>
        <v/>
      </c>
      <c r="YK24">
        <f>YK23+IF(AND($C23=114,$U23=1),1,0)</f>
        <v/>
      </c>
      <c r="YL24">
        <f>YL23+IF(AND($C23=115,$U23=1),1,0)</f>
        <v/>
      </c>
      <c r="YM24">
        <f>YM23+IF(AND($C23=116,$U23=1),1,0)</f>
        <v/>
      </c>
      <c r="YN24">
        <f>YN23+IF(AND($C23=117,$U23=1),1,0)</f>
        <v/>
      </c>
      <c r="YO24">
        <f>YO23+IF(AND($C23=118,$U23=1),1,0)</f>
        <v/>
      </c>
      <c r="YP24">
        <f>YP23+IF(AND($C23=119,$U23=1),1,0)</f>
        <v/>
      </c>
      <c r="YQ24">
        <f>YQ23+IF(AND($C23=120,$U23=1),1,0)</f>
        <v/>
      </c>
      <c r="YR24">
        <f>YR23+IF(AND($C23=121,$U23=1),1,0)</f>
        <v/>
      </c>
      <c r="YS24">
        <f>YS23+IF(AND($C23=122,$U23=1),1,0)</f>
        <v/>
      </c>
      <c r="YT24">
        <f>YT23+IF(AND($C23=123,$U23=1),1,0)</f>
        <v/>
      </c>
      <c r="YU24">
        <f>YU23+IF(AND($C23=124,$U23=1),1,0)</f>
        <v/>
      </c>
      <c r="YV24">
        <f>YV23+IF(AND($C23=125,$U23=1),1,0)</f>
        <v/>
      </c>
      <c r="YW24">
        <f>YW23+IF(AND($C23=126,$U23=1),1,0)</f>
        <v/>
      </c>
      <c r="YX24">
        <f>YX23+IF(AND($C23=127,$U23=1),1,0)</f>
        <v/>
      </c>
      <c r="YY24">
        <f>YY23+IF(AND($C23=128,$U23=1),1,0)</f>
        <v/>
      </c>
      <c r="YZ24">
        <f>YZ23+IF(AND($C23=129,$U23=1),1,0)</f>
        <v/>
      </c>
      <c r="ZA24">
        <f>ZA23+IF(AND($C23=130,$U23=1),1,0)</f>
        <v/>
      </c>
      <c r="ZB24">
        <f>ZB23+IF(AND($C23=131,$U23=1),1,0)</f>
        <v/>
      </c>
      <c r="ZC24">
        <f>ZC23+IF(AND($C23=132,$U23=1),1,0)</f>
        <v/>
      </c>
      <c r="ZD24">
        <f>ZD23+IF(AND($C23=133,$U23=1),1,0)</f>
        <v/>
      </c>
      <c r="ZE24">
        <f>ZE23+IF(AND($C23=134,$U23=1),1,0)</f>
        <v/>
      </c>
      <c r="ZF24">
        <f>ZF23+IF(AND($C23=135,$U23=1),1,0)</f>
        <v/>
      </c>
      <c r="ZG24">
        <f>ZG23+IF(AND($C23=136,$U23=1),1,0)</f>
        <v/>
      </c>
      <c r="ZH24">
        <f>ZH23+IF(AND($C23=137,$U23=1),1,0)</f>
        <v/>
      </c>
      <c r="ZI24">
        <f>ZI23+IF(AND($C23=138,$U23=1),1,0)</f>
        <v/>
      </c>
      <c r="ZJ24">
        <f>ZJ23+IF(AND($C23=139,$U23=1),1,0)</f>
        <v/>
      </c>
      <c r="ZK24">
        <f>ZK23+IF(AND($C23=140,$U23=1),1,0)</f>
        <v/>
      </c>
      <c r="ZL24">
        <f>ZL23+IF(AND($C23=141,$U23=1),1,0)</f>
        <v/>
      </c>
      <c r="ZM24">
        <f>ZM23+IF(AND($C23=142,$U23=1),1,0)</f>
        <v/>
      </c>
      <c r="ZN24">
        <f>ZN23+IF(AND($C23=143,$U23=1),1,0)</f>
        <v/>
      </c>
      <c r="ZO24">
        <f>ZO23+IF(AND($C23=144,$U23=1),1,0)</f>
        <v/>
      </c>
      <c r="ZQ24">
        <f>IF($C23=1,0,ZQ23+IF(AND($G23=1,$E23=1),1,0))</f>
        <v/>
      </c>
      <c r="ZR24">
        <f>IF($C23=2,0,ZR23+IF(AND($G23=2,$E23=1),1,0))</f>
        <v/>
      </c>
      <c r="ZS24">
        <f>IF($C23=3,0,ZS23+IF(AND($G23=3,$E23=1),1,0))</f>
        <v/>
      </c>
      <c r="ZT24">
        <f>IF($C23=4,0,ZT23+IF(AND($G23=4,$E23=1),1,0))</f>
        <v/>
      </c>
      <c r="ZU24">
        <f>IF($C23=5,0,ZU23+IF(AND($G23=5,$E23=1),1,0))</f>
        <v/>
      </c>
      <c r="ZV24">
        <f>IF($C23=6,0,ZV23+IF(AND($G23=6,$E23=1),1,0))</f>
        <v/>
      </c>
      <c r="ZW24">
        <f>IF($C23=7,0,ZW23+IF(AND($G23=7,$E23=1),1,0))</f>
        <v/>
      </c>
      <c r="ZX24">
        <f>IF($C23=8,0,ZX23+IF(AND($G23=8,$E23=1),1,0))</f>
        <v/>
      </c>
      <c r="ZY24">
        <f>IF($C23=9,0,ZY23+IF(AND($G23=9,$E23=1),1,0))</f>
        <v/>
      </c>
      <c r="ZZ24">
        <f>IF($C23=10,0,ZZ23+IF(AND($G23=10,$E23=1),1,0))</f>
        <v/>
      </c>
      <c r="AAA24">
        <f>IF($C23=11,0,AAA23+IF(AND($G23=11,$E23=1),1,0))</f>
        <v/>
      </c>
      <c r="AAB24">
        <f>IF($C23=12,0,AAB23+IF(AND($G23=12,$E23=1),1,0))</f>
        <v/>
      </c>
      <c r="AAC24">
        <f>IF($C23=13,0,AAC23+IF(AND($G23=13,$E23=1),1,0))</f>
        <v/>
      </c>
      <c r="AAD24">
        <f>IF($C23=14,0,AAD23+IF(AND($G23=14,$E23=1),1,0))</f>
        <v/>
      </c>
      <c r="AAE24">
        <f>IF($C23=15,0,AAE23+IF(AND($G23=15,$E23=1),1,0))</f>
        <v/>
      </c>
      <c r="AAF24">
        <f>IF($C23=16,0,AAF23+IF(AND($G23=16,$E23=1),1,0))</f>
        <v/>
      </c>
      <c r="AAG24">
        <f>IF($C23=17,0,AAG23+IF(AND($G23=17,$E23=1),1,0))</f>
        <v/>
      </c>
      <c r="AAH24">
        <f>IF($C23=18,0,AAH23+IF(AND($G23=18,$E23=1),1,0))</f>
        <v/>
      </c>
      <c r="AAI24">
        <f>IF($C23=19,0,AAI23+IF(AND($G23=19,$E23=1),1,0))</f>
        <v/>
      </c>
      <c r="AAJ24">
        <f>IF($C23=20,0,AAJ23+IF(AND($G23=20,$E23=1),1,0))</f>
        <v/>
      </c>
      <c r="AAK24">
        <f>IF($C23=21,0,AAK23+IF(AND($G23=21,$E23=1),1,0))</f>
        <v/>
      </c>
      <c r="AAL24">
        <f>IF($C23=22,0,AAL23+IF(AND($G23=22,$E23=1),1,0))</f>
        <v/>
      </c>
      <c r="AAM24">
        <f>IF($C23=23,0,AAM23+IF(AND($G23=23,$E23=1),1,0))</f>
        <v/>
      </c>
      <c r="AAN24">
        <f>IF($C23=24,0,AAN23+IF(AND($G23=24,$E23=1),1,0))</f>
        <v/>
      </c>
      <c r="AAO24">
        <f>IF($C23=25,0,AAO23+IF(AND($G23=25,$E23=1),1,0))</f>
        <v/>
      </c>
      <c r="AAP24">
        <f>IF($C23=26,0,AAP23+IF(AND($G23=26,$E23=1),1,0))</f>
        <v/>
      </c>
      <c r="AAQ24">
        <f>IF($C23=27,0,AAQ23+IF(AND($G23=27,$E23=1),1,0))</f>
        <v/>
      </c>
      <c r="AAR24">
        <f>IF($C23=28,0,AAR23+IF(AND($G23=28,$E23=1),1,0))</f>
        <v/>
      </c>
      <c r="AAS24">
        <f>IF($C23=29,0,AAS23+IF(AND($G23=29,$E23=1),1,0))</f>
        <v/>
      </c>
      <c r="AAT24">
        <f>IF($C23=30,0,AAT23+IF(AND($G23=30,$E23=1),1,0))</f>
        <v/>
      </c>
      <c r="AAU24">
        <f>IF($C23=31,0,AAU23+IF(AND($G23=31,$E23=1),1,0))</f>
        <v/>
      </c>
      <c r="AAV24">
        <f>IF($C23=32,0,AAV23+IF(AND($G23=32,$E23=1),1,0))</f>
        <v/>
      </c>
      <c r="AAW24">
        <f>IF($C23=33,0,AAW23+IF(AND($G23=33,$E23=1),1,0))</f>
        <v/>
      </c>
      <c r="AAX24">
        <f>IF($C23=34,0,AAX23+IF(AND($G23=34,$E23=1),1,0))</f>
        <v/>
      </c>
      <c r="AAY24">
        <f>IF($C23=35,0,AAY23+IF(AND($G23=35,$E23=1),1,0))</f>
        <v/>
      </c>
      <c r="AAZ24">
        <f>IF($C23=36,0,AAZ23+IF(AND($G23=36,$E23=1),1,0))</f>
        <v/>
      </c>
      <c r="ABA24">
        <f>IF($C23=37,0,ABA23+IF(AND($G23=37,$E23=1),1,0))</f>
        <v/>
      </c>
      <c r="ABB24">
        <f>IF($C23=38,0,ABB23+IF(AND($G23=38,$E23=1),1,0))</f>
        <v/>
      </c>
      <c r="ABC24">
        <f>IF($C23=39,0,ABC23+IF(AND($G23=39,$E23=1),1,0))</f>
        <v/>
      </c>
      <c r="ABD24">
        <f>IF($C23=40,0,ABD23+IF(AND($G23=40,$E23=1),1,0))</f>
        <v/>
      </c>
      <c r="ABE24">
        <f>IF($C23=41,0,ABE23+IF(AND($G23=41,$E23=1),1,0))</f>
        <v/>
      </c>
      <c r="ABF24">
        <f>IF($C23=42,0,ABF23+IF(AND($G23=42,$E23=1),1,0))</f>
        <v/>
      </c>
      <c r="ABG24">
        <f>IF($C23=43,0,ABG23+IF(AND($G23=43,$E23=1),1,0))</f>
        <v/>
      </c>
      <c r="ABH24">
        <f>IF($C23=44,0,ABH23+IF(AND($G23=44,$E23=1),1,0))</f>
        <v/>
      </c>
      <c r="ABI24">
        <f>IF($C23=45,0,ABI23+IF(AND($G23=45,$E23=1),1,0))</f>
        <v/>
      </c>
      <c r="ABJ24">
        <f>IF($C23=46,0,ABJ23+IF(AND($G23=46,$E23=1),1,0))</f>
        <v/>
      </c>
      <c r="ABK24">
        <f>IF($C23=47,0,ABK23+IF(AND($G23=47,$E23=1),1,0))</f>
        <v/>
      </c>
      <c r="ABL24">
        <f>IF($C23=48,0,ABL23+IF(AND($G23=48,$E23=1),1,0))</f>
        <v/>
      </c>
      <c r="ABM24">
        <f>IF($C23=49,0,ABM23+IF(AND($G23=49,$E23=1),1,0))</f>
        <v/>
      </c>
      <c r="ABN24">
        <f>IF($C23=50,0,ABN23+IF(AND($G23=50,$E23=1),1,0))</f>
        <v/>
      </c>
      <c r="ABO24">
        <f>IF($C23=51,0,ABO23+IF(AND($G23=51,$E23=1),1,0))</f>
        <v/>
      </c>
      <c r="ABP24">
        <f>IF($C23=52,0,ABP23+IF(AND($G23=52,$E23=1),1,0))</f>
        <v/>
      </c>
      <c r="ABQ24">
        <f>IF($C23=53,0,ABQ23+IF(AND($G23=53,$E23=1),1,0))</f>
        <v/>
      </c>
      <c r="ABR24">
        <f>IF($C23=54,0,ABR23+IF(AND($G23=54,$E23=1),1,0))</f>
        <v/>
      </c>
      <c r="ABS24">
        <f>IF($C23=55,0,ABS23+IF(AND($G23=55,$E23=1),1,0))</f>
        <v/>
      </c>
      <c r="ABT24">
        <f>IF($C23=56,0,ABT23+IF(AND($G23=56,$E23=1),1,0))</f>
        <v/>
      </c>
      <c r="ABU24">
        <f>IF($C23=57,0,ABU23+IF(AND($G23=57,$E23=1),1,0))</f>
        <v/>
      </c>
      <c r="ABV24">
        <f>IF($C23=58,0,ABV23+IF(AND($G23=58,$E23=1),1,0))</f>
        <v/>
      </c>
      <c r="ABW24">
        <f>IF($C23=59,0,ABW23+IF(AND($G23=59,$E23=1),1,0))</f>
        <v/>
      </c>
      <c r="ABX24">
        <f>IF($C23=60,0,ABX23+IF(AND($G23=60,$E23=1),1,0))</f>
        <v/>
      </c>
      <c r="ABY24">
        <f>IF($C23=61,0,ABY23+IF(AND($G23=61,$E23=1),1,0))</f>
        <v/>
      </c>
      <c r="ABZ24">
        <f>IF($C23=62,0,ABZ23+IF(AND($G23=62,$E23=1),1,0))</f>
        <v/>
      </c>
      <c r="ACA24">
        <f>IF($C23=63,0,ACA23+IF(AND($G23=63,$E23=1),1,0))</f>
        <v/>
      </c>
      <c r="ACB24">
        <f>IF($C23=64,0,ACB23+IF(AND($G23=64,$E23=1),1,0))</f>
        <v/>
      </c>
      <c r="ACC24">
        <f>IF($C23=65,0,ACC23+IF(AND($G23=65,$E23=1),1,0))</f>
        <v/>
      </c>
      <c r="ACD24">
        <f>IF($C23=66,0,ACD23+IF(AND($G23=66,$E23=1),1,0))</f>
        <v/>
      </c>
      <c r="ACE24">
        <f>IF($C23=67,0,ACE23+IF(AND($G23=67,$E23=1),1,0))</f>
        <v/>
      </c>
      <c r="ACF24">
        <f>IF($C23=68,0,ACF23+IF(AND($G23=68,$E23=1),1,0))</f>
        <v/>
      </c>
      <c r="ACG24">
        <f>IF($C23=69,0,ACG23+IF(AND($G23=69,$E23=1),1,0))</f>
        <v/>
      </c>
      <c r="ACH24">
        <f>IF($C23=70,0,ACH23+IF(AND($G23=70,$E23=1),1,0))</f>
        <v/>
      </c>
      <c r="ACI24">
        <f>IF($C23=71,0,ACI23+IF(AND($G23=71,$E23=1),1,0))</f>
        <v/>
      </c>
      <c r="ACJ24">
        <f>IF($C23=72,0,ACJ23+IF(AND($G23=72,$E23=1),1,0))</f>
        <v/>
      </c>
      <c r="ACK24">
        <f>IF($C23=73,0,ACK23+IF(AND($G23=73,$E23=1),1,0))</f>
        <v/>
      </c>
      <c r="ACL24">
        <f>IF($C23=74,0,ACL23+IF(AND($G23=74,$E23=1),1,0))</f>
        <v/>
      </c>
      <c r="ACM24">
        <f>IF($C23=75,0,ACM23+IF(AND($G23=75,$E23=1),1,0))</f>
        <v/>
      </c>
      <c r="ACN24">
        <f>IF($C23=76,0,ACN23+IF(AND($G23=76,$E23=1),1,0))</f>
        <v/>
      </c>
      <c r="ACO24">
        <f>IF($C23=77,0,ACO23+IF(AND($G23=77,$E23=1),1,0))</f>
        <v/>
      </c>
      <c r="ACP24">
        <f>IF($C23=78,0,ACP23+IF(AND($G23=78,$E23=1),1,0))</f>
        <v/>
      </c>
      <c r="ACQ24">
        <f>IF($C23=79,0,ACQ23+IF(AND($G23=79,$E23=1),1,0))</f>
        <v/>
      </c>
      <c r="ACR24">
        <f>IF($C23=80,0,ACR23+IF(AND($G23=80,$E23=1),1,0))</f>
        <v/>
      </c>
      <c r="ACS24">
        <f>IF($C23=81,0,ACS23+IF(AND($G23=81,$E23=1),1,0))</f>
        <v/>
      </c>
      <c r="ACT24">
        <f>IF($C23=82,0,ACT23+IF(AND($G23=82,$E23=1),1,0))</f>
        <v/>
      </c>
      <c r="ACU24">
        <f>IF($C23=83,0,ACU23+IF(AND($G23=83,$E23=1),1,0))</f>
        <v/>
      </c>
      <c r="ACV24">
        <f>IF($C23=84,0,ACV23+IF(AND($G23=84,$E23=1),1,0))</f>
        <v/>
      </c>
      <c r="ACW24">
        <f>IF($C23=85,0,ACW23+IF(AND($G23=85,$E23=1),1,0))</f>
        <v/>
      </c>
      <c r="ACX24">
        <f>IF($C23=86,0,ACX23+IF(AND($G23=86,$E23=1),1,0))</f>
        <v/>
      </c>
      <c r="ACY24">
        <f>IF($C23=87,0,ACY23+IF(AND($G23=87,$E23=1),1,0))</f>
        <v/>
      </c>
      <c r="ACZ24">
        <f>IF($C23=88,0,ACZ23+IF(AND($G23=88,$E23=1),1,0))</f>
        <v/>
      </c>
      <c r="ADA24">
        <f>IF($C23=89,0,ADA23+IF(AND($G23=89,$E23=1),1,0))</f>
        <v/>
      </c>
      <c r="ADB24">
        <f>IF($C23=90,0,ADB23+IF(AND($G23=90,$E23=1),1,0))</f>
        <v/>
      </c>
      <c r="ADC24">
        <f>IF($C23=91,0,ADC23+IF(AND($G23=91,$E23=1),1,0))</f>
        <v/>
      </c>
      <c r="ADD24">
        <f>IF($C23=92,0,ADD23+IF(AND($G23=92,$E23=1),1,0))</f>
        <v/>
      </c>
      <c r="ADE24">
        <f>IF($C23=93,0,ADE23+IF(AND($G23=93,$E23=1),1,0))</f>
        <v/>
      </c>
      <c r="ADF24">
        <f>IF($C23=94,0,ADF23+IF(AND($G23=94,$E23=1),1,0))</f>
        <v/>
      </c>
      <c r="ADG24">
        <f>IF($C23=95,0,ADG23+IF(AND($G23=95,$E23=1),1,0))</f>
        <v/>
      </c>
      <c r="ADH24">
        <f>IF($C23=96,0,ADH23+IF(AND($G23=96,$E23=1),1,0))</f>
        <v/>
      </c>
      <c r="ADI24">
        <f>IF($C23=97,0,ADI23+IF(AND($G23=97,$E23=1),1,0))</f>
        <v/>
      </c>
      <c r="ADJ24">
        <f>IF($C23=98,0,ADJ23+IF(AND($G23=98,$E23=1),1,0))</f>
        <v/>
      </c>
      <c r="ADK24">
        <f>IF($C23=99,0,ADK23+IF(AND($G23=99,$E23=1),1,0))</f>
        <v/>
      </c>
      <c r="ADL24">
        <f>IF($C23=100,0,ADL23+IF(AND($G23=100,$E23=1),1,0))</f>
        <v/>
      </c>
      <c r="ADM24">
        <f>IF($C23=101,0,ADM23+IF(AND($G23=101,$E23=1),1,0))</f>
        <v/>
      </c>
      <c r="ADN24">
        <f>IF($C23=102,0,ADN23+IF(AND($G23=102,$E23=1),1,0))</f>
        <v/>
      </c>
      <c r="ADO24">
        <f>IF($C23=103,0,ADO23+IF(AND($G23=103,$E23=1),1,0))</f>
        <v/>
      </c>
      <c r="ADP24">
        <f>IF($C23=104,0,ADP23+IF(AND($G23=104,$E23=1),1,0))</f>
        <v/>
      </c>
      <c r="ADQ24">
        <f>IF($C23=105,0,ADQ23+IF(AND($G23=105,$E23=1),1,0))</f>
        <v/>
      </c>
      <c r="ADR24">
        <f>IF($C23=106,0,ADR23+IF(AND($G23=106,$E23=1),1,0))</f>
        <v/>
      </c>
      <c r="ADS24">
        <f>IF($C23=107,0,ADS23+IF(AND($G23=107,$E23=1),1,0))</f>
        <v/>
      </c>
      <c r="ADT24">
        <f>IF($C23=108,0,ADT23+IF(AND($G23=108,$E23=1),1,0))</f>
        <v/>
      </c>
      <c r="ADU24">
        <f>IF($C23=109,0,ADU23+IF(AND($G23=109,$E23=1),1,0))</f>
        <v/>
      </c>
      <c r="ADV24">
        <f>IF($C23=110,0,ADV23+IF(AND($G23=110,$E23=1),1,0))</f>
        <v/>
      </c>
      <c r="ADW24">
        <f>IF($C23=111,0,ADW23+IF(AND($G23=111,$E23=1),1,0))</f>
        <v/>
      </c>
      <c r="ADX24">
        <f>IF($C23=112,0,ADX23+IF(AND($G23=112,$E23=1),1,0))</f>
        <v/>
      </c>
      <c r="ADY24">
        <f>IF($C23=113,0,ADY23+IF(AND($G23=113,$E23=1),1,0))</f>
        <v/>
      </c>
      <c r="ADZ24">
        <f>IF($C23=114,0,ADZ23+IF(AND($G23=114,$E23=1),1,0))</f>
        <v/>
      </c>
      <c r="AEA24">
        <f>IF($C23=115,0,AEA23+IF(AND($G23=115,$E23=1),1,0))</f>
        <v/>
      </c>
      <c r="AEB24">
        <f>IF($C23=116,0,AEB23+IF(AND($G23=116,$E23=1),1,0))</f>
        <v/>
      </c>
      <c r="AEC24">
        <f>IF($C23=117,0,AEC23+IF(AND($G23=117,$E23=1),1,0))</f>
        <v/>
      </c>
      <c r="AED24">
        <f>IF($C23=118,0,AED23+IF(AND($G23=118,$E23=1),1,0))</f>
        <v/>
      </c>
      <c r="AEE24">
        <f>IF($C23=119,0,AEE23+IF(AND($G23=119,$E23=1),1,0))</f>
        <v/>
      </c>
      <c r="AEF24">
        <f>IF($C23=120,0,AEF23+IF(AND($G23=120,$E23=1),1,0))</f>
        <v/>
      </c>
      <c r="AEG24">
        <f>IF($C23=121,0,AEG23+IF(AND($G23=121,$E23=1),1,0))</f>
        <v/>
      </c>
      <c r="AEH24">
        <f>IF($C23=122,0,AEH23+IF(AND($G23=122,$E23=1),1,0))</f>
        <v/>
      </c>
      <c r="AEI24">
        <f>IF($C23=123,0,AEI23+IF(AND($G23=123,$E23=1),1,0))</f>
        <v/>
      </c>
      <c r="AEJ24">
        <f>IF($C23=124,0,AEJ23+IF(AND($G23=124,$E23=1),1,0))</f>
        <v/>
      </c>
      <c r="AEK24">
        <f>IF($C23=125,0,AEK23+IF(AND($G23=125,$E23=1),1,0))</f>
        <v/>
      </c>
      <c r="AEL24">
        <f>IF($C23=126,0,AEL23+IF(AND($G23=126,$E23=1),1,0))</f>
        <v/>
      </c>
      <c r="AEM24">
        <f>IF($C23=127,0,AEM23+IF(AND($G23=127,$E23=1),1,0))</f>
        <v/>
      </c>
      <c r="AEN24">
        <f>IF($C23=128,0,AEN23+IF(AND($G23=128,$E23=1),1,0))</f>
        <v/>
      </c>
      <c r="AEO24">
        <f>IF($C23=129,0,AEO23+IF(AND($G23=129,$E23=1),1,0))</f>
        <v/>
      </c>
      <c r="AEP24">
        <f>IF($C23=130,0,AEP23+IF(AND($G23=130,$E23=1),1,0))</f>
        <v/>
      </c>
      <c r="AEQ24">
        <f>IF($C23=131,0,AEQ23+IF(AND($G23=131,$E23=1),1,0))</f>
        <v/>
      </c>
      <c r="AER24">
        <f>IF($C23=132,0,AER23+IF(AND($G23=132,$E23=1),1,0))</f>
        <v/>
      </c>
      <c r="AES24">
        <f>IF($C23=133,0,AES23+IF(AND($G23=133,$E23=1),1,0))</f>
        <v/>
      </c>
      <c r="AET24">
        <f>IF($C23=134,0,AET23+IF(AND($G23=134,$E23=1),1,0))</f>
        <v/>
      </c>
      <c r="AEU24">
        <f>IF($C23=135,0,AEU23+IF(AND($G23=135,$E23=1),1,0))</f>
        <v/>
      </c>
      <c r="AEV24">
        <f>IF($C23=136,0,AEV23+IF(AND($G23=136,$E23=1),1,0))</f>
        <v/>
      </c>
      <c r="AEW24">
        <f>IF($C23=137,0,AEW23+IF(AND($G23=137,$E23=1),1,0))</f>
        <v/>
      </c>
      <c r="AEX24">
        <f>IF($C23=138,0,AEX23+IF(AND($G23=138,$E23=1),1,0))</f>
        <v/>
      </c>
      <c r="AEY24">
        <f>IF($C23=139,0,AEY23+IF(AND($G23=139,$E23=1),1,0))</f>
        <v/>
      </c>
      <c r="AEZ24">
        <f>IF($C23=140,0,AEZ23+IF(AND($G23=140,$E23=1),1,0))</f>
        <v/>
      </c>
      <c r="AFA24">
        <f>IF($C23=141,0,AFA23+IF(AND($G23=141,$E23=1),1,0))</f>
        <v/>
      </c>
      <c r="AFB24">
        <f>IF($C23=142,0,AFB23+IF(AND($G23=142,$E23=1),1,0))</f>
        <v/>
      </c>
      <c r="AFC24">
        <f>IF($C23=143,0,AFC23+IF(AND($G23=143,$E23=1),1,0))</f>
        <v/>
      </c>
      <c r="AFD24">
        <f>IF($C23=144,0,AFD23+IF(AND($G23=144,$E23=1),1,0))</f>
        <v/>
      </c>
      <c r="AFF24">
        <f>IF('calcA'!D$106=1,DC24+ZR24,1)</f>
        <v/>
      </c>
      <c r="AFG24">
        <f>IF('calcA'!E$106=1,DD24+ZS24,1)</f>
        <v/>
      </c>
      <c r="AFH24">
        <f>IF('calcA'!F$106=1,DE24+ZT24,1)</f>
        <v/>
      </c>
      <c r="AFI24">
        <f>IF('calcA'!G$106=1,DF24+ZU24,1)</f>
        <v/>
      </c>
      <c r="AFJ24">
        <f>IF('calcA'!H$106=1,DG24+ZV24,1)</f>
        <v/>
      </c>
      <c r="AFK24">
        <f>IF('calcA'!I$106=1,DH24+ZW24,1)</f>
        <v/>
      </c>
      <c r="AFL24">
        <f>IF('calcA'!J$106=1,DI24+ZX24,1)</f>
        <v/>
      </c>
      <c r="AFM24">
        <f>IF('calcA'!K$106=1,DJ24+ZY24,1)</f>
        <v/>
      </c>
      <c r="AFN24">
        <f>IF('calcA'!L$106=1,DK24+ZZ24,1)</f>
        <v/>
      </c>
      <c r="AFO24">
        <f>IF('calcA'!M$106=1,DL24+AAA24,1)</f>
        <v/>
      </c>
      <c r="AFP24">
        <f>IF('calcA'!N$106=1,DM24+AAB24,1)</f>
        <v/>
      </c>
      <c r="AFQ24">
        <f>IF('calcA'!O$106=1,DN24+AAC24,1)</f>
        <v/>
      </c>
      <c r="AFR24">
        <f>IF('calcA'!P$106=1,DO24+AAD24,1)</f>
        <v/>
      </c>
      <c r="AFS24">
        <f>IF('calcA'!Q$106=1,DP24+AAE24,1)</f>
        <v/>
      </c>
      <c r="AFT24">
        <f>IF('calcA'!R$106=1,DQ24+AAF24,1)</f>
        <v/>
      </c>
      <c r="AFU24">
        <f>IF('calcA'!S$106=1,DR24+AAG24,1)</f>
        <v/>
      </c>
      <c r="AFV24">
        <f>IF('calcA'!T$106=1,DS24+AAH24,1)</f>
        <v/>
      </c>
      <c r="AFW24">
        <f>IF('calcA'!U$106=1,DT24+AAI24,1)</f>
        <v/>
      </c>
      <c r="AFX24">
        <f>IF('calcA'!V$106=1,DU24+AAJ24,1)</f>
        <v/>
      </c>
      <c r="AFY24">
        <f>IF('calcA'!W$106=1,DV24+AAK24,1)</f>
        <v/>
      </c>
      <c r="AFZ24">
        <f>IF('calcA'!X$106=1,DW24+AAL24,1)</f>
        <v/>
      </c>
      <c r="AGA24">
        <f>IF('calcA'!Y$106=1,DX24+AAM24,1)</f>
        <v/>
      </c>
      <c r="AGB24">
        <f>IF('calcA'!Z$106=1,DY24+AAN24,1)</f>
        <v/>
      </c>
      <c r="AGC24">
        <f>IF('calcA'!AA$106=1,DZ24+AAO24,1)</f>
        <v/>
      </c>
      <c r="AGD24">
        <f>IF('calcA'!AB$106=1,EA24+AAP24,1)</f>
        <v/>
      </c>
      <c r="AGE24">
        <f>IF('calcA'!AC$106=1,EB24+AAQ24,1)</f>
        <v/>
      </c>
      <c r="AGF24">
        <f>IF('calcA'!AD$106=1,EC24+AAR24,1)</f>
        <v/>
      </c>
      <c r="AGG24">
        <f>IF('calcA'!AE$106=1,ED24+AAS24,1)</f>
        <v/>
      </c>
      <c r="AGH24">
        <f>IF('calcA'!AF$106=1,EE24+AAT24,1)</f>
        <v/>
      </c>
      <c r="AGI24">
        <f>IF('calcA'!AG$106=1,EF24+AAU24,1)</f>
        <v/>
      </c>
      <c r="AGJ24">
        <f>IF('calcA'!AH$106=1,EG24+AAV24,1)</f>
        <v/>
      </c>
      <c r="AGK24">
        <f>IF('calcA'!AI$106=1,EH24+AAW24,1)</f>
        <v/>
      </c>
      <c r="AGL24">
        <f>IF('calcA'!AJ$106=1,EI24+AAX24,1)</f>
        <v/>
      </c>
      <c r="AGM24">
        <f>IF('calcA'!AK$106=1,EJ24+AAY24,1)</f>
        <v/>
      </c>
      <c r="AGN24">
        <f>IF('calcA'!AL$106=1,EK24+AAZ24,1)</f>
        <v/>
      </c>
      <c r="AGO24">
        <f>IF('calcA'!AM$106=1,EL24+ABA24,1)</f>
        <v/>
      </c>
      <c r="AGP24">
        <f>IF('calcA'!AN$106=1,EM24+ABB24,1)</f>
        <v/>
      </c>
      <c r="AGQ24">
        <f>IF('calcA'!AO$106=1,EN24+ABC24,1)</f>
        <v/>
      </c>
      <c r="AGR24">
        <f>IF('calcA'!AP$106=1,EO24+ABD24,1)</f>
        <v/>
      </c>
      <c r="AGS24">
        <f>IF('calcA'!AQ$106=1,EP24+ABE24,1)</f>
        <v/>
      </c>
      <c r="AGT24">
        <f>IF('calcA'!AR$106=1,EQ24+ABF24,1)</f>
        <v/>
      </c>
      <c r="AGU24">
        <f>IF('calcA'!AS$106=1,ER24+ABG24,1)</f>
        <v/>
      </c>
      <c r="AGV24">
        <f>IF('calcA'!AT$106=1,ES24+ABH24,1)</f>
        <v/>
      </c>
      <c r="AGW24">
        <f>IF('calcA'!AU$106=1,ET24+ABI24,1)</f>
        <v/>
      </c>
      <c r="AGX24">
        <f>IF('calcA'!AV$106=1,EU24+ABJ24,1)</f>
        <v/>
      </c>
      <c r="AGY24">
        <f>IF('calcA'!AW$106=1,EV24+ABK24,1)</f>
        <v/>
      </c>
      <c r="AGZ24">
        <f>IF('calcA'!AX$106=1,EW24+ABL24,1)</f>
        <v/>
      </c>
      <c r="AHA24">
        <f>IF('calcA'!AY$106=1,EX24+ABM24,1)</f>
        <v/>
      </c>
      <c r="AHB24">
        <f>IF('calcA'!AZ$106=1,EY24+ABN24,1)</f>
        <v/>
      </c>
      <c r="AHC24">
        <f>IF('calcA'!BA$106=1,EZ24+ABO24,1)</f>
        <v/>
      </c>
      <c r="AHD24">
        <f>IF('calcA'!BB$106=1,FA24+ABP24,1)</f>
        <v/>
      </c>
      <c r="AHE24">
        <f>IF('calcA'!BC$106=1,FB24+ABQ24,1)</f>
        <v/>
      </c>
      <c r="AHF24">
        <f>IF('calcA'!BD$106=1,FC24+ABR24,1)</f>
        <v/>
      </c>
      <c r="AHG24">
        <f>IF('calcA'!BE$106=1,FD24+ABS24,1)</f>
        <v/>
      </c>
      <c r="AHH24">
        <f>IF('calcA'!BF$106=1,FE24+ABT24,1)</f>
        <v/>
      </c>
      <c r="AHI24">
        <f>IF('calcA'!BG$106=1,FF24+ABU24,1)</f>
        <v/>
      </c>
      <c r="AHJ24">
        <f>IF('calcA'!BH$106=1,FG24+ABV24,1)</f>
        <v/>
      </c>
      <c r="AHK24">
        <f>IF('calcA'!BI$106=1,FH24+ABW24,1)</f>
        <v/>
      </c>
      <c r="AHL24">
        <f>IF('calcA'!BJ$106=1,FI24+ABX24,1)</f>
        <v/>
      </c>
      <c r="AHM24">
        <f>IF('calcA'!BK$106=1,FJ24+ABY24,1)</f>
        <v/>
      </c>
      <c r="AHN24">
        <f>IF('calcA'!BL$106=1,FK24+ABZ24,1)</f>
        <v/>
      </c>
      <c r="AHO24">
        <f>IF('calcA'!BM$106=1,FL24+ACA24,1)</f>
        <v/>
      </c>
      <c r="AHP24">
        <f>IF('calcA'!BN$106=1,FM24+ACB24,1)</f>
        <v/>
      </c>
      <c r="AHQ24">
        <f>IF('calcA'!BO$106=1,FN24+ACC24,1)</f>
        <v/>
      </c>
      <c r="AHR24">
        <f>IF('calcA'!BP$106=1,FO24+ACD24,1)</f>
        <v/>
      </c>
      <c r="AHS24">
        <f>IF('calcA'!BQ$106=1,FP24+ACE24,1)</f>
        <v/>
      </c>
      <c r="AHT24">
        <f>IF('calcA'!BR$106=1,FQ24+ACF24,1)</f>
        <v/>
      </c>
      <c r="AHU24">
        <f>IF('calcA'!BS$106=1,FR24+ACG24,1)</f>
        <v/>
      </c>
      <c r="AHV24">
        <f>IF('calcA'!BT$106=1,FS24+ACH24,1)</f>
        <v/>
      </c>
      <c r="AHW24">
        <f>IF('calcA'!BU$106=1,FT24+ACI24,1)</f>
        <v/>
      </c>
      <c r="AHX24">
        <f>IF('calcA'!BV$106=1,FU24+ACJ24,1)</f>
        <v/>
      </c>
      <c r="AHY24">
        <f>IF('calcA'!BW$106=1,FV24+ACK24,1)</f>
        <v/>
      </c>
      <c r="AHZ24">
        <f>IF('calcA'!BX$106=1,FW24+ACL24,1)</f>
        <v/>
      </c>
      <c r="AIA24">
        <f>IF('calcA'!BY$106=1,FX24+ACM24,1)</f>
        <v/>
      </c>
      <c r="AIB24">
        <f>IF('calcA'!BZ$106=1,FY24+ACN24,1)</f>
        <v/>
      </c>
      <c r="AIC24">
        <f>IF('calcA'!CA$106=1,FZ24+ACO24,1)</f>
        <v/>
      </c>
      <c r="AID24">
        <f>IF('calcA'!CB$106=1,GA24+ACP24,1)</f>
        <v/>
      </c>
      <c r="AIE24">
        <f>IF('calcA'!CC$106=1,GB24+ACQ24,1)</f>
        <v/>
      </c>
      <c r="AIF24">
        <f>IF('calcA'!CD$106=1,GC24+ACR24,1)</f>
        <v/>
      </c>
      <c r="AIG24">
        <f>IF('calcA'!CE$106=1,GD24+ACS24,1)</f>
        <v/>
      </c>
      <c r="AIH24">
        <f>IF('calcA'!CF$106=1,GE24+ACT24,1)</f>
        <v/>
      </c>
      <c r="AII24">
        <f>IF('calcA'!CG$106=1,GF24+ACU24,1)</f>
        <v/>
      </c>
      <c r="AIJ24">
        <f>IF('calcA'!CH$106=1,GG24+ACV24,1)</f>
        <v/>
      </c>
      <c r="AIK24">
        <f>IF('calcA'!CI$106=1,GH24+ACW24,1)</f>
        <v/>
      </c>
      <c r="AIL24">
        <f>IF('calcA'!CJ$106=1,GI24+ACX24,1)</f>
        <v/>
      </c>
      <c r="AIM24">
        <f>IF('calcA'!CK$106=1,GJ24+ACY24,1)</f>
        <v/>
      </c>
      <c r="AIN24">
        <f>IF('calcA'!CL$106=1,GK24+ACZ24,1)</f>
        <v/>
      </c>
      <c r="AIO24">
        <f>IF('calcA'!CM$106=1,GL24+ADA24,1)</f>
        <v/>
      </c>
      <c r="AIP24">
        <f>IF('calcA'!CN$106=1,GM24+ADB24,1)</f>
        <v/>
      </c>
      <c r="AIQ24">
        <f>IF('calcA'!CO$106=1,GN24+ADC24,1)</f>
        <v/>
      </c>
      <c r="AIR24">
        <f>IF('calcA'!CP$106=1,GO24+ADD24,1)</f>
        <v/>
      </c>
      <c r="AIS24">
        <f>IF('calcA'!CQ$106=1,GP24+ADE24,1)</f>
        <v/>
      </c>
      <c r="AIT24">
        <f>IF('calcA'!CR$106=1,GQ24+ADF24,1)</f>
        <v/>
      </c>
      <c r="AIU24">
        <f>IF('calcA'!CS$106=1,GR24+ADG24,1)</f>
        <v/>
      </c>
      <c r="AIV24">
        <f>IF('calcA'!CT$106=1,GS24+ADH24,1)</f>
        <v/>
      </c>
      <c r="AIW24">
        <f>IF('calcA'!CU$106=1,GT24+ADI24,1)</f>
        <v/>
      </c>
      <c r="AIX24">
        <f>IF('calcA'!CV$106=1,GU24+ADJ24,1)</f>
        <v/>
      </c>
      <c r="AIY24">
        <f>IF('calcA'!CW$106=1,GV24+ADK24,1)</f>
        <v/>
      </c>
      <c r="AIZ24">
        <f>IF('calcA'!CX$106=1,GW24+ADL24,1)</f>
        <v/>
      </c>
      <c r="AJA24">
        <f>IF('calcA'!CY$106=1,GX24+ADM24,1)</f>
        <v/>
      </c>
      <c r="AJB24">
        <f>IF('calcA'!CZ$106=1,GY24+ADN24,1)</f>
        <v/>
      </c>
      <c r="AJC24">
        <f>IF('calcA'!DA$106=1,GZ24+ADO24,1)</f>
        <v/>
      </c>
      <c r="AJD24">
        <f>IF('calcA'!DB$106=1,HA24+ADP24,1)</f>
        <v/>
      </c>
      <c r="AJE24">
        <f>IF('calcA'!DC$106=1,HB24+ADQ24,1)</f>
        <v/>
      </c>
      <c r="AJF24">
        <f>IF('calcA'!DD$106=1,HC24+ADR24,1)</f>
        <v/>
      </c>
      <c r="AJG24">
        <f>IF('calcA'!DE$106=1,HD24+ADS24,1)</f>
        <v/>
      </c>
      <c r="AJH24">
        <f>IF('calcA'!DF$106=1,HE24+ADT24,1)</f>
        <v/>
      </c>
      <c r="AJI24">
        <f>IF('calcA'!DG$106=1,HF24+ADU24,1)</f>
        <v/>
      </c>
      <c r="AJJ24">
        <f>IF('calcA'!DH$106=1,HG24+ADV24,1)</f>
        <v/>
      </c>
      <c r="AJK24">
        <f>IF('calcA'!DI$106=1,HH24+ADW24,1)</f>
        <v/>
      </c>
      <c r="AJL24">
        <f>IF('calcA'!DJ$106=1,HI24+ADX24,1)</f>
        <v/>
      </c>
      <c r="AJM24">
        <f>IF('calcA'!DK$106=1,HJ24+ADY24,1)</f>
        <v/>
      </c>
      <c r="AJN24">
        <f>IF('calcA'!DL$106=1,HK24+ADZ24,1)</f>
        <v/>
      </c>
      <c r="AJO24">
        <f>IF('calcA'!DM$106=1,HL24+AEA24,1)</f>
        <v/>
      </c>
      <c r="AJP24">
        <f>IF('calcA'!DN$106=1,HM24+AEB24,1)</f>
        <v/>
      </c>
      <c r="AJQ24">
        <f>IF('calcA'!DO$106=1,HN24+AEC24,1)</f>
        <v/>
      </c>
      <c r="AJR24">
        <f>IF('calcA'!DP$106=1,HO24+AED24,1)</f>
        <v/>
      </c>
      <c r="AJS24">
        <f>IF('calcA'!DQ$106=1,HP24+AEE24,1)</f>
        <v/>
      </c>
      <c r="AJT24">
        <f>IF('calcA'!DR$106=1,HQ24+AEF24,1)</f>
        <v/>
      </c>
      <c r="AJU24">
        <f>IF('calcA'!DS$106=1,HR24+AEG24,1)</f>
        <v/>
      </c>
      <c r="AJV24">
        <f>IF('calcA'!DT$106=1,HS24+AEH24,1)</f>
        <v/>
      </c>
      <c r="AJW24">
        <f>IF('calcA'!DU$106=1,HT24+AEI24,1)</f>
        <v/>
      </c>
      <c r="AJX24">
        <f>IF('calcA'!DV$106=1,HU24+AEJ24,1)</f>
        <v/>
      </c>
      <c r="AJY24">
        <f>IF('calcA'!DW$106=1,HV24+AEK24,1)</f>
        <v/>
      </c>
      <c r="AJZ24">
        <f>IF('calcA'!DX$106=1,HW24+AEL24,1)</f>
        <v/>
      </c>
      <c r="AKA24">
        <f>IF('calcA'!DY$106=1,HX24+AEM24,1)</f>
        <v/>
      </c>
      <c r="AKB24">
        <f>IF('calcA'!DZ$106=1,HY24+AEN24,1)</f>
        <v/>
      </c>
      <c r="AKC24">
        <f>IF('calcA'!EA$106=1,HZ24+AEO24,1)</f>
        <v/>
      </c>
      <c r="AKD24">
        <f>IF('calcA'!EB$106=1,IA24+AEP24,1)</f>
        <v/>
      </c>
      <c r="AKE24">
        <f>IF('calcA'!EC$106=1,IB24+AEQ24,1)</f>
        <v/>
      </c>
      <c r="AKF24">
        <f>IF('calcA'!ED$106=1,IC24+AER24,1)</f>
        <v/>
      </c>
      <c r="AKG24">
        <f>IF('calcA'!EE$106=1,ID24+AES24,1)</f>
        <v/>
      </c>
      <c r="AKH24">
        <f>IF('calcA'!EF$106=1,IE24+AET24,1)</f>
        <v/>
      </c>
      <c r="AKI24">
        <f>IF('calcA'!EG$106=1,IF24+AEU24,1)</f>
        <v/>
      </c>
      <c r="AKJ24">
        <f>IF('calcA'!EH$106=1,IG24+AEV24,1)</f>
        <v/>
      </c>
      <c r="AKK24">
        <f>IF('calcA'!EI$106=1,IH24+AEW24,1)</f>
        <v/>
      </c>
      <c r="AKL24">
        <f>IF('calcA'!EJ$106=1,II24+AEX24,1)</f>
        <v/>
      </c>
      <c r="AKM24">
        <f>IF('calcA'!EK$106=1,IJ24+AEY24,1)</f>
        <v/>
      </c>
      <c r="AKN24">
        <f>IF('calcA'!EL$106=1,IK24+AEZ24,1)</f>
        <v/>
      </c>
      <c r="AKO24">
        <f>IF('calcA'!EM$106=1,IL24+AFA24,1)</f>
        <v/>
      </c>
      <c r="AKP24">
        <f>IF('calcA'!EN$106=1,IM24+AFB24,1)</f>
        <v/>
      </c>
      <c r="AKQ24">
        <f>IF('calcA'!EO$106=1,IN24+AFC24,1)</f>
        <v/>
      </c>
      <c r="AKR24">
        <f>IF('calcA'!EP$106=1,IO24+AFD24,1)</f>
        <v/>
      </c>
      <c r="AKS24" t="n">
        <v>1</v>
      </c>
    </row>
    <row r="25">
      <c r="A25" t="n">
        <v>23</v>
      </c>
      <c r="B25">
        <f>IF(MIN(BM25:CZ25)&gt;=1000000000,0,MATCH(MIN(BM25:CZ25),BM25:CZ25,0))</f>
        <v/>
      </c>
      <c r="C25">
        <f>IF(MIN(OF25:TS25)&gt;=1000000000,0,MATCH(MIN(OF25:TS25),OF25:TS25,0))</f>
        <v/>
      </c>
      <c r="D25">
        <f>IF(C25&gt;0,INDEX('calcA'!$D$5:$EQ$5,C25),0)</f>
        <v/>
      </c>
      <c r="E25">
        <f>IF(B25=0,0,INDEX('calcA'!$IQ$10:$IQ$54,B25))</f>
        <v/>
      </c>
      <c r="F25">
        <f>IF(B25=0,0,INDEX('calcA'!$IP$10:$IP$54,B25))</f>
        <v/>
      </c>
      <c r="G25">
        <f>IF(AND(C25&gt;0,E25&gt;0),IF(AND(INDEX('calcA'!$D$106:$EQ$106,C25)=1,INDEX($IQ25:$OD25,C25)=1),C25+1,0),0)</f>
        <v/>
      </c>
      <c r="H25">
        <f>IF(B25=0,0,INDEX('calcA'!$IW$10:$IW$54,B25))</f>
        <v/>
      </c>
      <c r="U25">
        <f>IF(B25=0,0,INDEX('calcA'!$IX$10:$IX$54,B25))</f>
        <v/>
      </c>
      <c r="V25">
        <f>IF(B25=0,0,INDEX('calcA'!$JF$10:$JF$54,B25))</f>
        <v/>
      </c>
      <c r="W25">
        <f>IF(B25=0,0,IF(IF(E25=2,SUMPRODUCT(INDEX('calcA'!$D$60:$EQ$99,B25,0),$DB25:$IO25,$IQ25:$OD25),SUMPRODUCT(INDEX('calcA'!$D$60:$EQ$99,B25,0),$DB25:$IO25))=0,1,0))</f>
        <v/>
      </c>
      <c r="X25">
        <f>MAX(X24,IF($B24=1,1,0))</f>
        <v/>
      </c>
      <c r="Y25">
        <f>MAX(Y24,IF($B24=2,1,0))</f>
        <v/>
      </c>
      <c r="Z25">
        <f>MAX(Z24,IF($B24=3,1,0))</f>
        <v/>
      </c>
      <c r="AA25">
        <f>MAX(AA24,IF($B24=4,1,0))</f>
        <v/>
      </c>
      <c r="AB25">
        <f>MAX(AB24,IF($B24=5,1,0))</f>
        <v/>
      </c>
      <c r="AC25">
        <f>MAX(AC24,IF($B24=6,1,0))</f>
        <v/>
      </c>
      <c r="AD25">
        <f>MAX(AD24,IF($B24=7,1,0))</f>
        <v/>
      </c>
      <c r="AE25">
        <f>MAX(AE24,IF($B24=8,1,0))</f>
        <v/>
      </c>
      <c r="AF25">
        <f>MAX(AF24,IF($B24=9,1,0))</f>
        <v/>
      </c>
      <c r="AG25">
        <f>MAX(AG24,IF($B24=10,1,0))</f>
        <v/>
      </c>
      <c r="AH25">
        <f>MAX(AH24,IF($B24=11,1,0))</f>
        <v/>
      </c>
      <c r="AI25">
        <f>MAX(AI24,IF($B24=12,1,0))</f>
        <v/>
      </c>
      <c r="AJ25">
        <f>MAX(AJ24,IF($B24=13,1,0))</f>
        <v/>
      </c>
      <c r="AK25">
        <f>MAX(AK24,IF($B24=14,1,0))</f>
        <v/>
      </c>
      <c r="AL25">
        <f>MAX(AL24,IF($B24=15,1,0))</f>
        <v/>
      </c>
      <c r="AM25">
        <f>MAX(AM24,IF($B24=16,1,0))</f>
        <v/>
      </c>
      <c r="AN25">
        <f>MAX(AN24,IF($B24=17,1,0))</f>
        <v/>
      </c>
      <c r="AO25">
        <f>MAX(AO24,IF($B24=18,1,0))</f>
        <v/>
      </c>
      <c r="AP25">
        <f>MAX(AP24,IF($B24=19,1,0))</f>
        <v/>
      </c>
      <c r="AQ25">
        <f>MAX(AQ24,IF($B24=20,1,0))</f>
        <v/>
      </c>
      <c r="AR25">
        <f>MAX(AR24,IF($B24=21,1,0))</f>
        <v/>
      </c>
      <c r="AS25">
        <f>MAX(AS24,IF($B24=22,1,0))</f>
        <v/>
      </c>
      <c r="AT25">
        <f>MAX(AT24,IF($B24=23,1,0))</f>
        <v/>
      </c>
      <c r="AU25">
        <f>MAX(AU24,IF($B24=24,1,0))</f>
        <v/>
      </c>
      <c r="AV25">
        <f>MAX(AV24,IF($B24=25,1,0))</f>
        <v/>
      </c>
      <c r="AW25">
        <f>MAX(AW24,IF($B24=26,1,0))</f>
        <v/>
      </c>
      <c r="AX25">
        <f>MAX(AX24,IF($B24=27,1,0))</f>
        <v/>
      </c>
      <c r="AY25">
        <f>MAX(AY24,IF($B24=28,1,0))</f>
        <v/>
      </c>
      <c r="AZ25">
        <f>MAX(AZ24,IF($B24=29,1,0))</f>
        <v/>
      </c>
      <c r="BA25">
        <f>MAX(BA24,IF($B24=30,1,0))</f>
        <v/>
      </c>
      <c r="BB25">
        <f>MAX(BB24,IF($B24=31,1,0))</f>
        <v/>
      </c>
      <c r="BC25">
        <f>MAX(BC24,IF($B24=32,1,0))</f>
        <v/>
      </c>
      <c r="BD25">
        <f>MAX(BD24,IF($B24=33,1,0))</f>
        <v/>
      </c>
      <c r="BE25">
        <f>MAX(BE24,IF($B24=34,1,0))</f>
        <v/>
      </c>
      <c r="BF25">
        <f>MAX(BF24,IF($B24=35,1,0))</f>
        <v/>
      </c>
      <c r="BG25">
        <f>MAX(BG24,IF($B24=36,1,0))</f>
        <v/>
      </c>
      <c r="BH25">
        <f>MAX(BH24,IF($B24=37,1,0))</f>
        <v/>
      </c>
      <c r="BI25">
        <f>MAX(BI24,IF($B24=38,1,0))</f>
        <v/>
      </c>
      <c r="BJ25">
        <f>MAX(BJ24,IF($B24=39,1,0))</f>
        <v/>
      </c>
      <c r="BK25">
        <f>MAX(BK24,IF($B24=40,1,0))</f>
        <v/>
      </c>
      <c r="BM25">
        <f>IF(OR(X25=1,calcA!$A$6=0),1000000000,IF('calcA'!$JF$10=1,0,100000000)+IF('calcA'!$IQ$10=2,SUMPRODUCT('calcA'!$D$60:$EQ$60,$DB25:$IO25,$IQ25:$OD25)*1000+SUMPRODUCT('calcA'!$D$60:$EQ$60,$DB25:$IO25+$ZQ25:$AFD25,$AFF25:$AKS25),SUMPRODUCT('calcA'!$D$60:$EQ$60,$DB25:$IO25*1001+$ZQ25:$AFD25))*100+1)</f>
        <v/>
      </c>
      <c r="BN25">
        <f>IF(OR(Y25=1,calcA!$A$6=0),1000000000,IF('calcA'!$JF$11=1,0,100000000)+IF('calcA'!$IQ$11=2,SUMPRODUCT('calcA'!$D$61:$EQ$61,$DB25:$IO25,$IQ25:$OD25)*1000+SUMPRODUCT('calcA'!$D$61:$EQ$61,$DB25:$IO25+$ZQ25:$AFD25,$AFF25:$AKS25),SUMPRODUCT('calcA'!$D$61:$EQ$61,$DB25:$IO25*1001+$ZQ25:$AFD25))*100+2)</f>
        <v/>
      </c>
      <c r="BO25">
        <f>IF(OR(Z25=1,calcA!$A$6=0),1000000000,IF('calcA'!$JF$12=1,0,100000000)+IF('calcA'!$IQ$12=2,SUMPRODUCT('calcA'!$D$62:$EQ$62,$DB25:$IO25,$IQ25:$OD25)*1000+SUMPRODUCT('calcA'!$D$62:$EQ$62,$DB25:$IO25+$ZQ25:$AFD25,$AFF25:$AKS25),SUMPRODUCT('calcA'!$D$62:$EQ$62,$DB25:$IO25*1001+$ZQ25:$AFD25))*100+3)</f>
        <v/>
      </c>
      <c r="BP25">
        <f>IF(OR(AA25=1,calcA!$A$6=0),1000000000,IF('calcA'!$JF$13=1,0,100000000)+IF('calcA'!$IQ$13=2,SUMPRODUCT('calcA'!$D$63:$EQ$63,$DB25:$IO25,$IQ25:$OD25)*1000+SUMPRODUCT('calcA'!$D$63:$EQ$63,$DB25:$IO25+$ZQ25:$AFD25,$AFF25:$AKS25),SUMPRODUCT('calcA'!$D$63:$EQ$63,$DB25:$IO25*1001+$ZQ25:$AFD25))*100+4)</f>
        <v/>
      </c>
      <c r="BQ25">
        <f>IF(OR(AB25=1,calcA!$A$6=0),1000000000,IF('calcA'!$JF$14=1,0,100000000)+IF('calcA'!$IQ$14=2,SUMPRODUCT('calcA'!$D$64:$EQ$64,$DB25:$IO25,$IQ25:$OD25)*1000+SUMPRODUCT('calcA'!$D$64:$EQ$64,$DB25:$IO25+$ZQ25:$AFD25,$AFF25:$AKS25),SUMPRODUCT('calcA'!$D$64:$EQ$64,$DB25:$IO25*1001+$ZQ25:$AFD25))*100+5)</f>
        <v/>
      </c>
      <c r="BR25">
        <f>IF(OR(AC25=1,calcA!$A$6=0),1000000000,IF('calcA'!$JF$15=1,0,100000000)+IF('calcA'!$IQ$15=2,SUMPRODUCT('calcA'!$D$65:$EQ$65,$DB25:$IO25,$IQ25:$OD25)*1000+SUMPRODUCT('calcA'!$D$65:$EQ$65,$DB25:$IO25+$ZQ25:$AFD25,$AFF25:$AKS25),SUMPRODUCT('calcA'!$D$65:$EQ$65,$DB25:$IO25*1001+$ZQ25:$AFD25))*100+6)</f>
        <v/>
      </c>
      <c r="BS25">
        <f>IF(OR(AD25=1,calcA!$A$6=0),1000000000,IF('calcA'!$JF$16=1,0,100000000)+IF('calcA'!$IQ$16=2,SUMPRODUCT('calcA'!$D$66:$EQ$66,$DB25:$IO25,$IQ25:$OD25)*1000+SUMPRODUCT('calcA'!$D$66:$EQ$66,$DB25:$IO25+$ZQ25:$AFD25,$AFF25:$AKS25),SUMPRODUCT('calcA'!$D$66:$EQ$66,$DB25:$IO25*1001+$ZQ25:$AFD25))*100+7)</f>
        <v/>
      </c>
      <c r="BT25">
        <f>IF(OR(AE25=1,calcA!$A$6=0),1000000000,IF('calcA'!$JF$17=1,0,100000000)+IF('calcA'!$IQ$17=2,SUMPRODUCT('calcA'!$D$67:$EQ$67,$DB25:$IO25,$IQ25:$OD25)*1000+SUMPRODUCT('calcA'!$D$67:$EQ$67,$DB25:$IO25+$ZQ25:$AFD25,$AFF25:$AKS25),SUMPRODUCT('calcA'!$D$67:$EQ$67,$DB25:$IO25*1001+$ZQ25:$AFD25))*100+8)</f>
        <v/>
      </c>
      <c r="BU25">
        <f>IF(OR(AF25=1,calcA!$A$6=0),1000000000,IF('calcA'!$JF$18=1,0,100000000)+IF('calcA'!$IQ$18=2,SUMPRODUCT('calcA'!$D$68:$EQ$68,$DB25:$IO25,$IQ25:$OD25)*1000+SUMPRODUCT('calcA'!$D$68:$EQ$68,$DB25:$IO25+$ZQ25:$AFD25,$AFF25:$AKS25),SUMPRODUCT('calcA'!$D$68:$EQ$68,$DB25:$IO25*1001+$ZQ25:$AFD25))*100+9)</f>
        <v/>
      </c>
      <c r="BV25">
        <f>IF(OR(AG25=1,calcA!$A$6=0),1000000000,IF('calcA'!$JF$19=1,0,100000000)+IF('calcA'!$IQ$19=2,SUMPRODUCT('calcA'!$D$69:$EQ$69,$DB25:$IO25,$IQ25:$OD25)*1000+SUMPRODUCT('calcA'!$D$69:$EQ$69,$DB25:$IO25+$ZQ25:$AFD25,$AFF25:$AKS25),SUMPRODUCT('calcA'!$D$69:$EQ$69,$DB25:$IO25*1001+$ZQ25:$AFD25))*100+10)</f>
        <v/>
      </c>
      <c r="BW25">
        <f>IF(OR(AH25=1,calcA!$A$6=0),1000000000,IF('calcA'!$JF$20=1,0,100000000)+IF('calcA'!$IQ$20=2,SUMPRODUCT('calcA'!$D$70:$EQ$70,$DB25:$IO25,$IQ25:$OD25)*1000+SUMPRODUCT('calcA'!$D$70:$EQ$70,$DB25:$IO25+$ZQ25:$AFD25,$AFF25:$AKS25),SUMPRODUCT('calcA'!$D$70:$EQ$70,$DB25:$IO25*1001+$ZQ25:$AFD25))*100+11)</f>
        <v/>
      </c>
      <c r="BX25">
        <f>IF(OR(AI25=1,calcA!$A$6=0),1000000000,IF('calcA'!$JF$21=1,0,100000000)+IF('calcA'!$IQ$21=2,SUMPRODUCT('calcA'!$D$71:$EQ$71,$DB25:$IO25,$IQ25:$OD25)*1000+SUMPRODUCT('calcA'!$D$71:$EQ$71,$DB25:$IO25+$ZQ25:$AFD25,$AFF25:$AKS25),SUMPRODUCT('calcA'!$D$71:$EQ$71,$DB25:$IO25*1001+$ZQ25:$AFD25))*100+12)</f>
        <v/>
      </c>
      <c r="BY25">
        <f>IF(OR(AJ25=1,calcA!$A$6=0),1000000000,IF('calcA'!$JF$22=1,0,100000000)+IF('calcA'!$IQ$22=2,SUMPRODUCT('calcA'!$D$72:$EQ$72,$DB25:$IO25,$IQ25:$OD25)*1000+SUMPRODUCT('calcA'!$D$72:$EQ$72,$DB25:$IO25+$ZQ25:$AFD25,$AFF25:$AKS25),SUMPRODUCT('calcA'!$D$72:$EQ$72,$DB25:$IO25*1001+$ZQ25:$AFD25))*100+13)</f>
        <v/>
      </c>
      <c r="BZ25">
        <f>IF(OR(AK25=1,calcA!$A$6=0),1000000000,IF('calcA'!$JF$23=1,0,100000000)+IF('calcA'!$IQ$23=2,SUMPRODUCT('calcA'!$D$73:$EQ$73,$DB25:$IO25,$IQ25:$OD25)*1000+SUMPRODUCT('calcA'!$D$73:$EQ$73,$DB25:$IO25+$ZQ25:$AFD25,$AFF25:$AKS25),SUMPRODUCT('calcA'!$D$73:$EQ$73,$DB25:$IO25*1001+$ZQ25:$AFD25))*100+14)</f>
        <v/>
      </c>
      <c r="CA25">
        <f>IF(OR(AL25=1,calcA!$A$6=0),1000000000,IF('calcA'!$JF$24=1,0,100000000)+IF('calcA'!$IQ$24=2,SUMPRODUCT('calcA'!$D$74:$EQ$74,$DB25:$IO25,$IQ25:$OD25)*1000+SUMPRODUCT('calcA'!$D$74:$EQ$74,$DB25:$IO25+$ZQ25:$AFD25,$AFF25:$AKS25),SUMPRODUCT('calcA'!$D$74:$EQ$74,$DB25:$IO25*1001+$ZQ25:$AFD25))*100+15)</f>
        <v/>
      </c>
      <c r="CB25">
        <f>IF(OR(AM25=1,calcA!$A$6=0),1000000000,IF('calcA'!$JF$25=1,0,100000000)+IF('calcA'!$IQ$25=2,SUMPRODUCT('calcA'!$D$75:$EQ$75,$DB25:$IO25,$IQ25:$OD25)*1000+SUMPRODUCT('calcA'!$D$75:$EQ$75,$DB25:$IO25+$ZQ25:$AFD25,$AFF25:$AKS25),SUMPRODUCT('calcA'!$D$75:$EQ$75,$DB25:$IO25*1001+$ZQ25:$AFD25))*100+16)</f>
        <v/>
      </c>
      <c r="CC25">
        <f>IF(OR(AN25=1,calcA!$A$6=0),1000000000,IF('calcA'!$JF$26=1,0,100000000)+IF('calcA'!$IQ$26=2,SUMPRODUCT('calcA'!$D$76:$EQ$76,$DB25:$IO25,$IQ25:$OD25)*1000+SUMPRODUCT('calcA'!$D$76:$EQ$76,$DB25:$IO25+$ZQ25:$AFD25,$AFF25:$AKS25),SUMPRODUCT('calcA'!$D$76:$EQ$76,$DB25:$IO25*1001+$ZQ25:$AFD25))*100+17)</f>
        <v/>
      </c>
      <c r="CD25">
        <f>IF(OR(AO25=1,calcA!$A$6=0),1000000000,IF('calcA'!$JF$27=1,0,100000000)+IF('calcA'!$IQ$27=2,SUMPRODUCT('calcA'!$D$77:$EQ$77,$DB25:$IO25,$IQ25:$OD25)*1000+SUMPRODUCT('calcA'!$D$77:$EQ$77,$DB25:$IO25+$ZQ25:$AFD25,$AFF25:$AKS25),SUMPRODUCT('calcA'!$D$77:$EQ$77,$DB25:$IO25*1001+$ZQ25:$AFD25))*100+18)</f>
        <v/>
      </c>
      <c r="CE25">
        <f>IF(OR(AP25=1,calcA!$A$6=0),1000000000,IF('calcA'!$JF$28=1,0,100000000)+IF('calcA'!$IQ$28=2,SUMPRODUCT('calcA'!$D$78:$EQ$78,$DB25:$IO25,$IQ25:$OD25)*1000+SUMPRODUCT('calcA'!$D$78:$EQ$78,$DB25:$IO25+$ZQ25:$AFD25,$AFF25:$AKS25),SUMPRODUCT('calcA'!$D$78:$EQ$78,$DB25:$IO25*1001+$ZQ25:$AFD25))*100+19)</f>
        <v/>
      </c>
      <c r="CF25">
        <f>IF(OR(AQ25=1,calcA!$A$6=0),1000000000,IF('calcA'!$JF$29=1,0,100000000)+IF('calcA'!$IQ$29=2,SUMPRODUCT('calcA'!$D$79:$EQ$79,$DB25:$IO25,$IQ25:$OD25)*1000+SUMPRODUCT('calcA'!$D$79:$EQ$79,$DB25:$IO25+$ZQ25:$AFD25,$AFF25:$AKS25),SUMPRODUCT('calcA'!$D$79:$EQ$79,$DB25:$IO25*1001+$ZQ25:$AFD25))*100+20)</f>
        <v/>
      </c>
      <c r="CG25">
        <f>IF(OR(AR25=1,calcA!$A$6=0),1000000000,IF('calcA'!$JF$30=1,0,100000000)+IF('calcA'!$IQ$30=2,SUMPRODUCT('calcA'!$D$80:$EQ$80,$DB25:$IO25,$IQ25:$OD25)*1000+SUMPRODUCT('calcA'!$D$80:$EQ$80,$DB25:$IO25+$ZQ25:$AFD25,$AFF25:$AKS25),SUMPRODUCT('calcA'!$D$80:$EQ$80,$DB25:$IO25*1001+$ZQ25:$AFD25))*100+21)</f>
        <v/>
      </c>
      <c r="CH25">
        <f>IF(OR(AS25=1,calcA!$A$6=0),1000000000,IF('calcA'!$JF$31=1,0,100000000)+IF('calcA'!$IQ$31=2,SUMPRODUCT('calcA'!$D$81:$EQ$81,$DB25:$IO25,$IQ25:$OD25)*1000+SUMPRODUCT('calcA'!$D$81:$EQ$81,$DB25:$IO25+$ZQ25:$AFD25,$AFF25:$AKS25),SUMPRODUCT('calcA'!$D$81:$EQ$81,$DB25:$IO25*1001+$ZQ25:$AFD25))*100+22)</f>
        <v/>
      </c>
      <c r="CI25">
        <f>IF(OR(AT25=1,calcA!$A$6=0),1000000000,IF('calcA'!$JF$32=1,0,100000000)+IF('calcA'!$IQ$32=2,SUMPRODUCT('calcA'!$D$82:$EQ$82,$DB25:$IO25,$IQ25:$OD25)*1000+SUMPRODUCT('calcA'!$D$82:$EQ$82,$DB25:$IO25+$ZQ25:$AFD25,$AFF25:$AKS25),SUMPRODUCT('calcA'!$D$82:$EQ$82,$DB25:$IO25*1001+$ZQ25:$AFD25))*100+23)</f>
        <v/>
      </c>
      <c r="CJ25">
        <f>IF(OR(AU25=1,calcA!$A$6=0),1000000000,IF('calcA'!$JF$33=1,0,100000000)+IF('calcA'!$IQ$33=2,SUMPRODUCT('calcA'!$D$83:$EQ$83,$DB25:$IO25,$IQ25:$OD25)*1000+SUMPRODUCT('calcA'!$D$83:$EQ$83,$DB25:$IO25+$ZQ25:$AFD25,$AFF25:$AKS25),SUMPRODUCT('calcA'!$D$83:$EQ$83,$DB25:$IO25*1001+$ZQ25:$AFD25))*100+24)</f>
        <v/>
      </c>
      <c r="CK25">
        <f>IF(OR(AV25=1,calcA!$A$6=0),1000000000,IF('calcA'!$JF$34=1,0,100000000)+IF('calcA'!$IQ$34=2,SUMPRODUCT('calcA'!$D$84:$EQ$84,$DB25:$IO25,$IQ25:$OD25)*1000+SUMPRODUCT('calcA'!$D$84:$EQ$84,$DB25:$IO25+$ZQ25:$AFD25,$AFF25:$AKS25),SUMPRODUCT('calcA'!$D$84:$EQ$84,$DB25:$IO25*1001+$ZQ25:$AFD25))*100+25)</f>
        <v/>
      </c>
      <c r="CL25">
        <f>IF(OR(AW25=1,calcA!$A$6=0),1000000000,IF('calcA'!$JF$35=1,0,100000000)+IF('calcA'!$IQ$35=2,SUMPRODUCT('calcA'!$D$85:$EQ$85,$DB25:$IO25,$IQ25:$OD25)*1000+SUMPRODUCT('calcA'!$D$85:$EQ$85,$DB25:$IO25+$ZQ25:$AFD25,$AFF25:$AKS25),SUMPRODUCT('calcA'!$D$85:$EQ$85,$DB25:$IO25*1001+$ZQ25:$AFD25))*100+26)</f>
        <v/>
      </c>
      <c r="CM25">
        <f>IF(OR(AX25=1,calcA!$A$6=0),1000000000,IF('calcA'!$JF$36=1,0,100000000)+IF('calcA'!$IQ$36=2,SUMPRODUCT('calcA'!$D$86:$EQ$86,$DB25:$IO25,$IQ25:$OD25)*1000+SUMPRODUCT('calcA'!$D$86:$EQ$86,$DB25:$IO25+$ZQ25:$AFD25,$AFF25:$AKS25),SUMPRODUCT('calcA'!$D$86:$EQ$86,$DB25:$IO25*1001+$ZQ25:$AFD25))*100+27)</f>
        <v/>
      </c>
      <c r="CN25">
        <f>IF(OR(AY25=1,calcA!$A$6=0),1000000000,IF('calcA'!$JF$37=1,0,100000000)+IF('calcA'!$IQ$37=2,SUMPRODUCT('calcA'!$D$87:$EQ$87,$DB25:$IO25,$IQ25:$OD25)*1000+SUMPRODUCT('calcA'!$D$87:$EQ$87,$DB25:$IO25+$ZQ25:$AFD25,$AFF25:$AKS25),SUMPRODUCT('calcA'!$D$87:$EQ$87,$DB25:$IO25*1001+$ZQ25:$AFD25))*100+28)</f>
        <v/>
      </c>
      <c r="CO25">
        <f>IF(OR(AZ25=1,calcA!$A$6=0),1000000000,IF('calcA'!$JF$38=1,0,100000000)+IF('calcA'!$IQ$38=2,SUMPRODUCT('calcA'!$D$88:$EQ$88,$DB25:$IO25,$IQ25:$OD25)*1000+SUMPRODUCT('calcA'!$D$88:$EQ$88,$DB25:$IO25+$ZQ25:$AFD25,$AFF25:$AKS25),SUMPRODUCT('calcA'!$D$88:$EQ$88,$DB25:$IO25*1001+$ZQ25:$AFD25))*100+29)</f>
        <v/>
      </c>
      <c r="CP25">
        <f>IF(OR(BA25=1,calcA!$A$6=0),1000000000,IF('calcA'!$JF$39=1,0,100000000)+IF('calcA'!$IQ$39=2,SUMPRODUCT('calcA'!$D$89:$EQ$89,$DB25:$IO25,$IQ25:$OD25)*1000+SUMPRODUCT('calcA'!$D$89:$EQ$89,$DB25:$IO25+$ZQ25:$AFD25,$AFF25:$AKS25),SUMPRODUCT('calcA'!$D$89:$EQ$89,$DB25:$IO25*1001+$ZQ25:$AFD25))*100+30)</f>
        <v/>
      </c>
      <c r="CQ25">
        <f>IF(OR(BB25=1,calcA!$A$6=0),1000000000,IF('calcA'!$JF$40=1,0,100000000)+IF('calcA'!$IQ$40=2,SUMPRODUCT('calcA'!$D$90:$EQ$90,$DB25:$IO25,$IQ25:$OD25)*1000+SUMPRODUCT('calcA'!$D$90:$EQ$90,$DB25:$IO25+$ZQ25:$AFD25,$AFF25:$AKS25),SUMPRODUCT('calcA'!$D$90:$EQ$90,$DB25:$IO25*1001+$ZQ25:$AFD25))*100+31)</f>
        <v/>
      </c>
      <c r="CR25">
        <f>IF(OR(BC25=1,calcA!$A$6=0),1000000000,IF('calcA'!$JF$41=1,0,100000000)+IF('calcA'!$IQ$41=2,SUMPRODUCT('calcA'!$D$91:$EQ$91,$DB25:$IO25,$IQ25:$OD25)*1000+SUMPRODUCT('calcA'!$D$91:$EQ$91,$DB25:$IO25+$ZQ25:$AFD25,$AFF25:$AKS25),SUMPRODUCT('calcA'!$D$91:$EQ$91,$DB25:$IO25*1001+$ZQ25:$AFD25))*100+32)</f>
        <v/>
      </c>
      <c r="CS25">
        <f>IF(OR(BD25=1,calcA!$A$6=0),1000000000,IF('calcA'!$JF$42=1,0,100000000)+IF('calcA'!$IQ$42=2,SUMPRODUCT('calcA'!$D$92:$EQ$92,$DB25:$IO25,$IQ25:$OD25)*1000+SUMPRODUCT('calcA'!$D$92:$EQ$92,$DB25:$IO25+$ZQ25:$AFD25,$AFF25:$AKS25),SUMPRODUCT('calcA'!$D$92:$EQ$92,$DB25:$IO25*1001+$ZQ25:$AFD25))*100+33)</f>
        <v/>
      </c>
      <c r="CT25">
        <f>IF(OR(BE25=1,calcA!$A$6=0),1000000000,IF('calcA'!$JF$43=1,0,100000000)+IF('calcA'!$IQ$43=2,SUMPRODUCT('calcA'!$D$93:$EQ$93,$DB25:$IO25,$IQ25:$OD25)*1000+SUMPRODUCT('calcA'!$D$93:$EQ$93,$DB25:$IO25+$ZQ25:$AFD25,$AFF25:$AKS25),SUMPRODUCT('calcA'!$D$93:$EQ$93,$DB25:$IO25*1001+$ZQ25:$AFD25))*100+34)</f>
        <v/>
      </c>
      <c r="CU25">
        <f>IF(OR(BF25=1,calcA!$A$6=0),1000000000,IF('calcA'!$JF$44=1,0,100000000)+IF('calcA'!$IQ$44=2,SUMPRODUCT('calcA'!$D$94:$EQ$94,$DB25:$IO25,$IQ25:$OD25)*1000+SUMPRODUCT('calcA'!$D$94:$EQ$94,$DB25:$IO25+$ZQ25:$AFD25,$AFF25:$AKS25),SUMPRODUCT('calcA'!$D$94:$EQ$94,$DB25:$IO25*1001+$ZQ25:$AFD25))*100+35)</f>
        <v/>
      </c>
      <c r="CV25">
        <f>IF(OR(BG25=1,calcA!$A$6=0),1000000000,IF('calcA'!$JF$45=1,0,100000000)+IF('calcA'!$IQ$45=2,SUMPRODUCT('calcA'!$D$95:$EQ$95,$DB25:$IO25,$IQ25:$OD25)*1000+SUMPRODUCT('calcA'!$D$95:$EQ$95,$DB25:$IO25+$ZQ25:$AFD25,$AFF25:$AKS25),SUMPRODUCT('calcA'!$D$95:$EQ$95,$DB25:$IO25*1001+$ZQ25:$AFD25))*100+36)</f>
        <v/>
      </c>
      <c r="CW25">
        <f>IF(OR(BH25=1,calcA!$A$6=0),1000000000,IF('calcA'!$JF$46=1,0,100000000)+IF('calcA'!$IQ$46=2,SUMPRODUCT('calcA'!$D$96:$EQ$96,$DB25:$IO25,$IQ25:$OD25)*1000+SUMPRODUCT('calcA'!$D$96:$EQ$96,$DB25:$IO25+$ZQ25:$AFD25,$AFF25:$AKS25),SUMPRODUCT('calcA'!$D$96:$EQ$96,$DB25:$IO25*1001+$ZQ25:$AFD25))*100+37)</f>
        <v/>
      </c>
      <c r="CX25">
        <f>IF(OR(BI25=1,calcA!$A$6=0),1000000000,IF('calcA'!$JF$47=1,0,100000000)+IF('calcA'!$IQ$47=2,SUMPRODUCT('calcA'!$D$97:$EQ$97,$DB25:$IO25,$IQ25:$OD25)*1000+SUMPRODUCT('calcA'!$D$97:$EQ$97,$DB25:$IO25+$ZQ25:$AFD25,$AFF25:$AKS25),SUMPRODUCT('calcA'!$D$97:$EQ$97,$DB25:$IO25*1001+$ZQ25:$AFD25))*100+38)</f>
        <v/>
      </c>
      <c r="CY25">
        <f>IF(OR(BJ25=1,calcA!$A$6=0),1000000000,IF('calcA'!$JF$48=1,0,100000000)+IF('calcA'!$IQ$48=2,SUMPRODUCT('calcA'!$D$98:$EQ$98,$DB25:$IO25,$IQ25:$OD25)*1000+SUMPRODUCT('calcA'!$D$98:$EQ$98,$DB25:$IO25+$ZQ25:$AFD25,$AFF25:$AKS25),SUMPRODUCT('calcA'!$D$98:$EQ$98,$DB25:$IO25*1001+$ZQ25:$AFD25))*100+39)</f>
        <v/>
      </c>
      <c r="CZ25">
        <f>IF(OR(BK25=1,calcA!$A$6=0),1000000000,IF('calcA'!$JF$49=1,0,100000000)+IF('calcA'!$IQ$49=2,SUMPRODUCT('calcA'!$D$99:$EQ$99,$DB25:$IO25,$IQ25:$OD25)*1000+SUMPRODUCT('calcA'!$D$99:$EQ$99,$DB25:$IO25+$ZQ25:$AFD25,$AFF25:$AKS25),SUMPRODUCT('calcA'!$D$99:$EQ$99,$DB25:$IO25*1001+$ZQ25:$AFD25))*100+40)</f>
        <v/>
      </c>
      <c r="DB25">
        <f>DB24*IF(OR($C24=1,$G24=1),0,1)</f>
        <v/>
      </c>
      <c r="DC25">
        <f>DC24*IF(OR($C24=2,$G24=2),0,1)</f>
        <v/>
      </c>
      <c r="DD25">
        <f>DD24*IF(OR($C24=3,$G24=3),0,1)</f>
        <v/>
      </c>
      <c r="DE25">
        <f>DE24*IF(OR($C24=4,$G24=4),0,1)</f>
        <v/>
      </c>
      <c r="DF25">
        <f>DF24*IF(OR($C24=5,$G24=5),0,1)</f>
        <v/>
      </c>
      <c r="DG25">
        <f>DG24*IF(OR($C24=6,$G24=6),0,1)</f>
        <v/>
      </c>
      <c r="DH25">
        <f>DH24*IF(OR($C24=7,$G24=7),0,1)</f>
        <v/>
      </c>
      <c r="DI25">
        <f>DI24*IF(OR($C24=8,$G24=8),0,1)</f>
        <v/>
      </c>
      <c r="DJ25">
        <f>DJ24*IF(OR($C24=9,$G24=9),0,1)</f>
        <v/>
      </c>
      <c r="DK25">
        <f>DK24*IF(OR($C24=10,$G24=10),0,1)</f>
        <v/>
      </c>
      <c r="DL25">
        <f>DL24*IF(OR($C24=11,$G24=11),0,1)</f>
        <v/>
      </c>
      <c r="DM25">
        <f>DM24*IF(OR($C24=12,$G24=12),0,1)</f>
        <v/>
      </c>
      <c r="DN25">
        <f>DN24*IF(OR($C24=13,$G24=13),0,1)</f>
        <v/>
      </c>
      <c r="DO25">
        <f>DO24*IF(OR($C24=14,$G24=14),0,1)</f>
        <v/>
      </c>
      <c r="DP25">
        <f>DP24*IF(OR($C24=15,$G24=15),0,1)</f>
        <v/>
      </c>
      <c r="DQ25">
        <f>DQ24*IF(OR($C24=16,$G24=16),0,1)</f>
        <v/>
      </c>
      <c r="DR25">
        <f>DR24*IF(OR($C24=17,$G24=17),0,1)</f>
        <v/>
      </c>
      <c r="DS25">
        <f>DS24*IF(OR($C24=18,$G24=18),0,1)</f>
        <v/>
      </c>
      <c r="DT25">
        <f>DT24*IF(OR($C24=19,$G24=19),0,1)</f>
        <v/>
      </c>
      <c r="DU25">
        <f>DU24*IF(OR($C24=20,$G24=20),0,1)</f>
        <v/>
      </c>
      <c r="DV25">
        <f>DV24*IF(OR($C24=21,$G24=21),0,1)</f>
        <v/>
      </c>
      <c r="DW25">
        <f>DW24*IF(OR($C24=22,$G24=22),0,1)</f>
        <v/>
      </c>
      <c r="DX25">
        <f>DX24*IF(OR($C24=23,$G24=23),0,1)</f>
        <v/>
      </c>
      <c r="DY25">
        <f>DY24*IF(OR($C24=24,$G24=24),0,1)</f>
        <v/>
      </c>
      <c r="DZ25">
        <f>DZ24*IF(OR($C24=25,$G24=25),0,1)</f>
        <v/>
      </c>
      <c r="EA25">
        <f>EA24*IF(OR($C24=26,$G24=26),0,1)</f>
        <v/>
      </c>
      <c r="EB25">
        <f>EB24*IF(OR($C24=27,$G24=27),0,1)</f>
        <v/>
      </c>
      <c r="EC25">
        <f>EC24*IF(OR($C24=28,$G24=28),0,1)</f>
        <v/>
      </c>
      <c r="ED25">
        <f>ED24*IF(OR($C24=29,$G24=29),0,1)</f>
        <v/>
      </c>
      <c r="EE25">
        <f>EE24*IF(OR($C24=30,$G24=30),0,1)</f>
        <v/>
      </c>
      <c r="EF25">
        <f>EF24*IF(OR($C24=31,$G24=31),0,1)</f>
        <v/>
      </c>
      <c r="EG25">
        <f>EG24*IF(OR($C24=32,$G24=32),0,1)</f>
        <v/>
      </c>
      <c r="EH25">
        <f>EH24*IF(OR($C24=33,$G24=33),0,1)</f>
        <v/>
      </c>
      <c r="EI25">
        <f>EI24*IF(OR($C24=34,$G24=34),0,1)</f>
        <v/>
      </c>
      <c r="EJ25">
        <f>EJ24*IF(OR($C24=35,$G24=35),0,1)</f>
        <v/>
      </c>
      <c r="EK25">
        <f>EK24*IF(OR($C24=36,$G24=36),0,1)</f>
        <v/>
      </c>
      <c r="EL25">
        <f>EL24*IF(OR($C24=37,$G24=37),0,1)</f>
        <v/>
      </c>
      <c r="EM25">
        <f>EM24*IF(OR($C24=38,$G24=38),0,1)</f>
        <v/>
      </c>
      <c r="EN25">
        <f>EN24*IF(OR($C24=39,$G24=39),0,1)</f>
        <v/>
      </c>
      <c r="EO25">
        <f>EO24*IF(OR($C24=40,$G24=40),0,1)</f>
        <v/>
      </c>
      <c r="EP25">
        <f>EP24*IF(OR($C24=41,$G24=41),0,1)</f>
        <v/>
      </c>
      <c r="EQ25">
        <f>EQ24*IF(OR($C24=42,$G24=42),0,1)</f>
        <v/>
      </c>
      <c r="ER25">
        <f>ER24*IF(OR($C24=43,$G24=43),0,1)</f>
        <v/>
      </c>
      <c r="ES25">
        <f>ES24*IF(OR($C24=44,$G24=44),0,1)</f>
        <v/>
      </c>
      <c r="ET25">
        <f>ET24*IF(OR($C24=45,$G24=45),0,1)</f>
        <v/>
      </c>
      <c r="EU25">
        <f>EU24*IF(OR($C24=46,$G24=46),0,1)</f>
        <v/>
      </c>
      <c r="EV25">
        <f>EV24*IF(OR($C24=47,$G24=47),0,1)</f>
        <v/>
      </c>
      <c r="EW25">
        <f>EW24*IF(OR($C24=48,$G24=48),0,1)</f>
        <v/>
      </c>
      <c r="EX25">
        <f>EX24*IF(OR($C24=49,$G24=49),0,1)</f>
        <v/>
      </c>
      <c r="EY25">
        <f>EY24*IF(OR($C24=50,$G24=50),0,1)</f>
        <v/>
      </c>
      <c r="EZ25">
        <f>EZ24*IF(OR($C24=51,$G24=51),0,1)</f>
        <v/>
      </c>
      <c r="FA25">
        <f>FA24*IF(OR($C24=52,$G24=52),0,1)</f>
        <v/>
      </c>
      <c r="FB25">
        <f>FB24*IF(OR($C24=53,$G24=53),0,1)</f>
        <v/>
      </c>
      <c r="FC25">
        <f>FC24*IF(OR($C24=54,$G24=54),0,1)</f>
        <v/>
      </c>
      <c r="FD25">
        <f>FD24*IF(OR($C24=55,$G24=55),0,1)</f>
        <v/>
      </c>
      <c r="FE25">
        <f>FE24*IF(OR($C24=56,$G24=56),0,1)</f>
        <v/>
      </c>
      <c r="FF25">
        <f>FF24*IF(OR($C24=57,$G24=57),0,1)</f>
        <v/>
      </c>
      <c r="FG25">
        <f>FG24*IF(OR($C24=58,$G24=58),0,1)</f>
        <v/>
      </c>
      <c r="FH25">
        <f>FH24*IF(OR($C24=59,$G24=59),0,1)</f>
        <v/>
      </c>
      <c r="FI25">
        <f>FI24*IF(OR($C24=60,$G24=60),0,1)</f>
        <v/>
      </c>
      <c r="FJ25">
        <f>FJ24*IF(OR($C24=61,$G24=61),0,1)</f>
        <v/>
      </c>
      <c r="FK25">
        <f>FK24*IF(OR($C24=62,$G24=62),0,1)</f>
        <v/>
      </c>
      <c r="FL25">
        <f>FL24*IF(OR($C24=63,$G24=63),0,1)</f>
        <v/>
      </c>
      <c r="FM25">
        <f>FM24*IF(OR($C24=64,$G24=64),0,1)</f>
        <v/>
      </c>
      <c r="FN25">
        <f>FN24*IF(OR($C24=65,$G24=65),0,1)</f>
        <v/>
      </c>
      <c r="FO25">
        <f>FO24*IF(OR($C24=66,$G24=66),0,1)</f>
        <v/>
      </c>
      <c r="FP25">
        <f>FP24*IF(OR($C24=67,$G24=67),0,1)</f>
        <v/>
      </c>
      <c r="FQ25">
        <f>FQ24*IF(OR($C24=68,$G24=68),0,1)</f>
        <v/>
      </c>
      <c r="FR25">
        <f>FR24*IF(OR($C24=69,$G24=69),0,1)</f>
        <v/>
      </c>
      <c r="FS25">
        <f>FS24*IF(OR($C24=70,$G24=70),0,1)</f>
        <v/>
      </c>
      <c r="FT25">
        <f>FT24*IF(OR($C24=71,$G24=71),0,1)</f>
        <v/>
      </c>
      <c r="FU25">
        <f>FU24*IF(OR($C24=72,$G24=72),0,1)</f>
        <v/>
      </c>
      <c r="FV25">
        <f>FV24*IF(OR($C24=73,$G24=73),0,1)</f>
        <v/>
      </c>
      <c r="FW25">
        <f>FW24*IF(OR($C24=74,$G24=74),0,1)</f>
        <v/>
      </c>
      <c r="FX25">
        <f>FX24*IF(OR($C24=75,$G24=75),0,1)</f>
        <v/>
      </c>
      <c r="FY25">
        <f>FY24*IF(OR($C24=76,$G24=76),0,1)</f>
        <v/>
      </c>
      <c r="FZ25">
        <f>FZ24*IF(OR($C24=77,$G24=77),0,1)</f>
        <v/>
      </c>
      <c r="GA25">
        <f>GA24*IF(OR($C24=78,$G24=78),0,1)</f>
        <v/>
      </c>
      <c r="GB25">
        <f>GB24*IF(OR($C24=79,$G24=79),0,1)</f>
        <v/>
      </c>
      <c r="GC25">
        <f>GC24*IF(OR($C24=80,$G24=80),0,1)</f>
        <v/>
      </c>
      <c r="GD25">
        <f>GD24*IF(OR($C24=81,$G24=81),0,1)</f>
        <v/>
      </c>
      <c r="GE25">
        <f>GE24*IF(OR($C24=82,$G24=82),0,1)</f>
        <v/>
      </c>
      <c r="GF25">
        <f>GF24*IF(OR($C24=83,$G24=83),0,1)</f>
        <v/>
      </c>
      <c r="GG25">
        <f>GG24*IF(OR($C24=84,$G24=84),0,1)</f>
        <v/>
      </c>
      <c r="GH25">
        <f>GH24*IF(OR($C24=85,$G24=85),0,1)</f>
        <v/>
      </c>
      <c r="GI25">
        <f>GI24*IF(OR($C24=86,$G24=86),0,1)</f>
        <v/>
      </c>
      <c r="GJ25">
        <f>GJ24*IF(OR($C24=87,$G24=87),0,1)</f>
        <v/>
      </c>
      <c r="GK25">
        <f>GK24*IF(OR($C24=88,$G24=88),0,1)</f>
        <v/>
      </c>
      <c r="GL25">
        <f>GL24*IF(OR($C24=89,$G24=89),0,1)</f>
        <v/>
      </c>
      <c r="GM25">
        <f>GM24*IF(OR($C24=90,$G24=90),0,1)</f>
        <v/>
      </c>
      <c r="GN25">
        <f>GN24*IF(OR($C24=91,$G24=91),0,1)</f>
        <v/>
      </c>
      <c r="GO25">
        <f>GO24*IF(OR($C24=92,$G24=92),0,1)</f>
        <v/>
      </c>
      <c r="GP25">
        <f>GP24*IF(OR($C24=93,$G24=93),0,1)</f>
        <v/>
      </c>
      <c r="GQ25">
        <f>GQ24*IF(OR($C24=94,$G24=94),0,1)</f>
        <v/>
      </c>
      <c r="GR25">
        <f>GR24*IF(OR($C24=95,$G24=95),0,1)</f>
        <v/>
      </c>
      <c r="GS25">
        <f>GS24*IF(OR($C24=96,$G24=96),0,1)</f>
        <v/>
      </c>
      <c r="GT25">
        <f>GT24*IF(OR($C24=97,$G24=97),0,1)</f>
        <v/>
      </c>
      <c r="GU25">
        <f>GU24*IF(OR($C24=98,$G24=98),0,1)</f>
        <v/>
      </c>
      <c r="GV25">
        <f>GV24*IF(OR($C24=99,$G24=99),0,1)</f>
        <v/>
      </c>
      <c r="GW25">
        <f>GW24*IF(OR($C24=100,$G24=100),0,1)</f>
        <v/>
      </c>
      <c r="GX25">
        <f>GX24*IF(OR($C24=101,$G24=101),0,1)</f>
        <v/>
      </c>
      <c r="GY25">
        <f>GY24*IF(OR($C24=102,$G24=102),0,1)</f>
        <v/>
      </c>
      <c r="GZ25">
        <f>GZ24*IF(OR($C24=103,$G24=103),0,1)</f>
        <v/>
      </c>
      <c r="HA25">
        <f>HA24*IF(OR($C24=104,$G24=104),0,1)</f>
        <v/>
      </c>
      <c r="HB25">
        <f>HB24*IF(OR($C24=105,$G24=105),0,1)</f>
        <v/>
      </c>
      <c r="HC25">
        <f>HC24*IF(OR($C24=106,$G24=106),0,1)</f>
        <v/>
      </c>
      <c r="HD25">
        <f>HD24*IF(OR($C24=107,$G24=107),0,1)</f>
        <v/>
      </c>
      <c r="HE25">
        <f>HE24*IF(OR($C24=108,$G24=108),0,1)</f>
        <v/>
      </c>
      <c r="HF25">
        <f>HF24*IF(OR($C24=109,$G24=109),0,1)</f>
        <v/>
      </c>
      <c r="HG25">
        <f>HG24*IF(OR($C24=110,$G24=110),0,1)</f>
        <v/>
      </c>
      <c r="HH25">
        <f>HH24*IF(OR($C24=111,$G24=111),0,1)</f>
        <v/>
      </c>
      <c r="HI25">
        <f>HI24*IF(OR($C24=112,$G24=112),0,1)</f>
        <v/>
      </c>
      <c r="HJ25">
        <f>HJ24*IF(OR($C24=113,$G24=113),0,1)</f>
        <v/>
      </c>
      <c r="HK25">
        <f>HK24*IF(OR($C24=114,$G24=114),0,1)</f>
        <v/>
      </c>
      <c r="HL25">
        <f>HL24*IF(OR($C24=115,$G24=115),0,1)</f>
        <v/>
      </c>
      <c r="HM25">
        <f>HM24*IF(OR($C24=116,$G24=116),0,1)</f>
        <v/>
      </c>
      <c r="HN25">
        <f>HN24*IF(OR($C24=117,$G24=117),0,1)</f>
        <v/>
      </c>
      <c r="HO25">
        <f>HO24*IF(OR($C24=118,$G24=118),0,1)</f>
        <v/>
      </c>
      <c r="HP25">
        <f>HP24*IF(OR($C24=119,$G24=119),0,1)</f>
        <v/>
      </c>
      <c r="HQ25">
        <f>HQ24*IF(OR($C24=120,$G24=120),0,1)</f>
        <v/>
      </c>
      <c r="HR25">
        <f>HR24*IF(OR($C24=121,$G24=121),0,1)</f>
        <v/>
      </c>
      <c r="HS25">
        <f>HS24*IF(OR($C24=122,$G24=122),0,1)</f>
        <v/>
      </c>
      <c r="HT25">
        <f>HT24*IF(OR($C24=123,$G24=123),0,1)</f>
        <v/>
      </c>
      <c r="HU25">
        <f>HU24*IF(OR($C24=124,$G24=124),0,1)</f>
        <v/>
      </c>
      <c r="HV25">
        <f>HV24*IF(OR($C24=125,$G24=125),0,1)</f>
        <v/>
      </c>
      <c r="HW25">
        <f>HW24*IF(OR($C24=126,$G24=126),0,1)</f>
        <v/>
      </c>
      <c r="HX25">
        <f>HX24*IF(OR($C24=127,$G24=127),0,1)</f>
        <v/>
      </c>
      <c r="HY25">
        <f>HY24*IF(OR($C24=128,$G24=128),0,1)</f>
        <v/>
      </c>
      <c r="HZ25">
        <f>HZ24*IF(OR($C24=129,$G24=129),0,1)</f>
        <v/>
      </c>
      <c r="IA25">
        <f>IA24*IF(OR($C24=130,$G24=130),0,1)</f>
        <v/>
      </c>
      <c r="IB25">
        <f>IB24*IF(OR($C24=131,$G24=131),0,1)</f>
        <v/>
      </c>
      <c r="IC25">
        <f>IC24*IF(OR($C24=132,$G24=132),0,1)</f>
        <v/>
      </c>
      <c r="ID25">
        <f>ID24*IF(OR($C24=133,$G24=133),0,1)</f>
        <v/>
      </c>
      <c r="IE25">
        <f>IE24*IF(OR($C24=134,$G24=134),0,1)</f>
        <v/>
      </c>
      <c r="IF25">
        <f>IF24*IF(OR($C24=135,$G24=135),0,1)</f>
        <v/>
      </c>
      <c r="IG25">
        <f>IG24*IF(OR($C24=136,$G24=136),0,1)</f>
        <v/>
      </c>
      <c r="IH25">
        <f>IH24*IF(OR($C24=137,$G24=137),0,1)</f>
        <v/>
      </c>
      <c r="II25">
        <f>II24*IF(OR($C24=138,$G24=138),0,1)</f>
        <v/>
      </c>
      <c r="IJ25">
        <f>IJ24*IF(OR($C24=139,$G24=139),0,1)</f>
        <v/>
      </c>
      <c r="IK25">
        <f>IK24*IF(OR($C24=140,$G24=140),0,1)</f>
        <v/>
      </c>
      <c r="IL25">
        <f>IL24*IF(OR($C24=141,$G24=141),0,1)</f>
        <v/>
      </c>
      <c r="IM25">
        <f>IM24*IF(OR($C24=142,$G24=142),0,1)</f>
        <v/>
      </c>
      <c r="IN25">
        <f>IN24*IF(OR($C24=143,$G24=143),0,1)</f>
        <v/>
      </c>
      <c r="IO25">
        <f>IO24*IF(OR($C24=144,$G24=144),0,1)</f>
        <v/>
      </c>
      <c r="IQ25">
        <f>IF('calcA'!D$106=1,DC25,1)</f>
        <v/>
      </c>
      <c r="IR25">
        <f>IF('calcA'!E$106=1,DD25,1)</f>
        <v/>
      </c>
      <c r="IS25">
        <f>IF('calcA'!F$106=1,DE25,1)</f>
        <v/>
      </c>
      <c r="IT25">
        <f>IF('calcA'!G$106=1,DF25,1)</f>
        <v/>
      </c>
      <c r="IU25">
        <f>IF('calcA'!H$106=1,DG25,1)</f>
        <v/>
      </c>
      <c r="IV25">
        <f>IF('calcA'!I$106=1,DH25,1)</f>
        <v/>
      </c>
      <c r="IW25">
        <f>IF('calcA'!J$106=1,DI25,1)</f>
        <v/>
      </c>
      <c r="IX25">
        <f>IF('calcA'!K$106=1,DJ25,1)</f>
        <v/>
      </c>
      <c r="IY25">
        <f>IF('calcA'!L$106=1,DK25,1)</f>
        <v/>
      </c>
      <c r="IZ25">
        <f>IF('calcA'!M$106=1,DL25,1)</f>
        <v/>
      </c>
      <c r="JA25">
        <f>IF('calcA'!N$106=1,DM25,1)</f>
        <v/>
      </c>
      <c r="JB25">
        <f>IF('calcA'!O$106=1,DN25,1)</f>
        <v/>
      </c>
      <c r="JC25">
        <f>IF('calcA'!P$106=1,DO25,1)</f>
        <v/>
      </c>
      <c r="JD25">
        <f>IF('calcA'!Q$106=1,DP25,1)</f>
        <v/>
      </c>
      <c r="JE25">
        <f>IF('calcA'!R$106=1,DQ25,1)</f>
        <v/>
      </c>
      <c r="JF25">
        <f>IF('calcA'!S$106=1,DR25,1)</f>
        <v/>
      </c>
      <c r="JG25">
        <f>IF('calcA'!T$106=1,DS25,1)</f>
        <v/>
      </c>
      <c r="JH25">
        <f>IF('calcA'!U$106=1,DT25,1)</f>
        <v/>
      </c>
      <c r="JI25">
        <f>IF('calcA'!V$106=1,DU25,1)</f>
        <v/>
      </c>
      <c r="JJ25">
        <f>IF('calcA'!W$106=1,DV25,1)</f>
        <v/>
      </c>
      <c r="JK25">
        <f>IF('calcA'!X$106=1,DW25,1)</f>
        <v/>
      </c>
      <c r="JL25">
        <f>IF('calcA'!Y$106=1,DX25,1)</f>
        <v/>
      </c>
      <c r="JM25">
        <f>IF('calcA'!Z$106=1,DY25,1)</f>
        <v/>
      </c>
      <c r="JN25">
        <f>IF('calcA'!AA$106=1,DZ25,1)</f>
        <v/>
      </c>
      <c r="JO25">
        <f>IF('calcA'!AB$106=1,EA25,1)</f>
        <v/>
      </c>
      <c r="JP25">
        <f>IF('calcA'!AC$106=1,EB25,1)</f>
        <v/>
      </c>
      <c r="JQ25">
        <f>IF('calcA'!AD$106=1,EC25,1)</f>
        <v/>
      </c>
      <c r="JR25">
        <f>IF('calcA'!AE$106=1,ED25,1)</f>
        <v/>
      </c>
      <c r="JS25">
        <f>IF('calcA'!AF$106=1,EE25,1)</f>
        <v/>
      </c>
      <c r="JT25">
        <f>IF('calcA'!AG$106=1,EF25,1)</f>
        <v/>
      </c>
      <c r="JU25">
        <f>IF('calcA'!AH$106=1,EG25,1)</f>
        <v/>
      </c>
      <c r="JV25">
        <f>IF('calcA'!AI$106=1,EH25,1)</f>
        <v/>
      </c>
      <c r="JW25">
        <f>IF('calcA'!AJ$106=1,EI25,1)</f>
        <v/>
      </c>
      <c r="JX25">
        <f>IF('calcA'!AK$106=1,EJ25,1)</f>
        <v/>
      </c>
      <c r="JY25">
        <f>IF('calcA'!AL$106=1,EK25,1)</f>
        <v/>
      </c>
      <c r="JZ25">
        <f>IF('calcA'!AM$106=1,EL25,1)</f>
        <v/>
      </c>
      <c r="KA25">
        <f>IF('calcA'!AN$106=1,EM25,1)</f>
        <v/>
      </c>
      <c r="KB25">
        <f>IF('calcA'!AO$106=1,EN25,1)</f>
        <v/>
      </c>
      <c r="KC25">
        <f>IF('calcA'!AP$106=1,EO25,1)</f>
        <v/>
      </c>
      <c r="KD25">
        <f>IF('calcA'!AQ$106=1,EP25,1)</f>
        <v/>
      </c>
      <c r="KE25">
        <f>IF('calcA'!AR$106=1,EQ25,1)</f>
        <v/>
      </c>
      <c r="KF25">
        <f>IF('calcA'!AS$106=1,ER25,1)</f>
        <v/>
      </c>
      <c r="KG25">
        <f>IF('calcA'!AT$106=1,ES25,1)</f>
        <v/>
      </c>
      <c r="KH25">
        <f>IF('calcA'!AU$106=1,ET25,1)</f>
        <v/>
      </c>
      <c r="KI25">
        <f>IF('calcA'!AV$106=1,EU25,1)</f>
        <v/>
      </c>
      <c r="KJ25">
        <f>IF('calcA'!AW$106=1,EV25,1)</f>
        <v/>
      </c>
      <c r="KK25">
        <f>IF('calcA'!AX$106=1,EW25,1)</f>
        <v/>
      </c>
      <c r="KL25">
        <f>IF('calcA'!AY$106=1,EX25,1)</f>
        <v/>
      </c>
      <c r="KM25">
        <f>IF('calcA'!AZ$106=1,EY25,1)</f>
        <v/>
      </c>
      <c r="KN25">
        <f>IF('calcA'!BA$106=1,EZ25,1)</f>
        <v/>
      </c>
      <c r="KO25">
        <f>IF('calcA'!BB$106=1,FA25,1)</f>
        <v/>
      </c>
      <c r="KP25">
        <f>IF('calcA'!BC$106=1,FB25,1)</f>
        <v/>
      </c>
      <c r="KQ25">
        <f>IF('calcA'!BD$106=1,FC25,1)</f>
        <v/>
      </c>
      <c r="KR25">
        <f>IF('calcA'!BE$106=1,FD25,1)</f>
        <v/>
      </c>
      <c r="KS25">
        <f>IF('calcA'!BF$106=1,FE25,1)</f>
        <v/>
      </c>
      <c r="KT25">
        <f>IF('calcA'!BG$106=1,FF25,1)</f>
        <v/>
      </c>
      <c r="KU25">
        <f>IF('calcA'!BH$106=1,FG25,1)</f>
        <v/>
      </c>
      <c r="KV25">
        <f>IF('calcA'!BI$106=1,FH25,1)</f>
        <v/>
      </c>
      <c r="KW25">
        <f>IF('calcA'!BJ$106=1,FI25,1)</f>
        <v/>
      </c>
      <c r="KX25">
        <f>IF('calcA'!BK$106=1,FJ25,1)</f>
        <v/>
      </c>
      <c r="KY25">
        <f>IF('calcA'!BL$106=1,FK25,1)</f>
        <v/>
      </c>
      <c r="KZ25">
        <f>IF('calcA'!BM$106=1,FL25,1)</f>
        <v/>
      </c>
      <c r="LA25">
        <f>IF('calcA'!BN$106=1,FM25,1)</f>
        <v/>
      </c>
      <c r="LB25">
        <f>IF('calcA'!BO$106=1,FN25,1)</f>
        <v/>
      </c>
      <c r="LC25">
        <f>IF('calcA'!BP$106=1,FO25,1)</f>
        <v/>
      </c>
      <c r="LD25">
        <f>IF('calcA'!BQ$106=1,FP25,1)</f>
        <v/>
      </c>
      <c r="LE25">
        <f>IF('calcA'!BR$106=1,FQ25,1)</f>
        <v/>
      </c>
      <c r="LF25">
        <f>IF('calcA'!BS$106=1,FR25,1)</f>
        <v/>
      </c>
      <c r="LG25">
        <f>IF('calcA'!BT$106=1,FS25,1)</f>
        <v/>
      </c>
      <c r="LH25">
        <f>IF('calcA'!BU$106=1,FT25,1)</f>
        <v/>
      </c>
      <c r="LI25">
        <f>IF('calcA'!BV$106=1,FU25,1)</f>
        <v/>
      </c>
      <c r="LJ25">
        <f>IF('calcA'!BW$106=1,FV25,1)</f>
        <v/>
      </c>
      <c r="LK25">
        <f>IF('calcA'!BX$106=1,FW25,1)</f>
        <v/>
      </c>
      <c r="LL25">
        <f>IF('calcA'!BY$106=1,FX25,1)</f>
        <v/>
      </c>
      <c r="LM25">
        <f>IF('calcA'!BZ$106=1,FY25,1)</f>
        <v/>
      </c>
      <c r="LN25">
        <f>IF('calcA'!CA$106=1,FZ25,1)</f>
        <v/>
      </c>
      <c r="LO25">
        <f>IF('calcA'!CB$106=1,GA25,1)</f>
        <v/>
      </c>
      <c r="LP25">
        <f>IF('calcA'!CC$106=1,GB25,1)</f>
        <v/>
      </c>
      <c r="LQ25">
        <f>IF('calcA'!CD$106=1,GC25,1)</f>
        <v/>
      </c>
      <c r="LR25">
        <f>IF('calcA'!CE$106=1,GD25,1)</f>
        <v/>
      </c>
      <c r="LS25">
        <f>IF('calcA'!CF$106=1,GE25,1)</f>
        <v/>
      </c>
      <c r="LT25">
        <f>IF('calcA'!CG$106=1,GF25,1)</f>
        <v/>
      </c>
      <c r="LU25">
        <f>IF('calcA'!CH$106=1,GG25,1)</f>
        <v/>
      </c>
      <c r="LV25">
        <f>IF('calcA'!CI$106=1,GH25,1)</f>
        <v/>
      </c>
      <c r="LW25">
        <f>IF('calcA'!CJ$106=1,GI25,1)</f>
        <v/>
      </c>
      <c r="LX25">
        <f>IF('calcA'!CK$106=1,GJ25,1)</f>
        <v/>
      </c>
      <c r="LY25">
        <f>IF('calcA'!CL$106=1,GK25,1)</f>
        <v/>
      </c>
      <c r="LZ25">
        <f>IF('calcA'!CM$106=1,GL25,1)</f>
        <v/>
      </c>
      <c r="MA25">
        <f>IF('calcA'!CN$106=1,GM25,1)</f>
        <v/>
      </c>
      <c r="MB25">
        <f>IF('calcA'!CO$106=1,GN25,1)</f>
        <v/>
      </c>
      <c r="MC25">
        <f>IF('calcA'!CP$106=1,GO25,1)</f>
        <v/>
      </c>
      <c r="MD25">
        <f>IF('calcA'!CQ$106=1,GP25,1)</f>
        <v/>
      </c>
      <c r="ME25">
        <f>IF('calcA'!CR$106=1,GQ25,1)</f>
        <v/>
      </c>
      <c r="MF25">
        <f>IF('calcA'!CS$106=1,GR25,1)</f>
        <v/>
      </c>
      <c r="MG25">
        <f>IF('calcA'!CT$106=1,GS25,1)</f>
        <v/>
      </c>
      <c r="MH25">
        <f>IF('calcA'!CU$106=1,GT25,1)</f>
        <v/>
      </c>
      <c r="MI25">
        <f>IF('calcA'!CV$106=1,GU25,1)</f>
        <v/>
      </c>
      <c r="MJ25">
        <f>IF('calcA'!CW$106=1,GV25,1)</f>
        <v/>
      </c>
      <c r="MK25">
        <f>IF('calcA'!CX$106=1,GW25,1)</f>
        <v/>
      </c>
      <c r="ML25">
        <f>IF('calcA'!CY$106=1,GX25,1)</f>
        <v/>
      </c>
      <c r="MM25">
        <f>IF('calcA'!CZ$106=1,GY25,1)</f>
        <v/>
      </c>
      <c r="MN25">
        <f>IF('calcA'!DA$106=1,GZ25,1)</f>
        <v/>
      </c>
      <c r="MO25">
        <f>IF('calcA'!DB$106=1,HA25,1)</f>
        <v/>
      </c>
      <c r="MP25">
        <f>IF('calcA'!DC$106=1,HB25,1)</f>
        <v/>
      </c>
      <c r="MQ25">
        <f>IF('calcA'!DD$106=1,HC25,1)</f>
        <v/>
      </c>
      <c r="MR25">
        <f>IF('calcA'!DE$106=1,HD25,1)</f>
        <v/>
      </c>
      <c r="MS25">
        <f>IF('calcA'!DF$106=1,HE25,1)</f>
        <v/>
      </c>
      <c r="MT25">
        <f>IF('calcA'!DG$106=1,HF25,1)</f>
        <v/>
      </c>
      <c r="MU25">
        <f>IF('calcA'!DH$106=1,HG25,1)</f>
        <v/>
      </c>
      <c r="MV25">
        <f>IF('calcA'!DI$106=1,HH25,1)</f>
        <v/>
      </c>
      <c r="MW25">
        <f>IF('calcA'!DJ$106=1,HI25,1)</f>
        <v/>
      </c>
      <c r="MX25">
        <f>IF('calcA'!DK$106=1,HJ25,1)</f>
        <v/>
      </c>
      <c r="MY25">
        <f>IF('calcA'!DL$106=1,HK25,1)</f>
        <v/>
      </c>
      <c r="MZ25">
        <f>IF('calcA'!DM$106=1,HL25,1)</f>
        <v/>
      </c>
      <c r="NA25">
        <f>IF('calcA'!DN$106=1,HM25,1)</f>
        <v/>
      </c>
      <c r="NB25">
        <f>IF('calcA'!DO$106=1,HN25,1)</f>
        <v/>
      </c>
      <c r="NC25">
        <f>IF('calcA'!DP$106=1,HO25,1)</f>
        <v/>
      </c>
      <c r="ND25">
        <f>IF('calcA'!DQ$106=1,HP25,1)</f>
        <v/>
      </c>
      <c r="NE25">
        <f>IF('calcA'!DR$106=1,HQ25,1)</f>
        <v/>
      </c>
      <c r="NF25">
        <f>IF('calcA'!DS$106=1,HR25,1)</f>
        <v/>
      </c>
      <c r="NG25">
        <f>IF('calcA'!DT$106=1,HS25,1)</f>
        <v/>
      </c>
      <c r="NH25">
        <f>IF('calcA'!DU$106=1,HT25,1)</f>
        <v/>
      </c>
      <c r="NI25">
        <f>IF('calcA'!DV$106=1,HU25,1)</f>
        <v/>
      </c>
      <c r="NJ25">
        <f>IF('calcA'!DW$106=1,HV25,1)</f>
        <v/>
      </c>
      <c r="NK25">
        <f>IF('calcA'!DX$106=1,HW25,1)</f>
        <v/>
      </c>
      <c r="NL25">
        <f>IF('calcA'!DY$106=1,HX25,1)</f>
        <v/>
      </c>
      <c r="NM25">
        <f>IF('calcA'!DZ$106=1,HY25,1)</f>
        <v/>
      </c>
      <c r="NN25">
        <f>IF('calcA'!EA$106=1,HZ25,1)</f>
        <v/>
      </c>
      <c r="NO25">
        <f>IF('calcA'!EB$106=1,IA25,1)</f>
        <v/>
      </c>
      <c r="NP25">
        <f>IF('calcA'!EC$106=1,IB25,1)</f>
        <v/>
      </c>
      <c r="NQ25">
        <f>IF('calcA'!ED$106=1,IC25,1)</f>
        <v/>
      </c>
      <c r="NR25">
        <f>IF('calcA'!EE$106=1,ID25,1)</f>
        <v/>
      </c>
      <c r="NS25">
        <f>IF('calcA'!EF$106=1,IE25,1)</f>
        <v/>
      </c>
      <c r="NT25">
        <f>IF('calcA'!EG$106=1,IF25,1)</f>
        <v/>
      </c>
      <c r="NU25">
        <f>IF('calcA'!EH$106=1,IG25,1)</f>
        <v/>
      </c>
      <c r="NV25">
        <f>IF('calcA'!EI$106=1,IH25,1)</f>
        <v/>
      </c>
      <c r="NW25">
        <f>IF('calcA'!EJ$106=1,II25,1)</f>
        <v/>
      </c>
      <c r="NX25">
        <f>IF('calcA'!EK$106=1,IJ25,1)</f>
        <v/>
      </c>
      <c r="NY25">
        <f>IF('calcA'!EL$106=1,IK25,1)</f>
        <v/>
      </c>
      <c r="NZ25">
        <f>IF('calcA'!EM$106=1,IL25,1)</f>
        <v/>
      </c>
      <c r="OA25">
        <f>IF('calcA'!EN$106=1,IM25,1)</f>
        <v/>
      </c>
      <c r="OB25">
        <f>IF('calcA'!EO$106=1,IN25,1)</f>
        <v/>
      </c>
      <c r="OC25">
        <f>IF('calcA'!EP$106=1,IO25,1)</f>
        <v/>
      </c>
      <c r="OD25" t="n">
        <v>1</v>
      </c>
      <c r="OF25">
        <f>IF($B25=0,1000000000,IF(INDEX('calcA'!$D$60:$EQ$99,$B25,1)*IF($W25=1,DB25+ZQ25,DB25)=1,IF(AND($E25=2,IF($W25=1,AFF25,IQ25)=0),1000000000,IF($V25=1,INDEX('calcA'!$D$130:$EQ$169,$B25,1)+IF(AND($E25=1,IQ25=0),25,0),IF($F25&gt;0,INDEX('calcA'!D$110:D$114,$F25+1)+IF(AND($E25=1,IQ25=0),1000,0),MIN(TU25,20)*400+(IF('calcA'!D$106=1,1-DC25,0))*150+11+'calcA'!D$5*100000+IF(AND($E25=1,IQ25=0),50000,0))+IF($H25=1,INDEX('calcA'!$D$180:$EQ$219,$B25,1)*4000,0)-IF(AND($U25=1,'calcA'!D$117=1,DC25=0),2000,0))),1000000000))</f>
        <v/>
      </c>
      <c r="OG25">
        <f>IF($B25=0,1000000000,IF(INDEX('calcA'!$D$60:$EQ$99,$B25,2)*IF($W25=1,DC25+ZR25,DC25)=1,IF(AND($E25=2,IF($W25=1,AFG25,IR25)=0),1000000000,IF($V25=1,INDEX('calcA'!$D$130:$EQ$169,$B25,2)+IF(AND($E25=1,IR25=0),25,0),IF($F25&gt;0,INDEX('calcA'!E$110:E$114,$F25+1)+IF(AND($E25=1,IR25=0),1000,0),MIN(TU25,20)*400+(IF('calcA'!D$106=1,1-DB25,0)+IF('calcA'!E$106=1,1-DD25,0))*150+21+'calcA'!E$5*100000+IF(AND($E25=1,IR25=0),50000,0))+IF($H25=1,INDEX('calcA'!$D$180:$EQ$219,$B25,2)*4000,0)-IF(AND('calcA'!D$117=1,UB25&gt;0),2000,0)-IF(AND($U25=1,'calcA'!E$117=1,DD25=0),2000,0))),1000000000))</f>
        <v/>
      </c>
      <c r="OH25">
        <f>IF($B25=0,1000000000,IF(INDEX('calcA'!$D$60:$EQ$99,$B25,3)*IF($W25=1,DD25+ZS25,DD25)=1,IF(AND($E25=2,IF($W25=1,AFH25,IS25)=0),1000000000,IF($V25=1,INDEX('calcA'!$D$130:$EQ$169,$B25,3)+IF(AND($E25=1,IS25=0),25,0),IF($F25&gt;0,INDEX('calcA'!F$110:F$114,$F25+1)+IF(AND($E25=1,IS25=0),1000,0),MIN(TU25,20)*400+(IF('calcA'!E$106=1,1-DC25,0)+IF('calcA'!F$106=1,1-DE25,0))*150+31+'calcA'!F$5*100000+IF(AND($E25=1,IS25=0),50000,0))+IF($H25=1,INDEX('calcA'!$D$180:$EQ$219,$B25,3)*4000,0)-IF(AND('calcA'!E$117=1,UC25&gt;0),2000,0)-IF(AND($U25=1,'calcA'!F$117=1,DE25=0),2000,0))),1000000000))</f>
        <v/>
      </c>
      <c r="OI25">
        <f>IF($B25=0,1000000000,IF(INDEX('calcA'!$D$60:$EQ$99,$B25,4)*IF($W25=1,DE25+ZT25,DE25)=1,IF(AND($E25=2,IF($W25=1,AFI25,IT25)=0),1000000000,IF($V25=1,INDEX('calcA'!$D$130:$EQ$169,$B25,4)+IF(AND($E25=1,IT25=0),25,0),IF($F25&gt;0,INDEX('calcA'!G$110:G$114,$F25+1)+IF(AND($E25=1,IT25=0),1000,0),MIN(TU25,20)*400+(IF('calcA'!F$106=1,1-DD25,0)+IF('calcA'!G$106=1,1-DF25,0))*150+41+'calcA'!G$5*100000+IF(AND($E25=1,IT25=0),50000,0))+IF($H25=1,INDEX('calcA'!$D$180:$EQ$219,$B25,4)*4000,0)-IF(AND('calcA'!F$117=1,UD25&gt;0),2000,0)-IF(AND($U25=1,'calcA'!G$117=1,DF25=0),2000,0))),1000000000))</f>
        <v/>
      </c>
      <c r="OJ25">
        <f>IF($B25=0,1000000000,IF(INDEX('calcA'!$D$60:$EQ$99,$B25,5)*IF($W25=1,DF25+ZU25,DF25)=1,IF(AND($E25=2,IF($W25=1,AFJ25,IU25)=0),1000000000,IF($V25=1,INDEX('calcA'!$D$130:$EQ$169,$B25,5)+IF(AND($E25=1,IU25=0),25,0),IF($F25&gt;0,INDEX('calcA'!H$110:H$114,$F25+1)+IF(AND($E25=1,IU25=0),1000,0),MIN(TU25,20)*400+(IF('calcA'!G$106=1,1-DE25,0)+IF('calcA'!H$106=1,1-DG25,0))*150+51+'calcA'!H$5*100000+IF(AND($E25=1,IU25=0),50000,0))+IF($H25=1,INDEX('calcA'!$D$180:$EQ$219,$B25,5)*4000,0)-IF(AND('calcA'!G$117=1,UE25&gt;0),2000,0)-IF(AND($U25=1,'calcA'!H$117=1,DG25=0),2000,0))),1000000000))</f>
        <v/>
      </c>
      <c r="OK25">
        <f>IF($B25=0,1000000000,IF(INDEX('calcA'!$D$60:$EQ$99,$B25,6)*IF($W25=1,DG25+ZV25,DG25)=1,IF(AND($E25=2,IF($W25=1,AFK25,IV25)=0),1000000000,IF($V25=1,INDEX('calcA'!$D$130:$EQ$169,$B25,6)+IF(AND($E25=1,IV25=0),25,0),IF($F25&gt;0,INDEX('calcA'!I$110:I$114,$F25+1)+IF(AND($E25=1,IV25=0),1000,0),MIN(TU25,20)*400+(IF('calcA'!H$106=1,1-DF25,0)+IF('calcA'!I$106=1,1-DH25,0))*150+61+'calcA'!I$5*100000+IF(AND($E25=1,IV25=0),50000,0))+IF($H25=1,INDEX('calcA'!$D$180:$EQ$219,$B25,6)*4000,0)-IF(AND('calcA'!H$117=1,UF25&gt;0),2000,0)-IF(AND($U25=1,'calcA'!I$117=1,DH25=0),2000,0))),1000000000))</f>
        <v/>
      </c>
      <c r="OL25">
        <f>IF($B25=0,1000000000,IF(INDEX('calcA'!$D$60:$EQ$99,$B25,7)*IF($W25=1,DH25+ZW25,DH25)=1,IF(AND($E25=2,IF($W25=1,AFL25,IW25)=0),1000000000,IF($V25=1,INDEX('calcA'!$D$130:$EQ$169,$B25,7)+IF(AND($E25=1,IW25=0),25,0),IF($F25&gt;0,INDEX('calcA'!J$110:J$114,$F25+1)+IF(AND($E25=1,IW25=0),1000,0),MIN(TU25,20)*400+(IF('calcA'!I$106=1,1-DG25,0)+IF('calcA'!J$106=1,1-DI25,0))*150+71+'calcA'!J$5*100000+IF(AND($E25=1,IW25=0),50000,0))+IF($H25=1,INDEX('calcA'!$D$180:$EQ$219,$B25,7)*4000,0)-IF(AND('calcA'!I$117=1,UG25&gt;0),2000,0)-IF(AND($U25=1,'calcA'!J$117=1,DI25=0),2000,0))),1000000000))</f>
        <v/>
      </c>
      <c r="OM25">
        <f>IF($B25=0,1000000000,IF(INDEX('calcA'!$D$60:$EQ$99,$B25,8)*IF($W25=1,DI25+ZX25,DI25)=1,IF(AND($E25=2,IF($W25=1,AFM25,IX25)=0),1000000000,IF($V25=1,INDEX('calcA'!$D$130:$EQ$169,$B25,8)+IF(AND($E25=1,IX25=0),25,0),IF($F25&gt;0,INDEX('calcA'!K$110:K$114,$F25+1)+IF(AND($E25=1,IX25=0),1000,0),MIN(TU25,20)*400+(IF('calcA'!J$106=1,1-DH25,0)+IF('calcA'!K$106=1,1-DJ25,0))*150+81+'calcA'!K$5*100000+IF(AND($E25=1,IX25=0),50000,0))+IF($H25=1,INDEX('calcA'!$D$180:$EQ$219,$B25,8)*4000,0)-IF(AND('calcA'!J$117=1,UH25&gt;0),2000,0)-IF(AND($U25=1,'calcA'!K$117=1,DJ25=0),2000,0))),1000000000))</f>
        <v/>
      </c>
      <c r="ON25">
        <f>IF($B25=0,1000000000,IF(INDEX('calcA'!$D$60:$EQ$99,$B25,9)*IF($W25=1,DJ25+ZY25,DJ25)=1,IF(AND($E25=2,IF($W25=1,AFN25,IY25)=0),1000000000,IF($V25=1,INDEX('calcA'!$D$130:$EQ$169,$B25,9)+IF(AND($E25=1,IY25=0),25,0),IF($F25&gt;0,INDEX('calcA'!L$110:L$114,$F25+1)+IF(AND($E25=1,IY25=0),1000,0),MIN(TU25,20)*400+(IF('calcA'!K$106=1,1-DI25,0)+IF('calcA'!L$106=1,1-DK25,0))*150+91+'calcA'!L$5*100000+IF(AND($E25=1,IY25=0),50000,0))+IF($H25=1,INDEX('calcA'!$D$180:$EQ$219,$B25,9)*4000,0)-IF(AND('calcA'!K$117=1,UI25&gt;0),2000,0)-IF(AND($U25=1,'calcA'!L$117=1,DK25=0),2000,0))),1000000000))</f>
        <v/>
      </c>
      <c r="OO25">
        <f>IF($B25=0,1000000000,IF(INDEX('calcA'!$D$60:$EQ$99,$B25,10)*IF($W25=1,DK25+ZZ25,DK25)=1,IF(AND($E25=2,IF($W25=1,AFO25,IZ25)=0),1000000000,IF($V25=1,INDEX('calcA'!$D$130:$EQ$169,$B25,10)+IF(AND($E25=1,IZ25=0),25,0),IF($F25&gt;0,INDEX('calcA'!M$110:M$114,$F25+1)+IF(AND($E25=1,IZ25=0),1000,0),MIN(TU25,20)*400+(IF('calcA'!L$106=1,1-DJ25,0)+IF('calcA'!M$106=1,1-DL25,0))*150+101+'calcA'!M$5*100000+IF(AND($E25=1,IZ25=0),50000,0))+IF($H25=1,INDEX('calcA'!$D$180:$EQ$219,$B25,10)*4000,0)-IF(AND('calcA'!L$117=1,UJ25&gt;0),2000,0)-IF(AND($U25=1,'calcA'!M$117=1,DL25=0),2000,0))),1000000000))</f>
        <v/>
      </c>
      <c r="OP25">
        <f>IF($B25=0,1000000000,IF(INDEX('calcA'!$D$60:$EQ$99,$B25,11)*IF($W25=1,DL25+AAA25,DL25)=1,IF(AND($E25=2,IF($W25=1,AFP25,JA25)=0),1000000000,IF($V25=1,INDEX('calcA'!$D$130:$EQ$169,$B25,11)+IF(AND($E25=1,JA25=0),25,0),IF($F25&gt;0,INDEX('calcA'!N$110:N$114,$F25+1)+IF(AND($E25=1,JA25=0),1000,0),MIN(TU25,20)*400+(IF('calcA'!M$106=1,1-DK25,0)+IF('calcA'!N$106=1,1-DM25,0))*150+111+'calcA'!N$5*100000+IF(AND($E25=1,JA25=0),50000,0))+IF($H25=1,INDEX('calcA'!$D$180:$EQ$219,$B25,11)*4000,0)-IF(AND('calcA'!M$117=1,UK25&gt;0),2000,0)-IF(AND($U25=1,'calcA'!N$117=1,DM25=0),2000,0))),1000000000))</f>
        <v/>
      </c>
      <c r="OQ25">
        <f>IF($B25=0,1000000000,IF(INDEX('calcA'!$D$60:$EQ$99,$B25,12)*IF($W25=1,DM25+AAB25,DM25)=1,IF(AND($E25=2,IF($W25=1,AFQ25,JB25)=0),1000000000,IF($V25=1,INDEX('calcA'!$D$130:$EQ$169,$B25,12)+IF(AND($E25=1,JB25=0),25,0),IF($F25&gt;0,INDEX('calcA'!O$110:O$114,$F25+1)+IF(AND($E25=1,JB25=0),1000,0),MIN(TU25,20)*400+(IF('calcA'!N$106=1,1-DL25,0)+IF('calcA'!O$106=1,1-DN25,0))*150+121+'calcA'!O$5*100000+IF(AND($E25=1,JB25=0),50000,0))+IF($H25=1,INDEX('calcA'!$D$180:$EQ$219,$B25,12)*4000,0)-IF(AND('calcA'!N$117=1,UL25&gt;0),2000,0)-IF(AND($U25=1,'calcA'!O$117=1,DN25=0),2000,0))),1000000000))</f>
        <v/>
      </c>
      <c r="OR25">
        <f>IF($B25=0,1000000000,IF(INDEX('calcA'!$D$60:$EQ$99,$B25,13)*IF($W25=1,DN25+AAC25,DN25)=1,IF(AND($E25=2,IF($W25=1,AFR25,JC25)=0),1000000000,IF($V25=1,INDEX('calcA'!$D$130:$EQ$169,$B25,13)+IF(AND($E25=1,JC25=0),25,0),IF($F25&gt;0,INDEX('calcA'!P$110:P$114,$F25+1)+IF(AND($E25=1,JC25=0),1000,0),MIN(TU25,20)*400+(IF('calcA'!O$106=1,1-DM25,0)+IF('calcA'!P$106=1,1-DO25,0))*150+131+'calcA'!P$5*100000+IF(AND($E25=1,JC25=0),50000,0))+IF($H25=1,INDEX('calcA'!$D$180:$EQ$219,$B25,13)*4000,0)-IF(AND('calcA'!O$117=1,UM25&gt;0),2000,0)-IF(AND($U25=1,'calcA'!P$117=1,DO25=0),2000,0))),1000000000))</f>
        <v/>
      </c>
      <c r="OS25">
        <f>IF($B25=0,1000000000,IF(INDEX('calcA'!$D$60:$EQ$99,$B25,14)*IF($W25=1,DO25+AAD25,DO25)=1,IF(AND($E25=2,IF($W25=1,AFS25,JD25)=0),1000000000,IF($V25=1,INDEX('calcA'!$D$130:$EQ$169,$B25,14)+IF(AND($E25=1,JD25=0),25,0),IF($F25&gt;0,INDEX('calcA'!Q$110:Q$114,$F25+1)+IF(AND($E25=1,JD25=0),1000,0),MIN(TU25,20)*400+(IF('calcA'!P$106=1,1-DN25,0)+IF('calcA'!Q$106=1,1-DP25,0))*150+141+'calcA'!Q$5*100000+IF(AND($E25=1,JD25=0),50000,0))+IF($H25=1,INDEX('calcA'!$D$180:$EQ$219,$B25,14)*4000,0)-IF(AND('calcA'!P$117=1,UN25&gt;0),2000,0)-IF(AND($U25=1,'calcA'!Q$117=1,DP25=0),2000,0))),1000000000))</f>
        <v/>
      </c>
      <c r="OT25">
        <f>IF($B25=0,1000000000,IF(INDEX('calcA'!$D$60:$EQ$99,$B25,15)*IF($W25=1,DP25+AAE25,DP25)=1,IF(AND($E25=2,IF($W25=1,AFT25,JE25)=0),1000000000,IF($V25=1,INDEX('calcA'!$D$130:$EQ$169,$B25,15)+IF(AND($E25=1,JE25=0),25,0),IF($F25&gt;0,INDEX('calcA'!R$110:R$114,$F25+1)+IF(AND($E25=1,JE25=0),1000,0),MIN(TU25,20)*400+(IF('calcA'!Q$106=1,1-DO25,0)+IF('calcA'!R$106=1,1-DQ25,0))*150+151+'calcA'!R$5*100000+IF(AND($E25=1,JE25=0),50000,0))+IF($H25=1,INDEX('calcA'!$D$180:$EQ$219,$B25,15)*4000,0)-IF(AND('calcA'!Q$117=1,UO25&gt;0),2000,0)-IF(AND($U25=1,'calcA'!R$117=1,DQ25=0),2000,0))),1000000000))</f>
        <v/>
      </c>
      <c r="OU25">
        <f>IF($B25=0,1000000000,IF(INDEX('calcA'!$D$60:$EQ$99,$B25,16)*IF($W25=1,DQ25+AAF25,DQ25)=1,IF(AND($E25=2,IF($W25=1,AFU25,JF25)=0),1000000000,IF($V25=1,INDEX('calcA'!$D$130:$EQ$169,$B25,16)+IF(AND($E25=1,JF25=0),25,0),IF($F25&gt;0,INDEX('calcA'!S$110:S$114,$F25+1)+IF(AND($E25=1,JF25=0),1000,0),MIN(TU25,20)*400+(IF('calcA'!R$106=1,1-DP25,0)+IF('calcA'!S$106=1,1-DR25,0))*150+161+'calcA'!S$5*100000+IF(AND($E25=1,JF25=0),50000,0))+IF($H25=1,INDEX('calcA'!$D$180:$EQ$219,$B25,16)*4000,0)-IF(AND('calcA'!R$117=1,UP25&gt;0),2000,0)-IF(AND($U25=1,'calcA'!S$117=1,DR25=0),2000,0))),1000000000))</f>
        <v/>
      </c>
      <c r="OV25">
        <f>IF($B25=0,1000000000,IF(INDEX('calcA'!$D$60:$EQ$99,$B25,17)*IF($W25=1,DR25+AAG25,DR25)=1,IF(AND($E25=2,IF($W25=1,AFV25,JG25)=0),1000000000,IF($V25=1,INDEX('calcA'!$D$130:$EQ$169,$B25,17)+IF(AND($E25=1,JG25=0),25,0),IF($F25&gt;0,INDEX('calcA'!T$110:T$114,$F25+1)+IF(AND($E25=1,JG25=0),1000,0),MIN(TU25,20)*400+(IF('calcA'!S$106=1,1-DQ25,0)+IF('calcA'!T$106=1,1-DS25,0))*150+171+'calcA'!T$5*100000+IF(AND($E25=1,JG25=0),50000,0))+IF($H25=1,INDEX('calcA'!$D$180:$EQ$219,$B25,17)*4000,0)-IF(AND('calcA'!S$117=1,UQ25&gt;0),2000,0)-IF(AND($U25=1,'calcA'!T$117=1,DS25=0),2000,0))),1000000000))</f>
        <v/>
      </c>
      <c r="OW25">
        <f>IF($B25=0,1000000000,IF(INDEX('calcA'!$D$60:$EQ$99,$B25,18)*IF($W25=1,DS25+AAH25,DS25)=1,IF(AND($E25=2,IF($W25=1,AFW25,JH25)=0),1000000000,IF($V25=1,INDEX('calcA'!$D$130:$EQ$169,$B25,18)+IF(AND($E25=1,JH25=0),25,0),IF($F25&gt;0,INDEX('calcA'!U$110:U$114,$F25+1)+IF(AND($E25=1,JH25=0),1000,0),MIN(TU25,20)*400+(IF('calcA'!T$106=1,1-DR25,0)+IF('calcA'!U$106=1,1-DT25,0))*150+181+'calcA'!U$5*100000+IF(AND($E25=1,JH25=0),50000,0))+IF($H25=1,INDEX('calcA'!$D$180:$EQ$219,$B25,18)*4000,0)-IF(AND('calcA'!T$117=1,UR25&gt;0),2000,0)-IF(AND($U25=1,'calcA'!U$117=1,DT25=0),2000,0))),1000000000))</f>
        <v/>
      </c>
      <c r="OX25">
        <f>IF($B25=0,1000000000,IF(INDEX('calcA'!$D$60:$EQ$99,$B25,19)*IF($W25=1,DT25+AAI25,DT25)=1,IF(AND($E25=2,IF($W25=1,AFX25,JI25)=0),1000000000,IF($V25=1,INDEX('calcA'!$D$130:$EQ$169,$B25,19)+IF(AND($E25=1,JI25=0),25,0),IF($F25&gt;0,INDEX('calcA'!V$110:V$114,$F25+1)+IF(AND($E25=1,JI25=0),1000,0),MIN(TU25,20)*400+(IF('calcA'!U$106=1,1-DS25,0)+IF('calcA'!V$106=1,1-DU25,0))*150+191+'calcA'!V$5*100000+IF(AND($E25=1,JI25=0),50000,0))+IF($H25=1,INDEX('calcA'!$D$180:$EQ$219,$B25,19)*4000,0)-IF(AND('calcA'!U$117=1,US25&gt;0),2000,0)-IF(AND($U25=1,'calcA'!V$117=1,DU25=0),2000,0))),1000000000))</f>
        <v/>
      </c>
      <c r="OY25">
        <f>IF($B25=0,1000000000,IF(INDEX('calcA'!$D$60:$EQ$99,$B25,20)*IF($W25=1,DU25+AAJ25,DU25)=1,IF(AND($E25=2,IF($W25=1,AFY25,JJ25)=0),1000000000,IF($V25=1,INDEX('calcA'!$D$130:$EQ$169,$B25,20)+IF(AND($E25=1,JJ25=0),25,0),IF($F25&gt;0,INDEX('calcA'!W$110:W$114,$F25+1)+IF(AND($E25=1,JJ25=0),1000,0),MIN(TU25,20)*400+(IF('calcA'!V$106=1,1-DT25,0)+IF('calcA'!W$106=1,1-DV25,0))*150+201+'calcA'!W$5*100000+IF(AND($E25=1,JJ25=0),50000,0))+IF($H25=1,INDEX('calcA'!$D$180:$EQ$219,$B25,20)*4000,0)-IF(AND('calcA'!V$117=1,UT25&gt;0),2000,0)-IF(AND($U25=1,'calcA'!W$117=1,DV25=0),2000,0))),1000000000))</f>
        <v/>
      </c>
      <c r="OZ25">
        <f>IF($B25=0,1000000000,IF(INDEX('calcA'!$D$60:$EQ$99,$B25,21)*IF($W25=1,DV25+AAK25,DV25)=1,IF(AND($E25=2,IF($W25=1,AFZ25,JK25)=0),1000000000,IF($V25=1,INDEX('calcA'!$D$130:$EQ$169,$B25,21)+IF(AND($E25=1,JK25=0),25,0),IF($F25&gt;0,INDEX('calcA'!X$110:X$114,$F25+1)+IF(AND($E25=1,JK25=0),1000,0),MIN(TU25,20)*400+(IF('calcA'!W$106=1,1-DU25,0)+IF('calcA'!X$106=1,1-DW25,0))*150+211+'calcA'!X$5*100000+IF(AND($E25=1,JK25=0),50000,0))+IF($H25=1,INDEX('calcA'!$D$180:$EQ$219,$B25,21)*4000,0)-IF(AND('calcA'!W$117=1,UU25&gt;0),2000,0)-IF(AND($U25=1,'calcA'!X$117=1,DW25=0),2000,0))),1000000000))</f>
        <v/>
      </c>
      <c r="PA25">
        <f>IF($B25=0,1000000000,IF(INDEX('calcA'!$D$60:$EQ$99,$B25,22)*IF($W25=1,DW25+AAL25,DW25)=1,IF(AND($E25=2,IF($W25=1,AGA25,JL25)=0),1000000000,IF($V25=1,INDEX('calcA'!$D$130:$EQ$169,$B25,22)+IF(AND($E25=1,JL25=0),25,0),IF($F25&gt;0,INDEX('calcA'!Y$110:Y$114,$F25+1)+IF(AND($E25=1,JL25=0),1000,0),MIN(TU25,20)*400+(IF('calcA'!X$106=1,1-DV25,0)+IF('calcA'!Y$106=1,1-DX25,0))*150+221+'calcA'!Y$5*100000+IF(AND($E25=1,JL25=0),50000,0))+IF($H25=1,INDEX('calcA'!$D$180:$EQ$219,$B25,22)*4000,0)-IF(AND('calcA'!X$117=1,UV25&gt;0),2000,0)-IF(AND($U25=1,'calcA'!Y$117=1,DX25=0),2000,0))),1000000000))</f>
        <v/>
      </c>
      <c r="PB25">
        <f>IF($B25=0,1000000000,IF(INDEX('calcA'!$D$60:$EQ$99,$B25,23)*IF($W25=1,DX25+AAM25,DX25)=1,IF(AND($E25=2,IF($W25=1,AGB25,JM25)=0),1000000000,IF($V25=1,INDEX('calcA'!$D$130:$EQ$169,$B25,23)+IF(AND($E25=1,JM25=0),25,0),IF($F25&gt;0,INDEX('calcA'!Z$110:Z$114,$F25+1)+IF(AND($E25=1,JM25=0),1000,0),MIN(TU25,20)*400+(IF('calcA'!Y$106=1,1-DW25,0)+IF('calcA'!Z$106=1,1-DY25,0))*150+231+'calcA'!Z$5*100000+IF(AND($E25=1,JM25=0),50000,0))+IF($H25=1,INDEX('calcA'!$D$180:$EQ$219,$B25,23)*4000,0)-IF(AND('calcA'!Y$117=1,UW25&gt;0),2000,0)-IF(AND($U25=1,'calcA'!Z$117=1,DY25=0),2000,0))),1000000000))</f>
        <v/>
      </c>
      <c r="PC25">
        <f>IF($B25=0,1000000000,IF(INDEX('calcA'!$D$60:$EQ$99,$B25,24)*IF($W25=1,DY25+AAN25,DY25)=1,IF(AND($E25=2,IF($W25=1,AGC25,JN25)=0),1000000000,IF($V25=1,INDEX('calcA'!$D$130:$EQ$169,$B25,24)+IF(AND($E25=1,JN25=0),25,0),IF($F25&gt;0,INDEX('calcA'!AA$110:AA$114,$F25+1)+IF(AND($E25=1,JN25=0),1000,0),MIN(TU25,20)*400+(IF('calcA'!Z$106=1,1-DX25,0))*150+241+'calcA'!AA$5*100000+IF(AND($E25=1,JN25=0),50000,0))+IF($H25=1,INDEX('calcA'!$D$180:$EQ$219,$B25,24)*4000,0)-IF(AND('calcA'!Z$117=1,UX25&gt;0),2000,0))),1000000000))</f>
        <v/>
      </c>
      <c r="PD25">
        <f>IF($B25=0,1000000000,IF(INDEX('calcA'!$D$60:$EQ$99,$B25,25)*IF($W25=1,DZ25+AAO25,DZ25)=1,IF(AND($E25=2,IF($W25=1,AGD25,JO25)=0),1000000000,IF($V25=1,INDEX('calcA'!$D$130:$EQ$169,$B25,25)+IF(AND($E25=1,JO25=0),25,0),IF($F25&gt;0,INDEX('calcA'!AB$110:AB$114,$F25+1)+IF(AND($E25=1,JO25=0),1000,0),MIN(TV25,20)*400+(IF('calcA'!AB$106=1,1-EA25,0))*150+12+'calcA'!AB$5*100000+IF(AND($E25=1,JO25=0),50000,0))+IF($H25=1,INDEX('calcA'!$D$180:$EQ$219,$B25,25)*4000,0)-IF(AND($U25=1,'calcA'!AB$117=1,EA25=0),2000,0))),1000000000))</f>
        <v/>
      </c>
      <c r="PE25">
        <f>IF($B25=0,1000000000,IF(INDEX('calcA'!$D$60:$EQ$99,$B25,26)*IF($W25=1,EA25+AAP25,EA25)=1,IF(AND($E25=2,IF($W25=1,AGE25,JP25)=0),1000000000,IF($V25=1,INDEX('calcA'!$D$130:$EQ$169,$B25,26)+IF(AND($E25=1,JP25=0),25,0),IF($F25&gt;0,INDEX('calcA'!AC$110:AC$114,$F25+1)+IF(AND($E25=1,JP25=0),1000,0),MIN(TV25,20)*400+(IF('calcA'!AB$106=1,1-DZ25,0)+IF('calcA'!AC$106=1,1-EB25,0))*150+22+'calcA'!AC$5*100000+IF(AND($E25=1,JP25=0),50000,0))+IF($H25=1,INDEX('calcA'!$D$180:$EQ$219,$B25,26)*4000,0)-IF(AND('calcA'!AB$117=1,UZ25&gt;0),2000,0)-IF(AND($U25=1,'calcA'!AC$117=1,EB25=0),2000,0))),1000000000))</f>
        <v/>
      </c>
      <c r="PF25">
        <f>IF($B25=0,1000000000,IF(INDEX('calcA'!$D$60:$EQ$99,$B25,27)*IF($W25=1,EB25+AAQ25,EB25)=1,IF(AND($E25=2,IF($W25=1,AGF25,JQ25)=0),1000000000,IF($V25=1,INDEX('calcA'!$D$130:$EQ$169,$B25,27)+IF(AND($E25=1,JQ25=0),25,0),IF($F25&gt;0,INDEX('calcA'!AD$110:AD$114,$F25+1)+IF(AND($E25=1,JQ25=0),1000,0),MIN(TV25,20)*400+(IF('calcA'!AC$106=1,1-EA25,0)+IF('calcA'!AD$106=1,1-EC25,0))*150+32+'calcA'!AD$5*100000+IF(AND($E25=1,JQ25=0),50000,0))+IF($H25=1,INDEX('calcA'!$D$180:$EQ$219,$B25,27)*4000,0)-IF(AND('calcA'!AC$117=1,VA25&gt;0),2000,0)-IF(AND($U25=1,'calcA'!AD$117=1,EC25=0),2000,0))),1000000000))</f>
        <v/>
      </c>
      <c r="PG25">
        <f>IF($B25=0,1000000000,IF(INDEX('calcA'!$D$60:$EQ$99,$B25,28)*IF($W25=1,EC25+AAR25,EC25)=1,IF(AND($E25=2,IF($W25=1,AGG25,JR25)=0),1000000000,IF($V25=1,INDEX('calcA'!$D$130:$EQ$169,$B25,28)+IF(AND($E25=1,JR25=0),25,0),IF($F25&gt;0,INDEX('calcA'!AE$110:AE$114,$F25+1)+IF(AND($E25=1,JR25=0),1000,0),MIN(TV25,20)*400+(IF('calcA'!AD$106=1,1-EB25,0)+IF('calcA'!AE$106=1,1-ED25,0))*150+42+'calcA'!AE$5*100000+IF(AND($E25=1,JR25=0),50000,0))+IF($H25=1,INDEX('calcA'!$D$180:$EQ$219,$B25,28)*4000,0)-IF(AND('calcA'!AD$117=1,VB25&gt;0),2000,0)-IF(AND($U25=1,'calcA'!AE$117=1,ED25=0),2000,0))),1000000000))</f>
        <v/>
      </c>
      <c r="PH25">
        <f>IF($B25=0,1000000000,IF(INDEX('calcA'!$D$60:$EQ$99,$B25,29)*IF($W25=1,ED25+AAS25,ED25)=1,IF(AND($E25=2,IF($W25=1,AGH25,JS25)=0),1000000000,IF($V25=1,INDEX('calcA'!$D$130:$EQ$169,$B25,29)+IF(AND($E25=1,JS25=0),25,0),IF($F25&gt;0,INDEX('calcA'!AF$110:AF$114,$F25+1)+IF(AND($E25=1,JS25=0),1000,0),MIN(TV25,20)*400+(IF('calcA'!AE$106=1,1-EC25,0)+IF('calcA'!AF$106=1,1-EE25,0))*150+52+'calcA'!AF$5*100000+IF(AND($E25=1,JS25=0),50000,0))+IF($H25=1,INDEX('calcA'!$D$180:$EQ$219,$B25,29)*4000,0)-IF(AND('calcA'!AE$117=1,VC25&gt;0),2000,0)-IF(AND($U25=1,'calcA'!AF$117=1,EE25=0),2000,0))),1000000000))</f>
        <v/>
      </c>
      <c r="PI25">
        <f>IF($B25=0,1000000000,IF(INDEX('calcA'!$D$60:$EQ$99,$B25,30)*IF($W25=1,EE25+AAT25,EE25)=1,IF(AND($E25=2,IF($W25=1,AGI25,JT25)=0),1000000000,IF($V25=1,INDEX('calcA'!$D$130:$EQ$169,$B25,30)+IF(AND($E25=1,JT25=0),25,0),IF($F25&gt;0,INDEX('calcA'!AG$110:AG$114,$F25+1)+IF(AND($E25=1,JT25=0),1000,0),MIN(TV25,20)*400+(IF('calcA'!AF$106=1,1-ED25,0)+IF('calcA'!AG$106=1,1-EF25,0))*150+62+'calcA'!AG$5*100000+IF(AND($E25=1,JT25=0),50000,0))+IF($H25=1,INDEX('calcA'!$D$180:$EQ$219,$B25,30)*4000,0)-IF(AND('calcA'!AF$117=1,VD25&gt;0),2000,0)-IF(AND($U25=1,'calcA'!AG$117=1,EF25=0),2000,0))),1000000000))</f>
        <v/>
      </c>
      <c r="PJ25">
        <f>IF($B25=0,1000000000,IF(INDEX('calcA'!$D$60:$EQ$99,$B25,31)*IF($W25=1,EF25+AAU25,EF25)=1,IF(AND($E25=2,IF($W25=1,AGJ25,JU25)=0),1000000000,IF($V25=1,INDEX('calcA'!$D$130:$EQ$169,$B25,31)+IF(AND($E25=1,JU25=0),25,0),IF($F25&gt;0,INDEX('calcA'!AH$110:AH$114,$F25+1)+IF(AND($E25=1,JU25=0),1000,0),MIN(TV25,20)*400+(IF('calcA'!AG$106=1,1-EE25,0)+IF('calcA'!AH$106=1,1-EG25,0))*150+72+'calcA'!AH$5*100000+IF(AND($E25=1,JU25=0),50000,0))+IF($H25=1,INDEX('calcA'!$D$180:$EQ$219,$B25,31)*4000,0)-IF(AND('calcA'!AG$117=1,VE25&gt;0),2000,0)-IF(AND($U25=1,'calcA'!AH$117=1,EG25=0),2000,0))),1000000000))</f>
        <v/>
      </c>
      <c r="PK25">
        <f>IF($B25=0,1000000000,IF(INDEX('calcA'!$D$60:$EQ$99,$B25,32)*IF($W25=1,EG25+AAV25,EG25)=1,IF(AND($E25=2,IF($W25=1,AGK25,JV25)=0),1000000000,IF($V25=1,INDEX('calcA'!$D$130:$EQ$169,$B25,32)+IF(AND($E25=1,JV25=0),25,0),IF($F25&gt;0,INDEX('calcA'!AI$110:AI$114,$F25+1)+IF(AND($E25=1,JV25=0),1000,0),MIN(TV25,20)*400+(IF('calcA'!AH$106=1,1-EF25,0)+IF('calcA'!AI$106=1,1-EH25,0))*150+82+'calcA'!AI$5*100000+IF(AND($E25=1,JV25=0),50000,0))+IF($H25=1,INDEX('calcA'!$D$180:$EQ$219,$B25,32)*4000,0)-IF(AND('calcA'!AH$117=1,VF25&gt;0),2000,0)-IF(AND($U25=1,'calcA'!AI$117=1,EH25=0),2000,0))),1000000000))</f>
        <v/>
      </c>
      <c r="PL25">
        <f>IF($B25=0,1000000000,IF(INDEX('calcA'!$D$60:$EQ$99,$B25,33)*IF($W25=1,EH25+AAW25,EH25)=1,IF(AND($E25=2,IF($W25=1,AGL25,JW25)=0),1000000000,IF($V25=1,INDEX('calcA'!$D$130:$EQ$169,$B25,33)+IF(AND($E25=1,JW25=0),25,0),IF($F25&gt;0,INDEX('calcA'!AJ$110:AJ$114,$F25+1)+IF(AND($E25=1,JW25=0),1000,0),MIN(TV25,20)*400+(IF('calcA'!AI$106=1,1-EG25,0)+IF('calcA'!AJ$106=1,1-EI25,0))*150+92+'calcA'!AJ$5*100000+IF(AND($E25=1,JW25=0),50000,0))+IF($H25=1,INDEX('calcA'!$D$180:$EQ$219,$B25,33)*4000,0)-IF(AND('calcA'!AI$117=1,VG25&gt;0),2000,0)-IF(AND($U25=1,'calcA'!AJ$117=1,EI25=0),2000,0))),1000000000))</f>
        <v/>
      </c>
      <c r="PM25">
        <f>IF($B25=0,1000000000,IF(INDEX('calcA'!$D$60:$EQ$99,$B25,34)*IF($W25=1,EI25+AAX25,EI25)=1,IF(AND($E25=2,IF($W25=1,AGM25,JX25)=0),1000000000,IF($V25=1,INDEX('calcA'!$D$130:$EQ$169,$B25,34)+IF(AND($E25=1,JX25=0),25,0),IF($F25&gt;0,INDEX('calcA'!AK$110:AK$114,$F25+1)+IF(AND($E25=1,JX25=0),1000,0),MIN(TV25,20)*400+(IF('calcA'!AJ$106=1,1-EH25,0)+IF('calcA'!AK$106=1,1-EJ25,0))*150+102+'calcA'!AK$5*100000+IF(AND($E25=1,JX25=0),50000,0))+IF($H25=1,INDEX('calcA'!$D$180:$EQ$219,$B25,34)*4000,0)-IF(AND('calcA'!AJ$117=1,VH25&gt;0),2000,0)-IF(AND($U25=1,'calcA'!AK$117=1,EJ25=0),2000,0))),1000000000))</f>
        <v/>
      </c>
      <c r="PN25">
        <f>IF($B25=0,1000000000,IF(INDEX('calcA'!$D$60:$EQ$99,$B25,35)*IF($W25=1,EJ25+AAY25,EJ25)=1,IF(AND($E25=2,IF($W25=1,AGN25,JY25)=0),1000000000,IF($V25=1,INDEX('calcA'!$D$130:$EQ$169,$B25,35)+IF(AND($E25=1,JY25=0),25,0),IF($F25&gt;0,INDEX('calcA'!AL$110:AL$114,$F25+1)+IF(AND($E25=1,JY25=0),1000,0),MIN(TV25,20)*400+(IF('calcA'!AK$106=1,1-EI25,0)+IF('calcA'!AL$106=1,1-EK25,0))*150+112+'calcA'!AL$5*100000+IF(AND($E25=1,JY25=0),50000,0))+IF($H25=1,INDEX('calcA'!$D$180:$EQ$219,$B25,35)*4000,0)-IF(AND('calcA'!AK$117=1,VI25&gt;0),2000,0)-IF(AND($U25=1,'calcA'!AL$117=1,EK25=0),2000,0))),1000000000))</f>
        <v/>
      </c>
      <c r="PO25">
        <f>IF($B25=0,1000000000,IF(INDEX('calcA'!$D$60:$EQ$99,$B25,36)*IF($W25=1,EK25+AAZ25,EK25)=1,IF(AND($E25=2,IF($W25=1,AGO25,JZ25)=0),1000000000,IF($V25=1,INDEX('calcA'!$D$130:$EQ$169,$B25,36)+IF(AND($E25=1,JZ25=0),25,0),IF($F25&gt;0,INDEX('calcA'!AM$110:AM$114,$F25+1)+IF(AND($E25=1,JZ25=0),1000,0),MIN(TV25,20)*400+(IF('calcA'!AL$106=1,1-EJ25,0)+IF('calcA'!AM$106=1,1-EL25,0))*150+122+'calcA'!AM$5*100000+IF(AND($E25=1,JZ25=0),50000,0))+IF($H25=1,INDEX('calcA'!$D$180:$EQ$219,$B25,36)*4000,0)-IF(AND('calcA'!AL$117=1,VJ25&gt;0),2000,0)-IF(AND($U25=1,'calcA'!AM$117=1,EL25=0),2000,0))),1000000000))</f>
        <v/>
      </c>
      <c r="PP25">
        <f>IF($B25=0,1000000000,IF(INDEX('calcA'!$D$60:$EQ$99,$B25,37)*IF($W25=1,EL25+ABA25,EL25)=1,IF(AND($E25=2,IF($W25=1,AGP25,KA25)=0),1000000000,IF($V25=1,INDEX('calcA'!$D$130:$EQ$169,$B25,37)+IF(AND($E25=1,KA25=0),25,0),IF($F25&gt;0,INDEX('calcA'!AN$110:AN$114,$F25+1)+IF(AND($E25=1,KA25=0),1000,0),MIN(TV25,20)*400+(IF('calcA'!AM$106=1,1-EK25,0)+IF('calcA'!AN$106=1,1-EM25,0))*150+132+'calcA'!AN$5*100000+IF(AND($E25=1,KA25=0),50000,0))+IF($H25=1,INDEX('calcA'!$D$180:$EQ$219,$B25,37)*4000,0)-IF(AND('calcA'!AM$117=1,VK25&gt;0),2000,0)-IF(AND($U25=1,'calcA'!AN$117=1,EM25=0),2000,0))),1000000000))</f>
        <v/>
      </c>
      <c r="PQ25">
        <f>IF($B25=0,1000000000,IF(INDEX('calcA'!$D$60:$EQ$99,$B25,38)*IF($W25=1,EM25+ABB25,EM25)=1,IF(AND($E25=2,IF($W25=1,AGQ25,KB25)=0),1000000000,IF($V25=1,INDEX('calcA'!$D$130:$EQ$169,$B25,38)+IF(AND($E25=1,KB25=0),25,0),IF($F25&gt;0,INDEX('calcA'!AO$110:AO$114,$F25+1)+IF(AND($E25=1,KB25=0),1000,0),MIN(TV25,20)*400+(IF('calcA'!AN$106=1,1-EL25,0)+IF('calcA'!AO$106=1,1-EN25,0))*150+142+'calcA'!AO$5*100000+IF(AND($E25=1,KB25=0),50000,0))+IF($H25=1,INDEX('calcA'!$D$180:$EQ$219,$B25,38)*4000,0)-IF(AND('calcA'!AN$117=1,VL25&gt;0),2000,0)-IF(AND($U25=1,'calcA'!AO$117=1,EN25=0),2000,0))),1000000000))</f>
        <v/>
      </c>
      <c r="PR25">
        <f>IF($B25=0,1000000000,IF(INDEX('calcA'!$D$60:$EQ$99,$B25,39)*IF($W25=1,EN25+ABC25,EN25)=1,IF(AND($E25=2,IF($W25=1,AGR25,KC25)=0),1000000000,IF($V25=1,INDEX('calcA'!$D$130:$EQ$169,$B25,39)+IF(AND($E25=1,KC25=0),25,0),IF($F25&gt;0,INDEX('calcA'!AP$110:AP$114,$F25+1)+IF(AND($E25=1,KC25=0),1000,0),MIN(TV25,20)*400+(IF('calcA'!AO$106=1,1-EM25,0)+IF('calcA'!AP$106=1,1-EO25,0))*150+152+'calcA'!AP$5*100000+IF(AND($E25=1,KC25=0),50000,0))+IF($H25=1,INDEX('calcA'!$D$180:$EQ$219,$B25,39)*4000,0)-IF(AND('calcA'!AO$117=1,VM25&gt;0),2000,0)-IF(AND($U25=1,'calcA'!AP$117=1,EO25=0),2000,0))),1000000000))</f>
        <v/>
      </c>
      <c r="PS25">
        <f>IF($B25=0,1000000000,IF(INDEX('calcA'!$D$60:$EQ$99,$B25,40)*IF($W25=1,EO25+ABD25,EO25)=1,IF(AND($E25=2,IF($W25=1,AGS25,KD25)=0),1000000000,IF($V25=1,INDEX('calcA'!$D$130:$EQ$169,$B25,40)+IF(AND($E25=1,KD25=0),25,0),IF($F25&gt;0,INDEX('calcA'!AQ$110:AQ$114,$F25+1)+IF(AND($E25=1,KD25=0),1000,0),MIN(TV25,20)*400+(IF('calcA'!AP$106=1,1-EN25,0)+IF('calcA'!AQ$106=1,1-EP25,0))*150+162+'calcA'!AQ$5*100000+IF(AND($E25=1,KD25=0),50000,0))+IF($H25=1,INDEX('calcA'!$D$180:$EQ$219,$B25,40)*4000,0)-IF(AND('calcA'!AP$117=1,VN25&gt;0),2000,0)-IF(AND($U25=1,'calcA'!AQ$117=1,EP25=0),2000,0))),1000000000))</f>
        <v/>
      </c>
      <c r="PT25">
        <f>IF($B25=0,1000000000,IF(INDEX('calcA'!$D$60:$EQ$99,$B25,41)*IF($W25=1,EP25+ABE25,EP25)=1,IF(AND($E25=2,IF($W25=1,AGT25,KE25)=0),1000000000,IF($V25=1,INDEX('calcA'!$D$130:$EQ$169,$B25,41)+IF(AND($E25=1,KE25=0),25,0),IF($F25&gt;0,INDEX('calcA'!AR$110:AR$114,$F25+1)+IF(AND($E25=1,KE25=0),1000,0),MIN(TV25,20)*400+(IF('calcA'!AQ$106=1,1-EO25,0)+IF('calcA'!AR$106=1,1-EQ25,0))*150+172+'calcA'!AR$5*100000+IF(AND($E25=1,KE25=0),50000,0))+IF($H25=1,INDEX('calcA'!$D$180:$EQ$219,$B25,41)*4000,0)-IF(AND('calcA'!AQ$117=1,VO25&gt;0),2000,0)-IF(AND($U25=1,'calcA'!AR$117=1,EQ25=0),2000,0))),1000000000))</f>
        <v/>
      </c>
      <c r="PU25">
        <f>IF($B25=0,1000000000,IF(INDEX('calcA'!$D$60:$EQ$99,$B25,42)*IF($W25=1,EQ25+ABF25,EQ25)=1,IF(AND($E25=2,IF($W25=1,AGU25,KF25)=0),1000000000,IF($V25=1,INDEX('calcA'!$D$130:$EQ$169,$B25,42)+IF(AND($E25=1,KF25=0),25,0),IF($F25&gt;0,INDEX('calcA'!AS$110:AS$114,$F25+1)+IF(AND($E25=1,KF25=0),1000,0),MIN(TV25,20)*400+(IF('calcA'!AR$106=1,1-EP25,0)+IF('calcA'!AS$106=1,1-ER25,0))*150+182+'calcA'!AS$5*100000+IF(AND($E25=1,KF25=0),50000,0))+IF($H25=1,INDEX('calcA'!$D$180:$EQ$219,$B25,42)*4000,0)-IF(AND('calcA'!AR$117=1,VP25&gt;0),2000,0)-IF(AND($U25=1,'calcA'!AS$117=1,ER25=0),2000,0))),1000000000))</f>
        <v/>
      </c>
      <c r="PV25">
        <f>IF($B25=0,1000000000,IF(INDEX('calcA'!$D$60:$EQ$99,$B25,43)*IF($W25=1,ER25+ABG25,ER25)=1,IF(AND($E25=2,IF($W25=1,AGV25,KG25)=0),1000000000,IF($V25=1,INDEX('calcA'!$D$130:$EQ$169,$B25,43)+IF(AND($E25=1,KG25=0),25,0),IF($F25&gt;0,INDEX('calcA'!AT$110:AT$114,$F25+1)+IF(AND($E25=1,KG25=0),1000,0),MIN(TV25,20)*400+(IF('calcA'!AS$106=1,1-EQ25,0)+IF('calcA'!AT$106=1,1-ES25,0))*150+192+'calcA'!AT$5*100000+IF(AND($E25=1,KG25=0),50000,0))+IF($H25=1,INDEX('calcA'!$D$180:$EQ$219,$B25,43)*4000,0)-IF(AND('calcA'!AS$117=1,VQ25&gt;0),2000,0)-IF(AND($U25=1,'calcA'!AT$117=1,ES25=0),2000,0))),1000000000))</f>
        <v/>
      </c>
      <c r="PW25">
        <f>IF($B25=0,1000000000,IF(INDEX('calcA'!$D$60:$EQ$99,$B25,44)*IF($W25=1,ES25+ABH25,ES25)=1,IF(AND($E25=2,IF($W25=1,AGW25,KH25)=0),1000000000,IF($V25=1,INDEX('calcA'!$D$130:$EQ$169,$B25,44)+IF(AND($E25=1,KH25=0),25,0),IF($F25&gt;0,INDEX('calcA'!AU$110:AU$114,$F25+1)+IF(AND($E25=1,KH25=0),1000,0),MIN(TV25,20)*400+(IF('calcA'!AT$106=1,1-ER25,0)+IF('calcA'!AU$106=1,1-ET25,0))*150+202+'calcA'!AU$5*100000+IF(AND($E25=1,KH25=0),50000,0))+IF($H25=1,INDEX('calcA'!$D$180:$EQ$219,$B25,44)*4000,0)-IF(AND('calcA'!AT$117=1,VR25&gt;0),2000,0)-IF(AND($U25=1,'calcA'!AU$117=1,ET25=0),2000,0))),1000000000))</f>
        <v/>
      </c>
      <c r="PX25">
        <f>IF($B25=0,1000000000,IF(INDEX('calcA'!$D$60:$EQ$99,$B25,45)*IF($W25=1,ET25+ABI25,ET25)=1,IF(AND($E25=2,IF($W25=1,AGX25,KI25)=0),1000000000,IF($V25=1,INDEX('calcA'!$D$130:$EQ$169,$B25,45)+IF(AND($E25=1,KI25=0),25,0),IF($F25&gt;0,INDEX('calcA'!AV$110:AV$114,$F25+1)+IF(AND($E25=1,KI25=0),1000,0),MIN(TV25,20)*400+(IF('calcA'!AU$106=1,1-ES25,0)+IF('calcA'!AV$106=1,1-EU25,0))*150+212+'calcA'!AV$5*100000+IF(AND($E25=1,KI25=0),50000,0))+IF($H25=1,INDEX('calcA'!$D$180:$EQ$219,$B25,45)*4000,0)-IF(AND('calcA'!AU$117=1,VS25&gt;0),2000,0)-IF(AND($U25=1,'calcA'!AV$117=1,EU25=0),2000,0))),1000000000))</f>
        <v/>
      </c>
      <c r="PY25">
        <f>IF($B25=0,1000000000,IF(INDEX('calcA'!$D$60:$EQ$99,$B25,46)*IF($W25=1,EU25+ABJ25,EU25)=1,IF(AND($E25=2,IF($W25=1,AGY25,KJ25)=0),1000000000,IF($V25=1,INDEX('calcA'!$D$130:$EQ$169,$B25,46)+IF(AND($E25=1,KJ25=0),25,0),IF($F25&gt;0,INDEX('calcA'!AW$110:AW$114,$F25+1)+IF(AND($E25=1,KJ25=0),1000,0),MIN(TV25,20)*400+(IF('calcA'!AV$106=1,1-ET25,0)+IF('calcA'!AW$106=1,1-EV25,0))*150+222+'calcA'!AW$5*100000+IF(AND($E25=1,KJ25=0),50000,0))+IF($H25=1,INDEX('calcA'!$D$180:$EQ$219,$B25,46)*4000,0)-IF(AND('calcA'!AV$117=1,VT25&gt;0),2000,0)-IF(AND($U25=1,'calcA'!AW$117=1,EV25=0),2000,0))),1000000000))</f>
        <v/>
      </c>
      <c r="PZ25">
        <f>IF($B25=0,1000000000,IF(INDEX('calcA'!$D$60:$EQ$99,$B25,47)*IF($W25=1,EV25+ABK25,EV25)=1,IF(AND($E25=2,IF($W25=1,AGZ25,KK25)=0),1000000000,IF($V25=1,INDEX('calcA'!$D$130:$EQ$169,$B25,47)+IF(AND($E25=1,KK25=0),25,0),IF($F25&gt;0,INDEX('calcA'!AX$110:AX$114,$F25+1)+IF(AND($E25=1,KK25=0),1000,0),MIN(TV25,20)*400+(IF('calcA'!AW$106=1,1-EU25,0)+IF('calcA'!AX$106=1,1-EW25,0))*150+232+'calcA'!AX$5*100000+IF(AND($E25=1,KK25=0),50000,0))+IF($H25=1,INDEX('calcA'!$D$180:$EQ$219,$B25,47)*4000,0)-IF(AND('calcA'!AW$117=1,VU25&gt;0),2000,0)-IF(AND($U25=1,'calcA'!AX$117=1,EW25=0),2000,0))),1000000000))</f>
        <v/>
      </c>
      <c r="QA25">
        <f>IF($B25=0,1000000000,IF(INDEX('calcA'!$D$60:$EQ$99,$B25,48)*IF($W25=1,EW25+ABL25,EW25)=1,IF(AND($E25=2,IF($W25=1,AHA25,KL25)=0),1000000000,IF($V25=1,INDEX('calcA'!$D$130:$EQ$169,$B25,48)+IF(AND($E25=1,KL25=0),25,0),IF($F25&gt;0,INDEX('calcA'!AY$110:AY$114,$F25+1)+IF(AND($E25=1,KL25=0),1000,0),MIN(TV25,20)*400+(IF('calcA'!AX$106=1,1-EV25,0))*150+242+'calcA'!AY$5*100000+IF(AND($E25=1,KL25=0),50000,0))+IF($H25=1,INDEX('calcA'!$D$180:$EQ$219,$B25,48)*4000,0)-IF(AND('calcA'!AX$117=1,VV25&gt;0),2000,0))),1000000000))</f>
        <v/>
      </c>
      <c r="QB25">
        <f>IF($B25=0,1000000000,IF(INDEX('calcA'!$D$60:$EQ$99,$B25,49)*IF($W25=1,EX25+ABM25,EX25)=1,IF(AND($E25=2,IF($W25=1,AHB25,KM25)=0),1000000000,IF($V25=1,INDEX('calcA'!$D$130:$EQ$169,$B25,49)+IF(AND($E25=1,KM25=0),25,0),IF($F25&gt;0,INDEX('calcA'!AZ$110:AZ$114,$F25+1)+IF(AND($E25=1,KM25=0),1000,0),MIN(TW25,20)*400+(IF('calcA'!AZ$106=1,1-EY25,0))*150+13+'calcA'!AZ$5*100000+IF(AND($E25=1,KM25=0),50000,0))+IF($H25=1,INDEX('calcA'!$D$180:$EQ$219,$B25,49)*4000,0)-IF(AND($U25=1,'calcA'!AZ$117=1,EY25=0),2000,0))),1000000000))</f>
        <v/>
      </c>
      <c r="QC25">
        <f>IF($B25=0,1000000000,IF(INDEX('calcA'!$D$60:$EQ$99,$B25,50)*IF($W25=1,EY25+ABN25,EY25)=1,IF(AND($E25=2,IF($W25=1,AHC25,KN25)=0),1000000000,IF($V25=1,INDEX('calcA'!$D$130:$EQ$169,$B25,50)+IF(AND($E25=1,KN25=0),25,0),IF($F25&gt;0,INDEX('calcA'!BA$110:BA$114,$F25+1)+IF(AND($E25=1,KN25=0),1000,0),MIN(TW25,20)*400+(IF('calcA'!AZ$106=1,1-EX25,0)+IF('calcA'!BA$106=1,1-EZ25,0))*150+23+'calcA'!BA$5*100000+IF(AND($E25=1,KN25=0),50000,0))+IF($H25=1,INDEX('calcA'!$D$180:$EQ$219,$B25,50)*4000,0)-IF(AND('calcA'!AZ$117=1,VX25&gt;0),2000,0)-IF(AND($U25=1,'calcA'!BA$117=1,EZ25=0),2000,0))),1000000000))</f>
        <v/>
      </c>
      <c r="QD25">
        <f>IF($B25=0,1000000000,IF(INDEX('calcA'!$D$60:$EQ$99,$B25,51)*IF($W25=1,EZ25+ABO25,EZ25)=1,IF(AND($E25=2,IF($W25=1,AHD25,KO25)=0),1000000000,IF($V25=1,INDEX('calcA'!$D$130:$EQ$169,$B25,51)+IF(AND($E25=1,KO25=0),25,0),IF($F25&gt;0,INDEX('calcA'!BB$110:BB$114,$F25+1)+IF(AND($E25=1,KO25=0),1000,0),MIN(TW25,20)*400+(IF('calcA'!BA$106=1,1-EY25,0)+IF('calcA'!BB$106=1,1-FA25,0))*150+33+'calcA'!BB$5*100000+IF(AND($E25=1,KO25=0),50000,0))+IF($H25=1,INDEX('calcA'!$D$180:$EQ$219,$B25,51)*4000,0)-IF(AND('calcA'!BA$117=1,VY25&gt;0),2000,0)-IF(AND($U25=1,'calcA'!BB$117=1,FA25=0),2000,0))),1000000000))</f>
        <v/>
      </c>
      <c r="QE25">
        <f>IF($B25=0,1000000000,IF(INDEX('calcA'!$D$60:$EQ$99,$B25,52)*IF($W25=1,FA25+ABP25,FA25)=1,IF(AND($E25=2,IF($W25=1,AHE25,KP25)=0),1000000000,IF($V25=1,INDEX('calcA'!$D$130:$EQ$169,$B25,52)+IF(AND($E25=1,KP25=0),25,0),IF($F25&gt;0,INDEX('calcA'!BC$110:BC$114,$F25+1)+IF(AND($E25=1,KP25=0),1000,0),MIN(TW25,20)*400+(IF('calcA'!BB$106=1,1-EZ25,0)+IF('calcA'!BC$106=1,1-FB25,0))*150+43+'calcA'!BC$5*100000+IF(AND($E25=1,KP25=0),50000,0))+IF($H25=1,INDEX('calcA'!$D$180:$EQ$219,$B25,52)*4000,0)-IF(AND('calcA'!BB$117=1,VZ25&gt;0),2000,0)-IF(AND($U25=1,'calcA'!BC$117=1,FB25=0),2000,0))),1000000000))</f>
        <v/>
      </c>
      <c r="QF25">
        <f>IF($B25=0,1000000000,IF(INDEX('calcA'!$D$60:$EQ$99,$B25,53)*IF($W25=1,FB25+ABQ25,FB25)=1,IF(AND($E25=2,IF($W25=1,AHF25,KQ25)=0),1000000000,IF($V25=1,INDEX('calcA'!$D$130:$EQ$169,$B25,53)+IF(AND($E25=1,KQ25=0),25,0),IF($F25&gt;0,INDEX('calcA'!BD$110:BD$114,$F25+1)+IF(AND($E25=1,KQ25=0),1000,0),MIN(TW25,20)*400+(IF('calcA'!BC$106=1,1-FA25,0)+IF('calcA'!BD$106=1,1-FC25,0))*150+53+'calcA'!BD$5*100000+IF(AND($E25=1,KQ25=0),50000,0))+IF($H25=1,INDEX('calcA'!$D$180:$EQ$219,$B25,53)*4000,0)-IF(AND('calcA'!BC$117=1,WA25&gt;0),2000,0)-IF(AND($U25=1,'calcA'!BD$117=1,FC25=0),2000,0))),1000000000))</f>
        <v/>
      </c>
      <c r="QG25">
        <f>IF($B25=0,1000000000,IF(INDEX('calcA'!$D$60:$EQ$99,$B25,54)*IF($W25=1,FC25+ABR25,FC25)=1,IF(AND($E25=2,IF($W25=1,AHG25,KR25)=0),1000000000,IF($V25=1,INDEX('calcA'!$D$130:$EQ$169,$B25,54)+IF(AND($E25=1,KR25=0),25,0),IF($F25&gt;0,INDEX('calcA'!BE$110:BE$114,$F25+1)+IF(AND($E25=1,KR25=0),1000,0),MIN(TW25,20)*400+(IF('calcA'!BD$106=1,1-FB25,0)+IF('calcA'!BE$106=1,1-FD25,0))*150+63+'calcA'!BE$5*100000+IF(AND($E25=1,KR25=0),50000,0))+IF($H25=1,INDEX('calcA'!$D$180:$EQ$219,$B25,54)*4000,0)-IF(AND('calcA'!BD$117=1,WB25&gt;0),2000,0)-IF(AND($U25=1,'calcA'!BE$117=1,FD25=0),2000,0))),1000000000))</f>
        <v/>
      </c>
      <c r="QH25">
        <f>IF($B25=0,1000000000,IF(INDEX('calcA'!$D$60:$EQ$99,$B25,55)*IF($W25=1,FD25+ABS25,FD25)=1,IF(AND($E25=2,IF($W25=1,AHH25,KS25)=0),1000000000,IF($V25=1,INDEX('calcA'!$D$130:$EQ$169,$B25,55)+IF(AND($E25=1,KS25=0),25,0),IF($F25&gt;0,INDEX('calcA'!BF$110:BF$114,$F25+1)+IF(AND($E25=1,KS25=0),1000,0),MIN(TW25,20)*400+(IF('calcA'!BE$106=1,1-FC25,0)+IF('calcA'!BF$106=1,1-FE25,0))*150+73+'calcA'!BF$5*100000+IF(AND($E25=1,KS25=0),50000,0))+IF($H25=1,INDEX('calcA'!$D$180:$EQ$219,$B25,55)*4000,0)-IF(AND('calcA'!BE$117=1,WC25&gt;0),2000,0)-IF(AND($U25=1,'calcA'!BF$117=1,FE25=0),2000,0))),1000000000))</f>
        <v/>
      </c>
      <c r="QI25">
        <f>IF($B25=0,1000000000,IF(INDEX('calcA'!$D$60:$EQ$99,$B25,56)*IF($W25=1,FE25+ABT25,FE25)=1,IF(AND($E25=2,IF($W25=1,AHI25,KT25)=0),1000000000,IF($V25=1,INDEX('calcA'!$D$130:$EQ$169,$B25,56)+IF(AND($E25=1,KT25=0),25,0),IF($F25&gt;0,INDEX('calcA'!BG$110:BG$114,$F25+1)+IF(AND($E25=1,KT25=0),1000,0),MIN(TW25,20)*400+(IF('calcA'!BF$106=1,1-FD25,0)+IF('calcA'!BG$106=1,1-FF25,0))*150+83+'calcA'!BG$5*100000+IF(AND($E25=1,KT25=0),50000,0))+IF($H25=1,INDEX('calcA'!$D$180:$EQ$219,$B25,56)*4000,0)-IF(AND('calcA'!BF$117=1,WD25&gt;0),2000,0)-IF(AND($U25=1,'calcA'!BG$117=1,FF25=0),2000,0))),1000000000))</f>
        <v/>
      </c>
      <c r="QJ25">
        <f>IF($B25=0,1000000000,IF(INDEX('calcA'!$D$60:$EQ$99,$B25,57)*IF($W25=1,FF25+ABU25,FF25)=1,IF(AND($E25=2,IF($W25=1,AHJ25,KU25)=0),1000000000,IF($V25=1,INDEX('calcA'!$D$130:$EQ$169,$B25,57)+IF(AND($E25=1,KU25=0),25,0),IF($F25&gt;0,INDEX('calcA'!BH$110:BH$114,$F25+1)+IF(AND($E25=1,KU25=0),1000,0),MIN(TW25,20)*400+(IF('calcA'!BG$106=1,1-FE25,0)+IF('calcA'!BH$106=1,1-FG25,0))*150+93+'calcA'!BH$5*100000+IF(AND($E25=1,KU25=0),50000,0))+IF($H25=1,INDEX('calcA'!$D$180:$EQ$219,$B25,57)*4000,0)-IF(AND('calcA'!BG$117=1,WE25&gt;0),2000,0)-IF(AND($U25=1,'calcA'!BH$117=1,FG25=0),2000,0))),1000000000))</f>
        <v/>
      </c>
      <c r="QK25">
        <f>IF($B25=0,1000000000,IF(INDEX('calcA'!$D$60:$EQ$99,$B25,58)*IF($W25=1,FG25+ABV25,FG25)=1,IF(AND($E25=2,IF($W25=1,AHK25,KV25)=0),1000000000,IF($V25=1,INDEX('calcA'!$D$130:$EQ$169,$B25,58)+IF(AND($E25=1,KV25=0),25,0),IF($F25&gt;0,INDEX('calcA'!BI$110:BI$114,$F25+1)+IF(AND($E25=1,KV25=0),1000,0),MIN(TW25,20)*400+(IF('calcA'!BH$106=1,1-FF25,0)+IF('calcA'!BI$106=1,1-FH25,0))*150+103+'calcA'!BI$5*100000+IF(AND($E25=1,KV25=0),50000,0))+IF($H25=1,INDEX('calcA'!$D$180:$EQ$219,$B25,58)*4000,0)-IF(AND('calcA'!BH$117=1,WF25&gt;0),2000,0)-IF(AND($U25=1,'calcA'!BI$117=1,FH25=0),2000,0))),1000000000))</f>
        <v/>
      </c>
      <c r="QL25">
        <f>IF($B25=0,1000000000,IF(INDEX('calcA'!$D$60:$EQ$99,$B25,59)*IF($W25=1,FH25+ABW25,FH25)=1,IF(AND($E25=2,IF($W25=1,AHL25,KW25)=0),1000000000,IF($V25=1,INDEX('calcA'!$D$130:$EQ$169,$B25,59)+IF(AND($E25=1,KW25=0),25,0),IF($F25&gt;0,INDEX('calcA'!BJ$110:BJ$114,$F25+1)+IF(AND($E25=1,KW25=0),1000,0),MIN(TW25,20)*400+(IF('calcA'!BI$106=1,1-FG25,0)+IF('calcA'!BJ$106=1,1-FI25,0))*150+113+'calcA'!BJ$5*100000+IF(AND($E25=1,KW25=0),50000,0))+IF($H25=1,INDEX('calcA'!$D$180:$EQ$219,$B25,59)*4000,0)-IF(AND('calcA'!BI$117=1,WG25&gt;0),2000,0)-IF(AND($U25=1,'calcA'!BJ$117=1,FI25=0),2000,0))),1000000000))</f>
        <v/>
      </c>
      <c r="QM25">
        <f>IF($B25=0,1000000000,IF(INDEX('calcA'!$D$60:$EQ$99,$B25,60)*IF($W25=1,FI25+ABX25,FI25)=1,IF(AND($E25=2,IF($W25=1,AHM25,KX25)=0),1000000000,IF($V25=1,INDEX('calcA'!$D$130:$EQ$169,$B25,60)+IF(AND($E25=1,KX25=0),25,0),IF($F25&gt;0,INDEX('calcA'!BK$110:BK$114,$F25+1)+IF(AND($E25=1,KX25=0),1000,0),MIN(TW25,20)*400+(IF('calcA'!BJ$106=1,1-FH25,0)+IF('calcA'!BK$106=1,1-FJ25,0))*150+123+'calcA'!BK$5*100000+IF(AND($E25=1,KX25=0),50000,0))+IF($H25=1,INDEX('calcA'!$D$180:$EQ$219,$B25,60)*4000,0)-IF(AND('calcA'!BJ$117=1,WH25&gt;0),2000,0)-IF(AND($U25=1,'calcA'!BK$117=1,FJ25=0),2000,0))),1000000000))</f>
        <v/>
      </c>
      <c r="QN25">
        <f>IF($B25=0,1000000000,IF(INDEX('calcA'!$D$60:$EQ$99,$B25,61)*IF($W25=1,FJ25+ABY25,FJ25)=1,IF(AND($E25=2,IF($W25=1,AHN25,KY25)=0),1000000000,IF($V25=1,INDEX('calcA'!$D$130:$EQ$169,$B25,61)+IF(AND($E25=1,KY25=0),25,0),IF($F25&gt;0,INDEX('calcA'!BL$110:BL$114,$F25+1)+IF(AND($E25=1,KY25=0),1000,0),MIN(TW25,20)*400+(IF('calcA'!BK$106=1,1-FI25,0)+IF('calcA'!BL$106=1,1-FK25,0))*150+133+'calcA'!BL$5*100000+IF(AND($E25=1,KY25=0),50000,0))+IF($H25=1,INDEX('calcA'!$D$180:$EQ$219,$B25,61)*4000,0)-IF(AND('calcA'!BK$117=1,WI25&gt;0),2000,0)-IF(AND($U25=1,'calcA'!BL$117=1,FK25=0),2000,0))),1000000000))</f>
        <v/>
      </c>
      <c r="QO25">
        <f>IF($B25=0,1000000000,IF(INDEX('calcA'!$D$60:$EQ$99,$B25,62)*IF($W25=1,FK25+ABZ25,FK25)=1,IF(AND($E25=2,IF($W25=1,AHO25,KZ25)=0),1000000000,IF($V25=1,INDEX('calcA'!$D$130:$EQ$169,$B25,62)+IF(AND($E25=1,KZ25=0),25,0),IF($F25&gt;0,INDEX('calcA'!BM$110:BM$114,$F25+1)+IF(AND($E25=1,KZ25=0),1000,0),MIN(TW25,20)*400+(IF('calcA'!BL$106=1,1-FJ25,0)+IF('calcA'!BM$106=1,1-FL25,0))*150+143+'calcA'!BM$5*100000+IF(AND($E25=1,KZ25=0),50000,0))+IF($H25=1,INDEX('calcA'!$D$180:$EQ$219,$B25,62)*4000,0)-IF(AND('calcA'!BL$117=1,WJ25&gt;0),2000,0)-IF(AND($U25=1,'calcA'!BM$117=1,FL25=0),2000,0))),1000000000))</f>
        <v/>
      </c>
      <c r="QP25">
        <f>IF($B25=0,1000000000,IF(INDEX('calcA'!$D$60:$EQ$99,$B25,63)*IF($W25=1,FL25+ACA25,FL25)=1,IF(AND($E25=2,IF($W25=1,AHP25,LA25)=0),1000000000,IF($V25=1,INDEX('calcA'!$D$130:$EQ$169,$B25,63)+IF(AND($E25=1,LA25=0),25,0),IF($F25&gt;0,INDEX('calcA'!BN$110:BN$114,$F25+1)+IF(AND($E25=1,LA25=0),1000,0),MIN(TW25,20)*400+(IF('calcA'!BM$106=1,1-FK25,0)+IF('calcA'!BN$106=1,1-FM25,0))*150+153+'calcA'!BN$5*100000+IF(AND($E25=1,LA25=0),50000,0))+IF($H25=1,INDEX('calcA'!$D$180:$EQ$219,$B25,63)*4000,0)-IF(AND('calcA'!BM$117=1,WK25&gt;0),2000,0)-IF(AND($U25=1,'calcA'!BN$117=1,FM25=0),2000,0))),1000000000))</f>
        <v/>
      </c>
      <c r="QQ25">
        <f>IF($B25=0,1000000000,IF(INDEX('calcA'!$D$60:$EQ$99,$B25,64)*IF($W25=1,FM25+ACB25,FM25)=1,IF(AND($E25=2,IF($W25=1,AHQ25,LB25)=0),1000000000,IF($V25=1,INDEX('calcA'!$D$130:$EQ$169,$B25,64)+IF(AND($E25=1,LB25=0),25,0),IF($F25&gt;0,INDEX('calcA'!BO$110:BO$114,$F25+1)+IF(AND($E25=1,LB25=0),1000,0),MIN(TW25,20)*400+(IF('calcA'!BN$106=1,1-FL25,0)+IF('calcA'!BO$106=1,1-FN25,0))*150+163+'calcA'!BO$5*100000+IF(AND($E25=1,LB25=0),50000,0))+IF($H25=1,INDEX('calcA'!$D$180:$EQ$219,$B25,64)*4000,0)-IF(AND('calcA'!BN$117=1,WL25&gt;0),2000,0)-IF(AND($U25=1,'calcA'!BO$117=1,FN25=0),2000,0))),1000000000))</f>
        <v/>
      </c>
      <c r="QR25">
        <f>IF($B25=0,1000000000,IF(INDEX('calcA'!$D$60:$EQ$99,$B25,65)*IF($W25=1,FN25+ACC25,FN25)=1,IF(AND($E25=2,IF($W25=1,AHR25,LC25)=0),1000000000,IF($V25=1,INDEX('calcA'!$D$130:$EQ$169,$B25,65)+IF(AND($E25=1,LC25=0),25,0),IF($F25&gt;0,INDEX('calcA'!BP$110:BP$114,$F25+1)+IF(AND($E25=1,LC25=0),1000,0),MIN(TW25,20)*400+(IF('calcA'!BO$106=1,1-FM25,0)+IF('calcA'!BP$106=1,1-FO25,0))*150+173+'calcA'!BP$5*100000+IF(AND($E25=1,LC25=0),50000,0))+IF($H25=1,INDEX('calcA'!$D$180:$EQ$219,$B25,65)*4000,0)-IF(AND('calcA'!BO$117=1,WM25&gt;0),2000,0)-IF(AND($U25=1,'calcA'!BP$117=1,FO25=0),2000,0))),1000000000))</f>
        <v/>
      </c>
      <c r="QS25">
        <f>IF($B25=0,1000000000,IF(INDEX('calcA'!$D$60:$EQ$99,$B25,66)*IF($W25=1,FO25+ACD25,FO25)=1,IF(AND($E25=2,IF($W25=1,AHS25,LD25)=0),1000000000,IF($V25=1,INDEX('calcA'!$D$130:$EQ$169,$B25,66)+IF(AND($E25=1,LD25=0),25,0),IF($F25&gt;0,INDEX('calcA'!BQ$110:BQ$114,$F25+1)+IF(AND($E25=1,LD25=0),1000,0),MIN(TW25,20)*400+(IF('calcA'!BP$106=1,1-FN25,0)+IF('calcA'!BQ$106=1,1-FP25,0))*150+183+'calcA'!BQ$5*100000+IF(AND($E25=1,LD25=0),50000,0))+IF($H25=1,INDEX('calcA'!$D$180:$EQ$219,$B25,66)*4000,0)-IF(AND('calcA'!BP$117=1,WN25&gt;0),2000,0)-IF(AND($U25=1,'calcA'!BQ$117=1,FP25=0),2000,0))),1000000000))</f>
        <v/>
      </c>
      <c r="QT25">
        <f>IF($B25=0,1000000000,IF(INDEX('calcA'!$D$60:$EQ$99,$B25,67)*IF($W25=1,FP25+ACE25,FP25)=1,IF(AND($E25=2,IF($W25=1,AHT25,LE25)=0),1000000000,IF($V25=1,INDEX('calcA'!$D$130:$EQ$169,$B25,67)+IF(AND($E25=1,LE25=0),25,0),IF($F25&gt;0,INDEX('calcA'!BR$110:BR$114,$F25+1)+IF(AND($E25=1,LE25=0),1000,0),MIN(TW25,20)*400+(IF('calcA'!BQ$106=1,1-FO25,0)+IF('calcA'!BR$106=1,1-FQ25,0))*150+193+'calcA'!BR$5*100000+IF(AND($E25=1,LE25=0),50000,0))+IF($H25=1,INDEX('calcA'!$D$180:$EQ$219,$B25,67)*4000,0)-IF(AND('calcA'!BQ$117=1,WO25&gt;0),2000,0)-IF(AND($U25=1,'calcA'!BR$117=1,FQ25=0),2000,0))),1000000000))</f>
        <v/>
      </c>
      <c r="QU25">
        <f>IF($B25=0,1000000000,IF(INDEX('calcA'!$D$60:$EQ$99,$B25,68)*IF($W25=1,FQ25+ACF25,FQ25)=1,IF(AND($E25=2,IF($W25=1,AHU25,LF25)=0),1000000000,IF($V25=1,INDEX('calcA'!$D$130:$EQ$169,$B25,68)+IF(AND($E25=1,LF25=0),25,0),IF($F25&gt;0,INDEX('calcA'!BS$110:BS$114,$F25+1)+IF(AND($E25=1,LF25=0),1000,0),MIN(TW25,20)*400+(IF('calcA'!BR$106=1,1-FP25,0)+IF('calcA'!BS$106=1,1-FR25,0))*150+203+'calcA'!BS$5*100000+IF(AND($E25=1,LF25=0),50000,0))+IF($H25=1,INDEX('calcA'!$D$180:$EQ$219,$B25,68)*4000,0)-IF(AND('calcA'!BR$117=1,WP25&gt;0),2000,0)-IF(AND($U25=1,'calcA'!BS$117=1,FR25=0),2000,0))),1000000000))</f>
        <v/>
      </c>
      <c r="QV25">
        <f>IF($B25=0,1000000000,IF(INDEX('calcA'!$D$60:$EQ$99,$B25,69)*IF($W25=1,FR25+ACG25,FR25)=1,IF(AND($E25=2,IF($W25=1,AHV25,LG25)=0),1000000000,IF($V25=1,INDEX('calcA'!$D$130:$EQ$169,$B25,69)+IF(AND($E25=1,LG25=0),25,0),IF($F25&gt;0,INDEX('calcA'!BT$110:BT$114,$F25+1)+IF(AND($E25=1,LG25=0),1000,0),MIN(TW25,20)*400+(IF('calcA'!BS$106=1,1-FQ25,0)+IF('calcA'!BT$106=1,1-FS25,0))*150+213+'calcA'!BT$5*100000+IF(AND($E25=1,LG25=0),50000,0))+IF($H25=1,INDEX('calcA'!$D$180:$EQ$219,$B25,69)*4000,0)-IF(AND('calcA'!BS$117=1,WQ25&gt;0),2000,0)-IF(AND($U25=1,'calcA'!BT$117=1,FS25=0),2000,0))),1000000000))</f>
        <v/>
      </c>
      <c r="QW25">
        <f>IF($B25=0,1000000000,IF(INDEX('calcA'!$D$60:$EQ$99,$B25,70)*IF($W25=1,FS25+ACH25,FS25)=1,IF(AND($E25=2,IF($W25=1,AHW25,LH25)=0),1000000000,IF($V25=1,INDEX('calcA'!$D$130:$EQ$169,$B25,70)+IF(AND($E25=1,LH25=0),25,0),IF($F25&gt;0,INDEX('calcA'!BU$110:BU$114,$F25+1)+IF(AND($E25=1,LH25=0),1000,0),MIN(TW25,20)*400+(IF('calcA'!BT$106=1,1-FR25,0)+IF('calcA'!BU$106=1,1-FT25,0))*150+223+'calcA'!BU$5*100000+IF(AND($E25=1,LH25=0),50000,0))+IF($H25=1,INDEX('calcA'!$D$180:$EQ$219,$B25,70)*4000,0)-IF(AND('calcA'!BT$117=1,WR25&gt;0),2000,0)-IF(AND($U25=1,'calcA'!BU$117=1,FT25=0),2000,0))),1000000000))</f>
        <v/>
      </c>
      <c r="QX25">
        <f>IF($B25=0,1000000000,IF(INDEX('calcA'!$D$60:$EQ$99,$B25,71)*IF($W25=1,FT25+ACI25,FT25)=1,IF(AND($E25=2,IF($W25=1,AHX25,LI25)=0),1000000000,IF($V25=1,INDEX('calcA'!$D$130:$EQ$169,$B25,71)+IF(AND($E25=1,LI25=0),25,0),IF($F25&gt;0,INDEX('calcA'!BV$110:BV$114,$F25+1)+IF(AND($E25=1,LI25=0),1000,0),MIN(TW25,20)*400+(IF('calcA'!BU$106=1,1-FS25,0)+IF('calcA'!BV$106=1,1-FU25,0))*150+233+'calcA'!BV$5*100000+IF(AND($E25=1,LI25=0),50000,0))+IF($H25=1,INDEX('calcA'!$D$180:$EQ$219,$B25,71)*4000,0)-IF(AND('calcA'!BU$117=1,WS25&gt;0),2000,0)-IF(AND($U25=1,'calcA'!BV$117=1,FU25=0),2000,0))),1000000000))</f>
        <v/>
      </c>
      <c r="QY25">
        <f>IF($B25=0,1000000000,IF(INDEX('calcA'!$D$60:$EQ$99,$B25,72)*IF($W25=1,FU25+ACJ25,FU25)=1,IF(AND($E25=2,IF($W25=1,AHY25,LJ25)=0),1000000000,IF($V25=1,INDEX('calcA'!$D$130:$EQ$169,$B25,72)+IF(AND($E25=1,LJ25=0),25,0),IF($F25&gt;0,INDEX('calcA'!BW$110:BW$114,$F25+1)+IF(AND($E25=1,LJ25=0),1000,0),MIN(TW25,20)*400+(IF('calcA'!BV$106=1,1-FT25,0))*150+243+'calcA'!BW$5*100000+IF(AND($E25=1,LJ25=0),50000,0))+IF($H25=1,INDEX('calcA'!$D$180:$EQ$219,$B25,72)*4000,0)-IF(AND('calcA'!BV$117=1,WT25&gt;0),2000,0))),1000000000))</f>
        <v/>
      </c>
      <c r="QZ25">
        <f>IF($B25=0,1000000000,IF(INDEX('calcA'!$D$60:$EQ$99,$B25,73)*IF($W25=1,FV25+ACK25,FV25)=1,IF(AND($E25=2,IF($W25=1,AHZ25,LK25)=0),1000000000,IF($V25=1,INDEX('calcA'!$D$130:$EQ$169,$B25,73)+IF(AND($E25=1,LK25=0),25,0),IF($F25&gt;0,INDEX('calcA'!BX$110:BX$114,$F25+1)+IF(AND($E25=1,LK25=0),1000,0),MIN(TX25,20)*400+(IF('calcA'!BX$106=1,1-FW25,0))*150+14+'calcA'!BX$5*100000+IF(AND($E25=1,LK25=0),50000,0))+IF($H25=1,INDEX('calcA'!$D$180:$EQ$219,$B25,73)*4000,0)-IF(AND($U25=1,'calcA'!BX$117=1,FW25=0),2000,0))),1000000000))</f>
        <v/>
      </c>
      <c r="RA25">
        <f>IF($B25=0,1000000000,IF(INDEX('calcA'!$D$60:$EQ$99,$B25,74)*IF($W25=1,FW25+ACL25,FW25)=1,IF(AND($E25=2,IF($W25=1,AIA25,LL25)=0),1000000000,IF($V25=1,INDEX('calcA'!$D$130:$EQ$169,$B25,74)+IF(AND($E25=1,LL25=0),25,0),IF($F25&gt;0,INDEX('calcA'!BY$110:BY$114,$F25+1)+IF(AND($E25=1,LL25=0),1000,0),MIN(TX25,20)*400+(IF('calcA'!BX$106=1,1-FV25,0)+IF('calcA'!BY$106=1,1-FX25,0))*150+24+'calcA'!BY$5*100000+IF(AND($E25=1,LL25=0),50000,0))+IF($H25=1,INDEX('calcA'!$D$180:$EQ$219,$B25,74)*4000,0)-IF(AND('calcA'!BX$117=1,WV25&gt;0),2000,0)-IF(AND($U25=1,'calcA'!BY$117=1,FX25=0),2000,0))),1000000000))</f>
        <v/>
      </c>
      <c r="RB25">
        <f>IF($B25=0,1000000000,IF(INDEX('calcA'!$D$60:$EQ$99,$B25,75)*IF($W25=1,FX25+ACM25,FX25)=1,IF(AND($E25=2,IF($W25=1,AIB25,LM25)=0),1000000000,IF($V25=1,INDEX('calcA'!$D$130:$EQ$169,$B25,75)+IF(AND($E25=1,LM25=0),25,0),IF($F25&gt;0,INDEX('calcA'!BZ$110:BZ$114,$F25+1)+IF(AND($E25=1,LM25=0),1000,0),MIN(TX25,20)*400+(IF('calcA'!BY$106=1,1-FW25,0)+IF('calcA'!BZ$106=1,1-FY25,0))*150+34+'calcA'!BZ$5*100000+IF(AND($E25=1,LM25=0),50000,0))+IF($H25=1,INDEX('calcA'!$D$180:$EQ$219,$B25,75)*4000,0)-IF(AND('calcA'!BY$117=1,WW25&gt;0),2000,0)-IF(AND($U25=1,'calcA'!BZ$117=1,FY25=0),2000,0))),1000000000))</f>
        <v/>
      </c>
      <c r="RC25">
        <f>IF($B25=0,1000000000,IF(INDEX('calcA'!$D$60:$EQ$99,$B25,76)*IF($W25=1,FY25+ACN25,FY25)=1,IF(AND($E25=2,IF($W25=1,AIC25,LN25)=0),1000000000,IF($V25=1,INDEX('calcA'!$D$130:$EQ$169,$B25,76)+IF(AND($E25=1,LN25=0),25,0),IF($F25&gt;0,INDEX('calcA'!CA$110:CA$114,$F25+1)+IF(AND($E25=1,LN25=0),1000,0),MIN(TX25,20)*400+(IF('calcA'!BZ$106=1,1-FX25,0)+IF('calcA'!CA$106=1,1-FZ25,0))*150+44+'calcA'!CA$5*100000+IF(AND($E25=1,LN25=0),50000,0))+IF($H25=1,INDEX('calcA'!$D$180:$EQ$219,$B25,76)*4000,0)-IF(AND('calcA'!BZ$117=1,WX25&gt;0),2000,0)-IF(AND($U25=1,'calcA'!CA$117=1,FZ25=0),2000,0))),1000000000))</f>
        <v/>
      </c>
      <c r="RD25">
        <f>IF($B25=0,1000000000,IF(INDEX('calcA'!$D$60:$EQ$99,$B25,77)*IF($W25=1,FZ25+ACO25,FZ25)=1,IF(AND($E25=2,IF($W25=1,AID25,LO25)=0),1000000000,IF($V25=1,INDEX('calcA'!$D$130:$EQ$169,$B25,77)+IF(AND($E25=1,LO25=0),25,0),IF($F25&gt;0,INDEX('calcA'!CB$110:CB$114,$F25+1)+IF(AND($E25=1,LO25=0),1000,0),MIN(TX25,20)*400+(IF('calcA'!CA$106=1,1-FY25,0)+IF('calcA'!CB$106=1,1-GA25,0))*150+54+'calcA'!CB$5*100000+IF(AND($E25=1,LO25=0),50000,0))+IF($H25=1,INDEX('calcA'!$D$180:$EQ$219,$B25,77)*4000,0)-IF(AND('calcA'!CA$117=1,WY25&gt;0),2000,0)-IF(AND($U25=1,'calcA'!CB$117=1,GA25=0),2000,0))),1000000000))</f>
        <v/>
      </c>
      <c r="RE25">
        <f>IF($B25=0,1000000000,IF(INDEX('calcA'!$D$60:$EQ$99,$B25,78)*IF($W25=1,GA25+ACP25,GA25)=1,IF(AND($E25=2,IF($W25=1,AIE25,LP25)=0),1000000000,IF($V25=1,INDEX('calcA'!$D$130:$EQ$169,$B25,78)+IF(AND($E25=1,LP25=0),25,0),IF($F25&gt;0,INDEX('calcA'!CC$110:CC$114,$F25+1)+IF(AND($E25=1,LP25=0),1000,0),MIN(TX25,20)*400+(IF('calcA'!CB$106=1,1-FZ25,0)+IF('calcA'!CC$106=1,1-GB25,0))*150+64+'calcA'!CC$5*100000+IF(AND($E25=1,LP25=0),50000,0))+IF($H25=1,INDEX('calcA'!$D$180:$EQ$219,$B25,78)*4000,0)-IF(AND('calcA'!CB$117=1,WZ25&gt;0),2000,0)-IF(AND($U25=1,'calcA'!CC$117=1,GB25=0),2000,0))),1000000000))</f>
        <v/>
      </c>
      <c r="RF25">
        <f>IF($B25=0,1000000000,IF(INDEX('calcA'!$D$60:$EQ$99,$B25,79)*IF($W25=1,GB25+ACQ25,GB25)=1,IF(AND($E25=2,IF($W25=1,AIF25,LQ25)=0),1000000000,IF($V25=1,INDEX('calcA'!$D$130:$EQ$169,$B25,79)+IF(AND($E25=1,LQ25=0),25,0),IF($F25&gt;0,INDEX('calcA'!CD$110:CD$114,$F25+1)+IF(AND($E25=1,LQ25=0),1000,0),MIN(TX25,20)*400+(IF('calcA'!CC$106=1,1-GA25,0)+IF('calcA'!CD$106=1,1-GC25,0))*150+74+'calcA'!CD$5*100000+IF(AND($E25=1,LQ25=0),50000,0))+IF($H25=1,INDEX('calcA'!$D$180:$EQ$219,$B25,79)*4000,0)-IF(AND('calcA'!CC$117=1,XA25&gt;0),2000,0)-IF(AND($U25=1,'calcA'!CD$117=1,GC25=0),2000,0))),1000000000))</f>
        <v/>
      </c>
      <c r="RG25">
        <f>IF($B25=0,1000000000,IF(INDEX('calcA'!$D$60:$EQ$99,$B25,80)*IF($W25=1,GC25+ACR25,GC25)=1,IF(AND($E25=2,IF($W25=1,AIG25,LR25)=0),1000000000,IF($V25=1,INDEX('calcA'!$D$130:$EQ$169,$B25,80)+IF(AND($E25=1,LR25=0),25,0),IF($F25&gt;0,INDEX('calcA'!CE$110:CE$114,$F25+1)+IF(AND($E25=1,LR25=0),1000,0),MIN(TX25,20)*400+(IF('calcA'!CD$106=1,1-GB25,0)+IF('calcA'!CE$106=1,1-GD25,0))*150+84+'calcA'!CE$5*100000+IF(AND($E25=1,LR25=0),50000,0))+IF($H25=1,INDEX('calcA'!$D$180:$EQ$219,$B25,80)*4000,0)-IF(AND('calcA'!CD$117=1,XB25&gt;0),2000,0)-IF(AND($U25=1,'calcA'!CE$117=1,GD25=0),2000,0))),1000000000))</f>
        <v/>
      </c>
      <c r="RH25">
        <f>IF($B25=0,1000000000,IF(INDEX('calcA'!$D$60:$EQ$99,$B25,81)*IF($W25=1,GD25+ACS25,GD25)=1,IF(AND($E25=2,IF($W25=1,AIH25,LS25)=0),1000000000,IF($V25=1,INDEX('calcA'!$D$130:$EQ$169,$B25,81)+IF(AND($E25=1,LS25=0),25,0),IF($F25&gt;0,INDEX('calcA'!CF$110:CF$114,$F25+1)+IF(AND($E25=1,LS25=0),1000,0),MIN(TX25,20)*400+(IF('calcA'!CE$106=1,1-GC25,0)+IF('calcA'!CF$106=1,1-GE25,0))*150+94+'calcA'!CF$5*100000+IF(AND($E25=1,LS25=0),50000,0))+IF($H25=1,INDEX('calcA'!$D$180:$EQ$219,$B25,81)*4000,0)-IF(AND('calcA'!CE$117=1,XC25&gt;0),2000,0)-IF(AND($U25=1,'calcA'!CF$117=1,GE25=0),2000,0))),1000000000))</f>
        <v/>
      </c>
      <c r="RI25">
        <f>IF($B25=0,1000000000,IF(INDEX('calcA'!$D$60:$EQ$99,$B25,82)*IF($W25=1,GE25+ACT25,GE25)=1,IF(AND($E25=2,IF($W25=1,AII25,LT25)=0),1000000000,IF($V25=1,INDEX('calcA'!$D$130:$EQ$169,$B25,82)+IF(AND($E25=1,LT25=0),25,0),IF($F25&gt;0,INDEX('calcA'!CG$110:CG$114,$F25+1)+IF(AND($E25=1,LT25=0),1000,0),MIN(TX25,20)*400+(IF('calcA'!CF$106=1,1-GD25,0)+IF('calcA'!CG$106=1,1-GF25,0))*150+104+'calcA'!CG$5*100000+IF(AND($E25=1,LT25=0),50000,0))+IF($H25=1,INDEX('calcA'!$D$180:$EQ$219,$B25,82)*4000,0)-IF(AND('calcA'!CF$117=1,XD25&gt;0),2000,0)-IF(AND($U25=1,'calcA'!CG$117=1,GF25=0),2000,0))),1000000000))</f>
        <v/>
      </c>
      <c r="RJ25">
        <f>IF($B25=0,1000000000,IF(INDEX('calcA'!$D$60:$EQ$99,$B25,83)*IF($W25=1,GF25+ACU25,GF25)=1,IF(AND($E25=2,IF($W25=1,AIJ25,LU25)=0),1000000000,IF($V25=1,INDEX('calcA'!$D$130:$EQ$169,$B25,83)+IF(AND($E25=1,LU25=0),25,0),IF($F25&gt;0,INDEX('calcA'!CH$110:CH$114,$F25+1)+IF(AND($E25=1,LU25=0),1000,0),MIN(TX25,20)*400+(IF('calcA'!CG$106=1,1-GE25,0)+IF('calcA'!CH$106=1,1-GG25,0))*150+114+'calcA'!CH$5*100000+IF(AND($E25=1,LU25=0),50000,0))+IF($H25=1,INDEX('calcA'!$D$180:$EQ$219,$B25,83)*4000,0)-IF(AND('calcA'!CG$117=1,XE25&gt;0),2000,0)-IF(AND($U25=1,'calcA'!CH$117=1,GG25=0),2000,0))),1000000000))</f>
        <v/>
      </c>
      <c r="RK25">
        <f>IF($B25=0,1000000000,IF(INDEX('calcA'!$D$60:$EQ$99,$B25,84)*IF($W25=1,GG25+ACV25,GG25)=1,IF(AND($E25=2,IF($W25=1,AIK25,LV25)=0),1000000000,IF($V25=1,INDEX('calcA'!$D$130:$EQ$169,$B25,84)+IF(AND($E25=1,LV25=0),25,0),IF($F25&gt;0,INDEX('calcA'!CI$110:CI$114,$F25+1)+IF(AND($E25=1,LV25=0),1000,0),MIN(TX25,20)*400+(IF('calcA'!CH$106=1,1-GF25,0)+IF('calcA'!CI$106=1,1-GH25,0))*150+124+'calcA'!CI$5*100000+IF(AND($E25=1,LV25=0),50000,0))+IF($H25=1,INDEX('calcA'!$D$180:$EQ$219,$B25,84)*4000,0)-IF(AND('calcA'!CH$117=1,XF25&gt;0),2000,0)-IF(AND($U25=1,'calcA'!CI$117=1,GH25=0),2000,0))),1000000000))</f>
        <v/>
      </c>
      <c r="RL25">
        <f>IF($B25=0,1000000000,IF(INDEX('calcA'!$D$60:$EQ$99,$B25,85)*IF($W25=1,GH25+ACW25,GH25)=1,IF(AND($E25=2,IF($W25=1,AIL25,LW25)=0),1000000000,IF($V25=1,INDEX('calcA'!$D$130:$EQ$169,$B25,85)+IF(AND($E25=1,LW25=0),25,0),IF($F25&gt;0,INDEX('calcA'!CJ$110:CJ$114,$F25+1)+IF(AND($E25=1,LW25=0),1000,0),MIN(TX25,20)*400+(IF('calcA'!CI$106=1,1-GG25,0)+IF('calcA'!CJ$106=1,1-GI25,0))*150+134+'calcA'!CJ$5*100000+IF(AND($E25=1,LW25=0),50000,0))+IF($H25=1,INDEX('calcA'!$D$180:$EQ$219,$B25,85)*4000,0)-IF(AND('calcA'!CI$117=1,XG25&gt;0),2000,0)-IF(AND($U25=1,'calcA'!CJ$117=1,GI25=0),2000,0))),1000000000))</f>
        <v/>
      </c>
      <c r="RM25">
        <f>IF($B25=0,1000000000,IF(INDEX('calcA'!$D$60:$EQ$99,$B25,86)*IF($W25=1,GI25+ACX25,GI25)=1,IF(AND($E25=2,IF($W25=1,AIM25,LX25)=0),1000000000,IF($V25=1,INDEX('calcA'!$D$130:$EQ$169,$B25,86)+IF(AND($E25=1,LX25=0),25,0),IF($F25&gt;0,INDEX('calcA'!CK$110:CK$114,$F25+1)+IF(AND($E25=1,LX25=0),1000,0),MIN(TX25,20)*400+(IF('calcA'!CJ$106=1,1-GH25,0)+IF('calcA'!CK$106=1,1-GJ25,0))*150+144+'calcA'!CK$5*100000+IF(AND($E25=1,LX25=0),50000,0))+IF($H25=1,INDEX('calcA'!$D$180:$EQ$219,$B25,86)*4000,0)-IF(AND('calcA'!CJ$117=1,XH25&gt;0),2000,0)-IF(AND($U25=1,'calcA'!CK$117=1,GJ25=0),2000,0))),1000000000))</f>
        <v/>
      </c>
      <c r="RN25">
        <f>IF($B25=0,1000000000,IF(INDEX('calcA'!$D$60:$EQ$99,$B25,87)*IF($W25=1,GJ25+ACY25,GJ25)=1,IF(AND($E25=2,IF($W25=1,AIN25,LY25)=0),1000000000,IF($V25=1,INDEX('calcA'!$D$130:$EQ$169,$B25,87)+IF(AND($E25=1,LY25=0),25,0),IF($F25&gt;0,INDEX('calcA'!CL$110:CL$114,$F25+1)+IF(AND($E25=1,LY25=0),1000,0),MIN(TX25,20)*400+(IF('calcA'!CK$106=1,1-GI25,0)+IF('calcA'!CL$106=1,1-GK25,0))*150+154+'calcA'!CL$5*100000+IF(AND($E25=1,LY25=0),50000,0))+IF($H25=1,INDEX('calcA'!$D$180:$EQ$219,$B25,87)*4000,0)-IF(AND('calcA'!CK$117=1,XI25&gt;0),2000,0)-IF(AND($U25=1,'calcA'!CL$117=1,GK25=0),2000,0))),1000000000))</f>
        <v/>
      </c>
      <c r="RO25">
        <f>IF($B25=0,1000000000,IF(INDEX('calcA'!$D$60:$EQ$99,$B25,88)*IF($W25=1,GK25+ACZ25,GK25)=1,IF(AND($E25=2,IF($W25=1,AIO25,LZ25)=0),1000000000,IF($V25=1,INDEX('calcA'!$D$130:$EQ$169,$B25,88)+IF(AND($E25=1,LZ25=0),25,0),IF($F25&gt;0,INDEX('calcA'!CM$110:CM$114,$F25+1)+IF(AND($E25=1,LZ25=0),1000,0),MIN(TX25,20)*400+(IF('calcA'!CL$106=1,1-GJ25,0)+IF('calcA'!CM$106=1,1-GL25,0))*150+164+'calcA'!CM$5*100000+IF(AND($E25=1,LZ25=0),50000,0))+IF($H25=1,INDEX('calcA'!$D$180:$EQ$219,$B25,88)*4000,0)-IF(AND('calcA'!CL$117=1,XJ25&gt;0),2000,0)-IF(AND($U25=1,'calcA'!CM$117=1,GL25=0),2000,0))),1000000000))</f>
        <v/>
      </c>
      <c r="RP25">
        <f>IF($B25=0,1000000000,IF(INDEX('calcA'!$D$60:$EQ$99,$B25,89)*IF($W25=1,GL25+ADA25,GL25)=1,IF(AND($E25=2,IF($W25=1,AIP25,MA25)=0),1000000000,IF($V25=1,INDEX('calcA'!$D$130:$EQ$169,$B25,89)+IF(AND($E25=1,MA25=0),25,0),IF($F25&gt;0,INDEX('calcA'!CN$110:CN$114,$F25+1)+IF(AND($E25=1,MA25=0),1000,0),MIN(TX25,20)*400+(IF('calcA'!CM$106=1,1-GK25,0)+IF('calcA'!CN$106=1,1-GM25,0))*150+174+'calcA'!CN$5*100000+IF(AND($E25=1,MA25=0),50000,0))+IF($H25=1,INDEX('calcA'!$D$180:$EQ$219,$B25,89)*4000,0)-IF(AND('calcA'!CM$117=1,XK25&gt;0),2000,0)-IF(AND($U25=1,'calcA'!CN$117=1,GM25=0),2000,0))),1000000000))</f>
        <v/>
      </c>
      <c r="RQ25">
        <f>IF($B25=0,1000000000,IF(INDEX('calcA'!$D$60:$EQ$99,$B25,90)*IF($W25=1,GM25+ADB25,GM25)=1,IF(AND($E25=2,IF($W25=1,AIQ25,MB25)=0),1000000000,IF($V25=1,INDEX('calcA'!$D$130:$EQ$169,$B25,90)+IF(AND($E25=1,MB25=0),25,0),IF($F25&gt;0,INDEX('calcA'!CO$110:CO$114,$F25+1)+IF(AND($E25=1,MB25=0),1000,0),MIN(TX25,20)*400+(IF('calcA'!CN$106=1,1-GL25,0)+IF('calcA'!CO$106=1,1-GN25,0))*150+184+'calcA'!CO$5*100000+IF(AND($E25=1,MB25=0),50000,0))+IF($H25=1,INDEX('calcA'!$D$180:$EQ$219,$B25,90)*4000,0)-IF(AND('calcA'!CN$117=1,XL25&gt;0),2000,0)-IF(AND($U25=1,'calcA'!CO$117=1,GN25=0),2000,0))),1000000000))</f>
        <v/>
      </c>
      <c r="RR25">
        <f>IF($B25=0,1000000000,IF(INDEX('calcA'!$D$60:$EQ$99,$B25,91)*IF($W25=1,GN25+ADC25,GN25)=1,IF(AND($E25=2,IF($W25=1,AIR25,MC25)=0),1000000000,IF($V25=1,INDEX('calcA'!$D$130:$EQ$169,$B25,91)+IF(AND($E25=1,MC25=0),25,0),IF($F25&gt;0,INDEX('calcA'!CP$110:CP$114,$F25+1)+IF(AND($E25=1,MC25=0),1000,0),MIN(TX25,20)*400+(IF('calcA'!CO$106=1,1-GM25,0)+IF('calcA'!CP$106=1,1-GO25,0))*150+194+'calcA'!CP$5*100000+IF(AND($E25=1,MC25=0),50000,0))+IF($H25=1,INDEX('calcA'!$D$180:$EQ$219,$B25,91)*4000,0)-IF(AND('calcA'!CO$117=1,XM25&gt;0),2000,0)-IF(AND($U25=1,'calcA'!CP$117=1,GO25=0),2000,0))),1000000000))</f>
        <v/>
      </c>
      <c r="RS25">
        <f>IF($B25=0,1000000000,IF(INDEX('calcA'!$D$60:$EQ$99,$B25,92)*IF($W25=1,GO25+ADD25,GO25)=1,IF(AND($E25=2,IF($W25=1,AIS25,MD25)=0),1000000000,IF($V25=1,INDEX('calcA'!$D$130:$EQ$169,$B25,92)+IF(AND($E25=1,MD25=0),25,0),IF($F25&gt;0,INDEX('calcA'!CQ$110:CQ$114,$F25+1)+IF(AND($E25=1,MD25=0),1000,0),MIN(TX25,20)*400+(IF('calcA'!CP$106=1,1-GN25,0)+IF('calcA'!CQ$106=1,1-GP25,0))*150+204+'calcA'!CQ$5*100000+IF(AND($E25=1,MD25=0),50000,0))+IF($H25=1,INDEX('calcA'!$D$180:$EQ$219,$B25,92)*4000,0)-IF(AND('calcA'!CP$117=1,XN25&gt;0),2000,0)-IF(AND($U25=1,'calcA'!CQ$117=1,GP25=0),2000,0))),1000000000))</f>
        <v/>
      </c>
      <c r="RT25">
        <f>IF($B25=0,1000000000,IF(INDEX('calcA'!$D$60:$EQ$99,$B25,93)*IF($W25=1,GP25+ADE25,GP25)=1,IF(AND($E25=2,IF($W25=1,AIT25,ME25)=0),1000000000,IF($V25=1,INDEX('calcA'!$D$130:$EQ$169,$B25,93)+IF(AND($E25=1,ME25=0),25,0),IF($F25&gt;0,INDEX('calcA'!CR$110:CR$114,$F25+1)+IF(AND($E25=1,ME25=0),1000,0),MIN(TX25,20)*400+(IF('calcA'!CQ$106=1,1-GO25,0)+IF('calcA'!CR$106=1,1-GQ25,0))*150+214+'calcA'!CR$5*100000+IF(AND($E25=1,ME25=0),50000,0))+IF($H25=1,INDEX('calcA'!$D$180:$EQ$219,$B25,93)*4000,0)-IF(AND('calcA'!CQ$117=1,XO25&gt;0),2000,0)-IF(AND($U25=1,'calcA'!CR$117=1,GQ25=0),2000,0))),1000000000))</f>
        <v/>
      </c>
      <c r="RU25">
        <f>IF($B25=0,1000000000,IF(INDEX('calcA'!$D$60:$EQ$99,$B25,94)*IF($W25=1,GQ25+ADF25,GQ25)=1,IF(AND($E25=2,IF($W25=1,AIU25,MF25)=0),1000000000,IF($V25=1,INDEX('calcA'!$D$130:$EQ$169,$B25,94)+IF(AND($E25=1,MF25=0),25,0),IF($F25&gt;0,INDEX('calcA'!CS$110:CS$114,$F25+1)+IF(AND($E25=1,MF25=0),1000,0),MIN(TX25,20)*400+(IF('calcA'!CR$106=1,1-GP25,0)+IF('calcA'!CS$106=1,1-GR25,0))*150+224+'calcA'!CS$5*100000+IF(AND($E25=1,MF25=0),50000,0))+IF($H25=1,INDEX('calcA'!$D$180:$EQ$219,$B25,94)*4000,0)-IF(AND('calcA'!CR$117=1,XP25&gt;0),2000,0)-IF(AND($U25=1,'calcA'!CS$117=1,GR25=0),2000,0))),1000000000))</f>
        <v/>
      </c>
      <c r="RV25">
        <f>IF($B25=0,1000000000,IF(INDEX('calcA'!$D$60:$EQ$99,$B25,95)*IF($W25=1,GR25+ADG25,GR25)=1,IF(AND($E25=2,IF($W25=1,AIV25,MG25)=0),1000000000,IF($V25=1,INDEX('calcA'!$D$130:$EQ$169,$B25,95)+IF(AND($E25=1,MG25=0),25,0),IF($F25&gt;0,INDEX('calcA'!CT$110:CT$114,$F25+1)+IF(AND($E25=1,MG25=0),1000,0),MIN(TX25,20)*400+(IF('calcA'!CS$106=1,1-GQ25,0)+IF('calcA'!CT$106=1,1-GS25,0))*150+234+'calcA'!CT$5*100000+IF(AND($E25=1,MG25=0),50000,0))+IF($H25=1,INDEX('calcA'!$D$180:$EQ$219,$B25,95)*4000,0)-IF(AND('calcA'!CS$117=1,XQ25&gt;0),2000,0)-IF(AND($U25=1,'calcA'!CT$117=1,GS25=0),2000,0))),1000000000))</f>
        <v/>
      </c>
      <c r="RW25">
        <f>IF($B25=0,1000000000,IF(INDEX('calcA'!$D$60:$EQ$99,$B25,96)*IF($W25=1,GS25+ADH25,GS25)=1,IF(AND($E25=2,IF($W25=1,AIW25,MH25)=0),1000000000,IF($V25=1,INDEX('calcA'!$D$130:$EQ$169,$B25,96)+IF(AND($E25=1,MH25=0),25,0),IF($F25&gt;0,INDEX('calcA'!CU$110:CU$114,$F25+1)+IF(AND($E25=1,MH25=0),1000,0),MIN(TX25,20)*400+(IF('calcA'!CT$106=1,1-GR25,0))*150+244+'calcA'!CU$5*100000+IF(AND($E25=1,MH25=0),50000,0))+IF($H25=1,INDEX('calcA'!$D$180:$EQ$219,$B25,96)*4000,0)-IF(AND('calcA'!CT$117=1,XR25&gt;0),2000,0))),1000000000))</f>
        <v/>
      </c>
      <c r="RX25">
        <f>IF($B25=0,1000000000,IF(INDEX('calcA'!$D$60:$EQ$99,$B25,97)*IF($W25=1,GT25+ADI25,GT25)=1,IF(AND($E25=2,IF($W25=1,AIX25,MI25)=0),1000000000,IF($V25=1,INDEX('calcA'!$D$130:$EQ$169,$B25,97)+IF(AND($E25=1,MI25=0),25,0),IF($F25&gt;0,INDEX('calcA'!CV$110:CV$114,$F25+1)+IF(AND($E25=1,MI25=0),1000,0),MIN(TY25,20)*400+(IF('calcA'!CV$106=1,1-GU25,0))*150+15+'calcA'!CV$5*100000+IF(AND($E25=1,MI25=0),50000,0))+IF($H25=1,INDEX('calcA'!$D$180:$EQ$219,$B25,97)*4000,0)-IF(AND($U25=1,'calcA'!CV$117=1,GU25=0),2000,0))),1000000000))</f>
        <v/>
      </c>
      <c r="RY25">
        <f>IF($B25=0,1000000000,IF(INDEX('calcA'!$D$60:$EQ$99,$B25,98)*IF($W25=1,GU25+ADJ25,GU25)=1,IF(AND($E25=2,IF($W25=1,AIY25,MJ25)=0),1000000000,IF($V25=1,INDEX('calcA'!$D$130:$EQ$169,$B25,98)+IF(AND($E25=1,MJ25=0),25,0),IF($F25&gt;0,INDEX('calcA'!CW$110:CW$114,$F25+1)+IF(AND($E25=1,MJ25=0),1000,0),MIN(TY25,20)*400+(IF('calcA'!CV$106=1,1-GT25,0)+IF('calcA'!CW$106=1,1-GV25,0))*150+25+'calcA'!CW$5*100000+IF(AND($E25=1,MJ25=0),50000,0))+IF($H25=1,INDEX('calcA'!$D$180:$EQ$219,$B25,98)*4000,0)-IF(AND('calcA'!CV$117=1,XT25&gt;0),2000,0)-IF(AND($U25=1,'calcA'!CW$117=1,GV25=0),2000,0))),1000000000))</f>
        <v/>
      </c>
      <c r="RZ25">
        <f>IF($B25=0,1000000000,IF(INDEX('calcA'!$D$60:$EQ$99,$B25,99)*IF($W25=1,GV25+ADK25,GV25)=1,IF(AND($E25=2,IF($W25=1,AIZ25,MK25)=0),1000000000,IF($V25=1,INDEX('calcA'!$D$130:$EQ$169,$B25,99)+IF(AND($E25=1,MK25=0),25,0),IF($F25&gt;0,INDEX('calcA'!CX$110:CX$114,$F25+1)+IF(AND($E25=1,MK25=0),1000,0),MIN(TY25,20)*400+(IF('calcA'!CW$106=1,1-GU25,0)+IF('calcA'!CX$106=1,1-GW25,0))*150+35+'calcA'!CX$5*100000+IF(AND($E25=1,MK25=0),50000,0))+IF($H25=1,INDEX('calcA'!$D$180:$EQ$219,$B25,99)*4000,0)-IF(AND('calcA'!CW$117=1,XU25&gt;0),2000,0)-IF(AND($U25=1,'calcA'!CX$117=1,GW25=0),2000,0))),1000000000))</f>
        <v/>
      </c>
      <c r="SA25">
        <f>IF($B25=0,1000000000,IF(INDEX('calcA'!$D$60:$EQ$99,$B25,100)*IF($W25=1,GW25+ADL25,GW25)=1,IF(AND($E25=2,IF($W25=1,AJA25,ML25)=0),1000000000,IF($V25=1,INDEX('calcA'!$D$130:$EQ$169,$B25,100)+IF(AND($E25=1,ML25=0),25,0),IF($F25&gt;0,INDEX('calcA'!CY$110:CY$114,$F25+1)+IF(AND($E25=1,ML25=0),1000,0),MIN(TY25,20)*400+(IF('calcA'!CX$106=1,1-GV25,0)+IF('calcA'!CY$106=1,1-GX25,0))*150+45+'calcA'!CY$5*100000+IF(AND($E25=1,ML25=0),50000,0))+IF($H25=1,INDEX('calcA'!$D$180:$EQ$219,$B25,100)*4000,0)-IF(AND('calcA'!CX$117=1,XV25&gt;0),2000,0)-IF(AND($U25=1,'calcA'!CY$117=1,GX25=0),2000,0))),1000000000))</f>
        <v/>
      </c>
      <c r="SB25">
        <f>IF($B25=0,1000000000,IF(INDEX('calcA'!$D$60:$EQ$99,$B25,101)*IF($W25=1,GX25+ADM25,GX25)=1,IF(AND($E25=2,IF($W25=1,AJB25,MM25)=0),1000000000,IF($V25=1,INDEX('calcA'!$D$130:$EQ$169,$B25,101)+IF(AND($E25=1,MM25=0),25,0),IF($F25&gt;0,INDEX('calcA'!CZ$110:CZ$114,$F25+1)+IF(AND($E25=1,MM25=0),1000,0),MIN(TY25,20)*400+(IF('calcA'!CY$106=1,1-GW25,0)+IF('calcA'!CZ$106=1,1-GY25,0))*150+55+'calcA'!CZ$5*100000+IF(AND($E25=1,MM25=0),50000,0))+IF($H25=1,INDEX('calcA'!$D$180:$EQ$219,$B25,101)*4000,0)-IF(AND('calcA'!CY$117=1,XW25&gt;0),2000,0)-IF(AND($U25=1,'calcA'!CZ$117=1,GY25=0),2000,0))),1000000000))</f>
        <v/>
      </c>
      <c r="SC25">
        <f>IF($B25=0,1000000000,IF(INDEX('calcA'!$D$60:$EQ$99,$B25,102)*IF($W25=1,GY25+ADN25,GY25)=1,IF(AND($E25=2,IF($W25=1,AJC25,MN25)=0),1000000000,IF($V25=1,INDEX('calcA'!$D$130:$EQ$169,$B25,102)+IF(AND($E25=1,MN25=0),25,0),IF($F25&gt;0,INDEX('calcA'!DA$110:DA$114,$F25+1)+IF(AND($E25=1,MN25=0),1000,0),MIN(TY25,20)*400+(IF('calcA'!CZ$106=1,1-GX25,0)+IF('calcA'!DA$106=1,1-GZ25,0))*150+65+'calcA'!DA$5*100000+IF(AND($E25=1,MN25=0),50000,0))+IF($H25=1,INDEX('calcA'!$D$180:$EQ$219,$B25,102)*4000,0)-IF(AND('calcA'!CZ$117=1,XX25&gt;0),2000,0)-IF(AND($U25=1,'calcA'!DA$117=1,GZ25=0),2000,0))),1000000000))</f>
        <v/>
      </c>
      <c r="SD25">
        <f>IF($B25=0,1000000000,IF(INDEX('calcA'!$D$60:$EQ$99,$B25,103)*IF($W25=1,GZ25+ADO25,GZ25)=1,IF(AND($E25=2,IF($W25=1,AJD25,MO25)=0),1000000000,IF($V25=1,INDEX('calcA'!$D$130:$EQ$169,$B25,103)+IF(AND($E25=1,MO25=0),25,0),IF($F25&gt;0,INDEX('calcA'!DB$110:DB$114,$F25+1)+IF(AND($E25=1,MO25=0),1000,0),MIN(TY25,20)*400+(IF('calcA'!DA$106=1,1-GY25,0)+IF('calcA'!DB$106=1,1-HA25,0))*150+75+'calcA'!DB$5*100000+IF(AND($E25=1,MO25=0),50000,0))+IF($H25=1,INDEX('calcA'!$D$180:$EQ$219,$B25,103)*4000,0)-IF(AND('calcA'!DA$117=1,XY25&gt;0),2000,0)-IF(AND($U25=1,'calcA'!DB$117=1,HA25=0),2000,0))),1000000000))</f>
        <v/>
      </c>
      <c r="SE25">
        <f>IF($B25=0,1000000000,IF(INDEX('calcA'!$D$60:$EQ$99,$B25,104)*IF($W25=1,HA25+ADP25,HA25)=1,IF(AND($E25=2,IF($W25=1,AJE25,MP25)=0),1000000000,IF($V25=1,INDEX('calcA'!$D$130:$EQ$169,$B25,104)+IF(AND($E25=1,MP25=0),25,0),IF($F25&gt;0,INDEX('calcA'!DC$110:DC$114,$F25+1)+IF(AND($E25=1,MP25=0),1000,0),MIN(TY25,20)*400+(IF('calcA'!DB$106=1,1-GZ25,0)+IF('calcA'!DC$106=1,1-HB25,0))*150+85+'calcA'!DC$5*100000+IF(AND($E25=1,MP25=0),50000,0))+IF($H25=1,INDEX('calcA'!$D$180:$EQ$219,$B25,104)*4000,0)-IF(AND('calcA'!DB$117=1,XZ25&gt;0),2000,0)-IF(AND($U25=1,'calcA'!DC$117=1,HB25=0),2000,0))),1000000000))</f>
        <v/>
      </c>
      <c r="SF25">
        <f>IF($B25=0,1000000000,IF(INDEX('calcA'!$D$60:$EQ$99,$B25,105)*IF($W25=1,HB25+ADQ25,HB25)=1,IF(AND($E25=2,IF($W25=1,AJF25,MQ25)=0),1000000000,IF($V25=1,INDEX('calcA'!$D$130:$EQ$169,$B25,105)+IF(AND($E25=1,MQ25=0),25,0),IF($F25&gt;0,INDEX('calcA'!DD$110:DD$114,$F25+1)+IF(AND($E25=1,MQ25=0),1000,0),MIN(TY25,20)*400+(IF('calcA'!DC$106=1,1-HA25,0)+IF('calcA'!DD$106=1,1-HC25,0))*150+95+'calcA'!DD$5*100000+IF(AND($E25=1,MQ25=0),50000,0))+IF($H25=1,INDEX('calcA'!$D$180:$EQ$219,$B25,105)*4000,0)-IF(AND('calcA'!DC$117=1,YA25&gt;0),2000,0)-IF(AND($U25=1,'calcA'!DD$117=1,HC25=0),2000,0))),1000000000))</f>
        <v/>
      </c>
      <c r="SG25">
        <f>IF($B25=0,1000000000,IF(INDEX('calcA'!$D$60:$EQ$99,$B25,106)*IF($W25=1,HC25+ADR25,HC25)=1,IF(AND($E25=2,IF($W25=1,AJG25,MR25)=0),1000000000,IF($V25=1,INDEX('calcA'!$D$130:$EQ$169,$B25,106)+IF(AND($E25=1,MR25=0),25,0),IF($F25&gt;0,INDEX('calcA'!DE$110:DE$114,$F25+1)+IF(AND($E25=1,MR25=0),1000,0),MIN(TY25,20)*400+(IF('calcA'!DD$106=1,1-HB25,0)+IF('calcA'!DE$106=1,1-HD25,0))*150+105+'calcA'!DE$5*100000+IF(AND($E25=1,MR25=0),50000,0))+IF($H25=1,INDEX('calcA'!$D$180:$EQ$219,$B25,106)*4000,0)-IF(AND('calcA'!DD$117=1,YB25&gt;0),2000,0)-IF(AND($U25=1,'calcA'!DE$117=1,HD25=0),2000,0))),1000000000))</f>
        <v/>
      </c>
      <c r="SH25">
        <f>IF($B25=0,1000000000,IF(INDEX('calcA'!$D$60:$EQ$99,$B25,107)*IF($W25=1,HD25+ADS25,HD25)=1,IF(AND($E25=2,IF($W25=1,AJH25,MS25)=0),1000000000,IF($V25=1,INDEX('calcA'!$D$130:$EQ$169,$B25,107)+IF(AND($E25=1,MS25=0),25,0),IF($F25&gt;0,INDEX('calcA'!DF$110:DF$114,$F25+1)+IF(AND($E25=1,MS25=0),1000,0),MIN(TY25,20)*400+(IF('calcA'!DE$106=1,1-HC25,0)+IF('calcA'!DF$106=1,1-HE25,0))*150+115+'calcA'!DF$5*100000+IF(AND($E25=1,MS25=0),50000,0))+IF($H25=1,INDEX('calcA'!$D$180:$EQ$219,$B25,107)*4000,0)-IF(AND('calcA'!DE$117=1,YC25&gt;0),2000,0)-IF(AND($U25=1,'calcA'!DF$117=1,HE25=0),2000,0))),1000000000))</f>
        <v/>
      </c>
      <c r="SI25">
        <f>IF($B25=0,1000000000,IF(INDEX('calcA'!$D$60:$EQ$99,$B25,108)*IF($W25=1,HE25+ADT25,HE25)=1,IF(AND($E25=2,IF($W25=1,AJI25,MT25)=0),1000000000,IF($V25=1,INDEX('calcA'!$D$130:$EQ$169,$B25,108)+IF(AND($E25=1,MT25=0),25,0),IF($F25&gt;0,INDEX('calcA'!DG$110:DG$114,$F25+1)+IF(AND($E25=1,MT25=0),1000,0),MIN(TY25,20)*400+(IF('calcA'!DF$106=1,1-HD25,0)+IF('calcA'!DG$106=1,1-HF25,0))*150+125+'calcA'!DG$5*100000+IF(AND($E25=1,MT25=0),50000,0))+IF($H25=1,INDEX('calcA'!$D$180:$EQ$219,$B25,108)*4000,0)-IF(AND('calcA'!DF$117=1,YD25&gt;0),2000,0)-IF(AND($U25=1,'calcA'!DG$117=1,HF25=0),2000,0))),1000000000))</f>
        <v/>
      </c>
      <c r="SJ25">
        <f>IF($B25=0,1000000000,IF(INDEX('calcA'!$D$60:$EQ$99,$B25,109)*IF($W25=1,HF25+ADU25,HF25)=1,IF(AND($E25=2,IF($W25=1,AJJ25,MU25)=0),1000000000,IF($V25=1,INDEX('calcA'!$D$130:$EQ$169,$B25,109)+IF(AND($E25=1,MU25=0),25,0),IF($F25&gt;0,INDEX('calcA'!DH$110:DH$114,$F25+1)+IF(AND($E25=1,MU25=0),1000,0),MIN(TY25,20)*400+(IF('calcA'!DG$106=1,1-HE25,0)+IF('calcA'!DH$106=1,1-HG25,0))*150+135+'calcA'!DH$5*100000+IF(AND($E25=1,MU25=0),50000,0))+IF($H25=1,INDEX('calcA'!$D$180:$EQ$219,$B25,109)*4000,0)-IF(AND('calcA'!DG$117=1,YE25&gt;0),2000,0)-IF(AND($U25=1,'calcA'!DH$117=1,HG25=0),2000,0))),1000000000))</f>
        <v/>
      </c>
      <c r="SK25">
        <f>IF($B25=0,1000000000,IF(INDEX('calcA'!$D$60:$EQ$99,$B25,110)*IF($W25=1,HG25+ADV25,HG25)=1,IF(AND($E25=2,IF($W25=1,AJK25,MV25)=0),1000000000,IF($V25=1,INDEX('calcA'!$D$130:$EQ$169,$B25,110)+IF(AND($E25=1,MV25=0),25,0),IF($F25&gt;0,INDEX('calcA'!DI$110:DI$114,$F25+1)+IF(AND($E25=1,MV25=0),1000,0),MIN(TY25,20)*400+(IF('calcA'!DH$106=1,1-HF25,0)+IF('calcA'!DI$106=1,1-HH25,0))*150+145+'calcA'!DI$5*100000+IF(AND($E25=1,MV25=0),50000,0))+IF($H25=1,INDEX('calcA'!$D$180:$EQ$219,$B25,110)*4000,0)-IF(AND('calcA'!DH$117=1,YF25&gt;0),2000,0)-IF(AND($U25=1,'calcA'!DI$117=1,HH25=0),2000,0))),1000000000))</f>
        <v/>
      </c>
      <c r="SL25">
        <f>IF($B25=0,1000000000,IF(INDEX('calcA'!$D$60:$EQ$99,$B25,111)*IF($W25=1,HH25+ADW25,HH25)=1,IF(AND($E25=2,IF($W25=1,AJL25,MW25)=0),1000000000,IF($V25=1,INDEX('calcA'!$D$130:$EQ$169,$B25,111)+IF(AND($E25=1,MW25=0),25,0),IF($F25&gt;0,INDEX('calcA'!DJ$110:DJ$114,$F25+1)+IF(AND($E25=1,MW25=0),1000,0),MIN(TY25,20)*400+(IF('calcA'!DI$106=1,1-HG25,0)+IF('calcA'!DJ$106=1,1-HI25,0))*150+155+'calcA'!DJ$5*100000+IF(AND($E25=1,MW25=0),50000,0))+IF($H25=1,INDEX('calcA'!$D$180:$EQ$219,$B25,111)*4000,0)-IF(AND('calcA'!DI$117=1,YG25&gt;0),2000,0)-IF(AND($U25=1,'calcA'!DJ$117=1,HI25=0),2000,0))),1000000000))</f>
        <v/>
      </c>
      <c r="SM25">
        <f>IF($B25=0,1000000000,IF(INDEX('calcA'!$D$60:$EQ$99,$B25,112)*IF($W25=1,HI25+ADX25,HI25)=1,IF(AND($E25=2,IF($W25=1,AJM25,MX25)=0),1000000000,IF($V25=1,INDEX('calcA'!$D$130:$EQ$169,$B25,112)+IF(AND($E25=1,MX25=0),25,0),IF($F25&gt;0,INDEX('calcA'!DK$110:DK$114,$F25+1)+IF(AND($E25=1,MX25=0),1000,0),MIN(TY25,20)*400+(IF('calcA'!DJ$106=1,1-HH25,0)+IF('calcA'!DK$106=1,1-HJ25,0))*150+165+'calcA'!DK$5*100000+IF(AND($E25=1,MX25=0),50000,0))+IF($H25=1,INDEX('calcA'!$D$180:$EQ$219,$B25,112)*4000,0)-IF(AND('calcA'!DJ$117=1,YH25&gt;0),2000,0)-IF(AND($U25=1,'calcA'!DK$117=1,HJ25=0),2000,0))),1000000000))</f>
        <v/>
      </c>
      <c r="SN25">
        <f>IF($B25=0,1000000000,IF(INDEX('calcA'!$D$60:$EQ$99,$B25,113)*IF($W25=1,HJ25+ADY25,HJ25)=1,IF(AND($E25=2,IF($W25=1,AJN25,MY25)=0),1000000000,IF($V25=1,INDEX('calcA'!$D$130:$EQ$169,$B25,113)+IF(AND($E25=1,MY25=0),25,0),IF($F25&gt;0,INDEX('calcA'!DL$110:DL$114,$F25+1)+IF(AND($E25=1,MY25=0),1000,0),MIN(TY25,20)*400+(IF('calcA'!DK$106=1,1-HI25,0)+IF('calcA'!DL$106=1,1-HK25,0))*150+175+'calcA'!DL$5*100000+IF(AND($E25=1,MY25=0),50000,0))+IF($H25=1,INDEX('calcA'!$D$180:$EQ$219,$B25,113)*4000,0)-IF(AND('calcA'!DK$117=1,YI25&gt;0),2000,0)-IF(AND($U25=1,'calcA'!DL$117=1,HK25=0),2000,0))),1000000000))</f>
        <v/>
      </c>
      <c r="SO25">
        <f>IF($B25=0,1000000000,IF(INDEX('calcA'!$D$60:$EQ$99,$B25,114)*IF($W25=1,HK25+ADZ25,HK25)=1,IF(AND($E25=2,IF($W25=1,AJO25,MZ25)=0),1000000000,IF($V25=1,INDEX('calcA'!$D$130:$EQ$169,$B25,114)+IF(AND($E25=1,MZ25=0),25,0),IF($F25&gt;0,INDEX('calcA'!DM$110:DM$114,$F25+1)+IF(AND($E25=1,MZ25=0),1000,0),MIN(TY25,20)*400+(IF('calcA'!DL$106=1,1-HJ25,0)+IF('calcA'!DM$106=1,1-HL25,0))*150+185+'calcA'!DM$5*100000+IF(AND($E25=1,MZ25=0),50000,0))+IF($H25=1,INDEX('calcA'!$D$180:$EQ$219,$B25,114)*4000,0)-IF(AND('calcA'!DL$117=1,YJ25&gt;0),2000,0)-IF(AND($U25=1,'calcA'!DM$117=1,HL25=0),2000,0))),1000000000))</f>
        <v/>
      </c>
      <c r="SP25">
        <f>IF($B25=0,1000000000,IF(INDEX('calcA'!$D$60:$EQ$99,$B25,115)*IF($W25=1,HL25+AEA25,HL25)=1,IF(AND($E25=2,IF($W25=1,AJP25,NA25)=0),1000000000,IF($V25=1,INDEX('calcA'!$D$130:$EQ$169,$B25,115)+IF(AND($E25=1,NA25=0),25,0),IF($F25&gt;0,INDEX('calcA'!DN$110:DN$114,$F25+1)+IF(AND($E25=1,NA25=0),1000,0),MIN(TY25,20)*400+(IF('calcA'!DM$106=1,1-HK25,0)+IF('calcA'!DN$106=1,1-HM25,0))*150+195+'calcA'!DN$5*100000+IF(AND($E25=1,NA25=0),50000,0))+IF($H25=1,INDEX('calcA'!$D$180:$EQ$219,$B25,115)*4000,0)-IF(AND('calcA'!DM$117=1,YK25&gt;0),2000,0)-IF(AND($U25=1,'calcA'!DN$117=1,HM25=0),2000,0))),1000000000))</f>
        <v/>
      </c>
      <c r="SQ25">
        <f>IF($B25=0,1000000000,IF(INDEX('calcA'!$D$60:$EQ$99,$B25,116)*IF($W25=1,HM25+AEB25,HM25)=1,IF(AND($E25=2,IF($W25=1,AJQ25,NB25)=0),1000000000,IF($V25=1,INDEX('calcA'!$D$130:$EQ$169,$B25,116)+IF(AND($E25=1,NB25=0),25,0),IF($F25&gt;0,INDEX('calcA'!DO$110:DO$114,$F25+1)+IF(AND($E25=1,NB25=0),1000,0),MIN(TY25,20)*400+(IF('calcA'!DN$106=1,1-HL25,0)+IF('calcA'!DO$106=1,1-HN25,0))*150+205+'calcA'!DO$5*100000+IF(AND($E25=1,NB25=0),50000,0))+IF($H25=1,INDEX('calcA'!$D$180:$EQ$219,$B25,116)*4000,0)-IF(AND('calcA'!DN$117=1,YL25&gt;0),2000,0)-IF(AND($U25=1,'calcA'!DO$117=1,HN25=0),2000,0))),1000000000))</f>
        <v/>
      </c>
      <c r="SR25">
        <f>IF($B25=0,1000000000,IF(INDEX('calcA'!$D$60:$EQ$99,$B25,117)*IF($W25=1,HN25+AEC25,HN25)=1,IF(AND($E25=2,IF($W25=1,AJR25,NC25)=0),1000000000,IF($V25=1,INDEX('calcA'!$D$130:$EQ$169,$B25,117)+IF(AND($E25=1,NC25=0),25,0),IF($F25&gt;0,INDEX('calcA'!DP$110:DP$114,$F25+1)+IF(AND($E25=1,NC25=0),1000,0),MIN(TY25,20)*400+(IF('calcA'!DO$106=1,1-HM25,0)+IF('calcA'!DP$106=1,1-HO25,0))*150+215+'calcA'!DP$5*100000+IF(AND($E25=1,NC25=0),50000,0))+IF($H25=1,INDEX('calcA'!$D$180:$EQ$219,$B25,117)*4000,0)-IF(AND('calcA'!DO$117=1,YM25&gt;0),2000,0)-IF(AND($U25=1,'calcA'!DP$117=1,HO25=0),2000,0))),1000000000))</f>
        <v/>
      </c>
      <c r="SS25">
        <f>IF($B25=0,1000000000,IF(INDEX('calcA'!$D$60:$EQ$99,$B25,118)*IF($W25=1,HO25+AED25,HO25)=1,IF(AND($E25=2,IF($W25=1,AJS25,ND25)=0),1000000000,IF($V25=1,INDEX('calcA'!$D$130:$EQ$169,$B25,118)+IF(AND($E25=1,ND25=0),25,0),IF($F25&gt;0,INDEX('calcA'!DQ$110:DQ$114,$F25+1)+IF(AND($E25=1,ND25=0),1000,0),MIN(TY25,20)*400+(IF('calcA'!DP$106=1,1-HN25,0)+IF('calcA'!DQ$106=1,1-HP25,0))*150+225+'calcA'!DQ$5*100000+IF(AND($E25=1,ND25=0),50000,0))+IF($H25=1,INDEX('calcA'!$D$180:$EQ$219,$B25,118)*4000,0)-IF(AND('calcA'!DP$117=1,YN25&gt;0),2000,0)-IF(AND($U25=1,'calcA'!DQ$117=1,HP25=0),2000,0))),1000000000))</f>
        <v/>
      </c>
      <c r="ST25">
        <f>IF($B25=0,1000000000,IF(INDEX('calcA'!$D$60:$EQ$99,$B25,119)*IF($W25=1,HP25+AEE25,HP25)=1,IF(AND($E25=2,IF($W25=1,AJT25,NE25)=0),1000000000,IF($V25=1,INDEX('calcA'!$D$130:$EQ$169,$B25,119)+IF(AND($E25=1,NE25=0),25,0),IF($F25&gt;0,INDEX('calcA'!DR$110:DR$114,$F25+1)+IF(AND($E25=1,NE25=0),1000,0),MIN(TY25,20)*400+(IF('calcA'!DQ$106=1,1-HO25,0)+IF('calcA'!DR$106=1,1-HQ25,0))*150+235+'calcA'!DR$5*100000+IF(AND($E25=1,NE25=0),50000,0))+IF($H25=1,INDEX('calcA'!$D$180:$EQ$219,$B25,119)*4000,0)-IF(AND('calcA'!DQ$117=1,YO25&gt;0),2000,0)-IF(AND($U25=1,'calcA'!DR$117=1,HQ25=0),2000,0))),1000000000))</f>
        <v/>
      </c>
      <c r="SU25">
        <f>IF($B25=0,1000000000,IF(INDEX('calcA'!$D$60:$EQ$99,$B25,120)*IF($W25=1,HQ25+AEF25,HQ25)=1,IF(AND($E25=2,IF($W25=1,AJU25,NF25)=0),1000000000,IF($V25=1,INDEX('calcA'!$D$130:$EQ$169,$B25,120)+IF(AND($E25=1,NF25=0),25,0),IF($F25&gt;0,INDEX('calcA'!DS$110:DS$114,$F25+1)+IF(AND($E25=1,NF25=0),1000,0),MIN(TY25,20)*400+(IF('calcA'!DR$106=1,1-HP25,0))*150+245+'calcA'!DS$5*100000+IF(AND($E25=1,NF25=0),50000,0))+IF($H25=1,INDEX('calcA'!$D$180:$EQ$219,$B25,120)*4000,0)-IF(AND('calcA'!DR$117=1,YP25&gt;0),2000,0))),1000000000))</f>
        <v/>
      </c>
      <c r="SV25">
        <f>IF($B25=0,1000000000,IF(INDEX('calcA'!$D$60:$EQ$99,$B25,121)*IF($W25=1,HR25+AEG25,HR25)=1,IF(AND($E25=2,IF($W25=1,AJV25,NG25)=0),1000000000,IF($V25=1,INDEX('calcA'!$D$130:$EQ$169,$B25,121)+IF(AND($E25=1,NG25=0),25,0),IF($F25&gt;0,INDEX('calcA'!DT$110:DT$114,$F25+1)+IF(AND($E25=1,NG25=0),1000,0),MIN(TZ25,20)*400+(IF('calcA'!DT$106=1,1-HS25,0))*150+16+'calcA'!DT$5*100000+IF(AND($E25=1,NG25=0),50000,0))+IF($H25=1,INDEX('calcA'!$D$180:$EQ$219,$B25,121)*4000,0)-IF(AND($U25=1,'calcA'!DT$117=1,HS25=0),2000,0))),1000000000))</f>
        <v/>
      </c>
      <c r="SW25">
        <f>IF($B25=0,1000000000,IF(INDEX('calcA'!$D$60:$EQ$99,$B25,122)*IF($W25=1,HS25+AEH25,HS25)=1,IF(AND($E25=2,IF($W25=1,AJW25,NH25)=0),1000000000,IF($V25=1,INDEX('calcA'!$D$130:$EQ$169,$B25,122)+IF(AND($E25=1,NH25=0),25,0),IF($F25&gt;0,INDEX('calcA'!DU$110:DU$114,$F25+1)+IF(AND($E25=1,NH25=0),1000,0),MIN(TZ25,20)*400+(IF('calcA'!DT$106=1,1-HR25,0)+IF('calcA'!DU$106=1,1-HT25,0))*150+26+'calcA'!DU$5*100000+IF(AND($E25=1,NH25=0),50000,0))+IF($H25=1,INDEX('calcA'!$D$180:$EQ$219,$B25,122)*4000,0)-IF(AND('calcA'!DT$117=1,YR25&gt;0),2000,0)-IF(AND($U25=1,'calcA'!DU$117=1,HT25=0),2000,0))),1000000000))</f>
        <v/>
      </c>
      <c r="SX25">
        <f>IF($B25=0,1000000000,IF(INDEX('calcA'!$D$60:$EQ$99,$B25,123)*IF($W25=1,HT25+AEI25,HT25)=1,IF(AND($E25=2,IF($W25=1,AJX25,NI25)=0),1000000000,IF($V25=1,INDEX('calcA'!$D$130:$EQ$169,$B25,123)+IF(AND($E25=1,NI25=0),25,0),IF($F25&gt;0,INDEX('calcA'!DV$110:DV$114,$F25+1)+IF(AND($E25=1,NI25=0),1000,0),MIN(TZ25,20)*400+(IF('calcA'!DU$106=1,1-HS25,0)+IF('calcA'!DV$106=1,1-HU25,0))*150+36+'calcA'!DV$5*100000+IF(AND($E25=1,NI25=0),50000,0))+IF($H25=1,INDEX('calcA'!$D$180:$EQ$219,$B25,123)*4000,0)-IF(AND('calcA'!DU$117=1,YS25&gt;0),2000,0)-IF(AND($U25=1,'calcA'!DV$117=1,HU25=0),2000,0))),1000000000))</f>
        <v/>
      </c>
      <c r="SY25">
        <f>IF($B25=0,1000000000,IF(INDEX('calcA'!$D$60:$EQ$99,$B25,124)*IF($W25=1,HU25+AEJ25,HU25)=1,IF(AND($E25=2,IF($W25=1,AJY25,NJ25)=0),1000000000,IF($V25=1,INDEX('calcA'!$D$130:$EQ$169,$B25,124)+IF(AND($E25=1,NJ25=0),25,0),IF($F25&gt;0,INDEX('calcA'!DW$110:DW$114,$F25+1)+IF(AND($E25=1,NJ25=0),1000,0),MIN(TZ25,20)*400+(IF('calcA'!DV$106=1,1-HT25,0)+IF('calcA'!DW$106=1,1-HV25,0))*150+46+'calcA'!DW$5*100000+IF(AND($E25=1,NJ25=0),50000,0))+IF($H25=1,INDEX('calcA'!$D$180:$EQ$219,$B25,124)*4000,0)-IF(AND('calcA'!DV$117=1,YT25&gt;0),2000,0)-IF(AND($U25=1,'calcA'!DW$117=1,HV25=0),2000,0))),1000000000))</f>
        <v/>
      </c>
      <c r="SZ25">
        <f>IF($B25=0,1000000000,IF(INDEX('calcA'!$D$60:$EQ$99,$B25,125)*IF($W25=1,HV25+AEK25,HV25)=1,IF(AND($E25=2,IF($W25=1,AJZ25,NK25)=0),1000000000,IF($V25=1,INDEX('calcA'!$D$130:$EQ$169,$B25,125)+IF(AND($E25=1,NK25=0),25,0),IF($F25&gt;0,INDEX('calcA'!DX$110:DX$114,$F25+1)+IF(AND($E25=1,NK25=0),1000,0),MIN(TZ25,20)*400+(IF('calcA'!DW$106=1,1-HU25,0)+IF('calcA'!DX$106=1,1-HW25,0))*150+56+'calcA'!DX$5*100000+IF(AND($E25=1,NK25=0),50000,0))+IF($H25=1,INDEX('calcA'!$D$180:$EQ$219,$B25,125)*4000,0)-IF(AND('calcA'!DW$117=1,YU25&gt;0),2000,0)-IF(AND($U25=1,'calcA'!DX$117=1,HW25=0),2000,0))),1000000000))</f>
        <v/>
      </c>
      <c r="TA25">
        <f>IF($B25=0,1000000000,IF(INDEX('calcA'!$D$60:$EQ$99,$B25,126)*IF($W25=1,HW25+AEL25,HW25)=1,IF(AND($E25=2,IF($W25=1,AKA25,NL25)=0),1000000000,IF($V25=1,INDEX('calcA'!$D$130:$EQ$169,$B25,126)+IF(AND($E25=1,NL25=0),25,0),IF($F25&gt;0,INDEX('calcA'!DY$110:DY$114,$F25+1)+IF(AND($E25=1,NL25=0),1000,0),MIN(TZ25,20)*400+(IF('calcA'!DX$106=1,1-HV25,0)+IF('calcA'!DY$106=1,1-HX25,0))*150+66+'calcA'!DY$5*100000+IF(AND($E25=1,NL25=0),50000,0))+IF($H25=1,INDEX('calcA'!$D$180:$EQ$219,$B25,126)*4000,0)-IF(AND('calcA'!DX$117=1,YV25&gt;0),2000,0)-IF(AND($U25=1,'calcA'!DY$117=1,HX25=0),2000,0))),1000000000))</f>
        <v/>
      </c>
      <c r="TB25">
        <f>IF($B25=0,1000000000,IF(INDEX('calcA'!$D$60:$EQ$99,$B25,127)*IF($W25=1,HX25+AEM25,HX25)=1,IF(AND($E25=2,IF($W25=1,AKB25,NM25)=0),1000000000,IF($V25=1,INDEX('calcA'!$D$130:$EQ$169,$B25,127)+IF(AND($E25=1,NM25=0),25,0),IF($F25&gt;0,INDEX('calcA'!DZ$110:DZ$114,$F25+1)+IF(AND($E25=1,NM25=0),1000,0),MIN(TZ25,20)*400+(IF('calcA'!DY$106=1,1-HW25,0)+IF('calcA'!DZ$106=1,1-HY25,0))*150+76+'calcA'!DZ$5*100000+IF(AND($E25=1,NM25=0),50000,0))+IF($H25=1,INDEX('calcA'!$D$180:$EQ$219,$B25,127)*4000,0)-IF(AND('calcA'!DY$117=1,YW25&gt;0),2000,0)-IF(AND($U25=1,'calcA'!DZ$117=1,HY25=0),2000,0))),1000000000))</f>
        <v/>
      </c>
      <c r="TC25">
        <f>IF($B25=0,1000000000,IF(INDEX('calcA'!$D$60:$EQ$99,$B25,128)*IF($W25=1,HY25+AEN25,HY25)=1,IF(AND($E25=2,IF($W25=1,AKC25,NN25)=0),1000000000,IF($V25=1,INDEX('calcA'!$D$130:$EQ$169,$B25,128)+IF(AND($E25=1,NN25=0),25,0),IF($F25&gt;0,INDEX('calcA'!EA$110:EA$114,$F25+1)+IF(AND($E25=1,NN25=0),1000,0),MIN(TZ25,20)*400+(IF('calcA'!DZ$106=1,1-HX25,0)+IF('calcA'!EA$106=1,1-HZ25,0))*150+86+'calcA'!EA$5*100000+IF(AND($E25=1,NN25=0),50000,0))+IF($H25=1,INDEX('calcA'!$D$180:$EQ$219,$B25,128)*4000,0)-IF(AND('calcA'!DZ$117=1,YX25&gt;0),2000,0)-IF(AND($U25=1,'calcA'!EA$117=1,HZ25=0),2000,0))),1000000000))</f>
        <v/>
      </c>
      <c r="TD25">
        <f>IF($B25=0,1000000000,IF(INDEX('calcA'!$D$60:$EQ$99,$B25,129)*IF($W25=1,HZ25+AEO25,HZ25)=1,IF(AND($E25=2,IF($W25=1,AKD25,NO25)=0),1000000000,IF($V25=1,INDEX('calcA'!$D$130:$EQ$169,$B25,129)+IF(AND($E25=1,NO25=0),25,0),IF($F25&gt;0,INDEX('calcA'!EB$110:EB$114,$F25+1)+IF(AND($E25=1,NO25=0),1000,0),MIN(TZ25,20)*400+(IF('calcA'!EA$106=1,1-HY25,0)+IF('calcA'!EB$106=1,1-IA25,0))*150+96+'calcA'!EB$5*100000+IF(AND($E25=1,NO25=0),50000,0))+IF($H25=1,INDEX('calcA'!$D$180:$EQ$219,$B25,129)*4000,0)-IF(AND('calcA'!EA$117=1,YY25&gt;0),2000,0)-IF(AND($U25=1,'calcA'!EB$117=1,IA25=0),2000,0))),1000000000))</f>
        <v/>
      </c>
      <c r="TE25">
        <f>IF($B25=0,1000000000,IF(INDEX('calcA'!$D$60:$EQ$99,$B25,130)*IF($W25=1,IA25+AEP25,IA25)=1,IF(AND($E25=2,IF($W25=1,AKE25,NP25)=0),1000000000,IF($V25=1,INDEX('calcA'!$D$130:$EQ$169,$B25,130)+IF(AND($E25=1,NP25=0),25,0),IF($F25&gt;0,INDEX('calcA'!EC$110:EC$114,$F25+1)+IF(AND($E25=1,NP25=0),1000,0),MIN(TZ25,20)*400+(IF('calcA'!EB$106=1,1-HZ25,0)+IF('calcA'!EC$106=1,1-IB25,0))*150+106+'calcA'!EC$5*100000+IF(AND($E25=1,NP25=0),50000,0))+IF($H25=1,INDEX('calcA'!$D$180:$EQ$219,$B25,130)*4000,0)-IF(AND('calcA'!EB$117=1,YZ25&gt;0),2000,0)-IF(AND($U25=1,'calcA'!EC$117=1,IB25=0),2000,0))),1000000000))</f>
        <v/>
      </c>
      <c r="TF25">
        <f>IF($B25=0,1000000000,IF(INDEX('calcA'!$D$60:$EQ$99,$B25,131)*IF($W25=1,IB25+AEQ25,IB25)=1,IF(AND($E25=2,IF($W25=1,AKF25,NQ25)=0),1000000000,IF($V25=1,INDEX('calcA'!$D$130:$EQ$169,$B25,131)+IF(AND($E25=1,NQ25=0),25,0),IF($F25&gt;0,INDEX('calcA'!ED$110:ED$114,$F25+1)+IF(AND($E25=1,NQ25=0),1000,0),MIN(TZ25,20)*400+(IF('calcA'!EC$106=1,1-IA25,0)+IF('calcA'!ED$106=1,1-IC25,0))*150+116+'calcA'!ED$5*100000+IF(AND($E25=1,NQ25=0),50000,0))+IF($H25=1,INDEX('calcA'!$D$180:$EQ$219,$B25,131)*4000,0)-IF(AND('calcA'!EC$117=1,ZA25&gt;0),2000,0)-IF(AND($U25=1,'calcA'!ED$117=1,IC25=0),2000,0))),1000000000))</f>
        <v/>
      </c>
      <c r="TG25">
        <f>IF($B25=0,1000000000,IF(INDEX('calcA'!$D$60:$EQ$99,$B25,132)*IF($W25=1,IC25+AER25,IC25)=1,IF(AND($E25=2,IF($W25=1,AKG25,NR25)=0),1000000000,IF($V25=1,INDEX('calcA'!$D$130:$EQ$169,$B25,132)+IF(AND($E25=1,NR25=0),25,0),IF($F25&gt;0,INDEX('calcA'!EE$110:EE$114,$F25+1)+IF(AND($E25=1,NR25=0),1000,0),MIN(TZ25,20)*400+(IF('calcA'!ED$106=1,1-IB25,0)+IF('calcA'!EE$106=1,1-ID25,0))*150+126+'calcA'!EE$5*100000+IF(AND($E25=1,NR25=0),50000,0))+IF($H25=1,INDEX('calcA'!$D$180:$EQ$219,$B25,132)*4000,0)-IF(AND('calcA'!ED$117=1,ZB25&gt;0),2000,0)-IF(AND($U25=1,'calcA'!EE$117=1,ID25=0),2000,0))),1000000000))</f>
        <v/>
      </c>
      <c r="TH25">
        <f>IF($B25=0,1000000000,IF(INDEX('calcA'!$D$60:$EQ$99,$B25,133)*IF($W25=1,ID25+AES25,ID25)=1,IF(AND($E25=2,IF($W25=1,AKH25,NS25)=0),1000000000,IF($V25=1,INDEX('calcA'!$D$130:$EQ$169,$B25,133)+IF(AND($E25=1,NS25=0),25,0),IF($F25&gt;0,INDEX('calcA'!EF$110:EF$114,$F25+1)+IF(AND($E25=1,NS25=0),1000,0),MIN(TZ25,20)*400+(IF('calcA'!EE$106=1,1-IC25,0)+IF('calcA'!EF$106=1,1-IE25,0))*150+136+'calcA'!EF$5*100000+IF(AND($E25=1,NS25=0),50000,0))+IF($H25=1,INDEX('calcA'!$D$180:$EQ$219,$B25,133)*4000,0)-IF(AND('calcA'!EE$117=1,ZC25&gt;0),2000,0)-IF(AND($U25=1,'calcA'!EF$117=1,IE25=0),2000,0))),1000000000))</f>
        <v/>
      </c>
      <c r="TI25">
        <f>IF($B25=0,1000000000,IF(INDEX('calcA'!$D$60:$EQ$99,$B25,134)*IF($W25=1,IE25+AET25,IE25)=1,IF(AND($E25=2,IF($W25=1,AKI25,NT25)=0),1000000000,IF($V25=1,INDEX('calcA'!$D$130:$EQ$169,$B25,134)+IF(AND($E25=1,NT25=0),25,0),IF($F25&gt;0,INDEX('calcA'!EG$110:EG$114,$F25+1)+IF(AND($E25=1,NT25=0),1000,0),MIN(TZ25,20)*400+(IF('calcA'!EF$106=1,1-ID25,0)+IF('calcA'!EG$106=1,1-IF25,0))*150+146+'calcA'!EG$5*100000+IF(AND($E25=1,NT25=0),50000,0))+IF($H25=1,INDEX('calcA'!$D$180:$EQ$219,$B25,134)*4000,0)-IF(AND('calcA'!EF$117=1,ZD25&gt;0),2000,0)-IF(AND($U25=1,'calcA'!EG$117=1,IF25=0),2000,0))),1000000000))</f>
        <v/>
      </c>
      <c r="TJ25">
        <f>IF($B25=0,1000000000,IF(INDEX('calcA'!$D$60:$EQ$99,$B25,135)*IF($W25=1,IF25+AEU25,IF25)=1,IF(AND($E25=2,IF($W25=1,AKJ25,NU25)=0),1000000000,IF($V25=1,INDEX('calcA'!$D$130:$EQ$169,$B25,135)+IF(AND($E25=1,NU25=0),25,0),IF($F25&gt;0,INDEX('calcA'!EH$110:EH$114,$F25+1)+IF(AND($E25=1,NU25=0),1000,0),MIN(TZ25,20)*400+(IF('calcA'!EG$106=1,1-IE25,0)+IF('calcA'!EH$106=1,1-IG25,0))*150+156+'calcA'!EH$5*100000+IF(AND($E25=1,NU25=0),50000,0))+IF($H25=1,INDEX('calcA'!$D$180:$EQ$219,$B25,135)*4000,0)-IF(AND('calcA'!EG$117=1,ZE25&gt;0),2000,0)-IF(AND($U25=1,'calcA'!EH$117=1,IG25=0),2000,0))),1000000000))</f>
        <v/>
      </c>
      <c r="TK25">
        <f>IF($B25=0,1000000000,IF(INDEX('calcA'!$D$60:$EQ$99,$B25,136)*IF($W25=1,IG25+AEV25,IG25)=1,IF(AND($E25=2,IF($W25=1,AKK25,NV25)=0),1000000000,IF($V25=1,INDEX('calcA'!$D$130:$EQ$169,$B25,136)+IF(AND($E25=1,NV25=0),25,0),IF($F25&gt;0,INDEX('calcA'!EI$110:EI$114,$F25+1)+IF(AND($E25=1,NV25=0),1000,0),MIN(TZ25,20)*400+(IF('calcA'!EH$106=1,1-IF25,0)+IF('calcA'!EI$106=1,1-IH25,0))*150+166+'calcA'!EI$5*100000+IF(AND($E25=1,NV25=0),50000,0))+IF($H25=1,INDEX('calcA'!$D$180:$EQ$219,$B25,136)*4000,0)-IF(AND('calcA'!EH$117=1,ZF25&gt;0),2000,0)-IF(AND($U25=1,'calcA'!EI$117=1,IH25=0),2000,0))),1000000000))</f>
        <v/>
      </c>
      <c r="TL25">
        <f>IF($B25=0,1000000000,IF(INDEX('calcA'!$D$60:$EQ$99,$B25,137)*IF($W25=1,IH25+AEW25,IH25)=1,IF(AND($E25=2,IF($W25=1,AKL25,NW25)=0),1000000000,IF($V25=1,INDEX('calcA'!$D$130:$EQ$169,$B25,137)+IF(AND($E25=1,NW25=0),25,0),IF($F25&gt;0,INDEX('calcA'!EJ$110:EJ$114,$F25+1)+IF(AND($E25=1,NW25=0),1000,0),MIN(TZ25,20)*400+(IF('calcA'!EI$106=1,1-IG25,0)+IF('calcA'!EJ$106=1,1-II25,0))*150+176+'calcA'!EJ$5*100000+IF(AND($E25=1,NW25=0),50000,0))+IF($H25=1,INDEX('calcA'!$D$180:$EQ$219,$B25,137)*4000,0)-IF(AND('calcA'!EI$117=1,ZG25&gt;0),2000,0)-IF(AND($U25=1,'calcA'!EJ$117=1,II25=0),2000,0))),1000000000))</f>
        <v/>
      </c>
      <c r="TM25">
        <f>IF($B25=0,1000000000,IF(INDEX('calcA'!$D$60:$EQ$99,$B25,138)*IF($W25=1,II25+AEX25,II25)=1,IF(AND($E25=2,IF($W25=1,AKM25,NX25)=0),1000000000,IF($V25=1,INDEX('calcA'!$D$130:$EQ$169,$B25,138)+IF(AND($E25=1,NX25=0),25,0),IF($F25&gt;0,INDEX('calcA'!EK$110:EK$114,$F25+1)+IF(AND($E25=1,NX25=0),1000,0),MIN(TZ25,20)*400+(IF('calcA'!EJ$106=1,1-IH25,0)+IF('calcA'!EK$106=1,1-IJ25,0))*150+186+'calcA'!EK$5*100000+IF(AND($E25=1,NX25=0),50000,0))+IF($H25=1,INDEX('calcA'!$D$180:$EQ$219,$B25,138)*4000,0)-IF(AND('calcA'!EJ$117=1,ZH25&gt;0),2000,0)-IF(AND($U25=1,'calcA'!EK$117=1,IJ25=0),2000,0))),1000000000))</f>
        <v/>
      </c>
      <c r="TN25">
        <f>IF($B25=0,1000000000,IF(INDEX('calcA'!$D$60:$EQ$99,$B25,139)*IF($W25=1,IJ25+AEY25,IJ25)=1,IF(AND($E25=2,IF($W25=1,AKN25,NY25)=0),1000000000,IF($V25=1,INDEX('calcA'!$D$130:$EQ$169,$B25,139)+IF(AND($E25=1,NY25=0),25,0),IF($F25&gt;0,INDEX('calcA'!EL$110:EL$114,$F25+1)+IF(AND($E25=1,NY25=0),1000,0),MIN(TZ25,20)*400+(IF('calcA'!EK$106=1,1-II25,0)+IF('calcA'!EL$106=1,1-IK25,0))*150+196+'calcA'!EL$5*100000+IF(AND($E25=1,NY25=0),50000,0))+IF($H25=1,INDEX('calcA'!$D$180:$EQ$219,$B25,139)*4000,0)-IF(AND('calcA'!EK$117=1,ZI25&gt;0),2000,0)-IF(AND($U25=1,'calcA'!EL$117=1,IK25=0),2000,0))),1000000000))</f>
        <v/>
      </c>
      <c r="TO25">
        <f>IF($B25=0,1000000000,IF(INDEX('calcA'!$D$60:$EQ$99,$B25,140)*IF($W25=1,IK25+AEZ25,IK25)=1,IF(AND($E25=2,IF($W25=1,AKO25,NZ25)=0),1000000000,IF($V25=1,INDEX('calcA'!$D$130:$EQ$169,$B25,140)+IF(AND($E25=1,NZ25=0),25,0),IF($F25&gt;0,INDEX('calcA'!EM$110:EM$114,$F25+1)+IF(AND($E25=1,NZ25=0),1000,0),MIN(TZ25,20)*400+(IF('calcA'!EL$106=1,1-IJ25,0)+IF('calcA'!EM$106=1,1-IL25,0))*150+206+'calcA'!EM$5*100000+IF(AND($E25=1,NZ25=0),50000,0))+IF($H25=1,INDEX('calcA'!$D$180:$EQ$219,$B25,140)*4000,0)-IF(AND('calcA'!EL$117=1,ZJ25&gt;0),2000,0)-IF(AND($U25=1,'calcA'!EM$117=1,IL25=0),2000,0))),1000000000))</f>
        <v/>
      </c>
      <c r="TP25">
        <f>IF($B25=0,1000000000,IF(INDEX('calcA'!$D$60:$EQ$99,$B25,141)*IF($W25=1,IL25+AFA25,IL25)=1,IF(AND($E25=2,IF($W25=1,AKP25,OA25)=0),1000000000,IF($V25=1,INDEX('calcA'!$D$130:$EQ$169,$B25,141)+IF(AND($E25=1,OA25=0),25,0),IF($F25&gt;0,INDEX('calcA'!EN$110:EN$114,$F25+1)+IF(AND($E25=1,OA25=0),1000,0),MIN(TZ25,20)*400+(IF('calcA'!EM$106=1,1-IK25,0)+IF('calcA'!EN$106=1,1-IM25,0))*150+216+'calcA'!EN$5*100000+IF(AND($E25=1,OA25=0),50000,0))+IF($H25=1,INDEX('calcA'!$D$180:$EQ$219,$B25,141)*4000,0)-IF(AND('calcA'!EM$117=1,ZK25&gt;0),2000,0)-IF(AND($U25=1,'calcA'!EN$117=1,IM25=0),2000,0))),1000000000))</f>
        <v/>
      </c>
      <c r="TQ25">
        <f>IF($B25=0,1000000000,IF(INDEX('calcA'!$D$60:$EQ$99,$B25,142)*IF($W25=1,IM25+AFB25,IM25)=1,IF(AND($E25=2,IF($W25=1,AKQ25,OB25)=0),1000000000,IF($V25=1,INDEX('calcA'!$D$130:$EQ$169,$B25,142)+IF(AND($E25=1,OB25=0),25,0),IF($F25&gt;0,INDEX('calcA'!EO$110:EO$114,$F25+1)+IF(AND($E25=1,OB25=0),1000,0),MIN(TZ25,20)*400+(IF('calcA'!EN$106=1,1-IL25,0)+IF('calcA'!EO$106=1,1-IN25,0))*150+226+'calcA'!EO$5*100000+IF(AND($E25=1,OB25=0),50000,0))+IF($H25=1,INDEX('calcA'!$D$180:$EQ$219,$B25,142)*4000,0)-IF(AND('calcA'!EN$117=1,ZL25&gt;0),2000,0)-IF(AND($U25=1,'calcA'!EO$117=1,IN25=0),2000,0))),1000000000))</f>
        <v/>
      </c>
      <c r="TR25">
        <f>IF($B25=0,1000000000,IF(INDEX('calcA'!$D$60:$EQ$99,$B25,143)*IF($W25=1,IN25+AFC25,IN25)=1,IF(AND($E25=2,IF($W25=1,AKR25,OC25)=0),1000000000,IF($V25=1,INDEX('calcA'!$D$130:$EQ$169,$B25,143)+IF(AND($E25=1,OC25=0),25,0),IF($F25&gt;0,INDEX('calcA'!EP$110:EP$114,$F25+1)+IF(AND($E25=1,OC25=0),1000,0),MIN(TZ25,20)*400+(IF('calcA'!EO$106=1,1-IM25,0)+IF('calcA'!EP$106=1,1-IO25,0))*150+236+'calcA'!EP$5*100000+IF(AND($E25=1,OC25=0),50000,0))+IF($H25=1,INDEX('calcA'!$D$180:$EQ$219,$B25,143)*4000,0)-IF(AND('calcA'!EO$117=1,ZM25&gt;0),2000,0)-IF(AND($U25=1,'calcA'!EP$117=1,IO25=0),2000,0))),1000000000))</f>
        <v/>
      </c>
      <c r="TS25">
        <f>IF($B25=0,1000000000,IF(INDEX('calcA'!$D$60:$EQ$99,$B25,144)*IF($W25=1,IO25+AFD25,IO25)=1,IF(AND($E25=2,IF($W25=1,AKS25,OD25)=0),1000000000,IF($V25=1,INDEX('calcA'!$D$130:$EQ$169,$B25,144)+IF(AND($E25=1,OD25=0),25,0),IF($F25&gt;0,INDEX('calcA'!EQ$110:EQ$114,$F25+1)+IF(AND($E25=1,OD25=0),1000,0),MIN(TZ25,20)*400+(IF('calcA'!EP$106=1,1-IN25,0))*150+246+'calcA'!EQ$5*100000+IF(AND($E25=1,OD25=0),50000,0))+IF($H25=1,INDEX('calcA'!$D$180:$EQ$219,$B25,144)*4000,0)-IF(AND('calcA'!EP$117=1,ZN25&gt;0),2000,0))),1000000000))</f>
        <v/>
      </c>
      <c r="TU25">
        <f>TU24+IF($C24&gt;0,IF(INDEX('calcA'!$D$2:$EQ$2,$C24)=1,1,0),0)</f>
        <v/>
      </c>
      <c r="TV25">
        <f>TV24+IF($C24&gt;0,IF(INDEX('calcA'!$D$2:$EQ$2,$C24)=2,1,0),0)</f>
        <v/>
      </c>
      <c r="TW25">
        <f>TW24+IF($C24&gt;0,IF(INDEX('calcA'!$D$2:$EQ$2,$C24)=3,1,0),0)</f>
        <v/>
      </c>
      <c r="TX25">
        <f>TX24+IF($C24&gt;0,IF(INDEX('calcA'!$D$2:$EQ$2,$C24)=4,1,0),0)</f>
        <v/>
      </c>
      <c r="TY25">
        <f>TY24+IF($C24&gt;0,IF(INDEX('calcA'!$D$2:$EQ$2,$C24)=5,1,0),0)</f>
        <v/>
      </c>
      <c r="TZ25">
        <f>TZ24+IF($C24&gt;0,IF(INDEX('calcA'!$D$2:$EQ$2,$C24)=6,1,0),0)</f>
        <v/>
      </c>
      <c r="UB25">
        <f>UB24+IF(AND($C24=1,$U24=1),1,0)</f>
        <v/>
      </c>
      <c r="UC25">
        <f>UC24+IF(AND($C24=2,$U24=1),1,0)</f>
        <v/>
      </c>
      <c r="UD25">
        <f>UD24+IF(AND($C24=3,$U24=1),1,0)</f>
        <v/>
      </c>
      <c r="UE25">
        <f>UE24+IF(AND($C24=4,$U24=1),1,0)</f>
        <v/>
      </c>
      <c r="UF25">
        <f>UF24+IF(AND($C24=5,$U24=1),1,0)</f>
        <v/>
      </c>
      <c r="UG25">
        <f>UG24+IF(AND($C24=6,$U24=1),1,0)</f>
        <v/>
      </c>
      <c r="UH25">
        <f>UH24+IF(AND($C24=7,$U24=1),1,0)</f>
        <v/>
      </c>
      <c r="UI25">
        <f>UI24+IF(AND($C24=8,$U24=1),1,0)</f>
        <v/>
      </c>
      <c r="UJ25">
        <f>UJ24+IF(AND($C24=9,$U24=1),1,0)</f>
        <v/>
      </c>
      <c r="UK25">
        <f>UK24+IF(AND($C24=10,$U24=1),1,0)</f>
        <v/>
      </c>
      <c r="UL25">
        <f>UL24+IF(AND($C24=11,$U24=1),1,0)</f>
        <v/>
      </c>
      <c r="UM25">
        <f>UM24+IF(AND($C24=12,$U24=1),1,0)</f>
        <v/>
      </c>
      <c r="UN25">
        <f>UN24+IF(AND($C24=13,$U24=1),1,0)</f>
        <v/>
      </c>
      <c r="UO25">
        <f>UO24+IF(AND($C24=14,$U24=1),1,0)</f>
        <v/>
      </c>
      <c r="UP25">
        <f>UP24+IF(AND($C24=15,$U24=1),1,0)</f>
        <v/>
      </c>
      <c r="UQ25">
        <f>UQ24+IF(AND($C24=16,$U24=1),1,0)</f>
        <v/>
      </c>
      <c r="UR25">
        <f>UR24+IF(AND($C24=17,$U24=1),1,0)</f>
        <v/>
      </c>
      <c r="US25">
        <f>US24+IF(AND($C24=18,$U24=1),1,0)</f>
        <v/>
      </c>
      <c r="UT25">
        <f>UT24+IF(AND($C24=19,$U24=1),1,0)</f>
        <v/>
      </c>
      <c r="UU25">
        <f>UU24+IF(AND($C24=20,$U24=1),1,0)</f>
        <v/>
      </c>
      <c r="UV25">
        <f>UV24+IF(AND($C24=21,$U24=1),1,0)</f>
        <v/>
      </c>
      <c r="UW25">
        <f>UW24+IF(AND($C24=22,$U24=1),1,0)</f>
        <v/>
      </c>
      <c r="UX25">
        <f>UX24+IF(AND($C24=23,$U24=1),1,0)</f>
        <v/>
      </c>
      <c r="UY25">
        <f>UY24+IF(AND($C24=24,$U24=1),1,0)</f>
        <v/>
      </c>
      <c r="UZ25">
        <f>UZ24+IF(AND($C24=25,$U24=1),1,0)</f>
        <v/>
      </c>
      <c r="VA25">
        <f>VA24+IF(AND($C24=26,$U24=1),1,0)</f>
        <v/>
      </c>
      <c r="VB25">
        <f>VB24+IF(AND($C24=27,$U24=1),1,0)</f>
        <v/>
      </c>
      <c r="VC25">
        <f>VC24+IF(AND($C24=28,$U24=1),1,0)</f>
        <v/>
      </c>
      <c r="VD25">
        <f>VD24+IF(AND($C24=29,$U24=1),1,0)</f>
        <v/>
      </c>
      <c r="VE25">
        <f>VE24+IF(AND($C24=30,$U24=1),1,0)</f>
        <v/>
      </c>
      <c r="VF25">
        <f>VF24+IF(AND($C24=31,$U24=1),1,0)</f>
        <v/>
      </c>
      <c r="VG25">
        <f>VG24+IF(AND($C24=32,$U24=1),1,0)</f>
        <v/>
      </c>
      <c r="VH25">
        <f>VH24+IF(AND($C24=33,$U24=1),1,0)</f>
        <v/>
      </c>
      <c r="VI25">
        <f>VI24+IF(AND($C24=34,$U24=1),1,0)</f>
        <v/>
      </c>
      <c r="VJ25">
        <f>VJ24+IF(AND($C24=35,$U24=1),1,0)</f>
        <v/>
      </c>
      <c r="VK25">
        <f>VK24+IF(AND($C24=36,$U24=1),1,0)</f>
        <v/>
      </c>
      <c r="VL25">
        <f>VL24+IF(AND($C24=37,$U24=1),1,0)</f>
        <v/>
      </c>
      <c r="VM25">
        <f>VM24+IF(AND($C24=38,$U24=1),1,0)</f>
        <v/>
      </c>
      <c r="VN25">
        <f>VN24+IF(AND($C24=39,$U24=1),1,0)</f>
        <v/>
      </c>
      <c r="VO25">
        <f>VO24+IF(AND($C24=40,$U24=1),1,0)</f>
        <v/>
      </c>
      <c r="VP25">
        <f>VP24+IF(AND($C24=41,$U24=1),1,0)</f>
        <v/>
      </c>
      <c r="VQ25">
        <f>VQ24+IF(AND($C24=42,$U24=1),1,0)</f>
        <v/>
      </c>
      <c r="VR25">
        <f>VR24+IF(AND($C24=43,$U24=1),1,0)</f>
        <v/>
      </c>
      <c r="VS25">
        <f>VS24+IF(AND($C24=44,$U24=1),1,0)</f>
        <v/>
      </c>
      <c r="VT25">
        <f>VT24+IF(AND($C24=45,$U24=1),1,0)</f>
        <v/>
      </c>
      <c r="VU25">
        <f>VU24+IF(AND($C24=46,$U24=1),1,0)</f>
        <v/>
      </c>
      <c r="VV25">
        <f>VV24+IF(AND($C24=47,$U24=1),1,0)</f>
        <v/>
      </c>
      <c r="VW25">
        <f>VW24+IF(AND($C24=48,$U24=1),1,0)</f>
        <v/>
      </c>
      <c r="VX25">
        <f>VX24+IF(AND($C24=49,$U24=1),1,0)</f>
        <v/>
      </c>
      <c r="VY25">
        <f>VY24+IF(AND($C24=50,$U24=1),1,0)</f>
        <v/>
      </c>
      <c r="VZ25">
        <f>VZ24+IF(AND($C24=51,$U24=1),1,0)</f>
        <v/>
      </c>
      <c r="WA25">
        <f>WA24+IF(AND($C24=52,$U24=1),1,0)</f>
        <v/>
      </c>
      <c r="WB25">
        <f>WB24+IF(AND($C24=53,$U24=1),1,0)</f>
        <v/>
      </c>
      <c r="WC25">
        <f>WC24+IF(AND($C24=54,$U24=1),1,0)</f>
        <v/>
      </c>
      <c r="WD25">
        <f>WD24+IF(AND($C24=55,$U24=1),1,0)</f>
        <v/>
      </c>
      <c r="WE25">
        <f>WE24+IF(AND($C24=56,$U24=1),1,0)</f>
        <v/>
      </c>
      <c r="WF25">
        <f>WF24+IF(AND($C24=57,$U24=1),1,0)</f>
        <v/>
      </c>
      <c r="WG25">
        <f>WG24+IF(AND($C24=58,$U24=1),1,0)</f>
        <v/>
      </c>
      <c r="WH25">
        <f>WH24+IF(AND($C24=59,$U24=1),1,0)</f>
        <v/>
      </c>
      <c r="WI25">
        <f>WI24+IF(AND($C24=60,$U24=1),1,0)</f>
        <v/>
      </c>
      <c r="WJ25">
        <f>WJ24+IF(AND($C24=61,$U24=1),1,0)</f>
        <v/>
      </c>
      <c r="WK25">
        <f>WK24+IF(AND($C24=62,$U24=1),1,0)</f>
        <v/>
      </c>
      <c r="WL25">
        <f>WL24+IF(AND($C24=63,$U24=1),1,0)</f>
        <v/>
      </c>
      <c r="WM25">
        <f>WM24+IF(AND($C24=64,$U24=1),1,0)</f>
        <v/>
      </c>
      <c r="WN25">
        <f>WN24+IF(AND($C24=65,$U24=1),1,0)</f>
        <v/>
      </c>
      <c r="WO25">
        <f>WO24+IF(AND($C24=66,$U24=1),1,0)</f>
        <v/>
      </c>
      <c r="WP25">
        <f>WP24+IF(AND($C24=67,$U24=1),1,0)</f>
        <v/>
      </c>
      <c r="WQ25">
        <f>WQ24+IF(AND($C24=68,$U24=1),1,0)</f>
        <v/>
      </c>
      <c r="WR25">
        <f>WR24+IF(AND($C24=69,$U24=1),1,0)</f>
        <v/>
      </c>
      <c r="WS25">
        <f>WS24+IF(AND($C24=70,$U24=1),1,0)</f>
        <v/>
      </c>
      <c r="WT25">
        <f>WT24+IF(AND($C24=71,$U24=1),1,0)</f>
        <v/>
      </c>
      <c r="WU25">
        <f>WU24+IF(AND($C24=72,$U24=1),1,0)</f>
        <v/>
      </c>
      <c r="WV25">
        <f>WV24+IF(AND($C24=73,$U24=1),1,0)</f>
        <v/>
      </c>
      <c r="WW25">
        <f>WW24+IF(AND($C24=74,$U24=1),1,0)</f>
        <v/>
      </c>
      <c r="WX25">
        <f>WX24+IF(AND($C24=75,$U24=1),1,0)</f>
        <v/>
      </c>
      <c r="WY25">
        <f>WY24+IF(AND($C24=76,$U24=1),1,0)</f>
        <v/>
      </c>
      <c r="WZ25">
        <f>WZ24+IF(AND($C24=77,$U24=1),1,0)</f>
        <v/>
      </c>
      <c r="XA25">
        <f>XA24+IF(AND($C24=78,$U24=1),1,0)</f>
        <v/>
      </c>
      <c r="XB25">
        <f>XB24+IF(AND($C24=79,$U24=1),1,0)</f>
        <v/>
      </c>
      <c r="XC25">
        <f>XC24+IF(AND($C24=80,$U24=1),1,0)</f>
        <v/>
      </c>
      <c r="XD25">
        <f>XD24+IF(AND($C24=81,$U24=1),1,0)</f>
        <v/>
      </c>
      <c r="XE25">
        <f>XE24+IF(AND($C24=82,$U24=1),1,0)</f>
        <v/>
      </c>
      <c r="XF25">
        <f>XF24+IF(AND($C24=83,$U24=1),1,0)</f>
        <v/>
      </c>
      <c r="XG25">
        <f>XG24+IF(AND($C24=84,$U24=1),1,0)</f>
        <v/>
      </c>
      <c r="XH25">
        <f>XH24+IF(AND($C24=85,$U24=1),1,0)</f>
        <v/>
      </c>
      <c r="XI25">
        <f>XI24+IF(AND($C24=86,$U24=1),1,0)</f>
        <v/>
      </c>
      <c r="XJ25">
        <f>XJ24+IF(AND($C24=87,$U24=1),1,0)</f>
        <v/>
      </c>
      <c r="XK25">
        <f>XK24+IF(AND($C24=88,$U24=1),1,0)</f>
        <v/>
      </c>
      <c r="XL25">
        <f>XL24+IF(AND($C24=89,$U24=1),1,0)</f>
        <v/>
      </c>
      <c r="XM25">
        <f>XM24+IF(AND($C24=90,$U24=1),1,0)</f>
        <v/>
      </c>
      <c r="XN25">
        <f>XN24+IF(AND($C24=91,$U24=1),1,0)</f>
        <v/>
      </c>
      <c r="XO25">
        <f>XO24+IF(AND($C24=92,$U24=1),1,0)</f>
        <v/>
      </c>
      <c r="XP25">
        <f>XP24+IF(AND($C24=93,$U24=1),1,0)</f>
        <v/>
      </c>
      <c r="XQ25">
        <f>XQ24+IF(AND($C24=94,$U24=1),1,0)</f>
        <v/>
      </c>
      <c r="XR25">
        <f>XR24+IF(AND($C24=95,$U24=1),1,0)</f>
        <v/>
      </c>
      <c r="XS25">
        <f>XS24+IF(AND($C24=96,$U24=1),1,0)</f>
        <v/>
      </c>
      <c r="XT25">
        <f>XT24+IF(AND($C24=97,$U24=1),1,0)</f>
        <v/>
      </c>
      <c r="XU25">
        <f>XU24+IF(AND($C24=98,$U24=1),1,0)</f>
        <v/>
      </c>
      <c r="XV25">
        <f>XV24+IF(AND($C24=99,$U24=1),1,0)</f>
        <v/>
      </c>
      <c r="XW25">
        <f>XW24+IF(AND($C24=100,$U24=1),1,0)</f>
        <v/>
      </c>
      <c r="XX25">
        <f>XX24+IF(AND($C24=101,$U24=1),1,0)</f>
        <v/>
      </c>
      <c r="XY25">
        <f>XY24+IF(AND($C24=102,$U24=1),1,0)</f>
        <v/>
      </c>
      <c r="XZ25">
        <f>XZ24+IF(AND($C24=103,$U24=1),1,0)</f>
        <v/>
      </c>
      <c r="YA25">
        <f>YA24+IF(AND($C24=104,$U24=1),1,0)</f>
        <v/>
      </c>
      <c r="YB25">
        <f>YB24+IF(AND($C24=105,$U24=1),1,0)</f>
        <v/>
      </c>
      <c r="YC25">
        <f>YC24+IF(AND($C24=106,$U24=1),1,0)</f>
        <v/>
      </c>
      <c r="YD25">
        <f>YD24+IF(AND($C24=107,$U24=1),1,0)</f>
        <v/>
      </c>
      <c r="YE25">
        <f>YE24+IF(AND($C24=108,$U24=1),1,0)</f>
        <v/>
      </c>
      <c r="YF25">
        <f>YF24+IF(AND($C24=109,$U24=1),1,0)</f>
        <v/>
      </c>
      <c r="YG25">
        <f>YG24+IF(AND($C24=110,$U24=1),1,0)</f>
        <v/>
      </c>
      <c r="YH25">
        <f>YH24+IF(AND($C24=111,$U24=1),1,0)</f>
        <v/>
      </c>
      <c r="YI25">
        <f>YI24+IF(AND($C24=112,$U24=1),1,0)</f>
        <v/>
      </c>
      <c r="YJ25">
        <f>YJ24+IF(AND($C24=113,$U24=1),1,0)</f>
        <v/>
      </c>
      <c r="YK25">
        <f>YK24+IF(AND($C24=114,$U24=1),1,0)</f>
        <v/>
      </c>
      <c r="YL25">
        <f>YL24+IF(AND($C24=115,$U24=1),1,0)</f>
        <v/>
      </c>
      <c r="YM25">
        <f>YM24+IF(AND($C24=116,$U24=1),1,0)</f>
        <v/>
      </c>
      <c r="YN25">
        <f>YN24+IF(AND($C24=117,$U24=1),1,0)</f>
        <v/>
      </c>
      <c r="YO25">
        <f>YO24+IF(AND($C24=118,$U24=1),1,0)</f>
        <v/>
      </c>
      <c r="YP25">
        <f>YP24+IF(AND($C24=119,$U24=1),1,0)</f>
        <v/>
      </c>
      <c r="YQ25">
        <f>YQ24+IF(AND($C24=120,$U24=1),1,0)</f>
        <v/>
      </c>
      <c r="YR25">
        <f>YR24+IF(AND($C24=121,$U24=1),1,0)</f>
        <v/>
      </c>
      <c r="YS25">
        <f>YS24+IF(AND($C24=122,$U24=1),1,0)</f>
        <v/>
      </c>
      <c r="YT25">
        <f>YT24+IF(AND($C24=123,$U24=1),1,0)</f>
        <v/>
      </c>
      <c r="YU25">
        <f>YU24+IF(AND($C24=124,$U24=1),1,0)</f>
        <v/>
      </c>
      <c r="YV25">
        <f>YV24+IF(AND($C24=125,$U24=1),1,0)</f>
        <v/>
      </c>
      <c r="YW25">
        <f>YW24+IF(AND($C24=126,$U24=1),1,0)</f>
        <v/>
      </c>
      <c r="YX25">
        <f>YX24+IF(AND($C24=127,$U24=1),1,0)</f>
        <v/>
      </c>
      <c r="YY25">
        <f>YY24+IF(AND($C24=128,$U24=1),1,0)</f>
        <v/>
      </c>
      <c r="YZ25">
        <f>YZ24+IF(AND($C24=129,$U24=1),1,0)</f>
        <v/>
      </c>
      <c r="ZA25">
        <f>ZA24+IF(AND($C24=130,$U24=1),1,0)</f>
        <v/>
      </c>
      <c r="ZB25">
        <f>ZB24+IF(AND($C24=131,$U24=1),1,0)</f>
        <v/>
      </c>
      <c r="ZC25">
        <f>ZC24+IF(AND($C24=132,$U24=1),1,0)</f>
        <v/>
      </c>
      <c r="ZD25">
        <f>ZD24+IF(AND($C24=133,$U24=1),1,0)</f>
        <v/>
      </c>
      <c r="ZE25">
        <f>ZE24+IF(AND($C24=134,$U24=1),1,0)</f>
        <v/>
      </c>
      <c r="ZF25">
        <f>ZF24+IF(AND($C24=135,$U24=1),1,0)</f>
        <v/>
      </c>
      <c r="ZG25">
        <f>ZG24+IF(AND($C24=136,$U24=1),1,0)</f>
        <v/>
      </c>
      <c r="ZH25">
        <f>ZH24+IF(AND($C24=137,$U24=1),1,0)</f>
        <v/>
      </c>
      <c r="ZI25">
        <f>ZI24+IF(AND($C24=138,$U24=1),1,0)</f>
        <v/>
      </c>
      <c r="ZJ25">
        <f>ZJ24+IF(AND($C24=139,$U24=1),1,0)</f>
        <v/>
      </c>
      <c r="ZK25">
        <f>ZK24+IF(AND($C24=140,$U24=1),1,0)</f>
        <v/>
      </c>
      <c r="ZL25">
        <f>ZL24+IF(AND($C24=141,$U24=1),1,0)</f>
        <v/>
      </c>
      <c r="ZM25">
        <f>ZM24+IF(AND($C24=142,$U24=1),1,0)</f>
        <v/>
      </c>
      <c r="ZN25">
        <f>ZN24+IF(AND($C24=143,$U24=1),1,0)</f>
        <v/>
      </c>
      <c r="ZO25">
        <f>ZO24+IF(AND($C24=144,$U24=1),1,0)</f>
        <v/>
      </c>
      <c r="ZQ25">
        <f>IF($C24=1,0,ZQ24+IF(AND($G24=1,$E24=1),1,0))</f>
        <v/>
      </c>
      <c r="ZR25">
        <f>IF($C24=2,0,ZR24+IF(AND($G24=2,$E24=1),1,0))</f>
        <v/>
      </c>
      <c r="ZS25">
        <f>IF($C24=3,0,ZS24+IF(AND($G24=3,$E24=1),1,0))</f>
        <v/>
      </c>
      <c r="ZT25">
        <f>IF($C24=4,0,ZT24+IF(AND($G24=4,$E24=1),1,0))</f>
        <v/>
      </c>
      <c r="ZU25">
        <f>IF($C24=5,0,ZU24+IF(AND($G24=5,$E24=1),1,0))</f>
        <v/>
      </c>
      <c r="ZV25">
        <f>IF($C24=6,0,ZV24+IF(AND($G24=6,$E24=1),1,0))</f>
        <v/>
      </c>
      <c r="ZW25">
        <f>IF($C24=7,0,ZW24+IF(AND($G24=7,$E24=1),1,0))</f>
        <v/>
      </c>
      <c r="ZX25">
        <f>IF($C24=8,0,ZX24+IF(AND($G24=8,$E24=1),1,0))</f>
        <v/>
      </c>
      <c r="ZY25">
        <f>IF($C24=9,0,ZY24+IF(AND($G24=9,$E24=1),1,0))</f>
        <v/>
      </c>
      <c r="ZZ25">
        <f>IF($C24=10,0,ZZ24+IF(AND($G24=10,$E24=1),1,0))</f>
        <v/>
      </c>
      <c r="AAA25">
        <f>IF($C24=11,0,AAA24+IF(AND($G24=11,$E24=1),1,0))</f>
        <v/>
      </c>
      <c r="AAB25">
        <f>IF($C24=12,0,AAB24+IF(AND($G24=12,$E24=1),1,0))</f>
        <v/>
      </c>
      <c r="AAC25">
        <f>IF($C24=13,0,AAC24+IF(AND($G24=13,$E24=1),1,0))</f>
        <v/>
      </c>
      <c r="AAD25">
        <f>IF($C24=14,0,AAD24+IF(AND($G24=14,$E24=1),1,0))</f>
        <v/>
      </c>
      <c r="AAE25">
        <f>IF($C24=15,0,AAE24+IF(AND($G24=15,$E24=1),1,0))</f>
        <v/>
      </c>
      <c r="AAF25">
        <f>IF($C24=16,0,AAF24+IF(AND($G24=16,$E24=1),1,0))</f>
        <v/>
      </c>
      <c r="AAG25">
        <f>IF($C24=17,0,AAG24+IF(AND($G24=17,$E24=1),1,0))</f>
        <v/>
      </c>
      <c r="AAH25">
        <f>IF($C24=18,0,AAH24+IF(AND($G24=18,$E24=1),1,0))</f>
        <v/>
      </c>
      <c r="AAI25">
        <f>IF($C24=19,0,AAI24+IF(AND($G24=19,$E24=1),1,0))</f>
        <v/>
      </c>
      <c r="AAJ25">
        <f>IF($C24=20,0,AAJ24+IF(AND($G24=20,$E24=1),1,0))</f>
        <v/>
      </c>
      <c r="AAK25">
        <f>IF($C24=21,0,AAK24+IF(AND($G24=21,$E24=1),1,0))</f>
        <v/>
      </c>
      <c r="AAL25">
        <f>IF($C24=22,0,AAL24+IF(AND($G24=22,$E24=1),1,0))</f>
        <v/>
      </c>
      <c r="AAM25">
        <f>IF($C24=23,0,AAM24+IF(AND($G24=23,$E24=1),1,0))</f>
        <v/>
      </c>
      <c r="AAN25">
        <f>IF($C24=24,0,AAN24+IF(AND($G24=24,$E24=1),1,0))</f>
        <v/>
      </c>
      <c r="AAO25">
        <f>IF($C24=25,0,AAO24+IF(AND($G24=25,$E24=1),1,0))</f>
        <v/>
      </c>
      <c r="AAP25">
        <f>IF($C24=26,0,AAP24+IF(AND($G24=26,$E24=1),1,0))</f>
        <v/>
      </c>
      <c r="AAQ25">
        <f>IF($C24=27,0,AAQ24+IF(AND($G24=27,$E24=1),1,0))</f>
        <v/>
      </c>
      <c r="AAR25">
        <f>IF($C24=28,0,AAR24+IF(AND($G24=28,$E24=1),1,0))</f>
        <v/>
      </c>
      <c r="AAS25">
        <f>IF($C24=29,0,AAS24+IF(AND($G24=29,$E24=1),1,0))</f>
        <v/>
      </c>
      <c r="AAT25">
        <f>IF($C24=30,0,AAT24+IF(AND($G24=30,$E24=1),1,0))</f>
        <v/>
      </c>
      <c r="AAU25">
        <f>IF($C24=31,0,AAU24+IF(AND($G24=31,$E24=1),1,0))</f>
        <v/>
      </c>
      <c r="AAV25">
        <f>IF($C24=32,0,AAV24+IF(AND($G24=32,$E24=1),1,0))</f>
        <v/>
      </c>
      <c r="AAW25">
        <f>IF($C24=33,0,AAW24+IF(AND($G24=33,$E24=1),1,0))</f>
        <v/>
      </c>
      <c r="AAX25">
        <f>IF($C24=34,0,AAX24+IF(AND($G24=34,$E24=1),1,0))</f>
        <v/>
      </c>
      <c r="AAY25">
        <f>IF($C24=35,0,AAY24+IF(AND($G24=35,$E24=1),1,0))</f>
        <v/>
      </c>
      <c r="AAZ25">
        <f>IF($C24=36,0,AAZ24+IF(AND($G24=36,$E24=1),1,0))</f>
        <v/>
      </c>
      <c r="ABA25">
        <f>IF($C24=37,0,ABA24+IF(AND($G24=37,$E24=1),1,0))</f>
        <v/>
      </c>
      <c r="ABB25">
        <f>IF($C24=38,0,ABB24+IF(AND($G24=38,$E24=1),1,0))</f>
        <v/>
      </c>
      <c r="ABC25">
        <f>IF($C24=39,0,ABC24+IF(AND($G24=39,$E24=1),1,0))</f>
        <v/>
      </c>
      <c r="ABD25">
        <f>IF($C24=40,0,ABD24+IF(AND($G24=40,$E24=1),1,0))</f>
        <v/>
      </c>
      <c r="ABE25">
        <f>IF($C24=41,0,ABE24+IF(AND($G24=41,$E24=1),1,0))</f>
        <v/>
      </c>
      <c r="ABF25">
        <f>IF($C24=42,0,ABF24+IF(AND($G24=42,$E24=1),1,0))</f>
        <v/>
      </c>
      <c r="ABG25">
        <f>IF($C24=43,0,ABG24+IF(AND($G24=43,$E24=1),1,0))</f>
        <v/>
      </c>
      <c r="ABH25">
        <f>IF($C24=44,0,ABH24+IF(AND($G24=44,$E24=1),1,0))</f>
        <v/>
      </c>
      <c r="ABI25">
        <f>IF($C24=45,0,ABI24+IF(AND($G24=45,$E24=1),1,0))</f>
        <v/>
      </c>
      <c r="ABJ25">
        <f>IF($C24=46,0,ABJ24+IF(AND($G24=46,$E24=1),1,0))</f>
        <v/>
      </c>
      <c r="ABK25">
        <f>IF($C24=47,0,ABK24+IF(AND($G24=47,$E24=1),1,0))</f>
        <v/>
      </c>
      <c r="ABL25">
        <f>IF($C24=48,0,ABL24+IF(AND($G24=48,$E24=1),1,0))</f>
        <v/>
      </c>
      <c r="ABM25">
        <f>IF($C24=49,0,ABM24+IF(AND($G24=49,$E24=1),1,0))</f>
        <v/>
      </c>
      <c r="ABN25">
        <f>IF($C24=50,0,ABN24+IF(AND($G24=50,$E24=1),1,0))</f>
        <v/>
      </c>
      <c r="ABO25">
        <f>IF($C24=51,0,ABO24+IF(AND($G24=51,$E24=1),1,0))</f>
        <v/>
      </c>
      <c r="ABP25">
        <f>IF($C24=52,0,ABP24+IF(AND($G24=52,$E24=1),1,0))</f>
        <v/>
      </c>
      <c r="ABQ25">
        <f>IF($C24=53,0,ABQ24+IF(AND($G24=53,$E24=1),1,0))</f>
        <v/>
      </c>
      <c r="ABR25">
        <f>IF($C24=54,0,ABR24+IF(AND($G24=54,$E24=1),1,0))</f>
        <v/>
      </c>
      <c r="ABS25">
        <f>IF($C24=55,0,ABS24+IF(AND($G24=55,$E24=1),1,0))</f>
        <v/>
      </c>
      <c r="ABT25">
        <f>IF($C24=56,0,ABT24+IF(AND($G24=56,$E24=1),1,0))</f>
        <v/>
      </c>
      <c r="ABU25">
        <f>IF($C24=57,0,ABU24+IF(AND($G24=57,$E24=1),1,0))</f>
        <v/>
      </c>
      <c r="ABV25">
        <f>IF($C24=58,0,ABV24+IF(AND($G24=58,$E24=1),1,0))</f>
        <v/>
      </c>
      <c r="ABW25">
        <f>IF($C24=59,0,ABW24+IF(AND($G24=59,$E24=1),1,0))</f>
        <v/>
      </c>
      <c r="ABX25">
        <f>IF($C24=60,0,ABX24+IF(AND($G24=60,$E24=1),1,0))</f>
        <v/>
      </c>
      <c r="ABY25">
        <f>IF($C24=61,0,ABY24+IF(AND($G24=61,$E24=1),1,0))</f>
        <v/>
      </c>
      <c r="ABZ25">
        <f>IF($C24=62,0,ABZ24+IF(AND($G24=62,$E24=1),1,0))</f>
        <v/>
      </c>
      <c r="ACA25">
        <f>IF($C24=63,0,ACA24+IF(AND($G24=63,$E24=1),1,0))</f>
        <v/>
      </c>
      <c r="ACB25">
        <f>IF($C24=64,0,ACB24+IF(AND($G24=64,$E24=1),1,0))</f>
        <v/>
      </c>
      <c r="ACC25">
        <f>IF($C24=65,0,ACC24+IF(AND($G24=65,$E24=1),1,0))</f>
        <v/>
      </c>
      <c r="ACD25">
        <f>IF($C24=66,0,ACD24+IF(AND($G24=66,$E24=1),1,0))</f>
        <v/>
      </c>
      <c r="ACE25">
        <f>IF($C24=67,0,ACE24+IF(AND($G24=67,$E24=1),1,0))</f>
        <v/>
      </c>
      <c r="ACF25">
        <f>IF($C24=68,0,ACF24+IF(AND($G24=68,$E24=1),1,0))</f>
        <v/>
      </c>
      <c r="ACG25">
        <f>IF($C24=69,0,ACG24+IF(AND($G24=69,$E24=1),1,0))</f>
        <v/>
      </c>
      <c r="ACH25">
        <f>IF($C24=70,0,ACH24+IF(AND($G24=70,$E24=1),1,0))</f>
        <v/>
      </c>
      <c r="ACI25">
        <f>IF($C24=71,0,ACI24+IF(AND($G24=71,$E24=1),1,0))</f>
        <v/>
      </c>
      <c r="ACJ25">
        <f>IF($C24=72,0,ACJ24+IF(AND($G24=72,$E24=1),1,0))</f>
        <v/>
      </c>
      <c r="ACK25">
        <f>IF($C24=73,0,ACK24+IF(AND($G24=73,$E24=1),1,0))</f>
        <v/>
      </c>
      <c r="ACL25">
        <f>IF($C24=74,0,ACL24+IF(AND($G24=74,$E24=1),1,0))</f>
        <v/>
      </c>
      <c r="ACM25">
        <f>IF($C24=75,0,ACM24+IF(AND($G24=75,$E24=1),1,0))</f>
        <v/>
      </c>
      <c r="ACN25">
        <f>IF($C24=76,0,ACN24+IF(AND($G24=76,$E24=1),1,0))</f>
        <v/>
      </c>
      <c r="ACO25">
        <f>IF($C24=77,0,ACO24+IF(AND($G24=77,$E24=1),1,0))</f>
        <v/>
      </c>
      <c r="ACP25">
        <f>IF($C24=78,0,ACP24+IF(AND($G24=78,$E24=1),1,0))</f>
        <v/>
      </c>
      <c r="ACQ25">
        <f>IF($C24=79,0,ACQ24+IF(AND($G24=79,$E24=1),1,0))</f>
        <v/>
      </c>
      <c r="ACR25">
        <f>IF($C24=80,0,ACR24+IF(AND($G24=80,$E24=1),1,0))</f>
        <v/>
      </c>
      <c r="ACS25">
        <f>IF($C24=81,0,ACS24+IF(AND($G24=81,$E24=1),1,0))</f>
        <v/>
      </c>
      <c r="ACT25">
        <f>IF($C24=82,0,ACT24+IF(AND($G24=82,$E24=1),1,0))</f>
        <v/>
      </c>
      <c r="ACU25">
        <f>IF($C24=83,0,ACU24+IF(AND($G24=83,$E24=1),1,0))</f>
        <v/>
      </c>
      <c r="ACV25">
        <f>IF($C24=84,0,ACV24+IF(AND($G24=84,$E24=1),1,0))</f>
        <v/>
      </c>
      <c r="ACW25">
        <f>IF($C24=85,0,ACW24+IF(AND($G24=85,$E24=1),1,0))</f>
        <v/>
      </c>
      <c r="ACX25">
        <f>IF($C24=86,0,ACX24+IF(AND($G24=86,$E24=1),1,0))</f>
        <v/>
      </c>
      <c r="ACY25">
        <f>IF($C24=87,0,ACY24+IF(AND($G24=87,$E24=1),1,0))</f>
        <v/>
      </c>
      <c r="ACZ25">
        <f>IF($C24=88,0,ACZ24+IF(AND($G24=88,$E24=1),1,0))</f>
        <v/>
      </c>
      <c r="ADA25">
        <f>IF($C24=89,0,ADA24+IF(AND($G24=89,$E24=1),1,0))</f>
        <v/>
      </c>
      <c r="ADB25">
        <f>IF($C24=90,0,ADB24+IF(AND($G24=90,$E24=1),1,0))</f>
        <v/>
      </c>
      <c r="ADC25">
        <f>IF($C24=91,0,ADC24+IF(AND($G24=91,$E24=1),1,0))</f>
        <v/>
      </c>
      <c r="ADD25">
        <f>IF($C24=92,0,ADD24+IF(AND($G24=92,$E24=1),1,0))</f>
        <v/>
      </c>
      <c r="ADE25">
        <f>IF($C24=93,0,ADE24+IF(AND($G24=93,$E24=1),1,0))</f>
        <v/>
      </c>
      <c r="ADF25">
        <f>IF($C24=94,0,ADF24+IF(AND($G24=94,$E24=1),1,0))</f>
        <v/>
      </c>
      <c r="ADG25">
        <f>IF($C24=95,0,ADG24+IF(AND($G24=95,$E24=1),1,0))</f>
        <v/>
      </c>
      <c r="ADH25">
        <f>IF($C24=96,0,ADH24+IF(AND($G24=96,$E24=1),1,0))</f>
        <v/>
      </c>
      <c r="ADI25">
        <f>IF($C24=97,0,ADI24+IF(AND($G24=97,$E24=1),1,0))</f>
        <v/>
      </c>
      <c r="ADJ25">
        <f>IF($C24=98,0,ADJ24+IF(AND($G24=98,$E24=1),1,0))</f>
        <v/>
      </c>
      <c r="ADK25">
        <f>IF($C24=99,0,ADK24+IF(AND($G24=99,$E24=1),1,0))</f>
        <v/>
      </c>
      <c r="ADL25">
        <f>IF($C24=100,0,ADL24+IF(AND($G24=100,$E24=1),1,0))</f>
        <v/>
      </c>
      <c r="ADM25">
        <f>IF($C24=101,0,ADM24+IF(AND($G24=101,$E24=1),1,0))</f>
        <v/>
      </c>
      <c r="ADN25">
        <f>IF($C24=102,0,ADN24+IF(AND($G24=102,$E24=1),1,0))</f>
        <v/>
      </c>
      <c r="ADO25">
        <f>IF($C24=103,0,ADO24+IF(AND($G24=103,$E24=1),1,0))</f>
        <v/>
      </c>
      <c r="ADP25">
        <f>IF($C24=104,0,ADP24+IF(AND($G24=104,$E24=1),1,0))</f>
        <v/>
      </c>
      <c r="ADQ25">
        <f>IF($C24=105,0,ADQ24+IF(AND($G24=105,$E24=1),1,0))</f>
        <v/>
      </c>
      <c r="ADR25">
        <f>IF($C24=106,0,ADR24+IF(AND($G24=106,$E24=1),1,0))</f>
        <v/>
      </c>
      <c r="ADS25">
        <f>IF($C24=107,0,ADS24+IF(AND($G24=107,$E24=1),1,0))</f>
        <v/>
      </c>
      <c r="ADT25">
        <f>IF($C24=108,0,ADT24+IF(AND($G24=108,$E24=1),1,0))</f>
        <v/>
      </c>
      <c r="ADU25">
        <f>IF($C24=109,0,ADU24+IF(AND($G24=109,$E24=1),1,0))</f>
        <v/>
      </c>
      <c r="ADV25">
        <f>IF($C24=110,0,ADV24+IF(AND($G24=110,$E24=1),1,0))</f>
        <v/>
      </c>
      <c r="ADW25">
        <f>IF($C24=111,0,ADW24+IF(AND($G24=111,$E24=1),1,0))</f>
        <v/>
      </c>
      <c r="ADX25">
        <f>IF($C24=112,0,ADX24+IF(AND($G24=112,$E24=1),1,0))</f>
        <v/>
      </c>
      <c r="ADY25">
        <f>IF($C24=113,0,ADY24+IF(AND($G24=113,$E24=1),1,0))</f>
        <v/>
      </c>
      <c r="ADZ25">
        <f>IF($C24=114,0,ADZ24+IF(AND($G24=114,$E24=1),1,0))</f>
        <v/>
      </c>
      <c r="AEA25">
        <f>IF($C24=115,0,AEA24+IF(AND($G24=115,$E24=1),1,0))</f>
        <v/>
      </c>
      <c r="AEB25">
        <f>IF($C24=116,0,AEB24+IF(AND($G24=116,$E24=1),1,0))</f>
        <v/>
      </c>
      <c r="AEC25">
        <f>IF($C24=117,0,AEC24+IF(AND($G24=117,$E24=1),1,0))</f>
        <v/>
      </c>
      <c r="AED25">
        <f>IF($C24=118,0,AED24+IF(AND($G24=118,$E24=1),1,0))</f>
        <v/>
      </c>
      <c r="AEE25">
        <f>IF($C24=119,0,AEE24+IF(AND($G24=119,$E24=1),1,0))</f>
        <v/>
      </c>
      <c r="AEF25">
        <f>IF($C24=120,0,AEF24+IF(AND($G24=120,$E24=1),1,0))</f>
        <v/>
      </c>
      <c r="AEG25">
        <f>IF($C24=121,0,AEG24+IF(AND($G24=121,$E24=1),1,0))</f>
        <v/>
      </c>
      <c r="AEH25">
        <f>IF($C24=122,0,AEH24+IF(AND($G24=122,$E24=1),1,0))</f>
        <v/>
      </c>
      <c r="AEI25">
        <f>IF($C24=123,0,AEI24+IF(AND($G24=123,$E24=1),1,0))</f>
        <v/>
      </c>
      <c r="AEJ25">
        <f>IF($C24=124,0,AEJ24+IF(AND($G24=124,$E24=1),1,0))</f>
        <v/>
      </c>
      <c r="AEK25">
        <f>IF($C24=125,0,AEK24+IF(AND($G24=125,$E24=1),1,0))</f>
        <v/>
      </c>
      <c r="AEL25">
        <f>IF($C24=126,0,AEL24+IF(AND($G24=126,$E24=1),1,0))</f>
        <v/>
      </c>
      <c r="AEM25">
        <f>IF($C24=127,0,AEM24+IF(AND($G24=127,$E24=1),1,0))</f>
        <v/>
      </c>
      <c r="AEN25">
        <f>IF($C24=128,0,AEN24+IF(AND($G24=128,$E24=1),1,0))</f>
        <v/>
      </c>
      <c r="AEO25">
        <f>IF($C24=129,0,AEO24+IF(AND($G24=129,$E24=1),1,0))</f>
        <v/>
      </c>
      <c r="AEP25">
        <f>IF($C24=130,0,AEP24+IF(AND($G24=130,$E24=1),1,0))</f>
        <v/>
      </c>
      <c r="AEQ25">
        <f>IF($C24=131,0,AEQ24+IF(AND($G24=131,$E24=1),1,0))</f>
        <v/>
      </c>
      <c r="AER25">
        <f>IF($C24=132,0,AER24+IF(AND($G24=132,$E24=1),1,0))</f>
        <v/>
      </c>
      <c r="AES25">
        <f>IF($C24=133,0,AES24+IF(AND($G24=133,$E24=1),1,0))</f>
        <v/>
      </c>
      <c r="AET25">
        <f>IF($C24=134,0,AET24+IF(AND($G24=134,$E24=1),1,0))</f>
        <v/>
      </c>
      <c r="AEU25">
        <f>IF($C24=135,0,AEU24+IF(AND($G24=135,$E24=1),1,0))</f>
        <v/>
      </c>
      <c r="AEV25">
        <f>IF($C24=136,0,AEV24+IF(AND($G24=136,$E24=1),1,0))</f>
        <v/>
      </c>
      <c r="AEW25">
        <f>IF($C24=137,0,AEW24+IF(AND($G24=137,$E24=1),1,0))</f>
        <v/>
      </c>
      <c r="AEX25">
        <f>IF($C24=138,0,AEX24+IF(AND($G24=138,$E24=1),1,0))</f>
        <v/>
      </c>
      <c r="AEY25">
        <f>IF($C24=139,0,AEY24+IF(AND($G24=139,$E24=1),1,0))</f>
        <v/>
      </c>
      <c r="AEZ25">
        <f>IF($C24=140,0,AEZ24+IF(AND($G24=140,$E24=1),1,0))</f>
        <v/>
      </c>
      <c r="AFA25">
        <f>IF($C24=141,0,AFA24+IF(AND($G24=141,$E24=1),1,0))</f>
        <v/>
      </c>
      <c r="AFB25">
        <f>IF($C24=142,0,AFB24+IF(AND($G24=142,$E24=1),1,0))</f>
        <v/>
      </c>
      <c r="AFC25">
        <f>IF($C24=143,0,AFC24+IF(AND($G24=143,$E24=1),1,0))</f>
        <v/>
      </c>
      <c r="AFD25">
        <f>IF($C24=144,0,AFD24+IF(AND($G24=144,$E24=1),1,0))</f>
        <v/>
      </c>
      <c r="AFF25">
        <f>IF('calcA'!D$106=1,DC25+ZR25,1)</f>
        <v/>
      </c>
      <c r="AFG25">
        <f>IF('calcA'!E$106=1,DD25+ZS25,1)</f>
        <v/>
      </c>
      <c r="AFH25">
        <f>IF('calcA'!F$106=1,DE25+ZT25,1)</f>
        <v/>
      </c>
      <c r="AFI25">
        <f>IF('calcA'!G$106=1,DF25+ZU25,1)</f>
        <v/>
      </c>
      <c r="AFJ25">
        <f>IF('calcA'!H$106=1,DG25+ZV25,1)</f>
        <v/>
      </c>
      <c r="AFK25">
        <f>IF('calcA'!I$106=1,DH25+ZW25,1)</f>
        <v/>
      </c>
      <c r="AFL25">
        <f>IF('calcA'!J$106=1,DI25+ZX25,1)</f>
        <v/>
      </c>
      <c r="AFM25">
        <f>IF('calcA'!K$106=1,DJ25+ZY25,1)</f>
        <v/>
      </c>
      <c r="AFN25">
        <f>IF('calcA'!L$106=1,DK25+ZZ25,1)</f>
        <v/>
      </c>
      <c r="AFO25">
        <f>IF('calcA'!M$106=1,DL25+AAA25,1)</f>
        <v/>
      </c>
      <c r="AFP25">
        <f>IF('calcA'!N$106=1,DM25+AAB25,1)</f>
        <v/>
      </c>
      <c r="AFQ25">
        <f>IF('calcA'!O$106=1,DN25+AAC25,1)</f>
        <v/>
      </c>
      <c r="AFR25">
        <f>IF('calcA'!P$106=1,DO25+AAD25,1)</f>
        <v/>
      </c>
      <c r="AFS25">
        <f>IF('calcA'!Q$106=1,DP25+AAE25,1)</f>
        <v/>
      </c>
      <c r="AFT25">
        <f>IF('calcA'!R$106=1,DQ25+AAF25,1)</f>
        <v/>
      </c>
      <c r="AFU25">
        <f>IF('calcA'!S$106=1,DR25+AAG25,1)</f>
        <v/>
      </c>
      <c r="AFV25">
        <f>IF('calcA'!T$106=1,DS25+AAH25,1)</f>
        <v/>
      </c>
      <c r="AFW25">
        <f>IF('calcA'!U$106=1,DT25+AAI25,1)</f>
        <v/>
      </c>
      <c r="AFX25">
        <f>IF('calcA'!V$106=1,DU25+AAJ25,1)</f>
        <v/>
      </c>
      <c r="AFY25">
        <f>IF('calcA'!W$106=1,DV25+AAK25,1)</f>
        <v/>
      </c>
      <c r="AFZ25">
        <f>IF('calcA'!X$106=1,DW25+AAL25,1)</f>
        <v/>
      </c>
      <c r="AGA25">
        <f>IF('calcA'!Y$106=1,DX25+AAM25,1)</f>
        <v/>
      </c>
      <c r="AGB25">
        <f>IF('calcA'!Z$106=1,DY25+AAN25,1)</f>
        <v/>
      </c>
      <c r="AGC25">
        <f>IF('calcA'!AA$106=1,DZ25+AAO25,1)</f>
        <v/>
      </c>
      <c r="AGD25">
        <f>IF('calcA'!AB$106=1,EA25+AAP25,1)</f>
        <v/>
      </c>
      <c r="AGE25">
        <f>IF('calcA'!AC$106=1,EB25+AAQ25,1)</f>
        <v/>
      </c>
      <c r="AGF25">
        <f>IF('calcA'!AD$106=1,EC25+AAR25,1)</f>
        <v/>
      </c>
      <c r="AGG25">
        <f>IF('calcA'!AE$106=1,ED25+AAS25,1)</f>
        <v/>
      </c>
      <c r="AGH25">
        <f>IF('calcA'!AF$106=1,EE25+AAT25,1)</f>
        <v/>
      </c>
      <c r="AGI25">
        <f>IF('calcA'!AG$106=1,EF25+AAU25,1)</f>
        <v/>
      </c>
      <c r="AGJ25">
        <f>IF('calcA'!AH$106=1,EG25+AAV25,1)</f>
        <v/>
      </c>
      <c r="AGK25">
        <f>IF('calcA'!AI$106=1,EH25+AAW25,1)</f>
        <v/>
      </c>
      <c r="AGL25">
        <f>IF('calcA'!AJ$106=1,EI25+AAX25,1)</f>
        <v/>
      </c>
      <c r="AGM25">
        <f>IF('calcA'!AK$106=1,EJ25+AAY25,1)</f>
        <v/>
      </c>
      <c r="AGN25">
        <f>IF('calcA'!AL$106=1,EK25+AAZ25,1)</f>
        <v/>
      </c>
      <c r="AGO25">
        <f>IF('calcA'!AM$106=1,EL25+ABA25,1)</f>
        <v/>
      </c>
      <c r="AGP25">
        <f>IF('calcA'!AN$106=1,EM25+ABB25,1)</f>
        <v/>
      </c>
      <c r="AGQ25">
        <f>IF('calcA'!AO$106=1,EN25+ABC25,1)</f>
        <v/>
      </c>
      <c r="AGR25">
        <f>IF('calcA'!AP$106=1,EO25+ABD25,1)</f>
        <v/>
      </c>
      <c r="AGS25">
        <f>IF('calcA'!AQ$106=1,EP25+ABE25,1)</f>
        <v/>
      </c>
      <c r="AGT25">
        <f>IF('calcA'!AR$106=1,EQ25+ABF25,1)</f>
        <v/>
      </c>
      <c r="AGU25">
        <f>IF('calcA'!AS$106=1,ER25+ABG25,1)</f>
        <v/>
      </c>
      <c r="AGV25">
        <f>IF('calcA'!AT$106=1,ES25+ABH25,1)</f>
        <v/>
      </c>
      <c r="AGW25">
        <f>IF('calcA'!AU$106=1,ET25+ABI25,1)</f>
        <v/>
      </c>
      <c r="AGX25">
        <f>IF('calcA'!AV$106=1,EU25+ABJ25,1)</f>
        <v/>
      </c>
      <c r="AGY25">
        <f>IF('calcA'!AW$106=1,EV25+ABK25,1)</f>
        <v/>
      </c>
      <c r="AGZ25">
        <f>IF('calcA'!AX$106=1,EW25+ABL25,1)</f>
        <v/>
      </c>
      <c r="AHA25">
        <f>IF('calcA'!AY$106=1,EX25+ABM25,1)</f>
        <v/>
      </c>
      <c r="AHB25">
        <f>IF('calcA'!AZ$106=1,EY25+ABN25,1)</f>
        <v/>
      </c>
      <c r="AHC25">
        <f>IF('calcA'!BA$106=1,EZ25+ABO25,1)</f>
        <v/>
      </c>
      <c r="AHD25">
        <f>IF('calcA'!BB$106=1,FA25+ABP25,1)</f>
        <v/>
      </c>
      <c r="AHE25">
        <f>IF('calcA'!BC$106=1,FB25+ABQ25,1)</f>
        <v/>
      </c>
      <c r="AHF25">
        <f>IF('calcA'!BD$106=1,FC25+ABR25,1)</f>
        <v/>
      </c>
      <c r="AHG25">
        <f>IF('calcA'!BE$106=1,FD25+ABS25,1)</f>
        <v/>
      </c>
      <c r="AHH25">
        <f>IF('calcA'!BF$106=1,FE25+ABT25,1)</f>
        <v/>
      </c>
      <c r="AHI25">
        <f>IF('calcA'!BG$106=1,FF25+ABU25,1)</f>
        <v/>
      </c>
      <c r="AHJ25">
        <f>IF('calcA'!BH$106=1,FG25+ABV25,1)</f>
        <v/>
      </c>
      <c r="AHK25">
        <f>IF('calcA'!BI$106=1,FH25+ABW25,1)</f>
        <v/>
      </c>
      <c r="AHL25">
        <f>IF('calcA'!BJ$106=1,FI25+ABX25,1)</f>
        <v/>
      </c>
      <c r="AHM25">
        <f>IF('calcA'!BK$106=1,FJ25+ABY25,1)</f>
        <v/>
      </c>
      <c r="AHN25">
        <f>IF('calcA'!BL$106=1,FK25+ABZ25,1)</f>
        <v/>
      </c>
      <c r="AHO25">
        <f>IF('calcA'!BM$106=1,FL25+ACA25,1)</f>
        <v/>
      </c>
      <c r="AHP25">
        <f>IF('calcA'!BN$106=1,FM25+ACB25,1)</f>
        <v/>
      </c>
      <c r="AHQ25">
        <f>IF('calcA'!BO$106=1,FN25+ACC25,1)</f>
        <v/>
      </c>
      <c r="AHR25">
        <f>IF('calcA'!BP$106=1,FO25+ACD25,1)</f>
        <v/>
      </c>
      <c r="AHS25">
        <f>IF('calcA'!BQ$106=1,FP25+ACE25,1)</f>
        <v/>
      </c>
      <c r="AHT25">
        <f>IF('calcA'!BR$106=1,FQ25+ACF25,1)</f>
        <v/>
      </c>
      <c r="AHU25">
        <f>IF('calcA'!BS$106=1,FR25+ACG25,1)</f>
        <v/>
      </c>
      <c r="AHV25">
        <f>IF('calcA'!BT$106=1,FS25+ACH25,1)</f>
        <v/>
      </c>
      <c r="AHW25">
        <f>IF('calcA'!BU$106=1,FT25+ACI25,1)</f>
        <v/>
      </c>
      <c r="AHX25">
        <f>IF('calcA'!BV$106=1,FU25+ACJ25,1)</f>
        <v/>
      </c>
      <c r="AHY25">
        <f>IF('calcA'!BW$106=1,FV25+ACK25,1)</f>
        <v/>
      </c>
      <c r="AHZ25">
        <f>IF('calcA'!BX$106=1,FW25+ACL25,1)</f>
        <v/>
      </c>
      <c r="AIA25">
        <f>IF('calcA'!BY$106=1,FX25+ACM25,1)</f>
        <v/>
      </c>
      <c r="AIB25">
        <f>IF('calcA'!BZ$106=1,FY25+ACN25,1)</f>
        <v/>
      </c>
      <c r="AIC25">
        <f>IF('calcA'!CA$106=1,FZ25+ACO25,1)</f>
        <v/>
      </c>
      <c r="AID25">
        <f>IF('calcA'!CB$106=1,GA25+ACP25,1)</f>
        <v/>
      </c>
      <c r="AIE25">
        <f>IF('calcA'!CC$106=1,GB25+ACQ25,1)</f>
        <v/>
      </c>
      <c r="AIF25">
        <f>IF('calcA'!CD$106=1,GC25+ACR25,1)</f>
        <v/>
      </c>
      <c r="AIG25">
        <f>IF('calcA'!CE$106=1,GD25+ACS25,1)</f>
        <v/>
      </c>
      <c r="AIH25">
        <f>IF('calcA'!CF$106=1,GE25+ACT25,1)</f>
        <v/>
      </c>
      <c r="AII25">
        <f>IF('calcA'!CG$106=1,GF25+ACU25,1)</f>
        <v/>
      </c>
      <c r="AIJ25">
        <f>IF('calcA'!CH$106=1,GG25+ACV25,1)</f>
        <v/>
      </c>
      <c r="AIK25">
        <f>IF('calcA'!CI$106=1,GH25+ACW25,1)</f>
        <v/>
      </c>
      <c r="AIL25">
        <f>IF('calcA'!CJ$106=1,GI25+ACX25,1)</f>
        <v/>
      </c>
      <c r="AIM25">
        <f>IF('calcA'!CK$106=1,GJ25+ACY25,1)</f>
        <v/>
      </c>
      <c r="AIN25">
        <f>IF('calcA'!CL$106=1,GK25+ACZ25,1)</f>
        <v/>
      </c>
      <c r="AIO25">
        <f>IF('calcA'!CM$106=1,GL25+ADA25,1)</f>
        <v/>
      </c>
      <c r="AIP25">
        <f>IF('calcA'!CN$106=1,GM25+ADB25,1)</f>
        <v/>
      </c>
      <c r="AIQ25">
        <f>IF('calcA'!CO$106=1,GN25+ADC25,1)</f>
        <v/>
      </c>
      <c r="AIR25">
        <f>IF('calcA'!CP$106=1,GO25+ADD25,1)</f>
        <v/>
      </c>
      <c r="AIS25">
        <f>IF('calcA'!CQ$106=1,GP25+ADE25,1)</f>
        <v/>
      </c>
      <c r="AIT25">
        <f>IF('calcA'!CR$106=1,GQ25+ADF25,1)</f>
        <v/>
      </c>
      <c r="AIU25">
        <f>IF('calcA'!CS$106=1,GR25+ADG25,1)</f>
        <v/>
      </c>
      <c r="AIV25">
        <f>IF('calcA'!CT$106=1,GS25+ADH25,1)</f>
        <v/>
      </c>
      <c r="AIW25">
        <f>IF('calcA'!CU$106=1,GT25+ADI25,1)</f>
        <v/>
      </c>
      <c r="AIX25">
        <f>IF('calcA'!CV$106=1,GU25+ADJ25,1)</f>
        <v/>
      </c>
      <c r="AIY25">
        <f>IF('calcA'!CW$106=1,GV25+ADK25,1)</f>
        <v/>
      </c>
      <c r="AIZ25">
        <f>IF('calcA'!CX$106=1,GW25+ADL25,1)</f>
        <v/>
      </c>
      <c r="AJA25">
        <f>IF('calcA'!CY$106=1,GX25+ADM25,1)</f>
        <v/>
      </c>
      <c r="AJB25">
        <f>IF('calcA'!CZ$106=1,GY25+ADN25,1)</f>
        <v/>
      </c>
      <c r="AJC25">
        <f>IF('calcA'!DA$106=1,GZ25+ADO25,1)</f>
        <v/>
      </c>
      <c r="AJD25">
        <f>IF('calcA'!DB$106=1,HA25+ADP25,1)</f>
        <v/>
      </c>
      <c r="AJE25">
        <f>IF('calcA'!DC$106=1,HB25+ADQ25,1)</f>
        <v/>
      </c>
      <c r="AJF25">
        <f>IF('calcA'!DD$106=1,HC25+ADR25,1)</f>
        <v/>
      </c>
      <c r="AJG25">
        <f>IF('calcA'!DE$106=1,HD25+ADS25,1)</f>
        <v/>
      </c>
      <c r="AJH25">
        <f>IF('calcA'!DF$106=1,HE25+ADT25,1)</f>
        <v/>
      </c>
      <c r="AJI25">
        <f>IF('calcA'!DG$106=1,HF25+ADU25,1)</f>
        <v/>
      </c>
      <c r="AJJ25">
        <f>IF('calcA'!DH$106=1,HG25+ADV25,1)</f>
        <v/>
      </c>
      <c r="AJK25">
        <f>IF('calcA'!DI$106=1,HH25+ADW25,1)</f>
        <v/>
      </c>
      <c r="AJL25">
        <f>IF('calcA'!DJ$106=1,HI25+ADX25,1)</f>
        <v/>
      </c>
      <c r="AJM25">
        <f>IF('calcA'!DK$106=1,HJ25+ADY25,1)</f>
        <v/>
      </c>
      <c r="AJN25">
        <f>IF('calcA'!DL$106=1,HK25+ADZ25,1)</f>
        <v/>
      </c>
      <c r="AJO25">
        <f>IF('calcA'!DM$106=1,HL25+AEA25,1)</f>
        <v/>
      </c>
      <c r="AJP25">
        <f>IF('calcA'!DN$106=1,HM25+AEB25,1)</f>
        <v/>
      </c>
      <c r="AJQ25">
        <f>IF('calcA'!DO$106=1,HN25+AEC25,1)</f>
        <v/>
      </c>
      <c r="AJR25">
        <f>IF('calcA'!DP$106=1,HO25+AED25,1)</f>
        <v/>
      </c>
      <c r="AJS25">
        <f>IF('calcA'!DQ$106=1,HP25+AEE25,1)</f>
        <v/>
      </c>
      <c r="AJT25">
        <f>IF('calcA'!DR$106=1,HQ25+AEF25,1)</f>
        <v/>
      </c>
      <c r="AJU25">
        <f>IF('calcA'!DS$106=1,HR25+AEG25,1)</f>
        <v/>
      </c>
      <c r="AJV25">
        <f>IF('calcA'!DT$106=1,HS25+AEH25,1)</f>
        <v/>
      </c>
      <c r="AJW25">
        <f>IF('calcA'!DU$106=1,HT25+AEI25,1)</f>
        <v/>
      </c>
      <c r="AJX25">
        <f>IF('calcA'!DV$106=1,HU25+AEJ25,1)</f>
        <v/>
      </c>
      <c r="AJY25">
        <f>IF('calcA'!DW$106=1,HV25+AEK25,1)</f>
        <v/>
      </c>
      <c r="AJZ25">
        <f>IF('calcA'!DX$106=1,HW25+AEL25,1)</f>
        <v/>
      </c>
      <c r="AKA25">
        <f>IF('calcA'!DY$106=1,HX25+AEM25,1)</f>
        <v/>
      </c>
      <c r="AKB25">
        <f>IF('calcA'!DZ$106=1,HY25+AEN25,1)</f>
        <v/>
      </c>
      <c r="AKC25">
        <f>IF('calcA'!EA$106=1,HZ25+AEO25,1)</f>
        <v/>
      </c>
      <c r="AKD25">
        <f>IF('calcA'!EB$106=1,IA25+AEP25,1)</f>
        <v/>
      </c>
      <c r="AKE25">
        <f>IF('calcA'!EC$106=1,IB25+AEQ25,1)</f>
        <v/>
      </c>
      <c r="AKF25">
        <f>IF('calcA'!ED$106=1,IC25+AER25,1)</f>
        <v/>
      </c>
      <c r="AKG25">
        <f>IF('calcA'!EE$106=1,ID25+AES25,1)</f>
        <v/>
      </c>
      <c r="AKH25">
        <f>IF('calcA'!EF$106=1,IE25+AET25,1)</f>
        <v/>
      </c>
      <c r="AKI25">
        <f>IF('calcA'!EG$106=1,IF25+AEU25,1)</f>
        <v/>
      </c>
      <c r="AKJ25">
        <f>IF('calcA'!EH$106=1,IG25+AEV25,1)</f>
        <v/>
      </c>
      <c r="AKK25">
        <f>IF('calcA'!EI$106=1,IH25+AEW25,1)</f>
        <v/>
      </c>
      <c r="AKL25">
        <f>IF('calcA'!EJ$106=1,II25+AEX25,1)</f>
        <v/>
      </c>
      <c r="AKM25">
        <f>IF('calcA'!EK$106=1,IJ25+AEY25,1)</f>
        <v/>
      </c>
      <c r="AKN25">
        <f>IF('calcA'!EL$106=1,IK25+AEZ25,1)</f>
        <v/>
      </c>
      <c r="AKO25">
        <f>IF('calcA'!EM$106=1,IL25+AFA25,1)</f>
        <v/>
      </c>
      <c r="AKP25">
        <f>IF('calcA'!EN$106=1,IM25+AFB25,1)</f>
        <v/>
      </c>
      <c r="AKQ25">
        <f>IF('calcA'!EO$106=1,IN25+AFC25,1)</f>
        <v/>
      </c>
      <c r="AKR25">
        <f>IF('calcA'!EP$106=1,IO25+AFD25,1)</f>
        <v/>
      </c>
      <c r="AKS25" t="n">
        <v>1</v>
      </c>
    </row>
    <row r="26">
      <c r="A26" t="n">
        <v>24</v>
      </c>
      <c r="B26">
        <f>IF(MIN(BM26:CZ26)&gt;=1000000000,0,MATCH(MIN(BM26:CZ26),BM26:CZ26,0))</f>
        <v/>
      </c>
      <c r="C26">
        <f>IF(MIN(OF26:TS26)&gt;=1000000000,0,MATCH(MIN(OF26:TS26),OF26:TS26,0))</f>
        <v/>
      </c>
      <c r="D26">
        <f>IF(C26&gt;0,INDEX('calcA'!$D$5:$EQ$5,C26),0)</f>
        <v/>
      </c>
      <c r="E26">
        <f>IF(B26=0,0,INDEX('calcA'!$IQ$10:$IQ$54,B26))</f>
        <v/>
      </c>
      <c r="F26">
        <f>IF(B26=0,0,INDEX('calcA'!$IP$10:$IP$54,B26))</f>
        <v/>
      </c>
      <c r="G26">
        <f>IF(AND(C26&gt;0,E26&gt;0),IF(AND(INDEX('calcA'!$D$106:$EQ$106,C26)=1,INDEX($IQ26:$OD26,C26)=1),C26+1,0),0)</f>
        <v/>
      </c>
      <c r="H26">
        <f>IF(B26=0,0,INDEX('calcA'!$IW$10:$IW$54,B26))</f>
        <v/>
      </c>
      <c r="U26">
        <f>IF(B26=0,0,INDEX('calcA'!$IX$10:$IX$54,B26))</f>
        <v/>
      </c>
      <c r="V26">
        <f>IF(B26=0,0,INDEX('calcA'!$JF$10:$JF$54,B26))</f>
        <v/>
      </c>
      <c r="W26">
        <f>IF(B26=0,0,IF(IF(E26=2,SUMPRODUCT(INDEX('calcA'!$D$60:$EQ$99,B26,0),$DB26:$IO26,$IQ26:$OD26),SUMPRODUCT(INDEX('calcA'!$D$60:$EQ$99,B26,0),$DB26:$IO26))=0,1,0))</f>
        <v/>
      </c>
      <c r="X26">
        <f>MAX(X25,IF($B25=1,1,0))</f>
        <v/>
      </c>
      <c r="Y26">
        <f>MAX(Y25,IF($B25=2,1,0))</f>
        <v/>
      </c>
      <c r="Z26">
        <f>MAX(Z25,IF($B25=3,1,0))</f>
        <v/>
      </c>
      <c r="AA26">
        <f>MAX(AA25,IF($B25=4,1,0))</f>
        <v/>
      </c>
      <c r="AB26">
        <f>MAX(AB25,IF($B25=5,1,0))</f>
        <v/>
      </c>
      <c r="AC26">
        <f>MAX(AC25,IF($B25=6,1,0))</f>
        <v/>
      </c>
      <c r="AD26">
        <f>MAX(AD25,IF($B25=7,1,0))</f>
        <v/>
      </c>
      <c r="AE26">
        <f>MAX(AE25,IF($B25=8,1,0))</f>
        <v/>
      </c>
      <c r="AF26">
        <f>MAX(AF25,IF($B25=9,1,0))</f>
        <v/>
      </c>
      <c r="AG26">
        <f>MAX(AG25,IF($B25=10,1,0))</f>
        <v/>
      </c>
      <c r="AH26">
        <f>MAX(AH25,IF($B25=11,1,0))</f>
        <v/>
      </c>
      <c r="AI26">
        <f>MAX(AI25,IF($B25=12,1,0))</f>
        <v/>
      </c>
      <c r="AJ26">
        <f>MAX(AJ25,IF($B25=13,1,0))</f>
        <v/>
      </c>
      <c r="AK26">
        <f>MAX(AK25,IF($B25=14,1,0))</f>
        <v/>
      </c>
      <c r="AL26">
        <f>MAX(AL25,IF($B25=15,1,0))</f>
        <v/>
      </c>
      <c r="AM26">
        <f>MAX(AM25,IF($B25=16,1,0))</f>
        <v/>
      </c>
      <c r="AN26">
        <f>MAX(AN25,IF($B25=17,1,0))</f>
        <v/>
      </c>
      <c r="AO26">
        <f>MAX(AO25,IF($B25=18,1,0))</f>
        <v/>
      </c>
      <c r="AP26">
        <f>MAX(AP25,IF($B25=19,1,0))</f>
        <v/>
      </c>
      <c r="AQ26">
        <f>MAX(AQ25,IF($B25=20,1,0))</f>
        <v/>
      </c>
      <c r="AR26">
        <f>MAX(AR25,IF($B25=21,1,0))</f>
        <v/>
      </c>
      <c r="AS26">
        <f>MAX(AS25,IF($B25=22,1,0))</f>
        <v/>
      </c>
      <c r="AT26">
        <f>MAX(AT25,IF($B25=23,1,0))</f>
        <v/>
      </c>
      <c r="AU26">
        <f>MAX(AU25,IF($B25=24,1,0))</f>
        <v/>
      </c>
      <c r="AV26">
        <f>MAX(AV25,IF($B25=25,1,0))</f>
        <v/>
      </c>
      <c r="AW26">
        <f>MAX(AW25,IF($B25=26,1,0))</f>
        <v/>
      </c>
      <c r="AX26">
        <f>MAX(AX25,IF($B25=27,1,0))</f>
        <v/>
      </c>
      <c r="AY26">
        <f>MAX(AY25,IF($B25=28,1,0))</f>
        <v/>
      </c>
      <c r="AZ26">
        <f>MAX(AZ25,IF($B25=29,1,0))</f>
        <v/>
      </c>
      <c r="BA26">
        <f>MAX(BA25,IF($B25=30,1,0))</f>
        <v/>
      </c>
      <c r="BB26">
        <f>MAX(BB25,IF($B25=31,1,0))</f>
        <v/>
      </c>
      <c r="BC26">
        <f>MAX(BC25,IF($B25=32,1,0))</f>
        <v/>
      </c>
      <c r="BD26">
        <f>MAX(BD25,IF($B25=33,1,0))</f>
        <v/>
      </c>
      <c r="BE26">
        <f>MAX(BE25,IF($B25=34,1,0))</f>
        <v/>
      </c>
      <c r="BF26">
        <f>MAX(BF25,IF($B25=35,1,0))</f>
        <v/>
      </c>
      <c r="BG26">
        <f>MAX(BG25,IF($B25=36,1,0))</f>
        <v/>
      </c>
      <c r="BH26">
        <f>MAX(BH25,IF($B25=37,1,0))</f>
        <v/>
      </c>
      <c r="BI26">
        <f>MAX(BI25,IF($B25=38,1,0))</f>
        <v/>
      </c>
      <c r="BJ26">
        <f>MAX(BJ25,IF($B25=39,1,0))</f>
        <v/>
      </c>
      <c r="BK26">
        <f>MAX(BK25,IF($B25=40,1,0))</f>
        <v/>
      </c>
      <c r="BM26">
        <f>IF(OR(X26=1,calcA!$A$6=0),1000000000,IF('calcA'!$JF$10=1,0,100000000)+IF('calcA'!$IQ$10=2,SUMPRODUCT('calcA'!$D$60:$EQ$60,$DB26:$IO26,$IQ26:$OD26)*1000+SUMPRODUCT('calcA'!$D$60:$EQ$60,$DB26:$IO26+$ZQ26:$AFD26,$AFF26:$AKS26),SUMPRODUCT('calcA'!$D$60:$EQ$60,$DB26:$IO26*1001+$ZQ26:$AFD26))*100+1)</f>
        <v/>
      </c>
      <c r="BN26">
        <f>IF(OR(Y26=1,calcA!$A$6=0),1000000000,IF('calcA'!$JF$11=1,0,100000000)+IF('calcA'!$IQ$11=2,SUMPRODUCT('calcA'!$D$61:$EQ$61,$DB26:$IO26,$IQ26:$OD26)*1000+SUMPRODUCT('calcA'!$D$61:$EQ$61,$DB26:$IO26+$ZQ26:$AFD26,$AFF26:$AKS26),SUMPRODUCT('calcA'!$D$61:$EQ$61,$DB26:$IO26*1001+$ZQ26:$AFD26))*100+2)</f>
        <v/>
      </c>
      <c r="BO26">
        <f>IF(OR(Z26=1,calcA!$A$6=0),1000000000,IF('calcA'!$JF$12=1,0,100000000)+IF('calcA'!$IQ$12=2,SUMPRODUCT('calcA'!$D$62:$EQ$62,$DB26:$IO26,$IQ26:$OD26)*1000+SUMPRODUCT('calcA'!$D$62:$EQ$62,$DB26:$IO26+$ZQ26:$AFD26,$AFF26:$AKS26),SUMPRODUCT('calcA'!$D$62:$EQ$62,$DB26:$IO26*1001+$ZQ26:$AFD26))*100+3)</f>
        <v/>
      </c>
      <c r="BP26">
        <f>IF(OR(AA26=1,calcA!$A$6=0),1000000000,IF('calcA'!$JF$13=1,0,100000000)+IF('calcA'!$IQ$13=2,SUMPRODUCT('calcA'!$D$63:$EQ$63,$DB26:$IO26,$IQ26:$OD26)*1000+SUMPRODUCT('calcA'!$D$63:$EQ$63,$DB26:$IO26+$ZQ26:$AFD26,$AFF26:$AKS26),SUMPRODUCT('calcA'!$D$63:$EQ$63,$DB26:$IO26*1001+$ZQ26:$AFD26))*100+4)</f>
        <v/>
      </c>
      <c r="BQ26">
        <f>IF(OR(AB26=1,calcA!$A$6=0),1000000000,IF('calcA'!$JF$14=1,0,100000000)+IF('calcA'!$IQ$14=2,SUMPRODUCT('calcA'!$D$64:$EQ$64,$DB26:$IO26,$IQ26:$OD26)*1000+SUMPRODUCT('calcA'!$D$64:$EQ$64,$DB26:$IO26+$ZQ26:$AFD26,$AFF26:$AKS26),SUMPRODUCT('calcA'!$D$64:$EQ$64,$DB26:$IO26*1001+$ZQ26:$AFD26))*100+5)</f>
        <v/>
      </c>
      <c r="BR26">
        <f>IF(OR(AC26=1,calcA!$A$6=0),1000000000,IF('calcA'!$JF$15=1,0,100000000)+IF('calcA'!$IQ$15=2,SUMPRODUCT('calcA'!$D$65:$EQ$65,$DB26:$IO26,$IQ26:$OD26)*1000+SUMPRODUCT('calcA'!$D$65:$EQ$65,$DB26:$IO26+$ZQ26:$AFD26,$AFF26:$AKS26),SUMPRODUCT('calcA'!$D$65:$EQ$65,$DB26:$IO26*1001+$ZQ26:$AFD26))*100+6)</f>
        <v/>
      </c>
      <c r="BS26">
        <f>IF(OR(AD26=1,calcA!$A$6=0),1000000000,IF('calcA'!$JF$16=1,0,100000000)+IF('calcA'!$IQ$16=2,SUMPRODUCT('calcA'!$D$66:$EQ$66,$DB26:$IO26,$IQ26:$OD26)*1000+SUMPRODUCT('calcA'!$D$66:$EQ$66,$DB26:$IO26+$ZQ26:$AFD26,$AFF26:$AKS26),SUMPRODUCT('calcA'!$D$66:$EQ$66,$DB26:$IO26*1001+$ZQ26:$AFD26))*100+7)</f>
        <v/>
      </c>
      <c r="BT26">
        <f>IF(OR(AE26=1,calcA!$A$6=0),1000000000,IF('calcA'!$JF$17=1,0,100000000)+IF('calcA'!$IQ$17=2,SUMPRODUCT('calcA'!$D$67:$EQ$67,$DB26:$IO26,$IQ26:$OD26)*1000+SUMPRODUCT('calcA'!$D$67:$EQ$67,$DB26:$IO26+$ZQ26:$AFD26,$AFF26:$AKS26),SUMPRODUCT('calcA'!$D$67:$EQ$67,$DB26:$IO26*1001+$ZQ26:$AFD26))*100+8)</f>
        <v/>
      </c>
      <c r="BU26">
        <f>IF(OR(AF26=1,calcA!$A$6=0),1000000000,IF('calcA'!$JF$18=1,0,100000000)+IF('calcA'!$IQ$18=2,SUMPRODUCT('calcA'!$D$68:$EQ$68,$DB26:$IO26,$IQ26:$OD26)*1000+SUMPRODUCT('calcA'!$D$68:$EQ$68,$DB26:$IO26+$ZQ26:$AFD26,$AFF26:$AKS26),SUMPRODUCT('calcA'!$D$68:$EQ$68,$DB26:$IO26*1001+$ZQ26:$AFD26))*100+9)</f>
        <v/>
      </c>
      <c r="BV26">
        <f>IF(OR(AG26=1,calcA!$A$6=0),1000000000,IF('calcA'!$JF$19=1,0,100000000)+IF('calcA'!$IQ$19=2,SUMPRODUCT('calcA'!$D$69:$EQ$69,$DB26:$IO26,$IQ26:$OD26)*1000+SUMPRODUCT('calcA'!$D$69:$EQ$69,$DB26:$IO26+$ZQ26:$AFD26,$AFF26:$AKS26),SUMPRODUCT('calcA'!$D$69:$EQ$69,$DB26:$IO26*1001+$ZQ26:$AFD26))*100+10)</f>
        <v/>
      </c>
      <c r="BW26">
        <f>IF(OR(AH26=1,calcA!$A$6=0),1000000000,IF('calcA'!$JF$20=1,0,100000000)+IF('calcA'!$IQ$20=2,SUMPRODUCT('calcA'!$D$70:$EQ$70,$DB26:$IO26,$IQ26:$OD26)*1000+SUMPRODUCT('calcA'!$D$70:$EQ$70,$DB26:$IO26+$ZQ26:$AFD26,$AFF26:$AKS26),SUMPRODUCT('calcA'!$D$70:$EQ$70,$DB26:$IO26*1001+$ZQ26:$AFD26))*100+11)</f>
        <v/>
      </c>
      <c r="BX26">
        <f>IF(OR(AI26=1,calcA!$A$6=0),1000000000,IF('calcA'!$JF$21=1,0,100000000)+IF('calcA'!$IQ$21=2,SUMPRODUCT('calcA'!$D$71:$EQ$71,$DB26:$IO26,$IQ26:$OD26)*1000+SUMPRODUCT('calcA'!$D$71:$EQ$71,$DB26:$IO26+$ZQ26:$AFD26,$AFF26:$AKS26),SUMPRODUCT('calcA'!$D$71:$EQ$71,$DB26:$IO26*1001+$ZQ26:$AFD26))*100+12)</f>
        <v/>
      </c>
      <c r="BY26">
        <f>IF(OR(AJ26=1,calcA!$A$6=0),1000000000,IF('calcA'!$JF$22=1,0,100000000)+IF('calcA'!$IQ$22=2,SUMPRODUCT('calcA'!$D$72:$EQ$72,$DB26:$IO26,$IQ26:$OD26)*1000+SUMPRODUCT('calcA'!$D$72:$EQ$72,$DB26:$IO26+$ZQ26:$AFD26,$AFF26:$AKS26),SUMPRODUCT('calcA'!$D$72:$EQ$72,$DB26:$IO26*1001+$ZQ26:$AFD26))*100+13)</f>
        <v/>
      </c>
      <c r="BZ26">
        <f>IF(OR(AK26=1,calcA!$A$6=0),1000000000,IF('calcA'!$JF$23=1,0,100000000)+IF('calcA'!$IQ$23=2,SUMPRODUCT('calcA'!$D$73:$EQ$73,$DB26:$IO26,$IQ26:$OD26)*1000+SUMPRODUCT('calcA'!$D$73:$EQ$73,$DB26:$IO26+$ZQ26:$AFD26,$AFF26:$AKS26),SUMPRODUCT('calcA'!$D$73:$EQ$73,$DB26:$IO26*1001+$ZQ26:$AFD26))*100+14)</f>
        <v/>
      </c>
      <c r="CA26">
        <f>IF(OR(AL26=1,calcA!$A$6=0),1000000000,IF('calcA'!$JF$24=1,0,100000000)+IF('calcA'!$IQ$24=2,SUMPRODUCT('calcA'!$D$74:$EQ$74,$DB26:$IO26,$IQ26:$OD26)*1000+SUMPRODUCT('calcA'!$D$74:$EQ$74,$DB26:$IO26+$ZQ26:$AFD26,$AFF26:$AKS26),SUMPRODUCT('calcA'!$D$74:$EQ$74,$DB26:$IO26*1001+$ZQ26:$AFD26))*100+15)</f>
        <v/>
      </c>
      <c r="CB26">
        <f>IF(OR(AM26=1,calcA!$A$6=0),1000000000,IF('calcA'!$JF$25=1,0,100000000)+IF('calcA'!$IQ$25=2,SUMPRODUCT('calcA'!$D$75:$EQ$75,$DB26:$IO26,$IQ26:$OD26)*1000+SUMPRODUCT('calcA'!$D$75:$EQ$75,$DB26:$IO26+$ZQ26:$AFD26,$AFF26:$AKS26),SUMPRODUCT('calcA'!$D$75:$EQ$75,$DB26:$IO26*1001+$ZQ26:$AFD26))*100+16)</f>
        <v/>
      </c>
      <c r="CC26">
        <f>IF(OR(AN26=1,calcA!$A$6=0),1000000000,IF('calcA'!$JF$26=1,0,100000000)+IF('calcA'!$IQ$26=2,SUMPRODUCT('calcA'!$D$76:$EQ$76,$DB26:$IO26,$IQ26:$OD26)*1000+SUMPRODUCT('calcA'!$D$76:$EQ$76,$DB26:$IO26+$ZQ26:$AFD26,$AFF26:$AKS26),SUMPRODUCT('calcA'!$D$76:$EQ$76,$DB26:$IO26*1001+$ZQ26:$AFD26))*100+17)</f>
        <v/>
      </c>
      <c r="CD26">
        <f>IF(OR(AO26=1,calcA!$A$6=0),1000000000,IF('calcA'!$JF$27=1,0,100000000)+IF('calcA'!$IQ$27=2,SUMPRODUCT('calcA'!$D$77:$EQ$77,$DB26:$IO26,$IQ26:$OD26)*1000+SUMPRODUCT('calcA'!$D$77:$EQ$77,$DB26:$IO26+$ZQ26:$AFD26,$AFF26:$AKS26),SUMPRODUCT('calcA'!$D$77:$EQ$77,$DB26:$IO26*1001+$ZQ26:$AFD26))*100+18)</f>
        <v/>
      </c>
      <c r="CE26">
        <f>IF(OR(AP26=1,calcA!$A$6=0),1000000000,IF('calcA'!$JF$28=1,0,100000000)+IF('calcA'!$IQ$28=2,SUMPRODUCT('calcA'!$D$78:$EQ$78,$DB26:$IO26,$IQ26:$OD26)*1000+SUMPRODUCT('calcA'!$D$78:$EQ$78,$DB26:$IO26+$ZQ26:$AFD26,$AFF26:$AKS26),SUMPRODUCT('calcA'!$D$78:$EQ$78,$DB26:$IO26*1001+$ZQ26:$AFD26))*100+19)</f>
        <v/>
      </c>
      <c r="CF26">
        <f>IF(OR(AQ26=1,calcA!$A$6=0),1000000000,IF('calcA'!$JF$29=1,0,100000000)+IF('calcA'!$IQ$29=2,SUMPRODUCT('calcA'!$D$79:$EQ$79,$DB26:$IO26,$IQ26:$OD26)*1000+SUMPRODUCT('calcA'!$D$79:$EQ$79,$DB26:$IO26+$ZQ26:$AFD26,$AFF26:$AKS26),SUMPRODUCT('calcA'!$D$79:$EQ$79,$DB26:$IO26*1001+$ZQ26:$AFD26))*100+20)</f>
        <v/>
      </c>
      <c r="CG26">
        <f>IF(OR(AR26=1,calcA!$A$6=0),1000000000,IF('calcA'!$JF$30=1,0,100000000)+IF('calcA'!$IQ$30=2,SUMPRODUCT('calcA'!$D$80:$EQ$80,$DB26:$IO26,$IQ26:$OD26)*1000+SUMPRODUCT('calcA'!$D$80:$EQ$80,$DB26:$IO26+$ZQ26:$AFD26,$AFF26:$AKS26),SUMPRODUCT('calcA'!$D$80:$EQ$80,$DB26:$IO26*1001+$ZQ26:$AFD26))*100+21)</f>
        <v/>
      </c>
      <c r="CH26">
        <f>IF(OR(AS26=1,calcA!$A$6=0),1000000000,IF('calcA'!$JF$31=1,0,100000000)+IF('calcA'!$IQ$31=2,SUMPRODUCT('calcA'!$D$81:$EQ$81,$DB26:$IO26,$IQ26:$OD26)*1000+SUMPRODUCT('calcA'!$D$81:$EQ$81,$DB26:$IO26+$ZQ26:$AFD26,$AFF26:$AKS26),SUMPRODUCT('calcA'!$D$81:$EQ$81,$DB26:$IO26*1001+$ZQ26:$AFD26))*100+22)</f>
        <v/>
      </c>
      <c r="CI26">
        <f>IF(OR(AT26=1,calcA!$A$6=0),1000000000,IF('calcA'!$JF$32=1,0,100000000)+IF('calcA'!$IQ$32=2,SUMPRODUCT('calcA'!$D$82:$EQ$82,$DB26:$IO26,$IQ26:$OD26)*1000+SUMPRODUCT('calcA'!$D$82:$EQ$82,$DB26:$IO26+$ZQ26:$AFD26,$AFF26:$AKS26),SUMPRODUCT('calcA'!$D$82:$EQ$82,$DB26:$IO26*1001+$ZQ26:$AFD26))*100+23)</f>
        <v/>
      </c>
      <c r="CJ26">
        <f>IF(OR(AU26=1,calcA!$A$6=0),1000000000,IF('calcA'!$JF$33=1,0,100000000)+IF('calcA'!$IQ$33=2,SUMPRODUCT('calcA'!$D$83:$EQ$83,$DB26:$IO26,$IQ26:$OD26)*1000+SUMPRODUCT('calcA'!$D$83:$EQ$83,$DB26:$IO26+$ZQ26:$AFD26,$AFF26:$AKS26),SUMPRODUCT('calcA'!$D$83:$EQ$83,$DB26:$IO26*1001+$ZQ26:$AFD26))*100+24)</f>
        <v/>
      </c>
      <c r="CK26">
        <f>IF(OR(AV26=1,calcA!$A$6=0),1000000000,IF('calcA'!$JF$34=1,0,100000000)+IF('calcA'!$IQ$34=2,SUMPRODUCT('calcA'!$D$84:$EQ$84,$DB26:$IO26,$IQ26:$OD26)*1000+SUMPRODUCT('calcA'!$D$84:$EQ$84,$DB26:$IO26+$ZQ26:$AFD26,$AFF26:$AKS26),SUMPRODUCT('calcA'!$D$84:$EQ$84,$DB26:$IO26*1001+$ZQ26:$AFD26))*100+25)</f>
        <v/>
      </c>
      <c r="CL26">
        <f>IF(OR(AW26=1,calcA!$A$6=0),1000000000,IF('calcA'!$JF$35=1,0,100000000)+IF('calcA'!$IQ$35=2,SUMPRODUCT('calcA'!$D$85:$EQ$85,$DB26:$IO26,$IQ26:$OD26)*1000+SUMPRODUCT('calcA'!$D$85:$EQ$85,$DB26:$IO26+$ZQ26:$AFD26,$AFF26:$AKS26),SUMPRODUCT('calcA'!$D$85:$EQ$85,$DB26:$IO26*1001+$ZQ26:$AFD26))*100+26)</f>
        <v/>
      </c>
      <c r="CM26">
        <f>IF(OR(AX26=1,calcA!$A$6=0),1000000000,IF('calcA'!$JF$36=1,0,100000000)+IF('calcA'!$IQ$36=2,SUMPRODUCT('calcA'!$D$86:$EQ$86,$DB26:$IO26,$IQ26:$OD26)*1000+SUMPRODUCT('calcA'!$D$86:$EQ$86,$DB26:$IO26+$ZQ26:$AFD26,$AFF26:$AKS26),SUMPRODUCT('calcA'!$D$86:$EQ$86,$DB26:$IO26*1001+$ZQ26:$AFD26))*100+27)</f>
        <v/>
      </c>
      <c r="CN26">
        <f>IF(OR(AY26=1,calcA!$A$6=0),1000000000,IF('calcA'!$JF$37=1,0,100000000)+IF('calcA'!$IQ$37=2,SUMPRODUCT('calcA'!$D$87:$EQ$87,$DB26:$IO26,$IQ26:$OD26)*1000+SUMPRODUCT('calcA'!$D$87:$EQ$87,$DB26:$IO26+$ZQ26:$AFD26,$AFF26:$AKS26),SUMPRODUCT('calcA'!$D$87:$EQ$87,$DB26:$IO26*1001+$ZQ26:$AFD26))*100+28)</f>
        <v/>
      </c>
      <c r="CO26">
        <f>IF(OR(AZ26=1,calcA!$A$6=0),1000000000,IF('calcA'!$JF$38=1,0,100000000)+IF('calcA'!$IQ$38=2,SUMPRODUCT('calcA'!$D$88:$EQ$88,$DB26:$IO26,$IQ26:$OD26)*1000+SUMPRODUCT('calcA'!$D$88:$EQ$88,$DB26:$IO26+$ZQ26:$AFD26,$AFF26:$AKS26),SUMPRODUCT('calcA'!$D$88:$EQ$88,$DB26:$IO26*1001+$ZQ26:$AFD26))*100+29)</f>
        <v/>
      </c>
      <c r="CP26">
        <f>IF(OR(BA26=1,calcA!$A$6=0),1000000000,IF('calcA'!$JF$39=1,0,100000000)+IF('calcA'!$IQ$39=2,SUMPRODUCT('calcA'!$D$89:$EQ$89,$DB26:$IO26,$IQ26:$OD26)*1000+SUMPRODUCT('calcA'!$D$89:$EQ$89,$DB26:$IO26+$ZQ26:$AFD26,$AFF26:$AKS26),SUMPRODUCT('calcA'!$D$89:$EQ$89,$DB26:$IO26*1001+$ZQ26:$AFD26))*100+30)</f>
        <v/>
      </c>
      <c r="CQ26">
        <f>IF(OR(BB26=1,calcA!$A$6=0),1000000000,IF('calcA'!$JF$40=1,0,100000000)+IF('calcA'!$IQ$40=2,SUMPRODUCT('calcA'!$D$90:$EQ$90,$DB26:$IO26,$IQ26:$OD26)*1000+SUMPRODUCT('calcA'!$D$90:$EQ$90,$DB26:$IO26+$ZQ26:$AFD26,$AFF26:$AKS26),SUMPRODUCT('calcA'!$D$90:$EQ$90,$DB26:$IO26*1001+$ZQ26:$AFD26))*100+31)</f>
        <v/>
      </c>
      <c r="CR26">
        <f>IF(OR(BC26=1,calcA!$A$6=0),1000000000,IF('calcA'!$JF$41=1,0,100000000)+IF('calcA'!$IQ$41=2,SUMPRODUCT('calcA'!$D$91:$EQ$91,$DB26:$IO26,$IQ26:$OD26)*1000+SUMPRODUCT('calcA'!$D$91:$EQ$91,$DB26:$IO26+$ZQ26:$AFD26,$AFF26:$AKS26),SUMPRODUCT('calcA'!$D$91:$EQ$91,$DB26:$IO26*1001+$ZQ26:$AFD26))*100+32)</f>
        <v/>
      </c>
      <c r="CS26">
        <f>IF(OR(BD26=1,calcA!$A$6=0),1000000000,IF('calcA'!$JF$42=1,0,100000000)+IF('calcA'!$IQ$42=2,SUMPRODUCT('calcA'!$D$92:$EQ$92,$DB26:$IO26,$IQ26:$OD26)*1000+SUMPRODUCT('calcA'!$D$92:$EQ$92,$DB26:$IO26+$ZQ26:$AFD26,$AFF26:$AKS26),SUMPRODUCT('calcA'!$D$92:$EQ$92,$DB26:$IO26*1001+$ZQ26:$AFD26))*100+33)</f>
        <v/>
      </c>
      <c r="CT26">
        <f>IF(OR(BE26=1,calcA!$A$6=0),1000000000,IF('calcA'!$JF$43=1,0,100000000)+IF('calcA'!$IQ$43=2,SUMPRODUCT('calcA'!$D$93:$EQ$93,$DB26:$IO26,$IQ26:$OD26)*1000+SUMPRODUCT('calcA'!$D$93:$EQ$93,$DB26:$IO26+$ZQ26:$AFD26,$AFF26:$AKS26),SUMPRODUCT('calcA'!$D$93:$EQ$93,$DB26:$IO26*1001+$ZQ26:$AFD26))*100+34)</f>
        <v/>
      </c>
      <c r="CU26">
        <f>IF(OR(BF26=1,calcA!$A$6=0),1000000000,IF('calcA'!$JF$44=1,0,100000000)+IF('calcA'!$IQ$44=2,SUMPRODUCT('calcA'!$D$94:$EQ$94,$DB26:$IO26,$IQ26:$OD26)*1000+SUMPRODUCT('calcA'!$D$94:$EQ$94,$DB26:$IO26+$ZQ26:$AFD26,$AFF26:$AKS26),SUMPRODUCT('calcA'!$D$94:$EQ$94,$DB26:$IO26*1001+$ZQ26:$AFD26))*100+35)</f>
        <v/>
      </c>
      <c r="CV26">
        <f>IF(OR(BG26=1,calcA!$A$6=0),1000000000,IF('calcA'!$JF$45=1,0,100000000)+IF('calcA'!$IQ$45=2,SUMPRODUCT('calcA'!$D$95:$EQ$95,$DB26:$IO26,$IQ26:$OD26)*1000+SUMPRODUCT('calcA'!$D$95:$EQ$95,$DB26:$IO26+$ZQ26:$AFD26,$AFF26:$AKS26),SUMPRODUCT('calcA'!$D$95:$EQ$95,$DB26:$IO26*1001+$ZQ26:$AFD26))*100+36)</f>
        <v/>
      </c>
      <c r="CW26">
        <f>IF(OR(BH26=1,calcA!$A$6=0),1000000000,IF('calcA'!$JF$46=1,0,100000000)+IF('calcA'!$IQ$46=2,SUMPRODUCT('calcA'!$D$96:$EQ$96,$DB26:$IO26,$IQ26:$OD26)*1000+SUMPRODUCT('calcA'!$D$96:$EQ$96,$DB26:$IO26+$ZQ26:$AFD26,$AFF26:$AKS26),SUMPRODUCT('calcA'!$D$96:$EQ$96,$DB26:$IO26*1001+$ZQ26:$AFD26))*100+37)</f>
        <v/>
      </c>
      <c r="CX26">
        <f>IF(OR(BI26=1,calcA!$A$6=0),1000000000,IF('calcA'!$JF$47=1,0,100000000)+IF('calcA'!$IQ$47=2,SUMPRODUCT('calcA'!$D$97:$EQ$97,$DB26:$IO26,$IQ26:$OD26)*1000+SUMPRODUCT('calcA'!$D$97:$EQ$97,$DB26:$IO26+$ZQ26:$AFD26,$AFF26:$AKS26),SUMPRODUCT('calcA'!$D$97:$EQ$97,$DB26:$IO26*1001+$ZQ26:$AFD26))*100+38)</f>
        <v/>
      </c>
      <c r="CY26">
        <f>IF(OR(BJ26=1,calcA!$A$6=0),1000000000,IF('calcA'!$JF$48=1,0,100000000)+IF('calcA'!$IQ$48=2,SUMPRODUCT('calcA'!$D$98:$EQ$98,$DB26:$IO26,$IQ26:$OD26)*1000+SUMPRODUCT('calcA'!$D$98:$EQ$98,$DB26:$IO26+$ZQ26:$AFD26,$AFF26:$AKS26),SUMPRODUCT('calcA'!$D$98:$EQ$98,$DB26:$IO26*1001+$ZQ26:$AFD26))*100+39)</f>
        <v/>
      </c>
      <c r="CZ26">
        <f>IF(OR(BK26=1,calcA!$A$6=0),1000000000,IF('calcA'!$JF$49=1,0,100000000)+IF('calcA'!$IQ$49=2,SUMPRODUCT('calcA'!$D$99:$EQ$99,$DB26:$IO26,$IQ26:$OD26)*1000+SUMPRODUCT('calcA'!$D$99:$EQ$99,$DB26:$IO26+$ZQ26:$AFD26,$AFF26:$AKS26),SUMPRODUCT('calcA'!$D$99:$EQ$99,$DB26:$IO26*1001+$ZQ26:$AFD26))*100+40)</f>
        <v/>
      </c>
      <c r="DB26">
        <f>DB25*IF(OR($C25=1,$G25=1),0,1)</f>
        <v/>
      </c>
      <c r="DC26">
        <f>DC25*IF(OR($C25=2,$G25=2),0,1)</f>
        <v/>
      </c>
      <c r="DD26">
        <f>DD25*IF(OR($C25=3,$G25=3),0,1)</f>
        <v/>
      </c>
      <c r="DE26">
        <f>DE25*IF(OR($C25=4,$G25=4),0,1)</f>
        <v/>
      </c>
      <c r="DF26">
        <f>DF25*IF(OR($C25=5,$G25=5),0,1)</f>
        <v/>
      </c>
      <c r="DG26">
        <f>DG25*IF(OR($C25=6,$G25=6),0,1)</f>
        <v/>
      </c>
      <c r="DH26">
        <f>DH25*IF(OR($C25=7,$G25=7),0,1)</f>
        <v/>
      </c>
      <c r="DI26">
        <f>DI25*IF(OR($C25=8,$G25=8),0,1)</f>
        <v/>
      </c>
      <c r="DJ26">
        <f>DJ25*IF(OR($C25=9,$G25=9),0,1)</f>
        <v/>
      </c>
      <c r="DK26">
        <f>DK25*IF(OR($C25=10,$G25=10),0,1)</f>
        <v/>
      </c>
      <c r="DL26">
        <f>DL25*IF(OR($C25=11,$G25=11),0,1)</f>
        <v/>
      </c>
      <c r="DM26">
        <f>DM25*IF(OR($C25=12,$G25=12),0,1)</f>
        <v/>
      </c>
      <c r="DN26">
        <f>DN25*IF(OR($C25=13,$G25=13),0,1)</f>
        <v/>
      </c>
      <c r="DO26">
        <f>DO25*IF(OR($C25=14,$G25=14),0,1)</f>
        <v/>
      </c>
      <c r="DP26">
        <f>DP25*IF(OR($C25=15,$G25=15),0,1)</f>
        <v/>
      </c>
      <c r="DQ26">
        <f>DQ25*IF(OR($C25=16,$G25=16),0,1)</f>
        <v/>
      </c>
      <c r="DR26">
        <f>DR25*IF(OR($C25=17,$G25=17),0,1)</f>
        <v/>
      </c>
      <c r="DS26">
        <f>DS25*IF(OR($C25=18,$G25=18),0,1)</f>
        <v/>
      </c>
      <c r="DT26">
        <f>DT25*IF(OR($C25=19,$G25=19),0,1)</f>
        <v/>
      </c>
      <c r="DU26">
        <f>DU25*IF(OR($C25=20,$G25=20),0,1)</f>
        <v/>
      </c>
      <c r="DV26">
        <f>DV25*IF(OR($C25=21,$G25=21),0,1)</f>
        <v/>
      </c>
      <c r="DW26">
        <f>DW25*IF(OR($C25=22,$G25=22),0,1)</f>
        <v/>
      </c>
      <c r="DX26">
        <f>DX25*IF(OR($C25=23,$G25=23),0,1)</f>
        <v/>
      </c>
      <c r="DY26">
        <f>DY25*IF(OR($C25=24,$G25=24),0,1)</f>
        <v/>
      </c>
      <c r="DZ26">
        <f>DZ25*IF(OR($C25=25,$G25=25),0,1)</f>
        <v/>
      </c>
      <c r="EA26">
        <f>EA25*IF(OR($C25=26,$G25=26),0,1)</f>
        <v/>
      </c>
      <c r="EB26">
        <f>EB25*IF(OR($C25=27,$G25=27),0,1)</f>
        <v/>
      </c>
      <c r="EC26">
        <f>EC25*IF(OR($C25=28,$G25=28),0,1)</f>
        <v/>
      </c>
      <c r="ED26">
        <f>ED25*IF(OR($C25=29,$G25=29),0,1)</f>
        <v/>
      </c>
      <c r="EE26">
        <f>EE25*IF(OR($C25=30,$G25=30),0,1)</f>
        <v/>
      </c>
      <c r="EF26">
        <f>EF25*IF(OR($C25=31,$G25=31),0,1)</f>
        <v/>
      </c>
      <c r="EG26">
        <f>EG25*IF(OR($C25=32,$G25=32),0,1)</f>
        <v/>
      </c>
      <c r="EH26">
        <f>EH25*IF(OR($C25=33,$G25=33),0,1)</f>
        <v/>
      </c>
      <c r="EI26">
        <f>EI25*IF(OR($C25=34,$G25=34),0,1)</f>
        <v/>
      </c>
      <c r="EJ26">
        <f>EJ25*IF(OR($C25=35,$G25=35),0,1)</f>
        <v/>
      </c>
      <c r="EK26">
        <f>EK25*IF(OR($C25=36,$G25=36),0,1)</f>
        <v/>
      </c>
      <c r="EL26">
        <f>EL25*IF(OR($C25=37,$G25=37),0,1)</f>
        <v/>
      </c>
      <c r="EM26">
        <f>EM25*IF(OR($C25=38,$G25=38),0,1)</f>
        <v/>
      </c>
      <c r="EN26">
        <f>EN25*IF(OR($C25=39,$G25=39),0,1)</f>
        <v/>
      </c>
      <c r="EO26">
        <f>EO25*IF(OR($C25=40,$G25=40),0,1)</f>
        <v/>
      </c>
      <c r="EP26">
        <f>EP25*IF(OR($C25=41,$G25=41),0,1)</f>
        <v/>
      </c>
      <c r="EQ26">
        <f>EQ25*IF(OR($C25=42,$G25=42),0,1)</f>
        <v/>
      </c>
      <c r="ER26">
        <f>ER25*IF(OR($C25=43,$G25=43),0,1)</f>
        <v/>
      </c>
      <c r="ES26">
        <f>ES25*IF(OR($C25=44,$G25=44),0,1)</f>
        <v/>
      </c>
      <c r="ET26">
        <f>ET25*IF(OR($C25=45,$G25=45),0,1)</f>
        <v/>
      </c>
      <c r="EU26">
        <f>EU25*IF(OR($C25=46,$G25=46),0,1)</f>
        <v/>
      </c>
      <c r="EV26">
        <f>EV25*IF(OR($C25=47,$G25=47),0,1)</f>
        <v/>
      </c>
      <c r="EW26">
        <f>EW25*IF(OR($C25=48,$G25=48),0,1)</f>
        <v/>
      </c>
      <c r="EX26">
        <f>EX25*IF(OR($C25=49,$G25=49),0,1)</f>
        <v/>
      </c>
      <c r="EY26">
        <f>EY25*IF(OR($C25=50,$G25=50),0,1)</f>
        <v/>
      </c>
      <c r="EZ26">
        <f>EZ25*IF(OR($C25=51,$G25=51),0,1)</f>
        <v/>
      </c>
      <c r="FA26">
        <f>FA25*IF(OR($C25=52,$G25=52),0,1)</f>
        <v/>
      </c>
      <c r="FB26">
        <f>FB25*IF(OR($C25=53,$G25=53),0,1)</f>
        <v/>
      </c>
      <c r="FC26">
        <f>FC25*IF(OR($C25=54,$G25=54),0,1)</f>
        <v/>
      </c>
      <c r="FD26">
        <f>FD25*IF(OR($C25=55,$G25=55),0,1)</f>
        <v/>
      </c>
      <c r="FE26">
        <f>FE25*IF(OR($C25=56,$G25=56),0,1)</f>
        <v/>
      </c>
      <c r="FF26">
        <f>FF25*IF(OR($C25=57,$G25=57),0,1)</f>
        <v/>
      </c>
      <c r="FG26">
        <f>FG25*IF(OR($C25=58,$G25=58),0,1)</f>
        <v/>
      </c>
      <c r="FH26">
        <f>FH25*IF(OR($C25=59,$G25=59),0,1)</f>
        <v/>
      </c>
      <c r="FI26">
        <f>FI25*IF(OR($C25=60,$G25=60),0,1)</f>
        <v/>
      </c>
      <c r="FJ26">
        <f>FJ25*IF(OR($C25=61,$G25=61),0,1)</f>
        <v/>
      </c>
      <c r="FK26">
        <f>FK25*IF(OR($C25=62,$G25=62),0,1)</f>
        <v/>
      </c>
      <c r="FL26">
        <f>FL25*IF(OR($C25=63,$G25=63),0,1)</f>
        <v/>
      </c>
      <c r="FM26">
        <f>FM25*IF(OR($C25=64,$G25=64),0,1)</f>
        <v/>
      </c>
      <c r="FN26">
        <f>FN25*IF(OR($C25=65,$G25=65),0,1)</f>
        <v/>
      </c>
      <c r="FO26">
        <f>FO25*IF(OR($C25=66,$G25=66),0,1)</f>
        <v/>
      </c>
      <c r="FP26">
        <f>FP25*IF(OR($C25=67,$G25=67),0,1)</f>
        <v/>
      </c>
      <c r="FQ26">
        <f>FQ25*IF(OR($C25=68,$G25=68),0,1)</f>
        <v/>
      </c>
      <c r="FR26">
        <f>FR25*IF(OR($C25=69,$G25=69),0,1)</f>
        <v/>
      </c>
      <c r="FS26">
        <f>FS25*IF(OR($C25=70,$G25=70),0,1)</f>
        <v/>
      </c>
      <c r="FT26">
        <f>FT25*IF(OR($C25=71,$G25=71),0,1)</f>
        <v/>
      </c>
      <c r="FU26">
        <f>FU25*IF(OR($C25=72,$G25=72),0,1)</f>
        <v/>
      </c>
      <c r="FV26">
        <f>FV25*IF(OR($C25=73,$G25=73),0,1)</f>
        <v/>
      </c>
      <c r="FW26">
        <f>FW25*IF(OR($C25=74,$G25=74),0,1)</f>
        <v/>
      </c>
      <c r="FX26">
        <f>FX25*IF(OR($C25=75,$G25=75),0,1)</f>
        <v/>
      </c>
      <c r="FY26">
        <f>FY25*IF(OR($C25=76,$G25=76),0,1)</f>
        <v/>
      </c>
      <c r="FZ26">
        <f>FZ25*IF(OR($C25=77,$G25=77),0,1)</f>
        <v/>
      </c>
      <c r="GA26">
        <f>GA25*IF(OR($C25=78,$G25=78),0,1)</f>
        <v/>
      </c>
      <c r="GB26">
        <f>GB25*IF(OR($C25=79,$G25=79),0,1)</f>
        <v/>
      </c>
      <c r="GC26">
        <f>GC25*IF(OR($C25=80,$G25=80),0,1)</f>
        <v/>
      </c>
      <c r="GD26">
        <f>GD25*IF(OR($C25=81,$G25=81),0,1)</f>
        <v/>
      </c>
      <c r="GE26">
        <f>GE25*IF(OR($C25=82,$G25=82),0,1)</f>
        <v/>
      </c>
      <c r="GF26">
        <f>GF25*IF(OR($C25=83,$G25=83),0,1)</f>
        <v/>
      </c>
      <c r="GG26">
        <f>GG25*IF(OR($C25=84,$G25=84),0,1)</f>
        <v/>
      </c>
      <c r="GH26">
        <f>GH25*IF(OR($C25=85,$G25=85),0,1)</f>
        <v/>
      </c>
      <c r="GI26">
        <f>GI25*IF(OR($C25=86,$G25=86),0,1)</f>
        <v/>
      </c>
      <c r="GJ26">
        <f>GJ25*IF(OR($C25=87,$G25=87),0,1)</f>
        <v/>
      </c>
      <c r="GK26">
        <f>GK25*IF(OR($C25=88,$G25=88),0,1)</f>
        <v/>
      </c>
      <c r="GL26">
        <f>GL25*IF(OR($C25=89,$G25=89),0,1)</f>
        <v/>
      </c>
      <c r="GM26">
        <f>GM25*IF(OR($C25=90,$G25=90),0,1)</f>
        <v/>
      </c>
      <c r="GN26">
        <f>GN25*IF(OR($C25=91,$G25=91),0,1)</f>
        <v/>
      </c>
      <c r="GO26">
        <f>GO25*IF(OR($C25=92,$G25=92),0,1)</f>
        <v/>
      </c>
      <c r="GP26">
        <f>GP25*IF(OR($C25=93,$G25=93),0,1)</f>
        <v/>
      </c>
      <c r="GQ26">
        <f>GQ25*IF(OR($C25=94,$G25=94),0,1)</f>
        <v/>
      </c>
      <c r="GR26">
        <f>GR25*IF(OR($C25=95,$G25=95),0,1)</f>
        <v/>
      </c>
      <c r="GS26">
        <f>GS25*IF(OR($C25=96,$G25=96),0,1)</f>
        <v/>
      </c>
      <c r="GT26">
        <f>GT25*IF(OR($C25=97,$G25=97),0,1)</f>
        <v/>
      </c>
      <c r="GU26">
        <f>GU25*IF(OR($C25=98,$G25=98),0,1)</f>
        <v/>
      </c>
      <c r="GV26">
        <f>GV25*IF(OR($C25=99,$G25=99),0,1)</f>
        <v/>
      </c>
      <c r="GW26">
        <f>GW25*IF(OR($C25=100,$G25=100),0,1)</f>
        <v/>
      </c>
      <c r="GX26">
        <f>GX25*IF(OR($C25=101,$G25=101),0,1)</f>
        <v/>
      </c>
      <c r="GY26">
        <f>GY25*IF(OR($C25=102,$G25=102),0,1)</f>
        <v/>
      </c>
      <c r="GZ26">
        <f>GZ25*IF(OR($C25=103,$G25=103),0,1)</f>
        <v/>
      </c>
      <c r="HA26">
        <f>HA25*IF(OR($C25=104,$G25=104),0,1)</f>
        <v/>
      </c>
      <c r="HB26">
        <f>HB25*IF(OR($C25=105,$G25=105),0,1)</f>
        <v/>
      </c>
      <c r="HC26">
        <f>HC25*IF(OR($C25=106,$G25=106),0,1)</f>
        <v/>
      </c>
      <c r="HD26">
        <f>HD25*IF(OR($C25=107,$G25=107),0,1)</f>
        <v/>
      </c>
      <c r="HE26">
        <f>HE25*IF(OR($C25=108,$G25=108),0,1)</f>
        <v/>
      </c>
      <c r="HF26">
        <f>HF25*IF(OR($C25=109,$G25=109),0,1)</f>
        <v/>
      </c>
      <c r="HG26">
        <f>HG25*IF(OR($C25=110,$G25=110),0,1)</f>
        <v/>
      </c>
      <c r="HH26">
        <f>HH25*IF(OR($C25=111,$G25=111),0,1)</f>
        <v/>
      </c>
      <c r="HI26">
        <f>HI25*IF(OR($C25=112,$G25=112),0,1)</f>
        <v/>
      </c>
      <c r="HJ26">
        <f>HJ25*IF(OR($C25=113,$G25=113),0,1)</f>
        <v/>
      </c>
      <c r="HK26">
        <f>HK25*IF(OR($C25=114,$G25=114),0,1)</f>
        <v/>
      </c>
      <c r="HL26">
        <f>HL25*IF(OR($C25=115,$G25=115),0,1)</f>
        <v/>
      </c>
      <c r="HM26">
        <f>HM25*IF(OR($C25=116,$G25=116),0,1)</f>
        <v/>
      </c>
      <c r="HN26">
        <f>HN25*IF(OR($C25=117,$G25=117),0,1)</f>
        <v/>
      </c>
      <c r="HO26">
        <f>HO25*IF(OR($C25=118,$G25=118),0,1)</f>
        <v/>
      </c>
      <c r="HP26">
        <f>HP25*IF(OR($C25=119,$G25=119),0,1)</f>
        <v/>
      </c>
      <c r="HQ26">
        <f>HQ25*IF(OR($C25=120,$G25=120),0,1)</f>
        <v/>
      </c>
      <c r="HR26">
        <f>HR25*IF(OR($C25=121,$G25=121),0,1)</f>
        <v/>
      </c>
      <c r="HS26">
        <f>HS25*IF(OR($C25=122,$G25=122),0,1)</f>
        <v/>
      </c>
      <c r="HT26">
        <f>HT25*IF(OR($C25=123,$G25=123),0,1)</f>
        <v/>
      </c>
      <c r="HU26">
        <f>HU25*IF(OR($C25=124,$G25=124),0,1)</f>
        <v/>
      </c>
      <c r="HV26">
        <f>HV25*IF(OR($C25=125,$G25=125),0,1)</f>
        <v/>
      </c>
      <c r="HW26">
        <f>HW25*IF(OR($C25=126,$G25=126),0,1)</f>
        <v/>
      </c>
      <c r="HX26">
        <f>HX25*IF(OR($C25=127,$G25=127),0,1)</f>
        <v/>
      </c>
      <c r="HY26">
        <f>HY25*IF(OR($C25=128,$G25=128),0,1)</f>
        <v/>
      </c>
      <c r="HZ26">
        <f>HZ25*IF(OR($C25=129,$G25=129),0,1)</f>
        <v/>
      </c>
      <c r="IA26">
        <f>IA25*IF(OR($C25=130,$G25=130),0,1)</f>
        <v/>
      </c>
      <c r="IB26">
        <f>IB25*IF(OR($C25=131,$G25=131),0,1)</f>
        <v/>
      </c>
      <c r="IC26">
        <f>IC25*IF(OR($C25=132,$G25=132),0,1)</f>
        <v/>
      </c>
      <c r="ID26">
        <f>ID25*IF(OR($C25=133,$G25=133),0,1)</f>
        <v/>
      </c>
      <c r="IE26">
        <f>IE25*IF(OR($C25=134,$G25=134),0,1)</f>
        <v/>
      </c>
      <c r="IF26">
        <f>IF25*IF(OR($C25=135,$G25=135),0,1)</f>
        <v/>
      </c>
      <c r="IG26">
        <f>IG25*IF(OR($C25=136,$G25=136),0,1)</f>
        <v/>
      </c>
      <c r="IH26">
        <f>IH25*IF(OR($C25=137,$G25=137),0,1)</f>
        <v/>
      </c>
      <c r="II26">
        <f>II25*IF(OR($C25=138,$G25=138),0,1)</f>
        <v/>
      </c>
      <c r="IJ26">
        <f>IJ25*IF(OR($C25=139,$G25=139),0,1)</f>
        <v/>
      </c>
      <c r="IK26">
        <f>IK25*IF(OR($C25=140,$G25=140),0,1)</f>
        <v/>
      </c>
      <c r="IL26">
        <f>IL25*IF(OR($C25=141,$G25=141),0,1)</f>
        <v/>
      </c>
      <c r="IM26">
        <f>IM25*IF(OR($C25=142,$G25=142),0,1)</f>
        <v/>
      </c>
      <c r="IN26">
        <f>IN25*IF(OR($C25=143,$G25=143),0,1)</f>
        <v/>
      </c>
      <c r="IO26">
        <f>IO25*IF(OR($C25=144,$G25=144),0,1)</f>
        <v/>
      </c>
      <c r="IQ26">
        <f>IF('calcA'!D$106=1,DC26,1)</f>
        <v/>
      </c>
      <c r="IR26">
        <f>IF('calcA'!E$106=1,DD26,1)</f>
        <v/>
      </c>
      <c r="IS26">
        <f>IF('calcA'!F$106=1,DE26,1)</f>
        <v/>
      </c>
      <c r="IT26">
        <f>IF('calcA'!G$106=1,DF26,1)</f>
        <v/>
      </c>
      <c r="IU26">
        <f>IF('calcA'!H$106=1,DG26,1)</f>
        <v/>
      </c>
      <c r="IV26">
        <f>IF('calcA'!I$106=1,DH26,1)</f>
        <v/>
      </c>
      <c r="IW26">
        <f>IF('calcA'!J$106=1,DI26,1)</f>
        <v/>
      </c>
      <c r="IX26">
        <f>IF('calcA'!K$106=1,DJ26,1)</f>
        <v/>
      </c>
      <c r="IY26">
        <f>IF('calcA'!L$106=1,DK26,1)</f>
        <v/>
      </c>
      <c r="IZ26">
        <f>IF('calcA'!M$106=1,DL26,1)</f>
        <v/>
      </c>
      <c r="JA26">
        <f>IF('calcA'!N$106=1,DM26,1)</f>
        <v/>
      </c>
      <c r="JB26">
        <f>IF('calcA'!O$106=1,DN26,1)</f>
        <v/>
      </c>
      <c r="JC26">
        <f>IF('calcA'!P$106=1,DO26,1)</f>
        <v/>
      </c>
      <c r="JD26">
        <f>IF('calcA'!Q$106=1,DP26,1)</f>
        <v/>
      </c>
      <c r="JE26">
        <f>IF('calcA'!R$106=1,DQ26,1)</f>
        <v/>
      </c>
      <c r="JF26">
        <f>IF('calcA'!S$106=1,DR26,1)</f>
        <v/>
      </c>
      <c r="JG26">
        <f>IF('calcA'!T$106=1,DS26,1)</f>
        <v/>
      </c>
      <c r="JH26">
        <f>IF('calcA'!U$106=1,DT26,1)</f>
        <v/>
      </c>
      <c r="JI26">
        <f>IF('calcA'!V$106=1,DU26,1)</f>
        <v/>
      </c>
      <c r="JJ26">
        <f>IF('calcA'!W$106=1,DV26,1)</f>
        <v/>
      </c>
      <c r="JK26">
        <f>IF('calcA'!X$106=1,DW26,1)</f>
        <v/>
      </c>
      <c r="JL26">
        <f>IF('calcA'!Y$106=1,DX26,1)</f>
        <v/>
      </c>
      <c r="JM26">
        <f>IF('calcA'!Z$106=1,DY26,1)</f>
        <v/>
      </c>
      <c r="JN26">
        <f>IF('calcA'!AA$106=1,DZ26,1)</f>
        <v/>
      </c>
      <c r="JO26">
        <f>IF('calcA'!AB$106=1,EA26,1)</f>
        <v/>
      </c>
      <c r="JP26">
        <f>IF('calcA'!AC$106=1,EB26,1)</f>
        <v/>
      </c>
      <c r="JQ26">
        <f>IF('calcA'!AD$106=1,EC26,1)</f>
        <v/>
      </c>
      <c r="JR26">
        <f>IF('calcA'!AE$106=1,ED26,1)</f>
        <v/>
      </c>
      <c r="JS26">
        <f>IF('calcA'!AF$106=1,EE26,1)</f>
        <v/>
      </c>
      <c r="JT26">
        <f>IF('calcA'!AG$106=1,EF26,1)</f>
        <v/>
      </c>
      <c r="JU26">
        <f>IF('calcA'!AH$106=1,EG26,1)</f>
        <v/>
      </c>
      <c r="JV26">
        <f>IF('calcA'!AI$106=1,EH26,1)</f>
        <v/>
      </c>
      <c r="JW26">
        <f>IF('calcA'!AJ$106=1,EI26,1)</f>
        <v/>
      </c>
      <c r="JX26">
        <f>IF('calcA'!AK$106=1,EJ26,1)</f>
        <v/>
      </c>
      <c r="JY26">
        <f>IF('calcA'!AL$106=1,EK26,1)</f>
        <v/>
      </c>
      <c r="JZ26">
        <f>IF('calcA'!AM$106=1,EL26,1)</f>
        <v/>
      </c>
      <c r="KA26">
        <f>IF('calcA'!AN$106=1,EM26,1)</f>
        <v/>
      </c>
      <c r="KB26">
        <f>IF('calcA'!AO$106=1,EN26,1)</f>
        <v/>
      </c>
      <c r="KC26">
        <f>IF('calcA'!AP$106=1,EO26,1)</f>
        <v/>
      </c>
      <c r="KD26">
        <f>IF('calcA'!AQ$106=1,EP26,1)</f>
        <v/>
      </c>
      <c r="KE26">
        <f>IF('calcA'!AR$106=1,EQ26,1)</f>
        <v/>
      </c>
      <c r="KF26">
        <f>IF('calcA'!AS$106=1,ER26,1)</f>
        <v/>
      </c>
      <c r="KG26">
        <f>IF('calcA'!AT$106=1,ES26,1)</f>
        <v/>
      </c>
      <c r="KH26">
        <f>IF('calcA'!AU$106=1,ET26,1)</f>
        <v/>
      </c>
      <c r="KI26">
        <f>IF('calcA'!AV$106=1,EU26,1)</f>
        <v/>
      </c>
      <c r="KJ26">
        <f>IF('calcA'!AW$106=1,EV26,1)</f>
        <v/>
      </c>
      <c r="KK26">
        <f>IF('calcA'!AX$106=1,EW26,1)</f>
        <v/>
      </c>
      <c r="KL26">
        <f>IF('calcA'!AY$106=1,EX26,1)</f>
        <v/>
      </c>
      <c r="KM26">
        <f>IF('calcA'!AZ$106=1,EY26,1)</f>
        <v/>
      </c>
      <c r="KN26">
        <f>IF('calcA'!BA$106=1,EZ26,1)</f>
        <v/>
      </c>
      <c r="KO26">
        <f>IF('calcA'!BB$106=1,FA26,1)</f>
        <v/>
      </c>
      <c r="KP26">
        <f>IF('calcA'!BC$106=1,FB26,1)</f>
        <v/>
      </c>
      <c r="KQ26">
        <f>IF('calcA'!BD$106=1,FC26,1)</f>
        <v/>
      </c>
      <c r="KR26">
        <f>IF('calcA'!BE$106=1,FD26,1)</f>
        <v/>
      </c>
      <c r="KS26">
        <f>IF('calcA'!BF$106=1,FE26,1)</f>
        <v/>
      </c>
      <c r="KT26">
        <f>IF('calcA'!BG$106=1,FF26,1)</f>
        <v/>
      </c>
      <c r="KU26">
        <f>IF('calcA'!BH$106=1,FG26,1)</f>
        <v/>
      </c>
      <c r="KV26">
        <f>IF('calcA'!BI$106=1,FH26,1)</f>
        <v/>
      </c>
      <c r="KW26">
        <f>IF('calcA'!BJ$106=1,FI26,1)</f>
        <v/>
      </c>
      <c r="KX26">
        <f>IF('calcA'!BK$106=1,FJ26,1)</f>
        <v/>
      </c>
      <c r="KY26">
        <f>IF('calcA'!BL$106=1,FK26,1)</f>
        <v/>
      </c>
      <c r="KZ26">
        <f>IF('calcA'!BM$106=1,FL26,1)</f>
        <v/>
      </c>
      <c r="LA26">
        <f>IF('calcA'!BN$106=1,FM26,1)</f>
        <v/>
      </c>
      <c r="LB26">
        <f>IF('calcA'!BO$106=1,FN26,1)</f>
        <v/>
      </c>
      <c r="LC26">
        <f>IF('calcA'!BP$106=1,FO26,1)</f>
        <v/>
      </c>
      <c r="LD26">
        <f>IF('calcA'!BQ$106=1,FP26,1)</f>
        <v/>
      </c>
      <c r="LE26">
        <f>IF('calcA'!BR$106=1,FQ26,1)</f>
        <v/>
      </c>
      <c r="LF26">
        <f>IF('calcA'!BS$106=1,FR26,1)</f>
        <v/>
      </c>
      <c r="LG26">
        <f>IF('calcA'!BT$106=1,FS26,1)</f>
        <v/>
      </c>
      <c r="LH26">
        <f>IF('calcA'!BU$106=1,FT26,1)</f>
        <v/>
      </c>
      <c r="LI26">
        <f>IF('calcA'!BV$106=1,FU26,1)</f>
        <v/>
      </c>
      <c r="LJ26">
        <f>IF('calcA'!BW$106=1,FV26,1)</f>
        <v/>
      </c>
      <c r="LK26">
        <f>IF('calcA'!BX$106=1,FW26,1)</f>
        <v/>
      </c>
      <c r="LL26">
        <f>IF('calcA'!BY$106=1,FX26,1)</f>
        <v/>
      </c>
      <c r="LM26">
        <f>IF('calcA'!BZ$106=1,FY26,1)</f>
        <v/>
      </c>
      <c r="LN26">
        <f>IF('calcA'!CA$106=1,FZ26,1)</f>
        <v/>
      </c>
      <c r="LO26">
        <f>IF('calcA'!CB$106=1,GA26,1)</f>
        <v/>
      </c>
      <c r="LP26">
        <f>IF('calcA'!CC$106=1,GB26,1)</f>
        <v/>
      </c>
      <c r="LQ26">
        <f>IF('calcA'!CD$106=1,GC26,1)</f>
        <v/>
      </c>
      <c r="LR26">
        <f>IF('calcA'!CE$106=1,GD26,1)</f>
        <v/>
      </c>
      <c r="LS26">
        <f>IF('calcA'!CF$106=1,GE26,1)</f>
        <v/>
      </c>
      <c r="LT26">
        <f>IF('calcA'!CG$106=1,GF26,1)</f>
        <v/>
      </c>
      <c r="LU26">
        <f>IF('calcA'!CH$106=1,GG26,1)</f>
        <v/>
      </c>
      <c r="LV26">
        <f>IF('calcA'!CI$106=1,GH26,1)</f>
        <v/>
      </c>
      <c r="LW26">
        <f>IF('calcA'!CJ$106=1,GI26,1)</f>
        <v/>
      </c>
      <c r="LX26">
        <f>IF('calcA'!CK$106=1,GJ26,1)</f>
        <v/>
      </c>
      <c r="LY26">
        <f>IF('calcA'!CL$106=1,GK26,1)</f>
        <v/>
      </c>
      <c r="LZ26">
        <f>IF('calcA'!CM$106=1,GL26,1)</f>
        <v/>
      </c>
      <c r="MA26">
        <f>IF('calcA'!CN$106=1,GM26,1)</f>
        <v/>
      </c>
      <c r="MB26">
        <f>IF('calcA'!CO$106=1,GN26,1)</f>
        <v/>
      </c>
      <c r="MC26">
        <f>IF('calcA'!CP$106=1,GO26,1)</f>
        <v/>
      </c>
      <c r="MD26">
        <f>IF('calcA'!CQ$106=1,GP26,1)</f>
        <v/>
      </c>
      <c r="ME26">
        <f>IF('calcA'!CR$106=1,GQ26,1)</f>
        <v/>
      </c>
      <c r="MF26">
        <f>IF('calcA'!CS$106=1,GR26,1)</f>
        <v/>
      </c>
      <c r="MG26">
        <f>IF('calcA'!CT$106=1,GS26,1)</f>
        <v/>
      </c>
      <c r="MH26">
        <f>IF('calcA'!CU$106=1,GT26,1)</f>
        <v/>
      </c>
      <c r="MI26">
        <f>IF('calcA'!CV$106=1,GU26,1)</f>
        <v/>
      </c>
      <c r="MJ26">
        <f>IF('calcA'!CW$106=1,GV26,1)</f>
        <v/>
      </c>
      <c r="MK26">
        <f>IF('calcA'!CX$106=1,GW26,1)</f>
        <v/>
      </c>
      <c r="ML26">
        <f>IF('calcA'!CY$106=1,GX26,1)</f>
        <v/>
      </c>
      <c r="MM26">
        <f>IF('calcA'!CZ$106=1,GY26,1)</f>
        <v/>
      </c>
      <c r="MN26">
        <f>IF('calcA'!DA$106=1,GZ26,1)</f>
        <v/>
      </c>
      <c r="MO26">
        <f>IF('calcA'!DB$106=1,HA26,1)</f>
        <v/>
      </c>
      <c r="MP26">
        <f>IF('calcA'!DC$106=1,HB26,1)</f>
        <v/>
      </c>
      <c r="MQ26">
        <f>IF('calcA'!DD$106=1,HC26,1)</f>
        <v/>
      </c>
      <c r="MR26">
        <f>IF('calcA'!DE$106=1,HD26,1)</f>
        <v/>
      </c>
      <c r="MS26">
        <f>IF('calcA'!DF$106=1,HE26,1)</f>
        <v/>
      </c>
      <c r="MT26">
        <f>IF('calcA'!DG$106=1,HF26,1)</f>
        <v/>
      </c>
      <c r="MU26">
        <f>IF('calcA'!DH$106=1,HG26,1)</f>
        <v/>
      </c>
      <c r="MV26">
        <f>IF('calcA'!DI$106=1,HH26,1)</f>
        <v/>
      </c>
      <c r="MW26">
        <f>IF('calcA'!DJ$106=1,HI26,1)</f>
        <v/>
      </c>
      <c r="MX26">
        <f>IF('calcA'!DK$106=1,HJ26,1)</f>
        <v/>
      </c>
      <c r="MY26">
        <f>IF('calcA'!DL$106=1,HK26,1)</f>
        <v/>
      </c>
      <c r="MZ26">
        <f>IF('calcA'!DM$106=1,HL26,1)</f>
        <v/>
      </c>
      <c r="NA26">
        <f>IF('calcA'!DN$106=1,HM26,1)</f>
        <v/>
      </c>
      <c r="NB26">
        <f>IF('calcA'!DO$106=1,HN26,1)</f>
        <v/>
      </c>
      <c r="NC26">
        <f>IF('calcA'!DP$106=1,HO26,1)</f>
        <v/>
      </c>
      <c r="ND26">
        <f>IF('calcA'!DQ$106=1,HP26,1)</f>
        <v/>
      </c>
      <c r="NE26">
        <f>IF('calcA'!DR$106=1,HQ26,1)</f>
        <v/>
      </c>
      <c r="NF26">
        <f>IF('calcA'!DS$106=1,HR26,1)</f>
        <v/>
      </c>
      <c r="NG26">
        <f>IF('calcA'!DT$106=1,HS26,1)</f>
        <v/>
      </c>
      <c r="NH26">
        <f>IF('calcA'!DU$106=1,HT26,1)</f>
        <v/>
      </c>
      <c r="NI26">
        <f>IF('calcA'!DV$106=1,HU26,1)</f>
        <v/>
      </c>
      <c r="NJ26">
        <f>IF('calcA'!DW$106=1,HV26,1)</f>
        <v/>
      </c>
      <c r="NK26">
        <f>IF('calcA'!DX$106=1,HW26,1)</f>
        <v/>
      </c>
      <c r="NL26">
        <f>IF('calcA'!DY$106=1,HX26,1)</f>
        <v/>
      </c>
      <c r="NM26">
        <f>IF('calcA'!DZ$106=1,HY26,1)</f>
        <v/>
      </c>
      <c r="NN26">
        <f>IF('calcA'!EA$106=1,HZ26,1)</f>
        <v/>
      </c>
      <c r="NO26">
        <f>IF('calcA'!EB$106=1,IA26,1)</f>
        <v/>
      </c>
      <c r="NP26">
        <f>IF('calcA'!EC$106=1,IB26,1)</f>
        <v/>
      </c>
      <c r="NQ26">
        <f>IF('calcA'!ED$106=1,IC26,1)</f>
        <v/>
      </c>
      <c r="NR26">
        <f>IF('calcA'!EE$106=1,ID26,1)</f>
        <v/>
      </c>
      <c r="NS26">
        <f>IF('calcA'!EF$106=1,IE26,1)</f>
        <v/>
      </c>
      <c r="NT26">
        <f>IF('calcA'!EG$106=1,IF26,1)</f>
        <v/>
      </c>
      <c r="NU26">
        <f>IF('calcA'!EH$106=1,IG26,1)</f>
        <v/>
      </c>
      <c r="NV26">
        <f>IF('calcA'!EI$106=1,IH26,1)</f>
        <v/>
      </c>
      <c r="NW26">
        <f>IF('calcA'!EJ$106=1,II26,1)</f>
        <v/>
      </c>
      <c r="NX26">
        <f>IF('calcA'!EK$106=1,IJ26,1)</f>
        <v/>
      </c>
      <c r="NY26">
        <f>IF('calcA'!EL$106=1,IK26,1)</f>
        <v/>
      </c>
      <c r="NZ26">
        <f>IF('calcA'!EM$106=1,IL26,1)</f>
        <v/>
      </c>
      <c r="OA26">
        <f>IF('calcA'!EN$106=1,IM26,1)</f>
        <v/>
      </c>
      <c r="OB26">
        <f>IF('calcA'!EO$106=1,IN26,1)</f>
        <v/>
      </c>
      <c r="OC26">
        <f>IF('calcA'!EP$106=1,IO26,1)</f>
        <v/>
      </c>
      <c r="OD26" t="n">
        <v>1</v>
      </c>
      <c r="OF26">
        <f>IF($B26=0,1000000000,IF(INDEX('calcA'!$D$60:$EQ$99,$B26,1)*IF($W26=1,DB26+ZQ26,DB26)=1,IF(AND($E26=2,IF($W26=1,AFF26,IQ26)=0),1000000000,IF($V26=1,INDEX('calcA'!$D$130:$EQ$169,$B26,1)+IF(AND($E26=1,IQ26=0),25,0),IF($F26&gt;0,INDEX('calcA'!D$110:D$114,$F26+1)+IF(AND($E26=1,IQ26=0),1000,0),MIN(TU26,20)*400+(IF('calcA'!D$106=1,1-DC26,0))*150+11+'calcA'!D$5*100000+IF(AND($E26=1,IQ26=0),50000,0))+IF($H26=1,INDEX('calcA'!$D$180:$EQ$219,$B26,1)*4000,0)-IF(AND($U26=1,'calcA'!D$117=1,DC26=0),2000,0))),1000000000))</f>
        <v/>
      </c>
      <c r="OG26">
        <f>IF($B26=0,1000000000,IF(INDEX('calcA'!$D$60:$EQ$99,$B26,2)*IF($W26=1,DC26+ZR26,DC26)=1,IF(AND($E26=2,IF($W26=1,AFG26,IR26)=0),1000000000,IF($V26=1,INDEX('calcA'!$D$130:$EQ$169,$B26,2)+IF(AND($E26=1,IR26=0),25,0),IF($F26&gt;0,INDEX('calcA'!E$110:E$114,$F26+1)+IF(AND($E26=1,IR26=0),1000,0),MIN(TU26,20)*400+(IF('calcA'!D$106=1,1-DB26,0)+IF('calcA'!E$106=1,1-DD26,0))*150+21+'calcA'!E$5*100000+IF(AND($E26=1,IR26=0),50000,0))+IF($H26=1,INDEX('calcA'!$D$180:$EQ$219,$B26,2)*4000,0)-IF(AND('calcA'!D$117=1,UB26&gt;0),2000,0)-IF(AND($U26=1,'calcA'!E$117=1,DD26=0),2000,0))),1000000000))</f>
        <v/>
      </c>
      <c r="OH26">
        <f>IF($B26=0,1000000000,IF(INDEX('calcA'!$D$60:$EQ$99,$B26,3)*IF($W26=1,DD26+ZS26,DD26)=1,IF(AND($E26=2,IF($W26=1,AFH26,IS26)=0),1000000000,IF($V26=1,INDEX('calcA'!$D$130:$EQ$169,$B26,3)+IF(AND($E26=1,IS26=0),25,0),IF($F26&gt;0,INDEX('calcA'!F$110:F$114,$F26+1)+IF(AND($E26=1,IS26=0),1000,0),MIN(TU26,20)*400+(IF('calcA'!E$106=1,1-DC26,0)+IF('calcA'!F$106=1,1-DE26,0))*150+31+'calcA'!F$5*100000+IF(AND($E26=1,IS26=0),50000,0))+IF($H26=1,INDEX('calcA'!$D$180:$EQ$219,$B26,3)*4000,0)-IF(AND('calcA'!E$117=1,UC26&gt;0),2000,0)-IF(AND($U26=1,'calcA'!F$117=1,DE26=0),2000,0))),1000000000))</f>
        <v/>
      </c>
      <c r="OI26">
        <f>IF($B26=0,1000000000,IF(INDEX('calcA'!$D$60:$EQ$99,$B26,4)*IF($W26=1,DE26+ZT26,DE26)=1,IF(AND($E26=2,IF($W26=1,AFI26,IT26)=0),1000000000,IF($V26=1,INDEX('calcA'!$D$130:$EQ$169,$B26,4)+IF(AND($E26=1,IT26=0),25,0),IF($F26&gt;0,INDEX('calcA'!G$110:G$114,$F26+1)+IF(AND($E26=1,IT26=0),1000,0),MIN(TU26,20)*400+(IF('calcA'!F$106=1,1-DD26,0)+IF('calcA'!G$106=1,1-DF26,0))*150+41+'calcA'!G$5*100000+IF(AND($E26=1,IT26=0),50000,0))+IF($H26=1,INDEX('calcA'!$D$180:$EQ$219,$B26,4)*4000,0)-IF(AND('calcA'!F$117=1,UD26&gt;0),2000,0)-IF(AND($U26=1,'calcA'!G$117=1,DF26=0),2000,0))),1000000000))</f>
        <v/>
      </c>
      <c r="OJ26">
        <f>IF($B26=0,1000000000,IF(INDEX('calcA'!$D$60:$EQ$99,$B26,5)*IF($W26=1,DF26+ZU26,DF26)=1,IF(AND($E26=2,IF($W26=1,AFJ26,IU26)=0),1000000000,IF($V26=1,INDEX('calcA'!$D$130:$EQ$169,$B26,5)+IF(AND($E26=1,IU26=0),25,0),IF($F26&gt;0,INDEX('calcA'!H$110:H$114,$F26+1)+IF(AND($E26=1,IU26=0),1000,0),MIN(TU26,20)*400+(IF('calcA'!G$106=1,1-DE26,0)+IF('calcA'!H$106=1,1-DG26,0))*150+51+'calcA'!H$5*100000+IF(AND($E26=1,IU26=0),50000,0))+IF($H26=1,INDEX('calcA'!$D$180:$EQ$219,$B26,5)*4000,0)-IF(AND('calcA'!G$117=1,UE26&gt;0),2000,0)-IF(AND($U26=1,'calcA'!H$117=1,DG26=0),2000,0))),1000000000))</f>
        <v/>
      </c>
      <c r="OK26">
        <f>IF($B26=0,1000000000,IF(INDEX('calcA'!$D$60:$EQ$99,$B26,6)*IF($W26=1,DG26+ZV26,DG26)=1,IF(AND($E26=2,IF($W26=1,AFK26,IV26)=0),1000000000,IF($V26=1,INDEX('calcA'!$D$130:$EQ$169,$B26,6)+IF(AND($E26=1,IV26=0),25,0),IF($F26&gt;0,INDEX('calcA'!I$110:I$114,$F26+1)+IF(AND($E26=1,IV26=0),1000,0),MIN(TU26,20)*400+(IF('calcA'!H$106=1,1-DF26,0)+IF('calcA'!I$106=1,1-DH26,0))*150+61+'calcA'!I$5*100000+IF(AND($E26=1,IV26=0),50000,0))+IF($H26=1,INDEX('calcA'!$D$180:$EQ$219,$B26,6)*4000,0)-IF(AND('calcA'!H$117=1,UF26&gt;0),2000,0)-IF(AND($U26=1,'calcA'!I$117=1,DH26=0),2000,0))),1000000000))</f>
        <v/>
      </c>
      <c r="OL26">
        <f>IF($B26=0,1000000000,IF(INDEX('calcA'!$D$60:$EQ$99,$B26,7)*IF($W26=1,DH26+ZW26,DH26)=1,IF(AND($E26=2,IF($W26=1,AFL26,IW26)=0),1000000000,IF($V26=1,INDEX('calcA'!$D$130:$EQ$169,$B26,7)+IF(AND($E26=1,IW26=0),25,0),IF($F26&gt;0,INDEX('calcA'!J$110:J$114,$F26+1)+IF(AND($E26=1,IW26=0),1000,0),MIN(TU26,20)*400+(IF('calcA'!I$106=1,1-DG26,0)+IF('calcA'!J$106=1,1-DI26,0))*150+71+'calcA'!J$5*100000+IF(AND($E26=1,IW26=0),50000,0))+IF($H26=1,INDEX('calcA'!$D$180:$EQ$219,$B26,7)*4000,0)-IF(AND('calcA'!I$117=1,UG26&gt;0),2000,0)-IF(AND($U26=1,'calcA'!J$117=1,DI26=0),2000,0))),1000000000))</f>
        <v/>
      </c>
      <c r="OM26">
        <f>IF($B26=0,1000000000,IF(INDEX('calcA'!$D$60:$EQ$99,$B26,8)*IF($W26=1,DI26+ZX26,DI26)=1,IF(AND($E26=2,IF($W26=1,AFM26,IX26)=0),1000000000,IF($V26=1,INDEX('calcA'!$D$130:$EQ$169,$B26,8)+IF(AND($E26=1,IX26=0),25,0),IF($F26&gt;0,INDEX('calcA'!K$110:K$114,$F26+1)+IF(AND($E26=1,IX26=0),1000,0),MIN(TU26,20)*400+(IF('calcA'!J$106=1,1-DH26,0)+IF('calcA'!K$106=1,1-DJ26,0))*150+81+'calcA'!K$5*100000+IF(AND($E26=1,IX26=0),50000,0))+IF($H26=1,INDEX('calcA'!$D$180:$EQ$219,$B26,8)*4000,0)-IF(AND('calcA'!J$117=1,UH26&gt;0),2000,0)-IF(AND($U26=1,'calcA'!K$117=1,DJ26=0),2000,0))),1000000000))</f>
        <v/>
      </c>
      <c r="ON26">
        <f>IF($B26=0,1000000000,IF(INDEX('calcA'!$D$60:$EQ$99,$B26,9)*IF($W26=1,DJ26+ZY26,DJ26)=1,IF(AND($E26=2,IF($W26=1,AFN26,IY26)=0),1000000000,IF($V26=1,INDEX('calcA'!$D$130:$EQ$169,$B26,9)+IF(AND($E26=1,IY26=0),25,0),IF($F26&gt;0,INDEX('calcA'!L$110:L$114,$F26+1)+IF(AND($E26=1,IY26=0),1000,0),MIN(TU26,20)*400+(IF('calcA'!K$106=1,1-DI26,0)+IF('calcA'!L$106=1,1-DK26,0))*150+91+'calcA'!L$5*100000+IF(AND($E26=1,IY26=0),50000,0))+IF($H26=1,INDEX('calcA'!$D$180:$EQ$219,$B26,9)*4000,0)-IF(AND('calcA'!K$117=1,UI26&gt;0),2000,0)-IF(AND($U26=1,'calcA'!L$117=1,DK26=0),2000,0))),1000000000))</f>
        <v/>
      </c>
      <c r="OO26">
        <f>IF($B26=0,1000000000,IF(INDEX('calcA'!$D$60:$EQ$99,$B26,10)*IF($W26=1,DK26+ZZ26,DK26)=1,IF(AND($E26=2,IF($W26=1,AFO26,IZ26)=0),1000000000,IF($V26=1,INDEX('calcA'!$D$130:$EQ$169,$B26,10)+IF(AND($E26=1,IZ26=0),25,0),IF($F26&gt;0,INDEX('calcA'!M$110:M$114,$F26+1)+IF(AND($E26=1,IZ26=0),1000,0),MIN(TU26,20)*400+(IF('calcA'!L$106=1,1-DJ26,0)+IF('calcA'!M$106=1,1-DL26,0))*150+101+'calcA'!M$5*100000+IF(AND($E26=1,IZ26=0),50000,0))+IF($H26=1,INDEX('calcA'!$D$180:$EQ$219,$B26,10)*4000,0)-IF(AND('calcA'!L$117=1,UJ26&gt;0),2000,0)-IF(AND($U26=1,'calcA'!M$117=1,DL26=0),2000,0))),1000000000))</f>
        <v/>
      </c>
      <c r="OP26">
        <f>IF($B26=0,1000000000,IF(INDEX('calcA'!$D$60:$EQ$99,$B26,11)*IF($W26=1,DL26+AAA26,DL26)=1,IF(AND($E26=2,IF($W26=1,AFP26,JA26)=0),1000000000,IF($V26=1,INDEX('calcA'!$D$130:$EQ$169,$B26,11)+IF(AND($E26=1,JA26=0),25,0),IF($F26&gt;0,INDEX('calcA'!N$110:N$114,$F26+1)+IF(AND($E26=1,JA26=0),1000,0),MIN(TU26,20)*400+(IF('calcA'!M$106=1,1-DK26,0)+IF('calcA'!N$106=1,1-DM26,0))*150+111+'calcA'!N$5*100000+IF(AND($E26=1,JA26=0),50000,0))+IF($H26=1,INDEX('calcA'!$D$180:$EQ$219,$B26,11)*4000,0)-IF(AND('calcA'!M$117=1,UK26&gt;0),2000,0)-IF(AND($U26=1,'calcA'!N$117=1,DM26=0),2000,0))),1000000000))</f>
        <v/>
      </c>
      <c r="OQ26">
        <f>IF($B26=0,1000000000,IF(INDEX('calcA'!$D$60:$EQ$99,$B26,12)*IF($W26=1,DM26+AAB26,DM26)=1,IF(AND($E26=2,IF($W26=1,AFQ26,JB26)=0),1000000000,IF($V26=1,INDEX('calcA'!$D$130:$EQ$169,$B26,12)+IF(AND($E26=1,JB26=0),25,0),IF($F26&gt;0,INDEX('calcA'!O$110:O$114,$F26+1)+IF(AND($E26=1,JB26=0),1000,0),MIN(TU26,20)*400+(IF('calcA'!N$106=1,1-DL26,0)+IF('calcA'!O$106=1,1-DN26,0))*150+121+'calcA'!O$5*100000+IF(AND($E26=1,JB26=0),50000,0))+IF($H26=1,INDEX('calcA'!$D$180:$EQ$219,$B26,12)*4000,0)-IF(AND('calcA'!N$117=1,UL26&gt;0),2000,0)-IF(AND($U26=1,'calcA'!O$117=1,DN26=0),2000,0))),1000000000))</f>
        <v/>
      </c>
      <c r="OR26">
        <f>IF($B26=0,1000000000,IF(INDEX('calcA'!$D$60:$EQ$99,$B26,13)*IF($W26=1,DN26+AAC26,DN26)=1,IF(AND($E26=2,IF($W26=1,AFR26,JC26)=0),1000000000,IF($V26=1,INDEX('calcA'!$D$130:$EQ$169,$B26,13)+IF(AND($E26=1,JC26=0),25,0),IF($F26&gt;0,INDEX('calcA'!P$110:P$114,$F26+1)+IF(AND($E26=1,JC26=0),1000,0),MIN(TU26,20)*400+(IF('calcA'!O$106=1,1-DM26,0)+IF('calcA'!P$106=1,1-DO26,0))*150+131+'calcA'!P$5*100000+IF(AND($E26=1,JC26=0),50000,0))+IF($H26=1,INDEX('calcA'!$D$180:$EQ$219,$B26,13)*4000,0)-IF(AND('calcA'!O$117=1,UM26&gt;0),2000,0)-IF(AND($U26=1,'calcA'!P$117=1,DO26=0),2000,0))),1000000000))</f>
        <v/>
      </c>
      <c r="OS26">
        <f>IF($B26=0,1000000000,IF(INDEX('calcA'!$D$60:$EQ$99,$B26,14)*IF($W26=1,DO26+AAD26,DO26)=1,IF(AND($E26=2,IF($W26=1,AFS26,JD26)=0),1000000000,IF($V26=1,INDEX('calcA'!$D$130:$EQ$169,$B26,14)+IF(AND($E26=1,JD26=0),25,0),IF($F26&gt;0,INDEX('calcA'!Q$110:Q$114,$F26+1)+IF(AND($E26=1,JD26=0),1000,0),MIN(TU26,20)*400+(IF('calcA'!P$106=1,1-DN26,0)+IF('calcA'!Q$106=1,1-DP26,0))*150+141+'calcA'!Q$5*100000+IF(AND($E26=1,JD26=0),50000,0))+IF($H26=1,INDEX('calcA'!$D$180:$EQ$219,$B26,14)*4000,0)-IF(AND('calcA'!P$117=1,UN26&gt;0),2000,0)-IF(AND($U26=1,'calcA'!Q$117=1,DP26=0),2000,0))),1000000000))</f>
        <v/>
      </c>
      <c r="OT26">
        <f>IF($B26=0,1000000000,IF(INDEX('calcA'!$D$60:$EQ$99,$B26,15)*IF($W26=1,DP26+AAE26,DP26)=1,IF(AND($E26=2,IF($W26=1,AFT26,JE26)=0),1000000000,IF($V26=1,INDEX('calcA'!$D$130:$EQ$169,$B26,15)+IF(AND($E26=1,JE26=0),25,0),IF($F26&gt;0,INDEX('calcA'!R$110:R$114,$F26+1)+IF(AND($E26=1,JE26=0),1000,0),MIN(TU26,20)*400+(IF('calcA'!Q$106=1,1-DO26,0)+IF('calcA'!R$106=1,1-DQ26,0))*150+151+'calcA'!R$5*100000+IF(AND($E26=1,JE26=0),50000,0))+IF($H26=1,INDEX('calcA'!$D$180:$EQ$219,$B26,15)*4000,0)-IF(AND('calcA'!Q$117=1,UO26&gt;0),2000,0)-IF(AND($U26=1,'calcA'!R$117=1,DQ26=0),2000,0))),1000000000))</f>
        <v/>
      </c>
      <c r="OU26">
        <f>IF($B26=0,1000000000,IF(INDEX('calcA'!$D$60:$EQ$99,$B26,16)*IF($W26=1,DQ26+AAF26,DQ26)=1,IF(AND($E26=2,IF($W26=1,AFU26,JF26)=0),1000000000,IF($V26=1,INDEX('calcA'!$D$130:$EQ$169,$B26,16)+IF(AND($E26=1,JF26=0),25,0),IF($F26&gt;0,INDEX('calcA'!S$110:S$114,$F26+1)+IF(AND($E26=1,JF26=0),1000,0),MIN(TU26,20)*400+(IF('calcA'!R$106=1,1-DP26,0)+IF('calcA'!S$106=1,1-DR26,0))*150+161+'calcA'!S$5*100000+IF(AND($E26=1,JF26=0),50000,0))+IF($H26=1,INDEX('calcA'!$D$180:$EQ$219,$B26,16)*4000,0)-IF(AND('calcA'!R$117=1,UP26&gt;0),2000,0)-IF(AND($U26=1,'calcA'!S$117=1,DR26=0),2000,0))),1000000000))</f>
        <v/>
      </c>
      <c r="OV26">
        <f>IF($B26=0,1000000000,IF(INDEX('calcA'!$D$60:$EQ$99,$B26,17)*IF($W26=1,DR26+AAG26,DR26)=1,IF(AND($E26=2,IF($W26=1,AFV26,JG26)=0),1000000000,IF($V26=1,INDEX('calcA'!$D$130:$EQ$169,$B26,17)+IF(AND($E26=1,JG26=0),25,0),IF($F26&gt;0,INDEX('calcA'!T$110:T$114,$F26+1)+IF(AND($E26=1,JG26=0),1000,0),MIN(TU26,20)*400+(IF('calcA'!S$106=1,1-DQ26,0)+IF('calcA'!T$106=1,1-DS26,0))*150+171+'calcA'!T$5*100000+IF(AND($E26=1,JG26=0),50000,0))+IF($H26=1,INDEX('calcA'!$D$180:$EQ$219,$B26,17)*4000,0)-IF(AND('calcA'!S$117=1,UQ26&gt;0),2000,0)-IF(AND($U26=1,'calcA'!T$117=1,DS26=0),2000,0))),1000000000))</f>
        <v/>
      </c>
      <c r="OW26">
        <f>IF($B26=0,1000000000,IF(INDEX('calcA'!$D$60:$EQ$99,$B26,18)*IF($W26=1,DS26+AAH26,DS26)=1,IF(AND($E26=2,IF($W26=1,AFW26,JH26)=0),1000000000,IF($V26=1,INDEX('calcA'!$D$130:$EQ$169,$B26,18)+IF(AND($E26=1,JH26=0),25,0),IF($F26&gt;0,INDEX('calcA'!U$110:U$114,$F26+1)+IF(AND($E26=1,JH26=0),1000,0),MIN(TU26,20)*400+(IF('calcA'!T$106=1,1-DR26,0)+IF('calcA'!U$106=1,1-DT26,0))*150+181+'calcA'!U$5*100000+IF(AND($E26=1,JH26=0),50000,0))+IF($H26=1,INDEX('calcA'!$D$180:$EQ$219,$B26,18)*4000,0)-IF(AND('calcA'!T$117=1,UR26&gt;0),2000,0)-IF(AND($U26=1,'calcA'!U$117=1,DT26=0),2000,0))),1000000000))</f>
        <v/>
      </c>
      <c r="OX26">
        <f>IF($B26=0,1000000000,IF(INDEX('calcA'!$D$60:$EQ$99,$B26,19)*IF($W26=1,DT26+AAI26,DT26)=1,IF(AND($E26=2,IF($W26=1,AFX26,JI26)=0),1000000000,IF($V26=1,INDEX('calcA'!$D$130:$EQ$169,$B26,19)+IF(AND($E26=1,JI26=0),25,0),IF($F26&gt;0,INDEX('calcA'!V$110:V$114,$F26+1)+IF(AND($E26=1,JI26=0),1000,0),MIN(TU26,20)*400+(IF('calcA'!U$106=1,1-DS26,0)+IF('calcA'!V$106=1,1-DU26,0))*150+191+'calcA'!V$5*100000+IF(AND($E26=1,JI26=0),50000,0))+IF($H26=1,INDEX('calcA'!$D$180:$EQ$219,$B26,19)*4000,0)-IF(AND('calcA'!U$117=1,US26&gt;0),2000,0)-IF(AND($U26=1,'calcA'!V$117=1,DU26=0),2000,0))),1000000000))</f>
        <v/>
      </c>
      <c r="OY26">
        <f>IF($B26=0,1000000000,IF(INDEX('calcA'!$D$60:$EQ$99,$B26,20)*IF($W26=1,DU26+AAJ26,DU26)=1,IF(AND($E26=2,IF($W26=1,AFY26,JJ26)=0),1000000000,IF($V26=1,INDEX('calcA'!$D$130:$EQ$169,$B26,20)+IF(AND($E26=1,JJ26=0),25,0),IF($F26&gt;0,INDEX('calcA'!W$110:W$114,$F26+1)+IF(AND($E26=1,JJ26=0),1000,0),MIN(TU26,20)*400+(IF('calcA'!V$106=1,1-DT26,0)+IF('calcA'!W$106=1,1-DV26,0))*150+201+'calcA'!W$5*100000+IF(AND($E26=1,JJ26=0),50000,0))+IF($H26=1,INDEX('calcA'!$D$180:$EQ$219,$B26,20)*4000,0)-IF(AND('calcA'!V$117=1,UT26&gt;0),2000,0)-IF(AND($U26=1,'calcA'!W$117=1,DV26=0),2000,0))),1000000000))</f>
        <v/>
      </c>
      <c r="OZ26">
        <f>IF($B26=0,1000000000,IF(INDEX('calcA'!$D$60:$EQ$99,$B26,21)*IF($W26=1,DV26+AAK26,DV26)=1,IF(AND($E26=2,IF($W26=1,AFZ26,JK26)=0),1000000000,IF($V26=1,INDEX('calcA'!$D$130:$EQ$169,$B26,21)+IF(AND($E26=1,JK26=0),25,0),IF($F26&gt;0,INDEX('calcA'!X$110:X$114,$F26+1)+IF(AND($E26=1,JK26=0),1000,0),MIN(TU26,20)*400+(IF('calcA'!W$106=1,1-DU26,0)+IF('calcA'!X$106=1,1-DW26,0))*150+211+'calcA'!X$5*100000+IF(AND($E26=1,JK26=0),50000,0))+IF($H26=1,INDEX('calcA'!$D$180:$EQ$219,$B26,21)*4000,0)-IF(AND('calcA'!W$117=1,UU26&gt;0),2000,0)-IF(AND($U26=1,'calcA'!X$117=1,DW26=0),2000,0))),1000000000))</f>
        <v/>
      </c>
      <c r="PA26">
        <f>IF($B26=0,1000000000,IF(INDEX('calcA'!$D$60:$EQ$99,$B26,22)*IF($W26=1,DW26+AAL26,DW26)=1,IF(AND($E26=2,IF($W26=1,AGA26,JL26)=0),1000000000,IF($V26=1,INDEX('calcA'!$D$130:$EQ$169,$B26,22)+IF(AND($E26=1,JL26=0),25,0),IF($F26&gt;0,INDEX('calcA'!Y$110:Y$114,$F26+1)+IF(AND($E26=1,JL26=0),1000,0),MIN(TU26,20)*400+(IF('calcA'!X$106=1,1-DV26,0)+IF('calcA'!Y$106=1,1-DX26,0))*150+221+'calcA'!Y$5*100000+IF(AND($E26=1,JL26=0),50000,0))+IF($H26=1,INDEX('calcA'!$D$180:$EQ$219,$B26,22)*4000,0)-IF(AND('calcA'!X$117=1,UV26&gt;0),2000,0)-IF(AND($U26=1,'calcA'!Y$117=1,DX26=0),2000,0))),1000000000))</f>
        <v/>
      </c>
      <c r="PB26">
        <f>IF($B26=0,1000000000,IF(INDEX('calcA'!$D$60:$EQ$99,$B26,23)*IF($W26=1,DX26+AAM26,DX26)=1,IF(AND($E26=2,IF($W26=1,AGB26,JM26)=0),1000000000,IF($V26=1,INDEX('calcA'!$D$130:$EQ$169,$B26,23)+IF(AND($E26=1,JM26=0),25,0),IF($F26&gt;0,INDEX('calcA'!Z$110:Z$114,$F26+1)+IF(AND($E26=1,JM26=0),1000,0),MIN(TU26,20)*400+(IF('calcA'!Y$106=1,1-DW26,0)+IF('calcA'!Z$106=1,1-DY26,0))*150+231+'calcA'!Z$5*100000+IF(AND($E26=1,JM26=0),50000,0))+IF($H26=1,INDEX('calcA'!$D$180:$EQ$219,$B26,23)*4000,0)-IF(AND('calcA'!Y$117=1,UW26&gt;0),2000,0)-IF(AND($U26=1,'calcA'!Z$117=1,DY26=0),2000,0))),1000000000))</f>
        <v/>
      </c>
      <c r="PC26">
        <f>IF($B26=0,1000000000,IF(INDEX('calcA'!$D$60:$EQ$99,$B26,24)*IF($W26=1,DY26+AAN26,DY26)=1,IF(AND($E26=2,IF($W26=1,AGC26,JN26)=0),1000000000,IF($V26=1,INDEX('calcA'!$D$130:$EQ$169,$B26,24)+IF(AND($E26=1,JN26=0),25,0),IF($F26&gt;0,INDEX('calcA'!AA$110:AA$114,$F26+1)+IF(AND($E26=1,JN26=0),1000,0),MIN(TU26,20)*400+(IF('calcA'!Z$106=1,1-DX26,0))*150+241+'calcA'!AA$5*100000+IF(AND($E26=1,JN26=0),50000,0))+IF($H26=1,INDEX('calcA'!$D$180:$EQ$219,$B26,24)*4000,0)-IF(AND('calcA'!Z$117=1,UX26&gt;0),2000,0))),1000000000))</f>
        <v/>
      </c>
      <c r="PD26">
        <f>IF($B26=0,1000000000,IF(INDEX('calcA'!$D$60:$EQ$99,$B26,25)*IF($W26=1,DZ26+AAO26,DZ26)=1,IF(AND($E26=2,IF($W26=1,AGD26,JO26)=0),1000000000,IF($V26=1,INDEX('calcA'!$D$130:$EQ$169,$B26,25)+IF(AND($E26=1,JO26=0),25,0),IF($F26&gt;0,INDEX('calcA'!AB$110:AB$114,$F26+1)+IF(AND($E26=1,JO26=0),1000,0),MIN(TV26,20)*400+(IF('calcA'!AB$106=1,1-EA26,0))*150+12+'calcA'!AB$5*100000+IF(AND($E26=1,JO26=0),50000,0))+IF($H26=1,INDEX('calcA'!$D$180:$EQ$219,$B26,25)*4000,0)-IF(AND($U26=1,'calcA'!AB$117=1,EA26=0),2000,0))),1000000000))</f>
        <v/>
      </c>
      <c r="PE26">
        <f>IF($B26=0,1000000000,IF(INDEX('calcA'!$D$60:$EQ$99,$B26,26)*IF($W26=1,EA26+AAP26,EA26)=1,IF(AND($E26=2,IF($W26=1,AGE26,JP26)=0),1000000000,IF($V26=1,INDEX('calcA'!$D$130:$EQ$169,$B26,26)+IF(AND($E26=1,JP26=0),25,0),IF($F26&gt;0,INDEX('calcA'!AC$110:AC$114,$F26+1)+IF(AND($E26=1,JP26=0),1000,0),MIN(TV26,20)*400+(IF('calcA'!AB$106=1,1-DZ26,0)+IF('calcA'!AC$106=1,1-EB26,0))*150+22+'calcA'!AC$5*100000+IF(AND($E26=1,JP26=0),50000,0))+IF($H26=1,INDEX('calcA'!$D$180:$EQ$219,$B26,26)*4000,0)-IF(AND('calcA'!AB$117=1,UZ26&gt;0),2000,0)-IF(AND($U26=1,'calcA'!AC$117=1,EB26=0),2000,0))),1000000000))</f>
        <v/>
      </c>
      <c r="PF26">
        <f>IF($B26=0,1000000000,IF(INDEX('calcA'!$D$60:$EQ$99,$B26,27)*IF($W26=1,EB26+AAQ26,EB26)=1,IF(AND($E26=2,IF($W26=1,AGF26,JQ26)=0),1000000000,IF($V26=1,INDEX('calcA'!$D$130:$EQ$169,$B26,27)+IF(AND($E26=1,JQ26=0),25,0),IF($F26&gt;0,INDEX('calcA'!AD$110:AD$114,$F26+1)+IF(AND($E26=1,JQ26=0),1000,0),MIN(TV26,20)*400+(IF('calcA'!AC$106=1,1-EA26,0)+IF('calcA'!AD$106=1,1-EC26,0))*150+32+'calcA'!AD$5*100000+IF(AND($E26=1,JQ26=0),50000,0))+IF($H26=1,INDEX('calcA'!$D$180:$EQ$219,$B26,27)*4000,0)-IF(AND('calcA'!AC$117=1,VA26&gt;0),2000,0)-IF(AND($U26=1,'calcA'!AD$117=1,EC26=0),2000,0))),1000000000))</f>
        <v/>
      </c>
      <c r="PG26">
        <f>IF($B26=0,1000000000,IF(INDEX('calcA'!$D$60:$EQ$99,$B26,28)*IF($W26=1,EC26+AAR26,EC26)=1,IF(AND($E26=2,IF($W26=1,AGG26,JR26)=0),1000000000,IF($V26=1,INDEX('calcA'!$D$130:$EQ$169,$B26,28)+IF(AND($E26=1,JR26=0),25,0),IF($F26&gt;0,INDEX('calcA'!AE$110:AE$114,$F26+1)+IF(AND($E26=1,JR26=0),1000,0),MIN(TV26,20)*400+(IF('calcA'!AD$106=1,1-EB26,0)+IF('calcA'!AE$106=1,1-ED26,0))*150+42+'calcA'!AE$5*100000+IF(AND($E26=1,JR26=0),50000,0))+IF($H26=1,INDEX('calcA'!$D$180:$EQ$219,$B26,28)*4000,0)-IF(AND('calcA'!AD$117=1,VB26&gt;0),2000,0)-IF(AND($U26=1,'calcA'!AE$117=1,ED26=0),2000,0))),1000000000))</f>
        <v/>
      </c>
      <c r="PH26">
        <f>IF($B26=0,1000000000,IF(INDEX('calcA'!$D$60:$EQ$99,$B26,29)*IF($W26=1,ED26+AAS26,ED26)=1,IF(AND($E26=2,IF($W26=1,AGH26,JS26)=0),1000000000,IF($V26=1,INDEX('calcA'!$D$130:$EQ$169,$B26,29)+IF(AND($E26=1,JS26=0),25,0),IF($F26&gt;0,INDEX('calcA'!AF$110:AF$114,$F26+1)+IF(AND($E26=1,JS26=0),1000,0),MIN(TV26,20)*400+(IF('calcA'!AE$106=1,1-EC26,0)+IF('calcA'!AF$106=1,1-EE26,0))*150+52+'calcA'!AF$5*100000+IF(AND($E26=1,JS26=0),50000,0))+IF($H26=1,INDEX('calcA'!$D$180:$EQ$219,$B26,29)*4000,0)-IF(AND('calcA'!AE$117=1,VC26&gt;0),2000,0)-IF(AND($U26=1,'calcA'!AF$117=1,EE26=0),2000,0))),1000000000))</f>
        <v/>
      </c>
      <c r="PI26">
        <f>IF($B26=0,1000000000,IF(INDEX('calcA'!$D$60:$EQ$99,$B26,30)*IF($W26=1,EE26+AAT26,EE26)=1,IF(AND($E26=2,IF($W26=1,AGI26,JT26)=0),1000000000,IF($V26=1,INDEX('calcA'!$D$130:$EQ$169,$B26,30)+IF(AND($E26=1,JT26=0),25,0),IF($F26&gt;0,INDEX('calcA'!AG$110:AG$114,$F26+1)+IF(AND($E26=1,JT26=0),1000,0),MIN(TV26,20)*400+(IF('calcA'!AF$106=1,1-ED26,0)+IF('calcA'!AG$106=1,1-EF26,0))*150+62+'calcA'!AG$5*100000+IF(AND($E26=1,JT26=0),50000,0))+IF($H26=1,INDEX('calcA'!$D$180:$EQ$219,$B26,30)*4000,0)-IF(AND('calcA'!AF$117=1,VD26&gt;0),2000,0)-IF(AND($U26=1,'calcA'!AG$117=1,EF26=0),2000,0))),1000000000))</f>
        <v/>
      </c>
      <c r="PJ26">
        <f>IF($B26=0,1000000000,IF(INDEX('calcA'!$D$60:$EQ$99,$B26,31)*IF($W26=1,EF26+AAU26,EF26)=1,IF(AND($E26=2,IF($W26=1,AGJ26,JU26)=0),1000000000,IF($V26=1,INDEX('calcA'!$D$130:$EQ$169,$B26,31)+IF(AND($E26=1,JU26=0),25,0),IF($F26&gt;0,INDEX('calcA'!AH$110:AH$114,$F26+1)+IF(AND($E26=1,JU26=0),1000,0),MIN(TV26,20)*400+(IF('calcA'!AG$106=1,1-EE26,0)+IF('calcA'!AH$106=1,1-EG26,0))*150+72+'calcA'!AH$5*100000+IF(AND($E26=1,JU26=0),50000,0))+IF($H26=1,INDEX('calcA'!$D$180:$EQ$219,$B26,31)*4000,0)-IF(AND('calcA'!AG$117=1,VE26&gt;0),2000,0)-IF(AND($U26=1,'calcA'!AH$117=1,EG26=0),2000,0))),1000000000))</f>
        <v/>
      </c>
      <c r="PK26">
        <f>IF($B26=0,1000000000,IF(INDEX('calcA'!$D$60:$EQ$99,$B26,32)*IF($W26=1,EG26+AAV26,EG26)=1,IF(AND($E26=2,IF($W26=1,AGK26,JV26)=0),1000000000,IF($V26=1,INDEX('calcA'!$D$130:$EQ$169,$B26,32)+IF(AND($E26=1,JV26=0),25,0),IF($F26&gt;0,INDEX('calcA'!AI$110:AI$114,$F26+1)+IF(AND($E26=1,JV26=0),1000,0),MIN(TV26,20)*400+(IF('calcA'!AH$106=1,1-EF26,0)+IF('calcA'!AI$106=1,1-EH26,0))*150+82+'calcA'!AI$5*100000+IF(AND($E26=1,JV26=0),50000,0))+IF($H26=1,INDEX('calcA'!$D$180:$EQ$219,$B26,32)*4000,0)-IF(AND('calcA'!AH$117=1,VF26&gt;0),2000,0)-IF(AND($U26=1,'calcA'!AI$117=1,EH26=0),2000,0))),1000000000))</f>
        <v/>
      </c>
      <c r="PL26">
        <f>IF($B26=0,1000000000,IF(INDEX('calcA'!$D$60:$EQ$99,$B26,33)*IF($W26=1,EH26+AAW26,EH26)=1,IF(AND($E26=2,IF($W26=1,AGL26,JW26)=0),1000000000,IF($V26=1,INDEX('calcA'!$D$130:$EQ$169,$B26,33)+IF(AND($E26=1,JW26=0),25,0),IF($F26&gt;0,INDEX('calcA'!AJ$110:AJ$114,$F26+1)+IF(AND($E26=1,JW26=0),1000,0),MIN(TV26,20)*400+(IF('calcA'!AI$106=1,1-EG26,0)+IF('calcA'!AJ$106=1,1-EI26,0))*150+92+'calcA'!AJ$5*100000+IF(AND($E26=1,JW26=0),50000,0))+IF($H26=1,INDEX('calcA'!$D$180:$EQ$219,$B26,33)*4000,0)-IF(AND('calcA'!AI$117=1,VG26&gt;0),2000,0)-IF(AND($U26=1,'calcA'!AJ$117=1,EI26=0),2000,0))),1000000000))</f>
        <v/>
      </c>
      <c r="PM26">
        <f>IF($B26=0,1000000000,IF(INDEX('calcA'!$D$60:$EQ$99,$B26,34)*IF($W26=1,EI26+AAX26,EI26)=1,IF(AND($E26=2,IF($W26=1,AGM26,JX26)=0),1000000000,IF($V26=1,INDEX('calcA'!$D$130:$EQ$169,$B26,34)+IF(AND($E26=1,JX26=0),25,0),IF($F26&gt;0,INDEX('calcA'!AK$110:AK$114,$F26+1)+IF(AND($E26=1,JX26=0),1000,0),MIN(TV26,20)*400+(IF('calcA'!AJ$106=1,1-EH26,0)+IF('calcA'!AK$106=1,1-EJ26,0))*150+102+'calcA'!AK$5*100000+IF(AND($E26=1,JX26=0),50000,0))+IF($H26=1,INDEX('calcA'!$D$180:$EQ$219,$B26,34)*4000,0)-IF(AND('calcA'!AJ$117=1,VH26&gt;0),2000,0)-IF(AND($U26=1,'calcA'!AK$117=1,EJ26=0),2000,0))),1000000000))</f>
        <v/>
      </c>
      <c r="PN26">
        <f>IF($B26=0,1000000000,IF(INDEX('calcA'!$D$60:$EQ$99,$B26,35)*IF($W26=1,EJ26+AAY26,EJ26)=1,IF(AND($E26=2,IF($W26=1,AGN26,JY26)=0),1000000000,IF($V26=1,INDEX('calcA'!$D$130:$EQ$169,$B26,35)+IF(AND($E26=1,JY26=0),25,0),IF($F26&gt;0,INDEX('calcA'!AL$110:AL$114,$F26+1)+IF(AND($E26=1,JY26=0),1000,0),MIN(TV26,20)*400+(IF('calcA'!AK$106=1,1-EI26,0)+IF('calcA'!AL$106=1,1-EK26,0))*150+112+'calcA'!AL$5*100000+IF(AND($E26=1,JY26=0),50000,0))+IF($H26=1,INDEX('calcA'!$D$180:$EQ$219,$B26,35)*4000,0)-IF(AND('calcA'!AK$117=1,VI26&gt;0),2000,0)-IF(AND($U26=1,'calcA'!AL$117=1,EK26=0),2000,0))),1000000000))</f>
        <v/>
      </c>
      <c r="PO26">
        <f>IF($B26=0,1000000000,IF(INDEX('calcA'!$D$60:$EQ$99,$B26,36)*IF($W26=1,EK26+AAZ26,EK26)=1,IF(AND($E26=2,IF($W26=1,AGO26,JZ26)=0),1000000000,IF($V26=1,INDEX('calcA'!$D$130:$EQ$169,$B26,36)+IF(AND($E26=1,JZ26=0),25,0),IF($F26&gt;0,INDEX('calcA'!AM$110:AM$114,$F26+1)+IF(AND($E26=1,JZ26=0),1000,0),MIN(TV26,20)*400+(IF('calcA'!AL$106=1,1-EJ26,0)+IF('calcA'!AM$106=1,1-EL26,0))*150+122+'calcA'!AM$5*100000+IF(AND($E26=1,JZ26=0),50000,0))+IF($H26=1,INDEX('calcA'!$D$180:$EQ$219,$B26,36)*4000,0)-IF(AND('calcA'!AL$117=1,VJ26&gt;0),2000,0)-IF(AND($U26=1,'calcA'!AM$117=1,EL26=0),2000,0))),1000000000))</f>
        <v/>
      </c>
      <c r="PP26">
        <f>IF($B26=0,1000000000,IF(INDEX('calcA'!$D$60:$EQ$99,$B26,37)*IF($W26=1,EL26+ABA26,EL26)=1,IF(AND($E26=2,IF($W26=1,AGP26,KA26)=0),1000000000,IF($V26=1,INDEX('calcA'!$D$130:$EQ$169,$B26,37)+IF(AND($E26=1,KA26=0),25,0),IF($F26&gt;0,INDEX('calcA'!AN$110:AN$114,$F26+1)+IF(AND($E26=1,KA26=0),1000,0),MIN(TV26,20)*400+(IF('calcA'!AM$106=1,1-EK26,0)+IF('calcA'!AN$106=1,1-EM26,0))*150+132+'calcA'!AN$5*100000+IF(AND($E26=1,KA26=0),50000,0))+IF($H26=1,INDEX('calcA'!$D$180:$EQ$219,$B26,37)*4000,0)-IF(AND('calcA'!AM$117=1,VK26&gt;0),2000,0)-IF(AND($U26=1,'calcA'!AN$117=1,EM26=0),2000,0))),1000000000))</f>
        <v/>
      </c>
      <c r="PQ26">
        <f>IF($B26=0,1000000000,IF(INDEX('calcA'!$D$60:$EQ$99,$B26,38)*IF($W26=1,EM26+ABB26,EM26)=1,IF(AND($E26=2,IF($W26=1,AGQ26,KB26)=0),1000000000,IF($V26=1,INDEX('calcA'!$D$130:$EQ$169,$B26,38)+IF(AND($E26=1,KB26=0),25,0),IF($F26&gt;0,INDEX('calcA'!AO$110:AO$114,$F26+1)+IF(AND($E26=1,KB26=0),1000,0),MIN(TV26,20)*400+(IF('calcA'!AN$106=1,1-EL26,0)+IF('calcA'!AO$106=1,1-EN26,0))*150+142+'calcA'!AO$5*100000+IF(AND($E26=1,KB26=0),50000,0))+IF($H26=1,INDEX('calcA'!$D$180:$EQ$219,$B26,38)*4000,0)-IF(AND('calcA'!AN$117=1,VL26&gt;0),2000,0)-IF(AND($U26=1,'calcA'!AO$117=1,EN26=0),2000,0))),1000000000))</f>
        <v/>
      </c>
      <c r="PR26">
        <f>IF($B26=0,1000000000,IF(INDEX('calcA'!$D$60:$EQ$99,$B26,39)*IF($W26=1,EN26+ABC26,EN26)=1,IF(AND($E26=2,IF($W26=1,AGR26,KC26)=0),1000000000,IF($V26=1,INDEX('calcA'!$D$130:$EQ$169,$B26,39)+IF(AND($E26=1,KC26=0),25,0),IF($F26&gt;0,INDEX('calcA'!AP$110:AP$114,$F26+1)+IF(AND($E26=1,KC26=0),1000,0),MIN(TV26,20)*400+(IF('calcA'!AO$106=1,1-EM26,0)+IF('calcA'!AP$106=1,1-EO26,0))*150+152+'calcA'!AP$5*100000+IF(AND($E26=1,KC26=0),50000,0))+IF($H26=1,INDEX('calcA'!$D$180:$EQ$219,$B26,39)*4000,0)-IF(AND('calcA'!AO$117=1,VM26&gt;0),2000,0)-IF(AND($U26=1,'calcA'!AP$117=1,EO26=0),2000,0))),1000000000))</f>
        <v/>
      </c>
      <c r="PS26">
        <f>IF($B26=0,1000000000,IF(INDEX('calcA'!$D$60:$EQ$99,$B26,40)*IF($W26=1,EO26+ABD26,EO26)=1,IF(AND($E26=2,IF($W26=1,AGS26,KD26)=0),1000000000,IF($V26=1,INDEX('calcA'!$D$130:$EQ$169,$B26,40)+IF(AND($E26=1,KD26=0),25,0),IF($F26&gt;0,INDEX('calcA'!AQ$110:AQ$114,$F26+1)+IF(AND($E26=1,KD26=0),1000,0),MIN(TV26,20)*400+(IF('calcA'!AP$106=1,1-EN26,0)+IF('calcA'!AQ$106=1,1-EP26,0))*150+162+'calcA'!AQ$5*100000+IF(AND($E26=1,KD26=0),50000,0))+IF($H26=1,INDEX('calcA'!$D$180:$EQ$219,$B26,40)*4000,0)-IF(AND('calcA'!AP$117=1,VN26&gt;0),2000,0)-IF(AND($U26=1,'calcA'!AQ$117=1,EP26=0),2000,0))),1000000000))</f>
        <v/>
      </c>
      <c r="PT26">
        <f>IF($B26=0,1000000000,IF(INDEX('calcA'!$D$60:$EQ$99,$B26,41)*IF($W26=1,EP26+ABE26,EP26)=1,IF(AND($E26=2,IF($W26=1,AGT26,KE26)=0),1000000000,IF($V26=1,INDEX('calcA'!$D$130:$EQ$169,$B26,41)+IF(AND($E26=1,KE26=0),25,0),IF($F26&gt;0,INDEX('calcA'!AR$110:AR$114,$F26+1)+IF(AND($E26=1,KE26=0),1000,0),MIN(TV26,20)*400+(IF('calcA'!AQ$106=1,1-EO26,0)+IF('calcA'!AR$106=1,1-EQ26,0))*150+172+'calcA'!AR$5*100000+IF(AND($E26=1,KE26=0),50000,0))+IF($H26=1,INDEX('calcA'!$D$180:$EQ$219,$B26,41)*4000,0)-IF(AND('calcA'!AQ$117=1,VO26&gt;0),2000,0)-IF(AND($U26=1,'calcA'!AR$117=1,EQ26=0),2000,0))),1000000000))</f>
        <v/>
      </c>
      <c r="PU26">
        <f>IF($B26=0,1000000000,IF(INDEX('calcA'!$D$60:$EQ$99,$B26,42)*IF($W26=1,EQ26+ABF26,EQ26)=1,IF(AND($E26=2,IF($W26=1,AGU26,KF26)=0),1000000000,IF($V26=1,INDEX('calcA'!$D$130:$EQ$169,$B26,42)+IF(AND($E26=1,KF26=0),25,0),IF($F26&gt;0,INDEX('calcA'!AS$110:AS$114,$F26+1)+IF(AND($E26=1,KF26=0),1000,0),MIN(TV26,20)*400+(IF('calcA'!AR$106=1,1-EP26,0)+IF('calcA'!AS$106=1,1-ER26,0))*150+182+'calcA'!AS$5*100000+IF(AND($E26=1,KF26=0),50000,0))+IF($H26=1,INDEX('calcA'!$D$180:$EQ$219,$B26,42)*4000,0)-IF(AND('calcA'!AR$117=1,VP26&gt;0),2000,0)-IF(AND($U26=1,'calcA'!AS$117=1,ER26=0),2000,0))),1000000000))</f>
        <v/>
      </c>
      <c r="PV26">
        <f>IF($B26=0,1000000000,IF(INDEX('calcA'!$D$60:$EQ$99,$B26,43)*IF($W26=1,ER26+ABG26,ER26)=1,IF(AND($E26=2,IF($W26=1,AGV26,KG26)=0),1000000000,IF($V26=1,INDEX('calcA'!$D$130:$EQ$169,$B26,43)+IF(AND($E26=1,KG26=0),25,0),IF($F26&gt;0,INDEX('calcA'!AT$110:AT$114,$F26+1)+IF(AND($E26=1,KG26=0),1000,0),MIN(TV26,20)*400+(IF('calcA'!AS$106=1,1-EQ26,0)+IF('calcA'!AT$106=1,1-ES26,0))*150+192+'calcA'!AT$5*100000+IF(AND($E26=1,KG26=0),50000,0))+IF($H26=1,INDEX('calcA'!$D$180:$EQ$219,$B26,43)*4000,0)-IF(AND('calcA'!AS$117=1,VQ26&gt;0),2000,0)-IF(AND($U26=1,'calcA'!AT$117=1,ES26=0),2000,0))),1000000000))</f>
        <v/>
      </c>
      <c r="PW26">
        <f>IF($B26=0,1000000000,IF(INDEX('calcA'!$D$60:$EQ$99,$B26,44)*IF($W26=1,ES26+ABH26,ES26)=1,IF(AND($E26=2,IF($W26=1,AGW26,KH26)=0),1000000000,IF($V26=1,INDEX('calcA'!$D$130:$EQ$169,$B26,44)+IF(AND($E26=1,KH26=0),25,0),IF($F26&gt;0,INDEX('calcA'!AU$110:AU$114,$F26+1)+IF(AND($E26=1,KH26=0),1000,0),MIN(TV26,20)*400+(IF('calcA'!AT$106=1,1-ER26,0)+IF('calcA'!AU$106=1,1-ET26,0))*150+202+'calcA'!AU$5*100000+IF(AND($E26=1,KH26=0),50000,0))+IF($H26=1,INDEX('calcA'!$D$180:$EQ$219,$B26,44)*4000,0)-IF(AND('calcA'!AT$117=1,VR26&gt;0),2000,0)-IF(AND($U26=1,'calcA'!AU$117=1,ET26=0),2000,0))),1000000000))</f>
        <v/>
      </c>
      <c r="PX26">
        <f>IF($B26=0,1000000000,IF(INDEX('calcA'!$D$60:$EQ$99,$B26,45)*IF($W26=1,ET26+ABI26,ET26)=1,IF(AND($E26=2,IF($W26=1,AGX26,KI26)=0),1000000000,IF($V26=1,INDEX('calcA'!$D$130:$EQ$169,$B26,45)+IF(AND($E26=1,KI26=0),25,0),IF($F26&gt;0,INDEX('calcA'!AV$110:AV$114,$F26+1)+IF(AND($E26=1,KI26=0),1000,0),MIN(TV26,20)*400+(IF('calcA'!AU$106=1,1-ES26,0)+IF('calcA'!AV$106=1,1-EU26,0))*150+212+'calcA'!AV$5*100000+IF(AND($E26=1,KI26=0),50000,0))+IF($H26=1,INDEX('calcA'!$D$180:$EQ$219,$B26,45)*4000,0)-IF(AND('calcA'!AU$117=1,VS26&gt;0),2000,0)-IF(AND($U26=1,'calcA'!AV$117=1,EU26=0),2000,0))),1000000000))</f>
        <v/>
      </c>
      <c r="PY26">
        <f>IF($B26=0,1000000000,IF(INDEX('calcA'!$D$60:$EQ$99,$B26,46)*IF($W26=1,EU26+ABJ26,EU26)=1,IF(AND($E26=2,IF($W26=1,AGY26,KJ26)=0),1000000000,IF($V26=1,INDEX('calcA'!$D$130:$EQ$169,$B26,46)+IF(AND($E26=1,KJ26=0),25,0),IF($F26&gt;0,INDEX('calcA'!AW$110:AW$114,$F26+1)+IF(AND($E26=1,KJ26=0),1000,0),MIN(TV26,20)*400+(IF('calcA'!AV$106=1,1-ET26,0)+IF('calcA'!AW$106=1,1-EV26,0))*150+222+'calcA'!AW$5*100000+IF(AND($E26=1,KJ26=0),50000,0))+IF($H26=1,INDEX('calcA'!$D$180:$EQ$219,$B26,46)*4000,0)-IF(AND('calcA'!AV$117=1,VT26&gt;0),2000,0)-IF(AND($U26=1,'calcA'!AW$117=1,EV26=0),2000,0))),1000000000))</f>
        <v/>
      </c>
      <c r="PZ26">
        <f>IF($B26=0,1000000000,IF(INDEX('calcA'!$D$60:$EQ$99,$B26,47)*IF($W26=1,EV26+ABK26,EV26)=1,IF(AND($E26=2,IF($W26=1,AGZ26,KK26)=0),1000000000,IF($V26=1,INDEX('calcA'!$D$130:$EQ$169,$B26,47)+IF(AND($E26=1,KK26=0),25,0),IF($F26&gt;0,INDEX('calcA'!AX$110:AX$114,$F26+1)+IF(AND($E26=1,KK26=0),1000,0),MIN(TV26,20)*400+(IF('calcA'!AW$106=1,1-EU26,0)+IF('calcA'!AX$106=1,1-EW26,0))*150+232+'calcA'!AX$5*100000+IF(AND($E26=1,KK26=0),50000,0))+IF($H26=1,INDEX('calcA'!$D$180:$EQ$219,$B26,47)*4000,0)-IF(AND('calcA'!AW$117=1,VU26&gt;0),2000,0)-IF(AND($U26=1,'calcA'!AX$117=1,EW26=0),2000,0))),1000000000))</f>
        <v/>
      </c>
      <c r="QA26">
        <f>IF($B26=0,1000000000,IF(INDEX('calcA'!$D$60:$EQ$99,$B26,48)*IF($W26=1,EW26+ABL26,EW26)=1,IF(AND($E26=2,IF($W26=1,AHA26,KL26)=0),1000000000,IF($V26=1,INDEX('calcA'!$D$130:$EQ$169,$B26,48)+IF(AND($E26=1,KL26=0),25,0),IF($F26&gt;0,INDEX('calcA'!AY$110:AY$114,$F26+1)+IF(AND($E26=1,KL26=0),1000,0),MIN(TV26,20)*400+(IF('calcA'!AX$106=1,1-EV26,0))*150+242+'calcA'!AY$5*100000+IF(AND($E26=1,KL26=0),50000,0))+IF($H26=1,INDEX('calcA'!$D$180:$EQ$219,$B26,48)*4000,0)-IF(AND('calcA'!AX$117=1,VV26&gt;0),2000,0))),1000000000))</f>
        <v/>
      </c>
      <c r="QB26">
        <f>IF($B26=0,1000000000,IF(INDEX('calcA'!$D$60:$EQ$99,$B26,49)*IF($W26=1,EX26+ABM26,EX26)=1,IF(AND($E26=2,IF($W26=1,AHB26,KM26)=0),1000000000,IF($V26=1,INDEX('calcA'!$D$130:$EQ$169,$B26,49)+IF(AND($E26=1,KM26=0),25,0),IF($F26&gt;0,INDEX('calcA'!AZ$110:AZ$114,$F26+1)+IF(AND($E26=1,KM26=0),1000,0),MIN(TW26,20)*400+(IF('calcA'!AZ$106=1,1-EY26,0))*150+13+'calcA'!AZ$5*100000+IF(AND($E26=1,KM26=0),50000,0))+IF($H26=1,INDEX('calcA'!$D$180:$EQ$219,$B26,49)*4000,0)-IF(AND($U26=1,'calcA'!AZ$117=1,EY26=0),2000,0))),1000000000))</f>
        <v/>
      </c>
      <c r="QC26">
        <f>IF($B26=0,1000000000,IF(INDEX('calcA'!$D$60:$EQ$99,$B26,50)*IF($W26=1,EY26+ABN26,EY26)=1,IF(AND($E26=2,IF($W26=1,AHC26,KN26)=0),1000000000,IF($V26=1,INDEX('calcA'!$D$130:$EQ$169,$B26,50)+IF(AND($E26=1,KN26=0),25,0),IF($F26&gt;0,INDEX('calcA'!BA$110:BA$114,$F26+1)+IF(AND($E26=1,KN26=0),1000,0),MIN(TW26,20)*400+(IF('calcA'!AZ$106=1,1-EX26,0)+IF('calcA'!BA$106=1,1-EZ26,0))*150+23+'calcA'!BA$5*100000+IF(AND($E26=1,KN26=0),50000,0))+IF($H26=1,INDEX('calcA'!$D$180:$EQ$219,$B26,50)*4000,0)-IF(AND('calcA'!AZ$117=1,VX26&gt;0),2000,0)-IF(AND($U26=1,'calcA'!BA$117=1,EZ26=0),2000,0))),1000000000))</f>
        <v/>
      </c>
      <c r="QD26">
        <f>IF($B26=0,1000000000,IF(INDEX('calcA'!$D$60:$EQ$99,$B26,51)*IF($W26=1,EZ26+ABO26,EZ26)=1,IF(AND($E26=2,IF($W26=1,AHD26,KO26)=0),1000000000,IF($V26=1,INDEX('calcA'!$D$130:$EQ$169,$B26,51)+IF(AND($E26=1,KO26=0),25,0),IF($F26&gt;0,INDEX('calcA'!BB$110:BB$114,$F26+1)+IF(AND($E26=1,KO26=0),1000,0),MIN(TW26,20)*400+(IF('calcA'!BA$106=1,1-EY26,0)+IF('calcA'!BB$106=1,1-FA26,0))*150+33+'calcA'!BB$5*100000+IF(AND($E26=1,KO26=0),50000,0))+IF($H26=1,INDEX('calcA'!$D$180:$EQ$219,$B26,51)*4000,0)-IF(AND('calcA'!BA$117=1,VY26&gt;0),2000,0)-IF(AND($U26=1,'calcA'!BB$117=1,FA26=0),2000,0))),1000000000))</f>
        <v/>
      </c>
      <c r="QE26">
        <f>IF($B26=0,1000000000,IF(INDEX('calcA'!$D$60:$EQ$99,$B26,52)*IF($W26=1,FA26+ABP26,FA26)=1,IF(AND($E26=2,IF($W26=1,AHE26,KP26)=0),1000000000,IF($V26=1,INDEX('calcA'!$D$130:$EQ$169,$B26,52)+IF(AND($E26=1,KP26=0),25,0),IF($F26&gt;0,INDEX('calcA'!BC$110:BC$114,$F26+1)+IF(AND($E26=1,KP26=0),1000,0),MIN(TW26,20)*400+(IF('calcA'!BB$106=1,1-EZ26,0)+IF('calcA'!BC$106=1,1-FB26,0))*150+43+'calcA'!BC$5*100000+IF(AND($E26=1,KP26=0),50000,0))+IF($H26=1,INDEX('calcA'!$D$180:$EQ$219,$B26,52)*4000,0)-IF(AND('calcA'!BB$117=1,VZ26&gt;0),2000,0)-IF(AND($U26=1,'calcA'!BC$117=1,FB26=0),2000,0))),1000000000))</f>
        <v/>
      </c>
      <c r="QF26">
        <f>IF($B26=0,1000000000,IF(INDEX('calcA'!$D$60:$EQ$99,$B26,53)*IF($W26=1,FB26+ABQ26,FB26)=1,IF(AND($E26=2,IF($W26=1,AHF26,KQ26)=0),1000000000,IF($V26=1,INDEX('calcA'!$D$130:$EQ$169,$B26,53)+IF(AND($E26=1,KQ26=0),25,0),IF($F26&gt;0,INDEX('calcA'!BD$110:BD$114,$F26+1)+IF(AND($E26=1,KQ26=0),1000,0),MIN(TW26,20)*400+(IF('calcA'!BC$106=1,1-FA26,0)+IF('calcA'!BD$106=1,1-FC26,0))*150+53+'calcA'!BD$5*100000+IF(AND($E26=1,KQ26=0),50000,0))+IF($H26=1,INDEX('calcA'!$D$180:$EQ$219,$B26,53)*4000,0)-IF(AND('calcA'!BC$117=1,WA26&gt;0),2000,0)-IF(AND($U26=1,'calcA'!BD$117=1,FC26=0),2000,0))),1000000000))</f>
        <v/>
      </c>
      <c r="QG26">
        <f>IF($B26=0,1000000000,IF(INDEX('calcA'!$D$60:$EQ$99,$B26,54)*IF($W26=1,FC26+ABR26,FC26)=1,IF(AND($E26=2,IF($W26=1,AHG26,KR26)=0),1000000000,IF($V26=1,INDEX('calcA'!$D$130:$EQ$169,$B26,54)+IF(AND($E26=1,KR26=0),25,0),IF($F26&gt;0,INDEX('calcA'!BE$110:BE$114,$F26+1)+IF(AND($E26=1,KR26=0),1000,0),MIN(TW26,20)*400+(IF('calcA'!BD$106=1,1-FB26,0)+IF('calcA'!BE$106=1,1-FD26,0))*150+63+'calcA'!BE$5*100000+IF(AND($E26=1,KR26=0),50000,0))+IF($H26=1,INDEX('calcA'!$D$180:$EQ$219,$B26,54)*4000,0)-IF(AND('calcA'!BD$117=1,WB26&gt;0),2000,0)-IF(AND($U26=1,'calcA'!BE$117=1,FD26=0),2000,0))),1000000000))</f>
        <v/>
      </c>
      <c r="QH26">
        <f>IF($B26=0,1000000000,IF(INDEX('calcA'!$D$60:$EQ$99,$B26,55)*IF($W26=1,FD26+ABS26,FD26)=1,IF(AND($E26=2,IF($W26=1,AHH26,KS26)=0),1000000000,IF($V26=1,INDEX('calcA'!$D$130:$EQ$169,$B26,55)+IF(AND($E26=1,KS26=0),25,0),IF($F26&gt;0,INDEX('calcA'!BF$110:BF$114,$F26+1)+IF(AND($E26=1,KS26=0),1000,0),MIN(TW26,20)*400+(IF('calcA'!BE$106=1,1-FC26,0)+IF('calcA'!BF$106=1,1-FE26,0))*150+73+'calcA'!BF$5*100000+IF(AND($E26=1,KS26=0),50000,0))+IF($H26=1,INDEX('calcA'!$D$180:$EQ$219,$B26,55)*4000,0)-IF(AND('calcA'!BE$117=1,WC26&gt;0),2000,0)-IF(AND($U26=1,'calcA'!BF$117=1,FE26=0),2000,0))),1000000000))</f>
        <v/>
      </c>
      <c r="QI26">
        <f>IF($B26=0,1000000000,IF(INDEX('calcA'!$D$60:$EQ$99,$B26,56)*IF($W26=1,FE26+ABT26,FE26)=1,IF(AND($E26=2,IF($W26=1,AHI26,KT26)=0),1000000000,IF($V26=1,INDEX('calcA'!$D$130:$EQ$169,$B26,56)+IF(AND($E26=1,KT26=0),25,0),IF($F26&gt;0,INDEX('calcA'!BG$110:BG$114,$F26+1)+IF(AND($E26=1,KT26=0),1000,0),MIN(TW26,20)*400+(IF('calcA'!BF$106=1,1-FD26,0)+IF('calcA'!BG$106=1,1-FF26,0))*150+83+'calcA'!BG$5*100000+IF(AND($E26=1,KT26=0),50000,0))+IF($H26=1,INDEX('calcA'!$D$180:$EQ$219,$B26,56)*4000,0)-IF(AND('calcA'!BF$117=1,WD26&gt;0),2000,0)-IF(AND($U26=1,'calcA'!BG$117=1,FF26=0),2000,0))),1000000000))</f>
        <v/>
      </c>
      <c r="QJ26">
        <f>IF($B26=0,1000000000,IF(INDEX('calcA'!$D$60:$EQ$99,$B26,57)*IF($W26=1,FF26+ABU26,FF26)=1,IF(AND($E26=2,IF($W26=1,AHJ26,KU26)=0),1000000000,IF($V26=1,INDEX('calcA'!$D$130:$EQ$169,$B26,57)+IF(AND($E26=1,KU26=0),25,0),IF($F26&gt;0,INDEX('calcA'!BH$110:BH$114,$F26+1)+IF(AND($E26=1,KU26=0),1000,0),MIN(TW26,20)*400+(IF('calcA'!BG$106=1,1-FE26,0)+IF('calcA'!BH$106=1,1-FG26,0))*150+93+'calcA'!BH$5*100000+IF(AND($E26=1,KU26=0),50000,0))+IF($H26=1,INDEX('calcA'!$D$180:$EQ$219,$B26,57)*4000,0)-IF(AND('calcA'!BG$117=1,WE26&gt;0),2000,0)-IF(AND($U26=1,'calcA'!BH$117=1,FG26=0),2000,0))),1000000000))</f>
        <v/>
      </c>
      <c r="QK26">
        <f>IF($B26=0,1000000000,IF(INDEX('calcA'!$D$60:$EQ$99,$B26,58)*IF($W26=1,FG26+ABV26,FG26)=1,IF(AND($E26=2,IF($W26=1,AHK26,KV26)=0),1000000000,IF($V26=1,INDEX('calcA'!$D$130:$EQ$169,$B26,58)+IF(AND($E26=1,KV26=0),25,0),IF($F26&gt;0,INDEX('calcA'!BI$110:BI$114,$F26+1)+IF(AND($E26=1,KV26=0),1000,0),MIN(TW26,20)*400+(IF('calcA'!BH$106=1,1-FF26,0)+IF('calcA'!BI$106=1,1-FH26,0))*150+103+'calcA'!BI$5*100000+IF(AND($E26=1,KV26=0),50000,0))+IF($H26=1,INDEX('calcA'!$D$180:$EQ$219,$B26,58)*4000,0)-IF(AND('calcA'!BH$117=1,WF26&gt;0),2000,0)-IF(AND($U26=1,'calcA'!BI$117=1,FH26=0),2000,0))),1000000000))</f>
        <v/>
      </c>
      <c r="QL26">
        <f>IF($B26=0,1000000000,IF(INDEX('calcA'!$D$60:$EQ$99,$B26,59)*IF($W26=1,FH26+ABW26,FH26)=1,IF(AND($E26=2,IF($W26=1,AHL26,KW26)=0),1000000000,IF($V26=1,INDEX('calcA'!$D$130:$EQ$169,$B26,59)+IF(AND($E26=1,KW26=0),25,0),IF($F26&gt;0,INDEX('calcA'!BJ$110:BJ$114,$F26+1)+IF(AND($E26=1,KW26=0),1000,0),MIN(TW26,20)*400+(IF('calcA'!BI$106=1,1-FG26,0)+IF('calcA'!BJ$106=1,1-FI26,0))*150+113+'calcA'!BJ$5*100000+IF(AND($E26=1,KW26=0),50000,0))+IF($H26=1,INDEX('calcA'!$D$180:$EQ$219,$B26,59)*4000,0)-IF(AND('calcA'!BI$117=1,WG26&gt;0),2000,0)-IF(AND($U26=1,'calcA'!BJ$117=1,FI26=0),2000,0))),1000000000))</f>
        <v/>
      </c>
      <c r="QM26">
        <f>IF($B26=0,1000000000,IF(INDEX('calcA'!$D$60:$EQ$99,$B26,60)*IF($W26=1,FI26+ABX26,FI26)=1,IF(AND($E26=2,IF($W26=1,AHM26,KX26)=0),1000000000,IF($V26=1,INDEX('calcA'!$D$130:$EQ$169,$B26,60)+IF(AND($E26=1,KX26=0),25,0),IF($F26&gt;0,INDEX('calcA'!BK$110:BK$114,$F26+1)+IF(AND($E26=1,KX26=0),1000,0),MIN(TW26,20)*400+(IF('calcA'!BJ$106=1,1-FH26,0)+IF('calcA'!BK$106=1,1-FJ26,0))*150+123+'calcA'!BK$5*100000+IF(AND($E26=1,KX26=0),50000,0))+IF($H26=1,INDEX('calcA'!$D$180:$EQ$219,$B26,60)*4000,0)-IF(AND('calcA'!BJ$117=1,WH26&gt;0),2000,0)-IF(AND($U26=1,'calcA'!BK$117=1,FJ26=0),2000,0))),1000000000))</f>
        <v/>
      </c>
      <c r="QN26">
        <f>IF($B26=0,1000000000,IF(INDEX('calcA'!$D$60:$EQ$99,$B26,61)*IF($W26=1,FJ26+ABY26,FJ26)=1,IF(AND($E26=2,IF($W26=1,AHN26,KY26)=0),1000000000,IF($V26=1,INDEX('calcA'!$D$130:$EQ$169,$B26,61)+IF(AND($E26=1,KY26=0),25,0),IF($F26&gt;0,INDEX('calcA'!BL$110:BL$114,$F26+1)+IF(AND($E26=1,KY26=0),1000,0),MIN(TW26,20)*400+(IF('calcA'!BK$106=1,1-FI26,0)+IF('calcA'!BL$106=1,1-FK26,0))*150+133+'calcA'!BL$5*100000+IF(AND($E26=1,KY26=0),50000,0))+IF($H26=1,INDEX('calcA'!$D$180:$EQ$219,$B26,61)*4000,0)-IF(AND('calcA'!BK$117=1,WI26&gt;0),2000,0)-IF(AND($U26=1,'calcA'!BL$117=1,FK26=0),2000,0))),1000000000))</f>
        <v/>
      </c>
      <c r="QO26">
        <f>IF($B26=0,1000000000,IF(INDEX('calcA'!$D$60:$EQ$99,$B26,62)*IF($W26=1,FK26+ABZ26,FK26)=1,IF(AND($E26=2,IF($W26=1,AHO26,KZ26)=0),1000000000,IF($V26=1,INDEX('calcA'!$D$130:$EQ$169,$B26,62)+IF(AND($E26=1,KZ26=0),25,0),IF($F26&gt;0,INDEX('calcA'!BM$110:BM$114,$F26+1)+IF(AND($E26=1,KZ26=0),1000,0),MIN(TW26,20)*400+(IF('calcA'!BL$106=1,1-FJ26,0)+IF('calcA'!BM$106=1,1-FL26,0))*150+143+'calcA'!BM$5*100000+IF(AND($E26=1,KZ26=0),50000,0))+IF($H26=1,INDEX('calcA'!$D$180:$EQ$219,$B26,62)*4000,0)-IF(AND('calcA'!BL$117=1,WJ26&gt;0),2000,0)-IF(AND($U26=1,'calcA'!BM$117=1,FL26=0),2000,0))),1000000000))</f>
        <v/>
      </c>
      <c r="QP26">
        <f>IF($B26=0,1000000000,IF(INDEX('calcA'!$D$60:$EQ$99,$B26,63)*IF($W26=1,FL26+ACA26,FL26)=1,IF(AND($E26=2,IF($W26=1,AHP26,LA26)=0),1000000000,IF($V26=1,INDEX('calcA'!$D$130:$EQ$169,$B26,63)+IF(AND($E26=1,LA26=0),25,0),IF($F26&gt;0,INDEX('calcA'!BN$110:BN$114,$F26+1)+IF(AND($E26=1,LA26=0),1000,0),MIN(TW26,20)*400+(IF('calcA'!BM$106=1,1-FK26,0)+IF('calcA'!BN$106=1,1-FM26,0))*150+153+'calcA'!BN$5*100000+IF(AND($E26=1,LA26=0),50000,0))+IF($H26=1,INDEX('calcA'!$D$180:$EQ$219,$B26,63)*4000,0)-IF(AND('calcA'!BM$117=1,WK26&gt;0),2000,0)-IF(AND($U26=1,'calcA'!BN$117=1,FM26=0),2000,0))),1000000000))</f>
        <v/>
      </c>
      <c r="QQ26">
        <f>IF($B26=0,1000000000,IF(INDEX('calcA'!$D$60:$EQ$99,$B26,64)*IF($W26=1,FM26+ACB26,FM26)=1,IF(AND($E26=2,IF($W26=1,AHQ26,LB26)=0),1000000000,IF($V26=1,INDEX('calcA'!$D$130:$EQ$169,$B26,64)+IF(AND($E26=1,LB26=0),25,0),IF($F26&gt;0,INDEX('calcA'!BO$110:BO$114,$F26+1)+IF(AND($E26=1,LB26=0),1000,0),MIN(TW26,20)*400+(IF('calcA'!BN$106=1,1-FL26,0)+IF('calcA'!BO$106=1,1-FN26,0))*150+163+'calcA'!BO$5*100000+IF(AND($E26=1,LB26=0),50000,0))+IF($H26=1,INDEX('calcA'!$D$180:$EQ$219,$B26,64)*4000,0)-IF(AND('calcA'!BN$117=1,WL26&gt;0),2000,0)-IF(AND($U26=1,'calcA'!BO$117=1,FN26=0),2000,0))),1000000000))</f>
        <v/>
      </c>
      <c r="QR26">
        <f>IF($B26=0,1000000000,IF(INDEX('calcA'!$D$60:$EQ$99,$B26,65)*IF($W26=1,FN26+ACC26,FN26)=1,IF(AND($E26=2,IF($W26=1,AHR26,LC26)=0),1000000000,IF($V26=1,INDEX('calcA'!$D$130:$EQ$169,$B26,65)+IF(AND($E26=1,LC26=0),25,0),IF($F26&gt;0,INDEX('calcA'!BP$110:BP$114,$F26+1)+IF(AND($E26=1,LC26=0),1000,0),MIN(TW26,20)*400+(IF('calcA'!BO$106=1,1-FM26,0)+IF('calcA'!BP$106=1,1-FO26,0))*150+173+'calcA'!BP$5*100000+IF(AND($E26=1,LC26=0),50000,0))+IF($H26=1,INDEX('calcA'!$D$180:$EQ$219,$B26,65)*4000,0)-IF(AND('calcA'!BO$117=1,WM26&gt;0),2000,0)-IF(AND($U26=1,'calcA'!BP$117=1,FO26=0),2000,0))),1000000000))</f>
        <v/>
      </c>
      <c r="QS26">
        <f>IF($B26=0,1000000000,IF(INDEX('calcA'!$D$60:$EQ$99,$B26,66)*IF($W26=1,FO26+ACD26,FO26)=1,IF(AND($E26=2,IF($W26=1,AHS26,LD26)=0),1000000000,IF($V26=1,INDEX('calcA'!$D$130:$EQ$169,$B26,66)+IF(AND($E26=1,LD26=0),25,0),IF($F26&gt;0,INDEX('calcA'!BQ$110:BQ$114,$F26+1)+IF(AND($E26=1,LD26=0),1000,0),MIN(TW26,20)*400+(IF('calcA'!BP$106=1,1-FN26,0)+IF('calcA'!BQ$106=1,1-FP26,0))*150+183+'calcA'!BQ$5*100000+IF(AND($E26=1,LD26=0),50000,0))+IF($H26=1,INDEX('calcA'!$D$180:$EQ$219,$B26,66)*4000,0)-IF(AND('calcA'!BP$117=1,WN26&gt;0),2000,0)-IF(AND($U26=1,'calcA'!BQ$117=1,FP26=0),2000,0))),1000000000))</f>
        <v/>
      </c>
      <c r="QT26">
        <f>IF($B26=0,1000000000,IF(INDEX('calcA'!$D$60:$EQ$99,$B26,67)*IF($W26=1,FP26+ACE26,FP26)=1,IF(AND($E26=2,IF($W26=1,AHT26,LE26)=0),1000000000,IF($V26=1,INDEX('calcA'!$D$130:$EQ$169,$B26,67)+IF(AND($E26=1,LE26=0),25,0),IF($F26&gt;0,INDEX('calcA'!BR$110:BR$114,$F26+1)+IF(AND($E26=1,LE26=0),1000,0),MIN(TW26,20)*400+(IF('calcA'!BQ$106=1,1-FO26,0)+IF('calcA'!BR$106=1,1-FQ26,0))*150+193+'calcA'!BR$5*100000+IF(AND($E26=1,LE26=0),50000,0))+IF($H26=1,INDEX('calcA'!$D$180:$EQ$219,$B26,67)*4000,0)-IF(AND('calcA'!BQ$117=1,WO26&gt;0),2000,0)-IF(AND($U26=1,'calcA'!BR$117=1,FQ26=0),2000,0))),1000000000))</f>
        <v/>
      </c>
      <c r="QU26">
        <f>IF($B26=0,1000000000,IF(INDEX('calcA'!$D$60:$EQ$99,$B26,68)*IF($W26=1,FQ26+ACF26,FQ26)=1,IF(AND($E26=2,IF($W26=1,AHU26,LF26)=0),1000000000,IF($V26=1,INDEX('calcA'!$D$130:$EQ$169,$B26,68)+IF(AND($E26=1,LF26=0),25,0),IF($F26&gt;0,INDEX('calcA'!BS$110:BS$114,$F26+1)+IF(AND($E26=1,LF26=0),1000,0),MIN(TW26,20)*400+(IF('calcA'!BR$106=1,1-FP26,0)+IF('calcA'!BS$106=1,1-FR26,0))*150+203+'calcA'!BS$5*100000+IF(AND($E26=1,LF26=0),50000,0))+IF($H26=1,INDEX('calcA'!$D$180:$EQ$219,$B26,68)*4000,0)-IF(AND('calcA'!BR$117=1,WP26&gt;0),2000,0)-IF(AND($U26=1,'calcA'!BS$117=1,FR26=0),2000,0))),1000000000))</f>
        <v/>
      </c>
      <c r="QV26">
        <f>IF($B26=0,1000000000,IF(INDEX('calcA'!$D$60:$EQ$99,$B26,69)*IF($W26=1,FR26+ACG26,FR26)=1,IF(AND($E26=2,IF($W26=1,AHV26,LG26)=0),1000000000,IF($V26=1,INDEX('calcA'!$D$130:$EQ$169,$B26,69)+IF(AND($E26=1,LG26=0),25,0),IF($F26&gt;0,INDEX('calcA'!BT$110:BT$114,$F26+1)+IF(AND($E26=1,LG26=0),1000,0),MIN(TW26,20)*400+(IF('calcA'!BS$106=1,1-FQ26,0)+IF('calcA'!BT$106=1,1-FS26,0))*150+213+'calcA'!BT$5*100000+IF(AND($E26=1,LG26=0),50000,0))+IF($H26=1,INDEX('calcA'!$D$180:$EQ$219,$B26,69)*4000,0)-IF(AND('calcA'!BS$117=1,WQ26&gt;0),2000,0)-IF(AND($U26=1,'calcA'!BT$117=1,FS26=0),2000,0))),1000000000))</f>
        <v/>
      </c>
      <c r="QW26">
        <f>IF($B26=0,1000000000,IF(INDEX('calcA'!$D$60:$EQ$99,$B26,70)*IF($W26=1,FS26+ACH26,FS26)=1,IF(AND($E26=2,IF($W26=1,AHW26,LH26)=0),1000000000,IF($V26=1,INDEX('calcA'!$D$130:$EQ$169,$B26,70)+IF(AND($E26=1,LH26=0),25,0),IF($F26&gt;0,INDEX('calcA'!BU$110:BU$114,$F26+1)+IF(AND($E26=1,LH26=0),1000,0),MIN(TW26,20)*400+(IF('calcA'!BT$106=1,1-FR26,0)+IF('calcA'!BU$106=1,1-FT26,0))*150+223+'calcA'!BU$5*100000+IF(AND($E26=1,LH26=0),50000,0))+IF($H26=1,INDEX('calcA'!$D$180:$EQ$219,$B26,70)*4000,0)-IF(AND('calcA'!BT$117=1,WR26&gt;0),2000,0)-IF(AND($U26=1,'calcA'!BU$117=1,FT26=0),2000,0))),1000000000))</f>
        <v/>
      </c>
      <c r="QX26">
        <f>IF($B26=0,1000000000,IF(INDEX('calcA'!$D$60:$EQ$99,$B26,71)*IF($W26=1,FT26+ACI26,FT26)=1,IF(AND($E26=2,IF($W26=1,AHX26,LI26)=0),1000000000,IF($V26=1,INDEX('calcA'!$D$130:$EQ$169,$B26,71)+IF(AND($E26=1,LI26=0),25,0),IF($F26&gt;0,INDEX('calcA'!BV$110:BV$114,$F26+1)+IF(AND($E26=1,LI26=0),1000,0),MIN(TW26,20)*400+(IF('calcA'!BU$106=1,1-FS26,0)+IF('calcA'!BV$106=1,1-FU26,0))*150+233+'calcA'!BV$5*100000+IF(AND($E26=1,LI26=0),50000,0))+IF($H26=1,INDEX('calcA'!$D$180:$EQ$219,$B26,71)*4000,0)-IF(AND('calcA'!BU$117=1,WS26&gt;0),2000,0)-IF(AND($U26=1,'calcA'!BV$117=1,FU26=0),2000,0))),1000000000))</f>
        <v/>
      </c>
      <c r="QY26">
        <f>IF($B26=0,1000000000,IF(INDEX('calcA'!$D$60:$EQ$99,$B26,72)*IF($W26=1,FU26+ACJ26,FU26)=1,IF(AND($E26=2,IF($W26=1,AHY26,LJ26)=0),1000000000,IF($V26=1,INDEX('calcA'!$D$130:$EQ$169,$B26,72)+IF(AND($E26=1,LJ26=0),25,0),IF($F26&gt;0,INDEX('calcA'!BW$110:BW$114,$F26+1)+IF(AND($E26=1,LJ26=0),1000,0),MIN(TW26,20)*400+(IF('calcA'!BV$106=1,1-FT26,0))*150+243+'calcA'!BW$5*100000+IF(AND($E26=1,LJ26=0),50000,0))+IF($H26=1,INDEX('calcA'!$D$180:$EQ$219,$B26,72)*4000,0)-IF(AND('calcA'!BV$117=1,WT26&gt;0),2000,0))),1000000000))</f>
        <v/>
      </c>
      <c r="QZ26">
        <f>IF($B26=0,1000000000,IF(INDEX('calcA'!$D$60:$EQ$99,$B26,73)*IF($W26=1,FV26+ACK26,FV26)=1,IF(AND($E26=2,IF($W26=1,AHZ26,LK26)=0),1000000000,IF($V26=1,INDEX('calcA'!$D$130:$EQ$169,$B26,73)+IF(AND($E26=1,LK26=0),25,0),IF($F26&gt;0,INDEX('calcA'!BX$110:BX$114,$F26+1)+IF(AND($E26=1,LK26=0),1000,0),MIN(TX26,20)*400+(IF('calcA'!BX$106=1,1-FW26,0))*150+14+'calcA'!BX$5*100000+IF(AND($E26=1,LK26=0),50000,0))+IF($H26=1,INDEX('calcA'!$D$180:$EQ$219,$B26,73)*4000,0)-IF(AND($U26=1,'calcA'!BX$117=1,FW26=0),2000,0))),1000000000))</f>
        <v/>
      </c>
      <c r="RA26">
        <f>IF($B26=0,1000000000,IF(INDEX('calcA'!$D$60:$EQ$99,$B26,74)*IF($W26=1,FW26+ACL26,FW26)=1,IF(AND($E26=2,IF($W26=1,AIA26,LL26)=0),1000000000,IF($V26=1,INDEX('calcA'!$D$130:$EQ$169,$B26,74)+IF(AND($E26=1,LL26=0),25,0),IF($F26&gt;0,INDEX('calcA'!BY$110:BY$114,$F26+1)+IF(AND($E26=1,LL26=0),1000,0),MIN(TX26,20)*400+(IF('calcA'!BX$106=1,1-FV26,0)+IF('calcA'!BY$106=1,1-FX26,0))*150+24+'calcA'!BY$5*100000+IF(AND($E26=1,LL26=0),50000,0))+IF($H26=1,INDEX('calcA'!$D$180:$EQ$219,$B26,74)*4000,0)-IF(AND('calcA'!BX$117=1,WV26&gt;0),2000,0)-IF(AND($U26=1,'calcA'!BY$117=1,FX26=0),2000,0))),1000000000))</f>
        <v/>
      </c>
      <c r="RB26">
        <f>IF($B26=0,1000000000,IF(INDEX('calcA'!$D$60:$EQ$99,$B26,75)*IF($W26=1,FX26+ACM26,FX26)=1,IF(AND($E26=2,IF($W26=1,AIB26,LM26)=0),1000000000,IF($V26=1,INDEX('calcA'!$D$130:$EQ$169,$B26,75)+IF(AND($E26=1,LM26=0),25,0),IF($F26&gt;0,INDEX('calcA'!BZ$110:BZ$114,$F26+1)+IF(AND($E26=1,LM26=0),1000,0),MIN(TX26,20)*400+(IF('calcA'!BY$106=1,1-FW26,0)+IF('calcA'!BZ$106=1,1-FY26,0))*150+34+'calcA'!BZ$5*100000+IF(AND($E26=1,LM26=0),50000,0))+IF($H26=1,INDEX('calcA'!$D$180:$EQ$219,$B26,75)*4000,0)-IF(AND('calcA'!BY$117=1,WW26&gt;0),2000,0)-IF(AND($U26=1,'calcA'!BZ$117=1,FY26=0),2000,0))),1000000000))</f>
        <v/>
      </c>
      <c r="RC26">
        <f>IF($B26=0,1000000000,IF(INDEX('calcA'!$D$60:$EQ$99,$B26,76)*IF($W26=1,FY26+ACN26,FY26)=1,IF(AND($E26=2,IF($W26=1,AIC26,LN26)=0),1000000000,IF($V26=1,INDEX('calcA'!$D$130:$EQ$169,$B26,76)+IF(AND($E26=1,LN26=0),25,0),IF($F26&gt;0,INDEX('calcA'!CA$110:CA$114,$F26+1)+IF(AND($E26=1,LN26=0),1000,0),MIN(TX26,20)*400+(IF('calcA'!BZ$106=1,1-FX26,0)+IF('calcA'!CA$106=1,1-FZ26,0))*150+44+'calcA'!CA$5*100000+IF(AND($E26=1,LN26=0),50000,0))+IF($H26=1,INDEX('calcA'!$D$180:$EQ$219,$B26,76)*4000,0)-IF(AND('calcA'!BZ$117=1,WX26&gt;0),2000,0)-IF(AND($U26=1,'calcA'!CA$117=1,FZ26=0),2000,0))),1000000000))</f>
        <v/>
      </c>
      <c r="RD26">
        <f>IF($B26=0,1000000000,IF(INDEX('calcA'!$D$60:$EQ$99,$B26,77)*IF($W26=1,FZ26+ACO26,FZ26)=1,IF(AND($E26=2,IF($W26=1,AID26,LO26)=0),1000000000,IF($V26=1,INDEX('calcA'!$D$130:$EQ$169,$B26,77)+IF(AND($E26=1,LO26=0),25,0),IF($F26&gt;0,INDEX('calcA'!CB$110:CB$114,$F26+1)+IF(AND($E26=1,LO26=0),1000,0),MIN(TX26,20)*400+(IF('calcA'!CA$106=1,1-FY26,0)+IF('calcA'!CB$106=1,1-GA26,0))*150+54+'calcA'!CB$5*100000+IF(AND($E26=1,LO26=0),50000,0))+IF($H26=1,INDEX('calcA'!$D$180:$EQ$219,$B26,77)*4000,0)-IF(AND('calcA'!CA$117=1,WY26&gt;0),2000,0)-IF(AND($U26=1,'calcA'!CB$117=1,GA26=0),2000,0))),1000000000))</f>
        <v/>
      </c>
      <c r="RE26">
        <f>IF($B26=0,1000000000,IF(INDEX('calcA'!$D$60:$EQ$99,$B26,78)*IF($W26=1,GA26+ACP26,GA26)=1,IF(AND($E26=2,IF($W26=1,AIE26,LP26)=0),1000000000,IF($V26=1,INDEX('calcA'!$D$130:$EQ$169,$B26,78)+IF(AND($E26=1,LP26=0),25,0),IF($F26&gt;0,INDEX('calcA'!CC$110:CC$114,$F26+1)+IF(AND($E26=1,LP26=0),1000,0),MIN(TX26,20)*400+(IF('calcA'!CB$106=1,1-FZ26,0)+IF('calcA'!CC$106=1,1-GB26,0))*150+64+'calcA'!CC$5*100000+IF(AND($E26=1,LP26=0),50000,0))+IF($H26=1,INDEX('calcA'!$D$180:$EQ$219,$B26,78)*4000,0)-IF(AND('calcA'!CB$117=1,WZ26&gt;0),2000,0)-IF(AND($U26=1,'calcA'!CC$117=1,GB26=0),2000,0))),1000000000))</f>
        <v/>
      </c>
      <c r="RF26">
        <f>IF($B26=0,1000000000,IF(INDEX('calcA'!$D$60:$EQ$99,$B26,79)*IF($W26=1,GB26+ACQ26,GB26)=1,IF(AND($E26=2,IF($W26=1,AIF26,LQ26)=0),1000000000,IF($V26=1,INDEX('calcA'!$D$130:$EQ$169,$B26,79)+IF(AND($E26=1,LQ26=0),25,0),IF($F26&gt;0,INDEX('calcA'!CD$110:CD$114,$F26+1)+IF(AND($E26=1,LQ26=0),1000,0),MIN(TX26,20)*400+(IF('calcA'!CC$106=1,1-GA26,0)+IF('calcA'!CD$106=1,1-GC26,0))*150+74+'calcA'!CD$5*100000+IF(AND($E26=1,LQ26=0),50000,0))+IF($H26=1,INDEX('calcA'!$D$180:$EQ$219,$B26,79)*4000,0)-IF(AND('calcA'!CC$117=1,XA26&gt;0),2000,0)-IF(AND($U26=1,'calcA'!CD$117=1,GC26=0),2000,0))),1000000000))</f>
        <v/>
      </c>
      <c r="RG26">
        <f>IF($B26=0,1000000000,IF(INDEX('calcA'!$D$60:$EQ$99,$B26,80)*IF($W26=1,GC26+ACR26,GC26)=1,IF(AND($E26=2,IF($W26=1,AIG26,LR26)=0),1000000000,IF($V26=1,INDEX('calcA'!$D$130:$EQ$169,$B26,80)+IF(AND($E26=1,LR26=0),25,0),IF($F26&gt;0,INDEX('calcA'!CE$110:CE$114,$F26+1)+IF(AND($E26=1,LR26=0),1000,0),MIN(TX26,20)*400+(IF('calcA'!CD$106=1,1-GB26,0)+IF('calcA'!CE$106=1,1-GD26,0))*150+84+'calcA'!CE$5*100000+IF(AND($E26=1,LR26=0),50000,0))+IF($H26=1,INDEX('calcA'!$D$180:$EQ$219,$B26,80)*4000,0)-IF(AND('calcA'!CD$117=1,XB26&gt;0),2000,0)-IF(AND($U26=1,'calcA'!CE$117=1,GD26=0),2000,0))),1000000000))</f>
        <v/>
      </c>
      <c r="RH26">
        <f>IF($B26=0,1000000000,IF(INDEX('calcA'!$D$60:$EQ$99,$B26,81)*IF($W26=1,GD26+ACS26,GD26)=1,IF(AND($E26=2,IF($W26=1,AIH26,LS26)=0),1000000000,IF($V26=1,INDEX('calcA'!$D$130:$EQ$169,$B26,81)+IF(AND($E26=1,LS26=0),25,0),IF($F26&gt;0,INDEX('calcA'!CF$110:CF$114,$F26+1)+IF(AND($E26=1,LS26=0),1000,0),MIN(TX26,20)*400+(IF('calcA'!CE$106=1,1-GC26,0)+IF('calcA'!CF$106=1,1-GE26,0))*150+94+'calcA'!CF$5*100000+IF(AND($E26=1,LS26=0),50000,0))+IF($H26=1,INDEX('calcA'!$D$180:$EQ$219,$B26,81)*4000,0)-IF(AND('calcA'!CE$117=1,XC26&gt;0),2000,0)-IF(AND($U26=1,'calcA'!CF$117=1,GE26=0),2000,0))),1000000000))</f>
        <v/>
      </c>
      <c r="RI26">
        <f>IF($B26=0,1000000000,IF(INDEX('calcA'!$D$60:$EQ$99,$B26,82)*IF($W26=1,GE26+ACT26,GE26)=1,IF(AND($E26=2,IF($W26=1,AII26,LT26)=0),1000000000,IF($V26=1,INDEX('calcA'!$D$130:$EQ$169,$B26,82)+IF(AND($E26=1,LT26=0),25,0),IF($F26&gt;0,INDEX('calcA'!CG$110:CG$114,$F26+1)+IF(AND($E26=1,LT26=0),1000,0),MIN(TX26,20)*400+(IF('calcA'!CF$106=1,1-GD26,0)+IF('calcA'!CG$106=1,1-GF26,0))*150+104+'calcA'!CG$5*100000+IF(AND($E26=1,LT26=0),50000,0))+IF($H26=1,INDEX('calcA'!$D$180:$EQ$219,$B26,82)*4000,0)-IF(AND('calcA'!CF$117=1,XD26&gt;0),2000,0)-IF(AND($U26=1,'calcA'!CG$117=1,GF26=0),2000,0))),1000000000))</f>
        <v/>
      </c>
      <c r="RJ26">
        <f>IF($B26=0,1000000000,IF(INDEX('calcA'!$D$60:$EQ$99,$B26,83)*IF($W26=1,GF26+ACU26,GF26)=1,IF(AND($E26=2,IF($W26=1,AIJ26,LU26)=0),1000000000,IF($V26=1,INDEX('calcA'!$D$130:$EQ$169,$B26,83)+IF(AND($E26=1,LU26=0),25,0),IF($F26&gt;0,INDEX('calcA'!CH$110:CH$114,$F26+1)+IF(AND($E26=1,LU26=0),1000,0),MIN(TX26,20)*400+(IF('calcA'!CG$106=1,1-GE26,0)+IF('calcA'!CH$106=1,1-GG26,0))*150+114+'calcA'!CH$5*100000+IF(AND($E26=1,LU26=0),50000,0))+IF($H26=1,INDEX('calcA'!$D$180:$EQ$219,$B26,83)*4000,0)-IF(AND('calcA'!CG$117=1,XE26&gt;0),2000,0)-IF(AND($U26=1,'calcA'!CH$117=1,GG26=0),2000,0))),1000000000))</f>
        <v/>
      </c>
      <c r="RK26">
        <f>IF($B26=0,1000000000,IF(INDEX('calcA'!$D$60:$EQ$99,$B26,84)*IF($W26=1,GG26+ACV26,GG26)=1,IF(AND($E26=2,IF($W26=1,AIK26,LV26)=0),1000000000,IF($V26=1,INDEX('calcA'!$D$130:$EQ$169,$B26,84)+IF(AND($E26=1,LV26=0),25,0),IF($F26&gt;0,INDEX('calcA'!CI$110:CI$114,$F26+1)+IF(AND($E26=1,LV26=0),1000,0),MIN(TX26,20)*400+(IF('calcA'!CH$106=1,1-GF26,0)+IF('calcA'!CI$106=1,1-GH26,0))*150+124+'calcA'!CI$5*100000+IF(AND($E26=1,LV26=0),50000,0))+IF($H26=1,INDEX('calcA'!$D$180:$EQ$219,$B26,84)*4000,0)-IF(AND('calcA'!CH$117=1,XF26&gt;0),2000,0)-IF(AND($U26=1,'calcA'!CI$117=1,GH26=0),2000,0))),1000000000))</f>
        <v/>
      </c>
      <c r="RL26">
        <f>IF($B26=0,1000000000,IF(INDEX('calcA'!$D$60:$EQ$99,$B26,85)*IF($W26=1,GH26+ACW26,GH26)=1,IF(AND($E26=2,IF($W26=1,AIL26,LW26)=0),1000000000,IF($V26=1,INDEX('calcA'!$D$130:$EQ$169,$B26,85)+IF(AND($E26=1,LW26=0),25,0),IF($F26&gt;0,INDEX('calcA'!CJ$110:CJ$114,$F26+1)+IF(AND($E26=1,LW26=0),1000,0),MIN(TX26,20)*400+(IF('calcA'!CI$106=1,1-GG26,0)+IF('calcA'!CJ$106=1,1-GI26,0))*150+134+'calcA'!CJ$5*100000+IF(AND($E26=1,LW26=0),50000,0))+IF($H26=1,INDEX('calcA'!$D$180:$EQ$219,$B26,85)*4000,0)-IF(AND('calcA'!CI$117=1,XG26&gt;0),2000,0)-IF(AND($U26=1,'calcA'!CJ$117=1,GI26=0),2000,0))),1000000000))</f>
        <v/>
      </c>
      <c r="RM26">
        <f>IF($B26=0,1000000000,IF(INDEX('calcA'!$D$60:$EQ$99,$B26,86)*IF($W26=1,GI26+ACX26,GI26)=1,IF(AND($E26=2,IF($W26=1,AIM26,LX26)=0),1000000000,IF($V26=1,INDEX('calcA'!$D$130:$EQ$169,$B26,86)+IF(AND($E26=1,LX26=0),25,0),IF($F26&gt;0,INDEX('calcA'!CK$110:CK$114,$F26+1)+IF(AND($E26=1,LX26=0),1000,0),MIN(TX26,20)*400+(IF('calcA'!CJ$106=1,1-GH26,0)+IF('calcA'!CK$106=1,1-GJ26,0))*150+144+'calcA'!CK$5*100000+IF(AND($E26=1,LX26=0),50000,0))+IF($H26=1,INDEX('calcA'!$D$180:$EQ$219,$B26,86)*4000,0)-IF(AND('calcA'!CJ$117=1,XH26&gt;0),2000,0)-IF(AND($U26=1,'calcA'!CK$117=1,GJ26=0),2000,0))),1000000000))</f>
        <v/>
      </c>
      <c r="RN26">
        <f>IF($B26=0,1000000000,IF(INDEX('calcA'!$D$60:$EQ$99,$B26,87)*IF($W26=1,GJ26+ACY26,GJ26)=1,IF(AND($E26=2,IF($W26=1,AIN26,LY26)=0),1000000000,IF($V26=1,INDEX('calcA'!$D$130:$EQ$169,$B26,87)+IF(AND($E26=1,LY26=0),25,0),IF($F26&gt;0,INDEX('calcA'!CL$110:CL$114,$F26+1)+IF(AND($E26=1,LY26=0),1000,0),MIN(TX26,20)*400+(IF('calcA'!CK$106=1,1-GI26,0)+IF('calcA'!CL$106=1,1-GK26,0))*150+154+'calcA'!CL$5*100000+IF(AND($E26=1,LY26=0),50000,0))+IF($H26=1,INDEX('calcA'!$D$180:$EQ$219,$B26,87)*4000,0)-IF(AND('calcA'!CK$117=1,XI26&gt;0),2000,0)-IF(AND($U26=1,'calcA'!CL$117=1,GK26=0),2000,0))),1000000000))</f>
        <v/>
      </c>
      <c r="RO26">
        <f>IF($B26=0,1000000000,IF(INDEX('calcA'!$D$60:$EQ$99,$B26,88)*IF($W26=1,GK26+ACZ26,GK26)=1,IF(AND($E26=2,IF($W26=1,AIO26,LZ26)=0),1000000000,IF($V26=1,INDEX('calcA'!$D$130:$EQ$169,$B26,88)+IF(AND($E26=1,LZ26=0),25,0),IF($F26&gt;0,INDEX('calcA'!CM$110:CM$114,$F26+1)+IF(AND($E26=1,LZ26=0),1000,0),MIN(TX26,20)*400+(IF('calcA'!CL$106=1,1-GJ26,0)+IF('calcA'!CM$106=1,1-GL26,0))*150+164+'calcA'!CM$5*100000+IF(AND($E26=1,LZ26=0),50000,0))+IF($H26=1,INDEX('calcA'!$D$180:$EQ$219,$B26,88)*4000,0)-IF(AND('calcA'!CL$117=1,XJ26&gt;0),2000,0)-IF(AND($U26=1,'calcA'!CM$117=1,GL26=0),2000,0))),1000000000))</f>
        <v/>
      </c>
      <c r="RP26">
        <f>IF($B26=0,1000000000,IF(INDEX('calcA'!$D$60:$EQ$99,$B26,89)*IF($W26=1,GL26+ADA26,GL26)=1,IF(AND($E26=2,IF($W26=1,AIP26,MA26)=0),1000000000,IF($V26=1,INDEX('calcA'!$D$130:$EQ$169,$B26,89)+IF(AND($E26=1,MA26=0),25,0),IF($F26&gt;0,INDEX('calcA'!CN$110:CN$114,$F26+1)+IF(AND($E26=1,MA26=0),1000,0),MIN(TX26,20)*400+(IF('calcA'!CM$106=1,1-GK26,0)+IF('calcA'!CN$106=1,1-GM26,0))*150+174+'calcA'!CN$5*100000+IF(AND($E26=1,MA26=0),50000,0))+IF($H26=1,INDEX('calcA'!$D$180:$EQ$219,$B26,89)*4000,0)-IF(AND('calcA'!CM$117=1,XK26&gt;0),2000,0)-IF(AND($U26=1,'calcA'!CN$117=1,GM26=0),2000,0))),1000000000))</f>
        <v/>
      </c>
      <c r="RQ26">
        <f>IF($B26=0,1000000000,IF(INDEX('calcA'!$D$60:$EQ$99,$B26,90)*IF($W26=1,GM26+ADB26,GM26)=1,IF(AND($E26=2,IF($W26=1,AIQ26,MB26)=0),1000000000,IF($V26=1,INDEX('calcA'!$D$130:$EQ$169,$B26,90)+IF(AND($E26=1,MB26=0),25,0),IF($F26&gt;0,INDEX('calcA'!CO$110:CO$114,$F26+1)+IF(AND($E26=1,MB26=0),1000,0),MIN(TX26,20)*400+(IF('calcA'!CN$106=1,1-GL26,0)+IF('calcA'!CO$106=1,1-GN26,0))*150+184+'calcA'!CO$5*100000+IF(AND($E26=1,MB26=0),50000,0))+IF($H26=1,INDEX('calcA'!$D$180:$EQ$219,$B26,90)*4000,0)-IF(AND('calcA'!CN$117=1,XL26&gt;0),2000,0)-IF(AND($U26=1,'calcA'!CO$117=1,GN26=0),2000,0))),1000000000))</f>
        <v/>
      </c>
      <c r="RR26">
        <f>IF($B26=0,1000000000,IF(INDEX('calcA'!$D$60:$EQ$99,$B26,91)*IF($W26=1,GN26+ADC26,GN26)=1,IF(AND($E26=2,IF($W26=1,AIR26,MC26)=0),1000000000,IF($V26=1,INDEX('calcA'!$D$130:$EQ$169,$B26,91)+IF(AND($E26=1,MC26=0),25,0),IF($F26&gt;0,INDEX('calcA'!CP$110:CP$114,$F26+1)+IF(AND($E26=1,MC26=0),1000,0),MIN(TX26,20)*400+(IF('calcA'!CO$106=1,1-GM26,0)+IF('calcA'!CP$106=1,1-GO26,0))*150+194+'calcA'!CP$5*100000+IF(AND($E26=1,MC26=0),50000,0))+IF($H26=1,INDEX('calcA'!$D$180:$EQ$219,$B26,91)*4000,0)-IF(AND('calcA'!CO$117=1,XM26&gt;0),2000,0)-IF(AND($U26=1,'calcA'!CP$117=1,GO26=0),2000,0))),1000000000))</f>
        <v/>
      </c>
      <c r="RS26">
        <f>IF($B26=0,1000000000,IF(INDEX('calcA'!$D$60:$EQ$99,$B26,92)*IF($W26=1,GO26+ADD26,GO26)=1,IF(AND($E26=2,IF($W26=1,AIS26,MD26)=0),1000000000,IF($V26=1,INDEX('calcA'!$D$130:$EQ$169,$B26,92)+IF(AND($E26=1,MD26=0),25,0),IF($F26&gt;0,INDEX('calcA'!CQ$110:CQ$114,$F26+1)+IF(AND($E26=1,MD26=0),1000,0),MIN(TX26,20)*400+(IF('calcA'!CP$106=1,1-GN26,0)+IF('calcA'!CQ$106=1,1-GP26,0))*150+204+'calcA'!CQ$5*100000+IF(AND($E26=1,MD26=0),50000,0))+IF($H26=1,INDEX('calcA'!$D$180:$EQ$219,$B26,92)*4000,0)-IF(AND('calcA'!CP$117=1,XN26&gt;0),2000,0)-IF(AND($U26=1,'calcA'!CQ$117=1,GP26=0),2000,0))),1000000000))</f>
        <v/>
      </c>
      <c r="RT26">
        <f>IF($B26=0,1000000000,IF(INDEX('calcA'!$D$60:$EQ$99,$B26,93)*IF($W26=1,GP26+ADE26,GP26)=1,IF(AND($E26=2,IF($W26=1,AIT26,ME26)=0),1000000000,IF($V26=1,INDEX('calcA'!$D$130:$EQ$169,$B26,93)+IF(AND($E26=1,ME26=0),25,0),IF($F26&gt;0,INDEX('calcA'!CR$110:CR$114,$F26+1)+IF(AND($E26=1,ME26=0),1000,0),MIN(TX26,20)*400+(IF('calcA'!CQ$106=1,1-GO26,0)+IF('calcA'!CR$106=1,1-GQ26,0))*150+214+'calcA'!CR$5*100000+IF(AND($E26=1,ME26=0),50000,0))+IF($H26=1,INDEX('calcA'!$D$180:$EQ$219,$B26,93)*4000,0)-IF(AND('calcA'!CQ$117=1,XO26&gt;0),2000,0)-IF(AND($U26=1,'calcA'!CR$117=1,GQ26=0),2000,0))),1000000000))</f>
        <v/>
      </c>
      <c r="RU26">
        <f>IF($B26=0,1000000000,IF(INDEX('calcA'!$D$60:$EQ$99,$B26,94)*IF($W26=1,GQ26+ADF26,GQ26)=1,IF(AND($E26=2,IF($W26=1,AIU26,MF26)=0),1000000000,IF($V26=1,INDEX('calcA'!$D$130:$EQ$169,$B26,94)+IF(AND($E26=1,MF26=0),25,0),IF($F26&gt;0,INDEX('calcA'!CS$110:CS$114,$F26+1)+IF(AND($E26=1,MF26=0),1000,0),MIN(TX26,20)*400+(IF('calcA'!CR$106=1,1-GP26,0)+IF('calcA'!CS$106=1,1-GR26,0))*150+224+'calcA'!CS$5*100000+IF(AND($E26=1,MF26=0),50000,0))+IF($H26=1,INDEX('calcA'!$D$180:$EQ$219,$B26,94)*4000,0)-IF(AND('calcA'!CR$117=1,XP26&gt;0),2000,0)-IF(AND($U26=1,'calcA'!CS$117=1,GR26=0),2000,0))),1000000000))</f>
        <v/>
      </c>
      <c r="RV26">
        <f>IF($B26=0,1000000000,IF(INDEX('calcA'!$D$60:$EQ$99,$B26,95)*IF($W26=1,GR26+ADG26,GR26)=1,IF(AND($E26=2,IF($W26=1,AIV26,MG26)=0),1000000000,IF($V26=1,INDEX('calcA'!$D$130:$EQ$169,$B26,95)+IF(AND($E26=1,MG26=0),25,0),IF($F26&gt;0,INDEX('calcA'!CT$110:CT$114,$F26+1)+IF(AND($E26=1,MG26=0),1000,0),MIN(TX26,20)*400+(IF('calcA'!CS$106=1,1-GQ26,0)+IF('calcA'!CT$106=1,1-GS26,0))*150+234+'calcA'!CT$5*100000+IF(AND($E26=1,MG26=0),50000,0))+IF($H26=1,INDEX('calcA'!$D$180:$EQ$219,$B26,95)*4000,0)-IF(AND('calcA'!CS$117=1,XQ26&gt;0),2000,0)-IF(AND($U26=1,'calcA'!CT$117=1,GS26=0),2000,0))),1000000000))</f>
        <v/>
      </c>
      <c r="RW26">
        <f>IF($B26=0,1000000000,IF(INDEX('calcA'!$D$60:$EQ$99,$B26,96)*IF($W26=1,GS26+ADH26,GS26)=1,IF(AND($E26=2,IF($W26=1,AIW26,MH26)=0),1000000000,IF($V26=1,INDEX('calcA'!$D$130:$EQ$169,$B26,96)+IF(AND($E26=1,MH26=0),25,0),IF($F26&gt;0,INDEX('calcA'!CU$110:CU$114,$F26+1)+IF(AND($E26=1,MH26=0),1000,0),MIN(TX26,20)*400+(IF('calcA'!CT$106=1,1-GR26,0))*150+244+'calcA'!CU$5*100000+IF(AND($E26=1,MH26=0),50000,0))+IF($H26=1,INDEX('calcA'!$D$180:$EQ$219,$B26,96)*4000,0)-IF(AND('calcA'!CT$117=1,XR26&gt;0),2000,0))),1000000000))</f>
        <v/>
      </c>
      <c r="RX26">
        <f>IF($B26=0,1000000000,IF(INDEX('calcA'!$D$60:$EQ$99,$B26,97)*IF($W26=1,GT26+ADI26,GT26)=1,IF(AND($E26=2,IF($W26=1,AIX26,MI26)=0),1000000000,IF($V26=1,INDEX('calcA'!$D$130:$EQ$169,$B26,97)+IF(AND($E26=1,MI26=0),25,0),IF($F26&gt;0,INDEX('calcA'!CV$110:CV$114,$F26+1)+IF(AND($E26=1,MI26=0),1000,0),MIN(TY26,20)*400+(IF('calcA'!CV$106=1,1-GU26,0))*150+15+'calcA'!CV$5*100000+IF(AND($E26=1,MI26=0),50000,0))+IF($H26=1,INDEX('calcA'!$D$180:$EQ$219,$B26,97)*4000,0)-IF(AND($U26=1,'calcA'!CV$117=1,GU26=0),2000,0))),1000000000))</f>
        <v/>
      </c>
      <c r="RY26">
        <f>IF($B26=0,1000000000,IF(INDEX('calcA'!$D$60:$EQ$99,$B26,98)*IF($W26=1,GU26+ADJ26,GU26)=1,IF(AND($E26=2,IF($W26=1,AIY26,MJ26)=0),1000000000,IF($V26=1,INDEX('calcA'!$D$130:$EQ$169,$B26,98)+IF(AND($E26=1,MJ26=0),25,0),IF($F26&gt;0,INDEX('calcA'!CW$110:CW$114,$F26+1)+IF(AND($E26=1,MJ26=0),1000,0),MIN(TY26,20)*400+(IF('calcA'!CV$106=1,1-GT26,0)+IF('calcA'!CW$106=1,1-GV26,0))*150+25+'calcA'!CW$5*100000+IF(AND($E26=1,MJ26=0),50000,0))+IF($H26=1,INDEX('calcA'!$D$180:$EQ$219,$B26,98)*4000,0)-IF(AND('calcA'!CV$117=1,XT26&gt;0),2000,0)-IF(AND($U26=1,'calcA'!CW$117=1,GV26=0),2000,0))),1000000000))</f>
        <v/>
      </c>
      <c r="RZ26">
        <f>IF($B26=0,1000000000,IF(INDEX('calcA'!$D$60:$EQ$99,$B26,99)*IF($W26=1,GV26+ADK26,GV26)=1,IF(AND($E26=2,IF($W26=1,AIZ26,MK26)=0),1000000000,IF($V26=1,INDEX('calcA'!$D$130:$EQ$169,$B26,99)+IF(AND($E26=1,MK26=0),25,0),IF($F26&gt;0,INDEX('calcA'!CX$110:CX$114,$F26+1)+IF(AND($E26=1,MK26=0),1000,0),MIN(TY26,20)*400+(IF('calcA'!CW$106=1,1-GU26,0)+IF('calcA'!CX$106=1,1-GW26,0))*150+35+'calcA'!CX$5*100000+IF(AND($E26=1,MK26=0),50000,0))+IF($H26=1,INDEX('calcA'!$D$180:$EQ$219,$B26,99)*4000,0)-IF(AND('calcA'!CW$117=1,XU26&gt;0),2000,0)-IF(AND($U26=1,'calcA'!CX$117=1,GW26=0),2000,0))),1000000000))</f>
        <v/>
      </c>
      <c r="SA26">
        <f>IF($B26=0,1000000000,IF(INDEX('calcA'!$D$60:$EQ$99,$B26,100)*IF($W26=1,GW26+ADL26,GW26)=1,IF(AND($E26=2,IF($W26=1,AJA26,ML26)=0),1000000000,IF($V26=1,INDEX('calcA'!$D$130:$EQ$169,$B26,100)+IF(AND($E26=1,ML26=0),25,0),IF($F26&gt;0,INDEX('calcA'!CY$110:CY$114,$F26+1)+IF(AND($E26=1,ML26=0),1000,0),MIN(TY26,20)*400+(IF('calcA'!CX$106=1,1-GV26,0)+IF('calcA'!CY$106=1,1-GX26,0))*150+45+'calcA'!CY$5*100000+IF(AND($E26=1,ML26=0),50000,0))+IF($H26=1,INDEX('calcA'!$D$180:$EQ$219,$B26,100)*4000,0)-IF(AND('calcA'!CX$117=1,XV26&gt;0),2000,0)-IF(AND($U26=1,'calcA'!CY$117=1,GX26=0),2000,0))),1000000000))</f>
        <v/>
      </c>
      <c r="SB26">
        <f>IF($B26=0,1000000000,IF(INDEX('calcA'!$D$60:$EQ$99,$B26,101)*IF($W26=1,GX26+ADM26,GX26)=1,IF(AND($E26=2,IF($W26=1,AJB26,MM26)=0),1000000000,IF($V26=1,INDEX('calcA'!$D$130:$EQ$169,$B26,101)+IF(AND($E26=1,MM26=0),25,0),IF($F26&gt;0,INDEX('calcA'!CZ$110:CZ$114,$F26+1)+IF(AND($E26=1,MM26=0),1000,0),MIN(TY26,20)*400+(IF('calcA'!CY$106=1,1-GW26,0)+IF('calcA'!CZ$106=1,1-GY26,0))*150+55+'calcA'!CZ$5*100000+IF(AND($E26=1,MM26=0),50000,0))+IF($H26=1,INDEX('calcA'!$D$180:$EQ$219,$B26,101)*4000,0)-IF(AND('calcA'!CY$117=1,XW26&gt;0),2000,0)-IF(AND($U26=1,'calcA'!CZ$117=1,GY26=0),2000,0))),1000000000))</f>
        <v/>
      </c>
      <c r="SC26">
        <f>IF($B26=0,1000000000,IF(INDEX('calcA'!$D$60:$EQ$99,$B26,102)*IF($W26=1,GY26+ADN26,GY26)=1,IF(AND($E26=2,IF($W26=1,AJC26,MN26)=0),1000000000,IF($V26=1,INDEX('calcA'!$D$130:$EQ$169,$B26,102)+IF(AND($E26=1,MN26=0),25,0),IF($F26&gt;0,INDEX('calcA'!DA$110:DA$114,$F26+1)+IF(AND($E26=1,MN26=0),1000,0),MIN(TY26,20)*400+(IF('calcA'!CZ$106=1,1-GX26,0)+IF('calcA'!DA$106=1,1-GZ26,0))*150+65+'calcA'!DA$5*100000+IF(AND($E26=1,MN26=0),50000,0))+IF($H26=1,INDEX('calcA'!$D$180:$EQ$219,$B26,102)*4000,0)-IF(AND('calcA'!CZ$117=1,XX26&gt;0),2000,0)-IF(AND($U26=1,'calcA'!DA$117=1,GZ26=0),2000,0))),1000000000))</f>
        <v/>
      </c>
      <c r="SD26">
        <f>IF($B26=0,1000000000,IF(INDEX('calcA'!$D$60:$EQ$99,$B26,103)*IF($W26=1,GZ26+ADO26,GZ26)=1,IF(AND($E26=2,IF($W26=1,AJD26,MO26)=0),1000000000,IF($V26=1,INDEX('calcA'!$D$130:$EQ$169,$B26,103)+IF(AND($E26=1,MO26=0),25,0),IF($F26&gt;0,INDEX('calcA'!DB$110:DB$114,$F26+1)+IF(AND($E26=1,MO26=0),1000,0),MIN(TY26,20)*400+(IF('calcA'!DA$106=1,1-GY26,0)+IF('calcA'!DB$106=1,1-HA26,0))*150+75+'calcA'!DB$5*100000+IF(AND($E26=1,MO26=0),50000,0))+IF($H26=1,INDEX('calcA'!$D$180:$EQ$219,$B26,103)*4000,0)-IF(AND('calcA'!DA$117=1,XY26&gt;0),2000,0)-IF(AND($U26=1,'calcA'!DB$117=1,HA26=0),2000,0))),1000000000))</f>
        <v/>
      </c>
      <c r="SE26">
        <f>IF($B26=0,1000000000,IF(INDEX('calcA'!$D$60:$EQ$99,$B26,104)*IF($W26=1,HA26+ADP26,HA26)=1,IF(AND($E26=2,IF($W26=1,AJE26,MP26)=0),1000000000,IF($V26=1,INDEX('calcA'!$D$130:$EQ$169,$B26,104)+IF(AND($E26=1,MP26=0),25,0),IF($F26&gt;0,INDEX('calcA'!DC$110:DC$114,$F26+1)+IF(AND($E26=1,MP26=0),1000,0),MIN(TY26,20)*400+(IF('calcA'!DB$106=1,1-GZ26,0)+IF('calcA'!DC$106=1,1-HB26,0))*150+85+'calcA'!DC$5*100000+IF(AND($E26=1,MP26=0),50000,0))+IF($H26=1,INDEX('calcA'!$D$180:$EQ$219,$B26,104)*4000,0)-IF(AND('calcA'!DB$117=1,XZ26&gt;0),2000,0)-IF(AND($U26=1,'calcA'!DC$117=1,HB26=0),2000,0))),1000000000))</f>
        <v/>
      </c>
      <c r="SF26">
        <f>IF($B26=0,1000000000,IF(INDEX('calcA'!$D$60:$EQ$99,$B26,105)*IF($W26=1,HB26+ADQ26,HB26)=1,IF(AND($E26=2,IF($W26=1,AJF26,MQ26)=0),1000000000,IF($V26=1,INDEX('calcA'!$D$130:$EQ$169,$B26,105)+IF(AND($E26=1,MQ26=0),25,0),IF($F26&gt;0,INDEX('calcA'!DD$110:DD$114,$F26+1)+IF(AND($E26=1,MQ26=0),1000,0),MIN(TY26,20)*400+(IF('calcA'!DC$106=1,1-HA26,0)+IF('calcA'!DD$106=1,1-HC26,0))*150+95+'calcA'!DD$5*100000+IF(AND($E26=1,MQ26=0),50000,0))+IF($H26=1,INDEX('calcA'!$D$180:$EQ$219,$B26,105)*4000,0)-IF(AND('calcA'!DC$117=1,YA26&gt;0),2000,0)-IF(AND($U26=1,'calcA'!DD$117=1,HC26=0),2000,0))),1000000000))</f>
        <v/>
      </c>
      <c r="SG26">
        <f>IF($B26=0,1000000000,IF(INDEX('calcA'!$D$60:$EQ$99,$B26,106)*IF($W26=1,HC26+ADR26,HC26)=1,IF(AND($E26=2,IF($W26=1,AJG26,MR26)=0),1000000000,IF($V26=1,INDEX('calcA'!$D$130:$EQ$169,$B26,106)+IF(AND($E26=1,MR26=0),25,0),IF($F26&gt;0,INDEX('calcA'!DE$110:DE$114,$F26+1)+IF(AND($E26=1,MR26=0),1000,0),MIN(TY26,20)*400+(IF('calcA'!DD$106=1,1-HB26,0)+IF('calcA'!DE$106=1,1-HD26,0))*150+105+'calcA'!DE$5*100000+IF(AND($E26=1,MR26=0),50000,0))+IF($H26=1,INDEX('calcA'!$D$180:$EQ$219,$B26,106)*4000,0)-IF(AND('calcA'!DD$117=1,YB26&gt;0),2000,0)-IF(AND($U26=1,'calcA'!DE$117=1,HD26=0),2000,0))),1000000000))</f>
        <v/>
      </c>
      <c r="SH26">
        <f>IF($B26=0,1000000000,IF(INDEX('calcA'!$D$60:$EQ$99,$B26,107)*IF($W26=1,HD26+ADS26,HD26)=1,IF(AND($E26=2,IF($W26=1,AJH26,MS26)=0),1000000000,IF($V26=1,INDEX('calcA'!$D$130:$EQ$169,$B26,107)+IF(AND($E26=1,MS26=0),25,0),IF($F26&gt;0,INDEX('calcA'!DF$110:DF$114,$F26+1)+IF(AND($E26=1,MS26=0),1000,0),MIN(TY26,20)*400+(IF('calcA'!DE$106=1,1-HC26,0)+IF('calcA'!DF$106=1,1-HE26,0))*150+115+'calcA'!DF$5*100000+IF(AND($E26=1,MS26=0),50000,0))+IF($H26=1,INDEX('calcA'!$D$180:$EQ$219,$B26,107)*4000,0)-IF(AND('calcA'!DE$117=1,YC26&gt;0),2000,0)-IF(AND($U26=1,'calcA'!DF$117=1,HE26=0),2000,0))),1000000000))</f>
        <v/>
      </c>
      <c r="SI26">
        <f>IF($B26=0,1000000000,IF(INDEX('calcA'!$D$60:$EQ$99,$B26,108)*IF($W26=1,HE26+ADT26,HE26)=1,IF(AND($E26=2,IF($W26=1,AJI26,MT26)=0),1000000000,IF($V26=1,INDEX('calcA'!$D$130:$EQ$169,$B26,108)+IF(AND($E26=1,MT26=0),25,0),IF($F26&gt;0,INDEX('calcA'!DG$110:DG$114,$F26+1)+IF(AND($E26=1,MT26=0),1000,0),MIN(TY26,20)*400+(IF('calcA'!DF$106=1,1-HD26,0)+IF('calcA'!DG$106=1,1-HF26,0))*150+125+'calcA'!DG$5*100000+IF(AND($E26=1,MT26=0),50000,0))+IF($H26=1,INDEX('calcA'!$D$180:$EQ$219,$B26,108)*4000,0)-IF(AND('calcA'!DF$117=1,YD26&gt;0),2000,0)-IF(AND($U26=1,'calcA'!DG$117=1,HF26=0),2000,0))),1000000000))</f>
        <v/>
      </c>
      <c r="SJ26">
        <f>IF($B26=0,1000000000,IF(INDEX('calcA'!$D$60:$EQ$99,$B26,109)*IF($W26=1,HF26+ADU26,HF26)=1,IF(AND($E26=2,IF($W26=1,AJJ26,MU26)=0),1000000000,IF($V26=1,INDEX('calcA'!$D$130:$EQ$169,$B26,109)+IF(AND($E26=1,MU26=0),25,0),IF($F26&gt;0,INDEX('calcA'!DH$110:DH$114,$F26+1)+IF(AND($E26=1,MU26=0),1000,0),MIN(TY26,20)*400+(IF('calcA'!DG$106=1,1-HE26,0)+IF('calcA'!DH$106=1,1-HG26,0))*150+135+'calcA'!DH$5*100000+IF(AND($E26=1,MU26=0),50000,0))+IF($H26=1,INDEX('calcA'!$D$180:$EQ$219,$B26,109)*4000,0)-IF(AND('calcA'!DG$117=1,YE26&gt;0),2000,0)-IF(AND($U26=1,'calcA'!DH$117=1,HG26=0),2000,0))),1000000000))</f>
        <v/>
      </c>
      <c r="SK26">
        <f>IF($B26=0,1000000000,IF(INDEX('calcA'!$D$60:$EQ$99,$B26,110)*IF($W26=1,HG26+ADV26,HG26)=1,IF(AND($E26=2,IF($W26=1,AJK26,MV26)=0),1000000000,IF($V26=1,INDEX('calcA'!$D$130:$EQ$169,$B26,110)+IF(AND($E26=1,MV26=0),25,0),IF($F26&gt;0,INDEX('calcA'!DI$110:DI$114,$F26+1)+IF(AND($E26=1,MV26=0),1000,0),MIN(TY26,20)*400+(IF('calcA'!DH$106=1,1-HF26,0)+IF('calcA'!DI$106=1,1-HH26,0))*150+145+'calcA'!DI$5*100000+IF(AND($E26=1,MV26=0),50000,0))+IF($H26=1,INDEX('calcA'!$D$180:$EQ$219,$B26,110)*4000,0)-IF(AND('calcA'!DH$117=1,YF26&gt;0),2000,0)-IF(AND($U26=1,'calcA'!DI$117=1,HH26=0),2000,0))),1000000000))</f>
        <v/>
      </c>
      <c r="SL26">
        <f>IF($B26=0,1000000000,IF(INDEX('calcA'!$D$60:$EQ$99,$B26,111)*IF($W26=1,HH26+ADW26,HH26)=1,IF(AND($E26=2,IF($W26=1,AJL26,MW26)=0),1000000000,IF($V26=1,INDEX('calcA'!$D$130:$EQ$169,$B26,111)+IF(AND($E26=1,MW26=0),25,0),IF($F26&gt;0,INDEX('calcA'!DJ$110:DJ$114,$F26+1)+IF(AND($E26=1,MW26=0),1000,0),MIN(TY26,20)*400+(IF('calcA'!DI$106=1,1-HG26,0)+IF('calcA'!DJ$106=1,1-HI26,0))*150+155+'calcA'!DJ$5*100000+IF(AND($E26=1,MW26=0),50000,0))+IF($H26=1,INDEX('calcA'!$D$180:$EQ$219,$B26,111)*4000,0)-IF(AND('calcA'!DI$117=1,YG26&gt;0),2000,0)-IF(AND($U26=1,'calcA'!DJ$117=1,HI26=0),2000,0))),1000000000))</f>
        <v/>
      </c>
      <c r="SM26">
        <f>IF($B26=0,1000000000,IF(INDEX('calcA'!$D$60:$EQ$99,$B26,112)*IF($W26=1,HI26+ADX26,HI26)=1,IF(AND($E26=2,IF($W26=1,AJM26,MX26)=0),1000000000,IF($V26=1,INDEX('calcA'!$D$130:$EQ$169,$B26,112)+IF(AND($E26=1,MX26=0),25,0),IF($F26&gt;0,INDEX('calcA'!DK$110:DK$114,$F26+1)+IF(AND($E26=1,MX26=0),1000,0),MIN(TY26,20)*400+(IF('calcA'!DJ$106=1,1-HH26,0)+IF('calcA'!DK$106=1,1-HJ26,0))*150+165+'calcA'!DK$5*100000+IF(AND($E26=1,MX26=0),50000,0))+IF($H26=1,INDEX('calcA'!$D$180:$EQ$219,$B26,112)*4000,0)-IF(AND('calcA'!DJ$117=1,YH26&gt;0),2000,0)-IF(AND($U26=1,'calcA'!DK$117=1,HJ26=0),2000,0))),1000000000))</f>
        <v/>
      </c>
      <c r="SN26">
        <f>IF($B26=0,1000000000,IF(INDEX('calcA'!$D$60:$EQ$99,$B26,113)*IF($W26=1,HJ26+ADY26,HJ26)=1,IF(AND($E26=2,IF($W26=1,AJN26,MY26)=0),1000000000,IF($V26=1,INDEX('calcA'!$D$130:$EQ$169,$B26,113)+IF(AND($E26=1,MY26=0),25,0),IF($F26&gt;0,INDEX('calcA'!DL$110:DL$114,$F26+1)+IF(AND($E26=1,MY26=0),1000,0),MIN(TY26,20)*400+(IF('calcA'!DK$106=1,1-HI26,0)+IF('calcA'!DL$106=1,1-HK26,0))*150+175+'calcA'!DL$5*100000+IF(AND($E26=1,MY26=0),50000,0))+IF($H26=1,INDEX('calcA'!$D$180:$EQ$219,$B26,113)*4000,0)-IF(AND('calcA'!DK$117=1,YI26&gt;0),2000,0)-IF(AND($U26=1,'calcA'!DL$117=1,HK26=0),2000,0))),1000000000))</f>
        <v/>
      </c>
      <c r="SO26">
        <f>IF($B26=0,1000000000,IF(INDEX('calcA'!$D$60:$EQ$99,$B26,114)*IF($W26=1,HK26+ADZ26,HK26)=1,IF(AND($E26=2,IF($W26=1,AJO26,MZ26)=0),1000000000,IF($V26=1,INDEX('calcA'!$D$130:$EQ$169,$B26,114)+IF(AND($E26=1,MZ26=0),25,0),IF($F26&gt;0,INDEX('calcA'!DM$110:DM$114,$F26+1)+IF(AND($E26=1,MZ26=0),1000,0),MIN(TY26,20)*400+(IF('calcA'!DL$106=1,1-HJ26,0)+IF('calcA'!DM$106=1,1-HL26,0))*150+185+'calcA'!DM$5*100000+IF(AND($E26=1,MZ26=0),50000,0))+IF($H26=1,INDEX('calcA'!$D$180:$EQ$219,$B26,114)*4000,0)-IF(AND('calcA'!DL$117=1,YJ26&gt;0),2000,0)-IF(AND($U26=1,'calcA'!DM$117=1,HL26=0),2000,0))),1000000000))</f>
        <v/>
      </c>
      <c r="SP26">
        <f>IF($B26=0,1000000000,IF(INDEX('calcA'!$D$60:$EQ$99,$B26,115)*IF($W26=1,HL26+AEA26,HL26)=1,IF(AND($E26=2,IF($W26=1,AJP26,NA26)=0),1000000000,IF($V26=1,INDEX('calcA'!$D$130:$EQ$169,$B26,115)+IF(AND($E26=1,NA26=0),25,0),IF($F26&gt;0,INDEX('calcA'!DN$110:DN$114,$F26+1)+IF(AND($E26=1,NA26=0),1000,0),MIN(TY26,20)*400+(IF('calcA'!DM$106=1,1-HK26,0)+IF('calcA'!DN$106=1,1-HM26,0))*150+195+'calcA'!DN$5*100000+IF(AND($E26=1,NA26=0),50000,0))+IF($H26=1,INDEX('calcA'!$D$180:$EQ$219,$B26,115)*4000,0)-IF(AND('calcA'!DM$117=1,YK26&gt;0),2000,0)-IF(AND($U26=1,'calcA'!DN$117=1,HM26=0),2000,0))),1000000000))</f>
        <v/>
      </c>
      <c r="SQ26">
        <f>IF($B26=0,1000000000,IF(INDEX('calcA'!$D$60:$EQ$99,$B26,116)*IF($W26=1,HM26+AEB26,HM26)=1,IF(AND($E26=2,IF($W26=1,AJQ26,NB26)=0),1000000000,IF($V26=1,INDEX('calcA'!$D$130:$EQ$169,$B26,116)+IF(AND($E26=1,NB26=0),25,0),IF($F26&gt;0,INDEX('calcA'!DO$110:DO$114,$F26+1)+IF(AND($E26=1,NB26=0),1000,0),MIN(TY26,20)*400+(IF('calcA'!DN$106=1,1-HL26,0)+IF('calcA'!DO$106=1,1-HN26,0))*150+205+'calcA'!DO$5*100000+IF(AND($E26=1,NB26=0),50000,0))+IF($H26=1,INDEX('calcA'!$D$180:$EQ$219,$B26,116)*4000,0)-IF(AND('calcA'!DN$117=1,YL26&gt;0),2000,0)-IF(AND($U26=1,'calcA'!DO$117=1,HN26=0),2000,0))),1000000000))</f>
        <v/>
      </c>
      <c r="SR26">
        <f>IF($B26=0,1000000000,IF(INDEX('calcA'!$D$60:$EQ$99,$B26,117)*IF($W26=1,HN26+AEC26,HN26)=1,IF(AND($E26=2,IF($W26=1,AJR26,NC26)=0),1000000000,IF($V26=1,INDEX('calcA'!$D$130:$EQ$169,$B26,117)+IF(AND($E26=1,NC26=0),25,0),IF($F26&gt;0,INDEX('calcA'!DP$110:DP$114,$F26+1)+IF(AND($E26=1,NC26=0),1000,0),MIN(TY26,20)*400+(IF('calcA'!DO$106=1,1-HM26,0)+IF('calcA'!DP$106=1,1-HO26,0))*150+215+'calcA'!DP$5*100000+IF(AND($E26=1,NC26=0),50000,0))+IF($H26=1,INDEX('calcA'!$D$180:$EQ$219,$B26,117)*4000,0)-IF(AND('calcA'!DO$117=1,YM26&gt;0),2000,0)-IF(AND($U26=1,'calcA'!DP$117=1,HO26=0),2000,0))),1000000000))</f>
        <v/>
      </c>
      <c r="SS26">
        <f>IF($B26=0,1000000000,IF(INDEX('calcA'!$D$60:$EQ$99,$B26,118)*IF($W26=1,HO26+AED26,HO26)=1,IF(AND($E26=2,IF($W26=1,AJS26,ND26)=0),1000000000,IF($V26=1,INDEX('calcA'!$D$130:$EQ$169,$B26,118)+IF(AND($E26=1,ND26=0),25,0),IF($F26&gt;0,INDEX('calcA'!DQ$110:DQ$114,$F26+1)+IF(AND($E26=1,ND26=0),1000,0),MIN(TY26,20)*400+(IF('calcA'!DP$106=1,1-HN26,0)+IF('calcA'!DQ$106=1,1-HP26,0))*150+225+'calcA'!DQ$5*100000+IF(AND($E26=1,ND26=0),50000,0))+IF($H26=1,INDEX('calcA'!$D$180:$EQ$219,$B26,118)*4000,0)-IF(AND('calcA'!DP$117=1,YN26&gt;0),2000,0)-IF(AND($U26=1,'calcA'!DQ$117=1,HP26=0),2000,0))),1000000000))</f>
        <v/>
      </c>
      <c r="ST26">
        <f>IF($B26=0,1000000000,IF(INDEX('calcA'!$D$60:$EQ$99,$B26,119)*IF($W26=1,HP26+AEE26,HP26)=1,IF(AND($E26=2,IF($W26=1,AJT26,NE26)=0),1000000000,IF($V26=1,INDEX('calcA'!$D$130:$EQ$169,$B26,119)+IF(AND($E26=1,NE26=0),25,0),IF($F26&gt;0,INDEX('calcA'!DR$110:DR$114,$F26+1)+IF(AND($E26=1,NE26=0),1000,0),MIN(TY26,20)*400+(IF('calcA'!DQ$106=1,1-HO26,0)+IF('calcA'!DR$106=1,1-HQ26,0))*150+235+'calcA'!DR$5*100000+IF(AND($E26=1,NE26=0),50000,0))+IF($H26=1,INDEX('calcA'!$D$180:$EQ$219,$B26,119)*4000,0)-IF(AND('calcA'!DQ$117=1,YO26&gt;0),2000,0)-IF(AND($U26=1,'calcA'!DR$117=1,HQ26=0),2000,0))),1000000000))</f>
        <v/>
      </c>
      <c r="SU26">
        <f>IF($B26=0,1000000000,IF(INDEX('calcA'!$D$60:$EQ$99,$B26,120)*IF($W26=1,HQ26+AEF26,HQ26)=1,IF(AND($E26=2,IF($W26=1,AJU26,NF26)=0),1000000000,IF($V26=1,INDEX('calcA'!$D$130:$EQ$169,$B26,120)+IF(AND($E26=1,NF26=0),25,0),IF($F26&gt;0,INDEX('calcA'!DS$110:DS$114,$F26+1)+IF(AND($E26=1,NF26=0),1000,0),MIN(TY26,20)*400+(IF('calcA'!DR$106=1,1-HP26,0))*150+245+'calcA'!DS$5*100000+IF(AND($E26=1,NF26=0),50000,0))+IF($H26=1,INDEX('calcA'!$D$180:$EQ$219,$B26,120)*4000,0)-IF(AND('calcA'!DR$117=1,YP26&gt;0),2000,0))),1000000000))</f>
        <v/>
      </c>
      <c r="SV26">
        <f>IF($B26=0,1000000000,IF(INDEX('calcA'!$D$60:$EQ$99,$B26,121)*IF($W26=1,HR26+AEG26,HR26)=1,IF(AND($E26=2,IF($W26=1,AJV26,NG26)=0),1000000000,IF($V26=1,INDEX('calcA'!$D$130:$EQ$169,$B26,121)+IF(AND($E26=1,NG26=0),25,0),IF($F26&gt;0,INDEX('calcA'!DT$110:DT$114,$F26+1)+IF(AND($E26=1,NG26=0),1000,0),MIN(TZ26,20)*400+(IF('calcA'!DT$106=1,1-HS26,0))*150+16+'calcA'!DT$5*100000+IF(AND($E26=1,NG26=0),50000,0))+IF($H26=1,INDEX('calcA'!$D$180:$EQ$219,$B26,121)*4000,0)-IF(AND($U26=1,'calcA'!DT$117=1,HS26=0),2000,0))),1000000000))</f>
        <v/>
      </c>
      <c r="SW26">
        <f>IF($B26=0,1000000000,IF(INDEX('calcA'!$D$60:$EQ$99,$B26,122)*IF($W26=1,HS26+AEH26,HS26)=1,IF(AND($E26=2,IF($W26=1,AJW26,NH26)=0),1000000000,IF($V26=1,INDEX('calcA'!$D$130:$EQ$169,$B26,122)+IF(AND($E26=1,NH26=0),25,0),IF($F26&gt;0,INDEX('calcA'!DU$110:DU$114,$F26+1)+IF(AND($E26=1,NH26=0),1000,0),MIN(TZ26,20)*400+(IF('calcA'!DT$106=1,1-HR26,0)+IF('calcA'!DU$106=1,1-HT26,0))*150+26+'calcA'!DU$5*100000+IF(AND($E26=1,NH26=0),50000,0))+IF($H26=1,INDEX('calcA'!$D$180:$EQ$219,$B26,122)*4000,0)-IF(AND('calcA'!DT$117=1,YR26&gt;0),2000,0)-IF(AND($U26=1,'calcA'!DU$117=1,HT26=0),2000,0))),1000000000))</f>
        <v/>
      </c>
      <c r="SX26">
        <f>IF($B26=0,1000000000,IF(INDEX('calcA'!$D$60:$EQ$99,$B26,123)*IF($W26=1,HT26+AEI26,HT26)=1,IF(AND($E26=2,IF($W26=1,AJX26,NI26)=0),1000000000,IF($V26=1,INDEX('calcA'!$D$130:$EQ$169,$B26,123)+IF(AND($E26=1,NI26=0),25,0),IF($F26&gt;0,INDEX('calcA'!DV$110:DV$114,$F26+1)+IF(AND($E26=1,NI26=0),1000,0),MIN(TZ26,20)*400+(IF('calcA'!DU$106=1,1-HS26,0)+IF('calcA'!DV$106=1,1-HU26,0))*150+36+'calcA'!DV$5*100000+IF(AND($E26=1,NI26=0),50000,0))+IF($H26=1,INDEX('calcA'!$D$180:$EQ$219,$B26,123)*4000,0)-IF(AND('calcA'!DU$117=1,YS26&gt;0),2000,0)-IF(AND($U26=1,'calcA'!DV$117=1,HU26=0),2000,0))),1000000000))</f>
        <v/>
      </c>
      <c r="SY26">
        <f>IF($B26=0,1000000000,IF(INDEX('calcA'!$D$60:$EQ$99,$B26,124)*IF($W26=1,HU26+AEJ26,HU26)=1,IF(AND($E26=2,IF($W26=1,AJY26,NJ26)=0),1000000000,IF($V26=1,INDEX('calcA'!$D$130:$EQ$169,$B26,124)+IF(AND($E26=1,NJ26=0),25,0),IF($F26&gt;0,INDEX('calcA'!DW$110:DW$114,$F26+1)+IF(AND($E26=1,NJ26=0),1000,0),MIN(TZ26,20)*400+(IF('calcA'!DV$106=1,1-HT26,0)+IF('calcA'!DW$106=1,1-HV26,0))*150+46+'calcA'!DW$5*100000+IF(AND($E26=1,NJ26=0),50000,0))+IF($H26=1,INDEX('calcA'!$D$180:$EQ$219,$B26,124)*4000,0)-IF(AND('calcA'!DV$117=1,YT26&gt;0),2000,0)-IF(AND($U26=1,'calcA'!DW$117=1,HV26=0),2000,0))),1000000000))</f>
        <v/>
      </c>
      <c r="SZ26">
        <f>IF($B26=0,1000000000,IF(INDEX('calcA'!$D$60:$EQ$99,$B26,125)*IF($W26=1,HV26+AEK26,HV26)=1,IF(AND($E26=2,IF($W26=1,AJZ26,NK26)=0),1000000000,IF($V26=1,INDEX('calcA'!$D$130:$EQ$169,$B26,125)+IF(AND($E26=1,NK26=0),25,0),IF($F26&gt;0,INDEX('calcA'!DX$110:DX$114,$F26+1)+IF(AND($E26=1,NK26=0),1000,0),MIN(TZ26,20)*400+(IF('calcA'!DW$106=1,1-HU26,0)+IF('calcA'!DX$106=1,1-HW26,0))*150+56+'calcA'!DX$5*100000+IF(AND($E26=1,NK26=0),50000,0))+IF($H26=1,INDEX('calcA'!$D$180:$EQ$219,$B26,125)*4000,0)-IF(AND('calcA'!DW$117=1,YU26&gt;0),2000,0)-IF(AND($U26=1,'calcA'!DX$117=1,HW26=0),2000,0))),1000000000))</f>
        <v/>
      </c>
      <c r="TA26">
        <f>IF($B26=0,1000000000,IF(INDEX('calcA'!$D$60:$EQ$99,$B26,126)*IF($W26=1,HW26+AEL26,HW26)=1,IF(AND($E26=2,IF($W26=1,AKA26,NL26)=0),1000000000,IF($V26=1,INDEX('calcA'!$D$130:$EQ$169,$B26,126)+IF(AND($E26=1,NL26=0),25,0),IF($F26&gt;0,INDEX('calcA'!DY$110:DY$114,$F26+1)+IF(AND($E26=1,NL26=0),1000,0),MIN(TZ26,20)*400+(IF('calcA'!DX$106=1,1-HV26,0)+IF('calcA'!DY$106=1,1-HX26,0))*150+66+'calcA'!DY$5*100000+IF(AND($E26=1,NL26=0),50000,0))+IF($H26=1,INDEX('calcA'!$D$180:$EQ$219,$B26,126)*4000,0)-IF(AND('calcA'!DX$117=1,YV26&gt;0),2000,0)-IF(AND($U26=1,'calcA'!DY$117=1,HX26=0),2000,0))),1000000000))</f>
        <v/>
      </c>
      <c r="TB26">
        <f>IF($B26=0,1000000000,IF(INDEX('calcA'!$D$60:$EQ$99,$B26,127)*IF($W26=1,HX26+AEM26,HX26)=1,IF(AND($E26=2,IF($W26=1,AKB26,NM26)=0),1000000000,IF($V26=1,INDEX('calcA'!$D$130:$EQ$169,$B26,127)+IF(AND($E26=1,NM26=0),25,0),IF($F26&gt;0,INDEX('calcA'!DZ$110:DZ$114,$F26+1)+IF(AND($E26=1,NM26=0),1000,0),MIN(TZ26,20)*400+(IF('calcA'!DY$106=1,1-HW26,0)+IF('calcA'!DZ$106=1,1-HY26,0))*150+76+'calcA'!DZ$5*100000+IF(AND($E26=1,NM26=0),50000,0))+IF($H26=1,INDEX('calcA'!$D$180:$EQ$219,$B26,127)*4000,0)-IF(AND('calcA'!DY$117=1,YW26&gt;0),2000,0)-IF(AND($U26=1,'calcA'!DZ$117=1,HY26=0),2000,0))),1000000000))</f>
        <v/>
      </c>
      <c r="TC26">
        <f>IF($B26=0,1000000000,IF(INDEX('calcA'!$D$60:$EQ$99,$B26,128)*IF($W26=1,HY26+AEN26,HY26)=1,IF(AND($E26=2,IF($W26=1,AKC26,NN26)=0),1000000000,IF($V26=1,INDEX('calcA'!$D$130:$EQ$169,$B26,128)+IF(AND($E26=1,NN26=0),25,0),IF($F26&gt;0,INDEX('calcA'!EA$110:EA$114,$F26+1)+IF(AND($E26=1,NN26=0),1000,0),MIN(TZ26,20)*400+(IF('calcA'!DZ$106=1,1-HX26,0)+IF('calcA'!EA$106=1,1-HZ26,0))*150+86+'calcA'!EA$5*100000+IF(AND($E26=1,NN26=0),50000,0))+IF($H26=1,INDEX('calcA'!$D$180:$EQ$219,$B26,128)*4000,0)-IF(AND('calcA'!DZ$117=1,YX26&gt;0),2000,0)-IF(AND($U26=1,'calcA'!EA$117=1,HZ26=0),2000,0))),1000000000))</f>
        <v/>
      </c>
      <c r="TD26">
        <f>IF($B26=0,1000000000,IF(INDEX('calcA'!$D$60:$EQ$99,$B26,129)*IF($W26=1,HZ26+AEO26,HZ26)=1,IF(AND($E26=2,IF($W26=1,AKD26,NO26)=0),1000000000,IF($V26=1,INDEX('calcA'!$D$130:$EQ$169,$B26,129)+IF(AND($E26=1,NO26=0),25,0),IF($F26&gt;0,INDEX('calcA'!EB$110:EB$114,$F26+1)+IF(AND($E26=1,NO26=0),1000,0),MIN(TZ26,20)*400+(IF('calcA'!EA$106=1,1-HY26,0)+IF('calcA'!EB$106=1,1-IA26,0))*150+96+'calcA'!EB$5*100000+IF(AND($E26=1,NO26=0),50000,0))+IF($H26=1,INDEX('calcA'!$D$180:$EQ$219,$B26,129)*4000,0)-IF(AND('calcA'!EA$117=1,YY26&gt;0),2000,0)-IF(AND($U26=1,'calcA'!EB$117=1,IA26=0),2000,0))),1000000000))</f>
        <v/>
      </c>
      <c r="TE26">
        <f>IF($B26=0,1000000000,IF(INDEX('calcA'!$D$60:$EQ$99,$B26,130)*IF($W26=1,IA26+AEP26,IA26)=1,IF(AND($E26=2,IF($W26=1,AKE26,NP26)=0),1000000000,IF($V26=1,INDEX('calcA'!$D$130:$EQ$169,$B26,130)+IF(AND($E26=1,NP26=0),25,0),IF($F26&gt;0,INDEX('calcA'!EC$110:EC$114,$F26+1)+IF(AND($E26=1,NP26=0),1000,0),MIN(TZ26,20)*400+(IF('calcA'!EB$106=1,1-HZ26,0)+IF('calcA'!EC$106=1,1-IB26,0))*150+106+'calcA'!EC$5*100000+IF(AND($E26=1,NP26=0),50000,0))+IF($H26=1,INDEX('calcA'!$D$180:$EQ$219,$B26,130)*4000,0)-IF(AND('calcA'!EB$117=1,YZ26&gt;0),2000,0)-IF(AND($U26=1,'calcA'!EC$117=1,IB26=0),2000,0))),1000000000))</f>
        <v/>
      </c>
      <c r="TF26">
        <f>IF($B26=0,1000000000,IF(INDEX('calcA'!$D$60:$EQ$99,$B26,131)*IF($W26=1,IB26+AEQ26,IB26)=1,IF(AND($E26=2,IF($W26=1,AKF26,NQ26)=0),1000000000,IF($V26=1,INDEX('calcA'!$D$130:$EQ$169,$B26,131)+IF(AND($E26=1,NQ26=0),25,0),IF($F26&gt;0,INDEX('calcA'!ED$110:ED$114,$F26+1)+IF(AND($E26=1,NQ26=0),1000,0),MIN(TZ26,20)*400+(IF('calcA'!EC$106=1,1-IA26,0)+IF('calcA'!ED$106=1,1-IC26,0))*150+116+'calcA'!ED$5*100000+IF(AND($E26=1,NQ26=0),50000,0))+IF($H26=1,INDEX('calcA'!$D$180:$EQ$219,$B26,131)*4000,0)-IF(AND('calcA'!EC$117=1,ZA26&gt;0),2000,0)-IF(AND($U26=1,'calcA'!ED$117=1,IC26=0),2000,0))),1000000000))</f>
        <v/>
      </c>
      <c r="TG26">
        <f>IF($B26=0,1000000000,IF(INDEX('calcA'!$D$60:$EQ$99,$B26,132)*IF($W26=1,IC26+AER26,IC26)=1,IF(AND($E26=2,IF($W26=1,AKG26,NR26)=0),1000000000,IF($V26=1,INDEX('calcA'!$D$130:$EQ$169,$B26,132)+IF(AND($E26=1,NR26=0),25,0),IF($F26&gt;0,INDEX('calcA'!EE$110:EE$114,$F26+1)+IF(AND($E26=1,NR26=0),1000,0),MIN(TZ26,20)*400+(IF('calcA'!ED$106=1,1-IB26,0)+IF('calcA'!EE$106=1,1-ID26,0))*150+126+'calcA'!EE$5*100000+IF(AND($E26=1,NR26=0),50000,0))+IF($H26=1,INDEX('calcA'!$D$180:$EQ$219,$B26,132)*4000,0)-IF(AND('calcA'!ED$117=1,ZB26&gt;0),2000,0)-IF(AND($U26=1,'calcA'!EE$117=1,ID26=0),2000,0))),1000000000))</f>
        <v/>
      </c>
      <c r="TH26">
        <f>IF($B26=0,1000000000,IF(INDEX('calcA'!$D$60:$EQ$99,$B26,133)*IF($W26=1,ID26+AES26,ID26)=1,IF(AND($E26=2,IF($W26=1,AKH26,NS26)=0),1000000000,IF($V26=1,INDEX('calcA'!$D$130:$EQ$169,$B26,133)+IF(AND($E26=1,NS26=0),25,0),IF($F26&gt;0,INDEX('calcA'!EF$110:EF$114,$F26+1)+IF(AND($E26=1,NS26=0),1000,0),MIN(TZ26,20)*400+(IF('calcA'!EE$106=1,1-IC26,0)+IF('calcA'!EF$106=1,1-IE26,0))*150+136+'calcA'!EF$5*100000+IF(AND($E26=1,NS26=0),50000,0))+IF($H26=1,INDEX('calcA'!$D$180:$EQ$219,$B26,133)*4000,0)-IF(AND('calcA'!EE$117=1,ZC26&gt;0),2000,0)-IF(AND($U26=1,'calcA'!EF$117=1,IE26=0),2000,0))),1000000000))</f>
        <v/>
      </c>
      <c r="TI26">
        <f>IF($B26=0,1000000000,IF(INDEX('calcA'!$D$60:$EQ$99,$B26,134)*IF($W26=1,IE26+AET26,IE26)=1,IF(AND($E26=2,IF($W26=1,AKI26,NT26)=0),1000000000,IF($V26=1,INDEX('calcA'!$D$130:$EQ$169,$B26,134)+IF(AND($E26=1,NT26=0),25,0),IF($F26&gt;0,INDEX('calcA'!EG$110:EG$114,$F26+1)+IF(AND($E26=1,NT26=0),1000,0),MIN(TZ26,20)*400+(IF('calcA'!EF$106=1,1-ID26,0)+IF('calcA'!EG$106=1,1-IF26,0))*150+146+'calcA'!EG$5*100000+IF(AND($E26=1,NT26=0),50000,0))+IF($H26=1,INDEX('calcA'!$D$180:$EQ$219,$B26,134)*4000,0)-IF(AND('calcA'!EF$117=1,ZD26&gt;0),2000,0)-IF(AND($U26=1,'calcA'!EG$117=1,IF26=0),2000,0))),1000000000))</f>
        <v/>
      </c>
      <c r="TJ26">
        <f>IF($B26=0,1000000000,IF(INDEX('calcA'!$D$60:$EQ$99,$B26,135)*IF($W26=1,IF26+AEU26,IF26)=1,IF(AND($E26=2,IF($W26=1,AKJ26,NU26)=0),1000000000,IF($V26=1,INDEX('calcA'!$D$130:$EQ$169,$B26,135)+IF(AND($E26=1,NU26=0),25,0),IF($F26&gt;0,INDEX('calcA'!EH$110:EH$114,$F26+1)+IF(AND($E26=1,NU26=0),1000,0),MIN(TZ26,20)*400+(IF('calcA'!EG$106=1,1-IE26,0)+IF('calcA'!EH$106=1,1-IG26,0))*150+156+'calcA'!EH$5*100000+IF(AND($E26=1,NU26=0),50000,0))+IF($H26=1,INDEX('calcA'!$D$180:$EQ$219,$B26,135)*4000,0)-IF(AND('calcA'!EG$117=1,ZE26&gt;0),2000,0)-IF(AND($U26=1,'calcA'!EH$117=1,IG26=0),2000,0))),1000000000))</f>
        <v/>
      </c>
      <c r="TK26">
        <f>IF($B26=0,1000000000,IF(INDEX('calcA'!$D$60:$EQ$99,$B26,136)*IF($W26=1,IG26+AEV26,IG26)=1,IF(AND($E26=2,IF($W26=1,AKK26,NV26)=0),1000000000,IF($V26=1,INDEX('calcA'!$D$130:$EQ$169,$B26,136)+IF(AND($E26=1,NV26=0),25,0),IF($F26&gt;0,INDEX('calcA'!EI$110:EI$114,$F26+1)+IF(AND($E26=1,NV26=0),1000,0),MIN(TZ26,20)*400+(IF('calcA'!EH$106=1,1-IF26,0)+IF('calcA'!EI$106=1,1-IH26,0))*150+166+'calcA'!EI$5*100000+IF(AND($E26=1,NV26=0),50000,0))+IF($H26=1,INDEX('calcA'!$D$180:$EQ$219,$B26,136)*4000,0)-IF(AND('calcA'!EH$117=1,ZF26&gt;0),2000,0)-IF(AND($U26=1,'calcA'!EI$117=1,IH26=0),2000,0))),1000000000))</f>
        <v/>
      </c>
      <c r="TL26">
        <f>IF($B26=0,1000000000,IF(INDEX('calcA'!$D$60:$EQ$99,$B26,137)*IF($W26=1,IH26+AEW26,IH26)=1,IF(AND($E26=2,IF($W26=1,AKL26,NW26)=0),1000000000,IF($V26=1,INDEX('calcA'!$D$130:$EQ$169,$B26,137)+IF(AND($E26=1,NW26=0),25,0),IF($F26&gt;0,INDEX('calcA'!EJ$110:EJ$114,$F26+1)+IF(AND($E26=1,NW26=0),1000,0),MIN(TZ26,20)*400+(IF('calcA'!EI$106=1,1-IG26,0)+IF('calcA'!EJ$106=1,1-II26,0))*150+176+'calcA'!EJ$5*100000+IF(AND($E26=1,NW26=0),50000,0))+IF($H26=1,INDEX('calcA'!$D$180:$EQ$219,$B26,137)*4000,0)-IF(AND('calcA'!EI$117=1,ZG26&gt;0),2000,0)-IF(AND($U26=1,'calcA'!EJ$117=1,II26=0),2000,0))),1000000000))</f>
        <v/>
      </c>
      <c r="TM26">
        <f>IF($B26=0,1000000000,IF(INDEX('calcA'!$D$60:$EQ$99,$B26,138)*IF($W26=1,II26+AEX26,II26)=1,IF(AND($E26=2,IF($W26=1,AKM26,NX26)=0),1000000000,IF($V26=1,INDEX('calcA'!$D$130:$EQ$169,$B26,138)+IF(AND($E26=1,NX26=0),25,0),IF($F26&gt;0,INDEX('calcA'!EK$110:EK$114,$F26+1)+IF(AND($E26=1,NX26=0),1000,0),MIN(TZ26,20)*400+(IF('calcA'!EJ$106=1,1-IH26,0)+IF('calcA'!EK$106=1,1-IJ26,0))*150+186+'calcA'!EK$5*100000+IF(AND($E26=1,NX26=0),50000,0))+IF($H26=1,INDEX('calcA'!$D$180:$EQ$219,$B26,138)*4000,0)-IF(AND('calcA'!EJ$117=1,ZH26&gt;0),2000,0)-IF(AND($U26=1,'calcA'!EK$117=1,IJ26=0),2000,0))),1000000000))</f>
        <v/>
      </c>
      <c r="TN26">
        <f>IF($B26=0,1000000000,IF(INDEX('calcA'!$D$60:$EQ$99,$B26,139)*IF($W26=1,IJ26+AEY26,IJ26)=1,IF(AND($E26=2,IF($W26=1,AKN26,NY26)=0),1000000000,IF($V26=1,INDEX('calcA'!$D$130:$EQ$169,$B26,139)+IF(AND($E26=1,NY26=0),25,0),IF($F26&gt;0,INDEX('calcA'!EL$110:EL$114,$F26+1)+IF(AND($E26=1,NY26=0),1000,0),MIN(TZ26,20)*400+(IF('calcA'!EK$106=1,1-II26,0)+IF('calcA'!EL$106=1,1-IK26,0))*150+196+'calcA'!EL$5*100000+IF(AND($E26=1,NY26=0),50000,0))+IF($H26=1,INDEX('calcA'!$D$180:$EQ$219,$B26,139)*4000,0)-IF(AND('calcA'!EK$117=1,ZI26&gt;0),2000,0)-IF(AND($U26=1,'calcA'!EL$117=1,IK26=0),2000,0))),1000000000))</f>
        <v/>
      </c>
      <c r="TO26">
        <f>IF($B26=0,1000000000,IF(INDEX('calcA'!$D$60:$EQ$99,$B26,140)*IF($W26=1,IK26+AEZ26,IK26)=1,IF(AND($E26=2,IF($W26=1,AKO26,NZ26)=0),1000000000,IF($V26=1,INDEX('calcA'!$D$130:$EQ$169,$B26,140)+IF(AND($E26=1,NZ26=0),25,0),IF($F26&gt;0,INDEX('calcA'!EM$110:EM$114,$F26+1)+IF(AND($E26=1,NZ26=0),1000,0),MIN(TZ26,20)*400+(IF('calcA'!EL$106=1,1-IJ26,0)+IF('calcA'!EM$106=1,1-IL26,0))*150+206+'calcA'!EM$5*100000+IF(AND($E26=1,NZ26=0),50000,0))+IF($H26=1,INDEX('calcA'!$D$180:$EQ$219,$B26,140)*4000,0)-IF(AND('calcA'!EL$117=1,ZJ26&gt;0),2000,0)-IF(AND($U26=1,'calcA'!EM$117=1,IL26=0),2000,0))),1000000000))</f>
        <v/>
      </c>
      <c r="TP26">
        <f>IF($B26=0,1000000000,IF(INDEX('calcA'!$D$60:$EQ$99,$B26,141)*IF($W26=1,IL26+AFA26,IL26)=1,IF(AND($E26=2,IF($W26=1,AKP26,OA26)=0),1000000000,IF($V26=1,INDEX('calcA'!$D$130:$EQ$169,$B26,141)+IF(AND($E26=1,OA26=0),25,0),IF($F26&gt;0,INDEX('calcA'!EN$110:EN$114,$F26+1)+IF(AND($E26=1,OA26=0),1000,0),MIN(TZ26,20)*400+(IF('calcA'!EM$106=1,1-IK26,0)+IF('calcA'!EN$106=1,1-IM26,0))*150+216+'calcA'!EN$5*100000+IF(AND($E26=1,OA26=0),50000,0))+IF($H26=1,INDEX('calcA'!$D$180:$EQ$219,$B26,141)*4000,0)-IF(AND('calcA'!EM$117=1,ZK26&gt;0),2000,0)-IF(AND($U26=1,'calcA'!EN$117=1,IM26=0),2000,0))),1000000000))</f>
        <v/>
      </c>
      <c r="TQ26">
        <f>IF($B26=0,1000000000,IF(INDEX('calcA'!$D$60:$EQ$99,$B26,142)*IF($W26=1,IM26+AFB26,IM26)=1,IF(AND($E26=2,IF($W26=1,AKQ26,OB26)=0),1000000000,IF($V26=1,INDEX('calcA'!$D$130:$EQ$169,$B26,142)+IF(AND($E26=1,OB26=0),25,0),IF($F26&gt;0,INDEX('calcA'!EO$110:EO$114,$F26+1)+IF(AND($E26=1,OB26=0),1000,0),MIN(TZ26,20)*400+(IF('calcA'!EN$106=1,1-IL26,0)+IF('calcA'!EO$106=1,1-IN26,0))*150+226+'calcA'!EO$5*100000+IF(AND($E26=1,OB26=0),50000,0))+IF($H26=1,INDEX('calcA'!$D$180:$EQ$219,$B26,142)*4000,0)-IF(AND('calcA'!EN$117=1,ZL26&gt;0),2000,0)-IF(AND($U26=1,'calcA'!EO$117=1,IN26=0),2000,0))),1000000000))</f>
        <v/>
      </c>
      <c r="TR26">
        <f>IF($B26=0,1000000000,IF(INDEX('calcA'!$D$60:$EQ$99,$B26,143)*IF($W26=1,IN26+AFC26,IN26)=1,IF(AND($E26=2,IF($W26=1,AKR26,OC26)=0),1000000000,IF($V26=1,INDEX('calcA'!$D$130:$EQ$169,$B26,143)+IF(AND($E26=1,OC26=0),25,0),IF($F26&gt;0,INDEX('calcA'!EP$110:EP$114,$F26+1)+IF(AND($E26=1,OC26=0),1000,0),MIN(TZ26,20)*400+(IF('calcA'!EO$106=1,1-IM26,0)+IF('calcA'!EP$106=1,1-IO26,0))*150+236+'calcA'!EP$5*100000+IF(AND($E26=1,OC26=0),50000,0))+IF($H26=1,INDEX('calcA'!$D$180:$EQ$219,$B26,143)*4000,0)-IF(AND('calcA'!EO$117=1,ZM26&gt;0),2000,0)-IF(AND($U26=1,'calcA'!EP$117=1,IO26=0),2000,0))),1000000000))</f>
        <v/>
      </c>
      <c r="TS26">
        <f>IF($B26=0,1000000000,IF(INDEX('calcA'!$D$60:$EQ$99,$B26,144)*IF($W26=1,IO26+AFD26,IO26)=1,IF(AND($E26=2,IF($W26=1,AKS26,OD26)=0),1000000000,IF($V26=1,INDEX('calcA'!$D$130:$EQ$169,$B26,144)+IF(AND($E26=1,OD26=0),25,0),IF($F26&gt;0,INDEX('calcA'!EQ$110:EQ$114,$F26+1)+IF(AND($E26=1,OD26=0),1000,0),MIN(TZ26,20)*400+(IF('calcA'!EP$106=1,1-IN26,0))*150+246+'calcA'!EQ$5*100000+IF(AND($E26=1,OD26=0),50000,0))+IF($H26=1,INDEX('calcA'!$D$180:$EQ$219,$B26,144)*4000,0)-IF(AND('calcA'!EP$117=1,ZN26&gt;0),2000,0))),1000000000))</f>
        <v/>
      </c>
      <c r="TU26">
        <f>TU25+IF($C25&gt;0,IF(INDEX('calcA'!$D$2:$EQ$2,$C25)=1,1,0),0)</f>
        <v/>
      </c>
      <c r="TV26">
        <f>TV25+IF($C25&gt;0,IF(INDEX('calcA'!$D$2:$EQ$2,$C25)=2,1,0),0)</f>
        <v/>
      </c>
      <c r="TW26">
        <f>TW25+IF($C25&gt;0,IF(INDEX('calcA'!$D$2:$EQ$2,$C25)=3,1,0),0)</f>
        <v/>
      </c>
      <c r="TX26">
        <f>TX25+IF($C25&gt;0,IF(INDEX('calcA'!$D$2:$EQ$2,$C25)=4,1,0),0)</f>
        <v/>
      </c>
      <c r="TY26">
        <f>TY25+IF($C25&gt;0,IF(INDEX('calcA'!$D$2:$EQ$2,$C25)=5,1,0),0)</f>
        <v/>
      </c>
      <c r="TZ26">
        <f>TZ25+IF($C25&gt;0,IF(INDEX('calcA'!$D$2:$EQ$2,$C25)=6,1,0),0)</f>
        <v/>
      </c>
      <c r="UB26">
        <f>UB25+IF(AND($C25=1,$U25=1),1,0)</f>
        <v/>
      </c>
      <c r="UC26">
        <f>UC25+IF(AND($C25=2,$U25=1),1,0)</f>
        <v/>
      </c>
      <c r="UD26">
        <f>UD25+IF(AND($C25=3,$U25=1),1,0)</f>
        <v/>
      </c>
      <c r="UE26">
        <f>UE25+IF(AND($C25=4,$U25=1),1,0)</f>
        <v/>
      </c>
      <c r="UF26">
        <f>UF25+IF(AND($C25=5,$U25=1),1,0)</f>
        <v/>
      </c>
      <c r="UG26">
        <f>UG25+IF(AND($C25=6,$U25=1),1,0)</f>
        <v/>
      </c>
      <c r="UH26">
        <f>UH25+IF(AND($C25=7,$U25=1),1,0)</f>
        <v/>
      </c>
      <c r="UI26">
        <f>UI25+IF(AND($C25=8,$U25=1),1,0)</f>
        <v/>
      </c>
      <c r="UJ26">
        <f>UJ25+IF(AND($C25=9,$U25=1),1,0)</f>
        <v/>
      </c>
      <c r="UK26">
        <f>UK25+IF(AND($C25=10,$U25=1),1,0)</f>
        <v/>
      </c>
      <c r="UL26">
        <f>UL25+IF(AND($C25=11,$U25=1),1,0)</f>
        <v/>
      </c>
      <c r="UM26">
        <f>UM25+IF(AND($C25=12,$U25=1),1,0)</f>
        <v/>
      </c>
      <c r="UN26">
        <f>UN25+IF(AND($C25=13,$U25=1),1,0)</f>
        <v/>
      </c>
      <c r="UO26">
        <f>UO25+IF(AND($C25=14,$U25=1),1,0)</f>
        <v/>
      </c>
      <c r="UP26">
        <f>UP25+IF(AND($C25=15,$U25=1),1,0)</f>
        <v/>
      </c>
      <c r="UQ26">
        <f>UQ25+IF(AND($C25=16,$U25=1),1,0)</f>
        <v/>
      </c>
      <c r="UR26">
        <f>UR25+IF(AND($C25=17,$U25=1),1,0)</f>
        <v/>
      </c>
      <c r="US26">
        <f>US25+IF(AND($C25=18,$U25=1),1,0)</f>
        <v/>
      </c>
      <c r="UT26">
        <f>UT25+IF(AND($C25=19,$U25=1),1,0)</f>
        <v/>
      </c>
      <c r="UU26">
        <f>UU25+IF(AND($C25=20,$U25=1),1,0)</f>
        <v/>
      </c>
      <c r="UV26">
        <f>UV25+IF(AND($C25=21,$U25=1),1,0)</f>
        <v/>
      </c>
      <c r="UW26">
        <f>UW25+IF(AND($C25=22,$U25=1),1,0)</f>
        <v/>
      </c>
      <c r="UX26">
        <f>UX25+IF(AND($C25=23,$U25=1),1,0)</f>
        <v/>
      </c>
      <c r="UY26">
        <f>UY25+IF(AND($C25=24,$U25=1),1,0)</f>
        <v/>
      </c>
      <c r="UZ26">
        <f>UZ25+IF(AND($C25=25,$U25=1),1,0)</f>
        <v/>
      </c>
      <c r="VA26">
        <f>VA25+IF(AND($C25=26,$U25=1),1,0)</f>
        <v/>
      </c>
      <c r="VB26">
        <f>VB25+IF(AND($C25=27,$U25=1),1,0)</f>
        <v/>
      </c>
      <c r="VC26">
        <f>VC25+IF(AND($C25=28,$U25=1),1,0)</f>
        <v/>
      </c>
      <c r="VD26">
        <f>VD25+IF(AND($C25=29,$U25=1),1,0)</f>
        <v/>
      </c>
      <c r="VE26">
        <f>VE25+IF(AND($C25=30,$U25=1),1,0)</f>
        <v/>
      </c>
      <c r="VF26">
        <f>VF25+IF(AND($C25=31,$U25=1),1,0)</f>
        <v/>
      </c>
      <c r="VG26">
        <f>VG25+IF(AND($C25=32,$U25=1),1,0)</f>
        <v/>
      </c>
      <c r="VH26">
        <f>VH25+IF(AND($C25=33,$U25=1),1,0)</f>
        <v/>
      </c>
      <c r="VI26">
        <f>VI25+IF(AND($C25=34,$U25=1),1,0)</f>
        <v/>
      </c>
      <c r="VJ26">
        <f>VJ25+IF(AND($C25=35,$U25=1),1,0)</f>
        <v/>
      </c>
      <c r="VK26">
        <f>VK25+IF(AND($C25=36,$U25=1),1,0)</f>
        <v/>
      </c>
      <c r="VL26">
        <f>VL25+IF(AND($C25=37,$U25=1),1,0)</f>
        <v/>
      </c>
      <c r="VM26">
        <f>VM25+IF(AND($C25=38,$U25=1),1,0)</f>
        <v/>
      </c>
      <c r="VN26">
        <f>VN25+IF(AND($C25=39,$U25=1),1,0)</f>
        <v/>
      </c>
      <c r="VO26">
        <f>VO25+IF(AND($C25=40,$U25=1),1,0)</f>
        <v/>
      </c>
      <c r="VP26">
        <f>VP25+IF(AND($C25=41,$U25=1),1,0)</f>
        <v/>
      </c>
      <c r="VQ26">
        <f>VQ25+IF(AND($C25=42,$U25=1),1,0)</f>
        <v/>
      </c>
      <c r="VR26">
        <f>VR25+IF(AND($C25=43,$U25=1),1,0)</f>
        <v/>
      </c>
      <c r="VS26">
        <f>VS25+IF(AND($C25=44,$U25=1),1,0)</f>
        <v/>
      </c>
      <c r="VT26">
        <f>VT25+IF(AND($C25=45,$U25=1),1,0)</f>
        <v/>
      </c>
      <c r="VU26">
        <f>VU25+IF(AND($C25=46,$U25=1),1,0)</f>
        <v/>
      </c>
      <c r="VV26">
        <f>VV25+IF(AND($C25=47,$U25=1),1,0)</f>
        <v/>
      </c>
      <c r="VW26">
        <f>VW25+IF(AND($C25=48,$U25=1),1,0)</f>
        <v/>
      </c>
      <c r="VX26">
        <f>VX25+IF(AND($C25=49,$U25=1),1,0)</f>
        <v/>
      </c>
      <c r="VY26">
        <f>VY25+IF(AND($C25=50,$U25=1),1,0)</f>
        <v/>
      </c>
      <c r="VZ26">
        <f>VZ25+IF(AND($C25=51,$U25=1),1,0)</f>
        <v/>
      </c>
      <c r="WA26">
        <f>WA25+IF(AND($C25=52,$U25=1),1,0)</f>
        <v/>
      </c>
      <c r="WB26">
        <f>WB25+IF(AND($C25=53,$U25=1),1,0)</f>
        <v/>
      </c>
      <c r="WC26">
        <f>WC25+IF(AND($C25=54,$U25=1),1,0)</f>
        <v/>
      </c>
      <c r="WD26">
        <f>WD25+IF(AND($C25=55,$U25=1),1,0)</f>
        <v/>
      </c>
      <c r="WE26">
        <f>WE25+IF(AND($C25=56,$U25=1),1,0)</f>
        <v/>
      </c>
      <c r="WF26">
        <f>WF25+IF(AND($C25=57,$U25=1),1,0)</f>
        <v/>
      </c>
      <c r="WG26">
        <f>WG25+IF(AND($C25=58,$U25=1),1,0)</f>
        <v/>
      </c>
      <c r="WH26">
        <f>WH25+IF(AND($C25=59,$U25=1),1,0)</f>
        <v/>
      </c>
      <c r="WI26">
        <f>WI25+IF(AND($C25=60,$U25=1),1,0)</f>
        <v/>
      </c>
      <c r="WJ26">
        <f>WJ25+IF(AND($C25=61,$U25=1),1,0)</f>
        <v/>
      </c>
      <c r="WK26">
        <f>WK25+IF(AND($C25=62,$U25=1),1,0)</f>
        <v/>
      </c>
      <c r="WL26">
        <f>WL25+IF(AND($C25=63,$U25=1),1,0)</f>
        <v/>
      </c>
      <c r="WM26">
        <f>WM25+IF(AND($C25=64,$U25=1),1,0)</f>
        <v/>
      </c>
      <c r="WN26">
        <f>WN25+IF(AND($C25=65,$U25=1),1,0)</f>
        <v/>
      </c>
      <c r="WO26">
        <f>WO25+IF(AND($C25=66,$U25=1),1,0)</f>
        <v/>
      </c>
      <c r="WP26">
        <f>WP25+IF(AND($C25=67,$U25=1),1,0)</f>
        <v/>
      </c>
      <c r="WQ26">
        <f>WQ25+IF(AND($C25=68,$U25=1),1,0)</f>
        <v/>
      </c>
      <c r="WR26">
        <f>WR25+IF(AND($C25=69,$U25=1),1,0)</f>
        <v/>
      </c>
      <c r="WS26">
        <f>WS25+IF(AND($C25=70,$U25=1),1,0)</f>
        <v/>
      </c>
      <c r="WT26">
        <f>WT25+IF(AND($C25=71,$U25=1),1,0)</f>
        <v/>
      </c>
      <c r="WU26">
        <f>WU25+IF(AND($C25=72,$U25=1),1,0)</f>
        <v/>
      </c>
      <c r="WV26">
        <f>WV25+IF(AND($C25=73,$U25=1),1,0)</f>
        <v/>
      </c>
      <c r="WW26">
        <f>WW25+IF(AND($C25=74,$U25=1),1,0)</f>
        <v/>
      </c>
      <c r="WX26">
        <f>WX25+IF(AND($C25=75,$U25=1),1,0)</f>
        <v/>
      </c>
      <c r="WY26">
        <f>WY25+IF(AND($C25=76,$U25=1),1,0)</f>
        <v/>
      </c>
      <c r="WZ26">
        <f>WZ25+IF(AND($C25=77,$U25=1),1,0)</f>
        <v/>
      </c>
      <c r="XA26">
        <f>XA25+IF(AND($C25=78,$U25=1),1,0)</f>
        <v/>
      </c>
      <c r="XB26">
        <f>XB25+IF(AND($C25=79,$U25=1),1,0)</f>
        <v/>
      </c>
      <c r="XC26">
        <f>XC25+IF(AND($C25=80,$U25=1),1,0)</f>
        <v/>
      </c>
      <c r="XD26">
        <f>XD25+IF(AND($C25=81,$U25=1),1,0)</f>
        <v/>
      </c>
      <c r="XE26">
        <f>XE25+IF(AND($C25=82,$U25=1),1,0)</f>
        <v/>
      </c>
      <c r="XF26">
        <f>XF25+IF(AND($C25=83,$U25=1),1,0)</f>
        <v/>
      </c>
      <c r="XG26">
        <f>XG25+IF(AND($C25=84,$U25=1),1,0)</f>
        <v/>
      </c>
      <c r="XH26">
        <f>XH25+IF(AND($C25=85,$U25=1),1,0)</f>
        <v/>
      </c>
      <c r="XI26">
        <f>XI25+IF(AND($C25=86,$U25=1),1,0)</f>
        <v/>
      </c>
      <c r="XJ26">
        <f>XJ25+IF(AND($C25=87,$U25=1),1,0)</f>
        <v/>
      </c>
      <c r="XK26">
        <f>XK25+IF(AND($C25=88,$U25=1),1,0)</f>
        <v/>
      </c>
      <c r="XL26">
        <f>XL25+IF(AND($C25=89,$U25=1),1,0)</f>
        <v/>
      </c>
      <c r="XM26">
        <f>XM25+IF(AND($C25=90,$U25=1),1,0)</f>
        <v/>
      </c>
      <c r="XN26">
        <f>XN25+IF(AND($C25=91,$U25=1),1,0)</f>
        <v/>
      </c>
      <c r="XO26">
        <f>XO25+IF(AND($C25=92,$U25=1),1,0)</f>
        <v/>
      </c>
      <c r="XP26">
        <f>XP25+IF(AND($C25=93,$U25=1),1,0)</f>
        <v/>
      </c>
      <c r="XQ26">
        <f>XQ25+IF(AND($C25=94,$U25=1),1,0)</f>
        <v/>
      </c>
      <c r="XR26">
        <f>XR25+IF(AND($C25=95,$U25=1),1,0)</f>
        <v/>
      </c>
      <c r="XS26">
        <f>XS25+IF(AND($C25=96,$U25=1),1,0)</f>
        <v/>
      </c>
      <c r="XT26">
        <f>XT25+IF(AND($C25=97,$U25=1),1,0)</f>
        <v/>
      </c>
      <c r="XU26">
        <f>XU25+IF(AND($C25=98,$U25=1),1,0)</f>
        <v/>
      </c>
      <c r="XV26">
        <f>XV25+IF(AND($C25=99,$U25=1),1,0)</f>
        <v/>
      </c>
      <c r="XW26">
        <f>XW25+IF(AND($C25=100,$U25=1),1,0)</f>
        <v/>
      </c>
      <c r="XX26">
        <f>XX25+IF(AND($C25=101,$U25=1),1,0)</f>
        <v/>
      </c>
      <c r="XY26">
        <f>XY25+IF(AND($C25=102,$U25=1),1,0)</f>
        <v/>
      </c>
      <c r="XZ26">
        <f>XZ25+IF(AND($C25=103,$U25=1),1,0)</f>
        <v/>
      </c>
      <c r="YA26">
        <f>YA25+IF(AND($C25=104,$U25=1),1,0)</f>
        <v/>
      </c>
      <c r="YB26">
        <f>YB25+IF(AND($C25=105,$U25=1),1,0)</f>
        <v/>
      </c>
      <c r="YC26">
        <f>YC25+IF(AND($C25=106,$U25=1),1,0)</f>
        <v/>
      </c>
      <c r="YD26">
        <f>YD25+IF(AND($C25=107,$U25=1),1,0)</f>
        <v/>
      </c>
      <c r="YE26">
        <f>YE25+IF(AND($C25=108,$U25=1),1,0)</f>
        <v/>
      </c>
      <c r="YF26">
        <f>YF25+IF(AND($C25=109,$U25=1),1,0)</f>
        <v/>
      </c>
      <c r="YG26">
        <f>YG25+IF(AND($C25=110,$U25=1),1,0)</f>
        <v/>
      </c>
      <c r="YH26">
        <f>YH25+IF(AND($C25=111,$U25=1),1,0)</f>
        <v/>
      </c>
      <c r="YI26">
        <f>YI25+IF(AND($C25=112,$U25=1),1,0)</f>
        <v/>
      </c>
      <c r="YJ26">
        <f>YJ25+IF(AND($C25=113,$U25=1),1,0)</f>
        <v/>
      </c>
      <c r="YK26">
        <f>YK25+IF(AND($C25=114,$U25=1),1,0)</f>
        <v/>
      </c>
      <c r="YL26">
        <f>YL25+IF(AND($C25=115,$U25=1),1,0)</f>
        <v/>
      </c>
      <c r="YM26">
        <f>YM25+IF(AND($C25=116,$U25=1),1,0)</f>
        <v/>
      </c>
      <c r="YN26">
        <f>YN25+IF(AND($C25=117,$U25=1),1,0)</f>
        <v/>
      </c>
      <c r="YO26">
        <f>YO25+IF(AND($C25=118,$U25=1),1,0)</f>
        <v/>
      </c>
      <c r="YP26">
        <f>YP25+IF(AND($C25=119,$U25=1),1,0)</f>
        <v/>
      </c>
      <c r="YQ26">
        <f>YQ25+IF(AND($C25=120,$U25=1),1,0)</f>
        <v/>
      </c>
      <c r="YR26">
        <f>YR25+IF(AND($C25=121,$U25=1),1,0)</f>
        <v/>
      </c>
      <c r="YS26">
        <f>YS25+IF(AND($C25=122,$U25=1),1,0)</f>
        <v/>
      </c>
      <c r="YT26">
        <f>YT25+IF(AND($C25=123,$U25=1),1,0)</f>
        <v/>
      </c>
      <c r="YU26">
        <f>YU25+IF(AND($C25=124,$U25=1),1,0)</f>
        <v/>
      </c>
      <c r="YV26">
        <f>YV25+IF(AND($C25=125,$U25=1),1,0)</f>
        <v/>
      </c>
      <c r="YW26">
        <f>YW25+IF(AND($C25=126,$U25=1),1,0)</f>
        <v/>
      </c>
      <c r="YX26">
        <f>YX25+IF(AND($C25=127,$U25=1),1,0)</f>
        <v/>
      </c>
      <c r="YY26">
        <f>YY25+IF(AND($C25=128,$U25=1),1,0)</f>
        <v/>
      </c>
      <c r="YZ26">
        <f>YZ25+IF(AND($C25=129,$U25=1),1,0)</f>
        <v/>
      </c>
      <c r="ZA26">
        <f>ZA25+IF(AND($C25=130,$U25=1),1,0)</f>
        <v/>
      </c>
      <c r="ZB26">
        <f>ZB25+IF(AND($C25=131,$U25=1),1,0)</f>
        <v/>
      </c>
      <c r="ZC26">
        <f>ZC25+IF(AND($C25=132,$U25=1),1,0)</f>
        <v/>
      </c>
      <c r="ZD26">
        <f>ZD25+IF(AND($C25=133,$U25=1),1,0)</f>
        <v/>
      </c>
      <c r="ZE26">
        <f>ZE25+IF(AND($C25=134,$U25=1),1,0)</f>
        <v/>
      </c>
      <c r="ZF26">
        <f>ZF25+IF(AND($C25=135,$U25=1),1,0)</f>
        <v/>
      </c>
      <c r="ZG26">
        <f>ZG25+IF(AND($C25=136,$U25=1),1,0)</f>
        <v/>
      </c>
      <c r="ZH26">
        <f>ZH25+IF(AND($C25=137,$U25=1),1,0)</f>
        <v/>
      </c>
      <c r="ZI26">
        <f>ZI25+IF(AND($C25=138,$U25=1),1,0)</f>
        <v/>
      </c>
      <c r="ZJ26">
        <f>ZJ25+IF(AND($C25=139,$U25=1),1,0)</f>
        <v/>
      </c>
      <c r="ZK26">
        <f>ZK25+IF(AND($C25=140,$U25=1),1,0)</f>
        <v/>
      </c>
      <c r="ZL26">
        <f>ZL25+IF(AND($C25=141,$U25=1),1,0)</f>
        <v/>
      </c>
      <c r="ZM26">
        <f>ZM25+IF(AND($C25=142,$U25=1),1,0)</f>
        <v/>
      </c>
      <c r="ZN26">
        <f>ZN25+IF(AND($C25=143,$U25=1),1,0)</f>
        <v/>
      </c>
      <c r="ZO26">
        <f>ZO25+IF(AND($C25=144,$U25=1),1,0)</f>
        <v/>
      </c>
      <c r="ZQ26">
        <f>IF($C25=1,0,ZQ25+IF(AND($G25=1,$E25=1),1,0))</f>
        <v/>
      </c>
      <c r="ZR26">
        <f>IF($C25=2,0,ZR25+IF(AND($G25=2,$E25=1),1,0))</f>
        <v/>
      </c>
      <c r="ZS26">
        <f>IF($C25=3,0,ZS25+IF(AND($G25=3,$E25=1),1,0))</f>
        <v/>
      </c>
      <c r="ZT26">
        <f>IF($C25=4,0,ZT25+IF(AND($G25=4,$E25=1),1,0))</f>
        <v/>
      </c>
      <c r="ZU26">
        <f>IF($C25=5,0,ZU25+IF(AND($G25=5,$E25=1),1,0))</f>
        <v/>
      </c>
      <c r="ZV26">
        <f>IF($C25=6,0,ZV25+IF(AND($G25=6,$E25=1),1,0))</f>
        <v/>
      </c>
      <c r="ZW26">
        <f>IF($C25=7,0,ZW25+IF(AND($G25=7,$E25=1),1,0))</f>
        <v/>
      </c>
      <c r="ZX26">
        <f>IF($C25=8,0,ZX25+IF(AND($G25=8,$E25=1),1,0))</f>
        <v/>
      </c>
      <c r="ZY26">
        <f>IF($C25=9,0,ZY25+IF(AND($G25=9,$E25=1),1,0))</f>
        <v/>
      </c>
      <c r="ZZ26">
        <f>IF($C25=10,0,ZZ25+IF(AND($G25=10,$E25=1),1,0))</f>
        <v/>
      </c>
      <c r="AAA26">
        <f>IF($C25=11,0,AAA25+IF(AND($G25=11,$E25=1),1,0))</f>
        <v/>
      </c>
      <c r="AAB26">
        <f>IF($C25=12,0,AAB25+IF(AND($G25=12,$E25=1),1,0))</f>
        <v/>
      </c>
      <c r="AAC26">
        <f>IF($C25=13,0,AAC25+IF(AND($G25=13,$E25=1),1,0))</f>
        <v/>
      </c>
      <c r="AAD26">
        <f>IF($C25=14,0,AAD25+IF(AND($G25=14,$E25=1),1,0))</f>
        <v/>
      </c>
      <c r="AAE26">
        <f>IF($C25=15,0,AAE25+IF(AND($G25=15,$E25=1),1,0))</f>
        <v/>
      </c>
      <c r="AAF26">
        <f>IF($C25=16,0,AAF25+IF(AND($G25=16,$E25=1),1,0))</f>
        <v/>
      </c>
      <c r="AAG26">
        <f>IF($C25=17,0,AAG25+IF(AND($G25=17,$E25=1),1,0))</f>
        <v/>
      </c>
      <c r="AAH26">
        <f>IF($C25=18,0,AAH25+IF(AND($G25=18,$E25=1),1,0))</f>
        <v/>
      </c>
      <c r="AAI26">
        <f>IF($C25=19,0,AAI25+IF(AND($G25=19,$E25=1),1,0))</f>
        <v/>
      </c>
      <c r="AAJ26">
        <f>IF($C25=20,0,AAJ25+IF(AND($G25=20,$E25=1),1,0))</f>
        <v/>
      </c>
      <c r="AAK26">
        <f>IF($C25=21,0,AAK25+IF(AND($G25=21,$E25=1),1,0))</f>
        <v/>
      </c>
      <c r="AAL26">
        <f>IF($C25=22,0,AAL25+IF(AND($G25=22,$E25=1),1,0))</f>
        <v/>
      </c>
      <c r="AAM26">
        <f>IF($C25=23,0,AAM25+IF(AND($G25=23,$E25=1),1,0))</f>
        <v/>
      </c>
      <c r="AAN26">
        <f>IF($C25=24,0,AAN25+IF(AND($G25=24,$E25=1),1,0))</f>
        <v/>
      </c>
      <c r="AAO26">
        <f>IF($C25=25,0,AAO25+IF(AND($G25=25,$E25=1),1,0))</f>
        <v/>
      </c>
      <c r="AAP26">
        <f>IF($C25=26,0,AAP25+IF(AND($G25=26,$E25=1),1,0))</f>
        <v/>
      </c>
      <c r="AAQ26">
        <f>IF($C25=27,0,AAQ25+IF(AND($G25=27,$E25=1),1,0))</f>
        <v/>
      </c>
      <c r="AAR26">
        <f>IF($C25=28,0,AAR25+IF(AND($G25=28,$E25=1),1,0))</f>
        <v/>
      </c>
      <c r="AAS26">
        <f>IF($C25=29,0,AAS25+IF(AND($G25=29,$E25=1),1,0))</f>
        <v/>
      </c>
      <c r="AAT26">
        <f>IF($C25=30,0,AAT25+IF(AND($G25=30,$E25=1),1,0))</f>
        <v/>
      </c>
      <c r="AAU26">
        <f>IF($C25=31,0,AAU25+IF(AND($G25=31,$E25=1),1,0))</f>
        <v/>
      </c>
      <c r="AAV26">
        <f>IF($C25=32,0,AAV25+IF(AND($G25=32,$E25=1),1,0))</f>
        <v/>
      </c>
      <c r="AAW26">
        <f>IF($C25=33,0,AAW25+IF(AND($G25=33,$E25=1),1,0))</f>
        <v/>
      </c>
      <c r="AAX26">
        <f>IF($C25=34,0,AAX25+IF(AND($G25=34,$E25=1),1,0))</f>
        <v/>
      </c>
      <c r="AAY26">
        <f>IF($C25=35,0,AAY25+IF(AND($G25=35,$E25=1),1,0))</f>
        <v/>
      </c>
      <c r="AAZ26">
        <f>IF($C25=36,0,AAZ25+IF(AND($G25=36,$E25=1),1,0))</f>
        <v/>
      </c>
      <c r="ABA26">
        <f>IF($C25=37,0,ABA25+IF(AND($G25=37,$E25=1),1,0))</f>
        <v/>
      </c>
      <c r="ABB26">
        <f>IF($C25=38,0,ABB25+IF(AND($G25=38,$E25=1),1,0))</f>
        <v/>
      </c>
      <c r="ABC26">
        <f>IF($C25=39,0,ABC25+IF(AND($G25=39,$E25=1),1,0))</f>
        <v/>
      </c>
      <c r="ABD26">
        <f>IF($C25=40,0,ABD25+IF(AND($G25=40,$E25=1),1,0))</f>
        <v/>
      </c>
      <c r="ABE26">
        <f>IF($C25=41,0,ABE25+IF(AND($G25=41,$E25=1),1,0))</f>
        <v/>
      </c>
      <c r="ABF26">
        <f>IF($C25=42,0,ABF25+IF(AND($G25=42,$E25=1),1,0))</f>
        <v/>
      </c>
      <c r="ABG26">
        <f>IF($C25=43,0,ABG25+IF(AND($G25=43,$E25=1),1,0))</f>
        <v/>
      </c>
      <c r="ABH26">
        <f>IF($C25=44,0,ABH25+IF(AND($G25=44,$E25=1),1,0))</f>
        <v/>
      </c>
      <c r="ABI26">
        <f>IF($C25=45,0,ABI25+IF(AND($G25=45,$E25=1),1,0))</f>
        <v/>
      </c>
      <c r="ABJ26">
        <f>IF($C25=46,0,ABJ25+IF(AND($G25=46,$E25=1),1,0))</f>
        <v/>
      </c>
      <c r="ABK26">
        <f>IF($C25=47,0,ABK25+IF(AND($G25=47,$E25=1),1,0))</f>
        <v/>
      </c>
      <c r="ABL26">
        <f>IF($C25=48,0,ABL25+IF(AND($G25=48,$E25=1),1,0))</f>
        <v/>
      </c>
      <c r="ABM26">
        <f>IF($C25=49,0,ABM25+IF(AND($G25=49,$E25=1),1,0))</f>
        <v/>
      </c>
      <c r="ABN26">
        <f>IF($C25=50,0,ABN25+IF(AND($G25=50,$E25=1),1,0))</f>
        <v/>
      </c>
      <c r="ABO26">
        <f>IF($C25=51,0,ABO25+IF(AND($G25=51,$E25=1),1,0))</f>
        <v/>
      </c>
      <c r="ABP26">
        <f>IF($C25=52,0,ABP25+IF(AND($G25=52,$E25=1),1,0))</f>
        <v/>
      </c>
      <c r="ABQ26">
        <f>IF($C25=53,0,ABQ25+IF(AND($G25=53,$E25=1),1,0))</f>
        <v/>
      </c>
      <c r="ABR26">
        <f>IF($C25=54,0,ABR25+IF(AND($G25=54,$E25=1),1,0))</f>
        <v/>
      </c>
      <c r="ABS26">
        <f>IF($C25=55,0,ABS25+IF(AND($G25=55,$E25=1),1,0))</f>
        <v/>
      </c>
      <c r="ABT26">
        <f>IF($C25=56,0,ABT25+IF(AND($G25=56,$E25=1),1,0))</f>
        <v/>
      </c>
      <c r="ABU26">
        <f>IF($C25=57,0,ABU25+IF(AND($G25=57,$E25=1),1,0))</f>
        <v/>
      </c>
      <c r="ABV26">
        <f>IF($C25=58,0,ABV25+IF(AND($G25=58,$E25=1),1,0))</f>
        <v/>
      </c>
      <c r="ABW26">
        <f>IF($C25=59,0,ABW25+IF(AND($G25=59,$E25=1),1,0))</f>
        <v/>
      </c>
      <c r="ABX26">
        <f>IF($C25=60,0,ABX25+IF(AND($G25=60,$E25=1),1,0))</f>
        <v/>
      </c>
      <c r="ABY26">
        <f>IF($C25=61,0,ABY25+IF(AND($G25=61,$E25=1),1,0))</f>
        <v/>
      </c>
      <c r="ABZ26">
        <f>IF($C25=62,0,ABZ25+IF(AND($G25=62,$E25=1),1,0))</f>
        <v/>
      </c>
      <c r="ACA26">
        <f>IF($C25=63,0,ACA25+IF(AND($G25=63,$E25=1),1,0))</f>
        <v/>
      </c>
      <c r="ACB26">
        <f>IF($C25=64,0,ACB25+IF(AND($G25=64,$E25=1),1,0))</f>
        <v/>
      </c>
      <c r="ACC26">
        <f>IF($C25=65,0,ACC25+IF(AND($G25=65,$E25=1),1,0))</f>
        <v/>
      </c>
      <c r="ACD26">
        <f>IF($C25=66,0,ACD25+IF(AND($G25=66,$E25=1),1,0))</f>
        <v/>
      </c>
      <c r="ACE26">
        <f>IF($C25=67,0,ACE25+IF(AND($G25=67,$E25=1),1,0))</f>
        <v/>
      </c>
      <c r="ACF26">
        <f>IF($C25=68,0,ACF25+IF(AND($G25=68,$E25=1),1,0))</f>
        <v/>
      </c>
      <c r="ACG26">
        <f>IF($C25=69,0,ACG25+IF(AND($G25=69,$E25=1),1,0))</f>
        <v/>
      </c>
      <c r="ACH26">
        <f>IF($C25=70,0,ACH25+IF(AND($G25=70,$E25=1),1,0))</f>
        <v/>
      </c>
      <c r="ACI26">
        <f>IF($C25=71,0,ACI25+IF(AND($G25=71,$E25=1),1,0))</f>
        <v/>
      </c>
      <c r="ACJ26">
        <f>IF($C25=72,0,ACJ25+IF(AND($G25=72,$E25=1),1,0))</f>
        <v/>
      </c>
      <c r="ACK26">
        <f>IF($C25=73,0,ACK25+IF(AND($G25=73,$E25=1),1,0))</f>
        <v/>
      </c>
      <c r="ACL26">
        <f>IF($C25=74,0,ACL25+IF(AND($G25=74,$E25=1),1,0))</f>
        <v/>
      </c>
      <c r="ACM26">
        <f>IF($C25=75,0,ACM25+IF(AND($G25=75,$E25=1),1,0))</f>
        <v/>
      </c>
      <c r="ACN26">
        <f>IF($C25=76,0,ACN25+IF(AND($G25=76,$E25=1),1,0))</f>
        <v/>
      </c>
      <c r="ACO26">
        <f>IF($C25=77,0,ACO25+IF(AND($G25=77,$E25=1),1,0))</f>
        <v/>
      </c>
      <c r="ACP26">
        <f>IF($C25=78,0,ACP25+IF(AND($G25=78,$E25=1),1,0))</f>
        <v/>
      </c>
      <c r="ACQ26">
        <f>IF($C25=79,0,ACQ25+IF(AND($G25=79,$E25=1),1,0))</f>
        <v/>
      </c>
      <c r="ACR26">
        <f>IF($C25=80,0,ACR25+IF(AND($G25=80,$E25=1),1,0))</f>
        <v/>
      </c>
      <c r="ACS26">
        <f>IF($C25=81,0,ACS25+IF(AND($G25=81,$E25=1),1,0))</f>
        <v/>
      </c>
      <c r="ACT26">
        <f>IF($C25=82,0,ACT25+IF(AND($G25=82,$E25=1),1,0))</f>
        <v/>
      </c>
      <c r="ACU26">
        <f>IF($C25=83,0,ACU25+IF(AND($G25=83,$E25=1),1,0))</f>
        <v/>
      </c>
      <c r="ACV26">
        <f>IF($C25=84,0,ACV25+IF(AND($G25=84,$E25=1),1,0))</f>
        <v/>
      </c>
      <c r="ACW26">
        <f>IF($C25=85,0,ACW25+IF(AND($G25=85,$E25=1),1,0))</f>
        <v/>
      </c>
      <c r="ACX26">
        <f>IF($C25=86,0,ACX25+IF(AND($G25=86,$E25=1),1,0))</f>
        <v/>
      </c>
      <c r="ACY26">
        <f>IF($C25=87,0,ACY25+IF(AND($G25=87,$E25=1),1,0))</f>
        <v/>
      </c>
      <c r="ACZ26">
        <f>IF($C25=88,0,ACZ25+IF(AND($G25=88,$E25=1),1,0))</f>
        <v/>
      </c>
      <c r="ADA26">
        <f>IF($C25=89,0,ADA25+IF(AND($G25=89,$E25=1),1,0))</f>
        <v/>
      </c>
      <c r="ADB26">
        <f>IF($C25=90,0,ADB25+IF(AND($G25=90,$E25=1),1,0))</f>
        <v/>
      </c>
      <c r="ADC26">
        <f>IF($C25=91,0,ADC25+IF(AND($G25=91,$E25=1),1,0))</f>
        <v/>
      </c>
      <c r="ADD26">
        <f>IF($C25=92,0,ADD25+IF(AND($G25=92,$E25=1),1,0))</f>
        <v/>
      </c>
      <c r="ADE26">
        <f>IF($C25=93,0,ADE25+IF(AND($G25=93,$E25=1),1,0))</f>
        <v/>
      </c>
      <c r="ADF26">
        <f>IF($C25=94,0,ADF25+IF(AND($G25=94,$E25=1),1,0))</f>
        <v/>
      </c>
      <c r="ADG26">
        <f>IF($C25=95,0,ADG25+IF(AND($G25=95,$E25=1),1,0))</f>
        <v/>
      </c>
      <c r="ADH26">
        <f>IF($C25=96,0,ADH25+IF(AND($G25=96,$E25=1),1,0))</f>
        <v/>
      </c>
      <c r="ADI26">
        <f>IF($C25=97,0,ADI25+IF(AND($G25=97,$E25=1),1,0))</f>
        <v/>
      </c>
      <c r="ADJ26">
        <f>IF($C25=98,0,ADJ25+IF(AND($G25=98,$E25=1),1,0))</f>
        <v/>
      </c>
      <c r="ADK26">
        <f>IF($C25=99,0,ADK25+IF(AND($G25=99,$E25=1),1,0))</f>
        <v/>
      </c>
      <c r="ADL26">
        <f>IF($C25=100,0,ADL25+IF(AND($G25=100,$E25=1),1,0))</f>
        <v/>
      </c>
      <c r="ADM26">
        <f>IF($C25=101,0,ADM25+IF(AND($G25=101,$E25=1),1,0))</f>
        <v/>
      </c>
      <c r="ADN26">
        <f>IF($C25=102,0,ADN25+IF(AND($G25=102,$E25=1),1,0))</f>
        <v/>
      </c>
      <c r="ADO26">
        <f>IF($C25=103,0,ADO25+IF(AND($G25=103,$E25=1),1,0))</f>
        <v/>
      </c>
      <c r="ADP26">
        <f>IF($C25=104,0,ADP25+IF(AND($G25=104,$E25=1),1,0))</f>
        <v/>
      </c>
      <c r="ADQ26">
        <f>IF($C25=105,0,ADQ25+IF(AND($G25=105,$E25=1),1,0))</f>
        <v/>
      </c>
      <c r="ADR26">
        <f>IF($C25=106,0,ADR25+IF(AND($G25=106,$E25=1),1,0))</f>
        <v/>
      </c>
      <c r="ADS26">
        <f>IF($C25=107,0,ADS25+IF(AND($G25=107,$E25=1),1,0))</f>
        <v/>
      </c>
      <c r="ADT26">
        <f>IF($C25=108,0,ADT25+IF(AND($G25=108,$E25=1),1,0))</f>
        <v/>
      </c>
      <c r="ADU26">
        <f>IF($C25=109,0,ADU25+IF(AND($G25=109,$E25=1),1,0))</f>
        <v/>
      </c>
      <c r="ADV26">
        <f>IF($C25=110,0,ADV25+IF(AND($G25=110,$E25=1),1,0))</f>
        <v/>
      </c>
      <c r="ADW26">
        <f>IF($C25=111,0,ADW25+IF(AND($G25=111,$E25=1),1,0))</f>
        <v/>
      </c>
      <c r="ADX26">
        <f>IF($C25=112,0,ADX25+IF(AND($G25=112,$E25=1),1,0))</f>
        <v/>
      </c>
      <c r="ADY26">
        <f>IF($C25=113,0,ADY25+IF(AND($G25=113,$E25=1),1,0))</f>
        <v/>
      </c>
      <c r="ADZ26">
        <f>IF($C25=114,0,ADZ25+IF(AND($G25=114,$E25=1),1,0))</f>
        <v/>
      </c>
      <c r="AEA26">
        <f>IF($C25=115,0,AEA25+IF(AND($G25=115,$E25=1),1,0))</f>
        <v/>
      </c>
      <c r="AEB26">
        <f>IF($C25=116,0,AEB25+IF(AND($G25=116,$E25=1),1,0))</f>
        <v/>
      </c>
      <c r="AEC26">
        <f>IF($C25=117,0,AEC25+IF(AND($G25=117,$E25=1),1,0))</f>
        <v/>
      </c>
      <c r="AED26">
        <f>IF($C25=118,0,AED25+IF(AND($G25=118,$E25=1),1,0))</f>
        <v/>
      </c>
      <c r="AEE26">
        <f>IF($C25=119,0,AEE25+IF(AND($G25=119,$E25=1),1,0))</f>
        <v/>
      </c>
      <c r="AEF26">
        <f>IF($C25=120,0,AEF25+IF(AND($G25=120,$E25=1),1,0))</f>
        <v/>
      </c>
      <c r="AEG26">
        <f>IF($C25=121,0,AEG25+IF(AND($G25=121,$E25=1),1,0))</f>
        <v/>
      </c>
      <c r="AEH26">
        <f>IF($C25=122,0,AEH25+IF(AND($G25=122,$E25=1),1,0))</f>
        <v/>
      </c>
      <c r="AEI26">
        <f>IF($C25=123,0,AEI25+IF(AND($G25=123,$E25=1),1,0))</f>
        <v/>
      </c>
      <c r="AEJ26">
        <f>IF($C25=124,0,AEJ25+IF(AND($G25=124,$E25=1),1,0))</f>
        <v/>
      </c>
      <c r="AEK26">
        <f>IF($C25=125,0,AEK25+IF(AND($G25=125,$E25=1),1,0))</f>
        <v/>
      </c>
      <c r="AEL26">
        <f>IF($C25=126,0,AEL25+IF(AND($G25=126,$E25=1),1,0))</f>
        <v/>
      </c>
      <c r="AEM26">
        <f>IF($C25=127,0,AEM25+IF(AND($G25=127,$E25=1),1,0))</f>
        <v/>
      </c>
      <c r="AEN26">
        <f>IF($C25=128,0,AEN25+IF(AND($G25=128,$E25=1),1,0))</f>
        <v/>
      </c>
      <c r="AEO26">
        <f>IF($C25=129,0,AEO25+IF(AND($G25=129,$E25=1),1,0))</f>
        <v/>
      </c>
      <c r="AEP26">
        <f>IF($C25=130,0,AEP25+IF(AND($G25=130,$E25=1),1,0))</f>
        <v/>
      </c>
      <c r="AEQ26">
        <f>IF($C25=131,0,AEQ25+IF(AND($G25=131,$E25=1),1,0))</f>
        <v/>
      </c>
      <c r="AER26">
        <f>IF($C25=132,0,AER25+IF(AND($G25=132,$E25=1),1,0))</f>
        <v/>
      </c>
      <c r="AES26">
        <f>IF($C25=133,0,AES25+IF(AND($G25=133,$E25=1),1,0))</f>
        <v/>
      </c>
      <c r="AET26">
        <f>IF($C25=134,0,AET25+IF(AND($G25=134,$E25=1),1,0))</f>
        <v/>
      </c>
      <c r="AEU26">
        <f>IF($C25=135,0,AEU25+IF(AND($G25=135,$E25=1),1,0))</f>
        <v/>
      </c>
      <c r="AEV26">
        <f>IF($C25=136,0,AEV25+IF(AND($G25=136,$E25=1),1,0))</f>
        <v/>
      </c>
      <c r="AEW26">
        <f>IF($C25=137,0,AEW25+IF(AND($G25=137,$E25=1),1,0))</f>
        <v/>
      </c>
      <c r="AEX26">
        <f>IF($C25=138,0,AEX25+IF(AND($G25=138,$E25=1),1,0))</f>
        <v/>
      </c>
      <c r="AEY26">
        <f>IF($C25=139,0,AEY25+IF(AND($G25=139,$E25=1),1,0))</f>
        <v/>
      </c>
      <c r="AEZ26">
        <f>IF($C25=140,0,AEZ25+IF(AND($G25=140,$E25=1),1,0))</f>
        <v/>
      </c>
      <c r="AFA26">
        <f>IF($C25=141,0,AFA25+IF(AND($G25=141,$E25=1),1,0))</f>
        <v/>
      </c>
      <c r="AFB26">
        <f>IF($C25=142,0,AFB25+IF(AND($G25=142,$E25=1),1,0))</f>
        <v/>
      </c>
      <c r="AFC26">
        <f>IF($C25=143,0,AFC25+IF(AND($G25=143,$E25=1),1,0))</f>
        <v/>
      </c>
      <c r="AFD26">
        <f>IF($C25=144,0,AFD25+IF(AND($G25=144,$E25=1),1,0))</f>
        <v/>
      </c>
      <c r="AFF26">
        <f>IF('calcA'!D$106=1,DC26+ZR26,1)</f>
        <v/>
      </c>
      <c r="AFG26">
        <f>IF('calcA'!E$106=1,DD26+ZS26,1)</f>
        <v/>
      </c>
      <c r="AFH26">
        <f>IF('calcA'!F$106=1,DE26+ZT26,1)</f>
        <v/>
      </c>
      <c r="AFI26">
        <f>IF('calcA'!G$106=1,DF26+ZU26,1)</f>
        <v/>
      </c>
      <c r="AFJ26">
        <f>IF('calcA'!H$106=1,DG26+ZV26,1)</f>
        <v/>
      </c>
      <c r="AFK26">
        <f>IF('calcA'!I$106=1,DH26+ZW26,1)</f>
        <v/>
      </c>
      <c r="AFL26">
        <f>IF('calcA'!J$106=1,DI26+ZX26,1)</f>
        <v/>
      </c>
      <c r="AFM26">
        <f>IF('calcA'!K$106=1,DJ26+ZY26,1)</f>
        <v/>
      </c>
      <c r="AFN26">
        <f>IF('calcA'!L$106=1,DK26+ZZ26,1)</f>
        <v/>
      </c>
      <c r="AFO26">
        <f>IF('calcA'!M$106=1,DL26+AAA26,1)</f>
        <v/>
      </c>
      <c r="AFP26">
        <f>IF('calcA'!N$106=1,DM26+AAB26,1)</f>
        <v/>
      </c>
      <c r="AFQ26">
        <f>IF('calcA'!O$106=1,DN26+AAC26,1)</f>
        <v/>
      </c>
      <c r="AFR26">
        <f>IF('calcA'!P$106=1,DO26+AAD26,1)</f>
        <v/>
      </c>
      <c r="AFS26">
        <f>IF('calcA'!Q$106=1,DP26+AAE26,1)</f>
        <v/>
      </c>
      <c r="AFT26">
        <f>IF('calcA'!R$106=1,DQ26+AAF26,1)</f>
        <v/>
      </c>
      <c r="AFU26">
        <f>IF('calcA'!S$106=1,DR26+AAG26,1)</f>
        <v/>
      </c>
      <c r="AFV26">
        <f>IF('calcA'!T$106=1,DS26+AAH26,1)</f>
        <v/>
      </c>
      <c r="AFW26">
        <f>IF('calcA'!U$106=1,DT26+AAI26,1)</f>
        <v/>
      </c>
      <c r="AFX26">
        <f>IF('calcA'!V$106=1,DU26+AAJ26,1)</f>
        <v/>
      </c>
      <c r="AFY26">
        <f>IF('calcA'!W$106=1,DV26+AAK26,1)</f>
        <v/>
      </c>
      <c r="AFZ26">
        <f>IF('calcA'!X$106=1,DW26+AAL26,1)</f>
        <v/>
      </c>
      <c r="AGA26">
        <f>IF('calcA'!Y$106=1,DX26+AAM26,1)</f>
        <v/>
      </c>
      <c r="AGB26">
        <f>IF('calcA'!Z$106=1,DY26+AAN26,1)</f>
        <v/>
      </c>
      <c r="AGC26">
        <f>IF('calcA'!AA$106=1,DZ26+AAO26,1)</f>
        <v/>
      </c>
      <c r="AGD26">
        <f>IF('calcA'!AB$106=1,EA26+AAP26,1)</f>
        <v/>
      </c>
      <c r="AGE26">
        <f>IF('calcA'!AC$106=1,EB26+AAQ26,1)</f>
        <v/>
      </c>
      <c r="AGF26">
        <f>IF('calcA'!AD$106=1,EC26+AAR26,1)</f>
        <v/>
      </c>
      <c r="AGG26">
        <f>IF('calcA'!AE$106=1,ED26+AAS26,1)</f>
        <v/>
      </c>
      <c r="AGH26">
        <f>IF('calcA'!AF$106=1,EE26+AAT26,1)</f>
        <v/>
      </c>
      <c r="AGI26">
        <f>IF('calcA'!AG$106=1,EF26+AAU26,1)</f>
        <v/>
      </c>
      <c r="AGJ26">
        <f>IF('calcA'!AH$106=1,EG26+AAV26,1)</f>
        <v/>
      </c>
      <c r="AGK26">
        <f>IF('calcA'!AI$106=1,EH26+AAW26,1)</f>
        <v/>
      </c>
      <c r="AGL26">
        <f>IF('calcA'!AJ$106=1,EI26+AAX26,1)</f>
        <v/>
      </c>
      <c r="AGM26">
        <f>IF('calcA'!AK$106=1,EJ26+AAY26,1)</f>
        <v/>
      </c>
      <c r="AGN26">
        <f>IF('calcA'!AL$106=1,EK26+AAZ26,1)</f>
        <v/>
      </c>
      <c r="AGO26">
        <f>IF('calcA'!AM$106=1,EL26+ABA26,1)</f>
        <v/>
      </c>
      <c r="AGP26">
        <f>IF('calcA'!AN$106=1,EM26+ABB26,1)</f>
        <v/>
      </c>
      <c r="AGQ26">
        <f>IF('calcA'!AO$106=1,EN26+ABC26,1)</f>
        <v/>
      </c>
      <c r="AGR26">
        <f>IF('calcA'!AP$106=1,EO26+ABD26,1)</f>
        <v/>
      </c>
      <c r="AGS26">
        <f>IF('calcA'!AQ$106=1,EP26+ABE26,1)</f>
        <v/>
      </c>
      <c r="AGT26">
        <f>IF('calcA'!AR$106=1,EQ26+ABF26,1)</f>
        <v/>
      </c>
      <c r="AGU26">
        <f>IF('calcA'!AS$106=1,ER26+ABG26,1)</f>
        <v/>
      </c>
      <c r="AGV26">
        <f>IF('calcA'!AT$106=1,ES26+ABH26,1)</f>
        <v/>
      </c>
      <c r="AGW26">
        <f>IF('calcA'!AU$106=1,ET26+ABI26,1)</f>
        <v/>
      </c>
      <c r="AGX26">
        <f>IF('calcA'!AV$106=1,EU26+ABJ26,1)</f>
        <v/>
      </c>
      <c r="AGY26">
        <f>IF('calcA'!AW$106=1,EV26+ABK26,1)</f>
        <v/>
      </c>
      <c r="AGZ26">
        <f>IF('calcA'!AX$106=1,EW26+ABL26,1)</f>
        <v/>
      </c>
      <c r="AHA26">
        <f>IF('calcA'!AY$106=1,EX26+ABM26,1)</f>
        <v/>
      </c>
      <c r="AHB26">
        <f>IF('calcA'!AZ$106=1,EY26+ABN26,1)</f>
        <v/>
      </c>
      <c r="AHC26">
        <f>IF('calcA'!BA$106=1,EZ26+ABO26,1)</f>
        <v/>
      </c>
      <c r="AHD26">
        <f>IF('calcA'!BB$106=1,FA26+ABP26,1)</f>
        <v/>
      </c>
      <c r="AHE26">
        <f>IF('calcA'!BC$106=1,FB26+ABQ26,1)</f>
        <v/>
      </c>
      <c r="AHF26">
        <f>IF('calcA'!BD$106=1,FC26+ABR26,1)</f>
        <v/>
      </c>
      <c r="AHG26">
        <f>IF('calcA'!BE$106=1,FD26+ABS26,1)</f>
        <v/>
      </c>
      <c r="AHH26">
        <f>IF('calcA'!BF$106=1,FE26+ABT26,1)</f>
        <v/>
      </c>
      <c r="AHI26">
        <f>IF('calcA'!BG$106=1,FF26+ABU26,1)</f>
        <v/>
      </c>
      <c r="AHJ26">
        <f>IF('calcA'!BH$106=1,FG26+ABV26,1)</f>
        <v/>
      </c>
      <c r="AHK26">
        <f>IF('calcA'!BI$106=1,FH26+ABW26,1)</f>
        <v/>
      </c>
      <c r="AHL26">
        <f>IF('calcA'!BJ$106=1,FI26+ABX26,1)</f>
        <v/>
      </c>
      <c r="AHM26">
        <f>IF('calcA'!BK$106=1,FJ26+ABY26,1)</f>
        <v/>
      </c>
      <c r="AHN26">
        <f>IF('calcA'!BL$106=1,FK26+ABZ26,1)</f>
        <v/>
      </c>
      <c r="AHO26">
        <f>IF('calcA'!BM$106=1,FL26+ACA26,1)</f>
        <v/>
      </c>
      <c r="AHP26">
        <f>IF('calcA'!BN$106=1,FM26+ACB26,1)</f>
        <v/>
      </c>
      <c r="AHQ26">
        <f>IF('calcA'!BO$106=1,FN26+ACC26,1)</f>
        <v/>
      </c>
      <c r="AHR26">
        <f>IF('calcA'!BP$106=1,FO26+ACD26,1)</f>
        <v/>
      </c>
      <c r="AHS26">
        <f>IF('calcA'!BQ$106=1,FP26+ACE26,1)</f>
        <v/>
      </c>
      <c r="AHT26">
        <f>IF('calcA'!BR$106=1,FQ26+ACF26,1)</f>
        <v/>
      </c>
      <c r="AHU26">
        <f>IF('calcA'!BS$106=1,FR26+ACG26,1)</f>
        <v/>
      </c>
      <c r="AHV26">
        <f>IF('calcA'!BT$106=1,FS26+ACH26,1)</f>
        <v/>
      </c>
      <c r="AHW26">
        <f>IF('calcA'!BU$106=1,FT26+ACI26,1)</f>
        <v/>
      </c>
      <c r="AHX26">
        <f>IF('calcA'!BV$106=1,FU26+ACJ26,1)</f>
        <v/>
      </c>
      <c r="AHY26">
        <f>IF('calcA'!BW$106=1,FV26+ACK26,1)</f>
        <v/>
      </c>
      <c r="AHZ26">
        <f>IF('calcA'!BX$106=1,FW26+ACL26,1)</f>
        <v/>
      </c>
      <c r="AIA26">
        <f>IF('calcA'!BY$106=1,FX26+ACM26,1)</f>
        <v/>
      </c>
      <c r="AIB26">
        <f>IF('calcA'!BZ$106=1,FY26+ACN26,1)</f>
        <v/>
      </c>
      <c r="AIC26">
        <f>IF('calcA'!CA$106=1,FZ26+ACO26,1)</f>
        <v/>
      </c>
      <c r="AID26">
        <f>IF('calcA'!CB$106=1,GA26+ACP26,1)</f>
        <v/>
      </c>
      <c r="AIE26">
        <f>IF('calcA'!CC$106=1,GB26+ACQ26,1)</f>
        <v/>
      </c>
      <c r="AIF26">
        <f>IF('calcA'!CD$106=1,GC26+ACR26,1)</f>
        <v/>
      </c>
      <c r="AIG26">
        <f>IF('calcA'!CE$106=1,GD26+ACS26,1)</f>
        <v/>
      </c>
      <c r="AIH26">
        <f>IF('calcA'!CF$106=1,GE26+ACT26,1)</f>
        <v/>
      </c>
      <c r="AII26">
        <f>IF('calcA'!CG$106=1,GF26+ACU26,1)</f>
        <v/>
      </c>
      <c r="AIJ26">
        <f>IF('calcA'!CH$106=1,GG26+ACV26,1)</f>
        <v/>
      </c>
      <c r="AIK26">
        <f>IF('calcA'!CI$106=1,GH26+ACW26,1)</f>
        <v/>
      </c>
      <c r="AIL26">
        <f>IF('calcA'!CJ$106=1,GI26+ACX26,1)</f>
        <v/>
      </c>
      <c r="AIM26">
        <f>IF('calcA'!CK$106=1,GJ26+ACY26,1)</f>
        <v/>
      </c>
      <c r="AIN26">
        <f>IF('calcA'!CL$106=1,GK26+ACZ26,1)</f>
        <v/>
      </c>
      <c r="AIO26">
        <f>IF('calcA'!CM$106=1,GL26+ADA26,1)</f>
        <v/>
      </c>
      <c r="AIP26">
        <f>IF('calcA'!CN$106=1,GM26+ADB26,1)</f>
        <v/>
      </c>
      <c r="AIQ26">
        <f>IF('calcA'!CO$106=1,GN26+ADC26,1)</f>
        <v/>
      </c>
      <c r="AIR26">
        <f>IF('calcA'!CP$106=1,GO26+ADD26,1)</f>
        <v/>
      </c>
      <c r="AIS26">
        <f>IF('calcA'!CQ$106=1,GP26+ADE26,1)</f>
        <v/>
      </c>
      <c r="AIT26">
        <f>IF('calcA'!CR$106=1,GQ26+ADF26,1)</f>
        <v/>
      </c>
      <c r="AIU26">
        <f>IF('calcA'!CS$106=1,GR26+ADG26,1)</f>
        <v/>
      </c>
      <c r="AIV26">
        <f>IF('calcA'!CT$106=1,GS26+ADH26,1)</f>
        <v/>
      </c>
      <c r="AIW26">
        <f>IF('calcA'!CU$106=1,GT26+ADI26,1)</f>
        <v/>
      </c>
      <c r="AIX26">
        <f>IF('calcA'!CV$106=1,GU26+ADJ26,1)</f>
        <v/>
      </c>
      <c r="AIY26">
        <f>IF('calcA'!CW$106=1,GV26+ADK26,1)</f>
        <v/>
      </c>
      <c r="AIZ26">
        <f>IF('calcA'!CX$106=1,GW26+ADL26,1)</f>
        <v/>
      </c>
      <c r="AJA26">
        <f>IF('calcA'!CY$106=1,GX26+ADM26,1)</f>
        <v/>
      </c>
      <c r="AJB26">
        <f>IF('calcA'!CZ$106=1,GY26+ADN26,1)</f>
        <v/>
      </c>
      <c r="AJC26">
        <f>IF('calcA'!DA$106=1,GZ26+ADO26,1)</f>
        <v/>
      </c>
      <c r="AJD26">
        <f>IF('calcA'!DB$106=1,HA26+ADP26,1)</f>
        <v/>
      </c>
      <c r="AJE26">
        <f>IF('calcA'!DC$106=1,HB26+ADQ26,1)</f>
        <v/>
      </c>
      <c r="AJF26">
        <f>IF('calcA'!DD$106=1,HC26+ADR26,1)</f>
        <v/>
      </c>
      <c r="AJG26">
        <f>IF('calcA'!DE$106=1,HD26+ADS26,1)</f>
        <v/>
      </c>
      <c r="AJH26">
        <f>IF('calcA'!DF$106=1,HE26+ADT26,1)</f>
        <v/>
      </c>
      <c r="AJI26">
        <f>IF('calcA'!DG$106=1,HF26+ADU26,1)</f>
        <v/>
      </c>
      <c r="AJJ26">
        <f>IF('calcA'!DH$106=1,HG26+ADV26,1)</f>
        <v/>
      </c>
      <c r="AJK26">
        <f>IF('calcA'!DI$106=1,HH26+ADW26,1)</f>
        <v/>
      </c>
      <c r="AJL26">
        <f>IF('calcA'!DJ$106=1,HI26+ADX26,1)</f>
        <v/>
      </c>
      <c r="AJM26">
        <f>IF('calcA'!DK$106=1,HJ26+ADY26,1)</f>
        <v/>
      </c>
      <c r="AJN26">
        <f>IF('calcA'!DL$106=1,HK26+ADZ26,1)</f>
        <v/>
      </c>
      <c r="AJO26">
        <f>IF('calcA'!DM$106=1,HL26+AEA26,1)</f>
        <v/>
      </c>
      <c r="AJP26">
        <f>IF('calcA'!DN$106=1,HM26+AEB26,1)</f>
        <v/>
      </c>
      <c r="AJQ26">
        <f>IF('calcA'!DO$106=1,HN26+AEC26,1)</f>
        <v/>
      </c>
      <c r="AJR26">
        <f>IF('calcA'!DP$106=1,HO26+AED26,1)</f>
        <v/>
      </c>
      <c r="AJS26">
        <f>IF('calcA'!DQ$106=1,HP26+AEE26,1)</f>
        <v/>
      </c>
      <c r="AJT26">
        <f>IF('calcA'!DR$106=1,HQ26+AEF26,1)</f>
        <v/>
      </c>
      <c r="AJU26">
        <f>IF('calcA'!DS$106=1,HR26+AEG26,1)</f>
        <v/>
      </c>
      <c r="AJV26">
        <f>IF('calcA'!DT$106=1,HS26+AEH26,1)</f>
        <v/>
      </c>
      <c r="AJW26">
        <f>IF('calcA'!DU$106=1,HT26+AEI26,1)</f>
        <v/>
      </c>
      <c r="AJX26">
        <f>IF('calcA'!DV$106=1,HU26+AEJ26,1)</f>
        <v/>
      </c>
      <c r="AJY26">
        <f>IF('calcA'!DW$106=1,HV26+AEK26,1)</f>
        <v/>
      </c>
      <c r="AJZ26">
        <f>IF('calcA'!DX$106=1,HW26+AEL26,1)</f>
        <v/>
      </c>
      <c r="AKA26">
        <f>IF('calcA'!DY$106=1,HX26+AEM26,1)</f>
        <v/>
      </c>
      <c r="AKB26">
        <f>IF('calcA'!DZ$106=1,HY26+AEN26,1)</f>
        <v/>
      </c>
      <c r="AKC26">
        <f>IF('calcA'!EA$106=1,HZ26+AEO26,1)</f>
        <v/>
      </c>
      <c r="AKD26">
        <f>IF('calcA'!EB$106=1,IA26+AEP26,1)</f>
        <v/>
      </c>
      <c r="AKE26">
        <f>IF('calcA'!EC$106=1,IB26+AEQ26,1)</f>
        <v/>
      </c>
      <c r="AKF26">
        <f>IF('calcA'!ED$106=1,IC26+AER26,1)</f>
        <v/>
      </c>
      <c r="AKG26">
        <f>IF('calcA'!EE$106=1,ID26+AES26,1)</f>
        <v/>
      </c>
      <c r="AKH26">
        <f>IF('calcA'!EF$106=1,IE26+AET26,1)</f>
        <v/>
      </c>
      <c r="AKI26">
        <f>IF('calcA'!EG$106=1,IF26+AEU26,1)</f>
        <v/>
      </c>
      <c r="AKJ26">
        <f>IF('calcA'!EH$106=1,IG26+AEV26,1)</f>
        <v/>
      </c>
      <c r="AKK26">
        <f>IF('calcA'!EI$106=1,IH26+AEW26,1)</f>
        <v/>
      </c>
      <c r="AKL26">
        <f>IF('calcA'!EJ$106=1,II26+AEX26,1)</f>
        <v/>
      </c>
      <c r="AKM26">
        <f>IF('calcA'!EK$106=1,IJ26+AEY26,1)</f>
        <v/>
      </c>
      <c r="AKN26">
        <f>IF('calcA'!EL$106=1,IK26+AEZ26,1)</f>
        <v/>
      </c>
      <c r="AKO26">
        <f>IF('calcA'!EM$106=1,IL26+AFA26,1)</f>
        <v/>
      </c>
      <c r="AKP26">
        <f>IF('calcA'!EN$106=1,IM26+AFB26,1)</f>
        <v/>
      </c>
      <c r="AKQ26">
        <f>IF('calcA'!EO$106=1,IN26+AFC26,1)</f>
        <v/>
      </c>
      <c r="AKR26">
        <f>IF('calcA'!EP$106=1,IO26+AFD26,1)</f>
        <v/>
      </c>
      <c r="AKS26" t="n">
        <v>1</v>
      </c>
    </row>
    <row r="27">
      <c r="A27" t="n">
        <v>25</v>
      </c>
      <c r="B27">
        <f>IF(MIN(BM27:CZ27)&gt;=1000000000,0,MATCH(MIN(BM27:CZ27),BM27:CZ27,0))</f>
        <v/>
      </c>
      <c r="C27">
        <f>IF(MIN(OF27:TS27)&gt;=1000000000,0,MATCH(MIN(OF27:TS27),OF27:TS27,0))</f>
        <v/>
      </c>
      <c r="D27">
        <f>IF(C27&gt;0,INDEX('calcA'!$D$5:$EQ$5,C27),0)</f>
        <v/>
      </c>
      <c r="E27">
        <f>IF(B27=0,0,INDEX('calcA'!$IQ$10:$IQ$54,B27))</f>
        <v/>
      </c>
      <c r="F27">
        <f>IF(B27=0,0,INDEX('calcA'!$IP$10:$IP$54,B27))</f>
        <v/>
      </c>
      <c r="G27">
        <f>IF(AND(C27&gt;0,E27&gt;0),IF(AND(INDEX('calcA'!$D$106:$EQ$106,C27)=1,INDEX($IQ27:$OD27,C27)=1),C27+1,0),0)</f>
        <v/>
      </c>
      <c r="H27">
        <f>IF(B27=0,0,INDEX('calcA'!$IW$10:$IW$54,B27))</f>
        <v/>
      </c>
      <c r="U27">
        <f>IF(B27=0,0,INDEX('calcA'!$IX$10:$IX$54,B27))</f>
        <v/>
      </c>
      <c r="V27">
        <f>IF(B27=0,0,INDEX('calcA'!$JF$10:$JF$54,B27))</f>
        <v/>
      </c>
      <c r="W27">
        <f>IF(B27=0,0,IF(IF(E27=2,SUMPRODUCT(INDEX('calcA'!$D$60:$EQ$99,B27,0),$DB27:$IO27,$IQ27:$OD27),SUMPRODUCT(INDEX('calcA'!$D$60:$EQ$99,B27,0),$DB27:$IO27))=0,1,0))</f>
        <v/>
      </c>
      <c r="X27">
        <f>MAX(X26,IF($B26=1,1,0))</f>
        <v/>
      </c>
      <c r="Y27">
        <f>MAX(Y26,IF($B26=2,1,0))</f>
        <v/>
      </c>
      <c r="Z27">
        <f>MAX(Z26,IF($B26=3,1,0))</f>
        <v/>
      </c>
      <c r="AA27">
        <f>MAX(AA26,IF($B26=4,1,0))</f>
        <v/>
      </c>
      <c r="AB27">
        <f>MAX(AB26,IF($B26=5,1,0))</f>
        <v/>
      </c>
      <c r="AC27">
        <f>MAX(AC26,IF($B26=6,1,0))</f>
        <v/>
      </c>
      <c r="AD27">
        <f>MAX(AD26,IF($B26=7,1,0))</f>
        <v/>
      </c>
      <c r="AE27">
        <f>MAX(AE26,IF($B26=8,1,0))</f>
        <v/>
      </c>
      <c r="AF27">
        <f>MAX(AF26,IF($B26=9,1,0))</f>
        <v/>
      </c>
      <c r="AG27">
        <f>MAX(AG26,IF($B26=10,1,0))</f>
        <v/>
      </c>
      <c r="AH27">
        <f>MAX(AH26,IF($B26=11,1,0))</f>
        <v/>
      </c>
      <c r="AI27">
        <f>MAX(AI26,IF($B26=12,1,0))</f>
        <v/>
      </c>
      <c r="AJ27">
        <f>MAX(AJ26,IF($B26=13,1,0))</f>
        <v/>
      </c>
      <c r="AK27">
        <f>MAX(AK26,IF($B26=14,1,0))</f>
        <v/>
      </c>
      <c r="AL27">
        <f>MAX(AL26,IF($B26=15,1,0))</f>
        <v/>
      </c>
      <c r="AM27">
        <f>MAX(AM26,IF($B26=16,1,0))</f>
        <v/>
      </c>
      <c r="AN27">
        <f>MAX(AN26,IF($B26=17,1,0))</f>
        <v/>
      </c>
      <c r="AO27">
        <f>MAX(AO26,IF($B26=18,1,0))</f>
        <v/>
      </c>
      <c r="AP27">
        <f>MAX(AP26,IF($B26=19,1,0))</f>
        <v/>
      </c>
      <c r="AQ27">
        <f>MAX(AQ26,IF($B26=20,1,0))</f>
        <v/>
      </c>
      <c r="AR27">
        <f>MAX(AR26,IF($B26=21,1,0))</f>
        <v/>
      </c>
      <c r="AS27">
        <f>MAX(AS26,IF($B26=22,1,0))</f>
        <v/>
      </c>
      <c r="AT27">
        <f>MAX(AT26,IF($B26=23,1,0))</f>
        <v/>
      </c>
      <c r="AU27">
        <f>MAX(AU26,IF($B26=24,1,0))</f>
        <v/>
      </c>
      <c r="AV27">
        <f>MAX(AV26,IF($B26=25,1,0))</f>
        <v/>
      </c>
      <c r="AW27">
        <f>MAX(AW26,IF($B26=26,1,0))</f>
        <v/>
      </c>
      <c r="AX27">
        <f>MAX(AX26,IF($B26=27,1,0))</f>
        <v/>
      </c>
      <c r="AY27">
        <f>MAX(AY26,IF($B26=28,1,0))</f>
        <v/>
      </c>
      <c r="AZ27">
        <f>MAX(AZ26,IF($B26=29,1,0))</f>
        <v/>
      </c>
      <c r="BA27">
        <f>MAX(BA26,IF($B26=30,1,0))</f>
        <v/>
      </c>
      <c r="BB27">
        <f>MAX(BB26,IF($B26=31,1,0))</f>
        <v/>
      </c>
      <c r="BC27">
        <f>MAX(BC26,IF($B26=32,1,0))</f>
        <v/>
      </c>
      <c r="BD27">
        <f>MAX(BD26,IF($B26=33,1,0))</f>
        <v/>
      </c>
      <c r="BE27">
        <f>MAX(BE26,IF($B26=34,1,0))</f>
        <v/>
      </c>
      <c r="BF27">
        <f>MAX(BF26,IF($B26=35,1,0))</f>
        <v/>
      </c>
      <c r="BG27">
        <f>MAX(BG26,IF($B26=36,1,0))</f>
        <v/>
      </c>
      <c r="BH27">
        <f>MAX(BH26,IF($B26=37,1,0))</f>
        <v/>
      </c>
      <c r="BI27">
        <f>MAX(BI26,IF($B26=38,1,0))</f>
        <v/>
      </c>
      <c r="BJ27">
        <f>MAX(BJ26,IF($B26=39,1,0))</f>
        <v/>
      </c>
      <c r="BK27">
        <f>MAX(BK26,IF($B26=40,1,0))</f>
        <v/>
      </c>
      <c r="BM27">
        <f>IF(OR(X27=1,calcA!$A$6=0),1000000000,IF('calcA'!$JF$10=1,0,100000000)+IF('calcA'!$IQ$10=2,SUMPRODUCT('calcA'!$D$60:$EQ$60,$DB27:$IO27,$IQ27:$OD27)*1000+SUMPRODUCT('calcA'!$D$60:$EQ$60,$DB27:$IO27+$ZQ27:$AFD27,$AFF27:$AKS27),SUMPRODUCT('calcA'!$D$60:$EQ$60,$DB27:$IO27*1001+$ZQ27:$AFD27))*100+1)</f>
        <v/>
      </c>
      <c r="BN27">
        <f>IF(OR(Y27=1,calcA!$A$6=0),1000000000,IF('calcA'!$JF$11=1,0,100000000)+IF('calcA'!$IQ$11=2,SUMPRODUCT('calcA'!$D$61:$EQ$61,$DB27:$IO27,$IQ27:$OD27)*1000+SUMPRODUCT('calcA'!$D$61:$EQ$61,$DB27:$IO27+$ZQ27:$AFD27,$AFF27:$AKS27),SUMPRODUCT('calcA'!$D$61:$EQ$61,$DB27:$IO27*1001+$ZQ27:$AFD27))*100+2)</f>
        <v/>
      </c>
      <c r="BO27">
        <f>IF(OR(Z27=1,calcA!$A$6=0),1000000000,IF('calcA'!$JF$12=1,0,100000000)+IF('calcA'!$IQ$12=2,SUMPRODUCT('calcA'!$D$62:$EQ$62,$DB27:$IO27,$IQ27:$OD27)*1000+SUMPRODUCT('calcA'!$D$62:$EQ$62,$DB27:$IO27+$ZQ27:$AFD27,$AFF27:$AKS27),SUMPRODUCT('calcA'!$D$62:$EQ$62,$DB27:$IO27*1001+$ZQ27:$AFD27))*100+3)</f>
        <v/>
      </c>
      <c r="BP27">
        <f>IF(OR(AA27=1,calcA!$A$6=0),1000000000,IF('calcA'!$JF$13=1,0,100000000)+IF('calcA'!$IQ$13=2,SUMPRODUCT('calcA'!$D$63:$EQ$63,$DB27:$IO27,$IQ27:$OD27)*1000+SUMPRODUCT('calcA'!$D$63:$EQ$63,$DB27:$IO27+$ZQ27:$AFD27,$AFF27:$AKS27),SUMPRODUCT('calcA'!$D$63:$EQ$63,$DB27:$IO27*1001+$ZQ27:$AFD27))*100+4)</f>
        <v/>
      </c>
      <c r="BQ27">
        <f>IF(OR(AB27=1,calcA!$A$6=0),1000000000,IF('calcA'!$JF$14=1,0,100000000)+IF('calcA'!$IQ$14=2,SUMPRODUCT('calcA'!$D$64:$EQ$64,$DB27:$IO27,$IQ27:$OD27)*1000+SUMPRODUCT('calcA'!$D$64:$EQ$64,$DB27:$IO27+$ZQ27:$AFD27,$AFF27:$AKS27),SUMPRODUCT('calcA'!$D$64:$EQ$64,$DB27:$IO27*1001+$ZQ27:$AFD27))*100+5)</f>
        <v/>
      </c>
      <c r="BR27">
        <f>IF(OR(AC27=1,calcA!$A$6=0),1000000000,IF('calcA'!$JF$15=1,0,100000000)+IF('calcA'!$IQ$15=2,SUMPRODUCT('calcA'!$D$65:$EQ$65,$DB27:$IO27,$IQ27:$OD27)*1000+SUMPRODUCT('calcA'!$D$65:$EQ$65,$DB27:$IO27+$ZQ27:$AFD27,$AFF27:$AKS27),SUMPRODUCT('calcA'!$D$65:$EQ$65,$DB27:$IO27*1001+$ZQ27:$AFD27))*100+6)</f>
        <v/>
      </c>
      <c r="BS27">
        <f>IF(OR(AD27=1,calcA!$A$6=0),1000000000,IF('calcA'!$JF$16=1,0,100000000)+IF('calcA'!$IQ$16=2,SUMPRODUCT('calcA'!$D$66:$EQ$66,$DB27:$IO27,$IQ27:$OD27)*1000+SUMPRODUCT('calcA'!$D$66:$EQ$66,$DB27:$IO27+$ZQ27:$AFD27,$AFF27:$AKS27),SUMPRODUCT('calcA'!$D$66:$EQ$66,$DB27:$IO27*1001+$ZQ27:$AFD27))*100+7)</f>
        <v/>
      </c>
      <c r="BT27">
        <f>IF(OR(AE27=1,calcA!$A$6=0),1000000000,IF('calcA'!$JF$17=1,0,100000000)+IF('calcA'!$IQ$17=2,SUMPRODUCT('calcA'!$D$67:$EQ$67,$DB27:$IO27,$IQ27:$OD27)*1000+SUMPRODUCT('calcA'!$D$67:$EQ$67,$DB27:$IO27+$ZQ27:$AFD27,$AFF27:$AKS27),SUMPRODUCT('calcA'!$D$67:$EQ$67,$DB27:$IO27*1001+$ZQ27:$AFD27))*100+8)</f>
        <v/>
      </c>
      <c r="BU27">
        <f>IF(OR(AF27=1,calcA!$A$6=0),1000000000,IF('calcA'!$JF$18=1,0,100000000)+IF('calcA'!$IQ$18=2,SUMPRODUCT('calcA'!$D$68:$EQ$68,$DB27:$IO27,$IQ27:$OD27)*1000+SUMPRODUCT('calcA'!$D$68:$EQ$68,$DB27:$IO27+$ZQ27:$AFD27,$AFF27:$AKS27),SUMPRODUCT('calcA'!$D$68:$EQ$68,$DB27:$IO27*1001+$ZQ27:$AFD27))*100+9)</f>
        <v/>
      </c>
      <c r="BV27">
        <f>IF(OR(AG27=1,calcA!$A$6=0),1000000000,IF('calcA'!$JF$19=1,0,100000000)+IF('calcA'!$IQ$19=2,SUMPRODUCT('calcA'!$D$69:$EQ$69,$DB27:$IO27,$IQ27:$OD27)*1000+SUMPRODUCT('calcA'!$D$69:$EQ$69,$DB27:$IO27+$ZQ27:$AFD27,$AFF27:$AKS27),SUMPRODUCT('calcA'!$D$69:$EQ$69,$DB27:$IO27*1001+$ZQ27:$AFD27))*100+10)</f>
        <v/>
      </c>
      <c r="BW27">
        <f>IF(OR(AH27=1,calcA!$A$6=0),1000000000,IF('calcA'!$JF$20=1,0,100000000)+IF('calcA'!$IQ$20=2,SUMPRODUCT('calcA'!$D$70:$EQ$70,$DB27:$IO27,$IQ27:$OD27)*1000+SUMPRODUCT('calcA'!$D$70:$EQ$70,$DB27:$IO27+$ZQ27:$AFD27,$AFF27:$AKS27),SUMPRODUCT('calcA'!$D$70:$EQ$70,$DB27:$IO27*1001+$ZQ27:$AFD27))*100+11)</f>
        <v/>
      </c>
      <c r="BX27">
        <f>IF(OR(AI27=1,calcA!$A$6=0),1000000000,IF('calcA'!$JF$21=1,0,100000000)+IF('calcA'!$IQ$21=2,SUMPRODUCT('calcA'!$D$71:$EQ$71,$DB27:$IO27,$IQ27:$OD27)*1000+SUMPRODUCT('calcA'!$D$71:$EQ$71,$DB27:$IO27+$ZQ27:$AFD27,$AFF27:$AKS27),SUMPRODUCT('calcA'!$D$71:$EQ$71,$DB27:$IO27*1001+$ZQ27:$AFD27))*100+12)</f>
        <v/>
      </c>
      <c r="BY27">
        <f>IF(OR(AJ27=1,calcA!$A$6=0),1000000000,IF('calcA'!$JF$22=1,0,100000000)+IF('calcA'!$IQ$22=2,SUMPRODUCT('calcA'!$D$72:$EQ$72,$DB27:$IO27,$IQ27:$OD27)*1000+SUMPRODUCT('calcA'!$D$72:$EQ$72,$DB27:$IO27+$ZQ27:$AFD27,$AFF27:$AKS27),SUMPRODUCT('calcA'!$D$72:$EQ$72,$DB27:$IO27*1001+$ZQ27:$AFD27))*100+13)</f>
        <v/>
      </c>
      <c r="BZ27">
        <f>IF(OR(AK27=1,calcA!$A$6=0),1000000000,IF('calcA'!$JF$23=1,0,100000000)+IF('calcA'!$IQ$23=2,SUMPRODUCT('calcA'!$D$73:$EQ$73,$DB27:$IO27,$IQ27:$OD27)*1000+SUMPRODUCT('calcA'!$D$73:$EQ$73,$DB27:$IO27+$ZQ27:$AFD27,$AFF27:$AKS27),SUMPRODUCT('calcA'!$D$73:$EQ$73,$DB27:$IO27*1001+$ZQ27:$AFD27))*100+14)</f>
        <v/>
      </c>
      <c r="CA27">
        <f>IF(OR(AL27=1,calcA!$A$6=0),1000000000,IF('calcA'!$JF$24=1,0,100000000)+IF('calcA'!$IQ$24=2,SUMPRODUCT('calcA'!$D$74:$EQ$74,$DB27:$IO27,$IQ27:$OD27)*1000+SUMPRODUCT('calcA'!$D$74:$EQ$74,$DB27:$IO27+$ZQ27:$AFD27,$AFF27:$AKS27),SUMPRODUCT('calcA'!$D$74:$EQ$74,$DB27:$IO27*1001+$ZQ27:$AFD27))*100+15)</f>
        <v/>
      </c>
      <c r="CB27">
        <f>IF(OR(AM27=1,calcA!$A$6=0),1000000000,IF('calcA'!$JF$25=1,0,100000000)+IF('calcA'!$IQ$25=2,SUMPRODUCT('calcA'!$D$75:$EQ$75,$DB27:$IO27,$IQ27:$OD27)*1000+SUMPRODUCT('calcA'!$D$75:$EQ$75,$DB27:$IO27+$ZQ27:$AFD27,$AFF27:$AKS27),SUMPRODUCT('calcA'!$D$75:$EQ$75,$DB27:$IO27*1001+$ZQ27:$AFD27))*100+16)</f>
        <v/>
      </c>
      <c r="CC27">
        <f>IF(OR(AN27=1,calcA!$A$6=0),1000000000,IF('calcA'!$JF$26=1,0,100000000)+IF('calcA'!$IQ$26=2,SUMPRODUCT('calcA'!$D$76:$EQ$76,$DB27:$IO27,$IQ27:$OD27)*1000+SUMPRODUCT('calcA'!$D$76:$EQ$76,$DB27:$IO27+$ZQ27:$AFD27,$AFF27:$AKS27),SUMPRODUCT('calcA'!$D$76:$EQ$76,$DB27:$IO27*1001+$ZQ27:$AFD27))*100+17)</f>
        <v/>
      </c>
      <c r="CD27">
        <f>IF(OR(AO27=1,calcA!$A$6=0),1000000000,IF('calcA'!$JF$27=1,0,100000000)+IF('calcA'!$IQ$27=2,SUMPRODUCT('calcA'!$D$77:$EQ$77,$DB27:$IO27,$IQ27:$OD27)*1000+SUMPRODUCT('calcA'!$D$77:$EQ$77,$DB27:$IO27+$ZQ27:$AFD27,$AFF27:$AKS27),SUMPRODUCT('calcA'!$D$77:$EQ$77,$DB27:$IO27*1001+$ZQ27:$AFD27))*100+18)</f>
        <v/>
      </c>
      <c r="CE27">
        <f>IF(OR(AP27=1,calcA!$A$6=0),1000000000,IF('calcA'!$JF$28=1,0,100000000)+IF('calcA'!$IQ$28=2,SUMPRODUCT('calcA'!$D$78:$EQ$78,$DB27:$IO27,$IQ27:$OD27)*1000+SUMPRODUCT('calcA'!$D$78:$EQ$78,$DB27:$IO27+$ZQ27:$AFD27,$AFF27:$AKS27),SUMPRODUCT('calcA'!$D$78:$EQ$78,$DB27:$IO27*1001+$ZQ27:$AFD27))*100+19)</f>
        <v/>
      </c>
      <c r="CF27">
        <f>IF(OR(AQ27=1,calcA!$A$6=0),1000000000,IF('calcA'!$JF$29=1,0,100000000)+IF('calcA'!$IQ$29=2,SUMPRODUCT('calcA'!$D$79:$EQ$79,$DB27:$IO27,$IQ27:$OD27)*1000+SUMPRODUCT('calcA'!$D$79:$EQ$79,$DB27:$IO27+$ZQ27:$AFD27,$AFF27:$AKS27),SUMPRODUCT('calcA'!$D$79:$EQ$79,$DB27:$IO27*1001+$ZQ27:$AFD27))*100+20)</f>
        <v/>
      </c>
      <c r="CG27">
        <f>IF(OR(AR27=1,calcA!$A$6=0),1000000000,IF('calcA'!$JF$30=1,0,100000000)+IF('calcA'!$IQ$30=2,SUMPRODUCT('calcA'!$D$80:$EQ$80,$DB27:$IO27,$IQ27:$OD27)*1000+SUMPRODUCT('calcA'!$D$80:$EQ$80,$DB27:$IO27+$ZQ27:$AFD27,$AFF27:$AKS27),SUMPRODUCT('calcA'!$D$80:$EQ$80,$DB27:$IO27*1001+$ZQ27:$AFD27))*100+21)</f>
        <v/>
      </c>
      <c r="CH27">
        <f>IF(OR(AS27=1,calcA!$A$6=0),1000000000,IF('calcA'!$JF$31=1,0,100000000)+IF('calcA'!$IQ$31=2,SUMPRODUCT('calcA'!$D$81:$EQ$81,$DB27:$IO27,$IQ27:$OD27)*1000+SUMPRODUCT('calcA'!$D$81:$EQ$81,$DB27:$IO27+$ZQ27:$AFD27,$AFF27:$AKS27),SUMPRODUCT('calcA'!$D$81:$EQ$81,$DB27:$IO27*1001+$ZQ27:$AFD27))*100+22)</f>
        <v/>
      </c>
      <c r="CI27">
        <f>IF(OR(AT27=1,calcA!$A$6=0),1000000000,IF('calcA'!$JF$32=1,0,100000000)+IF('calcA'!$IQ$32=2,SUMPRODUCT('calcA'!$D$82:$EQ$82,$DB27:$IO27,$IQ27:$OD27)*1000+SUMPRODUCT('calcA'!$D$82:$EQ$82,$DB27:$IO27+$ZQ27:$AFD27,$AFF27:$AKS27),SUMPRODUCT('calcA'!$D$82:$EQ$82,$DB27:$IO27*1001+$ZQ27:$AFD27))*100+23)</f>
        <v/>
      </c>
      <c r="CJ27">
        <f>IF(OR(AU27=1,calcA!$A$6=0),1000000000,IF('calcA'!$JF$33=1,0,100000000)+IF('calcA'!$IQ$33=2,SUMPRODUCT('calcA'!$D$83:$EQ$83,$DB27:$IO27,$IQ27:$OD27)*1000+SUMPRODUCT('calcA'!$D$83:$EQ$83,$DB27:$IO27+$ZQ27:$AFD27,$AFF27:$AKS27),SUMPRODUCT('calcA'!$D$83:$EQ$83,$DB27:$IO27*1001+$ZQ27:$AFD27))*100+24)</f>
        <v/>
      </c>
      <c r="CK27">
        <f>IF(OR(AV27=1,calcA!$A$6=0),1000000000,IF('calcA'!$JF$34=1,0,100000000)+IF('calcA'!$IQ$34=2,SUMPRODUCT('calcA'!$D$84:$EQ$84,$DB27:$IO27,$IQ27:$OD27)*1000+SUMPRODUCT('calcA'!$D$84:$EQ$84,$DB27:$IO27+$ZQ27:$AFD27,$AFF27:$AKS27),SUMPRODUCT('calcA'!$D$84:$EQ$84,$DB27:$IO27*1001+$ZQ27:$AFD27))*100+25)</f>
        <v/>
      </c>
      <c r="CL27">
        <f>IF(OR(AW27=1,calcA!$A$6=0),1000000000,IF('calcA'!$JF$35=1,0,100000000)+IF('calcA'!$IQ$35=2,SUMPRODUCT('calcA'!$D$85:$EQ$85,$DB27:$IO27,$IQ27:$OD27)*1000+SUMPRODUCT('calcA'!$D$85:$EQ$85,$DB27:$IO27+$ZQ27:$AFD27,$AFF27:$AKS27),SUMPRODUCT('calcA'!$D$85:$EQ$85,$DB27:$IO27*1001+$ZQ27:$AFD27))*100+26)</f>
        <v/>
      </c>
      <c r="CM27">
        <f>IF(OR(AX27=1,calcA!$A$6=0),1000000000,IF('calcA'!$JF$36=1,0,100000000)+IF('calcA'!$IQ$36=2,SUMPRODUCT('calcA'!$D$86:$EQ$86,$DB27:$IO27,$IQ27:$OD27)*1000+SUMPRODUCT('calcA'!$D$86:$EQ$86,$DB27:$IO27+$ZQ27:$AFD27,$AFF27:$AKS27),SUMPRODUCT('calcA'!$D$86:$EQ$86,$DB27:$IO27*1001+$ZQ27:$AFD27))*100+27)</f>
        <v/>
      </c>
      <c r="CN27">
        <f>IF(OR(AY27=1,calcA!$A$6=0),1000000000,IF('calcA'!$JF$37=1,0,100000000)+IF('calcA'!$IQ$37=2,SUMPRODUCT('calcA'!$D$87:$EQ$87,$DB27:$IO27,$IQ27:$OD27)*1000+SUMPRODUCT('calcA'!$D$87:$EQ$87,$DB27:$IO27+$ZQ27:$AFD27,$AFF27:$AKS27),SUMPRODUCT('calcA'!$D$87:$EQ$87,$DB27:$IO27*1001+$ZQ27:$AFD27))*100+28)</f>
        <v/>
      </c>
      <c r="CO27">
        <f>IF(OR(AZ27=1,calcA!$A$6=0),1000000000,IF('calcA'!$JF$38=1,0,100000000)+IF('calcA'!$IQ$38=2,SUMPRODUCT('calcA'!$D$88:$EQ$88,$DB27:$IO27,$IQ27:$OD27)*1000+SUMPRODUCT('calcA'!$D$88:$EQ$88,$DB27:$IO27+$ZQ27:$AFD27,$AFF27:$AKS27),SUMPRODUCT('calcA'!$D$88:$EQ$88,$DB27:$IO27*1001+$ZQ27:$AFD27))*100+29)</f>
        <v/>
      </c>
      <c r="CP27">
        <f>IF(OR(BA27=1,calcA!$A$6=0),1000000000,IF('calcA'!$JF$39=1,0,100000000)+IF('calcA'!$IQ$39=2,SUMPRODUCT('calcA'!$D$89:$EQ$89,$DB27:$IO27,$IQ27:$OD27)*1000+SUMPRODUCT('calcA'!$D$89:$EQ$89,$DB27:$IO27+$ZQ27:$AFD27,$AFF27:$AKS27),SUMPRODUCT('calcA'!$D$89:$EQ$89,$DB27:$IO27*1001+$ZQ27:$AFD27))*100+30)</f>
        <v/>
      </c>
      <c r="CQ27">
        <f>IF(OR(BB27=1,calcA!$A$6=0),1000000000,IF('calcA'!$JF$40=1,0,100000000)+IF('calcA'!$IQ$40=2,SUMPRODUCT('calcA'!$D$90:$EQ$90,$DB27:$IO27,$IQ27:$OD27)*1000+SUMPRODUCT('calcA'!$D$90:$EQ$90,$DB27:$IO27+$ZQ27:$AFD27,$AFF27:$AKS27),SUMPRODUCT('calcA'!$D$90:$EQ$90,$DB27:$IO27*1001+$ZQ27:$AFD27))*100+31)</f>
        <v/>
      </c>
      <c r="CR27">
        <f>IF(OR(BC27=1,calcA!$A$6=0),1000000000,IF('calcA'!$JF$41=1,0,100000000)+IF('calcA'!$IQ$41=2,SUMPRODUCT('calcA'!$D$91:$EQ$91,$DB27:$IO27,$IQ27:$OD27)*1000+SUMPRODUCT('calcA'!$D$91:$EQ$91,$DB27:$IO27+$ZQ27:$AFD27,$AFF27:$AKS27),SUMPRODUCT('calcA'!$D$91:$EQ$91,$DB27:$IO27*1001+$ZQ27:$AFD27))*100+32)</f>
        <v/>
      </c>
      <c r="CS27">
        <f>IF(OR(BD27=1,calcA!$A$6=0),1000000000,IF('calcA'!$JF$42=1,0,100000000)+IF('calcA'!$IQ$42=2,SUMPRODUCT('calcA'!$D$92:$EQ$92,$DB27:$IO27,$IQ27:$OD27)*1000+SUMPRODUCT('calcA'!$D$92:$EQ$92,$DB27:$IO27+$ZQ27:$AFD27,$AFF27:$AKS27),SUMPRODUCT('calcA'!$D$92:$EQ$92,$DB27:$IO27*1001+$ZQ27:$AFD27))*100+33)</f>
        <v/>
      </c>
      <c r="CT27">
        <f>IF(OR(BE27=1,calcA!$A$6=0),1000000000,IF('calcA'!$JF$43=1,0,100000000)+IF('calcA'!$IQ$43=2,SUMPRODUCT('calcA'!$D$93:$EQ$93,$DB27:$IO27,$IQ27:$OD27)*1000+SUMPRODUCT('calcA'!$D$93:$EQ$93,$DB27:$IO27+$ZQ27:$AFD27,$AFF27:$AKS27),SUMPRODUCT('calcA'!$D$93:$EQ$93,$DB27:$IO27*1001+$ZQ27:$AFD27))*100+34)</f>
        <v/>
      </c>
      <c r="CU27">
        <f>IF(OR(BF27=1,calcA!$A$6=0),1000000000,IF('calcA'!$JF$44=1,0,100000000)+IF('calcA'!$IQ$44=2,SUMPRODUCT('calcA'!$D$94:$EQ$94,$DB27:$IO27,$IQ27:$OD27)*1000+SUMPRODUCT('calcA'!$D$94:$EQ$94,$DB27:$IO27+$ZQ27:$AFD27,$AFF27:$AKS27),SUMPRODUCT('calcA'!$D$94:$EQ$94,$DB27:$IO27*1001+$ZQ27:$AFD27))*100+35)</f>
        <v/>
      </c>
      <c r="CV27">
        <f>IF(OR(BG27=1,calcA!$A$6=0),1000000000,IF('calcA'!$JF$45=1,0,100000000)+IF('calcA'!$IQ$45=2,SUMPRODUCT('calcA'!$D$95:$EQ$95,$DB27:$IO27,$IQ27:$OD27)*1000+SUMPRODUCT('calcA'!$D$95:$EQ$95,$DB27:$IO27+$ZQ27:$AFD27,$AFF27:$AKS27),SUMPRODUCT('calcA'!$D$95:$EQ$95,$DB27:$IO27*1001+$ZQ27:$AFD27))*100+36)</f>
        <v/>
      </c>
      <c r="CW27">
        <f>IF(OR(BH27=1,calcA!$A$6=0),1000000000,IF('calcA'!$JF$46=1,0,100000000)+IF('calcA'!$IQ$46=2,SUMPRODUCT('calcA'!$D$96:$EQ$96,$DB27:$IO27,$IQ27:$OD27)*1000+SUMPRODUCT('calcA'!$D$96:$EQ$96,$DB27:$IO27+$ZQ27:$AFD27,$AFF27:$AKS27),SUMPRODUCT('calcA'!$D$96:$EQ$96,$DB27:$IO27*1001+$ZQ27:$AFD27))*100+37)</f>
        <v/>
      </c>
      <c r="CX27">
        <f>IF(OR(BI27=1,calcA!$A$6=0),1000000000,IF('calcA'!$JF$47=1,0,100000000)+IF('calcA'!$IQ$47=2,SUMPRODUCT('calcA'!$D$97:$EQ$97,$DB27:$IO27,$IQ27:$OD27)*1000+SUMPRODUCT('calcA'!$D$97:$EQ$97,$DB27:$IO27+$ZQ27:$AFD27,$AFF27:$AKS27),SUMPRODUCT('calcA'!$D$97:$EQ$97,$DB27:$IO27*1001+$ZQ27:$AFD27))*100+38)</f>
        <v/>
      </c>
      <c r="CY27">
        <f>IF(OR(BJ27=1,calcA!$A$6=0),1000000000,IF('calcA'!$JF$48=1,0,100000000)+IF('calcA'!$IQ$48=2,SUMPRODUCT('calcA'!$D$98:$EQ$98,$DB27:$IO27,$IQ27:$OD27)*1000+SUMPRODUCT('calcA'!$D$98:$EQ$98,$DB27:$IO27+$ZQ27:$AFD27,$AFF27:$AKS27),SUMPRODUCT('calcA'!$D$98:$EQ$98,$DB27:$IO27*1001+$ZQ27:$AFD27))*100+39)</f>
        <v/>
      </c>
      <c r="CZ27">
        <f>IF(OR(BK27=1,calcA!$A$6=0),1000000000,IF('calcA'!$JF$49=1,0,100000000)+IF('calcA'!$IQ$49=2,SUMPRODUCT('calcA'!$D$99:$EQ$99,$DB27:$IO27,$IQ27:$OD27)*1000+SUMPRODUCT('calcA'!$D$99:$EQ$99,$DB27:$IO27+$ZQ27:$AFD27,$AFF27:$AKS27),SUMPRODUCT('calcA'!$D$99:$EQ$99,$DB27:$IO27*1001+$ZQ27:$AFD27))*100+40)</f>
        <v/>
      </c>
      <c r="DB27">
        <f>DB26*IF(OR($C26=1,$G26=1),0,1)</f>
        <v/>
      </c>
      <c r="DC27">
        <f>DC26*IF(OR($C26=2,$G26=2),0,1)</f>
        <v/>
      </c>
      <c r="DD27">
        <f>DD26*IF(OR($C26=3,$G26=3),0,1)</f>
        <v/>
      </c>
      <c r="DE27">
        <f>DE26*IF(OR($C26=4,$G26=4),0,1)</f>
        <v/>
      </c>
      <c r="DF27">
        <f>DF26*IF(OR($C26=5,$G26=5),0,1)</f>
        <v/>
      </c>
      <c r="DG27">
        <f>DG26*IF(OR($C26=6,$G26=6),0,1)</f>
        <v/>
      </c>
      <c r="DH27">
        <f>DH26*IF(OR($C26=7,$G26=7),0,1)</f>
        <v/>
      </c>
      <c r="DI27">
        <f>DI26*IF(OR($C26=8,$G26=8),0,1)</f>
        <v/>
      </c>
      <c r="DJ27">
        <f>DJ26*IF(OR($C26=9,$G26=9),0,1)</f>
        <v/>
      </c>
      <c r="DK27">
        <f>DK26*IF(OR($C26=10,$G26=10),0,1)</f>
        <v/>
      </c>
      <c r="DL27">
        <f>DL26*IF(OR($C26=11,$G26=11),0,1)</f>
        <v/>
      </c>
      <c r="DM27">
        <f>DM26*IF(OR($C26=12,$G26=12),0,1)</f>
        <v/>
      </c>
      <c r="DN27">
        <f>DN26*IF(OR($C26=13,$G26=13),0,1)</f>
        <v/>
      </c>
      <c r="DO27">
        <f>DO26*IF(OR($C26=14,$G26=14),0,1)</f>
        <v/>
      </c>
      <c r="DP27">
        <f>DP26*IF(OR($C26=15,$G26=15),0,1)</f>
        <v/>
      </c>
      <c r="DQ27">
        <f>DQ26*IF(OR($C26=16,$G26=16),0,1)</f>
        <v/>
      </c>
      <c r="DR27">
        <f>DR26*IF(OR($C26=17,$G26=17),0,1)</f>
        <v/>
      </c>
      <c r="DS27">
        <f>DS26*IF(OR($C26=18,$G26=18),0,1)</f>
        <v/>
      </c>
      <c r="DT27">
        <f>DT26*IF(OR($C26=19,$G26=19),0,1)</f>
        <v/>
      </c>
      <c r="DU27">
        <f>DU26*IF(OR($C26=20,$G26=20),0,1)</f>
        <v/>
      </c>
      <c r="DV27">
        <f>DV26*IF(OR($C26=21,$G26=21),0,1)</f>
        <v/>
      </c>
      <c r="DW27">
        <f>DW26*IF(OR($C26=22,$G26=22),0,1)</f>
        <v/>
      </c>
      <c r="DX27">
        <f>DX26*IF(OR($C26=23,$G26=23),0,1)</f>
        <v/>
      </c>
      <c r="DY27">
        <f>DY26*IF(OR($C26=24,$G26=24),0,1)</f>
        <v/>
      </c>
      <c r="DZ27">
        <f>DZ26*IF(OR($C26=25,$G26=25),0,1)</f>
        <v/>
      </c>
      <c r="EA27">
        <f>EA26*IF(OR($C26=26,$G26=26),0,1)</f>
        <v/>
      </c>
      <c r="EB27">
        <f>EB26*IF(OR($C26=27,$G26=27),0,1)</f>
        <v/>
      </c>
      <c r="EC27">
        <f>EC26*IF(OR($C26=28,$G26=28),0,1)</f>
        <v/>
      </c>
      <c r="ED27">
        <f>ED26*IF(OR($C26=29,$G26=29),0,1)</f>
        <v/>
      </c>
      <c r="EE27">
        <f>EE26*IF(OR($C26=30,$G26=30),0,1)</f>
        <v/>
      </c>
      <c r="EF27">
        <f>EF26*IF(OR($C26=31,$G26=31),0,1)</f>
        <v/>
      </c>
      <c r="EG27">
        <f>EG26*IF(OR($C26=32,$G26=32),0,1)</f>
        <v/>
      </c>
      <c r="EH27">
        <f>EH26*IF(OR($C26=33,$G26=33),0,1)</f>
        <v/>
      </c>
      <c r="EI27">
        <f>EI26*IF(OR($C26=34,$G26=34),0,1)</f>
        <v/>
      </c>
      <c r="EJ27">
        <f>EJ26*IF(OR($C26=35,$G26=35),0,1)</f>
        <v/>
      </c>
      <c r="EK27">
        <f>EK26*IF(OR($C26=36,$G26=36),0,1)</f>
        <v/>
      </c>
      <c r="EL27">
        <f>EL26*IF(OR($C26=37,$G26=37),0,1)</f>
        <v/>
      </c>
      <c r="EM27">
        <f>EM26*IF(OR($C26=38,$G26=38),0,1)</f>
        <v/>
      </c>
      <c r="EN27">
        <f>EN26*IF(OR($C26=39,$G26=39),0,1)</f>
        <v/>
      </c>
      <c r="EO27">
        <f>EO26*IF(OR($C26=40,$G26=40),0,1)</f>
        <v/>
      </c>
      <c r="EP27">
        <f>EP26*IF(OR($C26=41,$G26=41),0,1)</f>
        <v/>
      </c>
      <c r="EQ27">
        <f>EQ26*IF(OR($C26=42,$G26=42),0,1)</f>
        <v/>
      </c>
      <c r="ER27">
        <f>ER26*IF(OR($C26=43,$G26=43),0,1)</f>
        <v/>
      </c>
      <c r="ES27">
        <f>ES26*IF(OR($C26=44,$G26=44),0,1)</f>
        <v/>
      </c>
      <c r="ET27">
        <f>ET26*IF(OR($C26=45,$G26=45),0,1)</f>
        <v/>
      </c>
      <c r="EU27">
        <f>EU26*IF(OR($C26=46,$G26=46),0,1)</f>
        <v/>
      </c>
      <c r="EV27">
        <f>EV26*IF(OR($C26=47,$G26=47),0,1)</f>
        <v/>
      </c>
      <c r="EW27">
        <f>EW26*IF(OR($C26=48,$G26=48),0,1)</f>
        <v/>
      </c>
      <c r="EX27">
        <f>EX26*IF(OR($C26=49,$G26=49),0,1)</f>
        <v/>
      </c>
      <c r="EY27">
        <f>EY26*IF(OR($C26=50,$G26=50),0,1)</f>
        <v/>
      </c>
      <c r="EZ27">
        <f>EZ26*IF(OR($C26=51,$G26=51),0,1)</f>
        <v/>
      </c>
      <c r="FA27">
        <f>FA26*IF(OR($C26=52,$G26=52),0,1)</f>
        <v/>
      </c>
      <c r="FB27">
        <f>FB26*IF(OR($C26=53,$G26=53),0,1)</f>
        <v/>
      </c>
      <c r="FC27">
        <f>FC26*IF(OR($C26=54,$G26=54),0,1)</f>
        <v/>
      </c>
      <c r="FD27">
        <f>FD26*IF(OR($C26=55,$G26=55),0,1)</f>
        <v/>
      </c>
      <c r="FE27">
        <f>FE26*IF(OR($C26=56,$G26=56),0,1)</f>
        <v/>
      </c>
      <c r="FF27">
        <f>FF26*IF(OR($C26=57,$G26=57),0,1)</f>
        <v/>
      </c>
      <c r="FG27">
        <f>FG26*IF(OR($C26=58,$G26=58),0,1)</f>
        <v/>
      </c>
      <c r="FH27">
        <f>FH26*IF(OR($C26=59,$G26=59),0,1)</f>
        <v/>
      </c>
      <c r="FI27">
        <f>FI26*IF(OR($C26=60,$G26=60),0,1)</f>
        <v/>
      </c>
      <c r="FJ27">
        <f>FJ26*IF(OR($C26=61,$G26=61),0,1)</f>
        <v/>
      </c>
      <c r="FK27">
        <f>FK26*IF(OR($C26=62,$G26=62),0,1)</f>
        <v/>
      </c>
      <c r="FL27">
        <f>FL26*IF(OR($C26=63,$G26=63),0,1)</f>
        <v/>
      </c>
      <c r="FM27">
        <f>FM26*IF(OR($C26=64,$G26=64),0,1)</f>
        <v/>
      </c>
      <c r="FN27">
        <f>FN26*IF(OR($C26=65,$G26=65),0,1)</f>
        <v/>
      </c>
      <c r="FO27">
        <f>FO26*IF(OR($C26=66,$G26=66),0,1)</f>
        <v/>
      </c>
      <c r="FP27">
        <f>FP26*IF(OR($C26=67,$G26=67),0,1)</f>
        <v/>
      </c>
      <c r="FQ27">
        <f>FQ26*IF(OR($C26=68,$G26=68),0,1)</f>
        <v/>
      </c>
      <c r="FR27">
        <f>FR26*IF(OR($C26=69,$G26=69),0,1)</f>
        <v/>
      </c>
      <c r="FS27">
        <f>FS26*IF(OR($C26=70,$G26=70),0,1)</f>
        <v/>
      </c>
      <c r="FT27">
        <f>FT26*IF(OR($C26=71,$G26=71),0,1)</f>
        <v/>
      </c>
      <c r="FU27">
        <f>FU26*IF(OR($C26=72,$G26=72),0,1)</f>
        <v/>
      </c>
      <c r="FV27">
        <f>FV26*IF(OR($C26=73,$G26=73),0,1)</f>
        <v/>
      </c>
      <c r="FW27">
        <f>FW26*IF(OR($C26=74,$G26=74),0,1)</f>
        <v/>
      </c>
      <c r="FX27">
        <f>FX26*IF(OR($C26=75,$G26=75),0,1)</f>
        <v/>
      </c>
      <c r="FY27">
        <f>FY26*IF(OR($C26=76,$G26=76),0,1)</f>
        <v/>
      </c>
      <c r="FZ27">
        <f>FZ26*IF(OR($C26=77,$G26=77),0,1)</f>
        <v/>
      </c>
      <c r="GA27">
        <f>GA26*IF(OR($C26=78,$G26=78),0,1)</f>
        <v/>
      </c>
      <c r="GB27">
        <f>GB26*IF(OR($C26=79,$G26=79),0,1)</f>
        <v/>
      </c>
      <c r="GC27">
        <f>GC26*IF(OR($C26=80,$G26=80),0,1)</f>
        <v/>
      </c>
      <c r="GD27">
        <f>GD26*IF(OR($C26=81,$G26=81),0,1)</f>
        <v/>
      </c>
      <c r="GE27">
        <f>GE26*IF(OR($C26=82,$G26=82),0,1)</f>
        <v/>
      </c>
      <c r="GF27">
        <f>GF26*IF(OR($C26=83,$G26=83),0,1)</f>
        <v/>
      </c>
      <c r="GG27">
        <f>GG26*IF(OR($C26=84,$G26=84),0,1)</f>
        <v/>
      </c>
      <c r="GH27">
        <f>GH26*IF(OR($C26=85,$G26=85),0,1)</f>
        <v/>
      </c>
      <c r="GI27">
        <f>GI26*IF(OR($C26=86,$G26=86),0,1)</f>
        <v/>
      </c>
      <c r="GJ27">
        <f>GJ26*IF(OR($C26=87,$G26=87),0,1)</f>
        <v/>
      </c>
      <c r="GK27">
        <f>GK26*IF(OR($C26=88,$G26=88),0,1)</f>
        <v/>
      </c>
      <c r="GL27">
        <f>GL26*IF(OR($C26=89,$G26=89),0,1)</f>
        <v/>
      </c>
      <c r="GM27">
        <f>GM26*IF(OR($C26=90,$G26=90),0,1)</f>
        <v/>
      </c>
      <c r="GN27">
        <f>GN26*IF(OR($C26=91,$G26=91),0,1)</f>
        <v/>
      </c>
      <c r="GO27">
        <f>GO26*IF(OR($C26=92,$G26=92),0,1)</f>
        <v/>
      </c>
      <c r="GP27">
        <f>GP26*IF(OR($C26=93,$G26=93),0,1)</f>
        <v/>
      </c>
      <c r="GQ27">
        <f>GQ26*IF(OR($C26=94,$G26=94),0,1)</f>
        <v/>
      </c>
      <c r="GR27">
        <f>GR26*IF(OR($C26=95,$G26=95),0,1)</f>
        <v/>
      </c>
      <c r="GS27">
        <f>GS26*IF(OR($C26=96,$G26=96),0,1)</f>
        <v/>
      </c>
      <c r="GT27">
        <f>GT26*IF(OR($C26=97,$G26=97),0,1)</f>
        <v/>
      </c>
      <c r="GU27">
        <f>GU26*IF(OR($C26=98,$G26=98),0,1)</f>
        <v/>
      </c>
      <c r="GV27">
        <f>GV26*IF(OR($C26=99,$G26=99),0,1)</f>
        <v/>
      </c>
      <c r="GW27">
        <f>GW26*IF(OR($C26=100,$G26=100),0,1)</f>
        <v/>
      </c>
      <c r="GX27">
        <f>GX26*IF(OR($C26=101,$G26=101),0,1)</f>
        <v/>
      </c>
      <c r="GY27">
        <f>GY26*IF(OR($C26=102,$G26=102),0,1)</f>
        <v/>
      </c>
      <c r="GZ27">
        <f>GZ26*IF(OR($C26=103,$G26=103),0,1)</f>
        <v/>
      </c>
      <c r="HA27">
        <f>HA26*IF(OR($C26=104,$G26=104),0,1)</f>
        <v/>
      </c>
      <c r="HB27">
        <f>HB26*IF(OR($C26=105,$G26=105),0,1)</f>
        <v/>
      </c>
      <c r="HC27">
        <f>HC26*IF(OR($C26=106,$G26=106),0,1)</f>
        <v/>
      </c>
      <c r="HD27">
        <f>HD26*IF(OR($C26=107,$G26=107),0,1)</f>
        <v/>
      </c>
      <c r="HE27">
        <f>HE26*IF(OR($C26=108,$G26=108),0,1)</f>
        <v/>
      </c>
      <c r="HF27">
        <f>HF26*IF(OR($C26=109,$G26=109),0,1)</f>
        <v/>
      </c>
      <c r="HG27">
        <f>HG26*IF(OR($C26=110,$G26=110),0,1)</f>
        <v/>
      </c>
      <c r="HH27">
        <f>HH26*IF(OR($C26=111,$G26=111),0,1)</f>
        <v/>
      </c>
      <c r="HI27">
        <f>HI26*IF(OR($C26=112,$G26=112),0,1)</f>
        <v/>
      </c>
      <c r="HJ27">
        <f>HJ26*IF(OR($C26=113,$G26=113),0,1)</f>
        <v/>
      </c>
      <c r="HK27">
        <f>HK26*IF(OR($C26=114,$G26=114),0,1)</f>
        <v/>
      </c>
      <c r="HL27">
        <f>HL26*IF(OR($C26=115,$G26=115),0,1)</f>
        <v/>
      </c>
      <c r="HM27">
        <f>HM26*IF(OR($C26=116,$G26=116),0,1)</f>
        <v/>
      </c>
      <c r="HN27">
        <f>HN26*IF(OR($C26=117,$G26=117),0,1)</f>
        <v/>
      </c>
      <c r="HO27">
        <f>HO26*IF(OR($C26=118,$G26=118),0,1)</f>
        <v/>
      </c>
      <c r="HP27">
        <f>HP26*IF(OR($C26=119,$G26=119),0,1)</f>
        <v/>
      </c>
      <c r="HQ27">
        <f>HQ26*IF(OR($C26=120,$G26=120),0,1)</f>
        <v/>
      </c>
      <c r="HR27">
        <f>HR26*IF(OR($C26=121,$G26=121),0,1)</f>
        <v/>
      </c>
      <c r="HS27">
        <f>HS26*IF(OR($C26=122,$G26=122),0,1)</f>
        <v/>
      </c>
      <c r="HT27">
        <f>HT26*IF(OR($C26=123,$G26=123),0,1)</f>
        <v/>
      </c>
      <c r="HU27">
        <f>HU26*IF(OR($C26=124,$G26=124),0,1)</f>
        <v/>
      </c>
      <c r="HV27">
        <f>HV26*IF(OR($C26=125,$G26=125),0,1)</f>
        <v/>
      </c>
      <c r="HW27">
        <f>HW26*IF(OR($C26=126,$G26=126),0,1)</f>
        <v/>
      </c>
      <c r="HX27">
        <f>HX26*IF(OR($C26=127,$G26=127),0,1)</f>
        <v/>
      </c>
      <c r="HY27">
        <f>HY26*IF(OR($C26=128,$G26=128),0,1)</f>
        <v/>
      </c>
      <c r="HZ27">
        <f>HZ26*IF(OR($C26=129,$G26=129),0,1)</f>
        <v/>
      </c>
      <c r="IA27">
        <f>IA26*IF(OR($C26=130,$G26=130),0,1)</f>
        <v/>
      </c>
      <c r="IB27">
        <f>IB26*IF(OR($C26=131,$G26=131),0,1)</f>
        <v/>
      </c>
      <c r="IC27">
        <f>IC26*IF(OR($C26=132,$G26=132),0,1)</f>
        <v/>
      </c>
      <c r="ID27">
        <f>ID26*IF(OR($C26=133,$G26=133),0,1)</f>
        <v/>
      </c>
      <c r="IE27">
        <f>IE26*IF(OR($C26=134,$G26=134),0,1)</f>
        <v/>
      </c>
      <c r="IF27">
        <f>IF26*IF(OR($C26=135,$G26=135),0,1)</f>
        <v/>
      </c>
      <c r="IG27">
        <f>IG26*IF(OR($C26=136,$G26=136),0,1)</f>
        <v/>
      </c>
      <c r="IH27">
        <f>IH26*IF(OR($C26=137,$G26=137),0,1)</f>
        <v/>
      </c>
      <c r="II27">
        <f>II26*IF(OR($C26=138,$G26=138),0,1)</f>
        <v/>
      </c>
      <c r="IJ27">
        <f>IJ26*IF(OR($C26=139,$G26=139),0,1)</f>
        <v/>
      </c>
      <c r="IK27">
        <f>IK26*IF(OR($C26=140,$G26=140),0,1)</f>
        <v/>
      </c>
      <c r="IL27">
        <f>IL26*IF(OR($C26=141,$G26=141),0,1)</f>
        <v/>
      </c>
      <c r="IM27">
        <f>IM26*IF(OR($C26=142,$G26=142),0,1)</f>
        <v/>
      </c>
      <c r="IN27">
        <f>IN26*IF(OR($C26=143,$G26=143),0,1)</f>
        <v/>
      </c>
      <c r="IO27">
        <f>IO26*IF(OR($C26=144,$G26=144),0,1)</f>
        <v/>
      </c>
      <c r="IQ27">
        <f>IF('calcA'!D$106=1,DC27,1)</f>
        <v/>
      </c>
      <c r="IR27">
        <f>IF('calcA'!E$106=1,DD27,1)</f>
        <v/>
      </c>
      <c r="IS27">
        <f>IF('calcA'!F$106=1,DE27,1)</f>
        <v/>
      </c>
      <c r="IT27">
        <f>IF('calcA'!G$106=1,DF27,1)</f>
        <v/>
      </c>
      <c r="IU27">
        <f>IF('calcA'!H$106=1,DG27,1)</f>
        <v/>
      </c>
      <c r="IV27">
        <f>IF('calcA'!I$106=1,DH27,1)</f>
        <v/>
      </c>
      <c r="IW27">
        <f>IF('calcA'!J$106=1,DI27,1)</f>
        <v/>
      </c>
      <c r="IX27">
        <f>IF('calcA'!K$106=1,DJ27,1)</f>
        <v/>
      </c>
      <c r="IY27">
        <f>IF('calcA'!L$106=1,DK27,1)</f>
        <v/>
      </c>
      <c r="IZ27">
        <f>IF('calcA'!M$106=1,DL27,1)</f>
        <v/>
      </c>
      <c r="JA27">
        <f>IF('calcA'!N$106=1,DM27,1)</f>
        <v/>
      </c>
      <c r="JB27">
        <f>IF('calcA'!O$106=1,DN27,1)</f>
        <v/>
      </c>
      <c r="JC27">
        <f>IF('calcA'!P$106=1,DO27,1)</f>
        <v/>
      </c>
      <c r="JD27">
        <f>IF('calcA'!Q$106=1,DP27,1)</f>
        <v/>
      </c>
      <c r="JE27">
        <f>IF('calcA'!R$106=1,DQ27,1)</f>
        <v/>
      </c>
      <c r="JF27">
        <f>IF('calcA'!S$106=1,DR27,1)</f>
        <v/>
      </c>
      <c r="JG27">
        <f>IF('calcA'!T$106=1,DS27,1)</f>
        <v/>
      </c>
      <c r="JH27">
        <f>IF('calcA'!U$106=1,DT27,1)</f>
        <v/>
      </c>
      <c r="JI27">
        <f>IF('calcA'!V$106=1,DU27,1)</f>
        <v/>
      </c>
      <c r="JJ27">
        <f>IF('calcA'!W$106=1,DV27,1)</f>
        <v/>
      </c>
      <c r="JK27">
        <f>IF('calcA'!X$106=1,DW27,1)</f>
        <v/>
      </c>
      <c r="JL27">
        <f>IF('calcA'!Y$106=1,DX27,1)</f>
        <v/>
      </c>
      <c r="JM27">
        <f>IF('calcA'!Z$106=1,DY27,1)</f>
        <v/>
      </c>
      <c r="JN27">
        <f>IF('calcA'!AA$106=1,DZ27,1)</f>
        <v/>
      </c>
      <c r="JO27">
        <f>IF('calcA'!AB$106=1,EA27,1)</f>
        <v/>
      </c>
      <c r="JP27">
        <f>IF('calcA'!AC$106=1,EB27,1)</f>
        <v/>
      </c>
      <c r="JQ27">
        <f>IF('calcA'!AD$106=1,EC27,1)</f>
        <v/>
      </c>
      <c r="JR27">
        <f>IF('calcA'!AE$106=1,ED27,1)</f>
        <v/>
      </c>
      <c r="JS27">
        <f>IF('calcA'!AF$106=1,EE27,1)</f>
        <v/>
      </c>
      <c r="JT27">
        <f>IF('calcA'!AG$106=1,EF27,1)</f>
        <v/>
      </c>
      <c r="JU27">
        <f>IF('calcA'!AH$106=1,EG27,1)</f>
        <v/>
      </c>
      <c r="JV27">
        <f>IF('calcA'!AI$106=1,EH27,1)</f>
        <v/>
      </c>
      <c r="JW27">
        <f>IF('calcA'!AJ$106=1,EI27,1)</f>
        <v/>
      </c>
      <c r="JX27">
        <f>IF('calcA'!AK$106=1,EJ27,1)</f>
        <v/>
      </c>
      <c r="JY27">
        <f>IF('calcA'!AL$106=1,EK27,1)</f>
        <v/>
      </c>
      <c r="JZ27">
        <f>IF('calcA'!AM$106=1,EL27,1)</f>
        <v/>
      </c>
      <c r="KA27">
        <f>IF('calcA'!AN$106=1,EM27,1)</f>
        <v/>
      </c>
      <c r="KB27">
        <f>IF('calcA'!AO$106=1,EN27,1)</f>
        <v/>
      </c>
      <c r="KC27">
        <f>IF('calcA'!AP$106=1,EO27,1)</f>
        <v/>
      </c>
      <c r="KD27">
        <f>IF('calcA'!AQ$106=1,EP27,1)</f>
        <v/>
      </c>
      <c r="KE27">
        <f>IF('calcA'!AR$106=1,EQ27,1)</f>
        <v/>
      </c>
      <c r="KF27">
        <f>IF('calcA'!AS$106=1,ER27,1)</f>
        <v/>
      </c>
      <c r="KG27">
        <f>IF('calcA'!AT$106=1,ES27,1)</f>
        <v/>
      </c>
      <c r="KH27">
        <f>IF('calcA'!AU$106=1,ET27,1)</f>
        <v/>
      </c>
      <c r="KI27">
        <f>IF('calcA'!AV$106=1,EU27,1)</f>
        <v/>
      </c>
      <c r="KJ27">
        <f>IF('calcA'!AW$106=1,EV27,1)</f>
        <v/>
      </c>
      <c r="KK27">
        <f>IF('calcA'!AX$106=1,EW27,1)</f>
        <v/>
      </c>
      <c r="KL27">
        <f>IF('calcA'!AY$106=1,EX27,1)</f>
        <v/>
      </c>
      <c r="KM27">
        <f>IF('calcA'!AZ$106=1,EY27,1)</f>
        <v/>
      </c>
      <c r="KN27">
        <f>IF('calcA'!BA$106=1,EZ27,1)</f>
        <v/>
      </c>
      <c r="KO27">
        <f>IF('calcA'!BB$106=1,FA27,1)</f>
        <v/>
      </c>
      <c r="KP27">
        <f>IF('calcA'!BC$106=1,FB27,1)</f>
        <v/>
      </c>
      <c r="KQ27">
        <f>IF('calcA'!BD$106=1,FC27,1)</f>
        <v/>
      </c>
      <c r="KR27">
        <f>IF('calcA'!BE$106=1,FD27,1)</f>
        <v/>
      </c>
      <c r="KS27">
        <f>IF('calcA'!BF$106=1,FE27,1)</f>
        <v/>
      </c>
      <c r="KT27">
        <f>IF('calcA'!BG$106=1,FF27,1)</f>
        <v/>
      </c>
      <c r="KU27">
        <f>IF('calcA'!BH$106=1,FG27,1)</f>
        <v/>
      </c>
      <c r="KV27">
        <f>IF('calcA'!BI$106=1,FH27,1)</f>
        <v/>
      </c>
      <c r="KW27">
        <f>IF('calcA'!BJ$106=1,FI27,1)</f>
        <v/>
      </c>
      <c r="KX27">
        <f>IF('calcA'!BK$106=1,FJ27,1)</f>
        <v/>
      </c>
      <c r="KY27">
        <f>IF('calcA'!BL$106=1,FK27,1)</f>
        <v/>
      </c>
      <c r="KZ27">
        <f>IF('calcA'!BM$106=1,FL27,1)</f>
        <v/>
      </c>
      <c r="LA27">
        <f>IF('calcA'!BN$106=1,FM27,1)</f>
        <v/>
      </c>
      <c r="LB27">
        <f>IF('calcA'!BO$106=1,FN27,1)</f>
        <v/>
      </c>
      <c r="LC27">
        <f>IF('calcA'!BP$106=1,FO27,1)</f>
        <v/>
      </c>
      <c r="LD27">
        <f>IF('calcA'!BQ$106=1,FP27,1)</f>
        <v/>
      </c>
      <c r="LE27">
        <f>IF('calcA'!BR$106=1,FQ27,1)</f>
        <v/>
      </c>
      <c r="LF27">
        <f>IF('calcA'!BS$106=1,FR27,1)</f>
        <v/>
      </c>
      <c r="LG27">
        <f>IF('calcA'!BT$106=1,FS27,1)</f>
        <v/>
      </c>
      <c r="LH27">
        <f>IF('calcA'!BU$106=1,FT27,1)</f>
        <v/>
      </c>
      <c r="LI27">
        <f>IF('calcA'!BV$106=1,FU27,1)</f>
        <v/>
      </c>
      <c r="LJ27">
        <f>IF('calcA'!BW$106=1,FV27,1)</f>
        <v/>
      </c>
      <c r="LK27">
        <f>IF('calcA'!BX$106=1,FW27,1)</f>
        <v/>
      </c>
      <c r="LL27">
        <f>IF('calcA'!BY$106=1,FX27,1)</f>
        <v/>
      </c>
      <c r="LM27">
        <f>IF('calcA'!BZ$106=1,FY27,1)</f>
        <v/>
      </c>
      <c r="LN27">
        <f>IF('calcA'!CA$106=1,FZ27,1)</f>
        <v/>
      </c>
      <c r="LO27">
        <f>IF('calcA'!CB$106=1,GA27,1)</f>
        <v/>
      </c>
      <c r="LP27">
        <f>IF('calcA'!CC$106=1,GB27,1)</f>
        <v/>
      </c>
      <c r="LQ27">
        <f>IF('calcA'!CD$106=1,GC27,1)</f>
        <v/>
      </c>
      <c r="LR27">
        <f>IF('calcA'!CE$106=1,GD27,1)</f>
        <v/>
      </c>
      <c r="LS27">
        <f>IF('calcA'!CF$106=1,GE27,1)</f>
        <v/>
      </c>
      <c r="LT27">
        <f>IF('calcA'!CG$106=1,GF27,1)</f>
        <v/>
      </c>
      <c r="LU27">
        <f>IF('calcA'!CH$106=1,GG27,1)</f>
        <v/>
      </c>
      <c r="LV27">
        <f>IF('calcA'!CI$106=1,GH27,1)</f>
        <v/>
      </c>
      <c r="LW27">
        <f>IF('calcA'!CJ$106=1,GI27,1)</f>
        <v/>
      </c>
      <c r="LX27">
        <f>IF('calcA'!CK$106=1,GJ27,1)</f>
        <v/>
      </c>
      <c r="LY27">
        <f>IF('calcA'!CL$106=1,GK27,1)</f>
        <v/>
      </c>
      <c r="LZ27">
        <f>IF('calcA'!CM$106=1,GL27,1)</f>
        <v/>
      </c>
      <c r="MA27">
        <f>IF('calcA'!CN$106=1,GM27,1)</f>
        <v/>
      </c>
      <c r="MB27">
        <f>IF('calcA'!CO$106=1,GN27,1)</f>
        <v/>
      </c>
      <c r="MC27">
        <f>IF('calcA'!CP$106=1,GO27,1)</f>
        <v/>
      </c>
      <c r="MD27">
        <f>IF('calcA'!CQ$106=1,GP27,1)</f>
        <v/>
      </c>
      <c r="ME27">
        <f>IF('calcA'!CR$106=1,GQ27,1)</f>
        <v/>
      </c>
      <c r="MF27">
        <f>IF('calcA'!CS$106=1,GR27,1)</f>
        <v/>
      </c>
      <c r="MG27">
        <f>IF('calcA'!CT$106=1,GS27,1)</f>
        <v/>
      </c>
      <c r="MH27">
        <f>IF('calcA'!CU$106=1,GT27,1)</f>
        <v/>
      </c>
      <c r="MI27">
        <f>IF('calcA'!CV$106=1,GU27,1)</f>
        <v/>
      </c>
      <c r="MJ27">
        <f>IF('calcA'!CW$106=1,GV27,1)</f>
        <v/>
      </c>
      <c r="MK27">
        <f>IF('calcA'!CX$106=1,GW27,1)</f>
        <v/>
      </c>
      <c r="ML27">
        <f>IF('calcA'!CY$106=1,GX27,1)</f>
        <v/>
      </c>
      <c r="MM27">
        <f>IF('calcA'!CZ$106=1,GY27,1)</f>
        <v/>
      </c>
      <c r="MN27">
        <f>IF('calcA'!DA$106=1,GZ27,1)</f>
        <v/>
      </c>
      <c r="MO27">
        <f>IF('calcA'!DB$106=1,HA27,1)</f>
        <v/>
      </c>
      <c r="MP27">
        <f>IF('calcA'!DC$106=1,HB27,1)</f>
        <v/>
      </c>
      <c r="MQ27">
        <f>IF('calcA'!DD$106=1,HC27,1)</f>
        <v/>
      </c>
      <c r="MR27">
        <f>IF('calcA'!DE$106=1,HD27,1)</f>
        <v/>
      </c>
      <c r="MS27">
        <f>IF('calcA'!DF$106=1,HE27,1)</f>
        <v/>
      </c>
      <c r="MT27">
        <f>IF('calcA'!DG$106=1,HF27,1)</f>
        <v/>
      </c>
      <c r="MU27">
        <f>IF('calcA'!DH$106=1,HG27,1)</f>
        <v/>
      </c>
      <c r="MV27">
        <f>IF('calcA'!DI$106=1,HH27,1)</f>
        <v/>
      </c>
      <c r="MW27">
        <f>IF('calcA'!DJ$106=1,HI27,1)</f>
        <v/>
      </c>
      <c r="MX27">
        <f>IF('calcA'!DK$106=1,HJ27,1)</f>
        <v/>
      </c>
      <c r="MY27">
        <f>IF('calcA'!DL$106=1,HK27,1)</f>
        <v/>
      </c>
      <c r="MZ27">
        <f>IF('calcA'!DM$106=1,HL27,1)</f>
        <v/>
      </c>
      <c r="NA27">
        <f>IF('calcA'!DN$106=1,HM27,1)</f>
        <v/>
      </c>
      <c r="NB27">
        <f>IF('calcA'!DO$106=1,HN27,1)</f>
        <v/>
      </c>
      <c r="NC27">
        <f>IF('calcA'!DP$106=1,HO27,1)</f>
        <v/>
      </c>
      <c r="ND27">
        <f>IF('calcA'!DQ$106=1,HP27,1)</f>
        <v/>
      </c>
      <c r="NE27">
        <f>IF('calcA'!DR$106=1,HQ27,1)</f>
        <v/>
      </c>
      <c r="NF27">
        <f>IF('calcA'!DS$106=1,HR27,1)</f>
        <v/>
      </c>
      <c r="NG27">
        <f>IF('calcA'!DT$106=1,HS27,1)</f>
        <v/>
      </c>
      <c r="NH27">
        <f>IF('calcA'!DU$106=1,HT27,1)</f>
        <v/>
      </c>
      <c r="NI27">
        <f>IF('calcA'!DV$106=1,HU27,1)</f>
        <v/>
      </c>
      <c r="NJ27">
        <f>IF('calcA'!DW$106=1,HV27,1)</f>
        <v/>
      </c>
      <c r="NK27">
        <f>IF('calcA'!DX$106=1,HW27,1)</f>
        <v/>
      </c>
      <c r="NL27">
        <f>IF('calcA'!DY$106=1,HX27,1)</f>
        <v/>
      </c>
      <c r="NM27">
        <f>IF('calcA'!DZ$106=1,HY27,1)</f>
        <v/>
      </c>
      <c r="NN27">
        <f>IF('calcA'!EA$106=1,HZ27,1)</f>
        <v/>
      </c>
      <c r="NO27">
        <f>IF('calcA'!EB$106=1,IA27,1)</f>
        <v/>
      </c>
      <c r="NP27">
        <f>IF('calcA'!EC$106=1,IB27,1)</f>
        <v/>
      </c>
      <c r="NQ27">
        <f>IF('calcA'!ED$106=1,IC27,1)</f>
        <v/>
      </c>
      <c r="NR27">
        <f>IF('calcA'!EE$106=1,ID27,1)</f>
        <v/>
      </c>
      <c r="NS27">
        <f>IF('calcA'!EF$106=1,IE27,1)</f>
        <v/>
      </c>
      <c r="NT27">
        <f>IF('calcA'!EG$106=1,IF27,1)</f>
        <v/>
      </c>
      <c r="NU27">
        <f>IF('calcA'!EH$106=1,IG27,1)</f>
        <v/>
      </c>
      <c r="NV27">
        <f>IF('calcA'!EI$106=1,IH27,1)</f>
        <v/>
      </c>
      <c r="NW27">
        <f>IF('calcA'!EJ$106=1,II27,1)</f>
        <v/>
      </c>
      <c r="NX27">
        <f>IF('calcA'!EK$106=1,IJ27,1)</f>
        <v/>
      </c>
      <c r="NY27">
        <f>IF('calcA'!EL$106=1,IK27,1)</f>
        <v/>
      </c>
      <c r="NZ27">
        <f>IF('calcA'!EM$106=1,IL27,1)</f>
        <v/>
      </c>
      <c r="OA27">
        <f>IF('calcA'!EN$106=1,IM27,1)</f>
        <v/>
      </c>
      <c r="OB27">
        <f>IF('calcA'!EO$106=1,IN27,1)</f>
        <v/>
      </c>
      <c r="OC27">
        <f>IF('calcA'!EP$106=1,IO27,1)</f>
        <v/>
      </c>
      <c r="OD27" t="n">
        <v>1</v>
      </c>
      <c r="OF27">
        <f>IF($B27=0,1000000000,IF(INDEX('calcA'!$D$60:$EQ$99,$B27,1)*IF($W27=1,DB27+ZQ27,DB27)=1,IF(AND($E27=2,IF($W27=1,AFF27,IQ27)=0),1000000000,IF($V27=1,INDEX('calcA'!$D$130:$EQ$169,$B27,1)+IF(AND($E27=1,IQ27=0),25,0),IF($F27&gt;0,INDEX('calcA'!D$110:D$114,$F27+1)+IF(AND($E27=1,IQ27=0),1000,0),MIN(TU27,20)*400+(IF('calcA'!D$106=1,1-DC27,0))*150+11+'calcA'!D$5*100000+IF(AND($E27=1,IQ27=0),50000,0))+IF($H27=1,INDEX('calcA'!$D$180:$EQ$219,$B27,1)*4000,0)-IF(AND($U27=1,'calcA'!D$117=1,DC27=0),2000,0))),1000000000))</f>
        <v/>
      </c>
      <c r="OG27">
        <f>IF($B27=0,1000000000,IF(INDEX('calcA'!$D$60:$EQ$99,$B27,2)*IF($W27=1,DC27+ZR27,DC27)=1,IF(AND($E27=2,IF($W27=1,AFG27,IR27)=0),1000000000,IF($V27=1,INDEX('calcA'!$D$130:$EQ$169,$B27,2)+IF(AND($E27=1,IR27=0),25,0),IF($F27&gt;0,INDEX('calcA'!E$110:E$114,$F27+1)+IF(AND($E27=1,IR27=0),1000,0),MIN(TU27,20)*400+(IF('calcA'!D$106=1,1-DB27,0)+IF('calcA'!E$106=1,1-DD27,0))*150+21+'calcA'!E$5*100000+IF(AND($E27=1,IR27=0),50000,0))+IF($H27=1,INDEX('calcA'!$D$180:$EQ$219,$B27,2)*4000,0)-IF(AND('calcA'!D$117=1,UB27&gt;0),2000,0)-IF(AND($U27=1,'calcA'!E$117=1,DD27=0),2000,0))),1000000000))</f>
        <v/>
      </c>
      <c r="OH27">
        <f>IF($B27=0,1000000000,IF(INDEX('calcA'!$D$60:$EQ$99,$B27,3)*IF($W27=1,DD27+ZS27,DD27)=1,IF(AND($E27=2,IF($W27=1,AFH27,IS27)=0),1000000000,IF($V27=1,INDEX('calcA'!$D$130:$EQ$169,$B27,3)+IF(AND($E27=1,IS27=0),25,0),IF($F27&gt;0,INDEX('calcA'!F$110:F$114,$F27+1)+IF(AND($E27=1,IS27=0),1000,0),MIN(TU27,20)*400+(IF('calcA'!E$106=1,1-DC27,0)+IF('calcA'!F$106=1,1-DE27,0))*150+31+'calcA'!F$5*100000+IF(AND($E27=1,IS27=0),50000,0))+IF($H27=1,INDEX('calcA'!$D$180:$EQ$219,$B27,3)*4000,0)-IF(AND('calcA'!E$117=1,UC27&gt;0),2000,0)-IF(AND($U27=1,'calcA'!F$117=1,DE27=0),2000,0))),1000000000))</f>
        <v/>
      </c>
      <c r="OI27">
        <f>IF($B27=0,1000000000,IF(INDEX('calcA'!$D$60:$EQ$99,$B27,4)*IF($W27=1,DE27+ZT27,DE27)=1,IF(AND($E27=2,IF($W27=1,AFI27,IT27)=0),1000000000,IF($V27=1,INDEX('calcA'!$D$130:$EQ$169,$B27,4)+IF(AND($E27=1,IT27=0),25,0),IF($F27&gt;0,INDEX('calcA'!G$110:G$114,$F27+1)+IF(AND($E27=1,IT27=0),1000,0),MIN(TU27,20)*400+(IF('calcA'!F$106=1,1-DD27,0)+IF('calcA'!G$106=1,1-DF27,0))*150+41+'calcA'!G$5*100000+IF(AND($E27=1,IT27=0),50000,0))+IF($H27=1,INDEX('calcA'!$D$180:$EQ$219,$B27,4)*4000,0)-IF(AND('calcA'!F$117=1,UD27&gt;0),2000,0)-IF(AND($U27=1,'calcA'!G$117=1,DF27=0),2000,0))),1000000000))</f>
        <v/>
      </c>
      <c r="OJ27">
        <f>IF($B27=0,1000000000,IF(INDEX('calcA'!$D$60:$EQ$99,$B27,5)*IF($W27=1,DF27+ZU27,DF27)=1,IF(AND($E27=2,IF($W27=1,AFJ27,IU27)=0),1000000000,IF($V27=1,INDEX('calcA'!$D$130:$EQ$169,$B27,5)+IF(AND($E27=1,IU27=0),25,0),IF($F27&gt;0,INDEX('calcA'!H$110:H$114,$F27+1)+IF(AND($E27=1,IU27=0),1000,0),MIN(TU27,20)*400+(IF('calcA'!G$106=1,1-DE27,0)+IF('calcA'!H$106=1,1-DG27,0))*150+51+'calcA'!H$5*100000+IF(AND($E27=1,IU27=0),50000,0))+IF($H27=1,INDEX('calcA'!$D$180:$EQ$219,$B27,5)*4000,0)-IF(AND('calcA'!G$117=1,UE27&gt;0),2000,0)-IF(AND($U27=1,'calcA'!H$117=1,DG27=0),2000,0))),1000000000))</f>
        <v/>
      </c>
      <c r="OK27">
        <f>IF($B27=0,1000000000,IF(INDEX('calcA'!$D$60:$EQ$99,$B27,6)*IF($W27=1,DG27+ZV27,DG27)=1,IF(AND($E27=2,IF($W27=1,AFK27,IV27)=0),1000000000,IF($V27=1,INDEX('calcA'!$D$130:$EQ$169,$B27,6)+IF(AND($E27=1,IV27=0),25,0),IF($F27&gt;0,INDEX('calcA'!I$110:I$114,$F27+1)+IF(AND($E27=1,IV27=0),1000,0),MIN(TU27,20)*400+(IF('calcA'!H$106=1,1-DF27,0)+IF('calcA'!I$106=1,1-DH27,0))*150+61+'calcA'!I$5*100000+IF(AND($E27=1,IV27=0),50000,0))+IF($H27=1,INDEX('calcA'!$D$180:$EQ$219,$B27,6)*4000,0)-IF(AND('calcA'!H$117=1,UF27&gt;0),2000,0)-IF(AND($U27=1,'calcA'!I$117=1,DH27=0),2000,0))),1000000000))</f>
        <v/>
      </c>
      <c r="OL27">
        <f>IF($B27=0,1000000000,IF(INDEX('calcA'!$D$60:$EQ$99,$B27,7)*IF($W27=1,DH27+ZW27,DH27)=1,IF(AND($E27=2,IF($W27=1,AFL27,IW27)=0),1000000000,IF($V27=1,INDEX('calcA'!$D$130:$EQ$169,$B27,7)+IF(AND($E27=1,IW27=0),25,0),IF($F27&gt;0,INDEX('calcA'!J$110:J$114,$F27+1)+IF(AND($E27=1,IW27=0),1000,0),MIN(TU27,20)*400+(IF('calcA'!I$106=1,1-DG27,0)+IF('calcA'!J$106=1,1-DI27,0))*150+71+'calcA'!J$5*100000+IF(AND($E27=1,IW27=0),50000,0))+IF($H27=1,INDEX('calcA'!$D$180:$EQ$219,$B27,7)*4000,0)-IF(AND('calcA'!I$117=1,UG27&gt;0),2000,0)-IF(AND($U27=1,'calcA'!J$117=1,DI27=0),2000,0))),1000000000))</f>
        <v/>
      </c>
      <c r="OM27">
        <f>IF($B27=0,1000000000,IF(INDEX('calcA'!$D$60:$EQ$99,$B27,8)*IF($W27=1,DI27+ZX27,DI27)=1,IF(AND($E27=2,IF($W27=1,AFM27,IX27)=0),1000000000,IF($V27=1,INDEX('calcA'!$D$130:$EQ$169,$B27,8)+IF(AND($E27=1,IX27=0),25,0),IF($F27&gt;0,INDEX('calcA'!K$110:K$114,$F27+1)+IF(AND($E27=1,IX27=0),1000,0),MIN(TU27,20)*400+(IF('calcA'!J$106=1,1-DH27,0)+IF('calcA'!K$106=1,1-DJ27,0))*150+81+'calcA'!K$5*100000+IF(AND($E27=1,IX27=0),50000,0))+IF($H27=1,INDEX('calcA'!$D$180:$EQ$219,$B27,8)*4000,0)-IF(AND('calcA'!J$117=1,UH27&gt;0),2000,0)-IF(AND($U27=1,'calcA'!K$117=1,DJ27=0),2000,0))),1000000000))</f>
        <v/>
      </c>
      <c r="ON27">
        <f>IF($B27=0,1000000000,IF(INDEX('calcA'!$D$60:$EQ$99,$B27,9)*IF($W27=1,DJ27+ZY27,DJ27)=1,IF(AND($E27=2,IF($W27=1,AFN27,IY27)=0),1000000000,IF($V27=1,INDEX('calcA'!$D$130:$EQ$169,$B27,9)+IF(AND($E27=1,IY27=0),25,0),IF($F27&gt;0,INDEX('calcA'!L$110:L$114,$F27+1)+IF(AND($E27=1,IY27=0),1000,0),MIN(TU27,20)*400+(IF('calcA'!K$106=1,1-DI27,0)+IF('calcA'!L$106=1,1-DK27,0))*150+91+'calcA'!L$5*100000+IF(AND($E27=1,IY27=0),50000,0))+IF($H27=1,INDEX('calcA'!$D$180:$EQ$219,$B27,9)*4000,0)-IF(AND('calcA'!K$117=1,UI27&gt;0),2000,0)-IF(AND($U27=1,'calcA'!L$117=1,DK27=0),2000,0))),1000000000))</f>
        <v/>
      </c>
      <c r="OO27">
        <f>IF($B27=0,1000000000,IF(INDEX('calcA'!$D$60:$EQ$99,$B27,10)*IF($W27=1,DK27+ZZ27,DK27)=1,IF(AND($E27=2,IF($W27=1,AFO27,IZ27)=0),1000000000,IF($V27=1,INDEX('calcA'!$D$130:$EQ$169,$B27,10)+IF(AND($E27=1,IZ27=0),25,0),IF($F27&gt;0,INDEX('calcA'!M$110:M$114,$F27+1)+IF(AND($E27=1,IZ27=0),1000,0),MIN(TU27,20)*400+(IF('calcA'!L$106=1,1-DJ27,0)+IF('calcA'!M$106=1,1-DL27,0))*150+101+'calcA'!M$5*100000+IF(AND($E27=1,IZ27=0),50000,0))+IF($H27=1,INDEX('calcA'!$D$180:$EQ$219,$B27,10)*4000,0)-IF(AND('calcA'!L$117=1,UJ27&gt;0),2000,0)-IF(AND($U27=1,'calcA'!M$117=1,DL27=0),2000,0))),1000000000))</f>
        <v/>
      </c>
      <c r="OP27">
        <f>IF($B27=0,1000000000,IF(INDEX('calcA'!$D$60:$EQ$99,$B27,11)*IF($W27=1,DL27+AAA27,DL27)=1,IF(AND($E27=2,IF($W27=1,AFP27,JA27)=0),1000000000,IF($V27=1,INDEX('calcA'!$D$130:$EQ$169,$B27,11)+IF(AND($E27=1,JA27=0),25,0),IF($F27&gt;0,INDEX('calcA'!N$110:N$114,$F27+1)+IF(AND($E27=1,JA27=0),1000,0),MIN(TU27,20)*400+(IF('calcA'!M$106=1,1-DK27,0)+IF('calcA'!N$106=1,1-DM27,0))*150+111+'calcA'!N$5*100000+IF(AND($E27=1,JA27=0),50000,0))+IF($H27=1,INDEX('calcA'!$D$180:$EQ$219,$B27,11)*4000,0)-IF(AND('calcA'!M$117=1,UK27&gt;0),2000,0)-IF(AND($U27=1,'calcA'!N$117=1,DM27=0),2000,0))),1000000000))</f>
        <v/>
      </c>
      <c r="OQ27">
        <f>IF($B27=0,1000000000,IF(INDEX('calcA'!$D$60:$EQ$99,$B27,12)*IF($W27=1,DM27+AAB27,DM27)=1,IF(AND($E27=2,IF($W27=1,AFQ27,JB27)=0),1000000000,IF($V27=1,INDEX('calcA'!$D$130:$EQ$169,$B27,12)+IF(AND($E27=1,JB27=0),25,0),IF($F27&gt;0,INDEX('calcA'!O$110:O$114,$F27+1)+IF(AND($E27=1,JB27=0),1000,0),MIN(TU27,20)*400+(IF('calcA'!N$106=1,1-DL27,0)+IF('calcA'!O$106=1,1-DN27,0))*150+121+'calcA'!O$5*100000+IF(AND($E27=1,JB27=0),50000,0))+IF($H27=1,INDEX('calcA'!$D$180:$EQ$219,$B27,12)*4000,0)-IF(AND('calcA'!N$117=1,UL27&gt;0),2000,0)-IF(AND($U27=1,'calcA'!O$117=1,DN27=0),2000,0))),1000000000))</f>
        <v/>
      </c>
      <c r="OR27">
        <f>IF($B27=0,1000000000,IF(INDEX('calcA'!$D$60:$EQ$99,$B27,13)*IF($W27=1,DN27+AAC27,DN27)=1,IF(AND($E27=2,IF($W27=1,AFR27,JC27)=0),1000000000,IF($V27=1,INDEX('calcA'!$D$130:$EQ$169,$B27,13)+IF(AND($E27=1,JC27=0),25,0),IF($F27&gt;0,INDEX('calcA'!P$110:P$114,$F27+1)+IF(AND($E27=1,JC27=0),1000,0),MIN(TU27,20)*400+(IF('calcA'!O$106=1,1-DM27,0)+IF('calcA'!P$106=1,1-DO27,0))*150+131+'calcA'!P$5*100000+IF(AND($E27=1,JC27=0),50000,0))+IF($H27=1,INDEX('calcA'!$D$180:$EQ$219,$B27,13)*4000,0)-IF(AND('calcA'!O$117=1,UM27&gt;0),2000,0)-IF(AND($U27=1,'calcA'!P$117=1,DO27=0),2000,0))),1000000000))</f>
        <v/>
      </c>
      <c r="OS27">
        <f>IF($B27=0,1000000000,IF(INDEX('calcA'!$D$60:$EQ$99,$B27,14)*IF($W27=1,DO27+AAD27,DO27)=1,IF(AND($E27=2,IF($W27=1,AFS27,JD27)=0),1000000000,IF($V27=1,INDEX('calcA'!$D$130:$EQ$169,$B27,14)+IF(AND($E27=1,JD27=0),25,0),IF($F27&gt;0,INDEX('calcA'!Q$110:Q$114,$F27+1)+IF(AND($E27=1,JD27=0),1000,0),MIN(TU27,20)*400+(IF('calcA'!P$106=1,1-DN27,0)+IF('calcA'!Q$106=1,1-DP27,0))*150+141+'calcA'!Q$5*100000+IF(AND($E27=1,JD27=0),50000,0))+IF($H27=1,INDEX('calcA'!$D$180:$EQ$219,$B27,14)*4000,0)-IF(AND('calcA'!P$117=1,UN27&gt;0),2000,0)-IF(AND($U27=1,'calcA'!Q$117=1,DP27=0),2000,0))),1000000000))</f>
        <v/>
      </c>
      <c r="OT27">
        <f>IF($B27=0,1000000000,IF(INDEX('calcA'!$D$60:$EQ$99,$B27,15)*IF($W27=1,DP27+AAE27,DP27)=1,IF(AND($E27=2,IF($W27=1,AFT27,JE27)=0),1000000000,IF($V27=1,INDEX('calcA'!$D$130:$EQ$169,$B27,15)+IF(AND($E27=1,JE27=0),25,0),IF($F27&gt;0,INDEX('calcA'!R$110:R$114,$F27+1)+IF(AND($E27=1,JE27=0),1000,0),MIN(TU27,20)*400+(IF('calcA'!Q$106=1,1-DO27,0)+IF('calcA'!R$106=1,1-DQ27,0))*150+151+'calcA'!R$5*100000+IF(AND($E27=1,JE27=0),50000,0))+IF($H27=1,INDEX('calcA'!$D$180:$EQ$219,$B27,15)*4000,0)-IF(AND('calcA'!Q$117=1,UO27&gt;0),2000,0)-IF(AND($U27=1,'calcA'!R$117=1,DQ27=0),2000,0))),1000000000))</f>
        <v/>
      </c>
      <c r="OU27">
        <f>IF($B27=0,1000000000,IF(INDEX('calcA'!$D$60:$EQ$99,$B27,16)*IF($W27=1,DQ27+AAF27,DQ27)=1,IF(AND($E27=2,IF($W27=1,AFU27,JF27)=0),1000000000,IF($V27=1,INDEX('calcA'!$D$130:$EQ$169,$B27,16)+IF(AND($E27=1,JF27=0),25,0),IF($F27&gt;0,INDEX('calcA'!S$110:S$114,$F27+1)+IF(AND($E27=1,JF27=0),1000,0),MIN(TU27,20)*400+(IF('calcA'!R$106=1,1-DP27,0)+IF('calcA'!S$106=1,1-DR27,0))*150+161+'calcA'!S$5*100000+IF(AND($E27=1,JF27=0),50000,0))+IF($H27=1,INDEX('calcA'!$D$180:$EQ$219,$B27,16)*4000,0)-IF(AND('calcA'!R$117=1,UP27&gt;0),2000,0)-IF(AND($U27=1,'calcA'!S$117=1,DR27=0),2000,0))),1000000000))</f>
        <v/>
      </c>
      <c r="OV27">
        <f>IF($B27=0,1000000000,IF(INDEX('calcA'!$D$60:$EQ$99,$B27,17)*IF($W27=1,DR27+AAG27,DR27)=1,IF(AND($E27=2,IF($W27=1,AFV27,JG27)=0),1000000000,IF($V27=1,INDEX('calcA'!$D$130:$EQ$169,$B27,17)+IF(AND($E27=1,JG27=0),25,0),IF($F27&gt;0,INDEX('calcA'!T$110:T$114,$F27+1)+IF(AND($E27=1,JG27=0),1000,0),MIN(TU27,20)*400+(IF('calcA'!S$106=1,1-DQ27,0)+IF('calcA'!T$106=1,1-DS27,0))*150+171+'calcA'!T$5*100000+IF(AND($E27=1,JG27=0),50000,0))+IF($H27=1,INDEX('calcA'!$D$180:$EQ$219,$B27,17)*4000,0)-IF(AND('calcA'!S$117=1,UQ27&gt;0),2000,0)-IF(AND($U27=1,'calcA'!T$117=1,DS27=0),2000,0))),1000000000))</f>
        <v/>
      </c>
      <c r="OW27">
        <f>IF($B27=0,1000000000,IF(INDEX('calcA'!$D$60:$EQ$99,$B27,18)*IF($W27=1,DS27+AAH27,DS27)=1,IF(AND($E27=2,IF($W27=1,AFW27,JH27)=0),1000000000,IF($V27=1,INDEX('calcA'!$D$130:$EQ$169,$B27,18)+IF(AND($E27=1,JH27=0),25,0),IF($F27&gt;0,INDEX('calcA'!U$110:U$114,$F27+1)+IF(AND($E27=1,JH27=0),1000,0),MIN(TU27,20)*400+(IF('calcA'!T$106=1,1-DR27,0)+IF('calcA'!U$106=1,1-DT27,0))*150+181+'calcA'!U$5*100000+IF(AND($E27=1,JH27=0),50000,0))+IF($H27=1,INDEX('calcA'!$D$180:$EQ$219,$B27,18)*4000,0)-IF(AND('calcA'!T$117=1,UR27&gt;0),2000,0)-IF(AND($U27=1,'calcA'!U$117=1,DT27=0),2000,0))),1000000000))</f>
        <v/>
      </c>
      <c r="OX27">
        <f>IF($B27=0,1000000000,IF(INDEX('calcA'!$D$60:$EQ$99,$B27,19)*IF($W27=1,DT27+AAI27,DT27)=1,IF(AND($E27=2,IF($W27=1,AFX27,JI27)=0),1000000000,IF($V27=1,INDEX('calcA'!$D$130:$EQ$169,$B27,19)+IF(AND($E27=1,JI27=0),25,0),IF($F27&gt;0,INDEX('calcA'!V$110:V$114,$F27+1)+IF(AND($E27=1,JI27=0),1000,0),MIN(TU27,20)*400+(IF('calcA'!U$106=1,1-DS27,0)+IF('calcA'!V$106=1,1-DU27,0))*150+191+'calcA'!V$5*100000+IF(AND($E27=1,JI27=0),50000,0))+IF($H27=1,INDEX('calcA'!$D$180:$EQ$219,$B27,19)*4000,0)-IF(AND('calcA'!U$117=1,US27&gt;0),2000,0)-IF(AND($U27=1,'calcA'!V$117=1,DU27=0),2000,0))),1000000000))</f>
        <v/>
      </c>
      <c r="OY27">
        <f>IF($B27=0,1000000000,IF(INDEX('calcA'!$D$60:$EQ$99,$B27,20)*IF($W27=1,DU27+AAJ27,DU27)=1,IF(AND($E27=2,IF($W27=1,AFY27,JJ27)=0),1000000000,IF($V27=1,INDEX('calcA'!$D$130:$EQ$169,$B27,20)+IF(AND($E27=1,JJ27=0),25,0),IF($F27&gt;0,INDEX('calcA'!W$110:W$114,$F27+1)+IF(AND($E27=1,JJ27=0),1000,0),MIN(TU27,20)*400+(IF('calcA'!V$106=1,1-DT27,0)+IF('calcA'!W$106=1,1-DV27,0))*150+201+'calcA'!W$5*100000+IF(AND($E27=1,JJ27=0),50000,0))+IF($H27=1,INDEX('calcA'!$D$180:$EQ$219,$B27,20)*4000,0)-IF(AND('calcA'!V$117=1,UT27&gt;0),2000,0)-IF(AND($U27=1,'calcA'!W$117=1,DV27=0),2000,0))),1000000000))</f>
        <v/>
      </c>
      <c r="OZ27">
        <f>IF($B27=0,1000000000,IF(INDEX('calcA'!$D$60:$EQ$99,$B27,21)*IF($W27=1,DV27+AAK27,DV27)=1,IF(AND($E27=2,IF($W27=1,AFZ27,JK27)=0),1000000000,IF($V27=1,INDEX('calcA'!$D$130:$EQ$169,$B27,21)+IF(AND($E27=1,JK27=0),25,0),IF($F27&gt;0,INDEX('calcA'!X$110:X$114,$F27+1)+IF(AND($E27=1,JK27=0),1000,0),MIN(TU27,20)*400+(IF('calcA'!W$106=1,1-DU27,0)+IF('calcA'!X$106=1,1-DW27,0))*150+211+'calcA'!X$5*100000+IF(AND($E27=1,JK27=0),50000,0))+IF($H27=1,INDEX('calcA'!$D$180:$EQ$219,$B27,21)*4000,0)-IF(AND('calcA'!W$117=1,UU27&gt;0),2000,0)-IF(AND($U27=1,'calcA'!X$117=1,DW27=0),2000,0))),1000000000))</f>
        <v/>
      </c>
      <c r="PA27">
        <f>IF($B27=0,1000000000,IF(INDEX('calcA'!$D$60:$EQ$99,$B27,22)*IF($W27=1,DW27+AAL27,DW27)=1,IF(AND($E27=2,IF($W27=1,AGA27,JL27)=0),1000000000,IF($V27=1,INDEX('calcA'!$D$130:$EQ$169,$B27,22)+IF(AND($E27=1,JL27=0),25,0),IF($F27&gt;0,INDEX('calcA'!Y$110:Y$114,$F27+1)+IF(AND($E27=1,JL27=0),1000,0),MIN(TU27,20)*400+(IF('calcA'!X$106=1,1-DV27,0)+IF('calcA'!Y$106=1,1-DX27,0))*150+221+'calcA'!Y$5*100000+IF(AND($E27=1,JL27=0),50000,0))+IF($H27=1,INDEX('calcA'!$D$180:$EQ$219,$B27,22)*4000,0)-IF(AND('calcA'!X$117=1,UV27&gt;0),2000,0)-IF(AND($U27=1,'calcA'!Y$117=1,DX27=0),2000,0))),1000000000))</f>
        <v/>
      </c>
      <c r="PB27">
        <f>IF($B27=0,1000000000,IF(INDEX('calcA'!$D$60:$EQ$99,$B27,23)*IF($W27=1,DX27+AAM27,DX27)=1,IF(AND($E27=2,IF($W27=1,AGB27,JM27)=0),1000000000,IF($V27=1,INDEX('calcA'!$D$130:$EQ$169,$B27,23)+IF(AND($E27=1,JM27=0),25,0),IF($F27&gt;0,INDEX('calcA'!Z$110:Z$114,$F27+1)+IF(AND($E27=1,JM27=0),1000,0),MIN(TU27,20)*400+(IF('calcA'!Y$106=1,1-DW27,0)+IF('calcA'!Z$106=1,1-DY27,0))*150+231+'calcA'!Z$5*100000+IF(AND($E27=1,JM27=0),50000,0))+IF($H27=1,INDEX('calcA'!$D$180:$EQ$219,$B27,23)*4000,0)-IF(AND('calcA'!Y$117=1,UW27&gt;0),2000,0)-IF(AND($U27=1,'calcA'!Z$117=1,DY27=0),2000,0))),1000000000))</f>
        <v/>
      </c>
      <c r="PC27">
        <f>IF($B27=0,1000000000,IF(INDEX('calcA'!$D$60:$EQ$99,$B27,24)*IF($W27=1,DY27+AAN27,DY27)=1,IF(AND($E27=2,IF($W27=1,AGC27,JN27)=0),1000000000,IF($V27=1,INDEX('calcA'!$D$130:$EQ$169,$B27,24)+IF(AND($E27=1,JN27=0),25,0),IF($F27&gt;0,INDEX('calcA'!AA$110:AA$114,$F27+1)+IF(AND($E27=1,JN27=0),1000,0),MIN(TU27,20)*400+(IF('calcA'!Z$106=1,1-DX27,0))*150+241+'calcA'!AA$5*100000+IF(AND($E27=1,JN27=0),50000,0))+IF($H27=1,INDEX('calcA'!$D$180:$EQ$219,$B27,24)*4000,0)-IF(AND('calcA'!Z$117=1,UX27&gt;0),2000,0))),1000000000))</f>
        <v/>
      </c>
      <c r="PD27">
        <f>IF($B27=0,1000000000,IF(INDEX('calcA'!$D$60:$EQ$99,$B27,25)*IF($W27=1,DZ27+AAO27,DZ27)=1,IF(AND($E27=2,IF($W27=1,AGD27,JO27)=0),1000000000,IF($V27=1,INDEX('calcA'!$D$130:$EQ$169,$B27,25)+IF(AND($E27=1,JO27=0),25,0),IF($F27&gt;0,INDEX('calcA'!AB$110:AB$114,$F27+1)+IF(AND($E27=1,JO27=0),1000,0),MIN(TV27,20)*400+(IF('calcA'!AB$106=1,1-EA27,0))*150+12+'calcA'!AB$5*100000+IF(AND($E27=1,JO27=0),50000,0))+IF($H27=1,INDEX('calcA'!$D$180:$EQ$219,$B27,25)*4000,0)-IF(AND($U27=1,'calcA'!AB$117=1,EA27=0),2000,0))),1000000000))</f>
        <v/>
      </c>
      <c r="PE27">
        <f>IF($B27=0,1000000000,IF(INDEX('calcA'!$D$60:$EQ$99,$B27,26)*IF($W27=1,EA27+AAP27,EA27)=1,IF(AND($E27=2,IF($W27=1,AGE27,JP27)=0),1000000000,IF($V27=1,INDEX('calcA'!$D$130:$EQ$169,$B27,26)+IF(AND($E27=1,JP27=0),25,0),IF($F27&gt;0,INDEX('calcA'!AC$110:AC$114,$F27+1)+IF(AND($E27=1,JP27=0),1000,0),MIN(TV27,20)*400+(IF('calcA'!AB$106=1,1-DZ27,0)+IF('calcA'!AC$106=1,1-EB27,0))*150+22+'calcA'!AC$5*100000+IF(AND($E27=1,JP27=0),50000,0))+IF($H27=1,INDEX('calcA'!$D$180:$EQ$219,$B27,26)*4000,0)-IF(AND('calcA'!AB$117=1,UZ27&gt;0),2000,0)-IF(AND($U27=1,'calcA'!AC$117=1,EB27=0),2000,0))),1000000000))</f>
        <v/>
      </c>
      <c r="PF27">
        <f>IF($B27=0,1000000000,IF(INDEX('calcA'!$D$60:$EQ$99,$B27,27)*IF($W27=1,EB27+AAQ27,EB27)=1,IF(AND($E27=2,IF($W27=1,AGF27,JQ27)=0),1000000000,IF($V27=1,INDEX('calcA'!$D$130:$EQ$169,$B27,27)+IF(AND($E27=1,JQ27=0),25,0),IF($F27&gt;0,INDEX('calcA'!AD$110:AD$114,$F27+1)+IF(AND($E27=1,JQ27=0),1000,0),MIN(TV27,20)*400+(IF('calcA'!AC$106=1,1-EA27,0)+IF('calcA'!AD$106=1,1-EC27,0))*150+32+'calcA'!AD$5*100000+IF(AND($E27=1,JQ27=0),50000,0))+IF($H27=1,INDEX('calcA'!$D$180:$EQ$219,$B27,27)*4000,0)-IF(AND('calcA'!AC$117=1,VA27&gt;0),2000,0)-IF(AND($U27=1,'calcA'!AD$117=1,EC27=0),2000,0))),1000000000))</f>
        <v/>
      </c>
      <c r="PG27">
        <f>IF($B27=0,1000000000,IF(INDEX('calcA'!$D$60:$EQ$99,$B27,28)*IF($W27=1,EC27+AAR27,EC27)=1,IF(AND($E27=2,IF($W27=1,AGG27,JR27)=0),1000000000,IF($V27=1,INDEX('calcA'!$D$130:$EQ$169,$B27,28)+IF(AND($E27=1,JR27=0),25,0),IF($F27&gt;0,INDEX('calcA'!AE$110:AE$114,$F27+1)+IF(AND($E27=1,JR27=0),1000,0),MIN(TV27,20)*400+(IF('calcA'!AD$106=1,1-EB27,0)+IF('calcA'!AE$106=1,1-ED27,0))*150+42+'calcA'!AE$5*100000+IF(AND($E27=1,JR27=0),50000,0))+IF($H27=1,INDEX('calcA'!$D$180:$EQ$219,$B27,28)*4000,0)-IF(AND('calcA'!AD$117=1,VB27&gt;0),2000,0)-IF(AND($U27=1,'calcA'!AE$117=1,ED27=0),2000,0))),1000000000))</f>
        <v/>
      </c>
      <c r="PH27">
        <f>IF($B27=0,1000000000,IF(INDEX('calcA'!$D$60:$EQ$99,$B27,29)*IF($W27=1,ED27+AAS27,ED27)=1,IF(AND($E27=2,IF($W27=1,AGH27,JS27)=0),1000000000,IF($V27=1,INDEX('calcA'!$D$130:$EQ$169,$B27,29)+IF(AND($E27=1,JS27=0),25,0),IF($F27&gt;0,INDEX('calcA'!AF$110:AF$114,$F27+1)+IF(AND($E27=1,JS27=0),1000,0),MIN(TV27,20)*400+(IF('calcA'!AE$106=1,1-EC27,0)+IF('calcA'!AF$106=1,1-EE27,0))*150+52+'calcA'!AF$5*100000+IF(AND($E27=1,JS27=0),50000,0))+IF($H27=1,INDEX('calcA'!$D$180:$EQ$219,$B27,29)*4000,0)-IF(AND('calcA'!AE$117=1,VC27&gt;0),2000,0)-IF(AND($U27=1,'calcA'!AF$117=1,EE27=0),2000,0))),1000000000))</f>
        <v/>
      </c>
      <c r="PI27">
        <f>IF($B27=0,1000000000,IF(INDEX('calcA'!$D$60:$EQ$99,$B27,30)*IF($W27=1,EE27+AAT27,EE27)=1,IF(AND($E27=2,IF($W27=1,AGI27,JT27)=0),1000000000,IF($V27=1,INDEX('calcA'!$D$130:$EQ$169,$B27,30)+IF(AND($E27=1,JT27=0),25,0),IF($F27&gt;0,INDEX('calcA'!AG$110:AG$114,$F27+1)+IF(AND($E27=1,JT27=0),1000,0),MIN(TV27,20)*400+(IF('calcA'!AF$106=1,1-ED27,0)+IF('calcA'!AG$106=1,1-EF27,0))*150+62+'calcA'!AG$5*100000+IF(AND($E27=1,JT27=0),50000,0))+IF($H27=1,INDEX('calcA'!$D$180:$EQ$219,$B27,30)*4000,0)-IF(AND('calcA'!AF$117=1,VD27&gt;0),2000,0)-IF(AND($U27=1,'calcA'!AG$117=1,EF27=0),2000,0))),1000000000))</f>
        <v/>
      </c>
      <c r="PJ27">
        <f>IF($B27=0,1000000000,IF(INDEX('calcA'!$D$60:$EQ$99,$B27,31)*IF($W27=1,EF27+AAU27,EF27)=1,IF(AND($E27=2,IF($W27=1,AGJ27,JU27)=0),1000000000,IF($V27=1,INDEX('calcA'!$D$130:$EQ$169,$B27,31)+IF(AND($E27=1,JU27=0),25,0),IF($F27&gt;0,INDEX('calcA'!AH$110:AH$114,$F27+1)+IF(AND($E27=1,JU27=0),1000,0),MIN(TV27,20)*400+(IF('calcA'!AG$106=1,1-EE27,0)+IF('calcA'!AH$106=1,1-EG27,0))*150+72+'calcA'!AH$5*100000+IF(AND($E27=1,JU27=0),50000,0))+IF($H27=1,INDEX('calcA'!$D$180:$EQ$219,$B27,31)*4000,0)-IF(AND('calcA'!AG$117=1,VE27&gt;0),2000,0)-IF(AND($U27=1,'calcA'!AH$117=1,EG27=0),2000,0))),1000000000))</f>
        <v/>
      </c>
      <c r="PK27">
        <f>IF($B27=0,1000000000,IF(INDEX('calcA'!$D$60:$EQ$99,$B27,32)*IF($W27=1,EG27+AAV27,EG27)=1,IF(AND($E27=2,IF($W27=1,AGK27,JV27)=0),1000000000,IF($V27=1,INDEX('calcA'!$D$130:$EQ$169,$B27,32)+IF(AND($E27=1,JV27=0),25,0),IF($F27&gt;0,INDEX('calcA'!AI$110:AI$114,$F27+1)+IF(AND($E27=1,JV27=0),1000,0),MIN(TV27,20)*400+(IF('calcA'!AH$106=1,1-EF27,0)+IF('calcA'!AI$106=1,1-EH27,0))*150+82+'calcA'!AI$5*100000+IF(AND($E27=1,JV27=0),50000,0))+IF($H27=1,INDEX('calcA'!$D$180:$EQ$219,$B27,32)*4000,0)-IF(AND('calcA'!AH$117=1,VF27&gt;0),2000,0)-IF(AND($U27=1,'calcA'!AI$117=1,EH27=0),2000,0))),1000000000))</f>
        <v/>
      </c>
      <c r="PL27">
        <f>IF($B27=0,1000000000,IF(INDEX('calcA'!$D$60:$EQ$99,$B27,33)*IF($W27=1,EH27+AAW27,EH27)=1,IF(AND($E27=2,IF($W27=1,AGL27,JW27)=0),1000000000,IF($V27=1,INDEX('calcA'!$D$130:$EQ$169,$B27,33)+IF(AND($E27=1,JW27=0),25,0),IF($F27&gt;0,INDEX('calcA'!AJ$110:AJ$114,$F27+1)+IF(AND($E27=1,JW27=0),1000,0),MIN(TV27,20)*400+(IF('calcA'!AI$106=1,1-EG27,0)+IF('calcA'!AJ$106=1,1-EI27,0))*150+92+'calcA'!AJ$5*100000+IF(AND($E27=1,JW27=0),50000,0))+IF($H27=1,INDEX('calcA'!$D$180:$EQ$219,$B27,33)*4000,0)-IF(AND('calcA'!AI$117=1,VG27&gt;0),2000,0)-IF(AND($U27=1,'calcA'!AJ$117=1,EI27=0),2000,0))),1000000000))</f>
        <v/>
      </c>
      <c r="PM27">
        <f>IF($B27=0,1000000000,IF(INDEX('calcA'!$D$60:$EQ$99,$B27,34)*IF($W27=1,EI27+AAX27,EI27)=1,IF(AND($E27=2,IF($W27=1,AGM27,JX27)=0),1000000000,IF($V27=1,INDEX('calcA'!$D$130:$EQ$169,$B27,34)+IF(AND($E27=1,JX27=0),25,0),IF($F27&gt;0,INDEX('calcA'!AK$110:AK$114,$F27+1)+IF(AND($E27=1,JX27=0),1000,0),MIN(TV27,20)*400+(IF('calcA'!AJ$106=1,1-EH27,0)+IF('calcA'!AK$106=1,1-EJ27,0))*150+102+'calcA'!AK$5*100000+IF(AND($E27=1,JX27=0),50000,0))+IF($H27=1,INDEX('calcA'!$D$180:$EQ$219,$B27,34)*4000,0)-IF(AND('calcA'!AJ$117=1,VH27&gt;0),2000,0)-IF(AND($U27=1,'calcA'!AK$117=1,EJ27=0),2000,0))),1000000000))</f>
        <v/>
      </c>
      <c r="PN27">
        <f>IF($B27=0,1000000000,IF(INDEX('calcA'!$D$60:$EQ$99,$B27,35)*IF($W27=1,EJ27+AAY27,EJ27)=1,IF(AND($E27=2,IF($W27=1,AGN27,JY27)=0),1000000000,IF($V27=1,INDEX('calcA'!$D$130:$EQ$169,$B27,35)+IF(AND($E27=1,JY27=0),25,0),IF($F27&gt;0,INDEX('calcA'!AL$110:AL$114,$F27+1)+IF(AND($E27=1,JY27=0),1000,0),MIN(TV27,20)*400+(IF('calcA'!AK$106=1,1-EI27,0)+IF('calcA'!AL$106=1,1-EK27,0))*150+112+'calcA'!AL$5*100000+IF(AND($E27=1,JY27=0),50000,0))+IF($H27=1,INDEX('calcA'!$D$180:$EQ$219,$B27,35)*4000,0)-IF(AND('calcA'!AK$117=1,VI27&gt;0),2000,0)-IF(AND($U27=1,'calcA'!AL$117=1,EK27=0),2000,0))),1000000000))</f>
        <v/>
      </c>
      <c r="PO27">
        <f>IF($B27=0,1000000000,IF(INDEX('calcA'!$D$60:$EQ$99,$B27,36)*IF($W27=1,EK27+AAZ27,EK27)=1,IF(AND($E27=2,IF($W27=1,AGO27,JZ27)=0),1000000000,IF($V27=1,INDEX('calcA'!$D$130:$EQ$169,$B27,36)+IF(AND($E27=1,JZ27=0),25,0),IF($F27&gt;0,INDEX('calcA'!AM$110:AM$114,$F27+1)+IF(AND($E27=1,JZ27=0),1000,0),MIN(TV27,20)*400+(IF('calcA'!AL$106=1,1-EJ27,0)+IF('calcA'!AM$106=1,1-EL27,0))*150+122+'calcA'!AM$5*100000+IF(AND($E27=1,JZ27=0),50000,0))+IF($H27=1,INDEX('calcA'!$D$180:$EQ$219,$B27,36)*4000,0)-IF(AND('calcA'!AL$117=1,VJ27&gt;0),2000,0)-IF(AND($U27=1,'calcA'!AM$117=1,EL27=0),2000,0))),1000000000))</f>
        <v/>
      </c>
      <c r="PP27">
        <f>IF($B27=0,1000000000,IF(INDEX('calcA'!$D$60:$EQ$99,$B27,37)*IF($W27=1,EL27+ABA27,EL27)=1,IF(AND($E27=2,IF($W27=1,AGP27,KA27)=0),1000000000,IF($V27=1,INDEX('calcA'!$D$130:$EQ$169,$B27,37)+IF(AND($E27=1,KA27=0),25,0),IF($F27&gt;0,INDEX('calcA'!AN$110:AN$114,$F27+1)+IF(AND($E27=1,KA27=0),1000,0),MIN(TV27,20)*400+(IF('calcA'!AM$106=1,1-EK27,0)+IF('calcA'!AN$106=1,1-EM27,0))*150+132+'calcA'!AN$5*100000+IF(AND($E27=1,KA27=0),50000,0))+IF($H27=1,INDEX('calcA'!$D$180:$EQ$219,$B27,37)*4000,0)-IF(AND('calcA'!AM$117=1,VK27&gt;0),2000,0)-IF(AND($U27=1,'calcA'!AN$117=1,EM27=0),2000,0))),1000000000))</f>
        <v/>
      </c>
      <c r="PQ27">
        <f>IF($B27=0,1000000000,IF(INDEX('calcA'!$D$60:$EQ$99,$B27,38)*IF($W27=1,EM27+ABB27,EM27)=1,IF(AND($E27=2,IF($W27=1,AGQ27,KB27)=0),1000000000,IF($V27=1,INDEX('calcA'!$D$130:$EQ$169,$B27,38)+IF(AND($E27=1,KB27=0),25,0),IF($F27&gt;0,INDEX('calcA'!AO$110:AO$114,$F27+1)+IF(AND($E27=1,KB27=0),1000,0),MIN(TV27,20)*400+(IF('calcA'!AN$106=1,1-EL27,0)+IF('calcA'!AO$106=1,1-EN27,0))*150+142+'calcA'!AO$5*100000+IF(AND($E27=1,KB27=0),50000,0))+IF($H27=1,INDEX('calcA'!$D$180:$EQ$219,$B27,38)*4000,0)-IF(AND('calcA'!AN$117=1,VL27&gt;0),2000,0)-IF(AND($U27=1,'calcA'!AO$117=1,EN27=0),2000,0))),1000000000))</f>
        <v/>
      </c>
      <c r="PR27">
        <f>IF($B27=0,1000000000,IF(INDEX('calcA'!$D$60:$EQ$99,$B27,39)*IF($W27=1,EN27+ABC27,EN27)=1,IF(AND($E27=2,IF($W27=1,AGR27,KC27)=0),1000000000,IF($V27=1,INDEX('calcA'!$D$130:$EQ$169,$B27,39)+IF(AND($E27=1,KC27=0),25,0),IF($F27&gt;0,INDEX('calcA'!AP$110:AP$114,$F27+1)+IF(AND($E27=1,KC27=0),1000,0),MIN(TV27,20)*400+(IF('calcA'!AO$106=1,1-EM27,0)+IF('calcA'!AP$106=1,1-EO27,0))*150+152+'calcA'!AP$5*100000+IF(AND($E27=1,KC27=0),50000,0))+IF($H27=1,INDEX('calcA'!$D$180:$EQ$219,$B27,39)*4000,0)-IF(AND('calcA'!AO$117=1,VM27&gt;0),2000,0)-IF(AND($U27=1,'calcA'!AP$117=1,EO27=0),2000,0))),1000000000))</f>
        <v/>
      </c>
      <c r="PS27">
        <f>IF($B27=0,1000000000,IF(INDEX('calcA'!$D$60:$EQ$99,$B27,40)*IF($W27=1,EO27+ABD27,EO27)=1,IF(AND($E27=2,IF($W27=1,AGS27,KD27)=0),1000000000,IF($V27=1,INDEX('calcA'!$D$130:$EQ$169,$B27,40)+IF(AND($E27=1,KD27=0),25,0),IF($F27&gt;0,INDEX('calcA'!AQ$110:AQ$114,$F27+1)+IF(AND($E27=1,KD27=0),1000,0),MIN(TV27,20)*400+(IF('calcA'!AP$106=1,1-EN27,0)+IF('calcA'!AQ$106=1,1-EP27,0))*150+162+'calcA'!AQ$5*100000+IF(AND($E27=1,KD27=0),50000,0))+IF($H27=1,INDEX('calcA'!$D$180:$EQ$219,$B27,40)*4000,0)-IF(AND('calcA'!AP$117=1,VN27&gt;0),2000,0)-IF(AND($U27=1,'calcA'!AQ$117=1,EP27=0),2000,0))),1000000000))</f>
        <v/>
      </c>
      <c r="PT27">
        <f>IF($B27=0,1000000000,IF(INDEX('calcA'!$D$60:$EQ$99,$B27,41)*IF($W27=1,EP27+ABE27,EP27)=1,IF(AND($E27=2,IF($W27=1,AGT27,KE27)=0),1000000000,IF($V27=1,INDEX('calcA'!$D$130:$EQ$169,$B27,41)+IF(AND($E27=1,KE27=0),25,0),IF($F27&gt;0,INDEX('calcA'!AR$110:AR$114,$F27+1)+IF(AND($E27=1,KE27=0),1000,0),MIN(TV27,20)*400+(IF('calcA'!AQ$106=1,1-EO27,0)+IF('calcA'!AR$106=1,1-EQ27,0))*150+172+'calcA'!AR$5*100000+IF(AND($E27=1,KE27=0),50000,0))+IF($H27=1,INDEX('calcA'!$D$180:$EQ$219,$B27,41)*4000,0)-IF(AND('calcA'!AQ$117=1,VO27&gt;0),2000,0)-IF(AND($U27=1,'calcA'!AR$117=1,EQ27=0),2000,0))),1000000000))</f>
        <v/>
      </c>
      <c r="PU27">
        <f>IF($B27=0,1000000000,IF(INDEX('calcA'!$D$60:$EQ$99,$B27,42)*IF($W27=1,EQ27+ABF27,EQ27)=1,IF(AND($E27=2,IF($W27=1,AGU27,KF27)=0),1000000000,IF($V27=1,INDEX('calcA'!$D$130:$EQ$169,$B27,42)+IF(AND($E27=1,KF27=0),25,0),IF($F27&gt;0,INDEX('calcA'!AS$110:AS$114,$F27+1)+IF(AND($E27=1,KF27=0),1000,0),MIN(TV27,20)*400+(IF('calcA'!AR$106=1,1-EP27,0)+IF('calcA'!AS$106=1,1-ER27,0))*150+182+'calcA'!AS$5*100000+IF(AND($E27=1,KF27=0),50000,0))+IF($H27=1,INDEX('calcA'!$D$180:$EQ$219,$B27,42)*4000,0)-IF(AND('calcA'!AR$117=1,VP27&gt;0),2000,0)-IF(AND($U27=1,'calcA'!AS$117=1,ER27=0),2000,0))),1000000000))</f>
        <v/>
      </c>
      <c r="PV27">
        <f>IF($B27=0,1000000000,IF(INDEX('calcA'!$D$60:$EQ$99,$B27,43)*IF($W27=1,ER27+ABG27,ER27)=1,IF(AND($E27=2,IF($W27=1,AGV27,KG27)=0),1000000000,IF($V27=1,INDEX('calcA'!$D$130:$EQ$169,$B27,43)+IF(AND($E27=1,KG27=0),25,0),IF($F27&gt;0,INDEX('calcA'!AT$110:AT$114,$F27+1)+IF(AND($E27=1,KG27=0),1000,0),MIN(TV27,20)*400+(IF('calcA'!AS$106=1,1-EQ27,0)+IF('calcA'!AT$106=1,1-ES27,0))*150+192+'calcA'!AT$5*100000+IF(AND($E27=1,KG27=0),50000,0))+IF($H27=1,INDEX('calcA'!$D$180:$EQ$219,$B27,43)*4000,0)-IF(AND('calcA'!AS$117=1,VQ27&gt;0),2000,0)-IF(AND($U27=1,'calcA'!AT$117=1,ES27=0),2000,0))),1000000000))</f>
        <v/>
      </c>
      <c r="PW27">
        <f>IF($B27=0,1000000000,IF(INDEX('calcA'!$D$60:$EQ$99,$B27,44)*IF($W27=1,ES27+ABH27,ES27)=1,IF(AND($E27=2,IF($W27=1,AGW27,KH27)=0),1000000000,IF($V27=1,INDEX('calcA'!$D$130:$EQ$169,$B27,44)+IF(AND($E27=1,KH27=0),25,0),IF($F27&gt;0,INDEX('calcA'!AU$110:AU$114,$F27+1)+IF(AND($E27=1,KH27=0),1000,0),MIN(TV27,20)*400+(IF('calcA'!AT$106=1,1-ER27,0)+IF('calcA'!AU$106=1,1-ET27,0))*150+202+'calcA'!AU$5*100000+IF(AND($E27=1,KH27=0),50000,0))+IF($H27=1,INDEX('calcA'!$D$180:$EQ$219,$B27,44)*4000,0)-IF(AND('calcA'!AT$117=1,VR27&gt;0),2000,0)-IF(AND($U27=1,'calcA'!AU$117=1,ET27=0),2000,0))),1000000000))</f>
        <v/>
      </c>
      <c r="PX27">
        <f>IF($B27=0,1000000000,IF(INDEX('calcA'!$D$60:$EQ$99,$B27,45)*IF($W27=1,ET27+ABI27,ET27)=1,IF(AND($E27=2,IF($W27=1,AGX27,KI27)=0),1000000000,IF($V27=1,INDEX('calcA'!$D$130:$EQ$169,$B27,45)+IF(AND($E27=1,KI27=0),25,0),IF($F27&gt;0,INDEX('calcA'!AV$110:AV$114,$F27+1)+IF(AND($E27=1,KI27=0),1000,0),MIN(TV27,20)*400+(IF('calcA'!AU$106=1,1-ES27,0)+IF('calcA'!AV$106=1,1-EU27,0))*150+212+'calcA'!AV$5*100000+IF(AND($E27=1,KI27=0),50000,0))+IF($H27=1,INDEX('calcA'!$D$180:$EQ$219,$B27,45)*4000,0)-IF(AND('calcA'!AU$117=1,VS27&gt;0),2000,0)-IF(AND($U27=1,'calcA'!AV$117=1,EU27=0),2000,0))),1000000000))</f>
        <v/>
      </c>
      <c r="PY27">
        <f>IF($B27=0,1000000000,IF(INDEX('calcA'!$D$60:$EQ$99,$B27,46)*IF($W27=1,EU27+ABJ27,EU27)=1,IF(AND($E27=2,IF($W27=1,AGY27,KJ27)=0),1000000000,IF($V27=1,INDEX('calcA'!$D$130:$EQ$169,$B27,46)+IF(AND($E27=1,KJ27=0),25,0),IF($F27&gt;0,INDEX('calcA'!AW$110:AW$114,$F27+1)+IF(AND($E27=1,KJ27=0),1000,0),MIN(TV27,20)*400+(IF('calcA'!AV$106=1,1-ET27,0)+IF('calcA'!AW$106=1,1-EV27,0))*150+222+'calcA'!AW$5*100000+IF(AND($E27=1,KJ27=0),50000,0))+IF($H27=1,INDEX('calcA'!$D$180:$EQ$219,$B27,46)*4000,0)-IF(AND('calcA'!AV$117=1,VT27&gt;0),2000,0)-IF(AND($U27=1,'calcA'!AW$117=1,EV27=0),2000,0))),1000000000))</f>
        <v/>
      </c>
      <c r="PZ27">
        <f>IF($B27=0,1000000000,IF(INDEX('calcA'!$D$60:$EQ$99,$B27,47)*IF($W27=1,EV27+ABK27,EV27)=1,IF(AND($E27=2,IF($W27=1,AGZ27,KK27)=0),1000000000,IF($V27=1,INDEX('calcA'!$D$130:$EQ$169,$B27,47)+IF(AND($E27=1,KK27=0),25,0),IF($F27&gt;0,INDEX('calcA'!AX$110:AX$114,$F27+1)+IF(AND($E27=1,KK27=0),1000,0),MIN(TV27,20)*400+(IF('calcA'!AW$106=1,1-EU27,0)+IF('calcA'!AX$106=1,1-EW27,0))*150+232+'calcA'!AX$5*100000+IF(AND($E27=1,KK27=0),50000,0))+IF($H27=1,INDEX('calcA'!$D$180:$EQ$219,$B27,47)*4000,0)-IF(AND('calcA'!AW$117=1,VU27&gt;0),2000,0)-IF(AND($U27=1,'calcA'!AX$117=1,EW27=0),2000,0))),1000000000))</f>
        <v/>
      </c>
      <c r="QA27">
        <f>IF($B27=0,1000000000,IF(INDEX('calcA'!$D$60:$EQ$99,$B27,48)*IF($W27=1,EW27+ABL27,EW27)=1,IF(AND($E27=2,IF($W27=1,AHA27,KL27)=0),1000000000,IF($V27=1,INDEX('calcA'!$D$130:$EQ$169,$B27,48)+IF(AND($E27=1,KL27=0),25,0),IF($F27&gt;0,INDEX('calcA'!AY$110:AY$114,$F27+1)+IF(AND($E27=1,KL27=0),1000,0),MIN(TV27,20)*400+(IF('calcA'!AX$106=1,1-EV27,0))*150+242+'calcA'!AY$5*100000+IF(AND($E27=1,KL27=0),50000,0))+IF($H27=1,INDEX('calcA'!$D$180:$EQ$219,$B27,48)*4000,0)-IF(AND('calcA'!AX$117=1,VV27&gt;0),2000,0))),1000000000))</f>
        <v/>
      </c>
      <c r="QB27">
        <f>IF($B27=0,1000000000,IF(INDEX('calcA'!$D$60:$EQ$99,$B27,49)*IF($W27=1,EX27+ABM27,EX27)=1,IF(AND($E27=2,IF($W27=1,AHB27,KM27)=0),1000000000,IF($V27=1,INDEX('calcA'!$D$130:$EQ$169,$B27,49)+IF(AND($E27=1,KM27=0),25,0),IF($F27&gt;0,INDEX('calcA'!AZ$110:AZ$114,$F27+1)+IF(AND($E27=1,KM27=0),1000,0),MIN(TW27,20)*400+(IF('calcA'!AZ$106=1,1-EY27,0))*150+13+'calcA'!AZ$5*100000+IF(AND($E27=1,KM27=0),50000,0))+IF($H27=1,INDEX('calcA'!$D$180:$EQ$219,$B27,49)*4000,0)-IF(AND($U27=1,'calcA'!AZ$117=1,EY27=0),2000,0))),1000000000))</f>
        <v/>
      </c>
      <c r="QC27">
        <f>IF($B27=0,1000000000,IF(INDEX('calcA'!$D$60:$EQ$99,$B27,50)*IF($W27=1,EY27+ABN27,EY27)=1,IF(AND($E27=2,IF($W27=1,AHC27,KN27)=0),1000000000,IF($V27=1,INDEX('calcA'!$D$130:$EQ$169,$B27,50)+IF(AND($E27=1,KN27=0),25,0),IF($F27&gt;0,INDEX('calcA'!BA$110:BA$114,$F27+1)+IF(AND($E27=1,KN27=0),1000,0),MIN(TW27,20)*400+(IF('calcA'!AZ$106=1,1-EX27,0)+IF('calcA'!BA$106=1,1-EZ27,0))*150+23+'calcA'!BA$5*100000+IF(AND($E27=1,KN27=0),50000,0))+IF($H27=1,INDEX('calcA'!$D$180:$EQ$219,$B27,50)*4000,0)-IF(AND('calcA'!AZ$117=1,VX27&gt;0),2000,0)-IF(AND($U27=1,'calcA'!BA$117=1,EZ27=0),2000,0))),1000000000))</f>
        <v/>
      </c>
      <c r="QD27">
        <f>IF($B27=0,1000000000,IF(INDEX('calcA'!$D$60:$EQ$99,$B27,51)*IF($W27=1,EZ27+ABO27,EZ27)=1,IF(AND($E27=2,IF($W27=1,AHD27,KO27)=0),1000000000,IF($V27=1,INDEX('calcA'!$D$130:$EQ$169,$B27,51)+IF(AND($E27=1,KO27=0),25,0),IF($F27&gt;0,INDEX('calcA'!BB$110:BB$114,$F27+1)+IF(AND($E27=1,KO27=0),1000,0),MIN(TW27,20)*400+(IF('calcA'!BA$106=1,1-EY27,0)+IF('calcA'!BB$106=1,1-FA27,0))*150+33+'calcA'!BB$5*100000+IF(AND($E27=1,KO27=0),50000,0))+IF($H27=1,INDEX('calcA'!$D$180:$EQ$219,$B27,51)*4000,0)-IF(AND('calcA'!BA$117=1,VY27&gt;0),2000,0)-IF(AND($U27=1,'calcA'!BB$117=1,FA27=0),2000,0))),1000000000))</f>
        <v/>
      </c>
      <c r="QE27">
        <f>IF($B27=0,1000000000,IF(INDEX('calcA'!$D$60:$EQ$99,$B27,52)*IF($W27=1,FA27+ABP27,FA27)=1,IF(AND($E27=2,IF($W27=1,AHE27,KP27)=0),1000000000,IF($V27=1,INDEX('calcA'!$D$130:$EQ$169,$B27,52)+IF(AND($E27=1,KP27=0),25,0),IF($F27&gt;0,INDEX('calcA'!BC$110:BC$114,$F27+1)+IF(AND($E27=1,KP27=0),1000,0),MIN(TW27,20)*400+(IF('calcA'!BB$106=1,1-EZ27,0)+IF('calcA'!BC$106=1,1-FB27,0))*150+43+'calcA'!BC$5*100000+IF(AND($E27=1,KP27=0),50000,0))+IF($H27=1,INDEX('calcA'!$D$180:$EQ$219,$B27,52)*4000,0)-IF(AND('calcA'!BB$117=1,VZ27&gt;0),2000,0)-IF(AND($U27=1,'calcA'!BC$117=1,FB27=0),2000,0))),1000000000))</f>
        <v/>
      </c>
      <c r="QF27">
        <f>IF($B27=0,1000000000,IF(INDEX('calcA'!$D$60:$EQ$99,$B27,53)*IF($W27=1,FB27+ABQ27,FB27)=1,IF(AND($E27=2,IF($W27=1,AHF27,KQ27)=0),1000000000,IF($V27=1,INDEX('calcA'!$D$130:$EQ$169,$B27,53)+IF(AND($E27=1,KQ27=0),25,0),IF($F27&gt;0,INDEX('calcA'!BD$110:BD$114,$F27+1)+IF(AND($E27=1,KQ27=0),1000,0),MIN(TW27,20)*400+(IF('calcA'!BC$106=1,1-FA27,0)+IF('calcA'!BD$106=1,1-FC27,0))*150+53+'calcA'!BD$5*100000+IF(AND($E27=1,KQ27=0),50000,0))+IF($H27=1,INDEX('calcA'!$D$180:$EQ$219,$B27,53)*4000,0)-IF(AND('calcA'!BC$117=1,WA27&gt;0),2000,0)-IF(AND($U27=1,'calcA'!BD$117=1,FC27=0),2000,0))),1000000000))</f>
        <v/>
      </c>
      <c r="QG27">
        <f>IF($B27=0,1000000000,IF(INDEX('calcA'!$D$60:$EQ$99,$B27,54)*IF($W27=1,FC27+ABR27,FC27)=1,IF(AND($E27=2,IF($W27=1,AHG27,KR27)=0),1000000000,IF($V27=1,INDEX('calcA'!$D$130:$EQ$169,$B27,54)+IF(AND($E27=1,KR27=0),25,0),IF($F27&gt;0,INDEX('calcA'!BE$110:BE$114,$F27+1)+IF(AND($E27=1,KR27=0),1000,0),MIN(TW27,20)*400+(IF('calcA'!BD$106=1,1-FB27,0)+IF('calcA'!BE$106=1,1-FD27,0))*150+63+'calcA'!BE$5*100000+IF(AND($E27=1,KR27=0),50000,0))+IF($H27=1,INDEX('calcA'!$D$180:$EQ$219,$B27,54)*4000,0)-IF(AND('calcA'!BD$117=1,WB27&gt;0),2000,0)-IF(AND($U27=1,'calcA'!BE$117=1,FD27=0),2000,0))),1000000000))</f>
        <v/>
      </c>
      <c r="QH27">
        <f>IF($B27=0,1000000000,IF(INDEX('calcA'!$D$60:$EQ$99,$B27,55)*IF($W27=1,FD27+ABS27,FD27)=1,IF(AND($E27=2,IF($W27=1,AHH27,KS27)=0),1000000000,IF($V27=1,INDEX('calcA'!$D$130:$EQ$169,$B27,55)+IF(AND($E27=1,KS27=0),25,0),IF($F27&gt;0,INDEX('calcA'!BF$110:BF$114,$F27+1)+IF(AND($E27=1,KS27=0),1000,0),MIN(TW27,20)*400+(IF('calcA'!BE$106=1,1-FC27,0)+IF('calcA'!BF$106=1,1-FE27,0))*150+73+'calcA'!BF$5*100000+IF(AND($E27=1,KS27=0),50000,0))+IF($H27=1,INDEX('calcA'!$D$180:$EQ$219,$B27,55)*4000,0)-IF(AND('calcA'!BE$117=1,WC27&gt;0),2000,0)-IF(AND($U27=1,'calcA'!BF$117=1,FE27=0),2000,0))),1000000000))</f>
        <v/>
      </c>
      <c r="QI27">
        <f>IF($B27=0,1000000000,IF(INDEX('calcA'!$D$60:$EQ$99,$B27,56)*IF($W27=1,FE27+ABT27,FE27)=1,IF(AND($E27=2,IF($W27=1,AHI27,KT27)=0),1000000000,IF($V27=1,INDEX('calcA'!$D$130:$EQ$169,$B27,56)+IF(AND($E27=1,KT27=0),25,0),IF($F27&gt;0,INDEX('calcA'!BG$110:BG$114,$F27+1)+IF(AND($E27=1,KT27=0),1000,0),MIN(TW27,20)*400+(IF('calcA'!BF$106=1,1-FD27,0)+IF('calcA'!BG$106=1,1-FF27,0))*150+83+'calcA'!BG$5*100000+IF(AND($E27=1,KT27=0),50000,0))+IF($H27=1,INDEX('calcA'!$D$180:$EQ$219,$B27,56)*4000,0)-IF(AND('calcA'!BF$117=1,WD27&gt;0),2000,0)-IF(AND($U27=1,'calcA'!BG$117=1,FF27=0),2000,0))),1000000000))</f>
        <v/>
      </c>
      <c r="QJ27">
        <f>IF($B27=0,1000000000,IF(INDEX('calcA'!$D$60:$EQ$99,$B27,57)*IF($W27=1,FF27+ABU27,FF27)=1,IF(AND($E27=2,IF($W27=1,AHJ27,KU27)=0),1000000000,IF($V27=1,INDEX('calcA'!$D$130:$EQ$169,$B27,57)+IF(AND($E27=1,KU27=0),25,0),IF($F27&gt;0,INDEX('calcA'!BH$110:BH$114,$F27+1)+IF(AND($E27=1,KU27=0),1000,0),MIN(TW27,20)*400+(IF('calcA'!BG$106=1,1-FE27,0)+IF('calcA'!BH$106=1,1-FG27,0))*150+93+'calcA'!BH$5*100000+IF(AND($E27=1,KU27=0),50000,0))+IF($H27=1,INDEX('calcA'!$D$180:$EQ$219,$B27,57)*4000,0)-IF(AND('calcA'!BG$117=1,WE27&gt;0),2000,0)-IF(AND($U27=1,'calcA'!BH$117=1,FG27=0),2000,0))),1000000000))</f>
        <v/>
      </c>
      <c r="QK27">
        <f>IF($B27=0,1000000000,IF(INDEX('calcA'!$D$60:$EQ$99,$B27,58)*IF($W27=1,FG27+ABV27,FG27)=1,IF(AND($E27=2,IF($W27=1,AHK27,KV27)=0),1000000000,IF($V27=1,INDEX('calcA'!$D$130:$EQ$169,$B27,58)+IF(AND($E27=1,KV27=0),25,0),IF($F27&gt;0,INDEX('calcA'!BI$110:BI$114,$F27+1)+IF(AND($E27=1,KV27=0),1000,0),MIN(TW27,20)*400+(IF('calcA'!BH$106=1,1-FF27,0)+IF('calcA'!BI$106=1,1-FH27,0))*150+103+'calcA'!BI$5*100000+IF(AND($E27=1,KV27=0),50000,0))+IF($H27=1,INDEX('calcA'!$D$180:$EQ$219,$B27,58)*4000,0)-IF(AND('calcA'!BH$117=1,WF27&gt;0),2000,0)-IF(AND($U27=1,'calcA'!BI$117=1,FH27=0),2000,0))),1000000000))</f>
        <v/>
      </c>
      <c r="QL27">
        <f>IF($B27=0,1000000000,IF(INDEX('calcA'!$D$60:$EQ$99,$B27,59)*IF($W27=1,FH27+ABW27,FH27)=1,IF(AND($E27=2,IF($W27=1,AHL27,KW27)=0),1000000000,IF($V27=1,INDEX('calcA'!$D$130:$EQ$169,$B27,59)+IF(AND($E27=1,KW27=0),25,0),IF($F27&gt;0,INDEX('calcA'!BJ$110:BJ$114,$F27+1)+IF(AND($E27=1,KW27=0),1000,0),MIN(TW27,20)*400+(IF('calcA'!BI$106=1,1-FG27,0)+IF('calcA'!BJ$106=1,1-FI27,0))*150+113+'calcA'!BJ$5*100000+IF(AND($E27=1,KW27=0),50000,0))+IF($H27=1,INDEX('calcA'!$D$180:$EQ$219,$B27,59)*4000,0)-IF(AND('calcA'!BI$117=1,WG27&gt;0),2000,0)-IF(AND($U27=1,'calcA'!BJ$117=1,FI27=0),2000,0))),1000000000))</f>
        <v/>
      </c>
      <c r="QM27">
        <f>IF($B27=0,1000000000,IF(INDEX('calcA'!$D$60:$EQ$99,$B27,60)*IF($W27=1,FI27+ABX27,FI27)=1,IF(AND($E27=2,IF($W27=1,AHM27,KX27)=0),1000000000,IF($V27=1,INDEX('calcA'!$D$130:$EQ$169,$B27,60)+IF(AND($E27=1,KX27=0),25,0),IF($F27&gt;0,INDEX('calcA'!BK$110:BK$114,$F27+1)+IF(AND($E27=1,KX27=0),1000,0),MIN(TW27,20)*400+(IF('calcA'!BJ$106=1,1-FH27,0)+IF('calcA'!BK$106=1,1-FJ27,0))*150+123+'calcA'!BK$5*100000+IF(AND($E27=1,KX27=0),50000,0))+IF($H27=1,INDEX('calcA'!$D$180:$EQ$219,$B27,60)*4000,0)-IF(AND('calcA'!BJ$117=1,WH27&gt;0),2000,0)-IF(AND($U27=1,'calcA'!BK$117=1,FJ27=0),2000,0))),1000000000))</f>
        <v/>
      </c>
      <c r="QN27">
        <f>IF($B27=0,1000000000,IF(INDEX('calcA'!$D$60:$EQ$99,$B27,61)*IF($W27=1,FJ27+ABY27,FJ27)=1,IF(AND($E27=2,IF($W27=1,AHN27,KY27)=0),1000000000,IF($V27=1,INDEX('calcA'!$D$130:$EQ$169,$B27,61)+IF(AND($E27=1,KY27=0),25,0),IF($F27&gt;0,INDEX('calcA'!BL$110:BL$114,$F27+1)+IF(AND($E27=1,KY27=0),1000,0),MIN(TW27,20)*400+(IF('calcA'!BK$106=1,1-FI27,0)+IF('calcA'!BL$106=1,1-FK27,0))*150+133+'calcA'!BL$5*100000+IF(AND($E27=1,KY27=0),50000,0))+IF($H27=1,INDEX('calcA'!$D$180:$EQ$219,$B27,61)*4000,0)-IF(AND('calcA'!BK$117=1,WI27&gt;0),2000,0)-IF(AND($U27=1,'calcA'!BL$117=1,FK27=0),2000,0))),1000000000))</f>
        <v/>
      </c>
      <c r="QO27">
        <f>IF($B27=0,1000000000,IF(INDEX('calcA'!$D$60:$EQ$99,$B27,62)*IF($W27=1,FK27+ABZ27,FK27)=1,IF(AND($E27=2,IF($W27=1,AHO27,KZ27)=0),1000000000,IF($V27=1,INDEX('calcA'!$D$130:$EQ$169,$B27,62)+IF(AND($E27=1,KZ27=0),25,0),IF($F27&gt;0,INDEX('calcA'!BM$110:BM$114,$F27+1)+IF(AND($E27=1,KZ27=0),1000,0),MIN(TW27,20)*400+(IF('calcA'!BL$106=1,1-FJ27,0)+IF('calcA'!BM$106=1,1-FL27,0))*150+143+'calcA'!BM$5*100000+IF(AND($E27=1,KZ27=0),50000,0))+IF($H27=1,INDEX('calcA'!$D$180:$EQ$219,$B27,62)*4000,0)-IF(AND('calcA'!BL$117=1,WJ27&gt;0),2000,0)-IF(AND($U27=1,'calcA'!BM$117=1,FL27=0),2000,0))),1000000000))</f>
        <v/>
      </c>
      <c r="QP27">
        <f>IF($B27=0,1000000000,IF(INDEX('calcA'!$D$60:$EQ$99,$B27,63)*IF($W27=1,FL27+ACA27,FL27)=1,IF(AND($E27=2,IF($W27=1,AHP27,LA27)=0),1000000000,IF($V27=1,INDEX('calcA'!$D$130:$EQ$169,$B27,63)+IF(AND($E27=1,LA27=0),25,0),IF($F27&gt;0,INDEX('calcA'!BN$110:BN$114,$F27+1)+IF(AND($E27=1,LA27=0),1000,0),MIN(TW27,20)*400+(IF('calcA'!BM$106=1,1-FK27,0)+IF('calcA'!BN$106=1,1-FM27,0))*150+153+'calcA'!BN$5*100000+IF(AND($E27=1,LA27=0),50000,0))+IF($H27=1,INDEX('calcA'!$D$180:$EQ$219,$B27,63)*4000,0)-IF(AND('calcA'!BM$117=1,WK27&gt;0),2000,0)-IF(AND($U27=1,'calcA'!BN$117=1,FM27=0),2000,0))),1000000000))</f>
        <v/>
      </c>
      <c r="QQ27">
        <f>IF($B27=0,1000000000,IF(INDEX('calcA'!$D$60:$EQ$99,$B27,64)*IF($W27=1,FM27+ACB27,FM27)=1,IF(AND($E27=2,IF($W27=1,AHQ27,LB27)=0),1000000000,IF($V27=1,INDEX('calcA'!$D$130:$EQ$169,$B27,64)+IF(AND($E27=1,LB27=0),25,0),IF($F27&gt;0,INDEX('calcA'!BO$110:BO$114,$F27+1)+IF(AND($E27=1,LB27=0),1000,0),MIN(TW27,20)*400+(IF('calcA'!BN$106=1,1-FL27,0)+IF('calcA'!BO$106=1,1-FN27,0))*150+163+'calcA'!BO$5*100000+IF(AND($E27=1,LB27=0),50000,0))+IF($H27=1,INDEX('calcA'!$D$180:$EQ$219,$B27,64)*4000,0)-IF(AND('calcA'!BN$117=1,WL27&gt;0),2000,0)-IF(AND($U27=1,'calcA'!BO$117=1,FN27=0),2000,0))),1000000000))</f>
        <v/>
      </c>
      <c r="QR27">
        <f>IF($B27=0,1000000000,IF(INDEX('calcA'!$D$60:$EQ$99,$B27,65)*IF($W27=1,FN27+ACC27,FN27)=1,IF(AND($E27=2,IF($W27=1,AHR27,LC27)=0),1000000000,IF($V27=1,INDEX('calcA'!$D$130:$EQ$169,$B27,65)+IF(AND($E27=1,LC27=0),25,0),IF($F27&gt;0,INDEX('calcA'!BP$110:BP$114,$F27+1)+IF(AND($E27=1,LC27=0),1000,0),MIN(TW27,20)*400+(IF('calcA'!BO$106=1,1-FM27,0)+IF('calcA'!BP$106=1,1-FO27,0))*150+173+'calcA'!BP$5*100000+IF(AND($E27=1,LC27=0),50000,0))+IF($H27=1,INDEX('calcA'!$D$180:$EQ$219,$B27,65)*4000,0)-IF(AND('calcA'!BO$117=1,WM27&gt;0),2000,0)-IF(AND($U27=1,'calcA'!BP$117=1,FO27=0),2000,0))),1000000000))</f>
        <v/>
      </c>
      <c r="QS27">
        <f>IF($B27=0,1000000000,IF(INDEX('calcA'!$D$60:$EQ$99,$B27,66)*IF($W27=1,FO27+ACD27,FO27)=1,IF(AND($E27=2,IF($W27=1,AHS27,LD27)=0),1000000000,IF($V27=1,INDEX('calcA'!$D$130:$EQ$169,$B27,66)+IF(AND($E27=1,LD27=0),25,0),IF($F27&gt;0,INDEX('calcA'!BQ$110:BQ$114,$F27+1)+IF(AND($E27=1,LD27=0),1000,0),MIN(TW27,20)*400+(IF('calcA'!BP$106=1,1-FN27,0)+IF('calcA'!BQ$106=1,1-FP27,0))*150+183+'calcA'!BQ$5*100000+IF(AND($E27=1,LD27=0),50000,0))+IF($H27=1,INDEX('calcA'!$D$180:$EQ$219,$B27,66)*4000,0)-IF(AND('calcA'!BP$117=1,WN27&gt;0),2000,0)-IF(AND($U27=1,'calcA'!BQ$117=1,FP27=0),2000,0))),1000000000))</f>
        <v/>
      </c>
      <c r="QT27">
        <f>IF($B27=0,1000000000,IF(INDEX('calcA'!$D$60:$EQ$99,$B27,67)*IF($W27=1,FP27+ACE27,FP27)=1,IF(AND($E27=2,IF($W27=1,AHT27,LE27)=0),1000000000,IF($V27=1,INDEX('calcA'!$D$130:$EQ$169,$B27,67)+IF(AND($E27=1,LE27=0),25,0),IF($F27&gt;0,INDEX('calcA'!BR$110:BR$114,$F27+1)+IF(AND($E27=1,LE27=0),1000,0),MIN(TW27,20)*400+(IF('calcA'!BQ$106=1,1-FO27,0)+IF('calcA'!BR$106=1,1-FQ27,0))*150+193+'calcA'!BR$5*100000+IF(AND($E27=1,LE27=0),50000,0))+IF($H27=1,INDEX('calcA'!$D$180:$EQ$219,$B27,67)*4000,0)-IF(AND('calcA'!BQ$117=1,WO27&gt;0),2000,0)-IF(AND($U27=1,'calcA'!BR$117=1,FQ27=0),2000,0))),1000000000))</f>
        <v/>
      </c>
      <c r="QU27">
        <f>IF($B27=0,1000000000,IF(INDEX('calcA'!$D$60:$EQ$99,$B27,68)*IF($W27=1,FQ27+ACF27,FQ27)=1,IF(AND($E27=2,IF($W27=1,AHU27,LF27)=0),1000000000,IF($V27=1,INDEX('calcA'!$D$130:$EQ$169,$B27,68)+IF(AND($E27=1,LF27=0),25,0),IF($F27&gt;0,INDEX('calcA'!BS$110:BS$114,$F27+1)+IF(AND($E27=1,LF27=0),1000,0),MIN(TW27,20)*400+(IF('calcA'!BR$106=1,1-FP27,0)+IF('calcA'!BS$106=1,1-FR27,0))*150+203+'calcA'!BS$5*100000+IF(AND($E27=1,LF27=0),50000,0))+IF($H27=1,INDEX('calcA'!$D$180:$EQ$219,$B27,68)*4000,0)-IF(AND('calcA'!BR$117=1,WP27&gt;0),2000,0)-IF(AND($U27=1,'calcA'!BS$117=1,FR27=0),2000,0))),1000000000))</f>
        <v/>
      </c>
      <c r="QV27">
        <f>IF($B27=0,1000000000,IF(INDEX('calcA'!$D$60:$EQ$99,$B27,69)*IF($W27=1,FR27+ACG27,FR27)=1,IF(AND($E27=2,IF($W27=1,AHV27,LG27)=0),1000000000,IF($V27=1,INDEX('calcA'!$D$130:$EQ$169,$B27,69)+IF(AND($E27=1,LG27=0),25,0),IF($F27&gt;0,INDEX('calcA'!BT$110:BT$114,$F27+1)+IF(AND($E27=1,LG27=0),1000,0),MIN(TW27,20)*400+(IF('calcA'!BS$106=1,1-FQ27,0)+IF('calcA'!BT$106=1,1-FS27,0))*150+213+'calcA'!BT$5*100000+IF(AND($E27=1,LG27=0),50000,0))+IF($H27=1,INDEX('calcA'!$D$180:$EQ$219,$B27,69)*4000,0)-IF(AND('calcA'!BS$117=1,WQ27&gt;0),2000,0)-IF(AND($U27=1,'calcA'!BT$117=1,FS27=0),2000,0))),1000000000))</f>
        <v/>
      </c>
      <c r="QW27">
        <f>IF($B27=0,1000000000,IF(INDEX('calcA'!$D$60:$EQ$99,$B27,70)*IF($W27=1,FS27+ACH27,FS27)=1,IF(AND($E27=2,IF($W27=1,AHW27,LH27)=0),1000000000,IF($V27=1,INDEX('calcA'!$D$130:$EQ$169,$B27,70)+IF(AND($E27=1,LH27=0),25,0),IF($F27&gt;0,INDEX('calcA'!BU$110:BU$114,$F27+1)+IF(AND($E27=1,LH27=0),1000,0),MIN(TW27,20)*400+(IF('calcA'!BT$106=1,1-FR27,0)+IF('calcA'!BU$106=1,1-FT27,0))*150+223+'calcA'!BU$5*100000+IF(AND($E27=1,LH27=0),50000,0))+IF($H27=1,INDEX('calcA'!$D$180:$EQ$219,$B27,70)*4000,0)-IF(AND('calcA'!BT$117=1,WR27&gt;0),2000,0)-IF(AND($U27=1,'calcA'!BU$117=1,FT27=0),2000,0))),1000000000))</f>
        <v/>
      </c>
      <c r="QX27">
        <f>IF($B27=0,1000000000,IF(INDEX('calcA'!$D$60:$EQ$99,$B27,71)*IF($W27=1,FT27+ACI27,FT27)=1,IF(AND($E27=2,IF($W27=1,AHX27,LI27)=0),1000000000,IF($V27=1,INDEX('calcA'!$D$130:$EQ$169,$B27,71)+IF(AND($E27=1,LI27=0),25,0),IF($F27&gt;0,INDEX('calcA'!BV$110:BV$114,$F27+1)+IF(AND($E27=1,LI27=0),1000,0),MIN(TW27,20)*400+(IF('calcA'!BU$106=1,1-FS27,0)+IF('calcA'!BV$106=1,1-FU27,0))*150+233+'calcA'!BV$5*100000+IF(AND($E27=1,LI27=0),50000,0))+IF($H27=1,INDEX('calcA'!$D$180:$EQ$219,$B27,71)*4000,0)-IF(AND('calcA'!BU$117=1,WS27&gt;0),2000,0)-IF(AND($U27=1,'calcA'!BV$117=1,FU27=0),2000,0))),1000000000))</f>
        <v/>
      </c>
      <c r="QY27">
        <f>IF($B27=0,1000000000,IF(INDEX('calcA'!$D$60:$EQ$99,$B27,72)*IF($W27=1,FU27+ACJ27,FU27)=1,IF(AND($E27=2,IF($W27=1,AHY27,LJ27)=0),1000000000,IF($V27=1,INDEX('calcA'!$D$130:$EQ$169,$B27,72)+IF(AND($E27=1,LJ27=0),25,0),IF($F27&gt;0,INDEX('calcA'!BW$110:BW$114,$F27+1)+IF(AND($E27=1,LJ27=0),1000,0),MIN(TW27,20)*400+(IF('calcA'!BV$106=1,1-FT27,0))*150+243+'calcA'!BW$5*100000+IF(AND($E27=1,LJ27=0),50000,0))+IF($H27=1,INDEX('calcA'!$D$180:$EQ$219,$B27,72)*4000,0)-IF(AND('calcA'!BV$117=1,WT27&gt;0),2000,0))),1000000000))</f>
        <v/>
      </c>
      <c r="QZ27">
        <f>IF($B27=0,1000000000,IF(INDEX('calcA'!$D$60:$EQ$99,$B27,73)*IF($W27=1,FV27+ACK27,FV27)=1,IF(AND($E27=2,IF($W27=1,AHZ27,LK27)=0),1000000000,IF($V27=1,INDEX('calcA'!$D$130:$EQ$169,$B27,73)+IF(AND($E27=1,LK27=0),25,0),IF($F27&gt;0,INDEX('calcA'!BX$110:BX$114,$F27+1)+IF(AND($E27=1,LK27=0),1000,0),MIN(TX27,20)*400+(IF('calcA'!BX$106=1,1-FW27,0))*150+14+'calcA'!BX$5*100000+IF(AND($E27=1,LK27=0),50000,0))+IF($H27=1,INDEX('calcA'!$D$180:$EQ$219,$B27,73)*4000,0)-IF(AND($U27=1,'calcA'!BX$117=1,FW27=0),2000,0))),1000000000))</f>
        <v/>
      </c>
      <c r="RA27">
        <f>IF($B27=0,1000000000,IF(INDEX('calcA'!$D$60:$EQ$99,$B27,74)*IF($W27=1,FW27+ACL27,FW27)=1,IF(AND($E27=2,IF($W27=1,AIA27,LL27)=0),1000000000,IF($V27=1,INDEX('calcA'!$D$130:$EQ$169,$B27,74)+IF(AND($E27=1,LL27=0),25,0),IF($F27&gt;0,INDEX('calcA'!BY$110:BY$114,$F27+1)+IF(AND($E27=1,LL27=0),1000,0),MIN(TX27,20)*400+(IF('calcA'!BX$106=1,1-FV27,0)+IF('calcA'!BY$106=1,1-FX27,0))*150+24+'calcA'!BY$5*100000+IF(AND($E27=1,LL27=0),50000,0))+IF($H27=1,INDEX('calcA'!$D$180:$EQ$219,$B27,74)*4000,0)-IF(AND('calcA'!BX$117=1,WV27&gt;0),2000,0)-IF(AND($U27=1,'calcA'!BY$117=1,FX27=0),2000,0))),1000000000))</f>
        <v/>
      </c>
      <c r="RB27">
        <f>IF($B27=0,1000000000,IF(INDEX('calcA'!$D$60:$EQ$99,$B27,75)*IF($W27=1,FX27+ACM27,FX27)=1,IF(AND($E27=2,IF($W27=1,AIB27,LM27)=0),1000000000,IF($V27=1,INDEX('calcA'!$D$130:$EQ$169,$B27,75)+IF(AND($E27=1,LM27=0),25,0),IF($F27&gt;0,INDEX('calcA'!BZ$110:BZ$114,$F27+1)+IF(AND($E27=1,LM27=0),1000,0),MIN(TX27,20)*400+(IF('calcA'!BY$106=1,1-FW27,0)+IF('calcA'!BZ$106=1,1-FY27,0))*150+34+'calcA'!BZ$5*100000+IF(AND($E27=1,LM27=0),50000,0))+IF($H27=1,INDEX('calcA'!$D$180:$EQ$219,$B27,75)*4000,0)-IF(AND('calcA'!BY$117=1,WW27&gt;0),2000,0)-IF(AND($U27=1,'calcA'!BZ$117=1,FY27=0),2000,0))),1000000000))</f>
        <v/>
      </c>
      <c r="RC27">
        <f>IF($B27=0,1000000000,IF(INDEX('calcA'!$D$60:$EQ$99,$B27,76)*IF($W27=1,FY27+ACN27,FY27)=1,IF(AND($E27=2,IF($W27=1,AIC27,LN27)=0),1000000000,IF($V27=1,INDEX('calcA'!$D$130:$EQ$169,$B27,76)+IF(AND($E27=1,LN27=0),25,0),IF($F27&gt;0,INDEX('calcA'!CA$110:CA$114,$F27+1)+IF(AND($E27=1,LN27=0),1000,0),MIN(TX27,20)*400+(IF('calcA'!BZ$106=1,1-FX27,0)+IF('calcA'!CA$106=1,1-FZ27,0))*150+44+'calcA'!CA$5*100000+IF(AND($E27=1,LN27=0),50000,0))+IF($H27=1,INDEX('calcA'!$D$180:$EQ$219,$B27,76)*4000,0)-IF(AND('calcA'!BZ$117=1,WX27&gt;0),2000,0)-IF(AND($U27=1,'calcA'!CA$117=1,FZ27=0),2000,0))),1000000000))</f>
        <v/>
      </c>
      <c r="RD27">
        <f>IF($B27=0,1000000000,IF(INDEX('calcA'!$D$60:$EQ$99,$B27,77)*IF($W27=1,FZ27+ACO27,FZ27)=1,IF(AND($E27=2,IF($W27=1,AID27,LO27)=0),1000000000,IF($V27=1,INDEX('calcA'!$D$130:$EQ$169,$B27,77)+IF(AND($E27=1,LO27=0),25,0),IF($F27&gt;0,INDEX('calcA'!CB$110:CB$114,$F27+1)+IF(AND($E27=1,LO27=0),1000,0),MIN(TX27,20)*400+(IF('calcA'!CA$106=1,1-FY27,0)+IF('calcA'!CB$106=1,1-GA27,0))*150+54+'calcA'!CB$5*100000+IF(AND($E27=1,LO27=0),50000,0))+IF($H27=1,INDEX('calcA'!$D$180:$EQ$219,$B27,77)*4000,0)-IF(AND('calcA'!CA$117=1,WY27&gt;0),2000,0)-IF(AND($U27=1,'calcA'!CB$117=1,GA27=0),2000,0))),1000000000))</f>
        <v/>
      </c>
      <c r="RE27">
        <f>IF($B27=0,1000000000,IF(INDEX('calcA'!$D$60:$EQ$99,$B27,78)*IF($W27=1,GA27+ACP27,GA27)=1,IF(AND($E27=2,IF($W27=1,AIE27,LP27)=0),1000000000,IF($V27=1,INDEX('calcA'!$D$130:$EQ$169,$B27,78)+IF(AND($E27=1,LP27=0),25,0),IF($F27&gt;0,INDEX('calcA'!CC$110:CC$114,$F27+1)+IF(AND($E27=1,LP27=0),1000,0),MIN(TX27,20)*400+(IF('calcA'!CB$106=1,1-FZ27,0)+IF('calcA'!CC$106=1,1-GB27,0))*150+64+'calcA'!CC$5*100000+IF(AND($E27=1,LP27=0),50000,0))+IF($H27=1,INDEX('calcA'!$D$180:$EQ$219,$B27,78)*4000,0)-IF(AND('calcA'!CB$117=1,WZ27&gt;0),2000,0)-IF(AND($U27=1,'calcA'!CC$117=1,GB27=0),2000,0))),1000000000))</f>
        <v/>
      </c>
      <c r="RF27">
        <f>IF($B27=0,1000000000,IF(INDEX('calcA'!$D$60:$EQ$99,$B27,79)*IF($W27=1,GB27+ACQ27,GB27)=1,IF(AND($E27=2,IF($W27=1,AIF27,LQ27)=0),1000000000,IF($V27=1,INDEX('calcA'!$D$130:$EQ$169,$B27,79)+IF(AND($E27=1,LQ27=0),25,0),IF($F27&gt;0,INDEX('calcA'!CD$110:CD$114,$F27+1)+IF(AND($E27=1,LQ27=0),1000,0),MIN(TX27,20)*400+(IF('calcA'!CC$106=1,1-GA27,0)+IF('calcA'!CD$106=1,1-GC27,0))*150+74+'calcA'!CD$5*100000+IF(AND($E27=1,LQ27=0),50000,0))+IF($H27=1,INDEX('calcA'!$D$180:$EQ$219,$B27,79)*4000,0)-IF(AND('calcA'!CC$117=1,XA27&gt;0),2000,0)-IF(AND($U27=1,'calcA'!CD$117=1,GC27=0),2000,0))),1000000000))</f>
        <v/>
      </c>
      <c r="RG27">
        <f>IF($B27=0,1000000000,IF(INDEX('calcA'!$D$60:$EQ$99,$B27,80)*IF($W27=1,GC27+ACR27,GC27)=1,IF(AND($E27=2,IF($W27=1,AIG27,LR27)=0),1000000000,IF($V27=1,INDEX('calcA'!$D$130:$EQ$169,$B27,80)+IF(AND($E27=1,LR27=0),25,0),IF($F27&gt;0,INDEX('calcA'!CE$110:CE$114,$F27+1)+IF(AND($E27=1,LR27=0),1000,0),MIN(TX27,20)*400+(IF('calcA'!CD$106=1,1-GB27,0)+IF('calcA'!CE$106=1,1-GD27,0))*150+84+'calcA'!CE$5*100000+IF(AND($E27=1,LR27=0),50000,0))+IF($H27=1,INDEX('calcA'!$D$180:$EQ$219,$B27,80)*4000,0)-IF(AND('calcA'!CD$117=1,XB27&gt;0),2000,0)-IF(AND($U27=1,'calcA'!CE$117=1,GD27=0),2000,0))),1000000000))</f>
        <v/>
      </c>
      <c r="RH27">
        <f>IF($B27=0,1000000000,IF(INDEX('calcA'!$D$60:$EQ$99,$B27,81)*IF($W27=1,GD27+ACS27,GD27)=1,IF(AND($E27=2,IF($W27=1,AIH27,LS27)=0),1000000000,IF($V27=1,INDEX('calcA'!$D$130:$EQ$169,$B27,81)+IF(AND($E27=1,LS27=0),25,0),IF($F27&gt;0,INDEX('calcA'!CF$110:CF$114,$F27+1)+IF(AND($E27=1,LS27=0),1000,0),MIN(TX27,20)*400+(IF('calcA'!CE$106=1,1-GC27,0)+IF('calcA'!CF$106=1,1-GE27,0))*150+94+'calcA'!CF$5*100000+IF(AND($E27=1,LS27=0),50000,0))+IF($H27=1,INDEX('calcA'!$D$180:$EQ$219,$B27,81)*4000,0)-IF(AND('calcA'!CE$117=1,XC27&gt;0),2000,0)-IF(AND($U27=1,'calcA'!CF$117=1,GE27=0),2000,0))),1000000000))</f>
        <v/>
      </c>
      <c r="RI27">
        <f>IF($B27=0,1000000000,IF(INDEX('calcA'!$D$60:$EQ$99,$B27,82)*IF($W27=1,GE27+ACT27,GE27)=1,IF(AND($E27=2,IF($W27=1,AII27,LT27)=0),1000000000,IF($V27=1,INDEX('calcA'!$D$130:$EQ$169,$B27,82)+IF(AND($E27=1,LT27=0),25,0),IF($F27&gt;0,INDEX('calcA'!CG$110:CG$114,$F27+1)+IF(AND($E27=1,LT27=0),1000,0),MIN(TX27,20)*400+(IF('calcA'!CF$106=1,1-GD27,0)+IF('calcA'!CG$106=1,1-GF27,0))*150+104+'calcA'!CG$5*100000+IF(AND($E27=1,LT27=0),50000,0))+IF($H27=1,INDEX('calcA'!$D$180:$EQ$219,$B27,82)*4000,0)-IF(AND('calcA'!CF$117=1,XD27&gt;0),2000,0)-IF(AND($U27=1,'calcA'!CG$117=1,GF27=0),2000,0))),1000000000))</f>
        <v/>
      </c>
      <c r="RJ27">
        <f>IF($B27=0,1000000000,IF(INDEX('calcA'!$D$60:$EQ$99,$B27,83)*IF($W27=1,GF27+ACU27,GF27)=1,IF(AND($E27=2,IF($W27=1,AIJ27,LU27)=0),1000000000,IF($V27=1,INDEX('calcA'!$D$130:$EQ$169,$B27,83)+IF(AND($E27=1,LU27=0),25,0),IF($F27&gt;0,INDEX('calcA'!CH$110:CH$114,$F27+1)+IF(AND($E27=1,LU27=0),1000,0),MIN(TX27,20)*400+(IF('calcA'!CG$106=1,1-GE27,0)+IF('calcA'!CH$106=1,1-GG27,0))*150+114+'calcA'!CH$5*100000+IF(AND($E27=1,LU27=0),50000,0))+IF($H27=1,INDEX('calcA'!$D$180:$EQ$219,$B27,83)*4000,0)-IF(AND('calcA'!CG$117=1,XE27&gt;0),2000,0)-IF(AND($U27=1,'calcA'!CH$117=1,GG27=0),2000,0))),1000000000))</f>
        <v/>
      </c>
      <c r="RK27">
        <f>IF($B27=0,1000000000,IF(INDEX('calcA'!$D$60:$EQ$99,$B27,84)*IF($W27=1,GG27+ACV27,GG27)=1,IF(AND($E27=2,IF($W27=1,AIK27,LV27)=0),1000000000,IF($V27=1,INDEX('calcA'!$D$130:$EQ$169,$B27,84)+IF(AND($E27=1,LV27=0),25,0),IF($F27&gt;0,INDEX('calcA'!CI$110:CI$114,$F27+1)+IF(AND($E27=1,LV27=0),1000,0),MIN(TX27,20)*400+(IF('calcA'!CH$106=1,1-GF27,0)+IF('calcA'!CI$106=1,1-GH27,0))*150+124+'calcA'!CI$5*100000+IF(AND($E27=1,LV27=0),50000,0))+IF($H27=1,INDEX('calcA'!$D$180:$EQ$219,$B27,84)*4000,0)-IF(AND('calcA'!CH$117=1,XF27&gt;0),2000,0)-IF(AND($U27=1,'calcA'!CI$117=1,GH27=0),2000,0))),1000000000))</f>
        <v/>
      </c>
      <c r="RL27">
        <f>IF($B27=0,1000000000,IF(INDEX('calcA'!$D$60:$EQ$99,$B27,85)*IF($W27=1,GH27+ACW27,GH27)=1,IF(AND($E27=2,IF($W27=1,AIL27,LW27)=0),1000000000,IF($V27=1,INDEX('calcA'!$D$130:$EQ$169,$B27,85)+IF(AND($E27=1,LW27=0),25,0),IF($F27&gt;0,INDEX('calcA'!CJ$110:CJ$114,$F27+1)+IF(AND($E27=1,LW27=0),1000,0),MIN(TX27,20)*400+(IF('calcA'!CI$106=1,1-GG27,0)+IF('calcA'!CJ$106=1,1-GI27,0))*150+134+'calcA'!CJ$5*100000+IF(AND($E27=1,LW27=0),50000,0))+IF($H27=1,INDEX('calcA'!$D$180:$EQ$219,$B27,85)*4000,0)-IF(AND('calcA'!CI$117=1,XG27&gt;0),2000,0)-IF(AND($U27=1,'calcA'!CJ$117=1,GI27=0),2000,0))),1000000000))</f>
        <v/>
      </c>
      <c r="RM27">
        <f>IF($B27=0,1000000000,IF(INDEX('calcA'!$D$60:$EQ$99,$B27,86)*IF($W27=1,GI27+ACX27,GI27)=1,IF(AND($E27=2,IF($W27=1,AIM27,LX27)=0),1000000000,IF($V27=1,INDEX('calcA'!$D$130:$EQ$169,$B27,86)+IF(AND($E27=1,LX27=0),25,0),IF($F27&gt;0,INDEX('calcA'!CK$110:CK$114,$F27+1)+IF(AND($E27=1,LX27=0),1000,0),MIN(TX27,20)*400+(IF('calcA'!CJ$106=1,1-GH27,0)+IF('calcA'!CK$106=1,1-GJ27,0))*150+144+'calcA'!CK$5*100000+IF(AND($E27=1,LX27=0),50000,0))+IF($H27=1,INDEX('calcA'!$D$180:$EQ$219,$B27,86)*4000,0)-IF(AND('calcA'!CJ$117=1,XH27&gt;0),2000,0)-IF(AND($U27=1,'calcA'!CK$117=1,GJ27=0),2000,0))),1000000000))</f>
        <v/>
      </c>
      <c r="RN27">
        <f>IF($B27=0,1000000000,IF(INDEX('calcA'!$D$60:$EQ$99,$B27,87)*IF($W27=1,GJ27+ACY27,GJ27)=1,IF(AND($E27=2,IF($W27=1,AIN27,LY27)=0),1000000000,IF($V27=1,INDEX('calcA'!$D$130:$EQ$169,$B27,87)+IF(AND($E27=1,LY27=0),25,0),IF($F27&gt;0,INDEX('calcA'!CL$110:CL$114,$F27+1)+IF(AND($E27=1,LY27=0),1000,0),MIN(TX27,20)*400+(IF('calcA'!CK$106=1,1-GI27,0)+IF('calcA'!CL$106=1,1-GK27,0))*150+154+'calcA'!CL$5*100000+IF(AND($E27=1,LY27=0),50000,0))+IF($H27=1,INDEX('calcA'!$D$180:$EQ$219,$B27,87)*4000,0)-IF(AND('calcA'!CK$117=1,XI27&gt;0),2000,0)-IF(AND($U27=1,'calcA'!CL$117=1,GK27=0),2000,0))),1000000000))</f>
        <v/>
      </c>
      <c r="RO27">
        <f>IF($B27=0,1000000000,IF(INDEX('calcA'!$D$60:$EQ$99,$B27,88)*IF($W27=1,GK27+ACZ27,GK27)=1,IF(AND($E27=2,IF($W27=1,AIO27,LZ27)=0),1000000000,IF($V27=1,INDEX('calcA'!$D$130:$EQ$169,$B27,88)+IF(AND($E27=1,LZ27=0),25,0),IF($F27&gt;0,INDEX('calcA'!CM$110:CM$114,$F27+1)+IF(AND($E27=1,LZ27=0),1000,0),MIN(TX27,20)*400+(IF('calcA'!CL$106=1,1-GJ27,0)+IF('calcA'!CM$106=1,1-GL27,0))*150+164+'calcA'!CM$5*100000+IF(AND($E27=1,LZ27=0),50000,0))+IF($H27=1,INDEX('calcA'!$D$180:$EQ$219,$B27,88)*4000,0)-IF(AND('calcA'!CL$117=1,XJ27&gt;0),2000,0)-IF(AND($U27=1,'calcA'!CM$117=1,GL27=0),2000,0))),1000000000))</f>
        <v/>
      </c>
      <c r="RP27">
        <f>IF($B27=0,1000000000,IF(INDEX('calcA'!$D$60:$EQ$99,$B27,89)*IF($W27=1,GL27+ADA27,GL27)=1,IF(AND($E27=2,IF($W27=1,AIP27,MA27)=0),1000000000,IF($V27=1,INDEX('calcA'!$D$130:$EQ$169,$B27,89)+IF(AND($E27=1,MA27=0),25,0),IF($F27&gt;0,INDEX('calcA'!CN$110:CN$114,$F27+1)+IF(AND($E27=1,MA27=0),1000,0),MIN(TX27,20)*400+(IF('calcA'!CM$106=1,1-GK27,0)+IF('calcA'!CN$106=1,1-GM27,0))*150+174+'calcA'!CN$5*100000+IF(AND($E27=1,MA27=0),50000,0))+IF($H27=1,INDEX('calcA'!$D$180:$EQ$219,$B27,89)*4000,0)-IF(AND('calcA'!CM$117=1,XK27&gt;0),2000,0)-IF(AND($U27=1,'calcA'!CN$117=1,GM27=0),2000,0))),1000000000))</f>
        <v/>
      </c>
      <c r="RQ27">
        <f>IF($B27=0,1000000000,IF(INDEX('calcA'!$D$60:$EQ$99,$B27,90)*IF($W27=1,GM27+ADB27,GM27)=1,IF(AND($E27=2,IF($W27=1,AIQ27,MB27)=0),1000000000,IF($V27=1,INDEX('calcA'!$D$130:$EQ$169,$B27,90)+IF(AND($E27=1,MB27=0),25,0),IF($F27&gt;0,INDEX('calcA'!CO$110:CO$114,$F27+1)+IF(AND($E27=1,MB27=0),1000,0),MIN(TX27,20)*400+(IF('calcA'!CN$106=1,1-GL27,0)+IF('calcA'!CO$106=1,1-GN27,0))*150+184+'calcA'!CO$5*100000+IF(AND($E27=1,MB27=0),50000,0))+IF($H27=1,INDEX('calcA'!$D$180:$EQ$219,$B27,90)*4000,0)-IF(AND('calcA'!CN$117=1,XL27&gt;0),2000,0)-IF(AND($U27=1,'calcA'!CO$117=1,GN27=0),2000,0))),1000000000))</f>
        <v/>
      </c>
      <c r="RR27">
        <f>IF($B27=0,1000000000,IF(INDEX('calcA'!$D$60:$EQ$99,$B27,91)*IF($W27=1,GN27+ADC27,GN27)=1,IF(AND($E27=2,IF($W27=1,AIR27,MC27)=0),1000000000,IF($V27=1,INDEX('calcA'!$D$130:$EQ$169,$B27,91)+IF(AND($E27=1,MC27=0),25,0),IF($F27&gt;0,INDEX('calcA'!CP$110:CP$114,$F27+1)+IF(AND($E27=1,MC27=0),1000,0),MIN(TX27,20)*400+(IF('calcA'!CO$106=1,1-GM27,0)+IF('calcA'!CP$106=1,1-GO27,0))*150+194+'calcA'!CP$5*100000+IF(AND($E27=1,MC27=0),50000,0))+IF($H27=1,INDEX('calcA'!$D$180:$EQ$219,$B27,91)*4000,0)-IF(AND('calcA'!CO$117=1,XM27&gt;0),2000,0)-IF(AND($U27=1,'calcA'!CP$117=1,GO27=0),2000,0))),1000000000))</f>
        <v/>
      </c>
      <c r="RS27">
        <f>IF($B27=0,1000000000,IF(INDEX('calcA'!$D$60:$EQ$99,$B27,92)*IF($W27=1,GO27+ADD27,GO27)=1,IF(AND($E27=2,IF($W27=1,AIS27,MD27)=0),1000000000,IF($V27=1,INDEX('calcA'!$D$130:$EQ$169,$B27,92)+IF(AND($E27=1,MD27=0),25,0),IF($F27&gt;0,INDEX('calcA'!CQ$110:CQ$114,$F27+1)+IF(AND($E27=1,MD27=0),1000,0),MIN(TX27,20)*400+(IF('calcA'!CP$106=1,1-GN27,0)+IF('calcA'!CQ$106=1,1-GP27,0))*150+204+'calcA'!CQ$5*100000+IF(AND($E27=1,MD27=0),50000,0))+IF($H27=1,INDEX('calcA'!$D$180:$EQ$219,$B27,92)*4000,0)-IF(AND('calcA'!CP$117=1,XN27&gt;0),2000,0)-IF(AND($U27=1,'calcA'!CQ$117=1,GP27=0),2000,0))),1000000000))</f>
        <v/>
      </c>
      <c r="RT27">
        <f>IF($B27=0,1000000000,IF(INDEX('calcA'!$D$60:$EQ$99,$B27,93)*IF($W27=1,GP27+ADE27,GP27)=1,IF(AND($E27=2,IF($W27=1,AIT27,ME27)=0),1000000000,IF($V27=1,INDEX('calcA'!$D$130:$EQ$169,$B27,93)+IF(AND($E27=1,ME27=0),25,0),IF($F27&gt;0,INDEX('calcA'!CR$110:CR$114,$F27+1)+IF(AND($E27=1,ME27=0),1000,0),MIN(TX27,20)*400+(IF('calcA'!CQ$106=1,1-GO27,0)+IF('calcA'!CR$106=1,1-GQ27,0))*150+214+'calcA'!CR$5*100000+IF(AND($E27=1,ME27=0),50000,0))+IF($H27=1,INDEX('calcA'!$D$180:$EQ$219,$B27,93)*4000,0)-IF(AND('calcA'!CQ$117=1,XO27&gt;0),2000,0)-IF(AND($U27=1,'calcA'!CR$117=1,GQ27=0),2000,0))),1000000000))</f>
        <v/>
      </c>
      <c r="RU27">
        <f>IF($B27=0,1000000000,IF(INDEX('calcA'!$D$60:$EQ$99,$B27,94)*IF($W27=1,GQ27+ADF27,GQ27)=1,IF(AND($E27=2,IF($W27=1,AIU27,MF27)=0),1000000000,IF($V27=1,INDEX('calcA'!$D$130:$EQ$169,$B27,94)+IF(AND($E27=1,MF27=0),25,0),IF($F27&gt;0,INDEX('calcA'!CS$110:CS$114,$F27+1)+IF(AND($E27=1,MF27=0),1000,0),MIN(TX27,20)*400+(IF('calcA'!CR$106=1,1-GP27,0)+IF('calcA'!CS$106=1,1-GR27,0))*150+224+'calcA'!CS$5*100000+IF(AND($E27=1,MF27=0),50000,0))+IF($H27=1,INDEX('calcA'!$D$180:$EQ$219,$B27,94)*4000,0)-IF(AND('calcA'!CR$117=1,XP27&gt;0),2000,0)-IF(AND($U27=1,'calcA'!CS$117=1,GR27=0),2000,0))),1000000000))</f>
        <v/>
      </c>
      <c r="RV27">
        <f>IF($B27=0,1000000000,IF(INDEX('calcA'!$D$60:$EQ$99,$B27,95)*IF($W27=1,GR27+ADG27,GR27)=1,IF(AND($E27=2,IF($W27=1,AIV27,MG27)=0),1000000000,IF($V27=1,INDEX('calcA'!$D$130:$EQ$169,$B27,95)+IF(AND($E27=1,MG27=0),25,0),IF($F27&gt;0,INDEX('calcA'!CT$110:CT$114,$F27+1)+IF(AND($E27=1,MG27=0),1000,0),MIN(TX27,20)*400+(IF('calcA'!CS$106=1,1-GQ27,0)+IF('calcA'!CT$106=1,1-GS27,0))*150+234+'calcA'!CT$5*100000+IF(AND($E27=1,MG27=0),50000,0))+IF($H27=1,INDEX('calcA'!$D$180:$EQ$219,$B27,95)*4000,0)-IF(AND('calcA'!CS$117=1,XQ27&gt;0),2000,0)-IF(AND($U27=1,'calcA'!CT$117=1,GS27=0),2000,0))),1000000000))</f>
        <v/>
      </c>
      <c r="RW27">
        <f>IF($B27=0,1000000000,IF(INDEX('calcA'!$D$60:$EQ$99,$B27,96)*IF($W27=1,GS27+ADH27,GS27)=1,IF(AND($E27=2,IF($W27=1,AIW27,MH27)=0),1000000000,IF($V27=1,INDEX('calcA'!$D$130:$EQ$169,$B27,96)+IF(AND($E27=1,MH27=0),25,0),IF($F27&gt;0,INDEX('calcA'!CU$110:CU$114,$F27+1)+IF(AND($E27=1,MH27=0),1000,0),MIN(TX27,20)*400+(IF('calcA'!CT$106=1,1-GR27,0))*150+244+'calcA'!CU$5*100000+IF(AND($E27=1,MH27=0),50000,0))+IF($H27=1,INDEX('calcA'!$D$180:$EQ$219,$B27,96)*4000,0)-IF(AND('calcA'!CT$117=1,XR27&gt;0),2000,0))),1000000000))</f>
        <v/>
      </c>
      <c r="RX27">
        <f>IF($B27=0,1000000000,IF(INDEX('calcA'!$D$60:$EQ$99,$B27,97)*IF($W27=1,GT27+ADI27,GT27)=1,IF(AND($E27=2,IF($W27=1,AIX27,MI27)=0),1000000000,IF($V27=1,INDEX('calcA'!$D$130:$EQ$169,$B27,97)+IF(AND($E27=1,MI27=0),25,0),IF($F27&gt;0,INDEX('calcA'!CV$110:CV$114,$F27+1)+IF(AND($E27=1,MI27=0),1000,0),MIN(TY27,20)*400+(IF('calcA'!CV$106=1,1-GU27,0))*150+15+'calcA'!CV$5*100000+IF(AND($E27=1,MI27=0),50000,0))+IF($H27=1,INDEX('calcA'!$D$180:$EQ$219,$B27,97)*4000,0)-IF(AND($U27=1,'calcA'!CV$117=1,GU27=0),2000,0))),1000000000))</f>
        <v/>
      </c>
      <c r="RY27">
        <f>IF($B27=0,1000000000,IF(INDEX('calcA'!$D$60:$EQ$99,$B27,98)*IF($W27=1,GU27+ADJ27,GU27)=1,IF(AND($E27=2,IF($W27=1,AIY27,MJ27)=0),1000000000,IF($V27=1,INDEX('calcA'!$D$130:$EQ$169,$B27,98)+IF(AND($E27=1,MJ27=0),25,0),IF($F27&gt;0,INDEX('calcA'!CW$110:CW$114,$F27+1)+IF(AND($E27=1,MJ27=0),1000,0),MIN(TY27,20)*400+(IF('calcA'!CV$106=1,1-GT27,0)+IF('calcA'!CW$106=1,1-GV27,0))*150+25+'calcA'!CW$5*100000+IF(AND($E27=1,MJ27=0),50000,0))+IF($H27=1,INDEX('calcA'!$D$180:$EQ$219,$B27,98)*4000,0)-IF(AND('calcA'!CV$117=1,XT27&gt;0),2000,0)-IF(AND($U27=1,'calcA'!CW$117=1,GV27=0),2000,0))),1000000000))</f>
        <v/>
      </c>
      <c r="RZ27">
        <f>IF($B27=0,1000000000,IF(INDEX('calcA'!$D$60:$EQ$99,$B27,99)*IF($W27=1,GV27+ADK27,GV27)=1,IF(AND($E27=2,IF($W27=1,AIZ27,MK27)=0),1000000000,IF($V27=1,INDEX('calcA'!$D$130:$EQ$169,$B27,99)+IF(AND($E27=1,MK27=0),25,0),IF($F27&gt;0,INDEX('calcA'!CX$110:CX$114,$F27+1)+IF(AND($E27=1,MK27=0),1000,0),MIN(TY27,20)*400+(IF('calcA'!CW$106=1,1-GU27,0)+IF('calcA'!CX$106=1,1-GW27,0))*150+35+'calcA'!CX$5*100000+IF(AND($E27=1,MK27=0),50000,0))+IF($H27=1,INDEX('calcA'!$D$180:$EQ$219,$B27,99)*4000,0)-IF(AND('calcA'!CW$117=1,XU27&gt;0),2000,0)-IF(AND($U27=1,'calcA'!CX$117=1,GW27=0),2000,0))),1000000000))</f>
        <v/>
      </c>
      <c r="SA27">
        <f>IF($B27=0,1000000000,IF(INDEX('calcA'!$D$60:$EQ$99,$B27,100)*IF($W27=1,GW27+ADL27,GW27)=1,IF(AND($E27=2,IF($W27=1,AJA27,ML27)=0),1000000000,IF($V27=1,INDEX('calcA'!$D$130:$EQ$169,$B27,100)+IF(AND($E27=1,ML27=0),25,0),IF($F27&gt;0,INDEX('calcA'!CY$110:CY$114,$F27+1)+IF(AND($E27=1,ML27=0),1000,0),MIN(TY27,20)*400+(IF('calcA'!CX$106=1,1-GV27,0)+IF('calcA'!CY$106=1,1-GX27,0))*150+45+'calcA'!CY$5*100000+IF(AND($E27=1,ML27=0),50000,0))+IF($H27=1,INDEX('calcA'!$D$180:$EQ$219,$B27,100)*4000,0)-IF(AND('calcA'!CX$117=1,XV27&gt;0),2000,0)-IF(AND($U27=1,'calcA'!CY$117=1,GX27=0),2000,0))),1000000000))</f>
        <v/>
      </c>
      <c r="SB27">
        <f>IF($B27=0,1000000000,IF(INDEX('calcA'!$D$60:$EQ$99,$B27,101)*IF($W27=1,GX27+ADM27,GX27)=1,IF(AND($E27=2,IF($W27=1,AJB27,MM27)=0),1000000000,IF($V27=1,INDEX('calcA'!$D$130:$EQ$169,$B27,101)+IF(AND($E27=1,MM27=0),25,0),IF($F27&gt;0,INDEX('calcA'!CZ$110:CZ$114,$F27+1)+IF(AND($E27=1,MM27=0),1000,0),MIN(TY27,20)*400+(IF('calcA'!CY$106=1,1-GW27,0)+IF('calcA'!CZ$106=1,1-GY27,0))*150+55+'calcA'!CZ$5*100000+IF(AND($E27=1,MM27=0),50000,0))+IF($H27=1,INDEX('calcA'!$D$180:$EQ$219,$B27,101)*4000,0)-IF(AND('calcA'!CY$117=1,XW27&gt;0),2000,0)-IF(AND($U27=1,'calcA'!CZ$117=1,GY27=0),2000,0))),1000000000))</f>
        <v/>
      </c>
      <c r="SC27">
        <f>IF($B27=0,1000000000,IF(INDEX('calcA'!$D$60:$EQ$99,$B27,102)*IF($W27=1,GY27+ADN27,GY27)=1,IF(AND($E27=2,IF($W27=1,AJC27,MN27)=0),1000000000,IF($V27=1,INDEX('calcA'!$D$130:$EQ$169,$B27,102)+IF(AND($E27=1,MN27=0),25,0),IF($F27&gt;0,INDEX('calcA'!DA$110:DA$114,$F27+1)+IF(AND($E27=1,MN27=0),1000,0),MIN(TY27,20)*400+(IF('calcA'!CZ$106=1,1-GX27,0)+IF('calcA'!DA$106=1,1-GZ27,0))*150+65+'calcA'!DA$5*100000+IF(AND($E27=1,MN27=0),50000,0))+IF($H27=1,INDEX('calcA'!$D$180:$EQ$219,$B27,102)*4000,0)-IF(AND('calcA'!CZ$117=1,XX27&gt;0),2000,0)-IF(AND($U27=1,'calcA'!DA$117=1,GZ27=0),2000,0))),1000000000))</f>
        <v/>
      </c>
      <c r="SD27">
        <f>IF($B27=0,1000000000,IF(INDEX('calcA'!$D$60:$EQ$99,$B27,103)*IF($W27=1,GZ27+ADO27,GZ27)=1,IF(AND($E27=2,IF($W27=1,AJD27,MO27)=0),1000000000,IF($V27=1,INDEX('calcA'!$D$130:$EQ$169,$B27,103)+IF(AND($E27=1,MO27=0),25,0),IF($F27&gt;0,INDEX('calcA'!DB$110:DB$114,$F27+1)+IF(AND($E27=1,MO27=0),1000,0),MIN(TY27,20)*400+(IF('calcA'!DA$106=1,1-GY27,0)+IF('calcA'!DB$106=1,1-HA27,0))*150+75+'calcA'!DB$5*100000+IF(AND($E27=1,MO27=0),50000,0))+IF($H27=1,INDEX('calcA'!$D$180:$EQ$219,$B27,103)*4000,0)-IF(AND('calcA'!DA$117=1,XY27&gt;0),2000,0)-IF(AND($U27=1,'calcA'!DB$117=1,HA27=0),2000,0))),1000000000))</f>
        <v/>
      </c>
      <c r="SE27">
        <f>IF($B27=0,1000000000,IF(INDEX('calcA'!$D$60:$EQ$99,$B27,104)*IF($W27=1,HA27+ADP27,HA27)=1,IF(AND($E27=2,IF($W27=1,AJE27,MP27)=0),1000000000,IF($V27=1,INDEX('calcA'!$D$130:$EQ$169,$B27,104)+IF(AND($E27=1,MP27=0),25,0),IF($F27&gt;0,INDEX('calcA'!DC$110:DC$114,$F27+1)+IF(AND($E27=1,MP27=0),1000,0),MIN(TY27,20)*400+(IF('calcA'!DB$106=1,1-GZ27,0)+IF('calcA'!DC$106=1,1-HB27,0))*150+85+'calcA'!DC$5*100000+IF(AND($E27=1,MP27=0),50000,0))+IF($H27=1,INDEX('calcA'!$D$180:$EQ$219,$B27,104)*4000,0)-IF(AND('calcA'!DB$117=1,XZ27&gt;0),2000,0)-IF(AND($U27=1,'calcA'!DC$117=1,HB27=0),2000,0))),1000000000))</f>
        <v/>
      </c>
      <c r="SF27">
        <f>IF($B27=0,1000000000,IF(INDEX('calcA'!$D$60:$EQ$99,$B27,105)*IF($W27=1,HB27+ADQ27,HB27)=1,IF(AND($E27=2,IF($W27=1,AJF27,MQ27)=0),1000000000,IF($V27=1,INDEX('calcA'!$D$130:$EQ$169,$B27,105)+IF(AND($E27=1,MQ27=0),25,0),IF($F27&gt;0,INDEX('calcA'!DD$110:DD$114,$F27+1)+IF(AND($E27=1,MQ27=0),1000,0),MIN(TY27,20)*400+(IF('calcA'!DC$106=1,1-HA27,0)+IF('calcA'!DD$106=1,1-HC27,0))*150+95+'calcA'!DD$5*100000+IF(AND($E27=1,MQ27=0),50000,0))+IF($H27=1,INDEX('calcA'!$D$180:$EQ$219,$B27,105)*4000,0)-IF(AND('calcA'!DC$117=1,YA27&gt;0),2000,0)-IF(AND($U27=1,'calcA'!DD$117=1,HC27=0),2000,0))),1000000000))</f>
        <v/>
      </c>
      <c r="SG27">
        <f>IF($B27=0,1000000000,IF(INDEX('calcA'!$D$60:$EQ$99,$B27,106)*IF($W27=1,HC27+ADR27,HC27)=1,IF(AND($E27=2,IF($W27=1,AJG27,MR27)=0),1000000000,IF($V27=1,INDEX('calcA'!$D$130:$EQ$169,$B27,106)+IF(AND($E27=1,MR27=0),25,0),IF($F27&gt;0,INDEX('calcA'!DE$110:DE$114,$F27+1)+IF(AND($E27=1,MR27=0),1000,0),MIN(TY27,20)*400+(IF('calcA'!DD$106=1,1-HB27,0)+IF('calcA'!DE$106=1,1-HD27,0))*150+105+'calcA'!DE$5*100000+IF(AND($E27=1,MR27=0),50000,0))+IF($H27=1,INDEX('calcA'!$D$180:$EQ$219,$B27,106)*4000,0)-IF(AND('calcA'!DD$117=1,YB27&gt;0),2000,0)-IF(AND($U27=1,'calcA'!DE$117=1,HD27=0),2000,0))),1000000000))</f>
        <v/>
      </c>
      <c r="SH27">
        <f>IF($B27=0,1000000000,IF(INDEX('calcA'!$D$60:$EQ$99,$B27,107)*IF($W27=1,HD27+ADS27,HD27)=1,IF(AND($E27=2,IF($W27=1,AJH27,MS27)=0),1000000000,IF($V27=1,INDEX('calcA'!$D$130:$EQ$169,$B27,107)+IF(AND($E27=1,MS27=0),25,0),IF($F27&gt;0,INDEX('calcA'!DF$110:DF$114,$F27+1)+IF(AND($E27=1,MS27=0),1000,0),MIN(TY27,20)*400+(IF('calcA'!DE$106=1,1-HC27,0)+IF('calcA'!DF$106=1,1-HE27,0))*150+115+'calcA'!DF$5*100000+IF(AND($E27=1,MS27=0),50000,0))+IF($H27=1,INDEX('calcA'!$D$180:$EQ$219,$B27,107)*4000,0)-IF(AND('calcA'!DE$117=1,YC27&gt;0),2000,0)-IF(AND($U27=1,'calcA'!DF$117=1,HE27=0),2000,0))),1000000000))</f>
        <v/>
      </c>
      <c r="SI27">
        <f>IF($B27=0,1000000000,IF(INDEX('calcA'!$D$60:$EQ$99,$B27,108)*IF($W27=1,HE27+ADT27,HE27)=1,IF(AND($E27=2,IF($W27=1,AJI27,MT27)=0),1000000000,IF($V27=1,INDEX('calcA'!$D$130:$EQ$169,$B27,108)+IF(AND($E27=1,MT27=0),25,0),IF($F27&gt;0,INDEX('calcA'!DG$110:DG$114,$F27+1)+IF(AND($E27=1,MT27=0),1000,0),MIN(TY27,20)*400+(IF('calcA'!DF$106=1,1-HD27,0)+IF('calcA'!DG$106=1,1-HF27,0))*150+125+'calcA'!DG$5*100000+IF(AND($E27=1,MT27=0),50000,0))+IF($H27=1,INDEX('calcA'!$D$180:$EQ$219,$B27,108)*4000,0)-IF(AND('calcA'!DF$117=1,YD27&gt;0),2000,0)-IF(AND($U27=1,'calcA'!DG$117=1,HF27=0),2000,0))),1000000000))</f>
        <v/>
      </c>
      <c r="SJ27">
        <f>IF($B27=0,1000000000,IF(INDEX('calcA'!$D$60:$EQ$99,$B27,109)*IF($W27=1,HF27+ADU27,HF27)=1,IF(AND($E27=2,IF($W27=1,AJJ27,MU27)=0),1000000000,IF($V27=1,INDEX('calcA'!$D$130:$EQ$169,$B27,109)+IF(AND($E27=1,MU27=0),25,0),IF($F27&gt;0,INDEX('calcA'!DH$110:DH$114,$F27+1)+IF(AND($E27=1,MU27=0),1000,0),MIN(TY27,20)*400+(IF('calcA'!DG$106=1,1-HE27,0)+IF('calcA'!DH$106=1,1-HG27,0))*150+135+'calcA'!DH$5*100000+IF(AND($E27=1,MU27=0),50000,0))+IF($H27=1,INDEX('calcA'!$D$180:$EQ$219,$B27,109)*4000,0)-IF(AND('calcA'!DG$117=1,YE27&gt;0),2000,0)-IF(AND($U27=1,'calcA'!DH$117=1,HG27=0),2000,0))),1000000000))</f>
        <v/>
      </c>
      <c r="SK27">
        <f>IF($B27=0,1000000000,IF(INDEX('calcA'!$D$60:$EQ$99,$B27,110)*IF($W27=1,HG27+ADV27,HG27)=1,IF(AND($E27=2,IF($W27=1,AJK27,MV27)=0),1000000000,IF($V27=1,INDEX('calcA'!$D$130:$EQ$169,$B27,110)+IF(AND($E27=1,MV27=0),25,0),IF($F27&gt;0,INDEX('calcA'!DI$110:DI$114,$F27+1)+IF(AND($E27=1,MV27=0),1000,0),MIN(TY27,20)*400+(IF('calcA'!DH$106=1,1-HF27,0)+IF('calcA'!DI$106=1,1-HH27,0))*150+145+'calcA'!DI$5*100000+IF(AND($E27=1,MV27=0),50000,0))+IF($H27=1,INDEX('calcA'!$D$180:$EQ$219,$B27,110)*4000,0)-IF(AND('calcA'!DH$117=1,YF27&gt;0),2000,0)-IF(AND($U27=1,'calcA'!DI$117=1,HH27=0),2000,0))),1000000000))</f>
        <v/>
      </c>
      <c r="SL27">
        <f>IF($B27=0,1000000000,IF(INDEX('calcA'!$D$60:$EQ$99,$B27,111)*IF($W27=1,HH27+ADW27,HH27)=1,IF(AND($E27=2,IF($W27=1,AJL27,MW27)=0),1000000000,IF($V27=1,INDEX('calcA'!$D$130:$EQ$169,$B27,111)+IF(AND($E27=1,MW27=0),25,0),IF($F27&gt;0,INDEX('calcA'!DJ$110:DJ$114,$F27+1)+IF(AND($E27=1,MW27=0),1000,0),MIN(TY27,20)*400+(IF('calcA'!DI$106=1,1-HG27,0)+IF('calcA'!DJ$106=1,1-HI27,0))*150+155+'calcA'!DJ$5*100000+IF(AND($E27=1,MW27=0),50000,0))+IF($H27=1,INDEX('calcA'!$D$180:$EQ$219,$B27,111)*4000,0)-IF(AND('calcA'!DI$117=1,YG27&gt;0),2000,0)-IF(AND($U27=1,'calcA'!DJ$117=1,HI27=0),2000,0))),1000000000))</f>
        <v/>
      </c>
      <c r="SM27">
        <f>IF($B27=0,1000000000,IF(INDEX('calcA'!$D$60:$EQ$99,$B27,112)*IF($W27=1,HI27+ADX27,HI27)=1,IF(AND($E27=2,IF($W27=1,AJM27,MX27)=0),1000000000,IF($V27=1,INDEX('calcA'!$D$130:$EQ$169,$B27,112)+IF(AND($E27=1,MX27=0),25,0),IF($F27&gt;0,INDEX('calcA'!DK$110:DK$114,$F27+1)+IF(AND($E27=1,MX27=0),1000,0),MIN(TY27,20)*400+(IF('calcA'!DJ$106=1,1-HH27,0)+IF('calcA'!DK$106=1,1-HJ27,0))*150+165+'calcA'!DK$5*100000+IF(AND($E27=1,MX27=0),50000,0))+IF($H27=1,INDEX('calcA'!$D$180:$EQ$219,$B27,112)*4000,0)-IF(AND('calcA'!DJ$117=1,YH27&gt;0),2000,0)-IF(AND($U27=1,'calcA'!DK$117=1,HJ27=0),2000,0))),1000000000))</f>
        <v/>
      </c>
      <c r="SN27">
        <f>IF($B27=0,1000000000,IF(INDEX('calcA'!$D$60:$EQ$99,$B27,113)*IF($W27=1,HJ27+ADY27,HJ27)=1,IF(AND($E27=2,IF($W27=1,AJN27,MY27)=0),1000000000,IF($V27=1,INDEX('calcA'!$D$130:$EQ$169,$B27,113)+IF(AND($E27=1,MY27=0),25,0),IF($F27&gt;0,INDEX('calcA'!DL$110:DL$114,$F27+1)+IF(AND($E27=1,MY27=0),1000,0),MIN(TY27,20)*400+(IF('calcA'!DK$106=1,1-HI27,0)+IF('calcA'!DL$106=1,1-HK27,0))*150+175+'calcA'!DL$5*100000+IF(AND($E27=1,MY27=0),50000,0))+IF($H27=1,INDEX('calcA'!$D$180:$EQ$219,$B27,113)*4000,0)-IF(AND('calcA'!DK$117=1,YI27&gt;0),2000,0)-IF(AND($U27=1,'calcA'!DL$117=1,HK27=0),2000,0))),1000000000))</f>
        <v/>
      </c>
      <c r="SO27">
        <f>IF($B27=0,1000000000,IF(INDEX('calcA'!$D$60:$EQ$99,$B27,114)*IF($W27=1,HK27+ADZ27,HK27)=1,IF(AND($E27=2,IF($W27=1,AJO27,MZ27)=0),1000000000,IF($V27=1,INDEX('calcA'!$D$130:$EQ$169,$B27,114)+IF(AND($E27=1,MZ27=0),25,0),IF($F27&gt;0,INDEX('calcA'!DM$110:DM$114,$F27+1)+IF(AND($E27=1,MZ27=0),1000,0),MIN(TY27,20)*400+(IF('calcA'!DL$106=1,1-HJ27,0)+IF('calcA'!DM$106=1,1-HL27,0))*150+185+'calcA'!DM$5*100000+IF(AND($E27=1,MZ27=0),50000,0))+IF($H27=1,INDEX('calcA'!$D$180:$EQ$219,$B27,114)*4000,0)-IF(AND('calcA'!DL$117=1,YJ27&gt;0),2000,0)-IF(AND($U27=1,'calcA'!DM$117=1,HL27=0),2000,0))),1000000000))</f>
        <v/>
      </c>
      <c r="SP27">
        <f>IF($B27=0,1000000000,IF(INDEX('calcA'!$D$60:$EQ$99,$B27,115)*IF($W27=1,HL27+AEA27,HL27)=1,IF(AND($E27=2,IF($W27=1,AJP27,NA27)=0),1000000000,IF($V27=1,INDEX('calcA'!$D$130:$EQ$169,$B27,115)+IF(AND($E27=1,NA27=0),25,0),IF($F27&gt;0,INDEX('calcA'!DN$110:DN$114,$F27+1)+IF(AND($E27=1,NA27=0),1000,0),MIN(TY27,20)*400+(IF('calcA'!DM$106=1,1-HK27,0)+IF('calcA'!DN$106=1,1-HM27,0))*150+195+'calcA'!DN$5*100000+IF(AND($E27=1,NA27=0),50000,0))+IF($H27=1,INDEX('calcA'!$D$180:$EQ$219,$B27,115)*4000,0)-IF(AND('calcA'!DM$117=1,YK27&gt;0),2000,0)-IF(AND($U27=1,'calcA'!DN$117=1,HM27=0),2000,0))),1000000000))</f>
        <v/>
      </c>
      <c r="SQ27">
        <f>IF($B27=0,1000000000,IF(INDEX('calcA'!$D$60:$EQ$99,$B27,116)*IF($W27=1,HM27+AEB27,HM27)=1,IF(AND($E27=2,IF($W27=1,AJQ27,NB27)=0),1000000000,IF($V27=1,INDEX('calcA'!$D$130:$EQ$169,$B27,116)+IF(AND($E27=1,NB27=0),25,0),IF($F27&gt;0,INDEX('calcA'!DO$110:DO$114,$F27+1)+IF(AND($E27=1,NB27=0),1000,0),MIN(TY27,20)*400+(IF('calcA'!DN$106=1,1-HL27,0)+IF('calcA'!DO$106=1,1-HN27,0))*150+205+'calcA'!DO$5*100000+IF(AND($E27=1,NB27=0),50000,0))+IF($H27=1,INDEX('calcA'!$D$180:$EQ$219,$B27,116)*4000,0)-IF(AND('calcA'!DN$117=1,YL27&gt;0),2000,0)-IF(AND($U27=1,'calcA'!DO$117=1,HN27=0),2000,0))),1000000000))</f>
        <v/>
      </c>
      <c r="SR27">
        <f>IF($B27=0,1000000000,IF(INDEX('calcA'!$D$60:$EQ$99,$B27,117)*IF($W27=1,HN27+AEC27,HN27)=1,IF(AND($E27=2,IF($W27=1,AJR27,NC27)=0),1000000000,IF($V27=1,INDEX('calcA'!$D$130:$EQ$169,$B27,117)+IF(AND($E27=1,NC27=0),25,0),IF($F27&gt;0,INDEX('calcA'!DP$110:DP$114,$F27+1)+IF(AND($E27=1,NC27=0),1000,0),MIN(TY27,20)*400+(IF('calcA'!DO$106=1,1-HM27,0)+IF('calcA'!DP$106=1,1-HO27,0))*150+215+'calcA'!DP$5*100000+IF(AND($E27=1,NC27=0),50000,0))+IF($H27=1,INDEX('calcA'!$D$180:$EQ$219,$B27,117)*4000,0)-IF(AND('calcA'!DO$117=1,YM27&gt;0),2000,0)-IF(AND($U27=1,'calcA'!DP$117=1,HO27=0),2000,0))),1000000000))</f>
        <v/>
      </c>
      <c r="SS27">
        <f>IF($B27=0,1000000000,IF(INDEX('calcA'!$D$60:$EQ$99,$B27,118)*IF($W27=1,HO27+AED27,HO27)=1,IF(AND($E27=2,IF($W27=1,AJS27,ND27)=0),1000000000,IF($V27=1,INDEX('calcA'!$D$130:$EQ$169,$B27,118)+IF(AND($E27=1,ND27=0),25,0),IF($F27&gt;0,INDEX('calcA'!DQ$110:DQ$114,$F27+1)+IF(AND($E27=1,ND27=0),1000,0),MIN(TY27,20)*400+(IF('calcA'!DP$106=1,1-HN27,0)+IF('calcA'!DQ$106=1,1-HP27,0))*150+225+'calcA'!DQ$5*100000+IF(AND($E27=1,ND27=0),50000,0))+IF($H27=1,INDEX('calcA'!$D$180:$EQ$219,$B27,118)*4000,0)-IF(AND('calcA'!DP$117=1,YN27&gt;0),2000,0)-IF(AND($U27=1,'calcA'!DQ$117=1,HP27=0),2000,0))),1000000000))</f>
        <v/>
      </c>
      <c r="ST27">
        <f>IF($B27=0,1000000000,IF(INDEX('calcA'!$D$60:$EQ$99,$B27,119)*IF($W27=1,HP27+AEE27,HP27)=1,IF(AND($E27=2,IF($W27=1,AJT27,NE27)=0),1000000000,IF($V27=1,INDEX('calcA'!$D$130:$EQ$169,$B27,119)+IF(AND($E27=1,NE27=0),25,0),IF($F27&gt;0,INDEX('calcA'!DR$110:DR$114,$F27+1)+IF(AND($E27=1,NE27=0),1000,0),MIN(TY27,20)*400+(IF('calcA'!DQ$106=1,1-HO27,0)+IF('calcA'!DR$106=1,1-HQ27,0))*150+235+'calcA'!DR$5*100000+IF(AND($E27=1,NE27=0),50000,0))+IF($H27=1,INDEX('calcA'!$D$180:$EQ$219,$B27,119)*4000,0)-IF(AND('calcA'!DQ$117=1,YO27&gt;0),2000,0)-IF(AND($U27=1,'calcA'!DR$117=1,HQ27=0),2000,0))),1000000000))</f>
        <v/>
      </c>
      <c r="SU27">
        <f>IF($B27=0,1000000000,IF(INDEX('calcA'!$D$60:$EQ$99,$B27,120)*IF($W27=1,HQ27+AEF27,HQ27)=1,IF(AND($E27=2,IF($W27=1,AJU27,NF27)=0),1000000000,IF($V27=1,INDEX('calcA'!$D$130:$EQ$169,$B27,120)+IF(AND($E27=1,NF27=0),25,0),IF($F27&gt;0,INDEX('calcA'!DS$110:DS$114,$F27+1)+IF(AND($E27=1,NF27=0),1000,0),MIN(TY27,20)*400+(IF('calcA'!DR$106=1,1-HP27,0))*150+245+'calcA'!DS$5*100000+IF(AND($E27=1,NF27=0),50000,0))+IF($H27=1,INDEX('calcA'!$D$180:$EQ$219,$B27,120)*4000,0)-IF(AND('calcA'!DR$117=1,YP27&gt;0),2000,0))),1000000000))</f>
        <v/>
      </c>
      <c r="SV27">
        <f>IF($B27=0,1000000000,IF(INDEX('calcA'!$D$60:$EQ$99,$B27,121)*IF($W27=1,HR27+AEG27,HR27)=1,IF(AND($E27=2,IF($W27=1,AJV27,NG27)=0),1000000000,IF($V27=1,INDEX('calcA'!$D$130:$EQ$169,$B27,121)+IF(AND($E27=1,NG27=0),25,0),IF($F27&gt;0,INDEX('calcA'!DT$110:DT$114,$F27+1)+IF(AND($E27=1,NG27=0),1000,0),MIN(TZ27,20)*400+(IF('calcA'!DT$106=1,1-HS27,0))*150+16+'calcA'!DT$5*100000+IF(AND($E27=1,NG27=0),50000,0))+IF($H27=1,INDEX('calcA'!$D$180:$EQ$219,$B27,121)*4000,0)-IF(AND($U27=1,'calcA'!DT$117=1,HS27=0),2000,0))),1000000000))</f>
        <v/>
      </c>
      <c r="SW27">
        <f>IF($B27=0,1000000000,IF(INDEX('calcA'!$D$60:$EQ$99,$B27,122)*IF($W27=1,HS27+AEH27,HS27)=1,IF(AND($E27=2,IF($W27=1,AJW27,NH27)=0),1000000000,IF($V27=1,INDEX('calcA'!$D$130:$EQ$169,$B27,122)+IF(AND($E27=1,NH27=0),25,0),IF($F27&gt;0,INDEX('calcA'!DU$110:DU$114,$F27+1)+IF(AND($E27=1,NH27=0),1000,0),MIN(TZ27,20)*400+(IF('calcA'!DT$106=1,1-HR27,0)+IF('calcA'!DU$106=1,1-HT27,0))*150+26+'calcA'!DU$5*100000+IF(AND($E27=1,NH27=0),50000,0))+IF($H27=1,INDEX('calcA'!$D$180:$EQ$219,$B27,122)*4000,0)-IF(AND('calcA'!DT$117=1,YR27&gt;0),2000,0)-IF(AND($U27=1,'calcA'!DU$117=1,HT27=0),2000,0))),1000000000))</f>
        <v/>
      </c>
      <c r="SX27">
        <f>IF($B27=0,1000000000,IF(INDEX('calcA'!$D$60:$EQ$99,$B27,123)*IF($W27=1,HT27+AEI27,HT27)=1,IF(AND($E27=2,IF($W27=1,AJX27,NI27)=0),1000000000,IF($V27=1,INDEX('calcA'!$D$130:$EQ$169,$B27,123)+IF(AND($E27=1,NI27=0),25,0),IF($F27&gt;0,INDEX('calcA'!DV$110:DV$114,$F27+1)+IF(AND($E27=1,NI27=0),1000,0),MIN(TZ27,20)*400+(IF('calcA'!DU$106=1,1-HS27,0)+IF('calcA'!DV$106=1,1-HU27,0))*150+36+'calcA'!DV$5*100000+IF(AND($E27=1,NI27=0),50000,0))+IF($H27=1,INDEX('calcA'!$D$180:$EQ$219,$B27,123)*4000,0)-IF(AND('calcA'!DU$117=1,YS27&gt;0),2000,0)-IF(AND($U27=1,'calcA'!DV$117=1,HU27=0),2000,0))),1000000000))</f>
        <v/>
      </c>
      <c r="SY27">
        <f>IF($B27=0,1000000000,IF(INDEX('calcA'!$D$60:$EQ$99,$B27,124)*IF($W27=1,HU27+AEJ27,HU27)=1,IF(AND($E27=2,IF($W27=1,AJY27,NJ27)=0),1000000000,IF($V27=1,INDEX('calcA'!$D$130:$EQ$169,$B27,124)+IF(AND($E27=1,NJ27=0),25,0),IF($F27&gt;0,INDEX('calcA'!DW$110:DW$114,$F27+1)+IF(AND($E27=1,NJ27=0),1000,0),MIN(TZ27,20)*400+(IF('calcA'!DV$106=1,1-HT27,0)+IF('calcA'!DW$106=1,1-HV27,0))*150+46+'calcA'!DW$5*100000+IF(AND($E27=1,NJ27=0),50000,0))+IF($H27=1,INDEX('calcA'!$D$180:$EQ$219,$B27,124)*4000,0)-IF(AND('calcA'!DV$117=1,YT27&gt;0),2000,0)-IF(AND($U27=1,'calcA'!DW$117=1,HV27=0),2000,0))),1000000000))</f>
        <v/>
      </c>
      <c r="SZ27">
        <f>IF($B27=0,1000000000,IF(INDEX('calcA'!$D$60:$EQ$99,$B27,125)*IF($W27=1,HV27+AEK27,HV27)=1,IF(AND($E27=2,IF($W27=1,AJZ27,NK27)=0),1000000000,IF($V27=1,INDEX('calcA'!$D$130:$EQ$169,$B27,125)+IF(AND($E27=1,NK27=0),25,0),IF($F27&gt;0,INDEX('calcA'!DX$110:DX$114,$F27+1)+IF(AND($E27=1,NK27=0),1000,0),MIN(TZ27,20)*400+(IF('calcA'!DW$106=1,1-HU27,0)+IF('calcA'!DX$106=1,1-HW27,0))*150+56+'calcA'!DX$5*100000+IF(AND($E27=1,NK27=0),50000,0))+IF($H27=1,INDEX('calcA'!$D$180:$EQ$219,$B27,125)*4000,0)-IF(AND('calcA'!DW$117=1,YU27&gt;0),2000,0)-IF(AND($U27=1,'calcA'!DX$117=1,HW27=0),2000,0))),1000000000))</f>
        <v/>
      </c>
      <c r="TA27">
        <f>IF($B27=0,1000000000,IF(INDEX('calcA'!$D$60:$EQ$99,$B27,126)*IF($W27=1,HW27+AEL27,HW27)=1,IF(AND($E27=2,IF($W27=1,AKA27,NL27)=0),1000000000,IF($V27=1,INDEX('calcA'!$D$130:$EQ$169,$B27,126)+IF(AND($E27=1,NL27=0),25,0),IF($F27&gt;0,INDEX('calcA'!DY$110:DY$114,$F27+1)+IF(AND($E27=1,NL27=0),1000,0),MIN(TZ27,20)*400+(IF('calcA'!DX$106=1,1-HV27,0)+IF('calcA'!DY$106=1,1-HX27,0))*150+66+'calcA'!DY$5*100000+IF(AND($E27=1,NL27=0),50000,0))+IF($H27=1,INDEX('calcA'!$D$180:$EQ$219,$B27,126)*4000,0)-IF(AND('calcA'!DX$117=1,YV27&gt;0),2000,0)-IF(AND($U27=1,'calcA'!DY$117=1,HX27=0),2000,0))),1000000000))</f>
        <v/>
      </c>
      <c r="TB27">
        <f>IF($B27=0,1000000000,IF(INDEX('calcA'!$D$60:$EQ$99,$B27,127)*IF($W27=1,HX27+AEM27,HX27)=1,IF(AND($E27=2,IF($W27=1,AKB27,NM27)=0),1000000000,IF($V27=1,INDEX('calcA'!$D$130:$EQ$169,$B27,127)+IF(AND($E27=1,NM27=0),25,0),IF($F27&gt;0,INDEX('calcA'!DZ$110:DZ$114,$F27+1)+IF(AND($E27=1,NM27=0),1000,0),MIN(TZ27,20)*400+(IF('calcA'!DY$106=1,1-HW27,0)+IF('calcA'!DZ$106=1,1-HY27,0))*150+76+'calcA'!DZ$5*100000+IF(AND($E27=1,NM27=0),50000,0))+IF($H27=1,INDEX('calcA'!$D$180:$EQ$219,$B27,127)*4000,0)-IF(AND('calcA'!DY$117=1,YW27&gt;0),2000,0)-IF(AND($U27=1,'calcA'!DZ$117=1,HY27=0),2000,0))),1000000000))</f>
        <v/>
      </c>
      <c r="TC27">
        <f>IF($B27=0,1000000000,IF(INDEX('calcA'!$D$60:$EQ$99,$B27,128)*IF($W27=1,HY27+AEN27,HY27)=1,IF(AND($E27=2,IF($W27=1,AKC27,NN27)=0),1000000000,IF($V27=1,INDEX('calcA'!$D$130:$EQ$169,$B27,128)+IF(AND($E27=1,NN27=0),25,0),IF($F27&gt;0,INDEX('calcA'!EA$110:EA$114,$F27+1)+IF(AND($E27=1,NN27=0),1000,0),MIN(TZ27,20)*400+(IF('calcA'!DZ$106=1,1-HX27,0)+IF('calcA'!EA$106=1,1-HZ27,0))*150+86+'calcA'!EA$5*100000+IF(AND($E27=1,NN27=0),50000,0))+IF($H27=1,INDEX('calcA'!$D$180:$EQ$219,$B27,128)*4000,0)-IF(AND('calcA'!DZ$117=1,YX27&gt;0),2000,0)-IF(AND($U27=1,'calcA'!EA$117=1,HZ27=0),2000,0))),1000000000))</f>
        <v/>
      </c>
      <c r="TD27">
        <f>IF($B27=0,1000000000,IF(INDEX('calcA'!$D$60:$EQ$99,$B27,129)*IF($W27=1,HZ27+AEO27,HZ27)=1,IF(AND($E27=2,IF($W27=1,AKD27,NO27)=0),1000000000,IF($V27=1,INDEX('calcA'!$D$130:$EQ$169,$B27,129)+IF(AND($E27=1,NO27=0),25,0),IF($F27&gt;0,INDEX('calcA'!EB$110:EB$114,$F27+1)+IF(AND($E27=1,NO27=0),1000,0),MIN(TZ27,20)*400+(IF('calcA'!EA$106=1,1-HY27,0)+IF('calcA'!EB$106=1,1-IA27,0))*150+96+'calcA'!EB$5*100000+IF(AND($E27=1,NO27=0),50000,0))+IF($H27=1,INDEX('calcA'!$D$180:$EQ$219,$B27,129)*4000,0)-IF(AND('calcA'!EA$117=1,YY27&gt;0),2000,0)-IF(AND($U27=1,'calcA'!EB$117=1,IA27=0),2000,0))),1000000000))</f>
        <v/>
      </c>
      <c r="TE27">
        <f>IF($B27=0,1000000000,IF(INDEX('calcA'!$D$60:$EQ$99,$B27,130)*IF($W27=1,IA27+AEP27,IA27)=1,IF(AND($E27=2,IF($W27=1,AKE27,NP27)=0),1000000000,IF($V27=1,INDEX('calcA'!$D$130:$EQ$169,$B27,130)+IF(AND($E27=1,NP27=0),25,0),IF($F27&gt;0,INDEX('calcA'!EC$110:EC$114,$F27+1)+IF(AND($E27=1,NP27=0),1000,0),MIN(TZ27,20)*400+(IF('calcA'!EB$106=1,1-HZ27,0)+IF('calcA'!EC$106=1,1-IB27,0))*150+106+'calcA'!EC$5*100000+IF(AND($E27=1,NP27=0),50000,0))+IF($H27=1,INDEX('calcA'!$D$180:$EQ$219,$B27,130)*4000,0)-IF(AND('calcA'!EB$117=1,YZ27&gt;0),2000,0)-IF(AND($U27=1,'calcA'!EC$117=1,IB27=0),2000,0))),1000000000))</f>
        <v/>
      </c>
      <c r="TF27">
        <f>IF($B27=0,1000000000,IF(INDEX('calcA'!$D$60:$EQ$99,$B27,131)*IF($W27=1,IB27+AEQ27,IB27)=1,IF(AND($E27=2,IF($W27=1,AKF27,NQ27)=0),1000000000,IF($V27=1,INDEX('calcA'!$D$130:$EQ$169,$B27,131)+IF(AND($E27=1,NQ27=0),25,0),IF($F27&gt;0,INDEX('calcA'!ED$110:ED$114,$F27+1)+IF(AND($E27=1,NQ27=0),1000,0),MIN(TZ27,20)*400+(IF('calcA'!EC$106=1,1-IA27,0)+IF('calcA'!ED$106=1,1-IC27,0))*150+116+'calcA'!ED$5*100000+IF(AND($E27=1,NQ27=0),50000,0))+IF($H27=1,INDEX('calcA'!$D$180:$EQ$219,$B27,131)*4000,0)-IF(AND('calcA'!EC$117=1,ZA27&gt;0),2000,0)-IF(AND($U27=1,'calcA'!ED$117=1,IC27=0),2000,0))),1000000000))</f>
        <v/>
      </c>
      <c r="TG27">
        <f>IF($B27=0,1000000000,IF(INDEX('calcA'!$D$60:$EQ$99,$B27,132)*IF($W27=1,IC27+AER27,IC27)=1,IF(AND($E27=2,IF($W27=1,AKG27,NR27)=0),1000000000,IF($V27=1,INDEX('calcA'!$D$130:$EQ$169,$B27,132)+IF(AND($E27=1,NR27=0),25,0),IF($F27&gt;0,INDEX('calcA'!EE$110:EE$114,$F27+1)+IF(AND($E27=1,NR27=0),1000,0),MIN(TZ27,20)*400+(IF('calcA'!ED$106=1,1-IB27,0)+IF('calcA'!EE$106=1,1-ID27,0))*150+126+'calcA'!EE$5*100000+IF(AND($E27=1,NR27=0),50000,0))+IF($H27=1,INDEX('calcA'!$D$180:$EQ$219,$B27,132)*4000,0)-IF(AND('calcA'!ED$117=1,ZB27&gt;0),2000,0)-IF(AND($U27=1,'calcA'!EE$117=1,ID27=0),2000,0))),1000000000))</f>
        <v/>
      </c>
      <c r="TH27">
        <f>IF($B27=0,1000000000,IF(INDEX('calcA'!$D$60:$EQ$99,$B27,133)*IF($W27=1,ID27+AES27,ID27)=1,IF(AND($E27=2,IF($W27=1,AKH27,NS27)=0),1000000000,IF($V27=1,INDEX('calcA'!$D$130:$EQ$169,$B27,133)+IF(AND($E27=1,NS27=0),25,0),IF($F27&gt;0,INDEX('calcA'!EF$110:EF$114,$F27+1)+IF(AND($E27=1,NS27=0),1000,0),MIN(TZ27,20)*400+(IF('calcA'!EE$106=1,1-IC27,0)+IF('calcA'!EF$106=1,1-IE27,0))*150+136+'calcA'!EF$5*100000+IF(AND($E27=1,NS27=0),50000,0))+IF($H27=1,INDEX('calcA'!$D$180:$EQ$219,$B27,133)*4000,0)-IF(AND('calcA'!EE$117=1,ZC27&gt;0),2000,0)-IF(AND($U27=1,'calcA'!EF$117=1,IE27=0),2000,0))),1000000000))</f>
        <v/>
      </c>
      <c r="TI27">
        <f>IF($B27=0,1000000000,IF(INDEX('calcA'!$D$60:$EQ$99,$B27,134)*IF($W27=1,IE27+AET27,IE27)=1,IF(AND($E27=2,IF($W27=1,AKI27,NT27)=0),1000000000,IF($V27=1,INDEX('calcA'!$D$130:$EQ$169,$B27,134)+IF(AND($E27=1,NT27=0),25,0),IF($F27&gt;0,INDEX('calcA'!EG$110:EG$114,$F27+1)+IF(AND($E27=1,NT27=0),1000,0),MIN(TZ27,20)*400+(IF('calcA'!EF$106=1,1-ID27,0)+IF('calcA'!EG$106=1,1-IF27,0))*150+146+'calcA'!EG$5*100000+IF(AND($E27=1,NT27=0),50000,0))+IF($H27=1,INDEX('calcA'!$D$180:$EQ$219,$B27,134)*4000,0)-IF(AND('calcA'!EF$117=1,ZD27&gt;0),2000,0)-IF(AND($U27=1,'calcA'!EG$117=1,IF27=0),2000,0))),1000000000))</f>
        <v/>
      </c>
      <c r="TJ27">
        <f>IF($B27=0,1000000000,IF(INDEX('calcA'!$D$60:$EQ$99,$B27,135)*IF($W27=1,IF27+AEU27,IF27)=1,IF(AND($E27=2,IF($W27=1,AKJ27,NU27)=0),1000000000,IF($V27=1,INDEX('calcA'!$D$130:$EQ$169,$B27,135)+IF(AND($E27=1,NU27=0),25,0),IF($F27&gt;0,INDEX('calcA'!EH$110:EH$114,$F27+1)+IF(AND($E27=1,NU27=0),1000,0),MIN(TZ27,20)*400+(IF('calcA'!EG$106=1,1-IE27,0)+IF('calcA'!EH$106=1,1-IG27,0))*150+156+'calcA'!EH$5*100000+IF(AND($E27=1,NU27=0),50000,0))+IF($H27=1,INDEX('calcA'!$D$180:$EQ$219,$B27,135)*4000,0)-IF(AND('calcA'!EG$117=1,ZE27&gt;0),2000,0)-IF(AND($U27=1,'calcA'!EH$117=1,IG27=0),2000,0))),1000000000))</f>
        <v/>
      </c>
      <c r="TK27">
        <f>IF($B27=0,1000000000,IF(INDEX('calcA'!$D$60:$EQ$99,$B27,136)*IF($W27=1,IG27+AEV27,IG27)=1,IF(AND($E27=2,IF($W27=1,AKK27,NV27)=0),1000000000,IF($V27=1,INDEX('calcA'!$D$130:$EQ$169,$B27,136)+IF(AND($E27=1,NV27=0),25,0),IF($F27&gt;0,INDEX('calcA'!EI$110:EI$114,$F27+1)+IF(AND($E27=1,NV27=0),1000,0),MIN(TZ27,20)*400+(IF('calcA'!EH$106=1,1-IF27,0)+IF('calcA'!EI$106=1,1-IH27,0))*150+166+'calcA'!EI$5*100000+IF(AND($E27=1,NV27=0),50000,0))+IF($H27=1,INDEX('calcA'!$D$180:$EQ$219,$B27,136)*4000,0)-IF(AND('calcA'!EH$117=1,ZF27&gt;0),2000,0)-IF(AND($U27=1,'calcA'!EI$117=1,IH27=0),2000,0))),1000000000))</f>
        <v/>
      </c>
      <c r="TL27">
        <f>IF($B27=0,1000000000,IF(INDEX('calcA'!$D$60:$EQ$99,$B27,137)*IF($W27=1,IH27+AEW27,IH27)=1,IF(AND($E27=2,IF($W27=1,AKL27,NW27)=0),1000000000,IF($V27=1,INDEX('calcA'!$D$130:$EQ$169,$B27,137)+IF(AND($E27=1,NW27=0),25,0),IF($F27&gt;0,INDEX('calcA'!EJ$110:EJ$114,$F27+1)+IF(AND($E27=1,NW27=0),1000,0),MIN(TZ27,20)*400+(IF('calcA'!EI$106=1,1-IG27,0)+IF('calcA'!EJ$106=1,1-II27,0))*150+176+'calcA'!EJ$5*100000+IF(AND($E27=1,NW27=0),50000,0))+IF($H27=1,INDEX('calcA'!$D$180:$EQ$219,$B27,137)*4000,0)-IF(AND('calcA'!EI$117=1,ZG27&gt;0),2000,0)-IF(AND($U27=1,'calcA'!EJ$117=1,II27=0),2000,0))),1000000000))</f>
        <v/>
      </c>
      <c r="TM27">
        <f>IF($B27=0,1000000000,IF(INDEX('calcA'!$D$60:$EQ$99,$B27,138)*IF($W27=1,II27+AEX27,II27)=1,IF(AND($E27=2,IF($W27=1,AKM27,NX27)=0),1000000000,IF($V27=1,INDEX('calcA'!$D$130:$EQ$169,$B27,138)+IF(AND($E27=1,NX27=0),25,0),IF($F27&gt;0,INDEX('calcA'!EK$110:EK$114,$F27+1)+IF(AND($E27=1,NX27=0),1000,0),MIN(TZ27,20)*400+(IF('calcA'!EJ$106=1,1-IH27,0)+IF('calcA'!EK$106=1,1-IJ27,0))*150+186+'calcA'!EK$5*100000+IF(AND($E27=1,NX27=0),50000,0))+IF($H27=1,INDEX('calcA'!$D$180:$EQ$219,$B27,138)*4000,0)-IF(AND('calcA'!EJ$117=1,ZH27&gt;0),2000,0)-IF(AND($U27=1,'calcA'!EK$117=1,IJ27=0),2000,0))),1000000000))</f>
        <v/>
      </c>
      <c r="TN27">
        <f>IF($B27=0,1000000000,IF(INDEX('calcA'!$D$60:$EQ$99,$B27,139)*IF($W27=1,IJ27+AEY27,IJ27)=1,IF(AND($E27=2,IF($W27=1,AKN27,NY27)=0),1000000000,IF($V27=1,INDEX('calcA'!$D$130:$EQ$169,$B27,139)+IF(AND($E27=1,NY27=0),25,0),IF($F27&gt;0,INDEX('calcA'!EL$110:EL$114,$F27+1)+IF(AND($E27=1,NY27=0),1000,0),MIN(TZ27,20)*400+(IF('calcA'!EK$106=1,1-II27,0)+IF('calcA'!EL$106=1,1-IK27,0))*150+196+'calcA'!EL$5*100000+IF(AND($E27=1,NY27=0),50000,0))+IF($H27=1,INDEX('calcA'!$D$180:$EQ$219,$B27,139)*4000,0)-IF(AND('calcA'!EK$117=1,ZI27&gt;0),2000,0)-IF(AND($U27=1,'calcA'!EL$117=1,IK27=0),2000,0))),1000000000))</f>
        <v/>
      </c>
      <c r="TO27">
        <f>IF($B27=0,1000000000,IF(INDEX('calcA'!$D$60:$EQ$99,$B27,140)*IF($W27=1,IK27+AEZ27,IK27)=1,IF(AND($E27=2,IF($W27=1,AKO27,NZ27)=0),1000000000,IF($V27=1,INDEX('calcA'!$D$130:$EQ$169,$B27,140)+IF(AND($E27=1,NZ27=0),25,0),IF($F27&gt;0,INDEX('calcA'!EM$110:EM$114,$F27+1)+IF(AND($E27=1,NZ27=0),1000,0),MIN(TZ27,20)*400+(IF('calcA'!EL$106=1,1-IJ27,0)+IF('calcA'!EM$106=1,1-IL27,0))*150+206+'calcA'!EM$5*100000+IF(AND($E27=1,NZ27=0),50000,0))+IF($H27=1,INDEX('calcA'!$D$180:$EQ$219,$B27,140)*4000,0)-IF(AND('calcA'!EL$117=1,ZJ27&gt;0),2000,0)-IF(AND($U27=1,'calcA'!EM$117=1,IL27=0),2000,0))),1000000000))</f>
        <v/>
      </c>
      <c r="TP27">
        <f>IF($B27=0,1000000000,IF(INDEX('calcA'!$D$60:$EQ$99,$B27,141)*IF($W27=1,IL27+AFA27,IL27)=1,IF(AND($E27=2,IF($W27=1,AKP27,OA27)=0),1000000000,IF($V27=1,INDEX('calcA'!$D$130:$EQ$169,$B27,141)+IF(AND($E27=1,OA27=0),25,0),IF($F27&gt;0,INDEX('calcA'!EN$110:EN$114,$F27+1)+IF(AND($E27=1,OA27=0),1000,0),MIN(TZ27,20)*400+(IF('calcA'!EM$106=1,1-IK27,0)+IF('calcA'!EN$106=1,1-IM27,0))*150+216+'calcA'!EN$5*100000+IF(AND($E27=1,OA27=0),50000,0))+IF($H27=1,INDEX('calcA'!$D$180:$EQ$219,$B27,141)*4000,0)-IF(AND('calcA'!EM$117=1,ZK27&gt;0),2000,0)-IF(AND($U27=1,'calcA'!EN$117=1,IM27=0),2000,0))),1000000000))</f>
        <v/>
      </c>
      <c r="TQ27">
        <f>IF($B27=0,1000000000,IF(INDEX('calcA'!$D$60:$EQ$99,$B27,142)*IF($W27=1,IM27+AFB27,IM27)=1,IF(AND($E27=2,IF($W27=1,AKQ27,OB27)=0),1000000000,IF($V27=1,INDEX('calcA'!$D$130:$EQ$169,$B27,142)+IF(AND($E27=1,OB27=0),25,0),IF($F27&gt;0,INDEX('calcA'!EO$110:EO$114,$F27+1)+IF(AND($E27=1,OB27=0),1000,0),MIN(TZ27,20)*400+(IF('calcA'!EN$106=1,1-IL27,0)+IF('calcA'!EO$106=1,1-IN27,0))*150+226+'calcA'!EO$5*100000+IF(AND($E27=1,OB27=0),50000,0))+IF($H27=1,INDEX('calcA'!$D$180:$EQ$219,$B27,142)*4000,0)-IF(AND('calcA'!EN$117=1,ZL27&gt;0),2000,0)-IF(AND($U27=1,'calcA'!EO$117=1,IN27=0),2000,0))),1000000000))</f>
        <v/>
      </c>
      <c r="TR27">
        <f>IF($B27=0,1000000000,IF(INDEX('calcA'!$D$60:$EQ$99,$B27,143)*IF($W27=1,IN27+AFC27,IN27)=1,IF(AND($E27=2,IF($W27=1,AKR27,OC27)=0),1000000000,IF($V27=1,INDEX('calcA'!$D$130:$EQ$169,$B27,143)+IF(AND($E27=1,OC27=0),25,0),IF($F27&gt;0,INDEX('calcA'!EP$110:EP$114,$F27+1)+IF(AND($E27=1,OC27=0),1000,0),MIN(TZ27,20)*400+(IF('calcA'!EO$106=1,1-IM27,0)+IF('calcA'!EP$106=1,1-IO27,0))*150+236+'calcA'!EP$5*100000+IF(AND($E27=1,OC27=0),50000,0))+IF($H27=1,INDEX('calcA'!$D$180:$EQ$219,$B27,143)*4000,0)-IF(AND('calcA'!EO$117=1,ZM27&gt;0),2000,0)-IF(AND($U27=1,'calcA'!EP$117=1,IO27=0),2000,0))),1000000000))</f>
        <v/>
      </c>
      <c r="TS27">
        <f>IF($B27=0,1000000000,IF(INDEX('calcA'!$D$60:$EQ$99,$B27,144)*IF($W27=1,IO27+AFD27,IO27)=1,IF(AND($E27=2,IF($W27=1,AKS27,OD27)=0),1000000000,IF($V27=1,INDEX('calcA'!$D$130:$EQ$169,$B27,144)+IF(AND($E27=1,OD27=0),25,0),IF($F27&gt;0,INDEX('calcA'!EQ$110:EQ$114,$F27+1)+IF(AND($E27=1,OD27=0),1000,0),MIN(TZ27,20)*400+(IF('calcA'!EP$106=1,1-IN27,0))*150+246+'calcA'!EQ$5*100000+IF(AND($E27=1,OD27=0),50000,0))+IF($H27=1,INDEX('calcA'!$D$180:$EQ$219,$B27,144)*4000,0)-IF(AND('calcA'!EP$117=1,ZN27&gt;0),2000,0))),1000000000))</f>
        <v/>
      </c>
      <c r="TU27">
        <f>TU26+IF($C26&gt;0,IF(INDEX('calcA'!$D$2:$EQ$2,$C26)=1,1,0),0)</f>
        <v/>
      </c>
      <c r="TV27">
        <f>TV26+IF($C26&gt;0,IF(INDEX('calcA'!$D$2:$EQ$2,$C26)=2,1,0),0)</f>
        <v/>
      </c>
      <c r="TW27">
        <f>TW26+IF($C26&gt;0,IF(INDEX('calcA'!$D$2:$EQ$2,$C26)=3,1,0),0)</f>
        <v/>
      </c>
      <c r="TX27">
        <f>TX26+IF($C26&gt;0,IF(INDEX('calcA'!$D$2:$EQ$2,$C26)=4,1,0),0)</f>
        <v/>
      </c>
      <c r="TY27">
        <f>TY26+IF($C26&gt;0,IF(INDEX('calcA'!$D$2:$EQ$2,$C26)=5,1,0),0)</f>
        <v/>
      </c>
      <c r="TZ27">
        <f>TZ26+IF($C26&gt;0,IF(INDEX('calcA'!$D$2:$EQ$2,$C26)=6,1,0),0)</f>
        <v/>
      </c>
      <c r="UB27">
        <f>UB26+IF(AND($C26=1,$U26=1),1,0)</f>
        <v/>
      </c>
      <c r="UC27">
        <f>UC26+IF(AND($C26=2,$U26=1),1,0)</f>
        <v/>
      </c>
      <c r="UD27">
        <f>UD26+IF(AND($C26=3,$U26=1),1,0)</f>
        <v/>
      </c>
      <c r="UE27">
        <f>UE26+IF(AND($C26=4,$U26=1),1,0)</f>
        <v/>
      </c>
      <c r="UF27">
        <f>UF26+IF(AND($C26=5,$U26=1),1,0)</f>
        <v/>
      </c>
      <c r="UG27">
        <f>UG26+IF(AND($C26=6,$U26=1),1,0)</f>
        <v/>
      </c>
      <c r="UH27">
        <f>UH26+IF(AND($C26=7,$U26=1),1,0)</f>
        <v/>
      </c>
      <c r="UI27">
        <f>UI26+IF(AND($C26=8,$U26=1),1,0)</f>
        <v/>
      </c>
      <c r="UJ27">
        <f>UJ26+IF(AND($C26=9,$U26=1),1,0)</f>
        <v/>
      </c>
      <c r="UK27">
        <f>UK26+IF(AND($C26=10,$U26=1),1,0)</f>
        <v/>
      </c>
      <c r="UL27">
        <f>UL26+IF(AND($C26=11,$U26=1),1,0)</f>
        <v/>
      </c>
      <c r="UM27">
        <f>UM26+IF(AND($C26=12,$U26=1),1,0)</f>
        <v/>
      </c>
      <c r="UN27">
        <f>UN26+IF(AND($C26=13,$U26=1),1,0)</f>
        <v/>
      </c>
      <c r="UO27">
        <f>UO26+IF(AND($C26=14,$U26=1),1,0)</f>
        <v/>
      </c>
      <c r="UP27">
        <f>UP26+IF(AND($C26=15,$U26=1),1,0)</f>
        <v/>
      </c>
      <c r="UQ27">
        <f>UQ26+IF(AND($C26=16,$U26=1),1,0)</f>
        <v/>
      </c>
      <c r="UR27">
        <f>UR26+IF(AND($C26=17,$U26=1),1,0)</f>
        <v/>
      </c>
      <c r="US27">
        <f>US26+IF(AND($C26=18,$U26=1),1,0)</f>
        <v/>
      </c>
      <c r="UT27">
        <f>UT26+IF(AND($C26=19,$U26=1),1,0)</f>
        <v/>
      </c>
      <c r="UU27">
        <f>UU26+IF(AND($C26=20,$U26=1),1,0)</f>
        <v/>
      </c>
      <c r="UV27">
        <f>UV26+IF(AND($C26=21,$U26=1),1,0)</f>
        <v/>
      </c>
      <c r="UW27">
        <f>UW26+IF(AND($C26=22,$U26=1),1,0)</f>
        <v/>
      </c>
      <c r="UX27">
        <f>UX26+IF(AND($C26=23,$U26=1),1,0)</f>
        <v/>
      </c>
      <c r="UY27">
        <f>UY26+IF(AND($C26=24,$U26=1),1,0)</f>
        <v/>
      </c>
      <c r="UZ27">
        <f>UZ26+IF(AND($C26=25,$U26=1),1,0)</f>
        <v/>
      </c>
      <c r="VA27">
        <f>VA26+IF(AND($C26=26,$U26=1),1,0)</f>
        <v/>
      </c>
      <c r="VB27">
        <f>VB26+IF(AND($C26=27,$U26=1),1,0)</f>
        <v/>
      </c>
      <c r="VC27">
        <f>VC26+IF(AND($C26=28,$U26=1),1,0)</f>
        <v/>
      </c>
      <c r="VD27">
        <f>VD26+IF(AND($C26=29,$U26=1),1,0)</f>
        <v/>
      </c>
      <c r="VE27">
        <f>VE26+IF(AND($C26=30,$U26=1),1,0)</f>
        <v/>
      </c>
      <c r="VF27">
        <f>VF26+IF(AND($C26=31,$U26=1),1,0)</f>
        <v/>
      </c>
      <c r="VG27">
        <f>VG26+IF(AND($C26=32,$U26=1),1,0)</f>
        <v/>
      </c>
      <c r="VH27">
        <f>VH26+IF(AND($C26=33,$U26=1),1,0)</f>
        <v/>
      </c>
      <c r="VI27">
        <f>VI26+IF(AND($C26=34,$U26=1),1,0)</f>
        <v/>
      </c>
      <c r="VJ27">
        <f>VJ26+IF(AND($C26=35,$U26=1),1,0)</f>
        <v/>
      </c>
      <c r="VK27">
        <f>VK26+IF(AND($C26=36,$U26=1),1,0)</f>
        <v/>
      </c>
      <c r="VL27">
        <f>VL26+IF(AND($C26=37,$U26=1),1,0)</f>
        <v/>
      </c>
      <c r="VM27">
        <f>VM26+IF(AND($C26=38,$U26=1),1,0)</f>
        <v/>
      </c>
      <c r="VN27">
        <f>VN26+IF(AND($C26=39,$U26=1),1,0)</f>
        <v/>
      </c>
      <c r="VO27">
        <f>VO26+IF(AND($C26=40,$U26=1),1,0)</f>
        <v/>
      </c>
      <c r="VP27">
        <f>VP26+IF(AND($C26=41,$U26=1),1,0)</f>
        <v/>
      </c>
      <c r="VQ27">
        <f>VQ26+IF(AND($C26=42,$U26=1),1,0)</f>
        <v/>
      </c>
      <c r="VR27">
        <f>VR26+IF(AND($C26=43,$U26=1),1,0)</f>
        <v/>
      </c>
      <c r="VS27">
        <f>VS26+IF(AND($C26=44,$U26=1),1,0)</f>
        <v/>
      </c>
      <c r="VT27">
        <f>VT26+IF(AND($C26=45,$U26=1),1,0)</f>
        <v/>
      </c>
      <c r="VU27">
        <f>VU26+IF(AND($C26=46,$U26=1),1,0)</f>
        <v/>
      </c>
      <c r="VV27">
        <f>VV26+IF(AND($C26=47,$U26=1),1,0)</f>
        <v/>
      </c>
      <c r="VW27">
        <f>VW26+IF(AND($C26=48,$U26=1),1,0)</f>
        <v/>
      </c>
      <c r="VX27">
        <f>VX26+IF(AND($C26=49,$U26=1),1,0)</f>
        <v/>
      </c>
      <c r="VY27">
        <f>VY26+IF(AND($C26=50,$U26=1),1,0)</f>
        <v/>
      </c>
      <c r="VZ27">
        <f>VZ26+IF(AND($C26=51,$U26=1),1,0)</f>
        <v/>
      </c>
      <c r="WA27">
        <f>WA26+IF(AND($C26=52,$U26=1),1,0)</f>
        <v/>
      </c>
      <c r="WB27">
        <f>WB26+IF(AND($C26=53,$U26=1),1,0)</f>
        <v/>
      </c>
      <c r="WC27">
        <f>WC26+IF(AND($C26=54,$U26=1),1,0)</f>
        <v/>
      </c>
      <c r="WD27">
        <f>WD26+IF(AND($C26=55,$U26=1),1,0)</f>
        <v/>
      </c>
      <c r="WE27">
        <f>WE26+IF(AND($C26=56,$U26=1),1,0)</f>
        <v/>
      </c>
      <c r="WF27">
        <f>WF26+IF(AND($C26=57,$U26=1),1,0)</f>
        <v/>
      </c>
      <c r="WG27">
        <f>WG26+IF(AND($C26=58,$U26=1),1,0)</f>
        <v/>
      </c>
      <c r="WH27">
        <f>WH26+IF(AND($C26=59,$U26=1),1,0)</f>
        <v/>
      </c>
      <c r="WI27">
        <f>WI26+IF(AND($C26=60,$U26=1),1,0)</f>
        <v/>
      </c>
      <c r="WJ27">
        <f>WJ26+IF(AND($C26=61,$U26=1),1,0)</f>
        <v/>
      </c>
      <c r="WK27">
        <f>WK26+IF(AND($C26=62,$U26=1),1,0)</f>
        <v/>
      </c>
      <c r="WL27">
        <f>WL26+IF(AND($C26=63,$U26=1),1,0)</f>
        <v/>
      </c>
      <c r="WM27">
        <f>WM26+IF(AND($C26=64,$U26=1),1,0)</f>
        <v/>
      </c>
      <c r="WN27">
        <f>WN26+IF(AND($C26=65,$U26=1),1,0)</f>
        <v/>
      </c>
      <c r="WO27">
        <f>WO26+IF(AND($C26=66,$U26=1),1,0)</f>
        <v/>
      </c>
      <c r="WP27">
        <f>WP26+IF(AND($C26=67,$U26=1),1,0)</f>
        <v/>
      </c>
      <c r="WQ27">
        <f>WQ26+IF(AND($C26=68,$U26=1),1,0)</f>
        <v/>
      </c>
      <c r="WR27">
        <f>WR26+IF(AND($C26=69,$U26=1),1,0)</f>
        <v/>
      </c>
      <c r="WS27">
        <f>WS26+IF(AND($C26=70,$U26=1),1,0)</f>
        <v/>
      </c>
      <c r="WT27">
        <f>WT26+IF(AND($C26=71,$U26=1),1,0)</f>
        <v/>
      </c>
      <c r="WU27">
        <f>WU26+IF(AND($C26=72,$U26=1),1,0)</f>
        <v/>
      </c>
      <c r="WV27">
        <f>WV26+IF(AND($C26=73,$U26=1),1,0)</f>
        <v/>
      </c>
      <c r="WW27">
        <f>WW26+IF(AND($C26=74,$U26=1),1,0)</f>
        <v/>
      </c>
      <c r="WX27">
        <f>WX26+IF(AND($C26=75,$U26=1),1,0)</f>
        <v/>
      </c>
      <c r="WY27">
        <f>WY26+IF(AND($C26=76,$U26=1),1,0)</f>
        <v/>
      </c>
      <c r="WZ27">
        <f>WZ26+IF(AND($C26=77,$U26=1),1,0)</f>
        <v/>
      </c>
      <c r="XA27">
        <f>XA26+IF(AND($C26=78,$U26=1),1,0)</f>
        <v/>
      </c>
      <c r="XB27">
        <f>XB26+IF(AND($C26=79,$U26=1),1,0)</f>
        <v/>
      </c>
      <c r="XC27">
        <f>XC26+IF(AND($C26=80,$U26=1),1,0)</f>
        <v/>
      </c>
      <c r="XD27">
        <f>XD26+IF(AND($C26=81,$U26=1),1,0)</f>
        <v/>
      </c>
      <c r="XE27">
        <f>XE26+IF(AND($C26=82,$U26=1),1,0)</f>
        <v/>
      </c>
      <c r="XF27">
        <f>XF26+IF(AND($C26=83,$U26=1),1,0)</f>
        <v/>
      </c>
      <c r="XG27">
        <f>XG26+IF(AND($C26=84,$U26=1),1,0)</f>
        <v/>
      </c>
      <c r="XH27">
        <f>XH26+IF(AND($C26=85,$U26=1),1,0)</f>
        <v/>
      </c>
      <c r="XI27">
        <f>XI26+IF(AND($C26=86,$U26=1),1,0)</f>
        <v/>
      </c>
      <c r="XJ27">
        <f>XJ26+IF(AND($C26=87,$U26=1),1,0)</f>
        <v/>
      </c>
      <c r="XK27">
        <f>XK26+IF(AND($C26=88,$U26=1),1,0)</f>
        <v/>
      </c>
      <c r="XL27">
        <f>XL26+IF(AND($C26=89,$U26=1),1,0)</f>
        <v/>
      </c>
      <c r="XM27">
        <f>XM26+IF(AND($C26=90,$U26=1),1,0)</f>
        <v/>
      </c>
      <c r="XN27">
        <f>XN26+IF(AND($C26=91,$U26=1),1,0)</f>
        <v/>
      </c>
      <c r="XO27">
        <f>XO26+IF(AND($C26=92,$U26=1),1,0)</f>
        <v/>
      </c>
      <c r="XP27">
        <f>XP26+IF(AND($C26=93,$U26=1),1,0)</f>
        <v/>
      </c>
      <c r="XQ27">
        <f>XQ26+IF(AND($C26=94,$U26=1),1,0)</f>
        <v/>
      </c>
      <c r="XR27">
        <f>XR26+IF(AND($C26=95,$U26=1),1,0)</f>
        <v/>
      </c>
      <c r="XS27">
        <f>XS26+IF(AND($C26=96,$U26=1),1,0)</f>
        <v/>
      </c>
      <c r="XT27">
        <f>XT26+IF(AND($C26=97,$U26=1),1,0)</f>
        <v/>
      </c>
      <c r="XU27">
        <f>XU26+IF(AND($C26=98,$U26=1),1,0)</f>
        <v/>
      </c>
      <c r="XV27">
        <f>XV26+IF(AND($C26=99,$U26=1),1,0)</f>
        <v/>
      </c>
      <c r="XW27">
        <f>XW26+IF(AND($C26=100,$U26=1),1,0)</f>
        <v/>
      </c>
      <c r="XX27">
        <f>XX26+IF(AND($C26=101,$U26=1),1,0)</f>
        <v/>
      </c>
      <c r="XY27">
        <f>XY26+IF(AND($C26=102,$U26=1),1,0)</f>
        <v/>
      </c>
      <c r="XZ27">
        <f>XZ26+IF(AND($C26=103,$U26=1),1,0)</f>
        <v/>
      </c>
      <c r="YA27">
        <f>YA26+IF(AND($C26=104,$U26=1),1,0)</f>
        <v/>
      </c>
      <c r="YB27">
        <f>YB26+IF(AND($C26=105,$U26=1),1,0)</f>
        <v/>
      </c>
      <c r="YC27">
        <f>YC26+IF(AND($C26=106,$U26=1),1,0)</f>
        <v/>
      </c>
      <c r="YD27">
        <f>YD26+IF(AND($C26=107,$U26=1),1,0)</f>
        <v/>
      </c>
      <c r="YE27">
        <f>YE26+IF(AND($C26=108,$U26=1),1,0)</f>
        <v/>
      </c>
      <c r="YF27">
        <f>YF26+IF(AND($C26=109,$U26=1),1,0)</f>
        <v/>
      </c>
      <c r="YG27">
        <f>YG26+IF(AND($C26=110,$U26=1),1,0)</f>
        <v/>
      </c>
      <c r="YH27">
        <f>YH26+IF(AND($C26=111,$U26=1),1,0)</f>
        <v/>
      </c>
      <c r="YI27">
        <f>YI26+IF(AND($C26=112,$U26=1),1,0)</f>
        <v/>
      </c>
      <c r="YJ27">
        <f>YJ26+IF(AND($C26=113,$U26=1),1,0)</f>
        <v/>
      </c>
      <c r="YK27">
        <f>YK26+IF(AND($C26=114,$U26=1),1,0)</f>
        <v/>
      </c>
      <c r="YL27">
        <f>YL26+IF(AND($C26=115,$U26=1),1,0)</f>
        <v/>
      </c>
      <c r="YM27">
        <f>YM26+IF(AND($C26=116,$U26=1),1,0)</f>
        <v/>
      </c>
      <c r="YN27">
        <f>YN26+IF(AND($C26=117,$U26=1),1,0)</f>
        <v/>
      </c>
      <c r="YO27">
        <f>YO26+IF(AND($C26=118,$U26=1),1,0)</f>
        <v/>
      </c>
      <c r="YP27">
        <f>YP26+IF(AND($C26=119,$U26=1),1,0)</f>
        <v/>
      </c>
      <c r="YQ27">
        <f>YQ26+IF(AND($C26=120,$U26=1),1,0)</f>
        <v/>
      </c>
      <c r="YR27">
        <f>YR26+IF(AND($C26=121,$U26=1),1,0)</f>
        <v/>
      </c>
      <c r="YS27">
        <f>YS26+IF(AND($C26=122,$U26=1),1,0)</f>
        <v/>
      </c>
      <c r="YT27">
        <f>YT26+IF(AND($C26=123,$U26=1),1,0)</f>
        <v/>
      </c>
      <c r="YU27">
        <f>YU26+IF(AND($C26=124,$U26=1),1,0)</f>
        <v/>
      </c>
      <c r="YV27">
        <f>YV26+IF(AND($C26=125,$U26=1),1,0)</f>
        <v/>
      </c>
      <c r="YW27">
        <f>YW26+IF(AND($C26=126,$U26=1),1,0)</f>
        <v/>
      </c>
      <c r="YX27">
        <f>YX26+IF(AND($C26=127,$U26=1),1,0)</f>
        <v/>
      </c>
      <c r="YY27">
        <f>YY26+IF(AND($C26=128,$U26=1),1,0)</f>
        <v/>
      </c>
      <c r="YZ27">
        <f>YZ26+IF(AND($C26=129,$U26=1),1,0)</f>
        <v/>
      </c>
      <c r="ZA27">
        <f>ZA26+IF(AND($C26=130,$U26=1),1,0)</f>
        <v/>
      </c>
      <c r="ZB27">
        <f>ZB26+IF(AND($C26=131,$U26=1),1,0)</f>
        <v/>
      </c>
      <c r="ZC27">
        <f>ZC26+IF(AND($C26=132,$U26=1),1,0)</f>
        <v/>
      </c>
      <c r="ZD27">
        <f>ZD26+IF(AND($C26=133,$U26=1),1,0)</f>
        <v/>
      </c>
      <c r="ZE27">
        <f>ZE26+IF(AND($C26=134,$U26=1),1,0)</f>
        <v/>
      </c>
      <c r="ZF27">
        <f>ZF26+IF(AND($C26=135,$U26=1),1,0)</f>
        <v/>
      </c>
      <c r="ZG27">
        <f>ZG26+IF(AND($C26=136,$U26=1),1,0)</f>
        <v/>
      </c>
      <c r="ZH27">
        <f>ZH26+IF(AND($C26=137,$U26=1),1,0)</f>
        <v/>
      </c>
      <c r="ZI27">
        <f>ZI26+IF(AND($C26=138,$U26=1),1,0)</f>
        <v/>
      </c>
      <c r="ZJ27">
        <f>ZJ26+IF(AND($C26=139,$U26=1),1,0)</f>
        <v/>
      </c>
      <c r="ZK27">
        <f>ZK26+IF(AND($C26=140,$U26=1),1,0)</f>
        <v/>
      </c>
      <c r="ZL27">
        <f>ZL26+IF(AND($C26=141,$U26=1),1,0)</f>
        <v/>
      </c>
      <c r="ZM27">
        <f>ZM26+IF(AND($C26=142,$U26=1),1,0)</f>
        <v/>
      </c>
      <c r="ZN27">
        <f>ZN26+IF(AND($C26=143,$U26=1),1,0)</f>
        <v/>
      </c>
      <c r="ZO27">
        <f>ZO26+IF(AND($C26=144,$U26=1),1,0)</f>
        <v/>
      </c>
      <c r="ZQ27">
        <f>IF($C26=1,0,ZQ26+IF(AND($G26=1,$E26=1),1,0))</f>
        <v/>
      </c>
      <c r="ZR27">
        <f>IF($C26=2,0,ZR26+IF(AND($G26=2,$E26=1),1,0))</f>
        <v/>
      </c>
      <c r="ZS27">
        <f>IF($C26=3,0,ZS26+IF(AND($G26=3,$E26=1),1,0))</f>
        <v/>
      </c>
      <c r="ZT27">
        <f>IF($C26=4,0,ZT26+IF(AND($G26=4,$E26=1),1,0))</f>
        <v/>
      </c>
      <c r="ZU27">
        <f>IF($C26=5,0,ZU26+IF(AND($G26=5,$E26=1),1,0))</f>
        <v/>
      </c>
      <c r="ZV27">
        <f>IF($C26=6,0,ZV26+IF(AND($G26=6,$E26=1),1,0))</f>
        <v/>
      </c>
      <c r="ZW27">
        <f>IF($C26=7,0,ZW26+IF(AND($G26=7,$E26=1),1,0))</f>
        <v/>
      </c>
      <c r="ZX27">
        <f>IF($C26=8,0,ZX26+IF(AND($G26=8,$E26=1),1,0))</f>
        <v/>
      </c>
      <c r="ZY27">
        <f>IF($C26=9,0,ZY26+IF(AND($G26=9,$E26=1),1,0))</f>
        <v/>
      </c>
      <c r="ZZ27">
        <f>IF($C26=10,0,ZZ26+IF(AND($G26=10,$E26=1),1,0))</f>
        <v/>
      </c>
      <c r="AAA27">
        <f>IF($C26=11,0,AAA26+IF(AND($G26=11,$E26=1),1,0))</f>
        <v/>
      </c>
      <c r="AAB27">
        <f>IF($C26=12,0,AAB26+IF(AND($G26=12,$E26=1),1,0))</f>
        <v/>
      </c>
      <c r="AAC27">
        <f>IF($C26=13,0,AAC26+IF(AND($G26=13,$E26=1),1,0))</f>
        <v/>
      </c>
      <c r="AAD27">
        <f>IF($C26=14,0,AAD26+IF(AND($G26=14,$E26=1),1,0))</f>
        <v/>
      </c>
      <c r="AAE27">
        <f>IF($C26=15,0,AAE26+IF(AND($G26=15,$E26=1),1,0))</f>
        <v/>
      </c>
      <c r="AAF27">
        <f>IF($C26=16,0,AAF26+IF(AND($G26=16,$E26=1),1,0))</f>
        <v/>
      </c>
      <c r="AAG27">
        <f>IF($C26=17,0,AAG26+IF(AND($G26=17,$E26=1),1,0))</f>
        <v/>
      </c>
      <c r="AAH27">
        <f>IF($C26=18,0,AAH26+IF(AND($G26=18,$E26=1),1,0))</f>
        <v/>
      </c>
      <c r="AAI27">
        <f>IF($C26=19,0,AAI26+IF(AND($G26=19,$E26=1),1,0))</f>
        <v/>
      </c>
      <c r="AAJ27">
        <f>IF($C26=20,0,AAJ26+IF(AND($G26=20,$E26=1),1,0))</f>
        <v/>
      </c>
      <c r="AAK27">
        <f>IF($C26=21,0,AAK26+IF(AND($G26=21,$E26=1),1,0))</f>
        <v/>
      </c>
      <c r="AAL27">
        <f>IF($C26=22,0,AAL26+IF(AND($G26=22,$E26=1),1,0))</f>
        <v/>
      </c>
      <c r="AAM27">
        <f>IF($C26=23,0,AAM26+IF(AND($G26=23,$E26=1),1,0))</f>
        <v/>
      </c>
      <c r="AAN27">
        <f>IF($C26=24,0,AAN26+IF(AND($G26=24,$E26=1),1,0))</f>
        <v/>
      </c>
      <c r="AAO27">
        <f>IF($C26=25,0,AAO26+IF(AND($G26=25,$E26=1),1,0))</f>
        <v/>
      </c>
      <c r="AAP27">
        <f>IF($C26=26,0,AAP26+IF(AND($G26=26,$E26=1),1,0))</f>
        <v/>
      </c>
      <c r="AAQ27">
        <f>IF($C26=27,0,AAQ26+IF(AND($G26=27,$E26=1),1,0))</f>
        <v/>
      </c>
      <c r="AAR27">
        <f>IF($C26=28,0,AAR26+IF(AND($G26=28,$E26=1),1,0))</f>
        <v/>
      </c>
      <c r="AAS27">
        <f>IF($C26=29,0,AAS26+IF(AND($G26=29,$E26=1),1,0))</f>
        <v/>
      </c>
      <c r="AAT27">
        <f>IF($C26=30,0,AAT26+IF(AND($G26=30,$E26=1),1,0))</f>
        <v/>
      </c>
      <c r="AAU27">
        <f>IF($C26=31,0,AAU26+IF(AND($G26=31,$E26=1),1,0))</f>
        <v/>
      </c>
      <c r="AAV27">
        <f>IF($C26=32,0,AAV26+IF(AND($G26=32,$E26=1),1,0))</f>
        <v/>
      </c>
      <c r="AAW27">
        <f>IF($C26=33,0,AAW26+IF(AND($G26=33,$E26=1),1,0))</f>
        <v/>
      </c>
      <c r="AAX27">
        <f>IF($C26=34,0,AAX26+IF(AND($G26=34,$E26=1),1,0))</f>
        <v/>
      </c>
      <c r="AAY27">
        <f>IF($C26=35,0,AAY26+IF(AND($G26=35,$E26=1),1,0))</f>
        <v/>
      </c>
      <c r="AAZ27">
        <f>IF($C26=36,0,AAZ26+IF(AND($G26=36,$E26=1),1,0))</f>
        <v/>
      </c>
      <c r="ABA27">
        <f>IF($C26=37,0,ABA26+IF(AND($G26=37,$E26=1),1,0))</f>
        <v/>
      </c>
      <c r="ABB27">
        <f>IF($C26=38,0,ABB26+IF(AND($G26=38,$E26=1),1,0))</f>
        <v/>
      </c>
      <c r="ABC27">
        <f>IF($C26=39,0,ABC26+IF(AND($G26=39,$E26=1),1,0))</f>
        <v/>
      </c>
      <c r="ABD27">
        <f>IF($C26=40,0,ABD26+IF(AND($G26=40,$E26=1),1,0))</f>
        <v/>
      </c>
      <c r="ABE27">
        <f>IF($C26=41,0,ABE26+IF(AND($G26=41,$E26=1),1,0))</f>
        <v/>
      </c>
      <c r="ABF27">
        <f>IF($C26=42,0,ABF26+IF(AND($G26=42,$E26=1),1,0))</f>
        <v/>
      </c>
      <c r="ABG27">
        <f>IF($C26=43,0,ABG26+IF(AND($G26=43,$E26=1),1,0))</f>
        <v/>
      </c>
      <c r="ABH27">
        <f>IF($C26=44,0,ABH26+IF(AND($G26=44,$E26=1),1,0))</f>
        <v/>
      </c>
      <c r="ABI27">
        <f>IF($C26=45,0,ABI26+IF(AND($G26=45,$E26=1),1,0))</f>
        <v/>
      </c>
      <c r="ABJ27">
        <f>IF($C26=46,0,ABJ26+IF(AND($G26=46,$E26=1),1,0))</f>
        <v/>
      </c>
      <c r="ABK27">
        <f>IF($C26=47,0,ABK26+IF(AND($G26=47,$E26=1),1,0))</f>
        <v/>
      </c>
      <c r="ABL27">
        <f>IF($C26=48,0,ABL26+IF(AND($G26=48,$E26=1),1,0))</f>
        <v/>
      </c>
      <c r="ABM27">
        <f>IF($C26=49,0,ABM26+IF(AND($G26=49,$E26=1),1,0))</f>
        <v/>
      </c>
      <c r="ABN27">
        <f>IF($C26=50,0,ABN26+IF(AND($G26=50,$E26=1),1,0))</f>
        <v/>
      </c>
      <c r="ABO27">
        <f>IF($C26=51,0,ABO26+IF(AND($G26=51,$E26=1),1,0))</f>
        <v/>
      </c>
      <c r="ABP27">
        <f>IF($C26=52,0,ABP26+IF(AND($G26=52,$E26=1),1,0))</f>
        <v/>
      </c>
      <c r="ABQ27">
        <f>IF($C26=53,0,ABQ26+IF(AND($G26=53,$E26=1),1,0))</f>
        <v/>
      </c>
      <c r="ABR27">
        <f>IF($C26=54,0,ABR26+IF(AND($G26=54,$E26=1),1,0))</f>
        <v/>
      </c>
      <c r="ABS27">
        <f>IF($C26=55,0,ABS26+IF(AND($G26=55,$E26=1),1,0))</f>
        <v/>
      </c>
      <c r="ABT27">
        <f>IF($C26=56,0,ABT26+IF(AND($G26=56,$E26=1),1,0))</f>
        <v/>
      </c>
      <c r="ABU27">
        <f>IF($C26=57,0,ABU26+IF(AND($G26=57,$E26=1),1,0))</f>
        <v/>
      </c>
      <c r="ABV27">
        <f>IF($C26=58,0,ABV26+IF(AND($G26=58,$E26=1),1,0))</f>
        <v/>
      </c>
      <c r="ABW27">
        <f>IF($C26=59,0,ABW26+IF(AND($G26=59,$E26=1),1,0))</f>
        <v/>
      </c>
      <c r="ABX27">
        <f>IF($C26=60,0,ABX26+IF(AND($G26=60,$E26=1),1,0))</f>
        <v/>
      </c>
      <c r="ABY27">
        <f>IF($C26=61,0,ABY26+IF(AND($G26=61,$E26=1),1,0))</f>
        <v/>
      </c>
      <c r="ABZ27">
        <f>IF($C26=62,0,ABZ26+IF(AND($G26=62,$E26=1),1,0))</f>
        <v/>
      </c>
      <c r="ACA27">
        <f>IF($C26=63,0,ACA26+IF(AND($G26=63,$E26=1),1,0))</f>
        <v/>
      </c>
      <c r="ACB27">
        <f>IF($C26=64,0,ACB26+IF(AND($G26=64,$E26=1),1,0))</f>
        <v/>
      </c>
      <c r="ACC27">
        <f>IF($C26=65,0,ACC26+IF(AND($G26=65,$E26=1),1,0))</f>
        <v/>
      </c>
      <c r="ACD27">
        <f>IF($C26=66,0,ACD26+IF(AND($G26=66,$E26=1),1,0))</f>
        <v/>
      </c>
      <c r="ACE27">
        <f>IF($C26=67,0,ACE26+IF(AND($G26=67,$E26=1),1,0))</f>
        <v/>
      </c>
      <c r="ACF27">
        <f>IF($C26=68,0,ACF26+IF(AND($G26=68,$E26=1),1,0))</f>
        <v/>
      </c>
      <c r="ACG27">
        <f>IF($C26=69,0,ACG26+IF(AND($G26=69,$E26=1),1,0))</f>
        <v/>
      </c>
      <c r="ACH27">
        <f>IF($C26=70,0,ACH26+IF(AND($G26=70,$E26=1),1,0))</f>
        <v/>
      </c>
      <c r="ACI27">
        <f>IF($C26=71,0,ACI26+IF(AND($G26=71,$E26=1),1,0))</f>
        <v/>
      </c>
      <c r="ACJ27">
        <f>IF($C26=72,0,ACJ26+IF(AND($G26=72,$E26=1),1,0))</f>
        <v/>
      </c>
      <c r="ACK27">
        <f>IF($C26=73,0,ACK26+IF(AND($G26=73,$E26=1),1,0))</f>
        <v/>
      </c>
      <c r="ACL27">
        <f>IF($C26=74,0,ACL26+IF(AND($G26=74,$E26=1),1,0))</f>
        <v/>
      </c>
      <c r="ACM27">
        <f>IF($C26=75,0,ACM26+IF(AND($G26=75,$E26=1),1,0))</f>
        <v/>
      </c>
      <c r="ACN27">
        <f>IF($C26=76,0,ACN26+IF(AND($G26=76,$E26=1),1,0))</f>
        <v/>
      </c>
      <c r="ACO27">
        <f>IF($C26=77,0,ACO26+IF(AND($G26=77,$E26=1),1,0))</f>
        <v/>
      </c>
      <c r="ACP27">
        <f>IF($C26=78,0,ACP26+IF(AND($G26=78,$E26=1),1,0))</f>
        <v/>
      </c>
      <c r="ACQ27">
        <f>IF($C26=79,0,ACQ26+IF(AND($G26=79,$E26=1),1,0))</f>
        <v/>
      </c>
      <c r="ACR27">
        <f>IF($C26=80,0,ACR26+IF(AND($G26=80,$E26=1),1,0))</f>
        <v/>
      </c>
      <c r="ACS27">
        <f>IF($C26=81,0,ACS26+IF(AND($G26=81,$E26=1),1,0))</f>
        <v/>
      </c>
      <c r="ACT27">
        <f>IF($C26=82,0,ACT26+IF(AND($G26=82,$E26=1),1,0))</f>
        <v/>
      </c>
      <c r="ACU27">
        <f>IF($C26=83,0,ACU26+IF(AND($G26=83,$E26=1),1,0))</f>
        <v/>
      </c>
      <c r="ACV27">
        <f>IF($C26=84,0,ACV26+IF(AND($G26=84,$E26=1),1,0))</f>
        <v/>
      </c>
      <c r="ACW27">
        <f>IF($C26=85,0,ACW26+IF(AND($G26=85,$E26=1),1,0))</f>
        <v/>
      </c>
      <c r="ACX27">
        <f>IF($C26=86,0,ACX26+IF(AND($G26=86,$E26=1),1,0))</f>
        <v/>
      </c>
      <c r="ACY27">
        <f>IF($C26=87,0,ACY26+IF(AND($G26=87,$E26=1),1,0))</f>
        <v/>
      </c>
      <c r="ACZ27">
        <f>IF($C26=88,0,ACZ26+IF(AND($G26=88,$E26=1),1,0))</f>
        <v/>
      </c>
      <c r="ADA27">
        <f>IF($C26=89,0,ADA26+IF(AND($G26=89,$E26=1),1,0))</f>
        <v/>
      </c>
      <c r="ADB27">
        <f>IF($C26=90,0,ADB26+IF(AND($G26=90,$E26=1),1,0))</f>
        <v/>
      </c>
      <c r="ADC27">
        <f>IF($C26=91,0,ADC26+IF(AND($G26=91,$E26=1),1,0))</f>
        <v/>
      </c>
      <c r="ADD27">
        <f>IF($C26=92,0,ADD26+IF(AND($G26=92,$E26=1),1,0))</f>
        <v/>
      </c>
      <c r="ADE27">
        <f>IF($C26=93,0,ADE26+IF(AND($G26=93,$E26=1),1,0))</f>
        <v/>
      </c>
      <c r="ADF27">
        <f>IF($C26=94,0,ADF26+IF(AND($G26=94,$E26=1),1,0))</f>
        <v/>
      </c>
      <c r="ADG27">
        <f>IF($C26=95,0,ADG26+IF(AND($G26=95,$E26=1),1,0))</f>
        <v/>
      </c>
      <c r="ADH27">
        <f>IF($C26=96,0,ADH26+IF(AND($G26=96,$E26=1),1,0))</f>
        <v/>
      </c>
      <c r="ADI27">
        <f>IF($C26=97,0,ADI26+IF(AND($G26=97,$E26=1),1,0))</f>
        <v/>
      </c>
      <c r="ADJ27">
        <f>IF($C26=98,0,ADJ26+IF(AND($G26=98,$E26=1),1,0))</f>
        <v/>
      </c>
      <c r="ADK27">
        <f>IF($C26=99,0,ADK26+IF(AND($G26=99,$E26=1),1,0))</f>
        <v/>
      </c>
      <c r="ADL27">
        <f>IF($C26=100,0,ADL26+IF(AND($G26=100,$E26=1),1,0))</f>
        <v/>
      </c>
      <c r="ADM27">
        <f>IF($C26=101,0,ADM26+IF(AND($G26=101,$E26=1),1,0))</f>
        <v/>
      </c>
      <c r="ADN27">
        <f>IF($C26=102,0,ADN26+IF(AND($G26=102,$E26=1),1,0))</f>
        <v/>
      </c>
      <c r="ADO27">
        <f>IF($C26=103,0,ADO26+IF(AND($G26=103,$E26=1),1,0))</f>
        <v/>
      </c>
      <c r="ADP27">
        <f>IF($C26=104,0,ADP26+IF(AND($G26=104,$E26=1),1,0))</f>
        <v/>
      </c>
      <c r="ADQ27">
        <f>IF($C26=105,0,ADQ26+IF(AND($G26=105,$E26=1),1,0))</f>
        <v/>
      </c>
      <c r="ADR27">
        <f>IF($C26=106,0,ADR26+IF(AND($G26=106,$E26=1),1,0))</f>
        <v/>
      </c>
      <c r="ADS27">
        <f>IF($C26=107,0,ADS26+IF(AND($G26=107,$E26=1),1,0))</f>
        <v/>
      </c>
      <c r="ADT27">
        <f>IF($C26=108,0,ADT26+IF(AND($G26=108,$E26=1),1,0))</f>
        <v/>
      </c>
      <c r="ADU27">
        <f>IF($C26=109,0,ADU26+IF(AND($G26=109,$E26=1),1,0))</f>
        <v/>
      </c>
      <c r="ADV27">
        <f>IF($C26=110,0,ADV26+IF(AND($G26=110,$E26=1),1,0))</f>
        <v/>
      </c>
      <c r="ADW27">
        <f>IF($C26=111,0,ADW26+IF(AND($G26=111,$E26=1),1,0))</f>
        <v/>
      </c>
      <c r="ADX27">
        <f>IF($C26=112,0,ADX26+IF(AND($G26=112,$E26=1),1,0))</f>
        <v/>
      </c>
      <c r="ADY27">
        <f>IF($C26=113,0,ADY26+IF(AND($G26=113,$E26=1),1,0))</f>
        <v/>
      </c>
      <c r="ADZ27">
        <f>IF($C26=114,0,ADZ26+IF(AND($G26=114,$E26=1),1,0))</f>
        <v/>
      </c>
      <c r="AEA27">
        <f>IF($C26=115,0,AEA26+IF(AND($G26=115,$E26=1),1,0))</f>
        <v/>
      </c>
      <c r="AEB27">
        <f>IF($C26=116,0,AEB26+IF(AND($G26=116,$E26=1),1,0))</f>
        <v/>
      </c>
      <c r="AEC27">
        <f>IF($C26=117,0,AEC26+IF(AND($G26=117,$E26=1),1,0))</f>
        <v/>
      </c>
      <c r="AED27">
        <f>IF($C26=118,0,AED26+IF(AND($G26=118,$E26=1),1,0))</f>
        <v/>
      </c>
      <c r="AEE27">
        <f>IF($C26=119,0,AEE26+IF(AND($G26=119,$E26=1),1,0))</f>
        <v/>
      </c>
      <c r="AEF27">
        <f>IF($C26=120,0,AEF26+IF(AND($G26=120,$E26=1),1,0))</f>
        <v/>
      </c>
      <c r="AEG27">
        <f>IF($C26=121,0,AEG26+IF(AND($G26=121,$E26=1),1,0))</f>
        <v/>
      </c>
      <c r="AEH27">
        <f>IF($C26=122,0,AEH26+IF(AND($G26=122,$E26=1),1,0))</f>
        <v/>
      </c>
      <c r="AEI27">
        <f>IF($C26=123,0,AEI26+IF(AND($G26=123,$E26=1),1,0))</f>
        <v/>
      </c>
      <c r="AEJ27">
        <f>IF($C26=124,0,AEJ26+IF(AND($G26=124,$E26=1),1,0))</f>
        <v/>
      </c>
      <c r="AEK27">
        <f>IF($C26=125,0,AEK26+IF(AND($G26=125,$E26=1),1,0))</f>
        <v/>
      </c>
      <c r="AEL27">
        <f>IF($C26=126,0,AEL26+IF(AND($G26=126,$E26=1),1,0))</f>
        <v/>
      </c>
      <c r="AEM27">
        <f>IF($C26=127,0,AEM26+IF(AND($G26=127,$E26=1),1,0))</f>
        <v/>
      </c>
      <c r="AEN27">
        <f>IF($C26=128,0,AEN26+IF(AND($G26=128,$E26=1),1,0))</f>
        <v/>
      </c>
      <c r="AEO27">
        <f>IF($C26=129,0,AEO26+IF(AND($G26=129,$E26=1),1,0))</f>
        <v/>
      </c>
      <c r="AEP27">
        <f>IF($C26=130,0,AEP26+IF(AND($G26=130,$E26=1),1,0))</f>
        <v/>
      </c>
      <c r="AEQ27">
        <f>IF($C26=131,0,AEQ26+IF(AND($G26=131,$E26=1),1,0))</f>
        <v/>
      </c>
      <c r="AER27">
        <f>IF($C26=132,0,AER26+IF(AND($G26=132,$E26=1),1,0))</f>
        <v/>
      </c>
      <c r="AES27">
        <f>IF($C26=133,0,AES26+IF(AND($G26=133,$E26=1),1,0))</f>
        <v/>
      </c>
      <c r="AET27">
        <f>IF($C26=134,0,AET26+IF(AND($G26=134,$E26=1),1,0))</f>
        <v/>
      </c>
      <c r="AEU27">
        <f>IF($C26=135,0,AEU26+IF(AND($G26=135,$E26=1),1,0))</f>
        <v/>
      </c>
      <c r="AEV27">
        <f>IF($C26=136,0,AEV26+IF(AND($G26=136,$E26=1),1,0))</f>
        <v/>
      </c>
      <c r="AEW27">
        <f>IF($C26=137,0,AEW26+IF(AND($G26=137,$E26=1),1,0))</f>
        <v/>
      </c>
      <c r="AEX27">
        <f>IF($C26=138,0,AEX26+IF(AND($G26=138,$E26=1),1,0))</f>
        <v/>
      </c>
      <c r="AEY27">
        <f>IF($C26=139,0,AEY26+IF(AND($G26=139,$E26=1),1,0))</f>
        <v/>
      </c>
      <c r="AEZ27">
        <f>IF($C26=140,0,AEZ26+IF(AND($G26=140,$E26=1),1,0))</f>
        <v/>
      </c>
      <c r="AFA27">
        <f>IF($C26=141,0,AFA26+IF(AND($G26=141,$E26=1),1,0))</f>
        <v/>
      </c>
      <c r="AFB27">
        <f>IF($C26=142,0,AFB26+IF(AND($G26=142,$E26=1),1,0))</f>
        <v/>
      </c>
      <c r="AFC27">
        <f>IF($C26=143,0,AFC26+IF(AND($G26=143,$E26=1),1,0))</f>
        <v/>
      </c>
      <c r="AFD27">
        <f>IF($C26=144,0,AFD26+IF(AND($G26=144,$E26=1),1,0))</f>
        <v/>
      </c>
      <c r="AFF27">
        <f>IF('calcA'!D$106=1,DC27+ZR27,1)</f>
        <v/>
      </c>
      <c r="AFG27">
        <f>IF('calcA'!E$106=1,DD27+ZS27,1)</f>
        <v/>
      </c>
      <c r="AFH27">
        <f>IF('calcA'!F$106=1,DE27+ZT27,1)</f>
        <v/>
      </c>
      <c r="AFI27">
        <f>IF('calcA'!G$106=1,DF27+ZU27,1)</f>
        <v/>
      </c>
      <c r="AFJ27">
        <f>IF('calcA'!H$106=1,DG27+ZV27,1)</f>
        <v/>
      </c>
      <c r="AFK27">
        <f>IF('calcA'!I$106=1,DH27+ZW27,1)</f>
        <v/>
      </c>
      <c r="AFL27">
        <f>IF('calcA'!J$106=1,DI27+ZX27,1)</f>
        <v/>
      </c>
      <c r="AFM27">
        <f>IF('calcA'!K$106=1,DJ27+ZY27,1)</f>
        <v/>
      </c>
      <c r="AFN27">
        <f>IF('calcA'!L$106=1,DK27+ZZ27,1)</f>
        <v/>
      </c>
      <c r="AFO27">
        <f>IF('calcA'!M$106=1,DL27+AAA27,1)</f>
        <v/>
      </c>
      <c r="AFP27">
        <f>IF('calcA'!N$106=1,DM27+AAB27,1)</f>
        <v/>
      </c>
      <c r="AFQ27">
        <f>IF('calcA'!O$106=1,DN27+AAC27,1)</f>
        <v/>
      </c>
      <c r="AFR27">
        <f>IF('calcA'!P$106=1,DO27+AAD27,1)</f>
        <v/>
      </c>
      <c r="AFS27">
        <f>IF('calcA'!Q$106=1,DP27+AAE27,1)</f>
        <v/>
      </c>
      <c r="AFT27">
        <f>IF('calcA'!R$106=1,DQ27+AAF27,1)</f>
        <v/>
      </c>
      <c r="AFU27">
        <f>IF('calcA'!S$106=1,DR27+AAG27,1)</f>
        <v/>
      </c>
      <c r="AFV27">
        <f>IF('calcA'!T$106=1,DS27+AAH27,1)</f>
        <v/>
      </c>
      <c r="AFW27">
        <f>IF('calcA'!U$106=1,DT27+AAI27,1)</f>
        <v/>
      </c>
      <c r="AFX27">
        <f>IF('calcA'!V$106=1,DU27+AAJ27,1)</f>
        <v/>
      </c>
      <c r="AFY27">
        <f>IF('calcA'!W$106=1,DV27+AAK27,1)</f>
        <v/>
      </c>
      <c r="AFZ27">
        <f>IF('calcA'!X$106=1,DW27+AAL27,1)</f>
        <v/>
      </c>
      <c r="AGA27">
        <f>IF('calcA'!Y$106=1,DX27+AAM27,1)</f>
        <v/>
      </c>
      <c r="AGB27">
        <f>IF('calcA'!Z$106=1,DY27+AAN27,1)</f>
        <v/>
      </c>
      <c r="AGC27">
        <f>IF('calcA'!AA$106=1,DZ27+AAO27,1)</f>
        <v/>
      </c>
      <c r="AGD27">
        <f>IF('calcA'!AB$106=1,EA27+AAP27,1)</f>
        <v/>
      </c>
      <c r="AGE27">
        <f>IF('calcA'!AC$106=1,EB27+AAQ27,1)</f>
        <v/>
      </c>
      <c r="AGF27">
        <f>IF('calcA'!AD$106=1,EC27+AAR27,1)</f>
        <v/>
      </c>
      <c r="AGG27">
        <f>IF('calcA'!AE$106=1,ED27+AAS27,1)</f>
        <v/>
      </c>
      <c r="AGH27">
        <f>IF('calcA'!AF$106=1,EE27+AAT27,1)</f>
        <v/>
      </c>
      <c r="AGI27">
        <f>IF('calcA'!AG$106=1,EF27+AAU27,1)</f>
        <v/>
      </c>
      <c r="AGJ27">
        <f>IF('calcA'!AH$106=1,EG27+AAV27,1)</f>
        <v/>
      </c>
      <c r="AGK27">
        <f>IF('calcA'!AI$106=1,EH27+AAW27,1)</f>
        <v/>
      </c>
      <c r="AGL27">
        <f>IF('calcA'!AJ$106=1,EI27+AAX27,1)</f>
        <v/>
      </c>
      <c r="AGM27">
        <f>IF('calcA'!AK$106=1,EJ27+AAY27,1)</f>
        <v/>
      </c>
      <c r="AGN27">
        <f>IF('calcA'!AL$106=1,EK27+AAZ27,1)</f>
        <v/>
      </c>
      <c r="AGO27">
        <f>IF('calcA'!AM$106=1,EL27+ABA27,1)</f>
        <v/>
      </c>
      <c r="AGP27">
        <f>IF('calcA'!AN$106=1,EM27+ABB27,1)</f>
        <v/>
      </c>
      <c r="AGQ27">
        <f>IF('calcA'!AO$106=1,EN27+ABC27,1)</f>
        <v/>
      </c>
      <c r="AGR27">
        <f>IF('calcA'!AP$106=1,EO27+ABD27,1)</f>
        <v/>
      </c>
      <c r="AGS27">
        <f>IF('calcA'!AQ$106=1,EP27+ABE27,1)</f>
        <v/>
      </c>
      <c r="AGT27">
        <f>IF('calcA'!AR$106=1,EQ27+ABF27,1)</f>
        <v/>
      </c>
      <c r="AGU27">
        <f>IF('calcA'!AS$106=1,ER27+ABG27,1)</f>
        <v/>
      </c>
      <c r="AGV27">
        <f>IF('calcA'!AT$106=1,ES27+ABH27,1)</f>
        <v/>
      </c>
      <c r="AGW27">
        <f>IF('calcA'!AU$106=1,ET27+ABI27,1)</f>
        <v/>
      </c>
      <c r="AGX27">
        <f>IF('calcA'!AV$106=1,EU27+ABJ27,1)</f>
        <v/>
      </c>
      <c r="AGY27">
        <f>IF('calcA'!AW$106=1,EV27+ABK27,1)</f>
        <v/>
      </c>
      <c r="AGZ27">
        <f>IF('calcA'!AX$106=1,EW27+ABL27,1)</f>
        <v/>
      </c>
      <c r="AHA27">
        <f>IF('calcA'!AY$106=1,EX27+ABM27,1)</f>
        <v/>
      </c>
      <c r="AHB27">
        <f>IF('calcA'!AZ$106=1,EY27+ABN27,1)</f>
        <v/>
      </c>
      <c r="AHC27">
        <f>IF('calcA'!BA$106=1,EZ27+ABO27,1)</f>
        <v/>
      </c>
      <c r="AHD27">
        <f>IF('calcA'!BB$106=1,FA27+ABP27,1)</f>
        <v/>
      </c>
      <c r="AHE27">
        <f>IF('calcA'!BC$106=1,FB27+ABQ27,1)</f>
        <v/>
      </c>
      <c r="AHF27">
        <f>IF('calcA'!BD$106=1,FC27+ABR27,1)</f>
        <v/>
      </c>
      <c r="AHG27">
        <f>IF('calcA'!BE$106=1,FD27+ABS27,1)</f>
        <v/>
      </c>
      <c r="AHH27">
        <f>IF('calcA'!BF$106=1,FE27+ABT27,1)</f>
        <v/>
      </c>
      <c r="AHI27">
        <f>IF('calcA'!BG$106=1,FF27+ABU27,1)</f>
        <v/>
      </c>
      <c r="AHJ27">
        <f>IF('calcA'!BH$106=1,FG27+ABV27,1)</f>
        <v/>
      </c>
      <c r="AHK27">
        <f>IF('calcA'!BI$106=1,FH27+ABW27,1)</f>
        <v/>
      </c>
      <c r="AHL27">
        <f>IF('calcA'!BJ$106=1,FI27+ABX27,1)</f>
        <v/>
      </c>
      <c r="AHM27">
        <f>IF('calcA'!BK$106=1,FJ27+ABY27,1)</f>
        <v/>
      </c>
      <c r="AHN27">
        <f>IF('calcA'!BL$106=1,FK27+ABZ27,1)</f>
        <v/>
      </c>
      <c r="AHO27">
        <f>IF('calcA'!BM$106=1,FL27+ACA27,1)</f>
        <v/>
      </c>
      <c r="AHP27">
        <f>IF('calcA'!BN$106=1,FM27+ACB27,1)</f>
        <v/>
      </c>
      <c r="AHQ27">
        <f>IF('calcA'!BO$106=1,FN27+ACC27,1)</f>
        <v/>
      </c>
      <c r="AHR27">
        <f>IF('calcA'!BP$106=1,FO27+ACD27,1)</f>
        <v/>
      </c>
      <c r="AHS27">
        <f>IF('calcA'!BQ$106=1,FP27+ACE27,1)</f>
        <v/>
      </c>
      <c r="AHT27">
        <f>IF('calcA'!BR$106=1,FQ27+ACF27,1)</f>
        <v/>
      </c>
      <c r="AHU27">
        <f>IF('calcA'!BS$106=1,FR27+ACG27,1)</f>
        <v/>
      </c>
      <c r="AHV27">
        <f>IF('calcA'!BT$106=1,FS27+ACH27,1)</f>
        <v/>
      </c>
      <c r="AHW27">
        <f>IF('calcA'!BU$106=1,FT27+ACI27,1)</f>
        <v/>
      </c>
      <c r="AHX27">
        <f>IF('calcA'!BV$106=1,FU27+ACJ27,1)</f>
        <v/>
      </c>
      <c r="AHY27">
        <f>IF('calcA'!BW$106=1,FV27+ACK27,1)</f>
        <v/>
      </c>
      <c r="AHZ27">
        <f>IF('calcA'!BX$106=1,FW27+ACL27,1)</f>
        <v/>
      </c>
      <c r="AIA27">
        <f>IF('calcA'!BY$106=1,FX27+ACM27,1)</f>
        <v/>
      </c>
      <c r="AIB27">
        <f>IF('calcA'!BZ$106=1,FY27+ACN27,1)</f>
        <v/>
      </c>
      <c r="AIC27">
        <f>IF('calcA'!CA$106=1,FZ27+ACO27,1)</f>
        <v/>
      </c>
      <c r="AID27">
        <f>IF('calcA'!CB$106=1,GA27+ACP27,1)</f>
        <v/>
      </c>
      <c r="AIE27">
        <f>IF('calcA'!CC$106=1,GB27+ACQ27,1)</f>
        <v/>
      </c>
      <c r="AIF27">
        <f>IF('calcA'!CD$106=1,GC27+ACR27,1)</f>
        <v/>
      </c>
      <c r="AIG27">
        <f>IF('calcA'!CE$106=1,GD27+ACS27,1)</f>
        <v/>
      </c>
      <c r="AIH27">
        <f>IF('calcA'!CF$106=1,GE27+ACT27,1)</f>
        <v/>
      </c>
      <c r="AII27">
        <f>IF('calcA'!CG$106=1,GF27+ACU27,1)</f>
        <v/>
      </c>
      <c r="AIJ27">
        <f>IF('calcA'!CH$106=1,GG27+ACV27,1)</f>
        <v/>
      </c>
      <c r="AIK27">
        <f>IF('calcA'!CI$106=1,GH27+ACW27,1)</f>
        <v/>
      </c>
      <c r="AIL27">
        <f>IF('calcA'!CJ$106=1,GI27+ACX27,1)</f>
        <v/>
      </c>
      <c r="AIM27">
        <f>IF('calcA'!CK$106=1,GJ27+ACY27,1)</f>
        <v/>
      </c>
      <c r="AIN27">
        <f>IF('calcA'!CL$106=1,GK27+ACZ27,1)</f>
        <v/>
      </c>
      <c r="AIO27">
        <f>IF('calcA'!CM$106=1,GL27+ADA27,1)</f>
        <v/>
      </c>
      <c r="AIP27">
        <f>IF('calcA'!CN$106=1,GM27+ADB27,1)</f>
        <v/>
      </c>
      <c r="AIQ27">
        <f>IF('calcA'!CO$106=1,GN27+ADC27,1)</f>
        <v/>
      </c>
      <c r="AIR27">
        <f>IF('calcA'!CP$106=1,GO27+ADD27,1)</f>
        <v/>
      </c>
      <c r="AIS27">
        <f>IF('calcA'!CQ$106=1,GP27+ADE27,1)</f>
        <v/>
      </c>
      <c r="AIT27">
        <f>IF('calcA'!CR$106=1,GQ27+ADF27,1)</f>
        <v/>
      </c>
      <c r="AIU27">
        <f>IF('calcA'!CS$106=1,GR27+ADG27,1)</f>
        <v/>
      </c>
      <c r="AIV27">
        <f>IF('calcA'!CT$106=1,GS27+ADH27,1)</f>
        <v/>
      </c>
      <c r="AIW27">
        <f>IF('calcA'!CU$106=1,GT27+ADI27,1)</f>
        <v/>
      </c>
      <c r="AIX27">
        <f>IF('calcA'!CV$106=1,GU27+ADJ27,1)</f>
        <v/>
      </c>
      <c r="AIY27">
        <f>IF('calcA'!CW$106=1,GV27+ADK27,1)</f>
        <v/>
      </c>
      <c r="AIZ27">
        <f>IF('calcA'!CX$106=1,GW27+ADL27,1)</f>
        <v/>
      </c>
      <c r="AJA27">
        <f>IF('calcA'!CY$106=1,GX27+ADM27,1)</f>
        <v/>
      </c>
      <c r="AJB27">
        <f>IF('calcA'!CZ$106=1,GY27+ADN27,1)</f>
        <v/>
      </c>
      <c r="AJC27">
        <f>IF('calcA'!DA$106=1,GZ27+ADO27,1)</f>
        <v/>
      </c>
      <c r="AJD27">
        <f>IF('calcA'!DB$106=1,HA27+ADP27,1)</f>
        <v/>
      </c>
      <c r="AJE27">
        <f>IF('calcA'!DC$106=1,HB27+ADQ27,1)</f>
        <v/>
      </c>
      <c r="AJF27">
        <f>IF('calcA'!DD$106=1,HC27+ADR27,1)</f>
        <v/>
      </c>
      <c r="AJG27">
        <f>IF('calcA'!DE$106=1,HD27+ADS27,1)</f>
        <v/>
      </c>
      <c r="AJH27">
        <f>IF('calcA'!DF$106=1,HE27+ADT27,1)</f>
        <v/>
      </c>
      <c r="AJI27">
        <f>IF('calcA'!DG$106=1,HF27+ADU27,1)</f>
        <v/>
      </c>
      <c r="AJJ27">
        <f>IF('calcA'!DH$106=1,HG27+ADV27,1)</f>
        <v/>
      </c>
      <c r="AJK27">
        <f>IF('calcA'!DI$106=1,HH27+ADW27,1)</f>
        <v/>
      </c>
      <c r="AJL27">
        <f>IF('calcA'!DJ$106=1,HI27+ADX27,1)</f>
        <v/>
      </c>
      <c r="AJM27">
        <f>IF('calcA'!DK$106=1,HJ27+ADY27,1)</f>
        <v/>
      </c>
      <c r="AJN27">
        <f>IF('calcA'!DL$106=1,HK27+ADZ27,1)</f>
        <v/>
      </c>
      <c r="AJO27">
        <f>IF('calcA'!DM$106=1,HL27+AEA27,1)</f>
        <v/>
      </c>
      <c r="AJP27">
        <f>IF('calcA'!DN$106=1,HM27+AEB27,1)</f>
        <v/>
      </c>
      <c r="AJQ27">
        <f>IF('calcA'!DO$106=1,HN27+AEC27,1)</f>
        <v/>
      </c>
      <c r="AJR27">
        <f>IF('calcA'!DP$106=1,HO27+AED27,1)</f>
        <v/>
      </c>
      <c r="AJS27">
        <f>IF('calcA'!DQ$106=1,HP27+AEE27,1)</f>
        <v/>
      </c>
      <c r="AJT27">
        <f>IF('calcA'!DR$106=1,HQ27+AEF27,1)</f>
        <v/>
      </c>
      <c r="AJU27">
        <f>IF('calcA'!DS$106=1,HR27+AEG27,1)</f>
        <v/>
      </c>
      <c r="AJV27">
        <f>IF('calcA'!DT$106=1,HS27+AEH27,1)</f>
        <v/>
      </c>
      <c r="AJW27">
        <f>IF('calcA'!DU$106=1,HT27+AEI27,1)</f>
        <v/>
      </c>
      <c r="AJX27">
        <f>IF('calcA'!DV$106=1,HU27+AEJ27,1)</f>
        <v/>
      </c>
      <c r="AJY27">
        <f>IF('calcA'!DW$106=1,HV27+AEK27,1)</f>
        <v/>
      </c>
      <c r="AJZ27">
        <f>IF('calcA'!DX$106=1,HW27+AEL27,1)</f>
        <v/>
      </c>
      <c r="AKA27">
        <f>IF('calcA'!DY$106=1,HX27+AEM27,1)</f>
        <v/>
      </c>
      <c r="AKB27">
        <f>IF('calcA'!DZ$106=1,HY27+AEN27,1)</f>
        <v/>
      </c>
      <c r="AKC27">
        <f>IF('calcA'!EA$106=1,HZ27+AEO27,1)</f>
        <v/>
      </c>
      <c r="AKD27">
        <f>IF('calcA'!EB$106=1,IA27+AEP27,1)</f>
        <v/>
      </c>
      <c r="AKE27">
        <f>IF('calcA'!EC$106=1,IB27+AEQ27,1)</f>
        <v/>
      </c>
      <c r="AKF27">
        <f>IF('calcA'!ED$106=1,IC27+AER27,1)</f>
        <v/>
      </c>
      <c r="AKG27">
        <f>IF('calcA'!EE$106=1,ID27+AES27,1)</f>
        <v/>
      </c>
      <c r="AKH27">
        <f>IF('calcA'!EF$106=1,IE27+AET27,1)</f>
        <v/>
      </c>
      <c r="AKI27">
        <f>IF('calcA'!EG$106=1,IF27+AEU27,1)</f>
        <v/>
      </c>
      <c r="AKJ27">
        <f>IF('calcA'!EH$106=1,IG27+AEV27,1)</f>
        <v/>
      </c>
      <c r="AKK27">
        <f>IF('calcA'!EI$106=1,IH27+AEW27,1)</f>
        <v/>
      </c>
      <c r="AKL27">
        <f>IF('calcA'!EJ$106=1,II27+AEX27,1)</f>
        <v/>
      </c>
      <c r="AKM27">
        <f>IF('calcA'!EK$106=1,IJ27+AEY27,1)</f>
        <v/>
      </c>
      <c r="AKN27">
        <f>IF('calcA'!EL$106=1,IK27+AEZ27,1)</f>
        <v/>
      </c>
      <c r="AKO27">
        <f>IF('calcA'!EM$106=1,IL27+AFA27,1)</f>
        <v/>
      </c>
      <c r="AKP27">
        <f>IF('calcA'!EN$106=1,IM27+AFB27,1)</f>
        <v/>
      </c>
      <c r="AKQ27">
        <f>IF('calcA'!EO$106=1,IN27+AFC27,1)</f>
        <v/>
      </c>
      <c r="AKR27">
        <f>IF('calcA'!EP$106=1,IO27+AFD27,1)</f>
        <v/>
      </c>
      <c r="AKS27" t="n">
        <v>1</v>
      </c>
    </row>
    <row r="28">
      <c r="A28" t="n">
        <v>26</v>
      </c>
      <c r="B28">
        <f>IF(MIN(BM28:CZ28)&gt;=1000000000,0,MATCH(MIN(BM28:CZ28),BM28:CZ28,0))</f>
        <v/>
      </c>
      <c r="C28">
        <f>IF(MIN(OF28:TS28)&gt;=1000000000,0,MATCH(MIN(OF28:TS28),OF28:TS28,0))</f>
        <v/>
      </c>
      <c r="D28">
        <f>IF(C28&gt;0,INDEX('calcA'!$D$5:$EQ$5,C28),0)</f>
        <v/>
      </c>
      <c r="E28">
        <f>IF(B28=0,0,INDEX('calcA'!$IQ$10:$IQ$54,B28))</f>
        <v/>
      </c>
      <c r="F28">
        <f>IF(B28=0,0,INDEX('calcA'!$IP$10:$IP$54,B28))</f>
        <v/>
      </c>
      <c r="G28">
        <f>IF(AND(C28&gt;0,E28&gt;0),IF(AND(INDEX('calcA'!$D$106:$EQ$106,C28)=1,INDEX($IQ28:$OD28,C28)=1),C28+1,0),0)</f>
        <v/>
      </c>
      <c r="H28">
        <f>IF(B28=0,0,INDEX('calcA'!$IW$10:$IW$54,B28))</f>
        <v/>
      </c>
      <c r="U28">
        <f>IF(B28=0,0,INDEX('calcA'!$IX$10:$IX$54,B28))</f>
        <v/>
      </c>
      <c r="V28">
        <f>IF(B28=0,0,INDEX('calcA'!$JF$10:$JF$54,B28))</f>
        <v/>
      </c>
      <c r="W28">
        <f>IF(B28=0,0,IF(IF(E28=2,SUMPRODUCT(INDEX('calcA'!$D$60:$EQ$99,B28,0),$DB28:$IO28,$IQ28:$OD28),SUMPRODUCT(INDEX('calcA'!$D$60:$EQ$99,B28,0),$DB28:$IO28))=0,1,0))</f>
        <v/>
      </c>
      <c r="X28">
        <f>MAX(X27,IF($B27=1,1,0))</f>
        <v/>
      </c>
      <c r="Y28">
        <f>MAX(Y27,IF($B27=2,1,0))</f>
        <v/>
      </c>
      <c r="Z28">
        <f>MAX(Z27,IF($B27=3,1,0))</f>
        <v/>
      </c>
      <c r="AA28">
        <f>MAX(AA27,IF($B27=4,1,0))</f>
        <v/>
      </c>
      <c r="AB28">
        <f>MAX(AB27,IF($B27=5,1,0))</f>
        <v/>
      </c>
      <c r="AC28">
        <f>MAX(AC27,IF($B27=6,1,0))</f>
        <v/>
      </c>
      <c r="AD28">
        <f>MAX(AD27,IF($B27=7,1,0))</f>
        <v/>
      </c>
      <c r="AE28">
        <f>MAX(AE27,IF($B27=8,1,0))</f>
        <v/>
      </c>
      <c r="AF28">
        <f>MAX(AF27,IF($B27=9,1,0))</f>
        <v/>
      </c>
      <c r="AG28">
        <f>MAX(AG27,IF($B27=10,1,0))</f>
        <v/>
      </c>
      <c r="AH28">
        <f>MAX(AH27,IF($B27=11,1,0))</f>
        <v/>
      </c>
      <c r="AI28">
        <f>MAX(AI27,IF($B27=12,1,0))</f>
        <v/>
      </c>
      <c r="AJ28">
        <f>MAX(AJ27,IF($B27=13,1,0))</f>
        <v/>
      </c>
      <c r="AK28">
        <f>MAX(AK27,IF($B27=14,1,0))</f>
        <v/>
      </c>
      <c r="AL28">
        <f>MAX(AL27,IF($B27=15,1,0))</f>
        <v/>
      </c>
      <c r="AM28">
        <f>MAX(AM27,IF($B27=16,1,0))</f>
        <v/>
      </c>
      <c r="AN28">
        <f>MAX(AN27,IF($B27=17,1,0))</f>
        <v/>
      </c>
      <c r="AO28">
        <f>MAX(AO27,IF($B27=18,1,0))</f>
        <v/>
      </c>
      <c r="AP28">
        <f>MAX(AP27,IF($B27=19,1,0))</f>
        <v/>
      </c>
      <c r="AQ28">
        <f>MAX(AQ27,IF($B27=20,1,0))</f>
        <v/>
      </c>
      <c r="AR28">
        <f>MAX(AR27,IF($B27=21,1,0))</f>
        <v/>
      </c>
      <c r="AS28">
        <f>MAX(AS27,IF($B27=22,1,0))</f>
        <v/>
      </c>
      <c r="AT28">
        <f>MAX(AT27,IF($B27=23,1,0))</f>
        <v/>
      </c>
      <c r="AU28">
        <f>MAX(AU27,IF($B27=24,1,0))</f>
        <v/>
      </c>
      <c r="AV28">
        <f>MAX(AV27,IF($B27=25,1,0))</f>
        <v/>
      </c>
      <c r="AW28">
        <f>MAX(AW27,IF($B27=26,1,0))</f>
        <v/>
      </c>
      <c r="AX28">
        <f>MAX(AX27,IF($B27=27,1,0))</f>
        <v/>
      </c>
      <c r="AY28">
        <f>MAX(AY27,IF($B27=28,1,0))</f>
        <v/>
      </c>
      <c r="AZ28">
        <f>MAX(AZ27,IF($B27=29,1,0))</f>
        <v/>
      </c>
      <c r="BA28">
        <f>MAX(BA27,IF($B27=30,1,0))</f>
        <v/>
      </c>
      <c r="BB28">
        <f>MAX(BB27,IF($B27=31,1,0))</f>
        <v/>
      </c>
      <c r="BC28">
        <f>MAX(BC27,IF($B27=32,1,0))</f>
        <v/>
      </c>
      <c r="BD28">
        <f>MAX(BD27,IF($B27=33,1,0))</f>
        <v/>
      </c>
      <c r="BE28">
        <f>MAX(BE27,IF($B27=34,1,0))</f>
        <v/>
      </c>
      <c r="BF28">
        <f>MAX(BF27,IF($B27=35,1,0))</f>
        <v/>
      </c>
      <c r="BG28">
        <f>MAX(BG27,IF($B27=36,1,0))</f>
        <v/>
      </c>
      <c r="BH28">
        <f>MAX(BH27,IF($B27=37,1,0))</f>
        <v/>
      </c>
      <c r="BI28">
        <f>MAX(BI27,IF($B27=38,1,0))</f>
        <v/>
      </c>
      <c r="BJ28">
        <f>MAX(BJ27,IF($B27=39,1,0))</f>
        <v/>
      </c>
      <c r="BK28">
        <f>MAX(BK27,IF($B27=40,1,0))</f>
        <v/>
      </c>
      <c r="BM28">
        <f>IF(OR(X28=1,calcA!$A$6=0),1000000000,IF('calcA'!$JF$10=1,0,100000000)+IF('calcA'!$IQ$10=2,SUMPRODUCT('calcA'!$D$60:$EQ$60,$DB28:$IO28,$IQ28:$OD28)*1000+SUMPRODUCT('calcA'!$D$60:$EQ$60,$DB28:$IO28+$ZQ28:$AFD28,$AFF28:$AKS28),SUMPRODUCT('calcA'!$D$60:$EQ$60,$DB28:$IO28*1001+$ZQ28:$AFD28))*100+1)</f>
        <v/>
      </c>
      <c r="BN28">
        <f>IF(OR(Y28=1,calcA!$A$6=0),1000000000,IF('calcA'!$JF$11=1,0,100000000)+IF('calcA'!$IQ$11=2,SUMPRODUCT('calcA'!$D$61:$EQ$61,$DB28:$IO28,$IQ28:$OD28)*1000+SUMPRODUCT('calcA'!$D$61:$EQ$61,$DB28:$IO28+$ZQ28:$AFD28,$AFF28:$AKS28),SUMPRODUCT('calcA'!$D$61:$EQ$61,$DB28:$IO28*1001+$ZQ28:$AFD28))*100+2)</f>
        <v/>
      </c>
      <c r="BO28">
        <f>IF(OR(Z28=1,calcA!$A$6=0),1000000000,IF('calcA'!$JF$12=1,0,100000000)+IF('calcA'!$IQ$12=2,SUMPRODUCT('calcA'!$D$62:$EQ$62,$DB28:$IO28,$IQ28:$OD28)*1000+SUMPRODUCT('calcA'!$D$62:$EQ$62,$DB28:$IO28+$ZQ28:$AFD28,$AFF28:$AKS28),SUMPRODUCT('calcA'!$D$62:$EQ$62,$DB28:$IO28*1001+$ZQ28:$AFD28))*100+3)</f>
        <v/>
      </c>
      <c r="BP28">
        <f>IF(OR(AA28=1,calcA!$A$6=0),1000000000,IF('calcA'!$JF$13=1,0,100000000)+IF('calcA'!$IQ$13=2,SUMPRODUCT('calcA'!$D$63:$EQ$63,$DB28:$IO28,$IQ28:$OD28)*1000+SUMPRODUCT('calcA'!$D$63:$EQ$63,$DB28:$IO28+$ZQ28:$AFD28,$AFF28:$AKS28),SUMPRODUCT('calcA'!$D$63:$EQ$63,$DB28:$IO28*1001+$ZQ28:$AFD28))*100+4)</f>
        <v/>
      </c>
      <c r="BQ28">
        <f>IF(OR(AB28=1,calcA!$A$6=0),1000000000,IF('calcA'!$JF$14=1,0,100000000)+IF('calcA'!$IQ$14=2,SUMPRODUCT('calcA'!$D$64:$EQ$64,$DB28:$IO28,$IQ28:$OD28)*1000+SUMPRODUCT('calcA'!$D$64:$EQ$64,$DB28:$IO28+$ZQ28:$AFD28,$AFF28:$AKS28),SUMPRODUCT('calcA'!$D$64:$EQ$64,$DB28:$IO28*1001+$ZQ28:$AFD28))*100+5)</f>
        <v/>
      </c>
      <c r="BR28">
        <f>IF(OR(AC28=1,calcA!$A$6=0),1000000000,IF('calcA'!$JF$15=1,0,100000000)+IF('calcA'!$IQ$15=2,SUMPRODUCT('calcA'!$D$65:$EQ$65,$DB28:$IO28,$IQ28:$OD28)*1000+SUMPRODUCT('calcA'!$D$65:$EQ$65,$DB28:$IO28+$ZQ28:$AFD28,$AFF28:$AKS28),SUMPRODUCT('calcA'!$D$65:$EQ$65,$DB28:$IO28*1001+$ZQ28:$AFD28))*100+6)</f>
        <v/>
      </c>
      <c r="BS28">
        <f>IF(OR(AD28=1,calcA!$A$6=0),1000000000,IF('calcA'!$JF$16=1,0,100000000)+IF('calcA'!$IQ$16=2,SUMPRODUCT('calcA'!$D$66:$EQ$66,$DB28:$IO28,$IQ28:$OD28)*1000+SUMPRODUCT('calcA'!$D$66:$EQ$66,$DB28:$IO28+$ZQ28:$AFD28,$AFF28:$AKS28),SUMPRODUCT('calcA'!$D$66:$EQ$66,$DB28:$IO28*1001+$ZQ28:$AFD28))*100+7)</f>
        <v/>
      </c>
      <c r="BT28">
        <f>IF(OR(AE28=1,calcA!$A$6=0),1000000000,IF('calcA'!$JF$17=1,0,100000000)+IF('calcA'!$IQ$17=2,SUMPRODUCT('calcA'!$D$67:$EQ$67,$DB28:$IO28,$IQ28:$OD28)*1000+SUMPRODUCT('calcA'!$D$67:$EQ$67,$DB28:$IO28+$ZQ28:$AFD28,$AFF28:$AKS28),SUMPRODUCT('calcA'!$D$67:$EQ$67,$DB28:$IO28*1001+$ZQ28:$AFD28))*100+8)</f>
        <v/>
      </c>
      <c r="BU28">
        <f>IF(OR(AF28=1,calcA!$A$6=0),1000000000,IF('calcA'!$JF$18=1,0,100000000)+IF('calcA'!$IQ$18=2,SUMPRODUCT('calcA'!$D$68:$EQ$68,$DB28:$IO28,$IQ28:$OD28)*1000+SUMPRODUCT('calcA'!$D$68:$EQ$68,$DB28:$IO28+$ZQ28:$AFD28,$AFF28:$AKS28),SUMPRODUCT('calcA'!$D$68:$EQ$68,$DB28:$IO28*1001+$ZQ28:$AFD28))*100+9)</f>
        <v/>
      </c>
      <c r="BV28">
        <f>IF(OR(AG28=1,calcA!$A$6=0),1000000000,IF('calcA'!$JF$19=1,0,100000000)+IF('calcA'!$IQ$19=2,SUMPRODUCT('calcA'!$D$69:$EQ$69,$DB28:$IO28,$IQ28:$OD28)*1000+SUMPRODUCT('calcA'!$D$69:$EQ$69,$DB28:$IO28+$ZQ28:$AFD28,$AFF28:$AKS28),SUMPRODUCT('calcA'!$D$69:$EQ$69,$DB28:$IO28*1001+$ZQ28:$AFD28))*100+10)</f>
        <v/>
      </c>
      <c r="BW28">
        <f>IF(OR(AH28=1,calcA!$A$6=0),1000000000,IF('calcA'!$JF$20=1,0,100000000)+IF('calcA'!$IQ$20=2,SUMPRODUCT('calcA'!$D$70:$EQ$70,$DB28:$IO28,$IQ28:$OD28)*1000+SUMPRODUCT('calcA'!$D$70:$EQ$70,$DB28:$IO28+$ZQ28:$AFD28,$AFF28:$AKS28),SUMPRODUCT('calcA'!$D$70:$EQ$70,$DB28:$IO28*1001+$ZQ28:$AFD28))*100+11)</f>
        <v/>
      </c>
      <c r="BX28">
        <f>IF(OR(AI28=1,calcA!$A$6=0),1000000000,IF('calcA'!$JF$21=1,0,100000000)+IF('calcA'!$IQ$21=2,SUMPRODUCT('calcA'!$D$71:$EQ$71,$DB28:$IO28,$IQ28:$OD28)*1000+SUMPRODUCT('calcA'!$D$71:$EQ$71,$DB28:$IO28+$ZQ28:$AFD28,$AFF28:$AKS28),SUMPRODUCT('calcA'!$D$71:$EQ$71,$DB28:$IO28*1001+$ZQ28:$AFD28))*100+12)</f>
        <v/>
      </c>
      <c r="BY28">
        <f>IF(OR(AJ28=1,calcA!$A$6=0),1000000000,IF('calcA'!$JF$22=1,0,100000000)+IF('calcA'!$IQ$22=2,SUMPRODUCT('calcA'!$D$72:$EQ$72,$DB28:$IO28,$IQ28:$OD28)*1000+SUMPRODUCT('calcA'!$D$72:$EQ$72,$DB28:$IO28+$ZQ28:$AFD28,$AFF28:$AKS28),SUMPRODUCT('calcA'!$D$72:$EQ$72,$DB28:$IO28*1001+$ZQ28:$AFD28))*100+13)</f>
        <v/>
      </c>
      <c r="BZ28">
        <f>IF(OR(AK28=1,calcA!$A$6=0),1000000000,IF('calcA'!$JF$23=1,0,100000000)+IF('calcA'!$IQ$23=2,SUMPRODUCT('calcA'!$D$73:$EQ$73,$DB28:$IO28,$IQ28:$OD28)*1000+SUMPRODUCT('calcA'!$D$73:$EQ$73,$DB28:$IO28+$ZQ28:$AFD28,$AFF28:$AKS28),SUMPRODUCT('calcA'!$D$73:$EQ$73,$DB28:$IO28*1001+$ZQ28:$AFD28))*100+14)</f>
        <v/>
      </c>
      <c r="CA28">
        <f>IF(OR(AL28=1,calcA!$A$6=0),1000000000,IF('calcA'!$JF$24=1,0,100000000)+IF('calcA'!$IQ$24=2,SUMPRODUCT('calcA'!$D$74:$EQ$74,$DB28:$IO28,$IQ28:$OD28)*1000+SUMPRODUCT('calcA'!$D$74:$EQ$74,$DB28:$IO28+$ZQ28:$AFD28,$AFF28:$AKS28),SUMPRODUCT('calcA'!$D$74:$EQ$74,$DB28:$IO28*1001+$ZQ28:$AFD28))*100+15)</f>
        <v/>
      </c>
      <c r="CB28">
        <f>IF(OR(AM28=1,calcA!$A$6=0),1000000000,IF('calcA'!$JF$25=1,0,100000000)+IF('calcA'!$IQ$25=2,SUMPRODUCT('calcA'!$D$75:$EQ$75,$DB28:$IO28,$IQ28:$OD28)*1000+SUMPRODUCT('calcA'!$D$75:$EQ$75,$DB28:$IO28+$ZQ28:$AFD28,$AFF28:$AKS28),SUMPRODUCT('calcA'!$D$75:$EQ$75,$DB28:$IO28*1001+$ZQ28:$AFD28))*100+16)</f>
        <v/>
      </c>
      <c r="CC28">
        <f>IF(OR(AN28=1,calcA!$A$6=0),1000000000,IF('calcA'!$JF$26=1,0,100000000)+IF('calcA'!$IQ$26=2,SUMPRODUCT('calcA'!$D$76:$EQ$76,$DB28:$IO28,$IQ28:$OD28)*1000+SUMPRODUCT('calcA'!$D$76:$EQ$76,$DB28:$IO28+$ZQ28:$AFD28,$AFF28:$AKS28),SUMPRODUCT('calcA'!$D$76:$EQ$76,$DB28:$IO28*1001+$ZQ28:$AFD28))*100+17)</f>
        <v/>
      </c>
      <c r="CD28">
        <f>IF(OR(AO28=1,calcA!$A$6=0),1000000000,IF('calcA'!$JF$27=1,0,100000000)+IF('calcA'!$IQ$27=2,SUMPRODUCT('calcA'!$D$77:$EQ$77,$DB28:$IO28,$IQ28:$OD28)*1000+SUMPRODUCT('calcA'!$D$77:$EQ$77,$DB28:$IO28+$ZQ28:$AFD28,$AFF28:$AKS28),SUMPRODUCT('calcA'!$D$77:$EQ$77,$DB28:$IO28*1001+$ZQ28:$AFD28))*100+18)</f>
        <v/>
      </c>
      <c r="CE28">
        <f>IF(OR(AP28=1,calcA!$A$6=0),1000000000,IF('calcA'!$JF$28=1,0,100000000)+IF('calcA'!$IQ$28=2,SUMPRODUCT('calcA'!$D$78:$EQ$78,$DB28:$IO28,$IQ28:$OD28)*1000+SUMPRODUCT('calcA'!$D$78:$EQ$78,$DB28:$IO28+$ZQ28:$AFD28,$AFF28:$AKS28),SUMPRODUCT('calcA'!$D$78:$EQ$78,$DB28:$IO28*1001+$ZQ28:$AFD28))*100+19)</f>
        <v/>
      </c>
      <c r="CF28">
        <f>IF(OR(AQ28=1,calcA!$A$6=0),1000000000,IF('calcA'!$JF$29=1,0,100000000)+IF('calcA'!$IQ$29=2,SUMPRODUCT('calcA'!$D$79:$EQ$79,$DB28:$IO28,$IQ28:$OD28)*1000+SUMPRODUCT('calcA'!$D$79:$EQ$79,$DB28:$IO28+$ZQ28:$AFD28,$AFF28:$AKS28),SUMPRODUCT('calcA'!$D$79:$EQ$79,$DB28:$IO28*1001+$ZQ28:$AFD28))*100+20)</f>
        <v/>
      </c>
      <c r="CG28">
        <f>IF(OR(AR28=1,calcA!$A$6=0),1000000000,IF('calcA'!$JF$30=1,0,100000000)+IF('calcA'!$IQ$30=2,SUMPRODUCT('calcA'!$D$80:$EQ$80,$DB28:$IO28,$IQ28:$OD28)*1000+SUMPRODUCT('calcA'!$D$80:$EQ$80,$DB28:$IO28+$ZQ28:$AFD28,$AFF28:$AKS28),SUMPRODUCT('calcA'!$D$80:$EQ$80,$DB28:$IO28*1001+$ZQ28:$AFD28))*100+21)</f>
        <v/>
      </c>
      <c r="CH28">
        <f>IF(OR(AS28=1,calcA!$A$6=0),1000000000,IF('calcA'!$JF$31=1,0,100000000)+IF('calcA'!$IQ$31=2,SUMPRODUCT('calcA'!$D$81:$EQ$81,$DB28:$IO28,$IQ28:$OD28)*1000+SUMPRODUCT('calcA'!$D$81:$EQ$81,$DB28:$IO28+$ZQ28:$AFD28,$AFF28:$AKS28),SUMPRODUCT('calcA'!$D$81:$EQ$81,$DB28:$IO28*1001+$ZQ28:$AFD28))*100+22)</f>
        <v/>
      </c>
      <c r="CI28">
        <f>IF(OR(AT28=1,calcA!$A$6=0),1000000000,IF('calcA'!$JF$32=1,0,100000000)+IF('calcA'!$IQ$32=2,SUMPRODUCT('calcA'!$D$82:$EQ$82,$DB28:$IO28,$IQ28:$OD28)*1000+SUMPRODUCT('calcA'!$D$82:$EQ$82,$DB28:$IO28+$ZQ28:$AFD28,$AFF28:$AKS28),SUMPRODUCT('calcA'!$D$82:$EQ$82,$DB28:$IO28*1001+$ZQ28:$AFD28))*100+23)</f>
        <v/>
      </c>
      <c r="CJ28">
        <f>IF(OR(AU28=1,calcA!$A$6=0),1000000000,IF('calcA'!$JF$33=1,0,100000000)+IF('calcA'!$IQ$33=2,SUMPRODUCT('calcA'!$D$83:$EQ$83,$DB28:$IO28,$IQ28:$OD28)*1000+SUMPRODUCT('calcA'!$D$83:$EQ$83,$DB28:$IO28+$ZQ28:$AFD28,$AFF28:$AKS28),SUMPRODUCT('calcA'!$D$83:$EQ$83,$DB28:$IO28*1001+$ZQ28:$AFD28))*100+24)</f>
        <v/>
      </c>
      <c r="CK28">
        <f>IF(OR(AV28=1,calcA!$A$6=0),1000000000,IF('calcA'!$JF$34=1,0,100000000)+IF('calcA'!$IQ$34=2,SUMPRODUCT('calcA'!$D$84:$EQ$84,$DB28:$IO28,$IQ28:$OD28)*1000+SUMPRODUCT('calcA'!$D$84:$EQ$84,$DB28:$IO28+$ZQ28:$AFD28,$AFF28:$AKS28),SUMPRODUCT('calcA'!$D$84:$EQ$84,$DB28:$IO28*1001+$ZQ28:$AFD28))*100+25)</f>
        <v/>
      </c>
      <c r="CL28">
        <f>IF(OR(AW28=1,calcA!$A$6=0),1000000000,IF('calcA'!$JF$35=1,0,100000000)+IF('calcA'!$IQ$35=2,SUMPRODUCT('calcA'!$D$85:$EQ$85,$DB28:$IO28,$IQ28:$OD28)*1000+SUMPRODUCT('calcA'!$D$85:$EQ$85,$DB28:$IO28+$ZQ28:$AFD28,$AFF28:$AKS28),SUMPRODUCT('calcA'!$D$85:$EQ$85,$DB28:$IO28*1001+$ZQ28:$AFD28))*100+26)</f>
        <v/>
      </c>
      <c r="CM28">
        <f>IF(OR(AX28=1,calcA!$A$6=0),1000000000,IF('calcA'!$JF$36=1,0,100000000)+IF('calcA'!$IQ$36=2,SUMPRODUCT('calcA'!$D$86:$EQ$86,$DB28:$IO28,$IQ28:$OD28)*1000+SUMPRODUCT('calcA'!$D$86:$EQ$86,$DB28:$IO28+$ZQ28:$AFD28,$AFF28:$AKS28),SUMPRODUCT('calcA'!$D$86:$EQ$86,$DB28:$IO28*1001+$ZQ28:$AFD28))*100+27)</f>
        <v/>
      </c>
      <c r="CN28">
        <f>IF(OR(AY28=1,calcA!$A$6=0),1000000000,IF('calcA'!$JF$37=1,0,100000000)+IF('calcA'!$IQ$37=2,SUMPRODUCT('calcA'!$D$87:$EQ$87,$DB28:$IO28,$IQ28:$OD28)*1000+SUMPRODUCT('calcA'!$D$87:$EQ$87,$DB28:$IO28+$ZQ28:$AFD28,$AFF28:$AKS28),SUMPRODUCT('calcA'!$D$87:$EQ$87,$DB28:$IO28*1001+$ZQ28:$AFD28))*100+28)</f>
        <v/>
      </c>
      <c r="CO28">
        <f>IF(OR(AZ28=1,calcA!$A$6=0),1000000000,IF('calcA'!$JF$38=1,0,100000000)+IF('calcA'!$IQ$38=2,SUMPRODUCT('calcA'!$D$88:$EQ$88,$DB28:$IO28,$IQ28:$OD28)*1000+SUMPRODUCT('calcA'!$D$88:$EQ$88,$DB28:$IO28+$ZQ28:$AFD28,$AFF28:$AKS28),SUMPRODUCT('calcA'!$D$88:$EQ$88,$DB28:$IO28*1001+$ZQ28:$AFD28))*100+29)</f>
        <v/>
      </c>
      <c r="CP28">
        <f>IF(OR(BA28=1,calcA!$A$6=0),1000000000,IF('calcA'!$JF$39=1,0,100000000)+IF('calcA'!$IQ$39=2,SUMPRODUCT('calcA'!$D$89:$EQ$89,$DB28:$IO28,$IQ28:$OD28)*1000+SUMPRODUCT('calcA'!$D$89:$EQ$89,$DB28:$IO28+$ZQ28:$AFD28,$AFF28:$AKS28),SUMPRODUCT('calcA'!$D$89:$EQ$89,$DB28:$IO28*1001+$ZQ28:$AFD28))*100+30)</f>
        <v/>
      </c>
      <c r="CQ28">
        <f>IF(OR(BB28=1,calcA!$A$6=0),1000000000,IF('calcA'!$JF$40=1,0,100000000)+IF('calcA'!$IQ$40=2,SUMPRODUCT('calcA'!$D$90:$EQ$90,$DB28:$IO28,$IQ28:$OD28)*1000+SUMPRODUCT('calcA'!$D$90:$EQ$90,$DB28:$IO28+$ZQ28:$AFD28,$AFF28:$AKS28),SUMPRODUCT('calcA'!$D$90:$EQ$90,$DB28:$IO28*1001+$ZQ28:$AFD28))*100+31)</f>
        <v/>
      </c>
      <c r="CR28">
        <f>IF(OR(BC28=1,calcA!$A$6=0),1000000000,IF('calcA'!$JF$41=1,0,100000000)+IF('calcA'!$IQ$41=2,SUMPRODUCT('calcA'!$D$91:$EQ$91,$DB28:$IO28,$IQ28:$OD28)*1000+SUMPRODUCT('calcA'!$D$91:$EQ$91,$DB28:$IO28+$ZQ28:$AFD28,$AFF28:$AKS28),SUMPRODUCT('calcA'!$D$91:$EQ$91,$DB28:$IO28*1001+$ZQ28:$AFD28))*100+32)</f>
        <v/>
      </c>
      <c r="CS28">
        <f>IF(OR(BD28=1,calcA!$A$6=0),1000000000,IF('calcA'!$JF$42=1,0,100000000)+IF('calcA'!$IQ$42=2,SUMPRODUCT('calcA'!$D$92:$EQ$92,$DB28:$IO28,$IQ28:$OD28)*1000+SUMPRODUCT('calcA'!$D$92:$EQ$92,$DB28:$IO28+$ZQ28:$AFD28,$AFF28:$AKS28),SUMPRODUCT('calcA'!$D$92:$EQ$92,$DB28:$IO28*1001+$ZQ28:$AFD28))*100+33)</f>
        <v/>
      </c>
      <c r="CT28">
        <f>IF(OR(BE28=1,calcA!$A$6=0),1000000000,IF('calcA'!$JF$43=1,0,100000000)+IF('calcA'!$IQ$43=2,SUMPRODUCT('calcA'!$D$93:$EQ$93,$DB28:$IO28,$IQ28:$OD28)*1000+SUMPRODUCT('calcA'!$D$93:$EQ$93,$DB28:$IO28+$ZQ28:$AFD28,$AFF28:$AKS28),SUMPRODUCT('calcA'!$D$93:$EQ$93,$DB28:$IO28*1001+$ZQ28:$AFD28))*100+34)</f>
        <v/>
      </c>
      <c r="CU28">
        <f>IF(OR(BF28=1,calcA!$A$6=0),1000000000,IF('calcA'!$JF$44=1,0,100000000)+IF('calcA'!$IQ$44=2,SUMPRODUCT('calcA'!$D$94:$EQ$94,$DB28:$IO28,$IQ28:$OD28)*1000+SUMPRODUCT('calcA'!$D$94:$EQ$94,$DB28:$IO28+$ZQ28:$AFD28,$AFF28:$AKS28),SUMPRODUCT('calcA'!$D$94:$EQ$94,$DB28:$IO28*1001+$ZQ28:$AFD28))*100+35)</f>
        <v/>
      </c>
      <c r="CV28">
        <f>IF(OR(BG28=1,calcA!$A$6=0),1000000000,IF('calcA'!$JF$45=1,0,100000000)+IF('calcA'!$IQ$45=2,SUMPRODUCT('calcA'!$D$95:$EQ$95,$DB28:$IO28,$IQ28:$OD28)*1000+SUMPRODUCT('calcA'!$D$95:$EQ$95,$DB28:$IO28+$ZQ28:$AFD28,$AFF28:$AKS28),SUMPRODUCT('calcA'!$D$95:$EQ$95,$DB28:$IO28*1001+$ZQ28:$AFD28))*100+36)</f>
        <v/>
      </c>
      <c r="CW28">
        <f>IF(OR(BH28=1,calcA!$A$6=0),1000000000,IF('calcA'!$JF$46=1,0,100000000)+IF('calcA'!$IQ$46=2,SUMPRODUCT('calcA'!$D$96:$EQ$96,$DB28:$IO28,$IQ28:$OD28)*1000+SUMPRODUCT('calcA'!$D$96:$EQ$96,$DB28:$IO28+$ZQ28:$AFD28,$AFF28:$AKS28),SUMPRODUCT('calcA'!$D$96:$EQ$96,$DB28:$IO28*1001+$ZQ28:$AFD28))*100+37)</f>
        <v/>
      </c>
      <c r="CX28">
        <f>IF(OR(BI28=1,calcA!$A$6=0),1000000000,IF('calcA'!$JF$47=1,0,100000000)+IF('calcA'!$IQ$47=2,SUMPRODUCT('calcA'!$D$97:$EQ$97,$DB28:$IO28,$IQ28:$OD28)*1000+SUMPRODUCT('calcA'!$D$97:$EQ$97,$DB28:$IO28+$ZQ28:$AFD28,$AFF28:$AKS28),SUMPRODUCT('calcA'!$D$97:$EQ$97,$DB28:$IO28*1001+$ZQ28:$AFD28))*100+38)</f>
        <v/>
      </c>
      <c r="CY28">
        <f>IF(OR(BJ28=1,calcA!$A$6=0),1000000000,IF('calcA'!$JF$48=1,0,100000000)+IF('calcA'!$IQ$48=2,SUMPRODUCT('calcA'!$D$98:$EQ$98,$DB28:$IO28,$IQ28:$OD28)*1000+SUMPRODUCT('calcA'!$D$98:$EQ$98,$DB28:$IO28+$ZQ28:$AFD28,$AFF28:$AKS28),SUMPRODUCT('calcA'!$D$98:$EQ$98,$DB28:$IO28*1001+$ZQ28:$AFD28))*100+39)</f>
        <v/>
      </c>
      <c r="CZ28">
        <f>IF(OR(BK28=1,calcA!$A$6=0),1000000000,IF('calcA'!$JF$49=1,0,100000000)+IF('calcA'!$IQ$49=2,SUMPRODUCT('calcA'!$D$99:$EQ$99,$DB28:$IO28,$IQ28:$OD28)*1000+SUMPRODUCT('calcA'!$D$99:$EQ$99,$DB28:$IO28+$ZQ28:$AFD28,$AFF28:$AKS28),SUMPRODUCT('calcA'!$D$99:$EQ$99,$DB28:$IO28*1001+$ZQ28:$AFD28))*100+40)</f>
        <v/>
      </c>
      <c r="DB28">
        <f>DB27*IF(OR($C27=1,$G27=1),0,1)</f>
        <v/>
      </c>
      <c r="DC28">
        <f>DC27*IF(OR($C27=2,$G27=2),0,1)</f>
        <v/>
      </c>
      <c r="DD28">
        <f>DD27*IF(OR($C27=3,$G27=3),0,1)</f>
        <v/>
      </c>
      <c r="DE28">
        <f>DE27*IF(OR($C27=4,$G27=4),0,1)</f>
        <v/>
      </c>
      <c r="DF28">
        <f>DF27*IF(OR($C27=5,$G27=5),0,1)</f>
        <v/>
      </c>
      <c r="DG28">
        <f>DG27*IF(OR($C27=6,$G27=6),0,1)</f>
        <v/>
      </c>
      <c r="DH28">
        <f>DH27*IF(OR($C27=7,$G27=7),0,1)</f>
        <v/>
      </c>
      <c r="DI28">
        <f>DI27*IF(OR($C27=8,$G27=8),0,1)</f>
        <v/>
      </c>
      <c r="DJ28">
        <f>DJ27*IF(OR($C27=9,$G27=9),0,1)</f>
        <v/>
      </c>
      <c r="DK28">
        <f>DK27*IF(OR($C27=10,$G27=10),0,1)</f>
        <v/>
      </c>
      <c r="DL28">
        <f>DL27*IF(OR($C27=11,$G27=11),0,1)</f>
        <v/>
      </c>
      <c r="DM28">
        <f>DM27*IF(OR($C27=12,$G27=12),0,1)</f>
        <v/>
      </c>
      <c r="DN28">
        <f>DN27*IF(OR($C27=13,$G27=13),0,1)</f>
        <v/>
      </c>
      <c r="DO28">
        <f>DO27*IF(OR($C27=14,$G27=14),0,1)</f>
        <v/>
      </c>
      <c r="DP28">
        <f>DP27*IF(OR($C27=15,$G27=15),0,1)</f>
        <v/>
      </c>
      <c r="DQ28">
        <f>DQ27*IF(OR($C27=16,$G27=16),0,1)</f>
        <v/>
      </c>
      <c r="DR28">
        <f>DR27*IF(OR($C27=17,$G27=17),0,1)</f>
        <v/>
      </c>
      <c r="DS28">
        <f>DS27*IF(OR($C27=18,$G27=18),0,1)</f>
        <v/>
      </c>
      <c r="DT28">
        <f>DT27*IF(OR($C27=19,$G27=19),0,1)</f>
        <v/>
      </c>
      <c r="DU28">
        <f>DU27*IF(OR($C27=20,$G27=20),0,1)</f>
        <v/>
      </c>
      <c r="DV28">
        <f>DV27*IF(OR($C27=21,$G27=21),0,1)</f>
        <v/>
      </c>
      <c r="DW28">
        <f>DW27*IF(OR($C27=22,$G27=22),0,1)</f>
        <v/>
      </c>
      <c r="DX28">
        <f>DX27*IF(OR($C27=23,$G27=23),0,1)</f>
        <v/>
      </c>
      <c r="DY28">
        <f>DY27*IF(OR($C27=24,$G27=24),0,1)</f>
        <v/>
      </c>
      <c r="DZ28">
        <f>DZ27*IF(OR($C27=25,$G27=25),0,1)</f>
        <v/>
      </c>
      <c r="EA28">
        <f>EA27*IF(OR($C27=26,$G27=26),0,1)</f>
        <v/>
      </c>
      <c r="EB28">
        <f>EB27*IF(OR($C27=27,$G27=27),0,1)</f>
        <v/>
      </c>
      <c r="EC28">
        <f>EC27*IF(OR($C27=28,$G27=28),0,1)</f>
        <v/>
      </c>
      <c r="ED28">
        <f>ED27*IF(OR($C27=29,$G27=29),0,1)</f>
        <v/>
      </c>
      <c r="EE28">
        <f>EE27*IF(OR($C27=30,$G27=30),0,1)</f>
        <v/>
      </c>
      <c r="EF28">
        <f>EF27*IF(OR($C27=31,$G27=31),0,1)</f>
        <v/>
      </c>
      <c r="EG28">
        <f>EG27*IF(OR($C27=32,$G27=32),0,1)</f>
        <v/>
      </c>
      <c r="EH28">
        <f>EH27*IF(OR($C27=33,$G27=33),0,1)</f>
        <v/>
      </c>
      <c r="EI28">
        <f>EI27*IF(OR($C27=34,$G27=34),0,1)</f>
        <v/>
      </c>
      <c r="EJ28">
        <f>EJ27*IF(OR($C27=35,$G27=35),0,1)</f>
        <v/>
      </c>
      <c r="EK28">
        <f>EK27*IF(OR($C27=36,$G27=36),0,1)</f>
        <v/>
      </c>
      <c r="EL28">
        <f>EL27*IF(OR($C27=37,$G27=37),0,1)</f>
        <v/>
      </c>
      <c r="EM28">
        <f>EM27*IF(OR($C27=38,$G27=38),0,1)</f>
        <v/>
      </c>
      <c r="EN28">
        <f>EN27*IF(OR($C27=39,$G27=39),0,1)</f>
        <v/>
      </c>
      <c r="EO28">
        <f>EO27*IF(OR($C27=40,$G27=40),0,1)</f>
        <v/>
      </c>
      <c r="EP28">
        <f>EP27*IF(OR($C27=41,$G27=41),0,1)</f>
        <v/>
      </c>
      <c r="EQ28">
        <f>EQ27*IF(OR($C27=42,$G27=42),0,1)</f>
        <v/>
      </c>
      <c r="ER28">
        <f>ER27*IF(OR($C27=43,$G27=43),0,1)</f>
        <v/>
      </c>
      <c r="ES28">
        <f>ES27*IF(OR($C27=44,$G27=44),0,1)</f>
        <v/>
      </c>
      <c r="ET28">
        <f>ET27*IF(OR($C27=45,$G27=45),0,1)</f>
        <v/>
      </c>
      <c r="EU28">
        <f>EU27*IF(OR($C27=46,$G27=46),0,1)</f>
        <v/>
      </c>
      <c r="EV28">
        <f>EV27*IF(OR($C27=47,$G27=47),0,1)</f>
        <v/>
      </c>
      <c r="EW28">
        <f>EW27*IF(OR($C27=48,$G27=48),0,1)</f>
        <v/>
      </c>
      <c r="EX28">
        <f>EX27*IF(OR($C27=49,$G27=49),0,1)</f>
        <v/>
      </c>
      <c r="EY28">
        <f>EY27*IF(OR($C27=50,$G27=50),0,1)</f>
        <v/>
      </c>
      <c r="EZ28">
        <f>EZ27*IF(OR($C27=51,$G27=51),0,1)</f>
        <v/>
      </c>
      <c r="FA28">
        <f>FA27*IF(OR($C27=52,$G27=52),0,1)</f>
        <v/>
      </c>
      <c r="FB28">
        <f>FB27*IF(OR($C27=53,$G27=53),0,1)</f>
        <v/>
      </c>
      <c r="FC28">
        <f>FC27*IF(OR($C27=54,$G27=54),0,1)</f>
        <v/>
      </c>
      <c r="FD28">
        <f>FD27*IF(OR($C27=55,$G27=55),0,1)</f>
        <v/>
      </c>
      <c r="FE28">
        <f>FE27*IF(OR($C27=56,$G27=56),0,1)</f>
        <v/>
      </c>
      <c r="FF28">
        <f>FF27*IF(OR($C27=57,$G27=57),0,1)</f>
        <v/>
      </c>
      <c r="FG28">
        <f>FG27*IF(OR($C27=58,$G27=58),0,1)</f>
        <v/>
      </c>
      <c r="FH28">
        <f>FH27*IF(OR($C27=59,$G27=59),0,1)</f>
        <v/>
      </c>
      <c r="FI28">
        <f>FI27*IF(OR($C27=60,$G27=60),0,1)</f>
        <v/>
      </c>
      <c r="FJ28">
        <f>FJ27*IF(OR($C27=61,$G27=61),0,1)</f>
        <v/>
      </c>
      <c r="FK28">
        <f>FK27*IF(OR($C27=62,$G27=62),0,1)</f>
        <v/>
      </c>
      <c r="FL28">
        <f>FL27*IF(OR($C27=63,$G27=63),0,1)</f>
        <v/>
      </c>
      <c r="FM28">
        <f>FM27*IF(OR($C27=64,$G27=64),0,1)</f>
        <v/>
      </c>
      <c r="FN28">
        <f>FN27*IF(OR($C27=65,$G27=65),0,1)</f>
        <v/>
      </c>
      <c r="FO28">
        <f>FO27*IF(OR($C27=66,$G27=66),0,1)</f>
        <v/>
      </c>
      <c r="FP28">
        <f>FP27*IF(OR($C27=67,$G27=67),0,1)</f>
        <v/>
      </c>
      <c r="FQ28">
        <f>FQ27*IF(OR($C27=68,$G27=68),0,1)</f>
        <v/>
      </c>
      <c r="FR28">
        <f>FR27*IF(OR($C27=69,$G27=69),0,1)</f>
        <v/>
      </c>
      <c r="FS28">
        <f>FS27*IF(OR($C27=70,$G27=70),0,1)</f>
        <v/>
      </c>
      <c r="FT28">
        <f>FT27*IF(OR($C27=71,$G27=71),0,1)</f>
        <v/>
      </c>
      <c r="FU28">
        <f>FU27*IF(OR($C27=72,$G27=72),0,1)</f>
        <v/>
      </c>
      <c r="FV28">
        <f>FV27*IF(OR($C27=73,$G27=73),0,1)</f>
        <v/>
      </c>
      <c r="FW28">
        <f>FW27*IF(OR($C27=74,$G27=74),0,1)</f>
        <v/>
      </c>
      <c r="FX28">
        <f>FX27*IF(OR($C27=75,$G27=75),0,1)</f>
        <v/>
      </c>
      <c r="FY28">
        <f>FY27*IF(OR($C27=76,$G27=76),0,1)</f>
        <v/>
      </c>
      <c r="FZ28">
        <f>FZ27*IF(OR($C27=77,$G27=77),0,1)</f>
        <v/>
      </c>
      <c r="GA28">
        <f>GA27*IF(OR($C27=78,$G27=78),0,1)</f>
        <v/>
      </c>
      <c r="GB28">
        <f>GB27*IF(OR($C27=79,$G27=79),0,1)</f>
        <v/>
      </c>
      <c r="GC28">
        <f>GC27*IF(OR($C27=80,$G27=80),0,1)</f>
        <v/>
      </c>
      <c r="GD28">
        <f>GD27*IF(OR($C27=81,$G27=81),0,1)</f>
        <v/>
      </c>
      <c r="GE28">
        <f>GE27*IF(OR($C27=82,$G27=82),0,1)</f>
        <v/>
      </c>
      <c r="GF28">
        <f>GF27*IF(OR($C27=83,$G27=83),0,1)</f>
        <v/>
      </c>
      <c r="GG28">
        <f>GG27*IF(OR($C27=84,$G27=84),0,1)</f>
        <v/>
      </c>
      <c r="GH28">
        <f>GH27*IF(OR($C27=85,$G27=85),0,1)</f>
        <v/>
      </c>
      <c r="GI28">
        <f>GI27*IF(OR($C27=86,$G27=86),0,1)</f>
        <v/>
      </c>
      <c r="GJ28">
        <f>GJ27*IF(OR($C27=87,$G27=87),0,1)</f>
        <v/>
      </c>
      <c r="GK28">
        <f>GK27*IF(OR($C27=88,$G27=88),0,1)</f>
        <v/>
      </c>
      <c r="GL28">
        <f>GL27*IF(OR($C27=89,$G27=89),0,1)</f>
        <v/>
      </c>
      <c r="GM28">
        <f>GM27*IF(OR($C27=90,$G27=90),0,1)</f>
        <v/>
      </c>
      <c r="GN28">
        <f>GN27*IF(OR($C27=91,$G27=91),0,1)</f>
        <v/>
      </c>
      <c r="GO28">
        <f>GO27*IF(OR($C27=92,$G27=92),0,1)</f>
        <v/>
      </c>
      <c r="GP28">
        <f>GP27*IF(OR($C27=93,$G27=93),0,1)</f>
        <v/>
      </c>
      <c r="GQ28">
        <f>GQ27*IF(OR($C27=94,$G27=94),0,1)</f>
        <v/>
      </c>
      <c r="GR28">
        <f>GR27*IF(OR($C27=95,$G27=95),0,1)</f>
        <v/>
      </c>
      <c r="GS28">
        <f>GS27*IF(OR($C27=96,$G27=96),0,1)</f>
        <v/>
      </c>
      <c r="GT28">
        <f>GT27*IF(OR($C27=97,$G27=97),0,1)</f>
        <v/>
      </c>
      <c r="GU28">
        <f>GU27*IF(OR($C27=98,$G27=98),0,1)</f>
        <v/>
      </c>
      <c r="GV28">
        <f>GV27*IF(OR($C27=99,$G27=99),0,1)</f>
        <v/>
      </c>
      <c r="GW28">
        <f>GW27*IF(OR($C27=100,$G27=100),0,1)</f>
        <v/>
      </c>
      <c r="GX28">
        <f>GX27*IF(OR($C27=101,$G27=101),0,1)</f>
        <v/>
      </c>
      <c r="GY28">
        <f>GY27*IF(OR($C27=102,$G27=102),0,1)</f>
        <v/>
      </c>
      <c r="GZ28">
        <f>GZ27*IF(OR($C27=103,$G27=103),0,1)</f>
        <v/>
      </c>
      <c r="HA28">
        <f>HA27*IF(OR($C27=104,$G27=104),0,1)</f>
        <v/>
      </c>
      <c r="HB28">
        <f>HB27*IF(OR($C27=105,$G27=105),0,1)</f>
        <v/>
      </c>
      <c r="HC28">
        <f>HC27*IF(OR($C27=106,$G27=106),0,1)</f>
        <v/>
      </c>
      <c r="HD28">
        <f>HD27*IF(OR($C27=107,$G27=107),0,1)</f>
        <v/>
      </c>
      <c r="HE28">
        <f>HE27*IF(OR($C27=108,$G27=108),0,1)</f>
        <v/>
      </c>
      <c r="HF28">
        <f>HF27*IF(OR($C27=109,$G27=109),0,1)</f>
        <v/>
      </c>
      <c r="HG28">
        <f>HG27*IF(OR($C27=110,$G27=110),0,1)</f>
        <v/>
      </c>
      <c r="HH28">
        <f>HH27*IF(OR($C27=111,$G27=111),0,1)</f>
        <v/>
      </c>
      <c r="HI28">
        <f>HI27*IF(OR($C27=112,$G27=112),0,1)</f>
        <v/>
      </c>
      <c r="HJ28">
        <f>HJ27*IF(OR($C27=113,$G27=113),0,1)</f>
        <v/>
      </c>
      <c r="HK28">
        <f>HK27*IF(OR($C27=114,$G27=114),0,1)</f>
        <v/>
      </c>
      <c r="HL28">
        <f>HL27*IF(OR($C27=115,$G27=115),0,1)</f>
        <v/>
      </c>
      <c r="HM28">
        <f>HM27*IF(OR($C27=116,$G27=116),0,1)</f>
        <v/>
      </c>
      <c r="HN28">
        <f>HN27*IF(OR($C27=117,$G27=117),0,1)</f>
        <v/>
      </c>
      <c r="HO28">
        <f>HO27*IF(OR($C27=118,$G27=118),0,1)</f>
        <v/>
      </c>
      <c r="HP28">
        <f>HP27*IF(OR($C27=119,$G27=119),0,1)</f>
        <v/>
      </c>
      <c r="HQ28">
        <f>HQ27*IF(OR($C27=120,$G27=120),0,1)</f>
        <v/>
      </c>
      <c r="HR28">
        <f>HR27*IF(OR($C27=121,$G27=121),0,1)</f>
        <v/>
      </c>
      <c r="HS28">
        <f>HS27*IF(OR($C27=122,$G27=122),0,1)</f>
        <v/>
      </c>
      <c r="HT28">
        <f>HT27*IF(OR($C27=123,$G27=123),0,1)</f>
        <v/>
      </c>
      <c r="HU28">
        <f>HU27*IF(OR($C27=124,$G27=124),0,1)</f>
        <v/>
      </c>
      <c r="HV28">
        <f>HV27*IF(OR($C27=125,$G27=125),0,1)</f>
        <v/>
      </c>
      <c r="HW28">
        <f>HW27*IF(OR($C27=126,$G27=126),0,1)</f>
        <v/>
      </c>
      <c r="HX28">
        <f>HX27*IF(OR($C27=127,$G27=127),0,1)</f>
        <v/>
      </c>
      <c r="HY28">
        <f>HY27*IF(OR($C27=128,$G27=128),0,1)</f>
        <v/>
      </c>
      <c r="HZ28">
        <f>HZ27*IF(OR($C27=129,$G27=129),0,1)</f>
        <v/>
      </c>
      <c r="IA28">
        <f>IA27*IF(OR($C27=130,$G27=130),0,1)</f>
        <v/>
      </c>
      <c r="IB28">
        <f>IB27*IF(OR($C27=131,$G27=131),0,1)</f>
        <v/>
      </c>
      <c r="IC28">
        <f>IC27*IF(OR($C27=132,$G27=132),0,1)</f>
        <v/>
      </c>
      <c r="ID28">
        <f>ID27*IF(OR($C27=133,$G27=133),0,1)</f>
        <v/>
      </c>
      <c r="IE28">
        <f>IE27*IF(OR($C27=134,$G27=134),0,1)</f>
        <v/>
      </c>
      <c r="IF28">
        <f>IF27*IF(OR($C27=135,$G27=135),0,1)</f>
        <v/>
      </c>
      <c r="IG28">
        <f>IG27*IF(OR($C27=136,$G27=136),0,1)</f>
        <v/>
      </c>
      <c r="IH28">
        <f>IH27*IF(OR($C27=137,$G27=137),0,1)</f>
        <v/>
      </c>
      <c r="II28">
        <f>II27*IF(OR($C27=138,$G27=138),0,1)</f>
        <v/>
      </c>
      <c r="IJ28">
        <f>IJ27*IF(OR($C27=139,$G27=139),0,1)</f>
        <v/>
      </c>
      <c r="IK28">
        <f>IK27*IF(OR($C27=140,$G27=140),0,1)</f>
        <v/>
      </c>
      <c r="IL28">
        <f>IL27*IF(OR($C27=141,$G27=141),0,1)</f>
        <v/>
      </c>
      <c r="IM28">
        <f>IM27*IF(OR($C27=142,$G27=142),0,1)</f>
        <v/>
      </c>
      <c r="IN28">
        <f>IN27*IF(OR($C27=143,$G27=143),0,1)</f>
        <v/>
      </c>
      <c r="IO28">
        <f>IO27*IF(OR($C27=144,$G27=144),0,1)</f>
        <v/>
      </c>
      <c r="IQ28">
        <f>IF('calcA'!D$106=1,DC28,1)</f>
        <v/>
      </c>
      <c r="IR28">
        <f>IF('calcA'!E$106=1,DD28,1)</f>
        <v/>
      </c>
      <c r="IS28">
        <f>IF('calcA'!F$106=1,DE28,1)</f>
        <v/>
      </c>
      <c r="IT28">
        <f>IF('calcA'!G$106=1,DF28,1)</f>
        <v/>
      </c>
      <c r="IU28">
        <f>IF('calcA'!H$106=1,DG28,1)</f>
        <v/>
      </c>
      <c r="IV28">
        <f>IF('calcA'!I$106=1,DH28,1)</f>
        <v/>
      </c>
      <c r="IW28">
        <f>IF('calcA'!J$106=1,DI28,1)</f>
        <v/>
      </c>
      <c r="IX28">
        <f>IF('calcA'!K$106=1,DJ28,1)</f>
        <v/>
      </c>
      <c r="IY28">
        <f>IF('calcA'!L$106=1,DK28,1)</f>
        <v/>
      </c>
      <c r="IZ28">
        <f>IF('calcA'!M$106=1,DL28,1)</f>
        <v/>
      </c>
      <c r="JA28">
        <f>IF('calcA'!N$106=1,DM28,1)</f>
        <v/>
      </c>
      <c r="JB28">
        <f>IF('calcA'!O$106=1,DN28,1)</f>
        <v/>
      </c>
      <c r="JC28">
        <f>IF('calcA'!P$106=1,DO28,1)</f>
        <v/>
      </c>
      <c r="JD28">
        <f>IF('calcA'!Q$106=1,DP28,1)</f>
        <v/>
      </c>
      <c r="JE28">
        <f>IF('calcA'!R$106=1,DQ28,1)</f>
        <v/>
      </c>
      <c r="JF28">
        <f>IF('calcA'!S$106=1,DR28,1)</f>
        <v/>
      </c>
      <c r="JG28">
        <f>IF('calcA'!T$106=1,DS28,1)</f>
        <v/>
      </c>
      <c r="JH28">
        <f>IF('calcA'!U$106=1,DT28,1)</f>
        <v/>
      </c>
      <c r="JI28">
        <f>IF('calcA'!V$106=1,DU28,1)</f>
        <v/>
      </c>
      <c r="JJ28">
        <f>IF('calcA'!W$106=1,DV28,1)</f>
        <v/>
      </c>
      <c r="JK28">
        <f>IF('calcA'!X$106=1,DW28,1)</f>
        <v/>
      </c>
      <c r="JL28">
        <f>IF('calcA'!Y$106=1,DX28,1)</f>
        <v/>
      </c>
      <c r="JM28">
        <f>IF('calcA'!Z$106=1,DY28,1)</f>
        <v/>
      </c>
      <c r="JN28">
        <f>IF('calcA'!AA$106=1,DZ28,1)</f>
        <v/>
      </c>
      <c r="JO28">
        <f>IF('calcA'!AB$106=1,EA28,1)</f>
        <v/>
      </c>
      <c r="JP28">
        <f>IF('calcA'!AC$106=1,EB28,1)</f>
        <v/>
      </c>
      <c r="JQ28">
        <f>IF('calcA'!AD$106=1,EC28,1)</f>
        <v/>
      </c>
      <c r="JR28">
        <f>IF('calcA'!AE$106=1,ED28,1)</f>
        <v/>
      </c>
      <c r="JS28">
        <f>IF('calcA'!AF$106=1,EE28,1)</f>
        <v/>
      </c>
      <c r="JT28">
        <f>IF('calcA'!AG$106=1,EF28,1)</f>
        <v/>
      </c>
      <c r="JU28">
        <f>IF('calcA'!AH$106=1,EG28,1)</f>
        <v/>
      </c>
      <c r="JV28">
        <f>IF('calcA'!AI$106=1,EH28,1)</f>
        <v/>
      </c>
      <c r="JW28">
        <f>IF('calcA'!AJ$106=1,EI28,1)</f>
        <v/>
      </c>
      <c r="JX28">
        <f>IF('calcA'!AK$106=1,EJ28,1)</f>
        <v/>
      </c>
      <c r="JY28">
        <f>IF('calcA'!AL$106=1,EK28,1)</f>
        <v/>
      </c>
      <c r="JZ28">
        <f>IF('calcA'!AM$106=1,EL28,1)</f>
        <v/>
      </c>
      <c r="KA28">
        <f>IF('calcA'!AN$106=1,EM28,1)</f>
        <v/>
      </c>
      <c r="KB28">
        <f>IF('calcA'!AO$106=1,EN28,1)</f>
        <v/>
      </c>
      <c r="KC28">
        <f>IF('calcA'!AP$106=1,EO28,1)</f>
        <v/>
      </c>
      <c r="KD28">
        <f>IF('calcA'!AQ$106=1,EP28,1)</f>
        <v/>
      </c>
      <c r="KE28">
        <f>IF('calcA'!AR$106=1,EQ28,1)</f>
        <v/>
      </c>
      <c r="KF28">
        <f>IF('calcA'!AS$106=1,ER28,1)</f>
        <v/>
      </c>
      <c r="KG28">
        <f>IF('calcA'!AT$106=1,ES28,1)</f>
        <v/>
      </c>
      <c r="KH28">
        <f>IF('calcA'!AU$106=1,ET28,1)</f>
        <v/>
      </c>
      <c r="KI28">
        <f>IF('calcA'!AV$106=1,EU28,1)</f>
        <v/>
      </c>
      <c r="KJ28">
        <f>IF('calcA'!AW$106=1,EV28,1)</f>
        <v/>
      </c>
      <c r="KK28">
        <f>IF('calcA'!AX$106=1,EW28,1)</f>
        <v/>
      </c>
      <c r="KL28">
        <f>IF('calcA'!AY$106=1,EX28,1)</f>
        <v/>
      </c>
      <c r="KM28">
        <f>IF('calcA'!AZ$106=1,EY28,1)</f>
        <v/>
      </c>
      <c r="KN28">
        <f>IF('calcA'!BA$106=1,EZ28,1)</f>
        <v/>
      </c>
      <c r="KO28">
        <f>IF('calcA'!BB$106=1,FA28,1)</f>
        <v/>
      </c>
      <c r="KP28">
        <f>IF('calcA'!BC$106=1,FB28,1)</f>
        <v/>
      </c>
      <c r="KQ28">
        <f>IF('calcA'!BD$106=1,FC28,1)</f>
        <v/>
      </c>
      <c r="KR28">
        <f>IF('calcA'!BE$106=1,FD28,1)</f>
        <v/>
      </c>
      <c r="KS28">
        <f>IF('calcA'!BF$106=1,FE28,1)</f>
        <v/>
      </c>
      <c r="KT28">
        <f>IF('calcA'!BG$106=1,FF28,1)</f>
        <v/>
      </c>
      <c r="KU28">
        <f>IF('calcA'!BH$106=1,FG28,1)</f>
        <v/>
      </c>
      <c r="KV28">
        <f>IF('calcA'!BI$106=1,FH28,1)</f>
        <v/>
      </c>
      <c r="KW28">
        <f>IF('calcA'!BJ$106=1,FI28,1)</f>
        <v/>
      </c>
      <c r="KX28">
        <f>IF('calcA'!BK$106=1,FJ28,1)</f>
        <v/>
      </c>
      <c r="KY28">
        <f>IF('calcA'!BL$106=1,FK28,1)</f>
        <v/>
      </c>
      <c r="KZ28">
        <f>IF('calcA'!BM$106=1,FL28,1)</f>
        <v/>
      </c>
      <c r="LA28">
        <f>IF('calcA'!BN$106=1,FM28,1)</f>
        <v/>
      </c>
      <c r="LB28">
        <f>IF('calcA'!BO$106=1,FN28,1)</f>
        <v/>
      </c>
      <c r="LC28">
        <f>IF('calcA'!BP$106=1,FO28,1)</f>
        <v/>
      </c>
      <c r="LD28">
        <f>IF('calcA'!BQ$106=1,FP28,1)</f>
        <v/>
      </c>
      <c r="LE28">
        <f>IF('calcA'!BR$106=1,FQ28,1)</f>
        <v/>
      </c>
      <c r="LF28">
        <f>IF('calcA'!BS$106=1,FR28,1)</f>
        <v/>
      </c>
      <c r="LG28">
        <f>IF('calcA'!BT$106=1,FS28,1)</f>
        <v/>
      </c>
      <c r="LH28">
        <f>IF('calcA'!BU$106=1,FT28,1)</f>
        <v/>
      </c>
      <c r="LI28">
        <f>IF('calcA'!BV$106=1,FU28,1)</f>
        <v/>
      </c>
      <c r="LJ28">
        <f>IF('calcA'!BW$106=1,FV28,1)</f>
        <v/>
      </c>
      <c r="LK28">
        <f>IF('calcA'!BX$106=1,FW28,1)</f>
        <v/>
      </c>
      <c r="LL28">
        <f>IF('calcA'!BY$106=1,FX28,1)</f>
        <v/>
      </c>
      <c r="LM28">
        <f>IF('calcA'!BZ$106=1,FY28,1)</f>
        <v/>
      </c>
      <c r="LN28">
        <f>IF('calcA'!CA$106=1,FZ28,1)</f>
        <v/>
      </c>
      <c r="LO28">
        <f>IF('calcA'!CB$106=1,GA28,1)</f>
        <v/>
      </c>
      <c r="LP28">
        <f>IF('calcA'!CC$106=1,GB28,1)</f>
        <v/>
      </c>
      <c r="LQ28">
        <f>IF('calcA'!CD$106=1,GC28,1)</f>
        <v/>
      </c>
      <c r="LR28">
        <f>IF('calcA'!CE$106=1,GD28,1)</f>
        <v/>
      </c>
      <c r="LS28">
        <f>IF('calcA'!CF$106=1,GE28,1)</f>
        <v/>
      </c>
      <c r="LT28">
        <f>IF('calcA'!CG$106=1,GF28,1)</f>
        <v/>
      </c>
      <c r="LU28">
        <f>IF('calcA'!CH$106=1,GG28,1)</f>
        <v/>
      </c>
      <c r="LV28">
        <f>IF('calcA'!CI$106=1,GH28,1)</f>
        <v/>
      </c>
      <c r="LW28">
        <f>IF('calcA'!CJ$106=1,GI28,1)</f>
        <v/>
      </c>
      <c r="LX28">
        <f>IF('calcA'!CK$106=1,GJ28,1)</f>
        <v/>
      </c>
      <c r="LY28">
        <f>IF('calcA'!CL$106=1,GK28,1)</f>
        <v/>
      </c>
      <c r="LZ28">
        <f>IF('calcA'!CM$106=1,GL28,1)</f>
        <v/>
      </c>
      <c r="MA28">
        <f>IF('calcA'!CN$106=1,GM28,1)</f>
        <v/>
      </c>
      <c r="MB28">
        <f>IF('calcA'!CO$106=1,GN28,1)</f>
        <v/>
      </c>
      <c r="MC28">
        <f>IF('calcA'!CP$106=1,GO28,1)</f>
        <v/>
      </c>
      <c r="MD28">
        <f>IF('calcA'!CQ$106=1,GP28,1)</f>
        <v/>
      </c>
      <c r="ME28">
        <f>IF('calcA'!CR$106=1,GQ28,1)</f>
        <v/>
      </c>
      <c r="MF28">
        <f>IF('calcA'!CS$106=1,GR28,1)</f>
        <v/>
      </c>
      <c r="MG28">
        <f>IF('calcA'!CT$106=1,GS28,1)</f>
        <v/>
      </c>
      <c r="MH28">
        <f>IF('calcA'!CU$106=1,GT28,1)</f>
        <v/>
      </c>
      <c r="MI28">
        <f>IF('calcA'!CV$106=1,GU28,1)</f>
        <v/>
      </c>
      <c r="MJ28">
        <f>IF('calcA'!CW$106=1,GV28,1)</f>
        <v/>
      </c>
      <c r="MK28">
        <f>IF('calcA'!CX$106=1,GW28,1)</f>
        <v/>
      </c>
      <c r="ML28">
        <f>IF('calcA'!CY$106=1,GX28,1)</f>
        <v/>
      </c>
      <c r="MM28">
        <f>IF('calcA'!CZ$106=1,GY28,1)</f>
        <v/>
      </c>
      <c r="MN28">
        <f>IF('calcA'!DA$106=1,GZ28,1)</f>
        <v/>
      </c>
      <c r="MO28">
        <f>IF('calcA'!DB$106=1,HA28,1)</f>
        <v/>
      </c>
      <c r="MP28">
        <f>IF('calcA'!DC$106=1,HB28,1)</f>
        <v/>
      </c>
      <c r="MQ28">
        <f>IF('calcA'!DD$106=1,HC28,1)</f>
        <v/>
      </c>
      <c r="MR28">
        <f>IF('calcA'!DE$106=1,HD28,1)</f>
        <v/>
      </c>
      <c r="MS28">
        <f>IF('calcA'!DF$106=1,HE28,1)</f>
        <v/>
      </c>
      <c r="MT28">
        <f>IF('calcA'!DG$106=1,HF28,1)</f>
        <v/>
      </c>
      <c r="MU28">
        <f>IF('calcA'!DH$106=1,HG28,1)</f>
        <v/>
      </c>
      <c r="MV28">
        <f>IF('calcA'!DI$106=1,HH28,1)</f>
        <v/>
      </c>
      <c r="MW28">
        <f>IF('calcA'!DJ$106=1,HI28,1)</f>
        <v/>
      </c>
      <c r="MX28">
        <f>IF('calcA'!DK$106=1,HJ28,1)</f>
        <v/>
      </c>
      <c r="MY28">
        <f>IF('calcA'!DL$106=1,HK28,1)</f>
        <v/>
      </c>
      <c r="MZ28">
        <f>IF('calcA'!DM$106=1,HL28,1)</f>
        <v/>
      </c>
      <c r="NA28">
        <f>IF('calcA'!DN$106=1,HM28,1)</f>
        <v/>
      </c>
      <c r="NB28">
        <f>IF('calcA'!DO$106=1,HN28,1)</f>
        <v/>
      </c>
      <c r="NC28">
        <f>IF('calcA'!DP$106=1,HO28,1)</f>
        <v/>
      </c>
      <c r="ND28">
        <f>IF('calcA'!DQ$106=1,HP28,1)</f>
        <v/>
      </c>
      <c r="NE28">
        <f>IF('calcA'!DR$106=1,HQ28,1)</f>
        <v/>
      </c>
      <c r="NF28">
        <f>IF('calcA'!DS$106=1,HR28,1)</f>
        <v/>
      </c>
      <c r="NG28">
        <f>IF('calcA'!DT$106=1,HS28,1)</f>
        <v/>
      </c>
      <c r="NH28">
        <f>IF('calcA'!DU$106=1,HT28,1)</f>
        <v/>
      </c>
      <c r="NI28">
        <f>IF('calcA'!DV$106=1,HU28,1)</f>
        <v/>
      </c>
      <c r="NJ28">
        <f>IF('calcA'!DW$106=1,HV28,1)</f>
        <v/>
      </c>
      <c r="NK28">
        <f>IF('calcA'!DX$106=1,HW28,1)</f>
        <v/>
      </c>
      <c r="NL28">
        <f>IF('calcA'!DY$106=1,HX28,1)</f>
        <v/>
      </c>
      <c r="NM28">
        <f>IF('calcA'!DZ$106=1,HY28,1)</f>
        <v/>
      </c>
      <c r="NN28">
        <f>IF('calcA'!EA$106=1,HZ28,1)</f>
        <v/>
      </c>
      <c r="NO28">
        <f>IF('calcA'!EB$106=1,IA28,1)</f>
        <v/>
      </c>
      <c r="NP28">
        <f>IF('calcA'!EC$106=1,IB28,1)</f>
        <v/>
      </c>
      <c r="NQ28">
        <f>IF('calcA'!ED$106=1,IC28,1)</f>
        <v/>
      </c>
      <c r="NR28">
        <f>IF('calcA'!EE$106=1,ID28,1)</f>
        <v/>
      </c>
      <c r="NS28">
        <f>IF('calcA'!EF$106=1,IE28,1)</f>
        <v/>
      </c>
      <c r="NT28">
        <f>IF('calcA'!EG$106=1,IF28,1)</f>
        <v/>
      </c>
      <c r="NU28">
        <f>IF('calcA'!EH$106=1,IG28,1)</f>
        <v/>
      </c>
      <c r="NV28">
        <f>IF('calcA'!EI$106=1,IH28,1)</f>
        <v/>
      </c>
      <c r="NW28">
        <f>IF('calcA'!EJ$106=1,II28,1)</f>
        <v/>
      </c>
      <c r="NX28">
        <f>IF('calcA'!EK$106=1,IJ28,1)</f>
        <v/>
      </c>
      <c r="NY28">
        <f>IF('calcA'!EL$106=1,IK28,1)</f>
        <v/>
      </c>
      <c r="NZ28">
        <f>IF('calcA'!EM$106=1,IL28,1)</f>
        <v/>
      </c>
      <c r="OA28">
        <f>IF('calcA'!EN$106=1,IM28,1)</f>
        <v/>
      </c>
      <c r="OB28">
        <f>IF('calcA'!EO$106=1,IN28,1)</f>
        <v/>
      </c>
      <c r="OC28">
        <f>IF('calcA'!EP$106=1,IO28,1)</f>
        <v/>
      </c>
      <c r="OD28" t="n">
        <v>1</v>
      </c>
      <c r="OF28">
        <f>IF($B28=0,1000000000,IF(INDEX('calcA'!$D$60:$EQ$99,$B28,1)*IF($W28=1,DB28+ZQ28,DB28)=1,IF(AND($E28=2,IF($W28=1,AFF28,IQ28)=0),1000000000,IF($V28=1,INDEX('calcA'!$D$130:$EQ$169,$B28,1)+IF(AND($E28=1,IQ28=0),25,0),IF($F28&gt;0,INDEX('calcA'!D$110:D$114,$F28+1)+IF(AND($E28=1,IQ28=0),1000,0),MIN(TU28,20)*400+(IF('calcA'!D$106=1,1-DC28,0))*150+11+'calcA'!D$5*100000+IF(AND($E28=1,IQ28=0),50000,0))+IF($H28=1,INDEX('calcA'!$D$180:$EQ$219,$B28,1)*4000,0)-IF(AND($U28=1,'calcA'!D$117=1,DC28=0),2000,0))),1000000000))</f>
        <v/>
      </c>
      <c r="OG28">
        <f>IF($B28=0,1000000000,IF(INDEX('calcA'!$D$60:$EQ$99,$B28,2)*IF($W28=1,DC28+ZR28,DC28)=1,IF(AND($E28=2,IF($W28=1,AFG28,IR28)=0),1000000000,IF($V28=1,INDEX('calcA'!$D$130:$EQ$169,$B28,2)+IF(AND($E28=1,IR28=0),25,0),IF($F28&gt;0,INDEX('calcA'!E$110:E$114,$F28+1)+IF(AND($E28=1,IR28=0),1000,0),MIN(TU28,20)*400+(IF('calcA'!D$106=1,1-DB28,0)+IF('calcA'!E$106=1,1-DD28,0))*150+21+'calcA'!E$5*100000+IF(AND($E28=1,IR28=0),50000,0))+IF($H28=1,INDEX('calcA'!$D$180:$EQ$219,$B28,2)*4000,0)-IF(AND('calcA'!D$117=1,UB28&gt;0),2000,0)-IF(AND($U28=1,'calcA'!E$117=1,DD28=0),2000,0))),1000000000))</f>
        <v/>
      </c>
      <c r="OH28">
        <f>IF($B28=0,1000000000,IF(INDEX('calcA'!$D$60:$EQ$99,$B28,3)*IF($W28=1,DD28+ZS28,DD28)=1,IF(AND($E28=2,IF($W28=1,AFH28,IS28)=0),1000000000,IF($V28=1,INDEX('calcA'!$D$130:$EQ$169,$B28,3)+IF(AND($E28=1,IS28=0),25,0),IF($F28&gt;0,INDEX('calcA'!F$110:F$114,$F28+1)+IF(AND($E28=1,IS28=0),1000,0),MIN(TU28,20)*400+(IF('calcA'!E$106=1,1-DC28,0)+IF('calcA'!F$106=1,1-DE28,0))*150+31+'calcA'!F$5*100000+IF(AND($E28=1,IS28=0),50000,0))+IF($H28=1,INDEX('calcA'!$D$180:$EQ$219,$B28,3)*4000,0)-IF(AND('calcA'!E$117=1,UC28&gt;0),2000,0)-IF(AND($U28=1,'calcA'!F$117=1,DE28=0),2000,0))),1000000000))</f>
        <v/>
      </c>
      <c r="OI28">
        <f>IF($B28=0,1000000000,IF(INDEX('calcA'!$D$60:$EQ$99,$B28,4)*IF($W28=1,DE28+ZT28,DE28)=1,IF(AND($E28=2,IF($W28=1,AFI28,IT28)=0),1000000000,IF($V28=1,INDEX('calcA'!$D$130:$EQ$169,$B28,4)+IF(AND($E28=1,IT28=0),25,0),IF($F28&gt;0,INDEX('calcA'!G$110:G$114,$F28+1)+IF(AND($E28=1,IT28=0),1000,0),MIN(TU28,20)*400+(IF('calcA'!F$106=1,1-DD28,0)+IF('calcA'!G$106=1,1-DF28,0))*150+41+'calcA'!G$5*100000+IF(AND($E28=1,IT28=0),50000,0))+IF($H28=1,INDEX('calcA'!$D$180:$EQ$219,$B28,4)*4000,0)-IF(AND('calcA'!F$117=1,UD28&gt;0),2000,0)-IF(AND($U28=1,'calcA'!G$117=1,DF28=0),2000,0))),1000000000))</f>
        <v/>
      </c>
      <c r="OJ28">
        <f>IF($B28=0,1000000000,IF(INDEX('calcA'!$D$60:$EQ$99,$B28,5)*IF($W28=1,DF28+ZU28,DF28)=1,IF(AND($E28=2,IF($W28=1,AFJ28,IU28)=0),1000000000,IF($V28=1,INDEX('calcA'!$D$130:$EQ$169,$B28,5)+IF(AND($E28=1,IU28=0),25,0),IF($F28&gt;0,INDEX('calcA'!H$110:H$114,$F28+1)+IF(AND($E28=1,IU28=0),1000,0),MIN(TU28,20)*400+(IF('calcA'!G$106=1,1-DE28,0)+IF('calcA'!H$106=1,1-DG28,0))*150+51+'calcA'!H$5*100000+IF(AND($E28=1,IU28=0),50000,0))+IF($H28=1,INDEX('calcA'!$D$180:$EQ$219,$B28,5)*4000,0)-IF(AND('calcA'!G$117=1,UE28&gt;0),2000,0)-IF(AND($U28=1,'calcA'!H$117=1,DG28=0),2000,0))),1000000000))</f>
        <v/>
      </c>
      <c r="OK28">
        <f>IF($B28=0,1000000000,IF(INDEX('calcA'!$D$60:$EQ$99,$B28,6)*IF($W28=1,DG28+ZV28,DG28)=1,IF(AND($E28=2,IF($W28=1,AFK28,IV28)=0),1000000000,IF($V28=1,INDEX('calcA'!$D$130:$EQ$169,$B28,6)+IF(AND($E28=1,IV28=0),25,0),IF($F28&gt;0,INDEX('calcA'!I$110:I$114,$F28+1)+IF(AND($E28=1,IV28=0),1000,0),MIN(TU28,20)*400+(IF('calcA'!H$106=1,1-DF28,0)+IF('calcA'!I$106=1,1-DH28,0))*150+61+'calcA'!I$5*100000+IF(AND($E28=1,IV28=0),50000,0))+IF($H28=1,INDEX('calcA'!$D$180:$EQ$219,$B28,6)*4000,0)-IF(AND('calcA'!H$117=1,UF28&gt;0),2000,0)-IF(AND($U28=1,'calcA'!I$117=1,DH28=0),2000,0))),1000000000))</f>
        <v/>
      </c>
      <c r="OL28">
        <f>IF($B28=0,1000000000,IF(INDEX('calcA'!$D$60:$EQ$99,$B28,7)*IF($W28=1,DH28+ZW28,DH28)=1,IF(AND($E28=2,IF($W28=1,AFL28,IW28)=0),1000000000,IF($V28=1,INDEX('calcA'!$D$130:$EQ$169,$B28,7)+IF(AND($E28=1,IW28=0),25,0),IF($F28&gt;0,INDEX('calcA'!J$110:J$114,$F28+1)+IF(AND($E28=1,IW28=0),1000,0),MIN(TU28,20)*400+(IF('calcA'!I$106=1,1-DG28,0)+IF('calcA'!J$106=1,1-DI28,0))*150+71+'calcA'!J$5*100000+IF(AND($E28=1,IW28=0),50000,0))+IF($H28=1,INDEX('calcA'!$D$180:$EQ$219,$B28,7)*4000,0)-IF(AND('calcA'!I$117=1,UG28&gt;0),2000,0)-IF(AND($U28=1,'calcA'!J$117=1,DI28=0),2000,0))),1000000000))</f>
        <v/>
      </c>
      <c r="OM28">
        <f>IF($B28=0,1000000000,IF(INDEX('calcA'!$D$60:$EQ$99,$B28,8)*IF($W28=1,DI28+ZX28,DI28)=1,IF(AND($E28=2,IF($W28=1,AFM28,IX28)=0),1000000000,IF($V28=1,INDEX('calcA'!$D$130:$EQ$169,$B28,8)+IF(AND($E28=1,IX28=0),25,0),IF($F28&gt;0,INDEX('calcA'!K$110:K$114,$F28+1)+IF(AND($E28=1,IX28=0),1000,0),MIN(TU28,20)*400+(IF('calcA'!J$106=1,1-DH28,0)+IF('calcA'!K$106=1,1-DJ28,0))*150+81+'calcA'!K$5*100000+IF(AND($E28=1,IX28=0),50000,0))+IF($H28=1,INDEX('calcA'!$D$180:$EQ$219,$B28,8)*4000,0)-IF(AND('calcA'!J$117=1,UH28&gt;0),2000,0)-IF(AND($U28=1,'calcA'!K$117=1,DJ28=0),2000,0))),1000000000))</f>
        <v/>
      </c>
      <c r="ON28">
        <f>IF($B28=0,1000000000,IF(INDEX('calcA'!$D$60:$EQ$99,$B28,9)*IF($W28=1,DJ28+ZY28,DJ28)=1,IF(AND($E28=2,IF($W28=1,AFN28,IY28)=0),1000000000,IF($V28=1,INDEX('calcA'!$D$130:$EQ$169,$B28,9)+IF(AND($E28=1,IY28=0),25,0),IF($F28&gt;0,INDEX('calcA'!L$110:L$114,$F28+1)+IF(AND($E28=1,IY28=0),1000,0),MIN(TU28,20)*400+(IF('calcA'!K$106=1,1-DI28,0)+IF('calcA'!L$106=1,1-DK28,0))*150+91+'calcA'!L$5*100000+IF(AND($E28=1,IY28=0),50000,0))+IF($H28=1,INDEX('calcA'!$D$180:$EQ$219,$B28,9)*4000,0)-IF(AND('calcA'!K$117=1,UI28&gt;0),2000,0)-IF(AND($U28=1,'calcA'!L$117=1,DK28=0),2000,0))),1000000000))</f>
        <v/>
      </c>
      <c r="OO28">
        <f>IF($B28=0,1000000000,IF(INDEX('calcA'!$D$60:$EQ$99,$B28,10)*IF($W28=1,DK28+ZZ28,DK28)=1,IF(AND($E28=2,IF($W28=1,AFO28,IZ28)=0),1000000000,IF($V28=1,INDEX('calcA'!$D$130:$EQ$169,$B28,10)+IF(AND($E28=1,IZ28=0),25,0),IF($F28&gt;0,INDEX('calcA'!M$110:M$114,$F28+1)+IF(AND($E28=1,IZ28=0),1000,0),MIN(TU28,20)*400+(IF('calcA'!L$106=1,1-DJ28,0)+IF('calcA'!M$106=1,1-DL28,0))*150+101+'calcA'!M$5*100000+IF(AND($E28=1,IZ28=0),50000,0))+IF($H28=1,INDEX('calcA'!$D$180:$EQ$219,$B28,10)*4000,0)-IF(AND('calcA'!L$117=1,UJ28&gt;0),2000,0)-IF(AND($U28=1,'calcA'!M$117=1,DL28=0),2000,0))),1000000000))</f>
        <v/>
      </c>
      <c r="OP28">
        <f>IF($B28=0,1000000000,IF(INDEX('calcA'!$D$60:$EQ$99,$B28,11)*IF($W28=1,DL28+AAA28,DL28)=1,IF(AND($E28=2,IF($W28=1,AFP28,JA28)=0),1000000000,IF($V28=1,INDEX('calcA'!$D$130:$EQ$169,$B28,11)+IF(AND($E28=1,JA28=0),25,0),IF($F28&gt;0,INDEX('calcA'!N$110:N$114,$F28+1)+IF(AND($E28=1,JA28=0),1000,0),MIN(TU28,20)*400+(IF('calcA'!M$106=1,1-DK28,0)+IF('calcA'!N$106=1,1-DM28,0))*150+111+'calcA'!N$5*100000+IF(AND($E28=1,JA28=0),50000,0))+IF($H28=1,INDEX('calcA'!$D$180:$EQ$219,$B28,11)*4000,0)-IF(AND('calcA'!M$117=1,UK28&gt;0),2000,0)-IF(AND($U28=1,'calcA'!N$117=1,DM28=0),2000,0))),1000000000))</f>
        <v/>
      </c>
      <c r="OQ28">
        <f>IF($B28=0,1000000000,IF(INDEX('calcA'!$D$60:$EQ$99,$B28,12)*IF($W28=1,DM28+AAB28,DM28)=1,IF(AND($E28=2,IF($W28=1,AFQ28,JB28)=0),1000000000,IF($V28=1,INDEX('calcA'!$D$130:$EQ$169,$B28,12)+IF(AND($E28=1,JB28=0),25,0),IF($F28&gt;0,INDEX('calcA'!O$110:O$114,$F28+1)+IF(AND($E28=1,JB28=0),1000,0),MIN(TU28,20)*400+(IF('calcA'!N$106=1,1-DL28,0)+IF('calcA'!O$106=1,1-DN28,0))*150+121+'calcA'!O$5*100000+IF(AND($E28=1,JB28=0),50000,0))+IF($H28=1,INDEX('calcA'!$D$180:$EQ$219,$B28,12)*4000,0)-IF(AND('calcA'!N$117=1,UL28&gt;0),2000,0)-IF(AND($U28=1,'calcA'!O$117=1,DN28=0),2000,0))),1000000000))</f>
        <v/>
      </c>
      <c r="OR28">
        <f>IF($B28=0,1000000000,IF(INDEX('calcA'!$D$60:$EQ$99,$B28,13)*IF($W28=1,DN28+AAC28,DN28)=1,IF(AND($E28=2,IF($W28=1,AFR28,JC28)=0),1000000000,IF($V28=1,INDEX('calcA'!$D$130:$EQ$169,$B28,13)+IF(AND($E28=1,JC28=0),25,0),IF($F28&gt;0,INDEX('calcA'!P$110:P$114,$F28+1)+IF(AND($E28=1,JC28=0),1000,0),MIN(TU28,20)*400+(IF('calcA'!O$106=1,1-DM28,0)+IF('calcA'!P$106=1,1-DO28,0))*150+131+'calcA'!P$5*100000+IF(AND($E28=1,JC28=0),50000,0))+IF($H28=1,INDEX('calcA'!$D$180:$EQ$219,$B28,13)*4000,0)-IF(AND('calcA'!O$117=1,UM28&gt;0),2000,0)-IF(AND($U28=1,'calcA'!P$117=1,DO28=0),2000,0))),1000000000))</f>
        <v/>
      </c>
      <c r="OS28">
        <f>IF($B28=0,1000000000,IF(INDEX('calcA'!$D$60:$EQ$99,$B28,14)*IF($W28=1,DO28+AAD28,DO28)=1,IF(AND($E28=2,IF($W28=1,AFS28,JD28)=0),1000000000,IF($V28=1,INDEX('calcA'!$D$130:$EQ$169,$B28,14)+IF(AND($E28=1,JD28=0),25,0),IF($F28&gt;0,INDEX('calcA'!Q$110:Q$114,$F28+1)+IF(AND($E28=1,JD28=0),1000,0),MIN(TU28,20)*400+(IF('calcA'!P$106=1,1-DN28,0)+IF('calcA'!Q$106=1,1-DP28,0))*150+141+'calcA'!Q$5*100000+IF(AND($E28=1,JD28=0),50000,0))+IF($H28=1,INDEX('calcA'!$D$180:$EQ$219,$B28,14)*4000,0)-IF(AND('calcA'!P$117=1,UN28&gt;0),2000,0)-IF(AND($U28=1,'calcA'!Q$117=1,DP28=0),2000,0))),1000000000))</f>
        <v/>
      </c>
      <c r="OT28">
        <f>IF($B28=0,1000000000,IF(INDEX('calcA'!$D$60:$EQ$99,$B28,15)*IF($W28=1,DP28+AAE28,DP28)=1,IF(AND($E28=2,IF($W28=1,AFT28,JE28)=0),1000000000,IF($V28=1,INDEX('calcA'!$D$130:$EQ$169,$B28,15)+IF(AND($E28=1,JE28=0),25,0),IF($F28&gt;0,INDEX('calcA'!R$110:R$114,$F28+1)+IF(AND($E28=1,JE28=0),1000,0),MIN(TU28,20)*400+(IF('calcA'!Q$106=1,1-DO28,0)+IF('calcA'!R$106=1,1-DQ28,0))*150+151+'calcA'!R$5*100000+IF(AND($E28=1,JE28=0),50000,0))+IF($H28=1,INDEX('calcA'!$D$180:$EQ$219,$B28,15)*4000,0)-IF(AND('calcA'!Q$117=1,UO28&gt;0),2000,0)-IF(AND($U28=1,'calcA'!R$117=1,DQ28=0),2000,0))),1000000000))</f>
        <v/>
      </c>
      <c r="OU28">
        <f>IF($B28=0,1000000000,IF(INDEX('calcA'!$D$60:$EQ$99,$B28,16)*IF($W28=1,DQ28+AAF28,DQ28)=1,IF(AND($E28=2,IF($W28=1,AFU28,JF28)=0),1000000000,IF($V28=1,INDEX('calcA'!$D$130:$EQ$169,$B28,16)+IF(AND($E28=1,JF28=0),25,0),IF($F28&gt;0,INDEX('calcA'!S$110:S$114,$F28+1)+IF(AND($E28=1,JF28=0),1000,0),MIN(TU28,20)*400+(IF('calcA'!R$106=1,1-DP28,0)+IF('calcA'!S$106=1,1-DR28,0))*150+161+'calcA'!S$5*100000+IF(AND($E28=1,JF28=0),50000,0))+IF($H28=1,INDEX('calcA'!$D$180:$EQ$219,$B28,16)*4000,0)-IF(AND('calcA'!R$117=1,UP28&gt;0),2000,0)-IF(AND($U28=1,'calcA'!S$117=1,DR28=0),2000,0))),1000000000))</f>
        <v/>
      </c>
      <c r="OV28">
        <f>IF($B28=0,1000000000,IF(INDEX('calcA'!$D$60:$EQ$99,$B28,17)*IF($W28=1,DR28+AAG28,DR28)=1,IF(AND($E28=2,IF($W28=1,AFV28,JG28)=0),1000000000,IF($V28=1,INDEX('calcA'!$D$130:$EQ$169,$B28,17)+IF(AND($E28=1,JG28=0),25,0),IF($F28&gt;0,INDEX('calcA'!T$110:T$114,$F28+1)+IF(AND($E28=1,JG28=0),1000,0),MIN(TU28,20)*400+(IF('calcA'!S$106=1,1-DQ28,0)+IF('calcA'!T$106=1,1-DS28,0))*150+171+'calcA'!T$5*100000+IF(AND($E28=1,JG28=0),50000,0))+IF($H28=1,INDEX('calcA'!$D$180:$EQ$219,$B28,17)*4000,0)-IF(AND('calcA'!S$117=1,UQ28&gt;0),2000,0)-IF(AND($U28=1,'calcA'!T$117=1,DS28=0),2000,0))),1000000000))</f>
        <v/>
      </c>
      <c r="OW28">
        <f>IF($B28=0,1000000000,IF(INDEX('calcA'!$D$60:$EQ$99,$B28,18)*IF($W28=1,DS28+AAH28,DS28)=1,IF(AND($E28=2,IF($W28=1,AFW28,JH28)=0),1000000000,IF($V28=1,INDEX('calcA'!$D$130:$EQ$169,$B28,18)+IF(AND($E28=1,JH28=0),25,0),IF($F28&gt;0,INDEX('calcA'!U$110:U$114,$F28+1)+IF(AND($E28=1,JH28=0),1000,0),MIN(TU28,20)*400+(IF('calcA'!T$106=1,1-DR28,0)+IF('calcA'!U$106=1,1-DT28,0))*150+181+'calcA'!U$5*100000+IF(AND($E28=1,JH28=0),50000,0))+IF($H28=1,INDEX('calcA'!$D$180:$EQ$219,$B28,18)*4000,0)-IF(AND('calcA'!T$117=1,UR28&gt;0),2000,0)-IF(AND($U28=1,'calcA'!U$117=1,DT28=0),2000,0))),1000000000))</f>
        <v/>
      </c>
      <c r="OX28">
        <f>IF($B28=0,1000000000,IF(INDEX('calcA'!$D$60:$EQ$99,$B28,19)*IF($W28=1,DT28+AAI28,DT28)=1,IF(AND($E28=2,IF($W28=1,AFX28,JI28)=0),1000000000,IF($V28=1,INDEX('calcA'!$D$130:$EQ$169,$B28,19)+IF(AND($E28=1,JI28=0),25,0),IF($F28&gt;0,INDEX('calcA'!V$110:V$114,$F28+1)+IF(AND($E28=1,JI28=0),1000,0),MIN(TU28,20)*400+(IF('calcA'!U$106=1,1-DS28,0)+IF('calcA'!V$106=1,1-DU28,0))*150+191+'calcA'!V$5*100000+IF(AND($E28=1,JI28=0),50000,0))+IF($H28=1,INDEX('calcA'!$D$180:$EQ$219,$B28,19)*4000,0)-IF(AND('calcA'!U$117=1,US28&gt;0),2000,0)-IF(AND($U28=1,'calcA'!V$117=1,DU28=0),2000,0))),1000000000))</f>
        <v/>
      </c>
      <c r="OY28">
        <f>IF($B28=0,1000000000,IF(INDEX('calcA'!$D$60:$EQ$99,$B28,20)*IF($W28=1,DU28+AAJ28,DU28)=1,IF(AND($E28=2,IF($W28=1,AFY28,JJ28)=0),1000000000,IF($V28=1,INDEX('calcA'!$D$130:$EQ$169,$B28,20)+IF(AND($E28=1,JJ28=0),25,0),IF($F28&gt;0,INDEX('calcA'!W$110:W$114,$F28+1)+IF(AND($E28=1,JJ28=0),1000,0),MIN(TU28,20)*400+(IF('calcA'!V$106=1,1-DT28,0)+IF('calcA'!W$106=1,1-DV28,0))*150+201+'calcA'!W$5*100000+IF(AND($E28=1,JJ28=0),50000,0))+IF($H28=1,INDEX('calcA'!$D$180:$EQ$219,$B28,20)*4000,0)-IF(AND('calcA'!V$117=1,UT28&gt;0),2000,0)-IF(AND($U28=1,'calcA'!W$117=1,DV28=0),2000,0))),1000000000))</f>
        <v/>
      </c>
      <c r="OZ28">
        <f>IF($B28=0,1000000000,IF(INDEX('calcA'!$D$60:$EQ$99,$B28,21)*IF($W28=1,DV28+AAK28,DV28)=1,IF(AND($E28=2,IF($W28=1,AFZ28,JK28)=0),1000000000,IF($V28=1,INDEX('calcA'!$D$130:$EQ$169,$B28,21)+IF(AND($E28=1,JK28=0),25,0),IF($F28&gt;0,INDEX('calcA'!X$110:X$114,$F28+1)+IF(AND($E28=1,JK28=0),1000,0),MIN(TU28,20)*400+(IF('calcA'!W$106=1,1-DU28,0)+IF('calcA'!X$106=1,1-DW28,0))*150+211+'calcA'!X$5*100000+IF(AND($E28=1,JK28=0),50000,0))+IF($H28=1,INDEX('calcA'!$D$180:$EQ$219,$B28,21)*4000,0)-IF(AND('calcA'!W$117=1,UU28&gt;0),2000,0)-IF(AND($U28=1,'calcA'!X$117=1,DW28=0),2000,0))),1000000000))</f>
        <v/>
      </c>
      <c r="PA28">
        <f>IF($B28=0,1000000000,IF(INDEX('calcA'!$D$60:$EQ$99,$B28,22)*IF($W28=1,DW28+AAL28,DW28)=1,IF(AND($E28=2,IF($W28=1,AGA28,JL28)=0),1000000000,IF($V28=1,INDEX('calcA'!$D$130:$EQ$169,$B28,22)+IF(AND($E28=1,JL28=0),25,0),IF($F28&gt;0,INDEX('calcA'!Y$110:Y$114,$F28+1)+IF(AND($E28=1,JL28=0),1000,0),MIN(TU28,20)*400+(IF('calcA'!X$106=1,1-DV28,0)+IF('calcA'!Y$106=1,1-DX28,0))*150+221+'calcA'!Y$5*100000+IF(AND($E28=1,JL28=0),50000,0))+IF($H28=1,INDEX('calcA'!$D$180:$EQ$219,$B28,22)*4000,0)-IF(AND('calcA'!X$117=1,UV28&gt;0),2000,0)-IF(AND($U28=1,'calcA'!Y$117=1,DX28=0),2000,0))),1000000000))</f>
        <v/>
      </c>
      <c r="PB28">
        <f>IF($B28=0,1000000000,IF(INDEX('calcA'!$D$60:$EQ$99,$B28,23)*IF($W28=1,DX28+AAM28,DX28)=1,IF(AND($E28=2,IF($W28=1,AGB28,JM28)=0),1000000000,IF($V28=1,INDEX('calcA'!$D$130:$EQ$169,$B28,23)+IF(AND($E28=1,JM28=0),25,0),IF($F28&gt;0,INDEX('calcA'!Z$110:Z$114,$F28+1)+IF(AND($E28=1,JM28=0),1000,0),MIN(TU28,20)*400+(IF('calcA'!Y$106=1,1-DW28,0)+IF('calcA'!Z$106=1,1-DY28,0))*150+231+'calcA'!Z$5*100000+IF(AND($E28=1,JM28=0),50000,0))+IF($H28=1,INDEX('calcA'!$D$180:$EQ$219,$B28,23)*4000,0)-IF(AND('calcA'!Y$117=1,UW28&gt;0),2000,0)-IF(AND($U28=1,'calcA'!Z$117=1,DY28=0),2000,0))),1000000000))</f>
        <v/>
      </c>
      <c r="PC28">
        <f>IF($B28=0,1000000000,IF(INDEX('calcA'!$D$60:$EQ$99,$B28,24)*IF($W28=1,DY28+AAN28,DY28)=1,IF(AND($E28=2,IF($W28=1,AGC28,JN28)=0),1000000000,IF($V28=1,INDEX('calcA'!$D$130:$EQ$169,$B28,24)+IF(AND($E28=1,JN28=0),25,0),IF($F28&gt;0,INDEX('calcA'!AA$110:AA$114,$F28+1)+IF(AND($E28=1,JN28=0),1000,0),MIN(TU28,20)*400+(IF('calcA'!Z$106=1,1-DX28,0))*150+241+'calcA'!AA$5*100000+IF(AND($E28=1,JN28=0),50000,0))+IF($H28=1,INDEX('calcA'!$D$180:$EQ$219,$B28,24)*4000,0)-IF(AND('calcA'!Z$117=1,UX28&gt;0),2000,0))),1000000000))</f>
        <v/>
      </c>
      <c r="PD28">
        <f>IF($B28=0,1000000000,IF(INDEX('calcA'!$D$60:$EQ$99,$B28,25)*IF($W28=1,DZ28+AAO28,DZ28)=1,IF(AND($E28=2,IF($W28=1,AGD28,JO28)=0),1000000000,IF($V28=1,INDEX('calcA'!$D$130:$EQ$169,$B28,25)+IF(AND($E28=1,JO28=0),25,0),IF($F28&gt;0,INDEX('calcA'!AB$110:AB$114,$F28+1)+IF(AND($E28=1,JO28=0),1000,0),MIN(TV28,20)*400+(IF('calcA'!AB$106=1,1-EA28,0))*150+12+'calcA'!AB$5*100000+IF(AND($E28=1,JO28=0),50000,0))+IF($H28=1,INDEX('calcA'!$D$180:$EQ$219,$B28,25)*4000,0)-IF(AND($U28=1,'calcA'!AB$117=1,EA28=0),2000,0))),1000000000))</f>
        <v/>
      </c>
      <c r="PE28">
        <f>IF($B28=0,1000000000,IF(INDEX('calcA'!$D$60:$EQ$99,$B28,26)*IF($W28=1,EA28+AAP28,EA28)=1,IF(AND($E28=2,IF($W28=1,AGE28,JP28)=0),1000000000,IF($V28=1,INDEX('calcA'!$D$130:$EQ$169,$B28,26)+IF(AND($E28=1,JP28=0),25,0),IF($F28&gt;0,INDEX('calcA'!AC$110:AC$114,$F28+1)+IF(AND($E28=1,JP28=0),1000,0),MIN(TV28,20)*400+(IF('calcA'!AB$106=1,1-DZ28,0)+IF('calcA'!AC$106=1,1-EB28,0))*150+22+'calcA'!AC$5*100000+IF(AND($E28=1,JP28=0),50000,0))+IF($H28=1,INDEX('calcA'!$D$180:$EQ$219,$B28,26)*4000,0)-IF(AND('calcA'!AB$117=1,UZ28&gt;0),2000,0)-IF(AND($U28=1,'calcA'!AC$117=1,EB28=0),2000,0))),1000000000))</f>
        <v/>
      </c>
      <c r="PF28">
        <f>IF($B28=0,1000000000,IF(INDEX('calcA'!$D$60:$EQ$99,$B28,27)*IF($W28=1,EB28+AAQ28,EB28)=1,IF(AND($E28=2,IF($W28=1,AGF28,JQ28)=0),1000000000,IF($V28=1,INDEX('calcA'!$D$130:$EQ$169,$B28,27)+IF(AND($E28=1,JQ28=0),25,0),IF($F28&gt;0,INDEX('calcA'!AD$110:AD$114,$F28+1)+IF(AND($E28=1,JQ28=0),1000,0),MIN(TV28,20)*400+(IF('calcA'!AC$106=1,1-EA28,0)+IF('calcA'!AD$106=1,1-EC28,0))*150+32+'calcA'!AD$5*100000+IF(AND($E28=1,JQ28=0),50000,0))+IF($H28=1,INDEX('calcA'!$D$180:$EQ$219,$B28,27)*4000,0)-IF(AND('calcA'!AC$117=1,VA28&gt;0),2000,0)-IF(AND($U28=1,'calcA'!AD$117=1,EC28=0),2000,0))),1000000000))</f>
        <v/>
      </c>
      <c r="PG28">
        <f>IF($B28=0,1000000000,IF(INDEX('calcA'!$D$60:$EQ$99,$B28,28)*IF($W28=1,EC28+AAR28,EC28)=1,IF(AND($E28=2,IF($W28=1,AGG28,JR28)=0),1000000000,IF($V28=1,INDEX('calcA'!$D$130:$EQ$169,$B28,28)+IF(AND($E28=1,JR28=0),25,0),IF($F28&gt;0,INDEX('calcA'!AE$110:AE$114,$F28+1)+IF(AND($E28=1,JR28=0),1000,0),MIN(TV28,20)*400+(IF('calcA'!AD$106=1,1-EB28,0)+IF('calcA'!AE$106=1,1-ED28,0))*150+42+'calcA'!AE$5*100000+IF(AND($E28=1,JR28=0),50000,0))+IF($H28=1,INDEX('calcA'!$D$180:$EQ$219,$B28,28)*4000,0)-IF(AND('calcA'!AD$117=1,VB28&gt;0),2000,0)-IF(AND($U28=1,'calcA'!AE$117=1,ED28=0),2000,0))),1000000000))</f>
        <v/>
      </c>
      <c r="PH28">
        <f>IF($B28=0,1000000000,IF(INDEX('calcA'!$D$60:$EQ$99,$B28,29)*IF($W28=1,ED28+AAS28,ED28)=1,IF(AND($E28=2,IF($W28=1,AGH28,JS28)=0),1000000000,IF($V28=1,INDEX('calcA'!$D$130:$EQ$169,$B28,29)+IF(AND($E28=1,JS28=0),25,0),IF($F28&gt;0,INDEX('calcA'!AF$110:AF$114,$F28+1)+IF(AND($E28=1,JS28=0),1000,0),MIN(TV28,20)*400+(IF('calcA'!AE$106=1,1-EC28,0)+IF('calcA'!AF$106=1,1-EE28,0))*150+52+'calcA'!AF$5*100000+IF(AND($E28=1,JS28=0),50000,0))+IF($H28=1,INDEX('calcA'!$D$180:$EQ$219,$B28,29)*4000,0)-IF(AND('calcA'!AE$117=1,VC28&gt;0),2000,0)-IF(AND($U28=1,'calcA'!AF$117=1,EE28=0),2000,0))),1000000000))</f>
        <v/>
      </c>
      <c r="PI28">
        <f>IF($B28=0,1000000000,IF(INDEX('calcA'!$D$60:$EQ$99,$B28,30)*IF($W28=1,EE28+AAT28,EE28)=1,IF(AND($E28=2,IF($W28=1,AGI28,JT28)=0),1000000000,IF($V28=1,INDEX('calcA'!$D$130:$EQ$169,$B28,30)+IF(AND($E28=1,JT28=0),25,0),IF($F28&gt;0,INDEX('calcA'!AG$110:AG$114,$F28+1)+IF(AND($E28=1,JT28=0),1000,0),MIN(TV28,20)*400+(IF('calcA'!AF$106=1,1-ED28,0)+IF('calcA'!AG$106=1,1-EF28,0))*150+62+'calcA'!AG$5*100000+IF(AND($E28=1,JT28=0),50000,0))+IF($H28=1,INDEX('calcA'!$D$180:$EQ$219,$B28,30)*4000,0)-IF(AND('calcA'!AF$117=1,VD28&gt;0),2000,0)-IF(AND($U28=1,'calcA'!AG$117=1,EF28=0),2000,0))),1000000000))</f>
        <v/>
      </c>
      <c r="PJ28">
        <f>IF($B28=0,1000000000,IF(INDEX('calcA'!$D$60:$EQ$99,$B28,31)*IF($W28=1,EF28+AAU28,EF28)=1,IF(AND($E28=2,IF($W28=1,AGJ28,JU28)=0),1000000000,IF($V28=1,INDEX('calcA'!$D$130:$EQ$169,$B28,31)+IF(AND($E28=1,JU28=0),25,0),IF($F28&gt;0,INDEX('calcA'!AH$110:AH$114,$F28+1)+IF(AND($E28=1,JU28=0),1000,0),MIN(TV28,20)*400+(IF('calcA'!AG$106=1,1-EE28,0)+IF('calcA'!AH$106=1,1-EG28,0))*150+72+'calcA'!AH$5*100000+IF(AND($E28=1,JU28=0),50000,0))+IF($H28=1,INDEX('calcA'!$D$180:$EQ$219,$B28,31)*4000,0)-IF(AND('calcA'!AG$117=1,VE28&gt;0),2000,0)-IF(AND($U28=1,'calcA'!AH$117=1,EG28=0),2000,0))),1000000000))</f>
        <v/>
      </c>
      <c r="PK28">
        <f>IF($B28=0,1000000000,IF(INDEX('calcA'!$D$60:$EQ$99,$B28,32)*IF($W28=1,EG28+AAV28,EG28)=1,IF(AND($E28=2,IF($W28=1,AGK28,JV28)=0),1000000000,IF($V28=1,INDEX('calcA'!$D$130:$EQ$169,$B28,32)+IF(AND($E28=1,JV28=0),25,0),IF($F28&gt;0,INDEX('calcA'!AI$110:AI$114,$F28+1)+IF(AND($E28=1,JV28=0),1000,0),MIN(TV28,20)*400+(IF('calcA'!AH$106=1,1-EF28,0)+IF('calcA'!AI$106=1,1-EH28,0))*150+82+'calcA'!AI$5*100000+IF(AND($E28=1,JV28=0),50000,0))+IF($H28=1,INDEX('calcA'!$D$180:$EQ$219,$B28,32)*4000,0)-IF(AND('calcA'!AH$117=1,VF28&gt;0),2000,0)-IF(AND($U28=1,'calcA'!AI$117=1,EH28=0),2000,0))),1000000000))</f>
        <v/>
      </c>
      <c r="PL28">
        <f>IF($B28=0,1000000000,IF(INDEX('calcA'!$D$60:$EQ$99,$B28,33)*IF($W28=1,EH28+AAW28,EH28)=1,IF(AND($E28=2,IF($W28=1,AGL28,JW28)=0),1000000000,IF($V28=1,INDEX('calcA'!$D$130:$EQ$169,$B28,33)+IF(AND($E28=1,JW28=0),25,0),IF($F28&gt;0,INDEX('calcA'!AJ$110:AJ$114,$F28+1)+IF(AND($E28=1,JW28=0),1000,0),MIN(TV28,20)*400+(IF('calcA'!AI$106=1,1-EG28,0)+IF('calcA'!AJ$106=1,1-EI28,0))*150+92+'calcA'!AJ$5*100000+IF(AND($E28=1,JW28=0),50000,0))+IF($H28=1,INDEX('calcA'!$D$180:$EQ$219,$B28,33)*4000,0)-IF(AND('calcA'!AI$117=1,VG28&gt;0),2000,0)-IF(AND($U28=1,'calcA'!AJ$117=1,EI28=0),2000,0))),1000000000))</f>
        <v/>
      </c>
      <c r="PM28">
        <f>IF($B28=0,1000000000,IF(INDEX('calcA'!$D$60:$EQ$99,$B28,34)*IF($W28=1,EI28+AAX28,EI28)=1,IF(AND($E28=2,IF($W28=1,AGM28,JX28)=0),1000000000,IF($V28=1,INDEX('calcA'!$D$130:$EQ$169,$B28,34)+IF(AND($E28=1,JX28=0),25,0),IF($F28&gt;0,INDEX('calcA'!AK$110:AK$114,$F28+1)+IF(AND($E28=1,JX28=0),1000,0),MIN(TV28,20)*400+(IF('calcA'!AJ$106=1,1-EH28,0)+IF('calcA'!AK$106=1,1-EJ28,0))*150+102+'calcA'!AK$5*100000+IF(AND($E28=1,JX28=0),50000,0))+IF($H28=1,INDEX('calcA'!$D$180:$EQ$219,$B28,34)*4000,0)-IF(AND('calcA'!AJ$117=1,VH28&gt;0),2000,0)-IF(AND($U28=1,'calcA'!AK$117=1,EJ28=0),2000,0))),1000000000))</f>
        <v/>
      </c>
      <c r="PN28">
        <f>IF($B28=0,1000000000,IF(INDEX('calcA'!$D$60:$EQ$99,$B28,35)*IF($W28=1,EJ28+AAY28,EJ28)=1,IF(AND($E28=2,IF($W28=1,AGN28,JY28)=0),1000000000,IF($V28=1,INDEX('calcA'!$D$130:$EQ$169,$B28,35)+IF(AND($E28=1,JY28=0),25,0),IF($F28&gt;0,INDEX('calcA'!AL$110:AL$114,$F28+1)+IF(AND($E28=1,JY28=0),1000,0),MIN(TV28,20)*400+(IF('calcA'!AK$106=1,1-EI28,0)+IF('calcA'!AL$106=1,1-EK28,0))*150+112+'calcA'!AL$5*100000+IF(AND($E28=1,JY28=0),50000,0))+IF($H28=1,INDEX('calcA'!$D$180:$EQ$219,$B28,35)*4000,0)-IF(AND('calcA'!AK$117=1,VI28&gt;0),2000,0)-IF(AND($U28=1,'calcA'!AL$117=1,EK28=0),2000,0))),1000000000))</f>
        <v/>
      </c>
      <c r="PO28">
        <f>IF($B28=0,1000000000,IF(INDEX('calcA'!$D$60:$EQ$99,$B28,36)*IF($W28=1,EK28+AAZ28,EK28)=1,IF(AND($E28=2,IF($W28=1,AGO28,JZ28)=0),1000000000,IF($V28=1,INDEX('calcA'!$D$130:$EQ$169,$B28,36)+IF(AND($E28=1,JZ28=0),25,0),IF($F28&gt;0,INDEX('calcA'!AM$110:AM$114,$F28+1)+IF(AND($E28=1,JZ28=0),1000,0),MIN(TV28,20)*400+(IF('calcA'!AL$106=1,1-EJ28,0)+IF('calcA'!AM$106=1,1-EL28,0))*150+122+'calcA'!AM$5*100000+IF(AND($E28=1,JZ28=0),50000,0))+IF($H28=1,INDEX('calcA'!$D$180:$EQ$219,$B28,36)*4000,0)-IF(AND('calcA'!AL$117=1,VJ28&gt;0),2000,0)-IF(AND($U28=1,'calcA'!AM$117=1,EL28=0),2000,0))),1000000000))</f>
        <v/>
      </c>
      <c r="PP28">
        <f>IF($B28=0,1000000000,IF(INDEX('calcA'!$D$60:$EQ$99,$B28,37)*IF($W28=1,EL28+ABA28,EL28)=1,IF(AND($E28=2,IF($W28=1,AGP28,KA28)=0),1000000000,IF($V28=1,INDEX('calcA'!$D$130:$EQ$169,$B28,37)+IF(AND($E28=1,KA28=0),25,0),IF($F28&gt;0,INDEX('calcA'!AN$110:AN$114,$F28+1)+IF(AND($E28=1,KA28=0),1000,0),MIN(TV28,20)*400+(IF('calcA'!AM$106=1,1-EK28,0)+IF('calcA'!AN$106=1,1-EM28,0))*150+132+'calcA'!AN$5*100000+IF(AND($E28=1,KA28=0),50000,0))+IF($H28=1,INDEX('calcA'!$D$180:$EQ$219,$B28,37)*4000,0)-IF(AND('calcA'!AM$117=1,VK28&gt;0),2000,0)-IF(AND($U28=1,'calcA'!AN$117=1,EM28=0),2000,0))),1000000000))</f>
        <v/>
      </c>
      <c r="PQ28">
        <f>IF($B28=0,1000000000,IF(INDEX('calcA'!$D$60:$EQ$99,$B28,38)*IF($W28=1,EM28+ABB28,EM28)=1,IF(AND($E28=2,IF($W28=1,AGQ28,KB28)=0),1000000000,IF($V28=1,INDEX('calcA'!$D$130:$EQ$169,$B28,38)+IF(AND($E28=1,KB28=0),25,0),IF($F28&gt;0,INDEX('calcA'!AO$110:AO$114,$F28+1)+IF(AND($E28=1,KB28=0),1000,0),MIN(TV28,20)*400+(IF('calcA'!AN$106=1,1-EL28,0)+IF('calcA'!AO$106=1,1-EN28,0))*150+142+'calcA'!AO$5*100000+IF(AND($E28=1,KB28=0),50000,0))+IF($H28=1,INDEX('calcA'!$D$180:$EQ$219,$B28,38)*4000,0)-IF(AND('calcA'!AN$117=1,VL28&gt;0),2000,0)-IF(AND($U28=1,'calcA'!AO$117=1,EN28=0),2000,0))),1000000000))</f>
        <v/>
      </c>
      <c r="PR28">
        <f>IF($B28=0,1000000000,IF(INDEX('calcA'!$D$60:$EQ$99,$B28,39)*IF($W28=1,EN28+ABC28,EN28)=1,IF(AND($E28=2,IF($W28=1,AGR28,KC28)=0),1000000000,IF($V28=1,INDEX('calcA'!$D$130:$EQ$169,$B28,39)+IF(AND($E28=1,KC28=0),25,0),IF($F28&gt;0,INDEX('calcA'!AP$110:AP$114,$F28+1)+IF(AND($E28=1,KC28=0),1000,0),MIN(TV28,20)*400+(IF('calcA'!AO$106=1,1-EM28,0)+IF('calcA'!AP$106=1,1-EO28,0))*150+152+'calcA'!AP$5*100000+IF(AND($E28=1,KC28=0),50000,0))+IF($H28=1,INDEX('calcA'!$D$180:$EQ$219,$B28,39)*4000,0)-IF(AND('calcA'!AO$117=1,VM28&gt;0),2000,0)-IF(AND($U28=1,'calcA'!AP$117=1,EO28=0),2000,0))),1000000000))</f>
        <v/>
      </c>
      <c r="PS28">
        <f>IF($B28=0,1000000000,IF(INDEX('calcA'!$D$60:$EQ$99,$B28,40)*IF($W28=1,EO28+ABD28,EO28)=1,IF(AND($E28=2,IF($W28=1,AGS28,KD28)=0),1000000000,IF($V28=1,INDEX('calcA'!$D$130:$EQ$169,$B28,40)+IF(AND($E28=1,KD28=0),25,0),IF($F28&gt;0,INDEX('calcA'!AQ$110:AQ$114,$F28+1)+IF(AND($E28=1,KD28=0),1000,0),MIN(TV28,20)*400+(IF('calcA'!AP$106=1,1-EN28,0)+IF('calcA'!AQ$106=1,1-EP28,0))*150+162+'calcA'!AQ$5*100000+IF(AND($E28=1,KD28=0),50000,0))+IF($H28=1,INDEX('calcA'!$D$180:$EQ$219,$B28,40)*4000,0)-IF(AND('calcA'!AP$117=1,VN28&gt;0),2000,0)-IF(AND($U28=1,'calcA'!AQ$117=1,EP28=0),2000,0))),1000000000))</f>
        <v/>
      </c>
      <c r="PT28">
        <f>IF($B28=0,1000000000,IF(INDEX('calcA'!$D$60:$EQ$99,$B28,41)*IF($W28=1,EP28+ABE28,EP28)=1,IF(AND($E28=2,IF($W28=1,AGT28,KE28)=0),1000000000,IF($V28=1,INDEX('calcA'!$D$130:$EQ$169,$B28,41)+IF(AND($E28=1,KE28=0),25,0),IF($F28&gt;0,INDEX('calcA'!AR$110:AR$114,$F28+1)+IF(AND($E28=1,KE28=0),1000,0),MIN(TV28,20)*400+(IF('calcA'!AQ$106=1,1-EO28,0)+IF('calcA'!AR$106=1,1-EQ28,0))*150+172+'calcA'!AR$5*100000+IF(AND($E28=1,KE28=0),50000,0))+IF($H28=1,INDEX('calcA'!$D$180:$EQ$219,$B28,41)*4000,0)-IF(AND('calcA'!AQ$117=1,VO28&gt;0),2000,0)-IF(AND($U28=1,'calcA'!AR$117=1,EQ28=0),2000,0))),1000000000))</f>
        <v/>
      </c>
      <c r="PU28">
        <f>IF($B28=0,1000000000,IF(INDEX('calcA'!$D$60:$EQ$99,$B28,42)*IF($W28=1,EQ28+ABF28,EQ28)=1,IF(AND($E28=2,IF($W28=1,AGU28,KF28)=0),1000000000,IF($V28=1,INDEX('calcA'!$D$130:$EQ$169,$B28,42)+IF(AND($E28=1,KF28=0),25,0),IF($F28&gt;0,INDEX('calcA'!AS$110:AS$114,$F28+1)+IF(AND($E28=1,KF28=0),1000,0),MIN(TV28,20)*400+(IF('calcA'!AR$106=1,1-EP28,0)+IF('calcA'!AS$106=1,1-ER28,0))*150+182+'calcA'!AS$5*100000+IF(AND($E28=1,KF28=0),50000,0))+IF($H28=1,INDEX('calcA'!$D$180:$EQ$219,$B28,42)*4000,0)-IF(AND('calcA'!AR$117=1,VP28&gt;0),2000,0)-IF(AND($U28=1,'calcA'!AS$117=1,ER28=0),2000,0))),1000000000))</f>
        <v/>
      </c>
      <c r="PV28">
        <f>IF($B28=0,1000000000,IF(INDEX('calcA'!$D$60:$EQ$99,$B28,43)*IF($W28=1,ER28+ABG28,ER28)=1,IF(AND($E28=2,IF($W28=1,AGV28,KG28)=0),1000000000,IF($V28=1,INDEX('calcA'!$D$130:$EQ$169,$B28,43)+IF(AND($E28=1,KG28=0),25,0),IF($F28&gt;0,INDEX('calcA'!AT$110:AT$114,$F28+1)+IF(AND($E28=1,KG28=0),1000,0),MIN(TV28,20)*400+(IF('calcA'!AS$106=1,1-EQ28,0)+IF('calcA'!AT$106=1,1-ES28,0))*150+192+'calcA'!AT$5*100000+IF(AND($E28=1,KG28=0),50000,0))+IF($H28=1,INDEX('calcA'!$D$180:$EQ$219,$B28,43)*4000,0)-IF(AND('calcA'!AS$117=1,VQ28&gt;0),2000,0)-IF(AND($U28=1,'calcA'!AT$117=1,ES28=0),2000,0))),1000000000))</f>
        <v/>
      </c>
      <c r="PW28">
        <f>IF($B28=0,1000000000,IF(INDEX('calcA'!$D$60:$EQ$99,$B28,44)*IF($W28=1,ES28+ABH28,ES28)=1,IF(AND($E28=2,IF($W28=1,AGW28,KH28)=0),1000000000,IF($V28=1,INDEX('calcA'!$D$130:$EQ$169,$B28,44)+IF(AND($E28=1,KH28=0),25,0),IF($F28&gt;0,INDEX('calcA'!AU$110:AU$114,$F28+1)+IF(AND($E28=1,KH28=0),1000,0),MIN(TV28,20)*400+(IF('calcA'!AT$106=1,1-ER28,0)+IF('calcA'!AU$106=1,1-ET28,0))*150+202+'calcA'!AU$5*100000+IF(AND($E28=1,KH28=0),50000,0))+IF($H28=1,INDEX('calcA'!$D$180:$EQ$219,$B28,44)*4000,0)-IF(AND('calcA'!AT$117=1,VR28&gt;0),2000,0)-IF(AND($U28=1,'calcA'!AU$117=1,ET28=0),2000,0))),1000000000))</f>
        <v/>
      </c>
      <c r="PX28">
        <f>IF($B28=0,1000000000,IF(INDEX('calcA'!$D$60:$EQ$99,$B28,45)*IF($W28=1,ET28+ABI28,ET28)=1,IF(AND($E28=2,IF($W28=1,AGX28,KI28)=0),1000000000,IF($V28=1,INDEX('calcA'!$D$130:$EQ$169,$B28,45)+IF(AND($E28=1,KI28=0),25,0),IF($F28&gt;0,INDEX('calcA'!AV$110:AV$114,$F28+1)+IF(AND($E28=1,KI28=0),1000,0),MIN(TV28,20)*400+(IF('calcA'!AU$106=1,1-ES28,0)+IF('calcA'!AV$106=1,1-EU28,0))*150+212+'calcA'!AV$5*100000+IF(AND($E28=1,KI28=0),50000,0))+IF($H28=1,INDEX('calcA'!$D$180:$EQ$219,$B28,45)*4000,0)-IF(AND('calcA'!AU$117=1,VS28&gt;0),2000,0)-IF(AND($U28=1,'calcA'!AV$117=1,EU28=0),2000,0))),1000000000))</f>
        <v/>
      </c>
      <c r="PY28">
        <f>IF($B28=0,1000000000,IF(INDEX('calcA'!$D$60:$EQ$99,$B28,46)*IF($W28=1,EU28+ABJ28,EU28)=1,IF(AND($E28=2,IF($W28=1,AGY28,KJ28)=0),1000000000,IF($V28=1,INDEX('calcA'!$D$130:$EQ$169,$B28,46)+IF(AND($E28=1,KJ28=0),25,0),IF($F28&gt;0,INDEX('calcA'!AW$110:AW$114,$F28+1)+IF(AND($E28=1,KJ28=0),1000,0),MIN(TV28,20)*400+(IF('calcA'!AV$106=1,1-ET28,0)+IF('calcA'!AW$106=1,1-EV28,0))*150+222+'calcA'!AW$5*100000+IF(AND($E28=1,KJ28=0),50000,0))+IF($H28=1,INDEX('calcA'!$D$180:$EQ$219,$B28,46)*4000,0)-IF(AND('calcA'!AV$117=1,VT28&gt;0),2000,0)-IF(AND($U28=1,'calcA'!AW$117=1,EV28=0),2000,0))),1000000000))</f>
        <v/>
      </c>
      <c r="PZ28">
        <f>IF($B28=0,1000000000,IF(INDEX('calcA'!$D$60:$EQ$99,$B28,47)*IF($W28=1,EV28+ABK28,EV28)=1,IF(AND($E28=2,IF($W28=1,AGZ28,KK28)=0),1000000000,IF($V28=1,INDEX('calcA'!$D$130:$EQ$169,$B28,47)+IF(AND($E28=1,KK28=0),25,0),IF($F28&gt;0,INDEX('calcA'!AX$110:AX$114,$F28+1)+IF(AND($E28=1,KK28=0),1000,0),MIN(TV28,20)*400+(IF('calcA'!AW$106=1,1-EU28,0)+IF('calcA'!AX$106=1,1-EW28,0))*150+232+'calcA'!AX$5*100000+IF(AND($E28=1,KK28=0),50000,0))+IF($H28=1,INDEX('calcA'!$D$180:$EQ$219,$B28,47)*4000,0)-IF(AND('calcA'!AW$117=1,VU28&gt;0),2000,0)-IF(AND($U28=1,'calcA'!AX$117=1,EW28=0),2000,0))),1000000000))</f>
        <v/>
      </c>
      <c r="QA28">
        <f>IF($B28=0,1000000000,IF(INDEX('calcA'!$D$60:$EQ$99,$B28,48)*IF($W28=1,EW28+ABL28,EW28)=1,IF(AND($E28=2,IF($W28=1,AHA28,KL28)=0),1000000000,IF($V28=1,INDEX('calcA'!$D$130:$EQ$169,$B28,48)+IF(AND($E28=1,KL28=0),25,0),IF($F28&gt;0,INDEX('calcA'!AY$110:AY$114,$F28+1)+IF(AND($E28=1,KL28=0),1000,0),MIN(TV28,20)*400+(IF('calcA'!AX$106=1,1-EV28,0))*150+242+'calcA'!AY$5*100000+IF(AND($E28=1,KL28=0),50000,0))+IF($H28=1,INDEX('calcA'!$D$180:$EQ$219,$B28,48)*4000,0)-IF(AND('calcA'!AX$117=1,VV28&gt;0),2000,0))),1000000000))</f>
        <v/>
      </c>
      <c r="QB28">
        <f>IF($B28=0,1000000000,IF(INDEX('calcA'!$D$60:$EQ$99,$B28,49)*IF($W28=1,EX28+ABM28,EX28)=1,IF(AND($E28=2,IF($W28=1,AHB28,KM28)=0),1000000000,IF($V28=1,INDEX('calcA'!$D$130:$EQ$169,$B28,49)+IF(AND($E28=1,KM28=0),25,0),IF($F28&gt;0,INDEX('calcA'!AZ$110:AZ$114,$F28+1)+IF(AND($E28=1,KM28=0),1000,0),MIN(TW28,20)*400+(IF('calcA'!AZ$106=1,1-EY28,0))*150+13+'calcA'!AZ$5*100000+IF(AND($E28=1,KM28=0),50000,0))+IF($H28=1,INDEX('calcA'!$D$180:$EQ$219,$B28,49)*4000,0)-IF(AND($U28=1,'calcA'!AZ$117=1,EY28=0),2000,0))),1000000000))</f>
        <v/>
      </c>
      <c r="QC28">
        <f>IF($B28=0,1000000000,IF(INDEX('calcA'!$D$60:$EQ$99,$B28,50)*IF($W28=1,EY28+ABN28,EY28)=1,IF(AND($E28=2,IF($W28=1,AHC28,KN28)=0),1000000000,IF($V28=1,INDEX('calcA'!$D$130:$EQ$169,$B28,50)+IF(AND($E28=1,KN28=0),25,0),IF($F28&gt;0,INDEX('calcA'!BA$110:BA$114,$F28+1)+IF(AND($E28=1,KN28=0),1000,0),MIN(TW28,20)*400+(IF('calcA'!AZ$106=1,1-EX28,0)+IF('calcA'!BA$106=1,1-EZ28,0))*150+23+'calcA'!BA$5*100000+IF(AND($E28=1,KN28=0),50000,0))+IF($H28=1,INDEX('calcA'!$D$180:$EQ$219,$B28,50)*4000,0)-IF(AND('calcA'!AZ$117=1,VX28&gt;0),2000,0)-IF(AND($U28=1,'calcA'!BA$117=1,EZ28=0),2000,0))),1000000000))</f>
        <v/>
      </c>
      <c r="QD28">
        <f>IF($B28=0,1000000000,IF(INDEX('calcA'!$D$60:$EQ$99,$B28,51)*IF($W28=1,EZ28+ABO28,EZ28)=1,IF(AND($E28=2,IF($W28=1,AHD28,KO28)=0),1000000000,IF($V28=1,INDEX('calcA'!$D$130:$EQ$169,$B28,51)+IF(AND($E28=1,KO28=0),25,0),IF($F28&gt;0,INDEX('calcA'!BB$110:BB$114,$F28+1)+IF(AND($E28=1,KO28=0),1000,0),MIN(TW28,20)*400+(IF('calcA'!BA$106=1,1-EY28,0)+IF('calcA'!BB$106=1,1-FA28,0))*150+33+'calcA'!BB$5*100000+IF(AND($E28=1,KO28=0),50000,0))+IF($H28=1,INDEX('calcA'!$D$180:$EQ$219,$B28,51)*4000,0)-IF(AND('calcA'!BA$117=1,VY28&gt;0),2000,0)-IF(AND($U28=1,'calcA'!BB$117=1,FA28=0),2000,0))),1000000000))</f>
        <v/>
      </c>
      <c r="QE28">
        <f>IF($B28=0,1000000000,IF(INDEX('calcA'!$D$60:$EQ$99,$B28,52)*IF($W28=1,FA28+ABP28,FA28)=1,IF(AND($E28=2,IF($W28=1,AHE28,KP28)=0),1000000000,IF($V28=1,INDEX('calcA'!$D$130:$EQ$169,$B28,52)+IF(AND($E28=1,KP28=0),25,0),IF($F28&gt;0,INDEX('calcA'!BC$110:BC$114,$F28+1)+IF(AND($E28=1,KP28=0),1000,0),MIN(TW28,20)*400+(IF('calcA'!BB$106=1,1-EZ28,0)+IF('calcA'!BC$106=1,1-FB28,0))*150+43+'calcA'!BC$5*100000+IF(AND($E28=1,KP28=0),50000,0))+IF($H28=1,INDEX('calcA'!$D$180:$EQ$219,$B28,52)*4000,0)-IF(AND('calcA'!BB$117=1,VZ28&gt;0),2000,0)-IF(AND($U28=1,'calcA'!BC$117=1,FB28=0),2000,0))),1000000000))</f>
        <v/>
      </c>
      <c r="QF28">
        <f>IF($B28=0,1000000000,IF(INDEX('calcA'!$D$60:$EQ$99,$B28,53)*IF($W28=1,FB28+ABQ28,FB28)=1,IF(AND($E28=2,IF($W28=1,AHF28,KQ28)=0),1000000000,IF($V28=1,INDEX('calcA'!$D$130:$EQ$169,$B28,53)+IF(AND($E28=1,KQ28=0),25,0),IF($F28&gt;0,INDEX('calcA'!BD$110:BD$114,$F28+1)+IF(AND($E28=1,KQ28=0),1000,0),MIN(TW28,20)*400+(IF('calcA'!BC$106=1,1-FA28,0)+IF('calcA'!BD$106=1,1-FC28,0))*150+53+'calcA'!BD$5*100000+IF(AND($E28=1,KQ28=0),50000,0))+IF($H28=1,INDEX('calcA'!$D$180:$EQ$219,$B28,53)*4000,0)-IF(AND('calcA'!BC$117=1,WA28&gt;0),2000,0)-IF(AND($U28=1,'calcA'!BD$117=1,FC28=0),2000,0))),1000000000))</f>
        <v/>
      </c>
      <c r="QG28">
        <f>IF($B28=0,1000000000,IF(INDEX('calcA'!$D$60:$EQ$99,$B28,54)*IF($W28=1,FC28+ABR28,FC28)=1,IF(AND($E28=2,IF($W28=1,AHG28,KR28)=0),1000000000,IF($V28=1,INDEX('calcA'!$D$130:$EQ$169,$B28,54)+IF(AND($E28=1,KR28=0),25,0),IF($F28&gt;0,INDEX('calcA'!BE$110:BE$114,$F28+1)+IF(AND($E28=1,KR28=0),1000,0),MIN(TW28,20)*400+(IF('calcA'!BD$106=1,1-FB28,0)+IF('calcA'!BE$106=1,1-FD28,0))*150+63+'calcA'!BE$5*100000+IF(AND($E28=1,KR28=0),50000,0))+IF($H28=1,INDEX('calcA'!$D$180:$EQ$219,$B28,54)*4000,0)-IF(AND('calcA'!BD$117=1,WB28&gt;0),2000,0)-IF(AND($U28=1,'calcA'!BE$117=1,FD28=0),2000,0))),1000000000))</f>
        <v/>
      </c>
      <c r="QH28">
        <f>IF($B28=0,1000000000,IF(INDEX('calcA'!$D$60:$EQ$99,$B28,55)*IF($W28=1,FD28+ABS28,FD28)=1,IF(AND($E28=2,IF($W28=1,AHH28,KS28)=0),1000000000,IF($V28=1,INDEX('calcA'!$D$130:$EQ$169,$B28,55)+IF(AND($E28=1,KS28=0),25,0),IF($F28&gt;0,INDEX('calcA'!BF$110:BF$114,$F28+1)+IF(AND($E28=1,KS28=0),1000,0),MIN(TW28,20)*400+(IF('calcA'!BE$106=1,1-FC28,0)+IF('calcA'!BF$106=1,1-FE28,0))*150+73+'calcA'!BF$5*100000+IF(AND($E28=1,KS28=0),50000,0))+IF($H28=1,INDEX('calcA'!$D$180:$EQ$219,$B28,55)*4000,0)-IF(AND('calcA'!BE$117=1,WC28&gt;0),2000,0)-IF(AND($U28=1,'calcA'!BF$117=1,FE28=0),2000,0))),1000000000))</f>
        <v/>
      </c>
      <c r="QI28">
        <f>IF($B28=0,1000000000,IF(INDEX('calcA'!$D$60:$EQ$99,$B28,56)*IF($W28=1,FE28+ABT28,FE28)=1,IF(AND($E28=2,IF($W28=1,AHI28,KT28)=0),1000000000,IF($V28=1,INDEX('calcA'!$D$130:$EQ$169,$B28,56)+IF(AND($E28=1,KT28=0),25,0),IF($F28&gt;0,INDEX('calcA'!BG$110:BG$114,$F28+1)+IF(AND($E28=1,KT28=0),1000,0),MIN(TW28,20)*400+(IF('calcA'!BF$106=1,1-FD28,0)+IF('calcA'!BG$106=1,1-FF28,0))*150+83+'calcA'!BG$5*100000+IF(AND($E28=1,KT28=0),50000,0))+IF($H28=1,INDEX('calcA'!$D$180:$EQ$219,$B28,56)*4000,0)-IF(AND('calcA'!BF$117=1,WD28&gt;0),2000,0)-IF(AND($U28=1,'calcA'!BG$117=1,FF28=0),2000,0))),1000000000))</f>
        <v/>
      </c>
      <c r="QJ28">
        <f>IF($B28=0,1000000000,IF(INDEX('calcA'!$D$60:$EQ$99,$B28,57)*IF($W28=1,FF28+ABU28,FF28)=1,IF(AND($E28=2,IF($W28=1,AHJ28,KU28)=0),1000000000,IF($V28=1,INDEX('calcA'!$D$130:$EQ$169,$B28,57)+IF(AND($E28=1,KU28=0),25,0),IF($F28&gt;0,INDEX('calcA'!BH$110:BH$114,$F28+1)+IF(AND($E28=1,KU28=0),1000,0),MIN(TW28,20)*400+(IF('calcA'!BG$106=1,1-FE28,0)+IF('calcA'!BH$106=1,1-FG28,0))*150+93+'calcA'!BH$5*100000+IF(AND($E28=1,KU28=0),50000,0))+IF($H28=1,INDEX('calcA'!$D$180:$EQ$219,$B28,57)*4000,0)-IF(AND('calcA'!BG$117=1,WE28&gt;0),2000,0)-IF(AND($U28=1,'calcA'!BH$117=1,FG28=0),2000,0))),1000000000))</f>
        <v/>
      </c>
      <c r="QK28">
        <f>IF($B28=0,1000000000,IF(INDEX('calcA'!$D$60:$EQ$99,$B28,58)*IF($W28=1,FG28+ABV28,FG28)=1,IF(AND($E28=2,IF($W28=1,AHK28,KV28)=0),1000000000,IF($V28=1,INDEX('calcA'!$D$130:$EQ$169,$B28,58)+IF(AND($E28=1,KV28=0),25,0),IF($F28&gt;0,INDEX('calcA'!BI$110:BI$114,$F28+1)+IF(AND($E28=1,KV28=0),1000,0),MIN(TW28,20)*400+(IF('calcA'!BH$106=1,1-FF28,0)+IF('calcA'!BI$106=1,1-FH28,0))*150+103+'calcA'!BI$5*100000+IF(AND($E28=1,KV28=0),50000,0))+IF($H28=1,INDEX('calcA'!$D$180:$EQ$219,$B28,58)*4000,0)-IF(AND('calcA'!BH$117=1,WF28&gt;0),2000,0)-IF(AND($U28=1,'calcA'!BI$117=1,FH28=0),2000,0))),1000000000))</f>
        <v/>
      </c>
      <c r="QL28">
        <f>IF($B28=0,1000000000,IF(INDEX('calcA'!$D$60:$EQ$99,$B28,59)*IF($W28=1,FH28+ABW28,FH28)=1,IF(AND($E28=2,IF($W28=1,AHL28,KW28)=0),1000000000,IF($V28=1,INDEX('calcA'!$D$130:$EQ$169,$B28,59)+IF(AND($E28=1,KW28=0),25,0),IF($F28&gt;0,INDEX('calcA'!BJ$110:BJ$114,$F28+1)+IF(AND($E28=1,KW28=0),1000,0),MIN(TW28,20)*400+(IF('calcA'!BI$106=1,1-FG28,0)+IF('calcA'!BJ$106=1,1-FI28,0))*150+113+'calcA'!BJ$5*100000+IF(AND($E28=1,KW28=0),50000,0))+IF($H28=1,INDEX('calcA'!$D$180:$EQ$219,$B28,59)*4000,0)-IF(AND('calcA'!BI$117=1,WG28&gt;0),2000,0)-IF(AND($U28=1,'calcA'!BJ$117=1,FI28=0),2000,0))),1000000000))</f>
        <v/>
      </c>
      <c r="QM28">
        <f>IF($B28=0,1000000000,IF(INDEX('calcA'!$D$60:$EQ$99,$B28,60)*IF($W28=1,FI28+ABX28,FI28)=1,IF(AND($E28=2,IF($W28=1,AHM28,KX28)=0),1000000000,IF($V28=1,INDEX('calcA'!$D$130:$EQ$169,$B28,60)+IF(AND($E28=1,KX28=0),25,0),IF($F28&gt;0,INDEX('calcA'!BK$110:BK$114,$F28+1)+IF(AND($E28=1,KX28=0),1000,0),MIN(TW28,20)*400+(IF('calcA'!BJ$106=1,1-FH28,0)+IF('calcA'!BK$106=1,1-FJ28,0))*150+123+'calcA'!BK$5*100000+IF(AND($E28=1,KX28=0),50000,0))+IF($H28=1,INDEX('calcA'!$D$180:$EQ$219,$B28,60)*4000,0)-IF(AND('calcA'!BJ$117=1,WH28&gt;0),2000,0)-IF(AND($U28=1,'calcA'!BK$117=1,FJ28=0),2000,0))),1000000000))</f>
        <v/>
      </c>
      <c r="QN28">
        <f>IF($B28=0,1000000000,IF(INDEX('calcA'!$D$60:$EQ$99,$B28,61)*IF($W28=1,FJ28+ABY28,FJ28)=1,IF(AND($E28=2,IF($W28=1,AHN28,KY28)=0),1000000000,IF($V28=1,INDEX('calcA'!$D$130:$EQ$169,$B28,61)+IF(AND($E28=1,KY28=0),25,0),IF($F28&gt;0,INDEX('calcA'!BL$110:BL$114,$F28+1)+IF(AND($E28=1,KY28=0),1000,0),MIN(TW28,20)*400+(IF('calcA'!BK$106=1,1-FI28,0)+IF('calcA'!BL$106=1,1-FK28,0))*150+133+'calcA'!BL$5*100000+IF(AND($E28=1,KY28=0),50000,0))+IF($H28=1,INDEX('calcA'!$D$180:$EQ$219,$B28,61)*4000,0)-IF(AND('calcA'!BK$117=1,WI28&gt;0),2000,0)-IF(AND($U28=1,'calcA'!BL$117=1,FK28=0),2000,0))),1000000000))</f>
        <v/>
      </c>
      <c r="QO28">
        <f>IF($B28=0,1000000000,IF(INDEX('calcA'!$D$60:$EQ$99,$B28,62)*IF($W28=1,FK28+ABZ28,FK28)=1,IF(AND($E28=2,IF($W28=1,AHO28,KZ28)=0),1000000000,IF($V28=1,INDEX('calcA'!$D$130:$EQ$169,$B28,62)+IF(AND($E28=1,KZ28=0),25,0),IF($F28&gt;0,INDEX('calcA'!BM$110:BM$114,$F28+1)+IF(AND($E28=1,KZ28=0),1000,0),MIN(TW28,20)*400+(IF('calcA'!BL$106=1,1-FJ28,0)+IF('calcA'!BM$106=1,1-FL28,0))*150+143+'calcA'!BM$5*100000+IF(AND($E28=1,KZ28=0),50000,0))+IF($H28=1,INDEX('calcA'!$D$180:$EQ$219,$B28,62)*4000,0)-IF(AND('calcA'!BL$117=1,WJ28&gt;0),2000,0)-IF(AND($U28=1,'calcA'!BM$117=1,FL28=0),2000,0))),1000000000))</f>
        <v/>
      </c>
      <c r="QP28">
        <f>IF($B28=0,1000000000,IF(INDEX('calcA'!$D$60:$EQ$99,$B28,63)*IF($W28=1,FL28+ACA28,FL28)=1,IF(AND($E28=2,IF($W28=1,AHP28,LA28)=0),1000000000,IF($V28=1,INDEX('calcA'!$D$130:$EQ$169,$B28,63)+IF(AND($E28=1,LA28=0),25,0),IF($F28&gt;0,INDEX('calcA'!BN$110:BN$114,$F28+1)+IF(AND($E28=1,LA28=0),1000,0),MIN(TW28,20)*400+(IF('calcA'!BM$106=1,1-FK28,0)+IF('calcA'!BN$106=1,1-FM28,0))*150+153+'calcA'!BN$5*100000+IF(AND($E28=1,LA28=0),50000,0))+IF($H28=1,INDEX('calcA'!$D$180:$EQ$219,$B28,63)*4000,0)-IF(AND('calcA'!BM$117=1,WK28&gt;0),2000,0)-IF(AND($U28=1,'calcA'!BN$117=1,FM28=0),2000,0))),1000000000))</f>
        <v/>
      </c>
      <c r="QQ28">
        <f>IF($B28=0,1000000000,IF(INDEX('calcA'!$D$60:$EQ$99,$B28,64)*IF($W28=1,FM28+ACB28,FM28)=1,IF(AND($E28=2,IF($W28=1,AHQ28,LB28)=0),1000000000,IF($V28=1,INDEX('calcA'!$D$130:$EQ$169,$B28,64)+IF(AND($E28=1,LB28=0),25,0),IF($F28&gt;0,INDEX('calcA'!BO$110:BO$114,$F28+1)+IF(AND($E28=1,LB28=0),1000,0),MIN(TW28,20)*400+(IF('calcA'!BN$106=1,1-FL28,0)+IF('calcA'!BO$106=1,1-FN28,0))*150+163+'calcA'!BO$5*100000+IF(AND($E28=1,LB28=0),50000,0))+IF($H28=1,INDEX('calcA'!$D$180:$EQ$219,$B28,64)*4000,0)-IF(AND('calcA'!BN$117=1,WL28&gt;0),2000,0)-IF(AND($U28=1,'calcA'!BO$117=1,FN28=0),2000,0))),1000000000))</f>
        <v/>
      </c>
      <c r="QR28">
        <f>IF($B28=0,1000000000,IF(INDEX('calcA'!$D$60:$EQ$99,$B28,65)*IF($W28=1,FN28+ACC28,FN28)=1,IF(AND($E28=2,IF($W28=1,AHR28,LC28)=0),1000000000,IF($V28=1,INDEX('calcA'!$D$130:$EQ$169,$B28,65)+IF(AND($E28=1,LC28=0),25,0),IF($F28&gt;0,INDEX('calcA'!BP$110:BP$114,$F28+1)+IF(AND($E28=1,LC28=0),1000,0),MIN(TW28,20)*400+(IF('calcA'!BO$106=1,1-FM28,0)+IF('calcA'!BP$106=1,1-FO28,0))*150+173+'calcA'!BP$5*100000+IF(AND($E28=1,LC28=0),50000,0))+IF($H28=1,INDEX('calcA'!$D$180:$EQ$219,$B28,65)*4000,0)-IF(AND('calcA'!BO$117=1,WM28&gt;0),2000,0)-IF(AND($U28=1,'calcA'!BP$117=1,FO28=0),2000,0))),1000000000))</f>
        <v/>
      </c>
      <c r="QS28">
        <f>IF($B28=0,1000000000,IF(INDEX('calcA'!$D$60:$EQ$99,$B28,66)*IF($W28=1,FO28+ACD28,FO28)=1,IF(AND($E28=2,IF($W28=1,AHS28,LD28)=0),1000000000,IF($V28=1,INDEX('calcA'!$D$130:$EQ$169,$B28,66)+IF(AND($E28=1,LD28=0),25,0),IF($F28&gt;0,INDEX('calcA'!BQ$110:BQ$114,$F28+1)+IF(AND($E28=1,LD28=0),1000,0),MIN(TW28,20)*400+(IF('calcA'!BP$106=1,1-FN28,0)+IF('calcA'!BQ$106=1,1-FP28,0))*150+183+'calcA'!BQ$5*100000+IF(AND($E28=1,LD28=0),50000,0))+IF($H28=1,INDEX('calcA'!$D$180:$EQ$219,$B28,66)*4000,0)-IF(AND('calcA'!BP$117=1,WN28&gt;0),2000,0)-IF(AND($U28=1,'calcA'!BQ$117=1,FP28=0),2000,0))),1000000000))</f>
        <v/>
      </c>
      <c r="QT28">
        <f>IF($B28=0,1000000000,IF(INDEX('calcA'!$D$60:$EQ$99,$B28,67)*IF($W28=1,FP28+ACE28,FP28)=1,IF(AND($E28=2,IF($W28=1,AHT28,LE28)=0),1000000000,IF($V28=1,INDEX('calcA'!$D$130:$EQ$169,$B28,67)+IF(AND($E28=1,LE28=0),25,0),IF($F28&gt;0,INDEX('calcA'!BR$110:BR$114,$F28+1)+IF(AND($E28=1,LE28=0),1000,0),MIN(TW28,20)*400+(IF('calcA'!BQ$106=1,1-FO28,0)+IF('calcA'!BR$106=1,1-FQ28,0))*150+193+'calcA'!BR$5*100000+IF(AND($E28=1,LE28=0),50000,0))+IF($H28=1,INDEX('calcA'!$D$180:$EQ$219,$B28,67)*4000,0)-IF(AND('calcA'!BQ$117=1,WO28&gt;0),2000,0)-IF(AND($U28=1,'calcA'!BR$117=1,FQ28=0),2000,0))),1000000000))</f>
        <v/>
      </c>
      <c r="QU28">
        <f>IF($B28=0,1000000000,IF(INDEX('calcA'!$D$60:$EQ$99,$B28,68)*IF($W28=1,FQ28+ACF28,FQ28)=1,IF(AND($E28=2,IF($W28=1,AHU28,LF28)=0),1000000000,IF($V28=1,INDEX('calcA'!$D$130:$EQ$169,$B28,68)+IF(AND($E28=1,LF28=0),25,0),IF($F28&gt;0,INDEX('calcA'!BS$110:BS$114,$F28+1)+IF(AND($E28=1,LF28=0),1000,0),MIN(TW28,20)*400+(IF('calcA'!BR$106=1,1-FP28,0)+IF('calcA'!BS$106=1,1-FR28,0))*150+203+'calcA'!BS$5*100000+IF(AND($E28=1,LF28=0),50000,0))+IF($H28=1,INDEX('calcA'!$D$180:$EQ$219,$B28,68)*4000,0)-IF(AND('calcA'!BR$117=1,WP28&gt;0),2000,0)-IF(AND($U28=1,'calcA'!BS$117=1,FR28=0),2000,0))),1000000000))</f>
        <v/>
      </c>
      <c r="QV28">
        <f>IF($B28=0,1000000000,IF(INDEX('calcA'!$D$60:$EQ$99,$B28,69)*IF($W28=1,FR28+ACG28,FR28)=1,IF(AND($E28=2,IF($W28=1,AHV28,LG28)=0),1000000000,IF($V28=1,INDEX('calcA'!$D$130:$EQ$169,$B28,69)+IF(AND($E28=1,LG28=0),25,0),IF($F28&gt;0,INDEX('calcA'!BT$110:BT$114,$F28+1)+IF(AND($E28=1,LG28=0),1000,0),MIN(TW28,20)*400+(IF('calcA'!BS$106=1,1-FQ28,0)+IF('calcA'!BT$106=1,1-FS28,0))*150+213+'calcA'!BT$5*100000+IF(AND($E28=1,LG28=0),50000,0))+IF($H28=1,INDEX('calcA'!$D$180:$EQ$219,$B28,69)*4000,0)-IF(AND('calcA'!BS$117=1,WQ28&gt;0),2000,0)-IF(AND($U28=1,'calcA'!BT$117=1,FS28=0),2000,0))),1000000000))</f>
        <v/>
      </c>
      <c r="QW28">
        <f>IF($B28=0,1000000000,IF(INDEX('calcA'!$D$60:$EQ$99,$B28,70)*IF($W28=1,FS28+ACH28,FS28)=1,IF(AND($E28=2,IF($W28=1,AHW28,LH28)=0),1000000000,IF($V28=1,INDEX('calcA'!$D$130:$EQ$169,$B28,70)+IF(AND($E28=1,LH28=0),25,0),IF($F28&gt;0,INDEX('calcA'!BU$110:BU$114,$F28+1)+IF(AND($E28=1,LH28=0),1000,0),MIN(TW28,20)*400+(IF('calcA'!BT$106=1,1-FR28,0)+IF('calcA'!BU$106=1,1-FT28,0))*150+223+'calcA'!BU$5*100000+IF(AND($E28=1,LH28=0),50000,0))+IF($H28=1,INDEX('calcA'!$D$180:$EQ$219,$B28,70)*4000,0)-IF(AND('calcA'!BT$117=1,WR28&gt;0),2000,0)-IF(AND($U28=1,'calcA'!BU$117=1,FT28=0),2000,0))),1000000000))</f>
        <v/>
      </c>
      <c r="QX28">
        <f>IF($B28=0,1000000000,IF(INDEX('calcA'!$D$60:$EQ$99,$B28,71)*IF($W28=1,FT28+ACI28,FT28)=1,IF(AND($E28=2,IF($W28=1,AHX28,LI28)=0),1000000000,IF($V28=1,INDEX('calcA'!$D$130:$EQ$169,$B28,71)+IF(AND($E28=1,LI28=0),25,0),IF($F28&gt;0,INDEX('calcA'!BV$110:BV$114,$F28+1)+IF(AND($E28=1,LI28=0),1000,0),MIN(TW28,20)*400+(IF('calcA'!BU$106=1,1-FS28,0)+IF('calcA'!BV$106=1,1-FU28,0))*150+233+'calcA'!BV$5*100000+IF(AND($E28=1,LI28=0),50000,0))+IF($H28=1,INDEX('calcA'!$D$180:$EQ$219,$B28,71)*4000,0)-IF(AND('calcA'!BU$117=1,WS28&gt;0),2000,0)-IF(AND($U28=1,'calcA'!BV$117=1,FU28=0),2000,0))),1000000000))</f>
        <v/>
      </c>
      <c r="QY28">
        <f>IF($B28=0,1000000000,IF(INDEX('calcA'!$D$60:$EQ$99,$B28,72)*IF($W28=1,FU28+ACJ28,FU28)=1,IF(AND($E28=2,IF($W28=1,AHY28,LJ28)=0),1000000000,IF($V28=1,INDEX('calcA'!$D$130:$EQ$169,$B28,72)+IF(AND($E28=1,LJ28=0),25,0),IF($F28&gt;0,INDEX('calcA'!BW$110:BW$114,$F28+1)+IF(AND($E28=1,LJ28=0),1000,0),MIN(TW28,20)*400+(IF('calcA'!BV$106=1,1-FT28,0))*150+243+'calcA'!BW$5*100000+IF(AND($E28=1,LJ28=0),50000,0))+IF($H28=1,INDEX('calcA'!$D$180:$EQ$219,$B28,72)*4000,0)-IF(AND('calcA'!BV$117=1,WT28&gt;0),2000,0))),1000000000))</f>
        <v/>
      </c>
      <c r="QZ28">
        <f>IF($B28=0,1000000000,IF(INDEX('calcA'!$D$60:$EQ$99,$B28,73)*IF($W28=1,FV28+ACK28,FV28)=1,IF(AND($E28=2,IF($W28=1,AHZ28,LK28)=0),1000000000,IF($V28=1,INDEX('calcA'!$D$130:$EQ$169,$B28,73)+IF(AND($E28=1,LK28=0),25,0),IF($F28&gt;0,INDEX('calcA'!BX$110:BX$114,$F28+1)+IF(AND($E28=1,LK28=0),1000,0),MIN(TX28,20)*400+(IF('calcA'!BX$106=1,1-FW28,0))*150+14+'calcA'!BX$5*100000+IF(AND($E28=1,LK28=0),50000,0))+IF($H28=1,INDEX('calcA'!$D$180:$EQ$219,$B28,73)*4000,0)-IF(AND($U28=1,'calcA'!BX$117=1,FW28=0),2000,0))),1000000000))</f>
        <v/>
      </c>
      <c r="RA28">
        <f>IF($B28=0,1000000000,IF(INDEX('calcA'!$D$60:$EQ$99,$B28,74)*IF($W28=1,FW28+ACL28,FW28)=1,IF(AND($E28=2,IF($W28=1,AIA28,LL28)=0),1000000000,IF($V28=1,INDEX('calcA'!$D$130:$EQ$169,$B28,74)+IF(AND($E28=1,LL28=0),25,0),IF($F28&gt;0,INDEX('calcA'!BY$110:BY$114,$F28+1)+IF(AND($E28=1,LL28=0),1000,0),MIN(TX28,20)*400+(IF('calcA'!BX$106=1,1-FV28,0)+IF('calcA'!BY$106=1,1-FX28,0))*150+24+'calcA'!BY$5*100000+IF(AND($E28=1,LL28=0),50000,0))+IF($H28=1,INDEX('calcA'!$D$180:$EQ$219,$B28,74)*4000,0)-IF(AND('calcA'!BX$117=1,WV28&gt;0),2000,0)-IF(AND($U28=1,'calcA'!BY$117=1,FX28=0),2000,0))),1000000000))</f>
        <v/>
      </c>
      <c r="RB28">
        <f>IF($B28=0,1000000000,IF(INDEX('calcA'!$D$60:$EQ$99,$B28,75)*IF($W28=1,FX28+ACM28,FX28)=1,IF(AND($E28=2,IF($W28=1,AIB28,LM28)=0),1000000000,IF($V28=1,INDEX('calcA'!$D$130:$EQ$169,$B28,75)+IF(AND($E28=1,LM28=0),25,0),IF($F28&gt;0,INDEX('calcA'!BZ$110:BZ$114,$F28+1)+IF(AND($E28=1,LM28=0),1000,0),MIN(TX28,20)*400+(IF('calcA'!BY$106=1,1-FW28,0)+IF('calcA'!BZ$106=1,1-FY28,0))*150+34+'calcA'!BZ$5*100000+IF(AND($E28=1,LM28=0),50000,0))+IF($H28=1,INDEX('calcA'!$D$180:$EQ$219,$B28,75)*4000,0)-IF(AND('calcA'!BY$117=1,WW28&gt;0),2000,0)-IF(AND($U28=1,'calcA'!BZ$117=1,FY28=0),2000,0))),1000000000))</f>
        <v/>
      </c>
      <c r="RC28">
        <f>IF($B28=0,1000000000,IF(INDEX('calcA'!$D$60:$EQ$99,$B28,76)*IF($W28=1,FY28+ACN28,FY28)=1,IF(AND($E28=2,IF($W28=1,AIC28,LN28)=0),1000000000,IF($V28=1,INDEX('calcA'!$D$130:$EQ$169,$B28,76)+IF(AND($E28=1,LN28=0),25,0),IF($F28&gt;0,INDEX('calcA'!CA$110:CA$114,$F28+1)+IF(AND($E28=1,LN28=0),1000,0),MIN(TX28,20)*400+(IF('calcA'!BZ$106=1,1-FX28,0)+IF('calcA'!CA$106=1,1-FZ28,0))*150+44+'calcA'!CA$5*100000+IF(AND($E28=1,LN28=0),50000,0))+IF($H28=1,INDEX('calcA'!$D$180:$EQ$219,$B28,76)*4000,0)-IF(AND('calcA'!BZ$117=1,WX28&gt;0),2000,0)-IF(AND($U28=1,'calcA'!CA$117=1,FZ28=0),2000,0))),1000000000))</f>
        <v/>
      </c>
      <c r="RD28">
        <f>IF($B28=0,1000000000,IF(INDEX('calcA'!$D$60:$EQ$99,$B28,77)*IF($W28=1,FZ28+ACO28,FZ28)=1,IF(AND($E28=2,IF($W28=1,AID28,LO28)=0),1000000000,IF($V28=1,INDEX('calcA'!$D$130:$EQ$169,$B28,77)+IF(AND($E28=1,LO28=0),25,0),IF($F28&gt;0,INDEX('calcA'!CB$110:CB$114,$F28+1)+IF(AND($E28=1,LO28=0),1000,0),MIN(TX28,20)*400+(IF('calcA'!CA$106=1,1-FY28,0)+IF('calcA'!CB$106=1,1-GA28,0))*150+54+'calcA'!CB$5*100000+IF(AND($E28=1,LO28=0),50000,0))+IF($H28=1,INDEX('calcA'!$D$180:$EQ$219,$B28,77)*4000,0)-IF(AND('calcA'!CA$117=1,WY28&gt;0),2000,0)-IF(AND($U28=1,'calcA'!CB$117=1,GA28=0),2000,0))),1000000000))</f>
        <v/>
      </c>
      <c r="RE28">
        <f>IF($B28=0,1000000000,IF(INDEX('calcA'!$D$60:$EQ$99,$B28,78)*IF($W28=1,GA28+ACP28,GA28)=1,IF(AND($E28=2,IF($W28=1,AIE28,LP28)=0),1000000000,IF($V28=1,INDEX('calcA'!$D$130:$EQ$169,$B28,78)+IF(AND($E28=1,LP28=0),25,0),IF($F28&gt;0,INDEX('calcA'!CC$110:CC$114,$F28+1)+IF(AND($E28=1,LP28=0),1000,0),MIN(TX28,20)*400+(IF('calcA'!CB$106=1,1-FZ28,0)+IF('calcA'!CC$106=1,1-GB28,0))*150+64+'calcA'!CC$5*100000+IF(AND($E28=1,LP28=0),50000,0))+IF($H28=1,INDEX('calcA'!$D$180:$EQ$219,$B28,78)*4000,0)-IF(AND('calcA'!CB$117=1,WZ28&gt;0),2000,0)-IF(AND($U28=1,'calcA'!CC$117=1,GB28=0),2000,0))),1000000000))</f>
        <v/>
      </c>
      <c r="RF28">
        <f>IF($B28=0,1000000000,IF(INDEX('calcA'!$D$60:$EQ$99,$B28,79)*IF($W28=1,GB28+ACQ28,GB28)=1,IF(AND($E28=2,IF($W28=1,AIF28,LQ28)=0),1000000000,IF($V28=1,INDEX('calcA'!$D$130:$EQ$169,$B28,79)+IF(AND($E28=1,LQ28=0),25,0),IF($F28&gt;0,INDEX('calcA'!CD$110:CD$114,$F28+1)+IF(AND($E28=1,LQ28=0),1000,0),MIN(TX28,20)*400+(IF('calcA'!CC$106=1,1-GA28,0)+IF('calcA'!CD$106=1,1-GC28,0))*150+74+'calcA'!CD$5*100000+IF(AND($E28=1,LQ28=0),50000,0))+IF($H28=1,INDEX('calcA'!$D$180:$EQ$219,$B28,79)*4000,0)-IF(AND('calcA'!CC$117=1,XA28&gt;0),2000,0)-IF(AND($U28=1,'calcA'!CD$117=1,GC28=0),2000,0))),1000000000))</f>
        <v/>
      </c>
      <c r="RG28">
        <f>IF($B28=0,1000000000,IF(INDEX('calcA'!$D$60:$EQ$99,$B28,80)*IF($W28=1,GC28+ACR28,GC28)=1,IF(AND($E28=2,IF($W28=1,AIG28,LR28)=0),1000000000,IF($V28=1,INDEX('calcA'!$D$130:$EQ$169,$B28,80)+IF(AND($E28=1,LR28=0),25,0),IF($F28&gt;0,INDEX('calcA'!CE$110:CE$114,$F28+1)+IF(AND($E28=1,LR28=0),1000,0),MIN(TX28,20)*400+(IF('calcA'!CD$106=1,1-GB28,0)+IF('calcA'!CE$106=1,1-GD28,0))*150+84+'calcA'!CE$5*100000+IF(AND($E28=1,LR28=0),50000,0))+IF($H28=1,INDEX('calcA'!$D$180:$EQ$219,$B28,80)*4000,0)-IF(AND('calcA'!CD$117=1,XB28&gt;0),2000,0)-IF(AND($U28=1,'calcA'!CE$117=1,GD28=0),2000,0))),1000000000))</f>
        <v/>
      </c>
      <c r="RH28">
        <f>IF($B28=0,1000000000,IF(INDEX('calcA'!$D$60:$EQ$99,$B28,81)*IF($W28=1,GD28+ACS28,GD28)=1,IF(AND($E28=2,IF($W28=1,AIH28,LS28)=0),1000000000,IF($V28=1,INDEX('calcA'!$D$130:$EQ$169,$B28,81)+IF(AND($E28=1,LS28=0),25,0),IF($F28&gt;0,INDEX('calcA'!CF$110:CF$114,$F28+1)+IF(AND($E28=1,LS28=0),1000,0),MIN(TX28,20)*400+(IF('calcA'!CE$106=1,1-GC28,0)+IF('calcA'!CF$106=1,1-GE28,0))*150+94+'calcA'!CF$5*100000+IF(AND($E28=1,LS28=0),50000,0))+IF($H28=1,INDEX('calcA'!$D$180:$EQ$219,$B28,81)*4000,0)-IF(AND('calcA'!CE$117=1,XC28&gt;0),2000,0)-IF(AND($U28=1,'calcA'!CF$117=1,GE28=0),2000,0))),1000000000))</f>
        <v/>
      </c>
      <c r="RI28">
        <f>IF($B28=0,1000000000,IF(INDEX('calcA'!$D$60:$EQ$99,$B28,82)*IF($W28=1,GE28+ACT28,GE28)=1,IF(AND($E28=2,IF($W28=1,AII28,LT28)=0),1000000000,IF($V28=1,INDEX('calcA'!$D$130:$EQ$169,$B28,82)+IF(AND($E28=1,LT28=0),25,0),IF($F28&gt;0,INDEX('calcA'!CG$110:CG$114,$F28+1)+IF(AND($E28=1,LT28=0),1000,0),MIN(TX28,20)*400+(IF('calcA'!CF$106=1,1-GD28,0)+IF('calcA'!CG$106=1,1-GF28,0))*150+104+'calcA'!CG$5*100000+IF(AND($E28=1,LT28=0),50000,0))+IF($H28=1,INDEX('calcA'!$D$180:$EQ$219,$B28,82)*4000,0)-IF(AND('calcA'!CF$117=1,XD28&gt;0),2000,0)-IF(AND($U28=1,'calcA'!CG$117=1,GF28=0),2000,0))),1000000000))</f>
        <v/>
      </c>
      <c r="RJ28">
        <f>IF($B28=0,1000000000,IF(INDEX('calcA'!$D$60:$EQ$99,$B28,83)*IF($W28=1,GF28+ACU28,GF28)=1,IF(AND($E28=2,IF($W28=1,AIJ28,LU28)=0),1000000000,IF($V28=1,INDEX('calcA'!$D$130:$EQ$169,$B28,83)+IF(AND($E28=1,LU28=0),25,0),IF($F28&gt;0,INDEX('calcA'!CH$110:CH$114,$F28+1)+IF(AND($E28=1,LU28=0),1000,0),MIN(TX28,20)*400+(IF('calcA'!CG$106=1,1-GE28,0)+IF('calcA'!CH$106=1,1-GG28,0))*150+114+'calcA'!CH$5*100000+IF(AND($E28=1,LU28=0),50000,0))+IF($H28=1,INDEX('calcA'!$D$180:$EQ$219,$B28,83)*4000,0)-IF(AND('calcA'!CG$117=1,XE28&gt;0),2000,0)-IF(AND($U28=1,'calcA'!CH$117=1,GG28=0),2000,0))),1000000000))</f>
        <v/>
      </c>
      <c r="RK28">
        <f>IF($B28=0,1000000000,IF(INDEX('calcA'!$D$60:$EQ$99,$B28,84)*IF($W28=1,GG28+ACV28,GG28)=1,IF(AND($E28=2,IF($W28=1,AIK28,LV28)=0),1000000000,IF($V28=1,INDEX('calcA'!$D$130:$EQ$169,$B28,84)+IF(AND($E28=1,LV28=0),25,0),IF($F28&gt;0,INDEX('calcA'!CI$110:CI$114,$F28+1)+IF(AND($E28=1,LV28=0),1000,0),MIN(TX28,20)*400+(IF('calcA'!CH$106=1,1-GF28,0)+IF('calcA'!CI$106=1,1-GH28,0))*150+124+'calcA'!CI$5*100000+IF(AND($E28=1,LV28=0),50000,0))+IF($H28=1,INDEX('calcA'!$D$180:$EQ$219,$B28,84)*4000,0)-IF(AND('calcA'!CH$117=1,XF28&gt;0),2000,0)-IF(AND($U28=1,'calcA'!CI$117=1,GH28=0),2000,0))),1000000000))</f>
        <v/>
      </c>
      <c r="RL28">
        <f>IF($B28=0,1000000000,IF(INDEX('calcA'!$D$60:$EQ$99,$B28,85)*IF($W28=1,GH28+ACW28,GH28)=1,IF(AND($E28=2,IF($W28=1,AIL28,LW28)=0),1000000000,IF($V28=1,INDEX('calcA'!$D$130:$EQ$169,$B28,85)+IF(AND($E28=1,LW28=0),25,0),IF($F28&gt;0,INDEX('calcA'!CJ$110:CJ$114,$F28+1)+IF(AND($E28=1,LW28=0),1000,0),MIN(TX28,20)*400+(IF('calcA'!CI$106=1,1-GG28,0)+IF('calcA'!CJ$106=1,1-GI28,0))*150+134+'calcA'!CJ$5*100000+IF(AND($E28=1,LW28=0),50000,0))+IF($H28=1,INDEX('calcA'!$D$180:$EQ$219,$B28,85)*4000,0)-IF(AND('calcA'!CI$117=1,XG28&gt;0),2000,0)-IF(AND($U28=1,'calcA'!CJ$117=1,GI28=0),2000,0))),1000000000))</f>
        <v/>
      </c>
      <c r="RM28">
        <f>IF($B28=0,1000000000,IF(INDEX('calcA'!$D$60:$EQ$99,$B28,86)*IF($W28=1,GI28+ACX28,GI28)=1,IF(AND($E28=2,IF($W28=1,AIM28,LX28)=0),1000000000,IF($V28=1,INDEX('calcA'!$D$130:$EQ$169,$B28,86)+IF(AND($E28=1,LX28=0),25,0),IF($F28&gt;0,INDEX('calcA'!CK$110:CK$114,$F28+1)+IF(AND($E28=1,LX28=0),1000,0),MIN(TX28,20)*400+(IF('calcA'!CJ$106=1,1-GH28,0)+IF('calcA'!CK$106=1,1-GJ28,0))*150+144+'calcA'!CK$5*100000+IF(AND($E28=1,LX28=0),50000,0))+IF($H28=1,INDEX('calcA'!$D$180:$EQ$219,$B28,86)*4000,0)-IF(AND('calcA'!CJ$117=1,XH28&gt;0),2000,0)-IF(AND($U28=1,'calcA'!CK$117=1,GJ28=0),2000,0))),1000000000))</f>
        <v/>
      </c>
      <c r="RN28">
        <f>IF($B28=0,1000000000,IF(INDEX('calcA'!$D$60:$EQ$99,$B28,87)*IF($W28=1,GJ28+ACY28,GJ28)=1,IF(AND($E28=2,IF($W28=1,AIN28,LY28)=0),1000000000,IF($V28=1,INDEX('calcA'!$D$130:$EQ$169,$B28,87)+IF(AND($E28=1,LY28=0),25,0),IF($F28&gt;0,INDEX('calcA'!CL$110:CL$114,$F28+1)+IF(AND($E28=1,LY28=0),1000,0),MIN(TX28,20)*400+(IF('calcA'!CK$106=1,1-GI28,0)+IF('calcA'!CL$106=1,1-GK28,0))*150+154+'calcA'!CL$5*100000+IF(AND($E28=1,LY28=0),50000,0))+IF($H28=1,INDEX('calcA'!$D$180:$EQ$219,$B28,87)*4000,0)-IF(AND('calcA'!CK$117=1,XI28&gt;0),2000,0)-IF(AND($U28=1,'calcA'!CL$117=1,GK28=0),2000,0))),1000000000))</f>
        <v/>
      </c>
      <c r="RO28">
        <f>IF($B28=0,1000000000,IF(INDEX('calcA'!$D$60:$EQ$99,$B28,88)*IF($W28=1,GK28+ACZ28,GK28)=1,IF(AND($E28=2,IF($W28=1,AIO28,LZ28)=0),1000000000,IF($V28=1,INDEX('calcA'!$D$130:$EQ$169,$B28,88)+IF(AND($E28=1,LZ28=0),25,0),IF($F28&gt;0,INDEX('calcA'!CM$110:CM$114,$F28+1)+IF(AND($E28=1,LZ28=0),1000,0),MIN(TX28,20)*400+(IF('calcA'!CL$106=1,1-GJ28,0)+IF('calcA'!CM$106=1,1-GL28,0))*150+164+'calcA'!CM$5*100000+IF(AND($E28=1,LZ28=0),50000,0))+IF($H28=1,INDEX('calcA'!$D$180:$EQ$219,$B28,88)*4000,0)-IF(AND('calcA'!CL$117=1,XJ28&gt;0),2000,0)-IF(AND($U28=1,'calcA'!CM$117=1,GL28=0),2000,0))),1000000000))</f>
        <v/>
      </c>
      <c r="RP28">
        <f>IF($B28=0,1000000000,IF(INDEX('calcA'!$D$60:$EQ$99,$B28,89)*IF($W28=1,GL28+ADA28,GL28)=1,IF(AND($E28=2,IF($W28=1,AIP28,MA28)=0),1000000000,IF($V28=1,INDEX('calcA'!$D$130:$EQ$169,$B28,89)+IF(AND($E28=1,MA28=0),25,0),IF($F28&gt;0,INDEX('calcA'!CN$110:CN$114,$F28+1)+IF(AND($E28=1,MA28=0),1000,0),MIN(TX28,20)*400+(IF('calcA'!CM$106=1,1-GK28,0)+IF('calcA'!CN$106=1,1-GM28,0))*150+174+'calcA'!CN$5*100000+IF(AND($E28=1,MA28=0),50000,0))+IF($H28=1,INDEX('calcA'!$D$180:$EQ$219,$B28,89)*4000,0)-IF(AND('calcA'!CM$117=1,XK28&gt;0),2000,0)-IF(AND($U28=1,'calcA'!CN$117=1,GM28=0),2000,0))),1000000000))</f>
        <v/>
      </c>
      <c r="RQ28">
        <f>IF($B28=0,1000000000,IF(INDEX('calcA'!$D$60:$EQ$99,$B28,90)*IF($W28=1,GM28+ADB28,GM28)=1,IF(AND($E28=2,IF($W28=1,AIQ28,MB28)=0),1000000000,IF($V28=1,INDEX('calcA'!$D$130:$EQ$169,$B28,90)+IF(AND($E28=1,MB28=0),25,0),IF($F28&gt;0,INDEX('calcA'!CO$110:CO$114,$F28+1)+IF(AND($E28=1,MB28=0),1000,0),MIN(TX28,20)*400+(IF('calcA'!CN$106=1,1-GL28,0)+IF('calcA'!CO$106=1,1-GN28,0))*150+184+'calcA'!CO$5*100000+IF(AND($E28=1,MB28=0),50000,0))+IF($H28=1,INDEX('calcA'!$D$180:$EQ$219,$B28,90)*4000,0)-IF(AND('calcA'!CN$117=1,XL28&gt;0),2000,0)-IF(AND($U28=1,'calcA'!CO$117=1,GN28=0),2000,0))),1000000000))</f>
        <v/>
      </c>
      <c r="RR28">
        <f>IF($B28=0,1000000000,IF(INDEX('calcA'!$D$60:$EQ$99,$B28,91)*IF($W28=1,GN28+ADC28,GN28)=1,IF(AND($E28=2,IF($W28=1,AIR28,MC28)=0),1000000000,IF($V28=1,INDEX('calcA'!$D$130:$EQ$169,$B28,91)+IF(AND($E28=1,MC28=0),25,0),IF($F28&gt;0,INDEX('calcA'!CP$110:CP$114,$F28+1)+IF(AND($E28=1,MC28=0),1000,0),MIN(TX28,20)*400+(IF('calcA'!CO$106=1,1-GM28,0)+IF('calcA'!CP$106=1,1-GO28,0))*150+194+'calcA'!CP$5*100000+IF(AND($E28=1,MC28=0),50000,0))+IF($H28=1,INDEX('calcA'!$D$180:$EQ$219,$B28,91)*4000,0)-IF(AND('calcA'!CO$117=1,XM28&gt;0),2000,0)-IF(AND($U28=1,'calcA'!CP$117=1,GO28=0),2000,0))),1000000000))</f>
        <v/>
      </c>
      <c r="RS28">
        <f>IF($B28=0,1000000000,IF(INDEX('calcA'!$D$60:$EQ$99,$B28,92)*IF($W28=1,GO28+ADD28,GO28)=1,IF(AND($E28=2,IF($W28=1,AIS28,MD28)=0),1000000000,IF($V28=1,INDEX('calcA'!$D$130:$EQ$169,$B28,92)+IF(AND($E28=1,MD28=0),25,0),IF($F28&gt;0,INDEX('calcA'!CQ$110:CQ$114,$F28+1)+IF(AND($E28=1,MD28=0),1000,0),MIN(TX28,20)*400+(IF('calcA'!CP$106=1,1-GN28,0)+IF('calcA'!CQ$106=1,1-GP28,0))*150+204+'calcA'!CQ$5*100000+IF(AND($E28=1,MD28=0),50000,0))+IF($H28=1,INDEX('calcA'!$D$180:$EQ$219,$B28,92)*4000,0)-IF(AND('calcA'!CP$117=1,XN28&gt;0),2000,0)-IF(AND($U28=1,'calcA'!CQ$117=1,GP28=0),2000,0))),1000000000))</f>
        <v/>
      </c>
      <c r="RT28">
        <f>IF($B28=0,1000000000,IF(INDEX('calcA'!$D$60:$EQ$99,$B28,93)*IF($W28=1,GP28+ADE28,GP28)=1,IF(AND($E28=2,IF($W28=1,AIT28,ME28)=0),1000000000,IF($V28=1,INDEX('calcA'!$D$130:$EQ$169,$B28,93)+IF(AND($E28=1,ME28=0),25,0),IF($F28&gt;0,INDEX('calcA'!CR$110:CR$114,$F28+1)+IF(AND($E28=1,ME28=0),1000,0),MIN(TX28,20)*400+(IF('calcA'!CQ$106=1,1-GO28,0)+IF('calcA'!CR$106=1,1-GQ28,0))*150+214+'calcA'!CR$5*100000+IF(AND($E28=1,ME28=0),50000,0))+IF($H28=1,INDEX('calcA'!$D$180:$EQ$219,$B28,93)*4000,0)-IF(AND('calcA'!CQ$117=1,XO28&gt;0),2000,0)-IF(AND($U28=1,'calcA'!CR$117=1,GQ28=0),2000,0))),1000000000))</f>
        <v/>
      </c>
      <c r="RU28">
        <f>IF($B28=0,1000000000,IF(INDEX('calcA'!$D$60:$EQ$99,$B28,94)*IF($W28=1,GQ28+ADF28,GQ28)=1,IF(AND($E28=2,IF($W28=1,AIU28,MF28)=0),1000000000,IF($V28=1,INDEX('calcA'!$D$130:$EQ$169,$B28,94)+IF(AND($E28=1,MF28=0),25,0),IF($F28&gt;0,INDEX('calcA'!CS$110:CS$114,$F28+1)+IF(AND($E28=1,MF28=0),1000,0),MIN(TX28,20)*400+(IF('calcA'!CR$106=1,1-GP28,0)+IF('calcA'!CS$106=1,1-GR28,0))*150+224+'calcA'!CS$5*100000+IF(AND($E28=1,MF28=0),50000,0))+IF($H28=1,INDEX('calcA'!$D$180:$EQ$219,$B28,94)*4000,0)-IF(AND('calcA'!CR$117=1,XP28&gt;0),2000,0)-IF(AND($U28=1,'calcA'!CS$117=1,GR28=0),2000,0))),1000000000))</f>
        <v/>
      </c>
      <c r="RV28">
        <f>IF($B28=0,1000000000,IF(INDEX('calcA'!$D$60:$EQ$99,$B28,95)*IF($W28=1,GR28+ADG28,GR28)=1,IF(AND($E28=2,IF($W28=1,AIV28,MG28)=0),1000000000,IF($V28=1,INDEX('calcA'!$D$130:$EQ$169,$B28,95)+IF(AND($E28=1,MG28=0),25,0),IF($F28&gt;0,INDEX('calcA'!CT$110:CT$114,$F28+1)+IF(AND($E28=1,MG28=0),1000,0),MIN(TX28,20)*400+(IF('calcA'!CS$106=1,1-GQ28,0)+IF('calcA'!CT$106=1,1-GS28,0))*150+234+'calcA'!CT$5*100000+IF(AND($E28=1,MG28=0),50000,0))+IF($H28=1,INDEX('calcA'!$D$180:$EQ$219,$B28,95)*4000,0)-IF(AND('calcA'!CS$117=1,XQ28&gt;0),2000,0)-IF(AND($U28=1,'calcA'!CT$117=1,GS28=0),2000,0))),1000000000))</f>
        <v/>
      </c>
      <c r="RW28">
        <f>IF($B28=0,1000000000,IF(INDEX('calcA'!$D$60:$EQ$99,$B28,96)*IF($W28=1,GS28+ADH28,GS28)=1,IF(AND($E28=2,IF($W28=1,AIW28,MH28)=0),1000000000,IF($V28=1,INDEX('calcA'!$D$130:$EQ$169,$B28,96)+IF(AND($E28=1,MH28=0),25,0),IF($F28&gt;0,INDEX('calcA'!CU$110:CU$114,$F28+1)+IF(AND($E28=1,MH28=0),1000,0),MIN(TX28,20)*400+(IF('calcA'!CT$106=1,1-GR28,0))*150+244+'calcA'!CU$5*100000+IF(AND($E28=1,MH28=0),50000,0))+IF($H28=1,INDEX('calcA'!$D$180:$EQ$219,$B28,96)*4000,0)-IF(AND('calcA'!CT$117=1,XR28&gt;0),2000,0))),1000000000))</f>
        <v/>
      </c>
      <c r="RX28">
        <f>IF($B28=0,1000000000,IF(INDEX('calcA'!$D$60:$EQ$99,$B28,97)*IF($W28=1,GT28+ADI28,GT28)=1,IF(AND($E28=2,IF($W28=1,AIX28,MI28)=0),1000000000,IF($V28=1,INDEX('calcA'!$D$130:$EQ$169,$B28,97)+IF(AND($E28=1,MI28=0),25,0),IF($F28&gt;0,INDEX('calcA'!CV$110:CV$114,$F28+1)+IF(AND($E28=1,MI28=0),1000,0),MIN(TY28,20)*400+(IF('calcA'!CV$106=1,1-GU28,0))*150+15+'calcA'!CV$5*100000+IF(AND($E28=1,MI28=0),50000,0))+IF($H28=1,INDEX('calcA'!$D$180:$EQ$219,$B28,97)*4000,0)-IF(AND($U28=1,'calcA'!CV$117=1,GU28=0),2000,0))),1000000000))</f>
        <v/>
      </c>
      <c r="RY28">
        <f>IF($B28=0,1000000000,IF(INDEX('calcA'!$D$60:$EQ$99,$B28,98)*IF($W28=1,GU28+ADJ28,GU28)=1,IF(AND($E28=2,IF($W28=1,AIY28,MJ28)=0),1000000000,IF($V28=1,INDEX('calcA'!$D$130:$EQ$169,$B28,98)+IF(AND($E28=1,MJ28=0),25,0),IF($F28&gt;0,INDEX('calcA'!CW$110:CW$114,$F28+1)+IF(AND($E28=1,MJ28=0),1000,0),MIN(TY28,20)*400+(IF('calcA'!CV$106=1,1-GT28,0)+IF('calcA'!CW$106=1,1-GV28,0))*150+25+'calcA'!CW$5*100000+IF(AND($E28=1,MJ28=0),50000,0))+IF($H28=1,INDEX('calcA'!$D$180:$EQ$219,$B28,98)*4000,0)-IF(AND('calcA'!CV$117=1,XT28&gt;0),2000,0)-IF(AND($U28=1,'calcA'!CW$117=1,GV28=0),2000,0))),1000000000))</f>
        <v/>
      </c>
      <c r="RZ28">
        <f>IF($B28=0,1000000000,IF(INDEX('calcA'!$D$60:$EQ$99,$B28,99)*IF($W28=1,GV28+ADK28,GV28)=1,IF(AND($E28=2,IF($W28=1,AIZ28,MK28)=0),1000000000,IF($V28=1,INDEX('calcA'!$D$130:$EQ$169,$B28,99)+IF(AND($E28=1,MK28=0),25,0),IF($F28&gt;0,INDEX('calcA'!CX$110:CX$114,$F28+1)+IF(AND($E28=1,MK28=0),1000,0),MIN(TY28,20)*400+(IF('calcA'!CW$106=1,1-GU28,0)+IF('calcA'!CX$106=1,1-GW28,0))*150+35+'calcA'!CX$5*100000+IF(AND($E28=1,MK28=0),50000,0))+IF($H28=1,INDEX('calcA'!$D$180:$EQ$219,$B28,99)*4000,0)-IF(AND('calcA'!CW$117=1,XU28&gt;0),2000,0)-IF(AND($U28=1,'calcA'!CX$117=1,GW28=0),2000,0))),1000000000))</f>
        <v/>
      </c>
      <c r="SA28">
        <f>IF($B28=0,1000000000,IF(INDEX('calcA'!$D$60:$EQ$99,$B28,100)*IF($W28=1,GW28+ADL28,GW28)=1,IF(AND($E28=2,IF($W28=1,AJA28,ML28)=0),1000000000,IF($V28=1,INDEX('calcA'!$D$130:$EQ$169,$B28,100)+IF(AND($E28=1,ML28=0),25,0),IF($F28&gt;0,INDEX('calcA'!CY$110:CY$114,$F28+1)+IF(AND($E28=1,ML28=0),1000,0),MIN(TY28,20)*400+(IF('calcA'!CX$106=1,1-GV28,0)+IF('calcA'!CY$106=1,1-GX28,0))*150+45+'calcA'!CY$5*100000+IF(AND($E28=1,ML28=0),50000,0))+IF($H28=1,INDEX('calcA'!$D$180:$EQ$219,$B28,100)*4000,0)-IF(AND('calcA'!CX$117=1,XV28&gt;0),2000,0)-IF(AND($U28=1,'calcA'!CY$117=1,GX28=0),2000,0))),1000000000))</f>
        <v/>
      </c>
      <c r="SB28">
        <f>IF($B28=0,1000000000,IF(INDEX('calcA'!$D$60:$EQ$99,$B28,101)*IF($W28=1,GX28+ADM28,GX28)=1,IF(AND($E28=2,IF($W28=1,AJB28,MM28)=0),1000000000,IF($V28=1,INDEX('calcA'!$D$130:$EQ$169,$B28,101)+IF(AND($E28=1,MM28=0),25,0),IF($F28&gt;0,INDEX('calcA'!CZ$110:CZ$114,$F28+1)+IF(AND($E28=1,MM28=0),1000,0),MIN(TY28,20)*400+(IF('calcA'!CY$106=1,1-GW28,0)+IF('calcA'!CZ$106=1,1-GY28,0))*150+55+'calcA'!CZ$5*100000+IF(AND($E28=1,MM28=0),50000,0))+IF($H28=1,INDEX('calcA'!$D$180:$EQ$219,$B28,101)*4000,0)-IF(AND('calcA'!CY$117=1,XW28&gt;0),2000,0)-IF(AND($U28=1,'calcA'!CZ$117=1,GY28=0),2000,0))),1000000000))</f>
        <v/>
      </c>
      <c r="SC28">
        <f>IF($B28=0,1000000000,IF(INDEX('calcA'!$D$60:$EQ$99,$B28,102)*IF($W28=1,GY28+ADN28,GY28)=1,IF(AND($E28=2,IF($W28=1,AJC28,MN28)=0),1000000000,IF($V28=1,INDEX('calcA'!$D$130:$EQ$169,$B28,102)+IF(AND($E28=1,MN28=0),25,0),IF($F28&gt;0,INDEX('calcA'!DA$110:DA$114,$F28+1)+IF(AND($E28=1,MN28=0),1000,0),MIN(TY28,20)*400+(IF('calcA'!CZ$106=1,1-GX28,0)+IF('calcA'!DA$106=1,1-GZ28,0))*150+65+'calcA'!DA$5*100000+IF(AND($E28=1,MN28=0),50000,0))+IF($H28=1,INDEX('calcA'!$D$180:$EQ$219,$B28,102)*4000,0)-IF(AND('calcA'!CZ$117=1,XX28&gt;0),2000,0)-IF(AND($U28=1,'calcA'!DA$117=1,GZ28=0),2000,0))),1000000000))</f>
        <v/>
      </c>
      <c r="SD28">
        <f>IF($B28=0,1000000000,IF(INDEX('calcA'!$D$60:$EQ$99,$B28,103)*IF($W28=1,GZ28+ADO28,GZ28)=1,IF(AND($E28=2,IF($W28=1,AJD28,MO28)=0),1000000000,IF($V28=1,INDEX('calcA'!$D$130:$EQ$169,$B28,103)+IF(AND($E28=1,MO28=0),25,0),IF($F28&gt;0,INDEX('calcA'!DB$110:DB$114,$F28+1)+IF(AND($E28=1,MO28=0),1000,0),MIN(TY28,20)*400+(IF('calcA'!DA$106=1,1-GY28,0)+IF('calcA'!DB$106=1,1-HA28,0))*150+75+'calcA'!DB$5*100000+IF(AND($E28=1,MO28=0),50000,0))+IF($H28=1,INDEX('calcA'!$D$180:$EQ$219,$B28,103)*4000,0)-IF(AND('calcA'!DA$117=1,XY28&gt;0),2000,0)-IF(AND($U28=1,'calcA'!DB$117=1,HA28=0),2000,0))),1000000000))</f>
        <v/>
      </c>
      <c r="SE28">
        <f>IF($B28=0,1000000000,IF(INDEX('calcA'!$D$60:$EQ$99,$B28,104)*IF($W28=1,HA28+ADP28,HA28)=1,IF(AND($E28=2,IF($W28=1,AJE28,MP28)=0),1000000000,IF($V28=1,INDEX('calcA'!$D$130:$EQ$169,$B28,104)+IF(AND($E28=1,MP28=0),25,0),IF($F28&gt;0,INDEX('calcA'!DC$110:DC$114,$F28+1)+IF(AND($E28=1,MP28=0),1000,0),MIN(TY28,20)*400+(IF('calcA'!DB$106=1,1-GZ28,0)+IF('calcA'!DC$106=1,1-HB28,0))*150+85+'calcA'!DC$5*100000+IF(AND($E28=1,MP28=0),50000,0))+IF($H28=1,INDEX('calcA'!$D$180:$EQ$219,$B28,104)*4000,0)-IF(AND('calcA'!DB$117=1,XZ28&gt;0),2000,0)-IF(AND($U28=1,'calcA'!DC$117=1,HB28=0),2000,0))),1000000000))</f>
        <v/>
      </c>
      <c r="SF28">
        <f>IF($B28=0,1000000000,IF(INDEX('calcA'!$D$60:$EQ$99,$B28,105)*IF($W28=1,HB28+ADQ28,HB28)=1,IF(AND($E28=2,IF($W28=1,AJF28,MQ28)=0),1000000000,IF($V28=1,INDEX('calcA'!$D$130:$EQ$169,$B28,105)+IF(AND($E28=1,MQ28=0),25,0),IF($F28&gt;0,INDEX('calcA'!DD$110:DD$114,$F28+1)+IF(AND($E28=1,MQ28=0),1000,0),MIN(TY28,20)*400+(IF('calcA'!DC$106=1,1-HA28,0)+IF('calcA'!DD$106=1,1-HC28,0))*150+95+'calcA'!DD$5*100000+IF(AND($E28=1,MQ28=0),50000,0))+IF($H28=1,INDEX('calcA'!$D$180:$EQ$219,$B28,105)*4000,0)-IF(AND('calcA'!DC$117=1,YA28&gt;0),2000,0)-IF(AND($U28=1,'calcA'!DD$117=1,HC28=0),2000,0))),1000000000))</f>
        <v/>
      </c>
      <c r="SG28">
        <f>IF($B28=0,1000000000,IF(INDEX('calcA'!$D$60:$EQ$99,$B28,106)*IF($W28=1,HC28+ADR28,HC28)=1,IF(AND($E28=2,IF($W28=1,AJG28,MR28)=0),1000000000,IF($V28=1,INDEX('calcA'!$D$130:$EQ$169,$B28,106)+IF(AND($E28=1,MR28=0),25,0),IF($F28&gt;0,INDEX('calcA'!DE$110:DE$114,$F28+1)+IF(AND($E28=1,MR28=0),1000,0),MIN(TY28,20)*400+(IF('calcA'!DD$106=1,1-HB28,0)+IF('calcA'!DE$106=1,1-HD28,0))*150+105+'calcA'!DE$5*100000+IF(AND($E28=1,MR28=0),50000,0))+IF($H28=1,INDEX('calcA'!$D$180:$EQ$219,$B28,106)*4000,0)-IF(AND('calcA'!DD$117=1,YB28&gt;0),2000,0)-IF(AND($U28=1,'calcA'!DE$117=1,HD28=0),2000,0))),1000000000))</f>
        <v/>
      </c>
      <c r="SH28">
        <f>IF($B28=0,1000000000,IF(INDEX('calcA'!$D$60:$EQ$99,$B28,107)*IF($W28=1,HD28+ADS28,HD28)=1,IF(AND($E28=2,IF($W28=1,AJH28,MS28)=0),1000000000,IF($V28=1,INDEX('calcA'!$D$130:$EQ$169,$B28,107)+IF(AND($E28=1,MS28=0),25,0),IF($F28&gt;0,INDEX('calcA'!DF$110:DF$114,$F28+1)+IF(AND($E28=1,MS28=0),1000,0),MIN(TY28,20)*400+(IF('calcA'!DE$106=1,1-HC28,0)+IF('calcA'!DF$106=1,1-HE28,0))*150+115+'calcA'!DF$5*100000+IF(AND($E28=1,MS28=0),50000,0))+IF($H28=1,INDEX('calcA'!$D$180:$EQ$219,$B28,107)*4000,0)-IF(AND('calcA'!DE$117=1,YC28&gt;0),2000,0)-IF(AND($U28=1,'calcA'!DF$117=1,HE28=0),2000,0))),1000000000))</f>
        <v/>
      </c>
      <c r="SI28">
        <f>IF($B28=0,1000000000,IF(INDEX('calcA'!$D$60:$EQ$99,$B28,108)*IF($W28=1,HE28+ADT28,HE28)=1,IF(AND($E28=2,IF($W28=1,AJI28,MT28)=0),1000000000,IF($V28=1,INDEX('calcA'!$D$130:$EQ$169,$B28,108)+IF(AND($E28=1,MT28=0),25,0),IF($F28&gt;0,INDEX('calcA'!DG$110:DG$114,$F28+1)+IF(AND($E28=1,MT28=0),1000,0),MIN(TY28,20)*400+(IF('calcA'!DF$106=1,1-HD28,0)+IF('calcA'!DG$106=1,1-HF28,0))*150+125+'calcA'!DG$5*100000+IF(AND($E28=1,MT28=0),50000,0))+IF($H28=1,INDEX('calcA'!$D$180:$EQ$219,$B28,108)*4000,0)-IF(AND('calcA'!DF$117=1,YD28&gt;0),2000,0)-IF(AND($U28=1,'calcA'!DG$117=1,HF28=0),2000,0))),1000000000))</f>
        <v/>
      </c>
      <c r="SJ28">
        <f>IF($B28=0,1000000000,IF(INDEX('calcA'!$D$60:$EQ$99,$B28,109)*IF($W28=1,HF28+ADU28,HF28)=1,IF(AND($E28=2,IF($W28=1,AJJ28,MU28)=0),1000000000,IF($V28=1,INDEX('calcA'!$D$130:$EQ$169,$B28,109)+IF(AND($E28=1,MU28=0),25,0),IF($F28&gt;0,INDEX('calcA'!DH$110:DH$114,$F28+1)+IF(AND($E28=1,MU28=0),1000,0),MIN(TY28,20)*400+(IF('calcA'!DG$106=1,1-HE28,0)+IF('calcA'!DH$106=1,1-HG28,0))*150+135+'calcA'!DH$5*100000+IF(AND($E28=1,MU28=0),50000,0))+IF($H28=1,INDEX('calcA'!$D$180:$EQ$219,$B28,109)*4000,0)-IF(AND('calcA'!DG$117=1,YE28&gt;0),2000,0)-IF(AND($U28=1,'calcA'!DH$117=1,HG28=0),2000,0))),1000000000))</f>
        <v/>
      </c>
      <c r="SK28">
        <f>IF($B28=0,1000000000,IF(INDEX('calcA'!$D$60:$EQ$99,$B28,110)*IF($W28=1,HG28+ADV28,HG28)=1,IF(AND($E28=2,IF($W28=1,AJK28,MV28)=0),1000000000,IF($V28=1,INDEX('calcA'!$D$130:$EQ$169,$B28,110)+IF(AND($E28=1,MV28=0),25,0),IF($F28&gt;0,INDEX('calcA'!DI$110:DI$114,$F28+1)+IF(AND($E28=1,MV28=0),1000,0),MIN(TY28,20)*400+(IF('calcA'!DH$106=1,1-HF28,0)+IF('calcA'!DI$106=1,1-HH28,0))*150+145+'calcA'!DI$5*100000+IF(AND($E28=1,MV28=0),50000,0))+IF($H28=1,INDEX('calcA'!$D$180:$EQ$219,$B28,110)*4000,0)-IF(AND('calcA'!DH$117=1,YF28&gt;0),2000,0)-IF(AND($U28=1,'calcA'!DI$117=1,HH28=0),2000,0))),1000000000))</f>
        <v/>
      </c>
      <c r="SL28">
        <f>IF($B28=0,1000000000,IF(INDEX('calcA'!$D$60:$EQ$99,$B28,111)*IF($W28=1,HH28+ADW28,HH28)=1,IF(AND($E28=2,IF($W28=1,AJL28,MW28)=0),1000000000,IF($V28=1,INDEX('calcA'!$D$130:$EQ$169,$B28,111)+IF(AND($E28=1,MW28=0),25,0),IF($F28&gt;0,INDEX('calcA'!DJ$110:DJ$114,$F28+1)+IF(AND($E28=1,MW28=0),1000,0),MIN(TY28,20)*400+(IF('calcA'!DI$106=1,1-HG28,0)+IF('calcA'!DJ$106=1,1-HI28,0))*150+155+'calcA'!DJ$5*100000+IF(AND($E28=1,MW28=0),50000,0))+IF($H28=1,INDEX('calcA'!$D$180:$EQ$219,$B28,111)*4000,0)-IF(AND('calcA'!DI$117=1,YG28&gt;0),2000,0)-IF(AND($U28=1,'calcA'!DJ$117=1,HI28=0),2000,0))),1000000000))</f>
        <v/>
      </c>
      <c r="SM28">
        <f>IF($B28=0,1000000000,IF(INDEX('calcA'!$D$60:$EQ$99,$B28,112)*IF($W28=1,HI28+ADX28,HI28)=1,IF(AND($E28=2,IF($W28=1,AJM28,MX28)=0),1000000000,IF($V28=1,INDEX('calcA'!$D$130:$EQ$169,$B28,112)+IF(AND($E28=1,MX28=0),25,0),IF($F28&gt;0,INDEX('calcA'!DK$110:DK$114,$F28+1)+IF(AND($E28=1,MX28=0),1000,0),MIN(TY28,20)*400+(IF('calcA'!DJ$106=1,1-HH28,0)+IF('calcA'!DK$106=1,1-HJ28,0))*150+165+'calcA'!DK$5*100000+IF(AND($E28=1,MX28=0),50000,0))+IF($H28=1,INDEX('calcA'!$D$180:$EQ$219,$B28,112)*4000,0)-IF(AND('calcA'!DJ$117=1,YH28&gt;0),2000,0)-IF(AND($U28=1,'calcA'!DK$117=1,HJ28=0),2000,0))),1000000000))</f>
        <v/>
      </c>
      <c r="SN28">
        <f>IF($B28=0,1000000000,IF(INDEX('calcA'!$D$60:$EQ$99,$B28,113)*IF($W28=1,HJ28+ADY28,HJ28)=1,IF(AND($E28=2,IF($W28=1,AJN28,MY28)=0),1000000000,IF($V28=1,INDEX('calcA'!$D$130:$EQ$169,$B28,113)+IF(AND($E28=1,MY28=0),25,0),IF($F28&gt;0,INDEX('calcA'!DL$110:DL$114,$F28+1)+IF(AND($E28=1,MY28=0),1000,0),MIN(TY28,20)*400+(IF('calcA'!DK$106=1,1-HI28,0)+IF('calcA'!DL$106=1,1-HK28,0))*150+175+'calcA'!DL$5*100000+IF(AND($E28=1,MY28=0),50000,0))+IF($H28=1,INDEX('calcA'!$D$180:$EQ$219,$B28,113)*4000,0)-IF(AND('calcA'!DK$117=1,YI28&gt;0),2000,0)-IF(AND($U28=1,'calcA'!DL$117=1,HK28=0),2000,0))),1000000000))</f>
        <v/>
      </c>
      <c r="SO28">
        <f>IF($B28=0,1000000000,IF(INDEX('calcA'!$D$60:$EQ$99,$B28,114)*IF($W28=1,HK28+ADZ28,HK28)=1,IF(AND($E28=2,IF($W28=1,AJO28,MZ28)=0),1000000000,IF($V28=1,INDEX('calcA'!$D$130:$EQ$169,$B28,114)+IF(AND($E28=1,MZ28=0),25,0),IF($F28&gt;0,INDEX('calcA'!DM$110:DM$114,$F28+1)+IF(AND($E28=1,MZ28=0),1000,0),MIN(TY28,20)*400+(IF('calcA'!DL$106=1,1-HJ28,0)+IF('calcA'!DM$106=1,1-HL28,0))*150+185+'calcA'!DM$5*100000+IF(AND($E28=1,MZ28=0),50000,0))+IF($H28=1,INDEX('calcA'!$D$180:$EQ$219,$B28,114)*4000,0)-IF(AND('calcA'!DL$117=1,YJ28&gt;0),2000,0)-IF(AND($U28=1,'calcA'!DM$117=1,HL28=0),2000,0))),1000000000))</f>
        <v/>
      </c>
      <c r="SP28">
        <f>IF($B28=0,1000000000,IF(INDEX('calcA'!$D$60:$EQ$99,$B28,115)*IF($W28=1,HL28+AEA28,HL28)=1,IF(AND($E28=2,IF($W28=1,AJP28,NA28)=0),1000000000,IF($V28=1,INDEX('calcA'!$D$130:$EQ$169,$B28,115)+IF(AND($E28=1,NA28=0),25,0),IF($F28&gt;0,INDEX('calcA'!DN$110:DN$114,$F28+1)+IF(AND($E28=1,NA28=0),1000,0),MIN(TY28,20)*400+(IF('calcA'!DM$106=1,1-HK28,0)+IF('calcA'!DN$106=1,1-HM28,0))*150+195+'calcA'!DN$5*100000+IF(AND($E28=1,NA28=0),50000,0))+IF($H28=1,INDEX('calcA'!$D$180:$EQ$219,$B28,115)*4000,0)-IF(AND('calcA'!DM$117=1,YK28&gt;0),2000,0)-IF(AND($U28=1,'calcA'!DN$117=1,HM28=0),2000,0))),1000000000))</f>
        <v/>
      </c>
      <c r="SQ28">
        <f>IF($B28=0,1000000000,IF(INDEX('calcA'!$D$60:$EQ$99,$B28,116)*IF($W28=1,HM28+AEB28,HM28)=1,IF(AND($E28=2,IF($W28=1,AJQ28,NB28)=0),1000000000,IF($V28=1,INDEX('calcA'!$D$130:$EQ$169,$B28,116)+IF(AND($E28=1,NB28=0),25,0),IF($F28&gt;0,INDEX('calcA'!DO$110:DO$114,$F28+1)+IF(AND($E28=1,NB28=0),1000,0),MIN(TY28,20)*400+(IF('calcA'!DN$106=1,1-HL28,0)+IF('calcA'!DO$106=1,1-HN28,0))*150+205+'calcA'!DO$5*100000+IF(AND($E28=1,NB28=0),50000,0))+IF($H28=1,INDEX('calcA'!$D$180:$EQ$219,$B28,116)*4000,0)-IF(AND('calcA'!DN$117=1,YL28&gt;0),2000,0)-IF(AND($U28=1,'calcA'!DO$117=1,HN28=0),2000,0))),1000000000))</f>
        <v/>
      </c>
      <c r="SR28">
        <f>IF($B28=0,1000000000,IF(INDEX('calcA'!$D$60:$EQ$99,$B28,117)*IF($W28=1,HN28+AEC28,HN28)=1,IF(AND($E28=2,IF($W28=1,AJR28,NC28)=0),1000000000,IF($V28=1,INDEX('calcA'!$D$130:$EQ$169,$B28,117)+IF(AND($E28=1,NC28=0),25,0),IF($F28&gt;0,INDEX('calcA'!DP$110:DP$114,$F28+1)+IF(AND($E28=1,NC28=0),1000,0),MIN(TY28,20)*400+(IF('calcA'!DO$106=1,1-HM28,0)+IF('calcA'!DP$106=1,1-HO28,0))*150+215+'calcA'!DP$5*100000+IF(AND($E28=1,NC28=0),50000,0))+IF($H28=1,INDEX('calcA'!$D$180:$EQ$219,$B28,117)*4000,0)-IF(AND('calcA'!DO$117=1,YM28&gt;0),2000,0)-IF(AND($U28=1,'calcA'!DP$117=1,HO28=0),2000,0))),1000000000))</f>
        <v/>
      </c>
      <c r="SS28">
        <f>IF($B28=0,1000000000,IF(INDEX('calcA'!$D$60:$EQ$99,$B28,118)*IF($W28=1,HO28+AED28,HO28)=1,IF(AND($E28=2,IF($W28=1,AJS28,ND28)=0),1000000000,IF($V28=1,INDEX('calcA'!$D$130:$EQ$169,$B28,118)+IF(AND($E28=1,ND28=0),25,0),IF($F28&gt;0,INDEX('calcA'!DQ$110:DQ$114,$F28+1)+IF(AND($E28=1,ND28=0),1000,0),MIN(TY28,20)*400+(IF('calcA'!DP$106=1,1-HN28,0)+IF('calcA'!DQ$106=1,1-HP28,0))*150+225+'calcA'!DQ$5*100000+IF(AND($E28=1,ND28=0),50000,0))+IF($H28=1,INDEX('calcA'!$D$180:$EQ$219,$B28,118)*4000,0)-IF(AND('calcA'!DP$117=1,YN28&gt;0),2000,0)-IF(AND($U28=1,'calcA'!DQ$117=1,HP28=0),2000,0))),1000000000))</f>
        <v/>
      </c>
      <c r="ST28">
        <f>IF($B28=0,1000000000,IF(INDEX('calcA'!$D$60:$EQ$99,$B28,119)*IF($W28=1,HP28+AEE28,HP28)=1,IF(AND($E28=2,IF($W28=1,AJT28,NE28)=0),1000000000,IF($V28=1,INDEX('calcA'!$D$130:$EQ$169,$B28,119)+IF(AND($E28=1,NE28=0),25,0),IF($F28&gt;0,INDEX('calcA'!DR$110:DR$114,$F28+1)+IF(AND($E28=1,NE28=0),1000,0),MIN(TY28,20)*400+(IF('calcA'!DQ$106=1,1-HO28,0)+IF('calcA'!DR$106=1,1-HQ28,0))*150+235+'calcA'!DR$5*100000+IF(AND($E28=1,NE28=0),50000,0))+IF($H28=1,INDEX('calcA'!$D$180:$EQ$219,$B28,119)*4000,0)-IF(AND('calcA'!DQ$117=1,YO28&gt;0),2000,0)-IF(AND($U28=1,'calcA'!DR$117=1,HQ28=0),2000,0))),1000000000))</f>
        <v/>
      </c>
      <c r="SU28">
        <f>IF($B28=0,1000000000,IF(INDEX('calcA'!$D$60:$EQ$99,$B28,120)*IF($W28=1,HQ28+AEF28,HQ28)=1,IF(AND($E28=2,IF($W28=1,AJU28,NF28)=0),1000000000,IF($V28=1,INDEX('calcA'!$D$130:$EQ$169,$B28,120)+IF(AND($E28=1,NF28=0),25,0),IF($F28&gt;0,INDEX('calcA'!DS$110:DS$114,$F28+1)+IF(AND($E28=1,NF28=0),1000,0),MIN(TY28,20)*400+(IF('calcA'!DR$106=1,1-HP28,0))*150+245+'calcA'!DS$5*100000+IF(AND($E28=1,NF28=0),50000,0))+IF($H28=1,INDEX('calcA'!$D$180:$EQ$219,$B28,120)*4000,0)-IF(AND('calcA'!DR$117=1,YP28&gt;0),2000,0))),1000000000))</f>
        <v/>
      </c>
      <c r="SV28">
        <f>IF($B28=0,1000000000,IF(INDEX('calcA'!$D$60:$EQ$99,$B28,121)*IF($W28=1,HR28+AEG28,HR28)=1,IF(AND($E28=2,IF($W28=1,AJV28,NG28)=0),1000000000,IF($V28=1,INDEX('calcA'!$D$130:$EQ$169,$B28,121)+IF(AND($E28=1,NG28=0),25,0),IF($F28&gt;0,INDEX('calcA'!DT$110:DT$114,$F28+1)+IF(AND($E28=1,NG28=0),1000,0),MIN(TZ28,20)*400+(IF('calcA'!DT$106=1,1-HS28,0))*150+16+'calcA'!DT$5*100000+IF(AND($E28=1,NG28=0),50000,0))+IF($H28=1,INDEX('calcA'!$D$180:$EQ$219,$B28,121)*4000,0)-IF(AND($U28=1,'calcA'!DT$117=1,HS28=0),2000,0))),1000000000))</f>
        <v/>
      </c>
      <c r="SW28">
        <f>IF($B28=0,1000000000,IF(INDEX('calcA'!$D$60:$EQ$99,$B28,122)*IF($W28=1,HS28+AEH28,HS28)=1,IF(AND($E28=2,IF($W28=1,AJW28,NH28)=0),1000000000,IF($V28=1,INDEX('calcA'!$D$130:$EQ$169,$B28,122)+IF(AND($E28=1,NH28=0),25,0),IF($F28&gt;0,INDEX('calcA'!DU$110:DU$114,$F28+1)+IF(AND($E28=1,NH28=0),1000,0),MIN(TZ28,20)*400+(IF('calcA'!DT$106=1,1-HR28,0)+IF('calcA'!DU$106=1,1-HT28,0))*150+26+'calcA'!DU$5*100000+IF(AND($E28=1,NH28=0),50000,0))+IF($H28=1,INDEX('calcA'!$D$180:$EQ$219,$B28,122)*4000,0)-IF(AND('calcA'!DT$117=1,YR28&gt;0),2000,0)-IF(AND($U28=1,'calcA'!DU$117=1,HT28=0),2000,0))),1000000000))</f>
        <v/>
      </c>
      <c r="SX28">
        <f>IF($B28=0,1000000000,IF(INDEX('calcA'!$D$60:$EQ$99,$B28,123)*IF($W28=1,HT28+AEI28,HT28)=1,IF(AND($E28=2,IF($W28=1,AJX28,NI28)=0),1000000000,IF($V28=1,INDEX('calcA'!$D$130:$EQ$169,$B28,123)+IF(AND($E28=1,NI28=0),25,0),IF($F28&gt;0,INDEX('calcA'!DV$110:DV$114,$F28+1)+IF(AND($E28=1,NI28=0),1000,0),MIN(TZ28,20)*400+(IF('calcA'!DU$106=1,1-HS28,0)+IF('calcA'!DV$106=1,1-HU28,0))*150+36+'calcA'!DV$5*100000+IF(AND($E28=1,NI28=0),50000,0))+IF($H28=1,INDEX('calcA'!$D$180:$EQ$219,$B28,123)*4000,0)-IF(AND('calcA'!DU$117=1,YS28&gt;0),2000,0)-IF(AND($U28=1,'calcA'!DV$117=1,HU28=0),2000,0))),1000000000))</f>
        <v/>
      </c>
      <c r="SY28">
        <f>IF($B28=0,1000000000,IF(INDEX('calcA'!$D$60:$EQ$99,$B28,124)*IF($W28=1,HU28+AEJ28,HU28)=1,IF(AND($E28=2,IF($W28=1,AJY28,NJ28)=0),1000000000,IF($V28=1,INDEX('calcA'!$D$130:$EQ$169,$B28,124)+IF(AND($E28=1,NJ28=0),25,0),IF($F28&gt;0,INDEX('calcA'!DW$110:DW$114,$F28+1)+IF(AND($E28=1,NJ28=0),1000,0),MIN(TZ28,20)*400+(IF('calcA'!DV$106=1,1-HT28,0)+IF('calcA'!DW$106=1,1-HV28,0))*150+46+'calcA'!DW$5*100000+IF(AND($E28=1,NJ28=0),50000,0))+IF($H28=1,INDEX('calcA'!$D$180:$EQ$219,$B28,124)*4000,0)-IF(AND('calcA'!DV$117=1,YT28&gt;0),2000,0)-IF(AND($U28=1,'calcA'!DW$117=1,HV28=0),2000,0))),1000000000))</f>
        <v/>
      </c>
      <c r="SZ28">
        <f>IF($B28=0,1000000000,IF(INDEX('calcA'!$D$60:$EQ$99,$B28,125)*IF($W28=1,HV28+AEK28,HV28)=1,IF(AND($E28=2,IF($W28=1,AJZ28,NK28)=0),1000000000,IF($V28=1,INDEX('calcA'!$D$130:$EQ$169,$B28,125)+IF(AND($E28=1,NK28=0),25,0),IF($F28&gt;0,INDEX('calcA'!DX$110:DX$114,$F28+1)+IF(AND($E28=1,NK28=0),1000,0),MIN(TZ28,20)*400+(IF('calcA'!DW$106=1,1-HU28,0)+IF('calcA'!DX$106=1,1-HW28,0))*150+56+'calcA'!DX$5*100000+IF(AND($E28=1,NK28=0),50000,0))+IF($H28=1,INDEX('calcA'!$D$180:$EQ$219,$B28,125)*4000,0)-IF(AND('calcA'!DW$117=1,YU28&gt;0),2000,0)-IF(AND($U28=1,'calcA'!DX$117=1,HW28=0),2000,0))),1000000000))</f>
        <v/>
      </c>
      <c r="TA28">
        <f>IF($B28=0,1000000000,IF(INDEX('calcA'!$D$60:$EQ$99,$B28,126)*IF($W28=1,HW28+AEL28,HW28)=1,IF(AND($E28=2,IF($W28=1,AKA28,NL28)=0),1000000000,IF($V28=1,INDEX('calcA'!$D$130:$EQ$169,$B28,126)+IF(AND($E28=1,NL28=0),25,0),IF($F28&gt;0,INDEX('calcA'!DY$110:DY$114,$F28+1)+IF(AND($E28=1,NL28=0),1000,0),MIN(TZ28,20)*400+(IF('calcA'!DX$106=1,1-HV28,0)+IF('calcA'!DY$106=1,1-HX28,0))*150+66+'calcA'!DY$5*100000+IF(AND($E28=1,NL28=0),50000,0))+IF($H28=1,INDEX('calcA'!$D$180:$EQ$219,$B28,126)*4000,0)-IF(AND('calcA'!DX$117=1,YV28&gt;0),2000,0)-IF(AND($U28=1,'calcA'!DY$117=1,HX28=0),2000,0))),1000000000))</f>
        <v/>
      </c>
      <c r="TB28">
        <f>IF($B28=0,1000000000,IF(INDEX('calcA'!$D$60:$EQ$99,$B28,127)*IF($W28=1,HX28+AEM28,HX28)=1,IF(AND($E28=2,IF($W28=1,AKB28,NM28)=0),1000000000,IF($V28=1,INDEX('calcA'!$D$130:$EQ$169,$B28,127)+IF(AND($E28=1,NM28=0),25,0),IF($F28&gt;0,INDEX('calcA'!DZ$110:DZ$114,$F28+1)+IF(AND($E28=1,NM28=0),1000,0),MIN(TZ28,20)*400+(IF('calcA'!DY$106=1,1-HW28,0)+IF('calcA'!DZ$106=1,1-HY28,0))*150+76+'calcA'!DZ$5*100000+IF(AND($E28=1,NM28=0),50000,0))+IF($H28=1,INDEX('calcA'!$D$180:$EQ$219,$B28,127)*4000,0)-IF(AND('calcA'!DY$117=1,YW28&gt;0),2000,0)-IF(AND($U28=1,'calcA'!DZ$117=1,HY28=0),2000,0))),1000000000))</f>
        <v/>
      </c>
      <c r="TC28">
        <f>IF($B28=0,1000000000,IF(INDEX('calcA'!$D$60:$EQ$99,$B28,128)*IF($W28=1,HY28+AEN28,HY28)=1,IF(AND($E28=2,IF($W28=1,AKC28,NN28)=0),1000000000,IF($V28=1,INDEX('calcA'!$D$130:$EQ$169,$B28,128)+IF(AND($E28=1,NN28=0),25,0),IF($F28&gt;0,INDEX('calcA'!EA$110:EA$114,$F28+1)+IF(AND($E28=1,NN28=0),1000,0),MIN(TZ28,20)*400+(IF('calcA'!DZ$106=1,1-HX28,0)+IF('calcA'!EA$106=1,1-HZ28,0))*150+86+'calcA'!EA$5*100000+IF(AND($E28=1,NN28=0),50000,0))+IF($H28=1,INDEX('calcA'!$D$180:$EQ$219,$B28,128)*4000,0)-IF(AND('calcA'!DZ$117=1,YX28&gt;0),2000,0)-IF(AND($U28=1,'calcA'!EA$117=1,HZ28=0),2000,0))),1000000000))</f>
        <v/>
      </c>
      <c r="TD28">
        <f>IF($B28=0,1000000000,IF(INDEX('calcA'!$D$60:$EQ$99,$B28,129)*IF($W28=1,HZ28+AEO28,HZ28)=1,IF(AND($E28=2,IF($W28=1,AKD28,NO28)=0),1000000000,IF($V28=1,INDEX('calcA'!$D$130:$EQ$169,$B28,129)+IF(AND($E28=1,NO28=0),25,0),IF($F28&gt;0,INDEX('calcA'!EB$110:EB$114,$F28+1)+IF(AND($E28=1,NO28=0),1000,0),MIN(TZ28,20)*400+(IF('calcA'!EA$106=1,1-HY28,0)+IF('calcA'!EB$106=1,1-IA28,0))*150+96+'calcA'!EB$5*100000+IF(AND($E28=1,NO28=0),50000,0))+IF($H28=1,INDEX('calcA'!$D$180:$EQ$219,$B28,129)*4000,0)-IF(AND('calcA'!EA$117=1,YY28&gt;0),2000,0)-IF(AND($U28=1,'calcA'!EB$117=1,IA28=0),2000,0))),1000000000))</f>
        <v/>
      </c>
      <c r="TE28">
        <f>IF($B28=0,1000000000,IF(INDEX('calcA'!$D$60:$EQ$99,$B28,130)*IF($W28=1,IA28+AEP28,IA28)=1,IF(AND($E28=2,IF($W28=1,AKE28,NP28)=0),1000000000,IF($V28=1,INDEX('calcA'!$D$130:$EQ$169,$B28,130)+IF(AND($E28=1,NP28=0),25,0),IF($F28&gt;0,INDEX('calcA'!EC$110:EC$114,$F28+1)+IF(AND($E28=1,NP28=0),1000,0),MIN(TZ28,20)*400+(IF('calcA'!EB$106=1,1-HZ28,0)+IF('calcA'!EC$106=1,1-IB28,0))*150+106+'calcA'!EC$5*100000+IF(AND($E28=1,NP28=0),50000,0))+IF($H28=1,INDEX('calcA'!$D$180:$EQ$219,$B28,130)*4000,0)-IF(AND('calcA'!EB$117=1,YZ28&gt;0),2000,0)-IF(AND($U28=1,'calcA'!EC$117=1,IB28=0),2000,0))),1000000000))</f>
        <v/>
      </c>
      <c r="TF28">
        <f>IF($B28=0,1000000000,IF(INDEX('calcA'!$D$60:$EQ$99,$B28,131)*IF($W28=1,IB28+AEQ28,IB28)=1,IF(AND($E28=2,IF($W28=1,AKF28,NQ28)=0),1000000000,IF($V28=1,INDEX('calcA'!$D$130:$EQ$169,$B28,131)+IF(AND($E28=1,NQ28=0),25,0),IF($F28&gt;0,INDEX('calcA'!ED$110:ED$114,$F28+1)+IF(AND($E28=1,NQ28=0),1000,0),MIN(TZ28,20)*400+(IF('calcA'!EC$106=1,1-IA28,0)+IF('calcA'!ED$106=1,1-IC28,0))*150+116+'calcA'!ED$5*100000+IF(AND($E28=1,NQ28=0),50000,0))+IF($H28=1,INDEX('calcA'!$D$180:$EQ$219,$B28,131)*4000,0)-IF(AND('calcA'!EC$117=1,ZA28&gt;0),2000,0)-IF(AND($U28=1,'calcA'!ED$117=1,IC28=0),2000,0))),1000000000))</f>
        <v/>
      </c>
      <c r="TG28">
        <f>IF($B28=0,1000000000,IF(INDEX('calcA'!$D$60:$EQ$99,$B28,132)*IF($W28=1,IC28+AER28,IC28)=1,IF(AND($E28=2,IF($W28=1,AKG28,NR28)=0),1000000000,IF($V28=1,INDEX('calcA'!$D$130:$EQ$169,$B28,132)+IF(AND($E28=1,NR28=0),25,0),IF($F28&gt;0,INDEX('calcA'!EE$110:EE$114,$F28+1)+IF(AND($E28=1,NR28=0),1000,0),MIN(TZ28,20)*400+(IF('calcA'!ED$106=1,1-IB28,0)+IF('calcA'!EE$106=1,1-ID28,0))*150+126+'calcA'!EE$5*100000+IF(AND($E28=1,NR28=0),50000,0))+IF($H28=1,INDEX('calcA'!$D$180:$EQ$219,$B28,132)*4000,0)-IF(AND('calcA'!ED$117=1,ZB28&gt;0),2000,0)-IF(AND($U28=1,'calcA'!EE$117=1,ID28=0),2000,0))),1000000000))</f>
        <v/>
      </c>
      <c r="TH28">
        <f>IF($B28=0,1000000000,IF(INDEX('calcA'!$D$60:$EQ$99,$B28,133)*IF($W28=1,ID28+AES28,ID28)=1,IF(AND($E28=2,IF($W28=1,AKH28,NS28)=0),1000000000,IF($V28=1,INDEX('calcA'!$D$130:$EQ$169,$B28,133)+IF(AND($E28=1,NS28=0),25,0),IF($F28&gt;0,INDEX('calcA'!EF$110:EF$114,$F28+1)+IF(AND($E28=1,NS28=0),1000,0),MIN(TZ28,20)*400+(IF('calcA'!EE$106=1,1-IC28,0)+IF('calcA'!EF$106=1,1-IE28,0))*150+136+'calcA'!EF$5*100000+IF(AND($E28=1,NS28=0),50000,0))+IF($H28=1,INDEX('calcA'!$D$180:$EQ$219,$B28,133)*4000,0)-IF(AND('calcA'!EE$117=1,ZC28&gt;0),2000,0)-IF(AND($U28=1,'calcA'!EF$117=1,IE28=0),2000,0))),1000000000))</f>
        <v/>
      </c>
      <c r="TI28">
        <f>IF($B28=0,1000000000,IF(INDEX('calcA'!$D$60:$EQ$99,$B28,134)*IF($W28=1,IE28+AET28,IE28)=1,IF(AND($E28=2,IF($W28=1,AKI28,NT28)=0),1000000000,IF($V28=1,INDEX('calcA'!$D$130:$EQ$169,$B28,134)+IF(AND($E28=1,NT28=0),25,0),IF($F28&gt;0,INDEX('calcA'!EG$110:EG$114,$F28+1)+IF(AND($E28=1,NT28=0),1000,0),MIN(TZ28,20)*400+(IF('calcA'!EF$106=1,1-ID28,0)+IF('calcA'!EG$106=1,1-IF28,0))*150+146+'calcA'!EG$5*100000+IF(AND($E28=1,NT28=0),50000,0))+IF($H28=1,INDEX('calcA'!$D$180:$EQ$219,$B28,134)*4000,0)-IF(AND('calcA'!EF$117=1,ZD28&gt;0),2000,0)-IF(AND($U28=1,'calcA'!EG$117=1,IF28=0),2000,0))),1000000000))</f>
        <v/>
      </c>
      <c r="TJ28">
        <f>IF($B28=0,1000000000,IF(INDEX('calcA'!$D$60:$EQ$99,$B28,135)*IF($W28=1,IF28+AEU28,IF28)=1,IF(AND($E28=2,IF($W28=1,AKJ28,NU28)=0),1000000000,IF($V28=1,INDEX('calcA'!$D$130:$EQ$169,$B28,135)+IF(AND($E28=1,NU28=0),25,0),IF($F28&gt;0,INDEX('calcA'!EH$110:EH$114,$F28+1)+IF(AND($E28=1,NU28=0),1000,0),MIN(TZ28,20)*400+(IF('calcA'!EG$106=1,1-IE28,0)+IF('calcA'!EH$106=1,1-IG28,0))*150+156+'calcA'!EH$5*100000+IF(AND($E28=1,NU28=0),50000,0))+IF($H28=1,INDEX('calcA'!$D$180:$EQ$219,$B28,135)*4000,0)-IF(AND('calcA'!EG$117=1,ZE28&gt;0),2000,0)-IF(AND($U28=1,'calcA'!EH$117=1,IG28=0),2000,0))),1000000000))</f>
        <v/>
      </c>
      <c r="TK28">
        <f>IF($B28=0,1000000000,IF(INDEX('calcA'!$D$60:$EQ$99,$B28,136)*IF($W28=1,IG28+AEV28,IG28)=1,IF(AND($E28=2,IF($W28=1,AKK28,NV28)=0),1000000000,IF($V28=1,INDEX('calcA'!$D$130:$EQ$169,$B28,136)+IF(AND($E28=1,NV28=0),25,0),IF($F28&gt;0,INDEX('calcA'!EI$110:EI$114,$F28+1)+IF(AND($E28=1,NV28=0),1000,0),MIN(TZ28,20)*400+(IF('calcA'!EH$106=1,1-IF28,0)+IF('calcA'!EI$106=1,1-IH28,0))*150+166+'calcA'!EI$5*100000+IF(AND($E28=1,NV28=0),50000,0))+IF($H28=1,INDEX('calcA'!$D$180:$EQ$219,$B28,136)*4000,0)-IF(AND('calcA'!EH$117=1,ZF28&gt;0),2000,0)-IF(AND($U28=1,'calcA'!EI$117=1,IH28=0),2000,0))),1000000000))</f>
        <v/>
      </c>
      <c r="TL28">
        <f>IF($B28=0,1000000000,IF(INDEX('calcA'!$D$60:$EQ$99,$B28,137)*IF($W28=1,IH28+AEW28,IH28)=1,IF(AND($E28=2,IF($W28=1,AKL28,NW28)=0),1000000000,IF($V28=1,INDEX('calcA'!$D$130:$EQ$169,$B28,137)+IF(AND($E28=1,NW28=0),25,0),IF($F28&gt;0,INDEX('calcA'!EJ$110:EJ$114,$F28+1)+IF(AND($E28=1,NW28=0),1000,0),MIN(TZ28,20)*400+(IF('calcA'!EI$106=1,1-IG28,0)+IF('calcA'!EJ$106=1,1-II28,0))*150+176+'calcA'!EJ$5*100000+IF(AND($E28=1,NW28=0),50000,0))+IF($H28=1,INDEX('calcA'!$D$180:$EQ$219,$B28,137)*4000,0)-IF(AND('calcA'!EI$117=1,ZG28&gt;0),2000,0)-IF(AND($U28=1,'calcA'!EJ$117=1,II28=0),2000,0))),1000000000))</f>
        <v/>
      </c>
      <c r="TM28">
        <f>IF($B28=0,1000000000,IF(INDEX('calcA'!$D$60:$EQ$99,$B28,138)*IF($W28=1,II28+AEX28,II28)=1,IF(AND($E28=2,IF($W28=1,AKM28,NX28)=0),1000000000,IF($V28=1,INDEX('calcA'!$D$130:$EQ$169,$B28,138)+IF(AND($E28=1,NX28=0),25,0),IF($F28&gt;0,INDEX('calcA'!EK$110:EK$114,$F28+1)+IF(AND($E28=1,NX28=0),1000,0),MIN(TZ28,20)*400+(IF('calcA'!EJ$106=1,1-IH28,0)+IF('calcA'!EK$106=1,1-IJ28,0))*150+186+'calcA'!EK$5*100000+IF(AND($E28=1,NX28=0),50000,0))+IF($H28=1,INDEX('calcA'!$D$180:$EQ$219,$B28,138)*4000,0)-IF(AND('calcA'!EJ$117=1,ZH28&gt;0),2000,0)-IF(AND($U28=1,'calcA'!EK$117=1,IJ28=0),2000,0))),1000000000))</f>
        <v/>
      </c>
      <c r="TN28">
        <f>IF($B28=0,1000000000,IF(INDEX('calcA'!$D$60:$EQ$99,$B28,139)*IF($W28=1,IJ28+AEY28,IJ28)=1,IF(AND($E28=2,IF($W28=1,AKN28,NY28)=0),1000000000,IF($V28=1,INDEX('calcA'!$D$130:$EQ$169,$B28,139)+IF(AND($E28=1,NY28=0),25,0),IF($F28&gt;0,INDEX('calcA'!EL$110:EL$114,$F28+1)+IF(AND($E28=1,NY28=0),1000,0),MIN(TZ28,20)*400+(IF('calcA'!EK$106=1,1-II28,0)+IF('calcA'!EL$106=1,1-IK28,0))*150+196+'calcA'!EL$5*100000+IF(AND($E28=1,NY28=0),50000,0))+IF($H28=1,INDEX('calcA'!$D$180:$EQ$219,$B28,139)*4000,0)-IF(AND('calcA'!EK$117=1,ZI28&gt;0),2000,0)-IF(AND($U28=1,'calcA'!EL$117=1,IK28=0),2000,0))),1000000000))</f>
        <v/>
      </c>
      <c r="TO28">
        <f>IF($B28=0,1000000000,IF(INDEX('calcA'!$D$60:$EQ$99,$B28,140)*IF($W28=1,IK28+AEZ28,IK28)=1,IF(AND($E28=2,IF($W28=1,AKO28,NZ28)=0),1000000000,IF($V28=1,INDEX('calcA'!$D$130:$EQ$169,$B28,140)+IF(AND($E28=1,NZ28=0),25,0),IF($F28&gt;0,INDEX('calcA'!EM$110:EM$114,$F28+1)+IF(AND($E28=1,NZ28=0),1000,0),MIN(TZ28,20)*400+(IF('calcA'!EL$106=1,1-IJ28,0)+IF('calcA'!EM$106=1,1-IL28,0))*150+206+'calcA'!EM$5*100000+IF(AND($E28=1,NZ28=0),50000,0))+IF($H28=1,INDEX('calcA'!$D$180:$EQ$219,$B28,140)*4000,0)-IF(AND('calcA'!EL$117=1,ZJ28&gt;0),2000,0)-IF(AND($U28=1,'calcA'!EM$117=1,IL28=0),2000,0))),1000000000))</f>
        <v/>
      </c>
      <c r="TP28">
        <f>IF($B28=0,1000000000,IF(INDEX('calcA'!$D$60:$EQ$99,$B28,141)*IF($W28=1,IL28+AFA28,IL28)=1,IF(AND($E28=2,IF($W28=1,AKP28,OA28)=0),1000000000,IF($V28=1,INDEX('calcA'!$D$130:$EQ$169,$B28,141)+IF(AND($E28=1,OA28=0),25,0),IF($F28&gt;0,INDEX('calcA'!EN$110:EN$114,$F28+1)+IF(AND($E28=1,OA28=0),1000,0),MIN(TZ28,20)*400+(IF('calcA'!EM$106=1,1-IK28,0)+IF('calcA'!EN$106=1,1-IM28,0))*150+216+'calcA'!EN$5*100000+IF(AND($E28=1,OA28=0),50000,0))+IF($H28=1,INDEX('calcA'!$D$180:$EQ$219,$B28,141)*4000,0)-IF(AND('calcA'!EM$117=1,ZK28&gt;0),2000,0)-IF(AND($U28=1,'calcA'!EN$117=1,IM28=0),2000,0))),1000000000))</f>
        <v/>
      </c>
      <c r="TQ28">
        <f>IF($B28=0,1000000000,IF(INDEX('calcA'!$D$60:$EQ$99,$B28,142)*IF($W28=1,IM28+AFB28,IM28)=1,IF(AND($E28=2,IF($W28=1,AKQ28,OB28)=0),1000000000,IF($V28=1,INDEX('calcA'!$D$130:$EQ$169,$B28,142)+IF(AND($E28=1,OB28=0),25,0),IF($F28&gt;0,INDEX('calcA'!EO$110:EO$114,$F28+1)+IF(AND($E28=1,OB28=0),1000,0),MIN(TZ28,20)*400+(IF('calcA'!EN$106=1,1-IL28,0)+IF('calcA'!EO$106=1,1-IN28,0))*150+226+'calcA'!EO$5*100000+IF(AND($E28=1,OB28=0),50000,0))+IF($H28=1,INDEX('calcA'!$D$180:$EQ$219,$B28,142)*4000,0)-IF(AND('calcA'!EN$117=1,ZL28&gt;0),2000,0)-IF(AND($U28=1,'calcA'!EO$117=1,IN28=0),2000,0))),1000000000))</f>
        <v/>
      </c>
      <c r="TR28">
        <f>IF($B28=0,1000000000,IF(INDEX('calcA'!$D$60:$EQ$99,$B28,143)*IF($W28=1,IN28+AFC28,IN28)=1,IF(AND($E28=2,IF($W28=1,AKR28,OC28)=0),1000000000,IF($V28=1,INDEX('calcA'!$D$130:$EQ$169,$B28,143)+IF(AND($E28=1,OC28=0),25,0),IF($F28&gt;0,INDEX('calcA'!EP$110:EP$114,$F28+1)+IF(AND($E28=1,OC28=0),1000,0),MIN(TZ28,20)*400+(IF('calcA'!EO$106=1,1-IM28,0)+IF('calcA'!EP$106=1,1-IO28,0))*150+236+'calcA'!EP$5*100000+IF(AND($E28=1,OC28=0),50000,0))+IF($H28=1,INDEX('calcA'!$D$180:$EQ$219,$B28,143)*4000,0)-IF(AND('calcA'!EO$117=1,ZM28&gt;0),2000,0)-IF(AND($U28=1,'calcA'!EP$117=1,IO28=0),2000,0))),1000000000))</f>
        <v/>
      </c>
      <c r="TS28">
        <f>IF($B28=0,1000000000,IF(INDEX('calcA'!$D$60:$EQ$99,$B28,144)*IF($W28=1,IO28+AFD28,IO28)=1,IF(AND($E28=2,IF($W28=1,AKS28,OD28)=0),1000000000,IF($V28=1,INDEX('calcA'!$D$130:$EQ$169,$B28,144)+IF(AND($E28=1,OD28=0),25,0),IF($F28&gt;0,INDEX('calcA'!EQ$110:EQ$114,$F28+1)+IF(AND($E28=1,OD28=0),1000,0),MIN(TZ28,20)*400+(IF('calcA'!EP$106=1,1-IN28,0))*150+246+'calcA'!EQ$5*100000+IF(AND($E28=1,OD28=0),50000,0))+IF($H28=1,INDEX('calcA'!$D$180:$EQ$219,$B28,144)*4000,0)-IF(AND('calcA'!EP$117=1,ZN28&gt;0),2000,0))),1000000000))</f>
        <v/>
      </c>
      <c r="TU28">
        <f>TU27+IF($C27&gt;0,IF(INDEX('calcA'!$D$2:$EQ$2,$C27)=1,1,0),0)</f>
        <v/>
      </c>
      <c r="TV28">
        <f>TV27+IF($C27&gt;0,IF(INDEX('calcA'!$D$2:$EQ$2,$C27)=2,1,0),0)</f>
        <v/>
      </c>
      <c r="TW28">
        <f>TW27+IF($C27&gt;0,IF(INDEX('calcA'!$D$2:$EQ$2,$C27)=3,1,0),0)</f>
        <v/>
      </c>
      <c r="TX28">
        <f>TX27+IF($C27&gt;0,IF(INDEX('calcA'!$D$2:$EQ$2,$C27)=4,1,0),0)</f>
        <v/>
      </c>
      <c r="TY28">
        <f>TY27+IF($C27&gt;0,IF(INDEX('calcA'!$D$2:$EQ$2,$C27)=5,1,0),0)</f>
        <v/>
      </c>
      <c r="TZ28">
        <f>TZ27+IF($C27&gt;0,IF(INDEX('calcA'!$D$2:$EQ$2,$C27)=6,1,0),0)</f>
        <v/>
      </c>
      <c r="UB28">
        <f>UB27+IF(AND($C27=1,$U27=1),1,0)</f>
        <v/>
      </c>
      <c r="UC28">
        <f>UC27+IF(AND($C27=2,$U27=1),1,0)</f>
        <v/>
      </c>
      <c r="UD28">
        <f>UD27+IF(AND($C27=3,$U27=1),1,0)</f>
        <v/>
      </c>
      <c r="UE28">
        <f>UE27+IF(AND($C27=4,$U27=1),1,0)</f>
        <v/>
      </c>
      <c r="UF28">
        <f>UF27+IF(AND($C27=5,$U27=1),1,0)</f>
        <v/>
      </c>
      <c r="UG28">
        <f>UG27+IF(AND($C27=6,$U27=1),1,0)</f>
        <v/>
      </c>
      <c r="UH28">
        <f>UH27+IF(AND($C27=7,$U27=1),1,0)</f>
        <v/>
      </c>
      <c r="UI28">
        <f>UI27+IF(AND($C27=8,$U27=1),1,0)</f>
        <v/>
      </c>
      <c r="UJ28">
        <f>UJ27+IF(AND($C27=9,$U27=1),1,0)</f>
        <v/>
      </c>
      <c r="UK28">
        <f>UK27+IF(AND($C27=10,$U27=1),1,0)</f>
        <v/>
      </c>
      <c r="UL28">
        <f>UL27+IF(AND($C27=11,$U27=1),1,0)</f>
        <v/>
      </c>
      <c r="UM28">
        <f>UM27+IF(AND($C27=12,$U27=1),1,0)</f>
        <v/>
      </c>
      <c r="UN28">
        <f>UN27+IF(AND($C27=13,$U27=1),1,0)</f>
        <v/>
      </c>
      <c r="UO28">
        <f>UO27+IF(AND($C27=14,$U27=1),1,0)</f>
        <v/>
      </c>
      <c r="UP28">
        <f>UP27+IF(AND($C27=15,$U27=1),1,0)</f>
        <v/>
      </c>
      <c r="UQ28">
        <f>UQ27+IF(AND($C27=16,$U27=1),1,0)</f>
        <v/>
      </c>
      <c r="UR28">
        <f>UR27+IF(AND($C27=17,$U27=1),1,0)</f>
        <v/>
      </c>
      <c r="US28">
        <f>US27+IF(AND($C27=18,$U27=1),1,0)</f>
        <v/>
      </c>
      <c r="UT28">
        <f>UT27+IF(AND($C27=19,$U27=1),1,0)</f>
        <v/>
      </c>
      <c r="UU28">
        <f>UU27+IF(AND($C27=20,$U27=1),1,0)</f>
        <v/>
      </c>
      <c r="UV28">
        <f>UV27+IF(AND($C27=21,$U27=1),1,0)</f>
        <v/>
      </c>
      <c r="UW28">
        <f>UW27+IF(AND($C27=22,$U27=1),1,0)</f>
        <v/>
      </c>
      <c r="UX28">
        <f>UX27+IF(AND($C27=23,$U27=1),1,0)</f>
        <v/>
      </c>
      <c r="UY28">
        <f>UY27+IF(AND($C27=24,$U27=1),1,0)</f>
        <v/>
      </c>
      <c r="UZ28">
        <f>UZ27+IF(AND($C27=25,$U27=1),1,0)</f>
        <v/>
      </c>
      <c r="VA28">
        <f>VA27+IF(AND($C27=26,$U27=1),1,0)</f>
        <v/>
      </c>
      <c r="VB28">
        <f>VB27+IF(AND($C27=27,$U27=1),1,0)</f>
        <v/>
      </c>
      <c r="VC28">
        <f>VC27+IF(AND($C27=28,$U27=1),1,0)</f>
        <v/>
      </c>
      <c r="VD28">
        <f>VD27+IF(AND($C27=29,$U27=1),1,0)</f>
        <v/>
      </c>
      <c r="VE28">
        <f>VE27+IF(AND($C27=30,$U27=1),1,0)</f>
        <v/>
      </c>
      <c r="VF28">
        <f>VF27+IF(AND($C27=31,$U27=1),1,0)</f>
        <v/>
      </c>
      <c r="VG28">
        <f>VG27+IF(AND($C27=32,$U27=1),1,0)</f>
        <v/>
      </c>
      <c r="VH28">
        <f>VH27+IF(AND($C27=33,$U27=1),1,0)</f>
        <v/>
      </c>
      <c r="VI28">
        <f>VI27+IF(AND($C27=34,$U27=1),1,0)</f>
        <v/>
      </c>
      <c r="VJ28">
        <f>VJ27+IF(AND($C27=35,$U27=1),1,0)</f>
        <v/>
      </c>
      <c r="VK28">
        <f>VK27+IF(AND($C27=36,$U27=1),1,0)</f>
        <v/>
      </c>
      <c r="VL28">
        <f>VL27+IF(AND($C27=37,$U27=1),1,0)</f>
        <v/>
      </c>
      <c r="VM28">
        <f>VM27+IF(AND($C27=38,$U27=1),1,0)</f>
        <v/>
      </c>
      <c r="VN28">
        <f>VN27+IF(AND($C27=39,$U27=1),1,0)</f>
        <v/>
      </c>
      <c r="VO28">
        <f>VO27+IF(AND($C27=40,$U27=1),1,0)</f>
        <v/>
      </c>
      <c r="VP28">
        <f>VP27+IF(AND($C27=41,$U27=1),1,0)</f>
        <v/>
      </c>
      <c r="VQ28">
        <f>VQ27+IF(AND($C27=42,$U27=1),1,0)</f>
        <v/>
      </c>
      <c r="VR28">
        <f>VR27+IF(AND($C27=43,$U27=1),1,0)</f>
        <v/>
      </c>
      <c r="VS28">
        <f>VS27+IF(AND($C27=44,$U27=1),1,0)</f>
        <v/>
      </c>
      <c r="VT28">
        <f>VT27+IF(AND($C27=45,$U27=1),1,0)</f>
        <v/>
      </c>
      <c r="VU28">
        <f>VU27+IF(AND($C27=46,$U27=1),1,0)</f>
        <v/>
      </c>
      <c r="VV28">
        <f>VV27+IF(AND($C27=47,$U27=1),1,0)</f>
        <v/>
      </c>
      <c r="VW28">
        <f>VW27+IF(AND($C27=48,$U27=1),1,0)</f>
        <v/>
      </c>
      <c r="VX28">
        <f>VX27+IF(AND($C27=49,$U27=1),1,0)</f>
        <v/>
      </c>
      <c r="VY28">
        <f>VY27+IF(AND($C27=50,$U27=1),1,0)</f>
        <v/>
      </c>
      <c r="VZ28">
        <f>VZ27+IF(AND($C27=51,$U27=1),1,0)</f>
        <v/>
      </c>
      <c r="WA28">
        <f>WA27+IF(AND($C27=52,$U27=1),1,0)</f>
        <v/>
      </c>
      <c r="WB28">
        <f>WB27+IF(AND($C27=53,$U27=1),1,0)</f>
        <v/>
      </c>
      <c r="WC28">
        <f>WC27+IF(AND($C27=54,$U27=1),1,0)</f>
        <v/>
      </c>
      <c r="WD28">
        <f>WD27+IF(AND($C27=55,$U27=1),1,0)</f>
        <v/>
      </c>
      <c r="WE28">
        <f>WE27+IF(AND($C27=56,$U27=1),1,0)</f>
        <v/>
      </c>
      <c r="WF28">
        <f>WF27+IF(AND($C27=57,$U27=1),1,0)</f>
        <v/>
      </c>
      <c r="WG28">
        <f>WG27+IF(AND($C27=58,$U27=1),1,0)</f>
        <v/>
      </c>
      <c r="WH28">
        <f>WH27+IF(AND($C27=59,$U27=1),1,0)</f>
        <v/>
      </c>
      <c r="WI28">
        <f>WI27+IF(AND($C27=60,$U27=1),1,0)</f>
        <v/>
      </c>
      <c r="WJ28">
        <f>WJ27+IF(AND($C27=61,$U27=1),1,0)</f>
        <v/>
      </c>
      <c r="WK28">
        <f>WK27+IF(AND($C27=62,$U27=1),1,0)</f>
        <v/>
      </c>
      <c r="WL28">
        <f>WL27+IF(AND($C27=63,$U27=1),1,0)</f>
        <v/>
      </c>
      <c r="WM28">
        <f>WM27+IF(AND($C27=64,$U27=1),1,0)</f>
        <v/>
      </c>
      <c r="WN28">
        <f>WN27+IF(AND($C27=65,$U27=1),1,0)</f>
        <v/>
      </c>
      <c r="WO28">
        <f>WO27+IF(AND($C27=66,$U27=1),1,0)</f>
        <v/>
      </c>
      <c r="WP28">
        <f>WP27+IF(AND($C27=67,$U27=1),1,0)</f>
        <v/>
      </c>
      <c r="WQ28">
        <f>WQ27+IF(AND($C27=68,$U27=1),1,0)</f>
        <v/>
      </c>
      <c r="WR28">
        <f>WR27+IF(AND($C27=69,$U27=1),1,0)</f>
        <v/>
      </c>
      <c r="WS28">
        <f>WS27+IF(AND($C27=70,$U27=1),1,0)</f>
        <v/>
      </c>
      <c r="WT28">
        <f>WT27+IF(AND($C27=71,$U27=1),1,0)</f>
        <v/>
      </c>
      <c r="WU28">
        <f>WU27+IF(AND($C27=72,$U27=1),1,0)</f>
        <v/>
      </c>
      <c r="WV28">
        <f>WV27+IF(AND($C27=73,$U27=1),1,0)</f>
        <v/>
      </c>
      <c r="WW28">
        <f>WW27+IF(AND($C27=74,$U27=1),1,0)</f>
        <v/>
      </c>
      <c r="WX28">
        <f>WX27+IF(AND($C27=75,$U27=1),1,0)</f>
        <v/>
      </c>
      <c r="WY28">
        <f>WY27+IF(AND($C27=76,$U27=1),1,0)</f>
        <v/>
      </c>
      <c r="WZ28">
        <f>WZ27+IF(AND($C27=77,$U27=1),1,0)</f>
        <v/>
      </c>
      <c r="XA28">
        <f>XA27+IF(AND($C27=78,$U27=1),1,0)</f>
        <v/>
      </c>
      <c r="XB28">
        <f>XB27+IF(AND($C27=79,$U27=1),1,0)</f>
        <v/>
      </c>
      <c r="XC28">
        <f>XC27+IF(AND($C27=80,$U27=1),1,0)</f>
        <v/>
      </c>
      <c r="XD28">
        <f>XD27+IF(AND($C27=81,$U27=1),1,0)</f>
        <v/>
      </c>
      <c r="XE28">
        <f>XE27+IF(AND($C27=82,$U27=1),1,0)</f>
        <v/>
      </c>
      <c r="XF28">
        <f>XF27+IF(AND($C27=83,$U27=1),1,0)</f>
        <v/>
      </c>
      <c r="XG28">
        <f>XG27+IF(AND($C27=84,$U27=1),1,0)</f>
        <v/>
      </c>
      <c r="XH28">
        <f>XH27+IF(AND($C27=85,$U27=1),1,0)</f>
        <v/>
      </c>
      <c r="XI28">
        <f>XI27+IF(AND($C27=86,$U27=1),1,0)</f>
        <v/>
      </c>
      <c r="XJ28">
        <f>XJ27+IF(AND($C27=87,$U27=1),1,0)</f>
        <v/>
      </c>
      <c r="XK28">
        <f>XK27+IF(AND($C27=88,$U27=1),1,0)</f>
        <v/>
      </c>
      <c r="XL28">
        <f>XL27+IF(AND($C27=89,$U27=1),1,0)</f>
        <v/>
      </c>
      <c r="XM28">
        <f>XM27+IF(AND($C27=90,$U27=1),1,0)</f>
        <v/>
      </c>
      <c r="XN28">
        <f>XN27+IF(AND($C27=91,$U27=1),1,0)</f>
        <v/>
      </c>
      <c r="XO28">
        <f>XO27+IF(AND($C27=92,$U27=1),1,0)</f>
        <v/>
      </c>
      <c r="XP28">
        <f>XP27+IF(AND($C27=93,$U27=1),1,0)</f>
        <v/>
      </c>
      <c r="XQ28">
        <f>XQ27+IF(AND($C27=94,$U27=1),1,0)</f>
        <v/>
      </c>
      <c r="XR28">
        <f>XR27+IF(AND($C27=95,$U27=1),1,0)</f>
        <v/>
      </c>
      <c r="XS28">
        <f>XS27+IF(AND($C27=96,$U27=1),1,0)</f>
        <v/>
      </c>
      <c r="XT28">
        <f>XT27+IF(AND($C27=97,$U27=1),1,0)</f>
        <v/>
      </c>
      <c r="XU28">
        <f>XU27+IF(AND($C27=98,$U27=1),1,0)</f>
        <v/>
      </c>
      <c r="XV28">
        <f>XV27+IF(AND($C27=99,$U27=1),1,0)</f>
        <v/>
      </c>
      <c r="XW28">
        <f>XW27+IF(AND($C27=100,$U27=1),1,0)</f>
        <v/>
      </c>
      <c r="XX28">
        <f>XX27+IF(AND($C27=101,$U27=1),1,0)</f>
        <v/>
      </c>
      <c r="XY28">
        <f>XY27+IF(AND($C27=102,$U27=1),1,0)</f>
        <v/>
      </c>
      <c r="XZ28">
        <f>XZ27+IF(AND($C27=103,$U27=1),1,0)</f>
        <v/>
      </c>
      <c r="YA28">
        <f>YA27+IF(AND($C27=104,$U27=1),1,0)</f>
        <v/>
      </c>
      <c r="YB28">
        <f>YB27+IF(AND($C27=105,$U27=1),1,0)</f>
        <v/>
      </c>
      <c r="YC28">
        <f>YC27+IF(AND($C27=106,$U27=1),1,0)</f>
        <v/>
      </c>
      <c r="YD28">
        <f>YD27+IF(AND($C27=107,$U27=1),1,0)</f>
        <v/>
      </c>
      <c r="YE28">
        <f>YE27+IF(AND($C27=108,$U27=1),1,0)</f>
        <v/>
      </c>
      <c r="YF28">
        <f>YF27+IF(AND($C27=109,$U27=1),1,0)</f>
        <v/>
      </c>
      <c r="YG28">
        <f>YG27+IF(AND($C27=110,$U27=1),1,0)</f>
        <v/>
      </c>
      <c r="YH28">
        <f>YH27+IF(AND($C27=111,$U27=1),1,0)</f>
        <v/>
      </c>
      <c r="YI28">
        <f>YI27+IF(AND($C27=112,$U27=1),1,0)</f>
        <v/>
      </c>
      <c r="YJ28">
        <f>YJ27+IF(AND($C27=113,$U27=1),1,0)</f>
        <v/>
      </c>
      <c r="YK28">
        <f>YK27+IF(AND($C27=114,$U27=1),1,0)</f>
        <v/>
      </c>
      <c r="YL28">
        <f>YL27+IF(AND($C27=115,$U27=1),1,0)</f>
        <v/>
      </c>
      <c r="YM28">
        <f>YM27+IF(AND($C27=116,$U27=1),1,0)</f>
        <v/>
      </c>
      <c r="YN28">
        <f>YN27+IF(AND($C27=117,$U27=1),1,0)</f>
        <v/>
      </c>
      <c r="YO28">
        <f>YO27+IF(AND($C27=118,$U27=1),1,0)</f>
        <v/>
      </c>
      <c r="YP28">
        <f>YP27+IF(AND($C27=119,$U27=1),1,0)</f>
        <v/>
      </c>
      <c r="YQ28">
        <f>YQ27+IF(AND($C27=120,$U27=1),1,0)</f>
        <v/>
      </c>
      <c r="YR28">
        <f>YR27+IF(AND($C27=121,$U27=1),1,0)</f>
        <v/>
      </c>
      <c r="YS28">
        <f>YS27+IF(AND($C27=122,$U27=1),1,0)</f>
        <v/>
      </c>
      <c r="YT28">
        <f>YT27+IF(AND($C27=123,$U27=1),1,0)</f>
        <v/>
      </c>
      <c r="YU28">
        <f>YU27+IF(AND($C27=124,$U27=1),1,0)</f>
        <v/>
      </c>
      <c r="YV28">
        <f>YV27+IF(AND($C27=125,$U27=1),1,0)</f>
        <v/>
      </c>
      <c r="YW28">
        <f>YW27+IF(AND($C27=126,$U27=1),1,0)</f>
        <v/>
      </c>
      <c r="YX28">
        <f>YX27+IF(AND($C27=127,$U27=1),1,0)</f>
        <v/>
      </c>
      <c r="YY28">
        <f>YY27+IF(AND($C27=128,$U27=1),1,0)</f>
        <v/>
      </c>
      <c r="YZ28">
        <f>YZ27+IF(AND($C27=129,$U27=1),1,0)</f>
        <v/>
      </c>
      <c r="ZA28">
        <f>ZA27+IF(AND($C27=130,$U27=1),1,0)</f>
        <v/>
      </c>
      <c r="ZB28">
        <f>ZB27+IF(AND($C27=131,$U27=1),1,0)</f>
        <v/>
      </c>
      <c r="ZC28">
        <f>ZC27+IF(AND($C27=132,$U27=1),1,0)</f>
        <v/>
      </c>
      <c r="ZD28">
        <f>ZD27+IF(AND($C27=133,$U27=1),1,0)</f>
        <v/>
      </c>
      <c r="ZE28">
        <f>ZE27+IF(AND($C27=134,$U27=1),1,0)</f>
        <v/>
      </c>
      <c r="ZF28">
        <f>ZF27+IF(AND($C27=135,$U27=1),1,0)</f>
        <v/>
      </c>
      <c r="ZG28">
        <f>ZG27+IF(AND($C27=136,$U27=1),1,0)</f>
        <v/>
      </c>
      <c r="ZH28">
        <f>ZH27+IF(AND($C27=137,$U27=1),1,0)</f>
        <v/>
      </c>
      <c r="ZI28">
        <f>ZI27+IF(AND($C27=138,$U27=1),1,0)</f>
        <v/>
      </c>
      <c r="ZJ28">
        <f>ZJ27+IF(AND($C27=139,$U27=1),1,0)</f>
        <v/>
      </c>
      <c r="ZK28">
        <f>ZK27+IF(AND($C27=140,$U27=1),1,0)</f>
        <v/>
      </c>
      <c r="ZL28">
        <f>ZL27+IF(AND($C27=141,$U27=1),1,0)</f>
        <v/>
      </c>
      <c r="ZM28">
        <f>ZM27+IF(AND($C27=142,$U27=1),1,0)</f>
        <v/>
      </c>
      <c r="ZN28">
        <f>ZN27+IF(AND($C27=143,$U27=1),1,0)</f>
        <v/>
      </c>
      <c r="ZO28">
        <f>ZO27+IF(AND($C27=144,$U27=1),1,0)</f>
        <v/>
      </c>
      <c r="ZQ28">
        <f>IF($C27=1,0,ZQ27+IF(AND($G27=1,$E27=1),1,0))</f>
        <v/>
      </c>
      <c r="ZR28">
        <f>IF($C27=2,0,ZR27+IF(AND($G27=2,$E27=1),1,0))</f>
        <v/>
      </c>
      <c r="ZS28">
        <f>IF($C27=3,0,ZS27+IF(AND($G27=3,$E27=1),1,0))</f>
        <v/>
      </c>
      <c r="ZT28">
        <f>IF($C27=4,0,ZT27+IF(AND($G27=4,$E27=1),1,0))</f>
        <v/>
      </c>
      <c r="ZU28">
        <f>IF($C27=5,0,ZU27+IF(AND($G27=5,$E27=1),1,0))</f>
        <v/>
      </c>
      <c r="ZV28">
        <f>IF($C27=6,0,ZV27+IF(AND($G27=6,$E27=1),1,0))</f>
        <v/>
      </c>
      <c r="ZW28">
        <f>IF($C27=7,0,ZW27+IF(AND($G27=7,$E27=1),1,0))</f>
        <v/>
      </c>
      <c r="ZX28">
        <f>IF($C27=8,0,ZX27+IF(AND($G27=8,$E27=1),1,0))</f>
        <v/>
      </c>
      <c r="ZY28">
        <f>IF($C27=9,0,ZY27+IF(AND($G27=9,$E27=1),1,0))</f>
        <v/>
      </c>
      <c r="ZZ28">
        <f>IF($C27=10,0,ZZ27+IF(AND($G27=10,$E27=1),1,0))</f>
        <v/>
      </c>
      <c r="AAA28">
        <f>IF($C27=11,0,AAA27+IF(AND($G27=11,$E27=1),1,0))</f>
        <v/>
      </c>
      <c r="AAB28">
        <f>IF($C27=12,0,AAB27+IF(AND($G27=12,$E27=1),1,0))</f>
        <v/>
      </c>
      <c r="AAC28">
        <f>IF($C27=13,0,AAC27+IF(AND($G27=13,$E27=1),1,0))</f>
        <v/>
      </c>
      <c r="AAD28">
        <f>IF($C27=14,0,AAD27+IF(AND($G27=14,$E27=1),1,0))</f>
        <v/>
      </c>
      <c r="AAE28">
        <f>IF($C27=15,0,AAE27+IF(AND($G27=15,$E27=1),1,0))</f>
        <v/>
      </c>
      <c r="AAF28">
        <f>IF($C27=16,0,AAF27+IF(AND($G27=16,$E27=1),1,0))</f>
        <v/>
      </c>
      <c r="AAG28">
        <f>IF($C27=17,0,AAG27+IF(AND($G27=17,$E27=1),1,0))</f>
        <v/>
      </c>
      <c r="AAH28">
        <f>IF($C27=18,0,AAH27+IF(AND($G27=18,$E27=1),1,0))</f>
        <v/>
      </c>
      <c r="AAI28">
        <f>IF($C27=19,0,AAI27+IF(AND($G27=19,$E27=1),1,0))</f>
        <v/>
      </c>
      <c r="AAJ28">
        <f>IF($C27=20,0,AAJ27+IF(AND($G27=20,$E27=1),1,0))</f>
        <v/>
      </c>
      <c r="AAK28">
        <f>IF($C27=21,0,AAK27+IF(AND($G27=21,$E27=1),1,0))</f>
        <v/>
      </c>
      <c r="AAL28">
        <f>IF($C27=22,0,AAL27+IF(AND($G27=22,$E27=1),1,0))</f>
        <v/>
      </c>
      <c r="AAM28">
        <f>IF($C27=23,0,AAM27+IF(AND($G27=23,$E27=1),1,0))</f>
        <v/>
      </c>
      <c r="AAN28">
        <f>IF($C27=24,0,AAN27+IF(AND($G27=24,$E27=1),1,0))</f>
        <v/>
      </c>
      <c r="AAO28">
        <f>IF($C27=25,0,AAO27+IF(AND($G27=25,$E27=1),1,0))</f>
        <v/>
      </c>
      <c r="AAP28">
        <f>IF($C27=26,0,AAP27+IF(AND($G27=26,$E27=1),1,0))</f>
        <v/>
      </c>
      <c r="AAQ28">
        <f>IF($C27=27,0,AAQ27+IF(AND($G27=27,$E27=1),1,0))</f>
        <v/>
      </c>
      <c r="AAR28">
        <f>IF($C27=28,0,AAR27+IF(AND($G27=28,$E27=1),1,0))</f>
        <v/>
      </c>
      <c r="AAS28">
        <f>IF($C27=29,0,AAS27+IF(AND($G27=29,$E27=1),1,0))</f>
        <v/>
      </c>
      <c r="AAT28">
        <f>IF($C27=30,0,AAT27+IF(AND($G27=30,$E27=1),1,0))</f>
        <v/>
      </c>
      <c r="AAU28">
        <f>IF($C27=31,0,AAU27+IF(AND($G27=31,$E27=1),1,0))</f>
        <v/>
      </c>
      <c r="AAV28">
        <f>IF($C27=32,0,AAV27+IF(AND($G27=32,$E27=1),1,0))</f>
        <v/>
      </c>
      <c r="AAW28">
        <f>IF($C27=33,0,AAW27+IF(AND($G27=33,$E27=1),1,0))</f>
        <v/>
      </c>
      <c r="AAX28">
        <f>IF($C27=34,0,AAX27+IF(AND($G27=34,$E27=1),1,0))</f>
        <v/>
      </c>
      <c r="AAY28">
        <f>IF($C27=35,0,AAY27+IF(AND($G27=35,$E27=1),1,0))</f>
        <v/>
      </c>
      <c r="AAZ28">
        <f>IF($C27=36,0,AAZ27+IF(AND($G27=36,$E27=1),1,0))</f>
        <v/>
      </c>
      <c r="ABA28">
        <f>IF($C27=37,0,ABA27+IF(AND($G27=37,$E27=1),1,0))</f>
        <v/>
      </c>
      <c r="ABB28">
        <f>IF($C27=38,0,ABB27+IF(AND($G27=38,$E27=1),1,0))</f>
        <v/>
      </c>
      <c r="ABC28">
        <f>IF($C27=39,0,ABC27+IF(AND($G27=39,$E27=1),1,0))</f>
        <v/>
      </c>
      <c r="ABD28">
        <f>IF($C27=40,0,ABD27+IF(AND($G27=40,$E27=1),1,0))</f>
        <v/>
      </c>
      <c r="ABE28">
        <f>IF($C27=41,0,ABE27+IF(AND($G27=41,$E27=1),1,0))</f>
        <v/>
      </c>
      <c r="ABF28">
        <f>IF($C27=42,0,ABF27+IF(AND($G27=42,$E27=1),1,0))</f>
        <v/>
      </c>
      <c r="ABG28">
        <f>IF($C27=43,0,ABG27+IF(AND($G27=43,$E27=1),1,0))</f>
        <v/>
      </c>
      <c r="ABH28">
        <f>IF($C27=44,0,ABH27+IF(AND($G27=44,$E27=1),1,0))</f>
        <v/>
      </c>
      <c r="ABI28">
        <f>IF($C27=45,0,ABI27+IF(AND($G27=45,$E27=1),1,0))</f>
        <v/>
      </c>
      <c r="ABJ28">
        <f>IF($C27=46,0,ABJ27+IF(AND($G27=46,$E27=1),1,0))</f>
        <v/>
      </c>
      <c r="ABK28">
        <f>IF($C27=47,0,ABK27+IF(AND($G27=47,$E27=1),1,0))</f>
        <v/>
      </c>
      <c r="ABL28">
        <f>IF($C27=48,0,ABL27+IF(AND($G27=48,$E27=1),1,0))</f>
        <v/>
      </c>
      <c r="ABM28">
        <f>IF($C27=49,0,ABM27+IF(AND($G27=49,$E27=1),1,0))</f>
        <v/>
      </c>
      <c r="ABN28">
        <f>IF($C27=50,0,ABN27+IF(AND($G27=50,$E27=1),1,0))</f>
        <v/>
      </c>
      <c r="ABO28">
        <f>IF($C27=51,0,ABO27+IF(AND($G27=51,$E27=1),1,0))</f>
        <v/>
      </c>
      <c r="ABP28">
        <f>IF($C27=52,0,ABP27+IF(AND($G27=52,$E27=1),1,0))</f>
        <v/>
      </c>
      <c r="ABQ28">
        <f>IF($C27=53,0,ABQ27+IF(AND($G27=53,$E27=1),1,0))</f>
        <v/>
      </c>
      <c r="ABR28">
        <f>IF($C27=54,0,ABR27+IF(AND($G27=54,$E27=1),1,0))</f>
        <v/>
      </c>
      <c r="ABS28">
        <f>IF($C27=55,0,ABS27+IF(AND($G27=55,$E27=1),1,0))</f>
        <v/>
      </c>
      <c r="ABT28">
        <f>IF($C27=56,0,ABT27+IF(AND($G27=56,$E27=1),1,0))</f>
        <v/>
      </c>
      <c r="ABU28">
        <f>IF($C27=57,0,ABU27+IF(AND($G27=57,$E27=1),1,0))</f>
        <v/>
      </c>
      <c r="ABV28">
        <f>IF($C27=58,0,ABV27+IF(AND($G27=58,$E27=1),1,0))</f>
        <v/>
      </c>
      <c r="ABW28">
        <f>IF($C27=59,0,ABW27+IF(AND($G27=59,$E27=1),1,0))</f>
        <v/>
      </c>
      <c r="ABX28">
        <f>IF($C27=60,0,ABX27+IF(AND($G27=60,$E27=1),1,0))</f>
        <v/>
      </c>
      <c r="ABY28">
        <f>IF($C27=61,0,ABY27+IF(AND($G27=61,$E27=1),1,0))</f>
        <v/>
      </c>
      <c r="ABZ28">
        <f>IF($C27=62,0,ABZ27+IF(AND($G27=62,$E27=1),1,0))</f>
        <v/>
      </c>
      <c r="ACA28">
        <f>IF($C27=63,0,ACA27+IF(AND($G27=63,$E27=1),1,0))</f>
        <v/>
      </c>
      <c r="ACB28">
        <f>IF($C27=64,0,ACB27+IF(AND($G27=64,$E27=1),1,0))</f>
        <v/>
      </c>
      <c r="ACC28">
        <f>IF($C27=65,0,ACC27+IF(AND($G27=65,$E27=1),1,0))</f>
        <v/>
      </c>
      <c r="ACD28">
        <f>IF($C27=66,0,ACD27+IF(AND($G27=66,$E27=1),1,0))</f>
        <v/>
      </c>
      <c r="ACE28">
        <f>IF($C27=67,0,ACE27+IF(AND($G27=67,$E27=1),1,0))</f>
        <v/>
      </c>
      <c r="ACF28">
        <f>IF($C27=68,0,ACF27+IF(AND($G27=68,$E27=1),1,0))</f>
        <v/>
      </c>
      <c r="ACG28">
        <f>IF($C27=69,0,ACG27+IF(AND($G27=69,$E27=1),1,0))</f>
        <v/>
      </c>
      <c r="ACH28">
        <f>IF($C27=70,0,ACH27+IF(AND($G27=70,$E27=1),1,0))</f>
        <v/>
      </c>
      <c r="ACI28">
        <f>IF($C27=71,0,ACI27+IF(AND($G27=71,$E27=1),1,0))</f>
        <v/>
      </c>
      <c r="ACJ28">
        <f>IF($C27=72,0,ACJ27+IF(AND($G27=72,$E27=1),1,0))</f>
        <v/>
      </c>
      <c r="ACK28">
        <f>IF($C27=73,0,ACK27+IF(AND($G27=73,$E27=1),1,0))</f>
        <v/>
      </c>
      <c r="ACL28">
        <f>IF($C27=74,0,ACL27+IF(AND($G27=74,$E27=1),1,0))</f>
        <v/>
      </c>
      <c r="ACM28">
        <f>IF($C27=75,0,ACM27+IF(AND($G27=75,$E27=1),1,0))</f>
        <v/>
      </c>
      <c r="ACN28">
        <f>IF($C27=76,0,ACN27+IF(AND($G27=76,$E27=1),1,0))</f>
        <v/>
      </c>
      <c r="ACO28">
        <f>IF($C27=77,0,ACO27+IF(AND($G27=77,$E27=1),1,0))</f>
        <v/>
      </c>
      <c r="ACP28">
        <f>IF($C27=78,0,ACP27+IF(AND($G27=78,$E27=1),1,0))</f>
        <v/>
      </c>
      <c r="ACQ28">
        <f>IF($C27=79,0,ACQ27+IF(AND($G27=79,$E27=1),1,0))</f>
        <v/>
      </c>
      <c r="ACR28">
        <f>IF($C27=80,0,ACR27+IF(AND($G27=80,$E27=1),1,0))</f>
        <v/>
      </c>
      <c r="ACS28">
        <f>IF($C27=81,0,ACS27+IF(AND($G27=81,$E27=1),1,0))</f>
        <v/>
      </c>
      <c r="ACT28">
        <f>IF($C27=82,0,ACT27+IF(AND($G27=82,$E27=1),1,0))</f>
        <v/>
      </c>
      <c r="ACU28">
        <f>IF($C27=83,0,ACU27+IF(AND($G27=83,$E27=1),1,0))</f>
        <v/>
      </c>
      <c r="ACV28">
        <f>IF($C27=84,0,ACV27+IF(AND($G27=84,$E27=1),1,0))</f>
        <v/>
      </c>
      <c r="ACW28">
        <f>IF($C27=85,0,ACW27+IF(AND($G27=85,$E27=1),1,0))</f>
        <v/>
      </c>
      <c r="ACX28">
        <f>IF($C27=86,0,ACX27+IF(AND($G27=86,$E27=1),1,0))</f>
        <v/>
      </c>
      <c r="ACY28">
        <f>IF($C27=87,0,ACY27+IF(AND($G27=87,$E27=1),1,0))</f>
        <v/>
      </c>
      <c r="ACZ28">
        <f>IF($C27=88,0,ACZ27+IF(AND($G27=88,$E27=1),1,0))</f>
        <v/>
      </c>
      <c r="ADA28">
        <f>IF($C27=89,0,ADA27+IF(AND($G27=89,$E27=1),1,0))</f>
        <v/>
      </c>
      <c r="ADB28">
        <f>IF($C27=90,0,ADB27+IF(AND($G27=90,$E27=1),1,0))</f>
        <v/>
      </c>
      <c r="ADC28">
        <f>IF($C27=91,0,ADC27+IF(AND($G27=91,$E27=1),1,0))</f>
        <v/>
      </c>
      <c r="ADD28">
        <f>IF($C27=92,0,ADD27+IF(AND($G27=92,$E27=1),1,0))</f>
        <v/>
      </c>
      <c r="ADE28">
        <f>IF($C27=93,0,ADE27+IF(AND($G27=93,$E27=1),1,0))</f>
        <v/>
      </c>
      <c r="ADF28">
        <f>IF($C27=94,0,ADF27+IF(AND($G27=94,$E27=1),1,0))</f>
        <v/>
      </c>
      <c r="ADG28">
        <f>IF($C27=95,0,ADG27+IF(AND($G27=95,$E27=1),1,0))</f>
        <v/>
      </c>
      <c r="ADH28">
        <f>IF($C27=96,0,ADH27+IF(AND($G27=96,$E27=1),1,0))</f>
        <v/>
      </c>
      <c r="ADI28">
        <f>IF($C27=97,0,ADI27+IF(AND($G27=97,$E27=1),1,0))</f>
        <v/>
      </c>
      <c r="ADJ28">
        <f>IF($C27=98,0,ADJ27+IF(AND($G27=98,$E27=1),1,0))</f>
        <v/>
      </c>
      <c r="ADK28">
        <f>IF($C27=99,0,ADK27+IF(AND($G27=99,$E27=1),1,0))</f>
        <v/>
      </c>
      <c r="ADL28">
        <f>IF($C27=100,0,ADL27+IF(AND($G27=100,$E27=1),1,0))</f>
        <v/>
      </c>
      <c r="ADM28">
        <f>IF($C27=101,0,ADM27+IF(AND($G27=101,$E27=1),1,0))</f>
        <v/>
      </c>
      <c r="ADN28">
        <f>IF($C27=102,0,ADN27+IF(AND($G27=102,$E27=1),1,0))</f>
        <v/>
      </c>
      <c r="ADO28">
        <f>IF($C27=103,0,ADO27+IF(AND($G27=103,$E27=1),1,0))</f>
        <v/>
      </c>
      <c r="ADP28">
        <f>IF($C27=104,0,ADP27+IF(AND($G27=104,$E27=1),1,0))</f>
        <v/>
      </c>
      <c r="ADQ28">
        <f>IF($C27=105,0,ADQ27+IF(AND($G27=105,$E27=1),1,0))</f>
        <v/>
      </c>
      <c r="ADR28">
        <f>IF($C27=106,0,ADR27+IF(AND($G27=106,$E27=1),1,0))</f>
        <v/>
      </c>
      <c r="ADS28">
        <f>IF($C27=107,0,ADS27+IF(AND($G27=107,$E27=1),1,0))</f>
        <v/>
      </c>
      <c r="ADT28">
        <f>IF($C27=108,0,ADT27+IF(AND($G27=108,$E27=1),1,0))</f>
        <v/>
      </c>
      <c r="ADU28">
        <f>IF($C27=109,0,ADU27+IF(AND($G27=109,$E27=1),1,0))</f>
        <v/>
      </c>
      <c r="ADV28">
        <f>IF($C27=110,0,ADV27+IF(AND($G27=110,$E27=1),1,0))</f>
        <v/>
      </c>
      <c r="ADW28">
        <f>IF($C27=111,0,ADW27+IF(AND($G27=111,$E27=1),1,0))</f>
        <v/>
      </c>
      <c r="ADX28">
        <f>IF($C27=112,0,ADX27+IF(AND($G27=112,$E27=1),1,0))</f>
        <v/>
      </c>
      <c r="ADY28">
        <f>IF($C27=113,0,ADY27+IF(AND($G27=113,$E27=1),1,0))</f>
        <v/>
      </c>
      <c r="ADZ28">
        <f>IF($C27=114,0,ADZ27+IF(AND($G27=114,$E27=1),1,0))</f>
        <v/>
      </c>
      <c r="AEA28">
        <f>IF($C27=115,0,AEA27+IF(AND($G27=115,$E27=1),1,0))</f>
        <v/>
      </c>
      <c r="AEB28">
        <f>IF($C27=116,0,AEB27+IF(AND($G27=116,$E27=1),1,0))</f>
        <v/>
      </c>
      <c r="AEC28">
        <f>IF($C27=117,0,AEC27+IF(AND($G27=117,$E27=1),1,0))</f>
        <v/>
      </c>
      <c r="AED28">
        <f>IF($C27=118,0,AED27+IF(AND($G27=118,$E27=1),1,0))</f>
        <v/>
      </c>
      <c r="AEE28">
        <f>IF($C27=119,0,AEE27+IF(AND($G27=119,$E27=1),1,0))</f>
        <v/>
      </c>
      <c r="AEF28">
        <f>IF($C27=120,0,AEF27+IF(AND($G27=120,$E27=1),1,0))</f>
        <v/>
      </c>
      <c r="AEG28">
        <f>IF($C27=121,0,AEG27+IF(AND($G27=121,$E27=1),1,0))</f>
        <v/>
      </c>
      <c r="AEH28">
        <f>IF($C27=122,0,AEH27+IF(AND($G27=122,$E27=1),1,0))</f>
        <v/>
      </c>
      <c r="AEI28">
        <f>IF($C27=123,0,AEI27+IF(AND($G27=123,$E27=1),1,0))</f>
        <v/>
      </c>
      <c r="AEJ28">
        <f>IF($C27=124,0,AEJ27+IF(AND($G27=124,$E27=1),1,0))</f>
        <v/>
      </c>
      <c r="AEK28">
        <f>IF($C27=125,0,AEK27+IF(AND($G27=125,$E27=1),1,0))</f>
        <v/>
      </c>
      <c r="AEL28">
        <f>IF($C27=126,0,AEL27+IF(AND($G27=126,$E27=1),1,0))</f>
        <v/>
      </c>
      <c r="AEM28">
        <f>IF($C27=127,0,AEM27+IF(AND($G27=127,$E27=1),1,0))</f>
        <v/>
      </c>
      <c r="AEN28">
        <f>IF($C27=128,0,AEN27+IF(AND($G27=128,$E27=1),1,0))</f>
        <v/>
      </c>
      <c r="AEO28">
        <f>IF($C27=129,0,AEO27+IF(AND($G27=129,$E27=1),1,0))</f>
        <v/>
      </c>
      <c r="AEP28">
        <f>IF($C27=130,0,AEP27+IF(AND($G27=130,$E27=1),1,0))</f>
        <v/>
      </c>
      <c r="AEQ28">
        <f>IF($C27=131,0,AEQ27+IF(AND($G27=131,$E27=1),1,0))</f>
        <v/>
      </c>
      <c r="AER28">
        <f>IF($C27=132,0,AER27+IF(AND($G27=132,$E27=1),1,0))</f>
        <v/>
      </c>
      <c r="AES28">
        <f>IF($C27=133,0,AES27+IF(AND($G27=133,$E27=1),1,0))</f>
        <v/>
      </c>
      <c r="AET28">
        <f>IF($C27=134,0,AET27+IF(AND($G27=134,$E27=1),1,0))</f>
        <v/>
      </c>
      <c r="AEU28">
        <f>IF($C27=135,0,AEU27+IF(AND($G27=135,$E27=1),1,0))</f>
        <v/>
      </c>
      <c r="AEV28">
        <f>IF($C27=136,0,AEV27+IF(AND($G27=136,$E27=1),1,0))</f>
        <v/>
      </c>
      <c r="AEW28">
        <f>IF($C27=137,0,AEW27+IF(AND($G27=137,$E27=1),1,0))</f>
        <v/>
      </c>
      <c r="AEX28">
        <f>IF($C27=138,0,AEX27+IF(AND($G27=138,$E27=1),1,0))</f>
        <v/>
      </c>
      <c r="AEY28">
        <f>IF($C27=139,0,AEY27+IF(AND($G27=139,$E27=1),1,0))</f>
        <v/>
      </c>
      <c r="AEZ28">
        <f>IF($C27=140,0,AEZ27+IF(AND($G27=140,$E27=1),1,0))</f>
        <v/>
      </c>
      <c r="AFA28">
        <f>IF($C27=141,0,AFA27+IF(AND($G27=141,$E27=1),1,0))</f>
        <v/>
      </c>
      <c r="AFB28">
        <f>IF($C27=142,0,AFB27+IF(AND($G27=142,$E27=1),1,0))</f>
        <v/>
      </c>
      <c r="AFC28">
        <f>IF($C27=143,0,AFC27+IF(AND($G27=143,$E27=1),1,0))</f>
        <v/>
      </c>
      <c r="AFD28">
        <f>IF($C27=144,0,AFD27+IF(AND($G27=144,$E27=1),1,0))</f>
        <v/>
      </c>
      <c r="AFF28">
        <f>IF('calcA'!D$106=1,DC28+ZR28,1)</f>
        <v/>
      </c>
      <c r="AFG28">
        <f>IF('calcA'!E$106=1,DD28+ZS28,1)</f>
        <v/>
      </c>
      <c r="AFH28">
        <f>IF('calcA'!F$106=1,DE28+ZT28,1)</f>
        <v/>
      </c>
      <c r="AFI28">
        <f>IF('calcA'!G$106=1,DF28+ZU28,1)</f>
        <v/>
      </c>
      <c r="AFJ28">
        <f>IF('calcA'!H$106=1,DG28+ZV28,1)</f>
        <v/>
      </c>
      <c r="AFK28">
        <f>IF('calcA'!I$106=1,DH28+ZW28,1)</f>
        <v/>
      </c>
      <c r="AFL28">
        <f>IF('calcA'!J$106=1,DI28+ZX28,1)</f>
        <v/>
      </c>
      <c r="AFM28">
        <f>IF('calcA'!K$106=1,DJ28+ZY28,1)</f>
        <v/>
      </c>
      <c r="AFN28">
        <f>IF('calcA'!L$106=1,DK28+ZZ28,1)</f>
        <v/>
      </c>
      <c r="AFO28">
        <f>IF('calcA'!M$106=1,DL28+AAA28,1)</f>
        <v/>
      </c>
      <c r="AFP28">
        <f>IF('calcA'!N$106=1,DM28+AAB28,1)</f>
        <v/>
      </c>
      <c r="AFQ28">
        <f>IF('calcA'!O$106=1,DN28+AAC28,1)</f>
        <v/>
      </c>
      <c r="AFR28">
        <f>IF('calcA'!P$106=1,DO28+AAD28,1)</f>
        <v/>
      </c>
      <c r="AFS28">
        <f>IF('calcA'!Q$106=1,DP28+AAE28,1)</f>
        <v/>
      </c>
      <c r="AFT28">
        <f>IF('calcA'!R$106=1,DQ28+AAF28,1)</f>
        <v/>
      </c>
      <c r="AFU28">
        <f>IF('calcA'!S$106=1,DR28+AAG28,1)</f>
        <v/>
      </c>
      <c r="AFV28">
        <f>IF('calcA'!T$106=1,DS28+AAH28,1)</f>
        <v/>
      </c>
      <c r="AFW28">
        <f>IF('calcA'!U$106=1,DT28+AAI28,1)</f>
        <v/>
      </c>
      <c r="AFX28">
        <f>IF('calcA'!V$106=1,DU28+AAJ28,1)</f>
        <v/>
      </c>
      <c r="AFY28">
        <f>IF('calcA'!W$106=1,DV28+AAK28,1)</f>
        <v/>
      </c>
      <c r="AFZ28">
        <f>IF('calcA'!X$106=1,DW28+AAL28,1)</f>
        <v/>
      </c>
      <c r="AGA28">
        <f>IF('calcA'!Y$106=1,DX28+AAM28,1)</f>
        <v/>
      </c>
      <c r="AGB28">
        <f>IF('calcA'!Z$106=1,DY28+AAN28,1)</f>
        <v/>
      </c>
      <c r="AGC28">
        <f>IF('calcA'!AA$106=1,DZ28+AAO28,1)</f>
        <v/>
      </c>
      <c r="AGD28">
        <f>IF('calcA'!AB$106=1,EA28+AAP28,1)</f>
        <v/>
      </c>
      <c r="AGE28">
        <f>IF('calcA'!AC$106=1,EB28+AAQ28,1)</f>
        <v/>
      </c>
      <c r="AGF28">
        <f>IF('calcA'!AD$106=1,EC28+AAR28,1)</f>
        <v/>
      </c>
      <c r="AGG28">
        <f>IF('calcA'!AE$106=1,ED28+AAS28,1)</f>
        <v/>
      </c>
      <c r="AGH28">
        <f>IF('calcA'!AF$106=1,EE28+AAT28,1)</f>
        <v/>
      </c>
      <c r="AGI28">
        <f>IF('calcA'!AG$106=1,EF28+AAU28,1)</f>
        <v/>
      </c>
      <c r="AGJ28">
        <f>IF('calcA'!AH$106=1,EG28+AAV28,1)</f>
        <v/>
      </c>
      <c r="AGK28">
        <f>IF('calcA'!AI$106=1,EH28+AAW28,1)</f>
        <v/>
      </c>
      <c r="AGL28">
        <f>IF('calcA'!AJ$106=1,EI28+AAX28,1)</f>
        <v/>
      </c>
      <c r="AGM28">
        <f>IF('calcA'!AK$106=1,EJ28+AAY28,1)</f>
        <v/>
      </c>
      <c r="AGN28">
        <f>IF('calcA'!AL$106=1,EK28+AAZ28,1)</f>
        <v/>
      </c>
      <c r="AGO28">
        <f>IF('calcA'!AM$106=1,EL28+ABA28,1)</f>
        <v/>
      </c>
      <c r="AGP28">
        <f>IF('calcA'!AN$106=1,EM28+ABB28,1)</f>
        <v/>
      </c>
      <c r="AGQ28">
        <f>IF('calcA'!AO$106=1,EN28+ABC28,1)</f>
        <v/>
      </c>
      <c r="AGR28">
        <f>IF('calcA'!AP$106=1,EO28+ABD28,1)</f>
        <v/>
      </c>
      <c r="AGS28">
        <f>IF('calcA'!AQ$106=1,EP28+ABE28,1)</f>
        <v/>
      </c>
      <c r="AGT28">
        <f>IF('calcA'!AR$106=1,EQ28+ABF28,1)</f>
        <v/>
      </c>
      <c r="AGU28">
        <f>IF('calcA'!AS$106=1,ER28+ABG28,1)</f>
        <v/>
      </c>
      <c r="AGV28">
        <f>IF('calcA'!AT$106=1,ES28+ABH28,1)</f>
        <v/>
      </c>
      <c r="AGW28">
        <f>IF('calcA'!AU$106=1,ET28+ABI28,1)</f>
        <v/>
      </c>
      <c r="AGX28">
        <f>IF('calcA'!AV$106=1,EU28+ABJ28,1)</f>
        <v/>
      </c>
      <c r="AGY28">
        <f>IF('calcA'!AW$106=1,EV28+ABK28,1)</f>
        <v/>
      </c>
      <c r="AGZ28">
        <f>IF('calcA'!AX$106=1,EW28+ABL28,1)</f>
        <v/>
      </c>
      <c r="AHA28">
        <f>IF('calcA'!AY$106=1,EX28+ABM28,1)</f>
        <v/>
      </c>
      <c r="AHB28">
        <f>IF('calcA'!AZ$106=1,EY28+ABN28,1)</f>
        <v/>
      </c>
      <c r="AHC28">
        <f>IF('calcA'!BA$106=1,EZ28+ABO28,1)</f>
        <v/>
      </c>
      <c r="AHD28">
        <f>IF('calcA'!BB$106=1,FA28+ABP28,1)</f>
        <v/>
      </c>
      <c r="AHE28">
        <f>IF('calcA'!BC$106=1,FB28+ABQ28,1)</f>
        <v/>
      </c>
      <c r="AHF28">
        <f>IF('calcA'!BD$106=1,FC28+ABR28,1)</f>
        <v/>
      </c>
      <c r="AHG28">
        <f>IF('calcA'!BE$106=1,FD28+ABS28,1)</f>
        <v/>
      </c>
      <c r="AHH28">
        <f>IF('calcA'!BF$106=1,FE28+ABT28,1)</f>
        <v/>
      </c>
      <c r="AHI28">
        <f>IF('calcA'!BG$106=1,FF28+ABU28,1)</f>
        <v/>
      </c>
      <c r="AHJ28">
        <f>IF('calcA'!BH$106=1,FG28+ABV28,1)</f>
        <v/>
      </c>
      <c r="AHK28">
        <f>IF('calcA'!BI$106=1,FH28+ABW28,1)</f>
        <v/>
      </c>
      <c r="AHL28">
        <f>IF('calcA'!BJ$106=1,FI28+ABX28,1)</f>
        <v/>
      </c>
      <c r="AHM28">
        <f>IF('calcA'!BK$106=1,FJ28+ABY28,1)</f>
        <v/>
      </c>
      <c r="AHN28">
        <f>IF('calcA'!BL$106=1,FK28+ABZ28,1)</f>
        <v/>
      </c>
      <c r="AHO28">
        <f>IF('calcA'!BM$106=1,FL28+ACA28,1)</f>
        <v/>
      </c>
      <c r="AHP28">
        <f>IF('calcA'!BN$106=1,FM28+ACB28,1)</f>
        <v/>
      </c>
      <c r="AHQ28">
        <f>IF('calcA'!BO$106=1,FN28+ACC28,1)</f>
        <v/>
      </c>
      <c r="AHR28">
        <f>IF('calcA'!BP$106=1,FO28+ACD28,1)</f>
        <v/>
      </c>
      <c r="AHS28">
        <f>IF('calcA'!BQ$106=1,FP28+ACE28,1)</f>
        <v/>
      </c>
      <c r="AHT28">
        <f>IF('calcA'!BR$106=1,FQ28+ACF28,1)</f>
        <v/>
      </c>
      <c r="AHU28">
        <f>IF('calcA'!BS$106=1,FR28+ACG28,1)</f>
        <v/>
      </c>
      <c r="AHV28">
        <f>IF('calcA'!BT$106=1,FS28+ACH28,1)</f>
        <v/>
      </c>
      <c r="AHW28">
        <f>IF('calcA'!BU$106=1,FT28+ACI28,1)</f>
        <v/>
      </c>
      <c r="AHX28">
        <f>IF('calcA'!BV$106=1,FU28+ACJ28,1)</f>
        <v/>
      </c>
      <c r="AHY28">
        <f>IF('calcA'!BW$106=1,FV28+ACK28,1)</f>
        <v/>
      </c>
      <c r="AHZ28">
        <f>IF('calcA'!BX$106=1,FW28+ACL28,1)</f>
        <v/>
      </c>
      <c r="AIA28">
        <f>IF('calcA'!BY$106=1,FX28+ACM28,1)</f>
        <v/>
      </c>
      <c r="AIB28">
        <f>IF('calcA'!BZ$106=1,FY28+ACN28,1)</f>
        <v/>
      </c>
      <c r="AIC28">
        <f>IF('calcA'!CA$106=1,FZ28+ACO28,1)</f>
        <v/>
      </c>
      <c r="AID28">
        <f>IF('calcA'!CB$106=1,GA28+ACP28,1)</f>
        <v/>
      </c>
      <c r="AIE28">
        <f>IF('calcA'!CC$106=1,GB28+ACQ28,1)</f>
        <v/>
      </c>
      <c r="AIF28">
        <f>IF('calcA'!CD$106=1,GC28+ACR28,1)</f>
        <v/>
      </c>
      <c r="AIG28">
        <f>IF('calcA'!CE$106=1,GD28+ACS28,1)</f>
        <v/>
      </c>
      <c r="AIH28">
        <f>IF('calcA'!CF$106=1,GE28+ACT28,1)</f>
        <v/>
      </c>
      <c r="AII28">
        <f>IF('calcA'!CG$106=1,GF28+ACU28,1)</f>
        <v/>
      </c>
      <c r="AIJ28">
        <f>IF('calcA'!CH$106=1,GG28+ACV28,1)</f>
        <v/>
      </c>
      <c r="AIK28">
        <f>IF('calcA'!CI$106=1,GH28+ACW28,1)</f>
        <v/>
      </c>
      <c r="AIL28">
        <f>IF('calcA'!CJ$106=1,GI28+ACX28,1)</f>
        <v/>
      </c>
      <c r="AIM28">
        <f>IF('calcA'!CK$106=1,GJ28+ACY28,1)</f>
        <v/>
      </c>
      <c r="AIN28">
        <f>IF('calcA'!CL$106=1,GK28+ACZ28,1)</f>
        <v/>
      </c>
      <c r="AIO28">
        <f>IF('calcA'!CM$106=1,GL28+ADA28,1)</f>
        <v/>
      </c>
      <c r="AIP28">
        <f>IF('calcA'!CN$106=1,GM28+ADB28,1)</f>
        <v/>
      </c>
      <c r="AIQ28">
        <f>IF('calcA'!CO$106=1,GN28+ADC28,1)</f>
        <v/>
      </c>
      <c r="AIR28">
        <f>IF('calcA'!CP$106=1,GO28+ADD28,1)</f>
        <v/>
      </c>
      <c r="AIS28">
        <f>IF('calcA'!CQ$106=1,GP28+ADE28,1)</f>
        <v/>
      </c>
      <c r="AIT28">
        <f>IF('calcA'!CR$106=1,GQ28+ADF28,1)</f>
        <v/>
      </c>
      <c r="AIU28">
        <f>IF('calcA'!CS$106=1,GR28+ADG28,1)</f>
        <v/>
      </c>
      <c r="AIV28">
        <f>IF('calcA'!CT$106=1,GS28+ADH28,1)</f>
        <v/>
      </c>
      <c r="AIW28">
        <f>IF('calcA'!CU$106=1,GT28+ADI28,1)</f>
        <v/>
      </c>
      <c r="AIX28">
        <f>IF('calcA'!CV$106=1,GU28+ADJ28,1)</f>
        <v/>
      </c>
      <c r="AIY28">
        <f>IF('calcA'!CW$106=1,GV28+ADK28,1)</f>
        <v/>
      </c>
      <c r="AIZ28">
        <f>IF('calcA'!CX$106=1,GW28+ADL28,1)</f>
        <v/>
      </c>
      <c r="AJA28">
        <f>IF('calcA'!CY$106=1,GX28+ADM28,1)</f>
        <v/>
      </c>
      <c r="AJB28">
        <f>IF('calcA'!CZ$106=1,GY28+ADN28,1)</f>
        <v/>
      </c>
      <c r="AJC28">
        <f>IF('calcA'!DA$106=1,GZ28+ADO28,1)</f>
        <v/>
      </c>
      <c r="AJD28">
        <f>IF('calcA'!DB$106=1,HA28+ADP28,1)</f>
        <v/>
      </c>
      <c r="AJE28">
        <f>IF('calcA'!DC$106=1,HB28+ADQ28,1)</f>
        <v/>
      </c>
      <c r="AJF28">
        <f>IF('calcA'!DD$106=1,HC28+ADR28,1)</f>
        <v/>
      </c>
      <c r="AJG28">
        <f>IF('calcA'!DE$106=1,HD28+ADS28,1)</f>
        <v/>
      </c>
      <c r="AJH28">
        <f>IF('calcA'!DF$106=1,HE28+ADT28,1)</f>
        <v/>
      </c>
      <c r="AJI28">
        <f>IF('calcA'!DG$106=1,HF28+ADU28,1)</f>
        <v/>
      </c>
      <c r="AJJ28">
        <f>IF('calcA'!DH$106=1,HG28+ADV28,1)</f>
        <v/>
      </c>
      <c r="AJK28">
        <f>IF('calcA'!DI$106=1,HH28+ADW28,1)</f>
        <v/>
      </c>
      <c r="AJL28">
        <f>IF('calcA'!DJ$106=1,HI28+ADX28,1)</f>
        <v/>
      </c>
      <c r="AJM28">
        <f>IF('calcA'!DK$106=1,HJ28+ADY28,1)</f>
        <v/>
      </c>
      <c r="AJN28">
        <f>IF('calcA'!DL$106=1,HK28+ADZ28,1)</f>
        <v/>
      </c>
      <c r="AJO28">
        <f>IF('calcA'!DM$106=1,HL28+AEA28,1)</f>
        <v/>
      </c>
      <c r="AJP28">
        <f>IF('calcA'!DN$106=1,HM28+AEB28,1)</f>
        <v/>
      </c>
      <c r="AJQ28">
        <f>IF('calcA'!DO$106=1,HN28+AEC28,1)</f>
        <v/>
      </c>
      <c r="AJR28">
        <f>IF('calcA'!DP$106=1,HO28+AED28,1)</f>
        <v/>
      </c>
      <c r="AJS28">
        <f>IF('calcA'!DQ$106=1,HP28+AEE28,1)</f>
        <v/>
      </c>
      <c r="AJT28">
        <f>IF('calcA'!DR$106=1,HQ28+AEF28,1)</f>
        <v/>
      </c>
      <c r="AJU28">
        <f>IF('calcA'!DS$106=1,HR28+AEG28,1)</f>
        <v/>
      </c>
      <c r="AJV28">
        <f>IF('calcA'!DT$106=1,HS28+AEH28,1)</f>
        <v/>
      </c>
      <c r="AJW28">
        <f>IF('calcA'!DU$106=1,HT28+AEI28,1)</f>
        <v/>
      </c>
      <c r="AJX28">
        <f>IF('calcA'!DV$106=1,HU28+AEJ28,1)</f>
        <v/>
      </c>
      <c r="AJY28">
        <f>IF('calcA'!DW$106=1,HV28+AEK28,1)</f>
        <v/>
      </c>
      <c r="AJZ28">
        <f>IF('calcA'!DX$106=1,HW28+AEL28,1)</f>
        <v/>
      </c>
      <c r="AKA28">
        <f>IF('calcA'!DY$106=1,HX28+AEM28,1)</f>
        <v/>
      </c>
      <c r="AKB28">
        <f>IF('calcA'!DZ$106=1,HY28+AEN28,1)</f>
        <v/>
      </c>
      <c r="AKC28">
        <f>IF('calcA'!EA$106=1,HZ28+AEO28,1)</f>
        <v/>
      </c>
      <c r="AKD28">
        <f>IF('calcA'!EB$106=1,IA28+AEP28,1)</f>
        <v/>
      </c>
      <c r="AKE28">
        <f>IF('calcA'!EC$106=1,IB28+AEQ28,1)</f>
        <v/>
      </c>
      <c r="AKF28">
        <f>IF('calcA'!ED$106=1,IC28+AER28,1)</f>
        <v/>
      </c>
      <c r="AKG28">
        <f>IF('calcA'!EE$106=1,ID28+AES28,1)</f>
        <v/>
      </c>
      <c r="AKH28">
        <f>IF('calcA'!EF$106=1,IE28+AET28,1)</f>
        <v/>
      </c>
      <c r="AKI28">
        <f>IF('calcA'!EG$106=1,IF28+AEU28,1)</f>
        <v/>
      </c>
      <c r="AKJ28">
        <f>IF('calcA'!EH$106=1,IG28+AEV28,1)</f>
        <v/>
      </c>
      <c r="AKK28">
        <f>IF('calcA'!EI$106=1,IH28+AEW28,1)</f>
        <v/>
      </c>
      <c r="AKL28">
        <f>IF('calcA'!EJ$106=1,II28+AEX28,1)</f>
        <v/>
      </c>
      <c r="AKM28">
        <f>IF('calcA'!EK$106=1,IJ28+AEY28,1)</f>
        <v/>
      </c>
      <c r="AKN28">
        <f>IF('calcA'!EL$106=1,IK28+AEZ28,1)</f>
        <v/>
      </c>
      <c r="AKO28">
        <f>IF('calcA'!EM$106=1,IL28+AFA28,1)</f>
        <v/>
      </c>
      <c r="AKP28">
        <f>IF('calcA'!EN$106=1,IM28+AFB28,1)</f>
        <v/>
      </c>
      <c r="AKQ28">
        <f>IF('calcA'!EO$106=1,IN28+AFC28,1)</f>
        <v/>
      </c>
      <c r="AKR28">
        <f>IF('calcA'!EP$106=1,IO28+AFD28,1)</f>
        <v/>
      </c>
      <c r="AKS28" t="n">
        <v>1</v>
      </c>
    </row>
    <row r="29">
      <c r="A29" t="n">
        <v>27</v>
      </c>
      <c r="B29">
        <f>IF(MIN(BM29:CZ29)&gt;=1000000000,0,MATCH(MIN(BM29:CZ29),BM29:CZ29,0))</f>
        <v/>
      </c>
      <c r="C29">
        <f>IF(MIN(OF29:TS29)&gt;=1000000000,0,MATCH(MIN(OF29:TS29),OF29:TS29,0))</f>
        <v/>
      </c>
      <c r="D29">
        <f>IF(C29&gt;0,INDEX('calcA'!$D$5:$EQ$5,C29),0)</f>
        <v/>
      </c>
      <c r="E29">
        <f>IF(B29=0,0,INDEX('calcA'!$IQ$10:$IQ$54,B29))</f>
        <v/>
      </c>
      <c r="F29">
        <f>IF(B29=0,0,INDEX('calcA'!$IP$10:$IP$54,B29))</f>
        <v/>
      </c>
      <c r="G29">
        <f>IF(AND(C29&gt;0,E29&gt;0),IF(AND(INDEX('calcA'!$D$106:$EQ$106,C29)=1,INDEX($IQ29:$OD29,C29)=1),C29+1,0),0)</f>
        <v/>
      </c>
      <c r="H29">
        <f>IF(B29=0,0,INDEX('calcA'!$IW$10:$IW$54,B29))</f>
        <v/>
      </c>
      <c r="U29">
        <f>IF(B29=0,0,INDEX('calcA'!$IX$10:$IX$54,B29))</f>
        <v/>
      </c>
      <c r="V29">
        <f>IF(B29=0,0,INDEX('calcA'!$JF$10:$JF$54,B29))</f>
        <v/>
      </c>
      <c r="W29">
        <f>IF(B29=0,0,IF(IF(E29=2,SUMPRODUCT(INDEX('calcA'!$D$60:$EQ$99,B29,0),$DB29:$IO29,$IQ29:$OD29),SUMPRODUCT(INDEX('calcA'!$D$60:$EQ$99,B29,0),$DB29:$IO29))=0,1,0))</f>
        <v/>
      </c>
      <c r="X29">
        <f>MAX(X28,IF($B28=1,1,0))</f>
        <v/>
      </c>
      <c r="Y29">
        <f>MAX(Y28,IF($B28=2,1,0))</f>
        <v/>
      </c>
      <c r="Z29">
        <f>MAX(Z28,IF($B28=3,1,0))</f>
        <v/>
      </c>
      <c r="AA29">
        <f>MAX(AA28,IF($B28=4,1,0))</f>
        <v/>
      </c>
      <c r="AB29">
        <f>MAX(AB28,IF($B28=5,1,0))</f>
        <v/>
      </c>
      <c r="AC29">
        <f>MAX(AC28,IF($B28=6,1,0))</f>
        <v/>
      </c>
      <c r="AD29">
        <f>MAX(AD28,IF($B28=7,1,0))</f>
        <v/>
      </c>
      <c r="AE29">
        <f>MAX(AE28,IF($B28=8,1,0))</f>
        <v/>
      </c>
      <c r="AF29">
        <f>MAX(AF28,IF($B28=9,1,0))</f>
        <v/>
      </c>
      <c r="AG29">
        <f>MAX(AG28,IF($B28=10,1,0))</f>
        <v/>
      </c>
      <c r="AH29">
        <f>MAX(AH28,IF($B28=11,1,0))</f>
        <v/>
      </c>
      <c r="AI29">
        <f>MAX(AI28,IF($B28=12,1,0))</f>
        <v/>
      </c>
      <c r="AJ29">
        <f>MAX(AJ28,IF($B28=13,1,0))</f>
        <v/>
      </c>
      <c r="AK29">
        <f>MAX(AK28,IF($B28=14,1,0))</f>
        <v/>
      </c>
      <c r="AL29">
        <f>MAX(AL28,IF($B28=15,1,0))</f>
        <v/>
      </c>
      <c r="AM29">
        <f>MAX(AM28,IF($B28=16,1,0))</f>
        <v/>
      </c>
      <c r="AN29">
        <f>MAX(AN28,IF($B28=17,1,0))</f>
        <v/>
      </c>
      <c r="AO29">
        <f>MAX(AO28,IF($B28=18,1,0))</f>
        <v/>
      </c>
      <c r="AP29">
        <f>MAX(AP28,IF($B28=19,1,0))</f>
        <v/>
      </c>
      <c r="AQ29">
        <f>MAX(AQ28,IF($B28=20,1,0))</f>
        <v/>
      </c>
      <c r="AR29">
        <f>MAX(AR28,IF($B28=21,1,0))</f>
        <v/>
      </c>
      <c r="AS29">
        <f>MAX(AS28,IF($B28=22,1,0))</f>
        <v/>
      </c>
      <c r="AT29">
        <f>MAX(AT28,IF($B28=23,1,0))</f>
        <v/>
      </c>
      <c r="AU29">
        <f>MAX(AU28,IF($B28=24,1,0))</f>
        <v/>
      </c>
      <c r="AV29">
        <f>MAX(AV28,IF($B28=25,1,0))</f>
        <v/>
      </c>
      <c r="AW29">
        <f>MAX(AW28,IF($B28=26,1,0))</f>
        <v/>
      </c>
      <c r="AX29">
        <f>MAX(AX28,IF($B28=27,1,0))</f>
        <v/>
      </c>
      <c r="AY29">
        <f>MAX(AY28,IF($B28=28,1,0))</f>
        <v/>
      </c>
      <c r="AZ29">
        <f>MAX(AZ28,IF($B28=29,1,0))</f>
        <v/>
      </c>
      <c r="BA29">
        <f>MAX(BA28,IF($B28=30,1,0))</f>
        <v/>
      </c>
      <c r="BB29">
        <f>MAX(BB28,IF($B28=31,1,0))</f>
        <v/>
      </c>
      <c r="BC29">
        <f>MAX(BC28,IF($B28=32,1,0))</f>
        <v/>
      </c>
      <c r="BD29">
        <f>MAX(BD28,IF($B28=33,1,0))</f>
        <v/>
      </c>
      <c r="BE29">
        <f>MAX(BE28,IF($B28=34,1,0))</f>
        <v/>
      </c>
      <c r="BF29">
        <f>MAX(BF28,IF($B28=35,1,0))</f>
        <v/>
      </c>
      <c r="BG29">
        <f>MAX(BG28,IF($B28=36,1,0))</f>
        <v/>
      </c>
      <c r="BH29">
        <f>MAX(BH28,IF($B28=37,1,0))</f>
        <v/>
      </c>
      <c r="BI29">
        <f>MAX(BI28,IF($B28=38,1,0))</f>
        <v/>
      </c>
      <c r="BJ29">
        <f>MAX(BJ28,IF($B28=39,1,0))</f>
        <v/>
      </c>
      <c r="BK29">
        <f>MAX(BK28,IF($B28=40,1,0))</f>
        <v/>
      </c>
      <c r="BM29">
        <f>IF(OR(X29=1,calcA!$A$6=0),1000000000,IF('calcA'!$JF$10=1,0,100000000)+IF('calcA'!$IQ$10=2,SUMPRODUCT('calcA'!$D$60:$EQ$60,$DB29:$IO29,$IQ29:$OD29)*1000+SUMPRODUCT('calcA'!$D$60:$EQ$60,$DB29:$IO29+$ZQ29:$AFD29,$AFF29:$AKS29),SUMPRODUCT('calcA'!$D$60:$EQ$60,$DB29:$IO29*1001+$ZQ29:$AFD29))*100+1)</f>
        <v/>
      </c>
      <c r="BN29">
        <f>IF(OR(Y29=1,calcA!$A$6=0),1000000000,IF('calcA'!$JF$11=1,0,100000000)+IF('calcA'!$IQ$11=2,SUMPRODUCT('calcA'!$D$61:$EQ$61,$DB29:$IO29,$IQ29:$OD29)*1000+SUMPRODUCT('calcA'!$D$61:$EQ$61,$DB29:$IO29+$ZQ29:$AFD29,$AFF29:$AKS29),SUMPRODUCT('calcA'!$D$61:$EQ$61,$DB29:$IO29*1001+$ZQ29:$AFD29))*100+2)</f>
        <v/>
      </c>
      <c r="BO29">
        <f>IF(OR(Z29=1,calcA!$A$6=0),1000000000,IF('calcA'!$JF$12=1,0,100000000)+IF('calcA'!$IQ$12=2,SUMPRODUCT('calcA'!$D$62:$EQ$62,$DB29:$IO29,$IQ29:$OD29)*1000+SUMPRODUCT('calcA'!$D$62:$EQ$62,$DB29:$IO29+$ZQ29:$AFD29,$AFF29:$AKS29),SUMPRODUCT('calcA'!$D$62:$EQ$62,$DB29:$IO29*1001+$ZQ29:$AFD29))*100+3)</f>
        <v/>
      </c>
      <c r="BP29">
        <f>IF(OR(AA29=1,calcA!$A$6=0),1000000000,IF('calcA'!$JF$13=1,0,100000000)+IF('calcA'!$IQ$13=2,SUMPRODUCT('calcA'!$D$63:$EQ$63,$DB29:$IO29,$IQ29:$OD29)*1000+SUMPRODUCT('calcA'!$D$63:$EQ$63,$DB29:$IO29+$ZQ29:$AFD29,$AFF29:$AKS29),SUMPRODUCT('calcA'!$D$63:$EQ$63,$DB29:$IO29*1001+$ZQ29:$AFD29))*100+4)</f>
        <v/>
      </c>
      <c r="BQ29">
        <f>IF(OR(AB29=1,calcA!$A$6=0),1000000000,IF('calcA'!$JF$14=1,0,100000000)+IF('calcA'!$IQ$14=2,SUMPRODUCT('calcA'!$D$64:$EQ$64,$DB29:$IO29,$IQ29:$OD29)*1000+SUMPRODUCT('calcA'!$D$64:$EQ$64,$DB29:$IO29+$ZQ29:$AFD29,$AFF29:$AKS29),SUMPRODUCT('calcA'!$D$64:$EQ$64,$DB29:$IO29*1001+$ZQ29:$AFD29))*100+5)</f>
        <v/>
      </c>
      <c r="BR29">
        <f>IF(OR(AC29=1,calcA!$A$6=0),1000000000,IF('calcA'!$JF$15=1,0,100000000)+IF('calcA'!$IQ$15=2,SUMPRODUCT('calcA'!$D$65:$EQ$65,$DB29:$IO29,$IQ29:$OD29)*1000+SUMPRODUCT('calcA'!$D$65:$EQ$65,$DB29:$IO29+$ZQ29:$AFD29,$AFF29:$AKS29),SUMPRODUCT('calcA'!$D$65:$EQ$65,$DB29:$IO29*1001+$ZQ29:$AFD29))*100+6)</f>
        <v/>
      </c>
      <c r="BS29">
        <f>IF(OR(AD29=1,calcA!$A$6=0),1000000000,IF('calcA'!$JF$16=1,0,100000000)+IF('calcA'!$IQ$16=2,SUMPRODUCT('calcA'!$D$66:$EQ$66,$DB29:$IO29,$IQ29:$OD29)*1000+SUMPRODUCT('calcA'!$D$66:$EQ$66,$DB29:$IO29+$ZQ29:$AFD29,$AFF29:$AKS29),SUMPRODUCT('calcA'!$D$66:$EQ$66,$DB29:$IO29*1001+$ZQ29:$AFD29))*100+7)</f>
        <v/>
      </c>
      <c r="BT29">
        <f>IF(OR(AE29=1,calcA!$A$6=0),1000000000,IF('calcA'!$JF$17=1,0,100000000)+IF('calcA'!$IQ$17=2,SUMPRODUCT('calcA'!$D$67:$EQ$67,$DB29:$IO29,$IQ29:$OD29)*1000+SUMPRODUCT('calcA'!$D$67:$EQ$67,$DB29:$IO29+$ZQ29:$AFD29,$AFF29:$AKS29),SUMPRODUCT('calcA'!$D$67:$EQ$67,$DB29:$IO29*1001+$ZQ29:$AFD29))*100+8)</f>
        <v/>
      </c>
      <c r="BU29">
        <f>IF(OR(AF29=1,calcA!$A$6=0),1000000000,IF('calcA'!$JF$18=1,0,100000000)+IF('calcA'!$IQ$18=2,SUMPRODUCT('calcA'!$D$68:$EQ$68,$DB29:$IO29,$IQ29:$OD29)*1000+SUMPRODUCT('calcA'!$D$68:$EQ$68,$DB29:$IO29+$ZQ29:$AFD29,$AFF29:$AKS29),SUMPRODUCT('calcA'!$D$68:$EQ$68,$DB29:$IO29*1001+$ZQ29:$AFD29))*100+9)</f>
        <v/>
      </c>
      <c r="BV29">
        <f>IF(OR(AG29=1,calcA!$A$6=0),1000000000,IF('calcA'!$JF$19=1,0,100000000)+IF('calcA'!$IQ$19=2,SUMPRODUCT('calcA'!$D$69:$EQ$69,$DB29:$IO29,$IQ29:$OD29)*1000+SUMPRODUCT('calcA'!$D$69:$EQ$69,$DB29:$IO29+$ZQ29:$AFD29,$AFF29:$AKS29),SUMPRODUCT('calcA'!$D$69:$EQ$69,$DB29:$IO29*1001+$ZQ29:$AFD29))*100+10)</f>
        <v/>
      </c>
      <c r="BW29">
        <f>IF(OR(AH29=1,calcA!$A$6=0),1000000000,IF('calcA'!$JF$20=1,0,100000000)+IF('calcA'!$IQ$20=2,SUMPRODUCT('calcA'!$D$70:$EQ$70,$DB29:$IO29,$IQ29:$OD29)*1000+SUMPRODUCT('calcA'!$D$70:$EQ$70,$DB29:$IO29+$ZQ29:$AFD29,$AFF29:$AKS29),SUMPRODUCT('calcA'!$D$70:$EQ$70,$DB29:$IO29*1001+$ZQ29:$AFD29))*100+11)</f>
        <v/>
      </c>
      <c r="BX29">
        <f>IF(OR(AI29=1,calcA!$A$6=0),1000000000,IF('calcA'!$JF$21=1,0,100000000)+IF('calcA'!$IQ$21=2,SUMPRODUCT('calcA'!$D$71:$EQ$71,$DB29:$IO29,$IQ29:$OD29)*1000+SUMPRODUCT('calcA'!$D$71:$EQ$71,$DB29:$IO29+$ZQ29:$AFD29,$AFF29:$AKS29),SUMPRODUCT('calcA'!$D$71:$EQ$71,$DB29:$IO29*1001+$ZQ29:$AFD29))*100+12)</f>
        <v/>
      </c>
      <c r="BY29">
        <f>IF(OR(AJ29=1,calcA!$A$6=0),1000000000,IF('calcA'!$JF$22=1,0,100000000)+IF('calcA'!$IQ$22=2,SUMPRODUCT('calcA'!$D$72:$EQ$72,$DB29:$IO29,$IQ29:$OD29)*1000+SUMPRODUCT('calcA'!$D$72:$EQ$72,$DB29:$IO29+$ZQ29:$AFD29,$AFF29:$AKS29),SUMPRODUCT('calcA'!$D$72:$EQ$72,$DB29:$IO29*1001+$ZQ29:$AFD29))*100+13)</f>
        <v/>
      </c>
      <c r="BZ29">
        <f>IF(OR(AK29=1,calcA!$A$6=0),1000000000,IF('calcA'!$JF$23=1,0,100000000)+IF('calcA'!$IQ$23=2,SUMPRODUCT('calcA'!$D$73:$EQ$73,$DB29:$IO29,$IQ29:$OD29)*1000+SUMPRODUCT('calcA'!$D$73:$EQ$73,$DB29:$IO29+$ZQ29:$AFD29,$AFF29:$AKS29),SUMPRODUCT('calcA'!$D$73:$EQ$73,$DB29:$IO29*1001+$ZQ29:$AFD29))*100+14)</f>
        <v/>
      </c>
      <c r="CA29">
        <f>IF(OR(AL29=1,calcA!$A$6=0),1000000000,IF('calcA'!$JF$24=1,0,100000000)+IF('calcA'!$IQ$24=2,SUMPRODUCT('calcA'!$D$74:$EQ$74,$DB29:$IO29,$IQ29:$OD29)*1000+SUMPRODUCT('calcA'!$D$74:$EQ$74,$DB29:$IO29+$ZQ29:$AFD29,$AFF29:$AKS29),SUMPRODUCT('calcA'!$D$74:$EQ$74,$DB29:$IO29*1001+$ZQ29:$AFD29))*100+15)</f>
        <v/>
      </c>
      <c r="CB29">
        <f>IF(OR(AM29=1,calcA!$A$6=0),1000000000,IF('calcA'!$JF$25=1,0,100000000)+IF('calcA'!$IQ$25=2,SUMPRODUCT('calcA'!$D$75:$EQ$75,$DB29:$IO29,$IQ29:$OD29)*1000+SUMPRODUCT('calcA'!$D$75:$EQ$75,$DB29:$IO29+$ZQ29:$AFD29,$AFF29:$AKS29),SUMPRODUCT('calcA'!$D$75:$EQ$75,$DB29:$IO29*1001+$ZQ29:$AFD29))*100+16)</f>
        <v/>
      </c>
      <c r="CC29">
        <f>IF(OR(AN29=1,calcA!$A$6=0),1000000000,IF('calcA'!$JF$26=1,0,100000000)+IF('calcA'!$IQ$26=2,SUMPRODUCT('calcA'!$D$76:$EQ$76,$DB29:$IO29,$IQ29:$OD29)*1000+SUMPRODUCT('calcA'!$D$76:$EQ$76,$DB29:$IO29+$ZQ29:$AFD29,$AFF29:$AKS29),SUMPRODUCT('calcA'!$D$76:$EQ$76,$DB29:$IO29*1001+$ZQ29:$AFD29))*100+17)</f>
        <v/>
      </c>
      <c r="CD29">
        <f>IF(OR(AO29=1,calcA!$A$6=0),1000000000,IF('calcA'!$JF$27=1,0,100000000)+IF('calcA'!$IQ$27=2,SUMPRODUCT('calcA'!$D$77:$EQ$77,$DB29:$IO29,$IQ29:$OD29)*1000+SUMPRODUCT('calcA'!$D$77:$EQ$77,$DB29:$IO29+$ZQ29:$AFD29,$AFF29:$AKS29),SUMPRODUCT('calcA'!$D$77:$EQ$77,$DB29:$IO29*1001+$ZQ29:$AFD29))*100+18)</f>
        <v/>
      </c>
      <c r="CE29">
        <f>IF(OR(AP29=1,calcA!$A$6=0),1000000000,IF('calcA'!$JF$28=1,0,100000000)+IF('calcA'!$IQ$28=2,SUMPRODUCT('calcA'!$D$78:$EQ$78,$DB29:$IO29,$IQ29:$OD29)*1000+SUMPRODUCT('calcA'!$D$78:$EQ$78,$DB29:$IO29+$ZQ29:$AFD29,$AFF29:$AKS29),SUMPRODUCT('calcA'!$D$78:$EQ$78,$DB29:$IO29*1001+$ZQ29:$AFD29))*100+19)</f>
        <v/>
      </c>
      <c r="CF29">
        <f>IF(OR(AQ29=1,calcA!$A$6=0),1000000000,IF('calcA'!$JF$29=1,0,100000000)+IF('calcA'!$IQ$29=2,SUMPRODUCT('calcA'!$D$79:$EQ$79,$DB29:$IO29,$IQ29:$OD29)*1000+SUMPRODUCT('calcA'!$D$79:$EQ$79,$DB29:$IO29+$ZQ29:$AFD29,$AFF29:$AKS29),SUMPRODUCT('calcA'!$D$79:$EQ$79,$DB29:$IO29*1001+$ZQ29:$AFD29))*100+20)</f>
        <v/>
      </c>
      <c r="CG29">
        <f>IF(OR(AR29=1,calcA!$A$6=0),1000000000,IF('calcA'!$JF$30=1,0,100000000)+IF('calcA'!$IQ$30=2,SUMPRODUCT('calcA'!$D$80:$EQ$80,$DB29:$IO29,$IQ29:$OD29)*1000+SUMPRODUCT('calcA'!$D$80:$EQ$80,$DB29:$IO29+$ZQ29:$AFD29,$AFF29:$AKS29),SUMPRODUCT('calcA'!$D$80:$EQ$80,$DB29:$IO29*1001+$ZQ29:$AFD29))*100+21)</f>
        <v/>
      </c>
      <c r="CH29">
        <f>IF(OR(AS29=1,calcA!$A$6=0),1000000000,IF('calcA'!$JF$31=1,0,100000000)+IF('calcA'!$IQ$31=2,SUMPRODUCT('calcA'!$D$81:$EQ$81,$DB29:$IO29,$IQ29:$OD29)*1000+SUMPRODUCT('calcA'!$D$81:$EQ$81,$DB29:$IO29+$ZQ29:$AFD29,$AFF29:$AKS29),SUMPRODUCT('calcA'!$D$81:$EQ$81,$DB29:$IO29*1001+$ZQ29:$AFD29))*100+22)</f>
        <v/>
      </c>
      <c r="CI29">
        <f>IF(OR(AT29=1,calcA!$A$6=0),1000000000,IF('calcA'!$JF$32=1,0,100000000)+IF('calcA'!$IQ$32=2,SUMPRODUCT('calcA'!$D$82:$EQ$82,$DB29:$IO29,$IQ29:$OD29)*1000+SUMPRODUCT('calcA'!$D$82:$EQ$82,$DB29:$IO29+$ZQ29:$AFD29,$AFF29:$AKS29),SUMPRODUCT('calcA'!$D$82:$EQ$82,$DB29:$IO29*1001+$ZQ29:$AFD29))*100+23)</f>
        <v/>
      </c>
      <c r="CJ29">
        <f>IF(OR(AU29=1,calcA!$A$6=0),1000000000,IF('calcA'!$JF$33=1,0,100000000)+IF('calcA'!$IQ$33=2,SUMPRODUCT('calcA'!$D$83:$EQ$83,$DB29:$IO29,$IQ29:$OD29)*1000+SUMPRODUCT('calcA'!$D$83:$EQ$83,$DB29:$IO29+$ZQ29:$AFD29,$AFF29:$AKS29),SUMPRODUCT('calcA'!$D$83:$EQ$83,$DB29:$IO29*1001+$ZQ29:$AFD29))*100+24)</f>
        <v/>
      </c>
      <c r="CK29">
        <f>IF(OR(AV29=1,calcA!$A$6=0),1000000000,IF('calcA'!$JF$34=1,0,100000000)+IF('calcA'!$IQ$34=2,SUMPRODUCT('calcA'!$D$84:$EQ$84,$DB29:$IO29,$IQ29:$OD29)*1000+SUMPRODUCT('calcA'!$D$84:$EQ$84,$DB29:$IO29+$ZQ29:$AFD29,$AFF29:$AKS29),SUMPRODUCT('calcA'!$D$84:$EQ$84,$DB29:$IO29*1001+$ZQ29:$AFD29))*100+25)</f>
        <v/>
      </c>
      <c r="CL29">
        <f>IF(OR(AW29=1,calcA!$A$6=0),1000000000,IF('calcA'!$JF$35=1,0,100000000)+IF('calcA'!$IQ$35=2,SUMPRODUCT('calcA'!$D$85:$EQ$85,$DB29:$IO29,$IQ29:$OD29)*1000+SUMPRODUCT('calcA'!$D$85:$EQ$85,$DB29:$IO29+$ZQ29:$AFD29,$AFF29:$AKS29),SUMPRODUCT('calcA'!$D$85:$EQ$85,$DB29:$IO29*1001+$ZQ29:$AFD29))*100+26)</f>
        <v/>
      </c>
      <c r="CM29">
        <f>IF(OR(AX29=1,calcA!$A$6=0),1000000000,IF('calcA'!$JF$36=1,0,100000000)+IF('calcA'!$IQ$36=2,SUMPRODUCT('calcA'!$D$86:$EQ$86,$DB29:$IO29,$IQ29:$OD29)*1000+SUMPRODUCT('calcA'!$D$86:$EQ$86,$DB29:$IO29+$ZQ29:$AFD29,$AFF29:$AKS29),SUMPRODUCT('calcA'!$D$86:$EQ$86,$DB29:$IO29*1001+$ZQ29:$AFD29))*100+27)</f>
        <v/>
      </c>
      <c r="CN29">
        <f>IF(OR(AY29=1,calcA!$A$6=0),1000000000,IF('calcA'!$JF$37=1,0,100000000)+IF('calcA'!$IQ$37=2,SUMPRODUCT('calcA'!$D$87:$EQ$87,$DB29:$IO29,$IQ29:$OD29)*1000+SUMPRODUCT('calcA'!$D$87:$EQ$87,$DB29:$IO29+$ZQ29:$AFD29,$AFF29:$AKS29),SUMPRODUCT('calcA'!$D$87:$EQ$87,$DB29:$IO29*1001+$ZQ29:$AFD29))*100+28)</f>
        <v/>
      </c>
      <c r="CO29">
        <f>IF(OR(AZ29=1,calcA!$A$6=0),1000000000,IF('calcA'!$JF$38=1,0,100000000)+IF('calcA'!$IQ$38=2,SUMPRODUCT('calcA'!$D$88:$EQ$88,$DB29:$IO29,$IQ29:$OD29)*1000+SUMPRODUCT('calcA'!$D$88:$EQ$88,$DB29:$IO29+$ZQ29:$AFD29,$AFF29:$AKS29),SUMPRODUCT('calcA'!$D$88:$EQ$88,$DB29:$IO29*1001+$ZQ29:$AFD29))*100+29)</f>
        <v/>
      </c>
      <c r="CP29">
        <f>IF(OR(BA29=1,calcA!$A$6=0),1000000000,IF('calcA'!$JF$39=1,0,100000000)+IF('calcA'!$IQ$39=2,SUMPRODUCT('calcA'!$D$89:$EQ$89,$DB29:$IO29,$IQ29:$OD29)*1000+SUMPRODUCT('calcA'!$D$89:$EQ$89,$DB29:$IO29+$ZQ29:$AFD29,$AFF29:$AKS29),SUMPRODUCT('calcA'!$D$89:$EQ$89,$DB29:$IO29*1001+$ZQ29:$AFD29))*100+30)</f>
        <v/>
      </c>
      <c r="CQ29">
        <f>IF(OR(BB29=1,calcA!$A$6=0),1000000000,IF('calcA'!$JF$40=1,0,100000000)+IF('calcA'!$IQ$40=2,SUMPRODUCT('calcA'!$D$90:$EQ$90,$DB29:$IO29,$IQ29:$OD29)*1000+SUMPRODUCT('calcA'!$D$90:$EQ$90,$DB29:$IO29+$ZQ29:$AFD29,$AFF29:$AKS29),SUMPRODUCT('calcA'!$D$90:$EQ$90,$DB29:$IO29*1001+$ZQ29:$AFD29))*100+31)</f>
        <v/>
      </c>
      <c r="CR29">
        <f>IF(OR(BC29=1,calcA!$A$6=0),1000000000,IF('calcA'!$JF$41=1,0,100000000)+IF('calcA'!$IQ$41=2,SUMPRODUCT('calcA'!$D$91:$EQ$91,$DB29:$IO29,$IQ29:$OD29)*1000+SUMPRODUCT('calcA'!$D$91:$EQ$91,$DB29:$IO29+$ZQ29:$AFD29,$AFF29:$AKS29),SUMPRODUCT('calcA'!$D$91:$EQ$91,$DB29:$IO29*1001+$ZQ29:$AFD29))*100+32)</f>
        <v/>
      </c>
      <c r="CS29">
        <f>IF(OR(BD29=1,calcA!$A$6=0),1000000000,IF('calcA'!$JF$42=1,0,100000000)+IF('calcA'!$IQ$42=2,SUMPRODUCT('calcA'!$D$92:$EQ$92,$DB29:$IO29,$IQ29:$OD29)*1000+SUMPRODUCT('calcA'!$D$92:$EQ$92,$DB29:$IO29+$ZQ29:$AFD29,$AFF29:$AKS29),SUMPRODUCT('calcA'!$D$92:$EQ$92,$DB29:$IO29*1001+$ZQ29:$AFD29))*100+33)</f>
        <v/>
      </c>
      <c r="CT29">
        <f>IF(OR(BE29=1,calcA!$A$6=0),1000000000,IF('calcA'!$JF$43=1,0,100000000)+IF('calcA'!$IQ$43=2,SUMPRODUCT('calcA'!$D$93:$EQ$93,$DB29:$IO29,$IQ29:$OD29)*1000+SUMPRODUCT('calcA'!$D$93:$EQ$93,$DB29:$IO29+$ZQ29:$AFD29,$AFF29:$AKS29),SUMPRODUCT('calcA'!$D$93:$EQ$93,$DB29:$IO29*1001+$ZQ29:$AFD29))*100+34)</f>
        <v/>
      </c>
      <c r="CU29">
        <f>IF(OR(BF29=1,calcA!$A$6=0),1000000000,IF('calcA'!$JF$44=1,0,100000000)+IF('calcA'!$IQ$44=2,SUMPRODUCT('calcA'!$D$94:$EQ$94,$DB29:$IO29,$IQ29:$OD29)*1000+SUMPRODUCT('calcA'!$D$94:$EQ$94,$DB29:$IO29+$ZQ29:$AFD29,$AFF29:$AKS29),SUMPRODUCT('calcA'!$D$94:$EQ$94,$DB29:$IO29*1001+$ZQ29:$AFD29))*100+35)</f>
        <v/>
      </c>
      <c r="CV29">
        <f>IF(OR(BG29=1,calcA!$A$6=0),1000000000,IF('calcA'!$JF$45=1,0,100000000)+IF('calcA'!$IQ$45=2,SUMPRODUCT('calcA'!$D$95:$EQ$95,$DB29:$IO29,$IQ29:$OD29)*1000+SUMPRODUCT('calcA'!$D$95:$EQ$95,$DB29:$IO29+$ZQ29:$AFD29,$AFF29:$AKS29),SUMPRODUCT('calcA'!$D$95:$EQ$95,$DB29:$IO29*1001+$ZQ29:$AFD29))*100+36)</f>
        <v/>
      </c>
      <c r="CW29">
        <f>IF(OR(BH29=1,calcA!$A$6=0),1000000000,IF('calcA'!$JF$46=1,0,100000000)+IF('calcA'!$IQ$46=2,SUMPRODUCT('calcA'!$D$96:$EQ$96,$DB29:$IO29,$IQ29:$OD29)*1000+SUMPRODUCT('calcA'!$D$96:$EQ$96,$DB29:$IO29+$ZQ29:$AFD29,$AFF29:$AKS29),SUMPRODUCT('calcA'!$D$96:$EQ$96,$DB29:$IO29*1001+$ZQ29:$AFD29))*100+37)</f>
        <v/>
      </c>
      <c r="CX29">
        <f>IF(OR(BI29=1,calcA!$A$6=0),1000000000,IF('calcA'!$JF$47=1,0,100000000)+IF('calcA'!$IQ$47=2,SUMPRODUCT('calcA'!$D$97:$EQ$97,$DB29:$IO29,$IQ29:$OD29)*1000+SUMPRODUCT('calcA'!$D$97:$EQ$97,$DB29:$IO29+$ZQ29:$AFD29,$AFF29:$AKS29),SUMPRODUCT('calcA'!$D$97:$EQ$97,$DB29:$IO29*1001+$ZQ29:$AFD29))*100+38)</f>
        <v/>
      </c>
      <c r="CY29">
        <f>IF(OR(BJ29=1,calcA!$A$6=0),1000000000,IF('calcA'!$JF$48=1,0,100000000)+IF('calcA'!$IQ$48=2,SUMPRODUCT('calcA'!$D$98:$EQ$98,$DB29:$IO29,$IQ29:$OD29)*1000+SUMPRODUCT('calcA'!$D$98:$EQ$98,$DB29:$IO29+$ZQ29:$AFD29,$AFF29:$AKS29),SUMPRODUCT('calcA'!$D$98:$EQ$98,$DB29:$IO29*1001+$ZQ29:$AFD29))*100+39)</f>
        <v/>
      </c>
      <c r="CZ29">
        <f>IF(OR(BK29=1,calcA!$A$6=0),1000000000,IF('calcA'!$JF$49=1,0,100000000)+IF('calcA'!$IQ$49=2,SUMPRODUCT('calcA'!$D$99:$EQ$99,$DB29:$IO29,$IQ29:$OD29)*1000+SUMPRODUCT('calcA'!$D$99:$EQ$99,$DB29:$IO29+$ZQ29:$AFD29,$AFF29:$AKS29),SUMPRODUCT('calcA'!$D$99:$EQ$99,$DB29:$IO29*1001+$ZQ29:$AFD29))*100+40)</f>
        <v/>
      </c>
      <c r="DB29">
        <f>DB28*IF(OR($C28=1,$G28=1),0,1)</f>
        <v/>
      </c>
      <c r="DC29">
        <f>DC28*IF(OR($C28=2,$G28=2),0,1)</f>
        <v/>
      </c>
      <c r="DD29">
        <f>DD28*IF(OR($C28=3,$G28=3),0,1)</f>
        <v/>
      </c>
      <c r="DE29">
        <f>DE28*IF(OR($C28=4,$G28=4),0,1)</f>
        <v/>
      </c>
      <c r="DF29">
        <f>DF28*IF(OR($C28=5,$G28=5),0,1)</f>
        <v/>
      </c>
      <c r="DG29">
        <f>DG28*IF(OR($C28=6,$G28=6),0,1)</f>
        <v/>
      </c>
      <c r="DH29">
        <f>DH28*IF(OR($C28=7,$G28=7),0,1)</f>
        <v/>
      </c>
      <c r="DI29">
        <f>DI28*IF(OR($C28=8,$G28=8),0,1)</f>
        <v/>
      </c>
      <c r="DJ29">
        <f>DJ28*IF(OR($C28=9,$G28=9),0,1)</f>
        <v/>
      </c>
      <c r="DK29">
        <f>DK28*IF(OR($C28=10,$G28=10),0,1)</f>
        <v/>
      </c>
      <c r="DL29">
        <f>DL28*IF(OR($C28=11,$G28=11),0,1)</f>
        <v/>
      </c>
      <c r="DM29">
        <f>DM28*IF(OR($C28=12,$G28=12),0,1)</f>
        <v/>
      </c>
      <c r="DN29">
        <f>DN28*IF(OR($C28=13,$G28=13),0,1)</f>
        <v/>
      </c>
      <c r="DO29">
        <f>DO28*IF(OR($C28=14,$G28=14),0,1)</f>
        <v/>
      </c>
      <c r="DP29">
        <f>DP28*IF(OR($C28=15,$G28=15),0,1)</f>
        <v/>
      </c>
      <c r="DQ29">
        <f>DQ28*IF(OR($C28=16,$G28=16),0,1)</f>
        <v/>
      </c>
      <c r="DR29">
        <f>DR28*IF(OR($C28=17,$G28=17),0,1)</f>
        <v/>
      </c>
      <c r="DS29">
        <f>DS28*IF(OR($C28=18,$G28=18),0,1)</f>
        <v/>
      </c>
      <c r="DT29">
        <f>DT28*IF(OR($C28=19,$G28=19),0,1)</f>
        <v/>
      </c>
      <c r="DU29">
        <f>DU28*IF(OR($C28=20,$G28=20),0,1)</f>
        <v/>
      </c>
      <c r="DV29">
        <f>DV28*IF(OR($C28=21,$G28=21),0,1)</f>
        <v/>
      </c>
      <c r="DW29">
        <f>DW28*IF(OR($C28=22,$G28=22),0,1)</f>
        <v/>
      </c>
      <c r="DX29">
        <f>DX28*IF(OR($C28=23,$G28=23),0,1)</f>
        <v/>
      </c>
      <c r="DY29">
        <f>DY28*IF(OR($C28=24,$G28=24),0,1)</f>
        <v/>
      </c>
      <c r="DZ29">
        <f>DZ28*IF(OR($C28=25,$G28=25),0,1)</f>
        <v/>
      </c>
      <c r="EA29">
        <f>EA28*IF(OR($C28=26,$G28=26),0,1)</f>
        <v/>
      </c>
      <c r="EB29">
        <f>EB28*IF(OR($C28=27,$G28=27),0,1)</f>
        <v/>
      </c>
      <c r="EC29">
        <f>EC28*IF(OR($C28=28,$G28=28),0,1)</f>
        <v/>
      </c>
      <c r="ED29">
        <f>ED28*IF(OR($C28=29,$G28=29),0,1)</f>
        <v/>
      </c>
      <c r="EE29">
        <f>EE28*IF(OR($C28=30,$G28=30),0,1)</f>
        <v/>
      </c>
      <c r="EF29">
        <f>EF28*IF(OR($C28=31,$G28=31),0,1)</f>
        <v/>
      </c>
      <c r="EG29">
        <f>EG28*IF(OR($C28=32,$G28=32),0,1)</f>
        <v/>
      </c>
      <c r="EH29">
        <f>EH28*IF(OR($C28=33,$G28=33),0,1)</f>
        <v/>
      </c>
      <c r="EI29">
        <f>EI28*IF(OR($C28=34,$G28=34),0,1)</f>
        <v/>
      </c>
      <c r="EJ29">
        <f>EJ28*IF(OR($C28=35,$G28=35),0,1)</f>
        <v/>
      </c>
      <c r="EK29">
        <f>EK28*IF(OR($C28=36,$G28=36),0,1)</f>
        <v/>
      </c>
      <c r="EL29">
        <f>EL28*IF(OR($C28=37,$G28=37),0,1)</f>
        <v/>
      </c>
      <c r="EM29">
        <f>EM28*IF(OR($C28=38,$G28=38),0,1)</f>
        <v/>
      </c>
      <c r="EN29">
        <f>EN28*IF(OR($C28=39,$G28=39),0,1)</f>
        <v/>
      </c>
      <c r="EO29">
        <f>EO28*IF(OR($C28=40,$G28=40),0,1)</f>
        <v/>
      </c>
      <c r="EP29">
        <f>EP28*IF(OR($C28=41,$G28=41),0,1)</f>
        <v/>
      </c>
      <c r="EQ29">
        <f>EQ28*IF(OR($C28=42,$G28=42),0,1)</f>
        <v/>
      </c>
      <c r="ER29">
        <f>ER28*IF(OR($C28=43,$G28=43),0,1)</f>
        <v/>
      </c>
      <c r="ES29">
        <f>ES28*IF(OR($C28=44,$G28=44),0,1)</f>
        <v/>
      </c>
      <c r="ET29">
        <f>ET28*IF(OR($C28=45,$G28=45),0,1)</f>
        <v/>
      </c>
      <c r="EU29">
        <f>EU28*IF(OR($C28=46,$G28=46),0,1)</f>
        <v/>
      </c>
      <c r="EV29">
        <f>EV28*IF(OR($C28=47,$G28=47),0,1)</f>
        <v/>
      </c>
      <c r="EW29">
        <f>EW28*IF(OR($C28=48,$G28=48),0,1)</f>
        <v/>
      </c>
      <c r="EX29">
        <f>EX28*IF(OR($C28=49,$G28=49),0,1)</f>
        <v/>
      </c>
      <c r="EY29">
        <f>EY28*IF(OR($C28=50,$G28=50),0,1)</f>
        <v/>
      </c>
      <c r="EZ29">
        <f>EZ28*IF(OR($C28=51,$G28=51),0,1)</f>
        <v/>
      </c>
      <c r="FA29">
        <f>FA28*IF(OR($C28=52,$G28=52),0,1)</f>
        <v/>
      </c>
      <c r="FB29">
        <f>FB28*IF(OR($C28=53,$G28=53),0,1)</f>
        <v/>
      </c>
      <c r="FC29">
        <f>FC28*IF(OR($C28=54,$G28=54),0,1)</f>
        <v/>
      </c>
      <c r="FD29">
        <f>FD28*IF(OR($C28=55,$G28=55),0,1)</f>
        <v/>
      </c>
      <c r="FE29">
        <f>FE28*IF(OR($C28=56,$G28=56),0,1)</f>
        <v/>
      </c>
      <c r="FF29">
        <f>FF28*IF(OR($C28=57,$G28=57),0,1)</f>
        <v/>
      </c>
      <c r="FG29">
        <f>FG28*IF(OR($C28=58,$G28=58),0,1)</f>
        <v/>
      </c>
      <c r="FH29">
        <f>FH28*IF(OR($C28=59,$G28=59),0,1)</f>
        <v/>
      </c>
      <c r="FI29">
        <f>FI28*IF(OR($C28=60,$G28=60),0,1)</f>
        <v/>
      </c>
      <c r="FJ29">
        <f>FJ28*IF(OR($C28=61,$G28=61),0,1)</f>
        <v/>
      </c>
      <c r="FK29">
        <f>FK28*IF(OR($C28=62,$G28=62),0,1)</f>
        <v/>
      </c>
      <c r="FL29">
        <f>FL28*IF(OR($C28=63,$G28=63),0,1)</f>
        <v/>
      </c>
      <c r="FM29">
        <f>FM28*IF(OR($C28=64,$G28=64),0,1)</f>
        <v/>
      </c>
      <c r="FN29">
        <f>FN28*IF(OR($C28=65,$G28=65),0,1)</f>
        <v/>
      </c>
      <c r="FO29">
        <f>FO28*IF(OR($C28=66,$G28=66),0,1)</f>
        <v/>
      </c>
      <c r="FP29">
        <f>FP28*IF(OR($C28=67,$G28=67),0,1)</f>
        <v/>
      </c>
      <c r="FQ29">
        <f>FQ28*IF(OR($C28=68,$G28=68),0,1)</f>
        <v/>
      </c>
      <c r="FR29">
        <f>FR28*IF(OR($C28=69,$G28=69),0,1)</f>
        <v/>
      </c>
      <c r="FS29">
        <f>FS28*IF(OR($C28=70,$G28=70),0,1)</f>
        <v/>
      </c>
      <c r="FT29">
        <f>FT28*IF(OR($C28=71,$G28=71),0,1)</f>
        <v/>
      </c>
      <c r="FU29">
        <f>FU28*IF(OR($C28=72,$G28=72),0,1)</f>
        <v/>
      </c>
      <c r="FV29">
        <f>FV28*IF(OR($C28=73,$G28=73),0,1)</f>
        <v/>
      </c>
      <c r="FW29">
        <f>FW28*IF(OR($C28=74,$G28=74),0,1)</f>
        <v/>
      </c>
      <c r="FX29">
        <f>FX28*IF(OR($C28=75,$G28=75),0,1)</f>
        <v/>
      </c>
      <c r="FY29">
        <f>FY28*IF(OR($C28=76,$G28=76),0,1)</f>
        <v/>
      </c>
      <c r="FZ29">
        <f>FZ28*IF(OR($C28=77,$G28=77),0,1)</f>
        <v/>
      </c>
      <c r="GA29">
        <f>GA28*IF(OR($C28=78,$G28=78),0,1)</f>
        <v/>
      </c>
      <c r="GB29">
        <f>GB28*IF(OR($C28=79,$G28=79),0,1)</f>
        <v/>
      </c>
      <c r="GC29">
        <f>GC28*IF(OR($C28=80,$G28=80),0,1)</f>
        <v/>
      </c>
      <c r="GD29">
        <f>GD28*IF(OR($C28=81,$G28=81),0,1)</f>
        <v/>
      </c>
      <c r="GE29">
        <f>GE28*IF(OR($C28=82,$G28=82),0,1)</f>
        <v/>
      </c>
      <c r="GF29">
        <f>GF28*IF(OR($C28=83,$G28=83),0,1)</f>
        <v/>
      </c>
      <c r="GG29">
        <f>GG28*IF(OR($C28=84,$G28=84),0,1)</f>
        <v/>
      </c>
      <c r="GH29">
        <f>GH28*IF(OR($C28=85,$G28=85),0,1)</f>
        <v/>
      </c>
      <c r="GI29">
        <f>GI28*IF(OR($C28=86,$G28=86),0,1)</f>
        <v/>
      </c>
      <c r="GJ29">
        <f>GJ28*IF(OR($C28=87,$G28=87),0,1)</f>
        <v/>
      </c>
      <c r="GK29">
        <f>GK28*IF(OR($C28=88,$G28=88),0,1)</f>
        <v/>
      </c>
      <c r="GL29">
        <f>GL28*IF(OR($C28=89,$G28=89),0,1)</f>
        <v/>
      </c>
      <c r="GM29">
        <f>GM28*IF(OR($C28=90,$G28=90),0,1)</f>
        <v/>
      </c>
      <c r="GN29">
        <f>GN28*IF(OR($C28=91,$G28=91),0,1)</f>
        <v/>
      </c>
      <c r="GO29">
        <f>GO28*IF(OR($C28=92,$G28=92),0,1)</f>
        <v/>
      </c>
      <c r="GP29">
        <f>GP28*IF(OR($C28=93,$G28=93),0,1)</f>
        <v/>
      </c>
      <c r="GQ29">
        <f>GQ28*IF(OR($C28=94,$G28=94),0,1)</f>
        <v/>
      </c>
      <c r="GR29">
        <f>GR28*IF(OR($C28=95,$G28=95),0,1)</f>
        <v/>
      </c>
      <c r="GS29">
        <f>GS28*IF(OR($C28=96,$G28=96),0,1)</f>
        <v/>
      </c>
      <c r="GT29">
        <f>GT28*IF(OR($C28=97,$G28=97),0,1)</f>
        <v/>
      </c>
      <c r="GU29">
        <f>GU28*IF(OR($C28=98,$G28=98),0,1)</f>
        <v/>
      </c>
      <c r="GV29">
        <f>GV28*IF(OR($C28=99,$G28=99),0,1)</f>
        <v/>
      </c>
      <c r="GW29">
        <f>GW28*IF(OR($C28=100,$G28=100),0,1)</f>
        <v/>
      </c>
      <c r="GX29">
        <f>GX28*IF(OR($C28=101,$G28=101),0,1)</f>
        <v/>
      </c>
      <c r="GY29">
        <f>GY28*IF(OR($C28=102,$G28=102),0,1)</f>
        <v/>
      </c>
      <c r="GZ29">
        <f>GZ28*IF(OR($C28=103,$G28=103),0,1)</f>
        <v/>
      </c>
      <c r="HA29">
        <f>HA28*IF(OR($C28=104,$G28=104),0,1)</f>
        <v/>
      </c>
      <c r="HB29">
        <f>HB28*IF(OR($C28=105,$G28=105),0,1)</f>
        <v/>
      </c>
      <c r="HC29">
        <f>HC28*IF(OR($C28=106,$G28=106),0,1)</f>
        <v/>
      </c>
      <c r="HD29">
        <f>HD28*IF(OR($C28=107,$G28=107),0,1)</f>
        <v/>
      </c>
      <c r="HE29">
        <f>HE28*IF(OR($C28=108,$G28=108),0,1)</f>
        <v/>
      </c>
      <c r="HF29">
        <f>HF28*IF(OR($C28=109,$G28=109),0,1)</f>
        <v/>
      </c>
      <c r="HG29">
        <f>HG28*IF(OR($C28=110,$G28=110),0,1)</f>
        <v/>
      </c>
      <c r="HH29">
        <f>HH28*IF(OR($C28=111,$G28=111),0,1)</f>
        <v/>
      </c>
      <c r="HI29">
        <f>HI28*IF(OR($C28=112,$G28=112),0,1)</f>
        <v/>
      </c>
      <c r="HJ29">
        <f>HJ28*IF(OR($C28=113,$G28=113),0,1)</f>
        <v/>
      </c>
      <c r="HK29">
        <f>HK28*IF(OR($C28=114,$G28=114),0,1)</f>
        <v/>
      </c>
      <c r="HL29">
        <f>HL28*IF(OR($C28=115,$G28=115),0,1)</f>
        <v/>
      </c>
      <c r="HM29">
        <f>HM28*IF(OR($C28=116,$G28=116),0,1)</f>
        <v/>
      </c>
      <c r="HN29">
        <f>HN28*IF(OR($C28=117,$G28=117),0,1)</f>
        <v/>
      </c>
      <c r="HO29">
        <f>HO28*IF(OR($C28=118,$G28=118),0,1)</f>
        <v/>
      </c>
      <c r="HP29">
        <f>HP28*IF(OR($C28=119,$G28=119),0,1)</f>
        <v/>
      </c>
      <c r="HQ29">
        <f>HQ28*IF(OR($C28=120,$G28=120),0,1)</f>
        <v/>
      </c>
      <c r="HR29">
        <f>HR28*IF(OR($C28=121,$G28=121),0,1)</f>
        <v/>
      </c>
      <c r="HS29">
        <f>HS28*IF(OR($C28=122,$G28=122),0,1)</f>
        <v/>
      </c>
      <c r="HT29">
        <f>HT28*IF(OR($C28=123,$G28=123),0,1)</f>
        <v/>
      </c>
      <c r="HU29">
        <f>HU28*IF(OR($C28=124,$G28=124),0,1)</f>
        <v/>
      </c>
      <c r="HV29">
        <f>HV28*IF(OR($C28=125,$G28=125),0,1)</f>
        <v/>
      </c>
      <c r="HW29">
        <f>HW28*IF(OR($C28=126,$G28=126),0,1)</f>
        <v/>
      </c>
      <c r="HX29">
        <f>HX28*IF(OR($C28=127,$G28=127),0,1)</f>
        <v/>
      </c>
      <c r="HY29">
        <f>HY28*IF(OR($C28=128,$G28=128),0,1)</f>
        <v/>
      </c>
      <c r="HZ29">
        <f>HZ28*IF(OR($C28=129,$G28=129),0,1)</f>
        <v/>
      </c>
      <c r="IA29">
        <f>IA28*IF(OR($C28=130,$G28=130),0,1)</f>
        <v/>
      </c>
      <c r="IB29">
        <f>IB28*IF(OR($C28=131,$G28=131),0,1)</f>
        <v/>
      </c>
      <c r="IC29">
        <f>IC28*IF(OR($C28=132,$G28=132),0,1)</f>
        <v/>
      </c>
      <c r="ID29">
        <f>ID28*IF(OR($C28=133,$G28=133),0,1)</f>
        <v/>
      </c>
      <c r="IE29">
        <f>IE28*IF(OR($C28=134,$G28=134),0,1)</f>
        <v/>
      </c>
      <c r="IF29">
        <f>IF28*IF(OR($C28=135,$G28=135),0,1)</f>
        <v/>
      </c>
      <c r="IG29">
        <f>IG28*IF(OR($C28=136,$G28=136),0,1)</f>
        <v/>
      </c>
      <c r="IH29">
        <f>IH28*IF(OR($C28=137,$G28=137),0,1)</f>
        <v/>
      </c>
      <c r="II29">
        <f>II28*IF(OR($C28=138,$G28=138),0,1)</f>
        <v/>
      </c>
      <c r="IJ29">
        <f>IJ28*IF(OR($C28=139,$G28=139),0,1)</f>
        <v/>
      </c>
      <c r="IK29">
        <f>IK28*IF(OR($C28=140,$G28=140),0,1)</f>
        <v/>
      </c>
      <c r="IL29">
        <f>IL28*IF(OR($C28=141,$G28=141),0,1)</f>
        <v/>
      </c>
      <c r="IM29">
        <f>IM28*IF(OR($C28=142,$G28=142),0,1)</f>
        <v/>
      </c>
      <c r="IN29">
        <f>IN28*IF(OR($C28=143,$G28=143),0,1)</f>
        <v/>
      </c>
      <c r="IO29">
        <f>IO28*IF(OR($C28=144,$G28=144),0,1)</f>
        <v/>
      </c>
      <c r="IQ29">
        <f>IF('calcA'!D$106=1,DC29,1)</f>
        <v/>
      </c>
      <c r="IR29">
        <f>IF('calcA'!E$106=1,DD29,1)</f>
        <v/>
      </c>
      <c r="IS29">
        <f>IF('calcA'!F$106=1,DE29,1)</f>
        <v/>
      </c>
      <c r="IT29">
        <f>IF('calcA'!G$106=1,DF29,1)</f>
        <v/>
      </c>
      <c r="IU29">
        <f>IF('calcA'!H$106=1,DG29,1)</f>
        <v/>
      </c>
      <c r="IV29">
        <f>IF('calcA'!I$106=1,DH29,1)</f>
        <v/>
      </c>
      <c r="IW29">
        <f>IF('calcA'!J$106=1,DI29,1)</f>
        <v/>
      </c>
      <c r="IX29">
        <f>IF('calcA'!K$106=1,DJ29,1)</f>
        <v/>
      </c>
      <c r="IY29">
        <f>IF('calcA'!L$106=1,DK29,1)</f>
        <v/>
      </c>
      <c r="IZ29">
        <f>IF('calcA'!M$106=1,DL29,1)</f>
        <v/>
      </c>
      <c r="JA29">
        <f>IF('calcA'!N$106=1,DM29,1)</f>
        <v/>
      </c>
      <c r="JB29">
        <f>IF('calcA'!O$106=1,DN29,1)</f>
        <v/>
      </c>
      <c r="JC29">
        <f>IF('calcA'!P$106=1,DO29,1)</f>
        <v/>
      </c>
      <c r="JD29">
        <f>IF('calcA'!Q$106=1,DP29,1)</f>
        <v/>
      </c>
      <c r="JE29">
        <f>IF('calcA'!R$106=1,DQ29,1)</f>
        <v/>
      </c>
      <c r="JF29">
        <f>IF('calcA'!S$106=1,DR29,1)</f>
        <v/>
      </c>
      <c r="JG29">
        <f>IF('calcA'!T$106=1,DS29,1)</f>
        <v/>
      </c>
      <c r="JH29">
        <f>IF('calcA'!U$106=1,DT29,1)</f>
        <v/>
      </c>
      <c r="JI29">
        <f>IF('calcA'!V$106=1,DU29,1)</f>
        <v/>
      </c>
      <c r="JJ29">
        <f>IF('calcA'!W$106=1,DV29,1)</f>
        <v/>
      </c>
      <c r="JK29">
        <f>IF('calcA'!X$106=1,DW29,1)</f>
        <v/>
      </c>
      <c r="JL29">
        <f>IF('calcA'!Y$106=1,DX29,1)</f>
        <v/>
      </c>
      <c r="JM29">
        <f>IF('calcA'!Z$106=1,DY29,1)</f>
        <v/>
      </c>
      <c r="JN29">
        <f>IF('calcA'!AA$106=1,DZ29,1)</f>
        <v/>
      </c>
      <c r="JO29">
        <f>IF('calcA'!AB$106=1,EA29,1)</f>
        <v/>
      </c>
      <c r="JP29">
        <f>IF('calcA'!AC$106=1,EB29,1)</f>
        <v/>
      </c>
      <c r="JQ29">
        <f>IF('calcA'!AD$106=1,EC29,1)</f>
        <v/>
      </c>
      <c r="JR29">
        <f>IF('calcA'!AE$106=1,ED29,1)</f>
        <v/>
      </c>
      <c r="JS29">
        <f>IF('calcA'!AF$106=1,EE29,1)</f>
        <v/>
      </c>
      <c r="JT29">
        <f>IF('calcA'!AG$106=1,EF29,1)</f>
        <v/>
      </c>
      <c r="JU29">
        <f>IF('calcA'!AH$106=1,EG29,1)</f>
        <v/>
      </c>
      <c r="JV29">
        <f>IF('calcA'!AI$106=1,EH29,1)</f>
        <v/>
      </c>
      <c r="JW29">
        <f>IF('calcA'!AJ$106=1,EI29,1)</f>
        <v/>
      </c>
      <c r="JX29">
        <f>IF('calcA'!AK$106=1,EJ29,1)</f>
        <v/>
      </c>
      <c r="JY29">
        <f>IF('calcA'!AL$106=1,EK29,1)</f>
        <v/>
      </c>
      <c r="JZ29">
        <f>IF('calcA'!AM$106=1,EL29,1)</f>
        <v/>
      </c>
      <c r="KA29">
        <f>IF('calcA'!AN$106=1,EM29,1)</f>
        <v/>
      </c>
      <c r="KB29">
        <f>IF('calcA'!AO$106=1,EN29,1)</f>
        <v/>
      </c>
      <c r="KC29">
        <f>IF('calcA'!AP$106=1,EO29,1)</f>
        <v/>
      </c>
      <c r="KD29">
        <f>IF('calcA'!AQ$106=1,EP29,1)</f>
        <v/>
      </c>
      <c r="KE29">
        <f>IF('calcA'!AR$106=1,EQ29,1)</f>
        <v/>
      </c>
      <c r="KF29">
        <f>IF('calcA'!AS$106=1,ER29,1)</f>
        <v/>
      </c>
      <c r="KG29">
        <f>IF('calcA'!AT$106=1,ES29,1)</f>
        <v/>
      </c>
      <c r="KH29">
        <f>IF('calcA'!AU$106=1,ET29,1)</f>
        <v/>
      </c>
      <c r="KI29">
        <f>IF('calcA'!AV$106=1,EU29,1)</f>
        <v/>
      </c>
      <c r="KJ29">
        <f>IF('calcA'!AW$106=1,EV29,1)</f>
        <v/>
      </c>
      <c r="KK29">
        <f>IF('calcA'!AX$106=1,EW29,1)</f>
        <v/>
      </c>
      <c r="KL29">
        <f>IF('calcA'!AY$106=1,EX29,1)</f>
        <v/>
      </c>
      <c r="KM29">
        <f>IF('calcA'!AZ$106=1,EY29,1)</f>
        <v/>
      </c>
      <c r="KN29">
        <f>IF('calcA'!BA$106=1,EZ29,1)</f>
        <v/>
      </c>
      <c r="KO29">
        <f>IF('calcA'!BB$106=1,FA29,1)</f>
        <v/>
      </c>
      <c r="KP29">
        <f>IF('calcA'!BC$106=1,FB29,1)</f>
        <v/>
      </c>
      <c r="KQ29">
        <f>IF('calcA'!BD$106=1,FC29,1)</f>
        <v/>
      </c>
      <c r="KR29">
        <f>IF('calcA'!BE$106=1,FD29,1)</f>
        <v/>
      </c>
      <c r="KS29">
        <f>IF('calcA'!BF$106=1,FE29,1)</f>
        <v/>
      </c>
      <c r="KT29">
        <f>IF('calcA'!BG$106=1,FF29,1)</f>
        <v/>
      </c>
      <c r="KU29">
        <f>IF('calcA'!BH$106=1,FG29,1)</f>
        <v/>
      </c>
      <c r="KV29">
        <f>IF('calcA'!BI$106=1,FH29,1)</f>
        <v/>
      </c>
      <c r="KW29">
        <f>IF('calcA'!BJ$106=1,FI29,1)</f>
        <v/>
      </c>
      <c r="KX29">
        <f>IF('calcA'!BK$106=1,FJ29,1)</f>
        <v/>
      </c>
      <c r="KY29">
        <f>IF('calcA'!BL$106=1,FK29,1)</f>
        <v/>
      </c>
      <c r="KZ29">
        <f>IF('calcA'!BM$106=1,FL29,1)</f>
        <v/>
      </c>
      <c r="LA29">
        <f>IF('calcA'!BN$106=1,FM29,1)</f>
        <v/>
      </c>
      <c r="LB29">
        <f>IF('calcA'!BO$106=1,FN29,1)</f>
        <v/>
      </c>
      <c r="LC29">
        <f>IF('calcA'!BP$106=1,FO29,1)</f>
        <v/>
      </c>
      <c r="LD29">
        <f>IF('calcA'!BQ$106=1,FP29,1)</f>
        <v/>
      </c>
      <c r="LE29">
        <f>IF('calcA'!BR$106=1,FQ29,1)</f>
        <v/>
      </c>
      <c r="LF29">
        <f>IF('calcA'!BS$106=1,FR29,1)</f>
        <v/>
      </c>
      <c r="LG29">
        <f>IF('calcA'!BT$106=1,FS29,1)</f>
        <v/>
      </c>
      <c r="LH29">
        <f>IF('calcA'!BU$106=1,FT29,1)</f>
        <v/>
      </c>
      <c r="LI29">
        <f>IF('calcA'!BV$106=1,FU29,1)</f>
        <v/>
      </c>
      <c r="LJ29">
        <f>IF('calcA'!BW$106=1,FV29,1)</f>
        <v/>
      </c>
      <c r="LK29">
        <f>IF('calcA'!BX$106=1,FW29,1)</f>
        <v/>
      </c>
      <c r="LL29">
        <f>IF('calcA'!BY$106=1,FX29,1)</f>
        <v/>
      </c>
      <c r="LM29">
        <f>IF('calcA'!BZ$106=1,FY29,1)</f>
        <v/>
      </c>
      <c r="LN29">
        <f>IF('calcA'!CA$106=1,FZ29,1)</f>
        <v/>
      </c>
      <c r="LO29">
        <f>IF('calcA'!CB$106=1,GA29,1)</f>
        <v/>
      </c>
      <c r="LP29">
        <f>IF('calcA'!CC$106=1,GB29,1)</f>
        <v/>
      </c>
      <c r="LQ29">
        <f>IF('calcA'!CD$106=1,GC29,1)</f>
        <v/>
      </c>
      <c r="LR29">
        <f>IF('calcA'!CE$106=1,GD29,1)</f>
        <v/>
      </c>
      <c r="LS29">
        <f>IF('calcA'!CF$106=1,GE29,1)</f>
        <v/>
      </c>
      <c r="LT29">
        <f>IF('calcA'!CG$106=1,GF29,1)</f>
        <v/>
      </c>
      <c r="LU29">
        <f>IF('calcA'!CH$106=1,GG29,1)</f>
        <v/>
      </c>
      <c r="LV29">
        <f>IF('calcA'!CI$106=1,GH29,1)</f>
        <v/>
      </c>
      <c r="LW29">
        <f>IF('calcA'!CJ$106=1,GI29,1)</f>
        <v/>
      </c>
      <c r="LX29">
        <f>IF('calcA'!CK$106=1,GJ29,1)</f>
        <v/>
      </c>
      <c r="LY29">
        <f>IF('calcA'!CL$106=1,GK29,1)</f>
        <v/>
      </c>
      <c r="LZ29">
        <f>IF('calcA'!CM$106=1,GL29,1)</f>
        <v/>
      </c>
      <c r="MA29">
        <f>IF('calcA'!CN$106=1,GM29,1)</f>
        <v/>
      </c>
      <c r="MB29">
        <f>IF('calcA'!CO$106=1,GN29,1)</f>
        <v/>
      </c>
      <c r="MC29">
        <f>IF('calcA'!CP$106=1,GO29,1)</f>
        <v/>
      </c>
      <c r="MD29">
        <f>IF('calcA'!CQ$106=1,GP29,1)</f>
        <v/>
      </c>
      <c r="ME29">
        <f>IF('calcA'!CR$106=1,GQ29,1)</f>
        <v/>
      </c>
      <c r="MF29">
        <f>IF('calcA'!CS$106=1,GR29,1)</f>
        <v/>
      </c>
      <c r="MG29">
        <f>IF('calcA'!CT$106=1,GS29,1)</f>
        <v/>
      </c>
      <c r="MH29">
        <f>IF('calcA'!CU$106=1,GT29,1)</f>
        <v/>
      </c>
      <c r="MI29">
        <f>IF('calcA'!CV$106=1,GU29,1)</f>
        <v/>
      </c>
      <c r="MJ29">
        <f>IF('calcA'!CW$106=1,GV29,1)</f>
        <v/>
      </c>
      <c r="MK29">
        <f>IF('calcA'!CX$106=1,GW29,1)</f>
        <v/>
      </c>
      <c r="ML29">
        <f>IF('calcA'!CY$106=1,GX29,1)</f>
        <v/>
      </c>
      <c r="MM29">
        <f>IF('calcA'!CZ$106=1,GY29,1)</f>
        <v/>
      </c>
      <c r="MN29">
        <f>IF('calcA'!DA$106=1,GZ29,1)</f>
        <v/>
      </c>
      <c r="MO29">
        <f>IF('calcA'!DB$106=1,HA29,1)</f>
        <v/>
      </c>
      <c r="MP29">
        <f>IF('calcA'!DC$106=1,HB29,1)</f>
        <v/>
      </c>
      <c r="MQ29">
        <f>IF('calcA'!DD$106=1,HC29,1)</f>
        <v/>
      </c>
      <c r="MR29">
        <f>IF('calcA'!DE$106=1,HD29,1)</f>
        <v/>
      </c>
      <c r="MS29">
        <f>IF('calcA'!DF$106=1,HE29,1)</f>
        <v/>
      </c>
      <c r="MT29">
        <f>IF('calcA'!DG$106=1,HF29,1)</f>
        <v/>
      </c>
      <c r="MU29">
        <f>IF('calcA'!DH$106=1,HG29,1)</f>
        <v/>
      </c>
      <c r="MV29">
        <f>IF('calcA'!DI$106=1,HH29,1)</f>
        <v/>
      </c>
      <c r="MW29">
        <f>IF('calcA'!DJ$106=1,HI29,1)</f>
        <v/>
      </c>
      <c r="MX29">
        <f>IF('calcA'!DK$106=1,HJ29,1)</f>
        <v/>
      </c>
      <c r="MY29">
        <f>IF('calcA'!DL$106=1,HK29,1)</f>
        <v/>
      </c>
      <c r="MZ29">
        <f>IF('calcA'!DM$106=1,HL29,1)</f>
        <v/>
      </c>
      <c r="NA29">
        <f>IF('calcA'!DN$106=1,HM29,1)</f>
        <v/>
      </c>
      <c r="NB29">
        <f>IF('calcA'!DO$106=1,HN29,1)</f>
        <v/>
      </c>
      <c r="NC29">
        <f>IF('calcA'!DP$106=1,HO29,1)</f>
        <v/>
      </c>
      <c r="ND29">
        <f>IF('calcA'!DQ$106=1,HP29,1)</f>
        <v/>
      </c>
      <c r="NE29">
        <f>IF('calcA'!DR$106=1,HQ29,1)</f>
        <v/>
      </c>
      <c r="NF29">
        <f>IF('calcA'!DS$106=1,HR29,1)</f>
        <v/>
      </c>
      <c r="NG29">
        <f>IF('calcA'!DT$106=1,HS29,1)</f>
        <v/>
      </c>
      <c r="NH29">
        <f>IF('calcA'!DU$106=1,HT29,1)</f>
        <v/>
      </c>
      <c r="NI29">
        <f>IF('calcA'!DV$106=1,HU29,1)</f>
        <v/>
      </c>
      <c r="NJ29">
        <f>IF('calcA'!DW$106=1,HV29,1)</f>
        <v/>
      </c>
      <c r="NK29">
        <f>IF('calcA'!DX$106=1,HW29,1)</f>
        <v/>
      </c>
      <c r="NL29">
        <f>IF('calcA'!DY$106=1,HX29,1)</f>
        <v/>
      </c>
      <c r="NM29">
        <f>IF('calcA'!DZ$106=1,HY29,1)</f>
        <v/>
      </c>
      <c r="NN29">
        <f>IF('calcA'!EA$106=1,HZ29,1)</f>
        <v/>
      </c>
      <c r="NO29">
        <f>IF('calcA'!EB$106=1,IA29,1)</f>
        <v/>
      </c>
      <c r="NP29">
        <f>IF('calcA'!EC$106=1,IB29,1)</f>
        <v/>
      </c>
      <c r="NQ29">
        <f>IF('calcA'!ED$106=1,IC29,1)</f>
        <v/>
      </c>
      <c r="NR29">
        <f>IF('calcA'!EE$106=1,ID29,1)</f>
        <v/>
      </c>
      <c r="NS29">
        <f>IF('calcA'!EF$106=1,IE29,1)</f>
        <v/>
      </c>
      <c r="NT29">
        <f>IF('calcA'!EG$106=1,IF29,1)</f>
        <v/>
      </c>
      <c r="NU29">
        <f>IF('calcA'!EH$106=1,IG29,1)</f>
        <v/>
      </c>
      <c r="NV29">
        <f>IF('calcA'!EI$106=1,IH29,1)</f>
        <v/>
      </c>
      <c r="NW29">
        <f>IF('calcA'!EJ$106=1,II29,1)</f>
        <v/>
      </c>
      <c r="NX29">
        <f>IF('calcA'!EK$106=1,IJ29,1)</f>
        <v/>
      </c>
      <c r="NY29">
        <f>IF('calcA'!EL$106=1,IK29,1)</f>
        <v/>
      </c>
      <c r="NZ29">
        <f>IF('calcA'!EM$106=1,IL29,1)</f>
        <v/>
      </c>
      <c r="OA29">
        <f>IF('calcA'!EN$106=1,IM29,1)</f>
        <v/>
      </c>
      <c r="OB29">
        <f>IF('calcA'!EO$106=1,IN29,1)</f>
        <v/>
      </c>
      <c r="OC29">
        <f>IF('calcA'!EP$106=1,IO29,1)</f>
        <v/>
      </c>
      <c r="OD29" t="n">
        <v>1</v>
      </c>
      <c r="OF29">
        <f>IF($B29=0,1000000000,IF(INDEX('calcA'!$D$60:$EQ$99,$B29,1)*IF($W29=1,DB29+ZQ29,DB29)=1,IF(AND($E29=2,IF($W29=1,AFF29,IQ29)=0),1000000000,IF($V29=1,INDEX('calcA'!$D$130:$EQ$169,$B29,1)+IF(AND($E29=1,IQ29=0),25,0),IF($F29&gt;0,INDEX('calcA'!D$110:D$114,$F29+1)+IF(AND($E29=1,IQ29=0),1000,0),MIN(TU29,20)*400+(IF('calcA'!D$106=1,1-DC29,0))*150+11+'calcA'!D$5*100000+IF(AND($E29=1,IQ29=0),50000,0))+IF($H29=1,INDEX('calcA'!$D$180:$EQ$219,$B29,1)*4000,0)-IF(AND($U29=1,'calcA'!D$117=1,DC29=0),2000,0))),1000000000))</f>
        <v/>
      </c>
      <c r="OG29">
        <f>IF($B29=0,1000000000,IF(INDEX('calcA'!$D$60:$EQ$99,$B29,2)*IF($W29=1,DC29+ZR29,DC29)=1,IF(AND($E29=2,IF($W29=1,AFG29,IR29)=0),1000000000,IF($V29=1,INDEX('calcA'!$D$130:$EQ$169,$B29,2)+IF(AND($E29=1,IR29=0),25,0),IF($F29&gt;0,INDEX('calcA'!E$110:E$114,$F29+1)+IF(AND($E29=1,IR29=0),1000,0),MIN(TU29,20)*400+(IF('calcA'!D$106=1,1-DB29,0)+IF('calcA'!E$106=1,1-DD29,0))*150+21+'calcA'!E$5*100000+IF(AND($E29=1,IR29=0),50000,0))+IF($H29=1,INDEX('calcA'!$D$180:$EQ$219,$B29,2)*4000,0)-IF(AND('calcA'!D$117=1,UB29&gt;0),2000,0)-IF(AND($U29=1,'calcA'!E$117=1,DD29=0),2000,0))),1000000000))</f>
        <v/>
      </c>
      <c r="OH29">
        <f>IF($B29=0,1000000000,IF(INDEX('calcA'!$D$60:$EQ$99,$B29,3)*IF($W29=1,DD29+ZS29,DD29)=1,IF(AND($E29=2,IF($W29=1,AFH29,IS29)=0),1000000000,IF($V29=1,INDEX('calcA'!$D$130:$EQ$169,$B29,3)+IF(AND($E29=1,IS29=0),25,0),IF($F29&gt;0,INDEX('calcA'!F$110:F$114,$F29+1)+IF(AND($E29=1,IS29=0),1000,0),MIN(TU29,20)*400+(IF('calcA'!E$106=1,1-DC29,0)+IF('calcA'!F$106=1,1-DE29,0))*150+31+'calcA'!F$5*100000+IF(AND($E29=1,IS29=0),50000,0))+IF($H29=1,INDEX('calcA'!$D$180:$EQ$219,$B29,3)*4000,0)-IF(AND('calcA'!E$117=1,UC29&gt;0),2000,0)-IF(AND($U29=1,'calcA'!F$117=1,DE29=0),2000,0))),1000000000))</f>
        <v/>
      </c>
      <c r="OI29">
        <f>IF($B29=0,1000000000,IF(INDEX('calcA'!$D$60:$EQ$99,$B29,4)*IF($W29=1,DE29+ZT29,DE29)=1,IF(AND($E29=2,IF($W29=1,AFI29,IT29)=0),1000000000,IF($V29=1,INDEX('calcA'!$D$130:$EQ$169,$B29,4)+IF(AND($E29=1,IT29=0),25,0),IF($F29&gt;0,INDEX('calcA'!G$110:G$114,$F29+1)+IF(AND($E29=1,IT29=0),1000,0),MIN(TU29,20)*400+(IF('calcA'!F$106=1,1-DD29,0)+IF('calcA'!G$106=1,1-DF29,0))*150+41+'calcA'!G$5*100000+IF(AND($E29=1,IT29=0),50000,0))+IF($H29=1,INDEX('calcA'!$D$180:$EQ$219,$B29,4)*4000,0)-IF(AND('calcA'!F$117=1,UD29&gt;0),2000,0)-IF(AND($U29=1,'calcA'!G$117=1,DF29=0),2000,0))),1000000000))</f>
        <v/>
      </c>
      <c r="OJ29">
        <f>IF($B29=0,1000000000,IF(INDEX('calcA'!$D$60:$EQ$99,$B29,5)*IF($W29=1,DF29+ZU29,DF29)=1,IF(AND($E29=2,IF($W29=1,AFJ29,IU29)=0),1000000000,IF($V29=1,INDEX('calcA'!$D$130:$EQ$169,$B29,5)+IF(AND($E29=1,IU29=0),25,0),IF($F29&gt;0,INDEX('calcA'!H$110:H$114,$F29+1)+IF(AND($E29=1,IU29=0),1000,0),MIN(TU29,20)*400+(IF('calcA'!G$106=1,1-DE29,0)+IF('calcA'!H$106=1,1-DG29,0))*150+51+'calcA'!H$5*100000+IF(AND($E29=1,IU29=0),50000,0))+IF($H29=1,INDEX('calcA'!$D$180:$EQ$219,$B29,5)*4000,0)-IF(AND('calcA'!G$117=1,UE29&gt;0),2000,0)-IF(AND($U29=1,'calcA'!H$117=1,DG29=0),2000,0))),1000000000))</f>
        <v/>
      </c>
      <c r="OK29">
        <f>IF($B29=0,1000000000,IF(INDEX('calcA'!$D$60:$EQ$99,$B29,6)*IF($W29=1,DG29+ZV29,DG29)=1,IF(AND($E29=2,IF($W29=1,AFK29,IV29)=0),1000000000,IF($V29=1,INDEX('calcA'!$D$130:$EQ$169,$B29,6)+IF(AND($E29=1,IV29=0),25,0),IF($F29&gt;0,INDEX('calcA'!I$110:I$114,$F29+1)+IF(AND($E29=1,IV29=0),1000,0),MIN(TU29,20)*400+(IF('calcA'!H$106=1,1-DF29,0)+IF('calcA'!I$106=1,1-DH29,0))*150+61+'calcA'!I$5*100000+IF(AND($E29=1,IV29=0),50000,0))+IF($H29=1,INDEX('calcA'!$D$180:$EQ$219,$B29,6)*4000,0)-IF(AND('calcA'!H$117=1,UF29&gt;0),2000,0)-IF(AND($U29=1,'calcA'!I$117=1,DH29=0),2000,0))),1000000000))</f>
        <v/>
      </c>
      <c r="OL29">
        <f>IF($B29=0,1000000000,IF(INDEX('calcA'!$D$60:$EQ$99,$B29,7)*IF($W29=1,DH29+ZW29,DH29)=1,IF(AND($E29=2,IF($W29=1,AFL29,IW29)=0),1000000000,IF($V29=1,INDEX('calcA'!$D$130:$EQ$169,$B29,7)+IF(AND($E29=1,IW29=0),25,0),IF($F29&gt;0,INDEX('calcA'!J$110:J$114,$F29+1)+IF(AND($E29=1,IW29=0),1000,0),MIN(TU29,20)*400+(IF('calcA'!I$106=1,1-DG29,0)+IF('calcA'!J$106=1,1-DI29,0))*150+71+'calcA'!J$5*100000+IF(AND($E29=1,IW29=0),50000,0))+IF($H29=1,INDEX('calcA'!$D$180:$EQ$219,$B29,7)*4000,0)-IF(AND('calcA'!I$117=1,UG29&gt;0),2000,0)-IF(AND($U29=1,'calcA'!J$117=1,DI29=0),2000,0))),1000000000))</f>
        <v/>
      </c>
      <c r="OM29">
        <f>IF($B29=0,1000000000,IF(INDEX('calcA'!$D$60:$EQ$99,$B29,8)*IF($W29=1,DI29+ZX29,DI29)=1,IF(AND($E29=2,IF($W29=1,AFM29,IX29)=0),1000000000,IF($V29=1,INDEX('calcA'!$D$130:$EQ$169,$B29,8)+IF(AND($E29=1,IX29=0),25,0),IF($F29&gt;0,INDEX('calcA'!K$110:K$114,$F29+1)+IF(AND($E29=1,IX29=0),1000,0),MIN(TU29,20)*400+(IF('calcA'!J$106=1,1-DH29,0)+IF('calcA'!K$106=1,1-DJ29,0))*150+81+'calcA'!K$5*100000+IF(AND($E29=1,IX29=0),50000,0))+IF($H29=1,INDEX('calcA'!$D$180:$EQ$219,$B29,8)*4000,0)-IF(AND('calcA'!J$117=1,UH29&gt;0),2000,0)-IF(AND($U29=1,'calcA'!K$117=1,DJ29=0),2000,0))),1000000000))</f>
        <v/>
      </c>
      <c r="ON29">
        <f>IF($B29=0,1000000000,IF(INDEX('calcA'!$D$60:$EQ$99,$B29,9)*IF($W29=1,DJ29+ZY29,DJ29)=1,IF(AND($E29=2,IF($W29=1,AFN29,IY29)=0),1000000000,IF($V29=1,INDEX('calcA'!$D$130:$EQ$169,$B29,9)+IF(AND($E29=1,IY29=0),25,0),IF($F29&gt;0,INDEX('calcA'!L$110:L$114,$F29+1)+IF(AND($E29=1,IY29=0),1000,0),MIN(TU29,20)*400+(IF('calcA'!K$106=1,1-DI29,0)+IF('calcA'!L$106=1,1-DK29,0))*150+91+'calcA'!L$5*100000+IF(AND($E29=1,IY29=0),50000,0))+IF($H29=1,INDEX('calcA'!$D$180:$EQ$219,$B29,9)*4000,0)-IF(AND('calcA'!K$117=1,UI29&gt;0),2000,0)-IF(AND($U29=1,'calcA'!L$117=1,DK29=0),2000,0))),1000000000))</f>
        <v/>
      </c>
      <c r="OO29">
        <f>IF($B29=0,1000000000,IF(INDEX('calcA'!$D$60:$EQ$99,$B29,10)*IF($W29=1,DK29+ZZ29,DK29)=1,IF(AND($E29=2,IF($W29=1,AFO29,IZ29)=0),1000000000,IF($V29=1,INDEX('calcA'!$D$130:$EQ$169,$B29,10)+IF(AND($E29=1,IZ29=0),25,0),IF($F29&gt;0,INDEX('calcA'!M$110:M$114,$F29+1)+IF(AND($E29=1,IZ29=0),1000,0),MIN(TU29,20)*400+(IF('calcA'!L$106=1,1-DJ29,0)+IF('calcA'!M$106=1,1-DL29,0))*150+101+'calcA'!M$5*100000+IF(AND($E29=1,IZ29=0),50000,0))+IF($H29=1,INDEX('calcA'!$D$180:$EQ$219,$B29,10)*4000,0)-IF(AND('calcA'!L$117=1,UJ29&gt;0),2000,0)-IF(AND($U29=1,'calcA'!M$117=1,DL29=0),2000,0))),1000000000))</f>
        <v/>
      </c>
      <c r="OP29">
        <f>IF($B29=0,1000000000,IF(INDEX('calcA'!$D$60:$EQ$99,$B29,11)*IF($W29=1,DL29+AAA29,DL29)=1,IF(AND($E29=2,IF($W29=1,AFP29,JA29)=0),1000000000,IF($V29=1,INDEX('calcA'!$D$130:$EQ$169,$B29,11)+IF(AND($E29=1,JA29=0),25,0),IF($F29&gt;0,INDEX('calcA'!N$110:N$114,$F29+1)+IF(AND($E29=1,JA29=0),1000,0),MIN(TU29,20)*400+(IF('calcA'!M$106=1,1-DK29,0)+IF('calcA'!N$106=1,1-DM29,0))*150+111+'calcA'!N$5*100000+IF(AND($E29=1,JA29=0),50000,0))+IF($H29=1,INDEX('calcA'!$D$180:$EQ$219,$B29,11)*4000,0)-IF(AND('calcA'!M$117=1,UK29&gt;0),2000,0)-IF(AND($U29=1,'calcA'!N$117=1,DM29=0),2000,0))),1000000000))</f>
        <v/>
      </c>
      <c r="OQ29">
        <f>IF($B29=0,1000000000,IF(INDEX('calcA'!$D$60:$EQ$99,$B29,12)*IF($W29=1,DM29+AAB29,DM29)=1,IF(AND($E29=2,IF($W29=1,AFQ29,JB29)=0),1000000000,IF($V29=1,INDEX('calcA'!$D$130:$EQ$169,$B29,12)+IF(AND($E29=1,JB29=0),25,0),IF($F29&gt;0,INDEX('calcA'!O$110:O$114,$F29+1)+IF(AND($E29=1,JB29=0),1000,0),MIN(TU29,20)*400+(IF('calcA'!N$106=1,1-DL29,0)+IF('calcA'!O$106=1,1-DN29,0))*150+121+'calcA'!O$5*100000+IF(AND($E29=1,JB29=0),50000,0))+IF($H29=1,INDEX('calcA'!$D$180:$EQ$219,$B29,12)*4000,0)-IF(AND('calcA'!N$117=1,UL29&gt;0),2000,0)-IF(AND($U29=1,'calcA'!O$117=1,DN29=0),2000,0))),1000000000))</f>
        <v/>
      </c>
      <c r="OR29">
        <f>IF($B29=0,1000000000,IF(INDEX('calcA'!$D$60:$EQ$99,$B29,13)*IF($W29=1,DN29+AAC29,DN29)=1,IF(AND($E29=2,IF($W29=1,AFR29,JC29)=0),1000000000,IF($V29=1,INDEX('calcA'!$D$130:$EQ$169,$B29,13)+IF(AND($E29=1,JC29=0),25,0),IF($F29&gt;0,INDEX('calcA'!P$110:P$114,$F29+1)+IF(AND($E29=1,JC29=0),1000,0),MIN(TU29,20)*400+(IF('calcA'!O$106=1,1-DM29,0)+IF('calcA'!P$106=1,1-DO29,0))*150+131+'calcA'!P$5*100000+IF(AND($E29=1,JC29=0),50000,0))+IF($H29=1,INDEX('calcA'!$D$180:$EQ$219,$B29,13)*4000,0)-IF(AND('calcA'!O$117=1,UM29&gt;0),2000,0)-IF(AND($U29=1,'calcA'!P$117=1,DO29=0),2000,0))),1000000000))</f>
        <v/>
      </c>
      <c r="OS29">
        <f>IF($B29=0,1000000000,IF(INDEX('calcA'!$D$60:$EQ$99,$B29,14)*IF($W29=1,DO29+AAD29,DO29)=1,IF(AND($E29=2,IF($W29=1,AFS29,JD29)=0),1000000000,IF($V29=1,INDEX('calcA'!$D$130:$EQ$169,$B29,14)+IF(AND($E29=1,JD29=0),25,0),IF($F29&gt;0,INDEX('calcA'!Q$110:Q$114,$F29+1)+IF(AND($E29=1,JD29=0),1000,0),MIN(TU29,20)*400+(IF('calcA'!P$106=1,1-DN29,0)+IF('calcA'!Q$106=1,1-DP29,0))*150+141+'calcA'!Q$5*100000+IF(AND($E29=1,JD29=0),50000,0))+IF($H29=1,INDEX('calcA'!$D$180:$EQ$219,$B29,14)*4000,0)-IF(AND('calcA'!P$117=1,UN29&gt;0),2000,0)-IF(AND($U29=1,'calcA'!Q$117=1,DP29=0),2000,0))),1000000000))</f>
        <v/>
      </c>
      <c r="OT29">
        <f>IF($B29=0,1000000000,IF(INDEX('calcA'!$D$60:$EQ$99,$B29,15)*IF($W29=1,DP29+AAE29,DP29)=1,IF(AND($E29=2,IF($W29=1,AFT29,JE29)=0),1000000000,IF($V29=1,INDEX('calcA'!$D$130:$EQ$169,$B29,15)+IF(AND($E29=1,JE29=0),25,0),IF($F29&gt;0,INDEX('calcA'!R$110:R$114,$F29+1)+IF(AND($E29=1,JE29=0),1000,0),MIN(TU29,20)*400+(IF('calcA'!Q$106=1,1-DO29,0)+IF('calcA'!R$106=1,1-DQ29,0))*150+151+'calcA'!R$5*100000+IF(AND($E29=1,JE29=0),50000,0))+IF($H29=1,INDEX('calcA'!$D$180:$EQ$219,$B29,15)*4000,0)-IF(AND('calcA'!Q$117=1,UO29&gt;0),2000,0)-IF(AND($U29=1,'calcA'!R$117=1,DQ29=0),2000,0))),1000000000))</f>
        <v/>
      </c>
      <c r="OU29">
        <f>IF($B29=0,1000000000,IF(INDEX('calcA'!$D$60:$EQ$99,$B29,16)*IF($W29=1,DQ29+AAF29,DQ29)=1,IF(AND($E29=2,IF($W29=1,AFU29,JF29)=0),1000000000,IF($V29=1,INDEX('calcA'!$D$130:$EQ$169,$B29,16)+IF(AND($E29=1,JF29=0),25,0),IF($F29&gt;0,INDEX('calcA'!S$110:S$114,$F29+1)+IF(AND($E29=1,JF29=0),1000,0),MIN(TU29,20)*400+(IF('calcA'!R$106=1,1-DP29,0)+IF('calcA'!S$106=1,1-DR29,0))*150+161+'calcA'!S$5*100000+IF(AND($E29=1,JF29=0),50000,0))+IF($H29=1,INDEX('calcA'!$D$180:$EQ$219,$B29,16)*4000,0)-IF(AND('calcA'!R$117=1,UP29&gt;0),2000,0)-IF(AND($U29=1,'calcA'!S$117=1,DR29=0),2000,0))),1000000000))</f>
        <v/>
      </c>
      <c r="OV29">
        <f>IF($B29=0,1000000000,IF(INDEX('calcA'!$D$60:$EQ$99,$B29,17)*IF($W29=1,DR29+AAG29,DR29)=1,IF(AND($E29=2,IF($W29=1,AFV29,JG29)=0),1000000000,IF($V29=1,INDEX('calcA'!$D$130:$EQ$169,$B29,17)+IF(AND($E29=1,JG29=0),25,0),IF($F29&gt;0,INDEX('calcA'!T$110:T$114,$F29+1)+IF(AND($E29=1,JG29=0),1000,0),MIN(TU29,20)*400+(IF('calcA'!S$106=1,1-DQ29,0)+IF('calcA'!T$106=1,1-DS29,0))*150+171+'calcA'!T$5*100000+IF(AND($E29=1,JG29=0),50000,0))+IF($H29=1,INDEX('calcA'!$D$180:$EQ$219,$B29,17)*4000,0)-IF(AND('calcA'!S$117=1,UQ29&gt;0),2000,0)-IF(AND($U29=1,'calcA'!T$117=1,DS29=0),2000,0))),1000000000))</f>
        <v/>
      </c>
      <c r="OW29">
        <f>IF($B29=0,1000000000,IF(INDEX('calcA'!$D$60:$EQ$99,$B29,18)*IF($W29=1,DS29+AAH29,DS29)=1,IF(AND($E29=2,IF($W29=1,AFW29,JH29)=0),1000000000,IF($V29=1,INDEX('calcA'!$D$130:$EQ$169,$B29,18)+IF(AND($E29=1,JH29=0),25,0),IF($F29&gt;0,INDEX('calcA'!U$110:U$114,$F29+1)+IF(AND($E29=1,JH29=0),1000,0),MIN(TU29,20)*400+(IF('calcA'!T$106=1,1-DR29,0)+IF('calcA'!U$106=1,1-DT29,0))*150+181+'calcA'!U$5*100000+IF(AND($E29=1,JH29=0),50000,0))+IF($H29=1,INDEX('calcA'!$D$180:$EQ$219,$B29,18)*4000,0)-IF(AND('calcA'!T$117=1,UR29&gt;0),2000,0)-IF(AND($U29=1,'calcA'!U$117=1,DT29=0),2000,0))),1000000000))</f>
        <v/>
      </c>
      <c r="OX29">
        <f>IF($B29=0,1000000000,IF(INDEX('calcA'!$D$60:$EQ$99,$B29,19)*IF($W29=1,DT29+AAI29,DT29)=1,IF(AND($E29=2,IF($W29=1,AFX29,JI29)=0),1000000000,IF($V29=1,INDEX('calcA'!$D$130:$EQ$169,$B29,19)+IF(AND($E29=1,JI29=0),25,0),IF($F29&gt;0,INDEX('calcA'!V$110:V$114,$F29+1)+IF(AND($E29=1,JI29=0),1000,0),MIN(TU29,20)*400+(IF('calcA'!U$106=1,1-DS29,0)+IF('calcA'!V$106=1,1-DU29,0))*150+191+'calcA'!V$5*100000+IF(AND($E29=1,JI29=0),50000,0))+IF($H29=1,INDEX('calcA'!$D$180:$EQ$219,$B29,19)*4000,0)-IF(AND('calcA'!U$117=1,US29&gt;0),2000,0)-IF(AND($U29=1,'calcA'!V$117=1,DU29=0),2000,0))),1000000000))</f>
        <v/>
      </c>
      <c r="OY29">
        <f>IF($B29=0,1000000000,IF(INDEX('calcA'!$D$60:$EQ$99,$B29,20)*IF($W29=1,DU29+AAJ29,DU29)=1,IF(AND($E29=2,IF($W29=1,AFY29,JJ29)=0),1000000000,IF($V29=1,INDEX('calcA'!$D$130:$EQ$169,$B29,20)+IF(AND($E29=1,JJ29=0),25,0),IF($F29&gt;0,INDEX('calcA'!W$110:W$114,$F29+1)+IF(AND($E29=1,JJ29=0),1000,0),MIN(TU29,20)*400+(IF('calcA'!V$106=1,1-DT29,0)+IF('calcA'!W$106=1,1-DV29,0))*150+201+'calcA'!W$5*100000+IF(AND($E29=1,JJ29=0),50000,0))+IF($H29=1,INDEX('calcA'!$D$180:$EQ$219,$B29,20)*4000,0)-IF(AND('calcA'!V$117=1,UT29&gt;0),2000,0)-IF(AND($U29=1,'calcA'!W$117=1,DV29=0),2000,0))),1000000000))</f>
        <v/>
      </c>
      <c r="OZ29">
        <f>IF($B29=0,1000000000,IF(INDEX('calcA'!$D$60:$EQ$99,$B29,21)*IF($W29=1,DV29+AAK29,DV29)=1,IF(AND($E29=2,IF($W29=1,AFZ29,JK29)=0),1000000000,IF($V29=1,INDEX('calcA'!$D$130:$EQ$169,$B29,21)+IF(AND($E29=1,JK29=0),25,0),IF($F29&gt;0,INDEX('calcA'!X$110:X$114,$F29+1)+IF(AND($E29=1,JK29=0),1000,0),MIN(TU29,20)*400+(IF('calcA'!W$106=1,1-DU29,0)+IF('calcA'!X$106=1,1-DW29,0))*150+211+'calcA'!X$5*100000+IF(AND($E29=1,JK29=0),50000,0))+IF($H29=1,INDEX('calcA'!$D$180:$EQ$219,$B29,21)*4000,0)-IF(AND('calcA'!W$117=1,UU29&gt;0),2000,0)-IF(AND($U29=1,'calcA'!X$117=1,DW29=0),2000,0))),1000000000))</f>
        <v/>
      </c>
      <c r="PA29">
        <f>IF($B29=0,1000000000,IF(INDEX('calcA'!$D$60:$EQ$99,$B29,22)*IF($W29=1,DW29+AAL29,DW29)=1,IF(AND($E29=2,IF($W29=1,AGA29,JL29)=0),1000000000,IF($V29=1,INDEX('calcA'!$D$130:$EQ$169,$B29,22)+IF(AND($E29=1,JL29=0),25,0),IF($F29&gt;0,INDEX('calcA'!Y$110:Y$114,$F29+1)+IF(AND($E29=1,JL29=0),1000,0),MIN(TU29,20)*400+(IF('calcA'!X$106=1,1-DV29,0)+IF('calcA'!Y$106=1,1-DX29,0))*150+221+'calcA'!Y$5*100000+IF(AND($E29=1,JL29=0),50000,0))+IF($H29=1,INDEX('calcA'!$D$180:$EQ$219,$B29,22)*4000,0)-IF(AND('calcA'!X$117=1,UV29&gt;0),2000,0)-IF(AND($U29=1,'calcA'!Y$117=1,DX29=0),2000,0))),1000000000))</f>
        <v/>
      </c>
      <c r="PB29">
        <f>IF($B29=0,1000000000,IF(INDEX('calcA'!$D$60:$EQ$99,$B29,23)*IF($W29=1,DX29+AAM29,DX29)=1,IF(AND($E29=2,IF($W29=1,AGB29,JM29)=0),1000000000,IF($V29=1,INDEX('calcA'!$D$130:$EQ$169,$B29,23)+IF(AND($E29=1,JM29=0),25,0),IF($F29&gt;0,INDEX('calcA'!Z$110:Z$114,$F29+1)+IF(AND($E29=1,JM29=0),1000,0),MIN(TU29,20)*400+(IF('calcA'!Y$106=1,1-DW29,0)+IF('calcA'!Z$106=1,1-DY29,0))*150+231+'calcA'!Z$5*100000+IF(AND($E29=1,JM29=0),50000,0))+IF($H29=1,INDEX('calcA'!$D$180:$EQ$219,$B29,23)*4000,0)-IF(AND('calcA'!Y$117=1,UW29&gt;0),2000,0)-IF(AND($U29=1,'calcA'!Z$117=1,DY29=0),2000,0))),1000000000))</f>
        <v/>
      </c>
      <c r="PC29">
        <f>IF($B29=0,1000000000,IF(INDEX('calcA'!$D$60:$EQ$99,$B29,24)*IF($W29=1,DY29+AAN29,DY29)=1,IF(AND($E29=2,IF($W29=1,AGC29,JN29)=0),1000000000,IF($V29=1,INDEX('calcA'!$D$130:$EQ$169,$B29,24)+IF(AND($E29=1,JN29=0),25,0),IF($F29&gt;0,INDEX('calcA'!AA$110:AA$114,$F29+1)+IF(AND($E29=1,JN29=0),1000,0),MIN(TU29,20)*400+(IF('calcA'!Z$106=1,1-DX29,0))*150+241+'calcA'!AA$5*100000+IF(AND($E29=1,JN29=0),50000,0))+IF($H29=1,INDEX('calcA'!$D$180:$EQ$219,$B29,24)*4000,0)-IF(AND('calcA'!Z$117=1,UX29&gt;0),2000,0))),1000000000))</f>
        <v/>
      </c>
      <c r="PD29">
        <f>IF($B29=0,1000000000,IF(INDEX('calcA'!$D$60:$EQ$99,$B29,25)*IF($W29=1,DZ29+AAO29,DZ29)=1,IF(AND($E29=2,IF($W29=1,AGD29,JO29)=0),1000000000,IF($V29=1,INDEX('calcA'!$D$130:$EQ$169,$B29,25)+IF(AND($E29=1,JO29=0),25,0),IF($F29&gt;0,INDEX('calcA'!AB$110:AB$114,$F29+1)+IF(AND($E29=1,JO29=0),1000,0),MIN(TV29,20)*400+(IF('calcA'!AB$106=1,1-EA29,0))*150+12+'calcA'!AB$5*100000+IF(AND($E29=1,JO29=0),50000,0))+IF($H29=1,INDEX('calcA'!$D$180:$EQ$219,$B29,25)*4000,0)-IF(AND($U29=1,'calcA'!AB$117=1,EA29=0),2000,0))),1000000000))</f>
        <v/>
      </c>
      <c r="PE29">
        <f>IF($B29=0,1000000000,IF(INDEX('calcA'!$D$60:$EQ$99,$B29,26)*IF($W29=1,EA29+AAP29,EA29)=1,IF(AND($E29=2,IF($W29=1,AGE29,JP29)=0),1000000000,IF($V29=1,INDEX('calcA'!$D$130:$EQ$169,$B29,26)+IF(AND($E29=1,JP29=0),25,0),IF($F29&gt;0,INDEX('calcA'!AC$110:AC$114,$F29+1)+IF(AND($E29=1,JP29=0),1000,0),MIN(TV29,20)*400+(IF('calcA'!AB$106=1,1-DZ29,0)+IF('calcA'!AC$106=1,1-EB29,0))*150+22+'calcA'!AC$5*100000+IF(AND($E29=1,JP29=0),50000,0))+IF($H29=1,INDEX('calcA'!$D$180:$EQ$219,$B29,26)*4000,0)-IF(AND('calcA'!AB$117=1,UZ29&gt;0),2000,0)-IF(AND($U29=1,'calcA'!AC$117=1,EB29=0),2000,0))),1000000000))</f>
        <v/>
      </c>
      <c r="PF29">
        <f>IF($B29=0,1000000000,IF(INDEX('calcA'!$D$60:$EQ$99,$B29,27)*IF($W29=1,EB29+AAQ29,EB29)=1,IF(AND($E29=2,IF($W29=1,AGF29,JQ29)=0),1000000000,IF($V29=1,INDEX('calcA'!$D$130:$EQ$169,$B29,27)+IF(AND($E29=1,JQ29=0),25,0),IF($F29&gt;0,INDEX('calcA'!AD$110:AD$114,$F29+1)+IF(AND($E29=1,JQ29=0),1000,0),MIN(TV29,20)*400+(IF('calcA'!AC$106=1,1-EA29,0)+IF('calcA'!AD$106=1,1-EC29,0))*150+32+'calcA'!AD$5*100000+IF(AND($E29=1,JQ29=0),50000,0))+IF($H29=1,INDEX('calcA'!$D$180:$EQ$219,$B29,27)*4000,0)-IF(AND('calcA'!AC$117=1,VA29&gt;0),2000,0)-IF(AND($U29=1,'calcA'!AD$117=1,EC29=0),2000,0))),1000000000))</f>
        <v/>
      </c>
      <c r="PG29">
        <f>IF($B29=0,1000000000,IF(INDEX('calcA'!$D$60:$EQ$99,$B29,28)*IF($W29=1,EC29+AAR29,EC29)=1,IF(AND($E29=2,IF($W29=1,AGG29,JR29)=0),1000000000,IF($V29=1,INDEX('calcA'!$D$130:$EQ$169,$B29,28)+IF(AND($E29=1,JR29=0),25,0),IF($F29&gt;0,INDEX('calcA'!AE$110:AE$114,$F29+1)+IF(AND($E29=1,JR29=0),1000,0),MIN(TV29,20)*400+(IF('calcA'!AD$106=1,1-EB29,0)+IF('calcA'!AE$106=1,1-ED29,0))*150+42+'calcA'!AE$5*100000+IF(AND($E29=1,JR29=0),50000,0))+IF($H29=1,INDEX('calcA'!$D$180:$EQ$219,$B29,28)*4000,0)-IF(AND('calcA'!AD$117=1,VB29&gt;0),2000,0)-IF(AND($U29=1,'calcA'!AE$117=1,ED29=0),2000,0))),1000000000))</f>
        <v/>
      </c>
      <c r="PH29">
        <f>IF($B29=0,1000000000,IF(INDEX('calcA'!$D$60:$EQ$99,$B29,29)*IF($W29=1,ED29+AAS29,ED29)=1,IF(AND($E29=2,IF($W29=1,AGH29,JS29)=0),1000000000,IF($V29=1,INDEX('calcA'!$D$130:$EQ$169,$B29,29)+IF(AND($E29=1,JS29=0),25,0),IF($F29&gt;0,INDEX('calcA'!AF$110:AF$114,$F29+1)+IF(AND($E29=1,JS29=0),1000,0),MIN(TV29,20)*400+(IF('calcA'!AE$106=1,1-EC29,0)+IF('calcA'!AF$106=1,1-EE29,0))*150+52+'calcA'!AF$5*100000+IF(AND($E29=1,JS29=0),50000,0))+IF($H29=1,INDEX('calcA'!$D$180:$EQ$219,$B29,29)*4000,0)-IF(AND('calcA'!AE$117=1,VC29&gt;0),2000,0)-IF(AND($U29=1,'calcA'!AF$117=1,EE29=0),2000,0))),1000000000))</f>
        <v/>
      </c>
      <c r="PI29">
        <f>IF($B29=0,1000000000,IF(INDEX('calcA'!$D$60:$EQ$99,$B29,30)*IF($W29=1,EE29+AAT29,EE29)=1,IF(AND($E29=2,IF($W29=1,AGI29,JT29)=0),1000000000,IF($V29=1,INDEX('calcA'!$D$130:$EQ$169,$B29,30)+IF(AND($E29=1,JT29=0),25,0),IF($F29&gt;0,INDEX('calcA'!AG$110:AG$114,$F29+1)+IF(AND($E29=1,JT29=0),1000,0),MIN(TV29,20)*400+(IF('calcA'!AF$106=1,1-ED29,0)+IF('calcA'!AG$106=1,1-EF29,0))*150+62+'calcA'!AG$5*100000+IF(AND($E29=1,JT29=0),50000,0))+IF($H29=1,INDEX('calcA'!$D$180:$EQ$219,$B29,30)*4000,0)-IF(AND('calcA'!AF$117=1,VD29&gt;0),2000,0)-IF(AND($U29=1,'calcA'!AG$117=1,EF29=0),2000,0))),1000000000))</f>
        <v/>
      </c>
      <c r="PJ29">
        <f>IF($B29=0,1000000000,IF(INDEX('calcA'!$D$60:$EQ$99,$B29,31)*IF($W29=1,EF29+AAU29,EF29)=1,IF(AND($E29=2,IF($W29=1,AGJ29,JU29)=0),1000000000,IF($V29=1,INDEX('calcA'!$D$130:$EQ$169,$B29,31)+IF(AND($E29=1,JU29=0),25,0),IF($F29&gt;0,INDEX('calcA'!AH$110:AH$114,$F29+1)+IF(AND($E29=1,JU29=0),1000,0),MIN(TV29,20)*400+(IF('calcA'!AG$106=1,1-EE29,0)+IF('calcA'!AH$106=1,1-EG29,0))*150+72+'calcA'!AH$5*100000+IF(AND($E29=1,JU29=0),50000,0))+IF($H29=1,INDEX('calcA'!$D$180:$EQ$219,$B29,31)*4000,0)-IF(AND('calcA'!AG$117=1,VE29&gt;0),2000,0)-IF(AND($U29=1,'calcA'!AH$117=1,EG29=0),2000,0))),1000000000))</f>
        <v/>
      </c>
      <c r="PK29">
        <f>IF($B29=0,1000000000,IF(INDEX('calcA'!$D$60:$EQ$99,$B29,32)*IF($W29=1,EG29+AAV29,EG29)=1,IF(AND($E29=2,IF($W29=1,AGK29,JV29)=0),1000000000,IF($V29=1,INDEX('calcA'!$D$130:$EQ$169,$B29,32)+IF(AND($E29=1,JV29=0),25,0),IF($F29&gt;0,INDEX('calcA'!AI$110:AI$114,$F29+1)+IF(AND($E29=1,JV29=0),1000,0),MIN(TV29,20)*400+(IF('calcA'!AH$106=1,1-EF29,0)+IF('calcA'!AI$106=1,1-EH29,0))*150+82+'calcA'!AI$5*100000+IF(AND($E29=1,JV29=0),50000,0))+IF($H29=1,INDEX('calcA'!$D$180:$EQ$219,$B29,32)*4000,0)-IF(AND('calcA'!AH$117=1,VF29&gt;0),2000,0)-IF(AND($U29=1,'calcA'!AI$117=1,EH29=0),2000,0))),1000000000))</f>
        <v/>
      </c>
      <c r="PL29">
        <f>IF($B29=0,1000000000,IF(INDEX('calcA'!$D$60:$EQ$99,$B29,33)*IF($W29=1,EH29+AAW29,EH29)=1,IF(AND($E29=2,IF($W29=1,AGL29,JW29)=0),1000000000,IF($V29=1,INDEX('calcA'!$D$130:$EQ$169,$B29,33)+IF(AND($E29=1,JW29=0),25,0),IF($F29&gt;0,INDEX('calcA'!AJ$110:AJ$114,$F29+1)+IF(AND($E29=1,JW29=0),1000,0),MIN(TV29,20)*400+(IF('calcA'!AI$106=1,1-EG29,0)+IF('calcA'!AJ$106=1,1-EI29,0))*150+92+'calcA'!AJ$5*100000+IF(AND($E29=1,JW29=0),50000,0))+IF($H29=1,INDEX('calcA'!$D$180:$EQ$219,$B29,33)*4000,0)-IF(AND('calcA'!AI$117=1,VG29&gt;0),2000,0)-IF(AND($U29=1,'calcA'!AJ$117=1,EI29=0),2000,0))),1000000000))</f>
        <v/>
      </c>
      <c r="PM29">
        <f>IF($B29=0,1000000000,IF(INDEX('calcA'!$D$60:$EQ$99,$B29,34)*IF($W29=1,EI29+AAX29,EI29)=1,IF(AND($E29=2,IF($W29=1,AGM29,JX29)=0),1000000000,IF($V29=1,INDEX('calcA'!$D$130:$EQ$169,$B29,34)+IF(AND($E29=1,JX29=0),25,0),IF($F29&gt;0,INDEX('calcA'!AK$110:AK$114,$F29+1)+IF(AND($E29=1,JX29=0),1000,0),MIN(TV29,20)*400+(IF('calcA'!AJ$106=1,1-EH29,0)+IF('calcA'!AK$106=1,1-EJ29,0))*150+102+'calcA'!AK$5*100000+IF(AND($E29=1,JX29=0),50000,0))+IF($H29=1,INDEX('calcA'!$D$180:$EQ$219,$B29,34)*4000,0)-IF(AND('calcA'!AJ$117=1,VH29&gt;0),2000,0)-IF(AND($U29=1,'calcA'!AK$117=1,EJ29=0),2000,0))),1000000000))</f>
        <v/>
      </c>
      <c r="PN29">
        <f>IF($B29=0,1000000000,IF(INDEX('calcA'!$D$60:$EQ$99,$B29,35)*IF($W29=1,EJ29+AAY29,EJ29)=1,IF(AND($E29=2,IF($W29=1,AGN29,JY29)=0),1000000000,IF($V29=1,INDEX('calcA'!$D$130:$EQ$169,$B29,35)+IF(AND($E29=1,JY29=0),25,0),IF($F29&gt;0,INDEX('calcA'!AL$110:AL$114,$F29+1)+IF(AND($E29=1,JY29=0),1000,0),MIN(TV29,20)*400+(IF('calcA'!AK$106=1,1-EI29,0)+IF('calcA'!AL$106=1,1-EK29,0))*150+112+'calcA'!AL$5*100000+IF(AND($E29=1,JY29=0),50000,0))+IF($H29=1,INDEX('calcA'!$D$180:$EQ$219,$B29,35)*4000,0)-IF(AND('calcA'!AK$117=1,VI29&gt;0),2000,0)-IF(AND($U29=1,'calcA'!AL$117=1,EK29=0),2000,0))),1000000000))</f>
        <v/>
      </c>
      <c r="PO29">
        <f>IF($B29=0,1000000000,IF(INDEX('calcA'!$D$60:$EQ$99,$B29,36)*IF($W29=1,EK29+AAZ29,EK29)=1,IF(AND($E29=2,IF($W29=1,AGO29,JZ29)=0),1000000000,IF($V29=1,INDEX('calcA'!$D$130:$EQ$169,$B29,36)+IF(AND($E29=1,JZ29=0),25,0),IF($F29&gt;0,INDEX('calcA'!AM$110:AM$114,$F29+1)+IF(AND($E29=1,JZ29=0),1000,0),MIN(TV29,20)*400+(IF('calcA'!AL$106=1,1-EJ29,0)+IF('calcA'!AM$106=1,1-EL29,0))*150+122+'calcA'!AM$5*100000+IF(AND($E29=1,JZ29=0),50000,0))+IF($H29=1,INDEX('calcA'!$D$180:$EQ$219,$B29,36)*4000,0)-IF(AND('calcA'!AL$117=1,VJ29&gt;0),2000,0)-IF(AND($U29=1,'calcA'!AM$117=1,EL29=0),2000,0))),1000000000))</f>
        <v/>
      </c>
      <c r="PP29">
        <f>IF($B29=0,1000000000,IF(INDEX('calcA'!$D$60:$EQ$99,$B29,37)*IF($W29=1,EL29+ABA29,EL29)=1,IF(AND($E29=2,IF($W29=1,AGP29,KA29)=0),1000000000,IF($V29=1,INDEX('calcA'!$D$130:$EQ$169,$B29,37)+IF(AND($E29=1,KA29=0),25,0),IF($F29&gt;0,INDEX('calcA'!AN$110:AN$114,$F29+1)+IF(AND($E29=1,KA29=0),1000,0),MIN(TV29,20)*400+(IF('calcA'!AM$106=1,1-EK29,0)+IF('calcA'!AN$106=1,1-EM29,0))*150+132+'calcA'!AN$5*100000+IF(AND($E29=1,KA29=0),50000,0))+IF($H29=1,INDEX('calcA'!$D$180:$EQ$219,$B29,37)*4000,0)-IF(AND('calcA'!AM$117=1,VK29&gt;0),2000,0)-IF(AND($U29=1,'calcA'!AN$117=1,EM29=0),2000,0))),1000000000))</f>
        <v/>
      </c>
      <c r="PQ29">
        <f>IF($B29=0,1000000000,IF(INDEX('calcA'!$D$60:$EQ$99,$B29,38)*IF($W29=1,EM29+ABB29,EM29)=1,IF(AND($E29=2,IF($W29=1,AGQ29,KB29)=0),1000000000,IF($V29=1,INDEX('calcA'!$D$130:$EQ$169,$B29,38)+IF(AND($E29=1,KB29=0),25,0),IF($F29&gt;0,INDEX('calcA'!AO$110:AO$114,$F29+1)+IF(AND($E29=1,KB29=0),1000,0),MIN(TV29,20)*400+(IF('calcA'!AN$106=1,1-EL29,0)+IF('calcA'!AO$106=1,1-EN29,0))*150+142+'calcA'!AO$5*100000+IF(AND($E29=1,KB29=0),50000,0))+IF($H29=1,INDEX('calcA'!$D$180:$EQ$219,$B29,38)*4000,0)-IF(AND('calcA'!AN$117=1,VL29&gt;0),2000,0)-IF(AND($U29=1,'calcA'!AO$117=1,EN29=0),2000,0))),1000000000))</f>
        <v/>
      </c>
      <c r="PR29">
        <f>IF($B29=0,1000000000,IF(INDEX('calcA'!$D$60:$EQ$99,$B29,39)*IF($W29=1,EN29+ABC29,EN29)=1,IF(AND($E29=2,IF($W29=1,AGR29,KC29)=0),1000000000,IF($V29=1,INDEX('calcA'!$D$130:$EQ$169,$B29,39)+IF(AND($E29=1,KC29=0),25,0),IF($F29&gt;0,INDEX('calcA'!AP$110:AP$114,$F29+1)+IF(AND($E29=1,KC29=0),1000,0),MIN(TV29,20)*400+(IF('calcA'!AO$106=1,1-EM29,0)+IF('calcA'!AP$106=1,1-EO29,0))*150+152+'calcA'!AP$5*100000+IF(AND($E29=1,KC29=0),50000,0))+IF($H29=1,INDEX('calcA'!$D$180:$EQ$219,$B29,39)*4000,0)-IF(AND('calcA'!AO$117=1,VM29&gt;0),2000,0)-IF(AND($U29=1,'calcA'!AP$117=1,EO29=0),2000,0))),1000000000))</f>
        <v/>
      </c>
      <c r="PS29">
        <f>IF($B29=0,1000000000,IF(INDEX('calcA'!$D$60:$EQ$99,$B29,40)*IF($W29=1,EO29+ABD29,EO29)=1,IF(AND($E29=2,IF($W29=1,AGS29,KD29)=0),1000000000,IF($V29=1,INDEX('calcA'!$D$130:$EQ$169,$B29,40)+IF(AND($E29=1,KD29=0),25,0),IF($F29&gt;0,INDEX('calcA'!AQ$110:AQ$114,$F29+1)+IF(AND($E29=1,KD29=0),1000,0),MIN(TV29,20)*400+(IF('calcA'!AP$106=1,1-EN29,0)+IF('calcA'!AQ$106=1,1-EP29,0))*150+162+'calcA'!AQ$5*100000+IF(AND($E29=1,KD29=0),50000,0))+IF($H29=1,INDEX('calcA'!$D$180:$EQ$219,$B29,40)*4000,0)-IF(AND('calcA'!AP$117=1,VN29&gt;0),2000,0)-IF(AND($U29=1,'calcA'!AQ$117=1,EP29=0),2000,0))),1000000000))</f>
        <v/>
      </c>
      <c r="PT29">
        <f>IF($B29=0,1000000000,IF(INDEX('calcA'!$D$60:$EQ$99,$B29,41)*IF($W29=1,EP29+ABE29,EP29)=1,IF(AND($E29=2,IF($W29=1,AGT29,KE29)=0),1000000000,IF($V29=1,INDEX('calcA'!$D$130:$EQ$169,$B29,41)+IF(AND($E29=1,KE29=0),25,0),IF($F29&gt;0,INDEX('calcA'!AR$110:AR$114,$F29+1)+IF(AND($E29=1,KE29=0),1000,0),MIN(TV29,20)*400+(IF('calcA'!AQ$106=1,1-EO29,0)+IF('calcA'!AR$106=1,1-EQ29,0))*150+172+'calcA'!AR$5*100000+IF(AND($E29=1,KE29=0),50000,0))+IF($H29=1,INDEX('calcA'!$D$180:$EQ$219,$B29,41)*4000,0)-IF(AND('calcA'!AQ$117=1,VO29&gt;0),2000,0)-IF(AND($U29=1,'calcA'!AR$117=1,EQ29=0),2000,0))),1000000000))</f>
        <v/>
      </c>
      <c r="PU29">
        <f>IF($B29=0,1000000000,IF(INDEX('calcA'!$D$60:$EQ$99,$B29,42)*IF($W29=1,EQ29+ABF29,EQ29)=1,IF(AND($E29=2,IF($W29=1,AGU29,KF29)=0),1000000000,IF($V29=1,INDEX('calcA'!$D$130:$EQ$169,$B29,42)+IF(AND($E29=1,KF29=0),25,0),IF($F29&gt;0,INDEX('calcA'!AS$110:AS$114,$F29+1)+IF(AND($E29=1,KF29=0),1000,0),MIN(TV29,20)*400+(IF('calcA'!AR$106=1,1-EP29,0)+IF('calcA'!AS$106=1,1-ER29,0))*150+182+'calcA'!AS$5*100000+IF(AND($E29=1,KF29=0),50000,0))+IF($H29=1,INDEX('calcA'!$D$180:$EQ$219,$B29,42)*4000,0)-IF(AND('calcA'!AR$117=1,VP29&gt;0),2000,0)-IF(AND($U29=1,'calcA'!AS$117=1,ER29=0),2000,0))),1000000000))</f>
        <v/>
      </c>
      <c r="PV29">
        <f>IF($B29=0,1000000000,IF(INDEX('calcA'!$D$60:$EQ$99,$B29,43)*IF($W29=1,ER29+ABG29,ER29)=1,IF(AND($E29=2,IF($W29=1,AGV29,KG29)=0),1000000000,IF($V29=1,INDEX('calcA'!$D$130:$EQ$169,$B29,43)+IF(AND($E29=1,KG29=0),25,0),IF($F29&gt;0,INDEX('calcA'!AT$110:AT$114,$F29+1)+IF(AND($E29=1,KG29=0),1000,0),MIN(TV29,20)*400+(IF('calcA'!AS$106=1,1-EQ29,0)+IF('calcA'!AT$106=1,1-ES29,0))*150+192+'calcA'!AT$5*100000+IF(AND($E29=1,KG29=0),50000,0))+IF($H29=1,INDEX('calcA'!$D$180:$EQ$219,$B29,43)*4000,0)-IF(AND('calcA'!AS$117=1,VQ29&gt;0),2000,0)-IF(AND($U29=1,'calcA'!AT$117=1,ES29=0),2000,0))),1000000000))</f>
        <v/>
      </c>
      <c r="PW29">
        <f>IF($B29=0,1000000000,IF(INDEX('calcA'!$D$60:$EQ$99,$B29,44)*IF($W29=1,ES29+ABH29,ES29)=1,IF(AND($E29=2,IF($W29=1,AGW29,KH29)=0),1000000000,IF($V29=1,INDEX('calcA'!$D$130:$EQ$169,$B29,44)+IF(AND($E29=1,KH29=0),25,0),IF($F29&gt;0,INDEX('calcA'!AU$110:AU$114,$F29+1)+IF(AND($E29=1,KH29=0),1000,0),MIN(TV29,20)*400+(IF('calcA'!AT$106=1,1-ER29,0)+IF('calcA'!AU$106=1,1-ET29,0))*150+202+'calcA'!AU$5*100000+IF(AND($E29=1,KH29=0),50000,0))+IF($H29=1,INDEX('calcA'!$D$180:$EQ$219,$B29,44)*4000,0)-IF(AND('calcA'!AT$117=1,VR29&gt;0),2000,0)-IF(AND($U29=1,'calcA'!AU$117=1,ET29=0),2000,0))),1000000000))</f>
        <v/>
      </c>
      <c r="PX29">
        <f>IF($B29=0,1000000000,IF(INDEX('calcA'!$D$60:$EQ$99,$B29,45)*IF($W29=1,ET29+ABI29,ET29)=1,IF(AND($E29=2,IF($W29=1,AGX29,KI29)=0),1000000000,IF($V29=1,INDEX('calcA'!$D$130:$EQ$169,$B29,45)+IF(AND($E29=1,KI29=0),25,0),IF($F29&gt;0,INDEX('calcA'!AV$110:AV$114,$F29+1)+IF(AND($E29=1,KI29=0),1000,0),MIN(TV29,20)*400+(IF('calcA'!AU$106=1,1-ES29,0)+IF('calcA'!AV$106=1,1-EU29,0))*150+212+'calcA'!AV$5*100000+IF(AND($E29=1,KI29=0),50000,0))+IF($H29=1,INDEX('calcA'!$D$180:$EQ$219,$B29,45)*4000,0)-IF(AND('calcA'!AU$117=1,VS29&gt;0),2000,0)-IF(AND($U29=1,'calcA'!AV$117=1,EU29=0),2000,0))),1000000000))</f>
        <v/>
      </c>
      <c r="PY29">
        <f>IF($B29=0,1000000000,IF(INDEX('calcA'!$D$60:$EQ$99,$B29,46)*IF($W29=1,EU29+ABJ29,EU29)=1,IF(AND($E29=2,IF($W29=1,AGY29,KJ29)=0),1000000000,IF($V29=1,INDEX('calcA'!$D$130:$EQ$169,$B29,46)+IF(AND($E29=1,KJ29=0),25,0),IF($F29&gt;0,INDEX('calcA'!AW$110:AW$114,$F29+1)+IF(AND($E29=1,KJ29=0),1000,0),MIN(TV29,20)*400+(IF('calcA'!AV$106=1,1-ET29,0)+IF('calcA'!AW$106=1,1-EV29,0))*150+222+'calcA'!AW$5*100000+IF(AND($E29=1,KJ29=0),50000,0))+IF($H29=1,INDEX('calcA'!$D$180:$EQ$219,$B29,46)*4000,0)-IF(AND('calcA'!AV$117=1,VT29&gt;0),2000,0)-IF(AND($U29=1,'calcA'!AW$117=1,EV29=0),2000,0))),1000000000))</f>
        <v/>
      </c>
      <c r="PZ29">
        <f>IF($B29=0,1000000000,IF(INDEX('calcA'!$D$60:$EQ$99,$B29,47)*IF($W29=1,EV29+ABK29,EV29)=1,IF(AND($E29=2,IF($W29=1,AGZ29,KK29)=0),1000000000,IF($V29=1,INDEX('calcA'!$D$130:$EQ$169,$B29,47)+IF(AND($E29=1,KK29=0),25,0),IF($F29&gt;0,INDEX('calcA'!AX$110:AX$114,$F29+1)+IF(AND($E29=1,KK29=0),1000,0),MIN(TV29,20)*400+(IF('calcA'!AW$106=1,1-EU29,0)+IF('calcA'!AX$106=1,1-EW29,0))*150+232+'calcA'!AX$5*100000+IF(AND($E29=1,KK29=0),50000,0))+IF($H29=1,INDEX('calcA'!$D$180:$EQ$219,$B29,47)*4000,0)-IF(AND('calcA'!AW$117=1,VU29&gt;0),2000,0)-IF(AND($U29=1,'calcA'!AX$117=1,EW29=0),2000,0))),1000000000))</f>
        <v/>
      </c>
      <c r="QA29">
        <f>IF($B29=0,1000000000,IF(INDEX('calcA'!$D$60:$EQ$99,$B29,48)*IF($W29=1,EW29+ABL29,EW29)=1,IF(AND($E29=2,IF($W29=1,AHA29,KL29)=0),1000000000,IF($V29=1,INDEX('calcA'!$D$130:$EQ$169,$B29,48)+IF(AND($E29=1,KL29=0),25,0),IF($F29&gt;0,INDEX('calcA'!AY$110:AY$114,$F29+1)+IF(AND($E29=1,KL29=0),1000,0),MIN(TV29,20)*400+(IF('calcA'!AX$106=1,1-EV29,0))*150+242+'calcA'!AY$5*100000+IF(AND($E29=1,KL29=0),50000,0))+IF($H29=1,INDEX('calcA'!$D$180:$EQ$219,$B29,48)*4000,0)-IF(AND('calcA'!AX$117=1,VV29&gt;0),2000,0))),1000000000))</f>
        <v/>
      </c>
      <c r="QB29">
        <f>IF($B29=0,1000000000,IF(INDEX('calcA'!$D$60:$EQ$99,$B29,49)*IF($W29=1,EX29+ABM29,EX29)=1,IF(AND($E29=2,IF($W29=1,AHB29,KM29)=0),1000000000,IF($V29=1,INDEX('calcA'!$D$130:$EQ$169,$B29,49)+IF(AND($E29=1,KM29=0),25,0),IF($F29&gt;0,INDEX('calcA'!AZ$110:AZ$114,$F29+1)+IF(AND($E29=1,KM29=0),1000,0),MIN(TW29,20)*400+(IF('calcA'!AZ$106=1,1-EY29,0))*150+13+'calcA'!AZ$5*100000+IF(AND($E29=1,KM29=0),50000,0))+IF($H29=1,INDEX('calcA'!$D$180:$EQ$219,$B29,49)*4000,0)-IF(AND($U29=1,'calcA'!AZ$117=1,EY29=0),2000,0))),1000000000))</f>
        <v/>
      </c>
      <c r="QC29">
        <f>IF($B29=0,1000000000,IF(INDEX('calcA'!$D$60:$EQ$99,$B29,50)*IF($W29=1,EY29+ABN29,EY29)=1,IF(AND($E29=2,IF($W29=1,AHC29,KN29)=0),1000000000,IF($V29=1,INDEX('calcA'!$D$130:$EQ$169,$B29,50)+IF(AND($E29=1,KN29=0),25,0),IF($F29&gt;0,INDEX('calcA'!BA$110:BA$114,$F29+1)+IF(AND($E29=1,KN29=0),1000,0),MIN(TW29,20)*400+(IF('calcA'!AZ$106=1,1-EX29,0)+IF('calcA'!BA$106=1,1-EZ29,0))*150+23+'calcA'!BA$5*100000+IF(AND($E29=1,KN29=0),50000,0))+IF($H29=1,INDEX('calcA'!$D$180:$EQ$219,$B29,50)*4000,0)-IF(AND('calcA'!AZ$117=1,VX29&gt;0),2000,0)-IF(AND($U29=1,'calcA'!BA$117=1,EZ29=0),2000,0))),1000000000))</f>
        <v/>
      </c>
      <c r="QD29">
        <f>IF($B29=0,1000000000,IF(INDEX('calcA'!$D$60:$EQ$99,$B29,51)*IF($W29=1,EZ29+ABO29,EZ29)=1,IF(AND($E29=2,IF($W29=1,AHD29,KO29)=0),1000000000,IF($V29=1,INDEX('calcA'!$D$130:$EQ$169,$B29,51)+IF(AND($E29=1,KO29=0),25,0),IF($F29&gt;0,INDEX('calcA'!BB$110:BB$114,$F29+1)+IF(AND($E29=1,KO29=0),1000,0),MIN(TW29,20)*400+(IF('calcA'!BA$106=1,1-EY29,0)+IF('calcA'!BB$106=1,1-FA29,0))*150+33+'calcA'!BB$5*100000+IF(AND($E29=1,KO29=0),50000,0))+IF($H29=1,INDEX('calcA'!$D$180:$EQ$219,$B29,51)*4000,0)-IF(AND('calcA'!BA$117=1,VY29&gt;0),2000,0)-IF(AND($U29=1,'calcA'!BB$117=1,FA29=0),2000,0))),1000000000))</f>
        <v/>
      </c>
      <c r="QE29">
        <f>IF($B29=0,1000000000,IF(INDEX('calcA'!$D$60:$EQ$99,$B29,52)*IF($W29=1,FA29+ABP29,FA29)=1,IF(AND($E29=2,IF($W29=1,AHE29,KP29)=0),1000000000,IF($V29=1,INDEX('calcA'!$D$130:$EQ$169,$B29,52)+IF(AND($E29=1,KP29=0),25,0),IF($F29&gt;0,INDEX('calcA'!BC$110:BC$114,$F29+1)+IF(AND($E29=1,KP29=0),1000,0),MIN(TW29,20)*400+(IF('calcA'!BB$106=1,1-EZ29,0)+IF('calcA'!BC$106=1,1-FB29,0))*150+43+'calcA'!BC$5*100000+IF(AND($E29=1,KP29=0),50000,0))+IF($H29=1,INDEX('calcA'!$D$180:$EQ$219,$B29,52)*4000,0)-IF(AND('calcA'!BB$117=1,VZ29&gt;0),2000,0)-IF(AND($U29=1,'calcA'!BC$117=1,FB29=0),2000,0))),1000000000))</f>
        <v/>
      </c>
      <c r="QF29">
        <f>IF($B29=0,1000000000,IF(INDEX('calcA'!$D$60:$EQ$99,$B29,53)*IF($W29=1,FB29+ABQ29,FB29)=1,IF(AND($E29=2,IF($W29=1,AHF29,KQ29)=0),1000000000,IF($V29=1,INDEX('calcA'!$D$130:$EQ$169,$B29,53)+IF(AND($E29=1,KQ29=0),25,0),IF($F29&gt;0,INDEX('calcA'!BD$110:BD$114,$F29+1)+IF(AND($E29=1,KQ29=0),1000,0),MIN(TW29,20)*400+(IF('calcA'!BC$106=1,1-FA29,0)+IF('calcA'!BD$106=1,1-FC29,0))*150+53+'calcA'!BD$5*100000+IF(AND($E29=1,KQ29=0),50000,0))+IF($H29=1,INDEX('calcA'!$D$180:$EQ$219,$B29,53)*4000,0)-IF(AND('calcA'!BC$117=1,WA29&gt;0),2000,0)-IF(AND($U29=1,'calcA'!BD$117=1,FC29=0),2000,0))),1000000000))</f>
        <v/>
      </c>
      <c r="QG29">
        <f>IF($B29=0,1000000000,IF(INDEX('calcA'!$D$60:$EQ$99,$B29,54)*IF($W29=1,FC29+ABR29,FC29)=1,IF(AND($E29=2,IF($W29=1,AHG29,KR29)=0),1000000000,IF($V29=1,INDEX('calcA'!$D$130:$EQ$169,$B29,54)+IF(AND($E29=1,KR29=0),25,0),IF($F29&gt;0,INDEX('calcA'!BE$110:BE$114,$F29+1)+IF(AND($E29=1,KR29=0),1000,0),MIN(TW29,20)*400+(IF('calcA'!BD$106=1,1-FB29,0)+IF('calcA'!BE$106=1,1-FD29,0))*150+63+'calcA'!BE$5*100000+IF(AND($E29=1,KR29=0),50000,0))+IF($H29=1,INDEX('calcA'!$D$180:$EQ$219,$B29,54)*4000,0)-IF(AND('calcA'!BD$117=1,WB29&gt;0),2000,0)-IF(AND($U29=1,'calcA'!BE$117=1,FD29=0),2000,0))),1000000000))</f>
        <v/>
      </c>
      <c r="QH29">
        <f>IF($B29=0,1000000000,IF(INDEX('calcA'!$D$60:$EQ$99,$B29,55)*IF($W29=1,FD29+ABS29,FD29)=1,IF(AND($E29=2,IF($W29=1,AHH29,KS29)=0),1000000000,IF($V29=1,INDEX('calcA'!$D$130:$EQ$169,$B29,55)+IF(AND($E29=1,KS29=0),25,0),IF($F29&gt;0,INDEX('calcA'!BF$110:BF$114,$F29+1)+IF(AND($E29=1,KS29=0),1000,0),MIN(TW29,20)*400+(IF('calcA'!BE$106=1,1-FC29,0)+IF('calcA'!BF$106=1,1-FE29,0))*150+73+'calcA'!BF$5*100000+IF(AND($E29=1,KS29=0),50000,0))+IF($H29=1,INDEX('calcA'!$D$180:$EQ$219,$B29,55)*4000,0)-IF(AND('calcA'!BE$117=1,WC29&gt;0),2000,0)-IF(AND($U29=1,'calcA'!BF$117=1,FE29=0),2000,0))),1000000000))</f>
        <v/>
      </c>
      <c r="QI29">
        <f>IF($B29=0,1000000000,IF(INDEX('calcA'!$D$60:$EQ$99,$B29,56)*IF($W29=1,FE29+ABT29,FE29)=1,IF(AND($E29=2,IF($W29=1,AHI29,KT29)=0),1000000000,IF($V29=1,INDEX('calcA'!$D$130:$EQ$169,$B29,56)+IF(AND($E29=1,KT29=0),25,0),IF($F29&gt;0,INDEX('calcA'!BG$110:BG$114,$F29+1)+IF(AND($E29=1,KT29=0),1000,0),MIN(TW29,20)*400+(IF('calcA'!BF$106=1,1-FD29,0)+IF('calcA'!BG$106=1,1-FF29,0))*150+83+'calcA'!BG$5*100000+IF(AND($E29=1,KT29=0),50000,0))+IF($H29=1,INDEX('calcA'!$D$180:$EQ$219,$B29,56)*4000,0)-IF(AND('calcA'!BF$117=1,WD29&gt;0),2000,0)-IF(AND($U29=1,'calcA'!BG$117=1,FF29=0),2000,0))),1000000000))</f>
        <v/>
      </c>
      <c r="QJ29">
        <f>IF($B29=0,1000000000,IF(INDEX('calcA'!$D$60:$EQ$99,$B29,57)*IF($W29=1,FF29+ABU29,FF29)=1,IF(AND($E29=2,IF($W29=1,AHJ29,KU29)=0),1000000000,IF($V29=1,INDEX('calcA'!$D$130:$EQ$169,$B29,57)+IF(AND($E29=1,KU29=0),25,0),IF($F29&gt;0,INDEX('calcA'!BH$110:BH$114,$F29+1)+IF(AND($E29=1,KU29=0),1000,0),MIN(TW29,20)*400+(IF('calcA'!BG$106=1,1-FE29,0)+IF('calcA'!BH$106=1,1-FG29,0))*150+93+'calcA'!BH$5*100000+IF(AND($E29=1,KU29=0),50000,0))+IF($H29=1,INDEX('calcA'!$D$180:$EQ$219,$B29,57)*4000,0)-IF(AND('calcA'!BG$117=1,WE29&gt;0),2000,0)-IF(AND($U29=1,'calcA'!BH$117=1,FG29=0),2000,0))),1000000000))</f>
        <v/>
      </c>
      <c r="QK29">
        <f>IF($B29=0,1000000000,IF(INDEX('calcA'!$D$60:$EQ$99,$B29,58)*IF($W29=1,FG29+ABV29,FG29)=1,IF(AND($E29=2,IF($W29=1,AHK29,KV29)=0),1000000000,IF($V29=1,INDEX('calcA'!$D$130:$EQ$169,$B29,58)+IF(AND($E29=1,KV29=0),25,0),IF($F29&gt;0,INDEX('calcA'!BI$110:BI$114,$F29+1)+IF(AND($E29=1,KV29=0),1000,0),MIN(TW29,20)*400+(IF('calcA'!BH$106=1,1-FF29,0)+IF('calcA'!BI$106=1,1-FH29,0))*150+103+'calcA'!BI$5*100000+IF(AND($E29=1,KV29=0),50000,0))+IF($H29=1,INDEX('calcA'!$D$180:$EQ$219,$B29,58)*4000,0)-IF(AND('calcA'!BH$117=1,WF29&gt;0),2000,0)-IF(AND($U29=1,'calcA'!BI$117=1,FH29=0),2000,0))),1000000000))</f>
        <v/>
      </c>
      <c r="QL29">
        <f>IF($B29=0,1000000000,IF(INDEX('calcA'!$D$60:$EQ$99,$B29,59)*IF($W29=1,FH29+ABW29,FH29)=1,IF(AND($E29=2,IF($W29=1,AHL29,KW29)=0),1000000000,IF($V29=1,INDEX('calcA'!$D$130:$EQ$169,$B29,59)+IF(AND($E29=1,KW29=0),25,0),IF($F29&gt;0,INDEX('calcA'!BJ$110:BJ$114,$F29+1)+IF(AND($E29=1,KW29=0),1000,0),MIN(TW29,20)*400+(IF('calcA'!BI$106=1,1-FG29,0)+IF('calcA'!BJ$106=1,1-FI29,0))*150+113+'calcA'!BJ$5*100000+IF(AND($E29=1,KW29=0),50000,0))+IF($H29=1,INDEX('calcA'!$D$180:$EQ$219,$B29,59)*4000,0)-IF(AND('calcA'!BI$117=1,WG29&gt;0),2000,0)-IF(AND($U29=1,'calcA'!BJ$117=1,FI29=0),2000,0))),1000000000))</f>
        <v/>
      </c>
      <c r="QM29">
        <f>IF($B29=0,1000000000,IF(INDEX('calcA'!$D$60:$EQ$99,$B29,60)*IF($W29=1,FI29+ABX29,FI29)=1,IF(AND($E29=2,IF($W29=1,AHM29,KX29)=0),1000000000,IF($V29=1,INDEX('calcA'!$D$130:$EQ$169,$B29,60)+IF(AND($E29=1,KX29=0),25,0),IF($F29&gt;0,INDEX('calcA'!BK$110:BK$114,$F29+1)+IF(AND($E29=1,KX29=0),1000,0),MIN(TW29,20)*400+(IF('calcA'!BJ$106=1,1-FH29,0)+IF('calcA'!BK$106=1,1-FJ29,0))*150+123+'calcA'!BK$5*100000+IF(AND($E29=1,KX29=0),50000,0))+IF($H29=1,INDEX('calcA'!$D$180:$EQ$219,$B29,60)*4000,0)-IF(AND('calcA'!BJ$117=1,WH29&gt;0),2000,0)-IF(AND($U29=1,'calcA'!BK$117=1,FJ29=0),2000,0))),1000000000))</f>
        <v/>
      </c>
      <c r="QN29">
        <f>IF($B29=0,1000000000,IF(INDEX('calcA'!$D$60:$EQ$99,$B29,61)*IF($W29=1,FJ29+ABY29,FJ29)=1,IF(AND($E29=2,IF($W29=1,AHN29,KY29)=0),1000000000,IF($V29=1,INDEX('calcA'!$D$130:$EQ$169,$B29,61)+IF(AND($E29=1,KY29=0),25,0),IF($F29&gt;0,INDEX('calcA'!BL$110:BL$114,$F29+1)+IF(AND($E29=1,KY29=0),1000,0),MIN(TW29,20)*400+(IF('calcA'!BK$106=1,1-FI29,0)+IF('calcA'!BL$106=1,1-FK29,0))*150+133+'calcA'!BL$5*100000+IF(AND($E29=1,KY29=0),50000,0))+IF($H29=1,INDEX('calcA'!$D$180:$EQ$219,$B29,61)*4000,0)-IF(AND('calcA'!BK$117=1,WI29&gt;0),2000,0)-IF(AND($U29=1,'calcA'!BL$117=1,FK29=0),2000,0))),1000000000))</f>
        <v/>
      </c>
      <c r="QO29">
        <f>IF($B29=0,1000000000,IF(INDEX('calcA'!$D$60:$EQ$99,$B29,62)*IF($W29=1,FK29+ABZ29,FK29)=1,IF(AND($E29=2,IF($W29=1,AHO29,KZ29)=0),1000000000,IF($V29=1,INDEX('calcA'!$D$130:$EQ$169,$B29,62)+IF(AND($E29=1,KZ29=0),25,0),IF($F29&gt;0,INDEX('calcA'!BM$110:BM$114,$F29+1)+IF(AND($E29=1,KZ29=0),1000,0),MIN(TW29,20)*400+(IF('calcA'!BL$106=1,1-FJ29,0)+IF('calcA'!BM$106=1,1-FL29,0))*150+143+'calcA'!BM$5*100000+IF(AND($E29=1,KZ29=0),50000,0))+IF($H29=1,INDEX('calcA'!$D$180:$EQ$219,$B29,62)*4000,0)-IF(AND('calcA'!BL$117=1,WJ29&gt;0),2000,0)-IF(AND($U29=1,'calcA'!BM$117=1,FL29=0),2000,0))),1000000000))</f>
        <v/>
      </c>
      <c r="QP29">
        <f>IF($B29=0,1000000000,IF(INDEX('calcA'!$D$60:$EQ$99,$B29,63)*IF($W29=1,FL29+ACA29,FL29)=1,IF(AND($E29=2,IF($W29=1,AHP29,LA29)=0),1000000000,IF($V29=1,INDEX('calcA'!$D$130:$EQ$169,$B29,63)+IF(AND($E29=1,LA29=0),25,0),IF($F29&gt;0,INDEX('calcA'!BN$110:BN$114,$F29+1)+IF(AND($E29=1,LA29=0),1000,0),MIN(TW29,20)*400+(IF('calcA'!BM$106=1,1-FK29,0)+IF('calcA'!BN$106=1,1-FM29,0))*150+153+'calcA'!BN$5*100000+IF(AND($E29=1,LA29=0),50000,0))+IF($H29=1,INDEX('calcA'!$D$180:$EQ$219,$B29,63)*4000,0)-IF(AND('calcA'!BM$117=1,WK29&gt;0),2000,0)-IF(AND($U29=1,'calcA'!BN$117=1,FM29=0),2000,0))),1000000000))</f>
        <v/>
      </c>
      <c r="QQ29">
        <f>IF($B29=0,1000000000,IF(INDEX('calcA'!$D$60:$EQ$99,$B29,64)*IF($W29=1,FM29+ACB29,FM29)=1,IF(AND($E29=2,IF($W29=1,AHQ29,LB29)=0),1000000000,IF($V29=1,INDEX('calcA'!$D$130:$EQ$169,$B29,64)+IF(AND($E29=1,LB29=0),25,0),IF($F29&gt;0,INDEX('calcA'!BO$110:BO$114,$F29+1)+IF(AND($E29=1,LB29=0),1000,0),MIN(TW29,20)*400+(IF('calcA'!BN$106=1,1-FL29,0)+IF('calcA'!BO$106=1,1-FN29,0))*150+163+'calcA'!BO$5*100000+IF(AND($E29=1,LB29=0),50000,0))+IF($H29=1,INDEX('calcA'!$D$180:$EQ$219,$B29,64)*4000,0)-IF(AND('calcA'!BN$117=1,WL29&gt;0),2000,0)-IF(AND($U29=1,'calcA'!BO$117=1,FN29=0),2000,0))),1000000000))</f>
        <v/>
      </c>
      <c r="QR29">
        <f>IF($B29=0,1000000000,IF(INDEX('calcA'!$D$60:$EQ$99,$B29,65)*IF($W29=1,FN29+ACC29,FN29)=1,IF(AND($E29=2,IF($W29=1,AHR29,LC29)=0),1000000000,IF($V29=1,INDEX('calcA'!$D$130:$EQ$169,$B29,65)+IF(AND($E29=1,LC29=0),25,0),IF($F29&gt;0,INDEX('calcA'!BP$110:BP$114,$F29+1)+IF(AND($E29=1,LC29=0),1000,0),MIN(TW29,20)*400+(IF('calcA'!BO$106=1,1-FM29,0)+IF('calcA'!BP$106=1,1-FO29,0))*150+173+'calcA'!BP$5*100000+IF(AND($E29=1,LC29=0),50000,0))+IF($H29=1,INDEX('calcA'!$D$180:$EQ$219,$B29,65)*4000,0)-IF(AND('calcA'!BO$117=1,WM29&gt;0),2000,0)-IF(AND($U29=1,'calcA'!BP$117=1,FO29=0),2000,0))),1000000000))</f>
        <v/>
      </c>
      <c r="QS29">
        <f>IF($B29=0,1000000000,IF(INDEX('calcA'!$D$60:$EQ$99,$B29,66)*IF($W29=1,FO29+ACD29,FO29)=1,IF(AND($E29=2,IF($W29=1,AHS29,LD29)=0),1000000000,IF($V29=1,INDEX('calcA'!$D$130:$EQ$169,$B29,66)+IF(AND($E29=1,LD29=0),25,0),IF($F29&gt;0,INDEX('calcA'!BQ$110:BQ$114,$F29+1)+IF(AND($E29=1,LD29=0),1000,0),MIN(TW29,20)*400+(IF('calcA'!BP$106=1,1-FN29,0)+IF('calcA'!BQ$106=1,1-FP29,0))*150+183+'calcA'!BQ$5*100000+IF(AND($E29=1,LD29=0),50000,0))+IF($H29=1,INDEX('calcA'!$D$180:$EQ$219,$B29,66)*4000,0)-IF(AND('calcA'!BP$117=1,WN29&gt;0),2000,0)-IF(AND($U29=1,'calcA'!BQ$117=1,FP29=0),2000,0))),1000000000))</f>
        <v/>
      </c>
      <c r="QT29">
        <f>IF($B29=0,1000000000,IF(INDEX('calcA'!$D$60:$EQ$99,$B29,67)*IF($W29=1,FP29+ACE29,FP29)=1,IF(AND($E29=2,IF($W29=1,AHT29,LE29)=0),1000000000,IF($V29=1,INDEX('calcA'!$D$130:$EQ$169,$B29,67)+IF(AND($E29=1,LE29=0),25,0),IF($F29&gt;0,INDEX('calcA'!BR$110:BR$114,$F29+1)+IF(AND($E29=1,LE29=0),1000,0),MIN(TW29,20)*400+(IF('calcA'!BQ$106=1,1-FO29,0)+IF('calcA'!BR$106=1,1-FQ29,0))*150+193+'calcA'!BR$5*100000+IF(AND($E29=1,LE29=0),50000,0))+IF($H29=1,INDEX('calcA'!$D$180:$EQ$219,$B29,67)*4000,0)-IF(AND('calcA'!BQ$117=1,WO29&gt;0),2000,0)-IF(AND($U29=1,'calcA'!BR$117=1,FQ29=0),2000,0))),1000000000))</f>
        <v/>
      </c>
      <c r="QU29">
        <f>IF($B29=0,1000000000,IF(INDEX('calcA'!$D$60:$EQ$99,$B29,68)*IF($W29=1,FQ29+ACF29,FQ29)=1,IF(AND($E29=2,IF($W29=1,AHU29,LF29)=0),1000000000,IF($V29=1,INDEX('calcA'!$D$130:$EQ$169,$B29,68)+IF(AND($E29=1,LF29=0),25,0),IF($F29&gt;0,INDEX('calcA'!BS$110:BS$114,$F29+1)+IF(AND($E29=1,LF29=0),1000,0),MIN(TW29,20)*400+(IF('calcA'!BR$106=1,1-FP29,0)+IF('calcA'!BS$106=1,1-FR29,0))*150+203+'calcA'!BS$5*100000+IF(AND($E29=1,LF29=0),50000,0))+IF($H29=1,INDEX('calcA'!$D$180:$EQ$219,$B29,68)*4000,0)-IF(AND('calcA'!BR$117=1,WP29&gt;0),2000,0)-IF(AND($U29=1,'calcA'!BS$117=1,FR29=0),2000,0))),1000000000))</f>
        <v/>
      </c>
      <c r="QV29">
        <f>IF($B29=0,1000000000,IF(INDEX('calcA'!$D$60:$EQ$99,$B29,69)*IF($W29=1,FR29+ACG29,FR29)=1,IF(AND($E29=2,IF($W29=1,AHV29,LG29)=0),1000000000,IF($V29=1,INDEX('calcA'!$D$130:$EQ$169,$B29,69)+IF(AND($E29=1,LG29=0),25,0),IF($F29&gt;0,INDEX('calcA'!BT$110:BT$114,$F29+1)+IF(AND($E29=1,LG29=0),1000,0),MIN(TW29,20)*400+(IF('calcA'!BS$106=1,1-FQ29,0)+IF('calcA'!BT$106=1,1-FS29,0))*150+213+'calcA'!BT$5*100000+IF(AND($E29=1,LG29=0),50000,0))+IF($H29=1,INDEX('calcA'!$D$180:$EQ$219,$B29,69)*4000,0)-IF(AND('calcA'!BS$117=1,WQ29&gt;0),2000,0)-IF(AND($U29=1,'calcA'!BT$117=1,FS29=0),2000,0))),1000000000))</f>
        <v/>
      </c>
      <c r="QW29">
        <f>IF($B29=0,1000000000,IF(INDEX('calcA'!$D$60:$EQ$99,$B29,70)*IF($W29=1,FS29+ACH29,FS29)=1,IF(AND($E29=2,IF($W29=1,AHW29,LH29)=0),1000000000,IF($V29=1,INDEX('calcA'!$D$130:$EQ$169,$B29,70)+IF(AND($E29=1,LH29=0),25,0),IF($F29&gt;0,INDEX('calcA'!BU$110:BU$114,$F29+1)+IF(AND($E29=1,LH29=0),1000,0),MIN(TW29,20)*400+(IF('calcA'!BT$106=1,1-FR29,0)+IF('calcA'!BU$106=1,1-FT29,0))*150+223+'calcA'!BU$5*100000+IF(AND($E29=1,LH29=0),50000,0))+IF($H29=1,INDEX('calcA'!$D$180:$EQ$219,$B29,70)*4000,0)-IF(AND('calcA'!BT$117=1,WR29&gt;0),2000,0)-IF(AND($U29=1,'calcA'!BU$117=1,FT29=0),2000,0))),1000000000))</f>
        <v/>
      </c>
      <c r="QX29">
        <f>IF($B29=0,1000000000,IF(INDEX('calcA'!$D$60:$EQ$99,$B29,71)*IF($W29=1,FT29+ACI29,FT29)=1,IF(AND($E29=2,IF($W29=1,AHX29,LI29)=0),1000000000,IF($V29=1,INDEX('calcA'!$D$130:$EQ$169,$B29,71)+IF(AND($E29=1,LI29=0),25,0),IF($F29&gt;0,INDEX('calcA'!BV$110:BV$114,$F29+1)+IF(AND($E29=1,LI29=0),1000,0),MIN(TW29,20)*400+(IF('calcA'!BU$106=1,1-FS29,0)+IF('calcA'!BV$106=1,1-FU29,0))*150+233+'calcA'!BV$5*100000+IF(AND($E29=1,LI29=0),50000,0))+IF($H29=1,INDEX('calcA'!$D$180:$EQ$219,$B29,71)*4000,0)-IF(AND('calcA'!BU$117=1,WS29&gt;0),2000,0)-IF(AND($U29=1,'calcA'!BV$117=1,FU29=0),2000,0))),1000000000))</f>
        <v/>
      </c>
      <c r="QY29">
        <f>IF($B29=0,1000000000,IF(INDEX('calcA'!$D$60:$EQ$99,$B29,72)*IF($W29=1,FU29+ACJ29,FU29)=1,IF(AND($E29=2,IF($W29=1,AHY29,LJ29)=0),1000000000,IF($V29=1,INDEX('calcA'!$D$130:$EQ$169,$B29,72)+IF(AND($E29=1,LJ29=0),25,0),IF($F29&gt;0,INDEX('calcA'!BW$110:BW$114,$F29+1)+IF(AND($E29=1,LJ29=0),1000,0),MIN(TW29,20)*400+(IF('calcA'!BV$106=1,1-FT29,0))*150+243+'calcA'!BW$5*100000+IF(AND($E29=1,LJ29=0),50000,0))+IF($H29=1,INDEX('calcA'!$D$180:$EQ$219,$B29,72)*4000,0)-IF(AND('calcA'!BV$117=1,WT29&gt;0),2000,0))),1000000000))</f>
        <v/>
      </c>
      <c r="QZ29">
        <f>IF($B29=0,1000000000,IF(INDEX('calcA'!$D$60:$EQ$99,$B29,73)*IF($W29=1,FV29+ACK29,FV29)=1,IF(AND($E29=2,IF($W29=1,AHZ29,LK29)=0),1000000000,IF($V29=1,INDEX('calcA'!$D$130:$EQ$169,$B29,73)+IF(AND($E29=1,LK29=0),25,0),IF($F29&gt;0,INDEX('calcA'!BX$110:BX$114,$F29+1)+IF(AND($E29=1,LK29=0),1000,0),MIN(TX29,20)*400+(IF('calcA'!BX$106=1,1-FW29,0))*150+14+'calcA'!BX$5*100000+IF(AND($E29=1,LK29=0),50000,0))+IF($H29=1,INDEX('calcA'!$D$180:$EQ$219,$B29,73)*4000,0)-IF(AND($U29=1,'calcA'!BX$117=1,FW29=0),2000,0))),1000000000))</f>
        <v/>
      </c>
      <c r="RA29">
        <f>IF($B29=0,1000000000,IF(INDEX('calcA'!$D$60:$EQ$99,$B29,74)*IF($W29=1,FW29+ACL29,FW29)=1,IF(AND($E29=2,IF($W29=1,AIA29,LL29)=0),1000000000,IF($V29=1,INDEX('calcA'!$D$130:$EQ$169,$B29,74)+IF(AND($E29=1,LL29=0),25,0),IF($F29&gt;0,INDEX('calcA'!BY$110:BY$114,$F29+1)+IF(AND($E29=1,LL29=0),1000,0),MIN(TX29,20)*400+(IF('calcA'!BX$106=1,1-FV29,0)+IF('calcA'!BY$106=1,1-FX29,0))*150+24+'calcA'!BY$5*100000+IF(AND($E29=1,LL29=0),50000,0))+IF($H29=1,INDEX('calcA'!$D$180:$EQ$219,$B29,74)*4000,0)-IF(AND('calcA'!BX$117=1,WV29&gt;0),2000,0)-IF(AND($U29=1,'calcA'!BY$117=1,FX29=0),2000,0))),1000000000))</f>
        <v/>
      </c>
      <c r="RB29">
        <f>IF($B29=0,1000000000,IF(INDEX('calcA'!$D$60:$EQ$99,$B29,75)*IF($W29=1,FX29+ACM29,FX29)=1,IF(AND($E29=2,IF($W29=1,AIB29,LM29)=0),1000000000,IF($V29=1,INDEX('calcA'!$D$130:$EQ$169,$B29,75)+IF(AND($E29=1,LM29=0),25,0),IF($F29&gt;0,INDEX('calcA'!BZ$110:BZ$114,$F29+1)+IF(AND($E29=1,LM29=0),1000,0),MIN(TX29,20)*400+(IF('calcA'!BY$106=1,1-FW29,0)+IF('calcA'!BZ$106=1,1-FY29,0))*150+34+'calcA'!BZ$5*100000+IF(AND($E29=1,LM29=0),50000,0))+IF($H29=1,INDEX('calcA'!$D$180:$EQ$219,$B29,75)*4000,0)-IF(AND('calcA'!BY$117=1,WW29&gt;0),2000,0)-IF(AND($U29=1,'calcA'!BZ$117=1,FY29=0),2000,0))),1000000000))</f>
        <v/>
      </c>
      <c r="RC29">
        <f>IF($B29=0,1000000000,IF(INDEX('calcA'!$D$60:$EQ$99,$B29,76)*IF($W29=1,FY29+ACN29,FY29)=1,IF(AND($E29=2,IF($W29=1,AIC29,LN29)=0),1000000000,IF($V29=1,INDEX('calcA'!$D$130:$EQ$169,$B29,76)+IF(AND($E29=1,LN29=0),25,0),IF($F29&gt;0,INDEX('calcA'!CA$110:CA$114,$F29+1)+IF(AND($E29=1,LN29=0),1000,0),MIN(TX29,20)*400+(IF('calcA'!BZ$106=1,1-FX29,0)+IF('calcA'!CA$106=1,1-FZ29,0))*150+44+'calcA'!CA$5*100000+IF(AND($E29=1,LN29=0),50000,0))+IF($H29=1,INDEX('calcA'!$D$180:$EQ$219,$B29,76)*4000,0)-IF(AND('calcA'!BZ$117=1,WX29&gt;0),2000,0)-IF(AND($U29=1,'calcA'!CA$117=1,FZ29=0),2000,0))),1000000000))</f>
        <v/>
      </c>
      <c r="RD29">
        <f>IF($B29=0,1000000000,IF(INDEX('calcA'!$D$60:$EQ$99,$B29,77)*IF($W29=1,FZ29+ACO29,FZ29)=1,IF(AND($E29=2,IF($W29=1,AID29,LO29)=0),1000000000,IF($V29=1,INDEX('calcA'!$D$130:$EQ$169,$B29,77)+IF(AND($E29=1,LO29=0),25,0),IF($F29&gt;0,INDEX('calcA'!CB$110:CB$114,$F29+1)+IF(AND($E29=1,LO29=0),1000,0),MIN(TX29,20)*400+(IF('calcA'!CA$106=1,1-FY29,0)+IF('calcA'!CB$106=1,1-GA29,0))*150+54+'calcA'!CB$5*100000+IF(AND($E29=1,LO29=0),50000,0))+IF($H29=1,INDEX('calcA'!$D$180:$EQ$219,$B29,77)*4000,0)-IF(AND('calcA'!CA$117=1,WY29&gt;0),2000,0)-IF(AND($U29=1,'calcA'!CB$117=1,GA29=0),2000,0))),1000000000))</f>
        <v/>
      </c>
      <c r="RE29">
        <f>IF($B29=0,1000000000,IF(INDEX('calcA'!$D$60:$EQ$99,$B29,78)*IF($W29=1,GA29+ACP29,GA29)=1,IF(AND($E29=2,IF($W29=1,AIE29,LP29)=0),1000000000,IF($V29=1,INDEX('calcA'!$D$130:$EQ$169,$B29,78)+IF(AND($E29=1,LP29=0),25,0),IF($F29&gt;0,INDEX('calcA'!CC$110:CC$114,$F29+1)+IF(AND($E29=1,LP29=0),1000,0),MIN(TX29,20)*400+(IF('calcA'!CB$106=1,1-FZ29,0)+IF('calcA'!CC$106=1,1-GB29,0))*150+64+'calcA'!CC$5*100000+IF(AND($E29=1,LP29=0),50000,0))+IF($H29=1,INDEX('calcA'!$D$180:$EQ$219,$B29,78)*4000,0)-IF(AND('calcA'!CB$117=1,WZ29&gt;0),2000,0)-IF(AND($U29=1,'calcA'!CC$117=1,GB29=0),2000,0))),1000000000))</f>
        <v/>
      </c>
      <c r="RF29">
        <f>IF($B29=0,1000000000,IF(INDEX('calcA'!$D$60:$EQ$99,$B29,79)*IF($W29=1,GB29+ACQ29,GB29)=1,IF(AND($E29=2,IF($W29=1,AIF29,LQ29)=0),1000000000,IF($V29=1,INDEX('calcA'!$D$130:$EQ$169,$B29,79)+IF(AND($E29=1,LQ29=0),25,0),IF($F29&gt;0,INDEX('calcA'!CD$110:CD$114,$F29+1)+IF(AND($E29=1,LQ29=0),1000,0),MIN(TX29,20)*400+(IF('calcA'!CC$106=1,1-GA29,0)+IF('calcA'!CD$106=1,1-GC29,0))*150+74+'calcA'!CD$5*100000+IF(AND($E29=1,LQ29=0),50000,0))+IF($H29=1,INDEX('calcA'!$D$180:$EQ$219,$B29,79)*4000,0)-IF(AND('calcA'!CC$117=1,XA29&gt;0),2000,0)-IF(AND($U29=1,'calcA'!CD$117=1,GC29=0),2000,0))),1000000000))</f>
        <v/>
      </c>
      <c r="RG29">
        <f>IF($B29=0,1000000000,IF(INDEX('calcA'!$D$60:$EQ$99,$B29,80)*IF($W29=1,GC29+ACR29,GC29)=1,IF(AND($E29=2,IF($W29=1,AIG29,LR29)=0),1000000000,IF($V29=1,INDEX('calcA'!$D$130:$EQ$169,$B29,80)+IF(AND($E29=1,LR29=0),25,0),IF($F29&gt;0,INDEX('calcA'!CE$110:CE$114,$F29+1)+IF(AND($E29=1,LR29=0),1000,0),MIN(TX29,20)*400+(IF('calcA'!CD$106=1,1-GB29,0)+IF('calcA'!CE$106=1,1-GD29,0))*150+84+'calcA'!CE$5*100000+IF(AND($E29=1,LR29=0),50000,0))+IF($H29=1,INDEX('calcA'!$D$180:$EQ$219,$B29,80)*4000,0)-IF(AND('calcA'!CD$117=1,XB29&gt;0),2000,0)-IF(AND($U29=1,'calcA'!CE$117=1,GD29=0),2000,0))),1000000000))</f>
        <v/>
      </c>
      <c r="RH29">
        <f>IF($B29=0,1000000000,IF(INDEX('calcA'!$D$60:$EQ$99,$B29,81)*IF($W29=1,GD29+ACS29,GD29)=1,IF(AND($E29=2,IF($W29=1,AIH29,LS29)=0),1000000000,IF($V29=1,INDEX('calcA'!$D$130:$EQ$169,$B29,81)+IF(AND($E29=1,LS29=0),25,0),IF($F29&gt;0,INDEX('calcA'!CF$110:CF$114,$F29+1)+IF(AND($E29=1,LS29=0),1000,0),MIN(TX29,20)*400+(IF('calcA'!CE$106=1,1-GC29,0)+IF('calcA'!CF$106=1,1-GE29,0))*150+94+'calcA'!CF$5*100000+IF(AND($E29=1,LS29=0),50000,0))+IF($H29=1,INDEX('calcA'!$D$180:$EQ$219,$B29,81)*4000,0)-IF(AND('calcA'!CE$117=1,XC29&gt;0),2000,0)-IF(AND($U29=1,'calcA'!CF$117=1,GE29=0),2000,0))),1000000000))</f>
        <v/>
      </c>
      <c r="RI29">
        <f>IF($B29=0,1000000000,IF(INDEX('calcA'!$D$60:$EQ$99,$B29,82)*IF($W29=1,GE29+ACT29,GE29)=1,IF(AND($E29=2,IF($W29=1,AII29,LT29)=0),1000000000,IF($V29=1,INDEX('calcA'!$D$130:$EQ$169,$B29,82)+IF(AND($E29=1,LT29=0),25,0),IF($F29&gt;0,INDEX('calcA'!CG$110:CG$114,$F29+1)+IF(AND($E29=1,LT29=0),1000,0),MIN(TX29,20)*400+(IF('calcA'!CF$106=1,1-GD29,0)+IF('calcA'!CG$106=1,1-GF29,0))*150+104+'calcA'!CG$5*100000+IF(AND($E29=1,LT29=0),50000,0))+IF($H29=1,INDEX('calcA'!$D$180:$EQ$219,$B29,82)*4000,0)-IF(AND('calcA'!CF$117=1,XD29&gt;0),2000,0)-IF(AND($U29=1,'calcA'!CG$117=1,GF29=0),2000,0))),1000000000))</f>
        <v/>
      </c>
      <c r="RJ29">
        <f>IF($B29=0,1000000000,IF(INDEX('calcA'!$D$60:$EQ$99,$B29,83)*IF($W29=1,GF29+ACU29,GF29)=1,IF(AND($E29=2,IF($W29=1,AIJ29,LU29)=0),1000000000,IF($V29=1,INDEX('calcA'!$D$130:$EQ$169,$B29,83)+IF(AND($E29=1,LU29=0),25,0),IF($F29&gt;0,INDEX('calcA'!CH$110:CH$114,$F29+1)+IF(AND($E29=1,LU29=0),1000,0),MIN(TX29,20)*400+(IF('calcA'!CG$106=1,1-GE29,0)+IF('calcA'!CH$106=1,1-GG29,0))*150+114+'calcA'!CH$5*100000+IF(AND($E29=1,LU29=0),50000,0))+IF($H29=1,INDEX('calcA'!$D$180:$EQ$219,$B29,83)*4000,0)-IF(AND('calcA'!CG$117=1,XE29&gt;0),2000,0)-IF(AND($U29=1,'calcA'!CH$117=1,GG29=0),2000,0))),1000000000))</f>
        <v/>
      </c>
      <c r="RK29">
        <f>IF($B29=0,1000000000,IF(INDEX('calcA'!$D$60:$EQ$99,$B29,84)*IF($W29=1,GG29+ACV29,GG29)=1,IF(AND($E29=2,IF($W29=1,AIK29,LV29)=0),1000000000,IF($V29=1,INDEX('calcA'!$D$130:$EQ$169,$B29,84)+IF(AND($E29=1,LV29=0),25,0),IF($F29&gt;0,INDEX('calcA'!CI$110:CI$114,$F29+1)+IF(AND($E29=1,LV29=0),1000,0),MIN(TX29,20)*400+(IF('calcA'!CH$106=1,1-GF29,0)+IF('calcA'!CI$106=1,1-GH29,0))*150+124+'calcA'!CI$5*100000+IF(AND($E29=1,LV29=0),50000,0))+IF($H29=1,INDEX('calcA'!$D$180:$EQ$219,$B29,84)*4000,0)-IF(AND('calcA'!CH$117=1,XF29&gt;0),2000,0)-IF(AND($U29=1,'calcA'!CI$117=1,GH29=0),2000,0))),1000000000))</f>
        <v/>
      </c>
      <c r="RL29">
        <f>IF($B29=0,1000000000,IF(INDEX('calcA'!$D$60:$EQ$99,$B29,85)*IF($W29=1,GH29+ACW29,GH29)=1,IF(AND($E29=2,IF($W29=1,AIL29,LW29)=0),1000000000,IF($V29=1,INDEX('calcA'!$D$130:$EQ$169,$B29,85)+IF(AND($E29=1,LW29=0),25,0),IF($F29&gt;0,INDEX('calcA'!CJ$110:CJ$114,$F29+1)+IF(AND($E29=1,LW29=0),1000,0),MIN(TX29,20)*400+(IF('calcA'!CI$106=1,1-GG29,0)+IF('calcA'!CJ$106=1,1-GI29,0))*150+134+'calcA'!CJ$5*100000+IF(AND($E29=1,LW29=0),50000,0))+IF($H29=1,INDEX('calcA'!$D$180:$EQ$219,$B29,85)*4000,0)-IF(AND('calcA'!CI$117=1,XG29&gt;0),2000,0)-IF(AND($U29=1,'calcA'!CJ$117=1,GI29=0),2000,0))),1000000000))</f>
        <v/>
      </c>
      <c r="RM29">
        <f>IF($B29=0,1000000000,IF(INDEX('calcA'!$D$60:$EQ$99,$B29,86)*IF($W29=1,GI29+ACX29,GI29)=1,IF(AND($E29=2,IF($W29=1,AIM29,LX29)=0),1000000000,IF($V29=1,INDEX('calcA'!$D$130:$EQ$169,$B29,86)+IF(AND($E29=1,LX29=0),25,0),IF($F29&gt;0,INDEX('calcA'!CK$110:CK$114,$F29+1)+IF(AND($E29=1,LX29=0),1000,0),MIN(TX29,20)*400+(IF('calcA'!CJ$106=1,1-GH29,0)+IF('calcA'!CK$106=1,1-GJ29,0))*150+144+'calcA'!CK$5*100000+IF(AND($E29=1,LX29=0),50000,0))+IF($H29=1,INDEX('calcA'!$D$180:$EQ$219,$B29,86)*4000,0)-IF(AND('calcA'!CJ$117=1,XH29&gt;0),2000,0)-IF(AND($U29=1,'calcA'!CK$117=1,GJ29=0),2000,0))),1000000000))</f>
        <v/>
      </c>
      <c r="RN29">
        <f>IF($B29=0,1000000000,IF(INDEX('calcA'!$D$60:$EQ$99,$B29,87)*IF($W29=1,GJ29+ACY29,GJ29)=1,IF(AND($E29=2,IF($W29=1,AIN29,LY29)=0),1000000000,IF($V29=1,INDEX('calcA'!$D$130:$EQ$169,$B29,87)+IF(AND($E29=1,LY29=0),25,0),IF($F29&gt;0,INDEX('calcA'!CL$110:CL$114,$F29+1)+IF(AND($E29=1,LY29=0),1000,0),MIN(TX29,20)*400+(IF('calcA'!CK$106=1,1-GI29,0)+IF('calcA'!CL$106=1,1-GK29,0))*150+154+'calcA'!CL$5*100000+IF(AND($E29=1,LY29=0),50000,0))+IF($H29=1,INDEX('calcA'!$D$180:$EQ$219,$B29,87)*4000,0)-IF(AND('calcA'!CK$117=1,XI29&gt;0),2000,0)-IF(AND($U29=1,'calcA'!CL$117=1,GK29=0),2000,0))),1000000000))</f>
        <v/>
      </c>
      <c r="RO29">
        <f>IF($B29=0,1000000000,IF(INDEX('calcA'!$D$60:$EQ$99,$B29,88)*IF($W29=1,GK29+ACZ29,GK29)=1,IF(AND($E29=2,IF($W29=1,AIO29,LZ29)=0),1000000000,IF($V29=1,INDEX('calcA'!$D$130:$EQ$169,$B29,88)+IF(AND($E29=1,LZ29=0),25,0),IF($F29&gt;0,INDEX('calcA'!CM$110:CM$114,$F29+1)+IF(AND($E29=1,LZ29=0),1000,0),MIN(TX29,20)*400+(IF('calcA'!CL$106=1,1-GJ29,0)+IF('calcA'!CM$106=1,1-GL29,0))*150+164+'calcA'!CM$5*100000+IF(AND($E29=1,LZ29=0),50000,0))+IF($H29=1,INDEX('calcA'!$D$180:$EQ$219,$B29,88)*4000,0)-IF(AND('calcA'!CL$117=1,XJ29&gt;0),2000,0)-IF(AND($U29=1,'calcA'!CM$117=1,GL29=0),2000,0))),1000000000))</f>
        <v/>
      </c>
      <c r="RP29">
        <f>IF($B29=0,1000000000,IF(INDEX('calcA'!$D$60:$EQ$99,$B29,89)*IF($W29=1,GL29+ADA29,GL29)=1,IF(AND($E29=2,IF($W29=1,AIP29,MA29)=0),1000000000,IF($V29=1,INDEX('calcA'!$D$130:$EQ$169,$B29,89)+IF(AND($E29=1,MA29=0),25,0),IF($F29&gt;0,INDEX('calcA'!CN$110:CN$114,$F29+1)+IF(AND($E29=1,MA29=0),1000,0),MIN(TX29,20)*400+(IF('calcA'!CM$106=1,1-GK29,0)+IF('calcA'!CN$106=1,1-GM29,0))*150+174+'calcA'!CN$5*100000+IF(AND($E29=1,MA29=0),50000,0))+IF($H29=1,INDEX('calcA'!$D$180:$EQ$219,$B29,89)*4000,0)-IF(AND('calcA'!CM$117=1,XK29&gt;0),2000,0)-IF(AND($U29=1,'calcA'!CN$117=1,GM29=0),2000,0))),1000000000))</f>
        <v/>
      </c>
      <c r="RQ29">
        <f>IF($B29=0,1000000000,IF(INDEX('calcA'!$D$60:$EQ$99,$B29,90)*IF($W29=1,GM29+ADB29,GM29)=1,IF(AND($E29=2,IF($W29=1,AIQ29,MB29)=0),1000000000,IF($V29=1,INDEX('calcA'!$D$130:$EQ$169,$B29,90)+IF(AND($E29=1,MB29=0),25,0),IF($F29&gt;0,INDEX('calcA'!CO$110:CO$114,$F29+1)+IF(AND($E29=1,MB29=0),1000,0),MIN(TX29,20)*400+(IF('calcA'!CN$106=1,1-GL29,0)+IF('calcA'!CO$106=1,1-GN29,0))*150+184+'calcA'!CO$5*100000+IF(AND($E29=1,MB29=0),50000,0))+IF($H29=1,INDEX('calcA'!$D$180:$EQ$219,$B29,90)*4000,0)-IF(AND('calcA'!CN$117=1,XL29&gt;0),2000,0)-IF(AND($U29=1,'calcA'!CO$117=1,GN29=0),2000,0))),1000000000))</f>
        <v/>
      </c>
      <c r="RR29">
        <f>IF($B29=0,1000000000,IF(INDEX('calcA'!$D$60:$EQ$99,$B29,91)*IF($W29=1,GN29+ADC29,GN29)=1,IF(AND($E29=2,IF($W29=1,AIR29,MC29)=0),1000000000,IF($V29=1,INDEX('calcA'!$D$130:$EQ$169,$B29,91)+IF(AND($E29=1,MC29=0),25,0),IF($F29&gt;0,INDEX('calcA'!CP$110:CP$114,$F29+1)+IF(AND($E29=1,MC29=0),1000,0),MIN(TX29,20)*400+(IF('calcA'!CO$106=1,1-GM29,0)+IF('calcA'!CP$106=1,1-GO29,0))*150+194+'calcA'!CP$5*100000+IF(AND($E29=1,MC29=0),50000,0))+IF($H29=1,INDEX('calcA'!$D$180:$EQ$219,$B29,91)*4000,0)-IF(AND('calcA'!CO$117=1,XM29&gt;0),2000,0)-IF(AND($U29=1,'calcA'!CP$117=1,GO29=0),2000,0))),1000000000))</f>
        <v/>
      </c>
      <c r="RS29">
        <f>IF($B29=0,1000000000,IF(INDEX('calcA'!$D$60:$EQ$99,$B29,92)*IF($W29=1,GO29+ADD29,GO29)=1,IF(AND($E29=2,IF($W29=1,AIS29,MD29)=0),1000000000,IF($V29=1,INDEX('calcA'!$D$130:$EQ$169,$B29,92)+IF(AND($E29=1,MD29=0),25,0),IF($F29&gt;0,INDEX('calcA'!CQ$110:CQ$114,$F29+1)+IF(AND($E29=1,MD29=0),1000,0),MIN(TX29,20)*400+(IF('calcA'!CP$106=1,1-GN29,0)+IF('calcA'!CQ$106=1,1-GP29,0))*150+204+'calcA'!CQ$5*100000+IF(AND($E29=1,MD29=0),50000,0))+IF($H29=1,INDEX('calcA'!$D$180:$EQ$219,$B29,92)*4000,0)-IF(AND('calcA'!CP$117=1,XN29&gt;0),2000,0)-IF(AND($U29=1,'calcA'!CQ$117=1,GP29=0),2000,0))),1000000000))</f>
        <v/>
      </c>
      <c r="RT29">
        <f>IF($B29=0,1000000000,IF(INDEX('calcA'!$D$60:$EQ$99,$B29,93)*IF($W29=1,GP29+ADE29,GP29)=1,IF(AND($E29=2,IF($W29=1,AIT29,ME29)=0),1000000000,IF($V29=1,INDEX('calcA'!$D$130:$EQ$169,$B29,93)+IF(AND($E29=1,ME29=0),25,0),IF($F29&gt;0,INDEX('calcA'!CR$110:CR$114,$F29+1)+IF(AND($E29=1,ME29=0),1000,0),MIN(TX29,20)*400+(IF('calcA'!CQ$106=1,1-GO29,0)+IF('calcA'!CR$106=1,1-GQ29,0))*150+214+'calcA'!CR$5*100000+IF(AND($E29=1,ME29=0),50000,0))+IF($H29=1,INDEX('calcA'!$D$180:$EQ$219,$B29,93)*4000,0)-IF(AND('calcA'!CQ$117=1,XO29&gt;0),2000,0)-IF(AND($U29=1,'calcA'!CR$117=1,GQ29=0),2000,0))),1000000000))</f>
        <v/>
      </c>
      <c r="RU29">
        <f>IF($B29=0,1000000000,IF(INDEX('calcA'!$D$60:$EQ$99,$B29,94)*IF($W29=1,GQ29+ADF29,GQ29)=1,IF(AND($E29=2,IF($W29=1,AIU29,MF29)=0),1000000000,IF($V29=1,INDEX('calcA'!$D$130:$EQ$169,$B29,94)+IF(AND($E29=1,MF29=0),25,0),IF($F29&gt;0,INDEX('calcA'!CS$110:CS$114,$F29+1)+IF(AND($E29=1,MF29=0),1000,0),MIN(TX29,20)*400+(IF('calcA'!CR$106=1,1-GP29,0)+IF('calcA'!CS$106=1,1-GR29,0))*150+224+'calcA'!CS$5*100000+IF(AND($E29=1,MF29=0),50000,0))+IF($H29=1,INDEX('calcA'!$D$180:$EQ$219,$B29,94)*4000,0)-IF(AND('calcA'!CR$117=1,XP29&gt;0),2000,0)-IF(AND($U29=1,'calcA'!CS$117=1,GR29=0),2000,0))),1000000000))</f>
        <v/>
      </c>
      <c r="RV29">
        <f>IF($B29=0,1000000000,IF(INDEX('calcA'!$D$60:$EQ$99,$B29,95)*IF($W29=1,GR29+ADG29,GR29)=1,IF(AND($E29=2,IF($W29=1,AIV29,MG29)=0),1000000000,IF($V29=1,INDEX('calcA'!$D$130:$EQ$169,$B29,95)+IF(AND($E29=1,MG29=0),25,0),IF($F29&gt;0,INDEX('calcA'!CT$110:CT$114,$F29+1)+IF(AND($E29=1,MG29=0),1000,0),MIN(TX29,20)*400+(IF('calcA'!CS$106=1,1-GQ29,0)+IF('calcA'!CT$106=1,1-GS29,0))*150+234+'calcA'!CT$5*100000+IF(AND($E29=1,MG29=0),50000,0))+IF($H29=1,INDEX('calcA'!$D$180:$EQ$219,$B29,95)*4000,0)-IF(AND('calcA'!CS$117=1,XQ29&gt;0),2000,0)-IF(AND($U29=1,'calcA'!CT$117=1,GS29=0),2000,0))),1000000000))</f>
        <v/>
      </c>
      <c r="RW29">
        <f>IF($B29=0,1000000000,IF(INDEX('calcA'!$D$60:$EQ$99,$B29,96)*IF($W29=1,GS29+ADH29,GS29)=1,IF(AND($E29=2,IF($W29=1,AIW29,MH29)=0),1000000000,IF($V29=1,INDEX('calcA'!$D$130:$EQ$169,$B29,96)+IF(AND($E29=1,MH29=0),25,0),IF($F29&gt;0,INDEX('calcA'!CU$110:CU$114,$F29+1)+IF(AND($E29=1,MH29=0),1000,0),MIN(TX29,20)*400+(IF('calcA'!CT$106=1,1-GR29,0))*150+244+'calcA'!CU$5*100000+IF(AND($E29=1,MH29=0),50000,0))+IF($H29=1,INDEX('calcA'!$D$180:$EQ$219,$B29,96)*4000,0)-IF(AND('calcA'!CT$117=1,XR29&gt;0),2000,0))),1000000000))</f>
        <v/>
      </c>
      <c r="RX29">
        <f>IF($B29=0,1000000000,IF(INDEX('calcA'!$D$60:$EQ$99,$B29,97)*IF($W29=1,GT29+ADI29,GT29)=1,IF(AND($E29=2,IF($W29=1,AIX29,MI29)=0),1000000000,IF($V29=1,INDEX('calcA'!$D$130:$EQ$169,$B29,97)+IF(AND($E29=1,MI29=0),25,0),IF($F29&gt;0,INDEX('calcA'!CV$110:CV$114,$F29+1)+IF(AND($E29=1,MI29=0),1000,0),MIN(TY29,20)*400+(IF('calcA'!CV$106=1,1-GU29,0))*150+15+'calcA'!CV$5*100000+IF(AND($E29=1,MI29=0),50000,0))+IF($H29=1,INDEX('calcA'!$D$180:$EQ$219,$B29,97)*4000,0)-IF(AND($U29=1,'calcA'!CV$117=1,GU29=0),2000,0))),1000000000))</f>
        <v/>
      </c>
      <c r="RY29">
        <f>IF($B29=0,1000000000,IF(INDEX('calcA'!$D$60:$EQ$99,$B29,98)*IF($W29=1,GU29+ADJ29,GU29)=1,IF(AND($E29=2,IF($W29=1,AIY29,MJ29)=0),1000000000,IF($V29=1,INDEX('calcA'!$D$130:$EQ$169,$B29,98)+IF(AND($E29=1,MJ29=0),25,0),IF($F29&gt;0,INDEX('calcA'!CW$110:CW$114,$F29+1)+IF(AND($E29=1,MJ29=0),1000,0),MIN(TY29,20)*400+(IF('calcA'!CV$106=1,1-GT29,0)+IF('calcA'!CW$106=1,1-GV29,0))*150+25+'calcA'!CW$5*100000+IF(AND($E29=1,MJ29=0),50000,0))+IF($H29=1,INDEX('calcA'!$D$180:$EQ$219,$B29,98)*4000,0)-IF(AND('calcA'!CV$117=1,XT29&gt;0),2000,0)-IF(AND($U29=1,'calcA'!CW$117=1,GV29=0),2000,0))),1000000000))</f>
        <v/>
      </c>
      <c r="RZ29">
        <f>IF($B29=0,1000000000,IF(INDEX('calcA'!$D$60:$EQ$99,$B29,99)*IF($W29=1,GV29+ADK29,GV29)=1,IF(AND($E29=2,IF($W29=1,AIZ29,MK29)=0),1000000000,IF($V29=1,INDEX('calcA'!$D$130:$EQ$169,$B29,99)+IF(AND($E29=1,MK29=0),25,0),IF($F29&gt;0,INDEX('calcA'!CX$110:CX$114,$F29+1)+IF(AND($E29=1,MK29=0),1000,0),MIN(TY29,20)*400+(IF('calcA'!CW$106=1,1-GU29,0)+IF('calcA'!CX$106=1,1-GW29,0))*150+35+'calcA'!CX$5*100000+IF(AND($E29=1,MK29=0),50000,0))+IF($H29=1,INDEX('calcA'!$D$180:$EQ$219,$B29,99)*4000,0)-IF(AND('calcA'!CW$117=1,XU29&gt;0),2000,0)-IF(AND($U29=1,'calcA'!CX$117=1,GW29=0),2000,0))),1000000000))</f>
        <v/>
      </c>
      <c r="SA29">
        <f>IF($B29=0,1000000000,IF(INDEX('calcA'!$D$60:$EQ$99,$B29,100)*IF($W29=1,GW29+ADL29,GW29)=1,IF(AND($E29=2,IF($W29=1,AJA29,ML29)=0),1000000000,IF($V29=1,INDEX('calcA'!$D$130:$EQ$169,$B29,100)+IF(AND($E29=1,ML29=0),25,0),IF($F29&gt;0,INDEX('calcA'!CY$110:CY$114,$F29+1)+IF(AND($E29=1,ML29=0),1000,0),MIN(TY29,20)*400+(IF('calcA'!CX$106=1,1-GV29,0)+IF('calcA'!CY$106=1,1-GX29,0))*150+45+'calcA'!CY$5*100000+IF(AND($E29=1,ML29=0),50000,0))+IF($H29=1,INDEX('calcA'!$D$180:$EQ$219,$B29,100)*4000,0)-IF(AND('calcA'!CX$117=1,XV29&gt;0),2000,0)-IF(AND($U29=1,'calcA'!CY$117=1,GX29=0),2000,0))),1000000000))</f>
        <v/>
      </c>
      <c r="SB29">
        <f>IF($B29=0,1000000000,IF(INDEX('calcA'!$D$60:$EQ$99,$B29,101)*IF($W29=1,GX29+ADM29,GX29)=1,IF(AND($E29=2,IF($W29=1,AJB29,MM29)=0),1000000000,IF($V29=1,INDEX('calcA'!$D$130:$EQ$169,$B29,101)+IF(AND($E29=1,MM29=0),25,0),IF($F29&gt;0,INDEX('calcA'!CZ$110:CZ$114,$F29+1)+IF(AND($E29=1,MM29=0),1000,0),MIN(TY29,20)*400+(IF('calcA'!CY$106=1,1-GW29,0)+IF('calcA'!CZ$106=1,1-GY29,0))*150+55+'calcA'!CZ$5*100000+IF(AND($E29=1,MM29=0),50000,0))+IF($H29=1,INDEX('calcA'!$D$180:$EQ$219,$B29,101)*4000,0)-IF(AND('calcA'!CY$117=1,XW29&gt;0),2000,0)-IF(AND($U29=1,'calcA'!CZ$117=1,GY29=0),2000,0))),1000000000))</f>
        <v/>
      </c>
      <c r="SC29">
        <f>IF($B29=0,1000000000,IF(INDEX('calcA'!$D$60:$EQ$99,$B29,102)*IF($W29=1,GY29+ADN29,GY29)=1,IF(AND($E29=2,IF($W29=1,AJC29,MN29)=0),1000000000,IF($V29=1,INDEX('calcA'!$D$130:$EQ$169,$B29,102)+IF(AND($E29=1,MN29=0),25,0),IF($F29&gt;0,INDEX('calcA'!DA$110:DA$114,$F29+1)+IF(AND($E29=1,MN29=0),1000,0),MIN(TY29,20)*400+(IF('calcA'!CZ$106=1,1-GX29,0)+IF('calcA'!DA$106=1,1-GZ29,0))*150+65+'calcA'!DA$5*100000+IF(AND($E29=1,MN29=0),50000,0))+IF($H29=1,INDEX('calcA'!$D$180:$EQ$219,$B29,102)*4000,0)-IF(AND('calcA'!CZ$117=1,XX29&gt;0),2000,0)-IF(AND($U29=1,'calcA'!DA$117=1,GZ29=0),2000,0))),1000000000))</f>
        <v/>
      </c>
      <c r="SD29">
        <f>IF($B29=0,1000000000,IF(INDEX('calcA'!$D$60:$EQ$99,$B29,103)*IF($W29=1,GZ29+ADO29,GZ29)=1,IF(AND($E29=2,IF($W29=1,AJD29,MO29)=0),1000000000,IF($V29=1,INDEX('calcA'!$D$130:$EQ$169,$B29,103)+IF(AND($E29=1,MO29=0),25,0),IF($F29&gt;0,INDEX('calcA'!DB$110:DB$114,$F29+1)+IF(AND($E29=1,MO29=0),1000,0),MIN(TY29,20)*400+(IF('calcA'!DA$106=1,1-GY29,0)+IF('calcA'!DB$106=1,1-HA29,0))*150+75+'calcA'!DB$5*100000+IF(AND($E29=1,MO29=0),50000,0))+IF($H29=1,INDEX('calcA'!$D$180:$EQ$219,$B29,103)*4000,0)-IF(AND('calcA'!DA$117=1,XY29&gt;0),2000,0)-IF(AND($U29=1,'calcA'!DB$117=1,HA29=0),2000,0))),1000000000))</f>
        <v/>
      </c>
      <c r="SE29">
        <f>IF($B29=0,1000000000,IF(INDEX('calcA'!$D$60:$EQ$99,$B29,104)*IF($W29=1,HA29+ADP29,HA29)=1,IF(AND($E29=2,IF($W29=1,AJE29,MP29)=0),1000000000,IF($V29=1,INDEX('calcA'!$D$130:$EQ$169,$B29,104)+IF(AND($E29=1,MP29=0),25,0),IF($F29&gt;0,INDEX('calcA'!DC$110:DC$114,$F29+1)+IF(AND($E29=1,MP29=0),1000,0),MIN(TY29,20)*400+(IF('calcA'!DB$106=1,1-GZ29,0)+IF('calcA'!DC$106=1,1-HB29,0))*150+85+'calcA'!DC$5*100000+IF(AND($E29=1,MP29=0),50000,0))+IF($H29=1,INDEX('calcA'!$D$180:$EQ$219,$B29,104)*4000,0)-IF(AND('calcA'!DB$117=1,XZ29&gt;0),2000,0)-IF(AND($U29=1,'calcA'!DC$117=1,HB29=0),2000,0))),1000000000))</f>
        <v/>
      </c>
      <c r="SF29">
        <f>IF($B29=0,1000000000,IF(INDEX('calcA'!$D$60:$EQ$99,$B29,105)*IF($W29=1,HB29+ADQ29,HB29)=1,IF(AND($E29=2,IF($W29=1,AJF29,MQ29)=0),1000000000,IF($V29=1,INDEX('calcA'!$D$130:$EQ$169,$B29,105)+IF(AND($E29=1,MQ29=0),25,0),IF($F29&gt;0,INDEX('calcA'!DD$110:DD$114,$F29+1)+IF(AND($E29=1,MQ29=0),1000,0),MIN(TY29,20)*400+(IF('calcA'!DC$106=1,1-HA29,0)+IF('calcA'!DD$106=1,1-HC29,0))*150+95+'calcA'!DD$5*100000+IF(AND($E29=1,MQ29=0),50000,0))+IF($H29=1,INDEX('calcA'!$D$180:$EQ$219,$B29,105)*4000,0)-IF(AND('calcA'!DC$117=1,YA29&gt;0),2000,0)-IF(AND($U29=1,'calcA'!DD$117=1,HC29=0),2000,0))),1000000000))</f>
        <v/>
      </c>
      <c r="SG29">
        <f>IF($B29=0,1000000000,IF(INDEX('calcA'!$D$60:$EQ$99,$B29,106)*IF($W29=1,HC29+ADR29,HC29)=1,IF(AND($E29=2,IF($W29=1,AJG29,MR29)=0),1000000000,IF($V29=1,INDEX('calcA'!$D$130:$EQ$169,$B29,106)+IF(AND($E29=1,MR29=0),25,0),IF($F29&gt;0,INDEX('calcA'!DE$110:DE$114,$F29+1)+IF(AND($E29=1,MR29=0),1000,0),MIN(TY29,20)*400+(IF('calcA'!DD$106=1,1-HB29,0)+IF('calcA'!DE$106=1,1-HD29,0))*150+105+'calcA'!DE$5*100000+IF(AND($E29=1,MR29=0),50000,0))+IF($H29=1,INDEX('calcA'!$D$180:$EQ$219,$B29,106)*4000,0)-IF(AND('calcA'!DD$117=1,YB29&gt;0),2000,0)-IF(AND($U29=1,'calcA'!DE$117=1,HD29=0),2000,0))),1000000000))</f>
        <v/>
      </c>
      <c r="SH29">
        <f>IF($B29=0,1000000000,IF(INDEX('calcA'!$D$60:$EQ$99,$B29,107)*IF($W29=1,HD29+ADS29,HD29)=1,IF(AND($E29=2,IF($W29=1,AJH29,MS29)=0),1000000000,IF($V29=1,INDEX('calcA'!$D$130:$EQ$169,$B29,107)+IF(AND($E29=1,MS29=0),25,0),IF($F29&gt;0,INDEX('calcA'!DF$110:DF$114,$F29+1)+IF(AND($E29=1,MS29=0),1000,0),MIN(TY29,20)*400+(IF('calcA'!DE$106=1,1-HC29,0)+IF('calcA'!DF$106=1,1-HE29,0))*150+115+'calcA'!DF$5*100000+IF(AND($E29=1,MS29=0),50000,0))+IF($H29=1,INDEX('calcA'!$D$180:$EQ$219,$B29,107)*4000,0)-IF(AND('calcA'!DE$117=1,YC29&gt;0),2000,0)-IF(AND($U29=1,'calcA'!DF$117=1,HE29=0),2000,0))),1000000000))</f>
        <v/>
      </c>
      <c r="SI29">
        <f>IF($B29=0,1000000000,IF(INDEX('calcA'!$D$60:$EQ$99,$B29,108)*IF($W29=1,HE29+ADT29,HE29)=1,IF(AND($E29=2,IF($W29=1,AJI29,MT29)=0),1000000000,IF($V29=1,INDEX('calcA'!$D$130:$EQ$169,$B29,108)+IF(AND($E29=1,MT29=0),25,0),IF($F29&gt;0,INDEX('calcA'!DG$110:DG$114,$F29+1)+IF(AND($E29=1,MT29=0),1000,0),MIN(TY29,20)*400+(IF('calcA'!DF$106=1,1-HD29,0)+IF('calcA'!DG$106=1,1-HF29,0))*150+125+'calcA'!DG$5*100000+IF(AND($E29=1,MT29=0),50000,0))+IF($H29=1,INDEX('calcA'!$D$180:$EQ$219,$B29,108)*4000,0)-IF(AND('calcA'!DF$117=1,YD29&gt;0),2000,0)-IF(AND($U29=1,'calcA'!DG$117=1,HF29=0),2000,0))),1000000000))</f>
        <v/>
      </c>
      <c r="SJ29">
        <f>IF($B29=0,1000000000,IF(INDEX('calcA'!$D$60:$EQ$99,$B29,109)*IF($W29=1,HF29+ADU29,HF29)=1,IF(AND($E29=2,IF($W29=1,AJJ29,MU29)=0),1000000000,IF($V29=1,INDEX('calcA'!$D$130:$EQ$169,$B29,109)+IF(AND($E29=1,MU29=0),25,0),IF($F29&gt;0,INDEX('calcA'!DH$110:DH$114,$F29+1)+IF(AND($E29=1,MU29=0),1000,0),MIN(TY29,20)*400+(IF('calcA'!DG$106=1,1-HE29,0)+IF('calcA'!DH$106=1,1-HG29,0))*150+135+'calcA'!DH$5*100000+IF(AND($E29=1,MU29=0),50000,0))+IF($H29=1,INDEX('calcA'!$D$180:$EQ$219,$B29,109)*4000,0)-IF(AND('calcA'!DG$117=1,YE29&gt;0),2000,0)-IF(AND($U29=1,'calcA'!DH$117=1,HG29=0),2000,0))),1000000000))</f>
        <v/>
      </c>
      <c r="SK29">
        <f>IF($B29=0,1000000000,IF(INDEX('calcA'!$D$60:$EQ$99,$B29,110)*IF($W29=1,HG29+ADV29,HG29)=1,IF(AND($E29=2,IF($W29=1,AJK29,MV29)=0),1000000000,IF($V29=1,INDEX('calcA'!$D$130:$EQ$169,$B29,110)+IF(AND($E29=1,MV29=0),25,0),IF($F29&gt;0,INDEX('calcA'!DI$110:DI$114,$F29+1)+IF(AND($E29=1,MV29=0),1000,0),MIN(TY29,20)*400+(IF('calcA'!DH$106=1,1-HF29,0)+IF('calcA'!DI$106=1,1-HH29,0))*150+145+'calcA'!DI$5*100000+IF(AND($E29=1,MV29=0),50000,0))+IF($H29=1,INDEX('calcA'!$D$180:$EQ$219,$B29,110)*4000,0)-IF(AND('calcA'!DH$117=1,YF29&gt;0),2000,0)-IF(AND($U29=1,'calcA'!DI$117=1,HH29=0),2000,0))),1000000000))</f>
        <v/>
      </c>
      <c r="SL29">
        <f>IF($B29=0,1000000000,IF(INDEX('calcA'!$D$60:$EQ$99,$B29,111)*IF($W29=1,HH29+ADW29,HH29)=1,IF(AND($E29=2,IF($W29=1,AJL29,MW29)=0),1000000000,IF($V29=1,INDEX('calcA'!$D$130:$EQ$169,$B29,111)+IF(AND($E29=1,MW29=0),25,0),IF($F29&gt;0,INDEX('calcA'!DJ$110:DJ$114,$F29+1)+IF(AND($E29=1,MW29=0),1000,0),MIN(TY29,20)*400+(IF('calcA'!DI$106=1,1-HG29,0)+IF('calcA'!DJ$106=1,1-HI29,0))*150+155+'calcA'!DJ$5*100000+IF(AND($E29=1,MW29=0),50000,0))+IF($H29=1,INDEX('calcA'!$D$180:$EQ$219,$B29,111)*4000,0)-IF(AND('calcA'!DI$117=1,YG29&gt;0),2000,0)-IF(AND($U29=1,'calcA'!DJ$117=1,HI29=0),2000,0))),1000000000))</f>
        <v/>
      </c>
      <c r="SM29">
        <f>IF($B29=0,1000000000,IF(INDEX('calcA'!$D$60:$EQ$99,$B29,112)*IF($W29=1,HI29+ADX29,HI29)=1,IF(AND($E29=2,IF($W29=1,AJM29,MX29)=0),1000000000,IF($V29=1,INDEX('calcA'!$D$130:$EQ$169,$B29,112)+IF(AND($E29=1,MX29=0),25,0),IF($F29&gt;0,INDEX('calcA'!DK$110:DK$114,$F29+1)+IF(AND($E29=1,MX29=0),1000,0),MIN(TY29,20)*400+(IF('calcA'!DJ$106=1,1-HH29,0)+IF('calcA'!DK$106=1,1-HJ29,0))*150+165+'calcA'!DK$5*100000+IF(AND($E29=1,MX29=0),50000,0))+IF($H29=1,INDEX('calcA'!$D$180:$EQ$219,$B29,112)*4000,0)-IF(AND('calcA'!DJ$117=1,YH29&gt;0),2000,0)-IF(AND($U29=1,'calcA'!DK$117=1,HJ29=0),2000,0))),1000000000))</f>
        <v/>
      </c>
      <c r="SN29">
        <f>IF($B29=0,1000000000,IF(INDEX('calcA'!$D$60:$EQ$99,$B29,113)*IF($W29=1,HJ29+ADY29,HJ29)=1,IF(AND($E29=2,IF($W29=1,AJN29,MY29)=0),1000000000,IF($V29=1,INDEX('calcA'!$D$130:$EQ$169,$B29,113)+IF(AND($E29=1,MY29=0),25,0),IF($F29&gt;0,INDEX('calcA'!DL$110:DL$114,$F29+1)+IF(AND($E29=1,MY29=0),1000,0),MIN(TY29,20)*400+(IF('calcA'!DK$106=1,1-HI29,0)+IF('calcA'!DL$106=1,1-HK29,0))*150+175+'calcA'!DL$5*100000+IF(AND($E29=1,MY29=0),50000,0))+IF($H29=1,INDEX('calcA'!$D$180:$EQ$219,$B29,113)*4000,0)-IF(AND('calcA'!DK$117=1,YI29&gt;0),2000,0)-IF(AND($U29=1,'calcA'!DL$117=1,HK29=0),2000,0))),1000000000))</f>
        <v/>
      </c>
      <c r="SO29">
        <f>IF($B29=0,1000000000,IF(INDEX('calcA'!$D$60:$EQ$99,$B29,114)*IF($W29=1,HK29+ADZ29,HK29)=1,IF(AND($E29=2,IF($W29=1,AJO29,MZ29)=0),1000000000,IF($V29=1,INDEX('calcA'!$D$130:$EQ$169,$B29,114)+IF(AND($E29=1,MZ29=0),25,0),IF($F29&gt;0,INDEX('calcA'!DM$110:DM$114,$F29+1)+IF(AND($E29=1,MZ29=0),1000,0),MIN(TY29,20)*400+(IF('calcA'!DL$106=1,1-HJ29,0)+IF('calcA'!DM$106=1,1-HL29,0))*150+185+'calcA'!DM$5*100000+IF(AND($E29=1,MZ29=0),50000,0))+IF($H29=1,INDEX('calcA'!$D$180:$EQ$219,$B29,114)*4000,0)-IF(AND('calcA'!DL$117=1,YJ29&gt;0),2000,0)-IF(AND($U29=1,'calcA'!DM$117=1,HL29=0),2000,0))),1000000000))</f>
        <v/>
      </c>
      <c r="SP29">
        <f>IF($B29=0,1000000000,IF(INDEX('calcA'!$D$60:$EQ$99,$B29,115)*IF($W29=1,HL29+AEA29,HL29)=1,IF(AND($E29=2,IF($W29=1,AJP29,NA29)=0),1000000000,IF($V29=1,INDEX('calcA'!$D$130:$EQ$169,$B29,115)+IF(AND($E29=1,NA29=0),25,0),IF($F29&gt;0,INDEX('calcA'!DN$110:DN$114,$F29+1)+IF(AND($E29=1,NA29=0),1000,0),MIN(TY29,20)*400+(IF('calcA'!DM$106=1,1-HK29,0)+IF('calcA'!DN$106=1,1-HM29,0))*150+195+'calcA'!DN$5*100000+IF(AND($E29=1,NA29=0),50000,0))+IF($H29=1,INDEX('calcA'!$D$180:$EQ$219,$B29,115)*4000,0)-IF(AND('calcA'!DM$117=1,YK29&gt;0),2000,0)-IF(AND($U29=1,'calcA'!DN$117=1,HM29=0),2000,0))),1000000000))</f>
        <v/>
      </c>
      <c r="SQ29">
        <f>IF($B29=0,1000000000,IF(INDEX('calcA'!$D$60:$EQ$99,$B29,116)*IF($W29=1,HM29+AEB29,HM29)=1,IF(AND($E29=2,IF($W29=1,AJQ29,NB29)=0),1000000000,IF($V29=1,INDEX('calcA'!$D$130:$EQ$169,$B29,116)+IF(AND($E29=1,NB29=0),25,0),IF($F29&gt;0,INDEX('calcA'!DO$110:DO$114,$F29+1)+IF(AND($E29=1,NB29=0),1000,0),MIN(TY29,20)*400+(IF('calcA'!DN$106=1,1-HL29,0)+IF('calcA'!DO$106=1,1-HN29,0))*150+205+'calcA'!DO$5*100000+IF(AND($E29=1,NB29=0),50000,0))+IF($H29=1,INDEX('calcA'!$D$180:$EQ$219,$B29,116)*4000,0)-IF(AND('calcA'!DN$117=1,YL29&gt;0),2000,0)-IF(AND($U29=1,'calcA'!DO$117=1,HN29=0),2000,0))),1000000000))</f>
        <v/>
      </c>
      <c r="SR29">
        <f>IF($B29=0,1000000000,IF(INDEX('calcA'!$D$60:$EQ$99,$B29,117)*IF($W29=1,HN29+AEC29,HN29)=1,IF(AND($E29=2,IF($W29=1,AJR29,NC29)=0),1000000000,IF($V29=1,INDEX('calcA'!$D$130:$EQ$169,$B29,117)+IF(AND($E29=1,NC29=0),25,0),IF($F29&gt;0,INDEX('calcA'!DP$110:DP$114,$F29+1)+IF(AND($E29=1,NC29=0),1000,0),MIN(TY29,20)*400+(IF('calcA'!DO$106=1,1-HM29,0)+IF('calcA'!DP$106=1,1-HO29,0))*150+215+'calcA'!DP$5*100000+IF(AND($E29=1,NC29=0),50000,0))+IF($H29=1,INDEX('calcA'!$D$180:$EQ$219,$B29,117)*4000,0)-IF(AND('calcA'!DO$117=1,YM29&gt;0),2000,0)-IF(AND($U29=1,'calcA'!DP$117=1,HO29=0),2000,0))),1000000000))</f>
        <v/>
      </c>
      <c r="SS29">
        <f>IF($B29=0,1000000000,IF(INDEX('calcA'!$D$60:$EQ$99,$B29,118)*IF($W29=1,HO29+AED29,HO29)=1,IF(AND($E29=2,IF($W29=1,AJS29,ND29)=0),1000000000,IF($V29=1,INDEX('calcA'!$D$130:$EQ$169,$B29,118)+IF(AND($E29=1,ND29=0),25,0),IF($F29&gt;0,INDEX('calcA'!DQ$110:DQ$114,$F29+1)+IF(AND($E29=1,ND29=0),1000,0),MIN(TY29,20)*400+(IF('calcA'!DP$106=1,1-HN29,0)+IF('calcA'!DQ$106=1,1-HP29,0))*150+225+'calcA'!DQ$5*100000+IF(AND($E29=1,ND29=0),50000,0))+IF($H29=1,INDEX('calcA'!$D$180:$EQ$219,$B29,118)*4000,0)-IF(AND('calcA'!DP$117=1,YN29&gt;0),2000,0)-IF(AND($U29=1,'calcA'!DQ$117=1,HP29=0),2000,0))),1000000000))</f>
        <v/>
      </c>
      <c r="ST29">
        <f>IF($B29=0,1000000000,IF(INDEX('calcA'!$D$60:$EQ$99,$B29,119)*IF($W29=1,HP29+AEE29,HP29)=1,IF(AND($E29=2,IF($W29=1,AJT29,NE29)=0),1000000000,IF($V29=1,INDEX('calcA'!$D$130:$EQ$169,$B29,119)+IF(AND($E29=1,NE29=0),25,0),IF($F29&gt;0,INDEX('calcA'!DR$110:DR$114,$F29+1)+IF(AND($E29=1,NE29=0),1000,0),MIN(TY29,20)*400+(IF('calcA'!DQ$106=1,1-HO29,0)+IF('calcA'!DR$106=1,1-HQ29,0))*150+235+'calcA'!DR$5*100000+IF(AND($E29=1,NE29=0),50000,0))+IF($H29=1,INDEX('calcA'!$D$180:$EQ$219,$B29,119)*4000,0)-IF(AND('calcA'!DQ$117=1,YO29&gt;0),2000,0)-IF(AND($U29=1,'calcA'!DR$117=1,HQ29=0),2000,0))),1000000000))</f>
        <v/>
      </c>
      <c r="SU29">
        <f>IF($B29=0,1000000000,IF(INDEX('calcA'!$D$60:$EQ$99,$B29,120)*IF($W29=1,HQ29+AEF29,HQ29)=1,IF(AND($E29=2,IF($W29=1,AJU29,NF29)=0),1000000000,IF($V29=1,INDEX('calcA'!$D$130:$EQ$169,$B29,120)+IF(AND($E29=1,NF29=0),25,0),IF($F29&gt;0,INDEX('calcA'!DS$110:DS$114,$F29+1)+IF(AND($E29=1,NF29=0),1000,0),MIN(TY29,20)*400+(IF('calcA'!DR$106=1,1-HP29,0))*150+245+'calcA'!DS$5*100000+IF(AND($E29=1,NF29=0),50000,0))+IF($H29=1,INDEX('calcA'!$D$180:$EQ$219,$B29,120)*4000,0)-IF(AND('calcA'!DR$117=1,YP29&gt;0),2000,0))),1000000000))</f>
        <v/>
      </c>
      <c r="SV29">
        <f>IF($B29=0,1000000000,IF(INDEX('calcA'!$D$60:$EQ$99,$B29,121)*IF($W29=1,HR29+AEG29,HR29)=1,IF(AND($E29=2,IF($W29=1,AJV29,NG29)=0),1000000000,IF($V29=1,INDEX('calcA'!$D$130:$EQ$169,$B29,121)+IF(AND($E29=1,NG29=0),25,0),IF($F29&gt;0,INDEX('calcA'!DT$110:DT$114,$F29+1)+IF(AND($E29=1,NG29=0),1000,0),MIN(TZ29,20)*400+(IF('calcA'!DT$106=1,1-HS29,0))*150+16+'calcA'!DT$5*100000+IF(AND($E29=1,NG29=0),50000,0))+IF($H29=1,INDEX('calcA'!$D$180:$EQ$219,$B29,121)*4000,0)-IF(AND($U29=1,'calcA'!DT$117=1,HS29=0),2000,0))),1000000000))</f>
        <v/>
      </c>
      <c r="SW29">
        <f>IF($B29=0,1000000000,IF(INDEX('calcA'!$D$60:$EQ$99,$B29,122)*IF($W29=1,HS29+AEH29,HS29)=1,IF(AND($E29=2,IF($W29=1,AJW29,NH29)=0),1000000000,IF($V29=1,INDEX('calcA'!$D$130:$EQ$169,$B29,122)+IF(AND($E29=1,NH29=0),25,0),IF($F29&gt;0,INDEX('calcA'!DU$110:DU$114,$F29+1)+IF(AND($E29=1,NH29=0),1000,0),MIN(TZ29,20)*400+(IF('calcA'!DT$106=1,1-HR29,0)+IF('calcA'!DU$106=1,1-HT29,0))*150+26+'calcA'!DU$5*100000+IF(AND($E29=1,NH29=0),50000,0))+IF($H29=1,INDEX('calcA'!$D$180:$EQ$219,$B29,122)*4000,0)-IF(AND('calcA'!DT$117=1,YR29&gt;0),2000,0)-IF(AND($U29=1,'calcA'!DU$117=1,HT29=0),2000,0))),1000000000))</f>
        <v/>
      </c>
      <c r="SX29">
        <f>IF($B29=0,1000000000,IF(INDEX('calcA'!$D$60:$EQ$99,$B29,123)*IF($W29=1,HT29+AEI29,HT29)=1,IF(AND($E29=2,IF($W29=1,AJX29,NI29)=0),1000000000,IF($V29=1,INDEX('calcA'!$D$130:$EQ$169,$B29,123)+IF(AND($E29=1,NI29=0),25,0),IF($F29&gt;0,INDEX('calcA'!DV$110:DV$114,$F29+1)+IF(AND($E29=1,NI29=0),1000,0),MIN(TZ29,20)*400+(IF('calcA'!DU$106=1,1-HS29,0)+IF('calcA'!DV$106=1,1-HU29,0))*150+36+'calcA'!DV$5*100000+IF(AND($E29=1,NI29=0),50000,0))+IF($H29=1,INDEX('calcA'!$D$180:$EQ$219,$B29,123)*4000,0)-IF(AND('calcA'!DU$117=1,YS29&gt;0),2000,0)-IF(AND($U29=1,'calcA'!DV$117=1,HU29=0),2000,0))),1000000000))</f>
        <v/>
      </c>
      <c r="SY29">
        <f>IF($B29=0,1000000000,IF(INDEX('calcA'!$D$60:$EQ$99,$B29,124)*IF($W29=1,HU29+AEJ29,HU29)=1,IF(AND($E29=2,IF($W29=1,AJY29,NJ29)=0),1000000000,IF($V29=1,INDEX('calcA'!$D$130:$EQ$169,$B29,124)+IF(AND($E29=1,NJ29=0),25,0),IF($F29&gt;0,INDEX('calcA'!DW$110:DW$114,$F29+1)+IF(AND($E29=1,NJ29=0),1000,0),MIN(TZ29,20)*400+(IF('calcA'!DV$106=1,1-HT29,0)+IF('calcA'!DW$106=1,1-HV29,0))*150+46+'calcA'!DW$5*100000+IF(AND($E29=1,NJ29=0),50000,0))+IF($H29=1,INDEX('calcA'!$D$180:$EQ$219,$B29,124)*4000,0)-IF(AND('calcA'!DV$117=1,YT29&gt;0),2000,0)-IF(AND($U29=1,'calcA'!DW$117=1,HV29=0),2000,0))),1000000000))</f>
        <v/>
      </c>
      <c r="SZ29">
        <f>IF($B29=0,1000000000,IF(INDEX('calcA'!$D$60:$EQ$99,$B29,125)*IF($W29=1,HV29+AEK29,HV29)=1,IF(AND($E29=2,IF($W29=1,AJZ29,NK29)=0),1000000000,IF($V29=1,INDEX('calcA'!$D$130:$EQ$169,$B29,125)+IF(AND($E29=1,NK29=0),25,0),IF($F29&gt;0,INDEX('calcA'!DX$110:DX$114,$F29+1)+IF(AND($E29=1,NK29=0),1000,0),MIN(TZ29,20)*400+(IF('calcA'!DW$106=1,1-HU29,0)+IF('calcA'!DX$106=1,1-HW29,0))*150+56+'calcA'!DX$5*100000+IF(AND($E29=1,NK29=0),50000,0))+IF($H29=1,INDEX('calcA'!$D$180:$EQ$219,$B29,125)*4000,0)-IF(AND('calcA'!DW$117=1,YU29&gt;0),2000,0)-IF(AND($U29=1,'calcA'!DX$117=1,HW29=0),2000,0))),1000000000))</f>
        <v/>
      </c>
      <c r="TA29">
        <f>IF($B29=0,1000000000,IF(INDEX('calcA'!$D$60:$EQ$99,$B29,126)*IF($W29=1,HW29+AEL29,HW29)=1,IF(AND($E29=2,IF($W29=1,AKA29,NL29)=0),1000000000,IF($V29=1,INDEX('calcA'!$D$130:$EQ$169,$B29,126)+IF(AND($E29=1,NL29=0),25,0),IF($F29&gt;0,INDEX('calcA'!DY$110:DY$114,$F29+1)+IF(AND($E29=1,NL29=0),1000,0),MIN(TZ29,20)*400+(IF('calcA'!DX$106=1,1-HV29,0)+IF('calcA'!DY$106=1,1-HX29,0))*150+66+'calcA'!DY$5*100000+IF(AND($E29=1,NL29=0),50000,0))+IF($H29=1,INDEX('calcA'!$D$180:$EQ$219,$B29,126)*4000,0)-IF(AND('calcA'!DX$117=1,YV29&gt;0),2000,0)-IF(AND($U29=1,'calcA'!DY$117=1,HX29=0),2000,0))),1000000000))</f>
        <v/>
      </c>
      <c r="TB29">
        <f>IF($B29=0,1000000000,IF(INDEX('calcA'!$D$60:$EQ$99,$B29,127)*IF($W29=1,HX29+AEM29,HX29)=1,IF(AND($E29=2,IF($W29=1,AKB29,NM29)=0),1000000000,IF($V29=1,INDEX('calcA'!$D$130:$EQ$169,$B29,127)+IF(AND($E29=1,NM29=0),25,0),IF($F29&gt;0,INDEX('calcA'!DZ$110:DZ$114,$F29+1)+IF(AND($E29=1,NM29=0),1000,0),MIN(TZ29,20)*400+(IF('calcA'!DY$106=1,1-HW29,0)+IF('calcA'!DZ$106=1,1-HY29,0))*150+76+'calcA'!DZ$5*100000+IF(AND($E29=1,NM29=0),50000,0))+IF($H29=1,INDEX('calcA'!$D$180:$EQ$219,$B29,127)*4000,0)-IF(AND('calcA'!DY$117=1,YW29&gt;0),2000,0)-IF(AND($U29=1,'calcA'!DZ$117=1,HY29=0),2000,0))),1000000000))</f>
        <v/>
      </c>
      <c r="TC29">
        <f>IF($B29=0,1000000000,IF(INDEX('calcA'!$D$60:$EQ$99,$B29,128)*IF($W29=1,HY29+AEN29,HY29)=1,IF(AND($E29=2,IF($W29=1,AKC29,NN29)=0),1000000000,IF($V29=1,INDEX('calcA'!$D$130:$EQ$169,$B29,128)+IF(AND($E29=1,NN29=0),25,0),IF($F29&gt;0,INDEX('calcA'!EA$110:EA$114,$F29+1)+IF(AND($E29=1,NN29=0),1000,0),MIN(TZ29,20)*400+(IF('calcA'!DZ$106=1,1-HX29,0)+IF('calcA'!EA$106=1,1-HZ29,0))*150+86+'calcA'!EA$5*100000+IF(AND($E29=1,NN29=0),50000,0))+IF($H29=1,INDEX('calcA'!$D$180:$EQ$219,$B29,128)*4000,0)-IF(AND('calcA'!DZ$117=1,YX29&gt;0),2000,0)-IF(AND($U29=1,'calcA'!EA$117=1,HZ29=0),2000,0))),1000000000))</f>
        <v/>
      </c>
      <c r="TD29">
        <f>IF($B29=0,1000000000,IF(INDEX('calcA'!$D$60:$EQ$99,$B29,129)*IF($W29=1,HZ29+AEO29,HZ29)=1,IF(AND($E29=2,IF($W29=1,AKD29,NO29)=0),1000000000,IF($V29=1,INDEX('calcA'!$D$130:$EQ$169,$B29,129)+IF(AND($E29=1,NO29=0),25,0),IF($F29&gt;0,INDEX('calcA'!EB$110:EB$114,$F29+1)+IF(AND($E29=1,NO29=0),1000,0),MIN(TZ29,20)*400+(IF('calcA'!EA$106=1,1-HY29,0)+IF('calcA'!EB$106=1,1-IA29,0))*150+96+'calcA'!EB$5*100000+IF(AND($E29=1,NO29=0),50000,0))+IF($H29=1,INDEX('calcA'!$D$180:$EQ$219,$B29,129)*4000,0)-IF(AND('calcA'!EA$117=1,YY29&gt;0),2000,0)-IF(AND($U29=1,'calcA'!EB$117=1,IA29=0),2000,0))),1000000000))</f>
        <v/>
      </c>
      <c r="TE29">
        <f>IF($B29=0,1000000000,IF(INDEX('calcA'!$D$60:$EQ$99,$B29,130)*IF($W29=1,IA29+AEP29,IA29)=1,IF(AND($E29=2,IF($W29=1,AKE29,NP29)=0),1000000000,IF($V29=1,INDEX('calcA'!$D$130:$EQ$169,$B29,130)+IF(AND($E29=1,NP29=0),25,0),IF($F29&gt;0,INDEX('calcA'!EC$110:EC$114,$F29+1)+IF(AND($E29=1,NP29=0),1000,0),MIN(TZ29,20)*400+(IF('calcA'!EB$106=1,1-HZ29,0)+IF('calcA'!EC$106=1,1-IB29,0))*150+106+'calcA'!EC$5*100000+IF(AND($E29=1,NP29=0),50000,0))+IF($H29=1,INDEX('calcA'!$D$180:$EQ$219,$B29,130)*4000,0)-IF(AND('calcA'!EB$117=1,YZ29&gt;0),2000,0)-IF(AND($U29=1,'calcA'!EC$117=1,IB29=0),2000,0))),1000000000))</f>
        <v/>
      </c>
      <c r="TF29">
        <f>IF($B29=0,1000000000,IF(INDEX('calcA'!$D$60:$EQ$99,$B29,131)*IF($W29=1,IB29+AEQ29,IB29)=1,IF(AND($E29=2,IF($W29=1,AKF29,NQ29)=0),1000000000,IF($V29=1,INDEX('calcA'!$D$130:$EQ$169,$B29,131)+IF(AND($E29=1,NQ29=0),25,0),IF($F29&gt;0,INDEX('calcA'!ED$110:ED$114,$F29+1)+IF(AND($E29=1,NQ29=0),1000,0),MIN(TZ29,20)*400+(IF('calcA'!EC$106=1,1-IA29,0)+IF('calcA'!ED$106=1,1-IC29,0))*150+116+'calcA'!ED$5*100000+IF(AND($E29=1,NQ29=0),50000,0))+IF($H29=1,INDEX('calcA'!$D$180:$EQ$219,$B29,131)*4000,0)-IF(AND('calcA'!EC$117=1,ZA29&gt;0),2000,0)-IF(AND($U29=1,'calcA'!ED$117=1,IC29=0),2000,0))),1000000000))</f>
        <v/>
      </c>
      <c r="TG29">
        <f>IF($B29=0,1000000000,IF(INDEX('calcA'!$D$60:$EQ$99,$B29,132)*IF($W29=1,IC29+AER29,IC29)=1,IF(AND($E29=2,IF($W29=1,AKG29,NR29)=0),1000000000,IF($V29=1,INDEX('calcA'!$D$130:$EQ$169,$B29,132)+IF(AND($E29=1,NR29=0),25,0),IF($F29&gt;0,INDEX('calcA'!EE$110:EE$114,$F29+1)+IF(AND($E29=1,NR29=0),1000,0),MIN(TZ29,20)*400+(IF('calcA'!ED$106=1,1-IB29,0)+IF('calcA'!EE$106=1,1-ID29,0))*150+126+'calcA'!EE$5*100000+IF(AND($E29=1,NR29=0),50000,0))+IF($H29=1,INDEX('calcA'!$D$180:$EQ$219,$B29,132)*4000,0)-IF(AND('calcA'!ED$117=1,ZB29&gt;0),2000,0)-IF(AND($U29=1,'calcA'!EE$117=1,ID29=0),2000,0))),1000000000))</f>
        <v/>
      </c>
      <c r="TH29">
        <f>IF($B29=0,1000000000,IF(INDEX('calcA'!$D$60:$EQ$99,$B29,133)*IF($W29=1,ID29+AES29,ID29)=1,IF(AND($E29=2,IF($W29=1,AKH29,NS29)=0),1000000000,IF($V29=1,INDEX('calcA'!$D$130:$EQ$169,$B29,133)+IF(AND($E29=1,NS29=0),25,0),IF($F29&gt;0,INDEX('calcA'!EF$110:EF$114,$F29+1)+IF(AND($E29=1,NS29=0),1000,0),MIN(TZ29,20)*400+(IF('calcA'!EE$106=1,1-IC29,0)+IF('calcA'!EF$106=1,1-IE29,0))*150+136+'calcA'!EF$5*100000+IF(AND($E29=1,NS29=0),50000,0))+IF($H29=1,INDEX('calcA'!$D$180:$EQ$219,$B29,133)*4000,0)-IF(AND('calcA'!EE$117=1,ZC29&gt;0),2000,0)-IF(AND($U29=1,'calcA'!EF$117=1,IE29=0),2000,0))),1000000000))</f>
        <v/>
      </c>
      <c r="TI29">
        <f>IF($B29=0,1000000000,IF(INDEX('calcA'!$D$60:$EQ$99,$B29,134)*IF($W29=1,IE29+AET29,IE29)=1,IF(AND($E29=2,IF($W29=1,AKI29,NT29)=0),1000000000,IF($V29=1,INDEX('calcA'!$D$130:$EQ$169,$B29,134)+IF(AND($E29=1,NT29=0),25,0),IF($F29&gt;0,INDEX('calcA'!EG$110:EG$114,$F29+1)+IF(AND($E29=1,NT29=0),1000,0),MIN(TZ29,20)*400+(IF('calcA'!EF$106=1,1-ID29,0)+IF('calcA'!EG$106=1,1-IF29,0))*150+146+'calcA'!EG$5*100000+IF(AND($E29=1,NT29=0),50000,0))+IF($H29=1,INDEX('calcA'!$D$180:$EQ$219,$B29,134)*4000,0)-IF(AND('calcA'!EF$117=1,ZD29&gt;0),2000,0)-IF(AND($U29=1,'calcA'!EG$117=1,IF29=0),2000,0))),1000000000))</f>
        <v/>
      </c>
      <c r="TJ29">
        <f>IF($B29=0,1000000000,IF(INDEX('calcA'!$D$60:$EQ$99,$B29,135)*IF($W29=1,IF29+AEU29,IF29)=1,IF(AND($E29=2,IF($W29=1,AKJ29,NU29)=0),1000000000,IF($V29=1,INDEX('calcA'!$D$130:$EQ$169,$B29,135)+IF(AND($E29=1,NU29=0),25,0),IF($F29&gt;0,INDEX('calcA'!EH$110:EH$114,$F29+1)+IF(AND($E29=1,NU29=0),1000,0),MIN(TZ29,20)*400+(IF('calcA'!EG$106=1,1-IE29,0)+IF('calcA'!EH$106=1,1-IG29,0))*150+156+'calcA'!EH$5*100000+IF(AND($E29=1,NU29=0),50000,0))+IF($H29=1,INDEX('calcA'!$D$180:$EQ$219,$B29,135)*4000,0)-IF(AND('calcA'!EG$117=1,ZE29&gt;0),2000,0)-IF(AND($U29=1,'calcA'!EH$117=1,IG29=0),2000,0))),1000000000))</f>
        <v/>
      </c>
      <c r="TK29">
        <f>IF($B29=0,1000000000,IF(INDEX('calcA'!$D$60:$EQ$99,$B29,136)*IF($W29=1,IG29+AEV29,IG29)=1,IF(AND($E29=2,IF($W29=1,AKK29,NV29)=0),1000000000,IF($V29=1,INDEX('calcA'!$D$130:$EQ$169,$B29,136)+IF(AND($E29=1,NV29=0),25,0),IF($F29&gt;0,INDEX('calcA'!EI$110:EI$114,$F29+1)+IF(AND($E29=1,NV29=0),1000,0),MIN(TZ29,20)*400+(IF('calcA'!EH$106=1,1-IF29,0)+IF('calcA'!EI$106=1,1-IH29,0))*150+166+'calcA'!EI$5*100000+IF(AND($E29=1,NV29=0),50000,0))+IF($H29=1,INDEX('calcA'!$D$180:$EQ$219,$B29,136)*4000,0)-IF(AND('calcA'!EH$117=1,ZF29&gt;0),2000,0)-IF(AND($U29=1,'calcA'!EI$117=1,IH29=0),2000,0))),1000000000))</f>
        <v/>
      </c>
      <c r="TL29">
        <f>IF($B29=0,1000000000,IF(INDEX('calcA'!$D$60:$EQ$99,$B29,137)*IF($W29=1,IH29+AEW29,IH29)=1,IF(AND($E29=2,IF($W29=1,AKL29,NW29)=0),1000000000,IF($V29=1,INDEX('calcA'!$D$130:$EQ$169,$B29,137)+IF(AND($E29=1,NW29=0),25,0),IF($F29&gt;0,INDEX('calcA'!EJ$110:EJ$114,$F29+1)+IF(AND($E29=1,NW29=0),1000,0),MIN(TZ29,20)*400+(IF('calcA'!EI$106=1,1-IG29,0)+IF('calcA'!EJ$106=1,1-II29,0))*150+176+'calcA'!EJ$5*100000+IF(AND($E29=1,NW29=0),50000,0))+IF($H29=1,INDEX('calcA'!$D$180:$EQ$219,$B29,137)*4000,0)-IF(AND('calcA'!EI$117=1,ZG29&gt;0),2000,0)-IF(AND($U29=1,'calcA'!EJ$117=1,II29=0),2000,0))),1000000000))</f>
        <v/>
      </c>
      <c r="TM29">
        <f>IF($B29=0,1000000000,IF(INDEX('calcA'!$D$60:$EQ$99,$B29,138)*IF($W29=1,II29+AEX29,II29)=1,IF(AND($E29=2,IF($W29=1,AKM29,NX29)=0),1000000000,IF($V29=1,INDEX('calcA'!$D$130:$EQ$169,$B29,138)+IF(AND($E29=1,NX29=0),25,0),IF($F29&gt;0,INDEX('calcA'!EK$110:EK$114,$F29+1)+IF(AND($E29=1,NX29=0),1000,0),MIN(TZ29,20)*400+(IF('calcA'!EJ$106=1,1-IH29,0)+IF('calcA'!EK$106=1,1-IJ29,0))*150+186+'calcA'!EK$5*100000+IF(AND($E29=1,NX29=0),50000,0))+IF($H29=1,INDEX('calcA'!$D$180:$EQ$219,$B29,138)*4000,0)-IF(AND('calcA'!EJ$117=1,ZH29&gt;0),2000,0)-IF(AND($U29=1,'calcA'!EK$117=1,IJ29=0),2000,0))),1000000000))</f>
        <v/>
      </c>
      <c r="TN29">
        <f>IF($B29=0,1000000000,IF(INDEX('calcA'!$D$60:$EQ$99,$B29,139)*IF($W29=1,IJ29+AEY29,IJ29)=1,IF(AND($E29=2,IF($W29=1,AKN29,NY29)=0),1000000000,IF($V29=1,INDEX('calcA'!$D$130:$EQ$169,$B29,139)+IF(AND($E29=1,NY29=0),25,0),IF($F29&gt;0,INDEX('calcA'!EL$110:EL$114,$F29+1)+IF(AND($E29=1,NY29=0),1000,0),MIN(TZ29,20)*400+(IF('calcA'!EK$106=1,1-II29,0)+IF('calcA'!EL$106=1,1-IK29,0))*150+196+'calcA'!EL$5*100000+IF(AND($E29=1,NY29=0),50000,0))+IF($H29=1,INDEX('calcA'!$D$180:$EQ$219,$B29,139)*4000,0)-IF(AND('calcA'!EK$117=1,ZI29&gt;0),2000,0)-IF(AND($U29=1,'calcA'!EL$117=1,IK29=0),2000,0))),1000000000))</f>
        <v/>
      </c>
      <c r="TO29">
        <f>IF($B29=0,1000000000,IF(INDEX('calcA'!$D$60:$EQ$99,$B29,140)*IF($W29=1,IK29+AEZ29,IK29)=1,IF(AND($E29=2,IF($W29=1,AKO29,NZ29)=0),1000000000,IF($V29=1,INDEX('calcA'!$D$130:$EQ$169,$B29,140)+IF(AND($E29=1,NZ29=0),25,0),IF($F29&gt;0,INDEX('calcA'!EM$110:EM$114,$F29+1)+IF(AND($E29=1,NZ29=0),1000,0),MIN(TZ29,20)*400+(IF('calcA'!EL$106=1,1-IJ29,0)+IF('calcA'!EM$106=1,1-IL29,0))*150+206+'calcA'!EM$5*100000+IF(AND($E29=1,NZ29=0),50000,0))+IF($H29=1,INDEX('calcA'!$D$180:$EQ$219,$B29,140)*4000,0)-IF(AND('calcA'!EL$117=1,ZJ29&gt;0),2000,0)-IF(AND($U29=1,'calcA'!EM$117=1,IL29=0),2000,0))),1000000000))</f>
        <v/>
      </c>
      <c r="TP29">
        <f>IF($B29=0,1000000000,IF(INDEX('calcA'!$D$60:$EQ$99,$B29,141)*IF($W29=1,IL29+AFA29,IL29)=1,IF(AND($E29=2,IF($W29=1,AKP29,OA29)=0),1000000000,IF($V29=1,INDEX('calcA'!$D$130:$EQ$169,$B29,141)+IF(AND($E29=1,OA29=0),25,0),IF($F29&gt;0,INDEX('calcA'!EN$110:EN$114,$F29+1)+IF(AND($E29=1,OA29=0),1000,0),MIN(TZ29,20)*400+(IF('calcA'!EM$106=1,1-IK29,0)+IF('calcA'!EN$106=1,1-IM29,0))*150+216+'calcA'!EN$5*100000+IF(AND($E29=1,OA29=0),50000,0))+IF($H29=1,INDEX('calcA'!$D$180:$EQ$219,$B29,141)*4000,0)-IF(AND('calcA'!EM$117=1,ZK29&gt;0),2000,0)-IF(AND($U29=1,'calcA'!EN$117=1,IM29=0),2000,0))),1000000000))</f>
        <v/>
      </c>
      <c r="TQ29">
        <f>IF($B29=0,1000000000,IF(INDEX('calcA'!$D$60:$EQ$99,$B29,142)*IF($W29=1,IM29+AFB29,IM29)=1,IF(AND($E29=2,IF($W29=1,AKQ29,OB29)=0),1000000000,IF($V29=1,INDEX('calcA'!$D$130:$EQ$169,$B29,142)+IF(AND($E29=1,OB29=0),25,0),IF($F29&gt;0,INDEX('calcA'!EO$110:EO$114,$F29+1)+IF(AND($E29=1,OB29=0),1000,0),MIN(TZ29,20)*400+(IF('calcA'!EN$106=1,1-IL29,0)+IF('calcA'!EO$106=1,1-IN29,0))*150+226+'calcA'!EO$5*100000+IF(AND($E29=1,OB29=0),50000,0))+IF($H29=1,INDEX('calcA'!$D$180:$EQ$219,$B29,142)*4000,0)-IF(AND('calcA'!EN$117=1,ZL29&gt;0),2000,0)-IF(AND($U29=1,'calcA'!EO$117=1,IN29=0),2000,0))),1000000000))</f>
        <v/>
      </c>
      <c r="TR29">
        <f>IF($B29=0,1000000000,IF(INDEX('calcA'!$D$60:$EQ$99,$B29,143)*IF($W29=1,IN29+AFC29,IN29)=1,IF(AND($E29=2,IF($W29=1,AKR29,OC29)=0),1000000000,IF($V29=1,INDEX('calcA'!$D$130:$EQ$169,$B29,143)+IF(AND($E29=1,OC29=0),25,0),IF($F29&gt;0,INDEX('calcA'!EP$110:EP$114,$F29+1)+IF(AND($E29=1,OC29=0),1000,0),MIN(TZ29,20)*400+(IF('calcA'!EO$106=1,1-IM29,0)+IF('calcA'!EP$106=1,1-IO29,0))*150+236+'calcA'!EP$5*100000+IF(AND($E29=1,OC29=0),50000,0))+IF($H29=1,INDEX('calcA'!$D$180:$EQ$219,$B29,143)*4000,0)-IF(AND('calcA'!EO$117=1,ZM29&gt;0),2000,0)-IF(AND($U29=1,'calcA'!EP$117=1,IO29=0),2000,0))),1000000000))</f>
        <v/>
      </c>
      <c r="TS29">
        <f>IF($B29=0,1000000000,IF(INDEX('calcA'!$D$60:$EQ$99,$B29,144)*IF($W29=1,IO29+AFD29,IO29)=1,IF(AND($E29=2,IF($W29=1,AKS29,OD29)=0),1000000000,IF($V29=1,INDEX('calcA'!$D$130:$EQ$169,$B29,144)+IF(AND($E29=1,OD29=0),25,0),IF($F29&gt;0,INDEX('calcA'!EQ$110:EQ$114,$F29+1)+IF(AND($E29=1,OD29=0),1000,0),MIN(TZ29,20)*400+(IF('calcA'!EP$106=1,1-IN29,0))*150+246+'calcA'!EQ$5*100000+IF(AND($E29=1,OD29=0),50000,0))+IF($H29=1,INDEX('calcA'!$D$180:$EQ$219,$B29,144)*4000,0)-IF(AND('calcA'!EP$117=1,ZN29&gt;0),2000,0))),1000000000))</f>
        <v/>
      </c>
      <c r="TU29">
        <f>TU28+IF($C28&gt;0,IF(INDEX('calcA'!$D$2:$EQ$2,$C28)=1,1,0),0)</f>
        <v/>
      </c>
      <c r="TV29">
        <f>TV28+IF($C28&gt;0,IF(INDEX('calcA'!$D$2:$EQ$2,$C28)=2,1,0),0)</f>
        <v/>
      </c>
      <c r="TW29">
        <f>TW28+IF($C28&gt;0,IF(INDEX('calcA'!$D$2:$EQ$2,$C28)=3,1,0),0)</f>
        <v/>
      </c>
      <c r="TX29">
        <f>TX28+IF($C28&gt;0,IF(INDEX('calcA'!$D$2:$EQ$2,$C28)=4,1,0),0)</f>
        <v/>
      </c>
      <c r="TY29">
        <f>TY28+IF($C28&gt;0,IF(INDEX('calcA'!$D$2:$EQ$2,$C28)=5,1,0),0)</f>
        <v/>
      </c>
      <c r="TZ29">
        <f>TZ28+IF($C28&gt;0,IF(INDEX('calcA'!$D$2:$EQ$2,$C28)=6,1,0),0)</f>
        <v/>
      </c>
      <c r="UB29">
        <f>UB28+IF(AND($C28=1,$U28=1),1,0)</f>
        <v/>
      </c>
      <c r="UC29">
        <f>UC28+IF(AND($C28=2,$U28=1),1,0)</f>
        <v/>
      </c>
      <c r="UD29">
        <f>UD28+IF(AND($C28=3,$U28=1),1,0)</f>
        <v/>
      </c>
      <c r="UE29">
        <f>UE28+IF(AND($C28=4,$U28=1),1,0)</f>
        <v/>
      </c>
      <c r="UF29">
        <f>UF28+IF(AND($C28=5,$U28=1),1,0)</f>
        <v/>
      </c>
      <c r="UG29">
        <f>UG28+IF(AND($C28=6,$U28=1),1,0)</f>
        <v/>
      </c>
      <c r="UH29">
        <f>UH28+IF(AND($C28=7,$U28=1),1,0)</f>
        <v/>
      </c>
      <c r="UI29">
        <f>UI28+IF(AND($C28=8,$U28=1),1,0)</f>
        <v/>
      </c>
      <c r="UJ29">
        <f>UJ28+IF(AND($C28=9,$U28=1),1,0)</f>
        <v/>
      </c>
      <c r="UK29">
        <f>UK28+IF(AND($C28=10,$U28=1),1,0)</f>
        <v/>
      </c>
      <c r="UL29">
        <f>UL28+IF(AND($C28=11,$U28=1),1,0)</f>
        <v/>
      </c>
      <c r="UM29">
        <f>UM28+IF(AND($C28=12,$U28=1),1,0)</f>
        <v/>
      </c>
      <c r="UN29">
        <f>UN28+IF(AND($C28=13,$U28=1),1,0)</f>
        <v/>
      </c>
      <c r="UO29">
        <f>UO28+IF(AND($C28=14,$U28=1),1,0)</f>
        <v/>
      </c>
      <c r="UP29">
        <f>UP28+IF(AND($C28=15,$U28=1),1,0)</f>
        <v/>
      </c>
      <c r="UQ29">
        <f>UQ28+IF(AND($C28=16,$U28=1),1,0)</f>
        <v/>
      </c>
      <c r="UR29">
        <f>UR28+IF(AND($C28=17,$U28=1),1,0)</f>
        <v/>
      </c>
      <c r="US29">
        <f>US28+IF(AND($C28=18,$U28=1),1,0)</f>
        <v/>
      </c>
      <c r="UT29">
        <f>UT28+IF(AND($C28=19,$U28=1),1,0)</f>
        <v/>
      </c>
      <c r="UU29">
        <f>UU28+IF(AND($C28=20,$U28=1),1,0)</f>
        <v/>
      </c>
      <c r="UV29">
        <f>UV28+IF(AND($C28=21,$U28=1),1,0)</f>
        <v/>
      </c>
      <c r="UW29">
        <f>UW28+IF(AND($C28=22,$U28=1),1,0)</f>
        <v/>
      </c>
      <c r="UX29">
        <f>UX28+IF(AND($C28=23,$U28=1),1,0)</f>
        <v/>
      </c>
      <c r="UY29">
        <f>UY28+IF(AND($C28=24,$U28=1),1,0)</f>
        <v/>
      </c>
      <c r="UZ29">
        <f>UZ28+IF(AND($C28=25,$U28=1),1,0)</f>
        <v/>
      </c>
      <c r="VA29">
        <f>VA28+IF(AND($C28=26,$U28=1),1,0)</f>
        <v/>
      </c>
      <c r="VB29">
        <f>VB28+IF(AND($C28=27,$U28=1),1,0)</f>
        <v/>
      </c>
      <c r="VC29">
        <f>VC28+IF(AND($C28=28,$U28=1),1,0)</f>
        <v/>
      </c>
      <c r="VD29">
        <f>VD28+IF(AND($C28=29,$U28=1),1,0)</f>
        <v/>
      </c>
      <c r="VE29">
        <f>VE28+IF(AND($C28=30,$U28=1),1,0)</f>
        <v/>
      </c>
      <c r="VF29">
        <f>VF28+IF(AND($C28=31,$U28=1),1,0)</f>
        <v/>
      </c>
      <c r="VG29">
        <f>VG28+IF(AND($C28=32,$U28=1),1,0)</f>
        <v/>
      </c>
      <c r="VH29">
        <f>VH28+IF(AND($C28=33,$U28=1),1,0)</f>
        <v/>
      </c>
      <c r="VI29">
        <f>VI28+IF(AND($C28=34,$U28=1),1,0)</f>
        <v/>
      </c>
      <c r="VJ29">
        <f>VJ28+IF(AND($C28=35,$U28=1),1,0)</f>
        <v/>
      </c>
      <c r="VK29">
        <f>VK28+IF(AND($C28=36,$U28=1),1,0)</f>
        <v/>
      </c>
      <c r="VL29">
        <f>VL28+IF(AND($C28=37,$U28=1),1,0)</f>
        <v/>
      </c>
      <c r="VM29">
        <f>VM28+IF(AND($C28=38,$U28=1),1,0)</f>
        <v/>
      </c>
      <c r="VN29">
        <f>VN28+IF(AND($C28=39,$U28=1),1,0)</f>
        <v/>
      </c>
      <c r="VO29">
        <f>VO28+IF(AND($C28=40,$U28=1),1,0)</f>
        <v/>
      </c>
      <c r="VP29">
        <f>VP28+IF(AND($C28=41,$U28=1),1,0)</f>
        <v/>
      </c>
      <c r="VQ29">
        <f>VQ28+IF(AND($C28=42,$U28=1),1,0)</f>
        <v/>
      </c>
      <c r="VR29">
        <f>VR28+IF(AND($C28=43,$U28=1),1,0)</f>
        <v/>
      </c>
      <c r="VS29">
        <f>VS28+IF(AND($C28=44,$U28=1),1,0)</f>
        <v/>
      </c>
      <c r="VT29">
        <f>VT28+IF(AND($C28=45,$U28=1),1,0)</f>
        <v/>
      </c>
      <c r="VU29">
        <f>VU28+IF(AND($C28=46,$U28=1),1,0)</f>
        <v/>
      </c>
      <c r="VV29">
        <f>VV28+IF(AND($C28=47,$U28=1),1,0)</f>
        <v/>
      </c>
      <c r="VW29">
        <f>VW28+IF(AND($C28=48,$U28=1),1,0)</f>
        <v/>
      </c>
      <c r="VX29">
        <f>VX28+IF(AND($C28=49,$U28=1),1,0)</f>
        <v/>
      </c>
      <c r="VY29">
        <f>VY28+IF(AND($C28=50,$U28=1),1,0)</f>
        <v/>
      </c>
      <c r="VZ29">
        <f>VZ28+IF(AND($C28=51,$U28=1),1,0)</f>
        <v/>
      </c>
      <c r="WA29">
        <f>WA28+IF(AND($C28=52,$U28=1),1,0)</f>
        <v/>
      </c>
      <c r="WB29">
        <f>WB28+IF(AND($C28=53,$U28=1),1,0)</f>
        <v/>
      </c>
      <c r="WC29">
        <f>WC28+IF(AND($C28=54,$U28=1),1,0)</f>
        <v/>
      </c>
      <c r="WD29">
        <f>WD28+IF(AND($C28=55,$U28=1),1,0)</f>
        <v/>
      </c>
      <c r="WE29">
        <f>WE28+IF(AND($C28=56,$U28=1),1,0)</f>
        <v/>
      </c>
      <c r="WF29">
        <f>WF28+IF(AND($C28=57,$U28=1),1,0)</f>
        <v/>
      </c>
      <c r="WG29">
        <f>WG28+IF(AND($C28=58,$U28=1),1,0)</f>
        <v/>
      </c>
      <c r="WH29">
        <f>WH28+IF(AND($C28=59,$U28=1),1,0)</f>
        <v/>
      </c>
      <c r="WI29">
        <f>WI28+IF(AND($C28=60,$U28=1),1,0)</f>
        <v/>
      </c>
      <c r="WJ29">
        <f>WJ28+IF(AND($C28=61,$U28=1),1,0)</f>
        <v/>
      </c>
      <c r="WK29">
        <f>WK28+IF(AND($C28=62,$U28=1),1,0)</f>
        <v/>
      </c>
      <c r="WL29">
        <f>WL28+IF(AND($C28=63,$U28=1),1,0)</f>
        <v/>
      </c>
      <c r="WM29">
        <f>WM28+IF(AND($C28=64,$U28=1),1,0)</f>
        <v/>
      </c>
      <c r="WN29">
        <f>WN28+IF(AND($C28=65,$U28=1),1,0)</f>
        <v/>
      </c>
      <c r="WO29">
        <f>WO28+IF(AND($C28=66,$U28=1),1,0)</f>
        <v/>
      </c>
      <c r="WP29">
        <f>WP28+IF(AND($C28=67,$U28=1),1,0)</f>
        <v/>
      </c>
      <c r="WQ29">
        <f>WQ28+IF(AND($C28=68,$U28=1),1,0)</f>
        <v/>
      </c>
      <c r="WR29">
        <f>WR28+IF(AND($C28=69,$U28=1),1,0)</f>
        <v/>
      </c>
      <c r="WS29">
        <f>WS28+IF(AND($C28=70,$U28=1),1,0)</f>
        <v/>
      </c>
      <c r="WT29">
        <f>WT28+IF(AND($C28=71,$U28=1),1,0)</f>
        <v/>
      </c>
      <c r="WU29">
        <f>WU28+IF(AND($C28=72,$U28=1),1,0)</f>
        <v/>
      </c>
      <c r="WV29">
        <f>WV28+IF(AND($C28=73,$U28=1),1,0)</f>
        <v/>
      </c>
      <c r="WW29">
        <f>WW28+IF(AND($C28=74,$U28=1),1,0)</f>
        <v/>
      </c>
      <c r="WX29">
        <f>WX28+IF(AND($C28=75,$U28=1),1,0)</f>
        <v/>
      </c>
      <c r="WY29">
        <f>WY28+IF(AND($C28=76,$U28=1),1,0)</f>
        <v/>
      </c>
      <c r="WZ29">
        <f>WZ28+IF(AND($C28=77,$U28=1),1,0)</f>
        <v/>
      </c>
      <c r="XA29">
        <f>XA28+IF(AND($C28=78,$U28=1),1,0)</f>
        <v/>
      </c>
      <c r="XB29">
        <f>XB28+IF(AND($C28=79,$U28=1),1,0)</f>
        <v/>
      </c>
      <c r="XC29">
        <f>XC28+IF(AND($C28=80,$U28=1),1,0)</f>
        <v/>
      </c>
      <c r="XD29">
        <f>XD28+IF(AND($C28=81,$U28=1),1,0)</f>
        <v/>
      </c>
      <c r="XE29">
        <f>XE28+IF(AND($C28=82,$U28=1),1,0)</f>
        <v/>
      </c>
      <c r="XF29">
        <f>XF28+IF(AND($C28=83,$U28=1),1,0)</f>
        <v/>
      </c>
      <c r="XG29">
        <f>XG28+IF(AND($C28=84,$U28=1),1,0)</f>
        <v/>
      </c>
      <c r="XH29">
        <f>XH28+IF(AND($C28=85,$U28=1),1,0)</f>
        <v/>
      </c>
      <c r="XI29">
        <f>XI28+IF(AND($C28=86,$U28=1),1,0)</f>
        <v/>
      </c>
      <c r="XJ29">
        <f>XJ28+IF(AND($C28=87,$U28=1),1,0)</f>
        <v/>
      </c>
      <c r="XK29">
        <f>XK28+IF(AND($C28=88,$U28=1),1,0)</f>
        <v/>
      </c>
      <c r="XL29">
        <f>XL28+IF(AND($C28=89,$U28=1),1,0)</f>
        <v/>
      </c>
      <c r="XM29">
        <f>XM28+IF(AND($C28=90,$U28=1),1,0)</f>
        <v/>
      </c>
      <c r="XN29">
        <f>XN28+IF(AND($C28=91,$U28=1),1,0)</f>
        <v/>
      </c>
      <c r="XO29">
        <f>XO28+IF(AND($C28=92,$U28=1),1,0)</f>
        <v/>
      </c>
      <c r="XP29">
        <f>XP28+IF(AND($C28=93,$U28=1),1,0)</f>
        <v/>
      </c>
      <c r="XQ29">
        <f>XQ28+IF(AND($C28=94,$U28=1),1,0)</f>
        <v/>
      </c>
      <c r="XR29">
        <f>XR28+IF(AND($C28=95,$U28=1),1,0)</f>
        <v/>
      </c>
      <c r="XS29">
        <f>XS28+IF(AND($C28=96,$U28=1),1,0)</f>
        <v/>
      </c>
      <c r="XT29">
        <f>XT28+IF(AND($C28=97,$U28=1),1,0)</f>
        <v/>
      </c>
      <c r="XU29">
        <f>XU28+IF(AND($C28=98,$U28=1),1,0)</f>
        <v/>
      </c>
      <c r="XV29">
        <f>XV28+IF(AND($C28=99,$U28=1),1,0)</f>
        <v/>
      </c>
      <c r="XW29">
        <f>XW28+IF(AND($C28=100,$U28=1),1,0)</f>
        <v/>
      </c>
      <c r="XX29">
        <f>XX28+IF(AND($C28=101,$U28=1),1,0)</f>
        <v/>
      </c>
      <c r="XY29">
        <f>XY28+IF(AND($C28=102,$U28=1),1,0)</f>
        <v/>
      </c>
      <c r="XZ29">
        <f>XZ28+IF(AND($C28=103,$U28=1),1,0)</f>
        <v/>
      </c>
      <c r="YA29">
        <f>YA28+IF(AND($C28=104,$U28=1),1,0)</f>
        <v/>
      </c>
      <c r="YB29">
        <f>YB28+IF(AND($C28=105,$U28=1),1,0)</f>
        <v/>
      </c>
      <c r="YC29">
        <f>YC28+IF(AND($C28=106,$U28=1),1,0)</f>
        <v/>
      </c>
      <c r="YD29">
        <f>YD28+IF(AND($C28=107,$U28=1),1,0)</f>
        <v/>
      </c>
      <c r="YE29">
        <f>YE28+IF(AND($C28=108,$U28=1),1,0)</f>
        <v/>
      </c>
      <c r="YF29">
        <f>YF28+IF(AND($C28=109,$U28=1),1,0)</f>
        <v/>
      </c>
      <c r="YG29">
        <f>YG28+IF(AND($C28=110,$U28=1),1,0)</f>
        <v/>
      </c>
      <c r="YH29">
        <f>YH28+IF(AND($C28=111,$U28=1),1,0)</f>
        <v/>
      </c>
      <c r="YI29">
        <f>YI28+IF(AND($C28=112,$U28=1),1,0)</f>
        <v/>
      </c>
      <c r="YJ29">
        <f>YJ28+IF(AND($C28=113,$U28=1),1,0)</f>
        <v/>
      </c>
      <c r="YK29">
        <f>YK28+IF(AND($C28=114,$U28=1),1,0)</f>
        <v/>
      </c>
      <c r="YL29">
        <f>YL28+IF(AND($C28=115,$U28=1),1,0)</f>
        <v/>
      </c>
      <c r="YM29">
        <f>YM28+IF(AND($C28=116,$U28=1),1,0)</f>
        <v/>
      </c>
      <c r="YN29">
        <f>YN28+IF(AND($C28=117,$U28=1),1,0)</f>
        <v/>
      </c>
      <c r="YO29">
        <f>YO28+IF(AND($C28=118,$U28=1),1,0)</f>
        <v/>
      </c>
      <c r="YP29">
        <f>YP28+IF(AND($C28=119,$U28=1),1,0)</f>
        <v/>
      </c>
      <c r="YQ29">
        <f>YQ28+IF(AND($C28=120,$U28=1),1,0)</f>
        <v/>
      </c>
      <c r="YR29">
        <f>YR28+IF(AND($C28=121,$U28=1),1,0)</f>
        <v/>
      </c>
      <c r="YS29">
        <f>YS28+IF(AND($C28=122,$U28=1),1,0)</f>
        <v/>
      </c>
      <c r="YT29">
        <f>YT28+IF(AND($C28=123,$U28=1),1,0)</f>
        <v/>
      </c>
      <c r="YU29">
        <f>YU28+IF(AND($C28=124,$U28=1),1,0)</f>
        <v/>
      </c>
      <c r="YV29">
        <f>YV28+IF(AND($C28=125,$U28=1),1,0)</f>
        <v/>
      </c>
      <c r="YW29">
        <f>YW28+IF(AND($C28=126,$U28=1),1,0)</f>
        <v/>
      </c>
      <c r="YX29">
        <f>YX28+IF(AND($C28=127,$U28=1),1,0)</f>
        <v/>
      </c>
      <c r="YY29">
        <f>YY28+IF(AND($C28=128,$U28=1),1,0)</f>
        <v/>
      </c>
      <c r="YZ29">
        <f>YZ28+IF(AND($C28=129,$U28=1),1,0)</f>
        <v/>
      </c>
      <c r="ZA29">
        <f>ZA28+IF(AND($C28=130,$U28=1),1,0)</f>
        <v/>
      </c>
      <c r="ZB29">
        <f>ZB28+IF(AND($C28=131,$U28=1),1,0)</f>
        <v/>
      </c>
      <c r="ZC29">
        <f>ZC28+IF(AND($C28=132,$U28=1),1,0)</f>
        <v/>
      </c>
      <c r="ZD29">
        <f>ZD28+IF(AND($C28=133,$U28=1),1,0)</f>
        <v/>
      </c>
      <c r="ZE29">
        <f>ZE28+IF(AND($C28=134,$U28=1),1,0)</f>
        <v/>
      </c>
      <c r="ZF29">
        <f>ZF28+IF(AND($C28=135,$U28=1),1,0)</f>
        <v/>
      </c>
      <c r="ZG29">
        <f>ZG28+IF(AND($C28=136,$U28=1),1,0)</f>
        <v/>
      </c>
      <c r="ZH29">
        <f>ZH28+IF(AND($C28=137,$U28=1),1,0)</f>
        <v/>
      </c>
      <c r="ZI29">
        <f>ZI28+IF(AND($C28=138,$U28=1),1,0)</f>
        <v/>
      </c>
      <c r="ZJ29">
        <f>ZJ28+IF(AND($C28=139,$U28=1),1,0)</f>
        <v/>
      </c>
      <c r="ZK29">
        <f>ZK28+IF(AND($C28=140,$U28=1),1,0)</f>
        <v/>
      </c>
      <c r="ZL29">
        <f>ZL28+IF(AND($C28=141,$U28=1),1,0)</f>
        <v/>
      </c>
      <c r="ZM29">
        <f>ZM28+IF(AND($C28=142,$U28=1),1,0)</f>
        <v/>
      </c>
      <c r="ZN29">
        <f>ZN28+IF(AND($C28=143,$U28=1),1,0)</f>
        <v/>
      </c>
      <c r="ZO29">
        <f>ZO28+IF(AND($C28=144,$U28=1),1,0)</f>
        <v/>
      </c>
      <c r="ZQ29">
        <f>IF($C28=1,0,ZQ28+IF(AND($G28=1,$E28=1),1,0))</f>
        <v/>
      </c>
      <c r="ZR29">
        <f>IF($C28=2,0,ZR28+IF(AND($G28=2,$E28=1),1,0))</f>
        <v/>
      </c>
      <c r="ZS29">
        <f>IF($C28=3,0,ZS28+IF(AND($G28=3,$E28=1),1,0))</f>
        <v/>
      </c>
      <c r="ZT29">
        <f>IF($C28=4,0,ZT28+IF(AND($G28=4,$E28=1),1,0))</f>
        <v/>
      </c>
      <c r="ZU29">
        <f>IF($C28=5,0,ZU28+IF(AND($G28=5,$E28=1),1,0))</f>
        <v/>
      </c>
      <c r="ZV29">
        <f>IF($C28=6,0,ZV28+IF(AND($G28=6,$E28=1),1,0))</f>
        <v/>
      </c>
      <c r="ZW29">
        <f>IF($C28=7,0,ZW28+IF(AND($G28=7,$E28=1),1,0))</f>
        <v/>
      </c>
      <c r="ZX29">
        <f>IF($C28=8,0,ZX28+IF(AND($G28=8,$E28=1),1,0))</f>
        <v/>
      </c>
      <c r="ZY29">
        <f>IF($C28=9,0,ZY28+IF(AND($G28=9,$E28=1),1,0))</f>
        <v/>
      </c>
      <c r="ZZ29">
        <f>IF($C28=10,0,ZZ28+IF(AND($G28=10,$E28=1),1,0))</f>
        <v/>
      </c>
      <c r="AAA29">
        <f>IF($C28=11,0,AAA28+IF(AND($G28=11,$E28=1),1,0))</f>
        <v/>
      </c>
      <c r="AAB29">
        <f>IF($C28=12,0,AAB28+IF(AND($G28=12,$E28=1),1,0))</f>
        <v/>
      </c>
      <c r="AAC29">
        <f>IF($C28=13,0,AAC28+IF(AND($G28=13,$E28=1),1,0))</f>
        <v/>
      </c>
      <c r="AAD29">
        <f>IF($C28=14,0,AAD28+IF(AND($G28=14,$E28=1),1,0))</f>
        <v/>
      </c>
      <c r="AAE29">
        <f>IF($C28=15,0,AAE28+IF(AND($G28=15,$E28=1),1,0))</f>
        <v/>
      </c>
      <c r="AAF29">
        <f>IF($C28=16,0,AAF28+IF(AND($G28=16,$E28=1),1,0))</f>
        <v/>
      </c>
      <c r="AAG29">
        <f>IF($C28=17,0,AAG28+IF(AND($G28=17,$E28=1),1,0))</f>
        <v/>
      </c>
      <c r="AAH29">
        <f>IF($C28=18,0,AAH28+IF(AND($G28=18,$E28=1),1,0))</f>
        <v/>
      </c>
      <c r="AAI29">
        <f>IF($C28=19,0,AAI28+IF(AND($G28=19,$E28=1),1,0))</f>
        <v/>
      </c>
      <c r="AAJ29">
        <f>IF($C28=20,0,AAJ28+IF(AND($G28=20,$E28=1),1,0))</f>
        <v/>
      </c>
      <c r="AAK29">
        <f>IF($C28=21,0,AAK28+IF(AND($G28=21,$E28=1),1,0))</f>
        <v/>
      </c>
      <c r="AAL29">
        <f>IF($C28=22,0,AAL28+IF(AND($G28=22,$E28=1),1,0))</f>
        <v/>
      </c>
      <c r="AAM29">
        <f>IF($C28=23,0,AAM28+IF(AND($G28=23,$E28=1),1,0))</f>
        <v/>
      </c>
      <c r="AAN29">
        <f>IF($C28=24,0,AAN28+IF(AND($G28=24,$E28=1),1,0))</f>
        <v/>
      </c>
      <c r="AAO29">
        <f>IF($C28=25,0,AAO28+IF(AND($G28=25,$E28=1),1,0))</f>
        <v/>
      </c>
      <c r="AAP29">
        <f>IF($C28=26,0,AAP28+IF(AND($G28=26,$E28=1),1,0))</f>
        <v/>
      </c>
      <c r="AAQ29">
        <f>IF($C28=27,0,AAQ28+IF(AND($G28=27,$E28=1),1,0))</f>
        <v/>
      </c>
      <c r="AAR29">
        <f>IF($C28=28,0,AAR28+IF(AND($G28=28,$E28=1),1,0))</f>
        <v/>
      </c>
      <c r="AAS29">
        <f>IF($C28=29,0,AAS28+IF(AND($G28=29,$E28=1),1,0))</f>
        <v/>
      </c>
      <c r="AAT29">
        <f>IF($C28=30,0,AAT28+IF(AND($G28=30,$E28=1),1,0))</f>
        <v/>
      </c>
      <c r="AAU29">
        <f>IF($C28=31,0,AAU28+IF(AND($G28=31,$E28=1),1,0))</f>
        <v/>
      </c>
      <c r="AAV29">
        <f>IF($C28=32,0,AAV28+IF(AND($G28=32,$E28=1),1,0))</f>
        <v/>
      </c>
      <c r="AAW29">
        <f>IF($C28=33,0,AAW28+IF(AND($G28=33,$E28=1),1,0))</f>
        <v/>
      </c>
      <c r="AAX29">
        <f>IF($C28=34,0,AAX28+IF(AND($G28=34,$E28=1),1,0))</f>
        <v/>
      </c>
      <c r="AAY29">
        <f>IF($C28=35,0,AAY28+IF(AND($G28=35,$E28=1),1,0))</f>
        <v/>
      </c>
      <c r="AAZ29">
        <f>IF($C28=36,0,AAZ28+IF(AND($G28=36,$E28=1),1,0))</f>
        <v/>
      </c>
      <c r="ABA29">
        <f>IF($C28=37,0,ABA28+IF(AND($G28=37,$E28=1),1,0))</f>
        <v/>
      </c>
      <c r="ABB29">
        <f>IF($C28=38,0,ABB28+IF(AND($G28=38,$E28=1),1,0))</f>
        <v/>
      </c>
      <c r="ABC29">
        <f>IF($C28=39,0,ABC28+IF(AND($G28=39,$E28=1),1,0))</f>
        <v/>
      </c>
      <c r="ABD29">
        <f>IF($C28=40,0,ABD28+IF(AND($G28=40,$E28=1),1,0))</f>
        <v/>
      </c>
      <c r="ABE29">
        <f>IF($C28=41,0,ABE28+IF(AND($G28=41,$E28=1),1,0))</f>
        <v/>
      </c>
      <c r="ABF29">
        <f>IF($C28=42,0,ABF28+IF(AND($G28=42,$E28=1),1,0))</f>
        <v/>
      </c>
      <c r="ABG29">
        <f>IF($C28=43,0,ABG28+IF(AND($G28=43,$E28=1),1,0))</f>
        <v/>
      </c>
      <c r="ABH29">
        <f>IF($C28=44,0,ABH28+IF(AND($G28=44,$E28=1),1,0))</f>
        <v/>
      </c>
      <c r="ABI29">
        <f>IF($C28=45,0,ABI28+IF(AND($G28=45,$E28=1),1,0))</f>
        <v/>
      </c>
      <c r="ABJ29">
        <f>IF($C28=46,0,ABJ28+IF(AND($G28=46,$E28=1),1,0))</f>
        <v/>
      </c>
      <c r="ABK29">
        <f>IF($C28=47,0,ABK28+IF(AND($G28=47,$E28=1),1,0))</f>
        <v/>
      </c>
      <c r="ABL29">
        <f>IF($C28=48,0,ABL28+IF(AND($G28=48,$E28=1),1,0))</f>
        <v/>
      </c>
      <c r="ABM29">
        <f>IF($C28=49,0,ABM28+IF(AND($G28=49,$E28=1),1,0))</f>
        <v/>
      </c>
      <c r="ABN29">
        <f>IF($C28=50,0,ABN28+IF(AND($G28=50,$E28=1),1,0))</f>
        <v/>
      </c>
      <c r="ABO29">
        <f>IF($C28=51,0,ABO28+IF(AND($G28=51,$E28=1),1,0))</f>
        <v/>
      </c>
      <c r="ABP29">
        <f>IF($C28=52,0,ABP28+IF(AND($G28=52,$E28=1),1,0))</f>
        <v/>
      </c>
      <c r="ABQ29">
        <f>IF($C28=53,0,ABQ28+IF(AND($G28=53,$E28=1),1,0))</f>
        <v/>
      </c>
      <c r="ABR29">
        <f>IF($C28=54,0,ABR28+IF(AND($G28=54,$E28=1),1,0))</f>
        <v/>
      </c>
      <c r="ABS29">
        <f>IF($C28=55,0,ABS28+IF(AND($G28=55,$E28=1),1,0))</f>
        <v/>
      </c>
      <c r="ABT29">
        <f>IF($C28=56,0,ABT28+IF(AND($G28=56,$E28=1),1,0))</f>
        <v/>
      </c>
      <c r="ABU29">
        <f>IF($C28=57,0,ABU28+IF(AND($G28=57,$E28=1),1,0))</f>
        <v/>
      </c>
      <c r="ABV29">
        <f>IF($C28=58,0,ABV28+IF(AND($G28=58,$E28=1),1,0))</f>
        <v/>
      </c>
      <c r="ABW29">
        <f>IF($C28=59,0,ABW28+IF(AND($G28=59,$E28=1),1,0))</f>
        <v/>
      </c>
      <c r="ABX29">
        <f>IF($C28=60,0,ABX28+IF(AND($G28=60,$E28=1),1,0))</f>
        <v/>
      </c>
      <c r="ABY29">
        <f>IF($C28=61,0,ABY28+IF(AND($G28=61,$E28=1),1,0))</f>
        <v/>
      </c>
      <c r="ABZ29">
        <f>IF($C28=62,0,ABZ28+IF(AND($G28=62,$E28=1),1,0))</f>
        <v/>
      </c>
      <c r="ACA29">
        <f>IF($C28=63,0,ACA28+IF(AND($G28=63,$E28=1),1,0))</f>
        <v/>
      </c>
      <c r="ACB29">
        <f>IF($C28=64,0,ACB28+IF(AND($G28=64,$E28=1),1,0))</f>
        <v/>
      </c>
      <c r="ACC29">
        <f>IF($C28=65,0,ACC28+IF(AND($G28=65,$E28=1),1,0))</f>
        <v/>
      </c>
      <c r="ACD29">
        <f>IF($C28=66,0,ACD28+IF(AND($G28=66,$E28=1),1,0))</f>
        <v/>
      </c>
      <c r="ACE29">
        <f>IF($C28=67,0,ACE28+IF(AND($G28=67,$E28=1),1,0))</f>
        <v/>
      </c>
      <c r="ACF29">
        <f>IF($C28=68,0,ACF28+IF(AND($G28=68,$E28=1),1,0))</f>
        <v/>
      </c>
      <c r="ACG29">
        <f>IF($C28=69,0,ACG28+IF(AND($G28=69,$E28=1),1,0))</f>
        <v/>
      </c>
      <c r="ACH29">
        <f>IF($C28=70,0,ACH28+IF(AND($G28=70,$E28=1),1,0))</f>
        <v/>
      </c>
      <c r="ACI29">
        <f>IF($C28=71,0,ACI28+IF(AND($G28=71,$E28=1),1,0))</f>
        <v/>
      </c>
      <c r="ACJ29">
        <f>IF($C28=72,0,ACJ28+IF(AND($G28=72,$E28=1),1,0))</f>
        <v/>
      </c>
      <c r="ACK29">
        <f>IF($C28=73,0,ACK28+IF(AND($G28=73,$E28=1),1,0))</f>
        <v/>
      </c>
      <c r="ACL29">
        <f>IF($C28=74,0,ACL28+IF(AND($G28=74,$E28=1),1,0))</f>
        <v/>
      </c>
      <c r="ACM29">
        <f>IF($C28=75,0,ACM28+IF(AND($G28=75,$E28=1),1,0))</f>
        <v/>
      </c>
      <c r="ACN29">
        <f>IF($C28=76,0,ACN28+IF(AND($G28=76,$E28=1),1,0))</f>
        <v/>
      </c>
      <c r="ACO29">
        <f>IF($C28=77,0,ACO28+IF(AND($G28=77,$E28=1),1,0))</f>
        <v/>
      </c>
      <c r="ACP29">
        <f>IF($C28=78,0,ACP28+IF(AND($G28=78,$E28=1),1,0))</f>
        <v/>
      </c>
      <c r="ACQ29">
        <f>IF($C28=79,0,ACQ28+IF(AND($G28=79,$E28=1),1,0))</f>
        <v/>
      </c>
      <c r="ACR29">
        <f>IF($C28=80,0,ACR28+IF(AND($G28=80,$E28=1),1,0))</f>
        <v/>
      </c>
      <c r="ACS29">
        <f>IF($C28=81,0,ACS28+IF(AND($G28=81,$E28=1),1,0))</f>
        <v/>
      </c>
      <c r="ACT29">
        <f>IF($C28=82,0,ACT28+IF(AND($G28=82,$E28=1),1,0))</f>
        <v/>
      </c>
      <c r="ACU29">
        <f>IF($C28=83,0,ACU28+IF(AND($G28=83,$E28=1),1,0))</f>
        <v/>
      </c>
      <c r="ACV29">
        <f>IF($C28=84,0,ACV28+IF(AND($G28=84,$E28=1),1,0))</f>
        <v/>
      </c>
      <c r="ACW29">
        <f>IF($C28=85,0,ACW28+IF(AND($G28=85,$E28=1),1,0))</f>
        <v/>
      </c>
      <c r="ACX29">
        <f>IF($C28=86,0,ACX28+IF(AND($G28=86,$E28=1),1,0))</f>
        <v/>
      </c>
      <c r="ACY29">
        <f>IF($C28=87,0,ACY28+IF(AND($G28=87,$E28=1),1,0))</f>
        <v/>
      </c>
      <c r="ACZ29">
        <f>IF($C28=88,0,ACZ28+IF(AND($G28=88,$E28=1),1,0))</f>
        <v/>
      </c>
      <c r="ADA29">
        <f>IF($C28=89,0,ADA28+IF(AND($G28=89,$E28=1),1,0))</f>
        <v/>
      </c>
      <c r="ADB29">
        <f>IF($C28=90,0,ADB28+IF(AND($G28=90,$E28=1),1,0))</f>
        <v/>
      </c>
      <c r="ADC29">
        <f>IF($C28=91,0,ADC28+IF(AND($G28=91,$E28=1),1,0))</f>
        <v/>
      </c>
      <c r="ADD29">
        <f>IF($C28=92,0,ADD28+IF(AND($G28=92,$E28=1),1,0))</f>
        <v/>
      </c>
      <c r="ADE29">
        <f>IF($C28=93,0,ADE28+IF(AND($G28=93,$E28=1),1,0))</f>
        <v/>
      </c>
      <c r="ADF29">
        <f>IF($C28=94,0,ADF28+IF(AND($G28=94,$E28=1),1,0))</f>
        <v/>
      </c>
      <c r="ADG29">
        <f>IF($C28=95,0,ADG28+IF(AND($G28=95,$E28=1),1,0))</f>
        <v/>
      </c>
      <c r="ADH29">
        <f>IF($C28=96,0,ADH28+IF(AND($G28=96,$E28=1),1,0))</f>
        <v/>
      </c>
      <c r="ADI29">
        <f>IF($C28=97,0,ADI28+IF(AND($G28=97,$E28=1),1,0))</f>
        <v/>
      </c>
      <c r="ADJ29">
        <f>IF($C28=98,0,ADJ28+IF(AND($G28=98,$E28=1),1,0))</f>
        <v/>
      </c>
      <c r="ADK29">
        <f>IF($C28=99,0,ADK28+IF(AND($G28=99,$E28=1),1,0))</f>
        <v/>
      </c>
      <c r="ADL29">
        <f>IF($C28=100,0,ADL28+IF(AND($G28=100,$E28=1),1,0))</f>
        <v/>
      </c>
      <c r="ADM29">
        <f>IF($C28=101,0,ADM28+IF(AND($G28=101,$E28=1),1,0))</f>
        <v/>
      </c>
      <c r="ADN29">
        <f>IF($C28=102,0,ADN28+IF(AND($G28=102,$E28=1),1,0))</f>
        <v/>
      </c>
      <c r="ADO29">
        <f>IF($C28=103,0,ADO28+IF(AND($G28=103,$E28=1),1,0))</f>
        <v/>
      </c>
      <c r="ADP29">
        <f>IF($C28=104,0,ADP28+IF(AND($G28=104,$E28=1),1,0))</f>
        <v/>
      </c>
      <c r="ADQ29">
        <f>IF($C28=105,0,ADQ28+IF(AND($G28=105,$E28=1),1,0))</f>
        <v/>
      </c>
      <c r="ADR29">
        <f>IF($C28=106,0,ADR28+IF(AND($G28=106,$E28=1),1,0))</f>
        <v/>
      </c>
      <c r="ADS29">
        <f>IF($C28=107,0,ADS28+IF(AND($G28=107,$E28=1),1,0))</f>
        <v/>
      </c>
      <c r="ADT29">
        <f>IF($C28=108,0,ADT28+IF(AND($G28=108,$E28=1),1,0))</f>
        <v/>
      </c>
      <c r="ADU29">
        <f>IF($C28=109,0,ADU28+IF(AND($G28=109,$E28=1),1,0))</f>
        <v/>
      </c>
      <c r="ADV29">
        <f>IF($C28=110,0,ADV28+IF(AND($G28=110,$E28=1),1,0))</f>
        <v/>
      </c>
      <c r="ADW29">
        <f>IF($C28=111,0,ADW28+IF(AND($G28=111,$E28=1),1,0))</f>
        <v/>
      </c>
      <c r="ADX29">
        <f>IF($C28=112,0,ADX28+IF(AND($G28=112,$E28=1),1,0))</f>
        <v/>
      </c>
      <c r="ADY29">
        <f>IF($C28=113,0,ADY28+IF(AND($G28=113,$E28=1),1,0))</f>
        <v/>
      </c>
      <c r="ADZ29">
        <f>IF($C28=114,0,ADZ28+IF(AND($G28=114,$E28=1),1,0))</f>
        <v/>
      </c>
      <c r="AEA29">
        <f>IF($C28=115,0,AEA28+IF(AND($G28=115,$E28=1),1,0))</f>
        <v/>
      </c>
      <c r="AEB29">
        <f>IF($C28=116,0,AEB28+IF(AND($G28=116,$E28=1),1,0))</f>
        <v/>
      </c>
      <c r="AEC29">
        <f>IF($C28=117,0,AEC28+IF(AND($G28=117,$E28=1),1,0))</f>
        <v/>
      </c>
      <c r="AED29">
        <f>IF($C28=118,0,AED28+IF(AND($G28=118,$E28=1),1,0))</f>
        <v/>
      </c>
      <c r="AEE29">
        <f>IF($C28=119,0,AEE28+IF(AND($G28=119,$E28=1),1,0))</f>
        <v/>
      </c>
      <c r="AEF29">
        <f>IF($C28=120,0,AEF28+IF(AND($G28=120,$E28=1),1,0))</f>
        <v/>
      </c>
      <c r="AEG29">
        <f>IF($C28=121,0,AEG28+IF(AND($G28=121,$E28=1),1,0))</f>
        <v/>
      </c>
      <c r="AEH29">
        <f>IF($C28=122,0,AEH28+IF(AND($G28=122,$E28=1),1,0))</f>
        <v/>
      </c>
      <c r="AEI29">
        <f>IF($C28=123,0,AEI28+IF(AND($G28=123,$E28=1),1,0))</f>
        <v/>
      </c>
      <c r="AEJ29">
        <f>IF($C28=124,0,AEJ28+IF(AND($G28=124,$E28=1),1,0))</f>
        <v/>
      </c>
      <c r="AEK29">
        <f>IF($C28=125,0,AEK28+IF(AND($G28=125,$E28=1),1,0))</f>
        <v/>
      </c>
      <c r="AEL29">
        <f>IF($C28=126,0,AEL28+IF(AND($G28=126,$E28=1),1,0))</f>
        <v/>
      </c>
      <c r="AEM29">
        <f>IF($C28=127,0,AEM28+IF(AND($G28=127,$E28=1),1,0))</f>
        <v/>
      </c>
      <c r="AEN29">
        <f>IF($C28=128,0,AEN28+IF(AND($G28=128,$E28=1),1,0))</f>
        <v/>
      </c>
      <c r="AEO29">
        <f>IF($C28=129,0,AEO28+IF(AND($G28=129,$E28=1),1,0))</f>
        <v/>
      </c>
      <c r="AEP29">
        <f>IF($C28=130,0,AEP28+IF(AND($G28=130,$E28=1),1,0))</f>
        <v/>
      </c>
      <c r="AEQ29">
        <f>IF($C28=131,0,AEQ28+IF(AND($G28=131,$E28=1),1,0))</f>
        <v/>
      </c>
      <c r="AER29">
        <f>IF($C28=132,0,AER28+IF(AND($G28=132,$E28=1),1,0))</f>
        <v/>
      </c>
      <c r="AES29">
        <f>IF($C28=133,0,AES28+IF(AND($G28=133,$E28=1),1,0))</f>
        <v/>
      </c>
      <c r="AET29">
        <f>IF($C28=134,0,AET28+IF(AND($G28=134,$E28=1),1,0))</f>
        <v/>
      </c>
      <c r="AEU29">
        <f>IF($C28=135,0,AEU28+IF(AND($G28=135,$E28=1),1,0))</f>
        <v/>
      </c>
      <c r="AEV29">
        <f>IF($C28=136,0,AEV28+IF(AND($G28=136,$E28=1),1,0))</f>
        <v/>
      </c>
      <c r="AEW29">
        <f>IF($C28=137,0,AEW28+IF(AND($G28=137,$E28=1),1,0))</f>
        <v/>
      </c>
      <c r="AEX29">
        <f>IF($C28=138,0,AEX28+IF(AND($G28=138,$E28=1),1,0))</f>
        <v/>
      </c>
      <c r="AEY29">
        <f>IF($C28=139,0,AEY28+IF(AND($G28=139,$E28=1),1,0))</f>
        <v/>
      </c>
      <c r="AEZ29">
        <f>IF($C28=140,0,AEZ28+IF(AND($G28=140,$E28=1),1,0))</f>
        <v/>
      </c>
      <c r="AFA29">
        <f>IF($C28=141,0,AFA28+IF(AND($G28=141,$E28=1),1,0))</f>
        <v/>
      </c>
      <c r="AFB29">
        <f>IF($C28=142,0,AFB28+IF(AND($G28=142,$E28=1),1,0))</f>
        <v/>
      </c>
      <c r="AFC29">
        <f>IF($C28=143,0,AFC28+IF(AND($G28=143,$E28=1),1,0))</f>
        <v/>
      </c>
      <c r="AFD29">
        <f>IF($C28=144,0,AFD28+IF(AND($G28=144,$E28=1),1,0))</f>
        <v/>
      </c>
      <c r="AFF29">
        <f>IF('calcA'!D$106=1,DC29+ZR29,1)</f>
        <v/>
      </c>
      <c r="AFG29">
        <f>IF('calcA'!E$106=1,DD29+ZS29,1)</f>
        <v/>
      </c>
      <c r="AFH29">
        <f>IF('calcA'!F$106=1,DE29+ZT29,1)</f>
        <v/>
      </c>
      <c r="AFI29">
        <f>IF('calcA'!G$106=1,DF29+ZU29,1)</f>
        <v/>
      </c>
      <c r="AFJ29">
        <f>IF('calcA'!H$106=1,DG29+ZV29,1)</f>
        <v/>
      </c>
      <c r="AFK29">
        <f>IF('calcA'!I$106=1,DH29+ZW29,1)</f>
        <v/>
      </c>
      <c r="AFL29">
        <f>IF('calcA'!J$106=1,DI29+ZX29,1)</f>
        <v/>
      </c>
      <c r="AFM29">
        <f>IF('calcA'!K$106=1,DJ29+ZY29,1)</f>
        <v/>
      </c>
      <c r="AFN29">
        <f>IF('calcA'!L$106=1,DK29+ZZ29,1)</f>
        <v/>
      </c>
      <c r="AFO29">
        <f>IF('calcA'!M$106=1,DL29+AAA29,1)</f>
        <v/>
      </c>
      <c r="AFP29">
        <f>IF('calcA'!N$106=1,DM29+AAB29,1)</f>
        <v/>
      </c>
      <c r="AFQ29">
        <f>IF('calcA'!O$106=1,DN29+AAC29,1)</f>
        <v/>
      </c>
      <c r="AFR29">
        <f>IF('calcA'!P$106=1,DO29+AAD29,1)</f>
        <v/>
      </c>
      <c r="AFS29">
        <f>IF('calcA'!Q$106=1,DP29+AAE29,1)</f>
        <v/>
      </c>
      <c r="AFT29">
        <f>IF('calcA'!R$106=1,DQ29+AAF29,1)</f>
        <v/>
      </c>
      <c r="AFU29">
        <f>IF('calcA'!S$106=1,DR29+AAG29,1)</f>
        <v/>
      </c>
      <c r="AFV29">
        <f>IF('calcA'!T$106=1,DS29+AAH29,1)</f>
        <v/>
      </c>
      <c r="AFW29">
        <f>IF('calcA'!U$106=1,DT29+AAI29,1)</f>
        <v/>
      </c>
      <c r="AFX29">
        <f>IF('calcA'!V$106=1,DU29+AAJ29,1)</f>
        <v/>
      </c>
      <c r="AFY29">
        <f>IF('calcA'!W$106=1,DV29+AAK29,1)</f>
        <v/>
      </c>
      <c r="AFZ29">
        <f>IF('calcA'!X$106=1,DW29+AAL29,1)</f>
        <v/>
      </c>
      <c r="AGA29">
        <f>IF('calcA'!Y$106=1,DX29+AAM29,1)</f>
        <v/>
      </c>
      <c r="AGB29">
        <f>IF('calcA'!Z$106=1,DY29+AAN29,1)</f>
        <v/>
      </c>
      <c r="AGC29">
        <f>IF('calcA'!AA$106=1,DZ29+AAO29,1)</f>
        <v/>
      </c>
      <c r="AGD29">
        <f>IF('calcA'!AB$106=1,EA29+AAP29,1)</f>
        <v/>
      </c>
      <c r="AGE29">
        <f>IF('calcA'!AC$106=1,EB29+AAQ29,1)</f>
        <v/>
      </c>
      <c r="AGF29">
        <f>IF('calcA'!AD$106=1,EC29+AAR29,1)</f>
        <v/>
      </c>
      <c r="AGG29">
        <f>IF('calcA'!AE$106=1,ED29+AAS29,1)</f>
        <v/>
      </c>
      <c r="AGH29">
        <f>IF('calcA'!AF$106=1,EE29+AAT29,1)</f>
        <v/>
      </c>
      <c r="AGI29">
        <f>IF('calcA'!AG$106=1,EF29+AAU29,1)</f>
        <v/>
      </c>
      <c r="AGJ29">
        <f>IF('calcA'!AH$106=1,EG29+AAV29,1)</f>
        <v/>
      </c>
      <c r="AGK29">
        <f>IF('calcA'!AI$106=1,EH29+AAW29,1)</f>
        <v/>
      </c>
      <c r="AGL29">
        <f>IF('calcA'!AJ$106=1,EI29+AAX29,1)</f>
        <v/>
      </c>
      <c r="AGM29">
        <f>IF('calcA'!AK$106=1,EJ29+AAY29,1)</f>
        <v/>
      </c>
      <c r="AGN29">
        <f>IF('calcA'!AL$106=1,EK29+AAZ29,1)</f>
        <v/>
      </c>
      <c r="AGO29">
        <f>IF('calcA'!AM$106=1,EL29+ABA29,1)</f>
        <v/>
      </c>
      <c r="AGP29">
        <f>IF('calcA'!AN$106=1,EM29+ABB29,1)</f>
        <v/>
      </c>
      <c r="AGQ29">
        <f>IF('calcA'!AO$106=1,EN29+ABC29,1)</f>
        <v/>
      </c>
      <c r="AGR29">
        <f>IF('calcA'!AP$106=1,EO29+ABD29,1)</f>
        <v/>
      </c>
      <c r="AGS29">
        <f>IF('calcA'!AQ$106=1,EP29+ABE29,1)</f>
        <v/>
      </c>
      <c r="AGT29">
        <f>IF('calcA'!AR$106=1,EQ29+ABF29,1)</f>
        <v/>
      </c>
      <c r="AGU29">
        <f>IF('calcA'!AS$106=1,ER29+ABG29,1)</f>
        <v/>
      </c>
      <c r="AGV29">
        <f>IF('calcA'!AT$106=1,ES29+ABH29,1)</f>
        <v/>
      </c>
      <c r="AGW29">
        <f>IF('calcA'!AU$106=1,ET29+ABI29,1)</f>
        <v/>
      </c>
      <c r="AGX29">
        <f>IF('calcA'!AV$106=1,EU29+ABJ29,1)</f>
        <v/>
      </c>
      <c r="AGY29">
        <f>IF('calcA'!AW$106=1,EV29+ABK29,1)</f>
        <v/>
      </c>
      <c r="AGZ29">
        <f>IF('calcA'!AX$106=1,EW29+ABL29,1)</f>
        <v/>
      </c>
      <c r="AHA29">
        <f>IF('calcA'!AY$106=1,EX29+ABM29,1)</f>
        <v/>
      </c>
      <c r="AHB29">
        <f>IF('calcA'!AZ$106=1,EY29+ABN29,1)</f>
        <v/>
      </c>
      <c r="AHC29">
        <f>IF('calcA'!BA$106=1,EZ29+ABO29,1)</f>
        <v/>
      </c>
      <c r="AHD29">
        <f>IF('calcA'!BB$106=1,FA29+ABP29,1)</f>
        <v/>
      </c>
      <c r="AHE29">
        <f>IF('calcA'!BC$106=1,FB29+ABQ29,1)</f>
        <v/>
      </c>
      <c r="AHF29">
        <f>IF('calcA'!BD$106=1,FC29+ABR29,1)</f>
        <v/>
      </c>
      <c r="AHG29">
        <f>IF('calcA'!BE$106=1,FD29+ABS29,1)</f>
        <v/>
      </c>
      <c r="AHH29">
        <f>IF('calcA'!BF$106=1,FE29+ABT29,1)</f>
        <v/>
      </c>
      <c r="AHI29">
        <f>IF('calcA'!BG$106=1,FF29+ABU29,1)</f>
        <v/>
      </c>
      <c r="AHJ29">
        <f>IF('calcA'!BH$106=1,FG29+ABV29,1)</f>
        <v/>
      </c>
      <c r="AHK29">
        <f>IF('calcA'!BI$106=1,FH29+ABW29,1)</f>
        <v/>
      </c>
      <c r="AHL29">
        <f>IF('calcA'!BJ$106=1,FI29+ABX29,1)</f>
        <v/>
      </c>
      <c r="AHM29">
        <f>IF('calcA'!BK$106=1,FJ29+ABY29,1)</f>
        <v/>
      </c>
      <c r="AHN29">
        <f>IF('calcA'!BL$106=1,FK29+ABZ29,1)</f>
        <v/>
      </c>
      <c r="AHO29">
        <f>IF('calcA'!BM$106=1,FL29+ACA29,1)</f>
        <v/>
      </c>
      <c r="AHP29">
        <f>IF('calcA'!BN$106=1,FM29+ACB29,1)</f>
        <v/>
      </c>
      <c r="AHQ29">
        <f>IF('calcA'!BO$106=1,FN29+ACC29,1)</f>
        <v/>
      </c>
      <c r="AHR29">
        <f>IF('calcA'!BP$106=1,FO29+ACD29,1)</f>
        <v/>
      </c>
      <c r="AHS29">
        <f>IF('calcA'!BQ$106=1,FP29+ACE29,1)</f>
        <v/>
      </c>
      <c r="AHT29">
        <f>IF('calcA'!BR$106=1,FQ29+ACF29,1)</f>
        <v/>
      </c>
      <c r="AHU29">
        <f>IF('calcA'!BS$106=1,FR29+ACG29,1)</f>
        <v/>
      </c>
      <c r="AHV29">
        <f>IF('calcA'!BT$106=1,FS29+ACH29,1)</f>
        <v/>
      </c>
      <c r="AHW29">
        <f>IF('calcA'!BU$106=1,FT29+ACI29,1)</f>
        <v/>
      </c>
      <c r="AHX29">
        <f>IF('calcA'!BV$106=1,FU29+ACJ29,1)</f>
        <v/>
      </c>
      <c r="AHY29">
        <f>IF('calcA'!BW$106=1,FV29+ACK29,1)</f>
        <v/>
      </c>
      <c r="AHZ29">
        <f>IF('calcA'!BX$106=1,FW29+ACL29,1)</f>
        <v/>
      </c>
      <c r="AIA29">
        <f>IF('calcA'!BY$106=1,FX29+ACM29,1)</f>
        <v/>
      </c>
      <c r="AIB29">
        <f>IF('calcA'!BZ$106=1,FY29+ACN29,1)</f>
        <v/>
      </c>
      <c r="AIC29">
        <f>IF('calcA'!CA$106=1,FZ29+ACO29,1)</f>
        <v/>
      </c>
      <c r="AID29">
        <f>IF('calcA'!CB$106=1,GA29+ACP29,1)</f>
        <v/>
      </c>
      <c r="AIE29">
        <f>IF('calcA'!CC$106=1,GB29+ACQ29,1)</f>
        <v/>
      </c>
      <c r="AIF29">
        <f>IF('calcA'!CD$106=1,GC29+ACR29,1)</f>
        <v/>
      </c>
      <c r="AIG29">
        <f>IF('calcA'!CE$106=1,GD29+ACS29,1)</f>
        <v/>
      </c>
      <c r="AIH29">
        <f>IF('calcA'!CF$106=1,GE29+ACT29,1)</f>
        <v/>
      </c>
      <c r="AII29">
        <f>IF('calcA'!CG$106=1,GF29+ACU29,1)</f>
        <v/>
      </c>
      <c r="AIJ29">
        <f>IF('calcA'!CH$106=1,GG29+ACV29,1)</f>
        <v/>
      </c>
      <c r="AIK29">
        <f>IF('calcA'!CI$106=1,GH29+ACW29,1)</f>
        <v/>
      </c>
      <c r="AIL29">
        <f>IF('calcA'!CJ$106=1,GI29+ACX29,1)</f>
        <v/>
      </c>
      <c r="AIM29">
        <f>IF('calcA'!CK$106=1,GJ29+ACY29,1)</f>
        <v/>
      </c>
      <c r="AIN29">
        <f>IF('calcA'!CL$106=1,GK29+ACZ29,1)</f>
        <v/>
      </c>
      <c r="AIO29">
        <f>IF('calcA'!CM$106=1,GL29+ADA29,1)</f>
        <v/>
      </c>
      <c r="AIP29">
        <f>IF('calcA'!CN$106=1,GM29+ADB29,1)</f>
        <v/>
      </c>
      <c r="AIQ29">
        <f>IF('calcA'!CO$106=1,GN29+ADC29,1)</f>
        <v/>
      </c>
      <c r="AIR29">
        <f>IF('calcA'!CP$106=1,GO29+ADD29,1)</f>
        <v/>
      </c>
      <c r="AIS29">
        <f>IF('calcA'!CQ$106=1,GP29+ADE29,1)</f>
        <v/>
      </c>
      <c r="AIT29">
        <f>IF('calcA'!CR$106=1,GQ29+ADF29,1)</f>
        <v/>
      </c>
      <c r="AIU29">
        <f>IF('calcA'!CS$106=1,GR29+ADG29,1)</f>
        <v/>
      </c>
      <c r="AIV29">
        <f>IF('calcA'!CT$106=1,GS29+ADH29,1)</f>
        <v/>
      </c>
      <c r="AIW29">
        <f>IF('calcA'!CU$106=1,GT29+ADI29,1)</f>
        <v/>
      </c>
      <c r="AIX29">
        <f>IF('calcA'!CV$106=1,GU29+ADJ29,1)</f>
        <v/>
      </c>
      <c r="AIY29">
        <f>IF('calcA'!CW$106=1,GV29+ADK29,1)</f>
        <v/>
      </c>
      <c r="AIZ29">
        <f>IF('calcA'!CX$106=1,GW29+ADL29,1)</f>
        <v/>
      </c>
      <c r="AJA29">
        <f>IF('calcA'!CY$106=1,GX29+ADM29,1)</f>
        <v/>
      </c>
      <c r="AJB29">
        <f>IF('calcA'!CZ$106=1,GY29+ADN29,1)</f>
        <v/>
      </c>
      <c r="AJC29">
        <f>IF('calcA'!DA$106=1,GZ29+ADO29,1)</f>
        <v/>
      </c>
      <c r="AJD29">
        <f>IF('calcA'!DB$106=1,HA29+ADP29,1)</f>
        <v/>
      </c>
      <c r="AJE29">
        <f>IF('calcA'!DC$106=1,HB29+ADQ29,1)</f>
        <v/>
      </c>
      <c r="AJF29">
        <f>IF('calcA'!DD$106=1,HC29+ADR29,1)</f>
        <v/>
      </c>
      <c r="AJG29">
        <f>IF('calcA'!DE$106=1,HD29+ADS29,1)</f>
        <v/>
      </c>
      <c r="AJH29">
        <f>IF('calcA'!DF$106=1,HE29+ADT29,1)</f>
        <v/>
      </c>
      <c r="AJI29">
        <f>IF('calcA'!DG$106=1,HF29+ADU29,1)</f>
        <v/>
      </c>
      <c r="AJJ29">
        <f>IF('calcA'!DH$106=1,HG29+ADV29,1)</f>
        <v/>
      </c>
      <c r="AJK29">
        <f>IF('calcA'!DI$106=1,HH29+ADW29,1)</f>
        <v/>
      </c>
      <c r="AJL29">
        <f>IF('calcA'!DJ$106=1,HI29+ADX29,1)</f>
        <v/>
      </c>
      <c r="AJM29">
        <f>IF('calcA'!DK$106=1,HJ29+ADY29,1)</f>
        <v/>
      </c>
      <c r="AJN29">
        <f>IF('calcA'!DL$106=1,HK29+ADZ29,1)</f>
        <v/>
      </c>
      <c r="AJO29">
        <f>IF('calcA'!DM$106=1,HL29+AEA29,1)</f>
        <v/>
      </c>
      <c r="AJP29">
        <f>IF('calcA'!DN$106=1,HM29+AEB29,1)</f>
        <v/>
      </c>
      <c r="AJQ29">
        <f>IF('calcA'!DO$106=1,HN29+AEC29,1)</f>
        <v/>
      </c>
      <c r="AJR29">
        <f>IF('calcA'!DP$106=1,HO29+AED29,1)</f>
        <v/>
      </c>
      <c r="AJS29">
        <f>IF('calcA'!DQ$106=1,HP29+AEE29,1)</f>
        <v/>
      </c>
      <c r="AJT29">
        <f>IF('calcA'!DR$106=1,HQ29+AEF29,1)</f>
        <v/>
      </c>
      <c r="AJU29">
        <f>IF('calcA'!DS$106=1,HR29+AEG29,1)</f>
        <v/>
      </c>
      <c r="AJV29">
        <f>IF('calcA'!DT$106=1,HS29+AEH29,1)</f>
        <v/>
      </c>
      <c r="AJW29">
        <f>IF('calcA'!DU$106=1,HT29+AEI29,1)</f>
        <v/>
      </c>
      <c r="AJX29">
        <f>IF('calcA'!DV$106=1,HU29+AEJ29,1)</f>
        <v/>
      </c>
      <c r="AJY29">
        <f>IF('calcA'!DW$106=1,HV29+AEK29,1)</f>
        <v/>
      </c>
      <c r="AJZ29">
        <f>IF('calcA'!DX$106=1,HW29+AEL29,1)</f>
        <v/>
      </c>
      <c r="AKA29">
        <f>IF('calcA'!DY$106=1,HX29+AEM29,1)</f>
        <v/>
      </c>
      <c r="AKB29">
        <f>IF('calcA'!DZ$106=1,HY29+AEN29,1)</f>
        <v/>
      </c>
      <c r="AKC29">
        <f>IF('calcA'!EA$106=1,HZ29+AEO29,1)</f>
        <v/>
      </c>
      <c r="AKD29">
        <f>IF('calcA'!EB$106=1,IA29+AEP29,1)</f>
        <v/>
      </c>
      <c r="AKE29">
        <f>IF('calcA'!EC$106=1,IB29+AEQ29,1)</f>
        <v/>
      </c>
      <c r="AKF29">
        <f>IF('calcA'!ED$106=1,IC29+AER29,1)</f>
        <v/>
      </c>
      <c r="AKG29">
        <f>IF('calcA'!EE$106=1,ID29+AES29,1)</f>
        <v/>
      </c>
      <c r="AKH29">
        <f>IF('calcA'!EF$106=1,IE29+AET29,1)</f>
        <v/>
      </c>
      <c r="AKI29">
        <f>IF('calcA'!EG$106=1,IF29+AEU29,1)</f>
        <v/>
      </c>
      <c r="AKJ29">
        <f>IF('calcA'!EH$106=1,IG29+AEV29,1)</f>
        <v/>
      </c>
      <c r="AKK29">
        <f>IF('calcA'!EI$106=1,IH29+AEW29,1)</f>
        <v/>
      </c>
      <c r="AKL29">
        <f>IF('calcA'!EJ$106=1,II29+AEX29,1)</f>
        <v/>
      </c>
      <c r="AKM29">
        <f>IF('calcA'!EK$106=1,IJ29+AEY29,1)</f>
        <v/>
      </c>
      <c r="AKN29">
        <f>IF('calcA'!EL$106=1,IK29+AEZ29,1)</f>
        <v/>
      </c>
      <c r="AKO29">
        <f>IF('calcA'!EM$106=1,IL29+AFA29,1)</f>
        <v/>
      </c>
      <c r="AKP29">
        <f>IF('calcA'!EN$106=1,IM29+AFB29,1)</f>
        <v/>
      </c>
      <c r="AKQ29">
        <f>IF('calcA'!EO$106=1,IN29+AFC29,1)</f>
        <v/>
      </c>
      <c r="AKR29">
        <f>IF('calcA'!EP$106=1,IO29+AFD29,1)</f>
        <v/>
      </c>
      <c r="AKS29" t="n">
        <v>1</v>
      </c>
    </row>
    <row r="30">
      <c r="A30" t="n">
        <v>28</v>
      </c>
      <c r="B30">
        <f>IF(MIN(BM30:CZ30)&gt;=1000000000,0,MATCH(MIN(BM30:CZ30),BM30:CZ30,0))</f>
        <v/>
      </c>
      <c r="C30">
        <f>IF(MIN(OF30:TS30)&gt;=1000000000,0,MATCH(MIN(OF30:TS30),OF30:TS30,0))</f>
        <v/>
      </c>
      <c r="D30">
        <f>IF(C30&gt;0,INDEX('calcA'!$D$5:$EQ$5,C30),0)</f>
        <v/>
      </c>
      <c r="E30">
        <f>IF(B30=0,0,INDEX('calcA'!$IQ$10:$IQ$54,B30))</f>
        <v/>
      </c>
      <c r="F30">
        <f>IF(B30=0,0,INDEX('calcA'!$IP$10:$IP$54,B30))</f>
        <v/>
      </c>
      <c r="G30">
        <f>IF(AND(C30&gt;0,E30&gt;0),IF(AND(INDEX('calcA'!$D$106:$EQ$106,C30)=1,INDEX($IQ30:$OD30,C30)=1),C30+1,0),0)</f>
        <v/>
      </c>
      <c r="H30">
        <f>IF(B30=0,0,INDEX('calcA'!$IW$10:$IW$54,B30))</f>
        <v/>
      </c>
      <c r="U30">
        <f>IF(B30=0,0,INDEX('calcA'!$IX$10:$IX$54,B30))</f>
        <v/>
      </c>
      <c r="V30">
        <f>IF(B30=0,0,INDEX('calcA'!$JF$10:$JF$54,B30))</f>
        <v/>
      </c>
      <c r="W30">
        <f>IF(B30=0,0,IF(IF(E30=2,SUMPRODUCT(INDEX('calcA'!$D$60:$EQ$99,B30,0),$DB30:$IO30,$IQ30:$OD30),SUMPRODUCT(INDEX('calcA'!$D$60:$EQ$99,B30,0),$DB30:$IO30))=0,1,0))</f>
        <v/>
      </c>
      <c r="X30">
        <f>MAX(X29,IF($B29=1,1,0))</f>
        <v/>
      </c>
      <c r="Y30">
        <f>MAX(Y29,IF($B29=2,1,0))</f>
        <v/>
      </c>
      <c r="Z30">
        <f>MAX(Z29,IF($B29=3,1,0))</f>
        <v/>
      </c>
      <c r="AA30">
        <f>MAX(AA29,IF($B29=4,1,0))</f>
        <v/>
      </c>
      <c r="AB30">
        <f>MAX(AB29,IF($B29=5,1,0))</f>
        <v/>
      </c>
      <c r="AC30">
        <f>MAX(AC29,IF($B29=6,1,0))</f>
        <v/>
      </c>
      <c r="AD30">
        <f>MAX(AD29,IF($B29=7,1,0))</f>
        <v/>
      </c>
      <c r="AE30">
        <f>MAX(AE29,IF($B29=8,1,0))</f>
        <v/>
      </c>
      <c r="AF30">
        <f>MAX(AF29,IF($B29=9,1,0))</f>
        <v/>
      </c>
      <c r="AG30">
        <f>MAX(AG29,IF($B29=10,1,0))</f>
        <v/>
      </c>
      <c r="AH30">
        <f>MAX(AH29,IF($B29=11,1,0))</f>
        <v/>
      </c>
      <c r="AI30">
        <f>MAX(AI29,IF($B29=12,1,0))</f>
        <v/>
      </c>
      <c r="AJ30">
        <f>MAX(AJ29,IF($B29=13,1,0))</f>
        <v/>
      </c>
      <c r="AK30">
        <f>MAX(AK29,IF($B29=14,1,0))</f>
        <v/>
      </c>
      <c r="AL30">
        <f>MAX(AL29,IF($B29=15,1,0))</f>
        <v/>
      </c>
      <c r="AM30">
        <f>MAX(AM29,IF($B29=16,1,0))</f>
        <v/>
      </c>
      <c r="AN30">
        <f>MAX(AN29,IF($B29=17,1,0))</f>
        <v/>
      </c>
      <c r="AO30">
        <f>MAX(AO29,IF($B29=18,1,0))</f>
        <v/>
      </c>
      <c r="AP30">
        <f>MAX(AP29,IF($B29=19,1,0))</f>
        <v/>
      </c>
      <c r="AQ30">
        <f>MAX(AQ29,IF($B29=20,1,0))</f>
        <v/>
      </c>
      <c r="AR30">
        <f>MAX(AR29,IF($B29=21,1,0))</f>
        <v/>
      </c>
      <c r="AS30">
        <f>MAX(AS29,IF($B29=22,1,0))</f>
        <v/>
      </c>
      <c r="AT30">
        <f>MAX(AT29,IF($B29=23,1,0))</f>
        <v/>
      </c>
      <c r="AU30">
        <f>MAX(AU29,IF($B29=24,1,0))</f>
        <v/>
      </c>
      <c r="AV30">
        <f>MAX(AV29,IF($B29=25,1,0))</f>
        <v/>
      </c>
      <c r="AW30">
        <f>MAX(AW29,IF($B29=26,1,0))</f>
        <v/>
      </c>
      <c r="AX30">
        <f>MAX(AX29,IF($B29=27,1,0))</f>
        <v/>
      </c>
      <c r="AY30">
        <f>MAX(AY29,IF($B29=28,1,0))</f>
        <v/>
      </c>
      <c r="AZ30">
        <f>MAX(AZ29,IF($B29=29,1,0))</f>
        <v/>
      </c>
      <c r="BA30">
        <f>MAX(BA29,IF($B29=30,1,0))</f>
        <v/>
      </c>
      <c r="BB30">
        <f>MAX(BB29,IF($B29=31,1,0))</f>
        <v/>
      </c>
      <c r="BC30">
        <f>MAX(BC29,IF($B29=32,1,0))</f>
        <v/>
      </c>
      <c r="BD30">
        <f>MAX(BD29,IF($B29=33,1,0))</f>
        <v/>
      </c>
      <c r="BE30">
        <f>MAX(BE29,IF($B29=34,1,0))</f>
        <v/>
      </c>
      <c r="BF30">
        <f>MAX(BF29,IF($B29=35,1,0))</f>
        <v/>
      </c>
      <c r="BG30">
        <f>MAX(BG29,IF($B29=36,1,0))</f>
        <v/>
      </c>
      <c r="BH30">
        <f>MAX(BH29,IF($B29=37,1,0))</f>
        <v/>
      </c>
      <c r="BI30">
        <f>MAX(BI29,IF($B29=38,1,0))</f>
        <v/>
      </c>
      <c r="BJ30">
        <f>MAX(BJ29,IF($B29=39,1,0))</f>
        <v/>
      </c>
      <c r="BK30">
        <f>MAX(BK29,IF($B29=40,1,0))</f>
        <v/>
      </c>
      <c r="BM30">
        <f>IF(OR(X30=1,calcA!$A$6=0),1000000000,IF('calcA'!$JF$10=1,0,100000000)+IF('calcA'!$IQ$10=2,SUMPRODUCT('calcA'!$D$60:$EQ$60,$DB30:$IO30,$IQ30:$OD30)*1000+SUMPRODUCT('calcA'!$D$60:$EQ$60,$DB30:$IO30+$ZQ30:$AFD30,$AFF30:$AKS30),SUMPRODUCT('calcA'!$D$60:$EQ$60,$DB30:$IO30*1001+$ZQ30:$AFD30))*100+1)</f>
        <v/>
      </c>
      <c r="BN30">
        <f>IF(OR(Y30=1,calcA!$A$6=0),1000000000,IF('calcA'!$JF$11=1,0,100000000)+IF('calcA'!$IQ$11=2,SUMPRODUCT('calcA'!$D$61:$EQ$61,$DB30:$IO30,$IQ30:$OD30)*1000+SUMPRODUCT('calcA'!$D$61:$EQ$61,$DB30:$IO30+$ZQ30:$AFD30,$AFF30:$AKS30),SUMPRODUCT('calcA'!$D$61:$EQ$61,$DB30:$IO30*1001+$ZQ30:$AFD30))*100+2)</f>
        <v/>
      </c>
      <c r="BO30">
        <f>IF(OR(Z30=1,calcA!$A$6=0),1000000000,IF('calcA'!$JF$12=1,0,100000000)+IF('calcA'!$IQ$12=2,SUMPRODUCT('calcA'!$D$62:$EQ$62,$DB30:$IO30,$IQ30:$OD30)*1000+SUMPRODUCT('calcA'!$D$62:$EQ$62,$DB30:$IO30+$ZQ30:$AFD30,$AFF30:$AKS30),SUMPRODUCT('calcA'!$D$62:$EQ$62,$DB30:$IO30*1001+$ZQ30:$AFD30))*100+3)</f>
        <v/>
      </c>
      <c r="BP30">
        <f>IF(OR(AA30=1,calcA!$A$6=0),1000000000,IF('calcA'!$JF$13=1,0,100000000)+IF('calcA'!$IQ$13=2,SUMPRODUCT('calcA'!$D$63:$EQ$63,$DB30:$IO30,$IQ30:$OD30)*1000+SUMPRODUCT('calcA'!$D$63:$EQ$63,$DB30:$IO30+$ZQ30:$AFD30,$AFF30:$AKS30),SUMPRODUCT('calcA'!$D$63:$EQ$63,$DB30:$IO30*1001+$ZQ30:$AFD30))*100+4)</f>
        <v/>
      </c>
      <c r="BQ30">
        <f>IF(OR(AB30=1,calcA!$A$6=0),1000000000,IF('calcA'!$JF$14=1,0,100000000)+IF('calcA'!$IQ$14=2,SUMPRODUCT('calcA'!$D$64:$EQ$64,$DB30:$IO30,$IQ30:$OD30)*1000+SUMPRODUCT('calcA'!$D$64:$EQ$64,$DB30:$IO30+$ZQ30:$AFD30,$AFF30:$AKS30),SUMPRODUCT('calcA'!$D$64:$EQ$64,$DB30:$IO30*1001+$ZQ30:$AFD30))*100+5)</f>
        <v/>
      </c>
      <c r="BR30">
        <f>IF(OR(AC30=1,calcA!$A$6=0),1000000000,IF('calcA'!$JF$15=1,0,100000000)+IF('calcA'!$IQ$15=2,SUMPRODUCT('calcA'!$D$65:$EQ$65,$DB30:$IO30,$IQ30:$OD30)*1000+SUMPRODUCT('calcA'!$D$65:$EQ$65,$DB30:$IO30+$ZQ30:$AFD30,$AFF30:$AKS30),SUMPRODUCT('calcA'!$D$65:$EQ$65,$DB30:$IO30*1001+$ZQ30:$AFD30))*100+6)</f>
        <v/>
      </c>
      <c r="BS30">
        <f>IF(OR(AD30=1,calcA!$A$6=0),1000000000,IF('calcA'!$JF$16=1,0,100000000)+IF('calcA'!$IQ$16=2,SUMPRODUCT('calcA'!$D$66:$EQ$66,$DB30:$IO30,$IQ30:$OD30)*1000+SUMPRODUCT('calcA'!$D$66:$EQ$66,$DB30:$IO30+$ZQ30:$AFD30,$AFF30:$AKS30),SUMPRODUCT('calcA'!$D$66:$EQ$66,$DB30:$IO30*1001+$ZQ30:$AFD30))*100+7)</f>
        <v/>
      </c>
      <c r="BT30">
        <f>IF(OR(AE30=1,calcA!$A$6=0),1000000000,IF('calcA'!$JF$17=1,0,100000000)+IF('calcA'!$IQ$17=2,SUMPRODUCT('calcA'!$D$67:$EQ$67,$DB30:$IO30,$IQ30:$OD30)*1000+SUMPRODUCT('calcA'!$D$67:$EQ$67,$DB30:$IO30+$ZQ30:$AFD30,$AFF30:$AKS30),SUMPRODUCT('calcA'!$D$67:$EQ$67,$DB30:$IO30*1001+$ZQ30:$AFD30))*100+8)</f>
        <v/>
      </c>
      <c r="BU30">
        <f>IF(OR(AF30=1,calcA!$A$6=0),1000000000,IF('calcA'!$JF$18=1,0,100000000)+IF('calcA'!$IQ$18=2,SUMPRODUCT('calcA'!$D$68:$EQ$68,$DB30:$IO30,$IQ30:$OD30)*1000+SUMPRODUCT('calcA'!$D$68:$EQ$68,$DB30:$IO30+$ZQ30:$AFD30,$AFF30:$AKS30),SUMPRODUCT('calcA'!$D$68:$EQ$68,$DB30:$IO30*1001+$ZQ30:$AFD30))*100+9)</f>
        <v/>
      </c>
      <c r="BV30">
        <f>IF(OR(AG30=1,calcA!$A$6=0),1000000000,IF('calcA'!$JF$19=1,0,100000000)+IF('calcA'!$IQ$19=2,SUMPRODUCT('calcA'!$D$69:$EQ$69,$DB30:$IO30,$IQ30:$OD30)*1000+SUMPRODUCT('calcA'!$D$69:$EQ$69,$DB30:$IO30+$ZQ30:$AFD30,$AFF30:$AKS30),SUMPRODUCT('calcA'!$D$69:$EQ$69,$DB30:$IO30*1001+$ZQ30:$AFD30))*100+10)</f>
        <v/>
      </c>
      <c r="BW30">
        <f>IF(OR(AH30=1,calcA!$A$6=0),1000000000,IF('calcA'!$JF$20=1,0,100000000)+IF('calcA'!$IQ$20=2,SUMPRODUCT('calcA'!$D$70:$EQ$70,$DB30:$IO30,$IQ30:$OD30)*1000+SUMPRODUCT('calcA'!$D$70:$EQ$70,$DB30:$IO30+$ZQ30:$AFD30,$AFF30:$AKS30),SUMPRODUCT('calcA'!$D$70:$EQ$70,$DB30:$IO30*1001+$ZQ30:$AFD30))*100+11)</f>
        <v/>
      </c>
      <c r="BX30">
        <f>IF(OR(AI30=1,calcA!$A$6=0),1000000000,IF('calcA'!$JF$21=1,0,100000000)+IF('calcA'!$IQ$21=2,SUMPRODUCT('calcA'!$D$71:$EQ$71,$DB30:$IO30,$IQ30:$OD30)*1000+SUMPRODUCT('calcA'!$D$71:$EQ$71,$DB30:$IO30+$ZQ30:$AFD30,$AFF30:$AKS30),SUMPRODUCT('calcA'!$D$71:$EQ$71,$DB30:$IO30*1001+$ZQ30:$AFD30))*100+12)</f>
        <v/>
      </c>
      <c r="BY30">
        <f>IF(OR(AJ30=1,calcA!$A$6=0),1000000000,IF('calcA'!$JF$22=1,0,100000000)+IF('calcA'!$IQ$22=2,SUMPRODUCT('calcA'!$D$72:$EQ$72,$DB30:$IO30,$IQ30:$OD30)*1000+SUMPRODUCT('calcA'!$D$72:$EQ$72,$DB30:$IO30+$ZQ30:$AFD30,$AFF30:$AKS30),SUMPRODUCT('calcA'!$D$72:$EQ$72,$DB30:$IO30*1001+$ZQ30:$AFD30))*100+13)</f>
        <v/>
      </c>
      <c r="BZ30">
        <f>IF(OR(AK30=1,calcA!$A$6=0),1000000000,IF('calcA'!$JF$23=1,0,100000000)+IF('calcA'!$IQ$23=2,SUMPRODUCT('calcA'!$D$73:$EQ$73,$DB30:$IO30,$IQ30:$OD30)*1000+SUMPRODUCT('calcA'!$D$73:$EQ$73,$DB30:$IO30+$ZQ30:$AFD30,$AFF30:$AKS30),SUMPRODUCT('calcA'!$D$73:$EQ$73,$DB30:$IO30*1001+$ZQ30:$AFD30))*100+14)</f>
        <v/>
      </c>
      <c r="CA30">
        <f>IF(OR(AL30=1,calcA!$A$6=0),1000000000,IF('calcA'!$JF$24=1,0,100000000)+IF('calcA'!$IQ$24=2,SUMPRODUCT('calcA'!$D$74:$EQ$74,$DB30:$IO30,$IQ30:$OD30)*1000+SUMPRODUCT('calcA'!$D$74:$EQ$74,$DB30:$IO30+$ZQ30:$AFD30,$AFF30:$AKS30),SUMPRODUCT('calcA'!$D$74:$EQ$74,$DB30:$IO30*1001+$ZQ30:$AFD30))*100+15)</f>
        <v/>
      </c>
      <c r="CB30">
        <f>IF(OR(AM30=1,calcA!$A$6=0),1000000000,IF('calcA'!$JF$25=1,0,100000000)+IF('calcA'!$IQ$25=2,SUMPRODUCT('calcA'!$D$75:$EQ$75,$DB30:$IO30,$IQ30:$OD30)*1000+SUMPRODUCT('calcA'!$D$75:$EQ$75,$DB30:$IO30+$ZQ30:$AFD30,$AFF30:$AKS30),SUMPRODUCT('calcA'!$D$75:$EQ$75,$DB30:$IO30*1001+$ZQ30:$AFD30))*100+16)</f>
        <v/>
      </c>
      <c r="CC30">
        <f>IF(OR(AN30=1,calcA!$A$6=0),1000000000,IF('calcA'!$JF$26=1,0,100000000)+IF('calcA'!$IQ$26=2,SUMPRODUCT('calcA'!$D$76:$EQ$76,$DB30:$IO30,$IQ30:$OD30)*1000+SUMPRODUCT('calcA'!$D$76:$EQ$76,$DB30:$IO30+$ZQ30:$AFD30,$AFF30:$AKS30),SUMPRODUCT('calcA'!$D$76:$EQ$76,$DB30:$IO30*1001+$ZQ30:$AFD30))*100+17)</f>
        <v/>
      </c>
      <c r="CD30">
        <f>IF(OR(AO30=1,calcA!$A$6=0),1000000000,IF('calcA'!$JF$27=1,0,100000000)+IF('calcA'!$IQ$27=2,SUMPRODUCT('calcA'!$D$77:$EQ$77,$DB30:$IO30,$IQ30:$OD30)*1000+SUMPRODUCT('calcA'!$D$77:$EQ$77,$DB30:$IO30+$ZQ30:$AFD30,$AFF30:$AKS30),SUMPRODUCT('calcA'!$D$77:$EQ$77,$DB30:$IO30*1001+$ZQ30:$AFD30))*100+18)</f>
        <v/>
      </c>
      <c r="CE30">
        <f>IF(OR(AP30=1,calcA!$A$6=0),1000000000,IF('calcA'!$JF$28=1,0,100000000)+IF('calcA'!$IQ$28=2,SUMPRODUCT('calcA'!$D$78:$EQ$78,$DB30:$IO30,$IQ30:$OD30)*1000+SUMPRODUCT('calcA'!$D$78:$EQ$78,$DB30:$IO30+$ZQ30:$AFD30,$AFF30:$AKS30),SUMPRODUCT('calcA'!$D$78:$EQ$78,$DB30:$IO30*1001+$ZQ30:$AFD30))*100+19)</f>
        <v/>
      </c>
      <c r="CF30">
        <f>IF(OR(AQ30=1,calcA!$A$6=0),1000000000,IF('calcA'!$JF$29=1,0,100000000)+IF('calcA'!$IQ$29=2,SUMPRODUCT('calcA'!$D$79:$EQ$79,$DB30:$IO30,$IQ30:$OD30)*1000+SUMPRODUCT('calcA'!$D$79:$EQ$79,$DB30:$IO30+$ZQ30:$AFD30,$AFF30:$AKS30),SUMPRODUCT('calcA'!$D$79:$EQ$79,$DB30:$IO30*1001+$ZQ30:$AFD30))*100+20)</f>
        <v/>
      </c>
      <c r="CG30">
        <f>IF(OR(AR30=1,calcA!$A$6=0),1000000000,IF('calcA'!$JF$30=1,0,100000000)+IF('calcA'!$IQ$30=2,SUMPRODUCT('calcA'!$D$80:$EQ$80,$DB30:$IO30,$IQ30:$OD30)*1000+SUMPRODUCT('calcA'!$D$80:$EQ$80,$DB30:$IO30+$ZQ30:$AFD30,$AFF30:$AKS30),SUMPRODUCT('calcA'!$D$80:$EQ$80,$DB30:$IO30*1001+$ZQ30:$AFD30))*100+21)</f>
        <v/>
      </c>
      <c r="CH30">
        <f>IF(OR(AS30=1,calcA!$A$6=0),1000000000,IF('calcA'!$JF$31=1,0,100000000)+IF('calcA'!$IQ$31=2,SUMPRODUCT('calcA'!$D$81:$EQ$81,$DB30:$IO30,$IQ30:$OD30)*1000+SUMPRODUCT('calcA'!$D$81:$EQ$81,$DB30:$IO30+$ZQ30:$AFD30,$AFF30:$AKS30),SUMPRODUCT('calcA'!$D$81:$EQ$81,$DB30:$IO30*1001+$ZQ30:$AFD30))*100+22)</f>
        <v/>
      </c>
      <c r="CI30">
        <f>IF(OR(AT30=1,calcA!$A$6=0),1000000000,IF('calcA'!$JF$32=1,0,100000000)+IF('calcA'!$IQ$32=2,SUMPRODUCT('calcA'!$D$82:$EQ$82,$DB30:$IO30,$IQ30:$OD30)*1000+SUMPRODUCT('calcA'!$D$82:$EQ$82,$DB30:$IO30+$ZQ30:$AFD30,$AFF30:$AKS30),SUMPRODUCT('calcA'!$D$82:$EQ$82,$DB30:$IO30*1001+$ZQ30:$AFD30))*100+23)</f>
        <v/>
      </c>
      <c r="CJ30">
        <f>IF(OR(AU30=1,calcA!$A$6=0),1000000000,IF('calcA'!$JF$33=1,0,100000000)+IF('calcA'!$IQ$33=2,SUMPRODUCT('calcA'!$D$83:$EQ$83,$DB30:$IO30,$IQ30:$OD30)*1000+SUMPRODUCT('calcA'!$D$83:$EQ$83,$DB30:$IO30+$ZQ30:$AFD30,$AFF30:$AKS30),SUMPRODUCT('calcA'!$D$83:$EQ$83,$DB30:$IO30*1001+$ZQ30:$AFD30))*100+24)</f>
        <v/>
      </c>
      <c r="CK30">
        <f>IF(OR(AV30=1,calcA!$A$6=0),1000000000,IF('calcA'!$JF$34=1,0,100000000)+IF('calcA'!$IQ$34=2,SUMPRODUCT('calcA'!$D$84:$EQ$84,$DB30:$IO30,$IQ30:$OD30)*1000+SUMPRODUCT('calcA'!$D$84:$EQ$84,$DB30:$IO30+$ZQ30:$AFD30,$AFF30:$AKS30),SUMPRODUCT('calcA'!$D$84:$EQ$84,$DB30:$IO30*1001+$ZQ30:$AFD30))*100+25)</f>
        <v/>
      </c>
      <c r="CL30">
        <f>IF(OR(AW30=1,calcA!$A$6=0),1000000000,IF('calcA'!$JF$35=1,0,100000000)+IF('calcA'!$IQ$35=2,SUMPRODUCT('calcA'!$D$85:$EQ$85,$DB30:$IO30,$IQ30:$OD30)*1000+SUMPRODUCT('calcA'!$D$85:$EQ$85,$DB30:$IO30+$ZQ30:$AFD30,$AFF30:$AKS30),SUMPRODUCT('calcA'!$D$85:$EQ$85,$DB30:$IO30*1001+$ZQ30:$AFD30))*100+26)</f>
        <v/>
      </c>
      <c r="CM30">
        <f>IF(OR(AX30=1,calcA!$A$6=0),1000000000,IF('calcA'!$JF$36=1,0,100000000)+IF('calcA'!$IQ$36=2,SUMPRODUCT('calcA'!$D$86:$EQ$86,$DB30:$IO30,$IQ30:$OD30)*1000+SUMPRODUCT('calcA'!$D$86:$EQ$86,$DB30:$IO30+$ZQ30:$AFD30,$AFF30:$AKS30),SUMPRODUCT('calcA'!$D$86:$EQ$86,$DB30:$IO30*1001+$ZQ30:$AFD30))*100+27)</f>
        <v/>
      </c>
      <c r="CN30">
        <f>IF(OR(AY30=1,calcA!$A$6=0),1000000000,IF('calcA'!$JF$37=1,0,100000000)+IF('calcA'!$IQ$37=2,SUMPRODUCT('calcA'!$D$87:$EQ$87,$DB30:$IO30,$IQ30:$OD30)*1000+SUMPRODUCT('calcA'!$D$87:$EQ$87,$DB30:$IO30+$ZQ30:$AFD30,$AFF30:$AKS30),SUMPRODUCT('calcA'!$D$87:$EQ$87,$DB30:$IO30*1001+$ZQ30:$AFD30))*100+28)</f>
        <v/>
      </c>
      <c r="CO30">
        <f>IF(OR(AZ30=1,calcA!$A$6=0),1000000000,IF('calcA'!$JF$38=1,0,100000000)+IF('calcA'!$IQ$38=2,SUMPRODUCT('calcA'!$D$88:$EQ$88,$DB30:$IO30,$IQ30:$OD30)*1000+SUMPRODUCT('calcA'!$D$88:$EQ$88,$DB30:$IO30+$ZQ30:$AFD30,$AFF30:$AKS30),SUMPRODUCT('calcA'!$D$88:$EQ$88,$DB30:$IO30*1001+$ZQ30:$AFD30))*100+29)</f>
        <v/>
      </c>
      <c r="CP30">
        <f>IF(OR(BA30=1,calcA!$A$6=0),1000000000,IF('calcA'!$JF$39=1,0,100000000)+IF('calcA'!$IQ$39=2,SUMPRODUCT('calcA'!$D$89:$EQ$89,$DB30:$IO30,$IQ30:$OD30)*1000+SUMPRODUCT('calcA'!$D$89:$EQ$89,$DB30:$IO30+$ZQ30:$AFD30,$AFF30:$AKS30),SUMPRODUCT('calcA'!$D$89:$EQ$89,$DB30:$IO30*1001+$ZQ30:$AFD30))*100+30)</f>
        <v/>
      </c>
      <c r="CQ30">
        <f>IF(OR(BB30=1,calcA!$A$6=0),1000000000,IF('calcA'!$JF$40=1,0,100000000)+IF('calcA'!$IQ$40=2,SUMPRODUCT('calcA'!$D$90:$EQ$90,$DB30:$IO30,$IQ30:$OD30)*1000+SUMPRODUCT('calcA'!$D$90:$EQ$90,$DB30:$IO30+$ZQ30:$AFD30,$AFF30:$AKS30),SUMPRODUCT('calcA'!$D$90:$EQ$90,$DB30:$IO30*1001+$ZQ30:$AFD30))*100+31)</f>
        <v/>
      </c>
      <c r="CR30">
        <f>IF(OR(BC30=1,calcA!$A$6=0),1000000000,IF('calcA'!$JF$41=1,0,100000000)+IF('calcA'!$IQ$41=2,SUMPRODUCT('calcA'!$D$91:$EQ$91,$DB30:$IO30,$IQ30:$OD30)*1000+SUMPRODUCT('calcA'!$D$91:$EQ$91,$DB30:$IO30+$ZQ30:$AFD30,$AFF30:$AKS30),SUMPRODUCT('calcA'!$D$91:$EQ$91,$DB30:$IO30*1001+$ZQ30:$AFD30))*100+32)</f>
        <v/>
      </c>
      <c r="CS30">
        <f>IF(OR(BD30=1,calcA!$A$6=0),1000000000,IF('calcA'!$JF$42=1,0,100000000)+IF('calcA'!$IQ$42=2,SUMPRODUCT('calcA'!$D$92:$EQ$92,$DB30:$IO30,$IQ30:$OD30)*1000+SUMPRODUCT('calcA'!$D$92:$EQ$92,$DB30:$IO30+$ZQ30:$AFD30,$AFF30:$AKS30),SUMPRODUCT('calcA'!$D$92:$EQ$92,$DB30:$IO30*1001+$ZQ30:$AFD30))*100+33)</f>
        <v/>
      </c>
      <c r="CT30">
        <f>IF(OR(BE30=1,calcA!$A$6=0),1000000000,IF('calcA'!$JF$43=1,0,100000000)+IF('calcA'!$IQ$43=2,SUMPRODUCT('calcA'!$D$93:$EQ$93,$DB30:$IO30,$IQ30:$OD30)*1000+SUMPRODUCT('calcA'!$D$93:$EQ$93,$DB30:$IO30+$ZQ30:$AFD30,$AFF30:$AKS30),SUMPRODUCT('calcA'!$D$93:$EQ$93,$DB30:$IO30*1001+$ZQ30:$AFD30))*100+34)</f>
        <v/>
      </c>
      <c r="CU30">
        <f>IF(OR(BF30=1,calcA!$A$6=0),1000000000,IF('calcA'!$JF$44=1,0,100000000)+IF('calcA'!$IQ$44=2,SUMPRODUCT('calcA'!$D$94:$EQ$94,$DB30:$IO30,$IQ30:$OD30)*1000+SUMPRODUCT('calcA'!$D$94:$EQ$94,$DB30:$IO30+$ZQ30:$AFD30,$AFF30:$AKS30),SUMPRODUCT('calcA'!$D$94:$EQ$94,$DB30:$IO30*1001+$ZQ30:$AFD30))*100+35)</f>
        <v/>
      </c>
      <c r="CV30">
        <f>IF(OR(BG30=1,calcA!$A$6=0),1000000000,IF('calcA'!$JF$45=1,0,100000000)+IF('calcA'!$IQ$45=2,SUMPRODUCT('calcA'!$D$95:$EQ$95,$DB30:$IO30,$IQ30:$OD30)*1000+SUMPRODUCT('calcA'!$D$95:$EQ$95,$DB30:$IO30+$ZQ30:$AFD30,$AFF30:$AKS30),SUMPRODUCT('calcA'!$D$95:$EQ$95,$DB30:$IO30*1001+$ZQ30:$AFD30))*100+36)</f>
        <v/>
      </c>
      <c r="CW30">
        <f>IF(OR(BH30=1,calcA!$A$6=0),1000000000,IF('calcA'!$JF$46=1,0,100000000)+IF('calcA'!$IQ$46=2,SUMPRODUCT('calcA'!$D$96:$EQ$96,$DB30:$IO30,$IQ30:$OD30)*1000+SUMPRODUCT('calcA'!$D$96:$EQ$96,$DB30:$IO30+$ZQ30:$AFD30,$AFF30:$AKS30),SUMPRODUCT('calcA'!$D$96:$EQ$96,$DB30:$IO30*1001+$ZQ30:$AFD30))*100+37)</f>
        <v/>
      </c>
      <c r="CX30">
        <f>IF(OR(BI30=1,calcA!$A$6=0),1000000000,IF('calcA'!$JF$47=1,0,100000000)+IF('calcA'!$IQ$47=2,SUMPRODUCT('calcA'!$D$97:$EQ$97,$DB30:$IO30,$IQ30:$OD30)*1000+SUMPRODUCT('calcA'!$D$97:$EQ$97,$DB30:$IO30+$ZQ30:$AFD30,$AFF30:$AKS30),SUMPRODUCT('calcA'!$D$97:$EQ$97,$DB30:$IO30*1001+$ZQ30:$AFD30))*100+38)</f>
        <v/>
      </c>
      <c r="CY30">
        <f>IF(OR(BJ30=1,calcA!$A$6=0),1000000000,IF('calcA'!$JF$48=1,0,100000000)+IF('calcA'!$IQ$48=2,SUMPRODUCT('calcA'!$D$98:$EQ$98,$DB30:$IO30,$IQ30:$OD30)*1000+SUMPRODUCT('calcA'!$D$98:$EQ$98,$DB30:$IO30+$ZQ30:$AFD30,$AFF30:$AKS30),SUMPRODUCT('calcA'!$D$98:$EQ$98,$DB30:$IO30*1001+$ZQ30:$AFD30))*100+39)</f>
        <v/>
      </c>
      <c r="CZ30">
        <f>IF(OR(BK30=1,calcA!$A$6=0),1000000000,IF('calcA'!$JF$49=1,0,100000000)+IF('calcA'!$IQ$49=2,SUMPRODUCT('calcA'!$D$99:$EQ$99,$DB30:$IO30,$IQ30:$OD30)*1000+SUMPRODUCT('calcA'!$D$99:$EQ$99,$DB30:$IO30+$ZQ30:$AFD30,$AFF30:$AKS30),SUMPRODUCT('calcA'!$D$99:$EQ$99,$DB30:$IO30*1001+$ZQ30:$AFD30))*100+40)</f>
        <v/>
      </c>
      <c r="DB30">
        <f>DB29*IF(OR($C29=1,$G29=1),0,1)</f>
        <v/>
      </c>
      <c r="DC30">
        <f>DC29*IF(OR($C29=2,$G29=2),0,1)</f>
        <v/>
      </c>
      <c r="DD30">
        <f>DD29*IF(OR($C29=3,$G29=3),0,1)</f>
        <v/>
      </c>
      <c r="DE30">
        <f>DE29*IF(OR($C29=4,$G29=4),0,1)</f>
        <v/>
      </c>
      <c r="DF30">
        <f>DF29*IF(OR($C29=5,$G29=5),0,1)</f>
        <v/>
      </c>
      <c r="DG30">
        <f>DG29*IF(OR($C29=6,$G29=6),0,1)</f>
        <v/>
      </c>
      <c r="DH30">
        <f>DH29*IF(OR($C29=7,$G29=7),0,1)</f>
        <v/>
      </c>
      <c r="DI30">
        <f>DI29*IF(OR($C29=8,$G29=8),0,1)</f>
        <v/>
      </c>
      <c r="DJ30">
        <f>DJ29*IF(OR($C29=9,$G29=9),0,1)</f>
        <v/>
      </c>
      <c r="DK30">
        <f>DK29*IF(OR($C29=10,$G29=10),0,1)</f>
        <v/>
      </c>
      <c r="DL30">
        <f>DL29*IF(OR($C29=11,$G29=11),0,1)</f>
        <v/>
      </c>
      <c r="DM30">
        <f>DM29*IF(OR($C29=12,$G29=12),0,1)</f>
        <v/>
      </c>
      <c r="DN30">
        <f>DN29*IF(OR($C29=13,$G29=13),0,1)</f>
        <v/>
      </c>
      <c r="DO30">
        <f>DO29*IF(OR($C29=14,$G29=14),0,1)</f>
        <v/>
      </c>
      <c r="DP30">
        <f>DP29*IF(OR($C29=15,$G29=15),0,1)</f>
        <v/>
      </c>
      <c r="DQ30">
        <f>DQ29*IF(OR($C29=16,$G29=16),0,1)</f>
        <v/>
      </c>
      <c r="DR30">
        <f>DR29*IF(OR($C29=17,$G29=17),0,1)</f>
        <v/>
      </c>
      <c r="DS30">
        <f>DS29*IF(OR($C29=18,$G29=18),0,1)</f>
        <v/>
      </c>
      <c r="DT30">
        <f>DT29*IF(OR($C29=19,$G29=19),0,1)</f>
        <v/>
      </c>
      <c r="DU30">
        <f>DU29*IF(OR($C29=20,$G29=20),0,1)</f>
        <v/>
      </c>
      <c r="DV30">
        <f>DV29*IF(OR($C29=21,$G29=21),0,1)</f>
        <v/>
      </c>
      <c r="DW30">
        <f>DW29*IF(OR($C29=22,$G29=22),0,1)</f>
        <v/>
      </c>
      <c r="DX30">
        <f>DX29*IF(OR($C29=23,$G29=23),0,1)</f>
        <v/>
      </c>
      <c r="DY30">
        <f>DY29*IF(OR($C29=24,$G29=24),0,1)</f>
        <v/>
      </c>
      <c r="DZ30">
        <f>DZ29*IF(OR($C29=25,$G29=25),0,1)</f>
        <v/>
      </c>
      <c r="EA30">
        <f>EA29*IF(OR($C29=26,$G29=26),0,1)</f>
        <v/>
      </c>
      <c r="EB30">
        <f>EB29*IF(OR($C29=27,$G29=27),0,1)</f>
        <v/>
      </c>
      <c r="EC30">
        <f>EC29*IF(OR($C29=28,$G29=28),0,1)</f>
        <v/>
      </c>
      <c r="ED30">
        <f>ED29*IF(OR($C29=29,$G29=29),0,1)</f>
        <v/>
      </c>
      <c r="EE30">
        <f>EE29*IF(OR($C29=30,$G29=30),0,1)</f>
        <v/>
      </c>
      <c r="EF30">
        <f>EF29*IF(OR($C29=31,$G29=31),0,1)</f>
        <v/>
      </c>
      <c r="EG30">
        <f>EG29*IF(OR($C29=32,$G29=32),0,1)</f>
        <v/>
      </c>
      <c r="EH30">
        <f>EH29*IF(OR($C29=33,$G29=33),0,1)</f>
        <v/>
      </c>
      <c r="EI30">
        <f>EI29*IF(OR($C29=34,$G29=34),0,1)</f>
        <v/>
      </c>
      <c r="EJ30">
        <f>EJ29*IF(OR($C29=35,$G29=35),0,1)</f>
        <v/>
      </c>
      <c r="EK30">
        <f>EK29*IF(OR($C29=36,$G29=36),0,1)</f>
        <v/>
      </c>
      <c r="EL30">
        <f>EL29*IF(OR($C29=37,$G29=37),0,1)</f>
        <v/>
      </c>
      <c r="EM30">
        <f>EM29*IF(OR($C29=38,$G29=38),0,1)</f>
        <v/>
      </c>
      <c r="EN30">
        <f>EN29*IF(OR($C29=39,$G29=39),0,1)</f>
        <v/>
      </c>
      <c r="EO30">
        <f>EO29*IF(OR($C29=40,$G29=40),0,1)</f>
        <v/>
      </c>
      <c r="EP30">
        <f>EP29*IF(OR($C29=41,$G29=41),0,1)</f>
        <v/>
      </c>
      <c r="EQ30">
        <f>EQ29*IF(OR($C29=42,$G29=42),0,1)</f>
        <v/>
      </c>
      <c r="ER30">
        <f>ER29*IF(OR($C29=43,$G29=43),0,1)</f>
        <v/>
      </c>
      <c r="ES30">
        <f>ES29*IF(OR($C29=44,$G29=44),0,1)</f>
        <v/>
      </c>
      <c r="ET30">
        <f>ET29*IF(OR($C29=45,$G29=45),0,1)</f>
        <v/>
      </c>
      <c r="EU30">
        <f>EU29*IF(OR($C29=46,$G29=46),0,1)</f>
        <v/>
      </c>
      <c r="EV30">
        <f>EV29*IF(OR($C29=47,$G29=47),0,1)</f>
        <v/>
      </c>
      <c r="EW30">
        <f>EW29*IF(OR($C29=48,$G29=48),0,1)</f>
        <v/>
      </c>
      <c r="EX30">
        <f>EX29*IF(OR($C29=49,$G29=49),0,1)</f>
        <v/>
      </c>
      <c r="EY30">
        <f>EY29*IF(OR($C29=50,$G29=50),0,1)</f>
        <v/>
      </c>
      <c r="EZ30">
        <f>EZ29*IF(OR($C29=51,$G29=51),0,1)</f>
        <v/>
      </c>
      <c r="FA30">
        <f>FA29*IF(OR($C29=52,$G29=52),0,1)</f>
        <v/>
      </c>
      <c r="FB30">
        <f>FB29*IF(OR($C29=53,$G29=53),0,1)</f>
        <v/>
      </c>
      <c r="FC30">
        <f>FC29*IF(OR($C29=54,$G29=54),0,1)</f>
        <v/>
      </c>
      <c r="FD30">
        <f>FD29*IF(OR($C29=55,$G29=55),0,1)</f>
        <v/>
      </c>
      <c r="FE30">
        <f>FE29*IF(OR($C29=56,$G29=56),0,1)</f>
        <v/>
      </c>
      <c r="FF30">
        <f>FF29*IF(OR($C29=57,$G29=57),0,1)</f>
        <v/>
      </c>
      <c r="FG30">
        <f>FG29*IF(OR($C29=58,$G29=58),0,1)</f>
        <v/>
      </c>
      <c r="FH30">
        <f>FH29*IF(OR($C29=59,$G29=59),0,1)</f>
        <v/>
      </c>
      <c r="FI30">
        <f>FI29*IF(OR($C29=60,$G29=60),0,1)</f>
        <v/>
      </c>
      <c r="FJ30">
        <f>FJ29*IF(OR($C29=61,$G29=61),0,1)</f>
        <v/>
      </c>
      <c r="FK30">
        <f>FK29*IF(OR($C29=62,$G29=62),0,1)</f>
        <v/>
      </c>
      <c r="FL30">
        <f>FL29*IF(OR($C29=63,$G29=63),0,1)</f>
        <v/>
      </c>
      <c r="FM30">
        <f>FM29*IF(OR($C29=64,$G29=64),0,1)</f>
        <v/>
      </c>
      <c r="FN30">
        <f>FN29*IF(OR($C29=65,$G29=65),0,1)</f>
        <v/>
      </c>
      <c r="FO30">
        <f>FO29*IF(OR($C29=66,$G29=66),0,1)</f>
        <v/>
      </c>
      <c r="FP30">
        <f>FP29*IF(OR($C29=67,$G29=67),0,1)</f>
        <v/>
      </c>
      <c r="FQ30">
        <f>FQ29*IF(OR($C29=68,$G29=68),0,1)</f>
        <v/>
      </c>
      <c r="FR30">
        <f>FR29*IF(OR($C29=69,$G29=69),0,1)</f>
        <v/>
      </c>
      <c r="FS30">
        <f>FS29*IF(OR($C29=70,$G29=70),0,1)</f>
        <v/>
      </c>
      <c r="FT30">
        <f>FT29*IF(OR($C29=71,$G29=71),0,1)</f>
        <v/>
      </c>
      <c r="FU30">
        <f>FU29*IF(OR($C29=72,$G29=72),0,1)</f>
        <v/>
      </c>
      <c r="FV30">
        <f>FV29*IF(OR($C29=73,$G29=73),0,1)</f>
        <v/>
      </c>
      <c r="FW30">
        <f>FW29*IF(OR($C29=74,$G29=74),0,1)</f>
        <v/>
      </c>
      <c r="FX30">
        <f>FX29*IF(OR($C29=75,$G29=75),0,1)</f>
        <v/>
      </c>
      <c r="FY30">
        <f>FY29*IF(OR($C29=76,$G29=76),0,1)</f>
        <v/>
      </c>
      <c r="FZ30">
        <f>FZ29*IF(OR($C29=77,$G29=77),0,1)</f>
        <v/>
      </c>
      <c r="GA30">
        <f>GA29*IF(OR($C29=78,$G29=78),0,1)</f>
        <v/>
      </c>
      <c r="GB30">
        <f>GB29*IF(OR($C29=79,$G29=79),0,1)</f>
        <v/>
      </c>
      <c r="GC30">
        <f>GC29*IF(OR($C29=80,$G29=80),0,1)</f>
        <v/>
      </c>
      <c r="GD30">
        <f>GD29*IF(OR($C29=81,$G29=81),0,1)</f>
        <v/>
      </c>
      <c r="GE30">
        <f>GE29*IF(OR($C29=82,$G29=82),0,1)</f>
        <v/>
      </c>
      <c r="GF30">
        <f>GF29*IF(OR($C29=83,$G29=83),0,1)</f>
        <v/>
      </c>
      <c r="GG30">
        <f>GG29*IF(OR($C29=84,$G29=84),0,1)</f>
        <v/>
      </c>
      <c r="GH30">
        <f>GH29*IF(OR($C29=85,$G29=85),0,1)</f>
        <v/>
      </c>
      <c r="GI30">
        <f>GI29*IF(OR($C29=86,$G29=86),0,1)</f>
        <v/>
      </c>
      <c r="GJ30">
        <f>GJ29*IF(OR($C29=87,$G29=87),0,1)</f>
        <v/>
      </c>
      <c r="GK30">
        <f>GK29*IF(OR($C29=88,$G29=88),0,1)</f>
        <v/>
      </c>
      <c r="GL30">
        <f>GL29*IF(OR($C29=89,$G29=89),0,1)</f>
        <v/>
      </c>
      <c r="GM30">
        <f>GM29*IF(OR($C29=90,$G29=90),0,1)</f>
        <v/>
      </c>
      <c r="GN30">
        <f>GN29*IF(OR($C29=91,$G29=91),0,1)</f>
        <v/>
      </c>
      <c r="GO30">
        <f>GO29*IF(OR($C29=92,$G29=92),0,1)</f>
        <v/>
      </c>
      <c r="GP30">
        <f>GP29*IF(OR($C29=93,$G29=93),0,1)</f>
        <v/>
      </c>
      <c r="GQ30">
        <f>GQ29*IF(OR($C29=94,$G29=94),0,1)</f>
        <v/>
      </c>
      <c r="GR30">
        <f>GR29*IF(OR($C29=95,$G29=95),0,1)</f>
        <v/>
      </c>
      <c r="GS30">
        <f>GS29*IF(OR($C29=96,$G29=96),0,1)</f>
        <v/>
      </c>
      <c r="GT30">
        <f>GT29*IF(OR($C29=97,$G29=97),0,1)</f>
        <v/>
      </c>
      <c r="GU30">
        <f>GU29*IF(OR($C29=98,$G29=98),0,1)</f>
        <v/>
      </c>
      <c r="GV30">
        <f>GV29*IF(OR($C29=99,$G29=99),0,1)</f>
        <v/>
      </c>
      <c r="GW30">
        <f>GW29*IF(OR($C29=100,$G29=100),0,1)</f>
        <v/>
      </c>
      <c r="GX30">
        <f>GX29*IF(OR($C29=101,$G29=101),0,1)</f>
        <v/>
      </c>
      <c r="GY30">
        <f>GY29*IF(OR($C29=102,$G29=102),0,1)</f>
        <v/>
      </c>
      <c r="GZ30">
        <f>GZ29*IF(OR($C29=103,$G29=103),0,1)</f>
        <v/>
      </c>
      <c r="HA30">
        <f>HA29*IF(OR($C29=104,$G29=104),0,1)</f>
        <v/>
      </c>
      <c r="HB30">
        <f>HB29*IF(OR($C29=105,$G29=105),0,1)</f>
        <v/>
      </c>
      <c r="HC30">
        <f>HC29*IF(OR($C29=106,$G29=106),0,1)</f>
        <v/>
      </c>
      <c r="HD30">
        <f>HD29*IF(OR($C29=107,$G29=107),0,1)</f>
        <v/>
      </c>
      <c r="HE30">
        <f>HE29*IF(OR($C29=108,$G29=108),0,1)</f>
        <v/>
      </c>
      <c r="HF30">
        <f>HF29*IF(OR($C29=109,$G29=109),0,1)</f>
        <v/>
      </c>
      <c r="HG30">
        <f>HG29*IF(OR($C29=110,$G29=110),0,1)</f>
        <v/>
      </c>
      <c r="HH30">
        <f>HH29*IF(OR($C29=111,$G29=111),0,1)</f>
        <v/>
      </c>
      <c r="HI30">
        <f>HI29*IF(OR($C29=112,$G29=112),0,1)</f>
        <v/>
      </c>
      <c r="HJ30">
        <f>HJ29*IF(OR($C29=113,$G29=113),0,1)</f>
        <v/>
      </c>
      <c r="HK30">
        <f>HK29*IF(OR($C29=114,$G29=114),0,1)</f>
        <v/>
      </c>
      <c r="HL30">
        <f>HL29*IF(OR($C29=115,$G29=115),0,1)</f>
        <v/>
      </c>
      <c r="HM30">
        <f>HM29*IF(OR($C29=116,$G29=116),0,1)</f>
        <v/>
      </c>
      <c r="HN30">
        <f>HN29*IF(OR($C29=117,$G29=117),0,1)</f>
        <v/>
      </c>
      <c r="HO30">
        <f>HO29*IF(OR($C29=118,$G29=118),0,1)</f>
        <v/>
      </c>
      <c r="HP30">
        <f>HP29*IF(OR($C29=119,$G29=119),0,1)</f>
        <v/>
      </c>
      <c r="HQ30">
        <f>HQ29*IF(OR($C29=120,$G29=120),0,1)</f>
        <v/>
      </c>
      <c r="HR30">
        <f>HR29*IF(OR($C29=121,$G29=121),0,1)</f>
        <v/>
      </c>
      <c r="HS30">
        <f>HS29*IF(OR($C29=122,$G29=122),0,1)</f>
        <v/>
      </c>
      <c r="HT30">
        <f>HT29*IF(OR($C29=123,$G29=123),0,1)</f>
        <v/>
      </c>
      <c r="HU30">
        <f>HU29*IF(OR($C29=124,$G29=124),0,1)</f>
        <v/>
      </c>
      <c r="HV30">
        <f>HV29*IF(OR($C29=125,$G29=125),0,1)</f>
        <v/>
      </c>
      <c r="HW30">
        <f>HW29*IF(OR($C29=126,$G29=126),0,1)</f>
        <v/>
      </c>
      <c r="HX30">
        <f>HX29*IF(OR($C29=127,$G29=127),0,1)</f>
        <v/>
      </c>
      <c r="HY30">
        <f>HY29*IF(OR($C29=128,$G29=128),0,1)</f>
        <v/>
      </c>
      <c r="HZ30">
        <f>HZ29*IF(OR($C29=129,$G29=129),0,1)</f>
        <v/>
      </c>
      <c r="IA30">
        <f>IA29*IF(OR($C29=130,$G29=130),0,1)</f>
        <v/>
      </c>
      <c r="IB30">
        <f>IB29*IF(OR($C29=131,$G29=131),0,1)</f>
        <v/>
      </c>
      <c r="IC30">
        <f>IC29*IF(OR($C29=132,$G29=132),0,1)</f>
        <v/>
      </c>
      <c r="ID30">
        <f>ID29*IF(OR($C29=133,$G29=133),0,1)</f>
        <v/>
      </c>
      <c r="IE30">
        <f>IE29*IF(OR($C29=134,$G29=134),0,1)</f>
        <v/>
      </c>
      <c r="IF30">
        <f>IF29*IF(OR($C29=135,$G29=135),0,1)</f>
        <v/>
      </c>
      <c r="IG30">
        <f>IG29*IF(OR($C29=136,$G29=136),0,1)</f>
        <v/>
      </c>
      <c r="IH30">
        <f>IH29*IF(OR($C29=137,$G29=137),0,1)</f>
        <v/>
      </c>
      <c r="II30">
        <f>II29*IF(OR($C29=138,$G29=138),0,1)</f>
        <v/>
      </c>
      <c r="IJ30">
        <f>IJ29*IF(OR($C29=139,$G29=139),0,1)</f>
        <v/>
      </c>
      <c r="IK30">
        <f>IK29*IF(OR($C29=140,$G29=140),0,1)</f>
        <v/>
      </c>
      <c r="IL30">
        <f>IL29*IF(OR($C29=141,$G29=141),0,1)</f>
        <v/>
      </c>
      <c r="IM30">
        <f>IM29*IF(OR($C29=142,$G29=142),0,1)</f>
        <v/>
      </c>
      <c r="IN30">
        <f>IN29*IF(OR($C29=143,$G29=143),0,1)</f>
        <v/>
      </c>
      <c r="IO30">
        <f>IO29*IF(OR($C29=144,$G29=144),0,1)</f>
        <v/>
      </c>
      <c r="IQ30">
        <f>IF('calcA'!D$106=1,DC30,1)</f>
        <v/>
      </c>
      <c r="IR30">
        <f>IF('calcA'!E$106=1,DD30,1)</f>
        <v/>
      </c>
      <c r="IS30">
        <f>IF('calcA'!F$106=1,DE30,1)</f>
        <v/>
      </c>
      <c r="IT30">
        <f>IF('calcA'!G$106=1,DF30,1)</f>
        <v/>
      </c>
      <c r="IU30">
        <f>IF('calcA'!H$106=1,DG30,1)</f>
        <v/>
      </c>
      <c r="IV30">
        <f>IF('calcA'!I$106=1,DH30,1)</f>
        <v/>
      </c>
      <c r="IW30">
        <f>IF('calcA'!J$106=1,DI30,1)</f>
        <v/>
      </c>
      <c r="IX30">
        <f>IF('calcA'!K$106=1,DJ30,1)</f>
        <v/>
      </c>
      <c r="IY30">
        <f>IF('calcA'!L$106=1,DK30,1)</f>
        <v/>
      </c>
      <c r="IZ30">
        <f>IF('calcA'!M$106=1,DL30,1)</f>
        <v/>
      </c>
      <c r="JA30">
        <f>IF('calcA'!N$106=1,DM30,1)</f>
        <v/>
      </c>
      <c r="JB30">
        <f>IF('calcA'!O$106=1,DN30,1)</f>
        <v/>
      </c>
      <c r="JC30">
        <f>IF('calcA'!P$106=1,DO30,1)</f>
        <v/>
      </c>
      <c r="JD30">
        <f>IF('calcA'!Q$106=1,DP30,1)</f>
        <v/>
      </c>
      <c r="JE30">
        <f>IF('calcA'!R$106=1,DQ30,1)</f>
        <v/>
      </c>
      <c r="JF30">
        <f>IF('calcA'!S$106=1,DR30,1)</f>
        <v/>
      </c>
      <c r="JG30">
        <f>IF('calcA'!T$106=1,DS30,1)</f>
        <v/>
      </c>
      <c r="JH30">
        <f>IF('calcA'!U$106=1,DT30,1)</f>
        <v/>
      </c>
      <c r="JI30">
        <f>IF('calcA'!V$106=1,DU30,1)</f>
        <v/>
      </c>
      <c r="JJ30">
        <f>IF('calcA'!W$106=1,DV30,1)</f>
        <v/>
      </c>
      <c r="JK30">
        <f>IF('calcA'!X$106=1,DW30,1)</f>
        <v/>
      </c>
      <c r="JL30">
        <f>IF('calcA'!Y$106=1,DX30,1)</f>
        <v/>
      </c>
      <c r="JM30">
        <f>IF('calcA'!Z$106=1,DY30,1)</f>
        <v/>
      </c>
      <c r="JN30">
        <f>IF('calcA'!AA$106=1,DZ30,1)</f>
        <v/>
      </c>
      <c r="JO30">
        <f>IF('calcA'!AB$106=1,EA30,1)</f>
        <v/>
      </c>
      <c r="JP30">
        <f>IF('calcA'!AC$106=1,EB30,1)</f>
        <v/>
      </c>
      <c r="JQ30">
        <f>IF('calcA'!AD$106=1,EC30,1)</f>
        <v/>
      </c>
      <c r="JR30">
        <f>IF('calcA'!AE$106=1,ED30,1)</f>
        <v/>
      </c>
      <c r="JS30">
        <f>IF('calcA'!AF$106=1,EE30,1)</f>
        <v/>
      </c>
      <c r="JT30">
        <f>IF('calcA'!AG$106=1,EF30,1)</f>
        <v/>
      </c>
      <c r="JU30">
        <f>IF('calcA'!AH$106=1,EG30,1)</f>
        <v/>
      </c>
      <c r="JV30">
        <f>IF('calcA'!AI$106=1,EH30,1)</f>
        <v/>
      </c>
      <c r="JW30">
        <f>IF('calcA'!AJ$106=1,EI30,1)</f>
        <v/>
      </c>
      <c r="JX30">
        <f>IF('calcA'!AK$106=1,EJ30,1)</f>
        <v/>
      </c>
      <c r="JY30">
        <f>IF('calcA'!AL$106=1,EK30,1)</f>
        <v/>
      </c>
      <c r="JZ30">
        <f>IF('calcA'!AM$106=1,EL30,1)</f>
        <v/>
      </c>
      <c r="KA30">
        <f>IF('calcA'!AN$106=1,EM30,1)</f>
        <v/>
      </c>
      <c r="KB30">
        <f>IF('calcA'!AO$106=1,EN30,1)</f>
        <v/>
      </c>
      <c r="KC30">
        <f>IF('calcA'!AP$106=1,EO30,1)</f>
        <v/>
      </c>
      <c r="KD30">
        <f>IF('calcA'!AQ$106=1,EP30,1)</f>
        <v/>
      </c>
      <c r="KE30">
        <f>IF('calcA'!AR$106=1,EQ30,1)</f>
        <v/>
      </c>
      <c r="KF30">
        <f>IF('calcA'!AS$106=1,ER30,1)</f>
        <v/>
      </c>
      <c r="KG30">
        <f>IF('calcA'!AT$106=1,ES30,1)</f>
        <v/>
      </c>
      <c r="KH30">
        <f>IF('calcA'!AU$106=1,ET30,1)</f>
        <v/>
      </c>
      <c r="KI30">
        <f>IF('calcA'!AV$106=1,EU30,1)</f>
        <v/>
      </c>
      <c r="KJ30">
        <f>IF('calcA'!AW$106=1,EV30,1)</f>
        <v/>
      </c>
      <c r="KK30">
        <f>IF('calcA'!AX$106=1,EW30,1)</f>
        <v/>
      </c>
      <c r="KL30">
        <f>IF('calcA'!AY$106=1,EX30,1)</f>
        <v/>
      </c>
      <c r="KM30">
        <f>IF('calcA'!AZ$106=1,EY30,1)</f>
        <v/>
      </c>
      <c r="KN30">
        <f>IF('calcA'!BA$106=1,EZ30,1)</f>
        <v/>
      </c>
      <c r="KO30">
        <f>IF('calcA'!BB$106=1,FA30,1)</f>
        <v/>
      </c>
      <c r="KP30">
        <f>IF('calcA'!BC$106=1,FB30,1)</f>
        <v/>
      </c>
      <c r="KQ30">
        <f>IF('calcA'!BD$106=1,FC30,1)</f>
        <v/>
      </c>
      <c r="KR30">
        <f>IF('calcA'!BE$106=1,FD30,1)</f>
        <v/>
      </c>
      <c r="KS30">
        <f>IF('calcA'!BF$106=1,FE30,1)</f>
        <v/>
      </c>
      <c r="KT30">
        <f>IF('calcA'!BG$106=1,FF30,1)</f>
        <v/>
      </c>
      <c r="KU30">
        <f>IF('calcA'!BH$106=1,FG30,1)</f>
        <v/>
      </c>
      <c r="KV30">
        <f>IF('calcA'!BI$106=1,FH30,1)</f>
        <v/>
      </c>
      <c r="KW30">
        <f>IF('calcA'!BJ$106=1,FI30,1)</f>
        <v/>
      </c>
      <c r="KX30">
        <f>IF('calcA'!BK$106=1,FJ30,1)</f>
        <v/>
      </c>
      <c r="KY30">
        <f>IF('calcA'!BL$106=1,FK30,1)</f>
        <v/>
      </c>
      <c r="KZ30">
        <f>IF('calcA'!BM$106=1,FL30,1)</f>
        <v/>
      </c>
      <c r="LA30">
        <f>IF('calcA'!BN$106=1,FM30,1)</f>
        <v/>
      </c>
      <c r="LB30">
        <f>IF('calcA'!BO$106=1,FN30,1)</f>
        <v/>
      </c>
      <c r="LC30">
        <f>IF('calcA'!BP$106=1,FO30,1)</f>
        <v/>
      </c>
      <c r="LD30">
        <f>IF('calcA'!BQ$106=1,FP30,1)</f>
        <v/>
      </c>
      <c r="LE30">
        <f>IF('calcA'!BR$106=1,FQ30,1)</f>
        <v/>
      </c>
      <c r="LF30">
        <f>IF('calcA'!BS$106=1,FR30,1)</f>
        <v/>
      </c>
      <c r="LG30">
        <f>IF('calcA'!BT$106=1,FS30,1)</f>
        <v/>
      </c>
      <c r="LH30">
        <f>IF('calcA'!BU$106=1,FT30,1)</f>
        <v/>
      </c>
      <c r="LI30">
        <f>IF('calcA'!BV$106=1,FU30,1)</f>
        <v/>
      </c>
      <c r="LJ30">
        <f>IF('calcA'!BW$106=1,FV30,1)</f>
        <v/>
      </c>
      <c r="LK30">
        <f>IF('calcA'!BX$106=1,FW30,1)</f>
        <v/>
      </c>
      <c r="LL30">
        <f>IF('calcA'!BY$106=1,FX30,1)</f>
        <v/>
      </c>
      <c r="LM30">
        <f>IF('calcA'!BZ$106=1,FY30,1)</f>
        <v/>
      </c>
      <c r="LN30">
        <f>IF('calcA'!CA$106=1,FZ30,1)</f>
        <v/>
      </c>
      <c r="LO30">
        <f>IF('calcA'!CB$106=1,GA30,1)</f>
        <v/>
      </c>
      <c r="LP30">
        <f>IF('calcA'!CC$106=1,GB30,1)</f>
        <v/>
      </c>
      <c r="LQ30">
        <f>IF('calcA'!CD$106=1,GC30,1)</f>
        <v/>
      </c>
      <c r="LR30">
        <f>IF('calcA'!CE$106=1,GD30,1)</f>
        <v/>
      </c>
      <c r="LS30">
        <f>IF('calcA'!CF$106=1,GE30,1)</f>
        <v/>
      </c>
      <c r="LT30">
        <f>IF('calcA'!CG$106=1,GF30,1)</f>
        <v/>
      </c>
      <c r="LU30">
        <f>IF('calcA'!CH$106=1,GG30,1)</f>
        <v/>
      </c>
      <c r="LV30">
        <f>IF('calcA'!CI$106=1,GH30,1)</f>
        <v/>
      </c>
      <c r="LW30">
        <f>IF('calcA'!CJ$106=1,GI30,1)</f>
        <v/>
      </c>
      <c r="LX30">
        <f>IF('calcA'!CK$106=1,GJ30,1)</f>
        <v/>
      </c>
      <c r="LY30">
        <f>IF('calcA'!CL$106=1,GK30,1)</f>
        <v/>
      </c>
      <c r="LZ30">
        <f>IF('calcA'!CM$106=1,GL30,1)</f>
        <v/>
      </c>
      <c r="MA30">
        <f>IF('calcA'!CN$106=1,GM30,1)</f>
        <v/>
      </c>
      <c r="MB30">
        <f>IF('calcA'!CO$106=1,GN30,1)</f>
        <v/>
      </c>
      <c r="MC30">
        <f>IF('calcA'!CP$106=1,GO30,1)</f>
        <v/>
      </c>
      <c r="MD30">
        <f>IF('calcA'!CQ$106=1,GP30,1)</f>
        <v/>
      </c>
      <c r="ME30">
        <f>IF('calcA'!CR$106=1,GQ30,1)</f>
        <v/>
      </c>
      <c r="MF30">
        <f>IF('calcA'!CS$106=1,GR30,1)</f>
        <v/>
      </c>
      <c r="MG30">
        <f>IF('calcA'!CT$106=1,GS30,1)</f>
        <v/>
      </c>
      <c r="MH30">
        <f>IF('calcA'!CU$106=1,GT30,1)</f>
        <v/>
      </c>
      <c r="MI30">
        <f>IF('calcA'!CV$106=1,GU30,1)</f>
        <v/>
      </c>
      <c r="MJ30">
        <f>IF('calcA'!CW$106=1,GV30,1)</f>
        <v/>
      </c>
      <c r="MK30">
        <f>IF('calcA'!CX$106=1,GW30,1)</f>
        <v/>
      </c>
      <c r="ML30">
        <f>IF('calcA'!CY$106=1,GX30,1)</f>
        <v/>
      </c>
      <c r="MM30">
        <f>IF('calcA'!CZ$106=1,GY30,1)</f>
        <v/>
      </c>
      <c r="MN30">
        <f>IF('calcA'!DA$106=1,GZ30,1)</f>
        <v/>
      </c>
      <c r="MO30">
        <f>IF('calcA'!DB$106=1,HA30,1)</f>
        <v/>
      </c>
      <c r="MP30">
        <f>IF('calcA'!DC$106=1,HB30,1)</f>
        <v/>
      </c>
      <c r="MQ30">
        <f>IF('calcA'!DD$106=1,HC30,1)</f>
        <v/>
      </c>
      <c r="MR30">
        <f>IF('calcA'!DE$106=1,HD30,1)</f>
        <v/>
      </c>
      <c r="MS30">
        <f>IF('calcA'!DF$106=1,HE30,1)</f>
        <v/>
      </c>
      <c r="MT30">
        <f>IF('calcA'!DG$106=1,HF30,1)</f>
        <v/>
      </c>
      <c r="MU30">
        <f>IF('calcA'!DH$106=1,HG30,1)</f>
        <v/>
      </c>
      <c r="MV30">
        <f>IF('calcA'!DI$106=1,HH30,1)</f>
        <v/>
      </c>
      <c r="MW30">
        <f>IF('calcA'!DJ$106=1,HI30,1)</f>
        <v/>
      </c>
      <c r="MX30">
        <f>IF('calcA'!DK$106=1,HJ30,1)</f>
        <v/>
      </c>
      <c r="MY30">
        <f>IF('calcA'!DL$106=1,HK30,1)</f>
        <v/>
      </c>
      <c r="MZ30">
        <f>IF('calcA'!DM$106=1,HL30,1)</f>
        <v/>
      </c>
      <c r="NA30">
        <f>IF('calcA'!DN$106=1,HM30,1)</f>
        <v/>
      </c>
      <c r="NB30">
        <f>IF('calcA'!DO$106=1,HN30,1)</f>
        <v/>
      </c>
      <c r="NC30">
        <f>IF('calcA'!DP$106=1,HO30,1)</f>
        <v/>
      </c>
      <c r="ND30">
        <f>IF('calcA'!DQ$106=1,HP30,1)</f>
        <v/>
      </c>
      <c r="NE30">
        <f>IF('calcA'!DR$106=1,HQ30,1)</f>
        <v/>
      </c>
      <c r="NF30">
        <f>IF('calcA'!DS$106=1,HR30,1)</f>
        <v/>
      </c>
      <c r="NG30">
        <f>IF('calcA'!DT$106=1,HS30,1)</f>
        <v/>
      </c>
      <c r="NH30">
        <f>IF('calcA'!DU$106=1,HT30,1)</f>
        <v/>
      </c>
      <c r="NI30">
        <f>IF('calcA'!DV$106=1,HU30,1)</f>
        <v/>
      </c>
      <c r="NJ30">
        <f>IF('calcA'!DW$106=1,HV30,1)</f>
        <v/>
      </c>
      <c r="NK30">
        <f>IF('calcA'!DX$106=1,HW30,1)</f>
        <v/>
      </c>
      <c r="NL30">
        <f>IF('calcA'!DY$106=1,HX30,1)</f>
        <v/>
      </c>
      <c r="NM30">
        <f>IF('calcA'!DZ$106=1,HY30,1)</f>
        <v/>
      </c>
      <c r="NN30">
        <f>IF('calcA'!EA$106=1,HZ30,1)</f>
        <v/>
      </c>
      <c r="NO30">
        <f>IF('calcA'!EB$106=1,IA30,1)</f>
        <v/>
      </c>
      <c r="NP30">
        <f>IF('calcA'!EC$106=1,IB30,1)</f>
        <v/>
      </c>
      <c r="NQ30">
        <f>IF('calcA'!ED$106=1,IC30,1)</f>
        <v/>
      </c>
      <c r="NR30">
        <f>IF('calcA'!EE$106=1,ID30,1)</f>
        <v/>
      </c>
      <c r="NS30">
        <f>IF('calcA'!EF$106=1,IE30,1)</f>
        <v/>
      </c>
      <c r="NT30">
        <f>IF('calcA'!EG$106=1,IF30,1)</f>
        <v/>
      </c>
      <c r="NU30">
        <f>IF('calcA'!EH$106=1,IG30,1)</f>
        <v/>
      </c>
      <c r="NV30">
        <f>IF('calcA'!EI$106=1,IH30,1)</f>
        <v/>
      </c>
      <c r="NW30">
        <f>IF('calcA'!EJ$106=1,II30,1)</f>
        <v/>
      </c>
      <c r="NX30">
        <f>IF('calcA'!EK$106=1,IJ30,1)</f>
        <v/>
      </c>
      <c r="NY30">
        <f>IF('calcA'!EL$106=1,IK30,1)</f>
        <v/>
      </c>
      <c r="NZ30">
        <f>IF('calcA'!EM$106=1,IL30,1)</f>
        <v/>
      </c>
      <c r="OA30">
        <f>IF('calcA'!EN$106=1,IM30,1)</f>
        <v/>
      </c>
      <c r="OB30">
        <f>IF('calcA'!EO$106=1,IN30,1)</f>
        <v/>
      </c>
      <c r="OC30">
        <f>IF('calcA'!EP$106=1,IO30,1)</f>
        <v/>
      </c>
      <c r="OD30" t="n">
        <v>1</v>
      </c>
      <c r="OF30">
        <f>IF($B30=0,1000000000,IF(INDEX('calcA'!$D$60:$EQ$99,$B30,1)*IF($W30=1,DB30+ZQ30,DB30)=1,IF(AND($E30=2,IF($W30=1,AFF30,IQ30)=0),1000000000,IF($V30=1,INDEX('calcA'!$D$130:$EQ$169,$B30,1)+IF(AND($E30=1,IQ30=0),25,0),IF($F30&gt;0,INDEX('calcA'!D$110:D$114,$F30+1)+IF(AND($E30=1,IQ30=0),1000,0),MIN(TU30,20)*400+(IF('calcA'!D$106=1,1-DC30,0))*150+11+'calcA'!D$5*100000+IF(AND($E30=1,IQ30=0),50000,0))+IF($H30=1,INDEX('calcA'!$D$180:$EQ$219,$B30,1)*4000,0)-IF(AND($U30=1,'calcA'!D$117=1,DC30=0),2000,0))),1000000000))</f>
        <v/>
      </c>
      <c r="OG30">
        <f>IF($B30=0,1000000000,IF(INDEX('calcA'!$D$60:$EQ$99,$B30,2)*IF($W30=1,DC30+ZR30,DC30)=1,IF(AND($E30=2,IF($W30=1,AFG30,IR30)=0),1000000000,IF($V30=1,INDEX('calcA'!$D$130:$EQ$169,$B30,2)+IF(AND($E30=1,IR30=0),25,0),IF($F30&gt;0,INDEX('calcA'!E$110:E$114,$F30+1)+IF(AND($E30=1,IR30=0),1000,0),MIN(TU30,20)*400+(IF('calcA'!D$106=1,1-DB30,0)+IF('calcA'!E$106=1,1-DD30,0))*150+21+'calcA'!E$5*100000+IF(AND($E30=1,IR30=0),50000,0))+IF($H30=1,INDEX('calcA'!$D$180:$EQ$219,$B30,2)*4000,0)-IF(AND('calcA'!D$117=1,UB30&gt;0),2000,0)-IF(AND($U30=1,'calcA'!E$117=1,DD30=0),2000,0))),1000000000))</f>
        <v/>
      </c>
      <c r="OH30">
        <f>IF($B30=0,1000000000,IF(INDEX('calcA'!$D$60:$EQ$99,$B30,3)*IF($W30=1,DD30+ZS30,DD30)=1,IF(AND($E30=2,IF($W30=1,AFH30,IS30)=0),1000000000,IF($V30=1,INDEX('calcA'!$D$130:$EQ$169,$B30,3)+IF(AND($E30=1,IS30=0),25,0),IF($F30&gt;0,INDEX('calcA'!F$110:F$114,$F30+1)+IF(AND($E30=1,IS30=0),1000,0),MIN(TU30,20)*400+(IF('calcA'!E$106=1,1-DC30,0)+IF('calcA'!F$106=1,1-DE30,0))*150+31+'calcA'!F$5*100000+IF(AND($E30=1,IS30=0),50000,0))+IF($H30=1,INDEX('calcA'!$D$180:$EQ$219,$B30,3)*4000,0)-IF(AND('calcA'!E$117=1,UC30&gt;0),2000,0)-IF(AND($U30=1,'calcA'!F$117=1,DE30=0),2000,0))),1000000000))</f>
        <v/>
      </c>
      <c r="OI30">
        <f>IF($B30=0,1000000000,IF(INDEX('calcA'!$D$60:$EQ$99,$B30,4)*IF($W30=1,DE30+ZT30,DE30)=1,IF(AND($E30=2,IF($W30=1,AFI30,IT30)=0),1000000000,IF($V30=1,INDEX('calcA'!$D$130:$EQ$169,$B30,4)+IF(AND($E30=1,IT30=0),25,0),IF($F30&gt;0,INDEX('calcA'!G$110:G$114,$F30+1)+IF(AND($E30=1,IT30=0),1000,0),MIN(TU30,20)*400+(IF('calcA'!F$106=1,1-DD30,0)+IF('calcA'!G$106=1,1-DF30,0))*150+41+'calcA'!G$5*100000+IF(AND($E30=1,IT30=0),50000,0))+IF($H30=1,INDEX('calcA'!$D$180:$EQ$219,$B30,4)*4000,0)-IF(AND('calcA'!F$117=1,UD30&gt;0),2000,0)-IF(AND($U30=1,'calcA'!G$117=1,DF30=0),2000,0))),1000000000))</f>
        <v/>
      </c>
      <c r="OJ30">
        <f>IF($B30=0,1000000000,IF(INDEX('calcA'!$D$60:$EQ$99,$B30,5)*IF($W30=1,DF30+ZU30,DF30)=1,IF(AND($E30=2,IF($W30=1,AFJ30,IU30)=0),1000000000,IF($V30=1,INDEX('calcA'!$D$130:$EQ$169,$B30,5)+IF(AND($E30=1,IU30=0),25,0),IF($F30&gt;0,INDEX('calcA'!H$110:H$114,$F30+1)+IF(AND($E30=1,IU30=0),1000,0),MIN(TU30,20)*400+(IF('calcA'!G$106=1,1-DE30,0)+IF('calcA'!H$106=1,1-DG30,0))*150+51+'calcA'!H$5*100000+IF(AND($E30=1,IU30=0),50000,0))+IF($H30=1,INDEX('calcA'!$D$180:$EQ$219,$B30,5)*4000,0)-IF(AND('calcA'!G$117=1,UE30&gt;0),2000,0)-IF(AND($U30=1,'calcA'!H$117=1,DG30=0),2000,0))),1000000000))</f>
        <v/>
      </c>
      <c r="OK30">
        <f>IF($B30=0,1000000000,IF(INDEX('calcA'!$D$60:$EQ$99,$B30,6)*IF($W30=1,DG30+ZV30,DG30)=1,IF(AND($E30=2,IF($W30=1,AFK30,IV30)=0),1000000000,IF($V30=1,INDEX('calcA'!$D$130:$EQ$169,$B30,6)+IF(AND($E30=1,IV30=0),25,0),IF($F30&gt;0,INDEX('calcA'!I$110:I$114,$F30+1)+IF(AND($E30=1,IV30=0),1000,0),MIN(TU30,20)*400+(IF('calcA'!H$106=1,1-DF30,0)+IF('calcA'!I$106=1,1-DH30,0))*150+61+'calcA'!I$5*100000+IF(AND($E30=1,IV30=0),50000,0))+IF($H30=1,INDEX('calcA'!$D$180:$EQ$219,$B30,6)*4000,0)-IF(AND('calcA'!H$117=1,UF30&gt;0),2000,0)-IF(AND($U30=1,'calcA'!I$117=1,DH30=0),2000,0))),1000000000))</f>
        <v/>
      </c>
      <c r="OL30">
        <f>IF($B30=0,1000000000,IF(INDEX('calcA'!$D$60:$EQ$99,$B30,7)*IF($W30=1,DH30+ZW30,DH30)=1,IF(AND($E30=2,IF($W30=1,AFL30,IW30)=0),1000000000,IF($V30=1,INDEX('calcA'!$D$130:$EQ$169,$B30,7)+IF(AND($E30=1,IW30=0),25,0),IF($F30&gt;0,INDEX('calcA'!J$110:J$114,$F30+1)+IF(AND($E30=1,IW30=0),1000,0),MIN(TU30,20)*400+(IF('calcA'!I$106=1,1-DG30,0)+IF('calcA'!J$106=1,1-DI30,0))*150+71+'calcA'!J$5*100000+IF(AND($E30=1,IW30=0),50000,0))+IF($H30=1,INDEX('calcA'!$D$180:$EQ$219,$B30,7)*4000,0)-IF(AND('calcA'!I$117=1,UG30&gt;0),2000,0)-IF(AND($U30=1,'calcA'!J$117=1,DI30=0),2000,0))),1000000000))</f>
        <v/>
      </c>
      <c r="OM30">
        <f>IF($B30=0,1000000000,IF(INDEX('calcA'!$D$60:$EQ$99,$B30,8)*IF($W30=1,DI30+ZX30,DI30)=1,IF(AND($E30=2,IF($W30=1,AFM30,IX30)=0),1000000000,IF($V30=1,INDEX('calcA'!$D$130:$EQ$169,$B30,8)+IF(AND($E30=1,IX30=0),25,0),IF($F30&gt;0,INDEX('calcA'!K$110:K$114,$F30+1)+IF(AND($E30=1,IX30=0),1000,0),MIN(TU30,20)*400+(IF('calcA'!J$106=1,1-DH30,0)+IF('calcA'!K$106=1,1-DJ30,0))*150+81+'calcA'!K$5*100000+IF(AND($E30=1,IX30=0),50000,0))+IF($H30=1,INDEX('calcA'!$D$180:$EQ$219,$B30,8)*4000,0)-IF(AND('calcA'!J$117=1,UH30&gt;0),2000,0)-IF(AND($U30=1,'calcA'!K$117=1,DJ30=0),2000,0))),1000000000))</f>
        <v/>
      </c>
      <c r="ON30">
        <f>IF($B30=0,1000000000,IF(INDEX('calcA'!$D$60:$EQ$99,$B30,9)*IF($W30=1,DJ30+ZY30,DJ30)=1,IF(AND($E30=2,IF($W30=1,AFN30,IY30)=0),1000000000,IF($V30=1,INDEX('calcA'!$D$130:$EQ$169,$B30,9)+IF(AND($E30=1,IY30=0),25,0),IF($F30&gt;0,INDEX('calcA'!L$110:L$114,$F30+1)+IF(AND($E30=1,IY30=0),1000,0),MIN(TU30,20)*400+(IF('calcA'!K$106=1,1-DI30,0)+IF('calcA'!L$106=1,1-DK30,0))*150+91+'calcA'!L$5*100000+IF(AND($E30=1,IY30=0),50000,0))+IF($H30=1,INDEX('calcA'!$D$180:$EQ$219,$B30,9)*4000,0)-IF(AND('calcA'!K$117=1,UI30&gt;0),2000,0)-IF(AND($U30=1,'calcA'!L$117=1,DK30=0),2000,0))),1000000000))</f>
        <v/>
      </c>
      <c r="OO30">
        <f>IF($B30=0,1000000000,IF(INDEX('calcA'!$D$60:$EQ$99,$B30,10)*IF($W30=1,DK30+ZZ30,DK30)=1,IF(AND($E30=2,IF($W30=1,AFO30,IZ30)=0),1000000000,IF($V30=1,INDEX('calcA'!$D$130:$EQ$169,$B30,10)+IF(AND($E30=1,IZ30=0),25,0),IF($F30&gt;0,INDEX('calcA'!M$110:M$114,$F30+1)+IF(AND($E30=1,IZ30=0),1000,0),MIN(TU30,20)*400+(IF('calcA'!L$106=1,1-DJ30,0)+IF('calcA'!M$106=1,1-DL30,0))*150+101+'calcA'!M$5*100000+IF(AND($E30=1,IZ30=0),50000,0))+IF($H30=1,INDEX('calcA'!$D$180:$EQ$219,$B30,10)*4000,0)-IF(AND('calcA'!L$117=1,UJ30&gt;0),2000,0)-IF(AND($U30=1,'calcA'!M$117=1,DL30=0),2000,0))),1000000000))</f>
        <v/>
      </c>
      <c r="OP30">
        <f>IF($B30=0,1000000000,IF(INDEX('calcA'!$D$60:$EQ$99,$B30,11)*IF($W30=1,DL30+AAA30,DL30)=1,IF(AND($E30=2,IF($W30=1,AFP30,JA30)=0),1000000000,IF($V30=1,INDEX('calcA'!$D$130:$EQ$169,$B30,11)+IF(AND($E30=1,JA30=0),25,0),IF($F30&gt;0,INDEX('calcA'!N$110:N$114,$F30+1)+IF(AND($E30=1,JA30=0),1000,0),MIN(TU30,20)*400+(IF('calcA'!M$106=1,1-DK30,0)+IF('calcA'!N$106=1,1-DM30,0))*150+111+'calcA'!N$5*100000+IF(AND($E30=1,JA30=0),50000,0))+IF($H30=1,INDEX('calcA'!$D$180:$EQ$219,$B30,11)*4000,0)-IF(AND('calcA'!M$117=1,UK30&gt;0),2000,0)-IF(AND($U30=1,'calcA'!N$117=1,DM30=0),2000,0))),1000000000))</f>
        <v/>
      </c>
      <c r="OQ30">
        <f>IF($B30=0,1000000000,IF(INDEX('calcA'!$D$60:$EQ$99,$B30,12)*IF($W30=1,DM30+AAB30,DM30)=1,IF(AND($E30=2,IF($W30=1,AFQ30,JB30)=0),1000000000,IF($V30=1,INDEX('calcA'!$D$130:$EQ$169,$B30,12)+IF(AND($E30=1,JB30=0),25,0),IF($F30&gt;0,INDEX('calcA'!O$110:O$114,$F30+1)+IF(AND($E30=1,JB30=0),1000,0),MIN(TU30,20)*400+(IF('calcA'!N$106=1,1-DL30,0)+IF('calcA'!O$106=1,1-DN30,0))*150+121+'calcA'!O$5*100000+IF(AND($E30=1,JB30=0),50000,0))+IF($H30=1,INDEX('calcA'!$D$180:$EQ$219,$B30,12)*4000,0)-IF(AND('calcA'!N$117=1,UL30&gt;0),2000,0)-IF(AND($U30=1,'calcA'!O$117=1,DN30=0),2000,0))),1000000000))</f>
        <v/>
      </c>
      <c r="OR30">
        <f>IF($B30=0,1000000000,IF(INDEX('calcA'!$D$60:$EQ$99,$B30,13)*IF($W30=1,DN30+AAC30,DN30)=1,IF(AND($E30=2,IF($W30=1,AFR30,JC30)=0),1000000000,IF($V30=1,INDEX('calcA'!$D$130:$EQ$169,$B30,13)+IF(AND($E30=1,JC30=0),25,0),IF($F30&gt;0,INDEX('calcA'!P$110:P$114,$F30+1)+IF(AND($E30=1,JC30=0),1000,0),MIN(TU30,20)*400+(IF('calcA'!O$106=1,1-DM30,0)+IF('calcA'!P$106=1,1-DO30,0))*150+131+'calcA'!P$5*100000+IF(AND($E30=1,JC30=0),50000,0))+IF($H30=1,INDEX('calcA'!$D$180:$EQ$219,$B30,13)*4000,0)-IF(AND('calcA'!O$117=1,UM30&gt;0),2000,0)-IF(AND($U30=1,'calcA'!P$117=1,DO30=0),2000,0))),1000000000))</f>
        <v/>
      </c>
      <c r="OS30">
        <f>IF($B30=0,1000000000,IF(INDEX('calcA'!$D$60:$EQ$99,$B30,14)*IF($W30=1,DO30+AAD30,DO30)=1,IF(AND($E30=2,IF($W30=1,AFS30,JD30)=0),1000000000,IF($V30=1,INDEX('calcA'!$D$130:$EQ$169,$B30,14)+IF(AND($E30=1,JD30=0),25,0),IF($F30&gt;0,INDEX('calcA'!Q$110:Q$114,$F30+1)+IF(AND($E30=1,JD30=0),1000,0),MIN(TU30,20)*400+(IF('calcA'!P$106=1,1-DN30,0)+IF('calcA'!Q$106=1,1-DP30,0))*150+141+'calcA'!Q$5*100000+IF(AND($E30=1,JD30=0),50000,0))+IF($H30=1,INDEX('calcA'!$D$180:$EQ$219,$B30,14)*4000,0)-IF(AND('calcA'!P$117=1,UN30&gt;0),2000,0)-IF(AND($U30=1,'calcA'!Q$117=1,DP30=0),2000,0))),1000000000))</f>
        <v/>
      </c>
      <c r="OT30">
        <f>IF($B30=0,1000000000,IF(INDEX('calcA'!$D$60:$EQ$99,$B30,15)*IF($W30=1,DP30+AAE30,DP30)=1,IF(AND($E30=2,IF($W30=1,AFT30,JE30)=0),1000000000,IF($V30=1,INDEX('calcA'!$D$130:$EQ$169,$B30,15)+IF(AND($E30=1,JE30=0),25,0),IF($F30&gt;0,INDEX('calcA'!R$110:R$114,$F30+1)+IF(AND($E30=1,JE30=0),1000,0),MIN(TU30,20)*400+(IF('calcA'!Q$106=1,1-DO30,0)+IF('calcA'!R$106=1,1-DQ30,0))*150+151+'calcA'!R$5*100000+IF(AND($E30=1,JE30=0),50000,0))+IF($H30=1,INDEX('calcA'!$D$180:$EQ$219,$B30,15)*4000,0)-IF(AND('calcA'!Q$117=1,UO30&gt;0),2000,0)-IF(AND($U30=1,'calcA'!R$117=1,DQ30=0),2000,0))),1000000000))</f>
        <v/>
      </c>
      <c r="OU30">
        <f>IF($B30=0,1000000000,IF(INDEX('calcA'!$D$60:$EQ$99,$B30,16)*IF($W30=1,DQ30+AAF30,DQ30)=1,IF(AND($E30=2,IF($W30=1,AFU30,JF30)=0),1000000000,IF($V30=1,INDEX('calcA'!$D$130:$EQ$169,$B30,16)+IF(AND($E30=1,JF30=0),25,0),IF($F30&gt;0,INDEX('calcA'!S$110:S$114,$F30+1)+IF(AND($E30=1,JF30=0),1000,0),MIN(TU30,20)*400+(IF('calcA'!R$106=1,1-DP30,0)+IF('calcA'!S$106=1,1-DR30,0))*150+161+'calcA'!S$5*100000+IF(AND($E30=1,JF30=0),50000,0))+IF($H30=1,INDEX('calcA'!$D$180:$EQ$219,$B30,16)*4000,0)-IF(AND('calcA'!R$117=1,UP30&gt;0),2000,0)-IF(AND($U30=1,'calcA'!S$117=1,DR30=0),2000,0))),1000000000))</f>
        <v/>
      </c>
      <c r="OV30">
        <f>IF($B30=0,1000000000,IF(INDEX('calcA'!$D$60:$EQ$99,$B30,17)*IF($W30=1,DR30+AAG30,DR30)=1,IF(AND($E30=2,IF($W30=1,AFV30,JG30)=0),1000000000,IF($V30=1,INDEX('calcA'!$D$130:$EQ$169,$B30,17)+IF(AND($E30=1,JG30=0),25,0),IF($F30&gt;0,INDEX('calcA'!T$110:T$114,$F30+1)+IF(AND($E30=1,JG30=0),1000,0),MIN(TU30,20)*400+(IF('calcA'!S$106=1,1-DQ30,0)+IF('calcA'!T$106=1,1-DS30,0))*150+171+'calcA'!T$5*100000+IF(AND($E30=1,JG30=0),50000,0))+IF($H30=1,INDEX('calcA'!$D$180:$EQ$219,$B30,17)*4000,0)-IF(AND('calcA'!S$117=1,UQ30&gt;0),2000,0)-IF(AND($U30=1,'calcA'!T$117=1,DS30=0),2000,0))),1000000000))</f>
        <v/>
      </c>
      <c r="OW30">
        <f>IF($B30=0,1000000000,IF(INDEX('calcA'!$D$60:$EQ$99,$B30,18)*IF($W30=1,DS30+AAH30,DS30)=1,IF(AND($E30=2,IF($W30=1,AFW30,JH30)=0),1000000000,IF($V30=1,INDEX('calcA'!$D$130:$EQ$169,$B30,18)+IF(AND($E30=1,JH30=0),25,0),IF($F30&gt;0,INDEX('calcA'!U$110:U$114,$F30+1)+IF(AND($E30=1,JH30=0),1000,0),MIN(TU30,20)*400+(IF('calcA'!T$106=1,1-DR30,0)+IF('calcA'!U$106=1,1-DT30,0))*150+181+'calcA'!U$5*100000+IF(AND($E30=1,JH30=0),50000,0))+IF($H30=1,INDEX('calcA'!$D$180:$EQ$219,$B30,18)*4000,0)-IF(AND('calcA'!T$117=1,UR30&gt;0),2000,0)-IF(AND($U30=1,'calcA'!U$117=1,DT30=0),2000,0))),1000000000))</f>
        <v/>
      </c>
      <c r="OX30">
        <f>IF($B30=0,1000000000,IF(INDEX('calcA'!$D$60:$EQ$99,$B30,19)*IF($W30=1,DT30+AAI30,DT30)=1,IF(AND($E30=2,IF($W30=1,AFX30,JI30)=0),1000000000,IF($V30=1,INDEX('calcA'!$D$130:$EQ$169,$B30,19)+IF(AND($E30=1,JI30=0),25,0),IF($F30&gt;0,INDEX('calcA'!V$110:V$114,$F30+1)+IF(AND($E30=1,JI30=0),1000,0),MIN(TU30,20)*400+(IF('calcA'!U$106=1,1-DS30,0)+IF('calcA'!V$106=1,1-DU30,0))*150+191+'calcA'!V$5*100000+IF(AND($E30=1,JI30=0),50000,0))+IF($H30=1,INDEX('calcA'!$D$180:$EQ$219,$B30,19)*4000,0)-IF(AND('calcA'!U$117=1,US30&gt;0),2000,0)-IF(AND($U30=1,'calcA'!V$117=1,DU30=0),2000,0))),1000000000))</f>
        <v/>
      </c>
      <c r="OY30">
        <f>IF($B30=0,1000000000,IF(INDEX('calcA'!$D$60:$EQ$99,$B30,20)*IF($W30=1,DU30+AAJ30,DU30)=1,IF(AND($E30=2,IF($W30=1,AFY30,JJ30)=0),1000000000,IF($V30=1,INDEX('calcA'!$D$130:$EQ$169,$B30,20)+IF(AND($E30=1,JJ30=0),25,0),IF($F30&gt;0,INDEX('calcA'!W$110:W$114,$F30+1)+IF(AND($E30=1,JJ30=0),1000,0),MIN(TU30,20)*400+(IF('calcA'!V$106=1,1-DT30,0)+IF('calcA'!W$106=1,1-DV30,0))*150+201+'calcA'!W$5*100000+IF(AND($E30=1,JJ30=0),50000,0))+IF($H30=1,INDEX('calcA'!$D$180:$EQ$219,$B30,20)*4000,0)-IF(AND('calcA'!V$117=1,UT30&gt;0),2000,0)-IF(AND($U30=1,'calcA'!W$117=1,DV30=0),2000,0))),1000000000))</f>
        <v/>
      </c>
      <c r="OZ30">
        <f>IF($B30=0,1000000000,IF(INDEX('calcA'!$D$60:$EQ$99,$B30,21)*IF($W30=1,DV30+AAK30,DV30)=1,IF(AND($E30=2,IF($W30=1,AFZ30,JK30)=0),1000000000,IF($V30=1,INDEX('calcA'!$D$130:$EQ$169,$B30,21)+IF(AND($E30=1,JK30=0),25,0),IF($F30&gt;0,INDEX('calcA'!X$110:X$114,$F30+1)+IF(AND($E30=1,JK30=0),1000,0),MIN(TU30,20)*400+(IF('calcA'!W$106=1,1-DU30,0)+IF('calcA'!X$106=1,1-DW30,0))*150+211+'calcA'!X$5*100000+IF(AND($E30=1,JK30=0),50000,0))+IF($H30=1,INDEX('calcA'!$D$180:$EQ$219,$B30,21)*4000,0)-IF(AND('calcA'!W$117=1,UU30&gt;0),2000,0)-IF(AND($U30=1,'calcA'!X$117=1,DW30=0),2000,0))),1000000000))</f>
        <v/>
      </c>
      <c r="PA30">
        <f>IF($B30=0,1000000000,IF(INDEX('calcA'!$D$60:$EQ$99,$B30,22)*IF($W30=1,DW30+AAL30,DW30)=1,IF(AND($E30=2,IF($W30=1,AGA30,JL30)=0),1000000000,IF($V30=1,INDEX('calcA'!$D$130:$EQ$169,$B30,22)+IF(AND($E30=1,JL30=0),25,0),IF($F30&gt;0,INDEX('calcA'!Y$110:Y$114,$F30+1)+IF(AND($E30=1,JL30=0),1000,0),MIN(TU30,20)*400+(IF('calcA'!X$106=1,1-DV30,0)+IF('calcA'!Y$106=1,1-DX30,0))*150+221+'calcA'!Y$5*100000+IF(AND($E30=1,JL30=0),50000,0))+IF($H30=1,INDEX('calcA'!$D$180:$EQ$219,$B30,22)*4000,0)-IF(AND('calcA'!X$117=1,UV30&gt;0),2000,0)-IF(AND($U30=1,'calcA'!Y$117=1,DX30=0),2000,0))),1000000000))</f>
        <v/>
      </c>
      <c r="PB30">
        <f>IF($B30=0,1000000000,IF(INDEX('calcA'!$D$60:$EQ$99,$B30,23)*IF($W30=1,DX30+AAM30,DX30)=1,IF(AND($E30=2,IF($W30=1,AGB30,JM30)=0),1000000000,IF($V30=1,INDEX('calcA'!$D$130:$EQ$169,$B30,23)+IF(AND($E30=1,JM30=0),25,0),IF($F30&gt;0,INDEX('calcA'!Z$110:Z$114,$F30+1)+IF(AND($E30=1,JM30=0),1000,0),MIN(TU30,20)*400+(IF('calcA'!Y$106=1,1-DW30,0)+IF('calcA'!Z$106=1,1-DY30,0))*150+231+'calcA'!Z$5*100000+IF(AND($E30=1,JM30=0),50000,0))+IF($H30=1,INDEX('calcA'!$D$180:$EQ$219,$B30,23)*4000,0)-IF(AND('calcA'!Y$117=1,UW30&gt;0),2000,0)-IF(AND($U30=1,'calcA'!Z$117=1,DY30=0),2000,0))),1000000000))</f>
        <v/>
      </c>
      <c r="PC30">
        <f>IF($B30=0,1000000000,IF(INDEX('calcA'!$D$60:$EQ$99,$B30,24)*IF($W30=1,DY30+AAN30,DY30)=1,IF(AND($E30=2,IF($W30=1,AGC30,JN30)=0),1000000000,IF($V30=1,INDEX('calcA'!$D$130:$EQ$169,$B30,24)+IF(AND($E30=1,JN30=0),25,0),IF($F30&gt;0,INDEX('calcA'!AA$110:AA$114,$F30+1)+IF(AND($E30=1,JN30=0),1000,0),MIN(TU30,20)*400+(IF('calcA'!Z$106=1,1-DX30,0))*150+241+'calcA'!AA$5*100000+IF(AND($E30=1,JN30=0),50000,0))+IF($H30=1,INDEX('calcA'!$D$180:$EQ$219,$B30,24)*4000,0)-IF(AND('calcA'!Z$117=1,UX30&gt;0),2000,0))),1000000000))</f>
        <v/>
      </c>
      <c r="PD30">
        <f>IF($B30=0,1000000000,IF(INDEX('calcA'!$D$60:$EQ$99,$B30,25)*IF($W30=1,DZ30+AAO30,DZ30)=1,IF(AND($E30=2,IF($W30=1,AGD30,JO30)=0),1000000000,IF($V30=1,INDEX('calcA'!$D$130:$EQ$169,$B30,25)+IF(AND($E30=1,JO30=0),25,0),IF($F30&gt;0,INDEX('calcA'!AB$110:AB$114,$F30+1)+IF(AND($E30=1,JO30=0),1000,0),MIN(TV30,20)*400+(IF('calcA'!AB$106=1,1-EA30,0))*150+12+'calcA'!AB$5*100000+IF(AND($E30=1,JO30=0),50000,0))+IF($H30=1,INDEX('calcA'!$D$180:$EQ$219,$B30,25)*4000,0)-IF(AND($U30=1,'calcA'!AB$117=1,EA30=0),2000,0))),1000000000))</f>
        <v/>
      </c>
      <c r="PE30">
        <f>IF($B30=0,1000000000,IF(INDEX('calcA'!$D$60:$EQ$99,$B30,26)*IF($W30=1,EA30+AAP30,EA30)=1,IF(AND($E30=2,IF($W30=1,AGE30,JP30)=0),1000000000,IF($V30=1,INDEX('calcA'!$D$130:$EQ$169,$B30,26)+IF(AND($E30=1,JP30=0),25,0),IF($F30&gt;0,INDEX('calcA'!AC$110:AC$114,$F30+1)+IF(AND($E30=1,JP30=0),1000,0),MIN(TV30,20)*400+(IF('calcA'!AB$106=1,1-DZ30,0)+IF('calcA'!AC$106=1,1-EB30,0))*150+22+'calcA'!AC$5*100000+IF(AND($E30=1,JP30=0),50000,0))+IF($H30=1,INDEX('calcA'!$D$180:$EQ$219,$B30,26)*4000,0)-IF(AND('calcA'!AB$117=1,UZ30&gt;0),2000,0)-IF(AND($U30=1,'calcA'!AC$117=1,EB30=0),2000,0))),1000000000))</f>
        <v/>
      </c>
      <c r="PF30">
        <f>IF($B30=0,1000000000,IF(INDEX('calcA'!$D$60:$EQ$99,$B30,27)*IF($W30=1,EB30+AAQ30,EB30)=1,IF(AND($E30=2,IF($W30=1,AGF30,JQ30)=0),1000000000,IF($V30=1,INDEX('calcA'!$D$130:$EQ$169,$B30,27)+IF(AND($E30=1,JQ30=0),25,0),IF($F30&gt;0,INDEX('calcA'!AD$110:AD$114,$F30+1)+IF(AND($E30=1,JQ30=0),1000,0),MIN(TV30,20)*400+(IF('calcA'!AC$106=1,1-EA30,0)+IF('calcA'!AD$106=1,1-EC30,0))*150+32+'calcA'!AD$5*100000+IF(AND($E30=1,JQ30=0),50000,0))+IF($H30=1,INDEX('calcA'!$D$180:$EQ$219,$B30,27)*4000,0)-IF(AND('calcA'!AC$117=1,VA30&gt;0),2000,0)-IF(AND($U30=1,'calcA'!AD$117=1,EC30=0),2000,0))),1000000000))</f>
        <v/>
      </c>
      <c r="PG30">
        <f>IF($B30=0,1000000000,IF(INDEX('calcA'!$D$60:$EQ$99,$B30,28)*IF($W30=1,EC30+AAR30,EC30)=1,IF(AND($E30=2,IF($W30=1,AGG30,JR30)=0),1000000000,IF($V30=1,INDEX('calcA'!$D$130:$EQ$169,$B30,28)+IF(AND($E30=1,JR30=0),25,0),IF($F30&gt;0,INDEX('calcA'!AE$110:AE$114,$F30+1)+IF(AND($E30=1,JR30=0),1000,0),MIN(TV30,20)*400+(IF('calcA'!AD$106=1,1-EB30,0)+IF('calcA'!AE$106=1,1-ED30,0))*150+42+'calcA'!AE$5*100000+IF(AND($E30=1,JR30=0),50000,0))+IF($H30=1,INDEX('calcA'!$D$180:$EQ$219,$B30,28)*4000,0)-IF(AND('calcA'!AD$117=1,VB30&gt;0),2000,0)-IF(AND($U30=1,'calcA'!AE$117=1,ED30=0),2000,0))),1000000000))</f>
        <v/>
      </c>
      <c r="PH30">
        <f>IF($B30=0,1000000000,IF(INDEX('calcA'!$D$60:$EQ$99,$B30,29)*IF($W30=1,ED30+AAS30,ED30)=1,IF(AND($E30=2,IF($W30=1,AGH30,JS30)=0),1000000000,IF($V30=1,INDEX('calcA'!$D$130:$EQ$169,$B30,29)+IF(AND($E30=1,JS30=0),25,0),IF($F30&gt;0,INDEX('calcA'!AF$110:AF$114,$F30+1)+IF(AND($E30=1,JS30=0),1000,0),MIN(TV30,20)*400+(IF('calcA'!AE$106=1,1-EC30,0)+IF('calcA'!AF$106=1,1-EE30,0))*150+52+'calcA'!AF$5*100000+IF(AND($E30=1,JS30=0),50000,0))+IF($H30=1,INDEX('calcA'!$D$180:$EQ$219,$B30,29)*4000,0)-IF(AND('calcA'!AE$117=1,VC30&gt;0),2000,0)-IF(AND($U30=1,'calcA'!AF$117=1,EE30=0),2000,0))),1000000000))</f>
        <v/>
      </c>
      <c r="PI30">
        <f>IF($B30=0,1000000000,IF(INDEX('calcA'!$D$60:$EQ$99,$B30,30)*IF($W30=1,EE30+AAT30,EE30)=1,IF(AND($E30=2,IF($W30=1,AGI30,JT30)=0),1000000000,IF($V30=1,INDEX('calcA'!$D$130:$EQ$169,$B30,30)+IF(AND($E30=1,JT30=0),25,0),IF($F30&gt;0,INDEX('calcA'!AG$110:AG$114,$F30+1)+IF(AND($E30=1,JT30=0),1000,0),MIN(TV30,20)*400+(IF('calcA'!AF$106=1,1-ED30,0)+IF('calcA'!AG$106=1,1-EF30,0))*150+62+'calcA'!AG$5*100000+IF(AND($E30=1,JT30=0),50000,0))+IF($H30=1,INDEX('calcA'!$D$180:$EQ$219,$B30,30)*4000,0)-IF(AND('calcA'!AF$117=1,VD30&gt;0),2000,0)-IF(AND($U30=1,'calcA'!AG$117=1,EF30=0),2000,0))),1000000000))</f>
        <v/>
      </c>
      <c r="PJ30">
        <f>IF($B30=0,1000000000,IF(INDEX('calcA'!$D$60:$EQ$99,$B30,31)*IF($W30=1,EF30+AAU30,EF30)=1,IF(AND($E30=2,IF($W30=1,AGJ30,JU30)=0),1000000000,IF($V30=1,INDEX('calcA'!$D$130:$EQ$169,$B30,31)+IF(AND($E30=1,JU30=0),25,0),IF($F30&gt;0,INDEX('calcA'!AH$110:AH$114,$F30+1)+IF(AND($E30=1,JU30=0),1000,0),MIN(TV30,20)*400+(IF('calcA'!AG$106=1,1-EE30,0)+IF('calcA'!AH$106=1,1-EG30,0))*150+72+'calcA'!AH$5*100000+IF(AND($E30=1,JU30=0),50000,0))+IF($H30=1,INDEX('calcA'!$D$180:$EQ$219,$B30,31)*4000,0)-IF(AND('calcA'!AG$117=1,VE30&gt;0),2000,0)-IF(AND($U30=1,'calcA'!AH$117=1,EG30=0),2000,0))),1000000000))</f>
        <v/>
      </c>
      <c r="PK30">
        <f>IF($B30=0,1000000000,IF(INDEX('calcA'!$D$60:$EQ$99,$B30,32)*IF($W30=1,EG30+AAV30,EG30)=1,IF(AND($E30=2,IF($W30=1,AGK30,JV30)=0),1000000000,IF($V30=1,INDEX('calcA'!$D$130:$EQ$169,$B30,32)+IF(AND($E30=1,JV30=0),25,0),IF($F30&gt;0,INDEX('calcA'!AI$110:AI$114,$F30+1)+IF(AND($E30=1,JV30=0),1000,0),MIN(TV30,20)*400+(IF('calcA'!AH$106=1,1-EF30,0)+IF('calcA'!AI$106=1,1-EH30,0))*150+82+'calcA'!AI$5*100000+IF(AND($E30=1,JV30=0),50000,0))+IF($H30=1,INDEX('calcA'!$D$180:$EQ$219,$B30,32)*4000,0)-IF(AND('calcA'!AH$117=1,VF30&gt;0),2000,0)-IF(AND($U30=1,'calcA'!AI$117=1,EH30=0),2000,0))),1000000000))</f>
        <v/>
      </c>
      <c r="PL30">
        <f>IF($B30=0,1000000000,IF(INDEX('calcA'!$D$60:$EQ$99,$B30,33)*IF($W30=1,EH30+AAW30,EH30)=1,IF(AND($E30=2,IF($W30=1,AGL30,JW30)=0),1000000000,IF($V30=1,INDEX('calcA'!$D$130:$EQ$169,$B30,33)+IF(AND($E30=1,JW30=0),25,0),IF($F30&gt;0,INDEX('calcA'!AJ$110:AJ$114,$F30+1)+IF(AND($E30=1,JW30=0),1000,0),MIN(TV30,20)*400+(IF('calcA'!AI$106=1,1-EG30,0)+IF('calcA'!AJ$106=1,1-EI30,0))*150+92+'calcA'!AJ$5*100000+IF(AND($E30=1,JW30=0),50000,0))+IF($H30=1,INDEX('calcA'!$D$180:$EQ$219,$B30,33)*4000,0)-IF(AND('calcA'!AI$117=1,VG30&gt;0),2000,0)-IF(AND($U30=1,'calcA'!AJ$117=1,EI30=0),2000,0))),1000000000))</f>
        <v/>
      </c>
      <c r="PM30">
        <f>IF($B30=0,1000000000,IF(INDEX('calcA'!$D$60:$EQ$99,$B30,34)*IF($W30=1,EI30+AAX30,EI30)=1,IF(AND($E30=2,IF($W30=1,AGM30,JX30)=0),1000000000,IF($V30=1,INDEX('calcA'!$D$130:$EQ$169,$B30,34)+IF(AND($E30=1,JX30=0),25,0),IF($F30&gt;0,INDEX('calcA'!AK$110:AK$114,$F30+1)+IF(AND($E30=1,JX30=0),1000,0),MIN(TV30,20)*400+(IF('calcA'!AJ$106=1,1-EH30,0)+IF('calcA'!AK$106=1,1-EJ30,0))*150+102+'calcA'!AK$5*100000+IF(AND($E30=1,JX30=0),50000,0))+IF($H30=1,INDEX('calcA'!$D$180:$EQ$219,$B30,34)*4000,0)-IF(AND('calcA'!AJ$117=1,VH30&gt;0),2000,0)-IF(AND($U30=1,'calcA'!AK$117=1,EJ30=0),2000,0))),1000000000))</f>
        <v/>
      </c>
      <c r="PN30">
        <f>IF($B30=0,1000000000,IF(INDEX('calcA'!$D$60:$EQ$99,$B30,35)*IF($W30=1,EJ30+AAY30,EJ30)=1,IF(AND($E30=2,IF($W30=1,AGN30,JY30)=0),1000000000,IF($V30=1,INDEX('calcA'!$D$130:$EQ$169,$B30,35)+IF(AND($E30=1,JY30=0),25,0),IF($F30&gt;0,INDEX('calcA'!AL$110:AL$114,$F30+1)+IF(AND($E30=1,JY30=0),1000,0),MIN(TV30,20)*400+(IF('calcA'!AK$106=1,1-EI30,0)+IF('calcA'!AL$106=1,1-EK30,0))*150+112+'calcA'!AL$5*100000+IF(AND($E30=1,JY30=0),50000,0))+IF($H30=1,INDEX('calcA'!$D$180:$EQ$219,$B30,35)*4000,0)-IF(AND('calcA'!AK$117=1,VI30&gt;0),2000,0)-IF(AND($U30=1,'calcA'!AL$117=1,EK30=0),2000,0))),1000000000))</f>
        <v/>
      </c>
      <c r="PO30">
        <f>IF($B30=0,1000000000,IF(INDEX('calcA'!$D$60:$EQ$99,$B30,36)*IF($W30=1,EK30+AAZ30,EK30)=1,IF(AND($E30=2,IF($W30=1,AGO30,JZ30)=0),1000000000,IF($V30=1,INDEX('calcA'!$D$130:$EQ$169,$B30,36)+IF(AND($E30=1,JZ30=0),25,0),IF($F30&gt;0,INDEX('calcA'!AM$110:AM$114,$F30+1)+IF(AND($E30=1,JZ30=0),1000,0),MIN(TV30,20)*400+(IF('calcA'!AL$106=1,1-EJ30,0)+IF('calcA'!AM$106=1,1-EL30,0))*150+122+'calcA'!AM$5*100000+IF(AND($E30=1,JZ30=0),50000,0))+IF($H30=1,INDEX('calcA'!$D$180:$EQ$219,$B30,36)*4000,0)-IF(AND('calcA'!AL$117=1,VJ30&gt;0),2000,0)-IF(AND($U30=1,'calcA'!AM$117=1,EL30=0),2000,0))),1000000000))</f>
        <v/>
      </c>
      <c r="PP30">
        <f>IF($B30=0,1000000000,IF(INDEX('calcA'!$D$60:$EQ$99,$B30,37)*IF($W30=1,EL30+ABA30,EL30)=1,IF(AND($E30=2,IF($W30=1,AGP30,KA30)=0),1000000000,IF($V30=1,INDEX('calcA'!$D$130:$EQ$169,$B30,37)+IF(AND($E30=1,KA30=0),25,0),IF($F30&gt;0,INDEX('calcA'!AN$110:AN$114,$F30+1)+IF(AND($E30=1,KA30=0),1000,0),MIN(TV30,20)*400+(IF('calcA'!AM$106=1,1-EK30,0)+IF('calcA'!AN$106=1,1-EM30,0))*150+132+'calcA'!AN$5*100000+IF(AND($E30=1,KA30=0),50000,0))+IF($H30=1,INDEX('calcA'!$D$180:$EQ$219,$B30,37)*4000,0)-IF(AND('calcA'!AM$117=1,VK30&gt;0),2000,0)-IF(AND($U30=1,'calcA'!AN$117=1,EM30=0),2000,0))),1000000000))</f>
        <v/>
      </c>
      <c r="PQ30">
        <f>IF($B30=0,1000000000,IF(INDEX('calcA'!$D$60:$EQ$99,$B30,38)*IF($W30=1,EM30+ABB30,EM30)=1,IF(AND($E30=2,IF($W30=1,AGQ30,KB30)=0),1000000000,IF($V30=1,INDEX('calcA'!$D$130:$EQ$169,$B30,38)+IF(AND($E30=1,KB30=0),25,0),IF($F30&gt;0,INDEX('calcA'!AO$110:AO$114,$F30+1)+IF(AND($E30=1,KB30=0),1000,0),MIN(TV30,20)*400+(IF('calcA'!AN$106=1,1-EL30,0)+IF('calcA'!AO$106=1,1-EN30,0))*150+142+'calcA'!AO$5*100000+IF(AND($E30=1,KB30=0),50000,0))+IF($H30=1,INDEX('calcA'!$D$180:$EQ$219,$B30,38)*4000,0)-IF(AND('calcA'!AN$117=1,VL30&gt;0),2000,0)-IF(AND($U30=1,'calcA'!AO$117=1,EN30=0),2000,0))),1000000000))</f>
        <v/>
      </c>
      <c r="PR30">
        <f>IF($B30=0,1000000000,IF(INDEX('calcA'!$D$60:$EQ$99,$B30,39)*IF($W30=1,EN30+ABC30,EN30)=1,IF(AND($E30=2,IF($W30=1,AGR30,KC30)=0),1000000000,IF($V30=1,INDEX('calcA'!$D$130:$EQ$169,$B30,39)+IF(AND($E30=1,KC30=0),25,0),IF($F30&gt;0,INDEX('calcA'!AP$110:AP$114,$F30+1)+IF(AND($E30=1,KC30=0),1000,0),MIN(TV30,20)*400+(IF('calcA'!AO$106=1,1-EM30,0)+IF('calcA'!AP$106=1,1-EO30,0))*150+152+'calcA'!AP$5*100000+IF(AND($E30=1,KC30=0),50000,0))+IF($H30=1,INDEX('calcA'!$D$180:$EQ$219,$B30,39)*4000,0)-IF(AND('calcA'!AO$117=1,VM30&gt;0),2000,0)-IF(AND($U30=1,'calcA'!AP$117=1,EO30=0),2000,0))),1000000000))</f>
        <v/>
      </c>
      <c r="PS30">
        <f>IF($B30=0,1000000000,IF(INDEX('calcA'!$D$60:$EQ$99,$B30,40)*IF($W30=1,EO30+ABD30,EO30)=1,IF(AND($E30=2,IF($W30=1,AGS30,KD30)=0),1000000000,IF($V30=1,INDEX('calcA'!$D$130:$EQ$169,$B30,40)+IF(AND($E30=1,KD30=0),25,0),IF($F30&gt;0,INDEX('calcA'!AQ$110:AQ$114,$F30+1)+IF(AND($E30=1,KD30=0),1000,0),MIN(TV30,20)*400+(IF('calcA'!AP$106=1,1-EN30,0)+IF('calcA'!AQ$106=1,1-EP30,0))*150+162+'calcA'!AQ$5*100000+IF(AND($E30=1,KD30=0),50000,0))+IF($H30=1,INDEX('calcA'!$D$180:$EQ$219,$B30,40)*4000,0)-IF(AND('calcA'!AP$117=1,VN30&gt;0),2000,0)-IF(AND($U30=1,'calcA'!AQ$117=1,EP30=0),2000,0))),1000000000))</f>
        <v/>
      </c>
      <c r="PT30">
        <f>IF($B30=0,1000000000,IF(INDEX('calcA'!$D$60:$EQ$99,$B30,41)*IF($W30=1,EP30+ABE30,EP30)=1,IF(AND($E30=2,IF($W30=1,AGT30,KE30)=0),1000000000,IF($V30=1,INDEX('calcA'!$D$130:$EQ$169,$B30,41)+IF(AND($E30=1,KE30=0),25,0),IF($F30&gt;0,INDEX('calcA'!AR$110:AR$114,$F30+1)+IF(AND($E30=1,KE30=0),1000,0),MIN(TV30,20)*400+(IF('calcA'!AQ$106=1,1-EO30,0)+IF('calcA'!AR$106=1,1-EQ30,0))*150+172+'calcA'!AR$5*100000+IF(AND($E30=1,KE30=0),50000,0))+IF($H30=1,INDEX('calcA'!$D$180:$EQ$219,$B30,41)*4000,0)-IF(AND('calcA'!AQ$117=1,VO30&gt;0),2000,0)-IF(AND($U30=1,'calcA'!AR$117=1,EQ30=0),2000,0))),1000000000))</f>
        <v/>
      </c>
      <c r="PU30">
        <f>IF($B30=0,1000000000,IF(INDEX('calcA'!$D$60:$EQ$99,$B30,42)*IF($W30=1,EQ30+ABF30,EQ30)=1,IF(AND($E30=2,IF($W30=1,AGU30,KF30)=0),1000000000,IF($V30=1,INDEX('calcA'!$D$130:$EQ$169,$B30,42)+IF(AND($E30=1,KF30=0),25,0),IF($F30&gt;0,INDEX('calcA'!AS$110:AS$114,$F30+1)+IF(AND($E30=1,KF30=0),1000,0),MIN(TV30,20)*400+(IF('calcA'!AR$106=1,1-EP30,0)+IF('calcA'!AS$106=1,1-ER30,0))*150+182+'calcA'!AS$5*100000+IF(AND($E30=1,KF30=0),50000,0))+IF($H30=1,INDEX('calcA'!$D$180:$EQ$219,$B30,42)*4000,0)-IF(AND('calcA'!AR$117=1,VP30&gt;0),2000,0)-IF(AND($U30=1,'calcA'!AS$117=1,ER30=0),2000,0))),1000000000))</f>
        <v/>
      </c>
      <c r="PV30">
        <f>IF($B30=0,1000000000,IF(INDEX('calcA'!$D$60:$EQ$99,$B30,43)*IF($W30=1,ER30+ABG30,ER30)=1,IF(AND($E30=2,IF($W30=1,AGV30,KG30)=0),1000000000,IF($V30=1,INDEX('calcA'!$D$130:$EQ$169,$B30,43)+IF(AND($E30=1,KG30=0),25,0),IF($F30&gt;0,INDEX('calcA'!AT$110:AT$114,$F30+1)+IF(AND($E30=1,KG30=0),1000,0),MIN(TV30,20)*400+(IF('calcA'!AS$106=1,1-EQ30,0)+IF('calcA'!AT$106=1,1-ES30,0))*150+192+'calcA'!AT$5*100000+IF(AND($E30=1,KG30=0),50000,0))+IF($H30=1,INDEX('calcA'!$D$180:$EQ$219,$B30,43)*4000,0)-IF(AND('calcA'!AS$117=1,VQ30&gt;0),2000,0)-IF(AND($U30=1,'calcA'!AT$117=1,ES30=0),2000,0))),1000000000))</f>
        <v/>
      </c>
      <c r="PW30">
        <f>IF($B30=0,1000000000,IF(INDEX('calcA'!$D$60:$EQ$99,$B30,44)*IF($W30=1,ES30+ABH30,ES30)=1,IF(AND($E30=2,IF($W30=1,AGW30,KH30)=0),1000000000,IF($V30=1,INDEX('calcA'!$D$130:$EQ$169,$B30,44)+IF(AND($E30=1,KH30=0),25,0),IF($F30&gt;0,INDEX('calcA'!AU$110:AU$114,$F30+1)+IF(AND($E30=1,KH30=0),1000,0),MIN(TV30,20)*400+(IF('calcA'!AT$106=1,1-ER30,0)+IF('calcA'!AU$106=1,1-ET30,0))*150+202+'calcA'!AU$5*100000+IF(AND($E30=1,KH30=0),50000,0))+IF($H30=1,INDEX('calcA'!$D$180:$EQ$219,$B30,44)*4000,0)-IF(AND('calcA'!AT$117=1,VR30&gt;0),2000,0)-IF(AND($U30=1,'calcA'!AU$117=1,ET30=0),2000,0))),1000000000))</f>
        <v/>
      </c>
      <c r="PX30">
        <f>IF($B30=0,1000000000,IF(INDEX('calcA'!$D$60:$EQ$99,$B30,45)*IF($W30=1,ET30+ABI30,ET30)=1,IF(AND($E30=2,IF($W30=1,AGX30,KI30)=0),1000000000,IF($V30=1,INDEX('calcA'!$D$130:$EQ$169,$B30,45)+IF(AND($E30=1,KI30=0),25,0),IF($F30&gt;0,INDEX('calcA'!AV$110:AV$114,$F30+1)+IF(AND($E30=1,KI30=0),1000,0),MIN(TV30,20)*400+(IF('calcA'!AU$106=1,1-ES30,0)+IF('calcA'!AV$106=1,1-EU30,0))*150+212+'calcA'!AV$5*100000+IF(AND($E30=1,KI30=0),50000,0))+IF($H30=1,INDEX('calcA'!$D$180:$EQ$219,$B30,45)*4000,0)-IF(AND('calcA'!AU$117=1,VS30&gt;0),2000,0)-IF(AND($U30=1,'calcA'!AV$117=1,EU30=0),2000,0))),1000000000))</f>
        <v/>
      </c>
      <c r="PY30">
        <f>IF($B30=0,1000000000,IF(INDEX('calcA'!$D$60:$EQ$99,$B30,46)*IF($W30=1,EU30+ABJ30,EU30)=1,IF(AND($E30=2,IF($W30=1,AGY30,KJ30)=0),1000000000,IF($V30=1,INDEX('calcA'!$D$130:$EQ$169,$B30,46)+IF(AND($E30=1,KJ30=0),25,0),IF($F30&gt;0,INDEX('calcA'!AW$110:AW$114,$F30+1)+IF(AND($E30=1,KJ30=0),1000,0),MIN(TV30,20)*400+(IF('calcA'!AV$106=1,1-ET30,0)+IF('calcA'!AW$106=1,1-EV30,0))*150+222+'calcA'!AW$5*100000+IF(AND($E30=1,KJ30=0),50000,0))+IF($H30=1,INDEX('calcA'!$D$180:$EQ$219,$B30,46)*4000,0)-IF(AND('calcA'!AV$117=1,VT30&gt;0),2000,0)-IF(AND($U30=1,'calcA'!AW$117=1,EV30=0),2000,0))),1000000000))</f>
        <v/>
      </c>
      <c r="PZ30">
        <f>IF($B30=0,1000000000,IF(INDEX('calcA'!$D$60:$EQ$99,$B30,47)*IF($W30=1,EV30+ABK30,EV30)=1,IF(AND($E30=2,IF($W30=1,AGZ30,KK30)=0),1000000000,IF($V30=1,INDEX('calcA'!$D$130:$EQ$169,$B30,47)+IF(AND($E30=1,KK30=0),25,0),IF($F30&gt;0,INDEX('calcA'!AX$110:AX$114,$F30+1)+IF(AND($E30=1,KK30=0),1000,0),MIN(TV30,20)*400+(IF('calcA'!AW$106=1,1-EU30,0)+IF('calcA'!AX$106=1,1-EW30,0))*150+232+'calcA'!AX$5*100000+IF(AND($E30=1,KK30=0),50000,0))+IF($H30=1,INDEX('calcA'!$D$180:$EQ$219,$B30,47)*4000,0)-IF(AND('calcA'!AW$117=1,VU30&gt;0),2000,0)-IF(AND($U30=1,'calcA'!AX$117=1,EW30=0),2000,0))),1000000000))</f>
        <v/>
      </c>
      <c r="QA30">
        <f>IF($B30=0,1000000000,IF(INDEX('calcA'!$D$60:$EQ$99,$B30,48)*IF($W30=1,EW30+ABL30,EW30)=1,IF(AND($E30=2,IF($W30=1,AHA30,KL30)=0),1000000000,IF($V30=1,INDEX('calcA'!$D$130:$EQ$169,$B30,48)+IF(AND($E30=1,KL30=0),25,0),IF($F30&gt;0,INDEX('calcA'!AY$110:AY$114,$F30+1)+IF(AND($E30=1,KL30=0),1000,0),MIN(TV30,20)*400+(IF('calcA'!AX$106=1,1-EV30,0))*150+242+'calcA'!AY$5*100000+IF(AND($E30=1,KL30=0),50000,0))+IF($H30=1,INDEX('calcA'!$D$180:$EQ$219,$B30,48)*4000,0)-IF(AND('calcA'!AX$117=1,VV30&gt;0),2000,0))),1000000000))</f>
        <v/>
      </c>
      <c r="QB30">
        <f>IF($B30=0,1000000000,IF(INDEX('calcA'!$D$60:$EQ$99,$B30,49)*IF($W30=1,EX30+ABM30,EX30)=1,IF(AND($E30=2,IF($W30=1,AHB30,KM30)=0),1000000000,IF($V30=1,INDEX('calcA'!$D$130:$EQ$169,$B30,49)+IF(AND($E30=1,KM30=0),25,0),IF($F30&gt;0,INDEX('calcA'!AZ$110:AZ$114,$F30+1)+IF(AND($E30=1,KM30=0),1000,0),MIN(TW30,20)*400+(IF('calcA'!AZ$106=1,1-EY30,0))*150+13+'calcA'!AZ$5*100000+IF(AND($E30=1,KM30=0),50000,0))+IF($H30=1,INDEX('calcA'!$D$180:$EQ$219,$B30,49)*4000,0)-IF(AND($U30=1,'calcA'!AZ$117=1,EY30=0),2000,0))),1000000000))</f>
        <v/>
      </c>
      <c r="QC30">
        <f>IF($B30=0,1000000000,IF(INDEX('calcA'!$D$60:$EQ$99,$B30,50)*IF($W30=1,EY30+ABN30,EY30)=1,IF(AND($E30=2,IF($W30=1,AHC30,KN30)=0),1000000000,IF($V30=1,INDEX('calcA'!$D$130:$EQ$169,$B30,50)+IF(AND($E30=1,KN30=0),25,0),IF($F30&gt;0,INDEX('calcA'!BA$110:BA$114,$F30+1)+IF(AND($E30=1,KN30=0),1000,0),MIN(TW30,20)*400+(IF('calcA'!AZ$106=1,1-EX30,0)+IF('calcA'!BA$106=1,1-EZ30,0))*150+23+'calcA'!BA$5*100000+IF(AND($E30=1,KN30=0),50000,0))+IF($H30=1,INDEX('calcA'!$D$180:$EQ$219,$B30,50)*4000,0)-IF(AND('calcA'!AZ$117=1,VX30&gt;0),2000,0)-IF(AND($U30=1,'calcA'!BA$117=1,EZ30=0),2000,0))),1000000000))</f>
        <v/>
      </c>
      <c r="QD30">
        <f>IF($B30=0,1000000000,IF(INDEX('calcA'!$D$60:$EQ$99,$B30,51)*IF($W30=1,EZ30+ABO30,EZ30)=1,IF(AND($E30=2,IF($W30=1,AHD30,KO30)=0),1000000000,IF($V30=1,INDEX('calcA'!$D$130:$EQ$169,$B30,51)+IF(AND($E30=1,KO30=0),25,0),IF($F30&gt;0,INDEX('calcA'!BB$110:BB$114,$F30+1)+IF(AND($E30=1,KO30=0),1000,0),MIN(TW30,20)*400+(IF('calcA'!BA$106=1,1-EY30,0)+IF('calcA'!BB$106=1,1-FA30,0))*150+33+'calcA'!BB$5*100000+IF(AND($E30=1,KO30=0),50000,0))+IF($H30=1,INDEX('calcA'!$D$180:$EQ$219,$B30,51)*4000,0)-IF(AND('calcA'!BA$117=1,VY30&gt;0),2000,0)-IF(AND($U30=1,'calcA'!BB$117=1,FA30=0),2000,0))),1000000000))</f>
        <v/>
      </c>
      <c r="QE30">
        <f>IF($B30=0,1000000000,IF(INDEX('calcA'!$D$60:$EQ$99,$B30,52)*IF($W30=1,FA30+ABP30,FA30)=1,IF(AND($E30=2,IF($W30=1,AHE30,KP30)=0),1000000000,IF($V30=1,INDEX('calcA'!$D$130:$EQ$169,$B30,52)+IF(AND($E30=1,KP30=0),25,0),IF($F30&gt;0,INDEX('calcA'!BC$110:BC$114,$F30+1)+IF(AND($E30=1,KP30=0),1000,0),MIN(TW30,20)*400+(IF('calcA'!BB$106=1,1-EZ30,0)+IF('calcA'!BC$106=1,1-FB30,0))*150+43+'calcA'!BC$5*100000+IF(AND($E30=1,KP30=0),50000,0))+IF($H30=1,INDEX('calcA'!$D$180:$EQ$219,$B30,52)*4000,0)-IF(AND('calcA'!BB$117=1,VZ30&gt;0),2000,0)-IF(AND($U30=1,'calcA'!BC$117=1,FB30=0),2000,0))),1000000000))</f>
        <v/>
      </c>
      <c r="QF30">
        <f>IF($B30=0,1000000000,IF(INDEX('calcA'!$D$60:$EQ$99,$B30,53)*IF($W30=1,FB30+ABQ30,FB30)=1,IF(AND($E30=2,IF($W30=1,AHF30,KQ30)=0),1000000000,IF($V30=1,INDEX('calcA'!$D$130:$EQ$169,$B30,53)+IF(AND($E30=1,KQ30=0),25,0),IF($F30&gt;0,INDEX('calcA'!BD$110:BD$114,$F30+1)+IF(AND($E30=1,KQ30=0),1000,0),MIN(TW30,20)*400+(IF('calcA'!BC$106=1,1-FA30,0)+IF('calcA'!BD$106=1,1-FC30,0))*150+53+'calcA'!BD$5*100000+IF(AND($E30=1,KQ30=0),50000,0))+IF($H30=1,INDEX('calcA'!$D$180:$EQ$219,$B30,53)*4000,0)-IF(AND('calcA'!BC$117=1,WA30&gt;0),2000,0)-IF(AND($U30=1,'calcA'!BD$117=1,FC30=0),2000,0))),1000000000))</f>
        <v/>
      </c>
      <c r="QG30">
        <f>IF($B30=0,1000000000,IF(INDEX('calcA'!$D$60:$EQ$99,$B30,54)*IF($W30=1,FC30+ABR30,FC30)=1,IF(AND($E30=2,IF($W30=1,AHG30,KR30)=0),1000000000,IF($V30=1,INDEX('calcA'!$D$130:$EQ$169,$B30,54)+IF(AND($E30=1,KR30=0),25,0),IF($F30&gt;0,INDEX('calcA'!BE$110:BE$114,$F30+1)+IF(AND($E30=1,KR30=0),1000,0),MIN(TW30,20)*400+(IF('calcA'!BD$106=1,1-FB30,0)+IF('calcA'!BE$106=1,1-FD30,0))*150+63+'calcA'!BE$5*100000+IF(AND($E30=1,KR30=0),50000,0))+IF($H30=1,INDEX('calcA'!$D$180:$EQ$219,$B30,54)*4000,0)-IF(AND('calcA'!BD$117=1,WB30&gt;0),2000,0)-IF(AND($U30=1,'calcA'!BE$117=1,FD30=0),2000,0))),1000000000))</f>
        <v/>
      </c>
      <c r="QH30">
        <f>IF($B30=0,1000000000,IF(INDEX('calcA'!$D$60:$EQ$99,$B30,55)*IF($W30=1,FD30+ABS30,FD30)=1,IF(AND($E30=2,IF($W30=1,AHH30,KS30)=0),1000000000,IF($V30=1,INDEX('calcA'!$D$130:$EQ$169,$B30,55)+IF(AND($E30=1,KS30=0),25,0),IF($F30&gt;0,INDEX('calcA'!BF$110:BF$114,$F30+1)+IF(AND($E30=1,KS30=0),1000,0),MIN(TW30,20)*400+(IF('calcA'!BE$106=1,1-FC30,0)+IF('calcA'!BF$106=1,1-FE30,0))*150+73+'calcA'!BF$5*100000+IF(AND($E30=1,KS30=0),50000,0))+IF($H30=1,INDEX('calcA'!$D$180:$EQ$219,$B30,55)*4000,0)-IF(AND('calcA'!BE$117=1,WC30&gt;0),2000,0)-IF(AND($U30=1,'calcA'!BF$117=1,FE30=0),2000,0))),1000000000))</f>
        <v/>
      </c>
      <c r="QI30">
        <f>IF($B30=0,1000000000,IF(INDEX('calcA'!$D$60:$EQ$99,$B30,56)*IF($W30=1,FE30+ABT30,FE30)=1,IF(AND($E30=2,IF($W30=1,AHI30,KT30)=0),1000000000,IF($V30=1,INDEX('calcA'!$D$130:$EQ$169,$B30,56)+IF(AND($E30=1,KT30=0),25,0),IF($F30&gt;0,INDEX('calcA'!BG$110:BG$114,$F30+1)+IF(AND($E30=1,KT30=0),1000,0),MIN(TW30,20)*400+(IF('calcA'!BF$106=1,1-FD30,0)+IF('calcA'!BG$106=1,1-FF30,0))*150+83+'calcA'!BG$5*100000+IF(AND($E30=1,KT30=0),50000,0))+IF($H30=1,INDEX('calcA'!$D$180:$EQ$219,$B30,56)*4000,0)-IF(AND('calcA'!BF$117=1,WD30&gt;0),2000,0)-IF(AND($U30=1,'calcA'!BG$117=1,FF30=0),2000,0))),1000000000))</f>
        <v/>
      </c>
      <c r="QJ30">
        <f>IF($B30=0,1000000000,IF(INDEX('calcA'!$D$60:$EQ$99,$B30,57)*IF($W30=1,FF30+ABU30,FF30)=1,IF(AND($E30=2,IF($W30=1,AHJ30,KU30)=0),1000000000,IF($V30=1,INDEX('calcA'!$D$130:$EQ$169,$B30,57)+IF(AND($E30=1,KU30=0),25,0),IF($F30&gt;0,INDEX('calcA'!BH$110:BH$114,$F30+1)+IF(AND($E30=1,KU30=0),1000,0),MIN(TW30,20)*400+(IF('calcA'!BG$106=1,1-FE30,0)+IF('calcA'!BH$106=1,1-FG30,0))*150+93+'calcA'!BH$5*100000+IF(AND($E30=1,KU30=0),50000,0))+IF($H30=1,INDEX('calcA'!$D$180:$EQ$219,$B30,57)*4000,0)-IF(AND('calcA'!BG$117=1,WE30&gt;0),2000,0)-IF(AND($U30=1,'calcA'!BH$117=1,FG30=0),2000,0))),1000000000))</f>
        <v/>
      </c>
      <c r="QK30">
        <f>IF($B30=0,1000000000,IF(INDEX('calcA'!$D$60:$EQ$99,$B30,58)*IF($W30=1,FG30+ABV30,FG30)=1,IF(AND($E30=2,IF($W30=1,AHK30,KV30)=0),1000000000,IF($V30=1,INDEX('calcA'!$D$130:$EQ$169,$B30,58)+IF(AND($E30=1,KV30=0),25,0),IF($F30&gt;0,INDEX('calcA'!BI$110:BI$114,$F30+1)+IF(AND($E30=1,KV30=0),1000,0),MIN(TW30,20)*400+(IF('calcA'!BH$106=1,1-FF30,0)+IF('calcA'!BI$106=1,1-FH30,0))*150+103+'calcA'!BI$5*100000+IF(AND($E30=1,KV30=0),50000,0))+IF($H30=1,INDEX('calcA'!$D$180:$EQ$219,$B30,58)*4000,0)-IF(AND('calcA'!BH$117=1,WF30&gt;0),2000,0)-IF(AND($U30=1,'calcA'!BI$117=1,FH30=0),2000,0))),1000000000))</f>
        <v/>
      </c>
      <c r="QL30">
        <f>IF($B30=0,1000000000,IF(INDEX('calcA'!$D$60:$EQ$99,$B30,59)*IF($W30=1,FH30+ABW30,FH30)=1,IF(AND($E30=2,IF($W30=1,AHL30,KW30)=0),1000000000,IF($V30=1,INDEX('calcA'!$D$130:$EQ$169,$B30,59)+IF(AND($E30=1,KW30=0),25,0),IF($F30&gt;0,INDEX('calcA'!BJ$110:BJ$114,$F30+1)+IF(AND($E30=1,KW30=0),1000,0),MIN(TW30,20)*400+(IF('calcA'!BI$106=1,1-FG30,0)+IF('calcA'!BJ$106=1,1-FI30,0))*150+113+'calcA'!BJ$5*100000+IF(AND($E30=1,KW30=0),50000,0))+IF($H30=1,INDEX('calcA'!$D$180:$EQ$219,$B30,59)*4000,0)-IF(AND('calcA'!BI$117=1,WG30&gt;0),2000,0)-IF(AND($U30=1,'calcA'!BJ$117=1,FI30=0),2000,0))),1000000000))</f>
        <v/>
      </c>
      <c r="QM30">
        <f>IF($B30=0,1000000000,IF(INDEX('calcA'!$D$60:$EQ$99,$B30,60)*IF($W30=1,FI30+ABX30,FI30)=1,IF(AND($E30=2,IF($W30=1,AHM30,KX30)=0),1000000000,IF($V30=1,INDEX('calcA'!$D$130:$EQ$169,$B30,60)+IF(AND($E30=1,KX30=0),25,0),IF($F30&gt;0,INDEX('calcA'!BK$110:BK$114,$F30+1)+IF(AND($E30=1,KX30=0),1000,0),MIN(TW30,20)*400+(IF('calcA'!BJ$106=1,1-FH30,0)+IF('calcA'!BK$106=1,1-FJ30,0))*150+123+'calcA'!BK$5*100000+IF(AND($E30=1,KX30=0),50000,0))+IF($H30=1,INDEX('calcA'!$D$180:$EQ$219,$B30,60)*4000,0)-IF(AND('calcA'!BJ$117=1,WH30&gt;0),2000,0)-IF(AND($U30=1,'calcA'!BK$117=1,FJ30=0),2000,0))),1000000000))</f>
        <v/>
      </c>
      <c r="QN30">
        <f>IF($B30=0,1000000000,IF(INDEX('calcA'!$D$60:$EQ$99,$B30,61)*IF($W30=1,FJ30+ABY30,FJ30)=1,IF(AND($E30=2,IF($W30=1,AHN30,KY30)=0),1000000000,IF($V30=1,INDEX('calcA'!$D$130:$EQ$169,$B30,61)+IF(AND($E30=1,KY30=0),25,0),IF($F30&gt;0,INDEX('calcA'!BL$110:BL$114,$F30+1)+IF(AND($E30=1,KY30=0),1000,0),MIN(TW30,20)*400+(IF('calcA'!BK$106=1,1-FI30,0)+IF('calcA'!BL$106=1,1-FK30,0))*150+133+'calcA'!BL$5*100000+IF(AND($E30=1,KY30=0),50000,0))+IF($H30=1,INDEX('calcA'!$D$180:$EQ$219,$B30,61)*4000,0)-IF(AND('calcA'!BK$117=1,WI30&gt;0),2000,0)-IF(AND($U30=1,'calcA'!BL$117=1,FK30=0),2000,0))),1000000000))</f>
        <v/>
      </c>
      <c r="QO30">
        <f>IF($B30=0,1000000000,IF(INDEX('calcA'!$D$60:$EQ$99,$B30,62)*IF($W30=1,FK30+ABZ30,FK30)=1,IF(AND($E30=2,IF($W30=1,AHO30,KZ30)=0),1000000000,IF($V30=1,INDEX('calcA'!$D$130:$EQ$169,$B30,62)+IF(AND($E30=1,KZ30=0),25,0),IF($F30&gt;0,INDEX('calcA'!BM$110:BM$114,$F30+1)+IF(AND($E30=1,KZ30=0),1000,0),MIN(TW30,20)*400+(IF('calcA'!BL$106=1,1-FJ30,0)+IF('calcA'!BM$106=1,1-FL30,0))*150+143+'calcA'!BM$5*100000+IF(AND($E30=1,KZ30=0),50000,0))+IF($H30=1,INDEX('calcA'!$D$180:$EQ$219,$B30,62)*4000,0)-IF(AND('calcA'!BL$117=1,WJ30&gt;0),2000,0)-IF(AND($U30=1,'calcA'!BM$117=1,FL30=0),2000,0))),1000000000))</f>
        <v/>
      </c>
      <c r="QP30">
        <f>IF($B30=0,1000000000,IF(INDEX('calcA'!$D$60:$EQ$99,$B30,63)*IF($W30=1,FL30+ACA30,FL30)=1,IF(AND($E30=2,IF($W30=1,AHP30,LA30)=0),1000000000,IF($V30=1,INDEX('calcA'!$D$130:$EQ$169,$B30,63)+IF(AND($E30=1,LA30=0),25,0),IF($F30&gt;0,INDEX('calcA'!BN$110:BN$114,$F30+1)+IF(AND($E30=1,LA30=0),1000,0),MIN(TW30,20)*400+(IF('calcA'!BM$106=1,1-FK30,0)+IF('calcA'!BN$106=1,1-FM30,0))*150+153+'calcA'!BN$5*100000+IF(AND($E30=1,LA30=0),50000,0))+IF($H30=1,INDEX('calcA'!$D$180:$EQ$219,$B30,63)*4000,0)-IF(AND('calcA'!BM$117=1,WK30&gt;0),2000,0)-IF(AND($U30=1,'calcA'!BN$117=1,FM30=0),2000,0))),1000000000))</f>
        <v/>
      </c>
      <c r="QQ30">
        <f>IF($B30=0,1000000000,IF(INDEX('calcA'!$D$60:$EQ$99,$B30,64)*IF($W30=1,FM30+ACB30,FM30)=1,IF(AND($E30=2,IF($W30=1,AHQ30,LB30)=0),1000000000,IF($V30=1,INDEX('calcA'!$D$130:$EQ$169,$B30,64)+IF(AND($E30=1,LB30=0),25,0),IF($F30&gt;0,INDEX('calcA'!BO$110:BO$114,$F30+1)+IF(AND($E30=1,LB30=0),1000,0),MIN(TW30,20)*400+(IF('calcA'!BN$106=1,1-FL30,0)+IF('calcA'!BO$106=1,1-FN30,0))*150+163+'calcA'!BO$5*100000+IF(AND($E30=1,LB30=0),50000,0))+IF($H30=1,INDEX('calcA'!$D$180:$EQ$219,$B30,64)*4000,0)-IF(AND('calcA'!BN$117=1,WL30&gt;0),2000,0)-IF(AND($U30=1,'calcA'!BO$117=1,FN30=0),2000,0))),1000000000))</f>
        <v/>
      </c>
      <c r="QR30">
        <f>IF($B30=0,1000000000,IF(INDEX('calcA'!$D$60:$EQ$99,$B30,65)*IF($W30=1,FN30+ACC30,FN30)=1,IF(AND($E30=2,IF($W30=1,AHR30,LC30)=0),1000000000,IF($V30=1,INDEX('calcA'!$D$130:$EQ$169,$B30,65)+IF(AND($E30=1,LC30=0),25,0),IF($F30&gt;0,INDEX('calcA'!BP$110:BP$114,$F30+1)+IF(AND($E30=1,LC30=0),1000,0),MIN(TW30,20)*400+(IF('calcA'!BO$106=1,1-FM30,0)+IF('calcA'!BP$106=1,1-FO30,0))*150+173+'calcA'!BP$5*100000+IF(AND($E30=1,LC30=0),50000,0))+IF($H30=1,INDEX('calcA'!$D$180:$EQ$219,$B30,65)*4000,0)-IF(AND('calcA'!BO$117=1,WM30&gt;0),2000,0)-IF(AND($U30=1,'calcA'!BP$117=1,FO30=0),2000,0))),1000000000))</f>
        <v/>
      </c>
      <c r="QS30">
        <f>IF($B30=0,1000000000,IF(INDEX('calcA'!$D$60:$EQ$99,$B30,66)*IF($W30=1,FO30+ACD30,FO30)=1,IF(AND($E30=2,IF($W30=1,AHS30,LD30)=0),1000000000,IF($V30=1,INDEX('calcA'!$D$130:$EQ$169,$B30,66)+IF(AND($E30=1,LD30=0),25,0),IF($F30&gt;0,INDEX('calcA'!BQ$110:BQ$114,$F30+1)+IF(AND($E30=1,LD30=0),1000,0),MIN(TW30,20)*400+(IF('calcA'!BP$106=1,1-FN30,0)+IF('calcA'!BQ$106=1,1-FP30,0))*150+183+'calcA'!BQ$5*100000+IF(AND($E30=1,LD30=0),50000,0))+IF($H30=1,INDEX('calcA'!$D$180:$EQ$219,$B30,66)*4000,0)-IF(AND('calcA'!BP$117=1,WN30&gt;0),2000,0)-IF(AND($U30=1,'calcA'!BQ$117=1,FP30=0),2000,0))),1000000000))</f>
        <v/>
      </c>
      <c r="QT30">
        <f>IF($B30=0,1000000000,IF(INDEX('calcA'!$D$60:$EQ$99,$B30,67)*IF($W30=1,FP30+ACE30,FP30)=1,IF(AND($E30=2,IF($W30=1,AHT30,LE30)=0),1000000000,IF($V30=1,INDEX('calcA'!$D$130:$EQ$169,$B30,67)+IF(AND($E30=1,LE30=0),25,0),IF($F30&gt;0,INDEX('calcA'!BR$110:BR$114,$F30+1)+IF(AND($E30=1,LE30=0),1000,0),MIN(TW30,20)*400+(IF('calcA'!BQ$106=1,1-FO30,0)+IF('calcA'!BR$106=1,1-FQ30,0))*150+193+'calcA'!BR$5*100000+IF(AND($E30=1,LE30=0),50000,0))+IF($H30=1,INDEX('calcA'!$D$180:$EQ$219,$B30,67)*4000,0)-IF(AND('calcA'!BQ$117=1,WO30&gt;0),2000,0)-IF(AND($U30=1,'calcA'!BR$117=1,FQ30=0),2000,0))),1000000000))</f>
        <v/>
      </c>
      <c r="QU30">
        <f>IF($B30=0,1000000000,IF(INDEX('calcA'!$D$60:$EQ$99,$B30,68)*IF($W30=1,FQ30+ACF30,FQ30)=1,IF(AND($E30=2,IF($W30=1,AHU30,LF30)=0),1000000000,IF($V30=1,INDEX('calcA'!$D$130:$EQ$169,$B30,68)+IF(AND($E30=1,LF30=0),25,0),IF($F30&gt;0,INDEX('calcA'!BS$110:BS$114,$F30+1)+IF(AND($E30=1,LF30=0),1000,0),MIN(TW30,20)*400+(IF('calcA'!BR$106=1,1-FP30,0)+IF('calcA'!BS$106=1,1-FR30,0))*150+203+'calcA'!BS$5*100000+IF(AND($E30=1,LF30=0),50000,0))+IF($H30=1,INDEX('calcA'!$D$180:$EQ$219,$B30,68)*4000,0)-IF(AND('calcA'!BR$117=1,WP30&gt;0),2000,0)-IF(AND($U30=1,'calcA'!BS$117=1,FR30=0),2000,0))),1000000000))</f>
        <v/>
      </c>
      <c r="QV30">
        <f>IF($B30=0,1000000000,IF(INDEX('calcA'!$D$60:$EQ$99,$B30,69)*IF($W30=1,FR30+ACG30,FR30)=1,IF(AND($E30=2,IF($W30=1,AHV30,LG30)=0),1000000000,IF($V30=1,INDEX('calcA'!$D$130:$EQ$169,$B30,69)+IF(AND($E30=1,LG30=0),25,0),IF($F30&gt;0,INDEX('calcA'!BT$110:BT$114,$F30+1)+IF(AND($E30=1,LG30=0),1000,0),MIN(TW30,20)*400+(IF('calcA'!BS$106=1,1-FQ30,0)+IF('calcA'!BT$106=1,1-FS30,0))*150+213+'calcA'!BT$5*100000+IF(AND($E30=1,LG30=0),50000,0))+IF($H30=1,INDEX('calcA'!$D$180:$EQ$219,$B30,69)*4000,0)-IF(AND('calcA'!BS$117=1,WQ30&gt;0),2000,0)-IF(AND($U30=1,'calcA'!BT$117=1,FS30=0),2000,0))),1000000000))</f>
        <v/>
      </c>
      <c r="QW30">
        <f>IF($B30=0,1000000000,IF(INDEX('calcA'!$D$60:$EQ$99,$B30,70)*IF($W30=1,FS30+ACH30,FS30)=1,IF(AND($E30=2,IF($W30=1,AHW30,LH30)=0),1000000000,IF($V30=1,INDEX('calcA'!$D$130:$EQ$169,$B30,70)+IF(AND($E30=1,LH30=0),25,0),IF($F30&gt;0,INDEX('calcA'!BU$110:BU$114,$F30+1)+IF(AND($E30=1,LH30=0),1000,0),MIN(TW30,20)*400+(IF('calcA'!BT$106=1,1-FR30,0)+IF('calcA'!BU$106=1,1-FT30,0))*150+223+'calcA'!BU$5*100000+IF(AND($E30=1,LH30=0),50000,0))+IF($H30=1,INDEX('calcA'!$D$180:$EQ$219,$B30,70)*4000,0)-IF(AND('calcA'!BT$117=1,WR30&gt;0),2000,0)-IF(AND($U30=1,'calcA'!BU$117=1,FT30=0),2000,0))),1000000000))</f>
        <v/>
      </c>
      <c r="QX30">
        <f>IF($B30=0,1000000000,IF(INDEX('calcA'!$D$60:$EQ$99,$B30,71)*IF($W30=1,FT30+ACI30,FT30)=1,IF(AND($E30=2,IF($W30=1,AHX30,LI30)=0),1000000000,IF($V30=1,INDEX('calcA'!$D$130:$EQ$169,$B30,71)+IF(AND($E30=1,LI30=0),25,0),IF($F30&gt;0,INDEX('calcA'!BV$110:BV$114,$F30+1)+IF(AND($E30=1,LI30=0),1000,0),MIN(TW30,20)*400+(IF('calcA'!BU$106=1,1-FS30,0)+IF('calcA'!BV$106=1,1-FU30,0))*150+233+'calcA'!BV$5*100000+IF(AND($E30=1,LI30=0),50000,0))+IF($H30=1,INDEX('calcA'!$D$180:$EQ$219,$B30,71)*4000,0)-IF(AND('calcA'!BU$117=1,WS30&gt;0),2000,0)-IF(AND($U30=1,'calcA'!BV$117=1,FU30=0),2000,0))),1000000000))</f>
        <v/>
      </c>
      <c r="QY30">
        <f>IF($B30=0,1000000000,IF(INDEX('calcA'!$D$60:$EQ$99,$B30,72)*IF($W30=1,FU30+ACJ30,FU30)=1,IF(AND($E30=2,IF($W30=1,AHY30,LJ30)=0),1000000000,IF($V30=1,INDEX('calcA'!$D$130:$EQ$169,$B30,72)+IF(AND($E30=1,LJ30=0),25,0),IF($F30&gt;0,INDEX('calcA'!BW$110:BW$114,$F30+1)+IF(AND($E30=1,LJ30=0),1000,0),MIN(TW30,20)*400+(IF('calcA'!BV$106=1,1-FT30,0))*150+243+'calcA'!BW$5*100000+IF(AND($E30=1,LJ30=0),50000,0))+IF($H30=1,INDEX('calcA'!$D$180:$EQ$219,$B30,72)*4000,0)-IF(AND('calcA'!BV$117=1,WT30&gt;0),2000,0))),1000000000))</f>
        <v/>
      </c>
      <c r="QZ30">
        <f>IF($B30=0,1000000000,IF(INDEX('calcA'!$D$60:$EQ$99,$B30,73)*IF($W30=1,FV30+ACK30,FV30)=1,IF(AND($E30=2,IF($W30=1,AHZ30,LK30)=0),1000000000,IF($V30=1,INDEX('calcA'!$D$130:$EQ$169,$B30,73)+IF(AND($E30=1,LK30=0),25,0),IF($F30&gt;0,INDEX('calcA'!BX$110:BX$114,$F30+1)+IF(AND($E30=1,LK30=0),1000,0),MIN(TX30,20)*400+(IF('calcA'!BX$106=1,1-FW30,0))*150+14+'calcA'!BX$5*100000+IF(AND($E30=1,LK30=0),50000,0))+IF($H30=1,INDEX('calcA'!$D$180:$EQ$219,$B30,73)*4000,0)-IF(AND($U30=1,'calcA'!BX$117=1,FW30=0),2000,0))),1000000000))</f>
        <v/>
      </c>
      <c r="RA30">
        <f>IF($B30=0,1000000000,IF(INDEX('calcA'!$D$60:$EQ$99,$B30,74)*IF($W30=1,FW30+ACL30,FW30)=1,IF(AND($E30=2,IF($W30=1,AIA30,LL30)=0),1000000000,IF($V30=1,INDEX('calcA'!$D$130:$EQ$169,$B30,74)+IF(AND($E30=1,LL30=0),25,0),IF($F30&gt;0,INDEX('calcA'!BY$110:BY$114,$F30+1)+IF(AND($E30=1,LL30=0),1000,0),MIN(TX30,20)*400+(IF('calcA'!BX$106=1,1-FV30,0)+IF('calcA'!BY$106=1,1-FX30,0))*150+24+'calcA'!BY$5*100000+IF(AND($E30=1,LL30=0),50000,0))+IF($H30=1,INDEX('calcA'!$D$180:$EQ$219,$B30,74)*4000,0)-IF(AND('calcA'!BX$117=1,WV30&gt;0),2000,0)-IF(AND($U30=1,'calcA'!BY$117=1,FX30=0),2000,0))),1000000000))</f>
        <v/>
      </c>
      <c r="RB30">
        <f>IF($B30=0,1000000000,IF(INDEX('calcA'!$D$60:$EQ$99,$B30,75)*IF($W30=1,FX30+ACM30,FX30)=1,IF(AND($E30=2,IF($W30=1,AIB30,LM30)=0),1000000000,IF($V30=1,INDEX('calcA'!$D$130:$EQ$169,$B30,75)+IF(AND($E30=1,LM30=0),25,0),IF($F30&gt;0,INDEX('calcA'!BZ$110:BZ$114,$F30+1)+IF(AND($E30=1,LM30=0),1000,0),MIN(TX30,20)*400+(IF('calcA'!BY$106=1,1-FW30,0)+IF('calcA'!BZ$106=1,1-FY30,0))*150+34+'calcA'!BZ$5*100000+IF(AND($E30=1,LM30=0),50000,0))+IF($H30=1,INDEX('calcA'!$D$180:$EQ$219,$B30,75)*4000,0)-IF(AND('calcA'!BY$117=1,WW30&gt;0),2000,0)-IF(AND($U30=1,'calcA'!BZ$117=1,FY30=0),2000,0))),1000000000))</f>
        <v/>
      </c>
      <c r="RC30">
        <f>IF($B30=0,1000000000,IF(INDEX('calcA'!$D$60:$EQ$99,$B30,76)*IF($W30=1,FY30+ACN30,FY30)=1,IF(AND($E30=2,IF($W30=1,AIC30,LN30)=0),1000000000,IF($V30=1,INDEX('calcA'!$D$130:$EQ$169,$B30,76)+IF(AND($E30=1,LN30=0),25,0),IF($F30&gt;0,INDEX('calcA'!CA$110:CA$114,$F30+1)+IF(AND($E30=1,LN30=0),1000,0),MIN(TX30,20)*400+(IF('calcA'!BZ$106=1,1-FX30,0)+IF('calcA'!CA$106=1,1-FZ30,0))*150+44+'calcA'!CA$5*100000+IF(AND($E30=1,LN30=0),50000,0))+IF($H30=1,INDEX('calcA'!$D$180:$EQ$219,$B30,76)*4000,0)-IF(AND('calcA'!BZ$117=1,WX30&gt;0),2000,0)-IF(AND($U30=1,'calcA'!CA$117=1,FZ30=0),2000,0))),1000000000))</f>
        <v/>
      </c>
      <c r="RD30">
        <f>IF($B30=0,1000000000,IF(INDEX('calcA'!$D$60:$EQ$99,$B30,77)*IF($W30=1,FZ30+ACO30,FZ30)=1,IF(AND($E30=2,IF($W30=1,AID30,LO30)=0),1000000000,IF($V30=1,INDEX('calcA'!$D$130:$EQ$169,$B30,77)+IF(AND($E30=1,LO30=0),25,0),IF($F30&gt;0,INDEX('calcA'!CB$110:CB$114,$F30+1)+IF(AND($E30=1,LO30=0),1000,0),MIN(TX30,20)*400+(IF('calcA'!CA$106=1,1-FY30,0)+IF('calcA'!CB$106=1,1-GA30,0))*150+54+'calcA'!CB$5*100000+IF(AND($E30=1,LO30=0),50000,0))+IF($H30=1,INDEX('calcA'!$D$180:$EQ$219,$B30,77)*4000,0)-IF(AND('calcA'!CA$117=1,WY30&gt;0),2000,0)-IF(AND($U30=1,'calcA'!CB$117=1,GA30=0),2000,0))),1000000000))</f>
        <v/>
      </c>
      <c r="RE30">
        <f>IF($B30=0,1000000000,IF(INDEX('calcA'!$D$60:$EQ$99,$B30,78)*IF($W30=1,GA30+ACP30,GA30)=1,IF(AND($E30=2,IF($W30=1,AIE30,LP30)=0),1000000000,IF($V30=1,INDEX('calcA'!$D$130:$EQ$169,$B30,78)+IF(AND($E30=1,LP30=0),25,0),IF($F30&gt;0,INDEX('calcA'!CC$110:CC$114,$F30+1)+IF(AND($E30=1,LP30=0),1000,0),MIN(TX30,20)*400+(IF('calcA'!CB$106=1,1-FZ30,0)+IF('calcA'!CC$106=1,1-GB30,0))*150+64+'calcA'!CC$5*100000+IF(AND($E30=1,LP30=0),50000,0))+IF($H30=1,INDEX('calcA'!$D$180:$EQ$219,$B30,78)*4000,0)-IF(AND('calcA'!CB$117=1,WZ30&gt;0),2000,0)-IF(AND($U30=1,'calcA'!CC$117=1,GB30=0),2000,0))),1000000000))</f>
        <v/>
      </c>
      <c r="RF30">
        <f>IF($B30=0,1000000000,IF(INDEX('calcA'!$D$60:$EQ$99,$B30,79)*IF($W30=1,GB30+ACQ30,GB30)=1,IF(AND($E30=2,IF($W30=1,AIF30,LQ30)=0),1000000000,IF($V30=1,INDEX('calcA'!$D$130:$EQ$169,$B30,79)+IF(AND($E30=1,LQ30=0),25,0),IF($F30&gt;0,INDEX('calcA'!CD$110:CD$114,$F30+1)+IF(AND($E30=1,LQ30=0),1000,0),MIN(TX30,20)*400+(IF('calcA'!CC$106=1,1-GA30,0)+IF('calcA'!CD$106=1,1-GC30,0))*150+74+'calcA'!CD$5*100000+IF(AND($E30=1,LQ30=0),50000,0))+IF($H30=1,INDEX('calcA'!$D$180:$EQ$219,$B30,79)*4000,0)-IF(AND('calcA'!CC$117=1,XA30&gt;0),2000,0)-IF(AND($U30=1,'calcA'!CD$117=1,GC30=0),2000,0))),1000000000))</f>
        <v/>
      </c>
      <c r="RG30">
        <f>IF($B30=0,1000000000,IF(INDEX('calcA'!$D$60:$EQ$99,$B30,80)*IF($W30=1,GC30+ACR30,GC30)=1,IF(AND($E30=2,IF($W30=1,AIG30,LR30)=0),1000000000,IF($V30=1,INDEX('calcA'!$D$130:$EQ$169,$B30,80)+IF(AND($E30=1,LR30=0),25,0),IF($F30&gt;0,INDEX('calcA'!CE$110:CE$114,$F30+1)+IF(AND($E30=1,LR30=0),1000,0),MIN(TX30,20)*400+(IF('calcA'!CD$106=1,1-GB30,0)+IF('calcA'!CE$106=1,1-GD30,0))*150+84+'calcA'!CE$5*100000+IF(AND($E30=1,LR30=0),50000,0))+IF($H30=1,INDEX('calcA'!$D$180:$EQ$219,$B30,80)*4000,0)-IF(AND('calcA'!CD$117=1,XB30&gt;0),2000,0)-IF(AND($U30=1,'calcA'!CE$117=1,GD30=0),2000,0))),1000000000))</f>
        <v/>
      </c>
      <c r="RH30">
        <f>IF($B30=0,1000000000,IF(INDEX('calcA'!$D$60:$EQ$99,$B30,81)*IF($W30=1,GD30+ACS30,GD30)=1,IF(AND($E30=2,IF($W30=1,AIH30,LS30)=0),1000000000,IF($V30=1,INDEX('calcA'!$D$130:$EQ$169,$B30,81)+IF(AND($E30=1,LS30=0),25,0),IF($F30&gt;0,INDEX('calcA'!CF$110:CF$114,$F30+1)+IF(AND($E30=1,LS30=0),1000,0),MIN(TX30,20)*400+(IF('calcA'!CE$106=1,1-GC30,0)+IF('calcA'!CF$106=1,1-GE30,0))*150+94+'calcA'!CF$5*100000+IF(AND($E30=1,LS30=0),50000,0))+IF($H30=1,INDEX('calcA'!$D$180:$EQ$219,$B30,81)*4000,0)-IF(AND('calcA'!CE$117=1,XC30&gt;0),2000,0)-IF(AND($U30=1,'calcA'!CF$117=1,GE30=0),2000,0))),1000000000))</f>
        <v/>
      </c>
      <c r="RI30">
        <f>IF($B30=0,1000000000,IF(INDEX('calcA'!$D$60:$EQ$99,$B30,82)*IF($W30=1,GE30+ACT30,GE30)=1,IF(AND($E30=2,IF($W30=1,AII30,LT30)=0),1000000000,IF($V30=1,INDEX('calcA'!$D$130:$EQ$169,$B30,82)+IF(AND($E30=1,LT30=0),25,0),IF($F30&gt;0,INDEX('calcA'!CG$110:CG$114,$F30+1)+IF(AND($E30=1,LT30=0),1000,0),MIN(TX30,20)*400+(IF('calcA'!CF$106=1,1-GD30,0)+IF('calcA'!CG$106=1,1-GF30,0))*150+104+'calcA'!CG$5*100000+IF(AND($E30=1,LT30=0),50000,0))+IF($H30=1,INDEX('calcA'!$D$180:$EQ$219,$B30,82)*4000,0)-IF(AND('calcA'!CF$117=1,XD30&gt;0),2000,0)-IF(AND($U30=1,'calcA'!CG$117=1,GF30=0),2000,0))),1000000000))</f>
        <v/>
      </c>
      <c r="RJ30">
        <f>IF($B30=0,1000000000,IF(INDEX('calcA'!$D$60:$EQ$99,$B30,83)*IF($W30=1,GF30+ACU30,GF30)=1,IF(AND($E30=2,IF($W30=1,AIJ30,LU30)=0),1000000000,IF($V30=1,INDEX('calcA'!$D$130:$EQ$169,$B30,83)+IF(AND($E30=1,LU30=0),25,0),IF($F30&gt;0,INDEX('calcA'!CH$110:CH$114,$F30+1)+IF(AND($E30=1,LU30=0),1000,0),MIN(TX30,20)*400+(IF('calcA'!CG$106=1,1-GE30,0)+IF('calcA'!CH$106=1,1-GG30,0))*150+114+'calcA'!CH$5*100000+IF(AND($E30=1,LU30=0),50000,0))+IF($H30=1,INDEX('calcA'!$D$180:$EQ$219,$B30,83)*4000,0)-IF(AND('calcA'!CG$117=1,XE30&gt;0),2000,0)-IF(AND($U30=1,'calcA'!CH$117=1,GG30=0),2000,0))),1000000000))</f>
        <v/>
      </c>
      <c r="RK30">
        <f>IF($B30=0,1000000000,IF(INDEX('calcA'!$D$60:$EQ$99,$B30,84)*IF($W30=1,GG30+ACV30,GG30)=1,IF(AND($E30=2,IF($W30=1,AIK30,LV30)=0),1000000000,IF($V30=1,INDEX('calcA'!$D$130:$EQ$169,$B30,84)+IF(AND($E30=1,LV30=0),25,0),IF($F30&gt;0,INDEX('calcA'!CI$110:CI$114,$F30+1)+IF(AND($E30=1,LV30=0),1000,0),MIN(TX30,20)*400+(IF('calcA'!CH$106=1,1-GF30,0)+IF('calcA'!CI$106=1,1-GH30,0))*150+124+'calcA'!CI$5*100000+IF(AND($E30=1,LV30=0),50000,0))+IF($H30=1,INDEX('calcA'!$D$180:$EQ$219,$B30,84)*4000,0)-IF(AND('calcA'!CH$117=1,XF30&gt;0),2000,0)-IF(AND($U30=1,'calcA'!CI$117=1,GH30=0),2000,0))),1000000000))</f>
        <v/>
      </c>
      <c r="RL30">
        <f>IF($B30=0,1000000000,IF(INDEX('calcA'!$D$60:$EQ$99,$B30,85)*IF($W30=1,GH30+ACW30,GH30)=1,IF(AND($E30=2,IF($W30=1,AIL30,LW30)=0),1000000000,IF($V30=1,INDEX('calcA'!$D$130:$EQ$169,$B30,85)+IF(AND($E30=1,LW30=0),25,0),IF($F30&gt;0,INDEX('calcA'!CJ$110:CJ$114,$F30+1)+IF(AND($E30=1,LW30=0),1000,0),MIN(TX30,20)*400+(IF('calcA'!CI$106=1,1-GG30,0)+IF('calcA'!CJ$106=1,1-GI30,0))*150+134+'calcA'!CJ$5*100000+IF(AND($E30=1,LW30=0),50000,0))+IF($H30=1,INDEX('calcA'!$D$180:$EQ$219,$B30,85)*4000,0)-IF(AND('calcA'!CI$117=1,XG30&gt;0),2000,0)-IF(AND($U30=1,'calcA'!CJ$117=1,GI30=0),2000,0))),1000000000))</f>
        <v/>
      </c>
      <c r="RM30">
        <f>IF($B30=0,1000000000,IF(INDEX('calcA'!$D$60:$EQ$99,$B30,86)*IF($W30=1,GI30+ACX30,GI30)=1,IF(AND($E30=2,IF($W30=1,AIM30,LX30)=0),1000000000,IF($V30=1,INDEX('calcA'!$D$130:$EQ$169,$B30,86)+IF(AND($E30=1,LX30=0),25,0),IF($F30&gt;0,INDEX('calcA'!CK$110:CK$114,$F30+1)+IF(AND($E30=1,LX30=0),1000,0),MIN(TX30,20)*400+(IF('calcA'!CJ$106=1,1-GH30,0)+IF('calcA'!CK$106=1,1-GJ30,0))*150+144+'calcA'!CK$5*100000+IF(AND($E30=1,LX30=0),50000,0))+IF($H30=1,INDEX('calcA'!$D$180:$EQ$219,$B30,86)*4000,0)-IF(AND('calcA'!CJ$117=1,XH30&gt;0),2000,0)-IF(AND($U30=1,'calcA'!CK$117=1,GJ30=0),2000,0))),1000000000))</f>
        <v/>
      </c>
      <c r="RN30">
        <f>IF($B30=0,1000000000,IF(INDEX('calcA'!$D$60:$EQ$99,$B30,87)*IF($W30=1,GJ30+ACY30,GJ30)=1,IF(AND($E30=2,IF($W30=1,AIN30,LY30)=0),1000000000,IF($V30=1,INDEX('calcA'!$D$130:$EQ$169,$B30,87)+IF(AND($E30=1,LY30=0),25,0),IF($F30&gt;0,INDEX('calcA'!CL$110:CL$114,$F30+1)+IF(AND($E30=1,LY30=0),1000,0),MIN(TX30,20)*400+(IF('calcA'!CK$106=1,1-GI30,0)+IF('calcA'!CL$106=1,1-GK30,0))*150+154+'calcA'!CL$5*100000+IF(AND($E30=1,LY30=0),50000,0))+IF($H30=1,INDEX('calcA'!$D$180:$EQ$219,$B30,87)*4000,0)-IF(AND('calcA'!CK$117=1,XI30&gt;0),2000,0)-IF(AND($U30=1,'calcA'!CL$117=1,GK30=0),2000,0))),1000000000))</f>
        <v/>
      </c>
      <c r="RO30">
        <f>IF($B30=0,1000000000,IF(INDEX('calcA'!$D$60:$EQ$99,$B30,88)*IF($W30=1,GK30+ACZ30,GK30)=1,IF(AND($E30=2,IF($W30=1,AIO30,LZ30)=0),1000000000,IF($V30=1,INDEX('calcA'!$D$130:$EQ$169,$B30,88)+IF(AND($E30=1,LZ30=0),25,0),IF($F30&gt;0,INDEX('calcA'!CM$110:CM$114,$F30+1)+IF(AND($E30=1,LZ30=0),1000,0),MIN(TX30,20)*400+(IF('calcA'!CL$106=1,1-GJ30,0)+IF('calcA'!CM$106=1,1-GL30,0))*150+164+'calcA'!CM$5*100000+IF(AND($E30=1,LZ30=0),50000,0))+IF($H30=1,INDEX('calcA'!$D$180:$EQ$219,$B30,88)*4000,0)-IF(AND('calcA'!CL$117=1,XJ30&gt;0),2000,0)-IF(AND($U30=1,'calcA'!CM$117=1,GL30=0),2000,0))),1000000000))</f>
        <v/>
      </c>
      <c r="RP30">
        <f>IF($B30=0,1000000000,IF(INDEX('calcA'!$D$60:$EQ$99,$B30,89)*IF($W30=1,GL30+ADA30,GL30)=1,IF(AND($E30=2,IF($W30=1,AIP30,MA30)=0),1000000000,IF($V30=1,INDEX('calcA'!$D$130:$EQ$169,$B30,89)+IF(AND($E30=1,MA30=0),25,0),IF($F30&gt;0,INDEX('calcA'!CN$110:CN$114,$F30+1)+IF(AND($E30=1,MA30=0),1000,0),MIN(TX30,20)*400+(IF('calcA'!CM$106=1,1-GK30,0)+IF('calcA'!CN$106=1,1-GM30,0))*150+174+'calcA'!CN$5*100000+IF(AND($E30=1,MA30=0),50000,0))+IF($H30=1,INDEX('calcA'!$D$180:$EQ$219,$B30,89)*4000,0)-IF(AND('calcA'!CM$117=1,XK30&gt;0),2000,0)-IF(AND($U30=1,'calcA'!CN$117=1,GM30=0),2000,0))),1000000000))</f>
        <v/>
      </c>
      <c r="RQ30">
        <f>IF($B30=0,1000000000,IF(INDEX('calcA'!$D$60:$EQ$99,$B30,90)*IF($W30=1,GM30+ADB30,GM30)=1,IF(AND($E30=2,IF($W30=1,AIQ30,MB30)=0),1000000000,IF($V30=1,INDEX('calcA'!$D$130:$EQ$169,$B30,90)+IF(AND($E30=1,MB30=0),25,0),IF($F30&gt;0,INDEX('calcA'!CO$110:CO$114,$F30+1)+IF(AND($E30=1,MB30=0),1000,0),MIN(TX30,20)*400+(IF('calcA'!CN$106=1,1-GL30,0)+IF('calcA'!CO$106=1,1-GN30,0))*150+184+'calcA'!CO$5*100000+IF(AND($E30=1,MB30=0),50000,0))+IF($H30=1,INDEX('calcA'!$D$180:$EQ$219,$B30,90)*4000,0)-IF(AND('calcA'!CN$117=1,XL30&gt;0),2000,0)-IF(AND($U30=1,'calcA'!CO$117=1,GN30=0),2000,0))),1000000000))</f>
        <v/>
      </c>
      <c r="RR30">
        <f>IF($B30=0,1000000000,IF(INDEX('calcA'!$D$60:$EQ$99,$B30,91)*IF($W30=1,GN30+ADC30,GN30)=1,IF(AND($E30=2,IF($W30=1,AIR30,MC30)=0),1000000000,IF($V30=1,INDEX('calcA'!$D$130:$EQ$169,$B30,91)+IF(AND($E30=1,MC30=0),25,0),IF($F30&gt;0,INDEX('calcA'!CP$110:CP$114,$F30+1)+IF(AND($E30=1,MC30=0),1000,0),MIN(TX30,20)*400+(IF('calcA'!CO$106=1,1-GM30,0)+IF('calcA'!CP$106=1,1-GO30,0))*150+194+'calcA'!CP$5*100000+IF(AND($E30=1,MC30=0),50000,0))+IF($H30=1,INDEX('calcA'!$D$180:$EQ$219,$B30,91)*4000,0)-IF(AND('calcA'!CO$117=1,XM30&gt;0),2000,0)-IF(AND($U30=1,'calcA'!CP$117=1,GO30=0),2000,0))),1000000000))</f>
        <v/>
      </c>
      <c r="RS30">
        <f>IF($B30=0,1000000000,IF(INDEX('calcA'!$D$60:$EQ$99,$B30,92)*IF($W30=1,GO30+ADD30,GO30)=1,IF(AND($E30=2,IF($W30=1,AIS30,MD30)=0),1000000000,IF($V30=1,INDEX('calcA'!$D$130:$EQ$169,$B30,92)+IF(AND($E30=1,MD30=0),25,0),IF($F30&gt;0,INDEX('calcA'!CQ$110:CQ$114,$F30+1)+IF(AND($E30=1,MD30=0),1000,0),MIN(TX30,20)*400+(IF('calcA'!CP$106=1,1-GN30,0)+IF('calcA'!CQ$106=1,1-GP30,0))*150+204+'calcA'!CQ$5*100000+IF(AND($E30=1,MD30=0),50000,0))+IF($H30=1,INDEX('calcA'!$D$180:$EQ$219,$B30,92)*4000,0)-IF(AND('calcA'!CP$117=1,XN30&gt;0),2000,0)-IF(AND($U30=1,'calcA'!CQ$117=1,GP30=0),2000,0))),1000000000))</f>
        <v/>
      </c>
      <c r="RT30">
        <f>IF($B30=0,1000000000,IF(INDEX('calcA'!$D$60:$EQ$99,$B30,93)*IF($W30=1,GP30+ADE30,GP30)=1,IF(AND($E30=2,IF($W30=1,AIT30,ME30)=0),1000000000,IF($V30=1,INDEX('calcA'!$D$130:$EQ$169,$B30,93)+IF(AND($E30=1,ME30=0),25,0),IF($F30&gt;0,INDEX('calcA'!CR$110:CR$114,$F30+1)+IF(AND($E30=1,ME30=0),1000,0),MIN(TX30,20)*400+(IF('calcA'!CQ$106=1,1-GO30,0)+IF('calcA'!CR$106=1,1-GQ30,0))*150+214+'calcA'!CR$5*100000+IF(AND($E30=1,ME30=0),50000,0))+IF($H30=1,INDEX('calcA'!$D$180:$EQ$219,$B30,93)*4000,0)-IF(AND('calcA'!CQ$117=1,XO30&gt;0),2000,0)-IF(AND($U30=1,'calcA'!CR$117=1,GQ30=0),2000,0))),1000000000))</f>
        <v/>
      </c>
      <c r="RU30">
        <f>IF($B30=0,1000000000,IF(INDEX('calcA'!$D$60:$EQ$99,$B30,94)*IF($W30=1,GQ30+ADF30,GQ30)=1,IF(AND($E30=2,IF($W30=1,AIU30,MF30)=0),1000000000,IF($V30=1,INDEX('calcA'!$D$130:$EQ$169,$B30,94)+IF(AND($E30=1,MF30=0),25,0),IF($F30&gt;0,INDEX('calcA'!CS$110:CS$114,$F30+1)+IF(AND($E30=1,MF30=0),1000,0),MIN(TX30,20)*400+(IF('calcA'!CR$106=1,1-GP30,0)+IF('calcA'!CS$106=1,1-GR30,0))*150+224+'calcA'!CS$5*100000+IF(AND($E30=1,MF30=0),50000,0))+IF($H30=1,INDEX('calcA'!$D$180:$EQ$219,$B30,94)*4000,0)-IF(AND('calcA'!CR$117=1,XP30&gt;0),2000,0)-IF(AND($U30=1,'calcA'!CS$117=1,GR30=0),2000,0))),1000000000))</f>
        <v/>
      </c>
      <c r="RV30">
        <f>IF($B30=0,1000000000,IF(INDEX('calcA'!$D$60:$EQ$99,$B30,95)*IF($W30=1,GR30+ADG30,GR30)=1,IF(AND($E30=2,IF($W30=1,AIV30,MG30)=0),1000000000,IF($V30=1,INDEX('calcA'!$D$130:$EQ$169,$B30,95)+IF(AND($E30=1,MG30=0),25,0),IF($F30&gt;0,INDEX('calcA'!CT$110:CT$114,$F30+1)+IF(AND($E30=1,MG30=0),1000,0),MIN(TX30,20)*400+(IF('calcA'!CS$106=1,1-GQ30,0)+IF('calcA'!CT$106=1,1-GS30,0))*150+234+'calcA'!CT$5*100000+IF(AND($E30=1,MG30=0),50000,0))+IF($H30=1,INDEX('calcA'!$D$180:$EQ$219,$B30,95)*4000,0)-IF(AND('calcA'!CS$117=1,XQ30&gt;0),2000,0)-IF(AND($U30=1,'calcA'!CT$117=1,GS30=0),2000,0))),1000000000))</f>
        <v/>
      </c>
      <c r="RW30">
        <f>IF($B30=0,1000000000,IF(INDEX('calcA'!$D$60:$EQ$99,$B30,96)*IF($W30=1,GS30+ADH30,GS30)=1,IF(AND($E30=2,IF($W30=1,AIW30,MH30)=0),1000000000,IF($V30=1,INDEX('calcA'!$D$130:$EQ$169,$B30,96)+IF(AND($E30=1,MH30=0),25,0),IF($F30&gt;0,INDEX('calcA'!CU$110:CU$114,$F30+1)+IF(AND($E30=1,MH30=0),1000,0),MIN(TX30,20)*400+(IF('calcA'!CT$106=1,1-GR30,0))*150+244+'calcA'!CU$5*100000+IF(AND($E30=1,MH30=0),50000,0))+IF($H30=1,INDEX('calcA'!$D$180:$EQ$219,$B30,96)*4000,0)-IF(AND('calcA'!CT$117=1,XR30&gt;0),2000,0))),1000000000))</f>
        <v/>
      </c>
      <c r="RX30">
        <f>IF($B30=0,1000000000,IF(INDEX('calcA'!$D$60:$EQ$99,$B30,97)*IF($W30=1,GT30+ADI30,GT30)=1,IF(AND($E30=2,IF($W30=1,AIX30,MI30)=0),1000000000,IF($V30=1,INDEX('calcA'!$D$130:$EQ$169,$B30,97)+IF(AND($E30=1,MI30=0),25,0),IF($F30&gt;0,INDEX('calcA'!CV$110:CV$114,$F30+1)+IF(AND($E30=1,MI30=0),1000,0),MIN(TY30,20)*400+(IF('calcA'!CV$106=1,1-GU30,0))*150+15+'calcA'!CV$5*100000+IF(AND($E30=1,MI30=0),50000,0))+IF($H30=1,INDEX('calcA'!$D$180:$EQ$219,$B30,97)*4000,0)-IF(AND($U30=1,'calcA'!CV$117=1,GU30=0),2000,0))),1000000000))</f>
        <v/>
      </c>
      <c r="RY30">
        <f>IF($B30=0,1000000000,IF(INDEX('calcA'!$D$60:$EQ$99,$B30,98)*IF($W30=1,GU30+ADJ30,GU30)=1,IF(AND($E30=2,IF($W30=1,AIY30,MJ30)=0),1000000000,IF($V30=1,INDEX('calcA'!$D$130:$EQ$169,$B30,98)+IF(AND($E30=1,MJ30=0),25,0),IF($F30&gt;0,INDEX('calcA'!CW$110:CW$114,$F30+1)+IF(AND($E30=1,MJ30=0),1000,0),MIN(TY30,20)*400+(IF('calcA'!CV$106=1,1-GT30,0)+IF('calcA'!CW$106=1,1-GV30,0))*150+25+'calcA'!CW$5*100000+IF(AND($E30=1,MJ30=0),50000,0))+IF($H30=1,INDEX('calcA'!$D$180:$EQ$219,$B30,98)*4000,0)-IF(AND('calcA'!CV$117=1,XT30&gt;0),2000,0)-IF(AND($U30=1,'calcA'!CW$117=1,GV30=0),2000,0))),1000000000))</f>
        <v/>
      </c>
      <c r="RZ30">
        <f>IF($B30=0,1000000000,IF(INDEX('calcA'!$D$60:$EQ$99,$B30,99)*IF($W30=1,GV30+ADK30,GV30)=1,IF(AND($E30=2,IF($W30=1,AIZ30,MK30)=0),1000000000,IF($V30=1,INDEX('calcA'!$D$130:$EQ$169,$B30,99)+IF(AND($E30=1,MK30=0),25,0),IF($F30&gt;0,INDEX('calcA'!CX$110:CX$114,$F30+1)+IF(AND($E30=1,MK30=0),1000,0),MIN(TY30,20)*400+(IF('calcA'!CW$106=1,1-GU30,0)+IF('calcA'!CX$106=1,1-GW30,0))*150+35+'calcA'!CX$5*100000+IF(AND($E30=1,MK30=0),50000,0))+IF($H30=1,INDEX('calcA'!$D$180:$EQ$219,$B30,99)*4000,0)-IF(AND('calcA'!CW$117=1,XU30&gt;0),2000,0)-IF(AND($U30=1,'calcA'!CX$117=1,GW30=0),2000,0))),1000000000))</f>
        <v/>
      </c>
      <c r="SA30">
        <f>IF($B30=0,1000000000,IF(INDEX('calcA'!$D$60:$EQ$99,$B30,100)*IF($W30=1,GW30+ADL30,GW30)=1,IF(AND($E30=2,IF($W30=1,AJA30,ML30)=0),1000000000,IF($V30=1,INDEX('calcA'!$D$130:$EQ$169,$B30,100)+IF(AND($E30=1,ML30=0),25,0),IF($F30&gt;0,INDEX('calcA'!CY$110:CY$114,$F30+1)+IF(AND($E30=1,ML30=0),1000,0),MIN(TY30,20)*400+(IF('calcA'!CX$106=1,1-GV30,0)+IF('calcA'!CY$106=1,1-GX30,0))*150+45+'calcA'!CY$5*100000+IF(AND($E30=1,ML30=0),50000,0))+IF($H30=1,INDEX('calcA'!$D$180:$EQ$219,$B30,100)*4000,0)-IF(AND('calcA'!CX$117=1,XV30&gt;0),2000,0)-IF(AND($U30=1,'calcA'!CY$117=1,GX30=0),2000,0))),1000000000))</f>
        <v/>
      </c>
      <c r="SB30">
        <f>IF($B30=0,1000000000,IF(INDEX('calcA'!$D$60:$EQ$99,$B30,101)*IF($W30=1,GX30+ADM30,GX30)=1,IF(AND($E30=2,IF($W30=1,AJB30,MM30)=0),1000000000,IF($V30=1,INDEX('calcA'!$D$130:$EQ$169,$B30,101)+IF(AND($E30=1,MM30=0),25,0),IF($F30&gt;0,INDEX('calcA'!CZ$110:CZ$114,$F30+1)+IF(AND($E30=1,MM30=0),1000,0),MIN(TY30,20)*400+(IF('calcA'!CY$106=1,1-GW30,0)+IF('calcA'!CZ$106=1,1-GY30,0))*150+55+'calcA'!CZ$5*100000+IF(AND($E30=1,MM30=0),50000,0))+IF($H30=1,INDEX('calcA'!$D$180:$EQ$219,$B30,101)*4000,0)-IF(AND('calcA'!CY$117=1,XW30&gt;0),2000,0)-IF(AND($U30=1,'calcA'!CZ$117=1,GY30=0),2000,0))),1000000000))</f>
        <v/>
      </c>
      <c r="SC30">
        <f>IF($B30=0,1000000000,IF(INDEX('calcA'!$D$60:$EQ$99,$B30,102)*IF($W30=1,GY30+ADN30,GY30)=1,IF(AND($E30=2,IF($W30=1,AJC30,MN30)=0),1000000000,IF($V30=1,INDEX('calcA'!$D$130:$EQ$169,$B30,102)+IF(AND($E30=1,MN30=0),25,0),IF($F30&gt;0,INDEX('calcA'!DA$110:DA$114,$F30+1)+IF(AND($E30=1,MN30=0),1000,0),MIN(TY30,20)*400+(IF('calcA'!CZ$106=1,1-GX30,0)+IF('calcA'!DA$106=1,1-GZ30,0))*150+65+'calcA'!DA$5*100000+IF(AND($E30=1,MN30=0),50000,0))+IF($H30=1,INDEX('calcA'!$D$180:$EQ$219,$B30,102)*4000,0)-IF(AND('calcA'!CZ$117=1,XX30&gt;0),2000,0)-IF(AND($U30=1,'calcA'!DA$117=1,GZ30=0),2000,0))),1000000000))</f>
        <v/>
      </c>
      <c r="SD30">
        <f>IF($B30=0,1000000000,IF(INDEX('calcA'!$D$60:$EQ$99,$B30,103)*IF($W30=1,GZ30+ADO30,GZ30)=1,IF(AND($E30=2,IF($W30=1,AJD30,MO30)=0),1000000000,IF($V30=1,INDEX('calcA'!$D$130:$EQ$169,$B30,103)+IF(AND($E30=1,MO30=0),25,0),IF($F30&gt;0,INDEX('calcA'!DB$110:DB$114,$F30+1)+IF(AND($E30=1,MO30=0),1000,0),MIN(TY30,20)*400+(IF('calcA'!DA$106=1,1-GY30,0)+IF('calcA'!DB$106=1,1-HA30,0))*150+75+'calcA'!DB$5*100000+IF(AND($E30=1,MO30=0),50000,0))+IF($H30=1,INDEX('calcA'!$D$180:$EQ$219,$B30,103)*4000,0)-IF(AND('calcA'!DA$117=1,XY30&gt;0),2000,0)-IF(AND($U30=1,'calcA'!DB$117=1,HA30=0),2000,0))),1000000000))</f>
        <v/>
      </c>
      <c r="SE30">
        <f>IF($B30=0,1000000000,IF(INDEX('calcA'!$D$60:$EQ$99,$B30,104)*IF($W30=1,HA30+ADP30,HA30)=1,IF(AND($E30=2,IF($W30=1,AJE30,MP30)=0),1000000000,IF($V30=1,INDEX('calcA'!$D$130:$EQ$169,$B30,104)+IF(AND($E30=1,MP30=0),25,0),IF($F30&gt;0,INDEX('calcA'!DC$110:DC$114,$F30+1)+IF(AND($E30=1,MP30=0),1000,0),MIN(TY30,20)*400+(IF('calcA'!DB$106=1,1-GZ30,0)+IF('calcA'!DC$106=1,1-HB30,0))*150+85+'calcA'!DC$5*100000+IF(AND($E30=1,MP30=0),50000,0))+IF($H30=1,INDEX('calcA'!$D$180:$EQ$219,$B30,104)*4000,0)-IF(AND('calcA'!DB$117=1,XZ30&gt;0),2000,0)-IF(AND($U30=1,'calcA'!DC$117=1,HB30=0),2000,0))),1000000000))</f>
        <v/>
      </c>
      <c r="SF30">
        <f>IF($B30=0,1000000000,IF(INDEX('calcA'!$D$60:$EQ$99,$B30,105)*IF($W30=1,HB30+ADQ30,HB30)=1,IF(AND($E30=2,IF($W30=1,AJF30,MQ30)=0),1000000000,IF($V30=1,INDEX('calcA'!$D$130:$EQ$169,$B30,105)+IF(AND($E30=1,MQ30=0),25,0),IF($F30&gt;0,INDEX('calcA'!DD$110:DD$114,$F30+1)+IF(AND($E30=1,MQ30=0),1000,0),MIN(TY30,20)*400+(IF('calcA'!DC$106=1,1-HA30,0)+IF('calcA'!DD$106=1,1-HC30,0))*150+95+'calcA'!DD$5*100000+IF(AND($E30=1,MQ30=0),50000,0))+IF($H30=1,INDEX('calcA'!$D$180:$EQ$219,$B30,105)*4000,0)-IF(AND('calcA'!DC$117=1,YA30&gt;0),2000,0)-IF(AND($U30=1,'calcA'!DD$117=1,HC30=0),2000,0))),1000000000))</f>
        <v/>
      </c>
      <c r="SG30">
        <f>IF($B30=0,1000000000,IF(INDEX('calcA'!$D$60:$EQ$99,$B30,106)*IF($W30=1,HC30+ADR30,HC30)=1,IF(AND($E30=2,IF($W30=1,AJG30,MR30)=0),1000000000,IF($V30=1,INDEX('calcA'!$D$130:$EQ$169,$B30,106)+IF(AND($E30=1,MR30=0),25,0),IF($F30&gt;0,INDEX('calcA'!DE$110:DE$114,$F30+1)+IF(AND($E30=1,MR30=0),1000,0),MIN(TY30,20)*400+(IF('calcA'!DD$106=1,1-HB30,0)+IF('calcA'!DE$106=1,1-HD30,0))*150+105+'calcA'!DE$5*100000+IF(AND($E30=1,MR30=0),50000,0))+IF($H30=1,INDEX('calcA'!$D$180:$EQ$219,$B30,106)*4000,0)-IF(AND('calcA'!DD$117=1,YB30&gt;0),2000,0)-IF(AND($U30=1,'calcA'!DE$117=1,HD30=0),2000,0))),1000000000))</f>
        <v/>
      </c>
      <c r="SH30">
        <f>IF($B30=0,1000000000,IF(INDEX('calcA'!$D$60:$EQ$99,$B30,107)*IF($W30=1,HD30+ADS30,HD30)=1,IF(AND($E30=2,IF($W30=1,AJH30,MS30)=0),1000000000,IF($V30=1,INDEX('calcA'!$D$130:$EQ$169,$B30,107)+IF(AND($E30=1,MS30=0),25,0),IF($F30&gt;0,INDEX('calcA'!DF$110:DF$114,$F30+1)+IF(AND($E30=1,MS30=0),1000,0),MIN(TY30,20)*400+(IF('calcA'!DE$106=1,1-HC30,0)+IF('calcA'!DF$106=1,1-HE30,0))*150+115+'calcA'!DF$5*100000+IF(AND($E30=1,MS30=0),50000,0))+IF($H30=1,INDEX('calcA'!$D$180:$EQ$219,$B30,107)*4000,0)-IF(AND('calcA'!DE$117=1,YC30&gt;0),2000,0)-IF(AND($U30=1,'calcA'!DF$117=1,HE30=0),2000,0))),1000000000))</f>
        <v/>
      </c>
      <c r="SI30">
        <f>IF($B30=0,1000000000,IF(INDEX('calcA'!$D$60:$EQ$99,$B30,108)*IF($W30=1,HE30+ADT30,HE30)=1,IF(AND($E30=2,IF($W30=1,AJI30,MT30)=0),1000000000,IF($V30=1,INDEX('calcA'!$D$130:$EQ$169,$B30,108)+IF(AND($E30=1,MT30=0),25,0),IF($F30&gt;0,INDEX('calcA'!DG$110:DG$114,$F30+1)+IF(AND($E30=1,MT30=0),1000,0),MIN(TY30,20)*400+(IF('calcA'!DF$106=1,1-HD30,0)+IF('calcA'!DG$106=1,1-HF30,0))*150+125+'calcA'!DG$5*100000+IF(AND($E30=1,MT30=0),50000,0))+IF($H30=1,INDEX('calcA'!$D$180:$EQ$219,$B30,108)*4000,0)-IF(AND('calcA'!DF$117=1,YD30&gt;0),2000,0)-IF(AND($U30=1,'calcA'!DG$117=1,HF30=0),2000,0))),1000000000))</f>
        <v/>
      </c>
      <c r="SJ30">
        <f>IF($B30=0,1000000000,IF(INDEX('calcA'!$D$60:$EQ$99,$B30,109)*IF($W30=1,HF30+ADU30,HF30)=1,IF(AND($E30=2,IF($W30=1,AJJ30,MU30)=0),1000000000,IF($V30=1,INDEX('calcA'!$D$130:$EQ$169,$B30,109)+IF(AND($E30=1,MU30=0),25,0),IF($F30&gt;0,INDEX('calcA'!DH$110:DH$114,$F30+1)+IF(AND($E30=1,MU30=0),1000,0),MIN(TY30,20)*400+(IF('calcA'!DG$106=1,1-HE30,0)+IF('calcA'!DH$106=1,1-HG30,0))*150+135+'calcA'!DH$5*100000+IF(AND($E30=1,MU30=0),50000,0))+IF($H30=1,INDEX('calcA'!$D$180:$EQ$219,$B30,109)*4000,0)-IF(AND('calcA'!DG$117=1,YE30&gt;0),2000,0)-IF(AND($U30=1,'calcA'!DH$117=1,HG30=0),2000,0))),1000000000))</f>
        <v/>
      </c>
      <c r="SK30">
        <f>IF($B30=0,1000000000,IF(INDEX('calcA'!$D$60:$EQ$99,$B30,110)*IF($W30=1,HG30+ADV30,HG30)=1,IF(AND($E30=2,IF($W30=1,AJK30,MV30)=0),1000000000,IF($V30=1,INDEX('calcA'!$D$130:$EQ$169,$B30,110)+IF(AND($E30=1,MV30=0),25,0),IF($F30&gt;0,INDEX('calcA'!DI$110:DI$114,$F30+1)+IF(AND($E30=1,MV30=0),1000,0),MIN(TY30,20)*400+(IF('calcA'!DH$106=1,1-HF30,0)+IF('calcA'!DI$106=1,1-HH30,0))*150+145+'calcA'!DI$5*100000+IF(AND($E30=1,MV30=0),50000,0))+IF($H30=1,INDEX('calcA'!$D$180:$EQ$219,$B30,110)*4000,0)-IF(AND('calcA'!DH$117=1,YF30&gt;0),2000,0)-IF(AND($U30=1,'calcA'!DI$117=1,HH30=0),2000,0))),1000000000))</f>
        <v/>
      </c>
      <c r="SL30">
        <f>IF($B30=0,1000000000,IF(INDEX('calcA'!$D$60:$EQ$99,$B30,111)*IF($W30=1,HH30+ADW30,HH30)=1,IF(AND($E30=2,IF($W30=1,AJL30,MW30)=0),1000000000,IF($V30=1,INDEX('calcA'!$D$130:$EQ$169,$B30,111)+IF(AND($E30=1,MW30=0),25,0),IF($F30&gt;0,INDEX('calcA'!DJ$110:DJ$114,$F30+1)+IF(AND($E30=1,MW30=0),1000,0),MIN(TY30,20)*400+(IF('calcA'!DI$106=1,1-HG30,0)+IF('calcA'!DJ$106=1,1-HI30,0))*150+155+'calcA'!DJ$5*100000+IF(AND($E30=1,MW30=0),50000,0))+IF($H30=1,INDEX('calcA'!$D$180:$EQ$219,$B30,111)*4000,0)-IF(AND('calcA'!DI$117=1,YG30&gt;0),2000,0)-IF(AND($U30=1,'calcA'!DJ$117=1,HI30=0),2000,0))),1000000000))</f>
        <v/>
      </c>
      <c r="SM30">
        <f>IF($B30=0,1000000000,IF(INDEX('calcA'!$D$60:$EQ$99,$B30,112)*IF($W30=1,HI30+ADX30,HI30)=1,IF(AND($E30=2,IF($W30=1,AJM30,MX30)=0),1000000000,IF($V30=1,INDEX('calcA'!$D$130:$EQ$169,$B30,112)+IF(AND($E30=1,MX30=0),25,0),IF($F30&gt;0,INDEX('calcA'!DK$110:DK$114,$F30+1)+IF(AND($E30=1,MX30=0),1000,0),MIN(TY30,20)*400+(IF('calcA'!DJ$106=1,1-HH30,0)+IF('calcA'!DK$106=1,1-HJ30,0))*150+165+'calcA'!DK$5*100000+IF(AND($E30=1,MX30=0),50000,0))+IF($H30=1,INDEX('calcA'!$D$180:$EQ$219,$B30,112)*4000,0)-IF(AND('calcA'!DJ$117=1,YH30&gt;0),2000,0)-IF(AND($U30=1,'calcA'!DK$117=1,HJ30=0),2000,0))),1000000000))</f>
        <v/>
      </c>
      <c r="SN30">
        <f>IF($B30=0,1000000000,IF(INDEX('calcA'!$D$60:$EQ$99,$B30,113)*IF($W30=1,HJ30+ADY30,HJ30)=1,IF(AND($E30=2,IF($W30=1,AJN30,MY30)=0),1000000000,IF($V30=1,INDEX('calcA'!$D$130:$EQ$169,$B30,113)+IF(AND($E30=1,MY30=0),25,0),IF($F30&gt;0,INDEX('calcA'!DL$110:DL$114,$F30+1)+IF(AND($E30=1,MY30=0),1000,0),MIN(TY30,20)*400+(IF('calcA'!DK$106=1,1-HI30,0)+IF('calcA'!DL$106=1,1-HK30,0))*150+175+'calcA'!DL$5*100000+IF(AND($E30=1,MY30=0),50000,0))+IF($H30=1,INDEX('calcA'!$D$180:$EQ$219,$B30,113)*4000,0)-IF(AND('calcA'!DK$117=1,YI30&gt;0),2000,0)-IF(AND($U30=1,'calcA'!DL$117=1,HK30=0),2000,0))),1000000000))</f>
        <v/>
      </c>
      <c r="SO30">
        <f>IF($B30=0,1000000000,IF(INDEX('calcA'!$D$60:$EQ$99,$B30,114)*IF($W30=1,HK30+ADZ30,HK30)=1,IF(AND($E30=2,IF($W30=1,AJO30,MZ30)=0),1000000000,IF($V30=1,INDEX('calcA'!$D$130:$EQ$169,$B30,114)+IF(AND($E30=1,MZ30=0),25,0),IF($F30&gt;0,INDEX('calcA'!DM$110:DM$114,$F30+1)+IF(AND($E30=1,MZ30=0),1000,0),MIN(TY30,20)*400+(IF('calcA'!DL$106=1,1-HJ30,0)+IF('calcA'!DM$106=1,1-HL30,0))*150+185+'calcA'!DM$5*100000+IF(AND($E30=1,MZ30=0),50000,0))+IF($H30=1,INDEX('calcA'!$D$180:$EQ$219,$B30,114)*4000,0)-IF(AND('calcA'!DL$117=1,YJ30&gt;0),2000,0)-IF(AND($U30=1,'calcA'!DM$117=1,HL30=0),2000,0))),1000000000))</f>
        <v/>
      </c>
      <c r="SP30">
        <f>IF($B30=0,1000000000,IF(INDEX('calcA'!$D$60:$EQ$99,$B30,115)*IF($W30=1,HL30+AEA30,HL30)=1,IF(AND($E30=2,IF($W30=1,AJP30,NA30)=0),1000000000,IF($V30=1,INDEX('calcA'!$D$130:$EQ$169,$B30,115)+IF(AND($E30=1,NA30=0),25,0),IF($F30&gt;0,INDEX('calcA'!DN$110:DN$114,$F30+1)+IF(AND($E30=1,NA30=0),1000,0),MIN(TY30,20)*400+(IF('calcA'!DM$106=1,1-HK30,0)+IF('calcA'!DN$106=1,1-HM30,0))*150+195+'calcA'!DN$5*100000+IF(AND($E30=1,NA30=0),50000,0))+IF($H30=1,INDEX('calcA'!$D$180:$EQ$219,$B30,115)*4000,0)-IF(AND('calcA'!DM$117=1,YK30&gt;0),2000,0)-IF(AND($U30=1,'calcA'!DN$117=1,HM30=0),2000,0))),1000000000))</f>
        <v/>
      </c>
      <c r="SQ30">
        <f>IF($B30=0,1000000000,IF(INDEX('calcA'!$D$60:$EQ$99,$B30,116)*IF($W30=1,HM30+AEB30,HM30)=1,IF(AND($E30=2,IF($W30=1,AJQ30,NB30)=0),1000000000,IF($V30=1,INDEX('calcA'!$D$130:$EQ$169,$B30,116)+IF(AND($E30=1,NB30=0),25,0),IF($F30&gt;0,INDEX('calcA'!DO$110:DO$114,$F30+1)+IF(AND($E30=1,NB30=0),1000,0),MIN(TY30,20)*400+(IF('calcA'!DN$106=1,1-HL30,0)+IF('calcA'!DO$106=1,1-HN30,0))*150+205+'calcA'!DO$5*100000+IF(AND($E30=1,NB30=0),50000,0))+IF($H30=1,INDEX('calcA'!$D$180:$EQ$219,$B30,116)*4000,0)-IF(AND('calcA'!DN$117=1,YL30&gt;0),2000,0)-IF(AND($U30=1,'calcA'!DO$117=1,HN30=0),2000,0))),1000000000))</f>
        <v/>
      </c>
      <c r="SR30">
        <f>IF($B30=0,1000000000,IF(INDEX('calcA'!$D$60:$EQ$99,$B30,117)*IF($W30=1,HN30+AEC30,HN30)=1,IF(AND($E30=2,IF($W30=1,AJR30,NC30)=0),1000000000,IF($V30=1,INDEX('calcA'!$D$130:$EQ$169,$B30,117)+IF(AND($E30=1,NC30=0),25,0),IF($F30&gt;0,INDEX('calcA'!DP$110:DP$114,$F30+1)+IF(AND($E30=1,NC30=0),1000,0),MIN(TY30,20)*400+(IF('calcA'!DO$106=1,1-HM30,0)+IF('calcA'!DP$106=1,1-HO30,0))*150+215+'calcA'!DP$5*100000+IF(AND($E30=1,NC30=0),50000,0))+IF($H30=1,INDEX('calcA'!$D$180:$EQ$219,$B30,117)*4000,0)-IF(AND('calcA'!DO$117=1,YM30&gt;0),2000,0)-IF(AND($U30=1,'calcA'!DP$117=1,HO30=0),2000,0))),1000000000))</f>
        <v/>
      </c>
      <c r="SS30">
        <f>IF($B30=0,1000000000,IF(INDEX('calcA'!$D$60:$EQ$99,$B30,118)*IF($W30=1,HO30+AED30,HO30)=1,IF(AND($E30=2,IF($W30=1,AJS30,ND30)=0),1000000000,IF($V30=1,INDEX('calcA'!$D$130:$EQ$169,$B30,118)+IF(AND($E30=1,ND30=0),25,0),IF($F30&gt;0,INDEX('calcA'!DQ$110:DQ$114,$F30+1)+IF(AND($E30=1,ND30=0),1000,0),MIN(TY30,20)*400+(IF('calcA'!DP$106=1,1-HN30,0)+IF('calcA'!DQ$106=1,1-HP30,0))*150+225+'calcA'!DQ$5*100000+IF(AND($E30=1,ND30=0),50000,0))+IF($H30=1,INDEX('calcA'!$D$180:$EQ$219,$B30,118)*4000,0)-IF(AND('calcA'!DP$117=1,YN30&gt;0),2000,0)-IF(AND($U30=1,'calcA'!DQ$117=1,HP30=0),2000,0))),1000000000))</f>
        <v/>
      </c>
      <c r="ST30">
        <f>IF($B30=0,1000000000,IF(INDEX('calcA'!$D$60:$EQ$99,$B30,119)*IF($W30=1,HP30+AEE30,HP30)=1,IF(AND($E30=2,IF($W30=1,AJT30,NE30)=0),1000000000,IF($V30=1,INDEX('calcA'!$D$130:$EQ$169,$B30,119)+IF(AND($E30=1,NE30=0),25,0),IF($F30&gt;0,INDEX('calcA'!DR$110:DR$114,$F30+1)+IF(AND($E30=1,NE30=0),1000,0),MIN(TY30,20)*400+(IF('calcA'!DQ$106=1,1-HO30,0)+IF('calcA'!DR$106=1,1-HQ30,0))*150+235+'calcA'!DR$5*100000+IF(AND($E30=1,NE30=0),50000,0))+IF($H30=1,INDEX('calcA'!$D$180:$EQ$219,$B30,119)*4000,0)-IF(AND('calcA'!DQ$117=1,YO30&gt;0),2000,0)-IF(AND($U30=1,'calcA'!DR$117=1,HQ30=0),2000,0))),1000000000))</f>
        <v/>
      </c>
      <c r="SU30">
        <f>IF($B30=0,1000000000,IF(INDEX('calcA'!$D$60:$EQ$99,$B30,120)*IF($W30=1,HQ30+AEF30,HQ30)=1,IF(AND($E30=2,IF($W30=1,AJU30,NF30)=0),1000000000,IF($V30=1,INDEX('calcA'!$D$130:$EQ$169,$B30,120)+IF(AND($E30=1,NF30=0),25,0),IF($F30&gt;0,INDEX('calcA'!DS$110:DS$114,$F30+1)+IF(AND($E30=1,NF30=0),1000,0),MIN(TY30,20)*400+(IF('calcA'!DR$106=1,1-HP30,0))*150+245+'calcA'!DS$5*100000+IF(AND($E30=1,NF30=0),50000,0))+IF($H30=1,INDEX('calcA'!$D$180:$EQ$219,$B30,120)*4000,0)-IF(AND('calcA'!DR$117=1,YP30&gt;0),2000,0))),1000000000))</f>
        <v/>
      </c>
      <c r="SV30">
        <f>IF($B30=0,1000000000,IF(INDEX('calcA'!$D$60:$EQ$99,$B30,121)*IF($W30=1,HR30+AEG30,HR30)=1,IF(AND($E30=2,IF($W30=1,AJV30,NG30)=0),1000000000,IF($V30=1,INDEX('calcA'!$D$130:$EQ$169,$B30,121)+IF(AND($E30=1,NG30=0),25,0),IF($F30&gt;0,INDEX('calcA'!DT$110:DT$114,$F30+1)+IF(AND($E30=1,NG30=0),1000,0),MIN(TZ30,20)*400+(IF('calcA'!DT$106=1,1-HS30,0))*150+16+'calcA'!DT$5*100000+IF(AND($E30=1,NG30=0),50000,0))+IF($H30=1,INDEX('calcA'!$D$180:$EQ$219,$B30,121)*4000,0)-IF(AND($U30=1,'calcA'!DT$117=1,HS30=0),2000,0))),1000000000))</f>
        <v/>
      </c>
      <c r="SW30">
        <f>IF($B30=0,1000000000,IF(INDEX('calcA'!$D$60:$EQ$99,$B30,122)*IF($W30=1,HS30+AEH30,HS30)=1,IF(AND($E30=2,IF($W30=1,AJW30,NH30)=0),1000000000,IF($V30=1,INDEX('calcA'!$D$130:$EQ$169,$B30,122)+IF(AND($E30=1,NH30=0),25,0),IF($F30&gt;0,INDEX('calcA'!DU$110:DU$114,$F30+1)+IF(AND($E30=1,NH30=0),1000,0),MIN(TZ30,20)*400+(IF('calcA'!DT$106=1,1-HR30,0)+IF('calcA'!DU$106=1,1-HT30,0))*150+26+'calcA'!DU$5*100000+IF(AND($E30=1,NH30=0),50000,0))+IF($H30=1,INDEX('calcA'!$D$180:$EQ$219,$B30,122)*4000,0)-IF(AND('calcA'!DT$117=1,YR30&gt;0),2000,0)-IF(AND($U30=1,'calcA'!DU$117=1,HT30=0),2000,0))),1000000000))</f>
        <v/>
      </c>
      <c r="SX30">
        <f>IF($B30=0,1000000000,IF(INDEX('calcA'!$D$60:$EQ$99,$B30,123)*IF($W30=1,HT30+AEI30,HT30)=1,IF(AND($E30=2,IF($W30=1,AJX30,NI30)=0),1000000000,IF($V30=1,INDEX('calcA'!$D$130:$EQ$169,$B30,123)+IF(AND($E30=1,NI30=0),25,0),IF($F30&gt;0,INDEX('calcA'!DV$110:DV$114,$F30+1)+IF(AND($E30=1,NI30=0),1000,0),MIN(TZ30,20)*400+(IF('calcA'!DU$106=1,1-HS30,0)+IF('calcA'!DV$106=1,1-HU30,0))*150+36+'calcA'!DV$5*100000+IF(AND($E30=1,NI30=0),50000,0))+IF($H30=1,INDEX('calcA'!$D$180:$EQ$219,$B30,123)*4000,0)-IF(AND('calcA'!DU$117=1,YS30&gt;0),2000,0)-IF(AND($U30=1,'calcA'!DV$117=1,HU30=0),2000,0))),1000000000))</f>
        <v/>
      </c>
      <c r="SY30">
        <f>IF($B30=0,1000000000,IF(INDEX('calcA'!$D$60:$EQ$99,$B30,124)*IF($W30=1,HU30+AEJ30,HU30)=1,IF(AND($E30=2,IF($W30=1,AJY30,NJ30)=0),1000000000,IF($V30=1,INDEX('calcA'!$D$130:$EQ$169,$B30,124)+IF(AND($E30=1,NJ30=0),25,0),IF($F30&gt;0,INDEX('calcA'!DW$110:DW$114,$F30+1)+IF(AND($E30=1,NJ30=0),1000,0),MIN(TZ30,20)*400+(IF('calcA'!DV$106=1,1-HT30,0)+IF('calcA'!DW$106=1,1-HV30,0))*150+46+'calcA'!DW$5*100000+IF(AND($E30=1,NJ30=0),50000,0))+IF($H30=1,INDEX('calcA'!$D$180:$EQ$219,$B30,124)*4000,0)-IF(AND('calcA'!DV$117=1,YT30&gt;0),2000,0)-IF(AND($U30=1,'calcA'!DW$117=1,HV30=0),2000,0))),1000000000))</f>
        <v/>
      </c>
      <c r="SZ30">
        <f>IF($B30=0,1000000000,IF(INDEX('calcA'!$D$60:$EQ$99,$B30,125)*IF($W30=1,HV30+AEK30,HV30)=1,IF(AND($E30=2,IF($W30=1,AJZ30,NK30)=0),1000000000,IF($V30=1,INDEX('calcA'!$D$130:$EQ$169,$B30,125)+IF(AND($E30=1,NK30=0),25,0),IF($F30&gt;0,INDEX('calcA'!DX$110:DX$114,$F30+1)+IF(AND($E30=1,NK30=0),1000,0),MIN(TZ30,20)*400+(IF('calcA'!DW$106=1,1-HU30,0)+IF('calcA'!DX$106=1,1-HW30,0))*150+56+'calcA'!DX$5*100000+IF(AND($E30=1,NK30=0),50000,0))+IF($H30=1,INDEX('calcA'!$D$180:$EQ$219,$B30,125)*4000,0)-IF(AND('calcA'!DW$117=1,YU30&gt;0),2000,0)-IF(AND($U30=1,'calcA'!DX$117=1,HW30=0),2000,0))),1000000000))</f>
        <v/>
      </c>
      <c r="TA30">
        <f>IF($B30=0,1000000000,IF(INDEX('calcA'!$D$60:$EQ$99,$B30,126)*IF($W30=1,HW30+AEL30,HW30)=1,IF(AND($E30=2,IF($W30=1,AKA30,NL30)=0),1000000000,IF($V30=1,INDEX('calcA'!$D$130:$EQ$169,$B30,126)+IF(AND($E30=1,NL30=0),25,0),IF($F30&gt;0,INDEX('calcA'!DY$110:DY$114,$F30+1)+IF(AND($E30=1,NL30=0),1000,0),MIN(TZ30,20)*400+(IF('calcA'!DX$106=1,1-HV30,0)+IF('calcA'!DY$106=1,1-HX30,0))*150+66+'calcA'!DY$5*100000+IF(AND($E30=1,NL30=0),50000,0))+IF($H30=1,INDEX('calcA'!$D$180:$EQ$219,$B30,126)*4000,0)-IF(AND('calcA'!DX$117=1,YV30&gt;0),2000,0)-IF(AND($U30=1,'calcA'!DY$117=1,HX30=0),2000,0))),1000000000))</f>
        <v/>
      </c>
      <c r="TB30">
        <f>IF($B30=0,1000000000,IF(INDEX('calcA'!$D$60:$EQ$99,$B30,127)*IF($W30=1,HX30+AEM30,HX30)=1,IF(AND($E30=2,IF($W30=1,AKB30,NM30)=0),1000000000,IF($V30=1,INDEX('calcA'!$D$130:$EQ$169,$B30,127)+IF(AND($E30=1,NM30=0),25,0),IF($F30&gt;0,INDEX('calcA'!DZ$110:DZ$114,$F30+1)+IF(AND($E30=1,NM30=0),1000,0),MIN(TZ30,20)*400+(IF('calcA'!DY$106=1,1-HW30,0)+IF('calcA'!DZ$106=1,1-HY30,0))*150+76+'calcA'!DZ$5*100000+IF(AND($E30=1,NM30=0),50000,0))+IF($H30=1,INDEX('calcA'!$D$180:$EQ$219,$B30,127)*4000,0)-IF(AND('calcA'!DY$117=1,YW30&gt;0),2000,0)-IF(AND($U30=1,'calcA'!DZ$117=1,HY30=0),2000,0))),1000000000))</f>
        <v/>
      </c>
      <c r="TC30">
        <f>IF($B30=0,1000000000,IF(INDEX('calcA'!$D$60:$EQ$99,$B30,128)*IF($W30=1,HY30+AEN30,HY30)=1,IF(AND($E30=2,IF($W30=1,AKC30,NN30)=0),1000000000,IF($V30=1,INDEX('calcA'!$D$130:$EQ$169,$B30,128)+IF(AND($E30=1,NN30=0),25,0),IF($F30&gt;0,INDEX('calcA'!EA$110:EA$114,$F30+1)+IF(AND($E30=1,NN30=0),1000,0),MIN(TZ30,20)*400+(IF('calcA'!DZ$106=1,1-HX30,0)+IF('calcA'!EA$106=1,1-HZ30,0))*150+86+'calcA'!EA$5*100000+IF(AND($E30=1,NN30=0),50000,0))+IF($H30=1,INDEX('calcA'!$D$180:$EQ$219,$B30,128)*4000,0)-IF(AND('calcA'!DZ$117=1,YX30&gt;0),2000,0)-IF(AND($U30=1,'calcA'!EA$117=1,HZ30=0),2000,0))),1000000000))</f>
        <v/>
      </c>
      <c r="TD30">
        <f>IF($B30=0,1000000000,IF(INDEX('calcA'!$D$60:$EQ$99,$B30,129)*IF($W30=1,HZ30+AEO30,HZ30)=1,IF(AND($E30=2,IF($W30=1,AKD30,NO30)=0),1000000000,IF($V30=1,INDEX('calcA'!$D$130:$EQ$169,$B30,129)+IF(AND($E30=1,NO30=0),25,0),IF($F30&gt;0,INDEX('calcA'!EB$110:EB$114,$F30+1)+IF(AND($E30=1,NO30=0),1000,0),MIN(TZ30,20)*400+(IF('calcA'!EA$106=1,1-HY30,0)+IF('calcA'!EB$106=1,1-IA30,0))*150+96+'calcA'!EB$5*100000+IF(AND($E30=1,NO30=0),50000,0))+IF($H30=1,INDEX('calcA'!$D$180:$EQ$219,$B30,129)*4000,0)-IF(AND('calcA'!EA$117=1,YY30&gt;0),2000,0)-IF(AND($U30=1,'calcA'!EB$117=1,IA30=0),2000,0))),1000000000))</f>
        <v/>
      </c>
      <c r="TE30">
        <f>IF($B30=0,1000000000,IF(INDEX('calcA'!$D$60:$EQ$99,$B30,130)*IF($W30=1,IA30+AEP30,IA30)=1,IF(AND($E30=2,IF($W30=1,AKE30,NP30)=0),1000000000,IF($V30=1,INDEX('calcA'!$D$130:$EQ$169,$B30,130)+IF(AND($E30=1,NP30=0),25,0),IF($F30&gt;0,INDEX('calcA'!EC$110:EC$114,$F30+1)+IF(AND($E30=1,NP30=0),1000,0),MIN(TZ30,20)*400+(IF('calcA'!EB$106=1,1-HZ30,0)+IF('calcA'!EC$106=1,1-IB30,0))*150+106+'calcA'!EC$5*100000+IF(AND($E30=1,NP30=0),50000,0))+IF($H30=1,INDEX('calcA'!$D$180:$EQ$219,$B30,130)*4000,0)-IF(AND('calcA'!EB$117=1,YZ30&gt;0),2000,0)-IF(AND($U30=1,'calcA'!EC$117=1,IB30=0),2000,0))),1000000000))</f>
        <v/>
      </c>
      <c r="TF30">
        <f>IF($B30=0,1000000000,IF(INDEX('calcA'!$D$60:$EQ$99,$B30,131)*IF($W30=1,IB30+AEQ30,IB30)=1,IF(AND($E30=2,IF($W30=1,AKF30,NQ30)=0),1000000000,IF($V30=1,INDEX('calcA'!$D$130:$EQ$169,$B30,131)+IF(AND($E30=1,NQ30=0),25,0),IF($F30&gt;0,INDEX('calcA'!ED$110:ED$114,$F30+1)+IF(AND($E30=1,NQ30=0),1000,0),MIN(TZ30,20)*400+(IF('calcA'!EC$106=1,1-IA30,0)+IF('calcA'!ED$106=1,1-IC30,0))*150+116+'calcA'!ED$5*100000+IF(AND($E30=1,NQ30=0),50000,0))+IF($H30=1,INDEX('calcA'!$D$180:$EQ$219,$B30,131)*4000,0)-IF(AND('calcA'!EC$117=1,ZA30&gt;0),2000,0)-IF(AND($U30=1,'calcA'!ED$117=1,IC30=0),2000,0))),1000000000))</f>
        <v/>
      </c>
      <c r="TG30">
        <f>IF($B30=0,1000000000,IF(INDEX('calcA'!$D$60:$EQ$99,$B30,132)*IF($W30=1,IC30+AER30,IC30)=1,IF(AND($E30=2,IF($W30=1,AKG30,NR30)=0),1000000000,IF($V30=1,INDEX('calcA'!$D$130:$EQ$169,$B30,132)+IF(AND($E30=1,NR30=0),25,0),IF($F30&gt;0,INDEX('calcA'!EE$110:EE$114,$F30+1)+IF(AND($E30=1,NR30=0),1000,0),MIN(TZ30,20)*400+(IF('calcA'!ED$106=1,1-IB30,0)+IF('calcA'!EE$106=1,1-ID30,0))*150+126+'calcA'!EE$5*100000+IF(AND($E30=1,NR30=0),50000,0))+IF($H30=1,INDEX('calcA'!$D$180:$EQ$219,$B30,132)*4000,0)-IF(AND('calcA'!ED$117=1,ZB30&gt;0),2000,0)-IF(AND($U30=1,'calcA'!EE$117=1,ID30=0),2000,0))),1000000000))</f>
        <v/>
      </c>
      <c r="TH30">
        <f>IF($B30=0,1000000000,IF(INDEX('calcA'!$D$60:$EQ$99,$B30,133)*IF($W30=1,ID30+AES30,ID30)=1,IF(AND($E30=2,IF($W30=1,AKH30,NS30)=0),1000000000,IF($V30=1,INDEX('calcA'!$D$130:$EQ$169,$B30,133)+IF(AND($E30=1,NS30=0),25,0),IF($F30&gt;0,INDEX('calcA'!EF$110:EF$114,$F30+1)+IF(AND($E30=1,NS30=0),1000,0),MIN(TZ30,20)*400+(IF('calcA'!EE$106=1,1-IC30,0)+IF('calcA'!EF$106=1,1-IE30,0))*150+136+'calcA'!EF$5*100000+IF(AND($E30=1,NS30=0),50000,0))+IF($H30=1,INDEX('calcA'!$D$180:$EQ$219,$B30,133)*4000,0)-IF(AND('calcA'!EE$117=1,ZC30&gt;0),2000,0)-IF(AND($U30=1,'calcA'!EF$117=1,IE30=0),2000,0))),1000000000))</f>
        <v/>
      </c>
      <c r="TI30">
        <f>IF($B30=0,1000000000,IF(INDEX('calcA'!$D$60:$EQ$99,$B30,134)*IF($W30=1,IE30+AET30,IE30)=1,IF(AND($E30=2,IF($W30=1,AKI30,NT30)=0),1000000000,IF($V30=1,INDEX('calcA'!$D$130:$EQ$169,$B30,134)+IF(AND($E30=1,NT30=0),25,0),IF($F30&gt;0,INDEX('calcA'!EG$110:EG$114,$F30+1)+IF(AND($E30=1,NT30=0),1000,0),MIN(TZ30,20)*400+(IF('calcA'!EF$106=1,1-ID30,0)+IF('calcA'!EG$106=1,1-IF30,0))*150+146+'calcA'!EG$5*100000+IF(AND($E30=1,NT30=0),50000,0))+IF($H30=1,INDEX('calcA'!$D$180:$EQ$219,$B30,134)*4000,0)-IF(AND('calcA'!EF$117=1,ZD30&gt;0),2000,0)-IF(AND($U30=1,'calcA'!EG$117=1,IF30=0),2000,0))),1000000000))</f>
        <v/>
      </c>
      <c r="TJ30">
        <f>IF($B30=0,1000000000,IF(INDEX('calcA'!$D$60:$EQ$99,$B30,135)*IF($W30=1,IF30+AEU30,IF30)=1,IF(AND($E30=2,IF($W30=1,AKJ30,NU30)=0),1000000000,IF($V30=1,INDEX('calcA'!$D$130:$EQ$169,$B30,135)+IF(AND($E30=1,NU30=0),25,0),IF($F30&gt;0,INDEX('calcA'!EH$110:EH$114,$F30+1)+IF(AND($E30=1,NU30=0),1000,0),MIN(TZ30,20)*400+(IF('calcA'!EG$106=1,1-IE30,0)+IF('calcA'!EH$106=1,1-IG30,0))*150+156+'calcA'!EH$5*100000+IF(AND($E30=1,NU30=0),50000,0))+IF($H30=1,INDEX('calcA'!$D$180:$EQ$219,$B30,135)*4000,0)-IF(AND('calcA'!EG$117=1,ZE30&gt;0),2000,0)-IF(AND($U30=1,'calcA'!EH$117=1,IG30=0),2000,0))),1000000000))</f>
        <v/>
      </c>
      <c r="TK30">
        <f>IF($B30=0,1000000000,IF(INDEX('calcA'!$D$60:$EQ$99,$B30,136)*IF($W30=1,IG30+AEV30,IG30)=1,IF(AND($E30=2,IF($W30=1,AKK30,NV30)=0),1000000000,IF($V30=1,INDEX('calcA'!$D$130:$EQ$169,$B30,136)+IF(AND($E30=1,NV30=0),25,0),IF($F30&gt;0,INDEX('calcA'!EI$110:EI$114,$F30+1)+IF(AND($E30=1,NV30=0),1000,0),MIN(TZ30,20)*400+(IF('calcA'!EH$106=1,1-IF30,0)+IF('calcA'!EI$106=1,1-IH30,0))*150+166+'calcA'!EI$5*100000+IF(AND($E30=1,NV30=0),50000,0))+IF($H30=1,INDEX('calcA'!$D$180:$EQ$219,$B30,136)*4000,0)-IF(AND('calcA'!EH$117=1,ZF30&gt;0),2000,0)-IF(AND($U30=1,'calcA'!EI$117=1,IH30=0),2000,0))),1000000000))</f>
        <v/>
      </c>
      <c r="TL30">
        <f>IF($B30=0,1000000000,IF(INDEX('calcA'!$D$60:$EQ$99,$B30,137)*IF($W30=1,IH30+AEW30,IH30)=1,IF(AND($E30=2,IF($W30=1,AKL30,NW30)=0),1000000000,IF($V30=1,INDEX('calcA'!$D$130:$EQ$169,$B30,137)+IF(AND($E30=1,NW30=0),25,0),IF($F30&gt;0,INDEX('calcA'!EJ$110:EJ$114,$F30+1)+IF(AND($E30=1,NW30=0),1000,0),MIN(TZ30,20)*400+(IF('calcA'!EI$106=1,1-IG30,0)+IF('calcA'!EJ$106=1,1-II30,0))*150+176+'calcA'!EJ$5*100000+IF(AND($E30=1,NW30=0),50000,0))+IF($H30=1,INDEX('calcA'!$D$180:$EQ$219,$B30,137)*4000,0)-IF(AND('calcA'!EI$117=1,ZG30&gt;0),2000,0)-IF(AND($U30=1,'calcA'!EJ$117=1,II30=0),2000,0))),1000000000))</f>
        <v/>
      </c>
      <c r="TM30">
        <f>IF($B30=0,1000000000,IF(INDEX('calcA'!$D$60:$EQ$99,$B30,138)*IF($W30=1,II30+AEX30,II30)=1,IF(AND($E30=2,IF($W30=1,AKM30,NX30)=0),1000000000,IF($V30=1,INDEX('calcA'!$D$130:$EQ$169,$B30,138)+IF(AND($E30=1,NX30=0),25,0),IF($F30&gt;0,INDEX('calcA'!EK$110:EK$114,$F30+1)+IF(AND($E30=1,NX30=0),1000,0),MIN(TZ30,20)*400+(IF('calcA'!EJ$106=1,1-IH30,0)+IF('calcA'!EK$106=1,1-IJ30,0))*150+186+'calcA'!EK$5*100000+IF(AND($E30=1,NX30=0),50000,0))+IF($H30=1,INDEX('calcA'!$D$180:$EQ$219,$B30,138)*4000,0)-IF(AND('calcA'!EJ$117=1,ZH30&gt;0),2000,0)-IF(AND($U30=1,'calcA'!EK$117=1,IJ30=0),2000,0))),1000000000))</f>
        <v/>
      </c>
      <c r="TN30">
        <f>IF($B30=0,1000000000,IF(INDEX('calcA'!$D$60:$EQ$99,$B30,139)*IF($W30=1,IJ30+AEY30,IJ30)=1,IF(AND($E30=2,IF($W30=1,AKN30,NY30)=0),1000000000,IF($V30=1,INDEX('calcA'!$D$130:$EQ$169,$B30,139)+IF(AND($E30=1,NY30=0),25,0),IF($F30&gt;0,INDEX('calcA'!EL$110:EL$114,$F30+1)+IF(AND($E30=1,NY30=0),1000,0),MIN(TZ30,20)*400+(IF('calcA'!EK$106=1,1-II30,0)+IF('calcA'!EL$106=1,1-IK30,0))*150+196+'calcA'!EL$5*100000+IF(AND($E30=1,NY30=0),50000,0))+IF($H30=1,INDEX('calcA'!$D$180:$EQ$219,$B30,139)*4000,0)-IF(AND('calcA'!EK$117=1,ZI30&gt;0),2000,0)-IF(AND($U30=1,'calcA'!EL$117=1,IK30=0),2000,0))),1000000000))</f>
        <v/>
      </c>
      <c r="TO30">
        <f>IF($B30=0,1000000000,IF(INDEX('calcA'!$D$60:$EQ$99,$B30,140)*IF($W30=1,IK30+AEZ30,IK30)=1,IF(AND($E30=2,IF($W30=1,AKO30,NZ30)=0),1000000000,IF($V30=1,INDEX('calcA'!$D$130:$EQ$169,$B30,140)+IF(AND($E30=1,NZ30=0),25,0),IF($F30&gt;0,INDEX('calcA'!EM$110:EM$114,$F30+1)+IF(AND($E30=1,NZ30=0),1000,0),MIN(TZ30,20)*400+(IF('calcA'!EL$106=1,1-IJ30,0)+IF('calcA'!EM$106=1,1-IL30,0))*150+206+'calcA'!EM$5*100000+IF(AND($E30=1,NZ30=0),50000,0))+IF($H30=1,INDEX('calcA'!$D$180:$EQ$219,$B30,140)*4000,0)-IF(AND('calcA'!EL$117=1,ZJ30&gt;0),2000,0)-IF(AND($U30=1,'calcA'!EM$117=1,IL30=0),2000,0))),1000000000))</f>
        <v/>
      </c>
      <c r="TP30">
        <f>IF($B30=0,1000000000,IF(INDEX('calcA'!$D$60:$EQ$99,$B30,141)*IF($W30=1,IL30+AFA30,IL30)=1,IF(AND($E30=2,IF($W30=1,AKP30,OA30)=0),1000000000,IF($V30=1,INDEX('calcA'!$D$130:$EQ$169,$B30,141)+IF(AND($E30=1,OA30=0),25,0),IF($F30&gt;0,INDEX('calcA'!EN$110:EN$114,$F30+1)+IF(AND($E30=1,OA30=0),1000,0),MIN(TZ30,20)*400+(IF('calcA'!EM$106=1,1-IK30,0)+IF('calcA'!EN$106=1,1-IM30,0))*150+216+'calcA'!EN$5*100000+IF(AND($E30=1,OA30=0),50000,0))+IF($H30=1,INDEX('calcA'!$D$180:$EQ$219,$B30,141)*4000,0)-IF(AND('calcA'!EM$117=1,ZK30&gt;0),2000,0)-IF(AND($U30=1,'calcA'!EN$117=1,IM30=0),2000,0))),1000000000))</f>
        <v/>
      </c>
      <c r="TQ30">
        <f>IF($B30=0,1000000000,IF(INDEX('calcA'!$D$60:$EQ$99,$B30,142)*IF($W30=1,IM30+AFB30,IM30)=1,IF(AND($E30=2,IF($W30=1,AKQ30,OB30)=0),1000000000,IF($V30=1,INDEX('calcA'!$D$130:$EQ$169,$B30,142)+IF(AND($E30=1,OB30=0),25,0),IF($F30&gt;0,INDEX('calcA'!EO$110:EO$114,$F30+1)+IF(AND($E30=1,OB30=0),1000,0),MIN(TZ30,20)*400+(IF('calcA'!EN$106=1,1-IL30,0)+IF('calcA'!EO$106=1,1-IN30,0))*150+226+'calcA'!EO$5*100000+IF(AND($E30=1,OB30=0),50000,0))+IF($H30=1,INDEX('calcA'!$D$180:$EQ$219,$B30,142)*4000,0)-IF(AND('calcA'!EN$117=1,ZL30&gt;0),2000,0)-IF(AND($U30=1,'calcA'!EO$117=1,IN30=0),2000,0))),1000000000))</f>
        <v/>
      </c>
      <c r="TR30">
        <f>IF($B30=0,1000000000,IF(INDEX('calcA'!$D$60:$EQ$99,$B30,143)*IF($W30=1,IN30+AFC30,IN30)=1,IF(AND($E30=2,IF($W30=1,AKR30,OC30)=0),1000000000,IF($V30=1,INDEX('calcA'!$D$130:$EQ$169,$B30,143)+IF(AND($E30=1,OC30=0),25,0),IF($F30&gt;0,INDEX('calcA'!EP$110:EP$114,$F30+1)+IF(AND($E30=1,OC30=0),1000,0),MIN(TZ30,20)*400+(IF('calcA'!EO$106=1,1-IM30,0)+IF('calcA'!EP$106=1,1-IO30,0))*150+236+'calcA'!EP$5*100000+IF(AND($E30=1,OC30=0),50000,0))+IF($H30=1,INDEX('calcA'!$D$180:$EQ$219,$B30,143)*4000,0)-IF(AND('calcA'!EO$117=1,ZM30&gt;0),2000,0)-IF(AND($U30=1,'calcA'!EP$117=1,IO30=0),2000,0))),1000000000))</f>
        <v/>
      </c>
      <c r="TS30">
        <f>IF($B30=0,1000000000,IF(INDEX('calcA'!$D$60:$EQ$99,$B30,144)*IF($W30=1,IO30+AFD30,IO30)=1,IF(AND($E30=2,IF($W30=1,AKS30,OD30)=0),1000000000,IF($V30=1,INDEX('calcA'!$D$130:$EQ$169,$B30,144)+IF(AND($E30=1,OD30=0),25,0),IF($F30&gt;0,INDEX('calcA'!EQ$110:EQ$114,$F30+1)+IF(AND($E30=1,OD30=0),1000,0),MIN(TZ30,20)*400+(IF('calcA'!EP$106=1,1-IN30,0))*150+246+'calcA'!EQ$5*100000+IF(AND($E30=1,OD30=0),50000,0))+IF($H30=1,INDEX('calcA'!$D$180:$EQ$219,$B30,144)*4000,0)-IF(AND('calcA'!EP$117=1,ZN30&gt;0),2000,0))),1000000000))</f>
        <v/>
      </c>
      <c r="TU30">
        <f>TU29+IF($C29&gt;0,IF(INDEX('calcA'!$D$2:$EQ$2,$C29)=1,1,0),0)</f>
        <v/>
      </c>
      <c r="TV30">
        <f>TV29+IF($C29&gt;0,IF(INDEX('calcA'!$D$2:$EQ$2,$C29)=2,1,0),0)</f>
        <v/>
      </c>
      <c r="TW30">
        <f>TW29+IF($C29&gt;0,IF(INDEX('calcA'!$D$2:$EQ$2,$C29)=3,1,0),0)</f>
        <v/>
      </c>
      <c r="TX30">
        <f>TX29+IF($C29&gt;0,IF(INDEX('calcA'!$D$2:$EQ$2,$C29)=4,1,0),0)</f>
        <v/>
      </c>
      <c r="TY30">
        <f>TY29+IF($C29&gt;0,IF(INDEX('calcA'!$D$2:$EQ$2,$C29)=5,1,0),0)</f>
        <v/>
      </c>
      <c r="TZ30">
        <f>TZ29+IF($C29&gt;0,IF(INDEX('calcA'!$D$2:$EQ$2,$C29)=6,1,0),0)</f>
        <v/>
      </c>
      <c r="UB30">
        <f>UB29+IF(AND($C29=1,$U29=1),1,0)</f>
        <v/>
      </c>
      <c r="UC30">
        <f>UC29+IF(AND($C29=2,$U29=1),1,0)</f>
        <v/>
      </c>
      <c r="UD30">
        <f>UD29+IF(AND($C29=3,$U29=1),1,0)</f>
        <v/>
      </c>
      <c r="UE30">
        <f>UE29+IF(AND($C29=4,$U29=1),1,0)</f>
        <v/>
      </c>
      <c r="UF30">
        <f>UF29+IF(AND($C29=5,$U29=1),1,0)</f>
        <v/>
      </c>
      <c r="UG30">
        <f>UG29+IF(AND($C29=6,$U29=1),1,0)</f>
        <v/>
      </c>
      <c r="UH30">
        <f>UH29+IF(AND($C29=7,$U29=1),1,0)</f>
        <v/>
      </c>
      <c r="UI30">
        <f>UI29+IF(AND($C29=8,$U29=1),1,0)</f>
        <v/>
      </c>
      <c r="UJ30">
        <f>UJ29+IF(AND($C29=9,$U29=1),1,0)</f>
        <v/>
      </c>
      <c r="UK30">
        <f>UK29+IF(AND($C29=10,$U29=1),1,0)</f>
        <v/>
      </c>
      <c r="UL30">
        <f>UL29+IF(AND($C29=11,$U29=1),1,0)</f>
        <v/>
      </c>
      <c r="UM30">
        <f>UM29+IF(AND($C29=12,$U29=1),1,0)</f>
        <v/>
      </c>
      <c r="UN30">
        <f>UN29+IF(AND($C29=13,$U29=1),1,0)</f>
        <v/>
      </c>
      <c r="UO30">
        <f>UO29+IF(AND($C29=14,$U29=1),1,0)</f>
        <v/>
      </c>
      <c r="UP30">
        <f>UP29+IF(AND($C29=15,$U29=1),1,0)</f>
        <v/>
      </c>
      <c r="UQ30">
        <f>UQ29+IF(AND($C29=16,$U29=1),1,0)</f>
        <v/>
      </c>
      <c r="UR30">
        <f>UR29+IF(AND($C29=17,$U29=1),1,0)</f>
        <v/>
      </c>
      <c r="US30">
        <f>US29+IF(AND($C29=18,$U29=1),1,0)</f>
        <v/>
      </c>
      <c r="UT30">
        <f>UT29+IF(AND($C29=19,$U29=1),1,0)</f>
        <v/>
      </c>
      <c r="UU30">
        <f>UU29+IF(AND($C29=20,$U29=1),1,0)</f>
        <v/>
      </c>
      <c r="UV30">
        <f>UV29+IF(AND($C29=21,$U29=1),1,0)</f>
        <v/>
      </c>
      <c r="UW30">
        <f>UW29+IF(AND($C29=22,$U29=1),1,0)</f>
        <v/>
      </c>
      <c r="UX30">
        <f>UX29+IF(AND($C29=23,$U29=1),1,0)</f>
        <v/>
      </c>
      <c r="UY30">
        <f>UY29+IF(AND($C29=24,$U29=1),1,0)</f>
        <v/>
      </c>
      <c r="UZ30">
        <f>UZ29+IF(AND($C29=25,$U29=1),1,0)</f>
        <v/>
      </c>
      <c r="VA30">
        <f>VA29+IF(AND($C29=26,$U29=1),1,0)</f>
        <v/>
      </c>
      <c r="VB30">
        <f>VB29+IF(AND($C29=27,$U29=1),1,0)</f>
        <v/>
      </c>
      <c r="VC30">
        <f>VC29+IF(AND($C29=28,$U29=1),1,0)</f>
        <v/>
      </c>
      <c r="VD30">
        <f>VD29+IF(AND($C29=29,$U29=1),1,0)</f>
        <v/>
      </c>
      <c r="VE30">
        <f>VE29+IF(AND($C29=30,$U29=1),1,0)</f>
        <v/>
      </c>
      <c r="VF30">
        <f>VF29+IF(AND($C29=31,$U29=1),1,0)</f>
        <v/>
      </c>
      <c r="VG30">
        <f>VG29+IF(AND($C29=32,$U29=1),1,0)</f>
        <v/>
      </c>
      <c r="VH30">
        <f>VH29+IF(AND($C29=33,$U29=1),1,0)</f>
        <v/>
      </c>
      <c r="VI30">
        <f>VI29+IF(AND($C29=34,$U29=1),1,0)</f>
        <v/>
      </c>
      <c r="VJ30">
        <f>VJ29+IF(AND($C29=35,$U29=1),1,0)</f>
        <v/>
      </c>
      <c r="VK30">
        <f>VK29+IF(AND($C29=36,$U29=1),1,0)</f>
        <v/>
      </c>
      <c r="VL30">
        <f>VL29+IF(AND($C29=37,$U29=1),1,0)</f>
        <v/>
      </c>
      <c r="VM30">
        <f>VM29+IF(AND($C29=38,$U29=1),1,0)</f>
        <v/>
      </c>
      <c r="VN30">
        <f>VN29+IF(AND($C29=39,$U29=1),1,0)</f>
        <v/>
      </c>
      <c r="VO30">
        <f>VO29+IF(AND($C29=40,$U29=1),1,0)</f>
        <v/>
      </c>
      <c r="VP30">
        <f>VP29+IF(AND($C29=41,$U29=1),1,0)</f>
        <v/>
      </c>
      <c r="VQ30">
        <f>VQ29+IF(AND($C29=42,$U29=1),1,0)</f>
        <v/>
      </c>
      <c r="VR30">
        <f>VR29+IF(AND($C29=43,$U29=1),1,0)</f>
        <v/>
      </c>
      <c r="VS30">
        <f>VS29+IF(AND($C29=44,$U29=1),1,0)</f>
        <v/>
      </c>
      <c r="VT30">
        <f>VT29+IF(AND($C29=45,$U29=1),1,0)</f>
        <v/>
      </c>
      <c r="VU30">
        <f>VU29+IF(AND($C29=46,$U29=1),1,0)</f>
        <v/>
      </c>
      <c r="VV30">
        <f>VV29+IF(AND($C29=47,$U29=1),1,0)</f>
        <v/>
      </c>
      <c r="VW30">
        <f>VW29+IF(AND($C29=48,$U29=1),1,0)</f>
        <v/>
      </c>
      <c r="VX30">
        <f>VX29+IF(AND($C29=49,$U29=1),1,0)</f>
        <v/>
      </c>
      <c r="VY30">
        <f>VY29+IF(AND($C29=50,$U29=1),1,0)</f>
        <v/>
      </c>
      <c r="VZ30">
        <f>VZ29+IF(AND($C29=51,$U29=1),1,0)</f>
        <v/>
      </c>
      <c r="WA30">
        <f>WA29+IF(AND($C29=52,$U29=1),1,0)</f>
        <v/>
      </c>
      <c r="WB30">
        <f>WB29+IF(AND($C29=53,$U29=1),1,0)</f>
        <v/>
      </c>
      <c r="WC30">
        <f>WC29+IF(AND($C29=54,$U29=1),1,0)</f>
        <v/>
      </c>
      <c r="WD30">
        <f>WD29+IF(AND($C29=55,$U29=1),1,0)</f>
        <v/>
      </c>
      <c r="WE30">
        <f>WE29+IF(AND($C29=56,$U29=1),1,0)</f>
        <v/>
      </c>
      <c r="WF30">
        <f>WF29+IF(AND($C29=57,$U29=1),1,0)</f>
        <v/>
      </c>
      <c r="WG30">
        <f>WG29+IF(AND($C29=58,$U29=1),1,0)</f>
        <v/>
      </c>
      <c r="WH30">
        <f>WH29+IF(AND($C29=59,$U29=1),1,0)</f>
        <v/>
      </c>
      <c r="WI30">
        <f>WI29+IF(AND($C29=60,$U29=1),1,0)</f>
        <v/>
      </c>
      <c r="WJ30">
        <f>WJ29+IF(AND($C29=61,$U29=1),1,0)</f>
        <v/>
      </c>
      <c r="WK30">
        <f>WK29+IF(AND($C29=62,$U29=1),1,0)</f>
        <v/>
      </c>
      <c r="WL30">
        <f>WL29+IF(AND($C29=63,$U29=1),1,0)</f>
        <v/>
      </c>
      <c r="WM30">
        <f>WM29+IF(AND($C29=64,$U29=1),1,0)</f>
        <v/>
      </c>
      <c r="WN30">
        <f>WN29+IF(AND($C29=65,$U29=1),1,0)</f>
        <v/>
      </c>
      <c r="WO30">
        <f>WO29+IF(AND($C29=66,$U29=1),1,0)</f>
        <v/>
      </c>
      <c r="WP30">
        <f>WP29+IF(AND($C29=67,$U29=1),1,0)</f>
        <v/>
      </c>
      <c r="WQ30">
        <f>WQ29+IF(AND($C29=68,$U29=1),1,0)</f>
        <v/>
      </c>
      <c r="WR30">
        <f>WR29+IF(AND($C29=69,$U29=1),1,0)</f>
        <v/>
      </c>
      <c r="WS30">
        <f>WS29+IF(AND($C29=70,$U29=1),1,0)</f>
        <v/>
      </c>
      <c r="WT30">
        <f>WT29+IF(AND($C29=71,$U29=1),1,0)</f>
        <v/>
      </c>
      <c r="WU30">
        <f>WU29+IF(AND($C29=72,$U29=1),1,0)</f>
        <v/>
      </c>
      <c r="WV30">
        <f>WV29+IF(AND($C29=73,$U29=1),1,0)</f>
        <v/>
      </c>
      <c r="WW30">
        <f>WW29+IF(AND($C29=74,$U29=1),1,0)</f>
        <v/>
      </c>
      <c r="WX30">
        <f>WX29+IF(AND($C29=75,$U29=1),1,0)</f>
        <v/>
      </c>
      <c r="WY30">
        <f>WY29+IF(AND($C29=76,$U29=1),1,0)</f>
        <v/>
      </c>
      <c r="WZ30">
        <f>WZ29+IF(AND($C29=77,$U29=1),1,0)</f>
        <v/>
      </c>
      <c r="XA30">
        <f>XA29+IF(AND($C29=78,$U29=1),1,0)</f>
        <v/>
      </c>
      <c r="XB30">
        <f>XB29+IF(AND($C29=79,$U29=1),1,0)</f>
        <v/>
      </c>
      <c r="XC30">
        <f>XC29+IF(AND($C29=80,$U29=1),1,0)</f>
        <v/>
      </c>
      <c r="XD30">
        <f>XD29+IF(AND($C29=81,$U29=1),1,0)</f>
        <v/>
      </c>
      <c r="XE30">
        <f>XE29+IF(AND($C29=82,$U29=1),1,0)</f>
        <v/>
      </c>
      <c r="XF30">
        <f>XF29+IF(AND($C29=83,$U29=1),1,0)</f>
        <v/>
      </c>
      <c r="XG30">
        <f>XG29+IF(AND($C29=84,$U29=1),1,0)</f>
        <v/>
      </c>
      <c r="XH30">
        <f>XH29+IF(AND($C29=85,$U29=1),1,0)</f>
        <v/>
      </c>
      <c r="XI30">
        <f>XI29+IF(AND($C29=86,$U29=1),1,0)</f>
        <v/>
      </c>
      <c r="XJ30">
        <f>XJ29+IF(AND($C29=87,$U29=1),1,0)</f>
        <v/>
      </c>
      <c r="XK30">
        <f>XK29+IF(AND($C29=88,$U29=1),1,0)</f>
        <v/>
      </c>
      <c r="XL30">
        <f>XL29+IF(AND($C29=89,$U29=1),1,0)</f>
        <v/>
      </c>
      <c r="XM30">
        <f>XM29+IF(AND($C29=90,$U29=1),1,0)</f>
        <v/>
      </c>
      <c r="XN30">
        <f>XN29+IF(AND($C29=91,$U29=1),1,0)</f>
        <v/>
      </c>
      <c r="XO30">
        <f>XO29+IF(AND($C29=92,$U29=1),1,0)</f>
        <v/>
      </c>
      <c r="XP30">
        <f>XP29+IF(AND($C29=93,$U29=1),1,0)</f>
        <v/>
      </c>
      <c r="XQ30">
        <f>XQ29+IF(AND($C29=94,$U29=1),1,0)</f>
        <v/>
      </c>
      <c r="XR30">
        <f>XR29+IF(AND($C29=95,$U29=1),1,0)</f>
        <v/>
      </c>
      <c r="XS30">
        <f>XS29+IF(AND($C29=96,$U29=1),1,0)</f>
        <v/>
      </c>
      <c r="XT30">
        <f>XT29+IF(AND($C29=97,$U29=1),1,0)</f>
        <v/>
      </c>
      <c r="XU30">
        <f>XU29+IF(AND($C29=98,$U29=1),1,0)</f>
        <v/>
      </c>
      <c r="XV30">
        <f>XV29+IF(AND($C29=99,$U29=1),1,0)</f>
        <v/>
      </c>
      <c r="XW30">
        <f>XW29+IF(AND($C29=100,$U29=1),1,0)</f>
        <v/>
      </c>
      <c r="XX30">
        <f>XX29+IF(AND($C29=101,$U29=1),1,0)</f>
        <v/>
      </c>
      <c r="XY30">
        <f>XY29+IF(AND($C29=102,$U29=1),1,0)</f>
        <v/>
      </c>
      <c r="XZ30">
        <f>XZ29+IF(AND($C29=103,$U29=1),1,0)</f>
        <v/>
      </c>
      <c r="YA30">
        <f>YA29+IF(AND($C29=104,$U29=1),1,0)</f>
        <v/>
      </c>
      <c r="YB30">
        <f>YB29+IF(AND($C29=105,$U29=1),1,0)</f>
        <v/>
      </c>
      <c r="YC30">
        <f>YC29+IF(AND($C29=106,$U29=1),1,0)</f>
        <v/>
      </c>
      <c r="YD30">
        <f>YD29+IF(AND($C29=107,$U29=1),1,0)</f>
        <v/>
      </c>
      <c r="YE30">
        <f>YE29+IF(AND($C29=108,$U29=1),1,0)</f>
        <v/>
      </c>
      <c r="YF30">
        <f>YF29+IF(AND($C29=109,$U29=1),1,0)</f>
        <v/>
      </c>
      <c r="YG30">
        <f>YG29+IF(AND($C29=110,$U29=1),1,0)</f>
        <v/>
      </c>
      <c r="YH30">
        <f>YH29+IF(AND($C29=111,$U29=1),1,0)</f>
        <v/>
      </c>
      <c r="YI30">
        <f>YI29+IF(AND($C29=112,$U29=1),1,0)</f>
        <v/>
      </c>
      <c r="YJ30">
        <f>YJ29+IF(AND($C29=113,$U29=1),1,0)</f>
        <v/>
      </c>
      <c r="YK30">
        <f>YK29+IF(AND($C29=114,$U29=1),1,0)</f>
        <v/>
      </c>
      <c r="YL30">
        <f>YL29+IF(AND($C29=115,$U29=1),1,0)</f>
        <v/>
      </c>
      <c r="YM30">
        <f>YM29+IF(AND($C29=116,$U29=1),1,0)</f>
        <v/>
      </c>
      <c r="YN30">
        <f>YN29+IF(AND($C29=117,$U29=1),1,0)</f>
        <v/>
      </c>
      <c r="YO30">
        <f>YO29+IF(AND($C29=118,$U29=1),1,0)</f>
        <v/>
      </c>
      <c r="YP30">
        <f>YP29+IF(AND($C29=119,$U29=1),1,0)</f>
        <v/>
      </c>
      <c r="YQ30">
        <f>YQ29+IF(AND($C29=120,$U29=1),1,0)</f>
        <v/>
      </c>
      <c r="YR30">
        <f>YR29+IF(AND($C29=121,$U29=1),1,0)</f>
        <v/>
      </c>
      <c r="YS30">
        <f>YS29+IF(AND($C29=122,$U29=1),1,0)</f>
        <v/>
      </c>
      <c r="YT30">
        <f>YT29+IF(AND($C29=123,$U29=1),1,0)</f>
        <v/>
      </c>
      <c r="YU30">
        <f>YU29+IF(AND($C29=124,$U29=1),1,0)</f>
        <v/>
      </c>
      <c r="YV30">
        <f>YV29+IF(AND($C29=125,$U29=1),1,0)</f>
        <v/>
      </c>
      <c r="YW30">
        <f>YW29+IF(AND($C29=126,$U29=1),1,0)</f>
        <v/>
      </c>
      <c r="YX30">
        <f>YX29+IF(AND($C29=127,$U29=1),1,0)</f>
        <v/>
      </c>
      <c r="YY30">
        <f>YY29+IF(AND($C29=128,$U29=1),1,0)</f>
        <v/>
      </c>
      <c r="YZ30">
        <f>YZ29+IF(AND($C29=129,$U29=1),1,0)</f>
        <v/>
      </c>
      <c r="ZA30">
        <f>ZA29+IF(AND($C29=130,$U29=1),1,0)</f>
        <v/>
      </c>
      <c r="ZB30">
        <f>ZB29+IF(AND($C29=131,$U29=1),1,0)</f>
        <v/>
      </c>
      <c r="ZC30">
        <f>ZC29+IF(AND($C29=132,$U29=1),1,0)</f>
        <v/>
      </c>
      <c r="ZD30">
        <f>ZD29+IF(AND($C29=133,$U29=1),1,0)</f>
        <v/>
      </c>
      <c r="ZE30">
        <f>ZE29+IF(AND($C29=134,$U29=1),1,0)</f>
        <v/>
      </c>
      <c r="ZF30">
        <f>ZF29+IF(AND($C29=135,$U29=1),1,0)</f>
        <v/>
      </c>
      <c r="ZG30">
        <f>ZG29+IF(AND($C29=136,$U29=1),1,0)</f>
        <v/>
      </c>
      <c r="ZH30">
        <f>ZH29+IF(AND($C29=137,$U29=1),1,0)</f>
        <v/>
      </c>
      <c r="ZI30">
        <f>ZI29+IF(AND($C29=138,$U29=1),1,0)</f>
        <v/>
      </c>
      <c r="ZJ30">
        <f>ZJ29+IF(AND($C29=139,$U29=1),1,0)</f>
        <v/>
      </c>
      <c r="ZK30">
        <f>ZK29+IF(AND($C29=140,$U29=1),1,0)</f>
        <v/>
      </c>
      <c r="ZL30">
        <f>ZL29+IF(AND($C29=141,$U29=1),1,0)</f>
        <v/>
      </c>
      <c r="ZM30">
        <f>ZM29+IF(AND($C29=142,$U29=1),1,0)</f>
        <v/>
      </c>
      <c r="ZN30">
        <f>ZN29+IF(AND($C29=143,$U29=1),1,0)</f>
        <v/>
      </c>
      <c r="ZO30">
        <f>ZO29+IF(AND($C29=144,$U29=1),1,0)</f>
        <v/>
      </c>
      <c r="ZQ30">
        <f>IF($C29=1,0,ZQ29+IF(AND($G29=1,$E29=1),1,0))</f>
        <v/>
      </c>
      <c r="ZR30">
        <f>IF($C29=2,0,ZR29+IF(AND($G29=2,$E29=1),1,0))</f>
        <v/>
      </c>
      <c r="ZS30">
        <f>IF($C29=3,0,ZS29+IF(AND($G29=3,$E29=1),1,0))</f>
        <v/>
      </c>
      <c r="ZT30">
        <f>IF($C29=4,0,ZT29+IF(AND($G29=4,$E29=1),1,0))</f>
        <v/>
      </c>
      <c r="ZU30">
        <f>IF($C29=5,0,ZU29+IF(AND($G29=5,$E29=1),1,0))</f>
        <v/>
      </c>
      <c r="ZV30">
        <f>IF($C29=6,0,ZV29+IF(AND($G29=6,$E29=1),1,0))</f>
        <v/>
      </c>
      <c r="ZW30">
        <f>IF($C29=7,0,ZW29+IF(AND($G29=7,$E29=1),1,0))</f>
        <v/>
      </c>
      <c r="ZX30">
        <f>IF($C29=8,0,ZX29+IF(AND($G29=8,$E29=1),1,0))</f>
        <v/>
      </c>
      <c r="ZY30">
        <f>IF($C29=9,0,ZY29+IF(AND($G29=9,$E29=1),1,0))</f>
        <v/>
      </c>
      <c r="ZZ30">
        <f>IF($C29=10,0,ZZ29+IF(AND($G29=10,$E29=1),1,0))</f>
        <v/>
      </c>
      <c r="AAA30">
        <f>IF($C29=11,0,AAA29+IF(AND($G29=11,$E29=1),1,0))</f>
        <v/>
      </c>
      <c r="AAB30">
        <f>IF($C29=12,0,AAB29+IF(AND($G29=12,$E29=1),1,0))</f>
        <v/>
      </c>
      <c r="AAC30">
        <f>IF($C29=13,0,AAC29+IF(AND($G29=13,$E29=1),1,0))</f>
        <v/>
      </c>
      <c r="AAD30">
        <f>IF($C29=14,0,AAD29+IF(AND($G29=14,$E29=1),1,0))</f>
        <v/>
      </c>
      <c r="AAE30">
        <f>IF($C29=15,0,AAE29+IF(AND($G29=15,$E29=1),1,0))</f>
        <v/>
      </c>
      <c r="AAF30">
        <f>IF($C29=16,0,AAF29+IF(AND($G29=16,$E29=1),1,0))</f>
        <v/>
      </c>
      <c r="AAG30">
        <f>IF($C29=17,0,AAG29+IF(AND($G29=17,$E29=1),1,0))</f>
        <v/>
      </c>
      <c r="AAH30">
        <f>IF($C29=18,0,AAH29+IF(AND($G29=18,$E29=1),1,0))</f>
        <v/>
      </c>
      <c r="AAI30">
        <f>IF($C29=19,0,AAI29+IF(AND($G29=19,$E29=1),1,0))</f>
        <v/>
      </c>
      <c r="AAJ30">
        <f>IF($C29=20,0,AAJ29+IF(AND($G29=20,$E29=1),1,0))</f>
        <v/>
      </c>
      <c r="AAK30">
        <f>IF($C29=21,0,AAK29+IF(AND($G29=21,$E29=1),1,0))</f>
        <v/>
      </c>
      <c r="AAL30">
        <f>IF($C29=22,0,AAL29+IF(AND($G29=22,$E29=1),1,0))</f>
        <v/>
      </c>
      <c r="AAM30">
        <f>IF($C29=23,0,AAM29+IF(AND($G29=23,$E29=1),1,0))</f>
        <v/>
      </c>
      <c r="AAN30">
        <f>IF($C29=24,0,AAN29+IF(AND($G29=24,$E29=1),1,0))</f>
        <v/>
      </c>
      <c r="AAO30">
        <f>IF($C29=25,0,AAO29+IF(AND($G29=25,$E29=1),1,0))</f>
        <v/>
      </c>
      <c r="AAP30">
        <f>IF($C29=26,0,AAP29+IF(AND($G29=26,$E29=1),1,0))</f>
        <v/>
      </c>
      <c r="AAQ30">
        <f>IF($C29=27,0,AAQ29+IF(AND($G29=27,$E29=1),1,0))</f>
        <v/>
      </c>
      <c r="AAR30">
        <f>IF($C29=28,0,AAR29+IF(AND($G29=28,$E29=1),1,0))</f>
        <v/>
      </c>
      <c r="AAS30">
        <f>IF($C29=29,0,AAS29+IF(AND($G29=29,$E29=1),1,0))</f>
        <v/>
      </c>
      <c r="AAT30">
        <f>IF($C29=30,0,AAT29+IF(AND($G29=30,$E29=1),1,0))</f>
        <v/>
      </c>
      <c r="AAU30">
        <f>IF($C29=31,0,AAU29+IF(AND($G29=31,$E29=1),1,0))</f>
        <v/>
      </c>
      <c r="AAV30">
        <f>IF($C29=32,0,AAV29+IF(AND($G29=32,$E29=1),1,0))</f>
        <v/>
      </c>
      <c r="AAW30">
        <f>IF($C29=33,0,AAW29+IF(AND($G29=33,$E29=1),1,0))</f>
        <v/>
      </c>
      <c r="AAX30">
        <f>IF($C29=34,0,AAX29+IF(AND($G29=34,$E29=1),1,0))</f>
        <v/>
      </c>
      <c r="AAY30">
        <f>IF($C29=35,0,AAY29+IF(AND($G29=35,$E29=1),1,0))</f>
        <v/>
      </c>
      <c r="AAZ30">
        <f>IF($C29=36,0,AAZ29+IF(AND($G29=36,$E29=1),1,0))</f>
        <v/>
      </c>
      <c r="ABA30">
        <f>IF($C29=37,0,ABA29+IF(AND($G29=37,$E29=1),1,0))</f>
        <v/>
      </c>
      <c r="ABB30">
        <f>IF($C29=38,0,ABB29+IF(AND($G29=38,$E29=1),1,0))</f>
        <v/>
      </c>
      <c r="ABC30">
        <f>IF($C29=39,0,ABC29+IF(AND($G29=39,$E29=1),1,0))</f>
        <v/>
      </c>
      <c r="ABD30">
        <f>IF($C29=40,0,ABD29+IF(AND($G29=40,$E29=1),1,0))</f>
        <v/>
      </c>
      <c r="ABE30">
        <f>IF($C29=41,0,ABE29+IF(AND($G29=41,$E29=1),1,0))</f>
        <v/>
      </c>
      <c r="ABF30">
        <f>IF($C29=42,0,ABF29+IF(AND($G29=42,$E29=1),1,0))</f>
        <v/>
      </c>
      <c r="ABG30">
        <f>IF($C29=43,0,ABG29+IF(AND($G29=43,$E29=1),1,0))</f>
        <v/>
      </c>
      <c r="ABH30">
        <f>IF($C29=44,0,ABH29+IF(AND($G29=44,$E29=1),1,0))</f>
        <v/>
      </c>
      <c r="ABI30">
        <f>IF($C29=45,0,ABI29+IF(AND($G29=45,$E29=1),1,0))</f>
        <v/>
      </c>
      <c r="ABJ30">
        <f>IF($C29=46,0,ABJ29+IF(AND($G29=46,$E29=1),1,0))</f>
        <v/>
      </c>
      <c r="ABK30">
        <f>IF($C29=47,0,ABK29+IF(AND($G29=47,$E29=1),1,0))</f>
        <v/>
      </c>
      <c r="ABL30">
        <f>IF($C29=48,0,ABL29+IF(AND($G29=48,$E29=1),1,0))</f>
        <v/>
      </c>
      <c r="ABM30">
        <f>IF($C29=49,0,ABM29+IF(AND($G29=49,$E29=1),1,0))</f>
        <v/>
      </c>
      <c r="ABN30">
        <f>IF($C29=50,0,ABN29+IF(AND($G29=50,$E29=1),1,0))</f>
        <v/>
      </c>
      <c r="ABO30">
        <f>IF($C29=51,0,ABO29+IF(AND($G29=51,$E29=1),1,0))</f>
        <v/>
      </c>
      <c r="ABP30">
        <f>IF($C29=52,0,ABP29+IF(AND($G29=52,$E29=1),1,0))</f>
        <v/>
      </c>
      <c r="ABQ30">
        <f>IF($C29=53,0,ABQ29+IF(AND($G29=53,$E29=1),1,0))</f>
        <v/>
      </c>
      <c r="ABR30">
        <f>IF($C29=54,0,ABR29+IF(AND($G29=54,$E29=1),1,0))</f>
        <v/>
      </c>
      <c r="ABS30">
        <f>IF($C29=55,0,ABS29+IF(AND($G29=55,$E29=1),1,0))</f>
        <v/>
      </c>
      <c r="ABT30">
        <f>IF($C29=56,0,ABT29+IF(AND($G29=56,$E29=1),1,0))</f>
        <v/>
      </c>
      <c r="ABU30">
        <f>IF($C29=57,0,ABU29+IF(AND($G29=57,$E29=1),1,0))</f>
        <v/>
      </c>
      <c r="ABV30">
        <f>IF($C29=58,0,ABV29+IF(AND($G29=58,$E29=1),1,0))</f>
        <v/>
      </c>
      <c r="ABW30">
        <f>IF($C29=59,0,ABW29+IF(AND($G29=59,$E29=1),1,0))</f>
        <v/>
      </c>
      <c r="ABX30">
        <f>IF($C29=60,0,ABX29+IF(AND($G29=60,$E29=1),1,0))</f>
        <v/>
      </c>
      <c r="ABY30">
        <f>IF($C29=61,0,ABY29+IF(AND($G29=61,$E29=1),1,0))</f>
        <v/>
      </c>
      <c r="ABZ30">
        <f>IF($C29=62,0,ABZ29+IF(AND($G29=62,$E29=1),1,0))</f>
        <v/>
      </c>
      <c r="ACA30">
        <f>IF($C29=63,0,ACA29+IF(AND($G29=63,$E29=1),1,0))</f>
        <v/>
      </c>
      <c r="ACB30">
        <f>IF($C29=64,0,ACB29+IF(AND($G29=64,$E29=1),1,0))</f>
        <v/>
      </c>
      <c r="ACC30">
        <f>IF($C29=65,0,ACC29+IF(AND($G29=65,$E29=1),1,0))</f>
        <v/>
      </c>
      <c r="ACD30">
        <f>IF($C29=66,0,ACD29+IF(AND($G29=66,$E29=1),1,0))</f>
        <v/>
      </c>
      <c r="ACE30">
        <f>IF($C29=67,0,ACE29+IF(AND($G29=67,$E29=1),1,0))</f>
        <v/>
      </c>
      <c r="ACF30">
        <f>IF($C29=68,0,ACF29+IF(AND($G29=68,$E29=1),1,0))</f>
        <v/>
      </c>
      <c r="ACG30">
        <f>IF($C29=69,0,ACG29+IF(AND($G29=69,$E29=1),1,0))</f>
        <v/>
      </c>
      <c r="ACH30">
        <f>IF($C29=70,0,ACH29+IF(AND($G29=70,$E29=1),1,0))</f>
        <v/>
      </c>
      <c r="ACI30">
        <f>IF($C29=71,0,ACI29+IF(AND($G29=71,$E29=1),1,0))</f>
        <v/>
      </c>
      <c r="ACJ30">
        <f>IF($C29=72,0,ACJ29+IF(AND($G29=72,$E29=1),1,0))</f>
        <v/>
      </c>
      <c r="ACK30">
        <f>IF($C29=73,0,ACK29+IF(AND($G29=73,$E29=1),1,0))</f>
        <v/>
      </c>
      <c r="ACL30">
        <f>IF($C29=74,0,ACL29+IF(AND($G29=74,$E29=1),1,0))</f>
        <v/>
      </c>
      <c r="ACM30">
        <f>IF($C29=75,0,ACM29+IF(AND($G29=75,$E29=1),1,0))</f>
        <v/>
      </c>
      <c r="ACN30">
        <f>IF($C29=76,0,ACN29+IF(AND($G29=76,$E29=1),1,0))</f>
        <v/>
      </c>
      <c r="ACO30">
        <f>IF($C29=77,0,ACO29+IF(AND($G29=77,$E29=1),1,0))</f>
        <v/>
      </c>
      <c r="ACP30">
        <f>IF($C29=78,0,ACP29+IF(AND($G29=78,$E29=1),1,0))</f>
        <v/>
      </c>
      <c r="ACQ30">
        <f>IF($C29=79,0,ACQ29+IF(AND($G29=79,$E29=1),1,0))</f>
        <v/>
      </c>
      <c r="ACR30">
        <f>IF($C29=80,0,ACR29+IF(AND($G29=80,$E29=1),1,0))</f>
        <v/>
      </c>
      <c r="ACS30">
        <f>IF($C29=81,0,ACS29+IF(AND($G29=81,$E29=1),1,0))</f>
        <v/>
      </c>
      <c r="ACT30">
        <f>IF($C29=82,0,ACT29+IF(AND($G29=82,$E29=1),1,0))</f>
        <v/>
      </c>
      <c r="ACU30">
        <f>IF($C29=83,0,ACU29+IF(AND($G29=83,$E29=1),1,0))</f>
        <v/>
      </c>
      <c r="ACV30">
        <f>IF($C29=84,0,ACV29+IF(AND($G29=84,$E29=1),1,0))</f>
        <v/>
      </c>
      <c r="ACW30">
        <f>IF($C29=85,0,ACW29+IF(AND($G29=85,$E29=1),1,0))</f>
        <v/>
      </c>
      <c r="ACX30">
        <f>IF($C29=86,0,ACX29+IF(AND($G29=86,$E29=1),1,0))</f>
        <v/>
      </c>
      <c r="ACY30">
        <f>IF($C29=87,0,ACY29+IF(AND($G29=87,$E29=1),1,0))</f>
        <v/>
      </c>
      <c r="ACZ30">
        <f>IF($C29=88,0,ACZ29+IF(AND($G29=88,$E29=1),1,0))</f>
        <v/>
      </c>
      <c r="ADA30">
        <f>IF($C29=89,0,ADA29+IF(AND($G29=89,$E29=1),1,0))</f>
        <v/>
      </c>
      <c r="ADB30">
        <f>IF($C29=90,0,ADB29+IF(AND($G29=90,$E29=1),1,0))</f>
        <v/>
      </c>
      <c r="ADC30">
        <f>IF($C29=91,0,ADC29+IF(AND($G29=91,$E29=1),1,0))</f>
        <v/>
      </c>
      <c r="ADD30">
        <f>IF($C29=92,0,ADD29+IF(AND($G29=92,$E29=1),1,0))</f>
        <v/>
      </c>
      <c r="ADE30">
        <f>IF($C29=93,0,ADE29+IF(AND($G29=93,$E29=1),1,0))</f>
        <v/>
      </c>
      <c r="ADF30">
        <f>IF($C29=94,0,ADF29+IF(AND($G29=94,$E29=1),1,0))</f>
        <v/>
      </c>
      <c r="ADG30">
        <f>IF($C29=95,0,ADG29+IF(AND($G29=95,$E29=1),1,0))</f>
        <v/>
      </c>
      <c r="ADH30">
        <f>IF($C29=96,0,ADH29+IF(AND($G29=96,$E29=1),1,0))</f>
        <v/>
      </c>
      <c r="ADI30">
        <f>IF($C29=97,0,ADI29+IF(AND($G29=97,$E29=1),1,0))</f>
        <v/>
      </c>
      <c r="ADJ30">
        <f>IF($C29=98,0,ADJ29+IF(AND($G29=98,$E29=1),1,0))</f>
        <v/>
      </c>
      <c r="ADK30">
        <f>IF($C29=99,0,ADK29+IF(AND($G29=99,$E29=1),1,0))</f>
        <v/>
      </c>
      <c r="ADL30">
        <f>IF($C29=100,0,ADL29+IF(AND($G29=100,$E29=1),1,0))</f>
        <v/>
      </c>
      <c r="ADM30">
        <f>IF($C29=101,0,ADM29+IF(AND($G29=101,$E29=1),1,0))</f>
        <v/>
      </c>
      <c r="ADN30">
        <f>IF($C29=102,0,ADN29+IF(AND($G29=102,$E29=1),1,0))</f>
        <v/>
      </c>
      <c r="ADO30">
        <f>IF($C29=103,0,ADO29+IF(AND($G29=103,$E29=1),1,0))</f>
        <v/>
      </c>
      <c r="ADP30">
        <f>IF($C29=104,0,ADP29+IF(AND($G29=104,$E29=1),1,0))</f>
        <v/>
      </c>
      <c r="ADQ30">
        <f>IF($C29=105,0,ADQ29+IF(AND($G29=105,$E29=1),1,0))</f>
        <v/>
      </c>
      <c r="ADR30">
        <f>IF($C29=106,0,ADR29+IF(AND($G29=106,$E29=1),1,0))</f>
        <v/>
      </c>
      <c r="ADS30">
        <f>IF($C29=107,0,ADS29+IF(AND($G29=107,$E29=1),1,0))</f>
        <v/>
      </c>
      <c r="ADT30">
        <f>IF($C29=108,0,ADT29+IF(AND($G29=108,$E29=1),1,0))</f>
        <v/>
      </c>
      <c r="ADU30">
        <f>IF($C29=109,0,ADU29+IF(AND($G29=109,$E29=1),1,0))</f>
        <v/>
      </c>
      <c r="ADV30">
        <f>IF($C29=110,0,ADV29+IF(AND($G29=110,$E29=1),1,0))</f>
        <v/>
      </c>
      <c r="ADW30">
        <f>IF($C29=111,0,ADW29+IF(AND($G29=111,$E29=1),1,0))</f>
        <v/>
      </c>
      <c r="ADX30">
        <f>IF($C29=112,0,ADX29+IF(AND($G29=112,$E29=1),1,0))</f>
        <v/>
      </c>
      <c r="ADY30">
        <f>IF($C29=113,0,ADY29+IF(AND($G29=113,$E29=1),1,0))</f>
        <v/>
      </c>
      <c r="ADZ30">
        <f>IF($C29=114,0,ADZ29+IF(AND($G29=114,$E29=1),1,0))</f>
        <v/>
      </c>
      <c r="AEA30">
        <f>IF($C29=115,0,AEA29+IF(AND($G29=115,$E29=1),1,0))</f>
        <v/>
      </c>
      <c r="AEB30">
        <f>IF($C29=116,0,AEB29+IF(AND($G29=116,$E29=1),1,0))</f>
        <v/>
      </c>
      <c r="AEC30">
        <f>IF($C29=117,0,AEC29+IF(AND($G29=117,$E29=1),1,0))</f>
        <v/>
      </c>
      <c r="AED30">
        <f>IF($C29=118,0,AED29+IF(AND($G29=118,$E29=1),1,0))</f>
        <v/>
      </c>
      <c r="AEE30">
        <f>IF($C29=119,0,AEE29+IF(AND($G29=119,$E29=1),1,0))</f>
        <v/>
      </c>
      <c r="AEF30">
        <f>IF($C29=120,0,AEF29+IF(AND($G29=120,$E29=1),1,0))</f>
        <v/>
      </c>
      <c r="AEG30">
        <f>IF($C29=121,0,AEG29+IF(AND($G29=121,$E29=1),1,0))</f>
        <v/>
      </c>
      <c r="AEH30">
        <f>IF($C29=122,0,AEH29+IF(AND($G29=122,$E29=1),1,0))</f>
        <v/>
      </c>
      <c r="AEI30">
        <f>IF($C29=123,0,AEI29+IF(AND($G29=123,$E29=1),1,0))</f>
        <v/>
      </c>
      <c r="AEJ30">
        <f>IF($C29=124,0,AEJ29+IF(AND($G29=124,$E29=1),1,0))</f>
        <v/>
      </c>
      <c r="AEK30">
        <f>IF($C29=125,0,AEK29+IF(AND($G29=125,$E29=1),1,0))</f>
        <v/>
      </c>
      <c r="AEL30">
        <f>IF($C29=126,0,AEL29+IF(AND($G29=126,$E29=1),1,0))</f>
        <v/>
      </c>
      <c r="AEM30">
        <f>IF($C29=127,0,AEM29+IF(AND($G29=127,$E29=1),1,0))</f>
        <v/>
      </c>
      <c r="AEN30">
        <f>IF($C29=128,0,AEN29+IF(AND($G29=128,$E29=1),1,0))</f>
        <v/>
      </c>
      <c r="AEO30">
        <f>IF($C29=129,0,AEO29+IF(AND($G29=129,$E29=1),1,0))</f>
        <v/>
      </c>
      <c r="AEP30">
        <f>IF($C29=130,0,AEP29+IF(AND($G29=130,$E29=1),1,0))</f>
        <v/>
      </c>
      <c r="AEQ30">
        <f>IF($C29=131,0,AEQ29+IF(AND($G29=131,$E29=1),1,0))</f>
        <v/>
      </c>
      <c r="AER30">
        <f>IF($C29=132,0,AER29+IF(AND($G29=132,$E29=1),1,0))</f>
        <v/>
      </c>
      <c r="AES30">
        <f>IF($C29=133,0,AES29+IF(AND($G29=133,$E29=1),1,0))</f>
        <v/>
      </c>
      <c r="AET30">
        <f>IF($C29=134,0,AET29+IF(AND($G29=134,$E29=1),1,0))</f>
        <v/>
      </c>
      <c r="AEU30">
        <f>IF($C29=135,0,AEU29+IF(AND($G29=135,$E29=1),1,0))</f>
        <v/>
      </c>
      <c r="AEV30">
        <f>IF($C29=136,0,AEV29+IF(AND($G29=136,$E29=1),1,0))</f>
        <v/>
      </c>
      <c r="AEW30">
        <f>IF($C29=137,0,AEW29+IF(AND($G29=137,$E29=1),1,0))</f>
        <v/>
      </c>
      <c r="AEX30">
        <f>IF($C29=138,0,AEX29+IF(AND($G29=138,$E29=1),1,0))</f>
        <v/>
      </c>
      <c r="AEY30">
        <f>IF($C29=139,0,AEY29+IF(AND($G29=139,$E29=1),1,0))</f>
        <v/>
      </c>
      <c r="AEZ30">
        <f>IF($C29=140,0,AEZ29+IF(AND($G29=140,$E29=1),1,0))</f>
        <v/>
      </c>
      <c r="AFA30">
        <f>IF($C29=141,0,AFA29+IF(AND($G29=141,$E29=1),1,0))</f>
        <v/>
      </c>
      <c r="AFB30">
        <f>IF($C29=142,0,AFB29+IF(AND($G29=142,$E29=1),1,0))</f>
        <v/>
      </c>
      <c r="AFC30">
        <f>IF($C29=143,0,AFC29+IF(AND($G29=143,$E29=1),1,0))</f>
        <v/>
      </c>
      <c r="AFD30">
        <f>IF($C29=144,0,AFD29+IF(AND($G29=144,$E29=1),1,0))</f>
        <v/>
      </c>
      <c r="AFF30">
        <f>IF('calcA'!D$106=1,DC30+ZR30,1)</f>
        <v/>
      </c>
      <c r="AFG30">
        <f>IF('calcA'!E$106=1,DD30+ZS30,1)</f>
        <v/>
      </c>
      <c r="AFH30">
        <f>IF('calcA'!F$106=1,DE30+ZT30,1)</f>
        <v/>
      </c>
      <c r="AFI30">
        <f>IF('calcA'!G$106=1,DF30+ZU30,1)</f>
        <v/>
      </c>
      <c r="AFJ30">
        <f>IF('calcA'!H$106=1,DG30+ZV30,1)</f>
        <v/>
      </c>
      <c r="AFK30">
        <f>IF('calcA'!I$106=1,DH30+ZW30,1)</f>
        <v/>
      </c>
      <c r="AFL30">
        <f>IF('calcA'!J$106=1,DI30+ZX30,1)</f>
        <v/>
      </c>
      <c r="AFM30">
        <f>IF('calcA'!K$106=1,DJ30+ZY30,1)</f>
        <v/>
      </c>
      <c r="AFN30">
        <f>IF('calcA'!L$106=1,DK30+ZZ30,1)</f>
        <v/>
      </c>
      <c r="AFO30">
        <f>IF('calcA'!M$106=1,DL30+AAA30,1)</f>
        <v/>
      </c>
      <c r="AFP30">
        <f>IF('calcA'!N$106=1,DM30+AAB30,1)</f>
        <v/>
      </c>
      <c r="AFQ30">
        <f>IF('calcA'!O$106=1,DN30+AAC30,1)</f>
        <v/>
      </c>
      <c r="AFR30">
        <f>IF('calcA'!P$106=1,DO30+AAD30,1)</f>
        <v/>
      </c>
      <c r="AFS30">
        <f>IF('calcA'!Q$106=1,DP30+AAE30,1)</f>
        <v/>
      </c>
      <c r="AFT30">
        <f>IF('calcA'!R$106=1,DQ30+AAF30,1)</f>
        <v/>
      </c>
      <c r="AFU30">
        <f>IF('calcA'!S$106=1,DR30+AAG30,1)</f>
        <v/>
      </c>
      <c r="AFV30">
        <f>IF('calcA'!T$106=1,DS30+AAH30,1)</f>
        <v/>
      </c>
      <c r="AFW30">
        <f>IF('calcA'!U$106=1,DT30+AAI30,1)</f>
        <v/>
      </c>
      <c r="AFX30">
        <f>IF('calcA'!V$106=1,DU30+AAJ30,1)</f>
        <v/>
      </c>
      <c r="AFY30">
        <f>IF('calcA'!W$106=1,DV30+AAK30,1)</f>
        <v/>
      </c>
      <c r="AFZ30">
        <f>IF('calcA'!X$106=1,DW30+AAL30,1)</f>
        <v/>
      </c>
      <c r="AGA30">
        <f>IF('calcA'!Y$106=1,DX30+AAM30,1)</f>
        <v/>
      </c>
      <c r="AGB30">
        <f>IF('calcA'!Z$106=1,DY30+AAN30,1)</f>
        <v/>
      </c>
      <c r="AGC30">
        <f>IF('calcA'!AA$106=1,DZ30+AAO30,1)</f>
        <v/>
      </c>
      <c r="AGD30">
        <f>IF('calcA'!AB$106=1,EA30+AAP30,1)</f>
        <v/>
      </c>
      <c r="AGE30">
        <f>IF('calcA'!AC$106=1,EB30+AAQ30,1)</f>
        <v/>
      </c>
      <c r="AGF30">
        <f>IF('calcA'!AD$106=1,EC30+AAR30,1)</f>
        <v/>
      </c>
      <c r="AGG30">
        <f>IF('calcA'!AE$106=1,ED30+AAS30,1)</f>
        <v/>
      </c>
      <c r="AGH30">
        <f>IF('calcA'!AF$106=1,EE30+AAT30,1)</f>
        <v/>
      </c>
      <c r="AGI30">
        <f>IF('calcA'!AG$106=1,EF30+AAU30,1)</f>
        <v/>
      </c>
      <c r="AGJ30">
        <f>IF('calcA'!AH$106=1,EG30+AAV30,1)</f>
        <v/>
      </c>
      <c r="AGK30">
        <f>IF('calcA'!AI$106=1,EH30+AAW30,1)</f>
        <v/>
      </c>
      <c r="AGL30">
        <f>IF('calcA'!AJ$106=1,EI30+AAX30,1)</f>
        <v/>
      </c>
      <c r="AGM30">
        <f>IF('calcA'!AK$106=1,EJ30+AAY30,1)</f>
        <v/>
      </c>
      <c r="AGN30">
        <f>IF('calcA'!AL$106=1,EK30+AAZ30,1)</f>
        <v/>
      </c>
      <c r="AGO30">
        <f>IF('calcA'!AM$106=1,EL30+ABA30,1)</f>
        <v/>
      </c>
      <c r="AGP30">
        <f>IF('calcA'!AN$106=1,EM30+ABB30,1)</f>
        <v/>
      </c>
      <c r="AGQ30">
        <f>IF('calcA'!AO$106=1,EN30+ABC30,1)</f>
        <v/>
      </c>
      <c r="AGR30">
        <f>IF('calcA'!AP$106=1,EO30+ABD30,1)</f>
        <v/>
      </c>
      <c r="AGS30">
        <f>IF('calcA'!AQ$106=1,EP30+ABE30,1)</f>
        <v/>
      </c>
      <c r="AGT30">
        <f>IF('calcA'!AR$106=1,EQ30+ABF30,1)</f>
        <v/>
      </c>
      <c r="AGU30">
        <f>IF('calcA'!AS$106=1,ER30+ABG30,1)</f>
        <v/>
      </c>
      <c r="AGV30">
        <f>IF('calcA'!AT$106=1,ES30+ABH30,1)</f>
        <v/>
      </c>
      <c r="AGW30">
        <f>IF('calcA'!AU$106=1,ET30+ABI30,1)</f>
        <v/>
      </c>
      <c r="AGX30">
        <f>IF('calcA'!AV$106=1,EU30+ABJ30,1)</f>
        <v/>
      </c>
      <c r="AGY30">
        <f>IF('calcA'!AW$106=1,EV30+ABK30,1)</f>
        <v/>
      </c>
      <c r="AGZ30">
        <f>IF('calcA'!AX$106=1,EW30+ABL30,1)</f>
        <v/>
      </c>
      <c r="AHA30">
        <f>IF('calcA'!AY$106=1,EX30+ABM30,1)</f>
        <v/>
      </c>
      <c r="AHB30">
        <f>IF('calcA'!AZ$106=1,EY30+ABN30,1)</f>
        <v/>
      </c>
      <c r="AHC30">
        <f>IF('calcA'!BA$106=1,EZ30+ABO30,1)</f>
        <v/>
      </c>
      <c r="AHD30">
        <f>IF('calcA'!BB$106=1,FA30+ABP30,1)</f>
        <v/>
      </c>
      <c r="AHE30">
        <f>IF('calcA'!BC$106=1,FB30+ABQ30,1)</f>
        <v/>
      </c>
      <c r="AHF30">
        <f>IF('calcA'!BD$106=1,FC30+ABR30,1)</f>
        <v/>
      </c>
      <c r="AHG30">
        <f>IF('calcA'!BE$106=1,FD30+ABS30,1)</f>
        <v/>
      </c>
      <c r="AHH30">
        <f>IF('calcA'!BF$106=1,FE30+ABT30,1)</f>
        <v/>
      </c>
      <c r="AHI30">
        <f>IF('calcA'!BG$106=1,FF30+ABU30,1)</f>
        <v/>
      </c>
      <c r="AHJ30">
        <f>IF('calcA'!BH$106=1,FG30+ABV30,1)</f>
        <v/>
      </c>
      <c r="AHK30">
        <f>IF('calcA'!BI$106=1,FH30+ABW30,1)</f>
        <v/>
      </c>
      <c r="AHL30">
        <f>IF('calcA'!BJ$106=1,FI30+ABX30,1)</f>
        <v/>
      </c>
      <c r="AHM30">
        <f>IF('calcA'!BK$106=1,FJ30+ABY30,1)</f>
        <v/>
      </c>
      <c r="AHN30">
        <f>IF('calcA'!BL$106=1,FK30+ABZ30,1)</f>
        <v/>
      </c>
      <c r="AHO30">
        <f>IF('calcA'!BM$106=1,FL30+ACA30,1)</f>
        <v/>
      </c>
      <c r="AHP30">
        <f>IF('calcA'!BN$106=1,FM30+ACB30,1)</f>
        <v/>
      </c>
      <c r="AHQ30">
        <f>IF('calcA'!BO$106=1,FN30+ACC30,1)</f>
        <v/>
      </c>
      <c r="AHR30">
        <f>IF('calcA'!BP$106=1,FO30+ACD30,1)</f>
        <v/>
      </c>
      <c r="AHS30">
        <f>IF('calcA'!BQ$106=1,FP30+ACE30,1)</f>
        <v/>
      </c>
      <c r="AHT30">
        <f>IF('calcA'!BR$106=1,FQ30+ACF30,1)</f>
        <v/>
      </c>
      <c r="AHU30">
        <f>IF('calcA'!BS$106=1,FR30+ACG30,1)</f>
        <v/>
      </c>
      <c r="AHV30">
        <f>IF('calcA'!BT$106=1,FS30+ACH30,1)</f>
        <v/>
      </c>
      <c r="AHW30">
        <f>IF('calcA'!BU$106=1,FT30+ACI30,1)</f>
        <v/>
      </c>
      <c r="AHX30">
        <f>IF('calcA'!BV$106=1,FU30+ACJ30,1)</f>
        <v/>
      </c>
      <c r="AHY30">
        <f>IF('calcA'!BW$106=1,FV30+ACK30,1)</f>
        <v/>
      </c>
      <c r="AHZ30">
        <f>IF('calcA'!BX$106=1,FW30+ACL30,1)</f>
        <v/>
      </c>
      <c r="AIA30">
        <f>IF('calcA'!BY$106=1,FX30+ACM30,1)</f>
        <v/>
      </c>
      <c r="AIB30">
        <f>IF('calcA'!BZ$106=1,FY30+ACN30,1)</f>
        <v/>
      </c>
      <c r="AIC30">
        <f>IF('calcA'!CA$106=1,FZ30+ACO30,1)</f>
        <v/>
      </c>
      <c r="AID30">
        <f>IF('calcA'!CB$106=1,GA30+ACP30,1)</f>
        <v/>
      </c>
      <c r="AIE30">
        <f>IF('calcA'!CC$106=1,GB30+ACQ30,1)</f>
        <v/>
      </c>
      <c r="AIF30">
        <f>IF('calcA'!CD$106=1,GC30+ACR30,1)</f>
        <v/>
      </c>
      <c r="AIG30">
        <f>IF('calcA'!CE$106=1,GD30+ACS30,1)</f>
        <v/>
      </c>
      <c r="AIH30">
        <f>IF('calcA'!CF$106=1,GE30+ACT30,1)</f>
        <v/>
      </c>
      <c r="AII30">
        <f>IF('calcA'!CG$106=1,GF30+ACU30,1)</f>
        <v/>
      </c>
      <c r="AIJ30">
        <f>IF('calcA'!CH$106=1,GG30+ACV30,1)</f>
        <v/>
      </c>
      <c r="AIK30">
        <f>IF('calcA'!CI$106=1,GH30+ACW30,1)</f>
        <v/>
      </c>
      <c r="AIL30">
        <f>IF('calcA'!CJ$106=1,GI30+ACX30,1)</f>
        <v/>
      </c>
      <c r="AIM30">
        <f>IF('calcA'!CK$106=1,GJ30+ACY30,1)</f>
        <v/>
      </c>
      <c r="AIN30">
        <f>IF('calcA'!CL$106=1,GK30+ACZ30,1)</f>
        <v/>
      </c>
      <c r="AIO30">
        <f>IF('calcA'!CM$106=1,GL30+ADA30,1)</f>
        <v/>
      </c>
      <c r="AIP30">
        <f>IF('calcA'!CN$106=1,GM30+ADB30,1)</f>
        <v/>
      </c>
      <c r="AIQ30">
        <f>IF('calcA'!CO$106=1,GN30+ADC30,1)</f>
        <v/>
      </c>
      <c r="AIR30">
        <f>IF('calcA'!CP$106=1,GO30+ADD30,1)</f>
        <v/>
      </c>
      <c r="AIS30">
        <f>IF('calcA'!CQ$106=1,GP30+ADE30,1)</f>
        <v/>
      </c>
      <c r="AIT30">
        <f>IF('calcA'!CR$106=1,GQ30+ADF30,1)</f>
        <v/>
      </c>
      <c r="AIU30">
        <f>IF('calcA'!CS$106=1,GR30+ADG30,1)</f>
        <v/>
      </c>
      <c r="AIV30">
        <f>IF('calcA'!CT$106=1,GS30+ADH30,1)</f>
        <v/>
      </c>
      <c r="AIW30">
        <f>IF('calcA'!CU$106=1,GT30+ADI30,1)</f>
        <v/>
      </c>
      <c r="AIX30">
        <f>IF('calcA'!CV$106=1,GU30+ADJ30,1)</f>
        <v/>
      </c>
      <c r="AIY30">
        <f>IF('calcA'!CW$106=1,GV30+ADK30,1)</f>
        <v/>
      </c>
      <c r="AIZ30">
        <f>IF('calcA'!CX$106=1,GW30+ADL30,1)</f>
        <v/>
      </c>
      <c r="AJA30">
        <f>IF('calcA'!CY$106=1,GX30+ADM30,1)</f>
        <v/>
      </c>
      <c r="AJB30">
        <f>IF('calcA'!CZ$106=1,GY30+ADN30,1)</f>
        <v/>
      </c>
      <c r="AJC30">
        <f>IF('calcA'!DA$106=1,GZ30+ADO30,1)</f>
        <v/>
      </c>
      <c r="AJD30">
        <f>IF('calcA'!DB$106=1,HA30+ADP30,1)</f>
        <v/>
      </c>
      <c r="AJE30">
        <f>IF('calcA'!DC$106=1,HB30+ADQ30,1)</f>
        <v/>
      </c>
      <c r="AJF30">
        <f>IF('calcA'!DD$106=1,HC30+ADR30,1)</f>
        <v/>
      </c>
      <c r="AJG30">
        <f>IF('calcA'!DE$106=1,HD30+ADS30,1)</f>
        <v/>
      </c>
      <c r="AJH30">
        <f>IF('calcA'!DF$106=1,HE30+ADT30,1)</f>
        <v/>
      </c>
      <c r="AJI30">
        <f>IF('calcA'!DG$106=1,HF30+ADU30,1)</f>
        <v/>
      </c>
      <c r="AJJ30">
        <f>IF('calcA'!DH$106=1,HG30+ADV30,1)</f>
        <v/>
      </c>
      <c r="AJK30">
        <f>IF('calcA'!DI$106=1,HH30+ADW30,1)</f>
        <v/>
      </c>
      <c r="AJL30">
        <f>IF('calcA'!DJ$106=1,HI30+ADX30,1)</f>
        <v/>
      </c>
      <c r="AJM30">
        <f>IF('calcA'!DK$106=1,HJ30+ADY30,1)</f>
        <v/>
      </c>
      <c r="AJN30">
        <f>IF('calcA'!DL$106=1,HK30+ADZ30,1)</f>
        <v/>
      </c>
      <c r="AJO30">
        <f>IF('calcA'!DM$106=1,HL30+AEA30,1)</f>
        <v/>
      </c>
      <c r="AJP30">
        <f>IF('calcA'!DN$106=1,HM30+AEB30,1)</f>
        <v/>
      </c>
      <c r="AJQ30">
        <f>IF('calcA'!DO$106=1,HN30+AEC30,1)</f>
        <v/>
      </c>
      <c r="AJR30">
        <f>IF('calcA'!DP$106=1,HO30+AED30,1)</f>
        <v/>
      </c>
      <c r="AJS30">
        <f>IF('calcA'!DQ$106=1,HP30+AEE30,1)</f>
        <v/>
      </c>
      <c r="AJT30">
        <f>IF('calcA'!DR$106=1,HQ30+AEF30,1)</f>
        <v/>
      </c>
      <c r="AJU30">
        <f>IF('calcA'!DS$106=1,HR30+AEG30,1)</f>
        <v/>
      </c>
      <c r="AJV30">
        <f>IF('calcA'!DT$106=1,HS30+AEH30,1)</f>
        <v/>
      </c>
      <c r="AJW30">
        <f>IF('calcA'!DU$106=1,HT30+AEI30,1)</f>
        <v/>
      </c>
      <c r="AJX30">
        <f>IF('calcA'!DV$106=1,HU30+AEJ30,1)</f>
        <v/>
      </c>
      <c r="AJY30">
        <f>IF('calcA'!DW$106=1,HV30+AEK30,1)</f>
        <v/>
      </c>
      <c r="AJZ30">
        <f>IF('calcA'!DX$106=1,HW30+AEL30,1)</f>
        <v/>
      </c>
      <c r="AKA30">
        <f>IF('calcA'!DY$106=1,HX30+AEM30,1)</f>
        <v/>
      </c>
      <c r="AKB30">
        <f>IF('calcA'!DZ$106=1,HY30+AEN30,1)</f>
        <v/>
      </c>
      <c r="AKC30">
        <f>IF('calcA'!EA$106=1,HZ30+AEO30,1)</f>
        <v/>
      </c>
      <c r="AKD30">
        <f>IF('calcA'!EB$106=1,IA30+AEP30,1)</f>
        <v/>
      </c>
      <c r="AKE30">
        <f>IF('calcA'!EC$106=1,IB30+AEQ30,1)</f>
        <v/>
      </c>
      <c r="AKF30">
        <f>IF('calcA'!ED$106=1,IC30+AER30,1)</f>
        <v/>
      </c>
      <c r="AKG30">
        <f>IF('calcA'!EE$106=1,ID30+AES30,1)</f>
        <v/>
      </c>
      <c r="AKH30">
        <f>IF('calcA'!EF$106=1,IE30+AET30,1)</f>
        <v/>
      </c>
      <c r="AKI30">
        <f>IF('calcA'!EG$106=1,IF30+AEU30,1)</f>
        <v/>
      </c>
      <c r="AKJ30">
        <f>IF('calcA'!EH$106=1,IG30+AEV30,1)</f>
        <v/>
      </c>
      <c r="AKK30">
        <f>IF('calcA'!EI$106=1,IH30+AEW30,1)</f>
        <v/>
      </c>
      <c r="AKL30">
        <f>IF('calcA'!EJ$106=1,II30+AEX30,1)</f>
        <v/>
      </c>
      <c r="AKM30">
        <f>IF('calcA'!EK$106=1,IJ30+AEY30,1)</f>
        <v/>
      </c>
      <c r="AKN30">
        <f>IF('calcA'!EL$106=1,IK30+AEZ30,1)</f>
        <v/>
      </c>
      <c r="AKO30">
        <f>IF('calcA'!EM$106=1,IL30+AFA30,1)</f>
        <v/>
      </c>
      <c r="AKP30">
        <f>IF('calcA'!EN$106=1,IM30+AFB30,1)</f>
        <v/>
      </c>
      <c r="AKQ30">
        <f>IF('calcA'!EO$106=1,IN30+AFC30,1)</f>
        <v/>
      </c>
      <c r="AKR30">
        <f>IF('calcA'!EP$106=1,IO30+AFD30,1)</f>
        <v/>
      </c>
      <c r="AKS30" t="n">
        <v>1</v>
      </c>
    </row>
    <row r="31">
      <c r="A31" t="n">
        <v>29</v>
      </c>
      <c r="B31">
        <f>IF(MIN(BM31:CZ31)&gt;=1000000000,0,MATCH(MIN(BM31:CZ31),BM31:CZ31,0))</f>
        <v/>
      </c>
      <c r="C31">
        <f>IF(MIN(OF31:TS31)&gt;=1000000000,0,MATCH(MIN(OF31:TS31),OF31:TS31,0))</f>
        <v/>
      </c>
      <c r="D31">
        <f>IF(C31&gt;0,INDEX('calcA'!$D$5:$EQ$5,C31),0)</f>
        <v/>
      </c>
      <c r="E31">
        <f>IF(B31=0,0,INDEX('calcA'!$IQ$10:$IQ$54,B31))</f>
        <v/>
      </c>
      <c r="F31">
        <f>IF(B31=0,0,INDEX('calcA'!$IP$10:$IP$54,B31))</f>
        <v/>
      </c>
      <c r="G31">
        <f>IF(AND(C31&gt;0,E31&gt;0),IF(AND(INDEX('calcA'!$D$106:$EQ$106,C31)=1,INDEX($IQ31:$OD31,C31)=1),C31+1,0),0)</f>
        <v/>
      </c>
      <c r="H31">
        <f>IF(B31=0,0,INDEX('calcA'!$IW$10:$IW$54,B31))</f>
        <v/>
      </c>
      <c r="U31">
        <f>IF(B31=0,0,INDEX('calcA'!$IX$10:$IX$54,B31))</f>
        <v/>
      </c>
      <c r="V31">
        <f>IF(B31=0,0,INDEX('calcA'!$JF$10:$JF$54,B31))</f>
        <v/>
      </c>
      <c r="W31">
        <f>IF(B31=0,0,IF(IF(E31=2,SUMPRODUCT(INDEX('calcA'!$D$60:$EQ$99,B31,0),$DB31:$IO31,$IQ31:$OD31),SUMPRODUCT(INDEX('calcA'!$D$60:$EQ$99,B31,0),$DB31:$IO31))=0,1,0))</f>
        <v/>
      </c>
      <c r="X31">
        <f>MAX(X30,IF($B30=1,1,0))</f>
        <v/>
      </c>
      <c r="Y31">
        <f>MAX(Y30,IF($B30=2,1,0))</f>
        <v/>
      </c>
      <c r="Z31">
        <f>MAX(Z30,IF($B30=3,1,0))</f>
        <v/>
      </c>
      <c r="AA31">
        <f>MAX(AA30,IF($B30=4,1,0))</f>
        <v/>
      </c>
      <c r="AB31">
        <f>MAX(AB30,IF($B30=5,1,0))</f>
        <v/>
      </c>
      <c r="AC31">
        <f>MAX(AC30,IF($B30=6,1,0))</f>
        <v/>
      </c>
      <c r="AD31">
        <f>MAX(AD30,IF($B30=7,1,0))</f>
        <v/>
      </c>
      <c r="AE31">
        <f>MAX(AE30,IF($B30=8,1,0))</f>
        <v/>
      </c>
      <c r="AF31">
        <f>MAX(AF30,IF($B30=9,1,0))</f>
        <v/>
      </c>
      <c r="AG31">
        <f>MAX(AG30,IF($B30=10,1,0))</f>
        <v/>
      </c>
      <c r="AH31">
        <f>MAX(AH30,IF($B30=11,1,0))</f>
        <v/>
      </c>
      <c r="AI31">
        <f>MAX(AI30,IF($B30=12,1,0))</f>
        <v/>
      </c>
      <c r="AJ31">
        <f>MAX(AJ30,IF($B30=13,1,0))</f>
        <v/>
      </c>
      <c r="AK31">
        <f>MAX(AK30,IF($B30=14,1,0))</f>
        <v/>
      </c>
      <c r="AL31">
        <f>MAX(AL30,IF($B30=15,1,0))</f>
        <v/>
      </c>
      <c r="AM31">
        <f>MAX(AM30,IF($B30=16,1,0))</f>
        <v/>
      </c>
      <c r="AN31">
        <f>MAX(AN30,IF($B30=17,1,0))</f>
        <v/>
      </c>
      <c r="AO31">
        <f>MAX(AO30,IF($B30=18,1,0))</f>
        <v/>
      </c>
      <c r="AP31">
        <f>MAX(AP30,IF($B30=19,1,0))</f>
        <v/>
      </c>
      <c r="AQ31">
        <f>MAX(AQ30,IF($B30=20,1,0))</f>
        <v/>
      </c>
      <c r="AR31">
        <f>MAX(AR30,IF($B30=21,1,0))</f>
        <v/>
      </c>
      <c r="AS31">
        <f>MAX(AS30,IF($B30=22,1,0))</f>
        <v/>
      </c>
      <c r="AT31">
        <f>MAX(AT30,IF($B30=23,1,0))</f>
        <v/>
      </c>
      <c r="AU31">
        <f>MAX(AU30,IF($B30=24,1,0))</f>
        <v/>
      </c>
      <c r="AV31">
        <f>MAX(AV30,IF($B30=25,1,0))</f>
        <v/>
      </c>
      <c r="AW31">
        <f>MAX(AW30,IF($B30=26,1,0))</f>
        <v/>
      </c>
      <c r="AX31">
        <f>MAX(AX30,IF($B30=27,1,0))</f>
        <v/>
      </c>
      <c r="AY31">
        <f>MAX(AY30,IF($B30=28,1,0))</f>
        <v/>
      </c>
      <c r="AZ31">
        <f>MAX(AZ30,IF($B30=29,1,0))</f>
        <v/>
      </c>
      <c r="BA31">
        <f>MAX(BA30,IF($B30=30,1,0))</f>
        <v/>
      </c>
      <c r="BB31">
        <f>MAX(BB30,IF($B30=31,1,0))</f>
        <v/>
      </c>
      <c r="BC31">
        <f>MAX(BC30,IF($B30=32,1,0))</f>
        <v/>
      </c>
      <c r="BD31">
        <f>MAX(BD30,IF($B30=33,1,0))</f>
        <v/>
      </c>
      <c r="BE31">
        <f>MAX(BE30,IF($B30=34,1,0))</f>
        <v/>
      </c>
      <c r="BF31">
        <f>MAX(BF30,IF($B30=35,1,0))</f>
        <v/>
      </c>
      <c r="BG31">
        <f>MAX(BG30,IF($B30=36,1,0))</f>
        <v/>
      </c>
      <c r="BH31">
        <f>MAX(BH30,IF($B30=37,1,0))</f>
        <v/>
      </c>
      <c r="BI31">
        <f>MAX(BI30,IF($B30=38,1,0))</f>
        <v/>
      </c>
      <c r="BJ31">
        <f>MAX(BJ30,IF($B30=39,1,0))</f>
        <v/>
      </c>
      <c r="BK31">
        <f>MAX(BK30,IF($B30=40,1,0))</f>
        <v/>
      </c>
      <c r="BM31">
        <f>IF(OR(X31=1,calcA!$A$6=0),1000000000,IF('calcA'!$JF$10=1,0,100000000)+IF('calcA'!$IQ$10=2,SUMPRODUCT('calcA'!$D$60:$EQ$60,$DB31:$IO31,$IQ31:$OD31)*1000+SUMPRODUCT('calcA'!$D$60:$EQ$60,$DB31:$IO31+$ZQ31:$AFD31,$AFF31:$AKS31),SUMPRODUCT('calcA'!$D$60:$EQ$60,$DB31:$IO31*1001+$ZQ31:$AFD31))*100+1)</f>
        <v/>
      </c>
      <c r="BN31">
        <f>IF(OR(Y31=1,calcA!$A$6=0),1000000000,IF('calcA'!$JF$11=1,0,100000000)+IF('calcA'!$IQ$11=2,SUMPRODUCT('calcA'!$D$61:$EQ$61,$DB31:$IO31,$IQ31:$OD31)*1000+SUMPRODUCT('calcA'!$D$61:$EQ$61,$DB31:$IO31+$ZQ31:$AFD31,$AFF31:$AKS31),SUMPRODUCT('calcA'!$D$61:$EQ$61,$DB31:$IO31*1001+$ZQ31:$AFD31))*100+2)</f>
        <v/>
      </c>
      <c r="BO31">
        <f>IF(OR(Z31=1,calcA!$A$6=0),1000000000,IF('calcA'!$JF$12=1,0,100000000)+IF('calcA'!$IQ$12=2,SUMPRODUCT('calcA'!$D$62:$EQ$62,$DB31:$IO31,$IQ31:$OD31)*1000+SUMPRODUCT('calcA'!$D$62:$EQ$62,$DB31:$IO31+$ZQ31:$AFD31,$AFF31:$AKS31),SUMPRODUCT('calcA'!$D$62:$EQ$62,$DB31:$IO31*1001+$ZQ31:$AFD31))*100+3)</f>
        <v/>
      </c>
      <c r="BP31">
        <f>IF(OR(AA31=1,calcA!$A$6=0),1000000000,IF('calcA'!$JF$13=1,0,100000000)+IF('calcA'!$IQ$13=2,SUMPRODUCT('calcA'!$D$63:$EQ$63,$DB31:$IO31,$IQ31:$OD31)*1000+SUMPRODUCT('calcA'!$D$63:$EQ$63,$DB31:$IO31+$ZQ31:$AFD31,$AFF31:$AKS31),SUMPRODUCT('calcA'!$D$63:$EQ$63,$DB31:$IO31*1001+$ZQ31:$AFD31))*100+4)</f>
        <v/>
      </c>
      <c r="BQ31">
        <f>IF(OR(AB31=1,calcA!$A$6=0),1000000000,IF('calcA'!$JF$14=1,0,100000000)+IF('calcA'!$IQ$14=2,SUMPRODUCT('calcA'!$D$64:$EQ$64,$DB31:$IO31,$IQ31:$OD31)*1000+SUMPRODUCT('calcA'!$D$64:$EQ$64,$DB31:$IO31+$ZQ31:$AFD31,$AFF31:$AKS31),SUMPRODUCT('calcA'!$D$64:$EQ$64,$DB31:$IO31*1001+$ZQ31:$AFD31))*100+5)</f>
        <v/>
      </c>
      <c r="BR31">
        <f>IF(OR(AC31=1,calcA!$A$6=0),1000000000,IF('calcA'!$JF$15=1,0,100000000)+IF('calcA'!$IQ$15=2,SUMPRODUCT('calcA'!$D$65:$EQ$65,$DB31:$IO31,$IQ31:$OD31)*1000+SUMPRODUCT('calcA'!$D$65:$EQ$65,$DB31:$IO31+$ZQ31:$AFD31,$AFF31:$AKS31),SUMPRODUCT('calcA'!$D$65:$EQ$65,$DB31:$IO31*1001+$ZQ31:$AFD31))*100+6)</f>
        <v/>
      </c>
      <c r="BS31">
        <f>IF(OR(AD31=1,calcA!$A$6=0),1000000000,IF('calcA'!$JF$16=1,0,100000000)+IF('calcA'!$IQ$16=2,SUMPRODUCT('calcA'!$D$66:$EQ$66,$DB31:$IO31,$IQ31:$OD31)*1000+SUMPRODUCT('calcA'!$D$66:$EQ$66,$DB31:$IO31+$ZQ31:$AFD31,$AFF31:$AKS31),SUMPRODUCT('calcA'!$D$66:$EQ$66,$DB31:$IO31*1001+$ZQ31:$AFD31))*100+7)</f>
        <v/>
      </c>
      <c r="BT31">
        <f>IF(OR(AE31=1,calcA!$A$6=0),1000000000,IF('calcA'!$JF$17=1,0,100000000)+IF('calcA'!$IQ$17=2,SUMPRODUCT('calcA'!$D$67:$EQ$67,$DB31:$IO31,$IQ31:$OD31)*1000+SUMPRODUCT('calcA'!$D$67:$EQ$67,$DB31:$IO31+$ZQ31:$AFD31,$AFF31:$AKS31),SUMPRODUCT('calcA'!$D$67:$EQ$67,$DB31:$IO31*1001+$ZQ31:$AFD31))*100+8)</f>
        <v/>
      </c>
      <c r="BU31">
        <f>IF(OR(AF31=1,calcA!$A$6=0),1000000000,IF('calcA'!$JF$18=1,0,100000000)+IF('calcA'!$IQ$18=2,SUMPRODUCT('calcA'!$D$68:$EQ$68,$DB31:$IO31,$IQ31:$OD31)*1000+SUMPRODUCT('calcA'!$D$68:$EQ$68,$DB31:$IO31+$ZQ31:$AFD31,$AFF31:$AKS31),SUMPRODUCT('calcA'!$D$68:$EQ$68,$DB31:$IO31*1001+$ZQ31:$AFD31))*100+9)</f>
        <v/>
      </c>
      <c r="BV31">
        <f>IF(OR(AG31=1,calcA!$A$6=0),1000000000,IF('calcA'!$JF$19=1,0,100000000)+IF('calcA'!$IQ$19=2,SUMPRODUCT('calcA'!$D$69:$EQ$69,$DB31:$IO31,$IQ31:$OD31)*1000+SUMPRODUCT('calcA'!$D$69:$EQ$69,$DB31:$IO31+$ZQ31:$AFD31,$AFF31:$AKS31),SUMPRODUCT('calcA'!$D$69:$EQ$69,$DB31:$IO31*1001+$ZQ31:$AFD31))*100+10)</f>
        <v/>
      </c>
      <c r="BW31">
        <f>IF(OR(AH31=1,calcA!$A$6=0),1000000000,IF('calcA'!$JF$20=1,0,100000000)+IF('calcA'!$IQ$20=2,SUMPRODUCT('calcA'!$D$70:$EQ$70,$DB31:$IO31,$IQ31:$OD31)*1000+SUMPRODUCT('calcA'!$D$70:$EQ$70,$DB31:$IO31+$ZQ31:$AFD31,$AFF31:$AKS31),SUMPRODUCT('calcA'!$D$70:$EQ$70,$DB31:$IO31*1001+$ZQ31:$AFD31))*100+11)</f>
        <v/>
      </c>
      <c r="BX31">
        <f>IF(OR(AI31=1,calcA!$A$6=0),1000000000,IF('calcA'!$JF$21=1,0,100000000)+IF('calcA'!$IQ$21=2,SUMPRODUCT('calcA'!$D$71:$EQ$71,$DB31:$IO31,$IQ31:$OD31)*1000+SUMPRODUCT('calcA'!$D$71:$EQ$71,$DB31:$IO31+$ZQ31:$AFD31,$AFF31:$AKS31),SUMPRODUCT('calcA'!$D$71:$EQ$71,$DB31:$IO31*1001+$ZQ31:$AFD31))*100+12)</f>
        <v/>
      </c>
      <c r="BY31">
        <f>IF(OR(AJ31=1,calcA!$A$6=0),1000000000,IF('calcA'!$JF$22=1,0,100000000)+IF('calcA'!$IQ$22=2,SUMPRODUCT('calcA'!$D$72:$EQ$72,$DB31:$IO31,$IQ31:$OD31)*1000+SUMPRODUCT('calcA'!$D$72:$EQ$72,$DB31:$IO31+$ZQ31:$AFD31,$AFF31:$AKS31),SUMPRODUCT('calcA'!$D$72:$EQ$72,$DB31:$IO31*1001+$ZQ31:$AFD31))*100+13)</f>
        <v/>
      </c>
      <c r="BZ31">
        <f>IF(OR(AK31=1,calcA!$A$6=0),1000000000,IF('calcA'!$JF$23=1,0,100000000)+IF('calcA'!$IQ$23=2,SUMPRODUCT('calcA'!$D$73:$EQ$73,$DB31:$IO31,$IQ31:$OD31)*1000+SUMPRODUCT('calcA'!$D$73:$EQ$73,$DB31:$IO31+$ZQ31:$AFD31,$AFF31:$AKS31),SUMPRODUCT('calcA'!$D$73:$EQ$73,$DB31:$IO31*1001+$ZQ31:$AFD31))*100+14)</f>
        <v/>
      </c>
      <c r="CA31">
        <f>IF(OR(AL31=1,calcA!$A$6=0),1000000000,IF('calcA'!$JF$24=1,0,100000000)+IF('calcA'!$IQ$24=2,SUMPRODUCT('calcA'!$D$74:$EQ$74,$DB31:$IO31,$IQ31:$OD31)*1000+SUMPRODUCT('calcA'!$D$74:$EQ$74,$DB31:$IO31+$ZQ31:$AFD31,$AFF31:$AKS31),SUMPRODUCT('calcA'!$D$74:$EQ$74,$DB31:$IO31*1001+$ZQ31:$AFD31))*100+15)</f>
        <v/>
      </c>
      <c r="CB31">
        <f>IF(OR(AM31=1,calcA!$A$6=0),1000000000,IF('calcA'!$JF$25=1,0,100000000)+IF('calcA'!$IQ$25=2,SUMPRODUCT('calcA'!$D$75:$EQ$75,$DB31:$IO31,$IQ31:$OD31)*1000+SUMPRODUCT('calcA'!$D$75:$EQ$75,$DB31:$IO31+$ZQ31:$AFD31,$AFF31:$AKS31),SUMPRODUCT('calcA'!$D$75:$EQ$75,$DB31:$IO31*1001+$ZQ31:$AFD31))*100+16)</f>
        <v/>
      </c>
      <c r="CC31">
        <f>IF(OR(AN31=1,calcA!$A$6=0),1000000000,IF('calcA'!$JF$26=1,0,100000000)+IF('calcA'!$IQ$26=2,SUMPRODUCT('calcA'!$D$76:$EQ$76,$DB31:$IO31,$IQ31:$OD31)*1000+SUMPRODUCT('calcA'!$D$76:$EQ$76,$DB31:$IO31+$ZQ31:$AFD31,$AFF31:$AKS31),SUMPRODUCT('calcA'!$D$76:$EQ$76,$DB31:$IO31*1001+$ZQ31:$AFD31))*100+17)</f>
        <v/>
      </c>
      <c r="CD31">
        <f>IF(OR(AO31=1,calcA!$A$6=0),1000000000,IF('calcA'!$JF$27=1,0,100000000)+IF('calcA'!$IQ$27=2,SUMPRODUCT('calcA'!$D$77:$EQ$77,$DB31:$IO31,$IQ31:$OD31)*1000+SUMPRODUCT('calcA'!$D$77:$EQ$77,$DB31:$IO31+$ZQ31:$AFD31,$AFF31:$AKS31),SUMPRODUCT('calcA'!$D$77:$EQ$77,$DB31:$IO31*1001+$ZQ31:$AFD31))*100+18)</f>
        <v/>
      </c>
      <c r="CE31">
        <f>IF(OR(AP31=1,calcA!$A$6=0),1000000000,IF('calcA'!$JF$28=1,0,100000000)+IF('calcA'!$IQ$28=2,SUMPRODUCT('calcA'!$D$78:$EQ$78,$DB31:$IO31,$IQ31:$OD31)*1000+SUMPRODUCT('calcA'!$D$78:$EQ$78,$DB31:$IO31+$ZQ31:$AFD31,$AFF31:$AKS31),SUMPRODUCT('calcA'!$D$78:$EQ$78,$DB31:$IO31*1001+$ZQ31:$AFD31))*100+19)</f>
        <v/>
      </c>
      <c r="CF31">
        <f>IF(OR(AQ31=1,calcA!$A$6=0),1000000000,IF('calcA'!$JF$29=1,0,100000000)+IF('calcA'!$IQ$29=2,SUMPRODUCT('calcA'!$D$79:$EQ$79,$DB31:$IO31,$IQ31:$OD31)*1000+SUMPRODUCT('calcA'!$D$79:$EQ$79,$DB31:$IO31+$ZQ31:$AFD31,$AFF31:$AKS31),SUMPRODUCT('calcA'!$D$79:$EQ$79,$DB31:$IO31*1001+$ZQ31:$AFD31))*100+20)</f>
        <v/>
      </c>
      <c r="CG31">
        <f>IF(OR(AR31=1,calcA!$A$6=0),1000000000,IF('calcA'!$JF$30=1,0,100000000)+IF('calcA'!$IQ$30=2,SUMPRODUCT('calcA'!$D$80:$EQ$80,$DB31:$IO31,$IQ31:$OD31)*1000+SUMPRODUCT('calcA'!$D$80:$EQ$80,$DB31:$IO31+$ZQ31:$AFD31,$AFF31:$AKS31),SUMPRODUCT('calcA'!$D$80:$EQ$80,$DB31:$IO31*1001+$ZQ31:$AFD31))*100+21)</f>
        <v/>
      </c>
      <c r="CH31">
        <f>IF(OR(AS31=1,calcA!$A$6=0),1000000000,IF('calcA'!$JF$31=1,0,100000000)+IF('calcA'!$IQ$31=2,SUMPRODUCT('calcA'!$D$81:$EQ$81,$DB31:$IO31,$IQ31:$OD31)*1000+SUMPRODUCT('calcA'!$D$81:$EQ$81,$DB31:$IO31+$ZQ31:$AFD31,$AFF31:$AKS31),SUMPRODUCT('calcA'!$D$81:$EQ$81,$DB31:$IO31*1001+$ZQ31:$AFD31))*100+22)</f>
        <v/>
      </c>
      <c r="CI31">
        <f>IF(OR(AT31=1,calcA!$A$6=0),1000000000,IF('calcA'!$JF$32=1,0,100000000)+IF('calcA'!$IQ$32=2,SUMPRODUCT('calcA'!$D$82:$EQ$82,$DB31:$IO31,$IQ31:$OD31)*1000+SUMPRODUCT('calcA'!$D$82:$EQ$82,$DB31:$IO31+$ZQ31:$AFD31,$AFF31:$AKS31),SUMPRODUCT('calcA'!$D$82:$EQ$82,$DB31:$IO31*1001+$ZQ31:$AFD31))*100+23)</f>
        <v/>
      </c>
      <c r="CJ31">
        <f>IF(OR(AU31=1,calcA!$A$6=0),1000000000,IF('calcA'!$JF$33=1,0,100000000)+IF('calcA'!$IQ$33=2,SUMPRODUCT('calcA'!$D$83:$EQ$83,$DB31:$IO31,$IQ31:$OD31)*1000+SUMPRODUCT('calcA'!$D$83:$EQ$83,$DB31:$IO31+$ZQ31:$AFD31,$AFF31:$AKS31),SUMPRODUCT('calcA'!$D$83:$EQ$83,$DB31:$IO31*1001+$ZQ31:$AFD31))*100+24)</f>
        <v/>
      </c>
      <c r="CK31">
        <f>IF(OR(AV31=1,calcA!$A$6=0),1000000000,IF('calcA'!$JF$34=1,0,100000000)+IF('calcA'!$IQ$34=2,SUMPRODUCT('calcA'!$D$84:$EQ$84,$DB31:$IO31,$IQ31:$OD31)*1000+SUMPRODUCT('calcA'!$D$84:$EQ$84,$DB31:$IO31+$ZQ31:$AFD31,$AFF31:$AKS31),SUMPRODUCT('calcA'!$D$84:$EQ$84,$DB31:$IO31*1001+$ZQ31:$AFD31))*100+25)</f>
        <v/>
      </c>
      <c r="CL31">
        <f>IF(OR(AW31=1,calcA!$A$6=0),1000000000,IF('calcA'!$JF$35=1,0,100000000)+IF('calcA'!$IQ$35=2,SUMPRODUCT('calcA'!$D$85:$EQ$85,$DB31:$IO31,$IQ31:$OD31)*1000+SUMPRODUCT('calcA'!$D$85:$EQ$85,$DB31:$IO31+$ZQ31:$AFD31,$AFF31:$AKS31),SUMPRODUCT('calcA'!$D$85:$EQ$85,$DB31:$IO31*1001+$ZQ31:$AFD31))*100+26)</f>
        <v/>
      </c>
      <c r="CM31">
        <f>IF(OR(AX31=1,calcA!$A$6=0),1000000000,IF('calcA'!$JF$36=1,0,100000000)+IF('calcA'!$IQ$36=2,SUMPRODUCT('calcA'!$D$86:$EQ$86,$DB31:$IO31,$IQ31:$OD31)*1000+SUMPRODUCT('calcA'!$D$86:$EQ$86,$DB31:$IO31+$ZQ31:$AFD31,$AFF31:$AKS31),SUMPRODUCT('calcA'!$D$86:$EQ$86,$DB31:$IO31*1001+$ZQ31:$AFD31))*100+27)</f>
        <v/>
      </c>
      <c r="CN31">
        <f>IF(OR(AY31=1,calcA!$A$6=0),1000000000,IF('calcA'!$JF$37=1,0,100000000)+IF('calcA'!$IQ$37=2,SUMPRODUCT('calcA'!$D$87:$EQ$87,$DB31:$IO31,$IQ31:$OD31)*1000+SUMPRODUCT('calcA'!$D$87:$EQ$87,$DB31:$IO31+$ZQ31:$AFD31,$AFF31:$AKS31),SUMPRODUCT('calcA'!$D$87:$EQ$87,$DB31:$IO31*1001+$ZQ31:$AFD31))*100+28)</f>
        <v/>
      </c>
      <c r="CO31">
        <f>IF(OR(AZ31=1,calcA!$A$6=0),1000000000,IF('calcA'!$JF$38=1,0,100000000)+IF('calcA'!$IQ$38=2,SUMPRODUCT('calcA'!$D$88:$EQ$88,$DB31:$IO31,$IQ31:$OD31)*1000+SUMPRODUCT('calcA'!$D$88:$EQ$88,$DB31:$IO31+$ZQ31:$AFD31,$AFF31:$AKS31),SUMPRODUCT('calcA'!$D$88:$EQ$88,$DB31:$IO31*1001+$ZQ31:$AFD31))*100+29)</f>
        <v/>
      </c>
      <c r="CP31">
        <f>IF(OR(BA31=1,calcA!$A$6=0),1000000000,IF('calcA'!$JF$39=1,0,100000000)+IF('calcA'!$IQ$39=2,SUMPRODUCT('calcA'!$D$89:$EQ$89,$DB31:$IO31,$IQ31:$OD31)*1000+SUMPRODUCT('calcA'!$D$89:$EQ$89,$DB31:$IO31+$ZQ31:$AFD31,$AFF31:$AKS31),SUMPRODUCT('calcA'!$D$89:$EQ$89,$DB31:$IO31*1001+$ZQ31:$AFD31))*100+30)</f>
        <v/>
      </c>
      <c r="CQ31">
        <f>IF(OR(BB31=1,calcA!$A$6=0),1000000000,IF('calcA'!$JF$40=1,0,100000000)+IF('calcA'!$IQ$40=2,SUMPRODUCT('calcA'!$D$90:$EQ$90,$DB31:$IO31,$IQ31:$OD31)*1000+SUMPRODUCT('calcA'!$D$90:$EQ$90,$DB31:$IO31+$ZQ31:$AFD31,$AFF31:$AKS31),SUMPRODUCT('calcA'!$D$90:$EQ$90,$DB31:$IO31*1001+$ZQ31:$AFD31))*100+31)</f>
        <v/>
      </c>
      <c r="CR31">
        <f>IF(OR(BC31=1,calcA!$A$6=0),1000000000,IF('calcA'!$JF$41=1,0,100000000)+IF('calcA'!$IQ$41=2,SUMPRODUCT('calcA'!$D$91:$EQ$91,$DB31:$IO31,$IQ31:$OD31)*1000+SUMPRODUCT('calcA'!$D$91:$EQ$91,$DB31:$IO31+$ZQ31:$AFD31,$AFF31:$AKS31),SUMPRODUCT('calcA'!$D$91:$EQ$91,$DB31:$IO31*1001+$ZQ31:$AFD31))*100+32)</f>
        <v/>
      </c>
      <c r="CS31">
        <f>IF(OR(BD31=1,calcA!$A$6=0),1000000000,IF('calcA'!$JF$42=1,0,100000000)+IF('calcA'!$IQ$42=2,SUMPRODUCT('calcA'!$D$92:$EQ$92,$DB31:$IO31,$IQ31:$OD31)*1000+SUMPRODUCT('calcA'!$D$92:$EQ$92,$DB31:$IO31+$ZQ31:$AFD31,$AFF31:$AKS31),SUMPRODUCT('calcA'!$D$92:$EQ$92,$DB31:$IO31*1001+$ZQ31:$AFD31))*100+33)</f>
        <v/>
      </c>
      <c r="CT31">
        <f>IF(OR(BE31=1,calcA!$A$6=0),1000000000,IF('calcA'!$JF$43=1,0,100000000)+IF('calcA'!$IQ$43=2,SUMPRODUCT('calcA'!$D$93:$EQ$93,$DB31:$IO31,$IQ31:$OD31)*1000+SUMPRODUCT('calcA'!$D$93:$EQ$93,$DB31:$IO31+$ZQ31:$AFD31,$AFF31:$AKS31),SUMPRODUCT('calcA'!$D$93:$EQ$93,$DB31:$IO31*1001+$ZQ31:$AFD31))*100+34)</f>
        <v/>
      </c>
      <c r="CU31">
        <f>IF(OR(BF31=1,calcA!$A$6=0),1000000000,IF('calcA'!$JF$44=1,0,100000000)+IF('calcA'!$IQ$44=2,SUMPRODUCT('calcA'!$D$94:$EQ$94,$DB31:$IO31,$IQ31:$OD31)*1000+SUMPRODUCT('calcA'!$D$94:$EQ$94,$DB31:$IO31+$ZQ31:$AFD31,$AFF31:$AKS31),SUMPRODUCT('calcA'!$D$94:$EQ$94,$DB31:$IO31*1001+$ZQ31:$AFD31))*100+35)</f>
        <v/>
      </c>
      <c r="CV31">
        <f>IF(OR(BG31=1,calcA!$A$6=0),1000000000,IF('calcA'!$JF$45=1,0,100000000)+IF('calcA'!$IQ$45=2,SUMPRODUCT('calcA'!$D$95:$EQ$95,$DB31:$IO31,$IQ31:$OD31)*1000+SUMPRODUCT('calcA'!$D$95:$EQ$95,$DB31:$IO31+$ZQ31:$AFD31,$AFF31:$AKS31),SUMPRODUCT('calcA'!$D$95:$EQ$95,$DB31:$IO31*1001+$ZQ31:$AFD31))*100+36)</f>
        <v/>
      </c>
      <c r="CW31">
        <f>IF(OR(BH31=1,calcA!$A$6=0),1000000000,IF('calcA'!$JF$46=1,0,100000000)+IF('calcA'!$IQ$46=2,SUMPRODUCT('calcA'!$D$96:$EQ$96,$DB31:$IO31,$IQ31:$OD31)*1000+SUMPRODUCT('calcA'!$D$96:$EQ$96,$DB31:$IO31+$ZQ31:$AFD31,$AFF31:$AKS31),SUMPRODUCT('calcA'!$D$96:$EQ$96,$DB31:$IO31*1001+$ZQ31:$AFD31))*100+37)</f>
        <v/>
      </c>
      <c r="CX31">
        <f>IF(OR(BI31=1,calcA!$A$6=0),1000000000,IF('calcA'!$JF$47=1,0,100000000)+IF('calcA'!$IQ$47=2,SUMPRODUCT('calcA'!$D$97:$EQ$97,$DB31:$IO31,$IQ31:$OD31)*1000+SUMPRODUCT('calcA'!$D$97:$EQ$97,$DB31:$IO31+$ZQ31:$AFD31,$AFF31:$AKS31),SUMPRODUCT('calcA'!$D$97:$EQ$97,$DB31:$IO31*1001+$ZQ31:$AFD31))*100+38)</f>
        <v/>
      </c>
      <c r="CY31">
        <f>IF(OR(BJ31=1,calcA!$A$6=0),1000000000,IF('calcA'!$JF$48=1,0,100000000)+IF('calcA'!$IQ$48=2,SUMPRODUCT('calcA'!$D$98:$EQ$98,$DB31:$IO31,$IQ31:$OD31)*1000+SUMPRODUCT('calcA'!$D$98:$EQ$98,$DB31:$IO31+$ZQ31:$AFD31,$AFF31:$AKS31),SUMPRODUCT('calcA'!$D$98:$EQ$98,$DB31:$IO31*1001+$ZQ31:$AFD31))*100+39)</f>
        <v/>
      </c>
      <c r="CZ31">
        <f>IF(OR(BK31=1,calcA!$A$6=0),1000000000,IF('calcA'!$JF$49=1,0,100000000)+IF('calcA'!$IQ$49=2,SUMPRODUCT('calcA'!$D$99:$EQ$99,$DB31:$IO31,$IQ31:$OD31)*1000+SUMPRODUCT('calcA'!$D$99:$EQ$99,$DB31:$IO31+$ZQ31:$AFD31,$AFF31:$AKS31),SUMPRODUCT('calcA'!$D$99:$EQ$99,$DB31:$IO31*1001+$ZQ31:$AFD31))*100+40)</f>
        <v/>
      </c>
      <c r="DB31">
        <f>DB30*IF(OR($C30=1,$G30=1),0,1)</f>
        <v/>
      </c>
      <c r="DC31">
        <f>DC30*IF(OR($C30=2,$G30=2),0,1)</f>
        <v/>
      </c>
      <c r="DD31">
        <f>DD30*IF(OR($C30=3,$G30=3),0,1)</f>
        <v/>
      </c>
      <c r="DE31">
        <f>DE30*IF(OR($C30=4,$G30=4),0,1)</f>
        <v/>
      </c>
      <c r="DF31">
        <f>DF30*IF(OR($C30=5,$G30=5),0,1)</f>
        <v/>
      </c>
      <c r="DG31">
        <f>DG30*IF(OR($C30=6,$G30=6),0,1)</f>
        <v/>
      </c>
      <c r="DH31">
        <f>DH30*IF(OR($C30=7,$G30=7),0,1)</f>
        <v/>
      </c>
      <c r="DI31">
        <f>DI30*IF(OR($C30=8,$G30=8),0,1)</f>
        <v/>
      </c>
      <c r="DJ31">
        <f>DJ30*IF(OR($C30=9,$G30=9),0,1)</f>
        <v/>
      </c>
      <c r="DK31">
        <f>DK30*IF(OR($C30=10,$G30=10),0,1)</f>
        <v/>
      </c>
      <c r="DL31">
        <f>DL30*IF(OR($C30=11,$G30=11),0,1)</f>
        <v/>
      </c>
      <c r="DM31">
        <f>DM30*IF(OR($C30=12,$G30=12),0,1)</f>
        <v/>
      </c>
      <c r="DN31">
        <f>DN30*IF(OR($C30=13,$G30=13),0,1)</f>
        <v/>
      </c>
      <c r="DO31">
        <f>DO30*IF(OR($C30=14,$G30=14),0,1)</f>
        <v/>
      </c>
      <c r="DP31">
        <f>DP30*IF(OR($C30=15,$G30=15),0,1)</f>
        <v/>
      </c>
      <c r="DQ31">
        <f>DQ30*IF(OR($C30=16,$G30=16),0,1)</f>
        <v/>
      </c>
      <c r="DR31">
        <f>DR30*IF(OR($C30=17,$G30=17),0,1)</f>
        <v/>
      </c>
      <c r="DS31">
        <f>DS30*IF(OR($C30=18,$G30=18),0,1)</f>
        <v/>
      </c>
      <c r="DT31">
        <f>DT30*IF(OR($C30=19,$G30=19),0,1)</f>
        <v/>
      </c>
      <c r="DU31">
        <f>DU30*IF(OR($C30=20,$G30=20),0,1)</f>
        <v/>
      </c>
      <c r="DV31">
        <f>DV30*IF(OR($C30=21,$G30=21),0,1)</f>
        <v/>
      </c>
      <c r="DW31">
        <f>DW30*IF(OR($C30=22,$G30=22),0,1)</f>
        <v/>
      </c>
      <c r="DX31">
        <f>DX30*IF(OR($C30=23,$G30=23),0,1)</f>
        <v/>
      </c>
      <c r="DY31">
        <f>DY30*IF(OR($C30=24,$G30=24),0,1)</f>
        <v/>
      </c>
      <c r="DZ31">
        <f>DZ30*IF(OR($C30=25,$G30=25),0,1)</f>
        <v/>
      </c>
      <c r="EA31">
        <f>EA30*IF(OR($C30=26,$G30=26),0,1)</f>
        <v/>
      </c>
      <c r="EB31">
        <f>EB30*IF(OR($C30=27,$G30=27),0,1)</f>
        <v/>
      </c>
      <c r="EC31">
        <f>EC30*IF(OR($C30=28,$G30=28),0,1)</f>
        <v/>
      </c>
      <c r="ED31">
        <f>ED30*IF(OR($C30=29,$G30=29),0,1)</f>
        <v/>
      </c>
      <c r="EE31">
        <f>EE30*IF(OR($C30=30,$G30=30),0,1)</f>
        <v/>
      </c>
      <c r="EF31">
        <f>EF30*IF(OR($C30=31,$G30=31),0,1)</f>
        <v/>
      </c>
      <c r="EG31">
        <f>EG30*IF(OR($C30=32,$G30=32),0,1)</f>
        <v/>
      </c>
      <c r="EH31">
        <f>EH30*IF(OR($C30=33,$G30=33),0,1)</f>
        <v/>
      </c>
      <c r="EI31">
        <f>EI30*IF(OR($C30=34,$G30=34),0,1)</f>
        <v/>
      </c>
      <c r="EJ31">
        <f>EJ30*IF(OR($C30=35,$G30=35),0,1)</f>
        <v/>
      </c>
      <c r="EK31">
        <f>EK30*IF(OR($C30=36,$G30=36),0,1)</f>
        <v/>
      </c>
      <c r="EL31">
        <f>EL30*IF(OR($C30=37,$G30=37),0,1)</f>
        <v/>
      </c>
      <c r="EM31">
        <f>EM30*IF(OR($C30=38,$G30=38),0,1)</f>
        <v/>
      </c>
      <c r="EN31">
        <f>EN30*IF(OR($C30=39,$G30=39),0,1)</f>
        <v/>
      </c>
      <c r="EO31">
        <f>EO30*IF(OR($C30=40,$G30=40),0,1)</f>
        <v/>
      </c>
      <c r="EP31">
        <f>EP30*IF(OR($C30=41,$G30=41),0,1)</f>
        <v/>
      </c>
      <c r="EQ31">
        <f>EQ30*IF(OR($C30=42,$G30=42),0,1)</f>
        <v/>
      </c>
      <c r="ER31">
        <f>ER30*IF(OR($C30=43,$G30=43),0,1)</f>
        <v/>
      </c>
      <c r="ES31">
        <f>ES30*IF(OR($C30=44,$G30=44),0,1)</f>
        <v/>
      </c>
      <c r="ET31">
        <f>ET30*IF(OR($C30=45,$G30=45),0,1)</f>
        <v/>
      </c>
      <c r="EU31">
        <f>EU30*IF(OR($C30=46,$G30=46),0,1)</f>
        <v/>
      </c>
      <c r="EV31">
        <f>EV30*IF(OR($C30=47,$G30=47),0,1)</f>
        <v/>
      </c>
      <c r="EW31">
        <f>EW30*IF(OR($C30=48,$G30=48),0,1)</f>
        <v/>
      </c>
      <c r="EX31">
        <f>EX30*IF(OR($C30=49,$G30=49),0,1)</f>
        <v/>
      </c>
      <c r="EY31">
        <f>EY30*IF(OR($C30=50,$G30=50),0,1)</f>
        <v/>
      </c>
      <c r="EZ31">
        <f>EZ30*IF(OR($C30=51,$G30=51),0,1)</f>
        <v/>
      </c>
      <c r="FA31">
        <f>FA30*IF(OR($C30=52,$G30=52),0,1)</f>
        <v/>
      </c>
      <c r="FB31">
        <f>FB30*IF(OR($C30=53,$G30=53),0,1)</f>
        <v/>
      </c>
      <c r="FC31">
        <f>FC30*IF(OR($C30=54,$G30=54),0,1)</f>
        <v/>
      </c>
      <c r="FD31">
        <f>FD30*IF(OR($C30=55,$G30=55),0,1)</f>
        <v/>
      </c>
      <c r="FE31">
        <f>FE30*IF(OR($C30=56,$G30=56),0,1)</f>
        <v/>
      </c>
      <c r="FF31">
        <f>FF30*IF(OR($C30=57,$G30=57),0,1)</f>
        <v/>
      </c>
      <c r="FG31">
        <f>FG30*IF(OR($C30=58,$G30=58),0,1)</f>
        <v/>
      </c>
      <c r="FH31">
        <f>FH30*IF(OR($C30=59,$G30=59),0,1)</f>
        <v/>
      </c>
      <c r="FI31">
        <f>FI30*IF(OR($C30=60,$G30=60),0,1)</f>
        <v/>
      </c>
      <c r="FJ31">
        <f>FJ30*IF(OR($C30=61,$G30=61),0,1)</f>
        <v/>
      </c>
      <c r="FK31">
        <f>FK30*IF(OR($C30=62,$G30=62),0,1)</f>
        <v/>
      </c>
      <c r="FL31">
        <f>FL30*IF(OR($C30=63,$G30=63),0,1)</f>
        <v/>
      </c>
      <c r="FM31">
        <f>FM30*IF(OR($C30=64,$G30=64),0,1)</f>
        <v/>
      </c>
      <c r="FN31">
        <f>FN30*IF(OR($C30=65,$G30=65),0,1)</f>
        <v/>
      </c>
      <c r="FO31">
        <f>FO30*IF(OR($C30=66,$G30=66),0,1)</f>
        <v/>
      </c>
      <c r="FP31">
        <f>FP30*IF(OR($C30=67,$G30=67),0,1)</f>
        <v/>
      </c>
      <c r="FQ31">
        <f>FQ30*IF(OR($C30=68,$G30=68),0,1)</f>
        <v/>
      </c>
      <c r="FR31">
        <f>FR30*IF(OR($C30=69,$G30=69),0,1)</f>
        <v/>
      </c>
      <c r="FS31">
        <f>FS30*IF(OR($C30=70,$G30=70),0,1)</f>
        <v/>
      </c>
      <c r="FT31">
        <f>FT30*IF(OR($C30=71,$G30=71),0,1)</f>
        <v/>
      </c>
      <c r="FU31">
        <f>FU30*IF(OR($C30=72,$G30=72),0,1)</f>
        <v/>
      </c>
      <c r="FV31">
        <f>FV30*IF(OR($C30=73,$G30=73),0,1)</f>
        <v/>
      </c>
      <c r="FW31">
        <f>FW30*IF(OR($C30=74,$G30=74),0,1)</f>
        <v/>
      </c>
      <c r="FX31">
        <f>FX30*IF(OR($C30=75,$G30=75),0,1)</f>
        <v/>
      </c>
      <c r="FY31">
        <f>FY30*IF(OR($C30=76,$G30=76),0,1)</f>
        <v/>
      </c>
      <c r="FZ31">
        <f>FZ30*IF(OR($C30=77,$G30=77),0,1)</f>
        <v/>
      </c>
      <c r="GA31">
        <f>GA30*IF(OR($C30=78,$G30=78),0,1)</f>
        <v/>
      </c>
      <c r="GB31">
        <f>GB30*IF(OR($C30=79,$G30=79),0,1)</f>
        <v/>
      </c>
      <c r="GC31">
        <f>GC30*IF(OR($C30=80,$G30=80),0,1)</f>
        <v/>
      </c>
      <c r="GD31">
        <f>GD30*IF(OR($C30=81,$G30=81),0,1)</f>
        <v/>
      </c>
      <c r="GE31">
        <f>GE30*IF(OR($C30=82,$G30=82),0,1)</f>
        <v/>
      </c>
      <c r="GF31">
        <f>GF30*IF(OR($C30=83,$G30=83),0,1)</f>
        <v/>
      </c>
      <c r="GG31">
        <f>GG30*IF(OR($C30=84,$G30=84),0,1)</f>
        <v/>
      </c>
      <c r="GH31">
        <f>GH30*IF(OR($C30=85,$G30=85),0,1)</f>
        <v/>
      </c>
      <c r="GI31">
        <f>GI30*IF(OR($C30=86,$G30=86),0,1)</f>
        <v/>
      </c>
      <c r="GJ31">
        <f>GJ30*IF(OR($C30=87,$G30=87),0,1)</f>
        <v/>
      </c>
      <c r="GK31">
        <f>GK30*IF(OR($C30=88,$G30=88),0,1)</f>
        <v/>
      </c>
      <c r="GL31">
        <f>GL30*IF(OR($C30=89,$G30=89),0,1)</f>
        <v/>
      </c>
      <c r="GM31">
        <f>GM30*IF(OR($C30=90,$G30=90),0,1)</f>
        <v/>
      </c>
      <c r="GN31">
        <f>GN30*IF(OR($C30=91,$G30=91),0,1)</f>
        <v/>
      </c>
      <c r="GO31">
        <f>GO30*IF(OR($C30=92,$G30=92),0,1)</f>
        <v/>
      </c>
      <c r="GP31">
        <f>GP30*IF(OR($C30=93,$G30=93),0,1)</f>
        <v/>
      </c>
      <c r="GQ31">
        <f>GQ30*IF(OR($C30=94,$G30=94),0,1)</f>
        <v/>
      </c>
      <c r="GR31">
        <f>GR30*IF(OR($C30=95,$G30=95),0,1)</f>
        <v/>
      </c>
      <c r="GS31">
        <f>GS30*IF(OR($C30=96,$G30=96),0,1)</f>
        <v/>
      </c>
      <c r="GT31">
        <f>GT30*IF(OR($C30=97,$G30=97),0,1)</f>
        <v/>
      </c>
      <c r="GU31">
        <f>GU30*IF(OR($C30=98,$G30=98),0,1)</f>
        <v/>
      </c>
      <c r="GV31">
        <f>GV30*IF(OR($C30=99,$G30=99),0,1)</f>
        <v/>
      </c>
      <c r="GW31">
        <f>GW30*IF(OR($C30=100,$G30=100),0,1)</f>
        <v/>
      </c>
      <c r="GX31">
        <f>GX30*IF(OR($C30=101,$G30=101),0,1)</f>
        <v/>
      </c>
      <c r="GY31">
        <f>GY30*IF(OR($C30=102,$G30=102),0,1)</f>
        <v/>
      </c>
      <c r="GZ31">
        <f>GZ30*IF(OR($C30=103,$G30=103),0,1)</f>
        <v/>
      </c>
      <c r="HA31">
        <f>HA30*IF(OR($C30=104,$G30=104),0,1)</f>
        <v/>
      </c>
      <c r="HB31">
        <f>HB30*IF(OR($C30=105,$G30=105),0,1)</f>
        <v/>
      </c>
      <c r="HC31">
        <f>HC30*IF(OR($C30=106,$G30=106),0,1)</f>
        <v/>
      </c>
      <c r="HD31">
        <f>HD30*IF(OR($C30=107,$G30=107),0,1)</f>
        <v/>
      </c>
      <c r="HE31">
        <f>HE30*IF(OR($C30=108,$G30=108),0,1)</f>
        <v/>
      </c>
      <c r="HF31">
        <f>HF30*IF(OR($C30=109,$G30=109),0,1)</f>
        <v/>
      </c>
      <c r="HG31">
        <f>HG30*IF(OR($C30=110,$G30=110),0,1)</f>
        <v/>
      </c>
      <c r="HH31">
        <f>HH30*IF(OR($C30=111,$G30=111),0,1)</f>
        <v/>
      </c>
      <c r="HI31">
        <f>HI30*IF(OR($C30=112,$G30=112),0,1)</f>
        <v/>
      </c>
      <c r="HJ31">
        <f>HJ30*IF(OR($C30=113,$G30=113),0,1)</f>
        <v/>
      </c>
      <c r="HK31">
        <f>HK30*IF(OR($C30=114,$G30=114),0,1)</f>
        <v/>
      </c>
      <c r="HL31">
        <f>HL30*IF(OR($C30=115,$G30=115),0,1)</f>
        <v/>
      </c>
      <c r="HM31">
        <f>HM30*IF(OR($C30=116,$G30=116),0,1)</f>
        <v/>
      </c>
      <c r="HN31">
        <f>HN30*IF(OR($C30=117,$G30=117),0,1)</f>
        <v/>
      </c>
      <c r="HO31">
        <f>HO30*IF(OR($C30=118,$G30=118),0,1)</f>
        <v/>
      </c>
      <c r="HP31">
        <f>HP30*IF(OR($C30=119,$G30=119),0,1)</f>
        <v/>
      </c>
      <c r="HQ31">
        <f>HQ30*IF(OR($C30=120,$G30=120),0,1)</f>
        <v/>
      </c>
      <c r="HR31">
        <f>HR30*IF(OR($C30=121,$G30=121),0,1)</f>
        <v/>
      </c>
      <c r="HS31">
        <f>HS30*IF(OR($C30=122,$G30=122),0,1)</f>
        <v/>
      </c>
      <c r="HT31">
        <f>HT30*IF(OR($C30=123,$G30=123),0,1)</f>
        <v/>
      </c>
      <c r="HU31">
        <f>HU30*IF(OR($C30=124,$G30=124),0,1)</f>
        <v/>
      </c>
      <c r="HV31">
        <f>HV30*IF(OR($C30=125,$G30=125),0,1)</f>
        <v/>
      </c>
      <c r="HW31">
        <f>HW30*IF(OR($C30=126,$G30=126),0,1)</f>
        <v/>
      </c>
      <c r="HX31">
        <f>HX30*IF(OR($C30=127,$G30=127),0,1)</f>
        <v/>
      </c>
      <c r="HY31">
        <f>HY30*IF(OR($C30=128,$G30=128),0,1)</f>
        <v/>
      </c>
      <c r="HZ31">
        <f>HZ30*IF(OR($C30=129,$G30=129),0,1)</f>
        <v/>
      </c>
      <c r="IA31">
        <f>IA30*IF(OR($C30=130,$G30=130),0,1)</f>
        <v/>
      </c>
      <c r="IB31">
        <f>IB30*IF(OR($C30=131,$G30=131),0,1)</f>
        <v/>
      </c>
      <c r="IC31">
        <f>IC30*IF(OR($C30=132,$G30=132),0,1)</f>
        <v/>
      </c>
      <c r="ID31">
        <f>ID30*IF(OR($C30=133,$G30=133),0,1)</f>
        <v/>
      </c>
      <c r="IE31">
        <f>IE30*IF(OR($C30=134,$G30=134),0,1)</f>
        <v/>
      </c>
      <c r="IF31">
        <f>IF30*IF(OR($C30=135,$G30=135),0,1)</f>
        <v/>
      </c>
      <c r="IG31">
        <f>IG30*IF(OR($C30=136,$G30=136),0,1)</f>
        <v/>
      </c>
      <c r="IH31">
        <f>IH30*IF(OR($C30=137,$G30=137),0,1)</f>
        <v/>
      </c>
      <c r="II31">
        <f>II30*IF(OR($C30=138,$G30=138),0,1)</f>
        <v/>
      </c>
      <c r="IJ31">
        <f>IJ30*IF(OR($C30=139,$G30=139),0,1)</f>
        <v/>
      </c>
      <c r="IK31">
        <f>IK30*IF(OR($C30=140,$G30=140),0,1)</f>
        <v/>
      </c>
      <c r="IL31">
        <f>IL30*IF(OR($C30=141,$G30=141),0,1)</f>
        <v/>
      </c>
      <c r="IM31">
        <f>IM30*IF(OR($C30=142,$G30=142),0,1)</f>
        <v/>
      </c>
      <c r="IN31">
        <f>IN30*IF(OR($C30=143,$G30=143),0,1)</f>
        <v/>
      </c>
      <c r="IO31">
        <f>IO30*IF(OR($C30=144,$G30=144),0,1)</f>
        <v/>
      </c>
      <c r="IQ31">
        <f>IF('calcA'!D$106=1,DC31,1)</f>
        <v/>
      </c>
      <c r="IR31">
        <f>IF('calcA'!E$106=1,DD31,1)</f>
        <v/>
      </c>
      <c r="IS31">
        <f>IF('calcA'!F$106=1,DE31,1)</f>
        <v/>
      </c>
      <c r="IT31">
        <f>IF('calcA'!G$106=1,DF31,1)</f>
        <v/>
      </c>
      <c r="IU31">
        <f>IF('calcA'!H$106=1,DG31,1)</f>
        <v/>
      </c>
      <c r="IV31">
        <f>IF('calcA'!I$106=1,DH31,1)</f>
        <v/>
      </c>
      <c r="IW31">
        <f>IF('calcA'!J$106=1,DI31,1)</f>
        <v/>
      </c>
      <c r="IX31">
        <f>IF('calcA'!K$106=1,DJ31,1)</f>
        <v/>
      </c>
      <c r="IY31">
        <f>IF('calcA'!L$106=1,DK31,1)</f>
        <v/>
      </c>
      <c r="IZ31">
        <f>IF('calcA'!M$106=1,DL31,1)</f>
        <v/>
      </c>
      <c r="JA31">
        <f>IF('calcA'!N$106=1,DM31,1)</f>
        <v/>
      </c>
      <c r="JB31">
        <f>IF('calcA'!O$106=1,DN31,1)</f>
        <v/>
      </c>
      <c r="JC31">
        <f>IF('calcA'!P$106=1,DO31,1)</f>
        <v/>
      </c>
      <c r="JD31">
        <f>IF('calcA'!Q$106=1,DP31,1)</f>
        <v/>
      </c>
      <c r="JE31">
        <f>IF('calcA'!R$106=1,DQ31,1)</f>
        <v/>
      </c>
      <c r="JF31">
        <f>IF('calcA'!S$106=1,DR31,1)</f>
        <v/>
      </c>
      <c r="JG31">
        <f>IF('calcA'!T$106=1,DS31,1)</f>
        <v/>
      </c>
      <c r="JH31">
        <f>IF('calcA'!U$106=1,DT31,1)</f>
        <v/>
      </c>
      <c r="JI31">
        <f>IF('calcA'!V$106=1,DU31,1)</f>
        <v/>
      </c>
      <c r="JJ31">
        <f>IF('calcA'!W$106=1,DV31,1)</f>
        <v/>
      </c>
      <c r="JK31">
        <f>IF('calcA'!X$106=1,DW31,1)</f>
        <v/>
      </c>
      <c r="JL31">
        <f>IF('calcA'!Y$106=1,DX31,1)</f>
        <v/>
      </c>
      <c r="JM31">
        <f>IF('calcA'!Z$106=1,DY31,1)</f>
        <v/>
      </c>
      <c r="JN31">
        <f>IF('calcA'!AA$106=1,DZ31,1)</f>
        <v/>
      </c>
      <c r="JO31">
        <f>IF('calcA'!AB$106=1,EA31,1)</f>
        <v/>
      </c>
      <c r="JP31">
        <f>IF('calcA'!AC$106=1,EB31,1)</f>
        <v/>
      </c>
      <c r="JQ31">
        <f>IF('calcA'!AD$106=1,EC31,1)</f>
        <v/>
      </c>
      <c r="JR31">
        <f>IF('calcA'!AE$106=1,ED31,1)</f>
        <v/>
      </c>
      <c r="JS31">
        <f>IF('calcA'!AF$106=1,EE31,1)</f>
        <v/>
      </c>
      <c r="JT31">
        <f>IF('calcA'!AG$106=1,EF31,1)</f>
        <v/>
      </c>
      <c r="JU31">
        <f>IF('calcA'!AH$106=1,EG31,1)</f>
        <v/>
      </c>
      <c r="JV31">
        <f>IF('calcA'!AI$106=1,EH31,1)</f>
        <v/>
      </c>
      <c r="JW31">
        <f>IF('calcA'!AJ$106=1,EI31,1)</f>
        <v/>
      </c>
      <c r="JX31">
        <f>IF('calcA'!AK$106=1,EJ31,1)</f>
        <v/>
      </c>
      <c r="JY31">
        <f>IF('calcA'!AL$106=1,EK31,1)</f>
        <v/>
      </c>
      <c r="JZ31">
        <f>IF('calcA'!AM$106=1,EL31,1)</f>
        <v/>
      </c>
      <c r="KA31">
        <f>IF('calcA'!AN$106=1,EM31,1)</f>
        <v/>
      </c>
      <c r="KB31">
        <f>IF('calcA'!AO$106=1,EN31,1)</f>
        <v/>
      </c>
      <c r="KC31">
        <f>IF('calcA'!AP$106=1,EO31,1)</f>
        <v/>
      </c>
      <c r="KD31">
        <f>IF('calcA'!AQ$106=1,EP31,1)</f>
        <v/>
      </c>
      <c r="KE31">
        <f>IF('calcA'!AR$106=1,EQ31,1)</f>
        <v/>
      </c>
      <c r="KF31">
        <f>IF('calcA'!AS$106=1,ER31,1)</f>
        <v/>
      </c>
      <c r="KG31">
        <f>IF('calcA'!AT$106=1,ES31,1)</f>
        <v/>
      </c>
      <c r="KH31">
        <f>IF('calcA'!AU$106=1,ET31,1)</f>
        <v/>
      </c>
      <c r="KI31">
        <f>IF('calcA'!AV$106=1,EU31,1)</f>
        <v/>
      </c>
      <c r="KJ31">
        <f>IF('calcA'!AW$106=1,EV31,1)</f>
        <v/>
      </c>
      <c r="KK31">
        <f>IF('calcA'!AX$106=1,EW31,1)</f>
        <v/>
      </c>
      <c r="KL31">
        <f>IF('calcA'!AY$106=1,EX31,1)</f>
        <v/>
      </c>
      <c r="KM31">
        <f>IF('calcA'!AZ$106=1,EY31,1)</f>
        <v/>
      </c>
      <c r="KN31">
        <f>IF('calcA'!BA$106=1,EZ31,1)</f>
        <v/>
      </c>
      <c r="KO31">
        <f>IF('calcA'!BB$106=1,FA31,1)</f>
        <v/>
      </c>
      <c r="KP31">
        <f>IF('calcA'!BC$106=1,FB31,1)</f>
        <v/>
      </c>
      <c r="KQ31">
        <f>IF('calcA'!BD$106=1,FC31,1)</f>
        <v/>
      </c>
      <c r="KR31">
        <f>IF('calcA'!BE$106=1,FD31,1)</f>
        <v/>
      </c>
      <c r="KS31">
        <f>IF('calcA'!BF$106=1,FE31,1)</f>
        <v/>
      </c>
      <c r="KT31">
        <f>IF('calcA'!BG$106=1,FF31,1)</f>
        <v/>
      </c>
      <c r="KU31">
        <f>IF('calcA'!BH$106=1,FG31,1)</f>
        <v/>
      </c>
      <c r="KV31">
        <f>IF('calcA'!BI$106=1,FH31,1)</f>
        <v/>
      </c>
      <c r="KW31">
        <f>IF('calcA'!BJ$106=1,FI31,1)</f>
        <v/>
      </c>
      <c r="KX31">
        <f>IF('calcA'!BK$106=1,FJ31,1)</f>
        <v/>
      </c>
      <c r="KY31">
        <f>IF('calcA'!BL$106=1,FK31,1)</f>
        <v/>
      </c>
      <c r="KZ31">
        <f>IF('calcA'!BM$106=1,FL31,1)</f>
        <v/>
      </c>
      <c r="LA31">
        <f>IF('calcA'!BN$106=1,FM31,1)</f>
        <v/>
      </c>
      <c r="LB31">
        <f>IF('calcA'!BO$106=1,FN31,1)</f>
        <v/>
      </c>
      <c r="LC31">
        <f>IF('calcA'!BP$106=1,FO31,1)</f>
        <v/>
      </c>
      <c r="LD31">
        <f>IF('calcA'!BQ$106=1,FP31,1)</f>
        <v/>
      </c>
      <c r="LE31">
        <f>IF('calcA'!BR$106=1,FQ31,1)</f>
        <v/>
      </c>
      <c r="LF31">
        <f>IF('calcA'!BS$106=1,FR31,1)</f>
        <v/>
      </c>
      <c r="LG31">
        <f>IF('calcA'!BT$106=1,FS31,1)</f>
        <v/>
      </c>
      <c r="LH31">
        <f>IF('calcA'!BU$106=1,FT31,1)</f>
        <v/>
      </c>
      <c r="LI31">
        <f>IF('calcA'!BV$106=1,FU31,1)</f>
        <v/>
      </c>
      <c r="LJ31">
        <f>IF('calcA'!BW$106=1,FV31,1)</f>
        <v/>
      </c>
      <c r="LK31">
        <f>IF('calcA'!BX$106=1,FW31,1)</f>
        <v/>
      </c>
      <c r="LL31">
        <f>IF('calcA'!BY$106=1,FX31,1)</f>
        <v/>
      </c>
      <c r="LM31">
        <f>IF('calcA'!BZ$106=1,FY31,1)</f>
        <v/>
      </c>
      <c r="LN31">
        <f>IF('calcA'!CA$106=1,FZ31,1)</f>
        <v/>
      </c>
      <c r="LO31">
        <f>IF('calcA'!CB$106=1,GA31,1)</f>
        <v/>
      </c>
      <c r="LP31">
        <f>IF('calcA'!CC$106=1,GB31,1)</f>
        <v/>
      </c>
      <c r="LQ31">
        <f>IF('calcA'!CD$106=1,GC31,1)</f>
        <v/>
      </c>
      <c r="LR31">
        <f>IF('calcA'!CE$106=1,GD31,1)</f>
        <v/>
      </c>
      <c r="LS31">
        <f>IF('calcA'!CF$106=1,GE31,1)</f>
        <v/>
      </c>
      <c r="LT31">
        <f>IF('calcA'!CG$106=1,GF31,1)</f>
        <v/>
      </c>
      <c r="LU31">
        <f>IF('calcA'!CH$106=1,GG31,1)</f>
        <v/>
      </c>
      <c r="LV31">
        <f>IF('calcA'!CI$106=1,GH31,1)</f>
        <v/>
      </c>
      <c r="LW31">
        <f>IF('calcA'!CJ$106=1,GI31,1)</f>
        <v/>
      </c>
      <c r="LX31">
        <f>IF('calcA'!CK$106=1,GJ31,1)</f>
        <v/>
      </c>
      <c r="LY31">
        <f>IF('calcA'!CL$106=1,GK31,1)</f>
        <v/>
      </c>
      <c r="LZ31">
        <f>IF('calcA'!CM$106=1,GL31,1)</f>
        <v/>
      </c>
      <c r="MA31">
        <f>IF('calcA'!CN$106=1,GM31,1)</f>
        <v/>
      </c>
      <c r="MB31">
        <f>IF('calcA'!CO$106=1,GN31,1)</f>
        <v/>
      </c>
      <c r="MC31">
        <f>IF('calcA'!CP$106=1,GO31,1)</f>
        <v/>
      </c>
      <c r="MD31">
        <f>IF('calcA'!CQ$106=1,GP31,1)</f>
        <v/>
      </c>
      <c r="ME31">
        <f>IF('calcA'!CR$106=1,GQ31,1)</f>
        <v/>
      </c>
      <c r="MF31">
        <f>IF('calcA'!CS$106=1,GR31,1)</f>
        <v/>
      </c>
      <c r="MG31">
        <f>IF('calcA'!CT$106=1,GS31,1)</f>
        <v/>
      </c>
      <c r="MH31">
        <f>IF('calcA'!CU$106=1,GT31,1)</f>
        <v/>
      </c>
      <c r="MI31">
        <f>IF('calcA'!CV$106=1,GU31,1)</f>
        <v/>
      </c>
      <c r="MJ31">
        <f>IF('calcA'!CW$106=1,GV31,1)</f>
        <v/>
      </c>
      <c r="MK31">
        <f>IF('calcA'!CX$106=1,GW31,1)</f>
        <v/>
      </c>
      <c r="ML31">
        <f>IF('calcA'!CY$106=1,GX31,1)</f>
        <v/>
      </c>
      <c r="MM31">
        <f>IF('calcA'!CZ$106=1,GY31,1)</f>
        <v/>
      </c>
      <c r="MN31">
        <f>IF('calcA'!DA$106=1,GZ31,1)</f>
        <v/>
      </c>
      <c r="MO31">
        <f>IF('calcA'!DB$106=1,HA31,1)</f>
        <v/>
      </c>
      <c r="MP31">
        <f>IF('calcA'!DC$106=1,HB31,1)</f>
        <v/>
      </c>
      <c r="MQ31">
        <f>IF('calcA'!DD$106=1,HC31,1)</f>
        <v/>
      </c>
      <c r="MR31">
        <f>IF('calcA'!DE$106=1,HD31,1)</f>
        <v/>
      </c>
      <c r="MS31">
        <f>IF('calcA'!DF$106=1,HE31,1)</f>
        <v/>
      </c>
      <c r="MT31">
        <f>IF('calcA'!DG$106=1,HF31,1)</f>
        <v/>
      </c>
      <c r="MU31">
        <f>IF('calcA'!DH$106=1,HG31,1)</f>
        <v/>
      </c>
      <c r="MV31">
        <f>IF('calcA'!DI$106=1,HH31,1)</f>
        <v/>
      </c>
      <c r="MW31">
        <f>IF('calcA'!DJ$106=1,HI31,1)</f>
        <v/>
      </c>
      <c r="MX31">
        <f>IF('calcA'!DK$106=1,HJ31,1)</f>
        <v/>
      </c>
      <c r="MY31">
        <f>IF('calcA'!DL$106=1,HK31,1)</f>
        <v/>
      </c>
      <c r="MZ31">
        <f>IF('calcA'!DM$106=1,HL31,1)</f>
        <v/>
      </c>
      <c r="NA31">
        <f>IF('calcA'!DN$106=1,HM31,1)</f>
        <v/>
      </c>
      <c r="NB31">
        <f>IF('calcA'!DO$106=1,HN31,1)</f>
        <v/>
      </c>
      <c r="NC31">
        <f>IF('calcA'!DP$106=1,HO31,1)</f>
        <v/>
      </c>
      <c r="ND31">
        <f>IF('calcA'!DQ$106=1,HP31,1)</f>
        <v/>
      </c>
      <c r="NE31">
        <f>IF('calcA'!DR$106=1,HQ31,1)</f>
        <v/>
      </c>
      <c r="NF31">
        <f>IF('calcA'!DS$106=1,HR31,1)</f>
        <v/>
      </c>
      <c r="NG31">
        <f>IF('calcA'!DT$106=1,HS31,1)</f>
        <v/>
      </c>
      <c r="NH31">
        <f>IF('calcA'!DU$106=1,HT31,1)</f>
        <v/>
      </c>
      <c r="NI31">
        <f>IF('calcA'!DV$106=1,HU31,1)</f>
        <v/>
      </c>
      <c r="NJ31">
        <f>IF('calcA'!DW$106=1,HV31,1)</f>
        <v/>
      </c>
      <c r="NK31">
        <f>IF('calcA'!DX$106=1,HW31,1)</f>
        <v/>
      </c>
      <c r="NL31">
        <f>IF('calcA'!DY$106=1,HX31,1)</f>
        <v/>
      </c>
      <c r="NM31">
        <f>IF('calcA'!DZ$106=1,HY31,1)</f>
        <v/>
      </c>
      <c r="NN31">
        <f>IF('calcA'!EA$106=1,HZ31,1)</f>
        <v/>
      </c>
      <c r="NO31">
        <f>IF('calcA'!EB$106=1,IA31,1)</f>
        <v/>
      </c>
      <c r="NP31">
        <f>IF('calcA'!EC$106=1,IB31,1)</f>
        <v/>
      </c>
      <c r="NQ31">
        <f>IF('calcA'!ED$106=1,IC31,1)</f>
        <v/>
      </c>
      <c r="NR31">
        <f>IF('calcA'!EE$106=1,ID31,1)</f>
        <v/>
      </c>
      <c r="NS31">
        <f>IF('calcA'!EF$106=1,IE31,1)</f>
        <v/>
      </c>
      <c r="NT31">
        <f>IF('calcA'!EG$106=1,IF31,1)</f>
        <v/>
      </c>
      <c r="NU31">
        <f>IF('calcA'!EH$106=1,IG31,1)</f>
        <v/>
      </c>
      <c r="NV31">
        <f>IF('calcA'!EI$106=1,IH31,1)</f>
        <v/>
      </c>
      <c r="NW31">
        <f>IF('calcA'!EJ$106=1,II31,1)</f>
        <v/>
      </c>
      <c r="NX31">
        <f>IF('calcA'!EK$106=1,IJ31,1)</f>
        <v/>
      </c>
      <c r="NY31">
        <f>IF('calcA'!EL$106=1,IK31,1)</f>
        <v/>
      </c>
      <c r="NZ31">
        <f>IF('calcA'!EM$106=1,IL31,1)</f>
        <v/>
      </c>
      <c r="OA31">
        <f>IF('calcA'!EN$106=1,IM31,1)</f>
        <v/>
      </c>
      <c r="OB31">
        <f>IF('calcA'!EO$106=1,IN31,1)</f>
        <v/>
      </c>
      <c r="OC31">
        <f>IF('calcA'!EP$106=1,IO31,1)</f>
        <v/>
      </c>
      <c r="OD31" t="n">
        <v>1</v>
      </c>
      <c r="OF31">
        <f>IF($B31=0,1000000000,IF(INDEX('calcA'!$D$60:$EQ$99,$B31,1)*IF($W31=1,DB31+ZQ31,DB31)=1,IF(AND($E31=2,IF($W31=1,AFF31,IQ31)=0),1000000000,IF($V31=1,INDEX('calcA'!$D$130:$EQ$169,$B31,1)+IF(AND($E31=1,IQ31=0),25,0),IF($F31&gt;0,INDEX('calcA'!D$110:D$114,$F31+1)+IF(AND($E31=1,IQ31=0),1000,0),MIN(TU31,20)*400+(IF('calcA'!D$106=1,1-DC31,0))*150+11+'calcA'!D$5*100000+IF(AND($E31=1,IQ31=0),50000,0))+IF($H31=1,INDEX('calcA'!$D$180:$EQ$219,$B31,1)*4000,0)-IF(AND($U31=1,'calcA'!D$117=1,DC31=0),2000,0))),1000000000))</f>
        <v/>
      </c>
      <c r="OG31">
        <f>IF($B31=0,1000000000,IF(INDEX('calcA'!$D$60:$EQ$99,$B31,2)*IF($W31=1,DC31+ZR31,DC31)=1,IF(AND($E31=2,IF($W31=1,AFG31,IR31)=0),1000000000,IF($V31=1,INDEX('calcA'!$D$130:$EQ$169,$B31,2)+IF(AND($E31=1,IR31=0),25,0),IF($F31&gt;0,INDEX('calcA'!E$110:E$114,$F31+1)+IF(AND($E31=1,IR31=0),1000,0),MIN(TU31,20)*400+(IF('calcA'!D$106=1,1-DB31,0)+IF('calcA'!E$106=1,1-DD31,0))*150+21+'calcA'!E$5*100000+IF(AND($E31=1,IR31=0),50000,0))+IF($H31=1,INDEX('calcA'!$D$180:$EQ$219,$B31,2)*4000,0)-IF(AND('calcA'!D$117=1,UB31&gt;0),2000,0)-IF(AND($U31=1,'calcA'!E$117=1,DD31=0),2000,0))),1000000000))</f>
        <v/>
      </c>
      <c r="OH31">
        <f>IF($B31=0,1000000000,IF(INDEX('calcA'!$D$60:$EQ$99,$B31,3)*IF($W31=1,DD31+ZS31,DD31)=1,IF(AND($E31=2,IF($W31=1,AFH31,IS31)=0),1000000000,IF($V31=1,INDEX('calcA'!$D$130:$EQ$169,$B31,3)+IF(AND($E31=1,IS31=0),25,0),IF($F31&gt;0,INDEX('calcA'!F$110:F$114,$F31+1)+IF(AND($E31=1,IS31=0),1000,0),MIN(TU31,20)*400+(IF('calcA'!E$106=1,1-DC31,0)+IF('calcA'!F$106=1,1-DE31,0))*150+31+'calcA'!F$5*100000+IF(AND($E31=1,IS31=0),50000,0))+IF($H31=1,INDEX('calcA'!$D$180:$EQ$219,$B31,3)*4000,0)-IF(AND('calcA'!E$117=1,UC31&gt;0),2000,0)-IF(AND($U31=1,'calcA'!F$117=1,DE31=0),2000,0))),1000000000))</f>
        <v/>
      </c>
      <c r="OI31">
        <f>IF($B31=0,1000000000,IF(INDEX('calcA'!$D$60:$EQ$99,$B31,4)*IF($W31=1,DE31+ZT31,DE31)=1,IF(AND($E31=2,IF($W31=1,AFI31,IT31)=0),1000000000,IF($V31=1,INDEX('calcA'!$D$130:$EQ$169,$B31,4)+IF(AND($E31=1,IT31=0),25,0),IF($F31&gt;0,INDEX('calcA'!G$110:G$114,$F31+1)+IF(AND($E31=1,IT31=0),1000,0),MIN(TU31,20)*400+(IF('calcA'!F$106=1,1-DD31,0)+IF('calcA'!G$106=1,1-DF31,0))*150+41+'calcA'!G$5*100000+IF(AND($E31=1,IT31=0),50000,0))+IF($H31=1,INDEX('calcA'!$D$180:$EQ$219,$B31,4)*4000,0)-IF(AND('calcA'!F$117=1,UD31&gt;0),2000,0)-IF(AND($U31=1,'calcA'!G$117=1,DF31=0),2000,0))),1000000000))</f>
        <v/>
      </c>
      <c r="OJ31">
        <f>IF($B31=0,1000000000,IF(INDEX('calcA'!$D$60:$EQ$99,$B31,5)*IF($W31=1,DF31+ZU31,DF31)=1,IF(AND($E31=2,IF($W31=1,AFJ31,IU31)=0),1000000000,IF($V31=1,INDEX('calcA'!$D$130:$EQ$169,$B31,5)+IF(AND($E31=1,IU31=0),25,0),IF($F31&gt;0,INDEX('calcA'!H$110:H$114,$F31+1)+IF(AND($E31=1,IU31=0),1000,0),MIN(TU31,20)*400+(IF('calcA'!G$106=1,1-DE31,0)+IF('calcA'!H$106=1,1-DG31,0))*150+51+'calcA'!H$5*100000+IF(AND($E31=1,IU31=0),50000,0))+IF($H31=1,INDEX('calcA'!$D$180:$EQ$219,$B31,5)*4000,0)-IF(AND('calcA'!G$117=1,UE31&gt;0),2000,0)-IF(AND($U31=1,'calcA'!H$117=1,DG31=0),2000,0))),1000000000))</f>
        <v/>
      </c>
      <c r="OK31">
        <f>IF($B31=0,1000000000,IF(INDEX('calcA'!$D$60:$EQ$99,$B31,6)*IF($W31=1,DG31+ZV31,DG31)=1,IF(AND($E31=2,IF($W31=1,AFK31,IV31)=0),1000000000,IF($V31=1,INDEX('calcA'!$D$130:$EQ$169,$B31,6)+IF(AND($E31=1,IV31=0),25,0),IF($F31&gt;0,INDEX('calcA'!I$110:I$114,$F31+1)+IF(AND($E31=1,IV31=0),1000,0),MIN(TU31,20)*400+(IF('calcA'!H$106=1,1-DF31,0)+IF('calcA'!I$106=1,1-DH31,0))*150+61+'calcA'!I$5*100000+IF(AND($E31=1,IV31=0),50000,0))+IF($H31=1,INDEX('calcA'!$D$180:$EQ$219,$B31,6)*4000,0)-IF(AND('calcA'!H$117=1,UF31&gt;0),2000,0)-IF(AND($U31=1,'calcA'!I$117=1,DH31=0),2000,0))),1000000000))</f>
        <v/>
      </c>
      <c r="OL31">
        <f>IF($B31=0,1000000000,IF(INDEX('calcA'!$D$60:$EQ$99,$B31,7)*IF($W31=1,DH31+ZW31,DH31)=1,IF(AND($E31=2,IF($W31=1,AFL31,IW31)=0),1000000000,IF($V31=1,INDEX('calcA'!$D$130:$EQ$169,$B31,7)+IF(AND($E31=1,IW31=0),25,0),IF($F31&gt;0,INDEX('calcA'!J$110:J$114,$F31+1)+IF(AND($E31=1,IW31=0),1000,0),MIN(TU31,20)*400+(IF('calcA'!I$106=1,1-DG31,0)+IF('calcA'!J$106=1,1-DI31,0))*150+71+'calcA'!J$5*100000+IF(AND($E31=1,IW31=0),50000,0))+IF($H31=1,INDEX('calcA'!$D$180:$EQ$219,$B31,7)*4000,0)-IF(AND('calcA'!I$117=1,UG31&gt;0),2000,0)-IF(AND($U31=1,'calcA'!J$117=1,DI31=0),2000,0))),1000000000))</f>
        <v/>
      </c>
      <c r="OM31">
        <f>IF($B31=0,1000000000,IF(INDEX('calcA'!$D$60:$EQ$99,$B31,8)*IF($W31=1,DI31+ZX31,DI31)=1,IF(AND($E31=2,IF($W31=1,AFM31,IX31)=0),1000000000,IF($V31=1,INDEX('calcA'!$D$130:$EQ$169,$B31,8)+IF(AND($E31=1,IX31=0),25,0),IF($F31&gt;0,INDEX('calcA'!K$110:K$114,$F31+1)+IF(AND($E31=1,IX31=0),1000,0),MIN(TU31,20)*400+(IF('calcA'!J$106=1,1-DH31,0)+IF('calcA'!K$106=1,1-DJ31,0))*150+81+'calcA'!K$5*100000+IF(AND($E31=1,IX31=0),50000,0))+IF($H31=1,INDEX('calcA'!$D$180:$EQ$219,$B31,8)*4000,0)-IF(AND('calcA'!J$117=1,UH31&gt;0),2000,0)-IF(AND($U31=1,'calcA'!K$117=1,DJ31=0),2000,0))),1000000000))</f>
        <v/>
      </c>
      <c r="ON31">
        <f>IF($B31=0,1000000000,IF(INDEX('calcA'!$D$60:$EQ$99,$B31,9)*IF($W31=1,DJ31+ZY31,DJ31)=1,IF(AND($E31=2,IF($W31=1,AFN31,IY31)=0),1000000000,IF($V31=1,INDEX('calcA'!$D$130:$EQ$169,$B31,9)+IF(AND($E31=1,IY31=0),25,0),IF($F31&gt;0,INDEX('calcA'!L$110:L$114,$F31+1)+IF(AND($E31=1,IY31=0),1000,0),MIN(TU31,20)*400+(IF('calcA'!K$106=1,1-DI31,0)+IF('calcA'!L$106=1,1-DK31,0))*150+91+'calcA'!L$5*100000+IF(AND($E31=1,IY31=0),50000,0))+IF($H31=1,INDEX('calcA'!$D$180:$EQ$219,$B31,9)*4000,0)-IF(AND('calcA'!K$117=1,UI31&gt;0),2000,0)-IF(AND($U31=1,'calcA'!L$117=1,DK31=0),2000,0))),1000000000))</f>
        <v/>
      </c>
      <c r="OO31">
        <f>IF($B31=0,1000000000,IF(INDEX('calcA'!$D$60:$EQ$99,$B31,10)*IF($W31=1,DK31+ZZ31,DK31)=1,IF(AND($E31=2,IF($W31=1,AFO31,IZ31)=0),1000000000,IF($V31=1,INDEX('calcA'!$D$130:$EQ$169,$B31,10)+IF(AND($E31=1,IZ31=0),25,0),IF($F31&gt;0,INDEX('calcA'!M$110:M$114,$F31+1)+IF(AND($E31=1,IZ31=0),1000,0),MIN(TU31,20)*400+(IF('calcA'!L$106=1,1-DJ31,0)+IF('calcA'!M$106=1,1-DL31,0))*150+101+'calcA'!M$5*100000+IF(AND($E31=1,IZ31=0),50000,0))+IF($H31=1,INDEX('calcA'!$D$180:$EQ$219,$B31,10)*4000,0)-IF(AND('calcA'!L$117=1,UJ31&gt;0),2000,0)-IF(AND($U31=1,'calcA'!M$117=1,DL31=0),2000,0))),1000000000))</f>
        <v/>
      </c>
      <c r="OP31">
        <f>IF($B31=0,1000000000,IF(INDEX('calcA'!$D$60:$EQ$99,$B31,11)*IF($W31=1,DL31+AAA31,DL31)=1,IF(AND($E31=2,IF($W31=1,AFP31,JA31)=0),1000000000,IF($V31=1,INDEX('calcA'!$D$130:$EQ$169,$B31,11)+IF(AND($E31=1,JA31=0),25,0),IF($F31&gt;0,INDEX('calcA'!N$110:N$114,$F31+1)+IF(AND($E31=1,JA31=0),1000,0),MIN(TU31,20)*400+(IF('calcA'!M$106=1,1-DK31,0)+IF('calcA'!N$106=1,1-DM31,0))*150+111+'calcA'!N$5*100000+IF(AND($E31=1,JA31=0),50000,0))+IF($H31=1,INDEX('calcA'!$D$180:$EQ$219,$B31,11)*4000,0)-IF(AND('calcA'!M$117=1,UK31&gt;0),2000,0)-IF(AND($U31=1,'calcA'!N$117=1,DM31=0),2000,0))),1000000000))</f>
        <v/>
      </c>
      <c r="OQ31">
        <f>IF($B31=0,1000000000,IF(INDEX('calcA'!$D$60:$EQ$99,$B31,12)*IF($W31=1,DM31+AAB31,DM31)=1,IF(AND($E31=2,IF($W31=1,AFQ31,JB31)=0),1000000000,IF($V31=1,INDEX('calcA'!$D$130:$EQ$169,$B31,12)+IF(AND($E31=1,JB31=0),25,0),IF($F31&gt;0,INDEX('calcA'!O$110:O$114,$F31+1)+IF(AND($E31=1,JB31=0),1000,0),MIN(TU31,20)*400+(IF('calcA'!N$106=1,1-DL31,0)+IF('calcA'!O$106=1,1-DN31,0))*150+121+'calcA'!O$5*100000+IF(AND($E31=1,JB31=0),50000,0))+IF($H31=1,INDEX('calcA'!$D$180:$EQ$219,$B31,12)*4000,0)-IF(AND('calcA'!N$117=1,UL31&gt;0),2000,0)-IF(AND($U31=1,'calcA'!O$117=1,DN31=0),2000,0))),1000000000))</f>
        <v/>
      </c>
      <c r="OR31">
        <f>IF($B31=0,1000000000,IF(INDEX('calcA'!$D$60:$EQ$99,$B31,13)*IF($W31=1,DN31+AAC31,DN31)=1,IF(AND($E31=2,IF($W31=1,AFR31,JC31)=0),1000000000,IF($V31=1,INDEX('calcA'!$D$130:$EQ$169,$B31,13)+IF(AND($E31=1,JC31=0),25,0),IF($F31&gt;0,INDEX('calcA'!P$110:P$114,$F31+1)+IF(AND($E31=1,JC31=0),1000,0),MIN(TU31,20)*400+(IF('calcA'!O$106=1,1-DM31,0)+IF('calcA'!P$106=1,1-DO31,0))*150+131+'calcA'!P$5*100000+IF(AND($E31=1,JC31=0),50000,0))+IF($H31=1,INDEX('calcA'!$D$180:$EQ$219,$B31,13)*4000,0)-IF(AND('calcA'!O$117=1,UM31&gt;0),2000,0)-IF(AND($U31=1,'calcA'!P$117=1,DO31=0),2000,0))),1000000000))</f>
        <v/>
      </c>
      <c r="OS31">
        <f>IF($B31=0,1000000000,IF(INDEX('calcA'!$D$60:$EQ$99,$B31,14)*IF($W31=1,DO31+AAD31,DO31)=1,IF(AND($E31=2,IF($W31=1,AFS31,JD31)=0),1000000000,IF($V31=1,INDEX('calcA'!$D$130:$EQ$169,$B31,14)+IF(AND($E31=1,JD31=0),25,0),IF($F31&gt;0,INDEX('calcA'!Q$110:Q$114,$F31+1)+IF(AND($E31=1,JD31=0),1000,0),MIN(TU31,20)*400+(IF('calcA'!P$106=1,1-DN31,0)+IF('calcA'!Q$106=1,1-DP31,0))*150+141+'calcA'!Q$5*100000+IF(AND($E31=1,JD31=0),50000,0))+IF($H31=1,INDEX('calcA'!$D$180:$EQ$219,$B31,14)*4000,0)-IF(AND('calcA'!P$117=1,UN31&gt;0),2000,0)-IF(AND($U31=1,'calcA'!Q$117=1,DP31=0),2000,0))),1000000000))</f>
        <v/>
      </c>
      <c r="OT31">
        <f>IF($B31=0,1000000000,IF(INDEX('calcA'!$D$60:$EQ$99,$B31,15)*IF($W31=1,DP31+AAE31,DP31)=1,IF(AND($E31=2,IF($W31=1,AFT31,JE31)=0),1000000000,IF($V31=1,INDEX('calcA'!$D$130:$EQ$169,$B31,15)+IF(AND($E31=1,JE31=0),25,0),IF($F31&gt;0,INDEX('calcA'!R$110:R$114,$F31+1)+IF(AND($E31=1,JE31=0),1000,0),MIN(TU31,20)*400+(IF('calcA'!Q$106=1,1-DO31,0)+IF('calcA'!R$106=1,1-DQ31,0))*150+151+'calcA'!R$5*100000+IF(AND($E31=1,JE31=0),50000,0))+IF($H31=1,INDEX('calcA'!$D$180:$EQ$219,$B31,15)*4000,0)-IF(AND('calcA'!Q$117=1,UO31&gt;0),2000,0)-IF(AND($U31=1,'calcA'!R$117=1,DQ31=0),2000,0))),1000000000))</f>
        <v/>
      </c>
      <c r="OU31">
        <f>IF($B31=0,1000000000,IF(INDEX('calcA'!$D$60:$EQ$99,$B31,16)*IF($W31=1,DQ31+AAF31,DQ31)=1,IF(AND($E31=2,IF($W31=1,AFU31,JF31)=0),1000000000,IF($V31=1,INDEX('calcA'!$D$130:$EQ$169,$B31,16)+IF(AND($E31=1,JF31=0),25,0),IF($F31&gt;0,INDEX('calcA'!S$110:S$114,$F31+1)+IF(AND($E31=1,JF31=0),1000,0),MIN(TU31,20)*400+(IF('calcA'!R$106=1,1-DP31,0)+IF('calcA'!S$106=1,1-DR31,0))*150+161+'calcA'!S$5*100000+IF(AND($E31=1,JF31=0),50000,0))+IF($H31=1,INDEX('calcA'!$D$180:$EQ$219,$B31,16)*4000,0)-IF(AND('calcA'!R$117=1,UP31&gt;0),2000,0)-IF(AND($U31=1,'calcA'!S$117=1,DR31=0),2000,0))),1000000000))</f>
        <v/>
      </c>
      <c r="OV31">
        <f>IF($B31=0,1000000000,IF(INDEX('calcA'!$D$60:$EQ$99,$B31,17)*IF($W31=1,DR31+AAG31,DR31)=1,IF(AND($E31=2,IF($W31=1,AFV31,JG31)=0),1000000000,IF($V31=1,INDEX('calcA'!$D$130:$EQ$169,$B31,17)+IF(AND($E31=1,JG31=0),25,0),IF($F31&gt;0,INDEX('calcA'!T$110:T$114,$F31+1)+IF(AND($E31=1,JG31=0),1000,0),MIN(TU31,20)*400+(IF('calcA'!S$106=1,1-DQ31,0)+IF('calcA'!T$106=1,1-DS31,0))*150+171+'calcA'!T$5*100000+IF(AND($E31=1,JG31=0),50000,0))+IF($H31=1,INDEX('calcA'!$D$180:$EQ$219,$B31,17)*4000,0)-IF(AND('calcA'!S$117=1,UQ31&gt;0),2000,0)-IF(AND($U31=1,'calcA'!T$117=1,DS31=0),2000,0))),1000000000))</f>
        <v/>
      </c>
      <c r="OW31">
        <f>IF($B31=0,1000000000,IF(INDEX('calcA'!$D$60:$EQ$99,$B31,18)*IF($W31=1,DS31+AAH31,DS31)=1,IF(AND($E31=2,IF($W31=1,AFW31,JH31)=0),1000000000,IF($V31=1,INDEX('calcA'!$D$130:$EQ$169,$B31,18)+IF(AND($E31=1,JH31=0),25,0),IF($F31&gt;0,INDEX('calcA'!U$110:U$114,$F31+1)+IF(AND($E31=1,JH31=0),1000,0),MIN(TU31,20)*400+(IF('calcA'!T$106=1,1-DR31,0)+IF('calcA'!U$106=1,1-DT31,0))*150+181+'calcA'!U$5*100000+IF(AND($E31=1,JH31=0),50000,0))+IF($H31=1,INDEX('calcA'!$D$180:$EQ$219,$B31,18)*4000,0)-IF(AND('calcA'!T$117=1,UR31&gt;0),2000,0)-IF(AND($U31=1,'calcA'!U$117=1,DT31=0),2000,0))),1000000000))</f>
        <v/>
      </c>
      <c r="OX31">
        <f>IF($B31=0,1000000000,IF(INDEX('calcA'!$D$60:$EQ$99,$B31,19)*IF($W31=1,DT31+AAI31,DT31)=1,IF(AND($E31=2,IF($W31=1,AFX31,JI31)=0),1000000000,IF($V31=1,INDEX('calcA'!$D$130:$EQ$169,$B31,19)+IF(AND($E31=1,JI31=0),25,0),IF($F31&gt;0,INDEX('calcA'!V$110:V$114,$F31+1)+IF(AND($E31=1,JI31=0),1000,0),MIN(TU31,20)*400+(IF('calcA'!U$106=1,1-DS31,0)+IF('calcA'!V$106=1,1-DU31,0))*150+191+'calcA'!V$5*100000+IF(AND($E31=1,JI31=0),50000,0))+IF($H31=1,INDEX('calcA'!$D$180:$EQ$219,$B31,19)*4000,0)-IF(AND('calcA'!U$117=1,US31&gt;0),2000,0)-IF(AND($U31=1,'calcA'!V$117=1,DU31=0),2000,0))),1000000000))</f>
        <v/>
      </c>
      <c r="OY31">
        <f>IF($B31=0,1000000000,IF(INDEX('calcA'!$D$60:$EQ$99,$B31,20)*IF($W31=1,DU31+AAJ31,DU31)=1,IF(AND($E31=2,IF($W31=1,AFY31,JJ31)=0),1000000000,IF($V31=1,INDEX('calcA'!$D$130:$EQ$169,$B31,20)+IF(AND($E31=1,JJ31=0),25,0),IF($F31&gt;0,INDEX('calcA'!W$110:W$114,$F31+1)+IF(AND($E31=1,JJ31=0),1000,0),MIN(TU31,20)*400+(IF('calcA'!V$106=1,1-DT31,0)+IF('calcA'!W$106=1,1-DV31,0))*150+201+'calcA'!W$5*100000+IF(AND($E31=1,JJ31=0),50000,0))+IF($H31=1,INDEX('calcA'!$D$180:$EQ$219,$B31,20)*4000,0)-IF(AND('calcA'!V$117=1,UT31&gt;0),2000,0)-IF(AND($U31=1,'calcA'!W$117=1,DV31=0),2000,0))),1000000000))</f>
        <v/>
      </c>
      <c r="OZ31">
        <f>IF($B31=0,1000000000,IF(INDEX('calcA'!$D$60:$EQ$99,$B31,21)*IF($W31=1,DV31+AAK31,DV31)=1,IF(AND($E31=2,IF($W31=1,AFZ31,JK31)=0),1000000000,IF($V31=1,INDEX('calcA'!$D$130:$EQ$169,$B31,21)+IF(AND($E31=1,JK31=0),25,0),IF($F31&gt;0,INDEX('calcA'!X$110:X$114,$F31+1)+IF(AND($E31=1,JK31=0),1000,0),MIN(TU31,20)*400+(IF('calcA'!W$106=1,1-DU31,0)+IF('calcA'!X$106=1,1-DW31,0))*150+211+'calcA'!X$5*100000+IF(AND($E31=1,JK31=0),50000,0))+IF($H31=1,INDEX('calcA'!$D$180:$EQ$219,$B31,21)*4000,0)-IF(AND('calcA'!W$117=1,UU31&gt;0),2000,0)-IF(AND($U31=1,'calcA'!X$117=1,DW31=0),2000,0))),1000000000))</f>
        <v/>
      </c>
      <c r="PA31">
        <f>IF($B31=0,1000000000,IF(INDEX('calcA'!$D$60:$EQ$99,$B31,22)*IF($W31=1,DW31+AAL31,DW31)=1,IF(AND($E31=2,IF($W31=1,AGA31,JL31)=0),1000000000,IF($V31=1,INDEX('calcA'!$D$130:$EQ$169,$B31,22)+IF(AND($E31=1,JL31=0),25,0),IF($F31&gt;0,INDEX('calcA'!Y$110:Y$114,$F31+1)+IF(AND($E31=1,JL31=0),1000,0),MIN(TU31,20)*400+(IF('calcA'!X$106=1,1-DV31,0)+IF('calcA'!Y$106=1,1-DX31,0))*150+221+'calcA'!Y$5*100000+IF(AND($E31=1,JL31=0),50000,0))+IF($H31=1,INDEX('calcA'!$D$180:$EQ$219,$B31,22)*4000,0)-IF(AND('calcA'!X$117=1,UV31&gt;0),2000,0)-IF(AND($U31=1,'calcA'!Y$117=1,DX31=0),2000,0))),1000000000))</f>
        <v/>
      </c>
      <c r="PB31">
        <f>IF($B31=0,1000000000,IF(INDEX('calcA'!$D$60:$EQ$99,$B31,23)*IF($W31=1,DX31+AAM31,DX31)=1,IF(AND($E31=2,IF($W31=1,AGB31,JM31)=0),1000000000,IF($V31=1,INDEX('calcA'!$D$130:$EQ$169,$B31,23)+IF(AND($E31=1,JM31=0),25,0),IF($F31&gt;0,INDEX('calcA'!Z$110:Z$114,$F31+1)+IF(AND($E31=1,JM31=0),1000,0),MIN(TU31,20)*400+(IF('calcA'!Y$106=1,1-DW31,0)+IF('calcA'!Z$106=1,1-DY31,0))*150+231+'calcA'!Z$5*100000+IF(AND($E31=1,JM31=0),50000,0))+IF($H31=1,INDEX('calcA'!$D$180:$EQ$219,$B31,23)*4000,0)-IF(AND('calcA'!Y$117=1,UW31&gt;0),2000,0)-IF(AND($U31=1,'calcA'!Z$117=1,DY31=0),2000,0))),1000000000))</f>
        <v/>
      </c>
      <c r="PC31">
        <f>IF($B31=0,1000000000,IF(INDEX('calcA'!$D$60:$EQ$99,$B31,24)*IF($W31=1,DY31+AAN31,DY31)=1,IF(AND($E31=2,IF($W31=1,AGC31,JN31)=0),1000000000,IF($V31=1,INDEX('calcA'!$D$130:$EQ$169,$B31,24)+IF(AND($E31=1,JN31=0),25,0),IF($F31&gt;0,INDEX('calcA'!AA$110:AA$114,$F31+1)+IF(AND($E31=1,JN31=0),1000,0),MIN(TU31,20)*400+(IF('calcA'!Z$106=1,1-DX31,0))*150+241+'calcA'!AA$5*100000+IF(AND($E31=1,JN31=0),50000,0))+IF($H31=1,INDEX('calcA'!$D$180:$EQ$219,$B31,24)*4000,0)-IF(AND('calcA'!Z$117=1,UX31&gt;0),2000,0))),1000000000))</f>
        <v/>
      </c>
      <c r="PD31">
        <f>IF($B31=0,1000000000,IF(INDEX('calcA'!$D$60:$EQ$99,$B31,25)*IF($W31=1,DZ31+AAO31,DZ31)=1,IF(AND($E31=2,IF($W31=1,AGD31,JO31)=0),1000000000,IF($V31=1,INDEX('calcA'!$D$130:$EQ$169,$B31,25)+IF(AND($E31=1,JO31=0),25,0),IF($F31&gt;0,INDEX('calcA'!AB$110:AB$114,$F31+1)+IF(AND($E31=1,JO31=0),1000,0),MIN(TV31,20)*400+(IF('calcA'!AB$106=1,1-EA31,0))*150+12+'calcA'!AB$5*100000+IF(AND($E31=1,JO31=0),50000,0))+IF($H31=1,INDEX('calcA'!$D$180:$EQ$219,$B31,25)*4000,0)-IF(AND($U31=1,'calcA'!AB$117=1,EA31=0),2000,0))),1000000000))</f>
        <v/>
      </c>
      <c r="PE31">
        <f>IF($B31=0,1000000000,IF(INDEX('calcA'!$D$60:$EQ$99,$B31,26)*IF($W31=1,EA31+AAP31,EA31)=1,IF(AND($E31=2,IF($W31=1,AGE31,JP31)=0),1000000000,IF($V31=1,INDEX('calcA'!$D$130:$EQ$169,$B31,26)+IF(AND($E31=1,JP31=0),25,0),IF($F31&gt;0,INDEX('calcA'!AC$110:AC$114,$F31+1)+IF(AND($E31=1,JP31=0),1000,0),MIN(TV31,20)*400+(IF('calcA'!AB$106=1,1-DZ31,0)+IF('calcA'!AC$106=1,1-EB31,0))*150+22+'calcA'!AC$5*100000+IF(AND($E31=1,JP31=0),50000,0))+IF($H31=1,INDEX('calcA'!$D$180:$EQ$219,$B31,26)*4000,0)-IF(AND('calcA'!AB$117=1,UZ31&gt;0),2000,0)-IF(AND($U31=1,'calcA'!AC$117=1,EB31=0),2000,0))),1000000000))</f>
        <v/>
      </c>
      <c r="PF31">
        <f>IF($B31=0,1000000000,IF(INDEX('calcA'!$D$60:$EQ$99,$B31,27)*IF($W31=1,EB31+AAQ31,EB31)=1,IF(AND($E31=2,IF($W31=1,AGF31,JQ31)=0),1000000000,IF($V31=1,INDEX('calcA'!$D$130:$EQ$169,$B31,27)+IF(AND($E31=1,JQ31=0),25,0),IF($F31&gt;0,INDEX('calcA'!AD$110:AD$114,$F31+1)+IF(AND($E31=1,JQ31=0),1000,0),MIN(TV31,20)*400+(IF('calcA'!AC$106=1,1-EA31,0)+IF('calcA'!AD$106=1,1-EC31,0))*150+32+'calcA'!AD$5*100000+IF(AND($E31=1,JQ31=0),50000,0))+IF($H31=1,INDEX('calcA'!$D$180:$EQ$219,$B31,27)*4000,0)-IF(AND('calcA'!AC$117=1,VA31&gt;0),2000,0)-IF(AND($U31=1,'calcA'!AD$117=1,EC31=0),2000,0))),1000000000))</f>
        <v/>
      </c>
      <c r="PG31">
        <f>IF($B31=0,1000000000,IF(INDEX('calcA'!$D$60:$EQ$99,$B31,28)*IF($W31=1,EC31+AAR31,EC31)=1,IF(AND($E31=2,IF($W31=1,AGG31,JR31)=0),1000000000,IF($V31=1,INDEX('calcA'!$D$130:$EQ$169,$B31,28)+IF(AND($E31=1,JR31=0),25,0),IF($F31&gt;0,INDEX('calcA'!AE$110:AE$114,$F31+1)+IF(AND($E31=1,JR31=0),1000,0),MIN(TV31,20)*400+(IF('calcA'!AD$106=1,1-EB31,0)+IF('calcA'!AE$106=1,1-ED31,0))*150+42+'calcA'!AE$5*100000+IF(AND($E31=1,JR31=0),50000,0))+IF($H31=1,INDEX('calcA'!$D$180:$EQ$219,$B31,28)*4000,0)-IF(AND('calcA'!AD$117=1,VB31&gt;0),2000,0)-IF(AND($U31=1,'calcA'!AE$117=1,ED31=0),2000,0))),1000000000))</f>
        <v/>
      </c>
      <c r="PH31">
        <f>IF($B31=0,1000000000,IF(INDEX('calcA'!$D$60:$EQ$99,$B31,29)*IF($W31=1,ED31+AAS31,ED31)=1,IF(AND($E31=2,IF($W31=1,AGH31,JS31)=0),1000000000,IF($V31=1,INDEX('calcA'!$D$130:$EQ$169,$B31,29)+IF(AND($E31=1,JS31=0),25,0),IF($F31&gt;0,INDEX('calcA'!AF$110:AF$114,$F31+1)+IF(AND($E31=1,JS31=0),1000,0),MIN(TV31,20)*400+(IF('calcA'!AE$106=1,1-EC31,0)+IF('calcA'!AF$106=1,1-EE31,0))*150+52+'calcA'!AF$5*100000+IF(AND($E31=1,JS31=0),50000,0))+IF($H31=1,INDEX('calcA'!$D$180:$EQ$219,$B31,29)*4000,0)-IF(AND('calcA'!AE$117=1,VC31&gt;0),2000,0)-IF(AND($U31=1,'calcA'!AF$117=1,EE31=0),2000,0))),1000000000))</f>
        <v/>
      </c>
      <c r="PI31">
        <f>IF($B31=0,1000000000,IF(INDEX('calcA'!$D$60:$EQ$99,$B31,30)*IF($W31=1,EE31+AAT31,EE31)=1,IF(AND($E31=2,IF($W31=1,AGI31,JT31)=0),1000000000,IF($V31=1,INDEX('calcA'!$D$130:$EQ$169,$B31,30)+IF(AND($E31=1,JT31=0),25,0),IF($F31&gt;0,INDEX('calcA'!AG$110:AG$114,$F31+1)+IF(AND($E31=1,JT31=0),1000,0),MIN(TV31,20)*400+(IF('calcA'!AF$106=1,1-ED31,0)+IF('calcA'!AG$106=1,1-EF31,0))*150+62+'calcA'!AG$5*100000+IF(AND($E31=1,JT31=0),50000,0))+IF($H31=1,INDEX('calcA'!$D$180:$EQ$219,$B31,30)*4000,0)-IF(AND('calcA'!AF$117=1,VD31&gt;0),2000,0)-IF(AND($U31=1,'calcA'!AG$117=1,EF31=0),2000,0))),1000000000))</f>
        <v/>
      </c>
      <c r="PJ31">
        <f>IF($B31=0,1000000000,IF(INDEX('calcA'!$D$60:$EQ$99,$B31,31)*IF($W31=1,EF31+AAU31,EF31)=1,IF(AND($E31=2,IF($W31=1,AGJ31,JU31)=0),1000000000,IF($V31=1,INDEX('calcA'!$D$130:$EQ$169,$B31,31)+IF(AND($E31=1,JU31=0),25,0),IF($F31&gt;0,INDEX('calcA'!AH$110:AH$114,$F31+1)+IF(AND($E31=1,JU31=0),1000,0),MIN(TV31,20)*400+(IF('calcA'!AG$106=1,1-EE31,0)+IF('calcA'!AH$106=1,1-EG31,0))*150+72+'calcA'!AH$5*100000+IF(AND($E31=1,JU31=0),50000,0))+IF($H31=1,INDEX('calcA'!$D$180:$EQ$219,$B31,31)*4000,0)-IF(AND('calcA'!AG$117=1,VE31&gt;0),2000,0)-IF(AND($U31=1,'calcA'!AH$117=1,EG31=0),2000,0))),1000000000))</f>
        <v/>
      </c>
      <c r="PK31">
        <f>IF($B31=0,1000000000,IF(INDEX('calcA'!$D$60:$EQ$99,$B31,32)*IF($W31=1,EG31+AAV31,EG31)=1,IF(AND($E31=2,IF($W31=1,AGK31,JV31)=0),1000000000,IF($V31=1,INDEX('calcA'!$D$130:$EQ$169,$B31,32)+IF(AND($E31=1,JV31=0),25,0),IF($F31&gt;0,INDEX('calcA'!AI$110:AI$114,$F31+1)+IF(AND($E31=1,JV31=0),1000,0),MIN(TV31,20)*400+(IF('calcA'!AH$106=1,1-EF31,0)+IF('calcA'!AI$106=1,1-EH31,0))*150+82+'calcA'!AI$5*100000+IF(AND($E31=1,JV31=0),50000,0))+IF($H31=1,INDEX('calcA'!$D$180:$EQ$219,$B31,32)*4000,0)-IF(AND('calcA'!AH$117=1,VF31&gt;0),2000,0)-IF(AND($U31=1,'calcA'!AI$117=1,EH31=0),2000,0))),1000000000))</f>
        <v/>
      </c>
      <c r="PL31">
        <f>IF($B31=0,1000000000,IF(INDEX('calcA'!$D$60:$EQ$99,$B31,33)*IF($W31=1,EH31+AAW31,EH31)=1,IF(AND($E31=2,IF($W31=1,AGL31,JW31)=0),1000000000,IF($V31=1,INDEX('calcA'!$D$130:$EQ$169,$B31,33)+IF(AND($E31=1,JW31=0),25,0),IF($F31&gt;0,INDEX('calcA'!AJ$110:AJ$114,$F31+1)+IF(AND($E31=1,JW31=0),1000,0),MIN(TV31,20)*400+(IF('calcA'!AI$106=1,1-EG31,0)+IF('calcA'!AJ$106=1,1-EI31,0))*150+92+'calcA'!AJ$5*100000+IF(AND($E31=1,JW31=0),50000,0))+IF($H31=1,INDEX('calcA'!$D$180:$EQ$219,$B31,33)*4000,0)-IF(AND('calcA'!AI$117=1,VG31&gt;0),2000,0)-IF(AND($U31=1,'calcA'!AJ$117=1,EI31=0),2000,0))),1000000000))</f>
        <v/>
      </c>
      <c r="PM31">
        <f>IF($B31=0,1000000000,IF(INDEX('calcA'!$D$60:$EQ$99,$B31,34)*IF($W31=1,EI31+AAX31,EI31)=1,IF(AND($E31=2,IF($W31=1,AGM31,JX31)=0),1000000000,IF($V31=1,INDEX('calcA'!$D$130:$EQ$169,$B31,34)+IF(AND($E31=1,JX31=0),25,0),IF($F31&gt;0,INDEX('calcA'!AK$110:AK$114,$F31+1)+IF(AND($E31=1,JX31=0),1000,0),MIN(TV31,20)*400+(IF('calcA'!AJ$106=1,1-EH31,0)+IF('calcA'!AK$106=1,1-EJ31,0))*150+102+'calcA'!AK$5*100000+IF(AND($E31=1,JX31=0),50000,0))+IF($H31=1,INDEX('calcA'!$D$180:$EQ$219,$B31,34)*4000,0)-IF(AND('calcA'!AJ$117=1,VH31&gt;0),2000,0)-IF(AND($U31=1,'calcA'!AK$117=1,EJ31=0),2000,0))),1000000000))</f>
        <v/>
      </c>
      <c r="PN31">
        <f>IF($B31=0,1000000000,IF(INDEX('calcA'!$D$60:$EQ$99,$B31,35)*IF($W31=1,EJ31+AAY31,EJ31)=1,IF(AND($E31=2,IF($W31=1,AGN31,JY31)=0),1000000000,IF($V31=1,INDEX('calcA'!$D$130:$EQ$169,$B31,35)+IF(AND($E31=1,JY31=0),25,0),IF($F31&gt;0,INDEX('calcA'!AL$110:AL$114,$F31+1)+IF(AND($E31=1,JY31=0),1000,0),MIN(TV31,20)*400+(IF('calcA'!AK$106=1,1-EI31,0)+IF('calcA'!AL$106=1,1-EK31,0))*150+112+'calcA'!AL$5*100000+IF(AND($E31=1,JY31=0),50000,0))+IF($H31=1,INDEX('calcA'!$D$180:$EQ$219,$B31,35)*4000,0)-IF(AND('calcA'!AK$117=1,VI31&gt;0),2000,0)-IF(AND($U31=1,'calcA'!AL$117=1,EK31=0),2000,0))),1000000000))</f>
        <v/>
      </c>
      <c r="PO31">
        <f>IF($B31=0,1000000000,IF(INDEX('calcA'!$D$60:$EQ$99,$B31,36)*IF($W31=1,EK31+AAZ31,EK31)=1,IF(AND($E31=2,IF($W31=1,AGO31,JZ31)=0),1000000000,IF($V31=1,INDEX('calcA'!$D$130:$EQ$169,$B31,36)+IF(AND($E31=1,JZ31=0),25,0),IF($F31&gt;0,INDEX('calcA'!AM$110:AM$114,$F31+1)+IF(AND($E31=1,JZ31=0),1000,0),MIN(TV31,20)*400+(IF('calcA'!AL$106=1,1-EJ31,0)+IF('calcA'!AM$106=1,1-EL31,0))*150+122+'calcA'!AM$5*100000+IF(AND($E31=1,JZ31=0),50000,0))+IF($H31=1,INDEX('calcA'!$D$180:$EQ$219,$B31,36)*4000,0)-IF(AND('calcA'!AL$117=1,VJ31&gt;0),2000,0)-IF(AND($U31=1,'calcA'!AM$117=1,EL31=0),2000,0))),1000000000))</f>
        <v/>
      </c>
      <c r="PP31">
        <f>IF($B31=0,1000000000,IF(INDEX('calcA'!$D$60:$EQ$99,$B31,37)*IF($W31=1,EL31+ABA31,EL31)=1,IF(AND($E31=2,IF($W31=1,AGP31,KA31)=0),1000000000,IF($V31=1,INDEX('calcA'!$D$130:$EQ$169,$B31,37)+IF(AND($E31=1,KA31=0),25,0),IF($F31&gt;0,INDEX('calcA'!AN$110:AN$114,$F31+1)+IF(AND($E31=1,KA31=0),1000,0),MIN(TV31,20)*400+(IF('calcA'!AM$106=1,1-EK31,0)+IF('calcA'!AN$106=1,1-EM31,0))*150+132+'calcA'!AN$5*100000+IF(AND($E31=1,KA31=0),50000,0))+IF($H31=1,INDEX('calcA'!$D$180:$EQ$219,$B31,37)*4000,0)-IF(AND('calcA'!AM$117=1,VK31&gt;0),2000,0)-IF(AND($U31=1,'calcA'!AN$117=1,EM31=0),2000,0))),1000000000))</f>
        <v/>
      </c>
      <c r="PQ31">
        <f>IF($B31=0,1000000000,IF(INDEX('calcA'!$D$60:$EQ$99,$B31,38)*IF($W31=1,EM31+ABB31,EM31)=1,IF(AND($E31=2,IF($W31=1,AGQ31,KB31)=0),1000000000,IF($V31=1,INDEX('calcA'!$D$130:$EQ$169,$B31,38)+IF(AND($E31=1,KB31=0),25,0),IF($F31&gt;0,INDEX('calcA'!AO$110:AO$114,$F31+1)+IF(AND($E31=1,KB31=0),1000,0),MIN(TV31,20)*400+(IF('calcA'!AN$106=1,1-EL31,0)+IF('calcA'!AO$106=1,1-EN31,0))*150+142+'calcA'!AO$5*100000+IF(AND($E31=1,KB31=0),50000,0))+IF($H31=1,INDEX('calcA'!$D$180:$EQ$219,$B31,38)*4000,0)-IF(AND('calcA'!AN$117=1,VL31&gt;0),2000,0)-IF(AND($U31=1,'calcA'!AO$117=1,EN31=0),2000,0))),1000000000))</f>
        <v/>
      </c>
      <c r="PR31">
        <f>IF($B31=0,1000000000,IF(INDEX('calcA'!$D$60:$EQ$99,$B31,39)*IF($W31=1,EN31+ABC31,EN31)=1,IF(AND($E31=2,IF($W31=1,AGR31,KC31)=0),1000000000,IF($V31=1,INDEX('calcA'!$D$130:$EQ$169,$B31,39)+IF(AND($E31=1,KC31=0),25,0),IF($F31&gt;0,INDEX('calcA'!AP$110:AP$114,$F31+1)+IF(AND($E31=1,KC31=0),1000,0),MIN(TV31,20)*400+(IF('calcA'!AO$106=1,1-EM31,0)+IF('calcA'!AP$106=1,1-EO31,0))*150+152+'calcA'!AP$5*100000+IF(AND($E31=1,KC31=0),50000,0))+IF($H31=1,INDEX('calcA'!$D$180:$EQ$219,$B31,39)*4000,0)-IF(AND('calcA'!AO$117=1,VM31&gt;0),2000,0)-IF(AND($U31=1,'calcA'!AP$117=1,EO31=0),2000,0))),1000000000))</f>
        <v/>
      </c>
      <c r="PS31">
        <f>IF($B31=0,1000000000,IF(INDEX('calcA'!$D$60:$EQ$99,$B31,40)*IF($W31=1,EO31+ABD31,EO31)=1,IF(AND($E31=2,IF($W31=1,AGS31,KD31)=0),1000000000,IF($V31=1,INDEX('calcA'!$D$130:$EQ$169,$B31,40)+IF(AND($E31=1,KD31=0),25,0),IF($F31&gt;0,INDEX('calcA'!AQ$110:AQ$114,$F31+1)+IF(AND($E31=1,KD31=0),1000,0),MIN(TV31,20)*400+(IF('calcA'!AP$106=1,1-EN31,0)+IF('calcA'!AQ$106=1,1-EP31,0))*150+162+'calcA'!AQ$5*100000+IF(AND($E31=1,KD31=0),50000,0))+IF($H31=1,INDEX('calcA'!$D$180:$EQ$219,$B31,40)*4000,0)-IF(AND('calcA'!AP$117=1,VN31&gt;0),2000,0)-IF(AND($U31=1,'calcA'!AQ$117=1,EP31=0),2000,0))),1000000000))</f>
        <v/>
      </c>
      <c r="PT31">
        <f>IF($B31=0,1000000000,IF(INDEX('calcA'!$D$60:$EQ$99,$B31,41)*IF($W31=1,EP31+ABE31,EP31)=1,IF(AND($E31=2,IF($W31=1,AGT31,KE31)=0),1000000000,IF($V31=1,INDEX('calcA'!$D$130:$EQ$169,$B31,41)+IF(AND($E31=1,KE31=0),25,0),IF($F31&gt;0,INDEX('calcA'!AR$110:AR$114,$F31+1)+IF(AND($E31=1,KE31=0),1000,0),MIN(TV31,20)*400+(IF('calcA'!AQ$106=1,1-EO31,0)+IF('calcA'!AR$106=1,1-EQ31,0))*150+172+'calcA'!AR$5*100000+IF(AND($E31=1,KE31=0),50000,0))+IF($H31=1,INDEX('calcA'!$D$180:$EQ$219,$B31,41)*4000,0)-IF(AND('calcA'!AQ$117=1,VO31&gt;0),2000,0)-IF(AND($U31=1,'calcA'!AR$117=1,EQ31=0),2000,0))),1000000000))</f>
        <v/>
      </c>
      <c r="PU31">
        <f>IF($B31=0,1000000000,IF(INDEX('calcA'!$D$60:$EQ$99,$B31,42)*IF($W31=1,EQ31+ABF31,EQ31)=1,IF(AND($E31=2,IF($W31=1,AGU31,KF31)=0),1000000000,IF($V31=1,INDEX('calcA'!$D$130:$EQ$169,$B31,42)+IF(AND($E31=1,KF31=0),25,0),IF($F31&gt;0,INDEX('calcA'!AS$110:AS$114,$F31+1)+IF(AND($E31=1,KF31=0),1000,0),MIN(TV31,20)*400+(IF('calcA'!AR$106=1,1-EP31,0)+IF('calcA'!AS$106=1,1-ER31,0))*150+182+'calcA'!AS$5*100000+IF(AND($E31=1,KF31=0),50000,0))+IF($H31=1,INDEX('calcA'!$D$180:$EQ$219,$B31,42)*4000,0)-IF(AND('calcA'!AR$117=1,VP31&gt;0),2000,0)-IF(AND($U31=1,'calcA'!AS$117=1,ER31=0),2000,0))),1000000000))</f>
        <v/>
      </c>
      <c r="PV31">
        <f>IF($B31=0,1000000000,IF(INDEX('calcA'!$D$60:$EQ$99,$B31,43)*IF($W31=1,ER31+ABG31,ER31)=1,IF(AND($E31=2,IF($W31=1,AGV31,KG31)=0),1000000000,IF($V31=1,INDEX('calcA'!$D$130:$EQ$169,$B31,43)+IF(AND($E31=1,KG31=0),25,0),IF($F31&gt;0,INDEX('calcA'!AT$110:AT$114,$F31+1)+IF(AND($E31=1,KG31=0),1000,0),MIN(TV31,20)*400+(IF('calcA'!AS$106=1,1-EQ31,0)+IF('calcA'!AT$106=1,1-ES31,0))*150+192+'calcA'!AT$5*100000+IF(AND($E31=1,KG31=0),50000,0))+IF($H31=1,INDEX('calcA'!$D$180:$EQ$219,$B31,43)*4000,0)-IF(AND('calcA'!AS$117=1,VQ31&gt;0),2000,0)-IF(AND($U31=1,'calcA'!AT$117=1,ES31=0),2000,0))),1000000000))</f>
        <v/>
      </c>
      <c r="PW31">
        <f>IF($B31=0,1000000000,IF(INDEX('calcA'!$D$60:$EQ$99,$B31,44)*IF($W31=1,ES31+ABH31,ES31)=1,IF(AND($E31=2,IF($W31=1,AGW31,KH31)=0),1000000000,IF($V31=1,INDEX('calcA'!$D$130:$EQ$169,$B31,44)+IF(AND($E31=1,KH31=0),25,0),IF($F31&gt;0,INDEX('calcA'!AU$110:AU$114,$F31+1)+IF(AND($E31=1,KH31=0),1000,0),MIN(TV31,20)*400+(IF('calcA'!AT$106=1,1-ER31,0)+IF('calcA'!AU$106=1,1-ET31,0))*150+202+'calcA'!AU$5*100000+IF(AND($E31=1,KH31=0),50000,0))+IF($H31=1,INDEX('calcA'!$D$180:$EQ$219,$B31,44)*4000,0)-IF(AND('calcA'!AT$117=1,VR31&gt;0),2000,0)-IF(AND($U31=1,'calcA'!AU$117=1,ET31=0),2000,0))),1000000000))</f>
        <v/>
      </c>
      <c r="PX31">
        <f>IF($B31=0,1000000000,IF(INDEX('calcA'!$D$60:$EQ$99,$B31,45)*IF($W31=1,ET31+ABI31,ET31)=1,IF(AND($E31=2,IF($W31=1,AGX31,KI31)=0),1000000000,IF($V31=1,INDEX('calcA'!$D$130:$EQ$169,$B31,45)+IF(AND($E31=1,KI31=0),25,0),IF($F31&gt;0,INDEX('calcA'!AV$110:AV$114,$F31+1)+IF(AND($E31=1,KI31=0),1000,0),MIN(TV31,20)*400+(IF('calcA'!AU$106=1,1-ES31,0)+IF('calcA'!AV$106=1,1-EU31,0))*150+212+'calcA'!AV$5*100000+IF(AND($E31=1,KI31=0),50000,0))+IF($H31=1,INDEX('calcA'!$D$180:$EQ$219,$B31,45)*4000,0)-IF(AND('calcA'!AU$117=1,VS31&gt;0),2000,0)-IF(AND($U31=1,'calcA'!AV$117=1,EU31=0),2000,0))),1000000000))</f>
        <v/>
      </c>
      <c r="PY31">
        <f>IF($B31=0,1000000000,IF(INDEX('calcA'!$D$60:$EQ$99,$B31,46)*IF($W31=1,EU31+ABJ31,EU31)=1,IF(AND($E31=2,IF($W31=1,AGY31,KJ31)=0),1000000000,IF($V31=1,INDEX('calcA'!$D$130:$EQ$169,$B31,46)+IF(AND($E31=1,KJ31=0),25,0),IF($F31&gt;0,INDEX('calcA'!AW$110:AW$114,$F31+1)+IF(AND($E31=1,KJ31=0),1000,0),MIN(TV31,20)*400+(IF('calcA'!AV$106=1,1-ET31,0)+IF('calcA'!AW$106=1,1-EV31,0))*150+222+'calcA'!AW$5*100000+IF(AND($E31=1,KJ31=0),50000,0))+IF($H31=1,INDEX('calcA'!$D$180:$EQ$219,$B31,46)*4000,0)-IF(AND('calcA'!AV$117=1,VT31&gt;0),2000,0)-IF(AND($U31=1,'calcA'!AW$117=1,EV31=0),2000,0))),1000000000))</f>
        <v/>
      </c>
      <c r="PZ31">
        <f>IF($B31=0,1000000000,IF(INDEX('calcA'!$D$60:$EQ$99,$B31,47)*IF($W31=1,EV31+ABK31,EV31)=1,IF(AND($E31=2,IF($W31=1,AGZ31,KK31)=0),1000000000,IF($V31=1,INDEX('calcA'!$D$130:$EQ$169,$B31,47)+IF(AND($E31=1,KK31=0),25,0),IF($F31&gt;0,INDEX('calcA'!AX$110:AX$114,$F31+1)+IF(AND($E31=1,KK31=0),1000,0),MIN(TV31,20)*400+(IF('calcA'!AW$106=1,1-EU31,0)+IF('calcA'!AX$106=1,1-EW31,0))*150+232+'calcA'!AX$5*100000+IF(AND($E31=1,KK31=0),50000,0))+IF($H31=1,INDEX('calcA'!$D$180:$EQ$219,$B31,47)*4000,0)-IF(AND('calcA'!AW$117=1,VU31&gt;0),2000,0)-IF(AND($U31=1,'calcA'!AX$117=1,EW31=0),2000,0))),1000000000))</f>
        <v/>
      </c>
      <c r="QA31">
        <f>IF($B31=0,1000000000,IF(INDEX('calcA'!$D$60:$EQ$99,$B31,48)*IF($W31=1,EW31+ABL31,EW31)=1,IF(AND($E31=2,IF($W31=1,AHA31,KL31)=0),1000000000,IF($V31=1,INDEX('calcA'!$D$130:$EQ$169,$B31,48)+IF(AND($E31=1,KL31=0),25,0),IF($F31&gt;0,INDEX('calcA'!AY$110:AY$114,$F31+1)+IF(AND($E31=1,KL31=0),1000,0),MIN(TV31,20)*400+(IF('calcA'!AX$106=1,1-EV31,0))*150+242+'calcA'!AY$5*100000+IF(AND($E31=1,KL31=0),50000,0))+IF($H31=1,INDEX('calcA'!$D$180:$EQ$219,$B31,48)*4000,0)-IF(AND('calcA'!AX$117=1,VV31&gt;0),2000,0))),1000000000))</f>
        <v/>
      </c>
      <c r="QB31">
        <f>IF($B31=0,1000000000,IF(INDEX('calcA'!$D$60:$EQ$99,$B31,49)*IF($W31=1,EX31+ABM31,EX31)=1,IF(AND($E31=2,IF($W31=1,AHB31,KM31)=0),1000000000,IF($V31=1,INDEX('calcA'!$D$130:$EQ$169,$B31,49)+IF(AND($E31=1,KM31=0),25,0),IF($F31&gt;0,INDEX('calcA'!AZ$110:AZ$114,$F31+1)+IF(AND($E31=1,KM31=0),1000,0),MIN(TW31,20)*400+(IF('calcA'!AZ$106=1,1-EY31,0))*150+13+'calcA'!AZ$5*100000+IF(AND($E31=1,KM31=0),50000,0))+IF($H31=1,INDEX('calcA'!$D$180:$EQ$219,$B31,49)*4000,0)-IF(AND($U31=1,'calcA'!AZ$117=1,EY31=0),2000,0))),1000000000))</f>
        <v/>
      </c>
      <c r="QC31">
        <f>IF($B31=0,1000000000,IF(INDEX('calcA'!$D$60:$EQ$99,$B31,50)*IF($W31=1,EY31+ABN31,EY31)=1,IF(AND($E31=2,IF($W31=1,AHC31,KN31)=0),1000000000,IF($V31=1,INDEX('calcA'!$D$130:$EQ$169,$B31,50)+IF(AND($E31=1,KN31=0),25,0),IF($F31&gt;0,INDEX('calcA'!BA$110:BA$114,$F31+1)+IF(AND($E31=1,KN31=0),1000,0),MIN(TW31,20)*400+(IF('calcA'!AZ$106=1,1-EX31,0)+IF('calcA'!BA$106=1,1-EZ31,0))*150+23+'calcA'!BA$5*100000+IF(AND($E31=1,KN31=0),50000,0))+IF($H31=1,INDEX('calcA'!$D$180:$EQ$219,$B31,50)*4000,0)-IF(AND('calcA'!AZ$117=1,VX31&gt;0),2000,0)-IF(AND($U31=1,'calcA'!BA$117=1,EZ31=0),2000,0))),1000000000))</f>
        <v/>
      </c>
      <c r="QD31">
        <f>IF($B31=0,1000000000,IF(INDEX('calcA'!$D$60:$EQ$99,$B31,51)*IF($W31=1,EZ31+ABO31,EZ31)=1,IF(AND($E31=2,IF($W31=1,AHD31,KO31)=0),1000000000,IF($V31=1,INDEX('calcA'!$D$130:$EQ$169,$B31,51)+IF(AND($E31=1,KO31=0),25,0),IF($F31&gt;0,INDEX('calcA'!BB$110:BB$114,$F31+1)+IF(AND($E31=1,KO31=0),1000,0),MIN(TW31,20)*400+(IF('calcA'!BA$106=1,1-EY31,0)+IF('calcA'!BB$106=1,1-FA31,0))*150+33+'calcA'!BB$5*100000+IF(AND($E31=1,KO31=0),50000,0))+IF($H31=1,INDEX('calcA'!$D$180:$EQ$219,$B31,51)*4000,0)-IF(AND('calcA'!BA$117=1,VY31&gt;0),2000,0)-IF(AND($U31=1,'calcA'!BB$117=1,FA31=0),2000,0))),1000000000))</f>
        <v/>
      </c>
      <c r="QE31">
        <f>IF($B31=0,1000000000,IF(INDEX('calcA'!$D$60:$EQ$99,$B31,52)*IF($W31=1,FA31+ABP31,FA31)=1,IF(AND($E31=2,IF($W31=1,AHE31,KP31)=0),1000000000,IF($V31=1,INDEX('calcA'!$D$130:$EQ$169,$B31,52)+IF(AND($E31=1,KP31=0),25,0),IF($F31&gt;0,INDEX('calcA'!BC$110:BC$114,$F31+1)+IF(AND($E31=1,KP31=0),1000,0),MIN(TW31,20)*400+(IF('calcA'!BB$106=1,1-EZ31,0)+IF('calcA'!BC$106=1,1-FB31,0))*150+43+'calcA'!BC$5*100000+IF(AND($E31=1,KP31=0),50000,0))+IF($H31=1,INDEX('calcA'!$D$180:$EQ$219,$B31,52)*4000,0)-IF(AND('calcA'!BB$117=1,VZ31&gt;0),2000,0)-IF(AND($U31=1,'calcA'!BC$117=1,FB31=0),2000,0))),1000000000))</f>
        <v/>
      </c>
      <c r="QF31">
        <f>IF($B31=0,1000000000,IF(INDEX('calcA'!$D$60:$EQ$99,$B31,53)*IF($W31=1,FB31+ABQ31,FB31)=1,IF(AND($E31=2,IF($W31=1,AHF31,KQ31)=0),1000000000,IF($V31=1,INDEX('calcA'!$D$130:$EQ$169,$B31,53)+IF(AND($E31=1,KQ31=0),25,0),IF($F31&gt;0,INDEX('calcA'!BD$110:BD$114,$F31+1)+IF(AND($E31=1,KQ31=0),1000,0),MIN(TW31,20)*400+(IF('calcA'!BC$106=1,1-FA31,0)+IF('calcA'!BD$106=1,1-FC31,0))*150+53+'calcA'!BD$5*100000+IF(AND($E31=1,KQ31=0),50000,0))+IF($H31=1,INDEX('calcA'!$D$180:$EQ$219,$B31,53)*4000,0)-IF(AND('calcA'!BC$117=1,WA31&gt;0),2000,0)-IF(AND($U31=1,'calcA'!BD$117=1,FC31=0),2000,0))),1000000000))</f>
        <v/>
      </c>
      <c r="QG31">
        <f>IF($B31=0,1000000000,IF(INDEX('calcA'!$D$60:$EQ$99,$B31,54)*IF($W31=1,FC31+ABR31,FC31)=1,IF(AND($E31=2,IF($W31=1,AHG31,KR31)=0),1000000000,IF($V31=1,INDEX('calcA'!$D$130:$EQ$169,$B31,54)+IF(AND($E31=1,KR31=0),25,0),IF($F31&gt;0,INDEX('calcA'!BE$110:BE$114,$F31+1)+IF(AND($E31=1,KR31=0),1000,0),MIN(TW31,20)*400+(IF('calcA'!BD$106=1,1-FB31,0)+IF('calcA'!BE$106=1,1-FD31,0))*150+63+'calcA'!BE$5*100000+IF(AND($E31=1,KR31=0),50000,0))+IF($H31=1,INDEX('calcA'!$D$180:$EQ$219,$B31,54)*4000,0)-IF(AND('calcA'!BD$117=1,WB31&gt;0),2000,0)-IF(AND($U31=1,'calcA'!BE$117=1,FD31=0),2000,0))),1000000000))</f>
        <v/>
      </c>
      <c r="QH31">
        <f>IF($B31=0,1000000000,IF(INDEX('calcA'!$D$60:$EQ$99,$B31,55)*IF($W31=1,FD31+ABS31,FD31)=1,IF(AND($E31=2,IF($W31=1,AHH31,KS31)=0),1000000000,IF($V31=1,INDEX('calcA'!$D$130:$EQ$169,$B31,55)+IF(AND($E31=1,KS31=0),25,0),IF($F31&gt;0,INDEX('calcA'!BF$110:BF$114,$F31+1)+IF(AND($E31=1,KS31=0),1000,0),MIN(TW31,20)*400+(IF('calcA'!BE$106=1,1-FC31,0)+IF('calcA'!BF$106=1,1-FE31,0))*150+73+'calcA'!BF$5*100000+IF(AND($E31=1,KS31=0),50000,0))+IF($H31=1,INDEX('calcA'!$D$180:$EQ$219,$B31,55)*4000,0)-IF(AND('calcA'!BE$117=1,WC31&gt;0),2000,0)-IF(AND($U31=1,'calcA'!BF$117=1,FE31=0),2000,0))),1000000000))</f>
        <v/>
      </c>
      <c r="QI31">
        <f>IF($B31=0,1000000000,IF(INDEX('calcA'!$D$60:$EQ$99,$B31,56)*IF($W31=1,FE31+ABT31,FE31)=1,IF(AND($E31=2,IF($W31=1,AHI31,KT31)=0),1000000000,IF($V31=1,INDEX('calcA'!$D$130:$EQ$169,$B31,56)+IF(AND($E31=1,KT31=0),25,0),IF($F31&gt;0,INDEX('calcA'!BG$110:BG$114,$F31+1)+IF(AND($E31=1,KT31=0),1000,0),MIN(TW31,20)*400+(IF('calcA'!BF$106=1,1-FD31,0)+IF('calcA'!BG$106=1,1-FF31,0))*150+83+'calcA'!BG$5*100000+IF(AND($E31=1,KT31=0),50000,0))+IF($H31=1,INDEX('calcA'!$D$180:$EQ$219,$B31,56)*4000,0)-IF(AND('calcA'!BF$117=1,WD31&gt;0),2000,0)-IF(AND($U31=1,'calcA'!BG$117=1,FF31=0),2000,0))),1000000000))</f>
        <v/>
      </c>
      <c r="QJ31">
        <f>IF($B31=0,1000000000,IF(INDEX('calcA'!$D$60:$EQ$99,$B31,57)*IF($W31=1,FF31+ABU31,FF31)=1,IF(AND($E31=2,IF($W31=1,AHJ31,KU31)=0),1000000000,IF($V31=1,INDEX('calcA'!$D$130:$EQ$169,$B31,57)+IF(AND($E31=1,KU31=0),25,0),IF($F31&gt;0,INDEX('calcA'!BH$110:BH$114,$F31+1)+IF(AND($E31=1,KU31=0),1000,0),MIN(TW31,20)*400+(IF('calcA'!BG$106=1,1-FE31,0)+IF('calcA'!BH$106=1,1-FG31,0))*150+93+'calcA'!BH$5*100000+IF(AND($E31=1,KU31=0),50000,0))+IF($H31=1,INDEX('calcA'!$D$180:$EQ$219,$B31,57)*4000,0)-IF(AND('calcA'!BG$117=1,WE31&gt;0),2000,0)-IF(AND($U31=1,'calcA'!BH$117=1,FG31=0),2000,0))),1000000000))</f>
        <v/>
      </c>
      <c r="QK31">
        <f>IF($B31=0,1000000000,IF(INDEX('calcA'!$D$60:$EQ$99,$B31,58)*IF($W31=1,FG31+ABV31,FG31)=1,IF(AND($E31=2,IF($W31=1,AHK31,KV31)=0),1000000000,IF($V31=1,INDEX('calcA'!$D$130:$EQ$169,$B31,58)+IF(AND($E31=1,KV31=0),25,0),IF($F31&gt;0,INDEX('calcA'!BI$110:BI$114,$F31+1)+IF(AND($E31=1,KV31=0),1000,0),MIN(TW31,20)*400+(IF('calcA'!BH$106=1,1-FF31,0)+IF('calcA'!BI$106=1,1-FH31,0))*150+103+'calcA'!BI$5*100000+IF(AND($E31=1,KV31=0),50000,0))+IF($H31=1,INDEX('calcA'!$D$180:$EQ$219,$B31,58)*4000,0)-IF(AND('calcA'!BH$117=1,WF31&gt;0),2000,0)-IF(AND($U31=1,'calcA'!BI$117=1,FH31=0),2000,0))),1000000000))</f>
        <v/>
      </c>
      <c r="QL31">
        <f>IF($B31=0,1000000000,IF(INDEX('calcA'!$D$60:$EQ$99,$B31,59)*IF($W31=1,FH31+ABW31,FH31)=1,IF(AND($E31=2,IF($W31=1,AHL31,KW31)=0),1000000000,IF($V31=1,INDEX('calcA'!$D$130:$EQ$169,$B31,59)+IF(AND($E31=1,KW31=0),25,0),IF($F31&gt;0,INDEX('calcA'!BJ$110:BJ$114,$F31+1)+IF(AND($E31=1,KW31=0),1000,0),MIN(TW31,20)*400+(IF('calcA'!BI$106=1,1-FG31,0)+IF('calcA'!BJ$106=1,1-FI31,0))*150+113+'calcA'!BJ$5*100000+IF(AND($E31=1,KW31=0),50000,0))+IF($H31=1,INDEX('calcA'!$D$180:$EQ$219,$B31,59)*4000,0)-IF(AND('calcA'!BI$117=1,WG31&gt;0),2000,0)-IF(AND($U31=1,'calcA'!BJ$117=1,FI31=0),2000,0))),1000000000))</f>
        <v/>
      </c>
      <c r="QM31">
        <f>IF($B31=0,1000000000,IF(INDEX('calcA'!$D$60:$EQ$99,$B31,60)*IF($W31=1,FI31+ABX31,FI31)=1,IF(AND($E31=2,IF($W31=1,AHM31,KX31)=0),1000000000,IF($V31=1,INDEX('calcA'!$D$130:$EQ$169,$B31,60)+IF(AND($E31=1,KX31=0),25,0),IF($F31&gt;0,INDEX('calcA'!BK$110:BK$114,$F31+1)+IF(AND($E31=1,KX31=0),1000,0),MIN(TW31,20)*400+(IF('calcA'!BJ$106=1,1-FH31,0)+IF('calcA'!BK$106=1,1-FJ31,0))*150+123+'calcA'!BK$5*100000+IF(AND($E31=1,KX31=0),50000,0))+IF($H31=1,INDEX('calcA'!$D$180:$EQ$219,$B31,60)*4000,0)-IF(AND('calcA'!BJ$117=1,WH31&gt;0),2000,0)-IF(AND($U31=1,'calcA'!BK$117=1,FJ31=0),2000,0))),1000000000))</f>
        <v/>
      </c>
      <c r="QN31">
        <f>IF($B31=0,1000000000,IF(INDEX('calcA'!$D$60:$EQ$99,$B31,61)*IF($W31=1,FJ31+ABY31,FJ31)=1,IF(AND($E31=2,IF($W31=1,AHN31,KY31)=0),1000000000,IF($V31=1,INDEX('calcA'!$D$130:$EQ$169,$B31,61)+IF(AND($E31=1,KY31=0),25,0),IF($F31&gt;0,INDEX('calcA'!BL$110:BL$114,$F31+1)+IF(AND($E31=1,KY31=0),1000,0),MIN(TW31,20)*400+(IF('calcA'!BK$106=1,1-FI31,0)+IF('calcA'!BL$106=1,1-FK31,0))*150+133+'calcA'!BL$5*100000+IF(AND($E31=1,KY31=0),50000,0))+IF($H31=1,INDEX('calcA'!$D$180:$EQ$219,$B31,61)*4000,0)-IF(AND('calcA'!BK$117=1,WI31&gt;0),2000,0)-IF(AND($U31=1,'calcA'!BL$117=1,FK31=0),2000,0))),1000000000))</f>
        <v/>
      </c>
      <c r="QO31">
        <f>IF($B31=0,1000000000,IF(INDEX('calcA'!$D$60:$EQ$99,$B31,62)*IF($W31=1,FK31+ABZ31,FK31)=1,IF(AND($E31=2,IF($W31=1,AHO31,KZ31)=0),1000000000,IF($V31=1,INDEX('calcA'!$D$130:$EQ$169,$B31,62)+IF(AND($E31=1,KZ31=0),25,0),IF($F31&gt;0,INDEX('calcA'!BM$110:BM$114,$F31+1)+IF(AND($E31=1,KZ31=0),1000,0),MIN(TW31,20)*400+(IF('calcA'!BL$106=1,1-FJ31,0)+IF('calcA'!BM$106=1,1-FL31,0))*150+143+'calcA'!BM$5*100000+IF(AND($E31=1,KZ31=0),50000,0))+IF($H31=1,INDEX('calcA'!$D$180:$EQ$219,$B31,62)*4000,0)-IF(AND('calcA'!BL$117=1,WJ31&gt;0),2000,0)-IF(AND($U31=1,'calcA'!BM$117=1,FL31=0),2000,0))),1000000000))</f>
        <v/>
      </c>
      <c r="QP31">
        <f>IF($B31=0,1000000000,IF(INDEX('calcA'!$D$60:$EQ$99,$B31,63)*IF($W31=1,FL31+ACA31,FL31)=1,IF(AND($E31=2,IF($W31=1,AHP31,LA31)=0),1000000000,IF($V31=1,INDEX('calcA'!$D$130:$EQ$169,$B31,63)+IF(AND($E31=1,LA31=0),25,0),IF($F31&gt;0,INDEX('calcA'!BN$110:BN$114,$F31+1)+IF(AND($E31=1,LA31=0),1000,0),MIN(TW31,20)*400+(IF('calcA'!BM$106=1,1-FK31,0)+IF('calcA'!BN$106=1,1-FM31,0))*150+153+'calcA'!BN$5*100000+IF(AND($E31=1,LA31=0),50000,0))+IF($H31=1,INDEX('calcA'!$D$180:$EQ$219,$B31,63)*4000,0)-IF(AND('calcA'!BM$117=1,WK31&gt;0),2000,0)-IF(AND($U31=1,'calcA'!BN$117=1,FM31=0),2000,0))),1000000000))</f>
        <v/>
      </c>
      <c r="QQ31">
        <f>IF($B31=0,1000000000,IF(INDEX('calcA'!$D$60:$EQ$99,$B31,64)*IF($W31=1,FM31+ACB31,FM31)=1,IF(AND($E31=2,IF($W31=1,AHQ31,LB31)=0),1000000000,IF($V31=1,INDEX('calcA'!$D$130:$EQ$169,$B31,64)+IF(AND($E31=1,LB31=0),25,0),IF($F31&gt;0,INDEX('calcA'!BO$110:BO$114,$F31+1)+IF(AND($E31=1,LB31=0),1000,0),MIN(TW31,20)*400+(IF('calcA'!BN$106=1,1-FL31,0)+IF('calcA'!BO$106=1,1-FN31,0))*150+163+'calcA'!BO$5*100000+IF(AND($E31=1,LB31=0),50000,0))+IF($H31=1,INDEX('calcA'!$D$180:$EQ$219,$B31,64)*4000,0)-IF(AND('calcA'!BN$117=1,WL31&gt;0),2000,0)-IF(AND($U31=1,'calcA'!BO$117=1,FN31=0),2000,0))),1000000000))</f>
        <v/>
      </c>
      <c r="QR31">
        <f>IF($B31=0,1000000000,IF(INDEX('calcA'!$D$60:$EQ$99,$B31,65)*IF($W31=1,FN31+ACC31,FN31)=1,IF(AND($E31=2,IF($W31=1,AHR31,LC31)=0),1000000000,IF($V31=1,INDEX('calcA'!$D$130:$EQ$169,$B31,65)+IF(AND($E31=1,LC31=0),25,0),IF($F31&gt;0,INDEX('calcA'!BP$110:BP$114,$F31+1)+IF(AND($E31=1,LC31=0),1000,0),MIN(TW31,20)*400+(IF('calcA'!BO$106=1,1-FM31,0)+IF('calcA'!BP$106=1,1-FO31,0))*150+173+'calcA'!BP$5*100000+IF(AND($E31=1,LC31=0),50000,0))+IF($H31=1,INDEX('calcA'!$D$180:$EQ$219,$B31,65)*4000,0)-IF(AND('calcA'!BO$117=1,WM31&gt;0),2000,0)-IF(AND($U31=1,'calcA'!BP$117=1,FO31=0),2000,0))),1000000000))</f>
        <v/>
      </c>
      <c r="QS31">
        <f>IF($B31=0,1000000000,IF(INDEX('calcA'!$D$60:$EQ$99,$B31,66)*IF($W31=1,FO31+ACD31,FO31)=1,IF(AND($E31=2,IF($W31=1,AHS31,LD31)=0),1000000000,IF($V31=1,INDEX('calcA'!$D$130:$EQ$169,$B31,66)+IF(AND($E31=1,LD31=0),25,0),IF($F31&gt;0,INDEX('calcA'!BQ$110:BQ$114,$F31+1)+IF(AND($E31=1,LD31=0),1000,0),MIN(TW31,20)*400+(IF('calcA'!BP$106=1,1-FN31,0)+IF('calcA'!BQ$106=1,1-FP31,0))*150+183+'calcA'!BQ$5*100000+IF(AND($E31=1,LD31=0),50000,0))+IF($H31=1,INDEX('calcA'!$D$180:$EQ$219,$B31,66)*4000,0)-IF(AND('calcA'!BP$117=1,WN31&gt;0),2000,0)-IF(AND($U31=1,'calcA'!BQ$117=1,FP31=0),2000,0))),1000000000))</f>
        <v/>
      </c>
      <c r="QT31">
        <f>IF($B31=0,1000000000,IF(INDEX('calcA'!$D$60:$EQ$99,$B31,67)*IF($W31=1,FP31+ACE31,FP31)=1,IF(AND($E31=2,IF($W31=1,AHT31,LE31)=0),1000000000,IF($V31=1,INDEX('calcA'!$D$130:$EQ$169,$B31,67)+IF(AND($E31=1,LE31=0),25,0),IF($F31&gt;0,INDEX('calcA'!BR$110:BR$114,$F31+1)+IF(AND($E31=1,LE31=0),1000,0),MIN(TW31,20)*400+(IF('calcA'!BQ$106=1,1-FO31,0)+IF('calcA'!BR$106=1,1-FQ31,0))*150+193+'calcA'!BR$5*100000+IF(AND($E31=1,LE31=0),50000,0))+IF($H31=1,INDEX('calcA'!$D$180:$EQ$219,$B31,67)*4000,0)-IF(AND('calcA'!BQ$117=1,WO31&gt;0),2000,0)-IF(AND($U31=1,'calcA'!BR$117=1,FQ31=0),2000,0))),1000000000))</f>
        <v/>
      </c>
      <c r="QU31">
        <f>IF($B31=0,1000000000,IF(INDEX('calcA'!$D$60:$EQ$99,$B31,68)*IF($W31=1,FQ31+ACF31,FQ31)=1,IF(AND($E31=2,IF($W31=1,AHU31,LF31)=0),1000000000,IF($V31=1,INDEX('calcA'!$D$130:$EQ$169,$B31,68)+IF(AND($E31=1,LF31=0),25,0),IF($F31&gt;0,INDEX('calcA'!BS$110:BS$114,$F31+1)+IF(AND($E31=1,LF31=0),1000,0),MIN(TW31,20)*400+(IF('calcA'!BR$106=1,1-FP31,0)+IF('calcA'!BS$106=1,1-FR31,0))*150+203+'calcA'!BS$5*100000+IF(AND($E31=1,LF31=0),50000,0))+IF($H31=1,INDEX('calcA'!$D$180:$EQ$219,$B31,68)*4000,0)-IF(AND('calcA'!BR$117=1,WP31&gt;0),2000,0)-IF(AND($U31=1,'calcA'!BS$117=1,FR31=0),2000,0))),1000000000))</f>
        <v/>
      </c>
      <c r="QV31">
        <f>IF($B31=0,1000000000,IF(INDEX('calcA'!$D$60:$EQ$99,$B31,69)*IF($W31=1,FR31+ACG31,FR31)=1,IF(AND($E31=2,IF($W31=1,AHV31,LG31)=0),1000000000,IF($V31=1,INDEX('calcA'!$D$130:$EQ$169,$B31,69)+IF(AND($E31=1,LG31=0),25,0),IF($F31&gt;0,INDEX('calcA'!BT$110:BT$114,$F31+1)+IF(AND($E31=1,LG31=0),1000,0),MIN(TW31,20)*400+(IF('calcA'!BS$106=1,1-FQ31,0)+IF('calcA'!BT$106=1,1-FS31,0))*150+213+'calcA'!BT$5*100000+IF(AND($E31=1,LG31=0),50000,0))+IF($H31=1,INDEX('calcA'!$D$180:$EQ$219,$B31,69)*4000,0)-IF(AND('calcA'!BS$117=1,WQ31&gt;0),2000,0)-IF(AND($U31=1,'calcA'!BT$117=1,FS31=0),2000,0))),1000000000))</f>
        <v/>
      </c>
      <c r="QW31">
        <f>IF($B31=0,1000000000,IF(INDEX('calcA'!$D$60:$EQ$99,$B31,70)*IF($W31=1,FS31+ACH31,FS31)=1,IF(AND($E31=2,IF($W31=1,AHW31,LH31)=0),1000000000,IF($V31=1,INDEX('calcA'!$D$130:$EQ$169,$B31,70)+IF(AND($E31=1,LH31=0),25,0),IF($F31&gt;0,INDEX('calcA'!BU$110:BU$114,$F31+1)+IF(AND($E31=1,LH31=0),1000,0),MIN(TW31,20)*400+(IF('calcA'!BT$106=1,1-FR31,0)+IF('calcA'!BU$106=1,1-FT31,0))*150+223+'calcA'!BU$5*100000+IF(AND($E31=1,LH31=0),50000,0))+IF($H31=1,INDEX('calcA'!$D$180:$EQ$219,$B31,70)*4000,0)-IF(AND('calcA'!BT$117=1,WR31&gt;0),2000,0)-IF(AND($U31=1,'calcA'!BU$117=1,FT31=0),2000,0))),1000000000))</f>
        <v/>
      </c>
      <c r="QX31">
        <f>IF($B31=0,1000000000,IF(INDEX('calcA'!$D$60:$EQ$99,$B31,71)*IF($W31=1,FT31+ACI31,FT31)=1,IF(AND($E31=2,IF($W31=1,AHX31,LI31)=0),1000000000,IF($V31=1,INDEX('calcA'!$D$130:$EQ$169,$B31,71)+IF(AND($E31=1,LI31=0),25,0),IF($F31&gt;0,INDEX('calcA'!BV$110:BV$114,$F31+1)+IF(AND($E31=1,LI31=0),1000,0),MIN(TW31,20)*400+(IF('calcA'!BU$106=1,1-FS31,0)+IF('calcA'!BV$106=1,1-FU31,0))*150+233+'calcA'!BV$5*100000+IF(AND($E31=1,LI31=0),50000,0))+IF($H31=1,INDEX('calcA'!$D$180:$EQ$219,$B31,71)*4000,0)-IF(AND('calcA'!BU$117=1,WS31&gt;0),2000,0)-IF(AND($U31=1,'calcA'!BV$117=1,FU31=0),2000,0))),1000000000))</f>
        <v/>
      </c>
      <c r="QY31">
        <f>IF($B31=0,1000000000,IF(INDEX('calcA'!$D$60:$EQ$99,$B31,72)*IF($W31=1,FU31+ACJ31,FU31)=1,IF(AND($E31=2,IF($W31=1,AHY31,LJ31)=0),1000000000,IF($V31=1,INDEX('calcA'!$D$130:$EQ$169,$B31,72)+IF(AND($E31=1,LJ31=0),25,0),IF($F31&gt;0,INDEX('calcA'!BW$110:BW$114,$F31+1)+IF(AND($E31=1,LJ31=0),1000,0),MIN(TW31,20)*400+(IF('calcA'!BV$106=1,1-FT31,0))*150+243+'calcA'!BW$5*100000+IF(AND($E31=1,LJ31=0),50000,0))+IF($H31=1,INDEX('calcA'!$D$180:$EQ$219,$B31,72)*4000,0)-IF(AND('calcA'!BV$117=1,WT31&gt;0),2000,0))),1000000000))</f>
        <v/>
      </c>
      <c r="QZ31">
        <f>IF($B31=0,1000000000,IF(INDEX('calcA'!$D$60:$EQ$99,$B31,73)*IF($W31=1,FV31+ACK31,FV31)=1,IF(AND($E31=2,IF($W31=1,AHZ31,LK31)=0),1000000000,IF($V31=1,INDEX('calcA'!$D$130:$EQ$169,$B31,73)+IF(AND($E31=1,LK31=0),25,0),IF($F31&gt;0,INDEX('calcA'!BX$110:BX$114,$F31+1)+IF(AND($E31=1,LK31=0),1000,0),MIN(TX31,20)*400+(IF('calcA'!BX$106=1,1-FW31,0))*150+14+'calcA'!BX$5*100000+IF(AND($E31=1,LK31=0),50000,0))+IF($H31=1,INDEX('calcA'!$D$180:$EQ$219,$B31,73)*4000,0)-IF(AND($U31=1,'calcA'!BX$117=1,FW31=0),2000,0))),1000000000))</f>
        <v/>
      </c>
      <c r="RA31">
        <f>IF($B31=0,1000000000,IF(INDEX('calcA'!$D$60:$EQ$99,$B31,74)*IF($W31=1,FW31+ACL31,FW31)=1,IF(AND($E31=2,IF($W31=1,AIA31,LL31)=0),1000000000,IF($V31=1,INDEX('calcA'!$D$130:$EQ$169,$B31,74)+IF(AND($E31=1,LL31=0),25,0),IF($F31&gt;0,INDEX('calcA'!BY$110:BY$114,$F31+1)+IF(AND($E31=1,LL31=0),1000,0),MIN(TX31,20)*400+(IF('calcA'!BX$106=1,1-FV31,0)+IF('calcA'!BY$106=1,1-FX31,0))*150+24+'calcA'!BY$5*100000+IF(AND($E31=1,LL31=0),50000,0))+IF($H31=1,INDEX('calcA'!$D$180:$EQ$219,$B31,74)*4000,0)-IF(AND('calcA'!BX$117=1,WV31&gt;0),2000,0)-IF(AND($U31=1,'calcA'!BY$117=1,FX31=0),2000,0))),1000000000))</f>
        <v/>
      </c>
      <c r="RB31">
        <f>IF($B31=0,1000000000,IF(INDEX('calcA'!$D$60:$EQ$99,$B31,75)*IF($W31=1,FX31+ACM31,FX31)=1,IF(AND($E31=2,IF($W31=1,AIB31,LM31)=0),1000000000,IF($V31=1,INDEX('calcA'!$D$130:$EQ$169,$B31,75)+IF(AND($E31=1,LM31=0),25,0),IF($F31&gt;0,INDEX('calcA'!BZ$110:BZ$114,$F31+1)+IF(AND($E31=1,LM31=0),1000,0),MIN(TX31,20)*400+(IF('calcA'!BY$106=1,1-FW31,0)+IF('calcA'!BZ$106=1,1-FY31,0))*150+34+'calcA'!BZ$5*100000+IF(AND($E31=1,LM31=0),50000,0))+IF($H31=1,INDEX('calcA'!$D$180:$EQ$219,$B31,75)*4000,0)-IF(AND('calcA'!BY$117=1,WW31&gt;0),2000,0)-IF(AND($U31=1,'calcA'!BZ$117=1,FY31=0),2000,0))),1000000000))</f>
        <v/>
      </c>
      <c r="RC31">
        <f>IF($B31=0,1000000000,IF(INDEX('calcA'!$D$60:$EQ$99,$B31,76)*IF($W31=1,FY31+ACN31,FY31)=1,IF(AND($E31=2,IF($W31=1,AIC31,LN31)=0),1000000000,IF($V31=1,INDEX('calcA'!$D$130:$EQ$169,$B31,76)+IF(AND($E31=1,LN31=0),25,0),IF($F31&gt;0,INDEX('calcA'!CA$110:CA$114,$F31+1)+IF(AND($E31=1,LN31=0),1000,0),MIN(TX31,20)*400+(IF('calcA'!BZ$106=1,1-FX31,0)+IF('calcA'!CA$106=1,1-FZ31,0))*150+44+'calcA'!CA$5*100000+IF(AND($E31=1,LN31=0),50000,0))+IF($H31=1,INDEX('calcA'!$D$180:$EQ$219,$B31,76)*4000,0)-IF(AND('calcA'!BZ$117=1,WX31&gt;0),2000,0)-IF(AND($U31=1,'calcA'!CA$117=1,FZ31=0),2000,0))),1000000000))</f>
        <v/>
      </c>
      <c r="RD31">
        <f>IF($B31=0,1000000000,IF(INDEX('calcA'!$D$60:$EQ$99,$B31,77)*IF($W31=1,FZ31+ACO31,FZ31)=1,IF(AND($E31=2,IF($W31=1,AID31,LO31)=0),1000000000,IF($V31=1,INDEX('calcA'!$D$130:$EQ$169,$B31,77)+IF(AND($E31=1,LO31=0),25,0),IF($F31&gt;0,INDEX('calcA'!CB$110:CB$114,$F31+1)+IF(AND($E31=1,LO31=0),1000,0),MIN(TX31,20)*400+(IF('calcA'!CA$106=1,1-FY31,0)+IF('calcA'!CB$106=1,1-GA31,0))*150+54+'calcA'!CB$5*100000+IF(AND($E31=1,LO31=0),50000,0))+IF($H31=1,INDEX('calcA'!$D$180:$EQ$219,$B31,77)*4000,0)-IF(AND('calcA'!CA$117=1,WY31&gt;0),2000,0)-IF(AND($U31=1,'calcA'!CB$117=1,GA31=0),2000,0))),1000000000))</f>
        <v/>
      </c>
      <c r="RE31">
        <f>IF($B31=0,1000000000,IF(INDEX('calcA'!$D$60:$EQ$99,$B31,78)*IF($W31=1,GA31+ACP31,GA31)=1,IF(AND($E31=2,IF($W31=1,AIE31,LP31)=0),1000000000,IF($V31=1,INDEX('calcA'!$D$130:$EQ$169,$B31,78)+IF(AND($E31=1,LP31=0),25,0),IF($F31&gt;0,INDEX('calcA'!CC$110:CC$114,$F31+1)+IF(AND($E31=1,LP31=0),1000,0),MIN(TX31,20)*400+(IF('calcA'!CB$106=1,1-FZ31,0)+IF('calcA'!CC$106=1,1-GB31,0))*150+64+'calcA'!CC$5*100000+IF(AND($E31=1,LP31=0),50000,0))+IF($H31=1,INDEX('calcA'!$D$180:$EQ$219,$B31,78)*4000,0)-IF(AND('calcA'!CB$117=1,WZ31&gt;0),2000,0)-IF(AND($U31=1,'calcA'!CC$117=1,GB31=0),2000,0))),1000000000))</f>
        <v/>
      </c>
      <c r="RF31">
        <f>IF($B31=0,1000000000,IF(INDEX('calcA'!$D$60:$EQ$99,$B31,79)*IF($W31=1,GB31+ACQ31,GB31)=1,IF(AND($E31=2,IF($W31=1,AIF31,LQ31)=0),1000000000,IF($V31=1,INDEX('calcA'!$D$130:$EQ$169,$B31,79)+IF(AND($E31=1,LQ31=0),25,0),IF($F31&gt;0,INDEX('calcA'!CD$110:CD$114,$F31+1)+IF(AND($E31=1,LQ31=0),1000,0),MIN(TX31,20)*400+(IF('calcA'!CC$106=1,1-GA31,0)+IF('calcA'!CD$106=1,1-GC31,0))*150+74+'calcA'!CD$5*100000+IF(AND($E31=1,LQ31=0),50000,0))+IF($H31=1,INDEX('calcA'!$D$180:$EQ$219,$B31,79)*4000,0)-IF(AND('calcA'!CC$117=1,XA31&gt;0),2000,0)-IF(AND($U31=1,'calcA'!CD$117=1,GC31=0),2000,0))),1000000000))</f>
        <v/>
      </c>
      <c r="RG31">
        <f>IF($B31=0,1000000000,IF(INDEX('calcA'!$D$60:$EQ$99,$B31,80)*IF($W31=1,GC31+ACR31,GC31)=1,IF(AND($E31=2,IF($W31=1,AIG31,LR31)=0),1000000000,IF($V31=1,INDEX('calcA'!$D$130:$EQ$169,$B31,80)+IF(AND($E31=1,LR31=0),25,0),IF($F31&gt;0,INDEX('calcA'!CE$110:CE$114,$F31+1)+IF(AND($E31=1,LR31=0),1000,0),MIN(TX31,20)*400+(IF('calcA'!CD$106=1,1-GB31,0)+IF('calcA'!CE$106=1,1-GD31,0))*150+84+'calcA'!CE$5*100000+IF(AND($E31=1,LR31=0),50000,0))+IF($H31=1,INDEX('calcA'!$D$180:$EQ$219,$B31,80)*4000,0)-IF(AND('calcA'!CD$117=1,XB31&gt;0),2000,0)-IF(AND($U31=1,'calcA'!CE$117=1,GD31=0),2000,0))),1000000000))</f>
        <v/>
      </c>
      <c r="RH31">
        <f>IF($B31=0,1000000000,IF(INDEX('calcA'!$D$60:$EQ$99,$B31,81)*IF($W31=1,GD31+ACS31,GD31)=1,IF(AND($E31=2,IF($W31=1,AIH31,LS31)=0),1000000000,IF($V31=1,INDEX('calcA'!$D$130:$EQ$169,$B31,81)+IF(AND($E31=1,LS31=0),25,0),IF($F31&gt;0,INDEX('calcA'!CF$110:CF$114,$F31+1)+IF(AND($E31=1,LS31=0),1000,0),MIN(TX31,20)*400+(IF('calcA'!CE$106=1,1-GC31,0)+IF('calcA'!CF$106=1,1-GE31,0))*150+94+'calcA'!CF$5*100000+IF(AND($E31=1,LS31=0),50000,0))+IF($H31=1,INDEX('calcA'!$D$180:$EQ$219,$B31,81)*4000,0)-IF(AND('calcA'!CE$117=1,XC31&gt;0),2000,0)-IF(AND($U31=1,'calcA'!CF$117=1,GE31=0),2000,0))),1000000000))</f>
        <v/>
      </c>
      <c r="RI31">
        <f>IF($B31=0,1000000000,IF(INDEX('calcA'!$D$60:$EQ$99,$B31,82)*IF($W31=1,GE31+ACT31,GE31)=1,IF(AND($E31=2,IF($W31=1,AII31,LT31)=0),1000000000,IF($V31=1,INDEX('calcA'!$D$130:$EQ$169,$B31,82)+IF(AND($E31=1,LT31=0),25,0),IF($F31&gt;0,INDEX('calcA'!CG$110:CG$114,$F31+1)+IF(AND($E31=1,LT31=0),1000,0),MIN(TX31,20)*400+(IF('calcA'!CF$106=1,1-GD31,0)+IF('calcA'!CG$106=1,1-GF31,0))*150+104+'calcA'!CG$5*100000+IF(AND($E31=1,LT31=0),50000,0))+IF($H31=1,INDEX('calcA'!$D$180:$EQ$219,$B31,82)*4000,0)-IF(AND('calcA'!CF$117=1,XD31&gt;0),2000,0)-IF(AND($U31=1,'calcA'!CG$117=1,GF31=0),2000,0))),1000000000))</f>
        <v/>
      </c>
      <c r="RJ31">
        <f>IF($B31=0,1000000000,IF(INDEX('calcA'!$D$60:$EQ$99,$B31,83)*IF($W31=1,GF31+ACU31,GF31)=1,IF(AND($E31=2,IF($W31=1,AIJ31,LU31)=0),1000000000,IF($V31=1,INDEX('calcA'!$D$130:$EQ$169,$B31,83)+IF(AND($E31=1,LU31=0),25,0),IF($F31&gt;0,INDEX('calcA'!CH$110:CH$114,$F31+1)+IF(AND($E31=1,LU31=0),1000,0),MIN(TX31,20)*400+(IF('calcA'!CG$106=1,1-GE31,0)+IF('calcA'!CH$106=1,1-GG31,0))*150+114+'calcA'!CH$5*100000+IF(AND($E31=1,LU31=0),50000,0))+IF($H31=1,INDEX('calcA'!$D$180:$EQ$219,$B31,83)*4000,0)-IF(AND('calcA'!CG$117=1,XE31&gt;0),2000,0)-IF(AND($U31=1,'calcA'!CH$117=1,GG31=0),2000,0))),1000000000))</f>
        <v/>
      </c>
      <c r="RK31">
        <f>IF($B31=0,1000000000,IF(INDEX('calcA'!$D$60:$EQ$99,$B31,84)*IF($W31=1,GG31+ACV31,GG31)=1,IF(AND($E31=2,IF($W31=1,AIK31,LV31)=0),1000000000,IF($V31=1,INDEX('calcA'!$D$130:$EQ$169,$B31,84)+IF(AND($E31=1,LV31=0),25,0),IF($F31&gt;0,INDEX('calcA'!CI$110:CI$114,$F31+1)+IF(AND($E31=1,LV31=0),1000,0),MIN(TX31,20)*400+(IF('calcA'!CH$106=1,1-GF31,0)+IF('calcA'!CI$106=1,1-GH31,0))*150+124+'calcA'!CI$5*100000+IF(AND($E31=1,LV31=0),50000,0))+IF($H31=1,INDEX('calcA'!$D$180:$EQ$219,$B31,84)*4000,0)-IF(AND('calcA'!CH$117=1,XF31&gt;0),2000,0)-IF(AND($U31=1,'calcA'!CI$117=1,GH31=0),2000,0))),1000000000))</f>
        <v/>
      </c>
      <c r="RL31">
        <f>IF($B31=0,1000000000,IF(INDEX('calcA'!$D$60:$EQ$99,$B31,85)*IF($W31=1,GH31+ACW31,GH31)=1,IF(AND($E31=2,IF($W31=1,AIL31,LW31)=0),1000000000,IF($V31=1,INDEX('calcA'!$D$130:$EQ$169,$B31,85)+IF(AND($E31=1,LW31=0),25,0),IF($F31&gt;0,INDEX('calcA'!CJ$110:CJ$114,$F31+1)+IF(AND($E31=1,LW31=0),1000,0),MIN(TX31,20)*400+(IF('calcA'!CI$106=1,1-GG31,0)+IF('calcA'!CJ$106=1,1-GI31,0))*150+134+'calcA'!CJ$5*100000+IF(AND($E31=1,LW31=0),50000,0))+IF($H31=1,INDEX('calcA'!$D$180:$EQ$219,$B31,85)*4000,0)-IF(AND('calcA'!CI$117=1,XG31&gt;0),2000,0)-IF(AND($U31=1,'calcA'!CJ$117=1,GI31=0),2000,0))),1000000000))</f>
        <v/>
      </c>
      <c r="RM31">
        <f>IF($B31=0,1000000000,IF(INDEX('calcA'!$D$60:$EQ$99,$B31,86)*IF($W31=1,GI31+ACX31,GI31)=1,IF(AND($E31=2,IF($W31=1,AIM31,LX31)=0),1000000000,IF($V31=1,INDEX('calcA'!$D$130:$EQ$169,$B31,86)+IF(AND($E31=1,LX31=0),25,0),IF($F31&gt;0,INDEX('calcA'!CK$110:CK$114,$F31+1)+IF(AND($E31=1,LX31=0),1000,0),MIN(TX31,20)*400+(IF('calcA'!CJ$106=1,1-GH31,0)+IF('calcA'!CK$106=1,1-GJ31,0))*150+144+'calcA'!CK$5*100000+IF(AND($E31=1,LX31=0),50000,0))+IF($H31=1,INDEX('calcA'!$D$180:$EQ$219,$B31,86)*4000,0)-IF(AND('calcA'!CJ$117=1,XH31&gt;0),2000,0)-IF(AND($U31=1,'calcA'!CK$117=1,GJ31=0),2000,0))),1000000000))</f>
        <v/>
      </c>
      <c r="RN31">
        <f>IF($B31=0,1000000000,IF(INDEX('calcA'!$D$60:$EQ$99,$B31,87)*IF($W31=1,GJ31+ACY31,GJ31)=1,IF(AND($E31=2,IF($W31=1,AIN31,LY31)=0),1000000000,IF($V31=1,INDEX('calcA'!$D$130:$EQ$169,$B31,87)+IF(AND($E31=1,LY31=0),25,0),IF($F31&gt;0,INDEX('calcA'!CL$110:CL$114,$F31+1)+IF(AND($E31=1,LY31=0),1000,0),MIN(TX31,20)*400+(IF('calcA'!CK$106=1,1-GI31,0)+IF('calcA'!CL$106=1,1-GK31,0))*150+154+'calcA'!CL$5*100000+IF(AND($E31=1,LY31=0),50000,0))+IF($H31=1,INDEX('calcA'!$D$180:$EQ$219,$B31,87)*4000,0)-IF(AND('calcA'!CK$117=1,XI31&gt;0),2000,0)-IF(AND($U31=1,'calcA'!CL$117=1,GK31=0),2000,0))),1000000000))</f>
        <v/>
      </c>
      <c r="RO31">
        <f>IF($B31=0,1000000000,IF(INDEX('calcA'!$D$60:$EQ$99,$B31,88)*IF($W31=1,GK31+ACZ31,GK31)=1,IF(AND($E31=2,IF($W31=1,AIO31,LZ31)=0),1000000000,IF($V31=1,INDEX('calcA'!$D$130:$EQ$169,$B31,88)+IF(AND($E31=1,LZ31=0),25,0),IF($F31&gt;0,INDEX('calcA'!CM$110:CM$114,$F31+1)+IF(AND($E31=1,LZ31=0),1000,0),MIN(TX31,20)*400+(IF('calcA'!CL$106=1,1-GJ31,0)+IF('calcA'!CM$106=1,1-GL31,0))*150+164+'calcA'!CM$5*100000+IF(AND($E31=1,LZ31=0),50000,0))+IF($H31=1,INDEX('calcA'!$D$180:$EQ$219,$B31,88)*4000,0)-IF(AND('calcA'!CL$117=1,XJ31&gt;0),2000,0)-IF(AND($U31=1,'calcA'!CM$117=1,GL31=0),2000,0))),1000000000))</f>
        <v/>
      </c>
      <c r="RP31">
        <f>IF($B31=0,1000000000,IF(INDEX('calcA'!$D$60:$EQ$99,$B31,89)*IF($W31=1,GL31+ADA31,GL31)=1,IF(AND($E31=2,IF($W31=1,AIP31,MA31)=0),1000000000,IF($V31=1,INDEX('calcA'!$D$130:$EQ$169,$B31,89)+IF(AND($E31=1,MA31=0),25,0),IF($F31&gt;0,INDEX('calcA'!CN$110:CN$114,$F31+1)+IF(AND($E31=1,MA31=0),1000,0),MIN(TX31,20)*400+(IF('calcA'!CM$106=1,1-GK31,0)+IF('calcA'!CN$106=1,1-GM31,0))*150+174+'calcA'!CN$5*100000+IF(AND($E31=1,MA31=0),50000,0))+IF($H31=1,INDEX('calcA'!$D$180:$EQ$219,$B31,89)*4000,0)-IF(AND('calcA'!CM$117=1,XK31&gt;0),2000,0)-IF(AND($U31=1,'calcA'!CN$117=1,GM31=0),2000,0))),1000000000))</f>
        <v/>
      </c>
      <c r="RQ31">
        <f>IF($B31=0,1000000000,IF(INDEX('calcA'!$D$60:$EQ$99,$B31,90)*IF($W31=1,GM31+ADB31,GM31)=1,IF(AND($E31=2,IF($W31=1,AIQ31,MB31)=0),1000000000,IF($V31=1,INDEX('calcA'!$D$130:$EQ$169,$B31,90)+IF(AND($E31=1,MB31=0),25,0),IF($F31&gt;0,INDEX('calcA'!CO$110:CO$114,$F31+1)+IF(AND($E31=1,MB31=0),1000,0),MIN(TX31,20)*400+(IF('calcA'!CN$106=1,1-GL31,0)+IF('calcA'!CO$106=1,1-GN31,0))*150+184+'calcA'!CO$5*100000+IF(AND($E31=1,MB31=0),50000,0))+IF($H31=1,INDEX('calcA'!$D$180:$EQ$219,$B31,90)*4000,0)-IF(AND('calcA'!CN$117=1,XL31&gt;0),2000,0)-IF(AND($U31=1,'calcA'!CO$117=1,GN31=0),2000,0))),1000000000))</f>
        <v/>
      </c>
      <c r="RR31">
        <f>IF($B31=0,1000000000,IF(INDEX('calcA'!$D$60:$EQ$99,$B31,91)*IF($W31=1,GN31+ADC31,GN31)=1,IF(AND($E31=2,IF($W31=1,AIR31,MC31)=0),1000000000,IF($V31=1,INDEX('calcA'!$D$130:$EQ$169,$B31,91)+IF(AND($E31=1,MC31=0),25,0),IF($F31&gt;0,INDEX('calcA'!CP$110:CP$114,$F31+1)+IF(AND($E31=1,MC31=0),1000,0),MIN(TX31,20)*400+(IF('calcA'!CO$106=1,1-GM31,0)+IF('calcA'!CP$106=1,1-GO31,0))*150+194+'calcA'!CP$5*100000+IF(AND($E31=1,MC31=0),50000,0))+IF($H31=1,INDEX('calcA'!$D$180:$EQ$219,$B31,91)*4000,0)-IF(AND('calcA'!CO$117=1,XM31&gt;0),2000,0)-IF(AND($U31=1,'calcA'!CP$117=1,GO31=0),2000,0))),1000000000))</f>
        <v/>
      </c>
      <c r="RS31">
        <f>IF($B31=0,1000000000,IF(INDEX('calcA'!$D$60:$EQ$99,$B31,92)*IF($W31=1,GO31+ADD31,GO31)=1,IF(AND($E31=2,IF($W31=1,AIS31,MD31)=0),1000000000,IF($V31=1,INDEX('calcA'!$D$130:$EQ$169,$B31,92)+IF(AND($E31=1,MD31=0),25,0),IF($F31&gt;0,INDEX('calcA'!CQ$110:CQ$114,$F31+1)+IF(AND($E31=1,MD31=0),1000,0),MIN(TX31,20)*400+(IF('calcA'!CP$106=1,1-GN31,0)+IF('calcA'!CQ$106=1,1-GP31,0))*150+204+'calcA'!CQ$5*100000+IF(AND($E31=1,MD31=0),50000,0))+IF($H31=1,INDEX('calcA'!$D$180:$EQ$219,$B31,92)*4000,0)-IF(AND('calcA'!CP$117=1,XN31&gt;0),2000,0)-IF(AND($U31=1,'calcA'!CQ$117=1,GP31=0),2000,0))),1000000000))</f>
        <v/>
      </c>
      <c r="RT31">
        <f>IF($B31=0,1000000000,IF(INDEX('calcA'!$D$60:$EQ$99,$B31,93)*IF($W31=1,GP31+ADE31,GP31)=1,IF(AND($E31=2,IF($W31=1,AIT31,ME31)=0),1000000000,IF($V31=1,INDEX('calcA'!$D$130:$EQ$169,$B31,93)+IF(AND($E31=1,ME31=0),25,0),IF($F31&gt;0,INDEX('calcA'!CR$110:CR$114,$F31+1)+IF(AND($E31=1,ME31=0),1000,0),MIN(TX31,20)*400+(IF('calcA'!CQ$106=1,1-GO31,0)+IF('calcA'!CR$106=1,1-GQ31,0))*150+214+'calcA'!CR$5*100000+IF(AND($E31=1,ME31=0),50000,0))+IF($H31=1,INDEX('calcA'!$D$180:$EQ$219,$B31,93)*4000,0)-IF(AND('calcA'!CQ$117=1,XO31&gt;0),2000,0)-IF(AND($U31=1,'calcA'!CR$117=1,GQ31=0),2000,0))),1000000000))</f>
        <v/>
      </c>
      <c r="RU31">
        <f>IF($B31=0,1000000000,IF(INDEX('calcA'!$D$60:$EQ$99,$B31,94)*IF($W31=1,GQ31+ADF31,GQ31)=1,IF(AND($E31=2,IF($W31=1,AIU31,MF31)=0),1000000000,IF($V31=1,INDEX('calcA'!$D$130:$EQ$169,$B31,94)+IF(AND($E31=1,MF31=0),25,0),IF($F31&gt;0,INDEX('calcA'!CS$110:CS$114,$F31+1)+IF(AND($E31=1,MF31=0),1000,0),MIN(TX31,20)*400+(IF('calcA'!CR$106=1,1-GP31,0)+IF('calcA'!CS$106=1,1-GR31,0))*150+224+'calcA'!CS$5*100000+IF(AND($E31=1,MF31=0),50000,0))+IF($H31=1,INDEX('calcA'!$D$180:$EQ$219,$B31,94)*4000,0)-IF(AND('calcA'!CR$117=1,XP31&gt;0),2000,0)-IF(AND($U31=1,'calcA'!CS$117=1,GR31=0),2000,0))),1000000000))</f>
        <v/>
      </c>
      <c r="RV31">
        <f>IF($B31=0,1000000000,IF(INDEX('calcA'!$D$60:$EQ$99,$B31,95)*IF($W31=1,GR31+ADG31,GR31)=1,IF(AND($E31=2,IF($W31=1,AIV31,MG31)=0),1000000000,IF($V31=1,INDEX('calcA'!$D$130:$EQ$169,$B31,95)+IF(AND($E31=1,MG31=0),25,0),IF($F31&gt;0,INDEX('calcA'!CT$110:CT$114,$F31+1)+IF(AND($E31=1,MG31=0),1000,0),MIN(TX31,20)*400+(IF('calcA'!CS$106=1,1-GQ31,0)+IF('calcA'!CT$106=1,1-GS31,0))*150+234+'calcA'!CT$5*100000+IF(AND($E31=1,MG31=0),50000,0))+IF($H31=1,INDEX('calcA'!$D$180:$EQ$219,$B31,95)*4000,0)-IF(AND('calcA'!CS$117=1,XQ31&gt;0),2000,0)-IF(AND($U31=1,'calcA'!CT$117=1,GS31=0),2000,0))),1000000000))</f>
        <v/>
      </c>
      <c r="RW31">
        <f>IF($B31=0,1000000000,IF(INDEX('calcA'!$D$60:$EQ$99,$B31,96)*IF($W31=1,GS31+ADH31,GS31)=1,IF(AND($E31=2,IF($W31=1,AIW31,MH31)=0),1000000000,IF($V31=1,INDEX('calcA'!$D$130:$EQ$169,$B31,96)+IF(AND($E31=1,MH31=0),25,0),IF($F31&gt;0,INDEX('calcA'!CU$110:CU$114,$F31+1)+IF(AND($E31=1,MH31=0),1000,0),MIN(TX31,20)*400+(IF('calcA'!CT$106=1,1-GR31,0))*150+244+'calcA'!CU$5*100000+IF(AND($E31=1,MH31=0),50000,0))+IF($H31=1,INDEX('calcA'!$D$180:$EQ$219,$B31,96)*4000,0)-IF(AND('calcA'!CT$117=1,XR31&gt;0),2000,0))),1000000000))</f>
        <v/>
      </c>
      <c r="RX31">
        <f>IF($B31=0,1000000000,IF(INDEX('calcA'!$D$60:$EQ$99,$B31,97)*IF($W31=1,GT31+ADI31,GT31)=1,IF(AND($E31=2,IF($W31=1,AIX31,MI31)=0),1000000000,IF($V31=1,INDEX('calcA'!$D$130:$EQ$169,$B31,97)+IF(AND($E31=1,MI31=0),25,0),IF($F31&gt;0,INDEX('calcA'!CV$110:CV$114,$F31+1)+IF(AND($E31=1,MI31=0),1000,0),MIN(TY31,20)*400+(IF('calcA'!CV$106=1,1-GU31,0))*150+15+'calcA'!CV$5*100000+IF(AND($E31=1,MI31=0),50000,0))+IF($H31=1,INDEX('calcA'!$D$180:$EQ$219,$B31,97)*4000,0)-IF(AND($U31=1,'calcA'!CV$117=1,GU31=0),2000,0))),1000000000))</f>
        <v/>
      </c>
      <c r="RY31">
        <f>IF($B31=0,1000000000,IF(INDEX('calcA'!$D$60:$EQ$99,$B31,98)*IF($W31=1,GU31+ADJ31,GU31)=1,IF(AND($E31=2,IF($W31=1,AIY31,MJ31)=0),1000000000,IF($V31=1,INDEX('calcA'!$D$130:$EQ$169,$B31,98)+IF(AND($E31=1,MJ31=0),25,0),IF($F31&gt;0,INDEX('calcA'!CW$110:CW$114,$F31+1)+IF(AND($E31=1,MJ31=0),1000,0),MIN(TY31,20)*400+(IF('calcA'!CV$106=1,1-GT31,0)+IF('calcA'!CW$106=1,1-GV31,0))*150+25+'calcA'!CW$5*100000+IF(AND($E31=1,MJ31=0),50000,0))+IF($H31=1,INDEX('calcA'!$D$180:$EQ$219,$B31,98)*4000,0)-IF(AND('calcA'!CV$117=1,XT31&gt;0),2000,0)-IF(AND($U31=1,'calcA'!CW$117=1,GV31=0),2000,0))),1000000000))</f>
        <v/>
      </c>
      <c r="RZ31">
        <f>IF($B31=0,1000000000,IF(INDEX('calcA'!$D$60:$EQ$99,$B31,99)*IF($W31=1,GV31+ADK31,GV31)=1,IF(AND($E31=2,IF($W31=1,AIZ31,MK31)=0),1000000000,IF($V31=1,INDEX('calcA'!$D$130:$EQ$169,$B31,99)+IF(AND($E31=1,MK31=0),25,0),IF($F31&gt;0,INDEX('calcA'!CX$110:CX$114,$F31+1)+IF(AND($E31=1,MK31=0),1000,0),MIN(TY31,20)*400+(IF('calcA'!CW$106=1,1-GU31,0)+IF('calcA'!CX$106=1,1-GW31,0))*150+35+'calcA'!CX$5*100000+IF(AND($E31=1,MK31=0),50000,0))+IF($H31=1,INDEX('calcA'!$D$180:$EQ$219,$B31,99)*4000,0)-IF(AND('calcA'!CW$117=1,XU31&gt;0),2000,0)-IF(AND($U31=1,'calcA'!CX$117=1,GW31=0),2000,0))),1000000000))</f>
        <v/>
      </c>
      <c r="SA31">
        <f>IF($B31=0,1000000000,IF(INDEX('calcA'!$D$60:$EQ$99,$B31,100)*IF($W31=1,GW31+ADL31,GW31)=1,IF(AND($E31=2,IF($W31=1,AJA31,ML31)=0),1000000000,IF($V31=1,INDEX('calcA'!$D$130:$EQ$169,$B31,100)+IF(AND($E31=1,ML31=0),25,0),IF($F31&gt;0,INDEX('calcA'!CY$110:CY$114,$F31+1)+IF(AND($E31=1,ML31=0),1000,0),MIN(TY31,20)*400+(IF('calcA'!CX$106=1,1-GV31,0)+IF('calcA'!CY$106=1,1-GX31,0))*150+45+'calcA'!CY$5*100000+IF(AND($E31=1,ML31=0),50000,0))+IF($H31=1,INDEX('calcA'!$D$180:$EQ$219,$B31,100)*4000,0)-IF(AND('calcA'!CX$117=1,XV31&gt;0),2000,0)-IF(AND($U31=1,'calcA'!CY$117=1,GX31=0),2000,0))),1000000000))</f>
        <v/>
      </c>
      <c r="SB31">
        <f>IF($B31=0,1000000000,IF(INDEX('calcA'!$D$60:$EQ$99,$B31,101)*IF($W31=1,GX31+ADM31,GX31)=1,IF(AND($E31=2,IF($W31=1,AJB31,MM31)=0),1000000000,IF($V31=1,INDEX('calcA'!$D$130:$EQ$169,$B31,101)+IF(AND($E31=1,MM31=0),25,0),IF($F31&gt;0,INDEX('calcA'!CZ$110:CZ$114,$F31+1)+IF(AND($E31=1,MM31=0),1000,0),MIN(TY31,20)*400+(IF('calcA'!CY$106=1,1-GW31,0)+IF('calcA'!CZ$106=1,1-GY31,0))*150+55+'calcA'!CZ$5*100000+IF(AND($E31=1,MM31=0),50000,0))+IF($H31=1,INDEX('calcA'!$D$180:$EQ$219,$B31,101)*4000,0)-IF(AND('calcA'!CY$117=1,XW31&gt;0),2000,0)-IF(AND($U31=1,'calcA'!CZ$117=1,GY31=0),2000,0))),1000000000))</f>
        <v/>
      </c>
      <c r="SC31">
        <f>IF($B31=0,1000000000,IF(INDEX('calcA'!$D$60:$EQ$99,$B31,102)*IF($W31=1,GY31+ADN31,GY31)=1,IF(AND($E31=2,IF($W31=1,AJC31,MN31)=0),1000000000,IF($V31=1,INDEX('calcA'!$D$130:$EQ$169,$B31,102)+IF(AND($E31=1,MN31=0),25,0),IF($F31&gt;0,INDEX('calcA'!DA$110:DA$114,$F31+1)+IF(AND($E31=1,MN31=0),1000,0),MIN(TY31,20)*400+(IF('calcA'!CZ$106=1,1-GX31,0)+IF('calcA'!DA$106=1,1-GZ31,0))*150+65+'calcA'!DA$5*100000+IF(AND($E31=1,MN31=0),50000,0))+IF($H31=1,INDEX('calcA'!$D$180:$EQ$219,$B31,102)*4000,0)-IF(AND('calcA'!CZ$117=1,XX31&gt;0),2000,0)-IF(AND($U31=1,'calcA'!DA$117=1,GZ31=0),2000,0))),1000000000))</f>
        <v/>
      </c>
      <c r="SD31">
        <f>IF($B31=0,1000000000,IF(INDEX('calcA'!$D$60:$EQ$99,$B31,103)*IF($W31=1,GZ31+ADO31,GZ31)=1,IF(AND($E31=2,IF($W31=1,AJD31,MO31)=0),1000000000,IF($V31=1,INDEX('calcA'!$D$130:$EQ$169,$B31,103)+IF(AND($E31=1,MO31=0),25,0),IF($F31&gt;0,INDEX('calcA'!DB$110:DB$114,$F31+1)+IF(AND($E31=1,MO31=0),1000,0),MIN(TY31,20)*400+(IF('calcA'!DA$106=1,1-GY31,0)+IF('calcA'!DB$106=1,1-HA31,0))*150+75+'calcA'!DB$5*100000+IF(AND($E31=1,MO31=0),50000,0))+IF($H31=1,INDEX('calcA'!$D$180:$EQ$219,$B31,103)*4000,0)-IF(AND('calcA'!DA$117=1,XY31&gt;0),2000,0)-IF(AND($U31=1,'calcA'!DB$117=1,HA31=0),2000,0))),1000000000))</f>
        <v/>
      </c>
      <c r="SE31">
        <f>IF($B31=0,1000000000,IF(INDEX('calcA'!$D$60:$EQ$99,$B31,104)*IF($W31=1,HA31+ADP31,HA31)=1,IF(AND($E31=2,IF($W31=1,AJE31,MP31)=0),1000000000,IF($V31=1,INDEX('calcA'!$D$130:$EQ$169,$B31,104)+IF(AND($E31=1,MP31=0),25,0),IF($F31&gt;0,INDEX('calcA'!DC$110:DC$114,$F31+1)+IF(AND($E31=1,MP31=0),1000,0),MIN(TY31,20)*400+(IF('calcA'!DB$106=1,1-GZ31,0)+IF('calcA'!DC$106=1,1-HB31,0))*150+85+'calcA'!DC$5*100000+IF(AND($E31=1,MP31=0),50000,0))+IF($H31=1,INDEX('calcA'!$D$180:$EQ$219,$B31,104)*4000,0)-IF(AND('calcA'!DB$117=1,XZ31&gt;0),2000,0)-IF(AND($U31=1,'calcA'!DC$117=1,HB31=0),2000,0))),1000000000))</f>
        <v/>
      </c>
      <c r="SF31">
        <f>IF($B31=0,1000000000,IF(INDEX('calcA'!$D$60:$EQ$99,$B31,105)*IF($W31=1,HB31+ADQ31,HB31)=1,IF(AND($E31=2,IF($W31=1,AJF31,MQ31)=0),1000000000,IF($V31=1,INDEX('calcA'!$D$130:$EQ$169,$B31,105)+IF(AND($E31=1,MQ31=0),25,0),IF($F31&gt;0,INDEX('calcA'!DD$110:DD$114,$F31+1)+IF(AND($E31=1,MQ31=0),1000,0),MIN(TY31,20)*400+(IF('calcA'!DC$106=1,1-HA31,0)+IF('calcA'!DD$106=1,1-HC31,0))*150+95+'calcA'!DD$5*100000+IF(AND($E31=1,MQ31=0),50000,0))+IF($H31=1,INDEX('calcA'!$D$180:$EQ$219,$B31,105)*4000,0)-IF(AND('calcA'!DC$117=1,YA31&gt;0),2000,0)-IF(AND($U31=1,'calcA'!DD$117=1,HC31=0),2000,0))),1000000000))</f>
        <v/>
      </c>
      <c r="SG31">
        <f>IF($B31=0,1000000000,IF(INDEX('calcA'!$D$60:$EQ$99,$B31,106)*IF($W31=1,HC31+ADR31,HC31)=1,IF(AND($E31=2,IF($W31=1,AJG31,MR31)=0),1000000000,IF($V31=1,INDEX('calcA'!$D$130:$EQ$169,$B31,106)+IF(AND($E31=1,MR31=0),25,0),IF($F31&gt;0,INDEX('calcA'!DE$110:DE$114,$F31+1)+IF(AND($E31=1,MR31=0),1000,0),MIN(TY31,20)*400+(IF('calcA'!DD$106=1,1-HB31,0)+IF('calcA'!DE$106=1,1-HD31,0))*150+105+'calcA'!DE$5*100000+IF(AND($E31=1,MR31=0),50000,0))+IF($H31=1,INDEX('calcA'!$D$180:$EQ$219,$B31,106)*4000,0)-IF(AND('calcA'!DD$117=1,YB31&gt;0),2000,0)-IF(AND($U31=1,'calcA'!DE$117=1,HD31=0),2000,0))),1000000000))</f>
        <v/>
      </c>
      <c r="SH31">
        <f>IF($B31=0,1000000000,IF(INDEX('calcA'!$D$60:$EQ$99,$B31,107)*IF($W31=1,HD31+ADS31,HD31)=1,IF(AND($E31=2,IF($W31=1,AJH31,MS31)=0),1000000000,IF($V31=1,INDEX('calcA'!$D$130:$EQ$169,$B31,107)+IF(AND($E31=1,MS31=0),25,0),IF($F31&gt;0,INDEX('calcA'!DF$110:DF$114,$F31+1)+IF(AND($E31=1,MS31=0),1000,0),MIN(TY31,20)*400+(IF('calcA'!DE$106=1,1-HC31,0)+IF('calcA'!DF$106=1,1-HE31,0))*150+115+'calcA'!DF$5*100000+IF(AND($E31=1,MS31=0),50000,0))+IF($H31=1,INDEX('calcA'!$D$180:$EQ$219,$B31,107)*4000,0)-IF(AND('calcA'!DE$117=1,YC31&gt;0),2000,0)-IF(AND($U31=1,'calcA'!DF$117=1,HE31=0),2000,0))),1000000000))</f>
        <v/>
      </c>
      <c r="SI31">
        <f>IF($B31=0,1000000000,IF(INDEX('calcA'!$D$60:$EQ$99,$B31,108)*IF($W31=1,HE31+ADT31,HE31)=1,IF(AND($E31=2,IF($W31=1,AJI31,MT31)=0),1000000000,IF($V31=1,INDEX('calcA'!$D$130:$EQ$169,$B31,108)+IF(AND($E31=1,MT31=0),25,0),IF($F31&gt;0,INDEX('calcA'!DG$110:DG$114,$F31+1)+IF(AND($E31=1,MT31=0),1000,0),MIN(TY31,20)*400+(IF('calcA'!DF$106=1,1-HD31,0)+IF('calcA'!DG$106=1,1-HF31,0))*150+125+'calcA'!DG$5*100000+IF(AND($E31=1,MT31=0),50000,0))+IF($H31=1,INDEX('calcA'!$D$180:$EQ$219,$B31,108)*4000,0)-IF(AND('calcA'!DF$117=1,YD31&gt;0),2000,0)-IF(AND($U31=1,'calcA'!DG$117=1,HF31=0),2000,0))),1000000000))</f>
        <v/>
      </c>
      <c r="SJ31">
        <f>IF($B31=0,1000000000,IF(INDEX('calcA'!$D$60:$EQ$99,$B31,109)*IF($W31=1,HF31+ADU31,HF31)=1,IF(AND($E31=2,IF($W31=1,AJJ31,MU31)=0),1000000000,IF($V31=1,INDEX('calcA'!$D$130:$EQ$169,$B31,109)+IF(AND($E31=1,MU31=0),25,0),IF($F31&gt;0,INDEX('calcA'!DH$110:DH$114,$F31+1)+IF(AND($E31=1,MU31=0),1000,0),MIN(TY31,20)*400+(IF('calcA'!DG$106=1,1-HE31,0)+IF('calcA'!DH$106=1,1-HG31,0))*150+135+'calcA'!DH$5*100000+IF(AND($E31=1,MU31=0),50000,0))+IF($H31=1,INDEX('calcA'!$D$180:$EQ$219,$B31,109)*4000,0)-IF(AND('calcA'!DG$117=1,YE31&gt;0),2000,0)-IF(AND($U31=1,'calcA'!DH$117=1,HG31=0),2000,0))),1000000000))</f>
        <v/>
      </c>
      <c r="SK31">
        <f>IF($B31=0,1000000000,IF(INDEX('calcA'!$D$60:$EQ$99,$B31,110)*IF($W31=1,HG31+ADV31,HG31)=1,IF(AND($E31=2,IF($W31=1,AJK31,MV31)=0),1000000000,IF($V31=1,INDEX('calcA'!$D$130:$EQ$169,$B31,110)+IF(AND($E31=1,MV31=0),25,0),IF($F31&gt;0,INDEX('calcA'!DI$110:DI$114,$F31+1)+IF(AND($E31=1,MV31=0),1000,0),MIN(TY31,20)*400+(IF('calcA'!DH$106=1,1-HF31,0)+IF('calcA'!DI$106=1,1-HH31,0))*150+145+'calcA'!DI$5*100000+IF(AND($E31=1,MV31=0),50000,0))+IF($H31=1,INDEX('calcA'!$D$180:$EQ$219,$B31,110)*4000,0)-IF(AND('calcA'!DH$117=1,YF31&gt;0),2000,0)-IF(AND($U31=1,'calcA'!DI$117=1,HH31=0),2000,0))),1000000000))</f>
        <v/>
      </c>
      <c r="SL31">
        <f>IF($B31=0,1000000000,IF(INDEX('calcA'!$D$60:$EQ$99,$B31,111)*IF($W31=1,HH31+ADW31,HH31)=1,IF(AND($E31=2,IF($W31=1,AJL31,MW31)=0),1000000000,IF($V31=1,INDEX('calcA'!$D$130:$EQ$169,$B31,111)+IF(AND($E31=1,MW31=0),25,0),IF($F31&gt;0,INDEX('calcA'!DJ$110:DJ$114,$F31+1)+IF(AND($E31=1,MW31=0),1000,0),MIN(TY31,20)*400+(IF('calcA'!DI$106=1,1-HG31,0)+IF('calcA'!DJ$106=1,1-HI31,0))*150+155+'calcA'!DJ$5*100000+IF(AND($E31=1,MW31=0),50000,0))+IF($H31=1,INDEX('calcA'!$D$180:$EQ$219,$B31,111)*4000,0)-IF(AND('calcA'!DI$117=1,YG31&gt;0),2000,0)-IF(AND($U31=1,'calcA'!DJ$117=1,HI31=0),2000,0))),1000000000))</f>
        <v/>
      </c>
      <c r="SM31">
        <f>IF($B31=0,1000000000,IF(INDEX('calcA'!$D$60:$EQ$99,$B31,112)*IF($W31=1,HI31+ADX31,HI31)=1,IF(AND($E31=2,IF($W31=1,AJM31,MX31)=0),1000000000,IF($V31=1,INDEX('calcA'!$D$130:$EQ$169,$B31,112)+IF(AND($E31=1,MX31=0),25,0),IF($F31&gt;0,INDEX('calcA'!DK$110:DK$114,$F31+1)+IF(AND($E31=1,MX31=0),1000,0),MIN(TY31,20)*400+(IF('calcA'!DJ$106=1,1-HH31,0)+IF('calcA'!DK$106=1,1-HJ31,0))*150+165+'calcA'!DK$5*100000+IF(AND($E31=1,MX31=0),50000,0))+IF($H31=1,INDEX('calcA'!$D$180:$EQ$219,$B31,112)*4000,0)-IF(AND('calcA'!DJ$117=1,YH31&gt;0),2000,0)-IF(AND($U31=1,'calcA'!DK$117=1,HJ31=0),2000,0))),1000000000))</f>
        <v/>
      </c>
      <c r="SN31">
        <f>IF($B31=0,1000000000,IF(INDEX('calcA'!$D$60:$EQ$99,$B31,113)*IF($W31=1,HJ31+ADY31,HJ31)=1,IF(AND($E31=2,IF($W31=1,AJN31,MY31)=0),1000000000,IF($V31=1,INDEX('calcA'!$D$130:$EQ$169,$B31,113)+IF(AND($E31=1,MY31=0),25,0),IF($F31&gt;0,INDEX('calcA'!DL$110:DL$114,$F31+1)+IF(AND($E31=1,MY31=0),1000,0),MIN(TY31,20)*400+(IF('calcA'!DK$106=1,1-HI31,0)+IF('calcA'!DL$106=1,1-HK31,0))*150+175+'calcA'!DL$5*100000+IF(AND($E31=1,MY31=0),50000,0))+IF($H31=1,INDEX('calcA'!$D$180:$EQ$219,$B31,113)*4000,0)-IF(AND('calcA'!DK$117=1,YI31&gt;0),2000,0)-IF(AND($U31=1,'calcA'!DL$117=1,HK31=0),2000,0))),1000000000))</f>
        <v/>
      </c>
      <c r="SO31">
        <f>IF($B31=0,1000000000,IF(INDEX('calcA'!$D$60:$EQ$99,$B31,114)*IF($W31=1,HK31+ADZ31,HK31)=1,IF(AND($E31=2,IF($W31=1,AJO31,MZ31)=0),1000000000,IF($V31=1,INDEX('calcA'!$D$130:$EQ$169,$B31,114)+IF(AND($E31=1,MZ31=0),25,0),IF($F31&gt;0,INDEX('calcA'!DM$110:DM$114,$F31+1)+IF(AND($E31=1,MZ31=0),1000,0),MIN(TY31,20)*400+(IF('calcA'!DL$106=1,1-HJ31,0)+IF('calcA'!DM$106=1,1-HL31,0))*150+185+'calcA'!DM$5*100000+IF(AND($E31=1,MZ31=0),50000,0))+IF($H31=1,INDEX('calcA'!$D$180:$EQ$219,$B31,114)*4000,0)-IF(AND('calcA'!DL$117=1,YJ31&gt;0),2000,0)-IF(AND($U31=1,'calcA'!DM$117=1,HL31=0),2000,0))),1000000000))</f>
        <v/>
      </c>
      <c r="SP31">
        <f>IF($B31=0,1000000000,IF(INDEX('calcA'!$D$60:$EQ$99,$B31,115)*IF($W31=1,HL31+AEA31,HL31)=1,IF(AND($E31=2,IF($W31=1,AJP31,NA31)=0),1000000000,IF($V31=1,INDEX('calcA'!$D$130:$EQ$169,$B31,115)+IF(AND($E31=1,NA31=0),25,0),IF($F31&gt;0,INDEX('calcA'!DN$110:DN$114,$F31+1)+IF(AND($E31=1,NA31=0),1000,0),MIN(TY31,20)*400+(IF('calcA'!DM$106=1,1-HK31,0)+IF('calcA'!DN$106=1,1-HM31,0))*150+195+'calcA'!DN$5*100000+IF(AND($E31=1,NA31=0),50000,0))+IF($H31=1,INDEX('calcA'!$D$180:$EQ$219,$B31,115)*4000,0)-IF(AND('calcA'!DM$117=1,YK31&gt;0),2000,0)-IF(AND($U31=1,'calcA'!DN$117=1,HM31=0),2000,0))),1000000000))</f>
        <v/>
      </c>
      <c r="SQ31">
        <f>IF($B31=0,1000000000,IF(INDEX('calcA'!$D$60:$EQ$99,$B31,116)*IF($W31=1,HM31+AEB31,HM31)=1,IF(AND($E31=2,IF($W31=1,AJQ31,NB31)=0),1000000000,IF($V31=1,INDEX('calcA'!$D$130:$EQ$169,$B31,116)+IF(AND($E31=1,NB31=0),25,0),IF($F31&gt;0,INDEX('calcA'!DO$110:DO$114,$F31+1)+IF(AND($E31=1,NB31=0),1000,0),MIN(TY31,20)*400+(IF('calcA'!DN$106=1,1-HL31,0)+IF('calcA'!DO$106=1,1-HN31,0))*150+205+'calcA'!DO$5*100000+IF(AND($E31=1,NB31=0),50000,0))+IF($H31=1,INDEX('calcA'!$D$180:$EQ$219,$B31,116)*4000,0)-IF(AND('calcA'!DN$117=1,YL31&gt;0),2000,0)-IF(AND($U31=1,'calcA'!DO$117=1,HN31=0),2000,0))),1000000000))</f>
        <v/>
      </c>
      <c r="SR31">
        <f>IF($B31=0,1000000000,IF(INDEX('calcA'!$D$60:$EQ$99,$B31,117)*IF($W31=1,HN31+AEC31,HN31)=1,IF(AND($E31=2,IF($W31=1,AJR31,NC31)=0),1000000000,IF($V31=1,INDEX('calcA'!$D$130:$EQ$169,$B31,117)+IF(AND($E31=1,NC31=0),25,0),IF($F31&gt;0,INDEX('calcA'!DP$110:DP$114,$F31+1)+IF(AND($E31=1,NC31=0),1000,0),MIN(TY31,20)*400+(IF('calcA'!DO$106=1,1-HM31,0)+IF('calcA'!DP$106=1,1-HO31,0))*150+215+'calcA'!DP$5*100000+IF(AND($E31=1,NC31=0),50000,0))+IF($H31=1,INDEX('calcA'!$D$180:$EQ$219,$B31,117)*4000,0)-IF(AND('calcA'!DO$117=1,YM31&gt;0),2000,0)-IF(AND($U31=1,'calcA'!DP$117=1,HO31=0),2000,0))),1000000000))</f>
        <v/>
      </c>
      <c r="SS31">
        <f>IF($B31=0,1000000000,IF(INDEX('calcA'!$D$60:$EQ$99,$B31,118)*IF($W31=1,HO31+AED31,HO31)=1,IF(AND($E31=2,IF($W31=1,AJS31,ND31)=0),1000000000,IF($V31=1,INDEX('calcA'!$D$130:$EQ$169,$B31,118)+IF(AND($E31=1,ND31=0),25,0),IF($F31&gt;0,INDEX('calcA'!DQ$110:DQ$114,$F31+1)+IF(AND($E31=1,ND31=0),1000,0),MIN(TY31,20)*400+(IF('calcA'!DP$106=1,1-HN31,0)+IF('calcA'!DQ$106=1,1-HP31,0))*150+225+'calcA'!DQ$5*100000+IF(AND($E31=1,ND31=0),50000,0))+IF($H31=1,INDEX('calcA'!$D$180:$EQ$219,$B31,118)*4000,0)-IF(AND('calcA'!DP$117=1,YN31&gt;0),2000,0)-IF(AND($U31=1,'calcA'!DQ$117=1,HP31=0),2000,0))),1000000000))</f>
        <v/>
      </c>
      <c r="ST31">
        <f>IF($B31=0,1000000000,IF(INDEX('calcA'!$D$60:$EQ$99,$B31,119)*IF($W31=1,HP31+AEE31,HP31)=1,IF(AND($E31=2,IF($W31=1,AJT31,NE31)=0),1000000000,IF($V31=1,INDEX('calcA'!$D$130:$EQ$169,$B31,119)+IF(AND($E31=1,NE31=0),25,0),IF($F31&gt;0,INDEX('calcA'!DR$110:DR$114,$F31+1)+IF(AND($E31=1,NE31=0),1000,0),MIN(TY31,20)*400+(IF('calcA'!DQ$106=1,1-HO31,0)+IF('calcA'!DR$106=1,1-HQ31,0))*150+235+'calcA'!DR$5*100000+IF(AND($E31=1,NE31=0),50000,0))+IF($H31=1,INDEX('calcA'!$D$180:$EQ$219,$B31,119)*4000,0)-IF(AND('calcA'!DQ$117=1,YO31&gt;0),2000,0)-IF(AND($U31=1,'calcA'!DR$117=1,HQ31=0),2000,0))),1000000000))</f>
        <v/>
      </c>
      <c r="SU31">
        <f>IF($B31=0,1000000000,IF(INDEX('calcA'!$D$60:$EQ$99,$B31,120)*IF($W31=1,HQ31+AEF31,HQ31)=1,IF(AND($E31=2,IF($W31=1,AJU31,NF31)=0),1000000000,IF($V31=1,INDEX('calcA'!$D$130:$EQ$169,$B31,120)+IF(AND($E31=1,NF31=0),25,0),IF($F31&gt;0,INDEX('calcA'!DS$110:DS$114,$F31+1)+IF(AND($E31=1,NF31=0),1000,0),MIN(TY31,20)*400+(IF('calcA'!DR$106=1,1-HP31,0))*150+245+'calcA'!DS$5*100000+IF(AND($E31=1,NF31=0),50000,0))+IF($H31=1,INDEX('calcA'!$D$180:$EQ$219,$B31,120)*4000,0)-IF(AND('calcA'!DR$117=1,YP31&gt;0),2000,0))),1000000000))</f>
        <v/>
      </c>
      <c r="SV31">
        <f>IF($B31=0,1000000000,IF(INDEX('calcA'!$D$60:$EQ$99,$B31,121)*IF($W31=1,HR31+AEG31,HR31)=1,IF(AND($E31=2,IF($W31=1,AJV31,NG31)=0),1000000000,IF($V31=1,INDEX('calcA'!$D$130:$EQ$169,$B31,121)+IF(AND($E31=1,NG31=0),25,0),IF($F31&gt;0,INDEX('calcA'!DT$110:DT$114,$F31+1)+IF(AND($E31=1,NG31=0),1000,0),MIN(TZ31,20)*400+(IF('calcA'!DT$106=1,1-HS31,0))*150+16+'calcA'!DT$5*100000+IF(AND($E31=1,NG31=0),50000,0))+IF($H31=1,INDEX('calcA'!$D$180:$EQ$219,$B31,121)*4000,0)-IF(AND($U31=1,'calcA'!DT$117=1,HS31=0),2000,0))),1000000000))</f>
        <v/>
      </c>
      <c r="SW31">
        <f>IF($B31=0,1000000000,IF(INDEX('calcA'!$D$60:$EQ$99,$B31,122)*IF($W31=1,HS31+AEH31,HS31)=1,IF(AND($E31=2,IF($W31=1,AJW31,NH31)=0),1000000000,IF($V31=1,INDEX('calcA'!$D$130:$EQ$169,$B31,122)+IF(AND($E31=1,NH31=0),25,0),IF($F31&gt;0,INDEX('calcA'!DU$110:DU$114,$F31+1)+IF(AND($E31=1,NH31=0),1000,0),MIN(TZ31,20)*400+(IF('calcA'!DT$106=1,1-HR31,0)+IF('calcA'!DU$106=1,1-HT31,0))*150+26+'calcA'!DU$5*100000+IF(AND($E31=1,NH31=0),50000,0))+IF($H31=1,INDEX('calcA'!$D$180:$EQ$219,$B31,122)*4000,0)-IF(AND('calcA'!DT$117=1,YR31&gt;0),2000,0)-IF(AND($U31=1,'calcA'!DU$117=1,HT31=0),2000,0))),1000000000))</f>
        <v/>
      </c>
      <c r="SX31">
        <f>IF($B31=0,1000000000,IF(INDEX('calcA'!$D$60:$EQ$99,$B31,123)*IF($W31=1,HT31+AEI31,HT31)=1,IF(AND($E31=2,IF($W31=1,AJX31,NI31)=0),1000000000,IF($V31=1,INDEX('calcA'!$D$130:$EQ$169,$B31,123)+IF(AND($E31=1,NI31=0),25,0),IF($F31&gt;0,INDEX('calcA'!DV$110:DV$114,$F31+1)+IF(AND($E31=1,NI31=0),1000,0),MIN(TZ31,20)*400+(IF('calcA'!DU$106=1,1-HS31,0)+IF('calcA'!DV$106=1,1-HU31,0))*150+36+'calcA'!DV$5*100000+IF(AND($E31=1,NI31=0),50000,0))+IF($H31=1,INDEX('calcA'!$D$180:$EQ$219,$B31,123)*4000,0)-IF(AND('calcA'!DU$117=1,YS31&gt;0),2000,0)-IF(AND($U31=1,'calcA'!DV$117=1,HU31=0),2000,0))),1000000000))</f>
        <v/>
      </c>
      <c r="SY31">
        <f>IF($B31=0,1000000000,IF(INDEX('calcA'!$D$60:$EQ$99,$B31,124)*IF($W31=1,HU31+AEJ31,HU31)=1,IF(AND($E31=2,IF($W31=1,AJY31,NJ31)=0),1000000000,IF($V31=1,INDEX('calcA'!$D$130:$EQ$169,$B31,124)+IF(AND($E31=1,NJ31=0),25,0),IF($F31&gt;0,INDEX('calcA'!DW$110:DW$114,$F31+1)+IF(AND($E31=1,NJ31=0),1000,0),MIN(TZ31,20)*400+(IF('calcA'!DV$106=1,1-HT31,0)+IF('calcA'!DW$106=1,1-HV31,0))*150+46+'calcA'!DW$5*100000+IF(AND($E31=1,NJ31=0),50000,0))+IF($H31=1,INDEX('calcA'!$D$180:$EQ$219,$B31,124)*4000,0)-IF(AND('calcA'!DV$117=1,YT31&gt;0),2000,0)-IF(AND($U31=1,'calcA'!DW$117=1,HV31=0),2000,0))),1000000000))</f>
        <v/>
      </c>
      <c r="SZ31">
        <f>IF($B31=0,1000000000,IF(INDEX('calcA'!$D$60:$EQ$99,$B31,125)*IF($W31=1,HV31+AEK31,HV31)=1,IF(AND($E31=2,IF($W31=1,AJZ31,NK31)=0),1000000000,IF($V31=1,INDEX('calcA'!$D$130:$EQ$169,$B31,125)+IF(AND($E31=1,NK31=0),25,0),IF($F31&gt;0,INDEX('calcA'!DX$110:DX$114,$F31+1)+IF(AND($E31=1,NK31=0),1000,0),MIN(TZ31,20)*400+(IF('calcA'!DW$106=1,1-HU31,0)+IF('calcA'!DX$106=1,1-HW31,0))*150+56+'calcA'!DX$5*100000+IF(AND($E31=1,NK31=0),50000,0))+IF($H31=1,INDEX('calcA'!$D$180:$EQ$219,$B31,125)*4000,0)-IF(AND('calcA'!DW$117=1,YU31&gt;0),2000,0)-IF(AND($U31=1,'calcA'!DX$117=1,HW31=0),2000,0))),1000000000))</f>
        <v/>
      </c>
      <c r="TA31">
        <f>IF($B31=0,1000000000,IF(INDEX('calcA'!$D$60:$EQ$99,$B31,126)*IF($W31=1,HW31+AEL31,HW31)=1,IF(AND($E31=2,IF($W31=1,AKA31,NL31)=0),1000000000,IF($V31=1,INDEX('calcA'!$D$130:$EQ$169,$B31,126)+IF(AND($E31=1,NL31=0),25,0),IF($F31&gt;0,INDEX('calcA'!DY$110:DY$114,$F31+1)+IF(AND($E31=1,NL31=0),1000,0),MIN(TZ31,20)*400+(IF('calcA'!DX$106=1,1-HV31,0)+IF('calcA'!DY$106=1,1-HX31,0))*150+66+'calcA'!DY$5*100000+IF(AND($E31=1,NL31=0),50000,0))+IF($H31=1,INDEX('calcA'!$D$180:$EQ$219,$B31,126)*4000,0)-IF(AND('calcA'!DX$117=1,YV31&gt;0),2000,0)-IF(AND($U31=1,'calcA'!DY$117=1,HX31=0),2000,0))),1000000000))</f>
        <v/>
      </c>
      <c r="TB31">
        <f>IF($B31=0,1000000000,IF(INDEX('calcA'!$D$60:$EQ$99,$B31,127)*IF($W31=1,HX31+AEM31,HX31)=1,IF(AND($E31=2,IF($W31=1,AKB31,NM31)=0),1000000000,IF($V31=1,INDEX('calcA'!$D$130:$EQ$169,$B31,127)+IF(AND($E31=1,NM31=0),25,0),IF($F31&gt;0,INDEX('calcA'!DZ$110:DZ$114,$F31+1)+IF(AND($E31=1,NM31=0),1000,0),MIN(TZ31,20)*400+(IF('calcA'!DY$106=1,1-HW31,0)+IF('calcA'!DZ$106=1,1-HY31,0))*150+76+'calcA'!DZ$5*100000+IF(AND($E31=1,NM31=0),50000,0))+IF($H31=1,INDEX('calcA'!$D$180:$EQ$219,$B31,127)*4000,0)-IF(AND('calcA'!DY$117=1,YW31&gt;0),2000,0)-IF(AND($U31=1,'calcA'!DZ$117=1,HY31=0),2000,0))),1000000000))</f>
        <v/>
      </c>
      <c r="TC31">
        <f>IF($B31=0,1000000000,IF(INDEX('calcA'!$D$60:$EQ$99,$B31,128)*IF($W31=1,HY31+AEN31,HY31)=1,IF(AND($E31=2,IF($W31=1,AKC31,NN31)=0),1000000000,IF($V31=1,INDEX('calcA'!$D$130:$EQ$169,$B31,128)+IF(AND($E31=1,NN31=0),25,0),IF($F31&gt;0,INDEX('calcA'!EA$110:EA$114,$F31+1)+IF(AND($E31=1,NN31=0),1000,0),MIN(TZ31,20)*400+(IF('calcA'!DZ$106=1,1-HX31,0)+IF('calcA'!EA$106=1,1-HZ31,0))*150+86+'calcA'!EA$5*100000+IF(AND($E31=1,NN31=0),50000,0))+IF($H31=1,INDEX('calcA'!$D$180:$EQ$219,$B31,128)*4000,0)-IF(AND('calcA'!DZ$117=1,YX31&gt;0),2000,0)-IF(AND($U31=1,'calcA'!EA$117=1,HZ31=0),2000,0))),1000000000))</f>
        <v/>
      </c>
      <c r="TD31">
        <f>IF($B31=0,1000000000,IF(INDEX('calcA'!$D$60:$EQ$99,$B31,129)*IF($W31=1,HZ31+AEO31,HZ31)=1,IF(AND($E31=2,IF($W31=1,AKD31,NO31)=0),1000000000,IF($V31=1,INDEX('calcA'!$D$130:$EQ$169,$B31,129)+IF(AND($E31=1,NO31=0),25,0),IF($F31&gt;0,INDEX('calcA'!EB$110:EB$114,$F31+1)+IF(AND($E31=1,NO31=0),1000,0),MIN(TZ31,20)*400+(IF('calcA'!EA$106=1,1-HY31,0)+IF('calcA'!EB$106=1,1-IA31,0))*150+96+'calcA'!EB$5*100000+IF(AND($E31=1,NO31=0),50000,0))+IF($H31=1,INDEX('calcA'!$D$180:$EQ$219,$B31,129)*4000,0)-IF(AND('calcA'!EA$117=1,YY31&gt;0),2000,0)-IF(AND($U31=1,'calcA'!EB$117=1,IA31=0),2000,0))),1000000000))</f>
        <v/>
      </c>
      <c r="TE31">
        <f>IF($B31=0,1000000000,IF(INDEX('calcA'!$D$60:$EQ$99,$B31,130)*IF($W31=1,IA31+AEP31,IA31)=1,IF(AND($E31=2,IF($W31=1,AKE31,NP31)=0),1000000000,IF($V31=1,INDEX('calcA'!$D$130:$EQ$169,$B31,130)+IF(AND($E31=1,NP31=0),25,0),IF($F31&gt;0,INDEX('calcA'!EC$110:EC$114,$F31+1)+IF(AND($E31=1,NP31=0),1000,0),MIN(TZ31,20)*400+(IF('calcA'!EB$106=1,1-HZ31,0)+IF('calcA'!EC$106=1,1-IB31,0))*150+106+'calcA'!EC$5*100000+IF(AND($E31=1,NP31=0),50000,0))+IF($H31=1,INDEX('calcA'!$D$180:$EQ$219,$B31,130)*4000,0)-IF(AND('calcA'!EB$117=1,YZ31&gt;0),2000,0)-IF(AND($U31=1,'calcA'!EC$117=1,IB31=0),2000,0))),1000000000))</f>
        <v/>
      </c>
      <c r="TF31">
        <f>IF($B31=0,1000000000,IF(INDEX('calcA'!$D$60:$EQ$99,$B31,131)*IF($W31=1,IB31+AEQ31,IB31)=1,IF(AND($E31=2,IF($W31=1,AKF31,NQ31)=0),1000000000,IF($V31=1,INDEX('calcA'!$D$130:$EQ$169,$B31,131)+IF(AND($E31=1,NQ31=0),25,0),IF($F31&gt;0,INDEX('calcA'!ED$110:ED$114,$F31+1)+IF(AND($E31=1,NQ31=0),1000,0),MIN(TZ31,20)*400+(IF('calcA'!EC$106=1,1-IA31,0)+IF('calcA'!ED$106=1,1-IC31,0))*150+116+'calcA'!ED$5*100000+IF(AND($E31=1,NQ31=0),50000,0))+IF($H31=1,INDEX('calcA'!$D$180:$EQ$219,$B31,131)*4000,0)-IF(AND('calcA'!EC$117=1,ZA31&gt;0),2000,0)-IF(AND($U31=1,'calcA'!ED$117=1,IC31=0),2000,0))),1000000000))</f>
        <v/>
      </c>
      <c r="TG31">
        <f>IF($B31=0,1000000000,IF(INDEX('calcA'!$D$60:$EQ$99,$B31,132)*IF($W31=1,IC31+AER31,IC31)=1,IF(AND($E31=2,IF($W31=1,AKG31,NR31)=0),1000000000,IF($V31=1,INDEX('calcA'!$D$130:$EQ$169,$B31,132)+IF(AND($E31=1,NR31=0),25,0),IF($F31&gt;0,INDEX('calcA'!EE$110:EE$114,$F31+1)+IF(AND($E31=1,NR31=0),1000,0),MIN(TZ31,20)*400+(IF('calcA'!ED$106=1,1-IB31,0)+IF('calcA'!EE$106=1,1-ID31,0))*150+126+'calcA'!EE$5*100000+IF(AND($E31=1,NR31=0),50000,0))+IF($H31=1,INDEX('calcA'!$D$180:$EQ$219,$B31,132)*4000,0)-IF(AND('calcA'!ED$117=1,ZB31&gt;0),2000,0)-IF(AND($U31=1,'calcA'!EE$117=1,ID31=0),2000,0))),1000000000))</f>
        <v/>
      </c>
      <c r="TH31">
        <f>IF($B31=0,1000000000,IF(INDEX('calcA'!$D$60:$EQ$99,$B31,133)*IF($W31=1,ID31+AES31,ID31)=1,IF(AND($E31=2,IF($W31=1,AKH31,NS31)=0),1000000000,IF($V31=1,INDEX('calcA'!$D$130:$EQ$169,$B31,133)+IF(AND($E31=1,NS31=0),25,0),IF($F31&gt;0,INDEX('calcA'!EF$110:EF$114,$F31+1)+IF(AND($E31=1,NS31=0),1000,0),MIN(TZ31,20)*400+(IF('calcA'!EE$106=1,1-IC31,0)+IF('calcA'!EF$106=1,1-IE31,0))*150+136+'calcA'!EF$5*100000+IF(AND($E31=1,NS31=0),50000,0))+IF($H31=1,INDEX('calcA'!$D$180:$EQ$219,$B31,133)*4000,0)-IF(AND('calcA'!EE$117=1,ZC31&gt;0),2000,0)-IF(AND($U31=1,'calcA'!EF$117=1,IE31=0),2000,0))),1000000000))</f>
        <v/>
      </c>
      <c r="TI31">
        <f>IF($B31=0,1000000000,IF(INDEX('calcA'!$D$60:$EQ$99,$B31,134)*IF($W31=1,IE31+AET31,IE31)=1,IF(AND($E31=2,IF($W31=1,AKI31,NT31)=0),1000000000,IF($V31=1,INDEX('calcA'!$D$130:$EQ$169,$B31,134)+IF(AND($E31=1,NT31=0),25,0),IF($F31&gt;0,INDEX('calcA'!EG$110:EG$114,$F31+1)+IF(AND($E31=1,NT31=0),1000,0),MIN(TZ31,20)*400+(IF('calcA'!EF$106=1,1-ID31,0)+IF('calcA'!EG$106=1,1-IF31,0))*150+146+'calcA'!EG$5*100000+IF(AND($E31=1,NT31=0),50000,0))+IF($H31=1,INDEX('calcA'!$D$180:$EQ$219,$B31,134)*4000,0)-IF(AND('calcA'!EF$117=1,ZD31&gt;0),2000,0)-IF(AND($U31=1,'calcA'!EG$117=1,IF31=0),2000,0))),1000000000))</f>
        <v/>
      </c>
      <c r="TJ31">
        <f>IF($B31=0,1000000000,IF(INDEX('calcA'!$D$60:$EQ$99,$B31,135)*IF($W31=1,IF31+AEU31,IF31)=1,IF(AND($E31=2,IF($W31=1,AKJ31,NU31)=0),1000000000,IF($V31=1,INDEX('calcA'!$D$130:$EQ$169,$B31,135)+IF(AND($E31=1,NU31=0),25,0),IF($F31&gt;0,INDEX('calcA'!EH$110:EH$114,$F31+1)+IF(AND($E31=1,NU31=0),1000,0),MIN(TZ31,20)*400+(IF('calcA'!EG$106=1,1-IE31,0)+IF('calcA'!EH$106=1,1-IG31,0))*150+156+'calcA'!EH$5*100000+IF(AND($E31=1,NU31=0),50000,0))+IF($H31=1,INDEX('calcA'!$D$180:$EQ$219,$B31,135)*4000,0)-IF(AND('calcA'!EG$117=1,ZE31&gt;0),2000,0)-IF(AND($U31=1,'calcA'!EH$117=1,IG31=0),2000,0))),1000000000))</f>
        <v/>
      </c>
      <c r="TK31">
        <f>IF($B31=0,1000000000,IF(INDEX('calcA'!$D$60:$EQ$99,$B31,136)*IF($W31=1,IG31+AEV31,IG31)=1,IF(AND($E31=2,IF($W31=1,AKK31,NV31)=0),1000000000,IF($V31=1,INDEX('calcA'!$D$130:$EQ$169,$B31,136)+IF(AND($E31=1,NV31=0),25,0),IF($F31&gt;0,INDEX('calcA'!EI$110:EI$114,$F31+1)+IF(AND($E31=1,NV31=0),1000,0),MIN(TZ31,20)*400+(IF('calcA'!EH$106=1,1-IF31,0)+IF('calcA'!EI$106=1,1-IH31,0))*150+166+'calcA'!EI$5*100000+IF(AND($E31=1,NV31=0),50000,0))+IF($H31=1,INDEX('calcA'!$D$180:$EQ$219,$B31,136)*4000,0)-IF(AND('calcA'!EH$117=1,ZF31&gt;0),2000,0)-IF(AND($U31=1,'calcA'!EI$117=1,IH31=0),2000,0))),1000000000))</f>
        <v/>
      </c>
      <c r="TL31">
        <f>IF($B31=0,1000000000,IF(INDEX('calcA'!$D$60:$EQ$99,$B31,137)*IF($W31=1,IH31+AEW31,IH31)=1,IF(AND($E31=2,IF($W31=1,AKL31,NW31)=0),1000000000,IF($V31=1,INDEX('calcA'!$D$130:$EQ$169,$B31,137)+IF(AND($E31=1,NW31=0),25,0),IF($F31&gt;0,INDEX('calcA'!EJ$110:EJ$114,$F31+1)+IF(AND($E31=1,NW31=0),1000,0),MIN(TZ31,20)*400+(IF('calcA'!EI$106=1,1-IG31,0)+IF('calcA'!EJ$106=1,1-II31,0))*150+176+'calcA'!EJ$5*100000+IF(AND($E31=1,NW31=0),50000,0))+IF($H31=1,INDEX('calcA'!$D$180:$EQ$219,$B31,137)*4000,0)-IF(AND('calcA'!EI$117=1,ZG31&gt;0),2000,0)-IF(AND($U31=1,'calcA'!EJ$117=1,II31=0),2000,0))),1000000000))</f>
        <v/>
      </c>
      <c r="TM31">
        <f>IF($B31=0,1000000000,IF(INDEX('calcA'!$D$60:$EQ$99,$B31,138)*IF($W31=1,II31+AEX31,II31)=1,IF(AND($E31=2,IF($W31=1,AKM31,NX31)=0),1000000000,IF($V31=1,INDEX('calcA'!$D$130:$EQ$169,$B31,138)+IF(AND($E31=1,NX31=0),25,0),IF($F31&gt;0,INDEX('calcA'!EK$110:EK$114,$F31+1)+IF(AND($E31=1,NX31=0),1000,0),MIN(TZ31,20)*400+(IF('calcA'!EJ$106=1,1-IH31,0)+IF('calcA'!EK$106=1,1-IJ31,0))*150+186+'calcA'!EK$5*100000+IF(AND($E31=1,NX31=0),50000,0))+IF($H31=1,INDEX('calcA'!$D$180:$EQ$219,$B31,138)*4000,0)-IF(AND('calcA'!EJ$117=1,ZH31&gt;0),2000,0)-IF(AND($U31=1,'calcA'!EK$117=1,IJ31=0),2000,0))),1000000000))</f>
        <v/>
      </c>
      <c r="TN31">
        <f>IF($B31=0,1000000000,IF(INDEX('calcA'!$D$60:$EQ$99,$B31,139)*IF($W31=1,IJ31+AEY31,IJ31)=1,IF(AND($E31=2,IF($W31=1,AKN31,NY31)=0),1000000000,IF($V31=1,INDEX('calcA'!$D$130:$EQ$169,$B31,139)+IF(AND($E31=1,NY31=0),25,0),IF($F31&gt;0,INDEX('calcA'!EL$110:EL$114,$F31+1)+IF(AND($E31=1,NY31=0),1000,0),MIN(TZ31,20)*400+(IF('calcA'!EK$106=1,1-II31,0)+IF('calcA'!EL$106=1,1-IK31,0))*150+196+'calcA'!EL$5*100000+IF(AND($E31=1,NY31=0),50000,0))+IF($H31=1,INDEX('calcA'!$D$180:$EQ$219,$B31,139)*4000,0)-IF(AND('calcA'!EK$117=1,ZI31&gt;0),2000,0)-IF(AND($U31=1,'calcA'!EL$117=1,IK31=0),2000,0))),1000000000))</f>
        <v/>
      </c>
      <c r="TO31">
        <f>IF($B31=0,1000000000,IF(INDEX('calcA'!$D$60:$EQ$99,$B31,140)*IF($W31=1,IK31+AEZ31,IK31)=1,IF(AND($E31=2,IF($W31=1,AKO31,NZ31)=0),1000000000,IF($V31=1,INDEX('calcA'!$D$130:$EQ$169,$B31,140)+IF(AND($E31=1,NZ31=0),25,0),IF($F31&gt;0,INDEX('calcA'!EM$110:EM$114,$F31+1)+IF(AND($E31=1,NZ31=0),1000,0),MIN(TZ31,20)*400+(IF('calcA'!EL$106=1,1-IJ31,0)+IF('calcA'!EM$106=1,1-IL31,0))*150+206+'calcA'!EM$5*100000+IF(AND($E31=1,NZ31=0),50000,0))+IF($H31=1,INDEX('calcA'!$D$180:$EQ$219,$B31,140)*4000,0)-IF(AND('calcA'!EL$117=1,ZJ31&gt;0),2000,0)-IF(AND($U31=1,'calcA'!EM$117=1,IL31=0),2000,0))),1000000000))</f>
        <v/>
      </c>
      <c r="TP31">
        <f>IF($B31=0,1000000000,IF(INDEX('calcA'!$D$60:$EQ$99,$B31,141)*IF($W31=1,IL31+AFA31,IL31)=1,IF(AND($E31=2,IF($W31=1,AKP31,OA31)=0),1000000000,IF($V31=1,INDEX('calcA'!$D$130:$EQ$169,$B31,141)+IF(AND($E31=1,OA31=0),25,0),IF($F31&gt;0,INDEX('calcA'!EN$110:EN$114,$F31+1)+IF(AND($E31=1,OA31=0),1000,0),MIN(TZ31,20)*400+(IF('calcA'!EM$106=1,1-IK31,0)+IF('calcA'!EN$106=1,1-IM31,0))*150+216+'calcA'!EN$5*100000+IF(AND($E31=1,OA31=0),50000,0))+IF($H31=1,INDEX('calcA'!$D$180:$EQ$219,$B31,141)*4000,0)-IF(AND('calcA'!EM$117=1,ZK31&gt;0),2000,0)-IF(AND($U31=1,'calcA'!EN$117=1,IM31=0),2000,0))),1000000000))</f>
        <v/>
      </c>
      <c r="TQ31">
        <f>IF($B31=0,1000000000,IF(INDEX('calcA'!$D$60:$EQ$99,$B31,142)*IF($W31=1,IM31+AFB31,IM31)=1,IF(AND($E31=2,IF($W31=1,AKQ31,OB31)=0),1000000000,IF($V31=1,INDEX('calcA'!$D$130:$EQ$169,$B31,142)+IF(AND($E31=1,OB31=0),25,0),IF($F31&gt;0,INDEX('calcA'!EO$110:EO$114,$F31+1)+IF(AND($E31=1,OB31=0),1000,0),MIN(TZ31,20)*400+(IF('calcA'!EN$106=1,1-IL31,0)+IF('calcA'!EO$106=1,1-IN31,0))*150+226+'calcA'!EO$5*100000+IF(AND($E31=1,OB31=0),50000,0))+IF($H31=1,INDEX('calcA'!$D$180:$EQ$219,$B31,142)*4000,0)-IF(AND('calcA'!EN$117=1,ZL31&gt;0),2000,0)-IF(AND($U31=1,'calcA'!EO$117=1,IN31=0),2000,0))),1000000000))</f>
        <v/>
      </c>
      <c r="TR31">
        <f>IF($B31=0,1000000000,IF(INDEX('calcA'!$D$60:$EQ$99,$B31,143)*IF($W31=1,IN31+AFC31,IN31)=1,IF(AND($E31=2,IF($W31=1,AKR31,OC31)=0),1000000000,IF($V31=1,INDEX('calcA'!$D$130:$EQ$169,$B31,143)+IF(AND($E31=1,OC31=0),25,0),IF($F31&gt;0,INDEX('calcA'!EP$110:EP$114,$F31+1)+IF(AND($E31=1,OC31=0),1000,0),MIN(TZ31,20)*400+(IF('calcA'!EO$106=1,1-IM31,0)+IF('calcA'!EP$106=1,1-IO31,0))*150+236+'calcA'!EP$5*100000+IF(AND($E31=1,OC31=0),50000,0))+IF($H31=1,INDEX('calcA'!$D$180:$EQ$219,$B31,143)*4000,0)-IF(AND('calcA'!EO$117=1,ZM31&gt;0),2000,0)-IF(AND($U31=1,'calcA'!EP$117=1,IO31=0),2000,0))),1000000000))</f>
        <v/>
      </c>
      <c r="TS31">
        <f>IF($B31=0,1000000000,IF(INDEX('calcA'!$D$60:$EQ$99,$B31,144)*IF($W31=1,IO31+AFD31,IO31)=1,IF(AND($E31=2,IF($W31=1,AKS31,OD31)=0),1000000000,IF($V31=1,INDEX('calcA'!$D$130:$EQ$169,$B31,144)+IF(AND($E31=1,OD31=0),25,0),IF($F31&gt;0,INDEX('calcA'!EQ$110:EQ$114,$F31+1)+IF(AND($E31=1,OD31=0),1000,0),MIN(TZ31,20)*400+(IF('calcA'!EP$106=1,1-IN31,0))*150+246+'calcA'!EQ$5*100000+IF(AND($E31=1,OD31=0),50000,0))+IF($H31=1,INDEX('calcA'!$D$180:$EQ$219,$B31,144)*4000,0)-IF(AND('calcA'!EP$117=1,ZN31&gt;0),2000,0))),1000000000))</f>
        <v/>
      </c>
      <c r="TU31">
        <f>TU30+IF($C30&gt;0,IF(INDEX('calcA'!$D$2:$EQ$2,$C30)=1,1,0),0)</f>
        <v/>
      </c>
      <c r="TV31">
        <f>TV30+IF($C30&gt;0,IF(INDEX('calcA'!$D$2:$EQ$2,$C30)=2,1,0),0)</f>
        <v/>
      </c>
      <c r="TW31">
        <f>TW30+IF($C30&gt;0,IF(INDEX('calcA'!$D$2:$EQ$2,$C30)=3,1,0),0)</f>
        <v/>
      </c>
      <c r="TX31">
        <f>TX30+IF($C30&gt;0,IF(INDEX('calcA'!$D$2:$EQ$2,$C30)=4,1,0),0)</f>
        <v/>
      </c>
      <c r="TY31">
        <f>TY30+IF($C30&gt;0,IF(INDEX('calcA'!$D$2:$EQ$2,$C30)=5,1,0),0)</f>
        <v/>
      </c>
      <c r="TZ31">
        <f>TZ30+IF($C30&gt;0,IF(INDEX('calcA'!$D$2:$EQ$2,$C30)=6,1,0),0)</f>
        <v/>
      </c>
      <c r="UB31">
        <f>UB30+IF(AND($C30=1,$U30=1),1,0)</f>
        <v/>
      </c>
      <c r="UC31">
        <f>UC30+IF(AND($C30=2,$U30=1),1,0)</f>
        <v/>
      </c>
      <c r="UD31">
        <f>UD30+IF(AND($C30=3,$U30=1),1,0)</f>
        <v/>
      </c>
      <c r="UE31">
        <f>UE30+IF(AND($C30=4,$U30=1),1,0)</f>
        <v/>
      </c>
      <c r="UF31">
        <f>UF30+IF(AND($C30=5,$U30=1),1,0)</f>
        <v/>
      </c>
      <c r="UG31">
        <f>UG30+IF(AND($C30=6,$U30=1),1,0)</f>
        <v/>
      </c>
      <c r="UH31">
        <f>UH30+IF(AND($C30=7,$U30=1),1,0)</f>
        <v/>
      </c>
      <c r="UI31">
        <f>UI30+IF(AND($C30=8,$U30=1),1,0)</f>
        <v/>
      </c>
      <c r="UJ31">
        <f>UJ30+IF(AND($C30=9,$U30=1),1,0)</f>
        <v/>
      </c>
      <c r="UK31">
        <f>UK30+IF(AND($C30=10,$U30=1),1,0)</f>
        <v/>
      </c>
      <c r="UL31">
        <f>UL30+IF(AND($C30=11,$U30=1),1,0)</f>
        <v/>
      </c>
      <c r="UM31">
        <f>UM30+IF(AND($C30=12,$U30=1),1,0)</f>
        <v/>
      </c>
      <c r="UN31">
        <f>UN30+IF(AND($C30=13,$U30=1),1,0)</f>
        <v/>
      </c>
      <c r="UO31">
        <f>UO30+IF(AND($C30=14,$U30=1),1,0)</f>
        <v/>
      </c>
      <c r="UP31">
        <f>UP30+IF(AND($C30=15,$U30=1),1,0)</f>
        <v/>
      </c>
      <c r="UQ31">
        <f>UQ30+IF(AND($C30=16,$U30=1),1,0)</f>
        <v/>
      </c>
      <c r="UR31">
        <f>UR30+IF(AND($C30=17,$U30=1),1,0)</f>
        <v/>
      </c>
      <c r="US31">
        <f>US30+IF(AND($C30=18,$U30=1),1,0)</f>
        <v/>
      </c>
      <c r="UT31">
        <f>UT30+IF(AND($C30=19,$U30=1),1,0)</f>
        <v/>
      </c>
      <c r="UU31">
        <f>UU30+IF(AND($C30=20,$U30=1),1,0)</f>
        <v/>
      </c>
      <c r="UV31">
        <f>UV30+IF(AND($C30=21,$U30=1),1,0)</f>
        <v/>
      </c>
      <c r="UW31">
        <f>UW30+IF(AND($C30=22,$U30=1),1,0)</f>
        <v/>
      </c>
      <c r="UX31">
        <f>UX30+IF(AND($C30=23,$U30=1),1,0)</f>
        <v/>
      </c>
      <c r="UY31">
        <f>UY30+IF(AND($C30=24,$U30=1),1,0)</f>
        <v/>
      </c>
      <c r="UZ31">
        <f>UZ30+IF(AND($C30=25,$U30=1),1,0)</f>
        <v/>
      </c>
      <c r="VA31">
        <f>VA30+IF(AND($C30=26,$U30=1),1,0)</f>
        <v/>
      </c>
      <c r="VB31">
        <f>VB30+IF(AND($C30=27,$U30=1),1,0)</f>
        <v/>
      </c>
      <c r="VC31">
        <f>VC30+IF(AND($C30=28,$U30=1),1,0)</f>
        <v/>
      </c>
      <c r="VD31">
        <f>VD30+IF(AND($C30=29,$U30=1),1,0)</f>
        <v/>
      </c>
      <c r="VE31">
        <f>VE30+IF(AND($C30=30,$U30=1),1,0)</f>
        <v/>
      </c>
      <c r="VF31">
        <f>VF30+IF(AND($C30=31,$U30=1),1,0)</f>
        <v/>
      </c>
      <c r="VG31">
        <f>VG30+IF(AND($C30=32,$U30=1),1,0)</f>
        <v/>
      </c>
      <c r="VH31">
        <f>VH30+IF(AND($C30=33,$U30=1),1,0)</f>
        <v/>
      </c>
      <c r="VI31">
        <f>VI30+IF(AND($C30=34,$U30=1),1,0)</f>
        <v/>
      </c>
      <c r="VJ31">
        <f>VJ30+IF(AND($C30=35,$U30=1),1,0)</f>
        <v/>
      </c>
      <c r="VK31">
        <f>VK30+IF(AND($C30=36,$U30=1),1,0)</f>
        <v/>
      </c>
      <c r="VL31">
        <f>VL30+IF(AND($C30=37,$U30=1),1,0)</f>
        <v/>
      </c>
      <c r="VM31">
        <f>VM30+IF(AND($C30=38,$U30=1),1,0)</f>
        <v/>
      </c>
      <c r="VN31">
        <f>VN30+IF(AND($C30=39,$U30=1),1,0)</f>
        <v/>
      </c>
      <c r="VO31">
        <f>VO30+IF(AND($C30=40,$U30=1),1,0)</f>
        <v/>
      </c>
      <c r="VP31">
        <f>VP30+IF(AND($C30=41,$U30=1),1,0)</f>
        <v/>
      </c>
      <c r="VQ31">
        <f>VQ30+IF(AND($C30=42,$U30=1),1,0)</f>
        <v/>
      </c>
      <c r="VR31">
        <f>VR30+IF(AND($C30=43,$U30=1),1,0)</f>
        <v/>
      </c>
      <c r="VS31">
        <f>VS30+IF(AND($C30=44,$U30=1),1,0)</f>
        <v/>
      </c>
      <c r="VT31">
        <f>VT30+IF(AND($C30=45,$U30=1),1,0)</f>
        <v/>
      </c>
      <c r="VU31">
        <f>VU30+IF(AND($C30=46,$U30=1),1,0)</f>
        <v/>
      </c>
      <c r="VV31">
        <f>VV30+IF(AND($C30=47,$U30=1),1,0)</f>
        <v/>
      </c>
      <c r="VW31">
        <f>VW30+IF(AND($C30=48,$U30=1),1,0)</f>
        <v/>
      </c>
      <c r="VX31">
        <f>VX30+IF(AND($C30=49,$U30=1),1,0)</f>
        <v/>
      </c>
      <c r="VY31">
        <f>VY30+IF(AND($C30=50,$U30=1),1,0)</f>
        <v/>
      </c>
      <c r="VZ31">
        <f>VZ30+IF(AND($C30=51,$U30=1),1,0)</f>
        <v/>
      </c>
      <c r="WA31">
        <f>WA30+IF(AND($C30=52,$U30=1),1,0)</f>
        <v/>
      </c>
      <c r="WB31">
        <f>WB30+IF(AND($C30=53,$U30=1),1,0)</f>
        <v/>
      </c>
      <c r="WC31">
        <f>WC30+IF(AND($C30=54,$U30=1),1,0)</f>
        <v/>
      </c>
      <c r="WD31">
        <f>WD30+IF(AND($C30=55,$U30=1),1,0)</f>
        <v/>
      </c>
      <c r="WE31">
        <f>WE30+IF(AND($C30=56,$U30=1),1,0)</f>
        <v/>
      </c>
      <c r="WF31">
        <f>WF30+IF(AND($C30=57,$U30=1),1,0)</f>
        <v/>
      </c>
      <c r="WG31">
        <f>WG30+IF(AND($C30=58,$U30=1),1,0)</f>
        <v/>
      </c>
      <c r="WH31">
        <f>WH30+IF(AND($C30=59,$U30=1),1,0)</f>
        <v/>
      </c>
      <c r="WI31">
        <f>WI30+IF(AND($C30=60,$U30=1),1,0)</f>
        <v/>
      </c>
      <c r="WJ31">
        <f>WJ30+IF(AND($C30=61,$U30=1),1,0)</f>
        <v/>
      </c>
      <c r="WK31">
        <f>WK30+IF(AND($C30=62,$U30=1),1,0)</f>
        <v/>
      </c>
      <c r="WL31">
        <f>WL30+IF(AND($C30=63,$U30=1),1,0)</f>
        <v/>
      </c>
      <c r="WM31">
        <f>WM30+IF(AND($C30=64,$U30=1),1,0)</f>
        <v/>
      </c>
      <c r="WN31">
        <f>WN30+IF(AND($C30=65,$U30=1),1,0)</f>
        <v/>
      </c>
      <c r="WO31">
        <f>WO30+IF(AND($C30=66,$U30=1),1,0)</f>
        <v/>
      </c>
      <c r="WP31">
        <f>WP30+IF(AND($C30=67,$U30=1),1,0)</f>
        <v/>
      </c>
      <c r="WQ31">
        <f>WQ30+IF(AND($C30=68,$U30=1),1,0)</f>
        <v/>
      </c>
      <c r="WR31">
        <f>WR30+IF(AND($C30=69,$U30=1),1,0)</f>
        <v/>
      </c>
      <c r="WS31">
        <f>WS30+IF(AND($C30=70,$U30=1),1,0)</f>
        <v/>
      </c>
      <c r="WT31">
        <f>WT30+IF(AND($C30=71,$U30=1),1,0)</f>
        <v/>
      </c>
      <c r="WU31">
        <f>WU30+IF(AND($C30=72,$U30=1),1,0)</f>
        <v/>
      </c>
      <c r="WV31">
        <f>WV30+IF(AND($C30=73,$U30=1),1,0)</f>
        <v/>
      </c>
      <c r="WW31">
        <f>WW30+IF(AND($C30=74,$U30=1),1,0)</f>
        <v/>
      </c>
      <c r="WX31">
        <f>WX30+IF(AND($C30=75,$U30=1),1,0)</f>
        <v/>
      </c>
      <c r="WY31">
        <f>WY30+IF(AND($C30=76,$U30=1),1,0)</f>
        <v/>
      </c>
      <c r="WZ31">
        <f>WZ30+IF(AND($C30=77,$U30=1),1,0)</f>
        <v/>
      </c>
      <c r="XA31">
        <f>XA30+IF(AND($C30=78,$U30=1),1,0)</f>
        <v/>
      </c>
      <c r="XB31">
        <f>XB30+IF(AND($C30=79,$U30=1),1,0)</f>
        <v/>
      </c>
      <c r="XC31">
        <f>XC30+IF(AND($C30=80,$U30=1),1,0)</f>
        <v/>
      </c>
      <c r="XD31">
        <f>XD30+IF(AND($C30=81,$U30=1),1,0)</f>
        <v/>
      </c>
      <c r="XE31">
        <f>XE30+IF(AND($C30=82,$U30=1),1,0)</f>
        <v/>
      </c>
      <c r="XF31">
        <f>XF30+IF(AND($C30=83,$U30=1),1,0)</f>
        <v/>
      </c>
      <c r="XG31">
        <f>XG30+IF(AND($C30=84,$U30=1),1,0)</f>
        <v/>
      </c>
      <c r="XH31">
        <f>XH30+IF(AND($C30=85,$U30=1),1,0)</f>
        <v/>
      </c>
      <c r="XI31">
        <f>XI30+IF(AND($C30=86,$U30=1),1,0)</f>
        <v/>
      </c>
      <c r="XJ31">
        <f>XJ30+IF(AND($C30=87,$U30=1),1,0)</f>
        <v/>
      </c>
      <c r="XK31">
        <f>XK30+IF(AND($C30=88,$U30=1),1,0)</f>
        <v/>
      </c>
      <c r="XL31">
        <f>XL30+IF(AND($C30=89,$U30=1),1,0)</f>
        <v/>
      </c>
      <c r="XM31">
        <f>XM30+IF(AND($C30=90,$U30=1),1,0)</f>
        <v/>
      </c>
      <c r="XN31">
        <f>XN30+IF(AND($C30=91,$U30=1),1,0)</f>
        <v/>
      </c>
      <c r="XO31">
        <f>XO30+IF(AND($C30=92,$U30=1),1,0)</f>
        <v/>
      </c>
      <c r="XP31">
        <f>XP30+IF(AND($C30=93,$U30=1),1,0)</f>
        <v/>
      </c>
      <c r="XQ31">
        <f>XQ30+IF(AND($C30=94,$U30=1),1,0)</f>
        <v/>
      </c>
      <c r="XR31">
        <f>XR30+IF(AND($C30=95,$U30=1),1,0)</f>
        <v/>
      </c>
      <c r="XS31">
        <f>XS30+IF(AND($C30=96,$U30=1),1,0)</f>
        <v/>
      </c>
      <c r="XT31">
        <f>XT30+IF(AND($C30=97,$U30=1),1,0)</f>
        <v/>
      </c>
      <c r="XU31">
        <f>XU30+IF(AND($C30=98,$U30=1),1,0)</f>
        <v/>
      </c>
      <c r="XV31">
        <f>XV30+IF(AND($C30=99,$U30=1),1,0)</f>
        <v/>
      </c>
      <c r="XW31">
        <f>XW30+IF(AND($C30=100,$U30=1),1,0)</f>
        <v/>
      </c>
      <c r="XX31">
        <f>XX30+IF(AND($C30=101,$U30=1),1,0)</f>
        <v/>
      </c>
      <c r="XY31">
        <f>XY30+IF(AND($C30=102,$U30=1),1,0)</f>
        <v/>
      </c>
      <c r="XZ31">
        <f>XZ30+IF(AND($C30=103,$U30=1),1,0)</f>
        <v/>
      </c>
      <c r="YA31">
        <f>YA30+IF(AND($C30=104,$U30=1),1,0)</f>
        <v/>
      </c>
      <c r="YB31">
        <f>YB30+IF(AND($C30=105,$U30=1),1,0)</f>
        <v/>
      </c>
      <c r="YC31">
        <f>YC30+IF(AND($C30=106,$U30=1),1,0)</f>
        <v/>
      </c>
      <c r="YD31">
        <f>YD30+IF(AND($C30=107,$U30=1),1,0)</f>
        <v/>
      </c>
      <c r="YE31">
        <f>YE30+IF(AND($C30=108,$U30=1),1,0)</f>
        <v/>
      </c>
      <c r="YF31">
        <f>YF30+IF(AND($C30=109,$U30=1),1,0)</f>
        <v/>
      </c>
      <c r="YG31">
        <f>YG30+IF(AND($C30=110,$U30=1),1,0)</f>
        <v/>
      </c>
      <c r="YH31">
        <f>YH30+IF(AND($C30=111,$U30=1),1,0)</f>
        <v/>
      </c>
      <c r="YI31">
        <f>YI30+IF(AND($C30=112,$U30=1),1,0)</f>
        <v/>
      </c>
      <c r="YJ31">
        <f>YJ30+IF(AND($C30=113,$U30=1),1,0)</f>
        <v/>
      </c>
      <c r="YK31">
        <f>YK30+IF(AND($C30=114,$U30=1),1,0)</f>
        <v/>
      </c>
      <c r="YL31">
        <f>YL30+IF(AND($C30=115,$U30=1),1,0)</f>
        <v/>
      </c>
      <c r="YM31">
        <f>YM30+IF(AND($C30=116,$U30=1),1,0)</f>
        <v/>
      </c>
      <c r="YN31">
        <f>YN30+IF(AND($C30=117,$U30=1),1,0)</f>
        <v/>
      </c>
      <c r="YO31">
        <f>YO30+IF(AND($C30=118,$U30=1),1,0)</f>
        <v/>
      </c>
      <c r="YP31">
        <f>YP30+IF(AND($C30=119,$U30=1),1,0)</f>
        <v/>
      </c>
      <c r="YQ31">
        <f>YQ30+IF(AND($C30=120,$U30=1),1,0)</f>
        <v/>
      </c>
      <c r="YR31">
        <f>YR30+IF(AND($C30=121,$U30=1),1,0)</f>
        <v/>
      </c>
      <c r="YS31">
        <f>YS30+IF(AND($C30=122,$U30=1),1,0)</f>
        <v/>
      </c>
      <c r="YT31">
        <f>YT30+IF(AND($C30=123,$U30=1),1,0)</f>
        <v/>
      </c>
      <c r="YU31">
        <f>YU30+IF(AND($C30=124,$U30=1),1,0)</f>
        <v/>
      </c>
      <c r="YV31">
        <f>YV30+IF(AND($C30=125,$U30=1),1,0)</f>
        <v/>
      </c>
      <c r="YW31">
        <f>YW30+IF(AND($C30=126,$U30=1),1,0)</f>
        <v/>
      </c>
      <c r="YX31">
        <f>YX30+IF(AND($C30=127,$U30=1),1,0)</f>
        <v/>
      </c>
      <c r="YY31">
        <f>YY30+IF(AND($C30=128,$U30=1),1,0)</f>
        <v/>
      </c>
      <c r="YZ31">
        <f>YZ30+IF(AND($C30=129,$U30=1),1,0)</f>
        <v/>
      </c>
      <c r="ZA31">
        <f>ZA30+IF(AND($C30=130,$U30=1),1,0)</f>
        <v/>
      </c>
      <c r="ZB31">
        <f>ZB30+IF(AND($C30=131,$U30=1),1,0)</f>
        <v/>
      </c>
      <c r="ZC31">
        <f>ZC30+IF(AND($C30=132,$U30=1),1,0)</f>
        <v/>
      </c>
      <c r="ZD31">
        <f>ZD30+IF(AND($C30=133,$U30=1),1,0)</f>
        <v/>
      </c>
      <c r="ZE31">
        <f>ZE30+IF(AND($C30=134,$U30=1),1,0)</f>
        <v/>
      </c>
      <c r="ZF31">
        <f>ZF30+IF(AND($C30=135,$U30=1),1,0)</f>
        <v/>
      </c>
      <c r="ZG31">
        <f>ZG30+IF(AND($C30=136,$U30=1),1,0)</f>
        <v/>
      </c>
      <c r="ZH31">
        <f>ZH30+IF(AND($C30=137,$U30=1),1,0)</f>
        <v/>
      </c>
      <c r="ZI31">
        <f>ZI30+IF(AND($C30=138,$U30=1),1,0)</f>
        <v/>
      </c>
      <c r="ZJ31">
        <f>ZJ30+IF(AND($C30=139,$U30=1),1,0)</f>
        <v/>
      </c>
      <c r="ZK31">
        <f>ZK30+IF(AND($C30=140,$U30=1),1,0)</f>
        <v/>
      </c>
      <c r="ZL31">
        <f>ZL30+IF(AND($C30=141,$U30=1),1,0)</f>
        <v/>
      </c>
      <c r="ZM31">
        <f>ZM30+IF(AND($C30=142,$U30=1),1,0)</f>
        <v/>
      </c>
      <c r="ZN31">
        <f>ZN30+IF(AND($C30=143,$U30=1),1,0)</f>
        <v/>
      </c>
      <c r="ZO31">
        <f>ZO30+IF(AND($C30=144,$U30=1),1,0)</f>
        <v/>
      </c>
      <c r="ZQ31">
        <f>IF($C30=1,0,ZQ30+IF(AND($G30=1,$E30=1),1,0))</f>
        <v/>
      </c>
      <c r="ZR31">
        <f>IF($C30=2,0,ZR30+IF(AND($G30=2,$E30=1),1,0))</f>
        <v/>
      </c>
      <c r="ZS31">
        <f>IF($C30=3,0,ZS30+IF(AND($G30=3,$E30=1),1,0))</f>
        <v/>
      </c>
      <c r="ZT31">
        <f>IF($C30=4,0,ZT30+IF(AND($G30=4,$E30=1),1,0))</f>
        <v/>
      </c>
      <c r="ZU31">
        <f>IF($C30=5,0,ZU30+IF(AND($G30=5,$E30=1),1,0))</f>
        <v/>
      </c>
      <c r="ZV31">
        <f>IF($C30=6,0,ZV30+IF(AND($G30=6,$E30=1),1,0))</f>
        <v/>
      </c>
      <c r="ZW31">
        <f>IF($C30=7,0,ZW30+IF(AND($G30=7,$E30=1),1,0))</f>
        <v/>
      </c>
      <c r="ZX31">
        <f>IF($C30=8,0,ZX30+IF(AND($G30=8,$E30=1),1,0))</f>
        <v/>
      </c>
      <c r="ZY31">
        <f>IF($C30=9,0,ZY30+IF(AND($G30=9,$E30=1),1,0))</f>
        <v/>
      </c>
      <c r="ZZ31">
        <f>IF($C30=10,0,ZZ30+IF(AND($G30=10,$E30=1),1,0))</f>
        <v/>
      </c>
      <c r="AAA31">
        <f>IF($C30=11,0,AAA30+IF(AND($G30=11,$E30=1),1,0))</f>
        <v/>
      </c>
      <c r="AAB31">
        <f>IF($C30=12,0,AAB30+IF(AND($G30=12,$E30=1),1,0))</f>
        <v/>
      </c>
      <c r="AAC31">
        <f>IF($C30=13,0,AAC30+IF(AND($G30=13,$E30=1),1,0))</f>
        <v/>
      </c>
      <c r="AAD31">
        <f>IF($C30=14,0,AAD30+IF(AND($G30=14,$E30=1),1,0))</f>
        <v/>
      </c>
      <c r="AAE31">
        <f>IF($C30=15,0,AAE30+IF(AND($G30=15,$E30=1),1,0))</f>
        <v/>
      </c>
      <c r="AAF31">
        <f>IF($C30=16,0,AAF30+IF(AND($G30=16,$E30=1),1,0))</f>
        <v/>
      </c>
      <c r="AAG31">
        <f>IF($C30=17,0,AAG30+IF(AND($G30=17,$E30=1),1,0))</f>
        <v/>
      </c>
      <c r="AAH31">
        <f>IF($C30=18,0,AAH30+IF(AND($G30=18,$E30=1),1,0))</f>
        <v/>
      </c>
      <c r="AAI31">
        <f>IF($C30=19,0,AAI30+IF(AND($G30=19,$E30=1),1,0))</f>
        <v/>
      </c>
      <c r="AAJ31">
        <f>IF($C30=20,0,AAJ30+IF(AND($G30=20,$E30=1),1,0))</f>
        <v/>
      </c>
      <c r="AAK31">
        <f>IF($C30=21,0,AAK30+IF(AND($G30=21,$E30=1),1,0))</f>
        <v/>
      </c>
      <c r="AAL31">
        <f>IF($C30=22,0,AAL30+IF(AND($G30=22,$E30=1),1,0))</f>
        <v/>
      </c>
      <c r="AAM31">
        <f>IF($C30=23,0,AAM30+IF(AND($G30=23,$E30=1),1,0))</f>
        <v/>
      </c>
      <c r="AAN31">
        <f>IF($C30=24,0,AAN30+IF(AND($G30=24,$E30=1),1,0))</f>
        <v/>
      </c>
      <c r="AAO31">
        <f>IF($C30=25,0,AAO30+IF(AND($G30=25,$E30=1),1,0))</f>
        <v/>
      </c>
      <c r="AAP31">
        <f>IF($C30=26,0,AAP30+IF(AND($G30=26,$E30=1),1,0))</f>
        <v/>
      </c>
      <c r="AAQ31">
        <f>IF($C30=27,0,AAQ30+IF(AND($G30=27,$E30=1),1,0))</f>
        <v/>
      </c>
      <c r="AAR31">
        <f>IF($C30=28,0,AAR30+IF(AND($G30=28,$E30=1),1,0))</f>
        <v/>
      </c>
      <c r="AAS31">
        <f>IF($C30=29,0,AAS30+IF(AND($G30=29,$E30=1),1,0))</f>
        <v/>
      </c>
      <c r="AAT31">
        <f>IF($C30=30,0,AAT30+IF(AND($G30=30,$E30=1),1,0))</f>
        <v/>
      </c>
      <c r="AAU31">
        <f>IF($C30=31,0,AAU30+IF(AND($G30=31,$E30=1),1,0))</f>
        <v/>
      </c>
      <c r="AAV31">
        <f>IF($C30=32,0,AAV30+IF(AND($G30=32,$E30=1),1,0))</f>
        <v/>
      </c>
      <c r="AAW31">
        <f>IF($C30=33,0,AAW30+IF(AND($G30=33,$E30=1),1,0))</f>
        <v/>
      </c>
      <c r="AAX31">
        <f>IF($C30=34,0,AAX30+IF(AND($G30=34,$E30=1),1,0))</f>
        <v/>
      </c>
      <c r="AAY31">
        <f>IF($C30=35,0,AAY30+IF(AND($G30=35,$E30=1),1,0))</f>
        <v/>
      </c>
      <c r="AAZ31">
        <f>IF($C30=36,0,AAZ30+IF(AND($G30=36,$E30=1),1,0))</f>
        <v/>
      </c>
      <c r="ABA31">
        <f>IF($C30=37,0,ABA30+IF(AND($G30=37,$E30=1),1,0))</f>
        <v/>
      </c>
      <c r="ABB31">
        <f>IF($C30=38,0,ABB30+IF(AND($G30=38,$E30=1),1,0))</f>
        <v/>
      </c>
      <c r="ABC31">
        <f>IF($C30=39,0,ABC30+IF(AND($G30=39,$E30=1),1,0))</f>
        <v/>
      </c>
      <c r="ABD31">
        <f>IF($C30=40,0,ABD30+IF(AND($G30=40,$E30=1),1,0))</f>
        <v/>
      </c>
      <c r="ABE31">
        <f>IF($C30=41,0,ABE30+IF(AND($G30=41,$E30=1),1,0))</f>
        <v/>
      </c>
      <c r="ABF31">
        <f>IF($C30=42,0,ABF30+IF(AND($G30=42,$E30=1),1,0))</f>
        <v/>
      </c>
      <c r="ABG31">
        <f>IF($C30=43,0,ABG30+IF(AND($G30=43,$E30=1),1,0))</f>
        <v/>
      </c>
      <c r="ABH31">
        <f>IF($C30=44,0,ABH30+IF(AND($G30=44,$E30=1),1,0))</f>
        <v/>
      </c>
      <c r="ABI31">
        <f>IF($C30=45,0,ABI30+IF(AND($G30=45,$E30=1),1,0))</f>
        <v/>
      </c>
      <c r="ABJ31">
        <f>IF($C30=46,0,ABJ30+IF(AND($G30=46,$E30=1),1,0))</f>
        <v/>
      </c>
      <c r="ABK31">
        <f>IF($C30=47,0,ABK30+IF(AND($G30=47,$E30=1),1,0))</f>
        <v/>
      </c>
      <c r="ABL31">
        <f>IF($C30=48,0,ABL30+IF(AND($G30=48,$E30=1),1,0))</f>
        <v/>
      </c>
      <c r="ABM31">
        <f>IF($C30=49,0,ABM30+IF(AND($G30=49,$E30=1),1,0))</f>
        <v/>
      </c>
      <c r="ABN31">
        <f>IF($C30=50,0,ABN30+IF(AND($G30=50,$E30=1),1,0))</f>
        <v/>
      </c>
      <c r="ABO31">
        <f>IF($C30=51,0,ABO30+IF(AND($G30=51,$E30=1),1,0))</f>
        <v/>
      </c>
      <c r="ABP31">
        <f>IF($C30=52,0,ABP30+IF(AND($G30=52,$E30=1),1,0))</f>
        <v/>
      </c>
      <c r="ABQ31">
        <f>IF($C30=53,0,ABQ30+IF(AND($G30=53,$E30=1),1,0))</f>
        <v/>
      </c>
      <c r="ABR31">
        <f>IF($C30=54,0,ABR30+IF(AND($G30=54,$E30=1),1,0))</f>
        <v/>
      </c>
      <c r="ABS31">
        <f>IF($C30=55,0,ABS30+IF(AND($G30=55,$E30=1),1,0))</f>
        <v/>
      </c>
      <c r="ABT31">
        <f>IF($C30=56,0,ABT30+IF(AND($G30=56,$E30=1),1,0))</f>
        <v/>
      </c>
      <c r="ABU31">
        <f>IF($C30=57,0,ABU30+IF(AND($G30=57,$E30=1),1,0))</f>
        <v/>
      </c>
      <c r="ABV31">
        <f>IF($C30=58,0,ABV30+IF(AND($G30=58,$E30=1),1,0))</f>
        <v/>
      </c>
      <c r="ABW31">
        <f>IF($C30=59,0,ABW30+IF(AND($G30=59,$E30=1),1,0))</f>
        <v/>
      </c>
      <c r="ABX31">
        <f>IF($C30=60,0,ABX30+IF(AND($G30=60,$E30=1),1,0))</f>
        <v/>
      </c>
      <c r="ABY31">
        <f>IF($C30=61,0,ABY30+IF(AND($G30=61,$E30=1),1,0))</f>
        <v/>
      </c>
      <c r="ABZ31">
        <f>IF($C30=62,0,ABZ30+IF(AND($G30=62,$E30=1),1,0))</f>
        <v/>
      </c>
      <c r="ACA31">
        <f>IF($C30=63,0,ACA30+IF(AND($G30=63,$E30=1),1,0))</f>
        <v/>
      </c>
      <c r="ACB31">
        <f>IF($C30=64,0,ACB30+IF(AND($G30=64,$E30=1),1,0))</f>
        <v/>
      </c>
      <c r="ACC31">
        <f>IF($C30=65,0,ACC30+IF(AND($G30=65,$E30=1),1,0))</f>
        <v/>
      </c>
      <c r="ACD31">
        <f>IF($C30=66,0,ACD30+IF(AND($G30=66,$E30=1),1,0))</f>
        <v/>
      </c>
      <c r="ACE31">
        <f>IF($C30=67,0,ACE30+IF(AND($G30=67,$E30=1),1,0))</f>
        <v/>
      </c>
      <c r="ACF31">
        <f>IF($C30=68,0,ACF30+IF(AND($G30=68,$E30=1),1,0))</f>
        <v/>
      </c>
      <c r="ACG31">
        <f>IF($C30=69,0,ACG30+IF(AND($G30=69,$E30=1),1,0))</f>
        <v/>
      </c>
      <c r="ACH31">
        <f>IF($C30=70,0,ACH30+IF(AND($G30=70,$E30=1),1,0))</f>
        <v/>
      </c>
      <c r="ACI31">
        <f>IF($C30=71,0,ACI30+IF(AND($G30=71,$E30=1),1,0))</f>
        <v/>
      </c>
      <c r="ACJ31">
        <f>IF($C30=72,0,ACJ30+IF(AND($G30=72,$E30=1),1,0))</f>
        <v/>
      </c>
      <c r="ACK31">
        <f>IF($C30=73,0,ACK30+IF(AND($G30=73,$E30=1),1,0))</f>
        <v/>
      </c>
      <c r="ACL31">
        <f>IF($C30=74,0,ACL30+IF(AND($G30=74,$E30=1),1,0))</f>
        <v/>
      </c>
      <c r="ACM31">
        <f>IF($C30=75,0,ACM30+IF(AND($G30=75,$E30=1),1,0))</f>
        <v/>
      </c>
      <c r="ACN31">
        <f>IF($C30=76,0,ACN30+IF(AND($G30=76,$E30=1),1,0))</f>
        <v/>
      </c>
      <c r="ACO31">
        <f>IF($C30=77,0,ACO30+IF(AND($G30=77,$E30=1),1,0))</f>
        <v/>
      </c>
      <c r="ACP31">
        <f>IF($C30=78,0,ACP30+IF(AND($G30=78,$E30=1),1,0))</f>
        <v/>
      </c>
      <c r="ACQ31">
        <f>IF($C30=79,0,ACQ30+IF(AND($G30=79,$E30=1),1,0))</f>
        <v/>
      </c>
      <c r="ACR31">
        <f>IF($C30=80,0,ACR30+IF(AND($G30=80,$E30=1),1,0))</f>
        <v/>
      </c>
      <c r="ACS31">
        <f>IF($C30=81,0,ACS30+IF(AND($G30=81,$E30=1),1,0))</f>
        <v/>
      </c>
      <c r="ACT31">
        <f>IF($C30=82,0,ACT30+IF(AND($G30=82,$E30=1),1,0))</f>
        <v/>
      </c>
      <c r="ACU31">
        <f>IF($C30=83,0,ACU30+IF(AND($G30=83,$E30=1),1,0))</f>
        <v/>
      </c>
      <c r="ACV31">
        <f>IF($C30=84,0,ACV30+IF(AND($G30=84,$E30=1),1,0))</f>
        <v/>
      </c>
      <c r="ACW31">
        <f>IF($C30=85,0,ACW30+IF(AND($G30=85,$E30=1),1,0))</f>
        <v/>
      </c>
      <c r="ACX31">
        <f>IF($C30=86,0,ACX30+IF(AND($G30=86,$E30=1),1,0))</f>
        <v/>
      </c>
      <c r="ACY31">
        <f>IF($C30=87,0,ACY30+IF(AND($G30=87,$E30=1),1,0))</f>
        <v/>
      </c>
      <c r="ACZ31">
        <f>IF($C30=88,0,ACZ30+IF(AND($G30=88,$E30=1),1,0))</f>
        <v/>
      </c>
      <c r="ADA31">
        <f>IF($C30=89,0,ADA30+IF(AND($G30=89,$E30=1),1,0))</f>
        <v/>
      </c>
      <c r="ADB31">
        <f>IF($C30=90,0,ADB30+IF(AND($G30=90,$E30=1),1,0))</f>
        <v/>
      </c>
      <c r="ADC31">
        <f>IF($C30=91,0,ADC30+IF(AND($G30=91,$E30=1),1,0))</f>
        <v/>
      </c>
      <c r="ADD31">
        <f>IF($C30=92,0,ADD30+IF(AND($G30=92,$E30=1),1,0))</f>
        <v/>
      </c>
      <c r="ADE31">
        <f>IF($C30=93,0,ADE30+IF(AND($G30=93,$E30=1),1,0))</f>
        <v/>
      </c>
      <c r="ADF31">
        <f>IF($C30=94,0,ADF30+IF(AND($G30=94,$E30=1),1,0))</f>
        <v/>
      </c>
      <c r="ADG31">
        <f>IF($C30=95,0,ADG30+IF(AND($G30=95,$E30=1),1,0))</f>
        <v/>
      </c>
      <c r="ADH31">
        <f>IF($C30=96,0,ADH30+IF(AND($G30=96,$E30=1),1,0))</f>
        <v/>
      </c>
      <c r="ADI31">
        <f>IF($C30=97,0,ADI30+IF(AND($G30=97,$E30=1),1,0))</f>
        <v/>
      </c>
      <c r="ADJ31">
        <f>IF($C30=98,0,ADJ30+IF(AND($G30=98,$E30=1),1,0))</f>
        <v/>
      </c>
      <c r="ADK31">
        <f>IF($C30=99,0,ADK30+IF(AND($G30=99,$E30=1),1,0))</f>
        <v/>
      </c>
      <c r="ADL31">
        <f>IF($C30=100,0,ADL30+IF(AND($G30=100,$E30=1),1,0))</f>
        <v/>
      </c>
      <c r="ADM31">
        <f>IF($C30=101,0,ADM30+IF(AND($G30=101,$E30=1),1,0))</f>
        <v/>
      </c>
      <c r="ADN31">
        <f>IF($C30=102,0,ADN30+IF(AND($G30=102,$E30=1),1,0))</f>
        <v/>
      </c>
      <c r="ADO31">
        <f>IF($C30=103,0,ADO30+IF(AND($G30=103,$E30=1),1,0))</f>
        <v/>
      </c>
      <c r="ADP31">
        <f>IF($C30=104,0,ADP30+IF(AND($G30=104,$E30=1),1,0))</f>
        <v/>
      </c>
      <c r="ADQ31">
        <f>IF($C30=105,0,ADQ30+IF(AND($G30=105,$E30=1),1,0))</f>
        <v/>
      </c>
      <c r="ADR31">
        <f>IF($C30=106,0,ADR30+IF(AND($G30=106,$E30=1),1,0))</f>
        <v/>
      </c>
      <c r="ADS31">
        <f>IF($C30=107,0,ADS30+IF(AND($G30=107,$E30=1),1,0))</f>
        <v/>
      </c>
      <c r="ADT31">
        <f>IF($C30=108,0,ADT30+IF(AND($G30=108,$E30=1),1,0))</f>
        <v/>
      </c>
      <c r="ADU31">
        <f>IF($C30=109,0,ADU30+IF(AND($G30=109,$E30=1),1,0))</f>
        <v/>
      </c>
      <c r="ADV31">
        <f>IF($C30=110,0,ADV30+IF(AND($G30=110,$E30=1),1,0))</f>
        <v/>
      </c>
      <c r="ADW31">
        <f>IF($C30=111,0,ADW30+IF(AND($G30=111,$E30=1),1,0))</f>
        <v/>
      </c>
      <c r="ADX31">
        <f>IF($C30=112,0,ADX30+IF(AND($G30=112,$E30=1),1,0))</f>
        <v/>
      </c>
      <c r="ADY31">
        <f>IF($C30=113,0,ADY30+IF(AND($G30=113,$E30=1),1,0))</f>
        <v/>
      </c>
      <c r="ADZ31">
        <f>IF($C30=114,0,ADZ30+IF(AND($G30=114,$E30=1),1,0))</f>
        <v/>
      </c>
      <c r="AEA31">
        <f>IF($C30=115,0,AEA30+IF(AND($G30=115,$E30=1),1,0))</f>
        <v/>
      </c>
      <c r="AEB31">
        <f>IF($C30=116,0,AEB30+IF(AND($G30=116,$E30=1),1,0))</f>
        <v/>
      </c>
      <c r="AEC31">
        <f>IF($C30=117,0,AEC30+IF(AND($G30=117,$E30=1),1,0))</f>
        <v/>
      </c>
      <c r="AED31">
        <f>IF($C30=118,0,AED30+IF(AND($G30=118,$E30=1),1,0))</f>
        <v/>
      </c>
      <c r="AEE31">
        <f>IF($C30=119,0,AEE30+IF(AND($G30=119,$E30=1),1,0))</f>
        <v/>
      </c>
      <c r="AEF31">
        <f>IF($C30=120,0,AEF30+IF(AND($G30=120,$E30=1),1,0))</f>
        <v/>
      </c>
      <c r="AEG31">
        <f>IF($C30=121,0,AEG30+IF(AND($G30=121,$E30=1),1,0))</f>
        <v/>
      </c>
      <c r="AEH31">
        <f>IF($C30=122,0,AEH30+IF(AND($G30=122,$E30=1),1,0))</f>
        <v/>
      </c>
      <c r="AEI31">
        <f>IF($C30=123,0,AEI30+IF(AND($G30=123,$E30=1),1,0))</f>
        <v/>
      </c>
      <c r="AEJ31">
        <f>IF($C30=124,0,AEJ30+IF(AND($G30=124,$E30=1),1,0))</f>
        <v/>
      </c>
      <c r="AEK31">
        <f>IF($C30=125,0,AEK30+IF(AND($G30=125,$E30=1),1,0))</f>
        <v/>
      </c>
      <c r="AEL31">
        <f>IF($C30=126,0,AEL30+IF(AND($G30=126,$E30=1),1,0))</f>
        <v/>
      </c>
      <c r="AEM31">
        <f>IF($C30=127,0,AEM30+IF(AND($G30=127,$E30=1),1,0))</f>
        <v/>
      </c>
      <c r="AEN31">
        <f>IF($C30=128,0,AEN30+IF(AND($G30=128,$E30=1),1,0))</f>
        <v/>
      </c>
      <c r="AEO31">
        <f>IF($C30=129,0,AEO30+IF(AND($G30=129,$E30=1),1,0))</f>
        <v/>
      </c>
      <c r="AEP31">
        <f>IF($C30=130,0,AEP30+IF(AND($G30=130,$E30=1),1,0))</f>
        <v/>
      </c>
      <c r="AEQ31">
        <f>IF($C30=131,0,AEQ30+IF(AND($G30=131,$E30=1),1,0))</f>
        <v/>
      </c>
      <c r="AER31">
        <f>IF($C30=132,0,AER30+IF(AND($G30=132,$E30=1),1,0))</f>
        <v/>
      </c>
      <c r="AES31">
        <f>IF($C30=133,0,AES30+IF(AND($G30=133,$E30=1),1,0))</f>
        <v/>
      </c>
      <c r="AET31">
        <f>IF($C30=134,0,AET30+IF(AND($G30=134,$E30=1),1,0))</f>
        <v/>
      </c>
      <c r="AEU31">
        <f>IF($C30=135,0,AEU30+IF(AND($G30=135,$E30=1),1,0))</f>
        <v/>
      </c>
      <c r="AEV31">
        <f>IF($C30=136,0,AEV30+IF(AND($G30=136,$E30=1),1,0))</f>
        <v/>
      </c>
      <c r="AEW31">
        <f>IF($C30=137,0,AEW30+IF(AND($G30=137,$E30=1),1,0))</f>
        <v/>
      </c>
      <c r="AEX31">
        <f>IF($C30=138,0,AEX30+IF(AND($G30=138,$E30=1),1,0))</f>
        <v/>
      </c>
      <c r="AEY31">
        <f>IF($C30=139,0,AEY30+IF(AND($G30=139,$E30=1),1,0))</f>
        <v/>
      </c>
      <c r="AEZ31">
        <f>IF($C30=140,0,AEZ30+IF(AND($G30=140,$E30=1),1,0))</f>
        <v/>
      </c>
      <c r="AFA31">
        <f>IF($C30=141,0,AFA30+IF(AND($G30=141,$E30=1),1,0))</f>
        <v/>
      </c>
      <c r="AFB31">
        <f>IF($C30=142,0,AFB30+IF(AND($G30=142,$E30=1),1,0))</f>
        <v/>
      </c>
      <c r="AFC31">
        <f>IF($C30=143,0,AFC30+IF(AND($G30=143,$E30=1),1,0))</f>
        <v/>
      </c>
      <c r="AFD31">
        <f>IF($C30=144,0,AFD30+IF(AND($G30=144,$E30=1),1,0))</f>
        <v/>
      </c>
      <c r="AFF31">
        <f>IF('calcA'!D$106=1,DC31+ZR31,1)</f>
        <v/>
      </c>
      <c r="AFG31">
        <f>IF('calcA'!E$106=1,DD31+ZS31,1)</f>
        <v/>
      </c>
      <c r="AFH31">
        <f>IF('calcA'!F$106=1,DE31+ZT31,1)</f>
        <v/>
      </c>
      <c r="AFI31">
        <f>IF('calcA'!G$106=1,DF31+ZU31,1)</f>
        <v/>
      </c>
      <c r="AFJ31">
        <f>IF('calcA'!H$106=1,DG31+ZV31,1)</f>
        <v/>
      </c>
      <c r="AFK31">
        <f>IF('calcA'!I$106=1,DH31+ZW31,1)</f>
        <v/>
      </c>
      <c r="AFL31">
        <f>IF('calcA'!J$106=1,DI31+ZX31,1)</f>
        <v/>
      </c>
      <c r="AFM31">
        <f>IF('calcA'!K$106=1,DJ31+ZY31,1)</f>
        <v/>
      </c>
      <c r="AFN31">
        <f>IF('calcA'!L$106=1,DK31+ZZ31,1)</f>
        <v/>
      </c>
      <c r="AFO31">
        <f>IF('calcA'!M$106=1,DL31+AAA31,1)</f>
        <v/>
      </c>
      <c r="AFP31">
        <f>IF('calcA'!N$106=1,DM31+AAB31,1)</f>
        <v/>
      </c>
      <c r="AFQ31">
        <f>IF('calcA'!O$106=1,DN31+AAC31,1)</f>
        <v/>
      </c>
      <c r="AFR31">
        <f>IF('calcA'!P$106=1,DO31+AAD31,1)</f>
        <v/>
      </c>
      <c r="AFS31">
        <f>IF('calcA'!Q$106=1,DP31+AAE31,1)</f>
        <v/>
      </c>
      <c r="AFT31">
        <f>IF('calcA'!R$106=1,DQ31+AAF31,1)</f>
        <v/>
      </c>
      <c r="AFU31">
        <f>IF('calcA'!S$106=1,DR31+AAG31,1)</f>
        <v/>
      </c>
      <c r="AFV31">
        <f>IF('calcA'!T$106=1,DS31+AAH31,1)</f>
        <v/>
      </c>
      <c r="AFW31">
        <f>IF('calcA'!U$106=1,DT31+AAI31,1)</f>
        <v/>
      </c>
      <c r="AFX31">
        <f>IF('calcA'!V$106=1,DU31+AAJ31,1)</f>
        <v/>
      </c>
      <c r="AFY31">
        <f>IF('calcA'!W$106=1,DV31+AAK31,1)</f>
        <v/>
      </c>
      <c r="AFZ31">
        <f>IF('calcA'!X$106=1,DW31+AAL31,1)</f>
        <v/>
      </c>
      <c r="AGA31">
        <f>IF('calcA'!Y$106=1,DX31+AAM31,1)</f>
        <v/>
      </c>
      <c r="AGB31">
        <f>IF('calcA'!Z$106=1,DY31+AAN31,1)</f>
        <v/>
      </c>
      <c r="AGC31">
        <f>IF('calcA'!AA$106=1,DZ31+AAO31,1)</f>
        <v/>
      </c>
      <c r="AGD31">
        <f>IF('calcA'!AB$106=1,EA31+AAP31,1)</f>
        <v/>
      </c>
      <c r="AGE31">
        <f>IF('calcA'!AC$106=1,EB31+AAQ31,1)</f>
        <v/>
      </c>
      <c r="AGF31">
        <f>IF('calcA'!AD$106=1,EC31+AAR31,1)</f>
        <v/>
      </c>
      <c r="AGG31">
        <f>IF('calcA'!AE$106=1,ED31+AAS31,1)</f>
        <v/>
      </c>
      <c r="AGH31">
        <f>IF('calcA'!AF$106=1,EE31+AAT31,1)</f>
        <v/>
      </c>
      <c r="AGI31">
        <f>IF('calcA'!AG$106=1,EF31+AAU31,1)</f>
        <v/>
      </c>
      <c r="AGJ31">
        <f>IF('calcA'!AH$106=1,EG31+AAV31,1)</f>
        <v/>
      </c>
      <c r="AGK31">
        <f>IF('calcA'!AI$106=1,EH31+AAW31,1)</f>
        <v/>
      </c>
      <c r="AGL31">
        <f>IF('calcA'!AJ$106=1,EI31+AAX31,1)</f>
        <v/>
      </c>
      <c r="AGM31">
        <f>IF('calcA'!AK$106=1,EJ31+AAY31,1)</f>
        <v/>
      </c>
      <c r="AGN31">
        <f>IF('calcA'!AL$106=1,EK31+AAZ31,1)</f>
        <v/>
      </c>
      <c r="AGO31">
        <f>IF('calcA'!AM$106=1,EL31+ABA31,1)</f>
        <v/>
      </c>
      <c r="AGP31">
        <f>IF('calcA'!AN$106=1,EM31+ABB31,1)</f>
        <v/>
      </c>
      <c r="AGQ31">
        <f>IF('calcA'!AO$106=1,EN31+ABC31,1)</f>
        <v/>
      </c>
      <c r="AGR31">
        <f>IF('calcA'!AP$106=1,EO31+ABD31,1)</f>
        <v/>
      </c>
      <c r="AGS31">
        <f>IF('calcA'!AQ$106=1,EP31+ABE31,1)</f>
        <v/>
      </c>
      <c r="AGT31">
        <f>IF('calcA'!AR$106=1,EQ31+ABF31,1)</f>
        <v/>
      </c>
      <c r="AGU31">
        <f>IF('calcA'!AS$106=1,ER31+ABG31,1)</f>
        <v/>
      </c>
      <c r="AGV31">
        <f>IF('calcA'!AT$106=1,ES31+ABH31,1)</f>
        <v/>
      </c>
      <c r="AGW31">
        <f>IF('calcA'!AU$106=1,ET31+ABI31,1)</f>
        <v/>
      </c>
      <c r="AGX31">
        <f>IF('calcA'!AV$106=1,EU31+ABJ31,1)</f>
        <v/>
      </c>
      <c r="AGY31">
        <f>IF('calcA'!AW$106=1,EV31+ABK31,1)</f>
        <v/>
      </c>
      <c r="AGZ31">
        <f>IF('calcA'!AX$106=1,EW31+ABL31,1)</f>
        <v/>
      </c>
      <c r="AHA31">
        <f>IF('calcA'!AY$106=1,EX31+ABM31,1)</f>
        <v/>
      </c>
      <c r="AHB31">
        <f>IF('calcA'!AZ$106=1,EY31+ABN31,1)</f>
        <v/>
      </c>
      <c r="AHC31">
        <f>IF('calcA'!BA$106=1,EZ31+ABO31,1)</f>
        <v/>
      </c>
      <c r="AHD31">
        <f>IF('calcA'!BB$106=1,FA31+ABP31,1)</f>
        <v/>
      </c>
      <c r="AHE31">
        <f>IF('calcA'!BC$106=1,FB31+ABQ31,1)</f>
        <v/>
      </c>
      <c r="AHF31">
        <f>IF('calcA'!BD$106=1,FC31+ABR31,1)</f>
        <v/>
      </c>
      <c r="AHG31">
        <f>IF('calcA'!BE$106=1,FD31+ABS31,1)</f>
        <v/>
      </c>
      <c r="AHH31">
        <f>IF('calcA'!BF$106=1,FE31+ABT31,1)</f>
        <v/>
      </c>
      <c r="AHI31">
        <f>IF('calcA'!BG$106=1,FF31+ABU31,1)</f>
        <v/>
      </c>
      <c r="AHJ31">
        <f>IF('calcA'!BH$106=1,FG31+ABV31,1)</f>
        <v/>
      </c>
      <c r="AHK31">
        <f>IF('calcA'!BI$106=1,FH31+ABW31,1)</f>
        <v/>
      </c>
      <c r="AHL31">
        <f>IF('calcA'!BJ$106=1,FI31+ABX31,1)</f>
        <v/>
      </c>
      <c r="AHM31">
        <f>IF('calcA'!BK$106=1,FJ31+ABY31,1)</f>
        <v/>
      </c>
      <c r="AHN31">
        <f>IF('calcA'!BL$106=1,FK31+ABZ31,1)</f>
        <v/>
      </c>
      <c r="AHO31">
        <f>IF('calcA'!BM$106=1,FL31+ACA31,1)</f>
        <v/>
      </c>
      <c r="AHP31">
        <f>IF('calcA'!BN$106=1,FM31+ACB31,1)</f>
        <v/>
      </c>
      <c r="AHQ31">
        <f>IF('calcA'!BO$106=1,FN31+ACC31,1)</f>
        <v/>
      </c>
      <c r="AHR31">
        <f>IF('calcA'!BP$106=1,FO31+ACD31,1)</f>
        <v/>
      </c>
      <c r="AHS31">
        <f>IF('calcA'!BQ$106=1,FP31+ACE31,1)</f>
        <v/>
      </c>
      <c r="AHT31">
        <f>IF('calcA'!BR$106=1,FQ31+ACF31,1)</f>
        <v/>
      </c>
      <c r="AHU31">
        <f>IF('calcA'!BS$106=1,FR31+ACG31,1)</f>
        <v/>
      </c>
      <c r="AHV31">
        <f>IF('calcA'!BT$106=1,FS31+ACH31,1)</f>
        <v/>
      </c>
      <c r="AHW31">
        <f>IF('calcA'!BU$106=1,FT31+ACI31,1)</f>
        <v/>
      </c>
      <c r="AHX31">
        <f>IF('calcA'!BV$106=1,FU31+ACJ31,1)</f>
        <v/>
      </c>
      <c r="AHY31">
        <f>IF('calcA'!BW$106=1,FV31+ACK31,1)</f>
        <v/>
      </c>
      <c r="AHZ31">
        <f>IF('calcA'!BX$106=1,FW31+ACL31,1)</f>
        <v/>
      </c>
      <c r="AIA31">
        <f>IF('calcA'!BY$106=1,FX31+ACM31,1)</f>
        <v/>
      </c>
      <c r="AIB31">
        <f>IF('calcA'!BZ$106=1,FY31+ACN31,1)</f>
        <v/>
      </c>
      <c r="AIC31">
        <f>IF('calcA'!CA$106=1,FZ31+ACO31,1)</f>
        <v/>
      </c>
      <c r="AID31">
        <f>IF('calcA'!CB$106=1,GA31+ACP31,1)</f>
        <v/>
      </c>
      <c r="AIE31">
        <f>IF('calcA'!CC$106=1,GB31+ACQ31,1)</f>
        <v/>
      </c>
      <c r="AIF31">
        <f>IF('calcA'!CD$106=1,GC31+ACR31,1)</f>
        <v/>
      </c>
      <c r="AIG31">
        <f>IF('calcA'!CE$106=1,GD31+ACS31,1)</f>
        <v/>
      </c>
      <c r="AIH31">
        <f>IF('calcA'!CF$106=1,GE31+ACT31,1)</f>
        <v/>
      </c>
      <c r="AII31">
        <f>IF('calcA'!CG$106=1,GF31+ACU31,1)</f>
        <v/>
      </c>
      <c r="AIJ31">
        <f>IF('calcA'!CH$106=1,GG31+ACV31,1)</f>
        <v/>
      </c>
      <c r="AIK31">
        <f>IF('calcA'!CI$106=1,GH31+ACW31,1)</f>
        <v/>
      </c>
      <c r="AIL31">
        <f>IF('calcA'!CJ$106=1,GI31+ACX31,1)</f>
        <v/>
      </c>
      <c r="AIM31">
        <f>IF('calcA'!CK$106=1,GJ31+ACY31,1)</f>
        <v/>
      </c>
      <c r="AIN31">
        <f>IF('calcA'!CL$106=1,GK31+ACZ31,1)</f>
        <v/>
      </c>
      <c r="AIO31">
        <f>IF('calcA'!CM$106=1,GL31+ADA31,1)</f>
        <v/>
      </c>
      <c r="AIP31">
        <f>IF('calcA'!CN$106=1,GM31+ADB31,1)</f>
        <v/>
      </c>
      <c r="AIQ31">
        <f>IF('calcA'!CO$106=1,GN31+ADC31,1)</f>
        <v/>
      </c>
      <c r="AIR31">
        <f>IF('calcA'!CP$106=1,GO31+ADD31,1)</f>
        <v/>
      </c>
      <c r="AIS31">
        <f>IF('calcA'!CQ$106=1,GP31+ADE31,1)</f>
        <v/>
      </c>
      <c r="AIT31">
        <f>IF('calcA'!CR$106=1,GQ31+ADF31,1)</f>
        <v/>
      </c>
      <c r="AIU31">
        <f>IF('calcA'!CS$106=1,GR31+ADG31,1)</f>
        <v/>
      </c>
      <c r="AIV31">
        <f>IF('calcA'!CT$106=1,GS31+ADH31,1)</f>
        <v/>
      </c>
      <c r="AIW31">
        <f>IF('calcA'!CU$106=1,GT31+ADI31,1)</f>
        <v/>
      </c>
      <c r="AIX31">
        <f>IF('calcA'!CV$106=1,GU31+ADJ31,1)</f>
        <v/>
      </c>
      <c r="AIY31">
        <f>IF('calcA'!CW$106=1,GV31+ADK31,1)</f>
        <v/>
      </c>
      <c r="AIZ31">
        <f>IF('calcA'!CX$106=1,GW31+ADL31,1)</f>
        <v/>
      </c>
      <c r="AJA31">
        <f>IF('calcA'!CY$106=1,GX31+ADM31,1)</f>
        <v/>
      </c>
      <c r="AJB31">
        <f>IF('calcA'!CZ$106=1,GY31+ADN31,1)</f>
        <v/>
      </c>
      <c r="AJC31">
        <f>IF('calcA'!DA$106=1,GZ31+ADO31,1)</f>
        <v/>
      </c>
      <c r="AJD31">
        <f>IF('calcA'!DB$106=1,HA31+ADP31,1)</f>
        <v/>
      </c>
      <c r="AJE31">
        <f>IF('calcA'!DC$106=1,HB31+ADQ31,1)</f>
        <v/>
      </c>
      <c r="AJF31">
        <f>IF('calcA'!DD$106=1,HC31+ADR31,1)</f>
        <v/>
      </c>
      <c r="AJG31">
        <f>IF('calcA'!DE$106=1,HD31+ADS31,1)</f>
        <v/>
      </c>
      <c r="AJH31">
        <f>IF('calcA'!DF$106=1,HE31+ADT31,1)</f>
        <v/>
      </c>
      <c r="AJI31">
        <f>IF('calcA'!DG$106=1,HF31+ADU31,1)</f>
        <v/>
      </c>
      <c r="AJJ31">
        <f>IF('calcA'!DH$106=1,HG31+ADV31,1)</f>
        <v/>
      </c>
      <c r="AJK31">
        <f>IF('calcA'!DI$106=1,HH31+ADW31,1)</f>
        <v/>
      </c>
      <c r="AJL31">
        <f>IF('calcA'!DJ$106=1,HI31+ADX31,1)</f>
        <v/>
      </c>
      <c r="AJM31">
        <f>IF('calcA'!DK$106=1,HJ31+ADY31,1)</f>
        <v/>
      </c>
      <c r="AJN31">
        <f>IF('calcA'!DL$106=1,HK31+ADZ31,1)</f>
        <v/>
      </c>
      <c r="AJO31">
        <f>IF('calcA'!DM$106=1,HL31+AEA31,1)</f>
        <v/>
      </c>
      <c r="AJP31">
        <f>IF('calcA'!DN$106=1,HM31+AEB31,1)</f>
        <v/>
      </c>
      <c r="AJQ31">
        <f>IF('calcA'!DO$106=1,HN31+AEC31,1)</f>
        <v/>
      </c>
      <c r="AJR31">
        <f>IF('calcA'!DP$106=1,HO31+AED31,1)</f>
        <v/>
      </c>
      <c r="AJS31">
        <f>IF('calcA'!DQ$106=1,HP31+AEE31,1)</f>
        <v/>
      </c>
      <c r="AJT31">
        <f>IF('calcA'!DR$106=1,HQ31+AEF31,1)</f>
        <v/>
      </c>
      <c r="AJU31">
        <f>IF('calcA'!DS$106=1,HR31+AEG31,1)</f>
        <v/>
      </c>
      <c r="AJV31">
        <f>IF('calcA'!DT$106=1,HS31+AEH31,1)</f>
        <v/>
      </c>
      <c r="AJW31">
        <f>IF('calcA'!DU$106=1,HT31+AEI31,1)</f>
        <v/>
      </c>
      <c r="AJX31">
        <f>IF('calcA'!DV$106=1,HU31+AEJ31,1)</f>
        <v/>
      </c>
      <c r="AJY31">
        <f>IF('calcA'!DW$106=1,HV31+AEK31,1)</f>
        <v/>
      </c>
      <c r="AJZ31">
        <f>IF('calcA'!DX$106=1,HW31+AEL31,1)</f>
        <v/>
      </c>
      <c r="AKA31">
        <f>IF('calcA'!DY$106=1,HX31+AEM31,1)</f>
        <v/>
      </c>
      <c r="AKB31">
        <f>IF('calcA'!DZ$106=1,HY31+AEN31,1)</f>
        <v/>
      </c>
      <c r="AKC31">
        <f>IF('calcA'!EA$106=1,HZ31+AEO31,1)</f>
        <v/>
      </c>
      <c r="AKD31">
        <f>IF('calcA'!EB$106=1,IA31+AEP31,1)</f>
        <v/>
      </c>
      <c r="AKE31">
        <f>IF('calcA'!EC$106=1,IB31+AEQ31,1)</f>
        <v/>
      </c>
      <c r="AKF31">
        <f>IF('calcA'!ED$106=1,IC31+AER31,1)</f>
        <v/>
      </c>
      <c r="AKG31">
        <f>IF('calcA'!EE$106=1,ID31+AES31,1)</f>
        <v/>
      </c>
      <c r="AKH31">
        <f>IF('calcA'!EF$106=1,IE31+AET31,1)</f>
        <v/>
      </c>
      <c r="AKI31">
        <f>IF('calcA'!EG$106=1,IF31+AEU31,1)</f>
        <v/>
      </c>
      <c r="AKJ31">
        <f>IF('calcA'!EH$106=1,IG31+AEV31,1)</f>
        <v/>
      </c>
      <c r="AKK31">
        <f>IF('calcA'!EI$106=1,IH31+AEW31,1)</f>
        <v/>
      </c>
      <c r="AKL31">
        <f>IF('calcA'!EJ$106=1,II31+AEX31,1)</f>
        <v/>
      </c>
      <c r="AKM31">
        <f>IF('calcA'!EK$106=1,IJ31+AEY31,1)</f>
        <v/>
      </c>
      <c r="AKN31">
        <f>IF('calcA'!EL$106=1,IK31+AEZ31,1)</f>
        <v/>
      </c>
      <c r="AKO31">
        <f>IF('calcA'!EM$106=1,IL31+AFA31,1)</f>
        <v/>
      </c>
      <c r="AKP31">
        <f>IF('calcA'!EN$106=1,IM31+AFB31,1)</f>
        <v/>
      </c>
      <c r="AKQ31">
        <f>IF('calcA'!EO$106=1,IN31+AFC31,1)</f>
        <v/>
      </c>
      <c r="AKR31">
        <f>IF('calcA'!EP$106=1,IO31+AFD31,1)</f>
        <v/>
      </c>
      <c r="AKS31" t="n">
        <v>1</v>
      </c>
    </row>
    <row r="32">
      <c r="A32" t="n">
        <v>30</v>
      </c>
      <c r="B32">
        <f>IF(MIN(BM32:CZ32)&gt;=1000000000,0,MATCH(MIN(BM32:CZ32),BM32:CZ32,0))</f>
        <v/>
      </c>
      <c r="C32">
        <f>IF(MIN(OF32:TS32)&gt;=1000000000,0,MATCH(MIN(OF32:TS32),OF32:TS32,0))</f>
        <v/>
      </c>
      <c r="D32">
        <f>IF(C32&gt;0,INDEX('calcA'!$D$5:$EQ$5,C32),0)</f>
        <v/>
      </c>
      <c r="E32">
        <f>IF(B32=0,0,INDEX('calcA'!$IQ$10:$IQ$54,B32))</f>
        <v/>
      </c>
      <c r="F32">
        <f>IF(B32=0,0,INDEX('calcA'!$IP$10:$IP$54,B32))</f>
        <v/>
      </c>
      <c r="G32">
        <f>IF(AND(C32&gt;0,E32&gt;0),IF(AND(INDEX('calcA'!$D$106:$EQ$106,C32)=1,INDEX($IQ32:$OD32,C32)=1),C32+1,0),0)</f>
        <v/>
      </c>
      <c r="H32">
        <f>IF(B32=0,0,INDEX('calcA'!$IW$10:$IW$54,B32))</f>
        <v/>
      </c>
      <c r="U32">
        <f>IF(B32=0,0,INDEX('calcA'!$IX$10:$IX$54,B32))</f>
        <v/>
      </c>
      <c r="V32">
        <f>IF(B32=0,0,INDEX('calcA'!$JF$10:$JF$54,B32))</f>
        <v/>
      </c>
      <c r="W32">
        <f>IF(B32=0,0,IF(IF(E32=2,SUMPRODUCT(INDEX('calcA'!$D$60:$EQ$99,B32,0),$DB32:$IO32,$IQ32:$OD32),SUMPRODUCT(INDEX('calcA'!$D$60:$EQ$99,B32,0),$DB32:$IO32))=0,1,0))</f>
        <v/>
      </c>
      <c r="X32">
        <f>MAX(X31,IF($B31=1,1,0))</f>
        <v/>
      </c>
      <c r="Y32">
        <f>MAX(Y31,IF($B31=2,1,0))</f>
        <v/>
      </c>
      <c r="Z32">
        <f>MAX(Z31,IF($B31=3,1,0))</f>
        <v/>
      </c>
      <c r="AA32">
        <f>MAX(AA31,IF($B31=4,1,0))</f>
        <v/>
      </c>
      <c r="AB32">
        <f>MAX(AB31,IF($B31=5,1,0))</f>
        <v/>
      </c>
      <c r="AC32">
        <f>MAX(AC31,IF($B31=6,1,0))</f>
        <v/>
      </c>
      <c r="AD32">
        <f>MAX(AD31,IF($B31=7,1,0))</f>
        <v/>
      </c>
      <c r="AE32">
        <f>MAX(AE31,IF($B31=8,1,0))</f>
        <v/>
      </c>
      <c r="AF32">
        <f>MAX(AF31,IF($B31=9,1,0))</f>
        <v/>
      </c>
      <c r="AG32">
        <f>MAX(AG31,IF($B31=10,1,0))</f>
        <v/>
      </c>
      <c r="AH32">
        <f>MAX(AH31,IF($B31=11,1,0))</f>
        <v/>
      </c>
      <c r="AI32">
        <f>MAX(AI31,IF($B31=12,1,0))</f>
        <v/>
      </c>
      <c r="AJ32">
        <f>MAX(AJ31,IF($B31=13,1,0))</f>
        <v/>
      </c>
      <c r="AK32">
        <f>MAX(AK31,IF($B31=14,1,0))</f>
        <v/>
      </c>
      <c r="AL32">
        <f>MAX(AL31,IF($B31=15,1,0))</f>
        <v/>
      </c>
      <c r="AM32">
        <f>MAX(AM31,IF($B31=16,1,0))</f>
        <v/>
      </c>
      <c r="AN32">
        <f>MAX(AN31,IF($B31=17,1,0))</f>
        <v/>
      </c>
      <c r="AO32">
        <f>MAX(AO31,IF($B31=18,1,0))</f>
        <v/>
      </c>
      <c r="AP32">
        <f>MAX(AP31,IF($B31=19,1,0))</f>
        <v/>
      </c>
      <c r="AQ32">
        <f>MAX(AQ31,IF($B31=20,1,0))</f>
        <v/>
      </c>
      <c r="AR32">
        <f>MAX(AR31,IF($B31=21,1,0))</f>
        <v/>
      </c>
      <c r="AS32">
        <f>MAX(AS31,IF($B31=22,1,0))</f>
        <v/>
      </c>
      <c r="AT32">
        <f>MAX(AT31,IF($B31=23,1,0))</f>
        <v/>
      </c>
      <c r="AU32">
        <f>MAX(AU31,IF($B31=24,1,0))</f>
        <v/>
      </c>
      <c r="AV32">
        <f>MAX(AV31,IF($B31=25,1,0))</f>
        <v/>
      </c>
      <c r="AW32">
        <f>MAX(AW31,IF($B31=26,1,0))</f>
        <v/>
      </c>
      <c r="AX32">
        <f>MAX(AX31,IF($B31=27,1,0))</f>
        <v/>
      </c>
      <c r="AY32">
        <f>MAX(AY31,IF($B31=28,1,0))</f>
        <v/>
      </c>
      <c r="AZ32">
        <f>MAX(AZ31,IF($B31=29,1,0))</f>
        <v/>
      </c>
      <c r="BA32">
        <f>MAX(BA31,IF($B31=30,1,0))</f>
        <v/>
      </c>
      <c r="BB32">
        <f>MAX(BB31,IF($B31=31,1,0))</f>
        <v/>
      </c>
      <c r="BC32">
        <f>MAX(BC31,IF($B31=32,1,0))</f>
        <v/>
      </c>
      <c r="BD32">
        <f>MAX(BD31,IF($B31=33,1,0))</f>
        <v/>
      </c>
      <c r="BE32">
        <f>MAX(BE31,IF($B31=34,1,0))</f>
        <v/>
      </c>
      <c r="BF32">
        <f>MAX(BF31,IF($B31=35,1,0))</f>
        <v/>
      </c>
      <c r="BG32">
        <f>MAX(BG31,IF($B31=36,1,0))</f>
        <v/>
      </c>
      <c r="BH32">
        <f>MAX(BH31,IF($B31=37,1,0))</f>
        <v/>
      </c>
      <c r="BI32">
        <f>MAX(BI31,IF($B31=38,1,0))</f>
        <v/>
      </c>
      <c r="BJ32">
        <f>MAX(BJ31,IF($B31=39,1,0))</f>
        <v/>
      </c>
      <c r="BK32">
        <f>MAX(BK31,IF($B31=40,1,0))</f>
        <v/>
      </c>
      <c r="BM32">
        <f>IF(OR(X32=1,calcA!$A$6=0),1000000000,IF('calcA'!$JF$10=1,0,100000000)+IF('calcA'!$IQ$10=2,SUMPRODUCT('calcA'!$D$60:$EQ$60,$DB32:$IO32,$IQ32:$OD32)*1000+SUMPRODUCT('calcA'!$D$60:$EQ$60,$DB32:$IO32+$ZQ32:$AFD32,$AFF32:$AKS32),SUMPRODUCT('calcA'!$D$60:$EQ$60,$DB32:$IO32*1001+$ZQ32:$AFD32))*100+1)</f>
        <v/>
      </c>
      <c r="BN32">
        <f>IF(OR(Y32=1,calcA!$A$6=0),1000000000,IF('calcA'!$JF$11=1,0,100000000)+IF('calcA'!$IQ$11=2,SUMPRODUCT('calcA'!$D$61:$EQ$61,$DB32:$IO32,$IQ32:$OD32)*1000+SUMPRODUCT('calcA'!$D$61:$EQ$61,$DB32:$IO32+$ZQ32:$AFD32,$AFF32:$AKS32),SUMPRODUCT('calcA'!$D$61:$EQ$61,$DB32:$IO32*1001+$ZQ32:$AFD32))*100+2)</f>
        <v/>
      </c>
      <c r="BO32">
        <f>IF(OR(Z32=1,calcA!$A$6=0),1000000000,IF('calcA'!$JF$12=1,0,100000000)+IF('calcA'!$IQ$12=2,SUMPRODUCT('calcA'!$D$62:$EQ$62,$DB32:$IO32,$IQ32:$OD32)*1000+SUMPRODUCT('calcA'!$D$62:$EQ$62,$DB32:$IO32+$ZQ32:$AFD32,$AFF32:$AKS32),SUMPRODUCT('calcA'!$D$62:$EQ$62,$DB32:$IO32*1001+$ZQ32:$AFD32))*100+3)</f>
        <v/>
      </c>
      <c r="BP32">
        <f>IF(OR(AA32=1,calcA!$A$6=0),1000000000,IF('calcA'!$JF$13=1,0,100000000)+IF('calcA'!$IQ$13=2,SUMPRODUCT('calcA'!$D$63:$EQ$63,$DB32:$IO32,$IQ32:$OD32)*1000+SUMPRODUCT('calcA'!$D$63:$EQ$63,$DB32:$IO32+$ZQ32:$AFD32,$AFF32:$AKS32),SUMPRODUCT('calcA'!$D$63:$EQ$63,$DB32:$IO32*1001+$ZQ32:$AFD32))*100+4)</f>
        <v/>
      </c>
      <c r="BQ32">
        <f>IF(OR(AB32=1,calcA!$A$6=0),1000000000,IF('calcA'!$JF$14=1,0,100000000)+IF('calcA'!$IQ$14=2,SUMPRODUCT('calcA'!$D$64:$EQ$64,$DB32:$IO32,$IQ32:$OD32)*1000+SUMPRODUCT('calcA'!$D$64:$EQ$64,$DB32:$IO32+$ZQ32:$AFD32,$AFF32:$AKS32),SUMPRODUCT('calcA'!$D$64:$EQ$64,$DB32:$IO32*1001+$ZQ32:$AFD32))*100+5)</f>
        <v/>
      </c>
      <c r="BR32">
        <f>IF(OR(AC32=1,calcA!$A$6=0),1000000000,IF('calcA'!$JF$15=1,0,100000000)+IF('calcA'!$IQ$15=2,SUMPRODUCT('calcA'!$D$65:$EQ$65,$DB32:$IO32,$IQ32:$OD32)*1000+SUMPRODUCT('calcA'!$D$65:$EQ$65,$DB32:$IO32+$ZQ32:$AFD32,$AFF32:$AKS32),SUMPRODUCT('calcA'!$D$65:$EQ$65,$DB32:$IO32*1001+$ZQ32:$AFD32))*100+6)</f>
        <v/>
      </c>
      <c r="BS32">
        <f>IF(OR(AD32=1,calcA!$A$6=0),1000000000,IF('calcA'!$JF$16=1,0,100000000)+IF('calcA'!$IQ$16=2,SUMPRODUCT('calcA'!$D$66:$EQ$66,$DB32:$IO32,$IQ32:$OD32)*1000+SUMPRODUCT('calcA'!$D$66:$EQ$66,$DB32:$IO32+$ZQ32:$AFD32,$AFF32:$AKS32),SUMPRODUCT('calcA'!$D$66:$EQ$66,$DB32:$IO32*1001+$ZQ32:$AFD32))*100+7)</f>
        <v/>
      </c>
      <c r="BT32">
        <f>IF(OR(AE32=1,calcA!$A$6=0),1000000000,IF('calcA'!$JF$17=1,0,100000000)+IF('calcA'!$IQ$17=2,SUMPRODUCT('calcA'!$D$67:$EQ$67,$DB32:$IO32,$IQ32:$OD32)*1000+SUMPRODUCT('calcA'!$D$67:$EQ$67,$DB32:$IO32+$ZQ32:$AFD32,$AFF32:$AKS32),SUMPRODUCT('calcA'!$D$67:$EQ$67,$DB32:$IO32*1001+$ZQ32:$AFD32))*100+8)</f>
        <v/>
      </c>
      <c r="BU32">
        <f>IF(OR(AF32=1,calcA!$A$6=0),1000000000,IF('calcA'!$JF$18=1,0,100000000)+IF('calcA'!$IQ$18=2,SUMPRODUCT('calcA'!$D$68:$EQ$68,$DB32:$IO32,$IQ32:$OD32)*1000+SUMPRODUCT('calcA'!$D$68:$EQ$68,$DB32:$IO32+$ZQ32:$AFD32,$AFF32:$AKS32),SUMPRODUCT('calcA'!$D$68:$EQ$68,$DB32:$IO32*1001+$ZQ32:$AFD32))*100+9)</f>
        <v/>
      </c>
      <c r="BV32">
        <f>IF(OR(AG32=1,calcA!$A$6=0),1000000000,IF('calcA'!$JF$19=1,0,100000000)+IF('calcA'!$IQ$19=2,SUMPRODUCT('calcA'!$D$69:$EQ$69,$DB32:$IO32,$IQ32:$OD32)*1000+SUMPRODUCT('calcA'!$D$69:$EQ$69,$DB32:$IO32+$ZQ32:$AFD32,$AFF32:$AKS32),SUMPRODUCT('calcA'!$D$69:$EQ$69,$DB32:$IO32*1001+$ZQ32:$AFD32))*100+10)</f>
        <v/>
      </c>
      <c r="BW32">
        <f>IF(OR(AH32=1,calcA!$A$6=0),1000000000,IF('calcA'!$JF$20=1,0,100000000)+IF('calcA'!$IQ$20=2,SUMPRODUCT('calcA'!$D$70:$EQ$70,$DB32:$IO32,$IQ32:$OD32)*1000+SUMPRODUCT('calcA'!$D$70:$EQ$70,$DB32:$IO32+$ZQ32:$AFD32,$AFF32:$AKS32),SUMPRODUCT('calcA'!$D$70:$EQ$70,$DB32:$IO32*1001+$ZQ32:$AFD32))*100+11)</f>
        <v/>
      </c>
      <c r="BX32">
        <f>IF(OR(AI32=1,calcA!$A$6=0),1000000000,IF('calcA'!$JF$21=1,0,100000000)+IF('calcA'!$IQ$21=2,SUMPRODUCT('calcA'!$D$71:$EQ$71,$DB32:$IO32,$IQ32:$OD32)*1000+SUMPRODUCT('calcA'!$D$71:$EQ$71,$DB32:$IO32+$ZQ32:$AFD32,$AFF32:$AKS32),SUMPRODUCT('calcA'!$D$71:$EQ$71,$DB32:$IO32*1001+$ZQ32:$AFD32))*100+12)</f>
        <v/>
      </c>
      <c r="BY32">
        <f>IF(OR(AJ32=1,calcA!$A$6=0),1000000000,IF('calcA'!$JF$22=1,0,100000000)+IF('calcA'!$IQ$22=2,SUMPRODUCT('calcA'!$D$72:$EQ$72,$DB32:$IO32,$IQ32:$OD32)*1000+SUMPRODUCT('calcA'!$D$72:$EQ$72,$DB32:$IO32+$ZQ32:$AFD32,$AFF32:$AKS32),SUMPRODUCT('calcA'!$D$72:$EQ$72,$DB32:$IO32*1001+$ZQ32:$AFD32))*100+13)</f>
        <v/>
      </c>
      <c r="BZ32">
        <f>IF(OR(AK32=1,calcA!$A$6=0),1000000000,IF('calcA'!$JF$23=1,0,100000000)+IF('calcA'!$IQ$23=2,SUMPRODUCT('calcA'!$D$73:$EQ$73,$DB32:$IO32,$IQ32:$OD32)*1000+SUMPRODUCT('calcA'!$D$73:$EQ$73,$DB32:$IO32+$ZQ32:$AFD32,$AFF32:$AKS32),SUMPRODUCT('calcA'!$D$73:$EQ$73,$DB32:$IO32*1001+$ZQ32:$AFD32))*100+14)</f>
        <v/>
      </c>
      <c r="CA32">
        <f>IF(OR(AL32=1,calcA!$A$6=0),1000000000,IF('calcA'!$JF$24=1,0,100000000)+IF('calcA'!$IQ$24=2,SUMPRODUCT('calcA'!$D$74:$EQ$74,$DB32:$IO32,$IQ32:$OD32)*1000+SUMPRODUCT('calcA'!$D$74:$EQ$74,$DB32:$IO32+$ZQ32:$AFD32,$AFF32:$AKS32),SUMPRODUCT('calcA'!$D$74:$EQ$74,$DB32:$IO32*1001+$ZQ32:$AFD32))*100+15)</f>
        <v/>
      </c>
      <c r="CB32">
        <f>IF(OR(AM32=1,calcA!$A$6=0),1000000000,IF('calcA'!$JF$25=1,0,100000000)+IF('calcA'!$IQ$25=2,SUMPRODUCT('calcA'!$D$75:$EQ$75,$DB32:$IO32,$IQ32:$OD32)*1000+SUMPRODUCT('calcA'!$D$75:$EQ$75,$DB32:$IO32+$ZQ32:$AFD32,$AFF32:$AKS32),SUMPRODUCT('calcA'!$D$75:$EQ$75,$DB32:$IO32*1001+$ZQ32:$AFD32))*100+16)</f>
        <v/>
      </c>
      <c r="CC32">
        <f>IF(OR(AN32=1,calcA!$A$6=0),1000000000,IF('calcA'!$JF$26=1,0,100000000)+IF('calcA'!$IQ$26=2,SUMPRODUCT('calcA'!$D$76:$EQ$76,$DB32:$IO32,$IQ32:$OD32)*1000+SUMPRODUCT('calcA'!$D$76:$EQ$76,$DB32:$IO32+$ZQ32:$AFD32,$AFF32:$AKS32),SUMPRODUCT('calcA'!$D$76:$EQ$76,$DB32:$IO32*1001+$ZQ32:$AFD32))*100+17)</f>
        <v/>
      </c>
      <c r="CD32">
        <f>IF(OR(AO32=1,calcA!$A$6=0),1000000000,IF('calcA'!$JF$27=1,0,100000000)+IF('calcA'!$IQ$27=2,SUMPRODUCT('calcA'!$D$77:$EQ$77,$DB32:$IO32,$IQ32:$OD32)*1000+SUMPRODUCT('calcA'!$D$77:$EQ$77,$DB32:$IO32+$ZQ32:$AFD32,$AFF32:$AKS32),SUMPRODUCT('calcA'!$D$77:$EQ$77,$DB32:$IO32*1001+$ZQ32:$AFD32))*100+18)</f>
        <v/>
      </c>
      <c r="CE32">
        <f>IF(OR(AP32=1,calcA!$A$6=0),1000000000,IF('calcA'!$JF$28=1,0,100000000)+IF('calcA'!$IQ$28=2,SUMPRODUCT('calcA'!$D$78:$EQ$78,$DB32:$IO32,$IQ32:$OD32)*1000+SUMPRODUCT('calcA'!$D$78:$EQ$78,$DB32:$IO32+$ZQ32:$AFD32,$AFF32:$AKS32),SUMPRODUCT('calcA'!$D$78:$EQ$78,$DB32:$IO32*1001+$ZQ32:$AFD32))*100+19)</f>
        <v/>
      </c>
      <c r="CF32">
        <f>IF(OR(AQ32=1,calcA!$A$6=0),1000000000,IF('calcA'!$JF$29=1,0,100000000)+IF('calcA'!$IQ$29=2,SUMPRODUCT('calcA'!$D$79:$EQ$79,$DB32:$IO32,$IQ32:$OD32)*1000+SUMPRODUCT('calcA'!$D$79:$EQ$79,$DB32:$IO32+$ZQ32:$AFD32,$AFF32:$AKS32),SUMPRODUCT('calcA'!$D$79:$EQ$79,$DB32:$IO32*1001+$ZQ32:$AFD32))*100+20)</f>
        <v/>
      </c>
      <c r="CG32">
        <f>IF(OR(AR32=1,calcA!$A$6=0),1000000000,IF('calcA'!$JF$30=1,0,100000000)+IF('calcA'!$IQ$30=2,SUMPRODUCT('calcA'!$D$80:$EQ$80,$DB32:$IO32,$IQ32:$OD32)*1000+SUMPRODUCT('calcA'!$D$80:$EQ$80,$DB32:$IO32+$ZQ32:$AFD32,$AFF32:$AKS32),SUMPRODUCT('calcA'!$D$80:$EQ$80,$DB32:$IO32*1001+$ZQ32:$AFD32))*100+21)</f>
        <v/>
      </c>
      <c r="CH32">
        <f>IF(OR(AS32=1,calcA!$A$6=0),1000000000,IF('calcA'!$JF$31=1,0,100000000)+IF('calcA'!$IQ$31=2,SUMPRODUCT('calcA'!$D$81:$EQ$81,$DB32:$IO32,$IQ32:$OD32)*1000+SUMPRODUCT('calcA'!$D$81:$EQ$81,$DB32:$IO32+$ZQ32:$AFD32,$AFF32:$AKS32),SUMPRODUCT('calcA'!$D$81:$EQ$81,$DB32:$IO32*1001+$ZQ32:$AFD32))*100+22)</f>
        <v/>
      </c>
      <c r="CI32">
        <f>IF(OR(AT32=1,calcA!$A$6=0),1000000000,IF('calcA'!$JF$32=1,0,100000000)+IF('calcA'!$IQ$32=2,SUMPRODUCT('calcA'!$D$82:$EQ$82,$DB32:$IO32,$IQ32:$OD32)*1000+SUMPRODUCT('calcA'!$D$82:$EQ$82,$DB32:$IO32+$ZQ32:$AFD32,$AFF32:$AKS32),SUMPRODUCT('calcA'!$D$82:$EQ$82,$DB32:$IO32*1001+$ZQ32:$AFD32))*100+23)</f>
        <v/>
      </c>
      <c r="CJ32">
        <f>IF(OR(AU32=1,calcA!$A$6=0),1000000000,IF('calcA'!$JF$33=1,0,100000000)+IF('calcA'!$IQ$33=2,SUMPRODUCT('calcA'!$D$83:$EQ$83,$DB32:$IO32,$IQ32:$OD32)*1000+SUMPRODUCT('calcA'!$D$83:$EQ$83,$DB32:$IO32+$ZQ32:$AFD32,$AFF32:$AKS32),SUMPRODUCT('calcA'!$D$83:$EQ$83,$DB32:$IO32*1001+$ZQ32:$AFD32))*100+24)</f>
        <v/>
      </c>
      <c r="CK32">
        <f>IF(OR(AV32=1,calcA!$A$6=0),1000000000,IF('calcA'!$JF$34=1,0,100000000)+IF('calcA'!$IQ$34=2,SUMPRODUCT('calcA'!$D$84:$EQ$84,$DB32:$IO32,$IQ32:$OD32)*1000+SUMPRODUCT('calcA'!$D$84:$EQ$84,$DB32:$IO32+$ZQ32:$AFD32,$AFF32:$AKS32),SUMPRODUCT('calcA'!$D$84:$EQ$84,$DB32:$IO32*1001+$ZQ32:$AFD32))*100+25)</f>
        <v/>
      </c>
      <c r="CL32">
        <f>IF(OR(AW32=1,calcA!$A$6=0),1000000000,IF('calcA'!$JF$35=1,0,100000000)+IF('calcA'!$IQ$35=2,SUMPRODUCT('calcA'!$D$85:$EQ$85,$DB32:$IO32,$IQ32:$OD32)*1000+SUMPRODUCT('calcA'!$D$85:$EQ$85,$DB32:$IO32+$ZQ32:$AFD32,$AFF32:$AKS32),SUMPRODUCT('calcA'!$D$85:$EQ$85,$DB32:$IO32*1001+$ZQ32:$AFD32))*100+26)</f>
        <v/>
      </c>
      <c r="CM32">
        <f>IF(OR(AX32=1,calcA!$A$6=0),1000000000,IF('calcA'!$JF$36=1,0,100000000)+IF('calcA'!$IQ$36=2,SUMPRODUCT('calcA'!$D$86:$EQ$86,$DB32:$IO32,$IQ32:$OD32)*1000+SUMPRODUCT('calcA'!$D$86:$EQ$86,$DB32:$IO32+$ZQ32:$AFD32,$AFF32:$AKS32),SUMPRODUCT('calcA'!$D$86:$EQ$86,$DB32:$IO32*1001+$ZQ32:$AFD32))*100+27)</f>
        <v/>
      </c>
      <c r="CN32">
        <f>IF(OR(AY32=1,calcA!$A$6=0),1000000000,IF('calcA'!$JF$37=1,0,100000000)+IF('calcA'!$IQ$37=2,SUMPRODUCT('calcA'!$D$87:$EQ$87,$DB32:$IO32,$IQ32:$OD32)*1000+SUMPRODUCT('calcA'!$D$87:$EQ$87,$DB32:$IO32+$ZQ32:$AFD32,$AFF32:$AKS32),SUMPRODUCT('calcA'!$D$87:$EQ$87,$DB32:$IO32*1001+$ZQ32:$AFD32))*100+28)</f>
        <v/>
      </c>
      <c r="CO32">
        <f>IF(OR(AZ32=1,calcA!$A$6=0),1000000000,IF('calcA'!$JF$38=1,0,100000000)+IF('calcA'!$IQ$38=2,SUMPRODUCT('calcA'!$D$88:$EQ$88,$DB32:$IO32,$IQ32:$OD32)*1000+SUMPRODUCT('calcA'!$D$88:$EQ$88,$DB32:$IO32+$ZQ32:$AFD32,$AFF32:$AKS32),SUMPRODUCT('calcA'!$D$88:$EQ$88,$DB32:$IO32*1001+$ZQ32:$AFD32))*100+29)</f>
        <v/>
      </c>
      <c r="CP32">
        <f>IF(OR(BA32=1,calcA!$A$6=0),1000000000,IF('calcA'!$JF$39=1,0,100000000)+IF('calcA'!$IQ$39=2,SUMPRODUCT('calcA'!$D$89:$EQ$89,$DB32:$IO32,$IQ32:$OD32)*1000+SUMPRODUCT('calcA'!$D$89:$EQ$89,$DB32:$IO32+$ZQ32:$AFD32,$AFF32:$AKS32),SUMPRODUCT('calcA'!$D$89:$EQ$89,$DB32:$IO32*1001+$ZQ32:$AFD32))*100+30)</f>
        <v/>
      </c>
      <c r="CQ32">
        <f>IF(OR(BB32=1,calcA!$A$6=0),1000000000,IF('calcA'!$JF$40=1,0,100000000)+IF('calcA'!$IQ$40=2,SUMPRODUCT('calcA'!$D$90:$EQ$90,$DB32:$IO32,$IQ32:$OD32)*1000+SUMPRODUCT('calcA'!$D$90:$EQ$90,$DB32:$IO32+$ZQ32:$AFD32,$AFF32:$AKS32),SUMPRODUCT('calcA'!$D$90:$EQ$90,$DB32:$IO32*1001+$ZQ32:$AFD32))*100+31)</f>
        <v/>
      </c>
      <c r="CR32">
        <f>IF(OR(BC32=1,calcA!$A$6=0),1000000000,IF('calcA'!$JF$41=1,0,100000000)+IF('calcA'!$IQ$41=2,SUMPRODUCT('calcA'!$D$91:$EQ$91,$DB32:$IO32,$IQ32:$OD32)*1000+SUMPRODUCT('calcA'!$D$91:$EQ$91,$DB32:$IO32+$ZQ32:$AFD32,$AFF32:$AKS32),SUMPRODUCT('calcA'!$D$91:$EQ$91,$DB32:$IO32*1001+$ZQ32:$AFD32))*100+32)</f>
        <v/>
      </c>
      <c r="CS32">
        <f>IF(OR(BD32=1,calcA!$A$6=0),1000000000,IF('calcA'!$JF$42=1,0,100000000)+IF('calcA'!$IQ$42=2,SUMPRODUCT('calcA'!$D$92:$EQ$92,$DB32:$IO32,$IQ32:$OD32)*1000+SUMPRODUCT('calcA'!$D$92:$EQ$92,$DB32:$IO32+$ZQ32:$AFD32,$AFF32:$AKS32),SUMPRODUCT('calcA'!$D$92:$EQ$92,$DB32:$IO32*1001+$ZQ32:$AFD32))*100+33)</f>
        <v/>
      </c>
      <c r="CT32">
        <f>IF(OR(BE32=1,calcA!$A$6=0),1000000000,IF('calcA'!$JF$43=1,0,100000000)+IF('calcA'!$IQ$43=2,SUMPRODUCT('calcA'!$D$93:$EQ$93,$DB32:$IO32,$IQ32:$OD32)*1000+SUMPRODUCT('calcA'!$D$93:$EQ$93,$DB32:$IO32+$ZQ32:$AFD32,$AFF32:$AKS32),SUMPRODUCT('calcA'!$D$93:$EQ$93,$DB32:$IO32*1001+$ZQ32:$AFD32))*100+34)</f>
        <v/>
      </c>
      <c r="CU32">
        <f>IF(OR(BF32=1,calcA!$A$6=0),1000000000,IF('calcA'!$JF$44=1,0,100000000)+IF('calcA'!$IQ$44=2,SUMPRODUCT('calcA'!$D$94:$EQ$94,$DB32:$IO32,$IQ32:$OD32)*1000+SUMPRODUCT('calcA'!$D$94:$EQ$94,$DB32:$IO32+$ZQ32:$AFD32,$AFF32:$AKS32),SUMPRODUCT('calcA'!$D$94:$EQ$94,$DB32:$IO32*1001+$ZQ32:$AFD32))*100+35)</f>
        <v/>
      </c>
      <c r="CV32">
        <f>IF(OR(BG32=1,calcA!$A$6=0),1000000000,IF('calcA'!$JF$45=1,0,100000000)+IF('calcA'!$IQ$45=2,SUMPRODUCT('calcA'!$D$95:$EQ$95,$DB32:$IO32,$IQ32:$OD32)*1000+SUMPRODUCT('calcA'!$D$95:$EQ$95,$DB32:$IO32+$ZQ32:$AFD32,$AFF32:$AKS32),SUMPRODUCT('calcA'!$D$95:$EQ$95,$DB32:$IO32*1001+$ZQ32:$AFD32))*100+36)</f>
        <v/>
      </c>
      <c r="CW32">
        <f>IF(OR(BH32=1,calcA!$A$6=0),1000000000,IF('calcA'!$JF$46=1,0,100000000)+IF('calcA'!$IQ$46=2,SUMPRODUCT('calcA'!$D$96:$EQ$96,$DB32:$IO32,$IQ32:$OD32)*1000+SUMPRODUCT('calcA'!$D$96:$EQ$96,$DB32:$IO32+$ZQ32:$AFD32,$AFF32:$AKS32),SUMPRODUCT('calcA'!$D$96:$EQ$96,$DB32:$IO32*1001+$ZQ32:$AFD32))*100+37)</f>
        <v/>
      </c>
      <c r="CX32">
        <f>IF(OR(BI32=1,calcA!$A$6=0),1000000000,IF('calcA'!$JF$47=1,0,100000000)+IF('calcA'!$IQ$47=2,SUMPRODUCT('calcA'!$D$97:$EQ$97,$DB32:$IO32,$IQ32:$OD32)*1000+SUMPRODUCT('calcA'!$D$97:$EQ$97,$DB32:$IO32+$ZQ32:$AFD32,$AFF32:$AKS32),SUMPRODUCT('calcA'!$D$97:$EQ$97,$DB32:$IO32*1001+$ZQ32:$AFD32))*100+38)</f>
        <v/>
      </c>
      <c r="CY32">
        <f>IF(OR(BJ32=1,calcA!$A$6=0),1000000000,IF('calcA'!$JF$48=1,0,100000000)+IF('calcA'!$IQ$48=2,SUMPRODUCT('calcA'!$D$98:$EQ$98,$DB32:$IO32,$IQ32:$OD32)*1000+SUMPRODUCT('calcA'!$D$98:$EQ$98,$DB32:$IO32+$ZQ32:$AFD32,$AFF32:$AKS32),SUMPRODUCT('calcA'!$D$98:$EQ$98,$DB32:$IO32*1001+$ZQ32:$AFD32))*100+39)</f>
        <v/>
      </c>
      <c r="CZ32">
        <f>IF(OR(BK32=1,calcA!$A$6=0),1000000000,IF('calcA'!$JF$49=1,0,100000000)+IF('calcA'!$IQ$49=2,SUMPRODUCT('calcA'!$D$99:$EQ$99,$DB32:$IO32,$IQ32:$OD32)*1000+SUMPRODUCT('calcA'!$D$99:$EQ$99,$DB32:$IO32+$ZQ32:$AFD32,$AFF32:$AKS32),SUMPRODUCT('calcA'!$D$99:$EQ$99,$DB32:$IO32*1001+$ZQ32:$AFD32))*100+40)</f>
        <v/>
      </c>
      <c r="DB32">
        <f>DB31*IF(OR($C31=1,$G31=1),0,1)</f>
        <v/>
      </c>
      <c r="DC32">
        <f>DC31*IF(OR($C31=2,$G31=2),0,1)</f>
        <v/>
      </c>
      <c r="DD32">
        <f>DD31*IF(OR($C31=3,$G31=3),0,1)</f>
        <v/>
      </c>
      <c r="DE32">
        <f>DE31*IF(OR($C31=4,$G31=4),0,1)</f>
        <v/>
      </c>
      <c r="DF32">
        <f>DF31*IF(OR($C31=5,$G31=5),0,1)</f>
        <v/>
      </c>
      <c r="DG32">
        <f>DG31*IF(OR($C31=6,$G31=6),0,1)</f>
        <v/>
      </c>
      <c r="DH32">
        <f>DH31*IF(OR($C31=7,$G31=7),0,1)</f>
        <v/>
      </c>
      <c r="DI32">
        <f>DI31*IF(OR($C31=8,$G31=8),0,1)</f>
        <v/>
      </c>
      <c r="DJ32">
        <f>DJ31*IF(OR($C31=9,$G31=9),0,1)</f>
        <v/>
      </c>
      <c r="DK32">
        <f>DK31*IF(OR($C31=10,$G31=10),0,1)</f>
        <v/>
      </c>
      <c r="DL32">
        <f>DL31*IF(OR($C31=11,$G31=11),0,1)</f>
        <v/>
      </c>
      <c r="DM32">
        <f>DM31*IF(OR($C31=12,$G31=12),0,1)</f>
        <v/>
      </c>
      <c r="DN32">
        <f>DN31*IF(OR($C31=13,$G31=13),0,1)</f>
        <v/>
      </c>
      <c r="DO32">
        <f>DO31*IF(OR($C31=14,$G31=14),0,1)</f>
        <v/>
      </c>
      <c r="DP32">
        <f>DP31*IF(OR($C31=15,$G31=15),0,1)</f>
        <v/>
      </c>
      <c r="DQ32">
        <f>DQ31*IF(OR($C31=16,$G31=16),0,1)</f>
        <v/>
      </c>
      <c r="DR32">
        <f>DR31*IF(OR($C31=17,$G31=17),0,1)</f>
        <v/>
      </c>
      <c r="DS32">
        <f>DS31*IF(OR($C31=18,$G31=18),0,1)</f>
        <v/>
      </c>
      <c r="DT32">
        <f>DT31*IF(OR($C31=19,$G31=19),0,1)</f>
        <v/>
      </c>
      <c r="DU32">
        <f>DU31*IF(OR($C31=20,$G31=20),0,1)</f>
        <v/>
      </c>
      <c r="DV32">
        <f>DV31*IF(OR($C31=21,$G31=21),0,1)</f>
        <v/>
      </c>
      <c r="DW32">
        <f>DW31*IF(OR($C31=22,$G31=22),0,1)</f>
        <v/>
      </c>
      <c r="DX32">
        <f>DX31*IF(OR($C31=23,$G31=23),0,1)</f>
        <v/>
      </c>
      <c r="DY32">
        <f>DY31*IF(OR($C31=24,$G31=24),0,1)</f>
        <v/>
      </c>
      <c r="DZ32">
        <f>DZ31*IF(OR($C31=25,$G31=25),0,1)</f>
        <v/>
      </c>
      <c r="EA32">
        <f>EA31*IF(OR($C31=26,$G31=26),0,1)</f>
        <v/>
      </c>
      <c r="EB32">
        <f>EB31*IF(OR($C31=27,$G31=27),0,1)</f>
        <v/>
      </c>
      <c r="EC32">
        <f>EC31*IF(OR($C31=28,$G31=28),0,1)</f>
        <v/>
      </c>
      <c r="ED32">
        <f>ED31*IF(OR($C31=29,$G31=29),0,1)</f>
        <v/>
      </c>
      <c r="EE32">
        <f>EE31*IF(OR($C31=30,$G31=30),0,1)</f>
        <v/>
      </c>
      <c r="EF32">
        <f>EF31*IF(OR($C31=31,$G31=31),0,1)</f>
        <v/>
      </c>
      <c r="EG32">
        <f>EG31*IF(OR($C31=32,$G31=32),0,1)</f>
        <v/>
      </c>
      <c r="EH32">
        <f>EH31*IF(OR($C31=33,$G31=33),0,1)</f>
        <v/>
      </c>
      <c r="EI32">
        <f>EI31*IF(OR($C31=34,$G31=34),0,1)</f>
        <v/>
      </c>
      <c r="EJ32">
        <f>EJ31*IF(OR($C31=35,$G31=35),0,1)</f>
        <v/>
      </c>
      <c r="EK32">
        <f>EK31*IF(OR($C31=36,$G31=36),0,1)</f>
        <v/>
      </c>
      <c r="EL32">
        <f>EL31*IF(OR($C31=37,$G31=37),0,1)</f>
        <v/>
      </c>
      <c r="EM32">
        <f>EM31*IF(OR($C31=38,$G31=38),0,1)</f>
        <v/>
      </c>
      <c r="EN32">
        <f>EN31*IF(OR($C31=39,$G31=39),0,1)</f>
        <v/>
      </c>
      <c r="EO32">
        <f>EO31*IF(OR($C31=40,$G31=40),0,1)</f>
        <v/>
      </c>
      <c r="EP32">
        <f>EP31*IF(OR($C31=41,$G31=41),0,1)</f>
        <v/>
      </c>
      <c r="EQ32">
        <f>EQ31*IF(OR($C31=42,$G31=42),0,1)</f>
        <v/>
      </c>
      <c r="ER32">
        <f>ER31*IF(OR($C31=43,$G31=43),0,1)</f>
        <v/>
      </c>
      <c r="ES32">
        <f>ES31*IF(OR($C31=44,$G31=44),0,1)</f>
        <v/>
      </c>
      <c r="ET32">
        <f>ET31*IF(OR($C31=45,$G31=45),0,1)</f>
        <v/>
      </c>
      <c r="EU32">
        <f>EU31*IF(OR($C31=46,$G31=46),0,1)</f>
        <v/>
      </c>
      <c r="EV32">
        <f>EV31*IF(OR($C31=47,$G31=47),0,1)</f>
        <v/>
      </c>
      <c r="EW32">
        <f>EW31*IF(OR($C31=48,$G31=48),0,1)</f>
        <v/>
      </c>
      <c r="EX32">
        <f>EX31*IF(OR($C31=49,$G31=49),0,1)</f>
        <v/>
      </c>
      <c r="EY32">
        <f>EY31*IF(OR($C31=50,$G31=50),0,1)</f>
        <v/>
      </c>
      <c r="EZ32">
        <f>EZ31*IF(OR($C31=51,$G31=51),0,1)</f>
        <v/>
      </c>
      <c r="FA32">
        <f>FA31*IF(OR($C31=52,$G31=52),0,1)</f>
        <v/>
      </c>
      <c r="FB32">
        <f>FB31*IF(OR($C31=53,$G31=53),0,1)</f>
        <v/>
      </c>
      <c r="FC32">
        <f>FC31*IF(OR($C31=54,$G31=54),0,1)</f>
        <v/>
      </c>
      <c r="FD32">
        <f>FD31*IF(OR($C31=55,$G31=55),0,1)</f>
        <v/>
      </c>
      <c r="FE32">
        <f>FE31*IF(OR($C31=56,$G31=56),0,1)</f>
        <v/>
      </c>
      <c r="FF32">
        <f>FF31*IF(OR($C31=57,$G31=57),0,1)</f>
        <v/>
      </c>
      <c r="FG32">
        <f>FG31*IF(OR($C31=58,$G31=58),0,1)</f>
        <v/>
      </c>
      <c r="FH32">
        <f>FH31*IF(OR($C31=59,$G31=59),0,1)</f>
        <v/>
      </c>
      <c r="FI32">
        <f>FI31*IF(OR($C31=60,$G31=60),0,1)</f>
        <v/>
      </c>
      <c r="FJ32">
        <f>FJ31*IF(OR($C31=61,$G31=61),0,1)</f>
        <v/>
      </c>
      <c r="FK32">
        <f>FK31*IF(OR($C31=62,$G31=62),0,1)</f>
        <v/>
      </c>
      <c r="FL32">
        <f>FL31*IF(OR($C31=63,$G31=63),0,1)</f>
        <v/>
      </c>
      <c r="FM32">
        <f>FM31*IF(OR($C31=64,$G31=64),0,1)</f>
        <v/>
      </c>
      <c r="FN32">
        <f>FN31*IF(OR($C31=65,$G31=65),0,1)</f>
        <v/>
      </c>
      <c r="FO32">
        <f>FO31*IF(OR($C31=66,$G31=66),0,1)</f>
        <v/>
      </c>
      <c r="FP32">
        <f>FP31*IF(OR($C31=67,$G31=67),0,1)</f>
        <v/>
      </c>
      <c r="FQ32">
        <f>FQ31*IF(OR($C31=68,$G31=68),0,1)</f>
        <v/>
      </c>
      <c r="FR32">
        <f>FR31*IF(OR($C31=69,$G31=69),0,1)</f>
        <v/>
      </c>
      <c r="FS32">
        <f>FS31*IF(OR($C31=70,$G31=70),0,1)</f>
        <v/>
      </c>
      <c r="FT32">
        <f>FT31*IF(OR($C31=71,$G31=71),0,1)</f>
        <v/>
      </c>
      <c r="FU32">
        <f>FU31*IF(OR($C31=72,$G31=72),0,1)</f>
        <v/>
      </c>
      <c r="FV32">
        <f>FV31*IF(OR($C31=73,$G31=73),0,1)</f>
        <v/>
      </c>
      <c r="FW32">
        <f>FW31*IF(OR($C31=74,$G31=74),0,1)</f>
        <v/>
      </c>
      <c r="FX32">
        <f>FX31*IF(OR($C31=75,$G31=75),0,1)</f>
        <v/>
      </c>
      <c r="FY32">
        <f>FY31*IF(OR($C31=76,$G31=76),0,1)</f>
        <v/>
      </c>
      <c r="FZ32">
        <f>FZ31*IF(OR($C31=77,$G31=77),0,1)</f>
        <v/>
      </c>
      <c r="GA32">
        <f>GA31*IF(OR($C31=78,$G31=78),0,1)</f>
        <v/>
      </c>
      <c r="GB32">
        <f>GB31*IF(OR($C31=79,$G31=79),0,1)</f>
        <v/>
      </c>
      <c r="GC32">
        <f>GC31*IF(OR($C31=80,$G31=80),0,1)</f>
        <v/>
      </c>
      <c r="GD32">
        <f>GD31*IF(OR($C31=81,$G31=81),0,1)</f>
        <v/>
      </c>
      <c r="GE32">
        <f>GE31*IF(OR($C31=82,$G31=82),0,1)</f>
        <v/>
      </c>
      <c r="GF32">
        <f>GF31*IF(OR($C31=83,$G31=83),0,1)</f>
        <v/>
      </c>
      <c r="GG32">
        <f>GG31*IF(OR($C31=84,$G31=84),0,1)</f>
        <v/>
      </c>
      <c r="GH32">
        <f>GH31*IF(OR($C31=85,$G31=85),0,1)</f>
        <v/>
      </c>
      <c r="GI32">
        <f>GI31*IF(OR($C31=86,$G31=86),0,1)</f>
        <v/>
      </c>
      <c r="GJ32">
        <f>GJ31*IF(OR($C31=87,$G31=87),0,1)</f>
        <v/>
      </c>
      <c r="GK32">
        <f>GK31*IF(OR($C31=88,$G31=88),0,1)</f>
        <v/>
      </c>
      <c r="GL32">
        <f>GL31*IF(OR($C31=89,$G31=89),0,1)</f>
        <v/>
      </c>
      <c r="GM32">
        <f>GM31*IF(OR($C31=90,$G31=90),0,1)</f>
        <v/>
      </c>
      <c r="GN32">
        <f>GN31*IF(OR($C31=91,$G31=91),0,1)</f>
        <v/>
      </c>
      <c r="GO32">
        <f>GO31*IF(OR($C31=92,$G31=92),0,1)</f>
        <v/>
      </c>
      <c r="GP32">
        <f>GP31*IF(OR($C31=93,$G31=93),0,1)</f>
        <v/>
      </c>
      <c r="GQ32">
        <f>GQ31*IF(OR($C31=94,$G31=94),0,1)</f>
        <v/>
      </c>
      <c r="GR32">
        <f>GR31*IF(OR($C31=95,$G31=95),0,1)</f>
        <v/>
      </c>
      <c r="GS32">
        <f>GS31*IF(OR($C31=96,$G31=96),0,1)</f>
        <v/>
      </c>
      <c r="GT32">
        <f>GT31*IF(OR($C31=97,$G31=97),0,1)</f>
        <v/>
      </c>
      <c r="GU32">
        <f>GU31*IF(OR($C31=98,$G31=98),0,1)</f>
        <v/>
      </c>
      <c r="GV32">
        <f>GV31*IF(OR($C31=99,$G31=99),0,1)</f>
        <v/>
      </c>
      <c r="GW32">
        <f>GW31*IF(OR($C31=100,$G31=100),0,1)</f>
        <v/>
      </c>
      <c r="GX32">
        <f>GX31*IF(OR($C31=101,$G31=101),0,1)</f>
        <v/>
      </c>
      <c r="GY32">
        <f>GY31*IF(OR($C31=102,$G31=102),0,1)</f>
        <v/>
      </c>
      <c r="GZ32">
        <f>GZ31*IF(OR($C31=103,$G31=103),0,1)</f>
        <v/>
      </c>
      <c r="HA32">
        <f>HA31*IF(OR($C31=104,$G31=104),0,1)</f>
        <v/>
      </c>
      <c r="HB32">
        <f>HB31*IF(OR($C31=105,$G31=105),0,1)</f>
        <v/>
      </c>
      <c r="HC32">
        <f>HC31*IF(OR($C31=106,$G31=106),0,1)</f>
        <v/>
      </c>
      <c r="HD32">
        <f>HD31*IF(OR($C31=107,$G31=107),0,1)</f>
        <v/>
      </c>
      <c r="HE32">
        <f>HE31*IF(OR($C31=108,$G31=108),0,1)</f>
        <v/>
      </c>
      <c r="HF32">
        <f>HF31*IF(OR($C31=109,$G31=109),0,1)</f>
        <v/>
      </c>
      <c r="HG32">
        <f>HG31*IF(OR($C31=110,$G31=110),0,1)</f>
        <v/>
      </c>
      <c r="HH32">
        <f>HH31*IF(OR($C31=111,$G31=111),0,1)</f>
        <v/>
      </c>
      <c r="HI32">
        <f>HI31*IF(OR($C31=112,$G31=112),0,1)</f>
        <v/>
      </c>
      <c r="HJ32">
        <f>HJ31*IF(OR($C31=113,$G31=113),0,1)</f>
        <v/>
      </c>
      <c r="HK32">
        <f>HK31*IF(OR($C31=114,$G31=114),0,1)</f>
        <v/>
      </c>
      <c r="HL32">
        <f>HL31*IF(OR($C31=115,$G31=115),0,1)</f>
        <v/>
      </c>
      <c r="HM32">
        <f>HM31*IF(OR($C31=116,$G31=116),0,1)</f>
        <v/>
      </c>
      <c r="HN32">
        <f>HN31*IF(OR($C31=117,$G31=117),0,1)</f>
        <v/>
      </c>
      <c r="HO32">
        <f>HO31*IF(OR($C31=118,$G31=118),0,1)</f>
        <v/>
      </c>
      <c r="HP32">
        <f>HP31*IF(OR($C31=119,$G31=119),0,1)</f>
        <v/>
      </c>
      <c r="HQ32">
        <f>HQ31*IF(OR($C31=120,$G31=120),0,1)</f>
        <v/>
      </c>
      <c r="HR32">
        <f>HR31*IF(OR($C31=121,$G31=121),0,1)</f>
        <v/>
      </c>
      <c r="HS32">
        <f>HS31*IF(OR($C31=122,$G31=122),0,1)</f>
        <v/>
      </c>
      <c r="HT32">
        <f>HT31*IF(OR($C31=123,$G31=123),0,1)</f>
        <v/>
      </c>
      <c r="HU32">
        <f>HU31*IF(OR($C31=124,$G31=124),0,1)</f>
        <v/>
      </c>
      <c r="HV32">
        <f>HV31*IF(OR($C31=125,$G31=125),0,1)</f>
        <v/>
      </c>
      <c r="HW32">
        <f>HW31*IF(OR($C31=126,$G31=126),0,1)</f>
        <v/>
      </c>
      <c r="HX32">
        <f>HX31*IF(OR($C31=127,$G31=127),0,1)</f>
        <v/>
      </c>
      <c r="HY32">
        <f>HY31*IF(OR($C31=128,$G31=128),0,1)</f>
        <v/>
      </c>
      <c r="HZ32">
        <f>HZ31*IF(OR($C31=129,$G31=129),0,1)</f>
        <v/>
      </c>
      <c r="IA32">
        <f>IA31*IF(OR($C31=130,$G31=130),0,1)</f>
        <v/>
      </c>
      <c r="IB32">
        <f>IB31*IF(OR($C31=131,$G31=131),0,1)</f>
        <v/>
      </c>
      <c r="IC32">
        <f>IC31*IF(OR($C31=132,$G31=132),0,1)</f>
        <v/>
      </c>
      <c r="ID32">
        <f>ID31*IF(OR($C31=133,$G31=133),0,1)</f>
        <v/>
      </c>
      <c r="IE32">
        <f>IE31*IF(OR($C31=134,$G31=134),0,1)</f>
        <v/>
      </c>
      <c r="IF32">
        <f>IF31*IF(OR($C31=135,$G31=135),0,1)</f>
        <v/>
      </c>
      <c r="IG32">
        <f>IG31*IF(OR($C31=136,$G31=136),0,1)</f>
        <v/>
      </c>
      <c r="IH32">
        <f>IH31*IF(OR($C31=137,$G31=137),0,1)</f>
        <v/>
      </c>
      <c r="II32">
        <f>II31*IF(OR($C31=138,$G31=138),0,1)</f>
        <v/>
      </c>
      <c r="IJ32">
        <f>IJ31*IF(OR($C31=139,$G31=139),0,1)</f>
        <v/>
      </c>
      <c r="IK32">
        <f>IK31*IF(OR($C31=140,$G31=140),0,1)</f>
        <v/>
      </c>
      <c r="IL32">
        <f>IL31*IF(OR($C31=141,$G31=141),0,1)</f>
        <v/>
      </c>
      <c r="IM32">
        <f>IM31*IF(OR($C31=142,$G31=142),0,1)</f>
        <v/>
      </c>
      <c r="IN32">
        <f>IN31*IF(OR($C31=143,$G31=143),0,1)</f>
        <v/>
      </c>
      <c r="IO32">
        <f>IO31*IF(OR($C31=144,$G31=144),0,1)</f>
        <v/>
      </c>
      <c r="IQ32">
        <f>IF('calcA'!D$106=1,DC32,1)</f>
        <v/>
      </c>
      <c r="IR32">
        <f>IF('calcA'!E$106=1,DD32,1)</f>
        <v/>
      </c>
      <c r="IS32">
        <f>IF('calcA'!F$106=1,DE32,1)</f>
        <v/>
      </c>
      <c r="IT32">
        <f>IF('calcA'!G$106=1,DF32,1)</f>
        <v/>
      </c>
      <c r="IU32">
        <f>IF('calcA'!H$106=1,DG32,1)</f>
        <v/>
      </c>
      <c r="IV32">
        <f>IF('calcA'!I$106=1,DH32,1)</f>
        <v/>
      </c>
      <c r="IW32">
        <f>IF('calcA'!J$106=1,DI32,1)</f>
        <v/>
      </c>
      <c r="IX32">
        <f>IF('calcA'!K$106=1,DJ32,1)</f>
        <v/>
      </c>
      <c r="IY32">
        <f>IF('calcA'!L$106=1,DK32,1)</f>
        <v/>
      </c>
      <c r="IZ32">
        <f>IF('calcA'!M$106=1,DL32,1)</f>
        <v/>
      </c>
      <c r="JA32">
        <f>IF('calcA'!N$106=1,DM32,1)</f>
        <v/>
      </c>
      <c r="JB32">
        <f>IF('calcA'!O$106=1,DN32,1)</f>
        <v/>
      </c>
      <c r="JC32">
        <f>IF('calcA'!P$106=1,DO32,1)</f>
        <v/>
      </c>
      <c r="JD32">
        <f>IF('calcA'!Q$106=1,DP32,1)</f>
        <v/>
      </c>
      <c r="JE32">
        <f>IF('calcA'!R$106=1,DQ32,1)</f>
        <v/>
      </c>
      <c r="JF32">
        <f>IF('calcA'!S$106=1,DR32,1)</f>
        <v/>
      </c>
      <c r="JG32">
        <f>IF('calcA'!T$106=1,DS32,1)</f>
        <v/>
      </c>
      <c r="JH32">
        <f>IF('calcA'!U$106=1,DT32,1)</f>
        <v/>
      </c>
      <c r="JI32">
        <f>IF('calcA'!V$106=1,DU32,1)</f>
        <v/>
      </c>
      <c r="JJ32">
        <f>IF('calcA'!W$106=1,DV32,1)</f>
        <v/>
      </c>
      <c r="JK32">
        <f>IF('calcA'!X$106=1,DW32,1)</f>
        <v/>
      </c>
      <c r="JL32">
        <f>IF('calcA'!Y$106=1,DX32,1)</f>
        <v/>
      </c>
      <c r="JM32">
        <f>IF('calcA'!Z$106=1,DY32,1)</f>
        <v/>
      </c>
      <c r="JN32">
        <f>IF('calcA'!AA$106=1,DZ32,1)</f>
        <v/>
      </c>
      <c r="JO32">
        <f>IF('calcA'!AB$106=1,EA32,1)</f>
        <v/>
      </c>
      <c r="JP32">
        <f>IF('calcA'!AC$106=1,EB32,1)</f>
        <v/>
      </c>
      <c r="JQ32">
        <f>IF('calcA'!AD$106=1,EC32,1)</f>
        <v/>
      </c>
      <c r="JR32">
        <f>IF('calcA'!AE$106=1,ED32,1)</f>
        <v/>
      </c>
      <c r="JS32">
        <f>IF('calcA'!AF$106=1,EE32,1)</f>
        <v/>
      </c>
      <c r="JT32">
        <f>IF('calcA'!AG$106=1,EF32,1)</f>
        <v/>
      </c>
      <c r="JU32">
        <f>IF('calcA'!AH$106=1,EG32,1)</f>
        <v/>
      </c>
      <c r="JV32">
        <f>IF('calcA'!AI$106=1,EH32,1)</f>
        <v/>
      </c>
      <c r="JW32">
        <f>IF('calcA'!AJ$106=1,EI32,1)</f>
        <v/>
      </c>
      <c r="JX32">
        <f>IF('calcA'!AK$106=1,EJ32,1)</f>
        <v/>
      </c>
      <c r="JY32">
        <f>IF('calcA'!AL$106=1,EK32,1)</f>
        <v/>
      </c>
      <c r="JZ32">
        <f>IF('calcA'!AM$106=1,EL32,1)</f>
        <v/>
      </c>
      <c r="KA32">
        <f>IF('calcA'!AN$106=1,EM32,1)</f>
        <v/>
      </c>
      <c r="KB32">
        <f>IF('calcA'!AO$106=1,EN32,1)</f>
        <v/>
      </c>
      <c r="KC32">
        <f>IF('calcA'!AP$106=1,EO32,1)</f>
        <v/>
      </c>
      <c r="KD32">
        <f>IF('calcA'!AQ$106=1,EP32,1)</f>
        <v/>
      </c>
      <c r="KE32">
        <f>IF('calcA'!AR$106=1,EQ32,1)</f>
        <v/>
      </c>
      <c r="KF32">
        <f>IF('calcA'!AS$106=1,ER32,1)</f>
        <v/>
      </c>
      <c r="KG32">
        <f>IF('calcA'!AT$106=1,ES32,1)</f>
        <v/>
      </c>
      <c r="KH32">
        <f>IF('calcA'!AU$106=1,ET32,1)</f>
        <v/>
      </c>
      <c r="KI32">
        <f>IF('calcA'!AV$106=1,EU32,1)</f>
        <v/>
      </c>
      <c r="KJ32">
        <f>IF('calcA'!AW$106=1,EV32,1)</f>
        <v/>
      </c>
      <c r="KK32">
        <f>IF('calcA'!AX$106=1,EW32,1)</f>
        <v/>
      </c>
      <c r="KL32">
        <f>IF('calcA'!AY$106=1,EX32,1)</f>
        <v/>
      </c>
      <c r="KM32">
        <f>IF('calcA'!AZ$106=1,EY32,1)</f>
        <v/>
      </c>
      <c r="KN32">
        <f>IF('calcA'!BA$106=1,EZ32,1)</f>
        <v/>
      </c>
      <c r="KO32">
        <f>IF('calcA'!BB$106=1,FA32,1)</f>
        <v/>
      </c>
      <c r="KP32">
        <f>IF('calcA'!BC$106=1,FB32,1)</f>
        <v/>
      </c>
      <c r="KQ32">
        <f>IF('calcA'!BD$106=1,FC32,1)</f>
        <v/>
      </c>
      <c r="KR32">
        <f>IF('calcA'!BE$106=1,FD32,1)</f>
        <v/>
      </c>
      <c r="KS32">
        <f>IF('calcA'!BF$106=1,FE32,1)</f>
        <v/>
      </c>
      <c r="KT32">
        <f>IF('calcA'!BG$106=1,FF32,1)</f>
        <v/>
      </c>
      <c r="KU32">
        <f>IF('calcA'!BH$106=1,FG32,1)</f>
        <v/>
      </c>
      <c r="KV32">
        <f>IF('calcA'!BI$106=1,FH32,1)</f>
        <v/>
      </c>
      <c r="KW32">
        <f>IF('calcA'!BJ$106=1,FI32,1)</f>
        <v/>
      </c>
      <c r="KX32">
        <f>IF('calcA'!BK$106=1,FJ32,1)</f>
        <v/>
      </c>
      <c r="KY32">
        <f>IF('calcA'!BL$106=1,FK32,1)</f>
        <v/>
      </c>
      <c r="KZ32">
        <f>IF('calcA'!BM$106=1,FL32,1)</f>
        <v/>
      </c>
      <c r="LA32">
        <f>IF('calcA'!BN$106=1,FM32,1)</f>
        <v/>
      </c>
      <c r="LB32">
        <f>IF('calcA'!BO$106=1,FN32,1)</f>
        <v/>
      </c>
      <c r="LC32">
        <f>IF('calcA'!BP$106=1,FO32,1)</f>
        <v/>
      </c>
      <c r="LD32">
        <f>IF('calcA'!BQ$106=1,FP32,1)</f>
        <v/>
      </c>
      <c r="LE32">
        <f>IF('calcA'!BR$106=1,FQ32,1)</f>
        <v/>
      </c>
      <c r="LF32">
        <f>IF('calcA'!BS$106=1,FR32,1)</f>
        <v/>
      </c>
      <c r="LG32">
        <f>IF('calcA'!BT$106=1,FS32,1)</f>
        <v/>
      </c>
      <c r="LH32">
        <f>IF('calcA'!BU$106=1,FT32,1)</f>
        <v/>
      </c>
      <c r="LI32">
        <f>IF('calcA'!BV$106=1,FU32,1)</f>
        <v/>
      </c>
      <c r="LJ32">
        <f>IF('calcA'!BW$106=1,FV32,1)</f>
        <v/>
      </c>
      <c r="LK32">
        <f>IF('calcA'!BX$106=1,FW32,1)</f>
        <v/>
      </c>
      <c r="LL32">
        <f>IF('calcA'!BY$106=1,FX32,1)</f>
        <v/>
      </c>
      <c r="LM32">
        <f>IF('calcA'!BZ$106=1,FY32,1)</f>
        <v/>
      </c>
      <c r="LN32">
        <f>IF('calcA'!CA$106=1,FZ32,1)</f>
        <v/>
      </c>
      <c r="LO32">
        <f>IF('calcA'!CB$106=1,GA32,1)</f>
        <v/>
      </c>
      <c r="LP32">
        <f>IF('calcA'!CC$106=1,GB32,1)</f>
        <v/>
      </c>
      <c r="LQ32">
        <f>IF('calcA'!CD$106=1,GC32,1)</f>
        <v/>
      </c>
      <c r="LR32">
        <f>IF('calcA'!CE$106=1,GD32,1)</f>
        <v/>
      </c>
      <c r="LS32">
        <f>IF('calcA'!CF$106=1,GE32,1)</f>
        <v/>
      </c>
      <c r="LT32">
        <f>IF('calcA'!CG$106=1,GF32,1)</f>
        <v/>
      </c>
      <c r="LU32">
        <f>IF('calcA'!CH$106=1,GG32,1)</f>
        <v/>
      </c>
      <c r="LV32">
        <f>IF('calcA'!CI$106=1,GH32,1)</f>
        <v/>
      </c>
      <c r="LW32">
        <f>IF('calcA'!CJ$106=1,GI32,1)</f>
        <v/>
      </c>
      <c r="LX32">
        <f>IF('calcA'!CK$106=1,GJ32,1)</f>
        <v/>
      </c>
      <c r="LY32">
        <f>IF('calcA'!CL$106=1,GK32,1)</f>
        <v/>
      </c>
      <c r="LZ32">
        <f>IF('calcA'!CM$106=1,GL32,1)</f>
        <v/>
      </c>
      <c r="MA32">
        <f>IF('calcA'!CN$106=1,GM32,1)</f>
        <v/>
      </c>
      <c r="MB32">
        <f>IF('calcA'!CO$106=1,GN32,1)</f>
        <v/>
      </c>
      <c r="MC32">
        <f>IF('calcA'!CP$106=1,GO32,1)</f>
        <v/>
      </c>
      <c r="MD32">
        <f>IF('calcA'!CQ$106=1,GP32,1)</f>
        <v/>
      </c>
      <c r="ME32">
        <f>IF('calcA'!CR$106=1,GQ32,1)</f>
        <v/>
      </c>
      <c r="MF32">
        <f>IF('calcA'!CS$106=1,GR32,1)</f>
        <v/>
      </c>
      <c r="MG32">
        <f>IF('calcA'!CT$106=1,GS32,1)</f>
        <v/>
      </c>
      <c r="MH32">
        <f>IF('calcA'!CU$106=1,GT32,1)</f>
        <v/>
      </c>
      <c r="MI32">
        <f>IF('calcA'!CV$106=1,GU32,1)</f>
        <v/>
      </c>
      <c r="MJ32">
        <f>IF('calcA'!CW$106=1,GV32,1)</f>
        <v/>
      </c>
      <c r="MK32">
        <f>IF('calcA'!CX$106=1,GW32,1)</f>
        <v/>
      </c>
      <c r="ML32">
        <f>IF('calcA'!CY$106=1,GX32,1)</f>
        <v/>
      </c>
      <c r="MM32">
        <f>IF('calcA'!CZ$106=1,GY32,1)</f>
        <v/>
      </c>
      <c r="MN32">
        <f>IF('calcA'!DA$106=1,GZ32,1)</f>
        <v/>
      </c>
      <c r="MO32">
        <f>IF('calcA'!DB$106=1,HA32,1)</f>
        <v/>
      </c>
      <c r="MP32">
        <f>IF('calcA'!DC$106=1,HB32,1)</f>
        <v/>
      </c>
      <c r="MQ32">
        <f>IF('calcA'!DD$106=1,HC32,1)</f>
        <v/>
      </c>
      <c r="MR32">
        <f>IF('calcA'!DE$106=1,HD32,1)</f>
        <v/>
      </c>
      <c r="MS32">
        <f>IF('calcA'!DF$106=1,HE32,1)</f>
        <v/>
      </c>
      <c r="MT32">
        <f>IF('calcA'!DG$106=1,HF32,1)</f>
        <v/>
      </c>
      <c r="MU32">
        <f>IF('calcA'!DH$106=1,HG32,1)</f>
        <v/>
      </c>
      <c r="MV32">
        <f>IF('calcA'!DI$106=1,HH32,1)</f>
        <v/>
      </c>
      <c r="MW32">
        <f>IF('calcA'!DJ$106=1,HI32,1)</f>
        <v/>
      </c>
      <c r="MX32">
        <f>IF('calcA'!DK$106=1,HJ32,1)</f>
        <v/>
      </c>
      <c r="MY32">
        <f>IF('calcA'!DL$106=1,HK32,1)</f>
        <v/>
      </c>
      <c r="MZ32">
        <f>IF('calcA'!DM$106=1,HL32,1)</f>
        <v/>
      </c>
      <c r="NA32">
        <f>IF('calcA'!DN$106=1,HM32,1)</f>
        <v/>
      </c>
      <c r="NB32">
        <f>IF('calcA'!DO$106=1,HN32,1)</f>
        <v/>
      </c>
      <c r="NC32">
        <f>IF('calcA'!DP$106=1,HO32,1)</f>
        <v/>
      </c>
      <c r="ND32">
        <f>IF('calcA'!DQ$106=1,HP32,1)</f>
        <v/>
      </c>
      <c r="NE32">
        <f>IF('calcA'!DR$106=1,HQ32,1)</f>
        <v/>
      </c>
      <c r="NF32">
        <f>IF('calcA'!DS$106=1,HR32,1)</f>
        <v/>
      </c>
      <c r="NG32">
        <f>IF('calcA'!DT$106=1,HS32,1)</f>
        <v/>
      </c>
      <c r="NH32">
        <f>IF('calcA'!DU$106=1,HT32,1)</f>
        <v/>
      </c>
      <c r="NI32">
        <f>IF('calcA'!DV$106=1,HU32,1)</f>
        <v/>
      </c>
      <c r="NJ32">
        <f>IF('calcA'!DW$106=1,HV32,1)</f>
        <v/>
      </c>
      <c r="NK32">
        <f>IF('calcA'!DX$106=1,HW32,1)</f>
        <v/>
      </c>
      <c r="NL32">
        <f>IF('calcA'!DY$106=1,HX32,1)</f>
        <v/>
      </c>
      <c r="NM32">
        <f>IF('calcA'!DZ$106=1,HY32,1)</f>
        <v/>
      </c>
      <c r="NN32">
        <f>IF('calcA'!EA$106=1,HZ32,1)</f>
        <v/>
      </c>
      <c r="NO32">
        <f>IF('calcA'!EB$106=1,IA32,1)</f>
        <v/>
      </c>
      <c r="NP32">
        <f>IF('calcA'!EC$106=1,IB32,1)</f>
        <v/>
      </c>
      <c r="NQ32">
        <f>IF('calcA'!ED$106=1,IC32,1)</f>
        <v/>
      </c>
      <c r="NR32">
        <f>IF('calcA'!EE$106=1,ID32,1)</f>
        <v/>
      </c>
      <c r="NS32">
        <f>IF('calcA'!EF$106=1,IE32,1)</f>
        <v/>
      </c>
      <c r="NT32">
        <f>IF('calcA'!EG$106=1,IF32,1)</f>
        <v/>
      </c>
      <c r="NU32">
        <f>IF('calcA'!EH$106=1,IG32,1)</f>
        <v/>
      </c>
      <c r="NV32">
        <f>IF('calcA'!EI$106=1,IH32,1)</f>
        <v/>
      </c>
      <c r="NW32">
        <f>IF('calcA'!EJ$106=1,II32,1)</f>
        <v/>
      </c>
      <c r="NX32">
        <f>IF('calcA'!EK$106=1,IJ32,1)</f>
        <v/>
      </c>
      <c r="NY32">
        <f>IF('calcA'!EL$106=1,IK32,1)</f>
        <v/>
      </c>
      <c r="NZ32">
        <f>IF('calcA'!EM$106=1,IL32,1)</f>
        <v/>
      </c>
      <c r="OA32">
        <f>IF('calcA'!EN$106=1,IM32,1)</f>
        <v/>
      </c>
      <c r="OB32">
        <f>IF('calcA'!EO$106=1,IN32,1)</f>
        <v/>
      </c>
      <c r="OC32">
        <f>IF('calcA'!EP$106=1,IO32,1)</f>
        <v/>
      </c>
      <c r="OD32" t="n">
        <v>1</v>
      </c>
      <c r="OF32">
        <f>IF($B32=0,1000000000,IF(INDEX('calcA'!$D$60:$EQ$99,$B32,1)*IF($W32=1,DB32+ZQ32,DB32)=1,IF(AND($E32=2,IF($W32=1,AFF32,IQ32)=0),1000000000,IF($V32=1,INDEX('calcA'!$D$130:$EQ$169,$B32,1)+IF(AND($E32=1,IQ32=0),25,0),IF($F32&gt;0,INDEX('calcA'!D$110:D$114,$F32+1)+IF(AND($E32=1,IQ32=0),1000,0),MIN(TU32,20)*400+(IF('calcA'!D$106=1,1-DC32,0))*150+11+'calcA'!D$5*100000+IF(AND($E32=1,IQ32=0),50000,0))+IF($H32=1,INDEX('calcA'!$D$180:$EQ$219,$B32,1)*4000,0)-IF(AND($U32=1,'calcA'!D$117=1,DC32=0),2000,0))),1000000000))</f>
        <v/>
      </c>
      <c r="OG32">
        <f>IF($B32=0,1000000000,IF(INDEX('calcA'!$D$60:$EQ$99,$B32,2)*IF($W32=1,DC32+ZR32,DC32)=1,IF(AND($E32=2,IF($W32=1,AFG32,IR32)=0),1000000000,IF($V32=1,INDEX('calcA'!$D$130:$EQ$169,$B32,2)+IF(AND($E32=1,IR32=0),25,0),IF($F32&gt;0,INDEX('calcA'!E$110:E$114,$F32+1)+IF(AND($E32=1,IR32=0),1000,0),MIN(TU32,20)*400+(IF('calcA'!D$106=1,1-DB32,0)+IF('calcA'!E$106=1,1-DD32,0))*150+21+'calcA'!E$5*100000+IF(AND($E32=1,IR32=0),50000,0))+IF($H32=1,INDEX('calcA'!$D$180:$EQ$219,$B32,2)*4000,0)-IF(AND('calcA'!D$117=1,UB32&gt;0),2000,0)-IF(AND($U32=1,'calcA'!E$117=1,DD32=0),2000,0))),1000000000))</f>
        <v/>
      </c>
      <c r="OH32">
        <f>IF($B32=0,1000000000,IF(INDEX('calcA'!$D$60:$EQ$99,$B32,3)*IF($W32=1,DD32+ZS32,DD32)=1,IF(AND($E32=2,IF($W32=1,AFH32,IS32)=0),1000000000,IF($V32=1,INDEX('calcA'!$D$130:$EQ$169,$B32,3)+IF(AND($E32=1,IS32=0),25,0),IF($F32&gt;0,INDEX('calcA'!F$110:F$114,$F32+1)+IF(AND($E32=1,IS32=0),1000,0),MIN(TU32,20)*400+(IF('calcA'!E$106=1,1-DC32,0)+IF('calcA'!F$106=1,1-DE32,0))*150+31+'calcA'!F$5*100000+IF(AND($E32=1,IS32=0),50000,0))+IF($H32=1,INDEX('calcA'!$D$180:$EQ$219,$B32,3)*4000,0)-IF(AND('calcA'!E$117=1,UC32&gt;0),2000,0)-IF(AND($U32=1,'calcA'!F$117=1,DE32=0),2000,0))),1000000000))</f>
        <v/>
      </c>
      <c r="OI32">
        <f>IF($B32=0,1000000000,IF(INDEX('calcA'!$D$60:$EQ$99,$B32,4)*IF($W32=1,DE32+ZT32,DE32)=1,IF(AND($E32=2,IF($W32=1,AFI32,IT32)=0),1000000000,IF($V32=1,INDEX('calcA'!$D$130:$EQ$169,$B32,4)+IF(AND($E32=1,IT32=0),25,0),IF($F32&gt;0,INDEX('calcA'!G$110:G$114,$F32+1)+IF(AND($E32=1,IT32=0),1000,0),MIN(TU32,20)*400+(IF('calcA'!F$106=1,1-DD32,0)+IF('calcA'!G$106=1,1-DF32,0))*150+41+'calcA'!G$5*100000+IF(AND($E32=1,IT32=0),50000,0))+IF($H32=1,INDEX('calcA'!$D$180:$EQ$219,$B32,4)*4000,0)-IF(AND('calcA'!F$117=1,UD32&gt;0),2000,0)-IF(AND($U32=1,'calcA'!G$117=1,DF32=0),2000,0))),1000000000))</f>
        <v/>
      </c>
      <c r="OJ32">
        <f>IF($B32=0,1000000000,IF(INDEX('calcA'!$D$60:$EQ$99,$B32,5)*IF($W32=1,DF32+ZU32,DF32)=1,IF(AND($E32=2,IF($W32=1,AFJ32,IU32)=0),1000000000,IF($V32=1,INDEX('calcA'!$D$130:$EQ$169,$B32,5)+IF(AND($E32=1,IU32=0),25,0),IF($F32&gt;0,INDEX('calcA'!H$110:H$114,$F32+1)+IF(AND($E32=1,IU32=0),1000,0),MIN(TU32,20)*400+(IF('calcA'!G$106=1,1-DE32,0)+IF('calcA'!H$106=1,1-DG32,0))*150+51+'calcA'!H$5*100000+IF(AND($E32=1,IU32=0),50000,0))+IF($H32=1,INDEX('calcA'!$D$180:$EQ$219,$B32,5)*4000,0)-IF(AND('calcA'!G$117=1,UE32&gt;0),2000,0)-IF(AND($U32=1,'calcA'!H$117=1,DG32=0),2000,0))),1000000000))</f>
        <v/>
      </c>
      <c r="OK32">
        <f>IF($B32=0,1000000000,IF(INDEX('calcA'!$D$60:$EQ$99,$B32,6)*IF($W32=1,DG32+ZV32,DG32)=1,IF(AND($E32=2,IF($W32=1,AFK32,IV32)=0),1000000000,IF($V32=1,INDEX('calcA'!$D$130:$EQ$169,$B32,6)+IF(AND($E32=1,IV32=0),25,0),IF($F32&gt;0,INDEX('calcA'!I$110:I$114,$F32+1)+IF(AND($E32=1,IV32=0),1000,0),MIN(TU32,20)*400+(IF('calcA'!H$106=1,1-DF32,0)+IF('calcA'!I$106=1,1-DH32,0))*150+61+'calcA'!I$5*100000+IF(AND($E32=1,IV32=0),50000,0))+IF($H32=1,INDEX('calcA'!$D$180:$EQ$219,$B32,6)*4000,0)-IF(AND('calcA'!H$117=1,UF32&gt;0),2000,0)-IF(AND($U32=1,'calcA'!I$117=1,DH32=0),2000,0))),1000000000))</f>
        <v/>
      </c>
      <c r="OL32">
        <f>IF($B32=0,1000000000,IF(INDEX('calcA'!$D$60:$EQ$99,$B32,7)*IF($W32=1,DH32+ZW32,DH32)=1,IF(AND($E32=2,IF($W32=1,AFL32,IW32)=0),1000000000,IF($V32=1,INDEX('calcA'!$D$130:$EQ$169,$B32,7)+IF(AND($E32=1,IW32=0),25,0),IF($F32&gt;0,INDEX('calcA'!J$110:J$114,$F32+1)+IF(AND($E32=1,IW32=0),1000,0),MIN(TU32,20)*400+(IF('calcA'!I$106=1,1-DG32,0)+IF('calcA'!J$106=1,1-DI32,0))*150+71+'calcA'!J$5*100000+IF(AND($E32=1,IW32=0),50000,0))+IF($H32=1,INDEX('calcA'!$D$180:$EQ$219,$B32,7)*4000,0)-IF(AND('calcA'!I$117=1,UG32&gt;0),2000,0)-IF(AND($U32=1,'calcA'!J$117=1,DI32=0),2000,0))),1000000000))</f>
        <v/>
      </c>
      <c r="OM32">
        <f>IF($B32=0,1000000000,IF(INDEX('calcA'!$D$60:$EQ$99,$B32,8)*IF($W32=1,DI32+ZX32,DI32)=1,IF(AND($E32=2,IF($W32=1,AFM32,IX32)=0),1000000000,IF($V32=1,INDEX('calcA'!$D$130:$EQ$169,$B32,8)+IF(AND($E32=1,IX32=0),25,0),IF($F32&gt;0,INDEX('calcA'!K$110:K$114,$F32+1)+IF(AND($E32=1,IX32=0),1000,0),MIN(TU32,20)*400+(IF('calcA'!J$106=1,1-DH32,0)+IF('calcA'!K$106=1,1-DJ32,0))*150+81+'calcA'!K$5*100000+IF(AND($E32=1,IX32=0),50000,0))+IF($H32=1,INDEX('calcA'!$D$180:$EQ$219,$B32,8)*4000,0)-IF(AND('calcA'!J$117=1,UH32&gt;0),2000,0)-IF(AND($U32=1,'calcA'!K$117=1,DJ32=0),2000,0))),1000000000))</f>
        <v/>
      </c>
      <c r="ON32">
        <f>IF($B32=0,1000000000,IF(INDEX('calcA'!$D$60:$EQ$99,$B32,9)*IF($W32=1,DJ32+ZY32,DJ32)=1,IF(AND($E32=2,IF($W32=1,AFN32,IY32)=0),1000000000,IF($V32=1,INDEX('calcA'!$D$130:$EQ$169,$B32,9)+IF(AND($E32=1,IY32=0),25,0),IF($F32&gt;0,INDEX('calcA'!L$110:L$114,$F32+1)+IF(AND($E32=1,IY32=0),1000,0),MIN(TU32,20)*400+(IF('calcA'!K$106=1,1-DI32,0)+IF('calcA'!L$106=1,1-DK32,0))*150+91+'calcA'!L$5*100000+IF(AND($E32=1,IY32=0),50000,0))+IF($H32=1,INDEX('calcA'!$D$180:$EQ$219,$B32,9)*4000,0)-IF(AND('calcA'!K$117=1,UI32&gt;0),2000,0)-IF(AND($U32=1,'calcA'!L$117=1,DK32=0),2000,0))),1000000000))</f>
        <v/>
      </c>
      <c r="OO32">
        <f>IF($B32=0,1000000000,IF(INDEX('calcA'!$D$60:$EQ$99,$B32,10)*IF($W32=1,DK32+ZZ32,DK32)=1,IF(AND($E32=2,IF($W32=1,AFO32,IZ32)=0),1000000000,IF($V32=1,INDEX('calcA'!$D$130:$EQ$169,$B32,10)+IF(AND($E32=1,IZ32=0),25,0),IF($F32&gt;0,INDEX('calcA'!M$110:M$114,$F32+1)+IF(AND($E32=1,IZ32=0),1000,0),MIN(TU32,20)*400+(IF('calcA'!L$106=1,1-DJ32,0)+IF('calcA'!M$106=1,1-DL32,0))*150+101+'calcA'!M$5*100000+IF(AND($E32=1,IZ32=0),50000,0))+IF($H32=1,INDEX('calcA'!$D$180:$EQ$219,$B32,10)*4000,0)-IF(AND('calcA'!L$117=1,UJ32&gt;0),2000,0)-IF(AND($U32=1,'calcA'!M$117=1,DL32=0),2000,0))),1000000000))</f>
        <v/>
      </c>
      <c r="OP32">
        <f>IF($B32=0,1000000000,IF(INDEX('calcA'!$D$60:$EQ$99,$B32,11)*IF($W32=1,DL32+AAA32,DL32)=1,IF(AND($E32=2,IF($W32=1,AFP32,JA32)=0),1000000000,IF($V32=1,INDEX('calcA'!$D$130:$EQ$169,$B32,11)+IF(AND($E32=1,JA32=0),25,0),IF($F32&gt;0,INDEX('calcA'!N$110:N$114,$F32+1)+IF(AND($E32=1,JA32=0),1000,0),MIN(TU32,20)*400+(IF('calcA'!M$106=1,1-DK32,0)+IF('calcA'!N$106=1,1-DM32,0))*150+111+'calcA'!N$5*100000+IF(AND($E32=1,JA32=0),50000,0))+IF($H32=1,INDEX('calcA'!$D$180:$EQ$219,$B32,11)*4000,0)-IF(AND('calcA'!M$117=1,UK32&gt;0),2000,0)-IF(AND($U32=1,'calcA'!N$117=1,DM32=0),2000,0))),1000000000))</f>
        <v/>
      </c>
      <c r="OQ32">
        <f>IF($B32=0,1000000000,IF(INDEX('calcA'!$D$60:$EQ$99,$B32,12)*IF($W32=1,DM32+AAB32,DM32)=1,IF(AND($E32=2,IF($W32=1,AFQ32,JB32)=0),1000000000,IF($V32=1,INDEX('calcA'!$D$130:$EQ$169,$B32,12)+IF(AND($E32=1,JB32=0),25,0),IF($F32&gt;0,INDEX('calcA'!O$110:O$114,$F32+1)+IF(AND($E32=1,JB32=0),1000,0),MIN(TU32,20)*400+(IF('calcA'!N$106=1,1-DL32,0)+IF('calcA'!O$106=1,1-DN32,0))*150+121+'calcA'!O$5*100000+IF(AND($E32=1,JB32=0),50000,0))+IF($H32=1,INDEX('calcA'!$D$180:$EQ$219,$B32,12)*4000,0)-IF(AND('calcA'!N$117=1,UL32&gt;0),2000,0)-IF(AND($U32=1,'calcA'!O$117=1,DN32=0),2000,0))),1000000000))</f>
        <v/>
      </c>
      <c r="OR32">
        <f>IF($B32=0,1000000000,IF(INDEX('calcA'!$D$60:$EQ$99,$B32,13)*IF($W32=1,DN32+AAC32,DN32)=1,IF(AND($E32=2,IF($W32=1,AFR32,JC32)=0),1000000000,IF($V32=1,INDEX('calcA'!$D$130:$EQ$169,$B32,13)+IF(AND($E32=1,JC32=0),25,0),IF($F32&gt;0,INDEX('calcA'!P$110:P$114,$F32+1)+IF(AND($E32=1,JC32=0),1000,0),MIN(TU32,20)*400+(IF('calcA'!O$106=1,1-DM32,0)+IF('calcA'!P$106=1,1-DO32,0))*150+131+'calcA'!P$5*100000+IF(AND($E32=1,JC32=0),50000,0))+IF($H32=1,INDEX('calcA'!$D$180:$EQ$219,$B32,13)*4000,0)-IF(AND('calcA'!O$117=1,UM32&gt;0),2000,0)-IF(AND($U32=1,'calcA'!P$117=1,DO32=0),2000,0))),1000000000))</f>
        <v/>
      </c>
      <c r="OS32">
        <f>IF($B32=0,1000000000,IF(INDEX('calcA'!$D$60:$EQ$99,$B32,14)*IF($W32=1,DO32+AAD32,DO32)=1,IF(AND($E32=2,IF($W32=1,AFS32,JD32)=0),1000000000,IF($V32=1,INDEX('calcA'!$D$130:$EQ$169,$B32,14)+IF(AND($E32=1,JD32=0),25,0),IF($F32&gt;0,INDEX('calcA'!Q$110:Q$114,$F32+1)+IF(AND($E32=1,JD32=0),1000,0),MIN(TU32,20)*400+(IF('calcA'!P$106=1,1-DN32,0)+IF('calcA'!Q$106=1,1-DP32,0))*150+141+'calcA'!Q$5*100000+IF(AND($E32=1,JD32=0),50000,0))+IF($H32=1,INDEX('calcA'!$D$180:$EQ$219,$B32,14)*4000,0)-IF(AND('calcA'!P$117=1,UN32&gt;0),2000,0)-IF(AND($U32=1,'calcA'!Q$117=1,DP32=0),2000,0))),1000000000))</f>
        <v/>
      </c>
      <c r="OT32">
        <f>IF($B32=0,1000000000,IF(INDEX('calcA'!$D$60:$EQ$99,$B32,15)*IF($W32=1,DP32+AAE32,DP32)=1,IF(AND($E32=2,IF($W32=1,AFT32,JE32)=0),1000000000,IF($V32=1,INDEX('calcA'!$D$130:$EQ$169,$B32,15)+IF(AND($E32=1,JE32=0),25,0),IF($F32&gt;0,INDEX('calcA'!R$110:R$114,$F32+1)+IF(AND($E32=1,JE32=0),1000,0),MIN(TU32,20)*400+(IF('calcA'!Q$106=1,1-DO32,0)+IF('calcA'!R$106=1,1-DQ32,0))*150+151+'calcA'!R$5*100000+IF(AND($E32=1,JE32=0),50000,0))+IF($H32=1,INDEX('calcA'!$D$180:$EQ$219,$B32,15)*4000,0)-IF(AND('calcA'!Q$117=1,UO32&gt;0),2000,0)-IF(AND($U32=1,'calcA'!R$117=1,DQ32=0),2000,0))),1000000000))</f>
        <v/>
      </c>
      <c r="OU32">
        <f>IF($B32=0,1000000000,IF(INDEX('calcA'!$D$60:$EQ$99,$B32,16)*IF($W32=1,DQ32+AAF32,DQ32)=1,IF(AND($E32=2,IF($W32=1,AFU32,JF32)=0),1000000000,IF($V32=1,INDEX('calcA'!$D$130:$EQ$169,$B32,16)+IF(AND($E32=1,JF32=0),25,0),IF($F32&gt;0,INDEX('calcA'!S$110:S$114,$F32+1)+IF(AND($E32=1,JF32=0),1000,0),MIN(TU32,20)*400+(IF('calcA'!R$106=1,1-DP32,0)+IF('calcA'!S$106=1,1-DR32,0))*150+161+'calcA'!S$5*100000+IF(AND($E32=1,JF32=0),50000,0))+IF($H32=1,INDEX('calcA'!$D$180:$EQ$219,$B32,16)*4000,0)-IF(AND('calcA'!R$117=1,UP32&gt;0),2000,0)-IF(AND($U32=1,'calcA'!S$117=1,DR32=0),2000,0))),1000000000))</f>
        <v/>
      </c>
      <c r="OV32">
        <f>IF($B32=0,1000000000,IF(INDEX('calcA'!$D$60:$EQ$99,$B32,17)*IF($W32=1,DR32+AAG32,DR32)=1,IF(AND($E32=2,IF($W32=1,AFV32,JG32)=0),1000000000,IF($V32=1,INDEX('calcA'!$D$130:$EQ$169,$B32,17)+IF(AND($E32=1,JG32=0),25,0),IF($F32&gt;0,INDEX('calcA'!T$110:T$114,$F32+1)+IF(AND($E32=1,JG32=0),1000,0),MIN(TU32,20)*400+(IF('calcA'!S$106=1,1-DQ32,0)+IF('calcA'!T$106=1,1-DS32,0))*150+171+'calcA'!T$5*100000+IF(AND($E32=1,JG32=0),50000,0))+IF($H32=1,INDEX('calcA'!$D$180:$EQ$219,$B32,17)*4000,0)-IF(AND('calcA'!S$117=1,UQ32&gt;0),2000,0)-IF(AND($U32=1,'calcA'!T$117=1,DS32=0),2000,0))),1000000000))</f>
        <v/>
      </c>
      <c r="OW32">
        <f>IF($B32=0,1000000000,IF(INDEX('calcA'!$D$60:$EQ$99,$B32,18)*IF($W32=1,DS32+AAH32,DS32)=1,IF(AND($E32=2,IF($W32=1,AFW32,JH32)=0),1000000000,IF($V32=1,INDEX('calcA'!$D$130:$EQ$169,$B32,18)+IF(AND($E32=1,JH32=0),25,0),IF($F32&gt;0,INDEX('calcA'!U$110:U$114,$F32+1)+IF(AND($E32=1,JH32=0),1000,0),MIN(TU32,20)*400+(IF('calcA'!T$106=1,1-DR32,0)+IF('calcA'!U$106=1,1-DT32,0))*150+181+'calcA'!U$5*100000+IF(AND($E32=1,JH32=0),50000,0))+IF($H32=1,INDEX('calcA'!$D$180:$EQ$219,$B32,18)*4000,0)-IF(AND('calcA'!T$117=1,UR32&gt;0),2000,0)-IF(AND($U32=1,'calcA'!U$117=1,DT32=0),2000,0))),1000000000))</f>
        <v/>
      </c>
      <c r="OX32">
        <f>IF($B32=0,1000000000,IF(INDEX('calcA'!$D$60:$EQ$99,$B32,19)*IF($W32=1,DT32+AAI32,DT32)=1,IF(AND($E32=2,IF($W32=1,AFX32,JI32)=0),1000000000,IF($V32=1,INDEX('calcA'!$D$130:$EQ$169,$B32,19)+IF(AND($E32=1,JI32=0),25,0),IF($F32&gt;0,INDEX('calcA'!V$110:V$114,$F32+1)+IF(AND($E32=1,JI32=0),1000,0),MIN(TU32,20)*400+(IF('calcA'!U$106=1,1-DS32,0)+IF('calcA'!V$106=1,1-DU32,0))*150+191+'calcA'!V$5*100000+IF(AND($E32=1,JI32=0),50000,0))+IF($H32=1,INDEX('calcA'!$D$180:$EQ$219,$B32,19)*4000,0)-IF(AND('calcA'!U$117=1,US32&gt;0),2000,0)-IF(AND($U32=1,'calcA'!V$117=1,DU32=0),2000,0))),1000000000))</f>
        <v/>
      </c>
      <c r="OY32">
        <f>IF($B32=0,1000000000,IF(INDEX('calcA'!$D$60:$EQ$99,$B32,20)*IF($W32=1,DU32+AAJ32,DU32)=1,IF(AND($E32=2,IF($W32=1,AFY32,JJ32)=0),1000000000,IF($V32=1,INDEX('calcA'!$D$130:$EQ$169,$B32,20)+IF(AND($E32=1,JJ32=0),25,0),IF($F32&gt;0,INDEX('calcA'!W$110:W$114,$F32+1)+IF(AND($E32=1,JJ32=0),1000,0),MIN(TU32,20)*400+(IF('calcA'!V$106=1,1-DT32,0)+IF('calcA'!W$106=1,1-DV32,0))*150+201+'calcA'!W$5*100000+IF(AND($E32=1,JJ32=0),50000,0))+IF($H32=1,INDEX('calcA'!$D$180:$EQ$219,$B32,20)*4000,0)-IF(AND('calcA'!V$117=1,UT32&gt;0),2000,0)-IF(AND($U32=1,'calcA'!W$117=1,DV32=0),2000,0))),1000000000))</f>
        <v/>
      </c>
      <c r="OZ32">
        <f>IF($B32=0,1000000000,IF(INDEX('calcA'!$D$60:$EQ$99,$B32,21)*IF($W32=1,DV32+AAK32,DV32)=1,IF(AND($E32=2,IF($W32=1,AFZ32,JK32)=0),1000000000,IF($V32=1,INDEX('calcA'!$D$130:$EQ$169,$B32,21)+IF(AND($E32=1,JK32=0),25,0),IF($F32&gt;0,INDEX('calcA'!X$110:X$114,$F32+1)+IF(AND($E32=1,JK32=0),1000,0),MIN(TU32,20)*400+(IF('calcA'!W$106=1,1-DU32,0)+IF('calcA'!X$106=1,1-DW32,0))*150+211+'calcA'!X$5*100000+IF(AND($E32=1,JK32=0),50000,0))+IF($H32=1,INDEX('calcA'!$D$180:$EQ$219,$B32,21)*4000,0)-IF(AND('calcA'!W$117=1,UU32&gt;0),2000,0)-IF(AND($U32=1,'calcA'!X$117=1,DW32=0),2000,0))),1000000000))</f>
        <v/>
      </c>
      <c r="PA32">
        <f>IF($B32=0,1000000000,IF(INDEX('calcA'!$D$60:$EQ$99,$B32,22)*IF($W32=1,DW32+AAL32,DW32)=1,IF(AND($E32=2,IF($W32=1,AGA32,JL32)=0),1000000000,IF($V32=1,INDEX('calcA'!$D$130:$EQ$169,$B32,22)+IF(AND($E32=1,JL32=0),25,0),IF($F32&gt;0,INDEX('calcA'!Y$110:Y$114,$F32+1)+IF(AND($E32=1,JL32=0),1000,0),MIN(TU32,20)*400+(IF('calcA'!X$106=1,1-DV32,0)+IF('calcA'!Y$106=1,1-DX32,0))*150+221+'calcA'!Y$5*100000+IF(AND($E32=1,JL32=0),50000,0))+IF($H32=1,INDEX('calcA'!$D$180:$EQ$219,$B32,22)*4000,0)-IF(AND('calcA'!X$117=1,UV32&gt;0),2000,0)-IF(AND($U32=1,'calcA'!Y$117=1,DX32=0),2000,0))),1000000000))</f>
        <v/>
      </c>
      <c r="PB32">
        <f>IF($B32=0,1000000000,IF(INDEX('calcA'!$D$60:$EQ$99,$B32,23)*IF($W32=1,DX32+AAM32,DX32)=1,IF(AND($E32=2,IF($W32=1,AGB32,JM32)=0),1000000000,IF($V32=1,INDEX('calcA'!$D$130:$EQ$169,$B32,23)+IF(AND($E32=1,JM32=0),25,0),IF($F32&gt;0,INDEX('calcA'!Z$110:Z$114,$F32+1)+IF(AND($E32=1,JM32=0),1000,0),MIN(TU32,20)*400+(IF('calcA'!Y$106=1,1-DW32,0)+IF('calcA'!Z$106=1,1-DY32,0))*150+231+'calcA'!Z$5*100000+IF(AND($E32=1,JM32=0),50000,0))+IF($H32=1,INDEX('calcA'!$D$180:$EQ$219,$B32,23)*4000,0)-IF(AND('calcA'!Y$117=1,UW32&gt;0),2000,0)-IF(AND($U32=1,'calcA'!Z$117=1,DY32=0),2000,0))),1000000000))</f>
        <v/>
      </c>
      <c r="PC32">
        <f>IF($B32=0,1000000000,IF(INDEX('calcA'!$D$60:$EQ$99,$B32,24)*IF($W32=1,DY32+AAN32,DY32)=1,IF(AND($E32=2,IF($W32=1,AGC32,JN32)=0),1000000000,IF($V32=1,INDEX('calcA'!$D$130:$EQ$169,$B32,24)+IF(AND($E32=1,JN32=0),25,0),IF($F32&gt;0,INDEX('calcA'!AA$110:AA$114,$F32+1)+IF(AND($E32=1,JN32=0),1000,0),MIN(TU32,20)*400+(IF('calcA'!Z$106=1,1-DX32,0))*150+241+'calcA'!AA$5*100000+IF(AND($E32=1,JN32=0),50000,0))+IF($H32=1,INDEX('calcA'!$D$180:$EQ$219,$B32,24)*4000,0)-IF(AND('calcA'!Z$117=1,UX32&gt;0),2000,0))),1000000000))</f>
        <v/>
      </c>
      <c r="PD32">
        <f>IF($B32=0,1000000000,IF(INDEX('calcA'!$D$60:$EQ$99,$B32,25)*IF($W32=1,DZ32+AAO32,DZ32)=1,IF(AND($E32=2,IF($W32=1,AGD32,JO32)=0),1000000000,IF($V32=1,INDEX('calcA'!$D$130:$EQ$169,$B32,25)+IF(AND($E32=1,JO32=0),25,0),IF($F32&gt;0,INDEX('calcA'!AB$110:AB$114,$F32+1)+IF(AND($E32=1,JO32=0),1000,0),MIN(TV32,20)*400+(IF('calcA'!AB$106=1,1-EA32,0))*150+12+'calcA'!AB$5*100000+IF(AND($E32=1,JO32=0),50000,0))+IF($H32=1,INDEX('calcA'!$D$180:$EQ$219,$B32,25)*4000,0)-IF(AND($U32=1,'calcA'!AB$117=1,EA32=0),2000,0))),1000000000))</f>
        <v/>
      </c>
      <c r="PE32">
        <f>IF($B32=0,1000000000,IF(INDEX('calcA'!$D$60:$EQ$99,$B32,26)*IF($W32=1,EA32+AAP32,EA32)=1,IF(AND($E32=2,IF($W32=1,AGE32,JP32)=0),1000000000,IF($V32=1,INDEX('calcA'!$D$130:$EQ$169,$B32,26)+IF(AND($E32=1,JP32=0),25,0),IF($F32&gt;0,INDEX('calcA'!AC$110:AC$114,$F32+1)+IF(AND($E32=1,JP32=0),1000,0),MIN(TV32,20)*400+(IF('calcA'!AB$106=1,1-DZ32,0)+IF('calcA'!AC$106=1,1-EB32,0))*150+22+'calcA'!AC$5*100000+IF(AND($E32=1,JP32=0),50000,0))+IF($H32=1,INDEX('calcA'!$D$180:$EQ$219,$B32,26)*4000,0)-IF(AND('calcA'!AB$117=1,UZ32&gt;0),2000,0)-IF(AND($U32=1,'calcA'!AC$117=1,EB32=0),2000,0))),1000000000))</f>
        <v/>
      </c>
      <c r="PF32">
        <f>IF($B32=0,1000000000,IF(INDEX('calcA'!$D$60:$EQ$99,$B32,27)*IF($W32=1,EB32+AAQ32,EB32)=1,IF(AND($E32=2,IF($W32=1,AGF32,JQ32)=0),1000000000,IF($V32=1,INDEX('calcA'!$D$130:$EQ$169,$B32,27)+IF(AND($E32=1,JQ32=0),25,0),IF($F32&gt;0,INDEX('calcA'!AD$110:AD$114,$F32+1)+IF(AND($E32=1,JQ32=0),1000,0),MIN(TV32,20)*400+(IF('calcA'!AC$106=1,1-EA32,0)+IF('calcA'!AD$106=1,1-EC32,0))*150+32+'calcA'!AD$5*100000+IF(AND($E32=1,JQ32=0),50000,0))+IF($H32=1,INDEX('calcA'!$D$180:$EQ$219,$B32,27)*4000,0)-IF(AND('calcA'!AC$117=1,VA32&gt;0),2000,0)-IF(AND($U32=1,'calcA'!AD$117=1,EC32=0),2000,0))),1000000000))</f>
        <v/>
      </c>
      <c r="PG32">
        <f>IF($B32=0,1000000000,IF(INDEX('calcA'!$D$60:$EQ$99,$B32,28)*IF($W32=1,EC32+AAR32,EC32)=1,IF(AND($E32=2,IF($W32=1,AGG32,JR32)=0),1000000000,IF($V32=1,INDEX('calcA'!$D$130:$EQ$169,$B32,28)+IF(AND($E32=1,JR32=0),25,0),IF($F32&gt;0,INDEX('calcA'!AE$110:AE$114,$F32+1)+IF(AND($E32=1,JR32=0),1000,0),MIN(TV32,20)*400+(IF('calcA'!AD$106=1,1-EB32,0)+IF('calcA'!AE$106=1,1-ED32,0))*150+42+'calcA'!AE$5*100000+IF(AND($E32=1,JR32=0),50000,0))+IF($H32=1,INDEX('calcA'!$D$180:$EQ$219,$B32,28)*4000,0)-IF(AND('calcA'!AD$117=1,VB32&gt;0),2000,0)-IF(AND($U32=1,'calcA'!AE$117=1,ED32=0),2000,0))),1000000000))</f>
        <v/>
      </c>
      <c r="PH32">
        <f>IF($B32=0,1000000000,IF(INDEX('calcA'!$D$60:$EQ$99,$B32,29)*IF($W32=1,ED32+AAS32,ED32)=1,IF(AND($E32=2,IF($W32=1,AGH32,JS32)=0),1000000000,IF($V32=1,INDEX('calcA'!$D$130:$EQ$169,$B32,29)+IF(AND($E32=1,JS32=0),25,0),IF($F32&gt;0,INDEX('calcA'!AF$110:AF$114,$F32+1)+IF(AND($E32=1,JS32=0),1000,0),MIN(TV32,20)*400+(IF('calcA'!AE$106=1,1-EC32,0)+IF('calcA'!AF$106=1,1-EE32,0))*150+52+'calcA'!AF$5*100000+IF(AND($E32=1,JS32=0),50000,0))+IF($H32=1,INDEX('calcA'!$D$180:$EQ$219,$B32,29)*4000,0)-IF(AND('calcA'!AE$117=1,VC32&gt;0),2000,0)-IF(AND($U32=1,'calcA'!AF$117=1,EE32=0),2000,0))),1000000000))</f>
        <v/>
      </c>
      <c r="PI32">
        <f>IF($B32=0,1000000000,IF(INDEX('calcA'!$D$60:$EQ$99,$B32,30)*IF($W32=1,EE32+AAT32,EE32)=1,IF(AND($E32=2,IF($W32=1,AGI32,JT32)=0),1000000000,IF($V32=1,INDEX('calcA'!$D$130:$EQ$169,$B32,30)+IF(AND($E32=1,JT32=0),25,0),IF($F32&gt;0,INDEX('calcA'!AG$110:AG$114,$F32+1)+IF(AND($E32=1,JT32=0),1000,0),MIN(TV32,20)*400+(IF('calcA'!AF$106=1,1-ED32,0)+IF('calcA'!AG$106=1,1-EF32,0))*150+62+'calcA'!AG$5*100000+IF(AND($E32=1,JT32=0),50000,0))+IF($H32=1,INDEX('calcA'!$D$180:$EQ$219,$B32,30)*4000,0)-IF(AND('calcA'!AF$117=1,VD32&gt;0),2000,0)-IF(AND($U32=1,'calcA'!AG$117=1,EF32=0),2000,0))),1000000000))</f>
        <v/>
      </c>
      <c r="PJ32">
        <f>IF($B32=0,1000000000,IF(INDEX('calcA'!$D$60:$EQ$99,$B32,31)*IF($W32=1,EF32+AAU32,EF32)=1,IF(AND($E32=2,IF($W32=1,AGJ32,JU32)=0),1000000000,IF($V32=1,INDEX('calcA'!$D$130:$EQ$169,$B32,31)+IF(AND($E32=1,JU32=0),25,0),IF($F32&gt;0,INDEX('calcA'!AH$110:AH$114,$F32+1)+IF(AND($E32=1,JU32=0),1000,0),MIN(TV32,20)*400+(IF('calcA'!AG$106=1,1-EE32,0)+IF('calcA'!AH$106=1,1-EG32,0))*150+72+'calcA'!AH$5*100000+IF(AND($E32=1,JU32=0),50000,0))+IF($H32=1,INDEX('calcA'!$D$180:$EQ$219,$B32,31)*4000,0)-IF(AND('calcA'!AG$117=1,VE32&gt;0),2000,0)-IF(AND($U32=1,'calcA'!AH$117=1,EG32=0),2000,0))),1000000000))</f>
        <v/>
      </c>
      <c r="PK32">
        <f>IF($B32=0,1000000000,IF(INDEX('calcA'!$D$60:$EQ$99,$B32,32)*IF($W32=1,EG32+AAV32,EG32)=1,IF(AND($E32=2,IF($W32=1,AGK32,JV32)=0),1000000000,IF($V32=1,INDEX('calcA'!$D$130:$EQ$169,$B32,32)+IF(AND($E32=1,JV32=0),25,0),IF($F32&gt;0,INDEX('calcA'!AI$110:AI$114,$F32+1)+IF(AND($E32=1,JV32=0),1000,0),MIN(TV32,20)*400+(IF('calcA'!AH$106=1,1-EF32,0)+IF('calcA'!AI$106=1,1-EH32,0))*150+82+'calcA'!AI$5*100000+IF(AND($E32=1,JV32=0),50000,0))+IF($H32=1,INDEX('calcA'!$D$180:$EQ$219,$B32,32)*4000,0)-IF(AND('calcA'!AH$117=1,VF32&gt;0),2000,0)-IF(AND($U32=1,'calcA'!AI$117=1,EH32=0),2000,0))),1000000000))</f>
        <v/>
      </c>
      <c r="PL32">
        <f>IF($B32=0,1000000000,IF(INDEX('calcA'!$D$60:$EQ$99,$B32,33)*IF($W32=1,EH32+AAW32,EH32)=1,IF(AND($E32=2,IF($W32=1,AGL32,JW32)=0),1000000000,IF($V32=1,INDEX('calcA'!$D$130:$EQ$169,$B32,33)+IF(AND($E32=1,JW32=0),25,0),IF($F32&gt;0,INDEX('calcA'!AJ$110:AJ$114,$F32+1)+IF(AND($E32=1,JW32=0),1000,0),MIN(TV32,20)*400+(IF('calcA'!AI$106=1,1-EG32,0)+IF('calcA'!AJ$106=1,1-EI32,0))*150+92+'calcA'!AJ$5*100000+IF(AND($E32=1,JW32=0),50000,0))+IF($H32=1,INDEX('calcA'!$D$180:$EQ$219,$B32,33)*4000,0)-IF(AND('calcA'!AI$117=1,VG32&gt;0),2000,0)-IF(AND($U32=1,'calcA'!AJ$117=1,EI32=0),2000,0))),1000000000))</f>
        <v/>
      </c>
      <c r="PM32">
        <f>IF($B32=0,1000000000,IF(INDEX('calcA'!$D$60:$EQ$99,$B32,34)*IF($W32=1,EI32+AAX32,EI32)=1,IF(AND($E32=2,IF($W32=1,AGM32,JX32)=0),1000000000,IF($V32=1,INDEX('calcA'!$D$130:$EQ$169,$B32,34)+IF(AND($E32=1,JX32=0),25,0),IF($F32&gt;0,INDEX('calcA'!AK$110:AK$114,$F32+1)+IF(AND($E32=1,JX32=0),1000,0),MIN(TV32,20)*400+(IF('calcA'!AJ$106=1,1-EH32,0)+IF('calcA'!AK$106=1,1-EJ32,0))*150+102+'calcA'!AK$5*100000+IF(AND($E32=1,JX32=0),50000,0))+IF($H32=1,INDEX('calcA'!$D$180:$EQ$219,$B32,34)*4000,0)-IF(AND('calcA'!AJ$117=1,VH32&gt;0),2000,0)-IF(AND($U32=1,'calcA'!AK$117=1,EJ32=0),2000,0))),1000000000))</f>
        <v/>
      </c>
      <c r="PN32">
        <f>IF($B32=0,1000000000,IF(INDEX('calcA'!$D$60:$EQ$99,$B32,35)*IF($W32=1,EJ32+AAY32,EJ32)=1,IF(AND($E32=2,IF($W32=1,AGN32,JY32)=0),1000000000,IF($V32=1,INDEX('calcA'!$D$130:$EQ$169,$B32,35)+IF(AND($E32=1,JY32=0),25,0),IF($F32&gt;0,INDEX('calcA'!AL$110:AL$114,$F32+1)+IF(AND($E32=1,JY32=0),1000,0),MIN(TV32,20)*400+(IF('calcA'!AK$106=1,1-EI32,0)+IF('calcA'!AL$106=1,1-EK32,0))*150+112+'calcA'!AL$5*100000+IF(AND($E32=1,JY32=0),50000,0))+IF($H32=1,INDEX('calcA'!$D$180:$EQ$219,$B32,35)*4000,0)-IF(AND('calcA'!AK$117=1,VI32&gt;0),2000,0)-IF(AND($U32=1,'calcA'!AL$117=1,EK32=0),2000,0))),1000000000))</f>
        <v/>
      </c>
      <c r="PO32">
        <f>IF($B32=0,1000000000,IF(INDEX('calcA'!$D$60:$EQ$99,$B32,36)*IF($W32=1,EK32+AAZ32,EK32)=1,IF(AND($E32=2,IF($W32=1,AGO32,JZ32)=0),1000000000,IF($V32=1,INDEX('calcA'!$D$130:$EQ$169,$B32,36)+IF(AND($E32=1,JZ32=0),25,0),IF($F32&gt;0,INDEX('calcA'!AM$110:AM$114,$F32+1)+IF(AND($E32=1,JZ32=0),1000,0),MIN(TV32,20)*400+(IF('calcA'!AL$106=1,1-EJ32,0)+IF('calcA'!AM$106=1,1-EL32,0))*150+122+'calcA'!AM$5*100000+IF(AND($E32=1,JZ32=0),50000,0))+IF($H32=1,INDEX('calcA'!$D$180:$EQ$219,$B32,36)*4000,0)-IF(AND('calcA'!AL$117=1,VJ32&gt;0),2000,0)-IF(AND($U32=1,'calcA'!AM$117=1,EL32=0),2000,0))),1000000000))</f>
        <v/>
      </c>
      <c r="PP32">
        <f>IF($B32=0,1000000000,IF(INDEX('calcA'!$D$60:$EQ$99,$B32,37)*IF($W32=1,EL32+ABA32,EL32)=1,IF(AND($E32=2,IF($W32=1,AGP32,KA32)=0),1000000000,IF($V32=1,INDEX('calcA'!$D$130:$EQ$169,$B32,37)+IF(AND($E32=1,KA32=0),25,0),IF($F32&gt;0,INDEX('calcA'!AN$110:AN$114,$F32+1)+IF(AND($E32=1,KA32=0),1000,0),MIN(TV32,20)*400+(IF('calcA'!AM$106=1,1-EK32,0)+IF('calcA'!AN$106=1,1-EM32,0))*150+132+'calcA'!AN$5*100000+IF(AND($E32=1,KA32=0),50000,0))+IF($H32=1,INDEX('calcA'!$D$180:$EQ$219,$B32,37)*4000,0)-IF(AND('calcA'!AM$117=1,VK32&gt;0),2000,0)-IF(AND($U32=1,'calcA'!AN$117=1,EM32=0),2000,0))),1000000000))</f>
        <v/>
      </c>
      <c r="PQ32">
        <f>IF($B32=0,1000000000,IF(INDEX('calcA'!$D$60:$EQ$99,$B32,38)*IF($W32=1,EM32+ABB32,EM32)=1,IF(AND($E32=2,IF($W32=1,AGQ32,KB32)=0),1000000000,IF($V32=1,INDEX('calcA'!$D$130:$EQ$169,$B32,38)+IF(AND($E32=1,KB32=0),25,0),IF($F32&gt;0,INDEX('calcA'!AO$110:AO$114,$F32+1)+IF(AND($E32=1,KB32=0),1000,0),MIN(TV32,20)*400+(IF('calcA'!AN$106=1,1-EL32,0)+IF('calcA'!AO$106=1,1-EN32,0))*150+142+'calcA'!AO$5*100000+IF(AND($E32=1,KB32=0),50000,0))+IF($H32=1,INDEX('calcA'!$D$180:$EQ$219,$B32,38)*4000,0)-IF(AND('calcA'!AN$117=1,VL32&gt;0),2000,0)-IF(AND($U32=1,'calcA'!AO$117=1,EN32=0),2000,0))),1000000000))</f>
        <v/>
      </c>
      <c r="PR32">
        <f>IF($B32=0,1000000000,IF(INDEX('calcA'!$D$60:$EQ$99,$B32,39)*IF($W32=1,EN32+ABC32,EN32)=1,IF(AND($E32=2,IF($W32=1,AGR32,KC32)=0),1000000000,IF($V32=1,INDEX('calcA'!$D$130:$EQ$169,$B32,39)+IF(AND($E32=1,KC32=0),25,0),IF($F32&gt;0,INDEX('calcA'!AP$110:AP$114,$F32+1)+IF(AND($E32=1,KC32=0),1000,0),MIN(TV32,20)*400+(IF('calcA'!AO$106=1,1-EM32,0)+IF('calcA'!AP$106=1,1-EO32,0))*150+152+'calcA'!AP$5*100000+IF(AND($E32=1,KC32=0),50000,0))+IF($H32=1,INDEX('calcA'!$D$180:$EQ$219,$B32,39)*4000,0)-IF(AND('calcA'!AO$117=1,VM32&gt;0),2000,0)-IF(AND($U32=1,'calcA'!AP$117=1,EO32=0),2000,0))),1000000000))</f>
        <v/>
      </c>
      <c r="PS32">
        <f>IF($B32=0,1000000000,IF(INDEX('calcA'!$D$60:$EQ$99,$B32,40)*IF($W32=1,EO32+ABD32,EO32)=1,IF(AND($E32=2,IF($W32=1,AGS32,KD32)=0),1000000000,IF($V32=1,INDEX('calcA'!$D$130:$EQ$169,$B32,40)+IF(AND($E32=1,KD32=0),25,0),IF($F32&gt;0,INDEX('calcA'!AQ$110:AQ$114,$F32+1)+IF(AND($E32=1,KD32=0),1000,0),MIN(TV32,20)*400+(IF('calcA'!AP$106=1,1-EN32,0)+IF('calcA'!AQ$106=1,1-EP32,0))*150+162+'calcA'!AQ$5*100000+IF(AND($E32=1,KD32=0),50000,0))+IF($H32=1,INDEX('calcA'!$D$180:$EQ$219,$B32,40)*4000,0)-IF(AND('calcA'!AP$117=1,VN32&gt;0),2000,0)-IF(AND($U32=1,'calcA'!AQ$117=1,EP32=0),2000,0))),1000000000))</f>
        <v/>
      </c>
      <c r="PT32">
        <f>IF($B32=0,1000000000,IF(INDEX('calcA'!$D$60:$EQ$99,$B32,41)*IF($W32=1,EP32+ABE32,EP32)=1,IF(AND($E32=2,IF($W32=1,AGT32,KE32)=0),1000000000,IF($V32=1,INDEX('calcA'!$D$130:$EQ$169,$B32,41)+IF(AND($E32=1,KE32=0),25,0),IF($F32&gt;0,INDEX('calcA'!AR$110:AR$114,$F32+1)+IF(AND($E32=1,KE32=0),1000,0),MIN(TV32,20)*400+(IF('calcA'!AQ$106=1,1-EO32,0)+IF('calcA'!AR$106=1,1-EQ32,0))*150+172+'calcA'!AR$5*100000+IF(AND($E32=1,KE32=0),50000,0))+IF($H32=1,INDEX('calcA'!$D$180:$EQ$219,$B32,41)*4000,0)-IF(AND('calcA'!AQ$117=1,VO32&gt;0),2000,0)-IF(AND($U32=1,'calcA'!AR$117=1,EQ32=0),2000,0))),1000000000))</f>
        <v/>
      </c>
      <c r="PU32">
        <f>IF($B32=0,1000000000,IF(INDEX('calcA'!$D$60:$EQ$99,$B32,42)*IF($W32=1,EQ32+ABF32,EQ32)=1,IF(AND($E32=2,IF($W32=1,AGU32,KF32)=0),1000000000,IF($V32=1,INDEX('calcA'!$D$130:$EQ$169,$B32,42)+IF(AND($E32=1,KF32=0),25,0),IF($F32&gt;0,INDEX('calcA'!AS$110:AS$114,$F32+1)+IF(AND($E32=1,KF32=0),1000,0),MIN(TV32,20)*400+(IF('calcA'!AR$106=1,1-EP32,0)+IF('calcA'!AS$106=1,1-ER32,0))*150+182+'calcA'!AS$5*100000+IF(AND($E32=1,KF32=0),50000,0))+IF($H32=1,INDEX('calcA'!$D$180:$EQ$219,$B32,42)*4000,0)-IF(AND('calcA'!AR$117=1,VP32&gt;0),2000,0)-IF(AND($U32=1,'calcA'!AS$117=1,ER32=0),2000,0))),1000000000))</f>
        <v/>
      </c>
      <c r="PV32">
        <f>IF($B32=0,1000000000,IF(INDEX('calcA'!$D$60:$EQ$99,$B32,43)*IF($W32=1,ER32+ABG32,ER32)=1,IF(AND($E32=2,IF($W32=1,AGV32,KG32)=0),1000000000,IF($V32=1,INDEX('calcA'!$D$130:$EQ$169,$B32,43)+IF(AND($E32=1,KG32=0),25,0),IF($F32&gt;0,INDEX('calcA'!AT$110:AT$114,$F32+1)+IF(AND($E32=1,KG32=0),1000,0),MIN(TV32,20)*400+(IF('calcA'!AS$106=1,1-EQ32,0)+IF('calcA'!AT$106=1,1-ES32,0))*150+192+'calcA'!AT$5*100000+IF(AND($E32=1,KG32=0),50000,0))+IF($H32=1,INDEX('calcA'!$D$180:$EQ$219,$B32,43)*4000,0)-IF(AND('calcA'!AS$117=1,VQ32&gt;0),2000,0)-IF(AND($U32=1,'calcA'!AT$117=1,ES32=0),2000,0))),1000000000))</f>
        <v/>
      </c>
      <c r="PW32">
        <f>IF($B32=0,1000000000,IF(INDEX('calcA'!$D$60:$EQ$99,$B32,44)*IF($W32=1,ES32+ABH32,ES32)=1,IF(AND($E32=2,IF($W32=1,AGW32,KH32)=0),1000000000,IF($V32=1,INDEX('calcA'!$D$130:$EQ$169,$B32,44)+IF(AND($E32=1,KH32=0),25,0),IF($F32&gt;0,INDEX('calcA'!AU$110:AU$114,$F32+1)+IF(AND($E32=1,KH32=0),1000,0),MIN(TV32,20)*400+(IF('calcA'!AT$106=1,1-ER32,0)+IF('calcA'!AU$106=1,1-ET32,0))*150+202+'calcA'!AU$5*100000+IF(AND($E32=1,KH32=0),50000,0))+IF($H32=1,INDEX('calcA'!$D$180:$EQ$219,$B32,44)*4000,0)-IF(AND('calcA'!AT$117=1,VR32&gt;0),2000,0)-IF(AND($U32=1,'calcA'!AU$117=1,ET32=0),2000,0))),1000000000))</f>
        <v/>
      </c>
      <c r="PX32">
        <f>IF($B32=0,1000000000,IF(INDEX('calcA'!$D$60:$EQ$99,$B32,45)*IF($W32=1,ET32+ABI32,ET32)=1,IF(AND($E32=2,IF($W32=1,AGX32,KI32)=0),1000000000,IF($V32=1,INDEX('calcA'!$D$130:$EQ$169,$B32,45)+IF(AND($E32=1,KI32=0),25,0),IF($F32&gt;0,INDEX('calcA'!AV$110:AV$114,$F32+1)+IF(AND($E32=1,KI32=0),1000,0),MIN(TV32,20)*400+(IF('calcA'!AU$106=1,1-ES32,0)+IF('calcA'!AV$106=1,1-EU32,0))*150+212+'calcA'!AV$5*100000+IF(AND($E32=1,KI32=0),50000,0))+IF($H32=1,INDEX('calcA'!$D$180:$EQ$219,$B32,45)*4000,0)-IF(AND('calcA'!AU$117=1,VS32&gt;0),2000,0)-IF(AND($U32=1,'calcA'!AV$117=1,EU32=0),2000,0))),1000000000))</f>
        <v/>
      </c>
      <c r="PY32">
        <f>IF($B32=0,1000000000,IF(INDEX('calcA'!$D$60:$EQ$99,$B32,46)*IF($W32=1,EU32+ABJ32,EU32)=1,IF(AND($E32=2,IF($W32=1,AGY32,KJ32)=0),1000000000,IF($V32=1,INDEX('calcA'!$D$130:$EQ$169,$B32,46)+IF(AND($E32=1,KJ32=0),25,0),IF($F32&gt;0,INDEX('calcA'!AW$110:AW$114,$F32+1)+IF(AND($E32=1,KJ32=0),1000,0),MIN(TV32,20)*400+(IF('calcA'!AV$106=1,1-ET32,0)+IF('calcA'!AW$106=1,1-EV32,0))*150+222+'calcA'!AW$5*100000+IF(AND($E32=1,KJ32=0),50000,0))+IF($H32=1,INDEX('calcA'!$D$180:$EQ$219,$B32,46)*4000,0)-IF(AND('calcA'!AV$117=1,VT32&gt;0),2000,0)-IF(AND($U32=1,'calcA'!AW$117=1,EV32=0),2000,0))),1000000000))</f>
        <v/>
      </c>
      <c r="PZ32">
        <f>IF($B32=0,1000000000,IF(INDEX('calcA'!$D$60:$EQ$99,$B32,47)*IF($W32=1,EV32+ABK32,EV32)=1,IF(AND($E32=2,IF($W32=1,AGZ32,KK32)=0),1000000000,IF($V32=1,INDEX('calcA'!$D$130:$EQ$169,$B32,47)+IF(AND($E32=1,KK32=0),25,0),IF($F32&gt;0,INDEX('calcA'!AX$110:AX$114,$F32+1)+IF(AND($E32=1,KK32=0),1000,0),MIN(TV32,20)*400+(IF('calcA'!AW$106=1,1-EU32,0)+IF('calcA'!AX$106=1,1-EW32,0))*150+232+'calcA'!AX$5*100000+IF(AND($E32=1,KK32=0),50000,0))+IF($H32=1,INDEX('calcA'!$D$180:$EQ$219,$B32,47)*4000,0)-IF(AND('calcA'!AW$117=1,VU32&gt;0),2000,0)-IF(AND($U32=1,'calcA'!AX$117=1,EW32=0),2000,0))),1000000000))</f>
        <v/>
      </c>
      <c r="QA32">
        <f>IF($B32=0,1000000000,IF(INDEX('calcA'!$D$60:$EQ$99,$B32,48)*IF($W32=1,EW32+ABL32,EW32)=1,IF(AND($E32=2,IF($W32=1,AHA32,KL32)=0),1000000000,IF($V32=1,INDEX('calcA'!$D$130:$EQ$169,$B32,48)+IF(AND($E32=1,KL32=0),25,0),IF($F32&gt;0,INDEX('calcA'!AY$110:AY$114,$F32+1)+IF(AND($E32=1,KL32=0),1000,0),MIN(TV32,20)*400+(IF('calcA'!AX$106=1,1-EV32,0))*150+242+'calcA'!AY$5*100000+IF(AND($E32=1,KL32=0),50000,0))+IF($H32=1,INDEX('calcA'!$D$180:$EQ$219,$B32,48)*4000,0)-IF(AND('calcA'!AX$117=1,VV32&gt;0),2000,0))),1000000000))</f>
        <v/>
      </c>
      <c r="QB32">
        <f>IF($B32=0,1000000000,IF(INDEX('calcA'!$D$60:$EQ$99,$B32,49)*IF($W32=1,EX32+ABM32,EX32)=1,IF(AND($E32=2,IF($W32=1,AHB32,KM32)=0),1000000000,IF($V32=1,INDEX('calcA'!$D$130:$EQ$169,$B32,49)+IF(AND($E32=1,KM32=0),25,0),IF($F32&gt;0,INDEX('calcA'!AZ$110:AZ$114,$F32+1)+IF(AND($E32=1,KM32=0),1000,0),MIN(TW32,20)*400+(IF('calcA'!AZ$106=1,1-EY32,0))*150+13+'calcA'!AZ$5*100000+IF(AND($E32=1,KM32=0),50000,0))+IF($H32=1,INDEX('calcA'!$D$180:$EQ$219,$B32,49)*4000,0)-IF(AND($U32=1,'calcA'!AZ$117=1,EY32=0),2000,0))),1000000000))</f>
        <v/>
      </c>
      <c r="QC32">
        <f>IF($B32=0,1000000000,IF(INDEX('calcA'!$D$60:$EQ$99,$B32,50)*IF($W32=1,EY32+ABN32,EY32)=1,IF(AND($E32=2,IF($W32=1,AHC32,KN32)=0),1000000000,IF($V32=1,INDEX('calcA'!$D$130:$EQ$169,$B32,50)+IF(AND($E32=1,KN32=0),25,0),IF($F32&gt;0,INDEX('calcA'!BA$110:BA$114,$F32+1)+IF(AND($E32=1,KN32=0),1000,0),MIN(TW32,20)*400+(IF('calcA'!AZ$106=1,1-EX32,0)+IF('calcA'!BA$106=1,1-EZ32,0))*150+23+'calcA'!BA$5*100000+IF(AND($E32=1,KN32=0),50000,0))+IF($H32=1,INDEX('calcA'!$D$180:$EQ$219,$B32,50)*4000,0)-IF(AND('calcA'!AZ$117=1,VX32&gt;0),2000,0)-IF(AND($U32=1,'calcA'!BA$117=1,EZ32=0),2000,0))),1000000000))</f>
        <v/>
      </c>
      <c r="QD32">
        <f>IF($B32=0,1000000000,IF(INDEX('calcA'!$D$60:$EQ$99,$B32,51)*IF($W32=1,EZ32+ABO32,EZ32)=1,IF(AND($E32=2,IF($W32=1,AHD32,KO32)=0),1000000000,IF($V32=1,INDEX('calcA'!$D$130:$EQ$169,$B32,51)+IF(AND($E32=1,KO32=0),25,0),IF($F32&gt;0,INDEX('calcA'!BB$110:BB$114,$F32+1)+IF(AND($E32=1,KO32=0),1000,0),MIN(TW32,20)*400+(IF('calcA'!BA$106=1,1-EY32,0)+IF('calcA'!BB$106=1,1-FA32,0))*150+33+'calcA'!BB$5*100000+IF(AND($E32=1,KO32=0),50000,0))+IF($H32=1,INDEX('calcA'!$D$180:$EQ$219,$B32,51)*4000,0)-IF(AND('calcA'!BA$117=1,VY32&gt;0),2000,0)-IF(AND($U32=1,'calcA'!BB$117=1,FA32=0),2000,0))),1000000000))</f>
        <v/>
      </c>
      <c r="QE32">
        <f>IF($B32=0,1000000000,IF(INDEX('calcA'!$D$60:$EQ$99,$B32,52)*IF($W32=1,FA32+ABP32,FA32)=1,IF(AND($E32=2,IF($W32=1,AHE32,KP32)=0),1000000000,IF($V32=1,INDEX('calcA'!$D$130:$EQ$169,$B32,52)+IF(AND($E32=1,KP32=0),25,0),IF($F32&gt;0,INDEX('calcA'!BC$110:BC$114,$F32+1)+IF(AND($E32=1,KP32=0),1000,0),MIN(TW32,20)*400+(IF('calcA'!BB$106=1,1-EZ32,0)+IF('calcA'!BC$106=1,1-FB32,0))*150+43+'calcA'!BC$5*100000+IF(AND($E32=1,KP32=0),50000,0))+IF($H32=1,INDEX('calcA'!$D$180:$EQ$219,$B32,52)*4000,0)-IF(AND('calcA'!BB$117=1,VZ32&gt;0),2000,0)-IF(AND($U32=1,'calcA'!BC$117=1,FB32=0),2000,0))),1000000000))</f>
        <v/>
      </c>
      <c r="QF32">
        <f>IF($B32=0,1000000000,IF(INDEX('calcA'!$D$60:$EQ$99,$B32,53)*IF($W32=1,FB32+ABQ32,FB32)=1,IF(AND($E32=2,IF($W32=1,AHF32,KQ32)=0),1000000000,IF($V32=1,INDEX('calcA'!$D$130:$EQ$169,$B32,53)+IF(AND($E32=1,KQ32=0),25,0),IF($F32&gt;0,INDEX('calcA'!BD$110:BD$114,$F32+1)+IF(AND($E32=1,KQ32=0),1000,0),MIN(TW32,20)*400+(IF('calcA'!BC$106=1,1-FA32,0)+IF('calcA'!BD$106=1,1-FC32,0))*150+53+'calcA'!BD$5*100000+IF(AND($E32=1,KQ32=0),50000,0))+IF($H32=1,INDEX('calcA'!$D$180:$EQ$219,$B32,53)*4000,0)-IF(AND('calcA'!BC$117=1,WA32&gt;0),2000,0)-IF(AND($U32=1,'calcA'!BD$117=1,FC32=0),2000,0))),1000000000))</f>
        <v/>
      </c>
      <c r="QG32">
        <f>IF($B32=0,1000000000,IF(INDEX('calcA'!$D$60:$EQ$99,$B32,54)*IF($W32=1,FC32+ABR32,FC32)=1,IF(AND($E32=2,IF($W32=1,AHG32,KR32)=0),1000000000,IF($V32=1,INDEX('calcA'!$D$130:$EQ$169,$B32,54)+IF(AND($E32=1,KR32=0),25,0),IF($F32&gt;0,INDEX('calcA'!BE$110:BE$114,$F32+1)+IF(AND($E32=1,KR32=0),1000,0),MIN(TW32,20)*400+(IF('calcA'!BD$106=1,1-FB32,0)+IF('calcA'!BE$106=1,1-FD32,0))*150+63+'calcA'!BE$5*100000+IF(AND($E32=1,KR32=0),50000,0))+IF($H32=1,INDEX('calcA'!$D$180:$EQ$219,$B32,54)*4000,0)-IF(AND('calcA'!BD$117=1,WB32&gt;0),2000,0)-IF(AND($U32=1,'calcA'!BE$117=1,FD32=0),2000,0))),1000000000))</f>
        <v/>
      </c>
      <c r="QH32">
        <f>IF($B32=0,1000000000,IF(INDEX('calcA'!$D$60:$EQ$99,$B32,55)*IF($W32=1,FD32+ABS32,FD32)=1,IF(AND($E32=2,IF($W32=1,AHH32,KS32)=0),1000000000,IF($V32=1,INDEX('calcA'!$D$130:$EQ$169,$B32,55)+IF(AND($E32=1,KS32=0),25,0),IF($F32&gt;0,INDEX('calcA'!BF$110:BF$114,$F32+1)+IF(AND($E32=1,KS32=0),1000,0),MIN(TW32,20)*400+(IF('calcA'!BE$106=1,1-FC32,0)+IF('calcA'!BF$106=1,1-FE32,0))*150+73+'calcA'!BF$5*100000+IF(AND($E32=1,KS32=0),50000,0))+IF($H32=1,INDEX('calcA'!$D$180:$EQ$219,$B32,55)*4000,0)-IF(AND('calcA'!BE$117=1,WC32&gt;0),2000,0)-IF(AND($U32=1,'calcA'!BF$117=1,FE32=0),2000,0))),1000000000))</f>
        <v/>
      </c>
      <c r="QI32">
        <f>IF($B32=0,1000000000,IF(INDEX('calcA'!$D$60:$EQ$99,$B32,56)*IF($W32=1,FE32+ABT32,FE32)=1,IF(AND($E32=2,IF($W32=1,AHI32,KT32)=0),1000000000,IF($V32=1,INDEX('calcA'!$D$130:$EQ$169,$B32,56)+IF(AND($E32=1,KT32=0),25,0),IF($F32&gt;0,INDEX('calcA'!BG$110:BG$114,$F32+1)+IF(AND($E32=1,KT32=0),1000,0),MIN(TW32,20)*400+(IF('calcA'!BF$106=1,1-FD32,0)+IF('calcA'!BG$106=1,1-FF32,0))*150+83+'calcA'!BG$5*100000+IF(AND($E32=1,KT32=0),50000,0))+IF($H32=1,INDEX('calcA'!$D$180:$EQ$219,$B32,56)*4000,0)-IF(AND('calcA'!BF$117=1,WD32&gt;0),2000,0)-IF(AND($U32=1,'calcA'!BG$117=1,FF32=0),2000,0))),1000000000))</f>
        <v/>
      </c>
      <c r="QJ32">
        <f>IF($B32=0,1000000000,IF(INDEX('calcA'!$D$60:$EQ$99,$B32,57)*IF($W32=1,FF32+ABU32,FF32)=1,IF(AND($E32=2,IF($W32=1,AHJ32,KU32)=0),1000000000,IF($V32=1,INDEX('calcA'!$D$130:$EQ$169,$B32,57)+IF(AND($E32=1,KU32=0),25,0),IF($F32&gt;0,INDEX('calcA'!BH$110:BH$114,$F32+1)+IF(AND($E32=1,KU32=0),1000,0),MIN(TW32,20)*400+(IF('calcA'!BG$106=1,1-FE32,0)+IF('calcA'!BH$106=1,1-FG32,0))*150+93+'calcA'!BH$5*100000+IF(AND($E32=1,KU32=0),50000,0))+IF($H32=1,INDEX('calcA'!$D$180:$EQ$219,$B32,57)*4000,0)-IF(AND('calcA'!BG$117=1,WE32&gt;0),2000,0)-IF(AND($U32=1,'calcA'!BH$117=1,FG32=0),2000,0))),1000000000))</f>
        <v/>
      </c>
      <c r="QK32">
        <f>IF($B32=0,1000000000,IF(INDEX('calcA'!$D$60:$EQ$99,$B32,58)*IF($W32=1,FG32+ABV32,FG32)=1,IF(AND($E32=2,IF($W32=1,AHK32,KV32)=0),1000000000,IF($V32=1,INDEX('calcA'!$D$130:$EQ$169,$B32,58)+IF(AND($E32=1,KV32=0),25,0),IF($F32&gt;0,INDEX('calcA'!BI$110:BI$114,$F32+1)+IF(AND($E32=1,KV32=0),1000,0),MIN(TW32,20)*400+(IF('calcA'!BH$106=1,1-FF32,0)+IF('calcA'!BI$106=1,1-FH32,0))*150+103+'calcA'!BI$5*100000+IF(AND($E32=1,KV32=0),50000,0))+IF($H32=1,INDEX('calcA'!$D$180:$EQ$219,$B32,58)*4000,0)-IF(AND('calcA'!BH$117=1,WF32&gt;0),2000,0)-IF(AND($U32=1,'calcA'!BI$117=1,FH32=0),2000,0))),1000000000))</f>
        <v/>
      </c>
      <c r="QL32">
        <f>IF($B32=0,1000000000,IF(INDEX('calcA'!$D$60:$EQ$99,$B32,59)*IF($W32=1,FH32+ABW32,FH32)=1,IF(AND($E32=2,IF($W32=1,AHL32,KW32)=0),1000000000,IF($V32=1,INDEX('calcA'!$D$130:$EQ$169,$B32,59)+IF(AND($E32=1,KW32=0),25,0),IF($F32&gt;0,INDEX('calcA'!BJ$110:BJ$114,$F32+1)+IF(AND($E32=1,KW32=0),1000,0),MIN(TW32,20)*400+(IF('calcA'!BI$106=1,1-FG32,0)+IF('calcA'!BJ$106=1,1-FI32,0))*150+113+'calcA'!BJ$5*100000+IF(AND($E32=1,KW32=0),50000,0))+IF($H32=1,INDEX('calcA'!$D$180:$EQ$219,$B32,59)*4000,0)-IF(AND('calcA'!BI$117=1,WG32&gt;0),2000,0)-IF(AND($U32=1,'calcA'!BJ$117=1,FI32=0),2000,0))),1000000000))</f>
        <v/>
      </c>
      <c r="QM32">
        <f>IF($B32=0,1000000000,IF(INDEX('calcA'!$D$60:$EQ$99,$B32,60)*IF($W32=1,FI32+ABX32,FI32)=1,IF(AND($E32=2,IF($W32=1,AHM32,KX32)=0),1000000000,IF($V32=1,INDEX('calcA'!$D$130:$EQ$169,$B32,60)+IF(AND($E32=1,KX32=0),25,0),IF($F32&gt;0,INDEX('calcA'!BK$110:BK$114,$F32+1)+IF(AND($E32=1,KX32=0),1000,0),MIN(TW32,20)*400+(IF('calcA'!BJ$106=1,1-FH32,0)+IF('calcA'!BK$106=1,1-FJ32,0))*150+123+'calcA'!BK$5*100000+IF(AND($E32=1,KX32=0),50000,0))+IF($H32=1,INDEX('calcA'!$D$180:$EQ$219,$B32,60)*4000,0)-IF(AND('calcA'!BJ$117=1,WH32&gt;0),2000,0)-IF(AND($U32=1,'calcA'!BK$117=1,FJ32=0),2000,0))),1000000000))</f>
        <v/>
      </c>
      <c r="QN32">
        <f>IF($B32=0,1000000000,IF(INDEX('calcA'!$D$60:$EQ$99,$B32,61)*IF($W32=1,FJ32+ABY32,FJ32)=1,IF(AND($E32=2,IF($W32=1,AHN32,KY32)=0),1000000000,IF($V32=1,INDEX('calcA'!$D$130:$EQ$169,$B32,61)+IF(AND($E32=1,KY32=0),25,0),IF($F32&gt;0,INDEX('calcA'!BL$110:BL$114,$F32+1)+IF(AND($E32=1,KY32=0),1000,0),MIN(TW32,20)*400+(IF('calcA'!BK$106=1,1-FI32,0)+IF('calcA'!BL$106=1,1-FK32,0))*150+133+'calcA'!BL$5*100000+IF(AND($E32=1,KY32=0),50000,0))+IF($H32=1,INDEX('calcA'!$D$180:$EQ$219,$B32,61)*4000,0)-IF(AND('calcA'!BK$117=1,WI32&gt;0),2000,0)-IF(AND($U32=1,'calcA'!BL$117=1,FK32=0),2000,0))),1000000000))</f>
        <v/>
      </c>
      <c r="QO32">
        <f>IF($B32=0,1000000000,IF(INDEX('calcA'!$D$60:$EQ$99,$B32,62)*IF($W32=1,FK32+ABZ32,FK32)=1,IF(AND($E32=2,IF($W32=1,AHO32,KZ32)=0),1000000000,IF($V32=1,INDEX('calcA'!$D$130:$EQ$169,$B32,62)+IF(AND($E32=1,KZ32=0),25,0),IF($F32&gt;0,INDEX('calcA'!BM$110:BM$114,$F32+1)+IF(AND($E32=1,KZ32=0),1000,0),MIN(TW32,20)*400+(IF('calcA'!BL$106=1,1-FJ32,0)+IF('calcA'!BM$106=1,1-FL32,0))*150+143+'calcA'!BM$5*100000+IF(AND($E32=1,KZ32=0),50000,0))+IF($H32=1,INDEX('calcA'!$D$180:$EQ$219,$B32,62)*4000,0)-IF(AND('calcA'!BL$117=1,WJ32&gt;0),2000,0)-IF(AND($U32=1,'calcA'!BM$117=1,FL32=0),2000,0))),1000000000))</f>
        <v/>
      </c>
      <c r="QP32">
        <f>IF($B32=0,1000000000,IF(INDEX('calcA'!$D$60:$EQ$99,$B32,63)*IF($W32=1,FL32+ACA32,FL32)=1,IF(AND($E32=2,IF($W32=1,AHP32,LA32)=0),1000000000,IF($V32=1,INDEX('calcA'!$D$130:$EQ$169,$B32,63)+IF(AND($E32=1,LA32=0),25,0),IF($F32&gt;0,INDEX('calcA'!BN$110:BN$114,$F32+1)+IF(AND($E32=1,LA32=0),1000,0),MIN(TW32,20)*400+(IF('calcA'!BM$106=1,1-FK32,0)+IF('calcA'!BN$106=1,1-FM32,0))*150+153+'calcA'!BN$5*100000+IF(AND($E32=1,LA32=0),50000,0))+IF($H32=1,INDEX('calcA'!$D$180:$EQ$219,$B32,63)*4000,0)-IF(AND('calcA'!BM$117=1,WK32&gt;0),2000,0)-IF(AND($U32=1,'calcA'!BN$117=1,FM32=0),2000,0))),1000000000))</f>
        <v/>
      </c>
      <c r="QQ32">
        <f>IF($B32=0,1000000000,IF(INDEX('calcA'!$D$60:$EQ$99,$B32,64)*IF($W32=1,FM32+ACB32,FM32)=1,IF(AND($E32=2,IF($W32=1,AHQ32,LB32)=0),1000000000,IF($V32=1,INDEX('calcA'!$D$130:$EQ$169,$B32,64)+IF(AND($E32=1,LB32=0),25,0),IF($F32&gt;0,INDEX('calcA'!BO$110:BO$114,$F32+1)+IF(AND($E32=1,LB32=0),1000,0),MIN(TW32,20)*400+(IF('calcA'!BN$106=1,1-FL32,0)+IF('calcA'!BO$106=1,1-FN32,0))*150+163+'calcA'!BO$5*100000+IF(AND($E32=1,LB32=0),50000,0))+IF($H32=1,INDEX('calcA'!$D$180:$EQ$219,$B32,64)*4000,0)-IF(AND('calcA'!BN$117=1,WL32&gt;0),2000,0)-IF(AND($U32=1,'calcA'!BO$117=1,FN32=0),2000,0))),1000000000))</f>
        <v/>
      </c>
      <c r="QR32">
        <f>IF($B32=0,1000000000,IF(INDEX('calcA'!$D$60:$EQ$99,$B32,65)*IF($W32=1,FN32+ACC32,FN32)=1,IF(AND($E32=2,IF($W32=1,AHR32,LC32)=0),1000000000,IF($V32=1,INDEX('calcA'!$D$130:$EQ$169,$B32,65)+IF(AND($E32=1,LC32=0),25,0),IF($F32&gt;0,INDEX('calcA'!BP$110:BP$114,$F32+1)+IF(AND($E32=1,LC32=0),1000,0),MIN(TW32,20)*400+(IF('calcA'!BO$106=1,1-FM32,0)+IF('calcA'!BP$106=1,1-FO32,0))*150+173+'calcA'!BP$5*100000+IF(AND($E32=1,LC32=0),50000,0))+IF($H32=1,INDEX('calcA'!$D$180:$EQ$219,$B32,65)*4000,0)-IF(AND('calcA'!BO$117=1,WM32&gt;0),2000,0)-IF(AND($U32=1,'calcA'!BP$117=1,FO32=0),2000,0))),1000000000))</f>
        <v/>
      </c>
      <c r="QS32">
        <f>IF($B32=0,1000000000,IF(INDEX('calcA'!$D$60:$EQ$99,$B32,66)*IF($W32=1,FO32+ACD32,FO32)=1,IF(AND($E32=2,IF($W32=1,AHS32,LD32)=0),1000000000,IF($V32=1,INDEX('calcA'!$D$130:$EQ$169,$B32,66)+IF(AND($E32=1,LD32=0),25,0),IF($F32&gt;0,INDEX('calcA'!BQ$110:BQ$114,$F32+1)+IF(AND($E32=1,LD32=0),1000,0),MIN(TW32,20)*400+(IF('calcA'!BP$106=1,1-FN32,0)+IF('calcA'!BQ$106=1,1-FP32,0))*150+183+'calcA'!BQ$5*100000+IF(AND($E32=1,LD32=0),50000,0))+IF($H32=1,INDEX('calcA'!$D$180:$EQ$219,$B32,66)*4000,0)-IF(AND('calcA'!BP$117=1,WN32&gt;0),2000,0)-IF(AND($U32=1,'calcA'!BQ$117=1,FP32=0),2000,0))),1000000000))</f>
        <v/>
      </c>
      <c r="QT32">
        <f>IF($B32=0,1000000000,IF(INDEX('calcA'!$D$60:$EQ$99,$B32,67)*IF($W32=1,FP32+ACE32,FP32)=1,IF(AND($E32=2,IF($W32=1,AHT32,LE32)=0),1000000000,IF($V32=1,INDEX('calcA'!$D$130:$EQ$169,$B32,67)+IF(AND($E32=1,LE32=0),25,0),IF($F32&gt;0,INDEX('calcA'!BR$110:BR$114,$F32+1)+IF(AND($E32=1,LE32=0),1000,0),MIN(TW32,20)*400+(IF('calcA'!BQ$106=1,1-FO32,0)+IF('calcA'!BR$106=1,1-FQ32,0))*150+193+'calcA'!BR$5*100000+IF(AND($E32=1,LE32=0),50000,0))+IF($H32=1,INDEX('calcA'!$D$180:$EQ$219,$B32,67)*4000,0)-IF(AND('calcA'!BQ$117=1,WO32&gt;0),2000,0)-IF(AND($U32=1,'calcA'!BR$117=1,FQ32=0),2000,0))),1000000000))</f>
        <v/>
      </c>
      <c r="QU32">
        <f>IF($B32=0,1000000000,IF(INDEX('calcA'!$D$60:$EQ$99,$B32,68)*IF($W32=1,FQ32+ACF32,FQ32)=1,IF(AND($E32=2,IF($W32=1,AHU32,LF32)=0),1000000000,IF($V32=1,INDEX('calcA'!$D$130:$EQ$169,$B32,68)+IF(AND($E32=1,LF32=0),25,0),IF($F32&gt;0,INDEX('calcA'!BS$110:BS$114,$F32+1)+IF(AND($E32=1,LF32=0),1000,0),MIN(TW32,20)*400+(IF('calcA'!BR$106=1,1-FP32,0)+IF('calcA'!BS$106=1,1-FR32,0))*150+203+'calcA'!BS$5*100000+IF(AND($E32=1,LF32=0),50000,0))+IF($H32=1,INDEX('calcA'!$D$180:$EQ$219,$B32,68)*4000,0)-IF(AND('calcA'!BR$117=1,WP32&gt;0),2000,0)-IF(AND($U32=1,'calcA'!BS$117=1,FR32=0),2000,0))),1000000000))</f>
        <v/>
      </c>
      <c r="QV32">
        <f>IF($B32=0,1000000000,IF(INDEX('calcA'!$D$60:$EQ$99,$B32,69)*IF($W32=1,FR32+ACG32,FR32)=1,IF(AND($E32=2,IF($W32=1,AHV32,LG32)=0),1000000000,IF($V32=1,INDEX('calcA'!$D$130:$EQ$169,$B32,69)+IF(AND($E32=1,LG32=0),25,0),IF($F32&gt;0,INDEX('calcA'!BT$110:BT$114,$F32+1)+IF(AND($E32=1,LG32=0),1000,0),MIN(TW32,20)*400+(IF('calcA'!BS$106=1,1-FQ32,0)+IF('calcA'!BT$106=1,1-FS32,0))*150+213+'calcA'!BT$5*100000+IF(AND($E32=1,LG32=0),50000,0))+IF($H32=1,INDEX('calcA'!$D$180:$EQ$219,$B32,69)*4000,0)-IF(AND('calcA'!BS$117=1,WQ32&gt;0),2000,0)-IF(AND($U32=1,'calcA'!BT$117=1,FS32=0),2000,0))),1000000000))</f>
        <v/>
      </c>
      <c r="QW32">
        <f>IF($B32=0,1000000000,IF(INDEX('calcA'!$D$60:$EQ$99,$B32,70)*IF($W32=1,FS32+ACH32,FS32)=1,IF(AND($E32=2,IF($W32=1,AHW32,LH32)=0),1000000000,IF($V32=1,INDEX('calcA'!$D$130:$EQ$169,$B32,70)+IF(AND($E32=1,LH32=0),25,0),IF($F32&gt;0,INDEX('calcA'!BU$110:BU$114,$F32+1)+IF(AND($E32=1,LH32=0),1000,0),MIN(TW32,20)*400+(IF('calcA'!BT$106=1,1-FR32,0)+IF('calcA'!BU$106=1,1-FT32,0))*150+223+'calcA'!BU$5*100000+IF(AND($E32=1,LH32=0),50000,0))+IF($H32=1,INDEX('calcA'!$D$180:$EQ$219,$B32,70)*4000,0)-IF(AND('calcA'!BT$117=1,WR32&gt;0),2000,0)-IF(AND($U32=1,'calcA'!BU$117=1,FT32=0),2000,0))),1000000000))</f>
        <v/>
      </c>
      <c r="QX32">
        <f>IF($B32=0,1000000000,IF(INDEX('calcA'!$D$60:$EQ$99,$B32,71)*IF($W32=1,FT32+ACI32,FT32)=1,IF(AND($E32=2,IF($W32=1,AHX32,LI32)=0),1000000000,IF($V32=1,INDEX('calcA'!$D$130:$EQ$169,$B32,71)+IF(AND($E32=1,LI32=0),25,0),IF($F32&gt;0,INDEX('calcA'!BV$110:BV$114,$F32+1)+IF(AND($E32=1,LI32=0),1000,0),MIN(TW32,20)*400+(IF('calcA'!BU$106=1,1-FS32,0)+IF('calcA'!BV$106=1,1-FU32,0))*150+233+'calcA'!BV$5*100000+IF(AND($E32=1,LI32=0),50000,0))+IF($H32=1,INDEX('calcA'!$D$180:$EQ$219,$B32,71)*4000,0)-IF(AND('calcA'!BU$117=1,WS32&gt;0),2000,0)-IF(AND($U32=1,'calcA'!BV$117=1,FU32=0),2000,0))),1000000000))</f>
        <v/>
      </c>
      <c r="QY32">
        <f>IF($B32=0,1000000000,IF(INDEX('calcA'!$D$60:$EQ$99,$B32,72)*IF($W32=1,FU32+ACJ32,FU32)=1,IF(AND($E32=2,IF($W32=1,AHY32,LJ32)=0),1000000000,IF($V32=1,INDEX('calcA'!$D$130:$EQ$169,$B32,72)+IF(AND($E32=1,LJ32=0),25,0),IF($F32&gt;0,INDEX('calcA'!BW$110:BW$114,$F32+1)+IF(AND($E32=1,LJ32=0),1000,0),MIN(TW32,20)*400+(IF('calcA'!BV$106=1,1-FT32,0))*150+243+'calcA'!BW$5*100000+IF(AND($E32=1,LJ32=0),50000,0))+IF($H32=1,INDEX('calcA'!$D$180:$EQ$219,$B32,72)*4000,0)-IF(AND('calcA'!BV$117=1,WT32&gt;0),2000,0))),1000000000))</f>
        <v/>
      </c>
      <c r="QZ32">
        <f>IF($B32=0,1000000000,IF(INDEX('calcA'!$D$60:$EQ$99,$B32,73)*IF($W32=1,FV32+ACK32,FV32)=1,IF(AND($E32=2,IF($W32=1,AHZ32,LK32)=0),1000000000,IF($V32=1,INDEX('calcA'!$D$130:$EQ$169,$B32,73)+IF(AND($E32=1,LK32=0),25,0),IF($F32&gt;0,INDEX('calcA'!BX$110:BX$114,$F32+1)+IF(AND($E32=1,LK32=0),1000,0),MIN(TX32,20)*400+(IF('calcA'!BX$106=1,1-FW32,0))*150+14+'calcA'!BX$5*100000+IF(AND($E32=1,LK32=0),50000,0))+IF($H32=1,INDEX('calcA'!$D$180:$EQ$219,$B32,73)*4000,0)-IF(AND($U32=1,'calcA'!BX$117=1,FW32=0),2000,0))),1000000000))</f>
        <v/>
      </c>
      <c r="RA32">
        <f>IF($B32=0,1000000000,IF(INDEX('calcA'!$D$60:$EQ$99,$B32,74)*IF($W32=1,FW32+ACL32,FW32)=1,IF(AND($E32=2,IF($W32=1,AIA32,LL32)=0),1000000000,IF($V32=1,INDEX('calcA'!$D$130:$EQ$169,$B32,74)+IF(AND($E32=1,LL32=0),25,0),IF($F32&gt;0,INDEX('calcA'!BY$110:BY$114,$F32+1)+IF(AND($E32=1,LL32=0),1000,0),MIN(TX32,20)*400+(IF('calcA'!BX$106=1,1-FV32,0)+IF('calcA'!BY$106=1,1-FX32,0))*150+24+'calcA'!BY$5*100000+IF(AND($E32=1,LL32=0),50000,0))+IF($H32=1,INDEX('calcA'!$D$180:$EQ$219,$B32,74)*4000,0)-IF(AND('calcA'!BX$117=1,WV32&gt;0),2000,0)-IF(AND($U32=1,'calcA'!BY$117=1,FX32=0),2000,0))),1000000000))</f>
        <v/>
      </c>
      <c r="RB32">
        <f>IF($B32=0,1000000000,IF(INDEX('calcA'!$D$60:$EQ$99,$B32,75)*IF($W32=1,FX32+ACM32,FX32)=1,IF(AND($E32=2,IF($W32=1,AIB32,LM32)=0),1000000000,IF($V32=1,INDEX('calcA'!$D$130:$EQ$169,$B32,75)+IF(AND($E32=1,LM32=0),25,0),IF($F32&gt;0,INDEX('calcA'!BZ$110:BZ$114,$F32+1)+IF(AND($E32=1,LM32=0),1000,0),MIN(TX32,20)*400+(IF('calcA'!BY$106=1,1-FW32,0)+IF('calcA'!BZ$106=1,1-FY32,0))*150+34+'calcA'!BZ$5*100000+IF(AND($E32=1,LM32=0),50000,0))+IF($H32=1,INDEX('calcA'!$D$180:$EQ$219,$B32,75)*4000,0)-IF(AND('calcA'!BY$117=1,WW32&gt;0),2000,0)-IF(AND($U32=1,'calcA'!BZ$117=1,FY32=0),2000,0))),1000000000))</f>
        <v/>
      </c>
      <c r="RC32">
        <f>IF($B32=0,1000000000,IF(INDEX('calcA'!$D$60:$EQ$99,$B32,76)*IF($W32=1,FY32+ACN32,FY32)=1,IF(AND($E32=2,IF($W32=1,AIC32,LN32)=0),1000000000,IF($V32=1,INDEX('calcA'!$D$130:$EQ$169,$B32,76)+IF(AND($E32=1,LN32=0),25,0),IF($F32&gt;0,INDEX('calcA'!CA$110:CA$114,$F32+1)+IF(AND($E32=1,LN32=0),1000,0),MIN(TX32,20)*400+(IF('calcA'!BZ$106=1,1-FX32,0)+IF('calcA'!CA$106=1,1-FZ32,0))*150+44+'calcA'!CA$5*100000+IF(AND($E32=1,LN32=0),50000,0))+IF($H32=1,INDEX('calcA'!$D$180:$EQ$219,$B32,76)*4000,0)-IF(AND('calcA'!BZ$117=1,WX32&gt;0),2000,0)-IF(AND($U32=1,'calcA'!CA$117=1,FZ32=0),2000,0))),1000000000))</f>
        <v/>
      </c>
      <c r="RD32">
        <f>IF($B32=0,1000000000,IF(INDEX('calcA'!$D$60:$EQ$99,$B32,77)*IF($W32=1,FZ32+ACO32,FZ32)=1,IF(AND($E32=2,IF($W32=1,AID32,LO32)=0),1000000000,IF($V32=1,INDEX('calcA'!$D$130:$EQ$169,$B32,77)+IF(AND($E32=1,LO32=0),25,0),IF($F32&gt;0,INDEX('calcA'!CB$110:CB$114,$F32+1)+IF(AND($E32=1,LO32=0),1000,0),MIN(TX32,20)*400+(IF('calcA'!CA$106=1,1-FY32,0)+IF('calcA'!CB$106=1,1-GA32,0))*150+54+'calcA'!CB$5*100000+IF(AND($E32=1,LO32=0),50000,0))+IF($H32=1,INDEX('calcA'!$D$180:$EQ$219,$B32,77)*4000,0)-IF(AND('calcA'!CA$117=1,WY32&gt;0),2000,0)-IF(AND($U32=1,'calcA'!CB$117=1,GA32=0),2000,0))),1000000000))</f>
        <v/>
      </c>
      <c r="RE32">
        <f>IF($B32=0,1000000000,IF(INDEX('calcA'!$D$60:$EQ$99,$B32,78)*IF($W32=1,GA32+ACP32,GA32)=1,IF(AND($E32=2,IF($W32=1,AIE32,LP32)=0),1000000000,IF($V32=1,INDEX('calcA'!$D$130:$EQ$169,$B32,78)+IF(AND($E32=1,LP32=0),25,0),IF($F32&gt;0,INDEX('calcA'!CC$110:CC$114,$F32+1)+IF(AND($E32=1,LP32=0),1000,0),MIN(TX32,20)*400+(IF('calcA'!CB$106=1,1-FZ32,0)+IF('calcA'!CC$106=1,1-GB32,0))*150+64+'calcA'!CC$5*100000+IF(AND($E32=1,LP32=0),50000,0))+IF($H32=1,INDEX('calcA'!$D$180:$EQ$219,$B32,78)*4000,0)-IF(AND('calcA'!CB$117=1,WZ32&gt;0),2000,0)-IF(AND($U32=1,'calcA'!CC$117=1,GB32=0),2000,0))),1000000000))</f>
        <v/>
      </c>
      <c r="RF32">
        <f>IF($B32=0,1000000000,IF(INDEX('calcA'!$D$60:$EQ$99,$B32,79)*IF($W32=1,GB32+ACQ32,GB32)=1,IF(AND($E32=2,IF($W32=1,AIF32,LQ32)=0),1000000000,IF($V32=1,INDEX('calcA'!$D$130:$EQ$169,$B32,79)+IF(AND($E32=1,LQ32=0),25,0),IF($F32&gt;0,INDEX('calcA'!CD$110:CD$114,$F32+1)+IF(AND($E32=1,LQ32=0),1000,0),MIN(TX32,20)*400+(IF('calcA'!CC$106=1,1-GA32,0)+IF('calcA'!CD$106=1,1-GC32,0))*150+74+'calcA'!CD$5*100000+IF(AND($E32=1,LQ32=0),50000,0))+IF($H32=1,INDEX('calcA'!$D$180:$EQ$219,$B32,79)*4000,0)-IF(AND('calcA'!CC$117=1,XA32&gt;0),2000,0)-IF(AND($U32=1,'calcA'!CD$117=1,GC32=0),2000,0))),1000000000))</f>
        <v/>
      </c>
      <c r="RG32">
        <f>IF($B32=0,1000000000,IF(INDEX('calcA'!$D$60:$EQ$99,$B32,80)*IF($W32=1,GC32+ACR32,GC32)=1,IF(AND($E32=2,IF($W32=1,AIG32,LR32)=0),1000000000,IF($V32=1,INDEX('calcA'!$D$130:$EQ$169,$B32,80)+IF(AND($E32=1,LR32=0),25,0),IF($F32&gt;0,INDEX('calcA'!CE$110:CE$114,$F32+1)+IF(AND($E32=1,LR32=0),1000,0),MIN(TX32,20)*400+(IF('calcA'!CD$106=1,1-GB32,0)+IF('calcA'!CE$106=1,1-GD32,0))*150+84+'calcA'!CE$5*100000+IF(AND($E32=1,LR32=0),50000,0))+IF($H32=1,INDEX('calcA'!$D$180:$EQ$219,$B32,80)*4000,0)-IF(AND('calcA'!CD$117=1,XB32&gt;0),2000,0)-IF(AND($U32=1,'calcA'!CE$117=1,GD32=0),2000,0))),1000000000))</f>
        <v/>
      </c>
      <c r="RH32">
        <f>IF($B32=0,1000000000,IF(INDEX('calcA'!$D$60:$EQ$99,$B32,81)*IF($W32=1,GD32+ACS32,GD32)=1,IF(AND($E32=2,IF($W32=1,AIH32,LS32)=0),1000000000,IF($V32=1,INDEX('calcA'!$D$130:$EQ$169,$B32,81)+IF(AND($E32=1,LS32=0),25,0),IF($F32&gt;0,INDEX('calcA'!CF$110:CF$114,$F32+1)+IF(AND($E32=1,LS32=0),1000,0),MIN(TX32,20)*400+(IF('calcA'!CE$106=1,1-GC32,0)+IF('calcA'!CF$106=1,1-GE32,0))*150+94+'calcA'!CF$5*100000+IF(AND($E32=1,LS32=0),50000,0))+IF($H32=1,INDEX('calcA'!$D$180:$EQ$219,$B32,81)*4000,0)-IF(AND('calcA'!CE$117=1,XC32&gt;0),2000,0)-IF(AND($U32=1,'calcA'!CF$117=1,GE32=0),2000,0))),1000000000))</f>
        <v/>
      </c>
      <c r="RI32">
        <f>IF($B32=0,1000000000,IF(INDEX('calcA'!$D$60:$EQ$99,$B32,82)*IF($W32=1,GE32+ACT32,GE32)=1,IF(AND($E32=2,IF($W32=1,AII32,LT32)=0),1000000000,IF($V32=1,INDEX('calcA'!$D$130:$EQ$169,$B32,82)+IF(AND($E32=1,LT32=0),25,0),IF($F32&gt;0,INDEX('calcA'!CG$110:CG$114,$F32+1)+IF(AND($E32=1,LT32=0),1000,0),MIN(TX32,20)*400+(IF('calcA'!CF$106=1,1-GD32,0)+IF('calcA'!CG$106=1,1-GF32,0))*150+104+'calcA'!CG$5*100000+IF(AND($E32=1,LT32=0),50000,0))+IF($H32=1,INDEX('calcA'!$D$180:$EQ$219,$B32,82)*4000,0)-IF(AND('calcA'!CF$117=1,XD32&gt;0),2000,0)-IF(AND($U32=1,'calcA'!CG$117=1,GF32=0),2000,0))),1000000000))</f>
        <v/>
      </c>
      <c r="RJ32">
        <f>IF($B32=0,1000000000,IF(INDEX('calcA'!$D$60:$EQ$99,$B32,83)*IF($W32=1,GF32+ACU32,GF32)=1,IF(AND($E32=2,IF($W32=1,AIJ32,LU32)=0),1000000000,IF($V32=1,INDEX('calcA'!$D$130:$EQ$169,$B32,83)+IF(AND($E32=1,LU32=0),25,0),IF($F32&gt;0,INDEX('calcA'!CH$110:CH$114,$F32+1)+IF(AND($E32=1,LU32=0),1000,0),MIN(TX32,20)*400+(IF('calcA'!CG$106=1,1-GE32,0)+IF('calcA'!CH$106=1,1-GG32,0))*150+114+'calcA'!CH$5*100000+IF(AND($E32=1,LU32=0),50000,0))+IF($H32=1,INDEX('calcA'!$D$180:$EQ$219,$B32,83)*4000,0)-IF(AND('calcA'!CG$117=1,XE32&gt;0),2000,0)-IF(AND($U32=1,'calcA'!CH$117=1,GG32=0),2000,0))),1000000000))</f>
        <v/>
      </c>
      <c r="RK32">
        <f>IF($B32=0,1000000000,IF(INDEX('calcA'!$D$60:$EQ$99,$B32,84)*IF($W32=1,GG32+ACV32,GG32)=1,IF(AND($E32=2,IF($W32=1,AIK32,LV32)=0),1000000000,IF($V32=1,INDEX('calcA'!$D$130:$EQ$169,$B32,84)+IF(AND($E32=1,LV32=0),25,0),IF($F32&gt;0,INDEX('calcA'!CI$110:CI$114,$F32+1)+IF(AND($E32=1,LV32=0),1000,0),MIN(TX32,20)*400+(IF('calcA'!CH$106=1,1-GF32,0)+IF('calcA'!CI$106=1,1-GH32,0))*150+124+'calcA'!CI$5*100000+IF(AND($E32=1,LV32=0),50000,0))+IF($H32=1,INDEX('calcA'!$D$180:$EQ$219,$B32,84)*4000,0)-IF(AND('calcA'!CH$117=1,XF32&gt;0),2000,0)-IF(AND($U32=1,'calcA'!CI$117=1,GH32=0),2000,0))),1000000000))</f>
        <v/>
      </c>
      <c r="RL32">
        <f>IF($B32=0,1000000000,IF(INDEX('calcA'!$D$60:$EQ$99,$B32,85)*IF($W32=1,GH32+ACW32,GH32)=1,IF(AND($E32=2,IF($W32=1,AIL32,LW32)=0),1000000000,IF($V32=1,INDEX('calcA'!$D$130:$EQ$169,$B32,85)+IF(AND($E32=1,LW32=0),25,0),IF($F32&gt;0,INDEX('calcA'!CJ$110:CJ$114,$F32+1)+IF(AND($E32=1,LW32=0),1000,0),MIN(TX32,20)*400+(IF('calcA'!CI$106=1,1-GG32,0)+IF('calcA'!CJ$106=1,1-GI32,0))*150+134+'calcA'!CJ$5*100000+IF(AND($E32=1,LW32=0),50000,0))+IF($H32=1,INDEX('calcA'!$D$180:$EQ$219,$B32,85)*4000,0)-IF(AND('calcA'!CI$117=1,XG32&gt;0),2000,0)-IF(AND($U32=1,'calcA'!CJ$117=1,GI32=0),2000,0))),1000000000))</f>
        <v/>
      </c>
      <c r="RM32">
        <f>IF($B32=0,1000000000,IF(INDEX('calcA'!$D$60:$EQ$99,$B32,86)*IF($W32=1,GI32+ACX32,GI32)=1,IF(AND($E32=2,IF($W32=1,AIM32,LX32)=0),1000000000,IF($V32=1,INDEX('calcA'!$D$130:$EQ$169,$B32,86)+IF(AND($E32=1,LX32=0),25,0),IF($F32&gt;0,INDEX('calcA'!CK$110:CK$114,$F32+1)+IF(AND($E32=1,LX32=0),1000,0),MIN(TX32,20)*400+(IF('calcA'!CJ$106=1,1-GH32,0)+IF('calcA'!CK$106=1,1-GJ32,0))*150+144+'calcA'!CK$5*100000+IF(AND($E32=1,LX32=0),50000,0))+IF($H32=1,INDEX('calcA'!$D$180:$EQ$219,$B32,86)*4000,0)-IF(AND('calcA'!CJ$117=1,XH32&gt;0),2000,0)-IF(AND($U32=1,'calcA'!CK$117=1,GJ32=0),2000,0))),1000000000))</f>
        <v/>
      </c>
      <c r="RN32">
        <f>IF($B32=0,1000000000,IF(INDEX('calcA'!$D$60:$EQ$99,$B32,87)*IF($W32=1,GJ32+ACY32,GJ32)=1,IF(AND($E32=2,IF($W32=1,AIN32,LY32)=0),1000000000,IF($V32=1,INDEX('calcA'!$D$130:$EQ$169,$B32,87)+IF(AND($E32=1,LY32=0),25,0),IF($F32&gt;0,INDEX('calcA'!CL$110:CL$114,$F32+1)+IF(AND($E32=1,LY32=0),1000,0),MIN(TX32,20)*400+(IF('calcA'!CK$106=1,1-GI32,0)+IF('calcA'!CL$106=1,1-GK32,0))*150+154+'calcA'!CL$5*100000+IF(AND($E32=1,LY32=0),50000,0))+IF($H32=1,INDEX('calcA'!$D$180:$EQ$219,$B32,87)*4000,0)-IF(AND('calcA'!CK$117=1,XI32&gt;0),2000,0)-IF(AND($U32=1,'calcA'!CL$117=1,GK32=0),2000,0))),1000000000))</f>
        <v/>
      </c>
      <c r="RO32">
        <f>IF($B32=0,1000000000,IF(INDEX('calcA'!$D$60:$EQ$99,$B32,88)*IF($W32=1,GK32+ACZ32,GK32)=1,IF(AND($E32=2,IF($W32=1,AIO32,LZ32)=0),1000000000,IF($V32=1,INDEX('calcA'!$D$130:$EQ$169,$B32,88)+IF(AND($E32=1,LZ32=0),25,0),IF($F32&gt;0,INDEX('calcA'!CM$110:CM$114,$F32+1)+IF(AND($E32=1,LZ32=0),1000,0),MIN(TX32,20)*400+(IF('calcA'!CL$106=1,1-GJ32,0)+IF('calcA'!CM$106=1,1-GL32,0))*150+164+'calcA'!CM$5*100000+IF(AND($E32=1,LZ32=0),50000,0))+IF($H32=1,INDEX('calcA'!$D$180:$EQ$219,$B32,88)*4000,0)-IF(AND('calcA'!CL$117=1,XJ32&gt;0),2000,0)-IF(AND($U32=1,'calcA'!CM$117=1,GL32=0),2000,0))),1000000000))</f>
        <v/>
      </c>
      <c r="RP32">
        <f>IF($B32=0,1000000000,IF(INDEX('calcA'!$D$60:$EQ$99,$B32,89)*IF($W32=1,GL32+ADA32,GL32)=1,IF(AND($E32=2,IF($W32=1,AIP32,MA32)=0),1000000000,IF($V32=1,INDEX('calcA'!$D$130:$EQ$169,$B32,89)+IF(AND($E32=1,MA32=0),25,0),IF($F32&gt;0,INDEX('calcA'!CN$110:CN$114,$F32+1)+IF(AND($E32=1,MA32=0),1000,0),MIN(TX32,20)*400+(IF('calcA'!CM$106=1,1-GK32,0)+IF('calcA'!CN$106=1,1-GM32,0))*150+174+'calcA'!CN$5*100000+IF(AND($E32=1,MA32=0),50000,0))+IF($H32=1,INDEX('calcA'!$D$180:$EQ$219,$B32,89)*4000,0)-IF(AND('calcA'!CM$117=1,XK32&gt;0),2000,0)-IF(AND($U32=1,'calcA'!CN$117=1,GM32=0),2000,0))),1000000000))</f>
        <v/>
      </c>
      <c r="RQ32">
        <f>IF($B32=0,1000000000,IF(INDEX('calcA'!$D$60:$EQ$99,$B32,90)*IF($W32=1,GM32+ADB32,GM32)=1,IF(AND($E32=2,IF($W32=1,AIQ32,MB32)=0),1000000000,IF($V32=1,INDEX('calcA'!$D$130:$EQ$169,$B32,90)+IF(AND($E32=1,MB32=0),25,0),IF($F32&gt;0,INDEX('calcA'!CO$110:CO$114,$F32+1)+IF(AND($E32=1,MB32=0),1000,0),MIN(TX32,20)*400+(IF('calcA'!CN$106=1,1-GL32,0)+IF('calcA'!CO$106=1,1-GN32,0))*150+184+'calcA'!CO$5*100000+IF(AND($E32=1,MB32=0),50000,0))+IF($H32=1,INDEX('calcA'!$D$180:$EQ$219,$B32,90)*4000,0)-IF(AND('calcA'!CN$117=1,XL32&gt;0),2000,0)-IF(AND($U32=1,'calcA'!CO$117=1,GN32=0),2000,0))),1000000000))</f>
        <v/>
      </c>
      <c r="RR32">
        <f>IF($B32=0,1000000000,IF(INDEX('calcA'!$D$60:$EQ$99,$B32,91)*IF($W32=1,GN32+ADC32,GN32)=1,IF(AND($E32=2,IF($W32=1,AIR32,MC32)=0),1000000000,IF($V32=1,INDEX('calcA'!$D$130:$EQ$169,$B32,91)+IF(AND($E32=1,MC32=0),25,0),IF($F32&gt;0,INDEX('calcA'!CP$110:CP$114,$F32+1)+IF(AND($E32=1,MC32=0),1000,0),MIN(TX32,20)*400+(IF('calcA'!CO$106=1,1-GM32,0)+IF('calcA'!CP$106=1,1-GO32,0))*150+194+'calcA'!CP$5*100000+IF(AND($E32=1,MC32=0),50000,0))+IF($H32=1,INDEX('calcA'!$D$180:$EQ$219,$B32,91)*4000,0)-IF(AND('calcA'!CO$117=1,XM32&gt;0),2000,0)-IF(AND($U32=1,'calcA'!CP$117=1,GO32=0),2000,0))),1000000000))</f>
        <v/>
      </c>
      <c r="RS32">
        <f>IF($B32=0,1000000000,IF(INDEX('calcA'!$D$60:$EQ$99,$B32,92)*IF($W32=1,GO32+ADD32,GO32)=1,IF(AND($E32=2,IF($W32=1,AIS32,MD32)=0),1000000000,IF($V32=1,INDEX('calcA'!$D$130:$EQ$169,$B32,92)+IF(AND($E32=1,MD32=0),25,0),IF($F32&gt;0,INDEX('calcA'!CQ$110:CQ$114,$F32+1)+IF(AND($E32=1,MD32=0),1000,0),MIN(TX32,20)*400+(IF('calcA'!CP$106=1,1-GN32,0)+IF('calcA'!CQ$106=1,1-GP32,0))*150+204+'calcA'!CQ$5*100000+IF(AND($E32=1,MD32=0),50000,0))+IF($H32=1,INDEX('calcA'!$D$180:$EQ$219,$B32,92)*4000,0)-IF(AND('calcA'!CP$117=1,XN32&gt;0),2000,0)-IF(AND($U32=1,'calcA'!CQ$117=1,GP32=0),2000,0))),1000000000))</f>
        <v/>
      </c>
      <c r="RT32">
        <f>IF($B32=0,1000000000,IF(INDEX('calcA'!$D$60:$EQ$99,$B32,93)*IF($W32=1,GP32+ADE32,GP32)=1,IF(AND($E32=2,IF($W32=1,AIT32,ME32)=0),1000000000,IF($V32=1,INDEX('calcA'!$D$130:$EQ$169,$B32,93)+IF(AND($E32=1,ME32=0),25,0),IF($F32&gt;0,INDEX('calcA'!CR$110:CR$114,$F32+1)+IF(AND($E32=1,ME32=0),1000,0),MIN(TX32,20)*400+(IF('calcA'!CQ$106=1,1-GO32,0)+IF('calcA'!CR$106=1,1-GQ32,0))*150+214+'calcA'!CR$5*100000+IF(AND($E32=1,ME32=0),50000,0))+IF($H32=1,INDEX('calcA'!$D$180:$EQ$219,$B32,93)*4000,0)-IF(AND('calcA'!CQ$117=1,XO32&gt;0),2000,0)-IF(AND($U32=1,'calcA'!CR$117=1,GQ32=0),2000,0))),1000000000))</f>
        <v/>
      </c>
      <c r="RU32">
        <f>IF($B32=0,1000000000,IF(INDEX('calcA'!$D$60:$EQ$99,$B32,94)*IF($W32=1,GQ32+ADF32,GQ32)=1,IF(AND($E32=2,IF($W32=1,AIU32,MF32)=0),1000000000,IF($V32=1,INDEX('calcA'!$D$130:$EQ$169,$B32,94)+IF(AND($E32=1,MF32=0),25,0),IF($F32&gt;0,INDEX('calcA'!CS$110:CS$114,$F32+1)+IF(AND($E32=1,MF32=0),1000,0),MIN(TX32,20)*400+(IF('calcA'!CR$106=1,1-GP32,0)+IF('calcA'!CS$106=1,1-GR32,0))*150+224+'calcA'!CS$5*100000+IF(AND($E32=1,MF32=0),50000,0))+IF($H32=1,INDEX('calcA'!$D$180:$EQ$219,$B32,94)*4000,0)-IF(AND('calcA'!CR$117=1,XP32&gt;0),2000,0)-IF(AND($U32=1,'calcA'!CS$117=1,GR32=0),2000,0))),1000000000))</f>
        <v/>
      </c>
      <c r="RV32">
        <f>IF($B32=0,1000000000,IF(INDEX('calcA'!$D$60:$EQ$99,$B32,95)*IF($W32=1,GR32+ADG32,GR32)=1,IF(AND($E32=2,IF($W32=1,AIV32,MG32)=0),1000000000,IF($V32=1,INDEX('calcA'!$D$130:$EQ$169,$B32,95)+IF(AND($E32=1,MG32=0),25,0),IF($F32&gt;0,INDEX('calcA'!CT$110:CT$114,$F32+1)+IF(AND($E32=1,MG32=0),1000,0),MIN(TX32,20)*400+(IF('calcA'!CS$106=1,1-GQ32,0)+IF('calcA'!CT$106=1,1-GS32,0))*150+234+'calcA'!CT$5*100000+IF(AND($E32=1,MG32=0),50000,0))+IF($H32=1,INDEX('calcA'!$D$180:$EQ$219,$B32,95)*4000,0)-IF(AND('calcA'!CS$117=1,XQ32&gt;0),2000,0)-IF(AND($U32=1,'calcA'!CT$117=1,GS32=0),2000,0))),1000000000))</f>
        <v/>
      </c>
      <c r="RW32">
        <f>IF($B32=0,1000000000,IF(INDEX('calcA'!$D$60:$EQ$99,$B32,96)*IF($W32=1,GS32+ADH32,GS32)=1,IF(AND($E32=2,IF($W32=1,AIW32,MH32)=0),1000000000,IF($V32=1,INDEX('calcA'!$D$130:$EQ$169,$B32,96)+IF(AND($E32=1,MH32=0),25,0),IF($F32&gt;0,INDEX('calcA'!CU$110:CU$114,$F32+1)+IF(AND($E32=1,MH32=0),1000,0),MIN(TX32,20)*400+(IF('calcA'!CT$106=1,1-GR32,0))*150+244+'calcA'!CU$5*100000+IF(AND($E32=1,MH32=0),50000,0))+IF($H32=1,INDEX('calcA'!$D$180:$EQ$219,$B32,96)*4000,0)-IF(AND('calcA'!CT$117=1,XR32&gt;0),2000,0))),1000000000))</f>
        <v/>
      </c>
      <c r="RX32">
        <f>IF($B32=0,1000000000,IF(INDEX('calcA'!$D$60:$EQ$99,$B32,97)*IF($W32=1,GT32+ADI32,GT32)=1,IF(AND($E32=2,IF($W32=1,AIX32,MI32)=0),1000000000,IF($V32=1,INDEX('calcA'!$D$130:$EQ$169,$B32,97)+IF(AND($E32=1,MI32=0),25,0),IF($F32&gt;0,INDEX('calcA'!CV$110:CV$114,$F32+1)+IF(AND($E32=1,MI32=0),1000,0),MIN(TY32,20)*400+(IF('calcA'!CV$106=1,1-GU32,0))*150+15+'calcA'!CV$5*100000+IF(AND($E32=1,MI32=0),50000,0))+IF($H32=1,INDEX('calcA'!$D$180:$EQ$219,$B32,97)*4000,0)-IF(AND($U32=1,'calcA'!CV$117=1,GU32=0),2000,0))),1000000000))</f>
        <v/>
      </c>
      <c r="RY32">
        <f>IF($B32=0,1000000000,IF(INDEX('calcA'!$D$60:$EQ$99,$B32,98)*IF($W32=1,GU32+ADJ32,GU32)=1,IF(AND($E32=2,IF($W32=1,AIY32,MJ32)=0),1000000000,IF($V32=1,INDEX('calcA'!$D$130:$EQ$169,$B32,98)+IF(AND($E32=1,MJ32=0),25,0),IF($F32&gt;0,INDEX('calcA'!CW$110:CW$114,$F32+1)+IF(AND($E32=1,MJ32=0),1000,0),MIN(TY32,20)*400+(IF('calcA'!CV$106=1,1-GT32,0)+IF('calcA'!CW$106=1,1-GV32,0))*150+25+'calcA'!CW$5*100000+IF(AND($E32=1,MJ32=0),50000,0))+IF($H32=1,INDEX('calcA'!$D$180:$EQ$219,$B32,98)*4000,0)-IF(AND('calcA'!CV$117=1,XT32&gt;0),2000,0)-IF(AND($U32=1,'calcA'!CW$117=1,GV32=0),2000,0))),1000000000))</f>
        <v/>
      </c>
      <c r="RZ32">
        <f>IF($B32=0,1000000000,IF(INDEX('calcA'!$D$60:$EQ$99,$B32,99)*IF($W32=1,GV32+ADK32,GV32)=1,IF(AND($E32=2,IF($W32=1,AIZ32,MK32)=0),1000000000,IF($V32=1,INDEX('calcA'!$D$130:$EQ$169,$B32,99)+IF(AND($E32=1,MK32=0),25,0),IF($F32&gt;0,INDEX('calcA'!CX$110:CX$114,$F32+1)+IF(AND($E32=1,MK32=0),1000,0),MIN(TY32,20)*400+(IF('calcA'!CW$106=1,1-GU32,0)+IF('calcA'!CX$106=1,1-GW32,0))*150+35+'calcA'!CX$5*100000+IF(AND($E32=1,MK32=0),50000,0))+IF($H32=1,INDEX('calcA'!$D$180:$EQ$219,$B32,99)*4000,0)-IF(AND('calcA'!CW$117=1,XU32&gt;0),2000,0)-IF(AND($U32=1,'calcA'!CX$117=1,GW32=0),2000,0))),1000000000))</f>
        <v/>
      </c>
      <c r="SA32">
        <f>IF($B32=0,1000000000,IF(INDEX('calcA'!$D$60:$EQ$99,$B32,100)*IF($W32=1,GW32+ADL32,GW32)=1,IF(AND($E32=2,IF($W32=1,AJA32,ML32)=0),1000000000,IF($V32=1,INDEX('calcA'!$D$130:$EQ$169,$B32,100)+IF(AND($E32=1,ML32=0),25,0),IF($F32&gt;0,INDEX('calcA'!CY$110:CY$114,$F32+1)+IF(AND($E32=1,ML32=0),1000,0),MIN(TY32,20)*400+(IF('calcA'!CX$106=1,1-GV32,0)+IF('calcA'!CY$106=1,1-GX32,0))*150+45+'calcA'!CY$5*100000+IF(AND($E32=1,ML32=0),50000,0))+IF($H32=1,INDEX('calcA'!$D$180:$EQ$219,$B32,100)*4000,0)-IF(AND('calcA'!CX$117=1,XV32&gt;0),2000,0)-IF(AND($U32=1,'calcA'!CY$117=1,GX32=0),2000,0))),1000000000))</f>
        <v/>
      </c>
      <c r="SB32">
        <f>IF($B32=0,1000000000,IF(INDEX('calcA'!$D$60:$EQ$99,$B32,101)*IF($W32=1,GX32+ADM32,GX32)=1,IF(AND($E32=2,IF($W32=1,AJB32,MM32)=0),1000000000,IF($V32=1,INDEX('calcA'!$D$130:$EQ$169,$B32,101)+IF(AND($E32=1,MM32=0),25,0),IF($F32&gt;0,INDEX('calcA'!CZ$110:CZ$114,$F32+1)+IF(AND($E32=1,MM32=0),1000,0),MIN(TY32,20)*400+(IF('calcA'!CY$106=1,1-GW32,0)+IF('calcA'!CZ$106=1,1-GY32,0))*150+55+'calcA'!CZ$5*100000+IF(AND($E32=1,MM32=0),50000,0))+IF($H32=1,INDEX('calcA'!$D$180:$EQ$219,$B32,101)*4000,0)-IF(AND('calcA'!CY$117=1,XW32&gt;0),2000,0)-IF(AND($U32=1,'calcA'!CZ$117=1,GY32=0),2000,0))),1000000000))</f>
        <v/>
      </c>
      <c r="SC32">
        <f>IF($B32=0,1000000000,IF(INDEX('calcA'!$D$60:$EQ$99,$B32,102)*IF($W32=1,GY32+ADN32,GY32)=1,IF(AND($E32=2,IF($W32=1,AJC32,MN32)=0),1000000000,IF($V32=1,INDEX('calcA'!$D$130:$EQ$169,$B32,102)+IF(AND($E32=1,MN32=0),25,0),IF($F32&gt;0,INDEX('calcA'!DA$110:DA$114,$F32+1)+IF(AND($E32=1,MN32=0),1000,0),MIN(TY32,20)*400+(IF('calcA'!CZ$106=1,1-GX32,0)+IF('calcA'!DA$106=1,1-GZ32,0))*150+65+'calcA'!DA$5*100000+IF(AND($E32=1,MN32=0),50000,0))+IF($H32=1,INDEX('calcA'!$D$180:$EQ$219,$B32,102)*4000,0)-IF(AND('calcA'!CZ$117=1,XX32&gt;0),2000,0)-IF(AND($U32=1,'calcA'!DA$117=1,GZ32=0),2000,0))),1000000000))</f>
        <v/>
      </c>
      <c r="SD32">
        <f>IF($B32=0,1000000000,IF(INDEX('calcA'!$D$60:$EQ$99,$B32,103)*IF($W32=1,GZ32+ADO32,GZ32)=1,IF(AND($E32=2,IF($W32=1,AJD32,MO32)=0),1000000000,IF($V32=1,INDEX('calcA'!$D$130:$EQ$169,$B32,103)+IF(AND($E32=1,MO32=0),25,0),IF($F32&gt;0,INDEX('calcA'!DB$110:DB$114,$F32+1)+IF(AND($E32=1,MO32=0),1000,0),MIN(TY32,20)*400+(IF('calcA'!DA$106=1,1-GY32,0)+IF('calcA'!DB$106=1,1-HA32,0))*150+75+'calcA'!DB$5*100000+IF(AND($E32=1,MO32=0),50000,0))+IF($H32=1,INDEX('calcA'!$D$180:$EQ$219,$B32,103)*4000,0)-IF(AND('calcA'!DA$117=1,XY32&gt;0),2000,0)-IF(AND($U32=1,'calcA'!DB$117=1,HA32=0),2000,0))),1000000000))</f>
        <v/>
      </c>
      <c r="SE32">
        <f>IF($B32=0,1000000000,IF(INDEX('calcA'!$D$60:$EQ$99,$B32,104)*IF($W32=1,HA32+ADP32,HA32)=1,IF(AND($E32=2,IF($W32=1,AJE32,MP32)=0),1000000000,IF($V32=1,INDEX('calcA'!$D$130:$EQ$169,$B32,104)+IF(AND($E32=1,MP32=0),25,0),IF($F32&gt;0,INDEX('calcA'!DC$110:DC$114,$F32+1)+IF(AND($E32=1,MP32=0),1000,0),MIN(TY32,20)*400+(IF('calcA'!DB$106=1,1-GZ32,0)+IF('calcA'!DC$106=1,1-HB32,0))*150+85+'calcA'!DC$5*100000+IF(AND($E32=1,MP32=0),50000,0))+IF($H32=1,INDEX('calcA'!$D$180:$EQ$219,$B32,104)*4000,0)-IF(AND('calcA'!DB$117=1,XZ32&gt;0),2000,0)-IF(AND($U32=1,'calcA'!DC$117=1,HB32=0),2000,0))),1000000000))</f>
        <v/>
      </c>
      <c r="SF32">
        <f>IF($B32=0,1000000000,IF(INDEX('calcA'!$D$60:$EQ$99,$B32,105)*IF($W32=1,HB32+ADQ32,HB32)=1,IF(AND($E32=2,IF($W32=1,AJF32,MQ32)=0),1000000000,IF($V32=1,INDEX('calcA'!$D$130:$EQ$169,$B32,105)+IF(AND($E32=1,MQ32=0),25,0),IF($F32&gt;0,INDEX('calcA'!DD$110:DD$114,$F32+1)+IF(AND($E32=1,MQ32=0),1000,0),MIN(TY32,20)*400+(IF('calcA'!DC$106=1,1-HA32,0)+IF('calcA'!DD$106=1,1-HC32,0))*150+95+'calcA'!DD$5*100000+IF(AND($E32=1,MQ32=0),50000,0))+IF($H32=1,INDEX('calcA'!$D$180:$EQ$219,$B32,105)*4000,0)-IF(AND('calcA'!DC$117=1,YA32&gt;0),2000,0)-IF(AND($U32=1,'calcA'!DD$117=1,HC32=0),2000,0))),1000000000))</f>
        <v/>
      </c>
      <c r="SG32">
        <f>IF($B32=0,1000000000,IF(INDEX('calcA'!$D$60:$EQ$99,$B32,106)*IF($W32=1,HC32+ADR32,HC32)=1,IF(AND($E32=2,IF($W32=1,AJG32,MR32)=0),1000000000,IF($V32=1,INDEX('calcA'!$D$130:$EQ$169,$B32,106)+IF(AND($E32=1,MR32=0),25,0),IF($F32&gt;0,INDEX('calcA'!DE$110:DE$114,$F32+1)+IF(AND($E32=1,MR32=0),1000,0),MIN(TY32,20)*400+(IF('calcA'!DD$106=1,1-HB32,0)+IF('calcA'!DE$106=1,1-HD32,0))*150+105+'calcA'!DE$5*100000+IF(AND($E32=1,MR32=0),50000,0))+IF($H32=1,INDEX('calcA'!$D$180:$EQ$219,$B32,106)*4000,0)-IF(AND('calcA'!DD$117=1,YB32&gt;0),2000,0)-IF(AND($U32=1,'calcA'!DE$117=1,HD32=0),2000,0))),1000000000))</f>
        <v/>
      </c>
      <c r="SH32">
        <f>IF($B32=0,1000000000,IF(INDEX('calcA'!$D$60:$EQ$99,$B32,107)*IF($W32=1,HD32+ADS32,HD32)=1,IF(AND($E32=2,IF($W32=1,AJH32,MS32)=0),1000000000,IF($V32=1,INDEX('calcA'!$D$130:$EQ$169,$B32,107)+IF(AND($E32=1,MS32=0),25,0),IF($F32&gt;0,INDEX('calcA'!DF$110:DF$114,$F32+1)+IF(AND($E32=1,MS32=0),1000,0),MIN(TY32,20)*400+(IF('calcA'!DE$106=1,1-HC32,0)+IF('calcA'!DF$106=1,1-HE32,0))*150+115+'calcA'!DF$5*100000+IF(AND($E32=1,MS32=0),50000,0))+IF($H32=1,INDEX('calcA'!$D$180:$EQ$219,$B32,107)*4000,0)-IF(AND('calcA'!DE$117=1,YC32&gt;0),2000,0)-IF(AND($U32=1,'calcA'!DF$117=1,HE32=0),2000,0))),1000000000))</f>
        <v/>
      </c>
      <c r="SI32">
        <f>IF($B32=0,1000000000,IF(INDEX('calcA'!$D$60:$EQ$99,$B32,108)*IF($W32=1,HE32+ADT32,HE32)=1,IF(AND($E32=2,IF($W32=1,AJI32,MT32)=0),1000000000,IF($V32=1,INDEX('calcA'!$D$130:$EQ$169,$B32,108)+IF(AND($E32=1,MT32=0),25,0),IF($F32&gt;0,INDEX('calcA'!DG$110:DG$114,$F32+1)+IF(AND($E32=1,MT32=0),1000,0),MIN(TY32,20)*400+(IF('calcA'!DF$106=1,1-HD32,0)+IF('calcA'!DG$106=1,1-HF32,0))*150+125+'calcA'!DG$5*100000+IF(AND($E32=1,MT32=0),50000,0))+IF($H32=1,INDEX('calcA'!$D$180:$EQ$219,$B32,108)*4000,0)-IF(AND('calcA'!DF$117=1,YD32&gt;0),2000,0)-IF(AND($U32=1,'calcA'!DG$117=1,HF32=0),2000,0))),1000000000))</f>
        <v/>
      </c>
      <c r="SJ32">
        <f>IF($B32=0,1000000000,IF(INDEX('calcA'!$D$60:$EQ$99,$B32,109)*IF($W32=1,HF32+ADU32,HF32)=1,IF(AND($E32=2,IF($W32=1,AJJ32,MU32)=0),1000000000,IF($V32=1,INDEX('calcA'!$D$130:$EQ$169,$B32,109)+IF(AND($E32=1,MU32=0),25,0),IF($F32&gt;0,INDEX('calcA'!DH$110:DH$114,$F32+1)+IF(AND($E32=1,MU32=0),1000,0),MIN(TY32,20)*400+(IF('calcA'!DG$106=1,1-HE32,0)+IF('calcA'!DH$106=1,1-HG32,0))*150+135+'calcA'!DH$5*100000+IF(AND($E32=1,MU32=0),50000,0))+IF($H32=1,INDEX('calcA'!$D$180:$EQ$219,$B32,109)*4000,0)-IF(AND('calcA'!DG$117=1,YE32&gt;0),2000,0)-IF(AND($U32=1,'calcA'!DH$117=1,HG32=0),2000,0))),1000000000))</f>
        <v/>
      </c>
      <c r="SK32">
        <f>IF($B32=0,1000000000,IF(INDEX('calcA'!$D$60:$EQ$99,$B32,110)*IF($W32=1,HG32+ADV32,HG32)=1,IF(AND($E32=2,IF($W32=1,AJK32,MV32)=0),1000000000,IF($V32=1,INDEX('calcA'!$D$130:$EQ$169,$B32,110)+IF(AND($E32=1,MV32=0),25,0),IF($F32&gt;0,INDEX('calcA'!DI$110:DI$114,$F32+1)+IF(AND($E32=1,MV32=0),1000,0),MIN(TY32,20)*400+(IF('calcA'!DH$106=1,1-HF32,0)+IF('calcA'!DI$106=1,1-HH32,0))*150+145+'calcA'!DI$5*100000+IF(AND($E32=1,MV32=0),50000,0))+IF($H32=1,INDEX('calcA'!$D$180:$EQ$219,$B32,110)*4000,0)-IF(AND('calcA'!DH$117=1,YF32&gt;0),2000,0)-IF(AND($U32=1,'calcA'!DI$117=1,HH32=0),2000,0))),1000000000))</f>
        <v/>
      </c>
      <c r="SL32">
        <f>IF($B32=0,1000000000,IF(INDEX('calcA'!$D$60:$EQ$99,$B32,111)*IF($W32=1,HH32+ADW32,HH32)=1,IF(AND($E32=2,IF($W32=1,AJL32,MW32)=0),1000000000,IF($V32=1,INDEX('calcA'!$D$130:$EQ$169,$B32,111)+IF(AND($E32=1,MW32=0),25,0),IF($F32&gt;0,INDEX('calcA'!DJ$110:DJ$114,$F32+1)+IF(AND($E32=1,MW32=0),1000,0),MIN(TY32,20)*400+(IF('calcA'!DI$106=1,1-HG32,0)+IF('calcA'!DJ$106=1,1-HI32,0))*150+155+'calcA'!DJ$5*100000+IF(AND($E32=1,MW32=0),50000,0))+IF($H32=1,INDEX('calcA'!$D$180:$EQ$219,$B32,111)*4000,0)-IF(AND('calcA'!DI$117=1,YG32&gt;0),2000,0)-IF(AND($U32=1,'calcA'!DJ$117=1,HI32=0),2000,0))),1000000000))</f>
        <v/>
      </c>
      <c r="SM32">
        <f>IF($B32=0,1000000000,IF(INDEX('calcA'!$D$60:$EQ$99,$B32,112)*IF($W32=1,HI32+ADX32,HI32)=1,IF(AND($E32=2,IF($W32=1,AJM32,MX32)=0),1000000000,IF($V32=1,INDEX('calcA'!$D$130:$EQ$169,$B32,112)+IF(AND($E32=1,MX32=0),25,0),IF($F32&gt;0,INDEX('calcA'!DK$110:DK$114,$F32+1)+IF(AND($E32=1,MX32=0),1000,0),MIN(TY32,20)*400+(IF('calcA'!DJ$106=1,1-HH32,0)+IF('calcA'!DK$106=1,1-HJ32,0))*150+165+'calcA'!DK$5*100000+IF(AND($E32=1,MX32=0),50000,0))+IF($H32=1,INDEX('calcA'!$D$180:$EQ$219,$B32,112)*4000,0)-IF(AND('calcA'!DJ$117=1,YH32&gt;0),2000,0)-IF(AND($U32=1,'calcA'!DK$117=1,HJ32=0),2000,0))),1000000000))</f>
        <v/>
      </c>
      <c r="SN32">
        <f>IF($B32=0,1000000000,IF(INDEX('calcA'!$D$60:$EQ$99,$B32,113)*IF($W32=1,HJ32+ADY32,HJ32)=1,IF(AND($E32=2,IF($W32=1,AJN32,MY32)=0),1000000000,IF($V32=1,INDEX('calcA'!$D$130:$EQ$169,$B32,113)+IF(AND($E32=1,MY32=0),25,0),IF($F32&gt;0,INDEX('calcA'!DL$110:DL$114,$F32+1)+IF(AND($E32=1,MY32=0),1000,0),MIN(TY32,20)*400+(IF('calcA'!DK$106=1,1-HI32,0)+IF('calcA'!DL$106=1,1-HK32,0))*150+175+'calcA'!DL$5*100000+IF(AND($E32=1,MY32=0),50000,0))+IF($H32=1,INDEX('calcA'!$D$180:$EQ$219,$B32,113)*4000,0)-IF(AND('calcA'!DK$117=1,YI32&gt;0),2000,0)-IF(AND($U32=1,'calcA'!DL$117=1,HK32=0),2000,0))),1000000000))</f>
        <v/>
      </c>
      <c r="SO32">
        <f>IF($B32=0,1000000000,IF(INDEX('calcA'!$D$60:$EQ$99,$B32,114)*IF($W32=1,HK32+ADZ32,HK32)=1,IF(AND($E32=2,IF($W32=1,AJO32,MZ32)=0),1000000000,IF($V32=1,INDEX('calcA'!$D$130:$EQ$169,$B32,114)+IF(AND($E32=1,MZ32=0),25,0),IF($F32&gt;0,INDEX('calcA'!DM$110:DM$114,$F32+1)+IF(AND($E32=1,MZ32=0),1000,0),MIN(TY32,20)*400+(IF('calcA'!DL$106=1,1-HJ32,0)+IF('calcA'!DM$106=1,1-HL32,0))*150+185+'calcA'!DM$5*100000+IF(AND($E32=1,MZ32=0),50000,0))+IF($H32=1,INDEX('calcA'!$D$180:$EQ$219,$B32,114)*4000,0)-IF(AND('calcA'!DL$117=1,YJ32&gt;0),2000,0)-IF(AND($U32=1,'calcA'!DM$117=1,HL32=0),2000,0))),1000000000))</f>
        <v/>
      </c>
      <c r="SP32">
        <f>IF($B32=0,1000000000,IF(INDEX('calcA'!$D$60:$EQ$99,$B32,115)*IF($W32=1,HL32+AEA32,HL32)=1,IF(AND($E32=2,IF($W32=1,AJP32,NA32)=0),1000000000,IF($V32=1,INDEX('calcA'!$D$130:$EQ$169,$B32,115)+IF(AND($E32=1,NA32=0),25,0),IF($F32&gt;0,INDEX('calcA'!DN$110:DN$114,$F32+1)+IF(AND($E32=1,NA32=0),1000,0),MIN(TY32,20)*400+(IF('calcA'!DM$106=1,1-HK32,0)+IF('calcA'!DN$106=1,1-HM32,0))*150+195+'calcA'!DN$5*100000+IF(AND($E32=1,NA32=0),50000,0))+IF($H32=1,INDEX('calcA'!$D$180:$EQ$219,$B32,115)*4000,0)-IF(AND('calcA'!DM$117=1,YK32&gt;0),2000,0)-IF(AND($U32=1,'calcA'!DN$117=1,HM32=0),2000,0))),1000000000))</f>
        <v/>
      </c>
      <c r="SQ32">
        <f>IF($B32=0,1000000000,IF(INDEX('calcA'!$D$60:$EQ$99,$B32,116)*IF($W32=1,HM32+AEB32,HM32)=1,IF(AND($E32=2,IF($W32=1,AJQ32,NB32)=0),1000000000,IF($V32=1,INDEX('calcA'!$D$130:$EQ$169,$B32,116)+IF(AND($E32=1,NB32=0),25,0),IF($F32&gt;0,INDEX('calcA'!DO$110:DO$114,$F32+1)+IF(AND($E32=1,NB32=0),1000,0),MIN(TY32,20)*400+(IF('calcA'!DN$106=1,1-HL32,0)+IF('calcA'!DO$106=1,1-HN32,0))*150+205+'calcA'!DO$5*100000+IF(AND($E32=1,NB32=0),50000,0))+IF($H32=1,INDEX('calcA'!$D$180:$EQ$219,$B32,116)*4000,0)-IF(AND('calcA'!DN$117=1,YL32&gt;0),2000,0)-IF(AND($U32=1,'calcA'!DO$117=1,HN32=0),2000,0))),1000000000))</f>
        <v/>
      </c>
      <c r="SR32">
        <f>IF($B32=0,1000000000,IF(INDEX('calcA'!$D$60:$EQ$99,$B32,117)*IF($W32=1,HN32+AEC32,HN32)=1,IF(AND($E32=2,IF($W32=1,AJR32,NC32)=0),1000000000,IF($V32=1,INDEX('calcA'!$D$130:$EQ$169,$B32,117)+IF(AND($E32=1,NC32=0),25,0),IF($F32&gt;0,INDEX('calcA'!DP$110:DP$114,$F32+1)+IF(AND($E32=1,NC32=0),1000,0),MIN(TY32,20)*400+(IF('calcA'!DO$106=1,1-HM32,0)+IF('calcA'!DP$106=1,1-HO32,0))*150+215+'calcA'!DP$5*100000+IF(AND($E32=1,NC32=0),50000,0))+IF($H32=1,INDEX('calcA'!$D$180:$EQ$219,$B32,117)*4000,0)-IF(AND('calcA'!DO$117=1,YM32&gt;0),2000,0)-IF(AND($U32=1,'calcA'!DP$117=1,HO32=0),2000,0))),1000000000))</f>
        <v/>
      </c>
      <c r="SS32">
        <f>IF($B32=0,1000000000,IF(INDEX('calcA'!$D$60:$EQ$99,$B32,118)*IF($W32=1,HO32+AED32,HO32)=1,IF(AND($E32=2,IF($W32=1,AJS32,ND32)=0),1000000000,IF($V32=1,INDEX('calcA'!$D$130:$EQ$169,$B32,118)+IF(AND($E32=1,ND32=0),25,0),IF($F32&gt;0,INDEX('calcA'!DQ$110:DQ$114,$F32+1)+IF(AND($E32=1,ND32=0),1000,0),MIN(TY32,20)*400+(IF('calcA'!DP$106=1,1-HN32,0)+IF('calcA'!DQ$106=1,1-HP32,0))*150+225+'calcA'!DQ$5*100000+IF(AND($E32=1,ND32=0),50000,0))+IF($H32=1,INDEX('calcA'!$D$180:$EQ$219,$B32,118)*4000,0)-IF(AND('calcA'!DP$117=1,YN32&gt;0),2000,0)-IF(AND($U32=1,'calcA'!DQ$117=1,HP32=0),2000,0))),1000000000))</f>
        <v/>
      </c>
      <c r="ST32">
        <f>IF($B32=0,1000000000,IF(INDEX('calcA'!$D$60:$EQ$99,$B32,119)*IF($W32=1,HP32+AEE32,HP32)=1,IF(AND($E32=2,IF($W32=1,AJT32,NE32)=0),1000000000,IF($V32=1,INDEX('calcA'!$D$130:$EQ$169,$B32,119)+IF(AND($E32=1,NE32=0),25,0),IF($F32&gt;0,INDEX('calcA'!DR$110:DR$114,$F32+1)+IF(AND($E32=1,NE32=0),1000,0),MIN(TY32,20)*400+(IF('calcA'!DQ$106=1,1-HO32,0)+IF('calcA'!DR$106=1,1-HQ32,0))*150+235+'calcA'!DR$5*100000+IF(AND($E32=1,NE32=0),50000,0))+IF($H32=1,INDEX('calcA'!$D$180:$EQ$219,$B32,119)*4000,0)-IF(AND('calcA'!DQ$117=1,YO32&gt;0),2000,0)-IF(AND($U32=1,'calcA'!DR$117=1,HQ32=0),2000,0))),1000000000))</f>
        <v/>
      </c>
      <c r="SU32">
        <f>IF($B32=0,1000000000,IF(INDEX('calcA'!$D$60:$EQ$99,$B32,120)*IF($W32=1,HQ32+AEF32,HQ32)=1,IF(AND($E32=2,IF($W32=1,AJU32,NF32)=0),1000000000,IF($V32=1,INDEX('calcA'!$D$130:$EQ$169,$B32,120)+IF(AND($E32=1,NF32=0),25,0),IF($F32&gt;0,INDEX('calcA'!DS$110:DS$114,$F32+1)+IF(AND($E32=1,NF32=0),1000,0),MIN(TY32,20)*400+(IF('calcA'!DR$106=1,1-HP32,0))*150+245+'calcA'!DS$5*100000+IF(AND($E32=1,NF32=0),50000,0))+IF($H32=1,INDEX('calcA'!$D$180:$EQ$219,$B32,120)*4000,0)-IF(AND('calcA'!DR$117=1,YP32&gt;0),2000,0))),1000000000))</f>
        <v/>
      </c>
      <c r="SV32">
        <f>IF($B32=0,1000000000,IF(INDEX('calcA'!$D$60:$EQ$99,$B32,121)*IF($W32=1,HR32+AEG32,HR32)=1,IF(AND($E32=2,IF($W32=1,AJV32,NG32)=0),1000000000,IF($V32=1,INDEX('calcA'!$D$130:$EQ$169,$B32,121)+IF(AND($E32=1,NG32=0),25,0),IF($F32&gt;0,INDEX('calcA'!DT$110:DT$114,$F32+1)+IF(AND($E32=1,NG32=0),1000,0),MIN(TZ32,20)*400+(IF('calcA'!DT$106=1,1-HS32,0))*150+16+'calcA'!DT$5*100000+IF(AND($E32=1,NG32=0),50000,0))+IF($H32=1,INDEX('calcA'!$D$180:$EQ$219,$B32,121)*4000,0)-IF(AND($U32=1,'calcA'!DT$117=1,HS32=0),2000,0))),1000000000))</f>
        <v/>
      </c>
      <c r="SW32">
        <f>IF($B32=0,1000000000,IF(INDEX('calcA'!$D$60:$EQ$99,$B32,122)*IF($W32=1,HS32+AEH32,HS32)=1,IF(AND($E32=2,IF($W32=1,AJW32,NH32)=0),1000000000,IF($V32=1,INDEX('calcA'!$D$130:$EQ$169,$B32,122)+IF(AND($E32=1,NH32=0),25,0),IF($F32&gt;0,INDEX('calcA'!DU$110:DU$114,$F32+1)+IF(AND($E32=1,NH32=0),1000,0),MIN(TZ32,20)*400+(IF('calcA'!DT$106=1,1-HR32,0)+IF('calcA'!DU$106=1,1-HT32,0))*150+26+'calcA'!DU$5*100000+IF(AND($E32=1,NH32=0),50000,0))+IF($H32=1,INDEX('calcA'!$D$180:$EQ$219,$B32,122)*4000,0)-IF(AND('calcA'!DT$117=1,YR32&gt;0),2000,0)-IF(AND($U32=1,'calcA'!DU$117=1,HT32=0),2000,0))),1000000000))</f>
        <v/>
      </c>
      <c r="SX32">
        <f>IF($B32=0,1000000000,IF(INDEX('calcA'!$D$60:$EQ$99,$B32,123)*IF($W32=1,HT32+AEI32,HT32)=1,IF(AND($E32=2,IF($W32=1,AJX32,NI32)=0),1000000000,IF($V32=1,INDEX('calcA'!$D$130:$EQ$169,$B32,123)+IF(AND($E32=1,NI32=0),25,0),IF($F32&gt;0,INDEX('calcA'!DV$110:DV$114,$F32+1)+IF(AND($E32=1,NI32=0),1000,0),MIN(TZ32,20)*400+(IF('calcA'!DU$106=1,1-HS32,0)+IF('calcA'!DV$106=1,1-HU32,0))*150+36+'calcA'!DV$5*100000+IF(AND($E32=1,NI32=0),50000,0))+IF($H32=1,INDEX('calcA'!$D$180:$EQ$219,$B32,123)*4000,0)-IF(AND('calcA'!DU$117=1,YS32&gt;0),2000,0)-IF(AND($U32=1,'calcA'!DV$117=1,HU32=0),2000,0))),1000000000))</f>
        <v/>
      </c>
      <c r="SY32">
        <f>IF($B32=0,1000000000,IF(INDEX('calcA'!$D$60:$EQ$99,$B32,124)*IF($W32=1,HU32+AEJ32,HU32)=1,IF(AND($E32=2,IF($W32=1,AJY32,NJ32)=0),1000000000,IF($V32=1,INDEX('calcA'!$D$130:$EQ$169,$B32,124)+IF(AND($E32=1,NJ32=0),25,0),IF($F32&gt;0,INDEX('calcA'!DW$110:DW$114,$F32+1)+IF(AND($E32=1,NJ32=0),1000,0),MIN(TZ32,20)*400+(IF('calcA'!DV$106=1,1-HT32,0)+IF('calcA'!DW$106=1,1-HV32,0))*150+46+'calcA'!DW$5*100000+IF(AND($E32=1,NJ32=0),50000,0))+IF($H32=1,INDEX('calcA'!$D$180:$EQ$219,$B32,124)*4000,0)-IF(AND('calcA'!DV$117=1,YT32&gt;0),2000,0)-IF(AND($U32=1,'calcA'!DW$117=1,HV32=0),2000,0))),1000000000))</f>
        <v/>
      </c>
      <c r="SZ32">
        <f>IF($B32=0,1000000000,IF(INDEX('calcA'!$D$60:$EQ$99,$B32,125)*IF($W32=1,HV32+AEK32,HV32)=1,IF(AND($E32=2,IF($W32=1,AJZ32,NK32)=0),1000000000,IF($V32=1,INDEX('calcA'!$D$130:$EQ$169,$B32,125)+IF(AND($E32=1,NK32=0),25,0),IF($F32&gt;0,INDEX('calcA'!DX$110:DX$114,$F32+1)+IF(AND($E32=1,NK32=0),1000,0),MIN(TZ32,20)*400+(IF('calcA'!DW$106=1,1-HU32,0)+IF('calcA'!DX$106=1,1-HW32,0))*150+56+'calcA'!DX$5*100000+IF(AND($E32=1,NK32=0),50000,0))+IF($H32=1,INDEX('calcA'!$D$180:$EQ$219,$B32,125)*4000,0)-IF(AND('calcA'!DW$117=1,YU32&gt;0),2000,0)-IF(AND($U32=1,'calcA'!DX$117=1,HW32=0),2000,0))),1000000000))</f>
        <v/>
      </c>
      <c r="TA32">
        <f>IF($B32=0,1000000000,IF(INDEX('calcA'!$D$60:$EQ$99,$B32,126)*IF($W32=1,HW32+AEL32,HW32)=1,IF(AND($E32=2,IF($W32=1,AKA32,NL32)=0),1000000000,IF($V32=1,INDEX('calcA'!$D$130:$EQ$169,$B32,126)+IF(AND($E32=1,NL32=0),25,0),IF($F32&gt;0,INDEX('calcA'!DY$110:DY$114,$F32+1)+IF(AND($E32=1,NL32=0),1000,0),MIN(TZ32,20)*400+(IF('calcA'!DX$106=1,1-HV32,0)+IF('calcA'!DY$106=1,1-HX32,0))*150+66+'calcA'!DY$5*100000+IF(AND($E32=1,NL32=0),50000,0))+IF($H32=1,INDEX('calcA'!$D$180:$EQ$219,$B32,126)*4000,0)-IF(AND('calcA'!DX$117=1,YV32&gt;0),2000,0)-IF(AND($U32=1,'calcA'!DY$117=1,HX32=0),2000,0))),1000000000))</f>
        <v/>
      </c>
      <c r="TB32">
        <f>IF($B32=0,1000000000,IF(INDEX('calcA'!$D$60:$EQ$99,$B32,127)*IF($W32=1,HX32+AEM32,HX32)=1,IF(AND($E32=2,IF($W32=1,AKB32,NM32)=0),1000000000,IF($V32=1,INDEX('calcA'!$D$130:$EQ$169,$B32,127)+IF(AND($E32=1,NM32=0),25,0),IF($F32&gt;0,INDEX('calcA'!DZ$110:DZ$114,$F32+1)+IF(AND($E32=1,NM32=0),1000,0),MIN(TZ32,20)*400+(IF('calcA'!DY$106=1,1-HW32,0)+IF('calcA'!DZ$106=1,1-HY32,0))*150+76+'calcA'!DZ$5*100000+IF(AND($E32=1,NM32=0),50000,0))+IF($H32=1,INDEX('calcA'!$D$180:$EQ$219,$B32,127)*4000,0)-IF(AND('calcA'!DY$117=1,YW32&gt;0),2000,0)-IF(AND($U32=1,'calcA'!DZ$117=1,HY32=0),2000,0))),1000000000))</f>
        <v/>
      </c>
      <c r="TC32">
        <f>IF($B32=0,1000000000,IF(INDEX('calcA'!$D$60:$EQ$99,$B32,128)*IF($W32=1,HY32+AEN32,HY32)=1,IF(AND($E32=2,IF($W32=1,AKC32,NN32)=0),1000000000,IF($V32=1,INDEX('calcA'!$D$130:$EQ$169,$B32,128)+IF(AND($E32=1,NN32=0),25,0),IF($F32&gt;0,INDEX('calcA'!EA$110:EA$114,$F32+1)+IF(AND($E32=1,NN32=0),1000,0),MIN(TZ32,20)*400+(IF('calcA'!DZ$106=1,1-HX32,0)+IF('calcA'!EA$106=1,1-HZ32,0))*150+86+'calcA'!EA$5*100000+IF(AND($E32=1,NN32=0),50000,0))+IF($H32=1,INDEX('calcA'!$D$180:$EQ$219,$B32,128)*4000,0)-IF(AND('calcA'!DZ$117=1,YX32&gt;0),2000,0)-IF(AND($U32=1,'calcA'!EA$117=1,HZ32=0),2000,0))),1000000000))</f>
        <v/>
      </c>
      <c r="TD32">
        <f>IF($B32=0,1000000000,IF(INDEX('calcA'!$D$60:$EQ$99,$B32,129)*IF($W32=1,HZ32+AEO32,HZ32)=1,IF(AND($E32=2,IF($W32=1,AKD32,NO32)=0),1000000000,IF($V32=1,INDEX('calcA'!$D$130:$EQ$169,$B32,129)+IF(AND($E32=1,NO32=0),25,0),IF($F32&gt;0,INDEX('calcA'!EB$110:EB$114,$F32+1)+IF(AND($E32=1,NO32=0),1000,0),MIN(TZ32,20)*400+(IF('calcA'!EA$106=1,1-HY32,0)+IF('calcA'!EB$106=1,1-IA32,0))*150+96+'calcA'!EB$5*100000+IF(AND($E32=1,NO32=0),50000,0))+IF($H32=1,INDEX('calcA'!$D$180:$EQ$219,$B32,129)*4000,0)-IF(AND('calcA'!EA$117=1,YY32&gt;0),2000,0)-IF(AND($U32=1,'calcA'!EB$117=1,IA32=0),2000,0))),1000000000))</f>
        <v/>
      </c>
      <c r="TE32">
        <f>IF($B32=0,1000000000,IF(INDEX('calcA'!$D$60:$EQ$99,$B32,130)*IF($W32=1,IA32+AEP32,IA32)=1,IF(AND($E32=2,IF($W32=1,AKE32,NP32)=0),1000000000,IF($V32=1,INDEX('calcA'!$D$130:$EQ$169,$B32,130)+IF(AND($E32=1,NP32=0),25,0),IF($F32&gt;0,INDEX('calcA'!EC$110:EC$114,$F32+1)+IF(AND($E32=1,NP32=0),1000,0),MIN(TZ32,20)*400+(IF('calcA'!EB$106=1,1-HZ32,0)+IF('calcA'!EC$106=1,1-IB32,0))*150+106+'calcA'!EC$5*100000+IF(AND($E32=1,NP32=0),50000,0))+IF($H32=1,INDEX('calcA'!$D$180:$EQ$219,$B32,130)*4000,0)-IF(AND('calcA'!EB$117=1,YZ32&gt;0),2000,0)-IF(AND($U32=1,'calcA'!EC$117=1,IB32=0),2000,0))),1000000000))</f>
        <v/>
      </c>
      <c r="TF32">
        <f>IF($B32=0,1000000000,IF(INDEX('calcA'!$D$60:$EQ$99,$B32,131)*IF($W32=1,IB32+AEQ32,IB32)=1,IF(AND($E32=2,IF($W32=1,AKF32,NQ32)=0),1000000000,IF($V32=1,INDEX('calcA'!$D$130:$EQ$169,$B32,131)+IF(AND($E32=1,NQ32=0),25,0),IF($F32&gt;0,INDEX('calcA'!ED$110:ED$114,$F32+1)+IF(AND($E32=1,NQ32=0),1000,0),MIN(TZ32,20)*400+(IF('calcA'!EC$106=1,1-IA32,0)+IF('calcA'!ED$106=1,1-IC32,0))*150+116+'calcA'!ED$5*100000+IF(AND($E32=1,NQ32=0),50000,0))+IF($H32=1,INDEX('calcA'!$D$180:$EQ$219,$B32,131)*4000,0)-IF(AND('calcA'!EC$117=1,ZA32&gt;0),2000,0)-IF(AND($U32=1,'calcA'!ED$117=1,IC32=0),2000,0))),1000000000))</f>
        <v/>
      </c>
      <c r="TG32">
        <f>IF($B32=0,1000000000,IF(INDEX('calcA'!$D$60:$EQ$99,$B32,132)*IF($W32=1,IC32+AER32,IC32)=1,IF(AND($E32=2,IF($W32=1,AKG32,NR32)=0),1000000000,IF($V32=1,INDEX('calcA'!$D$130:$EQ$169,$B32,132)+IF(AND($E32=1,NR32=0),25,0),IF($F32&gt;0,INDEX('calcA'!EE$110:EE$114,$F32+1)+IF(AND($E32=1,NR32=0),1000,0),MIN(TZ32,20)*400+(IF('calcA'!ED$106=1,1-IB32,0)+IF('calcA'!EE$106=1,1-ID32,0))*150+126+'calcA'!EE$5*100000+IF(AND($E32=1,NR32=0),50000,0))+IF($H32=1,INDEX('calcA'!$D$180:$EQ$219,$B32,132)*4000,0)-IF(AND('calcA'!ED$117=1,ZB32&gt;0),2000,0)-IF(AND($U32=1,'calcA'!EE$117=1,ID32=0),2000,0))),1000000000))</f>
        <v/>
      </c>
      <c r="TH32">
        <f>IF($B32=0,1000000000,IF(INDEX('calcA'!$D$60:$EQ$99,$B32,133)*IF($W32=1,ID32+AES32,ID32)=1,IF(AND($E32=2,IF($W32=1,AKH32,NS32)=0),1000000000,IF($V32=1,INDEX('calcA'!$D$130:$EQ$169,$B32,133)+IF(AND($E32=1,NS32=0),25,0),IF($F32&gt;0,INDEX('calcA'!EF$110:EF$114,$F32+1)+IF(AND($E32=1,NS32=0),1000,0),MIN(TZ32,20)*400+(IF('calcA'!EE$106=1,1-IC32,0)+IF('calcA'!EF$106=1,1-IE32,0))*150+136+'calcA'!EF$5*100000+IF(AND($E32=1,NS32=0),50000,0))+IF($H32=1,INDEX('calcA'!$D$180:$EQ$219,$B32,133)*4000,0)-IF(AND('calcA'!EE$117=1,ZC32&gt;0),2000,0)-IF(AND($U32=1,'calcA'!EF$117=1,IE32=0),2000,0))),1000000000))</f>
        <v/>
      </c>
      <c r="TI32">
        <f>IF($B32=0,1000000000,IF(INDEX('calcA'!$D$60:$EQ$99,$B32,134)*IF($W32=1,IE32+AET32,IE32)=1,IF(AND($E32=2,IF($W32=1,AKI32,NT32)=0),1000000000,IF($V32=1,INDEX('calcA'!$D$130:$EQ$169,$B32,134)+IF(AND($E32=1,NT32=0),25,0),IF($F32&gt;0,INDEX('calcA'!EG$110:EG$114,$F32+1)+IF(AND($E32=1,NT32=0),1000,0),MIN(TZ32,20)*400+(IF('calcA'!EF$106=1,1-ID32,0)+IF('calcA'!EG$106=1,1-IF32,0))*150+146+'calcA'!EG$5*100000+IF(AND($E32=1,NT32=0),50000,0))+IF($H32=1,INDEX('calcA'!$D$180:$EQ$219,$B32,134)*4000,0)-IF(AND('calcA'!EF$117=1,ZD32&gt;0),2000,0)-IF(AND($U32=1,'calcA'!EG$117=1,IF32=0),2000,0))),1000000000))</f>
        <v/>
      </c>
      <c r="TJ32">
        <f>IF($B32=0,1000000000,IF(INDEX('calcA'!$D$60:$EQ$99,$B32,135)*IF($W32=1,IF32+AEU32,IF32)=1,IF(AND($E32=2,IF($W32=1,AKJ32,NU32)=0),1000000000,IF($V32=1,INDEX('calcA'!$D$130:$EQ$169,$B32,135)+IF(AND($E32=1,NU32=0),25,0),IF($F32&gt;0,INDEX('calcA'!EH$110:EH$114,$F32+1)+IF(AND($E32=1,NU32=0),1000,0),MIN(TZ32,20)*400+(IF('calcA'!EG$106=1,1-IE32,0)+IF('calcA'!EH$106=1,1-IG32,0))*150+156+'calcA'!EH$5*100000+IF(AND($E32=1,NU32=0),50000,0))+IF($H32=1,INDEX('calcA'!$D$180:$EQ$219,$B32,135)*4000,0)-IF(AND('calcA'!EG$117=1,ZE32&gt;0),2000,0)-IF(AND($U32=1,'calcA'!EH$117=1,IG32=0),2000,0))),1000000000))</f>
        <v/>
      </c>
      <c r="TK32">
        <f>IF($B32=0,1000000000,IF(INDEX('calcA'!$D$60:$EQ$99,$B32,136)*IF($W32=1,IG32+AEV32,IG32)=1,IF(AND($E32=2,IF($W32=1,AKK32,NV32)=0),1000000000,IF($V32=1,INDEX('calcA'!$D$130:$EQ$169,$B32,136)+IF(AND($E32=1,NV32=0),25,0),IF($F32&gt;0,INDEX('calcA'!EI$110:EI$114,$F32+1)+IF(AND($E32=1,NV32=0),1000,0),MIN(TZ32,20)*400+(IF('calcA'!EH$106=1,1-IF32,0)+IF('calcA'!EI$106=1,1-IH32,0))*150+166+'calcA'!EI$5*100000+IF(AND($E32=1,NV32=0),50000,0))+IF($H32=1,INDEX('calcA'!$D$180:$EQ$219,$B32,136)*4000,0)-IF(AND('calcA'!EH$117=1,ZF32&gt;0),2000,0)-IF(AND($U32=1,'calcA'!EI$117=1,IH32=0),2000,0))),1000000000))</f>
        <v/>
      </c>
      <c r="TL32">
        <f>IF($B32=0,1000000000,IF(INDEX('calcA'!$D$60:$EQ$99,$B32,137)*IF($W32=1,IH32+AEW32,IH32)=1,IF(AND($E32=2,IF($W32=1,AKL32,NW32)=0),1000000000,IF($V32=1,INDEX('calcA'!$D$130:$EQ$169,$B32,137)+IF(AND($E32=1,NW32=0),25,0),IF($F32&gt;0,INDEX('calcA'!EJ$110:EJ$114,$F32+1)+IF(AND($E32=1,NW32=0),1000,0),MIN(TZ32,20)*400+(IF('calcA'!EI$106=1,1-IG32,0)+IF('calcA'!EJ$106=1,1-II32,0))*150+176+'calcA'!EJ$5*100000+IF(AND($E32=1,NW32=0),50000,0))+IF($H32=1,INDEX('calcA'!$D$180:$EQ$219,$B32,137)*4000,0)-IF(AND('calcA'!EI$117=1,ZG32&gt;0),2000,0)-IF(AND($U32=1,'calcA'!EJ$117=1,II32=0),2000,0))),1000000000))</f>
        <v/>
      </c>
      <c r="TM32">
        <f>IF($B32=0,1000000000,IF(INDEX('calcA'!$D$60:$EQ$99,$B32,138)*IF($W32=1,II32+AEX32,II32)=1,IF(AND($E32=2,IF($W32=1,AKM32,NX32)=0),1000000000,IF($V32=1,INDEX('calcA'!$D$130:$EQ$169,$B32,138)+IF(AND($E32=1,NX32=0),25,0),IF($F32&gt;0,INDEX('calcA'!EK$110:EK$114,$F32+1)+IF(AND($E32=1,NX32=0),1000,0),MIN(TZ32,20)*400+(IF('calcA'!EJ$106=1,1-IH32,0)+IF('calcA'!EK$106=1,1-IJ32,0))*150+186+'calcA'!EK$5*100000+IF(AND($E32=1,NX32=0),50000,0))+IF($H32=1,INDEX('calcA'!$D$180:$EQ$219,$B32,138)*4000,0)-IF(AND('calcA'!EJ$117=1,ZH32&gt;0),2000,0)-IF(AND($U32=1,'calcA'!EK$117=1,IJ32=0),2000,0))),1000000000))</f>
        <v/>
      </c>
      <c r="TN32">
        <f>IF($B32=0,1000000000,IF(INDEX('calcA'!$D$60:$EQ$99,$B32,139)*IF($W32=1,IJ32+AEY32,IJ32)=1,IF(AND($E32=2,IF($W32=1,AKN32,NY32)=0),1000000000,IF($V32=1,INDEX('calcA'!$D$130:$EQ$169,$B32,139)+IF(AND($E32=1,NY32=0),25,0),IF($F32&gt;0,INDEX('calcA'!EL$110:EL$114,$F32+1)+IF(AND($E32=1,NY32=0),1000,0),MIN(TZ32,20)*400+(IF('calcA'!EK$106=1,1-II32,0)+IF('calcA'!EL$106=1,1-IK32,0))*150+196+'calcA'!EL$5*100000+IF(AND($E32=1,NY32=0),50000,0))+IF($H32=1,INDEX('calcA'!$D$180:$EQ$219,$B32,139)*4000,0)-IF(AND('calcA'!EK$117=1,ZI32&gt;0),2000,0)-IF(AND($U32=1,'calcA'!EL$117=1,IK32=0),2000,0))),1000000000))</f>
        <v/>
      </c>
      <c r="TO32">
        <f>IF($B32=0,1000000000,IF(INDEX('calcA'!$D$60:$EQ$99,$B32,140)*IF($W32=1,IK32+AEZ32,IK32)=1,IF(AND($E32=2,IF($W32=1,AKO32,NZ32)=0),1000000000,IF($V32=1,INDEX('calcA'!$D$130:$EQ$169,$B32,140)+IF(AND($E32=1,NZ32=0),25,0),IF($F32&gt;0,INDEX('calcA'!EM$110:EM$114,$F32+1)+IF(AND($E32=1,NZ32=0),1000,0),MIN(TZ32,20)*400+(IF('calcA'!EL$106=1,1-IJ32,0)+IF('calcA'!EM$106=1,1-IL32,0))*150+206+'calcA'!EM$5*100000+IF(AND($E32=1,NZ32=0),50000,0))+IF($H32=1,INDEX('calcA'!$D$180:$EQ$219,$B32,140)*4000,0)-IF(AND('calcA'!EL$117=1,ZJ32&gt;0),2000,0)-IF(AND($U32=1,'calcA'!EM$117=1,IL32=0),2000,0))),1000000000))</f>
        <v/>
      </c>
      <c r="TP32">
        <f>IF($B32=0,1000000000,IF(INDEX('calcA'!$D$60:$EQ$99,$B32,141)*IF($W32=1,IL32+AFA32,IL32)=1,IF(AND($E32=2,IF($W32=1,AKP32,OA32)=0),1000000000,IF($V32=1,INDEX('calcA'!$D$130:$EQ$169,$B32,141)+IF(AND($E32=1,OA32=0),25,0),IF($F32&gt;0,INDEX('calcA'!EN$110:EN$114,$F32+1)+IF(AND($E32=1,OA32=0),1000,0),MIN(TZ32,20)*400+(IF('calcA'!EM$106=1,1-IK32,0)+IF('calcA'!EN$106=1,1-IM32,0))*150+216+'calcA'!EN$5*100000+IF(AND($E32=1,OA32=0),50000,0))+IF($H32=1,INDEX('calcA'!$D$180:$EQ$219,$B32,141)*4000,0)-IF(AND('calcA'!EM$117=1,ZK32&gt;0),2000,0)-IF(AND($U32=1,'calcA'!EN$117=1,IM32=0),2000,0))),1000000000))</f>
        <v/>
      </c>
      <c r="TQ32">
        <f>IF($B32=0,1000000000,IF(INDEX('calcA'!$D$60:$EQ$99,$B32,142)*IF($W32=1,IM32+AFB32,IM32)=1,IF(AND($E32=2,IF($W32=1,AKQ32,OB32)=0),1000000000,IF($V32=1,INDEX('calcA'!$D$130:$EQ$169,$B32,142)+IF(AND($E32=1,OB32=0),25,0),IF($F32&gt;0,INDEX('calcA'!EO$110:EO$114,$F32+1)+IF(AND($E32=1,OB32=0),1000,0),MIN(TZ32,20)*400+(IF('calcA'!EN$106=1,1-IL32,0)+IF('calcA'!EO$106=1,1-IN32,0))*150+226+'calcA'!EO$5*100000+IF(AND($E32=1,OB32=0),50000,0))+IF($H32=1,INDEX('calcA'!$D$180:$EQ$219,$B32,142)*4000,0)-IF(AND('calcA'!EN$117=1,ZL32&gt;0),2000,0)-IF(AND($U32=1,'calcA'!EO$117=1,IN32=0),2000,0))),1000000000))</f>
        <v/>
      </c>
      <c r="TR32">
        <f>IF($B32=0,1000000000,IF(INDEX('calcA'!$D$60:$EQ$99,$B32,143)*IF($W32=1,IN32+AFC32,IN32)=1,IF(AND($E32=2,IF($W32=1,AKR32,OC32)=0),1000000000,IF($V32=1,INDEX('calcA'!$D$130:$EQ$169,$B32,143)+IF(AND($E32=1,OC32=0),25,0),IF($F32&gt;0,INDEX('calcA'!EP$110:EP$114,$F32+1)+IF(AND($E32=1,OC32=0),1000,0),MIN(TZ32,20)*400+(IF('calcA'!EO$106=1,1-IM32,0)+IF('calcA'!EP$106=1,1-IO32,0))*150+236+'calcA'!EP$5*100000+IF(AND($E32=1,OC32=0),50000,0))+IF($H32=1,INDEX('calcA'!$D$180:$EQ$219,$B32,143)*4000,0)-IF(AND('calcA'!EO$117=1,ZM32&gt;0),2000,0)-IF(AND($U32=1,'calcA'!EP$117=1,IO32=0),2000,0))),1000000000))</f>
        <v/>
      </c>
      <c r="TS32">
        <f>IF($B32=0,1000000000,IF(INDEX('calcA'!$D$60:$EQ$99,$B32,144)*IF($W32=1,IO32+AFD32,IO32)=1,IF(AND($E32=2,IF($W32=1,AKS32,OD32)=0),1000000000,IF($V32=1,INDEX('calcA'!$D$130:$EQ$169,$B32,144)+IF(AND($E32=1,OD32=0),25,0),IF($F32&gt;0,INDEX('calcA'!EQ$110:EQ$114,$F32+1)+IF(AND($E32=1,OD32=0),1000,0),MIN(TZ32,20)*400+(IF('calcA'!EP$106=1,1-IN32,0))*150+246+'calcA'!EQ$5*100000+IF(AND($E32=1,OD32=0),50000,0))+IF($H32=1,INDEX('calcA'!$D$180:$EQ$219,$B32,144)*4000,0)-IF(AND('calcA'!EP$117=1,ZN32&gt;0),2000,0))),1000000000))</f>
        <v/>
      </c>
      <c r="TU32">
        <f>TU31+IF($C31&gt;0,IF(INDEX('calcA'!$D$2:$EQ$2,$C31)=1,1,0),0)</f>
        <v/>
      </c>
      <c r="TV32">
        <f>TV31+IF($C31&gt;0,IF(INDEX('calcA'!$D$2:$EQ$2,$C31)=2,1,0),0)</f>
        <v/>
      </c>
      <c r="TW32">
        <f>TW31+IF($C31&gt;0,IF(INDEX('calcA'!$D$2:$EQ$2,$C31)=3,1,0),0)</f>
        <v/>
      </c>
      <c r="TX32">
        <f>TX31+IF($C31&gt;0,IF(INDEX('calcA'!$D$2:$EQ$2,$C31)=4,1,0),0)</f>
        <v/>
      </c>
      <c r="TY32">
        <f>TY31+IF($C31&gt;0,IF(INDEX('calcA'!$D$2:$EQ$2,$C31)=5,1,0),0)</f>
        <v/>
      </c>
      <c r="TZ32">
        <f>TZ31+IF($C31&gt;0,IF(INDEX('calcA'!$D$2:$EQ$2,$C31)=6,1,0),0)</f>
        <v/>
      </c>
      <c r="UB32">
        <f>UB31+IF(AND($C31=1,$U31=1),1,0)</f>
        <v/>
      </c>
      <c r="UC32">
        <f>UC31+IF(AND($C31=2,$U31=1),1,0)</f>
        <v/>
      </c>
      <c r="UD32">
        <f>UD31+IF(AND($C31=3,$U31=1),1,0)</f>
        <v/>
      </c>
      <c r="UE32">
        <f>UE31+IF(AND($C31=4,$U31=1),1,0)</f>
        <v/>
      </c>
      <c r="UF32">
        <f>UF31+IF(AND($C31=5,$U31=1),1,0)</f>
        <v/>
      </c>
      <c r="UG32">
        <f>UG31+IF(AND($C31=6,$U31=1),1,0)</f>
        <v/>
      </c>
      <c r="UH32">
        <f>UH31+IF(AND($C31=7,$U31=1),1,0)</f>
        <v/>
      </c>
      <c r="UI32">
        <f>UI31+IF(AND($C31=8,$U31=1),1,0)</f>
        <v/>
      </c>
      <c r="UJ32">
        <f>UJ31+IF(AND($C31=9,$U31=1),1,0)</f>
        <v/>
      </c>
      <c r="UK32">
        <f>UK31+IF(AND($C31=10,$U31=1),1,0)</f>
        <v/>
      </c>
      <c r="UL32">
        <f>UL31+IF(AND($C31=11,$U31=1),1,0)</f>
        <v/>
      </c>
      <c r="UM32">
        <f>UM31+IF(AND($C31=12,$U31=1),1,0)</f>
        <v/>
      </c>
      <c r="UN32">
        <f>UN31+IF(AND($C31=13,$U31=1),1,0)</f>
        <v/>
      </c>
      <c r="UO32">
        <f>UO31+IF(AND($C31=14,$U31=1),1,0)</f>
        <v/>
      </c>
      <c r="UP32">
        <f>UP31+IF(AND($C31=15,$U31=1),1,0)</f>
        <v/>
      </c>
      <c r="UQ32">
        <f>UQ31+IF(AND($C31=16,$U31=1),1,0)</f>
        <v/>
      </c>
      <c r="UR32">
        <f>UR31+IF(AND($C31=17,$U31=1),1,0)</f>
        <v/>
      </c>
      <c r="US32">
        <f>US31+IF(AND($C31=18,$U31=1),1,0)</f>
        <v/>
      </c>
      <c r="UT32">
        <f>UT31+IF(AND($C31=19,$U31=1),1,0)</f>
        <v/>
      </c>
      <c r="UU32">
        <f>UU31+IF(AND($C31=20,$U31=1),1,0)</f>
        <v/>
      </c>
      <c r="UV32">
        <f>UV31+IF(AND($C31=21,$U31=1),1,0)</f>
        <v/>
      </c>
      <c r="UW32">
        <f>UW31+IF(AND($C31=22,$U31=1),1,0)</f>
        <v/>
      </c>
      <c r="UX32">
        <f>UX31+IF(AND($C31=23,$U31=1),1,0)</f>
        <v/>
      </c>
      <c r="UY32">
        <f>UY31+IF(AND($C31=24,$U31=1),1,0)</f>
        <v/>
      </c>
      <c r="UZ32">
        <f>UZ31+IF(AND($C31=25,$U31=1),1,0)</f>
        <v/>
      </c>
      <c r="VA32">
        <f>VA31+IF(AND($C31=26,$U31=1),1,0)</f>
        <v/>
      </c>
      <c r="VB32">
        <f>VB31+IF(AND($C31=27,$U31=1),1,0)</f>
        <v/>
      </c>
      <c r="VC32">
        <f>VC31+IF(AND($C31=28,$U31=1),1,0)</f>
        <v/>
      </c>
      <c r="VD32">
        <f>VD31+IF(AND($C31=29,$U31=1),1,0)</f>
        <v/>
      </c>
      <c r="VE32">
        <f>VE31+IF(AND($C31=30,$U31=1),1,0)</f>
        <v/>
      </c>
      <c r="VF32">
        <f>VF31+IF(AND($C31=31,$U31=1),1,0)</f>
        <v/>
      </c>
      <c r="VG32">
        <f>VG31+IF(AND($C31=32,$U31=1),1,0)</f>
        <v/>
      </c>
      <c r="VH32">
        <f>VH31+IF(AND($C31=33,$U31=1),1,0)</f>
        <v/>
      </c>
      <c r="VI32">
        <f>VI31+IF(AND($C31=34,$U31=1),1,0)</f>
        <v/>
      </c>
      <c r="VJ32">
        <f>VJ31+IF(AND($C31=35,$U31=1),1,0)</f>
        <v/>
      </c>
      <c r="VK32">
        <f>VK31+IF(AND($C31=36,$U31=1),1,0)</f>
        <v/>
      </c>
      <c r="VL32">
        <f>VL31+IF(AND($C31=37,$U31=1),1,0)</f>
        <v/>
      </c>
      <c r="VM32">
        <f>VM31+IF(AND($C31=38,$U31=1),1,0)</f>
        <v/>
      </c>
      <c r="VN32">
        <f>VN31+IF(AND($C31=39,$U31=1),1,0)</f>
        <v/>
      </c>
      <c r="VO32">
        <f>VO31+IF(AND($C31=40,$U31=1),1,0)</f>
        <v/>
      </c>
      <c r="VP32">
        <f>VP31+IF(AND($C31=41,$U31=1),1,0)</f>
        <v/>
      </c>
      <c r="VQ32">
        <f>VQ31+IF(AND($C31=42,$U31=1),1,0)</f>
        <v/>
      </c>
      <c r="VR32">
        <f>VR31+IF(AND($C31=43,$U31=1),1,0)</f>
        <v/>
      </c>
      <c r="VS32">
        <f>VS31+IF(AND($C31=44,$U31=1),1,0)</f>
        <v/>
      </c>
      <c r="VT32">
        <f>VT31+IF(AND($C31=45,$U31=1),1,0)</f>
        <v/>
      </c>
      <c r="VU32">
        <f>VU31+IF(AND($C31=46,$U31=1),1,0)</f>
        <v/>
      </c>
      <c r="VV32">
        <f>VV31+IF(AND($C31=47,$U31=1),1,0)</f>
        <v/>
      </c>
      <c r="VW32">
        <f>VW31+IF(AND($C31=48,$U31=1),1,0)</f>
        <v/>
      </c>
      <c r="VX32">
        <f>VX31+IF(AND($C31=49,$U31=1),1,0)</f>
        <v/>
      </c>
      <c r="VY32">
        <f>VY31+IF(AND($C31=50,$U31=1),1,0)</f>
        <v/>
      </c>
      <c r="VZ32">
        <f>VZ31+IF(AND($C31=51,$U31=1),1,0)</f>
        <v/>
      </c>
      <c r="WA32">
        <f>WA31+IF(AND($C31=52,$U31=1),1,0)</f>
        <v/>
      </c>
      <c r="WB32">
        <f>WB31+IF(AND($C31=53,$U31=1),1,0)</f>
        <v/>
      </c>
      <c r="WC32">
        <f>WC31+IF(AND($C31=54,$U31=1),1,0)</f>
        <v/>
      </c>
      <c r="WD32">
        <f>WD31+IF(AND($C31=55,$U31=1),1,0)</f>
        <v/>
      </c>
      <c r="WE32">
        <f>WE31+IF(AND($C31=56,$U31=1),1,0)</f>
        <v/>
      </c>
      <c r="WF32">
        <f>WF31+IF(AND($C31=57,$U31=1),1,0)</f>
        <v/>
      </c>
      <c r="WG32">
        <f>WG31+IF(AND($C31=58,$U31=1),1,0)</f>
        <v/>
      </c>
      <c r="WH32">
        <f>WH31+IF(AND($C31=59,$U31=1),1,0)</f>
        <v/>
      </c>
      <c r="WI32">
        <f>WI31+IF(AND($C31=60,$U31=1),1,0)</f>
        <v/>
      </c>
      <c r="WJ32">
        <f>WJ31+IF(AND($C31=61,$U31=1),1,0)</f>
        <v/>
      </c>
      <c r="WK32">
        <f>WK31+IF(AND($C31=62,$U31=1),1,0)</f>
        <v/>
      </c>
      <c r="WL32">
        <f>WL31+IF(AND($C31=63,$U31=1),1,0)</f>
        <v/>
      </c>
      <c r="WM32">
        <f>WM31+IF(AND($C31=64,$U31=1),1,0)</f>
        <v/>
      </c>
      <c r="WN32">
        <f>WN31+IF(AND($C31=65,$U31=1),1,0)</f>
        <v/>
      </c>
      <c r="WO32">
        <f>WO31+IF(AND($C31=66,$U31=1),1,0)</f>
        <v/>
      </c>
      <c r="WP32">
        <f>WP31+IF(AND($C31=67,$U31=1),1,0)</f>
        <v/>
      </c>
      <c r="WQ32">
        <f>WQ31+IF(AND($C31=68,$U31=1),1,0)</f>
        <v/>
      </c>
      <c r="WR32">
        <f>WR31+IF(AND($C31=69,$U31=1),1,0)</f>
        <v/>
      </c>
      <c r="WS32">
        <f>WS31+IF(AND($C31=70,$U31=1),1,0)</f>
        <v/>
      </c>
      <c r="WT32">
        <f>WT31+IF(AND($C31=71,$U31=1),1,0)</f>
        <v/>
      </c>
      <c r="WU32">
        <f>WU31+IF(AND($C31=72,$U31=1),1,0)</f>
        <v/>
      </c>
      <c r="WV32">
        <f>WV31+IF(AND($C31=73,$U31=1),1,0)</f>
        <v/>
      </c>
      <c r="WW32">
        <f>WW31+IF(AND($C31=74,$U31=1),1,0)</f>
        <v/>
      </c>
      <c r="WX32">
        <f>WX31+IF(AND($C31=75,$U31=1),1,0)</f>
        <v/>
      </c>
      <c r="WY32">
        <f>WY31+IF(AND($C31=76,$U31=1),1,0)</f>
        <v/>
      </c>
      <c r="WZ32">
        <f>WZ31+IF(AND($C31=77,$U31=1),1,0)</f>
        <v/>
      </c>
      <c r="XA32">
        <f>XA31+IF(AND($C31=78,$U31=1),1,0)</f>
        <v/>
      </c>
      <c r="XB32">
        <f>XB31+IF(AND($C31=79,$U31=1),1,0)</f>
        <v/>
      </c>
      <c r="XC32">
        <f>XC31+IF(AND($C31=80,$U31=1),1,0)</f>
        <v/>
      </c>
      <c r="XD32">
        <f>XD31+IF(AND($C31=81,$U31=1),1,0)</f>
        <v/>
      </c>
      <c r="XE32">
        <f>XE31+IF(AND($C31=82,$U31=1),1,0)</f>
        <v/>
      </c>
      <c r="XF32">
        <f>XF31+IF(AND($C31=83,$U31=1),1,0)</f>
        <v/>
      </c>
      <c r="XG32">
        <f>XG31+IF(AND($C31=84,$U31=1),1,0)</f>
        <v/>
      </c>
      <c r="XH32">
        <f>XH31+IF(AND($C31=85,$U31=1),1,0)</f>
        <v/>
      </c>
      <c r="XI32">
        <f>XI31+IF(AND($C31=86,$U31=1),1,0)</f>
        <v/>
      </c>
      <c r="XJ32">
        <f>XJ31+IF(AND($C31=87,$U31=1),1,0)</f>
        <v/>
      </c>
      <c r="XK32">
        <f>XK31+IF(AND($C31=88,$U31=1),1,0)</f>
        <v/>
      </c>
      <c r="XL32">
        <f>XL31+IF(AND($C31=89,$U31=1),1,0)</f>
        <v/>
      </c>
      <c r="XM32">
        <f>XM31+IF(AND($C31=90,$U31=1),1,0)</f>
        <v/>
      </c>
      <c r="XN32">
        <f>XN31+IF(AND($C31=91,$U31=1),1,0)</f>
        <v/>
      </c>
      <c r="XO32">
        <f>XO31+IF(AND($C31=92,$U31=1),1,0)</f>
        <v/>
      </c>
      <c r="XP32">
        <f>XP31+IF(AND($C31=93,$U31=1),1,0)</f>
        <v/>
      </c>
      <c r="XQ32">
        <f>XQ31+IF(AND($C31=94,$U31=1),1,0)</f>
        <v/>
      </c>
      <c r="XR32">
        <f>XR31+IF(AND($C31=95,$U31=1),1,0)</f>
        <v/>
      </c>
      <c r="XS32">
        <f>XS31+IF(AND($C31=96,$U31=1),1,0)</f>
        <v/>
      </c>
      <c r="XT32">
        <f>XT31+IF(AND($C31=97,$U31=1),1,0)</f>
        <v/>
      </c>
      <c r="XU32">
        <f>XU31+IF(AND($C31=98,$U31=1),1,0)</f>
        <v/>
      </c>
      <c r="XV32">
        <f>XV31+IF(AND($C31=99,$U31=1),1,0)</f>
        <v/>
      </c>
      <c r="XW32">
        <f>XW31+IF(AND($C31=100,$U31=1),1,0)</f>
        <v/>
      </c>
      <c r="XX32">
        <f>XX31+IF(AND($C31=101,$U31=1),1,0)</f>
        <v/>
      </c>
      <c r="XY32">
        <f>XY31+IF(AND($C31=102,$U31=1),1,0)</f>
        <v/>
      </c>
      <c r="XZ32">
        <f>XZ31+IF(AND($C31=103,$U31=1),1,0)</f>
        <v/>
      </c>
      <c r="YA32">
        <f>YA31+IF(AND($C31=104,$U31=1),1,0)</f>
        <v/>
      </c>
      <c r="YB32">
        <f>YB31+IF(AND($C31=105,$U31=1),1,0)</f>
        <v/>
      </c>
      <c r="YC32">
        <f>YC31+IF(AND($C31=106,$U31=1),1,0)</f>
        <v/>
      </c>
      <c r="YD32">
        <f>YD31+IF(AND($C31=107,$U31=1),1,0)</f>
        <v/>
      </c>
      <c r="YE32">
        <f>YE31+IF(AND($C31=108,$U31=1),1,0)</f>
        <v/>
      </c>
      <c r="YF32">
        <f>YF31+IF(AND($C31=109,$U31=1),1,0)</f>
        <v/>
      </c>
      <c r="YG32">
        <f>YG31+IF(AND($C31=110,$U31=1),1,0)</f>
        <v/>
      </c>
      <c r="YH32">
        <f>YH31+IF(AND($C31=111,$U31=1),1,0)</f>
        <v/>
      </c>
      <c r="YI32">
        <f>YI31+IF(AND($C31=112,$U31=1),1,0)</f>
        <v/>
      </c>
      <c r="YJ32">
        <f>YJ31+IF(AND($C31=113,$U31=1),1,0)</f>
        <v/>
      </c>
      <c r="YK32">
        <f>YK31+IF(AND($C31=114,$U31=1),1,0)</f>
        <v/>
      </c>
      <c r="YL32">
        <f>YL31+IF(AND($C31=115,$U31=1),1,0)</f>
        <v/>
      </c>
      <c r="YM32">
        <f>YM31+IF(AND($C31=116,$U31=1),1,0)</f>
        <v/>
      </c>
      <c r="YN32">
        <f>YN31+IF(AND($C31=117,$U31=1),1,0)</f>
        <v/>
      </c>
      <c r="YO32">
        <f>YO31+IF(AND($C31=118,$U31=1),1,0)</f>
        <v/>
      </c>
      <c r="YP32">
        <f>YP31+IF(AND($C31=119,$U31=1),1,0)</f>
        <v/>
      </c>
      <c r="YQ32">
        <f>YQ31+IF(AND($C31=120,$U31=1),1,0)</f>
        <v/>
      </c>
      <c r="YR32">
        <f>YR31+IF(AND($C31=121,$U31=1),1,0)</f>
        <v/>
      </c>
      <c r="YS32">
        <f>YS31+IF(AND($C31=122,$U31=1),1,0)</f>
        <v/>
      </c>
      <c r="YT32">
        <f>YT31+IF(AND($C31=123,$U31=1),1,0)</f>
        <v/>
      </c>
      <c r="YU32">
        <f>YU31+IF(AND($C31=124,$U31=1),1,0)</f>
        <v/>
      </c>
      <c r="YV32">
        <f>YV31+IF(AND($C31=125,$U31=1),1,0)</f>
        <v/>
      </c>
      <c r="YW32">
        <f>YW31+IF(AND($C31=126,$U31=1),1,0)</f>
        <v/>
      </c>
      <c r="YX32">
        <f>YX31+IF(AND($C31=127,$U31=1),1,0)</f>
        <v/>
      </c>
      <c r="YY32">
        <f>YY31+IF(AND($C31=128,$U31=1),1,0)</f>
        <v/>
      </c>
      <c r="YZ32">
        <f>YZ31+IF(AND($C31=129,$U31=1),1,0)</f>
        <v/>
      </c>
      <c r="ZA32">
        <f>ZA31+IF(AND($C31=130,$U31=1),1,0)</f>
        <v/>
      </c>
      <c r="ZB32">
        <f>ZB31+IF(AND($C31=131,$U31=1),1,0)</f>
        <v/>
      </c>
      <c r="ZC32">
        <f>ZC31+IF(AND($C31=132,$U31=1),1,0)</f>
        <v/>
      </c>
      <c r="ZD32">
        <f>ZD31+IF(AND($C31=133,$U31=1),1,0)</f>
        <v/>
      </c>
      <c r="ZE32">
        <f>ZE31+IF(AND($C31=134,$U31=1),1,0)</f>
        <v/>
      </c>
      <c r="ZF32">
        <f>ZF31+IF(AND($C31=135,$U31=1),1,0)</f>
        <v/>
      </c>
      <c r="ZG32">
        <f>ZG31+IF(AND($C31=136,$U31=1),1,0)</f>
        <v/>
      </c>
      <c r="ZH32">
        <f>ZH31+IF(AND($C31=137,$U31=1),1,0)</f>
        <v/>
      </c>
      <c r="ZI32">
        <f>ZI31+IF(AND($C31=138,$U31=1),1,0)</f>
        <v/>
      </c>
      <c r="ZJ32">
        <f>ZJ31+IF(AND($C31=139,$U31=1),1,0)</f>
        <v/>
      </c>
      <c r="ZK32">
        <f>ZK31+IF(AND($C31=140,$U31=1),1,0)</f>
        <v/>
      </c>
      <c r="ZL32">
        <f>ZL31+IF(AND($C31=141,$U31=1),1,0)</f>
        <v/>
      </c>
      <c r="ZM32">
        <f>ZM31+IF(AND($C31=142,$U31=1),1,0)</f>
        <v/>
      </c>
      <c r="ZN32">
        <f>ZN31+IF(AND($C31=143,$U31=1),1,0)</f>
        <v/>
      </c>
      <c r="ZO32">
        <f>ZO31+IF(AND($C31=144,$U31=1),1,0)</f>
        <v/>
      </c>
      <c r="ZQ32">
        <f>IF($C31=1,0,ZQ31+IF(AND($G31=1,$E31=1),1,0))</f>
        <v/>
      </c>
      <c r="ZR32">
        <f>IF($C31=2,0,ZR31+IF(AND($G31=2,$E31=1),1,0))</f>
        <v/>
      </c>
      <c r="ZS32">
        <f>IF($C31=3,0,ZS31+IF(AND($G31=3,$E31=1),1,0))</f>
        <v/>
      </c>
      <c r="ZT32">
        <f>IF($C31=4,0,ZT31+IF(AND($G31=4,$E31=1),1,0))</f>
        <v/>
      </c>
      <c r="ZU32">
        <f>IF($C31=5,0,ZU31+IF(AND($G31=5,$E31=1),1,0))</f>
        <v/>
      </c>
      <c r="ZV32">
        <f>IF($C31=6,0,ZV31+IF(AND($G31=6,$E31=1),1,0))</f>
        <v/>
      </c>
      <c r="ZW32">
        <f>IF($C31=7,0,ZW31+IF(AND($G31=7,$E31=1),1,0))</f>
        <v/>
      </c>
      <c r="ZX32">
        <f>IF($C31=8,0,ZX31+IF(AND($G31=8,$E31=1),1,0))</f>
        <v/>
      </c>
      <c r="ZY32">
        <f>IF($C31=9,0,ZY31+IF(AND($G31=9,$E31=1),1,0))</f>
        <v/>
      </c>
      <c r="ZZ32">
        <f>IF($C31=10,0,ZZ31+IF(AND($G31=10,$E31=1),1,0))</f>
        <v/>
      </c>
      <c r="AAA32">
        <f>IF($C31=11,0,AAA31+IF(AND($G31=11,$E31=1),1,0))</f>
        <v/>
      </c>
      <c r="AAB32">
        <f>IF($C31=12,0,AAB31+IF(AND($G31=12,$E31=1),1,0))</f>
        <v/>
      </c>
      <c r="AAC32">
        <f>IF($C31=13,0,AAC31+IF(AND($G31=13,$E31=1),1,0))</f>
        <v/>
      </c>
      <c r="AAD32">
        <f>IF($C31=14,0,AAD31+IF(AND($G31=14,$E31=1),1,0))</f>
        <v/>
      </c>
      <c r="AAE32">
        <f>IF($C31=15,0,AAE31+IF(AND($G31=15,$E31=1),1,0))</f>
        <v/>
      </c>
      <c r="AAF32">
        <f>IF($C31=16,0,AAF31+IF(AND($G31=16,$E31=1),1,0))</f>
        <v/>
      </c>
      <c r="AAG32">
        <f>IF($C31=17,0,AAG31+IF(AND($G31=17,$E31=1),1,0))</f>
        <v/>
      </c>
      <c r="AAH32">
        <f>IF($C31=18,0,AAH31+IF(AND($G31=18,$E31=1),1,0))</f>
        <v/>
      </c>
      <c r="AAI32">
        <f>IF($C31=19,0,AAI31+IF(AND($G31=19,$E31=1),1,0))</f>
        <v/>
      </c>
      <c r="AAJ32">
        <f>IF($C31=20,0,AAJ31+IF(AND($G31=20,$E31=1),1,0))</f>
        <v/>
      </c>
      <c r="AAK32">
        <f>IF($C31=21,0,AAK31+IF(AND($G31=21,$E31=1),1,0))</f>
        <v/>
      </c>
      <c r="AAL32">
        <f>IF($C31=22,0,AAL31+IF(AND($G31=22,$E31=1),1,0))</f>
        <v/>
      </c>
      <c r="AAM32">
        <f>IF($C31=23,0,AAM31+IF(AND($G31=23,$E31=1),1,0))</f>
        <v/>
      </c>
      <c r="AAN32">
        <f>IF($C31=24,0,AAN31+IF(AND($G31=24,$E31=1),1,0))</f>
        <v/>
      </c>
      <c r="AAO32">
        <f>IF($C31=25,0,AAO31+IF(AND($G31=25,$E31=1),1,0))</f>
        <v/>
      </c>
      <c r="AAP32">
        <f>IF($C31=26,0,AAP31+IF(AND($G31=26,$E31=1),1,0))</f>
        <v/>
      </c>
      <c r="AAQ32">
        <f>IF($C31=27,0,AAQ31+IF(AND($G31=27,$E31=1),1,0))</f>
        <v/>
      </c>
      <c r="AAR32">
        <f>IF($C31=28,0,AAR31+IF(AND($G31=28,$E31=1),1,0))</f>
        <v/>
      </c>
      <c r="AAS32">
        <f>IF($C31=29,0,AAS31+IF(AND($G31=29,$E31=1),1,0))</f>
        <v/>
      </c>
      <c r="AAT32">
        <f>IF($C31=30,0,AAT31+IF(AND($G31=30,$E31=1),1,0))</f>
        <v/>
      </c>
      <c r="AAU32">
        <f>IF($C31=31,0,AAU31+IF(AND($G31=31,$E31=1),1,0))</f>
        <v/>
      </c>
      <c r="AAV32">
        <f>IF($C31=32,0,AAV31+IF(AND($G31=32,$E31=1),1,0))</f>
        <v/>
      </c>
      <c r="AAW32">
        <f>IF($C31=33,0,AAW31+IF(AND($G31=33,$E31=1),1,0))</f>
        <v/>
      </c>
      <c r="AAX32">
        <f>IF($C31=34,0,AAX31+IF(AND($G31=34,$E31=1),1,0))</f>
        <v/>
      </c>
      <c r="AAY32">
        <f>IF($C31=35,0,AAY31+IF(AND($G31=35,$E31=1),1,0))</f>
        <v/>
      </c>
      <c r="AAZ32">
        <f>IF($C31=36,0,AAZ31+IF(AND($G31=36,$E31=1),1,0))</f>
        <v/>
      </c>
      <c r="ABA32">
        <f>IF($C31=37,0,ABA31+IF(AND($G31=37,$E31=1),1,0))</f>
        <v/>
      </c>
      <c r="ABB32">
        <f>IF($C31=38,0,ABB31+IF(AND($G31=38,$E31=1),1,0))</f>
        <v/>
      </c>
      <c r="ABC32">
        <f>IF($C31=39,0,ABC31+IF(AND($G31=39,$E31=1),1,0))</f>
        <v/>
      </c>
      <c r="ABD32">
        <f>IF($C31=40,0,ABD31+IF(AND($G31=40,$E31=1),1,0))</f>
        <v/>
      </c>
      <c r="ABE32">
        <f>IF($C31=41,0,ABE31+IF(AND($G31=41,$E31=1),1,0))</f>
        <v/>
      </c>
      <c r="ABF32">
        <f>IF($C31=42,0,ABF31+IF(AND($G31=42,$E31=1),1,0))</f>
        <v/>
      </c>
      <c r="ABG32">
        <f>IF($C31=43,0,ABG31+IF(AND($G31=43,$E31=1),1,0))</f>
        <v/>
      </c>
      <c r="ABH32">
        <f>IF($C31=44,0,ABH31+IF(AND($G31=44,$E31=1),1,0))</f>
        <v/>
      </c>
      <c r="ABI32">
        <f>IF($C31=45,0,ABI31+IF(AND($G31=45,$E31=1),1,0))</f>
        <v/>
      </c>
      <c r="ABJ32">
        <f>IF($C31=46,0,ABJ31+IF(AND($G31=46,$E31=1),1,0))</f>
        <v/>
      </c>
      <c r="ABK32">
        <f>IF($C31=47,0,ABK31+IF(AND($G31=47,$E31=1),1,0))</f>
        <v/>
      </c>
      <c r="ABL32">
        <f>IF($C31=48,0,ABL31+IF(AND($G31=48,$E31=1),1,0))</f>
        <v/>
      </c>
      <c r="ABM32">
        <f>IF($C31=49,0,ABM31+IF(AND($G31=49,$E31=1),1,0))</f>
        <v/>
      </c>
      <c r="ABN32">
        <f>IF($C31=50,0,ABN31+IF(AND($G31=50,$E31=1),1,0))</f>
        <v/>
      </c>
      <c r="ABO32">
        <f>IF($C31=51,0,ABO31+IF(AND($G31=51,$E31=1),1,0))</f>
        <v/>
      </c>
      <c r="ABP32">
        <f>IF($C31=52,0,ABP31+IF(AND($G31=52,$E31=1),1,0))</f>
        <v/>
      </c>
      <c r="ABQ32">
        <f>IF($C31=53,0,ABQ31+IF(AND($G31=53,$E31=1),1,0))</f>
        <v/>
      </c>
      <c r="ABR32">
        <f>IF($C31=54,0,ABR31+IF(AND($G31=54,$E31=1),1,0))</f>
        <v/>
      </c>
      <c r="ABS32">
        <f>IF($C31=55,0,ABS31+IF(AND($G31=55,$E31=1),1,0))</f>
        <v/>
      </c>
      <c r="ABT32">
        <f>IF($C31=56,0,ABT31+IF(AND($G31=56,$E31=1),1,0))</f>
        <v/>
      </c>
      <c r="ABU32">
        <f>IF($C31=57,0,ABU31+IF(AND($G31=57,$E31=1),1,0))</f>
        <v/>
      </c>
      <c r="ABV32">
        <f>IF($C31=58,0,ABV31+IF(AND($G31=58,$E31=1),1,0))</f>
        <v/>
      </c>
      <c r="ABW32">
        <f>IF($C31=59,0,ABW31+IF(AND($G31=59,$E31=1),1,0))</f>
        <v/>
      </c>
      <c r="ABX32">
        <f>IF($C31=60,0,ABX31+IF(AND($G31=60,$E31=1),1,0))</f>
        <v/>
      </c>
      <c r="ABY32">
        <f>IF($C31=61,0,ABY31+IF(AND($G31=61,$E31=1),1,0))</f>
        <v/>
      </c>
      <c r="ABZ32">
        <f>IF($C31=62,0,ABZ31+IF(AND($G31=62,$E31=1),1,0))</f>
        <v/>
      </c>
      <c r="ACA32">
        <f>IF($C31=63,0,ACA31+IF(AND($G31=63,$E31=1),1,0))</f>
        <v/>
      </c>
      <c r="ACB32">
        <f>IF($C31=64,0,ACB31+IF(AND($G31=64,$E31=1),1,0))</f>
        <v/>
      </c>
      <c r="ACC32">
        <f>IF($C31=65,0,ACC31+IF(AND($G31=65,$E31=1),1,0))</f>
        <v/>
      </c>
      <c r="ACD32">
        <f>IF($C31=66,0,ACD31+IF(AND($G31=66,$E31=1),1,0))</f>
        <v/>
      </c>
      <c r="ACE32">
        <f>IF($C31=67,0,ACE31+IF(AND($G31=67,$E31=1),1,0))</f>
        <v/>
      </c>
      <c r="ACF32">
        <f>IF($C31=68,0,ACF31+IF(AND($G31=68,$E31=1),1,0))</f>
        <v/>
      </c>
      <c r="ACG32">
        <f>IF($C31=69,0,ACG31+IF(AND($G31=69,$E31=1),1,0))</f>
        <v/>
      </c>
      <c r="ACH32">
        <f>IF($C31=70,0,ACH31+IF(AND($G31=70,$E31=1),1,0))</f>
        <v/>
      </c>
      <c r="ACI32">
        <f>IF($C31=71,0,ACI31+IF(AND($G31=71,$E31=1),1,0))</f>
        <v/>
      </c>
      <c r="ACJ32">
        <f>IF($C31=72,0,ACJ31+IF(AND($G31=72,$E31=1),1,0))</f>
        <v/>
      </c>
      <c r="ACK32">
        <f>IF($C31=73,0,ACK31+IF(AND($G31=73,$E31=1),1,0))</f>
        <v/>
      </c>
      <c r="ACL32">
        <f>IF($C31=74,0,ACL31+IF(AND($G31=74,$E31=1),1,0))</f>
        <v/>
      </c>
      <c r="ACM32">
        <f>IF($C31=75,0,ACM31+IF(AND($G31=75,$E31=1),1,0))</f>
        <v/>
      </c>
      <c r="ACN32">
        <f>IF($C31=76,0,ACN31+IF(AND($G31=76,$E31=1),1,0))</f>
        <v/>
      </c>
      <c r="ACO32">
        <f>IF($C31=77,0,ACO31+IF(AND($G31=77,$E31=1),1,0))</f>
        <v/>
      </c>
      <c r="ACP32">
        <f>IF($C31=78,0,ACP31+IF(AND($G31=78,$E31=1),1,0))</f>
        <v/>
      </c>
      <c r="ACQ32">
        <f>IF($C31=79,0,ACQ31+IF(AND($G31=79,$E31=1),1,0))</f>
        <v/>
      </c>
      <c r="ACR32">
        <f>IF($C31=80,0,ACR31+IF(AND($G31=80,$E31=1),1,0))</f>
        <v/>
      </c>
      <c r="ACS32">
        <f>IF($C31=81,0,ACS31+IF(AND($G31=81,$E31=1),1,0))</f>
        <v/>
      </c>
      <c r="ACT32">
        <f>IF($C31=82,0,ACT31+IF(AND($G31=82,$E31=1),1,0))</f>
        <v/>
      </c>
      <c r="ACU32">
        <f>IF($C31=83,0,ACU31+IF(AND($G31=83,$E31=1),1,0))</f>
        <v/>
      </c>
      <c r="ACV32">
        <f>IF($C31=84,0,ACV31+IF(AND($G31=84,$E31=1),1,0))</f>
        <v/>
      </c>
      <c r="ACW32">
        <f>IF($C31=85,0,ACW31+IF(AND($G31=85,$E31=1),1,0))</f>
        <v/>
      </c>
      <c r="ACX32">
        <f>IF($C31=86,0,ACX31+IF(AND($G31=86,$E31=1),1,0))</f>
        <v/>
      </c>
      <c r="ACY32">
        <f>IF($C31=87,0,ACY31+IF(AND($G31=87,$E31=1),1,0))</f>
        <v/>
      </c>
      <c r="ACZ32">
        <f>IF($C31=88,0,ACZ31+IF(AND($G31=88,$E31=1),1,0))</f>
        <v/>
      </c>
      <c r="ADA32">
        <f>IF($C31=89,0,ADA31+IF(AND($G31=89,$E31=1),1,0))</f>
        <v/>
      </c>
      <c r="ADB32">
        <f>IF($C31=90,0,ADB31+IF(AND($G31=90,$E31=1),1,0))</f>
        <v/>
      </c>
      <c r="ADC32">
        <f>IF($C31=91,0,ADC31+IF(AND($G31=91,$E31=1),1,0))</f>
        <v/>
      </c>
      <c r="ADD32">
        <f>IF($C31=92,0,ADD31+IF(AND($G31=92,$E31=1),1,0))</f>
        <v/>
      </c>
      <c r="ADE32">
        <f>IF($C31=93,0,ADE31+IF(AND($G31=93,$E31=1),1,0))</f>
        <v/>
      </c>
      <c r="ADF32">
        <f>IF($C31=94,0,ADF31+IF(AND($G31=94,$E31=1),1,0))</f>
        <v/>
      </c>
      <c r="ADG32">
        <f>IF($C31=95,0,ADG31+IF(AND($G31=95,$E31=1),1,0))</f>
        <v/>
      </c>
      <c r="ADH32">
        <f>IF($C31=96,0,ADH31+IF(AND($G31=96,$E31=1),1,0))</f>
        <v/>
      </c>
      <c r="ADI32">
        <f>IF($C31=97,0,ADI31+IF(AND($G31=97,$E31=1),1,0))</f>
        <v/>
      </c>
      <c r="ADJ32">
        <f>IF($C31=98,0,ADJ31+IF(AND($G31=98,$E31=1),1,0))</f>
        <v/>
      </c>
      <c r="ADK32">
        <f>IF($C31=99,0,ADK31+IF(AND($G31=99,$E31=1),1,0))</f>
        <v/>
      </c>
      <c r="ADL32">
        <f>IF($C31=100,0,ADL31+IF(AND($G31=100,$E31=1),1,0))</f>
        <v/>
      </c>
      <c r="ADM32">
        <f>IF($C31=101,0,ADM31+IF(AND($G31=101,$E31=1),1,0))</f>
        <v/>
      </c>
      <c r="ADN32">
        <f>IF($C31=102,0,ADN31+IF(AND($G31=102,$E31=1),1,0))</f>
        <v/>
      </c>
      <c r="ADO32">
        <f>IF($C31=103,0,ADO31+IF(AND($G31=103,$E31=1),1,0))</f>
        <v/>
      </c>
      <c r="ADP32">
        <f>IF($C31=104,0,ADP31+IF(AND($G31=104,$E31=1),1,0))</f>
        <v/>
      </c>
      <c r="ADQ32">
        <f>IF($C31=105,0,ADQ31+IF(AND($G31=105,$E31=1),1,0))</f>
        <v/>
      </c>
      <c r="ADR32">
        <f>IF($C31=106,0,ADR31+IF(AND($G31=106,$E31=1),1,0))</f>
        <v/>
      </c>
      <c r="ADS32">
        <f>IF($C31=107,0,ADS31+IF(AND($G31=107,$E31=1),1,0))</f>
        <v/>
      </c>
      <c r="ADT32">
        <f>IF($C31=108,0,ADT31+IF(AND($G31=108,$E31=1),1,0))</f>
        <v/>
      </c>
      <c r="ADU32">
        <f>IF($C31=109,0,ADU31+IF(AND($G31=109,$E31=1),1,0))</f>
        <v/>
      </c>
      <c r="ADV32">
        <f>IF($C31=110,0,ADV31+IF(AND($G31=110,$E31=1),1,0))</f>
        <v/>
      </c>
      <c r="ADW32">
        <f>IF($C31=111,0,ADW31+IF(AND($G31=111,$E31=1),1,0))</f>
        <v/>
      </c>
      <c r="ADX32">
        <f>IF($C31=112,0,ADX31+IF(AND($G31=112,$E31=1),1,0))</f>
        <v/>
      </c>
      <c r="ADY32">
        <f>IF($C31=113,0,ADY31+IF(AND($G31=113,$E31=1),1,0))</f>
        <v/>
      </c>
      <c r="ADZ32">
        <f>IF($C31=114,0,ADZ31+IF(AND($G31=114,$E31=1),1,0))</f>
        <v/>
      </c>
      <c r="AEA32">
        <f>IF($C31=115,0,AEA31+IF(AND($G31=115,$E31=1),1,0))</f>
        <v/>
      </c>
      <c r="AEB32">
        <f>IF($C31=116,0,AEB31+IF(AND($G31=116,$E31=1),1,0))</f>
        <v/>
      </c>
      <c r="AEC32">
        <f>IF($C31=117,0,AEC31+IF(AND($G31=117,$E31=1),1,0))</f>
        <v/>
      </c>
      <c r="AED32">
        <f>IF($C31=118,0,AED31+IF(AND($G31=118,$E31=1),1,0))</f>
        <v/>
      </c>
      <c r="AEE32">
        <f>IF($C31=119,0,AEE31+IF(AND($G31=119,$E31=1),1,0))</f>
        <v/>
      </c>
      <c r="AEF32">
        <f>IF($C31=120,0,AEF31+IF(AND($G31=120,$E31=1),1,0))</f>
        <v/>
      </c>
      <c r="AEG32">
        <f>IF($C31=121,0,AEG31+IF(AND($G31=121,$E31=1),1,0))</f>
        <v/>
      </c>
      <c r="AEH32">
        <f>IF($C31=122,0,AEH31+IF(AND($G31=122,$E31=1),1,0))</f>
        <v/>
      </c>
      <c r="AEI32">
        <f>IF($C31=123,0,AEI31+IF(AND($G31=123,$E31=1),1,0))</f>
        <v/>
      </c>
      <c r="AEJ32">
        <f>IF($C31=124,0,AEJ31+IF(AND($G31=124,$E31=1),1,0))</f>
        <v/>
      </c>
      <c r="AEK32">
        <f>IF($C31=125,0,AEK31+IF(AND($G31=125,$E31=1),1,0))</f>
        <v/>
      </c>
      <c r="AEL32">
        <f>IF($C31=126,0,AEL31+IF(AND($G31=126,$E31=1),1,0))</f>
        <v/>
      </c>
      <c r="AEM32">
        <f>IF($C31=127,0,AEM31+IF(AND($G31=127,$E31=1),1,0))</f>
        <v/>
      </c>
      <c r="AEN32">
        <f>IF($C31=128,0,AEN31+IF(AND($G31=128,$E31=1),1,0))</f>
        <v/>
      </c>
      <c r="AEO32">
        <f>IF($C31=129,0,AEO31+IF(AND($G31=129,$E31=1),1,0))</f>
        <v/>
      </c>
      <c r="AEP32">
        <f>IF($C31=130,0,AEP31+IF(AND($G31=130,$E31=1),1,0))</f>
        <v/>
      </c>
      <c r="AEQ32">
        <f>IF($C31=131,0,AEQ31+IF(AND($G31=131,$E31=1),1,0))</f>
        <v/>
      </c>
      <c r="AER32">
        <f>IF($C31=132,0,AER31+IF(AND($G31=132,$E31=1),1,0))</f>
        <v/>
      </c>
      <c r="AES32">
        <f>IF($C31=133,0,AES31+IF(AND($G31=133,$E31=1),1,0))</f>
        <v/>
      </c>
      <c r="AET32">
        <f>IF($C31=134,0,AET31+IF(AND($G31=134,$E31=1),1,0))</f>
        <v/>
      </c>
      <c r="AEU32">
        <f>IF($C31=135,0,AEU31+IF(AND($G31=135,$E31=1),1,0))</f>
        <v/>
      </c>
      <c r="AEV32">
        <f>IF($C31=136,0,AEV31+IF(AND($G31=136,$E31=1),1,0))</f>
        <v/>
      </c>
      <c r="AEW32">
        <f>IF($C31=137,0,AEW31+IF(AND($G31=137,$E31=1),1,0))</f>
        <v/>
      </c>
      <c r="AEX32">
        <f>IF($C31=138,0,AEX31+IF(AND($G31=138,$E31=1),1,0))</f>
        <v/>
      </c>
      <c r="AEY32">
        <f>IF($C31=139,0,AEY31+IF(AND($G31=139,$E31=1),1,0))</f>
        <v/>
      </c>
      <c r="AEZ32">
        <f>IF($C31=140,0,AEZ31+IF(AND($G31=140,$E31=1),1,0))</f>
        <v/>
      </c>
      <c r="AFA32">
        <f>IF($C31=141,0,AFA31+IF(AND($G31=141,$E31=1),1,0))</f>
        <v/>
      </c>
      <c r="AFB32">
        <f>IF($C31=142,0,AFB31+IF(AND($G31=142,$E31=1),1,0))</f>
        <v/>
      </c>
      <c r="AFC32">
        <f>IF($C31=143,0,AFC31+IF(AND($G31=143,$E31=1),1,0))</f>
        <v/>
      </c>
      <c r="AFD32">
        <f>IF($C31=144,0,AFD31+IF(AND($G31=144,$E31=1),1,0))</f>
        <v/>
      </c>
      <c r="AFF32">
        <f>IF('calcA'!D$106=1,DC32+ZR32,1)</f>
        <v/>
      </c>
      <c r="AFG32">
        <f>IF('calcA'!E$106=1,DD32+ZS32,1)</f>
        <v/>
      </c>
      <c r="AFH32">
        <f>IF('calcA'!F$106=1,DE32+ZT32,1)</f>
        <v/>
      </c>
      <c r="AFI32">
        <f>IF('calcA'!G$106=1,DF32+ZU32,1)</f>
        <v/>
      </c>
      <c r="AFJ32">
        <f>IF('calcA'!H$106=1,DG32+ZV32,1)</f>
        <v/>
      </c>
      <c r="AFK32">
        <f>IF('calcA'!I$106=1,DH32+ZW32,1)</f>
        <v/>
      </c>
      <c r="AFL32">
        <f>IF('calcA'!J$106=1,DI32+ZX32,1)</f>
        <v/>
      </c>
      <c r="AFM32">
        <f>IF('calcA'!K$106=1,DJ32+ZY32,1)</f>
        <v/>
      </c>
      <c r="AFN32">
        <f>IF('calcA'!L$106=1,DK32+ZZ32,1)</f>
        <v/>
      </c>
      <c r="AFO32">
        <f>IF('calcA'!M$106=1,DL32+AAA32,1)</f>
        <v/>
      </c>
      <c r="AFP32">
        <f>IF('calcA'!N$106=1,DM32+AAB32,1)</f>
        <v/>
      </c>
      <c r="AFQ32">
        <f>IF('calcA'!O$106=1,DN32+AAC32,1)</f>
        <v/>
      </c>
      <c r="AFR32">
        <f>IF('calcA'!P$106=1,DO32+AAD32,1)</f>
        <v/>
      </c>
      <c r="AFS32">
        <f>IF('calcA'!Q$106=1,DP32+AAE32,1)</f>
        <v/>
      </c>
      <c r="AFT32">
        <f>IF('calcA'!R$106=1,DQ32+AAF32,1)</f>
        <v/>
      </c>
      <c r="AFU32">
        <f>IF('calcA'!S$106=1,DR32+AAG32,1)</f>
        <v/>
      </c>
      <c r="AFV32">
        <f>IF('calcA'!T$106=1,DS32+AAH32,1)</f>
        <v/>
      </c>
      <c r="AFW32">
        <f>IF('calcA'!U$106=1,DT32+AAI32,1)</f>
        <v/>
      </c>
      <c r="AFX32">
        <f>IF('calcA'!V$106=1,DU32+AAJ32,1)</f>
        <v/>
      </c>
      <c r="AFY32">
        <f>IF('calcA'!W$106=1,DV32+AAK32,1)</f>
        <v/>
      </c>
      <c r="AFZ32">
        <f>IF('calcA'!X$106=1,DW32+AAL32,1)</f>
        <v/>
      </c>
      <c r="AGA32">
        <f>IF('calcA'!Y$106=1,DX32+AAM32,1)</f>
        <v/>
      </c>
      <c r="AGB32">
        <f>IF('calcA'!Z$106=1,DY32+AAN32,1)</f>
        <v/>
      </c>
      <c r="AGC32">
        <f>IF('calcA'!AA$106=1,DZ32+AAO32,1)</f>
        <v/>
      </c>
      <c r="AGD32">
        <f>IF('calcA'!AB$106=1,EA32+AAP32,1)</f>
        <v/>
      </c>
      <c r="AGE32">
        <f>IF('calcA'!AC$106=1,EB32+AAQ32,1)</f>
        <v/>
      </c>
      <c r="AGF32">
        <f>IF('calcA'!AD$106=1,EC32+AAR32,1)</f>
        <v/>
      </c>
      <c r="AGG32">
        <f>IF('calcA'!AE$106=1,ED32+AAS32,1)</f>
        <v/>
      </c>
      <c r="AGH32">
        <f>IF('calcA'!AF$106=1,EE32+AAT32,1)</f>
        <v/>
      </c>
      <c r="AGI32">
        <f>IF('calcA'!AG$106=1,EF32+AAU32,1)</f>
        <v/>
      </c>
      <c r="AGJ32">
        <f>IF('calcA'!AH$106=1,EG32+AAV32,1)</f>
        <v/>
      </c>
      <c r="AGK32">
        <f>IF('calcA'!AI$106=1,EH32+AAW32,1)</f>
        <v/>
      </c>
      <c r="AGL32">
        <f>IF('calcA'!AJ$106=1,EI32+AAX32,1)</f>
        <v/>
      </c>
      <c r="AGM32">
        <f>IF('calcA'!AK$106=1,EJ32+AAY32,1)</f>
        <v/>
      </c>
      <c r="AGN32">
        <f>IF('calcA'!AL$106=1,EK32+AAZ32,1)</f>
        <v/>
      </c>
      <c r="AGO32">
        <f>IF('calcA'!AM$106=1,EL32+ABA32,1)</f>
        <v/>
      </c>
      <c r="AGP32">
        <f>IF('calcA'!AN$106=1,EM32+ABB32,1)</f>
        <v/>
      </c>
      <c r="AGQ32">
        <f>IF('calcA'!AO$106=1,EN32+ABC32,1)</f>
        <v/>
      </c>
      <c r="AGR32">
        <f>IF('calcA'!AP$106=1,EO32+ABD32,1)</f>
        <v/>
      </c>
      <c r="AGS32">
        <f>IF('calcA'!AQ$106=1,EP32+ABE32,1)</f>
        <v/>
      </c>
      <c r="AGT32">
        <f>IF('calcA'!AR$106=1,EQ32+ABF32,1)</f>
        <v/>
      </c>
      <c r="AGU32">
        <f>IF('calcA'!AS$106=1,ER32+ABG32,1)</f>
        <v/>
      </c>
      <c r="AGV32">
        <f>IF('calcA'!AT$106=1,ES32+ABH32,1)</f>
        <v/>
      </c>
      <c r="AGW32">
        <f>IF('calcA'!AU$106=1,ET32+ABI32,1)</f>
        <v/>
      </c>
      <c r="AGX32">
        <f>IF('calcA'!AV$106=1,EU32+ABJ32,1)</f>
        <v/>
      </c>
      <c r="AGY32">
        <f>IF('calcA'!AW$106=1,EV32+ABK32,1)</f>
        <v/>
      </c>
      <c r="AGZ32">
        <f>IF('calcA'!AX$106=1,EW32+ABL32,1)</f>
        <v/>
      </c>
      <c r="AHA32">
        <f>IF('calcA'!AY$106=1,EX32+ABM32,1)</f>
        <v/>
      </c>
      <c r="AHB32">
        <f>IF('calcA'!AZ$106=1,EY32+ABN32,1)</f>
        <v/>
      </c>
      <c r="AHC32">
        <f>IF('calcA'!BA$106=1,EZ32+ABO32,1)</f>
        <v/>
      </c>
      <c r="AHD32">
        <f>IF('calcA'!BB$106=1,FA32+ABP32,1)</f>
        <v/>
      </c>
      <c r="AHE32">
        <f>IF('calcA'!BC$106=1,FB32+ABQ32,1)</f>
        <v/>
      </c>
      <c r="AHF32">
        <f>IF('calcA'!BD$106=1,FC32+ABR32,1)</f>
        <v/>
      </c>
      <c r="AHG32">
        <f>IF('calcA'!BE$106=1,FD32+ABS32,1)</f>
        <v/>
      </c>
      <c r="AHH32">
        <f>IF('calcA'!BF$106=1,FE32+ABT32,1)</f>
        <v/>
      </c>
      <c r="AHI32">
        <f>IF('calcA'!BG$106=1,FF32+ABU32,1)</f>
        <v/>
      </c>
      <c r="AHJ32">
        <f>IF('calcA'!BH$106=1,FG32+ABV32,1)</f>
        <v/>
      </c>
      <c r="AHK32">
        <f>IF('calcA'!BI$106=1,FH32+ABW32,1)</f>
        <v/>
      </c>
      <c r="AHL32">
        <f>IF('calcA'!BJ$106=1,FI32+ABX32,1)</f>
        <v/>
      </c>
      <c r="AHM32">
        <f>IF('calcA'!BK$106=1,FJ32+ABY32,1)</f>
        <v/>
      </c>
      <c r="AHN32">
        <f>IF('calcA'!BL$106=1,FK32+ABZ32,1)</f>
        <v/>
      </c>
      <c r="AHO32">
        <f>IF('calcA'!BM$106=1,FL32+ACA32,1)</f>
        <v/>
      </c>
      <c r="AHP32">
        <f>IF('calcA'!BN$106=1,FM32+ACB32,1)</f>
        <v/>
      </c>
      <c r="AHQ32">
        <f>IF('calcA'!BO$106=1,FN32+ACC32,1)</f>
        <v/>
      </c>
      <c r="AHR32">
        <f>IF('calcA'!BP$106=1,FO32+ACD32,1)</f>
        <v/>
      </c>
      <c r="AHS32">
        <f>IF('calcA'!BQ$106=1,FP32+ACE32,1)</f>
        <v/>
      </c>
      <c r="AHT32">
        <f>IF('calcA'!BR$106=1,FQ32+ACF32,1)</f>
        <v/>
      </c>
      <c r="AHU32">
        <f>IF('calcA'!BS$106=1,FR32+ACG32,1)</f>
        <v/>
      </c>
      <c r="AHV32">
        <f>IF('calcA'!BT$106=1,FS32+ACH32,1)</f>
        <v/>
      </c>
      <c r="AHW32">
        <f>IF('calcA'!BU$106=1,FT32+ACI32,1)</f>
        <v/>
      </c>
      <c r="AHX32">
        <f>IF('calcA'!BV$106=1,FU32+ACJ32,1)</f>
        <v/>
      </c>
      <c r="AHY32">
        <f>IF('calcA'!BW$106=1,FV32+ACK32,1)</f>
        <v/>
      </c>
      <c r="AHZ32">
        <f>IF('calcA'!BX$106=1,FW32+ACL32,1)</f>
        <v/>
      </c>
      <c r="AIA32">
        <f>IF('calcA'!BY$106=1,FX32+ACM32,1)</f>
        <v/>
      </c>
      <c r="AIB32">
        <f>IF('calcA'!BZ$106=1,FY32+ACN32,1)</f>
        <v/>
      </c>
      <c r="AIC32">
        <f>IF('calcA'!CA$106=1,FZ32+ACO32,1)</f>
        <v/>
      </c>
      <c r="AID32">
        <f>IF('calcA'!CB$106=1,GA32+ACP32,1)</f>
        <v/>
      </c>
      <c r="AIE32">
        <f>IF('calcA'!CC$106=1,GB32+ACQ32,1)</f>
        <v/>
      </c>
      <c r="AIF32">
        <f>IF('calcA'!CD$106=1,GC32+ACR32,1)</f>
        <v/>
      </c>
      <c r="AIG32">
        <f>IF('calcA'!CE$106=1,GD32+ACS32,1)</f>
        <v/>
      </c>
      <c r="AIH32">
        <f>IF('calcA'!CF$106=1,GE32+ACT32,1)</f>
        <v/>
      </c>
      <c r="AII32">
        <f>IF('calcA'!CG$106=1,GF32+ACU32,1)</f>
        <v/>
      </c>
      <c r="AIJ32">
        <f>IF('calcA'!CH$106=1,GG32+ACV32,1)</f>
        <v/>
      </c>
      <c r="AIK32">
        <f>IF('calcA'!CI$106=1,GH32+ACW32,1)</f>
        <v/>
      </c>
      <c r="AIL32">
        <f>IF('calcA'!CJ$106=1,GI32+ACX32,1)</f>
        <v/>
      </c>
      <c r="AIM32">
        <f>IF('calcA'!CK$106=1,GJ32+ACY32,1)</f>
        <v/>
      </c>
      <c r="AIN32">
        <f>IF('calcA'!CL$106=1,GK32+ACZ32,1)</f>
        <v/>
      </c>
      <c r="AIO32">
        <f>IF('calcA'!CM$106=1,GL32+ADA32,1)</f>
        <v/>
      </c>
      <c r="AIP32">
        <f>IF('calcA'!CN$106=1,GM32+ADB32,1)</f>
        <v/>
      </c>
      <c r="AIQ32">
        <f>IF('calcA'!CO$106=1,GN32+ADC32,1)</f>
        <v/>
      </c>
      <c r="AIR32">
        <f>IF('calcA'!CP$106=1,GO32+ADD32,1)</f>
        <v/>
      </c>
      <c r="AIS32">
        <f>IF('calcA'!CQ$106=1,GP32+ADE32,1)</f>
        <v/>
      </c>
      <c r="AIT32">
        <f>IF('calcA'!CR$106=1,GQ32+ADF32,1)</f>
        <v/>
      </c>
      <c r="AIU32">
        <f>IF('calcA'!CS$106=1,GR32+ADG32,1)</f>
        <v/>
      </c>
      <c r="AIV32">
        <f>IF('calcA'!CT$106=1,GS32+ADH32,1)</f>
        <v/>
      </c>
      <c r="AIW32">
        <f>IF('calcA'!CU$106=1,GT32+ADI32,1)</f>
        <v/>
      </c>
      <c r="AIX32">
        <f>IF('calcA'!CV$106=1,GU32+ADJ32,1)</f>
        <v/>
      </c>
      <c r="AIY32">
        <f>IF('calcA'!CW$106=1,GV32+ADK32,1)</f>
        <v/>
      </c>
      <c r="AIZ32">
        <f>IF('calcA'!CX$106=1,GW32+ADL32,1)</f>
        <v/>
      </c>
      <c r="AJA32">
        <f>IF('calcA'!CY$106=1,GX32+ADM32,1)</f>
        <v/>
      </c>
      <c r="AJB32">
        <f>IF('calcA'!CZ$106=1,GY32+ADN32,1)</f>
        <v/>
      </c>
      <c r="AJC32">
        <f>IF('calcA'!DA$106=1,GZ32+ADO32,1)</f>
        <v/>
      </c>
      <c r="AJD32">
        <f>IF('calcA'!DB$106=1,HA32+ADP32,1)</f>
        <v/>
      </c>
      <c r="AJE32">
        <f>IF('calcA'!DC$106=1,HB32+ADQ32,1)</f>
        <v/>
      </c>
      <c r="AJF32">
        <f>IF('calcA'!DD$106=1,HC32+ADR32,1)</f>
        <v/>
      </c>
      <c r="AJG32">
        <f>IF('calcA'!DE$106=1,HD32+ADS32,1)</f>
        <v/>
      </c>
      <c r="AJH32">
        <f>IF('calcA'!DF$106=1,HE32+ADT32,1)</f>
        <v/>
      </c>
      <c r="AJI32">
        <f>IF('calcA'!DG$106=1,HF32+ADU32,1)</f>
        <v/>
      </c>
      <c r="AJJ32">
        <f>IF('calcA'!DH$106=1,HG32+ADV32,1)</f>
        <v/>
      </c>
      <c r="AJK32">
        <f>IF('calcA'!DI$106=1,HH32+ADW32,1)</f>
        <v/>
      </c>
      <c r="AJL32">
        <f>IF('calcA'!DJ$106=1,HI32+ADX32,1)</f>
        <v/>
      </c>
      <c r="AJM32">
        <f>IF('calcA'!DK$106=1,HJ32+ADY32,1)</f>
        <v/>
      </c>
      <c r="AJN32">
        <f>IF('calcA'!DL$106=1,HK32+ADZ32,1)</f>
        <v/>
      </c>
      <c r="AJO32">
        <f>IF('calcA'!DM$106=1,HL32+AEA32,1)</f>
        <v/>
      </c>
      <c r="AJP32">
        <f>IF('calcA'!DN$106=1,HM32+AEB32,1)</f>
        <v/>
      </c>
      <c r="AJQ32">
        <f>IF('calcA'!DO$106=1,HN32+AEC32,1)</f>
        <v/>
      </c>
      <c r="AJR32">
        <f>IF('calcA'!DP$106=1,HO32+AED32,1)</f>
        <v/>
      </c>
      <c r="AJS32">
        <f>IF('calcA'!DQ$106=1,HP32+AEE32,1)</f>
        <v/>
      </c>
      <c r="AJT32">
        <f>IF('calcA'!DR$106=1,HQ32+AEF32,1)</f>
        <v/>
      </c>
      <c r="AJU32">
        <f>IF('calcA'!DS$106=1,HR32+AEG32,1)</f>
        <v/>
      </c>
      <c r="AJV32">
        <f>IF('calcA'!DT$106=1,HS32+AEH32,1)</f>
        <v/>
      </c>
      <c r="AJW32">
        <f>IF('calcA'!DU$106=1,HT32+AEI32,1)</f>
        <v/>
      </c>
      <c r="AJX32">
        <f>IF('calcA'!DV$106=1,HU32+AEJ32,1)</f>
        <v/>
      </c>
      <c r="AJY32">
        <f>IF('calcA'!DW$106=1,HV32+AEK32,1)</f>
        <v/>
      </c>
      <c r="AJZ32">
        <f>IF('calcA'!DX$106=1,HW32+AEL32,1)</f>
        <v/>
      </c>
      <c r="AKA32">
        <f>IF('calcA'!DY$106=1,HX32+AEM32,1)</f>
        <v/>
      </c>
      <c r="AKB32">
        <f>IF('calcA'!DZ$106=1,HY32+AEN32,1)</f>
        <v/>
      </c>
      <c r="AKC32">
        <f>IF('calcA'!EA$106=1,HZ32+AEO32,1)</f>
        <v/>
      </c>
      <c r="AKD32">
        <f>IF('calcA'!EB$106=1,IA32+AEP32,1)</f>
        <v/>
      </c>
      <c r="AKE32">
        <f>IF('calcA'!EC$106=1,IB32+AEQ32,1)</f>
        <v/>
      </c>
      <c r="AKF32">
        <f>IF('calcA'!ED$106=1,IC32+AER32,1)</f>
        <v/>
      </c>
      <c r="AKG32">
        <f>IF('calcA'!EE$106=1,ID32+AES32,1)</f>
        <v/>
      </c>
      <c r="AKH32">
        <f>IF('calcA'!EF$106=1,IE32+AET32,1)</f>
        <v/>
      </c>
      <c r="AKI32">
        <f>IF('calcA'!EG$106=1,IF32+AEU32,1)</f>
        <v/>
      </c>
      <c r="AKJ32">
        <f>IF('calcA'!EH$106=1,IG32+AEV32,1)</f>
        <v/>
      </c>
      <c r="AKK32">
        <f>IF('calcA'!EI$106=1,IH32+AEW32,1)</f>
        <v/>
      </c>
      <c r="AKL32">
        <f>IF('calcA'!EJ$106=1,II32+AEX32,1)</f>
        <v/>
      </c>
      <c r="AKM32">
        <f>IF('calcA'!EK$106=1,IJ32+AEY32,1)</f>
        <v/>
      </c>
      <c r="AKN32">
        <f>IF('calcA'!EL$106=1,IK32+AEZ32,1)</f>
        <v/>
      </c>
      <c r="AKO32">
        <f>IF('calcA'!EM$106=1,IL32+AFA32,1)</f>
        <v/>
      </c>
      <c r="AKP32">
        <f>IF('calcA'!EN$106=1,IM32+AFB32,1)</f>
        <v/>
      </c>
      <c r="AKQ32">
        <f>IF('calcA'!EO$106=1,IN32+AFC32,1)</f>
        <v/>
      </c>
      <c r="AKR32">
        <f>IF('calcA'!EP$106=1,IO32+AFD32,1)</f>
        <v/>
      </c>
      <c r="AKS32" t="n">
        <v>1</v>
      </c>
    </row>
    <row r="33">
      <c r="A33" t="n">
        <v>31</v>
      </c>
      <c r="B33">
        <f>IF(MIN(BM33:CZ33)&gt;=1000000000,0,MATCH(MIN(BM33:CZ33),BM33:CZ33,0))</f>
        <v/>
      </c>
      <c r="C33">
        <f>IF(MIN(OF33:TS33)&gt;=1000000000,0,MATCH(MIN(OF33:TS33),OF33:TS33,0))</f>
        <v/>
      </c>
      <c r="D33">
        <f>IF(C33&gt;0,INDEX('calcA'!$D$5:$EQ$5,C33),0)</f>
        <v/>
      </c>
      <c r="E33">
        <f>IF(B33=0,0,INDEX('calcA'!$IQ$10:$IQ$54,B33))</f>
        <v/>
      </c>
      <c r="F33">
        <f>IF(B33=0,0,INDEX('calcA'!$IP$10:$IP$54,B33))</f>
        <v/>
      </c>
      <c r="G33">
        <f>IF(AND(C33&gt;0,E33&gt;0),IF(AND(INDEX('calcA'!$D$106:$EQ$106,C33)=1,INDEX($IQ33:$OD33,C33)=1),C33+1,0),0)</f>
        <v/>
      </c>
      <c r="H33">
        <f>IF(B33=0,0,INDEX('calcA'!$IW$10:$IW$54,B33))</f>
        <v/>
      </c>
      <c r="U33">
        <f>IF(B33=0,0,INDEX('calcA'!$IX$10:$IX$54,B33))</f>
        <v/>
      </c>
      <c r="V33">
        <f>IF(B33=0,0,INDEX('calcA'!$JF$10:$JF$54,B33))</f>
        <v/>
      </c>
      <c r="W33">
        <f>IF(B33=0,0,IF(IF(E33=2,SUMPRODUCT(INDEX('calcA'!$D$60:$EQ$99,B33,0),$DB33:$IO33,$IQ33:$OD33),SUMPRODUCT(INDEX('calcA'!$D$60:$EQ$99,B33,0),$DB33:$IO33))=0,1,0))</f>
        <v/>
      </c>
      <c r="X33">
        <f>MAX(X32,IF($B32=1,1,0))</f>
        <v/>
      </c>
      <c r="Y33">
        <f>MAX(Y32,IF($B32=2,1,0))</f>
        <v/>
      </c>
      <c r="Z33">
        <f>MAX(Z32,IF($B32=3,1,0))</f>
        <v/>
      </c>
      <c r="AA33">
        <f>MAX(AA32,IF($B32=4,1,0))</f>
        <v/>
      </c>
      <c r="AB33">
        <f>MAX(AB32,IF($B32=5,1,0))</f>
        <v/>
      </c>
      <c r="AC33">
        <f>MAX(AC32,IF($B32=6,1,0))</f>
        <v/>
      </c>
      <c r="AD33">
        <f>MAX(AD32,IF($B32=7,1,0))</f>
        <v/>
      </c>
      <c r="AE33">
        <f>MAX(AE32,IF($B32=8,1,0))</f>
        <v/>
      </c>
      <c r="AF33">
        <f>MAX(AF32,IF($B32=9,1,0))</f>
        <v/>
      </c>
      <c r="AG33">
        <f>MAX(AG32,IF($B32=10,1,0))</f>
        <v/>
      </c>
      <c r="AH33">
        <f>MAX(AH32,IF($B32=11,1,0))</f>
        <v/>
      </c>
      <c r="AI33">
        <f>MAX(AI32,IF($B32=12,1,0))</f>
        <v/>
      </c>
      <c r="AJ33">
        <f>MAX(AJ32,IF($B32=13,1,0))</f>
        <v/>
      </c>
      <c r="AK33">
        <f>MAX(AK32,IF($B32=14,1,0))</f>
        <v/>
      </c>
      <c r="AL33">
        <f>MAX(AL32,IF($B32=15,1,0))</f>
        <v/>
      </c>
      <c r="AM33">
        <f>MAX(AM32,IF($B32=16,1,0))</f>
        <v/>
      </c>
      <c r="AN33">
        <f>MAX(AN32,IF($B32=17,1,0))</f>
        <v/>
      </c>
      <c r="AO33">
        <f>MAX(AO32,IF($B32=18,1,0))</f>
        <v/>
      </c>
      <c r="AP33">
        <f>MAX(AP32,IF($B32=19,1,0))</f>
        <v/>
      </c>
      <c r="AQ33">
        <f>MAX(AQ32,IF($B32=20,1,0))</f>
        <v/>
      </c>
      <c r="AR33">
        <f>MAX(AR32,IF($B32=21,1,0))</f>
        <v/>
      </c>
      <c r="AS33">
        <f>MAX(AS32,IF($B32=22,1,0))</f>
        <v/>
      </c>
      <c r="AT33">
        <f>MAX(AT32,IF($B32=23,1,0))</f>
        <v/>
      </c>
      <c r="AU33">
        <f>MAX(AU32,IF($B32=24,1,0))</f>
        <v/>
      </c>
      <c r="AV33">
        <f>MAX(AV32,IF($B32=25,1,0))</f>
        <v/>
      </c>
      <c r="AW33">
        <f>MAX(AW32,IF($B32=26,1,0))</f>
        <v/>
      </c>
      <c r="AX33">
        <f>MAX(AX32,IF($B32=27,1,0))</f>
        <v/>
      </c>
      <c r="AY33">
        <f>MAX(AY32,IF($B32=28,1,0))</f>
        <v/>
      </c>
      <c r="AZ33">
        <f>MAX(AZ32,IF($B32=29,1,0))</f>
        <v/>
      </c>
      <c r="BA33">
        <f>MAX(BA32,IF($B32=30,1,0))</f>
        <v/>
      </c>
      <c r="BB33">
        <f>MAX(BB32,IF($B32=31,1,0))</f>
        <v/>
      </c>
      <c r="BC33">
        <f>MAX(BC32,IF($B32=32,1,0))</f>
        <v/>
      </c>
      <c r="BD33">
        <f>MAX(BD32,IF($B32=33,1,0))</f>
        <v/>
      </c>
      <c r="BE33">
        <f>MAX(BE32,IF($B32=34,1,0))</f>
        <v/>
      </c>
      <c r="BF33">
        <f>MAX(BF32,IF($B32=35,1,0))</f>
        <v/>
      </c>
      <c r="BG33">
        <f>MAX(BG32,IF($B32=36,1,0))</f>
        <v/>
      </c>
      <c r="BH33">
        <f>MAX(BH32,IF($B32=37,1,0))</f>
        <v/>
      </c>
      <c r="BI33">
        <f>MAX(BI32,IF($B32=38,1,0))</f>
        <v/>
      </c>
      <c r="BJ33">
        <f>MAX(BJ32,IF($B32=39,1,0))</f>
        <v/>
      </c>
      <c r="BK33">
        <f>MAX(BK32,IF($B32=40,1,0))</f>
        <v/>
      </c>
      <c r="BM33">
        <f>IF(OR(X33=1,calcA!$A$6=0),1000000000,IF('calcA'!$JF$10=1,0,100000000)+IF('calcA'!$IQ$10=2,SUMPRODUCT('calcA'!$D$60:$EQ$60,$DB33:$IO33,$IQ33:$OD33)*1000+SUMPRODUCT('calcA'!$D$60:$EQ$60,$DB33:$IO33+$ZQ33:$AFD33,$AFF33:$AKS33),SUMPRODUCT('calcA'!$D$60:$EQ$60,$DB33:$IO33*1001+$ZQ33:$AFD33))*100+1)</f>
        <v/>
      </c>
      <c r="BN33">
        <f>IF(OR(Y33=1,calcA!$A$6=0),1000000000,IF('calcA'!$JF$11=1,0,100000000)+IF('calcA'!$IQ$11=2,SUMPRODUCT('calcA'!$D$61:$EQ$61,$DB33:$IO33,$IQ33:$OD33)*1000+SUMPRODUCT('calcA'!$D$61:$EQ$61,$DB33:$IO33+$ZQ33:$AFD33,$AFF33:$AKS33),SUMPRODUCT('calcA'!$D$61:$EQ$61,$DB33:$IO33*1001+$ZQ33:$AFD33))*100+2)</f>
        <v/>
      </c>
      <c r="BO33">
        <f>IF(OR(Z33=1,calcA!$A$6=0),1000000000,IF('calcA'!$JF$12=1,0,100000000)+IF('calcA'!$IQ$12=2,SUMPRODUCT('calcA'!$D$62:$EQ$62,$DB33:$IO33,$IQ33:$OD33)*1000+SUMPRODUCT('calcA'!$D$62:$EQ$62,$DB33:$IO33+$ZQ33:$AFD33,$AFF33:$AKS33),SUMPRODUCT('calcA'!$D$62:$EQ$62,$DB33:$IO33*1001+$ZQ33:$AFD33))*100+3)</f>
        <v/>
      </c>
      <c r="BP33">
        <f>IF(OR(AA33=1,calcA!$A$6=0),1000000000,IF('calcA'!$JF$13=1,0,100000000)+IF('calcA'!$IQ$13=2,SUMPRODUCT('calcA'!$D$63:$EQ$63,$DB33:$IO33,$IQ33:$OD33)*1000+SUMPRODUCT('calcA'!$D$63:$EQ$63,$DB33:$IO33+$ZQ33:$AFD33,$AFF33:$AKS33),SUMPRODUCT('calcA'!$D$63:$EQ$63,$DB33:$IO33*1001+$ZQ33:$AFD33))*100+4)</f>
        <v/>
      </c>
      <c r="BQ33">
        <f>IF(OR(AB33=1,calcA!$A$6=0),1000000000,IF('calcA'!$JF$14=1,0,100000000)+IF('calcA'!$IQ$14=2,SUMPRODUCT('calcA'!$D$64:$EQ$64,$DB33:$IO33,$IQ33:$OD33)*1000+SUMPRODUCT('calcA'!$D$64:$EQ$64,$DB33:$IO33+$ZQ33:$AFD33,$AFF33:$AKS33),SUMPRODUCT('calcA'!$D$64:$EQ$64,$DB33:$IO33*1001+$ZQ33:$AFD33))*100+5)</f>
        <v/>
      </c>
      <c r="BR33">
        <f>IF(OR(AC33=1,calcA!$A$6=0),1000000000,IF('calcA'!$JF$15=1,0,100000000)+IF('calcA'!$IQ$15=2,SUMPRODUCT('calcA'!$D$65:$EQ$65,$DB33:$IO33,$IQ33:$OD33)*1000+SUMPRODUCT('calcA'!$D$65:$EQ$65,$DB33:$IO33+$ZQ33:$AFD33,$AFF33:$AKS33),SUMPRODUCT('calcA'!$D$65:$EQ$65,$DB33:$IO33*1001+$ZQ33:$AFD33))*100+6)</f>
        <v/>
      </c>
      <c r="BS33">
        <f>IF(OR(AD33=1,calcA!$A$6=0),1000000000,IF('calcA'!$JF$16=1,0,100000000)+IF('calcA'!$IQ$16=2,SUMPRODUCT('calcA'!$D$66:$EQ$66,$DB33:$IO33,$IQ33:$OD33)*1000+SUMPRODUCT('calcA'!$D$66:$EQ$66,$DB33:$IO33+$ZQ33:$AFD33,$AFF33:$AKS33),SUMPRODUCT('calcA'!$D$66:$EQ$66,$DB33:$IO33*1001+$ZQ33:$AFD33))*100+7)</f>
        <v/>
      </c>
      <c r="BT33">
        <f>IF(OR(AE33=1,calcA!$A$6=0),1000000000,IF('calcA'!$JF$17=1,0,100000000)+IF('calcA'!$IQ$17=2,SUMPRODUCT('calcA'!$D$67:$EQ$67,$DB33:$IO33,$IQ33:$OD33)*1000+SUMPRODUCT('calcA'!$D$67:$EQ$67,$DB33:$IO33+$ZQ33:$AFD33,$AFF33:$AKS33),SUMPRODUCT('calcA'!$D$67:$EQ$67,$DB33:$IO33*1001+$ZQ33:$AFD33))*100+8)</f>
        <v/>
      </c>
      <c r="BU33">
        <f>IF(OR(AF33=1,calcA!$A$6=0),1000000000,IF('calcA'!$JF$18=1,0,100000000)+IF('calcA'!$IQ$18=2,SUMPRODUCT('calcA'!$D$68:$EQ$68,$DB33:$IO33,$IQ33:$OD33)*1000+SUMPRODUCT('calcA'!$D$68:$EQ$68,$DB33:$IO33+$ZQ33:$AFD33,$AFF33:$AKS33),SUMPRODUCT('calcA'!$D$68:$EQ$68,$DB33:$IO33*1001+$ZQ33:$AFD33))*100+9)</f>
        <v/>
      </c>
      <c r="BV33">
        <f>IF(OR(AG33=1,calcA!$A$6=0),1000000000,IF('calcA'!$JF$19=1,0,100000000)+IF('calcA'!$IQ$19=2,SUMPRODUCT('calcA'!$D$69:$EQ$69,$DB33:$IO33,$IQ33:$OD33)*1000+SUMPRODUCT('calcA'!$D$69:$EQ$69,$DB33:$IO33+$ZQ33:$AFD33,$AFF33:$AKS33),SUMPRODUCT('calcA'!$D$69:$EQ$69,$DB33:$IO33*1001+$ZQ33:$AFD33))*100+10)</f>
        <v/>
      </c>
      <c r="BW33">
        <f>IF(OR(AH33=1,calcA!$A$6=0),1000000000,IF('calcA'!$JF$20=1,0,100000000)+IF('calcA'!$IQ$20=2,SUMPRODUCT('calcA'!$D$70:$EQ$70,$DB33:$IO33,$IQ33:$OD33)*1000+SUMPRODUCT('calcA'!$D$70:$EQ$70,$DB33:$IO33+$ZQ33:$AFD33,$AFF33:$AKS33),SUMPRODUCT('calcA'!$D$70:$EQ$70,$DB33:$IO33*1001+$ZQ33:$AFD33))*100+11)</f>
        <v/>
      </c>
      <c r="BX33">
        <f>IF(OR(AI33=1,calcA!$A$6=0),1000000000,IF('calcA'!$JF$21=1,0,100000000)+IF('calcA'!$IQ$21=2,SUMPRODUCT('calcA'!$D$71:$EQ$71,$DB33:$IO33,$IQ33:$OD33)*1000+SUMPRODUCT('calcA'!$D$71:$EQ$71,$DB33:$IO33+$ZQ33:$AFD33,$AFF33:$AKS33),SUMPRODUCT('calcA'!$D$71:$EQ$71,$DB33:$IO33*1001+$ZQ33:$AFD33))*100+12)</f>
        <v/>
      </c>
      <c r="BY33">
        <f>IF(OR(AJ33=1,calcA!$A$6=0),1000000000,IF('calcA'!$JF$22=1,0,100000000)+IF('calcA'!$IQ$22=2,SUMPRODUCT('calcA'!$D$72:$EQ$72,$DB33:$IO33,$IQ33:$OD33)*1000+SUMPRODUCT('calcA'!$D$72:$EQ$72,$DB33:$IO33+$ZQ33:$AFD33,$AFF33:$AKS33),SUMPRODUCT('calcA'!$D$72:$EQ$72,$DB33:$IO33*1001+$ZQ33:$AFD33))*100+13)</f>
        <v/>
      </c>
      <c r="BZ33">
        <f>IF(OR(AK33=1,calcA!$A$6=0),1000000000,IF('calcA'!$JF$23=1,0,100000000)+IF('calcA'!$IQ$23=2,SUMPRODUCT('calcA'!$D$73:$EQ$73,$DB33:$IO33,$IQ33:$OD33)*1000+SUMPRODUCT('calcA'!$D$73:$EQ$73,$DB33:$IO33+$ZQ33:$AFD33,$AFF33:$AKS33),SUMPRODUCT('calcA'!$D$73:$EQ$73,$DB33:$IO33*1001+$ZQ33:$AFD33))*100+14)</f>
        <v/>
      </c>
      <c r="CA33">
        <f>IF(OR(AL33=1,calcA!$A$6=0),1000000000,IF('calcA'!$JF$24=1,0,100000000)+IF('calcA'!$IQ$24=2,SUMPRODUCT('calcA'!$D$74:$EQ$74,$DB33:$IO33,$IQ33:$OD33)*1000+SUMPRODUCT('calcA'!$D$74:$EQ$74,$DB33:$IO33+$ZQ33:$AFD33,$AFF33:$AKS33),SUMPRODUCT('calcA'!$D$74:$EQ$74,$DB33:$IO33*1001+$ZQ33:$AFD33))*100+15)</f>
        <v/>
      </c>
      <c r="CB33">
        <f>IF(OR(AM33=1,calcA!$A$6=0),1000000000,IF('calcA'!$JF$25=1,0,100000000)+IF('calcA'!$IQ$25=2,SUMPRODUCT('calcA'!$D$75:$EQ$75,$DB33:$IO33,$IQ33:$OD33)*1000+SUMPRODUCT('calcA'!$D$75:$EQ$75,$DB33:$IO33+$ZQ33:$AFD33,$AFF33:$AKS33),SUMPRODUCT('calcA'!$D$75:$EQ$75,$DB33:$IO33*1001+$ZQ33:$AFD33))*100+16)</f>
        <v/>
      </c>
      <c r="CC33">
        <f>IF(OR(AN33=1,calcA!$A$6=0),1000000000,IF('calcA'!$JF$26=1,0,100000000)+IF('calcA'!$IQ$26=2,SUMPRODUCT('calcA'!$D$76:$EQ$76,$DB33:$IO33,$IQ33:$OD33)*1000+SUMPRODUCT('calcA'!$D$76:$EQ$76,$DB33:$IO33+$ZQ33:$AFD33,$AFF33:$AKS33),SUMPRODUCT('calcA'!$D$76:$EQ$76,$DB33:$IO33*1001+$ZQ33:$AFD33))*100+17)</f>
        <v/>
      </c>
      <c r="CD33">
        <f>IF(OR(AO33=1,calcA!$A$6=0),1000000000,IF('calcA'!$JF$27=1,0,100000000)+IF('calcA'!$IQ$27=2,SUMPRODUCT('calcA'!$D$77:$EQ$77,$DB33:$IO33,$IQ33:$OD33)*1000+SUMPRODUCT('calcA'!$D$77:$EQ$77,$DB33:$IO33+$ZQ33:$AFD33,$AFF33:$AKS33),SUMPRODUCT('calcA'!$D$77:$EQ$77,$DB33:$IO33*1001+$ZQ33:$AFD33))*100+18)</f>
        <v/>
      </c>
      <c r="CE33">
        <f>IF(OR(AP33=1,calcA!$A$6=0),1000000000,IF('calcA'!$JF$28=1,0,100000000)+IF('calcA'!$IQ$28=2,SUMPRODUCT('calcA'!$D$78:$EQ$78,$DB33:$IO33,$IQ33:$OD33)*1000+SUMPRODUCT('calcA'!$D$78:$EQ$78,$DB33:$IO33+$ZQ33:$AFD33,$AFF33:$AKS33),SUMPRODUCT('calcA'!$D$78:$EQ$78,$DB33:$IO33*1001+$ZQ33:$AFD33))*100+19)</f>
        <v/>
      </c>
      <c r="CF33">
        <f>IF(OR(AQ33=1,calcA!$A$6=0),1000000000,IF('calcA'!$JF$29=1,0,100000000)+IF('calcA'!$IQ$29=2,SUMPRODUCT('calcA'!$D$79:$EQ$79,$DB33:$IO33,$IQ33:$OD33)*1000+SUMPRODUCT('calcA'!$D$79:$EQ$79,$DB33:$IO33+$ZQ33:$AFD33,$AFF33:$AKS33),SUMPRODUCT('calcA'!$D$79:$EQ$79,$DB33:$IO33*1001+$ZQ33:$AFD33))*100+20)</f>
        <v/>
      </c>
      <c r="CG33">
        <f>IF(OR(AR33=1,calcA!$A$6=0),1000000000,IF('calcA'!$JF$30=1,0,100000000)+IF('calcA'!$IQ$30=2,SUMPRODUCT('calcA'!$D$80:$EQ$80,$DB33:$IO33,$IQ33:$OD33)*1000+SUMPRODUCT('calcA'!$D$80:$EQ$80,$DB33:$IO33+$ZQ33:$AFD33,$AFF33:$AKS33),SUMPRODUCT('calcA'!$D$80:$EQ$80,$DB33:$IO33*1001+$ZQ33:$AFD33))*100+21)</f>
        <v/>
      </c>
      <c r="CH33">
        <f>IF(OR(AS33=1,calcA!$A$6=0),1000000000,IF('calcA'!$JF$31=1,0,100000000)+IF('calcA'!$IQ$31=2,SUMPRODUCT('calcA'!$D$81:$EQ$81,$DB33:$IO33,$IQ33:$OD33)*1000+SUMPRODUCT('calcA'!$D$81:$EQ$81,$DB33:$IO33+$ZQ33:$AFD33,$AFF33:$AKS33),SUMPRODUCT('calcA'!$D$81:$EQ$81,$DB33:$IO33*1001+$ZQ33:$AFD33))*100+22)</f>
        <v/>
      </c>
      <c r="CI33">
        <f>IF(OR(AT33=1,calcA!$A$6=0),1000000000,IF('calcA'!$JF$32=1,0,100000000)+IF('calcA'!$IQ$32=2,SUMPRODUCT('calcA'!$D$82:$EQ$82,$DB33:$IO33,$IQ33:$OD33)*1000+SUMPRODUCT('calcA'!$D$82:$EQ$82,$DB33:$IO33+$ZQ33:$AFD33,$AFF33:$AKS33),SUMPRODUCT('calcA'!$D$82:$EQ$82,$DB33:$IO33*1001+$ZQ33:$AFD33))*100+23)</f>
        <v/>
      </c>
      <c r="CJ33">
        <f>IF(OR(AU33=1,calcA!$A$6=0),1000000000,IF('calcA'!$JF$33=1,0,100000000)+IF('calcA'!$IQ$33=2,SUMPRODUCT('calcA'!$D$83:$EQ$83,$DB33:$IO33,$IQ33:$OD33)*1000+SUMPRODUCT('calcA'!$D$83:$EQ$83,$DB33:$IO33+$ZQ33:$AFD33,$AFF33:$AKS33),SUMPRODUCT('calcA'!$D$83:$EQ$83,$DB33:$IO33*1001+$ZQ33:$AFD33))*100+24)</f>
        <v/>
      </c>
      <c r="CK33">
        <f>IF(OR(AV33=1,calcA!$A$6=0),1000000000,IF('calcA'!$JF$34=1,0,100000000)+IF('calcA'!$IQ$34=2,SUMPRODUCT('calcA'!$D$84:$EQ$84,$DB33:$IO33,$IQ33:$OD33)*1000+SUMPRODUCT('calcA'!$D$84:$EQ$84,$DB33:$IO33+$ZQ33:$AFD33,$AFF33:$AKS33),SUMPRODUCT('calcA'!$D$84:$EQ$84,$DB33:$IO33*1001+$ZQ33:$AFD33))*100+25)</f>
        <v/>
      </c>
      <c r="CL33">
        <f>IF(OR(AW33=1,calcA!$A$6=0),1000000000,IF('calcA'!$JF$35=1,0,100000000)+IF('calcA'!$IQ$35=2,SUMPRODUCT('calcA'!$D$85:$EQ$85,$DB33:$IO33,$IQ33:$OD33)*1000+SUMPRODUCT('calcA'!$D$85:$EQ$85,$DB33:$IO33+$ZQ33:$AFD33,$AFF33:$AKS33),SUMPRODUCT('calcA'!$D$85:$EQ$85,$DB33:$IO33*1001+$ZQ33:$AFD33))*100+26)</f>
        <v/>
      </c>
      <c r="CM33">
        <f>IF(OR(AX33=1,calcA!$A$6=0),1000000000,IF('calcA'!$JF$36=1,0,100000000)+IF('calcA'!$IQ$36=2,SUMPRODUCT('calcA'!$D$86:$EQ$86,$DB33:$IO33,$IQ33:$OD33)*1000+SUMPRODUCT('calcA'!$D$86:$EQ$86,$DB33:$IO33+$ZQ33:$AFD33,$AFF33:$AKS33),SUMPRODUCT('calcA'!$D$86:$EQ$86,$DB33:$IO33*1001+$ZQ33:$AFD33))*100+27)</f>
        <v/>
      </c>
      <c r="CN33">
        <f>IF(OR(AY33=1,calcA!$A$6=0),1000000000,IF('calcA'!$JF$37=1,0,100000000)+IF('calcA'!$IQ$37=2,SUMPRODUCT('calcA'!$D$87:$EQ$87,$DB33:$IO33,$IQ33:$OD33)*1000+SUMPRODUCT('calcA'!$D$87:$EQ$87,$DB33:$IO33+$ZQ33:$AFD33,$AFF33:$AKS33),SUMPRODUCT('calcA'!$D$87:$EQ$87,$DB33:$IO33*1001+$ZQ33:$AFD33))*100+28)</f>
        <v/>
      </c>
      <c r="CO33">
        <f>IF(OR(AZ33=1,calcA!$A$6=0),1000000000,IF('calcA'!$JF$38=1,0,100000000)+IF('calcA'!$IQ$38=2,SUMPRODUCT('calcA'!$D$88:$EQ$88,$DB33:$IO33,$IQ33:$OD33)*1000+SUMPRODUCT('calcA'!$D$88:$EQ$88,$DB33:$IO33+$ZQ33:$AFD33,$AFF33:$AKS33),SUMPRODUCT('calcA'!$D$88:$EQ$88,$DB33:$IO33*1001+$ZQ33:$AFD33))*100+29)</f>
        <v/>
      </c>
      <c r="CP33">
        <f>IF(OR(BA33=1,calcA!$A$6=0),1000000000,IF('calcA'!$JF$39=1,0,100000000)+IF('calcA'!$IQ$39=2,SUMPRODUCT('calcA'!$D$89:$EQ$89,$DB33:$IO33,$IQ33:$OD33)*1000+SUMPRODUCT('calcA'!$D$89:$EQ$89,$DB33:$IO33+$ZQ33:$AFD33,$AFF33:$AKS33),SUMPRODUCT('calcA'!$D$89:$EQ$89,$DB33:$IO33*1001+$ZQ33:$AFD33))*100+30)</f>
        <v/>
      </c>
      <c r="CQ33">
        <f>IF(OR(BB33=1,calcA!$A$6=0),1000000000,IF('calcA'!$JF$40=1,0,100000000)+IF('calcA'!$IQ$40=2,SUMPRODUCT('calcA'!$D$90:$EQ$90,$DB33:$IO33,$IQ33:$OD33)*1000+SUMPRODUCT('calcA'!$D$90:$EQ$90,$DB33:$IO33+$ZQ33:$AFD33,$AFF33:$AKS33),SUMPRODUCT('calcA'!$D$90:$EQ$90,$DB33:$IO33*1001+$ZQ33:$AFD33))*100+31)</f>
        <v/>
      </c>
      <c r="CR33">
        <f>IF(OR(BC33=1,calcA!$A$6=0),1000000000,IF('calcA'!$JF$41=1,0,100000000)+IF('calcA'!$IQ$41=2,SUMPRODUCT('calcA'!$D$91:$EQ$91,$DB33:$IO33,$IQ33:$OD33)*1000+SUMPRODUCT('calcA'!$D$91:$EQ$91,$DB33:$IO33+$ZQ33:$AFD33,$AFF33:$AKS33),SUMPRODUCT('calcA'!$D$91:$EQ$91,$DB33:$IO33*1001+$ZQ33:$AFD33))*100+32)</f>
        <v/>
      </c>
      <c r="CS33">
        <f>IF(OR(BD33=1,calcA!$A$6=0),1000000000,IF('calcA'!$JF$42=1,0,100000000)+IF('calcA'!$IQ$42=2,SUMPRODUCT('calcA'!$D$92:$EQ$92,$DB33:$IO33,$IQ33:$OD33)*1000+SUMPRODUCT('calcA'!$D$92:$EQ$92,$DB33:$IO33+$ZQ33:$AFD33,$AFF33:$AKS33),SUMPRODUCT('calcA'!$D$92:$EQ$92,$DB33:$IO33*1001+$ZQ33:$AFD33))*100+33)</f>
        <v/>
      </c>
      <c r="CT33">
        <f>IF(OR(BE33=1,calcA!$A$6=0),1000000000,IF('calcA'!$JF$43=1,0,100000000)+IF('calcA'!$IQ$43=2,SUMPRODUCT('calcA'!$D$93:$EQ$93,$DB33:$IO33,$IQ33:$OD33)*1000+SUMPRODUCT('calcA'!$D$93:$EQ$93,$DB33:$IO33+$ZQ33:$AFD33,$AFF33:$AKS33),SUMPRODUCT('calcA'!$D$93:$EQ$93,$DB33:$IO33*1001+$ZQ33:$AFD33))*100+34)</f>
        <v/>
      </c>
      <c r="CU33">
        <f>IF(OR(BF33=1,calcA!$A$6=0),1000000000,IF('calcA'!$JF$44=1,0,100000000)+IF('calcA'!$IQ$44=2,SUMPRODUCT('calcA'!$D$94:$EQ$94,$DB33:$IO33,$IQ33:$OD33)*1000+SUMPRODUCT('calcA'!$D$94:$EQ$94,$DB33:$IO33+$ZQ33:$AFD33,$AFF33:$AKS33),SUMPRODUCT('calcA'!$D$94:$EQ$94,$DB33:$IO33*1001+$ZQ33:$AFD33))*100+35)</f>
        <v/>
      </c>
      <c r="CV33">
        <f>IF(OR(BG33=1,calcA!$A$6=0),1000000000,IF('calcA'!$JF$45=1,0,100000000)+IF('calcA'!$IQ$45=2,SUMPRODUCT('calcA'!$D$95:$EQ$95,$DB33:$IO33,$IQ33:$OD33)*1000+SUMPRODUCT('calcA'!$D$95:$EQ$95,$DB33:$IO33+$ZQ33:$AFD33,$AFF33:$AKS33),SUMPRODUCT('calcA'!$D$95:$EQ$95,$DB33:$IO33*1001+$ZQ33:$AFD33))*100+36)</f>
        <v/>
      </c>
      <c r="CW33">
        <f>IF(OR(BH33=1,calcA!$A$6=0),1000000000,IF('calcA'!$JF$46=1,0,100000000)+IF('calcA'!$IQ$46=2,SUMPRODUCT('calcA'!$D$96:$EQ$96,$DB33:$IO33,$IQ33:$OD33)*1000+SUMPRODUCT('calcA'!$D$96:$EQ$96,$DB33:$IO33+$ZQ33:$AFD33,$AFF33:$AKS33),SUMPRODUCT('calcA'!$D$96:$EQ$96,$DB33:$IO33*1001+$ZQ33:$AFD33))*100+37)</f>
        <v/>
      </c>
      <c r="CX33">
        <f>IF(OR(BI33=1,calcA!$A$6=0),1000000000,IF('calcA'!$JF$47=1,0,100000000)+IF('calcA'!$IQ$47=2,SUMPRODUCT('calcA'!$D$97:$EQ$97,$DB33:$IO33,$IQ33:$OD33)*1000+SUMPRODUCT('calcA'!$D$97:$EQ$97,$DB33:$IO33+$ZQ33:$AFD33,$AFF33:$AKS33),SUMPRODUCT('calcA'!$D$97:$EQ$97,$DB33:$IO33*1001+$ZQ33:$AFD33))*100+38)</f>
        <v/>
      </c>
      <c r="CY33">
        <f>IF(OR(BJ33=1,calcA!$A$6=0),1000000000,IF('calcA'!$JF$48=1,0,100000000)+IF('calcA'!$IQ$48=2,SUMPRODUCT('calcA'!$D$98:$EQ$98,$DB33:$IO33,$IQ33:$OD33)*1000+SUMPRODUCT('calcA'!$D$98:$EQ$98,$DB33:$IO33+$ZQ33:$AFD33,$AFF33:$AKS33),SUMPRODUCT('calcA'!$D$98:$EQ$98,$DB33:$IO33*1001+$ZQ33:$AFD33))*100+39)</f>
        <v/>
      </c>
      <c r="CZ33">
        <f>IF(OR(BK33=1,calcA!$A$6=0),1000000000,IF('calcA'!$JF$49=1,0,100000000)+IF('calcA'!$IQ$49=2,SUMPRODUCT('calcA'!$D$99:$EQ$99,$DB33:$IO33,$IQ33:$OD33)*1000+SUMPRODUCT('calcA'!$D$99:$EQ$99,$DB33:$IO33+$ZQ33:$AFD33,$AFF33:$AKS33),SUMPRODUCT('calcA'!$D$99:$EQ$99,$DB33:$IO33*1001+$ZQ33:$AFD33))*100+40)</f>
        <v/>
      </c>
      <c r="DB33">
        <f>DB32*IF(OR($C32=1,$G32=1),0,1)</f>
        <v/>
      </c>
      <c r="DC33">
        <f>DC32*IF(OR($C32=2,$G32=2),0,1)</f>
        <v/>
      </c>
      <c r="DD33">
        <f>DD32*IF(OR($C32=3,$G32=3),0,1)</f>
        <v/>
      </c>
      <c r="DE33">
        <f>DE32*IF(OR($C32=4,$G32=4),0,1)</f>
        <v/>
      </c>
      <c r="DF33">
        <f>DF32*IF(OR($C32=5,$G32=5),0,1)</f>
        <v/>
      </c>
      <c r="DG33">
        <f>DG32*IF(OR($C32=6,$G32=6),0,1)</f>
        <v/>
      </c>
      <c r="DH33">
        <f>DH32*IF(OR($C32=7,$G32=7),0,1)</f>
        <v/>
      </c>
      <c r="DI33">
        <f>DI32*IF(OR($C32=8,$G32=8),0,1)</f>
        <v/>
      </c>
      <c r="DJ33">
        <f>DJ32*IF(OR($C32=9,$G32=9),0,1)</f>
        <v/>
      </c>
      <c r="DK33">
        <f>DK32*IF(OR($C32=10,$G32=10),0,1)</f>
        <v/>
      </c>
      <c r="DL33">
        <f>DL32*IF(OR($C32=11,$G32=11),0,1)</f>
        <v/>
      </c>
      <c r="DM33">
        <f>DM32*IF(OR($C32=12,$G32=12),0,1)</f>
        <v/>
      </c>
      <c r="DN33">
        <f>DN32*IF(OR($C32=13,$G32=13),0,1)</f>
        <v/>
      </c>
      <c r="DO33">
        <f>DO32*IF(OR($C32=14,$G32=14),0,1)</f>
        <v/>
      </c>
      <c r="DP33">
        <f>DP32*IF(OR($C32=15,$G32=15),0,1)</f>
        <v/>
      </c>
      <c r="DQ33">
        <f>DQ32*IF(OR($C32=16,$G32=16),0,1)</f>
        <v/>
      </c>
      <c r="DR33">
        <f>DR32*IF(OR($C32=17,$G32=17),0,1)</f>
        <v/>
      </c>
      <c r="DS33">
        <f>DS32*IF(OR($C32=18,$G32=18),0,1)</f>
        <v/>
      </c>
      <c r="DT33">
        <f>DT32*IF(OR($C32=19,$G32=19),0,1)</f>
        <v/>
      </c>
      <c r="DU33">
        <f>DU32*IF(OR($C32=20,$G32=20),0,1)</f>
        <v/>
      </c>
      <c r="DV33">
        <f>DV32*IF(OR($C32=21,$G32=21),0,1)</f>
        <v/>
      </c>
      <c r="DW33">
        <f>DW32*IF(OR($C32=22,$G32=22),0,1)</f>
        <v/>
      </c>
      <c r="DX33">
        <f>DX32*IF(OR($C32=23,$G32=23),0,1)</f>
        <v/>
      </c>
      <c r="DY33">
        <f>DY32*IF(OR($C32=24,$G32=24),0,1)</f>
        <v/>
      </c>
      <c r="DZ33">
        <f>DZ32*IF(OR($C32=25,$G32=25),0,1)</f>
        <v/>
      </c>
      <c r="EA33">
        <f>EA32*IF(OR($C32=26,$G32=26),0,1)</f>
        <v/>
      </c>
      <c r="EB33">
        <f>EB32*IF(OR($C32=27,$G32=27),0,1)</f>
        <v/>
      </c>
      <c r="EC33">
        <f>EC32*IF(OR($C32=28,$G32=28),0,1)</f>
        <v/>
      </c>
      <c r="ED33">
        <f>ED32*IF(OR($C32=29,$G32=29),0,1)</f>
        <v/>
      </c>
      <c r="EE33">
        <f>EE32*IF(OR($C32=30,$G32=30),0,1)</f>
        <v/>
      </c>
      <c r="EF33">
        <f>EF32*IF(OR($C32=31,$G32=31),0,1)</f>
        <v/>
      </c>
      <c r="EG33">
        <f>EG32*IF(OR($C32=32,$G32=32),0,1)</f>
        <v/>
      </c>
      <c r="EH33">
        <f>EH32*IF(OR($C32=33,$G32=33),0,1)</f>
        <v/>
      </c>
      <c r="EI33">
        <f>EI32*IF(OR($C32=34,$G32=34),0,1)</f>
        <v/>
      </c>
      <c r="EJ33">
        <f>EJ32*IF(OR($C32=35,$G32=35),0,1)</f>
        <v/>
      </c>
      <c r="EK33">
        <f>EK32*IF(OR($C32=36,$G32=36),0,1)</f>
        <v/>
      </c>
      <c r="EL33">
        <f>EL32*IF(OR($C32=37,$G32=37),0,1)</f>
        <v/>
      </c>
      <c r="EM33">
        <f>EM32*IF(OR($C32=38,$G32=38),0,1)</f>
        <v/>
      </c>
      <c r="EN33">
        <f>EN32*IF(OR($C32=39,$G32=39),0,1)</f>
        <v/>
      </c>
      <c r="EO33">
        <f>EO32*IF(OR($C32=40,$G32=40),0,1)</f>
        <v/>
      </c>
      <c r="EP33">
        <f>EP32*IF(OR($C32=41,$G32=41),0,1)</f>
        <v/>
      </c>
      <c r="EQ33">
        <f>EQ32*IF(OR($C32=42,$G32=42),0,1)</f>
        <v/>
      </c>
      <c r="ER33">
        <f>ER32*IF(OR($C32=43,$G32=43),0,1)</f>
        <v/>
      </c>
      <c r="ES33">
        <f>ES32*IF(OR($C32=44,$G32=44),0,1)</f>
        <v/>
      </c>
      <c r="ET33">
        <f>ET32*IF(OR($C32=45,$G32=45),0,1)</f>
        <v/>
      </c>
      <c r="EU33">
        <f>EU32*IF(OR($C32=46,$G32=46),0,1)</f>
        <v/>
      </c>
      <c r="EV33">
        <f>EV32*IF(OR($C32=47,$G32=47),0,1)</f>
        <v/>
      </c>
      <c r="EW33">
        <f>EW32*IF(OR($C32=48,$G32=48),0,1)</f>
        <v/>
      </c>
      <c r="EX33">
        <f>EX32*IF(OR($C32=49,$G32=49),0,1)</f>
        <v/>
      </c>
      <c r="EY33">
        <f>EY32*IF(OR($C32=50,$G32=50),0,1)</f>
        <v/>
      </c>
      <c r="EZ33">
        <f>EZ32*IF(OR($C32=51,$G32=51),0,1)</f>
        <v/>
      </c>
      <c r="FA33">
        <f>FA32*IF(OR($C32=52,$G32=52),0,1)</f>
        <v/>
      </c>
      <c r="FB33">
        <f>FB32*IF(OR($C32=53,$G32=53),0,1)</f>
        <v/>
      </c>
      <c r="FC33">
        <f>FC32*IF(OR($C32=54,$G32=54),0,1)</f>
        <v/>
      </c>
      <c r="FD33">
        <f>FD32*IF(OR($C32=55,$G32=55),0,1)</f>
        <v/>
      </c>
      <c r="FE33">
        <f>FE32*IF(OR($C32=56,$G32=56),0,1)</f>
        <v/>
      </c>
      <c r="FF33">
        <f>FF32*IF(OR($C32=57,$G32=57),0,1)</f>
        <v/>
      </c>
      <c r="FG33">
        <f>FG32*IF(OR($C32=58,$G32=58),0,1)</f>
        <v/>
      </c>
      <c r="FH33">
        <f>FH32*IF(OR($C32=59,$G32=59),0,1)</f>
        <v/>
      </c>
      <c r="FI33">
        <f>FI32*IF(OR($C32=60,$G32=60),0,1)</f>
        <v/>
      </c>
      <c r="FJ33">
        <f>FJ32*IF(OR($C32=61,$G32=61),0,1)</f>
        <v/>
      </c>
      <c r="FK33">
        <f>FK32*IF(OR($C32=62,$G32=62),0,1)</f>
        <v/>
      </c>
      <c r="FL33">
        <f>FL32*IF(OR($C32=63,$G32=63),0,1)</f>
        <v/>
      </c>
      <c r="FM33">
        <f>FM32*IF(OR($C32=64,$G32=64),0,1)</f>
        <v/>
      </c>
      <c r="FN33">
        <f>FN32*IF(OR($C32=65,$G32=65),0,1)</f>
        <v/>
      </c>
      <c r="FO33">
        <f>FO32*IF(OR($C32=66,$G32=66),0,1)</f>
        <v/>
      </c>
      <c r="FP33">
        <f>FP32*IF(OR($C32=67,$G32=67),0,1)</f>
        <v/>
      </c>
      <c r="FQ33">
        <f>FQ32*IF(OR($C32=68,$G32=68),0,1)</f>
        <v/>
      </c>
      <c r="FR33">
        <f>FR32*IF(OR($C32=69,$G32=69),0,1)</f>
        <v/>
      </c>
      <c r="FS33">
        <f>FS32*IF(OR($C32=70,$G32=70),0,1)</f>
        <v/>
      </c>
      <c r="FT33">
        <f>FT32*IF(OR($C32=71,$G32=71),0,1)</f>
        <v/>
      </c>
      <c r="FU33">
        <f>FU32*IF(OR($C32=72,$G32=72),0,1)</f>
        <v/>
      </c>
      <c r="FV33">
        <f>FV32*IF(OR($C32=73,$G32=73),0,1)</f>
        <v/>
      </c>
      <c r="FW33">
        <f>FW32*IF(OR($C32=74,$G32=74),0,1)</f>
        <v/>
      </c>
      <c r="FX33">
        <f>FX32*IF(OR($C32=75,$G32=75),0,1)</f>
        <v/>
      </c>
      <c r="FY33">
        <f>FY32*IF(OR($C32=76,$G32=76),0,1)</f>
        <v/>
      </c>
      <c r="FZ33">
        <f>FZ32*IF(OR($C32=77,$G32=77),0,1)</f>
        <v/>
      </c>
      <c r="GA33">
        <f>GA32*IF(OR($C32=78,$G32=78),0,1)</f>
        <v/>
      </c>
      <c r="GB33">
        <f>GB32*IF(OR($C32=79,$G32=79),0,1)</f>
        <v/>
      </c>
      <c r="GC33">
        <f>GC32*IF(OR($C32=80,$G32=80),0,1)</f>
        <v/>
      </c>
      <c r="GD33">
        <f>GD32*IF(OR($C32=81,$G32=81),0,1)</f>
        <v/>
      </c>
      <c r="GE33">
        <f>GE32*IF(OR($C32=82,$G32=82),0,1)</f>
        <v/>
      </c>
      <c r="GF33">
        <f>GF32*IF(OR($C32=83,$G32=83),0,1)</f>
        <v/>
      </c>
      <c r="GG33">
        <f>GG32*IF(OR($C32=84,$G32=84),0,1)</f>
        <v/>
      </c>
      <c r="GH33">
        <f>GH32*IF(OR($C32=85,$G32=85),0,1)</f>
        <v/>
      </c>
      <c r="GI33">
        <f>GI32*IF(OR($C32=86,$G32=86),0,1)</f>
        <v/>
      </c>
      <c r="GJ33">
        <f>GJ32*IF(OR($C32=87,$G32=87),0,1)</f>
        <v/>
      </c>
      <c r="GK33">
        <f>GK32*IF(OR($C32=88,$G32=88),0,1)</f>
        <v/>
      </c>
      <c r="GL33">
        <f>GL32*IF(OR($C32=89,$G32=89),0,1)</f>
        <v/>
      </c>
      <c r="GM33">
        <f>GM32*IF(OR($C32=90,$G32=90),0,1)</f>
        <v/>
      </c>
      <c r="GN33">
        <f>GN32*IF(OR($C32=91,$G32=91),0,1)</f>
        <v/>
      </c>
      <c r="GO33">
        <f>GO32*IF(OR($C32=92,$G32=92),0,1)</f>
        <v/>
      </c>
      <c r="GP33">
        <f>GP32*IF(OR($C32=93,$G32=93),0,1)</f>
        <v/>
      </c>
      <c r="GQ33">
        <f>GQ32*IF(OR($C32=94,$G32=94),0,1)</f>
        <v/>
      </c>
      <c r="GR33">
        <f>GR32*IF(OR($C32=95,$G32=95),0,1)</f>
        <v/>
      </c>
      <c r="GS33">
        <f>GS32*IF(OR($C32=96,$G32=96),0,1)</f>
        <v/>
      </c>
      <c r="GT33">
        <f>GT32*IF(OR($C32=97,$G32=97),0,1)</f>
        <v/>
      </c>
      <c r="GU33">
        <f>GU32*IF(OR($C32=98,$G32=98),0,1)</f>
        <v/>
      </c>
      <c r="GV33">
        <f>GV32*IF(OR($C32=99,$G32=99),0,1)</f>
        <v/>
      </c>
      <c r="GW33">
        <f>GW32*IF(OR($C32=100,$G32=100),0,1)</f>
        <v/>
      </c>
      <c r="GX33">
        <f>GX32*IF(OR($C32=101,$G32=101),0,1)</f>
        <v/>
      </c>
      <c r="GY33">
        <f>GY32*IF(OR($C32=102,$G32=102),0,1)</f>
        <v/>
      </c>
      <c r="GZ33">
        <f>GZ32*IF(OR($C32=103,$G32=103),0,1)</f>
        <v/>
      </c>
      <c r="HA33">
        <f>HA32*IF(OR($C32=104,$G32=104),0,1)</f>
        <v/>
      </c>
      <c r="HB33">
        <f>HB32*IF(OR($C32=105,$G32=105),0,1)</f>
        <v/>
      </c>
      <c r="HC33">
        <f>HC32*IF(OR($C32=106,$G32=106),0,1)</f>
        <v/>
      </c>
      <c r="HD33">
        <f>HD32*IF(OR($C32=107,$G32=107),0,1)</f>
        <v/>
      </c>
      <c r="HE33">
        <f>HE32*IF(OR($C32=108,$G32=108),0,1)</f>
        <v/>
      </c>
      <c r="HF33">
        <f>HF32*IF(OR($C32=109,$G32=109),0,1)</f>
        <v/>
      </c>
      <c r="HG33">
        <f>HG32*IF(OR($C32=110,$G32=110),0,1)</f>
        <v/>
      </c>
      <c r="HH33">
        <f>HH32*IF(OR($C32=111,$G32=111),0,1)</f>
        <v/>
      </c>
      <c r="HI33">
        <f>HI32*IF(OR($C32=112,$G32=112),0,1)</f>
        <v/>
      </c>
      <c r="HJ33">
        <f>HJ32*IF(OR($C32=113,$G32=113),0,1)</f>
        <v/>
      </c>
      <c r="HK33">
        <f>HK32*IF(OR($C32=114,$G32=114),0,1)</f>
        <v/>
      </c>
      <c r="HL33">
        <f>HL32*IF(OR($C32=115,$G32=115),0,1)</f>
        <v/>
      </c>
      <c r="HM33">
        <f>HM32*IF(OR($C32=116,$G32=116),0,1)</f>
        <v/>
      </c>
      <c r="HN33">
        <f>HN32*IF(OR($C32=117,$G32=117),0,1)</f>
        <v/>
      </c>
      <c r="HO33">
        <f>HO32*IF(OR($C32=118,$G32=118),0,1)</f>
        <v/>
      </c>
      <c r="HP33">
        <f>HP32*IF(OR($C32=119,$G32=119),0,1)</f>
        <v/>
      </c>
      <c r="HQ33">
        <f>HQ32*IF(OR($C32=120,$G32=120),0,1)</f>
        <v/>
      </c>
      <c r="HR33">
        <f>HR32*IF(OR($C32=121,$G32=121),0,1)</f>
        <v/>
      </c>
      <c r="HS33">
        <f>HS32*IF(OR($C32=122,$G32=122),0,1)</f>
        <v/>
      </c>
      <c r="HT33">
        <f>HT32*IF(OR($C32=123,$G32=123),0,1)</f>
        <v/>
      </c>
      <c r="HU33">
        <f>HU32*IF(OR($C32=124,$G32=124),0,1)</f>
        <v/>
      </c>
      <c r="HV33">
        <f>HV32*IF(OR($C32=125,$G32=125),0,1)</f>
        <v/>
      </c>
      <c r="HW33">
        <f>HW32*IF(OR($C32=126,$G32=126),0,1)</f>
        <v/>
      </c>
      <c r="HX33">
        <f>HX32*IF(OR($C32=127,$G32=127),0,1)</f>
        <v/>
      </c>
      <c r="HY33">
        <f>HY32*IF(OR($C32=128,$G32=128),0,1)</f>
        <v/>
      </c>
      <c r="HZ33">
        <f>HZ32*IF(OR($C32=129,$G32=129),0,1)</f>
        <v/>
      </c>
      <c r="IA33">
        <f>IA32*IF(OR($C32=130,$G32=130),0,1)</f>
        <v/>
      </c>
      <c r="IB33">
        <f>IB32*IF(OR($C32=131,$G32=131),0,1)</f>
        <v/>
      </c>
      <c r="IC33">
        <f>IC32*IF(OR($C32=132,$G32=132),0,1)</f>
        <v/>
      </c>
      <c r="ID33">
        <f>ID32*IF(OR($C32=133,$G32=133),0,1)</f>
        <v/>
      </c>
      <c r="IE33">
        <f>IE32*IF(OR($C32=134,$G32=134),0,1)</f>
        <v/>
      </c>
      <c r="IF33">
        <f>IF32*IF(OR($C32=135,$G32=135),0,1)</f>
        <v/>
      </c>
      <c r="IG33">
        <f>IG32*IF(OR($C32=136,$G32=136),0,1)</f>
        <v/>
      </c>
      <c r="IH33">
        <f>IH32*IF(OR($C32=137,$G32=137),0,1)</f>
        <v/>
      </c>
      <c r="II33">
        <f>II32*IF(OR($C32=138,$G32=138),0,1)</f>
        <v/>
      </c>
      <c r="IJ33">
        <f>IJ32*IF(OR($C32=139,$G32=139),0,1)</f>
        <v/>
      </c>
      <c r="IK33">
        <f>IK32*IF(OR($C32=140,$G32=140),0,1)</f>
        <v/>
      </c>
      <c r="IL33">
        <f>IL32*IF(OR($C32=141,$G32=141),0,1)</f>
        <v/>
      </c>
      <c r="IM33">
        <f>IM32*IF(OR($C32=142,$G32=142),0,1)</f>
        <v/>
      </c>
      <c r="IN33">
        <f>IN32*IF(OR($C32=143,$G32=143),0,1)</f>
        <v/>
      </c>
      <c r="IO33">
        <f>IO32*IF(OR($C32=144,$G32=144),0,1)</f>
        <v/>
      </c>
      <c r="IQ33">
        <f>IF('calcA'!D$106=1,DC33,1)</f>
        <v/>
      </c>
      <c r="IR33">
        <f>IF('calcA'!E$106=1,DD33,1)</f>
        <v/>
      </c>
      <c r="IS33">
        <f>IF('calcA'!F$106=1,DE33,1)</f>
        <v/>
      </c>
      <c r="IT33">
        <f>IF('calcA'!G$106=1,DF33,1)</f>
        <v/>
      </c>
      <c r="IU33">
        <f>IF('calcA'!H$106=1,DG33,1)</f>
        <v/>
      </c>
      <c r="IV33">
        <f>IF('calcA'!I$106=1,DH33,1)</f>
        <v/>
      </c>
      <c r="IW33">
        <f>IF('calcA'!J$106=1,DI33,1)</f>
        <v/>
      </c>
      <c r="IX33">
        <f>IF('calcA'!K$106=1,DJ33,1)</f>
        <v/>
      </c>
      <c r="IY33">
        <f>IF('calcA'!L$106=1,DK33,1)</f>
        <v/>
      </c>
      <c r="IZ33">
        <f>IF('calcA'!M$106=1,DL33,1)</f>
        <v/>
      </c>
      <c r="JA33">
        <f>IF('calcA'!N$106=1,DM33,1)</f>
        <v/>
      </c>
      <c r="JB33">
        <f>IF('calcA'!O$106=1,DN33,1)</f>
        <v/>
      </c>
      <c r="JC33">
        <f>IF('calcA'!P$106=1,DO33,1)</f>
        <v/>
      </c>
      <c r="JD33">
        <f>IF('calcA'!Q$106=1,DP33,1)</f>
        <v/>
      </c>
      <c r="JE33">
        <f>IF('calcA'!R$106=1,DQ33,1)</f>
        <v/>
      </c>
      <c r="JF33">
        <f>IF('calcA'!S$106=1,DR33,1)</f>
        <v/>
      </c>
      <c r="JG33">
        <f>IF('calcA'!T$106=1,DS33,1)</f>
        <v/>
      </c>
      <c r="JH33">
        <f>IF('calcA'!U$106=1,DT33,1)</f>
        <v/>
      </c>
      <c r="JI33">
        <f>IF('calcA'!V$106=1,DU33,1)</f>
        <v/>
      </c>
      <c r="JJ33">
        <f>IF('calcA'!W$106=1,DV33,1)</f>
        <v/>
      </c>
      <c r="JK33">
        <f>IF('calcA'!X$106=1,DW33,1)</f>
        <v/>
      </c>
      <c r="JL33">
        <f>IF('calcA'!Y$106=1,DX33,1)</f>
        <v/>
      </c>
      <c r="JM33">
        <f>IF('calcA'!Z$106=1,DY33,1)</f>
        <v/>
      </c>
      <c r="JN33">
        <f>IF('calcA'!AA$106=1,DZ33,1)</f>
        <v/>
      </c>
      <c r="JO33">
        <f>IF('calcA'!AB$106=1,EA33,1)</f>
        <v/>
      </c>
      <c r="JP33">
        <f>IF('calcA'!AC$106=1,EB33,1)</f>
        <v/>
      </c>
      <c r="JQ33">
        <f>IF('calcA'!AD$106=1,EC33,1)</f>
        <v/>
      </c>
      <c r="JR33">
        <f>IF('calcA'!AE$106=1,ED33,1)</f>
        <v/>
      </c>
      <c r="JS33">
        <f>IF('calcA'!AF$106=1,EE33,1)</f>
        <v/>
      </c>
      <c r="JT33">
        <f>IF('calcA'!AG$106=1,EF33,1)</f>
        <v/>
      </c>
      <c r="JU33">
        <f>IF('calcA'!AH$106=1,EG33,1)</f>
        <v/>
      </c>
      <c r="JV33">
        <f>IF('calcA'!AI$106=1,EH33,1)</f>
        <v/>
      </c>
      <c r="JW33">
        <f>IF('calcA'!AJ$106=1,EI33,1)</f>
        <v/>
      </c>
      <c r="JX33">
        <f>IF('calcA'!AK$106=1,EJ33,1)</f>
        <v/>
      </c>
      <c r="JY33">
        <f>IF('calcA'!AL$106=1,EK33,1)</f>
        <v/>
      </c>
      <c r="JZ33">
        <f>IF('calcA'!AM$106=1,EL33,1)</f>
        <v/>
      </c>
      <c r="KA33">
        <f>IF('calcA'!AN$106=1,EM33,1)</f>
        <v/>
      </c>
      <c r="KB33">
        <f>IF('calcA'!AO$106=1,EN33,1)</f>
        <v/>
      </c>
      <c r="KC33">
        <f>IF('calcA'!AP$106=1,EO33,1)</f>
        <v/>
      </c>
      <c r="KD33">
        <f>IF('calcA'!AQ$106=1,EP33,1)</f>
        <v/>
      </c>
      <c r="KE33">
        <f>IF('calcA'!AR$106=1,EQ33,1)</f>
        <v/>
      </c>
      <c r="KF33">
        <f>IF('calcA'!AS$106=1,ER33,1)</f>
        <v/>
      </c>
      <c r="KG33">
        <f>IF('calcA'!AT$106=1,ES33,1)</f>
        <v/>
      </c>
      <c r="KH33">
        <f>IF('calcA'!AU$106=1,ET33,1)</f>
        <v/>
      </c>
      <c r="KI33">
        <f>IF('calcA'!AV$106=1,EU33,1)</f>
        <v/>
      </c>
      <c r="KJ33">
        <f>IF('calcA'!AW$106=1,EV33,1)</f>
        <v/>
      </c>
      <c r="KK33">
        <f>IF('calcA'!AX$106=1,EW33,1)</f>
        <v/>
      </c>
      <c r="KL33">
        <f>IF('calcA'!AY$106=1,EX33,1)</f>
        <v/>
      </c>
      <c r="KM33">
        <f>IF('calcA'!AZ$106=1,EY33,1)</f>
        <v/>
      </c>
      <c r="KN33">
        <f>IF('calcA'!BA$106=1,EZ33,1)</f>
        <v/>
      </c>
      <c r="KO33">
        <f>IF('calcA'!BB$106=1,FA33,1)</f>
        <v/>
      </c>
      <c r="KP33">
        <f>IF('calcA'!BC$106=1,FB33,1)</f>
        <v/>
      </c>
      <c r="KQ33">
        <f>IF('calcA'!BD$106=1,FC33,1)</f>
        <v/>
      </c>
      <c r="KR33">
        <f>IF('calcA'!BE$106=1,FD33,1)</f>
        <v/>
      </c>
      <c r="KS33">
        <f>IF('calcA'!BF$106=1,FE33,1)</f>
        <v/>
      </c>
      <c r="KT33">
        <f>IF('calcA'!BG$106=1,FF33,1)</f>
        <v/>
      </c>
      <c r="KU33">
        <f>IF('calcA'!BH$106=1,FG33,1)</f>
        <v/>
      </c>
      <c r="KV33">
        <f>IF('calcA'!BI$106=1,FH33,1)</f>
        <v/>
      </c>
      <c r="KW33">
        <f>IF('calcA'!BJ$106=1,FI33,1)</f>
        <v/>
      </c>
      <c r="KX33">
        <f>IF('calcA'!BK$106=1,FJ33,1)</f>
        <v/>
      </c>
      <c r="KY33">
        <f>IF('calcA'!BL$106=1,FK33,1)</f>
        <v/>
      </c>
      <c r="KZ33">
        <f>IF('calcA'!BM$106=1,FL33,1)</f>
        <v/>
      </c>
      <c r="LA33">
        <f>IF('calcA'!BN$106=1,FM33,1)</f>
        <v/>
      </c>
      <c r="LB33">
        <f>IF('calcA'!BO$106=1,FN33,1)</f>
        <v/>
      </c>
      <c r="LC33">
        <f>IF('calcA'!BP$106=1,FO33,1)</f>
        <v/>
      </c>
      <c r="LD33">
        <f>IF('calcA'!BQ$106=1,FP33,1)</f>
        <v/>
      </c>
      <c r="LE33">
        <f>IF('calcA'!BR$106=1,FQ33,1)</f>
        <v/>
      </c>
      <c r="LF33">
        <f>IF('calcA'!BS$106=1,FR33,1)</f>
        <v/>
      </c>
      <c r="LG33">
        <f>IF('calcA'!BT$106=1,FS33,1)</f>
        <v/>
      </c>
      <c r="LH33">
        <f>IF('calcA'!BU$106=1,FT33,1)</f>
        <v/>
      </c>
      <c r="LI33">
        <f>IF('calcA'!BV$106=1,FU33,1)</f>
        <v/>
      </c>
      <c r="LJ33">
        <f>IF('calcA'!BW$106=1,FV33,1)</f>
        <v/>
      </c>
      <c r="LK33">
        <f>IF('calcA'!BX$106=1,FW33,1)</f>
        <v/>
      </c>
      <c r="LL33">
        <f>IF('calcA'!BY$106=1,FX33,1)</f>
        <v/>
      </c>
      <c r="LM33">
        <f>IF('calcA'!BZ$106=1,FY33,1)</f>
        <v/>
      </c>
      <c r="LN33">
        <f>IF('calcA'!CA$106=1,FZ33,1)</f>
        <v/>
      </c>
      <c r="LO33">
        <f>IF('calcA'!CB$106=1,GA33,1)</f>
        <v/>
      </c>
      <c r="LP33">
        <f>IF('calcA'!CC$106=1,GB33,1)</f>
        <v/>
      </c>
      <c r="LQ33">
        <f>IF('calcA'!CD$106=1,GC33,1)</f>
        <v/>
      </c>
      <c r="LR33">
        <f>IF('calcA'!CE$106=1,GD33,1)</f>
        <v/>
      </c>
      <c r="LS33">
        <f>IF('calcA'!CF$106=1,GE33,1)</f>
        <v/>
      </c>
      <c r="LT33">
        <f>IF('calcA'!CG$106=1,GF33,1)</f>
        <v/>
      </c>
      <c r="LU33">
        <f>IF('calcA'!CH$106=1,GG33,1)</f>
        <v/>
      </c>
      <c r="LV33">
        <f>IF('calcA'!CI$106=1,GH33,1)</f>
        <v/>
      </c>
      <c r="LW33">
        <f>IF('calcA'!CJ$106=1,GI33,1)</f>
        <v/>
      </c>
      <c r="LX33">
        <f>IF('calcA'!CK$106=1,GJ33,1)</f>
        <v/>
      </c>
      <c r="LY33">
        <f>IF('calcA'!CL$106=1,GK33,1)</f>
        <v/>
      </c>
      <c r="LZ33">
        <f>IF('calcA'!CM$106=1,GL33,1)</f>
        <v/>
      </c>
      <c r="MA33">
        <f>IF('calcA'!CN$106=1,GM33,1)</f>
        <v/>
      </c>
      <c r="MB33">
        <f>IF('calcA'!CO$106=1,GN33,1)</f>
        <v/>
      </c>
      <c r="MC33">
        <f>IF('calcA'!CP$106=1,GO33,1)</f>
        <v/>
      </c>
      <c r="MD33">
        <f>IF('calcA'!CQ$106=1,GP33,1)</f>
        <v/>
      </c>
      <c r="ME33">
        <f>IF('calcA'!CR$106=1,GQ33,1)</f>
        <v/>
      </c>
      <c r="MF33">
        <f>IF('calcA'!CS$106=1,GR33,1)</f>
        <v/>
      </c>
      <c r="MG33">
        <f>IF('calcA'!CT$106=1,GS33,1)</f>
        <v/>
      </c>
      <c r="MH33">
        <f>IF('calcA'!CU$106=1,GT33,1)</f>
        <v/>
      </c>
      <c r="MI33">
        <f>IF('calcA'!CV$106=1,GU33,1)</f>
        <v/>
      </c>
      <c r="MJ33">
        <f>IF('calcA'!CW$106=1,GV33,1)</f>
        <v/>
      </c>
      <c r="MK33">
        <f>IF('calcA'!CX$106=1,GW33,1)</f>
        <v/>
      </c>
      <c r="ML33">
        <f>IF('calcA'!CY$106=1,GX33,1)</f>
        <v/>
      </c>
      <c r="MM33">
        <f>IF('calcA'!CZ$106=1,GY33,1)</f>
        <v/>
      </c>
      <c r="MN33">
        <f>IF('calcA'!DA$106=1,GZ33,1)</f>
        <v/>
      </c>
      <c r="MO33">
        <f>IF('calcA'!DB$106=1,HA33,1)</f>
        <v/>
      </c>
      <c r="MP33">
        <f>IF('calcA'!DC$106=1,HB33,1)</f>
        <v/>
      </c>
      <c r="MQ33">
        <f>IF('calcA'!DD$106=1,HC33,1)</f>
        <v/>
      </c>
      <c r="MR33">
        <f>IF('calcA'!DE$106=1,HD33,1)</f>
        <v/>
      </c>
      <c r="MS33">
        <f>IF('calcA'!DF$106=1,HE33,1)</f>
        <v/>
      </c>
      <c r="MT33">
        <f>IF('calcA'!DG$106=1,HF33,1)</f>
        <v/>
      </c>
      <c r="MU33">
        <f>IF('calcA'!DH$106=1,HG33,1)</f>
        <v/>
      </c>
      <c r="MV33">
        <f>IF('calcA'!DI$106=1,HH33,1)</f>
        <v/>
      </c>
      <c r="MW33">
        <f>IF('calcA'!DJ$106=1,HI33,1)</f>
        <v/>
      </c>
      <c r="MX33">
        <f>IF('calcA'!DK$106=1,HJ33,1)</f>
        <v/>
      </c>
      <c r="MY33">
        <f>IF('calcA'!DL$106=1,HK33,1)</f>
        <v/>
      </c>
      <c r="MZ33">
        <f>IF('calcA'!DM$106=1,HL33,1)</f>
        <v/>
      </c>
      <c r="NA33">
        <f>IF('calcA'!DN$106=1,HM33,1)</f>
        <v/>
      </c>
      <c r="NB33">
        <f>IF('calcA'!DO$106=1,HN33,1)</f>
        <v/>
      </c>
      <c r="NC33">
        <f>IF('calcA'!DP$106=1,HO33,1)</f>
        <v/>
      </c>
      <c r="ND33">
        <f>IF('calcA'!DQ$106=1,HP33,1)</f>
        <v/>
      </c>
      <c r="NE33">
        <f>IF('calcA'!DR$106=1,HQ33,1)</f>
        <v/>
      </c>
      <c r="NF33">
        <f>IF('calcA'!DS$106=1,HR33,1)</f>
        <v/>
      </c>
      <c r="NG33">
        <f>IF('calcA'!DT$106=1,HS33,1)</f>
        <v/>
      </c>
      <c r="NH33">
        <f>IF('calcA'!DU$106=1,HT33,1)</f>
        <v/>
      </c>
      <c r="NI33">
        <f>IF('calcA'!DV$106=1,HU33,1)</f>
        <v/>
      </c>
      <c r="NJ33">
        <f>IF('calcA'!DW$106=1,HV33,1)</f>
        <v/>
      </c>
      <c r="NK33">
        <f>IF('calcA'!DX$106=1,HW33,1)</f>
        <v/>
      </c>
      <c r="NL33">
        <f>IF('calcA'!DY$106=1,HX33,1)</f>
        <v/>
      </c>
      <c r="NM33">
        <f>IF('calcA'!DZ$106=1,HY33,1)</f>
        <v/>
      </c>
      <c r="NN33">
        <f>IF('calcA'!EA$106=1,HZ33,1)</f>
        <v/>
      </c>
      <c r="NO33">
        <f>IF('calcA'!EB$106=1,IA33,1)</f>
        <v/>
      </c>
      <c r="NP33">
        <f>IF('calcA'!EC$106=1,IB33,1)</f>
        <v/>
      </c>
      <c r="NQ33">
        <f>IF('calcA'!ED$106=1,IC33,1)</f>
        <v/>
      </c>
      <c r="NR33">
        <f>IF('calcA'!EE$106=1,ID33,1)</f>
        <v/>
      </c>
      <c r="NS33">
        <f>IF('calcA'!EF$106=1,IE33,1)</f>
        <v/>
      </c>
      <c r="NT33">
        <f>IF('calcA'!EG$106=1,IF33,1)</f>
        <v/>
      </c>
      <c r="NU33">
        <f>IF('calcA'!EH$106=1,IG33,1)</f>
        <v/>
      </c>
      <c r="NV33">
        <f>IF('calcA'!EI$106=1,IH33,1)</f>
        <v/>
      </c>
      <c r="NW33">
        <f>IF('calcA'!EJ$106=1,II33,1)</f>
        <v/>
      </c>
      <c r="NX33">
        <f>IF('calcA'!EK$106=1,IJ33,1)</f>
        <v/>
      </c>
      <c r="NY33">
        <f>IF('calcA'!EL$106=1,IK33,1)</f>
        <v/>
      </c>
      <c r="NZ33">
        <f>IF('calcA'!EM$106=1,IL33,1)</f>
        <v/>
      </c>
      <c r="OA33">
        <f>IF('calcA'!EN$106=1,IM33,1)</f>
        <v/>
      </c>
      <c r="OB33">
        <f>IF('calcA'!EO$106=1,IN33,1)</f>
        <v/>
      </c>
      <c r="OC33">
        <f>IF('calcA'!EP$106=1,IO33,1)</f>
        <v/>
      </c>
      <c r="OD33" t="n">
        <v>1</v>
      </c>
      <c r="OF33">
        <f>IF($B33=0,1000000000,IF(INDEX('calcA'!$D$60:$EQ$99,$B33,1)*IF($W33=1,DB33+ZQ33,DB33)=1,IF(AND($E33=2,IF($W33=1,AFF33,IQ33)=0),1000000000,IF($V33=1,INDEX('calcA'!$D$130:$EQ$169,$B33,1)+IF(AND($E33=1,IQ33=0),25,0),IF($F33&gt;0,INDEX('calcA'!D$110:D$114,$F33+1)+IF(AND($E33=1,IQ33=0),1000,0),MIN(TU33,20)*400+(IF('calcA'!D$106=1,1-DC33,0))*150+11+'calcA'!D$5*100000+IF(AND($E33=1,IQ33=0),50000,0))+IF($H33=1,INDEX('calcA'!$D$180:$EQ$219,$B33,1)*4000,0)-IF(AND($U33=1,'calcA'!D$117=1,DC33=0),2000,0))),1000000000))</f>
        <v/>
      </c>
      <c r="OG33">
        <f>IF($B33=0,1000000000,IF(INDEX('calcA'!$D$60:$EQ$99,$B33,2)*IF($W33=1,DC33+ZR33,DC33)=1,IF(AND($E33=2,IF($W33=1,AFG33,IR33)=0),1000000000,IF($V33=1,INDEX('calcA'!$D$130:$EQ$169,$B33,2)+IF(AND($E33=1,IR33=0),25,0),IF($F33&gt;0,INDEX('calcA'!E$110:E$114,$F33+1)+IF(AND($E33=1,IR33=0),1000,0),MIN(TU33,20)*400+(IF('calcA'!D$106=1,1-DB33,0)+IF('calcA'!E$106=1,1-DD33,0))*150+21+'calcA'!E$5*100000+IF(AND($E33=1,IR33=0),50000,0))+IF($H33=1,INDEX('calcA'!$D$180:$EQ$219,$B33,2)*4000,0)-IF(AND('calcA'!D$117=1,UB33&gt;0),2000,0)-IF(AND($U33=1,'calcA'!E$117=1,DD33=0),2000,0))),1000000000))</f>
        <v/>
      </c>
      <c r="OH33">
        <f>IF($B33=0,1000000000,IF(INDEX('calcA'!$D$60:$EQ$99,$B33,3)*IF($W33=1,DD33+ZS33,DD33)=1,IF(AND($E33=2,IF($W33=1,AFH33,IS33)=0),1000000000,IF($V33=1,INDEX('calcA'!$D$130:$EQ$169,$B33,3)+IF(AND($E33=1,IS33=0),25,0),IF($F33&gt;0,INDEX('calcA'!F$110:F$114,$F33+1)+IF(AND($E33=1,IS33=0),1000,0),MIN(TU33,20)*400+(IF('calcA'!E$106=1,1-DC33,0)+IF('calcA'!F$106=1,1-DE33,0))*150+31+'calcA'!F$5*100000+IF(AND($E33=1,IS33=0),50000,0))+IF($H33=1,INDEX('calcA'!$D$180:$EQ$219,$B33,3)*4000,0)-IF(AND('calcA'!E$117=1,UC33&gt;0),2000,0)-IF(AND($U33=1,'calcA'!F$117=1,DE33=0),2000,0))),1000000000))</f>
        <v/>
      </c>
      <c r="OI33">
        <f>IF($B33=0,1000000000,IF(INDEX('calcA'!$D$60:$EQ$99,$B33,4)*IF($W33=1,DE33+ZT33,DE33)=1,IF(AND($E33=2,IF($W33=1,AFI33,IT33)=0),1000000000,IF($V33=1,INDEX('calcA'!$D$130:$EQ$169,$B33,4)+IF(AND($E33=1,IT33=0),25,0),IF($F33&gt;0,INDEX('calcA'!G$110:G$114,$F33+1)+IF(AND($E33=1,IT33=0),1000,0),MIN(TU33,20)*400+(IF('calcA'!F$106=1,1-DD33,0)+IF('calcA'!G$106=1,1-DF33,0))*150+41+'calcA'!G$5*100000+IF(AND($E33=1,IT33=0),50000,0))+IF($H33=1,INDEX('calcA'!$D$180:$EQ$219,$B33,4)*4000,0)-IF(AND('calcA'!F$117=1,UD33&gt;0),2000,0)-IF(AND($U33=1,'calcA'!G$117=1,DF33=0),2000,0))),1000000000))</f>
        <v/>
      </c>
      <c r="OJ33">
        <f>IF($B33=0,1000000000,IF(INDEX('calcA'!$D$60:$EQ$99,$B33,5)*IF($W33=1,DF33+ZU33,DF33)=1,IF(AND($E33=2,IF($W33=1,AFJ33,IU33)=0),1000000000,IF($V33=1,INDEX('calcA'!$D$130:$EQ$169,$B33,5)+IF(AND($E33=1,IU33=0),25,0),IF($F33&gt;0,INDEX('calcA'!H$110:H$114,$F33+1)+IF(AND($E33=1,IU33=0),1000,0),MIN(TU33,20)*400+(IF('calcA'!G$106=1,1-DE33,0)+IF('calcA'!H$106=1,1-DG33,0))*150+51+'calcA'!H$5*100000+IF(AND($E33=1,IU33=0),50000,0))+IF($H33=1,INDEX('calcA'!$D$180:$EQ$219,$B33,5)*4000,0)-IF(AND('calcA'!G$117=1,UE33&gt;0),2000,0)-IF(AND($U33=1,'calcA'!H$117=1,DG33=0),2000,0))),1000000000))</f>
        <v/>
      </c>
      <c r="OK33">
        <f>IF($B33=0,1000000000,IF(INDEX('calcA'!$D$60:$EQ$99,$B33,6)*IF($W33=1,DG33+ZV33,DG33)=1,IF(AND($E33=2,IF($W33=1,AFK33,IV33)=0),1000000000,IF($V33=1,INDEX('calcA'!$D$130:$EQ$169,$B33,6)+IF(AND($E33=1,IV33=0),25,0),IF($F33&gt;0,INDEX('calcA'!I$110:I$114,$F33+1)+IF(AND($E33=1,IV33=0),1000,0),MIN(TU33,20)*400+(IF('calcA'!H$106=1,1-DF33,0)+IF('calcA'!I$106=1,1-DH33,0))*150+61+'calcA'!I$5*100000+IF(AND($E33=1,IV33=0),50000,0))+IF($H33=1,INDEX('calcA'!$D$180:$EQ$219,$B33,6)*4000,0)-IF(AND('calcA'!H$117=1,UF33&gt;0),2000,0)-IF(AND($U33=1,'calcA'!I$117=1,DH33=0),2000,0))),1000000000))</f>
        <v/>
      </c>
      <c r="OL33">
        <f>IF($B33=0,1000000000,IF(INDEX('calcA'!$D$60:$EQ$99,$B33,7)*IF($W33=1,DH33+ZW33,DH33)=1,IF(AND($E33=2,IF($W33=1,AFL33,IW33)=0),1000000000,IF($V33=1,INDEX('calcA'!$D$130:$EQ$169,$B33,7)+IF(AND($E33=1,IW33=0),25,0),IF($F33&gt;0,INDEX('calcA'!J$110:J$114,$F33+1)+IF(AND($E33=1,IW33=0),1000,0),MIN(TU33,20)*400+(IF('calcA'!I$106=1,1-DG33,0)+IF('calcA'!J$106=1,1-DI33,0))*150+71+'calcA'!J$5*100000+IF(AND($E33=1,IW33=0),50000,0))+IF($H33=1,INDEX('calcA'!$D$180:$EQ$219,$B33,7)*4000,0)-IF(AND('calcA'!I$117=1,UG33&gt;0),2000,0)-IF(AND($U33=1,'calcA'!J$117=1,DI33=0),2000,0))),1000000000))</f>
        <v/>
      </c>
      <c r="OM33">
        <f>IF($B33=0,1000000000,IF(INDEX('calcA'!$D$60:$EQ$99,$B33,8)*IF($W33=1,DI33+ZX33,DI33)=1,IF(AND($E33=2,IF($W33=1,AFM33,IX33)=0),1000000000,IF($V33=1,INDEX('calcA'!$D$130:$EQ$169,$B33,8)+IF(AND($E33=1,IX33=0),25,0),IF($F33&gt;0,INDEX('calcA'!K$110:K$114,$F33+1)+IF(AND($E33=1,IX33=0),1000,0),MIN(TU33,20)*400+(IF('calcA'!J$106=1,1-DH33,0)+IF('calcA'!K$106=1,1-DJ33,0))*150+81+'calcA'!K$5*100000+IF(AND($E33=1,IX33=0),50000,0))+IF($H33=1,INDEX('calcA'!$D$180:$EQ$219,$B33,8)*4000,0)-IF(AND('calcA'!J$117=1,UH33&gt;0),2000,0)-IF(AND($U33=1,'calcA'!K$117=1,DJ33=0),2000,0))),1000000000))</f>
        <v/>
      </c>
      <c r="ON33">
        <f>IF($B33=0,1000000000,IF(INDEX('calcA'!$D$60:$EQ$99,$B33,9)*IF($W33=1,DJ33+ZY33,DJ33)=1,IF(AND($E33=2,IF($W33=1,AFN33,IY33)=0),1000000000,IF($V33=1,INDEX('calcA'!$D$130:$EQ$169,$B33,9)+IF(AND($E33=1,IY33=0),25,0),IF($F33&gt;0,INDEX('calcA'!L$110:L$114,$F33+1)+IF(AND($E33=1,IY33=0),1000,0),MIN(TU33,20)*400+(IF('calcA'!K$106=1,1-DI33,0)+IF('calcA'!L$106=1,1-DK33,0))*150+91+'calcA'!L$5*100000+IF(AND($E33=1,IY33=0),50000,0))+IF($H33=1,INDEX('calcA'!$D$180:$EQ$219,$B33,9)*4000,0)-IF(AND('calcA'!K$117=1,UI33&gt;0),2000,0)-IF(AND($U33=1,'calcA'!L$117=1,DK33=0),2000,0))),1000000000))</f>
        <v/>
      </c>
      <c r="OO33">
        <f>IF($B33=0,1000000000,IF(INDEX('calcA'!$D$60:$EQ$99,$B33,10)*IF($W33=1,DK33+ZZ33,DK33)=1,IF(AND($E33=2,IF($W33=1,AFO33,IZ33)=0),1000000000,IF($V33=1,INDEX('calcA'!$D$130:$EQ$169,$B33,10)+IF(AND($E33=1,IZ33=0),25,0),IF($F33&gt;0,INDEX('calcA'!M$110:M$114,$F33+1)+IF(AND($E33=1,IZ33=0),1000,0),MIN(TU33,20)*400+(IF('calcA'!L$106=1,1-DJ33,0)+IF('calcA'!M$106=1,1-DL33,0))*150+101+'calcA'!M$5*100000+IF(AND($E33=1,IZ33=0),50000,0))+IF($H33=1,INDEX('calcA'!$D$180:$EQ$219,$B33,10)*4000,0)-IF(AND('calcA'!L$117=1,UJ33&gt;0),2000,0)-IF(AND($U33=1,'calcA'!M$117=1,DL33=0),2000,0))),1000000000))</f>
        <v/>
      </c>
      <c r="OP33">
        <f>IF($B33=0,1000000000,IF(INDEX('calcA'!$D$60:$EQ$99,$B33,11)*IF($W33=1,DL33+AAA33,DL33)=1,IF(AND($E33=2,IF($W33=1,AFP33,JA33)=0),1000000000,IF($V33=1,INDEX('calcA'!$D$130:$EQ$169,$B33,11)+IF(AND($E33=1,JA33=0),25,0),IF($F33&gt;0,INDEX('calcA'!N$110:N$114,$F33+1)+IF(AND($E33=1,JA33=0),1000,0),MIN(TU33,20)*400+(IF('calcA'!M$106=1,1-DK33,0)+IF('calcA'!N$106=1,1-DM33,0))*150+111+'calcA'!N$5*100000+IF(AND($E33=1,JA33=0),50000,0))+IF($H33=1,INDEX('calcA'!$D$180:$EQ$219,$B33,11)*4000,0)-IF(AND('calcA'!M$117=1,UK33&gt;0),2000,0)-IF(AND($U33=1,'calcA'!N$117=1,DM33=0),2000,0))),1000000000))</f>
        <v/>
      </c>
      <c r="OQ33">
        <f>IF($B33=0,1000000000,IF(INDEX('calcA'!$D$60:$EQ$99,$B33,12)*IF($W33=1,DM33+AAB33,DM33)=1,IF(AND($E33=2,IF($W33=1,AFQ33,JB33)=0),1000000000,IF($V33=1,INDEX('calcA'!$D$130:$EQ$169,$B33,12)+IF(AND($E33=1,JB33=0),25,0),IF($F33&gt;0,INDEX('calcA'!O$110:O$114,$F33+1)+IF(AND($E33=1,JB33=0),1000,0),MIN(TU33,20)*400+(IF('calcA'!N$106=1,1-DL33,0)+IF('calcA'!O$106=1,1-DN33,0))*150+121+'calcA'!O$5*100000+IF(AND($E33=1,JB33=0),50000,0))+IF($H33=1,INDEX('calcA'!$D$180:$EQ$219,$B33,12)*4000,0)-IF(AND('calcA'!N$117=1,UL33&gt;0),2000,0)-IF(AND($U33=1,'calcA'!O$117=1,DN33=0),2000,0))),1000000000))</f>
        <v/>
      </c>
      <c r="OR33">
        <f>IF($B33=0,1000000000,IF(INDEX('calcA'!$D$60:$EQ$99,$B33,13)*IF($W33=1,DN33+AAC33,DN33)=1,IF(AND($E33=2,IF($W33=1,AFR33,JC33)=0),1000000000,IF($V33=1,INDEX('calcA'!$D$130:$EQ$169,$B33,13)+IF(AND($E33=1,JC33=0),25,0),IF($F33&gt;0,INDEX('calcA'!P$110:P$114,$F33+1)+IF(AND($E33=1,JC33=0),1000,0),MIN(TU33,20)*400+(IF('calcA'!O$106=1,1-DM33,0)+IF('calcA'!P$106=1,1-DO33,0))*150+131+'calcA'!P$5*100000+IF(AND($E33=1,JC33=0),50000,0))+IF($H33=1,INDEX('calcA'!$D$180:$EQ$219,$B33,13)*4000,0)-IF(AND('calcA'!O$117=1,UM33&gt;0),2000,0)-IF(AND($U33=1,'calcA'!P$117=1,DO33=0),2000,0))),1000000000))</f>
        <v/>
      </c>
      <c r="OS33">
        <f>IF($B33=0,1000000000,IF(INDEX('calcA'!$D$60:$EQ$99,$B33,14)*IF($W33=1,DO33+AAD33,DO33)=1,IF(AND($E33=2,IF($W33=1,AFS33,JD33)=0),1000000000,IF($V33=1,INDEX('calcA'!$D$130:$EQ$169,$B33,14)+IF(AND($E33=1,JD33=0),25,0),IF($F33&gt;0,INDEX('calcA'!Q$110:Q$114,$F33+1)+IF(AND($E33=1,JD33=0),1000,0),MIN(TU33,20)*400+(IF('calcA'!P$106=1,1-DN33,0)+IF('calcA'!Q$106=1,1-DP33,0))*150+141+'calcA'!Q$5*100000+IF(AND($E33=1,JD33=0),50000,0))+IF($H33=1,INDEX('calcA'!$D$180:$EQ$219,$B33,14)*4000,0)-IF(AND('calcA'!P$117=1,UN33&gt;0),2000,0)-IF(AND($U33=1,'calcA'!Q$117=1,DP33=0),2000,0))),1000000000))</f>
        <v/>
      </c>
      <c r="OT33">
        <f>IF($B33=0,1000000000,IF(INDEX('calcA'!$D$60:$EQ$99,$B33,15)*IF($W33=1,DP33+AAE33,DP33)=1,IF(AND($E33=2,IF($W33=1,AFT33,JE33)=0),1000000000,IF($V33=1,INDEX('calcA'!$D$130:$EQ$169,$B33,15)+IF(AND($E33=1,JE33=0),25,0),IF($F33&gt;0,INDEX('calcA'!R$110:R$114,$F33+1)+IF(AND($E33=1,JE33=0),1000,0),MIN(TU33,20)*400+(IF('calcA'!Q$106=1,1-DO33,0)+IF('calcA'!R$106=1,1-DQ33,0))*150+151+'calcA'!R$5*100000+IF(AND($E33=1,JE33=0),50000,0))+IF($H33=1,INDEX('calcA'!$D$180:$EQ$219,$B33,15)*4000,0)-IF(AND('calcA'!Q$117=1,UO33&gt;0),2000,0)-IF(AND($U33=1,'calcA'!R$117=1,DQ33=0),2000,0))),1000000000))</f>
        <v/>
      </c>
      <c r="OU33">
        <f>IF($B33=0,1000000000,IF(INDEX('calcA'!$D$60:$EQ$99,$B33,16)*IF($W33=1,DQ33+AAF33,DQ33)=1,IF(AND($E33=2,IF($W33=1,AFU33,JF33)=0),1000000000,IF($V33=1,INDEX('calcA'!$D$130:$EQ$169,$B33,16)+IF(AND($E33=1,JF33=0),25,0),IF($F33&gt;0,INDEX('calcA'!S$110:S$114,$F33+1)+IF(AND($E33=1,JF33=0),1000,0),MIN(TU33,20)*400+(IF('calcA'!R$106=1,1-DP33,0)+IF('calcA'!S$106=1,1-DR33,0))*150+161+'calcA'!S$5*100000+IF(AND($E33=1,JF33=0),50000,0))+IF($H33=1,INDEX('calcA'!$D$180:$EQ$219,$B33,16)*4000,0)-IF(AND('calcA'!R$117=1,UP33&gt;0),2000,0)-IF(AND($U33=1,'calcA'!S$117=1,DR33=0),2000,0))),1000000000))</f>
        <v/>
      </c>
      <c r="OV33">
        <f>IF($B33=0,1000000000,IF(INDEX('calcA'!$D$60:$EQ$99,$B33,17)*IF($W33=1,DR33+AAG33,DR33)=1,IF(AND($E33=2,IF($W33=1,AFV33,JG33)=0),1000000000,IF($V33=1,INDEX('calcA'!$D$130:$EQ$169,$B33,17)+IF(AND($E33=1,JG33=0),25,0),IF($F33&gt;0,INDEX('calcA'!T$110:T$114,$F33+1)+IF(AND($E33=1,JG33=0),1000,0),MIN(TU33,20)*400+(IF('calcA'!S$106=1,1-DQ33,0)+IF('calcA'!T$106=1,1-DS33,0))*150+171+'calcA'!T$5*100000+IF(AND($E33=1,JG33=0),50000,0))+IF($H33=1,INDEX('calcA'!$D$180:$EQ$219,$B33,17)*4000,0)-IF(AND('calcA'!S$117=1,UQ33&gt;0),2000,0)-IF(AND($U33=1,'calcA'!T$117=1,DS33=0),2000,0))),1000000000))</f>
        <v/>
      </c>
      <c r="OW33">
        <f>IF($B33=0,1000000000,IF(INDEX('calcA'!$D$60:$EQ$99,$B33,18)*IF($W33=1,DS33+AAH33,DS33)=1,IF(AND($E33=2,IF($W33=1,AFW33,JH33)=0),1000000000,IF($V33=1,INDEX('calcA'!$D$130:$EQ$169,$B33,18)+IF(AND($E33=1,JH33=0),25,0),IF($F33&gt;0,INDEX('calcA'!U$110:U$114,$F33+1)+IF(AND($E33=1,JH33=0),1000,0),MIN(TU33,20)*400+(IF('calcA'!T$106=1,1-DR33,0)+IF('calcA'!U$106=1,1-DT33,0))*150+181+'calcA'!U$5*100000+IF(AND($E33=1,JH33=0),50000,0))+IF($H33=1,INDEX('calcA'!$D$180:$EQ$219,$B33,18)*4000,0)-IF(AND('calcA'!T$117=1,UR33&gt;0),2000,0)-IF(AND($U33=1,'calcA'!U$117=1,DT33=0),2000,0))),1000000000))</f>
        <v/>
      </c>
      <c r="OX33">
        <f>IF($B33=0,1000000000,IF(INDEX('calcA'!$D$60:$EQ$99,$B33,19)*IF($W33=1,DT33+AAI33,DT33)=1,IF(AND($E33=2,IF($W33=1,AFX33,JI33)=0),1000000000,IF($V33=1,INDEX('calcA'!$D$130:$EQ$169,$B33,19)+IF(AND($E33=1,JI33=0),25,0),IF($F33&gt;0,INDEX('calcA'!V$110:V$114,$F33+1)+IF(AND($E33=1,JI33=0),1000,0),MIN(TU33,20)*400+(IF('calcA'!U$106=1,1-DS33,0)+IF('calcA'!V$106=1,1-DU33,0))*150+191+'calcA'!V$5*100000+IF(AND($E33=1,JI33=0),50000,0))+IF($H33=1,INDEX('calcA'!$D$180:$EQ$219,$B33,19)*4000,0)-IF(AND('calcA'!U$117=1,US33&gt;0),2000,0)-IF(AND($U33=1,'calcA'!V$117=1,DU33=0),2000,0))),1000000000))</f>
        <v/>
      </c>
      <c r="OY33">
        <f>IF($B33=0,1000000000,IF(INDEX('calcA'!$D$60:$EQ$99,$B33,20)*IF($W33=1,DU33+AAJ33,DU33)=1,IF(AND($E33=2,IF($W33=1,AFY33,JJ33)=0),1000000000,IF($V33=1,INDEX('calcA'!$D$130:$EQ$169,$B33,20)+IF(AND($E33=1,JJ33=0),25,0),IF($F33&gt;0,INDEX('calcA'!W$110:W$114,$F33+1)+IF(AND($E33=1,JJ33=0),1000,0),MIN(TU33,20)*400+(IF('calcA'!V$106=1,1-DT33,0)+IF('calcA'!W$106=1,1-DV33,0))*150+201+'calcA'!W$5*100000+IF(AND($E33=1,JJ33=0),50000,0))+IF($H33=1,INDEX('calcA'!$D$180:$EQ$219,$B33,20)*4000,0)-IF(AND('calcA'!V$117=1,UT33&gt;0),2000,0)-IF(AND($U33=1,'calcA'!W$117=1,DV33=0),2000,0))),1000000000))</f>
        <v/>
      </c>
      <c r="OZ33">
        <f>IF($B33=0,1000000000,IF(INDEX('calcA'!$D$60:$EQ$99,$B33,21)*IF($W33=1,DV33+AAK33,DV33)=1,IF(AND($E33=2,IF($W33=1,AFZ33,JK33)=0),1000000000,IF($V33=1,INDEX('calcA'!$D$130:$EQ$169,$B33,21)+IF(AND($E33=1,JK33=0),25,0),IF($F33&gt;0,INDEX('calcA'!X$110:X$114,$F33+1)+IF(AND($E33=1,JK33=0),1000,0),MIN(TU33,20)*400+(IF('calcA'!W$106=1,1-DU33,0)+IF('calcA'!X$106=1,1-DW33,0))*150+211+'calcA'!X$5*100000+IF(AND($E33=1,JK33=0),50000,0))+IF($H33=1,INDEX('calcA'!$D$180:$EQ$219,$B33,21)*4000,0)-IF(AND('calcA'!W$117=1,UU33&gt;0),2000,0)-IF(AND($U33=1,'calcA'!X$117=1,DW33=0),2000,0))),1000000000))</f>
        <v/>
      </c>
      <c r="PA33">
        <f>IF($B33=0,1000000000,IF(INDEX('calcA'!$D$60:$EQ$99,$B33,22)*IF($W33=1,DW33+AAL33,DW33)=1,IF(AND($E33=2,IF($W33=1,AGA33,JL33)=0),1000000000,IF($V33=1,INDEX('calcA'!$D$130:$EQ$169,$B33,22)+IF(AND($E33=1,JL33=0),25,0),IF($F33&gt;0,INDEX('calcA'!Y$110:Y$114,$F33+1)+IF(AND($E33=1,JL33=0),1000,0),MIN(TU33,20)*400+(IF('calcA'!X$106=1,1-DV33,0)+IF('calcA'!Y$106=1,1-DX33,0))*150+221+'calcA'!Y$5*100000+IF(AND($E33=1,JL33=0),50000,0))+IF($H33=1,INDEX('calcA'!$D$180:$EQ$219,$B33,22)*4000,0)-IF(AND('calcA'!X$117=1,UV33&gt;0),2000,0)-IF(AND($U33=1,'calcA'!Y$117=1,DX33=0),2000,0))),1000000000))</f>
        <v/>
      </c>
      <c r="PB33">
        <f>IF($B33=0,1000000000,IF(INDEX('calcA'!$D$60:$EQ$99,$B33,23)*IF($W33=1,DX33+AAM33,DX33)=1,IF(AND($E33=2,IF($W33=1,AGB33,JM33)=0),1000000000,IF($V33=1,INDEX('calcA'!$D$130:$EQ$169,$B33,23)+IF(AND($E33=1,JM33=0),25,0),IF($F33&gt;0,INDEX('calcA'!Z$110:Z$114,$F33+1)+IF(AND($E33=1,JM33=0),1000,0),MIN(TU33,20)*400+(IF('calcA'!Y$106=1,1-DW33,0)+IF('calcA'!Z$106=1,1-DY33,0))*150+231+'calcA'!Z$5*100000+IF(AND($E33=1,JM33=0),50000,0))+IF($H33=1,INDEX('calcA'!$D$180:$EQ$219,$B33,23)*4000,0)-IF(AND('calcA'!Y$117=1,UW33&gt;0),2000,0)-IF(AND($U33=1,'calcA'!Z$117=1,DY33=0),2000,0))),1000000000))</f>
        <v/>
      </c>
      <c r="PC33">
        <f>IF($B33=0,1000000000,IF(INDEX('calcA'!$D$60:$EQ$99,$B33,24)*IF($W33=1,DY33+AAN33,DY33)=1,IF(AND($E33=2,IF($W33=1,AGC33,JN33)=0),1000000000,IF($V33=1,INDEX('calcA'!$D$130:$EQ$169,$B33,24)+IF(AND($E33=1,JN33=0),25,0),IF($F33&gt;0,INDEX('calcA'!AA$110:AA$114,$F33+1)+IF(AND($E33=1,JN33=0),1000,0),MIN(TU33,20)*400+(IF('calcA'!Z$106=1,1-DX33,0))*150+241+'calcA'!AA$5*100000+IF(AND($E33=1,JN33=0),50000,0))+IF($H33=1,INDEX('calcA'!$D$180:$EQ$219,$B33,24)*4000,0)-IF(AND('calcA'!Z$117=1,UX33&gt;0),2000,0))),1000000000))</f>
        <v/>
      </c>
      <c r="PD33">
        <f>IF($B33=0,1000000000,IF(INDEX('calcA'!$D$60:$EQ$99,$B33,25)*IF($W33=1,DZ33+AAO33,DZ33)=1,IF(AND($E33=2,IF($W33=1,AGD33,JO33)=0),1000000000,IF($V33=1,INDEX('calcA'!$D$130:$EQ$169,$B33,25)+IF(AND($E33=1,JO33=0),25,0),IF($F33&gt;0,INDEX('calcA'!AB$110:AB$114,$F33+1)+IF(AND($E33=1,JO33=0),1000,0),MIN(TV33,20)*400+(IF('calcA'!AB$106=1,1-EA33,0))*150+12+'calcA'!AB$5*100000+IF(AND($E33=1,JO33=0),50000,0))+IF($H33=1,INDEX('calcA'!$D$180:$EQ$219,$B33,25)*4000,0)-IF(AND($U33=1,'calcA'!AB$117=1,EA33=0),2000,0))),1000000000))</f>
        <v/>
      </c>
      <c r="PE33">
        <f>IF($B33=0,1000000000,IF(INDEX('calcA'!$D$60:$EQ$99,$B33,26)*IF($W33=1,EA33+AAP33,EA33)=1,IF(AND($E33=2,IF($W33=1,AGE33,JP33)=0),1000000000,IF($V33=1,INDEX('calcA'!$D$130:$EQ$169,$B33,26)+IF(AND($E33=1,JP33=0),25,0),IF($F33&gt;0,INDEX('calcA'!AC$110:AC$114,$F33+1)+IF(AND($E33=1,JP33=0),1000,0),MIN(TV33,20)*400+(IF('calcA'!AB$106=1,1-DZ33,0)+IF('calcA'!AC$106=1,1-EB33,0))*150+22+'calcA'!AC$5*100000+IF(AND($E33=1,JP33=0),50000,0))+IF($H33=1,INDEX('calcA'!$D$180:$EQ$219,$B33,26)*4000,0)-IF(AND('calcA'!AB$117=1,UZ33&gt;0),2000,0)-IF(AND($U33=1,'calcA'!AC$117=1,EB33=0),2000,0))),1000000000))</f>
        <v/>
      </c>
      <c r="PF33">
        <f>IF($B33=0,1000000000,IF(INDEX('calcA'!$D$60:$EQ$99,$B33,27)*IF($W33=1,EB33+AAQ33,EB33)=1,IF(AND($E33=2,IF($W33=1,AGF33,JQ33)=0),1000000000,IF($V33=1,INDEX('calcA'!$D$130:$EQ$169,$B33,27)+IF(AND($E33=1,JQ33=0),25,0),IF($F33&gt;0,INDEX('calcA'!AD$110:AD$114,$F33+1)+IF(AND($E33=1,JQ33=0),1000,0),MIN(TV33,20)*400+(IF('calcA'!AC$106=1,1-EA33,0)+IF('calcA'!AD$106=1,1-EC33,0))*150+32+'calcA'!AD$5*100000+IF(AND($E33=1,JQ33=0),50000,0))+IF($H33=1,INDEX('calcA'!$D$180:$EQ$219,$B33,27)*4000,0)-IF(AND('calcA'!AC$117=1,VA33&gt;0),2000,0)-IF(AND($U33=1,'calcA'!AD$117=1,EC33=0),2000,0))),1000000000))</f>
        <v/>
      </c>
      <c r="PG33">
        <f>IF($B33=0,1000000000,IF(INDEX('calcA'!$D$60:$EQ$99,$B33,28)*IF($W33=1,EC33+AAR33,EC33)=1,IF(AND($E33=2,IF($W33=1,AGG33,JR33)=0),1000000000,IF($V33=1,INDEX('calcA'!$D$130:$EQ$169,$B33,28)+IF(AND($E33=1,JR33=0),25,0),IF($F33&gt;0,INDEX('calcA'!AE$110:AE$114,$F33+1)+IF(AND($E33=1,JR33=0),1000,0),MIN(TV33,20)*400+(IF('calcA'!AD$106=1,1-EB33,0)+IF('calcA'!AE$106=1,1-ED33,0))*150+42+'calcA'!AE$5*100000+IF(AND($E33=1,JR33=0),50000,0))+IF($H33=1,INDEX('calcA'!$D$180:$EQ$219,$B33,28)*4000,0)-IF(AND('calcA'!AD$117=1,VB33&gt;0),2000,0)-IF(AND($U33=1,'calcA'!AE$117=1,ED33=0),2000,0))),1000000000))</f>
        <v/>
      </c>
      <c r="PH33">
        <f>IF($B33=0,1000000000,IF(INDEX('calcA'!$D$60:$EQ$99,$B33,29)*IF($W33=1,ED33+AAS33,ED33)=1,IF(AND($E33=2,IF($W33=1,AGH33,JS33)=0),1000000000,IF($V33=1,INDEX('calcA'!$D$130:$EQ$169,$B33,29)+IF(AND($E33=1,JS33=0),25,0),IF($F33&gt;0,INDEX('calcA'!AF$110:AF$114,$F33+1)+IF(AND($E33=1,JS33=0),1000,0),MIN(TV33,20)*400+(IF('calcA'!AE$106=1,1-EC33,0)+IF('calcA'!AF$106=1,1-EE33,0))*150+52+'calcA'!AF$5*100000+IF(AND($E33=1,JS33=0),50000,0))+IF($H33=1,INDEX('calcA'!$D$180:$EQ$219,$B33,29)*4000,0)-IF(AND('calcA'!AE$117=1,VC33&gt;0),2000,0)-IF(AND($U33=1,'calcA'!AF$117=1,EE33=0),2000,0))),1000000000))</f>
        <v/>
      </c>
      <c r="PI33">
        <f>IF($B33=0,1000000000,IF(INDEX('calcA'!$D$60:$EQ$99,$B33,30)*IF($W33=1,EE33+AAT33,EE33)=1,IF(AND($E33=2,IF($W33=1,AGI33,JT33)=0),1000000000,IF($V33=1,INDEX('calcA'!$D$130:$EQ$169,$B33,30)+IF(AND($E33=1,JT33=0),25,0),IF($F33&gt;0,INDEX('calcA'!AG$110:AG$114,$F33+1)+IF(AND($E33=1,JT33=0),1000,0),MIN(TV33,20)*400+(IF('calcA'!AF$106=1,1-ED33,0)+IF('calcA'!AG$106=1,1-EF33,0))*150+62+'calcA'!AG$5*100000+IF(AND($E33=1,JT33=0),50000,0))+IF($H33=1,INDEX('calcA'!$D$180:$EQ$219,$B33,30)*4000,0)-IF(AND('calcA'!AF$117=1,VD33&gt;0),2000,0)-IF(AND($U33=1,'calcA'!AG$117=1,EF33=0),2000,0))),1000000000))</f>
        <v/>
      </c>
      <c r="PJ33">
        <f>IF($B33=0,1000000000,IF(INDEX('calcA'!$D$60:$EQ$99,$B33,31)*IF($W33=1,EF33+AAU33,EF33)=1,IF(AND($E33=2,IF($W33=1,AGJ33,JU33)=0),1000000000,IF($V33=1,INDEX('calcA'!$D$130:$EQ$169,$B33,31)+IF(AND($E33=1,JU33=0),25,0),IF($F33&gt;0,INDEX('calcA'!AH$110:AH$114,$F33+1)+IF(AND($E33=1,JU33=0),1000,0),MIN(TV33,20)*400+(IF('calcA'!AG$106=1,1-EE33,0)+IF('calcA'!AH$106=1,1-EG33,0))*150+72+'calcA'!AH$5*100000+IF(AND($E33=1,JU33=0),50000,0))+IF($H33=1,INDEX('calcA'!$D$180:$EQ$219,$B33,31)*4000,0)-IF(AND('calcA'!AG$117=1,VE33&gt;0),2000,0)-IF(AND($U33=1,'calcA'!AH$117=1,EG33=0),2000,0))),1000000000))</f>
        <v/>
      </c>
      <c r="PK33">
        <f>IF($B33=0,1000000000,IF(INDEX('calcA'!$D$60:$EQ$99,$B33,32)*IF($W33=1,EG33+AAV33,EG33)=1,IF(AND($E33=2,IF($W33=1,AGK33,JV33)=0),1000000000,IF($V33=1,INDEX('calcA'!$D$130:$EQ$169,$B33,32)+IF(AND($E33=1,JV33=0),25,0),IF($F33&gt;0,INDEX('calcA'!AI$110:AI$114,$F33+1)+IF(AND($E33=1,JV33=0),1000,0),MIN(TV33,20)*400+(IF('calcA'!AH$106=1,1-EF33,0)+IF('calcA'!AI$106=1,1-EH33,0))*150+82+'calcA'!AI$5*100000+IF(AND($E33=1,JV33=0),50000,0))+IF($H33=1,INDEX('calcA'!$D$180:$EQ$219,$B33,32)*4000,0)-IF(AND('calcA'!AH$117=1,VF33&gt;0),2000,0)-IF(AND($U33=1,'calcA'!AI$117=1,EH33=0),2000,0))),1000000000))</f>
        <v/>
      </c>
      <c r="PL33">
        <f>IF($B33=0,1000000000,IF(INDEX('calcA'!$D$60:$EQ$99,$B33,33)*IF($W33=1,EH33+AAW33,EH33)=1,IF(AND($E33=2,IF($W33=1,AGL33,JW33)=0),1000000000,IF($V33=1,INDEX('calcA'!$D$130:$EQ$169,$B33,33)+IF(AND($E33=1,JW33=0),25,0),IF($F33&gt;0,INDEX('calcA'!AJ$110:AJ$114,$F33+1)+IF(AND($E33=1,JW33=0),1000,0),MIN(TV33,20)*400+(IF('calcA'!AI$106=1,1-EG33,0)+IF('calcA'!AJ$106=1,1-EI33,0))*150+92+'calcA'!AJ$5*100000+IF(AND($E33=1,JW33=0),50000,0))+IF($H33=1,INDEX('calcA'!$D$180:$EQ$219,$B33,33)*4000,0)-IF(AND('calcA'!AI$117=1,VG33&gt;0),2000,0)-IF(AND($U33=1,'calcA'!AJ$117=1,EI33=0),2000,0))),1000000000))</f>
        <v/>
      </c>
      <c r="PM33">
        <f>IF($B33=0,1000000000,IF(INDEX('calcA'!$D$60:$EQ$99,$B33,34)*IF($W33=1,EI33+AAX33,EI33)=1,IF(AND($E33=2,IF($W33=1,AGM33,JX33)=0),1000000000,IF($V33=1,INDEX('calcA'!$D$130:$EQ$169,$B33,34)+IF(AND($E33=1,JX33=0),25,0),IF($F33&gt;0,INDEX('calcA'!AK$110:AK$114,$F33+1)+IF(AND($E33=1,JX33=0),1000,0),MIN(TV33,20)*400+(IF('calcA'!AJ$106=1,1-EH33,0)+IF('calcA'!AK$106=1,1-EJ33,0))*150+102+'calcA'!AK$5*100000+IF(AND($E33=1,JX33=0),50000,0))+IF($H33=1,INDEX('calcA'!$D$180:$EQ$219,$B33,34)*4000,0)-IF(AND('calcA'!AJ$117=1,VH33&gt;0),2000,0)-IF(AND($U33=1,'calcA'!AK$117=1,EJ33=0),2000,0))),1000000000))</f>
        <v/>
      </c>
      <c r="PN33">
        <f>IF($B33=0,1000000000,IF(INDEX('calcA'!$D$60:$EQ$99,$B33,35)*IF($W33=1,EJ33+AAY33,EJ33)=1,IF(AND($E33=2,IF($W33=1,AGN33,JY33)=0),1000000000,IF($V33=1,INDEX('calcA'!$D$130:$EQ$169,$B33,35)+IF(AND($E33=1,JY33=0),25,0),IF($F33&gt;0,INDEX('calcA'!AL$110:AL$114,$F33+1)+IF(AND($E33=1,JY33=0),1000,0),MIN(TV33,20)*400+(IF('calcA'!AK$106=1,1-EI33,0)+IF('calcA'!AL$106=1,1-EK33,0))*150+112+'calcA'!AL$5*100000+IF(AND($E33=1,JY33=0),50000,0))+IF($H33=1,INDEX('calcA'!$D$180:$EQ$219,$B33,35)*4000,0)-IF(AND('calcA'!AK$117=1,VI33&gt;0),2000,0)-IF(AND($U33=1,'calcA'!AL$117=1,EK33=0),2000,0))),1000000000))</f>
        <v/>
      </c>
      <c r="PO33">
        <f>IF($B33=0,1000000000,IF(INDEX('calcA'!$D$60:$EQ$99,$B33,36)*IF($W33=1,EK33+AAZ33,EK33)=1,IF(AND($E33=2,IF($W33=1,AGO33,JZ33)=0),1000000000,IF($V33=1,INDEX('calcA'!$D$130:$EQ$169,$B33,36)+IF(AND($E33=1,JZ33=0),25,0),IF($F33&gt;0,INDEX('calcA'!AM$110:AM$114,$F33+1)+IF(AND($E33=1,JZ33=0),1000,0),MIN(TV33,20)*400+(IF('calcA'!AL$106=1,1-EJ33,0)+IF('calcA'!AM$106=1,1-EL33,0))*150+122+'calcA'!AM$5*100000+IF(AND($E33=1,JZ33=0),50000,0))+IF($H33=1,INDEX('calcA'!$D$180:$EQ$219,$B33,36)*4000,0)-IF(AND('calcA'!AL$117=1,VJ33&gt;0),2000,0)-IF(AND($U33=1,'calcA'!AM$117=1,EL33=0),2000,0))),1000000000))</f>
        <v/>
      </c>
      <c r="PP33">
        <f>IF($B33=0,1000000000,IF(INDEX('calcA'!$D$60:$EQ$99,$B33,37)*IF($W33=1,EL33+ABA33,EL33)=1,IF(AND($E33=2,IF($W33=1,AGP33,KA33)=0),1000000000,IF($V33=1,INDEX('calcA'!$D$130:$EQ$169,$B33,37)+IF(AND($E33=1,KA33=0),25,0),IF($F33&gt;0,INDEX('calcA'!AN$110:AN$114,$F33+1)+IF(AND($E33=1,KA33=0),1000,0),MIN(TV33,20)*400+(IF('calcA'!AM$106=1,1-EK33,0)+IF('calcA'!AN$106=1,1-EM33,0))*150+132+'calcA'!AN$5*100000+IF(AND($E33=1,KA33=0),50000,0))+IF($H33=1,INDEX('calcA'!$D$180:$EQ$219,$B33,37)*4000,0)-IF(AND('calcA'!AM$117=1,VK33&gt;0),2000,0)-IF(AND($U33=1,'calcA'!AN$117=1,EM33=0),2000,0))),1000000000))</f>
        <v/>
      </c>
      <c r="PQ33">
        <f>IF($B33=0,1000000000,IF(INDEX('calcA'!$D$60:$EQ$99,$B33,38)*IF($W33=1,EM33+ABB33,EM33)=1,IF(AND($E33=2,IF($W33=1,AGQ33,KB33)=0),1000000000,IF($V33=1,INDEX('calcA'!$D$130:$EQ$169,$B33,38)+IF(AND($E33=1,KB33=0),25,0),IF($F33&gt;0,INDEX('calcA'!AO$110:AO$114,$F33+1)+IF(AND($E33=1,KB33=0),1000,0),MIN(TV33,20)*400+(IF('calcA'!AN$106=1,1-EL33,0)+IF('calcA'!AO$106=1,1-EN33,0))*150+142+'calcA'!AO$5*100000+IF(AND($E33=1,KB33=0),50000,0))+IF($H33=1,INDEX('calcA'!$D$180:$EQ$219,$B33,38)*4000,0)-IF(AND('calcA'!AN$117=1,VL33&gt;0),2000,0)-IF(AND($U33=1,'calcA'!AO$117=1,EN33=0),2000,0))),1000000000))</f>
        <v/>
      </c>
      <c r="PR33">
        <f>IF($B33=0,1000000000,IF(INDEX('calcA'!$D$60:$EQ$99,$B33,39)*IF($W33=1,EN33+ABC33,EN33)=1,IF(AND($E33=2,IF($W33=1,AGR33,KC33)=0),1000000000,IF($V33=1,INDEX('calcA'!$D$130:$EQ$169,$B33,39)+IF(AND($E33=1,KC33=0),25,0),IF($F33&gt;0,INDEX('calcA'!AP$110:AP$114,$F33+1)+IF(AND($E33=1,KC33=0),1000,0),MIN(TV33,20)*400+(IF('calcA'!AO$106=1,1-EM33,0)+IF('calcA'!AP$106=1,1-EO33,0))*150+152+'calcA'!AP$5*100000+IF(AND($E33=1,KC33=0),50000,0))+IF($H33=1,INDEX('calcA'!$D$180:$EQ$219,$B33,39)*4000,0)-IF(AND('calcA'!AO$117=1,VM33&gt;0),2000,0)-IF(AND($U33=1,'calcA'!AP$117=1,EO33=0),2000,0))),1000000000))</f>
        <v/>
      </c>
      <c r="PS33">
        <f>IF($B33=0,1000000000,IF(INDEX('calcA'!$D$60:$EQ$99,$B33,40)*IF($W33=1,EO33+ABD33,EO33)=1,IF(AND($E33=2,IF($W33=1,AGS33,KD33)=0),1000000000,IF($V33=1,INDEX('calcA'!$D$130:$EQ$169,$B33,40)+IF(AND($E33=1,KD33=0),25,0),IF($F33&gt;0,INDEX('calcA'!AQ$110:AQ$114,$F33+1)+IF(AND($E33=1,KD33=0),1000,0),MIN(TV33,20)*400+(IF('calcA'!AP$106=1,1-EN33,0)+IF('calcA'!AQ$106=1,1-EP33,0))*150+162+'calcA'!AQ$5*100000+IF(AND($E33=1,KD33=0),50000,0))+IF($H33=1,INDEX('calcA'!$D$180:$EQ$219,$B33,40)*4000,0)-IF(AND('calcA'!AP$117=1,VN33&gt;0),2000,0)-IF(AND($U33=1,'calcA'!AQ$117=1,EP33=0),2000,0))),1000000000))</f>
        <v/>
      </c>
      <c r="PT33">
        <f>IF($B33=0,1000000000,IF(INDEX('calcA'!$D$60:$EQ$99,$B33,41)*IF($W33=1,EP33+ABE33,EP33)=1,IF(AND($E33=2,IF($W33=1,AGT33,KE33)=0),1000000000,IF($V33=1,INDEX('calcA'!$D$130:$EQ$169,$B33,41)+IF(AND($E33=1,KE33=0),25,0),IF($F33&gt;0,INDEX('calcA'!AR$110:AR$114,$F33+1)+IF(AND($E33=1,KE33=0),1000,0),MIN(TV33,20)*400+(IF('calcA'!AQ$106=1,1-EO33,0)+IF('calcA'!AR$106=1,1-EQ33,0))*150+172+'calcA'!AR$5*100000+IF(AND($E33=1,KE33=0),50000,0))+IF($H33=1,INDEX('calcA'!$D$180:$EQ$219,$B33,41)*4000,0)-IF(AND('calcA'!AQ$117=1,VO33&gt;0),2000,0)-IF(AND($U33=1,'calcA'!AR$117=1,EQ33=0),2000,0))),1000000000))</f>
        <v/>
      </c>
      <c r="PU33">
        <f>IF($B33=0,1000000000,IF(INDEX('calcA'!$D$60:$EQ$99,$B33,42)*IF($W33=1,EQ33+ABF33,EQ33)=1,IF(AND($E33=2,IF($W33=1,AGU33,KF33)=0),1000000000,IF($V33=1,INDEX('calcA'!$D$130:$EQ$169,$B33,42)+IF(AND($E33=1,KF33=0),25,0),IF($F33&gt;0,INDEX('calcA'!AS$110:AS$114,$F33+1)+IF(AND($E33=1,KF33=0),1000,0),MIN(TV33,20)*400+(IF('calcA'!AR$106=1,1-EP33,0)+IF('calcA'!AS$106=1,1-ER33,0))*150+182+'calcA'!AS$5*100000+IF(AND($E33=1,KF33=0),50000,0))+IF($H33=1,INDEX('calcA'!$D$180:$EQ$219,$B33,42)*4000,0)-IF(AND('calcA'!AR$117=1,VP33&gt;0),2000,0)-IF(AND($U33=1,'calcA'!AS$117=1,ER33=0),2000,0))),1000000000))</f>
        <v/>
      </c>
      <c r="PV33">
        <f>IF($B33=0,1000000000,IF(INDEX('calcA'!$D$60:$EQ$99,$B33,43)*IF($W33=1,ER33+ABG33,ER33)=1,IF(AND($E33=2,IF($W33=1,AGV33,KG33)=0),1000000000,IF($V33=1,INDEX('calcA'!$D$130:$EQ$169,$B33,43)+IF(AND($E33=1,KG33=0),25,0),IF($F33&gt;0,INDEX('calcA'!AT$110:AT$114,$F33+1)+IF(AND($E33=1,KG33=0),1000,0),MIN(TV33,20)*400+(IF('calcA'!AS$106=1,1-EQ33,0)+IF('calcA'!AT$106=1,1-ES33,0))*150+192+'calcA'!AT$5*100000+IF(AND($E33=1,KG33=0),50000,0))+IF($H33=1,INDEX('calcA'!$D$180:$EQ$219,$B33,43)*4000,0)-IF(AND('calcA'!AS$117=1,VQ33&gt;0),2000,0)-IF(AND($U33=1,'calcA'!AT$117=1,ES33=0),2000,0))),1000000000))</f>
        <v/>
      </c>
      <c r="PW33">
        <f>IF($B33=0,1000000000,IF(INDEX('calcA'!$D$60:$EQ$99,$B33,44)*IF($W33=1,ES33+ABH33,ES33)=1,IF(AND($E33=2,IF($W33=1,AGW33,KH33)=0),1000000000,IF($V33=1,INDEX('calcA'!$D$130:$EQ$169,$B33,44)+IF(AND($E33=1,KH33=0),25,0),IF($F33&gt;0,INDEX('calcA'!AU$110:AU$114,$F33+1)+IF(AND($E33=1,KH33=0),1000,0),MIN(TV33,20)*400+(IF('calcA'!AT$106=1,1-ER33,0)+IF('calcA'!AU$106=1,1-ET33,0))*150+202+'calcA'!AU$5*100000+IF(AND($E33=1,KH33=0),50000,0))+IF($H33=1,INDEX('calcA'!$D$180:$EQ$219,$B33,44)*4000,0)-IF(AND('calcA'!AT$117=1,VR33&gt;0),2000,0)-IF(AND($U33=1,'calcA'!AU$117=1,ET33=0),2000,0))),1000000000))</f>
        <v/>
      </c>
      <c r="PX33">
        <f>IF($B33=0,1000000000,IF(INDEX('calcA'!$D$60:$EQ$99,$B33,45)*IF($W33=1,ET33+ABI33,ET33)=1,IF(AND($E33=2,IF($W33=1,AGX33,KI33)=0),1000000000,IF($V33=1,INDEX('calcA'!$D$130:$EQ$169,$B33,45)+IF(AND($E33=1,KI33=0),25,0),IF($F33&gt;0,INDEX('calcA'!AV$110:AV$114,$F33+1)+IF(AND($E33=1,KI33=0),1000,0),MIN(TV33,20)*400+(IF('calcA'!AU$106=1,1-ES33,0)+IF('calcA'!AV$106=1,1-EU33,0))*150+212+'calcA'!AV$5*100000+IF(AND($E33=1,KI33=0),50000,0))+IF($H33=1,INDEX('calcA'!$D$180:$EQ$219,$B33,45)*4000,0)-IF(AND('calcA'!AU$117=1,VS33&gt;0),2000,0)-IF(AND($U33=1,'calcA'!AV$117=1,EU33=0),2000,0))),1000000000))</f>
        <v/>
      </c>
      <c r="PY33">
        <f>IF($B33=0,1000000000,IF(INDEX('calcA'!$D$60:$EQ$99,$B33,46)*IF($W33=1,EU33+ABJ33,EU33)=1,IF(AND($E33=2,IF($W33=1,AGY33,KJ33)=0),1000000000,IF($V33=1,INDEX('calcA'!$D$130:$EQ$169,$B33,46)+IF(AND($E33=1,KJ33=0),25,0),IF($F33&gt;0,INDEX('calcA'!AW$110:AW$114,$F33+1)+IF(AND($E33=1,KJ33=0),1000,0),MIN(TV33,20)*400+(IF('calcA'!AV$106=1,1-ET33,0)+IF('calcA'!AW$106=1,1-EV33,0))*150+222+'calcA'!AW$5*100000+IF(AND($E33=1,KJ33=0),50000,0))+IF($H33=1,INDEX('calcA'!$D$180:$EQ$219,$B33,46)*4000,0)-IF(AND('calcA'!AV$117=1,VT33&gt;0),2000,0)-IF(AND($U33=1,'calcA'!AW$117=1,EV33=0),2000,0))),1000000000))</f>
        <v/>
      </c>
      <c r="PZ33">
        <f>IF($B33=0,1000000000,IF(INDEX('calcA'!$D$60:$EQ$99,$B33,47)*IF($W33=1,EV33+ABK33,EV33)=1,IF(AND($E33=2,IF($W33=1,AGZ33,KK33)=0),1000000000,IF($V33=1,INDEX('calcA'!$D$130:$EQ$169,$B33,47)+IF(AND($E33=1,KK33=0),25,0),IF($F33&gt;0,INDEX('calcA'!AX$110:AX$114,$F33+1)+IF(AND($E33=1,KK33=0),1000,0),MIN(TV33,20)*400+(IF('calcA'!AW$106=1,1-EU33,0)+IF('calcA'!AX$106=1,1-EW33,0))*150+232+'calcA'!AX$5*100000+IF(AND($E33=1,KK33=0),50000,0))+IF($H33=1,INDEX('calcA'!$D$180:$EQ$219,$B33,47)*4000,0)-IF(AND('calcA'!AW$117=1,VU33&gt;0),2000,0)-IF(AND($U33=1,'calcA'!AX$117=1,EW33=0),2000,0))),1000000000))</f>
        <v/>
      </c>
      <c r="QA33">
        <f>IF($B33=0,1000000000,IF(INDEX('calcA'!$D$60:$EQ$99,$B33,48)*IF($W33=1,EW33+ABL33,EW33)=1,IF(AND($E33=2,IF($W33=1,AHA33,KL33)=0),1000000000,IF($V33=1,INDEX('calcA'!$D$130:$EQ$169,$B33,48)+IF(AND($E33=1,KL33=0),25,0),IF($F33&gt;0,INDEX('calcA'!AY$110:AY$114,$F33+1)+IF(AND($E33=1,KL33=0),1000,0),MIN(TV33,20)*400+(IF('calcA'!AX$106=1,1-EV33,0))*150+242+'calcA'!AY$5*100000+IF(AND($E33=1,KL33=0),50000,0))+IF($H33=1,INDEX('calcA'!$D$180:$EQ$219,$B33,48)*4000,0)-IF(AND('calcA'!AX$117=1,VV33&gt;0),2000,0))),1000000000))</f>
        <v/>
      </c>
      <c r="QB33">
        <f>IF($B33=0,1000000000,IF(INDEX('calcA'!$D$60:$EQ$99,$B33,49)*IF($W33=1,EX33+ABM33,EX33)=1,IF(AND($E33=2,IF($W33=1,AHB33,KM33)=0),1000000000,IF($V33=1,INDEX('calcA'!$D$130:$EQ$169,$B33,49)+IF(AND($E33=1,KM33=0),25,0),IF($F33&gt;0,INDEX('calcA'!AZ$110:AZ$114,$F33+1)+IF(AND($E33=1,KM33=0),1000,0),MIN(TW33,20)*400+(IF('calcA'!AZ$106=1,1-EY33,0))*150+13+'calcA'!AZ$5*100000+IF(AND($E33=1,KM33=0),50000,0))+IF($H33=1,INDEX('calcA'!$D$180:$EQ$219,$B33,49)*4000,0)-IF(AND($U33=1,'calcA'!AZ$117=1,EY33=0),2000,0))),1000000000))</f>
        <v/>
      </c>
      <c r="QC33">
        <f>IF($B33=0,1000000000,IF(INDEX('calcA'!$D$60:$EQ$99,$B33,50)*IF($W33=1,EY33+ABN33,EY33)=1,IF(AND($E33=2,IF($W33=1,AHC33,KN33)=0),1000000000,IF($V33=1,INDEX('calcA'!$D$130:$EQ$169,$B33,50)+IF(AND($E33=1,KN33=0),25,0),IF($F33&gt;0,INDEX('calcA'!BA$110:BA$114,$F33+1)+IF(AND($E33=1,KN33=0),1000,0),MIN(TW33,20)*400+(IF('calcA'!AZ$106=1,1-EX33,0)+IF('calcA'!BA$106=1,1-EZ33,0))*150+23+'calcA'!BA$5*100000+IF(AND($E33=1,KN33=0),50000,0))+IF($H33=1,INDEX('calcA'!$D$180:$EQ$219,$B33,50)*4000,0)-IF(AND('calcA'!AZ$117=1,VX33&gt;0),2000,0)-IF(AND($U33=1,'calcA'!BA$117=1,EZ33=0),2000,0))),1000000000))</f>
        <v/>
      </c>
      <c r="QD33">
        <f>IF($B33=0,1000000000,IF(INDEX('calcA'!$D$60:$EQ$99,$B33,51)*IF($W33=1,EZ33+ABO33,EZ33)=1,IF(AND($E33=2,IF($W33=1,AHD33,KO33)=0),1000000000,IF($V33=1,INDEX('calcA'!$D$130:$EQ$169,$B33,51)+IF(AND($E33=1,KO33=0),25,0),IF($F33&gt;0,INDEX('calcA'!BB$110:BB$114,$F33+1)+IF(AND($E33=1,KO33=0),1000,0),MIN(TW33,20)*400+(IF('calcA'!BA$106=1,1-EY33,0)+IF('calcA'!BB$106=1,1-FA33,0))*150+33+'calcA'!BB$5*100000+IF(AND($E33=1,KO33=0),50000,0))+IF($H33=1,INDEX('calcA'!$D$180:$EQ$219,$B33,51)*4000,0)-IF(AND('calcA'!BA$117=1,VY33&gt;0),2000,0)-IF(AND($U33=1,'calcA'!BB$117=1,FA33=0),2000,0))),1000000000))</f>
        <v/>
      </c>
      <c r="QE33">
        <f>IF($B33=0,1000000000,IF(INDEX('calcA'!$D$60:$EQ$99,$B33,52)*IF($W33=1,FA33+ABP33,FA33)=1,IF(AND($E33=2,IF($W33=1,AHE33,KP33)=0),1000000000,IF($V33=1,INDEX('calcA'!$D$130:$EQ$169,$B33,52)+IF(AND($E33=1,KP33=0),25,0),IF($F33&gt;0,INDEX('calcA'!BC$110:BC$114,$F33+1)+IF(AND($E33=1,KP33=0),1000,0),MIN(TW33,20)*400+(IF('calcA'!BB$106=1,1-EZ33,0)+IF('calcA'!BC$106=1,1-FB33,0))*150+43+'calcA'!BC$5*100000+IF(AND($E33=1,KP33=0),50000,0))+IF($H33=1,INDEX('calcA'!$D$180:$EQ$219,$B33,52)*4000,0)-IF(AND('calcA'!BB$117=1,VZ33&gt;0),2000,0)-IF(AND($U33=1,'calcA'!BC$117=1,FB33=0),2000,0))),1000000000))</f>
        <v/>
      </c>
      <c r="QF33">
        <f>IF($B33=0,1000000000,IF(INDEX('calcA'!$D$60:$EQ$99,$B33,53)*IF($W33=1,FB33+ABQ33,FB33)=1,IF(AND($E33=2,IF($W33=1,AHF33,KQ33)=0),1000000000,IF($V33=1,INDEX('calcA'!$D$130:$EQ$169,$B33,53)+IF(AND($E33=1,KQ33=0),25,0),IF($F33&gt;0,INDEX('calcA'!BD$110:BD$114,$F33+1)+IF(AND($E33=1,KQ33=0),1000,0),MIN(TW33,20)*400+(IF('calcA'!BC$106=1,1-FA33,0)+IF('calcA'!BD$106=1,1-FC33,0))*150+53+'calcA'!BD$5*100000+IF(AND($E33=1,KQ33=0),50000,0))+IF($H33=1,INDEX('calcA'!$D$180:$EQ$219,$B33,53)*4000,0)-IF(AND('calcA'!BC$117=1,WA33&gt;0),2000,0)-IF(AND($U33=1,'calcA'!BD$117=1,FC33=0),2000,0))),1000000000))</f>
        <v/>
      </c>
      <c r="QG33">
        <f>IF($B33=0,1000000000,IF(INDEX('calcA'!$D$60:$EQ$99,$B33,54)*IF($W33=1,FC33+ABR33,FC33)=1,IF(AND($E33=2,IF($W33=1,AHG33,KR33)=0),1000000000,IF($V33=1,INDEX('calcA'!$D$130:$EQ$169,$B33,54)+IF(AND($E33=1,KR33=0),25,0),IF($F33&gt;0,INDEX('calcA'!BE$110:BE$114,$F33+1)+IF(AND($E33=1,KR33=0),1000,0),MIN(TW33,20)*400+(IF('calcA'!BD$106=1,1-FB33,0)+IF('calcA'!BE$106=1,1-FD33,0))*150+63+'calcA'!BE$5*100000+IF(AND($E33=1,KR33=0),50000,0))+IF($H33=1,INDEX('calcA'!$D$180:$EQ$219,$B33,54)*4000,0)-IF(AND('calcA'!BD$117=1,WB33&gt;0),2000,0)-IF(AND($U33=1,'calcA'!BE$117=1,FD33=0),2000,0))),1000000000))</f>
        <v/>
      </c>
      <c r="QH33">
        <f>IF($B33=0,1000000000,IF(INDEX('calcA'!$D$60:$EQ$99,$B33,55)*IF($W33=1,FD33+ABS33,FD33)=1,IF(AND($E33=2,IF($W33=1,AHH33,KS33)=0),1000000000,IF($V33=1,INDEX('calcA'!$D$130:$EQ$169,$B33,55)+IF(AND($E33=1,KS33=0),25,0),IF($F33&gt;0,INDEX('calcA'!BF$110:BF$114,$F33+1)+IF(AND($E33=1,KS33=0),1000,0),MIN(TW33,20)*400+(IF('calcA'!BE$106=1,1-FC33,0)+IF('calcA'!BF$106=1,1-FE33,0))*150+73+'calcA'!BF$5*100000+IF(AND($E33=1,KS33=0),50000,0))+IF($H33=1,INDEX('calcA'!$D$180:$EQ$219,$B33,55)*4000,0)-IF(AND('calcA'!BE$117=1,WC33&gt;0),2000,0)-IF(AND($U33=1,'calcA'!BF$117=1,FE33=0),2000,0))),1000000000))</f>
        <v/>
      </c>
      <c r="QI33">
        <f>IF($B33=0,1000000000,IF(INDEX('calcA'!$D$60:$EQ$99,$B33,56)*IF($W33=1,FE33+ABT33,FE33)=1,IF(AND($E33=2,IF($W33=1,AHI33,KT33)=0),1000000000,IF($V33=1,INDEX('calcA'!$D$130:$EQ$169,$B33,56)+IF(AND($E33=1,KT33=0),25,0),IF($F33&gt;0,INDEX('calcA'!BG$110:BG$114,$F33+1)+IF(AND($E33=1,KT33=0),1000,0),MIN(TW33,20)*400+(IF('calcA'!BF$106=1,1-FD33,0)+IF('calcA'!BG$106=1,1-FF33,0))*150+83+'calcA'!BG$5*100000+IF(AND($E33=1,KT33=0),50000,0))+IF($H33=1,INDEX('calcA'!$D$180:$EQ$219,$B33,56)*4000,0)-IF(AND('calcA'!BF$117=1,WD33&gt;0),2000,0)-IF(AND($U33=1,'calcA'!BG$117=1,FF33=0),2000,0))),1000000000))</f>
        <v/>
      </c>
      <c r="QJ33">
        <f>IF($B33=0,1000000000,IF(INDEX('calcA'!$D$60:$EQ$99,$B33,57)*IF($W33=1,FF33+ABU33,FF33)=1,IF(AND($E33=2,IF($W33=1,AHJ33,KU33)=0),1000000000,IF($V33=1,INDEX('calcA'!$D$130:$EQ$169,$B33,57)+IF(AND($E33=1,KU33=0),25,0),IF($F33&gt;0,INDEX('calcA'!BH$110:BH$114,$F33+1)+IF(AND($E33=1,KU33=0),1000,0),MIN(TW33,20)*400+(IF('calcA'!BG$106=1,1-FE33,0)+IF('calcA'!BH$106=1,1-FG33,0))*150+93+'calcA'!BH$5*100000+IF(AND($E33=1,KU33=0),50000,0))+IF($H33=1,INDEX('calcA'!$D$180:$EQ$219,$B33,57)*4000,0)-IF(AND('calcA'!BG$117=1,WE33&gt;0),2000,0)-IF(AND($U33=1,'calcA'!BH$117=1,FG33=0),2000,0))),1000000000))</f>
        <v/>
      </c>
      <c r="QK33">
        <f>IF($B33=0,1000000000,IF(INDEX('calcA'!$D$60:$EQ$99,$B33,58)*IF($W33=1,FG33+ABV33,FG33)=1,IF(AND($E33=2,IF($W33=1,AHK33,KV33)=0),1000000000,IF($V33=1,INDEX('calcA'!$D$130:$EQ$169,$B33,58)+IF(AND($E33=1,KV33=0),25,0),IF($F33&gt;0,INDEX('calcA'!BI$110:BI$114,$F33+1)+IF(AND($E33=1,KV33=0),1000,0),MIN(TW33,20)*400+(IF('calcA'!BH$106=1,1-FF33,0)+IF('calcA'!BI$106=1,1-FH33,0))*150+103+'calcA'!BI$5*100000+IF(AND($E33=1,KV33=0),50000,0))+IF($H33=1,INDEX('calcA'!$D$180:$EQ$219,$B33,58)*4000,0)-IF(AND('calcA'!BH$117=1,WF33&gt;0),2000,0)-IF(AND($U33=1,'calcA'!BI$117=1,FH33=0),2000,0))),1000000000))</f>
        <v/>
      </c>
      <c r="QL33">
        <f>IF($B33=0,1000000000,IF(INDEX('calcA'!$D$60:$EQ$99,$B33,59)*IF($W33=1,FH33+ABW33,FH33)=1,IF(AND($E33=2,IF($W33=1,AHL33,KW33)=0),1000000000,IF($V33=1,INDEX('calcA'!$D$130:$EQ$169,$B33,59)+IF(AND($E33=1,KW33=0),25,0),IF($F33&gt;0,INDEX('calcA'!BJ$110:BJ$114,$F33+1)+IF(AND($E33=1,KW33=0),1000,0),MIN(TW33,20)*400+(IF('calcA'!BI$106=1,1-FG33,0)+IF('calcA'!BJ$106=1,1-FI33,0))*150+113+'calcA'!BJ$5*100000+IF(AND($E33=1,KW33=0),50000,0))+IF($H33=1,INDEX('calcA'!$D$180:$EQ$219,$B33,59)*4000,0)-IF(AND('calcA'!BI$117=1,WG33&gt;0),2000,0)-IF(AND($U33=1,'calcA'!BJ$117=1,FI33=0),2000,0))),1000000000))</f>
        <v/>
      </c>
      <c r="QM33">
        <f>IF($B33=0,1000000000,IF(INDEX('calcA'!$D$60:$EQ$99,$B33,60)*IF($W33=1,FI33+ABX33,FI33)=1,IF(AND($E33=2,IF($W33=1,AHM33,KX33)=0),1000000000,IF($V33=1,INDEX('calcA'!$D$130:$EQ$169,$B33,60)+IF(AND($E33=1,KX33=0),25,0),IF($F33&gt;0,INDEX('calcA'!BK$110:BK$114,$F33+1)+IF(AND($E33=1,KX33=0),1000,0),MIN(TW33,20)*400+(IF('calcA'!BJ$106=1,1-FH33,0)+IF('calcA'!BK$106=1,1-FJ33,0))*150+123+'calcA'!BK$5*100000+IF(AND($E33=1,KX33=0),50000,0))+IF($H33=1,INDEX('calcA'!$D$180:$EQ$219,$B33,60)*4000,0)-IF(AND('calcA'!BJ$117=1,WH33&gt;0),2000,0)-IF(AND($U33=1,'calcA'!BK$117=1,FJ33=0),2000,0))),1000000000))</f>
        <v/>
      </c>
      <c r="QN33">
        <f>IF($B33=0,1000000000,IF(INDEX('calcA'!$D$60:$EQ$99,$B33,61)*IF($W33=1,FJ33+ABY33,FJ33)=1,IF(AND($E33=2,IF($W33=1,AHN33,KY33)=0),1000000000,IF($V33=1,INDEX('calcA'!$D$130:$EQ$169,$B33,61)+IF(AND($E33=1,KY33=0),25,0),IF($F33&gt;0,INDEX('calcA'!BL$110:BL$114,$F33+1)+IF(AND($E33=1,KY33=0),1000,0),MIN(TW33,20)*400+(IF('calcA'!BK$106=1,1-FI33,0)+IF('calcA'!BL$106=1,1-FK33,0))*150+133+'calcA'!BL$5*100000+IF(AND($E33=1,KY33=0),50000,0))+IF($H33=1,INDEX('calcA'!$D$180:$EQ$219,$B33,61)*4000,0)-IF(AND('calcA'!BK$117=1,WI33&gt;0),2000,0)-IF(AND($U33=1,'calcA'!BL$117=1,FK33=0),2000,0))),1000000000))</f>
        <v/>
      </c>
      <c r="QO33">
        <f>IF($B33=0,1000000000,IF(INDEX('calcA'!$D$60:$EQ$99,$B33,62)*IF($W33=1,FK33+ABZ33,FK33)=1,IF(AND($E33=2,IF($W33=1,AHO33,KZ33)=0),1000000000,IF($V33=1,INDEX('calcA'!$D$130:$EQ$169,$B33,62)+IF(AND($E33=1,KZ33=0),25,0),IF($F33&gt;0,INDEX('calcA'!BM$110:BM$114,$F33+1)+IF(AND($E33=1,KZ33=0),1000,0),MIN(TW33,20)*400+(IF('calcA'!BL$106=1,1-FJ33,0)+IF('calcA'!BM$106=1,1-FL33,0))*150+143+'calcA'!BM$5*100000+IF(AND($E33=1,KZ33=0),50000,0))+IF($H33=1,INDEX('calcA'!$D$180:$EQ$219,$B33,62)*4000,0)-IF(AND('calcA'!BL$117=1,WJ33&gt;0),2000,0)-IF(AND($U33=1,'calcA'!BM$117=1,FL33=0),2000,0))),1000000000))</f>
        <v/>
      </c>
      <c r="QP33">
        <f>IF($B33=0,1000000000,IF(INDEX('calcA'!$D$60:$EQ$99,$B33,63)*IF($W33=1,FL33+ACA33,FL33)=1,IF(AND($E33=2,IF($W33=1,AHP33,LA33)=0),1000000000,IF($V33=1,INDEX('calcA'!$D$130:$EQ$169,$B33,63)+IF(AND($E33=1,LA33=0),25,0),IF($F33&gt;0,INDEX('calcA'!BN$110:BN$114,$F33+1)+IF(AND($E33=1,LA33=0),1000,0),MIN(TW33,20)*400+(IF('calcA'!BM$106=1,1-FK33,0)+IF('calcA'!BN$106=1,1-FM33,0))*150+153+'calcA'!BN$5*100000+IF(AND($E33=1,LA33=0),50000,0))+IF($H33=1,INDEX('calcA'!$D$180:$EQ$219,$B33,63)*4000,0)-IF(AND('calcA'!BM$117=1,WK33&gt;0),2000,0)-IF(AND($U33=1,'calcA'!BN$117=1,FM33=0),2000,0))),1000000000))</f>
        <v/>
      </c>
      <c r="QQ33">
        <f>IF($B33=0,1000000000,IF(INDEX('calcA'!$D$60:$EQ$99,$B33,64)*IF($W33=1,FM33+ACB33,FM33)=1,IF(AND($E33=2,IF($W33=1,AHQ33,LB33)=0),1000000000,IF($V33=1,INDEX('calcA'!$D$130:$EQ$169,$B33,64)+IF(AND($E33=1,LB33=0),25,0),IF($F33&gt;0,INDEX('calcA'!BO$110:BO$114,$F33+1)+IF(AND($E33=1,LB33=0),1000,0),MIN(TW33,20)*400+(IF('calcA'!BN$106=1,1-FL33,0)+IF('calcA'!BO$106=1,1-FN33,0))*150+163+'calcA'!BO$5*100000+IF(AND($E33=1,LB33=0),50000,0))+IF($H33=1,INDEX('calcA'!$D$180:$EQ$219,$B33,64)*4000,0)-IF(AND('calcA'!BN$117=1,WL33&gt;0),2000,0)-IF(AND($U33=1,'calcA'!BO$117=1,FN33=0),2000,0))),1000000000))</f>
        <v/>
      </c>
      <c r="QR33">
        <f>IF($B33=0,1000000000,IF(INDEX('calcA'!$D$60:$EQ$99,$B33,65)*IF($W33=1,FN33+ACC33,FN33)=1,IF(AND($E33=2,IF($W33=1,AHR33,LC33)=0),1000000000,IF($V33=1,INDEX('calcA'!$D$130:$EQ$169,$B33,65)+IF(AND($E33=1,LC33=0),25,0),IF($F33&gt;0,INDEX('calcA'!BP$110:BP$114,$F33+1)+IF(AND($E33=1,LC33=0),1000,0),MIN(TW33,20)*400+(IF('calcA'!BO$106=1,1-FM33,0)+IF('calcA'!BP$106=1,1-FO33,0))*150+173+'calcA'!BP$5*100000+IF(AND($E33=1,LC33=0),50000,0))+IF($H33=1,INDEX('calcA'!$D$180:$EQ$219,$B33,65)*4000,0)-IF(AND('calcA'!BO$117=1,WM33&gt;0),2000,0)-IF(AND($U33=1,'calcA'!BP$117=1,FO33=0),2000,0))),1000000000))</f>
        <v/>
      </c>
      <c r="QS33">
        <f>IF($B33=0,1000000000,IF(INDEX('calcA'!$D$60:$EQ$99,$B33,66)*IF($W33=1,FO33+ACD33,FO33)=1,IF(AND($E33=2,IF($W33=1,AHS33,LD33)=0),1000000000,IF($V33=1,INDEX('calcA'!$D$130:$EQ$169,$B33,66)+IF(AND($E33=1,LD33=0),25,0),IF($F33&gt;0,INDEX('calcA'!BQ$110:BQ$114,$F33+1)+IF(AND($E33=1,LD33=0),1000,0),MIN(TW33,20)*400+(IF('calcA'!BP$106=1,1-FN33,0)+IF('calcA'!BQ$106=1,1-FP33,0))*150+183+'calcA'!BQ$5*100000+IF(AND($E33=1,LD33=0),50000,0))+IF($H33=1,INDEX('calcA'!$D$180:$EQ$219,$B33,66)*4000,0)-IF(AND('calcA'!BP$117=1,WN33&gt;0),2000,0)-IF(AND($U33=1,'calcA'!BQ$117=1,FP33=0),2000,0))),1000000000))</f>
        <v/>
      </c>
      <c r="QT33">
        <f>IF($B33=0,1000000000,IF(INDEX('calcA'!$D$60:$EQ$99,$B33,67)*IF($W33=1,FP33+ACE33,FP33)=1,IF(AND($E33=2,IF($W33=1,AHT33,LE33)=0),1000000000,IF($V33=1,INDEX('calcA'!$D$130:$EQ$169,$B33,67)+IF(AND($E33=1,LE33=0),25,0),IF($F33&gt;0,INDEX('calcA'!BR$110:BR$114,$F33+1)+IF(AND($E33=1,LE33=0),1000,0),MIN(TW33,20)*400+(IF('calcA'!BQ$106=1,1-FO33,0)+IF('calcA'!BR$106=1,1-FQ33,0))*150+193+'calcA'!BR$5*100000+IF(AND($E33=1,LE33=0),50000,0))+IF($H33=1,INDEX('calcA'!$D$180:$EQ$219,$B33,67)*4000,0)-IF(AND('calcA'!BQ$117=1,WO33&gt;0),2000,0)-IF(AND($U33=1,'calcA'!BR$117=1,FQ33=0),2000,0))),1000000000))</f>
        <v/>
      </c>
      <c r="QU33">
        <f>IF($B33=0,1000000000,IF(INDEX('calcA'!$D$60:$EQ$99,$B33,68)*IF($W33=1,FQ33+ACF33,FQ33)=1,IF(AND($E33=2,IF($W33=1,AHU33,LF33)=0),1000000000,IF($V33=1,INDEX('calcA'!$D$130:$EQ$169,$B33,68)+IF(AND($E33=1,LF33=0),25,0),IF($F33&gt;0,INDEX('calcA'!BS$110:BS$114,$F33+1)+IF(AND($E33=1,LF33=0),1000,0),MIN(TW33,20)*400+(IF('calcA'!BR$106=1,1-FP33,0)+IF('calcA'!BS$106=1,1-FR33,0))*150+203+'calcA'!BS$5*100000+IF(AND($E33=1,LF33=0),50000,0))+IF($H33=1,INDEX('calcA'!$D$180:$EQ$219,$B33,68)*4000,0)-IF(AND('calcA'!BR$117=1,WP33&gt;0),2000,0)-IF(AND($U33=1,'calcA'!BS$117=1,FR33=0),2000,0))),1000000000))</f>
        <v/>
      </c>
      <c r="QV33">
        <f>IF($B33=0,1000000000,IF(INDEX('calcA'!$D$60:$EQ$99,$B33,69)*IF($W33=1,FR33+ACG33,FR33)=1,IF(AND($E33=2,IF($W33=1,AHV33,LG33)=0),1000000000,IF($V33=1,INDEX('calcA'!$D$130:$EQ$169,$B33,69)+IF(AND($E33=1,LG33=0),25,0),IF($F33&gt;0,INDEX('calcA'!BT$110:BT$114,$F33+1)+IF(AND($E33=1,LG33=0),1000,0),MIN(TW33,20)*400+(IF('calcA'!BS$106=1,1-FQ33,0)+IF('calcA'!BT$106=1,1-FS33,0))*150+213+'calcA'!BT$5*100000+IF(AND($E33=1,LG33=0),50000,0))+IF($H33=1,INDEX('calcA'!$D$180:$EQ$219,$B33,69)*4000,0)-IF(AND('calcA'!BS$117=1,WQ33&gt;0),2000,0)-IF(AND($U33=1,'calcA'!BT$117=1,FS33=0),2000,0))),1000000000))</f>
        <v/>
      </c>
      <c r="QW33">
        <f>IF($B33=0,1000000000,IF(INDEX('calcA'!$D$60:$EQ$99,$B33,70)*IF($W33=1,FS33+ACH33,FS33)=1,IF(AND($E33=2,IF($W33=1,AHW33,LH33)=0),1000000000,IF($V33=1,INDEX('calcA'!$D$130:$EQ$169,$B33,70)+IF(AND($E33=1,LH33=0),25,0),IF($F33&gt;0,INDEX('calcA'!BU$110:BU$114,$F33+1)+IF(AND($E33=1,LH33=0),1000,0),MIN(TW33,20)*400+(IF('calcA'!BT$106=1,1-FR33,0)+IF('calcA'!BU$106=1,1-FT33,0))*150+223+'calcA'!BU$5*100000+IF(AND($E33=1,LH33=0),50000,0))+IF($H33=1,INDEX('calcA'!$D$180:$EQ$219,$B33,70)*4000,0)-IF(AND('calcA'!BT$117=1,WR33&gt;0),2000,0)-IF(AND($U33=1,'calcA'!BU$117=1,FT33=0),2000,0))),1000000000))</f>
        <v/>
      </c>
      <c r="QX33">
        <f>IF($B33=0,1000000000,IF(INDEX('calcA'!$D$60:$EQ$99,$B33,71)*IF($W33=1,FT33+ACI33,FT33)=1,IF(AND($E33=2,IF($W33=1,AHX33,LI33)=0),1000000000,IF($V33=1,INDEX('calcA'!$D$130:$EQ$169,$B33,71)+IF(AND($E33=1,LI33=0),25,0),IF($F33&gt;0,INDEX('calcA'!BV$110:BV$114,$F33+1)+IF(AND($E33=1,LI33=0),1000,0),MIN(TW33,20)*400+(IF('calcA'!BU$106=1,1-FS33,0)+IF('calcA'!BV$106=1,1-FU33,0))*150+233+'calcA'!BV$5*100000+IF(AND($E33=1,LI33=0),50000,0))+IF($H33=1,INDEX('calcA'!$D$180:$EQ$219,$B33,71)*4000,0)-IF(AND('calcA'!BU$117=1,WS33&gt;0),2000,0)-IF(AND($U33=1,'calcA'!BV$117=1,FU33=0),2000,0))),1000000000))</f>
        <v/>
      </c>
      <c r="QY33">
        <f>IF($B33=0,1000000000,IF(INDEX('calcA'!$D$60:$EQ$99,$B33,72)*IF($W33=1,FU33+ACJ33,FU33)=1,IF(AND($E33=2,IF($W33=1,AHY33,LJ33)=0),1000000000,IF($V33=1,INDEX('calcA'!$D$130:$EQ$169,$B33,72)+IF(AND($E33=1,LJ33=0),25,0),IF($F33&gt;0,INDEX('calcA'!BW$110:BW$114,$F33+1)+IF(AND($E33=1,LJ33=0),1000,0),MIN(TW33,20)*400+(IF('calcA'!BV$106=1,1-FT33,0))*150+243+'calcA'!BW$5*100000+IF(AND($E33=1,LJ33=0),50000,0))+IF($H33=1,INDEX('calcA'!$D$180:$EQ$219,$B33,72)*4000,0)-IF(AND('calcA'!BV$117=1,WT33&gt;0),2000,0))),1000000000))</f>
        <v/>
      </c>
      <c r="QZ33">
        <f>IF($B33=0,1000000000,IF(INDEX('calcA'!$D$60:$EQ$99,$B33,73)*IF($W33=1,FV33+ACK33,FV33)=1,IF(AND($E33=2,IF($W33=1,AHZ33,LK33)=0),1000000000,IF($V33=1,INDEX('calcA'!$D$130:$EQ$169,$B33,73)+IF(AND($E33=1,LK33=0),25,0),IF($F33&gt;0,INDEX('calcA'!BX$110:BX$114,$F33+1)+IF(AND($E33=1,LK33=0),1000,0),MIN(TX33,20)*400+(IF('calcA'!BX$106=1,1-FW33,0))*150+14+'calcA'!BX$5*100000+IF(AND($E33=1,LK33=0),50000,0))+IF($H33=1,INDEX('calcA'!$D$180:$EQ$219,$B33,73)*4000,0)-IF(AND($U33=1,'calcA'!BX$117=1,FW33=0),2000,0))),1000000000))</f>
        <v/>
      </c>
      <c r="RA33">
        <f>IF($B33=0,1000000000,IF(INDEX('calcA'!$D$60:$EQ$99,$B33,74)*IF($W33=1,FW33+ACL33,FW33)=1,IF(AND($E33=2,IF($W33=1,AIA33,LL33)=0),1000000000,IF($V33=1,INDEX('calcA'!$D$130:$EQ$169,$B33,74)+IF(AND($E33=1,LL33=0),25,0),IF($F33&gt;0,INDEX('calcA'!BY$110:BY$114,$F33+1)+IF(AND($E33=1,LL33=0),1000,0),MIN(TX33,20)*400+(IF('calcA'!BX$106=1,1-FV33,0)+IF('calcA'!BY$106=1,1-FX33,0))*150+24+'calcA'!BY$5*100000+IF(AND($E33=1,LL33=0),50000,0))+IF($H33=1,INDEX('calcA'!$D$180:$EQ$219,$B33,74)*4000,0)-IF(AND('calcA'!BX$117=1,WV33&gt;0),2000,0)-IF(AND($U33=1,'calcA'!BY$117=1,FX33=0),2000,0))),1000000000))</f>
        <v/>
      </c>
      <c r="RB33">
        <f>IF($B33=0,1000000000,IF(INDEX('calcA'!$D$60:$EQ$99,$B33,75)*IF($W33=1,FX33+ACM33,FX33)=1,IF(AND($E33=2,IF($W33=1,AIB33,LM33)=0),1000000000,IF($V33=1,INDEX('calcA'!$D$130:$EQ$169,$B33,75)+IF(AND($E33=1,LM33=0),25,0),IF($F33&gt;0,INDEX('calcA'!BZ$110:BZ$114,$F33+1)+IF(AND($E33=1,LM33=0),1000,0),MIN(TX33,20)*400+(IF('calcA'!BY$106=1,1-FW33,0)+IF('calcA'!BZ$106=1,1-FY33,0))*150+34+'calcA'!BZ$5*100000+IF(AND($E33=1,LM33=0),50000,0))+IF($H33=1,INDEX('calcA'!$D$180:$EQ$219,$B33,75)*4000,0)-IF(AND('calcA'!BY$117=1,WW33&gt;0),2000,0)-IF(AND($U33=1,'calcA'!BZ$117=1,FY33=0),2000,0))),1000000000))</f>
        <v/>
      </c>
      <c r="RC33">
        <f>IF($B33=0,1000000000,IF(INDEX('calcA'!$D$60:$EQ$99,$B33,76)*IF($W33=1,FY33+ACN33,FY33)=1,IF(AND($E33=2,IF($W33=1,AIC33,LN33)=0),1000000000,IF($V33=1,INDEX('calcA'!$D$130:$EQ$169,$B33,76)+IF(AND($E33=1,LN33=0),25,0),IF($F33&gt;0,INDEX('calcA'!CA$110:CA$114,$F33+1)+IF(AND($E33=1,LN33=0),1000,0),MIN(TX33,20)*400+(IF('calcA'!BZ$106=1,1-FX33,0)+IF('calcA'!CA$106=1,1-FZ33,0))*150+44+'calcA'!CA$5*100000+IF(AND($E33=1,LN33=0),50000,0))+IF($H33=1,INDEX('calcA'!$D$180:$EQ$219,$B33,76)*4000,0)-IF(AND('calcA'!BZ$117=1,WX33&gt;0),2000,0)-IF(AND($U33=1,'calcA'!CA$117=1,FZ33=0),2000,0))),1000000000))</f>
        <v/>
      </c>
      <c r="RD33">
        <f>IF($B33=0,1000000000,IF(INDEX('calcA'!$D$60:$EQ$99,$B33,77)*IF($W33=1,FZ33+ACO33,FZ33)=1,IF(AND($E33=2,IF($W33=1,AID33,LO33)=0),1000000000,IF($V33=1,INDEX('calcA'!$D$130:$EQ$169,$B33,77)+IF(AND($E33=1,LO33=0),25,0),IF($F33&gt;0,INDEX('calcA'!CB$110:CB$114,$F33+1)+IF(AND($E33=1,LO33=0),1000,0),MIN(TX33,20)*400+(IF('calcA'!CA$106=1,1-FY33,0)+IF('calcA'!CB$106=1,1-GA33,0))*150+54+'calcA'!CB$5*100000+IF(AND($E33=1,LO33=0),50000,0))+IF($H33=1,INDEX('calcA'!$D$180:$EQ$219,$B33,77)*4000,0)-IF(AND('calcA'!CA$117=1,WY33&gt;0),2000,0)-IF(AND($U33=1,'calcA'!CB$117=1,GA33=0),2000,0))),1000000000))</f>
        <v/>
      </c>
      <c r="RE33">
        <f>IF($B33=0,1000000000,IF(INDEX('calcA'!$D$60:$EQ$99,$B33,78)*IF($W33=1,GA33+ACP33,GA33)=1,IF(AND($E33=2,IF($W33=1,AIE33,LP33)=0),1000000000,IF($V33=1,INDEX('calcA'!$D$130:$EQ$169,$B33,78)+IF(AND($E33=1,LP33=0),25,0),IF($F33&gt;0,INDEX('calcA'!CC$110:CC$114,$F33+1)+IF(AND($E33=1,LP33=0),1000,0),MIN(TX33,20)*400+(IF('calcA'!CB$106=1,1-FZ33,0)+IF('calcA'!CC$106=1,1-GB33,0))*150+64+'calcA'!CC$5*100000+IF(AND($E33=1,LP33=0),50000,0))+IF($H33=1,INDEX('calcA'!$D$180:$EQ$219,$B33,78)*4000,0)-IF(AND('calcA'!CB$117=1,WZ33&gt;0),2000,0)-IF(AND($U33=1,'calcA'!CC$117=1,GB33=0),2000,0))),1000000000))</f>
        <v/>
      </c>
      <c r="RF33">
        <f>IF($B33=0,1000000000,IF(INDEX('calcA'!$D$60:$EQ$99,$B33,79)*IF($W33=1,GB33+ACQ33,GB33)=1,IF(AND($E33=2,IF($W33=1,AIF33,LQ33)=0),1000000000,IF($V33=1,INDEX('calcA'!$D$130:$EQ$169,$B33,79)+IF(AND($E33=1,LQ33=0),25,0),IF($F33&gt;0,INDEX('calcA'!CD$110:CD$114,$F33+1)+IF(AND($E33=1,LQ33=0),1000,0),MIN(TX33,20)*400+(IF('calcA'!CC$106=1,1-GA33,0)+IF('calcA'!CD$106=1,1-GC33,0))*150+74+'calcA'!CD$5*100000+IF(AND($E33=1,LQ33=0),50000,0))+IF($H33=1,INDEX('calcA'!$D$180:$EQ$219,$B33,79)*4000,0)-IF(AND('calcA'!CC$117=1,XA33&gt;0),2000,0)-IF(AND($U33=1,'calcA'!CD$117=1,GC33=0),2000,0))),1000000000))</f>
        <v/>
      </c>
      <c r="RG33">
        <f>IF($B33=0,1000000000,IF(INDEX('calcA'!$D$60:$EQ$99,$B33,80)*IF($W33=1,GC33+ACR33,GC33)=1,IF(AND($E33=2,IF($W33=1,AIG33,LR33)=0),1000000000,IF($V33=1,INDEX('calcA'!$D$130:$EQ$169,$B33,80)+IF(AND($E33=1,LR33=0),25,0),IF($F33&gt;0,INDEX('calcA'!CE$110:CE$114,$F33+1)+IF(AND($E33=1,LR33=0),1000,0),MIN(TX33,20)*400+(IF('calcA'!CD$106=1,1-GB33,0)+IF('calcA'!CE$106=1,1-GD33,0))*150+84+'calcA'!CE$5*100000+IF(AND($E33=1,LR33=0),50000,0))+IF($H33=1,INDEX('calcA'!$D$180:$EQ$219,$B33,80)*4000,0)-IF(AND('calcA'!CD$117=1,XB33&gt;0),2000,0)-IF(AND($U33=1,'calcA'!CE$117=1,GD33=0),2000,0))),1000000000))</f>
        <v/>
      </c>
      <c r="RH33">
        <f>IF($B33=0,1000000000,IF(INDEX('calcA'!$D$60:$EQ$99,$B33,81)*IF($W33=1,GD33+ACS33,GD33)=1,IF(AND($E33=2,IF($W33=1,AIH33,LS33)=0),1000000000,IF($V33=1,INDEX('calcA'!$D$130:$EQ$169,$B33,81)+IF(AND($E33=1,LS33=0),25,0),IF($F33&gt;0,INDEX('calcA'!CF$110:CF$114,$F33+1)+IF(AND($E33=1,LS33=0),1000,0),MIN(TX33,20)*400+(IF('calcA'!CE$106=1,1-GC33,0)+IF('calcA'!CF$106=1,1-GE33,0))*150+94+'calcA'!CF$5*100000+IF(AND($E33=1,LS33=0),50000,0))+IF($H33=1,INDEX('calcA'!$D$180:$EQ$219,$B33,81)*4000,0)-IF(AND('calcA'!CE$117=1,XC33&gt;0),2000,0)-IF(AND($U33=1,'calcA'!CF$117=1,GE33=0),2000,0))),1000000000))</f>
        <v/>
      </c>
      <c r="RI33">
        <f>IF($B33=0,1000000000,IF(INDEX('calcA'!$D$60:$EQ$99,$B33,82)*IF($W33=1,GE33+ACT33,GE33)=1,IF(AND($E33=2,IF($W33=1,AII33,LT33)=0),1000000000,IF($V33=1,INDEX('calcA'!$D$130:$EQ$169,$B33,82)+IF(AND($E33=1,LT33=0),25,0),IF($F33&gt;0,INDEX('calcA'!CG$110:CG$114,$F33+1)+IF(AND($E33=1,LT33=0),1000,0),MIN(TX33,20)*400+(IF('calcA'!CF$106=1,1-GD33,0)+IF('calcA'!CG$106=1,1-GF33,0))*150+104+'calcA'!CG$5*100000+IF(AND($E33=1,LT33=0),50000,0))+IF($H33=1,INDEX('calcA'!$D$180:$EQ$219,$B33,82)*4000,0)-IF(AND('calcA'!CF$117=1,XD33&gt;0),2000,0)-IF(AND($U33=1,'calcA'!CG$117=1,GF33=0),2000,0))),1000000000))</f>
        <v/>
      </c>
      <c r="RJ33">
        <f>IF($B33=0,1000000000,IF(INDEX('calcA'!$D$60:$EQ$99,$B33,83)*IF($W33=1,GF33+ACU33,GF33)=1,IF(AND($E33=2,IF($W33=1,AIJ33,LU33)=0),1000000000,IF($V33=1,INDEX('calcA'!$D$130:$EQ$169,$B33,83)+IF(AND($E33=1,LU33=0),25,0),IF($F33&gt;0,INDEX('calcA'!CH$110:CH$114,$F33+1)+IF(AND($E33=1,LU33=0),1000,0),MIN(TX33,20)*400+(IF('calcA'!CG$106=1,1-GE33,0)+IF('calcA'!CH$106=1,1-GG33,0))*150+114+'calcA'!CH$5*100000+IF(AND($E33=1,LU33=0),50000,0))+IF($H33=1,INDEX('calcA'!$D$180:$EQ$219,$B33,83)*4000,0)-IF(AND('calcA'!CG$117=1,XE33&gt;0),2000,0)-IF(AND($U33=1,'calcA'!CH$117=1,GG33=0),2000,0))),1000000000))</f>
        <v/>
      </c>
      <c r="RK33">
        <f>IF($B33=0,1000000000,IF(INDEX('calcA'!$D$60:$EQ$99,$B33,84)*IF($W33=1,GG33+ACV33,GG33)=1,IF(AND($E33=2,IF($W33=1,AIK33,LV33)=0),1000000000,IF($V33=1,INDEX('calcA'!$D$130:$EQ$169,$B33,84)+IF(AND($E33=1,LV33=0),25,0),IF($F33&gt;0,INDEX('calcA'!CI$110:CI$114,$F33+1)+IF(AND($E33=1,LV33=0),1000,0),MIN(TX33,20)*400+(IF('calcA'!CH$106=1,1-GF33,0)+IF('calcA'!CI$106=1,1-GH33,0))*150+124+'calcA'!CI$5*100000+IF(AND($E33=1,LV33=0),50000,0))+IF($H33=1,INDEX('calcA'!$D$180:$EQ$219,$B33,84)*4000,0)-IF(AND('calcA'!CH$117=1,XF33&gt;0),2000,0)-IF(AND($U33=1,'calcA'!CI$117=1,GH33=0),2000,0))),1000000000))</f>
        <v/>
      </c>
      <c r="RL33">
        <f>IF($B33=0,1000000000,IF(INDEX('calcA'!$D$60:$EQ$99,$B33,85)*IF($W33=1,GH33+ACW33,GH33)=1,IF(AND($E33=2,IF($W33=1,AIL33,LW33)=0),1000000000,IF($V33=1,INDEX('calcA'!$D$130:$EQ$169,$B33,85)+IF(AND($E33=1,LW33=0),25,0),IF($F33&gt;0,INDEX('calcA'!CJ$110:CJ$114,$F33+1)+IF(AND($E33=1,LW33=0),1000,0),MIN(TX33,20)*400+(IF('calcA'!CI$106=1,1-GG33,0)+IF('calcA'!CJ$106=1,1-GI33,0))*150+134+'calcA'!CJ$5*100000+IF(AND($E33=1,LW33=0),50000,0))+IF($H33=1,INDEX('calcA'!$D$180:$EQ$219,$B33,85)*4000,0)-IF(AND('calcA'!CI$117=1,XG33&gt;0),2000,0)-IF(AND($U33=1,'calcA'!CJ$117=1,GI33=0),2000,0))),1000000000))</f>
        <v/>
      </c>
      <c r="RM33">
        <f>IF($B33=0,1000000000,IF(INDEX('calcA'!$D$60:$EQ$99,$B33,86)*IF($W33=1,GI33+ACX33,GI33)=1,IF(AND($E33=2,IF($W33=1,AIM33,LX33)=0),1000000000,IF($V33=1,INDEX('calcA'!$D$130:$EQ$169,$B33,86)+IF(AND($E33=1,LX33=0),25,0),IF($F33&gt;0,INDEX('calcA'!CK$110:CK$114,$F33+1)+IF(AND($E33=1,LX33=0),1000,0),MIN(TX33,20)*400+(IF('calcA'!CJ$106=1,1-GH33,0)+IF('calcA'!CK$106=1,1-GJ33,0))*150+144+'calcA'!CK$5*100000+IF(AND($E33=1,LX33=0),50000,0))+IF($H33=1,INDEX('calcA'!$D$180:$EQ$219,$B33,86)*4000,0)-IF(AND('calcA'!CJ$117=1,XH33&gt;0),2000,0)-IF(AND($U33=1,'calcA'!CK$117=1,GJ33=0),2000,0))),1000000000))</f>
        <v/>
      </c>
      <c r="RN33">
        <f>IF($B33=0,1000000000,IF(INDEX('calcA'!$D$60:$EQ$99,$B33,87)*IF($W33=1,GJ33+ACY33,GJ33)=1,IF(AND($E33=2,IF($W33=1,AIN33,LY33)=0),1000000000,IF($V33=1,INDEX('calcA'!$D$130:$EQ$169,$B33,87)+IF(AND($E33=1,LY33=0),25,0),IF($F33&gt;0,INDEX('calcA'!CL$110:CL$114,$F33+1)+IF(AND($E33=1,LY33=0),1000,0),MIN(TX33,20)*400+(IF('calcA'!CK$106=1,1-GI33,0)+IF('calcA'!CL$106=1,1-GK33,0))*150+154+'calcA'!CL$5*100000+IF(AND($E33=1,LY33=0),50000,0))+IF($H33=1,INDEX('calcA'!$D$180:$EQ$219,$B33,87)*4000,0)-IF(AND('calcA'!CK$117=1,XI33&gt;0),2000,0)-IF(AND($U33=1,'calcA'!CL$117=1,GK33=0),2000,0))),1000000000))</f>
        <v/>
      </c>
      <c r="RO33">
        <f>IF($B33=0,1000000000,IF(INDEX('calcA'!$D$60:$EQ$99,$B33,88)*IF($W33=1,GK33+ACZ33,GK33)=1,IF(AND($E33=2,IF($W33=1,AIO33,LZ33)=0),1000000000,IF($V33=1,INDEX('calcA'!$D$130:$EQ$169,$B33,88)+IF(AND($E33=1,LZ33=0),25,0),IF($F33&gt;0,INDEX('calcA'!CM$110:CM$114,$F33+1)+IF(AND($E33=1,LZ33=0),1000,0),MIN(TX33,20)*400+(IF('calcA'!CL$106=1,1-GJ33,0)+IF('calcA'!CM$106=1,1-GL33,0))*150+164+'calcA'!CM$5*100000+IF(AND($E33=1,LZ33=0),50000,0))+IF($H33=1,INDEX('calcA'!$D$180:$EQ$219,$B33,88)*4000,0)-IF(AND('calcA'!CL$117=1,XJ33&gt;0),2000,0)-IF(AND($U33=1,'calcA'!CM$117=1,GL33=0),2000,0))),1000000000))</f>
        <v/>
      </c>
      <c r="RP33">
        <f>IF($B33=0,1000000000,IF(INDEX('calcA'!$D$60:$EQ$99,$B33,89)*IF($W33=1,GL33+ADA33,GL33)=1,IF(AND($E33=2,IF($W33=1,AIP33,MA33)=0),1000000000,IF($V33=1,INDEX('calcA'!$D$130:$EQ$169,$B33,89)+IF(AND($E33=1,MA33=0),25,0),IF($F33&gt;0,INDEX('calcA'!CN$110:CN$114,$F33+1)+IF(AND($E33=1,MA33=0),1000,0),MIN(TX33,20)*400+(IF('calcA'!CM$106=1,1-GK33,0)+IF('calcA'!CN$106=1,1-GM33,0))*150+174+'calcA'!CN$5*100000+IF(AND($E33=1,MA33=0),50000,0))+IF($H33=1,INDEX('calcA'!$D$180:$EQ$219,$B33,89)*4000,0)-IF(AND('calcA'!CM$117=1,XK33&gt;0),2000,0)-IF(AND($U33=1,'calcA'!CN$117=1,GM33=0),2000,0))),1000000000))</f>
        <v/>
      </c>
      <c r="RQ33">
        <f>IF($B33=0,1000000000,IF(INDEX('calcA'!$D$60:$EQ$99,$B33,90)*IF($W33=1,GM33+ADB33,GM33)=1,IF(AND($E33=2,IF($W33=1,AIQ33,MB33)=0),1000000000,IF($V33=1,INDEX('calcA'!$D$130:$EQ$169,$B33,90)+IF(AND($E33=1,MB33=0),25,0),IF($F33&gt;0,INDEX('calcA'!CO$110:CO$114,$F33+1)+IF(AND($E33=1,MB33=0),1000,0),MIN(TX33,20)*400+(IF('calcA'!CN$106=1,1-GL33,0)+IF('calcA'!CO$106=1,1-GN33,0))*150+184+'calcA'!CO$5*100000+IF(AND($E33=1,MB33=0),50000,0))+IF($H33=1,INDEX('calcA'!$D$180:$EQ$219,$B33,90)*4000,0)-IF(AND('calcA'!CN$117=1,XL33&gt;0),2000,0)-IF(AND($U33=1,'calcA'!CO$117=1,GN33=0),2000,0))),1000000000))</f>
        <v/>
      </c>
      <c r="RR33">
        <f>IF($B33=0,1000000000,IF(INDEX('calcA'!$D$60:$EQ$99,$B33,91)*IF($W33=1,GN33+ADC33,GN33)=1,IF(AND($E33=2,IF($W33=1,AIR33,MC33)=0),1000000000,IF($V33=1,INDEX('calcA'!$D$130:$EQ$169,$B33,91)+IF(AND($E33=1,MC33=0),25,0),IF($F33&gt;0,INDEX('calcA'!CP$110:CP$114,$F33+1)+IF(AND($E33=1,MC33=0),1000,0),MIN(TX33,20)*400+(IF('calcA'!CO$106=1,1-GM33,0)+IF('calcA'!CP$106=1,1-GO33,0))*150+194+'calcA'!CP$5*100000+IF(AND($E33=1,MC33=0),50000,0))+IF($H33=1,INDEX('calcA'!$D$180:$EQ$219,$B33,91)*4000,0)-IF(AND('calcA'!CO$117=1,XM33&gt;0),2000,0)-IF(AND($U33=1,'calcA'!CP$117=1,GO33=0),2000,0))),1000000000))</f>
        <v/>
      </c>
      <c r="RS33">
        <f>IF($B33=0,1000000000,IF(INDEX('calcA'!$D$60:$EQ$99,$B33,92)*IF($W33=1,GO33+ADD33,GO33)=1,IF(AND($E33=2,IF($W33=1,AIS33,MD33)=0),1000000000,IF($V33=1,INDEX('calcA'!$D$130:$EQ$169,$B33,92)+IF(AND($E33=1,MD33=0),25,0),IF($F33&gt;0,INDEX('calcA'!CQ$110:CQ$114,$F33+1)+IF(AND($E33=1,MD33=0),1000,0),MIN(TX33,20)*400+(IF('calcA'!CP$106=1,1-GN33,0)+IF('calcA'!CQ$106=1,1-GP33,0))*150+204+'calcA'!CQ$5*100000+IF(AND($E33=1,MD33=0),50000,0))+IF($H33=1,INDEX('calcA'!$D$180:$EQ$219,$B33,92)*4000,0)-IF(AND('calcA'!CP$117=1,XN33&gt;0),2000,0)-IF(AND($U33=1,'calcA'!CQ$117=1,GP33=0),2000,0))),1000000000))</f>
        <v/>
      </c>
      <c r="RT33">
        <f>IF($B33=0,1000000000,IF(INDEX('calcA'!$D$60:$EQ$99,$B33,93)*IF($W33=1,GP33+ADE33,GP33)=1,IF(AND($E33=2,IF($W33=1,AIT33,ME33)=0),1000000000,IF($V33=1,INDEX('calcA'!$D$130:$EQ$169,$B33,93)+IF(AND($E33=1,ME33=0),25,0),IF($F33&gt;0,INDEX('calcA'!CR$110:CR$114,$F33+1)+IF(AND($E33=1,ME33=0),1000,0),MIN(TX33,20)*400+(IF('calcA'!CQ$106=1,1-GO33,0)+IF('calcA'!CR$106=1,1-GQ33,0))*150+214+'calcA'!CR$5*100000+IF(AND($E33=1,ME33=0),50000,0))+IF($H33=1,INDEX('calcA'!$D$180:$EQ$219,$B33,93)*4000,0)-IF(AND('calcA'!CQ$117=1,XO33&gt;0),2000,0)-IF(AND($U33=1,'calcA'!CR$117=1,GQ33=0),2000,0))),1000000000))</f>
        <v/>
      </c>
      <c r="RU33">
        <f>IF($B33=0,1000000000,IF(INDEX('calcA'!$D$60:$EQ$99,$B33,94)*IF($W33=1,GQ33+ADF33,GQ33)=1,IF(AND($E33=2,IF($W33=1,AIU33,MF33)=0),1000000000,IF($V33=1,INDEX('calcA'!$D$130:$EQ$169,$B33,94)+IF(AND($E33=1,MF33=0),25,0),IF($F33&gt;0,INDEX('calcA'!CS$110:CS$114,$F33+1)+IF(AND($E33=1,MF33=0),1000,0),MIN(TX33,20)*400+(IF('calcA'!CR$106=1,1-GP33,0)+IF('calcA'!CS$106=1,1-GR33,0))*150+224+'calcA'!CS$5*100000+IF(AND($E33=1,MF33=0),50000,0))+IF($H33=1,INDEX('calcA'!$D$180:$EQ$219,$B33,94)*4000,0)-IF(AND('calcA'!CR$117=1,XP33&gt;0),2000,0)-IF(AND($U33=1,'calcA'!CS$117=1,GR33=0),2000,0))),1000000000))</f>
        <v/>
      </c>
      <c r="RV33">
        <f>IF($B33=0,1000000000,IF(INDEX('calcA'!$D$60:$EQ$99,$B33,95)*IF($W33=1,GR33+ADG33,GR33)=1,IF(AND($E33=2,IF($W33=1,AIV33,MG33)=0),1000000000,IF($V33=1,INDEX('calcA'!$D$130:$EQ$169,$B33,95)+IF(AND($E33=1,MG33=0),25,0),IF($F33&gt;0,INDEX('calcA'!CT$110:CT$114,$F33+1)+IF(AND($E33=1,MG33=0),1000,0),MIN(TX33,20)*400+(IF('calcA'!CS$106=1,1-GQ33,0)+IF('calcA'!CT$106=1,1-GS33,0))*150+234+'calcA'!CT$5*100000+IF(AND($E33=1,MG33=0),50000,0))+IF($H33=1,INDEX('calcA'!$D$180:$EQ$219,$B33,95)*4000,0)-IF(AND('calcA'!CS$117=1,XQ33&gt;0),2000,0)-IF(AND($U33=1,'calcA'!CT$117=1,GS33=0),2000,0))),1000000000))</f>
        <v/>
      </c>
      <c r="RW33">
        <f>IF($B33=0,1000000000,IF(INDEX('calcA'!$D$60:$EQ$99,$B33,96)*IF($W33=1,GS33+ADH33,GS33)=1,IF(AND($E33=2,IF($W33=1,AIW33,MH33)=0),1000000000,IF($V33=1,INDEX('calcA'!$D$130:$EQ$169,$B33,96)+IF(AND($E33=1,MH33=0),25,0),IF($F33&gt;0,INDEX('calcA'!CU$110:CU$114,$F33+1)+IF(AND($E33=1,MH33=0),1000,0),MIN(TX33,20)*400+(IF('calcA'!CT$106=1,1-GR33,0))*150+244+'calcA'!CU$5*100000+IF(AND($E33=1,MH33=0),50000,0))+IF($H33=1,INDEX('calcA'!$D$180:$EQ$219,$B33,96)*4000,0)-IF(AND('calcA'!CT$117=1,XR33&gt;0),2000,0))),1000000000))</f>
        <v/>
      </c>
      <c r="RX33">
        <f>IF($B33=0,1000000000,IF(INDEX('calcA'!$D$60:$EQ$99,$B33,97)*IF($W33=1,GT33+ADI33,GT33)=1,IF(AND($E33=2,IF($W33=1,AIX33,MI33)=0),1000000000,IF($V33=1,INDEX('calcA'!$D$130:$EQ$169,$B33,97)+IF(AND($E33=1,MI33=0),25,0),IF($F33&gt;0,INDEX('calcA'!CV$110:CV$114,$F33+1)+IF(AND($E33=1,MI33=0),1000,0),MIN(TY33,20)*400+(IF('calcA'!CV$106=1,1-GU33,0))*150+15+'calcA'!CV$5*100000+IF(AND($E33=1,MI33=0),50000,0))+IF($H33=1,INDEX('calcA'!$D$180:$EQ$219,$B33,97)*4000,0)-IF(AND($U33=1,'calcA'!CV$117=1,GU33=0),2000,0))),1000000000))</f>
        <v/>
      </c>
      <c r="RY33">
        <f>IF($B33=0,1000000000,IF(INDEX('calcA'!$D$60:$EQ$99,$B33,98)*IF($W33=1,GU33+ADJ33,GU33)=1,IF(AND($E33=2,IF($W33=1,AIY33,MJ33)=0),1000000000,IF($V33=1,INDEX('calcA'!$D$130:$EQ$169,$B33,98)+IF(AND($E33=1,MJ33=0),25,0),IF($F33&gt;0,INDEX('calcA'!CW$110:CW$114,$F33+1)+IF(AND($E33=1,MJ33=0),1000,0),MIN(TY33,20)*400+(IF('calcA'!CV$106=1,1-GT33,0)+IF('calcA'!CW$106=1,1-GV33,0))*150+25+'calcA'!CW$5*100000+IF(AND($E33=1,MJ33=0),50000,0))+IF($H33=1,INDEX('calcA'!$D$180:$EQ$219,$B33,98)*4000,0)-IF(AND('calcA'!CV$117=1,XT33&gt;0),2000,0)-IF(AND($U33=1,'calcA'!CW$117=1,GV33=0),2000,0))),1000000000))</f>
        <v/>
      </c>
      <c r="RZ33">
        <f>IF($B33=0,1000000000,IF(INDEX('calcA'!$D$60:$EQ$99,$B33,99)*IF($W33=1,GV33+ADK33,GV33)=1,IF(AND($E33=2,IF($W33=1,AIZ33,MK33)=0),1000000000,IF($V33=1,INDEX('calcA'!$D$130:$EQ$169,$B33,99)+IF(AND($E33=1,MK33=0),25,0),IF($F33&gt;0,INDEX('calcA'!CX$110:CX$114,$F33+1)+IF(AND($E33=1,MK33=0),1000,0),MIN(TY33,20)*400+(IF('calcA'!CW$106=1,1-GU33,0)+IF('calcA'!CX$106=1,1-GW33,0))*150+35+'calcA'!CX$5*100000+IF(AND($E33=1,MK33=0),50000,0))+IF($H33=1,INDEX('calcA'!$D$180:$EQ$219,$B33,99)*4000,0)-IF(AND('calcA'!CW$117=1,XU33&gt;0),2000,0)-IF(AND($U33=1,'calcA'!CX$117=1,GW33=0),2000,0))),1000000000))</f>
        <v/>
      </c>
      <c r="SA33">
        <f>IF($B33=0,1000000000,IF(INDEX('calcA'!$D$60:$EQ$99,$B33,100)*IF($W33=1,GW33+ADL33,GW33)=1,IF(AND($E33=2,IF($W33=1,AJA33,ML33)=0),1000000000,IF($V33=1,INDEX('calcA'!$D$130:$EQ$169,$B33,100)+IF(AND($E33=1,ML33=0),25,0),IF($F33&gt;0,INDEX('calcA'!CY$110:CY$114,$F33+1)+IF(AND($E33=1,ML33=0),1000,0),MIN(TY33,20)*400+(IF('calcA'!CX$106=1,1-GV33,0)+IF('calcA'!CY$106=1,1-GX33,0))*150+45+'calcA'!CY$5*100000+IF(AND($E33=1,ML33=0),50000,0))+IF($H33=1,INDEX('calcA'!$D$180:$EQ$219,$B33,100)*4000,0)-IF(AND('calcA'!CX$117=1,XV33&gt;0),2000,0)-IF(AND($U33=1,'calcA'!CY$117=1,GX33=0),2000,0))),1000000000))</f>
        <v/>
      </c>
      <c r="SB33">
        <f>IF($B33=0,1000000000,IF(INDEX('calcA'!$D$60:$EQ$99,$B33,101)*IF($W33=1,GX33+ADM33,GX33)=1,IF(AND($E33=2,IF($W33=1,AJB33,MM33)=0),1000000000,IF($V33=1,INDEX('calcA'!$D$130:$EQ$169,$B33,101)+IF(AND($E33=1,MM33=0),25,0),IF($F33&gt;0,INDEX('calcA'!CZ$110:CZ$114,$F33+1)+IF(AND($E33=1,MM33=0),1000,0),MIN(TY33,20)*400+(IF('calcA'!CY$106=1,1-GW33,0)+IF('calcA'!CZ$106=1,1-GY33,0))*150+55+'calcA'!CZ$5*100000+IF(AND($E33=1,MM33=0),50000,0))+IF($H33=1,INDEX('calcA'!$D$180:$EQ$219,$B33,101)*4000,0)-IF(AND('calcA'!CY$117=1,XW33&gt;0),2000,0)-IF(AND($U33=1,'calcA'!CZ$117=1,GY33=0),2000,0))),1000000000))</f>
        <v/>
      </c>
      <c r="SC33">
        <f>IF($B33=0,1000000000,IF(INDEX('calcA'!$D$60:$EQ$99,$B33,102)*IF($W33=1,GY33+ADN33,GY33)=1,IF(AND($E33=2,IF($W33=1,AJC33,MN33)=0),1000000000,IF($V33=1,INDEX('calcA'!$D$130:$EQ$169,$B33,102)+IF(AND($E33=1,MN33=0),25,0),IF($F33&gt;0,INDEX('calcA'!DA$110:DA$114,$F33+1)+IF(AND($E33=1,MN33=0),1000,0),MIN(TY33,20)*400+(IF('calcA'!CZ$106=1,1-GX33,0)+IF('calcA'!DA$106=1,1-GZ33,0))*150+65+'calcA'!DA$5*100000+IF(AND($E33=1,MN33=0),50000,0))+IF($H33=1,INDEX('calcA'!$D$180:$EQ$219,$B33,102)*4000,0)-IF(AND('calcA'!CZ$117=1,XX33&gt;0),2000,0)-IF(AND($U33=1,'calcA'!DA$117=1,GZ33=0),2000,0))),1000000000))</f>
        <v/>
      </c>
      <c r="SD33">
        <f>IF($B33=0,1000000000,IF(INDEX('calcA'!$D$60:$EQ$99,$B33,103)*IF($W33=1,GZ33+ADO33,GZ33)=1,IF(AND($E33=2,IF($W33=1,AJD33,MO33)=0),1000000000,IF($V33=1,INDEX('calcA'!$D$130:$EQ$169,$B33,103)+IF(AND($E33=1,MO33=0),25,0),IF($F33&gt;0,INDEX('calcA'!DB$110:DB$114,$F33+1)+IF(AND($E33=1,MO33=0),1000,0),MIN(TY33,20)*400+(IF('calcA'!DA$106=1,1-GY33,0)+IF('calcA'!DB$106=1,1-HA33,0))*150+75+'calcA'!DB$5*100000+IF(AND($E33=1,MO33=0),50000,0))+IF($H33=1,INDEX('calcA'!$D$180:$EQ$219,$B33,103)*4000,0)-IF(AND('calcA'!DA$117=1,XY33&gt;0),2000,0)-IF(AND($U33=1,'calcA'!DB$117=1,HA33=0),2000,0))),1000000000))</f>
        <v/>
      </c>
      <c r="SE33">
        <f>IF($B33=0,1000000000,IF(INDEX('calcA'!$D$60:$EQ$99,$B33,104)*IF($W33=1,HA33+ADP33,HA33)=1,IF(AND($E33=2,IF($W33=1,AJE33,MP33)=0),1000000000,IF($V33=1,INDEX('calcA'!$D$130:$EQ$169,$B33,104)+IF(AND($E33=1,MP33=0),25,0),IF($F33&gt;0,INDEX('calcA'!DC$110:DC$114,$F33+1)+IF(AND($E33=1,MP33=0),1000,0),MIN(TY33,20)*400+(IF('calcA'!DB$106=1,1-GZ33,0)+IF('calcA'!DC$106=1,1-HB33,0))*150+85+'calcA'!DC$5*100000+IF(AND($E33=1,MP33=0),50000,0))+IF($H33=1,INDEX('calcA'!$D$180:$EQ$219,$B33,104)*4000,0)-IF(AND('calcA'!DB$117=1,XZ33&gt;0),2000,0)-IF(AND($U33=1,'calcA'!DC$117=1,HB33=0),2000,0))),1000000000))</f>
        <v/>
      </c>
      <c r="SF33">
        <f>IF($B33=0,1000000000,IF(INDEX('calcA'!$D$60:$EQ$99,$B33,105)*IF($W33=1,HB33+ADQ33,HB33)=1,IF(AND($E33=2,IF($W33=1,AJF33,MQ33)=0),1000000000,IF($V33=1,INDEX('calcA'!$D$130:$EQ$169,$B33,105)+IF(AND($E33=1,MQ33=0),25,0),IF($F33&gt;0,INDEX('calcA'!DD$110:DD$114,$F33+1)+IF(AND($E33=1,MQ33=0),1000,0),MIN(TY33,20)*400+(IF('calcA'!DC$106=1,1-HA33,0)+IF('calcA'!DD$106=1,1-HC33,0))*150+95+'calcA'!DD$5*100000+IF(AND($E33=1,MQ33=0),50000,0))+IF($H33=1,INDEX('calcA'!$D$180:$EQ$219,$B33,105)*4000,0)-IF(AND('calcA'!DC$117=1,YA33&gt;0),2000,0)-IF(AND($U33=1,'calcA'!DD$117=1,HC33=0),2000,0))),1000000000))</f>
        <v/>
      </c>
      <c r="SG33">
        <f>IF($B33=0,1000000000,IF(INDEX('calcA'!$D$60:$EQ$99,$B33,106)*IF($W33=1,HC33+ADR33,HC33)=1,IF(AND($E33=2,IF($W33=1,AJG33,MR33)=0),1000000000,IF($V33=1,INDEX('calcA'!$D$130:$EQ$169,$B33,106)+IF(AND($E33=1,MR33=0),25,0),IF($F33&gt;0,INDEX('calcA'!DE$110:DE$114,$F33+1)+IF(AND($E33=1,MR33=0),1000,0),MIN(TY33,20)*400+(IF('calcA'!DD$106=1,1-HB33,0)+IF('calcA'!DE$106=1,1-HD33,0))*150+105+'calcA'!DE$5*100000+IF(AND($E33=1,MR33=0),50000,0))+IF($H33=1,INDEX('calcA'!$D$180:$EQ$219,$B33,106)*4000,0)-IF(AND('calcA'!DD$117=1,YB33&gt;0),2000,0)-IF(AND($U33=1,'calcA'!DE$117=1,HD33=0),2000,0))),1000000000))</f>
        <v/>
      </c>
      <c r="SH33">
        <f>IF($B33=0,1000000000,IF(INDEX('calcA'!$D$60:$EQ$99,$B33,107)*IF($W33=1,HD33+ADS33,HD33)=1,IF(AND($E33=2,IF($W33=1,AJH33,MS33)=0),1000000000,IF($V33=1,INDEX('calcA'!$D$130:$EQ$169,$B33,107)+IF(AND($E33=1,MS33=0),25,0),IF($F33&gt;0,INDEX('calcA'!DF$110:DF$114,$F33+1)+IF(AND($E33=1,MS33=0),1000,0),MIN(TY33,20)*400+(IF('calcA'!DE$106=1,1-HC33,0)+IF('calcA'!DF$106=1,1-HE33,0))*150+115+'calcA'!DF$5*100000+IF(AND($E33=1,MS33=0),50000,0))+IF($H33=1,INDEX('calcA'!$D$180:$EQ$219,$B33,107)*4000,0)-IF(AND('calcA'!DE$117=1,YC33&gt;0),2000,0)-IF(AND($U33=1,'calcA'!DF$117=1,HE33=0),2000,0))),1000000000))</f>
        <v/>
      </c>
      <c r="SI33">
        <f>IF($B33=0,1000000000,IF(INDEX('calcA'!$D$60:$EQ$99,$B33,108)*IF($W33=1,HE33+ADT33,HE33)=1,IF(AND($E33=2,IF($W33=1,AJI33,MT33)=0),1000000000,IF($V33=1,INDEX('calcA'!$D$130:$EQ$169,$B33,108)+IF(AND($E33=1,MT33=0),25,0),IF($F33&gt;0,INDEX('calcA'!DG$110:DG$114,$F33+1)+IF(AND($E33=1,MT33=0),1000,0),MIN(TY33,20)*400+(IF('calcA'!DF$106=1,1-HD33,0)+IF('calcA'!DG$106=1,1-HF33,0))*150+125+'calcA'!DG$5*100000+IF(AND($E33=1,MT33=0),50000,0))+IF($H33=1,INDEX('calcA'!$D$180:$EQ$219,$B33,108)*4000,0)-IF(AND('calcA'!DF$117=1,YD33&gt;0),2000,0)-IF(AND($U33=1,'calcA'!DG$117=1,HF33=0),2000,0))),1000000000))</f>
        <v/>
      </c>
      <c r="SJ33">
        <f>IF($B33=0,1000000000,IF(INDEX('calcA'!$D$60:$EQ$99,$B33,109)*IF($W33=1,HF33+ADU33,HF33)=1,IF(AND($E33=2,IF($W33=1,AJJ33,MU33)=0),1000000000,IF($V33=1,INDEX('calcA'!$D$130:$EQ$169,$B33,109)+IF(AND($E33=1,MU33=0),25,0),IF($F33&gt;0,INDEX('calcA'!DH$110:DH$114,$F33+1)+IF(AND($E33=1,MU33=0),1000,0),MIN(TY33,20)*400+(IF('calcA'!DG$106=1,1-HE33,0)+IF('calcA'!DH$106=1,1-HG33,0))*150+135+'calcA'!DH$5*100000+IF(AND($E33=1,MU33=0),50000,0))+IF($H33=1,INDEX('calcA'!$D$180:$EQ$219,$B33,109)*4000,0)-IF(AND('calcA'!DG$117=1,YE33&gt;0),2000,0)-IF(AND($U33=1,'calcA'!DH$117=1,HG33=0),2000,0))),1000000000))</f>
        <v/>
      </c>
      <c r="SK33">
        <f>IF($B33=0,1000000000,IF(INDEX('calcA'!$D$60:$EQ$99,$B33,110)*IF($W33=1,HG33+ADV33,HG33)=1,IF(AND($E33=2,IF($W33=1,AJK33,MV33)=0),1000000000,IF($V33=1,INDEX('calcA'!$D$130:$EQ$169,$B33,110)+IF(AND($E33=1,MV33=0),25,0),IF($F33&gt;0,INDEX('calcA'!DI$110:DI$114,$F33+1)+IF(AND($E33=1,MV33=0),1000,0),MIN(TY33,20)*400+(IF('calcA'!DH$106=1,1-HF33,0)+IF('calcA'!DI$106=1,1-HH33,0))*150+145+'calcA'!DI$5*100000+IF(AND($E33=1,MV33=0),50000,0))+IF($H33=1,INDEX('calcA'!$D$180:$EQ$219,$B33,110)*4000,0)-IF(AND('calcA'!DH$117=1,YF33&gt;0),2000,0)-IF(AND($U33=1,'calcA'!DI$117=1,HH33=0),2000,0))),1000000000))</f>
        <v/>
      </c>
      <c r="SL33">
        <f>IF($B33=0,1000000000,IF(INDEX('calcA'!$D$60:$EQ$99,$B33,111)*IF($W33=1,HH33+ADW33,HH33)=1,IF(AND($E33=2,IF($W33=1,AJL33,MW33)=0),1000000000,IF($V33=1,INDEX('calcA'!$D$130:$EQ$169,$B33,111)+IF(AND($E33=1,MW33=0),25,0),IF($F33&gt;0,INDEX('calcA'!DJ$110:DJ$114,$F33+1)+IF(AND($E33=1,MW33=0),1000,0),MIN(TY33,20)*400+(IF('calcA'!DI$106=1,1-HG33,0)+IF('calcA'!DJ$106=1,1-HI33,0))*150+155+'calcA'!DJ$5*100000+IF(AND($E33=1,MW33=0),50000,0))+IF($H33=1,INDEX('calcA'!$D$180:$EQ$219,$B33,111)*4000,0)-IF(AND('calcA'!DI$117=1,YG33&gt;0),2000,0)-IF(AND($U33=1,'calcA'!DJ$117=1,HI33=0),2000,0))),1000000000))</f>
        <v/>
      </c>
      <c r="SM33">
        <f>IF($B33=0,1000000000,IF(INDEX('calcA'!$D$60:$EQ$99,$B33,112)*IF($W33=1,HI33+ADX33,HI33)=1,IF(AND($E33=2,IF($W33=1,AJM33,MX33)=0),1000000000,IF($V33=1,INDEX('calcA'!$D$130:$EQ$169,$B33,112)+IF(AND($E33=1,MX33=0),25,0),IF($F33&gt;0,INDEX('calcA'!DK$110:DK$114,$F33+1)+IF(AND($E33=1,MX33=0),1000,0),MIN(TY33,20)*400+(IF('calcA'!DJ$106=1,1-HH33,0)+IF('calcA'!DK$106=1,1-HJ33,0))*150+165+'calcA'!DK$5*100000+IF(AND($E33=1,MX33=0),50000,0))+IF($H33=1,INDEX('calcA'!$D$180:$EQ$219,$B33,112)*4000,0)-IF(AND('calcA'!DJ$117=1,YH33&gt;0),2000,0)-IF(AND($U33=1,'calcA'!DK$117=1,HJ33=0),2000,0))),1000000000))</f>
        <v/>
      </c>
      <c r="SN33">
        <f>IF($B33=0,1000000000,IF(INDEX('calcA'!$D$60:$EQ$99,$B33,113)*IF($W33=1,HJ33+ADY33,HJ33)=1,IF(AND($E33=2,IF($W33=1,AJN33,MY33)=0),1000000000,IF($V33=1,INDEX('calcA'!$D$130:$EQ$169,$B33,113)+IF(AND($E33=1,MY33=0),25,0),IF($F33&gt;0,INDEX('calcA'!DL$110:DL$114,$F33+1)+IF(AND($E33=1,MY33=0),1000,0),MIN(TY33,20)*400+(IF('calcA'!DK$106=1,1-HI33,0)+IF('calcA'!DL$106=1,1-HK33,0))*150+175+'calcA'!DL$5*100000+IF(AND($E33=1,MY33=0),50000,0))+IF($H33=1,INDEX('calcA'!$D$180:$EQ$219,$B33,113)*4000,0)-IF(AND('calcA'!DK$117=1,YI33&gt;0),2000,0)-IF(AND($U33=1,'calcA'!DL$117=1,HK33=0),2000,0))),1000000000))</f>
        <v/>
      </c>
      <c r="SO33">
        <f>IF($B33=0,1000000000,IF(INDEX('calcA'!$D$60:$EQ$99,$B33,114)*IF($W33=1,HK33+ADZ33,HK33)=1,IF(AND($E33=2,IF($W33=1,AJO33,MZ33)=0),1000000000,IF($V33=1,INDEX('calcA'!$D$130:$EQ$169,$B33,114)+IF(AND($E33=1,MZ33=0),25,0),IF($F33&gt;0,INDEX('calcA'!DM$110:DM$114,$F33+1)+IF(AND($E33=1,MZ33=0),1000,0),MIN(TY33,20)*400+(IF('calcA'!DL$106=1,1-HJ33,0)+IF('calcA'!DM$106=1,1-HL33,0))*150+185+'calcA'!DM$5*100000+IF(AND($E33=1,MZ33=0),50000,0))+IF($H33=1,INDEX('calcA'!$D$180:$EQ$219,$B33,114)*4000,0)-IF(AND('calcA'!DL$117=1,YJ33&gt;0),2000,0)-IF(AND($U33=1,'calcA'!DM$117=1,HL33=0),2000,0))),1000000000))</f>
        <v/>
      </c>
      <c r="SP33">
        <f>IF($B33=0,1000000000,IF(INDEX('calcA'!$D$60:$EQ$99,$B33,115)*IF($W33=1,HL33+AEA33,HL33)=1,IF(AND($E33=2,IF($W33=1,AJP33,NA33)=0),1000000000,IF($V33=1,INDEX('calcA'!$D$130:$EQ$169,$B33,115)+IF(AND($E33=1,NA33=0),25,0),IF($F33&gt;0,INDEX('calcA'!DN$110:DN$114,$F33+1)+IF(AND($E33=1,NA33=0),1000,0),MIN(TY33,20)*400+(IF('calcA'!DM$106=1,1-HK33,0)+IF('calcA'!DN$106=1,1-HM33,0))*150+195+'calcA'!DN$5*100000+IF(AND($E33=1,NA33=0),50000,0))+IF($H33=1,INDEX('calcA'!$D$180:$EQ$219,$B33,115)*4000,0)-IF(AND('calcA'!DM$117=1,YK33&gt;0),2000,0)-IF(AND($U33=1,'calcA'!DN$117=1,HM33=0),2000,0))),1000000000))</f>
        <v/>
      </c>
      <c r="SQ33">
        <f>IF($B33=0,1000000000,IF(INDEX('calcA'!$D$60:$EQ$99,$B33,116)*IF($W33=1,HM33+AEB33,HM33)=1,IF(AND($E33=2,IF($W33=1,AJQ33,NB33)=0),1000000000,IF($V33=1,INDEX('calcA'!$D$130:$EQ$169,$B33,116)+IF(AND($E33=1,NB33=0),25,0),IF($F33&gt;0,INDEX('calcA'!DO$110:DO$114,$F33+1)+IF(AND($E33=1,NB33=0),1000,0),MIN(TY33,20)*400+(IF('calcA'!DN$106=1,1-HL33,0)+IF('calcA'!DO$106=1,1-HN33,0))*150+205+'calcA'!DO$5*100000+IF(AND($E33=1,NB33=0),50000,0))+IF($H33=1,INDEX('calcA'!$D$180:$EQ$219,$B33,116)*4000,0)-IF(AND('calcA'!DN$117=1,YL33&gt;0),2000,0)-IF(AND($U33=1,'calcA'!DO$117=1,HN33=0),2000,0))),1000000000))</f>
        <v/>
      </c>
      <c r="SR33">
        <f>IF($B33=0,1000000000,IF(INDEX('calcA'!$D$60:$EQ$99,$B33,117)*IF($W33=1,HN33+AEC33,HN33)=1,IF(AND($E33=2,IF($W33=1,AJR33,NC33)=0),1000000000,IF($V33=1,INDEX('calcA'!$D$130:$EQ$169,$B33,117)+IF(AND($E33=1,NC33=0),25,0),IF($F33&gt;0,INDEX('calcA'!DP$110:DP$114,$F33+1)+IF(AND($E33=1,NC33=0),1000,0),MIN(TY33,20)*400+(IF('calcA'!DO$106=1,1-HM33,0)+IF('calcA'!DP$106=1,1-HO33,0))*150+215+'calcA'!DP$5*100000+IF(AND($E33=1,NC33=0),50000,0))+IF($H33=1,INDEX('calcA'!$D$180:$EQ$219,$B33,117)*4000,0)-IF(AND('calcA'!DO$117=1,YM33&gt;0),2000,0)-IF(AND($U33=1,'calcA'!DP$117=1,HO33=0),2000,0))),1000000000))</f>
        <v/>
      </c>
      <c r="SS33">
        <f>IF($B33=0,1000000000,IF(INDEX('calcA'!$D$60:$EQ$99,$B33,118)*IF($W33=1,HO33+AED33,HO33)=1,IF(AND($E33=2,IF($W33=1,AJS33,ND33)=0),1000000000,IF($V33=1,INDEX('calcA'!$D$130:$EQ$169,$B33,118)+IF(AND($E33=1,ND33=0),25,0),IF($F33&gt;0,INDEX('calcA'!DQ$110:DQ$114,$F33+1)+IF(AND($E33=1,ND33=0),1000,0),MIN(TY33,20)*400+(IF('calcA'!DP$106=1,1-HN33,0)+IF('calcA'!DQ$106=1,1-HP33,0))*150+225+'calcA'!DQ$5*100000+IF(AND($E33=1,ND33=0),50000,0))+IF($H33=1,INDEX('calcA'!$D$180:$EQ$219,$B33,118)*4000,0)-IF(AND('calcA'!DP$117=1,YN33&gt;0),2000,0)-IF(AND($U33=1,'calcA'!DQ$117=1,HP33=0),2000,0))),1000000000))</f>
        <v/>
      </c>
      <c r="ST33">
        <f>IF($B33=0,1000000000,IF(INDEX('calcA'!$D$60:$EQ$99,$B33,119)*IF($W33=1,HP33+AEE33,HP33)=1,IF(AND($E33=2,IF($W33=1,AJT33,NE33)=0),1000000000,IF($V33=1,INDEX('calcA'!$D$130:$EQ$169,$B33,119)+IF(AND($E33=1,NE33=0),25,0),IF($F33&gt;0,INDEX('calcA'!DR$110:DR$114,$F33+1)+IF(AND($E33=1,NE33=0),1000,0),MIN(TY33,20)*400+(IF('calcA'!DQ$106=1,1-HO33,0)+IF('calcA'!DR$106=1,1-HQ33,0))*150+235+'calcA'!DR$5*100000+IF(AND($E33=1,NE33=0),50000,0))+IF($H33=1,INDEX('calcA'!$D$180:$EQ$219,$B33,119)*4000,0)-IF(AND('calcA'!DQ$117=1,YO33&gt;0),2000,0)-IF(AND($U33=1,'calcA'!DR$117=1,HQ33=0),2000,0))),1000000000))</f>
        <v/>
      </c>
      <c r="SU33">
        <f>IF($B33=0,1000000000,IF(INDEX('calcA'!$D$60:$EQ$99,$B33,120)*IF($W33=1,HQ33+AEF33,HQ33)=1,IF(AND($E33=2,IF($W33=1,AJU33,NF33)=0),1000000000,IF($V33=1,INDEX('calcA'!$D$130:$EQ$169,$B33,120)+IF(AND($E33=1,NF33=0),25,0),IF($F33&gt;0,INDEX('calcA'!DS$110:DS$114,$F33+1)+IF(AND($E33=1,NF33=0),1000,0),MIN(TY33,20)*400+(IF('calcA'!DR$106=1,1-HP33,0))*150+245+'calcA'!DS$5*100000+IF(AND($E33=1,NF33=0),50000,0))+IF($H33=1,INDEX('calcA'!$D$180:$EQ$219,$B33,120)*4000,0)-IF(AND('calcA'!DR$117=1,YP33&gt;0),2000,0))),1000000000))</f>
        <v/>
      </c>
      <c r="SV33">
        <f>IF($B33=0,1000000000,IF(INDEX('calcA'!$D$60:$EQ$99,$B33,121)*IF($W33=1,HR33+AEG33,HR33)=1,IF(AND($E33=2,IF($W33=1,AJV33,NG33)=0),1000000000,IF($V33=1,INDEX('calcA'!$D$130:$EQ$169,$B33,121)+IF(AND($E33=1,NG33=0),25,0),IF($F33&gt;0,INDEX('calcA'!DT$110:DT$114,$F33+1)+IF(AND($E33=1,NG33=0),1000,0),MIN(TZ33,20)*400+(IF('calcA'!DT$106=1,1-HS33,0))*150+16+'calcA'!DT$5*100000+IF(AND($E33=1,NG33=0),50000,0))+IF($H33=1,INDEX('calcA'!$D$180:$EQ$219,$B33,121)*4000,0)-IF(AND($U33=1,'calcA'!DT$117=1,HS33=0),2000,0))),1000000000))</f>
        <v/>
      </c>
      <c r="SW33">
        <f>IF($B33=0,1000000000,IF(INDEX('calcA'!$D$60:$EQ$99,$B33,122)*IF($W33=1,HS33+AEH33,HS33)=1,IF(AND($E33=2,IF($W33=1,AJW33,NH33)=0),1000000000,IF($V33=1,INDEX('calcA'!$D$130:$EQ$169,$B33,122)+IF(AND($E33=1,NH33=0),25,0),IF($F33&gt;0,INDEX('calcA'!DU$110:DU$114,$F33+1)+IF(AND($E33=1,NH33=0),1000,0),MIN(TZ33,20)*400+(IF('calcA'!DT$106=1,1-HR33,0)+IF('calcA'!DU$106=1,1-HT33,0))*150+26+'calcA'!DU$5*100000+IF(AND($E33=1,NH33=0),50000,0))+IF($H33=1,INDEX('calcA'!$D$180:$EQ$219,$B33,122)*4000,0)-IF(AND('calcA'!DT$117=1,YR33&gt;0),2000,0)-IF(AND($U33=1,'calcA'!DU$117=1,HT33=0),2000,0))),1000000000))</f>
        <v/>
      </c>
      <c r="SX33">
        <f>IF($B33=0,1000000000,IF(INDEX('calcA'!$D$60:$EQ$99,$B33,123)*IF($W33=1,HT33+AEI33,HT33)=1,IF(AND($E33=2,IF($W33=1,AJX33,NI33)=0),1000000000,IF($V33=1,INDEX('calcA'!$D$130:$EQ$169,$B33,123)+IF(AND($E33=1,NI33=0),25,0),IF($F33&gt;0,INDEX('calcA'!DV$110:DV$114,$F33+1)+IF(AND($E33=1,NI33=0),1000,0),MIN(TZ33,20)*400+(IF('calcA'!DU$106=1,1-HS33,0)+IF('calcA'!DV$106=1,1-HU33,0))*150+36+'calcA'!DV$5*100000+IF(AND($E33=1,NI33=0),50000,0))+IF($H33=1,INDEX('calcA'!$D$180:$EQ$219,$B33,123)*4000,0)-IF(AND('calcA'!DU$117=1,YS33&gt;0),2000,0)-IF(AND($U33=1,'calcA'!DV$117=1,HU33=0),2000,0))),1000000000))</f>
        <v/>
      </c>
      <c r="SY33">
        <f>IF($B33=0,1000000000,IF(INDEX('calcA'!$D$60:$EQ$99,$B33,124)*IF($W33=1,HU33+AEJ33,HU33)=1,IF(AND($E33=2,IF($W33=1,AJY33,NJ33)=0),1000000000,IF($V33=1,INDEX('calcA'!$D$130:$EQ$169,$B33,124)+IF(AND($E33=1,NJ33=0),25,0),IF($F33&gt;0,INDEX('calcA'!DW$110:DW$114,$F33+1)+IF(AND($E33=1,NJ33=0),1000,0),MIN(TZ33,20)*400+(IF('calcA'!DV$106=1,1-HT33,0)+IF('calcA'!DW$106=1,1-HV33,0))*150+46+'calcA'!DW$5*100000+IF(AND($E33=1,NJ33=0),50000,0))+IF($H33=1,INDEX('calcA'!$D$180:$EQ$219,$B33,124)*4000,0)-IF(AND('calcA'!DV$117=1,YT33&gt;0),2000,0)-IF(AND($U33=1,'calcA'!DW$117=1,HV33=0),2000,0))),1000000000))</f>
        <v/>
      </c>
      <c r="SZ33">
        <f>IF($B33=0,1000000000,IF(INDEX('calcA'!$D$60:$EQ$99,$B33,125)*IF($W33=1,HV33+AEK33,HV33)=1,IF(AND($E33=2,IF($W33=1,AJZ33,NK33)=0),1000000000,IF($V33=1,INDEX('calcA'!$D$130:$EQ$169,$B33,125)+IF(AND($E33=1,NK33=0),25,0),IF($F33&gt;0,INDEX('calcA'!DX$110:DX$114,$F33+1)+IF(AND($E33=1,NK33=0),1000,0),MIN(TZ33,20)*400+(IF('calcA'!DW$106=1,1-HU33,0)+IF('calcA'!DX$106=1,1-HW33,0))*150+56+'calcA'!DX$5*100000+IF(AND($E33=1,NK33=0),50000,0))+IF($H33=1,INDEX('calcA'!$D$180:$EQ$219,$B33,125)*4000,0)-IF(AND('calcA'!DW$117=1,YU33&gt;0),2000,0)-IF(AND($U33=1,'calcA'!DX$117=1,HW33=0),2000,0))),1000000000))</f>
        <v/>
      </c>
      <c r="TA33">
        <f>IF($B33=0,1000000000,IF(INDEX('calcA'!$D$60:$EQ$99,$B33,126)*IF($W33=1,HW33+AEL33,HW33)=1,IF(AND($E33=2,IF($W33=1,AKA33,NL33)=0),1000000000,IF($V33=1,INDEX('calcA'!$D$130:$EQ$169,$B33,126)+IF(AND($E33=1,NL33=0),25,0),IF($F33&gt;0,INDEX('calcA'!DY$110:DY$114,$F33+1)+IF(AND($E33=1,NL33=0),1000,0),MIN(TZ33,20)*400+(IF('calcA'!DX$106=1,1-HV33,0)+IF('calcA'!DY$106=1,1-HX33,0))*150+66+'calcA'!DY$5*100000+IF(AND($E33=1,NL33=0),50000,0))+IF($H33=1,INDEX('calcA'!$D$180:$EQ$219,$B33,126)*4000,0)-IF(AND('calcA'!DX$117=1,YV33&gt;0),2000,0)-IF(AND($U33=1,'calcA'!DY$117=1,HX33=0),2000,0))),1000000000))</f>
        <v/>
      </c>
      <c r="TB33">
        <f>IF($B33=0,1000000000,IF(INDEX('calcA'!$D$60:$EQ$99,$B33,127)*IF($W33=1,HX33+AEM33,HX33)=1,IF(AND($E33=2,IF($W33=1,AKB33,NM33)=0),1000000000,IF($V33=1,INDEX('calcA'!$D$130:$EQ$169,$B33,127)+IF(AND($E33=1,NM33=0),25,0),IF($F33&gt;0,INDEX('calcA'!DZ$110:DZ$114,$F33+1)+IF(AND($E33=1,NM33=0),1000,0),MIN(TZ33,20)*400+(IF('calcA'!DY$106=1,1-HW33,0)+IF('calcA'!DZ$106=1,1-HY33,0))*150+76+'calcA'!DZ$5*100000+IF(AND($E33=1,NM33=0),50000,0))+IF($H33=1,INDEX('calcA'!$D$180:$EQ$219,$B33,127)*4000,0)-IF(AND('calcA'!DY$117=1,YW33&gt;0),2000,0)-IF(AND($U33=1,'calcA'!DZ$117=1,HY33=0),2000,0))),1000000000))</f>
        <v/>
      </c>
      <c r="TC33">
        <f>IF($B33=0,1000000000,IF(INDEX('calcA'!$D$60:$EQ$99,$B33,128)*IF($W33=1,HY33+AEN33,HY33)=1,IF(AND($E33=2,IF($W33=1,AKC33,NN33)=0),1000000000,IF($V33=1,INDEX('calcA'!$D$130:$EQ$169,$B33,128)+IF(AND($E33=1,NN33=0),25,0),IF($F33&gt;0,INDEX('calcA'!EA$110:EA$114,$F33+1)+IF(AND($E33=1,NN33=0),1000,0),MIN(TZ33,20)*400+(IF('calcA'!DZ$106=1,1-HX33,0)+IF('calcA'!EA$106=1,1-HZ33,0))*150+86+'calcA'!EA$5*100000+IF(AND($E33=1,NN33=0),50000,0))+IF($H33=1,INDEX('calcA'!$D$180:$EQ$219,$B33,128)*4000,0)-IF(AND('calcA'!DZ$117=1,YX33&gt;0),2000,0)-IF(AND($U33=1,'calcA'!EA$117=1,HZ33=0),2000,0))),1000000000))</f>
        <v/>
      </c>
      <c r="TD33">
        <f>IF($B33=0,1000000000,IF(INDEX('calcA'!$D$60:$EQ$99,$B33,129)*IF($W33=1,HZ33+AEO33,HZ33)=1,IF(AND($E33=2,IF($W33=1,AKD33,NO33)=0),1000000000,IF($V33=1,INDEX('calcA'!$D$130:$EQ$169,$B33,129)+IF(AND($E33=1,NO33=0),25,0),IF($F33&gt;0,INDEX('calcA'!EB$110:EB$114,$F33+1)+IF(AND($E33=1,NO33=0),1000,0),MIN(TZ33,20)*400+(IF('calcA'!EA$106=1,1-HY33,0)+IF('calcA'!EB$106=1,1-IA33,0))*150+96+'calcA'!EB$5*100000+IF(AND($E33=1,NO33=0),50000,0))+IF($H33=1,INDEX('calcA'!$D$180:$EQ$219,$B33,129)*4000,0)-IF(AND('calcA'!EA$117=1,YY33&gt;0),2000,0)-IF(AND($U33=1,'calcA'!EB$117=1,IA33=0),2000,0))),1000000000))</f>
        <v/>
      </c>
      <c r="TE33">
        <f>IF($B33=0,1000000000,IF(INDEX('calcA'!$D$60:$EQ$99,$B33,130)*IF($W33=1,IA33+AEP33,IA33)=1,IF(AND($E33=2,IF($W33=1,AKE33,NP33)=0),1000000000,IF($V33=1,INDEX('calcA'!$D$130:$EQ$169,$B33,130)+IF(AND($E33=1,NP33=0),25,0),IF($F33&gt;0,INDEX('calcA'!EC$110:EC$114,$F33+1)+IF(AND($E33=1,NP33=0),1000,0),MIN(TZ33,20)*400+(IF('calcA'!EB$106=1,1-HZ33,0)+IF('calcA'!EC$106=1,1-IB33,0))*150+106+'calcA'!EC$5*100000+IF(AND($E33=1,NP33=0),50000,0))+IF($H33=1,INDEX('calcA'!$D$180:$EQ$219,$B33,130)*4000,0)-IF(AND('calcA'!EB$117=1,YZ33&gt;0),2000,0)-IF(AND($U33=1,'calcA'!EC$117=1,IB33=0),2000,0))),1000000000))</f>
        <v/>
      </c>
      <c r="TF33">
        <f>IF($B33=0,1000000000,IF(INDEX('calcA'!$D$60:$EQ$99,$B33,131)*IF($W33=1,IB33+AEQ33,IB33)=1,IF(AND($E33=2,IF($W33=1,AKF33,NQ33)=0),1000000000,IF($V33=1,INDEX('calcA'!$D$130:$EQ$169,$B33,131)+IF(AND($E33=1,NQ33=0),25,0),IF($F33&gt;0,INDEX('calcA'!ED$110:ED$114,$F33+1)+IF(AND($E33=1,NQ33=0),1000,0),MIN(TZ33,20)*400+(IF('calcA'!EC$106=1,1-IA33,0)+IF('calcA'!ED$106=1,1-IC33,0))*150+116+'calcA'!ED$5*100000+IF(AND($E33=1,NQ33=0),50000,0))+IF($H33=1,INDEX('calcA'!$D$180:$EQ$219,$B33,131)*4000,0)-IF(AND('calcA'!EC$117=1,ZA33&gt;0),2000,0)-IF(AND($U33=1,'calcA'!ED$117=1,IC33=0),2000,0))),1000000000))</f>
        <v/>
      </c>
      <c r="TG33">
        <f>IF($B33=0,1000000000,IF(INDEX('calcA'!$D$60:$EQ$99,$B33,132)*IF($W33=1,IC33+AER33,IC33)=1,IF(AND($E33=2,IF($W33=1,AKG33,NR33)=0),1000000000,IF($V33=1,INDEX('calcA'!$D$130:$EQ$169,$B33,132)+IF(AND($E33=1,NR33=0),25,0),IF($F33&gt;0,INDEX('calcA'!EE$110:EE$114,$F33+1)+IF(AND($E33=1,NR33=0),1000,0),MIN(TZ33,20)*400+(IF('calcA'!ED$106=1,1-IB33,0)+IF('calcA'!EE$106=1,1-ID33,0))*150+126+'calcA'!EE$5*100000+IF(AND($E33=1,NR33=0),50000,0))+IF($H33=1,INDEX('calcA'!$D$180:$EQ$219,$B33,132)*4000,0)-IF(AND('calcA'!ED$117=1,ZB33&gt;0),2000,0)-IF(AND($U33=1,'calcA'!EE$117=1,ID33=0),2000,0))),1000000000))</f>
        <v/>
      </c>
      <c r="TH33">
        <f>IF($B33=0,1000000000,IF(INDEX('calcA'!$D$60:$EQ$99,$B33,133)*IF($W33=1,ID33+AES33,ID33)=1,IF(AND($E33=2,IF($W33=1,AKH33,NS33)=0),1000000000,IF($V33=1,INDEX('calcA'!$D$130:$EQ$169,$B33,133)+IF(AND($E33=1,NS33=0),25,0),IF($F33&gt;0,INDEX('calcA'!EF$110:EF$114,$F33+1)+IF(AND($E33=1,NS33=0),1000,0),MIN(TZ33,20)*400+(IF('calcA'!EE$106=1,1-IC33,0)+IF('calcA'!EF$106=1,1-IE33,0))*150+136+'calcA'!EF$5*100000+IF(AND($E33=1,NS33=0),50000,0))+IF($H33=1,INDEX('calcA'!$D$180:$EQ$219,$B33,133)*4000,0)-IF(AND('calcA'!EE$117=1,ZC33&gt;0),2000,0)-IF(AND($U33=1,'calcA'!EF$117=1,IE33=0),2000,0))),1000000000))</f>
        <v/>
      </c>
      <c r="TI33">
        <f>IF($B33=0,1000000000,IF(INDEX('calcA'!$D$60:$EQ$99,$B33,134)*IF($W33=1,IE33+AET33,IE33)=1,IF(AND($E33=2,IF($W33=1,AKI33,NT33)=0),1000000000,IF($V33=1,INDEX('calcA'!$D$130:$EQ$169,$B33,134)+IF(AND($E33=1,NT33=0),25,0),IF($F33&gt;0,INDEX('calcA'!EG$110:EG$114,$F33+1)+IF(AND($E33=1,NT33=0),1000,0),MIN(TZ33,20)*400+(IF('calcA'!EF$106=1,1-ID33,0)+IF('calcA'!EG$106=1,1-IF33,0))*150+146+'calcA'!EG$5*100000+IF(AND($E33=1,NT33=0),50000,0))+IF($H33=1,INDEX('calcA'!$D$180:$EQ$219,$B33,134)*4000,0)-IF(AND('calcA'!EF$117=1,ZD33&gt;0),2000,0)-IF(AND($U33=1,'calcA'!EG$117=1,IF33=0),2000,0))),1000000000))</f>
        <v/>
      </c>
      <c r="TJ33">
        <f>IF($B33=0,1000000000,IF(INDEX('calcA'!$D$60:$EQ$99,$B33,135)*IF($W33=1,IF33+AEU33,IF33)=1,IF(AND($E33=2,IF($W33=1,AKJ33,NU33)=0),1000000000,IF($V33=1,INDEX('calcA'!$D$130:$EQ$169,$B33,135)+IF(AND($E33=1,NU33=0),25,0),IF($F33&gt;0,INDEX('calcA'!EH$110:EH$114,$F33+1)+IF(AND($E33=1,NU33=0),1000,0),MIN(TZ33,20)*400+(IF('calcA'!EG$106=1,1-IE33,0)+IF('calcA'!EH$106=1,1-IG33,0))*150+156+'calcA'!EH$5*100000+IF(AND($E33=1,NU33=0),50000,0))+IF($H33=1,INDEX('calcA'!$D$180:$EQ$219,$B33,135)*4000,0)-IF(AND('calcA'!EG$117=1,ZE33&gt;0),2000,0)-IF(AND($U33=1,'calcA'!EH$117=1,IG33=0),2000,0))),1000000000))</f>
        <v/>
      </c>
      <c r="TK33">
        <f>IF($B33=0,1000000000,IF(INDEX('calcA'!$D$60:$EQ$99,$B33,136)*IF($W33=1,IG33+AEV33,IG33)=1,IF(AND($E33=2,IF($W33=1,AKK33,NV33)=0),1000000000,IF($V33=1,INDEX('calcA'!$D$130:$EQ$169,$B33,136)+IF(AND($E33=1,NV33=0),25,0),IF($F33&gt;0,INDEX('calcA'!EI$110:EI$114,$F33+1)+IF(AND($E33=1,NV33=0),1000,0),MIN(TZ33,20)*400+(IF('calcA'!EH$106=1,1-IF33,0)+IF('calcA'!EI$106=1,1-IH33,0))*150+166+'calcA'!EI$5*100000+IF(AND($E33=1,NV33=0),50000,0))+IF($H33=1,INDEX('calcA'!$D$180:$EQ$219,$B33,136)*4000,0)-IF(AND('calcA'!EH$117=1,ZF33&gt;0),2000,0)-IF(AND($U33=1,'calcA'!EI$117=1,IH33=0),2000,0))),1000000000))</f>
        <v/>
      </c>
      <c r="TL33">
        <f>IF($B33=0,1000000000,IF(INDEX('calcA'!$D$60:$EQ$99,$B33,137)*IF($W33=1,IH33+AEW33,IH33)=1,IF(AND($E33=2,IF($W33=1,AKL33,NW33)=0),1000000000,IF($V33=1,INDEX('calcA'!$D$130:$EQ$169,$B33,137)+IF(AND($E33=1,NW33=0),25,0),IF($F33&gt;0,INDEX('calcA'!EJ$110:EJ$114,$F33+1)+IF(AND($E33=1,NW33=0),1000,0),MIN(TZ33,20)*400+(IF('calcA'!EI$106=1,1-IG33,0)+IF('calcA'!EJ$106=1,1-II33,0))*150+176+'calcA'!EJ$5*100000+IF(AND($E33=1,NW33=0),50000,0))+IF($H33=1,INDEX('calcA'!$D$180:$EQ$219,$B33,137)*4000,0)-IF(AND('calcA'!EI$117=1,ZG33&gt;0),2000,0)-IF(AND($U33=1,'calcA'!EJ$117=1,II33=0),2000,0))),1000000000))</f>
        <v/>
      </c>
      <c r="TM33">
        <f>IF($B33=0,1000000000,IF(INDEX('calcA'!$D$60:$EQ$99,$B33,138)*IF($W33=1,II33+AEX33,II33)=1,IF(AND($E33=2,IF($W33=1,AKM33,NX33)=0),1000000000,IF($V33=1,INDEX('calcA'!$D$130:$EQ$169,$B33,138)+IF(AND($E33=1,NX33=0),25,0),IF($F33&gt;0,INDEX('calcA'!EK$110:EK$114,$F33+1)+IF(AND($E33=1,NX33=0),1000,0),MIN(TZ33,20)*400+(IF('calcA'!EJ$106=1,1-IH33,0)+IF('calcA'!EK$106=1,1-IJ33,0))*150+186+'calcA'!EK$5*100000+IF(AND($E33=1,NX33=0),50000,0))+IF($H33=1,INDEX('calcA'!$D$180:$EQ$219,$B33,138)*4000,0)-IF(AND('calcA'!EJ$117=1,ZH33&gt;0),2000,0)-IF(AND($U33=1,'calcA'!EK$117=1,IJ33=0),2000,0))),1000000000))</f>
        <v/>
      </c>
      <c r="TN33">
        <f>IF($B33=0,1000000000,IF(INDEX('calcA'!$D$60:$EQ$99,$B33,139)*IF($W33=1,IJ33+AEY33,IJ33)=1,IF(AND($E33=2,IF($W33=1,AKN33,NY33)=0),1000000000,IF($V33=1,INDEX('calcA'!$D$130:$EQ$169,$B33,139)+IF(AND($E33=1,NY33=0),25,0),IF($F33&gt;0,INDEX('calcA'!EL$110:EL$114,$F33+1)+IF(AND($E33=1,NY33=0),1000,0),MIN(TZ33,20)*400+(IF('calcA'!EK$106=1,1-II33,0)+IF('calcA'!EL$106=1,1-IK33,0))*150+196+'calcA'!EL$5*100000+IF(AND($E33=1,NY33=0),50000,0))+IF($H33=1,INDEX('calcA'!$D$180:$EQ$219,$B33,139)*4000,0)-IF(AND('calcA'!EK$117=1,ZI33&gt;0),2000,0)-IF(AND($U33=1,'calcA'!EL$117=1,IK33=0),2000,0))),1000000000))</f>
        <v/>
      </c>
      <c r="TO33">
        <f>IF($B33=0,1000000000,IF(INDEX('calcA'!$D$60:$EQ$99,$B33,140)*IF($W33=1,IK33+AEZ33,IK33)=1,IF(AND($E33=2,IF($W33=1,AKO33,NZ33)=0),1000000000,IF($V33=1,INDEX('calcA'!$D$130:$EQ$169,$B33,140)+IF(AND($E33=1,NZ33=0),25,0),IF($F33&gt;0,INDEX('calcA'!EM$110:EM$114,$F33+1)+IF(AND($E33=1,NZ33=0),1000,0),MIN(TZ33,20)*400+(IF('calcA'!EL$106=1,1-IJ33,0)+IF('calcA'!EM$106=1,1-IL33,0))*150+206+'calcA'!EM$5*100000+IF(AND($E33=1,NZ33=0),50000,0))+IF($H33=1,INDEX('calcA'!$D$180:$EQ$219,$B33,140)*4000,0)-IF(AND('calcA'!EL$117=1,ZJ33&gt;0),2000,0)-IF(AND($U33=1,'calcA'!EM$117=1,IL33=0),2000,0))),1000000000))</f>
        <v/>
      </c>
      <c r="TP33">
        <f>IF($B33=0,1000000000,IF(INDEX('calcA'!$D$60:$EQ$99,$B33,141)*IF($W33=1,IL33+AFA33,IL33)=1,IF(AND($E33=2,IF($W33=1,AKP33,OA33)=0),1000000000,IF($V33=1,INDEX('calcA'!$D$130:$EQ$169,$B33,141)+IF(AND($E33=1,OA33=0),25,0),IF($F33&gt;0,INDEX('calcA'!EN$110:EN$114,$F33+1)+IF(AND($E33=1,OA33=0),1000,0),MIN(TZ33,20)*400+(IF('calcA'!EM$106=1,1-IK33,0)+IF('calcA'!EN$106=1,1-IM33,0))*150+216+'calcA'!EN$5*100000+IF(AND($E33=1,OA33=0),50000,0))+IF($H33=1,INDEX('calcA'!$D$180:$EQ$219,$B33,141)*4000,0)-IF(AND('calcA'!EM$117=1,ZK33&gt;0),2000,0)-IF(AND($U33=1,'calcA'!EN$117=1,IM33=0),2000,0))),1000000000))</f>
        <v/>
      </c>
      <c r="TQ33">
        <f>IF($B33=0,1000000000,IF(INDEX('calcA'!$D$60:$EQ$99,$B33,142)*IF($W33=1,IM33+AFB33,IM33)=1,IF(AND($E33=2,IF($W33=1,AKQ33,OB33)=0),1000000000,IF($V33=1,INDEX('calcA'!$D$130:$EQ$169,$B33,142)+IF(AND($E33=1,OB33=0),25,0),IF($F33&gt;0,INDEX('calcA'!EO$110:EO$114,$F33+1)+IF(AND($E33=1,OB33=0),1000,0),MIN(TZ33,20)*400+(IF('calcA'!EN$106=1,1-IL33,0)+IF('calcA'!EO$106=1,1-IN33,0))*150+226+'calcA'!EO$5*100000+IF(AND($E33=1,OB33=0),50000,0))+IF($H33=1,INDEX('calcA'!$D$180:$EQ$219,$B33,142)*4000,0)-IF(AND('calcA'!EN$117=1,ZL33&gt;0),2000,0)-IF(AND($U33=1,'calcA'!EO$117=1,IN33=0),2000,0))),1000000000))</f>
        <v/>
      </c>
      <c r="TR33">
        <f>IF($B33=0,1000000000,IF(INDEX('calcA'!$D$60:$EQ$99,$B33,143)*IF($W33=1,IN33+AFC33,IN33)=1,IF(AND($E33=2,IF($W33=1,AKR33,OC33)=0),1000000000,IF($V33=1,INDEX('calcA'!$D$130:$EQ$169,$B33,143)+IF(AND($E33=1,OC33=0),25,0),IF($F33&gt;0,INDEX('calcA'!EP$110:EP$114,$F33+1)+IF(AND($E33=1,OC33=0),1000,0),MIN(TZ33,20)*400+(IF('calcA'!EO$106=1,1-IM33,0)+IF('calcA'!EP$106=1,1-IO33,0))*150+236+'calcA'!EP$5*100000+IF(AND($E33=1,OC33=0),50000,0))+IF($H33=1,INDEX('calcA'!$D$180:$EQ$219,$B33,143)*4000,0)-IF(AND('calcA'!EO$117=1,ZM33&gt;0),2000,0)-IF(AND($U33=1,'calcA'!EP$117=1,IO33=0),2000,0))),1000000000))</f>
        <v/>
      </c>
      <c r="TS33">
        <f>IF($B33=0,1000000000,IF(INDEX('calcA'!$D$60:$EQ$99,$B33,144)*IF($W33=1,IO33+AFD33,IO33)=1,IF(AND($E33=2,IF($W33=1,AKS33,OD33)=0),1000000000,IF($V33=1,INDEX('calcA'!$D$130:$EQ$169,$B33,144)+IF(AND($E33=1,OD33=0),25,0),IF($F33&gt;0,INDEX('calcA'!EQ$110:EQ$114,$F33+1)+IF(AND($E33=1,OD33=0),1000,0),MIN(TZ33,20)*400+(IF('calcA'!EP$106=1,1-IN33,0))*150+246+'calcA'!EQ$5*100000+IF(AND($E33=1,OD33=0),50000,0))+IF($H33=1,INDEX('calcA'!$D$180:$EQ$219,$B33,144)*4000,0)-IF(AND('calcA'!EP$117=1,ZN33&gt;0),2000,0))),1000000000))</f>
        <v/>
      </c>
      <c r="TU33">
        <f>TU32+IF($C32&gt;0,IF(INDEX('calcA'!$D$2:$EQ$2,$C32)=1,1,0),0)</f>
        <v/>
      </c>
      <c r="TV33">
        <f>TV32+IF($C32&gt;0,IF(INDEX('calcA'!$D$2:$EQ$2,$C32)=2,1,0),0)</f>
        <v/>
      </c>
      <c r="TW33">
        <f>TW32+IF($C32&gt;0,IF(INDEX('calcA'!$D$2:$EQ$2,$C32)=3,1,0),0)</f>
        <v/>
      </c>
      <c r="TX33">
        <f>TX32+IF($C32&gt;0,IF(INDEX('calcA'!$D$2:$EQ$2,$C32)=4,1,0),0)</f>
        <v/>
      </c>
      <c r="TY33">
        <f>TY32+IF($C32&gt;0,IF(INDEX('calcA'!$D$2:$EQ$2,$C32)=5,1,0),0)</f>
        <v/>
      </c>
      <c r="TZ33">
        <f>TZ32+IF($C32&gt;0,IF(INDEX('calcA'!$D$2:$EQ$2,$C32)=6,1,0),0)</f>
        <v/>
      </c>
      <c r="UB33">
        <f>UB32+IF(AND($C32=1,$U32=1),1,0)</f>
        <v/>
      </c>
      <c r="UC33">
        <f>UC32+IF(AND($C32=2,$U32=1),1,0)</f>
        <v/>
      </c>
      <c r="UD33">
        <f>UD32+IF(AND($C32=3,$U32=1),1,0)</f>
        <v/>
      </c>
      <c r="UE33">
        <f>UE32+IF(AND($C32=4,$U32=1),1,0)</f>
        <v/>
      </c>
      <c r="UF33">
        <f>UF32+IF(AND($C32=5,$U32=1),1,0)</f>
        <v/>
      </c>
      <c r="UG33">
        <f>UG32+IF(AND($C32=6,$U32=1),1,0)</f>
        <v/>
      </c>
      <c r="UH33">
        <f>UH32+IF(AND($C32=7,$U32=1),1,0)</f>
        <v/>
      </c>
      <c r="UI33">
        <f>UI32+IF(AND($C32=8,$U32=1),1,0)</f>
        <v/>
      </c>
      <c r="UJ33">
        <f>UJ32+IF(AND($C32=9,$U32=1),1,0)</f>
        <v/>
      </c>
      <c r="UK33">
        <f>UK32+IF(AND($C32=10,$U32=1),1,0)</f>
        <v/>
      </c>
      <c r="UL33">
        <f>UL32+IF(AND($C32=11,$U32=1),1,0)</f>
        <v/>
      </c>
      <c r="UM33">
        <f>UM32+IF(AND($C32=12,$U32=1),1,0)</f>
        <v/>
      </c>
      <c r="UN33">
        <f>UN32+IF(AND($C32=13,$U32=1),1,0)</f>
        <v/>
      </c>
      <c r="UO33">
        <f>UO32+IF(AND($C32=14,$U32=1),1,0)</f>
        <v/>
      </c>
      <c r="UP33">
        <f>UP32+IF(AND($C32=15,$U32=1),1,0)</f>
        <v/>
      </c>
      <c r="UQ33">
        <f>UQ32+IF(AND($C32=16,$U32=1),1,0)</f>
        <v/>
      </c>
      <c r="UR33">
        <f>UR32+IF(AND($C32=17,$U32=1),1,0)</f>
        <v/>
      </c>
      <c r="US33">
        <f>US32+IF(AND($C32=18,$U32=1),1,0)</f>
        <v/>
      </c>
      <c r="UT33">
        <f>UT32+IF(AND($C32=19,$U32=1),1,0)</f>
        <v/>
      </c>
      <c r="UU33">
        <f>UU32+IF(AND($C32=20,$U32=1),1,0)</f>
        <v/>
      </c>
      <c r="UV33">
        <f>UV32+IF(AND($C32=21,$U32=1),1,0)</f>
        <v/>
      </c>
      <c r="UW33">
        <f>UW32+IF(AND($C32=22,$U32=1),1,0)</f>
        <v/>
      </c>
      <c r="UX33">
        <f>UX32+IF(AND($C32=23,$U32=1),1,0)</f>
        <v/>
      </c>
      <c r="UY33">
        <f>UY32+IF(AND($C32=24,$U32=1),1,0)</f>
        <v/>
      </c>
      <c r="UZ33">
        <f>UZ32+IF(AND($C32=25,$U32=1),1,0)</f>
        <v/>
      </c>
      <c r="VA33">
        <f>VA32+IF(AND($C32=26,$U32=1),1,0)</f>
        <v/>
      </c>
      <c r="VB33">
        <f>VB32+IF(AND($C32=27,$U32=1),1,0)</f>
        <v/>
      </c>
      <c r="VC33">
        <f>VC32+IF(AND($C32=28,$U32=1),1,0)</f>
        <v/>
      </c>
      <c r="VD33">
        <f>VD32+IF(AND($C32=29,$U32=1),1,0)</f>
        <v/>
      </c>
      <c r="VE33">
        <f>VE32+IF(AND($C32=30,$U32=1),1,0)</f>
        <v/>
      </c>
      <c r="VF33">
        <f>VF32+IF(AND($C32=31,$U32=1),1,0)</f>
        <v/>
      </c>
      <c r="VG33">
        <f>VG32+IF(AND($C32=32,$U32=1),1,0)</f>
        <v/>
      </c>
      <c r="VH33">
        <f>VH32+IF(AND($C32=33,$U32=1),1,0)</f>
        <v/>
      </c>
      <c r="VI33">
        <f>VI32+IF(AND($C32=34,$U32=1),1,0)</f>
        <v/>
      </c>
      <c r="VJ33">
        <f>VJ32+IF(AND($C32=35,$U32=1),1,0)</f>
        <v/>
      </c>
      <c r="VK33">
        <f>VK32+IF(AND($C32=36,$U32=1),1,0)</f>
        <v/>
      </c>
      <c r="VL33">
        <f>VL32+IF(AND($C32=37,$U32=1),1,0)</f>
        <v/>
      </c>
      <c r="VM33">
        <f>VM32+IF(AND($C32=38,$U32=1),1,0)</f>
        <v/>
      </c>
      <c r="VN33">
        <f>VN32+IF(AND($C32=39,$U32=1),1,0)</f>
        <v/>
      </c>
      <c r="VO33">
        <f>VO32+IF(AND($C32=40,$U32=1),1,0)</f>
        <v/>
      </c>
      <c r="VP33">
        <f>VP32+IF(AND($C32=41,$U32=1),1,0)</f>
        <v/>
      </c>
      <c r="VQ33">
        <f>VQ32+IF(AND($C32=42,$U32=1),1,0)</f>
        <v/>
      </c>
      <c r="VR33">
        <f>VR32+IF(AND($C32=43,$U32=1),1,0)</f>
        <v/>
      </c>
      <c r="VS33">
        <f>VS32+IF(AND($C32=44,$U32=1),1,0)</f>
        <v/>
      </c>
      <c r="VT33">
        <f>VT32+IF(AND($C32=45,$U32=1),1,0)</f>
        <v/>
      </c>
      <c r="VU33">
        <f>VU32+IF(AND($C32=46,$U32=1),1,0)</f>
        <v/>
      </c>
      <c r="VV33">
        <f>VV32+IF(AND($C32=47,$U32=1),1,0)</f>
        <v/>
      </c>
      <c r="VW33">
        <f>VW32+IF(AND($C32=48,$U32=1),1,0)</f>
        <v/>
      </c>
      <c r="VX33">
        <f>VX32+IF(AND($C32=49,$U32=1),1,0)</f>
        <v/>
      </c>
      <c r="VY33">
        <f>VY32+IF(AND($C32=50,$U32=1),1,0)</f>
        <v/>
      </c>
      <c r="VZ33">
        <f>VZ32+IF(AND($C32=51,$U32=1),1,0)</f>
        <v/>
      </c>
      <c r="WA33">
        <f>WA32+IF(AND($C32=52,$U32=1),1,0)</f>
        <v/>
      </c>
      <c r="WB33">
        <f>WB32+IF(AND($C32=53,$U32=1),1,0)</f>
        <v/>
      </c>
      <c r="WC33">
        <f>WC32+IF(AND($C32=54,$U32=1),1,0)</f>
        <v/>
      </c>
      <c r="WD33">
        <f>WD32+IF(AND($C32=55,$U32=1),1,0)</f>
        <v/>
      </c>
      <c r="WE33">
        <f>WE32+IF(AND($C32=56,$U32=1),1,0)</f>
        <v/>
      </c>
      <c r="WF33">
        <f>WF32+IF(AND($C32=57,$U32=1),1,0)</f>
        <v/>
      </c>
      <c r="WG33">
        <f>WG32+IF(AND($C32=58,$U32=1),1,0)</f>
        <v/>
      </c>
      <c r="WH33">
        <f>WH32+IF(AND($C32=59,$U32=1),1,0)</f>
        <v/>
      </c>
      <c r="WI33">
        <f>WI32+IF(AND($C32=60,$U32=1),1,0)</f>
        <v/>
      </c>
      <c r="WJ33">
        <f>WJ32+IF(AND($C32=61,$U32=1),1,0)</f>
        <v/>
      </c>
      <c r="WK33">
        <f>WK32+IF(AND($C32=62,$U32=1),1,0)</f>
        <v/>
      </c>
      <c r="WL33">
        <f>WL32+IF(AND($C32=63,$U32=1),1,0)</f>
        <v/>
      </c>
      <c r="WM33">
        <f>WM32+IF(AND($C32=64,$U32=1),1,0)</f>
        <v/>
      </c>
      <c r="WN33">
        <f>WN32+IF(AND($C32=65,$U32=1),1,0)</f>
        <v/>
      </c>
      <c r="WO33">
        <f>WO32+IF(AND($C32=66,$U32=1),1,0)</f>
        <v/>
      </c>
      <c r="WP33">
        <f>WP32+IF(AND($C32=67,$U32=1),1,0)</f>
        <v/>
      </c>
      <c r="WQ33">
        <f>WQ32+IF(AND($C32=68,$U32=1),1,0)</f>
        <v/>
      </c>
      <c r="WR33">
        <f>WR32+IF(AND($C32=69,$U32=1),1,0)</f>
        <v/>
      </c>
      <c r="WS33">
        <f>WS32+IF(AND($C32=70,$U32=1),1,0)</f>
        <v/>
      </c>
      <c r="WT33">
        <f>WT32+IF(AND($C32=71,$U32=1),1,0)</f>
        <v/>
      </c>
      <c r="WU33">
        <f>WU32+IF(AND($C32=72,$U32=1),1,0)</f>
        <v/>
      </c>
      <c r="WV33">
        <f>WV32+IF(AND($C32=73,$U32=1),1,0)</f>
        <v/>
      </c>
      <c r="WW33">
        <f>WW32+IF(AND($C32=74,$U32=1),1,0)</f>
        <v/>
      </c>
      <c r="WX33">
        <f>WX32+IF(AND($C32=75,$U32=1),1,0)</f>
        <v/>
      </c>
      <c r="WY33">
        <f>WY32+IF(AND($C32=76,$U32=1),1,0)</f>
        <v/>
      </c>
      <c r="WZ33">
        <f>WZ32+IF(AND($C32=77,$U32=1),1,0)</f>
        <v/>
      </c>
      <c r="XA33">
        <f>XA32+IF(AND($C32=78,$U32=1),1,0)</f>
        <v/>
      </c>
      <c r="XB33">
        <f>XB32+IF(AND($C32=79,$U32=1),1,0)</f>
        <v/>
      </c>
      <c r="XC33">
        <f>XC32+IF(AND($C32=80,$U32=1),1,0)</f>
        <v/>
      </c>
      <c r="XD33">
        <f>XD32+IF(AND($C32=81,$U32=1),1,0)</f>
        <v/>
      </c>
      <c r="XE33">
        <f>XE32+IF(AND($C32=82,$U32=1),1,0)</f>
        <v/>
      </c>
      <c r="XF33">
        <f>XF32+IF(AND($C32=83,$U32=1),1,0)</f>
        <v/>
      </c>
      <c r="XG33">
        <f>XG32+IF(AND($C32=84,$U32=1),1,0)</f>
        <v/>
      </c>
      <c r="XH33">
        <f>XH32+IF(AND($C32=85,$U32=1),1,0)</f>
        <v/>
      </c>
      <c r="XI33">
        <f>XI32+IF(AND($C32=86,$U32=1),1,0)</f>
        <v/>
      </c>
      <c r="XJ33">
        <f>XJ32+IF(AND($C32=87,$U32=1),1,0)</f>
        <v/>
      </c>
      <c r="XK33">
        <f>XK32+IF(AND($C32=88,$U32=1),1,0)</f>
        <v/>
      </c>
      <c r="XL33">
        <f>XL32+IF(AND($C32=89,$U32=1),1,0)</f>
        <v/>
      </c>
      <c r="XM33">
        <f>XM32+IF(AND($C32=90,$U32=1),1,0)</f>
        <v/>
      </c>
      <c r="XN33">
        <f>XN32+IF(AND($C32=91,$U32=1),1,0)</f>
        <v/>
      </c>
      <c r="XO33">
        <f>XO32+IF(AND($C32=92,$U32=1),1,0)</f>
        <v/>
      </c>
      <c r="XP33">
        <f>XP32+IF(AND($C32=93,$U32=1),1,0)</f>
        <v/>
      </c>
      <c r="XQ33">
        <f>XQ32+IF(AND($C32=94,$U32=1),1,0)</f>
        <v/>
      </c>
      <c r="XR33">
        <f>XR32+IF(AND($C32=95,$U32=1),1,0)</f>
        <v/>
      </c>
      <c r="XS33">
        <f>XS32+IF(AND($C32=96,$U32=1),1,0)</f>
        <v/>
      </c>
      <c r="XT33">
        <f>XT32+IF(AND($C32=97,$U32=1),1,0)</f>
        <v/>
      </c>
      <c r="XU33">
        <f>XU32+IF(AND($C32=98,$U32=1),1,0)</f>
        <v/>
      </c>
      <c r="XV33">
        <f>XV32+IF(AND($C32=99,$U32=1),1,0)</f>
        <v/>
      </c>
      <c r="XW33">
        <f>XW32+IF(AND($C32=100,$U32=1),1,0)</f>
        <v/>
      </c>
      <c r="XX33">
        <f>XX32+IF(AND($C32=101,$U32=1),1,0)</f>
        <v/>
      </c>
      <c r="XY33">
        <f>XY32+IF(AND($C32=102,$U32=1),1,0)</f>
        <v/>
      </c>
      <c r="XZ33">
        <f>XZ32+IF(AND($C32=103,$U32=1),1,0)</f>
        <v/>
      </c>
      <c r="YA33">
        <f>YA32+IF(AND($C32=104,$U32=1),1,0)</f>
        <v/>
      </c>
      <c r="YB33">
        <f>YB32+IF(AND($C32=105,$U32=1),1,0)</f>
        <v/>
      </c>
      <c r="YC33">
        <f>YC32+IF(AND($C32=106,$U32=1),1,0)</f>
        <v/>
      </c>
      <c r="YD33">
        <f>YD32+IF(AND($C32=107,$U32=1),1,0)</f>
        <v/>
      </c>
      <c r="YE33">
        <f>YE32+IF(AND($C32=108,$U32=1),1,0)</f>
        <v/>
      </c>
      <c r="YF33">
        <f>YF32+IF(AND($C32=109,$U32=1),1,0)</f>
        <v/>
      </c>
      <c r="YG33">
        <f>YG32+IF(AND($C32=110,$U32=1),1,0)</f>
        <v/>
      </c>
      <c r="YH33">
        <f>YH32+IF(AND($C32=111,$U32=1),1,0)</f>
        <v/>
      </c>
      <c r="YI33">
        <f>YI32+IF(AND($C32=112,$U32=1),1,0)</f>
        <v/>
      </c>
      <c r="YJ33">
        <f>YJ32+IF(AND($C32=113,$U32=1),1,0)</f>
        <v/>
      </c>
      <c r="YK33">
        <f>YK32+IF(AND($C32=114,$U32=1),1,0)</f>
        <v/>
      </c>
      <c r="YL33">
        <f>YL32+IF(AND($C32=115,$U32=1),1,0)</f>
        <v/>
      </c>
      <c r="YM33">
        <f>YM32+IF(AND($C32=116,$U32=1),1,0)</f>
        <v/>
      </c>
      <c r="YN33">
        <f>YN32+IF(AND($C32=117,$U32=1),1,0)</f>
        <v/>
      </c>
      <c r="YO33">
        <f>YO32+IF(AND($C32=118,$U32=1),1,0)</f>
        <v/>
      </c>
      <c r="YP33">
        <f>YP32+IF(AND($C32=119,$U32=1),1,0)</f>
        <v/>
      </c>
      <c r="YQ33">
        <f>YQ32+IF(AND($C32=120,$U32=1),1,0)</f>
        <v/>
      </c>
      <c r="YR33">
        <f>YR32+IF(AND($C32=121,$U32=1),1,0)</f>
        <v/>
      </c>
      <c r="YS33">
        <f>YS32+IF(AND($C32=122,$U32=1),1,0)</f>
        <v/>
      </c>
      <c r="YT33">
        <f>YT32+IF(AND($C32=123,$U32=1),1,0)</f>
        <v/>
      </c>
      <c r="YU33">
        <f>YU32+IF(AND($C32=124,$U32=1),1,0)</f>
        <v/>
      </c>
      <c r="YV33">
        <f>YV32+IF(AND($C32=125,$U32=1),1,0)</f>
        <v/>
      </c>
      <c r="YW33">
        <f>YW32+IF(AND($C32=126,$U32=1),1,0)</f>
        <v/>
      </c>
      <c r="YX33">
        <f>YX32+IF(AND($C32=127,$U32=1),1,0)</f>
        <v/>
      </c>
      <c r="YY33">
        <f>YY32+IF(AND($C32=128,$U32=1),1,0)</f>
        <v/>
      </c>
      <c r="YZ33">
        <f>YZ32+IF(AND($C32=129,$U32=1),1,0)</f>
        <v/>
      </c>
      <c r="ZA33">
        <f>ZA32+IF(AND($C32=130,$U32=1),1,0)</f>
        <v/>
      </c>
      <c r="ZB33">
        <f>ZB32+IF(AND($C32=131,$U32=1),1,0)</f>
        <v/>
      </c>
      <c r="ZC33">
        <f>ZC32+IF(AND($C32=132,$U32=1),1,0)</f>
        <v/>
      </c>
      <c r="ZD33">
        <f>ZD32+IF(AND($C32=133,$U32=1),1,0)</f>
        <v/>
      </c>
      <c r="ZE33">
        <f>ZE32+IF(AND($C32=134,$U32=1),1,0)</f>
        <v/>
      </c>
      <c r="ZF33">
        <f>ZF32+IF(AND($C32=135,$U32=1),1,0)</f>
        <v/>
      </c>
      <c r="ZG33">
        <f>ZG32+IF(AND($C32=136,$U32=1),1,0)</f>
        <v/>
      </c>
      <c r="ZH33">
        <f>ZH32+IF(AND($C32=137,$U32=1),1,0)</f>
        <v/>
      </c>
      <c r="ZI33">
        <f>ZI32+IF(AND($C32=138,$U32=1),1,0)</f>
        <v/>
      </c>
      <c r="ZJ33">
        <f>ZJ32+IF(AND($C32=139,$U32=1),1,0)</f>
        <v/>
      </c>
      <c r="ZK33">
        <f>ZK32+IF(AND($C32=140,$U32=1),1,0)</f>
        <v/>
      </c>
      <c r="ZL33">
        <f>ZL32+IF(AND($C32=141,$U32=1),1,0)</f>
        <v/>
      </c>
      <c r="ZM33">
        <f>ZM32+IF(AND($C32=142,$U32=1),1,0)</f>
        <v/>
      </c>
      <c r="ZN33">
        <f>ZN32+IF(AND($C32=143,$U32=1),1,0)</f>
        <v/>
      </c>
      <c r="ZO33">
        <f>ZO32+IF(AND($C32=144,$U32=1),1,0)</f>
        <v/>
      </c>
      <c r="ZQ33">
        <f>IF($C32=1,0,ZQ32+IF(AND($G32=1,$E32=1),1,0))</f>
        <v/>
      </c>
      <c r="ZR33">
        <f>IF($C32=2,0,ZR32+IF(AND($G32=2,$E32=1),1,0))</f>
        <v/>
      </c>
      <c r="ZS33">
        <f>IF($C32=3,0,ZS32+IF(AND($G32=3,$E32=1),1,0))</f>
        <v/>
      </c>
      <c r="ZT33">
        <f>IF($C32=4,0,ZT32+IF(AND($G32=4,$E32=1),1,0))</f>
        <v/>
      </c>
      <c r="ZU33">
        <f>IF($C32=5,0,ZU32+IF(AND($G32=5,$E32=1),1,0))</f>
        <v/>
      </c>
      <c r="ZV33">
        <f>IF($C32=6,0,ZV32+IF(AND($G32=6,$E32=1),1,0))</f>
        <v/>
      </c>
      <c r="ZW33">
        <f>IF($C32=7,0,ZW32+IF(AND($G32=7,$E32=1),1,0))</f>
        <v/>
      </c>
      <c r="ZX33">
        <f>IF($C32=8,0,ZX32+IF(AND($G32=8,$E32=1),1,0))</f>
        <v/>
      </c>
      <c r="ZY33">
        <f>IF($C32=9,0,ZY32+IF(AND($G32=9,$E32=1),1,0))</f>
        <v/>
      </c>
      <c r="ZZ33">
        <f>IF($C32=10,0,ZZ32+IF(AND($G32=10,$E32=1),1,0))</f>
        <v/>
      </c>
      <c r="AAA33">
        <f>IF($C32=11,0,AAA32+IF(AND($G32=11,$E32=1),1,0))</f>
        <v/>
      </c>
      <c r="AAB33">
        <f>IF($C32=12,0,AAB32+IF(AND($G32=12,$E32=1),1,0))</f>
        <v/>
      </c>
      <c r="AAC33">
        <f>IF($C32=13,0,AAC32+IF(AND($G32=13,$E32=1),1,0))</f>
        <v/>
      </c>
      <c r="AAD33">
        <f>IF($C32=14,0,AAD32+IF(AND($G32=14,$E32=1),1,0))</f>
        <v/>
      </c>
      <c r="AAE33">
        <f>IF($C32=15,0,AAE32+IF(AND($G32=15,$E32=1),1,0))</f>
        <v/>
      </c>
      <c r="AAF33">
        <f>IF($C32=16,0,AAF32+IF(AND($G32=16,$E32=1),1,0))</f>
        <v/>
      </c>
      <c r="AAG33">
        <f>IF($C32=17,0,AAG32+IF(AND($G32=17,$E32=1),1,0))</f>
        <v/>
      </c>
      <c r="AAH33">
        <f>IF($C32=18,0,AAH32+IF(AND($G32=18,$E32=1),1,0))</f>
        <v/>
      </c>
      <c r="AAI33">
        <f>IF($C32=19,0,AAI32+IF(AND($G32=19,$E32=1),1,0))</f>
        <v/>
      </c>
      <c r="AAJ33">
        <f>IF($C32=20,0,AAJ32+IF(AND($G32=20,$E32=1),1,0))</f>
        <v/>
      </c>
      <c r="AAK33">
        <f>IF($C32=21,0,AAK32+IF(AND($G32=21,$E32=1),1,0))</f>
        <v/>
      </c>
      <c r="AAL33">
        <f>IF($C32=22,0,AAL32+IF(AND($G32=22,$E32=1),1,0))</f>
        <v/>
      </c>
      <c r="AAM33">
        <f>IF($C32=23,0,AAM32+IF(AND($G32=23,$E32=1),1,0))</f>
        <v/>
      </c>
      <c r="AAN33">
        <f>IF($C32=24,0,AAN32+IF(AND($G32=24,$E32=1),1,0))</f>
        <v/>
      </c>
      <c r="AAO33">
        <f>IF($C32=25,0,AAO32+IF(AND($G32=25,$E32=1),1,0))</f>
        <v/>
      </c>
      <c r="AAP33">
        <f>IF($C32=26,0,AAP32+IF(AND($G32=26,$E32=1),1,0))</f>
        <v/>
      </c>
      <c r="AAQ33">
        <f>IF($C32=27,0,AAQ32+IF(AND($G32=27,$E32=1),1,0))</f>
        <v/>
      </c>
      <c r="AAR33">
        <f>IF($C32=28,0,AAR32+IF(AND($G32=28,$E32=1),1,0))</f>
        <v/>
      </c>
      <c r="AAS33">
        <f>IF($C32=29,0,AAS32+IF(AND($G32=29,$E32=1),1,0))</f>
        <v/>
      </c>
      <c r="AAT33">
        <f>IF($C32=30,0,AAT32+IF(AND($G32=30,$E32=1),1,0))</f>
        <v/>
      </c>
      <c r="AAU33">
        <f>IF($C32=31,0,AAU32+IF(AND($G32=31,$E32=1),1,0))</f>
        <v/>
      </c>
      <c r="AAV33">
        <f>IF($C32=32,0,AAV32+IF(AND($G32=32,$E32=1),1,0))</f>
        <v/>
      </c>
      <c r="AAW33">
        <f>IF($C32=33,0,AAW32+IF(AND($G32=33,$E32=1),1,0))</f>
        <v/>
      </c>
      <c r="AAX33">
        <f>IF($C32=34,0,AAX32+IF(AND($G32=34,$E32=1),1,0))</f>
        <v/>
      </c>
      <c r="AAY33">
        <f>IF($C32=35,0,AAY32+IF(AND($G32=35,$E32=1),1,0))</f>
        <v/>
      </c>
      <c r="AAZ33">
        <f>IF($C32=36,0,AAZ32+IF(AND($G32=36,$E32=1),1,0))</f>
        <v/>
      </c>
      <c r="ABA33">
        <f>IF($C32=37,0,ABA32+IF(AND($G32=37,$E32=1),1,0))</f>
        <v/>
      </c>
      <c r="ABB33">
        <f>IF($C32=38,0,ABB32+IF(AND($G32=38,$E32=1),1,0))</f>
        <v/>
      </c>
      <c r="ABC33">
        <f>IF($C32=39,0,ABC32+IF(AND($G32=39,$E32=1),1,0))</f>
        <v/>
      </c>
      <c r="ABD33">
        <f>IF($C32=40,0,ABD32+IF(AND($G32=40,$E32=1),1,0))</f>
        <v/>
      </c>
      <c r="ABE33">
        <f>IF($C32=41,0,ABE32+IF(AND($G32=41,$E32=1),1,0))</f>
        <v/>
      </c>
      <c r="ABF33">
        <f>IF($C32=42,0,ABF32+IF(AND($G32=42,$E32=1),1,0))</f>
        <v/>
      </c>
      <c r="ABG33">
        <f>IF($C32=43,0,ABG32+IF(AND($G32=43,$E32=1),1,0))</f>
        <v/>
      </c>
      <c r="ABH33">
        <f>IF($C32=44,0,ABH32+IF(AND($G32=44,$E32=1),1,0))</f>
        <v/>
      </c>
      <c r="ABI33">
        <f>IF($C32=45,0,ABI32+IF(AND($G32=45,$E32=1),1,0))</f>
        <v/>
      </c>
      <c r="ABJ33">
        <f>IF($C32=46,0,ABJ32+IF(AND($G32=46,$E32=1),1,0))</f>
        <v/>
      </c>
      <c r="ABK33">
        <f>IF($C32=47,0,ABK32+IF(AND($G32=47,$E32=1),1,0))</f>
        <v/>
      </c>
      <c r="ABL33">
        <f>IF($C32=48,0,ABL32+IF(AND($G32=48,$E32=1),1,0))</f>
        <v/>
      </c>
      <c r="ABM33">
        <f>IF($C32=49,0,ABM32+IF(AND($G32=49,$E32=1),1,0))</f>
        <v/>
      </c>
      <c r="ABN33">
        <f>IF($C32=50,0,ABN32+IF(AND($G32=50,$E32=1),1,0))</f>
        <v/>
      </c>
      <c r="ABO33">
        <f>IF($C32=51,0,ABO32+IF(AND($G32=51,$E32=1),1,0))</f>
        <v/>
      </c>
      <c r="ABP33">
        <f>IF($C32=52,0,ABP32+IF(AND($G32=52,$E32=1),1,0))</f>
        <v/>
      </c>
      <c r="ABQ33">
        <f>IF($C32=53,0,ABQ32+IF(AND($G32=53,$E32=1),1,0))</f>
        <v/>
      </c>
      <c r="ABR33">
        <f>IF($C32=54,0,ABR32+IF(AND($G32=54,$E32=1),1,0))</f>
        <v/>
      </c>
      <c r="ABS33">
        <f>IF($C32=55,0,ABS32+IF(AND($G32=55,$E32=1),1,0))</f>
        <v/>
      </c>
      <c r="ABT33">
        <f>IF($C32=56,0,ABT32+IF(AND($G32=56,$E32=1),1,0))</f>
        <v/>
      </c>
      <c r="ABU33">
        <f>IF($C32=57,0,ABU32+IF(AND($G32=57,$E32=1),1,0))</f>
        <v/>
      </c>
      <c r="ABV33">
        <f>IF($C32=58,0,ABV32+IF(AND($G32=58,$E32=1),1,0))</f>
        <v/>
      </c>
      <c r="ABW33">
        <f>IF($C32=59,0,ABW32+IF(AND($G32=59,$E32=1),1,0))</f>
        <v/>
      </c>
      <c r="ABX33">
        <f>IF($C32=60,0,ABX32+IF(AND($G32=60,$E32=1),1,0))</f>
        <v/>
      </c>
      <c r="ABY33">
        <f>IF($C32=61,0,ABY32+IF(AND($G32=61,$E32=1),1,0))</f>
        <v/>
      </c>
      <c r="ABZ33">
        <f>IF($C32=62,0,ABZ32+IF(AND($G32=62,$E32=1),1,0))</f>
        <v/>
      </c>
      <c r="ACA33">
        <f>IF($C32=63,0,ACA32+IF(AND($G32=63,$E32=1),1,0))</f>
        <v/>
      </c>
      <c r="ACB33">
        <f>IF($C32=64,0,ACB32+IF(AND($G32=64,$E32=1),1,0))</f>
        <v/>
      </c>
      <c r="ACC33">
        <f>IF($C32=65,0,ACC32+IF(AND($G32=65,$E32=1),1,0))</f>
        <v/>
      </c>
      <c r="ACD33">
        <f>IF($C32=66,0,ACD32+IF(AND($G32=66,$E32=1),1,0))</f>
        <v/>
      </c>
      <c r="ACE33">
        <f>IF($C32=67,0,ACE32+IF(AND($G32=67,$E32=1),1,0))</f>
        <v/>
      </c>
      <c r="ACF33">
        <f>IF($C32=68,0,ACF32+IF(AND($G32=68,$E32=1),1,0))</f>
        <v/>
      </c>
      <c r="ACG33">
        <f>IF($C32=69,0,ACG32+IF(AND($G32=69,$E32=1),1,0))</f>
        <v/>
      </c>
      <c r="ACH33">
        <f>IF($C32=70,0,ACH32+IF(AND($G32=70,$E32=1),1,0))</f>
        <v/>
      </c>
      <c r="ACI33">
        <f>IF($C32=71,0,ACI32+IF(AND($G32=71,$E32=1),1,0))</f>
        <v/>
      </c>
      <c r="ACJ33">
        <f>IF($C32=72,0,ACJ32+IF(AND($G32=72,$E32=1),1,0))</f>
        <v/>
      </c>
      <c r="ACK33">
        <f>IF($C32=73,0,ACK32+IF(AND($G32=73,$E32=1),1,0))</f>
        <v/>
      </c>
      <c r="ACL33">
        <f>IF($C32=74,0,ACL32+IF(AND($G32=74,$E32=1),1,0))</f>
        <v/>
      </c>
      <c r="ACM33">
        <f>IF($C32=75,0,ACM32+IF(AND($G32=75,$E32=1),1,0))</f>
        <v/>
      </c>
      <c r="ACN33">
        <f>IF($C32=76,0,ACN32+IF(AND($G32=76,$E32=1),1,0))</f>
        <v/>
      </c>
      <c r="ACO33">
        <f>IF($C32=77,0,ACO32+IF(AND($G32=77,$E32=1),1,0))</f>
        <v/>
      </c>
      <c r="ACP33">
        <f>IF($C32=78,0,ACP32+IF(AND($G32=78,$E32=1),1,0))</f>
        <v/>
      </c>
      <c r="ACQ33">
        <f>IF($C32=79,0,ACQ32+IF(AND($G32=79,$E32=1),1,0))</f>
        <v/>
      </c>
      <c r="ACR33">
        <f>IF($C32=80,0,ACR32+IF(AND($G32=80,$E32=1),1,0))</f>
        <v/>
      </c>
      <c r="ACS33">
        <f>IF($C32=81,0,ACS32+IF(AND($G32=81,$E32=1),1,0))</f>
        <v/>
      </c>
      <c r="ACT33">
        <f>IF($C32=82,0,ACT32+IF(AND($G32=82,$E32=1),1,0))</f>
        <v/>
      </c>
      <c r="ACU33">
        <f>IF($C32=83,0,ACU32+IF(AND($G32=83,$E32=1),1,0))</f>
        <v/>
      </c>
      <c r="ACV33">
        <f>IF($C32=84,0,ACV32+IF(AND($G32=84,$E32=1),1,0))</f>
        <v/>
      </c>
      <c r="ACW33">
        <f>IF($C32=85,0,ACW32+IF(AND($G32=85,$E32=1),1,0))</f>
        <v/>
      </c>
      <c r="ACX33">
        <f>IF($C32=86,0,ACX32+IF(AND($G32=86,$E32=1),1,0))</f>
        <v/>
      </c>
      <c r="ACY33">
        <f>IF($C32=87,0,ACY32+IF(AND($G32=87,$E32=1),1,0))</f>
        <v/>
      </c>
      <c r="ACZ33">
        <f>IF($C32=88,0,ACZ32+IF(AND($G32=88,$E32=1),1,0))</f>
        <v/>
      </c>
      <c r="ADA33">
        <f>IF($C32=89,0,ADA32+IF(AND($G32=89,$E32=1),1,0))</f>
        <v/>
      </c>
      <c r="ADB33">
        <f>IF($C32=90,0,ADB32+IF(AND($G32=90,$E32=1),1,0))</f>
        <v/>
      </c>
      <c r="ADC33">
        <f>IF($C32=91,0,ADC32+IF(AND($G32=91,$E32=1),1,0))</f>
        <v/>
      </c>
      <c r="ADD33">
        <f>IF($C32=92,0,ADD32+IF(AND($G32=92,$E32=1),1,0))</f>
        <v/>
      </c>
      <c r="ADE33">
        <f>IF($C32=93,0,ADE32+IF(AND($G32=93,$E32=1),1,0))</f>
        <v/>
      </c>
      <c r="ADF33">
        <f>IF($C32=94,0,ADF32+IF(AND($G32=94,$E32=1),1,0))</f>
        <v/>
      </c>
      <c r="ADG33">
        <f>IF($C32=95,0,ADG32+IF(AND($G32=95,$E32=1),1,0))</f>
        <v/>
      </c>
      <c r="ADH33">
        <f>IF($C32=96,0,ADH32+IF(AND($G32=96,$E32=1),1,0))</f>
        <v/>
      </c>
      <c r="ADI33">
        <f>IF($C32=97,0,ADI32+IF(AND($G32=97,$E32=1),1,0))</f>
        <v/>
      </c>
      <c r="ADJ33">
        <f>IF($C32=98,0,ADJ32+IF(AND($G32=98,$E32=1),1,0))</f>
        <v/>
      </c>
      <c r="ADK33">
        <f>IF($C32=99,0,ADK32+IF(AND($G32=99,$E32=1),1,0))</f>
        <v/>
      </c>
      <c r="ADL33">
        <f>IF($C32=100,0,ADL32+IF(AND($G32=100,$E32=1),1,0))</f>
        <v/>
      </c>
      <c r="ADM33">
        <f>IF($C32=101,0,ADM32+IF(AND($G32=101,$E32=1),1,0))</f>
        <v/>
      </c>
      <c r="ADN33">
        <f>IF($C32=102,0,ADN32+IF(AND($G32=102,$E32=1),1,0))</f>
        <v/>
      </c>
      <c r="ADO33">
        <f>IF($C32=103,0,ADO32+IF(AND($G32=103,$E32=1),1,0))</f>
        <v/>
      </c>
      <c r="ADP33">
        <f>IF($C32=104,0,ADP32+IF(AND($G32=104,$E32=1),1,0))</f>
        <v/>
      </c>
      <c r="ADQ33">
        <f>IF($C32=105,0,ADQ32+IF(AND($G32=105,$E32=1),1,0))</f>
        <v/>
      </c>
      <c r="ADR33">
        <f>IF($C32=106,0,ADR32+IF(AND($G32=106,$E32=1),1,0))</f>
        <v/>
      </c>
      <c r="ADS33">
        <f>IF($C32=107,0,ADS32+IF(AND($G32=107,$E32=1),1,0))</f>
        <v/>
      </c>
      <c r="ADT33">
        <f>IF($C32=108,0,ADT32+IF(AND($G32=108,$E32=1),1,0))</f>
        <v/>
      </c>
      <c r="ADU33">
        <f>IF($C32=109,0,ADU32+IF(AND($G32=109,$E32=1),1,0))</f>
        <v/>
      </c>
      <c r="ADV33">
        <f>IF($C32=110,0,ADV32+IF(AND($G32=110,$E32=1),1,0))</f>
        <v/>
      </c>
      <c r="ADW33">
        <f>IF($C32=111,0,ADW32+IF(AND($G32=111,$E32=1),1,0))</f>
        <v/>
      </c>
      <c r="ADX33">
        <f>IF($C32=112,0,ADX32+IF(AND($G32=112,$E32=1),1,0))</f>
        <v/>
      </c>
      <c r="ADY33">
        <f>IF($C32=113,0,ADY32+IF(AND($G32=113,$E32=1),1,0))</f>
        <v/>
      </c>
      <c r="ADZ33">
        <f>IF($C32=114,0,ADZ32+IF(AND($G32=114,$E32=1),1,0))</f>
        <v/>
      </c>
      <c r="AEA33">
        <f>IF($C32=115,0,AEA32+IF(AND($G32=115,$E32=1),1,0))</f>
        <v/>
      </c>
      <c r="AEB33">
        <f>IF($C32=116,0,AEB32+IF(AND($G32=116,$E32=1),1,0))</f>
        <v/>
      </c>
      <c r="AEC33">
        <f>IF($C32=117,0,AEC32+IF(AND($G32=117,$E32=1),1,0))</f>
        <v/>
      </c>
      <c r="AED33">
        <f>IF($C32=118,0,AED32+IF(AND($G32=118,$E32=1),1,0))</f>
        <v/>
      </c>
      <c r="AEE33">
        <f>IF($C32=119,0,AEE32+IF(AND($G32=119,$E32=1),1,0))</f>
        <v/>
      </c>
      <c r="AEF33">
        <f>IF($C32=120,0,AEF32+IF(AND($G32=120,$E32=1),1,0))</f>
        <v/>
      </c>
      <c r="AEG33">
        <f>IF($C32=121,0,AEG32+IF(AND($G32=121,$E32=1),1,0))</f>
        <v/>
      </c>
      <c r="AEH33">
        <f>IF($C32=122,0,AEH32+IF(AND($G32=122,$E32=1),1,0))</f>
        <v/>
      </c>
      <c r="AEI33">
        <f>IF($C32=123,0,AEI32+IF(AND($G32=123,$E32=1),1,0))</f>
        <v/>
      </c>
      <c r="AEJ33">
        <f>IF($C32=124,0,AEJ32+IF(AND($G32=124,$E32=1),1,0))</f>
        <v/>
      </c>
      <c r="AEK33">
        <f>IF($C32=125,0,AEK32+IF(AND($G32=125,$E32=1),1,0))</f>
        <v/>
      </c>
      <c r="AEL33">
        <f>IF($C32=126,0,AEL32+IF(AND($G32=126,$E32=1),1,0))</f>
        <v/>
      </c>
      <c r="AEM33">
        <f>IF($C32=127,0,AEM32+IF(AND($G32=127,$E32=1),1,0))</f>
        <v/>
      </c>
      <c r="AEN33">
        <f>IF($C32=128,0,AEN32+IF(AND($G32=128,$E32=1),1,0))</f>
        <v/>
      </c>
      <c r="AEO33">
        <f>IF($C32=129,0,AEO32+IF(AND($G32=129,$E32=1),1,0))</f>
        <v/>
      </c>
      <c r="AEP33">
        <f>IF($C32=130,0,AEP32+IF(AND($G32=130,$E32=1),1,0))</f>
        <v/>
      </c>
      <c r="AEQ33">
        <f>IF($C32=131,0,AEQ32+IF(AND($G32=131,$E32=1),1,0))</f>
        <v/>
      </c>
      <c r="AER33">
        <f>IF($C32=132,0,AER32+IF(AND($G32=132,$E32=1),1,0))</f>
        <v/>
      </c>
      <c r="AES33">
        <f>IF($C32=133,0,AES32+IF(AND($G32=133,$E32=1),1,0))</f>
        <v/>
      </c>
      <c r="AET33">
        <f>IF($C32=134,0,AET32+IF(AND($G32=134,$E32=1),1,0))</f>
        <v/>
      </c>
      <c r="AEU33">
        <f>IF($C32=135,0,AEU32+IF(AND($G32=135,$E32=1),1,0))</f>
        <v/>
      </c>
      <c r="AEV33">
        <f>IF($C32=136,0,AEV32+IF(AND($G32=136,$E32=1),1,0))</f>
        <v/>
      </c>
      <c r="AEW33">
        <f>IF($C32=137,0,AEW32+IF(AND($G32=137,$E32=1),1,0))</f>
        <v/>
      </c>
      <c r="AEX33">
        <f>IF($C32=138,0,AEX32+IF(AND($G32=138,$E32=1),1,0))</f>
        <v/>
      </c>
      <c r="AEY33">
        <f>IF($C32=139,0,AEY32+IF(AND($G32=139,$E32=1),1,0))</f>
        <v/>
      </c>
      <c r="AEZ33">
        <f>IF($C32=140,0,AEZ32+IF(AND($G32=140,$E32=1),1,0))</f>
        <v/>
      </c>
      <c r="AFA33">
        <f>IF($C32=141,0,AFA32+IF(AND($G32=141,$E32=1),1,0))</f>
        <v/>
      </c>
      <c r="AFB33">
        <f>IF($C32=142,0,AFB32+IF(AND($G32=142,$E32=1),1,0))</f>
        <v/>
      </c>
      <c r="AFC33">
        <f>IF($C32=143,0,AFC32+IF(AND($G32=143,$E32=1),1,0))</f>
        <v/>
      </c>
      <c r="AFD33">
        <f>IF($C32=144,0,AFD32+IF(AND($G32=144,$E32=1),1,0))</f>
        <v/>
      </c>
      <c r="AFF33">
        <f>IF('calcA'!D$106=1,DC33+ZR33,1)</f>
        <v/>
      </c>
      <c r="AFG33">
        <f>IF('calcA'!E$106=1,DD33+ZS33,1)</f>
        <v/>
      </c>
      <c r="AFH33">
        <f>IF('calcA'!F$106=1,DE33+ZT33,1)</f>
        <v/>
      </c>
      <c r="AFI33">
        <f>IF('calcA'!G$106=1,DF33+ZU33,1)</f>
        <v/>
      </c>
      <c r="AFJ33">
        <f>IF('calcA'!H$106=1,DG33+ZV33,1)</f>
        <v/>
      </c>
      <c r="AFK33">
        <f>IF('calcA'!I$106=1,DH33+ZW33,1)</f>
        <v/>
      </c>
      <c r="AFL33">
        <f>IF('calcA'!J$106=1,DI33+ZX33,1)</f>
        <v/>
      </c>
      <c r="AFM33">
        <f>IF('calcA'!K$106=1,DJ33+ZY33,1)</f>
        <v/>
      </c>
      <c r="AFN33">
        <f>IF('calcA'!L$106=1,DK33+ZZ33,1)</f>
        <v/>
      </c>
      <c r="AFO33">
        <f>IF('calcA'!M$106=1,DL33+AAA33,1)</f>
        <v/>
      </c>
      <c r="AFP33">
        <f>IF('calcA'!N$106=1,DM33+AAB33,1)</f>
        <v/>
      </c>
      <c r="AFQ33">
        <f>IF('calcA'!O$106=1,DN33+AAC33,1)</f>
        <v/>
      </c>
      <c r="AFR33">
        <f>IF('calcA'!P$106=1,DO33+AAD33,1)</f>
        <v/>
      </c>
      <c r="AFS33">
        <f>IF('calcA'!Q$106=1,DP33+AAE33,1)</f>
        <v/>
      </c>
      <c r="AFT33">
        <f>IF('calcA'!R$106=1,DQ33+AAF33,1)</f>
        <v/>
      </c>
      <c r="AFU33">
        <f>IF('calcA'!S$106=1,DR33+AAG33,1)</f>
        <v/>
      </c>
      <c r="AFV33">
        <f>IF('calcA'!T$106=1,DS33+AAH33,1)</f>
        <v/>
      </c>
      <c r="AFW33">
        <f>IF('calcA'!U$106=1,DT33+AAI33,1)</f>
        <v/>
      </c>
      <c r="AFX33">
        <f>IF('calcA'!V$106=1,DU33+AAJ33,1)</f>
        <v/>
      </c>
      <c r="AFY33">
        <f>IF('calcA'!W$106=1,DV33+AAK33,1)</f>
        <v/>
      </c>
      <c r="AFZ33">
        <f>IF('calcA'!X$106=1,DW33+AAL33,1)</f>
        <v/>
      </c>
      <c r="AGA33">
        <f>IF('calcA'!Y$106=1,DX33+AAM33,1)</f>
        <v/>
      </c>
      <c r="AGB33">
        <f>IF('calcA'!Z$106=1,DY33+AAN33,1)</f>
        <v/>
      </c>
      <c r="AGC33">
        <f>IF('calcA'!AA$106=1,DZ33+AAO33,1)</f>
        <v/>
      </c>
      <c r="AGD33">
        <f>IF('calcA'!AB$106=1,EA33+AAP33,1)</f>
        <v/>
      </c>
      <c r="AGE33">
        <f>IF('calcA'!AC$106=1,EB33+AAQ33,1)</f>
        <v/>
      </c>
      <c r="AGF33">
        <f>IF('calcA'!AD$106=1,EC33+AAR33,1)</f>
        <v/>
      </c>
      <c r="AGG33">
        <f>IF('calcA'!AE$106=1,ED33+AAS33,1)</f>
        <v/>
      </c>
      <c r="AGH33">
        <f>IF('calcA'!AF$106=1,EE33+AAT33,1)</f>
        <v/>
      </c>
      <c r="AGI33">
        <f>IF('calcA'!AG$106=1,EF33+AAU33,1)</f>
        <v/>
      </c>
      <c r="AGJ33">
        <f>IF('calcA'!AH$106=1,EG33+AAV33,1)</f>
        <v/>
      </c>
      <c r="AGK33">
        <f>IF('calcA'!AI$106=1,EH33+AAW33,1)</f>
        <v/>
      </c>
      <c r="AGL33">
        <f>IF('calcA'!AJ$106=1,EI33+AAX33,1)</f>
        <v/>
      </c>
      <c r="AGM33">
        <f>IF('calcA'!AK$106=1,EJ33+AAY33,1)</f>
        <v/>
      </c>
      <c r="AGN33">
        <f>IF('calcA'!AL$106=1,EK33+AAZ33,1)</f>
        <v/>
      </c>
      <c r="AGO33">
        <f>IF('calcA'!AM$106=1,EL33+ABA33,1)</f>
        <v/>
      </c>
      <c r="AGP33">
        <f>IF('calcA'!AN$106=1,EM33+ABB33,1)</f>
        <v/>
      </c>
      <c r="AGQ33">
        <f>IF('calcA'!AO$106=1,EN33+ABC33,1)</f>
        <v/>
      </c>
      <c r="AGR33">
        <f>IF('calcA'!AP$106=1,EO33+ABD33,1)</f>
        <v/>
      </c>
      <c r="AGS33">
        <f>IF('calcA'!AQ$106=1,EP33+ABE33,1)</f>
        <v/>
      </c>
      <c r="AGT33">
        <f>IF('calcA'!AR$106=1,EQ33+ABF33,1)</f>
        <v/>
      </c>
      <c r="AGU33">
        <f>IF('calcA'!AS$106=1,ER33+ABG33,1)</f>
        <v/>
      </c>
      <c r="AGV33">
        <f>IF('calcA'!AT$106=1,ES33+ABH33,1)</f>
        <v/>
      </c>
      <c r="AGW33">
        <f>IF('calcA'!AU$106=1,ET33+ABI33,1)</f>
        <v/>
      </c>
      <c r="AGX33">
        <f>IF('calcA'!AV$106=1,EU33+ABJ33,1)</f>
        <v/>
      </c>
      <c r="AGY33">
        <f>IF('calcA'!AW$106=1,EV33+ABK33,1)</f>
        <v/>
      </c>
      <c r="AGZ33">
        <f>IF('calcA'!AX$106=1,EW33+ABL33,1)</f>
        <v/>
      </c>
      <c r="AHA33">
        <f>IF('calcA'!AY$106=1,EX33+ABM33,1)</f>
        <v/>
      </c>
      <c r="AHB33">
        <f>IF('calcA'!AZ$106=1,EY33+ABN33,1)</f>
        <v/>
      </c>
      <c r="AHC33">
        <f>IF('calcA'!BA$106=1,EZ33+ABO33,1)</f>
        <v/>
      </c>
      <c r="AHD33">
        <f>IF('calcA'!BB$106=1,FA33+ABP33,1)</f>
        <v/>
      </c>
      <c r="AHE33">
        <f>IF('calcA'!BC$106=1,FB33+ABQ33,1)</f>
        <v/>
      </c>
      <c r="AHF33">
        <f>IF('calcA'!BD$106=1,FC33+ABR33,1)</f>
        <v/>
      </c>
      <c r="AHG33">
        <f>IF('calcA'!BE$106=1,FD33+ABS33,1)</f>
        <v/>
      </c>
      <c r="AHH33">
        <f>IF('calcA'!BF$106=1,FE33+ABT33,1)</f>
        <v/>
      </c>
      <c r="AHI33">
        <f>IF('calcA'!BG$106=1,FF33+ABU33,1)</f>
        <v/>
      </c>
      <c r="AHJ33">
        <f>IF('calcA'!BH$106=1,FG33+ABV33,1)</f>
        <v/>
      </c>
      <c r="AHK33">
        <f>IF('calcA'!BI$106=1,FH33+ABW33,1)</f>
        <v/>
      </c>
      <c r="AHL33">
        <f>IF('calcA'!BJ$106=1,FI33+ABX33,1)</f>
        <v/>
      </c>
      <c r="AHM33">
        <f>IF('calcA'!BK$106=1,FJ33+ABY33,1)</f>
        <v/>
      </c>
      <c r="AHN33">
        <f>IF('calcA'!BL$106=1,FK33+ABZ33,1)</f>
        <v/>
      </c>
      <c r="AHO33">
        <f>IF('calcA'!BM$106=1,FL33+ACA33,1)</f>
        <v/>
      </c>
      <c r="AHP33">
        <f>IF('calcA'!BN$106=1,FM33+ACB33,1)</f>
        <v/>
      </c>
      <c r="AHQ33">
        <f>IF('calcA'!BO$106=1,FN33+ACC33,1)</f>
        <v/>
      </c>
      <c r="AHR33">
        <f>IF('calcA'!BP$106=1,FO33+ACD33,1)</f>
        <v/>
      </c>
      <c r="AHS33">
        <f>IF('calcA'!BQ$106=1,FP33+ACE33,1)</f>
        <v/>
      </c>
      <c r="AHT33">
        <f>IF('calcA'!BR$106=1,FQ33+ACF33,1)</f>
        <v/>
      </c>
      <c r="AHU33">
        <f>IF('calcA'!BS$106=1,FR33+ACG33,1)</f>
        <v/>
      </c>
      <c r="AHV33">
        <f>IF('calcA'!BT$106=1,FS33+ACH33,1)</f>
        <v/>
      </c>
      <c r="AHW33">
        <f>IF('calcA'!BU$106=1,FT33+ACI33,1)</f>
        <v/>
      </c>
      <c r="AHX33">
        <f>IF('calcA'!BV$106=1,FU33+ACJ33,1)</f>
        <v/>
      </c>
      <c r="AHY33">
        <f>IF('calcA'!BW$106=1,FV33+ACK33,1)</f>
        <v/>
      </c>
      <c r="AHZ33">
        <f>IF('calcA'!BX$106=1,FW33+ACL33,1)</f>
        <v/>
      </c>
      <c r="AIA33">
        <f>IF('calcA'!BY$106=1,FX33+ACM33,1)</f>
        <v/>
      </c>
      <c r="AIB33">
        <f>IF('calcA'!BZ$106=1,FY33+ACN33,1)</f>
        <v/>
      </c>
      <c r="AIC33">
        <f>IF('calcA'!CA$106=1,FZ33+ACO33,1)</f>
        <v/>
      </c>
      <c r="AID33">
        <f>IF('calcA'!CB$106=1,GA33+ACP33,1)</f>
        <v/>
      </c>
      <c r="AIE33">
        <f>IF('calcA'!CC$106=1,GB33+ACQ33,1)</f>
        <v/>
      </c>
      <c r="AIF33">
        <f>IF('calcA'!CD$106=1,GC33+ACR33,1)</f>
        <v/>
      </c>
      <c r="AIG33">
        <f>IF('calcA'!CE$106=1,GD33+ACS33,1)</f>
        <v/>
      </c>
      <c r="AIH33">
        <f>IF('calcA'!CF$106=1,GE33+ACT33,1)</f>
        <v/>
      </c>
      <c r="AII33">
        <f>IF('calcA'!CG$106=1,GF33+ACU33,1)</f>
        <v/>
      </c>
      <c r="AIJ33">
        <f>IF('calcA'!CH$106=1,GG33+ACV33,1)</f>
        <v/>
      </c>
      <c r="AIK33">
        <f>IF('calcA'!CI$106=1,GH33+ACW33,1)</f>
        <v/>
      </c>
      <c r="AIL33">
        <f>IF('calcA'!CJ$106=1,GI33+ACX33,1)</f>
        <v/>
      </c>
      <c r="AIM33">
        <f>IF('calcA'!CK$106=1,GJ33+ACY33,1)</f>
        <v/>
      </c>
      <c r="AIN33">
        <f>IF('calcA'!CL$106=1,GK33+ACZ33,1)</f>
        <v/>
      </c>
      <c r="AIO33">
        <f>IF('calcA'!CM$106=1,GL33+ADA33,1)</f>
        <v/>
      </c>
      <c r="AIP33">
        <f>IF('calcA'!CN$106=1,GM33+ADB33,1)</f>
        <v/>
      </c>
      <c r="AIQ33">
        <f>IF('calcA'!CO$106=1,GN33+ADC33,1)</f>
        <v/>
      </c>
      <c r="AIR33">
        <f>IF('calcA'!CP$106=1,GO33+ADD33,1)</f>
        <v/>
      </c>
      <c r="AIS33">
        <f>IF('calcA'!CQ$106=1,GP33+ADE33,1)</f>
        <v/>
      </c>
      <c r="AIT33">
        <f>IF('calcA'!CR$106=1,GQ33+ADF33,1)</f>
        <v/>
      </c>
      <c r="AIU33">
        <f>IF('calcA'!CS$106=1,GR33+ADG33,1)</f>
        <v/>
      </c>
      <c r="AIV33">
        <f>IF('calcA'!CT$106=1,GS33+ADH33,1)</f>
        <v/>
      </c>
      <c r="AIW33">
        <f>IF('calcA'!CU$106=1,GT33+ADI33,1)</f>
        <v/>
      </c>
      <c r="AIX33">
        <f>IF('calcA'!CV$106=1,GU33+ADJ33,1)</f>
        <v/>
      </c>
      <c r="AIY33">
        <f>IF('calcA'!CW$106=1,GV33+ADK33,1)</f>
        <v/>
      </c>
      <c r="AIZ33">
        <f>IF('calcA'!CX$106=1,GW33+ADL33,1)</f>
        <v/>
      </c>
      <c r="AJA33">
        <f>IF('calcA'!CY$106=1,GX33+ADM33,1)</f>
        <v/>
      </c>
      <c r="AJB33">
        <f>IF('calcA'!CZ$106=1,GY33+ADN33,1)</f>
        <v/>
      </c>
      <c r="AJC33">
        <f>IF('calcA'!DA$106=1,GZ33+ADO33,1)</f>
        <v/>
      </c>
      <c r="AJD33">
        <f>IF('calcA'!DB$106=1,HA33+ADP33,1)</f>
        <v/>
      </c>
      <c r="AJE33">
        <f>IF('calcA'!DC$106=1,HB33+ADQ33,1)</f>
        <v/>
      </c>
      <c r="AJF33">
        <f>IF('calcA'!DD$106=1,HC33+ADR33,1)</f>
        <v/>
      </c>
      <c r="AJG33">
        <f>IF('calcA'!DE$106=1,HD33+ADS33,1)</f>
        <v/>
      </c>
      <c r="AJH33">
        <f>IF('calcA'!DF$106=1,HE33+ADT33,1)</f>
        <v/>
      </c>
      <c r="AJI33">
        <f>IF('calcA'!DG$106=1,HF33+ADU33,1)</f>
        <v/>
      </c>
      <c r="AJJ33">
        <f>IF('calcA'!DH$106=1,HG33+ADV33,1)</f>
        <v/>
      </c>
      <c r="AJK33">
        <f>IF('calcA'!DI$106=1,HH33+ADW33,1)</f>
        <v/>
      </c>
      <c r="AJL33">
        <f>IF('calcA'!DJ$106=1,HI33+ADX33,1)</f>
        <v/>
      </c>
      <c r="AJM33">
        <f>IF('calcA'!DK$106=1,HJ33+ADY33,1)</f>
        <v/>
      </c>
      <c r="AJN33">
        <f>IF('calcA'!DL$106=1,HK33+ADZ33,1)</f>
        <v/>
      </c>
      <c r="AJO33">
        <f>IF('calcA'!DM$106=1,HL33+AEA33,1)</f>
        <v/>
      </c>
      <c r="AJP33">
        <f>IF('calcA'!DN$106=1,HM33+AEB33,1)</f>
        <v/>
      </c>
      <c r="AJQ33">
        <f>IF('calcA'!DO$106=1,HN33+AEC33,1)</f>
        <v/>
      </c>
      <c r="AJR33">
        <f>IF('calcA'!DP$106=1,HO33+AED33,1)</f>
        <v/>
      </c>
      <c r="AJS33">
        <f>IF('calcA'!DQ$106=1,HP33+AEE33,1)</f>
        <v/>
      </c>
      <c r="AJT33">
        <f>IF('calcA'!DR$106=1,HQ33+AEF33,1)</f>
        <v/>
      </c>
      <c r="AJU33">
        <f>IF('calcA'!DS$106=1,HR33+AEG33,1)</f>
        <v/>
      </c>
      <c r="AJV33">
        <f>IF('calcA'!DT$106=1,HS33+AEH33,1)</f>
        <v/>
      </c>
      <c r="AJW33">
        <f>IF('calcA'!DU$106=1,HT33+AEI33,1)</f>
        <v/>
      </c>
      <c r="AJX33">
        <f>IF('calcA'!DV$106=1,HU33+AEJ33,1)</f>
        <v/>
      </c>
      <c r="AJY33">
        <f>IF('calcA'!DW$106=1,HV33+AEK33,1)</f>
        <v/>
      </c>
      <c r="AJZ33">
        <f>IF('calcA'!DX$106=1,HW33+AEL33,1)</f>
        <v/>
      </c>
      <c r="AKA33">
        <f>IF('calcA'!DY$106=1,HX33+AEM33,1)</f>
        <v/>
      </c>
      <c r="AKB33">
        <f>IF('calcA'!DZ$106=1,HY33+AEN33,1)</f>
        <v/>
      </c>
      <c r="AKC33">
        <f>IF('calcA'!EA$106=1,HZ33+AEO33,1)</f>
        <v/>
      </c>
      <c r="AKD33">
        <f>IF('calcA'!EB$106=1,IA33+AEP33,1)</f>
        <v/>
      </c>
      <c r="AKE33">
        <f>IF('calcA'!EC$106=1,IB33+AEQ33,1)</f>
        <v/>
      </c>
      <c r="AKF33">
        <f>IF('calcA'!ED$106=1,IC33+AER33,1)</f>
        <v/>
      </c>
      <c r="AKG33">
        <f>IF('calcA'!EE$106=1,ID33+AES33,1)</f>
        <v/>
      </c>
      <c r="AKH33">
        <f>IF('calcA'!EF$106=1,IE33+AET33,1)</f>
        <v/>
      </c>
      <c r="AKI33">
        <f>IF('calcA'!EG$106=1,IF33+AEU33,1)</f>
        <v/>
      </c>
      <c r="AKJ33">
        <f>IF('calcA'!EH$106=1,IG33+AEV33,1)</f>
        <v/>
      </c>
      <c r="AKK33">
        <f>IF('calcA'!EI$106=1,IH33+AEW33,1)</f>
        <v/>
      </c>
      <c r="AKL33">
        <f>IF('calcA'!EJ$106=1,II33+AEX33,1)</f>
        <v/>
      </c>
      <c r="AKM33">
        <f>IF('calcA'!EK$106=1,IJ33+AEY33,1)</f>
        <v/>
      </c>
      <c r="AKN33">
        <f>IF('calcA'!EL$106=1,IK33+AEZ33,1)</f>
        <v/>
      </c>
      <c r="AKO33">
        <f>IF('calcA'!EM$106=1,IL33+AFA33,1)</f>
        <v/>
      </c>
      <c r="AKP33">
        <f>IF('calcA'!EN$106=1,IM33+AFB33,1)</f>
        <v/>
      </c>
      <c r="AKQ33">
        <f>IF('calcA'!EO$106=1,IN33+AFC33,1)</f>
        <v/>
      </c>
      <c r="AKR33">
        <f>IF('calcA'!EP$106=1,IO33+AFD33,1)</f>
        <v/>
      </c>
      <c r="AKS33" t="n">
        <v>1</v>
      </c>
    </row>
    <row r="34">
      <c r="A34" t="n">
        <v>32</v>
      </c>
      <c r="B34">
        <f>IF(MIN(BM34:CZ34)&gt;=1000000000,0,MATCH(MIN(BM34:CZ34),BM34:CZ34,0))</f>
        <v/>
      </c>
      <c r="C34">
        <f>IF(MIN(OF34:TS34)&gt;=1000000000,0,MATCH(MIN(OF34:TS34),OF34:TS34,0))</f>
        <v/>
      </c>
      <c r="D34">
        <f>IF(C34&gt;0,INDEX('calcA'!$D$5:$EQ$5,C34),0)</f>
        <v/>
      </c>
      <c r="E34">
        <f>IF(B34=0,0,INDEX('calcA'!$IQ$10:$IQ$54,B34))</f>
        <v/>
      </c>
      <c r="F34">
        <f>IF(B34=0,0,INDEX('calcA'!$IP$10:$IP$54,B34))</f>
        <v/>
      </c>
      <c r="G34">
        <f>IF(AND(C34&gt;0,E34&gt;0),IF(AND(INDEX('calcA'!$D$106:$EQ$106,C34)=1,INDEX($IQ34:$OD34,C34)=1),C34+1,0),0)</f>
        <v/>
      </c>
      <c r="H34">
        <f>IF(B34=0,0,INDEX('calcA'!$IW$10:$IW$54,B34))</f>
        <v/>
      </c>
      <c r="U34">
        <f>IF(B34=0,0,INDEX('calcA'!$IX$10:$IX$54,B34))</f>
        <v/>
      </c>
      <c r="V34">
        <f>IF(B34=0,0,INDEX('calcA'!$JF$10:$JF$54,B34))</f>
        <v/>
      </c>
      <c r="W34">
        <f>IF(B34=0,0,IF(IF(E34=2,SUMPRODUCT(INDEX('calcA'!$D$60:$EQ$99,B34,0),$DB34:$IO34,$IQ34:$OD34),SUMPRODUCT(INDEX('calcA'!$D$60:$EQ$99,B34,0),$DB34:$IO34))=0,1,0))</f>
        <v/>
      </c>
      <c r="X34">
        <f>MAX(X33,IF($B33=1,1,0))</f>
        <v/>
      </c>
      <c r="Y34">
        <f>MAX(Y33,IF($B33=2,1,0))</f>
        <v/>
      </c>
      <c r="Z34">
        <f>MAX(Z33,IF($B33=3,1,0))</f>
        <v/>
      </c>
      <c r="AA34">
        <f>MAX(AA33,IF($B33=4,1,0))</f>
        <v/>
      </c>
      <c r="AB34">
        <f>MAX(AB33,IF($B33=5,1,0))</f>
        <v/>
      </c>
      <c r="AC34">
        <f>MAX(AC33,IF($B33=6,1,0))</f>
        <v/>
      </c>
      <c r="AD34">
        <f>MAX(AD33,IF($B33=7,1,0))</f>
        <v/>
      </c>
      <c r="AE34">
        <f>MAX(AE33,IF($B33=8,1,0))</f>
        <v/>
      </c>
      <c r="AF34">
        <f>MAX(AF33,IF($B33=9,1,0))</f>
        <v/>
      </c>
      <c r="AG34">
        <f>MAX(AG33,IF($B33=10,1,0))</f>
        <v/>
      </c>
      <c r="AH34">
        <f>MAX(AH33,IF($B33=11,1,0))</f>
        <v/>
      </c>
      <c r="AI34">
        <f>MAX(AI33,IF($B33=12,1,0))</f>
        <v/>
      </c>
      <c r="AJ34">
        <f>MAX(AJ33,IF($B33=13,1,0))</f>
        <v/>
      </c>
      <c r="AK34">
        <f>MAX(AK33,IF($B33=14,1,0))</f>
        <v/>
      </c>
      <c r="AL34">
        <f>MAX(AL33,IF($B33=15,1,0))</f>
        <v/>
      </c>
      <c r="AM34">
        <f>MAX(AM33,IF($B33=16,1,0))</f>
        <v/>
      </c>
      <c r="AN34">
        <f>MAX(AN33,IF($B33=17,1,0))</f>
        <v/>
      </c>
      <c r="AO34">
        <f>MAX(AO33,IF($B33=18,1,0))</f>
        <v/>
      </c>
      <c r="AP34">
        <f>MAX(AP33,IF($B33=19,1,0))</f>
        <v/>
      </c>
      <c r="AQ34">
        <f>MAX(AQ33,IF($B33=20,1,0))</f>
        <v/>
      </c>
      <c r="AR34">
        <f>MAX(AR33,IF($B33=21,1,0))</f>
        <v/>
      </c>
      <c r="AS34">
        <f>MAX(AS33,IF($B33=22,1,0))</f>
        <v/>
      </c>
      <c r="AT34">
        <f>MAX(AT33,IF($B33=23,1,0))</f>
        <v/>
      </c>
      <c r="AU34">
        <f>MAX(AU33,IF($B33=24,1,0))</f>
        <v/>
      </c>
      <c r="AV34">
        <f>MAX(AV33,IF($B33=25,1,0))</f>
        <v/>
      </c>
      <c r="AW34">
        <f>MAX(AW33,IF($B33=26,1,0))</f>
        <v/>
      </c>
      <c r="AX34">
        <f>MAX(AX33,IF($B33=27,1,0))</f>
        <v/>
      </c>
      <c r="AY34">
        <f>MAX(AY33,IF($B33=28,1,0))</f>
        <v/>
      </c>
      <c r="AZ34">
        <f>MAX(AZ33,IF($B33=29,1,0))</f>
        <v/>
      </c>
      <c r="BA34">
        <f>MAX(BA33,IF($B33=30,1,0))</f>
        <v/>
      </c>
      <c r="BB34">
        <f>MAX(BB33,IF($B33=31,1,0))</f>
        <v/>
      </c>
      <c r="BC34">
        <f>MAX(BC33,IF($B33=32,1,0))</f>
        <v/>
      </c>
      <c r="BD34">
        <f>MAX(BD33,IF($B33=33,1,0))</f>
        <v/>
      </c>
      <c r="BE34">
        <f>MAX(BE33,IF($B33=34,1,0))</f>
        <v/>
      </c>
      <c r="BF34">
        <f>MAX(BF33,IF($B33=35,1,0))</f>
        <v/>
      </c>
      <c r="BG34">
        <f>MAX(BG33,IF($B33=36,1,0))</f>
        <v/>
      </c>
      <c r="BH34">
        <f>MAX(BH33,IF($B33=37,1,0))</f>
        <v/>
      </c>
      <c r="BI34">
        <f>MAX(BI33,IF($B33=38,1,0))</f>
        <v/>
      </c>
      <c r="BJ34">
        <f>MAX(BJ33,IF($B33=39,1,0))</f>
        <v/>
      </c>
      <c r="BK34">
        <f>MAX(BK33,IF($B33=40,1,0))</f>
        <v/>
      </c>
      <c r="BM34">
        <f>IF(OR(X34=1,calcA!$A$6=0),1000000000,IF('calcA'!$JF$10=1,0,100000000)+IF('calcA'!$IQ$10=2,SUMPRODUCT('calcA'!$D$60:$EQ$60,$DB34:$IO34,$IQ34:$OD34)*1000+SUMPRODUCT('calcA'!$D$60:$EQ$60,$DB34:$IO34+$ZQ34:$AFD34,$AFF34:$AKS34),SUMPRODUCT('calcA'!$D$60:$EQ$60,$DB34:$IO34*1001+$ZQ34:$AFD34))*100+1)</f>
        <v/>
      </c>
      <c r="BN34">
        <f>IF(OR(Y34=1,calcA!$A$6=0),1000000000,IF('calcA'!$JF$11=1,0,100000000)+IF('calcA'!$IQ$11=2,SUMPRODUCT('calcA'!$D$61:$EQ$61,$DB34:$IO34,$IQ34:$OD34)*1000+SUMPRODUCT('calcA'!$D$61:$EQ$61,$DB34:$IO34+$ZQ34:$AFD34,$AFF34:$AKS34),SUMPRODUCT('calcA'!$D$61:$EQ$61,$DB34:$IO34*1001+$ZQ34:$AFD34))*100+2)</f>
        <v/>
      </c>
      <c r="BO34">
        <f>IF(OR(Z34=1,calcA!$A$6=0),1000000000,IF('calcA'!$JF$12=1,0,100000000)+IF('calcA'!$IQ$12=2,SUMPRODUCT('calcA'!$D$62:$EQ$62,$DB34:$IO34,$IQ34:$OD34)*1000+SUMPRODUCT('calcA'!$D$62:$EQ$62,$DB34:$IO34+$ZQ34:$AFD34,$AFF34:$AKS34),SUMPRODUCT('calcA'!$D$62:$EQ$62,$DB34:$IO34*1001+$ZQ34:$AFD34))*100+3)</f>
        <v/>
      </c>
      <c r="BP34">
        <f>IF(OR(AA34=1,calcA!$A$6=0),1000000000,IF('calcA'!$JF$13=1,0,100000000)+IF('calcA'!$IQ$13=2,SUMPRODUCT('calcA'!$D$63:$EQ$63,$DB34:$IO34,$IQ34:$OD34)*1000+SUMPRODUCT('calcA'!$D$63:$EQ$63,$DB34:$IO34+$ZQ34:$AFD34,$AFF34:$AKS34),SUMPRODUCT('calcA'!$D$63:$EQ$63,$DB34:$IO34*1001+$ZQ34:$AFD34))*100+4)</f>
        <v/>
      </c>
      <c r="BQ34">
        <f>IF(OR(AB34=1,calcA!$A$6=0),1000000000,IF('calcA'!$JF$14=1,0,100000000)+IF('calcA'!$IQ$14=2,SUMPRODUCT('calcA'!$D$64:$EQ$64,$DB34:$IO34,$IQ34:$OD34)*1000+SUMPRODUCT('calcA'!$D$64:$EQ$64,$DB34:$IO34+$ZQ34:$AFD34,$AFF34:$AKS34),SUMPRODUCT('calcA'!$D$64:$EQ$64,$DB34:$IO34*1001+$ZQ34:$AFD34))*100+5)</f>
        <v/>
      </c>
      <c r="BR34">
        <f>IF(OR(AC34=1,calcA!$A$6=0),1000000000,IF('calcA'!$JF$15=1,0,100000000)+IF('calcA'!$IQ$15=2,SUMPRODUCT('calcA'!$D$65:$EQ$65,$DB34:$IO34,$IQ34:$OD34)*1000+SUMPRODUCT('calcA'!$D$65:$EQ$65,$DB34:$IO34+$ZQ34:$AFD34,$AFF34:$AKS34),SUMPRODUCT('calcA'!$D$65:$EQ$65,$DB34:$IO34*1001+$ZQ34:$AFD34))*100+6)</f>
        <v/>
      </c>
      <c r="BS34">
        <f>IF(OR(AD34=1,calcA!$A$6=0),1000000000,IF('calcA'!$JF$16=1,0,100000000)+IF('calcA'!$IQ$16=2,SUMPRODUCT('calcA'!$D$66:$EQ$66,$DB34:$IO34,$IQ34:$OD34)*1000+SUMPRODUCT('calcA'!$D$66:$EQ$66,$DB34:$IO34+$ZQ34:$AFD34,$AFF34:$AKS34),SUMPRODUCT('calcA'!$D$66:$EQ$66,$DB34:$IO34*1001+$ZQ34:$AFD34))*100+7)</f>
        <v/>
      </c>
      <c r="BT34">
        <f>IF(OR(AE34=1,calcA!$A$6=0),1000000000,IF('calcA'!$JF$17=1,0,100000000)+IF('calcA'!$IQ$17=2,SUMPRODUCT('calcA'!$D$67:$EQ$67,$DB34:$IO34,$IQ34:$OD34)*1000+SUMPRODUCT('calcA'!$D$67:$EQ$67,$DB34:$IO34+$ZQ34:$AFD34,$AFF34:$AKS34),SUMPRODUCT('calcA'!$D$67:$EQ$67,$DB34:$IO34*1001+$ZQ34:$AFD34))*100+8)</f>
        <v/>
      </c>
      <c r="BU34">
        <f>IF(OR(AF34=1,calcA!$A$6=0),1000000000,IF('calcA'!$JF$18=1,0,100000000)+IF('calcA'!$IQ$18=2,SUMPRODUCT('calcA'!$D$68:$EQ$68,$DB34:$IO34,$IQ34:$OD34)*1000+SUMPRODUCT('calcA'!$D$68:$EQ$68,$DB34:$IO34+$ZQ34:$AFD34,$AFF34:$AKS34),SUMPRODUCT('calcA'!$D$68:$EQ$68,$DB34:$IO34*1001+$ZQ34:$AFD34))*100+9)</f>
        <v/>
      </c>
      <c r="BV34">
        <f>IF(OR(AG34=1,calcA!$A$6=0),1000000000,IF('calcA'!$JF$19=1,0,100000000)+IF('calcA'!$IQ$19=2,SUMPRODUCT('calcA'!$D$69:$EQ$69,$DB34:$IO34,$IQ34:$OD34)*1000+SUMPRODUCT('calcA'!$D$69:$EQ$69,$DB34:$IO34+$ZQ34:$AFD34,$AFF34:$AKS34),SUMPRODUCT('calcA'!$D$69:$EQ$69,$DB34:$IO34*1001+$ZQ34:$AFD34))*100+10)</f>
        <v/>
      </c>
      <c r="BW34">
        <f>IF(OR(AH34=1,calcA!$A$6=0),1000000000,IF('calcA'!$JF$20=1,0,100000000)+IF('calcA'!$IQ$20=2,SUMPRODUCT('calcA'!$D$70:$EQ$70,$DB34:$IO34,$IQ34:$OD34)*1000+SUMPRODUCT('calcA'!$D$70:$EQ$70,$DB34:$IO34+$ZQ34:$AFD34,$AFF34:$AKS34),SUMPRODUCT('calcA'!$D$70:$EQ$70,$DB34:$IO34*1001+$ZQ34:$AFD34))*100+11)</f>
        <v/>
      </c>
      <c r="BX34">
        <f>IF(OR(AI34=1,calcA!$A$6=0),1000000000,IF('calcA'!$JF$21=1,0,100000000)+IF('calcA'!$IQ$21=2,SUMPRODUCT('calcA'!$D$71:$EQ$71,$DB34:$IO34,$IQ34:$OD34)*1000+SUMPRODUCT('calcA'!$D$71:$EQ$71,$DB34:$IO34+$ZQ34:$AFD34,$AFF34:$AKS34),SUMPRODUCT('calcA'!$D$71:$EQ$71,$DB34:$IO34*1001+$ZQ34:$AFD34))*100+12)</f>
        <v/>
      </c>
      <c r="BY34">
        <f>IF(OR(AJ34=1,calcA!$A$6=0),1000000000,IF('calcA'!$JF$22=1,0,100000000)+IF('calcA'!$IQ$22=2,SUMPRODUCT('calcA'!$D$72:$EQ$72,$DB34:$IO34,$IQ34:$OD34)*1000+SUMPRODUCT('calcA'!$D$72:$EQ$72,$DB34:$IO34+$ZQ34:$AFD34,$AFF34:$AKS34),SUMPRODUCT('calcA'!$D$72:$EQ$72,$DB34:$IO34*1001+$ZQ34:$AFD34))*100+13)</f>
        <v/>
      </c>
      <c r="BZ34">
        <f>IF(OR(AK34=1,calcA!$A$6=0),1000000000,IF('calcA'!$JF$23=1,0,100000000)+IF('calcA'!$IQ$23=2,SUMPRODUCT('calcA'!$D$73:$EQ$73,$DB34:$IO34,$IQ34:$OD34)*1000+SUMPRODUCT('calcA'!$D$73:$EQ$73,$DB34:$IO34+$ZQ34:$AFD34,$AFF34:$AKS34),SUMPRODUCT('calcA'!$D$73:$EQ$73,$DB34:$IO34*1001+$ZQ34:$AFD34))*100+14)</f>
        <v/>
      </c>
      <c r="CA34">
        <f>IF(OR(AL34=1,calcA!$A$6=0),1000000000,IF('calcA'!$JF$24=1,0,100000000)+IF('calcA'!$IQ$24=2,SUMPRODUCT('calcA'!$D$74:$EQ$74,$DB34:$IO34,$IQ34:$OD34)*1000+SUMPRODUCT('calcA'!$D$74:$EQ$74,$DB34:$IO34+$ZQ34:$AFD34,$AFF34:$AKS34),SUMPRODUCT('calcA'!$D$74:$EQ$74,$DB34:$IO34*1001+$ZQ34:$AFD34))*100+15)</f>
        <v/>
      </c>
      <c r="CB34">
        <f>IF(OR(AM34=1,calcA!$A$6=0),1000000000,IF('calcA'!$JF$25=1,0,100000000)+IF('calcA'!$IQ$25=2,SUMPRODUCT('calcA'!$D$75:$EQ$75,$DB34:$IO34,$IQ34:$OD34)*1000+SUMPRODUCT('calcA'!$D$75:$EQ$75,$DB34:$IO34+$ZQ34:$AFD34,$AFF34:$AKS34),SUMPRODUCT('calcA'!$D$75:$EQ$75,$DB34:$IO34*1001+$ZQ34:$AFD34))*100+16)</f>
        <v/>
      </c>
      <c r="CC34">
        <f>IF(OR(AN34=1,calcA!$A$6=0),1000000000,IF('calcA'!$JF$26=1,0,100000000)+IF('calcA'!$IQ$26=2,SUMPRODUCT('calcA'!$D$76:$EQ$76,$DB34:$IO34,$IQ34:$OD34)*1000+SUMPRODUCT('calcA'!$D$76:$EQ$76,$DB34:$IO34+$ZQ34:$AFD34,$AFF34:$AKS34),SUMPRODUCT('calcA'!$D$76:$EQ$76,$DB34:$IO34*1001+$ZQ34:$AFD34))*100+17)</f>
        <v/>
      </c>
      <c r="CD34">
        <f>IF(OR(AO34=1,calcA!$A$6=0),1000000000,IF('calcA'!$JF$27=1,0,100000000)+IF('calcA'!$IQ$27=2,SUMPRODUCT('calcA'!$D$77:$EQ$77,$DB34:$IO34,$IQ34:$OD34)*1000+SUMPRODUCT('calcA'!$D$77:$EQ$77,$DB34:$IO34+$ZQ34:$AFD34,$AFF34:$AKS34),SUMPRODUCT('calcA'!$D$77:$EQ$77,$DB34:$IO34*1001+$ZQ34:$AFD34))*100+18)</f>
        <v/>
      </c>
      <c r="CE34">
        <f>IF(OR(AP34=1,calcA!$A$6=0),1000000000,IF('calcA'!$JF$28=1,0,100000000)+IF('calcA'!$IQ$28=2,SUMPRODUCT('calcA'!$D$78:$EQ$78,$DB34:$IO34,$IQ34:$OD34)*1000+SUMPRODUCT('calcA'!$D$78:$EQ$78,$DB34:$IO34+$ZQ34:$AFD34,$AFF34:$AKS34),SUMPRODUCT('calcA'!$D$78:$EQ$78,$DB34:$IO34*1001+$ZQ34:$AFD34))*100+19)</f>
        <v/>
      </c>
      <c r="CF34">
        <f>IF(OR(AQ34=1,calcA!$A$6=0),1000000000,IF('calcA'!$JF$29=1,0,100000000)+IF('calcA'!$IQ$29=2,SUMPRODUCT('calcA'!$D$79:$EQ$79,$DB34:$IO34,$IQ34:$OD34)*1000+SUMPRODUCT('calcA'!$D$79:$EQ$79,$DB34:$IO34+$ZQ34:$AFD34,$AFF34:$AKS34),SUMPRODUCT('calcA'!$D$79:$EQ$79,$DB34:$IO34*1001+$ZQ34:$AFD34))*100+20)</f>
        <v/>
      </c>
      <c r="CG34">
        <f>IF(OR(AR34=1,calcA!$A$6=0),1000000000,IF('calcA'!$JF$30=1,0,100000000)+IF('calcA'!$IQ$30=2,SUMPRODUCT('calcA'!$D$80:$EQ$80,$DB34:$IO34,$IQ34:$OD34)*1000+SUMPRODUCT('calcA'!$D$80:$EQ$80,$DB34:$IO34+$ZQ34:$AFD34,$AFF34:$AKS34),SUMPRODUCT('calcA'!$D$80:$EQ$80,$DB34:$IO34*1001+$ZQ34:$AFD34))*100+21)</f>
        <v/>
      </c>
      <c r="CH34">
        <f>IF(OR(AS34=1,calcA!$A$6=0),1000000000,IF('calcA'!$JF$31=1,0,100000000)+IF('calcA'!$IQ$31=2,SUMPRODUCT('calcA'!$D$81:$EQ$81,$DB34:$IO34,$IQ34:$OD34)*1000+SUMPRODUCT('calcA'!$D$81:$EQ$81,$DB34:$IO34+$ZQ34:$AFD34,$AFF34:$AKS34),SUMPRODUCT('calcA'!$D$81:$EQ$81,$DB34:$IO34*1001+$ZQ34:$AFD34))*100+22)</f>
        <v/>
      </c>
      <c r="CI34">
        <f>IF(OR(AT34=1,calcA!$A$6=0),1000000000,IF('calcA'!$JF$32=1,0,100000000)+IF('calcA'!$IQ$32=2,SUMPRODUCT('calcA'!$D$82:$EQ$82,$DB34:$IO34,$IQ34:$OD34)*1000+SUMPRODUCT('calcA'!$D$82:$EQ$82,$DB34:$IO34+$ZQ34:$AFD34,$AFF34:$AKS34),SUMPRODUCT('calcA'!$D$82:$EQ$82,$DB34:$IO34*1001+$ZQ34:$AFD34))*100+23)</f>
        <v/>
      </c>
      <c r="CJ34">
        <f>IF(OR(AU34=1,calcA!$A$6=0),1000000000,IF('calcA'!$JF$33=1,0,100000000)+IF('calcA'!$IQ$33=2,SUMPRODUCT('calcA'!$D$83:$EQ$83,$DB34:$IO34,$IQ34:$OD34)*1000+SUMPRODUCT('calcA'!$D$83:$EQ$83,$DB34:$IO34+$ZQ34:$AFD34,$AFF34:$AKS34),SUMPRODUCT('calcA'!$D$83:$EQ$83,$DB34:$IO34*1001+$ZQ34:$AFD34))*100+24)</f>
        <v/>
      </c>
      <c r="CK34">
        <f>IF(OR(AV34=1,calcA!$A$6=0),1000000000,IF('calcA'!$JF$34=1,0,100000000)+IF('calcA'!$IQ$34=2,SUMPRODUCT('calcA'!$D$84:$EQ$84,$DB34:$IO34,$IQ34:$OD34)*1000+SUMPRODUCT('calcA'!$D$84:$EQ$84,$DB34:$IO34+$ZQ34:$AFD34,$AFF34:$AKS34),SUMPRODUCT('calcA'!$D$84:$EQ$84,$DB34:$IO34*1001+$ZQ34:$AFD34))*100+25)</f>
        <v/>
      </c>
      <c r="CL34">
        <f>IF(OR(AW34=1,calcA!$A$6=0),1000000000,IF('calcA'!$JF$35=1,0,100000000)+IF('calcA'!$IQ$35=2,SUMPRODUCT('calcA'!$D$85:$EQ$85,$DB34:$IO34,$IQ34:$OD34)*1000+SUMPRODUCT('calcA'!$D$85:$EQ$85,$DB34:$IO34+$ZQ34:$AFD34,$AFF34:$AKS34),SUMPRODUCT('calcA'!$D$85:$EQ$85,$DB34:$IO34*1001+$ZQ34:$AFD34))*100+26)</f>
        <v/>
      </c>
      <c r="CM34">
        <f>IF(OR(AX34=1,calcA!$A$6=0),1000000000,IF('calcA'!$JF$36=1,0,100000000)+IF('calcA'!$IQ$36=2,SUMPRODUCT('calcA'!$D$86:$EQ$86,$DB34:$IO34,$IQ34:$OD34)*1000+SUMPRODUCT('calcA'!$D$86:$EQ$86,$DB34:$IO34+$ZQ34:$AFD34,$AFF34:$AKS34),SUMPRODUCT('calcA'!$D$86:$EQ$86,$DB34:$IO34*1001+$ZQ34:$AFD34))*100+27)</f>
        <v/>
      </c>
      <c r="CN34">
        <f>IF(OR(AY34=1,calcA!$A$6=0),1000000000,IF('calcA'!$JF$37=1,0,100000000)+IF('calcA'!$IQ$37=2,SUMPRODUCT('calcA'!$D$87:$EQ$87,$DB34:$IO34,$IQ34:$OD34)*1000+SUMPRODUCT('calcA'!$D$87:$EQ$87,$DB34:$IO34+$ZQ34:$AFD34,$AFF34:$AKS34),SUMPRODUCT('calcA'!$D$87:$EQ$87,$DB34:$IO34*1001+$ZQ34:$AFD34))*100+28)</f>
        <v/>
      </c>
      <c r="CO34">
        <f>IF(OR(AZ34=1,calcA!$A$6=0),1000000000,IF('calcA'!$JF$38=1,0,100000000)+IF('calcA'!$IQ$38=2,SUMPRODUCT('calcA'!$D$88:$EQ$88,$DB34:$IO34,$IQ34:$OD34)*1000+SUMPRODUCT('calcA'!$D$88:$EQ$88,$DB34:$IO34+$ZQ34:$AFD34,$AFF34:$AKS34),SUMPRODUCT('calcA'!$D$88:$EQ$88,$DB34:$IO34*1001+$ZQ34:$AFD34))*100+29)</f>
        <v/>
      </c>
      <c r="CP34">
        <f>IF(OR(BA34=1,calcA!$A$6=0),1000000000,IF('calcA'!$JF$39=1,0,100000000)+IF('calcA'!$IQ$39=2,SUMPRODUCT('calcA'!$D$89:$EQ$89,$DB34:$IO34,$IQ34:$OD34)*1000+SUMPRODUCT('calcA'!$D$89:$EQ$89,$DB34:$IO34+$ZQ34:$AFD34,$AFF34:$AKS34),SUMPRODUCT('calcA'!$D$89:$EQ$89,$DB34:$IO34*1001+$ZQ34:$AFD34))*100+30)</f>
        <v/>
      </c>
      <c r="CQ34">
        <f>IF(OR(BB34=1,calcA!$A$6=0),1000000000,IF('calcA'!$JF$40=1,0,100000000)+IF('calcA'!$IQ$40=2,SUMPRODUCT('calcA'!$D$90:$EQ$90,$DB34:$IO34,$IQ34:$OD34)*1000+SUMPRODUCT('calcA'!$D$90:$EQ$90,$DB34:$IO34+$ZQ34:$AFD34,$AFF34:$AKS34),SUMPRODUCT('calcA'!$D$90:$EQ$90,$DB34:$IO34*1001+$ZQ34:$AFD34))*100+31)</f>
        <v/>
      </c>
      <c r="CR34">
        <f>IF(OR(BC34=1,calcA!$A$6=0),1000000000,IF('calcA'!$JF$41=1,0,100000000)+IF('calcA'!$IQ$41=2,SUMPRODUCT('calcA'!$D$91:$EQ$91,$DB34:$IO34,$IQ34:$OD34)*1000+SUMPRODUCT('calcA'!$D$91:$EQ$91,$DB34:$IO34+$ZQ34:$AFD34,$AFF34:$AKS34),SUMPRODUCT('calcA'!$D$91:$EQ$91,$DB34:$IO34*1001+$ZQ34:$AFD34))*100+32)</f>
        <v/>
      </c>
      <c r="CS34">
        <f>IF(OR(BD34=1,calcA!$A$6=0),1000000000,IF('calcA'!$JF$42=1,0,100000000)+IF('calcA'!$IQ$42=2,SUMPRODUCT('calcA'!$D$92:$EQ$92,$DB34:$IO34,$IQ34:$OD34)*1000+SUMPRODUCT('calcA'!$D$92:$EQ$92,$DB34:$IO34+$ZQ34:$AFD34,$AFF34:$AKS34),SUMPRODUCT('calcA'!$D$92:$EQ$92,$DB34:$IO34*1001+$ZQ34:$AFD34))*100+33)</f>
        <v/>
      </c>
      <c r="CT34">
        <f>IF(OR(BE34=1,calcA!$A$6=0),1000000000,IF('calcA'!$JF$43=1,0,100000000)+IF('calcA'!$IQ$43=2,SUMPRODUCT('calcA'!$D$93:$EQ$93,$DB34:$IO34,$IQ34:$OD34)*1000+SUMPRODUCT('calcA'!$D$93:$EQ$93,$DB34:$IO34+$ZQ34:$AFD34,$AFF34:$AKS34),SUMPRODUCT('calcA'!$D$93:$EQ$93,$DB34:$IO34*1001+$ZQ34:$AFD34))*100+34)</f>
        <v/>
      </c>
      <c r="CU34">
        <f>IF(OR(BF34=1,calcA!$A$6=0),1000000000,IF('calcA'!$JF$44=1,0,100000000)+IF('calcA'!$IQ$44=2,SUMPRODUCT('calcA'!$D$94:$EQ$94,$DB34:$IO34,$IQ34:$OD34)*1000+SUMPRODUCT('calcA'!$D$94:$EQ$94,$DB34:$IO34+$ZQ34:$AFD34,$AFF34:$AKS34),SUMPRODUCT('calcA'!$D$94:$EQ$94,$DB34:$IO34*1001+$ZQ34:$AFD34))*100+35)</f>
        <v/>
      </c>
      <c r="CV34">
        <f>IF(OR(BG34=1,calcA!$A$6=0),1000000000,IF('calcA'!$JF$45=1,0,100000000)+IF('calcA'!$IQ$45=2,SUMPRODUCT('calcA'!$D$95:$EQ$95,$DB34:$IO34,$IQ34:$OD34)*1000+SUMPRODUCT('calcA'!$D$95:$EQ$95,$DB34:$IO34+$ZQ34:$AFD34,$AFF34:$AKS34),SUMPRODUCT('calcA'!$D$95:$EQ$95,$DB34:$IO34*1001+$ZQ34:$AFD34))*100+36)</f>
        <v/>
      </c>
      <c r="CW34">
        <f>IF(OR(BH34=1,calcA!$A$6=0),1000000000,IF('calcA'!$JF$46=1,0,100000000)+IF('calcA'!$IQ$46=2,SUMPRODUCT('calcA'!$D$96:$EQ$96,$DB34:$IO34,$IQ34:$OD34)*1000+SUMPRODUCT('calcA'!$D$96:$EQ$96,$DB34:$IO34+$ZQ34:$AFD34,$AFF34:$AKS34),SUMPRODUCT('calcA'!$D$96:$EQ$96,$DB34:$IO34*1001+$ZQ34:$AFD34))*100+37)</f>
        <v/>
      </c>
      <c r="CX34">
        <f>IF(OR(BI34=1,calcA!$A$6=0),1000000000,IF('calcA'!$JF$47=1,0,100000000)+IF('calcA'!$IQ$47=2,SUMPRODUCT('calcA'!$D$97:$EQ$97,$DB34:$IO34,$IQ34:$OD34)*1000+SUMPRODUCT('calcA'!$D$97:$EQ$97,$DB34:$IO34+$ZQ34:$AFD34,$AFF34:$AKS34),SUMPRODUCT('calcA'!$D$97:$EQ$97,$DB34:$IO34*1001+$ZQ34:$AFD34))*100+38)</f>
        <v/>
      </c>
      <c r="CY34">
        <f>IF(OR(BJ34=1,calcA!$A$6=0),1000000000,IF('calcA'!$JF$48=1,0,100000000)+IF('calcA'!$IQ$48=2,SUMPRODUCT('calcA'!$D$98:$EQ$98,$DB34:$IO34,$IQ34:$OD34)*1000+SUMPRODUCT('calcA'!$D$98:$EQ$98,$DB34:$IO34+$ZQ34:$AFD34,$AFF34:$AKS34),SUMPRODUCT('calcA'!$D$98:$EQ$98,$DB34:$IO34*1001+$ZQ34:$AFD34))*100+39)</f>
        <v/>
      </c>
      <c r="CZ34">
        <f>IF(OR(BK34=1,calcA!$A$6=0),1000000000,IF('calcA'!$JF$49=1,0,100000000)+IF('calcA'!$IQ$49=2,SUMPRODUCT('calcA'!$D$99:$EQ$99,$DB34:$IO34,$IQ34:$OD34)*1000+SUMPRODUCT('calcA'!$D$99:$EQ$99,$DB34:$IO34+$ZQ34:$AFD34,$AFF34:$AKS34),SUMPRODUCT('calcA'!$D$99:$EQ$99,$DB34:$IO34*1001+$ZQ34:$AFD34))*100+40)</f>
        <v/>
      </c>
      <c r="DB34">
        <f>DB33*IF(OR($C33=1,$G33=1),0,1)</f>
        <v/>
      </c>
      <c r="DC34">
        <f>DC33*IF(OR($C33=2,$G33=2),0,1)</f>
        <v/>
      </c>
      <c r="DD34">
        <f>DD33*IF(OR($C33=3,$G33=3),0,1)</f>
        <v/>
      </c>
      <c r="DE34">
        <f>DE33*IF(OR($C33=4,$G33=4),0,1)</f>
        <v/>
      </c>
      <c r="DF34">
        <f>DF33*IF(OR($C33=5,$G33=5),0,1)</f>
        <v/>
      </c>
      <c r="DG34">
        <f>DG33*IF(OR($C33=6,$G33=6),0,1)</f>
        <v/>
      </c>
      <c r="DH34">
        <f>DH33*IF(OR($C33=7,$G33=7),0,1)</f>
        <v/>
      </c>
      <c r="DI34">
        <f>DI33*IF(OR($C33=8,$G33=8),0,1)</f>
        <v/>
      </c>
      <c r="DJ34">
        <f>DJ33*IF(OR($C33=9,$G33=9),0,1)</f>
        <v/>
      </c>
      <c r="DK34">
        <f>DK33*IF(OR($C33=10,$G33=10),0,1)</f>
        <v/>
      </c>
      <c r="DL34">
        <f>DL33*IF(OR($C33=11,$G33=11),0,1)</f>
        <v/>
      </c>
      <c r="DM34">
        <f>DM33*IF(OR($C33=12,$G33=12),0,1)</f>
        <v/>
      </c>
      <c r="DN34">
        <f>DN33*IF(OR($C33=13,$G33=13),0,1)</f>
        <v/>
      </c>
      <c r="DO34">
        <f>DO33*IF(OR($C33=14,$G33=14),0,1)</f>
        <v/>
      </c>
      <c r="DP34">
        <f>DP33*IF(OR($C33=15,$G33=15),0,1)</f>
        <v/>
      </c>
      <c r="DQ34">
        <f>DQ33*IF(OR($C33=16,$G33=16),0,1)</f>
        <v/>
      </c>
      <c r="DR34">
        <f>DR33*IF(OR($C33=17,$G33=17),0,1)</f>
        <v/>
      </c>
      <c r="DS34">
        <f>DS33*IF(OR($C33=18,$G33=18),0,1)</f>
        <v/>
      </c>
      <c r="DT34">
        <f>DT33*IF(OR($C33=19,$G33=19),0,1)</f>
        <v/>
      </c>
      <c r="DU34">
        <f>DU33*IF(OR($C33=20,$G33=20),0,1)</f>
        <v/>
      </c>
      <c r="DV34">
        <f>DV33*IF(OR($C33=21,$G33=21),0,1)</f>
        <v/>
      </c>
      <c r="DW34">
        <f>DW33*IF(OR($C33=22,$G33=22),0,1)</f>
        <v/>
      </c>
      <c r="DX34">
        <f>DX33*IF(OR($C33=23,$G33=23),0,1)</f>
        <v/>
      </c>
      <c r="DY34">
        <f>DY33*IF(OR($C33=24,$G33=24),0,1)</f>
        <v/>
      </c>
      <c r="DZ34">
        <f>DZ33*IF(OR($C33=25,$G33=25),0,1)</f>
        <v/>
      </c>
      <c r="EA34">
        <f>EA33*IF(OR($C33=26,$G33=26),0,1)</f>
        <v/>
      </c>
      <c r="EB34">
        <f>EB33*IF(OR($C33=27,$G33=27),0,1)</f>
        <v/>
      </c>
      <c r="EC34">
        <f>EC33*IF(OR($C33=28,$G33=28),0,1)</f>
        <v/>
      </c>
      <c r="ED34">
        <f>ED33*IF(OR($C33=29,$G33=29),0,1)</f>
        <v/>
      </c>
      <c r="EE34">
        <f>EE33*IF(OR($C33=30,$G33=30),0,1)</f>
        <v/>
      </c>
      <c r="EF34">
        <f>EF33*IF(OR($C33=31,$G33=31),0,1)</f>
        <v/>
      </c>
      <c r="EG34">
        <f>EG33*IF(OR($C33=32,$G33=32),0,1)</f>
        <v/>
      </c>
      <c r="EH34">
        <f>EH33*IF(OR($C33=33,$G33=33),0,1)</f>
        <v/>
      </c>
      <c r="EI34">
        <f>EI33*IF(OR($C33=34,$G33=34),0,1)</f>
        <v/>
      </c>
      <c r="EJ34">
        <f>EJ33*IF(OR($C33=35,$G33=35),0,1)</f>
        <v/>
      </c>
      <c r="EK34">
        <f>EK33*IF(OR($C33=36,$G33=36),0,1)</f>
        <v/>
      </c>
      <c r="EL34">
        <f>EL33*IF(OR($C33=37,$G33=37),0,1)</f>
        <v/>
      </c>
      <c r="EM34">
        <f>EM33*IF(OR($C33=38,$G33=38),0,1)</f>
        <v/>
      </c>
      <c r="EN34">
        <f>EN33*IF(OR($C33=39,$G33=39),0,1)</f>
        <v/>
      </c>
      <c r="EO34">
        <f>EO33*IF(OR($C33=40,$G33=40),0,1)</f>
        <v/>
      </c>
      <c r="EP34">
        <f>EP33*IF(OR($C33=41,$G33=41),0,1)</f>
        <v/>
      </c>
      <c r="EQ34">
        <f>EQ33*IF(OR($C33=42,$G33=42),0,1)</f>
        <v/>
      </c>
      <c r="ER34">
        <f>ER33*IF(OR($C33=43,$G33=43),0,1)</f>
        <v/>
      </c>
      <c r="ES34">
        <f>ES33*IF(OR($C33=44,$G33=44),0,1)</f>
        <v/>
      </c>
      <c r="ET34">
        <f>ET33*IF(OR($C33=45,$G33=45),0,1)</f>
        <v/>
      </c>
      <c r="EU34">
        <f>EU33*IF(OR($C33=46,$G33=46),0,1)</f>
        <v/>
      </c>
      <c r="EV34">
        <f>EV33*IF(OR($C33=47,$G33=47),0,1)</f>
        <v/>
      </c>
      <c r="EW34">
        <f>EW33*IF(OR($C33=48,$G33=48),0,1)</f>
        <v/>
      </c>
      <c r="EX34">
        <f>EX33*IF(OR($C33=49,$G33=49),0,1)</f>
        <v/>
      </c>
      <c r="EY34">
        <f>EY33*IF(OR($C33=50,$G33=50),0,1)</f>
        <v/>
      </c>
      <c r="EZ34">
        <f>EZ33*IF(OR($C33=51,$G33=51),0,1)</f>
        <v/>
      </c>
      <c r="FA34">
        <f>FA33*IF(OR($C33=52,$G33=52),0,1)</f>
        <v/>
      </c>
      <c r="FB34">
        <f>FB33*IF(OR($C33=53,$G33=53),0,1)</f>
        <v/>
      </c>
      <c r="FC34">
        <f>FC33*IF(OR($C33=54,$G33=54),0,1)</f>
        <v/>
      </c>
      <c r="FD34">
        <f>FD33*IF(OR($C33=55,$G33=55),0,1)</f>
        <v/>
      </c>
      <c r="FE34">
        <f>FE33*IF(OR($C33=56,$G33=56),0,1)</f>
        <v/>
      </c>
      <c r="FF34">
        <f>FF33*IF(OR($C33=57,$G33=57),0,1)</f>
        <v/>
      </c>
      <c r="FG34">
        <f>FG33*IF(OR($C33=58,$G33=58),0,1)</f>
        <v/>
      </c>
      <c r="FH34">
        <f>FH33*IF(OR($C33=59,$G33=59),0,1)</f>
        <v/>
      </c>
      <c r="FI34">
        <f>FI33*IF(OR($C33=60,$G33=60),0,1)</f>
        <v/>
      </c>
      <c r="FJ34">
        <f>FJ33*IF(OR($C33=61,$G33=61),0,1)</f>
        <v/>
      </c>
      <c r="FK34">
        <f>FK33*IF(OR($C33=62,$G33=62),0,1)</f>
        <v/>
      </c>
      <c r="FL34">
        <f>FL33*IF(OR($C33=63,$G33=63),0,1)</f>
        <v/>
      </c>
      <c r="FM34">
        <f>FM33*IF(OR($C33=64,$G33=64),0,1)</f>
        <v/>
      </c>
      <c r="FN34">
        <f>FN33*IF(OR($C33=65,$G33=65),0,1)</f>
        <v/>
      </c>
      <c r="FO34">
        <f>FO33*IF(OR($C33=66,$G33=66),0,1)</f>
        <v/>
      </c>
      <c r="FP34">
        <f>FP33*IF(OR($C33=67,$G33=67),0,1)</f>
        <v/>
      </c>
      <c r="FQ34">
        <f>FQ33*IF(OR($C33=68,$G33=68),0,1)</f>
        <v/>
      </c>
      <c r="FR34">
        <f>FR33*IF(OR($C33=69,$G33=69),0,1)</f>
        <v/>
      </c>
      <c r="FS34">
        <f>FS33*IF(OR($C33=70,$G33=70),0,1)</f>
        <v/>
      </c>
      <c r="FT34">
        <f>FT33*IF(OR($C33=71,$G33=71),0,1)</f>
        <v/>
      </c>
      <c r="FU34">
        <f>FU33*IF(OR($C33=72,$G33=72),0,1)</f>
        <v/>
      </c>
      <c r="FV34">
        <f>FV33*IF(OR($C33=73,$G33=73),0,1)</f>
        <v/>
      </c>
      <c r="FW34">
        <f>FW33*IF(OR($C33=74,$G33=74),0,1)</f>
        <v/>
      </c>
      <c r="FX34">
        <f>FX33*IF(OR($C33=75,$G33=75),0,1)</f>
        <v/>
      </c>
      <c r="FY34">
        <f>FY33*IF(OR($C33=76,$G33=76),0,1)</f>
        <v/>
      </c>
      <c r="FZ34">
        <f>FZ33*IF(OR($C33=77,$G33=77),0,1)</f>
        <v/>
      </c>
      <c r="GA34">
        <f>GA33*IF(OR($C33=78,$G33=78),0,1)</f>
        <v/>
      </c>
      <c r="GB34">
        <f>GB33*IF(OR($C33=79,$G33=79),0,1)</f>
        <v/>
      </c>
      <c r="GC34">
        <f>GC33*IF(OR($C33=80,$G33=80),0,1)</f>
        <v/>
      </c>
      <c r="GD34">
        <f>GD33*IF(OR($C33=81,$G33=81),0,1)</f>
        <v/>
      </c>
      <c r="GE34">
        <f>GE33*IF(OR($C33=82,$G33=82),0,1)</f>
        <v/>
      </c>
      <c r="GF34">
        <f>GF33*IF(OR($C33=83,$G33=83),0,1)</f>
        <v/>
      </c>
      <c r="GG34">
        <f>GG33*IF(OR($C33=84,$G33=84),0,1)</f>
        <v/>
      </c>
      <c r="GH34">
        <f>GH33*IF(OR($C33=85,$G33=85),0,1)</f>
        <v/>
      </c>
      <c r="GI34">
        <f>GI33*IF(OR($C33=86,$G33=86),0,1)</f>
        <v/>
      </c>
      <c r="GJ34">
        <f>GJ33*IF(OR($C33=87,$G33=87),0,1)</f>
        <v/>
      </c>
      <c r="GK34">
        <f>GK33*IF(OR($C33=88,$G33=88),0,1)</f>
        <v/>
      </c>
      <c r="GL34">
        <f>GL33*IF(OR($C33=89,$G33=89),0,1)</f>
        <v/>
      </c>
      <c r="GM34">
        <f>GM33*IF(OR($C33=90,$G33=90),0,1)</f>
        <v/>
      </c>
      <c r="GN34">
        <f>GN33*IF(OR($C33=91,$G33=91),0,1)</f>
        <v/>
      </c>
      <c r="GO34">
        <f>GO33*IF(OR($C33=92,$G33=92),0,1)</f>
        <v/>
      </c>
      <c r="GP34">
        <f>GP33*IF(OR($C33=93,$G33=93),0,1)</f>
        <v/>
      </c>
      <c r="GQ34">
        <f>GQ33*IF(OR($C33=94,$G33=94),0,1)</f>
        <v/>
      </c>
      <c r="GR34">
        <f>GR33*IF(OR($C33=95,$G33=95),0,1)</f>
        <v/>
      </c>
      <c r="GS34">
        <f>GS33*IF(OR($C33=96,$G33=96),0,1)</f>
        <v/>
      </c>
      <c r="GT34">
        <f>GT33*IF(OR($C33=97,$G33=97),0,1)</f>
        <v/>
      </c>
      <c r="GU34">
        <f>GU33*IF(OR($C33=98,$G33=98),0,1)</f>
        <v/>
      </c>
      <c r="GV34">
        <f>GV33*IF(OR($C33=99,$G33=99),0,1)</f>
        <v/>
      </c>
      <c r="GW34">
        <f>GW33*IF(OR($C33=100,$G33=100),0,1)</f>
        <v/>
      </c>
      <c r="GX34">
        <f>GX33*IF(OR($C33=101,$G33=101),0,1)</f>
        <v/>
      </c>
      <c r="GY34">
        <f>GY33*IF(OR($C33=102,$G33=102),0,1)</f>
        <v/>
      </c>
      <c r="GZ34">
        <f>GZ33*IF(OR($C33=103,$G33=103),0,1)</f>
        <v/>
      </c>
      <c r="HA34">
        <f>HA33*IF(OR($C33=104,$G33=104),0,1)</f>
        <v/>
      </c>
      <c r="HB34">
        <f>HB33*IF(OR($C33=105,$G33=105),0,1)</f>
        <v/>
      </c>
      <c r="HC34">
        <f>HC33*IF(OR($C33=106,$G33=106),0,1)</f>
        <v/>
      </c>
      <c r="HD34">
        <f>HD33*IF(OR($C33=107,$G33=107),0,1)</f>
        <v/>
      </c>
      <c r="HE34">
        <f>HE33*IF(OR($C33=108,$G33=108),0,1)</f>
        <v/>
      </c>
      <c r="HF34">
        <f>HF33*IF(OR($C33=109,$G33=109),0,1)</f>
        <v/>
      </c>
      <c r="HG34">
        <f>HG33*IF(OR($C33=110,$G33=110),0,1)</f>
        <v/>
      </c>
      <c r="HH34">
        <f>HH33*IF(OR($C33=111,$G33=111),0,1)</f>
        <v/>
      </c>
      <c r="HI34">
        <f>HI33*IF(OR($C33=112,$G33=112),0,1)</f>
        <v/>
      </c>
      <c r="HJ34">
        <f>HJ33*IF(OR($C33=113,$G33=113),0,1)</f>
        <v/>
      </c>
      <c r="HK34">
        <f>HK33*IF(OR($C33=114,$G33=114),0,1)</f>
        <v/>
      </c>
      <c r="HL34">
        <f>HL33*IF(OR($C33=115,$G33=115),0,1)</f>
        <v/>
      </c>
      <c r="HM34">
        <f>HM33*IF(OR($C33=116,$G33=116),0,1)</f>
        <v/>
      </c>
      <c r="HN34">
        <f>HN33*IF(OR($C33=117,$G33=117),0,1)</f>
        <v/>
      </c>
      <c r="HO34">
        <f>HO33*IF(OR($C33=118,$G33=118),0,1)</f>
        <v/>
      </c>
      <c r="HP34">
        <f>HP33*IF(OR($C33=119,$G33=119),0,1)</f>
        <v/>
      </c>
      <c r="HQ34">
        <f>HQ33*IF(OR($C33=120,$G33=120),0,1)</f>
        <v/>
      </c>
      <c r="HR34">
        <f>HR33*IF(OR($C33=121,$G33=121),0,1)</f>
        <v/>
      </c>
      <c r="HS34">
        <f>HS33*IF(OR($C33=122,$G33=122),0,1)</f>
        <v/>
      </c>
      <c r="HT34">
        <f>HT33*IF(OR($C33=123,$G33=123),0,1)</f>
        <v/>
      </c>
      <c r="HU34">
        <f>HU33*IF(OR($C33=124,$G33=124),0,1)</f>
        <v/>
      </c>
      <c r="HV34">
        <f>HV33*IF(OR($C33=125,$G33=125),0,1)</f>
        <v/>
      </c>
      <c r="HW34">
        <f>HW33*IF(OR($C33=126,$G33=126),0,1)</f>
        <v/>
      </c>
      <c r="HX34">
        <f>HX33*IF(OR($C33=127,$G33=127),0,1)</f>
        <v/>
      </c>
      <c r="HY34">
        <f>HY33*IF(OR($C33=128,$G33=128),0,1)</f>
        <v/>
      </c>
      <c r="HZ34">
        <f>HZ33*IF(OR($C33=129,$G33=129),0,1)</f>
        <v/>
      </c>
      <c r="IA34">
        <f>IA33*IF(OR($C33=130,$G33=130),0,1)</f>
        <v/>
      </c>
      <c r="IB34">
        <f>IB33*IF(OR($C33=131,$G33=131),0,1)</f>
        <v/>
      </c>
      <c r="IC34">
        <f>IC33*IF(OR($C33=132,$G33=132),0,1)</f>
        <v/>
      </c>
      <c r="ID34">
        <f>ID33*IF(OR($C33=133,$G33=133),0,1)</f>
        <v/>
      </c>
      <c r="IE34">
        <f>IE33*IF(OR($C33=134,$G33=134),0,1)</f>
        <v/>
      </c>
      <c r="IF34">
        <f>IF33*IF(OR($C33=135,$G33=135),0,1)</f>
        <v/>
      </c>
      <c r="IG34">
        <f>IG33*IF(OR($C33=136,$G33=136),0,1)</f>
        <v/>
      </c>
      <c r="IH34">
        <f>IH33*IF(OR($C33=137,$G33=137),0,1)</f>
        <v/>
      </c>
      <c r="II34">
        <f>II33*IF(OR($C33=138,$G33=138),0,1)</f>
        <v/>
      </c>
      <c r="IJ34">
        <f>IJ33*IF(OR($C33=139,$G33=139),0,1)</f>
        <v/>
      </c>
      <c r="IK34">
        <f>IK33*IF(OR($C33=140,$G33=140),0,1)</f>
        <v/>
      </c>
      <c r="IL34">
        <f>IL33*IF(OR($C33=141,$G33=141),0,1)</f>
        <v/>
      </c>
      <c r="IM34">
        <f>IM33*IF(OR($C33=142,$G33=142),0,1)</f>
        <v/>
      </c>
      <c r="IN34">
        <f>IN33*IF(OR($C33=143,$G33=143),0,1)</f>
        <v/>
      </c>
      <c r="IO34">
        <f>IO33*IF(OR($C33=144,$G33=144),0,1)</f>
        <v/>
      </c>
      <c r="IQ34">
        <f>IF('calcA'!D$106=1,DC34,1)</f>
        <v/>
      </c>
      <c r="IR34">
        <f>IF('calcA'!E$106=1,DD34,1)</f>
        <v/>
      </c>
      <c r="IS34">
        <f>IF('calcA'!F$106=1,DE34,1)</f>
        <v/>
      </c>
      <c r="IT34">
        <f>IF('calcA'!G$106=1,DF34,1)</f>
        <v/>
      </c>
      <c r="IU34">
        <f>IF('calcA'!H$106=1,DG34,1)</f>
        <v/>
      </c>
      <c r="IV34">
        <f>IF('calcA'!I$106=1,DH34,1)</f>
        <v/>
      </c>
      <c r="IW34">
        <f>IF('calcA'!J$106=1,DI34,1)</f>
        <v/>
      </c>
      <c r="IX34">
        <f>IF('calcA'!K$106=1,DJ34,1)</f>
        <v/>
      </c>
      <c r="IY34">
        <f>IF('calcA'!L$106=1,DK34,1)</f>
        <v/>
      </c>
      <c r="IZ34">
        <f>IF('calcA'!M$106=1,DL34,1)</f>
        <v/>
      </c>
      <c r="JA34">
        <f>IF('calcA'!N$106=1,DM34,1)</f>
        <v/>
      </c>
      <c r="JB34">
        <f>IF('calcA'!O$106=1,DN34,1)</f>
        <v/>
      </c>
      <c r="JC34">
        <f>IF('calcA'!P$106=1,DO34,1)</f>
        <v/>
      </c>
      <c r="JD34">
        <f>IF('calcA'!Q$106=1,DP34,1)</f>
        <v/>
      </c>
      <c r="JE34">
        <f>IF('calcA'!R$106=1,DQ34,1)</f>
        <v/>
      </c>
      <c r="JF34">
        <f>IF('calcA'!S$106=1,DR34,1)</f>
        <v/>
      </c>
      <c r="JG34">
        <f>IF('calcA'!T$106=1,DS34,1)</f>
        <v/>
      </c>
      <c r="JH34">
        <f>IF('calcA'!U$106=1,DT34,1)</f>
        <v/>
      </c>
      <c r="JI34">
        <f>IF('calcA'!V$106=1,DU34,1)</f>
        <v/>
      </c>
      <c r="JJ34">
        <f>IF('calcA'!W$106=1,DV34,1)</f>
        <v/>
      </c>
      <c r="JK34">
        <f>IF('calcA'!X$106=1,DW34,1)</f>
        <v/>
      </c>
      <c r="JL34">
        <f>IF('calcA'!Y$106=1,DX34,1)</f>
        <v/>
      </c>
      <c r="JM34">
        <f>IF('calcA'!Z$106=1,DY34,1)</f>
        <v/>
      </c>
      <c r="JN34">
        <f>IF('calcA'!AA$106=1,DZ34,1)</f>
        <v/>
      </c>
      <c r="JO34">
        <f>IF('calcA'!AB$106=1,EA34,1)</f>
        <v/>
      </c>
      <c r="JP34">
        <f>IF('calcA'!AC$106=1,EB34,1)</f>
        <v/>
      </c>
      <c r="JQ34">
        <f>IF('calcA'!AD$106=1,EC34,1)</f>
        <v/>
      </c>
      <c r="JR34">
        <f>IF('calcA'!AE$106=1,ED34,1)</f>
        <v/>
      </c>
      <c r="JS34">
        <f>IF('calcA'!AF$106=1,EE34,1)</f>
        <v/>
      </c>
      <c r="JT34">
        <f>IF('calcA'!AG$106=1,EF34,1)</f>
        <v/>
      </c>
      <c r="JU34">
        <f>IF('calcA'!AH$106=1,EG34,1)</f>
        <v/>
      </c>
      <c r="JV34">
        <f>IF('calcA'!AI$106=1,EH34,1)</f>
        <v/>
      </c>
      <c r="JW34">
        <f>IF('calcA'!AJ$106=1,EI34,1)</f>
        <v/>
      </c>
      <c r="JX34">
        <f>IF('calcA'!AK$106=1,EJ34,1)</f>
        <v/>
      </c>
      <c r="JY34">
        <f>IF('calcA'!AL$106=1,EK34,1)</f>
        <v/>
      </c>
      <c r="JZ34">
        <f>IF('calcA'!AM$106=1,EL34,1)</f>
        <v/>
      </c>
      <c r="KA34">
        <f>IF('calcA'!AN$106=1,EM34,1)</f>
        <v/>
      </c>
      <c r="KB34">
        <f>IF('calcA'!AO$106=1,EN34,1)</f>
        <v/>
      </c>
      <c r="KC34">
        <f>IF('calcA'!AP$106=1,EO34,1)</f>
        <v/>
      </c>
      <c r="KD34">
        <f>IF('calcA'!AQ$106=1,EP34,1)</f>
        <v/>
      </c>
      <c r="KE34">
        <f>IF('calcA'!AR$106=1,EQ34,1)</f>
        <v/>
      </c>
      <c r="KF34">
        <f>IF('calcA'!AS$106=1,ER34,1)</f>
        <v/>
      </c>
      <c r="KG34">
        <f>IF('calcA'!AT$106=1,ES34,1)</f>
        <v/>
      </c>
      <c r="KH34">
        <f>IF('calcA'!AU$106=1,ET34,1)</f>
        <v/>
      </c>
      <c r="KI34">
        <f>IF('calcA'!AV$106=1,EU34,1)</f>
        <v/>
      </c>
      <c r="KJ34">
        <f>IF('calcA'!AW$106=1,EV34,1)</f>
        <v/>
      </c>
      <c r="KK34">
        <f>IF('calcA'!AX$106=1,EW34,1)</f>
        <v/>
      </c>
      <c r="KL34">
        <f>IF('calcA'!AY$106=1,EX34,1)</f>
        <v/>
      </c>
      <c r="KM34">
        <f>IF('calcA'!AZ$106=1,EY34,1)</f>
        <v/>
      </c>
      <c r="KN34">
        <f>IF('calcA'!BA$106=1,EZ34,1)</f>
        <v/>
      </c>
      <c r="KO34">
        <f>IF('calcA'!BB$106=1,FA34,1)</f>
        <v/>
      </c>
      <c r="KP34">
        <f>IF('calcA'!BC$106=1,FB34,1)</f>
        <v/>
      </c>
      <c r="KQ34">
        <f>IF('calcA'!BD$106=1,FC34,1)</f>
        <v/>
      </c>
      <c r="KR34">
        <f>IF('calcA'!BE$106=1,FD34,1)</f>
        <v/>
      </c>
      <c r="KS34">
        <f>IF('calcA'!BF$106=1,FE34,1)</f>
        <v/>
      </c>
      <c r="KT34">
        <f>IF('calcA'!BG$106=1,FF34,1)</f>
        <v/>
      </c>
      <c r="KU34">
        <f>IF('calcA'!BH$106=1,FG34,1)</f>
        <v/>
      </c>
      <c r="KV34">
        <f>IF('calcA'!BI$106=1,FH34,1)</f>
        <v/>
      </c>
      <c r="KW34">
        <f>IF('calcA'!BJ$106=1,FI34,1)</f>
        <v/>
      </c>
      <c r="KX34">
        <f>IF('calcA'!BK$106=1,FJ34,1)</f>
        <v/>
      </c>
      <c r="KY34">
        <f>IF('calcA'!BL$106=1,FK34,1)</f>
        <v/>
      </c>
      <c r="KZ34">
        <f>IF('calcA'!BM$106=1,FL34,1)</f>
        <v/>
      </c>
      <c r="LA34">
        <f>IF('calcA'!BN$106=1,FM34,1)</f>
        <v/>
      </c>
      <c r="LB34">
        <f>IF('calcA'!BO$106=1,FN34,1)</f>
        <v/>
      </c>
      <c r="LC34">
        <f>IF('calcA'!BP$106=1,FO34,1)</f>
        <v/>
      </c>
      <c r="LD34">
        <f>IF('calcA'!BQ$106=1,FP34,1)</f>
        <v/>
      </c>
      <c r="LE34">
        <f>IF('calcA'!BR$106=1,FQ34,1)</f>
        <v/>
      </c>
      <c r="LF34">
        <f>IF('calcA'!BS$106=1,FR34,1)</f>
        <v/>
      </c>
      <c r="LG34">
        <f>IF('calcA'!BT$106=1,FS34,1)</f>
        <v/>
      </c>
      <c r="LH34">
        <f>IF('calcA'!BU$106=1,FT34,1)</f>
        <v/>
      </c>
      <c r="LI34">
        <f>IF('calcA'!BV$106=1,FU34,1)</f>
        <v/>
      </c>
      <c r="LJ34">
        <f>IF('calcA'!BW$106=1,FV34,1)</f>
        <v/>
      </c>
      <c r="LK34">
        <f>IF('calcA'!BX$106=1,FW34,1)</f>
        <v/>
      </c>
      <c r="LL34">
        <f>IF('calcA'!BY$106=1,FX34,1)</f>
        <v/>
      </c>
      <c r="LM34">
        <f>IF('calcA'!BZ$106=1,FY34,1)</f>
        <v/>
      </c>
      <c r="LN34">
        <f>IF('calcA'!CA$106=1,FZ34,1)</f>
        <v/>
      </c>
      <c r="LO34">
        <f>IF('calcA'!CB$106=1,GA34,1)</f>
        <v/>
      </c>
      <c r="LP34">
        <f>IF('calcA'!CC$106=1,GB34,1)</f>
        <v/>
      </c>
      <c r="LQ34">
        <f>IF('calcA'!CD$106=1,GC34,1)</f>
        <v/>
      </c>
      <c r="LR34">
        <f>IF('calcA'!CE$106=1,GD34,1)</f>
        <v/>
      </c>
      <c r="LS34">
        <f>IF('calcA'!CF$106=1,GE34,1)</f>
        <v/>
      </c>
      <c r="LT34">
        <f>IF('calcA'!CG$106=1,GF34,1)</f>
        <v/>
      </c>
      <c r="LU34">
        <f>IF('calcA'!CH$106=1,GG34,1)</f>
        <v/>
      </c>
      <c r="LV34">
        <f>IF('calcA'!CI$106=1,GH34,1)</f>
        <v/>
      </c>
      <c r="LW34">
        <f>IF('calcA'!CJ$106=1,GI34,1)</f>
        <v/>
      </c>
      <c r="LX34">
        <f>IF('calcA'!CK$106=1,GJ34,1)</f>
        <v/>
      </c>
      <c r="LY34">
        <f>IF('calcA'!CL$106=1,GK34,1)</f>
        <v/>
      </c>
      <c r="LZ34">
        <f>IF('calcA'!CM$106=1,GL34,1)</f>
        <v/>
      </c>
      <c r="MA34">
        <f>IF('calcA'!CN$106=1,GM34,1)</f>
        <v/>
      </c>
      <c r="MB34">
        <f>IF('calcA'!CO$106=1,GN34,1)</f>
        <v/>
      </c>
      <c r="MC34">
        <f>IF('calcA'!CP$106=1,GO34,1)</f>
        <v/>
      </c>
      <c r="MD34">
        <f>IF('calcA'!CQ$106=1,GP34,1)</f>
        <v/>
      </c>
      <c r="ME34">
        <f>IF('calcA'!CR$106=1,GQ34,1)</f>
        <v/>
      </c>
      <c r="MF34">
        <f>IF('calcA'!CS$106=1,GR34,1)</f>
        <v/>
      </c>
      <c r="MG34">
        <f>IF('calcA'!CT$106=1,GS34,1)</f>
        <v/>
      </c>
      <c r="MH34">
        <f>IF('calcA'!CU$106=1,GT34,1)</f>
        <v/>
      </c>
      <c r="MI34">
        <f>IF('calcA'!CV$106=1,GU34,1)</f>
        <v/>
      </c>
      <c r="MJ34">
        <f>IF('calcA'!CW$106=1,GV34,1)</f>
        <v/>
      </c>
      <c r="MK34">
        <f>IF('calcA'!CX$106=1,GW34,1)</f>
        <v/>
      </c>
      <c r="ML34">
        <f>IF('calcA'!CY$106=1,GX34,1)</f>
        <v/>
      </c>
      <c r="MM34">
        <f>IF('calcA'!CZ$106=1,GY34,1)</f>
        <v/>
      </c>
      <c r="MN34">
        <f>IF('calcA'!DA$106=1,GZ34,1)</f>
        <v/>
      </c>
      <c r="MO34">
        <f>IF('calcA'!DB$106=1,HA34,1)</f>
        <v/>
      </c>
      <c r="MP34">
        <f>IF('calcA'!DC$106=1,HB34,1)</f>
        <v/>
      </c>
      <c r="MQ34">
        <f>IF('calcA'!DD$106=1,HC34,1)</f>
        <v/>
      </c>
      <c r="MR34">
        <f>IF('calcA'!DE$106=1,HD34,1)</f>
        <v/>
      </c>
      <c r="MS34">
        <f>IF('calcA'!DF$106=1,HE34,1)</f>
        <v/>
      </c>
      <c r="MT34">
        <f>IF('calcA'!DG$106=1,HF34,1)</f>
        <v/>
      </c>
      <c r="MU34">
        <f>IF('calcA'!DH$106=1,HG34,1)</f>
        <v/>
      </c>
      <c r="MV34">
        <f>IF('calcA'!DI$106=1,HH34,1)</f>
        <v/>
      </c>
      <c r="MW34">
        <f>IF('calcA'!DJ$106=1,HI34,1)</f>
        <v/>
      </c>
      <c r="MX34">
        <f>IF('calcA'!DK$106=1,HJ34,1)</f>
        <v/>
      </c>
      <c r="MY34">
        <f>IF('calcA'!DL$106=1,HK34,1)</f>
        <v/>
      </c>
      <c r="MZ34">
        <f>IF('calcA'!DM$106=1,HL34,1)</f>
        <v/>
      </c>
      <c r="NA34">
        <f>IF('calcA'!DN$106=1,HM34,1)</f>
        <v/>
      </c>
      <c r="NB34">
        <f>IF('calcA'!DO$106=1,HN34,1)</f>
        <v/>
      </c>
      <c r="NC34">
        <f>IF('calcA'!DP$106=1,HO34,1)</f>
        <v/>
      </c>
      <c r="ND34">
        <f>IF('calcA'!DQ$106=1,HP34,1)</f>
        <v/>
      </c>
      <c r="NE34">
        <f>IF('calcA'!DR$106=1,HQ34,1)</f>
        <v/>
      </c>
      <c r="NF34">
        <f>IF('calcA'!DS$106=1,HR34,1)</f>
        <v/>
      </c>
      <c r="NG34">
        <f>IF('calcA'!DT$106=1,HS34,1)</f>
        <v/>
      </c>
      <c r="NH34">
        <f>IF('calcA'!DU$106=1,HT34,1)</f>
        <v/>
      </c>
      <c r="NI34">
        <f>IF('calcA'!DV$106=1,HU34,1)</f>
        <v/>
      </c>
      <c r="NJ34">
        <f>IF('calcA'!DW$106=1,HV34,1)</f>
        <v/>
      </c>
      <c r="NK34">
        <f>IF('calcA'!DX$106=1,HW34,1)</f>
        <v/>
      </c>
      <c r="NL34">
        <f>IF('calcA'!DY$106=1,HX34,1)</f>
        <v/>
      </c>
      <c r="NM34">
        <f>IF('calcA'!DZ$106=1,HY34,1)</f>
        <v/>
      </c>
      <c r="NN34">
        <f>IF('calcA'!EA$106=1,HZ34,1)</f>
        <v/>
      </c>
      <c r="NO34">
        <f>IF('calcA'!EB$106=1,IA34,1)</f>
        <v/>
      </c>
      <c r="NP34">
        <f>IF('calcA'!EC$106=1,IB34,1)</f>
        <v/>
      </c>
      <c r="NQ34">
        <f>IF('calcA'!ED$106=1,IC34,1)</f>
        <v/>
      </c>
      <c r="NR34">
        <f>IF('calcA'!EE$106=1,ID34,1)</f>
        <v/>
      </c>
      <c r="NS34">
        <f>IF('calcA'!EF$106=1,IE34,1)</f>
        <v/>
      </c>
      <c r="NT34">
        <f>IF('calcA'!EG$106=1,IF34,1)</f>
        <v/>
      </c>
      <c r="NU34">
        <f>IF('calcA'!EH$106=1,IG34,1)</f>
        <v/>
      </c>
      <c r="NV34">
        <f>IF('calcA'!EI$106=1,IH34,1)</f>
        <v/>
      </c>
      <c r="NW34">
        <f>IF('calcA'!EJ$106=1,II34,1)</f>
        <v/>
      </c>
      <c r="NX34">
        <f>IF('calcA'!EK$106=1,IJ34,1)</f>
        <v/>
      </c>
      <c r="NY34">
        <f>IF('calcA'!EL$106=1,IK34,1)</f>
        <v/>
      </c>
      <c r="NZ34">
        <f>IF('calcA'!EM$106=1,IL34,1)</f>
        <v/>
      </c>
      <c r="OA34">
        <f>IF('calcA'!EN$106=1,IM34,1)</f>
        <v/>
      </c>
      <c r="OB34">
        <f>IF('calcA'!EO$106=1,IN34,1)</f>
        <v/>
      </c>
      <c r="OC34">
        <f>IF('calcA'!EP$106=1,IO34,1)</f>
        <v/>
      </c>
      <c r="OD34" t="n">
        <v>1</v>
      </c>
      <c r="OF34">
        <f>IF($B34=0,1000000000,IF(INDEX('calcA'!$D$60:$EQ$99,$B34,1)*IF($W34=1,DB34+ZQ34,DB34)=1,IF(AND($E34=2,IF($W34=1,AFF34,IQ34)=0),1000000000,IF($V34=1,INDEX('calcA'!$D$130:$EQ$169,$B34,1)+IF(AND($E34=1,IQ34=0),25,0),IF($F34&gt;0,INDEX('calcA'!D$110:D$114,$F34+1)+IF(AND($E34=1,IQ34=0),1000,0),MIN(TU34,20)*400+(IF('calcA'!D$106=1,1-DC34,0))*150+11+'calcA'!D$5*100000+IF(AND($E34=1,IQ34=0),50000,0))+IF($H34=1,INDEX('calcA'!$D$180:$EQ$219,$B34,1)*4000,0)-IF(AND($U34=1,'calcA'!D$117=1,DC34=0),2000,0))),1000000000))</f>
        <v/>
      </c>
      <c r="OG34">
        <f>IF($B34=0,1000000000,IF(INDEX('calcA'!$D$60:$EQ$99,$B34,2)*IF($W34=1,DC34+ZR34,DC34)=1,IF(AND($E34=2,IF($W34=1,AFG34,IR34)=0),1000000000,IF($V34=1,INDEX('calcA'!$D$130:$EQ$169,$B34,2)+IF(AND($E34=1,IR34=0),25,0),IF($F34&gt;0,INDEX('calcA'!E$110:E$114,$F34+1)+IF(AND($E34=1,IR34=0),1000,0),MIN(TU34,20)*400+(IF('calcA'!D$106=1,1-DB34,0)+IF('calcA'!E$106=1,1-DD34,0))*150+21+'calcA'!E$5*100000+IF(AND($E34=1,IR34=0),50000,0))+IF($H34=1,INDEX('calcA'!$D$180:$EQ$219,$B34,2)*4000,0)-IF(AND('calcA'!D$117=1,UB34&gt;0),2000,0)-IF(AND($U34=1,'calcA'!E$117=1,DD34=0),2000,0))),1000000000))</f>
        <v/>
      </c>
      <c r="OH34">
        <f>IF($B34=0,1000000000,IF(INDEX('calcA'!$D$60:$EQ$99,$B34,3)*IF($W34=1,DD34+ZS34,DD34)=1,IF(AND($E34=2,IF($W34=1,AFH34,IS34)=0),1000000000,IF($V34=1,INDEX('calcA'!$D$130:$EQ$169,$B34,3)+IF(AND($E34=1,IS34=0),25,0),IF($F34&gt;0,INDEX('calcA'!F$110:F$114,$F34+1)+IF(AND($E34=1,IS34=0),1000,0),MIN(TU34,20)*400+(IF('calcA'!E$106=1,1-DC34,0)+IF('calcA'!F$106=1,1-DE34,0))*150+31+'calcA'!F$5*100000+IF(AND($E34=1,IS34=0),50000,0))+IF($H34=1,INDEX('calcA'!$D$180:$EQ$219,$B34,3)*4000,0)-IF(AND('calcA'!E$117=1,UC34&gt;0),2000,0)-IF(AND($U34=1,'calcA'!F$117=1,DE34=0),2000,0))),1000000000))</f>
        <v/>
      </c>
      <c r="OI34">
        <f>IF($B34=0,1000000000,IF(INDEX('calcA'!$D$60:$EQ$99,$B34,4)*IF($W34=1,DE34+ZT34,DE34)=1,IF(AND($E34=2,IF($W34=1,AFI34,IT34)=0),1000000000,IF($V34=1,INDEX('calcA'!$D$130:$EQ$169,$B34,4)+IF(AND($E34=1,IT34=0),25,0),IF($F34&gt;0,INDEX('calcA'!G$110:G$114,$F34+1)+IF(AND($E34=1,IT34=0),1000,0),MIN(TU34,20)*400+(IF('calcA'!F$106=1,1-DD34,0)+IF('calcA'!G$106=1,1-DF34,0))*150+41+'calcA'!G$5*100000+IF(AND($E34=1,IT34=0),50000,0))+IF($H34=1,INDEX('calcA'!$D$180:$EQ$219,$B34,4)*4000,0)-IF(AND('calcA'!F$117=1,UD34&gt;0),2000,0)-IF(AND($U34=1,'calcA'!G$117=1,DF34=0),2000,0))),1000000000))</f>
        <v/>
      </c>
      <c r="OJ34">
        <f>IF($B34=0,1000000000,IF(INDEX('calcA'!$D$60:$EQ$99,$B34,5)*IF($W34=1,DF34+ZU34,DF34)=1,IF(AND($E34=2,IF($W34=1,AFJ34,IU34)=0),1000000000,IF($V34=1,INDEX('calcA'!$D$130:$EQ$169,$B34,5)+IF(AND($E34=1,IU34=0),25,0),IF($F34&gt;0,INDEX('calcA'!H$110:H$114,$F34+1)+IF(AND($E34=1,IU34=0),1000,0),MIN(TU34,20)*400+(IF('calcA'!G$106=1,1-DE34,0)+IF('calcA'!H$106=1,1-DG34,0))*150+51+'calcA'!H$5*100000+IF(AND($E34=1,IU34=0),50000,0))+IF($H34=1,INDEX('calcA'!$D$180:$EQ$219,$B34,5)*4000,0)-IF(AND('calcA'!G$117=1,UE34&gt;0),2000,0)-IF(AND($U34=1,'calcA'!H$117=1,DG34=0),2000,0))),1000000000))</f>
        <v/>
      </c>
      <c r="OK34">
        <f>IF($B34=0,1000000000,IF(INDEX('calcA'!$D$60:$EQ$99,$B34,6)*IF($W34=1,DG34+ZV34,DG34)=1,IF(AND($E34=2,IF($W34=1,AFK34,IV34)=0),1000000000,IF($V34=1,INDEX('calcA'!$D$130:$EQ$169,$B34,6)+IF(AND($E34=1,IV34=0),25,0),IF($F34&gt;0,INDEX('calcA'!I$110:I$114,$F34+1)+IF(AND($E34=1,IV34=0),1000,0),MIN(TU34,20)*400+(IF('calcA'!H$106=1,1-DF34,0)+IF('calcA'!I$106=1,1-DH34,0))*150+61+'calcA'!I$5*100000+IF(AND($E34=1,IV34=0),50000,0))+IF($H34=1,INDEX('calcA'!$D$180:$EQ$219,$B34,6)*4000,0)-IF(AND('calcA'!H$117=1,UF34&gt;0),2000,0)-IF(AND($U34=1,'calcA'!I$117=1,DH34=0),2000,0))),1000000000))</f>
        <v/>
      </c>
      <c r="OL34">
        <f>IF($B34=0,1000000000,IF(INDEX('calcA'!$D$60:$EQ$99,$B34,7)*IF($W34=1,DH34+ZW34,DH34)=1,IF(AND($E34=2,IF($W34=1,AFL34,IW34)=0),1000000000,IF($V34=1,INDEX('calcA'!$D$130:$EQ$169,$B34,7)+IF(AND($E34=1,IW34=0),25,0),IF($F34&gt;0,INDEX('calcA'!J$110:J$114,$F34+1)+IF(AND($E34=1,IW34=0),1000,0),MIN(TU34,20)*400+(IF('calcA'!I$106=1,1-DG34,0)+IF('calcA'!J$106=1,1-DI34,0))*150+71+'calcA'!J$5*100000+IF(AND($E34=1,IW34=0),50000,0))+IF($H34=1,INDEX('calcA'!$D$180:$EQ$219,$B34,7)*4000,0)-IF(AND('calcA'!I$117=1,UG34&gt;0),2000,0)-IF(AND($U34=1,'calcA'!J$117=1,DI34=0),2000,0))),1000000000))</f>
        <v/>
      </c>
      <c r="OM34">
        <f>IF($B34=0,1000000000,IF(INDEX('calcA'!$D$60:$EQ$99,$B34,8)*IF($W34=1,DI34+ZX34,DI34)=1,IF(AND($E34=2,IF($W34=1,AFM34,IX34)=0),1000000000,IF($V34=1,INDEX('calcA'!$D$130:$EQ$169,$B34,8)+IF(AND($E34=1,IX34=0),25,0),IF($F34&gt;0,INDEX('calcA'!K$110:K$114,$F34+1)+IF(AND($E34=1,IX34=0),1000,0),MIN(TU34,20)*400+(IF('calcA'!J$106=1,1-DH34,0)+IF('calcA'!K$106=1,1-DJ34,0))*150+81+'calcA'!K$5*100000+IF(AND($E34=1,IX34=0),50000,0))+IF($H34=1,INDEX('calcA'!$D$180:$EQ$219,$B34,8)*4000,0)-IF(AND('calcA'!J$117=1,UH34&gt;0),2000,0)-IF(AND($U34=1,'calcA'!K$117=1,DJ34=0),2000,0))),1000000000))</f>
        <v/>
      </c>
      <c r="ON34">
        <f>IF($B34=0,1000000000,IF(INDEX('calcA'!$D$60:$EQ$99,$B34,9)*IF($W34=1,DJ34+ZY34,DJ34)=1,IF(AND($E34=2,IF($W34=1,AFN34,IY34)=0),1000000000,IF($V34=1,INDEX('calcA'!$D$130:$EQ$169,$B34,9)+IF(AND($E34=1,IY34=0),25,0),IF($F34&gt;0,INDEX('calcA'!L$110:L$114,$F34+1)+IF(AND($E34=1,IY34=0),1000,0),MIN(TU34,20)*400+(IF('calcA'!K$106=1,1-DI34,0)+IF('calcA'!L$106=1,1-DK34,0))*150+91+'calcA'!L$5*100000+IF(AND($E34=1,IY34=0),50000,0))+IF($H34=1,INDEX('calcA'!$D$180:$EQ$219,$B34,9)*4000,0)-IF(AND('calcA'!K$117=1,UI34&gt;0),2000,0)-IF(AND($U34=1,'calcA'!L$117=1,DK34=0),2000,0))),1000000000))</f>
        <v/>
      </c>
      <c r="OO34">
        <f>IF($B34=0,1000000000,IF(INDEX('calcA'!$D$60:$EQ$99,$B34,10)*IF($W34=1,DK34+ZZ34,DK34)=1,IF(AND($E34=2,IF($W34=1,AFO34,IZ34)=0),1000000000,IF($V34=1,INDEX('calcA'!$D$130:$EQ$169,$B34,10)+IF(AND($E34=1,IZ34=0),25,0),IF($F34&gt;0,INDEX('calcA'!M$110:M$114,$F34+1)+IF(AND($E34=1,IZ34=0),1000,0),MIN(TU34,20)*400+(IF('calcA'!L$106=1,1-DJ34,0)+IF('calcA'!M$106=1,1-DL34,0))*150+101+'calcA'!M$5*100000+IF(AND($E34=1,IZ34=0),50000,0))+IF($H34=1,INDEX('calcA'!$D$180:$EQ$219,$B34,10)*4000,0)-IF(AND('calcA'!L$117=1,UJ34&gt;0),2000,0)-IF(AND($U34=1,'calcA'!M$117=1,DL34=0),2000,0))),1000000000))</f>
        <v/>
      </c>
      <c r="OP34">
        <f>IF($B34=0,1000000000,IF(INDEX('calcA'!$D$60:$EQ$99,$B34,11)*IF($W34=1,DL34+AAA34,DL34)=1,IF(AND($E34=2,IF($W34=1,AFP34,JA34)=0),1000000000,IF($V34=1,INDEX('calcA'!$D$130:$EQ$169,$B34,11)+IF(AND($E34=1,JA34=0),25,0),IF($F34&gt;0,INDEX('calcA'!N$110:N$114,$F34+1)+IF(AND($E34=1,JA34=0),1000,0),MIN(TU34,20)*400+(IF('calcA'!M$106=1,1-DK34,0)+IF('calcA'!N$106=1,1-DM34,0))*150+111+'calcA'!N$5*100000+IF(AND($E34=1,JA34=0),50000,0))+IF($H34=1,INDEX('calcA'!$D$180:$EQ$219,$B34,11)*4000,0)-IF(AND('calcA'!M$117=1,UK34&gt;0),2000,0)-IF(AND($U34=1,'calcA'!N$117=1,DM34=0),2000,0))),1000000000))</f>
        <v/>
      </c>
      <c r="OQ34">
        <f>IF($B34=0,1000000000,IF(INDEX('calcA'!$D$60:$EQ$99,$B34,12)*IF($W34=1,DM34+AAB34,DM34)=1,IF(AND($E34=2,IF($W34=1,AFQ34,JB34)=0),1000000000,IF($V34=1,INDEX('calcA'!$D$130:$EQ$169,$B34,12)+IF(AND($E34=1,JB34=0),25,0),IF($F34&gt;0,INDEX('calcA'!O$110:O$114,$F34+1)+IF(AND($E34=1,JB34=0),1000,0),MIN(TU34,20)*400+(IF('calcA'!N$106=1,1-DL34,0)+IF('calcA'!O$106=1,1-DN34,0))*150+121+'calcA'!O$5*100000+IF(AND($E34=1,JB34=0),50000,0))+IF($H34=1,INDEX('calcA'!$D$180:$EQ$219,$B34,12)*4000,0)-IF(AND('calcA'!N$117=1,UL34&gt;0),2000,0)-IF(AND($U34=1,'calcA'!O$117=1,DN34=0),2000,0))),1000000000))</f>
        <v/>
      </c>
      <c r="OR34">
        <f>IF($B34=0,1000000000,IF(INDEX('calcA'!$D$60:$EQ$99,$B34,13)*IF($W34=1,DN34+AAC34,DN34)=1,IF(AND($E34=2,IF($W34=1,AFR34,JC34)=0),1000000000,IF($V34=1,INDEX('calcA'!$D$130:$EQ$169,$B34,13)+IF(AND($E34=1,JC34=0),25,0),IF($F34&gt;0,INDEX('calcA'!P$110:P$114,$F34+1)+IF(AND($E34=1,JC34=0),1000,0),MIN(TU34,20)*400+(IF('calcA'!O$106=1,1-DM34,0)+IF('calcA'!P$106=1,1-DO34,0))*150+131+'calcA'!P$5*100000+IF(AND($E34=1,JC34=0),50000,0))+IF($H34=1,INDEX('calcA'!$D$180:$EQ$219,$B34,13)*4000,0)-IF(AND('calcA'!O$117=1,UM34&gt;0),2000,0)-IF(AND($U34=1,'calcA'!P$117=1,DO34=0),2000,0))),1000000000))</f>
        <v/>
      </c>
      <c r="OS34">
        <f>IF($B34=0,1000000000,IF(INDEX('calcA'!$D$60:$EQ$99,$B34,14)*IF($W34=1,DO34+AAD34,DO34)=1,IF(AND($E34=2,IF($W34=1,AFS34,JD34)=0),1000000000,IF($V34=1,INDEX('calcA'!$D$130:$EQ$169,$B34,14)+IF(AND($E34=1,JD34=0),25,0),IF($F34&gt;0,INDEX('calcA'!Q$110:Q$114,$F34+1)+IF(AND($E34=1,JD34=0),1000,0),MIN(TU34,20)*400+(IF('calcA'!P$106=1,1-DN34,0)+IF('calcA'!Q$106=1,1-DP34,0))*150+141+'calcA'!Q$5*100000+IF(AND($E34=1,JD34=0),50000,0))+IF($H34=1,INDEX('calcA'!$D$180:$EQ$219,$B34,14)*4000,0)-IF(AND('calcA'!P$117=1,UN34&gt;0),2000,0)-IF(AND($U34=1,'calcA'!Q$117=1,DP34=0),2000,0))),1000000000))</f>
        <v/>
      </c>
      <c r="OT34">
        <f>IF($B34=0,1000000000,IF(INDEX('calcA'!$D$60:$EQ$99,$B34,15)*IF($W34=1,DP34+AAE34,DP34)=1,IF(AND($E34=2,IF($W34=1,AFT34,JE34)=0),1000000000,IF($V34=1,INDEX('calcA'!$D$130:$EQ$169,$B34,15)+IF(AND($E34=1,JE34=0),25,0),IF($F34&gt;0,INDEX('calcA'!R$110:R$114,$F34+1)+IF(AND($E34=1,JE34=0),1000,0),MIN(TU34,20)*400+(IF('calcA'!Q$106=1,1-DO34,0)+IF('calcA'!R$106=1,1-DQ34,0))*150+151+'calcA'!R$5*100000+IF(AND($E34=1,JE34=0),50000,0))+IF($H34=1,INDEX('calcA'!$D$180:$EQ$219,$B34,15)*4000,0)-IF(AND('calcA'!Q$117=1,UO34&gt;0),2000,0)-IF(AND($U34=1,'calcA'!R$117=1,DQ34=0),2000,0))),1000000000))</f>
        <v/>
      </c>
      <c r="OU34">
        <f>IF($B34=0,1000000000,IF(INDEX('calcA'!$D$60:$EQ$99,$B34,16)*IF($W34=1,DQ34+AAF34,DQ34)=1,IF(AND($E34=2,IF($W34=1,AFU34,JF34)=0),1000000000,IF($V34=1,INDEX('calcA'!$D$130:$EQ$169,$B34,16)+IF(AND($E34=1,JF34=0),25,0),IF($F34&gt;0,INDEX('calcA'!S$110:S$114,$F34+1)+IF(AND($E34=1,JF34=0),1000,0),MIN(TU34,20)*400+(IF('calcA'!R$106=1,1-DP34,0)+IF('calcA'!S$106=1,1-DR34,0))*150+161+'calcA'!S$5*100000+IF(AND($E34=1,JF34=0),50000,0))+IF($H34=1,INDEX('calcA'!$D$180:$EQ$219,$B34,16)*4000,0)-IF(AND('calcA'!R$117=1,UP34&gt;0),2000,0)-IF(AND($U34=1,'calcA'!S$117=1,DR34=0),2000,0))),1000000000))</f>
        <v/>
      </c>
      <c r="OV34">
        <f>IF($B34=0,1000000000,IF(INDEX('calcA'!$D$60:$EQ$99,$B34,17)*IF($W34=1,DR34+AAG34,DR34)=1,IF(AND($E34=2,IF($W34=1,AFV34,JG34)=0),1000000000,IF($V34=1,INDEX('calcA'!$D$130:$EQ$169,$B34,17)+IF(AND($E34=1,JG34=0),25,0),IF($F34&gt;0,INDEX('calcA'!T$110:T$114,$F34+1)+IF(AND($E34=1,JG34=0),1000,0),MIN(TU34,20)*400+(IF('calcA'!S$106=1,1-DQ34,0)+IF('calcA'!T$106=1,1-DS34,0))*150+171+'calcA'!T$5*100000+IF(AND($E34=1,JG34=0),50000,0))+IF($H34=1,INDEX('calcA'!$D$180:$EQ$219,$B34,17)*4000,0)-IF(AND('calcA'!S$117=1,UQ34&gt;0),2000,0)-IF(AND($U34=1,'calcA'!T$117=1,DS34=0),2000,0))),1000000000))</f>
        <v/>
      </c>
      <c r="OW34">
        <f>IF($B34=0,1000000000,IF(INDEX('calcA'!$D$60:$EQ$99,$B34,18)*IF($W34=1,DS34+AAH34,DS34)=1,IF(AND($E34=2,IF($W34=1,AFW34,JH34)=0),1000000000,IF($V34=1,INDEX('calcA'!$D$130:$EQ$169,$B34,18)+IF(AND($E34=1,JH34=0),25,0),IF($F34&gt;0,INDEX('calcA'!U$110:U$114,$F34+1)+IF(AND($E34=1,JH34=0),1000,0),MIN(TU34,20)*400+(IF('calcA'!T$106=1,1-DR34,0)+IF('calcA'!U$106=1,1-DT34,0))*150+181+'calcA'!U$5*100000+IF(AND($E34=1,JH34=0),50000,0))+IF($H34=1,INDEX('calcA'!$D$180:$EQ$219,$B34,18)*4000,0)-IF(AND('calcA'!T$117=1,UR34&gt;0),2000,0)-IF(AND($U34=1,'calcA'!U$117=1,DT34=0),2000,0))),1000000000))</f>
        <v/>
      </c>
      <c r="OX34">
        <f>IF($B34=0,1000000000,IF(INDEX('calcA'!$D$60:$EQ$99,$B34,19)*IF($W34=1,DT34+AAI34,DT34)=1,IF(AND($E34=2,IF($W34=1,AFX34,JI34)=0),1000000000,IF($V34=1,INDEX('calcA'!$D$130:$EQ$169,$B34,19)+IF(AND($E34=1,JI34=0),25,0),IF($F34&gt;0,INDEX('calcA'!V$110:V$114,$F34+1)+IF(AND($E34=1,JI34=0),1000,0),MIN(TU34,20)*400+(IF('calcA'!U$106=1,1-DS34,0)+IF('calcA'!V$106=1,1-DU34,0))*150+191+'calcA'!V$5*100000+IF(AND($E34=1,JI34=0),50000,0))+IF($H34=1,INDEX('calcA'!$D$180:$EQ$219,$B34,19)*4000,0)-IF(AND('calcA'!U$117=1,US34&gt;0),2000,0)-IF(AND($U34=1,'calcA'!V$117=1,DU34=0),2000,0))),1000000000))</f>
        <v/>
      </c>
      <c r="OY34">
        <f>IF($B34=0,1000000000,IF(INDEX('calcA'!$D$60:$EQ$99,$B34,20)*IF($W34=1,DU34+AAJ34,DU34)=1,IF(AND($E34=2,IF($W34=1,AFY34,JJ34)=0),1000000000,IF($V34=1,INDEX('calcA'!$D$130:$EQ$169,$B34,20)+IF(AND($E34=1,JJ34=0),25,0),IF($F34&gt;0,INDEX('calcA'!W$110:W$114,$F34+1)+IF(AND($E34=1,JJ34=0),1000,0),MIN(TU34,20)*400+(IF('calcA'!V$106=1,1-DT34,0)+IF('calcA'!W$106=1,1-DV34,0))*150+201+'calcA'!W$5*100000+IF(AND($E34=1,JJ34=0),50000,0))+IF($H34=1,INDEX('calcA'!$D$180:$EQ$219,$B34,20)*4000,0)-IF(AND('calcA'!V$117=1,UT34&gt;0),2000,0)-IF(AND($U34=1,'calcA'!W$117=1,DV34=0),2000,0))),1000000000))</f>
        <v/>
      </c>
      <c r="OZ34">
        <f>IF($B34=0,1000000000,IF(INDEX('calcA'!$D$60:$EQ$99,$B34,21)*IF($W34=1,DV34+AAK34,DV34)=1,IF(AND($E34=2,IF($W34=1,AFZ34,JK34)=0),1000000000,IF($V34=1,INDEX('calcA'!$D$130:$EQ$169,$B34,21)+IF(AND($E34=1,JK34=0),25,0),IF($F34&gt;0,INDEX('calcA'!X$110:X$114,$F34+1)+IF(AND($E34=1,JK34=0),1000,0),MIN(TU34,20)*400+(IF('calcA'!W$106=1,1-DU34,0)+IF('calcA'!X$106=1,1-DW34,0))*150+211+'calcA'!X$5*100000+IF(AND($E34=1,JK34=0),50000,0))+IF($H34=1,INDEX('calcA'!$D$180:$EQ$219,$B34,21)*4000,0)-IF(AND('calcA'!W$117=1,UU34&gt;0),2000,0)-IF(AND($U34=1,'calcA'!X$117=1,DW34=0),2000,0))),1000000000))</f>
        <v/>
      </c>
      <c r="PA34">
        <f>IF($B34=0,1000000000,IF(INDEX('calcA'!$D$60:$EQ$99,$B34,22)*IF($W34=1,DW34+AAL34,DW34)=1,IF(AND($E34=2,IF($W34=1,AGA34,JL34)=0),1000000000,IF($V34=1,INDEX('calcA'!$D$130:$EQ$169,$B34,22)+IF(AND($E34=1,JL34=0),25,0),IF($F34&gt;0,INDEX('calcA'!Y$110:Y$114,$F34+1)+IF(AND($E34=1,JL34=0),1000,0),MIN(TU34,20)*400+(IF('calcA'!X$106=1,1-DV34,0)+IF('calcA'!Y$106=1,1-DX34,0))*150+221+'calcA'!Y$5*100000+IF(AND($E34=1,JL34=0),50000,0))+IF($H34=1,INDEX('calcA'!$D$180:$EQ$219,$B34,22)*4000,0)-IF(AND('calcA'!X$117=1,UV34&gt;0),2000,0)-IF(AND($U34=1,'calcA'!Y$117=1,DX34=0),2000,0))),1000000000))</f>
        <v/>
      </c>
      <c r="PB34">
        <f>IF($B34=0,1000000000,IF(INDEX('calcA'!$D$60:$EQ$99,$B34,23)*IF($W34=1,DX34+AAM34,DX34)=1,IF(AND($E34=2,IF($W34=1,AGB34,JM34)=0),1000000000,IF($V34=1,INDEX('calcA'!$D$130:$EQ$169,$B34,23)+IF(AND($E34=1,JM34=0),25,0),IF($F34&gt;0,INDEX('calcA'!Z$110:Z$114,$F34+1)+IF(AND($E34=1,JM34=0),1000,0),MIN(TU34,20)*400+(IF('calcA'!Y$106=1,1-DW34,0)+IF('calcA'!Z$106=1,1-DY34,0))*150+231+'calcA'!Z$5*100000+IF(AND($E34=1,JM34=0),50000,0))+IF($H34=1,INDEX('calcA'!$D$180:$EQ$219,$B34,23)*4000,0)-IF(AND('calcA'!Y$117=1,UW34&gt;0),2000,0)-IF(AND($U34=1,'calcA'!Z$117=1,DY34=0),2000,0))),1000000000))</f>
        <v/>
      </c>
      <c r="PC34">
        <f>IF($B34=0,1000000000,IF(INDEX('calcA'!$D$60:$EQ$99,$B34,24)*IF($W34=1,DY34+AAN34,DY34)=1,IF(AND($E34=2,IF($W34=1,AGC34,JN34)=0),1000000000,IF($V34=1,INDEX('calcA'!$D$130:$EQ$169,$B34,24)+IF(AND($E34=1,JN34=0),25,0),IF($F34&gt;0,INDEX('calcA'!AA$110:AA$114,$F34+1)+IF(AND($E34=1,JN34=0),1000,0),MIN(TU34,20)*400+(IF('calcA'!Z$106=1,1-DX34,0))*150+241+'calcA'!AA$5*100000+IF(AND($E34=1,JN34=0),50000,0))+IF($H34=1,INDEX('calcA'!$D$180:$EQ$219,$B34,24)*4000,0)-IF(AND('calcA'!Z$117=1,UX34&gt;0),2000,0))),1000000000))</f>
        <v/>
      </c>
      <c r="PD34">
        <f>IF($B34=0,1000000000,IF(INDEX('calcA'!$D$60:$EQ$99,$B34,25)*IF($W34=1,DZ34+AAO34,DZ34)=1,IF(AND($E34=2,IF($W34=1,AGD34,JO34)=0),1000000000,IF($V34=1,INDEX('calcA'!$D$130:$EQ$169,$B34,25)+IF(AND($E34=1,JO34=0),25,0),IF($F34&gt;0,INDEX('calcA'!AB$110:AB$114,$F34+1)+IF(AND($E34=1,JO34=0),1000,0),MIN(TV34,20)*400+(IF('calcA'!AB$106=1,1-EA34,0))*150+12+'calcA'!AB$5*100000+IF(AND($E34=1,JO34=0),50000,0))+IF($H34=1,INDEX('calcA'!$D$180:$EQ$219,$B34,25)*4000,0)-IF(AND($U34=1,'calcA'!AB$117=1,EA34=0),2000,0))),1000000000))</f>
        <v/>
      </c>
      <c r="PE34">
        <f>IF($B34=0,1000000000,IF(INDEX('calcA'!$D$60:$EQ$99,$B34,26)*IF($W34=1,EA34+AAP34,EA34)=1,IF(AND($E34=2,IF($W34=1,AGE34,JP34)=0),1000000000,IF($V34=1,INDEX('calcA'!$D$130:$EQ$169,$B34,26)+IF(AND($E34=1,JP34=0),25,0),IF($F34&gt;0,INDEX('calcA'!AC$110:AC$114,$F34+1)+IF(AND($E34=1,JP34=0),1000,0),MIN(TV34,20)*400+(IF('calcA'!AB$106=1,1-DZ34,0)+IF('calcA'!AC$106=1,1-EB34,0))*150+22+'calcA'!AC$5*100000+IF(AND($E34=1,JP34=0),50000,0))+IF($H34=1,INDEX('calcA'!$D$180:$EQ$219,$B34,26)*4000,0)-IF(AND('calcA'!AB$117=1,UZ34&gt;0),2000,0)-IF(AND($U34=1,'calcA'!AC$117=1,EB34=0),2000,0))),1000000000))</f>
        <v/>
      </c>
      <c r="PF34">
        <f>IF($B34=0,1000000000,IF(INDEX('calcA'!$D$60:$EQ$99,$B34,27)*IF($W34=1,EB34+AAQ34,EB34)=1,IF(AND($E34=2,IF($W34=1,AGF34,JQ34)=0),1000000000,IF($V34=1,INDEX('calcA'!$D$130:$EQ$169,$B34,27)+IF(AND($E34=1,JQ34=0),25,0),IF($F34&gt;0,INDEX('calcA'!AD$110:AD$114,$F34+1)+IF(AND($E34=1,JQ34=0),1000,0),MIN(TV34,20)*400+(IF('calcA'!AC$106=1,1-EA34,0)+IF('calcA'!AD$106=1,1-EC34,0))*150+32+'calcA'!AD$5*100000+IF(AND($E34=1,JQ34=0),50000,0))+IF($H34=1,INDEX('calcA'!$D$180:$EQ$219,$B34,27)*4000,0)-IF(AND('calcA'!AC$117=1,VA34&gt;0),2000,0)-IF(AND($U34=1,'calcA'!AD$117=1,EC34=0),2000,0))),1000000000))</f>
        <v/>
      </c>
      <c r="PG34">
        <f>IF($B34=0,1000000000,IF(INDEX('calcA'!$D$60:$EQ$99,$B34,28)*IF($W34=1,EC34+AAR34,EC34)=1,IF(AND($E34=2,IF($W34=1,AGG34,JR34)=0),1000000000,IF($V34=1,INDEX('calcA'!$D$130:$EQ$169,$B34,28)+IF(AND($E34=1,JR34=0),25,0),IF($F34&gt;0,INDEX('calcA'!AE$110:AE$114,$F34+1)+IF(AND($E34=1,JR34=0),1000,0),MIN(TV34,20)*400+(IF('calcA'!AD$106=1,1-EB34,0)+IF('calcA'!AE$106=1,1-ED34,0))*150+42+'calcA'!AE$5*100000+IF(AND($E34=1,JR34=0),50000,0))+IF($H34=1,INDEX('calcA'!$D$180:$EQ$219,$B34,28)*4000,0)-IF(AND('calcA'!AD$117=1,VB34&gt;0),2000,0)-IF(AND($U34=1,'calcA'!AE$117=1,ED34=0),2000,0))),1000000000))</f>
        <v/>
      </c>
      <c r="PH34">
        <f>IF($B34=0,1000000000,IF(INDEX('calcA'!$D$60:$EQ$99,$B34,29)*IF($W34=1,ED34+AAS34,ED34)=1,IF(AND($E34=2,IF($W34=1,AGH34,JS34)=0),1000000000,IF($V34=1,INDEX('calcA'!$D$130:$EQ$169,$B34,29)+IF(AND($E34=1,JS34=0),25,0),IF($F34&gt;0,INDEX('calcA'!AF$110:AF$114,$F34+1)+IF(AND($E34=1,JS34=0),1000,0),MIN(TV34,20)*400+(IF('calcA'!AE$106=1,1-EC34,0)+IF('calcA'!AF$106=1,1-EE34,0))*150+52+'calcA'!AF$5*100000+IF(AND($E34=1,JS34=0),50000,0))+IF($H34=1,INDEX('calcA'!$D$180:$EQ$219,$B34,29)*4000,0)-IF(AND('calcA'!AE$117=1,VC34&gt;0),2000,0)-IF(AND($U34=1,'calcA'!AF$117=1,EE34=0),2000,0))),1000000000))</f>
        <v/>
      </c>
      <c r="PI34">
        <f>IF($B34=0,1000000000,IF(INDEX('calcA'!$D$60:$EQ$99,$B34,30)*IF($W34=1,EE34+AAT34,EE34)=1,IF(AND($E34=2,IF($W34=1,AGI34,JT34)=0),1000000000,IF($V34=1,INDEX('calcA'!$D$130:$EQ$169,$B34,30)+IF(AND($E34=1,JT34=0),25,0),IF($F34&gt;0,INDEX('calcA'!AG$110:AG$114,$F34+1)+IF(AND($E34=1,JT34=0),1000,0),MIN(TV34,20)*400+(IF('calcA'!AF$106=1,1-ED34,0)+IF('calcA'!AG$106=1,1-EF34,0))*150+62+'calcA'!AG$5*100000+IF(AND($E34=1,JT34=0),50000,0))+IF($H34=1,INDEX('calcA'!$D$180:$EQ$219,$B34,30)*4000,0)-IF(AND('calcA'!AF$117=1,VD34&gt;0),2000,0)-IF(AND($U34=1,'calcA'!AG$117=1,EF34=0),2000,0))),1000000000))</f>
        <v/>
      </c>
      <c r="PJ34">
        <f>IF($B34=0,1000000000,IF(INDEX('calcA'!$D$60:$EQ$99,$B34,31)*IF($W34=1,EF34+AAU34,EF34)=1,IF(AND($E34=2,IF($W34=1,AGJ34,JU34)=0),1000000000,IF($V34=1,INDEX('calcA'!$D$130:$EQ$169,$B34,31)+IF(AND($E34=1,JU34=0),25,0),IF($F34&gt;0,INDEX('calcA'!AH$110:AH$114,$F34+1)+IF(AND($E34=1,JU34=0),1000,0),MIN(TV34,20)*400+(IF('calcA'!AG$106=1,1-EE34,0)+IF('calcA'!AH$106=1,1-EG34,0))*150+72+'calcA'!AH$5*100000+IF(AND($E34=1,JU34=0),50000,0))+IF($H34=1,INDEX('calcA'!$D$180:$EQ$219,$B34,31)*4000,0)-IF(AND('calcA'!AG$117=1,VE34&gt;0),2000,0)-IF(AND($U34=1,'calcA'!AH$117=1,EG34=0),2000,0))),1000000000))</f>
        <v/>
      </c>
      <c r="PK34">
        <f>IF($B34=0,1000000000,IF(INDEX('calcA'!$D$60:$EQ$99,$B34,32)*IF($W34=1,EG34+AAV34,EG34)=1,IF(AND($E34=2,IF($W34=1,AGK34,JV34)=0),1000000000,IF($V34=1,INDEX('calcA'!$D$130:$EQ$169,$B34,32)+IF(AND($E34=1,JV34=0),25,0),IF($F34&gt;0,INDEX('calcA'!AI$110:AI$114,$F34+1)+IF(AND($E34=1,JV34=0),1000,0),MIN(TV34,20)*400+(IF('calcA'!AH$106=1,1-EF34,0)+IF('calcA'!AI$106=1,1-EH34,0))*150+82+'calcA'!AI$5*100000+IF(AND($E34=1,JV34=0),50000,0))+IF($H34=1,INDEX('calcA'!$D$180:$EQ$219,$B34,32)*4000,0)-IF(AND('calcA'!AH$117=1,VF34&gt;0),2000,0)-IF(AND($U34=1,'calcA'!AI$117=1,EH34=0),2000,0))),1000000000))</f>
        <v/>
      </c>
      <c r="PL34">
        <f>IF($B34=0,1000000000,IF(INDEX('calcA'!$D$60:$EQ$99,$B34,33)*IF($W34=1,EH34+AAW34,EH34)=1,IF(AND($E34=2,IF($W34=1,AGL34,JW34)=0),1000000000,IF($V34=1,INDEX('calcA'!$D$130:$EQ$169,$B34,33)+IF(AND($E34=1,JW34=0),25,0),IF($F34&gt;0,INDEX('calcA'!AJ$110:AJ$114,$F34+1)+IF(AND($E34=1,JW34=0),1000,0),MIN(TV34,20)*400+(IF('calcA'!AI$106=1,1-EG34,0)+IF('calcA'!AJ$106=1,1-EI34,0))*150+92+'calcA'!AJ$5*100000+IF(AND($E34=1,JW34=0),50000,0))+IF($H34=1,INDEX('calcA'!$D$180:$EQ$219,$B34,33)*4000,0)-IF(AND('calcA'!AI$117=1,VG34&gt;0),2000,0)-IF(AND($U34=1,'calcA'!AJ$117=1,EI34=0),2000,0))),1000000000))</f>
        <v/>
      </c>
      <c r="PM34">
        <f>IF($B34=0,1000000000,IF(INDEX('calcA'!$D$60:$EQ$99,$B34,34)*IF($W34=1,EI34+AAX34,EI34)=1,IF(AND($E34=2,IF($W34=1,AGM34,JX34)=0),1000000000,IF($V34=1,INDEX('calcA'!$D$130:$EQ$169,$B34,34)+IF(AND($E34=1,JX34=0),25,0),IF($F34&gt;0,INDEX('calcA'!AK$110:AK$114,$F34+1)+IF(AND($E34=1,JX34=0),1000,0),MIN(TV34,20)*400+(IF('calcA'!AJ$106=1,1-EH34,0)+IF('calcA'!AK$106=1,1-EJ34,0))*150+102+'calcA'!AK$5*100000+IF(AND($E34=1,JX34=0),50000,0))+IF($H34=1,INDEX('calcA'!$D$180:$EQ$219,$B34,34)*4000,0)-IF(AND('calcA'!AJ$117=1,VH34&gt;0),2000,0)-IF(AND($U34=1,'calcA'!AK$117=1,EJ34=0),2000,0))),1000000000))</f>
        <v/>
      </c>
      <c r="PN34">
        <f>IF($B34=0,1000000000,IF(INDEX('calcA'!$D$60:$EQ$99,$B34,35)*IF($W34=1,EJ34+AAY34,EJ34)=1,IF(AND($E34=2,IF($W34=1,AGN34,JY34)=0),1000000000,IF($V34=1,INDEX('calcA'!$D$130:$EQ$169,$B34,35)+IF(AND($E34=1,JY34=0),25,0),IF($F34&gt;0,INDEX('calcA'!AL$110:AL$114,$F34+1)+IF(AND($E34=1,JY34=0),1000,0),MIN(TV34,20)*400+(IF('calcA'!AK$106=1,1-EI34,0)+IF('calcA'!AL$106=1,1-EK34,0))*150+112+'calcA'!AL$5*100000+IF(AND($E34=1,JY34=0),50000,0))+IF($H34=1,INDEX('calcA'!$D$180:$EQ$219,$B34,35)*4000,0)-IF(AND('calcA'!AK$117=1,VI34&gt;0),2000,0)-IF(AND($U34=1,'calcA'!AL$117=1,EK34=0),2000,0))),1000000000))</f>
        <v/>
      </c>
      <c r="PO34">
        <f>IF($B34=0,1000000000,IF(INDEX('calcA'!$D$60:$EQ$99,$B34,36)*IF($W34=1,EK34+AAZ34,EK34)=1,IF(AND($E34=2,IF($W34=1,AGO34,JZ34)=0),1000000000,IF($V34=1,INDEX('calcA'!$D$130:$EQ$169,$B34,36)+IF(AND($E34=1,JZ34=0),25,0),IF($F34&gt;0,INDEX('calcA'!AM$110:AM$114,$F34+1)+IF(AND($E34=1,JZ34=0),1000,0),MIN(TV34,20)*400+(IF('calcA'!AL$106=1,1-EJ34,0)+IF('calcA'!AM$106=1,1-EL34,0))*150+122+'calcA'!AM$5*100000+IF(AND($E34=1,JZ34=0),50000,0))+IF($H34=1,INDEX('calcA'!$D$180:$EQ$219,$B34,36)*4000,0)-IF(AND('calcA'!AL$117=1,VJ34&gt;0),2000,0)-IF(AND($U34=1,'calcA'!AM$117=1,EL34=0),2000,0))),1000000000))</f>
        <v/>
      </c>
      <c r="PP34">
        <f>IF($B34=0,1000000000,IF(INDEX('calcA'!$D$60:$EQ$99,$B34,37)*IF($W34=1,EL34+ABA34,EL34)=1,IF(AND($E34=2,IF($W34=1,AGP34,KA34)=0),1000000000,IF($V34=1,INDEX('calcA'!$D$130:$EQ$169,$B34,37)+IF(AND($E34=1,KA34=0),25,0),IF($F34&gt;0,INDEX('calcA'!AN$110:AN$114,$F34+1)+IF(AND($E34=1,KA34=0),1000,0),MIN(TV34,20)*400+(IF('calcA'!AM$106=1,1-EK34,0)+IF('calcA'!AN$106=1,1-EM34,0))*150+132+'calcA'!AN$5*100000+IF(AND($E34=1,KA34=0),50000,0))+IF($H34=1,INDEX('calcA'!$D$180:$EQ$219,$B34,37)*4000,0)-IF(AND('calcA'!AM$117=1,VK34&gt;0),2000,0)-IF(AND($U34=1,'calcA'!AN$117=1,EM34=0),2000,0))),1000000000))</f>
        <v/>
      </c>
      <c r="PQ34">
        <f>IF($B34=0,1000000000,IF(INDEX('calcA'!$D$60:$EQ$99,$B34,38)*IF($W34=1,EM34+ABB34,EM34)=1,IF(AND($E34=2,IF($W34=1,AGQ34,KB34)=0),1000000000,IF($V34=1,INDEX('calcA'!$D$130:$EQ$169,$B34,38)+IF(AND($E34=1,KB34=0),25,0),IF($F34&gt;0,INDEX('calcA'!AO$110:AO$114,$F34+1)+IF(AND($E34=1,KB34=0),1000,0),MIN(TV34,20)*400+(IF('calcA'!AN$106=1,1-EL34,0)+IF('calcA'!AO$106=1,1-EN34,0))*150+142+'calcA'!AO$5*100000+IF(AND($E34=1,KB34=0),50000,0))+IF($H34=1,INDEX('calcA'!$D$180:$EQ$219,$B34,38)*4000,0)-IF(AND('calcA'!AN$117=1,VL34&gt;0),2000,0)-IF(AND($U34=1,'calcA'!AO$117=1,EN34=0),2000,0))),1000000000))</f>
        <v/>
      </c>
      <c r="PR34">
        <f>IF($B34=0,1000000000,IF(INDEX('calcA'!$D$60:$EQ$99,$B34,39)*IF($W34=1,EN34+ABC34,EN34)=1,IF(AND($E34=2,IF($W34=1,AGR34,KC34)=0),1000000000,IF($V34=1,INDEX('calcA'!$D$130:$EQ$169,$B34,39)+IF(AND($E34=1,KC34=0),25,0),IF($F34&gt;0,INDEX('calcA'!AP$110:AP$114,$F34+1)+IF(AND($E34=1,KC34=0),1000,0),MIN(TV34,20)*400+(IF('calcA'!AO$106=1,1-EM34,0)+IF('calcA'!AP$106=1,1-EO34,0))*150+152+'calcA'!AP$5*100000+IF(AND($E34=1,KC34=0),50000,0))+IF($H34=1,INDEX('calcA'!$D$180:$EQ$219,$B34,39)*4000,0)-IF(AND('calcA'!AO$117=1,VM34&gt;0),2000,0)-IF(AND($U34=1,'calcA'!AP$117=1,EO34=0),2000,0))),1000000000))</f>
        <v/>
      </c>
      <c r="PS34">
        <f>IF($B34=0,1000000000,IF(INDEX('calcA'!$D$60:$EQ$99,$B34,40)*IF($W34=1,EO34+ABD34,EO34)=1,IF(AND($E34=2,IF($W34=1,AGS34,KD34)=0),1000000000,IF($V34=1,INDEX('calcA'!$D$130:$EQ$169,$B34,40)+IF(AND($E34=1,KD34=0),25,0),IF($F34&gt;0,INDEX('calcA'!AQ$110:AQ$114,$F34+1)+IF(AND($E34=1,KD34=0),1000,0),MIN(TV34,20)*400+(IF('calcA'!AP$106=1,1-EN34,0)+IF('calcA'!AQ$106=1,1-EP34,0))*150+162+'calcA'!AQ$5*100000+IF(AND($E34=1,KD34=0),50000,0))+IF($H34=1,INDEX('calcA'!$D$180:$EQ$219,$B34,40)*4000,0)-IF(AND('calcA'!AP$117=1,VN34&gt;0),2000,0)-IF(AND($U34=1,'calcA'!AQ$117=1,EP34=0),2000,0))),1000000000))</f>
        <v/>
      </c>
      <c r="PT34">
        <f>IF($B34=0,1000000000,IF(INDEX('calcA'!$D$60:$EQ$99,$B34,41)*IF($W34=1,EP34+ABE34,EP34)=1,IF(AND($E34=2,IF($W34=1,AGT34,KE34)=0),1000000000,IF($V34=1,INDEX('calcA'!$D$130:$EQ$169,$B34,41)+IF(AND($E34=1,KE34=0),25,0),IF($F34&gt;0,INDEX('calcA'!AR$110:AR$114,$F34+1)+IF(AND($E34=1,KE34=0),1000,0),MIN(TV34,20)*400+(IF('calcA'!AQ$106=1,1-EO34,0)+IF('calcA'!AR$106=1,1-EQ34,0))*150+172+'calcA'!AR$5*100000+IF(AND($E34=1,KE34=0),50000,0))+IF($H34=1,INDEX('calcA'!$D$180:$EQ$219,$B34,41)*4000,0)-IF(AND('calcA'!AQ$117=1,VO34&gt;0),2000,0)-IF(AND($U34=1,'calcA'!AR$117=1,EQ34=0),2000,0))),1000000000))</f>
        <v/>
      </c>
      <c r="PU34">
        <f>IF($B34=0,1000000000,IF(INDEX('calcA'!$D$60:$EQ$99,$B34,42)*IF($W34=1,EQ34+ABF34,EQ34)=1,IF(AND($E34=2,IF($W34=1,AGU34,KF34)=0),1000000000,IF($V34=1,INDEX('calcA'!$D$130:$EQ$169,$B34,42)+IF(AND($E34=1,KF34=0),25,0),IF($F34&gt;0,INDEX('calcA'!AS$110:AS$114,$F34+1)+IF(AND($E34=1,KF34=0),1000,0),MIN(TV34,20)*400+(IF('calcA'!AR$106=1,1-EP34,0)+IF('calcA'!AS$106=1,1-ER34,0))*150+182+'calcA'!AS$5*100000+IF(AND($E34=1,KF34=0),50000,0))+IF($H34=1,INDEX('calcA'!$D$180:$EQ$219,$B34,42)*4000,0)-IF(AND('calcA'!AR$117=1,VP34&gt;0),2000,0)-IF(AND($U34=1,'calcA'!AS$117=1,ER34=0),2000,0))),1000000000))</f>
        <v/>
      </c>
      <c r="PV34">
        <f>IF($B34=0,1000000000,IF(INDEX('calcA'!$D$60:$EQ$99,$B34,43)*IF($W34=1,ER34+ABG34,ER34)=1,IF(AND($E34=2,IF($W34=1,AGV34,KG34)=0),1000000000,IF($V34=1,INDEX('calcA'!$D$130:$EQ$169,$B34,43)+IF(AND($E34=1,KG34=0),25,0),IF($F34&gt;0,INDEX('calcA'!AT$110:AT$114,$F34+1)+IF(AND($E34=1,KG34=0),1000,0),MIN(TV34,20)*400+(IF('calcA'!AS$106=1,1-EQ34,0)+IF('calcA'!AT$106=1,1-ES34,0))*150+192+'calcA'!AT$5*100000+IF(AND($E34=1,KG34=0),50000,0))+IF($H34=1,INDEX('calcA'!$D$180:$EQ$219,$B34,43)*4000,0)-IF(AND('calcA'!AS$117=1,VQ34&gt;0),2000,0)-IF(AND($U34=1,'calcA'!AT$117=1,ES34=0),2000,0))),1000000000))</f>
        <v/>
      </c>
      <c r="PW34">
        <f>IF($B34=0,1000000000,IF(INDEX('calcA'!$D$60:$EQ$99,$B34,44)*IF($W34=1,ES34+ABH34,ES34)=1,IF(AND($E34=2,IF($W34=1,AGW34,KH34)=0),1000000000,IF($V34=1,INDEX('calcA'!$D$130:$EQ$169,$B34,44)+IF(AND($E34=1,KH34=0),25,0),IF($F34&gt;0,INDEX('calcA'!AU$110:AU$114,$F34+1)+IF(AND($E34=1,KH34=0),1000,0),MIN(TV34,20)*400+(IF('calcA'!AT$106=1,1-ER34,0)+IF('calcA'!AU$106=1,1-ET34,0))*150+202+'calcA'!AU$5*100000+IF(AND($E34=1,KH34=0),50000,0))+IF($H34=1,INDEX('calcA'!$D$180:$EQ$219,$B34,44)*4000,0)-IF(AND('calcA'!AT$117=1,VR34&gt;0),2000,0)-IF(AND($U34=1,'calcA'!AU$117=1,ET34=0),2000,0))),1000000000))</f>
        <v/>
      </c>
      <c r="PX34">
        <f>IF($B34=0,1000000000,IF(INDEX('calcA'!$D$60:$EQ$99,$B34,45)*IF($W34=1,ET34+ABI34,ET34)=1,IF(AND($E34=2,IF($W34=1,AGX34,KI34)=0),1000000000,IF($V34=1,INDEX('calcA'!$D$130:$EQ$169,$B34,45)+IF(AND($E34=1,KI34=0),25,0),IF($F34&gt;0,INDEX('calcA'!AV$110:AV$114,$F34+1)+IF(AND($E34=1,KI34=0),1000,0),MIN(TV34,20)*400+(IF('calcA'!AU$106=1,1-ES34,0)+IF('calcA'!AV$106=1,1-EU34,0))*150+212+'calcA'!AV$5*100000+IF(AND($E34=1,KI34=0),50000,0))+IF($H34=1,INDEX('calcA'!$D$180:$EQ$219,$B34,45)*4000,0)-IF(AND('calcA'!AU$117=1,VS34&gt;0),2000,0)-IF(AND($U34=1,'calcA'!AV$117=1,EU34=0),2000,0))),1000000000))</f>
        <v/>
      </c>
      <c r="PY34">
        <f>IF($B34=0,1000000000,IF(INDEX('calcA'!$D$60:$EQ$99,$B34,46)*IF($W34=1,EU34+ABJ34,EU34)=1,IF(AND($E34=2,IF($W34=1,AGY34,KJ34)=0),1000000000,IF($V34=1,INDEX('calcA'!$D$130:$EQ$169,$B34,46)+IF(AND($E34=1,KJ34=0),25,0),IF($F34&gt;0,INDEX('calcA'!AW$110:AW$114,$F34+1)+IF(AND($E34=1,KJ34=0),1000,0),MIN(TV34,20)*400+(IF('calcA'!AV$106=1,1-ET34,0)+IF('calcA'!AW$106=1,1-EV34,0))*150+222+'calcA'!AW$5*100000+IF(AND($E34=1,KJ34=0),50000,0))+IF($H34=1,INDEX('calcA'!$D$180:$EQ$219,$B34,46)*4000,0)-IF(AND('calcA'!AV$117=1,VT34&gt;0),2000,0)-IF(AND($U34=1,'calcA'!AW$117=1,EV34=0),2000,0))),1000000000))</f>
        <v/>
      </c>
      <c r="PZ34">
        <f>IF($B34=0,1000000000,IF(INDEX('calcA'!$D$60:$EQ$99,$B34,47)*IF($W34=1,EV34+ABK34,EV34)=1,IF(AND($E34=2,IF($W34=1,AGZ34,KK34)=0),1000000000,IF($V34=1,INDEX('calcA'!$D$130:$EQ$169,$B34,47)+IF(AND($E34=1,KK34=0),25,0),IF($F34&gt;0,INDEX('calcA'!AX$110:AX$114,$F34+1)+IF(AND($E34=1,KK34=0),1000,0),MIN(TV34,20)*400+(IF('calcA'!AW$106=1,1-EU34,0)+IF('calcA'!AX$106=1,1-EW34,0))*150+232+'calcA'!AX$5*100000+IF(AND($E34=1,KK34=0),50000,0))+IF($H34=1,INDEX('calcA'!$D$180:$EQ$219,$B34,47)*4000,0)-IF(AND('calcA'!AW$117=1,VU34&gt;0),2000,0)-IF(AND($U34=1,'calcA'!AX$117=1,EW34=0),2000,0))),1000000000))</f>
        <v/>
      </c>
      <c r="QA34">
        <f>IF($B34=0,1000000000,IF(INDEX('calcA'!$D$60:$EQ$99,$B34,48)*IF($W34=1,EW34+ABL34,EW34)=1,IF(AND($E34=2,IF($W34=1,AHA34,KL34)=0),1000000000,IF($V34=1,INDEX('calcA'!$D$130:$EQ$169,$B34,48)+IF(AND($E34=1,KL34=0),25,0),IF($F34&gt;0,INDEX('calcA'!AY$110:AY$114,$F34+1)+IF(AND($E34=1,KL34=0),1000,0),MIN(TV34,20)*400+(IF('calcA'!AX$106=1,1-EV34,0))*150+242+'calcA'!AY$5*100000+IF(AND($E34=1,KL34=0),50000,0))+IF($H34=1,INDEX('calcA'!$D$180:$EQ$219,$B34,48)*4000,0)-IF(AND('calcA'!AX$117=1,VV34&gt;0),2000,0))),1000000000))</f>
        <v/>
      </c>
      <c r="QB34">
        <f>IF($B34=0,1000000000,IF(INDEX('calcA'!$D$60:$EQ$99,$B34,49)*IF($W34=1,EX34+ABM34,EX34)=1,IF(AND($E34=2,IF($W34=1,AHB34,KM34)=0),1000000000,IF($V34=1,INDEX('calcA'!$D$130:$EQ$169,$B34,49)+IF(AND($E34=1,KM34=0),25,0),IF($F34&gt;0,INDEX('calcA'!AZ$110:AZ$114,$F34+1)+IF(AND($E34=1,KM34=0),1000,0),MIN(TW34,20)*400+(IF('calcA'!AZ$106=1,1-EY34,0))*150+13+'calcA'!AZ$5*100000+IF(AND($E34=1,KM34=0),50000,0))+IF($H34=1,INDEX('calcA'!$D$180:$EQ$219,$B34,49)*4000,0)-IF(AND($U34=1,'calcA'!AZ$117=1,EY34=0),2000,0))),1000000000))</f>
        <v/>
      </c>
      <c r="QC34">
        <f>IF($B34=0,1000000000,IF(INDEX('calcA'!$D$60:$EQ$99,$B34,50)*IF($W34=1,EY34+ABN34,EY34)=1,IF(AND($E34=2,IF($W34=1,AHC34,KN34)=0),1000000000,IF($V34=1,INDEX('calcA'!$D$130:$EQ$169,$B34,50)+IF(AND($E34=1,KN34=0),25,0),IF($F34&gt;0,INDEX('calcA'!BA$110:BA$114,$F34+1)+IF(AND($E34=1,KN34=0),1000,0),MIN(TW34,20)*400+(IF('calcA'!AZ$106=1,1-EX34,0)+IF('calcA'!BA$106=1,1-EZ34,0))*150+23+'calcA'!BA$5*100000+IF(AND($E34=1,KN34=0),50000,0))+IF($H34=1,INDEX('calcA'!$D$180:$EQ$219,$B34,50)*4000,0)-IF(AND('calcA'!AZ$117=1,VX34&gt;0),2000,0)-IF(AND($U34=1,'calcA'!BA$117=1,EZ34=0),2000,0))),1000000000))</f>
        <v/>
      </c>
      <c r="QD34">
        <f>IF($B34=0,1000000000,IF(INDEX('calcA'!$D$60:$EQ$99,$B34,51)*IF($W34=1,EZ34+ABO34,EZ34)=1,IF(AND($E34=2,IF($W34=1,AHD34,KO34)=0),1000000000,IF($V34=1,INDEX('calcA'!$D$130:$EQ$169,$B34,51)+IF(AND($E34=1,KO34=0),25,0),IF($F34&gt;0,INDEX('calcA'!BB$110:BB$114,$F34+1)+IF(AND($E34=1,KO34=0),1000,0),MIN(TW34,20)*400+(IF('calcA'!BA$106=1,1-EY34,0)+IF('calcA'!BB$106=1,1-FA34,0))*150+33+'calcA'!BB$5*100000+IF(AND($E34=1,KO34=0),50000,0))+IF($H34=1,INDEX('calcA'!$D$180:$EQ$219,$B34,51)*4000,0)-IF(AND('calcA'!BA$117=1,VY34&gt;0),2000,0)-IF(AND($U34=1,'calcA'!BB$117=1,FA34=0),2000,0))),1000000000))</f>
        <v/>
      </c>
      <c r="QE34">
        <f>IF($B34=0,1000000000,IF(INDEX('calcA'!$D$60:$EQ$99,$B34,52)*IF($W34=1,FA34+ABP34,FA34)=1,IF(AND($E34=2,IF($W34=1,AHE34,KP34)=0),1000000000,IF($V34=1,INDEX('calcA'!$D$130:$EQ$169,$B34,52)+IF(AND($E34=1,KP34=0),25,0),IF($F34&gt;0,INDEX('calcA'!BC$110:BC$114,$F34+1)+IF(AND($E34=1,KP34=0),1000,0),MIN(TW34,20)*400+(IF('calcA'!BB$106=1,1-EZ34,0)+IF('calcA'!BC$106=1,1-FB34,0))*150+43+'calcA'!BC$5*100000+IF(AND($E34=1,KP34=0),50000,0))+IF($H34=1,INDEX('calcA'!$D$180:$EQ$219,$B34,52)*4000,0)-IF(AND('calcA'!BB$117=1,VZ34&gt;0),2000,0)-IF(AND($U34=1,'calcA'!BC$117=1,FB34=0),2000,0))),1000000000))</f>
        <v/>
      </c>
      <c r="QF34">
        <f>IF($B34=0,1000000000,IF(INDEX('calcA'!$D$60:$EQ$99,$B34,53)*IF($W34=1,FB34+ABQ34,FB34)=1,IF(AND($E34=2,IF($W34=1,AHF34,KQ34)=0),1000000000,IF($V34=1,INDEX('calcA'!$D$130:$EQ$169,$B34,53)+IF(AND($E34=1,KQ34=0),25,0),IF($F34&gt;0,INDEX('calcA'!BD$110:BD$114,$F34+1)+IF(AND($E34=1,KQ34=0),1000,0),MIN(TW34,20)*400+(IF('calcA'!BC$106=1,1-FA34,0)+IF('calcA'!BD$106=1,1-FC34,0))*150+53+'calcA'!BD$5*100000+IF(AND($E34=1,KQ34=0),50000,0))+IF($H34=1,INDEX('calcA'!$D$180:$EQ$219,$B34,53)*4000,0)-IF(AND('calcA'!BC$117=1,WA34&gt;0),2000,0)-IF(AND($U34=1,'calcA'!BD$117=1,FC34=0),2000,0))),1000000000))</f>
        <v/>
      </c>
      <c r="QG34">
        <f>IF($B34=0,1000000000,IF(INDEX('calcA'!$D$60:$EQ$99,$B34,54)*IF($W34=1,FC34+ABR34,FC34)=1,IF(AND($E34=2,IF($W34=1,AHG34,KR34)=0),1000000000,IF($V34=1,INDEX('calcA'!$D$130:$EQ$169,$B34,54)+IF(AND($E34=1,KR34=0),25,0),IF($F34&gt;0,INDEX('calcA'!BE$110:BE$114,$F34+1)+IF(AND($E34=1,KR34=0),1000,0),MIN(TW34,20)*400+(IF('calcA'!BD$106=1,1-FB34,0)+IF('calcA'!BE$106=1,1-FD34,0))*150+63+'calcA'!BE$5*100000+IF(AND($E34=1,KR34=0),50000,0))+IF($H34=1,INDEX('calcA'!$D$180:$EQ$219,$B34,54)*4000,0)-IF(AND('calcA'!BD$117=1,WB34&gt;0),2000,0)-IF(AND($U34=1,'calcA'!BE$117=1,FD34=0),2000,0))),1000000000))</f>
        <v/>
      </c>
      <c r="QH34">
        <f>IF($B34=0,1000000000,IF(INDEX('calcA'!$D$60:$EQ$99,$B34,55)*IF($W34=1,FD34+ABS34,FD34)=1,IF(AND($E34=2,IF($W34=1,AHH34,KS34)=0),1000000000,IF($V34=1,INDEX('calcA'!$D$130:$EQ$169,$B34,55)+IF(AND($E34=1,KS34=0),25,0),IF($F34&gt;0,INDEX('calcA'!BF$110:BF$114,$F34+1)+IF(AND($E34=1,KS34=0),1000,0),MIN(TW34,20)*400+(IF('calcA'!BE$106=1,1-FC34,0)+IF('calcA'!BF$106=1,1-FE34,0))*150+73+'calcA'!BF$5*100000+IF(AND($E34=1,KS34=0),50000,0))+IF($H34=1,INDEX('calcA'!$D$180:$EQ$219,$B34,55)*4000,0)-IF(AND('calcA'!BE$117=1,WC34&gt;0),2000,0)-IF(AND($U34=1,'calcA'!BF$117=1,FE34=0),2000,0))),1000000000))</f>
        <v/>
      </c>
      <c r="QI34">
        <f>IF($B34=0,1000000000,IF(INDEX('calcA'!$D$60:$EQ$99,$B34,56)*IF($W34=1,FE34+ABT34,FE34)=1,IF(AND($E34=2,IF($W34=1,AHI34,KT34)=0),1000000000,IF($V34=1,INDEX('calcA'!$D$130:$EQ$169,$B34,56)+IF(AND($E34=1,KT34=0),25,0),IF($F34&gt;0,INDEX('calcA'!BG$110:BG$114,$F34+1)+IF(AND($E34=1,KT34=0),1000,0),MIN(TW34,20)*400+(IF('calcA'!BF$106=1,1-FD34,0)+IF('calcA'!BG$106=1,1-FF34,0))*150+83+'calcA'!BG$5*100000+IF(AND($E34=1,KT34=0),50000,0))+IF($H34=1,INDEX('calcA'!$D$180:$EQ$219,$B34,56)*4000,0)-IF(AND('calcA'!BF$117=1,WD34&gt;0),2000,0)-IF(AND($U34=1,'calcA'!BG$117=1,FF34=0),2000,0))),1000000000))</f>
        <v/>
      </c>
      <c r="QJ34">
        <f>IF($B34=0,1000000000,IF(INDEX('calcA'!$D$60:$EQ$99,$B34,57)*IF($W34=1,FF34+ABU34,FF34)=1,IF(AND($E34=2,IF($W34=1,AHJ34,KU34)=0),1000000000,IF($V34=1,INDEX('calcA'!$D$130:$EQ$169,$B34,57)+IF(AND($E34=1,KU34=0),25,0),IF($F34&gt;0,INDEX('calcA'!BH$110:BH$114,$F34+1)+IF(AND($E34=1,KU34=0),1000,0),MIN(TW34,20)*400+(IF('calcA'!BG$106=1,1-FE34,0)+IF('calcA'!BH$106=1,1-FG34,0))*150+93+'calcA'!BH$5*100000+IF(AND($E34=1,KU34=0),50000,0))+IF($H34=1,INDEX('calcA'!$D$180:$EQ$219,$B34,57)*4000,0)-IF(AND('calcA'!BG$117=1,WE34&gt;0),2000,0)-IF(AND($U34=1,'calcA'!BH$117=1,FG34=0),2000,0))),1000000000))</f>
        <v/>
      </c>
      <c r="QK34">
        <f>IF($B34=0,1000000000,IF(INDEX('calcA'!$D$60:$EQ$99,$B34,58)*IF($W34=1,FG34+ABV34,FG34)=1,IF(AND($E34=2,IF($W34=1,AHK34,KV34)=0),1000000000,IF($V34=1,INDEX('calcA'!$D$130:$EQ$169,$B34,58)+IF(AND($E34=1,KV34=0),25,0),IF($F34&gt;0,INDEX('calcA'!BI$110:BI$114,$F34+1)+IF(AND($E34=1,KV34=0),1000,0),MIN(TW34,20)*400+(IF('calcA'!BH$106=1,1-FF34,0)+IF('calcA'!BI$106=1,1-FH34,0))*150+103+'calcA'!BI$5*100000+IF(AND($E34=1,KV34=0),50000,0))+IF($H34=1,INDEX('calcA'!$D$180:$EQ$219,$B34,58)*4000,0)-IF(AND('calcA'!BH$117=1,WF34&gt;0),2000,0)-IF(AND($U34=1,'calcA'!BI$117=1,FH34=0),2000,0))),1000000000))</f>
        <v/>
      </c>
      <c r="QL34">
        <f>IF($B34=0,1000000000,IF(INDEX('calcA'!$D$60:$EQ$99,$B34,59)*IF($W34=1,FH34+ABW34,FH34)=1,IF(AND($E34=2,IF($W34=1,AHL34,KW34)=0),1000000000,IF($V34=1,INDEX('calcA'!$D$130:$EQ$169,$B34,59)+IF(AND($E34=1,KW34=0),25,0),IF($F34&gt;0,INDEX('calcA'!BJ$110:BJ$114,$F34+1)+IF(AND($E34=1,KW34=0),1000,0),MIN(TW34,20)*400+(IF('calcA'!BI$106=1,1-FG34,0)+IF('calcA'!BJ$106=1,1-FI34,0))*150+113+'calcA'!BJ$5*100000+IF(AND($E34=1,KW34=0),50000,0))+IF($H34=1,INDEX('calcA'!$D$180:$EQ$219,$B34,59)*4000,0)-IF(AND('calcA'!BI$117=1,WG34&gt;0),2000,0)-IF(AND($U34=1,'calcA'!BJ$117=1,FI34=0),2000,0))),1000000000))</f>
        <v/>
      </c>
      <c r="QM34">
        <f>IF($B34=0,1000000000,IF(INDEX('calcA'!$D$60:$EQ$99,$B34,60)*IF($W34=1,FI34+ABX34,FI34)=1,IF(AND($E34=2,IF($W34=1,AHM34,KX34)=0),1000000000,IF($V34=1,INDEX('calcA'!$D$130:$EQ$169,$B34,60)+IF(AND($E34=1,KX34=0),25,0),IF($F34&gt;0,INDEX('calcA'!BK$110:BK$114,$F34+1)+IF(AND($E34=1,KX34=0),1000,0),MIN(TW34,20)*400+(IF('calcA'!BJ$106=1,1-FH34,0)+IF('calcA'!BK$106=1,1-FJ34,0))*150+123+'calcA'!BK$5*100000+IF(AND($E34=1,KX34=0),50000,0))+IF($H34=1,INDEX('calcA'!$D$180:$EQ$219,$B34,60)*4000,0)-IF(AND('calcA'!BJ$117=1,WH34&gt;0),2000,0)-IF(AND($U34=1,'calcA'!BK$117=1,FJ34=0),2000,0))),1000000000))</f>
        <v/>
      </c>
      <c r="QN34">
        <f>IF($B34=0,1000000000,IF(INDEX('calcA'!$D$60:$EQ$99,$B34,61)*IF($W34=1,FJ34+ABY34,FJ34)=1,IF(AND($E34=2,IF($W34=1,AHN34,KY34)=0),1000000000,IF($V34=1,INDEX('calcA'!$D$130:$EQ$169,$B34,61)+IF(AND($E34=1,KY34=0),25,0),IF($F34&gt;0,INDEX('calcA'!BL$110:BL$114,$F34+1)+IF(AND($E34=1,KY34=0),1000,0),MIN(TW34,20)*400+(IF('calcA'!BK$106=1,1-FI34,0)+IF('calcA'!BL$106=1,1-FK34,0))*150+133+'calcA'!BL$5*100000+IF(AND($E34=1,KY34=0),50000,0))+IF($H34=1,INDEX('calcA'!$D$180:$EQ$219,$B34,61)*4000,0)-IF(AND('calcA'!BK$117=1,WI34&gt;0),2000,0)-IF(AND($U34=1,'calcA'!BL$117=1,FK34=0),2000,0))),1000000000))</f>
        <v/>
      </c>
      <c r="QO34">
        <f>IF($B34=0,1000000000,IF(INDEX('calcA'!$D$60:$EQ$99,$B34,62)*IF($W34=1,FK34+ABZ34,FK34)=1,IF(AND($E34=2,IF($W34=1,AHO34,KZ34)=0),1000000000,IF($V34=1,INDEX('calcA'!$D$130:$EQ$169,$B34,62)+IF(AND($E34=1,KZ34=0),25,0),IF($F34&gt;0,INDEX('calcA'!BM$110:BM$114,$F34+1)+IF(AND($E34=1,KZ34=0),1000,0),MIN(TW34,20)*400+(IF('calcA'!BL$106=1,1-FJ34,0)+IF('calcA'!BM$106=1,1-FL34,0))*150+143+'calcA'!BM$5*100000+IF(AND($E34=1,KZ34=0),50000,0))+IF($H34=1,INDEX('calcA'!$D$180:$EQ$219,$B34,62)*4000,0)-IF(AND('calcA'!BL$117=1,WJ34&gt;0),2000,0)-IF(AND($U34=1,'calcA'!BM$117=1,FL34=0),2000,0))),1000000000))</f>
        <v/>
      </c>
      <c r="QP34">
        <f>IF($B34=0,1000000000,IF(INDEX('calcA'!$D$60:$EQ$99,$B34,63)*IF($W34=1,FL34+ACA34,FL34)=1,IF(AND($E34=2,IF($W34=1,AHP34,LA34)=0),1000000000,IF($V34=1,INDEX('calcA'!$D$130:$EQ$169,$B34,63)+IF(AND($E34=1,LA34=0),25,0),IF($F34&gt;0,INDEX('calcA'!BN$110:BN$114,$F34+1)+IF(AND($E34=1,LA34=0),1000,0),MIN(TW34,20)*400+(IF('calcA'!BM$106=1,1-FK34,0)+IF('calcA'!BN$106=1,1-FM34,0))*150+153+'calcA'!BN$5*100000+IF(AND($E34=1,LA34=0),50000,0))+IF($H34=1,INDEX('calcA'!$D$180:$EQ$219,$B34,63)*4000,0)-IF(AND('calcA'!BM$117=1,WK34&gt;0),2000,0)-IF(AND($U34=1,'calcA'!BN$117=1,FM34=0),2000,0))),1000000000))</f>
        <v/>
      </c>
      <c r="QQ34">
        <f>IF($B34=0,1000000000,IF(INDEX('calcA'!$D$60:$EQ$99,$B34,64)*IF($W34=1,FM34+ACB34,FM34)=1,IF(AND($E34=2,IF($W34=1,AHQ34,LB34)=0),1000000000,IF($V34=1,INDEX('calcA'!$D$130:$EQ$169,$B34,64)+IF(AND($E34=1,LB34=0),25,0),IF($F34&gt;0,INDEX('calcA'!BO$110:BO$114,$F34+1)+IF(AND($E34=1,LB34=0),1000,0),MIN(TW34,20)*400+(IF('calcA'!BN$106=1,1-FL34,0)+IF('calcA'!BO$106=1,1-FN34,0))*150+163+'calcA'!BO$5*100000+IF(AND($E34=1,LB34=0),50000,0))+IF($H34=1,INDEX('calcA'!$D$180:$EQ$219,$B34,64)*4000,0)-IF(AND('calcA'!BN$117=1,WL34&gt;0),2000,0)-IF(AND($U34=1,'calcA'!BO$117=1,FN34=0),2000,0))),1000000000))</f>
        <v/>
      </c>
      <c r="QR34">
        <f>IF($B34=0,1000000000,IF(INDEX('calcA'!$D$60:$EQ$99,$B34,65)*IF($W34=1,FN34+ACC34,FN34)=1,IF(AND($E34=2,IF($W34=1,AHR34,LC34)=0),1000000000,IF($V34=1,INDEX('calcA'!$D$130:$EQ$169,$B34,65)+IF(AND($E34=1,LC34=0),25,0),IF($F34&gt;0,INDEX('calcA'!BP$110:BP$114,$F34+1)+IF(AND($E34=1,LC34=0),1000,0),MIN(TW34,20)*400+(IF('calcA'!BO$106=1,1-FM34,0)+IF('calcA'!BP$106=1,1-FO34,0))*150+173+'calcA'!BP$5*100000+IF(AND($E34=1,LC34=0),50000,0))+IF($H34=1,INDEX('calcA'!$D$180:$EQ$219,$B34,65)*4000,0)-IF(AND('calcA'!BO$117=1,WM34&gt;0),2000,0)-IF(AND($U34=1,'calcA'!BP$117=1,FO34=0),2000,0))),1000000000))</f>
        <v/>
      </c>
      <c r="QS34">
        <f>IF($B34=0,1000000000,IF(INDEX('calcA'!$D$60:$EQ$99,$B34,66)*IF($W34=1,FO34+ACD34,FO34)=1,IF(AND($E34=2,IF($W34=1,AHS34,LD34)=0),1000000000,IF($V34=1,INDEX('calcA'!$D$130:$EQ$169,$B34,66)+IF(AND($E34=1,LD34=0),25,0),IF($F34&gt;0,INDEX('calcA'!BQ$110:BQ$114,$F34+1)+IF(AND($E34=1,LD34=0),1000,0),MIN(TW34,20)*400+(IF('calcA'!BP$106=1,1-FN34,0)+IF('calcA'!BQ$106=1,1-FP34,0))*150+183+'calcA'!BQ$5*100000+IF(AND($E34=1,LD34=0),50000,0))+IF($H34=1,INDEX('calcA'!$D$180:$EQ$219,$B34,66)*4000,0)-IF(AND('calcA'!BP$117=1,WN34&gt;0),2000,0)-IF(AND($U34=1,'calcA'!BQ$117=1,FP34=0),2000,0))),1000000000))</f>
        <v/>
      </c>
      <c r="QT34">
        <f>IF($B34=0,1000000000,IF(INDEX('calcA'!$D$60:$EQ$99,$B34,67)*IF($W34=1,FP34+ACE34,FP34)=1,IF(AND($E34=2,IF($W34=1,AHT34,LE34)=0),1000000000,IF($V34=1,INDEX('calcA'!$D$130:$EQ$169,$B34,67)+IF(AND($E34=1,LE34=0),25,0),IF($F34&gt;0,INDEX('calcA'!BR$110:BR$114,$F34+1)+IF(AND($E34=1,LE34=0),1000,0),MIN(TW34,20)*400+(IF('calcA'!BQ$106=1,1-FO34,0)+IF('calcA'!BR$106=1,1-FQ34,0))*150+193+'calcA'!BR$5*100000+IF(AND($E34=1,LE34=0),50000,0))+IF($H34=1,INDEX('calcA'!$D$180:$EQ$219,$B34,67)*4000,0)-IF(AND('calcA'!BQ$117=1,WO34&gt;0),2000,0)-IF(AND($U34=1,'calcA'!BR$117=1,FQ34=0),2000,0))),1000000000))</f>
        <v/>
      </c>
      <c r="QU34">
        <f>IF($B34=0,1000000000,IF(INDEX('calcA'!$D$60:$EQ$99,$B34,68)*IF($W34=1,FQ34+ACF34,FQ34)=1,IF(AND($E34=2,IF($W34=1,AHU34,LF34)=0),1000000000,IF($V34=1,INDEX('calcA'!$D$130:$EQ$169,$B34,68)+IF(AND($E34=1,LF34=0),25,0),IF($F34&gt;0,INDEX('calcA'!BS$110:BS$114,$F34+1)+IF(AND($E34=1,LF34=0),1000,0),MIN(TW34,20)*400+(IF('calcA'!BR$106=1,1-FP34,0)+IF('calcA'!BS$106=1,1-FR34,0))*150+203+'calcA'!BS$5*100000+IF(AND($E34=1,LF34=0),50000,0))+IF($H34=1,INDEX('calcA'!$D$180:$EQ$219,$B34,68)*4000,0)-IF(AND('calcA'!BR$117=1,WP34&gt;0),2000,0)-IF(AND($U34=1,'calcA'!BS$117=1,FR34=0),2000,0))),1000000000))</f>
        <v/>
      </c>
      <c r="QV34">
        <f>IF($B34=0,1000000000,IF(INDEX('calcA'!$D$60:$EQ$99,$B34,69)*IF($W34=1,FR34+ACG34,FR34)=1,IF(AND($E34=2,IF($W34=1,AHV34,LG34)=0),1000000000,IF($V34=1,INDEX('calcA'!$D$130:$EQ$169,$B34,69)+IF(AND($E34=1,LG34=0),25,0),IF($F34&gt;0,INDEX('calcA'!BT$110:BT$114,$F34+1)+IF(AND($E34=1,LG34=0),1000,0),MIN(TW34,20)*400+(IF('calcA'!BS$106=1,1-FQ34,0)+IF('calcA'!BT$106=1,1-FS34,0))*150+213+'calcA'!BT$5*100000+IF(AND($E34=1,LG34=0),50000,0))+IF($H34=1,INDEX('calcA'!$D$180:$EQ$219,$B34,69)*4000,0)-IF(AND('calcA'!BS$117=1,WQ34&gt;0),2000,0)-IF(AND($U34=1,'calcA'!BT$117=1,FS34=0),2000,0))),1000000000))</f>
        <v/>
      </c>
      <c r="QW34">
        <f>IF($B34=0,1000000000,IF(INDEX('calcA'!$D$60:$EQ$99,$B34,70)*IF($W34=1,FS34+ACH34,FS34)=1,IF(AND($E34=2,IF($W34=1,AHW34,LH34)=0),1000000000,IF($V34=1,INDEX('calcA'!$D$130:$EQ$169,$B34,70)+IF(AND($E34=1,LH34=0),25,0),IF($F34&gt;0,INDEX('calcA'!BU$110:BU$114,$F34+1)+IF(AND($E34=1,LH34=0),1000,0),MIN(TW34,20)*400+(IF('calcA'!BT$106=1,1-FR34,0)+IF('calcA'!BU$106=1,1-FT34,0))*150+223+'calcA'!BU$5*100000+IF(AND($E34=1,LH34=0),50000,0))+IF($H34=1,INDEX('calcA'!$D$180:$EQ$219,$B34,70)*4000,0)-IF(AND('calcA'!BT$117=1,WR34&gt;0),2000,0)-IF(AND($U34=1,'calcA'!BU$117=1,FT34=0),2000,0))),1000000000))</f>
        <v/>
      </c>
      <c r="QX34">
        <f>IF($B34=0,1000000000,IF(INDEX('calcA'!$D$60:$EQ$99,$B34,71)*IF($W34=1,FT34+ACI34,FT34)=1,IF(AND($E34=2,IF($W34=1,AHX34,LI34)=0),1000000000,IF($V34=1,INDEX('calcA'!$D$130:$EQ$169,$B34,71)+IF(AND($E34=1,LI34=0),25,0),IF($F34&gt;0,INDEX('calcA'!BV$110:BV$114,$F34+1)+IF(AND($E34=1,LI34=0),1000,0),MIN(TW34,20)*400+(IF('calcA'!BU$106=1,1-FS34,0)+IF('calcA'!BV$106=1,1-FU34,0))*150+233+'calcA'!BV$5*100000+IF(AND($E34=1,LI34=0),50000,0))+IF($H34=1,INDEX('calcA'!$D$180:$EQ$219,$B34,71)*4000,0)-IF(AND('calcA'!BU$117=1,WS34&gt;0),2000,0)-IF(AND($U34=1,'calcA'!BV$117=1,FU34=0),2000,0))),1000000000))</f>
        <v/>
      </c>
      <c r="QY34">
        <f>IF($B34=0,1000000000,IF(INDEX('calcA'!$D$60:$EQ$99,$B34,72)*IF($W34=1,FU34+ACJ34,FU34)=1,IF(AND($E34=2,IF($W34=1,AHY34,LJ34)=0),1000000000,IF($V34=1,INDEX('calcA'!$D$130:$EQ$169,$B34,72)+IF(AND($E34=1,LJ34=0),25,0),IF($F34&gt;0,INDEX('calcA'!BW$110:BW$114,$F34+1)+IF(AND($E34=1,LJ34=0),1000,0),MIN(TW34,20)*400+(IF('calcA'!BV$106=1,1-FT34,0))*150+243+'calcA'!BW$5*100000+IF(AND($E34=1,LJ34=0),50000,0))+IF($H34=1,INDEX('calcA'!$D$180:$EQ$219,$B34,72)*4000,0)-IF(AND('calcA'!BV$117=1,WT34&gt;0),2000,0))),1000000000))</f>
        <v/>
      </c>
      <c r="QZ34">
        <f>IF($B34=0,1000000000,IF(INDEX('calcA'!$D$60:$EQ$99,$B34,73)*IF($W34=1,FV34+ACK34,FV34)=1,IF(AND($E34=2,IF($W34=1,AHZ34,LK34)=0),1000000000,IF($V34=1,INDEX('calcA'!$D$130:$EQ$169,$B34,73)+IF(AND($E34=1,LK34=0),25,0),IF($F34&gt;0,INDEX('calcA'!BX$110:BX$114,$F34+1)+IF(AND($E34=1,LK34=0),1000,0),MIN(TX34,20)*400+(IF('calcA'!BX$106=1,1-FW34,0))*150+14+'calcA'!BX$5*100000+IF(AND($E34=1,LK34=0),50000,0))+IF($H34=1,INDEX('calcA'!$D$180:$EQ$219,$B34,73)*4000,0)-IF(AND($U34=1,'calcA'!BX$117=1,FW34=0),2000,0))),1000000000))</f>
        <v/>
      </c>
      <c r="RA34">
        <f>IF($B34=0,1000000000,IF(INDEX('calcA'!$D$60:$EQ$99,$B34,74)*IF($W34=1,FW34+ACL34,FW34)=1,IF(AND($E34=2,IF($W34=1,AIA34,LL34)=0),1000000000,IF($V34=1,INDEX('calcA'!$D$130:$EQ$169,$B34,74)+IF(AND($E34=1,LL34=0),25,0),IF($F34&gt;0,INDEX('calcA'!BY$110:BY$114,$F34+1)+IF(AND($E34=1,LL34=0),1000,0),MIN(TX34,20)*400+(IF('calcA'!BX$106=1,1-FV34,0)+IF('calcA'!BY$106=1,1-FX34,0))*150+24+'calcA'!BY$5*100000+IF(AND($E34=1,LL34=0),50000,0))+IF($H34=1,INDEX('calcA'!$D$180:$EQ$219,$B34,74)*4000,0)-IF(AND('calcA'!BX$117=1,WV34&gt;0),2000,0)-IF(AND($U34=1,'calcA'!BY$117=1,FX34=0),2000,0))),1000000000))</f>
        <v/>
      </c>
      <c r="RB34">
        <f>IF($B34=0,1000000000,IF(INDEX('calcA'!$D$60:$EQ$99,$B34,75)*IF($W34=1,FX34+ACM34,FX34)=1,IF(AND($E34=2,IF($W34=1,AIB34,LM34)=0),1000000000,IF($V34=1,INDEX('calcA'!$D$130:$EQ$169,$B34,75)+IF(AND($E34=1,LM34=0),25,0),IF($F34&gt;0,INDEX('calcA'!BZ$110:BZ$114,$F34+1)+IF(AND($E34=1,LM34=0),1000,0),MIN(TX34,20)*400+(IF('calcA'!BY$106=1,1-FW34,0)+IF('calcA'!BZ$106=1,1-FY34,0))*150+34+'calcA'!BZ$5*100000+IF(AND($E34=1,LM34=0),50000,0))+IF($H34=1,INDEX('calcA'!$D$180:$EQ$219,$B34,75)*4000,0)-IF(AND('calcA'!BY$117=1,WW34&gt;0),2000,0)-IF(AND($U34=1,'calcA'!BZ$117=1,FY34=0),2000,0))),1000000000))</f>
        <v/>
      </c>
      <c r="RC34">
        <f>IF($B34=0,1000000000,IF(INDEX('calcA'!$D$60:$EQ$99,$B34,76)*IF($W34=1,FY34+ACN34,FY34)=1,IF(AND($E34=2,IF($W34=1,AIC34,LN34)=0),1000000000,IF($V34=1,INDEX('calcA'!$D$130:$EQ$169,$B34,76)+IF(AND($E34=1,LN34=0),25,0),IF($F34&gt;0,INDEX('calcA'!CA$110:CA$114,$F34+1)+IF(AND($E34=1,LN34=0),1000,0),MIN(TX34,20)*400+(IF('calcA'!BZ$106=1,1-FX34,0)+IF('calcA'!CA$106=1,1-FZ34,0))*150+44+'calcA'!CA$5*100000+IF(AND($E34=1,LN34=0),50000,0))+IF($H34=1,INDEX('calcA'!$D$180:$EQ$219,$B34,76)*4000,0)-IF(AND('calcA'!BZ$117=1,WX34&gt;0),2000,0)-IF(AND($U34=1,'calcA'!CA$117=1,FZ34=0),2000,0))),1000000000))</f>
        <v/>
      </c>
      <c r="RD34">
        <f>IF($B34=0,1000000000,IF(INDEX('calcA'!$D$60:$EQ$99,$B34,77)*IF($W34=1,FZ34+ACO34,FZ34)=1,IF(AND($E34=2,IF($W34=1,AID34,LO34)=0),1000000000,IF($V34=1,INDEX('calcA'!$D$130:$EQ$169,$B34,77)+IF(AND($E34=1,LO34=0),25,0),IF($F34&gt;0,INDEX('calcA'!CB$110:CB$114,$F34+1)+IF(AND($E34=1,LO34=0),1000,0),MIN(TX34,20)*400+(IF('calcA'!CA$106=1,1-FY34,0)+IF('calcA'!CB$106=1,1-GA34,0))*150+54+'calcA'!CB$5*100000+IF(AND($E34=1,LO34=0),50000,0))+IF($H34=1,INDEX('calcA'!$D$180:$EQ$219,$B34,77)*4000,0)-IF(AND('calcA'!CA$117=1,WY34&gt;0),2000,0)-IF(AND($U34=1,'calcA'!CB$117=1,GA34=0),2000,0))),1000000000))</f>
        <v/>
      </c>
      <c r="RE34">
        <f>IF($B34=0,1000000000,IF(INDEX('calcA'!$D$60:$EQ$99,$B34,78)*IF($W34=1,GA34+ACP34,GA34)=1,IF(AND($E34=2,IF($W34=1,AIE34,LP34)=0),1000000000,IF($V34=1,INDEX('calcA'!$D$130:$EQ$169,$B34,78)+IF(AND($E34=1,LP34=0),25,0),IF($F34&gt;0,INDEX('calcA'!CC$110:CC$114,$F34+1)+IF(AND($E34=1,LP34=0),1000,0),MIN(TX34,20)*400+(IF('calcA'!CB$106=1,1-FZ34,0)+IF('calcA'!CC$106=1,1-GB34,0))*150+64+'calcA'!CC$5*100000+IF(AND($E34=1,LP34=0),50000,0))+IF($H34=1,INDEX('calcA'!$D$180:$EQ$219,$B34,78)*4000,0)-IF(AND('calcA'!CB$117=1,WZ34&gt;0),2000,0)-IF(AND($U34=1,'calcA'!CC$117=1,GB34=0),2000,0))),1000000000))</f>
        <v/>
      </c>
      <c r="RF34">
        <f>IF($B34=0,1000000000,IF(INDEX('calcA'!$D$60:$EQ$99,$B34,79)*IF($W34=1,GB34+ACQ34,GB34)=1,IF(AND($E34=2,IF($W34=1,AIF34,LQ34)=0),1000000000,IF($V34=1,INDEX('calcA'!$D$130:$EQ$169,$B34,79)+IF(AND($E34=1,LQ34=0),25,0),IF($F34&gt;0,INDEX('calcA'!CD$110:CD$114,$F34+1)+IF(AND($E34=1,LQ34=0),1000,0),MIN(TX34,20)*400+(IF('calcA'!CC$106=1,1-GA34,0)+IF('calcA'!CD$106=1,1-GC34,0))*150+74+'calcA'!CD$5*100000+IF(AND($E34=1,LQ34=0),50000,0))+IF($H34=1,INDEX('calcA'!$D$180:$EQ$219,$B34,79)*4000,0)-IF(AND('calcA'!CC$117=1,XA34&gt;0),2000,0)-IF(AND($U34=1,'calcA'!CD$117=1,GC34=0),2000,0))),1000000000))</f>
        <v/>
      </c>
      <c r="RG34">
        <f>IF($B34=0,1000000000,IF(INDEX('calcA'!$D$60:$EQ$99,$B34,80)*IF($W34=1,GC34+ACR34,GC34)=1,IF(AND($E34=2,IF($W34=1,AIG34,LR34)=0),1000000000,IF($V34=1,INDEX('calcA'!$D$130:$EQ$169,$B34,80)+IF(AND($E34=1,LR34=0),25,0),IF($F34&gt;0,INDEX('calcA'!CE$110:CE$114,$F34+1)+IF(AND($E34=1,LR34=0),1000,0),MIN(TX34,20)*400+(IF('calcA'!CD$106=1,1-GB34,0)+IF('calcA'!CE$106=1,1-GD34,0))*150+84+'calcA'!CE$5*100000+IF(AND($E34=1,LR34=0),50000,0))+IF($H34=1,INDEX('calcA'!$D$180:$EQ$219,$B34,80)*4000,0)-IF(AND('calcA'!CD$117=1,XB34&gt;0),2000,0)-IF(AND($U34=1,'calcA'!CE$117=1,GD34=0),2000,0))),1000000000))</f>
        <v/>
      </c>
      <c r="RH34">
        <f>IF($B34=0,1000000000,IF(INDEX('calcA'!$D$60:$EQ$99,$B34,81)*IF($W34=1,GD34+ACS34,GD34)=1,IF(AND($E34=2,IF($W34=1,AIH34,LS34)=0),1000000000,IF($V34=1,INDEX('calcA'!$D$130:$EQ$169,$B34,81)+IF(AND($E34=1,LS34=0),25,0),IF($F34&gt;0,INDEX('calcA'!CF$110:CF$114,$F34+1)+IF(AND($E34=1,LS34=0),1000,0),MIN(TX34,20)*400+(IF('calcA'!CE$106=1,1-GC34,0)+IF('calcA'!CF$106=1,1-GE34,0))*150+94+'calcA'!CF$5*100000+IF(AND($E34=1,LS34=0),50000,0))+IF($H34=1,INDEX('calcA'!$D$180:$EQ$219,$B34,81)*4000,0)-IF(AND('calcA'!CE$117=1,XC34&gt;0),2000,0)-IF(AND($U34=1,'calcA'!CF$117=1,GE34=0),2000,0))),1000000000))</f>
        <v/>
      </c>
      <c r="RI34">
        <f>IF($B34=0,1000000000,IF(INDEX('calcA'!$D$60:$EQ$99,$B34,82)*IF($W34=1,GE34+ACT34,GE34)=1,IF(AND($E34=2,IF($W34=1,AII34,LT34)=0),1000000000,IF($V34=1,INDEX('calcA'!$D$130:$EQ$169,$B34,82)+IF(AND($E34=1,LT34=0),25,0),IF($F34&gt;0,INDEX('calcA'!CG$110:CG$114,$F34+1)+IF(AND($E34=1,LT34=0),1000,0),MIN(TX34,20)*400+(IF('calcA'!CF$106=1,1-GD34,0)+IF('calcA'!CG$106=1,1-GF34,0))*150+104+'calcA'!CG$5*100000+IF(AND($E34=1,LT34=0),50000,0))+IF($H34=1,INDEX('calcA'!$D$180:$EQ$219,$B34,82)*4000,0)-IF(AND('calcA'!CF$117=1,XD34&gt;0),2000,0)-IF(AND($U34=1,'calcA'!CG$117=1,GF34=0),2000,0))),1000000000))</f>
        <v/>
      </c>
      <c r="RJ34">
        <f>IF($B34=0,1000000000,IF(INDEX('calcA'!$D$60:$EQ$99,$B34,83)*IF($W34=1,GF34+ACU34,GF34)=1,IF(AND($E34=2,IF($W34=1,AIJ34,LU34)=0),1000000000,IF($V34=1,INDEX('calcA'!$D$130:$EQ$169,$B34,83)+IF(AND($E34=1,LU34=0),25,0),IF($F34&gt;0,INDEX('calcA'!CH$110:CH$114,$F34+1)+IF(AND($E34=1,LU34=0),1000,0),MIN(TX34,20)*400+(IF('calcA'!CG$106=1,1-GE34,0)+IF('calcA'!CH$106=1,1-GG34,0))*150+114+'calcA'!CH$5*100000+IF(AND($E34=1,LU34=0),50000,0))+IF($H34=1,INDEX('calcA'!$D$180:$EQ$219,$B34,83)*4000,0)-IF(AND('calcA'!CG$117=1,XE34&gt;0),2000,0)-IF(AND($U34=1,'calcA'!CH$117=1,GG34=0),2000,0))),1000000000))</f>
        <v/>
      </c>
      <c r="RK34">
        <f>IF($B34=0,1000000000,IF(INDEX('calcA'!$D$60:$EQ$99,$B34,84)*IF($W34=1,GG34+ACV34,GG34)=1,IF(AND($E34=2,IF($W34=1,AIK34,LV34)=0),1000000000,IF($V34=1,INDEX('calcA'!$D$130:$EQ$169,$B34,84)+IF(AND($E34=1,LV34=0),25,0),IF($F34&gt;0,INDEX('calcA'!CI$110:CI$114,$F34+1)+IF(AND($E34=1,LV34=0),1000,0),MIN(TX34,20)*400+(IF('calcA'!CH$106=1,1-GF34,0)+IF('calcA'!CI$106=1,1-GH34,0))*150+124+'calcA'!CI$5*100000+IF(AND($E34=1,LV34=0),50000,0))+IF($H34=1,INDEX('calcA'!$D$180:$EQ$219,$B34,84)*4000,0)-IF(AND('calcA'!CH$117=1,XF34&gt;0),2000,0)-IF(AND($U34=1,'calcA'!CI$117=1,GH34=0),2000,0))),1000000000))</f>
        <v/>
      </c>
      <c r="RL34">
        <f>IF($B34=0,1000000000,IF(INDEX('calcA'!$D$60:$EQ$99,$B34,85)*IF($W34=1,GH34+ACW34,GH34)=1,IF(AND($E34=2,IF($W34=1,AIL34,LW34)=0),1000000000,IF($V34=1,INDEX('calcA'!$D$130:$EQ$169,$B34,85)+IF(AND($E34=1,LW34=0),25,0),IF($F34&gt;0,INDEX('calcA'!CJ$110:CJ$114,$F34+1)+IF(AND($E34=1,LW34=0),1000,0),MIN(TX34,20)*400+(IF('calcA'!CI$106=1,1-GG34,0)+IF('calcA'!CJ$106=1,1-GI34,0))*150+134+'calcA'!CJ$5*100000+IF(AND($E34=1,LW34=0),50000,0))+IF($H34=1,INDEX('calcA'!$D$180:$EQ$219,$B34,85)*4000,0)-IF(AND('calcA'!CI$117=1,XG34&gt;0),2000,0)-IF(AND($U34=1,'calcA'!CJ$117=1,GI34=0),2000,0))),1000000000))</f>
        <v/>
      </c>
      <c r="RM34">
        <f>IF($B34=0,1000000000,IF(INDEX('calcA'!$D$60:$EQ$99,$B34,86)*IF($W34=1,GI34+ACX34,GI34)=1,IF(AND($E34=2,IF($W34=1,AIM34,LX34)=0),1000000000,IF($V34=1,INDEX('calcA'!$D$130:$EQ$169,$B34,86)+IF(AND($E34=1,LX34=0),25,0),IF($F34&gt;0,INDEX('calcA'!CK$110:CK$114,$F34+1)+IF(AND($E34=1,LX34=0),1000,0),MIN(TX34,20)*400+(IF('calcA'!CJ$106=1,1-GH34,0)+IF('calcA'!CK$106=1,1-GJ34,0))*150+144+'calcA'!CK$5*100000+IF(AND($E34=1,LX34=0),50000,0))+IF($H34=1,INDEX('calcA'!$D$180:$EQ$219,$B34,86)*4000,0)-IF(AND('calcA'!CJ$117=1,XH34&gt;0),2000,0)-IF(AND($U34=1,'calcA'!CK$117=1,GJ34=0),2000,0))),1000000000))</f>
        <v/>
      </c>
      <c r="RN34">
        <f>IF($B34=0,1000000000,IF(INDEX('calcA'!$D$60:$EQ$99,$B34,87)*IF($W34=1,GJ34+ACY34,GJ34)=1,IF(AND($E34=2,IF($W34=1,AIN34,LY34)=0),1000000000,IF($V34=1,INDEX('calcA'!$D$130:$EQ$169,$B34,87)+IF(AND($E34=1,LY34=0),25,0),IF($F34&gt;0,INDEX('calcA'!CL$110:CL$114,$F34+1)+IF(AND($E34=1,LY34=0),1000,0),MIN(TX34,20)*400+(IF('calcA'!CK$106=1,1-GI34,0)+IF('calcA'!CL$106=1,1-GK34,0))*150+154+'calcA'!CL$5*100000+IF(AND($E34=1,LY34=0),50000,0))+IF($H34=1,INDEX('calcA'!$D$180:$EQ$219,$B34,87)*4000,0)-IF(AND('calcA'!CK$117=1,XI34&gt;0),2000,0)-IF(AND($U34=1,'calcA'!CL$117=1,GK34=0),2000,0))),1000000000))</f>
        <v/>
      </c>
      <c r="RO34">
        <f>IF($B34=0,1000000000,IF(INDEX('calcA'!$D$60:$EQ$99,$B34,88)*IF($W34=1,GK34+ACZ34,GK34)=1,IF(AND($E34=2,IF($W34=1,AIO34,LZ34)=0),1000000000,IF($V34=1,INDEX('calcA'!$D$130:$EQ$169,$B34,88)+IF(AND($E34=1,LZ34=0),25,0),IF($F34&gt;0,INDEX('calcA'!CM$110:CM$114,$F34+1)+IF(AND($E34=1,LZ34=0),1000,0),MIN(TX34,20)*400+(IF('calcA'!CL$106=1,1-GJ34,0)+IF('calcA'!CM$106=1,1-GL34,0))*150+164+'calcA'!CM$5*100000+IF(AND($E34=1,LZ34=0),50000,0))+IF($H34=1,INDEX('calcA'!$D$180:$EQ$219,$B34,88)*4000,0)-IF(AND('calcA'!CL$117=1,XJ34&gt;0),2000,0)-IF(AND($U34=1,'calcA'!CM$117=1,GL34=0),2000,0))),1000000000))</f>
        <v/>
      </c>
      <c r="RP34">
        <f>IF($B34=0,1000000000,IF(INDEX('calcA'!$D$60:$EQ$99,$B34,89)*IF($W34=1,GL34+ADA34,GL34)=1,IF(AND($E34=2,IF($W34=1,AIP34,MA34)=0),1000000000,IF($V34=1,INDEX('calcA'!$D$130:$EQ$169,$B34,89)+IF(AND($E34=1,MA34=0),25,0),IF($F34&gt;0,INDEX('calcA'!CN$110:CN$114,$F34+1)+IF(AND($E34=1,MA34=0),1000,0),MIN(TX34,20)*400+(IF('calcA'!CM$106=1,1-GK34,0)+IF('calcA'!CN$106=1,1-GM34,0))*150+174+'calcA'!CN$5*100000+IF(AND($E34=1,MA34=0),50000,0))+IF($H34=1,INDEX('calcA'!$D$180:$EQ$219,$B34,89)*4000,0)-IF(AND('calcA'!CM$117=1,XK34&gt;0),2000,0)-IF(AND($U34=1,'calcA'!CN$117=1,GM34=0),2000,0))),1000000000))</f>
        <v/>
      </c>
      <c r="RQ34">
        <f>IF($B34=0,1000000000,IF(INDEX('calcA'!$D$60:$EQ$99,$B34,90)*IF($W34=1,GM34+ADB34,GM34)=1,IF(AND($E34=2,IF($W34=1,AIQ34,MB34)=0),1000000000,IF($V34=1,INDEX('calcA'!$D$130:$EQ$169,$B34,90)+IF(AND($E34=1,MB34=0),25,0),IF($F34&gt;0,INDEX('calcA'!CO$110:CO$114,$F34+1)+IF(AND($E34=1,MB34=0),1000,0),MIN(TX34,20)*400+(IF('calcA'!CN$106=1,1-GL34,0)+IF('calcA'!CO$106=1,1-GN34,0))*150+184+'calcA'!CO$5*100000+IF(AND($E34=1,MB34=0),50000,0))+IF($H34=1,INDEX('calcA'!$D$180:$EQ$219,$B34,90)*4000,0)-IF(AND('calcA'!CN$117=1,XL34&gt;0),2000,0)-IF(AND($U34=1,'calcA'!CO$117=1,GN34=0),2000,0))),1000000000))</f>
        <v/>
      </c>
      <c r="RR34">
        <f>IF($B34=0,1000000000,IF(INDEX('calcA'!$D$60:$EQ$99,$B34,91)*IF($W34=1,GN34+ADC34,GN34)=1,IF(AND($E34=2,IF($W34=1,AIR34,MC34)=0),1000000000,IF($V34=1,INDEX('calcA'!$D$130:$EQ$169,$B34,91)+IF(AND($E34=1,MC34=0),25,0),IF($F34&gt;0,INDEX('calcA'!CP$110:CP$114,$F34+1)+IF(AND($E34=1,MC34=0),1000,0),MIN(TX34,20)*400+(IF('calcA'!CO$106=1,1-GM34,0)+IF('calcA'!CP$106=1,1-GO34,0))*150+194+'calcA'!CP$5*100000+IF(AND($E34=1,MC34=0),50000,0))+IF($H34=1,INDEX('calcA'!$D$180:$EQ$219,$B34,91)*4000,0)-IF(AND('calcA'!CO$117=1,XM34&gt;0),2000,0)-IF(AND($U34=1,'calcA'!CP$117=1,GO34=0),2000,0))),1000000000))</f>
        <v/>
      </c>
      <c r="RS34">
        <f>IF($B34=0,1000000000,IF(INDEX('calcA'!$D$60:$EQ$99,$B34,92)*IF($W34=1,GO34+ADD34,GO34)=1,IF(AND($E34=2,IF($W34=1,AIS34,MD34)=0),1000000000,IF($V34=1,INDEX('calcA'!$D$130:$EQ$169,$B34,92)+IF(AND($E34=1,MD34=0),25,0),IF($F34&gt;0,INDEX('calcA'!CQ$110:CQ$114,$F34+1)+IF(AND($E34=1,MD34=0),1000,0),MIN(TX34,20)*400+(IF('calcA'!CP$106=1,1-GN34,0)+IF('calcA'!CQ$106=1,1-GP34,0))*150+204+'calcA'!CQ$5*100000+IF(AND($E34=1,MD34=0),50000,0))+IF($H34=1,INDEX('calcA'!$D$180:$EQ$219,$B34,92)*4000,0)-IF(AND('calcA'!CP$117=1,XN34&gt;0),2000,0)-IF(AND($U34=1,'calcA'!CQ$117=1,GP34=0),2000,0))),1000000000))</f>
        <v/>
      </c>
      <c r="RT34">
        <f>IF($B34=0,1000000000,IF(INDEX('calcA'!$D$60:$EQ$99,$B34,93)*IF($W34=1,GP34+ADE34,GP34)=1,IF(AND($E34=2,IF($W34=1,AIT34,ME34)=0),1000000000,IF($V34=1,INDEX('calcA'!$D$130:$EQ$169,$B34,93)+IF(AND($E34=1,ME34=0),25,0),IF($F34&gt;0,INDEX('calcA'!CR$110:CR$114,$F34+1)+IF(AND($E34=1,ME34=0),1000,0),MIN(TX34,20)*400+(IF('calcA'!CQ$106=1,1-GO34,0)+IF('calcA'!CR$106=1,1-GQ34,0))*150+214+'calcA'!CR$5*100000+IF(AND($E34=1,ME34=0),50000,0))+IF($H34=1,INDEX('calcA'!$D$180:$EQ$219,$B34,93)*4000,0)-IF(AND('calcA'!CQ$117=1,XO34&gt;0),2000,0)-IF(AND($U34=1,'calcA'!CR$117=1,GQ34=0),2000,0))),1000000000))</f>
        <v/>
      </c>
      <c r="RU34">
        <f>IF($B34=0,1000000000,IF(INDEX('calcA'!$D$60:$EQ$99,$B34,94)*IF($W34=1,GQ34+ADF34,GQ34)=1,IF(AND($E34=2,IF($W34=1,AIU34,MF34)=0),1000000000,IF($V34=1,INDEX('calcA'!$D$130:$EQ$169,$B34,94)+IF(AND($E34=1,MF34=0),25,0),IF($F34&gt;0,INDEX('calcA'!CS$110:CS$114,$F34+1)+IF(AND($E34=1,MF34=0),1000,0),MIN(TX34,20)*400+(IF('calcA'!CR$106=1,1-GP34,0)+IF('calcA'!CS$106=1,1-GR34,0))*150+224+'calcA'!CS$5*100000+IF(AND($E34=1,MF34=0),50000,0))+IF($H34=1,INDEX('calcA'!$D$180:$EQ$219,$B34,94)*4000,0)-IF(AND('calcA'!CR$117=1,XP34&gt;0),2000,0)-IF(AND($U34=1,'calcA'!CS$117=1,GR34=0),2000,0))),1000000000))</f>
        <v/>
      </c>
      <c r="RV34">
        <f>IF($B34=0,1000000000,IF(INDEX('calcA'!$D$60:$EQ$99,$B34,95)*IF($W34=1,GR34+ADG34,GR34)=1,IF(AND($E34=2,IF($W34=1,AIV34,MG34)=0),1000000000,IF($V34=1,INDEX('calcA'!$D$130:$EQ$169,$B34,95)+IF(AND($E34=1,MG34=0),25,0),IF($F34&gt;0,INDEX('calcA'!CT$110:CT$114,$F34+1)+IF(AND($E34=1,MG34=0),1000,0),MIN(TX34,20)*400+(IF('calcA'!CS$106=1,1-GQ34,0)+IF('calcA'!CT$106=1,1-GS34,0))*150+234+'calcA'!CT$5*100000+IF(AND($E34=1,MG34=0),50000,0))+IF($H34=1,INDEX('calcA'!$D$180:$EQ$219,$B34,95)*4000,0)-IF(AND('calcA'!CS$117=1,XQ34&gt;0),2000,0)-IF(AND($U34=1,'calcA'!CT$117=1,GS34=0),2000,0))),1000000000))</f>
        <v/>
      </c>
      <c r="RW34">
        <f>IF($B34=0,1000000000,IF(INDEX('calcA'!$D$60:$EQ$99,$B34,96)*IF($W34=1,GS34+ADH34,GS34)=1,IF(AND($E34=2,IF($W34=1,AIW34,MH34)=0),1000000000,IF($V34=1,INDEX('calcA'!$D$130:$EQ$169,$B34,96)+IF(AND($E34=1,MH34=0),25,0),IF($F34&gt;0,INDEX('calcA'!CU$110:CU$114,$F34+1)+IF(AND($E34=1,MH34=0),1000,0),MIN(TX34,20)*400+(IF('calcA'!CT$106=1,1-GR34,0))*150+244+'calcA'!CU$5*100000+IF(AND($E34=1,MH34=0),50000,0))+IF($H34=1,INDEX('calcA'!$D$180:$EQ$219,$B34,96)*4000,0)-IF(AND('calcA'!CT$117=1,XR34&gt;0),2000,0))),1000000000))</f>
        <v/>
      </c>
      <c r="RX34">
        <f>IF($B34=0,1000000000,IF(INDEX('calcA'!$D$60:$EQ$99,$B34,97)*IF($W34=1,GT34+ADI34,GT34)=1,IF(AND($E34=2,IF($W34=1,AIX34,MI34)=0),1000000000,IF($V34=1,INDEX('calcA'!$D$130:$EQ$169,$B34,97)+IF(AND($E34=1,MI34=0),25,0),IF($F34&gt;0,INDEX('calcA'!CV$110:CV$114,$F34+1)+IF(AND($E34=1,MI34=0),1000,0),MIN(TY34,20)*400+(IF('calcA'!CV$106=1,1-GU34,0))*150+15+'calcA'!CV$5*100000+IF(AND($E34=1,MI34=0),50000,0))+IF($H34=1,INDEX('calcA'!$D$180:$EQ$219,$B34,97)*4000,0)-IF(AND($U34=1,'calcA'!CV$117=1,GU34=0),2000,0))),1000000000))</f>
        <v/>
      </c>
      <c r="RY34">
        <f>IF($B34=0,1000000000,IF(INDEX('calcA'!$D$60:$EQ$99,$B34,98)*IF($W34=1,GU34+ADJ34,GU34)=1,IF(AND($E34=2,IF($W34=1,AIY34,MJ34)=0),1000000000,IF($V34=1,INDEX('calcA'!$D$130:$EQ$169,$B34,98)+IF(AND($E34=1,MJ34=0),25,0),IF($F34&gt;0,INDEX('calcA'!CW$110:CW$114,$F34+1)+IF(AND($E34=1,MJ34=0),1000,0),MIN(TY34,20)*400+(IF('calcA'!CV$106=1,1-GT34,0)+IF('calcA'!CW$106=1,1-GV34,0))*150+25+'calcA'!CW$5*100000+IF(AND($E34=1,MJ34=0),50000,0))+IF($H34=1,INDEX('calcA'!$D$180:$EQ$219,$B34,98)*4000,0)-IF(AND('calcA'!CV$117=1,XT34&gt;0),2000,0)-IF(AND($U34=1,'calcA'!CW$117=1,GV34=0),2000,0))),1000000000))</f>
        <v/>
      </c>
      <c r="RZ34">
        <f>IF($B34=0,1000000000,IF(INDEX('calcA'!$D$60:$EQ$99,$B34,99)*IF($W34=1,GV34+ADK34,GV34)=1,IF(AND($E34=2,IF($W34=1,AIZ34,MK34)=0),1000000000,IF($V34=1,INDEX('calcA'!$D$130:$EQ$169,$B34,99)+IF(AND($E34=1,MK34=0),25,0),IF($F34&gt;0,INDEX('calcA'!CX$110:CX$114,$F34+1)+IF(AND($E34=1,MK34=0),1000,0),MIN(TY34,20)*400+(IF('calcA'!CW$106=1,1-GU34,0)+IF('calcA'!CX$106=1,1-GW34,0))*150+35+'calcA'!CX$5*100000+IF(AND($E34=1,MK34=0),50000,0))+IF($H34=1,INDEX('calcA'!$D$180:$EQ$219,$B34,99)*4000,0)-IF(AND('calcA'!CW$117=1,XU34&gt;0),2000,0)-IF(AND($U34=1,'calcA'!CX$117=1,GW34=0),2000,0))),1000000000))</f>
        <v/>
      </c>
      <c r="SA34">
        <f>IF($B34=0,1000000000,IF(INDEX('calcA'!$D$60:$EQ$99,$B34,100)*IF($W34=1,GW34+ADL34,GW34)=1,IF(AND($E34=2,IF($W34=1,AJA34,ML34)=0),1000000000,IF($V34=1,INDEX('calcA'!$D$130:$EQ$169,$B34,100)+IF(AND($E34=1,ML34=0),25,0),IF($F34&gt;0,INDEX('calcA'!CY$110:CY$114,$F34+1)+IF(AND($E34=1,ML34=0),1000,0),MIN(TY34,20)*400+(IF('calcA'!CX$106=1,1-GV34,0)+IF('calcA'!CY$106=1,1-GX34,0))*150+45+'calcA'!CY$5*100000+IF(AND($E34=1,ML34=0),50000,0))+IF($H34=1,INDEX('calcA'!$D$180:$EQ$219,$B34,100)*4000,0)-IF(AND('calcA'!CX$117=1,XV34&gt;0),2000,0)-IF(AND($U34=1,'calcA'!CY$117=1,GX34=0),2000,0))),1000000000))</f>
        <v/>
      </c>
      <c r="SB34">
        <f>IF($B34=0,1000000000,IF(INDEX('calcA'!$D$60:$EQ$99,$B34,101)*IF($W34=1,GX34+ADM34,GX34)=1,IF(AND($E34=2,IF($W34=1,AJB34,MM34)=0),1000000000,IF($V34=1,INDEX('calcA'!$D$130:$EQ$169,$B34,101)+IF(AND($E34=1,MM34=0),25,0),IF($F34&gt;0,INDEX('calcA'!CZ$110:CZ$114,$F34+1)+IF(AND($E34=1,MM34=0),1000,0),MIN(TY34,20)*400+(IF('calcA'!CY$106=1,1-GW34,0)+IF('calcA'!CZ$106=1,1-GY34,0))*150+55+'calcA'!CZ$5*100000+IF(AND($E34=1,MM34=0),50000,0))+IF($H34=1,INDEX('calcA'!$D$180:$EQ$219,$B34,101)*4000,0)-IF(AND('calcA'!CY$117=1,XW34&gt;0),2000,0)-IF(AND($U34=1,'calcA'!CZ$117=1,GY34=0),2000,0))),1000000000))</f>
        <v/>
      </c>
      <c r="SC34">
        <f>IF($B34=0,1000000000,IF(INDEX('calcA'!$D$60:$EQ$99,$B34,102)*IF($W34=1,GY34+ADN34,GY34)=1,IF(AND($E34=2,IF($W34=1,AJC34,MN34)=0),1000000000,IF($V34=1,INDEX('calcA'!$D$130:$EQ$169,$B34,102)+IF(AND($E34=1,MN34=0),25,0),IF($F34&gt;0,INDEX('calcA'!DA$110:DA$114,$F34+1)+IF(AND($E34=1,MN34=0),1000,0),MIN(TY34,20)*400+(IF('calcA'!CZ$106=1,1-GX34,0)+IF('calcA'!DA$106=1,1-GZ34,0))*150+65+'calcA'!DA$5*100000+IF(AND($E34=1,MN34=0),50000,0))+IF($H34=1,INDEX('calcA'!$D$180:$EQ$219,$B34,102)*4000,0)-IF(AND('calcA'!CZ$117=1,XX34&gt;0),2000,0)-IF(AND($U34=1,'calcA'!DA$117=1,GZ34=0),2000,0))),1000000000))</f>
        <v/>
      </c>
      <c r="SD34">
        <f>IF($B34=0,1000000000,IF(INDEX('calcA'!$D$60:$EQ$99,$B34,103)*IF($W34=1,GZ34+ADO34,GZ34)=1,IF(AND($E34=2,IF($W34=1,AJD34,MO34)=0),1000000000,IF($V34=1,INDEX('calcA'!$D$130:$EQ$169,$B34,103)+IF(AND($E34=1,MO34=0),25,0),IF($F34&gt;0,INDEX('calcA'!DB$110:DB$114,$F34+1)+IF(AND($E34=1,MO34=0),1000,0),MIN(TY34,20)*400+(IF('calcA'!DA$106=1,1-GY34,0)+IF('calcA'!DB$106=1,1-HA34,0))*150+75+'calcA'!DB$5*100000+IF(AND($E34=1,MO34=0),50000,0))+IF($H34=1,INDEX('calcA'!$D$180:$EQ$219,$B34,103)*4000,0)-IF(AND('calcA'!DA$117=1,XY34&gt;0),2000,0)-IF(AND($U34=1,'calcA'!DB$117=1,HA34=0),2000,0))),1000000000))</f>
        <v/>
      </c>
      <c r="SE34">
        <f>IF($B34=0,1000000000,IF(INDEX('calcA'!$D$60:$EQ$99,$B34,104)*IF($W34=1,HA34+ADP34,HA34)=1,IF(AND($E34=2,IF($W34=1,AJE34,MP34)=0),1000000000,IF($V34=1,INDEX('calcA'!$D$130:$EQ$169,$B34,104)+IF(AND($E34=1,MP34=0),25,0),IF($F34&gt;0,INDEX('calcA'!DC$110:DC$114,$F34+1)+IF(AND($E34=1,MP34=0),1000,0),MIN(TY34,20)*400+(IF('calcA'!DB$106=1,1-GZ34,0)+IF('calcA'!DC$106=1,1-HB34,0))*150+85+'calcA'!DC$5*100000+IF(AND($E34=1,MP34=0),50000,0))+IF($H34=1,INDEX('calcA'!$D$180:$EQ$219,$B34,104)*4000,0)-IF(AND('calcA'!DB$117=1,XZ34&gt;0),2000,0)-IF(AND($U34=1,'calcA'!DC$117=1,HB34=0),2000,0))),1000000000))</f>
        <v/>
      </c>
      <c r="SF34">
        <f>IF($B34=0,1000000000,IF(INDEX('calcA'!$D$60:$EQ$99,$B34,105)*IF($W34=1,HB34+ADQ34,HB34)=1,IF(AND($E34=2,IF($W34=1,AJF34,MQ34)=0),1000000000,IF($V34=1,INDEX('calcA'!$D$130:$EQ$169,$B34,105)+IF(AND($E34=1,MQ34=0),25,0),IF($F34&gt;0,INDEX('calcA'!DD$110:DD$114,$F34+1)+IF(AND($E34=1,MQ34=0),1000,0),MIN(TY34,20)*400+(IF('calcA'!DC$106=1,1-HA34,0)+IF('calcA'!DD$106=1,1-HC34,0))*150+95+'calcA'!DD$5*100000+IF(AND($E34=1,MQ34=0),50000,0))+IF($H34=1,INDEX('calcA'!$D$180:$EQ$219,$B34,105)*4000,0)-IF(AND('calcA'!DC$117=1,YA34&gt;0),2000,0)-IF(AND($U34=1,'calcA'!DD$117=1,HC34=0),2000,0))),1000000000))</f>
        <v/>
      </c>
      <c r="SG34">
        <f>IF($B34=0,1000000000,IF(INDEX('calcA'!$D$60:$EQ$99,$B34,106)*IF($W34=1,HC34+ADR34,HC34)=1,IF(AND($E34=2,IF($W34=1,AJG34,MR34)=0),1000000000,IF($V34=1,INDEX('calcA'!$D$130:$EQ$169,$B34,106)+IF(AND($E34=1,MR34=0),25,0),IF($F34&gt;0,INDEX('calcA'!DE$110:DE$114,$F34+1)+IF(AND($E34=1,MR34=0),1000,0),MIN(TY34,20)*400+(IF('calcA'!DD$106=1,1-HB34,0)+IF('calcA'!DE$106=1,1-HD34,0))*150+105+'calcA'!DE$5*100000+IF(AND($E34=1,MR34=0),50000,0))+IF($H34=1,INDEX('calcA'!$D$180:$EQ$219,$B34,106)*4000,0)-IF(AND('calcA'!DD$117=1,YB34&gt;0),2000,0)-IF(AND($U34=1,'calcA'!DE$117=1,HD34=0),2000,0))),1000000000))</f>
        <v/>
      </c>
      <c r="SH34">
        <f>IF($B34=0,1000000000,IF(INDEX('calcA'!$D$60:$EQ$99,$B34,107)*IF($W34=1,HD34+ADS34,HD34)=1,IF(AND($E34=2,IF($W34=1,AJH34,MS34)=0),1000000000,IF($V34=1,INDEX('calcA'!$D$130:$EQ$169,$B34,107)+IF(AND($E34=1,MS34=0),25,0),IF($F34&gt;0,INDEX('calcA'!DF$110:DF$114,$F34+1)+IF(AND($E34=1,MS34=0),1000,0),MIN(TY34,20)*400+(IF('calcA'!DE$106=1,1-HC34,0)+IF('calcA'!DF$106=1,1-HE34,0))*150+115+'calcA'!DF$5*100000+IF(AND($E34=1,MS34=0),50000,0))+IF($H34=1,INDEX('calcA'!$D$180:$EQ$219,$B34,107)*4000,0)-IF(AND('calcA'!DE$117=1,YC34&gt;0),2000,0)-IF(AND($U34=1,'calcA'!DF$117=1,HE34=0),2000,0))),1000000000))</f>
        <v/>
      </c>
      <c r="SI34">
        <f>IF($B34=0,1000000000,IF(INDEX('calcA'!$D$60:$EQ$99,$B34,108)*IF($W34=1,HE34+ADT34,HE34)=1,IF(AND($E34=2,IF($W34=1,AJI34,MT34)=0),1000000000,IF($V34=1,INDEX('calcA'!$D$130:$EQ$169,$B34,108)+IF(AND($E34=1,MT34=0),25,0),IF($F34&gt;0,INDEX('calcA'!DG$110:DG$114,$F34+1)+IF(AND($E34=1,MT34=0),1000,0),MIN(TY34,20)*400+(IF('calcA'!DF$106=1,1-HD34,0)+IF('calcA'!DG$106=1,1-HF34,0))*150+125+'calcA'!DG$5*100000+IF(AND($E34=1,MT34=0),50000,0))+IF($H34=1,INDEX('calcA'!$D$180:$EQ$219,$B34,108)*4000,0)-IF(AND('calcA'!DF$117=1,YD34&gt;0),2000,0)-IF(AND($U34=1,'calcA'!DG$117=1,HF34=0),2000,0))),1000000000))</f>
        <v/>
      </c>
      <c r="SJ34">
        <f>IF($B34=0,1000000000,IF(INDEX('calcA'!$D$60:$EQ$99,$B34,109)*IF($W34=1,HF34+ADU34,HF34)=1,IF(AND($E34=2,IF($W34=1,AJJ34,MU34)=0),1000000000,IF($V34=1,INDEX('calcA'!$D$130:$EQ$169,$B34,109)+IF(AND($E34=1,MU34=0),25,0),IF($F34&gt;0,INDEX('calcA'!DH$110:DH$114,$F34+1)+IF(AND($E34=1,MU34=0),1000,0),MIN(TY34,20)*400+(IF('calcA'!DG$106=1,1-HE34,0)+IF('calcA'!DH$106=1,1-HG34,0))*150+135+'calcA'!DH$5*100000+IF(AND($E34=1,MU34=0),50000,0))+IF($H34=1,INDEX('calcA'!$D$180:$EQ$219,$B34,109)*4000,0)-IF(AND('calcA'!DG$117=1,YE34&gt;0),2000,0)-IF(AND($U34=1,'calcA'!DH$117=1,HG34=0),2000,0))),1000000000))</f>
        <v/>
      </c>
      <c r="SK34">
        <f>IF($B34=0,1000000000,IF(INDEX('calcA'!$D$60:$EQ$99,$B34,110)*IF($W34=1,HG34+ADV34,HG34)=1,IF(AND($E34=2,IF($W34=1,AJK34,MV34)=0),1000000000,IF($V34=1,INDEX('calcA'!$D$130:$EQ$169,$B34,110)+IF(AND($E34=1,MV34=0),25,0),IF($F34&gt;0,INDEX('calcA'!DI$110:DI$114,$F34+1)+IF(AND($E34=1,MV34=0),1000,0),MIN(TY34,20)*400+(IF('calcA'!DH$106=1,1-HF34,0)+IF('calcA'!DI$106=1,1-HH34,0))*150+145+'calcA'!DI$5*100000+IF(AND($E34=1,MV34=0),50000,0))+IF($H34=1,INDEX('calcA'!$D$180:$EQ$219,$B34,110)*4000,0)-IF(AND('calcA'!DH$117=1,YF34&gt;0),2000,0)-IF(AND($U34=1,'calcA'!DI$117=1,HH34=0),2000,0))),1000000000))</f>
        <v/>
      </c>
      <c r="SL34">
        <f>IF($B34=0,1000000000,IF(INDEX('calcA'!$D$60:$EQ$99,$B34,111)*IF($W34=1,HH34+ADW34,HH34)=1,IF(AND($E34=2,IF($W34=1,AJL34,MW34)=0),1000000000,IF($V34=1,INDEX('calcA'!$D$130:$EQ$169,$B34,111)+IF(AND($E34=1,MW34=0),25,0),IF($F34&gt;0,INDEX('calcA'!DJ$110:DJ$114,$F34+1)+IF(AND($E34=1,MW34=0),1000,0),MIN(TY34,20)*400+(IF('calcA'!DI$106=1,1-HG34,0)+IF('calcA'!DJ$106=1,1-HI34,0))*150+155+'calcA'!DJ$5*100000+IF(AND($E34=1,MW34=0),50000,0))+IF($H34=1,INDEX('calcA'!$D$180:$EQ$219,$B34,111)*4000,0)-IF(AND('calcA'!DI$117=1,YG34&gt;0),2000,0)-IF(AND($U34=1,'calcA'!DJ$117=1,HI34=0),2000,0))),1000000000))</f>
        <v/>
      </c>
      <c r="SM34">
        <f>IF($B34=0,1000000000,IF(INDEX('calcA'!$D$60:$EQ$99,$B34,112)*IF($W34=1,HI34+ADX34,HI34)=1,IF(AND($E34=2,IF($W34=1,AJM34,MX34)=0),1000000000,IF($V34=1,INDEX('calcA'!$D$130:$EQ$169,$B34,112)+IF(AND($E34=1,MX34=0),25,0),IF($F34&gt;0,INDEX('calcA'!DK$110:DK$114,$F34+1)+IF(AND($E34=1,MX34=0),1000,0),MIN(TY34,20)*400+(IF('calcA'!DJ$106=1,1-HH34,0)+IF('calcA'!DK$106=1,1-HJ34,0))*150+165+'calcA'!DK$5*100000+IF(AND($E34=1,MX34=0),50000,0))+IF($H34=1,INDEX('calcA'!$D$180:$EQ$219,$B34,112)*4000,0)-IF(AND('calcA'!DJ$117=1,YH34&gt;0),2000,0)-IF(AND($U34=1,'calcA'!DK$117=1,HJ34=0),2000,0))),1000000000))</f>
        <v/>
      </c>
      <c r="SN34">
        <f>IF($B34=0,1000000000,IF(INDEX('calcA'!$D$60:$EQ$99,$B34,113)*IF($W34=1,HJ34+ADY34,HJ34)=1,IF(AND($E34=2,IF($W34=1,AJN34,MY34)=0),1000000000,IF($V34=1,INDEX('calcA'!$D$130:$EQ$169,$B34,113)+IF(AND($E34=1,MY34=0),25,0),IF($F34&gt;0,INDEX('calcA'!DL$110:DL$114,$F34+1)+IF(AND($E34=1,MY34=0),1000,0),MIN(TY34,20)*400+(IF('calcA'!DK$106=1,1-HI34,0)+IF('calcA'!DL$106=1,1-HK34,0))*150+175+'calcA'!DL$5*100000+IF(AND($E34=1,MY34=0),50000,0))+IF($H34=1,INDEX('calcA'!$D$180:$EQ$219,$B34,113)*4000,0)-IF(AND('calcA'!DK$117=1,YI34&gt;0),2000,0)-IF(AND($U34=1,'calcA'!DL$117=1,HK34=0),2000,0))),1000000000))</f>
        <v/>
      </c>
      <c r="SO34">
        <f>IF($B34=0,1000000000,IF(INDEX('calcA'!$D$60:$EQ$99,$B34,114)*IF($W34=1,HK34+ADZ34,HK34)=1,IF(AND($E34=2,IF($W34=1,AJO34,MZ34)=0),1000000000,IF($V34=1,INDEX('calcA'!$D$130:$EQ$169,$B34,114)+IF(AND($E34=1,MZ34=0),25,0),IF($F34&gt;0,INDEX('calcA'!DM$110:DM$114,$F34+1)+IF(AND($E34=1,MZ34=0),1000,0),MIN(TY34,20)*400+(IF('calcA'!DL$106=1,1-HJ34,0)+IF('calcA'!DM$106=1,1-HL34,0))*150+185+'calcA'!DM$5*100000+IF(AND($E34=1,MZ34=0),50000,0))+IF($H34=1,INDEX('calcA'!$D$180:$EQ$219,$B34,114)*4000,0)-IF(AND('calcA'!DL$117=1,YJ34&gt;0),2000,0)-IF(AND($U34=1,'calcA'!DM$117=1,HL34=0),2000,0))),1000000000))</f>
        <v/>
      </c>
      <c r="SP34">
        <f>IF($B34=0,1000000000,IF(INDEX('calcA'!$D$60:$EQ$99,$B34,115)*IF($W34=1,HL34+AEA34,HL34)=1,IF(AND($E34=2,IF($W34=1,AJP34,NA34)=0),1000000000,IF($V34=1,INDEX('calcA'!$D$130:$EQ$169,$B34,115)+IF(AND($E34=1,NA34=0),25,0),IF($F34&gt;0,INDEX('calcA'!DN$110:DN$114,$F34+1)+IF(AND($E34=1,NA34=0),1000,0),MIN(TY34,20)*400+(IF('calcA'!DM$106=1,1-HK34,0)+IF('calcA'!DN$106=1,1-HM34,0))*150+195+'calcA'!DN$5*100000+IF(AND($E34=1,NA34=0),50000,0))+IF($H34=1,INDEX('calcA'!$D$180:$EQ$219,$B34,115)*4000,0)-IF(AND('calcA'!DM$117=1,YK34&gt;0),2000,0)-IF(AND($U34=1,'calcA'!DN$117=1,HM34=0),2000,0))),1000000000))</f>
        <v/>
      </c>
      <c r="SQ34">
        <f>IF($B34=0,1000000000,IF(INDEX('calcA'!$D$60:$EQ$99,$B34,116)*IF($W34=1,HM34+AEB34,HM34)=1,IF(AND($E34=2,IF($W34=1,AJQ34,NB34)=0),1000000000,IF($V34=1,INDEX('calcA'!$D$130:$EQ$169,$B34,116)+IF(AND($E34=1,NB34=0),25,0),IF($F34&gt;0,INDEX('calcA'!DO$110:DO$114,$F34+1)+IF(AND($E34=1,NB34=0),1000,0),MIN(TY34,20)*400+(IF('calcA'!DN$106=1,1-HL34,0)+IF('calcA'!DO$106=1,1-HN34,0))*150+205+'calcA'!DO$5*100000+IF(AND($E34=1,NB34=0),50000,0))+IF($H34=1,INDEX('calcA'!$D$180:$EQ$219,$B34,116)*4000,0)-IF(AND('calcA'!DN$117=1,YL34&gt;0),2000,0)-IF(AND($U34=1,'calcA'!DO$117=1,HN34=0),2000,0))),1000000000))</f>
        <v/>
      </c>
      <c r="SR34">
        <f>IF($B34=0,1000000000,IF(INDEX('calcA'!$D$60:$EQ$99,$B34,117)*IF($W34=1,HN34+AEC34,HN34)=1,IF(AND($E34=2,IF($W34=1,AJR34,NC34)=0),1000000000,IF($V34=1,INDEX('calcA'!$D$130:$EQ$169,$B34,117)+IF(AND($E34=1,NC34=0),25,0),IF($F34&gt;0,INDEX('calcA'!DP$110:DP$114,$F34+1)+IF(AND($E34=1,NC34=0),1000,0),MIN(TY34,20)*400+(IF('calcA'!DO$106=1,1-HM34,0)+IF('calcA'!DP$106=1,1-HO34,0))*150+215+'calcA'!DP$5*100000+IF(AND($E34=1,NC34=0),50000,0))+IF($H34=1,INDEX('calcA'!$D$180:$EQ$219,$B34,117)*4000,0)-IF(AND('calcA'!DO$117=1,YM34&gt;0),2000,0)-IF(AND($U34=1,'calcA'!DP$117=1,HO34=0),2000,0))),1000000000))</f>
        <v/>
      </c>
      <c r="SS34">
        <f>IF($B34=0,1000000000,IF(INDEX('calcA'!$D$60:$EQ$99,$B34,118)*IF($W34=1,HO34+AED34,HO34)=1,IF(AND($E34=2,IF($W34=1,AJS34,ND34)=0),1000000000,IF($V34=1,INDEX('calcA'!$D$130:$EQ$169,$B34,118)+IF(AND($E34=1,ND34=0),25,0),IF($F34&gt;0,INDEX('calcA'!DQ$110:DQ$114,$F34+1)+IF(AND($E34=1,ND34=0),1000,0),MIN(TY34,20)*400+(IF('calcA'!DP$106=1,1-HN34,0)+IF('calcA'!DQ$106=1,1-HP34,0))*150+225+'calcA'!DQ$5*100000+IF(AND($E34=1,ND34=0),50000,0))+IF($H34=1,INDEX('calcA'!$D$180:$EQ$219,$B34,118)*4000,0)-IF(AND('calcA'!DP$117=1,YN34&gt;0),2000,0)-IF(AND($U34=1,'calcA'!DQ$117=1,HP34=0),2000,0))),1000000000))</f>
        <v/>
      </c>
      <c r="ST34">
        <f>IF($B34=0,1000000000,IF(INDEX('calcA'!$D$60:$EQ$99,$B34,119)*IF($W34=1,HP34+AEE34,HP34)=1,IF(AND($E34=2,IF($W34=1,AJT34,NE34)=0),1000000000,IF($V34=1,INDEX('calcA'!$D$130:$EQ$169,$B34,119)+IF(AND($E34=1,NE34=0),25,0),IF($F34&gt;0,INDEX('calcA'!DR$110:DR$114,$F34+1)+IF(AND($E34=1,NE34=0),1000,0),MIN(TY34,20)*400+(IF('calcA'!DQ$106=1,1-HO34,0)+IF('calcA'!DR$106=1,1-HQ34,0))*150+235+'calcA'!DR$5*100000+IF(AND($E34=1,NE34=0),50000,0))+IF($H34=1,INDEX('calcA'!$D$180:$EQ$219,$B34,119)*4000,0)-IF(AND('calcA'!DQ$117=1,YO34&gt;0),2000,0)-IF(AND($U34=1,'calcA'!DR$117=1,HQ34=0),2000,0))),1000000000))</f>
        <v/>
      </c>
      <c r="SU34">
        <f>IF($B34=0,1000000000,IF(INDEX('calcA'!$D$60:$EQ$99,$B34,120)*IF($W34=1,HQ34+AEF34,HQ34)=1,IF(AND($E34=2,IF($W34=1,AJU34,NF34)=0),1000000000,IF($V34=1,INDEX('calcA'!$D$130:$EQ$169,$B34,120)+IF(AND($E34=1,NF34=0),25,0),IF($F34&gt;0,INDEX('calcA'!DS$110:DS$114,$F34+1)+IF(AND($E34=1,NF34=0),1000,0),MIN(TY34,20)*400+(IF('calcA'!DR$106=1,1-HP34,0))*150+245+'calcA'!DS$5*100000+IF(AND($E34=1,NF34=0),50000,0))+IF($H34=1,INDEX('calcA'!$D$180:$EQ$219,$B34,120)*4000,0)-IF(AND('calcA'!DR$117=1,YP34&gt;0),2000,0))),1000000000))</f>
        <v/>
      </c>
      <c r="SV34">
        <f>IF($B34=0,1000000000,IF(INDEX('calcA'!$D$60:$EQ$99,$B34,121)*IF($W34=1,HR34+AEG34,HR34)=1,IF(AND($E34=2,IF($W34=1,AJV34,NG34)=0),1000000000,IF($V34=1,INDEX('calcA'!$D$130:$EQ$169,$B34,121)+IF(AND($E34=1,NG34=0),25,0),IF($F34&gt;0,INDEX('calcA'!DT$110:DT$114,$F34+1)+IF(AND($E34=1,NG34=0),1000,0),MIN(TZ34,20)*400+(IF('calcA'!DT$106=1,1-HS34,0))*150+16+'calcA'!DT$5*100000+IF(AND($E34=1,NG34=0),50000,0))+IF($H34=1,INDEX('calcA'!$D$180:$EQ$219,$B34,121)*4000,0)-IF(AND($U34=1,'calcA'!DT$117=1,HS34=0),2000,0))),1000000000))</f>
        <v/>
      </c>
      <c r="SW34">
        <f>IF($B34=0,1000000000,IF(INDEX('calcA'!$D$60:$EQ$99,$B34,122)*IF($W34=1,HS34+AEH34,HS34)=1,IF(AND($E34=2,IF($W34=1,AJW34,NH34)=0),1000000000,IF($V34=1,INDEX('calcA'!$D$130:$EQ$169,$B34,122)+IF(AND($E34=1,NH34=0),25,0),IF($F34&gt;0,INDEX('calcA'!DU$110:DU$114,$F34+1)+IF(AND($E34=1,NH34=0),1000,0),MIN(TZ34,20)*400+(IF('calcA'!DT$106=1,1-HR34,0)+IF('calcA'!DU$106=1,1-HT34,0))*150+26+'calcA'!DU$5*100000+IF(AND($E34=1,NH34=0),50000,0))+IF($H34=1,INDEX('calcA'!$D$180:$EQ$219,$B34,122)*4000,0)-IF(AND('calcA'!DT$117=1,YR34&gt;0),2000,0)-IF(AND($U34=1,'calcA'!DU$117=1,HT34=0),2000,0))),1000000000))</f>
        <v/>
      </c>
      <c r="SX34">
        <f>IF($B34=0,1000000000,IF(INDEX('calcA'!$D$60:$EQ$99,$B34,123)*IF($W34=1,HT34+AEI34,HT34)=1,IF(AND($E34=2,IF($W34=1,AJX34,NI34)=0),1000000000,IF($V34=1,INDEX('calcA'!$D$130:$EQ$169,$B34,123)+IF(AND($E34=1,NI34=0),25,0),IF($F34&gt;0,INDEX('calcA'!DV$110:DV$114,$F34+1)+IF(AND($E34=1,NI34=0),1000,0),MIN(TZ34,20)*400+(IF('calcA'!DU$106=1,1-HS34,0)+IF('calcA'!DV$106=1,1-HU34,0))*150+36+'calcA'!DV$5*100000+IF(AND($E34=1,NI34=0),50000,0))+IF($H34=1,INDEX('calcA'!$D$180:$EQ$219,$B34,123)*4000,0)-IF(AND('calcA'!DU$117=1,YS34&gt;0),2000,0)-IF(AND($U34=1,'calcA'!DV$117=1,HU34=0),2000,0))),1000000000))</f>
        <v/>
      </c>
      <c r="SY34">
        <f>IF($B34=0,1000000000,IF(INDEX('calcA'!$D$60:$EQ$99,$B34,124)*IF($W34=1,HU34+AEJ34,HU34)=1,IF(AND($E34=2,IF($W34=1,AJY34,NJ34)=0),1000000000,IF($V34=1,INDEX('calcA'!$D$130:$EQ$169,$B34,124)+IF(AND($E34=1,NJ34=0),25,0),IF($F34&gt;0,INDEX('calcA'!DW$110:DW$114,$F34+1)+IF(AND($E34=1,NJ34=0),1000,0),MIN(TZ34,20)*400+(IF('calcA'!DV$106=1,1-HT34,0)+IF('calcA'!DW$106=1,1-HV34,0))*150+46+'calcA'!DW$5*100000+IF(AND($E34=1,NJ34=0),50000,0))+IF($H34=1,INDEX('calcA'!$D$180:$EQ$219,$B34,124)*4000,0)-IF(AND('calcA'!DV$117=1,YT34&gt;0),2000,0)-IF(AND($U34=1,'calcA'!DW$117=1,HV34=0),2000,0))),1000000000))</f>
        <v/>
      </c>
      <c r="SZ34">
        <f>IF($B34=0,1000000000,IF(INDEX('calcA'!$D$60:$EQ$99,$B34,125)*IF($W34=1,HV34+AEK34,HV34)=1,IF(AND($E34=2,IF($W34=1,AJZ34,NK34)=0),1000000000,IF($V34=1,INDEX('calcA'!$D$130:$EQ$169,$B34,125)+IF(AND($E34=1,NK34=0),25,0),IF($F34&gt;0,INDEX('calcA'!DX$110:DX$114,$F34+1)+IF(AND($E34=1,NK34=0),1000,0),MIN(TZ34,20)*400+(IF('calcA'!DW$106=1,1-HU34,0)+IF('calcA'!DX$106=1,1-HW34,0))*150+56+'calcA'!DX$5*100000+IF(AND($E34=1,NK34=0),50000,0))+IF($H34=1,INDEX('calcA'!$D$180:$EQ$219,$B34,125)*4000,0)-IF(AND('calcA'!DW$117=1,YU34&gt;0),2000,0)-IF(AND($U34=1,'calcA'!DX$117=1,HW34=0),2000,0))),1000000000))</f>
        <v/>
      </c>
      <c r="TA34">
        <f>IF($B34=0,1000000000,IF(INDEX('calcA'!$D$60:$EQ$99,$B34,126)*IF($W34=1,HW34+AEL34,HW34)=1,IF(AND($E34=2,IF($W34=1,AKA34,NL34)=0),1000000000,IF($V34=1,INDEX('calcA'!$D$130:$EQ$169,$B34,126)+IF(AND($E34=1,NL34=0),25,0),IF($F34&gt;0,INDEX('calcA'!DY$110:DY$114,$F34+1)+IF(AND($E34=1,NL34=0),1000,0),MIN(TZ34,20)*400+(IF('calcA'!DX$106=1,1-HV34,0)+IF('calcA'!DY$106=1,1-HX34,0))*150+66+'calcA'!DY$5*100000+IF(AND($E34=1,NL34=0),50000,0))+IF($H34=1,INDEX('calcA'!$D$180:$EQ$219,$B34,126)*4000,0)-IF(AND('calcA'!DX$117=1,YV34&gt;0),2000,0)-IF(AND($U34=1,'calcA'!DY$117=1,HX34=0),2000,0))),1000000000))</f>
        <v/>
      </c>
      <c r="TB34">
        <f>IF($B34=0,1000000000,IF(INDEX('calcA'!$D$60:$EQ$99,$B34,127)*IF($W34=1,HX34+AEM34,HX34)=1,IF(AND($E34=2,IF($W34=1,AKB34,NM34)=0),1000000000,IF($V34=1,INDEX('calcA'!$D$130:$EQ$169,$B34,127)+IF(AND($E34=1,NM34=0),25,0),IF($F34&gt;0,INDEX('calcA'!DZ$110:DZ$114,$F34+1)+IF(AND($E34=1,NM34=0),1000,0),MIN(TZ34,20)*400+(IF('calcA'!DY$106=1,1-HW34,0)+IF('calcA'!DZ$106=1,1-HY34,0))*150+76+'calcA'!DZ$5*100000+IF(AND($E34=1,NM34=0),50000,0))+IF($H34=1,INDEX('calcA'!$D$180:$EQ$219,$B34,127)*4000,0)-IF(AND('calcA'!DY$117=1,YW34&gt;0),2000,0)-IF(AND($U34=1,'calcA'!DZ$117=1,HY34=0),2000,0))),1000000000))</f>
        <v/>
      </c>
      <c r="TC34">
        <f>IF($B34=0,1000000000,IF(INDEX('calcA'!$D$60:$EQ$99,$B34,128)*IF($W34=1,HY34+AEN34,HY34)=1,IF(AND($E34=2,IF($W34=1,AKC34,NN34)=0),1000000000,IF($V34=1,INDEX('calcA'!$D$130:$EQ$169,$B34,128)+IF(AND($E34=1,NN34=0),25,0),IF($F34&gt;0,INDEX('calcA'!EA$110:EA$114,$F34+1)+IF(AND($E34=1,NN34=0),1000,0),MIN(TZ34,20)*400+(IF('calcA'!DZ$106=1,1-HX34,0)+IF('calcA'!EA$106=1,1-HZ34,0))*150+86+'calcA'!EA$5*100000+IF(AND($E34=1,NN34=0),50000,0))+IF($H34=1,INDEX('calcA'!$D$180:$EQ$219,$B34,128)*4000,0)-IF(AND('calcA'!DZ$117=1,YX34&gt;0),2000,0)-IF(AND($U34=1,'calcA'!EA$117=1,HZ34=0),2000,0))),1000000000))</f>
        <v/>
      </c>
      <c r="TD34">
        <f>IF($B34=0,1000000000,IF(INDEX('calcA'!$D$60:$EQ$99,$B34,129)*IF($W34=1,HZ34+AEO34,HZ34)=1,IF(AND($E34=2,IF($W34=1,AKD34,NO34)=0),1000000000,IF($V34=1,INDEX('calcA'!$D$130:$EQ$169,$B34,129)+IF(AND($E34=1,NO34=0),25,0),IF($F34&gt;0,INDEX('calcA'!EB$110:EB$114,$F34+1)+IF(AND($E34=1,NO34=0),1000,0),MIN(TZ34,20)*400+(IF('calcA'!EA$106=1,1-HY34,0)+IF('calcA'!EB$106=1,1-IA34,0))*150+96+'calcA'!EB$5*100000+IF(AND($E34=1,NO34=0),50000,0))+IF($H34=1,INDEX('calcA'!$D$180:$EQ$219,$B34,129)*4000,0)-IF(AND('calcA'!EA$117=1,YY34&gt;0),2000,0)-IF(AND($U34=1,'calcA'!EB$117=1,IA34=0),2000,0))),1000000000))</f>
        <v/>
      </c>
      <c r="TE34">
        <f>IF($B34=0,1000000000,IF(INDEX('calcA'!$D$60:$EQ$99,$B34,130)*IF($W34=1,IA34+AEP34,IA34)=1,IF(AND($E34=2,IF($W34=1,AKE34,NP34)=0),1000000000,IF($V34=1,INDEX('calcA'!$D$130:$EQ$169,$B34,130)+IF(AND($E34=1,NP34=0),25,0),IF($F34&gt;0,INDEX('calcA'!EC$110:EC$114,$F34+1)+IF(AND($E34=1,NP34=0),1000,0),MIN(TZ34,20)*400+(IF('calcA'!EB$106=1,1-HZ34,0)+IF('calcA'!EC$106=1,1-IB34,0))*150+106+'calcA'!EC$5*100000+IF(AND($E34=1,NP34=0),50000,0))+IF($H34=1,INDEX('calcA'!$D$180:$EQ$219,$B34,130)*4000,0)-IF(AND('calcA'!EB$117=1,YZ34&gt;0),2000,0)-IF(AND($U34=1,'calcA'!EC$117=1,IB34=0),2000,0))),1000000000))</f>
        <v/>
      </c>
      <c r="TF34">
        <f>IF($B34=0,1000000000,IF(INDEX('calcA'!$D$60:$EQ$99,$B34,131)*IF($W34=1,IB34+AEQ34,IB34)=1,IF(AND($E34=2,IF($W34=1,AKF34,NQ34)=0),1000000000,IF($V34=1,INDEX('calcA'!$D$130:$EQ$169,$B34,131)+IF(AND($E34=1,NQ34=0),25,0),IF($F34&gt;0,INDEX('calcA'!ED$110:ED$114,$F34+1)+IF(AND($E34=1,NQ34=0),1000,0),MIN(TZ34,20)*400+(IF('calcA'!EC$106=1,1-IA34,0)+IF('calcA'!ED$106=1,1-IC34,0))*150+116+'calcA'!ED$5*100000+IF(AND($E34=1,NQ34=0),50000,0))+IF($H34=1,INDEX('calcA'!$D$180:$EQ$219,$B34,131)*4000,0)-IF(AND('calcA'!EC$117=1,ZA34&gt;0),2000,0)-IF(AND($U34=1,'calcA'!ED$117=1,IC34=0),2000,0))),1000000000))</f>
        <v/>
      </c>
      <c r="TG34">
        <f>IF($B34=0,1000000000,IF(INDEX('calcA'!$D$60:$EQ$99,$B34,132)*IF($W34=1,IC34+AER34,IC34)=1,IF(AND($E34=2,IF($W34=1,AKG34,NR34)=0),1000000000,IF($V34=1,INDEX('calcA'!$D$130:$EQ$169,$B34,132)+IF(AND($E34=1,NR34=0),25,0),IF($F34&gt;0,INDEX('calcA'!EE$110:EE$114,$F34+1)+IF(AND($E34=1,NR34=0),1000,0),MIN(TZ34,20)*400+(IF('calcA'!ED$106=1,1-IB34,0)+IF('calcA'!EE$106=1,1-ID34,0))*150+126+'calcA'!EE$5*100000+IF(AND($E34=1,NR34=0),50000,0))+IF($H34=1,INDEX('calcA'!$D$180:$EQ$219,$B34,132)*4000,0)-IF(AND('calcA'!ED$117=1,ZB34&gt;0),2000,0)-IF(AND($U34=1,'calcA'!EE$117=1,ID34=0),2000,0))),1000000000))</f>
        <v/>
      </c>
      <c r="TH34">
        <f>IF($B34=0,1000000000,IF(INDEX('calcA'!$D$60:$EQ$99,$B34,133)*IF($W34=1,ID34+AES34,ID34)=1,IF(AND($E34=2,IF($W34=1,AKH34,NS34)=0),1000000000,IF($V34=1,INDEX('calcA'!$D$130:$EQ$169,$B34,133)+IF(AND($E34=1,NS34=0),25,0),IF($F34&gt;0,INDEX('calcA'!EF$110:EF$114,$F34+1)+IF(AND($E34=1,NS34=0),1000,0),MIN(TZ34,20)*400+(IF('calcA'!EE$106=1,1-IC34,0)+IF('calcA'!EF$106=1,1-IE34,0))*150+136+'calcA'!EF$5*100000+IF(AND($E34=1,NS34=0),50000,0))+IF($H34=1,INDEX('calcA'!$D$180:$EQ$219,$B34,133)*4000,0)-IF(AND('calcA'!EE$117=1,ZC34&gt;0),2000,0)-IF(AND($U34=1,'calcA'!EF$117=1,IE34=0),2000,0))),1000000000))</f>
        <v/>
      </c>
      <c r="TI34">
        <f>IF($B34=0,1000000000,IF(INDEX('calcA'!$D$60:$EQ$99,$B34,134)*IF($W34=1,IE34+AET34,IE34)=1,IF(AND($E34=2,IF($W34=1,AKI34,NT34)=0),1000000000,IF($V34=1,INDEX('calcA'!$D$130:$EQ$169,$B34,134)+IF(AND($E34=1,NT34=0),25,0),IF($F34&gt;0,INDEX('calcA'!EG$110:EG$114,$F34+1)+IF(AND($E34=1,NT34=0),1000,0),MIN(TZ34,20)*400+(IF('calcA'!EF$106=1,1-ID34,0)+IF('calcA'!EG$106=1,1-IF34,0))*150+146+'calcA'!EG$5*100000+IF(AND($E34=1,NT34=0),50000,0))+IF($H34=1,INDEX('calcA'!$D$180:$EQ$219,$B34,134)*4000,0)-IF(AND('calcA'!EF$117=1,ZD34&gt;0),2000,0)-IF(AND($U34=1,'calcA'!EG$117=1,IF34=0),2000,0))),1000000000))</f>
        <v/>
      </c>
      <c r="TJ34">
        <f>IF($B34=0,1000000000,IF(INDEX('calcA'!$D$60:$EQ$99,$B34,135)*IF($W34=1,IF34+AEU34,IF34)=1,IF(AND($E34=2,IF($W34=1,AKJ34,NU34)=0),1000000000,IF($V34=1,INDEX('calcA'!$D$130:$EQ$169,$B34,135)+IF(AND($E34=1,NU34=0),25,0),IF($F34&gt;0,INDEX('calcA'!EH$110:EH$114,$F34+1)+IF(AND($E34=1,NU34=0),1000,0),MIN(TZ34,20)*400+(IF('calcA'!EG$106=1,1-IE34,0)+IF('calcA'!EH$106=1,1-IG34,0))*150+156+'calcA'!EH$5*100000+IF(AND($E34=1,NU34=0),50000,0))+IF($H34=1,INDEX('calcA'!$D$180:$EQ$219,$B34,135)*4000,0)-IF(AND('calcA'!EG$117=1,ZE34&gt;0),2000,0)-IF(AND($U34=1,'calcA'!EH$117=1,IG34=0),2000,0))),1000000000))</f>
        <v/>
      </c>
      <c r="TK34">
        <f>IF($B34=0,1000000000,IF(INDEX('calcA'!$D$60:$EQ$99,$B34,136)*IF($W34=1,IG34+AEV34,IG34)=1,IF(AND($E34=2,IF($W34=1,AKK34,NV34)=0),1000000000,IF($V34=1,INDEX('calcA'!$D$130:$EQ$169,$B34,136)+IF(AND($E34=1,NV34=0),25,0),IF($F34&gt;0,INDEX('calcA'!EI$110:EI$114,$F34+1)+IF(AND($E34=1,NV34=0),1000,0),MIN(TZ34,20)*400+(IF('calcA'!EH$106=1,1-IF34,0)+IF('calcA'!EI$106=1,1-IH34,0))*150+166+'calcA'!EI$5*100000+IF(AND($E34=1,NV34=0),50000,0))+IF($H34=1,INDEX('calcA'!$D$180:$EQ$219,$B34,136)*4000,0)-IF(AND('calcA'!EH$117=1,ZF34&gt;0),2000,0)-IF(AND($U34=1,'calcA'!EI$117=1,IH34=0),2000,0))),1000000000))</f>
        <v/>
      </c>
      <c r="TL34">
        <f>IF($B34=0,1000000000,IF(INDEX('calcA'!$D$60:$EQ$99,$B34,137)*IF($W34=1,IH34+AEW34,IH34)=1,IF(AND($E34=2,IF($W34=1,AKL34,NW34)=0),1000000000,IF($V34=1,INDEX('calcA'!$D$130:$EQ$169,$B34,137)+IF(AND($E34=1,NW34=0),25,0),IF($F34&gt;0,INDEX('calcA'!EJ$110:EJ$114,$F34+1)+IF(AND($E34=1,NW34=0),1000,0),MIN(TZ34,20)*400+(IF('calcA'!EI$106=1,1-IG34,0)+IF('calcA'!EJ$106=1,1-II34,0))*150+176+'calcA'!EJ$5*100000+IF(AND($E34=1,NW34=0),50000,0))+IF($H34=1,INDEX('calcA'!$D$180:$EQ$219,$B34,137)*4000,0)-IF(AND('calcA'!EI$117=1,ZG34&gt;0),2000,0)-IF(AND($U34=1,'calcA'!EJ$117=1,II34=0),2000,0))),1000000000))</f>
        <v/>
      </c>
      <c r="TM34">
        <f>IF($B34=0,1000000000,IF(INDEX('calcA'!$D$60:$EQ$99,$B34,138)*IF($W34=1,II34+AEX34,II34)=1,IF(AND($E34=2,IF($W34=1,AKM34,NX34)=0),1000000000,IF($V34=1,INDEX('calcA'!$D$130:$EQ$169,$B34,138)+IF(AND($E34=1,NX34=0),25,0),IF($F34&gt;0,INDEX('calcA'!EK$110:EK$114,$F34+1)+IF(AND($E34=1,NX34=0),1000,0),MIN(TZ34,20)*400+(IF('calcA'!EJ$106=1,1-IH34,0)+IF('calcA'!EK$106=1,1-IJ34,0))*150+186+'calcA'!EK$5*100000+IF(AND($E34=1,NX34=0),50000,0))+IF($H34=1,INDEX('calcA'!$D$180:$EQ$219,$B34,138)*4000,0)-IF(AND('calcA'!EJ$117=1,ZH34&gt;0),2000,0)-IF(AND($U34=1,'calcA'!EK$117=1,IJ34=0),2000,0))),1000000000))</f>
        <v/>
      </c>
      <c r="TN34">
        <f>IF($B34=0,1000000000,IF(INDEX('calcA'!$D$60:$EQ$99,$B34,139)*IF($W34=1,IJ34+AEY34,IJ34)=1,IF(AND($E34=2,IF($W34=1,AKN34,NY34)=0),1000000000,IF($V34=1,INDEX('calcA'!$D$130:$EQ$169,$B34,139)+IF(AND($E34=1,NY34=0),25,0),IF($F34&gt;0,INDEX('calcA'!EL$110:EL$114,$F34+1)+IF(AND($E34=1,NY34=0),1000,0),MIN(TZ34,20)*400+(IF('calcA'!EK$106=1,1-II34,0)+IF('calcA'!EL$106=1,1-IK34,0))*150+196+'calcA'!EL$5*100000+IF(AND($E34=1,NY34=0),50000,0))+IF($H34=1,INDEX('calcA'!$D$180:$EQ$219,$B34,139)*4000,0)-IF(AND('calcA'!EK$117=1,ZI34&gt;0),2000,0)-IF(AND($U34=1,'calcA'!EL$117=1,IK34=0),2000,0))),1000000000))</f>
        <v/>
      </c>
      <c r="TO34">
        <f>IF($B34=0,1000000000,IF(INDEX('calcA'!$D$60:$EQ$99,$B34,140)*IF($W34=1,IK34+AEZ34,IK34)=1,IF(AND($E34=2,IF($W34=1,AKO34,NZ34)=0),1000000000,IF($V34=1,INDEX('calcA'!$D$130:$EQ$169,$B34,140)+IF(AND($E34=1,NZ34=0),25,0),IF($F34&gt;0,INDEX('calcA'!EM$110:EM$114,$F34+1)+IF(AND($E34=1,NZ34=0),1000,0),MIN(TZ34,20)*400+(IF('calcA'!EL$106=1,1-IJ34,0)+IF('calcA'!EM$106=1,1-IL34,0))*150+206+'calcA'!EM$5*100000+IF(AND($E34=1,NZ34=0),50000,0))+IF($H34=1,INDEX('calcA'!$D$180:$EQ$219,$B34,140)*4000,0)-IF(AND('calcA'!EL$117=1,ZJ34&gt;0),2000,0)-IF(AND($U34=1,'calcA'!EM$117=1,IL34=0),2000,0))),1000000000))</f>
        <v/>
      </c>
      <c r="TP34">
        <f>IF($B34=0,1000000000,IF(INDEX('calcA'!$D$60:$EQ$99,$B34,141)*IF($W34=1,IL34+AFA34,IL34)=1,IF(AND($E34=2,IF($W34=1,AKP34,OA34)=0),1000000000,IF($V34=1,INDEX('calcA'!$D$130:$EQ$169,$B34,141)+IF(AND($E34=1,OA34=0),25,0),IF($F34&gt;0,INDEX('calcA'!EN$110:EN$114,$F34+1)+IF(AND($E34=1,OA34=0),1000,0),MIN(TZ34,20)*400+(IF('calcA'!EM$106=1,1-IK34,0)+IF('calcA'!EN$106=1,1-IM34,0))*150+216+'calcA'!EN$5*100000+IF(AND($E34=1,OA34=0),50000,0))+IF($H34=1,INDEX('calcA'!$D$180:$EQ$219,$B34,141)*4000,0)-IF(AND('calcA'!EM$117=1,ZK34&gt;0),2000,0)-IF(AND($U34=1,'calcA'!EN$117=1,IM34=0),2000,0))),1000000000))</f>
        <v/>
      </c>
      <c r="TQ34">
        <f>IF($B34=0,1000000000,IF(INDEX('calcA'!$D$60:$EQ$99,$B34,142)*IF($W34=1,IM34+AFB34,IM34)=1,IF(AND($E34=2,IF($W34=1,AKQ34,OB34)=0),1000000000,IF($V34=1,INDEX('calcA'!$D$130:$EQ$169,$B34,142)+IF(AND($E34=1,OB34=0),25,0),IF($F34&gt;0,INDEX('calcA'!EO$110:EO$114,$F34+1)+IF(AND($E34=1,OB34=0),1000,0),MIN(TZ34,20)*400+(IF('calcA'!EN$106=1,1-IL34,0)+IF('calcA'!EO$106=1,1-IN34,0))*150+226+'calcA'!EO$5*100000+IF(AND($E34=1,OB34=0),50000,0))+IF($H34=1,INDEX('calcA'!$D$180:$EQ$219,$B34,142)*4000,0)-IF(AND('calcA'!EN$117=1,ZL34&gt;0),2000,0)-IF(AND($U34=1,'calcA'!EO$117=1,IN34=0),2000,0))),1000000000))</f>
        <v/>
      </c>
      <c r="TR34">
        <f>IF($B34=0,1000000000,IF(INDEX('calcA'!$D$60:$EQ$99,$B34,143)*IF($W34=1,IN34+AFC34,IN34)=1,IF(AND($E34=2,IF($W34=1,AKR34,OC34)=0),1000000000,IF($V34=1,INDEX('calcA'!$D$130:$EQ$169,$B34,143)+IF(AND($E34=1,OC34=0),25,0),IF($F34&gt;0,INDEX('calcA'!EP$110:EP$114,$F34+1)+IF(AND($E34=1,OC34=0),1000,0),MIN(TZ34,20)*400+(IF('calcA'!EO$106=1,1-IM34,0)+IF('calcA'!EP$106=1,1-IO34,0))*150+236+'calcA'!EP$5*100000+IF(AND($E34=1,OC34=0),50000,0))+IF($H34=1,INDEX('calcA'!$D$180:$EQ$219,$B34,143)*4000,0)-IF(AND('calcA'!EO$117=1,ZM34&gt;0),2000,0)-IF(AND($U34=1,'calcA'!EP$117=1,IO34=0),2000,0))),1000000000))</f>
        <v/>
      </c>
      <c r="TS34">
        <f>IF($B34=0,1000000000,IF(INDEX('calcA'!$D$60:$EQ$99,$B34,144)*IF($W34=1,IO34+AFD34,IO34)=1,IF(AND($E34=2,IF($W34=1,AKS34,OD34)=0),1000000000,IF($V34=1,INDEX('calcA'!$D$130:$EQ$169,$B34,144)+IF(AND($E34=1,OD34=0),25,0),IF($F34&gt;0,INDEX('calcA'!EQ$110:EQ$114,$F34+1)+IF(AND($E34=1,OD34=0),1000,0),MIN(TZ34,20)*400+(IF('calcA'!EP$106=1,1-IN34,0))*150+246+'calcA'!EQ$5*100000+IF(AND($E34=1,OD34=0),50000,0))+IF($H34=1,INDEX('calcA'!$D$180:$EQ$219,$B34,144)*4000,0)-IF(AND('calcA'!EP$117=1,ZN34&gt;0),2000,0))),1000000000))</f>
        <v/>
      </c>
      <c r="TU34">
        <f>TU33+IF($C33&gt;0,IF(INDEX('calcA'!$D$2:$EQ$2,$C33)=1,1,0),0)</f>
        <v/>
      </c>
      <c r="TV34">
        <f>TV33+IF($C33&gt;0,IF(INDEX('calcA'!$D$2:$EQ$2,$C33)=2,1,0),0)</f>
        <v/>
      </c>
      <c r="TW34">
        <f>TW33+IF($C33&gt;0,IF(INDEX('calcA'!$D$2:$EQ$2,$C33)=3,1,0),0)</f>
        <v/>
      </c>
      <c r="TX34">
        <f>TX33+IF($C33&gt;0,IF(INDEX('calcA'!$D$2:$EQ$2,$C33)=4,1,0),0)</f>
        <v/>
      </c>
      <c r="TY34">
        <f>TY33+IF($C33&gt;0,IF(INDEX('calcA'!$D$2:$EQ$2,$C33)=5,1,0),0)</f>
        <v/>
      </c>
      <c r="TZ34">
        <f>TZ33+IF($C33&gt;0,IF(INDEX('calcA'!$D$2:$EQ$2,$C33)=6,1,0),0)</f>
        <v/>
      </c>
      <c r="UB34">
        <f>UB33+IF(AND($C33=1,$U33=1),1,0)</f>
        <v/>
      </c>
      <c r="UC34">
        <f>UC33+IF(AND($C33=2,$U33=1),1,0)</f>
        <v/>
      </c>
      <c r="UD34">
        <f>UD33+IF(AND($C33=3,$U33=1),1,0)</f>
        <v/>
      </c>
      <c r="UE34">
        <f>UE33+IF(AND($C33=4,$U33=1),1,0)</f>
        <v/>
      </c>
      <c r="UF34">
        <f>UF33+IF(AND($C33=5,$U33=1),1,0)</f>
        <v/>
      </c>
      <c r="UG34">
        <f>UG33+IF(AND($C33=6,$U33=1),1,0)</f>
        <v/>
      </c>
      <c r="UH34">
        <f>UH33+IF(AND($C33=7,$U33=1),1,0)</f>
        <v/>
      </c>
      <c r="UI34">
        <f>UI33+IF(AND($C33=8,$U33=1),1,0)</f>
        <v/>
      </c>
      <c r="UJ34">
        <f>UJ33+IF(AND($C33=9,$U33=1),1,0)</f>
        <v/>
      </c>
      <c r="UK34">
        <f>UK33+IF(AND($C33=10,$U33=1),1,0)</f>
        <v/>
      </c>
      <c r="UL34">
        <f>UL33+IF(AND($C33=11,$U33=1),1,0)</f>
        <v/>
      </c>
      <c r="UM34">
        <f>UM33+IF(AND($C33=12,$U33=1),1,0)</f>
        <v/>
      </c>
      <c r="UN34">
        <f>UN33+IF(AND($C33=13,$U33=1),1,0)</f>
        <v/>
      </c>
      <c r="UO34">
        <f>UO33+IF(AND($C33=14,$U33=1),1,0)</f>
        <v/>
      </c>
      <c r="UP34">
        <f>UP33+IF(AND($C33=15,$U33=1),1,0)</f>
        <v/>
      </c>
      <c r="UQ34">
        <f>UQ33+IF(AND($C33=16,$U33=1),1,0)</f>
        <v/>
      </c>
      <c r="UR34">
        <f>UR33+IF(AND($C33=17,$U33=1),1,0)</f>
        <v/>
      </c>
      <c r="US34">
        <f>US33+IF(AND($C33=18,$U33=1),1,0)</f>
        <v/>
      </c>
      <c r="UT34">
        <f>UT33+IF(AND($C33=19,$U33=1),1,0)</f>
        <v/>
      </c>
      <c r="UU34">
        <f>UU33+IF(AND($C33=20,$U33=1),1,0)</f>
        <v/>
      </c>
      <c r="UV34">
        <f>UV33+IF(AND($C33=21,$U33=1),1,0)</f>
        <v/>
      </c>
      <c r="UW34">
        <f>UW33+IF(AND($C33=22,$U33=1),1,0)</f>
        <v/>
      </c>
      <c r="UX34">
        <f>UX33+IF(AND($C33=23,$U33=1),1,0)</f>
        <v/>
      </c>
      <c r="UY34">
        <f>UY33+IF(AND($C33=24,$U33=1),1,0)</f>
        <v/>
      </c>
      <c r="UZ34">
        <f>UZ33+IF(AND($C33=25,$U33=1),1,0)</f>
        <v/>
      </c>
      <c r="VA34">
        <f>VA33+IF(AND($C33=26,$U33=1),1,0)</f>
        <v/>
      </c>
      <c r="VB34">
        <f>VB33+IF(AND($C33=27,$U33=1),1,0)</f>
        <v/>
      </c>
      <c r="VC34">
        <f>VC33+IF(AND($C33=28,$U33=1),1,0)</f>
        <v/>
      </c>
      <c r="VD34">
        <f>VD33+IF(AND($C33=29,$U33=1),1,0)</f>
        <v/>
      </c>
      <c r="VE34">
        <f>VE33+IF(AND($C33=30,$U33=1),1,0)</f>
        <v/>
      </c>
      <c r="VF34">
        <f>VF33+IF(AND($C33=31,$U33=1),1,0)</f>
        <v/>
      </c>
      <c r="VG34">
        <f>VG33+IF(AND($C33=32,$U33=1),1,0)</f>
        <v/>
      </c>
      <c r="VH34">
        <f>VH33+IF(AND($C33=33,$U33=1),1,0)</f>
        <v/>
      </c>
      <c r="VI34">
        <f>VI33+IF(AND($C33=34,$U33=1),1,0)</f>
        <v/>
      </c>
      <c r="VJ34">
        <f>VJ33+IF(AND($C33=35,$U33=1),1,0)</f>
        <v/>
      </c>
      <c r="VK34">
        <f>VK33+IF(AND($C33=36,$U33=1),1,0)</f>
        <v/>
      </c>
      <c r="VL34">
        <f>VL33+IF(AND($C33=37,$U33=1),1,0)</f>
        <v/>
      </c>
      <c r="VM34">
        <f>VM33+IF(AND($C33=38,$U33=1),1,0)</f>
        <v/>
      </c>
      <c r="VN34">
        <f>VN33+IF(AND($C33=39,$U33=1),1,0)</f>
        <v/>
      </c>
      <c r="VO34">
        <f>VO33+IF(AND($C33=40,$U33=1),1,0)</f>
        <v/>
      </c>
      <c r="VP34">
        <f>VP33+IF(AND($C33=41,$U33=1),1,0)</f>
        <v/>
      </c>
      <c r="VQ34">
        <f>VQ33+IF(AND($C33=42,$U33=1),1,0)</f>
        <v/>
      </c>
      <c r="VR34">
        <f>VR33+IF(AND($C33=43,$U33=1),1,0)</f>
        <v/>
      </c>
      <c r="VS34">
        <f>VS33+IF(AND($C33=44,$U33=1),1,0)</f>
        <v/>
      </c>
      <c r="VT34">
        <f>VT33+IF(AND($C33=45,$U33=1),1,0)</f>
        <v/>
      </c>
      <c r="VU34">
        <f>VU33+IF(AND($C33=46,$U33=1),1,0)</f>
        <v/>
      </c>
      <c r="VV34">
        <f>VV33+IF(AND($C33=47,$U33=1),1,0)</f>
        <v/>
      </c>
      <c r="VW34">
        <f>VW33+IF(AND($C33=48,$U33=1),1,0)</f>
        <v/>
      </c>
      <c r="VX34">
        <f>VX33+IF(AND($C33=49,$U33=1),1,0)</f>
        <v/>
      </c>
      <c r="VY34">
        <f>VY33+IF(AND($C33=50,$U33=1),1,0)</f>
        <v/>
      </c>
      <c r="VZ34">
        <f>VZ33+IF(AND($C33=51,$U33=1),1,0)</f>
        <v/>
      </c>
      <c r="WA34">
        <f>WA33+IF(AND($C33=52,$U33=1),1,0)</f>
        <v/>
      </c>
      <c r="WB34">
        <f>WB33+IF(AND($C33=53,$U33=1),1,0)</f>
        <v/>
      </c>
      <c r="WC34">
        <f>WC33+IF(AND($C33=54,$U33=1),1,0)</f>
        <v/>
      </c>
      <c r="WD34">
        <f>WD33+IF(AND($C33=55,$U33=1),1,0)</f>
        <v/>
      </c>
      <c r="WE34">
        <f>WE33+IF(AND($C33=56,$U33=1),1,0)</f>
        <v/>
      </c>
      <c r="WF34">
        <f>WF33+IF(AND($C33=57,$U33=1),1,0)</f>
        <v/>
      </c>
      <c r="WG34">
        <f>WG33+IF(AND($C33=58,$U33=1),1,0)</f>
        <v/>
      </c>
      <c r="WH34">
        <f>WH33+IF(AND($C33=59,$U33=1),1,0)</f>
        <v/>
      </c>
      <c r="WI34">
        <f>WI33+IF(AND($C33=60,$U33=1),1,0)</f>
        <v/>
      </c>
      <c r="WJ34">
        <f>WJ33+IF(AND($C33=61,$U33=1),1,0)</f>
        <v/>
      </c>
      <c r="WK34">
        <f>WK33+IF(AND($C33=62,$U33=1),1,0)</f>
        <v/>
      </c>
      <c r="WL34">
        <f>WL33+IF(AND($C33=63,$U33=1),1,0)</f>
        <v/>
      </c>
      <c r="WM34">
        <f>WM33+IF(AND($C33=64,$U33=1),1,0)</f>
        <v/>
      </c>
      <c r="WN34">
        <f>WN33+IF(AND($C33=65,$U33=1),1,0)</f>
        <v/>
      </c>
      <c r="WO34">
        <f>WO33+IF(AND($C33=66,$U33=1),1,0)</f>
        <v/>
      </c>
      <c r="WP34">
        <f>WP33+IF(AND($C33=67,$U33=1),1,0)</f>
        <v/>
      </c>
      <c r="WQ34">
        <f>WQ33+IF(AND($C33=68,$U33=1),1,0)</f>
        <v/>
      </c>
      <c r="WR34">
        <f>WR33+IF(AND($C33=69,$U33=1),1,0)</f>
        <v/>
      </c>
      <c r="WS34">
        <f>WS33+IF(AND($C33=70,$U33=1),1,0)</f>
        <v/>
      </c>
      <c r="WT34">
        <f>WT33+IF(AND($C33=71,$U33=1),1,0)</f>
        <v/>
      </c>
      <c r="WU34">
        <f>WU33+IF(AND($C33=72,$U33=1),1,0)</f>
        <v/>
      </c>
      <c r="WV34">
        <f>WV33+IF(AND($C33=73,$U33=1),1,0)</f>
        <v/>
      </c>
      <c r="WW34">
        <f>WW33+IF(AND($C33=74,$U33=1),1,0)</f>
        <v/>
      </c>
      <c r="WX34">
        <f>WX33+IF(AND($C33=75,$U33=1),1,0)</f>
        <v/>
      </c>
      <c r="WY34">
        <f>WY33+IF(AND($C33=76,$U33=1),1,0)</f>
        <v/>
      </c>
      <c r="WZ34">
        <f>WZ33+IF(AND($C33=77,$U33=1),1,0)</f>
        <v/>
      </c>
      <c r="XA34">
        <f>XA33+IF(AND($C33=78,$U33=1),1,0)</f>
        <v/>
      </c>
      <c r="XB34">
        <f>XB33+IF(AND($C33=79,$U33=1),1,0)</f>
        <v/>
      </c>
      <c r="XC34">
        <f>XC33+IF(AND($C33=80,$U33=1),1,0)</f>
        <v/>
      </c>
      <c r="XD34">
        <f>XD33+IF(AND($C33=81,$U33=1),1,0)</f>
        <v/>
      </c>
      <c r="XE34">
        <f>XE33+IF(AND($C33=82,$U33=1),1,0)</f>
        <v/>
      </c>
      <c r="XF34">
        <f>XF33+IF(AND($C33=83,$U33=1),1,0)</f>
        <v/>
      </c>
      <c r="XG34">
        <f>XG33+IF(AND($C33=84,$U33=1),1,0)</f>
        <v/>
      </c>
      <c r="XH34">
        <f>XH33+IF(AND($C33=85,$U33=1),1,0)</f>
        <v/>
      </c>
      <c r="XI34">
        <f>XI33+IF(AND($C33=86,$U33=1),1,0)</f>
        <v/>
      </c>
      <c r="XJ34">
        <f>XJ33+IF(AND($C33=87,$U33=1),1,0)</f>
        <v/>
      </c>
      <c r="XK34">
        <f>XK33+IF(AND($C33=88,$U33=1),1,0)</f>
        <v/>
      </c>
      <c r="XL34">
        <f>XL33+IF(AND($C33=89,$U33=1),1,0)</f>
        <v/>
      </c>
      <c r="XM34">
        <f>XM33+IF(AND($C33=90,$U33=1),1,0)</f>
        <v/>
      </c>
      <c r="XN34">
        <f>XN33+IF(AND($C33=91,$U33=1),1,0)</f>
        <v/>
      </c>
      <c r="XO34">
        <f>XO33+IF(AND($C33=92,$U33=1),1,0)</f>
        <v/>
      </c>
      <c r="XP34">
        <f>XP33+IF(AND($C33=93,$U33=1),1,0)</f>
        <v/>
      </c>
      <c r="XQ34">
        <f>XQ33+IF(AND($C33=94,$U33=1),1,0)</f>
        <v/>
      </c>
      <c r="XR34">
        <f>XR33+IF(AND($C33=95,$U33=1),1,0)</f>
        <v/>
      </c>
      <c r="XS34">
        <f>XS33+IF(AND($C33=96,$U33=1),1,0)</f>
        <v/>
      </c>
      <c r="XT34">
        <f>XT33+IF(AND($C33=97,$U33=1),1,0)</f>
        <v/>
      </c>
      <c r="XU34">
        <f>XU33+IF(AND($C33=98,$U33=1),1,0)</f>
        <v/>
      </c>
      <c r="XV34">
        <f>XV33+IF(AND($C33=99,$U33=1),1,0)</f>
        <v/>
      </c>
      <c r="XW34">
        <f>XW33+IF(AND($C33=100,$U33=1),1,0)</f>
        <v/>
      </c>
      <c r="XX34">
        <f>XX33+IF(AND($C33=101,$U33=1),1,0)</f>
        <v/>
      </c>
      <c r="XY34">
        <f>XY33+IF(AND($C33=102,$U33=1),1,0)</f>
        <v/>
      </c>
      <c r="XZ34">
        <f>XZ33+IF(AND($C33=103,$U33=1),1,0)</f>
        <v/>
      </c>
      <c r="YA34">
        <f>YA33+IF(AND($C33=104,$U33=1),1,0)</f>
        <v/>
      </c>
      <c r="YB34">
        <f>YB33+IF(AND($C33=105,$U33=1),1,0)</f>
        <v/>
      </c>
      <c r="YC34">
        <f>YC33+IF(AND($C33=106,$U33=1),1,0)</f>
        <v/>
      </c>
      <c r="YD34">
        <f>YD33+IF(AND($C33=107,$U33=1),1,0)</f>
        <v/>
      </c>
      <c r="YE34">
        <f>YE33+IF(AND($C33=108,$U33=1),1,0)</f>
        <v/>
      </c>
      <c r="YF34">
        <f>YF33+IF(AND($C33=109,$U33=1),1,0)</f>
        <v/>
      </c>
      <c r="YG34">
        <f>YG33+IF(AND($C33=110,$U33=1),1,0)</f>
        <v/>
      </c>
      <c r="YH34">
        <f>YH33+IF(AND($C33=111,$U33=1),1,0)</f>
        <v/>
      </c>
      <c r="YI34">
        <f>YI33+IF(AND($C33=112,$U33=1),1,0)</f>
        <v/>
      </c>
      <c r="YJ34">
        <f>YJ33+IF(AND($C33=113,$U33=1),1,0)</f>
        <v/>
      </c>
      <c r="YK34">
        <f>YK33+IF(AND($C33=114,$U33=1),1,0)</f>
        <v/>
      </c>
      <c r="YL34">
        <f>YL33+IF(AND($C33=115,$U33=1),1,0)</f>
        <v/>
      </c>
      <c r="YM34">
        <f>YM33+IF(AND($C33=116,$U33=1),1,0)</f>
        <v/>
      </c>
      <c r="YN34">
        <f>YN33+IF(AND($C33=117,$U33=1),1,0)</f>
        <v/>
      </c>
      <c r="YO34">
        <f>YO33+IF(AND($C33=118,$U33=1),1,0)</f>
        <v/>
      </c>
      <c r="YP34">
        <f>YP33+IF(AND($C33=119,$U33=1),1,0)</f>
        <v/>
      </c>
      <c r="YQ34">
        <f>YQ33+IF(AND($C33=120,$U33=1),1,0)</f>
        <v/>
      </c>
      <c r="YR34">
        <f>YR33+IF(AND($C33=121,$U33=1),1,0)</f>
        <v/>
      </c>
      <c r="YS34">
        <f>YS33+IF(AND($C33=122,$U33=1),1,0)</f>
        <v/>
      </c>
      <c r="YT34">
        <f>YT33+IF(AND($C33=123,$U33=1),1,0)</f>
        <v/>
      </c>
      <c r="YU34">
        <f>YU33+IF(AND($C33=124,$U33=1),1,0)</f>
        <v/>
      </c>
      <c r="YV34">
        <f>YV33+IF(AND($C33=125,$U33=1),1,0)</f>
        <v/>
      </c>
      <c r="YW34">
        <f>YW33+IF(AND($C33=126,$U33=1),1,0)</f>
        <v/>
      </c>
      <c r="YX34">
        <f>YX33+IF(AND($C33=127,$U33=1),1,0)</f>
        <v/>
      </c>
      <c r="YY34">
        <f>YY33+IF(AND($C33=128,$U33=1),1,0)</f>
        <v/>
      </c>
      <c r="YZ34">
        <f>YZ33+IF(AND($C33=129,$U33=1),1,0)</f>
        <v/>
      </c>
      <c r="ZA34">
        <f>ZA33+IF(AND($C33=130,$U33=1),1,0)</f>
        <v/>
      </c>
      <c r="ZB34">
        <f>ZB33+IF(AND($C33=131,$U33=1),1,0)</f>
        <v/>
      </c>
      <c r="ZC34">
        <f>ZC33+IF(AND($C33=132,$U33=1),1,0)</f>
        <v/>
      </c>
      <c r="ZD34">
        <f>ZD33+IF(AND($C33=133,$U33=1),1,0)</f>
        <v/>
      </c>
      <c r="ZE34">
        <f>ZE33+IF(AND($C33=134,$U33=1),1,0)</f>
        <v/>
      </c>
      <c r="ZF34">
        <f>ZF33+IF(AND($C33=135,$U33=1),1,0)</f>
        <v/>
      </c>
      <c r="ZG34">
        <f>ZG33+IF(AND($C33=136,$U33=1),1,0)</f>
        <v/>
      </c>
      <c r="ZH34">
        <f>ZH33+IF(AND($C33=137,$U33=1),1,0)</f>
        <v/>
      </c>
      <c r="ZI34">
        <f>ZI33+IF(AND($C33=138,$U33=1),1,0)</f>
        <v/>
      </c>
      <c r="ZJ34">
        <f>ZJ33+IF(AND($C33=139,$U33=1),1,0)</f>
        <v/>
      </c>
      <c r="ZK34">
        <f>ZK33+IF(AND($C33=140,$U33=1),1,0)</f>
        <v/>
      </c>
      <c r="ZL34">
        <f>ZL33+IF(AND($C33=141,$U33=1),1,0)</f>
        <v/>
      </c>
      <c r="ZM34">
        <f>ZM33+IF(AND($C33=142,$U33=1),1,0)</f>
        <v/>
      </c>
      <c r="ZN34">
        <f>ZN33+IF(AND($C33=143,$U33=1),1,0)</f>
        <v/>
      </c>
      <c r="ZO34">
        <f>ZO33+IF(AND($C33=144,$U33=1),1,0)</f>
        <v/>
      </c>
      <c r="ZQ34">
        <f>IF($C33=1,0,ZQ33+IF(AND($G33=1,$E33=1),1,0))</f>
        <v/>
      </c>
      <c r="ZR34">
        <f>IF($C33=2,0,ZR33+IF(AND($G33=2,$E33=1),1,0))</f>
        <v/>
      </c>
      <c r="ZS34">
        <f>IF($C33=3,0,ZS33+IF(AND($G33=3,$E33=1),1,0))</f>
        <v/>
      </c>
      <c r="ZT34">
        <f>IF($C33=4,0,ZT33+IF(AND($G33=4,$E33=1),1,0))</f>
        <v/>
      </c>
      <c r="ZU34">
        <f>IF($C33=5,0,ZU33+IF(AND($G33=5,$E33=1),1,0))</f>
        <v/>
      </c>
      <c r="ZV34">
        <f>IF($C33=6,0,ZV33+IF(AND($G33=6,$E33=1),1,0))</f>
        <v/>
      </c>
      <c r="ZW34">
        <f>IF($C33=7,0,ZW33+IF(AND($G33=7,$E33=1),1,0))</f>
        <v/>
      </c>
      <c r="ZX34">
        <f>IF($C33=8,0,ZX33+IF(AND($G33=8,$E33=1),1,0))</f>
        <v/>
      </c>
      <c r="ZY34">
        <f>IF($C33=9,0,ZY33+IF(AND($G33=9,$E33=1),1,0))</f>
        <v/>
      </c>
      <c r="ZZ34">
        <f>IF($C33=10,0,ZZ33+IF(AND($G33=10,$E33=1),1,0))</f>
        <v/>
      </c>
      <c r="AAA34">
        <f>IF($C33=11,0,AAA33+IF(AND($G33=11,$E33=1),1,0))</f>
        <v/>
      </c>
      <c r="AAB34">
        <f>IF($C33=12,0,AAB33+IF(AND($G33=12,$E33=1),1,0))</f>
        <v/>
      </c>
      <c r="AAC34">
        <f>IF($C33=13,0,AAC33+IF(AND($G33=13,$E33=1),1,0))</f>
        <v/>
      </c>
      <c r="AAD34">
        <f>IF($C33=14,0,AAD33+IF(AND($G33=14,$E33=1),1,0))</f>
        <v/>
      </c>
      <c r="AAE34">
        <f>IF($C33=15,0,AAE33+IF(AND($G33=15,$E33=1),1,0))</f>
        <v/>
      </c>
      <c r="AAF34">
        <f>IF($C33=16,0,AAF33+IF(AND($G33=16,$E33=1),1,0))</f>
        <v/>
      </c>
      <c r="AAG34">
        <f>IF($C33=17,0,AAG33+IF(AND($G33=17,$E33=1),1,0))</f>
        <v/>
      </c>
      <c r="AAH34">
        <f>IF($C33=18,0,AAH33+IF(AND($G33=18,$E33=1),1,0))</f>
        <v/>
      </c>
      <c r="AAI34">
        <f>IF($C33=19,0,AAI33+IF(AND($G33=19,$E33=1),1,0))</f>
        <v/>
      </c>
      <c r="AAJ34">
        <f>IF($C33=20,0,AAJ33+IF(AND($G33=20,$E33=1),1,0))</f>
        <v/>
      </c>
      <c r="AAK34">
        <f>IF($C33=21,0,AAK33+IF(AND($G33=21,$E33=1),1,0))</f>
        <v/>
      </c>
      <c r="AAL34">
        <f>IF($C33=22,0,AAL33+IF(AND($G33=22,$E33=1),1,0))</f>
        <v/>
      </c>
      <c r="AAM34">
        <f>IF($C33=23,0,AAM33+IF(AND($G33=23,$E33=1),1,0))</f>
        <v/>
      </c>
      <c r="AAN34">
        <f>IF($C33=24,0,AAN33+IF(AND($G33=24,$E33=1),1,0))</f>
        <v/>
      </c>
      <c r="AAO34">
        <f>IF($C33=25,0,AAO33+IF(AND($G33=25,$E33=1),1,0))</f>
        <v/>
      </c>
      <c r="AAP34">
        <f>IF($C33=26,0,AAP33+IF(AND($G33=26,$E33=1),1,0))</f>
        <v/>
      </c>
      <c r="AAQ34">
        <f>IF($C33=27,0,AAQ33+IF(AND($G33=27,$E33=1),1,0))</f>
        <v/>
      </c>
      <c r="AAR34">
        <f>IF($C33=28,0,AAR33+IF(AND($G33=28,$E33=1),1,0))</f>
        <v/>
      </c>
      <c r="AAS34">
        <f>IF($C33=29,0,AAS33+IF(AND($G33=29,$E33=1),1,0))</f>
        <v/>
      </c>
      <c r="AAT34">
        <f>IF($C33=30,0,AAT33+IF(AND($G33=30,$E33=1),1,0))</f>
        <v/>
      </c>
      <c r="AAU34">
        <f>IF($C33=31,0,AAU33+IF(AND($G33=31,$E33=1),1,0))</f>
        <v/>
      </c>
      <c r="AAV34">
        <f>IF($C33=32,0,AAV33+IF(AND($G33=32,$E33=1),1,0))</f>
        <v/>
      </c>
      <c r="AAW34">
        <f>IF($C33=33,0,AAW33+IF(AND($G33=33,$E33=1),1,0))</f>
        <v/>
      </c>
      <c r="AAX34">
        <f>IF($C33=34,0,AAX33+IF(AND($G33=34,$E33=1),1,0))</f>
        <v/>
      </c>
      <c r="AAY34">
        <f>IF($C33=35,0,AAY33+IF(AND($G33=35,$E33=1),1,0))</f>
        <v/>
      </c>
      <c r="AAZ34">
        <f>IF($C33=36,0,AAZ33+IF(AND($G33=36,$E33=1),1,0))</f>
        <v/>
      </c>
      <c r="ABA34">
        <f>IF($C33=37,0,ABA33+IF(AND($G33=37,$E33=1),1,0))</f>
        <v/>
      </c>
      <c r="ABB34">
        <f>IF($C33=38,0,ABB33+IF(AND($G33=38,$E33=1),1,0))</f>
        <v/>
      </c>
      <c r="ABC34">
        <f>IF($C33=39,0,ABC33+IF(AND($G33=39,$E33=1),1,0))</f>
        <v/>
      </c>
      <c r="ABD34">
        <f>IF($C33=40,0,ABD33+IF(AND($G33=40,$E33=1),1,0))</f>
        <v/>
      </c>
      <c r="ABE34">
        <f>IF($C33=41,0,ABE33+IF(AND($G33=41,$E33=1),1,0))</f>
        <v/>
      </c>
      <c r="ABF34">
        <f>IF($C33=42,0,ABF33+IF(AND($G33=42,$E33=1),1,0))</f>
        <v/>
      </c>
      <c r="ABG34">
        <f>IF($C33=43,0,ABG33+IF(AND($G33=43,$E33=1),1,0))</f>
        <v/>
      </c>
      <c r="ABH34">
        <f>IF($C33=44,0,ABH33+IF(AND($G33=44,$E33=1),1,0))</f>
        <v/>
      </c>
      <c r="ABI34">
        <f>IF($C33=45,0,ABI33+IF(AND($G33=45,$E33=1),1,0))</f>
        <v/>
      </c>
      <c r="ABJ34">
        <f>IF($C33=46,0,ABJ33+IF(AND($G33=46,$E33=1),1,0))</f>
        <v/>
      </c>
      <c r="ABK34">
        <f>IF($C33=47,0,ABK33+IF(AND($G33=47,$E33=1),1,0))</f>
        <v/>
      </c>
      <c r="ABL34">
        <f>IF($C33=48,0,ABL33+IF(AND($G33=48,$E33=1),1,0))</f>
        <v/>
      </c>
      <c r="ABM34">
        <f>IF($C33=49,0,ABM33+IF(AND($G33=49,$E33=1),1,0))</f>
        <v/>
      </c>
      <c r="ABN34">
        <f>IF($C33=50,0,ABN33+IF(AND($G33=50,$E33=1),1,0))</f>
        <v/>
      </c>
      <c r="ABO34">
        <f>IF($C33=51,0,ABO33+IF(AND($G33=51,$E33=1),1,0))</f>
        <v/>
      </c>
      <c r="ABP34">
        <f>IF($C33=52,0,ABP33+IF(AND($G33=52,$E33=1),1,0))</f>
        <v/>
      </c>
      <c r="ABQ34">
        <f>IF($C33=53,0,ABQ33+IF(AND($G33=53,$E33=1),1,0))</f>
        <v/>
      </c>
      <c r="ABR34">
        <f>IF($C33=54,0,ABR33+IF(AND($G33=54,$E33=1),1,0))</f>
        <v/>
      </c>
      <c r="ABS34">
        <f>IF($C33=55,0,ABS33+IF(AND($G33=55,$E33=1),1,0))</f>
        <v/>
      </c>
      <c r="ABT34">
        <f>IF($C33=56,0,ABT33+IF(AND($G33=56,$E33=1),1,0))</f>
        <v/>
      </c>
      <c r="ABU34">
        <f>IF($C33=57,0,ABU33+IF(AND($G33=57,$E33=1),1,0))</f>
        <v/>
      </c>
      <c r="ABV34">
        <f>IF($C33=58,0,ABV33+IF(AND($G33=58,$E33=1),1,0))</f>
        <v/>
      </c>
      <c r="ABW34">
        <f>IF($C33=59,0,ABW33+IF(AND($G33=59,$E33=1),1,0))</f>
        <v/>
      </c>
      <c r="ABX34">
        <f>IF($C33=60,0,ABX33+IF(AND($G33=60,$E33=1),1,0))</f>
        <v/>
      </c>
      <c r="ABY34">
        <f>IF($C33=61,0,ABY33+IF(AND($G33=61,$E33=1),1,0))</f>
        <v/>
      </c>
      <c r="ABZ34">
        <f>IF($C33=62,0,ABZ33+IF(AND($G33=62,$E33=1),1,0))</f>
        <v/>
      </c>
      <c r="ACA34">
        <f>IF($C33=63,0,ACA33+IF(AND($G33=63,$E33=1),1,0))</f>
        <v/>
      </c>
      <c r="ACB34">
        <f>IF($C33=64,0,ACB33+IF(AND($G33=64,$E33=1),1,0))</f>
        <v/>
      </c>
      <c r="ACC34">
        <f>IF($C33=65,0,ACC33+IF(AND($G33=65,$E33=1),1,0))</f>
        <v/>
      </c>
      <c r="ACD34">
        <f>IF($C33=66,0,ACD33+IF(AND($G33=66,$E33=1),1,0))</f>
        <v/>
      </c>
      <c r="ACE34">
        <f>IF($C33=67,0,ACE33+IF(AND($G33=67,$E33=1),1,0))</f>
        <v/>
      </c>
      <c r="ACF34">
        <f>IF($C33=68,0,ACF33+IF(AND($G33=68,$E33=1),1,0))</f>
        <v/>
      </c>
      <c r="ACG34">
        <f>IF($C33=69,0,ACG33+IF(AND($G33=69,$E33=1),1,0))</f>
        <v/>
      </c>
      <c r="ACH34">
        <f>IF($C33=70,0,ACH33+IF(AND($G33=70,$E33=1),1,0))</f>
        <v/>
      </c>
      <c r="ACI34">
        <f>IF($C33=71,0,ACI33+IF(AND($G33=71,$E33=1),1,0))</f>
        <v/>
      </c>
      <c r="ACJ34">
        <f>IF($C33=72,0,ACJ33+IF(AND($G33=72,$E33=1),1,0))</f>
        <v/>
      </c>
      <c r="ACK34">
        <f>IF($C33=73,0,ACK33+IF(AND($G33=73,$E33=1),1,0))</f>
        <v/>
      </c>
      <c r="ACL34">
        <f>IF($C33=74,0,ACL33+IF(AND($G33=74,$E33=1),1,0))</f>
        <v/>
      </c>
      <c r="ACM34">
        <f>IF($C33=75,0,ACM33+IF(AND($G33=75,$E33=1),1,0))</f>
        <v/>
      </c>
      <c r="ACN34">
        <f>IF($C33=76,0,ACN33+IF(AND($G33=76,$E33=1),1,0))</f>
        <v/>
      </c>
      <c r="ACO34">
        <f>IF($C33=77,0,ACO33+IF(AND($G33=77,$E33=1),1,0))</f>
        <v/>
      </c>
      <c r="ACP34">
        <f>IF($C33=78,0,ACP33+IF(AND($G33=78,$E33=1),1,0))</f>
        <v/>
      </c>
      <c r="ACQ34">
        <f>IF($C33=79,0,ACQ33+IF(AND($G33=79,$E33=1),1,0))</f>
        <v/>
      </c>
      <c r="ACR34">
        <f>IF($C33=80,0,ACR33+IF(AND($G33=80,$E33=1),1,0))</f>
        <v/>
      </c>
      <c r="ACS34">
        <f>IF($C33=81,0,ACS33+IF(AND($G33=81,$E33=1),1,0))</f>
        <v/>
      </c>
      <c r="ACT34">
        <f>IF($C33=82,0,ACT33+IF(AND($G33=82,$E33=1),1,0))</f>
        <v/>
      </c>
      <c r="ACU34">
        <f>IF($C33=83,0,ACU33+IF(AND($G33=83,$E33=1),1,0))</f>
        <v/>
      </c>
      <c r="ACV34">
        <f>IF($C33=84,0,ACV33+IF(AND($G33=84,$E33=1),1,0))</f>
        <v/>
      </c>
      <c r="ACW34">
        <f>IF($C33=85,0,ACW33+IF(AND($G33=85,$E33=1),1,0))</f>
        <v/>
      </c>
      <c r="ACX34">
        <f>IF($C33=86,0,ACX33+IF(AND($G33=86,$E33=1),1,0))</f>
        <v/>
      </c>
      <c r="ACY34">
        <f>IF($C33=87,0,ACY33+IF(AND($G33=87,$E33=1),1,0))</f>
        <v/>
      </c>
      <c r="ACZ34">
        <f>IF($C33=88,0,ACZ33+IF(AND($G33=88,$E33=1),1,0))</f>
        <v/>
      </c>
      <c r="ADA34">
        <f>IF($C33=89,0,ADA33+IF(AND($G33=89,$E33=1),1,0))</f>
        <v/>
      </c>
      <c r="ADB34">
        <f>IF($C33=90,0,ADB33+IF(AND($G33=90,$E33=1),1,0))</f>
        <v/>
      </c>
      <c r="ADC34">
        <f>IF($C33=91,0,ADC33+IF(AND($G33=91,$E33=1),1,0))</f>
        <v/>
      </c>
      <c r="ADD34">
        <f>IF($C33=92,0,ADD33+IF(AND($G33=92,$E33=1),1,0))</f>
        <v/>
      </c>
      <c r="ADE34">
        <f>IF($C33=93,0,ADE33+IF(AND($G33=93,$E33=1),1,0))</f>
        <v/>
      </c>
      <c r="ADF34">
        <f>IF($C33=94,0,ADF33+IF(AND($G33=94,$E33=1),1,0))</f>
        <v/>
      </c>
      <c r="ADG34">
        <f>IF($C33=95,0,ADG33+IF(AND($G33=95,$E33=1),1,0))</f>
        <v/>
      </c>
      <c r="ADH34">
        <f>IF($C33=96,0,ADH33+IF(AND($G33=96,$E33=1),1,0))</f>
        <v/>
      </c>
      <c r="ADI34">
        <f>IF($C33=97,0,ADI33+IF(AND($G33=97,$E33=1),1,0))</f>
        <v/>
      </c>
      <c r="ADJ34">
        <f>IF($C33=98,0,ADJ33+IF(AND($G33=98,$E33=1),1,0))</f>
        <v/>
      </c>
      <c r="ADK34">
        <f>IF($C33=99,0,ADK33+IF(AND($G33=99,$E33=1),1,0))</f>
        <v/>
      </c>
      <c r="ADL34">
        <f>IF($C33=100,0,ADL33+IF(AND($G33=100,$E33=1),1,0))</f>
        <v/>
      </c>
      <c r="ADM34">
        <f>IF($C33=101,0,ADM33+IF(AND($G33=101,$E33=1),1,0))</f>
        <v/>
      </c>
      <c r="ADN34">
        <f>IF($C33=102,0,ADN33+IF(AND($G33=102,$E33=1),1,0))</f>
        <v/>
      </c>
      <c r="ADO34">
        <f>IF($C33=103,0,ADO33+IF(AND($G33=103,$E33=1),1,0))</f>
        <v/>
      </c>
      <c r="ADP34">
        <f>IF($C33=104,0,ADP33+IF(AND($G33=104,$E33=1),1,0))</f>
        <v/>
      </c>
      <c r="ADQ34">
        <f>IF($C33=105,0,ADQ33+IF(AND($G33=105,$E33=1),1,0))</f>
        <v/>
      </c>
      <c r="ADR34">
        <f>IF($C33=106,0,ADR33+IF(AND($G33=106,$E33=1),1,0))</f>
        <v/>
      </c>
      <c r="ADS34">
        <f>IF($C33=107,0,ADS33+IF(AND($G33=107,$E33=1),1,0))</f>
        <v/>
      </c>
      <c r="ADT34">
        <f>IF($C33=108,0,ADT33+IF(AND($G33=108,$E33=1),1,0))</f>
        <v/>
      </c>
      <c r="ADU34">
        <f>IF($C33=109,0,ADU33+IF(AND($G33=109,$E33=1),1,0))</f>
        <v/>
      </c>
      <c r="ADV34">
        <f>IF($C33=110,0,ADV33+IF(AND($G33=110,$E33=1),1,0))</f>
        <v/>
      </c>
      <c r="ADW34">
        <f>IF($C33=111,0,ADW33+IF(AND($G33=111,$E33=1),1,0))</f>
        <v/>
      </c>
      <c r="ADX34">
        <f>IF($C33=112,0,ADX33+IF(AND($G33=112,$E33=1),1,0))</f>
        <v/>
      </c>
      <c r="ADY34">
        <f>IF($C33=113,0,ADY33+IF(AND($G33=113,$E33=1),1,0))</f>
        <v/>
      </c>
      <c r="ADZ34">
        <f>IF($C33=114,0,ADZ33+IF(AND($G33=114,$E33=1),1,0))</f>
        <v/>
      </c>
      <c r="AEA34">
        <f>IF($C33=115,0,AEA33+IF(AND($G33=115,$E33=1),1,0))</f>
        <v/>
      </c>
      <c r="AEB34">
        <f>IF($C33=116,0,AEB33+IF(AND($G33=116,$E33=1),1,0))</f>
        <v/>
      </c>
      <c r="AEC34">
        <f>IF($C33=117,0,AEC33+IF(AND($G33=117,$E33=1),1,0))</f>
        <v/>
      </c>
      <c r="AED34">
        <f>IF($C33=118,0,AED33+IF(AND($G33=118,$E33=1),1,0))</f>
        <v/>
      </c>
      <c r="AEE34">
        <f>IF($C33=119,0,AEE33+IF(AND($G33=119,$E33=1),1,0))</f>
        <v/>
      </c>
      <c r="AEF34">
        <f>IF($C33=120,0,AEF33+IF(AND($G33=120,$E33=1),1,0))</f>
        <v/>
      </c>
      <c r="AEG34">
        <f>IF($C33=121,0,AEG33+IF(AND($G33=121,$E33=1),1,0))</f>
        <v/>
      </c>
      <c r="AEH34">
        <f>IF($C33=122,0,AEH33+IF(AND($G33=122,$E33=1),1,0))</f>
        <v/>
      </c>
      <c r="AEI34">
        <f>IF($C33=123,0,AEI33+IF(AND($G33=123,$E33=1),1,0))</f>
        <v/>
      </c>
      <c r="AEJ34">
        <f>IF($C33=124,0,AEJ33+IF(AND($G33=124,$E33=1),1,0))</f>
        <v/>
      </c>
      <c r="AEK34">
        <f>IF($C33=125,0,AEK33+IF(AND($G33=125,$E33=1),1,0))</f>
        <v/>
      </c>
      <c r="AEL34">
        <f>IF($C33=126,0,AEL33+IF(AND($G33=126,$E33=1),1,0))</f>
        <v/>
      </c>
      <c r="AEM34">
        <f>IF($C33=127,0,AEM33+IF(AND($G33=127,$E33=1),1,0))</f>
        <v/>
      </c>
      <c r="AEN34">
        <f>IF($C33=128,0,AEN33+IF(AND($G33=128,$E33=1),1,0))</f>
        <v/>
      </c>
      <c r="AEO34">
        <f>IF($C33=129,0,AEO33+IF(AND($G33=129,$E33=1),1,0))</f>
        <v/>
      </c>
      <c r="AEP34">
        <f>IF($C33=130,0,AEP33+IF(AND($G33=130,$E33=1),1,0))</f>
        <v/>
      </c>
      <c r="AEQ34">
        <f>IF($C33=131,0,AEQ33+IF(AND($G33=131,$E33=1),1,0))</f>
        <v/>
      </c>
      <c r="AER34">
        <f>IF($C33=132,0,AER33+IF(AND($G33=132,$E33=1),1,0))</f>
        <v/>
      </c>
      <c r="AES34">
        <f>IF($C33=133,0,AES33+IF(AND($G33=133,$E33=1),1,0))</f>
        <v/>
      </c>
      <c r="AET34">
        <f>IF($C33=134,0,AET33+IF(AND($G33=134,$E33=1),1,0))</f>
        <v/>
      </c>
      <c r="AEU34">
        <f>IF($C33=135,0,AEU33+IF(AND($G33=135,$E33=1),1,0))</f>
        <v/>
      </c>
      <c r="AEV34">
        <f>IF($C33=136,0,AEV33+IF(AND($G33=136,$E33=1),1,0))</f>
        <v/>
      </c>
      <c r="AEW34">
        <f>IF($C33=137,0,AEW33+IF(AND($G33=137,$E33=1),1,0))</f>
        <v/>
      </c>
      <c r="AEX34">
        <f>IF($C33=138,0,AEX33+IF(AND($G33=138,$E33=1),1,0))</f>
        <v/>
      </c>
      <c r="AEY34">
        <f>IF($C33=139,0,AEY33+IF(AND($G33=139,$E33=1),1,0))</f>
        <v/>
      </c>
      <c r="AEZ34">
        <f>IF($C33=140,0,AEZ33+IF(AND($G33=140,$E33=1),1,0))</f>
        <v/>
      </c>
      <c r="AFA34">
        <f>IF($C33=141,0,AFA33+IF(AND($G33=141,$E33=1),1,0))</f>
        <v/>
      </c>
      <c r="AFB34">
        <f>IF($C33=142,0,AFB33+IF(AND($G33=142,$E33=1),1,0))</f>
        <v/>
      </c>
      <c r="AFC34">
        <f>IF($C33=143,0,AFC33+IF(AND($G33=143,$E33=1),1,0))</f>
        <v/>
      </c>
      <c r="AFD34">
        <f>IF($C33=144,0,AFD33+IF(AND($G33=144,$E33=1),1,0))</f>
        <v/>
      </c>
      <c r="AFF34">
        <f>IF('calcA'!D$106=1,DC34+ZR34,1)</f>
        <v/>
      </c>
      <c r="AFG34">
        <f>IF('calcA'!E$106=1,DD34+ZS34,1)</f>
        <v/>
      </c>
      <c r="AFH34">
        <f>IF('calcA'!F$106=1,DE34+ZT34,1)</f>
        <v/>
      </c>
      <c r="AFI34">
        <f>IF('calcA'!G$106=1,DF34+ZU34,1)</f>
        <v/>
      </c>
      <c r="AFJ34">
        <f>IF('calcA'!H$106=1,DG34+ZV34,1)</f>
        <v/>
      </c>
      <c r="AFK34">
        <f>IF('calcA'!I$106=1,DH34+ZW34,1)</f>
        <v/>
      </c>
      <c r="AFL34">
        <f>IF('calcA'!J$106=1,DI34+ZX34,1)</f>
        <v/>
      </c>
      <c r="AFM34">
        <f>IF('calcA'!K$106=1,DJ34+ZY34,1)</f>
        <v/>
      </c>
      <c r="AFN34">
        <f>IF('calcA'!L$106=1,DK34+ZZ34,1)</f>
        <v/>
      </c>
      <c r="AFO34">
        <f>IF('calcA'!M$106=1,DL34+AAA34,1)</f>
        <v/>
      </c>
      <c r="AFP34">
        <f>IF('calcA'!N$106=1,DM34+AAB34,1)</f>
        <v/>
      </c>
      <c r="AFQ34">
        <f>IF('calcA'!O$106=1,DN34+AAC34,1)</f>
        <v/>
      </c>
      <c r="AFR34">
        <f>IF('calcA'!P$106=1,DO34+AAD34,1)</f>
        <v/>
      </c>
      <c r="AFS34">
        <f>IF('calcA'!Q$106=1,DP34+AAE34,1)</f>
        <v/>
      </c>
      <c r="AFT34">
        <f>IF('calcA'!R$106=1,DQ34+AAF34,1)</f>
        <v/>
      </c>
      <c r="AFU34">
        <f>IF('calcA'!S$106=1,DR34+AAG34,1)</f>
        <v/>
      </c>
      <c r="AFV34">
        <f>IF('calcA'!T$106=1,DS34+AAH34,1)</f>
        <v/>
      </c>
      <c r="AFW34">
        <f>IF('calcA'!U$106=1,DT34+AAI34,1)</f>
        <v/>
      </c>
      <c r="AFX34">
        <f>IF('calcA'!V$106=1,DU34+AAJ34,1)</f>
        <v/>
      </c>
      <c r="AFY34">
        <f>IF('calcA'!W$106=1,DV34+AAK34,1)</f>
        <v/>
      </c>
      <c r="AFZ34">
        <f>IF('calcA'!X$106=1,DW34+AAL34,1)</f>
        <v/>
      </c>
      <c r="AGA34">
        <f>IF('calcA'!Y$106=1,DX34+AAM34,1)</f>
        <v/>
      </c>
      <c r="AGB34">
        <f>IF('calcA'!Z$106=1,DY34+AAN34,1)</f>
        <v/>
      </c>
      <c r="AGC34">
        <f>IF('calcA'!AA$106=1,DZ34+AAO34,1)</f>
        <v/>
      </c>
      <c r="AGD34">
        <f>IF('calcA'!AB$106=1,EA34+AAP34,1)</f>
        <v/>
      </c>
      <c r="AGE34">
        <f>IF('calcA'!AC$106=1,EB34+AAQ34,1)</f>
        <v/>
      </c>
      <c r="AGF34">
        <f>IF('calcA'!AD$106=1,EC34+AAR34,1)</f>
        <v/>
      </c>
      <c r="AGG34">
        <f>IF('calcA'!AE$106=1,ED34+AAS34,1)</f>
        <v/>
      </c>
      <c r="AGH34">
        <f>IF('calcA'!AF$106=1,EE34+AAT34,1)</f>
        <v/>
      </c>
      <c r="AGI34">
        <f>IF('calcA'!AG$106=1,EF34+AAU34,1)</f>
        <v/>
      </c>
      <c r="AGJ34">
        <f>IF('calcA'!AH$106=1,EG34+AAV34,1)</f>
        <v/>
      </c>
      <c r="AGK34">
        <f>IF('calcA'!AI$106=1,EH34+AAW34,1)</f>
        <v/>
      </c>
      <c r="AGL34">
        <f>IF('calcA'!AJ$106=1,EI34+AAX34,1)</f>
        <v/>
      </c>
      <c r="AGM34">
        <f>IF('calcA'!AK$106=1,EJ34+AAY34,1)</f>
        <v/>
      </c>
      <c r="AGN34">
        <f>IF('calcA'!AL$106=1,EK34+AAZ34,1)</f>
        <v/>
      </c>
      <c r="AGO34">
        <f>IF('calcA'!AM$106=1,EL34+ABA34,1)</f>
        <v/>
      </c>
      <c r="AGP34">
        <f>IF('calcA'!AN$106=1,EM34+ABB34,1)</f>
        <v/>
      </c>
      <c r="AGQ34">
        <f>IF('calcA'!AO$106=1,EN34+ABC34,1)</f>
        <v/>
      </c>
      <c r="AGR34">
        <f>IF('calcA'!AP$106=1,EO34+ABD34,1)</f>
        <v/>
      </c>
      <c r="AGS34">
        <f>IF('calcA'!AQ$106=1,EP34+ABE34,1)</f>
        <v/>
      </c>
      <c r="AGT34">
        <f>IF('calcA'!AR$106=1,EQ34+ABF34,1)</f>
        <v/>
      </c>
      <c r="AGU34">
        <f>IF('calcA'!AS$106=1,ER34+ABG34,1)</f>
        <v/>
      </c>
      <c r="AGV34">
        <f>IF('calcA'!AT$106=1,ES34+ABH34,1)</f>
        <v/>
      </c>
      <c r="AGW34">
        <f>IF('calcA'!AU$106=1,ET34+ABI34,1)</f>
        <v/>
      </c>
      <c r="AGX34">
        <f>IF('calcA'!AV$106=1,EU34+ABJ34,1)</f>
        <v/>
      </c>
      <c r="AGY34">
        <f>IF('calcA'!AW$106=1,EV34+ABK34,1)</f>
        <v/>
      </c>
      <c r="AGZ34">
        <f>IF('calcA'!AX$106=1,EW34+ABL34,1)</f>
        <v/>
      </c>
      <c r="AHA34">
        <f>IF('calcA'!AY$106=1,EX34+ABM34,1)</f>
        <v/>
      </c>
      <c r="AHB34">
        <f>IF('calcA'!AZ$106=1,EY34+ABN34,1)</f>
        <v/>
      </c>
      <c r="AHC34">
        <f>IF('calcA'!BA$106=1,EZ34+ABO34,1)</f>
        <v/>
      </c>
      <c r="AHD34">
        <f>IF('calcA'!BB$106=1,FA34+ABP34,1)</f>
        <v/>
      </c>
      <c r="AHE34">
        <f>IF('calcA'!BC$106=1,FB34+ABQ34,1)</f>
        <v/>
      </c>
      <c r="AHF34">
        <f>IF('calcA'!BD$106=1,FC34+ABR34,1)</f>
        <v/>
      </c>
      <c r="AHG34">
        <f>IF('calcA'!BE$106=1,FD34+ABS34,1)</f>
        <v/>
      </c>
      <c r="AHH34">
        <f>IF('calcA'!BF$106=1,FE34+ABT34,1)</f>
        <v/>
      </c>
      <c r="AHI34">
        <f>IF('calcA'!BG$106=1,FF34+ABU34,1)</f>
        <v/>
      </c>
      <c r="AHJ34">
        <f>IF('calcA'!BH$106=1,FG34+ABV34,1)</f>
        <v/>
      </c>
      <c r="AHK34">
        <f>IF('calcA'!BI$106=1,FH34+ABW34,1)</f>
        <v/>
      </c>
      <c r="AHL34">
        <f>IF('calcA'!BJ$106=1,FI34+ABX34,1)</f>
        <v/>
      </c>
      <c r="AHM34">
        <f>IF('calcA'!BK$106=1,FJ34+ABY34,1)</f>
        <v/>
      </c>
      <c r="AHN34">
        <f>IF('calcA'!BL$106=1,FK34+ABZ34,1)</f>
        <v/>
      </c>
      <c r="AHO34">
        <f>IF('calcA'!BM$106=1,FL34+ACA34,1)</f>
        <v/>
      </c>
      <c r="AHP34">
        <f>IF('calcA'!BN$106=1,FM34+ACB34,1)</f>
        <v/>
      </c>
      <c r="AHQ34">
        <f>IF('calcA'!BO$106=1,FN34+ACC34,1)</f>
        <v/>
      </c>
      <c r="AHR34">
        <f>IF('calcA'!BP$106=1,FO34+ACD34,1)</f>
        <v/>
      </c>
      <c r="AHS34">
        <f>IF('calcA'!BQ$106=1,FP34+ACE34,1)</f>
        <v/>
      </c>
      <c r="AHT34">
        <f>IF('calcA'!BR$106=1,FQ34+ACF34,1)</f>
        <v/>
      </c>
      <c r="AHU34">
        <f>IF('calcA'!BS$106=1,FR34+ACG34,1)</f>
        <v/>
      </c>
      <c r="AHV34">
        <f>IF('calcA'!BT$106=1,FS34+ACH34,1)</f>
        <v/>
      </c>
      <c r="AHW34">
        <f>IF('calcA'!BU$106=1,FT34+ACI34,1)</f>
        <v/>
      </c>
      <c r="AHX34">
        <f>IF('calcA'!BV$106=1,FU34+ACJ34,1)</f>
        <v/>
      </c>
      <c r="AHY34">
        <f>IF('calcA'!BW$106=1,FV34+ACK34,1)</f>
        <v/>
      </c>
      <c r="AHZ34">
        <f>IF('calcA'!BX$106=1,FW34+ACL34,1)</f>
        <v/>
      </c>
      <c r="AIA34">
        <f>IF('calcA'!BY$106=1,FX34+ACM34,1)</f>
        <v/>
      </c>
      <c r="AIB34">
        <f>IF('calcA'!BZ$106=1,FY34+ACN34,1)</f>
        <v/>
      </c>
      <c r="AIC34">
        <f>IF('calcA'!CA$106=1,FZ34+ACO34,1)</f>
        <v/>
      </c>
      <c r="AID34">
        <f>IF('calcA'!CB$106=1,GA34+ACP34,1)</f>
        <v/>
      </c>
      <c r="AIE34">
        <f>IF('calcA'!CC$106=1,GB34+ACQ34,1)</f>
        <v/>
      </c>
      <c r="AIF34">
        <f>IF('calcA'!CD$106=1,GC34+ACR34,1)</f>
        <v/>
      </c>
      <c r="AIG34">
        <f>IF('calcA'!CE$106=1,GD34+ACS34,1)</f>
        <v/>
      </c>
      <c r="AIH34">
        <f>IF('calcA'!CF$106=1,GE34+ACT34,1)</f>
        <v/>
      </c>
      <c r="AII34">
        <f>IF('calcA'!CG$106=1,GF34+ACU34,1)</f>
        <v/>
      </c>
      <c r="AIJ34">
        <f>IF('calcA'!CH$106=1,GG34+ACV34,1)</f>
        <v/>
      </c>
      <c r="AIK34">
        <f>IF('calcA'!CI$106=1,GH34+ACW34,1)</f>
        <v/>
      </c>
      <c r="AIL34">
        <f>IF('calcA'!CJ$106=1,GI34+ACX34,1)</f>
        <v/>
      </c>
      <c r="AIM34">
        <f>IF('calcA'!CK$106=1,GJ34+ACY34,1)</f>
        <v/>
      </c>
      <c r="AIN34">
        <f>IF('calcA'!CL$106=1,GK34+ACZ34,1)</f>
        <v/>
      </c>
      <c r="AIO34">
        <f>IF('calcA'!CM$106=1,GL34+ADA34,1)</f>
        <v/>
      </c>
      <c r="AIP34">
        <f>IF('calcA'!CN$106=1,GM34+ADB34,1)</f>
        <v/>
      </c>
      <c r="AIQ34">
        <f>IF('calcA'!CO$106=1,GN34+ADC34,1)</f>
        <v/>
      </c>
      <c r="AIR34">
        <f>IF('calcA'!CP$106=1,GO34+ADD34,1)</f>
        <v/>
      </c>
      <c r="AIS34">
        <f>IF('calcA'!CQ$106=1,GP34+ADE34,1)</f>
        <v/>
      </c>
      <c r="AIT34">
        <f>IF('calcA'!CR$106=1,GQ34+ADF34,1)</f>
        <v/>
      </c>
      <c r="AIU34">
        <f>IF('calcA'!CS$106=1,GR34+ADG34,1)</f>
        <v/>
      </c>
      <c r="AIV34">
        <f>IF('calcA'!CT$106=1,GS34+ADH34,1)</f>
        <v/>
      </c>
      <c r="AIW34">
        <f>IF('calcA'!CU$106=1,GT34+ADI34,1)</f>
        <v/>
      </c>
      <c r="AIX34">
        <f>IF('calcA'!CV$106=1,GU34+ADJ34,1)</f>
        <v/>
      </c>
      <c r="AIY34">
        <f>IF('calcA'!CW$106=1,GV34+ADK34,1)</f>
        <v/>
      </c>
      <c r="AIZ34">
        <f>IF('calcA'!CX$106=1,GW34+ADL34,1)</f>
        <v/>
      </c>
      <c r="AJA34">
        <f>IF('calcA'!CY$106=1,GX34+ADM34,1)</f>
        <v/>
      </c>
      <c r="AJB34">
        <f>IF('calcA'!CZ$106=1,GY34+ADN34,1)</f>
        <v/>
      </c>
      <c r="AJC34">
        <f>IF('calcA'!DA$106=1,GZ34+ADO34,1)</f>
        <v/>
      </c>
      <c r="AJD34">
        <f>IF('calcA'!DB$106=1,HA34+ADP34,1)</f>
        <v/>
      </c>
      <c r="AJE34">
        <f>IF('calcA'!DC$106=1,HB34+ADQ34,1)</f>
        <v/>
      </c>
      <c r="AJF34">
        <f>IF('calcA'!DD$106=1,HC34+ADR34,1)</f>
        <v/>
      </c>
      <c r="AJG34">
        <f>IF('calcA'!DE$106=1,HD34+ADS34,1)</f>
        <v/>
      </c>
      <c r="AJH34">
        <f>IF('calcA'!DF$106=1,HE34+ADT34,1)</f>
        <v/>
      </c>
      <c r="AJI34">
        <f>IF('calcA'!DG$106=1,HF34+ADU34,1)</f>
        <v/>
      </c>
      <c r="AJJ34">
        <f>IF('calcA'!DH$106=1,HG34+ADV34,1)</f>
        <v/>
      </c>
      <c r="AJK34">
        <f>IF('calcA'!DI$106=1,HH34+ADW34,1)</f>
        <v/>
      </c>
      <c r="AJL34">
        <f>IF('calcA'!DJ$106=1,HI34+ADX34,1)</f>
        <v/>
      </c>
      <c r="AJM34">
        <f>IF('calcA'!DK$106=1,HJ34+ADY34,1)</f>
        <v/>
      </c>
      <c r="AJN34">
        <f>IF('calcA'!DL$106=1,HK34+ADZ34,1)</f>
        <v/>
      </c>
      <c r="AJO34">
        <f>IF('calcA'!DM$106=1,HL34+AEA34,1)</f>
        <v/>
      </c>
      <c r="AJP34">
        <f>IF('calcA'!DN$106=1,HM34+AEB34,1)</f>
        <v/>
      </c>
      <c r="AJQ34">
        <f>IF('calcA'!DO$106=1,HN34+AEC34,1)</f>
        <v/>
      </c>
      <c r="AJR34">
        <f>IF('calcA'!DP$106=1,HO34+AED34,1)</f>
        <v/>
      </c>
      <c r="AJS34">
        <f>IF('calcA'!DQ$106=1,HP34+AEE34,1)</f>
        <v/>
      </c>
      <c r="AJT34">
        <f>IF('calcA'!DR$106=1,HQ34+AEF34,1)</f>
        <v/>
      </c>
      <c r="AJU34">
        <f>IF('calcA'!DS$106=1,HR34+AEG34,1)</f>
        <v/>
      </c>
      <c r="AJV34">
        <f>IF('calcA'!DT$106=1,HS34+AEH34,1)</f>
        <v/>
      </c>
      <c r="AJW34">
        <f>IF('calcA'!DU$106=1,HT34+AEI34,1)</f>
        <v/>
      </c>
      <c r="AJX34">
        <f>IF('calcA'!DV$106=1,HU34+AEJ34,1)</f>
        <v/>
      </c>
      <c r="AJY34">
        <f>IF('calcA'!DW$106=1,HV34+AEK34,1)</f>
        <v/>
      </c>
      <c r="AJZ34">
        <f>IF('calcA'!DX$106=1,HW34+AEL34,1)</f>
        <v/>
      </c>
      <c r="AKA34">
        <f>IF('calcA'!DY$106=1,HX34+AEM34,1)</f>
        <v/>
      </c>
      <c r="AKB34">
        <f>IF('calcA'!DZ$106=1,HY34+AEN34,1)</f>
        <v/>
      </c>
      <c r="AKC34">
        <f>IF('calcA'!EA$106=1,HZ34+AEO34,1)</f>
        <v/>
      </c>
      <c r="AKD34">
        <f>IF('calcA'!EB$106=1,IA34+AEP34,1)</f>
        <v/>
      </c>
      <c r="AKE34">
        <f>IF('calcA'!EC$106=1,IB34+AEQ34,1)</f>
        <v/>
      </c>
      <c r="AKF34">
        <f>IF('calcA'!ED$106=1,IC34+AER34,1)</f>
        <v/>
      </c>
      <c r="AKG34">
        <f>IF('calcA'!EE$106=1,ID34+AES34,1)</f>
        <v/>
      </c>
      <c r="AKH34">
        <f>IF('calcA'!EF$106=1,IE34+AET34,1)</f>
        <v/>
      </c>
      <c r="AKI34">
        <f>IF('calcA'!EG$106=1,IF34+AEU34,1)</f>
        <v/>
      </c>
      <c r="AKJ34">
        <f>IF('calcA'!EH$106=1,IG34+AEV34,1)</f>
        <v/>
      </c>
      <c r="AKK34">
        <f>IF('calcA'!EI$106=1,IH34+AEW34,1)</f>
        <v/>
      </c>
      <c r="AKL34">
        <f>IF('calcA'!EJ$106=1,II34+AEX34,1)</f>
        <v/>
      </c>
      <c r="AKM34">
        <f>IF('calcA'!EK$106=1,IJ34+AEY34,1)</f>
        <v/>
      </c>
      <c r="AKN34">
        <f>IF('calcA'!EL$106=1,IK34+AEZ34,1)</f>
        <v/>
      </c>
      <c r="AKO34">
        <f>IF('calcA'!EM$106=1,IL34+AFA34,1)</f>
        <v/>
      </c>
      <c r="AKP34">
        <f>IF('calcA'!EN$106=1,IM34+AFB34,1)</f>
        <v/>
      </c>
      <c r="AKQ34">
        <f>IF('calcA'!EO$106=1,IN34+AFC34,1)</f>
        <v/>
      </c>
      <c r="AKR34">
        <f>IF('calcA'!EP$106=1,IO34+AFD34,1)</f>
        <v/>
      </c>
      <c r="AKS34" t="n">
        <v>1</v>
      </c>
    </row>
    <row r="35">
      <c r="A35" t="n">
        <v>33</v>
      </c>
      <c r="B35">
        <f>IF(MIN(BM35:CZ35)&gt;=1000000000,0,MATCH(MIN(BM35:CZ35),BM35:CZ35,0))</f>
        <v/>
      </c>
      <c r="C35">
        <f>IF(MIN(OF35:TS35)&gt;=1000000000,0,MATCH(MIN(OF35:TS35),OF35:TS35,0))</f>
        <v/>
      </c>
      <c r="D35">
        <f>IF(C35&gt;0,INDEX('calcA'!$D$5:$EQ$5,C35),0)</f>
        <v/>
      </c>
      <c r="E35">
        <f>IF(B35=0,0,INDEX('calcA'!$IQ$10:$IQ$54,B35))</f>
        <v/>
      </c>
      <c r="F35">
        <f>IF(B35=0,0,INDEX('calcA'!$IP$10:$IP$54,B35))</f>
        <v/>
      </c>
      <c r="G35">
        <f>IF(AND(C35&gt;0,E35&gt;0),IF(AND(INDEX('calcA'!$D$106:$EQ$106,C35)=1,INDEX($IQ35:$OD35,C35)=1),C35+1,0),0)</f>
        <v/>
      </c>
      <c r="H35">
        <f>IF(B35=0,0,INDEX('calcA'!$IW$10:$IW$54,B35))</f>
        <v/>
      </c>
      <c r="U35">
        <f>IF(B35=0,0,INDEX('calcA'!$IX$10:$IX$54,B35))</f>
        <v/>
      </c>
      <c r="V35">
        <f>IF(B35=0,0,INDEX('calcA'!$JF$10:$JF$54,B35))</f>
        <v/>
      </c>
      <c r="W35">
        <f>IF(B35=0,0,IF(IF(E35=2,SUMPRODUCT(INDEX('calcA'!$D$60:$EQ$99,B35,0),$DB35:$IO35,$IQ35:$OD35),SUMPRODUCT(INDEX('calcA'!$D$60:$EQ$99,B35,0),$DB35:$IO35))=0,1,0))</f>
        <v/>
      </c>
      <c r="X35">
        <f>MAX(X34,IF($B34=1,1,0))</f>
        <v/>
      </c>
      <c r="Y35">
        <f>MAX(Y34,IF($B34=2,1,0))</f>
        <v/>
      </c>
      <c r="Z35">
        <f>MAX(Z34,IF($B34=3,1,0))</f>
        <v/>
      </c>
      <c r="AA35">
        <f>MAX(AA34,IF($B34=4,1,0))</f>
        <v/>
      </c>
      <c r="AB35">
        <f>MAX(AB34,IF($B34=5,1,0))</f>
        <v/>
      </c>
      <c r="AC35">
        <f>MAX(AC34,IF($B34=6,1,0))</f>
        <v/>
      </c>
      <c r="AD35">
        <f>MAX(AD34,IF($B34=7,1,0))</f>
        <v/>
      </c>
      <c r="AE35">
        <f>MAX(AE34,IF($B34=8,1,0))</f>
        <v/>
      </c>
      <c r="AF35">
        <f>MAX(AF34,IF($B34=9,1,0))</f>
        <v/>
      </c>
      <c r="AG35">
        <f>MAX(AG34,IF($B34=10,1,0))</f>
        <v/>
      </c>
      <c r="AH35">
        <f>MAX(AH34,IF($B34=11,1,0))</f>
        <v/>
      </c>
      <c r="AI35">
        <f>MAX(AI34,IF($B34=12,1,0))</f>
        <v/>
      </c>
      <c r="AJ35">
        <f>MAX(AJ34,IF($B34=13,1,0))</f>
        <v/>
      </c>
      <c r="AK35">
        <f>MAX(AK34,IF($B34=14,1,0))</f>
        <v/>
      </c>
      <c r="AL35">
        <f>MAX(AL34,IF($B34=15,1,0))</f>
        <v/>
      </c>
      <c r="AM35">
        <f>MAX(AM34,IF($B34=16,1,0))</f>
        <v/>
      </c>
      <c r="AN35">
        <f>MAX(AN34,IF($B34=17,1,0))</f>
        <v/>
      </c>
      <c r="AO35">
        <f>MAX(AO34,IF($B34=18,1,0))</f>
        <v/>
      </c>
      <c r="AP35">
        <f>MAX(AP34,IF($B34=19,1,0))</f>
        <v/>
      </c>
      <c r="AQ35">
        <f>MAX(AQ34,IF($B34=20,1,0))</f>
        <v/>
      </c>
      <c r="AR35">
        <f>MAX(AR34,IF($B34=21,1,0))</f>
        <v/>
      </c>
      <c r="AS35">
        <f>MAX(AS34,IF($B34=22,1,0))</f>
        <v/>
      </c>
      <c r="AT35">
        <f>MAX(AT34,IF($B34=23,1,0))</f>
        <v/>
      </c>
      <c r="AU35">
        <f>MAX(AU34,IF($B34=24,1,0))</f>
        <v/>
      </c>
      <c r="AV35">
        <f>MAX(AV34,IF($B34=25,1,0))</f>
        <v/>
      </c>
      <c r="AW35">
        <f>MAX(AW34,IF($B34=26,1,0))</f>
        <v/>
      </c>
      <c r="AX35">
        <f>MAX(AX34,IF($B34=27,1,0))</f>
        <v/>
      </c>
      <c r="AY35">
        <f>MAX(AY34,IF($B34=28,1,0))</f>
        <v/>
      </c>
      <c r="AZ35">
        <f>MAX(AZ34,IF($B34=29,1,0))</f>
        <v/>
      </c>
      <c r="BA35">
        <f>MAX(BA34,IF($B34=30,1,0))</f>
        <v/>
      </c>
      <c r="BB35">
        <f>MAX(BB34,IF($B34=31,1,0))</f>
        <v/>
      </c>
      <c r="BC35">
        <f>MAX(BC34,IF($B34=32,1,0))</f>
        <v/>
      </c>
      <c r="BD35">
        <f>MAX(BD34,IF($B34=33,1,0))</f>
        <v/>
      </c>
      <c r="BE35">
        <f>MAX(BE34,IF($B34=34,1,0))</f>
        <v/>
      </c>
      <c r="BF35">
        <f>MAX(BF34,IF($B34=35,1,0))</f>
        <v/>
      </c>
      <c r="BG35">
        <f>MAX(BG34,IF($B34=36,1,0))</f>
        <v/>
      </c>
      <c r="BH35">
        <f>MAX(BH34,IF($B34=37,1,0))</f>
        <v/>
      </c>
      <c r="BI35">
        <f>MAX(BI34,IF($B34=38,1,0))</f>
        <v/>
      </c>
      <c r="BJ35">
        <f>MAX(BJ34,IF($B34=39,1,0))</f>
        <v/>
      </c>
      <c r="BK35">
        <f>MAX(BK34,IF($B34=40,1,0))</f>
        <v/>
      </c>
      <c r="BM35">
        <f>IF(OR(X35=1,calcA!$A$6=0),1000000000,IF('calcA'!$JF$10=1,0,100000000)+IF('calcA'!$IQ$10=2,SUMPRODUCT('calcA'!$D$60:$EQ$60,$DB35:$IO35,$IQ35:$OD35)*1000+SUMPRODUCT('calcA'!$D$60:$EQ$60,$DB35:$IO35+$ZQ35:$AFD35,$AFF35:$AKS35),SUMPRODUCT('calcA'!$D$60:$EQ$60,$DB35:$IO35*1001+$ZQ35:$AFD35))*100+1)</f>
        <v/>
      </c>
      <c r="BN35">
        <f>IF(OR(Y35=1,calcA!$A$6=0),1000000000,IF('calcA'!$JF$11=1,0,100000000)+IF('calcA'!$IQ$11=2,SUMPRODUCT('calcA'!$D$61:$EQ$61,$DB35:$IO35,$IQ35:$OD35)*1000+SUMPRODUCT('calcA'!$D$61:$EQ$61,$DB35:$IO35+$ZQ35:$AFD35,$AFF35:$AKS35),SUMPRODUCT('calcA'!$D$61:$EQ$61,$DB35:$IO35*1001+$ZQ35:$AFD35))*100+2)</f>
        <v/>
      </c>
      <c r="BO35">
        <f>IF(OR(Z35=1,calcA!$A$6=0),1000000000,IF('calcA'!$JF$12=1,0,100000000)+IF('calcA'!$IQ$12=2,SUMPRODUCT('calcA'!$D$62:$EQ$62,$DB35:$IO35,$IQ35:$OD35)*1000+SUMPRODUCT('calcA'!$D$62:$EQ$62,$DB35:$IO35+$ZQ35:$AFD35,$AFF35:$AKS35),SUMPRODUCT('calcA'!$D$62:$EQ$62,$DB35:$IO35*1001+$ZQ35:$AFD35))*100+3)</f>
        <v/>
      </c>
      <c r="BP35">
        <f>IF(OR(AA35=1,calcA!$A$6=0),1000000000,IF('calcA'!$JF$13=1,0,100000000)+IF('calcA'!$IQ$13=2,SUMPRODUCT('calcA'!$D$63:$EQ$63,$DB35:$IO35,$IQ35:$OD35)*1000+SUMPRODUCT('calcA'!$D$63:$EQ$63,$DB35:$IO35+$ZQ35:$AFD35,$AFF35:$AKS35),SUMPRODUCT('calcA'!$D$63:$EQ$63,$DB35:$IO35*1001+$ZQ35:$AFD35))*100+4)</f>
        <v/>
      </c>
      <c r="BQ35">
        <f>IF(OR(AB35=1,calcA!$A$6=0),1000000000,IF('calcA'!$JF$14=1,0,100000000)+IF('calcA'!$IQ$14=2,SUMPRODUCT('calcA'!$D$64:$EQ$64,$DB35:$IO35,$IQ35:$OD35)*1000+SUMPRODUCT('calcA'!$D$64:$EQ$64,$DB35:$IO35+$ZQ35:$AFD35,$AFF35:$AKS35),SUMPRODUCT('calcA'!$D$64:$EQ$64,$DB35:$IO35*1001+$ZQ35:$AFD35))*100+5)</f>
        <v/>
      </c>
      <c r="BR35">
        <f>IF(OR(AC35=1,calcA!$A$6=0),1000000000,IF('calcA'!$JF$15=1,0,100000000)+IF('calcA'!$IQ$15=2,SUMPRODUCT('calcA'!$D$65:$EQ$65,$DB35:$IO35,$IQ35:$OD35)*1000+SUMPRODUCT('calcA'!$D$65:$EQ$65,$DB35:$IO35+$ZQ35:$AFD35,$AFF35:$AKS35),SUMPRODUCT('calcA'!$D$65:$EQ$65,$DB35:$IO35*1001+$ZQ35:$AFD35))*100+6)</f>
        <v/>
      </c>
      <c r="BS35">
        <f>IF(OR(AD35=1,calcA!$A$6=0),1000000000,IF('calcA'!$JF$16=1,0,100000000)+IF('calcA'!$IQ$16=2,SUMPRODUCT('calcA'!$D$66:$EQ$66,$DB35:$IO35,$IQ35:$OD35)*1000+SUMPRODUCT('calcA'!$D$66:$EQ$66,$DB35:$IO35+$ZQ35:$AFD35,$AFF35:$AKS35),SUMPRODUCT('calcA'!$D$66:$EQ$66,$DB35:$IO35*1001+$ZQ35:$AFD35))*100+7)</f>
        <v/>
      </c>
      <c r="BT35">
        <f>IF(OR(AE35=1,calcA!$A$6=0),1000000000,IF('calcA'!$JF$17=1,0,100000000)+IF('calcA'!$IQ$17=2,SUMPRODUCT('calcA'!$D$67:$EQ$67,$DB35:$IO35,$IQ35:$OD35)*1000+SUMPRODUCT('calcA'!$D$67:$EQ$67,$DB35:$IO35+$ZQ35:$AFD35,$AFF35:$AKS35),SUMPRODUCT('calcA'!$D$67:$EQ$67,$DB35:$IO35*1001+$ZQ35:$AFD35))*100+8)</f>
        <v/>
      </c>
      <c r="BU35">
        <f>IF(OR(AF35=1,calcA!$A$6=0),1000000000,IF('calcA'!$JF$18=1,0,100000000)+IF('calcA'!$IQ$18=2,SUMPRODUCT('calcA'!$D$68:$EQ$68,$DB35:$IO35,$IQ35:$OD35)*1000+SUMPRODUCT('calcA'!$D$68:$EQ$68,$DB35:$IO35+$ZQ35:$AFD35,$AFF35:$AKS35),SUMPRODUCT('calcA'!$D$68:$EQ$68,$DB35:$IO35*1001+$ZQ35:$AFD35))*100+9)</f>
        <v/>
      </c>
      <c r="BV35">
        <f>IF(OR(AG35=1,calcA!$A$6=0),1000000000,IF('calcA'!$JF$19=1,0,100000000)+IF('calcA'!$IQ$19=2,SUMPRODUCT('calcA'!$D$69:$EQ$69,$DB35:$IO35,$IQ35:$OD35)*1000+SUMPRODUCT('calcA'!$D$69:$EQ$69,$DB35:$IO35+$ZQ35:$AFD35,$AFF35:$AKS35),SUMPRODUCT('calcA'!$D$69:$EQ$69,$DB35:$IO35*1001+$ZQ35:$AFD35))*100+10)</f>
        <v/>
      </c>
      <c r="BW35">
        <f>IF(OR(AH35=1,calcA!$A$6=0),1000000000,IF('calcA'!$JF$20=1,0,100000000)+IF('calcA'!$IQ$20=2,SUMPRODUCT('calcA'!$D$70:$EQ$70,$DB35:$IO35,$IQ35:$OD35)*1000+SUMPRODUCT('calcA'!$D$70:$EQ$70,$DB35:$IO35+$ZQ35:$AFD35,$AFF35:$AKS35),SUMPRODUCT('calcA'!$D$70:$EQ$70,$DB35:$IO35*1001+$ZQ35:$AFD35))*100+11)</f>
        <v/>
      </c>
      <c r="BX35">
        <f>IF(OR(AI35=1,calcA!$A$6=0),1000000000,IF('calcA'!$JF$21=1,0,100000000)+IF('calcA'!$IQ$21=2,SUMPRODUCT('calcA'!$D$71:$EQ$71,$DB35:$IO35,$IQ35:$OD35)*1000+SUMPRODUCT('calcA'!$D$71:$EQ$71,$DB35:$IO35+$ZQ35:$AFD35,$AFF35:$AKS35),SUMPRODUCT('calcA'!$D$71:$EQ$71,$DB35:$IO35*1001+$ZQ35:$AFD35))*100+12)</f>
        <v/>
      </c>
      <c r="BY35">
        <f>IF(OR(AJ35=1,calcA!$A$6=0),1000000000,IF('calcA'!$JF$22=1,0,100000000)+IF('calcA'!$IQ$22=2,SUMPRODUCT('calcA'!$D$72:$EQ$72,$DB35:$IO35,$IQ35:$OD35)*1000+SUMPRODUCT('calcA'!$D$72:$EQ$72,$DB35:$IO35+$ZQ35:$AFD35,$AFF35:$AKS35),SUMPRODUCT('calcA'!$D$72:$EQ$72,$DB35:$IO35*1001+$ZQ35:$AFD35))*100+13)</f>
        <v/>
      </c>
      <c r="BZ35">
        <f>IF(OR(AK35=1,calcA!$A$6=0),1000000000,IF('calcA'!$JF$23=1,0,100000000)+IF('calcA'!$IQ$23=2,SUMPRODUCT('calcA'!$D$73:$EQ$73,$DB35:$IO35,$IQ35:$OD35)*1000+SUMPRODUCT('calcA'!$D$73:$EQ$73,$DB35:$IO35+$ZQ35:$AFD35,$AFF35:$AKS35),SUMPRODUCT('calcA'!$D$73:$EQ$73,$DB35:$IO35*1001+$ZQ35:$AFD35))*100+14)</f>
        <v/>
      </c>
      <c r="CA35">
        <f>IF(OR(AL35=1,calcA!$A$6=0),1000000000,IF('calcA'!$JF$24=1,0,100000000)+IF('calcA'!$IQ$24=2,SUMPRODUCT('calcA'!$D$74:$EQ$74,$DB35:$IO35,$IQ35:$OD35)*1000+SUMPRODUCT('calcA'!$D$74:$EQ$74,$DB35:$IO35+$ZQ35:$AFD35,$AFF35:$AKS35),SUMPRODUCT('calcA'!$D$74:$EQ$74,$DB35:$IO35*1001+$ZQ35:$AFD35))*100+15)</f>
        <v/>
      </c>
      <c r="CB35">
        <f>IF(OR(AM35=1,calcA!$A$6=0),1000000000,IF('calcA'!$JF$25=1,0,100000000)+IF('calcA'!$IQ$25=2,SUMPRODUCT('calcA'!$D$75:$EQ$75,$DB35:$IO35,$IQ35:$OD35)*1000+SUMPRODUCT('calcA'!$D$75:$EQ$75,$DB35:$IO35+$ZQ35:$AFD35,$AFF35:$AKS35),SUMPRODUCT('calcA'!$D$75:$EQ$75,$DB35:$IO35*1001+$ZQ35:$AFD35))*100+16)</f>
        <v/>
      </c>
      <c r="CC35">
        <f>IF(OR(AN35=1,calcA!$A$6=0),1000000000,IF('calcA'!$JF$26=1,0,100000000)+IF('calcA'!$IQ$26=2,SUMPRODUCT('calcA'!$D$76:$EQ$76,$DB35:$IO35,$IQ35:$OD35)*1000+SUMPRODUCT('calcA'!$D$76:$EQ$76,$DB35:$IO35+$ZQ35:$AFD35,$AFF35:$AKS35),SUMPRODUCT('calcA'!$D$76:$EQ$76,$DB35:$IO35*1001+$ZQ35:$AFD35))*100+17)</f>
        <v/>
      </c>
      <c r="CD35">
        <f>IF(OR(AO35=1,calcA!$A$6=0),1000000000,IF('calcA'!$JF$27=1,0,100000000)+IF('calcA'!$IQ$27=2,SUMPRODUCT('calcA'!$D$77:$EQ$77,$DB35:$IO35,$IQ35:$OD35)*1000+SUMPRODUCT('calcA'!$D$77:$EQ$77,$DB35:$IO35+$ZQ35:$AFD35,$AFF35:$AKS35),SUMPRODUCT('calcA'!$D$77:$EQ$77,$DB35:$IO35*1001+$ZQ35:$AFD35))*100+18)</f>
        <v/>
      </c>
      <c r="CE35">
        <f>IF(OR(AP35=1,calcA!$A$6=0),1000000000,IF('calcA'!$JF$28=1,0,100000000)+IF('calcA'!$IQ$28=2,SUMPRODUCT('calcA'!$D$78:$EQ$78,$DB35:$IO35,$IQ35:$OD35)*1000+SUMPRODUCT('calcA'!$D$78:$EQ$78,$DB35:$IO35+$ZQ35:$AFD35,$AFF35:$AKS35),SUMPRODUCT('calcA'!$D$78:$EQ$78,$DB35:$IO35*1001+$ZQ35:$AFD35))*100+19)</f>
        <v/>
      </c>
      <c r="CF35">
        <f>IF(OR(AQ35=1,calcA!$A$6=0),1000000000,IF('calcA'!$JF$29=1,0,100000000)+IF('calcA'!$IQ$29=2,SUMPRODUCT('calcA'!$D$79:$EQ$79,$DB35:$IO35,$IQ35:$OD35)*1000+SUMPRODUCT('calcA'!$D$79:$EQ$79,$DB35:$IO35+$ZQ35:$AFD35,$AFF35:$AKS35),SUMPRODUCT('calcA'!$D$79:$EQ$79,$DB35:$IO35*1001+$ZQ35:$AFD35))*100+20)</f>
        <v/>
      </c>
      <c r="CG35">
        <f>IF(OR(AR35=1,calcA!$A$6=0),1000000000,IF('calcA'!$JF$30=1,0,100000000)+IF('calcA'!$IQ$30=2,SUMPRODUCT('calcA'!$D$80:$EQ$80,$DB35:$IO35,$IQ35:$OD35)*1000+SUMPRODUCT('calcA'!$D$80:$EQ$80,$DB35:$IO35+$ZQ35:$AFD35,$AFF35:$AKS35),SUMPRODUCT('calcA'!$D$80:$EQ$80,$DB35:$IO35*1001+$ZQ35:$AFD35))*100+21)</f>
        <v/>
      </c>
      <c r="CH35">
        <f>IF(OR(AS35=1,calcA!$A$6=0),1000000000,IF('calcA'!$JF$31=1,0,100000000)+IF('calcA'!$IQ$31=2,SUMPRODUCT('calcA'!$D$81:$EQ$81,$DB35:$IO35,$IQ35:$OD35)*1000+SUMPRODUCT('calcA'!$D$81:$EQ$81,$DB35:$IO35+$ZQ35:$AFD35,$AFF35:$AKS35),SUMPRODUCT('calcA'!$D$81:$EQ$81,$DB35:$IO35*1001+$ZQ35:$AFD35))*100+22)</f>
        <v/>
      </c>
      <c r="CI35">
        <f>IF(OR(AT35=1,calcA!$A$6=0),1000000000,IF('calcA'!$JF$32=1,0,100000000)+IF('calcA'!$IQ$32=2,SUMPRODUCT('calcA'!$D$82:$EQ$82,$DB35:$IO35,$IQ35:$OD35)*1000+SUMPRODUCT('calcA'!$D$82:$EQ$82,$DB35:$IO35+$ZQ35:$AFD35,$AFF35:$AKS35),SUMPRODUCT('calcA'!$D$82:$EQ$82,$DB35:$IO35*1001+$ZQ35:$AFD35))*100+23)</f>
        <v/>
      </c>
      <c r="CJ35">
        <f>IF(OR(AU35=1,calcA!$A$6=0),1000000000,IF('calcA'!$JF$33=1,0,100000000)+IF('calcA'!$IQ$33=2,SUMPRODUCT('calcA'!$D$83:$EQ$83,$DB35:$IO35,$IQ35:$OD35)*1000+SUMPRODUCT('calcA'!$D$83:$EQ$83,$DB35:$IO35+$ZQ35:$AFD35,$AFF35:$AKS35),SUMPRODUCT('calcA'!$D$83:$EQ$83,$DB35:$IO35*1001+$ZQ35:$AFD35))*100+24)</f>
        <v/>
      </c>
      <c r="CK35">
        <f>IF(OR(AV35=1,calcA!$A$6=0),1000000000,IF('calcA'!$JF$34=1,0,100000000)+IF('calcA'!$IQ$34=2,SUMPRODUCT('calcA'!$D$84:$EQ$84,$DB35:$IO35,$IQ35:$OD35)*1000+SUMPRODUCT('calcA'!$D$84:$EQ$84,$DB35:$IO35+$ZQ35:$AFD35,$AFF35:$AKS35),SUMPRODUCT('calcA'!$D$84:$EQ$84,$DB35:$IO35*1001+$ZQ35:$AFD35))*100+25)</f>
        <v/>
      </c>
      <c r="CL35">
        <f>IF(OR(AW35=1,calcA!$A$6=0),1000000000,IF('calcA'!$JF$35=1,0,100000000)+IF('calcA'!$IQ$35=2,SUMPRODUCT('calcA'!$D$85:$EQ$85,$DB35:$IO35,$IQ35:$OD35)*1000+SUMPRODUCT('calcA'!$D$85:$EQ$85,$DB35:$IO35+$ZQ35:$AFD35,$AFF35:$AKS35),SUMPRODUCT('calcA'!$D$85:$EQ$85,$DB35:$IO35*1001+$ZQ35:$AFD35))*100+26)</f>
        <v/>
      </c>
      <c r="CM35">
        <f>IF(OR(AX35=1,calcA!$A$6=0),1000000000,IF('calcA'!$JF$36=1,0,100000000)+IF('calcA'!$IQ$36=2,SUMPRODUCT('calcA'!$D$86:$EQ$86,$DB35:$IO35,$IQ35:$OD35)*1000+SUMPRODUCT('calcA'!$D$86:$EQ$86,$DB35:$IO35+$ZQ35:$AFD35,$AFF35:$AKS35),SUMPRODUCT('calcA'!$D$86:$EQ$86,$DB35:$IO35*1001+$ZQ35:$AFD35))*100+27)</f>
        <v/>
      </c>
      <c r="CN35">
        <f>IF(OR(AY35=1,calcA!$A$6=0),1000000000,IF('calcA'!$JF$37=1,0,100000000)+IF('calcA'!$IQ$37=2,SUMPRODUCT('calcA'!$D$87:$EQ$87,$DB35:$IO35,$IQ35:$OD35)*1000+SUMPRODUCT('calcA'!$D$87:$EQ$87,$DB35:$IO35+$ZQ35:$AFD35,$AFF35:$AKS35),SUMPRODUCT('calcA'!$D$87:$EQ$87,$DB35:$IO35*1001+$ZQ35:$AFD35))*100+28)</f>
        <v/>
      </c>
      <c r="CO35">
        <f>IF(OR(AZ35=1,calcA!$A$6=0),1000000000,IF('calcA'!$JF$38=1,0,100000000)+IF('calcA'!$IQ$38=2,SUMPRODUCT('calcA'!$D$88:$EQ$88,$DB35:$IO35,$IQ35:$OD35)*1000+SUMPRODUCT('calcA'!$D$88:$EQ$88,$DB35:$IO35+$ZQ35:$AFD35,$AFF35:$AKS35),SUMPRODUCT('calcA'!$D$88:$EQ$88,$DB35:$IO35*1001+$ZQ35:$AFD35))*100+29)</f>
        <v/>
      </c>
      <c r="CP35">
        <f>IF(OR(BA35=1,calcA!$A$6=0),1000000000,IF('calcA'!$JF$39=1,0,100000000)+IF('calcA'!$IQ$39=2,SUMPRODUCT('calcA'!$D$89:$EQ$89,$DB35:$IO35,$IQ35:$OD35)*1000+SUMPRODUCT('calcA'!$D$89:$EQ$89,$DB35:$IO35+$ZQ35:$AFD35,$AFF35:$AKS35),SUMPRODUCT('calcA'!$D$89:$EQ$89,$DB35:$IO35*1001+$ZQ35:$AFD35))*100+30)</f>
        <v/>
      </c>
      <c r="CQ35">
        <f>IF(OR(BB35=1,calcA!$A$6=0),1000000000,IF('calcA'!$JF$40=1,0,100000000)+IF('calcA'!$IQ$40=2,SUMPRODUCT('calcA'!$D$90:$EQ$90,$DB35:$IO35,$IQ35:$OD35)*1000+SUMPRODUCT('calcA'!$D$90:$EQ$90,$DB35:$IO35+$ZQ35:$AFD35,$AFF35:$AKS35),SUMPRODUCT('calcA'!$D$90:$EQ$90,$DB35:$IO35*1001+$ZQ35:$AFD35))*100+31)</f>
        <v/>
      </c>
      <c r="CR35">
        <f>IF(OR(BC35=1,calcA!$A$6=0),1000000000,IF('calcA'!$JF$41=1,0,100000000)+IF('calcA'!$IQ$41=2,SUMPRODUCT('calcA'!$D$91:$EQ$91,$DB35:$IO35,$IQ35:$OD35)*1000+SUMPRODUCT('calcA'!$D$91:$EQ$91,$DB35:$IO35+$ZQ35:$AFD35,$AFF35:$AKS35),SUMPRODUCT('calcA'!$D$91:$EQ$91,$DB35:$IO35*1001+$ZQ35:$AFD35))*100+32)</f>
        <v/>
      </c>
      <c r="CS35">
        <f>IF(OR(BD35=1,calcA!$A$6=0),1000000000,IF('calcA'!$JF$42=1,0,100000000)+IF('calcA'!$IQ$42=2,SUMPRODUCT('calcA'!$D$92:$EQ$92,$DB35:$IO35,$IQ35:$OD35)*1000+SUMPRODUCT('calcA'!$D$92:$EQ$92,$DB35:$IO35+$ZQ35:$AFD35,$AFF35:$AKS35),SUMPRODUCT('calcA'!$D$92:$EQ$92,$DB35:$IO35*1001+$ZQ35:$AFD35))*100+33)</f>
        <v/>
      </c>
      <c r="CT35">
        <f>IF(OR(BE35=1,calcA!$A$6=0),1000000000,IF('calcA'!$JF$43=1,0,100000000)+IF('calcA'!$IQ$43=2,SUMPRODUCT('calcA'!$D$93:$EQ$93,$DB35:$IO35,$IQ35:$OD35)*1000+SUMPRODUCT('calcA'!$D$93:$EQ$93,$DB35:$IO35+$ZQ35:$AFD35,$AFF35:$AKS35),SUMPRODUCT('calcA'!$D$93:$EQ$93,$DB35:$IO35*1001+$ZQ35:$AFD35))*100+34)</f>
        <v/>
      </c>
      <c r="CU35">
        <f>IF(OR(BF35=1,calcA!$A$6=0),1000000000,IF('calcA'!$JF$44=1,0,100000000)+IF('calcA'!$IQ$44=2,SUMPRODUCT('calcA'!$D$94:$EQ$94,$DB35:$IO35,$IQ35:$OD35)*1000+SUMPRODUCT('calcA'!$D$94:$EQ$94,$DB35:$IO35+$ZQ35:$AFD35,$AFF35:$AKS35),SUMPRODUCT('calcA'!$D$94:$EQ$94,$DB35:$IO35*1001+$ZQ35:$AFD35))*100+35)</f>
        <v/>
      </c>
      <c r="CV35">
        <f>IF(OR(BG35=1,calcA!$A$6=0),1000000000,IF('calcA'!$JF$45=1,0,100000000)+IF('calcA'!$IQ$45=2,SUMPRODUCT('calcA'!$D$95:$EQ$95,$DB35:$IO35,$IQ35:$OD35)*1000+SUMPRODUCT('calcA'!$D$95:$EQ$95,$DB35:$IO35+$ZQ35:$AFD35,$AFF35:$AKS35),SUMPRODUCT('calcA'!$D$95:$EQ$95,$DB35:$IO35*1001+$ZQ35:$AFD35))*100+36)</f>
        <v/>
      </c>
      <c r="CW35">
        <f>IF(OR(BH35=1,calcA!$A$6=0),1000000000,IF('calcA'!$JF$46=1,0,100000000)+IF('calcA'!$IQ$46=2,SUMPRODUCT('calcA'!$D$96:$EQ$96,$DB35:$IO35,$IQ35:$OD35)*1000+SUMPRODUCT('calcA'!$D$96:$EQ$96,$DB35:$IO35+$ZQ35:$AFD35,$AFF35:$AKS35),SUMPRODUCT('calcA'!$D$96:$EQ$96,$DB35:$IO35*1001+$ZQ35:$AFD35))*100+37)</f>
        <v/>
      </c>
      <c r="CX35">
        <f>IF(OR(BI35=1,calcA!$A$6=0),1000000000,IF('calcA'!$JF$47=1,0,100000000)+IF('calcA'!$IQ$47=2,SUMPRODUCT('calcA'!$D$97:$EQ$97,$DB35:$IO35,$IQ35:$OD35)*1000+SUMPRODUCT('calcA'!$D$97:$EQ$97,$DB35:$IO35+$ZQ35:$AFD35,$AFF35:$AKS35),SUMPRODUCT('calcA'!$D$97:$EQ$97,$DB35:$IO35*1001+$ZQ35:$AFD35))*100+38)</f>
        <v/>
      </c>
      <c r="CY35">
        <f>IF(OR(BJ35=1,calcA!$A$6=0),1000000000,IF('calcA'!$JF$48=1,0,100000000)+IF('calcA'!$IQ$48=2,SUMPRODUCT('calcA'!$D$98:$EQ$98,$DB35:$IO35,$IQ35:$OD35)*1000+SUMPRODUCT('calcA'!$D$98:$EQ$98,$DB35:$IO35+$ZQ35:$AFD35,$AFF35:$AKS35),SUMPRODUCT('calcA'!$D$98:$EQ$98,$DB35:$IO35*1001+$ZQ35:$AFD35))*100+39)</f>
        <v/>
      </c>
      <c r="CZ35">
        <f>IF(OR(BK35=1,calcA!$A$6=0),1000000000,IF('calcA'!$JF$49=1,0,100000000)+IF('calcA'!$IQ$49=2,SUMPRODUCT('calcA'!$D$99:$EQ$99,$DB35:$IO35,$IQ35:$OD35)*1000+SUMPRODUCT('calcA'!$D$99:$EQ$99,$DB35:$IO35+$ZQ35:$AFD35,$AFF35:$AKS35),SUMPRODUCT('calcA'!$D$99:$EQ$99,$DB35:$IO35*1001+$ZQ35:$AFD35))*100+40)</f>
        <v/>
      </c>
      <c r="DB35">
        <f>DB34*IF(OR($C34=1,$G34=1),0,1)</f>
        <v/>
      </c>
      <c r="DC35">
        <f>DC34*IF(OR($C34=2,$G34=2),0,1)</f>
        <v/>
      </c>
      <c r="DD35">
        <f>DD34*IF(OR($C34=3,$G34=3),0,1)</f>
        <v/>
      </c>
      <c r="DE35">
        <f>DE34*IF(OR($C34=4,$G34=4),0,1)</f>
        <v/>
      </c>
      <c r="DF35">
        <f>DF34*IF(OR($C34=5,$G34=5),0,1)</f>
        <v/>
      </c>
      <c r="DG35">
        <f>DG34*IF(OR($C34=6,$G34=6),0,1)</f>
        <v/>
      </c>
      <c r="DH35">
        <f>DH34*IF(OR($C34=7,$G34=7),0,1)</f>
        <v/>
      </c>
      <c r="DI35">
        <f>DI34*IF(OR($C34=8,$G34=8),0,1)</f>
        <v/>
      </c>
      <c r="DJ35">
        <f>DJ34*IF(OR($C34=9,$G34=9),0,1)</f>
        <v/>
      </c>
      <c r="DK35">
        <f>DK34*IF(OR($C34=10,$G34=10),0,1)</f>
        <v/>
      </c>
      <c r="DL35">
        <f>DL34*IF(OR($C34=11,$G34=11),0,1)</f>
        <v/>
      </c>
      <c r="DM35">
        <f>DM34*IF(OR($C34=12,$G34=12),0,1)</f>
        <v/>
      </c>
      <c r="DN35">
        <f>DN34*IF(OR($C34=13,$G34=13),0,1)</f>
        <v/>
      </c>
      <c r="DO35">
        <f>DO34*IF(OR($C34=14,$G34=14),0,1)</f>
        <v/>
      </c>
      <c r="DP35">
        <f>DP34*IF(OR($C34=15,$G34=15),0,1)</f>
        <v/>
      </c>
      <c r="DQ35">
        <f>DQ34*IF(OR($C34=16,$G34=16),0,1)</f>
        <v/>
      </c>
      <c r="DR35">
        <f>DR34*IF(OR($C34=17,$G34=17),0,1)</f>
        <v/>
      </c>
      <c r="DS35">
        <f>DS34*IF(OR($C34=18,$G34=18),0,1)</f>
        <v/>
      </c>
      <c r="DT35">
        <f>DT34*IF(OR($C34=19,$G34=19),0,1)</f>
        <v/>
      </c>
      <c r="DU35">
        <f>DU34*IF(OR($C34=20,$G34=20),0,1)</f>
        <v/>
      </c>
      <c r="DV35">
        <f>DV34*IF(OR($C34=21,$G34=21),0,1)</f>
        <v/>
      </c>
      <c r="DW35">
        <f>DW34*IF(OR($C34=22,$G34=22),0,1)</f>
        <v/>
      </c>
      <c r="DX35">
        <f>DX34*IF(OR($C34=23,$G34=23),0,1)</f>
        <v/>
      </c>
      <c r="DY35">
        <f>DY34*IF(OR($C34=24,$G34=24),0,1)</f>
        <v/>
      </c>
      <c r="DZ35">
        <f>DZ34*IF(OR($C34=25,$G34=25),0,1)</f>
        <v/>
      </c>
      <c r="EA35">
        <f>EA34*IF(OR($C34=26,$G34=26),0,1)</f>
        <v/>
      </c>
      <c r="EB35">
        <f>EB34*IF(OR($C34=27,$G34=27),0,1)</f>
        <v/>
      </c>
      <c r="EC35">
        <f>EC34*IF(OR($C34=28,$G34=28),0,1)</f>
        <v/>
      </c>
      <c r="ED35">
        <f>ED34*IF(OR($C34=29,$G34=29),0,1)</f>
        <v/>
      </c>
      <c r="EE35">
        <f>EE34*IF(OR($C34=30,$G34=30),0,1)</f>
        <v/>
      </c>
      <c r="EF35">
        <f>EF34*IF(OR($C34=31,$G34=31),0,1)</f>
        <v/>
      </c>
      <c r="EG35">
        <f>EG34*IF(OR($C34=32,$G34=32),0,1)</f>
        <v/>
      </c>
      <c r="EH35">
        <f>EH34*IF(OR($C34=33,$G34=33),0,1)</f>
        <v/>
      </c>
      <c r="EI35">
        <f>EI34*IF(OR($C34=34,$G34=34),0,1)</f>
        <v/>
      </c>
      <c r="EJ35">
        <f>EJ34*IF(OR($C34=35,$G34=35),0,1)</f>
        <v/>
      </c>
      <c r="EK35">
        <f>EK34*IF(OR($C34=36,$G34=36),0,1)</f>
        <v/>
      </c>
      <c r="EL35">
        <f>EL34*IF(OR($C34=37,$G34=37),0,1)</f>
        <v/>
      </c>
      <c r="EM35">
        <f>EM34*IF(OR($C34=38,$G34=38),0,1)</f>
        <v/>
      </c>
      <c r="EN35">
        <f>EN34*IF(OR($C34=39,$G34=39),0,1)</f>
        <v/>
      </c>
      <c r="EO35">
        <f>EO34*IF(OR($C34=40,$G34=40),0,1)</f>
        <v/>
      </c>
      <c r="EP35">
        <f>EP34*IF(OR($C34=41,$G34=41),0,1)</f>
        <v/>
      </c>
      <c r="EQ35">
        <f>EQ34*IF(OR($C34=42,$G34=42),0,1)</f>
        <v/>
      </c>
      <c r="ER35">
        <f>ER34*IF(OR($C34=43,$G34=43),0,1)</f>
        <v/>
      </c>
      <c r="ES35">
        <f>ES34*IF(OR($C34=44,$G34=44),0,1)</f>
        <v/>
      </c>
      <c r="ET35">
        <f>ET34*IF(OR($C34=45,$G34=45),0,1)</f>
        <v/>
      </c>
      <c r="EU35">
        <f>EU34*IF(OR($C34=46,$G34=46),0,1)</f>
        <v/>
      </c>
      <c r="EV35">
        <f>EV34*IF(OR($C34=47,$G34=47),0,1)</f>
        <v/>
      </c>
      <c r="EW35">
        <f>EW34*IF(OR($C34=48,$G34=48),0,1)</f>
        <v/>
      </c>
      <c r="EX35">
        <f>EX34*IF(OR($C34=49,$G34=49),0,1)</f>
        <v/>
      </c>
      <c r="EY35">
        <f>EY34*IF(OR($C34=50,$G34=50),0,1)</f>
        <v/>
      </c>
      <c r="EZ35">
        <f>EZ34*IF(OR($C34=51,$G34=51),0,1)</f>
        <v/>
      </c>
      <c r="FA35">
        <f>FA34*IF(OR($C34=52,$G34=52),0,1)</f>
        <v/>
      </c>
      <c r="FB35">
        <f>FB34*IF(OR($C34=53,$G34=53),0,1)</f>
        <v/>
      </c>
      <c r="FC35">
        <f>FC34*IF(OR($C34=54,$G34=54),0,1)</f>
        <v/>
      </c>
      <c r="FD35">
        <f>FD34*IF(OR($C34=55,$G34=55),0,1)</f>
        <v/>
      </c>
      <c r="FE35">
        <f>FE34*IF(OR($C34=56,$G34=56),0,1)</f>
        <v/>
      </c>
      <c r="FF35">
        <f>FF34*IF(OR($C34=57,$G34=57),0,1)</f>
        <v/>
      </c>
      <c r="FG35">
        <f>FG34*IF(OR($C34=58,$G34=58),0,1)</f>
        <v/>
      </c>
      <c r="FH35">
        <f>FH34*IF(OR($C34=59,$G34=59),0,1)</f>
        <v/>
      </c>
      <c r="FI35">
        <f>FI34*IF(OR($C34=60,$G34=60),0,1)</f>
        <v/>
      </c>
      <c r="FJ35">
        <f>FJ34*IF(OR($C34=61,$G34=61),0,1)</f>
        <v/>
      </c>
      <c r="FK35">
        <f>FK34*IF(OR($C34=62,$G34=62),0,1)</f>
        <v/>
      </c>
      <c r="FL35">
        <f>FL34*IF(OR($C34=63,$G34=63),0,1)</f>
        <v/>
      </c>
      <c r="FM35">
        <f>FM34*IF(OR($C34=64,$G34=64),0,1)</f>
        <v/>
      </c>
      <c r="FN35">
        <f>FN34*IF(OR($C34=65,$G34=65),0,1)</f>
        <v/>
      </c>
      <c r="FO35">
        <f>FO34*IF(OR($C34=66,$G34=66),0,1)</f>
        <v/>
      </c>
      <c r="FP35">
        <f>FP34*IF(OR($C34=67,$G34=67),0,1)</f>
        <v/>
      </c>
      <c r="FQ35">
        <f>FQ34*IF(OR($C34=68,$G34=68),0,1)</f>
        <v/>
      </c>
      <c r="FR35">
        <f>FR34*IF(OR($C34=69,$G34=69),0,1)</f>
        <v/>
      </c>
      <c r="FS35">
        <f>FS34*IF(OR($C34=70,$G34=70),0,1)</f>
        <v/>
      </c>
      <c r="FT35">
        <f>FT34*IF(OR($C34=71,$G34=71),0,1)</f>
        <v/>
      </c>
      <c r="FU35">
        <f>FU34*IF(OR($C34=72,$G34=72),0,1)</f>
        <v/>
      </c>
      <c r="FV35">
        <f>FV34*IF(OR($C34=73,$G34=73),0,1)</f>
        <v/>
      </c>
      <c r="FW35">
        <f>FW34*IF(OR($C34=74,$G34=74),0,1)</f>
        <v/>
      </c>
      <c r="FX35">
        <f>FX34*IF(OR($C34=75,$G34=75),0,1)</f>
        <v/>
      </c>
      <c r="FY35">
        <f>FY34*IF(OR($C34=76,$G34=76),0,1)</f>
        <v/>
      </c>
      <c r="FZ35">
        <f>FZ34*IF(OR($C34=77,$G34=77),0,1)</f>
        <v/>
      </c>
      <c r="GA35">
        <f>GA34*IF(OR($C34=78,$G34=78),0,1)</f>
        <v/>
      </c>
      <c r="GB35">
        <f>GB34*IF(OR($C34=79,$G34=79),0,1)</f>
        <v/>
      </c>
      <c r="GC35">
        <f>GC34*IF(OR($C34=80,$G34=80),0,1)</f>
        <v/>
      </c>
      <c r="GD35">
        <f>GD34*IF(OR($C34=81,$G34=81),0,1)</f>
        <v/>
      </c>
      <c r="GE35">
        <f>GE34*IF(OR($C34=82,$G34=82),0,1)</f>
        <v/>
      </c>
      <c r="GF35">
        <f>GF34*IF(OR($C34=83,$G34=83),0,1)</f>
        <v/>
      </c>
      <c r="GG35">
        <f>GG34*IF(OR($C34=84,$G34=84),0,1)</f>
        <v/>
      </c>
      <c r="GH35">
        <f>GH34*IF(OR($C34=85,$G34=85),0,1)</f>
        <v/>
      </c>
      <c r="GI35">
        <f>GI34*IF(OR($C34=86,$G34=86),0,1)</f>
        <v/>
      </c>
      <c r="GJ35">
        <f>GJ34*IF(OR($C34=87,$G34=87),0,1)</f>
        <v/>
      </c>
      <c r="GK35">
        <f>GK34*IF(OR($C34=88,$G34=88),0,1)</f>
        <v/>
      </c>
      <c r="GL35">
        <f>GL34*IF(OR($C34=89,$G34=89),0,1)</f>
        <v/>
      </c>
      <c r="GM35">
        <f>GM34*IF(OR($C34=90,$G34=90),0,1)</f>
        <v/>
      </c>
      <c r="GN35">
        <f>GN34*IF(OR($C34=91,$G34=91),0,1)</f>
        <v/>
      </c>
      <c r="GO35">
        <f>GO34*IF(OR($C34=92,$G34=92),0,1)</f>
        <v/>
      </c>
      <c r="GP35">
        <f>GP34*IF(OR($C34=93,$G34=93),0,1)</f>
        <v/>
      </c>
      <c r="GQ35">
        <f>GQ34*IF(OR($C34=94,$G34=94),0,1)</f>
        <v/>
      </c>
      <c r="GR35">
        <f>GR34*IF(OR($C34=95,$G34=95),0,1)</f>
        <v/>
      </c>
      <c r="GS35">
        <f>GS34*IF(OR($C34=96,$G34=96),0,1)</f>
        <v/>
      </c>
      <c r="GT35">
        <f>GT34*IF(OR($C34=97,$G34=97),0,1)</f>
        <v/>
      </c>
      <c r="GU35">
        <f>GU34*IF(OR($C34=98,$G34=98),0,1)</f>
        <v/>
      </c>
      <c r="GV35">
        <f>GV34*IF(OR($C34=99,$G34=99),0,1)</f>
        <v/>
      </c>
      <c r="GW35">
        <f>GW34*IF(OR($C34=100,$G34=100),0,1)</f>
        <v/>
      </c>
      <c r="GX35">
        <f>GX34*IF(OR($C34=101,$G34=101),0,1)</f>
        <v/>
      </c>
      <c r="GY35">
        <f>GY34*IF(OR($C34=102,$G34=102),0,1)</f>
        <v/>
      </c>
      <c r="GZ35">
        <f>GZ34*IF(OR($C34=103,$G34=103),0,1)</f>
        <v/>
      </c>
      <c r="HA35">
        <f>HA34*IF(OR($C34=104,$G34=104),0,1)</f>
        <v/>
      </c>
      <c r="HB35">
        <f>HB34*IF(OR($C34=105,$G34=105),0,1)</f>
        <v/>
      </c>
      <c r="HC35">
        <f>HC34*IF(OR($C34=106,$G34=106),0,1)</f>
        <v/>
      </c>
      <c r="HD35">
        <f>HD34*IF(OR($C34=107,$G34=107),0,1)</f>
        <v/>
      </c>
      <c r="HE35">
        <f>HE34*IF(OR($C34=108,$G34=108),0,1)</f>
        <v/>
      </c>
      <c r="HF35">
        <f>HF34*IF(OR($C34=109,$G34=109),0,1)</f>
        <v/>
      </c>
      <c r="HG35">
        <f>HG34*IF(OR($C34=110,$G34=110),0,1)</f>
        <v/>
      </c>
      <c r="HH35">
        <f>HH34*IF(OR($C34=111,$G34=111),0,1)</f>
        <v/>
      </c>
      <c r="HI35">
        <f>HI34*IF(OR($C34=112,$G34=112),0,1)</f>
        <v/>
      </c>
      <c r="HJ35">
        <f>HJ34*IF(OR($C34=113,$G34=113),0,1)</f>
        <v/>
      </c>
      <c r="HK35">
        <f>HK34*IF(OR($C34=114,$G34=114),0,1)</f>
        <v/>
      </c>
      <c r="HL35">
        <f>HL34*IF(OR($C34=115,$G34=115),0,1)</f>
        <v/>
      </c>
      <c r="HM35">
        <f>HM34*IF(OR($C34=116,$G34=116),0,1)</f>
        <v/>
      </c>
      <c r="HN35">
        <f>HN34*IF(OR($C34=117,$G34=117),0,1)</f>
        <v/>
      </c>
      <c r="HO35">
        <f>HO34*IF(OR($C34=118,$G34=118),0,1)</f>
        <v/>
      </c>
      <c r="HP35">
        <f>HP34*IF(OR($C34=119,$G34=119),0,1)</f>
        <v/>
      </c>
      <c r="HQ35">
        <f>HQ34*IF(OR($C34=120,$G34=120),0,1)</f>
        <v/>
      </c>
      <c r="HR35">
        <f>HR34*IF(OR($C34=121,$G34=121),0,1)</f>
        <v/>
      </c>
      <c r="HS35">
        <f>HS34*IF(OR($C34=122,$G34=122),0,1)</f>
        <v/>
      </c>
      <c r="HT35">
        <f>HT34*IF(OR($C34=123,$G34=123),0,1)</f>
        <v/>
      </c>
      <c r="HU35">
        <f>HU34*IF(OR($C34=124,$G34=124),0,1)</f>
        <v/>
      </c>
      <c r="HV35">
        <f>HV34*IF(OR($C34=125,$G34=125),0,1)</f>
        <v/>
      </c>
      <c r="HW35">
        <f>HW34*IF(OR($C34=126,$G34=126),0,1)</f>
        <v/>
      </c>
      <c r="HX35">
        <f>HX34*IF(OR($C34=127,$G34=127),0,1)</f>
        <v/>
      </c>
      <c r="HY35">
        <f>HY34*IF(OR($C34=128,$G34=128),0,1)</f>
        <v/>
      </c>
      <c r="HZ35">
        <f>HZ34*IF(OR($C34=129,$G34=129),0,1)</f>
        <v/>
      </c>
      <c r="IA35">
        <f>IA34*IF(OR($C34=130,$G34=130),0,1)</f>
        <v/>
      </c>
      <c r="IB35">
        <f>IB34*IF(OR($C34=131,$G34=131),0,1)</f>
        <v/>
      </c>
      <c r="IC35">
        <f>IC34*IF(OR($C34=132,$G34=132),0,1)</f>
        <v/>
      </c>
      <c r="ID35">
        <f>ID34*IF(OR($C34=133,$G34=133),0,1)</f>
        <v/>
      </c>
      <c r="IE35">
        <f>IE34*IF(OR($C34=134,$G34=134),0,1)</f>
        <v/>
      </c>
      <c r="IF35">
        <f>IF34*IF(OR($C34=135,$G34=135),0,1)</f>
        <v/>
      </c>
      <c r="IG35">
        <f>IG34*IF(OR($C34=136,$G34=136),0,1)</f>
        <v/>
      </c>
      <c r="IH35">
        <f>IH34*IF(OR($C34=137,$G34=137),0,1)</f>
        <v/>
      </c>
      <c r="II35">
        <f>II34*IF(OR($C34=138,$G34=138),0,1)</f>
        <v/>
      </c>
      <c r="IJ35">
        <f>IJ34*IF(OR($C34=139,$G34=139),0,1)</f>
        <v/>
      </c>
      <c r="IK35">
        <f>IK34*IF(OR($C34=140,$G34=140),0,1)</f>
        <v/>
      </c>
      <c r="IL35">
        <f>IL34*IF(OR($C34=141,$G34=141),0,1)</f>
        <v/>
      </c>
      <c r="IM35">
        <f>IM34*IF(OR($C34=142,$G34=142),0,1)</f>
        <v/>
      </c>
      <c r="IN35">
        <f>IN34*IF(OR($C34=143,$G34=143),0,1)</f>
        <v/>
      </c>
      <c r="IO35">
        <f>IO34*IF(OR($C34=144,$G34=144),0,1)</f>
        <v/>
      </c>
      <c r="IQ35">
        <f>IF('calcA'!D$106=1,DC35,1)</f>
        <v/>
      </c>
      <c r="IR35">
        <f>IF('calcA'!E$106=1,DD35,1)</f>
        <v/>
      </c>
      <c r="IS35">
        <f>IF('calcA'!F$106=1,DE35,1)</f>
        <v/>
      </c>
      <c r="IT35">
        <f>IF('calcA'!G$106=1,DF35,1)</f>
        <v/>
      </c>
      <c r="IU35">
        <f>IF('calcA'!H$106=1,DG35,1)</f>
        <v/>
      </c>
      <c r="IV35">
        <f>IF('calcA'!I$106=1,DH35,1)</f>
        <v/>
      </c>
      <c r="IW35">
        <f>IF('calcA'!J$106=1,DI35,1)</f>
        <v/>
      </c>
      <c r="IX35">
        <f>IF('calcA'!K$106=1,DJ35,1)</f>
        <v/>
      </c>
      <c r="IY35">
        <f>IF('calcA'!L$106=1,DK35,1)</f>
        <v/>
      </c>
      <c r="IZ35">
        <f>IF('calcA'!M$106=1,DL35,1)</f>
        <v/>
      </c>
      <c r="JA35">
        <f>IF('calcA'!N$106=1,DM35,1)</f>
        <v/>
      </c>
      <c r="JB35">
        <f>IF('calcA'!O$106=1,DN35,1)</f>
        <v/>
      </c>
      <c r="JC35">
        <f>IF('calcA'!P$106=1,DO35,1)</f>
        <v/>
      </c>
      <c r="JD35">
        <f>IF('calcA'!Q$106=1,DP35,1)</f>
        <v/>
      </c>
      <c r="JE35">
        <f>IF('calcA'!R$106=1,DQ35,1)</f>
        <v/>
      </c>
      <c r="JF35">
        <f>IF('calcA'!S$106=1,DR35,1)</f>
        <v/>
      </c>
      <c r="JG35">
        <f>IF('calcA'!T$106=1,DS35,1)</f>
        <v/>
      </c>
      <c r="JH35">
        <f>IF('calcA'!U$106=1,DT35,1)</f>
        <v/>
      </c>
      <c r="JI35">
        <f>IF('calcA'!V$106=1,DU35,1)</f>
        <v/>
      </c>
      <c r="JJ35">
        <f>IF('calcA'!W$106=1,DV35,1)</f>
        <v/>
      </c>
      <c r="JK35">
        <f>IF('calcA'!X$106=1,DW35,1)</f>
        <v/>
      </c>
      <c r="JL35">
        <f>IF('calcA'!Y$106=1,DX35,1)</f>
        <v/>
      </c>
      <c r="JM35">
        <f>IF('calcA'!Z$106=1,DY35,1)</f>
        <v/>
      </c>
      <c r="JN35">
        <f>IF('calcA'!AA$106=1,DZ35,1)</f>
        <v/>
      </c>
      <c r="JO35">
        <f>IF('calcA'!AB$106=1,EA35,1)</f>
        <v/>
      </c>
      <c r="JP35">
        <f>IF('calcA'!AC$106=1,EB35,1)</f>
        <v/>
      </c>
      <c r="JQ35">
        <f>IF('calcA'!AD$106=1,EC35,1)</f>
        <v/>
      </c>
      <c r="JR35">
        <f>IF('calcA'!AE$106=1,ED35,1)</f>
        <v/>
      </c>
      <c r="JS35">
        <f>IF('calcA'!AF$106=1,EE35,1)</f>
        <v/>
      </c>
      <c r="JT35">
        <f>IF('calcA'!AG$106=1,EF35,1)</f>
        <v/>
      </c>
      <c r="JU35">
        <f>IF('calcA'!AH$106=1,EG35,1)</f>
        <v/>
      </c>
      <c r="JV35">
        <f>IF('calcA'!AI$106=1,EH35,1)</f>
        <v/>
      </c>
      <c r="JW35">
        <f>IF('calcA'!AJ$106=1,EI35,1)</f>
        <v/>
      </c>
      <c r="JX35">
        <f>IF('calcA'!AK$106=1,EJ35,1)</f>
        <v/>
      </c>
      <c r="JY35">
        <f>IF('calcA'!AL$106=1,EK35,1)</f>
        <v/>
      </c>
      <c r="JZ35">
        <f>IF('calcA'!AM$106=1,EL35,1)</f>
        <v/>
      </c>
      <c r="KA35">
        <f>IF('calcA'!AN$106=1,EM35,1)</f>
        <v/>
      </c>
      <c r="KB35">
        <f>IF('calcA'!AO$106=1,EN35,1)</f>
        <v/>
      </c>
      <c r="KC35">
        <f>IF('calcA'!AP$106=1,EO35,1)</f>
        <v/>
      </c>
      <c r="KD35">
        <f>IF('calcA'!AQ$106=1,EP35,1)</f>
        <v/>
      </c>
      <c r="KE35">
        <f>IF('calcA'!AR$106=1,EQ35,1)</f>
        <v/>
      </c>
      <c r="KF35">
        <f>IF('calcA'!AS$106=1,ER35,1)</f>
        <v/>
      </c>
      <c r="KG35">
        <f>IF('calcA'!AT$106=1,ES35,1)</f>
        <v/>
      </c>
      <c r="KH35">
        <f>IF('calcA'!AU$106=1,ET35,1)</f>
        <v/>
      </c>
      <c r="KI35">
        <f>IF('calcA'!AV$106=1,EU35,1)</f>
        <v/>
      </c>
      <c r="KJ35">
        <f>IF('calcA'!AW$106=1,EV35,1)</f>
        <v/>
      </c>
      <c r="KK35">
        <f>IF('calcA'!AX$106=1,EW35,1)</f>
        <v/>
      </c>
      <c r="KL35">
        <f>IF('calcA'!AY$106=1,EX35,1)</f>
        <v/>
      </c>
      <c r="KM35">
        <f>IF('calcA'!AZ$106=1,EY35,1)</f>
        <v/>
      </c>
      <c r="KN35">
        <f>IF('calcA'!BA$106=1,EZ35,1)</f>
        <v/>
      </c>
      <c r="KO35">
        <f>IF('calcA'!BB$106=1,FA35,1)</f>
        <v/>
      </c>
      <c r="KP35">
        <f>IF('calcA'!BC$106=1,FB35,1)</f>
        <v/>
      </c>
      <c r="KQ35">
        <f>IF('calcA'!BD$106=1,FC35,1)</f>
        <v/>
      </c>
      <c r="KR35">
        <f>IF('calcA'!BE$106=1,FD35,1)</f>
        <v/>
      </c>
      <c r="KS35">
        <f>IF('calcA'!BF$106=1,FE35,1)</f>
        <v/>
      </c>
      <c r="KT35">
        <f>IF('calcA'!BG$106=1,FF35,1)</f>
        <v/>
      </c>
      <c r="KU35">
        <f>IF('calcA'!BH$106=1,FG35,1)</f>
        <v/>
      </c>
      <c r="KV35">
        <f>IF('calcA'!BI$106=1,FH35,1)</f>
        <v/>
      </c>
      <c r="KW35">
        <f>IF('calcA'!BJ$106=1,FI35,1)</f>
        <v/>
      </c>
      <c r="KX35">
        <f>IF('calcA'!BK$106=1,FJ35,1)</f>
        <v/>
      </c>
      <c r="KY35">
        <f>IF('calcA'!BL$106=1,FK35,1)</f>
        <v/>
      </c>
      <c r="KZ35">
        <f>IF('calcA'!BM$106=1,FL35,1)</f>
        <v/>
      </c>
      <c r="LA35">
        <f>IF('calcA'!BN$106=1,FM35,1)</f>
        <v/>
      </c>
      <c r="LB35">
        <f>IF('calcA'!BO$106=1,FN35,1)</f>
        <v/>
      </c>
      <c r="LC35">
        <f>IF('calcA'!BP$106=1,FO35,1)</f>
        <v/>
      </c>
      <c r="LD35">
        <f>IF('calcA'!BQ$106=1,FP35,1)</f>
        <v/>
      </c>
      <c r="LE35">
        <f>IF('calcA'!BR$106=1,FQ35,1)</f>
        <v/>
      </c>
      <c r="LF35">
        <f>IF('calcA'!BS$106=1,FR35,1)</f>
        <v/>
      </c>
      <c r="LG35">
        <f>IF('calcA'!BT$106=1,FS35,1)</f>
        <v/>
      </c>
      <c r="LH35">
        <f>IF('calcA'!BU$106=1,FT35,1)</f>
        <v/>
      </c>
      <c r="LI35">
        <f>IF('calcA'!BV$106=1,FU35,1)</f>
        <v/>
      </c>
      <c r="LJ35">
        <f>IF('calcA'!BW$106=1,FV35,1)</f>
        <v/>
      </c>
      <c r="LK35">
        <f>IF('calcA'!BX$106=1,FW35,1)</f>
        <v/>
      </c>
      <c r="LL35">
        <f>IF('calcA'!BY$106=1,FX35,1)</f>
        <v/>
      </c>
      <c r="LM35">
        <f>IF('calcA'!BZ$106=1,FY35,1)</f>
        <v/>
      </c>
      <c r="LN35">
        <f>IF('calcA'!CA$106=1,FZ35,1)</f>
        <v/>
      </c>
      <c r="LO35">
        <f>IF('calcA'!CB$106=1,GA35,1)</f>
        <v/>
      </c>
      <c r="LP35">
        <f>IF('calcA'!CC$106=1,GB35,1)</f>
        <v/>
      </c>
      <c r="LQ35">
        <f>IF('calcA'!CD$106=1,GC35,1)</f>
        <v/>
      </c>
      <c r="LR35">
        <f>IF('calcA'!CE$106=1,GD35,1)</f>
        <v/>
      </c>
      <c r="LS35">
        <f>IF('calcA'!CF$106=1,GE35,1)</f>
        <v/>
      </c>
      <c r="LT35">
        <f>IF('calcA'!CG$106=1,GF35,1)</f>
        <v/>
      </c>
      <c r="LU35">
        <f>IF('calcA'!CH$106=1,GG35,1)</f>
        <v/>
      </c>
      <c r="LV35">
        <f>IF('calcA'!CI$106=1,GH35,1)</f>
        <v/>
      </c>
      <c r="LW35">
        <f>IF('calcA'!CJ$106=1,GI35,1)</f>
        <v/>
      </c>
      <c r="LX35">
        <f>IF('calcA'!CK$106=1,GJ35,1)</f>
        <v/>
      </c>
      <c r="LY35">
        <f>IF('calcA'!CL$106=1,GK35,1)</f>
        <v/>
      </c>
      <c r="LZ35">
        <f>IF('calcA'!CM$106=1,GL35,1)</f>
        <v/>
      </c>
      <c r="MA35">
        <f>IF('calcA'!CN$106=1,GM35,1)</f>
        <v/>
      </c>
      <c r="MB35">
        <f>IF('calcA'!CO$106=1,GN35,1)</f>
        <v/>
      </c>
      <c r="MC35">
        <f>IF('calcA'!CP$106=1,GO35,1)</f>
        <v/>
      </c>
      <c r="MD35">
        <f>IF('calcA'!CQ$106=1,GP35,1)</f>
        <v/>
      </c>
      <c r="ME35">
        <f>IF('calcA'!CR$106=1,GQ35,1)</f>
        <v/>
      </c>
      <c r="MF35">
        <f>IF('calcA'!CS$106=1,GR35,1)</f>
        <v/>
      </c>
      <c r="MG35">
        <f>IF('calcA'!CT$106=1,GS35,1)</f>
        <v/>
      </c>
      <c r="MH35">
        <f>IF('calcA'!CU$106=1,GT35,1)</f>
        <v/>
      </c>
      <c r="MI35">
        <f>IF('calcA'!CV$106=1,GU35,1)</f>
        <v/>
      </c>
      <c r="MJ35">
        <f>IF('calcA'!CW$106=1,GV35,1)</f>
        <v/>
      </c>
      <c r="MK35">
        <f>IF('calcA'!CX$106=1,GW35,1)</f>
        <v/>
      </c>
      <c r="ML35">
        <f>IF('calcA'!CY$106=1,GX35,1)</f>
        <v/>
      </c>
      <c r="MM35">
        <f>IF('calcA'!CZ$106=1,GY35,1)</f>
        <v/>
      </c>
      <c r="MN35">
        <f>IF('calcA'!DA$106=1,GZ35,1)</f>
        <v/>
      </c>
      <c r="MO35">
        <f>IF('calcA'!DB$106=1,HA35,1)</f>
        <v/>
      </c>
      <c r="MP35">
        <f>IF('calcA'!DC$106=1,HB35,1)</f>
        <v/>
      </c>
      <c r="MQ35">
        <f>IF('calcA'!DD$106=1,HC35,1)</f>
        <v/>
      </c>
      <c r="MR35">
        <f>IF('calcA'!DE$106=1,HD35,1)</f>
        <v/>
      </c>
      <c r="MS35">
        <f>IF('calcA'!DF$106=1,HE35,1)</f>
        <v/>
      </c>
      <c r="MT35">
        <f>IF('calcA'!DG$106=1,HF35,1)</f>
        <v/>
      </c>
      <c r="MU35">
        <f>IF('calcA'!DH$106=1,HG35,1)</f>
        <v/>
      </c>
      <c r="MV35">
        <f>IF('calcA'!DI$106=1,HH35,1)</f>
        <v/>
      </c>
      <c r="MW35">
        <f>IF('calcA'!DJ$106=1,HI35,1)</f>
        <v/>
      </c>
      <c r="MX35">
        <f>IF('calcA'!DK$106=1,HJ35,1)</f>
        <v/>
      </c>
      <c r="MY35">
        <f>IF('calcA'!DL$106=1,HK35,1)</f>
        <v/>
      </c>
      <c r="MZ35">
        <f>IF('calcA'!DM$106=1,HL35,1)</f>
        <v/>
      </c>
      <c r="NA35">
        <f>IF('calcA'!DN$106=1,HM35,1)</f>
        <v/>
      </c>
      <c r="NB35">
        <f>IF('calcA'!DO$106=1,HN35,1)</f>
        <v/>
      </c>
      <c r="NC35">
        <f>IF('calcA'!DP$106=1,HO35,1)</f>
        <v/>
      </c>
      <c r="ND35">
        <f>IF('calcA'!DQ$106=1,HP35,1)</f>
        <v/>
      </c>
      <c r="NE35">
        <f>IF('calcA'!DR$106=1,HQ35,1)</f>
        <v/>
      </c>
      <c r="NF35">
        <f>IF('calcA'!DS$106=1,HR35,1)</f>
        <v/>
      </c>
      <c r="NG35">
        <f>IF('calcA'!DT$106=1,HS35,1)</f>
        <v/>
      </c>
      <c r="NH35">
        <f>IF('calcA'!DU$106=1,HT35,1)</f>
        <v/>
      </c>
      <c r="NI35">
        <f>IF('calcA'!DV$106=1,HU35,1)</f>
        <v/>
      </c>
      <c r="NJ35">
        <f>IF('calcA'!DW$106=1,HV35,1)</f>
        <v/>
      </c>
      <c r="NK35">
        <f>IF('calcA'!DX$106=1,HW35,1)</f>
        <v/>
      </c>
      <c r="NL35">
        <f>IF('calcA'!DY$106=1,HX35,1)</f>
        <v/>
      </c>
      <c r="NM35">
        <f>IF('calcA'!DZ$106=1,HY35,1)</f>
        <v/>
      </c>
      <c r="NN35">
        <f>IF('calcA'!EA$106=1,HZ35,1)</f>
        <v/>
      </c>
      <c r="NO35">
        <f>IF('calcA'!EB$106=1,IA35,1)</f>
        <v/>
      </c>
      <c r="NP35">
        <f>IF('calcA'!EC$106=1,IB35,1)</f>
        <v/>
      </c>
      <c r="NQ35">
        <f>IF('calcA'!ED$106=1,IC35,1)</f>
        <v/>
      </c>
      <c r="NR35">
        <f>IF('calcA'!EE$106=1,ID35,1)</f>
        <v/>
      </c>
      <c r="NS35">
        <f>IF('calcA'!EF$106=1,IE35,1)</f>
        <v/>
      </c>
      <c r="NT35">
        <f>IF('calcA'!EG$106=1,IF35,1)</f>
        <v/>
      </c>
      <c r="NU35">
        <f>IF('calcA'!EH$106=1,IG35,1)</f>
        <v/>
      </c>
      <c r="NV35">
        <f>IF('calcA'!EI$106=1,IH35,1)</f>
        <v/>
      </c>
      <c r="NW35">
        <f>IF('calcA'!EJ$106=1,II35,1)</f>
        <v/>
      </c>
      <c r="NX35">
        <f>IF('calcA'!EK$106=1,IJ35,1)</f>
        <v/>
      </c>
      <c r="NY35">
        <f>IF('calcA'!EL$106=1,IK35,1)</f>
        <v/>
      </c>
      <c r="NZ35">
        <f>IF('calcA'!EM$106=1,IL35,1)</f>
        <v/>
      </c>
      <c r="OA35">
        <f>IF('calcA'!EN$106=1,IM35,1)</f>
        <v/>
      </c>
      <c r="OB35">
        <f>IF('calcA'!EO$106=1,IN35,1)</f>
        <v/>
      </c>
      <c r="OC35">
        <f>IF('calcA'!EP$106=1,IO35,1)</f>
        <v/>
      </c>
      <c r="OD35" t="n">
        <v>1</v>
      </c>
      <c r="OF35">
        <f>IF($B35=0,1000000000,IF(INDEX('calcA'!$D$60:$EQ$99,$B35,1)*IF($W35=1,DB35+ZQ35,DB35)=1,IF(AND($E35=2,IF($W35=1,AFF35,IQ35)=0),1000000000,IF($V35=1,INDEX('calcA'!$D$130:$EQ$169,$B35,1)+IF(AND($E35=1,IQ35=0),25,0),IF($F35&gt;0,INDEX('calcA'!D$110:D$114,$F35+1)+IF(AND($E35=1,IQ35=0),1000,0),MIN(TU35,20)*400+(IF('calcA'!D$106=1,1-DC35,0))*150+11+'calcA'!D$5*100000+IF(AND($E35=1,IQ35=0),50000,0))+IF($H35=1,INDEX('calcA'!$D$180:$EQ$219,$B35,1)*4000,0)-IF(AND($U35=1,'calcA'!D$117=1,DC35=0),2000,0))),1000000000))</f>
        <v/>
      </c>
      <c r="OG35">
        <f>IF($B35=0,1000000000,IF(INDEX('calcA'!$D$60:$EQ$99,$B35,2)*IF($W35=1,DC35+ZR35,DC35)=1,IF(AND($E35=2,IF($W35=1,AFG35,IR35)=0),1000000000,IF($V35=1,INDEX('calcA'!$D$130:$EQ$169,$B35,2)+IF(AND($E35=1,IR35=0),25,0),IF($F35&gt;0,INDEX('calcA'!E$110:E$114,$F35+1)+IF(AND($E35=1,IR35=0),1000,0),MIN(TU35,20)*400+(IF('calcA'!D$106=1,1-DB35,0)+IF('calcA'!E$106=1,1-DD35,0))*150+21+'calcA'!E$5*100000+IF(AND($E35=1,IR35=0),50000,0))+IF($H35=1,INDEX('calcA'!$D$180:$EQ$219,$B35,2)*4000,0)-IF(AND('calcA'!D$117=1,UB35&gt;0),2000,0)-IF(AND($U35=1,'calcA'!E$117=1,DD35=0),2000,0))),1000000000))</f>
        <v/>
      </c>
      <c r="OH35">
        <f>IF($B35=0,1000000000,IF(INDEX('calcA'!$D$60:$EQ$99,$B35,3)*IF($W35=1,DD35+ZS35,DD35)=1,IF(AND($E35=2,IF($W35=1,AFH35,IS35)=0),1000000000,IF($V35=1,INDEX('calcA'!$D$130:$EQ$169,$B35,3)+IF(AND($E35=1,IS35=0),25,0),IF($F35&gt;0,INDEX('calcA'!F$110:F$114,$F35+1)+IF(AND($E35=1,IS35=0),1000,0),MIN(TU35,20)*400+(IF('calcA'!E$106=1,1-DC35,0)+IF('calcA'!F$106=1,1-DE35,0))*150+31+'calcA'!F$5*100000+IF(AND($E35=1,IS35=0),50000,0))+IF($H35=1,INDEX('calcA'!$D$180:$EQ$219,$B35,3)*4000,0)-IF(AND('calcA'!E$117=1,UC35&gt;0),2000,0)-IF(AND($U35=1,'calcA'!F$117=1,DE35=0),2000,0))),1000000000))</f>
        <v/>
      </c>
      <c r="OI35">
        <f>IF($B35=0,1000000000,IF(INDEX('calcA'!$D$60:$EQ$99,$B35,4)*IF($W35=1,DE35+ZT35,DE35)=1,IF(AND($E35=2,IF($W35=1,AFI35,IT35)=0),1000000000,IF($V35=1,INDEX('calcA'!$D$130:$EQ$169,$B35,4)+IF(AND($E35=1,IT35=0),25,0),IF($F35&gt;0,INDEX('calcA'!G$110:G$114,$F35+1)+IF(AND($E35=1,IT35=0),1000,0),MIN(TU35,20)*400+(IF('calcA'!F$106=1,1-DD35,0)+IF('calcA'!G$106=1,1-DF35,0))*150+41+'calcA'!G$5*100000+IF(AND($E35=1,IT35=0),50000,0))+IF($H35=1,INDEX('calcA'!$D$180:$EQ$219,$B35,4)*4000,0)-IF(AND('calcA'!F$117=1,UD35&gt;0),2000,0)-IF(AND($U35=1,'calcA'!G$117=1,DF35=0),2000,0))),1000000000))</f>
        <v/>
      </c>
      <c r="OJ35">
        <f>IF($B35=0,1000000000,IF(INDEX('calcA'!$D$60:$EQ$99,$B35,5)*IF($W35=1,DF35+ZU35,DF35)=1,IF(AND($E35=2,IF($W35=1,AFJ35,IU35)=0),1000000000,IF($V35=1,INDEX('calcA'!$D$130:$EQ$169,$B35,5)+IF(AND($E35=1,IU35=0),25,0),IF($F35&gt;0,INDEX('calcA'!H$110:H$114,$F35+1)+IF(AND($E35=1,IU35=0),1000,0),MIN(TU35,20)*400+(IF('calcA'!G$106=1,1-DE35,0)+IF('calcA'!H$106=1,1-DG35,0))*150+51+'calcA'!H$5*100000+IF(AND($E35=1,IU35=0),50000,0))+IF($H35=1,INDEX('calcA'!$D$180:$EQ$219,$B35,5)*4000,0)-IF(AND('calcA'!G$117=1,UE35&gt;0),2000,0)-IF(AND($U35=1,'calcA'!H$117=1,DG35=0),2000,0))),1000000000))</f>
        <v/>
      </c>
      <c r="OK35">
        <f>IF($B35=0,1000000000,IF(INDEX('calcA'!$D$60:$EQ$99,$B35,6)*IF($W35=1,DG35+ZV35,DG35)=1,IF(AND($E35=2,IF($W35=1,AFK35,IV35)=0),1000000000,IF($V35=1,INDEX('calcA'!$D$130:$EQ$169,$B35,6)+IF(AND($E35=1,IV35=0),25,0),IF($F35&gt;0,INDEX('calcA'!I$110:I$114,$F35+1)+IF(AND($E35=1,IV35=0),1000,0),MIN(TU35,20)*400+(IF('calcA'!H$106=1,1-DF35,0)+IF('calcA'!I$106=1,1-DH35,0))*150+61+'calcA'!I$5*100000+IF(AND($E35=1,IV35=0),50000,0))+IF($H35=1,INDEX('calcA'!$D$180:$EQ$219,$B35,6)*4000,0)-IF(AND('calcA'!H$117=1,UF35&gt;0),2000,0)-IF(AND($U35=1,'calcA'!I$117=1,DH35=0),2000,0))),1000000000))</f>
        <v/>
      </c>
      <c r="OL35">
        <f>IF($B35=0,1000000000,IF(INDEX('calcA'!$D$60:$EQ$99,$B35,7)*IF($W35=1,DH35+ZW35,DH35)=1,IF(AND($E35=2,IF($W35=1,AFL35,IW35)=0),1000000000,IF($V35=1,INDEX('calcA'!$D$130:$EQ$169,$B35,7)+IF(AND($E35=1,IW35=0),25,0),IF($F35&gt;0,INDEX('calcA'!J$110:J$114,$F35+1)+IF(AND($E35=1,IW35=0),1000,0),MIN(TU35,20)*400+(IF('calcA'!I$106=1,1-DG35,0)+IF('calcA'!J$106=1,1-DI35,0))*150+71+'calcA'!J$5*100000+IF(AND($E35=1,IW35=0),50000,0))+IF($H35=1,INDEX('calcA'!$D$180:$EQ$219,$B35,7)*4000,0)-IF(AND('calcA'!I$117=1,UG35&gt;0),2000,0)-IF(AND($U35=1,'calcA'!J$117=1,DI35=0),2000,0))),1000000000))</f>
        <v/>
      </c>
      <c r="OM35">
        <f>IF($B35=0,1000000000,IF(INDEX('calcA'!$D$60:$EQ$99,$B35,8)*IF($W35=1,DI35+ZX35,DI35)=1,IF(AND($E35=2,IF($W35=1,AFM35,IX35)=0),1000000000,IF($V35=1,INDEX('calcA'!$D$130:$EQ$169,$B35,8)+IF(AND($E35=1,IX35=0),25,0),IF($F35&gt;0,INDEX('calcA'!K$110:K$114,$F35+1)+IF(AND($E35=1,IX35=0),1000,0),MIN(TU35,20)*400+(IF('calcA'!J$106=1,1-DH35,0)+IF('calcA'!K$106=1,1-DJ35,0))*150+81+'calcA'!K$5*100000+IF(AND($E35=1,IX35=0),50000,0))+IF($H35=1,INDEX('calcA'!$D$180:$EQ$219,$B35,8)*4000,0)-IF(AND('calcA'!J$117=1,UH35&gt;0),2000,0)-IF(AND($U35=1,'calcA'!K$117=1,DJ35=0),2000,0))),1000000000))</f>
        <v/>
      </c>
      <c r="ON35">
        <f>IF($B35=0,1000000000,IF(INDEX('calcA'!$D$60:$EQ$99,$B35,9)*IF($W35=1,DJ35+ZY35,DJ35)=1,IF(AND($E35=2,IF($W35=1,AFN35,IY35)=0),1000000000,IF($V35=1,INDEX('calcA'!$D$130:$EQ$169,$B35,9)+IF(AND($E35=1,IY35=0),25,0),IF($F35&gt;0,INDEX('calcA'!L$110:L$114,$F35+1)+IF(AND($E35=1,IY35=0),1000,0),MIN(TU35,20)*400+(IF('calcA'!K$106=1,1-DI35,0)+IF('calcA'!L$106=1,1-DK35,0))*150+91+'calcA'!L$5*100000+IF(AND($E35=1,IY35=0),50000,0))+IF($H35=1,INDEX('calcA'!$D$180:$EQ$219,$B35,9)*4000,0)-IF(AND('calcA'!K$117=1,UI35&gt;0),2000,0)-IF(AND($U35=1,'calcA'!L$117=1,DK35=0),2000,0))),1000000000))</f>
        <v/>
      </c>
      <c r="OO35">
        <f>IF($B35=0,1000000000,IF(INDEX('calcA'!$D$60:$EQ$99,$B35,10)*IF($W35=1,DK35+ZZ35,DK35)=1,IF(AND($E35=2,IF($W35=1,AFO35,IZ35)=0),1000000000,IF($V35=1,INDEX('calcA'!$D$130:$EQ$169,$B35,10)+IF(AND($E35=1,IZ35=0),25,0),IF($F35&gt;0,INDEX('calcA'!M$110:M$114,$F35+1)+IF(AND($E35=1,IZ35=0),1000,0),MIN(TU35,20)*400+(IF('calcA'!L$106=1,1-DJ35,0)+IF('calcA'!M$106=1,1-DL35,0))*150+101+'calcA'!M$5*100000+IF(AND($E35=1,IZ35=0),50000,0))+IF($H35=1,INDEX('calcA'!$D$180:$EQ$219,$B35,10)*4000,0)-IF(AND('calcA'!L$117=1,UJ35&gt;0),2000,0)-IF(AND($U35=1,'calcA'!M$117=1,DL35=0),2000,0))),1000000000))</f>
        <v/>
      </c>
      <c r="OP35">
        <f>IF($B35=0,1000000000,IF(INDEX('calcA'!$D$60:$EQ$99,$B35,11)*IF($W35=1,DL35+AAA35,DL35)=1,IF(AND($E35=2,IF($W35=1,AFP35,JA35)=0),1000000000,IF($V35=1,INDEX('calcA'!$D$130:$EQ$169,$B35,11)+IF(AND($E35=1,JA35=0),25,0),IF($F35&gt;0,INDEX('calcA'!N$110:N$114,$F35+1)+IF(AND($E35=1,JA35=0),1000,0),MIN(TU35,20)*400+(IF('calcA'!M$106=1,1-DK35,0)+IF('calcA'!N$106=1,1-DM35,0))*150+111+'calcA'!N$5*100000+IF(AND($E35=1,JA35=0),50000,0))+IF($H35=1,INDEX('calcA'!$D$180:$EQ$219,$B35,11)*4000,0)-IF(AND('calcA'!M$117=1,UK35&gt;0),2000,0)-IF(AND($U35=1,'calcA'!N$117=1,DM35=0),2000,0))),1000000000))</f>
        <v/>
      </c>
      <c r="OQ35">
        <f>IF($B35=0,1000000000,IF(INDEX('calcA'!$D$60:$EQ$99,$B35,12)*IF($W35=1,DM35+AAB35,DM35)=1,IF(AND($E35=2,IF($W35=1,AFQ35,JB35)=0),1000000000,IF($V35=1,INDEX('calcA'!$D$130:$EQ$169,$B35,12)+IF(AND($E35=1,JB35=0),25,0),IF($F35&gt;0,INDEX('calcA'!O$110:O$114,$F35+1)+IF(AND($E35=1,JB35=0),1000,0),MIN(TU35,20)*400+(IF('calcA'!N$106=1,1-DL35,0)+IF('calcA'!O$106=1,1-DN35,0))*150+121+'calcA'!O$5*100000+IF(AND($E35=1,JB35=0),50000,0))+IF($H35=1,INDEX('calcA'!$D$180:$EQ$219,$B35,12)*4000,0)-IF(AND('calcA'!N$117=1,UL35&gt;0),2000,0)-IF(AND($U35=1,'calcA'!O$117=1,DN35=0),2000,0))),1000000000))</f>
        <v/>
      </c>
      <c r="OR35">
        <f>IF($B35=0,1000000000,IF(INDEX('calcA'!$D$60:$EQ$99,$B35,13)*IF($W35=1,DN35+AAC35,DN35)=1,IF(AND($E35=2,IF($W35=1,AFR35,JC35)=0),1000000000,IF($V35=1,INDEX('calcA'!$D$130:$EQ$169,$B35,13)+IF(AND($E35=1,JC35=0),25,0),IF($F35&gt;0,INDEX('calcA'!P$110:P$114,$F35+1)+IF(AND($E35=1,JC35=0),1000,0),MIN(TU35,20)*400+(IF('calcA'!O$106=1,1-DM35,0)+IF('calcA'!P$106=1,1-DO35,0))*150+131+'calcA'!P$5*100000+IF(AND($E35=1,JC35=0),50000,0))+IF($H35=1,INDEX('calcA'!$D$180:$EQ$219,$B35,13)*4000,0)-IF(AND('calcA'!O$117=1,UM35&gt;0),2000,0)-IF(AND($U35=1,'calcA'!P$117=1,DO35=0),2000,0))),1000000000))</f>
        <v/>
      </c>
      <c r="OS35">
        <f>IF($B35=0,1000000000,IF(INDEX('calcA'!$D$60:$EQ$99,$B35,14)*IF($W35=1,DO35+AAD35,DO35)=1,IF(AND($E35=2,IF($W35=1,AFS35,JD35)=0),1000000000,IF($V35=1,INDEX('calcA'!$D$130:$EQ$169,$B35,14)+IF(AND($E35=1,JD35=0),25,0),IF($F35&gt;0,INDEX('calcA'!Q$110:Q$114,$F35+1)+IF(AND($E35=1,JD35=0),1000,0),MIN(TU35,20)*400+(IF('calcA'!P$106=1,1-DN35,0)+IF('calcA'!Q$106=1,1-DP35,0))*150+141+'calcA'!Q$5*100000+IF(AND($E35=1,JD35=0),50000,0))+IF($H35=1,INDEX('calcA'!$D$180:$EQ$219,$B35,14)*4000,0)-IF(AND('calcA'!P$117=1,UN35&gt;0),2000,0)-IF(AND($U35=1,'calcA'!Q$117=1,DP35=0),2000,0))),1000000000))</f>
        <v/>
      </c>
      <c r="OT35">
        <f>IF($B35=0,1000000000,IF(INDEX('calcA'!$D$60:$EQ$99,$B35,15)*IF($W35=1,DP35+AAE35,DP35)=1,IF(AND($E35=2,IF($W35=1,AFT35,JE35)=0),1000000000,IF($V35=1,INDEX('calcA'!$D$130:$EQ$169,$B35,15)+IF(AND($E35=1,JE35=0),25,0),IF($F35&gt;0,INDEX('calcA'!R$110:R$114,$F35+1)+IF(AND($E35=1,JE35=0),1000,0),MIN(TU35,20)*400+(IF('calcA'!Q$106=1,1-DO35,0)+IF('calcA'!R$106=1,1-DQ35,0))*150+151+'calcA'!R$5*100000+IF(AND($E35=1,JE35=0),50000,0))+IF($H35=1,INDEX('calcA'!$D$180:$EQ$219,$B35,15)*4000,0)-IF(AND('calcA'!Q$117=1,UO35&gt;0),2000,0)-IF(AND($U35=1,'calcA'!R$117=1,DQ35=0),2000,0))),1000000000))</f>
        <v/>
      </c>
      <c r="OU35">
        <f>IF($B35=0,1000000000,IF(INDEX('calcA'!$D$60:$EQ$99,$B35,16)*IF($W35=1,DQ35+AAF35,DQ35)=1,IF(AND($E35=2,IF($W35=1,AFU35,JF35)=0),1000000000,IF($V35=1,INDEX('calcA'!$D$130:$EQ$169,$B35,16)+IF(AND($E35=1,JF35=0),25,0),IF($F35&gt;0,INDEX('calcA'!S$110:S$114,$F35+1)+IF(AND($E35=1,JF35=0),1000,0),MIN(TU35,20)*400+(IF('calcA'!R$106=1,1-DP35,0)+IF('calcA'!S$106=1,1-DR35,0))*150+161+'calcA'!S$5*100000+IF(AND($E35=1,JF35=0),50000,0))+IF($H35=1,INDEX('calcA'!$D$180:$EQ$219,$B35,16)*4000,0)-IF(AND('calcA'!R$117=1,UP35&gt;0),2000,0)-IF(AND($U35=1,'calcA'!S$117=1,DR35=0),2000,0))),1000000000))</f>
        <v/>
      </c>
      <c r="OV35">
        <f>IF($B35=0,1000000000,IF(INDEX('calcA'!$D$60:$EQ$99,$B35,17)*IF($W35=1,DR35+AAG35,DR35)=1,IF(AND($E35=2,IF($W35=1,AFV35,JG35)=0),1000000000,IF($V35=1,INDEX('calcA'!$D$130:$EQ$169,$B35,17)+IF(AND($E35=1,JG35=0),25,0),IF($F35&gt;0,INDEX('calcA'!T$110:T$114,$F35+1)+IF(AND($E35=1,JG35=0),1000,0),MIN(TU35,20)*400+(IF('calcA'!S$106=1,1-DQ35,0)+IF('calcA'!T$106=1,1-DS35,0))*150+171+'calcA'!T$5*100000+IF(AND($E35=1,JG35=0),50000,0))+IF($H35=1,INDEX('calcA'!$D$180:$EQ$219,$B35,17)*4000,0)-IF(AND('calcA'!S$117=1,UQ35&gt;0),2000,0)-IF(AND($U35=1,'calcA'!T$117=1,DS35=0),2000,0))),1000000000))</f>
        <v/>
      </c>
      <c r="OW35">
        <f>IF($B35=0,1000000000,IF(INDEX('calcA'!$D$60:$EQ$99,$B35,18)*IF($W35=1,DS35+AAH35,DS35)=1,IF(AND($E35=2,IF($W35=1,AFW35,JH35)=0),1000000000,IF($V35=1,INDEX('calcA'!$D$130:$EQ$169,$B35,18)+IF(AND($E35=1,JH35=0),25,0),IF($F35&gt;0,INDEX('calcA'!U$110:U$114,$F35+1)+IF(AND($E35=1,JH35=0),1000,0),MIN(TU35,20)*400+(IF('calcA'!T$106=1,1-DR35,0)+IF('calcA'!U$106=1,1-DT35,0))*150+181+'calcA'!U$5*100000+IF(AND($E35=1,JH35=0),50000,0))+IF($H35=1,INDEX('calcA'!$D$180:$EQ$219,$B35,18)*4000,0)-IF(AND('calcA'!T$117=1,UR35&gt;0),2000,0)-IF(AND($U35=1,'calcA'!U$117=1,DT35=0),2000,0))),1000000000))</f>
        <v/>
      </c>
      <c r="OX35">
        <f>IF($B35=0,1000000000,IF(INDEX('calcA'!$D$60:$EQ$99,$B35,19)*IF($W35=1,DT35+AAI35,DT35)=1,IF(AND($E35=2,IF($W35=1,AFX35,JI35)=0),1000000000,IF($V35=1,INDEX('calcA'!$D$130:$EQ$169,$B35,19)+IF(AND($E35=1,JI35=0),25,0),IF($F35&gt;0,INDEX('calcA'!V$110:V$114,$F35+1)+IF(AND($E35=1,JI35=0),1000,0),MIN(TU35,20)*400+(IF('calcA'!U$106=1,1-DS35,0)+IF('calcA'!V$106=1,1-DU35,0))*150+191+'calcA'!V$5*100000+IF(AND($E35=1,JI35=0),50000,0))+IF($H35=1,INDEX('calcA'!$D$180:$EQ$219,$B35,19)*4000,0)-IF(AND('calcA'!U$117=1,US35&gt;0),2000,0)-IF(AND($U35=1,'calcA'!V$117=1,DU35=0),2000,0))),1000000000))</f>
        <v/>
      </c>
      <c r="OY35">
        <f>IF($B35=0,1000000000,IF(INDEX('calcA'!$D$60:$EQ$99,$B35,20)*IF($W35=1,DU35+AAJ35,DU35)=1,IF(AND($E35=2,IF($W35=1,AFY35,JJ35)=0),1000000000,IF($V35=1,INDEX('calcA'!$D$130:$EQ$169,$B35,20)+IF(AND($E35=1,JJ35=0),25,0),IF($F35&gt;0,INDEX('calcA'!W$110:W$114,$F35+1)+IF(AND($E35=1,JJ35=0),1000,0),MIN(TU35,20)*400+(IF('calcA'!V$106=1,1-DT35,0)+IF('calcA'!W$106=1,1-DV35,0))*150+201+'calcA'!W$5*100000+IF(AND($E35=1,JJ35=0),50000,0))+IF($H35=1,INDEX('calcA'!$D$180:$EQ$219,$B35,20)*4000,0)-IF(AND('calcA'!V$117=1,UT35&gt;0),2000,0)-IF(AND($U35=1,'calcA'!W$117=1,DV35=0),2000,0))),1000000000))</f>
        <v/>
      </c>
      <c r="OZ35">
        <f>IF($B35=0,1000000000,IF(INDEX('calcA'!$D$60:$EQ$99,$B35,21)*IF($W35=1,DV35+AAK35,DV35)=1,IF(AND($E35=2,IF($W35=1,AFZ35,JK35)=0),1000000000,IF($V35=1,INDEX('calcA'!$D$130:$EQ$169,$B35,21)+IF(AND($E35=1,JK35=0),25,0),IF($F35&gt;0,INDEX('calcA'!X$110:X$114,$F35+1)+IF(AND($E35=1,JK35=0),1000,0),MIN(TU35,20)*400+(IF('calcA'!W$106=1,1-DU35,0)+IF('calcA'!X$106=1,1-DW35,0))*150+211+'calcA'!X$5*100000+IF(AND($E35=1,JK35=0),50000,0))+IF($H35=1,INDEX('calcA'!$D$180:$EQ$219,$B35,21)*4000,0)-IF(AND('calcA'!W$117=1,UU35&gt;0),2000,0)-IF(AND($U35=1,'calcA'!X$117=1,DW35=0),2000,0))),1000000000))</f>
        <v/>
      </c>
      <c r="PA35">
        <f>IF($B35=0,1000000000,IF(INDEX('calcA'!$D$60:$EQ$99,$B35,22)*IF($W35=1,DW35+AAL35,DW35)=1,IF(AND($E35=2,IF($W35=1,AGA35,JL35)=0),1000000000,IF($V35=1,INDEX('calcA'!$D$130:$EQ$169,$B35,22)+IF(AND($E35=1,JL35=0),25,0),IF($F35&gt;0,INDEX('calcA'!Y$110:Y$114,$F35+1)+IF(AND($E35=1,JL35=0),1000,0),MIN(TU35,20)*400+(IF('calcA'!X$106=1,1-DV35,0)+IF('calcA'!Y$106=1,1-DX35,0))*150+221+'calcA'!Y$5*100000+IF(AND($E35=1,JL35=0),50000,0))+IF($H35=1,INDEX('calcA'!$D$180:$EQ$219,$B35,22)*4000,0)-IF(AND('calcA'!X$117=1,UV35&gt;0),2000,0)-IF(AND($U35=1,'calcA'!Y$117=1,DX35=0),2000,0))),1000000000))</f>
        <v/>
      </c>
      <c r="PB35">
        <f>IF($B35=0,1000000000,IF(INDEX('calcA'!$D$60:$EQ$99,$B35,23)*IF($W35=1,DX35+AAM35,DX35)=1,IF(AND($E35=2,IF($W35=1,AGB35,JM35)=0),1000000000,IF($V35=1,INDEX('calcA'!$D$130:$EQ$169,$B35,23)+IF(AND($E35=1,JM35=0),25,0),IF($F35&gt;0,INDEX('calcA'!Z$110:Z$114,$F35+1)+IF(AND($E35=1,JM35=0),1000,0),MIN(TU35,20)*400+(IF('calcA'!Y$106=1,1-DW35,0)+IF('calcA'!Z$106=1,1-DY35,0))*150+231+'calcA'!Z$5*100000+IF(AND($E35=1,JM35=0),50000,0))+IF($H35=1,INDEX('calcA'!$D$180:$EQ$219,$B35,23)*4000,0)-IF(AND('calcA'!Y$117=1,UW35&gt;0),2000,0)-IF(AND($U35=1,'calcA'!Z$117=1,DY35=0),2000,0))),1000000000))</f>
        <v/>
      </c>
      <c r="PC35">
        <f>IF($B35=0,1000000000,IF(INDEX('calcA'!$D$60:$EQ$99,$B35,24)*IF($W35=1,DY35+AAN35,DY35)=1,IF(AND($E35=2,IF($W35=1,AGC35,JN35)=0),1000000000,IF($V35=1,INDEX('calcA'!$D$130:$EQ$169,$B35,24)+IF(AND($E35=1,JN35=0),25,0),IF($F35&gt;0,INDEX('calcA'!AA$110:AA$114,$F35+1)+IF(AND($E35=1,JN35=0),1000,0),MIN(TU35,20)*400+(IF('calcA'!Z$106=1,1-DX35,0))*150+241+'calcA'!AA$5*100000+IF(AND($E35=1,JN35=0),50000,0))+IF($H35=1,INDEX('calcA'!$D$180:$EQ$219,$B35,24)*4000,0)-IF(AND('calcA'!Z$117=1,UX35&gt;0),2000,0))),1000000000))</f>
        <v/>
      </c>
      <c r="PD35">
        <f>IF($B35=0,1000000000,IF(INDEX('calcA'!$D$60:$EQ$99,$B35,25)*IF($W35=1,DZ35+AAO35,DZ35)=1,IF(AND($E35=2,IF($W35=1,AGD35,JO35)=0),1000000000,IF($V35=1,INDEX('calcA'!$D$130:$EQ$169,$B35,25)+IF(AND($E35=1,JO35=0),25,0),IF($F35&gt;0,INDEX('calcA'!AB$110:AB$114,$F35+1)+IF(AND($E35=1,JO35=0),1000,0),MIN(TV35,20)*400+(IF('calcA'!AB$106=1,1-EA35,0))*150+12+'calcA'!AB$5*100000+IF(AND($E35=1,JO35=0),50000,0))+IF($H35=1,INDEX('calcA'!$D$180:$EQ$219,$B35,25)*4000,0)-IF(AND($U35=1,'calcA'!AB$117=1,EA35=0),2000,0))),1000000000))</f>
        <v/>
      </c>
      <c r="PE35">
        <f>IF($B35=0,1000000000,IF(INDEX('calcA'!$D$60:$EQ$99,$B35,26)*IF($W35=1,EA35+AAP35,EA35)=1,IF(AND($E35=2,IF($W35=1,AGE35,JP35)=0),1000000000,IF($V35=1,INDEX('calcA'!$D$130:$EQ$169,$B35,26)+IF(AND($E35=1,JP35=0),25,0),IF($F35&gt;0,INDEX('calcA'!AC$110:AC$114,$F35+1)+IF(AND($E35=1,JP35=0),1000,0),MIN(TV35,20)*400+(IF('calcA'!AB$106=1,1-DZ35,0)+IF('calcA'!AC$106=1,1-EB35,0))*150+22+'calcA'!AC$5*100000+IF(AND($E35=1,JP35=0),50000,0))+IF($H35=1,INDEX('calcA'!$D$180:$EQ$219,$B35,26)*4000,0)-IF(AND('calcA'!AB$117=1,UZ35&gt;0),2000,0)-IF(AND($U35=1,'calcA'!AC$117=1,EB35=0),2000,0))),1000000000))</f>
        <v/>
      </c>
      <c r="PF35">
        <f>IF($B35=0,1000000000,IF(INDEX('calcA'!$D$60:$EQ$99,$B35,27)*IF($W35=1,EB35+AAQ35,EB35)=1,IF(AND($E35=2,IF($W35=1,AGF35,JQ35)=0),1000000000,IF($V35=1,INDEX('calcA'!$D$130:$EQ$169,$B35,27)+IF(AND($E35=1,JQ35=0),25,0),IF($F35&gt;0,INDEX('calcA'!AD$110:AD$114,$F35+1)+IF(AND($E35=1,JQ35=0),1000,0),MIN(TV35,20)*400+(IF('calcA'!AC$106=1,1-EA35,0)+IF('calcA'!AD$106=1,1-EC35,0))*150+32+'calcA'!AD$5*100000+IF(AND($E35=1,JQ35=0),50000,0))+IF($H35=1,INDEX('calcA'!$D$180:$EQ$219,$B35,27)*4000,0)-IF(AND('calcA'!AC$117=1,VA35&gt;0),2000,0)-IF(AND($U35=1,'calcA'!AD$117=1,EC35=0),2000,0))),1000000000))</f>
        <v/>
      </c>
      <c r="PG35">
        <f>IF($B35=0,1000000000,IF(INDEX('calcA'!$D$60:$EQ$99,$B35,28)*IF($W35=1,EC35+AAR35,EC35)=1,IF(AND($E35=2,IF($W35=1,AGG35,JR35)=0),1000000000,IF($V35=1,INDEX('calcA'!$D$130:$EQ$169,$B35,28)+IF(AND($E35=1,JR35=0),25,0),IF($F35&gt;0,INDEX('calcA'!AE$110:AE$114,$F35+1)+IF(AND($E35=1,JR35=0),1000,0),MIN(TV35,20)*400+(IF('calcA'!AD$106=1,1-EB35,0)+IF('calcA'!AE$106=1,1-ED35,0))*150+42+'calcA'!AE$5*100000+IF(AND($E35=1,JR35=0),50000,0))+IF($H35=1,INDEX('calcA'!$D$180:$EQ$219,$B35,28)*4000,0)-IF(AND('calcA'!AD$117=1,VB35&gt;0),2000,0)-IF(AND($U35=1,'calcA'!AE$117=1,ED35=0),2000,0))),1000000000))</f>
        <v/>
      </c>
      <c r="PH35">
        <f>IF($B35=0,1000000000,IF(INDEX('calcA'!$D$60:$EQ$99,$B35,29)*IF($W35=1,ED35+AAS35,ED35)=1,IF(AND($E35=2,IF($W35=1,AGH35,JS35)=0),1000000000,IF($V35=1,INDEX('calcA'!$D$130:$EQ$169,$B35,29)+IF(AND($E35=1,JS35=0),25,0),IF($F35&gt;0,INDEX('calcA'!AF$110:AF$114,$F35+1)+IF(AND($E35=1,JS35=0),1000,0),MIN(TV35,20)*400+(IF('calcA'!AE$106=1,1-EC35,0)+IF('calcA'!AF$106=1,1-EE35,0))*150+52+'calcA'!AF$5*100000+IF(AND($E35=1,JS35=0),50000,0))+IF($H35=1,INDEX('calcA'!$D$180:$EQ$219,$B35,29)*4000,0)-IF(AND('calcA'!AE$117=1,VC35&gt;0),2000,0)-IF(AND($U35=1,'calcA'!AF$117=1,EE35=0),2000,0))),1000000000))</f>
        <v/>
      </c>
      <c r="PI35">
        <f>IF($B35=0,1000000000,IF(INDEX('calcA'!$D$60:$EQ$99,$B35,30)*IF($W35=1,EE35+AAT35,EE35)=1,IF(AND($E35=2,IF($W35=1,AGI35,JT35)=0),1000000000,IF($V35=1,INDEX('calcA'!$D$130:$EQ$169,$B35,30)+IF(AND($E35=1,JT35=0),25,0),IF($F35&gt;0,INDEX('calcA'!AG$110:AG$114,$F35+1)+IF(AND($E35=1,JT35=0),1000,0),MIN(TV35,20)*400+(IF('calcA'!AF$106=1,1-ED35,0)+IF('calcA'!AG$106=1,1-EF35,0))*150+62+'calcA'!AG$5*100000+IF(AND($E35=1,JT35=0),50000,0))+IF($H35=1,INDEX('calcA'!$D$180:$EQ$219,$B35,30)*4000,0)-IF(AND('calcA'!AF$117=1,VD35&gt;0),2000,0)-IF(AND($U35=1,'calcA'!AG$117=1,EF35=0),2000,0))),1000000000))</f>
        <v/>
      </c>
      <c r="PJ35">
        <f>IF($B35=0,1000000000,IF(INDEX('calcA'!$D$60:$EQ$99,$B35,31)*IF($W35=1,EF35+AAU35,EF35)=1,IF(AND($E35=2,IF($W35=1,AGJ35,JU35)=0),1000000000,IF($V35=1,INDEX('calcA'!$D$130:$EQ$169,$B35,31)+IF(AND($E35=1,JU35=0),25,0),IF($F35&gt;0,INDEX('calcA'!AH$110:AH$114,$F35+1)+IF(AND($E35=1,JU35=0),1000,0),MIN(TV35,20)*400+(IF('calcA'!AG$106=1,1-EE35,0)+IF('calcA'!AH$106=1,1-EG35,0))*150+72+'calcA'!AH$5*100000+IF(AND($E35=1,JU35=0),50000,0))+IF($H35=1,INDEX('calcA'!$D$180:$EQ$219,$B35,31)*4000,0)-IF(AND('calcA'!AG$117=1,VE35&gt;0),2000,0)-IF(AND($U35=1,'calcA'!AH$117=1,EG35=0),2000,0))),1000000000))</f>
        <v/>
      </c>
      <c r="PK35">
        <f>IF($B35=0,1000000000,IF(INDEX('calcA'!$D$60:$EQ$99,$B35,32)*IF($W35=1,EG35+AAV35,EG35)=1,IF(AND($E35=2,IF($W35=1,AGK35,JV35)=0),1000000000,IF($V35=1,INDEX('calcA'!$D$130:$EQ$169,$B35,32)+IF(AND($E35=1,JV35=0),25,0),IF($F35&gt;0,INDEX('calcA'!AI$110:AI$114,$F35+1)+IF(AND($E35=1,JV35=0),1000,0),MIN(TV35,20)*400+(IF('calcA'!AH$106=1,1-EF35,0)+IF('calcA'!AI$106=1,1-EH35,0))*150+82+'calcA'!AI$5*100000+IF(AND($E35=1,JV35=0),50000,0))+IF($H35=1,INDEX('calcA'!$D$180:$EQ$219,$B35,32)*4000,0)-IF(AND('calcA'!AH$117=1,VF35&gt;0),2000,0)-IF(AND($U35=1,'calcA'!AI$117=1,EH35=0),2000,0))),1000000000))</f>
        <v/>
      </c>
      <c r="PL35">
        <f>IF($B35=0,1000000000,IF(INDEX('calcA'!$D$60:$EQ$99,$B35,33)*IF($W35=1,EH35+AAW35,EH35)=1,IF(AND($E35=2,IF($W35=1,AGL35,JW35)=0),1000000000,IF($V35=1,INDEX('calcA'!$D$130:$EQ$169,$B35,33)+IF(AND($E35=1,JW35=0),25,0),IF($F35&gt;0,INDEX('calcA'!AJ$110:AJ$114,$F35+1)+IF(AND($E35=1,JW35=0),1000,0),MIN(TV35,20)*400+(IF('calcA'!AI$106=1,1-EG35,0)+IF('calcA'!AJ$106=1,1-EI35,0))*150+92+'calcA'!AJ$5*100000+IF(AND($E35=1,JW35=0),50000,0))+IF($H35=1,INDEX('calcA'!$D$180:$EQ$219,$B35,33)*4000,0)-IF(AND('calcA'!AI$117=1,VG35&gt;0),2000,0)-IF(AND($U35=1,'calcA'!AJ$117=1,EI35=0),2000,0))),1000000000))</f>
        <v/>
      </c>
      <c r="PM35">
        <f>IF($B35=0,1000000000,IF(INDEX('calcA'!$D$60:$EQ$99,$B35,34)*IF($W35=1,EI35+AAX35,EI35)=1,IF(AND($E35=2,IF($W35=1,AGM35,JX35)=0),1000000000,IF($V35=1,INDEX('calcA'!$D$130:$EQ$169,$B35,34)+IF(AND($E35=1,JX35=0),25,0),IF($F35&gt;0,INDEX('calcA'!AK$110:AK$114,$F35+1)+IF(AND($E35=1,JX35=0),1000,0),MIN(TV35,20)*400+(IF('calcA'!AJ$106=1,1-EH35,0)+IF('calcA'!AK$106=1,1-EJ35,0))*150+102+'calcA'!AK$5*100000+IF(AND($E35=1,JX35=0),50000,0))+IF($H35=1,INDEX('calcA'!$D$180:$EQ$219,$B35,34)*4000,0)-IF(AND('calcA'!AJ$117=1,VH35&gt;0),2000,0)-IF(AND($U35=1,'calcA'!AK$117=1,EJ35=0),2000,0))),1000000000))</f>
        <v/>
      </c>
      <c r="PN35">
        <f>IF($B35=0,1000000000,IF(INDEX('calcA'!$D$60:$EQ$99,$B35,35)*IF($W35=1,EJ35+AAY35,EJ35)=1,IF(AND($E35=2,IF($W35=1,AGN35,JY35)=0),1000000000,IF($V35=1,INDEX('calcA'!$D$130:$EQ$169,$B35,35)+IF(AND($E35=1,JY35=0),25,0),IF($F35&gt;0,INDEX('calcA'!AL$110:AL$114,$F35+1)+IF(AND($E35=1,JY35=0),1000,0),MIN(TV35,20)*400+(IF('calcA'!AK$106=1,1-EI35,0)+IF('calcA'!AL$106=1,1-EK35,0))*150+112+'calcA'!AL$5*100000+IF(AND($E35=1,JY35=0),50000,0))+IF($H35=1,INDEX('calcA'!$D$180:$EQ$219,$B35,35)*4000,0)-IF(AND('calcA'!AK$117=1,VI35&gt;0),2000,0)-IF(AND($U35=1,'calcA'!AL$117=1,EK35=0),2000,0))),1000000000))</f>
        <v/>
      </c>
      <c r="PO35">
        <f>IF($B35=0,1000000000,IF(INDEX('calcA'!$D$60:$EQ$99,$B35,36)*IF($W35=1,EK35+AAZ35,EK35)=1,IF(AND($E35=2,IF($W35=1,AGO35,JZ35)=0),1000000000,IF($V35=1,INDEX('calcA'!$D$130:$EQ$169,$B35,36)+IF(AND($E35=1,JZ35=0),25,0),IF($F35&gt;0,INDEX('calcA'!AM$110:AM$114,$F35+1)+IF(AND($E35=1,JZ35=0),1000,0),MIN(TV35,20)*400+(IF('calcA'!AL$106=1,1-EJ35,0)+IF('calcA'!AM$106=1,1-EL35,0))*150+122+'calcA'!AM$5*100000+IF(AND($E35=1,JZ35=0),50000,0))+IF($H35=1,INDEX('calcA'!$D$180:$EQ$219,$B35,36)*4000,0)-IF(AND('calcA'!AL$117=1,VJ35&gt;0),2000,0)-IF(AND($U35=1,'calcA'!AM$117=1,EL35=0),2000,0))),1000000000))</f>
        <v/>
      </c>
      <c r="PP35">
        <f>IF($B35=0,1000000000,IF(INDEX('calcA'!$D$60:$EQ$99,$B35,37)*IF($W35=1,EL35+ABA35,EL35)=1,IF(AND($E35=2,IF($W35=1,AGP35,KA35)=0),1000000000,IF($V35=1,INDEX('calcA'!$D$130:$EQ$169,$B35,37)+IF(AND($E35=1,KA35=0),25,0),IF($F35&gt;0,INDEX('calcA'!AN$110:AN$114,$F35+1)+IF(AND($E35=1,KA35=0),1000,0),MIN(TV35,20)*400+(IF('calcA'!AM$106=1,1-EK35,0)+IF('calcA'!AN$106=1,1-EM35,0))*150+132+'calcA'!AN$5*100000+IF(AND($E35=1,KA35=0),50000,0))+IF($H35=1,INDEX('calcA'!$D$180:$EQ$219,$B35,37)*4000,0)-IF(AND('calcA'!AM$117=1,VK35&gt;0),2000,0)-IF(AND($U35=1,'calcA'!AN$117=1,EM35=0),2000,0))),1000000000))</f>
        <v/>
      </c>
      <c r="PQ35">
        <f>IF($B35=0,1000000000,IF(INDEX('calcA'!$D$60:$EQ$99,$B35,38)*IF($W35=1,EM35+ABB35,EM35)=1,IF(AND($E35=2,IF($W35=1,AGQ35,KB35)=0),1000000000,IF($V35=1,INDEX('calcA'!$D$130:$EQ$169,$B35,38)+IF(AND($E35=1,KB35=0),25,0),IF($F35&gt;0,INDEX('calcA'!AO$110:AO$114,$F35+1)+IF(AND($E35=1,KB35=0),1000,0),MIN(TV35,20)*400+(IF('calcA'!AN$106=1,1-EL35,0)+IF('calcA'!AO$106=1,1-EN35,0))*150+142+'calcA'!AO$5*100000+IF(AND($E35=1,KB35=0),50000,0))+IF($H35=1,INDEX('calcA'!$D$180:$EQ$219,$B35,38)*4000,0)-IF(AND('calcA'!AN$117=1,VL35&gt;0),2000,0)-IF(AND($U35=1,'calcA'!AO$117=1,EN35=0),2000,0))),1000000000))</f>
        <v/>
      </c>
      <c r="PR35">
        <f>IF($B35=0,1000000000,IF(INDEX('calcA'!$D$60:$EQ$99,$B35,39)*IF($W35=1,EN35+ABC35,EN35)=1,IF(AND($E35=2,IF($W35=1,AGR35,KC35)=0),1000000000,IF($V35=1,INDEX('calcA'!$D$130:$EQ$169,$B35,39)+IF(AND($E35=1,KC35=0),25,0),IF($F35&gt;0,INDEX('calcA'!AP$110:AP$114,$F35+1)+IF(AND($E35=1,KC35=0),1000,0),MIN(TV35,20)*400+(IF('calcA'!AO$106=1,1-EM35,0)+IF('calcA'!AP$106=1,1-EO35,0))*150+152+'calcA'!AP$5*100000+IF(AND($E35=1,KC35=0),50000,0))+IF($H35=1,INDEX('calcA'!$D$180:$EQ$219,$B35,39)*4000,0)-IF(AND('calcA'!AO$117=1,VM35&gt;0),2000,0)-IF(AND($U35=1,'calcA'!AP$117=1,EO35=0),2000,0))),1000000000))</f>
        <v/>
      </c>
      <c r="PS35">
        <f>IF($B35=0,1000000000,IF(INDEX('calcA'!$D$60:$EQ$99,$B35,40)*IF($W35=1,EO35+ABD35,EO35)=1,IF(AND($E35=2,IF($W35=1,AGS35,KD35)=0),1000000000,IF($V35=1,INDEX('calcA'!$D$130:$EQ$169,$B35,40)+IF(AND($E35=1,KD35=0),25,0),IF($F35&gt;0,INDEX('calcA'!AQ$110:AQ$114,$F35+1)+IF(AND($E35=1,KD35=0),1000,0),MIN(TV35,20)*400+(IF('calcA'!AP$106=1,1-EN35,0)+IF('calcA'!AQ$106=1,1-EP35,0))*150+162+'calcA'!AQ$5*100000+IF(AND($E35=1,KD35=0),50000,0))+IF($H35=1,INDEX('calcA'!$D$180:$EQ$219,$B35,40)*4000,0)-IF(AND('calcA'!AP$117=1,VN35&gt;0),2000,0)-IF(AND($U35=1,'calcA'!AQ$117=1,EP35=0),2000,0))),1000000000))</f>
        <v/>
      </c>
      <c r="PT35">
        <f>IF($B35=0,1000000000,IF(INDEX('calcA'!$D$60:$EQ$99,$B35,41)*IF($W35=1,EP35+ABE35,EP35)=1,IF(AND($E35=2,IF($W35=1,AGT35,KE35)=0),1000000000,IF($V35=1,INDEX('calcA'!$D$130:$EQ$169,$B35,41)+IF(AND($E35=1,KE35=0),25,0),IF($F35&gt;0,INDEX('calcA'!AR$110:AR$114,$F35+1)+IF(AND($E35=1,KE35=0),1000,0),MIN(TV35,20)*400+(IF('calcA'!AQ$106=1,1-EO35,0)+IF('calcA'!AR$106=1,1-EQ35,0))*150+172+'calcA'!AR$5*100000+IF(AND($E35=1,KE35=0),50000,0))+IF($H35=1,INDEX('calcA'!$D$180:$EQ$219,$B35,41)*4000,0)-IF(AND('calcA'!AQ$117=1,VO35&gt;0),2000,0)-IF(AND($U35=1,'calcA'!AR$117=1,EQ35=0),2000,0))),1000000000))</f>
        <v/>
      </c>
      <c r="PU35">
        <f>IF($B35=0,1000000000,IF(INDEX('calcA'!$D$60:$EQ$99,$B35,42)*IF($W35=1,EQ35+ABF35,EQ35)=1,IF(AND($E35=2,IF($W35=1,AGU35,KF35)=0),1000000000,IF($V35=1,INDEX('calcA'!$D$130:$EQ$169,$B35,42)+IF(AND($E35=1,KF35=0),25,0),IF($F35&gt;0,INDEX('calcA'!AS$110:AS$114,$F35+1)+IF(AND($E35=1,KF35=0),1000,0),MIN(TV35,20)*400+(IF('calcA'!AR$106=1,1-EP35,0)+IF('calcA'!AS$106=1,1-ER35,0))*150+182+'calcA'!AS$5*100000+IF(AND($E35=1,KF35=0),50000,0))+IF($H35=1,INDEX('calcA'!$D$180:$EQ$219,$B35,42)*4000,0)-IF(AND('calcA'!AR$117=1,VP35&gt;0),2000,0)-IF(AND($U35=1,'calcA'!AS$117=1,ER35=0),2000,0))),1000000000))</f>
        <v/>
      </c>
      <c r="PV35">
        <f>IF($B35=0,1000000000,IF(INDEX('calcA'!$D$60:$EQ$99,$B35,43)*IF($W35=1,ER35+ABG35,ER35)=1,IF(AND($E35=2,IF($W35=1,AGV35,KG35)=0),1000000000,IF($V35=1,INDEX('calcA'!$D$130:$EQ$169,$B35,43)+IF(AND($E35=1,KG35=0),25,0),IF($F35&gt;0,INDEX('calcA'!AT$110:AT$114,$F35+1)+IF(AND($E35=1,KG35=0),1000,0),MIN(TV35,20)*400+(IF('calcA'!AS$106=1,1-EQ35,0)+IF('calcA'!AT$106=1,1-ES35,0))*150+192+'calcA'!AT$5*100000+IF(AND($E35=1,KG35=0),50000,0))+IF($H35=1,INDEX('calcA'!$D$180:$EQ$219,$B35,43)*4000,0)-IF(AND('calcA'!AS$117=1,VQ35&gt;0),2000,0)-IF(AND($U35=1,'calcA'!AT$117=1,ES35=0),2000,0))),1000000000))</f>
        <v/>
      </c>
      <c r="PW35">
        <f>IF($B35=0,1000000000,IF(INDEX('calcA'!$D$60:$EQ$99,$B35,44)*IF($W35=1,ES35+ABH35,ES35)=1,IF(AND($E35=2,IF($W35=1,AGW35,KH35)=0),1000000000,IF($V35=1,INDEX('calcA'!$D$130:$EQ$169,$B35,44)+IF(AND($E35=1,KH35=0),25,0),IF($F35&gt;0,INDEX('calcA'!AU$110:AU$114,$F35+1)+IF(AND($E35=1,KH35=0),1000,0),MIN(TV35,20)*400+(IF('calcA'!AT$106=1,1-ER35,0)+IF('calcA'!AU$106=1,1-ET35,0))*150+202+'calcA'!AU$5*100000+IF(AND($E35=1,KH35=0),50000,0))+IF($H35=1,INDEX('calcA'!$D$180:$EQ$219,$B35,44)*4000,0)-IF(AND('calcA'!AT$117=1,VR35&gt;0),2000,0)-IF(AND($U35=1,'calcA'!AU$117=1,ET35=0),2000,0))),1000000000))</f>
        <v/>
      </c>
      <c r="PX35">
        <f>IF($B35=0,1000000000,IF(INDEX('calcA'!$D$60:$EQ$99,$B35,45)*IF($W35=1,ET35+ABI35,ET35)=1,IF(AND($E35=2,IF($W35=1,AGX35,KI35)=0),1000000000,IF($V35=1,INDEX('calcA'!$D$130:$EQ$169,$B35,45)+IF(AND($E35=1,KI35=0),25,0),IF($F35&gt;0,INDEX('calcA'!AV$110:AV$114,$F35+1)+IF(AND($E35=1,KI35=0),1000,0),MIN(TV35,20)*400+(IF('calcA'!AU$106=1,1-ES35,0)+IF('calcA'!AV$106=1,1-EU35,0))*150+212+'calcA'!AV$5*100000+IF(AND($E35=1,KI35=0),50000,0))+IF($H35=1,INDEX('calcA'!$D$180:$EQ$219,$B35,45)*4000,0)-IF(AND('calcA'!AU$117=1,VS35&gt;0),2000,0)-IF(AND($U35=1,'calcA'!AV$117=1,EU35=0),2000,0))),1000000000))</f>
        <v/>
      </c>
      <c r="PY35">
        <f>IF($B35=0,1000000000,IF(INDEX('calcA'!$D$60:$EQ$99,$B35,46)*IF($W35=1,EU35+ABJ35,EU35)=1,IF(AND($E35=2,IF($W35=1,AGY35,KJ35)=0),1000000000,IF($V35=1,INDEX('calcA'!$D$130:$EQ$169,$B35,46)+IF(AND($E35=1,KJ35=0),25,0),IF($F35&gt;0,INDEX('calcA'!AW$110:AW$114,$F35+1)+IF(AND($E35=1,KJ35=0),1000,0),MIN(TV35,20)*400+(IF('calcA'!AV$106=1,1-ET35,0)+IF('calcA'!AW$106=1,1-EV35,0))*150+222+'calcA'!AW$5*100000+IF(AND($E35=1,KJ35=0),50000,0))+IF($H35=1,INDEX('calcA'!$D$180:$EQ$219,$B35,46)*4000,0)-IF(AND('calcA'!AV$117=1,VT35&gt;0),2000,0)-IF(AND($U35=1,'calcA'!AW$117=1,EV35=0),2000,0))),1000000000))</f>
        <v/>
      </c>
      <c r="PZ35">
        <f>IF($B35=0,1000000000,IF(INDEX('calcA'!$D$60:$EQ$99,$B35,47)*IF($W35=1,EV35+ABK35,EV35)=1,IF(AND($E35=2,IF($W35=1,AGZ35,KK35)=0),1000000000,IF($V35=1,INDEX('calcA'!$D$130:$EQ$169,$B35,47)+IF(AND($E35=1,KK35=0),25,0),IF($F35&gt;0,INDEX('calcA'!AX$110:AX$114,$F35+1)+IF(AND($E35=1,KK35=0),1000,0),MIN(TV35,20)*400+(IF('calcA'!AW$106=1,1-EU35,0)+IF('calcA'!AX$106=1,1-EW35,0))*150+232+'calcA'!AX$5*100000+IF(AND($E35=1,KK35=0),50000,0))+IF($H35=1,INDEX('calcA'!$D$180:$EQ$219,$B35,47)*4000,0)-IF(AND('calcA'!AW$117=1,VU35&gt;0),2000,0)-IF(AND($U35=1,'calcA'!AX$117=1,EW35=0),2000,0))),1000000000))</f>
        <v/>
      </c>
      <c r="QA35">
        <f>IF($B35=0,1000000000,IF(INDEX('calcA'!$D$60:$EQ$99,$B35,48)*IF($W35=1,EW35+ABL35,EW35)=1,IF(AND($E35=2,IF($W35=1,AHA35,KL35)=0),1000000000,IF($V35=1,INDEX('calcA'!$D$130:$EQ$169,$B35,48)+IF(AND($E35=1,KL35=0),25,0),IF($F35&gt;0,INDEX('calcA'!AY$110:AY$114,$F35+1)+IF(AND($E35=1,KL35=0),1000,0),MIN(TV35,20)*400+(IF('calcA'!AX$106=1,1-EV35,0))*150+242+'calcA'!AY$5*100000+IF(AND($E35=1,KL35=0),50000,0))+IF($H35=1,INDEX('calcA'!$D$180:$EQ$219,$B35,48)*4000,0)-IF(AND('calcA'!AX$117=1,VV35&gt;0),2000,0))),1000000000))</f>
        <v/>
      </c>
      <c r="QB35">
        <f>IF($B35=0,1000000000,IF(INDEX('calcA'!$D$60:$EQ$99,$B35,49)*IF($W35=1,EX35+ABM35,EX35)=1,IF(AND($E35=2,IF($W35=1,AHB35,KM35)=0),1000000000,IF($V35=1,INDEX('calcA'!$D$130:$EQ$169,$B35,49)+IF(AND($E35=1,KM35=0),25,0),IF($F35&gt;0,INDEX('calcA'!AZ$110:AZ$114,$F35+1)+IF(AND($E35=1,KM35=0),1000,0),MIN(TW35,20)*400+(IF('calcA'!AZ$106=1,1-EY35,0))*150+13+'calcA'!AZ$5*100000+IF(AND($E35=1,KM35=0),50000,0))+IF($H35=1,INDEX('calcA'!$D$180:$EQ$219,$B35,49)*4000,0)-IF(AND($U35=1,'calcA'!AZ$117=1,EY35=0),2000,0))),1000000000))</f>
        <v/>
      </c>
      <c r="QC35">
        <f>IF($B35=0,1000000000,IF(INDEX('calcA'!$D$60:$EQ$99,$B35,50)*IF($W35=1,EY35+ABN35,EY35)=1,IF(AND($E35=2,IF($W35=1,AHC35,KN35)=0),1000000000,IF($V35=1,INDEX('calcA'!$D$130:$EQ$169,$B35,50)+IF(AND($E35=1,KN35=0),25,0),IF($F35&gt;0,INDEX('calcA'!BA$110:BA$114,$F35+1)+IF(AND($E35=1,KN35=0),1000,0),MIN(TW35,20)*400+(IF('calcA'!AZ$106=1,1-EX35,0)+IF('calcA'!BA$106=1,1-EZ35,0))*150+23+'calcA'!BA$5*100000+IF(AND($E35=1,KN35=0),50000,0))+IF($H35=1,INDEX('calcA'!$D$180:$EQ$219,$B35,50)*4000,0)-IF(AND('calcA'!AZ$117=1,VX35&gt;0),2000,0)-IF(AND($U35=1,'calcA'!BA$117=1,EZ35=0),2000,0))),1000000000))</f>
        <v/>
      </c>
      <c r="QD35">
        <f>IF($B35=0,1000000000,IF(INDEX('calcA'!$D$60:$EQ$99,$B35,51)*IF($W35=1,EZ35+ABO35,EZ35)=1,IF(AND($E35=2,IF($W35=1,AHD35,KO35)=0),1000000000,IF($V35=1,INDEX('calcA'!$D$130:$EQ$169,$B35,51)+IF(AND($E35=1,KO35=0),25,0),IF($F35&gt;0,INDEX('calcA'!BB$110:BB$114,$F35+1)+IF(AND($E35=1,KO35=0),1000,0),MIN(TW35,20)*400+(IF('calcA'!BA$106=1,1-EY35,0)+IF('calcA'!BB$106=1,1-FA35,0))*150+33+'calcA'!BB$5*100000+IF(AND($E35=1,KO35=0),50000,0))+IF($H35=1,INDEX('calcA'!$D$180:$EQ$219,$B35,51)*4000,0)-IF(AND('calcA'!BA$117=1,VY35&gt;0),2000,0)-IF(AND($U35=1,'calcA'!BB$117=1,FA35=0),2000,0))),1000000000))</f>
        <v/>
      </c>
      <c r="QE35">
        <f>IF($B35=0,1000000000,IF(INDEX('calcA'!$D$60:$EQ$99,$B35,52)*IF($W35=1,FA35+ABP35,FA35)=1,IF(AND($E35=2,IF($W35=1,AHE35,KP35)=0),1000000000,IF($V35=1,INDEX('calcA'!$D$130:$EQ$169,$B35,52)+IF(AND($E35=1,KP35=0),25,0),IF($F35&gt;0,INDEX('calcA'!BC$110:BC$114,$F35+1)+IF(AND($E35=1,KP35=0),1000,0),MIN(TW35,20)*400+(IF('calcA'!BB$106=1,1-EZ35,0)+IF('calcA'!BC$106=1,1-FB35,0))*150+43+'calcA'!BC$5*100000+IF(AND($E35=1,KP35=0),50000,0))+IF($H35=1,INDEX('calcA'!$D$180:$EQ$219,$B35,52)*4000,0)-IF(AND('calcA'!BB$117=1,VZ35&gt;0),2000,0)-IF(AND($U35=1,'calcA'!BC$117=1,FB35=0),2000,0))),1000000000))</f>
        <v/>
      </c>
      <c r="QF35">
        <f>IF($B35=0,1000000000,IF(INDEX('calcA'!$D$60:$EQ$99,$B35,53)*IF($W35=1,FB35+ABQ35,FB35)=1,IF(AND($E35=2,IF($W35=1,AHF35,KQ35)=0),1000000000,IF($V35=1,INDEX('calcA'!$D$130:$EQ$169,$B35,53)+IF(AND($E35=1,KQ35=0),25,0),IF($F35&gt;0,INDEX('calcA'!BD$110:BD$114,$F35+1)+IF(AND($E35=1,KQ35=0),1000,0),MIN(TW35,20)*400+(IF('calcA'!BC$106=1,1-FA35,0)+IF('calcA'!BD$106=1,1-FC35,0))*150+53+'calcA'!BD$5*100000+IF(AND($E35=1,KQ35=0),50000,0))+IF($H35=1,INDEX('calcA'!$D$180:$EQ$219,$B35,53)*4000,0)-IF(AND('calcA'!BC$117=1,WA35&gt;0),2000,0)-IF(AND($U35=1,'calcA'!BD$117=1,FC35=0),2000,0))),1000000000))</f>
        <v/>
      </c>
      <c r="QG35">
        <f>IF($B35=0,1000000000,IF(INDEX('calcA'!$D$60:$EQ$99,$B35,54)*IF($W35=1,FC35+ABR35,FC35)=1,IF(AND($E35=2,IF($W35=1,AHG35,KR35)=0),1000000000,IF($V35=1,INDEX('calcA'!$D$130:$EQ$169,$B35,54)+IF(AND($E35=1,KR35=0),25,0),IF($F35&gt;0,INDEX('calcA'!BE$110:BE$114,$F35+1)+IF(AND($E35=1,KR35=0),1000,0),MIN(TW35,20)*400+(IF('calcA'!BD$106=1,1-FB35,0)+IF('calcA'!BE$106=1,1-FD35,0))*150+63+'calcA'!BE$5*100000+IF(AND($E35=1,KR35=0),50000,0))+IF($H35=1,INDEX('calcA'!$D$180:$EQ$219,$B35,54)*4000,0)-IF(AND('calcA'!BD$117=1,WB35&gt;0),2000,0)-IF(AND($U35=1,'calcA'!BE$117=1,FD35=0),2000,0))),1000000000))</f>
        <v/>
      </c>
      <c r="QH35">
        <f>IF($B35=0,1000000000,IF(INDEX('calcA'!$D$60:$EQ$99,$B35,55)*IF($W35=1,FD35+ABS35,FD35)=1,IF(AND($E35=2,IF($W35=1,AHH35,KS35)=0),1000000000,IF($V35=1,INDEX('calcA'!$D$130:$EQ$169,$B35,55)+IF(AND($E35=1,KS35=0),25,0),IF($F35&gt;0,INDEX('calcA'!BF$110:BF$114,$F35+1)+IF(AND($E35=1,KS35=0),1000,0),MIN(TW35,20)*400+(IF('calcA'!BE$106=1,1-FC35,0)+IF('calcA'!BF$106=1,1-FE35,0))*150+73+'calcA'!BF$5*100000+IF(AND($E35=1,KS35=0),50000,0))+IF($H35=1,INDEX('calcA'!$D$180:$EQ$219,$B35,55)*4000,0)-IF(AND('calcA'!BE$117=1,WC35&gt;0),2000,0)-IF(AND($U35=1,'calcA'!BF$117=1,FE35=0),2000,0))),1000000000))</f>
        <v/>
      </c>
      <c r="QI35">
        <f>IF($B35=0,1000000000,IF(INDEX('calcA'!$D$60:$EQ$99,$B35,56)*IF($W35=1,FE35+ABT35,FE35)=1,IF(AND($E35=2,IF($W35=1,AHI35,KT35)=0),1000000000,IF($V35=1,INDEX('calcA'!$D$130:$EQ$169,$B35,56)+IF(AND($E35=1,KT35=0),25,0),IF($F35&gt;0,INDEX('calcA'!BG$110:BG$114,$F35+1)+IF(AND($E35=1,KT35=0),1000,0),MIN(TW35,20)*400+(IF('calcA'!BF$106=1,1-FD35,0)+IF('calcA'!BG$106=1,1-FF35,0))*150+83+'calcA'!BG$5*100000+IF(AND($E35=1,KT35=0),50000,0))+IF($H35=1,INDEX('calcA'!$D$180:$EQ$219,$B35,56)*4000,0)-IF(AND('calcA'!BF$117=1,WD35&gt;0),2000,0)-IF(AND($U35=1,'calcA'!BG$117=1,FF35=0),2000,0))),1000000000))</f>
        <v/>
      </c>
      <c r="QJ35">
        <f>IF($B35=0,1000000000,IF(INDEX('calcA'!$D$60:$EQ$99,$B35,57)*IF($W35=1,FF35+ABU35,FF35)=1,IF(AND($E35=2,IF($W35=1,AHJ35,KU35)=0),1000000000,IF($V35=1,INDEX('calcA'!$D$130:$EQ$169,$B35,57)+IF(AND($E35=1,KU35=0),25,0),IF($F35&gt;0,INDEX('calcA'!BH$110:BH$114,$F35+1)+IF(AND($E35=1,KU35=0),1000,0),MIN(TW35,20)*400+(IF('calcA'!BG$106=1,1-FE35,0)+IF('calcA'!BH$106=1,1-FG35,0))*150+93+'calcA'!BH$5*100000+IF(AND($E35=1,KU35=0),50000,0))+IF($H35=1,INDEX('calcA'!$D$180:$EQ$219,$B35,57)*4000,0)-IF(AND('calcA'!BG$117=1,WE35&gt;0),2000,0)-IF(AND($U35=1,'calcA'!BH$117=1,FG35=0),2000,0))),1000000000))</f>
        <v/>
      </c>
      <c r="QK35">
        <f>IF($B35=0,1000000000,IF(INDEX('calcA'!$D$60:$EQ$99,$B35,58)*IF($W35=1,FG35+ABV35,FG35)=1,IF(AND($E35=2,IF($W35=1,AHK35,KV35)=0),1000000000,IF($V35=1,INDEX('calcA'!$D$130:$EQ$169,$B35,58)+IF(AND($E35=1,KV35=0),25,0),IF($F35&gt;0,INDEX('calcA'!BI$110:BI$114,$F35+1)+IF(AND($E35=1,KV35=0),1000,0),MIN(TW35,20)*400+(IF('calcA'!BH$106=1,1-FF35,0)+IF('calcA'!BI$106=1,1-FH35,0))*150+103+'calcA'!BI$5*100000+IF(AND($E35=1,KV35=0),50000,0))+IF($H35=1,INDEX('calcA'!$D$180:$EQ$219,$B35,58)*4000,0)-IF(AND('calcA'!BH$117=1,WF35&gt;0),2000,0)-IF(AND($U35=1,'calcA'!BI$117=1,FH35=0),2000,0))),1000000000))</f>
        <v/>
      </c>
      <c r="QL35">
        <f>IF($B35=0,1000000000,IF(INDEX('calcA'!$D$60:$EQ$99,$B35,59)*IF($W35=1,FH35+ABW35,FH35)=1,IF(AND($E35=2,IF($W35=1,AHL35,KW35)=0),1000000000,IF($V35=1,INDEX('calcA'!$D$130:$EQ$169,$B35,59)+IF(AND($E35=1,KW35=0),25,0),IF($F35&gt;0,INDEX('calcA'!BJ$110:BJ$114,$F35+1)+IF(AND($E35=1,KW35=0),1000,0),MIN(TW35,20)*400+(IF('calcA'!BI$106=1,1-FG35,0)+IF('calcA'!BJ$106=1,1-FI35,0))*150+113+'calcA'!BJ$5*100000+IF(AND($E35=1,KW35=0),50000,0))+IF($H35=1,INDEX('calcA'!$D$180:$EQ$219,$B35,59)*4000,0)-IF(AND('calcA'!BI$117=1,WG35&gt;0),2000,0)-IF(AND($U35=1,'calcA'!BJ$117=1,FI35=0),2000,0))),1000000000))</f>
        <v/>
      </c>
      <c r="QM35">
        <f>IF($B35=0,1000000000,IF(INDEX('calcA'!$D$60:$EQ$99,$B35,60)*IF($W35=1,FI35+ABX35,FI35)=1,IF(AND($E35=2,IF($W35=1,AHM35,KX35)=0),1000000000,IF($V35=1,INDEX('calcA'!$D$130:$EQ$169,$B35,60)+IF(AND($E35=1,KX35=0),25,0),IF($F35&gt;0,INDEX('calcA'!BK$110:BK$114,$F35+1)+IF(AND($E35=1,KX35=0),1000,0),MIN(TW35,20)*400+(IF('calcA'!BJ$106=1,1-FH35,0)+IF('calcA'!BK$106=1,1-FJ35,0))*150+123+'calcA'!BK$5*100000+IF(AND($E35=1,KX35=0),50000,0))+IF($H35=1,INDEX('calcA'!$D$180:$EQ$219,$B35,60)*4000,0)-IF(AND('calcA'!BJ$117=1,WH35&gt;0),2000,0)-IF(AND($U35=1,'calcA'!BK$117=1,FJ35=0),2000,0))),1000000000))</f>
        <v/>
      </c>
      <c r="QN35">
        <f>IF($B35=0,1000000000,IF(INDEX('calcA'!$D$60:$EQ$99,$B35,61)*IF($W35=1,FJ35+ABY35,FJ35)=1,IF(AND($E35=2,IF($W35=1,AHN35,KY35)=0),1000000000,IF($V35=1,INDEX('calcA'!$D$130:$EQ$169,$B35,61)+IF(AND($E35=1,KY35=0),25,0),IF($F35&gt;0,INDEX('calcA'!BL$110:BL$114,$F35+1)+IF(AND($E35=1,KY35=0),1000,0),MIN(TW35,20)*400+(IF('calcA'!BK$106=1,1-FI35,0)+IF('calcA'!BL$106=1,1-FK35,0))*150+133+'calcA'!BL$5*100000+IF(AND($E35=1,KY35=0),50000,0))+IF($H35=1,INDEX('calcA'!$D$180:$EQ$219,$B35,61)*4000,0)-IF(AND('calcA'!BK$117=1,WI35&gt;0),2000,0)-IF(AND($U35=1,'calcA'!BL$117=1,FK35=0),2000,0))),1000000000))</f>
        <v/>
      </c>
      <c r="QO35">
        <f>IF($B35=0,1000000000,IF(INDEX('calcA'!$D$60:$EQ$99,$B35,62)*IF($W35=1,FK35+ABZ35,FK35)=1,IF(AND($E35=2,IF($W35=1,AHO35,KZ35)=0),1000000000,IF($V35=1,INDEX('calcA'!$D$130:$EQ$169,$B35,62)+IF(AND($E35=1,KZ35=0),25,0),IF($F35&gt;0,INDEX('calcA'!BM$110:BM$114,$F35+1)+IF(AND($E35=1,KZ35=0),1000,0),MIN(TW35,20)*400+(IF('calcA'!BL$106=1,1-FJ35,0)+IF('calcA'!BM$106=1,1-FL35,0))*150+143+'calcA'!BM$5*100000+IF(AND($E35=1,KZ35=0),50000,0))+IF($H35=1,INDEX('calcA'!$D$180:$EQ$219,$B35,62)*4000,0)-IF(AND('calcA'!BL$117=1,WJ35&gt;0),2000,0)-IF(AND($U35=1,'calcA'!BM$117=1,FL35=0),2000,0))),1000000000))</f>
        <v/>
      </c>
      <c r="QP35">
        <f>IF($B35=0,1000000000,IF(INDEX('calcA'!$D$60:$EQ$99,$B35,63)*IF($W35=1,FL35+ACA35,FL35)=1,IF(AND($E35=2,IF($W35=1,AHP35,LA35)=0),1000000000,IF($V35=1,INDEX('calcA'!$D$130:$EQ$169,$B35,63)+IF(AND($E35=1,LA35=0),25,0),IF($F35&gt;0,INDEX('calcA'!BN$110:BN$114,$F35+1)+IF(AND($E35=1,LA35=0),1000,0),MIN(TW35,20)*400+(IF('calcA'!BM$106=1,1-FK35,0)+IF('calcA'!BN$106=1,1-FM35,0))*150+153+'calcA'!BN$5*100000+IF(AND($E35=1,LA35=0),50000,0))+IF($H35=1,INDEX('calcA'!$D$180:$EQ$219,$B35,63)*4000,0)-IF(AND('calcA'!BM$117=1,WK35&gt;0),2000,0)-IF(AND($U35=1,'calcA'!BN$117=1,FM35=0),2000,0))),1000000000))</f>
        <v/>
      </c>
      <c r="QQ35">
        <f>IF($B35=0,1000000000,IF(INDEX('calcA'!$D$60:$EQ$99,$B35,64)*IF($W35=1,FM35+ACB35,FM35)=1,IF(AND($E35=2,IF($W35=1,AHQ35,LB35)=0),1000000000,IF($V35=1,INDEX('calcA'!$D$130:$EQ$169,$B35,64)+IF(AND($E35=1,LB35=0),25,0),IF($F35&gt;0,INDEX('calcA'!BO$110:BO$114,$F35+1)+IF(AND($E35=1,LB35=0),1000,0),MIN(TW35,20)*400+(IF('calcA'!BN$106=1,1-FL35,0)+IF('calcA'!BO$106=1,1-FN35,0))*150+163+'calcA'!BO$5*100000+IF(AND($E35=1,LB35=0),50000,0))+IF($H35=1,INDEX('calcA'!$D$180:$EQ$219,$B35,64)*4000,0)-IF(AND('calcA'!BN$117=1,WL35&gt;0),2000,0)-IF(AND($U35=1,'calcA'!BO$117=1,FN35=0),2000,0))),1000000000))</f>
        <v/>
      </c>
      <c r="QR35">
        <f>IF($B35=0,1000000000,IF(INDEX('calcA'!$D$60:$EQ$99,$B35,65)*IF($W35=1,FN35+ACC35,FN35)=1,IF(AND($E35=2,IF($W35=1,AHR35,LC35)=0),1000000000,IF($V35=1,INDEX('calcA'!$D$130:$EQ$169,$B35,65)+IF(AND($E35=1,LC35=0),25,0),IF($F35&gt;0,INDEX('calcA'!BP$110:BP$114,$F35+1)+IF(AND($E35=1,LC35=0),1000,0),MIN(TW35,20)*400+(IF('calcA'!BO$106=1,1-FM35,0)+IF('calcA'!BP$106=1,1-FO35,0))*150+173+'calcA'!BP$5*100000+IF(AND($E35=1,LC35=0),50000,0))+IF($H35=1,INDEX('calcA'!$D$180:$EQ$219,$B35,65)*4000,0)-IF(AND('calcA'!BO$117=1,WM35&gt;0),2000,0)-IF(AND($U35=1,'calcA'!BP$117=1,FO35=0),2000,0))),1000000000))</f>
        <v/>
      </c>
      <c r="QS35">
        <f>IF($B35=0,1000000000,IF(INDEX('calcA'!$D$60:$EQ$99,$B35,66)*IF($W35=1,FO35+ACD35,FO35)=1,IF(AND($E35=2,IF($W35=1,AHS35,LD35)=0),1000000000,IF($V35=1,INDEX('calcA'!$D$130:$EQ$169,$B35,66)+IF(AND($E35=1,LD35=0),25,0),IF($F35&gt;0,INDEX('calcA'!BQ$110:BQ$114,$F35+1)+IF(AND($E35=1,LD35=0),1000,0),MIN(TW35,20)*400+(IF('calcA'!BP$106=1,1-FN35,0)+IF('calcA'!BQ$106=1,1-FP35,0))*150+183+'calcA'!BQ$5*100000+IF(AND($E35=1,LD35=0),50000,0))+IF($H35=1,INDEX('calcA'!$D$180:$EQ$219,$B35,66)*4000,0)-IF(AND('calcA'!BP$117=1,WN35&gt;0),2000,0)-IF(AND($U35=1,'calcA'!BQ$117=1,FP35=0),2000,0))),1000000000))</f>
        <v/>
      </c>
      <c r="QT35">
        <f>IF($B35=0,1000000000,IF(INDEX('calcA'!$D$60:$EQ$99,$B35,67)*IF($W35=1,FP35+ACE35,FP35)=1,IF(AND($E35=2,IF($W35=1,AHT35,LE35)=0),1000000000,IF($V35=1,INDEX('calcA'!$D$130:$EQ$169,$B35,67)+IF(AND($E35=1,LE35=0),25,0),IF($F35&gt;0,INDEX('calcA'!BR$110:BR$114,$F35+1)+IF(AND($E35=1,LE35=0),1000,0),MIN(TW35,20)*400+(IF('calcA'!BQ$106=1,1-FO35,0)+IF('calcA'!BR$106=1,1-FQ35,0))*150+193+'calcA'!BR$5*100000+IF(AND($E35=1,LE35=0),50000,0))+IF($H35=1,INDEX('calcA'!$D$180:$EQ$219,$B35,67)*4000,0)-IF(AND('calcA'!BQ$117=1,WO35&gt;0),2000,0)-IF(AND($U35=1,'calcA'!BR$117=1,FQ35=0),2000,0))),1000000000))</f>
        <v/>
      </c>
      <c r="QU35">
        <f>IF($B35=0,1000000000,IF(INDEX('calcA'!$D$60:$EQ$99,$B35,68)*IF($W35=1,FQ35+ACF35,FQ35)=1,IF(AND($E35=2,IF($W35=1,AHU35,LF35)=0),1000000000,IF($V35=1,INDEX('calcA'!$D$130:$EQ$169,$B35,68)+IF(AND($E35=1,LF35=0),25,0),IF($F35&gt;0,INDEX('calcA'!BS$110:BS$114,$F35+1)+IF(AND($E35=1,LF35=0),1000,0),MIN(TW35,20)*400+(IF('calcA'!BR$106=1,1-FP35,0)+IF('calcA'!BS$106=1,1-FR35,0))*150+203+'calcA'!BS$5*100000+IF(AND($E35=1,LF35=0),50000,0))+IF($H35=1,INDEX('calcA'!$D$180:$EQ$219,$B35,68)*4000,0)-IF(AND('calcA'!BR$117=1,WP35&gt;0),2000,0)-IF(AND($U35=1,'calcA'!BS$117=1,FR35=0),2000,0))),1000000000))</f>
        <v/>
      </c>
      <c r="QV35">
        <f>IF($B35=0,1000000000,IF(INDEX('calcA'!$D$60:$EQ$99,$B35,69)*IF($W35=1,FR35+ACG35,FR35)=1,IF(AND($E35=2,IF($W35=1,AHV35,LG35)=0),1000000000,IF($V35=1,INDEX('calcA'!$D$130:$EQ$169,$B35,69)+IF(AND($E35=1,LG35=0),25,0),IF($F35&gt;0,INDEX('calcA'!BT$110:BT$114,$F35+1)+IF(AND($E35=1,LG35=0),1000,0),MIN(TW35,20)*400+(IF('calcA'!BS$106=1,1-FQ35,0)+IF('calcA'!BT$106=1,1-FS35,0))*150+213+'calcA'!BT$5*100000+IF(AND($E35=1,LG35=0),50000,0))+IF($H35=1,INDEX('calcA'!$D$180:$EQ$219,$B35,69)*4000,0)-IF(AND('calcA'!BS$117=1,WQ35&gt;0),2000,0)-IF(AND($U35=1,'calcA'!BT$117=1,FS35=0),2000,0))),1000000000))</f>
        <v/>
      </c>
      <c r="QW35">
        <f>IF($B35=0,1000000000,IF(INDEX('calcA'!$D$60:$EQ$99,$B35,70)*IF($W35=1,FS35+ACH35,FS35)=1,IF(AND($E35=2,IF($W35=1,AHW35,LH35)=0),1000000000,IF($V35=1,INDEX('calcA'!$D$130:$EQ$169,$B35,70)+IF(AND($E35=1,LH35=0),25,0),IF($F35&gt;0,INDEX('calcA'!BU$110:BU$114,$F35+1)+IF(AND($E35=1,LH35=0),1000,0),MIN(TW35,20)*400+(IF('calcA'!BT$106=1,1-FR35,0)+IF('calcA'!BU$106=1,1-FT35,0))*150+223+'calcA'!BU$5*100000+IF(AND($E35=1,LH35=0),50000,0))+IF($H35=1,INDEX('calcA'!$D$180:$EQ$219,$B35,70)*4000,0)-IF(AND('calcA'!BT$117=1,WR35&gt;0),2000,0)-IF(AND($U35=1,'calcA'!BU$117=1,FT35=0),2000,0))),1000000000))</f>
        <v/>
      </c>
      <c r="QX35">
        <f>IF($B35=0,1000000000,IF(INDEX('calcA'!$D$60:$EQ$99,$B35,71)*IF($W35=1,FT35+ACI35,FT35)=1,IF(AND($E35=2,IF($W35=1,AHX35,LI35)=0),1000000000,IF($V35=1,INDEX('calcA'!$D$130:$EQ$169,$B35,71)+IF(AND($E35=1,LI35=0),25,0),IF($F35&gt;0,INDEX('calcA'!BV$110:BV$114,$F35+1)+IF(AND($E35=1,LI35=0),1000,0),MIN(TW35,20)*400+(IF('calcA'!BU$106=1,1-FS35,0)+IF('calcA'!BV$106=1,1-FU35,0))*150+233+'calcA'!BV$5*100000+IF(AND($E35=1,LI35=0),50000,0))+IF($H35=1,INDEX('calcA'!$D$180:$EQ$219,$B35,71)*4000,0)-IF(AND('calcA'!BU$117=1,WS35&gt;0),2000,0)-IF(AND($U35=1,'calcA'!BV$117=1,FU35=0),2000,0))),1000000000))</f>
        <v/>
      </c>
      <c r="QY35">
        <f>IF($B35=0,1000000000,IF(INDEX('calcA'!$D$60:$EQ$99,$B35,72)*IF($W35=1,FU35+ACJ35,FU35)=1,IF(AND($E35=2,IF($W35=1,AHY35,LJ35)=0),1000000000,IF($V35=1,INDEX('calcA'!$D$130:$EQ$169,$B35,72)+IF(AND($E35=1,LJ35=0),25,0),IF($F35&gt;0,INDEX('calcA'!BW$110:BW$114,$F35+1)+IF(AND($E35=1,LJ35=0),1000,0),MIN(TW35,20)*400+(IF('calcA'!BV$106=1,1-FT35,0))*150+243+'calcA'!BW$5*100000+IF(AND($E35=1,LJ35=0),50000,0))+IF($H35=1,INDEX('calcA'!$D$180:$EQ$219,$B35,72)*4000,0)-IF(AND('calcA'!BV$117=1,WT35&gt;0),2000,0))),1000000000))</f>
        <v/>
      </c>
      <c r="QZ35">
        <f>IF($B35=0,1000000000,IF(INDEX('calcA'!$D$60:$EQ$99,$B35,73)*IF($W35=1,FV35+ACK35,FV35)=1,IF(AND($E35=2,IF($W35=1,AHZ35,LK35)=0),1000000000,IF($V35=1,INDEX('calcA'!$D$130:$EQ$169,$B35,73)+IF(AND($E35=1,LK35=0),25,0),IF($F35&gt;0,INDEX('calcA'!BX$110:BX$114,$F35+1)+IF(AND($E35=1,LK35=0),1000,0),MIN(TX35,20)*400+(IF('calcA'!BX$106=1,1-FW35,0))*150+14+'calcA'!BX$5*100000+IF(AND($E35=1,LK35=0),50000,0))+IF($H35=1,INDEX('calcA'!$D$180:$EQ$219,$B35,73)*4000,0)-IF(AND($U35=1,'calcA'!BX$117=1,FW35=0),2000,0))),1000000000))</f>
        <v/>
      </c>
      <c r="RA35">
        <f>IF($B35=0,1000000000,IF(INDEX('calcA'!$D$60:$EQ$99,$B35,74)*IF($W35=1,FW35+ACL35,FW35)=1,IF(AND($E35=2,IF($W35=1,AIA35,LL35)=0),1000000000,IF($V35=1,INDEX('calcA'!$D$130:$EQ$169,$B35,74)+IF(AND($E35=1,LL35=0),25,0),IF($F35&gt;0,INDEX('calcA'!BY$110:BY$114,$F35+1)+IF(AND($E35=1,LL35=0),1000,0),MIN(TX35,20)*400+(IF('calcA'!BX$106=1,1-FV35,0)+IF('calcA'!BY$106=1,1-FX35,0))*150+24+'calcA'!BY$5*100000+IF(AND($E35=1,LL35=0),50000,0))+IF($H35=1,INDEX('calcA'!$D$180:$EQ$219,$B35,74)*4000,0)-IF(AND('calcA'!BX$117=1,WV35&gt;0),2000,0)-IF(AND($U35=1,'calcA'!BY$117=1,FX35=0),2000,0))),1000000000))</f>
        <v/>
      </c>
      <c r="RB35">
        <f>IF($B35=0,1000000000,IF(INDEX('calcA'!$D$60:$EQ$99,$B35,75)*IF($W35=1,FX35+ACM35,FX35)=1,IF(AND($E35=2,IF($W35=1,AIB35,LM35)=0),1000000000,IF($V35=1,INDEX('calcA'!$D$130:$EQ$169,$B35,75)+IF(AND($E35=1,LM35=0),25,0),IF($F35&gt;0,INDEX('calcA'!BZ$110:BZ$114,$F35+1)+IF(AND($E35=1,LM35=0),1000,0),MIN(TX35,20)*400+(IF('calcA'!BY$106=1,1-FW35,0)+IF('calcA'!BZ$106=1,1-FY35,0))*150+34+'calcA'!BZ$5*100000+IF(AND($E35=1,LM35=0),50000,0))+IF($H35=1,INDEX('calcA'!$D$180:$EQ$219,$B35,75)*4000,0)-IF(AND('calcA'!BY$117=1,WW35&gt;0),2000,0)-IF(AND($U35=1,'calcA'!BZ$117=1,FY35=0),2000,0))),1000000000))</f>
        <v/>
      </c>
      <c r="RC35">
        <f>IF($B35=0,1000000000,IF(INDEX('calcA'!$D$60:$EQ$99,$B35,76)*IF($W35=1,FY35+ACN35,FY35)=1,IF(AND($E35=2,IF($W35=1,AIC35,LN35)=0),1000000000,IF($V35=1,INDEX('calcA'!$D$130:$EQ$169,$B35,76)+IF(AND($E35=1,LN35=0),25,0),IF($F35&gt;0,INDEX('calcA'!CA$110:CA$114,$F35+1)+IF(AND($E35=1,LN35=0),1000,0),MIN(TX35,20)*400+(IF('calcA'!BZ$106=1,1-FX35,0)+IF('calcA'!CA$106=1,1-FZ35,0))*150+44+'calcA'!CA$5*100000+IF(AND($E35=1,LN35=0),50000,0))+IF($H35=1,INDEX('calcA'!$D$180:$EQ$219,$B35,76)*4000,0)-IF(AND('calcA'!BZ$117=1,WX35&gt;0),2000,0)-IF(AND($U35=1,'calcA'!CA$117=1,FZ35=0),2000,0))),1000000000))</f>
        <v/>
      </c>
      <c r="RD35">
        <f>IF($B35=0,1000000000,IF(INDEX('calcA'!$D$60:$EQ$99,$B35,77)*IF($W35=1,FZ35+ACO35,FZ35)=1,IF(AND($E35=2,IF($W35=1,AID35,LO35)=0),1000000000,IF($V35=1,INDEX('calcA'!$D$130:$EQ$169,$B35,77)+IF(AND($E35=1,LO35=0),25,0),IF($F35&gt;0,INDEX('calcA'!CB$110:CB$114,$F35+1)+IF(AND($E35=1,LO35=0),1000,0),MIN(TX35,20)*400+(IF('calcA'!CA$106=1,1-FY35,0)+IF('calcA'!CB$106=1,1-GA35,0))*150+54+'calcA'!CB$5*100000+IF(AND($E35=1,LO35=0),50000,0))+IF($H35=1,INDEX('calcA'!$D$180:$EQ$219,$B35,77)*4000,0)-IF(AND('calcA'!CA$117=1,WY35&gt;0),2000,0)-IF(AND($U35=1,'calcA'!CB$117=1,GA35=0),2000,0))),1000000000))</f>
        <v/>
      </c>
      <c r="RE35">
        <f>IF($B35=0,1000000000,IF(INDEX('calcA'!$D$60:$EQ$99,$B35,78)*IF($W35=1,GA35+ACP35,GA35)=1,IF(AND($E35=2,IF($W35=1,AIE35,LP35)=0),1000000000,IF($V35=1,INDEX('calcA'!$D$130:$EQ$169,$B35,78)+IF(AND($E35=1,LP35=0),25,0),IF($F35&gt;0,INDEX('calcA'!CC$110:CC$114,$F35+1)+IF(AND($E35=1,LP35=0),1000,0),MIN(TX35,20)*400+(IF('calcA'!CB$106=1,1-FZ35,0)+IF('calcA'!CC$106=1,1-GB35,0))*150+64+'calcA'!CC$5*100000+IF(AND($E35=1,LP35=0),50000,0))+IF($H35=1,INDEX('calcA'!$D$180:$EQ$219,$B35,78)*4000,0)-IF(AND('calcA'!CB$117=1,WZ35&gt;0),2000,0)-IF(AND($U35=1,'calcA'!CC$117=1,GB35=0),2000,0))),1000000000))</f>
        <v/>
      </c>
      <c r="RF35">
        <f>IF($B35=0,1000000000,IF(INDEX('calcA'!$D$60:$EQ$99,$B35,79)*IF($W35=1,GB35+ACQ35,GB35)=1,IF(AND($E35=2,IF($W35=1,AIF35,LQ35)=0),1000000000,IF($V35=1,INDEX('calcA'!$D$130:$EQ$169,$B35,79)+IF(AND($E35=1,LQ35=0),25,0),IF($F35&gt;0,INDEX('calcA'!CD$110:CD$114,$F35+1)+IF(AND($E35=1,LQ35=0),1000,0),MIN(TX35,20)*400+(IF('calcA'!CC$106=1,1-GA35,0)+IF('calcA'!CD$106=1,1-GC35,0))*150+74+'calcA'!CD$5*100000+IF(AND($E35=1,LQ35=0),50000,0))+IF($H35=1,INDEX('calcA'!$D$180:$EQ$219,$B35,79)*4000,0)-IF(AND('calcA'!CC$117=1,XA35&gt;0),2000,0)-IF(AND($U35=1,'calcA'!CD$117=1,GC35=0),2000,0))),1000000000))</f>
        <v/>
      </c>
      <c r="RG35">
        <f>IF($B35=0,1000000000,IF(INDEX('calcA'!$D$60:$EQ$99,$B35,80)*IF($W35=1,GC35+ACR35,GC35)=1,IF(AND($E35=2,IF($W35=1,AIG35,LR35)=0),1000000000,IF($V35=1,INDEX('calcA'!$D$130:$EQ$169,$B35,80)+IF(AND($E35=1,LR35=0),25,0),IF($F35&gt;0,INDEX('calcA'!CE$110:CE$114,$F35+1)+IF(AND($E35=1,LR35=0),1000,0),MIN(TX35,20)*400+(IF('calcA'!CD$106=1,1-GB35,0)+IF('calcA'!CE$106=1,1-GD35,0))*150+84+'calcA'!CE$5*100000+IF(AND($E35=1,LR35=0),50000,0))+IF($H35=1,INDEX('calcA'!$D$180:$EQ$219,$B35,80)*4000,0)-IF(AND('calcA'!CD$117=1,XB35&gt;0),2000,0)-IF(AND($U35=1,'calcA'!CE$117=1,GD35=0),2000,0))),1000000000))</f>
        <v/>
      </c>
      <c r="RH35">
        <f>IF($B35=0,1000000000,IF(INDEX('calcA'!$D$60:$EQ$99,$B35,81)*IF($W35=1,GD35+ACS35,GD35)=1,IF(AND($E35=2,IF($W35=1,AIH35,LS35)=0),1000000000,IF($V35=1,INDEX('calcA'!$D$130:$EQ$169,$B35,81)+IF(AND($E35=1,LS35=0),25,0),IF($F35&gt;0,INDEX('calcA'!CF$110:CF$114,$F35+1)+IF(AND($E35=1,LS35=0),1000,0),MIN(TX35,20)*400+(IF('calcA'!CE$106=1,1-GC35,0)+IF('calcA'!CF$106=1,1-GE35,0))*150+94+'calcA'!CF$5*100000+IF(AND($E35=1,LS35=0),50000,0))+IF($H35=1,INDEX('calcA'!$D$180:$EQ$219,$B35,81)*4000,0)-IF(AND('calcA'!CE$117=1,XC35&gt;0),2000,0)-IF(AND($U35=1,'calcA'!CF$117=1,GE35=0),2000,0))),1000000000))</f>
        <v/>
      </c>
      <c r="RI35">
        <f>IF($B35=0,1000000000,IF(INDEX('calcA'!$D$60:$EQ$99,$B35,82)*IF($W35=1,GE35+ACT35,GE35)=1,IF(AND($E35=2,IF($W35=1,AII35,LT35)=0),1000000000,IF($V35=1,INDEX('calcA'!$D$130:$EQ$169,$B35,82)+IF(AND($E35=1,LT35=0),25,0),IF($F35&gt;0,INDEX('calcA'!CG$110:CG$114,$F35+1)+IF(AND($E35=1,LT35=0),1000,0),MIN(TX35,20)*400+(IF('calcA'!CF$106=1,1-GD35,0)+IF('calcA'!CG$106=1,1-GF35,0))*150+104+'calcA'!CG$5*100000+IF(AND($E35=1,LT35=0),50000,0))+IF($H35=1,INDEX('calcA'!$D$180:$EQ$219,$B35,82)*4000,0)-IF(AND('calcA'!CF$117=1,XD35&gt;0),2000,0)-IF(AND($U35=1,'calcA'!CG$117=1,GF35=0),2000,0))),1000000000))</f>
        <v/>
      </c>
      <c r="RJ35">
        <f>IF($B35=0,1000000000,IF(INDEX('calcA'!$D$60:$EQ$99,$B35,83)*IF($W35=1,GF35+ACU35,GF35)=1,IF(AND($E35=2,IF($W35=1,AIJ35,LU35)=0),1000000000,IF($V35=1,INDEX('calcA'!$D$130:$EQ$169,$B35,83)+IF(AND($E35=1,LU35=0),25,0),IF($F35&gt;0,INDEX('calcA'!CH$110:CH$114,$F35+1)+IF(AND($E35=1,LU35=0),1000,0),MIN(TX35,20)*400+(IF('calcA'!CG$106=1,1-GE35,0)+IF('calcA'!CH$106=1,1-GG35,0))*150+114+'calcA'!CH$5*100000+IF(AND($E35=1,LU35=0),50000,0))+IF($H35=1,INDEX('calcA'!$D$180:$EQ$219,$B35,83)*4000,0)-IF(AND('calcA'!CG$117=1,XE35&gt;0),2000,0)-IF(AND($U35=1,'calcA'!CH$117=1,GG35=0),2000,0))),1000000000))</f>
        <v/>
      </c>
      <c r="RK35">
        <f>IF($B35=0,1000000000,IF(INDEX('calcA'!$D$60:$EQ$99,$B35,84)*IF($W35=1,GG35+ACV35,GG35)=1,IF(AND($E35=2,IF($W35=1,AIK35,LV35)=0),1000000000,IF($V35=1,INDEX('calcA'!$D$130:$EQ$169,$B35,84)+IF(AND($E35=1,LV35=0),25,0),IF($F35&gt;0,INDEX('calcA'!CI$110:CI$114,$F35+1)+IF(AND($E35=1,LV35=0),1000,0),MIN(TX35,20)*400+(IF('calcA'!CH$106=1,1-GF35,0)+IF('calcA'!CI$106=1,1-GH35,0))*150+124+'calcA'!CI$5*100000+IF(AND($E35=1,LV35=0),50000,0))+IF($H35=1,INDEX('calcA'!$D$180:$EQ$219,$B35,84)*4000,0)-IF(AND('calcA'!CH$117=1,XF35&gt;0),2000,0)-IF(AND($U35=1,'calcA'!CI$117=1,GH35=0),2000,0))),1000000000))</f>
        <v/>
      </c>
      <c r="RL35">
        <f>IF($B35=0,1000000000,IF(INDEX('calcA'!$D$60:$EQ$99,$B35,85)*IF($W35=1,GH35+ACW35,GH35)=1,IF(AND($E35=2,IF($W35=1,AIL35,LW35)=0),1000000000,IF($V35=1,INDEX('calcA'!$D$130:$EQ$169,$B35,85)+IF(AND($E35=1,LW35=0),25,0),IF($F35&gt;0,INDEX('calcA'!CJ$110:CJ$114,$F35+1)+IF(AND($E35=1,LW35=0),1000,0),MIN(TX35,20)*400+(IF('calcA'!CI$106=1,1-GG35,0)+IF('calcA'!CJ$106=1,1-GI35,0))*150+134+'calcA'!CJ$5*100000+IF(AND($E35=1,LW35=0),50000,0))+IF($H35=1,INDEX('calcA'!$D$180:$EQ$219,$B35,85)*4000,0)-IF(AND('calcA'!CI$117=1,XG35&gt;0),2000,0)-IF(AND($U35=1,'calcA'!CJ$117=1,GI35=0),2000,0))),1000000000))</f>
        <v/>
      </c>
      <c r="RM35">
        <f>IF($B35=0,1000000000,IF(INDEX('calcA'!$D$60:$EQ$99,$B35,86)*IF($W35=1,GI35+ACX35,GI35)=1,IF(AND($E35=2,IF($W35=1,AIM35,LX35)=0),1000000000,IF($V35=1,INDEX('calcA'!$D$130:$EQ$169,$B35,86)+IF(AND($E35=1,LX35=0),25,0),IF($F35&gt;0,INDEX('calcA'!CK$110:CK$114,$F35+1)+IF(AND($E35=1,LX35=0),1000,0),MIN(TX35,20)*400+(IF('calcA'!CJ$106=1,1-GH35,0)+IF('calcA'!CK$106=1,1-GJ35,0))*150+144+'calcA'!CK$5*100000+IF(AND($E35=1,LX35=0),50000,0))+IF($H35=1,INDEX('calcA'!$D$180:$EQ$219,$B35,86)*4000,0)-IF(AND('calcA'!CJ$117=1,XH35&gt;0),2000,0)-IF(AND($U35=1,'calcA'!CK$117=1,GJ35=0),2000,0))),1000000000))</f>
        <v/>
      </c>
      <c r="RN35">
        <f>IF($B35=0,1000000000,IF(INDEX('calcA'!$D$60:$EQ$99,$B35,87)*IF($W35=1,GJ35+ACY35,GJ35)=1,IF(AND($E35=2,IF($W35=1,AIN35,LY35)=0),1000000000,IF($V35=1,INDEX('calcA'!$D$130:$EQ$169,$B35,87)+IF(AND($E35=1,LY35=0),25,0),IF($F35&gt;0,INDEX('calcA'!CL$110:CL$114,$F35+1)+IF(AND($E35=1,LY35=0),1000,0),MIN(TX35,20)*400+(IF('calcA'!CK$106=1,1-GI35,0)+IF('calcA'!CL$106=1,1-GK35,0))*150+154+'calcA'!CL$5*100000+IF(AND($E35=1,LY35=0),50000,0))+IF($H35=1,INDEX('calcA'!$D$180:$EQ$219,$B35,87)*4000,0)-IF(AND('calcA'!CK$117=1,XI35&gt;0),2000,0)-IF(AND($U35=1,'calcA'!CL$117=1,GK35=0),2000,0))),1000000000))</f>
        <v/>
      </c>
      <c r="RO35">
        <f>IF($B35=0,1000000000,IF(INDEX('calcA'!$D$60:$EQ$99,$B35,88)*IF($W35=1,GK35+ACZ35,GK35)=1,IF(AND($E35=2,IF($W35=1,AIO35,LZ35)=0),1000000000,IF($V35=1,INDEX('calcA'!$D$130:$EQ$169,$B35,88)+IF(AND($E35=1,LZ35=0),25,0),IF($F35&gt;0,INDEX('calcA'!CM$110:CM$114,$F35+1)+IF(AND($E35=1,LZ35=0),1000,0),MIN(TX35,20)*400+(IF('calcA'!CL$106=1,1-GJ35,0)+IF('calcA'!CM$106=1,1-GL35,0))*150+164+'calcA'!CM$5*100000+IF(AND($E35=1,LZ35=0),50000,0))+IF($H35=1,INDEX('calcA'!$D$180:$EQ$219,$B35,88)*4000,0)-IF(AND('calcA'!CL$117=1,XJ35&gt;0),2000,0)-IF(AND($U35=1,'calcA'!CM$117=1,GL35=0),2000,0))),1000000000))</f>
        <v/>
      </c>
      <c r="RP35">
        <f>IF($B35=0,1000000000,IF(INDEX('calcA'!$D$60:$EQ$99,$B35,89)*IF($W35=1,GL35+ADA35,GL35)=1,IF(AND($E35=2,IF($W35=1,AIP35,MA35)=0),1000000000,IF($V35=1,INDEX('calcA'!$D$130:$EQ$169,$B35,89)+IF(AND($E35=1,MA35=0),25,0),IF($F35&gt;0,INDEX('calcA'!CN$110:CN$114,$F35+1)+IF(AND($E35=1,MA35=0),1000,0),MIN(TX35,20)*400+(IF('calcA'!CM$106=1,1-GK35,0)+IF('calcA'!CN$106=1,1-GM35,0))*150+174+'calcA'!CN$5*100000+IF(AND($E35=1,MA35=0),50000,0))+IF($H35=1,INDEX('calcA'!$D$180:$EQ$219,$B35,89)*4000,0)-IF(AND('calcA'!CM$117=1,XK35&gt;0),2000,0)-IF(AND($U35=1,'calcA'!CN$117=1,GM35=0),2000,0))),1000000000))</f>
        <v/>
      </c>
      <c r="RQ35">
        <f>IF($B35=0,1000000000,IF(INDEX('calcA'!$D$60:$EQ$99,$B35,90)*IF($W35=1,GM35+ADB35,GM35)=1,IF(AND($E35=2,IF($W35=1,AIQ35,MB35)=0),1000000000,IF($V35=1,INDEX('calcA'!$D$130:$EQ$169,$B35,90)+IF(AND($E35=1,MB35=0),25,0),IF($F35&gt;0,INDEX('calcA'!CO$110:CO$114,$F35+1)+IF(AND($E35=1,MB35=0),1000,0),MIN(TX35,20)*400+(IF('calcA'!CN$106=1,1-GL35,0)+IF('calcA'!CO$106=1,1-GN35,0))*150+184+'calcA'!CO$5*100000+IF(AND($E35=1,MB35=0),50000,0))+IF($H35=1,INDEX('calcA'!$D$180:$EQ$219,$B35,90)*4000,0)-IF(AND('calcA'!CN$117=1,XL35&gt;0),2000,0)-IF(AND($U35=1,'calcA'!CO$117=1,GN35=0),2000,0))),1000000000))</f>
        <v/>
      </c>
      <c r="RR35">
        <f>IF($B35=0,1000000000,IF(INDEX('calcA'!$D$60:$EQ$99,$B35,91)*IF($W35=1,GN35+ADC35,GN35)=1,IF(AND($E35=2,IF($W35=1,AIR35,MC35)=0),1000000000,IF($V35=1,INDEX('calcA'!$D$130:$EQ$169,$B35,91)+IF(AND($E35=1,MC35=0),25,0),IF($F35&gt;0,INDEX('calcA'!CP$110:CP$114,$F35+1)+IF(AND($E35=1,MC35=0),1000,0),MIN(TX35,20)*400+(IF('calcA'!CO$106=1,1-GM35,0)+IF('calcA'!CP$106=1,1-GO35,0))*150+194+'calcA'!CP$5*100000+IF(AND($E35=1,MC35=0),50000,0))+IF($H35=1,INDEX('calcA'!$D$180:$EQ$219,$B35,91)*4000,0)-IF(AND('calcA'!CO$117=1,XM35&gt;0),2000,0)-IF(AND($U35=1,'calcA'!CP$117=1,GO35=0),2000,0))),1000000000))</f>
        <v/>
      </c>
      <c r="RS35">
        <f>IF($B35=0,1000000000,IF(INDEX('calcA'!$D$60:$EQ$99,$B35,92)*IF($W35=1,GO35+ADD35,GO35)=1,IF(AND($E35=2,IF($W35=1,AIS35,MD35)=0),1000000000,IF($V35=1,INDEX('calcA'!$D$130:$EQ$169,$B35,92)+IF(AND($E35=1,MD35=0),25,0),IF($F35&gt;0,INDEX('calcA'!CQ$110:CQ$114,$F35+1)+IF(AND($E35=1,MD35=0),1000,0),MIN(TX35,20)*400+(IF('calcA'!CP$106=1,1-GN35,0)+IF('calcA'!CQ$106=1,1-GP35,0))*150+204+'calcA'!CQ$5*100000+IF(AND($E35=1,MD35=0),50000,0))+IF($H35=1,INDEX('calcA'!$D$180:$EQ$219,$B35,92)*4000,0)-IF(AND('calcA'!CP$117=1,XN35&gt;0),2000,0)-IF(AND($U35=1,'calcA'!CQ$117=1,GP35=0),2000,0))),1000000000))</f>
        <v/>
      </c>
      <c r="RT35">
        <f>IF($B35=0,1000000000,IF(INDEX('calcA'!$D$60:$EQ$99,$B35,93)*IF($W35=1,GP35+ADE35,GP35)=1,IF(AND($E35=2,IF($W35=1,AIT35,ME35)=0),1000000000,IF($V35=1,INDEX('calcA'!$D$130:$EQ$169,$B35,93)+IF(AND($E35=1,ME35=0),25,0),IF($F35&gt;0,INDEX('calcA'!CR$110:CR$114,$F35+1)+IF(AND($E35=1,ME35=0),1000,0),MIN(TX35,20)*400+(IF('calcA'!CQ$106=1,1-GO35,0)+IF('calcA'!CR$106=1,1-GQ35,0))*150+214+'calcA'!CR$5*100000+IF(AND($E35=1,ME35=0),50000,0))+IF($H35=1,INDEX('calcA'!$D$180:$EQ$219,$B35,93)*4000,0)-IF(AND('calcA'!CQ$117=1,XO35&gt;0),2000,0)-IF(AND($U35=1,'calcA'!CR$117=1,GQ35=0),2000,0))),1000000000))</f>
        <v/>
      </c>
      <c r="RU35">
        <f>IF($B35=0,1000000000,IF(INDEX('calcA'!$D$60:$EQ$99,$B35,94)*IF($W35=1,GQ35+ADF35,GQ35)=1,IF(AND($E35=2,IF($W35=1,AIU35,MF35)=0),1000000000,IF($V35=1,INDEX('calcA'!$D$130:$EQ$169,$B35,94)+IF(AND($E35=1,MF35=0),25,0),IF($F35&gt;0,INDEX('calcA'!CS$110:CS$114,$F35+1)+IF(AND($E35=1,MF35=0),1000,0),MIN(TX35,20)*400+(IF('calcA'!CR$106=1,1-GP35,0)+IF('calcA'!CS$106=1,1-GR35,0))*150+224+'calcA'!CS$5*100000+IF(AND($E35=1,MF35=0),50000,0))+IF($H35=1,INDEX('calcA'!$D$180:$EQ$219,$B35,94)*4000,0)-IF(AND('calcA'!CR$117=1,XP35&gt;0),2000,0)-IF(AND($U35=1,'calcA'!CS$117=1,GR35=0),2000,0))),1000000000))</f>
        <v/>
      </c>
      <c r="RV35">
        <f>IF($B35=0,1000000000,IF(INDEX('calcA'!$D$60:$EQ$99,$B35,95)*IF($W35=1,GR35+ADG35,GR35)=1,IF(AND($E35=2,IF($W35=1,AIV35,MG35)=0),1000000000,IF($V35=1,INDEX('calcA'!$D$130:$EQ$169,$B35,95)+IF(AND($E35=1,MG35=0),25,0),IF($F35&gt;0,INDEX('calcA'!CT$110:CT$114,$F35+1)+IF(AND($E35=1,MG35=0),1000,0),MIN(TX35,20)*400+(IF('calcA'!CS$106=1,1-GQ35,0)+IF('calcA'!CT$106=1,1-GS35,0))*150+234+'calcA'!CT$5*100000+IF(AND($E35=1,MG35=0),50000,0))+IF($H35=1,INDEX('calcA'!$D$180:$EQ$219,$B35,95)*4000,0)-IF(AND('calcA'!CS$117=1,XQ35&gt;0),2000,0)-IF(AND($U35=1,'calcA'!CT$117=1,GS35=0),2000,0))),1000000000))</f>
        <v/>
      </c>
      <c r="RW35">
        <f>IF($B35=0,1000000000,IF(INDEX('calcA'!$D$60:$EQ$99,$B35,96)*IF($W35=1,GS35+ADH35,GS35)=1,IF(AND($E35=2,IF($W35=1,AIW35,MH35)=0),1000000000,IF($V35=1,INDEX('calcA'!$D$130:$EQ$169,$B35,96)+IF(AND($E35=1,MH35=0),25,0),IF($F35&gt;0,INDEX('calcA'!CU$110:CU$114,$F35+1)+IF(AND($E35=1,MH35=0),1000,0),MIN(TX35,20)*400+(IF('calcA'!CT$106=1,1-GR35,0))*150+244+'calcA'!CU$5*100000+IF(AND($E35=1,MH35=0),50000,0))+IF($H35=1,INDEX('calcA'!$D$180:$EQ$219,$B35,96)*4000,0)-IF(AND('calcA'!CT$117=1,XR35&gt;0),2000,0))),1000000000))</f>
        <v/>
      </c>
      <c r="RX35">
        <f>IF($B35=0,1000000000,IF(INDEX('calcA'!$D$60:$EQ$99,$B35,97)*IF($W35=1,GT35+ADI35,GT35)=1,IF(AND($E35=2,IF($W35=1,AIX35,MI35)=0),1000000000,IF($V35=1,INDEX('calcA'!$D$130:$EQ$169,$B35,97)+IF(AND($E35=1,MI35=0),25,0),IF($F35&gt;0,INDEX('calcA'!CV$110:CV$114,$F35+1)+IF(AND($E35=1,MI35=0),1000,0),MIN(TY35,20)*400+(IF('calcA'!CV$106=1,1-GU35,0))*150+15+'calcA'!CV$5*100000+IF(AND($E35=1,MI35=0),50000,0))+IF($H35=1,INDEX('calcA'!$D$180:$EQ$219,$B35,97)*4000,0)-IF(AND($U35=1,'calcA'!CV$117=1,GU35=0),2000,0))),1000000000))</f>
        <v/>
      </c>
      <c r="RY35">
        <f>IF($B35=0,1000000000,IF(INDEX('calcA'!$D$60:$EQ$99,$B35,98)*IF($W35=1,GU35+ADJ35,GU35)=1,IF(AND($E35=2,IF($W35=1,AIY35,MJ35)=0),1000000000,IF($V35=1,INDEX('calcA'!$D$130:$EQ$169,$B35,98)+IF(AND($E35=1,MJ35=0),25,0),IF($F35&gt;0,INDEX('calcA'!CW$110:CW$114,$F35+1)+IF(AND($E35=1,MJ35=0),1000,0),MIN(TY35,20)*400+(IF('calcA'!CV$106=1,1-GT35,0)+IF('calcA'!CW$106=1,1-GV35,0))*150+25+'calcA'!CW$5*100000+IF(AND($E35=1,MJ35=0),50000,0))+IF($H35=1,INDEX('calcA'!$D$180:$EQ$219,$B35,98)*4000,0)-IF(AND('calcA'!CV$117=1,XT35&gt;0),2000,0)-IF(AND($U35=1,'calcA'!CW$117=1,GV35=0),2000,0))),1000000000))</f>
        <v/>
      </c>
      <c r="RZ35">
        <f>IF($B35=0,1000000000,IF(INDEX('calcA'!$D$60:$EQ$99,$B35,99)*IF($W35=1,GV35+ADK35,GV35)=1,IF(AND($E35=2,IF($W35=1,AIZ35,MK35)=0),1000000000,IF($V35=1,INDEX('calcA'!$D$130:$EQ$169,$B35,99)+IF(AND($E35=1,MK35=0),25,0),IF($F35&gt;0,INDEX('calcA'!CX$110:CX$114,$F35+1)+IF(AND($E35=1,MK35=0),1000,0),MIN(TY35,20)*400+(IF('calcA'!CW$106=1,1-GU35,0)+IF('calcA'!CX$106=1,1-GW35,0))*150+35+'calcA'!CX$5*100000+IF(AND($E35=1,MK35=0),50000,0))+IF($H35=1,INDEX('calcA'!$D$180:$EQ$219,$B35,99)*4000,0)-IF(AND('calcA'!CW$117=1,XU35&gt;0),2000,0)-IF(AND($U35=1,'calcA'!CX$117=1,GW35=0),2000,0))),1000000000))</f>
        <v/>
      </c>
      <c r="SA35">
        <f>IF($B35=0,1000000000,IF(INDEX('calcA'!$D$60:$EQ$99,$B35,100)*IF($W35=1,GW35+ADL35,GW35)=1,IF(AND($E35=2,IF($W35=1,AJA35,ML35)=0),1000000000,IF($V35=1,INDEX('calcA'!$D$130:$EQ$169,$B35,100)+IF(AND($E35=1,ML35=0),25,0),IF($F35&gt;0,INDEX('calcA'!CY$110:CY$114,$F35+1)+IF(AND($E35=1,ML35=0),1000,0),MIN(TY35,20)*400+(IF('calcA'!CX$106=1,1-GV35,0)+IF('calcA'!CY$106=1,1-GX35,0))*150+45+'calcA'!CY$5*100000+IF(AND($E35=1,ML35=0),50000,0))+IF($H35=1,INDEX('calcA'!$D$180:$EQ$219,$B35,100)*4000,0)-IF(AND('calcA'!CX$117=1,XV35&gt;0),2000,0)-IF(AND($U35=1,'calcA'!CY$117=1,GX35=0),2000,0))),1000000000))</f>
        <v/>
      </c>
      <c r="SB35">
        <f>IF($B35=0,1000000000,IF(INDEX('calcA'!$D$60:$EQ$99,$B35,101)*IF($W35=1,GX35+ADM35,GX35)=1,IF(AND($E35=2,IF($W35=1,AJB35,MM35)=0),1000000000,IF($V35=1,INDEX('calcA'!$D$130:$EQ$169,$B35,101)+IF(AND($E35=1,MM35=0),25,0),IF($F35&gt;0,INDEX('calcA'!CZ$110:CZ$114,$F35+1)+IF(AND($E35=1,MM35=0),1000,0),MIN(TY35,20)*400+(IF('calcA'!CY$106=1,1-GW35,0)+IF('calcA'!CZ$106=1,1-GY35,0))*150+55+'calcA'!CZ$5*100000+IF(AND($E35=1,MM35=0),50000,0))+IF($H35=1,INDEX('calcA'!$D$180:$EQ$219,$B35,101)*4000,0)-IF(AND('calcA'!CY$117=1,XW35&gt;0),2000,0)-IF(AND($U35=1,'calcA'!CZ$117=1,GY35=0),2000,0))),1000000000))</f>
        <v/>
      </c>
      <c r="SC35">
        <f>IF($B35=0,1000000000,IF(INDEX('calcA'!$D$60:$EQ$99,$B35,102)*IF($W35=1,GY35+ADN35,GY35)=1,IF(AND($E35=2,IF($W35=1,AJC35,MN35)=0),1000000000,IF($V35=1,INDEX('calcA'!$D$130:$EQ$169,$B35,102)+IF(AND($E35=1,MN35=0),25,0),IF($F35&gt;0,INDEX('calcA'!DA$110:DA$114,$F35+1)+IF(AND($E35=1,MN35=0),1000,0),MIN(TY35,20)*400+(IF('calcA'!CZ$106=1,1-GX35,0)+IF('calcA'!DA$106=1,1-GZ35,0))*150+65+'calcA'!DA$5*100000+IF(AND($E35=1,MN35=0),50000,0))+IF($H35=1,INDEX('calcA'!$D$180:$EQ$219,$B35,102)*4000,0)-IF(AND('calcA'!CZ$117=1,XX35&gt;0),2000,0)-IF(AND($U35=1,'calcA'!DA$117=1,GZ35=0),2000,0))),1000000000))</f>
        <v/>
      </c>
      <c r="SD35">
        <f>IF($B35=0,1000000000,IF(INDEX('calcA'!$D$60:$EQ$99,$B35,103)*IF($W35=1,GZ35+ADO35,GZ35)=1,IF(AND($E35=2,IF($W35=1,AJD35,MO35)=0),1000000000,IF($V35=1,INDEX('calcA'!$D$130:$EQ$169,$B35,103)+IF(AND($E35=1,MO35=0),25,0),IF($F35&gt;0,INDEX('calcA'!DB$110:DB$114,$F35+1)+IF(AND($E35=1,MO35=0),1000,0),MIN(TY35,20)*400+(IF('calcA'!DA$106=1,1-GY35,0)+IF('calcA'!DB$106=1,1-HA35,0))*150+75+'calcA'!DB$5*100000+IF(AND($E35=1,MO35=0),50000,0))+IF($H35=1,INDEX('calcA'!$D$180:$EQ$219,$B35,103)*4000,0)-IF(AND('calcA'!DA$117=1,XY35&gt;0),2000,0)-IF(AND($U35=1,'calcA'!DB$117=1,HA35=0),2000,0))),1000000000))</f>
        <v/>
      </c>
      <c r="SE35">
        <f>IF($B35=0,1000000000,IF(INDEX('calcA'!$D$60:$EQ$99,$B35,104)*IF($W35=1,HA35+ADP35,HA35)=1,IF(AND($E35=2,IF($W35=1,AJE35,MP35)=0),1000000000,IF($V35=1,INDEX('calcA'!$D$130:$EQ$169,$B35,104)+IF(AND($E35=1,MP35=0),25,0),IF($F35&gt;0,INDEX('calcA'!DC$110:DC$114,$F35+1)+IF(AND($E35=1,MP35=0),1000,0),MIN(TY35,20)*400+(IF('calcA'!DB$106=1,1-GZ35,0)+IF('calcA'!DC$106=1,1-HB35,0))*150+85+'calcA'!DC$5*100000+IF(AND($E35=1,MP35=0),50000,0))+IF($H35=1,INDEX('calcA'!$D$180:$EQ$219,$B35,104)*4000,0)-IF(AND('calcA'!DB$117=1,XZ35&gt;0),2000,0)-IF(AND($U35=1,'calcA'!DC$117=1,HB35=0),2000,0))),1000000000))</f>
        <v/>
      </c>
      <c r="SF35">
        <f>IF($B35=0,1000000000,IF(INDEX('calcA'!$D$60:$EQ$99,$B35,105)*IF($W35=1,HB35+ADQ35,HB35)=1,IF(AND($E35=2,IF($W35=1,AJF35,MQ35)=0),1000000000,IF($V35=1,INDEX('calcA'!$D$130:$EQ$169,$B35,105)+IF(AND($E35=1,MQ35=0),25,0),IF($F35&gt;0,INDEX('calcA'!DD$110:DD$114,$F35+1)+IF(AND($E35=1,MQ35=0),1000,0),MIN(TY35,20)*400+(IF('calcA'!DC$106=1,1-HA35,0)+IF('calcA'!DD$106=1,1-HC35,0))*150+95+'calcA'!DD$5*100000+IF(AND($E35=1,MQ35=0),50000,0))+IF($H35=1,INDEX('calcA'!$D$180:$EQ$219,$B35,105)*4000,0)-IF(AND('calcA'!DC$117=1,YA35&gt;0),2000,0)-IF(AND($U35=1,'calcA'!DD$117=1,HC35=0),2000,0))),1000000000))</f>
        <v/>
      </c>
      <c r="SG35">
        <f>IF($B35=0,1000000000,IF(INDEX('calcA'!$D$60:$EQ$99,$B35,106)*IF($W35=1,HC35+ADR35,HC35)=1,IF(AND($E35=2,IF($W35=1,AJG35,MR35)=0),1000000000,IF($V35=1,INDEX('calcA'!$D$130:$EQ$169,$B35,106)+IF(AND($E35=1,MR35=0),25,0),IF($F35&gt;0,INDEX('calcA'!DE$110:DE$114,$F35+1)+IF(AND($E35=1,MR35=0),1000,0),MIN(TY35,20)*400+(IF('calcA'!DD$106=1,1-HB35,0)+IF('calcA'!DE$106=1,1-HD35,0))*150+105+'calcA'!DE$5*100000+IF(AND($E35=1,MR35=0),50000,0))+IF($H35=1,INDEX('calcA'!$D$180:$EQ$219,$B35,106)*4000,0)-IF(AND('calcA'!DD$117=1,YB35&gt;0),2000,0)-IF(AND($U35=1,'calcA'!DE$117=1,HD35=0),2000,0))),1000000000))</f>
        <v/>
      </c>
      <c r="SH35">
        <f>IF($B35=0,1000000000,IF(INDEX('calcA'!$D$60:$EQ$99,$B35,107)*IF($W35=1,HD35+ADS35,HD35)=1,IF(AND($E35=2,IF($W35=1,AJH35,MS35)=0),1000000000,IF($V35=1,INDEX('calcA'!$D$130:$EQ$169,$B35,107)+IF(AND($E35=1,MS35=0),25,0),IF($F35&gt;0,INDEX('calcA'!DF$110:DF$114,$F35+1)+IF(AND($E35=1,MS35=0),1000,0),MIN(TY35,20)*400+(IF('calcA'!DE$106=1,1-HC35,0)+IF('calcA'!DF$106=1,1-HE35,0))*150+115+'calcA'!DF$5*100000+IF(AND($E35=1,MS35=0),50000,0))+IF($H35=1,INDEX('calcA'!$D$180:$EQ$219,$B35,107)*4000,0)-IF(AND('calcA'!DE$117=1,YC35&gt;0),2000,0)-IF(AND($U35=1,'calcA'!DF$117=1,HE35=0),2000,0))),1000000000))</f>
        <v/>
      </c>
      <c r="SI35">
        <f>IF($B35=0,1000000000,IF(INDEX('calcA'!$D$60:$EQ$99,$B35,108)*IF($W35=1,HE35+ADT35,HE35)=1,IF(AND($E35=2,IF($W35=1,AJI35,MT35)=0),1000000000,IF($V35=1,INDEX('calcA'!$D$130:$EQ$169,$B35,108)+IF(AND($E35=1,MT35=0),25,0),IF($F35&gt;0,INDEX('calcA'!DG$110:DG$114,$F35+1)+IF(AND($E35=1,MT35=0),1000,0),MIN(TY35,20)*400+(IF('calcA'!DF$106=1,1-HD35,0)+IF('calcA'!DG$106=1,1-HF35,0))*150+125+'calcA'!DG$5*100000+IF(AND($E35=1,MT35=0),50000,0))+IF($H35=1,INDEX('calcA'!$D$180:$EQ$219,$B35,108)*4000,0)-IF(AND('calcA'!DF$117=1,YD35&gt;0),2000,0)-IF(AND($U35=1,'calcA'!DG$117=1,HF35=0),2000,0))),1000000000))</f>
        <v/>
      </c>
      <c r="SJ35">
        <f>IF($B35=0,1000000000,IF(INDEX('calcA'!$D$60:$EQ$99,$B35,109)*IF($W35=1,HF35+ADU35,HF35)=1,IF(AND($E35=2,IF($W35=1,AJJ35,MU35)=0),1000000000,IF($V35=1,INDEX('calcA'!$D$130:$EQ$169,$B35,109)+IF(AND($E35=1,MU35=0),25,0),IF($F35&gt;0,INDEX('calcA'!DH$110:DH$114,$F35+1)+IF(AND($E35=1,MU35=0),1000,0),MIN(TY35,20)*400+(IF('calcA'!DG$106=1,1-HE35,0)+IF('calcA'!DH$106=1,1-HG35,0))*150+135+'calcA'!DH$5*100000+IF(AND($E35=1,MU35=0),50000,0))+IF($H35=1,INDEX('calcA'!$D$180:$EQ$219,$B35,109)*4000,0)-IF(AND('calcA'!DG$117=1,YE35&gt;0),2000,0)-IF(AND($U35=1,'calcA'!DH$117=1,HG35=0),2000,0))),1000000000))</f>
        <v/>
      </c>
      <c r="SK35">
        <f>IF($B35=0,1000000000,IF(INDEX('calcA'!$D$60:$EQ$99,$B35,110)*IF($W35=1,HG35+ADV35,HG35)=1,IF(AND($E35=2,IF($W35=1,AJK35,MV35)=0),1000000000,IF($V35=1,INDEX('calcA'!$D$130:$EQ$169,$B35,110)+IF(AND($E35=1,MV35=0),25,0),IF($F35&gt;0,INDEX('calcA'!DI$110:DI$114,$F35+1)+IF(AND($E35=1,MV35=0),1000,0),MIN(TY35,20)*400+(IF('calcA'!DH$106=1,1-HF35,0)+IF('calcA'!DI$106=1,1-HH35,0))*150+145+'calcA'!DI$5*100000+IF(AND($E35=1,MV35=0),50000,0))+IF($H35=1,INDEX('calcA'!$D$180:$EQ$219,$B35,110)*4000,0)-IF(AND('calcA'!DH$117=1,YF35&gt;0),2000,0)-IF(AND($U35=1,'calcA'!DI$117=1,HH35=0),2000,0))),1000000000))</f>
        <v/>
      </c>
      <c r="SL35">
        <f>IF($B35=0,1000000000,IF(INDEX('calcA'!$D$60:$EQ$99,$B35,111)*IF($W35=1,HH35+ADW35,HH35)=1,IF(AND($E35=2,IF($W35=1,AJL35,MW35)=0),1000000000,IF($V35=1,INDEX('calcA'!$D$130:$EQ$169,$B35,111)+IF(AND($E35=1,MW35=0),25,0),IF($F35&gt;0,INDEX('calcA'!DJ$110:DJ$114,$F35+1)+IF(AND($E35=1,MW35=0),1000,0),MIN(TY35,20)*400+(IF('calcA'!DI$106=1,1-HG35,0)+IF('calcA'!DJ$106=1,1-HI35,0))*150+155+'calcA'!DJ$5*100000+IF(AND($E35=1,MW35=0),50000,0))+IF($H35=1,INDEX('calcA'!$D$180:$EQ$219,$B35,111)*4000,0)-IF(AND('calcA'!DI$117=1,YG35&gt;0),2000,0)-IF(AND($U35=1,'calcA'!DJ$117=1,HI35=0),2000,0))),1000000000))</f>
        <v/>
      </c>
      <c r="SM35">
        <f>IF($B35=0,1000000000,IF(INDEX('calcA'!$D$60:$EQ$99,$B35,112)*IF($W35=1,HI35+ADX35,HI35)=1,IF(AND($E35=2,IF($W35=1,AJM35,MX35)=0),1000000000,IF($V35=1,INDEX('calcA'!$D$130:$EQ$169,$B35,112)+IF(AND($E35=1,MX35=0),25,0),IF($F35&gt;0,INDEX('calcA'!DK$110:DK$114,$F35+1)+IF(AND($E35=1,MX35=0),1000,0),MIN(TY35,20)*400+(IF('calcA'!DJ$106=1,1-HH35,0)+IF('calcA'!DK$106=1,1-HJ35,0))*150+165+'calcA'!DK$5*100000+IF(AND($E35=1,MX35=0),50000,0))+IF($H35=1,INDEX('calcA'!$D$180:$EQ$219,$B35,112)*4000,0)-IF(AND('calcA'!DJ$117=1,YH35&gt;0),2000,0)-IF(AND($U35=1,'calcA'!DK$117=1,HJ35=0),2000,0))),1000000000))</f>
        <v/>
      </c>
      <c r="SN35">
        <f>IF($B35=0,1000000000,IF(INDEX('calcA'!$D$60:$EQ$99,$B35,113)*IF($W35=1,HJ35+ADY35,HJ35)=1,IF(AND($E35=2,IF($W35=1,AJN35,MY35)=0),1000000000,IF($V35=1,INDEX('calcA'!$D$130:$EQ$169,$B35,113)+IF(AND($E35=1,MY35=0),25,0),IF($F35&gt;0,INDEX('calcA'!DL$110:DL$114,$F35+1)+IF(AND($E35=1,MY35=0),1000,0),MIN(TY35,20)*400+(IF('calcA'!DK$106=1,1-HI35,0)+IF('calcA'!DL$106=1,1-HK35,0))*150+175+'calcA'!DL$5*100000+IF(AND($E35=1,MY35=0),50000,0))+IF($H35=1,INDEX('calcA'!$D$180:$EQ$219,$B35,113)*4000,0)-IF(AND('calcA'!DK$117=1,YI35&gt;0),2000,0)-IF(AND($U35=1,'calcA'!DL$117=1,HK35=0),2000,0))),1000000000))</f>
        <v/>
      </c>
      <c r="SO35">
        <f>IF($B35=0,1000000000,IF(INDEX('calcA'!$D$60:$EQ$99,$B35,114)*IF($W35=1,HK35+ADZ35,HK35)=1,IF(AND($E35=2,IF($W35=1,AJO35,MZ35)=0),1000000000,IF($V35=1,INDEX('calcA'!$D$130:$EQ$169,$B35,114)+IF(AND($E35=1,MZ35=0),25,0),IF($F35&gt;0,INDEX('calcA'!DM$110:DM$114,$F35+1)+IF(AND($E35=1,MZ35=0),1000,0),MIN(TY35,20)*400+(IF('calcA'!DL$106=1,1-HJ35,0)+IF('calcA'!DM$106=1,1-HL35,0))*150+185+'calcA'!DM$5*100000+IF(AND($E35=1,MZ35=0),50000,0))+IF($H35=1,INDEX('calcA'!$D$180:$EQ$219,$B35,114)*4000,0)-IF(AND('calcA'!DL$117=1,YJ35&gt;0),2000,0)-IF(AND($U35=1,'calcA'!DM$117=1,HL35=0),2000,0))),1000000000))</f>
        <v/>
      </c>
      <c r="SP35">
        <f>IF($B35=0,1000000000,IF(INDEX('calcA'!$D$60:$EQ$99,$B35,115)*IF($W35=1,HL35+AEA35,HL35)=1,IF(AND($E35=2,IF($W35=1,AJP35,NA35)=0),1000000000,IF($V35=1,INDEX('calcA'!$D$130:$EQ$169,$B35,115)+IF(AND($E35=1,NA35=0),25,0),IF($F35&gt;0,INDEX('calcA'!DN$110:DN$114,$F35+1)+IF(AND($E35=1,NA35=0),1000,0),MIN(TY35,20)*400+(IF('calcA'!DM$106=1,1-HK35,0)+IF('calcA'!DN$106=1,1-HM35,0))*150+195+'calcA'!DN$5*100000+IF(AND($E35=1,NA35=0),50000,0))+IF($H35=1,INDEX('calcA'!$D$180:$EQ$219,$B35,115)*4000,0)-IF(AND('calcA'!DM$117=1,YK35&gt;0),2000,0)-IF(AND($U35=1,'calcA'!DN$117=1,HM35=0),2000,0))),1000000000))</f>
        <v/>
      </c>
      <c r="SQ35">
        <f>IF($B35=0,1000000000,IF(INDEX('calcA'!$D$60:$EQ$99,$B35,116)*IF($W35=1,HM35+AEB35,HM35)=1,IF(AND($E35=2,IF($W35=1,AJQ35,NB35)=0),1000000000,IF($V35=1,INDEX('calcA'!$D$130:$EQ$169,$B35,116)+IF(AND($E35=1,NB35=0),25,0),IF($F35&gt;0,INDEX('calcA'!DO$110:DO$114,$F35+1)+IF(AND($E35=1,NB35=0),1000,0),MIN(TY35,20)*400+(IF('calcA'!DN$106=1,1-HL35,0)+IF('calcA'!DO$106=1,1-HN35,0))*150+205+'calcA'!DO$5*100000+IF(AND($E35=1,NB35=0),50000,0))+IF($H35=1,INDEX('calcA'!$D$180:$EQ$219,$B35,116)*4000,0)-IF(AND('calcA'!DN$117=1,YL35&gt;0),2000,0)-IF(AND($U35=1,'calcA'!DO$117=1,HN35=0),2000,0))),1000000000))</f>
        <v/>
      </c>
      <c r="SR35">
        <f>IF($B35=0,1000000000,IF(INDEX('calcA'!$D$60:$EQ$99,$B35,117)*IF($W35=1,HN35+AEC35,HN35)=1,IF(AND($E35=2,IF($W35=1,AJR35,NC35)=0),1000000000,IF($V35=1,INDEX('calcA'!$D$130:$EQ$169,$B35,117)+IF(AND($E35=1,NC35=0),25,0),IF($F35&gt;0,INDEX('calcA'!DP$110:DP$114,$F35+1)+IF(AND($E35=1,NC35=0),1000,0),MIN(TY35,20)*400+(IF('calcA'!DO$106=1,1-HM35,0)+IF('calcA'!DP$106=1,1-HO35,0))*150+215+'calcA'!DP$5*100000+IF(AND($E35=1,NC35=0),50000,0))+IF($H35=1,INDEX('calcA'!$D$180:$EQ$219,$B35,117)*4000,0)-IF(AND('calcA'!DO$117=1,YM35&gt;0),2000,0)-IF(AND($U35=1,'calcA'!DP$117=1,HO35=0),2000,0))),1000000000))</f>
        <v/>
      </c>
      <c r="SS35">
        <f>IF($B35=0,1000000000,IF(INDEX('calcA'!$D$60:$EQ$99,$B35,118)*IF($W35=1,HO35+AED35,HO35)=1,IF(AND($E35=2,IF($W35=1,AJS35,ND35)=0),1000000000,IF($V35=1,INDEX('calcA'!$D$130:$EQ$169,$B35,118)+IF(AND($E35=1,ND35=0),25,0),IF($F35&gt;0,INDEX('calcA'!DQ$110:DQ$114,$F35+1)+IF(AND($E35=1,ND35=0),1000,0),MIN(TY35,20)*400+(IF('calcA'!DP$106=1,1-HN35,0)+IF('calcA'!DQ$106=1,1-HP35,0))*150+225+'calcA'!DQ$5*100000+IF(AND($E35=1,ND35=0),50000,0))+IF($H35=1,INDEX('calcA'!$D$180:$EQ$219,$B35,118)*4000,0)-IF(AND('calcA'!DP$117=1,YN35&gt;0),2000,0)-IF(AND($U35=1,'calcA'!DQ$117=1,HP35=0),2000,0))),1000000000))</f>
        <v/>
      </c>
      <c r="ST35">
        <f>IF($B35=0,1000000000,IF(INDEX('calcA'!$D$60:$EQ$99,$B35,119)*IF($W35=1,HP35+AEE35,HP35)=1,IF(AND($E35=2,IF($W35=1,AJT35,NE35)=0),1000000000,IF($V35=1,INDEX('calcA'!$D$130:$EQ$169,$B35,119)+IF(AND($E35=1,NE35=0),25,0),IF($F35&gt;0,INDEX('calcA'!DR$110:DR$114,$F35+1)+IF(AND($E35=1,NE35=0),1000,0),MIN(TY35,20)*400+(IF('calcA'!DQ$106=1,1-HO35,0)+IF('calcA'!DR$106=1,1-HQ35,0))*150+235+'calcA'!DR$5*100000+IF(AND($E35=1,NE35=0),50000,0))+IF($H35=1,INDEX('calcA'!$D$180:$EQ$219,$B35,119)*4000,0)-IF(AND('calcA'!DQ$117=1,YO35&gt;0),2000,0)-IF(AND($U35=1,'calcA'!DR$117=1,HQ35=0),2000,0))),1000000000))</f>
        <v/>
      </c>
      <c r="SU35">
        <f>IF($B35=0,1000000000,IF(INDEX('calcA'!$D$60:$EQ$99,$B35,120)*IF($W35=1,HQ35+AEF35,HQ35)=1,IF(AND($E35=2,IF($W35=1,AJU35,NF35)=0),1000000000,IF($V35=1,INDEX('calcA'!$D$130:$EQ$169,$B35,120)+IF(AND($E35=1,NF35=0),25,0),IF($F35&gt;0,INDEX('calcA'!DS$110:DS$114,$F35+1)+IF(AND($E35=1,NF35=0),1000,0),MIN(TY35,20)*400+(IF('calcA'!DR$106=1,1-HP35,0))*150+245+'calcA'!DS$5*100000+IF(AND($E35=1,NF35=0),50000,0))+IF($H35=1,INDEX('calcA'!$D$180:$EQ$219,$B35,120)*4000,0)-IF(AND('calcA'!DR$117=1,YP35&gt;0),2000,0))),1000000000))</f>
        <v/>
      </c>
      <c r="SV35">
        <f>IF($B35=0,1000000000,IF(INDEX('calcA'!$D$60:$EQ$99,$B35,121)*IF($W35=1,HR35+AEG35,HR35)=1,IF(AND($E35=2,IF($W35=1,AJV35,NG35)=0),1000000000,IF($V35=1,INDEX('calcA'!$D$130:$EQ$169,$B35,121)+IF(AND($E35=1,NG35=0),25,0),IF($F35&gt;0,INDEX('calcA'!DT$110:DT$114,$F35+1)+IF(AND($E35=1,NG35=0),1000,0),MIN(TZ35,20)*400+(IF('calcA'!DT$106=1,1-HS35,0))*150+16+'calcA'!DT$5*100000+IF(AND($E35=1,NG35=0),50000,0))+IF($H35=1,INDEX('calcA'!$D$180:$EQ$219,$B35,121)*4000,0)-IF(AND($U35=1,'calcA'!DT$117=1,HS35=0),2000,0))),1000000000))</f>
        <v/>
      </c>
      <c r="SW35">
        <f>IF($B35=0,1000000000,IF(INDEX('calcA'!$D$60:$EQ$99,$B35,122)*IF($W35=1,HS35+AEH35,HS35)=1,IF(AND($E35=2,IF($W35=1,AJW35,NH35)=0),1000000000,IF($V35=1,INDEX('calcA'!$D$130:$EQ$169,$B35,122)+IF(AND($E35=1,NH35=0),25,0),IF($F35&gt;0,INDEX('calcA'!DU$110:DU$114,$F35+1)+IF(AND($E35=1,NH35=0),1000,0),MIN(TZ35,20)*400+(IF('calcA'!DT$106=1,1-HR35,0)+IF('calcA'!DU$106=1,1-HT35,0))*150+26+'calcA'!DU$5*100000+IF(AND($E35=1,NH35=0),50000,0))+IF($H35=1,INDEX('calcA'!$D$180:$EQ$219,$B35,122)*4000,0)-IF(AND('calcA'!DT$117=1,YR35&gt;0),2000,0)-IF(AND($U35=1,'calcA'!DU$117=1,HT35=0),2000,0))),1000000000))</f>
        <v/>
      </c>
      <c r="SX35">
        <f>IF($B35=0,1000000000,IF(INDEX('calcA'!$D$60:$EQ$99,$B35,123)*IF($W35=1,HT35+AEI35,HT35)=1,IF(AND($E35=2,IF($W35=1,AJX35,NI35)=0),1000000000,IF($V35=1,INDEX('calcA'!$D$130:$EQ$169,$B35,123)+IF(AND($E35=1,NI35=0),25,0),IF($F35&gt;0,INDEX('calcA'!DV$110:DV$114,$F35+1)+IF(AND($E35=1,NI35=0),1000,0),MIN(TZ35,20)*400+(IF('calcA'!DU$106=1,1-HS35,0)+IF('calcA'!DV$106=1,1-HU35,0))*150+36+'calcA'!DV$5*100000+IF(AND($E35=1,NI35=0),50000,0))+IF($H35=1,INDEX('calcA'!$D$180:$EQ$219,$B35,123)*4000,0)-IF(AND('calcA'!DU$117=1,YS35&gt;0),2000,0)-IF(AND($U35=1,'calcA'!DV$117=1,HU35=0),2000,0))),1000000000))</f>
        <v/>
      </c>
      <c r="SY35">
        <f>IF($B35=0,1000000000,IF(INDEX('calcA'!$D$60:$EQ$99,$B35,124)*IF($W35=1,HU35+AEJ35,HU35)=1,IF(AND($E35=2,IF($W35=1,AJY35,NJ35)=0),1000000000,IF($V35=1,INDEX('calcA'!$D$130:$EQ$169,$B35,124)+IF(AND($E35=1,NJ35=0),25,0),IF($F35&gt;0,INDEX('calcA'!DW$110:DW$114,$F35+1)+IF(AND($E35=1,NJ35=0),1000,0),MIN(TZ35,20)*400+(IF('calcA'!DV$106=1,1-HT35,0)+IF('calcA'!DW$106=1,1-HV35,0))*150+46+'calcA'!DW$5*100000+IF(AND($E35=1,NJ35=0),50000,0))+IF($H35=1,INDEX('calcA'!$D$180:$EQ$219,$B35,124)*4000,0)-IF(AND('calcA'!DV$117=1,YT35&gt;0),2000,0)-IF(AND($U35=1,'calcA'!DW$117=1,HV35=0),2000,0))),1000000000))</f>
        <v/>
      </c>
      <c r="SZ35">
        <f>IF($B35=0,1000000000,IF(INDEX('calcA'!$D$60:$EQ$99,$B35,125)*IF($W35=1,HV35+AEK35,HV35)=1,IF(AND($E35=2,IF($W35=1,AJZ35,NK35)=0),1000000000,IF($V35=1,INDEX('calcA'!$D$130:$EQ$169,$B35,125)+IF(AND($E35=1,NK35=0),25,0),IF($F35&gt;0,INDEX('calcA'!DX$110:DX$114,$F35+1)+IF(AND($E35=1,NK35=0),1000,0),MIN(TZ35,20)*400+(IF('calcA'!DW$106=1,1-HU35,0)+IF('calcA'!DX$106=1,1-HW35,0))*150+56+'calcA'!DX$5*100000+IF(AND($E35=1,NK35=0),50000,0))+IF($H35=1,INDEX('calcA'!$D$180:$EQ$219,$B35,125)*4000,0)-IF(AND('calcA'!DW$117=1,YU35&gt;0),2000,0)-IF(AND($U35=1,'calcA'!DX$117=1,HW35=0),2000,0))),1000000000))</f>
        <v/>
      </c>
      <c r="TA35">
        <f>IF($B35=0,1000000000,IF(INDEX('calcA'!$D$60:$EQ$99,$B35,126)*IF($W35=1,HW35+AEL35,HW35)=1,IF(AND($E35=2,IF($W35=1,AKA35,NL35)=0),1000000000,IF($V35=1,INDEX('calcA'!$D$130:$EQ$169,$B35,126)+IF(AND($E35=1,NL35=0),25,0),IF($F35&gt;0,INDEX('calcA'!DY$110:DY$114,$F35+1)+IF(AND($E35=1,NL35=0),1000,0),MIN(TZ35,20)*400+(IF('calcA'!DX$106=1,1-HV35,0)+IF('calcA'!DY$106=1,1-HX35,0))*150+66+'calcA'!DY$5*100000+IF(AND($E35=1,NL35=0),50000,0))+IF($H35=1,INDEX('calcA'!$D$180:$EQ$219,$B35,126)*4000,0)-IF(AND('calcA'!DX$117=1,YV35&gt;0),2000,0)-IF(AND($U35=1,'calcA'!DY$117=1,HX35=0),2000,0))),1000000000))</f>
        <v/>
      </c>
      <c r="TB35">
        <f>IF($B35=0,1000000000,IF(INDEX('calcA'!$D$60:$EQ$99,$B35,127)*IF($W35=1,HX35+AEM35,HX35)=1,IF(AND($E35=2,IF($W35=1,AKB35,NM35)=0),1000000000,IF($V35=1,INDEX('calcA'!$D$130:$EQ$169,$B35,127)+IF(AND($E35=1,NM35=0),25,0),IF($F35&gt;0,INDEX('calcA'!DZ$110:DZ$114,$F35+1)+IF(AND($E35=1,NM35=0),1000,0),MIN(TZ35,20)*400+(IF('calcA'!DY$106=1,1-HW35,0)+IF('calcA'!DZ$106=1,1-HY35,0))*150+76+'calcA'!DZ$5*100000+IF(AND($E35=1,NM35=0),50000,0))+IF($H35=1,INDEX('calcA'!$D$180:$EQ$219,$B35,127)*4000,0)-IF(AND('calcA'!DY$117=1,YW35&gt;0),2000,0)-IF(AND($U35=1,'calcA'!DZ$117=1,HY35=0),2000,0))),1000000000))</f>
        <v/>
      </c>
      <c r="TC35">
        <f>IF($B35=0,1000000000,IF(INDEX('calcA'!$D$60:$EQ$99,$B35,128)*IF($W35=1,HY35+AEN35,HY35)=1,IF(AND($E35=2,IF($W35=1,AKC35,NN35)=0),1000000000,IF($V35=1,INDEX('calcA'!$D$130:$EQ$169,$B35,128)+IF(AND($E35=1,NN35=0),25,0),IF($F35&gt;0,INDEX('calcA'!EA$110:EA$114,$F35+1)+IF(AND($E35=1,NN35=0),1000,0),MIN(TZ35,20)*400+(IF('calcA'!DZ$106=1,1-HX35,0)+IF('calcA'!EA$106=1,1-HZ35,0))*150+86+'calcA'!EA$5*100000+IF(AND($E35=1,NN35=0),50000,0))+IF($H35=1,INDEX('calcA'!$D$180:$EQ$219,$B35,128)*4000,0)-IF(AND('calcA'!DZ$117=1,YX35&gt;0),2000,0)-IF(AND($U35=1,'calcA'!EA$117=1,HZ35=0),2000,0))),1000000000))</f>
        <v/>
      </c>
      <c r="TD35">
        <f>IF($B35=0,1000000000,IF(INDEX('calcA'!$D$60:$EQ$99,$B35,129)*IF($W35=1,HZ35+AEO35,HZ35)=1,IF(AND($E35=2,IF($W35=1,AKD35,NO35)=0),1000000000,IF($V35=1,INDEX('calcA'!$D$130:$EQ$169,$B35,129)+IF(AND($E35=1,NO35=0),25,0),IF($F35&gt;0,INDEX('calcA'!EB$110:EB$114,$F35+1)+IF(AND($E35=1,NO35=0),1000,0),MIN(TZ35,20)*400+(IF('calcA'!EA$106=1,1-HY35,0)+IF('calcA'!EB$106=1,1-IA35,0))*150+96+'calcA'!EB$5*100000+IF(AND($E35=1,NO35=0),50000,0))+IF($H35=1,INDEX('calcA'!$D$180:$EQ$219,$B35,129)*4000,0)-IF(AND('calcA'!EA$117=1,YY35&gt;0),2000,0)-IF(AND($U35=1,'calcA'!EB$117=1,IA35=0),2000,0))),1000000000))</f>
        <v/>
      </c>
      <c r="TE35">
        <f>IF($B35=0,1000000000,IF(INDEX('calcA'!$D$60:$EQ$99,$B35,130)*IF($W35=1,IA35+AEP35,IA35)=1,IF(AND($E35=2,IF($W35=1,AKE35,NP35)=0),1000000000,IF($V35=1,INDEX('calcA'!$D$130:$EQ$169,$B35,130)+IF(AND($E35=1,NP35=0),25,0),IF($F35&gt;0,INDEX('calcA'!EC$110:EC$114,$F35+1)+IF(AND($E35=1,NP35=0),1000,0),MIN(TZ35,20)*400+(IF('calcA'!EB$106=1,1-HZ35,0)+IF('calcA'!EC$106=1,1-IB35,0))*150+106+'calcA'!EC$5*100000+IF(AND($E35=1,NP35=0),50000,0))+IF($H35=1,INDEX('calcA'!$D$180:$EQ$219,$B35,130)*4000,0)-IF(AND('calcA'!EB$117=1,YZ35&gt;0),2000,0)-IF(AND($U35=1,'calcA'!EC$117=1,IB35=0),2000,0))),1000000000))</f>
        <v/>
      </c>
      <c r="TF35">
        <f>IF($B35=0,1000000000,IF(INDEX('calcA'!$D$60:$EQ$99,$B35,131)*IF($W35=1,IB35+AEQ35,IB35)=1,IF(AND($E35=2,IF($W35=1,AKF35,NQ35)=0),1000000000,IF($V35=1,INDEX('calcA'!$D$130:$EQ$169,$B35,131)+IF(AND($E35=1,NQ35=0),25,0),IF($F35&gt;0,INDEX('calcA'!ED$110:ED$114,$F35+1)+IF(AND($E35=1,NQ35=0),1000,0),MIN(TZ35,20)*400+(IF('calcA'!EC$106=1,1-IA35,0)+IF('calcA'!ED$106=1,1-IC35,0))*150+116+'calcA'!ED$5*100000+IF(AND($E35=1,NQ35=0),50000,0))+IF($H35=1,INDEX('calcA'!$D$180:$EQ$219,$B35,131)*4000,0)-IF(AND('calcA'!EC$117=1,ZA35&gt;0),2000,0)-IF(AND($U35=1,'calcA'!ED$117=1,IC35=0),2000,0))),1000000000))</f>
        <v/>
      </c>
      <c r="TG35">
        <f>IF($B35=0,1000000000,IF(INDEX('calcA'!$D$60:$EQ$99,$B35,132)*IF($W35=1,IC35+AER35,IC35)=1,IF(AND($E35=2,IF($W35=1,AKG35,NR35)=0),1000000000,IF($V35=1,INDEX('calcA'!$D$130:$EQ$169,$B35,132)+IF(AND($E35=1,NR35=0),25,0),IF($F35&gt;0,INDEX('calcA'!EE$110:EE$114,$F35+1)+IF(AND($E35=1,NR35=0),1000,0),MIN(TZ35,20)*400+(IF('calcA'!ED$106=1,1-IB35,0)+IF('calcA'!EE$106=1,1-ID35,0))*150+126+'calcA'!EE$5*100000+IF(AND($E35=1,NR35=0),50000,0))+IF($H35=1,INDEX('calcA'!$D$180:$EQ$219,$B35,132)*4000,0)-IF(AND('calcA'!ED$117=1,ZB35&gt;0),2000,0)-IF(AND($U35=1,'calcA'!EE$117=1,ID35=0),2000,0))),1000000000))</f>
        <v/>
      </c>
      <c r="TH35">
        <f>IF($B35=0,1000000000,IF(INDEX('calcA'!$D$60:$EQ$99,$B35,133)*IF($W35=1,ID35+AES35,ID35)=1,IF(AND($E35=2,IF($W35=1,AKH35,NS35)=0),1000000000,IF($V35=1,INDEX('calcA'!$D$130:$EQ$169,$B35,133)+IF(AND($E35=1,NS35=0),25,0),IF($F35&gt;0,INDEX('calcA'!EF$110:EF$114,$F35+1)+IF(AND($E35=1,NS35=0),1000,0),MIN(TZ35,20)*400+(IF('calcA'!EE$106=1,1-IC35,0)+IF('calcA'!EF$106=1,1-IE35,0))*150+136+'calcA'!EF$5*100000+IF(AND($E35=1,NS35=0),50000,0))+IF($H35=1,INDEX('calcA'!$D$180:$EQ$219,$B35,133)*4000,0)-IF(AND('calcA'!EE$117=1,ZC35&gt;0),2000,0)-IF(AND($U35=1,'calcA'!EF$117=1,IE35=0),2000,0))),1000000000))</f>
        <v/>
      </c>
      <c r="TI35">
        <f>IF($B35=0,1000000000,IF(INDEX('calcA'!$D$60:$EQ$99,$B35,134)*IF($W35=1,IE35+AET35,IE35)=1,IF(AND($E35=2,IF($W35=1,AKI35,NT35)=0),1000000000,IF($V35=1,INDEX('calcA'!$D$130:$EQ$169,$B35,134)+IF(AND($E35=1,NT35=0),25,0),IF($F35&gt;0,INDEX('calcA'!EG$110:EG$114,$F35+1)+IF(AND($E35=1,NT35=0),1000,0),MIN(TZ35,20)*400+(IF('calcA'!EF$106=1,1-ID35,0)+IF('calcA'!EG$106=1,1-IF35,0))*150+146+'calcA'!EG$5*100000+IF(AND($E35=1,NT35=0),50000,0))+IF($H35=1,INDEX('calcA'!$D$180:$EQ$219,$B35,134)*4000,0)-IF(AND('calcA'!EF$117=1,ZD35&gt;0),2000,0)-IF(AND($U35=1,'calcA'!EG$117=1,IF35=0),2000,0))),1000000000))</f>
        <v/>
      </c>
      <c r="TJ35">
        <f>IF($B35=0,1000000000,IF(INDEX('calcA'!$D$60:$EQ$99,$B35,135)*IF($W35=1,IF35+AEU35,IF35)=1,IF(AND($E35=2,IF($W35=1,AKJ35,NU35)=0),1000000000,IF($V35=1,INDEX('calcA'!$D$130:$EQ$169,$B35,135)+IF(AND($E35=1,NU35=0),25,0),IF($F35&gt;0,INDEX('calcA'!EH$110:EH$114,$F35+1)+IF(AND($E35=1,NU35=0),1000,0),MIN(TZ35,20)*400+(IF('calcA'!EG$106=1,1-IE35,0)+IF('calcA'!EH$106=1,1-IG35,0))*150+156+'calcA'!EH$5*100000+IF(AND($E35=1,NU35=0),50000,0))+IF($H35=1,INDEX('calcA'!$D$180:$EQ$219,$B35,135)*4000,0)-IF(AND('calcA'!EG$117=1,ZE35&gt;0),2000,0)-IF(AND($U35=1,'calcA'!EH$117=1,IG35=0),2000,0))),1000000000))</f>
        <v/>
      </c>
      <c r="TK35">
        <f>IF($B35=0,1000000000,IF(INDEX('calcA'!$D$60:$EQ$99,$B35,136)*IF($W35=1,IG35+AEV35,IG35)=1,IF(AND($E35=2,IF($W35=1,AKK35,NV35)=0),1000000000,IF($V35=1,INDEX('calcA'!$D$130:$EQ$169,$B35,136)+IF(AND($E35=1,NV35=0),25,0),IF($F35&gt;0,INDEX('calcA'!EI$110:EI$114,$F35+1)+IF(AND($E35=1,NV35=0),1000,0),MIN(TZ35,20)*400+(IF('calcA'!EH$106=1,1-IF35,0)+IF('calcA'!EI$106=1,1-IH35,0))*150+166+'calcA'!EI$5*100000+IF(AND($E35=1,NV35=0),50000,0))+IF($H35=1,INDEX('calcA'!$D$180:$EQ$219,$B35,136)*4000,0)-IF(AND('calcA'!EH$117=1,ZF35&gt;0),2000,0)-IF(AND($U35=1,'calcA'!EI$117=1,IH35=0),2000,0))),1000000000))</f>
        <v/>
      </c>
      <c r="TL35">
        <f>IF($B35=0,1000000000,IF(INDEX('calcA'!$D$60:$EQ$99,$B35,137)*IF($W35=1,IH35+AEW35,IH35)=1,IF(AND($E35=2,IF($W35=1,AKL35,NW35)=0),1000000000,IF($V35=1,INDEX('calcA'!$D$130:$EQ$169,$B35,137)+IF(AND($E35=1,NW35=0),25,0),IF($F35&gt;0,INDEX('calcA'!EJ$110:EJ$114,$F35+1)+IF(AND($E35=1,NW35=0),1000,0),MIN(TZ35,20)*400+(IF('calcA'!EI$106=1,1-IG35,0)+IF('calcA'!EJ$106=1,1-II35,0))*150+176+'calcA'!EJ$5*100000+IF(AND($E35=1,NW35=0),50000,0))+IF($H35=1,INDEX('calcA'!$D$180:$EQ$219,$B35,137)*4000,0)-IF(AND('calcA'!EI$117=1,ZG35&gt;0),2000,0)-IF(AND($U35=1,'calcA'!EJ$117=1,II35=0),2000,0))),1000000000))</f>
        <v/>
      </c>
      <c r="TM35">
        <f>IF($B35=0,1000000000,IF(INDEX('calcA'!$D$60:$EQ$99,$B35,138)*IF($W35=1,II35+AEX35,II35)=1,IF(AND($E35=2,IF($W35=1,AKM35,NX35)=0),1000000000,IF($V35=1,INDEX('calcA'!$D$130:$EQ$169,$B35,138)+IF(AND($E35=1,NX35=0),25,0),IF($F35&gt;0,INDEX('calcA'!EK$110:EK$114,$F35+1)+IF(AND($E35=1,NX35=0),1000,0),MIN(TZ35,20)*400+(IF('calcA'!EJ$106=1,1-IH35,0)+IF('calcA'!EK$106=1,1-IJ35,0))*150+186+'calcA'!EK$5*100000+IF(AND($E35=1,NX35=0),50000,0))+IF($H35=1,INDEX('calcA'!$D$180:$EQ$219,$B35,138)*4000,0)-IF(AND('calcA'!EJ$117=1,ZH35&gt;0),2000,0)-IF(AND($U35=1,'calcA'!EK$117=1,IJ35=0),2000,0))),1000000000))</f>
        <v/>
      </c>
      <c r="TN35">
        <f>IF($B35=0,1000000000,IF(INDEX('calcA'!$D$60:$EQ$99,$B35,139)*IF($W35=1,IJ35+AEY35,IJ35)=1,IF(AND($E35=2,IF($W35=1,AKN35,NY35)=0),1000000000,IF($V35=1,INDEX('calcA'!$D$130:$EQ$169,$B35,139)+IF(AND($E35=1,NY35=0),25,0),IF($F35&gt;0,INDEX('calcA'!EL$110:EL$114,$F35+1)+IF(AND($E35=1,NY35=0),1000,0),MIN(TZ35,20)*400+(IF('calcA'!EK$106=1,1-II35,0)+IF('calcA'!EL$106=1,1-IK35,0))*150+196+'calcA'!EL$5*100000+IF(AND($E35=1,NY35=0),50000,0))+IF($H35=1,INDEX('calcA'!$D$180:$EQ$219,$B35,139)*4000,0)-IF(AND('calcA'!EK$117=1,ZI35&gt;0),2000,0)-IF(AND($U35=1,'calcA'!EL$117=1,IK35=0),2000,0))),1000000000))</f>
        <v/>
      </c>
      <c r="TO35">
        <f>IF($B35=0,1000000000,IF(INDEX('calcA'!$D$60:$EQ$99,$B35,140)*IF($W35=1,IK35+AEZ35,IK35)=1,IF(AND($E35=2,IF($W35=1,AKO35,NZ35)=0),1000000000,IF($V35=1,INDEX('calcA'!$D$130:$EQ$169,$B35,140)+IF(AND($E35=1,NZ35=0),25,0),IF($F35&gt;0,INDEX('calcA'!EM$110:EM$114,$F35+1)+IF(AND($E35=1,NZ35=0),1000,0),MIN(TZ35,20)*400+(IF('calcA'!EL$106=1,1-IJ35,0)+IF('calcA'!EM$106=1,1-IL35,0))*150+206+'calcA'!EM$5*100000+IF(AND($E35=1,NZ35=0),50000,0))+IF($H35=1,INDEX('calcA'!$D$180:$EQ$219,$B35,140)*4000,0)-IF(AND('calcA'!EL$117=1,ZJ35&gt;0),2000,0)-IF(AND($U35=1,'calcA'!EM$117=1,IL35=0),2000,0))),1000000000))</f>
        <v/>
      </c>
      <c r="TP35">
        <f>IF($B35=0,1000000000,IF(INDEX('calcA'!$D$60:$EQ$99,$B35,141)*IF($W35=1,IL35+AFA35,IL35)=1,IF(AND($E35=2,IF($W35=1,AKP35,OA35)=0),1000000000,IF($V35=1,INDEX('calcA'!$D$130:$EQ$169,$B35,141)+IF(AND($E35=1,OA35=0),25,0),IF($F35&gt;0,INDEX('calcA'!EN$110:EN$114,$F35+1)+IF(AND($E35=1,OA35=0),1000,0),MIN(TZ35,20)*400+(IF('calcA'!EM$106=1,1-IK35,0)+IF('calcA'!EN$106=1,1-IM35,0))*150+216+'calcA'!EN$5*100000+IF(AND($E35=1,OA35=0),50000,0))+IF($H35=1,INDEX('calcA'!$D$180:$EQ$219,$B35,141)*4000,0)-IF(AND('calcA'!EM$117=1,ZK35&gt;0),2000,0)-IF(AND($U35=1,'calcA'!EN$117=1,IM35=0),2000,0))),1000000000))</f>
        <v/>
      </c>
      <c r="TQ35">
        <f>IF($B35=0,1000000000,IF(INDEX('calcA'!$D$60:$EQ$99,$B35,142)*IF($W35=1,IM35+AFB35,IM35)=1,IF(AND($E35=2,IF($W35=1,AKQ35,OB35)=0),1000000000,IF($V35=1,INDEX('calcA'!$D$130:$EQ$169,$B35,142)+IF(AND($E35=1,OB35=0),25,0),IF($F35&gt;0,INDEX('calcA'!EO$110:EO$114,$F35+1)+IF(AND($E35=1,OB35=0),1000,0),MIN(TZ35,20)*400+(IF('calcA'!EN$106=1,1-IL35,0)+IF('calcA'!EO$106=1,1-IN35,0))*150+226+'calcA'!EO$5*100000+IF(AND($E35=1,OB35=0),50000,0))+IF($H35=1,INDEX('calcA'!$D$180:$EQ$219,$B35,142)*4000,0)-IF(AND('calcA'!EN$117=1,ZL35&gt;0),2000,0)-IF(AND($U35=1,'calcA'!EO$117=1,IN35=0),2000,0))),1000000000))</f>
        <v/>
      </c>
      <c r="TR35">
        <f>IF($B35=0,1000000000,IF(INDEX('calcA'!$D$60:$EQ$99,$B35,143)*IF($W35=1,IN35+AFC35,IN35)=1,IF(AND($E35=2,IF($W35=1,AKR35,OC35)=0),1000000000,IF($V35=1,INDEX('calcA'!$D$130:$EQ$169,$B35,143)+IF(AND($E35=1,OC35=0),25,0),IF($F35&gt;0,INDEX('calcA'!EP$110:EP$114,$F35+1)+IF(AND($E35=1,OC35=0),1000,0),MIN(TZ35,20)*400+(IF('calcA'!EO$106=1,1-IM35,0)+IF('calcA'!EP$106=1,1-IO35,0))*150+236+'calcA'!EP$5*100000+IF(AND($E35=1,OC35=0),50000,0))+IF($H35=1,INDEX('calcA'!$D$180:$EQ$219,$B35,143)*4000,0)-IF(AND('calcA'!EO$117=1,ZM35&gt;0),2000,0)-IF(AND($U35=1,'calcA'!EP$117=1,IO35=0),2000,0))),1000000000))</f>
        <v/>
      </c>
      <c r="TS35">
        <f>IF($B35=0,1000000000,IF(INDEX('calcA'!$D$60:$EQ$99,$B35,144)*IF($W35=1,IO35+AFD35,IO35)=1,IF(AND($E35=2,IF($W35=1,AKS35,OD35)=0),1000000000,IF($V35=1,INDEX('calcA'!$D$130:$EQ$169,$B35,144)+IF(AND($E35=1,OD35=0),25,0),IF($F35&gt;0,INDEX('calcA'!EQ$110:EQ$114,$F35+1)+IF(AND($E35=1,OD35=0),1000,0),MIN(TZ35,20)*400+(IF('calcA'!EP$106=1,1-IN35,0))*150+246+'calcA'!EQ$5*100000+IF(AND($E35=1,OD35=0),50000,0))+IF($H35=1,INDEX('calcA'!$D$180:$EQ$219,$B35,144)*4000,0)-IF(AND('calcA'!EP$117=1,ZN35&gt;0),2000,0))),1000000000))</f>
        <v/>
      </c>
      <c r="TU35">
        <f>TU34+IF($C34&gt;0,IF(INDEX('calcA'!$D$2:$EQ$2,$C34)=1,1,0),0)</f>
        <v/>
      </c>
      <c r="TV35">
        <f>TV34+IF($C34&gt;0,IF(INDEX('calcA'!$D$2:$EQ$2,$C34)=2,1,0),0)</f>
        <v/>
      </c>
      <c r="TW35">
        <f>TW34+IF($C34&gt;0,IF(INDEX('calcA'!$D$2:$EQ$2,$C34)=3,1,0),0)</f>
        <v/>
      </c>
      <c r="TX35">
        <f>TX34+IF($C34&gt;0,IF(INDEX('calcA'!$D$2:$EQ$2,$C34)=4,1,0),0)</f>
        <v/>
      </c>
      <c r="TY35">
        <f>TY34+IF($C34&gt;0,IF(INDEX('calcA'!$D$2:$EQ$2,$C34)=5,1,0),0)</f>
        <v/>
      </c>
      <c r="TZ35">
        <f>TZ34+IF($C34&gt;0,IF(INDEX('calcA'!$D$2:$EQ$2,$C34)=6,1,0),0)</f>
        <v/>
      </c>
      <c r="UB35">
        <f>UB34+IF(AND($C34=1,$U34=1),1,0)</f>
        <v/>
      </c>
      <c r="UC35">
        <f>UC34+IF(AND($C34=2,$U34=1),1,0)</f>
        <v/>
      </c>
      <c r="UD35">
        <f>UD34+IF(AND($C34=3,$U34=1),1,0)</f>
        <v/>
      </c>
      <c r="UE35">
        <f>UE34+IF(AND($C34=4,$U34=1),1,0)</f>
        <v/>
      </c>
      <c r="UF35">
        <f>UF34+IF(AND($C34=5,$U34=1),1,0)</f>
        <v/>
      </c>
      <c r="UG35">
        <f>UG34+IF(AND($C34=6,$U34=1),1,0)</f>
        <v/>
      </c>
      <c r="UH35">
        <f>UH34+IF(AND($C34=7,$U34=1),1,0)</f>
        <v/>
      </c>
      <c r="UI35">
        <f>UI34+IF(AND($C34=8,$U34=1),1,0)</f>
        <v/>
      </c>
      <c r="UJ35">
        <f>UJ34+IF(AND($C34=9,$U34=1),1,0)</f>
        <v/>
      </c>
      <c r="UK35">
        <f>UK34+IF(AND($C34=10,$U34=1),1,0)</f>
        <v/>
      </c>
      <c r="UL35">
        <f>UL34+IF(AND($C34=11,$U34=1),1,0)</f>
        <v/>
      </c>
      <c r="UM35">
        <f>UM34+IF(AND($C34=12,$U34=1),1,0)</f>
        <v/>
      </c>
      <c r="UN35">
        <f>UN34+IF(AND($C34=13,$U34=1),1,0)</f>
        <v/>
      </c>
      <c r="UO35">
        <f>UO34+IF(AND($C34=14,$U34=1),1,0)</f>
        <v/>
      </c>
      <c r="UP35">
        <f>UP34+IF(AND($C34=15,$U34=1),1,0)</f>
        <v/>
      </c>
      <c r="UQ35">
        <f>UQ34+IF(AND($C34=16,$U34=1),1,0)</f>
        <v/>
      </c>
      <c r="UR35">
        <f>UR34+IF(AND($C34=17,$U34=1),1,0)</f>
        <v/>
      </c>
      <c r="US35">
        <f>US34+IF(AND($C34=18,$U34=1),1,0)</f>
        <v/>
      </c>
      <c r="UT35">
        <f>UT34+IF(AND($C34=19,$U34=1),1,0)</f>
        <v/>
      </c>
      <c r="UU35">
        <f>UU34+IF(AND($C34=20,$U34=1),1,0)</f>
        <v/>
      </c>
      <c r="UV35">
        <f>UV34+IF(AND($C34=21,$U34=1),1,0)</f>
        <v/>
      </c>
      <c r="UW35">
        <f>UW34+IF(AND($C34=22,$U34=1),1,0)</f>
        <v/>
      </c>
      <c r="UX35">
        <f>UX34+IF(AND($C34=23,$U34=1),1,0)</f>
        <v/>
      </c>
      <c r="UY35">
        <f>UY34+IF(AND($C34=24,$U34=1),1,0)</f>
        <v/>
      </c>
      <c r="UZ35">
        <f>UZ34+IF(AND($C34=25,$U34=1),1,0)</f>
        <v/>
      </c>
      <c r="VA35">
        <f>VA34+IF(AND($C34=26,$U34=1),1,0)</f>
        <v/>
      </c>
      <c r="VB35">
        <f>VB34+IF(AND($C34=27,$U34=1),1,0)</f>
        <v/>
      </c>
      <c r="VC35">
        <f>VC34+IF(AND($C34=28,$U34=1),1,0)</f>
        <v/>
      </c>
      <c r="VD35">
        <f>VD34+IF(AND($C34=29,$U34=1),1,0)</f>
        <v/>
      </c>
      <c r="VE35">
        <f>VE34+IF(AND($C34=30,$U34=1),1,0)</f>
        <v/>
      </c>
      <c r="VF35">
        <f>VF34+IF(AND($C34=31,$U34=1),1,0)</f>
        <v/>
      </c>
      <c r="VG35">
        <f>VG34+IF(AND($C34=32,$U34=1),1,0)</f>
        <v/>
      </c>
      <c r="VH35">
        <f>VH34+IF(AND($C34=33,$U34=1),1,0)</f>
        <v/>
      </c>
      <c r="VI35">
        <f>VI34+IF(AND($C34=34,$U34=1),1,0)</f>
        <v/>
      </c>
      <c r="VJ35">
        <f>VJ34+IF(AND($C34=35,$U34=1),1,0)</f>
        <v/>
      </c>
      <c r="VK35">
        <f>VK34+IF(AND($C34=36,$U34=1),1,0)</f>
        <v/>
      </c>
      <c r="VL35">
        <f>VL34+IF(AND($C34=37,$U34=1),1,0)</f>
        <v/>
      </c>
      <c r="VM35">
        <f>VM34+IF(AND($C34=38,$U34=1),1,0)</f>
        <v/>
      </c>
      <c r="VN35">
        <f>VN34+IF(AND($C34=39,$U34=1),1,0)</f>
        <v/>
      </c>
      <c r="VO35">
        <f>VO34+IF(AND($C34=40,$U34=1),1,0)</f>
        <v/>
      </c>
      <c r="VP35">
        <f>VP34+IF(AND($C34=41,$U34=1),1,0)</f>
        <v/>
      </c>
      <c r="VQ35">
        <f>VQ34+IF(AND($C34=42,$U34=1),1,0)</f>
        <v/>
      </c>
      <c r="VR35">
        <f>VR34+IF(AND($C34=43,$U34=1),1,0)</f>
        <v/>
      </c>
      <c r="VS35">
        <f>VS34+IF(AND($C34=44,$U34=1),1,0)</f>
        <v/>
      </c>
      <c r="VT35">
        <f>VT34+IF(AND($C34=45,$U34=1),1,0)</f>
        <v/>
      </c>
      <c r="VU35">
        <f>VU34+IF(AND($C34=46,$U34=1),1,0)</f>
        <v/>
      </c>
      <c r="VV35">
        <f>VV34+IF(AND($C34=47,$U34=1),1,0)</f>
        <v/>
      </c>
      <c r="VW35">
        <f>VW34+IF(AND($C34=48,$U34=1),1,0)</f>
        <v/>
      </c>
      <c r="VX35">
        <f>VX34+IF(AND($C34=49,$U34=1),1,0)</f>
        <v/>
      </c>
      <c r="VY35">
        <f>VY34+IF(AND($C34=50,$U34=1),1,0)</f>
        <v/>
      </c>
      <c r="VZ35">
        <f>VZ34+IF(AND($C34=51,$U34=1),1,0)</f>
        <v/>
      </c>
      <c r="WA35">
        <f>WA34+IF(AND($C34=52,$U34=1),1,0)</f>
        <v/>
      </c>
      <c r="WB35">
        <f>WB34+IF(AND($C34=53,$U34=1),1,0)</f>
        <v/>
      </c>
      <c r="WC35">
        <f>WC34+IF(AND($C34=54,$U34=1),1,0)</f>
        <v/>
      </c>
      <c r="WD35">
        <f>WD34+IF(AND($C34=55,$U34=1),1,0)</f>
        <v/>
      </c>
      <c r="WE35">
        <f>WE34+IF(AND($C34=56,$U34=1),1,0)</f>
        <v/>
      </c>
      <c r="WF35">
        <f>WF34+IF(AND($C34=57,$U34=1),1,0)</f>
        <v/>
      </c>
      <c r="WG35">
        <f>WG34+IF(AND($C34=58,$U34=1),1,0)</f>
        <v/>
      </c>
      <c r="WH35">
        <f>WH34+IF(AND($C34=59,$U34=1),1,0)</f>
        <v/>
      </c>
      <c r="WI35">
        <f>WI34+IF(AND($C34=60,$U34=1),1,0)</f>
        <v/>
      </c>
      <c r="WJ35">
        <f>WJ34+IF(AND($C34=61,$U34=1),1,0)</f>
        <v/>
      </c>
      <c r="WK35">
        <f>WK34+IF(AND($C34=62,$U34=1),1,0)</f>
        <v/>
      </c>
      <c r="WL35">
        <f>WL34+IF(AND($C34=63,$U34=1),1,0)</f>
        <v/>
      </c>
      <c r="WM35">
        <f>WM34+IF(AND($C34=64,$U34=1),1,0)</f>
        <v/>
      </c>
      <c r="WN35">
        <f>WN34+IF(AND($C34=65,$U34=1),1,0)</f>
        <v/>
      </c>
      <c r="WO35">
        <f>WO34+IF(AND($C34=66,$U34=1),1,0)</f>
        <v/>
      </c>
      <c r="WP35">
        <f>WP34+IF(AND($C34=67,$U34=1),1,0)</f>
        <v/>
      </c>
      <c r="WQ35">
        <f>WQ34+IF(AND($C34=68,$U34=1),1,0)</f>
        <v/>
      </c>
      <c r="WR35">
        <f>WR34+IF(AND($C34=69,$U34=1),1,0)</f>
        <v/>
      </c>
      <c r="WS35">
        <f>WS34+IF(AND($C34=70,$U34=1),1,0)</f>
        <v/>
      </c>
      <c r="WT35">
        <f>WT34+IF(AND($C34=71,$U34=1),1,0)</f>
        <v/>
      </c>
      <c r="WU35">
        <f>WU34+IF(AND($C34=72,$U34=1),1,0)</f>
        <v/>
      </c>
      <c r="WV35">
        <f>WV34+IF(AND($C34=73,$U34=1),1,0)</f>
        <v/>
      </c>
      <c r="WW35">
        <f>WW34+IF(AND($C34=74,$U34=1),1,0)</f>
        <v/>
      </c>
      <c r="WX35">
        <f>WX34+IF(AND($C34=75,$U34=1),1,0)</f>
        <v/>
      </c>
      <c r="WY35">
        <f>WY34+IF(AND($C34=76,$U34=1),1,0)</f>
        <v/>
      </c>
      <c r="WZ35">
        <f>WZ34+IF(AND($C34=77,$U34=1),1,0)</f>
        <v/>
      </c>
      <c r="XA35">
        <f>XA34+IF(AND($C34=78,$U34=1),1,0)</f>
        <v/>
      </c>
      <c r="XB35">
        <f>XB34+IF(AND($C34=79,$U34=1),1,0)</f>
        <v/>
      </c>
      <c r="XC35">
        <f>XC34+IF(AND($C34=80,$U34=1),1,0)</f>
        <v/>
      </c>
      <c r="XD35">
        <f>XD34+IF(AND($C34=81,$U34=1),1,0)</f>
        <v/>
      </c>
      <c r="XE35">
        <f>XE34+IF(AND($C34=82,$U34=1),1,0)</f>
        <v/>
      </c>
      <c r="XF35">
        <f>XF34+IF(AND($C34=83,$U34=1),1,0)</f>
        <v/>
      </c>
      <c r="XG35">
        <f>XG34+IF(AND($C34=84,$U34=1),1,0)</f>
        <v/>
      </c>
      <c r="XH35">
        <f>XH34+IF(AND($C34=85,$U34=1),1,0)</f>
        <v/>
      </c>
      <c r="XI35">
        <f>XI34+IF(AND($C34=86,$U34=1),1,0)</f>
        <v/>
      </c>
      <c r="XJ35">
        <f>XJ34+IF(AND($C34=87,$U34=1),1,0)</f>
        <v/>
      </c>
      <c r="XK35">
        <f>XK34+IF(AND($C34=88,$U34=1),1,0)</f>
        <v/>
      </c>
      <c r="XL35">
        <f>XL34+IF(AND($C34=89,$U34=1),1,0)</f>
        <v/>
      </c>
      <c r="XM35">
        <f>XM34+IF(AND($C34=90,$U34=1),1,0)</f>
        <v/>
      </c>
      <c r="XN35">
        <f>XN34+IF(AND($C34=91,$U34=1),1,0)</f>
        <v/>
      </c>
      <c r="XO35">
        <f>XO34+IF(AND($C34=92,$U34=1),1,0)</f>
        <v/>
      </c>
      <c r="XP35">
        <f>XP34+IF(AND($C34=93,$U34=1),1,0)</f>
        <v/>
      </c>
      <c r="XQ35">
        <f>XQ34+IF(AND($C34=94,$U34=1),1,0)</f>
        <v/>
      </c>
      <c r="XR35">
        <f>XR34+IF(AND($C34=95,$U34=1),1,0)</f>
        <v/>
      </c>
      <c r="XS35">
        <f>XS34+IF(AND($C34=96,$U34=1),1,0)</f>
        <v/>
      </c>
      <c r="XT35">
        <f>XT34+IF(AND($C34=97,$U34=1),1,0)</f>
        <v/>
      </c>
      <c r="XU35">
        <f>XU34+IF(AND($C34=98,$U34=1),1,0)</f>
        <v/>
      </c>
      <c r="XV35">
        <f>XV34+IF(AND($C34=99,$U34=1),1,0)</f>
        <v/>
      </c>
      <c r="XW35">
        <f>XW34+IF(AND($C34=100,$U34=1),1,0)</f>
        <v/>
      </c>
      <c r="XX35">
        <f>XX34+IF(AND($C34=101,$U34=1),1,0)</f>
        <v/>
      </c>
      <c r="XY35">
        <f>XY34+IF(AND($C34=102,$U34=1),1,0)</f>
        <v/>
      </c>
      <c r="XZ35">
        <f>XZ34+IF(AND($C34=103,$U34=1),1,0)</f>
        <v/>
      </c>
      <c r="YA35">
        <f>YA34+IF(AND($C34=104,$U34=1),1,0)</f>
        <v/>
      </c>
      <c r="YB35">
        <f>YB34+IF(AND($C34=105,$U34=1),1,0)</f>
        <v/>
      </c>
      <c r="YC35">
        <f>YC34+IF(AND($C34=106,$U34=1),1,0)</f>
        <v/>
      </c>
      <c r="YD35">
        <f>YD34+IF(AND($C34=107,$U34=1),1,0)</f>
        <v/>
      </c>
      <c r="YE35">
        <f>YE34+IF(AND($C34=108,$U34=1),1,0)</f>
        <v/>
      </c>
      <c r="YF35">
        <f>YF34+IF(AND($C34=109,$U34=1),1,0)</f>
        <v/>
      </c>
      <c r="YG35">
        <f>YG34+IF(AND($C34=110,$U34=1),1,0)</f>
        <v/>
      </c>
      <c r="YH35">
        <f>YH34+IF(AND($C34=111,$U34=1),1,0)</f>
        <v/>
      </c>
      <c r="YI35">
        <f>YI34+IF(AND($C34=112,$U34=1),1,0)</f>
        <v/>
      </c>
      <c r="YJ35">
        <f>YJ34+IF(AND($C34=113,$U34=1),1,0)</f>
        <v/>
      </c>
      <c r="YK35">
        <f>YK34+IF(AND($C34=114,$U34=1),1,0)</f>
        <v/>
      </c>
      <c r="YL35">
        <f>YL34+IF(AND($C34=115,$U34=1),1,0)</f>
        <v/>
      </c>
      <c r="YM35">
        <f>YM34+IF(AND($C34=116,$U34=1),1,0)</f>
        <v/>
      </c>
      <c r="YN35">
        <f>YN34+IF(AND($C34=117,$U34=1),1,0)</f>
        <v/>
      </c>
      <c r="YO35">
        <f>YO34+IF(AND($C34=118,$U34=1),1,0)</f>
        <v/>
      </c>
      <c r="YP35">
        <f>YP34+IF(AND($C34=119,$U34=1),1,0)</f>
        <v/>
      </c>
      <c r="YQ35">
        <f>YQ34+IF(AND($C34=120,$U34=1),1,0)</f>
        <v/>
      </c>
      <c r="YR35">
        <f>YR34+IF(AND($C34=121,$U34=1),1,0)</f>
        <v/>
      </c>
      <c r="YS35">
        <f>YS34+IF(AND($C34=122,$U34=1),1,0)</f>
        <v/>
      </c>
      <c r="YT35">
        <f>YT34+IF(AND($C34=123,$U34=1),1,0)</f>
        <v/>
      </c>
      <c r="YU35">
        <f>YU34+IF(AND($C34=124,$U34=1),1,0)</f>
        <v/>
      </c>
      <c r="YV35">
        <f>YV34+IF(AND($C34=125,$U34=1),1,0)</f>
        <v/>
      </c>
      <c r="YW35">
        <f>YW34+IF(AND($C34=126,$U34=1),1,0)</f>
        <v/>
      </c>
      <c r="YX35">
        <f>YX34+IF(AND($C34=127,$U34=1),1,0)</f>
        <v/>
      </c>
      <c r="YY35">
        <f>YY34+IF(AND($C34=128,$U34=1),1,0)</f>
        <v/>
      </c>
      <c r="YZ35">
        <f>YZ34+IF(AND($C34=129,$U34=1),1,0)</f>
        <v/>
      </c>
      <c r="ZA35">
        <f>ZA34+IF(AND($C34=130,$U34=1),1,0)</f>
        <v/>
      </c>
      <c r="ZB35">
        <f>ZB34+IF(AND($C34=131,$U34=1),1,0)</f>
        <v/>
      </c>
      <c r="ZC35">
        <f>ZC34+IF(AND($C34=132,$U34=1),1,0)</f>
        <v/>
      </c>
      <c r="ZD35">
        <f>ZD34+IF(AND($C34=133,$U34=1),1,0)</f>
        <v/>
      </c>
      <c r="ZE35">
        <f>ZE34+IF(AND($C34=134,$U34=1),1,0)</f>
        <v/>
      </c>
      <c r="ZF35">
        <f>ZF34+IF(AND($C34=135,$U34=1),1,0)</f>
        <v/>
      </c>
      <c r="ZG35">
        <f>ZG34+IF(AND($C34=136,$U34=1),1,0)</f>
        <v/>
      </c>
      <c r="ZH35">
        <f>ZH34+IF(AND($C34=137,$U34=1),1,0)</f>
        <v/>
      </c>
      <c r="ZI35">
        <f>ZI34+IF(AND($C34=138,$U34=1),1,0)</f>
        <v/>
      </c>
      <c r="ZJ35">
        <f>ZJ34+IF(AND($C34=139,$U34=1),1,0)</f>
        <v/>
      </c>
      <c r="ZK35">
        <f>ZK34+IF(AND($C34=140,$U34=1),1,0)</f>
        <v/>
      </c>
      <c r="ZL35">
        <f>ZL34+IF(AND($C34=141,$U34=1),1,0)</f>
        <v/>
      </c>
      <c r="ZM35">
        <f>ZM34+IF(AND($C34=142,$U34=1),1,0)</f>
        <v/>
      </c>
      <c r="ZN35">
        <f>ZN34+IF(AND($C34=143,$U34=1),1,0)</f>
        <v/>
      </c>
      <c r="ZO35">
        <f>ZO34+IF(AND($C34=144,$U34=1),1,0)</f>
        <v/>
      </c>
      <c r="ZQ35">
        <f>IF($C34=1,0,ZQ34+IF(AND($G34=1,$E34=1),1,0))</f>
        <v/>
      </c>
      <c r="ZR35">
        <f>IF($C34=2,0,ZR34+IF(AND($G34=2,$E34=1),1,0))</f>
        <v/>
      </c>
      <c r="ZS35">
        <f>IF($C34=3,0,ZS34+IF(AND($G34=3,$E34=1),1,0))</f>
        <v/>
      </c>
      <c r="ZT35">
        <f>IF($C34=4,0,ZT34+IF(AND($G34=4,$E34=1),1,0))</f>
        <v/>
      </c>
      <c r="ZU35">
        <f>IF($C34=5,0,ZU34+IF(AND($G34=5,$E34=1),1,0))</f>
        <v/>
      </c>
      <c r="ZV35">
        <f>IF($C34=6,0,ZV34+IF(AND($G34=6,$E34=1),1,0))</f>
        <v/>
      </c>
      <c r="ZW35">
        <f>IF($C34=7,0,ZW34+IF(AND($G34=7,$E34=1),1,0))</f>
        <v/>
      </c>
      <c r="ZX35">
        <f>IF($C34=8,0,ZX34+IF(AND($G34=8,$E34=1),1,0))</f>
        <v/>
      </c>
      <c r="ZY35">
        <f>IF($C34=9,0,ZY34+IF(AND($G34=9,$E34=1),1,0))</f>
        <v/>
      </c>
      <c r="ZZ35">
        <f>IF($C34=10,0,ZZ34+IF(AND($G34=10,$E34=1),1,0))</f>
        <v/>
      </c>
      <c r="AAA35">
        <f>IF($C34=11,0,AAA34+IF(AND($G34=11,$E34=1),1,0))</f>
        <v/>
      </c>
      <c r="AAB35">
        <f>IF($C34=12,0,AAB34+IF(AND($G34=12,$E34=1),1,0))</f>
        <v/>
      </c>
      <c r="AAC35">
        <f>IF($C34=13,0,AAC34+IF(AND($G34=13,$E34=1),1,0))</f>
        <v/>
      </c>
      <c r="AAD35">
        <f>IF($C34=14,0,AAD34+IF(AND($G34=14,$E34=1),1,0))</f>
        <v/>
      </c>
      <c r="AAE35">
        <f>IF($C34=15,0,AAE34+IF(AND($G34=15,$E34=1),1,0))</f>
        <v/>
      </c>
      <c r="AAF35">
        <f>IF($C34=16,0,AAF34+IF(AND($G34=16,$E34=1),1,0))</f>
        <v/>
      </c>
      <c r="AAG35">
        <f>IF($C34=17,0,AAG34+IF(AND($G34=17,$E34=1),1,0))</f>
        <v/>
      </c>
      <c r="AAH35">
        <f>IF($C34=18,0,AAH34+IF(AND($G34=18,$E34=1),1,0))</f>
        <v/>
      </c>
      <c r="AAI35">
        <f>IF($C34=19,0,AAI34+IF(AND($G34=19,$E34=1),1,0))</f>
        <v/>
      </c>
      <c r="AAJ35">
        <f>IF($C34=20,0,AAJ34+IF(AND($G34=20,$E34=1),1,0))</f>
        <v/>
      </c>
      <c r="AAK35">
        <f>IF($C34=21,0,AAK34+IF(AND($G34=21,$E34=1),1,0))</f>
        <v/>
      </c>
      <c r="AAL35">
        <f>IF($C34=22,0,AAL34+IF(AND($G34=22,$E34=1),1,0))</f>
        <v/>
      </c>
      <c r="AAM35">
        <f>IF($C34=23,0,AAM34+IF(AND($G34=23,$E34=1),1,0))</f>
        <v/>
      </c>
      <c r="AAN35">
        <f>IF($C34=24,0,AAN34+IF(AND($G34=24,$E34=1),1,0))</f>
        <v/>
      </c>
      <c r="AAO35">
        <f>IF($C34=25,0,AAO34+IF(AND($G34=25,$E34=1),1,0))</f>
        <v/>
      </c>
      <c r="AAP35">
        <f>IF($C34=26,0,AAP34+IF(AND($G34=26,$E34=1),1,0))</f>
        <v/>
      </c>
      <c r="AAQ35">
        <f>IF($C34=27,0,AAQ34+IF(AND($G34=27,$E34=1),1,0))</f>
        <v/>
      </c>
      <c r="AAR35">
        <f>IF($C34=28,0,AAR34+IF(AND($G34=28,$E34=1),1,0))</f>
        <v/>
      </c>
      <c r="AAS35">
        <f>IF($C34=29,0,AAS34+IF(AND($G34=29,$E34=1),1,0))</f>
        <v/>
      </c>
      <c r="AAT35">
        <f>IF($C34=30,0,AAT34+IF(AND($G34=30,$E34=1),1,0))</f>
        <v/>
      </c>
      <c r="AAU35">
        <f>IF($C34=31,0,AAU34+IF(AND($G34=31,$E34=1),1,0))</f>
        <v/>
      </c>
      <c r="AAV35">
        <f>IF($C34=32,0,AAV34+IF(AND($G34=32,$E34=1),1,0))</f>
        <v/>
      </c>
      <c r="AAW35">
        <f>IF($C34=33,0,AAW34+IF(AND($G34=33,$E34=1),1,0))</f>
        <v/>
      </c>
      <c r="AAX35">
        <f>IF($C34=34,0,AAX34+IF(AND($G34=34,$E34=1),1,0))</f>
        <v/>
      </c>
      <c r="AAY35">
        <f>IF($C34=35,0,AAY34+IF(AND($G34=35,$E34=1),1,0))</f>
        <v/>
      </c>
      <c r="AAZ35">
        <f>IF($C34=36,0,AAZ34+IF(AND($G34=36,$E34=1),1,0))</f>
        <v/>
      </c>
      <c r="ABA35">
        <f>IF($C34=37,0,ABA34+IF(AND($G34=37,$E34=1),1,0))</f>
        <v/>
      </c>
      <c r="ABB35">
        <f>IF($C34=38,0,ABB34+IF(AND($G34=38,$E34=1),1,0))</f>
        <v/>
      </c>
      <c r="ABC35">
        <f>IF($C34=39,0,ABC34+IF(AND($G34=39,$E34=1),1,0))</f>
        <v/>
      </c>
      <c r="ABD35">
        <f>IF($C34=40,0,ABD34+IF(AND($G34=40,$E34=1),1,0))</f>
        <v/>
      </c>
      <c r="ABE35">
        <f>IF($C34=41,0,ABE34+IF(AND($G34=41,$E34=1),1,0))</f>
        <v/>
      </c>
      <c r="ABF35">
        <f>IF($C34=42,0,ABF34+IF(AND($G34=42,$E34=1),1,0))</f>
        <v/>
      </c>
      <c r="ABG35">
        <f>IF($C34=43,0,ABG34+IF(AND($G34=43,$E34=1),1,0))</f>
        <v/>
      </c>
      <c r="ABH35">
        <f>IF($C34=44,0,ABH34+IF(AND($G34=44,$E34=1),1,0))</f>
        <v/>
      </c>
      <c r="ABI35">
        <f>IF($C34=45,0,ABI34+IF(AND($G34=45,$E34=1),1,0))</f>
        <v/>
      </c>
      <c r="ABJ35">
        <f>IF($C34=46,0,ABJ34+IF(AND($G34=46,$E34=1),1,0))</f>
        <v/>
      </c>
      <c r="ABK35">
        <f>IF($C34=47,0,ABK34+IF(AND($G34=47,$E34=1),1,0))</f>
        <v/>
      </c>
      <c r="ABL35">
        <f>IF($C34=48,0,ABL34+IF(AND($G34=48,$E34=1),1,0))</f>
        <v/>
      </c>
      <c r="ABM35">
        <f>IF($C34=49,0,ABM34+IF(AND($G34=49,$E34=1),1,0))</f>
        <v/>
      </c>
      <c r="ABN35">
        <f>IF($C34=50,0,ABN34+IF(AND($G34=50,$E34=1),1,0))</f>
        <v/>
      </c>
      <c r="ABO35">
        <f>IF($C34=51,0,ABO34+IF(AND($G34=51,$E34=1),1,0))</f>
        <v/>
      </c>
      <c r="ABP35">
        <f>IF($C34=52,0,ABP34+IF(AND($G34=52,$E34=1),1,0))</f>
        <v/>
      </c>
      <c r="ABQ35">
        <f>IF($C34=53,0,ABQ34+IF(AND($G34=53,$E34=1),1,0))</f>
        <v/>
      </c>
      <c r="ABR35">
        <f>IF($C34=54,0,ABR34+IF(AND($G34=54,$E34=1),1,0))</f>
        <v/>
      </c>
      <c r="ABS35">
        <f>IF($C34=55,0,ABS34+IF(AND($G34=55,$E34=1),1,0))</f>
        <v/>
      </c>
      <c r="ABT35">
        <f>IF($C34=56,0,ABT34+IF(AND($G34=56,$E34=1),1,0))</f>
        <v/>
      </c>
      <c r="ABU35">
        <f>IF($C34=57,0,ABU34+IF(AND($G34=57,$E34=1),1,0))</f>
        <v/>
      </c>
      <c r="ABV35">
        <f>IF($C34=58,0,ABV34+IF(AND($G34=58,$E34=1),1,0))</f>
        <v/>
      </c>
      <c r="ABW35">
        <f>IF($C34=59,0,ABW34+IF(AND($G34=59,$E34=1),1,0))</f>
        <v/>
      </c>
      <c r="ABX35">
        <f>IF($C34=60,0,ABX34+IF(AND($G34=60,$E34=1),1,0))</f>
        <v/>
      </c>
      <c r="ABY35">
        <f>IF($C34=61,0,ABY34+IF(AND($G34=61,$E34=1),1,0))</f>
        <v/>
      </c>
      <c r="ABZ35">
        <f>IF($C34=62,0,ABZ34+IF(AND($G34=62,$E34=1),1,0))</f>
        <v/>
      </c>
      <c r="ACA35">
        <f>IF($C34=63,0,ACA34+IF(AND($G34=63,$E34=1),1,0))</f>
        <v/>
      </c>
      <c r="ACB35">
        <f>IF($C34=64,0,ACB34+IF(AND($G34=64,$E34=1),1,0))</f>
        <v/>
      </c>
      <c r="ACC35">
        <f>IF($C34=65,0,ACC34+IF(AND($G34=65,$E34=1),1,0))</f>
        <v/>
      </c>
      <c r="ACD35">
        <f>IF($C34=66,0,ACD34+IF(AND($G34=66,$E34=1),1,0))</f>
        <v/>
      </c>
      <c r="ACE35">
        <f>IF($C34=67,0,ACE34+IF(AND($G34=67,$E34=1),1,0))</f>
        <v/>
      </c>
      <c r="ACF35">
        <f>IF($C34=68,0,ACF34+IF(AND($G34=68,$E34=1),1,0))</f>
        <v/>
      </c>
      <c r="ACG35">
        <f>IF($C34=69,0,ACG34+IF(AND($G34=69,$E34=1),1,0))</f>
        <v/>
      </c>
      <c r="ACH35">
        <f>IF($C34=70,0,ACH34+IF(AND($G34=70,$E34=1),1,0))</f>
        <v/>
      </c>
      <c r="ACI35">
        <f>IF($C34=71,0,ACI34+IF(AND($G34=71,$E34=1),1,0))</f>
        <v/>
      </c>
      <c r="ACJ35">
        <f>IF($C34=72,0,ACJ34+IF(AND($G34=72,$E34=1),1,0))</f>
        <v/>
      </c>
      <c r="ACK35">
        <f>IF($C34=73,0,ACK34+IF(AND($G34=73,$E34=1),1,0))</f>
        <v/>
      </c>
      <c r="ACL35">
        <f>IF($C34=74,0,ACL34+IF(AND($G34=74,$E34=1),1,0))</f>
        <v/>
      </c>
      <c r="ACM35">
        <f>IF($C34=75,0,ACM34+IF(AND($G34=75,$E34=1),1,0))</f>
        <v/>
      </c>
      <c r="ACN35">
        <f>IF($C34=76,0,ACN34+IF(AND($G34=76,$E34=1),1,0))</f>
        <v/>
      </c>
      <c r="ACO35">
        <f>IF($C34=77,0,ACO34+IF(AND($G34=77,$E34=1),1,0))</f>
        <v/>
      </c>
      <c r="ACP35">
        <f>IF($C34=78,0,ACP34+IF(AND($G34=78,$E34=1),1,0))</f>
        <v/>
      </c>
      <c r="ACQ35">
        <f>IF($C34=79,0,ACQ34+IF(AND($G34=79,$E34=1),1,0))</f>
        <v/>
      </c>
      <c r="ACR35">
        <f>IF($C34=80,0,ACR34+IF(AND($G34=80,$E34=1),1,0))</f>
        <v/>
      </c>
      <c r="ACS35">
        <f>IF($C34=81,0,ACS34+IF(AND($G34=81,$E34=1),1,0))</f>
        <v/>
      </c>
      <c r="ACT35">
        <f>IF($C34=82,0,ACT34+IF(AND($G34=82,$E34=1),1,0))</f>
        <v/>
      </c>
      <c r="ACU35">
        <f>IF($C34=83,0,ACU34+IF(AND($G34=83,$E34=1),1,0))</f>
        <v/>
      </c>
      <c r="ACV35">
        <f>IF($C34=84,0,ACV34+IF(AND($G34=84,$E34=1),1,0))</f>
        <v/>
      </c>
      <c r="ACW35">
        <f>IF($C34=85,0,ACW34+IF(AND($G34=85,$E34=1),1,0))</f>
        <v/>
      </c>
      <c r="ACX35">
        <f>IF($C34=86,0,ACX34+IF(AND($G34=86,$E34=1),1,0))</f>
        <v/>
      </c>
      <c r="ACY35">
        <f>IF($C34=87,0,ACY34+IF(AND($G34=87,$E34=1),1,0))</f>
        <v/>
      </c>
      <c r="ACZ35">
        <f>IF($C34=88,0,ACZ34+IF(AND($G34=88,$E34=1),1,0))</f>
        <v/>
      </c>
      <c r="ADA35">
        <f>IF($C34=89,0,ADA34+IF(AND($G34=89,$E34=1),1,0))</f>
        <v/>
      </c>
      <c r="ADB35">
        <f>IF($C34=90,0,ADB34+IF(AND($G34=90,$E34=1),1,0))</f>
        <v/>
      </c>
      <c r="ADC35">
        <f>IF($C34=91,0,ADC34+IF(AND($G34=91,$E34=1),1,0))</f>
        <v/>
      </c>
      <c r="ADD35">
        <f>IF($C34=92,0,ADD34+IF(AND($G34=92,$E34=1),1,0))</f>
        <v/>
      </c>
      <c r="ADE35">
        <f>IF($C34=93,0,ADE34+IF(AND($G34=93,$E34=1),1,0))</f>
        <v/>
      </c>
      <c r="ADF35">
        <f>IF($C34=94,0,ADF34+IF(AND($G34=94,$E34=1),1,0))</f>
        <v/>
      </c>
      <c r="ADG35">
        <f>IF($C34=95,0,ADG34+IF(AND($G34=95,$E34=1),1,0))</f>
        <v/>
      </c>
      <c r="ADH35">
        <f>IF($C34=96,0,ADH34+IF(AND($G34=96,$E34=1),1,0))</f>
        <v/>
      </c>
      <c r="ADI35">
        <f>IF($C34=97,0,ADI34+IF(AND($G34=97,$E34=1),1,0))</f>
        <v/>
      </c>
      <c r="ADJ35">
        <f>IF($C34=98,0,ADJ34+IF(AND($G34=98,$E34=1),1,0))</f>
        <v/>
      </c>
      <c r="ADK35">
        <f>IF($C34=99,0,ADK34+IF(AND($G34=99,$E34=1),1,0))</f>
        <v/>
      </c>
      <c r="ADL35">
        <f>IF($C34=100,0,ADL34+IF(AND($G34=100,$E34=1),1,0))</f>
        <v/>
      </c>
      <c r="ADM35">
        <f>IF($C34=101,0,ADM34+IF(AND($G34=101,$E34=1),1,0))</f>
        <v/>
      </c>
      <c r="ADN35">
        <f>IF($C34=102,0,ADN34+IF(AND($G34=102,$E34=1),1,0))</f>
        <v/>
      </c>
      <c r="ADO35">
        <f>IF($C34=103,0,ADO34+IF(AND($G34=103,$E34=1),1,0))</f>
        <v/>
      </c>
      <c r="ADP35">
        <f>IF($C34=104,0,ADP34+IF(AND($G34=104,$E34=1),1,0))</f>
        <v/>
      </c>
      <c r="ADQ35">
        <f>IF($C34=105,0,ADQ34+IF(AND($G34=105,$E34=1),1,0))</f>
        <v/>
      </c>
      <c r="ADR35">
        <f>IF($C34=106,0,ADR34+IF(AND($G34=106,$E34=1),1,0))</f>
        <v/>
      </c>
      <c r="ADS35">
        <f>IF($C34=107,0,ADS34+IF(AND($G34=107,$E34=1),1,0))</f>
        <v/>
      </c>
      <c r="ADT35">
        <f>IF($C34=108,0,ADT34+IF(AND($G34=108,$E34=1),1,0))</f>
        <v/>
      </c>
      <c r="ADU35">
        <f>IF($C34=109,0,ADU34+IF(AND($G34=109,$E34=1),1,0))</f>
        <v/>
      </c>
      <c r="ADV35">
        <f>IF($C34=110,0,ADV34+IF(AND($G34=110,$E34=1),1,0))</f>
        <v/>
      </c>
      <c r="ADW35">
        <f>IF($C34=111,0,ADW34+IF(AND($G34=111,$E34=1),1,0))</f>
        <v/>
      </c>
      <c r="ADX35">
        <f>IF($C34=112,0,ADX34+IF(AND($G34=112,$E34=1),1,0))</f>
        <v/>
      </c>
      <c r="ADY35">
        <f>IF($C34=113,0,ADY34+IF(AND($G34=113,$E34=1),1,0))</f>
        <v/>
      </c>
      <c r="ADZ35">
        <f>IF($C34=114,0,ADZ34+IF(AND($G34=114,$E34=1),1,0))</f>
        <v/>
      </c>
      <c r="AEA35">
        <f>IF($C34=115,0,AEA34+IF(AND($G34=115,$E34=1),1,0))</f>
        <v/>
      </c>
      <c r="AEB35">
        <f>IF($C34=116,0,AEB34+IF(AND($G34=116,$E34=1),1,0))</f>
        <v/>
      </c>
      <c r="AEC35">
        <f>IF($C34=117,0,AEC34+IF(AND($G34=117,$E34=1),1,0))</f>
        <v/>
      </c>
      <c r="AED35">
        <f>IF($C34=118,0,AED34+IF(AND($G34=118,$E34=1),1,0))</f>
        <v/>
      </c>
      <c r="AEE35">
        <f>IF($C34=119,0,AEE34+IF(AND($G34=119,$E34=1),1,0))</f>
        <v/>
      </c>
      <c r="AEF35">
        <f>IF($C34=120,0,AEF34+IF(AND($G34=120,$E34=1),1,0))</f>
        <v/>
      </c>
      <c r="AEG35">
        <f>IF($C34=121,0,AEG34+IF(AND($G34=121,$E34=1),1,0))</f>
        <v/>
      </c>
      <c r="AEH35">
        <f>IF($C34=122,0,AEH34+IF(AND($G34=122,$E34=1),1,0))</f>
        <v/>
      </c>
      <c r="AEI35">
        <f>IF($C34=123,0,AEI34+IF(AND($G34=123,$E34=1),1,0))</f>
        <v/>
      </c>
      <c r="AEJ35">
        <f>IF($C34=124,0,AEJ34+IF(AND($G34=124,$E34=1),1,0))</f>
        <v/>
      </c>
      <c r="AEK35">
        <f>IF($C34=125,0,AEK34+IF(AND($G34=125,$E34=1),1,0))</f>
        <v/>
      </c>
      <c r="AEL35">
        <f>IF($C34=126,0,AEL34+IF(AND($G34=126,$E34=1),1,0))</f>
        <v/>
      </c>
      <c r="AEM35">
        <f>IF($C34=127,0,AEM34+IF(AND($G34=127,$E34=1),1,0))</f>
        <v/>
      </c>
      <c r="AEN35">
        <f>IF($C34=128,0,AEN34+IF(AND($G34=128,$E34=1),1,0))</f>
        <v/>
      </c>
      <c r="AEO35">
        <f>IF($C34=129,0,AEO34+IF(AND($G34=129,$E34=1),1,0))</f>
        <v/>
      </c>
      <c r="AEP35">
        <f>IF($C34=130,0,AEP34+IF(AND($G34=130,$E34=1),1,0))</f>
        <v/>
      </c>
      <c r="AEQ35">
        <f>IF($C34=131,0,AEQ34+IF(AND($G34=131,$E34=1),1,0))</f>
        <v/>
      </c>
      <c r="AER35">
        <f>IF($C34=132,0,AER34+IF(AND($G34=132,$E34=1),1,0))</f>
        <v/>
      </c>
      <c r="AES35">
        <f>IF($C34=133,0,AES34+IF(AND($G34=133,$E34=1),1,0))</f>
        <v/>
      </c>
      <c r="AET35">
        <f>IF($C34=134,0,AET34+IF(AND($G34=134,$E34=1),1,0))</f>
        <v/>
      </c>
      <c r="AEU35">
        <f>IF($C34=135,0,AEU34+IF(AND($G34=135,$E34=1),1,0))</f>
        <v/>
      </c>
      <c r="AEV35">
        <f>IF($C34=136,0,AEV34+IF(AND($G34=136,$E34=1),1,0))</f>
        <v/>
      </c>
      <c r="AEW35">
        <f>IF($C34=137,0,AEW34+IF(AND($G34=137,$E34=1),1,0))</f>
        <v/>
      </c>
      <c r="AEX35">
        <f>IF($C34=138,0,AEX34+IF(AND($G34=138,$E34=1),1,0))</f>
        <v/>
      </c>
      <c r="AEY35">
        <f>IF($C34=139,0,AEY34+IF(AND($G34=139,$E34=1),1,0))</f>
        <v/>
      </c>
      <c r="AEZ35">
        <f>IF($C34=140,0,AEZ34+IF(AND($G34=140,$E34=1),1,0))</f>
        <v/>
      </c>
      <c r="AFA35">
        <f>IF($C34=141,0,AFA34+IF(AND($G34=141,$E34=1),1,0))</f>
        <v/>
      </c>
      <c r="AFB35">
        <f>IF($C34=142,0,AFB34+IF(AND($G34=142,$E34=1),1,0))</f>
        <v/>
      </c>
      <c r="AFC35">
        <f>IF($C34=143,0,AFC34+IF(AND($G34=143,$E34=1),1,0))</f>
        <v/>
      </c>
      <c r="AFD35">
        <f>IF($C34=144,0,AFD34+IF(AND($G34=144,$E34=1),1,0))</f>
        <v/>
      </c>
      <c r="AFF35">
        <f>IF('calcA'!D$106=1,DC35+ZR35,1)</f>
        <v/>
      </c>
      <c r="AFG35">
        <f>IF('calcA'!E$106=1,DD35+ZS35,1)</f>
        <v/>
      </c>
      <c r="AFH35">
        <f>IF('calcA'!F$106=1,DE35+ZT35,1)</f>
        <v/>
      </c>
      <c r="AFI35">
        <f>IF('calcA'!G$106=1,DF35+ZU35,1)</f>
        <v/>
      </c>
      <c r="AFJ35">
        <f>IF('calcA'!H$106=1,DG35+ZV35,1)</f>
        <v/>
      </c>
      <c r="AFK35">
        <f>IF('calcA'!I$106=1,DH35+ZW35,1)</f>
        <v/>
      </c>
      <c r="AFL35">
        <f>IF('calcA'!J$106=1,DI35+ZX35,1)</f>
        <v/>
      </c>
      <c r="AFM35">
        <f>IF('calcA'!K$106=1,DJ35+ZY35,1)</f>
        <v/>
      </c>
      <c r="AFN35">
        <f>IF('calcA'!L$106=1,DK35+ZZ35,1)</f>
        <v/>
      </c>
      <c r="AFO35">
        <f>IF('calcA'!M$106=1,DL35+AAA35,1)</f>
        <v/>
      </c>
      <c r="AFP35">
        <f>IF('calcA'!N$106=1,DM35+AAB35,1)</f>
        <v/>
      </c>
      <c r="AFQ35">
        <f>IF('calcA'!O$106=1,DN35+AAC35,1)</f>
        <v/>
      </c>
      <c r="AFR35">
        <f>IF('calcA'!P$106=1,DO35+AAD35,1)</f>
        <v/>
      </c>
      <c r="AFS35">
        <f>IF('calcA'!Q$106=1,DP35+AAE35,1)</f>
        <v/>
      </c>
      <c r="AFT35">
        <f>IF('calcA'!R$106=1,DQ35+AAF35,1)</f>
        <v/>
      </c>
      <c r="AFU35">
        <f>IF('calcA'!S$106=1,DR35+AAG35,1)</f>
        <v/>
      </c>
      <c r="AFV35">
        <f>IF('calcA'!T$106=1,DS35+AAH35,1)</f>
        <v/>
      </c>
      <c r="AFW35">
        <f>IF('calcA'!U$106=1,DT35+AAI35,1)</f>
        <v/>
      </c>
      <c r="AFX35">
        <f>IF('calcA'!V$106=1,DU35+AAJ35,1)</f>
        <v/>
      </c>
      <c r="AFY35">
        <f>IF('calcA'!W$106=1,DV35+AAK35,1)</f>
        <v/>
      </c>
      <c r="AFZ35">
        <f>IF('calcA'!X$106=1,DW35+AAL35,1)</f>
        <v/>
      </c>
      <c r="AGA35">
        <f>IF('calcA'!Y$106=1,DX35+AAM35,1)</f>
        <v/>
      </c>
      <c r="AGB35">
        <f>IF('calcA'!Z$106=1,DY35+AAN35,1)</f>
        <v/>
      </c>
      <c r="AGC35">
        <f>IF('calcA'!AA$106=1,DZ35+AAO35,1)</f>
        <v/>
      </c>
      <c r="AGD35">
        <f>IF('calcA'!AB$106=1,EA35+AAP35,1)</f>
        <v/>
      </c>
      <c r="AGE35">
        <f>IF('calcA'!AC$106=1,EB35+AAQ35,1)</f>
        <v/>
      </c>
      <c r="AGF35">
        <f>IF('calcA'!AD$106=1,EC35+AAR35,1)</f>
        <v/>
      </c>
      <c r="AGG35">
        <f>IF('calcA'!AE$106=1,ED35+AAS35,1)</f>
        <v/>
      </c>
      <c r="AGH35">
        <f>IF('calcA'!AF$106=1,EE35+AAT35,1)</f>
        <v/>
      </c>
      <c r="AGI35">
        <f>IF('calcA'!AG$106=1,EF35+AAU35,1)</f>
        <v/>
      </c>
      <c r="AGJ35">
        <f>IF('calcA'!AH$106=1,EG35+AAV35,1)</f>
        <v/>
      </c>
      <c r="AGK35">
        <f>IF('calcA'!AI$106=1,EH35+AAW35,1)</f>
        <v/>
      </c>
      <c r="AGL35">
        <f>IF('calcA'!AJ$106=1,EI35+AAX35,1)</f>
        <v/>
      </c>
      <c r="AGM35">
        <f>IF('calcA'!AK$106=1,EJ35+AAY35,1)</f>
        <v/>
      </c>
      <c r="AGN35">
        <f>IF('calcA'!AL$106=1,EK35+AAZ35,1)</f>
        <v/>
      </c>
      <c r="AGO35">
        <f>IF('calcA'!AM$106=1,EL35+ABA35,1)</f>
        <v/>
      </c>
      <c r="AGP35">
        <f>IF('calcA'!AN$106=1,EM35+ABB35,1)</f>
        <v/>
      </c>
      <c r="AGQ35">
        <f>IF('calcA'!AO$106=1,EN35+ABC35,1)</f>
        <v/>
      </c>
      <c r="AGR35">
        <f>IF('calcA'!AP$106=1,EO35+ABD35,1)</f>
        <v/>
      </c>
      <c r="AGS35">
        <f>IF('calcA'!AQ$106=1,EP35+ABE35,1)</f>
        <v/>
      </c>
      <c r="AGT35">
        <f>IF('calcA'!AR$106=1,EQ35+ABF35,1)</f>
        <v/>
      </c>
      <c r="AGU35">
        <f>IF('calcA'!AS$106=1,ER35+ABG35,1)</f>
        <v/>
      </c>
      <c r="AGV35">
        <f>IF('calcA'!AT$106=1,ES35+ABH35,1)</f>
        <v/>
      </c>
      <c r="AGW35">
        <f>IF('calcA'!AU$106=1,ET35+ABI35,1)</f>
        <v/>
      </c>
      <c r="AGX35">
        <f>IF('calcA'!AV$106=1,EU35+ABJ35,1)</f>
        <v/>
      </c>
      <c r="AGY35">
        <f>IF('calcA'!AW$106=1,EV35+ABK35,1)</f>
        <v/>
      </c>
      <c r="AGZ35">
        <f>IF('calcA'!AX$106=1,EW35+ABL35,1)</f>
        <v/>
      </c>
      <c r="AHA35">
        <f>IF('calcA'!AY$106=1,EX35+ABM35,1)</f>
        <v/>
      </c>
      <c r="AHB35">
        <f>IF('calcA'!AZ$106=1,EY35+ABN35,1)</f>
        <v/>
      </c>
      <c r="AHC35">
        <f>IF('calcA'!BA$106=1,EZ35+ABO35,1)</f>
        <v/>
      </c>
      <c r="AHD35">
        <f>IF('calcA'!BB$106=1,FA35+ABP35,1)</f>
        <v/>
      </c>
      <c r="AHE35">
        <f>IF('calcA'!BC$106=1,FB35+ABQ35,1)</f>
        <v/>
      </c>
      <c r="AHF35">
        <f>IF('calcA'!BD$106=1,FC35+ABR35,1)</f>
        <v/>
      </c>
      <c r="AHG35">
        <f>IF('calcA'!BE$106=1,FD35+ABS35,1)</f>
        <v/>
      </c>
      <c r="AHH35">
        <f>IF('calcA'!BF$106=1,FE35+ABT35,1)</f>
        <v/>
      </c>
      <c r="AHI35">
        <f>IF('calcA'!BG$106=1,FF35+ABU35,1)</f>
        <v/>
      </c>
      <c r="AHJ35">
        <f>IF('calcA'!BH$106=1,FG35+ABV35,1)</f>
        <v/>
      </c>
      <c r="AHK35">
        <f>IF('calcA'!BI$106=1,FH35+ABW35,1)</f>
        <v/>
      </c>
      <c r="AHL35">
        <f>IF('calcA'!BJ$106=1,FI35+ABX35,1)</f>
        <v/>
      </c>
      <c r="AHM35">
        <f>IF('calcA'!BK$106=1,FJ35+ABY35,1)</f>
        <v/>
      </c>
      <c r="AHN35">
        <f>IF('calcA'!BL$106=1,FK35+ABZ35,1)</f>
        <v/>
      </c>
      <c r="AHO35">
        <f>IF('calcA'!BM$106=1,FL35+ACA35,1)</f>
        <v/>
      </c>
      <c r="AHP35">
        <f>IF('calcA'!BN$106=1,FM35+ACB35,1)</f>
        <v/>
      </c>
      <c r="AHQ35">
        <f>IF('calcA'!BO$106=1,FN35+ACC35,1)</f>
        <v/>
      </c>
      <c r="AHR35">
        <f>IF('calcA'!BP$106=1,FO35+ACD35,1)</f>
        <v/>
      </c>
      <c r="AHS35">
        <f>IF('calcA'!BQ$106=1,FP35+ACE35,1)</f>
        <v/>
      </c>
      <c r="AHT35">
        <f>IF('calcA'!BR$106=1,FQ35+ACF35,1)</f>
        <v/>
      </c>
      <c r="AHU35">
        <f>IF('calcA'!BS$106=1,FR35+ACG35,1)</f>
        <v/>
      </c>
      <c r="AHV35">
        <f>IF('calcA'!BT$106=1,FS35+ACH35,1)</f>
        <v/>
      </c>
      <c r="AHW35">
        <f>IF('calcA'!BU$106=1,FT35+ACI35,1)</f>
        <v/>
      </c>
      <c r="AHX35">
        <f>IF('calcA'!BV$106=1,FU35+ACJ35,1)</f>
        <v/>
      </c>
      <c r="AHY35">
        <f>IF('calcA'!BW$106=1,FV35+ACK35,1)</f>
        <v/>
      </c>
      <c r="AHZ35">
        <f>IF('calcA'!BX$106=1,FW35+ACL35,1)</f>
        <v/>
      </c>
      <c r="AIA35">
        <f>IF('calcA'!BY$106=1,FX35+ACM35,1)</f>
        <v/>
      </c>
      <c r="AIB35">
        <f>IF('calcA'!BZ$106=1,FY35+ACN35,1)</f>
        <v/>
      </c>
      <c r="AIC35">
        <f>IF('calcA'!CA$106=1,FZ35+ACO35,1)</f>
        <v/>
      </c>
      <c r="AID35">
        <f>IF('calcA'!CB$106=1,GA35+ACP35,1)</f>
        <v/>
      </c>
      <c r="AIE35">
        <f>IF('calcA'!CC$106=1,GB35+ACQ35,1)</f>
        <v/>
      </c>
      <c r="AIF35">
        <f>IF('calcA'!CD$106=1,GC35+ACR35,1)</f>
        <v/>
      </c>
      <c r="AIG35">
        <f>IF('calcA'!CE$106=1,GD35+ACS35,1)</f>
        <v/>
      </c>
      <c r="AIH35">
        <f>IF('calcA'!CF$106=1,GE35+ACT35,1)</f>
        <v/>
      </c>
      <c r="AII35">
        <f>IF('calcA'!CG$106=1,GF35+ACU35,1)</f>
        <v/>
      </c>
      <c r="AIJ35">
        <f>IF('calcA'!CH$106=1,GG35+ACV35,1)</f>
        <v/>
      </c>
      <c r="AIK35">
        <f>IF('calcA'!CI$106=1,GH35+ACW35,1)</f>
        <v/>
      </c>
      <c r="AIL35">
        <f>IF('calcA'!CJ$106=1,GI35+ACX35,1)</f>
        <v/>
      </c>
      <c r="AIM35">
        <f>IF('calcA'!CK$106=1,GJ35+ACY35,1)</f>
        <v/>
      </c>
      <c r="AIN35">
        <f>IF('calcA'!CL$106=1,GK35+ACZ35,1)</f>
        <v/>
      </c>
      <c r="AIO35">
        <f>IF('calcA'!CM$106=1,GL35+ADA35,1)</f>
        <v/>
      </c>
      <c r="AIP35">
        <f>IF('calcA'!CN$106=1,GM35+ADB35,1)</f>
        <v/>
      </c>
      <c r="AIQ35">
        <f>IF('calcA'!CO$106=1,GN35+ADC35,1)</f>
        <v/>
      </c>
      <c r="AIR35">
        <f>IF('calcA'!CP$106=1,GO35+ADD35,1)</f>
        <v/>
      </c>
      <c r="AIS35">
        <f>IF('calcA'!CQ$106=1,GP35+ADE35,1)</f>
        <v/>
      </c>
      <c r="AIT35">
        <f>IF('calcA'!CR$106=1,GQ35+ADF35,1)</f>
        <v/>
      </c>
      <c r="AIU35">
        <f>IF('calcA'!CS$106=1,GR35+ADG35,1)</f>
        <v/>
      </c>
      <c r="AIV35">
        <f>IF('calcA'!CT$106=1,GS35+ADH35,1)</f>
        <v/>
      </c>
      <c r="AIW35">
        <f>IF('calcA'!CU$106=1,GT35+ADI35,1)</f>
        <v/>
      </c>
      <c r="AIX35">
        <f>IF('calcA'!CV$106=1,GU35+ADJ35,1)</f>
        <v/>
      </c>
      <c r="AIY35">
        <f>IF('calcA'!CW$106=1,GV35+ADK35,1)</f>
        <v/>
      </c>
      <c r="AIZ35">
        <f>IF('calcA'!CX$106=1,GW35+ADL35,1)</f>
        <v/>
      </c>
      <c r="AJA35">
        <f>IF('calcA'!CY$106=1,GX35+ADM35,1)</f>
        <v/>
      </c>
      <c r="AJB35">
        <f>IF('calcA'!CZ$106=1,GY35+ADN35,1)</f>
        <v/>
      </c>
      <c r="AJC35">
        <f>IF('calcA'!DA$106=1,GZ35+ADO35,1)</f>
        <v/>
      </c>
      <c r="AJD35">
        <f>IF('calcA'!DB$106=1,HA35+ADP35,1)</f>
        <v/>
      </c>
      <c r="AJE35">
        <f>IF('calcA'!DC$106=1,HB35+ADQ35,1)</f>
        <v/>
      </c>
      <c r="AJF35">
        <f>IF('calcA'!DD$106=1,HC35+ADR35,1)</f>
        <v/>
      </c>
      <c r="AJG35">
        <f>IF('calcA'!DE$106=1,HD35+ADS35,1)</f>
        <v/>
      </c>
      <c r="AJH35">
        <f>IF('calcA'!DF$106=1,HE35+ADT35,1)</f>
        <v/>
      </c>
      <c r="AJI35">
        <f>IF('calcA'!DG$106=1,HF35+ADU35,1)</f>
        <v/>
      </c>
      <c r="AJJ35">
        <f>IF('calcA'!DH$106=1,HG35+ADV35,1)</f>
        <v/>
      </c>
      <c r="AJK35">
        <f>IF('calcA'!DI$106=1,HH35+ADW35,1)</f>
        <v/>
      </c>
      <c r="AJL35">
        <f>IF('calcA'!DJ$106=1,HI35+ADX35,1)</f>
        <v/>
      </c>
      <c r="AJM35">
        <f>IF('calcA'!DK$106=1,HJ35+ADY35,1)</f>
        <v/>
      </c>
      <c r="AJN35">
        <f>IF('calcA'!DL$106=1,HK35+ADZ35,1)</f>
        <v/>
      </c>
      <c r="AJO35">
        <f>IF('calcA'!DM$106=1,HL35+AEA35,1)</f>
        <v/>
      </c>
      <c r="AJP35">
        <f>IF('calcA'!DN$106=1,HM35+AEB35,1)</f>
        <v/>
      </c>
      <c r="AJQ35">
        <f>IF('calcA'!DO$106=1,HN35+AEC35,1)</f>
        <v/>
      </c>
      <c r="AJR35">
        <f>IF('calcA'!DP$106=1,HO35+AED35,1)</f>
        <v/>
      </c>
      <c r="AJS35">
        <f>IF('calcA'!DQ$106=1,HP35+AEE35,1)</f>
        <v/>
      </c>
      <c r="AJT35">
        <f>IF('calcA'!DR$106=1,HQ35+AEF35,1)</f>
        <v/>
      </c>
      <c r="AJU35">
        <f>IF('calcA'!DS$106=1,HR35+AEG35,1)</f>
        <v/>
      </c>
      <c r="AJV35">
        <f>IF('calcA'!DT$106=1,HS35+AEH35,1)</f>
        <v/>
      </c>
      <c r="AJW35">
        <f>IF('calcA'!DU$106=1,HT35+AEI35,1)</f>
        <v/>
      </c>
      <c r="AJX35">
        <f>IF('calcA'!DV$106=1,HU35+AEJ35,1)</f>
        <v/>
      </c>
      <c r="AJY35">
        <f>IF('calcA'!DW$106=1,HV35+AEK35,1)</f>
        <v/>
      </c>
      <c r="AJZ35">
        <f>IF('calcA'!DX$106=1,HW35+AEL35,1)</f>
        <v/>
      </c>
      <c r="AKA35">
        <f>IF('calcA'!DY$106=1,HX35+AEM35,1)</f>
        <v/>
      </c>
      <c r="AKB35">
        <f>IF('calcA'!DZ$106=1,HY35+AEN35,1)</f>
        <v/>
      </c>
      <c r="AKC35">
        <f>IF('calcA'!EA$106=1,HZ35+AEO35,1)</f>
        <v/>
      </c>
      <c r="AKD35">
        <f>IF('calcA'!EB$106=1,IA35+AEP35,1)</f>
        <v/>
      </c>
      <c r="AKE35">
        <f>IF('calcA'!EC$106=1,IB35+AEQ35,1)</f>
        <v/>
      </c>
      <c r="AKF35">
        <f>IF('calcA'!ED$106=1,IC35+AER35,1)</f>
        <v/>
      </c>
      <c r="AKG35">
        <f>IF('calcA'!EE$106=1,ID35+AES35,1)</f>
        <v/>
      </c>
      <c r="AKH35">
        <f>IF('calcA'!EF$106=1,IE35+AET35,1)</f>
        <v/>
      </c>
      <c r="AKI35">
        <f>IF('calcA'!EG$106=1,IF35+AEU35,1)</f>
        <v/>
      </c>
      <c r="AKJ35">
        <f>IF('calcA'!EH$106=1,IG35+AEV35,1)</f>
        <v/>
      </c>
      <c r="AKK35">
        <f>IF('calcA'!EI$106=1,IH35+AEW35,1)</f>
        <v/>
      </c>
      <c r="AKL35">
        <f>IF('calcA'!EJ$106=1,II35+AEX35,1)</f>
        <v/>
      </c>
      <c r="AKM35">
        <f>IF('calcA'!EK$106=1,IJ35+AEY35,1)</f>
        <v/>
      </c>
      <c r="AKN35">
        <f>IF('calcA'!EL$106=1,IK35+AEZ35,1)</f>
        <v/>
      </c>
      <c r="AKO35">
        <f>IF('calcA'!EM$106=1,IL35+AFA35,1)</f>
        <v/>
      </c>
      <c r="AKP35">
        <f>IF('calcA'!EN$106=1,IM35+AFB35,1)</f>
        <v/>
      </c>
      <c r="AKQ35">
        <f>IF('calcA'!EO$106=1,IN35+AFC35,1)</f>
        <v/>
      </c>
      <c r="AKR35">
        <f>IF('calcA'!EP$106=1,IO35+AFD35,1)</f>
        <v/>
      </c>
      <c r="AKS35" t="n">
        <v>1</v>
      </c>
    </row>
    <row r="36">
      <c r="A36" t="n">
        <v>34</v>
      </c>
      <c r="B36">
        <f>IF(MIN(BM36:CZ36)&gt;=1000000000,0,MATCH(MIN(BM36:CZ36),BM36:CZ36,0))</f>
        <v/>
      </c>
      <c r="C36">
        <f>IF(MIN(OF36:TS36)&gt;=1000000000,0,MATCH(MIN(OF36:TS36),OF36:TS36,0))</f>
        <v/>
      </c>
      <c r="D36">
        <f>IF(C36&gt;0,INDEX('calcA'!$D$5:$EQ$5,C36),0)</f>
        <v/>
      </c>
      <c r="E36">
        <f>IF(B36=0,0,INDEX('calcA'!$IQ$10:$IQ$54,B36))</f>
        <v/>
      </c>
      <c r="F36">
        <f>IF(B36=0,0,INDEX('calcA'!$IP$10:$IP$54,B36))</f>
        <v/>
      </c>
      <c r="G36">
        <f>IF(AND(C36&gt;0,E36&gt;0),IF(AND(INDEX('calcA'!$D$106:$EQ$106,C36)=1,INDEX($IQ36:$OD36,C36)=1),C36+1,0),0)</f>
        <v/>
      </c>
      <c r="H36">
        <f>IF(B36=0,0,INDEX('calcA'!$IW$10:$IW$54,B36))</f>
        <v/>
      </c>
      <c r="U36">
        <f>IF(B36=0,0,INDEX('calcA'!$IX$10:$IX$54,B36))</f>
        <v/>
      </c>
      <c r="V36">
        <f>IF(B36=0,0,INDEX('calcA'!$JF$10:$JF$54,B36))</f>
        <v/>
      </c>
      <c r="W36">
        <f>IF(B36=0,0,IF(IF(E36=2,SUMPRODUCT(INDEX('calcA'!$D$60:$EQ$99,B36,0),$DB36:$IO36,$IQ36:$OD36),SUMPRODUCT(INDEX('calcA'!$D$60:$EQ$99,B36,0),$DB36:$IO36))=0,1,0))</f>
        <v/>
      </c>
      <c r="X36">
        <f>MAX(X35,IF($B35=1,1,0))</f>
        <v/>
      </c>
      <c r="Y36">
        <f>MAX(Y35,IF($B35=2,1,0))</f>
        <v/>
      </c>
      <c r="Z36">
        <f>MAX(Z35,IF($B35=3,1,0))</f>
        <v/>
      </c>
      <c r="AA36">
        <f>MAX(AA35,IF($B35=4,1,0))</f>
        <v/>
      </c>
      <c r="AB36">
        <f>MAX(AB35,IF($B35=5,1,0))</f>
        <v/>
      </c>
      <c r="AC36">
        <f>MAX(AC35,IF($B35=6,1,0))</f>
        <v/>
      </c>
      <c r="AD36">
        <f>MAX(AD35,IF($B35=7,1,0))</f>
        <v/>
      </c>
      <c r="AE36">
        <f>MAX(AE35,IF($B35=8,1,0))</f>
        <v/>
      </c>
      <c r="AF36">
        <f>MAX(AF35,IF($B35=9,1,0))</f>
        <v/>
      </c>
      <c r="AG36">
        <f>MAX(AG35,IF($B35=10,1,0))</f>
        <v/>
      </c>
      <c r="AH36">
        <f>MAX(AH35,IF($B35=11,1,0))</f>
        <v/>
      </c>
      <c r="AI36">
        <f>MAX(AI35,IF($B35=12,1,0))</f>
        <v/>
      </c>
      <c r="AJ36">
        <f>MAX(AJ35,IF($B35=13,1,0))</f>
        <v/>
      </c>
      <c r="AK36">
        <f>MAX(AK35,IF($B35=14,1,0))</f>
        <v/>
      </c>
      <c r="AL36">
        <f>MAX(AL35,IF($B35=15,1,0))</f>
        <v/>
      </c>
      <c r="AM36">
        <f>MAX(AM35,IF($B35=16,1,0))</f>
        <v/>
      </c>
      <c r="AN36">
        <f>MAX(AN35,IF($B35=17,1,0))</f>
        <v/>
      </c>
      <c r="AO36">
        <f>MAX(AO35,IF($B35=18,1,0))</f>
        <v/>
      </c>
      <c r="AP36">
        <f>MAX(AP35,IF($B35=19,1,0))</f>
        <v/>
      </c>
      <c r="AQ36">
        <f>MAX(AQ35,IF($B35=20,1,0))</f>
        <v/>
      </c>
      <c r="AR36">
        <f>MAX(AR35,IF($B35=21,1,0))</f>
        <v/>
      </c>
      <c r="AS36">
        <f>MAX(AS35,IF($B35=22,1,0))</f>
        <v/>
      </c>
      <c r="AT36">
        <f>MAX(AT35,IF($B35=23,1,0))</f>
        <v/>
      </c>
      <c r="AU36">
        <f>MAX(AU35,IF($B35=24,1,0))</f>
        <v/>
      </c>
      <c r="AV36">
        <f>MAX(AV35,IF($B35=25,1,0))</f>
        <v/>
      </c>
      <c r="AW36">
        <f>MAX(AW35,IF($B35=26,1,0))</f>
        <v/>
      </c>
      <c r="AX36">
        <f>MAX(AX35,IF($B35=27,1,0))</f>
        <v/>
      </c>
      <c r="AY36">
        <f>MAX(AY35,IF($B35=28,1,0))</f>
        <v/>
      </c>
      <c r="AZ36">
        <f>MAX(AZ35,IF($B35=29,1,0))</f>
        <v/>
      </c>
      <c r="BA36">
        <f>MAX(BA35,IF($B35=30,1,0))</f>
        <v/>
      </c>
      <c r="BB36">
        <f>MAX(BB35,IF($B35=31,1,0))</f>
        <v/>
      </c>
      <c r="BC36">
        <f>MAX(BC35,IF($B35=32,1,0))</f>
        <v/>
      </c>
      <c r="BD36">
        <f>MAX(BD35,IF($B35=33,1,0))</f>
        <v/>
      </c>
      <c r="BE36">
        <f>MAX(BE35,IF($B35=34,1,0))</f>
        <v/>
      </c>
      <c r="BF36">
        <f>MAX(BF35,IF($B35=35,1,0))</f>
        <v/>
      </c>
      <c r="BG36">
        <f>MAX(BG35,IF($B35=36,1,0))</f>
        <v/>
      </c>
      <c r="BH36">
        <f>MAX(BH35,IF($B35=37,1,0))</f>
        <v/>
      </c>
      <c r="BI36">
        <f>MAX(BI35,IF($B35=38,1,0))</f>
        <v/>
      </c>
      <c r="BJ36">
        <f>MAX(BJ35,IF($B35=39,1,0))</f>
        <v/>
      </c>
      <c r="BK36">
        <f>MAX(BK35,IF($B35=40,1,0))</f>
        <v/>
      </c>
      <c r="BM36">
        <f>IF(OR(X36=1,calcA!$A$6=0),1000000000,IF('calcA'!$JF$10=1,0,100000000)+IF('calcA'!$IQ$10=2,SUMPRODUCT('calcA'!$D$60:$EQ$60,$DB36:$IO36,$IQ36:$OD36)*1000+SUMPRODUCT('calcA'!$D$60:$EQ$60,$DB36:$IO36+$ZQ36:$AFD36,$AFF36:$AKS36),SUMPRODUCT('calcA'!$D$60:$EQ$60,$DB36:$IO36*1001+$ZQ36:$AFD36))*100+1)</f>
        <v/>
      </c>
      <c r="BN36">
        <f>IF(OR(Y36=1,calcA!$A$6=0),1000000000,IF('calcA'!$JF$11=1,0,100000000)+IF('calcA'!$IQ$11=2,SUMPRODUCT('calcA'!$D$61:$EQ$61,$DB36:$IO36,$IQ36:$OD36)*1000+SUMPRODUCT('calcA'!$D$61:$EQ$61,$DB36:$IO36+$ZQ36:$AFD36,$AFF36:$AKS36),SUMPRODUCT('calcA'!$D$61:$EQ$61,$DB36:$IO36*1001+$ZQ36:$AFD36))*100+2)</f>
        <v/>
      </c>
      <c r="BO36">
        <f>IF(OR(Z36=1,calcA!$A$6=0),1000000000,IF('calcA'!$JF$12=1,0,100000000)+IF('calcA'!$IQ$12=2,SUMPRODUCT('calcA'!$D$62:$EQ$62,$DB36:$IO36,$IQ36:$OD36)*1000+SUMPRODUCT('calcA'!$D$62:$EQ$62,$DB36:$IO36+$ZQ36:$AFD36,$AFF36:$AKS36),SUMPRODUCT('calcA'!$D$62:$EQ$62,$DB36:$IO36*1001+$ZQ36:$AFD36))*100+3)</f>
        <v/>
      </c>
      <c r="BP36">
        <f>IF(OR(AA36=1,calcA!$A$6=0),1000000000,IF('calcA'!$JF$13=1,0,100000000)+IF('calcA'!$IQ$13=2,SUMPRODUCT('calcA'!$D$63:$EQ$63,$DB36:$IO36,$IQ36:$OD36)*1000+SUMPRODUCT('calcA'!$D$63:$EQ$63,$DB36:$IO36+$ZQ36:$AFD36,$AFF36:$AKS36),SUMPRODUCT('calcA'!$D$63:$EQ$63,$DB36:$IO36*1001+$ZQ36:$AFD36))*100+4)</f>
        <v/>
      </c>
      <c r="BQ36">
        <f>IF(OR(AB36=1,calcA!$A$6=0),1000000000,IF('calcA'!$JF$14=1,0,100000000)+IF('calcA'!$IQ$14=2,SUMPRODUCT('calcA'!$D$64:$EQ$64,$DB36:$IO36,$IQ36:$OD36)*1000+SUMPRODUCT('calcA'!$D$64:$EQ$64,$DB36:$IO36+$ZQ36:$AFD36,$AFF36:$AKS36),SUMPRODUCT('calcA'!$D$64:$EQ$64,$DB36:$IO36*1001+$ZQ36:$AFD36))*100+5)</f>
        <v/>
      </c>
      <c r="BR36">
        <f>IF(OR(AC36=1,calcA!$A$6=0),1000000000,IF('calcA'!$JF$15=1,0,100000000)+IF('calcA'!$IQ$15=2,SUMPRODUCT('calcA'!$D$65:$EQ$65,$DB36:$IO36,$IQ36:$OD36)*1000+SUMPRODUCT('calcA'!$D$65:$EQ$65,$DB36:$IO36+$ZQ36:$AFD36,$AFF36:$AKS36),SUMPRODUCT('calcA'!$D$65:$EQ$65,$DB36:$IO36*1001+$ZQ36:$AFD36))*100+6)</f>
        <v/>
      </c>
      <c r="BS36">
        <f>IF(OR(AD36=1,calcA!$A$6=0),1000000000,IF('calcA'!$JF$16=1,0,100000000)+IF('calcA'!$IQ$16=2,SUMPRODUCT('calcA'!$D$66:$EQ$66,$DB36:$IO36,$IQ36:$OD36)*1000+SUMPRODUCT('calcA'!$D$66:$EQ$66,$DB36:$IO36+$ZQ36:$AFD36,$AFF36:$AKS36),SUMPRODUCT('calcA'!$D$66:$EQ$66,$DB36:$IO36*1001+$ZQ36:$AFD36))*100+7)</f>
        <v/>
      </c>
      <c r="BT36">
        <f>IF(OR(AE36=1,calcA!$A$6=0),1000000000,IF('calcA'!$JF$17=1,0,100000000)+IF('calcA'!$IQ$17=2,SUMPRODUCT('calcA'!$D$67:$EQ$67,$DB36:$IO36,$IQ36:$OD36)*1000+SUMPRODUCT('calcA'!$D$67:$EQ$67,$DB36:$IO36+$ZQ36:$AFD36,$AFF36:$AKS36),SUMPRODUCT('calcA'!$D$67:$EQ$67,$DB36:$IO36*1001+$ZQ36:$AFD36))*100+8)</f>
        <v/>
      </c>
      <c r="BU36">
        <f>IF(OR(AF36=1,calcA!$A$6=0),1000000000,IF('calcA'!$JF$18=1,0,100000000)+IF('calcA'!$IQ$18=2,SUMPRODUCT('calcA'!$D$68:$EQ$68,$DB36:$IO36,$IQ36:$OD36)*1000+SUMPRODUCT('calcA'!$D$68:$EQ$68,$DB36:$IO36+$ZQ36:$AFD36,$AFF36:$AKS36),SUMPRODUCT('calcA'!$D$68:$EQ$68,$DB36:$IO36*1001+$ZQ36:$AFD36))*100+9)</f>
        <v/>
      </c>
      <c r="BV36">
        <f>IF(OR(AG36=1,calcA!$A$6=0),1000000000,IF('calcA'!$JF$19=1,0,100000000)+IF('calcA'!$IQ$19=2,SUMPRODUCT('calcA'!$D$69:$EQ$69,$DB36:$IO36,$IQ36:$OD36)*1000+SUMPRODUCT('calcA'!$D$69:$EQ$69,$DB36:$IO36+$ZQ36:$AFD36,$AFF36:$AKS36),SUMPRODUCT('calcA'!$D$69:$EQ$69,$DB36:$IO36*1001+$ZQ36:$AFD36))*100+10)</f>
        <v/>
      </c>
      <c r="BW36">
        <f>IF(OR(AH36=1,calcA!$A$6=0),1000000000,IF('calcA'!$JF$20=1,0,100000000)+IF('calcA'!$IQ$20=2,SUMPRODUCT('calcA'!$D$70:$EQ$70,$DB36:$IO36,$IQ36:$OD36)*1000+SUMPRODUCT('calcA'!$D$70:$EQ$70,$DB36:$IO36+$ZQ36:$AFD36,$AFF36:$AKS36),SUMPRODUCT('calcA'!$D$70:$EQ$70,$DB36:$IO36*1001+$ZQ36:$AFD36))*100+11)</f>
        <v/>
      </c>
      <c r="BX36">
        <f>IF(OR(AI36=1,calcA!$A$6=0),1000000000,IF('calcA'!$JF$21=1,0,100000000)+IF('calcA'!$IQ$21=2,SUMPRODUCT('calcA'!$D$71:$EQ$71,$DB36:$IO36,$IQ36:$OD36)*1000+SUMPRODUCT('calcA'!$D$71:$EQ$71,$DB36:$IO36+$ZQ36:$AFD36,$AFF36:$AKS36),SUMPRODUCT('calcA'!$D$71:$EQ$71,$DB36:$IO36*1001+$ZQ36:$AFD36))*100+12)</f>
        <v/>
      </c>
      <c r="BY36">
        <f>IF(OR(AJ36=1,calcA!$A$6=0),1000000000,IF('calcA'!$JF$22=1,0,100000000)+IF('calcA'!$IQ$22=2,SUMPRODUCT('calcA'!$D$72:$EQ$72,$DB36:$IO36,$IQ36:$OD36)*1000+SUMPRODUCT('calcA'!$D$72:$EQ$72,$DB36:$IO36+$ZQ36:$AFD36,$AFF36:$AKS36),SUMPRODUCT('calcA'!$D$72:$EQ$72,$DB36:$IO36*1001+$ZQ36:$AFD36))*100+13)</f>
        <v/>
      </c>
      <c r="BZ36">
        <f>IF(OR(AK36=1,calcA!$A$6=0),1000000000,IF('calcA'!$JF$23=1,0,100000000)+IF('calcA'!$IQ$23=2,SUMPRODUCT('calcA'!$D$73:$EQ$73,$DB36:$IO36,$IQ36:$OD36)*1000+SUMPRODUCT('calcA'!$D$73:$EQ$73,$DB36:$IO36+$ZQ36:$AFD36,$AFF36:$AKS36),SUMPRODUCT('calcA'!$D$73:$EQ$73,$DB36:$IO36*1001+$ZQ36:$AFD36))*100+14)</f>
        <v/>
      </c>
      <c r="CA36">
        <f>IF(OR(AL36=1,calcA!$A$6=0),1000000000,IF('calcA'!$JF$24=1,0,100000000)+IF('calcA'!$IQ$24=2,SUMPRODUCT('calcA'!$D$74:$EQ$74,$DB36:$IO36,$IQ36:$OD36)*1000+SUMPRODUCT('calcA'!$D$74:$EQ$74,$DB36:$IO36+$ZQ36:$AFD36,$AFF36:$AKS36),SUMPRODUCT('calcA'!$D$74:$EQ$74,$DB36:$IO36*1001+$ZQ36:$AFD36))*100+15)</f>
        <v/>
      </c>
      <c r="CB36">
        <f>IF(OR(AM36=1,calcA!$A$6=0),1000000000,IF('calcA'!$JF$25=1,0,100000000)+IF('calcA'!$IQ$25=2,SUMPRODUCT('calcA'!$D$75:$EQ$75,$DB36:$IO36,$IQ36:$OD36)*1000+SUMPRODUCT('calcA'!$D$75:$EQ$75,$DB36:$IO36+$ZQ36:$AFD36,$AFF36:$AKS36),SUMPRODUCT('calcA'!$D$75:$EQ$75,$DB36:$IO36*1001+$ZQ36:$AFD36))*100+16)</f>
        <v/>
      </c>
      <c r="CC36">
        <f>IF(OR(AN36=1,calcA!$A$6=0),1000000000,IF('calcA'!$JF$26=1,0,100000000)+IF('calcA'!$IQ$26=2,SUMPRODUCT('calcA'!$D$76:$EQ$76,$DB36:$IO36,$IQ36:$OD36)*1000+SUMPRODUCT('calcA'!$D$76:$EQ$76,$DB36:$IO36+$ZQ36:$AFD36,$AFF36:$AKS36),SUMPRODUCT('calcA'!$D$76:$EQ$76,$DB36:$IO36*1001+$ZQ36:$AFD36))*100+17)</f>
        <v/>
      </c>
      <c r="CD36">
        <f>IF(OR(AO36=1,calcA!$A$6=0),1000000000,IF('calcA'!$JF$27=1,0,100000000)+IF('calcA'!$IQ$27=2,SUMPRODUCT('calcA'!$D$77:$EQ$77,$DB36:$IO36,$IQ36:$OD36)*1000+SUMPRODUCT('calcA'!$D$77:$EQ$77,$DB36:$IO36+$ZQ36:$AFD36,$AFF36:$AKS36),SUMPRODUCT('calcA'!$D$77:$EQ$77,$DB36:$IO36*1001+$ZQ36:$AFD36))*100+18)</f>
        <v/>
      </c>
      <c r="CE36">
        <f>IF(OR(AP36=1,calcA!$A$6=0),1000000000,IF('calcA'!$JF$28=1,0,100000000)+IF('calcA'!$IQ$28=2,SUMPRODUCT('calcA'!$D$78:$EQ$78,$DB36:$IO36,$IQ36:$OD36)*1000+SUMPRODUCT('calcA'!$D$78:$EQ$78,$DB36:$IO36+$ZQ36:$AFD36,$AFF36:$AKS36),SUMPRODUCT('calcA'!$D$78:$EQ$78,$DB36:$IO36*1001+$ZQ36:$AFD36))*100+19)</f>
        <v/>
      </c>
      <c r="CF36">
        <f>IF(OR(AQ36=1,calcA!$A$6=0),1000000000,IF('calcA'!$JF$29=1,0,100000000)+IF('calcA'!$IQ$29=2,SUMPRODUCT('calcA'!$D$79:$EQ$79,$DB36:$IO36,$IQ36:$OD36)*1000+SUMPRODUCT('calcA'!$D$79:$EQ$79,$DB36:$IO36+$ZQ36:$AFD36,$AFF36:$AKS36),SUMPRODUCT('calcA'!$D$79:$EQ$79,$DB36:$IO36*1001+$ZQ36:$AFD36))*100+20)</f>
        <v/>
      </c>
      <c r="CG36">
        <f>IF(OR(AR36=1,calcA!$A$6=0),1000000000,IF('calcA'!$JF$30=1,0,100000000)+IF('calcA'!$IQ$30=2,SUMPRODUCT('calcA'!$D$80:$EQ$80,$DB36:$IO36,$IQ36:$OD36)*1000+SUMPRODUCT('calcA'!$D$80:$EQ$80,$DB36:$IO36+$ZQ36:$AFD36,$AFF36:$AKS36),SUMPRODUCT('calcA'!$D$80:$EQ$80,$DB36:$IO36*1001+$ZQ36:$AFD36))*100+21)</f>
        <v/>
      </c>
      <c r="CH36">
        <f>IF(OR(AS36=1,calcA!$A$6=0),1000000000,IF('calcA'!$JF$31=1,0,100000000)+IF('calcA'!$IQ$31=2,SUMPRODUCT('calcA'!$D$81:$EQ$81,$DB36:$IO36,$IQ36:$OD36)*1000+SUMPRODUCT('calcA'!$D$81:$EQ$81,$DB36:$IO36+$ZQ36:$AFD36,$AFF36:$AKS36),SUMPRODUCT('calcA'!$D$81:$EQ$81,$DB36:$IO36*1001+$ZQ36:$AFD36))*100+22)</f>
        <v/>
      </c>
      <c r="CI36">
        <f>IF(OR(AT36=1,calcA!$A$6=0),1000000000,IF('calcA'!$JF$32=1,0,100000000)+IF('calcA'!$IQ$32=2,SUMPRODUCT('calcA'!$D$82:$EQ$82,$DB36:$IO36,$IQ36:$OD36)*1000+SUMPRODUCT('calcA'!$D$82:$EQ$82,$DB36:$IO36+$ZQ36:$AFD36,$AFF36:$AKS36),SUMPRODUCT('calcA'!$D$82:$EQ$82,$DB36:$IO36*1001+$ZQ36:$AFD36))*100+23)</f>
        <v/>
      </c>
      <c r="CJ36">
        <f>IF(OR(AU36=1,calcA!$A$6=0),1000000000,IF('calcA'!$JF$33=1,0,100000000)+IF('calcA'!$IQ$33=2,SUMPRODUCT('calcA'!$D$83:$EQ$83,$DB36:$IO36,$IQ36:$OD36)*1000+SUMPRODUCT('calcA'!$D$83:$EQ$83,$DB36:$IO36+$ZQ36:$AFD36,$AFF36:$AKS36),SUMPRODUCT('calcA'!$D$83:$EQ$83,$DB36:$IO36*1001+$ZQ36:$AFD36))*100+24)</f>
        <v/>
      </c>
      <c r="CK36">
        <f>IF(OR(AV36=1,calcA!$A$6=0),1000000000,IF('calcA'!$JF$34=1,0,100000000)+IF('calcA'!$IQ$34=2,SUMPRODUCT('calcA'!$D$84:$EQ$84,$DB36:$IO36,$IQ36:$OD36)*1000+SUMPRODUCT('calcA'!$D$84:$EQ$84,$DB36:$IO36+$ZQ36:$AFD36,$AFF36:$AKS36),SUMPRODUCT('calcA'!$D$84:$EQ$84,$DB36:$IO36*1001+$ZQ36:$AFD36))*100+25)</f>
        <v/>
      </c>
      <c r="CL36">
        <f>IF(OR(AW36=1,calcA!$A$6=0),1000000000,IF('calcA'!$JF$35=1,0,100000000)+IF('calcA'!$IQ$35=2,SUMPRODUCT('calcA'!$D$85:$EQ$85,$DB36:$IO36,$IQ36:$OD36)*1000+SUMPRODUCT('calcA'!$D$85:$EQ$85,$DB36:$IO36+$ZQ36:$AFD36,$AFF36:$AKS36),SUMPRODUCT('calcA'!$D$85:$EQ$85,$DB36:$IO36*1001+$ZQ36:$AFD36))*100+26)</f>
        <v/>
      </c>
      <c r="CM36">
        <f>IF(OR(AX36=1,calcA!$A$6=0),1000000000,IF('calcA'!$JF$36=1,0,100000000)+IF('calcA'!$IQ$36=2,SUMPRODUCT('calcA'!$D$86:$EQ$86,$DB36:$IO36,$IQ36:$OD36)*1000+SUMPRODUCT('calcA'!$D$86:$EQ$86,$DB36:$IO36+$ZQ36:$AFD36,$AFF36:$AKS36),SUMPRODUCT('calcA'!$D$86:$EQ$86,$DB36:$IO36*1001+$ZQ36:$AFD36))*100+27)</f>
        <v/>
      </c>
      <c r="CN36">
        <f>IF(OR(AY36=1,calcA!$A$6=0),1000000000,IF('calcA'!$JF$37=1,0,100000000)+IF('calcA'!$IQ$37=2,SUMPRODUCT('calcA'!$D$87:$EQ$87,$DB36:$IO36,$IQ36:$OD36)*1000+SUMPRODUCT('calcA'!$D$87:$EQ$87,$DB36:$IO36+$ZQ36:$AFD36,$AFF36:$AKS36),SUMPRODUCT('calcA'!$D$87:$EQ$87,$DB36:$IO36*1001+$ZQ36:$AFD36))*100+28)</f>
        <v/>
      </c>
      <c r="CO36">
        <f>IF(OR(AZ36=1,calcA!$A$6=0),1000000000,IF('calcA'!$JF$38=1,0,100000000)+IF('calcA'!$IQ$38=2,SUMPRODUCT('calcA'!$D$88:$EQ$88,$DB36:$IO36,$IQ36:$OD36)*1000+SUMPRODUCT('calcA'!$D$88:$EQ$88,$DB36:$IO36+$ZQ36:$AFD36,$AFF36:$AKS36),SUMPRODUCT('calcA'!$D$88:$EQ$88,$DB36:$IO36*1001+$ZQ36:$AFD36))*100+29)</f>
        <v/>
      </c>
      <c r="CP36">
        <f>IF(OR(BA36=1,calcA!$A$6=0),1000000000,IF('calcA'!$JF$39=1,0,100000000)+IF('calcA'!$IQ$39=2,SUMPRODUCT('calcA'!$D$89:$EQ$89,$DB36:$IO36,$IQ36:$OD36)*1000+SUMPRODUCT('calcA'!$D$89:$EQ$89,$DB36:$IO36+$ZQ36:$AFD36,$AFF36:$AKS36),SUMPRODUCT('calcA'!$D$89:$EQ$89,$DB36:$IO36*1001+$ZQ36:$AFD36))*100+30)</f>
        <v/>
      </c>
      <c r="CQ36">
        <f>IF(OR(BB36=1,calcA!$A$6=0),1000000000,IF('calcA'!$JF$40=1,0,100000000)+IF('calcA'!$IQ$40=2,SUMPRODUCT('calcA'!$D$90:$EQ$90,$DB36:$IO36,$IQ36:$OD36)*1000+SUMPRODUCT('calcA'!$D$90:$EQ$90,$DB36:$IO36+$ZQ36:$AFD36,$AFF36:$AKS36),SUMPRODUCT('calcA'!$D$90:$EQ$90,$DB36:$IO36*1001+$ZQ36:$AFD36))*100+31)</f>
        <v/>
      </c>
      <c r="CR36">
        <f>IF(OR(BC36=1,calcA!$A$6=0),1000000000,IF('calcA'!$JF$41=1,0,100000000)+IF('calcA'!$IQ$41=2,SUMPRODUCT('calcA'!$D$91:$EQ$91,$DB36:$IO36,$IQ36:$OD36)*1000+SUMPRODUCT('calcA'!$D$91:$EQ$91,$DB36:$IO36+$ZQ36:$AFD36,$AFF36:$AKS36),SUMPRODUCT('calcA'!$D$91:$EQ$91,$DB36:$IO36*1001+$ZQ36:$AFD36))*100+32)</f>
        <v/>
      </c>
      <c r="CS36">
        <f>IF(OR(BD36=1,calcA!$A$6=0),1000000000,IF('calcA'!$JF$42=1,0,100000000)+IF('calcA'!$IQ$42=2,SUMPRODUCT('calcA'!$D$92:$EQ$92,$DB36:$IO36,$IQ36:$OD36)*1000+SUMPRODUCT('calcA'!$D$92:$EQ$92,$DB36:$IO36+$ZQ36:$AFD36,$AFF36:$AKS36),SUMPRODUCT('calcA'!$D$92:$EQ$92,$DB36:$IO36*1001+$ZQ36:$AFD36))*100+33)</f>
        <v/>
      </c>
      <c r="CT36">
        <f>IF(OR(BE36=1,calcA!$A$6=0),1000000000,IF('calcA'!$JF$43=1,0,100000000)+IF('calcA'!$IQ$43=2,SUMPRODUCT('calcA'!$D$93:$EQ$93,$DB36:$IO36,$IQ36:$OD36)*1000+SUMPRODUCT('calcA'!$D$93:$EQ$93,$DB36:$IO36+$ZQ36:$AFD36,$AFF36:$AKS36),SUMPRODUCT('calcA'!$D$93:$EQ$93,$DB36:$IO36*1001+$ZQ36:$AFD36))*100+34)</f>
        <v/>
      </c>
      <c r="CU36">
        <f>IF(OR(BF36=1,calcA!$A$6=0),1000000000,IF('calcA'!$JF$44=1,0,100000000)+IF('calcA'!$IQ$44=2,SUMPRODUCT('calcA'!$D$94:$EQ$94,$DB36:$IO36,$IQ36:$OD36)*1000+SUMPRODUCT('calcA'!$D$94:$EQ$94,$DB36:$IO36+$ZQ36:$AFD36,$AFF36:$AKS36),SUMPRODUCT('calcA'!$D$94:$EQ$94,$DB36:$IO36*1001+$ZQ36:$AFD36))*100+35)</f>
        <v/>
      </c>
      <c r="CV36">
        <f>IF(OR(BG36=1,calcA!$A$6=0),1000000000,IF('calcA'!$JF$45=1,0,100000000)+IF('calcA'!$IQ$45=2,SUMPRODUCT('calcA'!$D$95:$EQ$95,$DB36:$IO36,$IQ36:$OD36)*1000+SUMPRODUCT('calcA'!$D$95:$EQ$95,$DB36:$IO36+$ZQ36:$AFD36,$AFF36:$AKS36),SUMPRODUCT('calcA'!$D$95:$EQ$95,$DB36:$IO36*1001+$ZQ36:$AFD36))*100+36)</f>
        <v/>
      </c>
      <c r="CW36">
        <f>IF(OR(BH36=1,calcA!$A$6=0),1000000000,IF('calcA'!$JF$46=1,0,100000000)+IF('calcA'!$IQ$46=2,SUMPRODUCT('calcA'!$D$96:$EQ$96,$DB36:$IO36,$IQ36:$OD36)*1000+SUMPRODUCT('calcA'!$D$96:$EQ$96,$DB36:$IO36+$ZQ36:$AFD36,$AFF36:$AKS36),SUMPRODUCT('calcA'!$D$96:$EQ$96,$DB36:$IO36*1001+$ZQ36:$AFD36))*100+37)</f>
        <v/>
      </c>
      <c r="CX36">
        <f>IF(OR(BI36=1,calcA!$A$6=0),1000000000,IF('calcA'!$JF$47=1,0,100000000)+IF('calcA'!$IQ$47=2,SUMPRODUCT('calcA'!$D$97:$EQ$97,$DB36:$IO36,$IQ36:$OD36)*1000+SUMPRODUCT('calcA'!$D$97:$EQ$97,$DB36:$IO36+$ZQ36:$AFD36,$AFF36:$AKS36),SUMPRODUCT('calcA'!$D$97:$EQ$97,$DB36:$IO36*1001+$ZQ36:$AFD36))*100+38)</f>
        <v/>
      </c>
      <c r="CY36">
        <f>IF(OR(BJ36=1,calcA!$A$6=0),1000000000,IF('calcA'!$JF$48=1,0,100000000)+IF('calcA'!$IQ$48=2,SUMPRODUCT('calcA'!$D$98:$EQ$98,$DB36:$IO36,$IQ36:$OD36)*1000+SUMPRODUCT('calcA'!$D$98:$EQ$98,$DB36:$IO36+$ZQ36:$AFD36,$AFF36:$AKS36),SUMPRODUCT('calcA'!$D$98:$EQ$98,$DB36:$IO36*1001+$ZQ36:$AFD36))*100+39)</f>
        <v/>
      </c>
      <c r="CZ36">
        <f>IF(OR(BK36=1,calcA!$A$6=0),1000000000,IF('calcA'!$JF$49=1,0,100000000)+IF('calcA'!$IQ$49=2,SUMPRODUCT('calcA'!$D$99:$EQ$99,$DB36:$IO36,$IQ36:$OD36)*1000+SUMPRODUCT('calcA'!$D$99:$EQ$99,$DB36:$IO36+$ZQ36:$AFD36,$AFF36:$AKS36),SUMPRODUCT('calcA'!$D$99:$EQ$99,$DB36:$IO36*1001+$ZQ36:$AFD36))*100+40)</f>
        <v/>
      </c>
      <c r="DB36">
        <f>DB35*IF(OR($C35=1,$G35=1),0,1)</f>
        <v/>
      </c>
      <c r="DC36">
        <f>DC35*IF(OR($C35=2,$G35=2),0,1)</f>
        <v/>
      </c>
      <c r="DD36">
        <f>DD35*IF(OR($C35=3,$G35=3),0,1)</f>
        <v/>
      </c>
      <c r="DE36">
        <f>DE35*IF(OR($C35=4,$G35=4),0,1)</f>
        <v/>
      </c>
      <c r="DF36">
        <f>DF35*IF(OR($C35=5,$G35=5),0,1)</f>
        <v/>
      </c>
      <c r="DG36">
        <f>DG35*IF(OR($C35=6,$G35=6),0,1)</f>
        <v/>
      </c>
      <c r="DH36">
        <f>DH35*IF(OR($C35=7,$G35=7),0,1)</f>
        <v/>
      </c>
      <c r="DI36">
        <f>DI35*IF(OR($C35=8,$G35=8),0,1)</f>
        <v/>
      </c>
      <c r="DJ36">
        <f>DJ35*IF(OR($C35=9,$G35=9),0,1)</f>
        <v/>
      </c>
      <c r="DK36">
        <f>DK35*IF(OR($C35=10,$G35=10),0,1)</f>
        <v/>
      </c>
      <c r="DL36">
        <f>DL35*IF(OR($C35=11,$G35=11),0,1)</f>
        <v/>
      </c>
      <c r="DM36">
        <f>DM35*IF(OR($C35=12,$G35=12),0,1)</f>
        <v/>
      </c>
      <c r="DN36">
        <f>DN35*IF(OR($C35=13,$G35=13),0,1)</f>
        <v/>
      </c>
      <c r="DO36">
        <f>DO35*IF(OR($C35=14,$G35=14),0,1)</f>
        <v/>
      </c>
      <c r="DP36">
        <f>DP35*IF(OR($C35=15,$G35=15),0,1)</f>
        <v/>
      </c>
      <c r="DQ36">
        <f>DQ35*IF(OR($C35=16,$G35=16),0,1)</f>
        <v/>
      </c>
      <c r="DR36">
        <f>DR35*IF(OR($C35=17,$G35=17),0,1)</f>
        <v/>
      </c>
      <c r="DS36">
        <f>DS35*IF(OR($C35=18,$G35=18),0,1)</f>
        <v/>
      </c>
      <c r="DT36">
        <f>DT35*IF(OR($C35=19,$G35=19),0,1)</f>
        <v/>
      </c>
      <c r="DU36">
        <f>DU35*IF(OR($C35=20,$G35=20),0,1)</f>
        <v/>
      </c>
      <c r="DV36">
        <f>DV35*IF(OR($C35=21,$G35=21),0,1)</f>
        <v/>
      </c>
      <c r="DW36">
        <f>DW35*IF(OR($C35=22,$G35=22),0,1)</f>
        <v/>
      </c>
      <c r="DX36">
        <f>DX35*IF(OR($C35=23,$G35=23),0,1)</f>
        <v/>
      </c>
      <c r="DY36">
        <f>DY35*IF(OR($C35=24,$G35=24),0,1)</f>
        <v/>
      </c>
      <c r="DZ36">
        <f>DZ35*IF(OR($C35=25,$G35=25),0,1)</f>
        <v/>
      </c>
      <c r="EA36">
        <f>EA35*IF(OR($C35=26,$G35=26),0,1)</f>
        <v/>
      </c>
      <c r="EB36">
        <f>EB35*IF(OR($C35=27,$G35=27),0,1)</f>
        <v/>
      </c>
      <c r="EC36">
        <f>EC35*IF(OR($C35=28,$G35=28),0,1)</f>
        <v/>
      </c>
      <c r="ED36">
        <f>ED35*IF(OR($C35=29,$G35=29),0,1)</f>
        <v/>
      </c>
      <c r="EE36">
        <f>EE35*IF(OR($C35=30,$G35=30),0,1)</f>
        <v/>
      </c>
      <c r="EF36">
        <f>EF35*IF(OR($C35=31,$G35=31),0,1)</f>
        <v/>
      </c>
      <c r="EG36">
        <f>EG35*IF(OR($C35=32,$G35=32),0,1)</f>
        <v/>
      </c>
      <c r="EH36">
        <f>EH35*IF(OR($C35=33,$G35=33),0,1)</f>
        <v/>
      </c>
      <c r="EI36">
        <f>EI35*IF(OR($C35=34,$G35=34),0,1)</f>
        <v/>
      </c>
      <c r="EJ36">
        <f>EJ35*IF(OR($C35=35,$G35=35),0,1)</f>
        <v/>
      </c>
      <c r="EK36">
        <f>EK35*IF(OR($C35=36,$G35=36),0,1)</f>
        <v/>
      </c>
      <c r="EL36">
        <f>EL35*IF(OR($C35=37,$G35=37),0,1)</f>
        <v/>
      </c>
      <c r="EM36">
        <f>EM35*IF(OR($C35=38,$G35=38),0,1)</f>
        <v/>
      </c>
      <c r="EN36">
        <f>EN35*IF(OR($C35=39,$G35=39),0,1)</f>
        <v/>
      </c>
      <c r="EO36">
        <f>EO35*IF(OR($C35=40,$G35=40),0,1)</f>
        <v/>
      </c>
      <c r="EP36">
        <f>EP35*IF(OR($C35=41,$G35=41),0,1)</f>
        <v/>
      </c>
      <c r="EQ36">
        <f>EQ35*IF(OR($C35=42,$G35=42),0,1)</f>
        <v/>
      </c>
      <c r="ER36">
        <f>ER35*IF(OR($C35=43,$G35=43),0,1)</f>
        <v/>
      </c>
      <c r="ES36">
        <f>ES35*IF(OR($C35=44,$G35=44),0,1)</f>
        <v/>
      </c>
      <c r="ET36">
        <f>ET35*IF(OR($C35=45,$G35=45),0,1)</f>
        <v/>
      </c>
      <c r="EU36">
        <f>EU35*IF(OR($C35=46,$G35=46),0,1)</f>
        <v/>
      </c>
      <c r="EV36">
        <f>EV35*IF(OR($C35=47,$G35=47),0,1)</f>
        <v/>
      </c>
      <c r="EW36">
        <f>EW35*IF(OR($C35=48,$G35=48),0,1)</f>
        <v/>
      </c>
      <c r="EX36">
        <f>EX35*IF(OR($C35=49,$G35=49),0,1)</f>
        <v/>
      </c>
      <c r="EY36">
        <f>EY35*IF(OR($C35=50,$G35=50),0,1)</f>
        <v/>
      </c>
      <c r="EZ36">
        <f>EZ35*IF(OR($C35=51,$G35=51),0,1)</f>
        <v/>
      </c>
      <c r="FA36">
        <f>FA35*IF(OR($C35=52,$G35=52),0,1)</f>
        <v/>
      </c>
      <c r="FB36">
        <f>FB35*IF(OR($C35=53,$G35=53),0,1)</f>
        <v/>
      </c>
      <c r="FC36">
        <f>FC35*IF(OR($C35=54,$G35=54),0,1)</f>
        <v/>
      </c>
      <c r="FD36">
        <f>FD35*IF(OR($C35=55,$G35=55),0,1)</f>
        <v/>
      </c>
      <c r="FE36">
        <f>FE35*IF(OR($C35=56,$G35=56),0,1)</f>
        <v/>
      </c>
      <c r="FF36">
        <f>FF35*IF(OR($C35=57,$G35=57),0,1)</f>
        <v/>
      </c>
      <c r="FG36">
        <f>FG35*IF(OR($C35=58,$G35=58),0,1)</f>
        <v/>
      </c>
      <c r="FH36">
        <f>FH35*IF(OR($C35=59,$G35=59),0,1)</f>
        <v/>
      </c>
      <c r="FI36">
        <f>FI35*IF(OR($C35=60,$G35=60),0,1)</f>
        <v/>
      </c>
      <c r="FJ36">
        <f>FJ35*IF(OR($C35=61,$G35=61),0,1)</f>
        <v/>
      </c>
      <c r="FK36">
        <f>FK35*IF(OR($C35=62,$G35=62),0,1)</f>
        <v/>
      </c>
      <c r="FL36">
        <f>FL35*IF(OR($C35=63,$G35=63),0,1)</f>
        <v/>
      </c>
      <c r="FM36">
        <f>FM35*IF(OR($C35=64,$G35=64),0,1)</f>
        <v/>
      </c>
      <c r="FN36">
        <f>FN35*IF(OR($C35=65,$G35=65),0,1)</f>
        <v/>
      </c>
      <c r="FO36">
        <f>FO35*IF(OR($C35=66,$G35=66),0,1)</f>
        <v/>
      </c>
      <c r="FP36">
        <f>FP35*IF(OR($C35=67,$G35=67),0,1)</f>
        <v/>
      </c>
      <c r="FQ36">
        <f>FQ35*IF(OR($C35=68,$G35=68),0,1)</f>
        <v/>
      </c>
      <c r="FR36">
        <f>FR35*IF(OR($C35=69,$G35=69),0,1)</f>
        <v/>
      </c>
      <c r="FS36">
        <f>FS35*IF(OR($C35=70,$G35=70),0,1)</f>
        <v/>
      </c>
      <c r="FT36">
        <f>FT35*IF(OR($C35=71,$G35=71),0,1)</f>
        <v/>
      </c>
      <c r="FU36">
        <f>FU35*IF(OR($C35=72,$G35=72),0,1)</f>
        <v/>
      </c>
      <c r="FV36">
        <f>FV35*IF(OR($C35=73,$G35=73),0,1)</f>
        <v/>
      </c>
      <c r="FW36">
        <f>FW35*IF(OR($C35=74,$G35=74),0,1)</f>
        <v/>
      </c>
      <c r="FX36">
        <f>FX35*IF(OR($C35=75,$G35=75),0,1)</f>
        <v/>
      </c>
      <c r="FY36">
        <f>FY35*IF(OR($C35=76,$G35=76),0,1)</f>
        <v/>
      </c>
      <c r="FZ36">
        <f>FZ35*IF(OR($C35=77,$G35=77),0,1)</f>
        <v/>
      </c>
      <c r="GA36">
        <f>GA35*IF(OR($C35=78,$G35=78),0,1)</f>
        <v/>
      </c>
      <c r="GB36">
        <f>GB35*IF(OR($C35=79,$G35=79),0,1)</f>
        <v/>
      </c>
      <c r="GC36">
        <f>GC35*IF(OR($C35=80,$G35=80),0,1)</f>
        <v/>
      </c>
      <c r="GD36">
        <f>GD35*IF(OR($C35=81,$G35=81),0,1)</f>
        <v/>
      </c>
      <c r="GE36">
        <f>GE35*IF(OR($C35=82,$G35=82),0,1)</f>
        <v/>
      </c>
      <c r="GF36">
        <f>GF35*IF(OR($C35=83,$G35=83),0,1)</f>
        <v/>
      </c>
      <c r="GG36">
        <f>GG35*IF(OR($C35=84,$G35=84),0,1)</f>
        <v/>
      </c>
      <c r="GH36">
        <f>GH35*IF(OR($C35=85,$G35=85),0,1)</f>
        <v/>
      </c>
      <c r="GI36">
        <f>GI35*IF(OR($C35=86,$G35=86),0,1)</f>
        <v/>
      </c>
      <c r="GJ36">
        <f>GJ35*IF(OR($C35=87,$G35=87),0,1)</f>
        <v/>
      </c>
      <c r="GK36">
        <f>GK35*IF(OR($C35=88,$G35=88),0,1)</f>
        <v/>
      </c>
      <c r="GL36">
        <f>GL35*IF(OR($C35=89,$G35=89),0,1)</f>
        <v/>
      </c>
      <c r="GM36">
        <f>GM35*IF(OR($C35=90,$G35=90),0,1)</f>
        <v/>
      </c>
      <c r="GN36">
        <f>GN35*IF(OR($C35=91,$G35=91),0,1)</f>
        <v/>
      </c>
      <c r="GO36">
        <f>GO35*IF(OR($C35=92,$G35=92),0,1)</f>
        <v/>
      </c>
      <c r="GP36">
        <f>GP35*IF(OR($C35=93,$G35=93),0,1)</f>
        <v/>
      </c>
      <c r="GQ36">
        <f>GQ35*IF(OR($C35=94,$G35=94),0,1)</f>
        <v/>
      </c>
      <c r="GR36">
        <f>GR35*IF(OR($C35=95,$G35=95),0,1)</f>
        <v/>
      </c>
      <c r="GS36">
        <f>GS35*IF(OR($C35=96,$G35=96),0,1)</f>
        <v/>
      </c>
      <c r="GT36">
        <f>GT35*IF(OR($C35=97,$G35=97),0,1)</f>
        <v/>
      </c>
      <c r="GU36">
        <f>GU35*IF(OR($C35=98,$G35=98),0,1)</f>
        <v/>
      </c>
      <c r="GV36">
        <f>GV35*IF(OR($C35=99,$G35=99),0,1)</f>
        <v/>
      </c>
      <c r="GW36">
        <f>GW35*IF(OR($C35=100,$G35=100),0,1)</f>
        <v/>
      </c>
      <c r="GX36">
        <f>GX35*IF(OR($C35=101,$G35=101),0,1)</f>
        <v/>
      </c>
      <c r="GY36">
        <f>GY35*IF(OR($C35=102,$G35=102),0,1)</f>
        <v/>
      </c>
      <c r="GZ36">
        <f>GZ35*IF(OR($C35=103,$G35=103),0,1)</f>
        <v/>
      </c>
      <c r="HA36">
        <f>HA35*IF(OR($C35=104,$G35=104),0,1)</f>
        <v/>
      </c>
      <c r="HB36">
        <f>HB35*IF(OR($C35=105,$G35=105),0,1)</f>
        <v/>
      </c>
      <c r="HC36">
        <f>HC35*IF(OR($C35=106,$G35=106),0,1)</f>
        <v/>
      </c>
      <c r="HD36">
        <f>HD35*IF(OR($C35=107,$G35=107),0,1)</f>
        <v/>
      </c>
      <c r="HE36">
        <f>HE35*IF(OR($C35=108,$G35=108),0,1)</f>
        <v/>
      </c>
      <c r="HF36">
        <f>HF35*IF(OR($C35=109,$G35=109),0,1)</f>
        <v/>
      </c>
      <c r="HG36">
        <f>HG35*IF(OR($C35=110,$G35=110),0,1)</f>
        <v/>
      </c>
      <c r="HH36">
        <f>HH35*IF(OR($C35=111,$G35=111),0,1)</f>
        <v/>
      </c>
      <c r="HI36">
        <f>HI35*IF(OR($C35=112,$G35=112),0,1)</f>
        <v/>
      </c>
      <c r="HJ36">
        <f>HJ35*IF(OR($C35=113,$G35=113),0,1)</f>
        <v/>
      </c>
      <c r="HK36">
        <f>HK35*IF(OR($C35=114,$G35=114),0,1)</f>
        <v/>
      </c>
      <c r="HL36">
        <f>HL35*IF(OR($C35=115,$G35=115),0,1)</f>
        <v/>
      </c>
      <c r="HM36">
        <f>HM35*IF(OR($C35=116,$G35=116),0,1)</f>
        <v/>
      </c>
      <c r="HN36">
        <f>HN35*IF(OR($C35=117,$G35=117),0,1)</f>
        <v/>
      </c>
      <c r="HO36">
        <f>HO35*IF(OR($C35=118,$G35=118),0,1)</f>
        <v/>
      </c>
      <c r="HP36">
        <f>HP35*IF(OR($C35=119,$G35=119),0,1)</f>
        <v/>
      </c>
      <c r="HQ36">
        <f>HQ35*IF(OR($C35=120,$G35=120),0,1)</f>
        <v/>
      </c>
      <c r="HR36">
        <f>HR35*IF(OR($C35=121,$G35=121),0,1)</f>
        <v/>
      </c>
      <c r="HS36">
        <f>HS35*IF(OR($C35=122,$G35=122),0,1)</f>
        <v/>
      </c>
      <c r="HT36">
        <f>HT35*IF(OR($C35=123,$G35=123),0,1)</f>
        <v/>
      </c>
      <c r="HU36">
        <f>HU35*IF(OR($C35=124,$G35=124),0,1)</f>
        <v/>
      </c>
      <c r="HV36">
        <f>HV35*IF(OR($C35=125,$G35=125),0,1)</f>
        <v/>
      </c>
      <c r="HW36">
        <f>HW35*IF(OR($C35=126,$G35=126),0,1)</f>
        <v/>
      </c>
      <c r="HX36">
        <f>HX35*IF(OR($C35=127,$G35=127),0,1)</f>
        <v/>
      </c>
      <c r="HY36">
        <f>HY35*IF(OR($C35=128,$G35=128),0,1)</f>
        <v/>
      </c>
      <c r="HZ36">
        <f>HZ35*IF(OR($C35=129,$G35=129),0,1)</f>
        <v/>
      </c>
      <c r="IA36">
        <f>IA35*IF(OR($C35=130,$G35=130),0,1)</f>
        <v/>
      </c>
      <c r="IB36">
        <f>IB35*IF(OR($C35=131,$G35=131),0,1)</f>
        <v/>
      </c>
      <c r="IC36">
        <f>IC35*IF(OR($C35=132,$G35=132),0,1)</f>
        <v/>
      </c>
      <c r="ID36">
        <f>ID35*IF(OR($C35=133,$G35=133),0,1)</f>
        <v/>
      </c>
      <c r="IE36">
        <f>IE35*IF(OR($C35=134,$G35=134),0,1)</f>
        <v/>
      </c>
      <c r="IF36">
        <f>IF35*IF(OR($C35=135,$G35=135),0,1)</f>
        <v/>
      </c>
      <c r="IG36">
        <f>IG35*IF(OR($C35=136,$G35=136),0,1)</f>
        <v/>
      </c>
      <c r="IH36">
        <f>IH35*IF(OR($C35=137,$G35=137),0,1)</f>
        <v/>
      </c>
      <c r="II36">
        <f>II35*IF(OR($C35=138,$G35=138),0,1)</f>
        <v/>
      </c>
      <c r="IJ36">
        <f>IJ35*IF(OR($C35=139,$G35=139),0,1)</f>
        <v/>
      </c>
      <c r="IK36">
        <f>IK35*IF(OR($C35=140,$G35=140),0,1)</f>
        <v/>
      </c>
      <c r="IL36">
        <f>IL35*IF(OR($C35=141,$G35=141),0,1)</f>
        <v/>
      </c>
      <c r="IM36">
        <f>IM35*IF(OR($C35=142,$G35=142),0,1)</f>
        <v/>
      </c>
      <c r="IN36">
        <f>IN35*IF(OR($C35=143,$G35=143),0,1)</f>
        <v/>
      </c>
      <c r="IO36">
        <f>IO35*IF(OR($C35=144,$G35=144),0,1)</f>
        <v/>
      </c>
      <c r="IQ36">
        <f>IF('calcA'!D$106=1,DC36,1)</f>
        <v/>
      </c>
      <c r="IR36">
        <f>IF('calcA'!E$106=1,DD36,1)</f>
        <v/>
      </c>
      <c r="IS36">
        <f>IF('calcA'!F$106=1,DE36,1)</f>
        <v/>
      </c>
      <c r="IT36">
        <f>IF('calcA'!G$106=1,DF36,1)</f>
        <v/>
      </c>
      <c r="IU36">
        <f>IF('calcA'!H$106=1,DG36,1)</f>
        <v/>
      </c>
      <c r="IV36">
        <f>IF('calcA'!I$106=1,DH36,1)</f>
        <v/>
      </c>
      <c r="IW36">
        <f>IF('calcA'!J$106=1,DI36,1)</f>
        <v/>
      </c>
      <c r="IX36">
        <f>IF('calcA'!K$106=1,DJ36,1)</f>
        <v/>
      </c>
      <c r="IY36">
        <f>IF('calcA'!L$106=1,DK36,1)</f>
        <v/>
      </c>
      <c r="IZ36">
        <f>IF('calcA'!M$106=1,DL36,1)</f>
        <v/>
      </c>
      <c r="JA36">
        <f>IF('calcA'!N$106=1,DM36,1)</f>
        <v/>
      </c>
      <c r="JB36">
        <f>IF('calcA'!O$106=1,DN36,1)</f>
        <v/>
      </c>
      <c r="JC36">
        <f>IF('calcA'!P$106=1,DO36,1)</f>
        <v/>
      </c>
      <c r="JD36">
        <f>IF('calcA'!Q$106=1,DP36,1)</f>
        <v/>
      </c>
      <c r="JE36">
        <f>IF('calcA'!R$106=1,DQ36,1)</f>
        <v/>
      </c>
      <c r="JF36">
        <f>IF('calcA'!S$106=1,DR36,1)</f>
        <v/>
      </c>
      <c r="JG36">
        <f>IF('calcA'!T$106=1,DS36,1)</f>
        <v/>
      </c>
      <c r="JH36">
        <f>IF('calcA'!U$106=1,DT36,1)</f>
        <v/>
      </c>
      <c r="JI36">
        <f>IF('calcA'!V$106=1,DU36,1)</f>
        <v/>
      </c>
      <c r="JJ36">
        <f>IF('calcA'!W$106=1,DV36,1)</f>
        <v/>
      </c>
      <c r="JK36">
        <f>IF('calcA'!X$106=1,DW36,1)</f>
        <v/>
      </c>
      <c r="JL36">
        <f>IF('calcA'!Y$106=1,DX36,1)</f>
        <v/>
      </c>
      <c r="JM36">
        <f>IF('calcA'!Z$106=1,DY36,1)</f>
        <v/>
      </c>
      <c r="JN36">
        <f>IF('calcA'!AA$106=1,DZ36,1)</f>
        <v/>
      </c>
      <c r="JO36">
        <f>IF('calcA'!AB$106=1,EA36,1)</f>
        <v/>
      </c>
      <c r="JP36">
        <f>IF('calcA'!AC$106=1,EB36,1)</f>
        <v/>
      </c>
      <c r="JQ36">
        <f>IF('calcA'!AD$106=1,EC36,1)</f>
        <v/>
      </c>
      <c r="JR36">
        <f>IF('calcA'!AE$106=1,ED36,1)</f>
        <v/>
      </c>
      <c r="JS36">
        <f>IF('calcA'!AF$106=1,EE36,1)</f>
        <v/>
      </c>
      <c r="JT36">
        <f>IF('calcA'!AG$106=1,EF36,1)</f>
        <v/>
      </c>
      <c r="JU36">
        <f>IF('calcA'!AH$106=1,EG36,1)</f>
        <v/>
      </c>
      <c r="JV36">
        <f>IF('calcA'!AI$106=1,EH36,1)</f>
        <v/>
      </c>
      <c r="JW36">
        <f>IF('calcA'!AJ$106=1,EI36,1)</f>
        <v/>
      </c>
      <c r="JX36">
        <f>IF('calcA'!AK$106=1,EJ36,1)</f>
        <v/>
      </c>
      <c r="JY36">
        <f>IF('calcA'!AL$106=1,EK36,1)</f>
        <v/>
      </c>
      <c r="JZ36">
        <f>IF('calcA'!AM$106=1,EL36,1)</f>
        <v/>
      </c>
      <c r="KA36">
        <f>IF('calcA'!AN$106=1,EM36,1)</f>
        <v/>
      </c>
      <c r="KB36">
        <f>IF('calcA'!AO$106=1,EN36,1)</f>
        <v/>
      </c>
      <c r="KC36">
        <f>IF('calcA'!AP$106=1,EO36,1)</f>
        <v/>
      </c>
      <c r="KD36">
        <f>IF('calcA'!AQ$106=1,EP36,1)</f>
        <v/>
      </c>
      <c r="KE36">
        <f>IF('calcA'!AR$106=1,EQ36,1)</f>
        <v/>
      </c>
      <c r="KF36">
        <f>IF('calcA'!AS$106=1,ER36,1)</f>
        <v/>
      </c>
      <c r="KG36">
        <f>IF('calcA'!AT$106=1,ES36,1)</f>
        <v/>
      </c>
      <c r="KH36">
        <f>IF('calcA'!AU$106=1,ET36,1)</f>
        <v/>
      </c>
      <c r="KI36">
        <f>IF('calcA'!AV$106=1,EU36,1)</f>
        <v/>
      </c>
      <c r="KJ36">
        <f>IF('calcA'!AW$106=1,EV36,1)</f>
        <v/>
      </c>
      <c r="KK36">
        <f>IF('calcA'!AX$106=1,EW36,1)</f>
        <v/>
      </c>
      <c r="KL36">
        <f>IF('calcA'!AY$106=1,EX36,1)</f>
        <v/>
      </c>
      <c r="KM36">
        <f>IF('calcA'!AZ$106=1,EY36,1)</f>
        <v/>
      </c>
      <c r="KN36">
        <f>IF('calcA'!BA$106=1,EZ36,1)</f>
        <v/>
      </c>
      <c r="KO36">
        <f>IF('calcA'!BB$106=1,FA36,1)</f>
        <v/>
      </c>
      <c r="KP36">
        <f>IF('calcA'!BC$106=1,FB36,1)</f>
        <v/>
      </c>
      <c r="KQ36">
        <f>IF('calcA'!BD$106=1,FC36,1)</f>
        <v/>
      </c>
      <c r="KR36">
        <f>IF('calcA'!BE$106=1,FD36,1)</f>
        <v/>
      </c>
      <c r="KS36">
        <f>IF('calcA'!BF$106=1,FE36,1)</f>
        <v/>
      </c>
      <c r="KT36">
        <f>IF('calcA'!BG$106=1,FF36,1)</f>
        <v/>
      </c>
      <c r="KU36">
        <f>IF('calcA'!BH$106=1,FG36,1)</f>
        <v/>
      </c>
      <c r="KV36">
        <f>IF('calcA'!BI$106=1,FH36,1)</f>
        <v/>
      </c>
      <c r="KW36">
        <f>IF('calcA'!BJ$106=1,FI36,1)</f>
        <v/>
      </c>
      <c r="KX36">
        <f>IF('calcA'!BK$106=1,FJ36,1)</f>
        <v/>
      </c>
      <c r="KY36">
        <f>IF('calcA'!BL$106=1,FK36,1)</f>
        <v/>
      </c>
      <c r="KZ36">
        <f>IF('calcA'!BM$106=1,FL36,1)</f>
        <v/>
      </c>
      <c r="LA36">
        <f>IF('calcA'!BN$106=1,FM36,1)</f>
        <v/>
      </c>
      <c r="LB36">
        <f>IF('calcA'!BO$106=1,FN36,1)</f>
        <v/>
      </c>
      <c r="LC36">
        <f>IF('calcA'!BP$106=1,FO36,1)</f>
        <v/>
      </c>
      <c r="LD36">
        <f>IF('calcA'!BQ$106=1,FP36,1)</f>
        <v/>
      </c>
      <c r="LE36">
        <f>IF('calcA'!BR$106=1,FQ36,1)</f>
        <v/>
      </c>
      <c r="LF36">
        <f>IF('calcA'!BS$106=1,FR36,1)</f>
        <v/>
      </c>
      <c r="LG36">
        <f>IF('calcA'!BT$106=1,FS36,1)</f>
        <v/>
      </c>
      <c r="LH36">
        <f>IF('calcA'!BU$106=1,FT36,1)</f>
        <v/>
      </c>
      <c r="LI36">
        <f>IF('calcA'!BV$106=1,FU36,1)</f>
        <v/>
      </c>
      <c r="LJ36">
        <f>IF('calcA'!BW$106=1,FV36,1)</f>
        <v/>
      </c>
      <c r="LK36">
        <f>IF('calcA'!BX$106=1,FW36,1)</f>
        <v/>
      </c>
      <c r="LL36">
        <f>IF('calcA'!BY$106=1,FX36,1)</f>
        <v/>
      </c>
      <c r="LM36">
        <f>IF('calcA'!BZ$106=1,FY36,1)</f>
        <v/>
      </c>
      <c r="LN36">
        <f>IF('calcA'!CA$106=1,FZ36,1)</f>
        <v/>
      </c>
      <c r="LO36">
        <f>IF('calcA'!CB$106=1,GA36,1)</f>
        <v/>
      </c>
      <c r="LP36">
        <f>IF('calcA'!CC$106=1,GB36,1)</f>
        <v/>
      </c>
      <c r="LQ36">
        <f>IF('calcA'!CD$106=1,GC36,1)</f>
        <v/>
      </c>
      <c r="LR36">
        <f>IF('calcA'!CE$106=1,GD36,1)</f>
        <v/>
      </c>
      <c r="LS36">
        <f>IF('calcA'!CF$106=1,GE36,1)</f>
        <v/>
      </c>
      <c r="LT36">
        <f>IF('calcA'!CG$106=1,GF36,1)</f>
        <v/>
      </c>
      <c r="LU36">
        <f>IF('calcA'!CH$106=1,GG36,1)</f>
        <v/>
      </c>
      <c r="LV36">
        <f>IF('calcA'!CI$106=1,GH36,1)</f>
        <v/>
      </c>
      <c r="LW36">
        <f>IF('calcA'!CJ$106=1,GI36,1)</f>
        <v/>
      </c>
      <c r="LX36">
        <f>IF('calcA'!CK$106=1,GJ36,1)</f>
        <v/>
      </c>
      <c r="LY36">
        <f>IF('calcA'!CL$106=1,GK36,1)</f>
        <v/>
      </c>
      <c r="LZ36">
        <f>IF('calcA'!CM$106=1,GL36,1)</f>
        <v/>
      </c>
      <c r="MA36">
        <f>IF('calcA'!CN$106=1,GM36,1)</f>
        <v/>
      </c>
      <c r="MB36">
        <f>IF('calcA'!CO$106=1,GN36,1)</f>
        <v/>
      </c>
      <c r="MC36">
        <f>IF('calcA'!CP$106=1,GO36,1)</f>
        <v/>
      </c>
      <c r="MD36">
        <f>IF('calcA'!CQ$106=1,GP36,1)</f>
        <v/>
      </c>
      <c r="ME36">
        <f>IF('calcA'!CR$106=1,GQ36,1)</f>
        <v/>
      </c>
      <c r="MF36">
        <f>IF('calcA'!CS$106=1,GR36,1)</f>
        <v/>
      </c>
      <c r="MG36">
        <f>IF('calcA'!CT$106=1,GS36,1)</f>
        <v/>
      </c>
      <c r="MH36">
        <f>IF('calcA'!CU$106=1,GT36,1)</f>
        <v/>
      </c>
      <c r="MI36">
        <f>IF('calcA'!CV$106=1,GU36,1)</f>
        <v/>
      </c>
      <c r="MJ36">
        <f>IF('calcA'!CW$106=1,GV36,1)</f>
        <v/>
      </c>
      <c r="MK36">
        <f>IF('calcA'!CX$106=1,GW36,1)</f>
        <v/>
      </c>
      <c r="ML36">
        <f>IF('calcA'!CY$106=1,GX36,1)</f>
        <v/>
      </c>
      <c r="MM36">
        <f>IF('calcA'!CZ$106=1,GY36,1)</f>
        <v/>
      </c>
      <c r="MN36">
        <f>IF('calcA'!DA$106=1,GZ36,1)</f>
        <v/>
      </c>
      <c r="MO36">
        <f>IF('calcA'!DB$106=1,HA36,1)</f>
        <v/>
      </c>
      <c r="MP36">
        <f>IF('calcA'!DC$106=1,HB36,1)</f>
        <v/>
      </c>
      <c r="MQ36">
        <f>IF('calcA'!DD$106=1,HC36,1)</f>
        <v/>
      </c>
      <c r="MR36">
        <f>IF('calcA'!DE$106=1,HD36,1)</f>
        <v/>
      </c>
      <c r="MS36">
        <f>IF('calcA'!DF$106=1,HE36,1)</f>
        <v/>
      </c>
      <c r="MT36">
        <f>IF('calcA'!DG$106=1,HF36,1)</f>
        <v/>
      </c>
      <c r="MU36">
        <f>IF('calcA'!DH$106=1,HG36,1)</f>
        <v/>
      </c>
      <c r="MV36">
        <f>IF('calcA'!DI$106=1,HH36,1)</f>
        <v/>
      </c>
      <c r="MW36">
        <f>IF('calcA'!DJ$106=1,HI36,1)</f>
        <v/>
      </c>
      <c r="MX36">
        <f>IF('calcA'!DK$106=1,HJ36,1)</f>
        <v/>
      </c>
      <c r="MY36">
        <f>IF('calcA'!DL$106=1,HK36,1)</f>
        <v/>
      </c>
      <c r="MZ36">
        <f>IF('calcA'!DM$106=1,HL36,1)</f>
        <v/>
      </c>
      <c r="NA36">
        <f>IF('calcA'!DN$106=1,HM36,1)</f>
        <v/>
      </c>
      <c r="NB36">
        <f>IF('calcA'!DO$106=1,HN36,1)</f>
        <v/>
      </c>
      <c r="NC36">
        <f>IF('calcA'!DP$106=1,HO36,1)</f>
        <v/>
      </c>
      <c r="ND36">
        <f>IF('calcA'!DQ$106=1,HP36,1)</f>
        <v/>
      </c>
      <c r="NE36">
        <f>IF('calcA'!DR$106=1,HQ36,1)</f>
        <v/>
      </c>
      <c r="NF36">
        <f>IF('calcA'!DS$106=1,HR36,1)</f>
        <v/>
      </c>
      <c r="NG36">
        <f>IF('calcA'!DT$106=1,HS36,1)</f>
        <v/>
      </c>
      <c r="NH36">
        <f>IF('calcA'!DU$106=1,HT36,1)</f>
        <v/>
      </c>
      <c r="NI36">
        <f>IF('calcA'!DV$106=1,HU36,1)</f>
        <v/>
      </c>
      <c r="NJ36">
        <f>IF('calcA'!DW$106=1,HV36,1)</f>
        <v/>
      </c>
      <c r="NK36">
        <f>IF('calcA'!DX$106=1,HW36,1)</f>
        <v/>
      </c>
      <c r="NL36">
        <f>IF('calcA'!DY$106=1,HX36,1)</f>
        <v/>
      </c>
      <c r="NM36">
        <f>IF('calcA'!DZ$106=1,HY36,1)</f>
        <v/>
      </c>
      <c r="NN36">
        <f>IF('calcA'!EA$106=1,HZ36,1)</f>
        <v/>
      </c>
      <c r="NO36">
        <f>IF('calcA'!EB$106=1,IA36,1)</f>
        <v/>
      </c>
      <c r="NP36">
        <f>IF('calcA'!EC$106=1,IB36,1)</f>
        <v/>
      </c>
      <c r="NQ36">
        <f>IF('calcA'!ED$106=1,IC36,1)</f>
        <v/>
      </c>
      <c r="NR36">
        <f>IF('calcA'!EE$106=1,ID36,1)</f>
        <v/>
      </c>
      <c r="NS36">
        <f>IF('calcA'!EF$106=1,IE36,1)</f>
        <v/>
      </c>
      <c r="NT36">
        <f>IF('calcA'!EG$106=1,IF36,1)</f>
        <v/>
      </c>
      <c r="NU36">
        <f>IF('calcA'!EH$106=1,IG36,1)</f>
        <v/>
      </c>
      <c r="NV36">
        <f>IF('calcA'!EI$106=1,IH36,1)</f>
        <v/>
      </c>
      <c r="NW36">
        <f>IF('calcA'!EJ$106=1,II36,1)</f>
        <v/>
      </c>
      <c r="NX36">
        <f>IF('calcA'!EK$106=1,IJ36,1)</f>
        <v/>
      </c>
      <c r="NY36">
        <f>IF('calcA'!EL$106=1,IK36,1)</f>
        <v/>
      </c>
      <c r="NZ36">
        <f>IF('calcA'!EM$106=1,IL36,1)</f>
        <v/>
      </c>
      <c r="OA36">
        <f>IF('calcA'!EN$106=1,IM36,1)</f>
        <v/>
      </c>
      <c r="OB36">
        <f>IF('calcA'!EO$106=1,IN36,1)</f>
        <v/>
      </c>
      <c r="OC36">
        <f>IF('calcA'!EP$106=1,IO36,1)</f>
        <v/>
      </c>
      <c r="OD36" t="n">
        <v>1</v>
      </c>
      <c r="OF36">
        <f>IF($B36=0,1000000000,IF(INDEX('calcA'!$D$60:$EQ$99,$B36,1)*IF($W36=1,DB36+ZQ36,DB36)=1,IF(AND($E36=2,IF($W36=1,AFF36,IQ36)=0),1000000000,IF($V36=1,INDEX('calcA'!$D$130:$EQ$169,$B36,1)+IF(AND($E36=1,IQ36=0),25,0),IF($F36&gt;0,INDEX('calcA'!D$110:D$114,$F36+1)+IF(AND($E36=1,IQ36=0),1000,0),MIN(TU36,20)*400+(IF('calcA'!D$106=1,1-DC36,0))*150+11+'calcA'!D$5*100000+IF(AND($E36=1,IQ36=0),50000,0))+IF($H36=1,INDEX('calcA'!$D$180:$EQ$219,$B36,1)*4000,0)-IF(AND($U36=1,'calcA'!D$117=1,DC36=0),2000,0))),1000000000))</f>
        <v/>
      </c>
      <c r="OG36">
        <f>IF($B36=0,1000000000,IF(INDEX('calcA'!$D$60:$EQ$99,$B36,2)*IF($W36=1,DC36+ZR36,DC36)=1,IF(AND($E36=2,IF($W36=1,AFG36,IR36)=0),1000000000,IF($V36=1,INDEX('calcA'!$D$130:$EQ$169,$B36,2)+IF(AND($E36=1,IR36=0),25,0),IF($F36&gt;0,INDEX('calcA'!E$110:E$114,$F36+1)+IF(AND($E36=1,IR36=0),1000,0),MIN(TU36,20)*400+(IF('calcA'!D$106=1,1-DB36,0)+IF('calcA'!E$106=1,1-DD36,0))*150+21+'calcA'!E$5*100000+IF(AND($E36=1,IR36=0),50000,0))+IF($H36=1,INDEX('calcA'!$D$180:$EQ$219,$B36,2)*4000,0)-IF(AND('calcA'!D$117=1,UB36&gt;0),2000,0)-IF(AND($U36=1,'calcA'!E$117=1,DD36=0),2000,0))),1000000000))</f>
        <v/>
      </c>
      <c r="OH36">
        <f>IF($B36=0,1000000000,IF(INDEX('calcA'!$D$60:$EQ$99,$B36,3)*IF($W36=1,DD36+ZS36,DD36)=1,IF(AND($E36=2,IF($W36=1,AFH36,IS36)=0),1000000000,IF($V36=1,INDEX('calcA'!$D$130:$EQ$169,$B36,3)+IF(AND($E36=1,IS36=0),25,0),IF($F36&gt;0,INDEX('calcA'!F$110:F$114,$F36+1)+IF(AND($E36=1,IS36=0),1000,0),MIN(TU36,20)*400+(IF('calcA'!E$106=1,1-DC36,0)+IF('calcA'!F$106=1,1-DE36,0))*150+31+'calcA'!F$5*100000+IF(AND($E36=1,IS36=0),50000,0))+IF($H36=1,INDEX('calcA'!$D$180:$EQ$219,$B36,3)*4000,0)-IF(AND('calcA'!E$117=1,UC36&gt;0),2000,0)-IF(AND($U36=1,'calcA'!F$117=1,DE36=0),2000,0))),1000000000))</f>
        <v/>
      </c>
      <c r="OI36">
        <f>IF($B36=0,1000000000,IF(INDEX('calcA'!$D$60:$EQ$99,$B36,4)*IF($W36=1,DE36+ZT36,DE36)=1,IF(AND($E36=2,IF($W36=1,AFI36,IT36)=0),1000000000,IF($V36=1,INDEX('calcA'!$D$130:$EQ$169,$B36,4)+IF(AND($E36=1,IT36=0),25,0),IF($F36&gt;0,INDEX('calcA'!G$110:G$114,$F36+1)+IF(AND($E36=1,IT36=0),1000,0),MIN(TU36,20)*400+(IF('calcA'!F$106=1,1-DD36,0)+IF('calcA'!G$106=1,1-DF36,0))*150+41+'calcA'!G$5*100000+IF(AND($E36=1,IT36=0),50000,0))+IF($H36=1,INDEX('calcA'!$D$180:$EQ$219,$B36,4)*4000,0)-IF(AND('calcA'!F$117=1,UD36&gt;0),2000,0)-IF(AND($U36=1,'calcA'!G$117=1,DF36=0),2000,0))),1000000000))</f>
        <v/>
      </c>
      <c r="OJ36">
        <f>IF($B36=0,1000000000,IF(INDEX('calcA'!$D$60:$EQ$99,$B36,5)*IF($W36=1,DF36+ZU36,DF36)=1,IF(AND($E36=2,IF($W36=1,AFJ36,IU36)=0),1000000000,IF($V36=1,INDEX('calcA'!$D$130:$EQ$169,$B36,5)+IF(AND($E36=1,IU36=0),25,0),IF($F36&gt;0,INDEX('calcA'!H$110:H$114,$F36+1)+IF(AND($E36=1,IU36=0),1000,0),MIN(TU36,20)*400+(IF('calcA'!G$106=1,1-DE36,0)+IF('calcA'!H$106=1,1-DG36,0))*150+51+'calcA'!H$5*100000+IF(AND($E36=1,IU36=0),50000,0))+IF($H36=1,INDEX('calcA'!$D$180:$EQ$219,$B36,5)*4000,0)-IF(AND('calcA'!G$117=1,UE36&gt;0),2000,0)-IF(AND($U36=1,'calcA'!H$117=1,DG36=0),2000,0))),1000000000))</f>
        <v/>
      </c>
      <c r="OK36">
        <f>IF($B36=0,1000000000,IF(INDEX('calcA'!$D$60:$EQ$99,$B36,6)*IF($W36=1,DG36+ZV36,DG36)=1,IF(AND($E36=2,IF($W36=1,AFK36,IV36)=0),1000000000,IF($V36=1,INDEX('calcA'!$D$130:$EQ$169,$B36,6)+IF(AND($E36=1,IV36=0),25,0),IF($F36&gt;0,INDEX('calcA'!I$110:I$114,$F36+1)+IF(AND($E36=1,IV36=0),1000,0),MIN(TU36,20)*400+(IF('calcA'!H$106=1,1-DF36,0)+IF('calcA'!I$106=1,1-DH36,0))*150+61+'calcA'!I$5*100000+IF(AND($E36=1,IV36=0),50000,0))+IF($H36=1,INDEX('calcA'!$D$180:$EQ$219,$B36,6)*4000,0)-IF(AND('calcA'!H$117=1,UF36&gt;0),2000,0)-IF(AND($U36=1,'calcA'!I$117=1,DH36=0),2000,0))),1000000000))</f>
        <v/>
      </c>
      <c r="OL36">
        <f>IF($B36=0,1000000000,IF(INDEX('calcA'!$D$60:$EQ$99,$B36,7)*IF($W36=1,DH36+ZW36,DH36)=1,IF(AND($E36=2,IF($W36=1,AFL36,IW36)=0),1000000000,IF($V36=1,INDEX('calcA'!$D$130:$EQ$169,$B36,7)+IF(AND($E36=1,IW36=0),25,0),IF($F36&gt;0,INDEX('calcA'!J$110:J$114,$F36+1)+IF(AND($E36=1,IW36=0),1000,0),MIN(TU36,20)*400+(IF('calcA'!I$106=1,1-DG36,0)+IF('calcA'!J$106=1,1-DI36,0))*150+71+'calcA'!J$5*100000+IF(AND($E36=1,IW36=0),50000,0))+IF($H36=1,INDEX('calcA'!$D$180:$EQ$219,$B36,7)*4000,0)-IF(AND('calcA'!I$117=1,UG36&gt;0),2000,0)-IF(AND($U36=1,'calcA'!J$117=1,DI36=0),2000,0))),1000000000))</f>
        <v/>
      </c>
      <c r="OM36">
        <f>IF($B36=0,1000000000,IF(INDEX('calcA'!$D$60:$EQ$99,$B36,8)*IF($W36=1,DI36+ZX36,DI36)=1,IF(AND($E36=2,IF($W36=1,AFM36,IX36)=0),1000000000,IF($V36=1,INDEX('calcA'!$D$130:$EQ$169,$B36,8)+IF(AND($E36=1,IX36=0),25,0),IF($F36&gt;0,INDEX('calcA'!K$110:K$114,$F36+1)+IF(AND($E36=1,IX36=0),1000,0),MIN(TU36,20)*400+(IF('calcA'!J$106=1,1-DH36,0)+IF('calcA'!K$106=1,1-DJ36,0))*150+81+'calcA'!K$5*100000+IF(AND($E36=1,IX36=0),50000,0))+IF($H36=1,INDEX('calcA'!$D$180:$EQ$219,$B36,8)*4000,0)-IF(AND('calcA'!J$117=1,UH36&gt;0),2000,0)-IF(AND($U36=1,'calcA'!K$117=1,DJ36=0),2000,0))),1000000000))</f>
        <v/>
      </c>
      <c r="ON36">
        <f>IF($B36=0,1000000000,IF(INDEX('calcA'!$D$60:$EQ$99,$B36,9)*IF($W36=1,DJ36+ZY36,DJ36)=1,IF(AND($E36=2,IF($W36=1,AFN36,IY36)=0),1000000000,IF($V36=1,INDEX('calcA'!$D$130:$EQ$169,$B36,9)+IF(AND($E36=1,IY36=0),25,0),IF($F36&gt;0,INDEX('calcA'!L$110:L$114,$F36+1)+IF(AND($E36=1,IY36=0),1000,0),MIN(TU36,20)*400+(IF('calcA'!K$106=1,1-DI36,0)+IF('calcA'!L$106=1,1-DK36,0))*150+91+'calcA'!L$5*100000+IF(AND($E36=1,IY36=0),50000,0))+IF($H36=1,INDEX('calcA'!$D$180:$EQ$219,$B36,9)*4000,0)-IF(AND('calcA'!K$117=1,UI36&gt;0),2000,0)-IF(AND($U36=1,'calcA'!L$117=1,DK36=0),2000,0))),1000000000))</f>
        <v/>
      </c>
      <c r="OO36">
        <f>IF($B36=0,1000000000,IF(INDEX('calcA'!$D$60:$EQ$99,$B36,10)*IF($W36=1,DK36+ZZ36,DK36)=1,IF(AND($E36=2,IF($W36=1,AFO36,IZ36)=0),1000000000,IF($V36=1,INDEX('calcA'!$D$130:$EQ$169,$B36,10)+IF(AND($E36=1,IZ36=0),25,0),IF($F36&gt;0,INDEX('calcA'!M$110:M$114,$F36+1)+IF(AND($E36=1,IZ36=0),1000,0),MIN(TU36,20)*400+(IF('calcA'!L$106=1,1-DJ36,0)+IF('calcA'!M$106=1,1-DL36,0))*150+101+'calcA'!M$5*100000+IF(AND($E36=1,IZ36=0),50000,0))+IF($H36=1,INDEX('calcA'!$D$180:$EQ$219,$B36,10)*4000,0)-IF(AND('calcA'!L$117=1,UJ36&gt;0),2000,0)-IF(AND($U36=1,'calcA'!M$117=1,DL36=0),2000,0))),1000000000))</f>
        <v/>
      </c>
      <c r="OP36">
        <f>IF($B36=0,1000000000,IF(INDEX('calcA'!$D$60:$EQ$99,$B36,11)*IF($W36=1,DL36+AAA36,DL36)=1,IF(AND($E36=2,IF($W36=1,AFP36,JA36)=0),1000000000,IF($V36=1,INDEX('calcA'!$D$130:$EQ$169,$B36,11)+IF(AND($E36=1,JA36=0),25,0),IF($F36&gt;0,INDEX('calcA'!N$110:N$114,$F36+1)+IF(AND($E36=1,JA36=0),1000,0),MIN(TU36,20)*400+(IF('calcA'!M$106=1,1-DK36,0)+IF('calcA'!N$106=1,1-DM36,0))*150+111+'calcA'!N$5*100000+IF(AND($E36=1,JA36=0),50000,0))+IF($H36=1,INDEX('calcA'!$D$180:$EQ$219,$B36,11)*4000,0)-IF(AND('calcA'!M$117=1,UK36&gt;0),2000,0)-IF(AND($U36=1,'calcA'!N$117=1,DM36=0),2000,0))),1000000000))</f>
        <v/>
      </c>
      <c r="OQ36">
        <f>IF($B36=0,1000000000,IF(INDEX('calcA'!$D$60:$EQ$99,$B36,12)*IF($W36=1,DM36+AAB36,DM36)=1,IF(AND($E36=2,IF($W36=1,AFQ36,JB36)=0),1000000000,IF($V36=1,INDEX('calcA'!$D$130:$EQ$169,$B36,12)+IF(AND($E36=1,JB36=0),25,0),IF($F36&gt;0,INDEX('calcA'!O$110:O$114,$F36+1)+IF(AND($E36=1,JB36=0),1000,0),MIN(TU36,20)*400+(IF('calcA'!N$106=1,1-DL36,0)+IF('calcA'!O$106=1,1-DN36,0))*150+121+'calcA'!O$5*100000+IF(AND($E36=1,JB36=0),50000,0))+IF($H36=1,INDEX('calcA'!$D$180:$EQ$219,$B36,12)*4000,0)-IF(AND('calcA'!N$117=1,UL36&gt;0),2000,0)-IF(AND($U36=1,'calcA'!O$117=1,DN36=0),2000,0))),1000000000))</f>
        <v/>
      </c>
      <c r="OR36">
        <f>IF($B36=0,1000000000,IF(INDEX('calcA'!$D$60:$EQ$99,$B36,13)*IF($W36=1,DN36+AAC36,DN36)=1,IF(AND($E36=2,IF($W36=1,AFR36,JC36)=0),1000000000,IF($V36=1,INDEX('calcA'!$D$130:$EQ$169,$B36,13)+IF(AND($E36=1,JC36=0),25,0),IF($F36&gt;0,INDEX('calcA'!P$110:P$114,$F36+1)+IF(AND($E36=1,JC36=0),1000,0),MIN(TU36,20)*400+(IF('calcA'!O$106=1,1-DM36,0)+IF('calcA'!P$106=1,1-DO36,0))*150+131+'calcA'!P$5*100000+IF(AND($E36=1,JC36=0),50000,0))+IF($H36=1,INDEX('calcA'!$D$180:$EQ$219,$B36,13)*4000,0)-IF(AND('calcA'!O$117=1,UM36&gt;0),2000,0)-IF(AND($U36=1,'calcA'!P$117=1,DO36=0),2000,0))),1000000000))</f>
        <v/>
      </c>
      <c r="OS36">
        <f>IF($B36=0,1000000000,IF(INDEX('calcA'!$D$60:$EQ$99,$B36,14)*IF($W36=1,DO36+AAD36,DO36)=1,IF(AND($E36=2,IF($W36=1,AFS36,JD36)=0),1000000000,IF($V36=1,INDEX('calcA'!$D$130:$EQ$169,$B36,14)+IF(AND($E36=1,JD36=0),25,0),IF($F36&gt;0,INDEX('calcA'!Q$110:Q$114,$F36+1)+IF(AND($E36=1,JD36=0),1000,0),MIN(TU36,20)*400+(IF('calcA'!P$106=1,1-DN36,0)+IF('calcA'!Q$106=1,1-DP36,0))*150+141+'calcA'!Q$5*100000+IF(AND($E36=1,JD36=0),50000,0))+IF($H36=1,INDEX('calcA'!$D$180:$EQ$219,$B36,14)*4000,0)-IF(AND('calcA'!P$117=1,UN36&gt;0),2000,0)-IF(AND($U36=1,'calcA'!Q$117=1,DP36=0),2000,0))),1000000000))</f>
        <v/>
      </c>
      <c r="OT36">
        <f>IF($B36=0,1000000000,IF(INDEX('calcA'!$D$60:$EQ$99,$B36,15)*IF($W36=1,DP36+AAE36,DP36)=1,IF(AND($E36=2,IF($W36=1,AFT36,JE36)=0),1000000000,IF($V36=1,INDEX('calcA'!$D$130:$EQ$169,$B36,15)+IF(AND($E36=1,JE36=0),25,0),IF($F36&gt;0,INDEX('calcA'!R$110:R$114,$F36+1)+IF(AND($E36=1,JE36=0),1000,0),MIN(TU36,20)*400+(IF('calcA'!Q$106=1,1-DO36,0)+IF('calcA'!R$106=1,1-DQ36,0))*150+151+'calcA'!R$5*100000+IF(AND($E36=1,JE36=0),50000,0))+IF($H36=1,INDEX('calcA'!$D$180:$EQ$219,$B36,15)*4000,0)-IF(AND('calcA'!Q$117=1,UO36&gt;0),2000,0)-IF(AND($U36=1,'calcA'!R$117=1,DQ36=0),2000,0))),1000000000))</f>
        <v/>
      </c>
      <c r="OU36">
        <f>IF($B36=0,1000000000,IF(INDEX('calcA'!$D$60:$EQ$99,$B36,16)*IF($W36=1,DQ36+AAF36,DQ36)=1,IF(AND($E36=2,IF($W36=1,AFU36,JF36)=0),1000000000,IF($V36=1,INDEX('calcA'!$D$130:$EQ$169,$B36,16)+IF(AND($E36=1,JF36=0),25,0),IF($F36&gt;0,INDEX('calcA'!S$110:S$114,$F36+1)+IF(AND($E36=1,JF36=0),1000,0),MIN(TU36,20)*400+(IF('calcA'!R$106=1,1-DP36,0)+IF('calcA'!S$106=1,1-DR36,0))*150+161+'calcA'!S$5*100000+IF(AND($E36=1,JF36=0),50000,0))+IF($H36=1,INDEX('calcA'!$D$180:$EQ$219,$B36,16)*4000,0)-IF(AND('calcA'!R$117=1,UP36&gt;0),2000,0)-IF(AND($U36=1,'calcA'!S$117=1,DR36=0),2000,0))),1000000000))</f>
        <v/>
      </c>
      <c r="OV36">
        <f>IF($B36=0,1000000000,IF(INDEX('calcA'!$D$60:$EQ$99,$B36,17)*IF($W36=1,DR36+AAG36,DR36)=1,IF(AND($E36=2,IF($W36=1,AFV36,JG36)=0),1000000000,IF($V36=1,INDEX('calcA'!$D$130:$EQ$169,$B36,17)+IF(AND($E36=1,JG36=0),25,0),IF($F36&gt;0,INDEX('calcA'!T$110:T$114,$F36+1)+IF(AND($E36=1,JG36=0),1000,0),MIN(TU36,20)*400+(IF('calcA'!S$106=1,1-DQ36,0)+IF('calcA'!T$106=1,1-DS36,0))*150+171+'calcA'!T$5*100000+IF(AND($E36=1,JG36=0),50000,0))+IF($H36=1,INDEX('calcA'!$D$180:$EQ$219,$B36,17)*4000,0)-IF(AND('calcA'!S$117=1,UQ36&gt;0),2000,0)-IF(AND($U36=1,'calcA'!T$117=1,DS36=0),2000,0))),1000000000))</f>
        <v/>
      </c>
      <c r="OW36">
        <f>IF($B36=0,1000000000,IF(INDEX('calcA'!$D$60:$EQ$99,$B36,18)*IF($W36=1,DS36+AAH36,DS36)=1,IF(AND($E36=2,IF($W36=1,AFW36,JH36)=0),1000000000,IF($V36=1,INDEX('calcA'!$D$130:$EQ$169,$B36,18)+IF(AND($E36=1,JH36=0),25,0),IF($F36&gt;0,INDEX('calcA'!U$110:U$114,$F36+1)+IF(AND($E36=1,JH36=0),1000,0),MIN(TU36,20)*400+(IF('calcA'!T$106=1,1-DR36,0)+IF('calcA'!U$106=1,1-DT36,0))*150+181+'calcA'!U$5*100000+IF(AND($E36=1,JH36=0),50000,0))+IF($H36=1,INDEX('calcA'!$D$180:$EQ$219,$B36,18)*4000,0)-IF(AND('calcA'!T$117=1,UR36&gt;0),2000,0)-IF(AND($U36=1,'calcA'!U$117=1,DT36=0),2000,0))),1000000000))</f>
        <v/>
      </c>
      <c r="OX36">
        <f>IF($B36=0,1000000000,IF(INDEX('calcA'!$D$60:$EQ$99,$B36,19)*IF($W36=1,DT36+AAI36,DT36)=1,IF(AND($E36=2,IF($W36=1,AFX36,JI36)=0),1000000000,IF($V36=1,INDEX('calcA'!$D$130:$EQ$169,$B36,19)+IF(AND($E36=1,JI36=0),25,0),IF($F36&gt;0,INDEX('calcA'!V$110:V$114,$F36+1)+IF(AND($E36=1,JI36=0),1000,0),MIN(TU36,20)*400+(IF('calcA'!U$106=1,1-DS36,0)+IF('calcA'!V$106=1,1-DU36,0))*150+191+'calcA'!V$5*100000+IF(AND($E36=1,JI36=0),50000,0))+IF($H36=1,INDEX('calcA'!$D$180:$EQ$219,$B36,19)*4000,0)-IF(AND('calcA'!U$117=1,US36&gt;0),2000,0)-IF(AND($U36=1,'calcA'!V$117=1,DU36=0),2000,0))),1000000000))</f>
        <v/>
      </c>
      <c r="OY36">
        <f>IF($B36=0,1000000000,IF(INDEX('calcA'!$D$60:$EQ$99,$B36,20)*IF($W36=1,DU36+AAJ36,DU36)=1,IF(AND($E36=2,IF($W36=1,AFY36,JJ36)=0),1000000000,IF($V36=1,INDEX('calcA'!$D$130:$EQ$169,$B36,20)+IF(AND($E36=1,JJ36=0),25,0),IF($F36&gt;0,INDEX('calcA'!W$110:W$114,$F36+1)+IF(AND($E36=1,JJ36=0),1000,0),MIN(TU36,20)*400+(IF('calcA'!V$106=1,1-DT36,0)+IF('calcA'!W$106=1,1-DV36,0))*150+201+'calcA'!W$5*100000+IF(AND($E36=1,JJ36=0),50000,0))+IF($H36=1,INDEX('calcA'!$D$180:$EQ$219,$B36,20)*4000,0)-IF(AND('calcA'!V$117=1,UT36&gt;0),2000,0)-IF(AND($U36=1,'calcA'!W$117=1,DV36=0),2000,0))),1000000000))</f>
        <v/>
      </c>
      <c r="OZ36">
        <f>IF($B36=0,1000000000,IF(INDEX('calcA'!$D$60:$EQ$99,$B36,21)*IF($W36=1,DV36+AAK36,DV36)=1,IF(AND($E36=2,IF($W36=1,AFZ36,JK36)=0),1000000000,IF($V36=1,INDEX('calcA'!$D$130:$EQ$169,$B36,21)+IF(AND($E36=1,JK36=0),25,0),IF($F36&gt;0,INDEX('calcA'!X$110:X$114,$F36+1)+IF(AND($E36=1,JK36=0),1000,0),MIN(TU36,20)*400+(IF('calcA'!W$106=1,1-DU36,0)+IF('calcA'!X$106=1,1-DW36,0))*150+211+'calcA'!X$5*100000+IF(AND($E36=1,JK36=0),50000,0))+IF($H36=1,INDEX('calcA'!$D$180:$EQ$219,$B36,21)*4000,0)-IF(AND('calcA'!W$117=1,UU36&gt;0),2000,0)-IF(AND($U36=1,'calcA'!X$117=1,DW36=0),2000,0))),1000000000))</f>
        <v/>
      </c>
      <c r="PA36">
        <f>IF($B36=0,1000000000,IF(INDEX('calcA'!$D$60:$EQ$99,$B36,22)*IF($W36=1,DW36+AAL36,DW36)=1,IF(AND($E36=2,IF($W36=1,AGA36,JL36)=0),1000000000,IF($V36=1,INDEX('calcA'!$D$130:$EQ$169,$B36,22)+IF(AND($E36=1,JL36=0),25,0),IF($F36&gt;0,INDEX('calcA'!Y$110:Y$114,$F36+1)+IF(AND($E36=1,JL36=0),1000,0),MIN(TU36,20)*400+(IF('calcA'!X$106=1,1-DV36,0)+IF('calcA'!Y$106=1,1-DX36,0))*150+221+'calcA'!Y$5*100000+IF(AND($E36=1,JL36=0),50000,0))+IF($H36=1,INDEX('calcA'!$D$180:$EQ$219,$B36,22)*4000,0)-IF(AND('calcA'!X$117=1,UV36&gt;0),2000,0)-IF(AND($U36=1,'calcA'!Y$117=1,DX36=0),2000,0))),1000000000))</f>
        <v/>
      </c>
      <c r="PB36">
        <f>IF($B36=0,1000000000,IF(INDEX('calcA'!$D$60:$EQ$99,$B36,23)*IF($W36=1,DX36+AAM36,DX36)=1,IF(AND($E36=2,IF($W36=1,AGB36,JM36)=0),1000000000,IF($V36=1,INDEX('calcA'!$D$130:$EQ$169,$B36,23)+IF(AND($E36=1,JM36=0),25,0),IF($F36&gt;0,INDEX('calcA'!Z$110:Z$114,$F36+1)+IF(AND($E36=1,JM36=0),1000,0),MIN(TU36,20)*400+(IF('calcA'!Y$106=1,1-DW36,0)+IF('calcA'!Z$106=1,1-DY36,0))*150+231+'calcA'!Z$5*100000+IF(AND($E36=1,JM36=0),50000,0))+IF($H36=1,INDEX('calcA'!$D$180:$EQ$219,$B36,23)*4000,0)-IF(AND('calcA'!Y$117=1,UW36&gt;0),2000,0)-IF(AND($U36=1,'calcA'!Z$117=1,DY36=0),2000,0))),1000000000))</f>
        <v/>
      </c>
      <c r="PC36">
        <f>IF($B36=0,1000000000,IF(INDEX('calcA'!$D$60:$EQ$99,$B36,24)*IF($W36=1,DY36+AAN36,DY36)=1,IF(AND($E36=2,IF($W36=1,AGC36,JN36)=0),1000000000,IF($V36=1,INDEX('calcA'!$D$130:$EQ$169,$B36,24)+IF(AND($E36=1,JN36=0),25,0),IF($F36&gt;0,INDEX('calcA'!AA$110:AA$114,$F36+1)+IF(AND($E36=1,JN36=0),1000,0),MIN(TU36,20)*400+(IF('calcA'!Z$106=1,1-DX36,0))*150+241+'calcA'!AA$5*100000+IF(AND($E36=1,JN36=0),50000,0))+IF($H36=1,INDEX('calcA'!$D$180:$EQ$219,$B36,24)*4000,0)-IF(AND('calcA'!Z$117=1,UX36&gt;0),2000,0))),1000000000))</f>
        <v/>
      </c>
      <c r="PD36">
        <f>IF($B36=0,1000000000,IF(INDEX('calcA'!$D$60:$EQ$99,$B36,25)*IF($W36=1,DZ36+AAO36,DZ36)=1,IF(AND($E36=2,IF($W36=1,AGD36,JO36)=0),1000000000,IF($V36=1,INDEX('calcA'!$D$130:$EQ$169,$B36,25)+IF(AND($E36=1,JO36=0),25,0),IF($F36&gt;0,INDEX('calcA'!AB$110:AB$114,$F36+1)+IF(AND($E36=1,JO36=0),1000,0),MIN(TV36,20)*400+(IF('calcA'!AB$106=1,1-EA36,0))*150+12+'calcA'!AB$5*100000+IF(AND($E36=1,JO36=0),50000,0))+IF($H36=1,INDEX('calcA'!$D$180:$EQ$219,$B36,25)*4000,0)-IF(AND($U36=1,'calcA'!AB$117=1,EA36=0),2000,0))),1000000000))</f>
        <v/>
      </c>
      <c r="PE36">
        <f>IF($B36=0,1000000000,IF(INDEX('calcA'!$D$60:$EQ$99,$B36,26)*IF($W36=1,EA36+AAP36,EA36)=1,IF(AND($E36=2,IF($W36=1,AGE36,JP36)=0),1000000000,IF($V36=1,INDEX('calcA'!$D$130:$EQ$169,$B36,26)+IF(AND($E36=1,JP36=0),25,0),IF($F36&gt;0,INDEX('calcA'!AC$110:AC$114,$F36+1)+IF(AND($E36=1,JP36=0),1000,0),MIN(TV36,20)*400+(IF('calcA'!AB$106=1,1-DZ36,0)+IF('calcA'!AC$106=1,1-EB36,0))*150+22+'calcA'!AC$5*100000+IF(AND($E36=1,JP36=0),50000,0))+IF($H36=1,INDEX('calcA'!$D$180:$EQ$219,$B36,26)*4000,0)-IF(AND('calcA'!AB$117=1,UZ36&gt;0),2000,0)-IF(AND($U36=1,'calcA'!AC$117=1,EB36=0),2000,0))),1000000000))</f>
        <v/>
      </c>
      <c r="PF36">
        <f>IF($B36=0,1000000000,IF(INDEX('calcA'!$D$60:$EQ$99,$B36,27)*IF($W36=1,EB36+AAQ36,EB36)=1,IF(AND($E36=2,IF($W36=1,AGF36,JQ36)=0),1000000000,IF($V36=1,INDEX('calcA'!$D$130:$EQ$169,$B36,27)+IF(AND($E36=1,JQ36=0),25,0),IF($F36&gt;0,INDEX('calcA'!AD$110:AD$114,$F36+1)+IF(AND($E36=1,JQ36=0),1000,0),MIN(TV36,20)*400+(IF('calcA'!AC$106=1,1-EA36,0)+IF('calcA'!AD$106=1,1-EC36,0))*150+32+'calcA'!AD$5*100000+IF(AND($E36=1,JQ36=0),50000,0))+IF($H36=1,INDEX('calcA'!$D$180:$EQ$219,$B36,27)*4000,0)-IF(AND('calcA'!AC$117=1,VA36&gt;0),2000,0)-IF(AND($U36=1,'calcA'!AD$117=1,EC36=0),2000,0))),1000000000))</f>
        <v/>
      </c>
      <c r="PG36">
        <f>IF($B36=0,1000000000,IF(INDEX('calcA'!$D$60:$EQ$99,$B36,28)*IF($W36=1,EC36+AAR36,EC36)=1,IF(AND($E36=2,IF($W36=1,AGG36,JR36)=0),1000000000,IF($V36=1,INDEX('calcA'!$D$130:$EQ$169,$B36,28)+IF(AND($E36=1,JR36=0),25,0),IF($F36&gt;0,INDEX('calcA'!AE$110:AE$114,$F36+1)+IF(AND($E36=1,JR36=0),1000,0),MIN(TV36,20)*400+(IF('calcA'!AD$106=1,1-EB36,0)+IF('calcA'!AE$106=1,1-ED36,0))*150+42+'calcA'!AE$5*100000+IF(AND($E36=1,JR36=0),50000,0))+IF($H36=1,INDEX('calcA'!$D$180:$EQ$219,$B36,28)*4000,0)-IF(AND('calcA'!AD$117=1,VB36&gt;0),2000,0)-IF(AND($U36=1,'calcA'!AE$117=1,ED36=0),2000,0))),1000000000))</f>
        <v/>
      </c>
      <c r="PH36">
        <f>IF($B36=0,1000000000,IF(INDEX('calcA'!$D$60:$EQ$99,$B36,29)*IF($W36=1,ED36+AAS36,ED36)=1,IF(AND($E36=2,IF($W36=1,AGH36,JS36)=0),1000000000,IF($V36=1,INDEX('calcA'!$D$130:$EQ$169,$B36,29)+IF(AND($E36=1,JS36=0),25,0),IF($F36&gt;0,INDEX('calcA'!AF$110:AF$114,$F36+1)+IF(AND($E36=1,JS36=0),1000,0),MIN(TV36,20)*400+(IF('calcA'!AE$106=1,1-EC36,0)+IF('calcA'!AF$106=1,1-EE36,0))*150+52+'calcA'!AF$5*100000+IF(AND($E36=1,JS36=0),50000,0))+IF($H36=1,INDEX('calcA'!$D$180:$EQ$219,$B36,29)*4000,0)-IF(AND('calcA'!AE$117=1,VC36&gt;0),2000,0)-IF(AND($U36=1,'calcA'!AF$117=1,EE36=0),2000,0))),1000000000))</f>
        <v/>
      </c>
      <c r="PI36">
        <f>IF($B36=0,1000000000,IF(INDEX('calcA'!$D$60:$EQ$99,$B36,30)*IF($W36=1,EE36+AAT36,EE36)=1,IF(AND($E36=2,IF($W36=1,AGI36,JT36)=0),1000000000,IF($V36=1,INDEX('calcA'!$D$130:$EQ$169,$B36,30)+IF(AND($E36=1,JT36=0),25,0),IF($F36&gt;0,INDEX('calcA'!AG$110:AG$114,$F36+1)+IF(AND($E36=1,JT36=0),1000,0),MIN(TV36,20)*400+(IF('calcA'!AF$106=1,1-ED36,0)+IF('calcA'!AG$106=1,1-EF36,0))*150+62+'calcA'!AG$5*100000+IF(AND($E36=1,JT36=0),50000,0))+IF($H36=1,INDEX('calcA'!$D$180:$EQ$219,$B36,30)*4000,0)-IF(AND('calcA'!AF$117=1,VD36&gt;0),2000,0)-IF(AND($U36=1,'calcA'!AG$117=1,EF36=0),2000,0))),1000000000))</f>
        <v/>
      </c>
      <c r="PJ36">
        <f>IF($B36=0,1000000000,IF(INDEX('calcA'!$D$60:$EQ$99,$B36,31)*IF($W36=1,EF36+AAU36,EF36)=1,IF(AND($E36=2,IF($W36=1,AGJ36,JU36)=0),1000000000,IF($V36=1,INDEX('calcA'!$D$130:$EQ$169,$B36,31)+IF(AND($E36=1,JU36=0),25,0),IF($F36&gt;0,INDEX('calcA'!AH$110:AH$114,$F36+1)+IF(AND($E36=1,JU36=0),1000,0),MIN(TV36,20)*400+(IF('calcA'!AG$106=1,1-EE36,0)+IF('calcA'!AH$106=1,1-EG36,0))*150+72+'calcA'!AH$5*100000+IF(AND($E36=1,JU36=0),50000,0))+IF($H36=1,INDEX('calcA'!$D$180:$EQ$219,$B36,31)*4000,0)-IF(AND('calcA'!AG$117=1,VE36&gt;0),2000,0)-IF(AND($U36=1,'calcA'!AH$117=1,EG36=0),2000,0))),1000000000))</f>
        <v/>
      </c>
      <c r="PK36">
        <f>IF($B36=0,1000000000,IF(INDEX('calcA'!$D$60:$EQ$99,$B36,32)*IF($W36=1,EG36+AAV36,EG36)=1,IF(AND($E36=2,IF($W36=1,AGK36,JV36)=0),1000000000,IF($V36=1,INDEX('calcA'!$D$130:$EQ$169,$B36,32)+IF(AND($E36=1,JV36=0),25,0),IF($F36&gt;0,INDEX('calcA'!AI$110:AI$114,$F36+1)+IF(AND($E36=1,JV36=0),1000,0),MIN(TV36,20)*400+(IF('calcA'!AH$106=1,1-EF36,0)+IF('calcA'!AI$106=1,1-EH36,0))*150+82+'calcA'!AI$5*100000+IF(AND($E36=1,JV36=0),50000,0))+IF($H36=1,INDEX('calcA'!$D$180:$EQ$219,$B36,32)*4000,0)-IF(AND('calcA'!AH$117=1,VF36&gt;0),2000,0)-IF(AND($U36=1,'calcA'!AI$117=1,EH36=0),2000,0))),1000000000))</f>
        <v/>
      </c>
      <c r="PL36">
        <f>IF($B36=0,1000000000,IF(INDEX('calcA'!$D$60:$EQ$99,$B36,33)*IF($W36=1,EH36+AAW36,EH36)=1,IF(AND($E36=2,IF($W36=1,AGL36,JW36)=0),1000000000,IF($V36=1,INDEX('calcA'!$D$130:$EQ$169,$B36,33)+IF(AND($E36=1,JW36=0),25,0),IF($F36&gt;0,INDEX('calcA'!AJ$110:AJ$114,$F36+1)+IF(AND($E36=1,JW36=0),1000,0),MIN(TV36,20)*400+(IF('calcA'!AI$106=1,1-EG36,0)+IF('calcA'!AJ$106=1,1-EI36,0))*150+92+'calcA'!AJ$5*100000+IF(AND($E36=1,JW36=0),50000,0))+IF($H36=1,INDEX('calcA'!$D$180:$EQ$219,$B36,33)*4000,0)-IF(AND('calcA'!AI$117=1,VG36&gt;0),2000,0)-IF(AND($U36=1,'calcA'!AJ$117=1,EI36=0),2000,0))),1000000000))</f>
        <v/>
      </c>
      <c r="PM36">
        <f>IF($B36=0,1000000000,IF(INDEX('calcA'!$D$60:$EQ$99,$B36,34)*IF($W36=1,EI36+AAX36,EI36)=1,IF(AND($E36=2,IF($W36=1,AGM36,JX36)=0),1000000000,IF($V36=1,INDEX('calcA'!$D$130:$EQ$169,$B36,34)+IF(AND($E36=1,JX36=0),25,0),IF($F36&gt;0,INDEX('calcA'!AK$110:AK$114,$F36+1)+IF(AND($E36=1,JX36=0),1000,0),MIN(TV36,20)*400+(IF('calcA'!AJ$106=1,1-EH36,0)+IF('calcA'!AK$106=1,1-EJ36,0))*150+102+'calcA'!AK$5*100000+IF(AND($E36=1,JX36=0),50000,0))+IF($H36=1,INDEX('calcA'!$D$180:$EQ$219,$B36,34)*4000,0)-IF(AND('calcA'!AJ$117=1,VH36&gt;0),2000,0)-IF(AND($U36=1,'calcA'!AK$117=1,EJ36=0),2000,0))),1000000000))</f>
        <v/>
      </c>
      <c r="PN36">
        <f>IF($B36=0,1000000000,IF(INDEX('calcA'!$D$60:$EQ$99,$B36,35)*IF($W36=1,EJ36+AAY36,EJ36)=1,IF(AND($E36=2,IF($W36=1,AGN36,JY36)=0),1000000000,IF($V36=1,INDEX('calcA'!$D$130:$EQ$169,$B36,35)+IF(AND($E36=1,JY36=0),25,0),IF($F36&gt;0,INDEX('calcA'!AL$110:AL$114,$F36+1)+IF(AND($E36=1,JY36=0),1000,0),MIN(TV36,20)*400+(IF('calcA'!AK$106=1,1-EI36,0)+IF('calcA'!AL$106=1,1-EK36,0))*150+112+'calcA'!AL$5*100000+IF(AND($E36=1,JY36=0),50000,0))+IF($H36=1,INDEX('calcA'!$D$180:$EQ$219,$B36,35)*4000,0)-IF(AND('calcA'!AK$117=1,VI36&gt;0),2000,0)-IF(AND($U36=1,'calcA'!AL$117=1,EK36=0),2000,0))),1000000000))</f>
        <v/>
      </c>
      <c r="PO36">
        <f>IF($B36=0,1000000000,IF(INDEX('calcA'!$D$60:$EQ$99,$B36,36)*IF($W36=1,EK36+AAZ36,EK36)=1,IF(AND($E36=2,IF($W36=1,AGO36,JZ36)=0),1000000000,IF($V36=1,INDEX('calcA'!$D$130:$EQ$169,$B36,36)+IF(AND($E36=1,JZ36=0),25,0),IF($F36&gt;0,INDEX('calcA'!AM$110:AM$114,$F36+1)+IF(AND($E36=1,JZ36=0),1000,0),MIN(TV36,20)*400+(IF('calcA'!AL$106=1,1-EJ36,0)+IF('calcA'!AM$106=1,1-EL36,0))*150+122+'calcA'!AM$5*100000+IF(AND($E36=1,JZ36=0),50000,0))+IF($H36=1,INDEX('calcA'!$D$180:$EQ$219,$B36,36)*4000,0)-IF(AND('calcA'!AL$117=1,VJ36&gt;0),2000,0)-IF(AND($U36=1,'calcA'!AM$117=1,EL36=0),2000,0))),1000000000))</f>
        <v/>
      </c>
      <c r="PP36">
        <f>IF($B36=0,1000000000,IF(INDEX('calcA'!$D$60:$EQ$99,$B36,37)*IF($W36=1,EL36+ABA36,EL36)=1,IF(AND($E36=2,IF($W36=1,AGP36,KA36)=0),1000000000,IF($V36=1,INDEX('calcA'!$D$130:$EQ$169,$B36,37)+IF(AND($E36=1,KA36=0),25,0),IF($F36&gt;0,INDEX('calcA'!AN$110:AN$114,$F36+1)+IF(AND($E36=1,KA36=0),1000,0),MIN(TV36,20)*400+(IF('calcA'!AM$106=1,1-EK36,0)+IF('calcA'!AN$106=1,1-EM36,0))*150+132+'calcA'!AN$5*100000+IF(AND($E36=1,KA36=0),50000,0))+IF($H36=1,INDEX('calcA'!$D$180:$EQ$219,$B36,37)*4000,0)-IF(AND('calcA'!AM$117=1,VK36&gt;0),2000,0)-IF(AND($U36=1,'calcA'!AN$117=1,EM36=0),2000,0))),1000000000))</f>
        <v/>
      </c>
      <c r="PQ36">
        <f>IF($B36=0,1000000000,IF(INDEX('calcA'!$D$60:$EQ$99,$B36,38)*IF($W36=1,EM36+ABB36,EM36)=1,IF(AND($E36=2,IF($W36=1,AGQ36,KB36)=0),1000000000,IF($V36=1,INDEX('calcA'!$D$130:$EQ$169,$B36,38)+IF(AND($E36=1,KB36=0),25,0),IF($F36&gt;0,INDEX('calcA'!AO$110:AO$114,$F36+1)+IF(AND($E36=1,KB36=0),1000,0),MIN(TV36,20)*400+(IF('calcA'!AN$106=1,1-EL36,0)+IF('calcA'!AO$106=1,1-EN36,0))*150+142+'calcA'!AO$5*100000+IF(AND($E36=1,KB36=0),50000,0))+IF($H36=1,INDEX('calcA'!$D$180:$EQ$219,$B36,38)*4000,0)-IF(AND('calcA'!AN$117=1,VL36&gt;0),2000,0)-IF(AND($U36=1,'calcA'!AO$117=1,EN36=0),2000,0))),1000000000))</f>
        <v/>
      </c>
      <c r="PR36">
        <f>IF($B36=0,1000000000,IF(INDEX('calcA'!$D$60:$EQ$99,$B36,39)*IF($W36=1,EN36+ABC36,EN36)=1,IF(AND($E36=2,IF($W36=1,AGR36,KC36)=0),1000000000,IF($V36=1,INDEX('calcA'!$D$130:$EQ$169,$B36,39)+IF(AND($E36=1,KC36=0),25,0),IF($F36&gt;0,INDEX('calcA'!AP$110:AP$114,$F36+1)+IF(AND($E36=1,KC36=0),1000,0),MIN(TV36,20)*400+(IF('calcA'!AO$106=1,1-EM36,0)+IF('calcA'!AP$106=1,1-EO36,0))*150+152+'calcA'!AP$5*100000+IF(AND($E36=1,KC36=0),50000,0))+IF($H36=1,INDEX('calcA'!$D$180:$EQ$219,$B36,39)*4000,0)-IF(AND('calcA'!AO$117=1,VM36&gt;0),2000,0)-IF(AND($U36=1,'calcA'!AP$117=1,EO36=0),2000,0))),1000000000))</f>
        <v/>
      </c>
      <c r="PS36">
        <f>IF($B36=0,1000000000,IF(INDEX('calcA'!$D$60:$EQ$99,$B36,40)*IF($W36=1,EO36+ABD36,EO36)=1,IF(AND($E36=2,IF($W36=1,AGS36,KD36)=0),1000000000,IF($V36=1,INDEX('calcA'!$D$130:$EQ$169,$B36,40)+IF(AND($E36=1,KD36=0),25,0),IF($F36&gt;0,INDEX('calcA'!AQ$110:AQ$114,$F36+1)+IF(AND($E36=1,KD36=0),1000,0),MIN(TV36,20)*400+(IF('calcA'!AP$106=1,1-EN36,0)+IF('calcA'!AQ$106=1,1-EP36,0))*150+162+'calcA'!AQ$5*100000+IF(AND($E36=1,KD36=0),50000,0))+IF($H36=1,INDEX('calcA'!$D$180:$EQ$219,$B36,40)*4000,0)-IF(AND('calcA'!AP$117=1,VN36&gt;0),2000,0)-IF(AND($U36=1,'calcA'!AQ$117=1,EP36=0),2000,0))),1000000000))</f>
        <v/>
      </c>
      <c r="PT36">
        <f>IF($B36=0,1000000000,IF(INDEX('calcA'!$D$60:$EQ$99,$B36,41)*IF($W36=1,EP36+ABE36,EP36)=1,IF(AND($E36=2,IF($W36=1,AGT36,KE36)=0),1000000000,IF($V36=1,INDEX('calcA'!$D$130:$EQ$169,$B36,41)+IF(AND($E36=1,KE36=0),25,0),IF($F36&gt;0,INDEX('calcA'!AR$110:AR$114,$F36+1)+IF(AND($E36=1,KE36=0),1000,0),MIN(TV36,20)*400+(IF('calcA'!AQ$106=1,1-EO36,0)+IF('calcA'!AR$106=1,1-EQ36,0))*150+172+'calcA'!AR$5*100000+IF(AND($E36=1,KE36=0),50000,0))+IF($H36=1,INDEX('calcA'!$D$180:$EQ$219,$B36,41)*4000,0)-IF(AND('calcA'!AQ$117=1,VO36&gt;0),2000,0)-IF(AND($U36=1,'calcA'!AR$117=1,EQ36=0),2000,0))),1000000000))</f>
        <v/>
      </c>
      <c r="PU36">
        <f>IF($B36=0,1000000000,IF(INDEX('calcA'!$D$60:$EQ$99,$B36,42)*IF($W36=1,EQ36+ABF36,EQ36)=1,IF(AND($E36=2,IF($W36=1,AGU36,KF36)=0),1000000000,IF($V36=1,INDEX('calcA'!$D$130:$EQ$169,$B36,42)+IF(AND($E36=1,KF36=0),25,0),IF($F36&gt;0,INDEX('calcA'!AS$110:AS$114,$F36+1)+IF(AND($E36=1,KF36=0),1000,0),MIN(TV36,20)*400+(IF('calcA'!AR$106=1,1-EP36,0)+IF('calcA'!AS$106=1,1-ER36,0))*150+182+'calcA'!AS$5*100000+IF(AND($E36=1,KF36=0),50000,0))+IF($H36=1,INDEX('calcA'!$D$180:$EQ$219,$B36,42)*4000,0)-IF(AND('calcA'!AR$117=1,VP36&gt;0),2000,0)-IF(AND($U36=1,'calcA'!AS$117=1,ER36=0),2000,0))),1000000000))</f>
        <v/>
      </c>
      <c r="PV36">
        <f>IF($B36=0,1000000000,IF(INDEX('calcA'!$D$60:$EQ$99,$B36,43)*IF($W36=1,ER36+ABG36,ER36)=1,IF(AND($E36=2,IF($W36=1,AGV36,KG36)=0),1000000000,IF($V36=1,INDEX('calcA'!$D$130:$EQ$169,$B36,43)+IF(AND($E36=1,KG36=0),25,0),IF($F36&gt;0,INDEX('calcA'!AT$110:AT$114,$F36+1)+IF(AND($E36=1,KG36=0),1000,0),MIN(TV36,20)*400+(IF('calcA'!AS$106=1,1-EQ36,0)+IF('calcA'!AT$106=1,1-ES36,0))*150+192+'calcA'!AT$5*100000+IF(AND($E36=1,KG36=0),50000,0))+IF($H36=1,INDEX('calcA'!$D$180:$EQ$219,$B36,43)*4000,0)-IF(AND('calcA'!AS$117=1,VQ36&gt;0),2000,0)-IF(AND($U36=1,'calcA'!AT$117=1,ES36=0),2000,0))),1000000000))</f>
        <v/>
      </c>
      <c r="PW36">
        <f>IF($B36=0,1000000000,IF(INDEX('calcA'!$D$60:$EQ$99,$B36,44)*IF($W36=1,ES36+ABH36,ES36)=1,IF(AND($E36=2,IF($W36=1,AGW36,KH36)=0),1000000000,IF($V36=1,INDEX('calcA'!$D$130:$EQ$169,$B36,44)+IF(AND($E36=1,KH36=0),25,0),IF($F36&gt;0,INDEX('calcA'!AU$110:AU$114,$F36+1)+IF(AND($E36=1,KH36=0),1000,0),MIN(TV36,20)*400+(IF('calcA'!AT$106=1,1-ER36,0)+IF('calcA'!AU$106=1,1-ET36,0))*150+202+'calcA'!AU$5*100000+IF(AND($E36=1,KH36=0),50000,0))+IF($H36=1,INDEX('calcA'!$D$180:$EQ$219,$B36,44)*4000,0)-IF(AND('calcA'!AT$117=1,VR36&gt;0),2000,0)-IF(AND($U36=1,'calcA'!AU$117=1,ET36=0),2000,0))),1000000000))</f>
        <v/>
      </c>
      <c r="PX36">
        <f>IF($B36=0,1000000000,IF(INDEX('calcA'!$D$60:$EQ$99,$B36,45)*IF($W36=1,ET36+ABI36,ET36)=1,IF(AND($E36=2,IF($W36=1,AGX36,KI36)=0),1000000000,IF($V36=1,INDEX('calcA'!$D$130:$EQ$169,$B36,45)+IF(AND($E36=1,KI36=0),25,0),IF($F36&gt;0,INDEX('calcA'!AV$110:AV$114,$F36+1)+IF(AND($E36=1,KI36=0),1000,0),MIN(TV36,20)*400+(IF('calcA'!AU$106=1,1-ES36,0)+IF('calcA'!AV$106=1,1-EU36,0))*150+212+'calcA'!AV$5*100000+IF(AND($E36=1,KI36=0),50000,0))+IF($H36=1,INDEX('calcA'!$D$180:$EQ$219,$B36,45)*4000,0)-IF(AND('calcA'!AU$117=1,VS36&gt;0),2000,0)-IF(AND($U36=1,'calcA'!AV$117=1,EU36=0),2000,0))),1000000000))</f>
        <v/>
      </c>
      <c r="PY36">
        <f>IF($B36=0,1000000000,IF(INDEX('calcA'!$D$60:$EQ$99,$B36,46)*IF($W36=1,EU36+ABJ36,EU36)=1,IF(AND($E36=2,IF($W36=1,AGY36,KJ36)=0),1000000000,IF($V36=1,INDEX('calcA'!$D$130:$EQ$169,$B36,46)+IF(AND($E36=1,KJ36=0),25,0),IF($F36&gt;0,INDEX('calcA'!AW$110:AW$114,$F36+1)+IF(AND($E36=1,KJ36=0),1000,0),MIN(TV36,20)*400+(IF('calcA'!AV$106=1,1-ET36,0)+IF('calcA'!AW$106=1,1-EV36,0))*150+222+'calcA'!AW$5*100000+IF(AND($E36=1,KJ36=0),50000,0))+IF($H36=1,INDEX('calcA'!$D$180:$EQ$219,$B36,46)*4000,0)-IF(AND('calcA'!AV$117=1,VT36&gt;0),2000,0)-IF(AND($U36=1,'calcA'!AW$117=1,EV36=0),2000,0))),1000000000))</f>
        <v/>
      </c>
      <c r="PZ36">
        <f>IF($B36=0,1000000000,IF(INDEX('calcA'!$D$60:$EQ$99,$B36,47)*IF($W36=1,EV36+ABK36,EV36)=1,IF(AND($E36=2,IF($W36=1,AGZ36,KK36)=0),1000000000,IF($V36=1,INDEX('calcA'!$D$130:$EQ$169,$B36,47)+IF(AND($E36=1,KK36=0),25,0),IF($F36&gt;0,INDEX('calcA'!AX$110:AX$114,$F36+1)+IF(AND($E36=1,KK36=0),1000,0),MIN(TV36,20)*400+(IF('calcA'!AW$106=1,1-EU36,0)+IF('calcA'!AX$106=1,1-EW36,0))*150+232+'calcA'!AX$5*100000+IF(AND($E36=1,KK36=0),50000,0))+IF($H36=1,INDEX('calcA'!$D$180:$EQ$219,$B36,47)*4000,0)-IF(AND('calcA'!AW$117=1,VU36&gt;0),2000,0)-IF(AND($U36=1,'calcA'!AX$117=1,EW36=0),2000,0))),1000000000))</f>
        <v/>
      </c>
      <c r="QA36">
        <f>IF($B36=0,1000000000,IF(INDEX('calcA'!$D$60:$EQ$99,$B36,48)*IF($W36=1,EW36+ABL36,EW36)=1,IF(AND($E36=2,IF($W36=1,AHA36,KL36)=0),1000000000,IF($V36=1,INDEX('calcA'!$D$130:$EQ$169,$B36,48)+IF(AND($E36=1,KL36=0),25,0),IF($F36&gt;0,INDEX('calcA'!AY$110:AY$114,$F36+1)+IF(AND($E36=1,KL36=0),1000,0),MIN(TV36,20)*400+(IF('calcA'!AX$106=1,1-EV36,0))*150+242+'calcA'!AY$5*100000+IF(AND($E36=1,KL36=0),50000,0))+IF($H36=1,INDEX('calcA'!$D$180:$EQ$219,$B36,48)*4000,0)-IF(AND('calcA'!AX$117=1,VV36&gt;0),2000,0))),1000000000))</f>
        <v/>
      </c>
      <c r="QB36">
        <f>IF($B36=0,1000000000,IF(INDEX('calcA'!$D$60:$EQ$99,$B36,49)*IF($W36=1,EX36+ABM36,EX36)=1,IF(AND($E36=2,IF($W36=1,AHB36,KM36)=0),1000000000,IF($V36=1,INDEX('calcA'!$D$130:$EQ$169,$B36,49)+IF(AND($E36=1,KM36=0),25,0),IF($F36&gt;0,INDEX('calcA'!AZ$110:AZ$114,$F36+1)+IF(AND($E36=1,KM36=0),1000,0),MIN(TW36,20)*400+(IF('calcA'!AZ$106=1,1-EY36,0))*150+13+'calcA'!AZ$5*100000+IF(AND($E36=1,KM36=0),50000,0))+IF($H36=1,INDEX('calcA'!$D$180:$EQ$219,$B36,49)*4000,0)-IF(AND($U36=1,'calcA'!AZ$117=1,EY36=0),2000,0))),1000000000))</f>
        <v/>
      </c>
      <c r="QC36">
        <f>IF($B36=0,1000000000,IF(INDEX('calcA'!$D$60:$EQ$99,$B36,50)*IF($W36=1,EY36+ABN36,EY36)=1,IF(AND($E36=2,IF($W36=1,AHC36,KN36)=0),1000000000,IF($V36=1,INDEX('calcA'!$D$130:$EQ$169,$B36,50)+IF(AND($E36=1,KN36=0),25,0),IF($F36&gt;0,INDEX('calcA'!BA$110:BA$114,$F36+1)+IF(AND($E36=1,KN36=0),1000,0),MIN(TW36,20)*400+(IF('calcA'!AZ$106=1,1-EX36,0)+IF('calcA'!BA$106=1,1-EZ36,0))*150+23+'calcA'!BA$5*100000+IF(AND($E36=1,KN36=0),50000,0))+IF($H36=1,INDEX('calcA'!$D$180:$EQ$219,$B36,50)*4000,0)-IF(AND('calcA'!AZ$117=1,VX36&gt;0),2000,0)-IF(AND($U36=1,'calcA'!BA$117=1,EZ36=0),2000,0))),1000000000))</f>
        <v/>
      </c>
      <c r="QD36">
        <f>IF($B36=0,1000000000,IF(INDEX('calcA'!$D$60:$EQ$99,$B36,51)*IF($W36=1,EZ36+ABO36,EZ36)=1,IF(AND($E36=2,IF($W36=1,AHD36,KO36)=0),1000000000,IF($V36=1,INDEX('calcA'!$D$130:$EQ$169,$B36,51)+IF(AND($E36=1,KO36=0),25,0),IF($F36&gt;0,INDEX('calcA'!BB$110:BB$114,$F36+1)+IF(AND($E36=1,KO36=0),1000,0),MIN(TW36,20)*400+(IF('calcA'!BA$106=1,1-EY36,0)+IF('calcA'!BB$106=1,1-FA36,0))*150+33+'calcA'!BB$5*100000+IF(AND($E36=1,KO36=0),50000,0))+IF($H36=1,INDEX('calcA'!$D$180:$EQ$219,$B36,51)*4000,0)-IF(AND('calcA'!BA$117=1,VY36&gt;0),2000,0)-IF(AND($U36=1,'calcA'!BB$117=1,FA36=0),2000,0))),1000000000))</f>
        <v/>
      </c>
      <c r="QE36">
        <f>IF($B36=0,1000000000,IF(INDEX('calcA'!$D$60:$EQ$99,$B36,52)*IF($W36=1,FA36+ABP36,FA36)=1,IF(AND($E36=2,IF($W36=1,AHE36,KP36)=0),1000000000,IF($V36=1,INDEX('calcA'!$D$130:$EQ$169,$B36,52)+IF(AND($E36=1,KP36=0),25,0),IF($F36&gt;0,INDEX('calcA'!BC$110:BC$114,$F36+1)+IF(AND($E36=1,KP36=0),1000,0),MIN(TW36,20)*400+(IF('calcA'!BB$106=1,1-EZ36,0)+IF('calcA'!BC$106=1,1-FB36,0))*150+43+'calcA'!BC$5*100000+IF(AND($E36=1,KP36=0),50000,0))+IF($H36=1,INDEX('calcA'!$D$180:$EQ$219,$B36,52)*4000,0)-IF(AND('calcA'!BB$117=1,VZ36&gt;0),2000,0)-IF(AND($U36=1,'calcA'!BC$117=1,FB36=0),2000,0))),1000000000))</f>
        <v/>
      </c>
      <c r="QF36">
        <f>IF($B36=0,1000000000,IF(INDEX('calcA'!$D$60:$EQ$99,$B36,53)*IF($W36=1,FB36+ABQ36,FB36)=1,IF(AND($E36=2,IF($W36=1,AHF36,KQ36)=0),1000000000,IF($V36=1,INDEX('calcA'!$D$130:$EQ$169,$B36,53)+IF(AND($E36=1,KQ36=0),25,0),IF($F36&gt;0,INDEX('calcA'!BD$110:BD$114,$F36+1)+IF(AND($E36=1,KQ36=0),1000,0),MIN(TW36,20)*400+(IF('calcA'!BC$106=1,1-FA36,0)+IF('calcA'!BD$106=1,1-FC36,0))*150+53+'calcA'!BD$5*100000+IF(AND($E36=1,KQ36=0),50000,0))+IF($H36=1,INDEX('calcA'!$D$180:$EQ$219,$B36,53)*4000,0)-IF(AND('calcA'!BC$117=1,WA36&gt;0),2000,0)-IF(AND($U36=1,'calcA'!BD$117=1,FC36=0),2000,0))),1000000000))</f>
        <v/>
      </c>
      <c r="QG36">
        <f>IF($B36=0,1000000000,IF(INDEX('calcA'!$D$60:$EQ$99,$B36,54)*IF($W36=1,FC36+ABR36,FC36)=1,IF(AND($E36=2,IF($W36=1,AHG36,KR36)=0),1000000000,IF($V36=1,INDEX('calcA'!$D$130:$EQ$169,$B36,54)+IF(AND($E36=1,KR36=0),25,0),IF($F36&gt;0,INDEX('calcA'!BE$110:BE$114,$F36+1)+IF(AND($E36=1,KR36=0),1000,0),MIN(TW36,20)*400+(IF('calcA'!BD$106=1,1-FB36,0)+IF('calcA'!BE$106=1,1-FD36,0))*150+63+'calcA'!BE$5*100000+IF(AND($E36=1,KR36=0),50000,0))+IF($H36=1,INDEX('calcA'!$D$180:$EQ$219,$B36,54)*4000,0)-IF(AND('calcA'!BD$117=1,WB36&gt;0),2000,0)-IF(AND($U36=1,'calcA'!BE$117=1,FD36=0),2000,0))),1000000000))</f>
        <v/>
      </c>
      <c r="QH36">
        <f>IF($B36=0,1000000000,IF(INDEX('calcA'!$D$60:$EQ$99,$B36,55)*IF($W36=1,FD36+ABS36,FD36)=1,IF(AND($E36=2,IF($W36=1,AHH36,KS36)=0),1000000000,IF($V36=1,INDEX('calcA'!$D$130:$EQ$169,$B36,55)+IF(AND($E36=1,KS36=0),25,0),IF($F36&gt;0,INDEX('calcA'!BF$110:BF$114,$F36+1)+IF(AND($E36=1,KS36=0),1000,0),MIN(TW36,20)*400+(IF('calcA'!BE$106=1,1-FC36,0)+IF('calcA'!BF$106=1,1-FE36,0))*150+73+'calcA'!BF$5*100000+IF(AND($E36=1,KS36=0),50000,0))+IF($H36=1,INDEX('calcA'!$D$180:$EQ$219,$B36,55)*4000,0)-IF(AND('calcA'!BE$117=1,WC36&gt;0),2000,0)-IF(AND($U36=1,'calcA'!BF$117=1,FE36=0),2000,0))),1000000000))</f>
        <v/>
      </c>
      <c r="QI36">
        <f>IF($B36=0,1000000000,IF(INDEX('calcA'!$D$60:$EQ$99,$B36,56)*IF($W36=1,FE36+ABT36,FE36)=1,IF(AND($E36=2,IF($W36=1,AHI36,KT36)=0),1000000000,IF($V36=1,INDEX('calcA'!$D$130:$EQ$169,$B36,56)+IF(AND($E36=1,KT36=0),25,0),IF($F36&gt;0,INDEX('calcA'!BG$110:BG$114,$F36+1)+IF(AND($E36=1,KT36=0),1000,0),MIN(TW36,20)*400+(IF('calcA'!BF$106=1,1-FD36,0)+IF('calcA'!BG$106=1,1-FF36,0))*150+83+'calcA'!BG$5*100000+IF(AND($E36=1,KT36=0),50000,0))+IF($H36=1,INDEX('calcA'!$D$180:$EQ$219,$B36,56)*4000,0)-IF(AND('calcA'!BF$117=1,WD36&gt;0),2000,0)-IF(AND($U36=1,'calcA'!BG$117=1,FF36=0),2000,0))),1000000000))</f>
        <v/>
      </c>
      <c r="QJ36">
        <f>IF($B36=0,1000000000,IF(INDEX('calcA'!$D$60:$EQ$99,$B36,57)*IF($W36=1,FF36+ABU36,FF36)=1,IF(AND($E36=2,IF($W36=1,AHJ36,KU36)=0),1000000000,IF($V36=1,INDEX('calcA'!$D$130:$EQ$169,$B36,57)+IF(AND($E36=1,KU36=0),25,0),IF($F36&gt;0,INDEX('calcA'!BH$110:BH$114,$F36+1)+IF(AND($E36=1,KU36=0),1000,0),MIN(TW36,20)*400+(IF('calcA'!BG$106=1,1-FE36,0)+IF('calcA'!BH$106=1,1-FG36,0))*150+93+'calcA'!BH$5*100000+IF(AND($E36=1,KU36=0),50000,0))+IF($H36=1,INDEX('calcA'!$D$180:$EQ$219,$B36,57)*4000,0)-IF(AND('calcA'!BG$117=1,WE36&gt;0),2000,0)-IF(AND($U36=1,'calcA'!BH$117=1,FG36=0),2000,0))),1000000000))</f>
        <v/>
      </c>
      <c r="QK36">
        <f>IF($B36=0,1000000000,IF(INDEX('calcA'!$D$60:$EQ$99,$B36,58)*IF($W36=1,FG36+ABV36,FG36)=1,IF(AND($E36=2,IF($W36=1,AHK36,KV36)=0),1000000000,IF($V36=1,INDEX('calcA'!$D$130:$EQ$169,$B36,58)+IF(AND($E36=1,KV36=0),25,0),IF($F36&gt;0,INDEX('calcA'!BI$110:BI$114,$F36+1)+IF(AND($E36=1,KV36=0),1000,0),MIN(TW36,20)*400+(IF('calcA'!BH$106=1,1-FF36,0)+IF('calcA'!BI$106=1,1-FH36,0))*150+103+'calcA'!BI$5*100000+IF(AND($E36=1,KV36=0),50000,0))+IF($H36=1,INDEX('calcA'!$D$180:$EQ$219,$B36,58)*4000,0)-IF(AND('calcA'!BH$117=1,WF36&gt;0),2000,0)-IF(AND($U36=1,'calcA'!BI$117=1,FH36=0),2000,0))),1000000000))</f>
        <v/>
      </c>
      <c r="QL36">
        <f>IF($B36=0,1000000000,IF(INDEX('calcA'!$D$60:$EQ$99,$B36,59)*IF($W36=1,FH36+ABW36,FH36)=1,IF(AND($E36=2,IF($W36=1,AHL36,KW36)=0),1000000000,IF($V36=1,INDEX('calcA'!$D$130:$EQ$169,$B36,59)+IF(AND($E36=1,KW36=0),25,0),IF($F36&gt;0,INDEX('calcA'!BJ$110:BJ$114,$F36+1)+IF(AND($E36=1,KW36=0),1000,0),MIN(TW36,20)*400+(IF('calcA'!BI$106=1,1-FG36,0)+IF('calcA'!BJ$106=1,1-FI36,0))*150+113+'calcA'!BJ$5*100000+IF(AND($E36=1,KW36=0),50000,0))+IF($H36=1,INDEX('calcA'!$D$180:$EQ$219,$B36,59)*4000,0)-IF(AND('calcA'!BI$117=1,WG36&gt;0),2000,0)-IF(AND($U36=1,'calcA'!BJ$117=1,FI36=0),2000,0))),1000000000))</f>
        <v/>
      </c>
      <c r="QM36">
        <f>IF($B36=0,1000000000,IF(INDEX('calcA'!$D$60:$EQ$99,$B36,60)*IF($W36=1,FI36+ABX36,FI36)=1,IF(AND($E36=2,IF($W36=1,AHM36,KX36)=0),1000000000,IF($V36=1,INDEX('calcA'!$D$130:$EQ$169,$B36,60)+IF(AND($E36=1,KX36=0),25,0),IF($F36&gt;0,INDEX('calcA'!BK$110:BK$114,$F36+1)+IF(AND($E36=1,KX36=0),1000,0),MIN(TW36,20)*400+(IF('calcA'!BJ$106=1,1-FH36,0)+IF('calcA'!BK$106=1,1-FJ36,0))*150+123+'calcA'!BK$5*100000+IF(AND($E36=1,KX36=0),50000,0))+IF($H36=1,INDEX('calcA'!$D$180:$EQ$219,$B36,60)*4000,0)-IF(AND('calcA'!BJ$117=1,WH36&gt;0),2000,0)-IF(AND($U36=1,'calcA'!BK$117=1,FJ36=0),2000,0))),1000000000))</f>
        <v/>
      </c>
      <c r="QN36">
        <f>IF($B36=0,1000000000,IF(INDEX('calcA'!$D$60:$EQ$99,$B36,61)*IF($W36=1,FJ36+ABY36,FJ36)=1,IF(AND($E36=2,IF($W36=1,AHN36,KY36)=0),1000000000,IF($V36=1,INDEX('calcA'!$D$130:$EQ$169,$B36,61)+IF(AND($E36=1,KY36=0),25,0),IF($F36&gt;0,INDEX('calcA'!BL$110:BL$114,$F36+1)+IF(AND($E36=1,KY36=0),1000,0),MIN(TW36,20)*400+(IF('calcA'!BK$106=1,1-FI36,0)+IF('calcA'!BL$106=1,1-FK36,0))*150+133+'calcA'!BL$5*100000+IF(AND($E36=1,KY36=0),50000,0))+IF($H36=1,INDEX('calcA'!$D$180:$EQ$219,$B36,61)*4000,0)-IF(AND('calcA'!BK$117=1,WI36&gt;0),2000,0)-IF(AND($U36=1,'calcA'!BL$117=1,FK36=0),2000,0))),1000000000))</f>
        <v/>
      </c>
      <c r="QO36">
        <f>IF($B36=0,1000000000,IF(INDEX('calcA'!$D$60:$EQ$99,$B36,62)*IF($W36=1,FK36+ABZ36,FK36)=1,IF(AND($E36=2,IF($W36=1,AHO36,KZ36)=0),1000000000,IF($V36=1,INDEX('calcA'!$D$130:$EQ$169,$B36,62)+IF(AND($E36=1,KZ36=0),25,0),IF($F36&gt;0,INDEX('calcA'!BM$110:BM$114,$F36+1)+IF(AND($E36=1,KZ36=0),1000,0),MIN(TW36,20)*400+(IF('calcA'!BL$106=1,1-FJ36,0)+IF('calcA'!BM$106=1,1-FL36,0))*150+143+'calcA'!BM$5*100000+IF(AND($E36=1,KZ36=0),50000,0))+IF($H36=1,INDEX('calcA'!$D$180:$EQ$219,$B36,62)*4000,0)-IF(AND('calcA'!BL$117=1,WJ36&gt;0),2000,0)-IF(AND($U36=1,'calcA'!BM$117=1,FL36=0),2000,0))),1000000000))</f>
        <v/>
      </c>
      <c r="QP36">
        <f>IF($B36=0,1000000000,IF(INDEX('calcA'!$D$60:$EQ$99,$B36,63)*IF($W36=1,FL36+ACA36,FL36)=1,IF(AND($E36=2,IF($W36=1,AHP36,LA36)=0),1000000000,IF($V36=1,INDEX('calcA'!$D$130:$EQ$169,$B36,63)+IF(AND($E36=1,LA36=0),25,0),IF($F36&gt;0,INDEX('calcA'!BN$110:BN$114,$F36+1)+IF(AND($E36=1,LA36=0),1000,0),MIN(TW36,20)*400+(IF('calcA'!BM$106=1,1-FK36,0)+IF('calcA'!BN$106=1,1-FM36,0))*150+153+'calcA'!BN$5*100000+IF(AND($E36=1,LA36=0),50000,0))+IF($H36=1,INDEX('calcA'!$D$180:$EQ$219,$B36,63)*4000,0)-IF(AND('calcA'!BM$117=1,WK36&gt;0),2000,0)-IF(AND($U36=1,'calcA'!BN$117=1,FM36=0),2000,0))),1000000000))</f>
        <v/>
      </c>
      <c r="QQ36">
        <f>IF($B36=0,1000000000,IF(INDEX('calcA'!$D$60:$EQ$99,$B36,64)*IF($W36=1,FM36+ACB36,FM36)=1,IF(AND($E36=2,IF($W36=1,AHQ36,LB36)=0),1000000000,IF($V36=1,INDEX('calcA'!$D$130:$EQ$169,$B36,64)+IF(AND($E36=1,LB36=0),25,0),IF($F36&gt;0,INDEX('calcA'!BO$110:BO$114,$F36+1)+IF(AND($E36=1,LB36=0),1000,0),MIN(TW36,20)*400+(IF('calcA'!BN$106=1,1-FL36,0)+IF('calcA'!BO$106=1,1-FN36,0))*150+163+'calcA'!BO$5*100000+IF(AND($E36=1,LB36=0),50000,0))+IF($H36=1,INDEX('calcA'!$D$180:$EQ$219,$B36,64)*4000,0)-IF(AND('calcA'!BN$117=1,WL36&gt;0),2000,0)-IF(AND($U36=1,'calcA'!BO$117=1,FN36=0),2000,0))),1000000000))</f>
        <v/>
      </c>
      <c r="QR36">
        <f>IF($B36=0,1000000000,IF(INDEX('calcA'!$D$60:$EQ$99,$B36,65)*IF($W36=1,FN36+ACC36,FN36)=1,IF(AND($E36=2,IF($W36=1,AHR36,LC36)=0),1000000000,IF($V36=1,INDEX('calcA'!$D$130:$EQ$169,$B36,65)+IF(AND($E36=1,LC36=0),25,0),IF($F36&gt;0,INDEX('calcA'!BP$110:BP$114,$F36+1)+IF(AND($E36=1,LC36=0),1000,0),MIN(TW36,20)*400+(IF('calcA'!BO$106=1,1-FM36,0)+IF('calcA'!BP$106=1,1-FO36,0))*150+173+'calcA'!BP$5*100000+IF(AND($E36=1,LC36=0),50000,0))+IF($H36=1,INDEX('calcA'!$D$180:$EQ$219,$B36,65)*4000,0)-IF(AND('calcA'!BO$117=1,WM36&gt;0),2000,0)-IF(AND($U36=1,'calcA'!BP$117=1,FO36=0),2000,0))),1000000000))</f>
        <v/>
      </c>
      <c r="QS36">
        <f>IF($B36=0,1000000000,IF(INDEX('calcA'!$D$60:$EQ$99,$B36,66)*IF($W36=1,FO36+ACD36,FO36)=1,IF(AND($E36=2,IF($W36=1,AHS36,LD36)=0),1000000000,IF($V36=1,INDEX('calcA'!$D$130:$EQ$169,$B36,66)+IF(AND($E36=1,LD36=0),25,0),IF($F36&gt;0,INDEX('calcA'!BQ$110:BQ$114,$F36+1)+IF(AND($E36=1,LD36=0),1000,0),MIN(TW36,20)*400+(IF('calcA'!BP$106=1,1-FN36,0)+IF('calcA'!BQ$106=1,1-FP36,0))*150+183+'calcA'!BQ$5*100000+IF(AND($E36=1,LD36=0),50000,0))+IF($H36=1,INDEX('calcA'!$D$180:$EQ$219,$B36,66)*4000,0)-IF(AND('calcA'!BP$117=1,WN36&gt;0),2000,0)-IF(AND($U36=1,'calcA'!BQ$117=1,FP36=0),2000,0))),1000000000))</f>
        <v/>
      </c>
      <c r="QT36">
        <f>IF($B36=0,1000000000,IF(INDEX('calcA'!$D$60:$EQ$99,$B36,67)*IF($W36=1,FP36+ACE36,FP36)=1,IF(AND($E36=2,IF($W36=1,AHT36,LE36)=0),1000000000,IF($V36=1,INDEX('calcA'!$D$130:$EQ$169,$B36,67)+IF(AND($E36=1,LE36=0),25,0),IF($F36&gt;0,INDEX('calcA'!BR$110:BR$114,$F36+1)+IF(AND($E36=1,LE36=0),1000,0),MIN(TW36,20)*400+(IF('calcA'!BQ$106=1,1-FO36,0)+IF('calcA'!BR$106=1,1-FQ36,0))*150+193+'calcA'!BR$5*100000+IF(AND($E36=1,LE36=0),50000,0))+IF($H36=1,INDEX('calcA'!$D$180:$EQ$219,$B36,67)*4000,0)-IF(AND('calcA'!BQ$117=1,WO36&gt;0),2000,0)-IF(AND($U36=1,'calcA'!BR$117=1,FQ36=0),2000,0))),1000000000))</f>
        <v/>
      </c>
      <c r="QU36">
        <f>IF($B36=0,1000000000,IF(INDEX('calcA'!$D$60:$EQ$99,$B36,68)*IF($W36=1,FQ36+ACF36,FQ36)=1,IF(AND($E36=2,IF($W36=1,AHU36,LF36)=0),1000000000,IF($V36=1,INDEX('calcA'!$D$130:$EQ$169,$B36,68)+IF(AND($E36=1,LF36=0),25,0),IF($F36&gt;0,INDEX('calcA'!BS$110:BS$114,$F36+1)+IF(AND($E36=1,LF36=0),1000,0),MIN(TW36,20)*400+(IF('calcA'!BR$106=1,1-FP36,0)+IF('calcA'!BS$106=1,1-FR36,0))*150+203+'calcA'!BS$5*100000+IF(AND($E36=1,LF36=0),50000,0))+IF($H36=1,INDEX('calcA'!$D$180:$EQ$219,$B36,68)*4000,0)-IF(AND('calcA'!BR$117=1,WP36&gt;0),2000,0)-IF(AND($U36=1,'calcA'!BS$117=1,FR36=0),2000,0))),1000000000))</f>
        <v/>
      </c>
      <c r="QV36">
        <f>IF($B36=0,1000000000,IF(INDEX('calcA'!$D$60:$EQ$99,$B36,69)*IF($W36=1,FR36+ACG36,FR36)=1,IF(AND($E36=2,IF($W36=1,AHV36,LG36)=0),1000000000,IF($V36=1,INDEX('calcA'!$D$130:$EQ$169,$B36,69)+IF(AND($E36=1,LG36=0),25,0),IF($F36&gt;0,INDEX('calcA'!BT$110:BT$114,$F36+1)+IF(AND($E36=1,LG36=0),1000,0),MIN(TW36,20)*400+(IF('calcA'!BS$106=1,1-FQ36,0)+IF('calcA'!BT$106=1,1-FS36,0))*150+213+'calcA'!BT$5*100000+IF(AND($E36=1,LG36=0),50000,0))+IF($H36=1,INDEX('calcA'!$D$180:$EQ$219,$B36,69)*4000,0)-IF(AND('calcA'!BS$117=1,WQ36&gt;0),2000,0)-IF(AND($U36=1,'calcA'!BT$117=1,FS36=0),2000,0))),1000000000))</f>
        <v/>
      </c>
      <c r="QW36">
        <f>IF($B36=0,1000000000,IF(INDEX('calcA'!$D$60:$EQ$99,$B36,70)*IF($W36=1,FS36+ACH36,FS36)=1,IF(AND($E36=2,IF($W36=1,AHW36,LH36)=0),1000000000,IF($V36=1,INDEX('calcA'!$D$130:$EQ$169,$B36,70)+IF(AND($E36=1,LH36=0),25,0),IF($F36&gt;0,INDEX('calcA'!BU$110:BU$114,$F36+1)+IF(AND($E36=1,LH36=0),1000,0),MIN(TW36,20)*400+(IF('calcA'!BT$106=1,1-FR36,0)+IF('calcA'!BU$106=1,1-FT36,0))*150+223+'calcA'!BU$5*100000+IF(AND($E36=1,LH36=0),50000,0))+IF($H36=1,INDEX('calcA'!$D$180:$EQ$219,$B36,70)*4000,0)-IF(AND('calcA'!BT$117=1,WR36&gt;0),2000,0)-IF(AND($U36=1,'calcA'!BU$117=1,FT36=0),2000,0))),1000000000))</f>
        <v/>
      </c>
      <c r="QX36">
        <f>IF($B36=0,1000000000,IF(INDEX('calcA'!$D$60:$EQ$99,$B36,71)*IF($W36=1,FT36+ACI36,FT36)=1,IF(AND($E36=2,IF($W36=1,AHX36,LI36)=0),1000000000,IF($V36=1,INDEX('calcA'!$D$130:$EQ$169,$B36,71)+IF(AND($E36=1,LI36=0),25,0),IF($F36&gt;0,INDEX('calcA'!BV$110:BV$114,$F36+1)+IF(AND($E36=1,LI36=0),1000,0),MIN(TW36,20)*400+(IF('calcA'!BU$106=1,1-FS36,0)+IF('calcA'!BV$106=1,1-FU36,0))*150+233+'calcA'!BV$5*100000+IF(AND($E36=1,LI36=0),50000,0))+IF($H36=1,INDEX('calcA'!$D$180:$EQ$219,$B36,71)*4000,0)-IF(AND('calcA'!BU$117=1,WS36&gt;0),2000,0)-IF(AND($U36=1,'calcA'!BV$117=1,FU36=0),2000,0))),1000000000))</f>
        <v/>
      </c>
      <c r="QY36">
        <f>IF($B36=0,1000000000,IF(INDEX('calcA'!$D$60:$EQ$99,$B36,72)*IF($W36=1,FU36+ACJ36,FU36)=1,IF(AND($E36=2,IF($W36=1,AHY36,LJ36)=0),1000000000,IF($V36=1,INDEX('calcA'!$D$130:$EQ$169,$B36,72)+IF(AND($E36=1,LJ36=0),25,0),IF($F36&gt;0,INDEX('calcA'!BW$110:BW$114,$F36+1)+IF(AND($E36=1,LJ36=0),1000,0),MIN(TW36,20)*400+(IF('calcA'!BV$106=1,1-FT36,0))*150+243+'calcA'!BW$5*100000+IF(AND($E36=1,LJ36=0),50000,0))+IF($H36=1,INDEX('calcA'!$D$180:$EQ$219,$B36,72)*4000,0)-IF(AND('calcA'!BV$117=1,WT36&gt;0),2000,0))),1000000000))</f>
        <v/>
      </c>
      <c r="QZ36">
        <f>IF($B36=0,1000000000,IF(INDEX('calcA'!$D$60:$EQ$99,$B36,73)*IF($W36=1,FV36+ACK36,FV36)=1,IF(AND($E36=2,IF($W36=1,AHZ36,LK36)=0),1000000000,IF($V36=1,INDEX('calcA'!$D$130:$EQ$169,$B36,73)+IF(AND($E36=1,LK36=0),25,0),IF($F36&gt;0,INDEX('calcA'!BX$110:BX$114,$F36+1)+IF(AND($E36=1,LK36=0),1000,0),MIN(TX36,20)*400+(IF('calcA'!BX$106=1,1-FW36,0))*150+14+'calcA'!BX$5*100000+IF(AND($E36=1,LK36=0),50000,0))+IF($H36=1,INDEX('calcA'!$D$180:$EQ$219,$B36,73)*4000,0)-IF(AND($U36=1,'calcA'!BX$117=1,FW36=0),2000,0))),1000000000))</f>
        <v/>
      </c>
      <c r="RA36">
        <f>IF($B36=0,1000000000,IF(INDEX('calcA'!$D$60:$EQ$99,$B36,74)*IF($W36=1,FW36+ACL36,FW36)=1,IF(AND($E36=2,IF($W36=1,AIA36,LL36)=0),1000000000,IF($V36=1,INDEX('calcA'!$D$130:$EQ$169,$B36,74)+IF(AND($E36=1,LL36=0),25,0),IF($F36&gt;0,INDEX('calcA'!BY$110:BY$114,$F36+1)+IF(AND($E36=1,LL36=0),1000,0),MIN(TX36,20)*400+(IF('calcA'!BX$106=1,1-FV36,0)+IF('calcA'!BY$106=1,1-FX36,0))*150+24+'calcA'!BY$5*100000+IF(AND($E36=1,LL36=0),50000,0))+IF($H36=1,INDEX('calcA'!$D$180:$EQ$219,$B36,74)*4000,0)-IF(AND('calcA'!BX$117=1,WV36&gt;0),2000,0)-IF(AND($U36=1,'calcA'!BY$117=1,FX36=0),2000,0))),1000000000))</f>
        <v/>
      </c>
      <c r="RB36">
        <f>IF($B36=0,1000000000,IF(INDEX('calcA'!$D$60:$EQ$99,$B36,75)*IF($W36=1,FX36+ACM36,FX36)=1,IF(AND($E36=2,IF($W36=1,AIB36,LM36)=0),1000000000,IF($V36=1,INDEX('calcA'!$D$130:$EQ$169,$B36,75)+IF(AND($E36=1,LM36=0),25,0),IF($F36&gt;0,INDEX('calcA'!BZ$110:BZ$114,$F36+1)+IF(AND($E36=1,LM36=0),1000,0),MIN(TX36,20)*400+(IF('calcA'!BY$106=1,1-FW36,0)+IF('calcA'!BZ$106=1,1-FY36,0))*150+34+'calcA'!BZ$5*100000+IF(AND($E36=1,LM36=0),50000,0))+IF($H36=1,INDEX('calcA'!$D$180:$EQ$219,$B36,75)*4000,0)-IF(AND('calcA'!BY$117=1,WW36&gt;0),2000,0)-IF(AND($U36=1,'calcA'!BZ$117=1,FY36=0),2000,0))),1000000000))</f>
        <v/>
      </c>
      <c r="RC36">
        <f>IF($B36=0,1000000000,IF(INDEX('calcA'!$D$60:$EQ$99,$B36,76)*IF($W36=1,FY36+ACN36,FY36)=1,IF(AND($E36=2,IF($W36=1,AIC36,LN36)=0),1000000000,IF($V36=1,INDEX('calcA'!$D$130:$EQ$169,$B36,76)+IF(AND($E36=1,LN36=0),25,0),IF($F36&gt;0,INDEX('calcA'!CA$110:CA$114,$F36+1)+IF(AND($E36=1,LN36=0),1000,0),MIN(TX36,20)*400+(IF('calcA'!BZ$106=1,1-FX36,0)+IF('calcA'!CA$106=1,1-FZ36,0))*150+44+'calcA'!CA$5*100000+IF(AND($E36=1,LN36=0),50000,0))+IF($H36=1,INDEX('calcA'!$D$180:$EQ$219,$B36,76)*4000,0)-IF(AND('calcA'!BZ$117=1,WX36&gt;0),2000,0)-IF(AND($U36=1,'calcA'!CA$117=1,FZ36=0),2000,0))),1000000000))</f>
        <v/>
      </c>
      <c r="RD36">
        <f>IF($B36=0,1000000000,IF(INDEX('calcA'!$D$60:$EQ$99,$B36,77)*IF($W36=1,FZ36+ACO36,FZ36)=1,IF(AND($E36=2,IF($W36=1,AID36,LO36)=0),1000000000,IF($V36=1,INDEX('calcA'!$D$130:$EQ$169,$B36,77)+IF(AND($E36=1,LO36=0),25,0),IF($F36&gt;0,INDEX('calcA'!CB$110:CB$114,$F36+1)+IF(AND($E36=1,LO36=0),1000,0),MIN(TX36,20)*400+(IF('calcA'!CA$106=1,1-FY36,0)+IF('calcA'!CB$106=1,1-GA36,0))*150+54+'calcA'!CB$5*100000+IF(AND($E36=1,LO36=0),50000,0))+IF($H36=1,INDEX('calcA'!$D$180:$EQ$219,$B36,77)*4000,0)-IF(AND('calcA'!CA$117=1,WY36&gt;0),2000,0)-IF(AND($U36=1,'calcA'!CB$117=1,GA36=0),2000,0))),1000000000))</f>
        <v/>
      </c>
      <c r="RE36">
        <f>IF($B36=0,1000000000,IF(INDEX('calcA'!$D$60:$EQ$99,$B36,78)*IF($W36=1,GA36+ACP36,GA36)=1,IF(AND($E36=2,IF($W36=1,AIE36,LP36)=0),1000000000,IF($V36=1,INDEX('calcA'!$D$130:$EQ$169,$B36,78)+IF(AND($E36=1,LP36=0),25,0),IF($F36&gt;0,INDEX('calcA'!CC$110:CC$114,$F36+1)+IF(AND($E36=1,LP36=0),1000,0),MIN(TX36,20)*400+(IF('calcA'!CB$106=1,1-FZ36,0)+IF('calcA'!CC$106=1,1-GB36,0))*150+64+'calcA'!CC$5*100000+IF(AND($E36=1,LP36=0),50000,0))+IF($H36=1,INDEX('calcA'!$D$180:$EQ$219,$B36,78)*4000,0)-IF(AND('calcA'!CB$117=1,WZ36&gt;0),2000,0)-IF(AND($U36=1,'calcA'!CC$117=1,GB36=0),2000,0))),1000000000))</f>
        <v/>
      </c>
      <c r="RF36">
        <f>IF($B36=0,1000000000,IF(INDEX('calcA'!$D$60:$EQ$99,$B36,79)*IF($W36=1,GB36+ACQ36,GB36)=1,IF(AND($E36=2,IF($W36=1,AIF36,LQ36)=0),1000000000,IF($V36=1,INDEX('calcA'!$D$130:$EQ$169,$B36,79)+IF(AND($E36=1,LQ36=0),25,0),IF($F36&gt;0,INDEX('calcA'!CD$110:CD$114,$F36+1)+IF(AND($E36=1,LQ36=0),1000,0),MIN(TX36,20)*400+(IF('calcA'!CC$106=1,1-GA36,0)+IF('calcA'!CD$106=1,1-GC36,0))*150+74+'calcA'!CD$5*100000+IF(AND($E36=1,LQ36=0),50000,0))+IF($H36=1,INDEX('calcA'!$D$180:$EQ$219,$B36,79)*4000,0)-IF(AND('calcA'!CC$117=1,XA36&gt;0),2000,0)-IF(AND($U36=1,'calcA'!CD$117=1,GC36=0),2000,0))),1000000000))</f>
        <v/>
      </c>
      <c r="RG36">
        <f>IF($B36=0,1000000000,IF(INDEX('calcA'!$D$60:$EQ$99,$B36,80)*IF($W36=1,GC36+ACR36,GC36)=1,IF(AND($E36=2,IF($W36=1,AIG36,LR36)=0),1000000000,IF($V36=1,INDEX('calcA'!$D$130:$EQ$169,$B36,80)+IF(AND($E36=1,LR36=0),25,0),IF($F36&gt;0,INDEX('calcA'!CE$110:CE$114,$F36+1)+IF(AND($E36=1,LR36=0),1000,0),MIN(TX36,20)*400+(IF('calcA'!CD$106=1,1-GB36,0)+IF('calcA'!CE$106=1,1-GD36,0))*150+84+'calcA'!CE$5*100000+IF(AND($E36=1,LR36=0),50000,0))+IF($H36=1,INDEX('calcA'!$D$180:$EQ$219,$B36,80)*4000,0)-IF(AND('calcA'!CD$117=1,XB36&gt;0),2000,0)-IF(AND($U36=1,'calcA'!CE$117=1,GD36=0),2000,0))),1000000000))</f>
        <v/>
      </c>
      <c r="RH36">
        <f>IF($B36=0,1000000000,IF(INDEX('calcA'!$D$60:$EQ$99,$B36,81)*IF($W36=1,GD36+ACS36,GD36)=1,IF(AND($E36=2,IF($W36=1,AIH36,LS36)=0),1000000000,IF($V36=1,INDEX('calcA'!$D$130:$EQ$169,$B36,81)+IF(AND($E36=1,LS36=0),25,0),IF($F36&gt;0,INDEX('calcA'!CF$110:CF$114,$F36+1)+IF(AND($E36=1,LS36=0),1000,0),MIN(TX36,20)*400+(IF('calcA'!CE$106=1,1-GC36,0)+IF('calcA'!CF$106=1,1-GE36,0))*150+94+'calcA'!CF$5*100000+IF(AND($E36=1,LS36=0),50000,0))+IF($H36=1,INDEX('calcA'!$D$180:$EQ$219,$B36,81)*4000,0)-IF(AND('calcA'!CE$117=1,XC36&gt;0),2000,0)-IF(AND($U36=1,'calcA'!CF$117=1,GE36=0),2000,0))),1000000000))</f>
        <v/>
      </c>
      <c r="RI36">
        <f>IF($B36=0,1000000000,IF(INDEX('calcA'!$D$60:$EQ$99,$B36,82)*IF($W36=1,GE36+ACT36,GE36)=1,IF(AND($E36=2,IF($W36=1,AII36,LT36)=0),1000000000,IF($V36=1,INDEX('calcA'!$D$130:$EQ$169,$B36,82)+IF(AND($E36=1,LT36=0),25,0),IF($F36&gt;0,INDEX('calcA'!CG$110:CG$114,$F36+1)+IF(AND($E36=1,LT36=0),1000,0),MIN(TX36,20)*400+(IF('calcA'!CF$106=1,1-GD36,0)+IF('calcA'!CG$106=1,1-GF36,0))*150+104+'calcA'!CG$5*100000+IF(AND($E36=1,LT36=0),50000,0))+IF($H36=1,INDEX('calcA'!$D$180:$EQ$219,$B36,82)*4000,0)-IF(AND('calcA'!CF$117=1,XD36&gt;0),2000,0)-IF(AND($U36=1,'calcA'!CG$117=1,GF36=0),2000,0))),1000000000))</f>
        <v/>
      </c>
      <c r="RJ36">
        <f>IF($B36=0,1000000000,IF(INDEX('calcA'!$D$60:$EQ$99,$B36,83)*IF($W36=1,GF36+ACU36,GF36)=1,IF(AND($E36=2,IF($W36=1,AIJ36,LU36)=0),1000000000,IF($V36=1,INDEX('calcA'!$D$130:$EQ$169,$B36,83)+IF(AND($E36=1,LU36=0),25,0),IF($F36&gt;0,INDEX('calcA'!CH$110:CH$114,$F36+1)+IF(AND($E36=1,LU36=0),1000,0),MIN(TX36,20)*400+(IF('calcA'!CG$106=1,1-GE36,0)+IF('calcA'!CH$106=1,1-GG36,0))*150+114+'calcA'!CH$5*100000+IF(AND($E36=1,LU36=0),50000,0))+IF($H36=1,INDEX('calcA'!$D$180:$EQ$219,$B36,83)*4000,0)-IF(AND('calcA'!CG$117=1,XE36&gt;0),2000,0)-IF(AND($U36=1,'calcA'!CH$117=1,GG36=0),2000,0))),1000000000))</f>
        <v/>
      </c>
      <c r="RK36">
        <f>IF($B36=0,1000000000,IF(INDEX('calcA'!$D$60:$EQ$99,$B36,84)*IF($W36=1,GG36+ACV36,GG36)=1,IF(AND($E36=2,IF($W36=1,AIK36,LV36)=0),1000000000,IF($V36=1,INDEX('calcA'!$D$130:$EQ$169,$B36,84)+IF(AND($E36=1,LV36=0),25,0),IF($F36&gt;0,INDEX('calcA'!CI$110:CI$114,$F36+1)+IF(AND($E36=1,LV36=0),1000,0),MIN(TX36,20)*400+(IF('calcA'!CH$106=1,1-GF36,0)+IF('calcA'!CI$106=1,1-GH36,0))*150+124+'calcA'!CI$5*100000+IF(AND($E36=1,LV36=0),50000,0))+IF($H36=1,INDEX('calcA'!$D$180:$EQ$219,$B36,84)*4000,0)-IF(AND('calcA'!CH$117=1,XF36&gt;0),2000,0)-IF(AND($U36=1,'calcA'!CI$117=1,GH36=0),2000,0))),1000000000))</f>
        <v/>
      </c>
      <c r="RL36">
        <f>IF($B36=0,1000000000,IF(INDEX('calcA'!$D$60:$EQ$99,$B36,85)*IF($W36=1,GH36+ACW36,GH36)=1,IF(AND($E36=2,IF($W36=1,AIL36,LW36)=0),1000000000,IF($V36=1,INDEX('calcA'!$D$130:$EQ$169,$B36,85)+IF(AND($E36=1,LW36=0),25,0),IF($F36&gt;0,INDEX('calcA'!CJ$110:CJ$114,$F36+1)+IF(AND($E36=1,LW36=0),1000,0),MIN(TX36,20)*400+(IF('calcA'!CI$106=1,1-GG36,0)+IF('calcA'!CJ$106=1,1-GI36,0))*150+134+'calcA'!CJ$5*100000+IF(AND($E36=1,LW36=0),50000,0))+IF($H36=1,INDEX('calcA'!$D$180:$EQ$219,$B36,85)*4000,0)-IF(AND('calcA'!CI$117=1,XG36&gt;0),2000,0)-IF(AND($U36=1,'calcA'!CJ$117=1,GI36=0),2000,0))),1000000000))</f>
        <v/>
      </c>
      <c r="RM36">
        <f>IF($B36=0,1000000000,IF(INDEX('calcA'!$D$60:$EQ$99,$B36,86)*IF($W36=1,GI36+ACX36,GI36)=1,IF(AND($E36=2,IF($W36=1,AIM36,LX36)=0),1000000000,IF($V36=1,INDEX('calcA'!$D$130:$EQ$169,$B36,86)+IF(AND($E36=1,LX36=0),25,0),IF($F36&gt;0,INDEX('calcA'!CK$110:CK$114,$F36+1)+IF(AND($E36=1,LX36=0),1000,0),MIN(TX36,20)*400+(IF('calcA'!CJ$106=1,1-GH36,0)+IF('calcA'!CK$106=1,1-GJ36,0))*150+144+'calcA'!CK$5*100000+IF(AND($E36=1,LX36=0),50000,0))+IF($H36=1,INDEX('calcA'!$D$180:$EQ$219,$B36,86)*4000,0)-IF(AND('calcA'!CJ$117=1,XH36&gt;0),2000,0)-IF(AND($U36=1,'calcA'!CK$117=1,GJ36=0),2000,0))),1000000000))</f>
        <v/>
      </c>
      <c r="RN36">
        <f>IF($B36=0,1000000000,IF(INDEX('calcA'!$D$60:$EQ$99,$B36,87)*IF($W36=1,GJ36+ACY36,GJ36)=1,IF(AND($E36=2,IF($W36=1,AIN36,LY36)=0),1000000000,IF($V36=1,INDEX('calcA'!$D$130:$EQ$169,$B36,87)+IF(AND($E36=1,LY36=0),25,0),IF($F36&gt;0,INDEX('calcA'!CL$110:CL$114,$F36+1)+IF(AND($E36=1,LY36=0),1000,0),MIN(TX36,20)*400+(IF('calcA'!CK$106=1,1-GI36,0)+IF('calcA'!CL$106=1,1-GK36,0))*150+154+'calcA'!CL$5*100000+IF(AND($E36=1,LY36=0),50000,0))+IF($H36=1,INDEX('calcA'!$D$180:$EQ$219,$B36,87)*4000,0)-IF(AND('calcA'!CK$117=1,XI36&gt;0),2000,0)-IF(AND($U36=1,'calcA'!CL$117=1,GK36=0),2000,0))),1000000000))</f>
        <v/>
      </c>
      <c r="RO36">
        <f>IF($B36=0,1000000000,IF(INDEX('calcA'!$D$60:$EQ$99,$B36,88)*IF($W36=1,GK36+ACZ36,GK36)=1,IF(AND($E36=2,IF($W36=1,AIO36,LZ36)=0),1000000000,IF($V36=1,INDEX('calcA'!$D$130:$EQ$169,$B36,88)+IF(AND($E36=1,LZ36=0),25,0),IF($F36&gt;0,INDEX('calcA'!CM$110:CM$114,$F36+1)+IF(AND($E36=1,LZ36=0),1000,0),MIN(TX36,20)*400+(IF('calcA'!CL$106=1,1-GJ36,0)+IF('calcA'!CM$106=1,1-GL36,0))*150+164+'calcA'!CM$5*100000+IF(AND($E36=1,LZ36=0),50000,0))+IF($H36=1,INDEX('calcA'!$D$180:$EQ$219,$B36,88)*4000,0)-IF(AND('calcA'!CL$117=1,XJ36&gt;0),2000,0)-IF(AND($U36=1,'calcA'!CM$117=1,GL36=0),2000,0))),1000000000))</f>
        <v/>
      </c>
      <c r="RP36">
        <f>IF($B36=0,1000000000,IF(INDEX('calcA'!$D$60:$EQ$99,$B36,89)*IF($W36=1,GL36+ADA36,GL36)=1,IF(AND($E36=2,IF($W36=1,AIP36,MA36)=0),1000000000,IF($V36=1,INDEX('calcA'!$D$130:$EQ$169,$B36,89)+IF(AND($E36=1,MA36=0),25,0),IF($F36&gt;0,INDEX('calcA'!CN$110:CN$114,$F36+1)+IF(AND($E36=1,MA36=0),1000,0),MIN(TX36,20)*400+(IF('calcA'!CM$106=1,1-GK36,0)+IF('calcA'!CN$106=1,1-GM36,0))*150+174+'calcA'!CN$5*100000+IF(AND($E36=1,MA36=0),50000,0))+IF($H36=1,INDEX('calcA'!$D$180:$EQ$219,$B36,89)*4000,0)-IF(AND('calcA'!CM$117=1,XK36&gt;0),2000,0)-IF(AND($U36=1,'calcA'!CN$117=1,GM36=0),2000,0))),1000000000))</f>
        <v/>
      </c>
      <c r="RQ36">
        <f>IF($B36=0,1000000000,IF(INDEX('calcA'!$D$60:$EQ$99,$B36,90)*IF($W36=1,GM36+ADB36,GM36)=1,IF(AND($E36=2,IF($W36=1,AIQ36,MB36)=0),1000000000,IF($V36=1,INDEX('calcA'!$D$130:$EQ$169,$B36,90)+IF(AND($E36=1,MB36=0),25,0),IF($F36&gt;0,INDEX('calcA'!CO$110:CO$114,$F36+1)+IF(AND($E36=1,MB36=0),1000,0),MIN(TX36,20)*400+(IF('calcA'!CN$106=1,1-GL36,0)+IF('calcA'!CO$106=1,1-GN36,0))*150+184+'calcA'!CO$5*100000+IF(AND($E36=1,MB36=0),50000,0))+IF($H36=1,INDEX('calcA'!$D$180:$EQ$219,$B36,90)*4000,0)-IF(AND('calcA'!CN$117=1,XL36&gt;0),2000,0)-IF(AND($U36=1,'calcA'!CO$117=1,GN36=0),2000,0))),1000000000))</f>
        <v/>
      </c>
      <c r="RR36">
        <f>IF($B36=0,1000000000,IF(INDEX('calcA'!$D$60:$EQ$99,$B36,91)*IF($W36=1,GN36+ADC36,GN36)=1,IF(AND($E36=2,IF($W36=1,AIR36,MC36)=0),1000000000,IF($V36=1,INDEX('calcA'!$D$130:$EQ$169,$B36,91)+IF(AND($E36=1,MC36=0),25,0),IF($F36&gt;0,INDEX('calcA'!CP$110:CP$114,$F36+1)+IF(AND($E36=1,MC36=0),1000,0),MIN(TX36,20)*400+(IF('calcA'!CO$106=1,1-GM36,0)+IF('calcA'!CP$106=1,1-GO36,0))*150+194+'calcA'!CP$5*100000+IF(AND($E36=1,MC36=0),50000,0))+IF($H36=1,INDEX('calcA'!$D$180:$EQ$219,$B36,91)*4000,0)-IF(AND('calcA'!CO$117=1,XM36&gt;0),2000,0)-IF(AND($U36=1,'calcA'!CP$117=1,GO36=0),2000,0))),1000000000))</f>
        <v/>
      </c>
      <c r="RS36">
        <f>IF($B36=0,1000000000,IF(INDEX('calcA'!$D$60:$EQ$99,$B36,92)*IF($W36=1,GO36+ADD36,GO36)=1,IF(AND($E36=2,IF($W36=1,AIS36,MD36)=0),1000000000,IF($V36=1,INDEX('calcA'!$D$130:$EQ$169,$B36,92)+IF(AND($E36=1,MD36=0),25,0),IF($F36&gt;0,INDEX('calcA'!CQ$110:CQ$114,$F36+1)+IF(AND($E36=1,MD36=0),1000,0),MIN(TX36,20)*400+(IF('calcA'!CP$106=1,1-GN36,0)+IF('calcA'!CQ$106=1,1-GP36,0))*150+204+'calcA'!CQ$5*100000+IF(AND($E36=1,MD36=0),50000,0))+IF($H36=1,INDEX('calcA'!$D$180:$EQ$219,$B36,92)*4000,0)-IF(AND('calcA'!CP$117=1,XN36&gt;0),2000,0)-IF(AND($U36=1,'calcA'!CQ$117=1,GP36=0),2000,0))),1000000000))</f>
        <v/>
      </c>
      <c r="RT36">
        <f>IF($B36=0,1000000000,IF(INDEX('calcA'!$D$60:$EQ$99,$B36,93)*IF($W36=1,GP36+ADE36,GP36)=1,IF(AND($E36=2,IF($W36=1,AIT36,ME36)=0),1000000000,IF($V36=1,INDEX('calcA'!$D$130:$EQ$169,$B36,93)+IF(AND($E36=1,ME36=0),25,0),IF($F36&gt;0,INDEX('calcA'!CR$110:CR$114,$F36+1)+IF(AND($E36=1,ME36=0),1000,0),MIN(TX36,20)*400+(IF('calcA'!CQ$106=1,1-GO36,0)+IF('calcA'!CR$106=1,1-GQ36,0))*150+214+'calcA'!CR$5*100000+IF(AND($E36=1,ME36=0),50000,0))+IF($H36=1,INDEX('calcA'!$D$180:$EQ$219,$B36,93)*4000,0)-IF(AND('calcA'!CQ$117=1,XO36&gt;0),2000,0)-IF(AND($U36=1,'calcA'!CR$117=1,GQ36=0),2000,0))),1000000000))</f>
        <v/>
      </c>
      <c r="RU36">
        <f>IF($B36=0,1000000000,IF(INDEX('calcA'!$D$60:$EQ$99,$B36,94)*IF($W36=1,GQ36+ADF36,GQ36)=1,IF(AND($E36=2,IF($W36=1,AIU36,MF36)=0),1000000000,IF($V36=1,INDEX('calcA'!$D$130:$EQ$169,$B36,94)+IF(AND($E36=1,MF36=0),25,0),IF($F36&gt;0,INDEX('calcA'!CS$110:CS$114,$F36+1)+IF(AND($E36=1,MF36=0),1000,0),MIN(TX36,20)*400+(IF('calcA'!CR$106=1,1-GP36,0)+IF('calcA'!CS$106=1,1-GR36,0))*150+224+'calcA'!CS$5*100000+IF(AND($E36=1,MF36=0),50000,0))+IF($H36=1,INDEX('calcA'!$D$180:$EQ$219,$B36,94)*4000,0)-IF(AND('calcA'!CR$117=1,XP36&gt;0),2000,0)-IF(AND($U36=1,'calcA'!CS$117=1,GR36=0),2000,0))),1000000000))</f>
        <v/>
      </c>
      <c r="RV36">
        <f>IF($B36=0,1000000000,IF(INDEX('calcA'!$D$60:$EQ$99,$B36,95)*IF($W36=1,GR36+ADG36,GR36)=1,IF(AND($E36=2,IF($W36=1,AIV36,MG36)=0),1000000000,IF($V36=1,INDEX('calcA'!$D$130:$EQ$169,$B36,95)+IF(AND($E36=1,MG36=0),25,0),IF($F36&gt;0,INDEX('calcA'!CT$110:CT$114,$F36+1)+IF(AND($E36=1,MG36=0),1000,0),MIN(TX36,20)*400+(IF('calcA'!CS$106=1,1-GQ36,0)+IF('calcA'!CT$106=1,1-GS36,0))*150+234+'calcA'!CT$5*100000+IF(AND($E36=1,MG36=0),50000,0))+IF($H36=1,INDEX('calcA'!$D$180:$EQ$219,$B36,95)*4000,0)-IF(AND('calcA'!CS$117=1,XQ36&gt;0),2000,0)-IF(AND($U36=1,'calcA'!CT$117=1,GS36=0),2000,0))),1000000000))</f>
        <v/>
      </c>
      <c r="RW36">
        <f>IF($B36=0,1000000000,IF(INDEX('calcA'!$D$60:$EQ$99,$B36,96)*IF($W36=1,GS36+ADH36,GS36)=1,IF(AND($E36=2,IF($W36=1,AIW36,MH36)=0),1000000000,IF($V36=1,INDEX('calcA'!$D$130:$EQ$169,$B36,96)+IF(AND($E36=1,MH36=0),25,0),IF($F36&gt;0,INDEX('calcA'!CU$110:CU$114,$F36+1)+IF(AND($E36=1,MH36=0),1000,0),MIN(TX36,20)*400+(IF('calcA'!CT$106=1,1-GR36,0))*150+244+'calcA'!CU$5*100000+IF(AND($E36=1,MH36=0),50000,0))+IF($H36=1,INDEX('calcA'!$D$180:$EQ$219,$B36,96)*4000,0)-IF(AND('calcA'!CT$117=1,XR36&gt;0),2000,0))),1000000000))</f>
        <v/>
      </c>
      <c r="RX36">
        <f>IF($B36=0,1000000000,IF(INDEX('calcA'!$D$60:$EQ$99,$B36,97)*IF($W36=1,GT36+ADI36,GT36)=1,IF(AND($E36=2,IF($W36=1,AIX36,MI36)=0),1000000000,IF($V36=1,INDEX('calcA'!$D$130:$EQ$169,$B36,97)+IF(AND($E36=1,MI36=0),25,0),IF($F36&gt;0,INDEX('calcA'!CV$110:CV$114,$F36+1)+IF(AND($E36=1,MI36=0),1000,0),MIN(TY36,20)*400+(IF('calcA'!CV$106=1,1-GU36,0))*150+15+'calcA'!CV$5*100000+IF(AND($E36=1,MI36=0),50000,0))+IF($H36=1,INDEX('calcA'!$D$180:$EQ$219,$B36,97)*4000,0)-IF(AND($U36=1,'calcA'!CV$117=1,GU36=0),2000,0))),1000000000))</f>
        <v/>
      </c>
      <c r="RY36">
        <f>IF($B36=0,1000000000,IF(INDEX('calcA'!$D$60:$EQ$99,$B36,98)*IF($W36=1,GU36+ADJ36,GU36)=1,IF(AND($E36=2,IF($W36=1,AIY36,MJ36)=0),1000000000,IF($V36=1,INDEX('calcA'!$D$130:$EQ$169,$B36,98)+IF(AND($E36=1,MJ36=0),25,0),IF($F36&gt;0,INDEX('calcA'!CW$110:CW$114,$F36+1)+IF(AND($E36=1,MJ36=0),1000,0),MIN(TY36,20)*400+(IF('calcA'!CV$106=1,1-GT36,0)+IF('calcA'!CW$106=1,1-GV36,0))*150+25+'calcA'!CW$5*100000+IF(AND($E36=1,MJ36=0),50000,0))+IF($H36=1,INDEX('calcA'!$D$180:$EQ$219,$B36,98)*4000,0)-IF(AND('calcA'!CV$117=1,XT36&gt;0),2000,0)-IF(AND($U36=1,'calcA'!CW$117=1,GV36=0),2000,0))),1000000000))</f>
        <v/>
      </c>
      <c r="RZ36">
        <f>IF($B36=0,1000000000,IF(INDEX('calcA'!$D$60:$EQ$99,$B36,99)*IF($W36=1,GV36+ADK36,GV36)=1,IF(AND($E36=2,IF($W36=1,AIZ36,MK36)=0),1000000000,IF($V36=1,INDEX('calcA'!$D$130:$EQ$169,$B36,99)+IF(AND($E36=1,MK36=0),25,0),IF($F36&gt;0,INDEX('calcA'!CX$110:CX$114,$F36+1)+IF(AND($E36=1,MK36=0),1000,0),MIN(TY36,20)*400+(IF('calcA'!CW$106=1,1-GU36,0)+IF('calcA'!CX$106=1,1-GW36,0))*150+35+'calcA'!CX$5*100000+IF(AND($E36=1,MK36=0),50000,0))+IF($H36=1,INDEX('calcA'!$D$180:$EQ$219,$B36,99)*4000,0)-IF(AND('calcA'!CW$117=1,XU36&gt;0),2000,0)-IF(AND($U36=1,'calcA'!CX$117=1,GW36=0),2000,0))),1000000000))</f>
        <v/>
      </c>
      <c r="SA36">
        <f>IF($B36=0,1000000000,IF(INDEX('calcA'!$D$60:$EQ$99,$B36,100)*IF($W36=1,GW36+ADL36,GW36)=1,IF(AND($E36=2,IF($W36=1,AJA36,ML36)=0),1000000000,IF($V36=1,INDEX('calcA'!$D$130:$EQ$169,$B36,100)+IF(AND($E36=1,ML36=0),25,0),IF($F36&gt;0,INDEX('calcA'!CY$110:CY$114,$F36+1)+IF(AND($E36=1,ML36=0),1000,0),MIN(TY36,20)*400+(IF('calcA'!CX$106=1,1-GV36,0)+IF('calcA'!CY$106=1,1-GX36,0))*150+45+'calcA'!CY$5*100000+IF(AND($E36=1,ML36=0),50000,0))+IF($H36=1,INDEX('calcA'!$D$180:$EQ$219,$B36,100)*4000,0)-IF(AND('calcA'!CX$117=1,XV36&gt;0),2000,0)-IF(AND($U36=1,'calcA'!CY$117=1,GX36=0),2000,0))),1000000000))</f>
        <v/>
      </c>
      <c r="SB36">
        <f>IF($B36=0,1000000000,IF(INDEX('calcA'!$D$60:$EQ$99,$B36,101)*IF($W36=1,GX36+ADM36,GX36)=1,IF(AND($E36=2,IF($W36=1,AJB36,MM36)=0),1000000000,IF($V36=1,INDEX('calcA'!$D$130:$EQ$169,$B36,101)+IF(AND($E36=1,MM36=0),25,0),IF($F36&gt;0,INDEX('calcA'!CZ$110:CZ$114,$F36+1)+IF(AND($E36=1,MM36=0),1000,0),MIN(TY36,20)*400+(IF('calcA'!CY$106=1,1-GW36,0)+IF('calcA'!CZ$106=1,1-GY36,0))*150+55+'calcA'!CZ$5*100000+IF(AND($E36=1,MM36=0),50000,0))+IF($H36=1,INDEX('calcA'!$D$180:$EQ$219,$B36,101)*4000,0)-IF(AND('calcA'!CY$117=1,XW36&gt;0),2000,0)-IF(AND($U36=1,'calcA'!CZ$117=1,GY36=0),2000,0))),1000000000))</f>
        <v/>
      </c>
      <c r="SC36">
        <f>IF($B36=0,1000000000,IF(INDEX('calcA'!$D$60:$EQ$99,$B36,102)*IF($W36=1,GY36+ADN36,GY36)=1,IF(AND($E36=2,IF($W36=1,AJC36,MN36)=0),1000000000,IF($V36=1,INDEX('calcA'!$D$130:$EQ$169,$B36,102)+IF(AND($E36=1,MN36=0),25,0),IF($F36&gt;0,INDEX('calcA'!DA$110:DA$114,$F36+1)+IF(AND($E36=1,MN36=0),1000,0),MIN(TY36,20)*400+(IF('calcA'!CZ$106=1,1-GX36,0)+IF('calcA'!DA$106=1,1-GZ36,0))*150+65+'calcA'!DA$5*100000+IF(AND($E36=1,MN36=0),50000,0))+IF($H36=1,INDEX('calcA'!$D$180:$EQ$219,$B36,102)*4000,0)-IF(AND('calcA'!CZ$117=1,XX36&gt;0),2000,0)-IF(AND($U36=1,'calcA'!DA$117=1,GZ36=0),2000,0))),1000000000))</f>
        <v/>
      </c>
      <c r="SD36">
        <f>IF($B36=0,1000000000,IF(INDEX('calcA'!$D$60:$EQ$99,$B36,103)*IF($W36=1,GZ36+ADO36,GZ36)=1,IF(AND($E36=2,IF($W36=1,AJD36,MO36)=0),1000000000,IF($V36=1,INDEX('calcA'!$D$130:$EQ$169,$B36,103)+IF(AND($E36=1,MO36=0),25,0),IF($F36&gt;0,INDEX('calcA'!DB$110:DB$114,$F36+1)+IF(AND($E36=1,MO36=0),1000,0),MIN(TY36,20)*400+(IF('calcA'!DA$106=1,1-GY36,0)+IF('calcA'!DB$106=1,1-HA36,0))*150+75+'calcA'!DB$5*100000+IF(AND($E36=1,MO36=0),50000,0))+IF($H36=1,INDEX('calcA'!$D$180:$EQ$219,$B36,103)*4000,0)-IF(AND('calcA'!DA$117=1,XY36&gt;0),2000,0)-IF(AND($U36=1,'calcA'!DB$117=1,HA36=0),2000,0))),1000000000))</f>
        <v/>
      </c>
      <c r="SE36">
        <f>IF($B36=0,1000000000,IF(INDEX('calcA'!$D$60:$EQ$99,$B36,104)*IF($W36=1,HA36+ADP36,HA36)=1,IF(AND($E36=2,IF($W36=1,AJE36,MP36)=0),1000000000,IF($V36=1,INDEX('calcA'!$D$130:$EQ$169,$B36,104)+IF(AND($E36=1,MP36=0),25,0),IF($F36&gt;0,INDEX('calcA'!DC$110:DC$114,$F36+1)+IF(AND($E36=1,MP36=0),1000,0),MIN(TY36,20)*400+(IF('calcA'!DB$106=1,1-GZ36,0)+IF('calcA'!DC$106=1,1-HB36,0))*150+85+'calcA'!DC$5*100000+IF(AND($E36=1,MP36=0),50000,0))+IF($H36=1,INDEX('calcA'!$D$180:$EQ$219,$B36,104)*4000,0)-IF(AND('calcA'!DB$117=1,XZ36&gt;0),2000,0)-IF(AND($U36=1,'calcA'!DC$117=1,HB36=0),2000,0))),1000000000))</f>
        <v/>
      </c>
      <c r="SF36">
        <f>IF($B36=0,1000000000,IF(INDEX('calcA'!$D$60:$EQ$99,$B36,105)*IF($W36=1,HB36+ADQ36,HB36)=1,IF(AND($E36=2,IF($W36=1,AJF36,MQ36)=0),1000000000,IF($V36=1,INDEX('calcA'!$D$130:$EQ$169,$B36,105)+IF(AND($E36=1,MQ36=0),25,0),IF($F36&gt;0,INDEX('calcA'!DD$110:DD$114,$F36+1)+IF(AND($E36=1,MQ36=0),1000,0),MIN(TY36,20)*400+(IF('calcA'!DC$106=1,1-HA36,0)+IF('calcA'!DD$106=1,1-HC36,0))*150+95+'calcA'!DD$5*100000+IF(AND($E36=1,MQ36=0),50000,0))+IF($H36=1,INDEX('calcA'!$D$180:$EQ$219,$B36,105)*4000,0)-IF(AND('calcA'!DC$117=1,YA36&gt;0),2000,0)-IF(AND($U36=1,'calcA'!DD$117=1,HC36=0),2000,0))),1000000000))</f>
        <v/>
      </c>
      <c r="SG36">
        <f>IF($B36=0,1000000000,IF(INDEX('calcA'!$D$60:$EQ$99,$B36,106)*IF($W36=1,HC36+ADR36,HC36)=1,IF(AND($E36=2,IF($W36=1,AJG36,MR36)=0),1000000000,IF($V36=1,INDEX('calcA'!$D$130:$EQ$169,$B36,106)+IF(AND($E36=1,MR36=0),25,0),IF($F36&gt;0,INDEX('calcA'!DE$110:DE$114,$F36+1)+IF(AND($E36=1,MR36=0),1000,0),MIN(TY36,20)*400+(IF('calcA'!DD$106=1,1-HB36,0)+IF('calcA'!DE$106=1,1-HD36,0))*150+105+'calcA'!DE$5*100000+IF(AND($E36=1,MR36=0),50000,0))+IF($H36=1,INDEX('calcA'!$D$180:$EQ$219,$B36,106)*4000,0)-IF(AND('calcA'!DD$117=1,YB36&gt;0),2000,0)-IF(AND($U36=1,'calcA'!DE$117=1,HD36=0),2000,0))),1000000000))</f>
        <v/>
      </c>
      <c r="SH36">
        <f>IF($B36=0,1000000000,IF(INDEX('calcA'!$D$60:$EQ$99,$B36,107)*IF($W36=1,HD36+ADS36,HD36)=1,IF(AND($E36=2,IF($W36=1,AJH36,MS36)=0),1000000000,IF($V36=1,INDEX('calcA'!$D$130:$EQ$169,$B36,107)+IF(AND($E36=1,MS36=0),25,0),IF($F36&gt;0,INDEX('calcA'!DF$110:DF$114,$F36+1)+IF(AND($E36=1,MS36=0),1000,0),MIN(TY36,20)*400+(IF('calcA'!DE$106=1,1-HC36,0)+IF('calcA'!DF$106=1,1-HE36,0))*150+115+'calcA'!DF$5*100000+IF(AND($E36=1,MS36=0),50000,0))+IF($H36=1,INDEX('calcA'!$D$180:$EQ$219,$B36,107)*4000,0)-IF(AND('calcA'!DE$117=1,YC36&gt;0),2000,0)-IF(AND($U36=1,'calcA'!DF$117=1,HE36=0),2000,0))),1000000000))</f>
        <v/>
      </c>
      <c r="SI36">
        <f>IF($B36=0,1000000000,IF(INDEX('calcA'!$D$60:$EQ$99,$B36,108)*IF($W36=1,HE36+ADT36,HE36)=1,IF(AND($E36=2,IF($W36=1,AJI36,MT36)=0),1000000000,IF($V36=1,INDEX('calcA'!$D$130:$EQ$169,$B36,108)+IF(AND($E36=1,MT36=0),25,0),IF($F36&gt;0,INDEX('calcA'!DG$110:DG$114,$F36+1)+IF(AND($E36=1,MT36=0),1000,0),MIN(TY36,20)*400+(IF('calcA'!DF$106=1,1-HD36,0)+IF('calcA'!DG$106=1,1-HF36,0))*150+125+'calcA'!DG$5*100000+IF(AND($E36=1,MT36=0),50000,0))+IF($H36=1,INDEX('calcA'!$D$180:$EQ$219,$B36,108)*4000,0)-IF(AND('calcA'!DF$117=1,YD36&gt;0),2000,0)-IF(AND($U36=1,'calcA'!DG$117=1,HF36=0),2000,0))),1000000000))</f>
        <v/>
      </c>
      <c r="SJ36">
        <f>IF($B36=0,1000000000,IF(INDEX('calcA'!$D$60:$EQ$99,$B36,109)*IF($W36=1,HF36+ADU36,HF36)=1,IF(AND($E36=2,IF($W36=1,AJJ36,MU36)=0),1000000000,IF($V36=1,INDEX('calcA'!$D$130:$EQ$169,$B36,109)+IF(AND($E36=1,MU36=0),25,0),IF($F36&gt;0,INDEX('calcA'!DH$110:DH$114,$F36+1)+IF(AND($E36=1,MU36=0),1000,0),MIN(TY36,20)*400+(IF('calcA'!DG$106=1,1-HE36,0)+IF('calcA'!DH$106=1,1-HG36,0))*150+135+'calcA'!DH$5*100000+IF(AND($E36=1,MU36=0),50000,0))+IF($H36=1,INDEX('calcA'!$D$180:$EQ$219,$B36,109)*4000,0)-IF(AND('calcA'!DG$117=1,YE36&gt;0),2000,0)-IF(AND($U36=1,'calcA'!DH$117=1,HG36=0),2000,0))),1000000000))</f>
        <v/>
      </c>
      <c r="SK36">
        <f>IF($B36=0,1000000000,IF(INDEX('calcA'!$D$60:$EQ$99,$B36,110)*IF($W36=1,HG36+ADV36,HG36)=1,IF(AND($E36=2,IF($W36=1,AJK36,MV36)=0),1000000000,IF($V36=1,INDEX('calcA'!$D$130:$EQ$169,$B36,110)+IF(AND($E36=1,MV36=0),25,0),IF($F36&gt;0,INDEX('calcA'!DI$110:DI$114,$F36+1)+IF(AND($E36=1,MV36=0),1000,0),MIN(TY36,20)*400+(IF('calcA'!DH$106=1,1-HF36,0)+IF('calcA'!DI$106=1,1-HH36,0))*150+145+'calcA'!DI$5*100000+IF(AND($E36=1,MV36=0),50000,0))+IF($H36=1,INDEX('calcA'!$D$180:$EQ$219,$B36,110)*4000,0)-IF(AND('calcA'!DH$117=1,YF36&gt;0),2000,0)-IF(AND($U36=1,'calcA'!DI$117=1,HH36=0),2000,0))),1000000000))</f>
        <v/>
      </c>
      <c r="SL36">
        <f>IF($B36=0,1000000000,IF(INDEX('calcA'!$D$60:$EQ$99,$B36,111)*IF($W36=1,HH36+ADW36,HH36)=1,IF(AND($E36=2,IF($W36=1,AJL36,MW36)=0),1000000000,IF($V36=1,INDEX('calcA'!$D$130:$EQ$169,$B36,111)+IF(AND($E36=1,MW36=0),25,0),IF($F36&gt;0,INDEX('calcA'!DJ$110:DJ$114,$F36+1)+IF(AND($E36=1,MW36=0),1000,0),MIN(TY36,20)*400+(IF('calcA'!DI$106=1,1-HG36,0)+IF('calcA'!DJ$106=1,1-HI36,0))*150+155+'calcA'!DJ$5*100000+IF(AND($E36=1,MW36=0),50000,0))+IF($H36=1,INDEX('calcA'!$D$180:$EQ$219,$B36,111)*4000,0)-IF(AND('calcA'!DI$117=1,YG36&gt;0),2000,0)-IF(AND($U36=1,'calcA'!DJ$117=1,HI36=0),2000,0))),1000000000))</f>
        <v/>
      </c>
      <c r="SM36">
        <f>IF($B36=0,1000000000,IF(INDEX('calcA'!$D$60:$EQ$99,$B36,112)*IF($W36=1,HI36+ADX36,HI36)=1,IF(AND($E36=2,IF($W36=1,AJM36,MX36)=0),1000000000,IF($V36=1,INDEX('calcA'!$D$130:$EQ$169,$B36,112)+IF(AND($E36=1,MX36=0),25,0),IF($F36&gt;0,INDEX('calcA'!DK$110:DK$114,$F36+1)+IF(AND($E36=1,MX36=0),1000,0),MIN(TY36,20)*400+(IF('calcA'!DJ$106=1,1-HH36,0)+IF('calcA'!DK$106=1,1-HJ36,0))*150+165+'calcA'!DK$5*100000+IF(AND($E36=1,MX36=0),50000,0))+IF($H36=1,INDEX('calcA'!$D$180:$EQ$219,$B36,112)*4000,0)-IF(AND('calcA'!DJ$117=1,YH36&gt;0),2000,0)-IF(AND($U36=1,'calcA'!DK$117=1,HJ36=0),2000,0))),1000000000))</f>
        <v/>
      </c>
      <c r="SN36">
        <f>IF($B36=0,1000000000,IF(INDEX('calcA'!$D$60:$EQ$99,$B36,113)*IF($W36=1,HJ36+ADY36,HJ36)=1,IF(AND($E36=2,IF($W36=1,AJN36,MY36)=0),1000000000,IF($V36=1,INDEX('calcA'!$D$130:$EQ$169,$B36,113)+IF(AND($E36=1,MY36=0),25,0),IF($F36&gt;0,INDEX('calcA'!DL$110:DL$114,$F36+1)+IF(AND($E36=1,MY36=0),1000,0),MIN(TY36,20)*400+(IF('calcA'!DK$106=1,1-HI36,0)+IF('calcA'!DL$106=1,1-HK36,0))*150+175+'calcA'!DL$5*100000+IF(AND($E36=1,MY36=0),50000,0))+IF($H36=1,INDEX('calcA'!$D$180:$EQ$219,$B36,113)*4000,0)-IF(AND('calcA'!DK$117=1,YI36&gt;0),2000,0)-IF(AND($U36=1,'calcA'!DL$117=1,HK36=0),2000,0))),1000000000))</f>
        <v/>
      </c>
      <c r="SO36">
        <f>IF($B36=0,1000000000,IF(INDEX('calcA'!$D$60:$EQ$99,$B36,114)*IF($W36=1,HK36+ADZ36,HK36)=1,IF(AND($E36=2,IF($W36=1,AJO36,MZ36)=0),1000000000,IF($V36=1,INDEX('calcA'!$D$130:$EQ$169,$B36,114)+IF(AND($E36=1,MZ36=0),25,0),IF($F36&gt;0,INDEX('calcA'!DM$110:DM$114,$F36+1)+IF(AND($E36=1,MZ36=0),1000,0),MIN(TY36,20)*400+(IF('calcA'!DL$106=1,1-HJ36,0)+IF('calcA'!DM$106=1,1-HL36,0))*150+185+'calcA'!DM$5*100000+IF(AND($E36=1,MZ36=0),50000,0))+IF($H36=1,INDEX('calcA'!$D$180:$EQ$219,$B36,114)*4000,0)-IF(AND('calcA'!DL$117=1,YJ36&gt;0),2000,0)-IF(AND($U36=1,'calcA'!DM$117=1,HL36=0),2000,0))),1000000000))</f>
        <v/>
      </c>
      <c r="SP36">
        <f>IF($B36=0,1000000000,IF(INDEX('calcA'!$D$60:$EQ$99,$B36,115)*IF($W36=1,HL36+AEA36,HL36)=1,IF(AND($E36=2,IF($W36=1,AJP36,NA36)=0),1000000000,IF($V36=1,INDEX('calcA'!$D$130:$EQ$169,$B36,115)+IF(AND($E36=1,NA36=0),25,0),IF($F36&gt;0,INDEX('calcA'!DN$110:DN$114,$F36+1)+IF(AND($E36=1,NA36=0),1000,0),MIN(TY36,20)*400+(IF('calcA'!DM$106=1,1-HK36,0)+IF('calcA'!DN$106=1,1-HM36,0))*150+195+'calcA'!DN$5*100000+IF(AND($E36=1,NA36=0),50000,0))+IF($H36=1,INDEX('calcA'!$D$180:$EQ$219,$B36,115)*4000,0)-IF(AND('calcA'!DM$117=1,YK36&gt;0),2000,0)-IF(AND($U36=1,'calcA'!DN$117=1,HM36=0),2000,0))),1000000000))</f>
        <v/>
      </c>
      <c r="SQ36">
        <f>IF($B36=0,1000000000,IF(INDEX('calcA'!$D$60:$EQ$99,$B36,116)*IF($W36=1,HM36+AEB36,HM36)=1,IF(AND($E36=2,IF($W36=1,AJQ36,NB36)=0),1000000000,IF($V36=1,INDEX('calcA'!$D$130:$EQ$169,$B36,116)+IF(AND($E36=1,NB36=0),25,0),IF($F36&gt;0,INDEX('calcA'!DO$110:DO$114,$F36+1)+IF(AND($E36=1,NB36=0),1000,0),MIN(TY36,20)*400+(IF('calcA'!DN$106=1,1-HL36,0)+IF('calcA'!DO$106=1,1-HN36,0))*150+205+'calcA'!DO$5*100000+IF(AND($E36=1,NB36=0),50000,0))+IF($H36=1,INDEX('calcA'!$D$180:$EQ$219,$B36,116)*4000,0)-IF(AND('calcA'!DN$117=1,YL36&gt;0),2000,0)-IF(AND($U36=1,'calcA'!DO$117=1,HN36=0),2000,0))),1000000000))</f>
        <v/>
      </c>
      <c r="SR36">
        <f>IF($B36=0,1000000000,IF(INDEX('calcA'!$D$60:$EQ$99,$B36,117)*IF($W36=1,HN36+AEC36,HN36)=1,IF(AND($E36=2,IF($W36=1,AJR36,NC36)=0),1000000000,IF($V36=1,INDEX('calcA'!$D$130:$EQ$169,$B36,117)+IF(AND($E36=1,NC36=0),25,0),IF($F36&gt;0,INDEX('calcA'!DP$110:DP$114,$F36+1)+IF(AND($E36=1,NC36=0),1000,0),MIN(TY36,20)*400+(IF('calcA'!DO$106=1,1-HM36,0)+IF('calcA'!DP$106=1,1-HO36,0))*150+215+'calcA'!DP$5*100000+IF(AND($E36=1,NC36=0),50000,0))+IF($H36=1,INDEX('calcA'!$D$180:$EQ$219,$B36,117)*4000,0)-IF(AND('calcA'!DO$117=1,YM36&gt;0),2000,0)-IF(AND($U36=1,'calcA'!DP$117=1,HO36=0),2000,0))),1000000000))</f>
        <v/>
      </c>
      <c r="SS36">
        <f>IF($B36=0,1000000000,IF(INDEX('calcA'!$D$60:$EQ$99,$B36,118)*IF($W36=1,HO36+AED36,HO36)=1,IF(AND($E36=2,IF($W36=1,AJS36,ND36)=0),1000000000,IF($V36=1,INDEX('calcA'!$D$130:$EQ$169,$B36,118)+IF(AND($E36=1,ND36=0),25,0),IF($F36&gt;0,INDEX('calcA'!DQ$110:DQ$114,$F36+1)+IF(AND($E36=1,ND36=0),1000,0),MIN(TY36,20)*400+(IF('calcA'!DP$106=1,1-HN36,0)+IF('calcA'!DQ$106=1,1-HP36,0))*150+225+'calcA'!DQ$5*100000+IF(AND($E36=1,ND36=0),50000,0))+IF($H36=1,INDEX('calcA'!$D$180:$EQ$219,$B36,118)*4000,0)-IF(AND('calcA'!DP$117=1,YN36&gt;0),2000,0)-IF(AND($U36=1,'calcA'!DQ$117=1,HP36=0),2000,0))),1000000000))</f>
        <v/>
      </c>
      <c r="ST36">
        <f>IF($B36=0,1000000000,IF(INDEX('calcA'!$D$60:$EQ$99,$B36,119)*IF($W36=1,HP36+AEE36,HP36)=1,IF(AND($E36=2,IF($W36=1,AJT36,NE36)=0),1000000000,IF($V36=1,INDEX('calcA'!$D$130:$EQ$169,$B36,119)+IF(AND($E36=1,NE36=0),25,0),IF($F36&gt;0,INDEX('calcA'!DR$110:DR$114,$F36+1)+IF(AND($E36=1,NE36=0),1000,0),MIN(TY36,20)*400+(IF('calcA'!DQ$106=1,1-HO36,0)+IF('calcA'!DR$106=1,1-HQ36,0))*150+235+'calcA'!DR$5*100000+IF(AND($E36=1,NE36=0),50000,0))+IF($H36=1,INDEX('calcA'!$D$180:$EQ$219,$B36,119)*4000,0)-IF(AND('calcA'!DQ$117=1,YO36&gt;0),2000,0)-IF(AND($U36=1,'calcA'!DR$117=1,HQ36=0),2000,0))),1000000000))</f>
        <v/>
      </c>
      <c r="SU36">
        <f>IF($B36=0,1000000000,IF(INDEX('calcA'!$D$60:$EQ$99,$B36,120)*IF($W36=1,HQ36+AEF36,HQ36)=1,IF(AND($E36=2,IF($W36=1,AJU36,NF36)=0),1000000000,IF($V36=1,INDEX('calcA'!$D$130:$EQ$169,$B36,120)+IF(AND($E36=1,NF36=0),25,0),IF($F36&gt;0,INDEX('calcA'!DS$110:DS$114,$F36+1)+IF(AND($E36=1,NF36=0),1000,0),MIN(TY36,20)*400+(IF('calcA'!DR$106=1,1-HP36,0))*150+245+'calcA'!DS$5*100000+IF(AND($E36=1,NF36=0),50000,0))+IF($H36=1,INDEX('calcA'!$D$180:$EQ$219,$B36,120)*4000,0)-IF(AND('calcA'!DR$117=1,YP36&gt;0),2000,0))),1000000000))</f>
        <v/>
      </c>
      <c r="SV36">
        <f>IF($B36=0,1000000000,IF(INDEX('calcA'!$D$60:$EQ$99,$B36,121)*IF($W36=1,HR36+AEG36,HR36)=1,IF(AND($E36=2,IF($W36=1,AJV36,NG36)=0),1000000000,IF($V36=1,INDEX('calcA'!$D$130:$EQ$169,$B36,121)+IF(AND($E36=1,NG36=0),25,0),IF($F36&gt;0,INDEX('calcA'!DT$110:DT$114,$F36+1)+IF(AND($E36=1,NG36=0),1000,0),MIN(TZ36,20)*400+(IF('calcA'!DT$106=1,1-HS36,0))*150+16+'calcA'!DT$5*100000+IF(AND($E36=1,NG36=0),50000,0))+IF($H36=1,INDEX('calcA'!$D$180:$EQ$219,$B36,121)*4000,0)-IF(AND($U36=1,'calcA'!DT$117=1,HS36=0),2000,0))),1000000000))</f>
        <v/>
      </c>
      <c r="SW36">
        <f>IF($B36=0,1000000000,IF(INDEX('calcA'!$D$60:$EQ$99,$B36,122)*IF($W36=1,HS36+AEH36,HS36)=1,IF(AND($E36=2,IF($W36=1,AJW36,NH36)=0),1000000000,IF($V36=1,INDEX('calcA'!$D$130:$EQ$169,$B36,122)+IF(AND($E36=1,NH36=0),25,0),IF($F36&gt;0,INDEX('calcA'!DU$110:DU$114,$F36+1)+IF(AND($E36=1,NH36=0),1000,0),MIN(TZ36,20)*400+(IF('calcA'!DT$106=1,1-HR36,0)+IF('calcA'!DU$106=1,1-HT36,0))*150+26+'calcA'!DU$5*100000+IF(AND($E36=1,NH36=0),50000,0))+IF($H36=1,INDEX('calcA'!$D$180:$EQ$219,$B36,122)*4000,0)-IF(AND('calcA'!DT$117=1,YR36&gt;0),2000,0)-IF(AND($U36=1,'calcA'!DU$117=1,HT36=0),2000,0))),1000000000))</f>
        <v/>
      </c>
      <c r="SX36">
        <f>IF($B36=0,1000000000,IF(INDEX('calcA'!$D$60:$EQ$99,$B36,123)*IF($W36=1,HT36+AEI36,HT36)=1,IF(AND($E36=2,IF($W36=1,AJX36,NI36)=0),1000000000,IF($V36=1,INDEX('calcA'!$D$130:$EQ$169,$B36,123)+IF(AND($E36=1,NI36=0),25,0),IF($F36&gt;0,INDEX('calcA'!DV$110:DV$114,$F36+1)+IF(AND($E36=1,NI36=0),1000,0),MIN(TZ36,20)*400+(IF('calcA'!DU$106=1,1-HS36,0)+IF('calcA'!DV$106=1,1-HU36,0))*150+36+'calcA'!DV$5*100000+IF(AND($E36=1,NI36=0),50000,0))+IF($H36=1,INDEX('calcA'!$D$180:$EQ$219,$B36,123)*4000,0)-IF(AND('calcA'!DU$117=1,YS36&gt;0),2000,0)-IF(AND($U36=1,'calcA'!DV$117=1,HU36=0),2000,0))),1000000000))</f>
        <v/>
      </c>
      <c r="SY36">
        <f>IF($B36=0,1000000000,IF(INDEX('calcA'!$D$60:$EQ$99,$B36,124)*IF($W36=1,HU36+AEJ36,HU36)=1,IF(AND($E36=2,IF($W36=1,AJY36,NJ36)=0),1000000000,IF($V36=1,INDEX('calcA'!$D$130:$EQ$169,$B36,124)+IF(AND($E36=1,NJ36=0),25,0),IF($F36&gt;0,INDEX('calcA'!DW$110:DW$114,$F36+1)+IF(AND($E36=1,NJ36=0),1000,0),MIN(TZ36,20)*400+(IF('calcA'!DV$106=1,1-HT36,0)+IF('calcA'!DW$106=1,1-HV36,0))*150+46+'calcA'!DW$5*100000+IF(AND($E36=1,NJ36=0),50000,0))+IF($H36=1,INDEX('calcA'!$D$180:$EQ$219,$B36,124)*4000,0)-IF(AND('calcA'!DV$117=1,YT36&gt;0),2000,0)-IF(AND($U36=1,'calcA'!DW$117=1,HV36=0),2000,0))),1000000000))</f>
        <v/>
      </c>
      <c r="SZ36">
        <f>IF($B36=0,1000000000,IF(INDEX('calcA'!$D$60:$EQ$99,$B36,125)*IF($W36=1,HV36+AEK36,HV36)=1,IF(AND($E36=2,IF($W36=1,AJZ36,NK36)=0),1000000000,IF($V36=1,INDEX('calcA'!$D$130:$EQ$169,$B36,125)+IF(AND($E36=1,NK36=0),25,0),IF($F36&gt;0,INDEX('calcA'!DX$110:DX$114,$F36+1)+IF(AND($E36=1,NK36=0),1000,0),MIN(TZ36,20)*400+(IF('calcA'!DW$106=1,1-HU36,0)+IF('calcA'!DX$106=1,1-HW36,0))*150+56+'calcA'!DX$5*100000+IF(AND($E36=1,NK36=0),50000,0))+IF($H36=1,INDEX('calcA'!$D$180:$EQ$219,$B36,125)*4000,0)-IF(AND('calcA'!DW$117=1,YU36&gt;0),2000,0)-IF(AND($U36=1,'calcA'!DX$117=1,HW36=0),2000,0))),1000000000))</f>
        <v/>
      </c>
      <c r="TA36">
        <f>IF($B36=0,1000000000,IF(INDEX('calcA'!$D$60:$EQ$99,$B36,126)*IF($W36=1,HW36+AEL36,HW36)=1,IF(AND($E36=2,IF($W36=1,AKA36,NL36)=0),1000000000,IF($V36=1,INDEX('calcA'!$D$130:$EQ$169,$B36,126)+IF(AND($E36=1,NL36=0),25,0),IF($F36&gt;0,INDEX('calcA'!DY$110:DY$114,$F36+1)+IF(AND($E36=1,NL36=0),1000,0),MIN(TZ36,20)*400+(IF('calcA'!DX$106=1,1-HV36,0)+IF('calcA'!DY$106=1,1-HX36,0))*150+66+'calcA'!DY$5*100000+IF(AND($E36=1,NL36=0),50000,0))+IF($H36=1,INDEX('calcA'!$D$180:$EQ$219,$B36,126)*4000,0)-IF(AND('calcA'!DX$117=1,YV36&gt;0),2000,0)-IF(AND($U36=1,'calcA'!DY$117=1,HX36=0),2000,0))),1000000000))</f>
        <v/>
      </c>
      <c r="TB36">
        <f>IF($B36=0,1000000000,IF(INDEX('calcA'!$D$60:$EQ$99,$B36,127)*IF($W36=1,HX36+AEM36,HX36)=1,IF(AND($E36=2,IF($W36=1,AKB36,NM36)=0),1000000000,IF($V36=1,INDEX('calcA'!$D$130:$EQ$169,$B36,127)+IF(AND($E36=1,NM36=0),25,0),IF($F36&gt;0,INDEX('calcA'!DZ$110:DZ$114,$F36+1)+IF(AND($E36=1,NM36=0),1000,0),MIN(TZ36,20)*400+(IF('calcA'!DY$106=1,1-HW36,0)+IF('calcA'!DZ$106=1,1-HY36,0))*150+76+'calcA'!DZ$5*100000+IF(AND($E36=1,NM36=0),50000,0))+IF($H36=1,INDEX('calcA'!$D$180:$EQ$219,$B36,127)*4000,0)-IF(AND('calcA'!DY$117=1,YW36&gt;0),2000,0)-IF(AND($U36=1,'calcA'!DZ$117=1,HY36=0),2000,0))),1000000000))</f>
        <v/>
      </c>
      <c r="TC36">
        <f>IF($B36=0,1000000000,IF(INDEX('calcA'!$D$60:$EQ$99,$B36,128)*IF($W36=1,HY36+AEN36,HY36)=1,IF(AND($E36=2,IF($W36=1,AKC36,NN36)=0),1000000000,IF($V36=1,INDEX('calcA'!$D$130:$EQ$169,$B36,128)+IF(AND($E36=1,NN36=0),25,0),IF($F36&gt;0,INDEX('calcA'!EA$110:EA$114,$F36+1)+IF(AND($E36=1,NN36=0),1000,0),MIN(TZ36,20)*400+(IF('calcA'!DZ$106=1,1-HX36,0)+IF('calcA'!EA$106=1,1-HZ36,0))*150+86+'calcA'!EA$5*100000+IF(AND($E36=1,NN36=0),50000,0))+IF($H36=1,INDEX('calcA'!$D$180:$EQ$219,$B36,128)*4000,0)-IF(AND('calcA'!DZ$117=1,YX36&gt;0),2000,0)-IF(AND($U36=1,'calcA'!EA$117=1,HZ36=0),2000,0))),1000000000))</f>
        <v/>
      </c>
      <c r="TD36">
        <f>IF($B36=0,1000000000,IF(INDEX('calcA'!$D$60:$EQ$99,$B36,129)*IF($W36=1,HZ36+AEO36,HZ36)=1,IF(AND($E36=2,IF($W36=1,AKD36,NO36)=0),1000000000,IF($V36=1,INDEX('calcA'!$D$130:$EQ$169,$B36,129)+IF(AND($E36=1,NO36=0),25,0),IF($F36&gt;0,INDEX('calcA'!EB$110:EB$114,$F36+1)+IF(AND($E36=1,NO36=0),1000,0),MIN(TZ36,20)*400+(IF('calcA'!EA$106=1,1-HY36,0)+IF('calcA'!EB$106=1,1-IA36,0))*150+96+'calcA'!EB$5*100000+IF(AND($E36=1,NO36=0),50000,0))+IF($H36=1,INDEX('calcA'!$D$180:$EQ$219,$B36,129)*4000,0)-IF(AND('calcA'!EA$117=1,YY36&gt;0),2000,0)-IF(AND($U36=1,'calcA'!EB$117=1,IA36=0),2000,0))),1000000000))</f>
        <v/>
      </c>
      <c r="TE36">
        <f>IF($B36=0,1000000000,IF(INDEX('calcA'!$D$60:$EQ$99,$B36,130)*IF($W36=1,IA36+AEP36,IA36)=1,IF(AND($E36=2,IF($W36=1,AKE36,NP36)=0),1000000000,IF($V36=1,INDEX('calcA'!$D$130:$EQ$169,$B36,130)+IF(AND($E36=1,NP36=0),25,0),IF($F36&gt;0,INDEX('calcA'!EC$110:EC$114,$F36+1)+IF(AND($E36=1,NP36=0),1000,0),MIN(TZ36,20)*400+(IF('calcA'!EB$106=1,1-HZ36,0)+IF('calcA'!EC$106=1,1-IB36,0))*150+106+'calcA'!EC$5*100000+IF(AND($E36=1,NP36=0),50000,0))+IF($H36=1,INDEX('calcA'!$D$180:$EQ$219,$B36,130)*4000,0)-IF(AND('calcA'!EB$117=1,YZ36&gt;0),2000,0)-IF(AND($U36=1,'calcA'!EC$117=1,IB36=0),2000,0))),1000000000))</f>
        <v/>
      </c>
      <c r="TF36">
        <f>IF($B36=0,1000000000,IF(INDEX('calcA'!$D$60:$EQ$99,$B36,131)*IF($W36=1,IB36+AEQ36,IB36)=1,IF(AND($E36=2,IF($W36=1,AKF36,NQ36)=0),1000000000,IF($V36=1,INDEX('calcA'!$D$130:$EQ$169,$B36,131)+IF(AND($E36=1,NQ36=0),25,0),IF($F36&gt;0,INDEX('calcA'!ED$110:ED$114,$F36+1)+IF(AND($E36=1,NQ36=0),1000,0),MIN(TZ36,20)*400+(IF('calcA'!EC$106=1,1-IA36,0)+IF('calcA'!ED$106=1,1-IC36,0))*150+116+'calcA'!ED$5*100000+IF(AND($E36=1,NQ36=0),50000,0))+IF($H36=1,INDEX('calcA'!$D$180:$EQ$219,$B36,131)*4000,0)-IF(AND('calcA'!EC$117=1,ZA36&gt;0),2000,0)-IF(AND($U36=1,'calcA'!ED$117=1,IC36=0),2000,0))),1000000000))</f>
        <v/>
      </c>
      <c r="TG36">
        <f>IF($B36=0,1000000000,IF(INDEX('calcA'!$D$60:$EQ$99,$B36,132)*IF($W36=1,IC36+AER36,IC36)=1,IF(AND($E36=2,IF($W36=1,AKG36,NR36)=0),1000000000,IF($V36=1,INDEX('calcA'!$D$130:$EQ$169,$B36,132)+IF(AND($E36=1,NR36=0),25,0),IF($F36&gt;0,INDEX('calcA'!EE$110:EE$114,$F36+1)+IF(AND($E36=1,NR36=0),1000,0),MIN(TZ36,20)*400+(IF('calcA'!ED$106=1,1-IB36,0)+IF('calcA'!EE$106=1,1-ID36,0))*150+126+'calcA'!EE$5*100000+IF(AND($E36=1,NR36=0),50000,0))+IF($H36=1,INDEX('calcA'!$D$180:$EQ$219,$B36,132)*4000,0)-IF(AND('calcA'!ED$117=1,ZB36&gt;0),2000,0)-IF(AND($U36=1,'calcA'!EE$117=1,ID36=0),2000,0))),1000000000))</f>
        <v/>
      </c>
      <c r="TH36">
        <f>IF($B36=0,1000000000,IF(INDEX('calcA'!$D$60:$EQ$99,$B36,133)*IF($W36=1,ID36+AES36,ID36)=1,IF(AND($E36=2,IF($W36=1,AKH36,NS36)=0),1000000000,IF($V36=1,INDEX('calcA'!$D$130:$EQ$169,$B36,133)+IF(AND($E36=1,NS36=0),25,0),IF($F36&gt;0,INDEX('calcA'!EF$110:EF$114,$F36+1)+IF(AND($E36=1,NS36=0),1000,0),MIN(TZ36,20)*400+(IF('calcA'!EE$106=1,1-IC36,0)+IF('calcA'!EF$106=1,1-IE36,0))*150+136+'calcA'!EF$5*100000+IF(AND($E36=1,NS36=0),50000,0))+IF($H36=1,INDEX('calcA'!$D$180:$EQ$219,$B36,133)*4000,0)-IF(AND('calcA'!EE$117=1,ZC36&gt;0),2000,0)-IF(AND($U36=1,'calcA'!EF$117=1,IE36=0),2000,0))),1000000000))</f>
        <v/>
      </c>
      <c r="TI36">
        <f>IF($B36=0,1000000000,IF(INDEX('calcA'!$D$60:$EQ$99,$B36,134)*IF($W36=1,IE36+AET36,IE36)=1,IF(AND($E36=2,IF($W36=1,AKI36,NT36)=0),1000000000,IF($V36=1,INDEX('calcA'!$D$130:$EQ$169,$B36,134)+IF(AND($E36=1,NT36=0),25,0),IF($F36&gt;0,INDEX('calcA'!EG$110:EG$114,$F36+1)+IF(AND($E36=1,NT36=0),1000,0),MIN(TZ36,20)*400+(IF('calcA'!EF$106=1,1-ID36,0)+IF('calcA'!EG$106=1,1-IF36,0))*150+146+'calcA'!EG$5*100000+IF(AND($E36=1,NT36=0),50000,0))+IF($H36=1,INDEX('calcA'!$D$180:$EQ$219,$B36,134)*4000,0)-IF(AND('calcA'!EF$117=1,ZD36&gt;0),2000,0)-IF(AND($U36=1,'calcA'!EG$117=1,IF36=0),2000,0))),1000000000))</f>
        <v/>
      </c>
      <c r="TJ36">
        <f>IF($B36=0,1000000000,IF(INDEX('calcA'!$D$60:$EQ$99,$B36,135)*IF($W36=1,IF36+AEU36,IF36)=1,IF(AND($E36=2,IF($W36=1,AKJ36,NU36)=0),1000000000,IF($V36=1,INDEX('calcA'!$D$130:$EQ$169,$B36,135)+IF(AND($E36=1,NU36=0),25,0),IF($F36&gt;0,INDEX('calcA'!EH$110:EH$114,$F36+1)+IF(AND($E36=1,NU36=0),1000,0),MIN(TZ36,20)*400+(IF('calcA'!EG$106=1,1-IE36,0)+IF('calcA'!EH$106=1,1-IG36,0))*150+156+'calcA'!EH$5*100000+IF(AND($E36=1,NU36=0),50000,0))+IF($H36=1,INDEX('calcA'!$D$180:$EQ$219,$B36,135)*4000,0)-IF(AND('calcA'!EG$117=1,ZE36&gt;0),2000,0)-IF(AND($U36=1,'calcA'!EH$117=1,IG36=0),2000,0))),1000000000))</f>
        <v/>
      </c>
      <c r="TK36">
        <f>IF($B36=0,1000000000,IF(INDEX('calcA'!$D$60:$EQ$99,$B36,136)*IF($W36=1,IG36+AEV36,IG36)=1,IF(AND($E36=2,IF($W36=1,AKK36,NV36)=0),1000000000,IF($V36=1,INDEX('calcA'!$D$130:$EQ$169,$B36,136)+IF(AND($E36=1,NV36=0),25,0),IF($F36&gt;0,INDEX('calcA'!EI$110:EI$114,$F36+1)+IF(AND($E36=1,NV36=0),1000,0),MIN(TZ36,20)*400+(IF('calcA'!EH$106=1,1-IF36,0)+IF('calcA'!EI$106=1,1-IH36,0))*150+166+'calcA'!EI$5*100000+IF(AND($E36=1,NV36=0),50000,0))+IF($H36=1,INDEX('calcA'!$D$180:$EQ$219,$B36,136)*4000,0)-IF(AND('calcA'!EH$117=1,ZF36&gt;0),2000,0)-IF(AND($U36=1,'calcA'!EI$117=1,IH36=0),2000,0))),1000000000))</f>
        <v/>
      </c>
      <c r="TL36">
        <f>IF($B36=0,1000000000,IF(INDEX('calcA'!$D$60:$EQ$99,$B36,137)*IF($W36=1,IH36+AEW36,IH36)=1,IF(AND($E36=2,IF($W36=1,AKL36,NW36)=0),1000000000,IF($V36=1,INDEX('calcA'!$D$130:$EQ$169,$B36,137)+IF(AND($E36=1,NW36=0),25,0),IF($F36&gt;0,INDEX('calcA'!EJ$110:EJ$114,$F36+1)+IF(AND($E36=1,NW36=0),1000,0),MIN(TZ36,20)*400+(IF('calcA'!EI$106=1,1-IG36,0)+IF('calcA'!EJ$106=1,1-II36,0))*150+176+'calcA'!EJ$5*100000+IF(AND($E36=1,NW36=0),50000,0))+IF($H36=1,INDEX('calcA'!$D$180:$EQ$219,$B36,137)*4000,0)-IF(AND('calcA'!EI$117=1,ZG36&gt;0),2000,0)-IF(AND($U36=1,'calcA'!EJ$117=1,II36=0),2000,0))),1000000000))</f>
        <v/>
      </c>
      <c r="TM36">
        <f>IF($B36=0,1000000000,IF(INDEX('calcA'!$D$60:$EQ$99,$B36,138)*IF($W36=1,II36+AEX36,II36)=1,IF(AND($E36=2,IF($W36=1,AKM36,NX36)=0),1000000000,IF($V36=1,INDEX('calcA'!$D$130:$EQ$169,$B36,138)+IF(AND($E36=1,NX36=0),25,0),IF($F36&gt;0,INDEX('calcA'!EK$110:EK$114,$F36+1)+IF(AND($E36=1,NX36=0),1000,0),MIN(TZ36,20)*400+(IF('calcA'!EJ$106=1,1-IH36,0)+IF('calcA'!EK$106=1,1-IJ36,0))*150+186+'calcA'!EK$5*100000+IF(AND($E36=1,NX36=0),50000,0))+IF($H36=1,INDEX('calcA'!$D$180:$EQ$219,$B36,138)*4000,0)-IF(AND('calcA'!EJ$117=1,ZH36&gt;0),2000,0)-IF(AND($U36=1,'calcA'!EK$117=1,IJ36=0),2000,0))),1000000000))</f>
        <v/>
      </c>
      <c r="TN36">
        <f>IF($B36=0,1000000000,IF(INDEX('calcA'!$D$60:$EQ$99,$B36,139)*IF($W36=1,IJ36+AEY36,IJ36)=1,IF(AND($E36=2,IF($W36=1,AKN36,NY36)=0),1000000000,IF($V36=1,INDEX('calcA'!$D$130:$EQ$169,$B36,139)+IF(AND($E36=1,NY36=0),25,0),IF($F36&gt;0,INDEX('calcA'!EL$110:EL$114,$F36+1)+IF(AND($E36=1,NY36=0),1000,0),MIN(TZ36,20)*400+(IF('calcA'!EK$106=1,1-II36,0)+IF('calcA'!EL$106=1,1-IK36,0))*150+196+'calcA'!EL$5*100000+IF(AND($E36=1,NY36=0),50000,0))+IF($H36=1,INDEX('calcA'!$D$180:$EQ$219,$B36,139)*4000,0)-IF(AND('calcA'!EK$117=1,ZI36&gt;0),2000,0)-IF(AND($U36=1,'calcA'!EL$117=1,IK36=0),2000,0))),1000000000))</f>
        <v/>
      </c>
      <c r="TO36">
        <f>IF($B36=0,1000000000,IF(INDEX('calcA'!$D$60:$EQ$99,$B36,140)*IF($W36=1,IK36+AEZ36,IK36)=1,IF(AND($E36=2,IF($W36=1,AKO36,NZ36)=0),1000000000,IF($V36=1,INDEX('calcA'!$D$130:$EQ$169,$B36,140)+IF(AND($E36=1,NZ36=0),25,0),IF($F36&gt;0,INDEX('calcA'!EM$110:EM$114,$F36+1)+IF(AND($E36=1,NZ36=0),1000,0),MIN(TZ36,20)*400+(IF('calcA'!EL$106=1,1-IJ36,0)+IF('calcA'!EM$106=1,1-IL36,0))*150+206+'calcA'!EM$5*100000+IF(AND($E36=1,NZ36=0),50000,0))+IF($H36=1,INDEX('calcA'!$D$180:$EQ$219,$B36,140)*4000,0)-IF(AND('calcA'!EL$117=1,ZJ36&gt;0),2000,0)-IF(AND($U36=1,'calcA'!EM$117=1,IL36=0),2000,0))),1000000000))</f>
        <v/>
      </c>
      <c r="TP36">
        <f>IF($B36=0,1000000000,IF(INDEX('calcA'!$D$60:$EQ$99,$B36,141)*IF($W36=1,IL36+AFA36,IL36)=1,IF(AND($E36=2,IF($W36=1,AKP36,OA36)=0),1000000000,IF($V36=1,INDEX('calcA'!$D$130:$EQ$169,$B36,141)+IF(AND($E36=1,OA36=0),25,0),IF($F36&gt;0,INDEX('calcA'!EN$110:EN$114,$F36+1)+IF(AND($E36=1,OA36=0),1000,0),MIN(TZ36,20)*400+(IF('calcA'!EM$106=1,1-IK36,0)+IF('calcA'!EN$106=1,1-IM36,0))*150+216+'calcA'!EN$5*100000+IF(AND($E36=1,OA36=0),50000,0))+IF($H36=1,INDEX('calcA'!$D$180:$EQ$219,$B36,141)*4000,0)-IF(AND('calcA'!EM$117=1,ZK36&gt;0),2000,0)-IF(AND($U36=1,'calcA'!EN$117=1,IM36=0),2000,0))),1000000000))</f>
        <v/>
      </c>
      <c r="TQ36">
        <f>IF($B36=0,1000000000,IF(INDEX('calcA'!$D$60:$EQ$99,$B36,142)*IF($W36=1,IM36+AFB36,IM36)=1,IF(AND($E36=2,IF($W36=1,AKQ36,OB36)=0),1000000000,IF($V36=1,INDEX('calcA'!$D$130:$EQ$169,$B36,142)+IF(AND($E36=1,OB36=0),25,0),IF($F36&gt;0,INDEX('calcA'!EO$110:EO$114,$F36+1)+IF(AND($E36=1,OB36=0),1000,0),MIN(TZ36,20)*400+(IF('calcA'!EN$106=1,1-IL36,0)+IF('calcA'!EO$106=1,1-IN36,0))*150+226+'calcA'!EO$5*100000+IF(AND($E36=1,OB36=0),50000,0))+IF($H36=1,INDEX('calcA'!$D$180:$EQ$219,$B36,142)*4000,0)-IF(AND('calcA'!EN$117=1,ZL36&gt;0),2000,0)-IF(AND($U36=1,'calcA'!EO$117=1,IN36=0),2000,0))),1000000000))</f>
        <v/>
      </c>
      <c r="TR36">
        <f>IF($B36=0,1000000000,IF(INDEX('calcA'!$D$60:$EQ$99,$B36,143)*IF($W36=1,IN36+AFC36,IN36)=1,IF(AND($E36=2,IF($W36=1,AKR36,OC36)=0),1000000000,IF($V36=1,INDEX('calcA'!$D$130:$EQ$169,$B36,143)+IF(AND($E36=1,OC36=0),25,0),IF($F36&gt;0,INDEX('calcA'!EP$110:EP$114,$F36+1)+IF(AND($E36=1,OC36=0),1000,0),MIN(TZ36,20)*400+(IF('calcA'!EO$106=1,1-IM36,0)+IF('calcA'!EP$106=1,1-IO36,0))*150+236+'calcA'!EP$5*100000+IF(AND($E36=1,OC36=0),50000,0))+IF($H36=1,INDEX('calcA'!$D$180:$EQ$219,$B36,143)*4000,0)-IF(AND('calcA'!EO$117=1,ZM36&gt;0),2000,0)-IF(AND($U36=1,'calcA'!EP$117=1,IO36=0),2000,0))),1000000000))</f>
        <v/>
      </c>
      <c r="TS36">
        <f>IF($B36=0,1000000000,IF(INDEX('calcA'!$D$60:$EQ$99,$B36,144)*IF($W36=1,IO36+AFD36,IO36)=1,IF(AND($E36=2,IF($W36=1,AKS36,OD36)=0),1000000000,IF($V36=1,INDEX('calcA'!$D$130:$EQ$169,$B36,144)+IF(AND($E36=1,OD36=0),25,0),IF($F36&gt;0,INDEX('calcA'!EQ$110:EQ$114,$F36+1)+IF(AND($E36=1,OD36=0),1000,0),MIN(TZ36,20)*400+(IF('calcA'!EP$106=1,1-IN36,0))*150+246+'calcA'!EQ$5*100000+IF(AND($E36=1,OD36=0),50000,0))+IF($H36=1,INDEX('calcA'!$D$180:$EQ$219,$B36,144)*4000,0)-IF(AND('calcA'!EP$117=1,ZN36&gt;0),2000,0))),1000000000))</f>
        <v/>
      </c>
      <c r="TU36">
        <f>TU35+IF($C35&gt;0,IF(INDEX('calcA'!$D$2:$EQ$2,$C35)=1,1,0),0)</f>
        <v/>
      </c>
      <c r="TV36">
        <f>TV35+IF($C35&gt;0,IF(INDEX('calcA'!$D$2:$EQ$2,$C35)=2,1,0),0)</f>
        <v/>
      </c>
      <c r="TW36">
        <f>TW35+IF($C35&gt;0,IF(INDEX('calcA'!$D$2:$EQ$2,$C35)=3,1,0),0)</f>
        <v/>
      </c>
      <c r="TX36">
        <f>TX35+IF($C35&gt;0,IF(INDEX('calcA'!$D$2:$EQ$2,$C35)=4,1,0),0)</f>
        <v/>
      </c>
      <c r="TY36">
        <f>TY35+IF($C35&gt;0,IF(INDEX('calcA'!$D$2:$EQ$2,$C35)=5,1,0),0)</f>
        <v/>
      </c>
      <c r="TZ36">
        <f>TZ35+IF($C35&gt;0,IF(INDEX('calcA'!$D$2:$EQ$2,$C35)=6,1,0),0)</f>
        <v/>
      </c>
      <c r="UB36">
        <f>UB35+IF(AND($C35=1,$U35=1),1,0)</f>
        <v/>
      </c>
      <c r="UC36">
        <f>UC35+IF(AND($C35=2,$U35=1),1,0)</f>
        <v/>
      </c>
      <c r="UD36">
        <f>UD35+IF(AND($C35=3,$U35=1),1,0)</f>
        <v/>
      </c>
      <c r="UE36">
        <f>UE35+IF(AND($C35=4,$U35=1),1,0)</f>
        <v/>
      </c>
      <c r="UF36">
        <f>UF35+IF(AND($C35=5,$U35=1),1,0)</f>
        <v/>
      </c>
      <c r="UG36">
        <f>UG35+IF(AND($C35=6,$U35=1),1,0)</f>
        <v/>
      </c>
      <c r="UH36">
        <f>UH35+IF(AND($C35=7,$U35=1),1,0)</f>
        <v/>
      </c>
      <c r="UI36">
        <f>UI35+IF(AND($C35=8,$U35=1),1,0)</f>
        <v/>
      </c>
      <c r="UJ36">
        <f>UJ35+IF(AND($C35=9,$U35=1),1,0)</f>
        <v/>
      </c>
      <c r="UK36">
        <f>UK35+IF(AND($C35=10,$U35=1),1,0)</f>
        <v/>
      </c>
      <c r="UL36">
        <f>UL35+IF(AND($C35=11,$U35=1),1,0)</f>
        <v/>
      </c>
      <c r="UM36">
        <f>UM35+IF(AND($C35=12,$U35=1),1,0)</f>
        <v/>
      </c>
      <c r="UN36">
        <f>UN35+IF(AND($C35=13,$U35=1),1,0)</f>
        <v/>
      </c>
      <c r="UO36">
        <f>UO35+IF(AND($C35=14,$U35=1),1,0)</f>
        <v/>
      </c>
      <c r="UP36">
        <f>UP35+IF(AND($C35=15,$U35=1),1,0)</f>
        <v/>
      </c>
      <c r="UQ36">
        <f>UQ35+IF(AND($C35=16,$U35=1),1,0)</f>
        <v/>
      </c>
      <c r="UR36">
        <f>UR35+IF(AND($C35=17,$U35=1),1,0)</f>
        <v/>
      </c>
      <c r="US36">
        <f>US35+IF(AND($C35=18,$U35=1),1,0)</f>
        <v/>
      </c>
      <c r="UT36">
        <f>UT35+IF(AND($C35=19,$U35=1),1,0)</f>
        <v/>
      </c>
      <c r="UU36">
        <f>UU35+IF(AND($C35=20,$U35=1),1,0)</f>
        <v/>
      </c>
      <c r="UV36">
        <f>UV35+IF(AND($C35=21,$U35=1),1,0)</f>
        <v/>
      </c>
      <c r="UW36">
        <f>UW35+IF(AND($C35=22,$U35=1),1,0)</f>
        <v/>
      </c>
      <c r="UX36">
        <f>UX35+IF(AND($C35=23,$U35=1),1,0)</f>
        <v/>
      </c>
      <c r="UY36">
        <f>UY35+IF(AND($C35=24,$U35=1),1,0)</f>
        <v/>
      </c>
      <c r="UZ36">
        <f>UZ35+IF(AND($C35=25,$U35=1),1,0)</f>
        <v/>
      </c>
      <c r="VA36">
        <f>VA35+IF(AND($C35=26,$U35=1),1,0)</f>
        <v/>
      </c>
      <c r="VB36">
        <f>VB35+IF(AND($C35=27,$U35=1),1,0)</f>
        <v/>
      </c>
      <c r="VC36">
        <f>VC35+IF(AND($C35=28,$U35=1),1,0)</f>
        <v/>
      </c>
      <c r="VD36">
        <f>VD35+IF(AND($C35=29,$U35=1),1,0)</f>
        <v/>
      </c>
      <c r="VE36">
        <f>VE35+IF(AND($C35=30,$U35=1),1,0)</f>
        <v/>
      </c>
      <c r="VF36">
        <f>VF35+IF(AND($C35=31,$U35=1),1,0)</f>
        <v/>
      </c>
      <c r="VG36">
        <f>VG35+IF(AND($C35=32,$U35=1),1,0)</f>
        <v/>
      </c>
      <c r="VH36">
        <f>VH35+IF(AND($C35=33,$U35=1),1,0)</f>
        <v/>
      </c>
      <c r="VI36">
        <f>VI35+IF(AND($C35=34,$U35=1),1,0)</f>
        <v/>
      </c>
      <c r="VJ36">
        <f>VJ35+IF(AND($C35=35,$U35=1),1,0)</f>
        <v/>
      </c>
      <c r="VK36">
        <f>VK35+IF(AND($C35=36,$U35=1),1,0)</f>
        <v/>
      </c>
      <c r="VL36">
        <f>VL35+IF(AND($C35=37,$U35=1),1,0)</f>
        <v/>
      </c>
      <c r="VM36">
        <f>VM35+IF(AND($C35=38,$U35=1),1,0)</f>
        <v/>
      </c>
      <c r="VN36">
        <f>VN35+IF(AND($C35=39,$U35=1),1,0)</f>
        <v/>
      </c>
      <c r="VO36">
        <f>VO35+IF(AND($C35=40,$U35=1),1,0)</f>
        <v/>
      </c>
      <c r="VP36">
        <f>VP35+IF(AND($C35=41,$U35=1),1,0)</f>
        <v/>
      </c>
      <c r="VQ36">
        <f>VQ35+IF(AND($C35=42,$U35=1),1,0)</f>
        <v/>
      </c>
      <c r="VR36">
        <f>VR35+IF(AND($C35=43,$U35=1),1,0)</f>
        <v/>
      </c>
      <c r="VS36">
        <f>VS35+IF(AND($C35=44,$U35=1),1,0)</f>
        <v/>
      </c>
      <c r="VT36">
        <f>VT35+IF(AND($C35=45,$U35=1),1,0)</f>
        <v/>
      </c>
      <c r="VU36">
        <f>VU35+IF(AND($C35=46,$U35=1),1,0)</f>
        <v/>
      </c>
      <c r="VV36">
        <f>VV35+IF(AND($C35=47,$U35=1),1,0)</f>
        <v/>
      </c>
      <c r="VW36">
        <f>VW35+IF(AND($C35=48,$U35=1),1,0)</f>
        <v/>
      </c>
      <c r="VX36">
        <f>VX35+IF(AND($C35=49,$U35=1),1,0)</f>
        <v/>
      </c>
      <c r="VY36">
        <f>VY35+IF(AND($C35=50,$U35=1),1,0)</f>
        <v/>
      </c>
      <c r="VZ36">
        <f>VZ35+IF(AND($C35=51,$U35=1),1,0)</f>
        <v/>
      </c>
      <c r="WA36">
        <f>WA35+IF(AND($C35=52,$U35=1),1,0)</f>
        <v/>
      </c>
      <c r="WB36">
        <f>WB35+IF(AND($C35=53,$U35=1),1,0)</f>
        <v/>
      </c>
      <c r="WC36">
        <f>WC35+IF(AND($C35=54,$U35=1),1,0)</f>
        <v/>
      </c>
      <c r="WD36">
        <f>WD35+IF(AND($C35=55,$U35=1),1,0)</f>
        <v/>
      </c>
      <c r="WE36">
        <f>WE35+IF(AND($C35=56,$U35=1),1,0)</f>
        <v/>
      </c>
      <c r="WF36">
        <f>WF35+IF(AND($C35=57,$U35=1),1,0)</f>
        <v/>
      </c>
      <c r="WG36">
        <f>WG35+IF(AND($C35=58,$U35=1),1,0)</f>
        <v/>
      </c>
      <c r="WH36">
        <f>WH35+IF(AND($C35=59,$U35=1),1,0)</f>
        <v/>
      </c>
      <c r="WI36">
        <f>WI35+IF(AND($C35=60,$U35=1),1,0)</f>
        <v/>
      </c>
      <c r="WJ36">
        <f>WJ35+IF(AND($C35=61,$U35=1),1,0)</f>
        <v/>
      </c>
      <c r="WK36">
        <f>WK35+IF(AND($C35=62,$U35=1),1,0)</f>
        <v/>
      </c>
      <c r="WL36">
        <f>WL35+IF(AND($C35=63,$U35=1),1,0)</f>
        <v/>
      </c>
      <c r="WM36">
        <f>WM35+IF(AND($C35=64,$U35=1),1,0)</f>
        <v/>
      </c>
      <c r="WN36">
        <f>WN35+IF(AND($C35=65,$U35=1),1,0)</f>
        <v/>
      </c>
      <c r="WO36">
        <f>WO35+IF(AND($C35=66,$U35=1),1,0)</f>
        <v/>
      </c>
      <c r="WP36">
        <f>WP35+IF(AND($C35=67,$U35=1),1,0)</f>
        <v/>
      </c>
      <c r="WQ36">
        <f>WQ35+IF(AND($C35=68,$U35=1),1,0)</f>
        <v/>
      </c>
      <c r="WR36">
        <f>WR35+IF(AND($C35=69,$U35=1),1,0)</f>
        <v/>
      </c>
      <c r="WS36">
        <f>WS35+IF(AND($C35=70,$U35=1),1,0)</f>
        <v/>
      </c>
      <c r="WT36">
        <f>WT35+IF(AND($C35=71,$U35=1),1,0)</f>
        <v/>
      </c>
      <c r="WU36">
        <f>WU35+IF(AND($C35=72,$U35=1),1,0)</f>
        <v/>
      </c>
      <c r="WV36">
        <f>WV35+IF(AND($C35=73,$U35=1),1,0)</f>
        <v/>
      </c>
      <c r="WW36">
        <f>WW35+IF(AND($C35=74,$U35=1),1,0)</f>
        <v/>
      </c>
      <c r="WX36">
        <f>WX35+IF(AND($C35=75,$U35=1),1,0)</f>
        <v/>
      </c>
      <c r="WY36">
        <f>WY35+IF(AND($C35=76,$U35=1),1,0)</f>
        <v/>
      </c>
      <c r="WZ36">
        <f>WZ35+IF(AND($C35=77,$U35=1),1,0)</f>
        <v/>
      </c>
      <c r="XA36">
        <f>XA35+IF(AND($C35=78,$U35=1),1,0)</f>
        <v/>
      </c>
      <c r="XB36">
        <f>XB35+IF(AND($C35=79,$U35=1),1,0)</f>
        <v/>
      </c>
      <c r="XC36">
        <f>XC35+IF(AND($C35=80,$U35=1),1,0)</f>
        <v/>
      </c>
      <c r="XD36">
        <f>XD35+IF(AND($C35=81,$U35=1),1,0)</f>
        <v/>
      </c>
      <c r="XE36">
        <f>XE35+IF(AND($C35=82,$U35=1),1,0)</f>
        <v/>
      </c>
      <c r="XF36">
        <f>XF35+IF(AND($C35=83,$U35=1),1,0)</f>
        <v/>
      </c>
      <c r="XG36">
        <f>XG35+IF(AND($C35=84,$U35=1),1,0)</f>
        <v/>
      </c>
      <c r="XH36">
        <f>XH35+IF(AND($C35=85,$U35=1),1,0)</f>
        <v/>
      </c>
      <c r="XI36">
        <f>XI35+IF(AND($C35=86,$U35=1),1,0)</f>
        <v/>
      </c>
      <c r="XJ36">
        <f>XJ35+IF(AND($C35=87,$U35=1),1,0)</f>
        <v/>
      </c>
      <c r="XK36">
        <f>XK35+IF(AND($C35=88,$U35=1),1,0)</f>
        <v/>
      </c>
      <c r="XL36">
        <f>XL35+IF(AND($C35=89,$U35=1),1,0)</f>
        <v/>
      </c>
      <c r="XM36">
        <f>XM35+IF(AND($C35=90,$U35=1),1,0)</f>
        <v/>
      </c>
      <c r="XN36">
        <f>XN35+IF(AND($C35=91,$U35=1),1,0)</f>
        <v/>
      </c>
      <c r="XO36">
        <f>XO35+IF(AND($C35=92,$U35=1),1,0)</f>
        <v/>
      </c>
      <c r="XP36">
        <f>XP35+IF(AND($C35=93,$U35=1),1,0)</f>
        <v/>
      </c>
      <c r="XQ36">
        <f>XQ35+IF(AND($C35=94,$U35=1),1,0)</f>
        <v/>
      </c>
      <c r="XR36">
        <f>XR35+IF(AND($C35=95,$U35=1),1,0)</f>
        <v/>
      </c>
      <c r="XS36">
        <f>XS35+IF(AND($C35=96,$U35=1),1,0)</f>
        <v/>
      </c>
      <c r="XT36">
        <f>XT35+IF(AND($C35=97,$U35=1),1,0)</f>
        <v/>
      </c>
      <c r="XU36">
        <f>XU35+IF(AND($C35=98,$U35=1),1,0)</f>
        <v/>
      </c>
      <c r="XV36">
        <f>XV35+IF(AND($C35=99,$U35=1),1,0)</f>
        <v/>
      </c>
      <c r="XW36">
        <f>XW35+IF(AND($C35=100,$U35=1),1,0)</f>
        <v/>
      </c>
      <c r="XX36">
        <f>XX35+IF(AND($C35=101,$U35=1),1,0)</f>
        <v/>
      </c>
      <c r="XY36">
        <f>XY35+IF(AND($C35=102,$U35=1),1,0)</f>
        <v/>
      </c>
      <c r="XZ36">
        <f>XZ35+IF(AND($C35=103,$U35=1),1,0)</f>
        <v/>
      </c>
      <c r="YA36">
        <f>YA35+IF(AND($C35=104,$U35=1),1,0)</f>
        <v/>
      </c>
      <c r="YB36">
        <f>YB35+IF(AND($C35=105,$U35=1),1,0)</f>
        <v/>
      </c>
      <c r="YC36">
        <f>YC35+IF(AND($C35=106,$U35=1),1,0)</f>
        <v/>
      </c>
      <c r="YD36">
        <f>YD35+IF(AND($C35=107,$U35=1),1,0)</f>
        <v/>
      </c>
      <c r="YE36">
        <f>YE35+IF(AND($C35=108,$U35=1),1,0)</f>
        <v/>
      </c>
      <c r="YF36">
        <f>YF35+IF(AND($C35=109,$U35=1),1,0)</f>
        <v/>
      </c>
      <c r="YG36">
        <f>YG35+IF(AND($C35=110,$U35=1),1,0)</f>
        <v/>
      </c>
      <c r="YH36">
        <f>YH35+IF(AND($C35=111,$U35=1),1,0)</f>
        <v/>
      </c>
      <c r="YI36">
        <f>YI35+IF(AND($C35=112,$U35=1),1,0)</f>
        <v/>
      </c>
      <c r="YJ36">
        <f>YJ35+IF(AND($C35=113,$U35=1),1,0)</f>
        <v/>
      </c>
      <c r="YK36">
        <f>YK35+IF(AND($C35=114,$U35=1),1,0)</f>
        <v/>
      </c>
      <c r="YL36">
        <f>YL35+IF(AND($C35=115,$U35=1),1,0)</f>
        <v/>
      </c>
      <c r="YM36">
        <f>YM35+IF(AND($C35=116,$U35=1),1,0)</f>
        <v/>
      </c>
      <c r="YN36">
        <f>YN35+IF(AND($C35=117,$U35=1),1,0)</f>
        <v/>
      </c>
      <c r="YO36">
        <f>YO35+IF(AND($C35=118,$U35=1),1,0)</f>
        <v/>
      </c>
      <c r="YP36">
        <f>YP35+IF(AND($C35=119,$U35=1),1,0)</f>
        <v/>
      </c>
      <c r="YQ36">
        <f>YQ35+IF(AND($C35=120,$U35=1),1,0)</f>
        <v/>
      </c>
      <c r="YR36">
        <f>YR35+IF(AND($C35=121,$U35=1),1,0)</f>
        <v/>
      </c>
      <c r="YS36">
        <f>YS35+IF(AND($C35=122,$U35=1),1,0)</f>
        <v/>
      </c>
      <c r="YT36">
        <f>YT35+IF(AND($C35=123,$U35=1),1,0)</f>
        <v/>
      </c>
      <c r="YU36">
        <f>YU35+IF(AND($C35=124,$U35=1),1,0)</f>
        <v/>
      </c>
      <c r="YV36">
        <f>YV35+IF(AND($C35=125,$U35=1),1,0)</f>
        <v/>
      </c>
      <c r="YW36">
        <f>YW35+IF(AND($C35=126,$U35=1),1,0)</f>
        <v/>
      </c>
      <c r="YX36">
        <f>YX35+IF(AND($C35=127,$U35=1),1,0)</f>
        <v/>
      </c>
      <c r="YY36">
        <f>YY35+IF(AND($C35=128,$U35=1),1,0)</f>
        <v/>
      </c>
      <c r="YZ36">
        <f>YZ35+IF(AND($C35=129,$U35=1),1,0)</f>
        <v/>
      </c>
      <c r="ZA36">
        <f>ZA35+IF(AND($C35=130,$U35=1),1,0)</f>
        <v/>
      </c>
      <c r="ZB36">
        <f>ZB35+IF(AND($C35=131,$U35=1),1,0)</f>
        <v/>
      </c>
      <c r="ZC36">
        <f>ZC35+IF(AND($C35=132,$U35=1),1,0)</f>
        <v/>
      </c>
      <c r="ZD36">
        <f>ZD35+IF(AND($C35=133,$U35=1),1,0)</f>
        <v/>
      </c>
      <c r="ZE36">
        <f>ZE35+IF(AND($C35=134,$U35=1),1,0)</f>
        <v/>
      </c>
      <c r="ZF36">
        <f>ZF35+IF(AND($C35=135,$U35=1),1,0)</f>
        <v/>
      </c>
      <c r="ZG36">
        <f>ZG35+IF(AND($C35=136,$U35=1),1,0)</f>
        <v/>
      </c>
      <c r="ZH36">
        <f>ZH35+IF(AND($C35=137,$U35=1),1,0)</f>
        <v/>
      </c>
      <c r="ZI36">
        <f>ZI35+IF(AND($C35=138,$U35=1),1,0)</f>
        <v/>
      </c>
      <c r="ZJ36">
        <f>ZJ35+IF(AND($C35=139,$U35=1),1,0)</f>
        <v/>
      </c>
      <c r="ZK36">
        <f>ZK35+IF(AND($C35=140,$U35=1),1,0)</f>
        <v/>
      </c>
      <c r="ZL36">
        <f>ZL35+IF(AND($C35=141,$U35=1),1,0)</f>
        <v/>
      </c>
      <c r="ZM36">
        <f>ZM35+IF(AND($C35=142,$U35=1),1,0)</f>
        <v/>
      </c>
      <c r="ZN36">
        <f>ZN35+IF(AND($C35=143,$U35=1),1,0)</f>
        <v/>
      </c>
      <c r="ZO36">
        <f>ZO35+IF(AND($C35=144,$U35=1),1,0)</f>
        <v/>
      </c>
      <c r="ZQ36">
        <f>IF($C35=1,0,ZQ35+IF(AND($G35=1,$E35=1),1,0))</f>
        <v/>
      </c>
      <c r="ZR36">
        <f>IF($C35=2,0,ZR35+IF(AND($G35=2,$E35=1),1,0))</f>
        <v/>
      </c>
      <c r="ZS36">
        <f>IF($C35=3,0,ZS35+IF(AND($G35=3,$E35=1),1,0))</f>
        <v/>
      </c>
      <c r="ZT36">
        <f>IF($C35=4,0,ZT35+IF(AND($G35=4,$E35=1),1,0))</f>
        <v/>
      </c>
      <c r="ZU36">
        <f>IF($C35=5,0,ZU35+IF(AND($G35=5,$E35=1),1,0))</f>
        <v/>
      </c>
      <c r="ZV36">
        <f>IF($C35=6,0,ZV35+IF(AND($G35=6,$E35=1),1,0))</f>
        <v/>
      </c>
      <c r="ZW36">
        <f>IF($C35=7,0,ZW35+IF(AND($G35=7,$E35=1),1,0))</f>
        <v/>
      </c>
      <c r="ZX36">
        <f>IF($C35=8,0,ZX35+IF(AND($G35=8,$E35=1),1,0))</f>
        <v/>
      </c>
      <c r="ZY36">
        <f>IF($C35=9,0,ZY35+IF(AND($G35=9,$E35=1),1,0))</f>
        <v/>
      </c>
      <c r="ZZ36">
        <f>IF($C35=10,0,ZZ35+IF(AND($G35=10,$E35=1),1,0))</f>
        <v/>
      </c>
      <c r="AAA36">
        <f>IF($C35=11,0,AAA35+IF(AND($G35=11,$E35=1),1,0))</f>
        <v/>
      </c>
      <c r="AAB36">
        <f>IF($C35=12,0,AAB35+IF(AND($G35=12,$E35=1),1,0))</f>
        <v/>
      </c>
      <c r="AAC36">
        <f>IF($C35=13,0,AAC35+IF(AND($G35=13,$E35=1),1,0))</f>
        <v/>
      </c>
      <c r="AAD36">
        <f>IF($C35=14,0,AAD35+IF(AND($G35=14,$E35=1),1,0))</f>
        <v/>
      </c>
      <c r="AAE36">
        <f>IF($C35=15,0,AAE35+IF(AND($G35=15,$E35=1),1,0))</f>
        <v/>
      </c>
      <c r="AAF36">
        <f>IF($C35=16,0,AAF35+IF(AND($G35=16,$E35=1),1,0))</f>
        <v/>
      </c>
      <c r="AAG36">
        <f>IF($C35=17,0,AAG35+IF(AND($G35=17,$E35=1),1,0))</f>
        <v/>
      </c>
      <c r="AAH36">
        <f>IF($C35=18,0,AAH35+IF(AND($G35=18,$E35=1),1,0))</f>
        <v/>
      </c>
      <c r="AAI36">
        <f>IF($C35=19,0,AAI35+IF(AND($G35=19,$E35=1),1,0))</f>
        <v/>
      </c>
      <c r="AAJ36">
        <f>IF($C35=20,0,AAJ35+IF(AND($G35=20,$E35=1),1,0))</f>
        <v/>
      </c>
      <c r="AAK36">
        <f>IF($C35=21,0,AAK35+IF(AND($G35=21,$E35=1),1,0))</f>
        <v/>
      </c>
      <c r="AAL36">
        <f>IF($C35=22,0,AAL35+IF(AND($G35=22,$E35=1),1,0))</f>
        <v/>
      </c>
      <c r="AAM36">
        <f>IF($C35=23,0,AAM35+IF(AND($G35=23,$E35=1),1,0))</f>
        <v/>
      </c>
      <c r="AAN36">
        <f>IF($C35=24,0,AAN35+IF(AND($G35=24,$E35=1),1,0))</f>
        <v/>
      </c>
      <c r="AAO36">
        <f>IF($C35=25,0,AAO35+IF(AND($G35=25,$E35=1),1,0))</f>
        <v/>
      </c>
      <c r="AAP36">
        <f>IF($C35=26,0,AAP35+IF(AND($G35=26,$E35=1),1,0))</f>
        <v/>
      </c>
      <c r="AAQ36">
        <f>IF($C35=27,0,AAQ35+IF(AND($G35=27,$E35=1),1,0))</f>
        <v/>
      </c>
      <c r="AAR36">
        <f>IF($C35=28,0,AAR35+IF(AND($G35=28,$E35=1),1,0))</f>
        <v/>
      </c>
      <c r="AAS36">
        <f>IF($C35=29,0,AAS35+IF(AND($G35=29,$E35=1),1,0))</f>
        <v/>
      </c>
      <c r="AAT36">
        <f>IF($C35=30,0,AAT35+IF(AND($G35=30,$E35=1),1,0))</f>
        <v/>
      </c>
      <c r="AAU36">
        <f>IF($C35=31,0,AAU35+IF(AND($G35=31,$E35=1),1,0))</f>
        <v/>
      </c>
      <c r="AAV36">
        <f>IF($C35=32,0,AAV35+IF(AND($G35=32,$E35=1),1,0))</f>
        <v/>
      </c>
      <c r="AAW36">
        <f>IF($C35=33,0,AAW35+IF(AND($G35=33,$E35=1),1,0))</f>
        <v/>
      </c>
      <c r="AAX36">
        <f>IF($C35=34,0,AAX35+IF(AND($G35=34,$E35=1),1,0))</f>
        <v/>
      </c>
      <c r="AAY36">
        <f>IF($C35=35,0,AAY35+IF(AND($G35=35,$E35=1),1,0))</f>
        <v/>
      </c>
      <c r="AAZ36">
        <f>IF($C35=36,0,AAZ35+IF(AND($G35=36,$E35=1),1,0))</f>
        <v/>
      </c>
      <c r="ABA36">
        <f>IF($C35=37,0,ABA35+IF(AND($G35=37,$E35=1),1,0))</f>
        <v/>
      </c>
      <c r="ABB36">
        <f>IF($C35=38,0,ABB35+IF(AND($G35=38,$E35=1),1,0))</f>
        <v/>
      </c>
      <c r="ABC36">
        <f>IF($C35=39,0,ABC35+IF(AND($G35=39,$E35=1),1,0))</f>
        <v/>
      </c>
      <c r="ABD36">
        <f>IF($C35=40,0,ABD35+IF(AND($G35=40,$E35=1),1,0))</f>
        <v/>
      </c>
      <c r="ABE36">
        <f>IF($C35=41,0,ABE35+IF(AND($G35=41,$E35=1),1,0))</f>
        <v/>
      </c>
      <c r="ABF36">
        <f>IF($C35=42,0,ABF35+IF(AND($G35=42,$E35=1),1,0))</f>
        <v/>
      </c>
      <c r="ABG36">
        <f>IF($C35=43,0,ABG35+IF(AND($G35=43,$E35=1),1,0))</f>
        <v/>
      </c>
      <c r="ABH36">
        <f>IF($C35=44,0,ABH35+IF(AND($G35=44,$E35=1),1,0))</f>
        <v/>
      </c>
      <c r="ABI36">
        <f>IF($C35=45,0,ABI35+IF(AND($G35=45,$E35=1),1,0))</f>
        <v/>
      </c>
      <c r="ABJ36">
        <f>IF($C35=46,0,ABJ35+IF(AND($G35=46,$E35=1),1,0))</f>
        <v/>
      </c>
      <c r="ABK36">
        <f>IF($C35=47,0,ABK35+IF(AND($G35=47,$E35=1),1,0))</f>
        <v/>
      </c>
      <c r="ABL36">
        <f>IF($C35=48,0,ABL35+IF(AND($G35=48,$E35=1),1,0))</f>
        <v/>
      </c>
      <c r="ABM36">
        <f>IF($C35=49,0,ABM35+IF(AND($G35=49,$E35=1),1,0))</f>
        <v/>
      </c>
      <c r="ABN36">
        <f>IF($C35=50,0,ABN35+IF(AND($G35=50,$E35=1),1,0))</f>
        <v/>
      </c>
      <c r="ABO36">
        <f>IF($C35=51,0,ABO35+IF(AND($G35=51,$E35=1),1,0))</f>
        <v/>
      </c>
      <c r="ABP36">
        <f>IF($C35=52,0,ABP35+IF(AND($G35=52,$E35=1),1,0))</f>
        <v/>
      </c>
      <c r="ABQ36">
        <f>IF($C35=53,0,ABQ35+IF(AND($G35=53,$E35=1),1,0))</f>
        <v/>
      </c>
      <c r="ABR36">
        <f>IF($C35=54,0,ABR35+IF(AND($G35=54,$E35=1),1,0))</f>
        <v/>
      </c>
      <c r="ABS36">
        <f>IF($C35=55,0,ABS35+IF(AND($G35=55,$E35=1),1,0))</f>
        <v/>
      </c>
      <c r="ABT36">
        <f>IF($C35=56,0,ABT35+IF(AND($G35=56,$E35=1),1,0))</f>
        <v/>
      </c>
      <c r="ABU36">
        <f>IF($C35=57,0,ABU35+IF(AND($G35=57,$E35=1),1,0))</f>
        <v/>
      </c>
      <c r="ABV36">
        <f>IF($C35=58,0,ABV35+IF(AND($G35=58,$E35=1),1,0))</f>
        <v/>
      </c>
      <c r="ABW36">
        <f>IF($C35=59,0,ABW35+IF(AND($G35=59,$E35=1),1,0))</f>
        <v/>
      </c>
      <c r="ABX36">
        <f>IF($C35=60,0,ABX35+IF(AND($G35=60,$E35=1),1,0))</f>
        <v/>
      </c>
      <c r="ABY36">
        <f>IF($C35=61,0,ABY35+IF(AND($G35=61,$E35=1),1,0))</f>
        <v/>
      </c>
      <c r="ABZ36">
        <f>IF($C35=62,0,ABZ35+IF(AND($G35=62,$E35=1),1,0))</f>
        <v/>
      </c>
      <c r="ACA36">
        <f>IF($C35=63,0,ACA35+IF(AND($G35=63,$E35=1),1,0))</f>
        <v/>
      </c>
      <c r="ACB36">
        <f>IF($C35=64,0,ACB35+IF(AND($G35=64,$E35=1),1,0))</f>
        <v/>
      </c>
      <c r="ACC36">
        <f>IF($C35=65,0,ACC35+IF(AND($G35=65,$E35=1),1,0))</f>
        <v/>
      </c>
      <c r="ACD36">
        <f>IF($C35=66,0,ACD35+IF(AND($G35=66,$E35=1),1,0))</f>
        <v/>
      </c>
      <c r="ACE36">
        <f>IF($C35=67,0,ACE35+IF(AND($G35=67,$E35=1),1,0))</f>
        <v/>
      </c>
      <c r="ACF36">
        <f>IF($C35=68,0,ACF35+IF(AND($G35=68,$E35=1),1,0))</f>
        <v/>
      </c>
      <c r="ACG36">
        <f>IF($C35=69,0,ACG35+IF(AND($G35=69,$E35=1),1,0))</f>
        <v/>
      </c>
      <c r="ACH36">
        <f>IF($C35=70,0,ACH35+IF(AND($G35=70,$E35=1),1,0))</f>
        <v/>
      </c>
      <c r="ACI36">
        <f>IF($C35=71,0,ACI35+IF(AND($G35=71,$E35=1),1,0))</f>
        <v/>
      </c>
      <c r="ACJ36">
        <f>IF($C35=72,0,ACJ35+IF(AND($G35=72,$E35=1),1,0))</f>
        <v/>
      </c>
      <c r="ACK36">
        <f>IF($C35=73,0,ACK35+IF(AND($G35=73,$E35=1),1,0))</f>
        <v/>
      </c>
      <c r="ACL36">
        <f>IF($C35=74,0,ACL35+IF(AND($G35=74,$E35=1),1,0))</f>
        <v/>
      </c>
      <c r="ACM36">
        <f>IF($C35=75,0,ACM35+IF(AND($G35=75,$E35=1),1,0))</f>
        <v/>
      </c>
      <c r="ACN36">
        <f>IF($C35=76,0,ACN35+IF(AND($G35=76,$E35=1),1,0))</f>
        <v/>
      </c>
      <c r="ACO36">
        <f>IF($C35=77,0,ACO35+IF(AND($G35=77,$E35=1),1,0))</f>
        <v/>
      </c>
      <c r="ACP36">
        <f>IF($C35=78,0,ACP35+IF(AND($G35=78,$E35=1),1,0))</f>
        <v/>
      </c>
      <c r="ACQ36">
        <f>IF($C35=79,0,ACQ35+IF(AND($G35=79,$E35=1),1,0))</f>
        <v/>
      </c>
      <c r="ACR36">
        <f>IF($C35=80,0,ACR35+IF(AND($G35=80,$E35=1),1,0))</f>
        <v/>
      </c>
      <c r="ACS36">
        <f>IF($C35=81,0,ACS35+IF(AND($G35=81,$E35=1),1,0))</f>
        <v/>
      </c>
      <c r="ACT36">
        <f>IF($C35=82,0,ACT35+IF(AND($G35=82,$E35=1),1,0))</f>
        <v/>
      </c>
      <c r="ACU36">
        <f>IF($C35=83,0,ACU35+IF(AND($G35=83,$E35=1),1,0))</f>
        <v/>
      </c>
      <c r="ACV36">
        <f>IF($C35=84,0,ACV35+IF(AND($G35=84,$E35=1),1,0))</f>
        <v/>
      </c>
      <c r="ACW36">
        <f>IF($C35=85,0,ACW35+IF(AND($G35=85,$E35=1),1,0))</f>
        <v/>
      </c>
      <c r="ACX36">
        <f>IF($C35=86,0,ACX35+IF(AND($G35=86,$E35=1),1,0))</f>
        <v/>
      </c>
      <c r="ACY36">
        <f>IF($C35=87,0,ACY35+IF(AND($G35=87,$E35=1),1,0))</f>
        <v/>
      </c>
      <c r="ACZ36">
        <f>IF($C35=88,0,ACZ35+IF(AND($G35=88,$E35=1),1,0))</f>
        <v/>
      </c>
      <c r="ADA36">
        <f>IF($C35=89,0,ADA35+IF(AND($G35=89,$E35=1),1,0))</f>
        <v/>
      </c>
      <c r="ADB36">
        <f>IF($C35=90,0,ADB35+IF(AND($G35=90,$E35=1),1,0))</f>
        <v/>
      </c>
      <c r="ADC36">
        <f>IF($C35=91,0,ADC35+IF(AND($G35=91,$E35=1),1,0))</f>
        <v/>
      </c>
      <c r="ADD36">
        <f>IF($C35=92,0,ADD35+IF(AND($G35=92,$E35=1),1,0))</f>
        <v/>
      </c>
      <c r="ADE36">
        <f>IF($C35=93,0,ADE35+IF(AND($G35=93,$E35=1),1,0))</f>
        <v/>
      </c>
      <c r="ADF36">
        <f>IF($C35=94,0,ADF35+IF(AND($G35=94,$E35=1),1,0))</f>
        <v/>
      </c>
      <c r="ADG36">
        <f>IF($C35=95,0,ADG35+IF(AND($G35=95,$E35=1),1,0))</f>
        <v/>
      </c>
      <c r="ADH36">
        <f>IF($C35=96,0,ADH35+IF(AND($G35=96,$E35=1),1,0))</f>
        <v/>
      </c>
      <c r="ADI36">
        <f>IF($C35=97,0,ADI35+IF(AND($G35=97,$E35=1),1,0))</f>
        <v/>
      </c>
      <c r="ADJ36">
        <f>IF($C35=98,0,ADJ35+IF(AND($G35=98,$E35=1),1,0))</f>
        <v/>
      </c>
      <c r="ADK36">
        <f>IF($C35=99,0,ADK35+IF(AND($G35=99,$E35=1),1,0))</f>
        <v/>
      </c>
      <c r="ADL36">
        <f>IF($C35=100,0,ADL35+IF(AND($G35=100,$E35=1),1,0))</f>
        <v/>
      </c>
      <c r="ADM36">
        <f>IF($C35=101,0,ADM35+IF(AND($G35=101,$E35=1),1,0))</f>
        <v/>
      </c>
      <c r="ADN36">
        <f>IF($C35=102,0,ADN35+IF(AND($G35=102,$E35=1),1,0))</f>
        <v/>
      </c>
      <c r="ADO36">
        <f>IF($C35=103,0,ADO35+IF(AND($G35=103,$E35=1),1,0))</f>
        <v/>
      </c>
      <c r="ADP36">
        <f>IF($C35=104,0,ADP35+IF(AND($G35=104,$E35=1),1,0))</f>
        <v/>
      </c>
      <c r="ADQ36">
        <f>IF($C35=105,0,ADQ35+IF(AND($G35=105,$E35=1),1,0))</f>
        <v/>
      </c>
      <c r="ADR36">
        <f>IF($C35=106,0,ADR35+IF(AND($G35=106,$E35=1),1,0))</f>
        <v/>
      </c>
      <c r="ADS36">
        <f>IF($C35=107,0,ADS35+IF(AND($G35=107,$E35=1),1,0))</f>
        <v/>
      </c>
      <c r="ADT36">
        <f>IF($C35=108,0,ADT35+IF(AND($G35=108,$E35=1),1,0))</f>
        <v/>
      </c>
      <c r="ADU36">
        <f>IF($C35=109,0,ADU35+IF(AND($G35=109,$E35=1),1,0))</f>
        <v/>
      </c>
      <c r="ADV36">
        <f>IF($C35=110,0,ADV35+IF(AND($G35=110,$E35=1),1,0))</f>
        <v/>
      </c>
      <c r="ADW36">
        <f>IF($C35=111,0,ADW35+IF(AND($G35=111,$E35=1),1,0))</f>
        <v/>
      </c>
      <c r="ADX36">
        <f>IF($C35=112,0,ADX35+IF(AND($G35=112,$E35=1),1,0))</f>
        <v/>
      </c>
      <c r="ADY36">
        <f>IF($C35=113,0,ADY35+IF(AND($G35=113,$E35=1),1,0))</f>
        <v/>
      </c>
      <c r="ADZ36">
        <f>IF($C35=114,0,ADZ35+IF(AND($G35=114,$E35=1),1,0))</f>
        <v/>
      </c>
      <c r="AEA36">
        <f>IF($C35=115,0,AEA35+IF(AND($G35=115,$E35=1),1,0))</f>
        <v/>
      </c>
      <c r="AEB36">
        <f>IF($C35=116,0,AEB35+IF(AND($G35=116,$E35=1),1,0))</f>
        <v/>
      </c>
      <c r="AEC36">
        <f>IF($C35=117,0,AEC35+IF(AND($G35=117,$E35=1),1,0))</f>
        <v/>
      </c>
      <c r="AED36">
        <f>IF($C35=118,0,AED35+IF(AND($G35=118,$E35=1),1,0))</f>
        <v/>
      </c>
      <c r="AEE36">
        <f>IF($C35=119,0,AEE35+IF(AND($G35=119,$E35=1),1,0))</f>
        <v/>
      </c>
      <c r="AEF36">
        <f>IF($C35=120,0,AEF35+IF(AND($G35=120,$E35=1),1,0))</f>
        <v/>
      </c>
      <c r="AEG36">
        <f>IF($C35=121,0,AEG35+IF(AND($G35=121,$E35=1),1,0))</f>
        <v/>
      </c>
      <c r="AEH36">
        <f>IF($C35=122,0,AEH35+IF(AND($G35=122,$E35=1),1,0))</f>
        <v/>
      </c>
      <c r="AEI36">
        <f>IF($C35=123,0,AEI35+IF(AND($G35=123,$E35=1),1,0))</f>
        <v/>
      </c>
      <c r="AEJ36">
        <f>IF($C35=124,0,AEJ35+IF(AND($G35=124,$E35=1),1,0))</f>
        <v/>
      </c>
      <c r="AEK36">
        <f>IF($C35=125,0,AEK35+IF(AND($G35=125,$E35=1),1,0))</f>
        <v/>
      </c>
      <c r="AEL36">
        <f>IF($C35=126,0,AEL35+IF(AND($G35=126,$E35=1),1,0))</f>
        <v/>
      </c>
      <c r="AEM36">
        <f>IF($C35=127,0,AEM35+IF(AND($G35=127,$E35=1),1,0))</f>
        <v/>
      </c>
      <c r="AEN36">
        <f>IF($C35=128,0,AEN35+IF(AND($G35=128,$E35=1),1,0))</f>
        <v/>
      </c>
      <c r="AEO36">
        <f>IF($C35=129,0,AEO35+IF(AND($G35=129,$E35=1),1,0))</f>
        <v/>
      </c>
      <c r="AEP36">
        <f>IF($C35=130,0,AEP35+IF(AND($G35=130,$E35=1),1,0))</f>
        <v/>
      </c>
      <c r="AEQ36">
        <f>IF($C35=131,0,AEQ35+IF(AND($G35=131,$E35=1),1,0))</f>
        <v/>
      </c>
      <c r="AER36">
        <f>IF($C35=132,0,AER35+IF(AND($G35=132,$E35=1),1,0))</f>
        <v/>
      </c>
      <c r="AES36">
        <f>IF($C35=133,0,AES35+IF(AND($G35=133,$E35=1),1,0))</f>
        <v/>
      </c>
      <c r="AET36">
        <f>IF($C35=134,0,AET35+IF(AND($G35=134,$E35=1),1,0))</f>
        <v/>
      </c>
      <c r="AEU36">
        <f>IF($C35=135,0,AEU35+IF(AND($G35=135,$E35=1),1,0))</f>
        <v/>
      </c>
      <c r="AEV36">
        <f>IF($C35=136,0,AEV35+IF(AND($G35=136,$E35=1),1,0))</f>
        <v/>
      </c>
      <c r="AEW36">
        <f>IF($C35=137,0,AEW35+IF(AND($G35=137,$E35=1),1,0))</f>
        <v/>
      </c>
      <c r="AEX36">
        <f>IF($C35=138,0,AEX35+IF(AND($G35=138,$E35=1),1,0))</f>
        <v/>
      </c>
      <c r="AEY36">
        <f>IF($C35=139,0,AEY35+IF(AND($G35=139,$E35=1),1,0))</f>
        <v/>
      </c>
      <c r="AEZ36">
        <f>IF($C35=140,0,AEZ35+IF(AND($G35=140,$E35=1),1,0))</f>
        <v/>
      </c>
      <c r="AFA36">
        <f>IF($C35=141,0,AFA35+IF(AND($G35=141,$E35=1),1,0))</f>
        <v/>
      </c>
      <c r="AFB36">
        <f>IF($C35=142,0,AFB35+IF(AND($G35=142,$E35=1),1,0))</f>
        <v/>
      </c>
      <c r="AFC36">
        <f>IF($C35=143,0,AFC35+IF(AND($G35=143,$E35=1),1,0))</f>
        <v/>
      </c>
      <c r="AFD36">
        <f>IF($C35=144,0,AFD35+IF(AND($G35=144,$E35=1),1,0))</f>
        <v/>
      </c>
      <c r="AFF36">
        <f>IF('calcA'!D$106=1,DC36+ZR36,1)</f>
        <v/>
      </c>
      <c r="AFG36">
        <f>IF('calcA'!E$106=1,DD36+ZS36,1)</f>
        <v/>
      </c>
      <c r="AFH36">
        <f>IF('calcA'!F$106=1,DE36+ZT36,1)</f>
        <v/>
      </c>
      <c r="AFI36">
        <f>IF('calcA'!G$106=1,DF36+ZU36,1)</f>
        <v/>
      </c>
      <c r="AFJ36">
        <f>IF('calcA'!H$106=1,DG36+ZV36,1)</f>
        <v/>
      </c>
      <c r="AFK36">
        <f>IF('calcA'!I$106=1,DH36+ZW36,1)</f>
        <v/>
      </c>
      <c r="AFL36">
        <f>IF('calcA'!J$106=1,DI36+ZX36,1)</f>
        <v/>
      </c>
      <c r="AFM36">
        <f>IF('calcA'!K$106=1,DJ36+ZY36,1)</f>
        <v/>
      </c>
      <c r="AFN36">
        <f>IF('calcA'!L$106=1,DK36+ZZ36,1)</f>
        <v/>
      </c>
      <c r="AFO36">
        <f>IF('calcA'!M$106=1,DL36+AAA36,1)</f>
        <v/>
      </c>
      <c r="AFP36">
        <f>IF('calcA'!N$106=1,DM36+AAB36,1)</f>
        <v/>
      </c>
      <c r="AFQ36">
        <f>IF('calcA'!O$106=1,DN36+AAC36,1)</f>
        <v/>
      </c>
      <c r="AFR36">
        <f>IF('calcA'!P$106=1,DO36+AAD36,1)</f>
        <v/>
      </c>
      <c r="AFS36">
        <f>IF('calcA'!Q$106=1,DP36+AAE36,1)</f>
        <v/>
      </c>
      <c r="AFT36">
        <f>IF('calcA'!R$106=1,DQ36+AAF36,1)</f>
        <v/>
      </c>
      <c r="AFU36">
        <f>IF('calcA'!S$106=1,DR36+AAG36,1)</f>
        <v/>
      </c>
      <c r="AFV36">
        <f>IF('calcA'!T$106=1,DS36+AAH36,1)</f>
        <v/>
      </c>
      <c r="AFW36">
        <f>IF('calcA'!U$106=1,DT36+AAI36,1)</f>
        <v/>
      </c>
      <c r="AFX36">
        <f>IF('calcA'!V$106=1,DU36+AAJ36,1)</f>
        <v/>
      </c>
      <c r="AFY36">
        <f>IF('calcA'!W$106=1,DV36+AAK36,1)</f>
        <v/>
      </c>
      <c r="AFZ36">
        <f>IF('calcA'!X$106=1,DW36+AAL36,1)</f>
        <v/>
      </c>
      <c r="AGA36">
        <f>IF('calcA'!Y$106=1,DX36+AAM36,1)</f>
        <v/>
      </c>
      <c r="AGB36">
        <f>IF('calcA'!Z$106=1,DY36+AAN36,1)</f>
        <v/>
      </c>
      <c r="AGC36">
        <f>IF('calcA'!AA$106=1,DZ36+AAO36,1)</f>
        <v/>
      </c>
      <c r="AGD36">
        <f>IF('calcA'!AB$106=1,EA36+AAP36,1)</f>
        <v/>
      </c>
      <c r="AGE36">
        <f>IF('calcA'!AC$106=1,EB36+AAQ36,1)</f>
        <v/>
      </c>
      <c r="AGF36">
        <f>IF('calcA'!AD$106=1,EC36+AAR36,1)</f>
        <v/>
      </c>
      <c r="AGG36">
        <f>IF('calcA'!AE$106=1,ED36+AAS36,1)</f>
        <v/>
      </c>
      <c r="AGH36">
        <f>IF('calcA'!AF$106=1,EE36+AAT36,1)</f>
        <v/>
      </c>
      <c r="AGI36">
        <f>IF('calcA'!AG$106=1,EF36+AAU36,1)</f>
        <v/>
      </c>
      <c r="AGJ36">
        <f>IF('calcA'!AH$106=1,EG36+AAV36,1)</f>
        <v/>
      </c>
      <c r="AGK36">
        <f>IF('calcA'!AI$106=1,EH36+AAW36,1)</f>
        <v/>
      </c>
      <c r="AGL36">
        <f>IF('calcA'!AJ$106=1,EI36+AAX36,1)</f>
        <v/>
      </c>
      <c r="AGM36">
        <f>IF('calcA'!AK$106=1,EJ36+AAY36,1)</f>
        <v/>
      </c>
      <c r="AGN36">
        <f>IF('calcA'!AL$106=1,EK36+AAZ36,1)</f>
        <v/>
      </c>
      <c r="AGO36">
        <f>IF('calcA'!AM$106=1,EL36+ABA36,1)</f>
        <v/>
      </c>
      <c r="AGP36">
        <f>IF('calcA'!AN$106=1,EM36+ABB36,1)</f>
        <v/>
      </c>
      <c r="AGQ36">
        <f>IF('calcA'!AO$106=1,EN36+ABC36,1)</f>
        <v/>
      </c>
      <c r="AGR36">
        <f>IF('calcA'!AP$106=1,EO36+ABD36,1)</f>
        <v/>
      </c>
      <c r="AGS36">
        <f>IF('calcA'!AQ$106=1,EP36+ABE36,1)</f>
        <v/>
      </c>
      <c r="AGT36">
        <f>IF('calcA'!AR$106=1,EQ36+ABF36,1)</f>
        <v/>
      </c>
      <c r="AGU36">
        <f>IF('calcA'!AS$106=1,ER36+ABG36,1)</f>
        <v/>
      </c>
      <c r="AGV36">
        <f>IF('calcA'!AT$106=1,ES36+ABH36,1)</f>
        <v/>
      </c>
      <c r="AGW36">
        <f>IF('calcA'!AU$106=1,ET36+ABI36,1)</f>
        <v/>
      </c>
      <c r="AGX36">
        <f>IF('calcA'!AV$106=1,EU36+ABJ36,1)</f>
        <v/>
      </c>
      <c r="AGY36">
        <f>IF('calcA'!AW$106=1,EV36+ABK36,1)</f>
        <v/>
      </c>
      <c r="AGZ36">
        <f>IF('calcA'!AX$106=1,EW36+ABL36,1)</f>
        <v/>
      </c>
      <c r="AHA36">
        <f>IF('calcA'!AY$106=1,EX36+ABM36,1)</f>
        <v/>
      </c>
      <c r="AHB36">
        <f>IF('calcA'!AZ$106=1,EY36+ABN36,1)</f>
        <v/>
      </c>
      <c r="AHC36">
        <f>IF('calcA'!BA$106=1,EZ36+ABO36,1)</f>
        <v/>
      </c>
      <c r="AHD36">
        <f>IF('calcA'!BB$106=1,FA36+ABP36,1)</f>
        <v/>
      </c>
      <c r="AHE36">
        <f>IF('calcA'!BC$106=1,FB36+ABQ36,1)</f>
        <v/>
      </c>
      <c r="AHF36">
        <f>IF('calcA'!BD$106=1,FC36+ABR36,1)</f>
        <v/>
      </c>
      <c r="AHG36">
        <f>IF('calcA'!BE$106=1,FD36+ABS36,1)</f>
        <v/>
      </c>
      <c r="AHH36">
        <f>IF('calcA'!BF$106=1,FE36+ABT36,1)</f>
        <v/>
      </c>
      <c r="AHI36">
        <f>IF('calcA'!BG$106=1,FF36+ABU36,1)</f>
        <v/>
      </c>
      <c r="AHJ36">
        <f>IF('calcA'!BH$106=1,FG36+ABV36,1)</f>
        <v/>
      </c>
      <c r="AHK36">
        <f>IF('calcA'!BI$106=1,FH36+ABW36,1)</f>
        <v/>
      </c>
      <c r="AHL36">
        <f>IF('calcA'!BJ$106=1,FI36+ABX36,1)</f>
        <v/>
      </c>
      <c r="AHM36">
        <f>IF('calcA'!BK$106=1,FJ36+ABY36,1)</f>
        <v/>
      </c>
      <c r="AHN36">
        <f>IF('calcA'!BL$106=1,FK36+ABZ36,1)</f>
        <v/>
      </c>
      <c r="AHO36">
        <f>IF('calcA'!BM$106=1,FL36+ACA36,1)</f>
        <v/>
      </c>
      <c r="AHP36">
        <f>IF('calcA'!BN$106=1,FM36+ACB36,1)</f>
        <v/>
      </c>
      <c r="AHQ36">
        <f>IF('calcA'!BO$106=1,FN36+ACC36,1)</f>
        <v/>
      </c>
      <c r="AHR36">
        <f>IF('calcA'!BP$106=1,FO36+ACD36,1)</f>
        <v/>
      </c>
      <c r="AHS36">
        <f>IF('calcA'!BQ$106=1,FP36+ACE36,1)</f>
        <v/>
      </c>
      <c r="AHT36">
        <f>IF('calcA'!BR$106=1,FQ36+ACF36,1)</f>
        <v/>
      </c>
      <c r="AHU36">
        <f>IF('calcA'!BS$106=1,FR36+ACG36,1)</f>
        <v/>
      </c>
      <c r="AHV36">
        <f>IF('calcA'!BT$106=1,FS36+ACH36,1)</f>
        <v/>
      </c>
      <c r="AHW36">
        <f>IF('calcA'!BU$106=1,FT36+ACI36,1)</f>
        <v/>
      </c>
      <c r="AHX36">
        <f>IF('calcA'!BV$106=1,FU36+ACJ36,1)</f>
        <v/>
      </c>
      <c r="AHY36">
        <f>IF('calcA'!BW$106=1,FV36+ACK36,1)</f>
        <v/>
      </c>
      <c r="AHZ36">
        <f>IF('calcA'!BX$106=1,FW36+ACL36,1)</f>
        <v/>
      </c>
      <c r="AIA36">
        <f>IF('calcA'!BY$106=1,FX36+ACM36,1)</f>
        <v/>
      </c>
      <c r="AIB36">
        <f>IF('calcA'!BZ$106=1,FY36+ACN36,1)</f>
        <v/>
      </c>
      <c r="AIC36">
        <f>IF('calcA'!CA$106=1,FZ36+ACO36,1)</f>
        <v/>
      </c>
      <c r="AID36">
        <f>IF('calcA'!CB$106=1,GA36+ACP36,1)</f>
        <v/>
      </c>
      <c r="AIE36">
        <f>IF('calcA'!CC$106=1,GB36+ACQ36,1)</f>
        <v/>
      </c>
      <c r="AIF36">
        <f>IF('calcA'!CD$106=1,GC36+ACR36,1)</f>
        <v/>
      </c>
      <c r="AIG36">
        <f>IF('calcA'!CE$106=1,GD36+ACS36,1)</f>
        <v/>
      </c>
      <c r="AIH36">
        <f>IF('calcA'!CF$106=1,GE36+ACT36,1)</f>
        <v/>
      </c>
      <c r="AII36">
        <f>IF('calcA'!CG$106=1,GF36+ACU36,1)</f>
        <v/>
      </c>
      <c r="AIJ36">
        <f>IF('calcA'!CH$106=1,GG36+ACV36,1)</f>
        <v/>
      </c>
      <c r="AIK36">
        <f>IF('calcA'!CI$106=1,GH36+ACW36,1)</f>
        <v/>
      </c>
      <c r="AIL36">
        <f>IF('calcA'!CJ$106=1,GI36+ACX36,1)</f>
        <v/>
      </c>
      <c r="AIM36">
        <f>IF('calcA'!CK$106=1,GJ36+ACY36,1)</f>
        <v/>
      </c>
      <c r="AIN36">
        <f>IF('calcA'!CL$106=1,GK36+ACZ36,1)</f>
        <v/>
      </c>
      <c r="AIO36">
        <f>IF('calcA'!CM$106=1,GL36+ADA36,1)</f>
        <v/>
      </c>
      <c r="AIP36">
        <f>IF('calcA'!CN$106=1,GM36+ADB36,1)</f>
        <v/>
      </c>
      <c r="AIQ36">
        <f>IF('calcA'!CO$106=1,GN36+ADC36,1)</f>
        <v/>
      </c>
      <c r="AIR36">
        <f>IF('calcA'!CP$106=1,GO36+ADD36,1)</f>
        <v/>
      </c>
      <c r="AIS36">
        <f>IF('calcA'!CQ$106=1,GP36+ADE36,1)</f>
        <v/>
      </c>
      <c r="AIT36">
        <f>IF('calcA'!CR$106=1,GQ36+ADF36,1)</f>
        <v/>
      </c>
      <c r="AIU36">
        <f>IF('calcA'!CS$106=1,GR36+ADG36,1)</f>
        <v/>
      </c>
      <c r="AIV36">
        <f>IF('calcA'!CT$106=1,GS36+ADH36,1)</f>
        <v/>
      </c>
      <c r="AIW36">
        <f>IF('calcA'!CU$106=1,GT36+ADI36,1)</f>
        <v/>
      </c>
      <c r="AIX36">
        <f>IF('calcA'!CV$106=1,GU36+ADJ36,1)</f>
        <v/>
      </c>
      <c r="AIY36">
        <f>IF('calcA'!CW$106=1,GV36+ADK36,1)</f>
        <v/>
      </c>
      <c r="AIZ36">
        <f>IF('calcA'!CX$106=1,GW36+ADL36,1)</f>
        <v/>
      </c>
      <c r="AJA36">
        <f>IF('calcA'!CY$106=1,GX36+ADM36,1)</f>
        <v/>
      </c>
      <c r="AJB36">
        <f>IF('calcA'!CZ$106=1,GY36+ADN36,1)</f>
        <v/>
      </c>
      <c r="AJC36">
        <f>IF('calcA'!DA$106=1,GZ36+ADO36,1)</f>
        <v/>
      </c>
      <c r="AJD36">
        <f>IF('calcA'!DB$106=1,HA36+ADP36,1)</f>
        <v/>
      </c>
      <c r="AJE36">
        <f>IF('calcA'!DC$106=1,HB36+ADQ36,1)</f>
        <v/>
      </c>
      <c r="AJF36">
        <f>IF('calcA'!DD$106=1,HC36+ADR36,1)</f>
        <v/>
      </c>
      <c r="AJG36">
        <f>IF('calcA'!DE$106=1,HD36+ADS36,1)</f>
        <v/>
      </c>
      <c r="AJH36">
        <f>IF('calcA'!DF$106=1,HE36+ADT36,1)</f>
        <v/>
      </c>
      <c r="AJI36">
        <f>IF('calcA'!DG$106=1,HF36+ADU36,1)</f>
        <v/>
      </c>
      <c r="AJJ36">
        <f>IF('calcA'!DH$106=1,HG36+ADV36,1)</f>
        <v/>
      </c>
      <c r="AJK36">
        <f>IF('calcA'!DI$106=1,HH36+ADW36,1)</f>
        <v/>
      </c>
      <c r="AJL36">
        <f>IF('calcA'!DJ$106=1,HI36+ADX36,1)</f>
        <v/>
      </c>
      <c r="AJM36">
        <f>IF('calcA'!DK$106=1,HJ36+ADY36,1)</f>
        <v/>
      </c>
      <c r="AJN36">
        <f>IF('calcA'!DL$106=1,HK36+ADZ36,1)</f>
        <v/>
      </c>
      <c r="AJO36">
        <f>IF('calcA'!DM$106=1,HL36+AEA36,1)</f>
        <v/>
      </c>
      <c r="AJP36">
        <f>IF('calcA'!DN$106=1,HM36+AEB36,1)</f>
        <v/>
      </c>
      <c r="AJQ36">
        <f>IF('calcA'!DO$106=1,HN36+AEC36,1)</f>
        <v/>
      </c>
      <c r="AJR36">
        <f>IF('calcA'!DP$106=1,HO36+AED36,1)</f>
        <v/>
      </c>
      <c r="AJS36">
        <f>IF('calcA'!DQ$106=1,HP36+AEE36,1)</f>
        <v/>
      </c>
      <c r="AJT36">
        <f>IF('calcA'!DR$106=1,HQ36+AEF36,1)</f>
        <v/>
      </c>
      <c r="AJU36">
        <f>IF('calcA'!DS$106=1,HR36+AEG36,1)</f>
        <v/>
      </c>
      <c r="AJV36">
        <f>IF('calcA'!DT$106=1,HS36+AEH36,1)</f>
        <v/>
      </c>
      <c r="AJW36">
        <f>IF('calcA'!DU$106=1,HT36+AEI36,1)</f>
        <v/>
      </c>
      <c r="AJX36">
        <f>IF('calcA'!DV$106=1,HU36+AEJ36,1)</f>
        <v/>
      </c>
      <c r="AJY36">
        <f>IF('calcA'!DW$106=1,HV36+AEK36,1)</f>
        <v/>
      </c>
      <c r="AJZ36">
        <f>IF('calcA'!DX$106=1,HW36+AEL36,1)</f>
        <v/>
      </c>
      <c r="AKA36">
        <f>IF('calcA'!DY$106=1,HX36+AEM36,1)</f>
        <v/>
      </c>
      <c r="AKB36">
        <f>IF('calcA'!DZ$106=1,HY36+AEN36,1)</f>
        <v/>
      </c>
      <c r="AKC36">
        <f>IF('calcA'!EA$106=1,HZ36+AEO36,1)</f>
        <v/>
      </c>
      <c r="AKD36">
        <f>IF('calcA'!EB$106=1,IA36+AEP36,1)</f>
        <v/>
      </c>
      <c r="AKE36">
        <f>IF('calcA'!EC$106=1,IB36+AEQ36,1)</f>
        <v/>
      </c>
      <c r="AKF36">
        <f>IF('calcA'!ED$106=1,IC36+AER36,1)</f>
        <v/>
      </c>
      <c r="AKG36">
        <f>IF('calcA'!EE$106=1,ID36+AES36,1)</f>
        <v/>
      </c>
      <c r="AKH36">
        <f>IF('calcA'!EF$106=1,IE36+AET36,1)</f>
        <v/>
      </c>
      <c r="AKI36">
        <f>IF('calcA'!EG$106=1,IF36+AEU36,1)</f>
        <v/>
      </c>
      <c r="AKJ36">
        <f>IF('calcA'!EH$106=1,IG36+AEV36,1)</f>
        <v/>
      </c>
      <c r="AKK36">
        <f>IF('calcA'!EI$106=1,IH36+AEW36,1)</f>
        <v/>
      </c>
      <c r="AKL36">
        <f>IF('calcA'!EJ$106=1,II36+AEX36,1)</f>
        <v/>
      </c>
      <c r="AKM36">
        <f>IF('calcA'!EK$106=1,IJ36+AEY36,1)</f>
        <v/>
      </c>
      <c r="AKN36">
        <f>IF('calcA'!EL$106=1,IK36+AEZ36,1)</f>
        <v/>
      </c>
      <c r="AKO36">
        <f>IF('calcA'!EM$106=1,IL36+AFA36,1)</f>
        <v/>
      </c>
      <c r="AKP36">
        <f>IF('calcA'!EN$106=1,IM36+AFB36,1)</f>
        <v/>
      </c>
      <c r="AKQ36">
        <f>IF('calcA'!EO$106=1,IN36+AFC36,1)</f>
        <v/>
      </c>
      <c r="AKR36">
        <f>IF('calcA'!EP$106=1,IO36+AFD36,1)</f>
        <v/>
      </c>
      <c r="AKS36" t="n">
        <v>1</v>
      </c>
    </row>
    <row r="37">
      <c r="A37" t="n">
        <v>35</v>
      </c>
      <c r="B37">
        <f>IF(MIN(BM37:CZ37)&gt;=1000000000,0,MATCH(MIN(BM37:CZ37),BM37:CZ37,0))</f>
        <v/>
      </c>
      <c r="C37">
        <f>IF(MIN(OF37:TS37)&gt;=1000000000,0,MATCH(MIN(OF37:TS37),OF37:TS37,0))</f>
        <v/>
      </c>
      <c r="D37">
        <f>IF(C37&gt;0,INDEX('calcA'!$D$5:$EQ$5,C37),0)</f>
        <v/>
      </c>
      <c r="E37">
        <f>IF(B37=0,0,INDEX('calcA'!$IQ$10:$IQ$54,B37))</f>
        <v/>
      </c>
      <c r="F37">
        <f>IF(B37=0,0,INDEX('calcA'!$IP$10:$IP$54,B37))</f>
        <v/>
      </c>
      <c r="G37">
        <f>IF(AND(C37&gt;0,E37&gt;0),IF(AND(INDEX('calcA'!$D$106:$EQ$106,C37)=1,INDEX($IQ37:$OD37,C37)=1),C37+1,0),0)</f>
        <v/>
      </c>
      <c r="H37">
        <f>IF(B37=0,0,INDEX('calcA'!$IW$10:$IW$54,B37))</f>
        <v/>
      </c>
      <c r="U37">
        <f>IF(B37=0,0,INDEX('calcA'!$IX$10:$IX$54,B37))</f>
        <v/>
      </c>
      <c r="V37">
        <f>IF(B37=0,0,INDEX('calcA'!$JF$10:$JF$54,B37))</f>
        <v/>
      </c>
      <c r="W37">
        <f>IF(B37=0,0,IF(IF(E37=2,SUMPRODUCT(INDEX('calcA'!$D$60:$EQ$99,B37,0),$DB37:$IO37,$IQ37:$OD37),SUMPRODUCT(INDEX('calcA'!$D$60:$EQ$99,B37,0),$DB37:$IO37))=0,1,0))</f>
        <v/>
      </c>
      <c r="X37">
        <f>MAX(X36,IF($B36=1,1,0))</f>
        <v/>
      </c>
      <c r="Y37">
        <f>MAX(Y36,IF($B36=2,1,0))</f>
        <v/>
      </c>
      <c r="Z37">
        <f>MAX(Z36,IF($B36=3,1,0))</f>
        <v/>
      </c>
      <c r="AA37">
        <f>MAX(AA36,IF($B36=4,1,0))</f>
        <v/>
      </c>
      <c r="AB37">
        <f>MAX(AB36,IF($B36=5,1,0))</f>
        <v/>
      </c>
      <c r="AC37">
        <f>MAX(AC36,IF($B36=6,1,0))</f>
        <v/>
      </c>
      <c r="AD37">
        <f>MAX(AD36,IF($B36=7,1,0))</f>
        <v/>
      </c>
      <c r="AE37">
        <f>MAX(AE36,IF($B36=8,1,0))</f>
        <v/>
      </c>
      <c r="AF37">
        <f>MAX(AF36,IF($B36=9,1,0))</f>
        <v/>
      </c>
      <c r="AG37">
        <f>MAX(AG36,IF($B36=10,1,0))</f>
        <v/>
      </c>
      <c r="AH37">
        <f>MAX(AH36,IF($B36=11,1,0))</f>
        <v/>
      </c>
      <c r="AI37">
        <f>MAX(AI36,IF($B36=12,1,0))</f>
        <v/>
      </c>
      <c r="AJ37">
        <f>MAX(AJ36,IF($B36=13,1,0))</f>
        <v/>
      </c>
      <c r="AK37">
        <f>MAX(AK36,IF($B36=14,1,0))</f>
        <v/>
      </c>
      <c r="AL37">
        <f>MAX(AL36,IF($B36=15,1,0))</f>
        <v/>
      </c>
      <c r="AM37">
        <f>MAX(AM36,IF($B36=16,1,0))</f>
        <v/>
      </c>
      <c r="AN37">
        <f>MAX(AN36,IF($B36=17,1,0))</f>
        <v/>
      </c>
      <c r="AO37">
        <f>MAX(AO36,IF($B36=18,1,0))</f>
        <v/>
      </c>
      <c r="AP37">
        <f>MAX(AP36,IF($B36=19,1,0))</f>
        <v/>
      </c>
      <c r="AQ37">
        <f>MAX(AQ36,IF($B36=20,1,0))</f>
        <v/>
      </c>
      <c r="AR37">
        <f>MAX(AR36,IF($B36=21,1,0))</f>
        <v/>
      </c>
      <c r="AS37">
        <f>MAX(AS36,IF($B36=22,1,0))</f>
        <v/>
      </c>
      <c r="AT37">
        <f>MAX(AT36,IF($B36=23,1,0))</f>
        <v/>
      </c>
      <c r="AU37">
        <f>MAX(AU36,IF($B36=24,1,0))</f>
        <v/>
      </c>
      <c r="AV37">
        <f>MAX(AV36,IF($B36=25,1,0))</f>
        <v/>
      </c>
      <c r="AW37">
        <f>MAX(AW36,IF($B36=26,1,0))</f>
        <v/>
      </c>
      <c r="AX37">
        <f>MAX(AX36,IF($B36=27,1,0))</f>
        <v/>
      </c>
      <c r="AY37">
        <f>MAX(AY36,IF($B36=28,1,0))</f>
        <v/>
      </c>
      <c r="AZ37">
        <f>MAX(AZ36,IF($B36=29,1,0))</f>
        <v/>
      </c>
      <c r="BA37">
        <f>MAX(BA36,IF($B36=30,1,0))</f>
        <v/>
      </c>
      <c r="BB37">
        <f>MAX(BB36,IF($B36=31,1,0))</f>
        <v/>
      </c>
      <c r="BC37">
        <f>MAX(BC36,IF($B36=32,1,0))</f>
        <v/>
      </c>
      <c r="BD37">
        <f>MAX(BD36,IF($B36=33,1,0))</f>
        <v/>
      </c>
      <c r="BE37">
        <f>MAX(BE36,IF($B36=34,1,0))</f>
        <v/>
      </c>
      <c r="BF37">
        <f>MAX(BF36,IF($B36=35,1,0))</f>
        <v/>
      </c>
      <c r="BG37">
        <f>MAX(BG36,IF($B36=36,1,0))</f>
        <v/>
      </c>
      <c r="BH37">
        <f>MAX(BH36,IF($B36=37,1,0))</f>
        <v/>
      </c>
      <c r="BI37">
        <f>MAX(BI36,IF($B36=38,1,0))</f>
        <v/>
      </c>
      <c r="BJ37">
        <f>MAX(BJ36,IF($B36=39,1,0))</f>
        <v/>
      </c>
      <c r="BK37">
        <f>MAX(BK36,IF($B36=40,1,0))</f>
        <v/>
      </c>
      <c r="BM37">
        <f>IF(OR(X37=1,calcA!$A$6=0),1000000000,IF('calcA'!$JF$10=1,0,100000000)+IF('calcA'!$IQ$10=2,SUMPRODUCT('calcA'!$D$60:$EQ$60,$DB37:$IO37,$IQ37:$OD37)*1000+SUMPRODUCT('calcA'!$D$60:$EQ$60,$DB37:$IO37+$ZQ37:$AFD37,$AFF37:$AKS37),SUMPRODUCT('calcA'!$D$60:$EQ$60,$DB37:$IO37*1001+$ZQ37:$AFD37))*100+1)</f>
        <v/>
      </c>
      <c r="BN37">
        <f>IF(OR(Y37=1,calcA!$A$6=0),1000000000,IF('calcA'!$JF$11=1,0,100000000)+IF('calcA'!$IQ$11=2,SUMPRODUCT('calcA'!$D$61:$EQ$61,$DB37:$IO37,$IQ37:$OD37)*1000+SUMPRODUCT('calcA'!$D$61:$EQ$61,$DB37:$IO37+$ZQ37:$AFD37,$AFF37:$AKS37),SUMPRODUCT('calcA'!$D$61:$EQ$61,$DB37:$IO37*1001+$ZQ37:$AFD37))*100+2)</f>
        <v/>
      </c>
      <c r="BO37">
        <f>IF(OR(Z37=1,calcA!$A$6=0),1000000000,IF('calcA'!$JF$12=1,0,100000000)+IF('calcA'!$IQ$12=2,SUMPRODUCT('calcA'!$D$62:$EQ$62,$DB37:$IO37,$IQ37:$OD37)*1000+SUMPRODUCT('calcA'!$D$62:$EQ$62,$DB37:$IO37+$ZQ37:$AFD37,$AFF37:$AKS37),SUMPRODUCT('calcA'!$D$62:$EQ$62,$DB37:$IO37*1001+$ZQ37:$AFD37))*100+3)</f>
        <v/>
      </c>
      <c r="BP37">
        <f>IF(OR(AA37=1,calcA!$A$6=0),1000000000,IF('calcA'!$JF$13=1,0,100000000)+IF('calcA'!$IQ$13=2,SUMPRODUCT('calcA'!$D$63:$EQ$63,$DB37:$IO37,$IQ37:$OD37)*1000+SUMPRODUCT('calcA'!$D$63:$EQ$63,$DB37:$IO37+$ZQ37:$AFD37,$AFF37:$AKS37),SUMPRODUCT('calcA'!$D$63:$EQ$63,$DB37:$IO37*1001+$ZQ37:$AFD37))*100+4)</f>
        <v/>
      </c>
      <c r="BQ37">
        <f>IF(OR(AB37=1,calcA!$A$6=0),1000000000,IF('calcA'!$JF$14=1,0,100000000)+IF('calcA'!$IQ$14=2,SUMPRODUCT('calcA'!$D$64:$EQ$64,$DB37:$IO37,$IQ37:$OD37)*1000+SUMPRODUCT('calcA'!$D$64:$EQ$64,$DB37:$IO37+$ZQ37:$AFD37,$AFF37:$AKS37),SUMPRODUCT('calcA'!$D$64:$EQ$64,$DB37:$IO37*1001+$ZQ37:$AFD37))*100+5)</f>
        <v/>
      </c>
      <c r="BR37">
        <f>IF(OR(AC37=1,calcA!$A$6=0),1000000000,IF('calcA'!$JF$15=1,0,100000000)+IF('calcA'!$IQ$15=2,SUMPRODUCT('calcA'!$D$65:$EQ$65,$DB37:$IO37,$IQ37:$OD37)*1000+SUMPRODUCT('calcA'!$D$65:$EQ$65,$DB37:$IO37+$ZQ37:$AFD37,$AFF37:$AKS37),SUMPRODUCT('calcA'!$D$65:$EQ$65,$DB37:$IO37*1001+$ZQ37:$AFD37))*100+6)</f>
        <v/>
      </c>
      <c r="BS37">
        <f>IF(OR(AD37=1,calcA!$A$6=0),1000000000,IF('calcA'!$JF$16=1,0,100000000)+IF('calcA'!$IQ$16=2,SUMPRODUCT('calcA'!$D$66:$EQ$66,$DB37:$IO37,$IQ37:$OD37)*1000+SUMPRODUCT('calcA'!$D$66:$EQ$66,$DB37:$IO37+$ZQ37:$AFD37,$AFF37:$AKS37),SUMPRODUCT('calcA'!$D$66:$EQ$66,$DB37:$IO37*1001+$ZQ37:$AFD37))*100+7)</f>
        <v/>
      </c>
      <c r="BT37">
        <f>IF(OR(AE37=1,calcA!$A$6=0),1000000000,IF('calcA'!$JF$17=1,0,100000000)+IF('calcA'!$IQ$17=2,SUMPRODUCT('calcA'!$D$67:$EQ$67,$DB37:$IO37,$IQ37:$OD37)*1000+SUMPRODUCT('calcA'!$D$67:$EQ$67,$DB37:$IO37+$ZQ37:$AFD37,$AFF37:$AKS37),SUMPRODUCT('calcA'!$D$67:$EQ$67,$DB37:$IO37*1001+$ZQ37:$AFD37))*100+8)</f>
        <v/>
      </c>
      <c r="BU37">
        <f>IF(OR(AF37=1,calcA!$A$6=0),1000000000,IF('calcA'!$JF$18=1,0,100000000)+IF('calcA'!$IQ$18=2,SUMPRODUCT('calcA'!$D$68:$EQ$68,$DB37:$IO37,$IQ37:$OD37)*1000+SUMPRODUCT('calcA'!$D$68:$EQ$68,$DB37:$IO37+$ZQ37:$AFD37,$AFF37:$AKS37),SUMPRODUCT('calcA'!$D$68:$EQ$68,$DB37:$IO37*1001+$ZQ37:$AFD37))*100+9)</f>
        <v/>
      </c>
      <c r="BV37">
        <f>IF(OR(AG37=1,calcA!$A$6=0),1000000000,IF('calcA'!$JF$19=1,0,100000000)+IF('calcA'!$IQ$19=2,SUMPRODUCT('calcA'!$D$69:$EQ$69,$DB37:$IO37,$IQ37:$OD37)*1000+SUMPRODUCT('calcA'!$D$69:$EQ$69,$DB37:$IO37+$ZQ37:$AFD37,$AFF37:$AKS37),SUMPRODUCT('calcA'!$D$69:$EQ$69,$DB37:$IO37*1001+$ZQ37:$AFD37))*100+10)</f>
        <v/>
      </c>
      <c r="BW37">
        <f>IF(OR(AH37=1,calcA!$A$6=0),1000000000,IF('calcA'!$JF$20=1,0,100000000)+IF('calcA'!$IQ$20=2,SUMPRODUCT('calcA'!$D$70:$EQ$70,$DB37:$IO37,$IQ37:$OD37)*1000+SUMPRODUCT('calcA'!$D$70:$EQ$70,$DB37:$IO37+$ZQ37:$AFD37,$AFF37:$AKS37),SUMPRODUCT('calcA'!$D$70:$EQ$70,$DB37:$IO37*1001+$ZQ37:$AFD37))*100+11)</f>
        <v/>
      </c>
      <c r="BX37">
        <f>IF(OR(AI37=1,calcA!$A$6=0),1000000000,IF('calcA'!$JF$21=1,0,100000000)+IF('calcA'!$IQ$21=2,SUMPRODUCT('calcA'!$D$71:$EQ$71,$DB37:$IO37,$IQ37:$OD37)*1000+SUMPRODUCT('calcA'!$D$71:$EQ$71,$DB37:$IO37+$ZQ37:$AFD37,$AFF37:$AKS37),SUMPRODUCT('calcA'!$D$71:$EQ$71,$DB37:$IO37*1001+$ZQ37:$AFD37))*100+12)</f>
        <v/>
      </c>
      <c r="BY37">
        <f>IF(OR(AJ37=1,calcA!$A$6=0),1000000000,IF('calcA'!$JF$22=1,0,100000000)+IF('calcA'!$IQ$22=2,SUMPRODUCT('calcA'!$D$72:$EQ$72,$DB37:$IO37,$IQ37:$OD37)*1000+SUMPRODUCT('calcA'!$D$72:$EQ$72,$DB37:$IO37+$ZQ37:$AFD37,$AFF37:$AKS37),SUMPRODUCT('calcA'!$D$72:$EQ$72,$DB37:$IO37*1001+$ZQ37:$AFD37))*100+13)</f>
        <v/>
      </c>
      <c r="BZ37">
        <f>IF(OR(AK37=1,calcA!$A$6=0),1000000000,IF('calcA'!$JF$23=1,0,100000000)+IF('calcA'!$IQ$23=2,SUMPRODUCT('calcA'!$D$73:$EQ$73,$DB37:$IO37,$IQ37:$OD37)*1000+SUMPRODUCT('calcA'!$D$73:$EQ$73,$DB37:$IO37+$ZQ37:$AFD37,$AFF37:$AKS37),SUMPRODUCT('calcA'!$D$73:$EQ$73,$DB37:$IO37*1001+$ZQ37:$AFD37))*100+14)</f>
        <v/>
      </c>
      <c r="CA37">
        <f>IF(OR(AL37=1,calcA!$A$6=0),1000000000,IF('calcA'!$JF$24=1,0,100000000)+IF('calcA'!$IQ$24=2,SUMPRODUCT('calcA'!$D$74:$EQ$74,$DB37:$IO37,$IQ37:$OD37)*1000+SUMPRODUCT('calcA'!$D$74:$EQ$74,$DB37:$IO37+$ZQ37:$AFD37,$AFF37:$AKS37),SUMPRODUCT('calcA'!$D$74:$EQ$74,$DB37:$IO37*1001+$ZQ37:$AFD37))*100+15)</f>
        <v/>
      </c>
      <c r="CB37">
        <f>IF(OR(AM37=1,calcA!$A$6=0),1000000000,IF('calcA'!$JF$25=1,0,100000000)+IF('calcA'!$IQ$25=2,SUMPRODUCT('calcA'!$D$75:$EQ$75,$DB37:$IO37,$IQ37:$OD37)*1000+SUMPRODUCT('calcA'!$D$75:$EQ$75,$DB37:$IO37+$ZQ37:$AFD37,$AFF37:$AKS37),SUMPRODUCT('calcA'!$D$75:$EQ$75,$DB37:$IO37*1001+$ZQ37:$AFD37))*100+16)</f>
        <v/>
      </c>
      <c r="CC37">
        <f>IF(OR(AN37=1,calcA!$A$6=0),1000000000,IF('calcA'!$JF$26=1,0,100000000)+IF('calcA'!$IQ$26=2,SUMPRODUCT('calcA'!$D$76:$EQ$76,$DB37:$IO37,$IQ37:$OD37)*1000+SUMPRODUCT('calcA'!$D$76:$EQ$76,$DB37:$IO37+$ZQ37:$AFD37,$AFF37:$AKS37),SUMPRODUCT('calcA'!$D$76:$EQ$76,$DB37:$IO37*1001+$ZQ37:$AFD37))*100+17)</f>
        <v/>
      </c>
      <c r="CD37">
        <f>IF(OR(AO37=1,calcA!$A$6=0),1000000000,IF('calcA'!$JF$27=1,0,100000000)+IF('calcA'!$IQ$27=2,SUMPRODUCT('calcA'!$D$77:$EQ$77,$DB37:$IO37,$IQ37:$OD37)*1000+SUMPRODUCT('calcA'!$D$77:$EQ$77,$DB37:$IO37+$ZQ37:$AFD37,$AFF37:$AKS37),SUMPRODUCT('calcA'!$D$77:$EQ$77,$DB37:$IO37*1001+$ZQ37:$AFD37))*100+18)</f>
        <v/>
      </c>
      <c r="CE37">
        <f>IF(OR(AP37=1,calcA!$A$6=0),1000000000,IF('calcA'!$JF$28=1,0,100000000)+IF('calcA'!$IQ$28=2,SUMPRODUCT('calcA'!$D$78:$EQ$78,$DB37:$IO37,$IQ37:$OD37)*1000+SUMPRODUCT('calcA'!$D$78:$EQ$78,$DB37:$IO37+$ZQ37:$AFD37,$AFF37:$AKS37),SUMPRODUCT('calcA'!$D$78:$EQ$78,$DB37:$IO37*1001+$ZQ37:$AFD37))*100+19)</f>
        <v/>
      </c>
      <c r="CF37">
        <f>IF(OR(AQ37=1,calcA!$A$6=0),1000000000,IF('calcA'!$JF$29=1,0,100000000)+IF('calcA'!$IQ$29=2,SUMPRODUCT('calcA'!$D$79:$EQ$79,$DB37:$IO37,$IQ37:$OD37)*1000+SUMPRODUCT('calcA'!$D$79:$EQ$79,$DB37:$IO37+$ZQ37:$AFD37,$AFF37:$AKS37),SUMPRODUCT('calcA'!$D$79:$EQ$79,$DB37:$IO37*1001+$ZQ37:$AFD37))*100+20)</f>
        <v/>
      </c>
      <c r="CG37">
        <f>IF(OR(AR37=1,calcA!$A$6=0),1000000000,IF('calcA'!$JF$30=1,0,100000000)+IF('calcA'!$IQ$30=2,SUMPRODUCT('calcA'!$D$80:$EQ$80,$DB37:$IO37,$IQ37:$OD37)*1000+SUMPRODUCT('calcA'!$D$80:$EQ$80,$DB37:$IO37+$ZQ37:$AFD37,$AFF37:$AKS37),SUMPRODUCT('calcA'!$D$80:$EQ$80,$DB37:$IO37*1001+$ZQ37:$AFD37))*100+21)</f>
        <v/>
      </c>
      <c r="CH37">
        <f>IF(OR(AS37=1,calcA!$A$6=0),1000000000,IF('calcA'!$JF$31=1,0,100000000)+IF('calcA'!$IQ$31=2,SUMPRODUCT('calcA'!$D$81:$EQ$81,$DB37:$IO37,$IQ37:$OD37)*1000+SUMPRODUCT('calcA'!$D$81:$EQ$81,$DB37:$IO37+$ZQ37:$AFD37,$AFF37:$AKS37),SUMPRODUCT('calcA'!$D$81:$EQ$81,$DB37:$IO37*1001+$ZQ37:$AFD37))*100+22)</f>
        <v/>
      </c>
      <c r="CI37">
        <f>IF(OR(AT37=1,calcA!$A$6=0),1000000000,IF('calcA'!$JF$32=1,0,100000000)+IF('calcA'!$IQ$32=2,SUMPRODUCT('calcA'!$D$82:$EQ$82,$DB37:$IO37,$IQ37:$OD37)*1000+SUMPRODUCT('calcA'!$D$82:$EQ$82,$DB37:$IO37+$ZQ37:$AFD37,$AFF37:$AKS37),SUMPRODUCT('calcA'!$D$82:$EQ$82,$DB37:$IO37*1001+$ZQ37:$AFD37))*100+23)</f>
        <v/>
      </c>
      <c r="CJ37">
        <f>IF(OR(AU37=1,calcA!$A$6=0),1000000000,IF('calcA'!$JF$33=1,0,100000000)+IF('calcA'!$IQ$33=2,SUMPRODUCT('calcA'!$D$83:$EQ$83,$DB37:$IO37,$IQ37:$OD37)*1000+SUMPRODUCT('calcA'!$D$83:$EQ$83,$DB37:$IO37+$ZQ37:$AFD37,$AFF37:$AKS37),SUMPRODUCT('calcA'!$D$83:$EQ$83,$DB37:$IO37*1001+$ZQ37:$AFD37))*100+24)</f>
        <v/>
      </c>
      <c r="CK37">
        <f>IF(OR(AV37=1,calcA!$A$6=0),1000000000,IF('calcA'!$JF$34=1,0,100000000)+IF('calcA'!$IQ$34=2,SUMPRODUCT('calcA'!$D$84:$EQ$84,$DB37:$IO37,$IQ37:$OD37)*1000+SUMPRODUCT('calcA'!$D$84:$EQ$84,$DB37:$IO37+$ZQ37:$AFD37,$AFF37:$AKS37),SUMPRODUCT('calcA'!$D$84:$EQ$84,$DB37:$IO37*1001+$ZQ37:$AFD37))*100+25)</f>
        <v/>
      </c>
      <c r="CL37">
        <f>IF(OR(AW37=1,calcA!$A$6=0),1000000000,IF('calcA'!$JF$35=1,0,100000000)+IF('calcA'!$IQ$35=2,SUMPRODUCT('calcA'!$D$85:$EQ$85,$DB37:$IO37,$IQ37:$OD37)*1000+SUMPRODUCT('calcA'!$D$85:$EQ$85,$DB37:$IO37+$ZQ37:$AFD37,$AFF37:$AKS37),SUMPRODUCT('calcA'!$D$85:$EQ$85,$DB37:$IO37*1001+$ZQ37:$AFD37))*100+26)</f>
        <v/>
      </c>
      <c r="CM37">
        <f>IF(OR(AX37=1,calcA!$A$6=0),1000000000,IF('calcA'!$JF$36=1,0,100000000)+IF('calcA'!$IQ$36=2,SUMPRODUCT('calcA'!$D$86:$EQ$86,$DB37:$IO37,$IQ37:$OD37)*1000+SUMPRODUCT('calcA'!$D$86:$EQ$86,$DB37:$IO37+$ZQ37:$AFD37,$AFF37:$AKS37),SUMPRODUCT('calcA'!$D$86:$EQ$86,$DB37:$IO37*1001+$ZQ37:$AFD37))*100+27)</f>
        <v/>
      </c>
      <c r="CN37">
        <f>IF(OR(AY37=1,calcA!$A$6=0),1000000000,IF('calcA'!$JF$37=1,0,100000000)+IF('calcA'!$IQ$37=2,SUMPRODUCT('calcA'!$D$87:$EQ$87,$DB37:$IO37,$IQ37:$OD37)*1000+SUMPRODUCT('calcA'!$D$87:$EQ$87,$DB37:$IO37+$ZQ37:$AFD37,$AFF37:$AKS37),SUMPRODUCT('calcA'!$D$87:$EQ$87,$DB37:$IO37*1001+$ZQ37:$AFD37))*100+28)</f>
        <v/>
      </c>
      <c r="CO37">
        <f>IF(OR(AZ37=1,calcA!$A$6=0),1000000000,IF('calcA'!$JF$38=1,0,100000000)+IF('calcA'!$IQ$38=2,SUMPRODUCT('calcA'!$D$88:$EQ$88,$DB37:$IO37,$IQ37:$OD37)*1000+SUMPRODUCT('calcA'!$D$88:$EQ$88,$DB37:$IO37+$ZQ37:$AFD37,$AFF37:$AKS37),SUMPRODUCT('calcA'!$D$88:$EQ$88,$DB37:$IO37*1001+$ZQ37:$AFD37))*100+29)</f>
        <v/>
      </c>
      <c r="CP37">
        <f>IF(OR(BA37=1,calcA!$A$6=0),1000000000,IF('calcA'!$JF$39=1,0,100000000)+IF('calcA'!$IQ$39=2,SUMPRODUCT('calcA'!$D$89:$EQ$89,$DB37:$IO37,$IQ37:$OD37)*1000+SUMPRODUCT('calcA'!$D$89:$EQ$89,$DB37:$IO37+$ZQ37:$AFD37,$AFF37:$AKS37),SUMPRODUCT('calcA'!$D$89:$EQ$89,$DB37:$IO37*1001+$ZQ37:$AFD37))*100+30)</f>
        <v/>
      </c>
      <c r="CQ37">
        <f>IF(OR(BB37=1,calcA!$A$6=0),1000000000,IF('calcA'!$JF$40=1,0,100000000)+IF('calcA'!$IQ$40=2,SUMPRODUCT('calcA'!$D$90:$EQ$90,$DB37:$IO37,$IQ37:$OD37)*1000+SUMPRODUCT('calcA'!$D$90:$EQ$90,$DB37:$IO37+$ZQ37:$AFD37,$AFF37:$AKS37),SUMPRODUCT('calcA'!$D$90:$EQ$90,$DB37:$IO37*1001+$ZQ37:$AFD37))*100+31)</f>
        <v/>
      </c>
      <c r="CR37">
        <f>IF(OR(BC37=1,calcA!$A$6=0),1000000000,IF('calcA'!$JF$41=1,0,100000000)+IF('calcA'!$IQ$41=2,SUMPRODUCT('calcA'!$D$91:$EQ$91,$DB37:$IO37,$IQ37:$OD37)*1000+SUMPRODUCT('calcA'!$D$91:$EQ$91,$DB37:$IO37+$ZQ37:$AFD37,$AFF37:$AKS37),SUMPRODUCT('calcA'!$D$91:$EQ$91,$DB37:$IO37*1001+$ZQ37:$AFD37))*100+32)</f>
        <v/>
      </c>
      <c r="CS37">
        <f>IF(OR(BD37=1,calcA!$A$6=0),1000000000,IF('calcA'!$JF$42=1,0,100000000)+IF('calcA'!$IQ$42=2,SUMPRODUCT('calcA'!$D$92:$EQ$92,$DB37:$IO37,$IQ37:$OD37)*1000+SUMPRODUCT('calcA'!$D$92:$EQ$92,$DB37:$IO37+$ZQ37:$AFD37,$AFF37:$AKS37),SUMPRODUCT('calcA'!$D$92:$EQ$92,$DB37:$IO37*1001+$ZQ37:$AFD37))*100+33)</f>
        <v/>
      </c>
      <c r="CT37">
        <f>IF(OR(BE37=1,calcA!$A$6=0),1000000000,IF('calcA'!$JF$43=1,0,100000000)+IF('calcA'!$IQ$43=2,SUMPRODUCT('calcA'!$D$93:$EQ$93,$DB37:$IO37,$IQ37:$OD37)*1000+SUMPRODUCT('calcA'!$D$93:$EQ$93,$DB37:$IO37+$ZQ37:$AFD37,$AFF37:$AKS37),SUMPRODUCT('calcA'!$D$93:$EQ$93,$DB37:$IO37*1001+$ZQ37:$AFD37))*100+34)</f>
        <v/>
      </c>
      <c r="CU37">
        <f>IF(OR(BF37=1,calcA!$A$6=0),1000000000,IF('calcA'!$JF$44=1,0,100000000)+IF('calcA'!$IQ$44=2,SUMPRODUCT('calcA'!$D$94:$EQ$94,$DB37:$IO37,$IQ37:$OD37)*1000+SUMPRODUCT('calcA'!$D$94:$EQ$94,$DB37:$IO37+$ZQ37:$AFD37,$AFF37:$AKS37),SUMPRODUCT('calcA'!$D$94:$EQ$94,$DB37:$IO37*1001+$ZQ37:$AFD37))*100+35)</f>
        <v/>
      </c>
      <c r="CV37">
        <f>IF(OR(BG37=1,calcA!$A$6=0),1000000000,IF('calcA'!$JF$45=1,0,100000000)+IF('calcA'!$IQ$45=2,SUMPRODUCT('calcA'!$D$95:$EQ$95,$DB37:$IO37,$IQ37:$OD37)*1000+SUMPRODUCT('calcA'!$D$95:$EQ$95,$DB37:$IO37+$ZQ37:$AFD37,$AFF37:$AKS37),SUMPRODUCT('calcA'!$D$95:$EQ$95,$DB37:$IO37*1001+$ZQ37:$AFD37))*100+36)</f>
        <v/>
      </c>
      <c r="CW37">
        <f>IF(OR(BH37=1,calcA!$A$6=0),1000000000,IF('calcA'!$JF$46=1,0,100000000)+IF('calcA'!$IQ$46=2,SUMPRODUCT('calcA'!$D$96:$EQ$96,$DB37:$IO37,$IQ37:$OD37)*1000+SUMPRODUCT('calcA'!$D$96:$EQ$96,$DB37:$IO37+$ZQ37:$AFD37,$AFF37:$AKS37),SUMPRODUCT('calcA'!$D$96:$EQ$96,$DB37:$IO37*1001+$ZQ37:$AFD37))*100+37)</f>
        <v/>
      </c>
      <c r="CX37">
        <f>IF(OR(BI37=1,calcA!$A$6=0),1000000000,IF('calcA'!$JF$47=1,0,100000000)+IF('calcA'!$IQ$47=2,SUMPRODUCT('calcA'!$D$97:$EQ$97,$DB37:$IO37,$IQ37:$OD37)*1000+SUMPRODUCT('calcA'!$D$97:$EQ$97,$DB37:$IO37+$ZQ37:$AFD37,$AFF37:$AKS37),SUMPRODUCT('calcA'!$D$97:$EQ$97,$DB37:$IO37*1001+$ZQ37:$AFD37))*100+38)</f>
        <v/>
      </c>
      <c r="CY37">
        <f>IF(OR(BJ37=1,calcA!$A$6=0),1000000000,IF('calcA'!$JF$48=1,0,100000000)+IF('calcA'!$IQ$48=2,SUMPRODUCT('calcA'!$D$98:$EQ$98,$DB37:$IO37,$IQ37:$OD37)*1000+SUMPRODUCT('calcA'!$D$98:$EQ$98,$DB37:$IO37+$ZQ37:$AFD37,$AFF37:$AKS37),SUMPRODUCT('calcA'!$D$98:$EQ$98,$DB37:$IO37*1001+$ZQ37:$AFD37))*100+39)</f>
        <v/>
      </c>
      <c r="CZ37">
        <f>IF(OR(BK37=1,calcA!$A$6=0),1000000000,IF('calcA'!$JF$49=1,0,100000000)+IF('calcA'!$IQ$49=2,SUMPRODUCT('calcA'!$D$99:$EQ$99,$DB37:$IO37,$IQ37:$OD37)*1000+SUMPRODUCT('calcA'!$D$99:$EQ$99,$DB37:$IO37+$ZQ37:$AFD37,$AFF37:$AKS37),SUMPRODUCT('calcA'!$D$99:$EQ$99,$DB37:$IO37*1001+$ZQ37:$AFD37))*100+40)</f>
        <v/>
      </c>
      <c r="DB37">
        <f>DB36*IF(OR($C36=1,$G36=1),0,1)</f>
        <v/>
      </c>
      <c r="DC37">
        <f>DC36*IF(OR($C36=2,$G36=2),0,1)</f>
        <v/>
      </c>
      <c r="DD37">
        <f>DD36*IF(OR($C36=3,$G36=3),0,1)</f>
        <v/>
      </c>
      <c r="DE37">
        <f>DE36*IF(OR($C36=4,$G36=4),0,1)</f>
        <v/>
      </c>
      <c r="DF37">
        <f>DF36*IF(OR($C36=5,$G36=5),0,1)</f>
        <v/>
      </c>
      <c r="DG37">
        <f>DG36*IF(OR($C36=6,$G36=6),0,1)</f>
        <v/>
      </c>
      <c r="DH37">
        <f>DH36*IF(OR($C36=7,$G36=7),0,1)</f>
        <v/>
      </c>
      <c r="DI37">
        <f>DI36*IF(OR($C36=8,$G36=8),0,1)</f>
        <v/>
      </c>
      <c r="DJ37">
        <f>DJ36*IF(OR($C36=9,$G36=9),0,1)</f>
        <v/>
      </c>
      <c r="DK37">
        <f>DK36*IF(OR($C36=10,$G36=10),0,1)</f>
        <v/>
      </c>
      <c r="DL37">
        <f>DL36*IF(OR($C36=11,$G36=11),0,1)</f>
        <v/>
      </c>
      <c r="DM37">
        <f>DM36*IF(OR($C36=12,$G36=12),0,1)</f>
        <v/>
      </c>
      <c r="DN37">
        <f>DN36*IF(OR($C36=13,$G36=13),0,1)</f>
        <v/>
      </c>
      <c r="DO37">
        <f>DO36*IF(OR($C36=14,$G36=14),0,1)</f>
        <v/>
      </c>
      <c r="DP37">
        <f>DP36*IF(OR($C36=15,$G36=15),0,1)</f>
        <v/>
      </c>
      <c r="DQ37">
        <f>DQ36*IF(OR($C36=16,$G36=16),0,1)</f>
        <v/>
      </c>
      <c r="DR37">
        <f>DR36*IF(OR($C36=17,$G36=17),0,1)</f>
        <v/>
      </c>
      <c r="DS37">
        <f>DS36*IF(OR($C36=18,$G36=18),0,1)</f>
        <v/>
      </c>
      <c r="DT37">
        <f>DT36*IF(OR($C36=19,$G36=19),0,1)</f>
        <v/>
      </c>
      <c r="DU37">
        <f>DU36*IF(OR($C36=20,$G36=20),0,1)</f>
        <v/>
      </c>
      <c r="DV37">
        <f>DV36*IF(OR($C36=21,$G36=21),0,1)</f>
        <v/>
      </c>
      <c r="DW37">
        <f>DW36*IF(OR($C36=22,$G36=22),0,1)</f>
        <v/>
      </c>
      <c r="DX37">
        <f>DX36*IF(OR($C36=23,$G36=23),0,1)</f>
        <v/>
      </c>
      <c r="DY37">
        <f>DY36*IF(OR($C36=24,$G36=24),0,1)</f>
        <v/>
      </c>
      <c r="DZ37">
        <f>DZ36*IF(OR($C36=25,$G36=25),0,1)</f>
        <v/>
      </c>
      <c r="EA37">
        <f>EA36*IF(OR($C36=26,$G36=26),0,1)</f>
        <v/>
      </c>
      <c r="EB37">
        <f>EB36*IF(OR($C36=27,$G36=27),0,1)</f>
        <v/>
      </c>
      <c r="EC37">
        <f>EC36*IF(OR($C36=28,$G36=28),0,1)</f>
        <v/>
      </c>
      <c r="ED37">
        <f>ED36*IF(OR($C36=29,$G36=29),0,1)</f>
        <v/>
      </c>
      <c r="EE37">
        <f>EE36*IF(OR($C36=30,$G36=30),0,1)</f>
        <v/>
      </c>
      <c r="EF37">
        <f>EF36*IF(OR($C36=31,$G36=31),0,1)</f>
        <v/>
      </c>
      <c r="EG37">
        <f>EG36*IF(OR($C36=32,$G36=32),0,1)</f>
        <v/>
      </c>
      <c r="EH37">
        <f>EH36*IF(OR($C36=33,$G36=33),0,1)</f>
        <v/>
      </c>
      <c r="EI37">
        <f>EI36*IF(OR($C36=34,$G36=34),0,1)</f>
        <v/>
      </c>
      <c r="EJ37">
        <f>EJ36*IF(OR($C36=35,$G36=35),0,1)</f>
        <v/>
      </c>
      <c r="EK37">
        <f>EK36*IF(OR($C36=36,$G36=36),0,1)</f>
        <v/>
      </c>
      <c r="EL37">
        <f>EL36*IF(OR($C36=37,$G36=37),0,1)</f>
        <v/>
      </c>
      <c r="EM37">
        <f>EM36*IF(OR($C36=38,$G36=38),0,1)</f>
        <v/>
      </c>
      <c r="EN37">
        <f>EN36*IF(OR($C36=39,$G36=39),0,1)</f>
        <v/>
      </c>
      <c r="EO37">
        <f>EO36*IF(OR($C36=40,$G36=40),0,1)</f>
        <v/>
      </c>
      <c r="EP37">
        <f>EP36*IF(OR($C36=41,$G36=41),0,1)</f>
        <v/>
      </c>
      <c r="EQ37">
        <f>EQ36*IF(OR($C36=42,$G36=42),0,1)</f>
        <v/>
      </c>
      <c r="ER37">
        <f>ER36*IF(OR($C36=43,$G36=43),0,1)</f>
        <v/>
      </c>
      <c r="ES37">
        <f>ES36*IF(OR($C36=44,$G36=44),0,1)</f>
        <v/>
      </c>
      <c r="ET37">
        <f>ET36*IF(OR($C36=45,$G36=45),0,1)</f>
        <v/>
      </c>
      <c r="EU37">
        <f>EU36*IF(OR($C36=46,$G36=46),0,1)</f>
        <v/>
      </c>
      <c r="EV37">
        <f>EV36*IF(OR($C36=47,$G36=47),0,1)</f>
        <v/>
      </c>
      <c r="EW37">
        <f>EW36*IF(OR($C36=48,$G36=48),0,1)</f>
        <v/>
      </c>
      <c r="EX37">
        <f>EX36*IF(OR($C36=49,$G36=49),0,1)</f>
        <v/>
      </c>
      <c r="EY37">
        <f>EY36*IF(OR($C36=50,$G36=50),0,1)</f>
        <v/>
      </c>
      <c r="EZ37">
        <f>EZ36*IF(OR($C36=51,$G36=51),0,1)</f>
        <v/>
      </c>
      <c r="FA37">
        <f>FA36*IF(OR($C36=52,$G36=52),0,1)</f>
        <v/>
      </c>
      <c r="FB37">
        <f>FB36*IF(OR($C36=53,$G36=53),0,1)</f>
        <v/>
      </c>
      <c r="FC37">
        <f>FC36*IF(OR($C36=54,$G36=54),0,1)</f>
        <v/>
      </c>
      <c r="FD37">
        <f>FD36*IF(OR($C36=55,$G36=55),0,1)</f>
        <v/>
      </c>
      <c r="FE37">
        <f>FE36*IF(OR($C36=56,$G36=56),0,1)</f>
        <v/>
      </c>
      <c r="FF37">
        <f>FF36*IF(OR($C36=57,$G36=57),0,1)</f>
        <v/>
      </c>
      <c r="FG37">
        <f>FG36*IF(OR($C36=58,$G36=58),0,1)</f>
        <v/>
      </c>
      <c r="FH37">
        <f>FH36*IF(OR($C36=59,$G36=59),0,1)</f>
        <v/>
      </c>
      <c r="FI37">
        <f>FI36*IF(OR($C36=60,$G36=60),0,1)</f>
        <v/>
      </c>
      <c r="FJ37">
        <f>FJ36*IF(OR($C36=61,$G36=61),0,1)</f>
        <v/>
      </c>
      <c r="FK37">
        <f>FK36*IF(OR($C36=62,$G36=62),0,1)</f>
        <v/>
      </c>
      <c r="FL37">
        <f>FL36*IF(OR($C36=63,$G36=63),0,1)</f>
        <v/>
      </c>
      <c r="FM37">
        <f>FM36*IF(OR($C36=64,$G36=64),0,1)</f>
        <v/>
      </c>
      <c r="FN37">
        <f>FN36*IF(OR($C36=65,$G36=65),0,1)</f>
        <v/>
      </c>
      <c r="FO37">
        <f>FO36*IF(OR($C36=66,$G36=66),0,1)</f>
        <v/>
      </c>
      <c r="FP37">
        <f>FP36*IF(OR($C36=67,$G36=67),0,1)</f>
        <v/>
      </c>
      <c r="FQ37">
        <f>FQ36*IF(OR($C36=68,$G36=68),0,1)</f>
        <v/>
      </c>
      <c r="FR37">
        <f>FR36*IF(OR($C36=69,$G36=69),0,1)</f>
        <v/>
      </c>
      <c r="FS37">
        <f>FS36*IF(OR($C36=70,$G36=70),0,1)</f>
        <v/>
      </c>
      <c r="FT37">
        <f>FT36*IF(OR($C36=71,$G36=71),0,1)</f>
        <v/>
      </c>
      <c r="FU37">
        <f>FU36*IF(OR($C36=72,$G36=72),0,1)</f>
        <v/>
      </c>
      <c r="FV37">
        <f>FV36*IF(OR($C36=73,$G36=73),0,1)</f>
        <v/>
      </c>
      <c r="FW37">
        <f>FW36*IF(OR($C36=74,$G36=74),0,1)</f>
        <v/>
      </c>
      <c r="FX37">
        <f>FX36*IF(OR($C36=75,$G36=75),0,1)</f>
        <v/>
      </c>
      <c r="FY37">
        <f>FY36*IF(OR($C36=76,$G36=76),0,1)</f>
        <v/>
      </c>
      <c r="FZ37">
        <f>FZ36*IF(OR($C36=77,$G36=77),0,1)</f>
        <v/>
      </c>
      <c r="GA37">
        <f>GA36*IF(OR($C36=78,$G36=78),0,1)</f>
        <v/>
      </c>
      <c r="GB37">
        <f>GB36*IF(OR($C36=79,$G36=79),0,1)</f>
        <v/>
      </c>
      <c r="GC37">
        <f>GC36*IF(OR($C36=80,$G36=80),0,1)</f>
        <v/>
      </c>
      <c r="GD37">
        <f>GD36*IF(OR($C36=81,$G36=81),0,1)</f>
        <v/>
      </c>
      <c r="GE37">
        <f>GE36*IF(OR($C36=82,$G36=82),0,1)</f>
        <v/>
      </c>
      <c r="GF37">
        <f>GF36*IF(OR($C36=83,$G36=83),0,1)</f>
        <v/>
      </c>
      <c r="GG37">
        <f>GG36*IF(OR($C36=84,$G36=84),0,1)</f>
        <v/>
      </c>
      <c r="GH37">
        <f>GH36*IF(OR($C36=85,$G36=85),0,1)</f>
        <v/>
      </c>
      <c r="GI37">
        <f>GI36*IF(OR($C36=86,$G36=86),0,1)</f>
        <v/>
      </c>
      <c r="GJ37">
        <f>GJ36*IF(OR($C36=87,$G36=87),0,1)</f>
        <v/>
      </c>
      <c r="GK37">
        <f>GK36*IF(OR($C36=88,$G36=88),0,1)</f>
        <v/>
      </c>
      <c r="GL37">
        <f>GL36*IF(OR($C36=89,$G36=89),0,1)</f>
        <v/>
      </c>
      <c r="GM37">
        <f>GM36*IF(OR($C36=90,$G36=90),0,1)</f>
        <v/>
      </c>
      <c r="GN37">
        <f>GN36*IF(OR($C36=91,$G36=91),0,1)</f>
        <v/>
      </c>
      <c r="GO37">
        <f>GO36*IF(OR($C36=92,$G36=92),0,1)</f>
        <v/>
      </c>
      <c r="GP37">
        <f>GP36*IF(OR($C36=93,$G36=93),0,1)</f>
        <v/>
      </c>
      <c r="GQ37">
        <f>GQ36*IF(OR($C36=94,$G36=94),0,1)</f>
        <v/>
      </c>
      <c r="GR37">
        <f>GR36*IF(OR($C36=95,$G36=95),0,1)</f>
        <v/>
      </c>
      <c r="GS37">
        <f>GS36*IF(OR($C36=96,$G36=96),0,1)</f>
        <v/>
      </c>
      <c r="GT37">
        <f>GT36*IF(OR($C36=97,$G36=97),0,1)</f>
        <v/>
      </c>
      <c r="GU37">
        <f>GU36*IF(OR($C36=98,$G36=98),0,1)</f>
        <v/>
      </c>
      <c r="GV37">
        <f>GV36*IF(OR($C36=99,$G36=99),0,1)</f>
        <v/>
      </c>
      <c r="GW37">
        <f>GW36*IF(OR($C36=100,$G36=100),0,1)</f>
        <v/>
      </c>
      <c r="GX37">
        <f>GX36*IF(OR($C36=101,$G36=101),0,1)</f>
        <v/>
      </c>
      <c r="GY37">
        <f>GY36*IF(OR($C36=102,$G36=102),0,1)</f>
        <v/>
      </c>
      <c r="GZ37">
        <f>GZ36*IF(OR($C36=103,$G36=103),0,1)</f>
        <v/>
      </c>
      <c r="HA37">
        <f>HA36*IF(OR($C36=104,$G36=104),0,1)</f>
        <v/>
      </c>
      <c r="HB37">
        <f>HB36*IF(OR($C36=105,$G36=105),0,1)</f>
        <v/>
      </c>
      <c r="HC37">
        <f>HC36*IF(OR($C36=106,$G36=106),0,1)</f>
        <v/>
      </c>
      <c r="HD37">
        <f>HD36*IF(OR($C36=107,$G36=107),0,1)</f>
        <v/>
      </c>
      <c r="HE37">
        <f>HE36*IF(OR($C36=108,$G36=108),0,1)</f>
        <v/>
      </c>
      <c r="HF37">
        <f>HF36*IF(OR($C36=109,$G36=109),0,1)</f>
        <v/>
      </c>
      <c r="HG37">
        <f>HG36*IF(OR($C36=110,$G36=110),0,1)</f>
        <v/>
      </c>
      <c r="HH37">
        <f>HH36*IF(OR($C36=111,$G36=111),0,1)</f>
        <v/>
      </c>
      <c r="HI37">
        <f>HI36*IF(OR($C36=112,$G36=112),0,1)</f>
        <v/>
      </c>
      <c r="HJ37">
        <f>HJ36*IF(OR($C36=113,$G36=113),0,1)</f>
        <v/>
      </c>
      <c r="HK37">
        <f>HK36*IF(OR($C36=114,$G36=114),0,1)</f>
        <v/>
      </c>
      <c r="HL37">
        <f>HL36*IF(OR($C36=115,$G36=115),0,1)</f>
        <v/>
      </c>
      <c r="HM37">
        <f>HM36*IF(OR($C36=116,$G36=116),0,1)</f>
        <v/>
      </c>
      <c r="HN37">
        <f>HN36*IF(OR($C36=117,$G36=117),0,1)</f>
        <v/>
      </c>
      <c r="HO37">
        <f>HO36*IF(OR($C36=118,$G36=118),0,1)</f>
        <v/>
      </c>
      <c r="HP37">
        <f>HP36*IF(OR($C36=119,$G36=119),0,1)</f>
        <v/>
      </c>
      <c r="HQ37">
        <f>HQ36*IF(OR($C36=120,$G36=120),0,1)</f>
        <v/>
      </c>
      <c r="HR37">
        <f>HR36*IF(OR($C36=121,$G36=121),0,1)</f>
        <v/>
      </c>
      <c r="HS37">
        <f>HS36*IF(OR($C36=122,$G36=122),0,1)</f>
        <v/>
      </c>
      <c r="HT37">
        <f>HT36*IF(OR($C36=123,$G36=123),0,1)</f>
        <v/>
      </c>
      <c r="HU37">
        <f>HU36*IF(OR($C36=124,$G36=124),0,1)</f>
        <v/>
      </c>
      <c r="HV37">
        <f>HV36*IF(OR($C36=125,$G36=125),0,1)</f>
        <v/>
      </c>
      <c r="HW37">
        <f>HW36*IF(OR($C36=126,$G36=126),0,1)</f>
        <v/>
      </c>
      <c r="HX37">
        <f>HX36*IF(OR($C36=127,$G36=127),0,1)</f>
        <v/>
      </c>
      <c r="HY37">
        <f>HY36*IF(OR($C36=128,$G36=128),0,1)</f>
        <v/>
      </c>
      <c r="HZ37">
        <f>HZ36*IF(OR($C36=129,$G36=129),0,1)</f>
        <v/>
      </c>
      <c r="IA37">
        <f>IA36*IF(OR($C36=130,$G36=130),0,1)</f>
        <v/>
      </c>
      <c r="IB37">
        <f>IB36*IF(OR($C36=131,$G36=131),0,1)</f>
        <v/>
      </c>
      <c r="IC37">
        <f>IC36*IF(OR($C36=132,$G36=132),0,1)</f>
        <v/>
      </c>
      <c r="ID37">
        <f>ID36*IF(OR($C36=133,$G36=133),0,1)</f>
        <v/>
      </c>
      <c r="IE37">
        <f>IE36*IF(OR($C36=134,$G36=134),0,1)</f>
        <v/>
      </c>
      <c r="IF37">
        <f>IF36*IF(OR($C36=135,$G36=135),0,1)</f>
        <v/>
      </c>
      <c r="IG37">
        <f>IG36*IF(OR($C36=136,$G36=136),0,1)</f>
        <v/>
      </c>
      <c r="IH37">
        <f>IH36*IF(OR($C36=137,$G36=137),0,1)</f>
        <v/>
      </c>
      <c r="II37">
        <f>II36*IF(OR($C36=138,$G36=138),0,1)</f>
        <v/>
      </c>
      <c r="IJ37">
        <f>IJ36*IF(OR($C36=139,$G36=139),0,1)</f>
        <v/>
      </c>
      <c r="IK37">
        <f>IK36*IF(OR($C36=140,$G36=140),0,1)</f>
        <v/>
      </c>
      <c r="IL37">
        <f>IL36*IF(OR($C36=141,$G36=141),0,1)</f>
        <v/>
      </c>
      <c r="IM37">
        <f>IM36*IF(OR($C36=142,$G36=142),0,1)</f>
        <v/>
      </c>
      <c r="IN37">
        <f>IN36*IF(OR($C36=143,$G36=143),0,1)</f>
        <v/>
      </c>
      <c r="IO37">
        <f>IO36*IF(OR($C36=144,$G36=144),0,1)</f>
        <v/>
      </c>
      <c r="IQ37">
        <f>IF('calcA'!D$106=1,DC37,1)</f>
        <v/>
      </c>
      <c r="IR37">
        <f>IF('calcA'!E$106=1,DD37,1)</f>
        <v/>
      </c>
      <c r="IS37">
        <f>IF('calcA'!F$106=1,DE37,1)</f>
        <v/>
      </c>
      <c r="IT37">
        <f>IF('calcA'!G$106=1,DF37,1)</f>
        <v/>
      </c>
      <c r="IU37">
        <f>IF('calcA'!H$106=1,DG37,1)</f>
        <v/>
      </c>
      <c r="IV37">
        <f>IF('calcA'!I$106=1,DH37,1)</f>
        <v/>
      </c>
      <c r="IW37">
        <f>IF('calcA'!J$106=1,DI37,1)</f>
        <v/>
      </c>
      <c r="IX37">
        <f>IF('calcA'!K$106=1,DJ37,1)</f>
        <v/>
      </c>
      <c r="IY37">
        <f>IF('calcA'!L$106=1,DK37,1)</f>
        <v/>
      </c>
      <c r="IZ37">
        <f>IF('calcA'!M$106=1,DL37,1)</f>
        <v/>
      </c>
      <c r="JA37">
        <f>IF('calcA'!N$106=1,DM37,1)</f>
        <v/>
      </c>
      <c r="JB37">
        <f>IF('calcA'!O$106=1,DN37,1)</f>
        <v/>
      </c>
      <c r="JC37">
        <f>IF('calcA'!P$106=1,DO37,1)</f>
        <v/>
      </c>
      <c r="JD37">
        <f>IF('calcA'!Q$106=1,DP37,1)</f>
        <v/>
      </c>
      <c r="JE37">
        <f>IF('calcA'!R$106=1,DQ37,1)</f>
        <v/>
      </c>
      <c r="JF37">
        <f>IF('calcA'!S$106=1,DR37,1)</f>
        <v/>
      </c>
      <c r="JG37">
        <f>IF('calcA'!T$106=1,DS37,1)</f>
        <v/>
      </c>
      <c r="JH37">
        <f>IF('calcA'!U$106=1,DT37,1)</f>
        <v/>
      </c>
      <c r="JI37">
        <f>IF('calcA'!V$106=1,DU37,1)</f>
        <v/>
      </c>
      <c r="JJ37">
        <f>IF('calcA'!W$106=1,DV37,1)</f>
        <v/>
      </c>
      <c r="JK37">
        <f>IF('calcA'!X$106=1,DW37,1)</f>
        <v/>
      </c>
      <c r="JL37">
        <f>IF('calcA'!Y$106=1,DX37,1)</f>
        <v/>
      </c>
      <c r="JM37">
        <f>IF('calcA'!Z$106=1,DY37,1)</f>
        <v/>
      </c>
      <c r="JN37">
        <f>IF('calcA'!AA$106=1,DZ37,1)</f>
        <v/>
      </c>
      <c r="JO37">
        <f>IF('calcA'!AB$106=1,EA37,1)</f>
        <v/>
      </c>
      <c r="JP37">
        <f>IF('calcA'!AC$106=1,EB37,1)</f>
        <v/>
      </c>
      <c r="JQ37">
        <f>IF('calcA'!AD$106=1,EC37,1)</f>
        <v/>
      </c>
      <c r="JR37">
        <f>IF('calcA'!AE$106=1,ED37,1)</f>
        <v/>
      </c>
      <c r="JS37">
        <f>IF('calcA'!AF$106=1,EE37,1)</f>
        <v/>
      </c>
      <c r="JT37">
        <f>IF('calcA'!AG$106=1,EF37,1)</f>
        <v/>
      </c>
      <c r="JU37">
        <f>IF('calcA'!AH$106=1,EG37,1)</f>
        <v/>
      </c>
      <c r="JV37">
        <f>IF('calcA'!AI$106=1,EH37,1)</f>
        <v/>
      </c>
      <c r="JW37">
        <f>IF('calcA'!AJ$106=1,EI37,1)</f>
        <v/>
      </c>
      <c r="JX37">
        <f>IF('calcA'!AK$106=1,EJ37,1)</f>
        <v/>
      </c>
      <c r="JY37">
        <f>IF('calcA'!AL$106=1,EK37,1)</f>
        <v/>
      </c>
      <c r="JZ37">
        <f>IF('calcA'!AM$106=1,EL37,1)</f>
        <v/>
      </c>
      <c r="KA37">
        <f>IF('calcA'!AN$106=1,EM37,1)</f>
        <v/>
      </c>
      <c r="KB37">
        <f>IF('calcA'!AO$106=1,EN37,1)</f>
        <v/>
      </c>
      <c r="KC37">
        <f>IF('calcA'!AP$106=1,EO37,1)</f>
        <v/>
      </c>
      <c r="KD37">
        <f>IF('calcA'!AQ$106=1,EP37,1)</f>
        <v/>
      </c>
      <c r="KE37">
        <f>IF('calcA'!AR$106=1,EQ37,1)</f>
        <v/>
      </c>
      <c r="KF37">
        <f>IF('calcA'!AS$106=1,ER37,1)</f>
        <v/>
      </c>
      <c r="KG37">
        <f>IF('calcA'!AT$106=1,ES37,1)</f>
        <v/>
      </c>
      <c r="KH37">
        <f>IF('calcA'!AU$106=1,ET37,1)</f>
        <v/>
      </c>
      <c r="KI37">
        <f>IF('calcA'!AV$106=1,EU37,1)</f>
        <v/>
      </c>
      <c r="KJ37">
        <f>IF('calcA'!AW$106=1,EV37,1)</f>
        <v/>
      </c>
      <c r="KK37">
        <f>IF('calcA'!AX$106=1,EW37,1)</f>
        <v/>
      </c>
      <c r="KL37">
        <f>IF('calcA'!AY$106=1,EX37,1)</f>
        <v/>
      </c>
      <c r="KM37">
        <f>IF('calcA'!AZ$106=1,EY37,1)</f>
        <v/>
      </c>
      <c r="KN37">
        <f>IF('calcA'!BA$106=1,EZ37,1)</f>
        <v/>
      </c>
      <c r="KO37">
        <f>IF('calcA'!BB$106=1,FA37,1)</f>
        <v/>
      </c>
      <c r="KP37">
        <f>IF('calcA'!BC$106=1,FB37,1)</f>
        <v/>
      </c>
      <c r="KQ37">
        <f>IF('calcA'!BD$106=1,FC37,1)</f>
        <v/>
      </c>
      <c r="KR37">
        <f>IF('calcA'!BE$106=1,FD37,1)</f>
        <v/>
      </c>
      <c r="KS37">
        <f>IF('calcA'!BF$106=1,FE37,1)</f>
        <v/>
      </c>
      <c r="KT37">
        <f>IF('calcA'!BG$106=1,FF37,1)</f>
        <v/>
      </c>
      <c r="KU37">
        <f>IF('calcA'!BH$106=1,FG37,1)</f>
        <v/>
      </c>
      <c r="KV37">
        <f>IF('calcA'!BI$106=1,FH37,1)</f>
        <v/>
      </c>
      <c r="KW37">
        <f>IF('calcA'!BJ$106=1,FI37,1)</f>
        <v/>
      </c>
      <c r="KX37">
        <f>IF('calcA'!BK$106=1,FJ37,1)</f>
        <v/>
      </c>
      <c r="KY37">
        <f>IF('calcA'!BL$106=1,FK37,1)</f>
        <v/>
      </c>
      <c r="KZ37">
        <f>IF('calcA'!BM$106=1,FL37,1)</f>
        <v/>
      </c>
      <c r="LA37">
        <f>IF('calcA'!BN$106=1,FM37,1)</f>
        <v/>
      </c>
      <c r="LB37">
        <f>IF('calcA'!BO$106=1,FN37,1)</f>
        <v/>
      </c>
      <c r="LC37">
        <f>IF('calcA'!BP$106=1,FO37,1)</f>
        <v/>
      </c>
      <c r="LD37">
        <f>IF('calcA'!BQ$106=1,FP37,1)</f>
        <v/>
      </c>
      <c r="LE37">
        <f>IF('calcA'!BR$106=1,FQ37,1)</f>
        <v/>
      </c>
      <c r="LF37">
        <f>IF('calcA'!BS$106=1,FR37,1)</f>
        <v/>
      </c>
      <c r="LG37">
        <f>IF('calcA'!BT$106=1,FS37,1)</f>
        <v/>
      </c>
      <c r="LH37">
        <f>IF('calcA'!BU$106=1,FT37,1)</f>
        <v/>
      </c>
      <c r="LI37">
        <f>IF('calcA'!BV$106=1,FU37,1)</f>
        <v/>
      </c>
      <c r="LJ37">
        <f>IF('calcA'!BW$106=1,FV37,1)</f>
        <v/>
      </c>
      <c r="LK37">
        <f>IF('calcA'!BX$106=1,FW37,1)</f>
        <v/>
      </c>
      <c r="LL37">
        <f>IF('calcA'!BY$106=1,FX37,1)</f>
        <v/>
      </c>
      <c r="LM37">
        <f>IF('calcA'!BZ$106=1,FY37,1)</f>
        <v/>
      </c>
      <c r="LN37">
        <f>IF('calcA'!CA$106=1,FZ37,1)</f>
        <v/>
      </c>
      <c r="LO37">
        <f>IF('calcA'!CB$106=1,GA37,1)</f>
        <v/>
      </c>
      <c r="LP37">
        <f>IF('calcA'!CC$106=1,GB37,1)</f>
        <v/>
      </c>
      <c r="LQ37">
        <f>IF('calcA'!CD$106=1,GC37,1)</f>
        <v/>
      </c>
      <c r="LR37">
        <f>IF('calcA'!CE$106=1,GD37,1)</f>
        <v/>
      </c>
      <c r="LS37">
        <f>IF('calcA'!CF$106=1,GE37,1)</f>
        <v/>
      </c>
      <c r="LT37">
        <f>IF('calcA'!CG$106=1,GF37,1)</f>
        <v/>
      </c>
      <c r="LU37">
        <f>IF('calcA'!CH$106=1,GG37,1)</f>
        <v/>
      </c>
      <c r="LV37">
        <f>IF('calcA'!CI$106=1,GH37,1)</f>
        <v/>
      </c>
      <c r="LW37">
        <f>IF('calcA'!CJ$106=1,GI37,1)</f>
        <v/>
      </c>
      <c r="LX37">
        <f>IF('calcA'!CK$106=1,GJ37,1)</f>
        <v/>
      </c>
      <c r="LY37">
        <f>IF('calcA'!CL$106=1,GK37,1)</f>
        <v/>
      </c>
      <c r="LZ37">
        <f>IF('calcA'!CM$106=1,GL37,1)</f>
        <v/>
      </c>
      <c r="MA37">
        <f>IF('calcA'!CN$106=1,GM37,1)</f>
        <v/>
      </c>
      <c r="MB37">
        <f>IF('calcA'!CO$106=1,GN37,1)</f>
        <v/>
      </c>
      <c r="MC37">
        <f>IF('calcA'!CP$106=1,GO37,1)</f>
        <v/>
      </c>
      <c r="MD37">
        <f>IF('calcA'!CQ$106=1,GP37,1)</f>
        <v/>
      </c>
      <c r="ME37">
        <f>IF('calcA'!CR$106=1,GQ37,1)</f>
        <v/>
      </c>
      <c r="MF37">
        <f>IF('calcA'!CS$106=1,GR37,1)</f>
        <v/>
      </c>
      <c r="MG37">
        <f>IF('calcA'!CT$106=1,GS37,1)</f>
        <v/>
      </c>
      <c r="MH37">
        <f>IF('calcA'!CU$106=1,GT37,1)</f>
        <v/>
      </c>
      <c r="MI37">
        <f>IF('calcA'!CV$106=1,GU37,1)</f>
        <v/>
      </c>
      <c r="MJ37">
        <f>IF('calcA'!CW$106=1,GV37,1)</f>
        <v/>
      </c>
      <c r="MK37">
        <f>IF('calcA'!CX$106=1,GW37,1)</f>
        <v/>
      </c>
      <c r="ML37">
        <f>IF('calcA'!CY$106=1,GX37,1)</f>
        <v/>
      </c>
      <c r="MM37">
        <f>IF('calcA'!CZ$106=1,GY37,1)</f>
        <v/>
      </c>
      <c r="MN37">
        <f>IF('calcA'!DA$106=1,GZ37,1)</f>
        <v/>
      </c>
      <c r="MO37">
        <f>IF('calcA'!DB$106=1,HA37,1)</f>
        <v/>
      </c>
      <c r="MP37">
        <f>IF('calcA'!DC$106=1,HB37,1)</f>
        <v/>
      </c>
      <c r="MQ37">
        <f>IF('calcA'!DD$106=1,HC37,1)</f>
        <v/>
      </c>
      <c r="MR37">
        <f>IF('calcA'!DE$106=1,HD37,1)</f>
        <v/>
      </c>
      <c r="MS37">
        <f>IF('calcA'!DF$106=1,HE37,1)</f>
        <v/>
      </c>
      <c r="MT37">
        <f>IF('calcA'!DG$106=1,HF37,1)</f>
        <v/>
      </c>
      <c r="MU37">
        <f>IF('calcA'!DH$106=1,HG37,1)</f>
        <v/>
      </c>
      <c r="MV37">
        <f>IF('calcA'!DI$106=1,HH37,1)</f>
        <v/>
      </c>
      <c r="MW37">
        <f>IF('calcA'!DJ$106=1,HI37,1)</f>
        <v/>
      </c>
      <c r="MX37">
        <f>IF('calcA'!DK$106=1,HJ37,1)</f>
        <v/>
      </c>
      <c r="MY37">
        <f>IF('calcA'!DL$106=1,HK37,1)</f>
        <v/>
      </c>
      <c r="MZ37">
        <f>IF('calcA'!DM$106=1,HL37,1)</f>
        <v/>
      </c>
      <c r="NA37">
        <f>IF('calcA'!DN$106=1,HM37,1)</f>
        <v/>
      </c>
      <c r="NB37">
        <f>IF('calcA'!DO$106=1,HN37,1)</f>
        <v/>
      </c>
      <c r="NC37">
        <f>IF('calcA'!DP$106=1,HO37,1)</f>
        <v/>
      </c>
      <c r="ND37">
        <f>IF('calcA'!DQ$106=1,HP37,1)</f>
        <v/>
      </c>
      <c r="NE37">
        <f>IF('calcA'!DR$106=1,HQ37,1)</f>
        <v/>
      </c>
      <c r="NF37">
        <f>IF('calcA'!DS$106=1,HR37,1)</f>
        <v/>
      </c>
      <c r="NG37">
        <f>IF('calcA'!DT$106=1,HS37,1)</f>
        <v/>
      </c>
      <c r="NH37">
        <f>IF('calcA'!DU$106=1,HT37,1)</f>
        <v/>
      </c>
      <c r="NI37">
        <f>IF('calcA'!DV$106=1,HU37,1)</f>
        <v/>
      </c>
      <c r="NJ37">
        <f>IF('calcA'!DW$106=1,HV37,1)</f>
        <v/>
      </c>
      <c r="NK37">
        <f>IF('calcA'!DX$106=1,HW37,1)</f>
        <v/>
      </c>
      <c r="NL37">
        <f>IF('calcA'!DY$106=1,HX37,1)</f>
        <v/>
      </c>
      <c r="NM37">
        <f>IF('calcA'!DZ$106=1,HY37,1)</f>
        <v/>
      </c>
      <c r="NN37">
        <f>IF('calcA'!EA$106=1,HZ37,1)</f>
        <v/>
      </c>
      <c r="NO37">
        <f>IF('calcA'!EB$106=1,IA37,1)</f>
        <v/>
      </c>
      <c r="NP37">
        <f>IF('calcA'!EC$106=1,IB37,1)</f>
        <v/>
      </c>
      <c r="NQ37">
        <f>IF('calcA'!ED$106=1,IC37,1)</f>
        <v/>
      </c>
      <c r="NR37">
        <f>IF('calcA'!EE$106=1,ID37,1)</f>
        <v/>
      </c>
      <c r="NS37">
        <f>IF('calcA'!EF$106=1,IE37,1)</f>
        <v/>
      </c>
      <c r="NT37">
        <f>IF('calcA'!EG$106=1,IF37,1)</f>
        <v/>
      </c>
      <c r="NU37">
        <f>IF('calcA'!EH$106=1,IG37,1)</f>
        <v/>
      </c>
      <c r="NV37">
        <f>IF('calcA'!EI$106=1,IH37,1)</f>
        <v/>
      </c>
      <c r="NW37">
        <f>IF('calcA'!EJ$106=1,II37,1)</f>
        <v/>
      </c>
      <c r="NX37">
        <f>IF('calcA'!EK$106=1,IJ37,1)</f>
        <v/>
      </c>
      <c r="NY37">
        <f>IF('calcA'!EL$106=1,IK37,1)</f>
        <v/>
      </c>
      <c r="NZ37">
        <f>IF('calcA'!EM$106=1,IL37,1)</f>
        <v/>
      </c>
      <c r="OA37">
        <f>IF('calcA'!EN$106=1,IM37,1)</f>
        <v/>
      </c>
      <c r="OB37">
        <f>IF('calcA'!EO$106=1,IN37,1)</f>
        <v/>
      </c>
      <c r="OC37">
        <f>IF('calcA'!EP$106=1,IO37,1)</f>
        <v/>
      </c>
      <c r="OD37" t="n">
        <v>1</v>
      </c>
      <c r="OF37">
        <f>IF($B37=0,1000000000,IF(INDEX('calcA'!$D$60:$EQ$99,$B37,1)*IF($W37=1,DB37+ZQ37,DB37)=1,IF(AND($E37=2,IF($W37=1,AFF37,IQ37)=0),1000000000,IF($V37=1,INDEX('calcA'!$D$130:$EQ$169,$B37,1)+IF(AND($E37=1,IQ37=0),25,0),IF($F37&gt;0,INDEX('calcA'!D$110:D$114,$F37+1)+IF(AND($E37=1,IQ37=0),1000,0),MIN(TU37,20)*400+(IF('calcA'!D$106=1,1-DC37,0))*150+11+'calcA'!D$5*100000+IF(AND($E37=1,IQ37=0),50000,0))+IF($H37=1,INDEX('calcA'!$D$180:$EQ$219,$B37,1)*4000,0)-IF(AND($U37=1,'calcA'!D$117=1,DC37=0),2000,0))),1000000000))</f>
        <v/>
      </c>
      <c r="OG37">
        <f>IF($B37=0,1000000000,IF(INDEX('calcA'!$D$60:$EQ$99,$B37,2)*IF($W37=1,DC37+ZR37,DC37)=1,IF(AND($E37=2,IF($W37=1,AFG37,IR37)=0),1000000000,IF($V37=1,INDEX('calcA'!$D$130:$EQ$169,$B37,2)+IF(AND($E37=1,IR37=0),25,0),IF($F37&gt;0,INDEX('calcA'!E$110:E$114,$F37+1)+IF(AND($E37=1,IR37=0),1000,0),MIN(TU37,20)*400+(IF('calcA'!D$106=1,1-DB37,0)+IF('calcA'!E$106=1,1-DD37,0))*150+21+'calcA'!E$5*100000+IF(AND($E37=1,IR37=0),50000,0))+IF($H37=1,INDEX('calcA'!$D$180:$EQ$219,$B37,2)*4000,0)-IF(AND('calcA'!D$117=1,UB37&gt;0),2000,0)-IF(AND($U37=1,'calcA'!E$117=1,DD37=0),2000,0))),1000000000))</f>
        <v/>
      </c>
      <c r="OH37">
        <f>IF($B37=0,1000000000,IF(INDEX('calcA'!$D$60:$EQ$99,$B37,3)*IF($W37=1,DD37+ZS37,DD37)=1,IF(AND($E37=2,IF($W37=1,AFH37,IS37)=0),1000000000,IF($V37=1,INDEX('calcA'!$D$130:$EQ$169,$B37,3)+IF(AND($E37=1,IS37=0),25,0),IF($F37&gt;0,INDEX('calcA'!F$110:F$114,$F37+1)+IF(AND($E37=1,IS37=0),1000,0),MIN(TU37,20)*400+(IF('calcA'!E$106=1,1-DC37,0)+IF('calcA'!F$106=1,1-DE37,0))*150+31+'calcA'!F$5*100000+IF(AND($E37=1,IS37=0),50000,0))+IF($H37=1,INDEX('calcA'!$D$180:$EQ$219,$B37,3)*4000,0)-IF(AND('calcA'!E$117=1,UC37&gt;0),2000,0)-IF(AND($U37=1,'calcA'!F$117=1,DE37=0),2000,0))),1000000000))</f>
        <v/>
      </c>
      <c r="OI37">
        <f>IF($B37=0,1000000000,IF(INDEX('calcA'!$D$60:$EQ$99,$B37,4)*IF($W37=1,DE37+ZT37,DE37)=1,IF(AND($E37=2,IF($W37=1,AFI37,IT37)=0),1000000000,IF($V37=1,INDEX('calcA'!$D$130:$EQ$169,$B37,4)+IF(AND($E37=1,IT37=0),25,0),IF($F37&gt;0,INDEX('calcA'!G$110:G$114,$F37+1)+IF(AND($E37=1,IT37=0),1000,0),MIN(TU37,20)*400+(IF('calcA'!F$106=1,1-DD37,0)+IF('calcA'!G$106=1,1-DF37,0))*150+41+'calcA'!G$5*100000+IF(AND($E37=1,IT37=0),50000,0))+IF($H37=1,INDEX('calcA'!$D$180:$EQ$219,$B37,4)*4000,0)-IF(AND('calcA'!F$117=1,UD37&gt;0),2000,0)-IF(AND($U37=1,'calcA'!G$117=1,DF37=0),2000,0))),1000000000))</f>
        <v/>
      </c>
      <c r="OJ37">
        <f>IF($B37=0,1000000000,IF(INDEX('calcA'!$D$60:$EQ$99,$B37,5)*IF($W37=1,DF37+ZU37,DF37)=1,IF(AND($E37=2,IF($W37=1,AFJ37,IU37)=0),1000000000,IF($V37=1,INDEX('calcA'!$D$130:$EQ$169,$B37,5)+IF(AND($E37=1,IU37=0),25,0),IF($F37&gt;0,INDEX('calcA'!H$110:H$114,$F37+1)+IF(AND($E37=1,IU37=0),1000,0),MIN(TU37,20)*400+(IF('calcA'!G$106=1,1-DE37,0)+IF('calcA'!H$106=1,1-DG37,0))*150+51+'calcA'!H$5*100000+IF(AND($E37=1,IU37=0),50000,0))+IF($H37=1,INDEX('calcA'!$D$180:$EQ$219,$B37,5)*4000,0)-IF(AND('calcA'!G$117=1,UE37&gt;0),2000,0)-IF(AND($U37=1,'calcA'!H$117=1,DG37=0),2000,0))),1000000000))</f>
        <v/>
      </c>
      <c r="OK37">
        <f>IF($B37=0,1000000000,IF(INDEX('calcA'!$D$60:$EQ$99,$B37,6)*IF($W37=1,DG37+ZV37,DG37)=1,IF(AND($E37=2,IF($W37=1,AFK37,IV37)=0),1000000000,IF($V37=1,INDEX('calcA'!$D$130:$EQ$169,$B37,6)+IF(AND($E37=1,IV37=0),25,0),IF($F37&gt;0,INDEX('calcA'!I$110:I$114,$F37+1)+IF(AND($E37=1,IV37=0),1000,0),MIN(TU37,20)*400+(IF('calcA'!H$106=1,1-DF37,0)+IF('calcA'!I$106=1,1-DH37,0))*150+61+'calcA'!I$5*100000+IF(AND($E37=1,IV37=0),50000,0))+IF($H37=1,INDEX('calcA'!$D$180:$EQ$219,$B37,6)*4000,0)-IF(AND('calcA'!H$117=1,UF37&gt;0),2000,0)-IF(AND($U37=1,'calcA'!I$117=1,DH37=0),2000,0))),1000000000))</f>
        <v/>
      </c>
      <c r="OL37">
        <f>IF($B37=0,1000000000,IF(INDEX('calcA'!$D$60:$EQ$99,$B37,7)*IF($W37=1,DH37+ZW37,DH37)=1,IF(AND($E37=2,IF($W37=1,AFL37,IW37)=0),1000000000,IF($V37=1,INDEX('calcA'!$D$130:$EQ$169,$B37,7)+IF(AND($E37=1,IW37=0),25,0),IF($F37&gt;0,INDEX('calcA'!J$110:J$114,$F37+1)+IF(AND($E37=1,IW37=0),1000,0),MIN(TU37,20)*400+(IF('calcA'!I$106=1,1-DG37,0)+IF('calcA'!J$106=1,1-DI37,0))*150+71+'calcA'!J$5*100000+IF(AND($E37=1,IW37=0),50000,0))+IF($H37=1,INDEX('calcA'!$D$180:$EQ$219,$B37,7)*4000,0)-IF(AND('calcA'!I$117=1,UG37&gt;0),2000,0)-IF(AND($U37=1,'calcA'!J$117=1,DI37=0),2000,0))),1000000000))</f>
        <v/>
      </c>
      <c r="OM37">
        <f>IF($B37=0,1000000000,IF(INDEX('calcA'!$D$60:$EQ$99,$B37,8)*IF($W37=1,DI37+ZX37,DI37)=1,IF(AND($E37=2,IF($W37=1,AFM37,IX37)=0),1000000000,IF($V37=1,INDEX('calcA'!$D$130:$EQ$169,$B37,8)+IF(AND($E37=1,IX37=0),25,0),IF($F37&gt;0,INDEX('calcA'!K$110:K$114,$F37+1)+IF(AND($E37=1,IX37=0),1000,0),MIN(TU37,20)*400+(IF('calcA'!J$106=1,1-DH37,0)+IF('calcA'!K$106=1,1-DJ37,0))*150+81+'calcA'!K$5*100000+IF(AND($E37=1,IX37=0),50000,0))+IF($H37=1,INDEX('calcA'!$D$180:$EQ$219,$B37,8)*4000,0)-IF(AND('calcA'!J$117=1,UH37&gt;0),2000,0)-IF(AND($U37=1,'calcA'!K$117=1,DJ37=0),2000,0))),1000000000))</f>
        <v/>
      </c>
      <c r="ON37">
        <f>IF($B37=0,1000000000,IF(INDEX('calcA'!$D$60:$EQ$99,$B37,9)*IF($W37=1,DJ37+ZY37,DJ37)=1,IF(AND($E37=2,IF($W37=1,AFN37,IY37)=0),1000000000,IF($V37=1,INDEX('calcA'!$D$130:$EQ$169,$B37,9)+IF(AND($E37=1,IY37=0),25,0),IF($F37&gt;0,INDEX('calcA'!L$110:L$114,$F37+1)+IF(AND($E37=1,IY37=0),1000,0),MIN(TU37,20)*400+(IF('calcA'!K$106=1,1-DI37,0)+IF('calcA'!L$106=1,1-DK37,0))*150+91+'calcA'!L$5*100000+IF(AND($E37=1,IY37=0),50000,0))+IF($H37=1,INDEX('calcA'!$D$180:$EQ$219,$B37,9)*4000,0)-IF(AND('calcA'!K$117=1,UI37&gt;0),2000,0)-IF(AND($U37=1,'calcA'!L$117=1,DK37=0),2000,0))),1000000000))</f>
        <v/>
      </c>
      <c r="OO37">
        <f>IF($B37=0,1000000000,IF(INDEX('calcA'!$D$60:$EQ$99,$B37,10)*IF($W37=1,DK37+ZZ37,DK37)=1,IF(AND($E37=2,IF($W37=1,AFO37,IZ37)=0),1000000000,IF($V37=1,INDEX('calcA'!$D$130:$EQ$169,$B37,10)+IF(AND($E37=1,IZ37=0),25,0),IF($F37&gt;0,INDEX('calcA'!M$110:M$114,$F37+1)+IF(AND($E37=1,IZ37=0),1000,0),MIN(TU37,20)*400+(IF('calcA'!L$106=1,1-DJ37,0)+IF('calcA'!M$106=1,1-DL37,0))*150+101+'calcA'!M$5*100000+IF(AND($E37=1,IZ37=0),50000,0))+IF($H37=1,INDEX('calcA'!$D$180:$EQ$219,$B37,10)*4000,0)-IF(AND('calcA'!L$117=1,UJ37&gt;0),2000,0)-IF(AND($U37=1,'calcA'!M$117=1,DL37=0),2000,0))),1000000000))</f>
        <v/>
      </c>
      <c r="OP37">
        <f>IF($B37=0,1000000000,IF(INDEX('calcA'!$D$60:$EQ$99,$B37,11)*IF($W37=1,DL37+AAA37,DL37)=1,IF(AND($E37=2,IF($W37=1,AFP37,JA37)=0),1000000000,IF($V37=1,INDEX('calcA'!$D$130:$EQ$169,$B37,11)+IF(AND($E37=1,JA37=0),25,0),IF($F37&gt;0,INDEX('calcA'!N$110:N$114,$F37+1)+IF(AND($E37=1,JA37=0),1000,0),MIN(TU37,20)*400+(IF('calcA'!M$106=1,1-DK37,0)+IF('calcA'!N$106=1,1-DM37,0))*150+111+'calcA'!N$5*100000+IF(AND($E37=1,JA37=0),50000,0))+IF($H37=1,INDEX('calcA'!$D$180:$EQ$219,$B37,11)*4000,0)-IF(AND('calcA'!M$117=1,UK37&gt;0),2000,0)-IF(AND($U37=1,'calcA'!N$117=1,DM37=0),2000,0))),1000000000))</f>
        <v/>
      </c>
      <c r="OQ37">
        <f>IF($B37=0,1000000000,IF(INDEX('calcA'!$D$60:$EQ$99,$B37,12)*IF($W37=1,DM37+AAB37,DM37)=1,IF(AND($E37=2,IF($W37=1,AFQ37,JB37)=0),1000000000,IF($V37=1,INDEX('calcA'!$D$130:$EQ$169,$B37,12)+IF(AND($E37=1,JB37=0),25,0),IF($F37&gt;0,INDEX('calcA'!O$110:O$114,$F37+1)+IF(AND($E37=1,JB37=0),1000,0),MIN(TU37,20)*400+(IF('calcA'!N$106=1,1-DL37,0)+IF('calcA'!O$106=1,1-DN37,0))*150+121+'calcA'!O$5*100000+IF(AND($E37=1,JB37=0),50000,0))+IF($H37=1,INDEX('calcA'!$D$180:$EQ$219,$B37,12)*4000,0)-IF(AND('calcA'!N$117=1,UL37&gt;0),2000,0)-IF(AND($U37=1,'calcA'!O$117=1,DN37=0),2000,0))),1000000000))</f>
        <v/>
      </c>
      <c r="OR37">
        <f>IF($B37=0,1000000000,IF(INDEX('calcA'!$D$60:$EQ$99,$B37,13)*IF($W37=1,DN37+AAC37,DN37)=1,IF(AND($E37=2,IF($W37=1,AFR37,JC37)=0),1000000000,IF($V37=1,INDEX('calcA'!$D$130:$EQ$169,$B37,13)+IF(AND($E37=1,JC37=0),25,0),IF($F37&gt;0,INDEX('calcA'!P$110:P$114,$F37+1)+IF(AND($E37=1,JC37=0),1000,0),MIN(TU37,20)*400+(IF('calcA'!O$106=1,1-DM37,0)+IF('calcA'!P$106=1,1-DO37,0))*150+131+'calcA'!P$5*100000+IF(AND($E37=1,JC37=0),50000,0))+IF($H37=1,INDEX('calcA'!$D$180:$EQ$219,$B37,13)*4000,0)-IF(AND('calcA'!O$117=1,UM37&gt;0),2000,0)-IF(AND($U37=1,'calcA'!P$117=1,DO37=0),2000,0))),1000000000))</f>
        <v/>
      </c>
      <c r="OS37">
        <f>IF($B37=0,1000000000,IF(INDEX('calcA'!$D$60:$EQ$99,$B37,14)*IF($W37=1,DO37+AAD37,DO37)=1,IF(AND($E37=2,IF($W37=1,AFS37,JD37)=0),1000000000,IF($V37=1,INDEX('calcA'!$D$130:$EQ$169,$B37,14)+IF(AND($E37=1,JD37=0),25,0),IF($F37&gt;0,INDEX('calcA'!Q$110:Q$114,$F37+1)+IF(AND($E37=1,JD37=0),1000,0),MIN(TU37,20)*400+(IF('calcA'!P$106=1,1-DN37,0)+IF('calcA'!Q$106=1,1-DP37,0))*150+141+'calcA'!Q$5*100000+IF(AND($E37=1,JD37=0),50000,0))+IF($H37=1,INDEX('calcA'!$D$180:$EQ$219,$B37,14)*4000,0)-IF(AND('calcA'!P$117=1,UN37&gt;0),2000,0)-IF(AND($U37=1,'calcA'!Q$117=1,DP37=0),2000,0))),1000000000))</f>
        <v/>
      </c>
      <c r="OT37">
        <f>IF($B37=0,1000000000,IF(INDEX('calcA'!$D$60:$EQ$99,$B37,15)*IF($W37=1,DP37+AAE37,DP37)=1,IF(AND($E37=2,IF($W37=1,AFT37,JE37)=0),1000000000,IF($V37=1,INDEX('calcA'!$D$130:$EQ$169,$B37,15)+IF(AND($E37=1,JE37=0),25,0),IF($F37&gt;0,INDEX('calcA'!R$110:R$114,$F37+1)+IF(AND($E37=1,JE37=0),1000,0),MIN(TU37,20)*400+(IF('calcA'!Q$106=1,1-DO37,0)+IF('calcA'!R$106=1,1-DQ37,0))*150+151+'calcA'!R$5*100000+IF(AND($E37=1,JE37=0),50000,0))+IF($H37=1,INDEX('calcA'!$D$180:$EQ$219,$B37,15)*4000,0)-IF(AND('calcA'!Q$117=1,UO37&gt;0),2000,0)-IF(AND($U37=1,'calcA'!R$117=1,DQ37=0),2000,0))),1000000000))</f>
        <v/>
      </c>
      <c r="OU37">
        <f>IF($B37=0,1000000000,IF(INDEX('calcA'!$D$60:$EQ$99,$B37,16)*IF($W37=1,DQ37+AAF37,DQ37)=1,IF(AND($E37=2,IF($W37=1,AFU37,JF37)=0),1000000000,IF($V37=1,INDEX('calcA'!$D$130:$EQ$169,$B37,16)+IF(AND($E37=1,JF37=0),25,0),IF($F37&gt;0,INDEX('calcA'!S$110:S$114,$F37+1)+IF(AND($E37=1,JF37=0),1000,0),MIN(TU37,20)*400+(IF('calcA'!R$106=1,1-DP37,0)+IF('calcA'!S$106=1,1-DR37,0))*150+161+'calcA'!S$5*100000+IF(AND($E37=1,JF37=0),50000,0))+IF($H37=1,INDEX('calcA'!$D$180:$EQ$219,$B37,16)*4000,0)-IF(AND('calcA'!R$117=1,UP37&gt;0),2000,0)-IF(AND($U37=1,'calcA'!S$117=1,DR37=0),2000,0))),1000000000))</f>
        <v/>
      </c>
      <c r="OV37">
        <f>IF($B37=0,1000000000,IF(INDEX('calcA'!$D$60:$EQ$99,$B37,17)*IF($W37=1,DR37+AAG37,DR37)=1,IF(AND($E37=2,IF($W37=1,AFV37,JG37)=0),1000000000,IF($V37=1,INDEX('calcA'!$D$130:$EQ$169,$B37,17)+IF(AND($E37=1,JG37=0),25,0),IF($F37&gt;0,INDEX('calcA'!T$110:T$114,$F37+1)+IF(AND($E37=1,JG37=0),1000,0),MIN(TU37,20)*400+(IF('calcA'!S$106=1,1-DQ37,0)+IF('calcA'!T$106=1,1-DS37,0))*150+171+'calcA'!T$5*100000+IF(AND($E37=1,JG37=0),50000,0))+IF($H37=1,INDEX('calcA'!$D$180:$EQ$219,$B37,17)*4000,0)-IF(AND('calcA'!S$117=1,UQ37&gt;0),2000,0)-IF(AND($U37=1,'calcA'!T$117=1,DS37=0),2000,0))),1000000000))</f>
        <v/>
      </c>
      <c r="OW37">
        <f>IF($B37=0,1000000000,IF(INDEX('calcA'!$D$60:$EQ$99,$B37,18)*IF($W37=1,DS37+AAH37,DS37)=1,IF(AND($E37=2,IF($W37=1,AFW37,JH37)=0),1000000000,IF($V37=1,INDEX('calcA'!$D$130:$EQ$169,$B37,18)+IF(AND($E37=1,JH37=0),25,0),IF($F37&gt;0,INDEX('calcA'!U$110:U$114,$F37+1)+IF(AND($E37=1,JH37=0),1000,0),MIN(TU37,20)*400+(IF('calcA'!T$106=1,1-DR37,0)+IF('calcA'!U$106=1,1-DT37,0))*150+181+'calcA'!U$5*100000+IF(AND($E37=1,JH37=0),50000,0))+IF($H37=1,INDEX('calcA'!$D$180:$EQ$219,$B37,18)*4000,0)-IF(AND('calcA'!T$117=1,UR37&gt;0),2000,0)-IF(AND($U37=1,'calcA'!U$117=1,DT37=0),2000,0))),1000000000))</f>
        <v/>
      </c>
      <c r="OX37">
        <f>IF($B37=0,1000000000,IF(INDEX('calcA'!$D$60:$EQ$99,$B37,19)*IF($W37=1,DT37+AAI37,DT37)=1,IF(AND($E37=2,IF($W37=1,AFX37,JI37)=0),1000000000,IF($V37=1,INDEX('calcA'!$D$130:$EQ$169,$B37,19)+IF(AND($E37=1,JI37=0),25,0),IF($F37&gt;0,INDEX('calcA'!V$110:V$114,$F37+1)+IF(AND($E37=1,JI37=0),1000,0),MIN(TU37,20)*400+(IF('calcA'!U$106=1,1-DS37,0)+IF('calcA'!V$106=1,1-DU37,0))*150+191+'calcA'!V$5*100000+IF(AND($E37=1,JI37=0),50000,0))+IF($H37=1,INDEX('calcA'!$D$180:$EQ$219,$B37,19)*4000,0)-IF(AND('calcA'!U$117=1,US37&gt;0),2000,0)-IF(AND($U37=1,'calcA'!V$117=1,DU37=0),2000,0))),1000000000))</f>
        <v/>
      </c>
      <c r="OY37">
        <f>IF($B37=0,1000000000,IF(INDEX('calcA'!$D$60:$EQ$99,$B37,20)*IF($W37=1,DU37+AAJ37,DU37)=1,IF(AND($E37=2,IF($W37=1,AFY37,JJ37)=0),1000000000,IF($V37=1,INDEX('calcA'!$D$130:$EQ$169,$B37,20)+IF(AND($E37=1,JJ37=0),25,0),IF($F37&gt;0,INDEX('calcA'!W$110:W$114,$F37+1)+IF(AND($E37=1,JJ37=0),1000,0),MIN(TU37,20)*400+(IF('calcA'!V$106=1,1-DT37,0)+IF('calcA'!W$106=1,1-DV37,0))*150+201+'calcA'!W$5*100000+IF(AND($E37=1,JJ37=0),50000,0))+IF($H37=1,INDEX('calcA'!$D$180:$EQ$219,$B37,20)*4000,0)-IF(AND('calcA'!V$117=1,UT37&gt;0),2000,0)-IF(AND($U37=1,'calcA'!W$117=1,DV37=0),2000,0))),1000000000))</f>
        <v/>
      </c>
      <c r="OZ37">
        <f>IF($B37=0,1000000000,IF(INDEX('calcA'!$D$60:$EQ$99,$B37,21)*IF($W37=1,DV37+AAK37,DV37)=1,IF(AND($E37=2,IF($W37=1,AFZ37,JK37)=0),1000000000,IF($V37=1,INDEX('calcA'!$D$130:$EQ$169,$B37,21)+IF(AND($E37=1,JK37=0),25,0),IF($F37&gt;0,INDEX('calcA'!X$110:X$114,$F37+1)+IF(AND($E37=1,JK37=0),1000,0),MIN(TU37,20)*400+(IF('calcA'!W$106=1,1-DU37,0)+IF('calcA'!X$106=1,1-DW37,0))*150+211+'calcA'!X$5*100000+IF(AND($E37=1,JK37=0),50000,0))+IF($H37=1,INDEX('calcA'!$D$180:$EQ$219,$B37,21)*4000,0)-IF(AND('calcA'!W$117=1,UU37&gt;0),2000,0)-IF(AND($U37=1,'calcA'!X$117=1,DW37=0),2000,0))),1000000000))</f>
        <v/>
      </c>
      <c r="PA37">
        <f>IF($B37=0,1000000000,IF(INDEX('calcA'!$D$60:$EQ$99,$B37,22)*IF($W37=1,DW37+AAL37,DW37)=1,IF(AND($E37=2,IF($W37=1,AGA37,JL37)=0),1000000000,IF($V37=1,INDEX('calcA'!$D$130:$EQ$169,$B37,22)+IF(AND($E37=1,JL37=0),25,0),IF($F37&gt;0,INDEX('calcA'!Y$110:Y$114,$F37+1)+IF(AND($E37=1,JL37=0),1000,0),MIN(TU37,20)*400+(IF('calcA'!X$106=1,1-DV37,0)+IF('calcA'!Y$106=1,1-DX37,0))*150+221+'calcA'!Y$5*100000+IF(AND($E37=1,JL37=0),50000,0))+IF($H37=1,INDEX('calcA'!$D$180:$EQ$219,$B37,22)*4000,0)-IF(AND('calcA'!X$117=1,UV37&gt;0),2000,0)-IF(AND($U37=1,'calcA'!Y$117=1,DX37=0),2000,0))),1000000000))</f>
        <v/>
      </c>
      <c r="PB37">
        <f>IF($B37=0,1000000000,IF(INDEX('calcA'!$D$60:$EQ$99,$B37,23)*IF($W37=1,DX37+AAM37,DX37)=1,IF(AND($E37=2,IF($W37=1,AGB37,JM37)=0),1000000000,IF($V37=1,INDEX('calcA'!$D$130:$EQ$169,$B37,23)+IF(AND($E37=1,JM37=0),25,0),IF($F37&gt;0,INDEX('calcA'!Z$110:Z$114,$F37+1)+IF(AND($E37=1,JM37=0),1000,0),MIN(TU37,20)*400+(IF('calcA'!Y$106=1,1-DW37,0)+IF('calcA'!Z$106=1,1-DY37,0))*150+231+'calcA'!Z$5*100000+IF(AND($E37=1,JM37=0),50000,0))+IF($H37=1,INDEX('calcA'!$D$180:$EQ$219,$B37,23)*4000,0)-IF(AND('calcA'!Y$117=1,UW37&gt;0),2000,0)-IF(AND($U37=1,'calcA'!Z$117=1,DY37=0),2000,0))),1000000000))</f>
        <v/>
      </c>
      <c r="PC37">
        <f>IF($B37=0,1000000000,IF(INDEX('calcA'!$D$60:$EQ$99,$B37,24)*IF($W37=1,DY37+AAN37,DY37)=1,IF(AND($E37=2,IF($W37=1,AGC37,JN37)=0),1000000000,IF($V37=1,INDEX('calcA'!$D$130:$EQ$169,$B37,24)+IF(AND($E37=1,JN37=0),25,0),IF($F37&gt;0,INDEX('calcA'!AA$110:AA$114,$F37+1)+IF(AND($E37=1,JN37=0),1000,0),MIN(TU37,20)*400+(IF('calcA'!Z$106=1,1-DX37,0))*150+241+'calcA'!AA$5*100000+IF(AND($E37=1,JN37=0),50000,0))+IF($H37=1,INDEX('calcA'!$D$180:$EQ$219,$B37,24)*4000,0)-IF(AND('calcA'!Z$117=1,UX37&gt;0),2000,0))),1000000000))</f>
        <v/>
      </c>
      <c r="PD37">
        <f>IF($B37=0,1000000000,IF(INDEX('calcA'!$D$60:$EQ$99,$B37,25)*IF($W37=1,DZ37+AAO37,DZ37)=1,IF(AND($E37=2,IF($W37=1,AGD37,JO37)=0),1000000000,IF($V37=1,INDEX('calcA'!$D$130:$EQ$169,$B37,25)+IF(AND($E37=1,JO37=0),25,0),IF($F37&gt;0,INDEX('calcA'!AB$110:AB$114,$F37+1)+IF(AND($E37=1,JO37=0),1000,0),MIN(TV37,20)*400+(IF('calcA'!AB$106=1,1-EA37,0))*150+12+'calcA'!AB$5*100000+IF(AND($E37=1,JO37=0),50000,0))+IF($H37=1,INDEX('calcA'!$D$180:$EQ$219,$B37,25)*4000,0)-IF(AND($U37=1,'calcA'!AB$117=1,EA37=0),2000,0))),1000000000))</f>
        <v/>
      </c>
      <c r="PE37">
        <f>IF($B37=0,1000000000,IF(INDEX('calcA'!$D$60:$EQ$99,$B37,26)*IF($W37=1,EA37+AAP37,EA37)=1,IF(AND($E37=2,IF($W37=1,AGE37,JP37)=0),1000000000,IF($V37=1,INDEX('calcA'!$D$130:$EQ$169,$B37,26)+IF(AND($E37=1,JP37=0),25,0),IF($F37&gt;0,INDEX('calcA'!AC$110:AC$114,$F37+1)+IF(AND($E37=1,JP37=0),1000,0),MIN(TV37,20)*400+(IF('calcA'!AB$106=1,1-DZ37,0)+IF('calcA'!AC$106=1,1-EB37,0))*150+22+'calcA'!AC$5*100000+IF(AND($E37=1,JP37=0),50000,0))+IF($H37=1,INDEX('calcA'!$D$180:$EQ$219,$B37,26)*4000,0)-IF(AND('calcA'!AB$117=1,UZ37&gt;0),2000,0)-IF(AND($U37=1,'calcA'!AC$117=1,EB37=0),2000,0))),1000000000))</f>
        <v/>
      </c>
      <c r="PF37">
        <f>IF($B37=0,1000000000,IF(INDEX('calcA'!$D$60:$EQ$99,$B37,27)*IF($W37=1,EB37+AAQ37,EB37)=1,IF(AND($E37=2,IF($W37=1,AGF37,JQ37)=0),1000000000,IF($V37=1,INDEX('calcA'!$D$130:$EQ$169,$B37,27)+IF(AND($E37=1,JQ37=0),25,0),IF($F37&gt;0,INDEX('calcA'!AD$110:AD$114,$F37+1)+IF(AND($E37=1,JQ37=0),1000,0),MIN(TV37,20)*400+(IF('calcA'!AC$106=1,1-EA37,0)+IF('calcA'!AD$106=1,1-EC37,0))*150+32+'calcA'!AD$5*100000+IF(AND($E37=1,JQ37=0),50000,0))+IF($H37=1,INDEX('calcA'!$D$180:$EQ$219,$B37,27)*4000,0)-IF(AND('calcA'!AC$117=1,VA37&gt;0),2000,0)-IF(AND($U37=1,'calcA'!AD$117=1,EC37=0),2000,0))),1000000000))</f>
        <v/>
      </c>
      <c r="PG37">
        <f>IF($B37=0,1000000000,IF(INDEX('calcA'!$D$60:$EQ$99,$B37,28)*IF($W37=1,EC37+AAR37,EC37)=1,IF(AND($E37=2,IF($W37=1,AGG37,JR37)=0),1000000000,IF($V37=1,INDEX('calcA'!$D$130:$EQ$169,$B37,28)+IF(AND($E37=1,JR37=0),25,0),IF($F37&gt;0,INDEX('calcA'!AE$110:AE$114,$F37+1)+IF(AND($E37=1,JR37=0),1000,0),MIN(TV37,20)*400+(IF('calcA'!AD$106=1,1-EB37,0)+IF('calcA'!AE$106=1,1-ED37,0))*150+42+'calcA'!AE$5*100000+IF(AND($E37=1,JR37=0),50000,0))+IF($H37=1,INDEX('calcA'!$D$180:$EQ$219,$B37,28)*4000,0)-IF(AND('calcA'!AD$117=1,VB37&gt;0),2000,0)-IF(AND($U37=1,'calcA'!AE$117=1,ED37=0),2000,0))),1000000000))</f>
        <v/>
      </c>
      <c r="PH37">
        <f>IF($B37=0,1000000000,IF(INDEX('calcA'!$D$60:$EQ$99,$B37,29)*IF($W37=1,ED37+AAS37,ED37)=1,IF(AND($E37=2,IF($W37=1,AGH37,JS37)=0),1000000000,IF($V37=1,INDEX('calcA'!$D$130:$EQ$169,$B37,29)+IF(AND($E37=1,JS37=0),25,0),IF($F37&gt;0,INDEX('calcA'!AF$110:AF$114,$F37+1)+IF(AND($E37=1,JS37=0),1000,0),MIN(TV37,20)*400+(IF('calcA'!AE$106=1,1-EC37,0)+IF('calcA'!AF$106=1,1-EE37,0))*150+52+'calcA'!AF$5*100000+IF(AND($E37=1,JS37=0),50000,0))+IF($H37=1,INDEX('calcA'!$D$180:$EQ$219,$B37,29)*4000,0)-IF(AND('calcA'!AE$117=1,VC37&gt;0),2000,0)-IF(AND($U37=1,'calcA'!AF$117=1,EE37=0),2000,0))),1000000000))</f>
        <v/>
      </c>
      <c r="PI37">
        <f>IF($B37=0,1000000000,IF(INDEX('calcA'!$D$60:$EQ$99,$B37,30)*IF($W37=1,EE37+AAT37,EE37)=1,IF(AND($E37=2,IF($W37=1,AGI37,JT37)=0),1000000000,IF($V37=1,INDEX('calcA'!$D$130:$EQ$169,$B37,30)+IF(AND($E37=1,JT37=0),25,0),IF($F37&gt;0,INDEX('calcA'!AG$110:AG$114,$F37+1)+IF(AND($E37=1,JT37=0),1000,0),MIN(TV37,20)*400+(IF('calcA'!AF$106=1,1-ED37,0)+IF('calcA'!AG$106=1,1-EF37,0))*150+62+'calcA'!AG$5*100000+IF(AND($E37=1,JT37=0),50000,0))+IF($H37=1,INDEX('calcA'!$D$180:$EQ$219,$B37,30)*4000,0)-IF(AND('calcA'!AF$117=1,VD37&gt;0),2000,0)-IF(AND($U37=1,'calcA'!AG$117=1,EF37=0),2000,0))),1000000000))</f>
        <v/>
      </c>
      <c r="PJ37">
        <f>IF($B37=0,1000000000,IF(INDEX('calcA'!$D$60:$EQ$99,$B37,31)*IF($W37=1,EF37+AAU37,EF37)=1,IF(AND($E37=2,IF($W37=1,AGJ37,JU37)=0),1000000000,IF($V37=1,INDEX('calcA'!$D$130:$EQ$169,$B37,31)+IF(AND($E37=1,JU37=0),25,0),IF($F37&gt;0,INDEX('calcA'!AH$110:AH$114,$F37+1)+IF(AND($E37=1,JU37=0),1000,0),MIN(TV37,20)*400+(IF('calcA'!AG$106=1,1-EE37,0)+IF('calcA'!AH$106=1,1-EG37,0))*150+72+'calcA'!AH$5*100000+IF(AND($E37=1,JU37=0),50000,0))+IF($H37=1,INDEX('calcA'!$D$180:$EQ$219,$B37,31)*4000,0)-IF(AND('calcA'!AG$117=1,VE37&gt;0),2000,0)-IF(AND($U37=1,'calcA'!AH$117=1,EG37=0),2000,0))),1000000000))</f>
        <v/>
      </c>
      <c r="PK37">
        <f>IF($B37=0,1000000000,IF(INDEX('calcA'!$D$60:$EQ$99,$B37,32)*IF($W37=1,EG37+AAV37,EG37)=1,IF(AND($E37=2,IF($W37=1,AGK37,JV37)=0),1000000000,IF($V37=1,INDEX('calcA'!$D$130:$EQ$169,$B37,32)+IF(AND($E37=1,JV37=0),25,0),IF($F37&gt;0,INDEX('calcA'!AI$110:AI$114,$F37+1)+IF(AND($E37=1,JV37=0),1000,0),MIN(TV37,20)*400+(IF('calcA'!AH$106=1,1-EF37,0)+IF('calcA'!AI$106=1,1-EH37,0))*150+82+'calcA'!AI$5*100000+IF(AND($E37=1,JV37=0),50000,0))+IF($H37=1,INDEX('calcA'!$D$180:$EQ$219,$B37,32)*4000,0)-IF(AND('calcA'!AH$117=1,VF37&gt;0),2000,0)-IF(AND($U37=1,'calcA'!AI$117=1,EH37=0),2000,0))),1000000000))</f>
        <v/>
      </c>
      <c r="PL37">
        <f>IF($B37=0,1000000000,IF(INDEX('calcA'!$D$60:$EQ$99,$B37,33)*IF($W37=1,EH37+AAW37,EH37)=1,IF(AND($E37=2,IF($W37=1,AGL37,JW37)=0),1000000000,IF($V37=1,INDEX('calcA'!$D$130:$EQ$169,$B37,33)+IF(AND($E37=1,JW37=0),25,0),IF($F37&gt;0,INDEX('calcA'!AJ$110:AJ$114,$F37+1)+IF(AND($E37=1,JW37=0),1000,0),MIN(TV37,20)*400+(IF('calcA'!AI$106=1,1-EG37,0)+IF('calcA'!AJ$106=1,1-EI37,0))*150+92+'calcA'!AJ$5*100000+IF(AND($E37=1,JW37=0),50000,0))+IF($H37=1,INDEX('calcA'!$D$180:$EQ$219,$B37,33)*4000,0)-IF(AND('calcA'!AI$117=1,VG37&gt;0),2000,0)-IF(AND($U37=1,'calcA'!AJ$117=1,EI37=0),2000,0))),1000000000))</f>
        <v/>
      </c>
      <c r="PM37">
        <f>IF($B37=0,1000000000,IF(INDEX('calcA'!$D$60:$EQ$99,$B37,34)*IF($W37=1,EI37+AAX37,EI37)=1,IF(AND($E37=2,IF($W37=1,AGM37,JX37)=0),1000000000,IF($V37=1,INDEX('calcA'!$D$130:$EQ$169,$B37,34)+IF(AND($E37=1,JX37=0),25,0),IF($F37&gt;0,INDEX('calcA'!AK$110:AK$114,$F37+1)+IF(AND($E37=1,JX37=0),1000,0),MIN(TV37,20)*400+(IF('calcA'!AJ$106=1,1-EH37,0)+IF('calcA'!AK$106=1,1-EJ37,0))*150+102+'calcA'!AK$5*100000+IF(AND($E37=1,JX37=0),50000,0))+IF($H37=1,INDEX('calcA'!$D$180:$EQ$219,$B37,34)*4000,0)-IF(AND('calcA'!AJ$117=1,VH37&gt;0),2000,0)-IF(AND($U37=1,'calcA'!AK$117=1,EJ37=0),2000,0))),1000000000))</f>
        <v/>
      </c>
      <c r="PN37">
        <f>IF($B37=0,1000000000,IF(INDEX('calcA'!$D$60:$EQ$99,$B37,35)*IF($W37=1,EJ37+AAY37,EJ37)=1,IF(AND($E37=2,IF($W37=1,AGN37,JY37)=0),1000000000,IF($V37=1,INDEX('calcA'!$D$130:$EQ$169,$B37,35)+IF(AND($E37=1,JY37=0),25,0),IF($F37&gt;0,INDEX('calcA'!AL$110:AL$114,$F37+1)+IF(AND($E37=1,JY37=0),1000,0),MIN(TV37,20)*400+(IF('calcA'!AK$106=1,1-EI37,0)+IF('calcA'!AL$106=1,1-EK37,0))*150+112+'calcA'!AL$5*100000+IF(AND($E37=1,JY37=0),50000,0))+IF($H37=1,INDEX('calcA'!$D$180:$EQ$219,$B37,35)*4000,0)-IF(AND('calcA'!AK$117=1,VI37&gt;0),2000,0)-IF(AND($U37=1,'calcA'!AL$117=1,EK37=0),2000,0))),1000000000))</f>
        <v/>
      </c>
      <c r="PO37">
        <f>IF($B37=0,1000000000,IF(INDEX('calcA'!$D$60:$EQ$99,$B37,36)*IF($W37=1,EK37+AAZ37,EK37)=1,IF(AND($E37=2,IF($W37=1,AGO37,JZ37)=0),1000000000,IF($V37=1,INDEX('calcA'!$D$130:$EQ$169,$B37,36)+IF(AND($E37=1,JZ37=0),25,0),IF($F37&gt;0,INDEX('calcA'!AM$110:AM$114,$F37+1)+IF(AND($E37=1,JZ37=0),1000,0),MIN(TV37,20)*400+(IF('calcA'!AL$106=1,1-EJ37,0)+IF('calcA'!AM$106=1,1-EL37,0))*150+122+'calcA'!AM$5*100000+IF(AND($E37=1,JZ37=0),50000,0))+IF($H37=1,INDEX('calcA'!$D$180:$EQ$219,$B37,36)*4000,0)-IF(AND('calcA'!AL$117=1,VJ37&gt;0),2000,0)-IF(AND($U37=1,'calcA'!AM$117=1,EL37=0),2000,0))),1000000000))</f>
        <v/>
      </c>
      <c r="PP37">
        <f>IF($B37=0,1000000000,IF(INDEX('calcA'!$D$60:$EQ$99,$B37,37)*IF($W37=1,EL37+ABA37,EL37)=1,IF(AND($E37=2,IF($W37=1,AGP37,KA37)=0),1000000000,IF($V37=1,INDEX('calcA'!$D$130:$EQ$169,$B37,37)+IF(AND($E37=1,KA37=0),25,0),IF($F37&gt;0,INDEX('calcA'!AN$110:AN$114,$F37+1)+IF(AND($E37=1,KA37=0),1000,0),MIN(TV37,20)*400+(IF('calcA'!AM$106=1,1-EK37,0)+IF('calcA'!AN$106=1,1-EM37,0))*150+132+'calcA'!AN$5*100000+IF(AND($E37=1,KA37=0),50000,0))+IF($H37=1,INDEX('calcA'!$D$180:$EQ$219,$B37,37)*4000,0)-IF(AND('calcA'!AM$117=1,VK37&gt;0),2000,0)-IF(AND($U37=1,'calcA'!AN$117=1,EM37=0),2000,0))),1000000000))</f>
        <v/>
      </c>
      <c r="PQ37">
        <f>IF($B37=0,1000000000,IF(INDEX('calcA'!$D$60:$EQ$99,$B37,38)*IF($W37=1,EM37+ABB37,EM37)=1,IF(AND($E37=2,IF($W37=1,AGQ37,KB37)=0),1000000000,IF($V37=1,INDEX('calcA'!$D$130:$EQ$169,$B37,38)+IF(AND($E37=1,KB37=0),25,0),IF($F37&gt;0,INDEX('calcA'!AO$110:AO$114,$F37+1)+IF(AND($E37=1,KB37=0),1000,0),MIN(TV37,20)*400+(IF('calcA'!AN$106=1,1-EL37,0)+IF('calcA'!AO$106=1,1-EN37,0))*150+142+'calcA'!AO$5*100000+IF(AND($E37=1,KB37=0),50000,0))+IF($H37=1,INDEX('calcA'!$D$180:$EQ$219,$B37,38)*4000,0)-IF(AND('calcA'!AN$117=1,VL37&gt;0),2000,0)-IF(AND($U37=1,'calcA'!AO$117=1,EN37=0),2000,0))),1000000000))</f>
        <v/>
      </c>
      <c r="PR37">
        <f>IF($B37=0,1000000000,IF(INDEX('calcA'!$D$60:$EQ$99,$B37,39)*IF($W37=1,EN37+ABC37,EN37)=1,IF(AND($E37=2,IF($W37=1,AGR37,KC37)=0),1000000000,IF($V37=1,INDEX('calcA'!$D$130:$EQ$169,$B37,39)+IF(AND($E37=1,KC37=0),25,0),IF($F37&gt;0,INDEX('calcA'!AP$110:AP$114,$F37+1)+IF(AND($E37=1,KC37=0),1000,0),MIN(TV37,20)*400+(IF('calcA'!AO$106=1,1-EM37,0)+IF('calcA'!AP$106=1,1-EO37,0))*150+152+'calcA'!AP$5*100000+IF(AND($E37=1,KC37=0),50000,0))+IF($H37=1,INDEX('calcA'!$D$180:$EQ$219,$B37,39)*4000,0)-IF(AND('calcA'!AO$117=1,VM37&gt;0),2000,0)-IF(AND($U37=1,'calcA'!AP$117=1,EO37=0),2000,0))),1000000000))</f>
        <v/>
      </c>
      <c r="PS37">
        <f>IF($B37=0,1000000000,IF(INDEX('calcA'!$D$60:$EQ$99,$B37,40)*IF($W37=1,EO37+ABD37,EO37)=1,IF(AND($E37=2,IF($W37=1,AGS37,KD37)=0),1000000000,IF($V37=1,INDEX('calcA'!$D$130:$EQ$169,$B37,40)+IF(AND($E37=1,KD37=0),25,0),IF($F37&gt;0,INDEX('calcA'!AQ$110:AQ$114,$F37+1)+IF(AND($E37=1,KD37=0),1000,0),MIN(TV37,20)*400+(IF('calcA'!AP$106=1,1-EN37,0)+IF('calcA'!AQ$106=1,1-EP37,0))*150+162+'calcA'!AQ$5*100000+IF(AND($E37=1,KD37=0),50000,0))+IF($H37=1,INDEX('calcA'!$D$180:$EQ$219,$B37,40)*4000,0)-IF(AND('calcA'!AP$117=1,VN37&gt;0),2000,0)-IF(AND($U37=1,'calcA'!AQ$117=1,EP37=0),2000,0))),1000000000))</f>
        <v/>
      </c>
      <c r="PT37">
        <f>IF($B37=0,1000000000,IF(INDEX('calcA'!$D$60:$EQ$99,$B37,41)*IF($W37=1,EP37+ABE37,EP37)=1,IF(AND($E37=2,IF($W37=1,AGT37,KE37)=0),1000000000,IF($V37=1,INDEX('calcA'!$D$130:$EQ$169,$B37,41)+IF(AND($E37=1,KE37=0),25,0),IF($F37&gt;0,INDEX('calcA'!AR$110:AR$114,$F37+1)+IF(AND($E37=1,KE37=0),1000,0),MIN(TV37,20)*400+(IF('calcA'!AQ$106=1,1-EO37,0)+IF('calcA'!AR$106=1,1-EQ37,0))*150+172+'calcA'!AR$5*100000+IF(AND($E37=1,KE37=0),50000,0))+IF($H37=1,INDEX('calcA'!$D$180:$EQ$219,$B37,41)*4000,0)-IF(AND('calcA'!AQ$117=1,VO37&gt;0),2000,0)-IF(AND($U37=1,'calcA'!AR$117=1,EQ37=0),2000,0))),1000000000))</f>
        <v/>
      </c>
      <c r="PU37">
        <f>IF($B37=0,1000000000,IF(INDEX('calcA'!$D$60:$EQ$99,$B37,42)*IF($W37=1,EQ37+ABF37,EQ37)=1,IF(AND($E37=2,IF($W37=1,AGU37,KF37)=0),1000000000,IF($V37=1,INDEX('calcA'!$D$130:$EQ$169,$B37,42)+IF(AND($E37=1,KF37=0),25,0),IF($F37&gt;0,INDEX('calcA'!AS$110:AS$114,$F37+1)+IF(AND($E37=1,KF37=0),1000,0),MIN(TV37,20)*400+(IF('calcA'!AR$106=1,1-EP37,0)+IF('calcA'!AS$106=1,1-ER37,0))*150+182+'calcA'!AS$5*100000+IF(AND($E37=1,KF37=0),50000,0))+IF($H37=1,INDEX('calcA'!$D$180:$EQ$219,$B37,42)*4000,0)-IF(AND('calcA'!AR$117=1,VP37&gt;0),2000,0)-IF(AND($U37=1,'calcA'!AS$117=1,ER37=0),2000,0))),1000000000))</f>
        <v/>
      </c>
      <c r="PV37">
        <f>IF($B37=0,1000000000,IF(INDEX('calcA'!$D$60:$EQ$99,$B37,43)*IF($W37=1,ER37+ABG37,ER37)=1,IF(AND($E37=2,IF($W37=1,AGV37,KG37)=0),1000000000,IF($V37=1,INDEX('calcA'!$D$130:$EQ$169,$B37,43)+IF(AND($E37=1,KG37=0),25,0),IF($F37&gt;0,INDEX('calcA'!AT$110:AT$114,$F37+1)+IF(AND($E37=1,KG37=0),1000,0),MIN(TV37,20)*400+(IF('calcA'!AS$106=1,1-EQ37,0)+IF('calcA'!AT$106=1,1-ES37,0))*150+192+'calcA'!AT$5*100000+IF(AND($E37=1,KG37=0),50000,0))+IF($H37=1,INDEX('calcA'!$D$180:$EQ$219,$B37,43)*4000,0)-IF(AND('calcA'!AS$117=1,VQ37&gt;0),2000,0)-IF(AND($U37=1,'calcA'!AT$117=1,ES37=0),2000,0))),1000000000))</f>
        <v/>
      </c>
      <c r="PW37">
        <f>IF($B37=0,1000000000,IF(INDEX('calcA'!$D$60:$EQ$99,$B37,44)*IF($W37=1,ES37+ABH37,ES37)=1,IF(AND($E37=2,IF($W37=1,AGW37,KH37)=0),1000000000,IF($V37=1,INDEX('calcA'!$D$130:$EQ$169,$B37,44)+IF(AND($E37=1,KH37=0),25,0),IF($F37&gt;0,INDEX('calcA'!AU$110:AU$114,$F37+1)+IF(AND($E37=1,KH37=0),1000,0),MIN(TV37,20)*400+(IF('calcA'!AT$106=1,1-ER37,0)+IF('calcA'!AU$106=1,1-ET37,0))*150+202+'calcA'!AU$5*100000+IF(AND($E37=1,KH37=0),50000,0))+IF($H37=1,INDEX('calcA'!$D$180:$EQ$219,$B37,44)*4000,0)-IF(AND('calcA'!AT$117=1,VR37&gt;0),2000,0)-IF(AND($U37=1,'calcA'!AU$117=1,ET37=0),2000,0))),1000000000))</f>
        <v/>
      </c>
      <c r="PX37">
        <f>IF($B37=0,1000000000,IF(INDEX('calcA'!$D$60:$EQ$99,$B37,45)*IF($W37=1,ET37+ABI37,ET37)=1,IF(AND($E37=2,IF($W37=1,AGX37,KI37)=0),1000000000,IF($V37=1,INDEX('calcA'!$D$130:$EQ$169,$B37,45)+IF(AND($E37=1,KI37=0),25,0),IF($F37&gt;0,INDEX('calcA'!AV$110:AV$114,$F37+1)+IF(AND($E37=1,KI37=0),1000,0),MIN(TV37,20)*400+(IF('calcA'!AU$106=1,1-ES37,0)+IF('calcA'!AV$106=1,1-EU37,0))*150+212+'calcA'!AV$5*100000+IF(AND($E37=1,KI37=0),50000,0))+IF($H37=1,INDEX('calcA'!$D$180:$EQ$219,$B37,45)*4000,0)-IF(AND('calcA'!AU$117=1,VS37&gt;0),2000,0)-IF(AND($U37=1,'calcA'!AV$117=1,EU37=0),2000,0))),1000000000))</f>
        <v/>
      </c>
      <c r="PY37">
        <f>IF($B37=0,1000000000,IF(INDEX('calcA'!$D$60:$EQ$99,$B37,46)*IF($W37=1,EU37+ABJ37,EU37)=1,IF(AND($E37=2,IF($W37=1,AGY37,KJ37)=0),1000000000,IF($V37=1,INDEX('calcA'!$D$130:$EQ$169,$B37,46)+IF(AND($E37=1,KJ37=0),25,0),IF($F37&gt;0,INDEX('calcA'!AW$110:AW$114,$F37+1)+IF(AND($E37=1,KJ37=0),1000,0),MIN(TV37,20)*400+(IF('calcA'!AV$106=1,1-ET37,0)+IF('calcA'!AW$106=1,1-EV37,0))*150+222+'calcA'!AW$5*100000+IF(AND($E37=1,KJ37=0),50000,0))+IF($H37=1,INDEX('calcA'!$D$180:$EQ$219,$B37,46)*4000,0)-IF(AND('calcA'!AV$117=1,VT37&gt;0),2000,0)-IF(AND($U37=1,'calcA'!AW$117=1,EV37=0),2000,0))),1000000000))</f>
        <v/>
      </c>
      <c r="PZ37">
        <f>IF($B37=0,1000000000,IF(INDEX('calcA'!$D$60:$EQ$99,$B37,47)*IF($W37=1,EV37+ABK37,EV37)=1,IF(AND($E37=2,IF($W37=1,AGZ37,KK37)=0),1000000000,IF($V37=1,INDEX('calcA'!$D$130:$EQ$169,$B37,47)+IF(AND($E37=1,KK37=0),25,0),IF($F37&gt;0,INDEX('calcA'!AX$110:AX$114,$F37+1)+IF(AND($E37=1,KK37=0),1000,0),MIN(TV37,20)*400+(IF('calcA'!AW$106=1,1-EU37,0)+IF('calcA'!AX$106=1,1-EW37,0))*150+232+'calcA'!AX$5*100000+IF(AND($E37=1,KK37=0),50000,0))+IF($H37=1,INDEX('calcA'!$D$180:$EQ$219,$B37,47)*4000,0)-IF(AND('calcA'!AW$117=1,VU37&gt;0),2000,0)-IF(AND($U37=1,'calcA'!AX$117=1,EW37=0),2000,0))),1000000000))</f>
        <v/>
      </c>
      <c r="QA37">
        <f>IF($B37=0,1000000000,IF(INDEX('calcA'!$D$60:$EQ$99,$B37,48)*IF($W37=1,EW37+ABL37,EW37)=1,IF(AND($E37=2,IF($W37=1,AHA37,KL37)=0),1000000000,IF($V37=1,INDEX('calcA'!$D$130:$EQ$169,$B37,48)+IF(AND($E37=1,KL37=0),25,0),IF($F37&gt;0,INDEX('calcA'!AY$110:AY$114,$F37+1)+IF(AND($E37=1,KL37=0),1000,0),MIN(TV37,20)*400+(IF('calcA'!AX$106=1,1-EV37,0))*150+242+'calcA'!AY$5*100000+IF(AND($E37=1,KL37=0),50000,0))+IF($H37=1,INDEX('calcA'!$D$180:$EQ$219,$B37,48)*4000,0)-IF(AND('calcA'!AX$117=1,VV37&gt;0),2000,0))),1000000000))</f>
        <v/>
      </c>
      <c r="QB37">
        <f>IF($B37=0,1000000000,IF(INDEX('calcA'!$D$60:$EQ$99,$B37,49)*IF($W37=1,EX37+ABM37,EX37)=1,IF(AND($E37=2,IF($W37=1,AHB37,KM37)=0),1000000000,IF($V37=1,INDEX('calcA'!$D$130:$EQ$169,$B37,49)+IF(AND($E37=1,KM37=0),25,0),IF($F37&gt;0,INDEX('calcA'!AZ$110:AZ$114,$F37+1)+IF(AND($E37=1,KM37=0),1000,0),MIN(TW37,20)*400+(IF('calcA'!AZ$106=1,1-EY37,0))*150+13+'calcA'!AZ$5*100000+IF(AND($E37=1,KM37=0),50000,0))+IF($H37=1,INDEX('calcA'!$D$180:$EQ$219,$B37,49)*4000,0)-IF(AND($U37=1,'calcA'!AZ$117=1,EY37=0),2000,0))),1000000000))</f>
        <v/>
      </c>
      <c r="QC37">
        <f>IF($B37=0,1000000000,IF(INDEX('calcA'!$D$60:$EQ$99,$B37,50)*IF($W37=1,EY37+ABN37,EY37)=1,IF(AND($E37=2,IF($W37=1,AHC37,KN37)=0),1000000000,IF($V37=1,INDEX('calcA'!$D$130:$EQ$169,$B37,50)+IF(AND($E37=1,KN37=0),25,0),IF($F37&gt;0,INDEX('calcA'!BA$110:BA$114,$F37+1)+IF(AND($E37=1,KN37=0),1000,0),MIN(TW37,20)*400+(IF('calcA'!AZ$106=1,1-EX37,0)+IF('calcA'!BA$106=1,1-EZ37,0))*150+23+'calcA'!BA$5*100000+IF(AND($E37=1,KN37=0),50000,0))+IF($H37=1,INDEX('calcA'!$D$180:$EQ$219,$B37,50)*4000,0)-IF(AND('calcA'!AZ$117=1,VX37&gt;0),2000,0)-IF(AND($U37=1,'calcA'!BA$117=1,EZ37=0),2000,0))),1000000000))</f>
        <v/>
      </c>
      <c r="QD37">
        <f>IF($B37=0,1000000000,IF(INDEX('calcA'!$D$60:$EQ$99,$B37,51)*IF($W37=1,EZ37+ABO37,EZ37)=1,IF(AND($E37=2,IF($W37=1,AHD37,KO37)=0),1000000000,IF($V37=1,INDEX('calcA'!$D$130:$EQ$169,$B37,51)+IF(AND($E37=1,KO37=0),25,0),IF($F37&gt;0,INDEX('calcA'!BB$110:BB$114,$F37+1)+IF(AND($E37=1,KO37=0),1000,0),MIN(TW37,20)*400+(IF('calcA'!BA$106=1,1-EY37,0)+IF('calcA'!BB$106=1,1-FA37,0))*150+33+'calcA'!BB$5*100000+IF(AND($E37=1,KO37=0),50000,0))+IF($H37=1,INDEX('calcA'!$D$180:$EQ$219,$B37,51)*4000,0)-IF(AND('calcA'!BA$117=1,VY37&gt;0),2000,0)-IF(AND($U37=1,'calcA'!BB$117=1,FA37=0),2000,0))),1000000000))</f>
        <v/>
      </c>
      <c r="QE37">
        <f>IF($B37=0,1000000000,IF(INDEX('calcA'!$D$60:$EQ$99,$B37,52)*IF($W37=1,FA37+ABP37,FA37)=1,IF(AND($E37=2,IF($W37=1,AHE37,KP37)=0),1000000000,IF($V37=1,INDEX('calcA'!$D$130:$EQ$169,$B37,52)+IF(AND($E37=1,KP37=0),25,0),IF($F37&gt;0,INDEX('calcA'!BC$110:BC$114,$F37+1)+IF(AND($E37=1,KP37=0),1000,0),MIN(TW37,20)*400+(IF('calcA'!BB$106=1,1-EZ37,0)+IF('calcA'!BC$106=1,1-FB37,0))*150+43+'calcA'!BC$5*100000+IF(AND($E37=1,KP37=0),50000,0))+IF($H37=1,INDEX('calcA'!$D$180:$EQ$219,$B37,52)*4000,0)-IF(AND('calcA'!BB$117=1,VZ37&gt;0),2000,0)-IF(AND($U37=1,'calcA'!BC$117=1,FB37=0),2000,0))),1000000000))</f>
        <v/>
      </c>
      <c r="QF37">
        <f>IF($B37=0,1000000000,IF(INDEX('calcA'!$D$60:$EQ$99,$B37,53)*IF($W37=1,FB37+ABQ37,FB37)=1,IF(AND($E37=2,IF($W37=1,AHF37,KQ37)=0),1000000000,IF($V37=1,INDEX('calcA'!$D$130:$EQ$169,$B37,53)+IF(AND($E37=1,KQ37=0),25,0),IF($F37&gt;0,INDEX('calcA'!BD$110:BD$114,$F37+1)+IF(AND($E37=1,KQ37=0),1000,0),MIN(TW37,20)*400+(IF('calcA'!BC$106=1,1-FA37,0)+IF('calcA'!BD$106=1,1-FC37,0))*150+53+'calcA'!BD$5*100000+IF(AND($E37=1,KQ37=0),50000,0))+IF($H37=1,INDEX('calcA'!$D$180:$EQ$219,$B37,53)*4000,0)-IF(AND('calcA'!BC$117=1,WA37&gt;0),2000,0)-IF(AND($U37=1,'calcA'!BD$117=1,FC37=0),2000,0))),1000000000))</f>
        <v/>
      </c>
      <c r="QG37">
        <f>IF($B37=0,1000000000,IF(INDEX('calcA'!$D$60:$EQ$99,$B37,54)*IF($W37=1,FC37+ABR37,FC37)=1,IF(AND($E37=2,IF($W37=1,AHG37,KR37)=0),1000000000,IF($V37=1,INDEX('calcA'!$D$130:$EQ$169,$B37,54)+IF(AND($E37=1,KR37=0),25,0),IF($F37&gt;0,INDEX('calcA'!BE$110:BE$114,$F37+1)+IF(AND($E37=1,KR37=0),1000,0),MIN(TW37,20)*400+(IF('calcA'!BD$106=1,1-FB37,0)+IF('calcA'!BE$106=1,1-FD37,0))*150+63+'calcA'!BE$5*100000+IF(AND($E37=1,KR37=0),50000,0))+IF($H37=1,INDEX('calcA'!$D$180:$EQ$219,$B37,54)*4000,0)-IF(AND('calcA'!BD$117=1,WB37&gt;0),2000,0)-IF(AND($U37=1,'calcA'!BE$117=1,FD37=0),2000,0))),1000000000))</f>
        <v/>
      </c>
      <c r="QH37">
        <f>IF($B37=0,1000000000,IF(INDEX('calcA'!$D$60:$EQ$99,$B37,55)*IF($W37=1,FD37+ABS37,FD37)=1,IF(AND($E37=2,IF($W37=1,AHH37,KS37)=0),1000000000,IF($V37=1,INDEX('calcA'!$D$130:$EQ$169,$B37,55)+IF(AND($E37=1,KS37=0),25,0),IF($F37&gt;0,INDEX('calcA'!BF$110:BF$114,$F37+1)+IF(AND($E37=1,KS37=0),1000,0),MIN(TW37,20)*400+(IF('calcA'!BE$106=1,1-FC37,0)+IF('calcA'!BF$106=1,1-FE37,0))*150+73+'calcA'!BF$5*100000+IF(AND($E37=1,KS37=0),50000,0))+IF($H37=1,INDEX('calcA'!$D$180:$EQ$219,$B37,55)*4000,0)-IF(AND('calcA'!BE$117=1,WC37&gt;0),2000,0)-IF(AND($U37=1,'calcA'!BF$117=1,FE37=0),2000,0))),1000000000))</f>
        <v/>
      </c>
      <c r="QI37">
        <f>IF($B37=0,1000000000,IF(INDEX('calcA'!$D$60:$EQ$99,$B37,56)*IF($W37=1,FE37+ABT37,FE37)=1,IF(AND($E37=2,IF($W37=1,AHI37,KT37)=0),1000000000,IF($V37=1,INDEX('calcA'!$D$130:$EQ$169,$B37,56)+IF(AND($E37=1,KT37=0),25,0),IF($F37&gt;0,INDEX('calcA'!BG$110:BG$114,$F37+1)+IF(AND($E37=1,KT37=0),1000,0),MIN(TW37,20)*400+(IF('calcA'!BF$106=1,1-FD37,0)+IF('calcA'!BG$106=1,1-FF37,0))*150+83+'calcA'!BG$5*100000+IF(AND($E37=1,KT37=0),50000,0))+IF($H37=1,INDEX('calcA'!$D$180:$EQ$219,$B37,56)*4000,0)-IF(AND('calcA'!BF$117=1,WD37&gt;0),2000,0)-IF(AND($U37=1,'calcA'!BG$117=1,FF37=0),2000,0))),1000000000))</f>
        <v/>
      </c>
      <c r="QJ37">
        <f>IF($B37=0,1000000000,IF(INDEX('calcA'!$D$60:$EQ$99,$B37,57)*IF($W37=1,FF37+ABU37,FF37)=1,IF(AND($E37=2,IF($W37=1,AHJ37,KU37)=0),1000000000,IF($V37=1,INDEX('calcA'!$D$130:$EQ$169,$B37,57)+IF(AND($E37=1,KU37=0),25,0),IF($F37&gt;0,INDEX('calcA'!BH$110:BH$114,$F37+1)+IF(AND($E37=1,KU37=0),1000,0),MIN(TW37,20)*400+(IF('calcA'!BG$106=1,1-FE37,0)+IF('calcA'!BH$106=1,1-FG37,0))*150+93+'calcA'!BH$5*100000+IF(AND($E37=1,KU37=0),50000,0))+IF($H37=1,INDEX('calcA'!$D$180:$EQ$219,$B37,57)*4000,0)-IF(AND('calcA'!BG$117=1,WE37&gt;0),2000,0)-IF(AND($U37=1,'calcA'!BH$117=1,FG37=0),2000,0))),1000000000))</f>
        <v/>
      </c>
      <c r="QK37">
        <f>IF($B37=0,1000000000,IF(INDEX('calcA'!$D$60:$EQ$99,$B37,58)*IF($W37=1,FG37+ABV37,FG37)=1,IF(AND($E37=2,IF($W37=1,AHK37,KV37)=0),1000000000,IF($V37=1,INDEX('calcA'!$D$130:$EQ$169,$B37,58)+IF(AND($E37=1,KV37=0),25,0),IF($F37&gt;0,INDEX('calcA'!BI$110:BI$114,$F37+1)+IF(AND($E37=1,KV37=0),1000,0),MIN(TW37,20)*400+(IF('calcA'!BH$106=1,1-FF37,0)+IF('calcA'!BI$106=1,1-FH37,0))*150+103+'calcA'!BI$5*100000+IF(AND($E37=1,KV37=0),50000,0))+IF($H37=1,INDEX('calcA'!$D$180:$EQ$219,$B37,58)*4000,0)-IF(AND('calcA'!BH$117=1,WF37&gt;0),2000,0)-IF(AND($U37=1,'calcA'!BI$117=1,FH37=0),2000,0))),1000000000))</f>
        <v/>
      </c>
      <c r="QL37">
        <f>IF($B37=0,1000000000,IF(INDEX('calcA'!$D$60:$EQ$99,$B37,59)*IF($W37=1,FH37+ABW37,FH37)=1,IF(AND($E37=2,IF($W37=1,AHL37,KW37)=0),1000000000,IF($V37=1,INDEX('calcA'!$D$130:$EQ$169,$B37,59)+IF(AND($E37=1,KW37=0),25,0),IF($F37&gt;0,INDEX('calcA'!BJ$110:BJ$114,$F37+1)+IF(AND($E37=1,KW37=0),1000,0),MIN(TW37,20)*400+(IF('calcA'!BI$106=1,1-FG37,0)+IF('calcA'!BJ$106=1,1-FI37,0))*150+113+'calcA'!BJ$5*100000+IF(AND($E37=1,KW37=0),50000,0))+IF($H37=1,INDEX('calcA'!$D$180:$EQ$219,$B37,59)*4000,0)-IF(AND('calcA'!BI$117=1,WG37&gt;0),2000,0)-IF(AND($U37=1,'calcA'!BJ$117=1,FI37=0),2000,0))),1000000000))</f>
        <v/>
      </c>
      <c r="QM37">
        <f>IF($B37=0,1000000000,IF(INDEX('calcA'!$D$60:$EQ$99,$B37,60)*IF($W37=1,FI37+ABX37,FI37)=1,IF(AND($E37=2,IF($W37=1,AHM37,KX37)=0),1000000000,IF($V37=1,INDEX('calcA'!$D$130:$EQ$169,$B37,60)+IF(AND($E37=1,KX37=0),25,0),IF($F37&gt;0,INDEX('calcA'!BK$110:BK$114,$F37+1)+IF(AND($E37=1,KX37=0),1000,0),MIN(TW37,20)*400+(IF('calcA'!BJ$106=1,1-FH37,0)+IF('calcA'!BK$106=1,1-FJ37,0))*150+123+'calcA'!BK$5*100000+IF(AND($E37=1,KX37=0),50000,0))+IF($H37=1,INDEX('calcA'!$D$180:$EQ$219,$B37,60)*4000,0)-IF(AND('calcA'!BJ$117=1,WH37&gt;0),2000,0)-IF(AND($U37=1,'calcA'!BK$117=1,FJ37=0),2000,0))),1000000000))</f>
        <v/>
      </c>
      <c r="QN37">
        <f>IF($B37=0,1000000000,IF(INDEX('calcA'!$D$60:$EQ$99,$B37,61)*IF($W37=1,FJ37+ABY37,FJ37)=1,IF(AND($E37=2,IF($W37=1,AHN37,KY37)=0),1000000000,IF($V37=1,INDEX('calcA'!$D$130:$EQ$169,$B37,61)+IF(AND($E37=1,KY37=0),25,0),IF($F37&gt;0,INDEX('calcA'!BL$110:BL$114,$F37+1)+IF(AND($E37=1,KY37=0),1000,0),MIN(TW37,20)*400+(IF('calcA'!BK$106=1,1-FI37,0)+IF('calcA'!BL$106=1,1-FK37,0))*150+133+'calcA'!BL$5*100000+IF(AND($E37=1,KY37=0),50000,0))+IF($H37=1,INDEX('calcA'!$D$180:$EQ$219,$B37,61)*4000,0)-IF(AND('calcA'!BK$117=1,WI37&gt;0),2000,0)-IF(AND($U37=1,'calcA'!BL$117=1,FK37=0),2000,0))),1000000000))</f>
        <v/>
      </c>
      <c r="QO37">
        <f>IF($B37=0,1000000000,IF(INDEX('calcA'!$D$60:$EQ$99,$B37,62)*IF($W37=1,FK37+ABZ37,FK37)=1,IF(AND($E37=2,IF($W37=1,AHO37,KZ37)=0),1000000000,IF($V37=1,INDEX('calcA'!$D$130:$EQ$169,$B37,62)+IF(AND($E37=1,KZ37=0),25,0),IF($F37&gt;0,INDEX('calcA'!BM$110:BM$114,$F37+1)+IF(AND($E37=1,KZ37=0),1000,0),MIN(TW37,20)*400+(IF('calcA'!BL$106=1,1-FJ37,0)+IF('calcA'!BM$106=1,1-FL37,0))*150+143+'calcA'!BM$5*100000+IF(AND($E37=1,KZ37=0),50000,0))+IF($H37=1,INDEX('calcA'!$D$180:$EQ$219,$B37,62)*4000,0)-IF(AND('calcA'!BL$117=1,WJ37&gt;0),2000,0)-IF(AND($U37=1,'calcA'!BM$117=1,FL37=0),2000,0))),1000000000))</f>
        <v/>
      </c>
      <c r="QP37">
        <f>IF($B37=0,1000000000,IF(INDEX('calcA'!$D$60:$EQ$99,$B37,63)*IF($W37=1,FL37+ACA37,FL37)=1,IF(AND($E37=2,IF($W37=1,AHP37,LA37)=0),1000000000,IF($V37=1,INDEX('calcA'!$D$130:$EQ$169,$B37,63)+IF(AND($E37=1,LA37=0),25,0),IF($F37&gt;0,INDEX('calcA'!BN$110:BN$114,$F37+1)+IF(AND($E37=1,LA37=0),1000,0),MIN(TW37,20)*400+(IF('calcA'!BM$106=1,1-FK37,0)+IF('calcA'!BN$106=1,1-FM37,0))*150+153+'calcA'!BN$5*100000+IF(AND($E37=1,LA37=0),50000,0))+IF($H37=1,INDEX('calcA'!$D$180:$EQ$219,$B37,63)*4000,0)-IF(AND('calcA'!BM$117=1,WK37&gt;0),2000,0)-IF(AND($U37=1,'calcA'!BN$117=1,FM37=0),2000,0))),1000000000))</f>
        <v/>
      </c>
      <c r="QQ37">
        <f>IF($B37=0,1000000000,IF(INDEX('calcA'!$D$60:$EQ$99,$B37,64)*IF($W37=1,FM37+ACB37,FM37)=1,IF(AND($E37=2,IF($W37=1,AHQ37,LB37)=0),1000000000,IF($V37=1,INDEX('calcA'!$D$130:$EQ$169,$B37,64)+IF(AND($E37=1,LB37=0),25,0),IF($F37&gt;0,INDEX('calcA'!BO$110:BO$114,$F37+1)+IF(AND($E37=1,LB37=0),1000,0),MIN(TW37,20)*400+(IF('calcA'!BN$106=1,1-FL37,0)+IF('calcA'!BO$106=1,1-FN37,0))*150+163+'calcA'!BO$5*100000+IF(AND($E37=1,LB37=0),50000,0))+IF($H37=1,INDEX('calcA'!$D$180:$EQ$219,$B37,64)*4000,0)-IF(AND('calcA'!BN$117=1,WL37&gt;0),2000,0)-IF(AND($U37=1,'calcA'!BO$117=1,FN37=0),2000,0))),1000000000))</f>
        <v/>
      </c>
      <c r="QR37">
        <f>IF($B37=0,1000000000,IF(INDEX('calcA'!$D$60:$EQ$99,$B37,65)*IF($W37=1,FN37+ACC37,FN37)=1,IF(AND($E37=2,IF($W37=1,AHR37,LC37)=0),1000000000,IF($V37=1,INDEX('calcA'!$D$130:$EQ$169,$B37,65)+IF(AND($E37=1,LC37=0),25,0),IF($F37&gt;0,INDEX('calcA'!BP$110:BP$114,$F37+1)+IF(AND($E37=1,LC37=0),1000,0),MIN(TW37,20)*400+(IF('calcA'!BO$106=1,1-FM37,0)+IF('calcA'!BP$106=1,1-FO37,0))*150+173+'calcA'!BP$5*100000+IF(AND($E37=1,LC37=0),50000,0))+IF($H37=1,INDEX('calcA'!$D$180:$EQ$219,$B37,65)*4000,0)-IF(AND('calcA'!BO$117=1,WM37&gt;0),2000,0)-IF(AND($U37=1,'calcA'!BP$117=1,FO37=0),2000,0))),1000000000))</f>
        <v/>
      </c>
      <c r="QS37">
        <f>IF($B37=0,1000000000,IF(INDEX('calcA'!$D$60:$EQ$99,$B37,66)*IF($W37=1,FO37+ACD37,FO37)=1,IF(AND($E37=2,IF($W37=1,AHS37,LD37)=0),1000000000,IF($V37=1,INDEX('calcA'!$D$130:$EQ$169,$B37,66)+IF(AND($E37=1,LD37=0),25,0),IF($F37&gt;0,INDEX('calcA'!BQ$110:BQ$114,$F37+1)+IF(AND($E37=1,LD37=0),1000,0),MIN(TW37,20)*400+(IF('calcA'!BP$106=1,1-FN37,0)+IF('calcA'!BQ$106=1,1-FP37,0))*150+183+'calcA'!BQ$5*100000+IF(AND($E37=1,LD37=0),50000,0))+IF($H37=1,INDEX('calcA'!$D$180:$EQ$219,$B37,66)*4000,0)-IF(AND('calcA'!BP$117=1,WN37&gt;0),2000,0)-IF(AND($U37=1,'calcA'!BQ$117=1,FP37=0),2000,0))),1000000000))</f>
        <v/>
      </c>
      <c r="QT37">
        <f>IF($B37=0,1000000000,IF(INDEX('calcA'!$D$60:$EQ$99,$B37,67)*IF($W37=1,FP37+ACE37,FP37)=1,IF(AND($E37=2,IF($W37=1,AHT37,LE37)=0),1000000000,IF($V37=1,INDEX('calcA'!$D$130:$EQ$169,$B37,67)+IF(AND($E37=1,LE37=0),25,0),IF($F37&gt;0,INDEX('calcA'!BR$110:BR$114,$F37+1)+IF(AND($E37=1,LE37=0),1000,0),MIN(TW37,20)*400+(IF('calcA'!BQ$106=1,1-FO37,0)+IF('calcA'!BR$106=1,1-FQ37,0))*150+193+'calcA'!BR$5*100000+IF(AND($E37=1,LE37=0),50000,0))+IF($H37=1,INDEX('calcA'!$D$180:$EQ$219,$B37,67)*4000,0)-IF(AND('calcA'!BQ$117=1,WO37&gt;0),2000,0)-IF(AND($U37=1,'calcA'!BR$117=1,FQ37=0),2000,0))),1000000000))</f>
        <v/>
      </c>
      <c r="QU37">
        <f>IF($B37=0,1000000000,IF(INDEX('calcA'!$D$60:$EQ$99,$B37,68)*IF($W37=1,FQ37+ACF37,FQ37)=1,IF(AND($E37=2,IF($W37=1,AHU37,LF37)=0),1000000000,IF($V37=1,INDEX('calcA'!$D$130:$EQ$169,$B37,68)+IF(AND($E37=1,LF37=0),25,0),IF($F37&gt;0,INDEX('calcA'!BS$110:BS$114,$F37+1)+IF(AND($E37=1,LF37=0),1000,0),MIN(TW37,20)*400+(IF('calcA'!BR$106=1,1-FP37,0)+IF('calcA'!BS$106=1,1-FR37,0))*150+203+'calcA'!BS$5*100000+IF(AND($E37=1,LF37=0),50000,0))+IF($H37=1,INDEX('calcA'!$D$180:$EQ$219,$B37,68)*4000,0)-IF(AND('calcA'!BR$117=1,WP37&gt;0),2000,0)-IF(AND($U37=1,'calcA'!BS$117=1,FR37=0),2000,0))),1000000000))</f>
        <v/>
      </c>
      <c r="QV37">
        <f>IF($B37=0,1000000000,IF(INDEX('calcA'!$D$60:$EQ$99,$B37,69)*IF($W37=1,FR37+ACG37,FR37)=1,IF(AND($E37=2,IF($W37=1,AHV37,LG37)=0),1000000000,IF($V37=1,INDEX('calcA'!$D$130:$EQ$169,$B37,69)+IF(AND($E37=1,LG37=0),25,0),IF($F37&gt;0,INDEX('calcA'!BT$110:BT$114,$F37+1)+IF(AND($E37=1,LG37=0),1000,0),MIN(TW37,20)*400+(IF('calcA'!BS$106=1,1-FQ37,0)+IF('calcA'!BT$106=1,1-FS37,0))*150+213+'calcA'!BT$5*100000+IF(AND($E37=1,LG37=0),50000,0))+IF($H37=1,INDEX('calcA'!$D$180:$EQ$219,$B37,69)*4000,0)-IF(AND('calcA'!BS$117=1,WQ37&gt;0),2000,0)-IF(AND($U37=1,'calcA'!BT$117=1,FS37=0),2000,0))),1000000000))</f>
        <v/>
      </c>
      <c r="QW37">
        <f>IF($B37=0,1000000000,IF(INDEX('calcA'!$D$60:$EQ$99,$B37,70)*IF($W37=1,FS37+ACH37,FS37)=1,IF(AND($E37=2,IF($W37=1,AHW37,LH37)=0),1000000000,IF($V37=1,INDEX('calcA'!$D$130:$EQ$169,$B37,70)+IF(AND($E37=1,LH37=0),25,0),IF($F37&gt;0,INDEX('calcA'!BU$110:BU$114,$F37+1)+IF(AND($E37=1,LH37=0),1000,0),MIN(TW37,20)*400+(IF('calcA'!BT$106=1,1-FR37,0)+IF('calcA'!BU$106=1,1-FT37,0))*150+223+'calcA'!BU$5*100000+IF(AND($E37=1,LH37=0),50000,0))+IF($H37=1,INDEX('calcA'!$D$180:$EQ$219,$B37,70)*4000,0)-IF(AND('calcA'!BT$117=1,WR37&gt;0),2000,0)-IF(AND($U37=1,'calcA'!BU$117=1,FT37=0),2000,0))),1000000000))</f>
        <v/>
      </c>
      <c r="QX37">
        <f>IF($B37=0,1000000000,IF(INDEX('calcA'!$D$60:$EQ$99,$B37,71)*IF($W37=1,FT37+ACI37,FT37)=1,IF(AND($E37=2,IF($W37=1,AHX37,LI37)=0),1000000000,IF($V37=1,INDEX('calcA'!$D$130:$EQ$169,$B37,71)+IF(AND($E37=1,LI37=0),25,0),IF($F37&gt;0,INDEX('calcA'!BV$110:BV$114,$F37+1)+IF(AND($E37=1,LI37=0),1000,0),MIN(TW37,20)*400+(IF('calcA'!BU$106=1,1-FS37,0)+IF('calcA'!BV$106=1,1-FU37,0))*150+233+'calcA'!BV$5*100000+IF(AND($E37=1,LI37=0),50000,0))+IF($H37=1,INDEX('calcA'!$D$180:$EQ$219,$B37,71)*4000,0)-IF(AND('calcA'!BU$117=1,WS37&gt;0),2000,0)-IF(AND($U37=1,'calcA'!BV$117=1,FU37=0),2000,0))),1000000000))</f>
        <v/>
      </c>
      <c r="QY37">
        <f>IF($B37=0,1000000000,IF(INDEX('calcA'!$D$60:$EQ$99,$B37,72)*IF($W37=1,FU37+ACJ37,FU37)=1,IF(AND($E37=2,IF($W37=1,AHY37,LJ37)=0),1000000000,IF($V37=1,INDEX('calcA'!$D$130:$EQ$169,$B37,72)+IF(AND($E37=1,LJ37=0),25,0),IF($F37&gt;0,INDEX('calcA'!BW$110:BW$114,$F37+1)+IF(AND($E37=1,LJ37=0),1000,0),MIN(TW37,20)*400+(IF('calcA'!BV$106=1,1-FT37,0))*150+243+'calcA'!BW$5*100000+IF(AND($E37=1,LJ37=0),50000,0))+IF($H37=1,INDEX('calcA'!$D$180:$EQ$219,$B37,72)*4000,0)-IF(AND('calcA'!BV$117=1,WT37&gt;0),2000,0))),1000000000))</f>
        <v/>
      </c>
      <c r="QZ37">
        <f>IF($B37=0,1000000000,IF(INDEX('calcA'!$D$60:$EQ$99,$B37,73)*IF($W37=1,FV37+ACK37,FV37)=1,IF(AND($E37=2,IF($W37=1,AHZ37,LK37)=0),1000000000,IF($V37=1,INDEX('calcA'!$D$130:$EQ$169,$B37,73)+IF(AND($E37=1,LK37=0),25,0),IF($F37&gt;0,INDEX('calcA'!BX$110:BX$114,$F37+1)+IF(AND($E37=1,LK37=0),1000,0),MIN(TX37,20)*400+(IF('calcA'!BX$106=1,1-FW37,0))*150+14+'calcA'!BX$5*100000+IF(AND($E37=1,LK37=0),50000,0))+IF($H37=1,INDEX('calcA'!$D$180:$EQ$219,$B37,73)*4000,0)-IF(AND($U37=1,'calcA'!BX$117=1,FW37=0),2000,0))),1000000000))</f>
        <v/>
      </c>
      <c r="RA37">
        <f>IF($B37=0,1000000000,IF(INDEX('calcA'!$D$60:$EQ$99,$B37,74)*IF($W37=1,FW37+ACL37,FW37)=1,IF(AND($E37=2,IF($W37=1,AIA37,LL37)=0),1000000000,IF($V37=1,INDEX('calcA'!$D$130:$EQ$169,$B37,74)+IF(AND($E37=1,LL37=0),25,0),IF($F37&gt;0,INDEX('calcA'!BY$110:BY$114,$F37+1)+IF(AND($E37=1,LL37=0),1000,0),MIN(TX37,20)*400+(IF('calcA'!BX$106=1,1-FV37,0)+IF('calcA'!BY$106=1,1-FX37,0))*150+24+'calcA'!BY$5*100000+IF(AND($E37=1,LL37=0),50000,0))+IF($H37=1,INDEX('calcA'!$D$180:$EQ$219,$B37,74)*4000,0)-IF(AND('calcA'!BX$117=1,WV37&gt;0),2000,0)-IF(AND($U37=1,'calcA'!BY$117=1,FX37=0),2000,0))),1000000000))</f>
        <v/>
      </c>
      <c r="RB37">
        <f>IF($B37=0,1000000000,IF(INDEX('calcA'!$D$60:$EQ$99,$B37,75)*IF($W37=1,FX37+ACM37,FX37)=1,IF(AND($E37=2,IF($W37=1,AIB37,LM37)=0),1000000000,IF($V37=1,INDEX('calcA'!$D$130:$EQ$169,$B37,75)+IF(AND($E37=1,LM37=0),25,0),IF($F37&gt;0,INDEX('calcA'!BZ$110:BZ$114,$F37+1)+IF(AND($E37=1,LM37=0),1000,0),MIN(TX37,20)*400+(IF('calcA'!BY$106=1,1-FW37,0)+IF('calcA'!BZ$106=1,1-FY37,0))*150+34+'calcA'!BZ$5*100000+IF(AND($E37=1,LM37=0),50000,0))+IF($H37=1,INDEX('calcA'!$D$180:$EQ$219,$B37,75)*4000,0)-IF(AND('calcA'!BY$117=1,WW37&gt;0),2000,0)-IF(AND($U37=1,'calcA'!BZ$117=1,FY37=0),2000,0))),1000000000))</f>
        <v/>
      </c>
      <c r="RC37">
        <f>IF($B37=0,1000000000,IF(INDEX('calcA'!$D$60:$EQ$99,$B37,76)*IF($W37=1,FY37+ACN37,FY37)=1,IF(AND($E37=2,IF($W37=1,AIC37,LN37)=0),1000000000,IF($V37=1,INDEX('calcA'!$D$130:$EQ$169,$B37,76)+IF(AND($E37=1,LN37=0),25,0),IF($F37&gt;0,INDEX('calcA'!CA$110:CA$114,$F37+1)+IF(AND($E37=1,LN37=0),1000,0),MIN(TX37,20)*400+(IF('calcA'!BZ$106=1,1-FX37,0)+IF('calcA'!CA$106=1,1-FZ37,0))*150+44+'calcA'!CA$5*100000+IF(AND($E37=1,LN37=0),50000,0))+IF($H37=1,INDEX('calcA'!$D$180:$EQ$219,$B37,76)*4000,0)-IF(AND('calcA'!BZ$117=1,WX37&gt;0),2000,0)-IF(AND($U37=1,'calcA'!CA$117=1,FZ37=0),2000,0))),1000000000))</f>
        <v/>
      </c>
      <c r="RD37">
        <f>IF($B37=0,1000000000,IF(INDEX('calcA'!$D$60:$EQ$99,$B37,77)*IF($W37=1,FZ37+ACO37,FZ37)=1,IF(AND($E37=2,IF($W37=1,AID37,LO37)=0),1000000000,IF($V37=1,INDEX('calcA'!$D$130:$EQ$169,$B37,77)+IF(AND($E37=1,LO37=0),25,0),IF($F37&gt;0,INDEX('calcA'!CB$110:CB$114,$F37+1)+IF(AND($E37=1,LO37=0),1000,0),MIN(TX37,20)*400+(IF('calcA'!CA$106=1,1-FY37,0)+IF('calcA'!CB$106=1,1-GA37,0))*150+54+'calcA'!CB$5*100000+IF(AND($E37=1,LO37=0),50000,0))+IF($H37=1,INDEX('calcA'!$D$180:$EQ$219,$B37,77)*4000,0)-IF(AND('calcA'!CA$117=1,WY37&gt;0),2000,0)-IF(AND($U37=1,'calcA'!CB$117=1,GA37=0),2000,0))),1000000000))</f>
        <v/>
      </c>
      <c r="RE37">
        <f>IF($B37=0,1000000000,IF(INDEX('calcA'!$D$60:$EQ$99,$B37,78)*IF($W37=1,GA37+ACP37,GA37)=1,IF(AND($E37=2,IF($W37=1,AIE37,LP37)=0),1000000000,IF($V37=1,INDEX('calcA'!$D$130:$EQ$169,$B37,78)+IF(AND($E37=1,LP37=0),25,0),IF($F37&gt;0,INDEX('calcA'!CC$110:CC$114,$F37+1)+IF(AND($E37=1,LP37=0),1000,0),MIN(TX37,20)*400+(IF('calcA'!CB$106=1,1-FZ37,0)+IF('calcA'!CC$106=1,1-GB37,0))*150+64+'calcA'!CC$5*100000+IF(AND($E37=1,LP37=0),50000,0))+IF($H37=1,INDEX('calcA'!$D$180:$EQ$219,$B37,78)*4000,0)-IF(AND('calcA'!CB$117=1,WZ37&gt;0),2000,0)-IF(AND($U37=1,'calcA'!CC$117=1,GB37=0),2000,0))),1000000000))</f>
        <v/>
      </c>
      <c r="RF37">
        <f>IF($B37=0,1000000000,IF(INDEX('calcA'!$D$60:$EQ$99,$B37,79)*IF($W37=1,GB37+ACQ37,GB37)=1,IF(AND($E37=2,IF($W37=1,AIF37,LQ37)=0),1000000000,IF($V37=1,INDEX('calcA'!$D$130:$EQ$169,$B37,79)+IF(AND($E37=1,LQ37=0),25,0),IF($F37&gt;0,INDEX('calcA'!CD$110:CD$114,$F37+1)+IF(AND($E37=1,LQ37=0),1000,0),MIN(TX37,20)*400+(IF('calcA'!CC$106=1,1-GA37,0)+IF('calcA'!CD$106=1,1-GC37,0))*150+74+'calcA'!CD$5*100000+IF(AND($E37=1,LQ37=0),50000,0))+IF($H37=1,INDEX('calcA'!$D$180:$EQ$219,$B37,79)*4000,0)-IF(AND('calcA'!CC$117=1,XA37&gt;0),2000,0)-IF(AND($U37=1,'calcA'!CD$117=1,GC37=0),2000,0))),1000000000))</f>
        <v/>
      </c>
      <c r="RG37">
        <f>IF($B37=0,1000000000,IF(INDEX('calcA'!$D$60:$EQ$99,$B37,80)*IF($W37=1,GC37+ACR37,GC37)=1,IF(AND($E37=2,IF($W37=1,AIG37,LR37)=0),1000000000,IF($V37=1,INDEX('calcA'!$D$130:$EQ$169,$B37,80)+IF(AND($E37=1,LR37=0),25,0),IF($F37&gt;0,INDEX('calcA'!CE$110:CE$114,$F37+1)+IF(AND($E37=1,LR37=0),1000,0),MIN(TX37,20)*400+(IF('calcA'!CD$106=1,1-GB37,0)+IF('calcA'!CE$106=1,1-GD37,0))*150+84+'calcA'!CE$5*100000+IF(AND($E37=1,LR37=0),50000,0))+IF($H37=1,INDEX('calcA'!$D$180:$EQ$219,$B37,80)*4000,0)-IF(AND('calcA'!CD$117=1,XB37&gt;0),2000,0)-IF(AND($U37=1,'calcA'!CE$117=1,GD37=0),2000,0))),1000000000))</f>
        <v/>
      </c>
      <c r="RH37">
        <f>IF($B37=0,1000000000,IF(INDEX('calcA'!$D$60:$EQ$99,$B37,81)*IF($W37=1,GD37+ACS37,GD37)=1,IF(AND($E37=2,IF($W37=1,AIH37,LS37)=0),1000000000,IF($V37=1,INDEX('calcA'!$D$130:$EQ$169,$B37,81)+IF(AND($E37=1,LS37=0),25,0),IF($F37&gt;0,INDEX('calcA'!CF$110:CF$114,$F37+1)+IF(AND($E37=1,LS37=0),1000,0),MIN(TX37,20)*400+(IF('calcA'!CE$106=1,1-GC37,0)+IF('calcA'!CF$106=1,1-GE37,0))*150+94+'calcA'!CF$5*100000+IF(AND($E37=1,LS37=0),50000,0))+IF($H37=1,INDEX('calcA'!$D$180:$EQ$219,$B37,81)*4000,0)-IF(AND('calcA'!CE$117=1,XC37&gt;0),2000,0)-IF(AND($U37=1,'calcA'!CF$117=1,GE37=0),2000,0))),1000000000))</f>
        <v/>
      </c>
      <c r="RI37">
        <f>IF($B37=0,1000000000,IF(INDEX('calcA'!$D$60:$EQ$99,$B37,82)*IF($W37=1,GE37+ACT37,GE37)=1,IF(AND($E37=2,IF($W37=1,AII37,LT37)=0),1000000000,IF($V37=1,INDEX('calcA'!$D$130:$EQ$169,$B37,82)+IF(AND($E37=1,LT37=0),25,0),IF($F37&gt;0,INDEX('calcA'!CG$110:CG$114,$F37+1)+IF(AND($E37=1,LT37=0),1000,0),MIN(TX37,20)*400+(IF('calcA'!CF$106=1,1-GD37,0)+IF('calcA'!CG$106=1,1-GF37,0))*150+104+'calcA'!CG$5*100000+IF(AND($E37=1,LT37=0),50000,0))+IF($H37=1,INDEX('calcA'!$D$180:$EQ$219,$B37,82)*4000,0)-IF(AND('calcA'!CF$117=1,XD37&gt;0),2000,0)-IF(AND($U37=1,'calcA'!CG$117=1,GF37=0),2000,0))),1000000000))</f>
        <v/>
      </c>
      <c r="RJ37">
        <f>IF($B37=0,1000000000,IF(INDEX('calcA'!$D$60:$EQ$99,$B37,83)*IF($W37=1,GF37+ACU37,GF37)=1,IF(AND($E37=2,IF($W37=1,AIJ37,LU37)=0),1000000000,IF($V37=1,INDEX('calcA'!$D$130:$EQ$169,$B37,83)+IF(AND($E37=1,LU37=0),25,0),IF($F37&gt;0,INDEX('calcA'!CH$110:CH$114,$F37+1)+IF(AND($E37=1,LU37=0),1000,0),MIN(TX37,20)*400+(IF('calcA'!CG$106=1,1-GE37,0)+IF('calcA'!CH$106=1,1-GG37,0))*150+114+'calcA'!CH$5*100000+IF(AND($E37=1,LU37=0),50000,0))+IF($H37=1,INDEX('calcA'!$D$180:$EQ$219,$B37,83)*4000,0)-IF(AND('calcA'!CG$117=1,XE37&gt;0),2000,0)-IF(AND($U37=1,'calcA'!CH$117=1,GG37=0),2000,0))),1000000000))</f>
        <v/>
      </c>
      <c r="RK37">
        <f>IF($B37=0,1000000000,IF(INDEX('calcA'!$D$60:$EQ$99,$B37,84)*IF($W37=1,GG37+ACV37,GG37)=1,IF(AND($E37=2,IF($W37=1,AIK37,LV37)=0),1000000000,IF($V37=1,INDEX('calcA'!$D$130:$EQ$169,$B37,84)+IF(AND($E37=1,LV37=0),25,0),IF($F37&gt;0,INDEX('calcA'!CI$110:CI$114,$F37+1)+IF(AND($E37=1,LV37=0),1000,0),MIN(TX37,20)*400+(IF('calcA'!CH$106=1,1-GF37,0)+IF('calcA'!CI$106=1,1-GH37,0))*150+124+'calcA'!CI$5*100000+IF(AND($E37=1,LV37=0),50000,0))+IF($H37=1,INDEX('calcA'!$D$180:$EQ$219,$B37,84)*4000,0)-IF(AND('calcA'!CH$117=1,XF37&gt;0),2000,0)-IF(AND($U37=1,'calcA'!CI$117=1,GH37=0),2000,0))),1000000000))</f>
        <v/>
      </c>
      <c r="RL37">
        <f>IF($B37=0,1000000000,IF(INDEX('calcA'!$D$60:$EQ$99,$B37,85)*IF($W37=1,GH37+ACW37,GH37)=1,IF(AND($E37=2,IF($W37=1,AIL37,LW37)=0),1000000000,IF($V37=1,INDEX('calcA'!$D$130:$EQ$169,$B37,85)+IF(AND($E37=1,LW37=0),25,0),IF($F37&gt;0,INDEX('calcA'!CJ$110:CJ$114,$F37+1)+IF(AND($E37=1,LW37=0),1000,0),MIN(TX37,20)*400+(IF('calcA'!CI$106=1,1-GG37,0)+IF('calcA'!CJ$106=1,1-GI37,0))*150+134+'calcA'!CJ$5*100000+IF(AND($E37=1,LW37=0),50000,0))+IF($H37=1,INDEX('calcA'!$D$180:$EQ$219,$B37,85)*4000,0)-IF(AND('calcA'!CI$117=1,XG37&gt;0),2000,0)-IF(AND($U37=1,'calcA'!CJ$117=1,GI37=0),2000,0))),1000000000))</f>
        <v/>
      </c>
      <c r="RM37">
        <f>IF($B37=0,1000000000,IF(INDEX('calcA'!$D$60:$EQ$99,$B37,86)*IF($W37=1,GI37+ACX37,GI37)=1,IF(AND($E37=2,IF($W37=1,AIM37,LX37)=0),1000000000,IF($V37=1,INDEX('calcA'!$D$130:$EQ$169,$B37,86)+IF(AND($E37=1,LX37=0),25,0),IF($F37&gt;0,INDEX('calcA'!CK$110:CK$114,$F37+1)+IF(AND($E37=1,LX37=0),1000,0),MIN(TX37,20)*400+(IF('calcA'!CJ$106=1,1-GH37,0)+IF('calcA'!CK$106=1,1-GJ37,0))*150+144+'calcA'!CK$5*100000+IF(AND($E37=1,LX37=0),50000,0))+IF($H37=1,INDEX('calcA'!$D$180:$EQ$219,$B37,86)*4000,0)-IF(AND('calcA'!CJ$117=1,XH37&gt;0),2000,0)-IF(AND($U37=1,'calcA'!CK$117=1,GJ37=0),2000,0))),1000000000))</f>
        <v/>
      </c>
      <c r="RN37">
        <f>IF($B37=0,1000000000,IF(INDEX('calcA'!$D$60:$EQ$99,$B37,87)*IF($W37=1,GJ37+ACY37,GJ37)=1,IF(AND($E37=2,IF($W37=1,AIN37,LY37)=0),1000000000,IF($V37=1,INDEX('calcA'!$D$130:$EQ$169,$B37,87)+IF(AND($E37=1,LY37=0),25,0),IF($F37&gt;0,INDEX('calcA'!CL$110:CL$114,$F37+1)+IF(AND($E37=1,LY37=0),1000,0),MIN(TX37,20)*400+(IF('calcA'!CK$106=1,1-GI37,0)+IF('calcA'!CL$106=1,1-GK37,0))*150+154+'calcA'!CL$5*100000+IF(AND($E37=1,LY37=0),50000,0))+IF($H37=1,INDEX('calcA'!$D$180:$EQ$219,$B37,87)*4000,0)-IF(AND('calcA'!CK$117=1,XI37&gt;0),2000,0)-IF(AND($U37=1,'calcA'!CL$117=1,GK37=0),2000,0))),1000000000))</f>
        <v/>
      </c>
      <c r="RO37">
        <f>IF($B37=0,1000000000,IF(INDEX('calcA'!$D$60:$EQ$99,$B37,88)*IF($W37=1,GK37+ACZ37,GK37)=1,IF(AND($E37=2,IF($W37=1,AIO37,LZ37)=0),1000000000,IF($V37=1,INDEX('calcA'!$D$130:$EQ$169,$B37,88)+IF(AND($E37=1,LZ37=0),25,0),IF($F37&gt;0,INDEX('calcA'!CM$110:CM$114,$F37+1)+IF(AND($E37=1,LZ37=0),1000,0),MIN(TX37,20)*400+(IF('calcA'!CL$106=1,1-GJ37,0)+IF('calcA'!CM$106=1,1-GL37,0))*150+164+'calcA'!CM$5*100000+IF(AND($E37=1,LZ37=0),50000,0))+IF($H37=1,INDEX('calcA'!$D$180:$EQ$219,$B37,88)*4000,0)-IF(AND('calcA'!CL$117=1,XJ37&gt;0),2000,0)-IF(AND($U37=1,'calcA'!CM$117=1,GL37=0),2000,0))),1000000000))</f>
        <v/>
      </c>
      <c r="RP37">
        <f>IF($B37=0,1000000000,IF(INDEX('calcA'!$D$60:$EQ$99,$B37,89)*IF($W37=1,GL37+ADA37,GL37)=1,IF(AND($E37=2,IF($W37=1,AIP37,MA37)=0),1000000000,IF($V37=1,INDEX('calcA'!$D$130:$EQ$169,$B37,89)+IF(AND($E37=1,MA37=0),25,0),IF($F37&gt;0,INDEX('calcA'!CN$110:CN$114,$F37+1)+IF(AND($E37=1,MA37=0),1000,0),MIN(TX37,20)*400+(IF('calcA'!CM$106=1,1-GK37,0)+IF('calcA'!CN$106=1,1-GM37,0))*150+174+'calcA'!CN$5*100000+IF(AND($E37=1,MA37=0),50000,0))+IF($H37=1,INDEX('calcA'!$D$180:$EQ$219,$B37,89)*4000,0)-IF(AND('calcA'!CM$117=1,XK37&gt;0),2000,0)-IF(AND($U37=1,'calcA'!CN$117=1,GM37=0),2000,0))),1000000000))</f>
        <v/>
      </c>
      <c r="RQ37">
        <f>IF($B37=0,1000000000,IF(INDEX('calcA'!$D$60:$EQ$99,$B37,90)*IF($W37=1,GM37+ADB37,GM37)=1,IF(AND($E37=2,IF($W37=1,AIQ37,MB37)=0),1000000000,IF($V37=1,INDEX('calcA'!$D$130:$EQ$169,$B37,90)+IF(AND($E37=1,MB37=0),25,0),IF($F37&gt;0,INDEX('calcA'!CO$110:CO$114,$F37+1)+IF(AND($E37=1,MB37=0),1000,0),MIN(TX37,20)*400+(IF('calcA'!CN$106=1,1-GL37,0)+IF('calcA'!CO$106=1,1-GN37,0))*150+184+'calcA'!CO$5*100000+IF(AND($E37=1,MB37=0),50000,0))+IF($H37=1,INDEX('calcA'!$D$180:$EQ$219,$B37,90)*4000,0)-IF(AND('calcA'!CN$117=1,XL37&gt;0),2000,0)-IF(AND($U37=1,'calcA'!CO$117=1,GN37=0),2000,0))),1000000000))</f>
        <v/>
      </c>
      <c r="RR37">
        <f>IF($B37=0,1000000000,IF(INDEX('calcA'!$D$60:$EQ$99,$B37,91)*IF($W37=1,GN37+ADC37,GN37)=1,IF(AND($E37=2,IF($W37=1,AIR37,MC37)=0),1000000000,IF($V37=1,INDEX('calcA'!$D$130:$EQ$169,$B37,91)+IF(AND($E37=1,MC37=0),25,0),IF($F37&gt;0,INDEX('calcA'!CP$110:CP$114,$F37+1)+IF(AND($E37=1,MC37=0),1000,0),MIN(TX37,20)*400+(IF('calcA'!CO$106=1,1-GM37,0)+IF('calcA'!CP$106=1,1-GO37,0))*150+194+'calcA'!CP$5*100000+IF(AND($E37=1,MC37=0),50000,0))+IF($H37=1,INDEX('calcA'!$D$180:$EQ$219,$B37,91)*4000,0)-IF(AND('calcA'!CO$117=1,XM37&gt;0),2000,0)-IF(AND($U37=1,'calcA'!CP$117=1,GO37=0),2000,0))),1000000000))</f>
        <v/>
      </c>
      <c r="RS37">
        <f>IF($B37=0,1000000000,IF(INDEX('calcA'!$D$60:$EQ$99,$B37,92)*IF($W37=1,GO37+ADD37,GO37)=1,IF(AND($E37=2,IF($W37=1,AIS37,MD37)=0),1000000000,IF($V37=1,INDEX('calcA'!$D$130:$EQ$169,$B37,92)+IF(AND($E37=1,MD37=0),25,0),IF($F37&gt;0,INDEX('calcA'!CQ$110:CQ$114,$F37+1)+IF(AND($E37=1,MD37=0),1000,0),MIN(TX37,20)*400+(IF('calcA'!CP$106=1,1-GN37,0)+IF('calcA'!CQ$106=1,1-GP37,0))*150+204+'calcA'!CQ$5*100000+IF(AND($E37=1,MD37=0),50000,0))+IF($H37=1,INDEX('calcA'!$D$180:$EQ$219,$B37,92)*4000,0)-IF(AND('calcA'!CP$117=1,XN37&gt;0),2000,0)-IF(AND($U37=1,'calcA'!CQ$117=1,GP37=0),2000,0))),1000000000))</f>
        <v/>
      </c>
      <c r="RT37">
        <f>IF($B37=0,1000000000,IF(INDEX('calcA'!$D$60:$EQ$99,$B37,93)*IF($W37=1,GP37+ADE37,GP37)=1,IF(AND($E37=2,IF($W37=1,AIT37,ME37)=0),1000000000,IF($V37=1,INDEX('calcA'!$D$130:$EQ$169,$B37,93)+IF(AND($E37=1,ME37=0),25,0),IF($F37&gt;0,INDEX('calcA'!CR$110:CR$114,$F37+1)+IF(AND($E37=1,ME37=0),1000,0),MIN(TX37,20)*400+(IF('calcA'!CQ$106=1,1-GO37,0)+IF('calcA'!CR$106=1,1-GQ37,0))*150+214+'calcA'!CR$5*100000+IF(AND($E37=1,ME37=0),50000,0))+IF($H37=1,INDEX('calcA'!$D$180:$EQ$219,$B37,93)*4000,0)-IF(AND('calcA'!CQ$117=1,XO37&gt;0),2000,0)-IF(AND($U37=1,'calcA'!CR$117=1,GQ37=0),2000,0))),1000000000))</f>
        <v/>
      </c>
      <c r="RU37">
        <f>IF($B37=0,1000000000,IF(INDEX('calcA'!$D$60:$EQ$99,$B37,94)*IF($W37=1,GQ37+ADF37,GQ37)=1,IF(AND($E37=2,IF($W37=1,AIU37,MF37)=0),1000000000,IF($V37=1,INDEX('calcA'!$D$130:$EQ$169,$B37,94)+IF(AND($E37=1,MF37=0),25,0),IF($F37&gt;0,INDEX('calcA'!CS$110:CS$114,$F37+1)+IF(AND($E37=1,MF37=0),1000,0),MIN(TX37,20)*400+(IF('calcA'!CR$106=1,1-GP37,0)+IF('calcA'!CS$106=1,1-GR37,0))*150+224+'calcA'!CS$5*100000+IF(AND($E37=1,MF37=0),50000,0))+IF($H37=1,INDEX('calcA'!$D$180:$EQ$219,$B37,94)*4000,0)-IF(AND('calcA'!CR$117=1,XP37&gt;0),2000,0)-IF(AND($U37=1,'calcA'!CS$117=1,GR37=0),2000,0))),1000000000))</f>
        <v/>
      </c>
      <c r="RV37">
        <f>IF($B37=0,1000000000,IF(INDEX('calcA'!$D$60:$EQ$99,$B37,95)*IF($W37=1,GR37+ADG37,GR37)=1,IF(AND($E37=2,IF($W37=1,AIV37,MG37)=0),1000000000,IF($V37=1,INDEX('calcA'!$D$130:$EQ$169,$B37,95)+IF(AND($E37=1,MG37=0),25,0),IF($F37&gt;0,INDEX('calcA'!CT$110:CT$114,$F37+1)+IF(AND($E37=1,MG37=0),1000,0),MIN(TX37,20)*400+(IF('calcA'!CS$106=1,1-GQ37,0)+IF('calcA'!CT$106=1,1-GS37,0))*150+234+'calcA'!CT$5*100000+IF(AND($E37=1,MG37=0),50000,0))+IF($H37=1,INDEX('calcA'!$D$180:$EQ$219,$B37,95)*4000,0)-IF(AND('calcA'!CS$117=1,XQ37&gt;0),2000,0)-IF(AND($U37=1,'calcA'!CT$117=1,GS37=0),2000,0))),1000000000))</f>
        <v/>
      </c>
      <c r="RW37">
        <f>IF($B37=0,1000000000,IF(INDEX('calcA'!$D$60:$EQ$99,$B37,96)*IF($W37=1,GS37+ADH37,GS37)=1,IF(AND($E37=2,IF($W37=1,AIW37,MH37)=0),1000000000,IF($V37=1,INDEX('calcA'!$D$130:$EQ$169,$B37,96)+IF(AND($E37=1,MH37=0),25,0),IF($F37&gt;0,INDEX('calcA'!CU$110:CU$114,$F37+1)+IF(AND($E37=1,MH37=0),1000,0),MIN(TX37,20)*400+(IF('calcA'!CT$106=1,1-GR37,0))*150+244+'calcA'!CU$5*100000+IF(AND($E37=1,MH37=0),50000,0))+IF($H37=1,INDEX('calcA'!$D$180:$EQ$219,$B37,96)*4000,0)-IF(AND('calcA'!CT$117=1,XR37&gt;0),2000,0))),1000000000))</f>
        <v/>
      </c>
      <c r="RX37">
        <f>IF($B37=0,1000000000,IF(INDEX('calcA'!$D$60:$EQ$99,$B37,97)*IF($W37=1,GT37+ADI37,GT37)=1,IF(AND($E37=2,IF($W37=1,AIX37,MI37)=0),1000000000,IF($V37=1,INDEX('calcA'!$D$130:$EQ$169,$B37,97)+IF(AND($E37=1,MI37=0),25,0),IF($F37&gt;0,INDEX('calcA'!CV$110:CV$114,$F37+1)+IF(AND($E37=1,MI37=0),1000,0),MIN(TY37,20)*400+(IF('calcA'!CV$106=1,1-GU37,0))*150+15+'calcA'!CV$5*100000+IF(AND($E37=1,MI37=0),50000,0))+IF($H37=1,INDEX('calcA'!$D$180:$EQ$219,$B37,97)*4000,0)-IF(AND($U37=1,'calcA'!CV$117=1,GU37=0),2000,0))),1000000000))</f>
        <v/>
      </c>
      <c r="RY37">
        <f>IF($B37=0,1000000000,IF(INDEX('calcA'!$D$60:$EQ$99,$B37,98)*IF($W37=1,GU37+ADJ37,GU37)=1,IF(AND($E37=2,IF($W37=1,AIY37,MJ37)=0),1000000000,IF($V37=1,INDEX('calcA'!$D$130:$EQ$169,$B37,98)+IF(AND($E37=1,MJ37=0),25,0),IF($F37&gt;0,INDEX('calcA'!CW$110:CW$114,$F37+1)+IF(AND($E37=1,MJ37=0),1000,0),MIN(TY37,20)*400+(IF('calcA'!CV$106=1,1-GT37,0)+IF('calcA'!CW$106=1,1-GV37,0))*150+25+'calcA'!CW$5*100000+IF(AND($E37=1,MJ37=0),50000,0))+IF($H37=1,INDEX('calcA'!$D$180:$EQ$219,$B37,98)*4000,0)-IF(AND('calcA'!CV$117=1,XT37&gt;0),2000,0)-IF(AND($U37=1,'calcA'!CW$117=1,GV37=0),2000,0))),1000000000))</f>
        <v/>
      </c>
      <c r="RZ37">
        <f>IF($B37=0,1000000000,IF(INDEX('calcA'!$D$60:$EQ$99,$B37,99)*IF($W37=1,GV37+ADK37,GV37)=1,IF(AND($E37=2,IF($W37=1,AIZ37,MK37)=0),1000000000,IF($V37=1,INDEX('calcA'!$D$130:$EQ$169,$B37,99)+IF(AND($E37=1,MK37=0),25,0),IF($F37&gt;0,INDEX('calcA'!CX$110:CX$114,$F37+1)+IF(AND($E37=1,MK37=0),1000,0),MIN(TY37,20)*400+(IF('calcA'!CW$106=1,1-GU37,0)+IF('calcA'!CX$106=1,1-GW37,0))*150+35+'calcA'!CX$5*100000+IF(AND($E37=1,MK37=0),50000,0))+IF($H37=1,INDEX('calcA'!$D$180:$EQ$219,$B37,99)*4000,0)-IF(AND('calcA'!CW$117=1,XU37&gt;0),2000,0)-IF(AND($U37=1,'calcA'!CX$117=1,GW37=0),2000,0))),1000000000))</f>
        <v/>
      </c>
      <c r="SA37">
        <f>IF($B37=0,1000000000,IF(INDEX('calcA'!$D$60:$EQ$99,$B37,100)*IF($W37=1,GW37+ADL37,GW37)=1,IF(AND($E37=2,IF($W37=1,AJA37,ML37)=0),1000000000,IF($V37=1,INDEX('calcA'!$D$130:$EQ$169,$B37,100)+IF(AND($E37=1,ML37=0),25,0),IF($F37&gt;0,INDEX('calcA'!CY$110:CY$114,$F37+1)+IF(AND($E37=1,ML37=0),1000,0),MIN(TY37,20)*400+(IF('calcA'!CX$106=1,1-GV37,0)+IF('calcA'!CY$106=1,1-GX37,0))*150+45+'calcA'!CY$5*100000+IF(AND($E37=1,ML37=0),50000,0))+IF($H37=1,INDEX('calcA'!$D$180:$EQ$219,$B37,100)*4000,0)-IF(AND('calcA'!CX$117=1,XV37&gt;0),2000,0)-IF(AND($U37=1,'calcA'!CY$117=1,GX37=0),2000,0))),1000000000))</f>
        <v/>
      </c>
      <c r="SB37">
        <f>IF($B37=0,1000000000,IF(INDEX('calcA'!$D$60:$EQ$99,$B37,101)*IF($W37=1,GX37+ADM37,GX37)=1,IF(AND($E37=2,IF($W37=1,AJB37,MM37)=0),1000000000,IF($V37=1,INDEX('calcA'!$D$130:$EQ$169,$B37,101)+IF(AND($E37=1,MM37=0),25,0),IF($F37&gt;0,INDEX('calcA'!CZ$110:CZ$114,$F37+1)+IF(AND($E37=1,MM37=0),1000,0),MIN(TY37,20)*400+(IF('calcA'!CY$106=1,1-GW37,0)+IF('calcA'!CZ$106=1,1-GY37,0))*150+55+'calcA'!CZ$5*100000+IF(AND($E37=1,MM37=0),50000,0))+IF($H37=1,INDEX('calcA'!$D$180:$EQ$219,$B37,101)*4000,0)-IF(AND('calcA'!CY$117=1,XW37&gt;0),2000,0)-IF(AND($U37=1,'calcA'!CZ$117=1,GY37=0),2000,0))),1000000000))</f>
        <v/>
      </c>
      <c r="SC37">
        <f>IF($B37=0,1000000000,IF(INDEX('calcA'!$D$60:$EQ$99,$B37,102)*IF($W37=1,GY37+ADN37,GY37)=1,IF(AND($E37=2,IF($W37=1,AJC37,MN37)=0),1000000000,IF($V37=1,INDEX('calcA'!$D$130:$EQ$169,$B37,102)+IF(AND($E37=1,MN37=0),25,0),IF($F37&gt;0,INDEX('calcA'!DA$110:DA$114,$F37+1)+IF(AND($E37=1,MN37=0),1000,0),MIN(TY37,20)*400+(IF('calcA'!CZ$106=1,1-GX37,0)+IF('calcA'!DA$106=1,1-GZ37,0))*150+65+'calcA'!DA$5*100000+IF(AND($E37=1,MN37=0),50000,0))+IF($H37=1,INDEX('calcA'!$D$180:$EQ$219,$B37,102)*4000,0)-IF(AND('calcA'!CZ$117=1,XX37&gt;0),2000,0)-IF(AND($U37=1,'calcA'!DA$117=1,GZ37=0),2000,0))),1000000000))</f>
        <v/>
      </c>
      <c r="SD37">
        <f>IF($B37=0,1000000000,IF(INDEX('calcA'!$D$60:$EQ$99,$B37,103)*IF($W37=1,GZ37+ADO37,GZ37)=1,IF(AND($E37=2,IF($W37=1,AJD37,MO37)=0),1000000000,IF($V37=1,INDEX('calcA'!$D$130:$EQ$169,$B37,103)+IF(AND($E37=1,MO37=0),25,0),IF($F37&gt;0,INDEX('calcA'!DB$110:DB$114,$F37+1)+IF(AND($E37=1,MO37=0),1000,0),MIN(TY37,20)*400+(IF('calcA'!DA$106=1,1-GY37,0)+IF('calcA'!DB$106=1,1-HA37,0))*150+75+'calcA'!DB$5*100000+IF(AND($E37=1,MO37=0),50000,0))+IF($H37=1,INDEX('calcA'!$D$180:$EQ$219,$B37,103)*4000,0)-IF(AND('calcA'!DA$117=1,XY37&gt;0),2000,0)-IF(AND($U37=1,'calcA'!DB$117=1,HA37=0),2000,0))),1000000000))</f>
        <v/>
      </c>
      <c r="SE37">
        <f>IF($B37=0,1000000000,IF(INDEX('calcA'!$D$60:$EQ$99,$B37,104)*IF($W37=1,HA37+ADP37,HA37)=1,IF(AND($E37=2,IF($W37=1,AJE37,MP37)=0),1000000000,IF($V37=1,INDEX('calcA'!$D$130:$EQ$169,$B37,104)+IF(AND($E37=1,MP37=0),25,0),IF($F37&gt;0,INDEX('calcA'!DC$110:DC$114,$F37+1)+IF(AND($E37=1,MP37=0),1000,0),MIN(TY37,20)*400+(IF('calcA'!DB$106=1,1-GZ37,0)+IF('calcA'!DC$106=1,1-HB37,0))*150+85+'calcA'!DC$5*100000+IF(AND($E37=1,MP37=0),50000,0))+IF($H37=1,INDEX('calcA'!$D$180:$EQ$219,$B37,104)*4000,0)-IF(AND('calcA'!DB$117=1,XZ37&gt;0),2000,0)-IF(AND($U37=1,'calcA'!DC$117=1,HB37=0),2000,0))),1000000000))</f>
        <v/>
      </c>
      <c r="SF37">
        <f>IF($B37=0,1000000000,IF(INDEX('calcA'!$D$60:$EQ$99,$B37,105)*IF($W37=1,HB37+ADQ37,HB37)=1,IF(AND($E37=2,IF($W37=1,AJF37,MQ37)=0),1000000000,IF($V37=1,INDEX('calcA'!$D$130:$EQ$169,$B37,105)+IF(AND($E37=1,MQ37=0),25,0),IF($F37&gt;0,INDEX('calcA'!DD$110:DD$114,$F37+1)+IF(AND($E37=1,MQ37=0),1000,0),MIN(TY37,20)*400+(IF('calcA'!DC$106=1,1-HA37,0)+IF('calcA'!DD$106=1,1-HC37,0))*150+95+'calcA'!DD$5*100000+IF(AND($E37=1,MQ37=0),50000,0))+IF($H37=1,INDEX('calcA'!$D$180:$EQ$219,$B37,105)*4000,0)-IF(AND('calcA'!DC$117=1,YA37&gt;0),2000,0)-IF(AND($U37=1,'calcA'!DD$117=1,HC37=0),2000,0))),1000000000))</f>
        <v/>
      </c>
      <c r="SG37">
        <f>IF($B37=0,1000000000,IF(INDEX('calcA'!$D$60:$EQ$99,$B37,106)*IF($W37=1,HC37+ADR37,HC37)=1,IF(AND($E37=2,IF($W37=1,AJG37,MR37)=0),1000000000,IF($V37=1,INDEX('calcA'!$D$130:$EQ$169,$B37,106)+IF(AND($E37=1,MR37=0),25,0),IF($F37&gt;0,INDEX('calcA'!DE$110:DE$114,$F37+1)+IF(AND($E37=1,MR37=0),1000,0),MIN(TY37,20)*400+(IF('calcA'!DD$106=1,1-HB37,0)+IF('calcA'!DE$106=1,1-HD37,0))*150+105+'calcA'!DE$5*100000+IF(AND($E37=1,MR37=0),50000,0))+IF($H37=1,INDEX('calcA'!$D$180:$EQ$219,$B37,106)*4000,0)-IF(AND('calcA'!DD$117=1,YB37&gt;0),2000,0)-IF(AND($U37=1,'calcA'!DE$117=1,HD37=0),2000,0))),1000000000))</f>
        <v/>
      </c>
      <c r="SH37">
        <f>IF($B37=0,1000000000,IF(INDEX('calcA'!$D$60:$EQ$99,$B37,107)*IF($W37=1,HD37+ADS37,HD37)=1,IF(AND($E37=2,IF($W37=1,AJH37,MS37)=0),1000000000,IF($V37=1,INDEX('calcA'!$D$130:$EQ$169,$B37,107)+IF(AND($E37=1,MS37=0),25,0),IF($F37&gt;0,INDEX('calcA'!DF$110:DF$114,$F37+1)+IF(AND($E37=1,MS37=0),1000,0),MIN(TY37,20)*400+(IF('calcA'!DE$106=1,1-HC37,0)+IF('calcA'!DF$106=1,1-HE37,0))*150+115+'calcA'!DF$5*100000+IF(AND($E37=1,MS37=0),50000,0))+IF($H37=1,INDEX('calcA'!$D$180:$EQ$219,$B37,107)*4000,0)-IF(AND('calcA'!DE$117=1,YC37&gt;0),2000,0)-IF(AND($U37=1,'calcA'!DF$117=1,HE37=0),2000,0))),1000000000))</f>
        <v/>
      </c>
      <c r="SI37">
        <f>IF($B37=0,1000000000,IF(INDEX('calcA'!$D$60:$EQ$99,$B37,108)*IF($W37=1,HE37+ADT37,HE37)=1,IF(AND($E37=2,IF($W37=1,AJI37,MT37)=0),1000000000,IF($V37=1,INDEX('calcA'!$D$130:$EQ$169,$B37,108)+IF(AND($E37=1,MT37=0),25,0),IF($F37&gt;0,INDEX('calcA'!DG$110:DG$114,$F37+1)+IF(AND($E37=1,MT37=0),1000,0),MIN(TY37,20)*400+(IF('calcA'!DF$106=1,1-HD37,0)+IF('calcA'!DG$106=1,1-HF37,0))*150+125+'calcA'!DG$5*100000+IF(AND($E37=1,MT37=0),50000,0))+IF($H37=1,INDEX('calcA'!$D$180:$EQ$219,$B37,108)*4000,0)-IF(AND('calcA'!DF$117=1,YD37&gt;0),2000,0)-IF(AND($U37=1,'calcA'!DG$117=1,HF37=0),2000,0))),1000000000))</f>
        <v/>
      </c>
      <c r="SJ37">
        <f>IF($B37=0,1000000000,IF(INDEX('calcA'!$D$60:$EQ$99,$B37,109)*IF($W37=1,HF37+ADU37,HF37)=1,IF(AND($E37=2,IF($W37=1,AJJ37,MU37)=0),1000000000,IF($V37=1,INDEX('calcA'!$D$130:$EQ$169,$B37,109)+IF(AND($E37=1,MU37=0),25,0),IF($F37&gt;0,INDEX('calcA'!DH$110:DH$114,$F37+1)+IF(AND($E37=1,MU37=0),1000,0),MIN(TY37,20)*400+(IF('calcA'!DG$106=1,1-HE37,0)+IF('calcA'!DH$106=1,1-HG37,0))*150+135+'calcA'!DH$5*100000+IF(AND($E37=1,MU37=0),50000,0))+IF($H37=1,INDEX('calcA'!$D$180:$EQ$219,$B37,109)*4000,0)-IF(AND('calcA'!DG$117=1,YE37&gt;0),2000,0)-IF(AND($U37=1,'calcA'!DH$117=1,HG37=0),2000,0))),1000000000))</f>
        <v/>
      </c>
      <c r="SK37">
        <f>IF($B37=0,1000000000,IF(INDEX('calcA'!$D$60:$EQ$99,$B37,110)*IF($W37=1,HG37+ADV37,HG37)=1,IF(AND($E37=2,IF($W37=1,AJK37,MV37)=0),1000000000,IF($V37=1,INDEX('calcA'!$D$130:$EQ$169,$B37,110)+IF(AND($E37=1,MV37=0),25,0),IF($F37&gt;0,INDEX('calcA'!DI$110:DI$114,$F37+1)+IF(AND($E37=1,MV37=0),1000,0),MIN(TY37,20)*400+(IF('calcA'!DH$106=1,1-HF37,0)+IF('calcA'!DI$106=1,1-HH37,0))*150+145+'calcA'!DI$5*100000+IF(AND($E37=1,MV37=0),50000,0))+IF($H37=1,INDEX('calcA'!$D$180:$EQ$219,$B37,110)*4000,0)-IF(AND('calcA'!DH$117=1,YF37&gt;0),2000,0)-IF(AND($U37=1,'calcA'!DI$117=1,HH37=0),2000,0))),1000000000))</f>
        <v/>
      </c>
      <c r="SL37">
        <f>IF($B37=0,1000000000,IF(INDEX('calcA'!$D$60:$EQ$99,$B37,111)*IF($W37=1,HH37+ADW37,HH37)=1,IF(AND($E37=2,IF($W37=1,AJL37,MW37)=0),1000000000,IF($V37=1,INDEX('calcA'!$D$130:$EQ$169,$B37,111)+IF(AND($E37=1,MW37=0),25,0),IF($F37&gt;0,INDEX('calcA'!DJ$110:DJ$114,$F37+1)+IF(AND($E37=1,MW37=0),1000,0),MIN(TY37,20)*400+(IF('calcA'!DI$106=1,1-HG37,0)+IF('calcA'!DJ$106=1,1-HI37,0))*150+155+'calcA'!DJ$5*100000+IF(AND($E37=1,MW37=0),50000,0))+IF($H37=1,INDEX('calcA'!$D$180:$EQ$219,$B37,111)*4000,0)-IF(AND('calcA'!DI$117=1,YG37&gt;0),2000,0)-IF(AND($U37=1,'calcA'!DJ$117=1,HI37=0),2000,0))),1000000000))</f>
        <v/>
      </c>
      <c r="SM37">
        <f>IF($B37=0,1000000000,IF(INDEX('calcA'!$D$60:$EQ$99,$B37,112)*IF($W37=1,HI37+ADX37,HI37)=1,IF(AND($E37=2,IF($W37=1,AJM37,MX37)=0),1000000000,IF($V37=1,INDEX('calcA'!$D$130:$EQ$169,$B37,112)+IF(AND($E37=1,MX37=0),25,0),IF($F37&gt;0,INDEX('calcA'!DK$110:DK$114,$F37+1)+IF(AND($E37=1,MX37=0),1000,0),MIN(TY37,20)*400+(IF('calcA'!DJ$106=1,1-HH37,0)+IF('calcA'!DK$106=1,1-HJ37,0))*150+165+'calcA'!DK$5*100000+IF(AND($E37=1,MX37=0),50000,0))+IF($H37=1,INDEX('calcA'!$D$180:$EQ$219,$B37,112)*4000,0)-IF(AND('calcA'!DJ$117=1,YH37&gt;0),2000,0)-IF(AND($U37=1,'calcA'!DK$117=1,HJ37=0),2000,0))),1000000000))</f>
        <v/>
      </c>
      <c r="SN37">
        <f>IF($B37=0,1000000000,IF(INDEX('calcA'!$D$60:$EQ$99,$B37,113)*IF($W37=1,HJ37+ADY37,HJ37)=1,IF(AND($E37=2,IF($W37=1,AJN37,MY37)=0),1000000000,IF($V37=1,INDEX('calcA'!$D$130:$EQ$169,$B37,113)+IF(AND($E37=1,MY37=0),25,0),IF($F37&gt;0,INDEX('calcA'!DL$110:DL$114,$F37+1)+IF(AND($E37=1,MY37=0),1000,0),MIN(TY37,20)*400+(IF('calcA'!DK$106=1,1-HI37,0)+IF('calcA'!DL$106=1,1-HK37,0))*150+175+'calcA'!DL$5*100000+IF(AND($E37=1,MY37=0),50000,0))+IF($H37=1,INDEX('calcA'!$D$180:$EQ$219,$B37,113)*4000,0)-IF(AND('calcA'!DK$117=1,YI37&gt;0),2000,0)-IF(AND($U37=1,'calcA'!DL$117=1,HK37=0),2000,0))),1000000000))</f>
        <v/>
      </c>
      <c r="SO37">
        <f>IF($B37=0,1000000000,IF(INDEX('calcA'!$D$60:$EQ$99,$B37,114)*IF($W37=1,HK37+ADZ37,HK37)=1,IF(AND($E37=2,IF($W37=1,AJO37,MZ37)=0),1000000000,IF($V37=1,INDEX('calcA'!$D$130:$EQ$169,$B37,114)+IF(AND($E37=1,MZ37=0),25,0),IF($F37&gt;0,INDEX('calcA'!DM$110:DM$114,$F37+1)+IF(AND($E37=1,MZ37=0),1000,0),MIN(TY37,20)*400+(IF('calcA'!DL$106=1,1-HJ37,0)+IF('calcA'!DM$106=1,1-HL37,0))*150+185+'calcA'!DM$5*100000+IF(AND($E37=1,MZ37=0),50000,0))+IF($H37=1,INDEX('calcA'!$D$180:$EQ$219,$B37,114)*4000,0)-IF(AND('calcA'!DL$117=1,YJ37&gt;0),2000,0)-IF(AND($U37=1,'calcA'!DM$117=1,HL37=0),2000,0))),1000000000))</f>
        <v/>
      </c>
      <c r="SP37">
        <f>IF($B37=0,1000000000,IF(INDEX('calcA'!$D$60:$EQ$99,$B37,115)*IF($W37=1,HL37+AEA37,HL37)=1,IF(AND($E37=2,IF($W37=1,AJP37,NA37)=0),1000000000,IF($V37=1,INDEX('calcA'!$D$130:$EQ$169,$B37,115)+IF(AND($E37=1,NA37=0),25,0),IF($F37&gt;0,INDEX('calcA'!DN$110:DN$114,$F37+1)+IF(AND($E37=1,NA37=0),1000,0),MIN(TY37,20)*400+(IF('calcA'!DM$106=1,1-HK37,0)+IF('calcA'!DN$106=1,1-HM37,0))*150+195+'calcA'!DN$5*100000+IF(AND($E37=1,NA37=0),50000,0))+IF($H37=1,INDEX('calcA'!$D$180:$EQ$219,$B37,115)*4000,0)-IF(AND('calcA'!DM$117=1,YK37&gt;0),2000,0)-IF(AND($U37=1,'calcA'!DN$117=1,HM37=0),2000,0))),1000000000))</f>
        <v/>
      </c>
      <c r="SQ37">
        <f>IF($B37=0,1000000000,IF(INDEX('calcA'!$D$60:$EQ$99,$B37,116)*IF($W37=1,HM37+AEB37,HM37)=1,IF(AND($E37=2,IF($W37=1,AJQ37,NB37)=0),1000000000,IF($V37=1,INDEX('calcA'!$D$130:$EQ$169,$B37,116)+IF(AND($E37=1,NB37=0),25,0),IF($F37&gt;0,INDEX('calcA'!DO$110:DO$114,$F37+1)+IF(AND($E37=1,NB37=0),1000,0),MIN(TY37,20)*400+(IF('calcA'!DN$106=1,1-HL37,0)+IF('calcA'!DO$106=1,1-HN37,0))*150+205+'calcA'!DO$5*100000+IF(AND($E37=1,NB37=0),50000,0))+IF($H37=1,INDEX('calcA'!$D$180:$EQ$219,$B37,116)*4000,0)-IF(AND('calcA'!DN$117=1,YL37&gt;0),2000,0)-IF(AND($U37=1,'calcA'!DO$117=1,HN37=0),2000,0))),1000000000))</f>
        <v/>
      </c>
      <c r="SR37">
        <f>IF($B37=0,1000000000,IF(INDEX('calcA'!$D$60:$EQ$99,$B37,117)*IF($W37=1,HN37+AEC37,HN37)=1,IF(AND($E37=2,IF($W37=1,AJR37,NC37)=0),1000000000,IF($V37=1,INDEX('calcA'!$D$130:$EQ$169,$B37,117)+IF(AND($E37=1,NC37=0),25,0),IF($F37&gt;0,INDEX('calcA'!DP$110:DP$114,$F37+1)+IF(AND($E37=1,NC37=0),1000,0),MIN(TY37,20)*400+(IF('calcA'!DO$106=1,1-HM37,0)+IF('calcA'!DP$106=1,1-HO37,0))*150+215+'calcA'!DP$5*100000+IF(AND($E37=1,NC37=0),50000,0))+IF($H37=1,INDEX('calcA'!$D$180:$EQ$219,$B37,117)*4000,0)-IF(AND('calcA'!DO$117=1,YM37&gt;0),2000,0)-IF(AND($U37=1,'calcA'!DP$117=1,HO37=0),2000,0))),1000000000))</f>
        <v/>
      </c>
      <c r="SS37">
        <f>IF($B37=0,1000000000,IF(INDEX('calcA'!$D$60:$EQ$99,$B37,118)*IF($W37=1,HO37+AED37,HO37)=1,IF(AND($E37=2,IF($W37=1,AJS37,ND37)=0),1000000000,IF($V37=1,INDEX('calcA'!$D$130:$EQ$169,$B37,118)+IF(AND($E37=1,ND37=0),25,0),IF($F37&gt;0,INDEX('calcA'!DQ$110:DQ$114,$F37+1)+IF(AND($E37=1,ND37=0),1000,0),MIN(TY37,20)*400+(IF('calcA'!DP$106=1,1-HN37,0)+IF('calcA'!DQ$106=1,1-HP37,0))*150+225+'calcA'!DQ$5*100000+IF(AND($E37=1,ND37=0),50000,0))+IF($H37=1,INDEX('calcA'!$D$180:$EQ$219,$B37,118)*4000,0)-IF(AND('calcA'!DP$117=1,YN37&gt;0),2000,0)-IF(AND($U37=1,'calcA'!DQ$117=1,HP37=0),2000,0))),1000000000))</f>
        <v/>
      </c>
      <c r="ST37">
        <f>IF($B37=0,1000000000,IF(INDEX('calcA'!$D$60:$EQ$99,$B37,119)*IF($W37=1,HP37+AEE37,HP37)=1,IF(AND($E37=2,IF($W37=1,AJT37,NE37)=0),1000000000,IF($V37=1,INDEX('calcA'!$D$130:$EQ$169,$B37,119)+IF(AND($E37=1,NE37=0),25,0),IF($F37&gt;0,INDEX('calcA'!DR$110:DR$114,$F37+1)+IF(AND($E37=1,NE37=0),1000,0),MIN(TY37,20)*400+(IF('calcA'!DQ$106=1,1-HO37,0)+IF('calcA'!DR$106=1,1-HQ37,0))*150+235+'calcA'!DR$5*100000+IF(AND($E37=1,NE37=0),50000,0))+IF($H37=1,INDEX('calcA'!$D$180:$EQ$219,$B37,119)*4000,0)-IF(AND('calcA'!DQ$117=1,YO37&gt;0),2000,0)-IF(AND($U37=1,'calcA'!DR$117=1,HQ37=0),2000,0))),1000000000))</f>
        <v/>
      </c>
      <c r="SU37">
        <f>IF($B37=0,1000000000,IF(INDEX('calcA'!$D$60:$EQ$99,$B37,120)*IF($W37=1,HQ37+AEF37,HQ37)=1,IF(AND($E37=2,IF($W37=1,AJU37,NF37)=0),1000000000,IF($V37=1,INDEX('calcA'!$D$130:$EQ$169,$B37,120)+IF(AND($E37=1,NF37=0),25,0),IF($F37&gt;0,INDEX('calcA'!DS$110:DS$114,$F37+1)+IF(AND($E37=1,NF37=0),1000,0),MIN(TY37,20)*400+(IF('calcA'!DR$106=1,1-HP37,0))*150+245+'calcA'!DS$5*100000+IF(AND($E37=1,NF37=0),50000,0))+IF($H37=1,INDEX('calcA'!$D$180:$EQ$219,$B37,120)*4000,0)-IF(AND('calcA'!DR$117=1,YP37&gt;0),2000,0))),1000000000))</f>
        <v/>
      </c>
      <c r="SV37">
        <f>IF($B37=0,1000000000,IF(INDEX('calcA'!$D$60:$EQ$99,$B37,121)*IF($W37=1,HR37+AEG37,HR37)=1,IF(AND($E37=2,IF($W37=1,AJV37,NG37)=0),1000000000,IF($V37=1,INDEX('calcA'!$D$130:$EQ$169,$B37,121)+IF(AND($E37=1,NG37=0),25,0),IF($F37&gt;0,INDEX('calcA'!DT$110:DT$114,$F37+1)+IF(AND($E37=1,NG37=0),1000,0),MIN(TZ37,20)*400+(IF('calcA'!DT$106=1,1-HS37,0))*150+16+'calcA'!DT$5*100000+IF(AND($E37=1,NG37=0),50000,0))+IF($H37=1,INDEX('calcA'!$D$180:$EQ$219,$B37,121)*4000,0)-IF(AND($U37=1,'calcA'!DT$117=1,HS37=0),2000,0))),1000000000))</f>
        <v/>
      </c>
      <c r="SW37">
        <f>IF($B37=0,1000000000,IF(INDEX('calcA'!$D$60:$EQ$99,$B37,122)*IF($W37=1,HS37+AEH37,HS37)=1,IF(AND($E37=2,IF($W37=1,AJW37,NH37)=0),1000000000,IF($V37=1,INDEX('calcA'!$D$130:$EQ$169,$B37,122)+IF(AND($E37=1,NH37=0),25,0),IF($F37&gt;0,INDEX('calcA'!DU$110:DU$114,$F37+1)+IF(AND($E37=1,NH37=0),1000,0),MIN(TZ37,20)*400+(IF('calcA'!DT$106=1,1-HR37,0)+IF('calcA'!DU$106=1,1-HT37,0))*150+26+'calcA'!DU$5*100000+IF(AND($E37=1,NH37=0),50000,0))+IF($H37=1,INDEX('calcA'!$D$180:$EQ$219,$B37,122)*4000,0)-IF(AND('calcA'!DT$117=1,YR37&gt;0),2000,0)-IF(AND($U37=1,'calcA'!DU$117=1,HT37=0),2000,0))),1000000000))</f>
        <v/>
      </c>
      <c r="SX37">
        <f>IF($B37=0,1000000000,IF(INDEX('calcA'!$D$60:$EQ$99,$B37,123)*IF($W37=1,HT37+AEI37,HT37)=1,IF(AND($E37=2,IF($W37=1,AJX37,NI37)=0),1000000000,IF($V37=1,INDEX('calcA'!$D$130:$EQ$169,$B37,123)+IF(AND($E37=1,NI37=0),25,0),IF($F37&gt;0,INDEX('calcA'!DV$110:DV$114,$F37+1)+IF(AND($E37=1,NI37=0),1000,0),MIN(TZ37,20)*400+(IF('calcA'!DU$106=1,1-HS37,0)+IF('calcA'!DV$106=1,1-HU37,0))*150+36+'calcA'!DV$5*100000+IF(AND($E37=1,NI37=0),50000,0))+IF($H37=1,INDEX('calcA'!$D$180:$EQ$219,$B37,123)*4000,0)-IF(AND('calcA'!DU$117=1,YS37&gt;0),2000,0)-IF(AND($U37=1,'calcA'!DV$117=1,HU37=0),2000,0))),1000000000))</f>
        <v/>
      </c>
      <c r="SY37">
        <f>IF($B37=0,1000000000,IF(INDEX('calcA'!$D$60:$EQ$99,$B37,124)*IF($W37=1,HU37+AEJ37,HU37)=1,IF(AND($E37=2,IF($W37=1,AJY37,NJ37)=0),1000000000,IF($V37=1,INDEX('calcA'!$D$130:$EQ$169,$B37,124)+IF(AND($E37=1,NJ37=0),25,0),IF($F37&gt;0,INDEX('calcA'!DW$110:DW$114,$F37+1)+IF(AND($E37=1,NJ37=0),1000,0),MIN(TZ37,20)*400+(IF('calcA'!DV$106=1,1-HT37,0)+IF('calcA'!DW$106=1,1-HV37,0))*150+46+'calcA'!DW$5*100000+IF(AND($E37=1,NJ37=0),50000,0))+IF($H37=1,INDEX('calcA'!$D$180:$EQ$219,$B37,124)*4000,0)-IF(AND('calcA'!DV$117=1,YT37&gt;0),2000,0)-IF(AND($U37=1,'calcA'!DW$117=1,HV37=0),2000,0))),1000000000))</f>
        <v/>
      </c>
      <c r="SZ37">
        <f>IF($B37=0,1000000000,IF(INDEX('calcA'!$D$60:$EQ$99,$B37,125)*IF($W37=1,HV37+AEK37,HV37)=1,IF(AND($E37=2,IF($W37=1,AJZ37,NK37)=0),1000000000,IF($V37=1,INDEX('calcA'!$D$130:$EQ$169,$B37,125)+IF(AND($E37=1,NK37=0),25,0),IF($F37&gt;0,INDEX('calcA'!DX$110:DX$114,$F37+1)+IF(AND($E37=1,NK37=0),1000,0),MIN(TZ37,20)*400+(IF('calcA'!DW$106=1,1-HU37,0)+IF('calcA'!DX$106=1,1-HW37,0))*150+56+'calcA'!DX$5*100000+IF(AND($E37=1,NK37=0),50000,0))+IF($H37=1,INDEX('calcA'!$D$180:$EQ$219,$B37,125)*4000,0)-IF(AND('calcA'!DW$117=1,YU37&gt;0),2000,0)-IF(AND($U37=1,'calcA'!DX$117=1,HW37=0),2000,0))),1000000000))</f>
        <v/>
      </c>
      <c r="TA37">
        <f>IF($B37=0,1000000000,IF(INDEX('calcA'!$D$60:$EQ$99,$B37,126)*IF($W37=1,HW37+AEL37,HW37)=1,IF(AND($E37=2,IF($W37=1,AKA37,NL37)=0),1000000000,IF($V37=1,INDEX('calcA'!$D$130:$EQ$169,$B37,126)+IF(AND($E37=1,NL37=0),25,0),IF($F37&gt;0,INDEX('calcA'!DY$110:DY$114,$F37+1)+IF(AND($E37=1,NL37=0),1000,0),MIN(TZ37,20)*400+(IF('calcA'!DX$106=1,1-HV37,0)+IF('calcA'!DY$106=1,1-HX37,0))*150+66+'calcA'!DY$5*100000+IF(AND($E37=1,NL37=0),50000,0))+IF($H37=1,INDEX('calcA'!$D$180:$EQ$219,$B37,126)*4000,0)-IF(AND('calcA'!DX$117=1,YV37&gt;0),2000,0)-IF(AND($U37=1,'calcA'!DY$117=1,HX37=0),2000,0))),1000000000))</f>
        <v/>
      </c>
      <c r="TB37">
        <f>IF($B37=0,1000000000,IF(INDEX('calcA'!$D$60:$EQ$99,$B37,127)*IF($W37=1,HX37+AEM37,HX37)=1,IF(AND($E37=2,IF($W37=1,AKB37,NM37)=0),1000000000,IF($V37=1,INDEX('calcA'!$D$130:$EQ$169,$B37,127)+IF(AND($E37=1,NM37=0),25,0),IF($F37&gt;0,INDEX('calcA'!DZ$110:DZ$114,$F37+1)+IF(AND($E37=1,NM37=0),1000,0),MIN(TZ37,20)*400+(IF('calcA'!DY$106=1,1-HW37,0)+IF('calcA'!DZ$106=1,1-HY37,0))*150+76+'calcA'!DZ$5*100000+IF(AND($E37=1,NM37=0),50000,0))+IF($H37=1,INDEX('calcA'!$D$180:$EQ$219,$B37,127)*4000,0)-IF(AND('calcA'!DY$117=1,YW37&gt;0),2000,0)-IF(AND($U37=1,'calcA'!DZ$117=1,HY37=0),2000,0))),1000000000))</f>
        <v/>
      </c>
      <c r="TC37">
        <f>IF($B37=0,1000000000,IF(INDEX('calcA'!$D$60:$EQ$99,$B37,128)*IF($W37=1,HY37+AEN37,HY37)=1,IF(AND($E37=2,IF($W37=1,AKC37,NN37)=0),1000000000,IF($V37=1,INDEX('calcA'!$D$130:$EQ$169,$B37,128)+IF(AND($E37=1,NN37=0),25,0),IF($F37&gt;0,INDEX('calcA'!EA$110:EA$114,$F37+1)+IF(AND($E37=1,NN37=0),1000,0),MIN(TZ37,20)*400+(IF('calcA'!DZ$106=1,1-HX37,0)+IF('calcA'!EA$106=1,1-HZ37,0))*150+86+'calcA'!EA$5*100000+IF(AND($E37=1,NN37=0),50000,0))+IF($H37=1,INDEX('calcA'!$D$180:$EQ$219,$B37,128)*4000,0)-IF(AND('calcA'!DZ$117=1,YX37&gt;0),2000,0)-IF(AND($U37=1,'calcA'!EA$117=1,HZ37=0),2000,0))),1000000000))</f>
        <v/>
      </c>
      <c r="TD37">
        <f>IF($B37=0,1000000000,IF(INDEX('calcA'!$D$60:$EQ$99,$B37,129)*IF($W37=1,HZ37+AEO37,HZ37)=1,IF(AND($E37=2,IF($W37=1,AKD37,NO37)=0),1000000000,IF($V37=1,INDEX('calcA'!$D$130:$EQ$169,$B37,129)+IF(AND($E37=1,NO37=0),25,0),IF($F37&gt;0,INDEX('calcA'!EB$110:EB$114,$F37+1)+IF(AND($E37=1,NO37=0),1000,0),MIN(TZ37,20)*400+(IF('calcA'!EA$106=1,1-HY37,0)+IF('calcA'!EB$106=1,1-IA37,0))*150+96+'calcA'!EB$5*100000+IF(AND($E37=1,NO37=0),50000,0))+IF($H37=1,INDEX('calcA'!$D$180:$EQ$219,$B37,129)*4000,0)-IF(AND('calcA'!EA$117=1,YY37&gt;0),2000,0)-IF(AND($U37=1,'calcA'!EB$117=1,IA37=0),2000,0))),1000000000))</f>
        <v/>
      </c>
      <c r="TE37">
        <f>IF($B37=0,1000000000,IF(INDEX('calcA'!$D$60:$EQ$99,$B37,130)*IF($W37=1,IA37+AEP37,IA37)=1,IF(AND($E37=2,IF($W37=1,AKE37,NP37)=0),1000000000,IF($V37=1,INDEX('calcA'!$D$130:$EQ$169,$B37,130)+IF(AND($E37=1,NP37=0),25,0),IF($F37&gt;0,INDEX('calcA'!EC$110:EC$114,$F37+1)+IF(AND($E37=1,NP37=0),1000,0),MIN(TZ37,20)*400+(IF('calcA'!EB$106=1,1-HZ37,0)+IF('calcA'!EC$106=1,1-IB37,0))*150+106+'calcA'!EC$5*100000+IF(AND($E37=1,NP37=0),50000,0))+IF($H37=1,INDEX('calcA'!$D$180:$EQ$219,$B37,130)*4000,0)-IF(AND('calcA'!EB$117=1,YZ37&gt;0),2000,0)-IF(AND($U37=1,'calcA'!EC$117=1,IB37=0),2000,0))),1000000000))</f>
        <v/>
      </c>
      <c r="TF37">
        <f>IF($B37=0,1000000000,IF(INDEX('calcA'!$D$60:$EQ$99,$B37,131)*IF($W37=1,IB37+AEQ37,IB37)=1,IF(AND($E37=2,IF($W37=1,AKF37,NQ37)=0),1000000000,IF($V37=1,INDEX('calcA'!$D$130:$EQ$169,$B37,131)+IF(AND($E37=1,NQ37=0),25,0),IF($F37&gt;0,INDEX('calcA'!ED$110:ED$114,$F37+1)+IF(AND($E37=1,NQ37=0),1000,0),MIN(TZ37,20)*400+(IF('calcA'!EC$106=1,1-IA37,0)+IF('calcA'!ED$106=1,1-IC37,0))*150+116+'calcA'!ED$5*100000+IF(AND($E37=1,NQ37=0),50000,0))+IF($H37=1,INDEX('calcA'!$D$180:$EQ$219,$B37,131)*4000,0)-IF(AND('calcA'!EC$117=1,ZA37&gt;0),2000,0)-IF(AND($U37=1,'calcA'!ED$117=1,IC37=0),2000,0))),1000000000))</f>
        <v/>
      </c>
      <c r="TG37">
        <f>IF($B37=0,1000000000,IF(INDEX('calcA'!$D$60:$EQ$99,$B37,132)*IF($W37=1,IC37+AER37,IC37)=1,IF(AND($E37=2,IF($W37=1,AKG37,NR37)=0),1000000000,IF($V37=1,INDEX('calcA'!$D$130:$EQ$169,$B37,132)+IF(AND($E37=1,NR37=0),25,0),IF($F37&gt;0,INDEX('calcA'!EE$110:EE$114,$F37+1)+IF(AND($E37=1,NR37=0),1000,0),MIN(TZ37,20)*400+(IF('calcA'!ED$106=1,1-IB37,0)+IF('calcA'!EE$106=1,1-ID37,0))*150+126+'calcA'!EE$5*100000+IF(AND($E37=1,NR37=0),50000,0))+IF($H37=1,INDEX('calcA'!$D$180:$EQ$219,$B37,132)*4000,0)-IF(AND('calcA'!ED$117=1,ZB37&gt;0),2000,0)-IF(AND($U37=1,'calcA'!EE$117=1,ID37=0),2000,0))),1000000000))</f>
        <v/>
      </c>
      <c r="TH37">
        <f>IF($B37=0,1000000000,IF(INDEX('calcA'!$D$60:$EQ$99,$B37,133)*IF($W37=1,ID37+AES37,ID37)=1,IF(AND($E37=2,IF($W37=1,AKH37,NS37)=0),1000000000,IF($V37=1,INDEX('calcA'!$D$130:$EQ$169,$B37,133)+IF(AND($E37=1,NS37=0),25,0),IF($F37&gt;0,INDEX('calcA'!EF$110:EF$114,$F37+1)+IF(AND($E37=1,NS37=0),1000,0),MIN(TZ37,20)*400+(IF('calcA'!EE$106=1,1-IC37,0)+IF('calcA'!EF$106=1,1-IE37,0))*150+136+'calcA'!EF$5*100000+IF(AND($E37=1,NS37=0),50000,0))+IF($H37=1,INDEX('calcA'!$D$180:$EQ$219,$B37,133)*4000,0)-IF(AND('calcA'!EE$117=1,ZC37&gt;0),2000,0)-IF(AND($U37=1,'calcA'!EF$117=1,IE37=0),2000,0))),1000000000))</f>
        <v/>
      </c>
      <c r="TI37">
        <f>IF($B37=0,1000000000,IF(INDEX('calcA'!$D$60:$EQ$99,$B37,134)*IF($W37=1,IE37+AET37,IE37)=1,IF(AND($E37=2,IF($W37=1,AKI37,NT37)=0),1000000000,IF($V37=1,INDEX('calcA'!$D$130:$EQ$169,$B37,134)+IF(AND($E37=1,NT37=0),25,0),IF($F37&gt;0,INDEX('calcA'!EG$110:EG$114,$F37+1)+IF(AND($E37=1,NT37=0),1000,0),MIN(TZ37,20)*400+(IF('calcA'!EF$106=1,1-ID37,0)+IF('calcA'!EG$106=1,1-IF37,0))*150+146+'calcA'!EG$5*100000+IF(AND($E37=1,NT37=0),50000,0))+IF($H37=1,INDEX('calcA'!$D$180:$EQ$219,$B37,134)*4000,0)-IF(AND('calcA'!EF$117=1,ZD37&gt;0),2000,0)-IF(AND($U37=1,'calcA'!EG$117=1,IF37=0),2000,0))),1000000000))</f>
        <v/>
      </c>
      <c r="TJ37">
        <f>IF($B37=0,1000000000,IF(INDEX('calcA'!$D$60:$EQ$99,$B37,135)*IF($W37=1,IF37+AEU37,IF37)=1,IF(AND($E37=2,IF($W37=1,AKJ37,NU37)=0),1000000000,IF($V37=1,INDEX('calcA'!$D$130:$EQ$169,$B37,135)+IF(AND($E37=1,NU37=0),25,0),IF($F37&gt;0,INDEX('calcA'!EH$110:EH$114,$F37+1)+IF(AND($E37=1,NU37=0),1000,0),MIN(TZ37,20)*400+(IF('calcA'!EG$106=1,1-IE37,0)+IF('calcA'!EH$106=1,1-IG37,0))*150+156+'calcA'!EH$5*100000+IF(AND($E37=1,NU37=0),50000,0))+IF($H37=1,INDEX('calcA'!$D$180:$EQ$219,$B37,135)*4000,0)-IF(AND('calcA'!EG$117=1,ZE37&gt;0),2000,0)-IF(AND($U37=1,'calcA'!EH$117=1,IG37=0),2000,0))),1000000000))</f>
        <v/>
      </c>
      <c r="TK37">
        <f>IF($B37=0,1000000000,IF(INDEX('calcA'!$D$60:$EQ$99,$B37,136)*IF($W37=1,IG37+AEV37,IG37)=1,IF(AND($E37=2,IF($W37=1,AKK37,NV37)=0),1000000000,IF($V37=1,INDEX('calcA'!$D$130:$EQ$169,$B37,136)+IF(AND($E37=1,NV37=0),25,0),IF($F37&gt;0,INDEX('calcA'!EI$110:EI$114,$F37+1)+IF(AND($E37=1,NV37=0),1000,0),MIN(TZ37,20)*400+(IF('calcA'!EH$106=1,1-IF37,0)+IF('calcA'!EI$106=1,1-IH37,0))*150+166+'calcA'!EI$5*100000+IF(AND($E37=1,NV37=0),50000,0))+IF($H37=1,INDEX('calcA'!$D$180:$EQ$219,$B37,136)*4000,0)-IF(AND('calcA'!EH$117=1,ZF37&gt;0),2000,0)-IF(AND($U37=1,'calcA'!EI$117=1,IH37=0),2000,0))),1000000000))</f>
        <v/>
      </c>
      <c r="TL37">
        <f>IF($B37=0,1000000000,IF(INDEX('calcA'!$D$60:$EQ$99,$B37,137)*IF($W37=1,IH37+AEW37,IH37)=1,IF(AND($E37=2,IF($W37=1,AKL37,NW37)=0),1000000000,IF($V37=1,INDEX('calcA'!$D$130:$EQ$169,$B37,137)+IF(AND($E37=1,NW37=0),25,0),IF($F37&gt;0,INDEX('calcA'!EJ$110:EJ$114,$F37+1)+IF(AND($E37=1,NW37=0),1000,0),MIN(TZ37,20)*400+(IF('calcA'!EI$106=1,1-IG37,0)+IF('calcA'!EJ$106=1,1-II37,0))*150+176+'calcA'!EJ$5*100000+IF(AND($E37=1,NW37=0),50000,0))+IF($H37=1,INDEX('calcA'!$D$180:$EQ$219,$B37,137)*4000,0)-IF(AND('calcA'!EI$117=1,ZG37&gt;0),2000,0)-IF(AND($U37=1,'calcA'!EJ$117=1,II37=0),2000,0))),1000000000))</f>
        <v/>
      </c>
      <c r="TM37">
        <f>IF($B37=0,1000000000,IF(INDEX('calcA'!$D$60:$EQ$99,$B37,138)*IF($W37=1,II37+AEX37,II37)=1,IF(AND($E37=2,IF($W37=1,AKM37,NX37)=0),1000000000,IF($V37=1,INDEX('calcA'!$D$130:$EQ$169,$B37,138)+IF(AND($E37=1,NX37=0),25,0),IF($F37&gt;0,INDEX('calcA'!EK$110:EK$114,$F37+1)+IF(AND($E37=1,NX37=0),1000,0),MIN(TZ37,20)*400+(IF('calcA'!EJ$106=1,1-IH37,0)+IF('calcA'!EK$106=1,1-IJ37,0))*150+186+'calcA'!EK$5*100000+IF(AND($E37=1,NX37=0),50000,0))+IF($H37=1,INDEX('calcA'!$D$180:$EQ$219,$B37,138)*4000,0)-IF(AND('calcA'!EJ$117=1,ZH37&gt;0),2000,0)-IF(AND($U37=1,'calcA'!EK$117=1,IJ37=0),2000,0))),1000000000))</f>
        <v/>
      </c>
      <c r="TN37">
        <f>IF($B37=0,1000000000,IF(INDEX('calcA'!$D$60:$EQ$99,$B37,139)*IF($W37=1,IJ37+AEY37,IJ37)=1,IF(AND($E37=2,IF($W37=1,AKN37,NY37)=0),1000000000,IF($V37=1,INDEX('calcA'!$D$130:$EQ$169,$B37,139)+IF(AND($E37=1,NY37=0),25,0),IF($F37&gt;0,INDEX('calcA'!EL$110:EL$114,$F37+1)+IF(AND($E37=1,NY37=0),1000,0),MIN(TZ37,20)*400+(IF('calcA'!EK$106=1,1-II37,0)+IF('calcA'!EL$106=1,1-IK37,0))*150+196+'calcA'!EL$5*100000+IF(AND($E37=1,NY37=0),50000,0))+IF($H37=1,INDEX('calcA'!$D$180:$EQ$219,$B37,139)*4000,0)-IF(AND('calcA'!EK$117=1,ZI37&gt;0),2000,0)-IF(AND($U37=1,'calcA'!EL$117=1,IK37=0),2000,0))),1000000000))</f>
        <v/>
      </c>
      <c r="TO37">
        <f>IF($B37=0,1000000000,IF(INDEX('calcA'!$D$60:$EQ$99,$B37,140)*IF($W37=1,IK37+AEZ37,IK37)=1,IF(AND($E37=2,IF($W37=1,AKO37,NZ37)=0),1000000000,IF($V37=1,INDEX('calcA'!$D$130:$EQ$169,$B37,140)+IF(AND($E37=1,NZ37=0),25,0),IF($F37&gt;0,INDEX('calcA'!EM$110:EM$114,$F37+1)+IF(AND($E37=1,NZ37=0),1000,0),MIN(TZ37,20)*400+(IF('calcA'!EL$106=1,1-IJ37,0)+IF('calcA'!EM$106=1,1-IL37,0))*150+206+'calcA'!EM$5*100000+IF(AND($E37=1,NZ37=0),50000,0))+IF($H37=1,INDEX('calcA'!$D$180:$EQ$219,$B37,140)*4000,0)-IF(AND('calcA'!EL$117=1,ZJ37&gt;0),2000,0)-IF(AND($U37=1,'calcA'!EM$117=1,IL37=0),2000,0))),1000000000))</f>
        <v/>
      </c>
      <c r="TP37">
        <f>IF($B37=0,1000000000,IF(INDEX('calcA'!$D$60:$EQ$99,$B37,141)*IF($W37=1,IL37+AFA37,IL37)=1,IF(AND($E37=2,IF($W37=1,AKP37,OA37)=0),1000000000,IF($V37=1,INDEX('calcA'!$D$130:$EQ$169,$B37,141)+IF(AND($E37=1,OA37=0),25,0),IF($F37&gt;0,INDEX('calcA'!EN$110:EN$114,$F37+1)+IF(AND($E37=1,OA37=0),1000,0),MIN(TZ37,20)*400+(IF('calcA'!EM$106=1,1-IK37,0)+IF('calcA'!EN$106=1,1-IM37,0))*150+216+'calcA'!EN$5*100000+IF(AND($E37=1,OA37=0),50000,0))+IF($H37=1,INDEX('calcA'!$D$180:$EQ$219,$B37,141)*4000,0)-IF(AND('calcA'!EM$117=1,ZK37&gt;0),2000,0)-IF(AND($U37=1,'calcA'!EN$117=1,IM37=0),2000,0))),1000000000))</f>
        <v/>
      </c>
      <c r="TQ37">
        <f>IF($B37=0,1000000000,IF(INDEX('calcA'!$D$60:$EQ$99,$B37,142)*IF($W37=1,IM37+AFB37,IM37)=1,IF(AND($E37=2,IF($W37=1,AKQ37,OB37)=0),1000000000,IF($V37=1,INDEX('calcA'!$D$130:$EQ$169,$B37,142)+IF(AND($E37=1,OB37=0),25,0),IF($F37&gt;0,INDEX('calcA'!EO$110:EO$114,$F37+1)+IF(AND($E37=1,OB37=0),1000,0),MIN(TZ37,20)*400+(IF('calcA'!EN$106=1,1-IL37,0)+IF('calcA'!EO$106=1,1-IN37,0))*150+226+'calcA'!EO$5*100000+IF(AND($E37=1,OB37=0),50000,0))+IF($H37=1,INDEX('calcA'!$D$180:$EQ$219,$B37,142)*4000,0)-IF(AND('calcA'!EN$117=1,ZL37&gt;0),2000,0)-IF(AND($U37=1,'calcA'!EO$117=1,IN37=0),2000,0))),1000000000))</f>
        <v/>
      </c>
      <c r="TR37">
        <f>IF($B37=0,1000000000,IF(INDEX('calcA'!$D$60:$EQ$99,$B37,143)*IF($W37=1,IN37+AFC37,IN37)=1,IF(AND($E37=2,IF($W37=1,AKR37,OC37)=0),1000000000,IF($V37=1,INDEX('calcA'!$D$130:$EQ$169,$B37,143)+IF(AND($E37=1,OC37=0),25,0),IF($F37&gt;0,INDEX('calcA'!EP$110:EP$114,$F37+1)+IF(AND($E37=1,OC37=0),1000,0),MIN(TZ37,20)*400+(IF('calcA'!EO$106=1,1-IM37,0)+IF('calcA'!EP$106=1,1-IO37,0))*150+236+'calcA'!EP$5*100000+IF(AND($E37=1,OC37=0),50000,0))+IF($H37=1,INDEX('calcA'!$D$180:$EQ$219,$B37,143)*4000,0)-IF(AND('calcA'!EO$117=1,ZM37&gt;0),2000,0)-IF(AND($U37=1,'calcA'!EP$117=1,IO37=0),2000,0))),1000000000))</f>
        <v/>
      </c>
      <c r="TS37">
        <f>IF($B37=0,1000000000,IF(INDEX('calcA'!$D$60:$EQ$99,$B37,144)*IF($W37=1,IO37+AFD37,IO37)=1,IF(AND($E37=2,IF($W37=1,AKS37,OD37)=0),1000000000,IF($V37=1,INDEX('calcA'!$D$130:$EQ$169,$B37,144)+IF(AND($E37=1,OD37=0),25,0),IF($F37&gt;0,INDEX('calcA'!EQ$110:EQ$114,$F37+1)+IF(AND($E37=1,OD37=0),1000,0),MIN(TZ37,20)*400+(IF('calcA'!EP$106=1,1-IN37,0))*150+246+'calcA'!EQ$5*100000+IF(AND($E37=1,OD37=0),50000,0))+IF($H37=1,INDEX('calcA'!$D$180:$EQ$219,$B37,144)*4000,0)-IF(AND('calcA'!EP$117=1,ZN37&gt;0),2000,0))),1000000000))</f>
        <v/>
      </c>
      <c r="TU37">
        <f>TU36+IF($C36&gt;0,IF(INDEX('calcA'!$D$2:$EQ$2,$C36)=1,1,0),0)</f>
        <v/>
      </c>
      <c r="TV37">
        <f>TV36+IF($C36&gt;0,IF(INDEX('calcA'!$D$2:$EQ$2,$C36)=2,1,0),0)</f>
        <v/>
      </c>
      <c r="TW37">
        <f>TW36+IF($C36&gt;0,IF(INDEX('calcA'!$D$2:$EQ$2,$C36)=3,1,0),0)</f>
        <v/>
      </c>
      <c r="TX37">
        <f>TX36+IF($C36&gt;0,IF(INDEX('calcA'!$D$2:$EQ$2,$C36)=4,1,0),0)</f>
        <v/>
      </c>
      <c r="TY37">
        <f>TY36+IF($C36&gt;0,IF(INDEX('calcA'!$D$2:$EQ$2,$C36)=5,1,0),0)</f>
        <v/>
      </c>
      <c r="TZ37">
        <f>TZ36+IF($C36&gt;0,IF(INDEX('calcA'!$D$2:$EQ$2,$C36)=6,1,0),0)</f>
        <v/>
      </c>
      <c r="UB37">
        <f>UB36+IF(AND($C36=1,$U36=1),1,0)</f>
        <v/>
      </c>
      <c r="UC37">
        <f>UC36+IF(AND($C36=2,$U36=1),1,0)</f>
        <v/>
      </c>
      <c r="UD37">
        <f>UD36+IF(AND($C36=3,$U36=1),1,0)</f>
        <v/>
      </c>
      <c r="UE37">
        <f>UE36+IF(AND($C36=4,$U36=1),1,0)</f>
        <v/>
      </c>
      <c r="UF37">
        <f>UF36+IF(AND($C36=5,$U36=1),1,0)</f>
        <v/>
      </c>
      <c r="UG37">
        <f>UG36+IF(AND($C36=6,$U36=1),1,0)</f>
        <v/>
      </c>
      <c r="UH37">
        <f>UH36+IF(AND($C36=7,$U36=1),1,0)</f>
        <v/>
      </c>
      <c r="UI37">
        <f>UI36+IF(AND($C36=8,$U36=1),1,0)</f>
        <v/>
      </c>
      <c r="UJ37">
        <f>UJ36+IF(AND($C36=9,$U36=1),1,0)</f>
        <v/>
      </c>
      <c r="UK37">
        <f>UK36+IF(AND($C36=10,$U36=1),1,0)</f>
        <v/>
      </c>
      <c r="UL37">
        <f>UL36+IF(AND($C36=11,$U36=1),1,0)</f>
        <v/>
      </c>
      <c r="UM37">
        <f>UM36+IF(AND($C36=12,$U36=1),1,0)</f>
        <v/>
      </c>
      <c r="UN37">
        <f>UN36+IF(AND($C36=13,$U36=1),1,0)</f>
        <v/>
      </c>
      <c r="UO37">
        <f>UO36+IF(AND($C36=14,$U36=1),1,0)</f>
        <v/>
      </c>
      <c r="UP37">
        <f>UP36+IF(AND($C36=15,$U36=1),1,0)</f>
        <v/>
      </c>
      <c r="UQ37">
        <f>UQ36+IF(AND($C36=16,$U36=1),1,0)</f>
        <v/>
      </c>
      <c r="UR37">
        <f>UR36+IF(AND($C36=17,$U36=1),1,0)</f>
        <v/>
      </c>
      <c r="US37">
        <f>US36+IF(AND($C36=18,$U36=1),1,0)</f>
        <v/>
      </c>
      <c r="UT37">
        <f>UT36+IF(AND($C36=19,$U36=1),1,0)</f>
        <v/>
      </c>
      <c r="UU37">
        <f>UU36+IF(AND($C36=20,$U36=1),1,0)</f>
        <v/>
      </c>
      <c r="UV37">
        <f>UV36+IF(AND($C36=21,$U36=1),1,0)</f>
        <v/>
      </c>
      <c r="UW37">
        <f>UW36+IF(AND($C36=22,$U36=1),1,0)</f>
        <v/>
      </c>
      <c r="UX37">
        <f>UX36+IF(AND($C36=23,$U36=1),1,0)</f>
        <v/>
      </c>
      <c r="UY37">
        <f>UY36+IF(AND($C36=24,$U36=1),1,0)</f>
        <v/>
      </c>
      <c r="UZ37">
        <f>UZ36+IF(AND($C36=25,$U36=1),1,0)</f>
        <v/>
      </c>
      <c r="VA37">
        <f>VA36+IF(AND($C36=26,$U36=1),1,0)</f>
        <v/>
      </c>
      <c r="VB37">
        <f>VB36+IF(AND($C36=27,$U36=1),1,0)</f>
        <v/>
      </c>
      <c r="VC37">
        <f>VC36+IF(AND($C36=28,$U36=1),1,0)</f>
        <v/>
      </c>
      <c r="VD37">
        <f>VD36+IF(AND($C36=29,$U36=1),1,0)</f>
        <v/>
      </c>
      <c r="VE37">
        <f>VE36+IF(AND($C36=30,$U36=1),1,0)</f>
        <v/>
      </c>
      <c r="VF37">
        <f>VF36+IF(AND($C36=31,$U36=1),1,0)</f>
        <v/>
      </c>
      <c r="VG37">
        <f>VG36+IF(AND($C36=32,$U36=1),1,0)</f>
        <v/>
      </c>
      <c r="VH37">
        <f>VH36+IF(AND($C36=33,$U36=1),1,0)</f>
        <v/>
      </c>
      <c r="VI37">
        <f>VI36+IF(AND($C36=34,$U36=1),1,0)</f>
        <v/>
      </c>
      <c r="VJ37">
        <f>VJ36+IF(AND($C36=35,$U36=1),1,0)</f>
        <v/>
      </c>
      <c r="VK37">
        <f>VK36+IF(AND($C36=36,$U36=1),1,0)</f>
        <v/>
      </c>
      <c r="VL37">
        <f>VL36+IF(AND($C36=37,$U36=1),1,0)</f>
        <v/>
      </c>
      <c r="VM37">
        <f>VM36+IF(AND($C36=38,$U36=1),1,0)</f>
        <v/>
      </c>
      <c r="VN37">
        <f>VN36+IF(AND($C36=39,$U36=1),1,0)</f>
        <v/>
      </c>
      <c r="VO37">
        <f>VO36+IF(AND($C36=40,$U36=1),1,0)</f>
        <v/>
      </c>
      <c r="VP37">
        <f>VP36+IF(AND($C36=41,$U36=1),1,0)</f>
        <v/>
      </c>
      <c r="VQ37">
        <f>VQ36+IF(AND($C36=42,$U36=1),1,0)</f>
        <v/>
      </c>
      <c r="VR37">
        <f>VR36+IF(AND($C36=43,$U36=1),1,0)</f>
        <v/>
      </c>
      <c r="VS37">
        <f>VS36+IF(AND($C36=44,$U36=1),1,0)</f>
        <v/>
      </c>
      <c r="VT37">
        <f>VT36+IF(AND($C36=45,$U36=1),1,0)</f>
        <v/>
      </c>
      <c r="VU37">
        <f>VU36+IF(AND($C36=46,$U36=1),1,0)</f>
        <v/>
      </c>
      <c r="VV37">
        <f>VV36+IF(AND($C36=47,$U36=1),1,0)</f>
        <v/>
      </c>
      <c r="VW37">
        <f>VW36+IF(AND($C36=48,$U36=1),1,0)</f>
        <v/>
      </c>
      <c r="VX37">
        <f>VX36+IF(AND($C36=49,$U36=1),1,0)</f>
        <v/>
      </c>
      <c r="VY37">
        <f>VY36+IF(AND($C36=50,$U36=1),1,0)</f>
        <v/>
      </c>
      <c r="VZ37">
        <f>VZ36+IF(AND($C36=51,$U36=1),1,0)</f>
        <v/>
      </c>
      <c r="WA37">
        <f>WA36+IF(AND($C36=52,$U36=1),1,0)</f>
        <v/>
      </c>
      <c r="WB37">
        <f>WB36+IF(AND($C36=53,$U36=1),1,0)</f>
        <v/>
      </c>
      <c r="WC37">
        <f>WC36+IF(AND($C36=54,$U36=1),1,0)</f>
        <v/>
      </c>
      <c r="WD37">
        <f>WD36+IF(AND($C36=55,$U36=1),1,0)</f>
        <v/>
      </c>
      <c r="WE37">
        <f>WE36+IF(AND($C36=56,$U36=1),1,0)</f>
        <v/>
      </c>
      <c r="WF37">
        <f>WF36+IF(AND($C36=57,$U36=1),1,0)</f>
        <v/>
      </c>
      <c r="WG37">
        <f>WG36+IF(AND($C36=58,$U36=1),1,0)</f>
        <v/>
      </c>
      <c r="WH37">
        <f>WH36+IF(AND($C36=59,$U36=1),1,0)</f>
        <v/>
      </c>
      <c r="WI37">
        <f>WI36+IF(AND($C36=60,$U36=1),1,0)</f>
        <v/>
      </c>
      <c r="WJ37">
        <f>WJ36+IF(AND($C36=61,$U36=1),1,0)</f>
        <v/>
      </c>
      <c r="WK37">
        <f>WK36+IF(AND($C36=62,$U36=1),1,0)</f>
        <v/>
      </c>
      <c r="WL37">
        <f>WL36+IF(AND($C36=63,$U36=1),1,0)</f>
        <v/>
      </c>
      <c r="WM37">
        <f>WM36+IF(AND($C36=64,$U36=1),1,0)</f>
        <v/>
      </c>
      <c r="WN37">
        <f>WN36+IF(AND($C36=65,$U36=1),1,0)</f>
        <v/>
      </c>
      <c r="WO37">
        <f>WO36+IF(AND($C36=66,$U36=1),1,0)</f>
        <v/>
      </c>
      <c r="WP37">
        <f>WP36+IF(AND($C36=67,$U36=1),1,0)</f>
        <v/>
      </c>
      <c r="WQ37">
        <f>WQ36+IF(AND($C36=68,$U36=1),1,0)</f>
        <v/>
      </c>
      <c r="WR37">
        <f>WR36+IF(AND($C36=69,$U36=1),1,0)</f>
        <v/>
      </c>
      <c r="WS37">
        <f>WS36+IF(AND($C36=70,$U36=1),1,0)</f>
        <v/>
      </c>
      <c r="WT37">
        <f>WT36+IF(AND($C36=71,$U36=1),1,0)</f>
        <v/>
      </c>
      <c r="WU37">
        <f>WU36+IF(AND($C36=72,$U36=1),1,0)</f>
        <v/>
      </c>
      <c r="WV37">
        <f>WV36+IF(AND($C36=73,$U36=1),1,0)</f>
        <v/>
      </c>
      <c r="WW37">
        <f>WW36+IF(AND($C36=74,$U36=1),1,0)</f>
        <v/>
      </c>
      <c r="WX37">
        <f>WX36+IF(AND($C36=75,$U36=1),1,0)</f>
        <v/>
      </c>
      <c r="WY37">
        <f>WY36+IF(AND($C36=76,$U36=1),1,0)</f>
        <v/>
      </c>
      <c r="WZ37">
        <f>WZ36+IF(AND($C36=77,$U36=1),1,0)</f>
        <v/>
      </c>
      <c r="XA37">
        <f>XA36+IF(AND($C36=78,$U36=1),1,0)</f>
        <v/>
      </c>
      <c r="XB37">
        <f>XB36+IF(AND($C36=79,$U36=1),1,0)</f>
        <v/>
      </c>
      <c r="XC37">
        <f>XC36+IF(AND($C36=80,$U36=1),1,0)</f>
        <v/>
      </c>
      <c r="XD37">
        <f>XD36+IF(AND($C36=81,$U36=1),1,0)</f>
        <v/>
      </c>
      <c r="XE37">
        <f>XE36+IF(AND($C36=82,$U36=1),1,0)</f>
        <v/>
      </c>
      <c r="XF37">
        <f>XF36+IF(AND($C36=83,$U36=1),1,0)</f>
        <v/>
      </c>
      <c r="XG37">
        <f>XG36+IF(AND($C36=84,$U36=1),1,0)</f>
        <v/>
      </c>
      <c r="XH37">
        <f>XH36+IF(AND($C36=85,$U36=1),1,0)</f>
        <v/>
      </c>
      <c r="XI37">
        <f>XI36+IF(AND($C36=86,$U36=1),1,0)</f>
        <v/>
      </c>
      <c r="XJ37">
        <f>XJ36+IF(AND($C36=87,$U36=1),1,0)</f>
        <v/>
      </c>
      <c r="XK37">
        <f>XK36+IF(AND($C36=88,$U36=1),1,0)</f>
        <v/>
      </c>
      <c r="XL37">
        <f>XL36+IF(AND($C36=89,$U36=1),1,0)</f>
        <v/>
      </c>
      <c r="XM37">
        <f>XM36+IF(AND($C36=90,$U36=1),1,0)</f>
        <v/>
      </c>
      <c r="XN37">
        <f>XN36+IF(AND($C36=91,$U36=1),1,0)</f>
        <v/>
      </c>
      <c r="XO37">
        <f>XO36+IF(AND($C36=92,$U36=1),1,0)</f>
        <v/>
      </c>
      <c r="XP37">
        <f>XP36+IF(AND($C36=93,$U36=1),1,0)</f>
        <v/>
      </c>
      <c r="XQ37">
        <f>XQ36+IF(AND($C36=94,$U36=1),1,0)</f>
        <v/>
      </c>
      <c r="XR37">
        <f>XR36+IF(AND($C36=95,$U36=1),1,0)</f>
        <v/>
      </c>
      <c r="XS37">
        <f>XS36+IF(AND($C36=96,$U36=1),1,0)</f>
        <v/>
      </c>
      <c r="XT37">
        <f>XT36+IF(AND($C36=97,$U36=1),1,0)</f>
        <v/>
      </c>
      <c r="XU37">
        <f>XU36+IF(AND($C36=98,$U36=1),1,0)</f>
        <v/>
      </c>
      <c r="XV37">
        <f>XV36+IF(AND($C36=99,$U36=1),1,0)</f>
        <v/>
      </c>
      <c r="XW37">
        <f>XW36+IF(AND($C36=100,$U36=1),1,0)</f>
        <v/>
      </c>
      <c r="XX37">
        <f>XX36+IF(AND($C36=101,$U36=1),1,0)</f>
        <v/>
      </c>
      <c r="XY37">
        <f>XY36+IF(AND($C36=102,$U36=1),1,0)</f>
        <v/>
      </c>
      <c r="XZ37">
        <f>XZ36+IF(AND($C36=103,$U36=1),1,0)</f>
        <v/>
      </c>
      <c r="YA37">
        <f>YA36+IF(AND($C36=104,$U36=1),1,0)</f>
        <v/>
      </c>
      <c r="YB37">
        <f>YB36+IF(AND($C36=105,$U36=1),1,0)</f>
        <v/>
      </c>
      <c r="YC37">
        <f>YC36+IF(AND($C36=106,$U36=1),1,0)</f>
        <v/>
      </c>
      <c r="YD37">
        <f>YD36+IF(AND($C36=107,$U36=1),1,0)</f>
        <v/>
      </c>
      <c r="YE37">
        <f>YE36+IF(AND($C36=108,$U36=1),1,0)</f>
        <v/>
      </c>
      <c r="YF37">
        <f>YF36+IF(AND($C36=109,$U36=1),1,0)</f>
        <v/>
      </c>
      <c r="YG37">
        <f>YG36+IF(AND($C36=110,$U36=1),1,0)</f>
        <v/>
      </c>
      <c r="YH37">
        <f>YH36+IF(AND($C36=111,$U36=1),1,0)</f>
        <v/>
      </c>
      <c r="YI37">
        <f>YI36+IF(AND($C36=112,$U36=1),1,0)</f>
        <v/>
      </c>
      <c r="YJ37">
        <f>YJ36+IF(AND($C36=113,$U36=1),1,0)</f>
        <v/>
      </c>
      <c r="YK37">
        <f>YK36+IF(AND($C36=114,$U36=1),1,0)</f>
        <v/>
      </c>
      <c r="YL37">
        <f>YL36+IF(AND($C36=115,$U36=1),1,0)</f>
        <v/>
      </c>
      <c r="YM37">
        <f>YM36+IF(AND($C36=116,$U36=1),1,0)</f>
        <v/>
      </c>
      <c r="YN37">
        <f>YN36+IF(AND($C36=117,$U36=1),1,0)</f>
        <v/>
      </c>
      <c r="YO37">
        <f>YO36+IF(AND($C36=118,$U36=1),1,0)</f>
        <v/>
      </c>
      <c r="YP37">
        <f>YP36+IF(AND($C36=119,$U36=1),1,0)</f>
        <v/>
      </c>
      <c r="YQ37">
        <f>YQ36+IF(AND($C36=120,$U36=1),1,0)</f>
        <v/>
      </c>
      <c r="YR37">
        <f>YR36+IF(AND($C36=121,$U36=1),1,0)</f>
        <v/>
      </c>
      <c r="YS37">
        <f>YS36+IF(AND($C36=122,$U36=1),1,0)</f>
        <v/>
      </c>
      <c r="YT37">
        <f>YT36+IF(AND($C36=123,$U36=1),1,0)</f>
        <v/>
      </c>
      <c r="YU37">
        <f>YU36+IF(AND($C36=124,$U36=1),1,0)</f>
        <v/>
      </c>
      <c r="YV37">
        <f>YV36+IF(AND($C36=125,$U36=1),1,0)</f>
        <v/>
      </c>
      <c r="YW37">
        <f>YW36+IF(AND($C36=126,$U36=1),1,0)</f>
        <v/>
      </c>
      <c r="YX37">
        <f>YX36+IF(AND($C36=127,$U36=1),1,0)</f>
        <v/>
      </c>
      <c r="YY37">
        <f>YY36+IF(AND($C36=128,$U36=1),1,0)</f>
        <v/>
      </c>
      <c r="YZ37">
        <f>YZ36+IF(AND($C36=129,$U36=1),1,0)</f>
        <v/>
      </c>
      <c r="ZA37">
        <f>ZA36+IF(AND($C36=130,$U36=1),1,0)</f>
        <v/>
      </c>
      <c r="ZB37">
        <f>ZB36+IF(AND($C36=131,$U36=1),1,0)</f>
        <v/>
      </c>
      <c r="ZC37">
        <f>ZC36+IF(AND($C36=132,$U36=1),1,0)</f>
        <v/>
      </c>
      <c r="ZD37">
        <f>ZD36+IF(AND($C36=133,$U36=1),1,0)</f>
        <v/>
      </c>
      <c r="ZE37">
        <f>ZE36+IF(AND($C36=134,$U36=1),1,0)</f>
        <v/>
      </c>
      <c r="ZF37">
        <f>ZF36+IF(AND($C36=135,$U36=1),1,0)</f>
        <v/>
      </c>
      <c r="ZG37">
        <f>ZG36+IF(AND($C36=136,$U36=1),1,0)</f>
        <v/>
      </c>
      <c r="ZH37">
        <f>ZH36+IF(AND($C36=137,$U36=1),1,0)</f>
        <v/>
      </c>
      <c r="ZI37">
        <f>ZI36+IF(AND($C36=138,$U36=1),1,0)</f>
        <v/>
      </c>
      <c r="ZJ37">
        <f>ZJ36+IF(AND($C36=139,$U36=1),1,0)</f>
        <v/>
      </c>
      <c r="ZK37">
        <f>ZK36+IF(AND($C36=140,$U36=1),1,0)</f>
        <v/>
      </c>
      <c r="ZL37">
        <f>ZL36+IF(AND($C36=141,$U36=1),1,0)</f>
        <v/>
      </c>
      <c r="ZM37">
        <f>ZM36+IF(AND($C36=142,$U36=1),1,0)</f>
        <v/>
      </c>
      <c r="ZN37">
        <f>ZN36+IF(AND($C36=143,$U36=1),1,0)</f>
        <v/>
      </c>
      <c r="ZO37">
        <f>ZO36+IF(AND($C36=144,$U36=1),1,0)</f>
        <v/>
      </c>
      <c r="ZQ37">
        <f>IF($C36=1,0,ZQ36+IF(AND($G36=1,$E36=1),1,0))</f>
        <v/>
      </c>
      <c r="ZR37">
        <f>IF($C36=2,0,ZR36+IF(AND($G36=2,$E36=1),1,0))</f>
        <v/>
      </c>
      <c r="ZS37">
        <f>IF($C36=3,0,ZS36+IF(AND($G36=3,$E36=1),1,0))</f>
        <v/>
      </c>
      <c r="ZT37">
        <f>IF($C36=4,0,ZT36+IF(AND($G36=4,$E36=1),1,0))</f>
        <v/>
      </c>
      <c r="ZU37">
        <f>IF($C36=5,0,ZU36+IF(AND($G36=5,$E36=1),1,0))</f>
        <v/>
      </c>
      <c r="ZV37">
        <f>IF($C36=6,0,ZV36+IF(AND($G36=6,$E36=1),1,0))</f>
        <v/>
      </c>
      <c r="ZW37">
        <f>IF($C36=7,0,ZW36+IF(AND($G36=7,$E36=1),1,0))</f>
        <v/>
      </c>
      <c r="ZX37">
        <f>IF($C36=8,0,ZX36+IF(AND($G36=8,$E36=1),1,0))</f>
        <v/>
      </c>
      <c r="ZY37">
        <f>IF($C36=9,0,ZY36+IF(AND($G36=9,$E36=1),1,0))</f>
        <v/>
      </c>
      <c r="ZZ37">
        <f>IF($C36=10,0,ZZ36+IF(AND($G36=10,$E36=1),1,0))</f>
        <v/>
      </c>
      <c r="AAA37">
        <f>IF($C36=11,0,AAA36+IF(AND($G36=11,$E36=1),1,0))</f>
        <v/>
      </c>
      <c r="AAB37">
        <f>IF($C36=12,0,AAB36+IF(AND($G36=12,$E36=1),1,0))</f>
        <v/>
      </c>
      <c r="AAC37">
        <f>IF($C36=13,0,AAC36+IF(AND($G36=13,$E36=1),1,0))</f>
        <v/>
      </c>
      <c r="AAD37">
        <f>IF($C36=14,0,AAD36+IF(AND($G36=14,$E36=1),1,0))</f>
        <v/>
      </c>
      <c r="AAE37">
        <f>IF($C36=15,0,AAE36+IF(AND($G36=15,$E36=1),1,0))</f>
        <v/>
      </c>
      <c r="AAF37">
        <f>IF($C36=16,0,AAF36+IF(AND($G36=16,$E36=1),1,0))</f>
        <v/>
      </c>
      <c r="AAG37">
        <f>IF($C36=17,0,AAG36+IF(AND($G36=17,$E36=1),1,0))</f>
        <v/>
      </c>
      <c r="AAH37">
        <f>IF($C36=18,0,AAH36+IF(AND($G36=18,$E36=1),1,0))</f>
        <v/>
      </c>
      <c r="AAI37">
        <f>IF($C36=19,0,AAI36+IF(AND($G36=19,$E36=1),1,0))</f>
        <v/>
      </c>
      <c r="AAJ37">
        <f>IF($C36=20,0,AAJ36+IF(AND($G36=20,$E36=1),1,0))</f>
        <v/>
      </c>
      <c r="AAK37">
        <f>IF($C36=21,0,AAK36+IF(AND($G36=21,$E36=1),1,0))</f>
        <v/>
      </c>
      <c r="AAL37">
        <f>IF($C36=22,0,AAL36+IF(AND($G36=22,$E36=1),1,0))</f>
        <v/>
      </c>
      <c r="AAM37">
        <f>IF($C36=23,0,AAM36+IF(AND($G36=23,$E36=1),1,0))</f>
        <v/>
      </c>
      <c r="AAN37">
        <f>IF($C36=24,0,AAN36+IF(AND($G36=24,$E36=1),1,0))</f>
        <v/>
      </c>
      <c r="AAO37">
        <f>IF($C36=25,0,AAO36+IF(AND($G36=25,$E36=1),1,0))</f>
        <v/>
      </c>
      <c r="AAP37">
        <f>IF($C36=26,0,AAP36+IF(AND($G36=26,$E36=1),1,0))</f>
        <v/>
      </c>
      <c r="AAQ37">
        <f>IF($C36=27,0,AAQ36+IF(AND($G36=27,$E36=1),1,0))</f>
        <v/>
      </c>
      <c r="AAR37">
        <f>IF($C36=28,0,AAR36+IF(AND($G36=28,$E36=1),1,0))</f>
        <v/>
      </c>
      <c r="AAS37">
        <f>IF($C36=29,0,AAS36+IF(AND($G36=29,$E36=1),1,0))</f>
        <v/>
      </c>
      <c r="AAT37">
        <f>IF($C36=30,0,AAT36+IF(AND($G36=30,$E36=1),1,0))</f>
        <v/>
      </c>
      <c r="AAU37">
        <f>IF($C36=31,0,AAU36+IF(AND($G36=31,$E36=1),1,0))</f>
        <v/>
      </c>
      <c r="AAV37">
        <f>IF($C36=32,0,AAV36+IF(AND($G36=32,$E36=1),1,0))</f>
        <v/>
      </c>
      <c r="AAW37">
        <f>IF($C36=33,0,AAW36+IF(AND($G36=33,$E36=1),1,0))</f>
        <v/>
      </c>
      <c r="AAX37">
        <f>IF($C36=34,0,AAX36+IF(AND($G36=34,$E36=1),1,0))</f>
        <v/>
      </c>
      <c r="AAY37">
        <f>IF($C36=35,0,AAY36+IF(AND($G36=35,$E36=1),1,0))</f>
        <v/>
      </c>
      <c r="AAZ37">
        <f>IF($C36=36,0,AAZ36+IF(AND($G36=36,$E36=1),1,0))</f>
        <v/>
      </c>
      <c r="ABA37">
        <f>IF($C36=37,0,ABA36+IF(AND($G36=37,$E36=1),1,0))</f>
        <v/>
      </c>
      <c r="ABB37">
        <f>IF($C36=38,0,ABB36+IF(AND($G36=38,$E36=1),1,0))</f>
        <v/>
      </c>
      <c r="ABC37">
        <f>IF($C36=39,0,ABC36+IF(AND($G36=39,$E36=1),1,0))</f>
        <v/>
      </c>
      <c r="ABD37">
        <f>IF($C36=40,0,ABD36+IF(AND($G36=40,$E36=1),1,0))</f>
        <v/>
      </c>
      <c r="ABE37">
        <f>IF($C36=41,0,ABE36+IF(AND($G36=41,$E36=1),1,0))</f>
        <v/>
      </c>
      <c r="ABF37">
        <f>IF($C36=42,0,ABF36+IF(AND($G36=42,$E36=1),1,0))</f>
        <v/>
      </c>
      <c r="ABG37">
        <f>IF($C36=43,0,ABG36+IF(AND($G36=43,$E36=1),1,0))</f>
        <v/>
      </c>
      <c r="ABH37">
        <f>IF($C36=44,0,ABH36+IF(AND($G36=44,$E36=1),1,0))</f>
        <v/>
      </c>
      <c r="ABI37">
        <f>IF($C36=45,0,ABI36+IF(AND($G36=45,$E36=1),1,0))</f>
        <v/>
      </c>
      <c r="ABJ37">
        <f>IF($C36=46,0,ABJ36+IF(AND($G36=46,$E36=1),1,0))</f>
        <v/>
      </c>
      <c r="ABK37">
        <f>IF($C36=47,0,ABK36+IF(AND($G36=47,$E36=1),1,0))</f>
        <v/>
      </c>
      <c r="ABL37">
        <f>IF($C36=48,0,ABL36+IF(AND($G36=48,$E36=1),1,0))</f>
        <v/>
      </c>
      <c r="ABM37">
        <f>IF($C36=49,0,ABM36+IF(AND($G36=49,$E36=1),1,0))</f>
        <v/>
      </c>
      <c r="ABN37">
        <f>IF($C36=50,0,ABN36+IF(AND($G36=50,$E36=1),1,0))</f>
        <v/>
      </c>
      <c r="ABO37">
        <f>IF($C36=51,0,ABO36+IF(AND($G36=51,$E36=1),1,0))</f>
        <v/>
      </c>
      <c r="ABP37">
        <f>IF($C36=52,0,ABP36+IF(AND($G36=52,$E36=1),1,0))</f>
        <v/>
      </c>
      <c r="ABQ37">
        <f>IF($C36=53,0,ABQ36+IF(AND($G36=53,$E36=1),1,0))</f>
        <v/>
      </c>
      <c r="ABR37">
        <f>IF($C36=54,0,ABR36+IF(AND($G36=54,$E36=1),1,0))</f>
        <v/>
      </c>
      <c r="ABS37">
        <f>IF($C36=55,0,ABS36+IF(AND($G36=55,$E36=1),1,0))</f>
        <v/>
      </c>
      <c r="ABT37">
        <f>IF($C36=56,0,ABT36+IF(AND($G36=56,$E36=1),1,0))</f>
        <v/>
      </c>
      <c r="ABU37">
        <f>IF($C36=57,0,ABU36+IF(AND($G36=57,$E36=1),1,0))</f>
        <v/>
      </c>
      <c r="ABV37">
        <f>IF($C36=58,0,ABV36+IF(AND($G36=58,$E36=1),1,0))</f>
        <v/>
      </c>
      <c r="ABW37">
        <f>IF($C36=59,0,ABW36+IF(AND($G36=59,$E36=1),1,0))</f>
        <v/>
      </c>
      <c r="ABX37">
        <f>IF($C36=60,0,ABX36+IF(AND($G36=60,$E36=1),1,0))</f>
        <v/>
      </c>
      <c r="ABY37">
        <f>IF($C36=61,0,ABY36+IF(AND($G36=61,$E36=1),1,0))</f>
        <v/>
      </c>
      <c r="ABZ37">
        <f>IF($C36=62,0,ABZ36+IF(AND($G36=62,$E36=1),1,0))</f>
        <v/>
      </c>
      <c r="ACA37">
        <f>IF($C36=63,0,ACA36+IF(AND($G36=63,$E36=1),1,0))</f>
        <v/>
      </c>
      <c r="ACB37">
        <f>IF($C36=64,0,ACB36+IF(AND($G36=64,$E36=1),1,0))</f>
        <v/>
      </c>
      <c r="ACC37">
        <f>IF($C36=65,0,ACC36+IF(AND($G36=65,$E36=1),1,0))</f>
        <v/>
      </c>
      <c r="ACD37">
        <f>IF($C36=66,0,ACD36+IF(AND($G36=66,$E36=1),1,0))</f>
        <v/>
      </c>
      <c r="ACE37">
        <f>IF($C36=67,0,ACE36+IF(AND($G36=67,$E36=1),1,0))</f>
        <v/>
      </c>
      <c r="ACF37">
        <f>IF($C36=68,0,ACF36+IF(AND($G36=68,$E36=1),1,0))</f>
        <v/>
      </c>
      <c r="ACG37">
        <f>IF($C36=69,0,ACG36+IF(AND($G36=69,$E36=1),1,0))</f>
        <v/>
      </c>
      <c r="ACH37">
        <f>IF($C36=70,0,ACH36+IF(AND($G36=70,$E36=1),1,0))</f>
        <v/>
      </c>
      <c r="ACI37">
        <f>IF($C36=71,0,ACI36+IF(AND($G36=71,$E36=1),1,0))</f>
        <v/>
      </c>
      <c r="ACJ37">
        <f>IF($C36=72,0,ACJ36+IF(AND($G36=72,$E36=1),1,0))</f>
        <v/>
      </c>
      <c r="ACK37">
        <f>IF($C36=73,0,ACK36+IF(AND($G36=73,$E36=1),1,0))</f>
        <v/>
      </c>
      <c r="ACL37">
        <f>IF($C36=74,0,ACL36+IF(AND($G36=74,$E36=1),1,0))</f>
        <v/>
      </c>
      <c r="ACM37">
        <f>IF($C36=75,0,ACM36+IF(AND($G36=75,$E36=1),1,0))</f>
        <v/>
      </c>
      <c r="ACN37">
        <f>IF($C36=76,0,ACN36+IF(AND($G36=76,$E36=1),1,0))</f>
        <v/>
      </c>
      <c r="ACO37">
        <f>IF($C36=77,0,ACO36+IF(AND($G36=77,$E36=1),1,0))</f>
        <v/>
      </c>
      <c r="ACP37">
        <f>IF($C36=78,0,ACP36+IF(AND($G36=78,$E36=1),1,0))</f>
        <v/>
      </c>
      <c r="ACQ37">
        <f>IF($C36=79,0,ACQ36+IF(AND($G36=79,$E36=1),1,0))</f>
        <v/>
      </c>
      <c r="ACR37">
        <f>IF($C36=80,0,ACR36+IF(AND($G36=80,$E36=1),1,0))</f>
        <v/>
      </c>
      <c r="ACS37">
        <f>IF($C36=81,0,ACS36+IF(AND($G36=81,$E36=1),1,0))</f>
        <v/>
      </c>
      <c r="ACT37">
        <f>IF($C36=82,0,ACT36+IF(AND($G36=82,$E36=1),1,0))</f>
        <v/>
      </c>
      <c r="ACU37">
        <f>IF($C36=83,0,ACU36+IF(AND($G36=83,$E36=1),1,0))</f>
        <v/>
      </c>
      <c r="ACV37">
        <f>IF($C36=84,0,ACV36+IF(AND($G36=84,$E36=1),1,0))</f>
        <v/>
      </c>
      <c r="ACW37">
        <f>IF($C36=85,0,ACW36+IF(AND($G36=85,$E36=1),1,0))</f>
        <v/>
      </c>
      <c r="ACX37">
        <f>IF($C36=86,0,ACX36+IF(AND($G36=86,$E36=1),1,0))</f>
        <v/>
      </c>
      <c r="ACY37">
        <f>IF($C36=87,0,ACY36+IF(AND($G36=87,$E36=1),1,0))</f>
        <v/>
      </c>
      <c r="ACZ37">
        <f>IF($C36=88,0,ACZ36+IF(AND($G36=88,$E36=1),1,0))</f>
        <v/>
      </c>
      <c r="ADA37">
        <f>IF($C36=89,0,ADA36+IF(AND($G36=89,$E36=1),1,0))</f>
        <v/>
      </c>
      <c r="ADB37">
        <f>IF($C36=90,0,ADB36+IF(AND($G36=90,$E36=1),1,0))</f>
        <v/>
      </c>
      <c r="ADC37">
        <f>IF($C36=91,0,ADC36+IF(AND($G36=91,$E36=1),1,0))</f>
        <v/>
      </c>
      <c r="ADD37">
        <f>IF($C36=92,0,ADD36+IF(AND($G36=92,$E36=1),1,0))</f>
        <v/>
      </c>
      <c r="ADE37">
        <f>IF($C36=93,0,ADE36+IF(AND($G36=93,$E36=1),1,0))</f>
        <v/>
      </c>
      <c r="ADF37">
        <f>IF($C36=94,0,ADF36+IF(AND($G36=94,$E36=1),1,0))</f>
        <v/>
      </c>
      <c r="ADG37">
        <f>IF($C36=95,0,ADG36+IF(AND($G36=95,$E36=1),1,0))</f>
        <v/>
      </c>
      <c r="ADH37">
        <f>IF($C36=96,0,ADH36+IF(AND($G36=96,$E36=1),1,0))</f>
        <v/>
      </c>
      <c r="ADI37">
        <f>IF($C36=97,0,ADI36+IF(AND($G36=97,$E36=1),1,0))</f>
        <v/>
      </c>
      <c r="ADJ37">
        <f>IF($C36=98,0,ADJ36+IF(AND($G36=98,$E36=1),1,0))</f>
        <v/>
      </c>
      <c r="ADK37">
        <f>IF($C36=99,0,ADK36+IF(AND($G36=99,$E36=1),1,0))</f>
        <v/>
      </c>
      <c r="ADL37">
        <f>IF($C36=100,0,ADL36+IF(AND($G36=100,$E36=1),1,0))</f>
        <v/>
      </c>
      <c r="ADM37">
        <f>IF($C36=101,0,ADM36+IF(AND($G36=101,$E36=1),1,0))</f>
        <v/>
      </c>
      <c r="ADN37">
        <f>IF($C36=102,0,ADN36+IF(AND($G36=102,$E36=1),1,0))</f>
        <v/>
      </c>
      <c r="ADO37">
        <f>IF($C36=103,0,ADO36+IF(AND($G36=103,$E36=1),1,0))</f>
        <v/>
      </c>
      <c r="ADP37">
        <f>IF($C36=104,0,ADP36+IF(AND($G36=104,$E36=1),1,0))</f>
        <v/>
      </c>
      <c r="ADQ37">
        <f>IF($C36=105,0,ADQ36+IF(AND($G36=105,$E36=1),1,0))</f>
        <v/>
      </c>
      <c r="ADR37">
        <f>IF($C36=106,0,ADR36+IF(AND($G36=106,$E36=1),1,0))</f>
        <v/>
      </c>
      <c r="ADS37">
        <f>IF($C36=107,0,ADS36+IF(AND($G36=107,$E36=1),1,0))</f>
        <v/>
      </c>
      <c r="ADT37">
        <f>IF($C36=108,0,ADT36+IF(AND($G36=108,$E36=1),1,0))</f>
        <v/>
      </c>
      <c r="ADU37">
        <f>IF($C36=109,0,ADU36+IF(AND($G36=109,$E36=1),1,0))</f>
        <v/>
      </c>
      <c r="ADV37">
        <f>IF($C36=110,0,ADV36+IF(AND($G36=110,$E36=1),1,0))</f>
        <v/>
      </c>
      <c r="ADW37">
        <f>IF($C36=111,0,ADW36+IF(AND($G36=111,$E36=1),1,0))</f>
        <v/>
      </c>
      <c r="ADX37">
        <f>IF($C36=112,0,ADX36+IF(AND($G36=112,$E36=1),1,0))</f>
        <v/>
      </c>
      <c r="ADY37">
        <f>IF($C36=113,0,ADY36+IF(AND($G36=113,$E36=1),1,0))</f>
        <v/>
      </c>
      <c r="ADZ37">
        <f>IF($C36=114,0,ADZ36+IF(AND($G36=114,$E36=1),1,0))</f>
        <v/>
      </c>
      <c r="AEA37">
        <f>IF($C36=115,0,AEA36+IF(AND($G36=115,$E36=1),1,0))</f>
        <v/>
      </c>
      <c r="AEB37">
        <f>IF($C36=116,0,AEB36+IF(AND($G36=116,$E36=1),1,0))</f>
        <v/>
      </c>
      <c r="AEC37">
        <f>IF($C36=117,0,AEC36+IF(AND($G36=117,$E36=1),1,0))</f>
        <v/>
      </c>
      <c r="AED37">
        <f>IF($C36=118,0,AED36+IF(AND($G36=118,$E36=1),1,0))</f>
        <v/>
      </c>
      <c r="AEE37">
        <f>IF($C36=119,0,AEE36+IF(AND($G36=119,$E36=1),1,0))</f>
        <v/>
      </c>
      <c r="AEF37">
        <f>IF($C36=120,0,AEF36+IF(AND($G36=120,$E36=1),1,0))</f>
        <v/>
      </c>
      <c r="AEG37">
        <f>IF($C36=121,0,AEG36+IF(AND($G36=121,$E36=1),1,0))</f>
        <v/>
      </c>
      <c r="AEH37">
        <f>IF($C36=122,0,AEH36+IF(AND($G36=122,$E36=1),1,0))</f>
        <v/>
      </c>
      <c r="AEI37">
        <f>IF($C36=123,0,AEI36+IF(AND($G36=123,$E36=1),1,0))</f>
        <v/>
      </c>
      <c r="AEJ37">
        <f>IF($C36=124,0,AEJ36+IF(AND($G36=124,$E36=1),1,0))</f>
        <v/>
      </c>
      <c r="AEK37">
        <f>IF($C36=125,0,AEK36+IF(AND($G36=125,$E36=1),1,0))</f>
        <v/>
      </c>
      <c r="AEL37">
        <f>IF($C36=126,0,AEL36+IF(AND($G36=126,$E36=1),1,0))</f>
        <v/>
      </c>
      <c r="AEM37">
        <f>IF($C36=127,0,AEM36+IF(AND($G36=127,$E36=1),1,0))</f>
        <v/>
      </c>
      <c r="AEN37">
        <f>IF($C36=128,0,AEN36+IF(AND($G36=128,$E36=1),1,0))</f>
        <v/>
      </c>
      <c r="AEO37">
        <f>IF($C36=129,0,AEO36+IF(AND($G36=129,$E36=1),1,0))</f>
        <v/>
      </c>
      <c r="AEP37">
        <f>IF($C36=130,0,AEP36+IF(AND($G36=130,$E36=1),1,0))</f>
        <v/>
      </c>
      <c r="AEQ37">
        <f>IF($C36=131,0,AEQ36+IF(AND($G36=131,$E36=1),1,0))</f>
        <v/>
      </c>
      <c r="AER37">
        <f>IF($C36=132,0,AER36+IF(AND($G36=132,$E36=1),1,0))</f>
        <v/>
      </c>
      <c r="AES37">
        <f>IF($C36=133,0,AES36+IF(AND($G36=133,$E36=1),1,0))</f>
        <v/>
      </c>
      <c r="AET37">
        <f>IF($C36=134,0,AET36+IF(AND($G36=134,$E36=1),1,0))</f>
        <v/>
      </c>
      <c r="AEU37">
        <f>IF($C36=135,0,AEU36+IF(AND($G36=135,$E36=1),1,0))</f>
        <v/>
      </c>
      <c r="AEV37">
        <f>IF($C36=136,0,AEV36+IF(AND($G36=136,$E36=1),1,0))</f>
        <v/>
      </c>
      <c r="AEW37">
        <f>IF($C36=137,0,AEW36+IF(AND($G36=137,$E36=1),1,0))</f>
        <v/>
      </c>
      <c r="AEX37">
        <f>IF($C36=138,0,AEX36+IF(AND($G36=138,$E36=1),1,0))</f>
        <v/>
      </c>
      <c r="AEY37">
        <f>IF($C36=139,0,AEY36+IF(AND($G36=139,$E36=1),1,0))</f>
        <v/>
      </c>
      <c r="AEZ37">
        <f>IF($C36=140,0,AEZ36+IF(AND($G36=140,$E36=1),1,0))</f>
        <v/>
      </c>
      <c r="AFA37">
        <f>IF($C36=141,0,AFA36+IF(AND($G36=141,$E36=1),1,0))</f>
        <v/>
      </c>
      <c r="AFB37">
        <f>IF($C36=142,0,AFB36+IF(AND($G36=142,$E36=1),1,0))</f>
        <v/>
      </c>
      <c r="AFC37">
        <f>IF($C36=143,0,AFC36+IF(AND($G36=143,$E36=1),1,0))</f>
        <v/>
      </c>
      <c r="AFD37">
        <f>IF($C36=144,0,AFD36+IF(AND($G36=144,$E36=1),1,0))</f>
        <v/>
      </c>
      <c r="AFF37">
        <f>IF('calcA'!D$106=1,DC37+ZR37,1)</f>
        <v/>
      </c>
      <c r="AFG37">
        <f>IF('calcA'!E$106=1,DD37+ZS37,1)</f>
        <v/>
      </c>
      <c r="AFH37">
        <f>IF('calcA'!F$106=1,DE37+ZT37,1)</f>
        <v/>
      </c>
      <c r="AFI37">
        <f>IF('calcA'!G$106=1,DF37+ZU37,1)</f>
        <v/>
      </c>
      <c r="AFJ37">
        <f>IF('calcA'!H$106=1,DG37+ZV37,1)</f>
        <v/>
      </c>
      <c r="AFK37">
        <f>IF('calcA'!I$106=1,DH37+ZW37,1)</f>
        <v/>
      </c>
      <c r="AFL37">
        <f>IF('calcA'!J$106=1,DI37+ZX37,1)</f>
        <v/>
      </c>
      <c r="AFM37">
        <f>IF('calcA'!K$106=1,DJ37+ZY37,1)</f>
        <v/>
      </c>
      <c r="AFN37">
        <f>IF('calcA'!L$106=1,DK37+ZZ37,1)</f>
        <v/>
      </c>
      <c r="AFO37">
        <f>IF('calcA'!M$106=1,DL37+AAA37,1)</f>
        <v/>
      </c>
      <c r="AFP37">
        <f>IF('calcA'!N$106=1,DM37+AAB37,1)</f>
        <v/>
      </c>
      <c r="AFQ37">
        <f>IF('calcA'!O$106=1,DN37+AAC37,1)</f>
        <v/>
      </c>
      <c r="AFR37">
        <f>IF('calcA'!P$106=1,DO37+AAD37,1)</f>
        <v/>
      </c>
      <c r="AFS37">
        <f>IF('calcA'!Q$106=1,DP37+AAE37,1)</f>
        <v/>
      </c>
      <c r="AFT37">
        <f>IF('calcA'!R$106=1,DQ37+AAF37,1)</f>
        <v/>
      </c>
      <c r="AFU37">
        <f>IF('calcA'!S$106=1,DR37+AAG37,1)</f>
        <v/>
      </c>
      <c r="AFV37">
        <f>IF('calcA'!T$106=1,DS37+AAH37,1)</f>
        <v/>
      </c>
      <c r="AFW37">
        <f>IF('calcA'!U$106=1,DT37+AAI37,1)</f>
        <v/>
      </c>
      <c r="AFX37">
        <f>IF('calcA'!V$106=1,DU37+AAJ37,1)</f>
        <v/>
      </c>
      <c r="AFY37">
        <f>IF('calcA'!W$106=1,DV37+AAK37,1)</f>
        <v/>
      </c>
      <c r="AFZ37">
        <f>IF('calcA'!X$106=1,DW37+AAL37,1)</f>
        <v/>
      </c>
      <c r="AGA37">
        <f>IF('calcA'!Y$106=1,DX37+AAM37,1)</f>
        <v/>
      </c>
      <c r="AGB37">
        <f>IF('calcA'!Z$106=1,DY37+AAN37,1)</f>
        <v/>
      </c>
      <c r="AGC37">
        <f>IF('calcA'!AA$106=1,DZ37+AAO37,1)</f>
        <v/>
      </c>
      <c r="AGD37">
        <f>IF('calcA'!AB$106=1,EA37+AAP37,1)</f>
        <v/>
      </c>
      <c r="AGE37">
        <f>IF('calcA'!AC$106=1,EB37+AAQ37,1)</f>
        <v/>
      </c>
      <c r="AGF37">
        <f>IF('calcA'!AD$106=1,EC37+AAR37,1)</f>
        <v/>
      </c>
      <c r="AGG37">
        <f>IF('calcA'!AE$106=1,ED37+AAS37,1)</f>
        <v/>
      </c>
      <c r="AGH37">
        <f>IF('calcA'!AF$106=1,EE37+AAT37,1)</f>
        <v/>
      </c>
      <c r="AGI37">
        <f>IF('calcA'!AG$106=1,EF37+AAU37,1)</f>
        <v/>
      </c>
      <c r="AGJ37">
        <f>IF('calcA'!AH$106=1,EG37+AAV37,1)</f>
        <v/>
      </c>
      <c r="AGK37">
        <f>IF('calcA'!AI$106=1,EH37+AAW37,1)</f>
        <v/>
      </c>
      <c r="AGL37">
        <f>IF('calcA'!AJ$106=1,EI37+AAX37,1)</f>
        <v/>
      </c>
      <c r="AGM37">
        <f>IF('calcA'!AK$106=1,EJ37+AAY37,1)</f>
        <v/>
      </c>
      <c r="AGN37">
        <f>IF('calcA'!AL$106=1,EK37+AAZ37,1)</f>
        <v/>
      </c>
      <c r="AGO37">
        <f>IF('calcA'!AM$106=1,EL37+ABA37,1)</f>
        <v/>
      </c>
      <c r="AGP37">
        <f>IF('calcA'!AN$106=1,EM37+ABB37,1)</f>
        <v/>
      </c>
      <c r="AGQ37">
        <f>IF('calcA'!AO$106=1,EN37+ABC37,1)</f>
        <v/>
      </c>
      <c r="AGR37">
        <f>IF('calcA'!AP$106=1,EO37+ABD37,1)</f>
        <v/>
      </c>
      <c r="AGS37">
        <f>IF('calcA'!AQ$106=1,EP37+ABE37,1)</f>
        <v/>
      </c>
      <c r="AGT37">
        <f>IF('calcA'!AR$106=1,EQ37+ABF37,1)</f>
        <v/>
      </c>
      <c r="AGU37">
        <f>IF('calcA'!AS$106=1,ER37+ABG37,1)</f>
        <v/>
      </c>
      <c r="AGV37">
        <f>IF('calcA'!AT$106=1,ES37+ABH37,1)</f>
        <v/>
      </c>
      <c r="AGW37">
        <f>IF('calcA'!AU$106=1,ET37+ABI37,1)</f>
        <v/>
      </c>
      <c r="AGX37">
        <f>IF('calcA'!AV$106=1,EU37+ABJ37,1)</f>
        <v/>
      </c>
      <c r="AGY37">
        <f>IF('calcA'!AW$106=1,EV37+ABK37,1)</f>
        <v/>
      </c>
      <c r="AGZ37">
        <f>IF('calcA'!AX$106=1,EW37+ABL37,1)</f>
        <v/>
      </c>
      <c r="AHA37">
        <f>IF('calcA'!AY$106=1,EX37+ABM37,1)</f>
        <v/>
      </c>
      <c r="AHB37">
        <f>IF('calcA'!AZ$106=1,EY37+ABN37,1)</f>
        <v/>
      </c>
      <c r="AHC37">
        <f>IF('calcA'!BA$106=1,EZ37+ABO37,1)</f>
        <v/>
      </c>
      <c r="AHD37">
        <f>IF('calcA'!BB$106=1,FA37+ABP37,1)</f>
        <v/>
      </c>
      <c r="AHE37">
        <f>IF('calcA'!BC$106=1,FB37+ABQ37,1)</f>
        <v/>
      </c>
      <c r="AHF37">
        <f>IF('calcA'!BD$106=1,FC37+ABR37,1)</f>
        <v/>
      </c>
      <c r="AHG37">
        <f>IF('calcA'!BE$106=1,FD37+ABS37,1)</f>
        <v/>
      </c>
      <c r="AHH37">
        <f>IF('calcA'!BF$106=1,FE37+ABT37,1)</f>
        <v/>
      </c>
      <c r="AHI37">
        <f>IF('calcA'!BG$106=1,FF37+ABU37,1)</f>
        <v/>
      </c>
      <c r="AHJ37">
        <f>IF('calcA'!BH$106=1,FG37+ABV37,1)</f>
        <v/>
      </c>
      <c r="AHK37">
        <f>IF('calcA'!BI$106=1,FH37+ABW37,1)</f>
        <v/>
      </c>
      <c r="AHL37">
        <f>IF('calcA'!BJ$106=1,FI37+ABX37,1)</f>
        <v/>
      </c>
      <c r="AHM37">
        <f>IF('calcA'!BK$106=1,FJ37+ABY37,1)</f>
        <v/>
      </c>
      <c r="AHN37">
        <f>IF('calcA'!BL$106=1,FK37+ABZ37,1)</f>
        <v/>
      </c>
      <c r="AHO37">
        <f>IF('calcA'!BM$106=1,FL37+ACA37,1)</f>
        <v/>
      </c>
      <c r="AHP37">
        <f>IF('calcA'!BN$106=1,FM37+ACB37,1)</f>
        <v/>
      </c>
      <c r="AHQ37">
        <f>IF('calcA'!BO$106=1,FN37+ACC37,1)</f>
        <v/>
      </c>
      <c r="AHR37">
        <f>IF('calcA'!BP$106=1,FO37+ACD37,1)</f>
        <v/>
      </c>
      <c r="AHS37">
        <f>IF('calcA'!BQ$106=1,FP37+ACE37,1)</f>
        <v/>
      </c>
      <c r="AHT37">
        <f>IF('calcA'!BR$106=1,FQ37+ACF37,1)</f>
        <v/>
      </c>
      <c r="AHU37">
        <f>IF('calcA'!BS$106=1,FR37+ACG37,1)</f>
        <v/>
      </c>
      <c r="AHV37">
        <f>IF('calcA'!BT$106=1,FS37+ACH37,1)</f>
        <v/>
      </c>
      <c r="AHW37">
        <f>IF('calcA'!BU$106=1,FT37+ACI37,1)</f>
        <v/>
      </c>
      <c r="AHX37">
        <f>IF('calcA'!BV$106=1,FU37+ACJ37,1)</f>
        <v/>
      </c>
      <c r="AHY37">
        <f>IF('calcA'!BW$106=1,FV37+ACK37,1)</f>
        <v/>
      </c>
      <c r="AHZ37">
        <f>IF('calcA'!BX$106=1,FW37+ACL37,1)</f>
        <v/>
      </c>
      <c r="AIA37">
        <f>IF('calcA'!BY$106=1,FX37+ACM37,1)</f>
        <v/>
      </c>
      <c r="AIB37">
        <f>IF('calcA'!BZ$106=1,FY37+ACN37,1)</f>
        <v/>
      </c>
      <c r="AIC37">
        <f>IF('calcA'!CA$106=1,FZ37+ACO37,1)</f>
        <v/>
      </c>
      <c r="AID37">
        <f>IF('calcA'!CB$106=1,GA37+ACP37,1)</f>
        <v/>
      </c>
      <c r="AIE37">
        <f>IF('calcA'!CC$106=1,GB37+ACQ37,1)</f>
        <v/>
      </c>
      <c r="AIF37">
        <f>IF('calcA'!CD$106=1,GC37+ACR37,1)</f>
        <v/>
      </c>
      <c r="AIG37">
        <f>IF('calcA'!CE$106=1,GD37+ACS37,1)</f>
        <v/>
      </c>
      <c r="AIH37">
        <f>IF('calcA'!CF$106=1,GE37+ACT37,1)</f>
        <v/>
      </c>
      <c r="AII37">
        <f>IF('calcA'!CG$106=1,GF37+ACU37,1)</f>
        <v/>
      </c>
      <c r="AIJ37">
        <f>IF('calcA'!CH$106=1,GG37+ACV37,1)</f>
        <v/>
      </c>
      <c r="AIK37">
        <f>IF('calcA'!CI$106=1,GH37+ACW37,1)</f>
        <v/>
      </c>
      <c r="AIL37">
        <f>IF('calcA'!CJ$106=1,GI37+ACX37,1)</f>
        <v/>
      </c>
      <c r="AIM37">
        <f>IF('calcA'!CK$106=1,GJ37+ACY37,1)</f>
        <v/>
      </c>
      <c r="AIN37">
        <f>IF('calcA'!CL$106=1,GK37+ACZ37,1)</f>
        <v/>
      </c>
      <c r="AIO37">
        <f>IF('calcA'!CM$106=1,GL37+ADA37,1)</f>
        <v/>
      </c>
      <c r="AIP37">
        <f>IF('calcA'!CN$106=1,GM37+ADB37,1)</f>
        <v/>
      </c>
      <c r="AIQ37">
        <f>IF('calcA'!CO$106=1,GN37+ADC37,1)</f>
        <v/>
      </c>
      <c r="AIR37">
        <f>IF('calcA'!CP$106=1,GO37+ADD37,1)</f>
        <v/>
      </c>
      <c r="AIS37">
        <f>IF('calcA'!CQ$106=1,GP37+ADE37,1)</f>
        <v/>
      </c>
      <c r="AIT37">
        <f>IF('calcA'!CR$106=1,GQ37+ADF37,1)</f>
        <v/>
      </c>
      <c r="AIU37">
        <f>IF('calcA'!CS$106=1,GR37+ADG37,1)</f>
        <v/>
      </c>
      <c r="AIV37">
        <f>IF('calcA'!CT$106=1,GS37+ADH37,1)</f>
        <v/>
      </c>
      <c r="AIW37">
        <f>IF('calcA'!CU$106=1,GT37+ADI37,1)</f>
        <v/>
      </c>
      <c r="AIX37">
        <f>IF('calcA'!CV$106=1,GU37+ADJ37,1)</f>
        <v/>
      </c>
      <c r="AIY37">
        <f>IF('calcA'!CW$106=1,GV37+ADK37,1)</f>
        <v/>
      </c>
      <c r="AIZ37">
        <f>IF('calcA'!CX$106=1,GW37+ADL37,1)</f>
        <v/>
      </c>
      <c r="AJA37">
        <f>IF('calcA'!CY$106=1,GX37+ADM37,1)</f>
        <v/>
      </c>
      <c r="AJB37">
        <f>IF('calcA'!CZ$106=1,GY37+ADN37,1)</f>
        <v/>
      </c>
      <c r="AJC37">
        <f>IF('calcA'!DA$106=1,GZ37+ADO37,1)</f>
        <v/>
      </c>
      <c r="AJD37">
        <f>IF('calcA'!DB$106=1,HA37+ADP37,1)</f>
        <v/>
      </c>
      <c r="AJE37">
        <f>IF('calcA'!DC$106=1,HB37+ADQ37,1)</f>
        <v/>
      </c>
      <c r="AJF37">
        <f>IF('calcA'!DD$106=1,HC37+ADR37,1)</f>
        <v/>
      </c>
      <c r="AJG37">
        <f>IF('calcA'!DE$106=1,HD37+ADS37,1)</f>
        <v/>
      </c>
      <c r="AJH37">
        <f>IF('calcA'!DF$106=1,HE37+ADT37,1)</f>
        <v/>
      </c>
      <c r="AJI37">
        <f>IF('calcA'!DG$106=1,HF37+ADU37,1)</f>
        <v/>
      </c>
      <c r="AJJ37">
        <f>IF('calcA'!DH$106=1,HG37+ADV37,1)</f>
        <v/>
      </c>
      <c r="AJK37">
        <f>IF('calcA'!DI$106=1,HH37+ADW37,1)</f>
        <v/>
      </c>
      <c r="AJL37">
        <f>IF('calcA'!DJ$106=1,HI37+ADX37,1)</f>
        <v/>
      </c>
      <c r="AJM37">
        <f>IF('calcA'!DK$106=1,HJ37+ADY37,1)</f>
        <v/>
      </c>
      <c r="AJN37">
        <f>IF('calcA'!DL$106=1,HK37+ADZ37,1)</f>
        <v/>
      </c>
      <c r="AJO37">
        <f>IF('calcA'!DM$106=1,HL37+AEA37,1)</f>
        <v/>
      </c>
      <c r="AJP37">
        <f>IF('calcA'!DN$106=1,HM37+AEB37,1)</f>
        <v/>
      </c>
      <c r="AJQ37">
        <f>IF('calcA'!DO$106=1,HN37+AEC37,1)</f>
        <v/>
      </c>
      <c r="AJR37">
        <f>IF('calcA'!DP$106=1,HO37+AED37,1)</f>
        <v/>
      </c>
      <c r="AJS37">
        <f>IF('calcA'!DQ$106=1,HP37+AEE37,1)</f>
        <v/>
      </c>
      <c r="AJT37">
        <f>IF('calcA'!DR$106=1,HQ37+AEF37,1)</f>
        <v/>
      </c>
      <c r="AJU37">
        <f>IF('calcA'!DS$106=1,HR37+AEG37,1)</f>
        <v/>
      </c>
      <c r="AJV37">
        <f>IF('calcA'!DT$106=1,HS37+AEH37,1)</f>
        <v/>
      </c>
      <c r="AJW37">
        <f>IF('calcA'!DU$106=1,HT37+AEI37,1)</f>
        <v/>
      </c>
      <c r="AJX37">
        <f>IF('calcA'!DV$106=1,HU37+AEJ37,1)</f>
        <v/>
      </c>
      <c r="AJY37">
        <f>IF('calcA'!DW$106=1,HV37+AEK37,1)</f>
        <v/>
      </c>
      <c r="AJZ37">
        <f>IF('calcA'!DX$106=1,HW37+AEL37,1)</f>
        <v/>
      </c>
      <c r="AKA37">
        <f>IF('calcA'!DY$106=1,HX37+AEM37,1)</f>
        <v/>
      </c>
      <c r="AKB37">
        <f>IF('calcA'!DZ$106=1,HY37+AEN37,1)</f>
        <v/>
      </c>
      <c r="AKC37">
        <f>IF('calcA'!EA$106=1,HZ37+AEO37,1)</f>
        <v/>
      </c>
      <c r="AKD37">
        <f>IF('calcA'!EB$106=1,IA37+AEP37,1)</f>
        <v/>
      </c>
      <c r="AKE37">
        <f>IF('calcA'!EC$106=1,IB37+AEQ37,1)</f>
        <v/>
      </c>
      <c r="AKF37">
        <f>IF('calcA'!ED$106=1,IC37+AER37,1)</f>
        <v/>
      </c>
      <c r="AKG37">
        <f>IF('calcA'!EE$106=1,ID37+AES37,1)</f>
        <v/>
      </c>
      <c r="AKH37">
        <f>IF('calcA'!EF$106=1,IE37+AET37,1)</f>
        <v/>
      </c>
      <c r="AKI37">
        <f>IF('calcA'!EG$106=1,IF37+AEU37,1)</f>
        <v/>
      </c>
      <c r="AKJ37">
        <f>IF('calcA'!EH$106=1,IG37+AEV37,1)</f>
        <v/>
      </c>
      <c r="AKK37">
        <f>IF('calcA'!EI$106=1,IH37+AEW37,1)</f>
        <v/>
      </c>
      <c r="AKL37">
        <f>IF('calcA'!EJ$106=1,II37+AEX37,1)</f>
        <v/>
      </c>
      <c r="AKM37">
        <f>IF('calcA'!EK$106=1,IJ37+AEY37,1)</f>
        <v/>
      </c>
      <c r="AKN37">
        <f>IF('calcA'!EL$106=1,IK37+AEZ37,1)</f>
        <v/>
      </c>
      <c r="AKO37">
        <f>IF('calcA'!EM$106=1,IL37+AFA37,1)</f>
        <v/>
      </c>
      <c r="AKP37">
        <f>IF('calcA'!EN$106=1,IM37+AFB37,1)</f>
        <v/>
      </c>
      <c r="AKQ37">
        <f>IF('calcA'!EO$106=1,IN37+AFC37,1)</f>
        <v/>
      </c>
      <c r="AKR37">
        <f>IF('calcA'!EP$106=1,IO37+AFD37,1)</f>
        <v/>
      </c>
      <c r="AKS37" t="n">
        <v>1</v>
      </c>
    </row>
    <row r="38">
      <c r="A38" t="n">
        <v>36</v>
      </c>
      <c r="B38">
        <f>IF(MIN(BM38:CZ38)&gt;=1000000000,0,MATCH(MIN(BM38:CZ38),BM38:CZ38,0))</f>
        <v/>
      </c>
      <c r="C38">
        <f>IF(MIN(OF38:TS38)&gt;=1000000000,0,MATCH(MIN(OF38:TS38),OF38:TS38,0))</f>
        <v/>
      </c>
      <c r="D38">
        <f>IF(C38&gt;0,INDEX('calcA'!$D$5:$EQ$5,C38),0)</f>
        <v/>
      </c>
      <c r="E38">
        <f>IF(B38=0,0,INDEX('calcA'!$IQ$10:$IQ$54,B38))</f>
        <v/>
      </c>
      <c r="F38">
        <f>IF(B38=0,0,INDEX('calcA'!$IP$10:$IP$54,B38))</f>
        <v/>
      </c>
      <c r="G38">
        <f>IF(AND(C38&gt;0,E38&gt;0),IF(AND(INDEX('calcA'!$D$106:$EQ$106,C38)=1,INDEX($IQ38:$OD38,C38)=1),C38+1,0),0)</f>
        <v/>
      </c>
      <c r="H38">
        <f>IF(B38=0,0,INDEX('calcA'!$IW$10:$IW$54,B38))</f>
        <v/>
      </c>
      <c r="U38">
        <f>IF(B38=0,0,INDEX('calcA'!$IX$10:$IX$54,B38))</f>
        <v/>
      </c>
      <c r="V38">
        <f>IF(B38=0,0,INDEX('calcA'!$JF$10:$JF$54,B38))</f>
        <v/>
      </c>
      <c r="W38">
        <f>IF(B38=0,0,IF(IF(E38=2,SUMPRODUCT(INDEX('calcA'!$D$60:$EQ$99,B38,0),$DB38:$IO38,$IQ38:$OD38),SUMPRODUCT(INDEX('calcA'!$D$60:$EQ$99,B38,0),$DB38:$IO38))=0,1,0))</f>
        <v/>
      </c>
      <c r="X38">
        <f>MAX(X37,IF($B37=1,1,0))</f>
        <v/>
      </c>
      <c r="Y38">
        <f>MAX(Y37,IF($B37=2,1,0))</f>
        <v/>
      </c>
      <c r="Z38">
        <f>MAX(Z37,IF($B37=3,1,0))</f>
        <v/>
      </c>
      <c r="AA38">
        <f>MAX(AA37,IF($B37=4,1,0))</f>
        <v/>
      </c>
      <c r="AB38">
        <f>MAX(AB37,IF($B37=5,1,0))</f>
        <v/>
      </c>
      <c r="AC38">
        <f>MAX(AC37,IF($B37=6,1,0))</f>
        <v/>
      </c>
      <c r="AD38">
        <f>MAX(AD37,IF($B37=7,1,0))</f>
        <v/>
      </c>
      <c r="AE38">
        <f>MAX(AE37,IF($B37=8,1,0))</f>
        <v/>
      </c>
      <c r="AF38">
        <f>MAX(AF37,IF($B37=9,1,0))</f>
        <v/>
      </c>
      <c r="AG38">
        <f>MAX(AG37,IF($B37=10,1,0))</f>
        <v/>
      </c>
      <c r="AH38">
        <f>MAX(AH37,IF($B37=11,1,0))</f>
        <v/>
      </c>
      <c r="AI38">
        <f>MAX(AI37,IF($B37=12,1,0))</f>
        <v/>
      </c>
      <c r="AJ38">
        <f>MAX(AJ37,IF($B37=13,1,0))</f>
        <v/>
      </c>
      <c r="AK38">
        <f>MAX(AK37,IF($B37=14,1,0))</f>
        <v/>
      </c>
      <c r="AL38">
        <f>MAX(AL37,IF($B37=15,1,0))</f>
        <v/>
      </c>
      <c r="AM38">
        <f>MAX(AM37,IF($B37=16,1,0))</f>
        <v/>
      </c>
      <c r="AN38">
        <f>MAX(AN37,IF($B37=17,1,0))</f>
        <v/>
      </c>
      <c r="AO38">
        <f>MAX(AO37,IF($B37=18,1,0))</f>
        <v/>
      </c>
      <c r="AP38">
        <f>MAX(AP37,IF($B37=19,1,0))</f>
        <v/>
      </c>
      <c r="AQ38">
        <f>MAX(AQ37,IF($B37=20,1,0))</f>
        <v/>
      </c>
      <c r="AR38">
        <f>MAX(AR37,IF($B37=21,1,0))</f>
        <v/>
      </c>
      <c r="AS38">
        <f>MAX(AS37,IF($B37=22,1,0))</f>
        <v/>
      </c>
      <c r="AT38">
        <f>MAX(AT37,IF($B37=23,1,0))</f>
        <v/>
      </c>
      <c r="AU38">
        <f>MAX(AU37,IF($B37=24,1,0))</f>
        <v/>
      </c>
      <c r="AV38">
        <f>MAX(AV37,IF($B37=25,1,0))</f>
        <v/>
      </c>
      <c r="AW38">
        <f>MAX(AW37,IF($B37=26,1,0))</f>
        <v/>
      </c>
      <c r="AX38">
        <f>MAX(AX37,IF($B37=27,1,0))</f>
        <v/>
      </c>
      <c r="AY38">
        <f>MAX(AY37,IF($B37=28,1,0))</f>
        <v/>
      </c>
      <c r="AZ38">
        <f>MAX(AZ37,IF($B37=29,1,0))</f>
        <v/>
      </c>
      <c r="BA38">
        <f>MAX(BA37,IF($B37=30,1,0))</f>
        <v/>
      </c>
      <c r="BB38">
        <f>MAX(BB37,IF($B37=31,1,0))</f>
        <v/>
      </c>
      <c r="BC38">
        <f>MAX(BC37,IF($B37=32,1,0))</f>
        <v/>
      </c>
      <c r="BD38">
        <f>MAX(BD37,IF($B37=33,1,0))</f>
        <v/>
      </c>
      <c r="BE38">
        <f>MAX(BE37,IF($B37=34,1,0))</f>
        <v/>
      </c>
      <c r="BF38">
        <f>MAX(BF37,IF($B37=35,1,0))</f>
        <v/>
      </c>
      <c r="BG38">
        <f>MAX(BG37,IF($B37=36,1,0))</f>
        <v/>
      </c>
      <c r="BH38">
        <f>MAX(BH37,IF($B37=37,1,0))</f>
        <v/>
      </c>
      <c r="BI38">
        <f>MAX(BI37,IF($B37=38,1,0))</f>
        <v/>
      </c>
      <c r="BJ38">
        <f>MAX(BJ37,IF($B37=39,1,0))</f>
        <v/>
      </c>
      <c r="BK38">
        <f>MAX(BK37,IF($B37=40,1,0))</f>
        <v/>
      </c>
      <c r="BM38">
        <f>IF(OR(X38=1,calcA!$A$6=0),1000000000,IF('calcA'!$JF$10=1,0,100000000)+IF('calcA'!$IQ$10=2,SUMPRODUCT('calcA'!$D$60:$EQ$60,$DB38:$IO38,$IQ38:$OD38)*1000+SUMPRODUCT('calcA'!$D$60:$EQ$60,$DB38:$IO38+$ZQ38:$AFD38,$AFF38:$AKS38),SUMPRODUCT('calcA'!$D$60:$EQ$60,$DB38:$IO38*1001+$ZQ38:$AFD38))*100+1)</f>
        <v/>
      </c>
      <c r="BN38">
        <f>IF(OR(Y38=1,calcA!$A$6=0),1000000000,IF('calcA'!$JF$11=1,0,100000000)+IF('calcA'!$IQ$11=2,SUMPRODUCT('calcA'!$D$61:$EQ$61,$DB38:$IO38,$IQ38:$OD38)*1000+SUMPRODUCT('calcA'!$D$61:$EQ$61,$DB38:$IO38+$ZQ38:$AFD38,$AFF38:$AKS38),SUMPRODUCT('calcA'!$D$61:$EQ$61,$DB38:$IO38*1001+$ZQ38:$AFD38))*100+2)</f>
        <v/>
      </c>
      <c r="BO38">
        <f>IF(OR(Z38=1,calcA!$A$6=0),1000000000,IF('calcA'!$JF$12=1,0,100000000)+IF('calcA'!$IQ$12=2,SUMPRODUCT('calcA'!$D$62:$EQ$62,$DB38:$IO38,$IQ38:$OD38)*1000+SUMPRODUCT('calcA'!$D$62:$EQ$62,$DB38:$IO38+$ZQ38:$AFD38,$AFF38:$AKS38),SUMPRODUCT('calcA'!$D$62:$EQ$62,$DB38:$IO38*1001+$ZQ38:$AFD38))*100+3)</f>
        <v/>
      </c>
      <c r="BP38">
        <f>IF(OR(AA38=1,calcA!$A$6=0),1000000000,IF('calcA'!$JF$13=1,0,100000000)+IF('calcA'!$IQ$13=2,SUMPRODUCT('calcA'!$D$63:$EQ$63,$DB38:$IO38,$IQ38:$OD38)*1000+SUMPRODUCT('calcA'!$D$63:$EQ$63,$DB38:$IO38+$ZQ38:$AFD38,$AFF38:$AKS38),SUMPRODUCT('calcA'!$D$63:$EQ$63,$DB38:$IO38*1001+$ZQ38:$AFD38))*100+4)</f>
        <v/>
      </c>
      <c r="BQ38">
        <f>IF(OR(AB38=1,calcA!$A$6=0),1000000000,IF('calcA'!$JF$14=1,0,100000000)+IF('calcA'!$IQ$14=2,SUMPRODUCT('calcA'!$D$64:$EQ$64,$DB38:$IO38,$IQ38:$OD38)*1000+SUMPRODUCT('calcA'!$D$64:$EQ$64,$DB38:$IO38+$ZQ38:$AFD38,$AFF38:$AKS38),SUMPRODUCT('calcA'!$D$64:$EQ$64,$DB38:$IO38*1001+$ZQ38:$AFD38))*100+5)</f>
        <v/>
      </c>
      <c r="BR38">
        <f>IF(OR(AC38=1,calcA!$A$6=0),1000000000,IF('calcA'!$JF$15=1,0,100000000)+IF('calcA'!$IQ$15=2,SUMPRODUCT('calcA'!$D$65:$EQ$65,$DB38:$IO38,$IQ38:$OD38)*1000+SUMPRODUCT('calcA'!$D$65:$EQ$65,$DB38:$IO38+$ZQ38:$AFD38,$AFF38:$AKS38),SUMPRODUCT('calcA'!$D$65:$EQ$65,$DB38:$IO38*1001+$ZQ38:$AFD38))*100+6)</f>
        <v/>
      </c>
      <c r="BS38">
        <f>IF(OR(AD38=1,calcA!$A$6=0),1000000000,IF('calcA'!$JF$16=1,0,100000000)+IF('calcA'!$IQ$16=2,SUMPRODUCT('calcA'!$D$66:$EQ$66,$DB38:$IO38,$IQ38:$OD38)*1000+SUMPRODUCT('calcA'!$D$66:$EQ$66,$DB38:$IO38+$ZQ38:$AFD38,$AFF38:$AKS38),SUMPRODUCT('calcA'!$D$66:$EQ$66,$DB38:$IO38*1001+$ZQ38:$AFD38))*100+7)</f>
        <v/>
      </c>
      <c r="BT38">
        <f>IF(OR(AE38=1,calcA!$A$6=0),1000000000,IF('calcA'!$JF$17=1,0,100000000)+IF('calcA'!$IQ$17=2,SUMPRODUCT('calcA'!$D$67:$EQ$67,$DB38:$IO38,$IQ38:$OD38)*1000+SUMPRODUCT('calcA'!$D$67:$EQ$67,$DB38:$IO38+$ZQ38:$AFD38,$AFF38:$AKS38),SUMPRODUCT('calcA'!$D$67:$EQ$67,$DB38:$IO38*1001+$ZQ38:$AFD38))*100+8)</f>
        <v/>
      </c>
      <c r="BU38">
        <f>IF(OR(AF38=1,calcA!$A$6=0),1000000000,IF('calcA'!$JF$18=1,0,100000000)+IF('calcA'!$IQ$18=2,SUMPRODUCT('calcA'!$D$68:$EQ$68,$DB38:$IO38,$IQ38:$OD38)*1000+SUMPRODUCT('calcA'!$D$68:$EQ$68,$DB38:$IO38+$ZQ38:$AFD38,$AFF38:$AKS38),SUMPRODUCT('calcA'!$D$68:$EQ$68,$DB38:$IO38*1001+$ZQ38:$AFD38))*100+9)</f>
        <v/>
      </c>
      <c r="BV38">
        <f>IF(OR(AG38=1,calcA!$A$6=0),1000000000,IF('calcA'!$JF$19=1,0,100000000)+IF('calcA'!$IQ$19=2,SUMPRODUCT('calcA'!$D$69:$EQ$69,$DB38:$IO38,$IQ38:$OD38)*1000+SUMPRODUCT('calcA'!$D$69:$EQ$69,$DB38:$IO38+$ZQ38:$AFD38,$AFF38:$AKS38),SUMPRODUCT('calcA'!$D$69:$EQ$69,$DB38:$IO38*1001+$ZQ38:$AFD38))*100+10)</f>
        <v/>
      </c>
      <c r="BW38">
        <f>IF(OR(AH38=1,calcA!$A$6=0),1000000000,IF('calcA'!$JF$20=1,0,100000000)+IF('calcA'!$IQ$20=2,SUMPRODUCT('calcA'!$D$70:$EQ$70,$DB38:$IO38,$IQ38:$OD38)*1000+SUMPRODUCT('calcA'!$D$70:$EQ$70,$DB38:$IO38+$ZQ38:$AFD38,$AFF38:$AKS38),SUMPRODUCT('calcA'!$D$70:$EQ$70,$DB38:$IO38*1001+$ZQ38:$AFD38))*100+11)</f>
        <v/>
      </c>
      <c r="BX38">
        <f>IF(OR(AI38=1,calcA!$A$6=0),1000000000,IF('calcA'!$JF$21=1,0,100000000)+IF('calcA'!$IQ$21=2,SUMPRODUCT('calcA'!$D$71:$EQ$71,$DB38:$IO38,$IQ38:$OD38)*1000+SUMPRODUCT('calcA'!$D$71:$EQ$71,$DB38:$IO38+$ZQ38:$AFD38,$AFF38:$AKS38),SUMPRODUCT('calcA'!$D$71:$EQ$71,$DB38:$IO38*1001+$ZQ38:$AFD38))*100+12)</f>
        <v/>
      </c>
      <c r="BY38">
        <f>IF(OR(AJ38=1,calcA!$A$6=0),1000000000,IF('calcA'!$JF$22=1,0,100000000)+IF('calcA'!$IQ$22=2,SUMPRODUCT('calcA'!$D$72:$EQ$72,$DB38:$IO38,$IQ38:$OD38)*1000+SUMPRODUCT('calcA'!$D$72:$EQ$72,$DB38:$IO38+$ZQ38:$AFD38,$AFF38:$AKS38),SUMPRODUCT('calcA'!$D$72:$EQ$72,$DB38:$IO38*1001+$ZQ38:$AFD38))*100+13)</f>
        <v/>
      </c>
      <c r="BZ38">
        <f>IF(OR(AK38=1,calcA!$A$6=0),1000000000,IF('calcA'!$JF$23=1,0,100000000)+IF('calcA'!$IQ$23=2,SUMPRODUCT('calcA'!$D$73:$EQ$73,$DB38:$IO38,$IQ38:$OD38)*1000+SUMPRODUCT('calcA'!$D$73:$EQ$73,$DB38:$IO38+$ZQ38:$AFD38,$AFF38:$AKS38),SUMPRODUCT('calcA'!$D$73:$EQ$73,$DB38:$IO38*1001+$ZQ38:$AFD38))*100+14)</f>
        <v/>
      </c>
      <c r="CA38">
        <f>IF(OR(AL38=1,calcA!$A$6=0),1000000000,IF('calcA'!$JF$24=1,0,100000000)+IF('calcA'!$IQ$24=2,SUMPRODUCT('calcA'!$D$74:$EQ$74,$DB38:$IO38,$IQ38:$OD38)*1000+SUMPRODUCT('calcA'!$D$74:$EQ$74,$DB38:$IO38+$ZQ38:$AFD38,$AFF38:$AKS38),SUMPRODUCT('calcA'!$D$74:$EQ$74,$DB38:$IO38*1001+$ZQ38:$AFD38))*100+15)</f>
        <v/>
      </c>
      <c r="CB38">
        <f>IF(OR(AM38=1,calcA!$A$6=0),1000000000,IF('calcA'!$JF$25=1,0,100000000)+IF('calcA'!$IQ$25=2,SUMPRODUCT('calcA'!$D$75:$EQ$75,$DB38:$IO38,$IQ38:$OD38)*1000+SUMPRODUCT('calcA'!$D$75:$EQ$75,$DB38:$IO38+$ZQ38:$AFD38,$AFF38:$AKS38),SUMPRODUCT('calcA'!$D$75:$EQ$75,$DB38:$IO38*1001+$ZQ38:$AFD38))*100+16)</f>
        <v/>
      </c>
      <c r="CC38">
        <f>IF(OR(AN38=1,calcA!$A$6=0),1000000000,IF('calcA'!$JF$26=1,0,100000000)+IF('calcA'!$IQ$26=2,SUMPRODUCT('calcA'!$D$76:$EQ$76,$DB38:$IO38,$IQ38:$OD38)*1000+SUMPRODUCT('calcA'!$D$76:$EQ$76,$DB38:$IO38+$ZQ38:$AFD38,$AFF38:$AKS38),SUMPRODUCT('calcA'!$D$76:$EQ$76,$DB38:$IO38*1001+$ZQ38:$AFD38))*100+17)</f>
        <v/>
      </c>
      <c r="CD38">
        <f>IF(OR(AO38=1,calcA!$A$6=0),1000000000,IF('calcA'!$JF$27=1,0,100000000)+IF('calcA'!$IQ$27=2,SUMPRODUCT('calcA'!$D$77:$EQ$77,$DB38:$IO38,$IQ38:$OD38)*1000+SUMPRODUCT('calcA'!$D$77:$EQ$77,$DB38:$IO38+$ZQ38:$AFD38,$AFF38:$AKS38),SUMPRODUCT('calcA'!$D$77:$EQ$77,$DB38:$IO38*1001+$ZQ38:$AFD38))*100+18)</f>
        <v/>
      </c>
      <c r="CE38">
        <f>IF(OR(AP38=1,calcA!$A$6=0),1000000000,IF('calcA'!$JF$28=1,0,100000000)+IF('calcA'!$IQ$28=2,SUMPRODUCT('calcA'!$D$78:$EQ$78,$DB38:$IO38,$IQ38:$OD38)*1000+SUMPRODUCT('calcA'!$D$78:$EQ$78,$DB38:$IO38+$ZQ38:$AFD38,$AFF38:$AKS38),SUMPRODUCT('calcA'!$D$78:$EQ$78,$DB38:$IO38*1001+$ZQ38:$AFD38))*100+19)</f>
        <v/>
      </c>
      <c r="CF38">
        <f>IF(OR(AQ38=1,calcA!$A$6=0),1000000000,IF('calcA'!$JF$29=1,0,100000000)+IF('calcA'!$IQ$29=2,SUMPRODUCT('calcA'!$D$79:$EQ$79,$DB38:$IO38,$IQ38:$OD38)*1000+SUMPRODUCT('calcA'!$D$79:$EQ$79,$DB38:$IO38+$ZQ38:$AFD38,$AFF38:$AKS38),SUMPRODUCT('calcA'!$D$79:$EQ$79,$DB38:$IO38*1001+$ZQ38:$AFD38))*100+20)</f>
        <v/>
      </c>
      <c r="CG38">
        <f>IF(OR(AR38=1,calcA!$A$6=0),1000000000,IF('calcA'!$JF$30=1,0,100000000)+IF('calcA'!$IQ$30=2,SUMPRODUCT('calcA'!$D$80:$EQ$80,$DB38:$IO38,$IQ38:$OD38)*1000+SUMPRODUCT('calcA'!$D$80:$EQ$80,$DB38:$IO38+$ZQ38:$AFD38,$AFF38:$AKS38),SUMPRODUCT('calcA'!$D$80:$EQ$80,$DB38:$IO38*1001+$ZQ38:$AFD38))*100+21)</f>
        <v/>
      </c>
      <c r="CH38">
        <f>IF(OR(AS38=1,calcA!$A$6=0),1000000000,IF('calcA'!$JF$31=1,0,100000000)+IF('calcA'!$IQ$31=2,SUMPRODUCT('calcA'!$D$81:$EQ$81,$DB38:$IO38,$IQ38:$OD38)*1000+SUMPRODUCT('calcA'!$D$81:$EQ$81,$DB38:$IO38+$ZQ38:$AFD38,$AFF38:$AKS38),SUMPRODUCT('calcA'!$D$81:$EQ$81,$DB38:$IO38*1001+$ZQ38:$AFD38))*100+22)</f>
        <v/>
      </c>
      <c r="CI38">
        <f>IF(OR(AT38=1,calcA!$A$6=0),1000000000,IF('calcA'!$JF$32=1,0,100000000)+IF('calcA'!$IQ$32=2,SUMPRODUCT('calcA'!$D$82:$EQ$82,$DB38:$IO38,$IQ38:$OD38)*1000+SUMPRODUCT('calcA'!$D$82:$EQ$82,$DB38:$IO38+$ZQ38:$AFD38,$AFF38:$AKS38),SUMPRODUCT('calcA'!$D$82:$EQ$82,$DB38:$IO38*1001+$ZQ38:$AFD38))*100+23)</f>
        <v/>
      </c>
      <c r="CJ38">
        <f>IF(OR(AU38=1,calcA!$A$6=0),1000000000,IF('calcA'!$JF$33=1,0,100000000)+IF('calcA'!$IQ$33=2,SUMPRODUCT('calcA'!$D$83:$EQ$83,$DB38:$IO38,$IQ38:$OD38)*1000+SUMPRODUCT('calcA'!$D$83:$EQ$83,$DB38:$IO38+$ZQ38:$AFD38,$AFF38:$AKS38),SUMPRODUCT('calcA'!$D$83:$EQ$83,$DB38:$IO38*1001+$ZQ38:$AFD38))*100+24)</f>
        <v/>
      </c>
      <c r="CK38">
        <f>IF(OR(AV38=1,calcA!$A$6=0),1000000000,IF('calcA'!$JF$34=1,0,100000000)+IF('calcA'!$IQ$34=2,SUMPRODUCT('calcA'!$D$84:$EQ$84,$DB38:$IO38,$IQ38:$OD38)*1000+SUMPRODUCT('calcA'!$D$84:$EQ$84,$DB38:$IO38+$ZQ38:$AFD38,$AFF38:$AKS38),SUMPRODUCT('calcA'!$D$84:$EQ$84,$DB38:$IO38*1001+$ZQ38:$AFD38))*100+25)</f>
        <v/>
      </c>
      <c r="CL38">
        <f>IF(OR(AW38=1,calcA!$A$6=0),1000000000,IF('calcA'!$JF$35=1,0,100000000)+IF('calcA'!$IQ$35=2,SUMPRODUCT('calcA'!$D$85:$EQ$85,$DB38:$IO38,$IQ38:$OD38)*1000+SUMPRODUCT('calcA'!$D$85:$EQ$85,$DB38:$IO38+$ZQ38:$AFD38,$AFF38:$AKS38),SUMPRODUCT('calcA'!$D$85:$EQ$85,$DB38:$IO38*1001+$ZQ38:$AFD38))*100+26)</f>
        <v/>
      </c>
      <c r="CM38">
        <f>IF(OR(AX38=1,calcA!$A$6=0),1000000000,IF('calcA'!$JF$36=1,0,100000000)+IF('calcA'!$IQ$36=2,SUMPRODUCT('calcA'!$D$86:$EQ$86,$DB38:$IO38,$IQ38:$OD38)*1000+SUMPRODUCT('calcA'!$D$86:$EQ$86,$DB38:$IO38+$ZQ38:$AFD38,$AFF38:$AKS38),SUMPRODUCT('calcA'!$D$86:$EQ$86,$DB38:$IO38*1001+$ZQ38:$AFD38))*100+27)</f>
        <v/>
      </c>
      <c r="CN38">
        <f>IF(OR(AY38=1,calcA!$A$6=0),1000000000,IF('calcA'!$JF$37=1,0,100000000)+IF('calcA'!$IQ$37=2,SUMPRODUCT('calcA'!$D$87:$EQ$87,$DB38:$IO38,$IQ38:$OD38)*1000+SUMPRODUCT('calcA'!$D$87:$EQ$87,$DB38:$IO38+$ZQ38:$AFD38,$AFF38:$AKS38),SUMPRODUCT('calcA'!$D$87:$EQ$87,$DB38:$IO38*1001+$ZQ38:$AFD38))*100+28)</f>
        <v/>
      </c>
      <c r="CO38">
        <f>IF(OR(AZ38=1,calcA!$A$6=0),1000000000,IF('calcA'!$JF$38=1,0,100000000)+IF('calcA'!$IQ$38=2,SUMPRODUCT('calcA'!$D$88:$EQ$88,$DB38:$IO38,$IQ38:$OD38)*1000+SUMPRODUCT('calcA'!$D$88:$EQ$88,$DB38:$IO38+$ZQ38:$AFD38,$AFF38:$AKS38),SUMPRODUCT('calcA'!$D$88:$EQ$88,$DB38:$IO38*1001+$ZQ38:$AFD38))*100+29)</f>
        <v/>
      </c>
      <c r="CP38">
        <f>IF(OR(BA38=1,calcA!$A$6=0),1000000000,IF('calcA'!$JF$39=1,0,100000000)+IF('calcA'!$IQ$39=2,SUMPRODUCT('calcA'!$D$89:$EQ$89,$DB38:$IO38,$IQ38:$OD38)*1000+SUMPRODUCT('calcA'!$D$89:$EQ$89,$DB38:$IO38+$ZQ38:$AFD38,$AFF38:$AKS38),SUMPRODUCT('calcA'!$D$89:$EQ$89,$DB38:$IO38*1001+$ZQ38:$AFD38))*100+30)</f>
        <v/>
      </c>
      <c r="CQ38">
        <f>IF(OR(BB38=1,calcA!$A$6=0),1000000000,IF('calcA'!$JF$40=1,0,100000000)+IF('calcA'!$IQ$40=2,SUMPRODUCT('calcA'!$D$90:$EQ$90,$DB38:$IO38,$IQ38:$OD38)*1000+SUMPRODUCT('calcA'!$D$90:$EQ$90,$DB38:$IO38+$ZQ38:$AFD38,$AFF38:$AKS38),SUMPRODUCT('calcA'!$D$90:$EQ$90,$DB38:$IO38*1001+$ZQ38:$AFD38))*100+31)</f>
        <v/>
      </c>
      <c r="CR38">
        <f>IF(OR(BC38=1,calcA!$A$6=0),1000000000,IF('calcA'!$JF$41=1,0,100000000)+IF('calcA'!$IQ$41=2,SUMPRODUCT('calcA'!$D$91:$EQ$91,$DB38:$IO38,$IQ38:$OD38)*1000+SUMPRODUCT('calcA'!$D$91:$EQ$91,$DB38:$IO38+$ZQ38:$AFD38,$AFF38:$AKS38),SUMPRODUCT('calcA'!$D$91:$EQ$91,$DB38:$IO38*1001+$ZQ38:$AFD38))*100+32)</f>
        <v/>
      </c>
      <c r="CS38">
        <f>IF(OR(BD38=1,calcA!$A$6=0),1000000000,IF('calcA'!$JF$42=1,0,100000000)+IF('calcA'!$IQ$42=2,SUMPRODUCT('calcA'!$D$92:$EQ$92,$DB38:$IO38,$IQ38:$OD38)*1000+SUMPRODUCT('calcA'!$D$92:$EQ$92,$DB38:$IO38+$ZQ38:$AFD38,$AFF38:$AKS38),SUMPRODUCT('calcA'!$D$92:$EQ$92,$DB38:$IO38*1001+$ZQ38:$AFD38))*100+33)</f>
        <v/>
      </c>
      <c r="CT38">
        <f>IF(OR(BE38=1,calcA!$A$6=0),1000000000,IF('calcA'!$JF$43=1,0,100000000)+IF('calcA'!$IQ$43=2,SUMPRODUCT('calcA'!$D$93:$EQ$93,$DB38:$IO38,$IQ38:$OD38)*1000+SUMPRODUCT('calcA'!$D$93:$EQ$93,$DB38:$IO38+$ZQ38:$AFD38,$AFF38:$AKS38),SUMPRODUCT('calcA'!$D$93:$EQ$93,$DB38:$IO38*1001+$ZQ38:$AFD38))*100+34)</f>
        <v/>
      </c>
      <c r="CU38">
        <f>IF(OR(BF38=1,calcA!$A$6=0),1000000000,IF('calcA'!$JF$44=1,0,100000000)+IF('calcA'!$IQ$44=2,SUMPRODUCT('calcA'!$D$94:$EQ$94,$DB38:$IO38,$IQ38:$OD38)*1000+SUMPRODUCT('calcA'!$D$94:$EQ$94,$DB38:$IO38+$ZQ38:$AFD38,$AFF38:$AKS38),SUMPRODUCT('calcA'!$D$94:$EQ$94,$DB38:$IO38*1001+$ZQ38:$AFD38))*100+35)</f>
        <v/>
      </c>
      <c r="CV38">
        <f>IF(OR(BG38=1,calcA!$A$6=0),1000000000,IF('calcA'!$JF$45=1,0,100000000)+IF('calcA'!$IQ$45=2,SUMPRODUCT('calcA'!$D$95:$EQ$95,$DB38:$IO38,$IQ38:$OD38)*1000+SUMPRODUCT('calcA'!$D$95:$EQ$95,$DB38:$IO38+$ZQ38:$AFD38,$AFF38:$AKS38),SUMPRODUCT('calcA'!$D$95:$EQ$95,$DB38:$IO38*1001+$ZQ38:$AFD38))*100+36)</f>
        <v/>
      </c>
      <c r="CW38">
        <f>IF(OR(BH38=1,calcA!$A$6=0),1000000000,IF('calcA'!$JF$46=1,0,100000000)+IF('calcA'!$IQ$46=2,SUMPRODUCT('calcA'!$D$96:$EQ$96,$DB38:$IO38,$IQ38:$OD38)*1000+SUMPRODUCT('calcA'!$D$96:$EQ$96,$DB38:$IO38+$ZQ38:$AFD38,$AFF38:$AKS38),SUMPRODUCT('calcA'!$D$96:$EQ$96,$DB38:$IO38*1001+$ZQ38:$AFD38))*100+37)</f>
        <v/>
      </c>
      <c r="CX38">
        <f>IF(OR(BI38=1,calcA!$A$6=0),1000000000,IF('calcA'!$JF$47=1,0,100000000)+IF('calcA'!$IQ$47=2,SUMPRODUCT('calcA'!$D$97:$EQ$97,$DB38:$IO38,$IQ38:$OD38)*1000+SUMPRODUCT('calcA'!$D$97:$EQ$97,$DB38:$IO38+$ZQ38:$AFD38,$AFF38:$AKS38),SUMPRODUCT('calcA'!$D$97:$EQ$97,$DB38:$IO38*1001+$ZQ38:$AFD38))*100+38)</f>
        <v/>
      </c>
      <c r="CY38">
        <f>IF(OR(BJ38=1,calcA!$A$6=0),1000000000,IF('calcA'!$JF$48=1,0,100000000)+IF('calcA'!$IQ$48=2,SUMPRODUCT('calcA'!$D$98:$EQ$98,$DB38:$IO38,$IQ38:$OD38)*1000+SUMPRODUCT('calcA'!$D$98:$EQ$98,$DB38:$IO38+$ZQ38:$AFD38,$AFF38:$AKS38),SUMPRODUCT('calcA'!$D$98:$EQ$98,$DB38:$IO38*1001+$ZQ38:$AFD38))*100+39)</f>
        <v/>
      </c>
      <c r="CZ38">
        <f>IF(OR(BK38=1,calcA!$A$6=0),1000000000,IF('calcA'!$JF$49=1,0,100000000)+IF('calcA'!$IQ$49=2,SUMPRODUCT('calcA'!$D$99:$EQ$99,$DB38:$IO38,$IQ38:$OD38)*1000+SUMPRODUCT('calcA'!$D$99:$EQ$99,$DB38:$IO38+$ZQ38:$AFD38,$AFF38:$AKS38),SUMPRODUCT('calcA'!$D$99:$EQ$99,$DB38:$IO38*1001+$ZQ38:$AFD38))*100+40)</f>
        <v/>
      </c>
      <c r="DB38">
        <f>DB37*IF(OR($C37=1,$G37=1),0,1)</f>
        <v/>
      </c>
      <c r="DC38">
        <f>DC37*IF(OR($C37=2,$G37=2),0,1)</f>
        <v/>
      </c>
      <c r="DD38">
        <f>DD37*IF(OR($C37=3,$G37=3),0,1)</f>
        <v/>
      </c>
      <c r="DE38">
        <f>DE37*IF(OR($C37=4,$G37=4),0,1)</f>
        <v/>
      </c>
      <c r="DF38">
        <f>DF37*IF(OR($C37=5,$G37=5),0,1)</f>
        <v/>
      </c>
      <c r="DG38">
        <f>DG37*IF(OR($C37=6,$G37=6),0,1)</f>
        <v/>
      </c>
      <c r="DH38">
        <f>DH37*IF(OR($C37=7,$G37=7),0,1)</f>
        <v/>
      </c>
      <c r="DI38">
        <f>DI37*IF(OR($C37=8,$G37=8),0,1)</f>
        <v/>
      </c>
      <c r="DJ38">
        <f>DJ37*IF(OR($C37=9,$G37=9),0,1)</f>
        <v/>
      </c>
      <c r="DK38">
        <f>DK37*IF(OR($C37=10,$G37=10),0,1)</f>
        <v/>
      </c>
      <c r="DL38">
        <f>DL37*IF(OR($C37=11,$G37=11),0,1)</f>
        <v/>
      </c>
      <c r="DM38">
        <f>DM37*IF(OR($C37=12,$G37=12),0,1)</f>
        <v/>
      </c>
      <c r="DN38">
        <f>DN37*IF(OR($C37=13,$G37=13),0,1)</f>
        <v/>
      </c>
      <c r="DO38">
        <f>DO37*IF(OR($C37=14,$G37=14),0,1)</f>
        <v/>
      </c>
      <c r="DP38">
        <f>DP37*IF(OR($C37=15,$G37=15),0,1)</f>
        <v/>
      </c>
      <c r="DQ38">
        <f>DQ37*IF(OR($C37=16,$G37=16),0,1)</f>
        <v/>
      </c>
      <c r="DR38">
        <f>DR37*IF(OR($C37=17,$G37=17),0,1)</f>
        <v/>
      </c>
      <c r="DS38">
        <f>DS37*IF(OR($C37=18,$G37=18),0,1)</f>
        <v/>
      </c>
      <c r="DT38">
        <f>DT37*IF(OR($C37=19,$G37=19),0,1)</f>
        <v/>
      </c>
      <c r="DU38">
        <f>DU37*IF(OR($C37=20,$G37=20),0,1)</f>
        <v/>
      </c>
      <c r="DV38">
        <f>DV37*IF(OR($C37=21,$G37=21),0,1)</f>
        <v/>
      </c>
      <c r="DW38">
        <f>DW37*IF(OR($C37=22,$G37=22),0,1)</f>
        <v/>
      </c>
      <c r="DX38">
        <f>DX37*IF(OR($C37=23,$G37=23),0,1)</f>
        <v/>
      </c>
      <c r="DY38">
        <f>DY37*IF(OR($C37=24,$G37=24),0,1)</f>
        <v/>
      </c>
      <c r="DZ38">
        <f>DZ37*IF(OR($C37=25,$G37=25),0,1)</f>
        <v/>
      </c>
      <c r="EA38">
        <f>EA37*IF(OR($C37=26,$G37=26),0,1)</f>
        <v/>
      </c>
      <c r="EB38">
        <f>EB37*IF(OR($C37=27,$G37=27),0,1)</f>
        <v/>
      </c>
      <c r="EC38">
        <f>EC37*IF(OR($C37=28,$G37=28),0,1)</f>
        <v/>
      </c>
      <c r="ED38">
        <f>ED37*IF(OR($C37=29,$G37=29),0,1)</f>
        <v/>
      </c>
      <c r="EE38">
        <f>EE37*IF(OR($C37=30,$G37=30),0,1)</f>
        <v/>
      </c>
      <c r="EF38">
        <f>EF37*IF(OR($C37=31,$G37=31),0,1)</f>
        <v/>
      </c>
      <c r="EG38">
        <f>EG37*IF(OR($C37=32,$G37=32),0,1)</f>
        <v/>
      </c>
      <c r="EH38">
        <f>EH37*IF(OR($C37=33,$G37=33),0,1)</f>
        <v/>
      </c>
      <c r="EI38">
        <f>EI37*IF(OR($C37=34,$G37=34),0,1)</f>
        <v/>
      </c>
      <c r="EJ38">
        <f>EJ37*IF(OR($C37=35,$G37=35),0,1)</f>
        <v/>
      </c>
      <c r="EK38">
        <f>EK37*IF(OR($C37=36,$G37=36),0,1)</f>
        <v/>
      </c>
      <c r="EL38">
        <f>EL37*IF(OR($C37=37,$G37=37),0,1)</f>
        <v/>
      </c>
      <c r="EM38">
        <f>EM37*IF(OR($C37=38,$G37=38),0,1)</f>
        <v/>
      </c>
      <c r="EN38">
        <f>EN37*IF(OR($C37=39,$G37=39),0,1)</f>
        <v/>
      </c>
      <c r="EO38">
        <f>EO37*IF(OR($C37=40,$G37=40),0,1)</f>
        <v/>
      </c>
      <c r="EP38">
        <f>EP37*IF(OR($C37=41,$G37=41),0,1)</f>
        <v/>
      </c>
      <c r="EQ38">
        <f>EQ37*IF(OR($C37=42,$G37=42),0,1)</f>
        <v/>
      </c>
      <c r="ER38">
        <f>ER37*IF(OR($C37=43,$G37=43),0,1)</f>
        <v/>
      </c>
      <c r="ES38">
        <f>ES37*IF(OR($C37=44,$G37=44),0,1)</f>
        <v/>
      </c>
      <c r="ET38">
        <f>ET37*IF(OR($C37=45,$G37=45),0,1)</f>
        <v/>
      </c>
      <c r="EU38">
        <f>EU37*IF(OR($C37=46,$G37=46),0,1)</f>
        <v/>
      </c>
      <c r="EV38">
        <f>EV37*IF(OR($C37=47,$G37=47),0,1)</f>
        <v/>
      </c>
      <c r="EW38">
        <f>EW37*IF(OR($C37=48,$G37=48),0,1)</f>
        <v/>
      </c>
      <c r="EX38">
        <f>EX37*IF(OR($C37=49,$G37=49),0,1)</f>
        <v/>
      </c>
      <c r="EY38">
        <f>EY37*IF(OR($C37=50,$G37=50),0,1)</f>
        <v/>
      </c>
      <c r="EZ38">
        <f>EZ37*IF(OR($C37=51,$G37=51),0,1)</f>
        <v/>
      </c>
      <c r="FA38">
        <f>FA37*IF(OR($C37=52,$G37=52),0,1)</f>
        <v/>
      </c>
      <c r="FB38">
        <f>FB37*IF(OR($C37=53,$G37=53),0,1)</f>
        <v/>
      </c>
      <c r="FC38">
        <f>FC37*IF(OR($C37=54,$G37=54),0,1)</f>
        <v/>
      </c>
      <c r="FD38">
        <f>FD37*IF(OR($C37=55,$G37=55),0,1)</f>
        <v/>
      </c>
      <c r="FE38">
        <f>FE37*IF(OR($C37=56,$G37=56),0,1)</f>
        <v/>
      </c>
      <c r="FF38">
        <f>FF37*IF(OR($C37=57,$G37=57),0,1)</f>
        <v/>
      </c>
      <c r="FG38">
        <f>FG37*IF(OR($C37=58,$G37=58),0,1)</f>
        <v/>
      </c>
      <c r="FH38">
        <f>FH37*IF(OR($C37=59,$G37=59),0,1)</f>
        <v/>
      </c>
      <c r="FI38">
        <f>FI37*IF(OR($C37=60,$G37=60),0,1)</f>
        <v/>
      </c>
      <c r="FJ38">
        <f>FJ37*IF(OR($C37=61,$G37=61),0,1)</f>
        <v/>
      </c>
      <c r="FK38">
        <f>FK37*IF(OR($C37=62,$G37=62),0,1)</f>
        <v/>
      </c>
      <c r="FL38">
        <f>FL37*IF(OR($C37=63,$G37=63),0,1)</f>
        <v/>
      </c>
      <c r="FM38">
        <f>FM37*IF(OR($C37=64,$G37=64),0,1)</f>
        <v/>
      </c>
      <c r="FN38">
        <f>FN37*IF(OR($C37=65,$G37=65),0,1)</f>
        <v/>
      </c>
      <c r="FO38">
        <f>FO37*IF(OR($C37=66,$G37=66),0,1)</f>
        <v/>
      </c>
      <c r="FP38">
        <f>FP37*IF(OR($C37=67,$G37=67),0,1)</f>
        <v/>
      </c>
      <c r="FQ38">
        <f>FQ37*IF(OR($C37=68,$G37=68),0,1)</f>
        <v/>
      </c>
      <c r="FR38">
        <f>FR37*IF(OR($C37=69,$G37=69),0,1)</f>
        <v/>
      </c>
      <c r="FS38">
        <f>FS37*IF(OR($C37=70,$G37=70),0,1)</f>
        <v/>
      </c>
      <c r="FT38">
        <f>FT37*IF(OR($C37=71,$G37=71),0,1)</f>
        <v/>
      </c>
      <c r="FU38">
        <f>FU37*IF(OR($C37=72,$G37=72),0,1)</f>
        <v/>
      </c>
      <c r="FV38">
        <f>FV37*IF(OR($C37=73,$G37=73),0,1)</f>
        <v/>
      </c>
      <c r="FW38">
        <f>FW37*IF(OR($C37=74,$G37=74),0,1)</f>
        <v/>
      </c>
      <c r="FX38">
        <f>FX37*IF(OR($C37=75,$G37=75),0,1)</f>
        <v/>
      </c>
      <c r="FY38">
        <f>FY37*IF(OR($C37=76,$G37=76),0,1)</f>
        <v/>
      </c>
      <c r="FZ38">
        <f>FZ37*IF(OR($C37=77,$G37=77),0,1)</f>
        <v/>
      </c>
      <c r="GA38">
        <f>GA37*IF(OR($C37=78,$G37=78),0,1)</f>
        <v/>
      </c>
      <c r="GB38">
        <f>GB37*IF(OR($C37=79,$G37=79),0,1)</f>
        <v/>
      </c>
      <c r="GC38">
        <f>GC37*IF(OR($C37=80,$G37=80),0,1)</f>
        <v/>
      </c>
      <c r="GD38">
        <f>GD37*IF(OR($C37=81,$G37=81),0,1)</f>
        <v/>
      </c>
      <c r="GE38">
        <f>GE37*IF(OR($C37=82,$G37=82),0,1)</f>
        <v/>
      </c>
      <c r="GF38">
        <f>GF37*IF(OR($C37=83,$G37=83),0,1)</f>
        <v/>
      </c>
      <c r="GG38">
        <f>GG37*IF(OR($C37=84,$G37=84),0,1)</f>
        <v/>
      </c>
      <c r="GH38">
        <f>GH37*IF(OR($C37=85,$G37=85),0,1)</f>
        <v/>
      </c>
      <c r="GI38">
        <f>GI37*IF(OR($C37=86,$G37=86),0,1)</f>
        <v/>
      </c>
      <c r="GJ38">
        <f>GJ37*IF(OR($C37=87,$G37=87),0,1)</f>
        <v/>
      </c>
      <c r="GK38">
        <f>GK37*IF(OR($C37=88,$G37=88),0,1)</f>
        <v/>
      </c>
      <c r="GL38">
        <f>GL37*IF(OR($C37=89,$G37=89),0,1)</f>
        <v/>
      </c>
      <c r="GM38">
        <f>GM37*IF(OR($C37=90,$G37=90),0,1)</f>
        <v/>
      </c>
      <c r="GN38">
        <f>GN37*IF(OR($C37=91,$G37=91),0,1)</f>
        <v/>
      </c>
      <c r="GO38">
        <f>GO37*IF(OR($C37=92,$G37=92),0,1)</f>
        <v/>
      </c>
      <c r="GP38">
        <f>GP37*IF(OR($C37=93,$G37=93),0,1)</f>
        <v/>
      </c>
      <c r="GQ38">
        <f>GQ37*IF(OR($C37=94,$G37=94),0,1)</f>
        <v/>
      </c>
      <c r="GR38">
        <f>GR37*IF(OR($C37=95,$G37=95),0,1)</f>
        <v/>
      </c>
      <c r="GS38">
        <f>GS37*IF(OR($C37=96,$G37=96),0,1)</f>
        <v/>
      </c>
      <c r="GT38">
        <f>GT37*IF(OR($C37=97,$G37=97),0,1)</f>
        <v/>
      </c>
      <c r="GU38">
        <f>GU37*IF(OR($C37=98,$G37=98),0,1)</f>
        <v/>
      </c>
      <c r="GV38">
        <f>GV37*IF(OR($C37=99,$G37=99),0,1)</f>
        <v/>
      </c>
      <c r="GW38">
        <f>GW37*IF(OR($C37=100,$G37=100),0,1)</f>
        <v/>
      </c>
      <c r="GX38">
        <f>GX37*IF(OR($C37=101,$G37=101),0,1)</f>
        <v/>
      </c>
      <c r="GY38">
        <f>GY37*IF(OR($C37=102,$G37=102),0,1)</f>
        <v/>
      </c>
      <c r="GZ38">
        <f>GZ37*IF(OR($C37=103,$G37=103),0,1)</f>
        <v/>
      </c>
      <c r="HA38">
        <f>HA37*IF(OR($C37=104,$G37=104),0,1)</f>
        <v/>
      </c>
      <c r="HB38">
        <f>HB37*IF(OR($C37=105,$G37=105),0,1)</f>
        <v/>
      </c>
      <c r="HC38">
        <f>HC37*IF(OR($C37=106,$G37=106),0,1)</f>
        <v/>
      </c>
      <c r="HD38">
        <f>HD37*IF(OR($C37=107,$G37=107),0,1)</f>
        <v/>
      </c>
      <c r="HE38">
        <f>HE37*IF(OR($C37=108,$G37=108),0,1)</f>
        <v/>
      </c>
      <c r="HF38">
        <f>HF37*IF(OR($C37=109,$G37=109),0,1)</f>
        <v/>
      </c>
      <c r="HG38">
        <f>HG37*IF(OR($C37=110,$G37=110),0,1)</f>
        <v/>
      </c>
      <c r="HH38">
        <f>HH37*IF(OR($C37=111,$G37=111),0,1)</f>
        <v/>
      </c>
      <c r="HI38">
        <f>HI37*IF(OR($C37=112,$G37=112),0,1)</f>
        <v/>
      </c>
      <c r="HJ38">
        <f>HJ37*IF(OR($C37=113,$G37=113),0,1)</f>
        <v/>
      </c>
      <c r="HK38">
        <f>HK37*IF(OR($C37=114,$G37=114),0,1)</f>
        <v/>
      </c>
      <c r="HL38">
        <f>HL37*IF(OR($C37=115,$G37=115),0,1)</f>
        <v/>
      </c>
      <c r="HM38">
        <f>HM37*IF(OR($C37=116,$G37=116),0,1)</f>
        <v/>
      </c>
      <c r="HN38">
        <f>HN37*IF(OR($C37=117,$G37=117),0,1)</f>
        <v/>
      </c>
      <c r="HO38">
        <f>HO37*IF(OR($C37=118,$G37=118),0,1)</f>
        <v/>
      </c>
      <c r="HP38">
        <f>HP37*IF(OR($C37=119,$G37=119),0,1)</f>
        <v/>
      </c>
      <c r="HQ38">
        <f>HQ37*IF(OR($C37=120,$G37=120),0,1)</f>
        <v/>
      </c>
      <c r="HR38">
        <f>HR37*IF(OR($C37=121,$G37=121),0,1)</f>
        <v/>
      </c>
      <c r="HS38">
        <f>HS37*IF(OR($C37=122,$G37=122),0,1)</f>
        <v/>
      </c>
      <c r="HT38">
        <f>HT37*IF(OR($C37=123,$G37=123),0,1)</f>
        <v/>
      </c>
      <c r="HU38">
        <f>HU37*IF(OR($C37=124,$G37=124),0,1)</f>
        <v/>
      </c>
      <c r="HV38">
        <f>HV37*IF(OR($C37=125,$G37=125),0,1)</f>
        <v/>
      </c>
      <c r="HW38">
        <f>HW37*IF(OR($C37=126,$G37=126),0,1)</f>
        <v/>
      </c>
      <c r="HX38">
        <f>HX37*IF(OR($C37=127,$G37=127),0,1)</f>
        <v/>
      </c>
      <c r="HY38">
        <f>HY37*IF(OR($C37=128,$G37=128),0,1)</f>
        <v/>
      </c>
      <c r="HZ38">
        <f>HZ37*IF(OR($C37=129,$G37=129),0,1)</f>
        <v/>
      </c>
      <c r="IA38">
        <f>IA37*IF(OR($C37=130,$G37=130),0,1)</f>
        <v/>
      </c>
      <c r="IB38">
        <f>IB37*IF(OR($C37=131,$G37=131),0,1)</f>
        <v/>
      </c>
      <c r="IC38">
        <f>IC37*IF(OR($C37=132,$G37=132),0,1)</f>
        <v/>
      </c>
      <c r="ID38">
        <f>ID37*IF(OR($C37=133,$G37=133),0,1)</f>
        <v/>
      </c>
      <c r="IE38">
        <f>IE37*IF(OR($C37=134,$G37=134),0,1)</f>
        <v/>
      </c>
      <c r="IF38">
        <f>IF37*IF(OR($C37=135,$G37=135),0,1)</f>
        <v/>
      </c>
      <c r="IG38">
        <f>IG37*IF(OR($C37=136,$G37=136),0,1)</f>
        <v/>
      </c>
      <c r="IH38">
        <f>IH37*IF(OR($C37=137,$G37=137),0,1)</f>
        <v/>
      </c>
      <c r="II38">
        <f>II37*IF(OR($C37=138,$G37=138),0,1)</f>
        <v/>
      </c>
      <c r="IJ38">
        <f>IJ37*IF(OR($C37=139,$G37=139),0,1)</f>
        <v/>
      </c>
      <c r="IK38">
        <f>IK37*IF(OR($C37=140,$G37=140),0,1)</f>
        <v/>
      </c>
      <c r="IL38">
        <f>IL37*IF(OR($C37=141,$G37=141),0,1)</f>
        <v/>
      </c>
      <c r="IM38">
        <f>IM37*IF(OR($C37=142,$G37=142),0,1)</f>
        <v/>
      </c>
      <c r="IN38">
        <f>IN37*IF(OR($C37=143,$G37=143),0,1)</f>
        <v/>
      </c>
      <c r="IO38">
        <f>IO37*IF(OR($C37=144,$G37=144),0,1)</f>
        <v/>
      </c>
      <c r="IQ38">
        <f>IF('calcA'!D$106=1,DC38,1)</f>
        <v/>
      </c>
      <c r="IR38">
        <f>IF('calcA'!E$106=1,DD38,1)</f>
        <v/>
      </c>
      <c r="IS38">
        <f>IF('calcA'!F$106=1,DE38,1)</f>
        <v/>
      </c>
      <c r="IT38">
        <f>IF('calcA'!G$106=1,DF38,1)</f>
        <v/>
      </c>
      <c r="IU38">
        <f>IF('calcA'!H$106=1,DG38,1)</f>
        <v/>
      </c>
      <c r="IV38">
        <f>IF('calcA'!I$106=1,DH38,1)</f>
        <v/>
      </c>
      <c r="IW38">
        <f>IF('calcA'!J$106=1,DI38,1)</f>
        <v/>
      </c>
      <c r="IX38">
        <f>IF('calcA'!K$106=1,DJ38,1)</f>
        <v/>
      </c>
      <c r="IY38">
        <f>IF('calcA'!L$106=1,DK38,1)</f>
        <v/>
      </c>
      <c r="IZ38">
        <f>IF('calcA'!M$106=1,DL38,1)</f>
        <v/>
      </c>
      <c r="JA38">
        <f>IF('calcA'!N$106=1,DM38,1)</f>
        <v/>
      </c>
      <c r="JB38">
        <f>IF('calcA'!O$106=1,DN38,1)</f>
        <v/>
      </c>
      <c r="JC38">
        <f>IF('calcA'!P$106=1,DO38,1)</f>
        <v/>
      </c>
      <c r="JD38">
        <f>IF('calcA'!Q$106=1,DP38,1)</f>
        <v/>
      </c>
      <c r="JE38">
        <f>IF('calcA'!R$106=1,DQ38,1)</f>
        <v/>
      </c>
      <c r="JF38">
        <f>IF('calcA'!S$106=1,DR38,1)</f>
        <v/>
      </c>
      <c r="JG38">
        <f>IF('calcA'!T$106=1,DS38,1)</f>
        <v/>
      </c>
      <c r="JH38">
        <f>IF('calcA'!U$106=1,DT38,1)</f>
        <v/>
      </c>
      <c r="JI38">
        <f>IF('calcA'!V$106=1,DU38,1)</f>
        <v/>
      </c>
      <c r="JJ38">
        <f>IF('calcA'!W$106=1,DV38,1)</f>
        <v/>
      </c>
      <c r="JK38">
        <f>IF('calcA'!X$106=1,DW38,1)</f>
        <v/>
      </c>
      <c r="JL38">
        <f>IF('calcA'!Y$106=1,DX38,1)</f>
        <v/>
      </c>
      <c r="JM38">
        <f>IF('calcA'!Z$106=1,DY38,1)</f>
        <v/>
      </c>
      <c r="JN38">
        <f>IF('calcA'!AA$106=1,DZ38,1)</f>
        <v/>
      </c>
      <c r="JO38">
        <f>IF('calcA'!AB$106=1,EA38,1)</f>
        <v/>
      </c>
      <c r="JP38">
        <f>IF('calcA'!AC$106=1,EB38,1)</f>
        <v/>
      </c>
      <c r="JQ38">
        <f>IF('calcA'!AD$106=1,EC38,1)</f>
        <v/>
      </c>
      <c r="JR38">
        <f>IF('calcA'!AE$106=1,ED38,1)</f>
        <v/>
      </c>
      <c r="JS38">
        <f>IF('calcA'!AF$106=1,EE38,1)</f>
        <v/>
      </c>
      <c r="JT38">
        <f>IF('calcA'!AG$106=1,EF38,1)</f>
        <v/>
      </c>
      <c r="JU38">
        <f>IF('calcA'!AH$106=1,EG38,1)</f>
        <v/>
      </c>
      <c r="JV38">
        <f>IF('calcA'!AI$106=1,EH38,1)</f>
        <v/>
      </c>
      <c r="JW38">
        <f>IF('calcA'!AJ$106=1,EI38,1)</f>
        <v/>
      </c>
      <c r="JX38">
        <f>IF('calcA'!AK$106=1,EJ38,1)</f>
        <v/>
      </c>
      <c r="JY38">
        <f>IF('calcA'!AL$106=1,EK38,1)</f>
        <v/>
      </c>
      <c r="JZ38">
        <f>IF('calcA'!AM$106=1,EL38,1)</f>
        <v/>
      </c>
      <c r="KA38">
        <f>IF('calcA'!AN$106=1,EM38,1)</f>
        <v/>
      </c>
      <c r="KB38">
        <f>IF('calcA'!AO$106=1,EN38,1)</f>
        <v/>
      </c>
      <c r="KC38">
        <f>IF('calcA'!AP$106=1,EO38,1)</f>
        <v/>
      </c>
      <c r="KD38">
        <f>IF('calcA'!AQ$106=1,EP38,1)</f>
        <v/>
      </c>
      <c r="KE38">
        <f>IF('calcA'!AR$106=1,EQ38,1)</f>
        <v/>
      </c>
      <c r="KF38">
        <f>IF('calcA'!AS$106=1,ER38,1)</f>
        <v/>
      </c>
      <c r="KG38">
        <f>IF('calcA'!AT$106=1,ES38,1)</f>
        <v/>
      </c>
      <c r="KH38">
        <f>IF('calcA'!AU$106=1,ET38,1)</f>
        <v/>
      </c>
      <c r="KI38">
        <f>IF('calcA'!AV$106=1,EU38,1)</f>
        <v/>
      </c>
      <c r="KJ38">
        <f>IF('calcA'!AW$106=1,EV38,1)</f>
        <v/>
      </c>
      <c r="KK38">
        <f>IF('calcA'!AX$106=1,EW38,1)</f>
        <v/>
      </c>
      <c r="KL38">
        <f>IF('calcA'!AY$106=1,EX38,1)</f>
        <v/>
      </c>
      <c r="KM38">
        <f>IF('calcA'!AZ$106=1,EY38,1)</f>
        <v/>
      </c>
      <c r="KN38">
        <f>IF('calcA'!BA$106=1,EZ38,1)</f>
        <v/>
      </c>
      <c r="KO38">
        <f>IF('calcA'!BB$106=1,FA38,1)</f>
        <v/>
      </c>
      <c r="KP38">
        <f>IF('calcA'!BC$106=1,FB38,1)</f>
        <v/>
      </c>
      <c r="KQ38">
        <f>IF('calcA'!BD$106=1,FC38,1)</f>
        <v/>
      </c>
      <c r="KR38">
        <f>IF('calcA'!BE$106=1,FD38,1)</f>
        <v/>
      </c>
      <c r="KS38">
        <f>IF('calcA'!BF$106=1,FE38,1)</f>
        <v/>
      </c>
      <c r="KT38">
        <f>IF('calcA'!BG$106=1,FF38,1)</f>
        <v/>
      </c>
      <c r="KU38">
        <f>IF('calcA'!BH$106=1,FG38,1)</f>
        <v/>
      </c>
      <c r="KV38">
        <f>IF('calcA'!BI$106=1,FH38,1)</f>
        <v/>
      </c>
      <c r="KW38">
        <f>IF('calcA'!BJ$106=1,FI38,1)</f>
        <v/>
      </c>
      <c r="KX38">
        <f>IF('calcA'!BK$106=1,FJ38,1)</f>
        <v/>
      </c>
      <c r="KY38">
        <f>IF('calcA'!BL$106=1,FK38,1)</f>
        <v/>
      </c>
      <c r="KZ38">
        <f>IF('calcA'!BM$106=1,FL38,1)</f>
        <v/>
      </c>
      <c r="LA38">
        <f>IF('calcA'!BN$106=1,FM38,1)</f>
        <v/>
      </c>
      <c r="LB38">
        <f>IF('calcA'!BO$106=1,FN38,1)</f>
        <v/>
      </c>
      <c r="LC38">
        <f>IF('calcA'!BP$106=1,FO38,1)</f>
        <v/>
      </c>
      <c r="LD38">
        <f>IF('calcA'!BQ$106=1,FP38,1)</f>
        <v/>
      </c>
      <c r="LE38">
        <f>IF('calcA'!BR$106=1,FQ38,1)</f>
        <v/>
      </c>
      <c r="LF38">
        <f>IF('calcA'!BS$106=1,FR38,1)</f>
        <v/>
      </c>
      <c r="LG38">
        <f>IF('calcA'!BT$106=1,FS38,1)</f>
        <v/>
      </c>
      <c r="LH38">
        <f>IF('calcA'!BU$106=1,FT38,1)</f>
        <v/>
      </c>
      <c r="LI38">
        <f>IF('calcA'!BV$106=1,FU38,1)</f>
        <v/>
      </c>
      <c r="LJ38">
        <f>IF('calcA'!BW$106=1,FV38,1)</f>
        <v/>
      </c>
      <c r="LK38">
        <f>IF('calcA'!BX$106=1,FW38,1)</f>
        <v/>
      </c>
      <c r="LL38">
        <f>IF('calcA'!BY$106=1,FX38,1)</f>
        <v/>
      </c>
      <c r="LM38">
        <f>IF('calcA'!BZ$106=1,FY38,1)</f>
        <v/>
      </c>
      <c r="LN38">
        <f>IF('calcA'!CA$106=1,FZ38,1)</f>
        <v/>
      </c>
      <c r="LO38">
        <f>IF('calcA'!CB$106=1,GA38,1)</f>
        <v/>
      </c>
      <c r="LP38">
        <f>IF('calcA'!CC$106=1,GB38,1)</f>
        <v/>
      </c>
      <c r="LQ38">
        <f>IF('calcA'!CD$106=1,GC38,1)</f>
        <v/>
      </c>
      <c r="LR38">
        <f>IF('calcA'!CE$106=1,GD38,1)</f>
        <v/>
      </c>
      <c r="LS38">
        <f>IF('calcA'!CF$106=1,GE38,1)</f>
        <v/>
      </c>
      <c r="LT38">
        <f>IF('calcA'!CG$106=1,GF38,1)</f>
        <v/>
      </c>
      <c r="LU38">
        <f>IF('calcA'!CH$106=1,GG38,1)</f>
        <v/>
      </c>
      <c r="LV38">
        <f>IF('calcA'!CI$106=1,GH38,1)</f>
        <v/>
      </c>
      <c r="LW38">
        <f>IF('calcA'!CJ$106=1,GI38,1)</f>
        <v/>
      </c>
      <c r="LX38">
        <f>IF('calcA'!CK$106=1,GJ38,1)</f>
        <v/>
      </c>
      <c r="LY38">
        <f>IF('calcA'!CL$106=1,GK38,1)</f>
        <v/>
      </c>
      <c r="LZ38">
        <f>IF('calcA'!CM$106=1,GL38,1)</f>
        <v/>
      </c>
      <c r="MA38">
        <f>IF('calcA'!CN$106=1,GM38,1)</f>
        <v/>
      </c>
      <c r="MB38">
        <f>IF('calcA'!CO$106=1,GN38,1)</f>
        <v/>
      </c>
      <c r="MC38">
        <f>IF('calcA'!CP$106=1,GO38,1)</f>
        <v/>
      </c>
      <c r="MD38">
        <f>IF('calcA'!CQ$106=1,GP38,1)</f>
        <v/>
      </c>
      <c r="ME38">
        <f>IF('calcA'!CR$106=1,GQ38,1)</f>
        <v/>
      </c>
      <c r="MF38">
        <f>IF('calcA'!CS$106=1,GR38,1)</f>
        <v/>
      </c>
      <c r="MG38">
        <f>IF('calcA'!CT$106=1,GS38,1)</f>
        <v/>
      </c>
      <c r="MH38">
        <f>IF('calcA'!CU$106=1,GT38,1)</f>
        <v/>
      </c>
      <c r="MI38">
        <f>IF('calcA'!CV$106=1,GU38,1)</f>
        <v/>
      </c>
      <c r="MJ38">
        <f>IF('calcA'!CW$106=1,GV38,1)</f>
        <v/>
      </c>
      <c r="MK38">
        <f>IF('calcA'!CX$106=1,GW38,1)</f>
        <v/>
      </c>
      <c r="ML38">
        <f>IF('calcA'!CY$106=1,GX38,1)</f>
        <v/>
      </c>
      <c r="MM38">
        <f>IF('calcA'!CZ$106=1,GY38,1)</f>
        <v/>
      </c>
      <c r="MN38">
        <f>IF('calcA'!DA$106=1,GZ38,1)</f>
        <v/>
      </c>
      <c r="MO38">
        <f>IF('calcA'!DB$106=1,HA38,1)</f>
        <v/>
      </c>
      <c r="MP38">
        <f>IF('calcA'!DC$106=1,HB38,1)</f>
        <v/>
      </c>
      <c r="MQ38">
        <f>IF('calcA'!DD$106=1,HC38,1)</f>
        <v/>
      </c>
      <c r="MR38">
        <f>IF('calcA'!DE$106=1,HD38,1)</f>
        <v/>
      </c>
      <c r="MS38">
        <f>IF('calcA'!DF$106=1,HE38,1)</f>
        <v/>
      </c>
      <c r="MT38">
        <f>IF('calcA'!DG$106=1,HF38,1)</f>
        <v/>
      </c>
      <c r="MU38">
        <f>IF('calcA'!DH$106=1,HG38,1)</f>
        <v/>
      </c>
      <c r="MV38">
        <f>IF('calcA'!DI$106=1,HH38,1)</f>
        <v/>
      </c>
      <c r="MW38">
        <f>IF('calcA'!DJ$106=1,HI38,1)</f>
        <v/>
      </c>
      <c r="MX38">
        <f>IF('calcA'!DK$106=1,HJ38,1)</f>
        <v/>
      </c>
      <c r="MY38">
        <f>IF('calcA'!DL$106=1,HK38,1)</f>
        <v/>
      </c>
      <c r="MZ38">
        <f>IF('calcA'!DM$106=1,HL38,1)</f>
        <v/>
      </c>
      <c r="NA38">
        <f>IF('calcA'!DN$106=1,HM38,1)</f>
        <v/>
      </c>
      <c r="NB38">
        <f>IF('calcA'!DO$106=1,HN38,1)</f>
        <v/>
      </c>
      <c r="NC38">
        <f>IF('calcA'!DP$106=1,HO38,1)</f>
        <v/>
      </c>
      <c r="ND38">
        <f>IF('calcA'!DQ$106=1,HP38,1)</f>
        <v/>
      </c>
      <c r="NE38">
        <f>IF('calcA'!DR$106=1,HQ38,1)</f>
        <v/>
      </c>
      <c r="NF38">
        <f>IF('calcA'!DS$106=1,HR38,1)</f>
        <v/>
      </c>
      <c r="NG38">
        <f>IF('calcA'!DT$106=1,HS38,1)</f>
        <v/>
      </c>
      <c r="NH38">
        <f>IF('calcA'!DU$106=1,HT38,1)</f>
        <v/>
      </c>
      <c r="NI38">
        <f>IF('calcA'!DV$106=1,HU38,1)</f>
        <v/>
      </c>
      <c r="NJ38">
        <f>IF('calcA'!DW$106=1,HV38,1)</f>
        <v/>
      </c>
      <c r="NK38">
        <f>IF('calcA'!DX$106=1,HW38,1)</f>
        <v/>
      </c>
      <c r="NL38">
        <f>IF('calcA'!DY$106=1,HX38,1)</f>
        <v/>
      </c>
      <c r="NM38">
        <f>IF('calcA'!DZ$106=1,HY38,1)</f>
        <v/>
      </c>
      <c r="NN38">
        <f>IF('calcA'!EA$106=1,HZ38,1)</f>
        <v/>
      </c>
      <c r="NO38">
        <f>IF('calcA'!EB$106=1,IA38,1)</f>
        <v/>
      </c>
      <c r="NP38">
        <f>IF('calcA'!EC$106=1,IB38,1)</f>
        <v/>
      </c>
      <c r="NQ38">
        <f>IF('calcA'!ED$106=1,IC38,1)</f>
        <v/>
      </c>
      <c r="NR38">
        <f>IF('calcA'!EE$106=1,ID38,1)</f>
        <v/>
      </c>
      <c r="NS38">
        <f>IF('calcA'!EF$106=1,IE38,1)</f>
        <v/>
      </c>
      <c r="NT38">
        <f>IF('calcA'!EG$106=1,IF38,1)</f>
        <v/>
      </c>
      <c r="NU38">
        <f>IF('calcA'!EH$106=1,IG38,1)</f>
        <v/>
      </c>
      <c r="NV38">
        <f>IF('calcA'!EI$106=1,IH38,1)</f>
        <v/>
      </c>
      <c r="NW38">
        <f>IF('calcA'!EJ$106=1,II38,1)</f>
        <v/>
      </c>
      <c r="NX38">
        <f>IF('calcA'!EK$106=1,IJ38,1)</f>
        <v/>
      </c>
      <c r="NY38">
        <f>IF('calcA'!EL$106=1,IK38,1)</f>
        <v/>
      </c>
      <c r="NZ38">
        <f>IF('calcA'!EM$106=1,IL38,1)</f>
        <v/>
      </c>
      <c r="OA38">
        <f>IF('calcA'!EN$106=1,IM38,1)</f>
        <v/>
      </c>
      <c r="OB38">
        <f>IF('calcA'!EO$106=1,IN38,1)</f>
        <v/>
      </c>
      <c r="OC38">
        <f>IF('calcA'!EP$106=1,IO38,1)</f>
        <v/>
      </c>
      <c r="OD38" t="n">
        <v>1</v>
      </c>
      <c r="OF38">
        <f>IF($B38=0,1000000000,IF(INDEX('calcA'!$D$60:$EQ$99,$B38,1)*IF($W38=1,DB38+ZQ38,DB38)=1,IF(AND($E38=2,IF($W38=1,AFF38,IQ38)=0),1000000000,IF($V38=1,INDEX('calcA'!$D$130:$EQ$169,$B38,1)+IF(AND($E38=1,IQ38=0),25,0),IF($F38&gt;0,INDEX('calcA'!D$110:D$114,$F38+1)+IF(AND($E38=1,IQ38=0),1000,0),MIN(TU38,20)*400+(IF('calcA'!D$106=1,1-DC38,0))*150+11+'calcA'!D$5*100000+IF(AND($E38=1,IQ38=0),50000,0))+IF($H38=1,INDEX('calcA'!$D$180:$EQ$219,$B38,1)*4000,0)-IF(AND($U38=1,'calcA'!D$117=1,DC38=0),2000,0))),1000000000))</f>
        <v/>
      </c>
      <c r="OG38">
        <f>IF($B38=0,1000000000,IF(INDEX('calcA'!$D$60:$EQ$99,$B38,2)*IF($W38=1,DC38+ZR38,DC38)=1,IF(AND($E38=2,IF($W38=1,AFG38,IR38)=0),1000000000,IF($V38=1,INDEX('calcA'!$D$130:$EQ$169,$B38,2)+IF(AND($E38=1,IR38=0),25,0),IF($F38&gt;0,INDEX('calcA'!E$110:E$114,$F38+1)+IF(AND($E38=1,IR38=0),1000,0),MIN(TU38,20)*400+(IF('calcA'!D$106=1,1-DB38,0)+IF('calcA'!E$106=1,1-DD38,0))*150+21+'calcA'!E$5*100000+IF(AND($E38=1,IR38=0),50000,0))+IF($H38=1,INDEX('calcA'!$D$180:$EQ$219,$B38,2)*4000,0)-IF(AND('calcA'!D$117=1,UB38&gt;0),2000,0)-IF(AND($U38=1,'calcA'!E$117=1,DD38=0),2000,0))),1000000000))</f>
        <v/>
      </c>
      <c r="OH38">
        <f>IF($B38=0,1000000000,IF(INDEX('calcA'!$D$60:$EQ$99,$B38,3)*IF($W38=1,DD38+ZS38,DD38)=1,IF(AND($E38=2,IF($W38=1,AFH38,IS38)=0),1000000000,IF($V38=1,INDEX('calcA'!$D$130:$EQ$169,$B38,3)+IF(AND($E38=1,IS38=0),25,0),IF($F38&gt;0,INDEX('calcA'!F$110:F$114,$F38+1)+IF(AND($E38=1,IS38=0),1000,0),MIN(TU38,20)*400+(IF('calcA'!E$106=1,1-DC38,0)+IF('calcA'!F$106=1,1-DE38,0))*150+31+'calcA'!F$5*100000+IF(AND($E38=1,IS38=0),50000,0))+IF($H38=1,INDEX('calcA'!$D$180:$EQ$219,$B38,3)*4000,0)-IF(AND('calcA'!E$117=1,UC38&gt;0),2000,0)-IF(AND($U38=1,'calcA'!F$117=1,DE38=0),2000,0))),1000000000))</f>
        <v/>
      </c>
      <c r="OI38">
        <f>IF($B38=0,1000000000,IF(INDEX('calcA'!$D$60:$EQ$99,$B38,4)*IF($W38=1,DE38+ZT38,DE38)=1,IF(AND($E38=2,IF($W38=1,AFI38,IT38)=0),1000000000,IF($V38=1,INDEX('calcA'!$D$130:$EQ$169,$B38,4)+IF(AND($E38=1,IT38=0),25,0),IF($F38&gt;0,INDEX('calcA'!G$110:G$114,$F38+1)+IF(AND($E38=1,IT38=0),1000,0),MIN(TU38,20)*400+(IF('calcA'!F$106=1,1-DD38,0)+IF('calcA'!G$106=1,1-DF38,0))*150+41+'calcA'!G$5*100000+IF(AND($E38=1,IT38=0),50000,0))+IF($H38=1,INDEX('calcA'!$D$180:$EQ$219,$B38,4)*4000,0)-IF(AND('calcA'!F$117=1,UD38&gt;0),2000,0)-IF(AND($U38=1,'calcA'!G$117=1,DF38=0),2000,0))),1000000000))</f>
        <v/>
      </c>
      <c r="OJ38">
        <f>IF($B38=0,1000000000,IF(INDEX('calcA'!$D$60:$EQ$99,$B38,5)*IF($W38=1,DF38+ZU38,DF38)=1,IF(AND($E38=2,IF($W38=1,AFJ38,IU38)=0),1000000000,IF($V38=1,INDEX('calcA'!$D$130:$EQ$169,$B38,5)+IF(AND($E38=1,IU38=0),25,0),IF($F38&gt;0,INDEX('calcA'!H$110:H$114,$F38+1)+IF(AND($E38=1,IU38=0),1000,0),MIN(TU38,20)*400+(IF('calcA'!G$106=1,1-DE38,0)+IF('calcA'!H$106=1,1-DG38,0))*150+51+'calcA'!H$5*100000+IF(AND($E38=1,IU38=0),50000,0))+IF($H38=1,INDEX('calcA'!$D$180:$EQ$219,$B38,5)*4000,0)-IF(AND('calcA'!G$117=1,UE38&gt;0),2000,0)-IF(AND($U38=1,'calcA'!H$117=1,DG38=0),2000,0))),1000000000))</f>
        <v/>
      </c>
      <c r="OK38">
        <f>IF($B38=0,1000000000,IF(INDEX('calcA'!$D$60:$EQ$99,$B38,6)*IF($W38=1,DG38+ZV38,DG38)=1,IF(AND($E38=2,IF($W38=1,AFK38,IV38)=0),1000000000,IF($V38=1,INDEX('calcA'!$D$130:$EQ$169,$B38,6)+IF(AND($E38=1,IV38=0),25,0),IF($F38&gt;0,INDEX('calcA'!I$110:I$114,$F38+1)+IF(AND($E38=1,IV38=0),1000,0),MIN(TU38,20)*400+(IF('calcA'!H$106=1,1-DF38,0)+IF('calcA'!I$106=1,1-DH38,0))*150+61+'calcA'!I$5*100000+IF(AND($E38=1,IV38=0),50000,0))+IF($H38=1,INDEX('calcA'!$D$180:$EQ$219,$B38,6)*4000,0)-IF(AND('calcA'!H$117=1,UF38&gt;0),2000,0)-IF(AND($U38=1,'calcA'!I$117=1,DH38=0),2000,0))),1000000000))</f>
        <v/>
      </c>
      <c r="OL38">
        <f>IF($B38=0,1000000000,IF(INDEX('calcA'!$D$60:$EQ$99,$B38,7)*IF($W38=1,DH38+ZW38,DH38)=1,IF(AND($E38=2,IF($W38=1,AFL38,IW38)=0),1000000000,IF($V38=1,INDEX('calcA'!$D$130:$EQ$169,$B38,7)+IF(AND($E38=1,IW38=0),25,0),IF($F38&gt;0,INDEX('calcA'!J$110:J$114,$F38+1)+IF(AND($E38=1,IW38=0),1000,0),MIN(TU38,20)*400+(IF('calcA'!I$106=1,1-DG38,0)+IF('calcA'!J$106=1,1-DI38,0))*150+71+'calcA'!J$5*100000+IF(AND($E38=1,IW38=0),50000,0))+IF($H38=1,INDEX('calcA'!$D$180:$EQ$219,$B38,7)*4000,0)-IF(AND('calcA'!I$117=1,UG38&gt;0),2000,0)-IF(AND($U38=1,'calcA'!J$117=1,DI38=0),2000,0))),1000000000))</f>
        <v/>
      </c>
      <c r="OM38">
        <f>IF($B38=0,1000000000,IF(INDEX('calcA'!$D$60:$EQ$99,$B38,8)*IF($W38=1,DI38+ZX38,DI38)=1,IF(AND($E38=2,IF($W38=1,AFM38,IX38)=0),1000000000,IF($V38=1,INDEX('calcA'!$D$130:$EQ$169,$B38,8)+IF(AND($E38=1,IX38=0),25,0),IF($F38&gt;0,INDEX('calcA'!K$110:K$114,$F38+1)+IF(AND($E38=1,IX38=0),1000,0),MIN(TU38,20)*400+(IF('calcA'!J$106=1,1-DH38,0)+IF('calcA'!K$106=1,1-DJ38,0))*150+81+'calcA'!K$5*100000+IF(AND($E38=1,IX38=0),50000,0))+IF($H38=1,INDEX('calcA'!$D$180:$EQ$219,$B38,8)*4000,0)-IF(AND('calcA'!J$117=1,UH38&gt;0),2000,0)-IF(AND($U38=1,'calcA'!K$117=1,DJ38=0),2000,0))),1000000000))</f>
        <v/>
      </c>
      <c r="ON38">
        <f>IF($B38=0,1000000000,IF(INDEX('calcA'!$D$60:$EQ$99,$B38,9)*IF($W38=1,DJ38+ZY38,DJ38)=1,IF(AND($E38=2,IF($W38=1,AFN38,IY38)=0),1000000000,IF($V38=1,INDEX('calcA'!$D$130:$EQ$169,$B38,9)+IF(AND($E38=1,IY38=0),25,0),IF($F38&gt;0,INDEX('calcA'!L$110:L$114,$F38+1)+IF(AND($E38=1,IY38=0),1000,0),MIN(TU38,20)*400+(IF('calcA'!K$106=1,1-DI38,0)+IF('calcA'!L$106=1,1-DK38,0))*150+91+'calcA'!L$5*100000+IF(AND($E38=1,IY38=0),50000,0))+IF($H38=1,INDEX('calcA'!$D$180:$EQ$219,$B38,9)*4000,0)-IF(AND('calcA'!K$117=1,UI38&gt;0),2000,0)-IF(AND($U38=1,'calcA'!L$117=1,DK38=0),2000,0))),1000000000))</f>
        <v/>
      </c>
      <c r="OO38">
        <f>IF($B38=0,1000000000,IF(INDEX('calcA'!$D$60:$EQ$99,$B38,10)*IF($W38=1,DK38+ZZ38,DK38)=1,IF(AND($E38=2,IF($W38=1,AFO38,IZ38)=0),1000000000,IF($V38=1,INDEX('calcA'!$D$130:$EQ$169,$B38,10)+IF(AND($E38=1,IZ38=0),25,0),IF($F38&gt;0,INDEX('calcA'!M$110:M$114,$F38+1)+IF(AND($E38=1,IZ38=0),1000,0),MIN(TU38,20)*400+(IF('calcA'!L$106=1,1-DJ38,0)+IF('calcA'!M$106=1,1-DL38,0))*150+101+'calcA'!M$5*100000+IF(AND($E38=1,IZ38=0),50000,0))+IF($H38=1,INDEX('calcA'!$D$180:$EQ$219,$B38,10)*4000,0)-IF(AND('calcA'!L$117=1,UJ38&gt;0),2000,0)-IF(AND($U38=1,'calcA'!M$117=1,DL38=0),2000,0))),1000000000))</f>
        <v/>
      </c>
      <c r="OP38">
        <f>IF($B38=0,1000000000,IF(INDEX('calcA'!$D$60:$EQ$99,$B38,11)*IF($W38=1,DL38+AAA38,DL38)=1,IF(AND($E38=2,IF($W38=1,AFP38,JA38)=0),1000000000,IF($V38=1,INDEX('calcA'!$D$130:$EQ$169,$B38,11)+IF(AND($E38=1,JA38=0),25,0),IF($F38&gt;0,INDEX('calcA'!N$110:N$114,$F38+1)+IF(AND($E38=1,JA38=0),1000,0),MIN(TU38,20)*400+(IF('calcA'!M$106=1,1-DK38,0)+IF('calcA'!N$106=1,1-DM38,0))*150+111+'calcA'!N$5*100000+IF(AND($E38=1,JA38=0),50000,0))+IF($H38=1,INDEX('calcA'!$D$180:$EQ$219,$B38,11)*4000,0)-IF(AND('calcA'!M$117=1,UK38&gt;0),2000,0)-IF(AND($U38=1,'calcA'!N$117=1,DM38=0),2000,0))),1000000000))</f>
        <v/>
      </c>
      <c r="OQ38">
        <f>IF($B38=0,1000000000,IF(INDEX('calcA'!$D$60:$EQ$99,$B38,12)*IF($W38=1,DM38+AAB38,DM38)=1,IF(AND($E38=2,IF($W38=1,AFQ38,JB38)=0),1000000000,IF($V38=1,INDEX('calcA'!$D$130:$EQ$169,$B38,12)+IF(AND($E38=1,JB38=0),25,0),IF($F38&gt;0,INDEX('calcA'!O$110:O$114,$F38+1)+IF(AND($E38=1,JB38=0),1000,0),MIN(TU38,20)*400+(IF('calcA'!N$106=1,1-DL38,0)+IF('calcA'!O$106=1,1-DN38,0))*150+121+'calcA'!O$5*100000+IF(AND($E38=1,JB38=0),50000,0))+IF($H38=1,INDEX('calcA'!$D$180:$EQ$219,$B38,12)*4000,0)-IF(AND('calcA'!N$117=1,UL38&gt;0),2000,0)-IF(AND($U38=1,'calcA'!O$117=1,DN38=0),2000,0))),1000000000))</f>
        <v/>
      </c>
      <c r="OR38">
        <f>IF($B38=0,1000000000,IF(INDEX('calcA'!$D$60:$EQ$99,$B38,13)*IF($W38=1,DN38+AAC38,DN38)=1,IF(AND($E38=2,IF($W38=1,AFR38,JC38)=0),1000000000,IF($V38=1,INDEX('calcA'!$D$130:$EQ$169,$B38,13)+IF(AND($E38=1,JC38=0),25,0),IF($F38&gt;0,INDEX('calcA'!P$110:P$114,$F38+1)+IF(AND($E38=1,JC38=0),1000,0),MIN(TU38,20)*400+(IF('calcA'!O$106=1,1-DM38,0)+IF('calcA'!P$106=1,1-DO38,0))*150+131+'calcA'!P$5*100000+IF(AND($E38=1,JC38=0),50000,0))+IF($H38=1,INDEX('calcA'!$D$180:$EQ$219,$B38,13)*4000,0)-IF(AND('calcA'!O$117=1,UM38&gt;0),2000,0)-IF(AND($U38=1,'calcA'!P$117=1,DO38=0),2000,0))),1000000000))</f>
        <v/>
      </c>
      <c r="OS38">
        <f>IF($B38=0,1000000000,IF(INDEX('calcA'!$D$60:$EQ$99,$B38,14)*IF($W38=1,DO38+AAD38,DO38)=1,IF(AND($E38=2,IF($W38=1,AFS38,JD38)=0),1000000000,IF($V38=1,INDEX('calcA'!$D$130:$EQ$169,$B38,14)+IF(AND($E38=1,JD38=0),25,0),IF($F38&gt;0,INDEX('calcA'!Q$110:Q$114,$F38+1)+IF(AND($E38=1,JD38=0),1000,0),MIN(TU38,20)*400+(IF('calcA'!P$106=1,1-DN38,0)+IF('calcA'!Q$106=1,1-DP38,0))*150+141+'calcA'!Q$5*100000+IF(AND($E38=1,JD38=0),50000,0))+IF($H38=1,INDEX('calcA'!$D$180:$EQ$219,$B38,14)*4000,0)-IF(AND('calcA'!P$117=1,UN38&gt;0),2000,0)-IF(AND($U38=1,'calcA'!Q$117=1,DP38=0),2000,0))),1000000000))</f>
        <v/>
      </c>
      <c r="OT38">
        <f>IF($B38=0,1000000000,IF(INDEX('calcA'!$D$60:$EQ$99,$B38,15)*IF($W38=1,DP38+AAE38,DP38)=1,IF(AND($E38=2,IF($W38=1,AFT38,JE38)=0),1000000000,IF($V38=1,INDEX('calcA'!$D$130:$EQ$169,$B38,15)+IF(AND($E38=1,JE38=0),25,0),IF($F38&gt;0,INDEX('calcA'!R$110:R$114,$F38+1)+IF(AND($E38=1,JE38=0),1000,0),MIN(TU38,20)*400+(IF('calcA'!Q$106=1,1-DO38,0)+IF('calcA'!R$106=1,1-DQ38,0))*150+151+'calcA'!R$5*100000+IF(AND($E38=1,JE38=0),50000,0))+IF($H38=1,INDEX('calcA'!$D$180:$EQ$219,$B38,15)*4000,0)-IF(AND('calcA'!Q$117=1,UO38&gt;0),2000,0)-IF(AND($U38=1,'calcA'!R$117=1,DQ38=0),2000,0))),1000000000))</f>
        <v/>
      </c>
      <c r="OU38">
        <f>IF($B38=0,1000000000,IF(INDEX('calcA'!$D$60:$EQ$99,$B38,16)*IF($W38=1,DQ38+AAF38,DQ38)=1,IF(AND($E38=2,IF($W38=1,AFU38,JF38)=0),1000000000,IF($V38=1,INDEX('calcA'!$D$130:$EQ$169,$B38,16)+IF(AND($E38=1,JF38=0),25,0),IF($F38&gt;0,INDEX('calcA'!S$110:S$114,$F38+1)+IF(AND($E38=1,JF38=0),1000,0),MIN(TU38,20)*400+(IF('calcA'!R$106=1,1-DP38,0)+IF('calcA'!S$106=1,1-DR38,0))*150+161+'calcA'!S$5*100000+IF(AND($E38=1,JF38=0),50000,0))+IF($H38=1,INDEX('calcA'!$D$180:$EQ$219,$B38,16)*4000,0)-IF(AND('calcA'!R$117=1,UP38&gt;0),2000,0)-IF(AND($U38=1,'calcA'!S$117=1,DR38=0),2000,0))),1000000000))</f>
        <v/>
      </c>
      <c r="OV38">
        <f>IF($B38=0,1000000000,IF(INDEX('calcA'!$D$60:$EQ$99,$B38,17)*IF($W38=1,DR38+AAG38,DR38)=1,IF(AND($E38=2,IF($W38=1,AFV38,JG38)=0),1000000000,IF($V38=1,INDEX('calcA'!$D$130:$EQ$169,$B38,17)+IF(AND($E38=1,JG38=0),25,0),IF($F38&gt;0,INDEX('calcA'!T$110:T$114,$F38+1)+IF(AND($E38=1,JG38=0),1000,0),MIN(TU38,20)*400+(IF('calcA'!S$106=1,1-DQ38,0)+IF('calcA'!T$106=1,1-DS38,0))*150+171+'calcA'!T$5*100000+IF(AND($E38=1,JG38=0),50000,0))+IF($H38=1,INDEX('calcA'!$D$180:$EQ$219,$B38,17)*4000,0)-IF(AND('calcA'!S$117=1,UQ38&gt;0),2000,0)-IF(AND($U38=1,'calcA'!T$117=1,DS38=0),2000,0))),1000000000))</f>
        <v/>
      </c>
      <c r="OW38">
        <f>IF($B38=0,1000000000,IF(INDEX('calcA'!$D$60:$EQ$99,$B38,18)*IF($W38=1,DS38+AAH38,DS38)=1,IF(AND($E38=2,IF($W38=1,AFW38,JH38)=0),1000000000,IF($V38=1,INDEX('calcA'!$D$130:$EQ$169,$B38,18)+IF(AND($E38=1,JH38=0),25,0),IF($F38&gt;0,INDEX('calcA'!U$110:U$114,$F38+1)+IF(AND($E38=1,JH38=0),1000,0),MIN(TU38,20)*400+(IF('calcA'!T$106=1,1-DR38,0)+IF('calcA'!U$106=1,1-DT38,0))*150+181+'calcA'!U$5*100000+IF(AND($E38=1,JH38=0),50000,0))+IF($H38=1,INDEX('calcA'!$D$180:$EQ$219,$B38,18)*4000,0)-IF(AND('calcA'!T$117=1,UR38&gt;0),2000,0)-IF(AND($U38=1,'calcA'!U$117=1,DT38=0),2000,0))),1000000000))</f>
        <v/>
      </c>
      <c r="OX38">
        <f>IF($B38=0,1000000000,IF(INDEX('calcA'!$D$60:$EQ$99,$B38,19)*IF($W38=1,DT38+AAI38,DT38)=1,IF(AND($E38=2,IF($W38=1,AFX38,JI38)=0),1000000000,IF($V38=1,INDEX('calcA'!$D$130:$EQ$169,$B38,19)+IF(AND($E38=1,JI38=0),25,0),IF($F38&gt;0,INDEX('calcA'!V$110:V$114,$F38+1)+IF(AND($E38=1,JI38=0),1000,0),MIN(TU38,20)*400+(IF('calcA'!U$106=1,1-DS38,0)+IF('calcA'!V$106=1,1-DU38,0))*150+191+'calcA'!V$5*100000+IF(AND($E38=1,JI38=0),50000,0))+IF($H38=1,INDEX('calcA'!$D$180:$EQ$219,$B38,19)*4000,0)-IF(AND('calcA'!U$117=1,US38&gt;0),2000,0)-IF(AND($U38=1,'calcA'!V$117=1,DU38=0),2000,0))),1000000000))</f>
        <v/>
      </c>
      <c r="OY38">
        <f>IF($B38=0,1000000000,IF(INDEX('calcA'!$D$60:$EQ$99,$B38,20)*IF($W38=1,DU38+AAJ38,DU38)=1,IF(AND($E38=2,IF($W38=1,AFY38,JJ38)=0),1000000000,IF($V38=1,INDEX('calcA'!$D$130:$EQ$169,$B38,20)+IF(AND($E38=1,JJ38=0),25,0),IF($F38&gt;0,INDEX('calcA'!W$110:W$114,$F38+1)+IF(AND($E38=1,JJ38=0),1000,0),MIN(TU38,20)*400+(IF('calcA'!V$106=1,1-DT38,0)+IF('calcA'!W$106=1,1-DV38,0))*150+201+'calcA'!W$5*100000+IF(AND($E38=1,JJ38=0),50000,0))+IF($H38=1,INDEX('calcA'!$D$180:$EQ$219,$B38,20)*4000,0)-IF(AND('calcA'!V$117=1,UT38&gt;0),2000,0)-IF(AND($U38=1,'calcA'!W$117=1,DV38=0),2000,0))),1000000000))</f>
        <v/>
      </c>
      <c r="OZ38">
        <f>IF($B38=0,1000000000,IF(INDEX('calcA'!$D$60:$EQ$99,$B38,21)*IF($W38=1,DV38+AAK38,DV38)=1,IF(AND($E38=2,IF($W38=1,AFZ38,JK38)=0),1000000000,IF($V38=1,INDEX('calcA'!$D$130:$EQ$169,$B38,21)+IF(AND($E38=1,JK38=0),25,0),IF($F38&gt;0,INDEX('calcA'!X$110:X$114,$F38+1)+IF(AND($E38=1,JK38=0),1000,0),MIN(TU38,20)*400+(IF('calcA'!W$106=1,1-DU38,0)+IF('calcA'!X$106=1,1-DW38,0))*150+211+'calcA'!X$5*100000+IF(AND($E38=1,JK38=0),50000,0))+IF($H38=1,INDEX('calcA'!$D$180:$EQ$219,$B38,21)*4000,0)-IF(AND('calcA'!W$117=1,UU38&gt;0),2000,0)-IF(AND($U38=1,'calcA'!X$117=1,DW38=0),2000,0))),1000000000))</f>
        <v/>
      </c>
      <c r="PA38">
        <f>IF($B38=0,1000000000,IF(INDEX('calcA'!$D$60:$EQ$99,$B38,22)*IF($W38=1,DW38+AAL38,DW38)=1,IF(AND($E38=2,IF($W38=1,AGA38,JL38)=0),1000000000,IF($V38=1,INDEX('calcA'!$D$130:$EQ$169,$B38,22)+IF(AND($E38=1,JL38=0),25,0),IF($F38&gt;0,INDEX('calcA'!Y$110:Y$114,$F38+1)+IF(AND($E38=1,JL38=0),1000,0),MIN(TU38,20)*400+(IF('calcA'!X$106=1,1-DV38,0)+IF('calcA'!Y$106=1,1-DX38,0))*150+221+'calcA'!Y$5*100000+IF(AND($E38=1,JL38=0),50000,0))+IF($H38=1,INDEX('calcA'!$D$180:$EQ$219,$B38,22)*4000,0)-IF(AND('calcA'!X$117=1,UV38&gt;0),2000,0)-IF(AND($U38=1,'calcA'!Y$117=1,DX38=0),2000,0))),1000000000))</f>
        <v/>
      </c>
      <c r="PB38">
        <f>IF($B38=0,1000000000,IF(INDEX('calcA'!$D$60:$EQ$99,$B38,23)*IF($W38=1,DX38+AAM38,DX38)=1,IF(AND($E38=2,IF($W38=1,AGB38,JM38)=0),1000000000,IF($V38=1,INDEX('calcA'!$D$130:$EQ$169,$B38,23)+IF(AND($E38=1,JM38=0),25,0),IF($F38&gt;0,INDEX('calcA'!Z$110:Z$114,$F38+1)+IF(AND($E38=1,JM38=0),1000,0),MIN(TU38,20)*400+(IF('calcA'!Y$106=1,1-DW38,0)+IF('calcA'!Z$106=1,1-DY38,0))*150+231+'calcA'!Z$5*100000+IF(AND($E38=1,JM38=0),50000,0))+IF($H38=1,INDEX('calcA'!$D$180:$EQ$219,$B38,23)*4000,0)-IF(AND('calcA'!Y$117=1,UW38&gt;0),2000,0)-IF(AND($U38=1,'calcA'!Z$117=1,DY38=0),2000,0))),1000000000))</f>
        <v/>
      </c>
      <c r="PC38">
        <f>IF($B38=0,1000000000,IF(INDEX('calcA'!$D$60:$EQ$99,$B38,24)*IF($W38=1,DY38+AAN38,DY38)=1,IF(AND($E38=2,IF($W38=1,AGC38,JN38)=0),1000000000,IF($V38=1,INDEX('calcA'!$D$130:$EQ$169,$B38,24)+IF(AND($E38=1,JN38=0),25,0),IF($F38&gt;0,INDEX('calcA'!AA$110:AA$114,$F38+1)+IF(AND($E38=1,JN38=0),1000,0),MIN(TU38,20)*400+(IF('calcA'!Z$106=1,1-DX38,0))*150+241+'calcA'!AA$5*100000+IF(AND($E38=1,JN38=0),50000,0))+IF($H38=1,INDEX('calcA'!$D$180:$EQ$219,$B38,24)*4000,0)-IF(AND('calcA'!Z$117=1,UX38&gt;0),2000,0))),1000000000))</f>
        <v/>
      </c>
      <c r="PD38">
        <f>IF($B38=0,1000000000,IF(INDEX('calcA'!$D$60:$EQ$99,$B38,25)*IF($W38=1,DZ38+AAO38,DZ38)=1,IF(AND($E38=2,IF($W38=1,AGD38,JO38)=0),1000000000,IF($V38=1,INDEX('calcA'!$D$130:$EQ$169,$B38,25)+IF(AND($E38=1,JO38=0),25,0),IF($F38&gt;0,INDEX('calcA'!AB$110:AB$114,$F38+1)+IF(AND($E38=1,JO38=0),1000,0),MIN(TV38,20)*400+(IF('calcA'!AB$106=1,1-EA38,0))*150+12+'calcA'!AB$5*100000+IF(AND($E38=1,JO38=0),50000,0))+IF($H38=1,INDEX('calcA'!$D$180:$EQ$219,$B38,25)*4000,0)-IF(AND($U38=1,'calcA'!AB$117=1,EA38=0),2000,0))),1000000000))</f>
        <v/>
      </c>
      <c r="PE38">
        <f>IF($B38=0,1000000000,IF(INDEX('calcA'!$D$60:$EQ$99,$B38,26)*IF($W38=1,EA38+AAP38,EA38)=1,IF(AND($E38=2,IF($W38=1,AGE38,JP38)=0),1000000000,IF($V38=1,INDEX('calcA'!$D$130:$EQ$169,$B38,26)+IF(AND($E38=1,JP38=0),25,0),IF($F38&gt;0,INDEX('calcA'!AC$110:AC$114,$F38+1)+IF(AND($E38=1,JP38=0),1000,0),MIN(TV38,20)*400+(IF('calcA'!AB$106=1,1-DZ38,0)+IF('calcA'!AC$106=1,1-EB38,0))*150+22+'calcA'!AC$5*100000+IF(AND($E38=1,JP38=0),50000,0))+IF($H38=1,INDEX('calcA'!$D$180:$EQ$219,$B38,26)*4000,0)-IF(AND('calcA'!AB$117=1,UZ38&gt;0),2000,0)-IF(AND($U38=1,'calcA'!AC$117=1,EB38=0),2000,0))),1000000000))</f>
        <v/>
      </c>
      <c r="PF38">
        <f>IF($B38=0,1000000000,IF(INDEX('calcA'!$D$60:$EQ$99,$B38,27)*IF($W38=1,EB38+AAQ38,EB38)=1,IF(AND($E38=2,IF($W38=1,AGF38,JQ38)=0),1000000000,IF($V38=1,INDEX('calcA'!$D$130:$EQ$169,$B38,27)+IF(AND($E38=1,JQ38=0),25,0),IF($F38&gt;0,INDEX('calcA'!AD$110:AD$114,$F38+1)+IF(AND($E38=1,JQ38=0),1000,0),MIN(TV38,20)*400+(IF('calcA'!AC$106=1,1-EA38,0)+IF('calcA'!AD$106=1,1-EC38,0))*150+32+'calcA'!AD$5*100000+IF(AND($E38=1,JQ38=0),50000,0))+IF($H38=1,INDEX('calcA'!$D$180:$EQ$219,$B38,27)*4000,0)-IF(AND('calcA'!AC$117=1,VA38&gt;0),2000,0)-IF(AND($U38=1,'calcA'!AD$117=1,EC38=0),2000,0))),1000000000))</f>
        <v/>
      </c>
      <c r="PG38">
        <f>IF($B38=0,1000000000,IF(INDEX('calcA'!$D$60:$EQ$99,$B38,28)*IF($W38=1,EC38+AAR38,EC38)=1,IF(AND($E38=2,IF($W38=1,AGG38,JR38)=0),1000000000,IF($V38=1,INDEX('calcA'!$D$130:$EQ$169,$B38,28)+IF(AND($E38=1,JR38=0),25,0),IF($F38&gt;0,INDEX('calcA'!AE$110:AE$114,$F38+1)+IF(AND($E38=1,JR38=0),1000,0),MIN(TV38,20)*400+(IF('calcA'!AD$106=1,1-EB38,0)+IF('calcA'!AE$106=1,1-ED38,0))*150+42+'calcA'!AE$5*100000+IF(AND($E38=1,JR38=0),50000,0))+IF($H38=1,INDEX('calcA'!$D$180:$EQ$219,$B38,28)*4000,0)-IF(AND('calcA'!AD$117=1,VB38&gt;0),2000,0)-IF(AND($U38=1,'calcA'!AE$117=1,ED38=0),2000,0))),1000000000))</f>
        <v/>
      </c>
      <c r="PH38">
        <f>IF($B38=0,1000000000,IF(INDEX('calcA'!$D$60:$EQ$99,$B38,29)*IF($W38=1,ED38+AAS38,ED38)=1,IF(AND($E38=2,IF($W38=1,AGH38,JS38)=0),1000000000,IF($V38=1,INDEX('calcA'!$D$130:$EQ$169,$B38,29)+IF(AND($E38=1,JS38=0),25,0),IF($F38&gt;0,INDEX('calcA'!AF$110:AF$114,$F38+1)+IF(AND($E38=1,JS38=0),1000,0),MIN(TV38,20)*400+(IF('calcA'!AE$106=1,1-EC38,0)+IF('calcA'!AF$106=1,1-EE38,0))*150+52+'calcA'!AF$5*100000+IF(AND($E38=1,JS38=0),50000,0))+IF($H38=1,INDEX('calcA'!$D$180:$EQ$219,$B38,29)*4000,0)-IF(AND('calcA'!AE$117=1,VC38&gt;0),2000,0)-IF(AND($U38=1,'calcA'!AF$117=1,EE38=0),2000,0))),1000000000))</f>
        <v/>
      </c>
      <c r="PI38">
        <f>IF($B38=0,1000000000,IF(INDEX('calcA'!$D$60:$EQ$99,$B38,30)*IF($W38=1,EE38+AAT38,EE38)=1,IF(AND($E38=2,IF($W38=1,AGI38,JT38)=0),1000000000,IF($V38=1,INDEX('calcA'!$D$130:$EQ$169,$B38,30)+IF(AND($E38=1,JT38=0),25,0),IF($F38&gt;0,INDEX('calcA'!AG$110:AG$114,$F38+1)+IF(AND($E38=1,JT38=0),1000,0),MIN(TV38,20)*400+(IF('calcA'!AF$106=1,1-ED38,0)+IF('calcA'!AG$106=1,1-EF38,0))*150+62+'calcA'!AG$5*100000+IF(AND($E38=1,JT38=0),50000,0))+IF($H38=1,INDEX('calcA'!$D$180:$EQ$219,$B38,30)*4000,0)-IF(AND('calcA'!AF$117=1,VD38&gt;0),2000,0)-IF(AND($U38=1,'calcA'!AG$117=1,EF38=0),2000,0))),1000000000))</f>
        <v/>
      </c>
      <c r="PJ38">
        <f>IF($B38=0,1000000000,IF(INDEX('calcA'!$D$60:$EQ$99,$B38,31)*IF($W38=1,EF38+AAU38,EF38)=1,IF(AND($E38=2,IF($W38=1,AGJ38,JU38)=0),1000000000,IF($V38=1,INDEX('calcA'!$D$130:$EQ$169,$B38,31)+IF(AND($E38=1,JU38=0),25,0),IF($F38&gt;0,INDEX('calcA'!AH$110:AH$114,$F38+1)+IF(AND($E38=1,JU38=0),1000,0),MIN(TV38,20)*400+(IF('calcA'!AG$106=1,1-EE38,0)+IF('calcA'!AH$106=1,1-EG38,0))*150+72+'calcA'!AH$5*100000+IF(AND($E38=1,JU38=0),50000,0))+IF($H38=1,INDEX('calcA'!$D$180:$EQ$219,$B38,31)*4000,0)-IF(AND('calcA'!AG$117=1,VE38&gt;0),2000,0)-IF(AND($U38=1,'calcA'!AH$117=1,EG38=0),2000,0))),1000000000))</f>
        <v/>
      </c>
      <c r="PK38">
        <f>IF($B38=0,1000000000,IF(INDEX('calcA'!$D$60:$EQ$99,$B38,32)*IF($W38=1,EG38+AAV38,EG38)=1,IF(AND($E38=2,IF($W38=1,AGK38,JV38)=0),1000000000,IF($V38=1,INDEX('calcA'!$D$130:$EQ$169,$B38,32)+IF(AND($E38=1,JV38=0),25,0),IF($F38&gt;0,INDEX('calcA'!AI$110:AI$114,$F38+1)+IF(AND($E38=1,JV38=0),1000,0),MIN(TV38,20)*400+(IF('calcA'!AH$106=1,1-EF38,0)+IF('calcA'!AI$106=1,1-EH38,0))*150+82+'calcA'!AI$5*100000+IF(AND($E38=1,JV38=0),50000,0))+IF($H38=1,INDEX('calcA'!$D$180:$EQ$219,$B38,32)*4000,0)-IF(AND('calcA'!AH$117=1,VF38&gt;0),2000,0)-IF(AND($U38=1,'calcA'!AI$117=1,EH38=0),2000,0))),1000000000))</f>
        <v/>
      </c>
      <c r="PL38">
        <f>IF($B38=0,1000000000,IF(INDEX('calcA'!$D$60:$EQ$99,$B38,33)*IF($W38=1,EH38+AAW38,EH38)=1,IF(AND($E38=2,IF($W38=1,AGL38,JW38)=0),1000000000,IF($V38=1,INDEX('calcA'!$D$130:$EQ$169,$B38,33)+IF(AND($E38=1,JW38=0),25,0),IF($F38&gt;0,INDEX('calcA'!AJ$110:AJ$114,$F38+1)+IF(AND($E38=1,JW38=0),1000,0),MIN(TV38,20)*400+(IF('calcA'!AI$106=1,1-EG38,0)+IF('calcA'!AJ$106=1,1-EI38,0))*150+92+'calcA'!AJ$5*100000+IF(AND($E38=1,JW38=0),50000,0))+IF($H38=1,INDEX('calcA'!$D$180:$EQ$219,$B38,33)*4000,0)-IF(AND('calcA'!AI$117=1,VG38&gt;0),2000,0)-IF(AND($U38=1,'calcA'!AJ$117=1,EI38=0),2000,0))),1000000000))</f>
        <v/>
      </c>
      <c r="PM38">
        <f>IF($B38=0,1000000000,IF(INDEX('calcA'!$D$60:$EQ$99,$B38,34)*IF($W38=1,EI38+AAX38,EI38)=1,IF(AND($E38=2,IF($W38=1,AGM38,JX38)=0),1000000000,IF($V38=1,INDEX('calcA'!$D$130:$EQ$169,$B38,34)+IF(AND($E38=1,JX38=0),25,0),IF($F38&gt;0,INDEX('calcA'!AK$110:AK$114,$F38+1)+IF(AND($E38=1,JX38=0),1000,0),MIN(TV38,20)*400+(IF('calcA'!AJ$106=1,1-EH38,0)+IF('calcA'!AK$106=1,1-EJ38,0))*150+102+'calcA'!AK$5*100000+IF(AND($E38=1,JX38=0),50000,0))+IF($H38=1,INDEX('calcA'!$D$180:$EQ$219,$B38,34)*4000,0)-IF(AND('calcA'!AJ$117=1,VH38&gt;0),2000,0)-IF(AND($U38=1,'calcA'!AK$117=1,EJ38=0),2000,0))),1000000000))</f>
        <v/>
      </c>
      <c r="PN38">
        <f>IF($B38=0,1000000000,IF(INDEX('calcA'!$D$60:$EQ$99,$B38,35)*IF($W38=1,EJ38+AAY38,EJ38)=1,IF(AND($E38=2,IF($W38=1,AGN38,JY38)=0),1000000000,IF($V38=1,INDEX('calcA'!$D$130:$EQ$169,$B38,35)+IF(AND($E38=1,JY38=0),25,0),IF($F38&gt;0,INDEX('calcA'!AL$110:AL$114,$F38+1)+IF(AND($E38=1,JY38=0),1000,0),MIN(TV38,20)*400+(IF('calcA'!AK$106=1,1-EI38,0)+IF('calcA'!AL$106=1,1-EK38,0))*150+112+'calcA'!AL$5*100000+IF(AND($E38=1,JY38=0),50000,0))+IF($H38=1,INDEX('calcA'!$D$180:$EQ$219,$B38,35)*4000,0)-IF(AND('calcA'!AK$117=1,VI38&gt;0),2000,0)-IF(AND($U38=1,'calcA'!AL$117=1,EK38=0),2000,0))),1000000000))</f>
        <v/>
      </c>
      <c r="PO38">
        <f>IF($B38=0,1000000000,IF(INDEX('calcA'!$D$60:$EQ$99,$B38,36)*IF($W38=1,EK38+AAZ38,EK38)=1,IF(AND($E38=2,IF($W38=1,AGO38,JZ38)=0),1000000000,IF($V38=1,INDEX('calcA'!$D$130:$EQ$169,$B38,36)+IF(AND($E38=1,JZ38=0),25,0),IF($F38&gt;0,INDEX('calcA'!AM$110:AM$114,$F38+1)+IF(AND($E38=1,JZ38=0),1000,0),MIN(TV38,20)*400+(IF('calcA'!AL$106=1,1-EJ38,0)+IF('calcA'!AM$106=1,1-EL38,0))*150+122+'calcA'!AM$5*100000+IF(AND($E38=1,JZ38=0),50000,0))+IF($H38=1,INDEX('calcA'!$D$180:$EQ$219,$B38,36)*4000,0)-IF(AND('calcA'!AL$117=1,VJ38&gt;0),2000,0)-IF(AND($U38=1,'calcA'!AM$117=1,EL38=0),2000,0))),1000000000))</f>
        <v/>
      </c>
      <c r="PP38">
        <f>IF($B38=0,1000000000,IF(INDEX('calcA'!$D$60:$EQ$99,$B38,37)*IF($W38=1,EL38+ABA38,EL38)=1,IF(AND($E38=2,IF($W38=1,AGP38,KA38)=0),1000000000,IF($V38=1,INDEX('calcA'!$D$130:$EQ$169,$B38,37)+IF(AND($E38=1,KA38=0),25,0),IF($F38&gt;0,INDEX('calcA'!AN$110:AN$114,$F38+1)+IF(AND($E38=1,KA38=0),1000,0),MIN(TV38,20)*400+(IF('calcA'!AM$106=1,1-EK38,0)+IF('calcA'!AN$106=1,1-EM38,0))*150+132+'calcA'!AN$5*100000+IF(AND($E38=1,KA38=0),50000,0))+IF($H38=1,INDEX('calcA'!$D$180:$EQ$219,$B38,37)*4000,0)-IF(AND('calcA'!AM$117=1,VK38&gt;0),2000,0)-IF(AND($U38=1,'calcA'!AN$117=1,EM38=0),2000,0))),1000000000))</f>
        <v/>
      </c>
      <c r="PQ38">
        <f>IF($B38=0,1000000000,IF(INDEX('calcA'!$D$60:$EQ$99,$B38,38)*IF($W38=1,EM38+ABB38,EM38)=1,IF(AND($E38=2,IF($W38=1,AGQ38,KB38)=0),1000000000,IF($V38=1,INDEX('calcA'!$D$130:$EQ$169,$B38,38)+IF(AND($E38=1,KB38=0),25,0),IF($F38&gt;0,INDEX('calcA'!AO$110:AO$114,$F38+1)+IF(AND($E38=1,KB38=0),1000,0),MIN(TV38,20)*400+(IF('calcA'!AN$106=1,1-EL38,0)+IF('calcA'!AO$106=1,1-EN38,0))*150+142+'calcA'!AO$5*100000+IF(AND($E38=1,KB38=0),50000,0))+IF($H38=1,INDEX('calcA'!$D$180:$EQ$219,$B38,38)*4000,0)-IF(AND('calcA'!AN$117=1,VL38&gt;0),2000,0)-IF(AND($U38=1,'calcA'!AO$117=1,EN38=0),2000,0))),1000000000))</f>
        <v/>
      </c>
      <c r="PR38">
        <f>IF($B38=0,1000000000,IF(INDEX('calcA'!$D$60:$EQ$99,$B38,39)*IF($W38=1,EN38+ABC38,EN38)=1,IF(AND($E38=2,IF($W38=1,AGR38,KC38)=0),1000000000,IF($V38=1,INDEX('calcA'!$D$130:$EQ$169,$B38,39)+IF(AND($E38=1,KC38=0),25,0),IF($F38&gt;0,INDEX('calcA'!AP$110:AP$114,$F38+1)+IF(AND($E38=1,KC38=0),1000,0),MIN(TV38,20)*400+(IF('calcA'!AO$106=1,1-EM38,0)+IF('calcA'!AP$106=1,1-EO38,0))*150+152+'calcA'!AP$5*100000+IF(AND($E38=1,KC38=0),50000,0))+IF($H38=1,INDEX('calcA'!$D$180:$EQ$219,$B38,39)*4000,0)-IF(AND('calcA'!AO$117=1,VM38&gt;0),2000,0)-IF(AND($U38=1,'calcA'!AP$117=1,EO38=0),2000,0))),1000000000))</f>
        <v/>
      </c>
      <c r="PS38">
        <f>IF($B38=0,1000000000,IF(INDEX('calcA'!$D$60:$EQ$99,$B38,40)*IF($W38=1,EO38+ABD38,EO38)=1,IF(AND($E38=2,IF($W38=1,AGS38,KD38)=0),1000000000,IF($V38=1,INDEX('calcA'!$D$130:$EQ$169,$B38,40)+IF(AND($E38=1,KD38=0),25,0),IF($F38&gt;0,INDEX('calcA'!AQ$110:AQ$114,$F38+1)+IF(AND($E38=1,KD38=0),1000,0),MIN(TV38,20)*400+(IF('calcA'!AP$106=1,1-EN38,0)+IF('calcA'!AQ$106=1,1-EP38,0))*150+162+'calcA'!AQ$5*100000+IF(AND($E38=1,KD38=0),50000,0))+IF($H38=1,INDEX('calcA'!$D$180:$EQ$219,$B38,40)*4000,0)-IF(AND('calcA'!AP$117=1,VN38&gt;0),2000,0)-IF(AND($U38=1,'calcA'!AQ$117=1,EP38=0),2000,0))),1000000000))</f>
        <v/>
      </c>
      <c r="PT38">
        <f>IF($B38=0,1000000000,IF(INDEX('calcA'!$D$60:$EQ$99,$B38,41)*IF($W38=1,EP38+ABE38,EP38)=1,IF(AND($E38=2,IF($W38=1,AGT38,KE38)=0),1000000000,IF($V38=1,INDEX('calcA'!$D$130:$EQ$169,$B38,41)+IF(AND($E38=1,KE38=0),25,0),IF($F38&gt;0,INDEX('calcA'!AR$110:AR$114,$F38+1)+IF(AND($E38=1,KE38=0),1000,0),MIN(TV38,20)*400+(IF('calcA'!AQ$106=1,1-EO38,0)+IF('calcA'!AR$106=1,1-EQ38,0))*150+172+'calcA'!AR$5*100000+IF(AND($E38=1,KE38=0),50000,0))+IF($H38=1,INDEX('calcA'!$D$180:$EQ$219,$B38,41)*4000,0)-IF(AND('calcA'!AQ$117=1,VO38&gt;0),2000,0)-IF(AND($U38=1,'calcA'!AR$117=1,EQ38=0),2000,0))),1000000000))</f>
        <v/>
      </c>
      <c r="PU38">
        <f>IF($B38=0,1000000000,IF(INDEX('calcA'!$D$60:$EQ$99,$B38,42)*IF($W38=1,EQ38+ABF38,EQ38)=1,IF(AND($E38=2,IF($W38=1,AGU38,KF38)=0),1000000000,IF($V38=1,INDEX('calcA'!$D$130:$EQ$169,$B38,42)+IF(AND($E38=1,KF38=0),25,0),IF($F38&gt;0,INDEX('calcA'!AS$110:AS$114,$F38+1)+IF(AND($E38=1,KF38=0),1000,0),MIN(TV38,20)*400+(IF('calcA'!AR$106=1,1-EP38,0)+IF('calcA'!AS$106=1,1-ER38,0))*150+182+'calcA'!AS$5*100000+IF(AND($E38=1,KF38=0),50000,0))+IF($H38=1,INDEX('calcA'!$D$180:$EQ$219,$B38,42)*4000,0)-IF(AND('calcA'!AR$117=1,VP38&gt;0),2000,0)-IF(AND($U38=1,'calcA'!AS$117=1,ER38=0),2000,0))),1000000000))</f>
        <v/>
      </c>
      <c r="PV38">
        <f>IF($B38=0,1000000000,IF(INDEX('calcA'!$D$60:$EQ$99,$B38,43)*IF($W38=1,ER38+ABG38,ER38)=1,IF(AND($E38=2,IF($W38=1,AGV38,KG38)=0),1000000000,IF($V38=1,INDEX('calcA'!$D$130:$EQ$169,$B38,43)+IF(AND($E38=1,KG38=0),25,0),IF($F38&gt;0,INDEX('calcA'!AT$110:AT$114,$F38+1)+IF(AND($E38=1,KG38=0),1000,0),MIN(TV38,20)*400+(IF('calcA'!AS$106=1,1-EQ38,0)+IF('calcA'!AT$106=1,1-ES38,0))*150+192+'calcA'!AT$5*100000+IF(AND($E38=1,KG38=0),50000,0))+IF($H38=1,INDEX('calcA'!$D$180:$EQ$219,$B38,43)*4000,0)-IF(AND('calcA'!AS$117=1,VQ38&gt;0),2000,0)-IF(AND($U38=1,'calcA'!AT$117=1,ES38=0),2000,0))),1000000000))</f>
        <v/>
      </c>
      <c r="PW38">
        <f>IF($B38=0,1000000000,IF(INDEX('calcA'!$D$60:$EQ$99,$B38,44)*IF($W38=1,ES38+ABH38,ES38)=1,IF(AND($E38=2,IF($W38=1,AGW38,KH38)=0),1000000000,IF($V38=1,INDEX('calcA'!$D$130:$EQ$169,$B38,44)+IF(AND($E38=1,KH38=0),25,0),IF($F38&gt;0,INDEX('calcA'!AU$110:AU$114,$F38+1)+IF(AND($E38=1,KH38=0),1000,0),MIN(TV38,20)*400+(IF('calcA'!AT$106=1,1-ER38,0)+IF('calcA'!AU$106=1,1-ET38,0))*150+202+'calcA'!AU$5*100000+IF(AND($E38=1,KH38=0),50000,0))+IF($H38=1,INDEX('calcA'!$D$180:$EQ$219,$B38,44)*4000,0)-IF(AND('calcA'!AT$117=1,VR38&gt;0),2000,0)-IF(AND($U38=1,'calcA'!AU$117=1,ET38=0),2000,0))),1000000000))</f>
        <v/>
      </c>
      <c r="PX38">
        <f>IF($B38=0,1000000000,IF(INDEX('calcA'!$D$60:$EQ$99,$B38,45)*IF($W38=1,ET38+ABI38,ET38)=1,IF(AND($E38=2,IF($W38=1,AGX38,KI38)=0),1000000000,IF($V38=1,INDEX('calcA'!$D$130:$EQ$169,$B38,45)+IF(AND($E38=1,KI38=0),25,0),IF($F38&gt;0,INDEX('calcA'!AV$110:AV$114,$F38+1)+IF(AND($E38=1,KI38=0),1000,0),MIN(TV38,20)*400+(IF('calcA'!AU$106=1,1-ES38,0)+IF('calcA'!AV$106=1,1-EU38,0))*150+212+'calcA'!AV$5*100000+IF(AND($E38=1,KI38=0),50000,0))+IF($H38=1,INDEX('calcA'!$D$180:$EQ$219,$B38,45)*4000,0)-IF(AND('calcA'!AU$117=1,VS38&gt;0),2000,0)-IF(AND($U38=1,'calcA'!AV$117=1,EU38=0),2000,0))),1000000000))</f>
        <v/>
      </c>
      <c r="PY38">
        <f>IF($B38=0,1000000000,IF(INDEX('calcA'!$D$60:$EQ$99,$B38,46)*IF($W38=1,EU38+ABJ38,EU38)=1,IF(AND($E38=2,IF($W38=1,AGY38,KJ38)=0),1000000000,IF($V38=1,INDEX('calcA'!$D$130:$EQ$169,$B38,46)+IF(AND($E38=1,KJ38=0),25,0),IF($F38&gt;0,INDEX('calcA'!AW$110:AW$114,$F38+1)+IF(AND($E38=1,KJ38=0),1000,0),MIN(TV38,20)*400+(IF('calcA'!AV$106=1,1-ET38,0)+IF('calcA'!AW$106=1,1-EV38,0))*150+222+'calcA'!AW$5*100000+IF(AND($E38=1,KJ38=0),50000,0))+IF($H38=1,INDEX('calcA'!$D$180:$EQ$219,$B38,46)*4000,0)-IF(AND('calcA'!AV$117=1,VT38&gt;0),2000,0)-IF(AND($U38=1,'calcA'!AW$117=1,EV38=0),2000,0))),1000000000))</f>
        <v/>
      </c>
      <c r="PZ38">
        <f>IF($B38=0,1000000000,IF(INDEX('calcA'!$D$60:$EQ$99,$B38,47)*IF($W38=1,EV38+ABK38,EV38)=1,IF(AND($E38=2,IF($W38=1,AGZ38,KK38)=0),1000000000,IF($V38=1,INDEX('calcA'!$D$130:$EQ$169,$B38,47)+IF(AND($E38=1,KK38=0),25,0),IF($F38&gt;0,INDEX('calcA'!AX$110:AX$114,$F38+1)+IF(AND($E38=1,KK38=0),1000,0),MIN(TV38,20)*400+(IF('calcA'!AW$106=1,1-EU38,0)+IF('calcA'!AX$106=1,1-EW38,0))*150+232+'calcA'!AX$5*100000+IF(AND($E38=1,KK38=0),50000,0))+IF($H38=1,INDEX('calcA'!$D$180:$EQ$219,$B38,47)*4000,0)-IF(AND('calcA'!AW$117=1,VU38&gt;0),2000,0)-IF(AND($U38=1,'calcA'!AX$117=1,EW38=0),2000,0))),1000000000))</f>
        <v/>
      </c>
      <c r="QA38">
        <f>IF($B38=0,1000000000,IF(INDEX('calcA'!$D$60:$EQ$99,$B38,48)*IF($W38=1,EW38+ABL38,EW38)=1,IF(AND($E38=2,IF($W38=1,AHA38,KL38)=0),1000000000,IF($V38=1,INDEX('calcA'!$D$130:$EQ$169,$B38,48)+IF(AND($E38=1,KL38=0),25,0),IF($F38&gt;0,INDEX('calcA'!AY$110:AY$114,$F38+1)+IF(AND($E38=1,KL38=0),1000,0),MIN(TV38,20)*400+(IF('calcA'!AX$106=1,1-EV38,0))*150+242+'calcA'!AY$5*100000+IF(AND($E38=1,KL38=0),50000,0))+IF($H38=1,INDEX('calcA'!$D$180:$EQ$219,$B38,48)*4000,0)-IF(AND('calcA'!AX$117=1,VV38&gt;0),2000,0))),1000000000))</f>
        <v/>
      </c>
      <c r="QB38">
        <f>IF($B38=0,1000000000,IF(INDEX('calcA'!$D$60:$EQ$99,$B38,49)*IF($W38=1,EX38+ABM38,EX38)=1,IF(AND($E38=2,IF($W38=1,AHB38,KM38)=0),1000000000,IF($V38=1,INDEX('calcA'!$D$130:$EQ$169,$B38,49)+IF(AND($E38=1,KM38=0),25,0),IF($F38&gt;0,INDEX('calcA'!AZ$110:AZ$114,$F38+1)+IF(AND($E38=1,KM38=0),1000,0),MIN(TW38,20)*400+(IF('calcA'!AZ$106=1,1-EY38,0))*150+13+'calcA'!AZ$5*100000+IF(AND($E38=1,KM38=0),50000,0))+IF($H38=1,INDEX('calcA'!$D$180:$EQ$219,$B38,49)*4000,0)-IF(AND($U38=1,'calcA'!AZ$117=1,EY38=0),2000,0))),1000000000))</f>
        <v/>
      </c>
      <c r="QC38">
        <f>IF($B38=0,1000000000,IF(INDEX('calcA'!$D$60:$EQ$99,$B38,50)*IF($W38=1,EY38+ABN38,EY38)=1,IF(AND($E38=2,IF($W38=1,AHC38,KN38)=0),1000000000,IF($V38=1,INDEX('calcA'!$D$130:$EQ$169,$B38,50)+IF(AND($E38=1,KN38=0),25,0),IF($F38&gt;0,INDEX('calcA'!BA$110:BA$114,$F38+1)+IF(AND($E38=1,KN38=0),1000,0),MIN(TW38,20)*400+(IF('calcA'!AZ$106=1,1-EX38,0)+IF('calcA'!BA$106=1,1-EZ38,0))*150+23+'calcA'!BA$5*100000+IF(AND($E38=1,KN38=0),50000,0))+IF($H38=1,INDEX('calcA'!$D$180:$EQ$219,$B38,50)*4000,0)-IF(AND('calcA'!AZ$117=1,VX38&gt;0),2000,0)-IF(AND($U38=1,'calcA'!BA$117=1,EZ38=0),2000,0))),1000000000))</f>
        <v/>
      </c>
      <c r="QD38">
        <f>IF($B38=0,1000000000,IF(INDEX('calcA'!$D$60:$EQ$99,$B38,51)*IF($W38=1,EZ38+ABO38,EZ38)=1,IF(AND($E38=2,IF($W38=1,AHD38,KO38)=0),1000000000,IF($V38=1,INDEX('calcA'!$D$130:$EQ$169,$B38,51)+IF(AND($E38=1,KO38=0),25,0),IF($F38&gt;0,INDEX('calcA'!BB$110:BB$114,$F38+1)+IF(AND($E38=1,KO38=0),1000,0),MIN(TW38,20)*400+(IF('calcA'!BA$106=1,1-EY38,0)+IF('calcA'!BB$106=1,1-FA38,0))*150+33+'calcA'!BB$5*100000+IF(AND($E38=1,KO38=0),50000,0))+IF($H38=1,INDEX('calcA'!$D$180:$EQ$219,$B38,51)*4000,0)-IF(AND('calcA'!BA$117=1,VY38&gt;0),2000,0)-IF(AND($U38=1,'calcA'!BB$117=1,FA38=0),2000,0))),1000000000))</f>
        <v/>
      </c>
      <c r="QE38">
        <f>IF($B38=0,1000000000,IF(INDEX('calcA'!$D$60:$EQ$99,$B38,52)*IF($W38=1,FA38+ABP38,FA38)=1,IF(AND($E38=2,IF($W38=1,AHE38,KP38)=0),1000000000,IF($V38=1,INDEX('calcA'!$D$130:$EQ$169,$B38,52)+IF(AND($E38=1,KP38=0),25,0),IF($F38&gt;0,INDEX('calcA'!BC$110:BC$114,$F38+1)+IF(AND($E38=1,KP38=0),1000,0),MIN(TW38,20)*400+(IF('calcA'!BB$106=1,1-EZ38,0)+IF('calcA'!BC$106=1,1-FB38,0))*150+43+'calcA'!BC$5*100000+IF(AND($E38=1,KP38=0),50000,0))+IF($H38=1,INDEX('calcA'!$D$180:$EQ$219,$B38,52)*4000,0)-IF(AND('calcA'!BB$117=1,VZ38&gt;0),2000,0)-IF(AND($U38=1,'calcA'!BC$117=1,FB38=0),2000,0))),1000000000))</f>
        <v/>
      </c>
      <c r="QF38">
        <f>IF($B38=0,1000000000,IF(INDEX('calcA'!$D$60:$EQ$99,$B38,53)*IF($W38=1,FB38+ABQ38,FB38)=1,IF(AND($E38=2,IF($W38=1,AHF38,KQ38)=0),1000000000,IF($V38=1,INDEX('calcA'!$D$130:$EQ$169,$B38,53)+IF(AND($E38=1,KQ38=0),25,0),IF($F38&gt;0,INDEX('calcA'!BD$110:BD$114,$F38+1)+IF(AND($E38=1,KQ38=0),1000,0),MIN(TW38,20)*400+(IF('calcA'!BC$106=1,1-FA38,0)+IF('calcA'!BD$106=1,1-FC38,0))*150+53+'calcA'!BD$5*100000+IF(AND($E38=1,KQ38=0),50000,0))+IF($H38=1,INDEX('calcA'!$D$180:$EQ$219,$B38,53)*4000,0)-IF(AND('calcA'!BC$117=1,WA38&gt;0),2000,0)-IF(AND($U38=1,'calcA'!BD$117=1,FC38=0),2000,0))),1000000000))</f>
        <v/>
      </c>
      <c r="QG38">
        <f>IF($B38=0,1000000000,IF(INDEX('calcA'!$D$60:$EQ$99,$B38,54)*IF($W38=1,FC38+ABR38,FC38)=1,IF(AND($E38=2,IF($W38=1,AHG38,KR38)=0),1000000000,IF($V38=1,INDEX('calcA'!$D$130:$EQ$169,$B38,54)+IF(AND($E38=1,KR38=0),25,0),IF($F38&gt;0,INDEX('calcA'!BE$110:BE$114,$F38+1)+IF(AND($E38=1,KR38=0),1000,0),MIN(TW38,20)*400+(IF('calcA'!BD$106=1,1-FB38,0)+IF('calcA'!BE$106=1,1-FD38,0))*150+63+'calcA'!BE$5*100000+IF(AND($E38=1,KR38=0),50000,0))+IF($H38=1,INDEX('calcA'!$D$180:$EQ$219,$B38,54)*4000,0)-IF(AND('calcA'!BD$117=1,WB38&gt;0),2000,0)-IF(AND($U38=1,'calcA'!BE$117=1,FD38=0),2000,0))),1000000000))</f>
        <v/>
      </c>
      <c r="QH38">
        <f>IF($B38=0,1000000000,IF(INDEX('calcA'!$D$60:$EQ$99,$B38,55)*IF($W38=1,FD38+ABS38,FD38)=1,IF(AND($E38=2,IF($W38=1,AHH38,KS38)=0),1000000000,IF($V38=1,INDEX('calcA'!$D$130:$EQ$169,$B38,55)+IF(AND($E38=1,KS38=0),25,0),IF($F38&gt;0,INDEX('calcA'!BF$110:BF$114,$F38+1)+IF(AND($E38=1,KS38=0),1000,0),MIN(TW38,20)*400+(IF('calcA'!BE$106=1,1-FC38,0)+IF('calcA'!BF$106=1,1-FE38,0))*150+73+'calcA'!BF$5*100000+IF(AND($E38=1,KS38=0),50000,0))+IF($H38=1,INDEX('calcA'!$D$180:$EQ$219,$B38,55)*4000,0)-IF(AND('calcA'!BE$117=1,WC38&gt;0),2000,0)-IF(AND($U38=1,'calcA'!BF$117=1,FE38=0),2000,0))),1000000000))</f>
        <v/>
      </c>
      <c r="QI38">
        <f>IF($B38=0,1000000000,IF(INDEX('calcA'!$D$60:$EQ$99,$B38,56)*IF($W38=1,FE38+ABT38,FE38)=1,IF(AND($E38=2,IF($W38=1,AHI38,KT38)=0),1000000000,IF($V38=1,INDEX('calcA'!$D$130:$EQ$169,$B38,56)+IF(AND($E38=1,KT38=0),25,0),IF($F38&gt;0,INDEX('calcA'!BG$110:BG$114,$F38+1)+IF(AND($E38=1,KT38=0),1000,0),MIN(TW38,20)*400+(IF('calcA'!BF$106=1,1-FD38,0)+IF('calcA'!BG$106=1,1-FF38,0))*150+83+'calcA'!BG$5*100000+IF(AND($E38=1,KT38=0),50000,0))+IF($H38=1,INDEX('calcA'!$D$180:$EQ$219,$B38,56)*4000,0)-IF(AND('calcA'!BF$117=1,WD38&gt;0),2000,0)-IF(AND($U38=1,'calcA'!BG$117=1,FF38=0),2000,0))),1000000000))</f>
        <v/>
      </c>
      <c r="QJ38">
        <f>IF($B38=0,1000000000,IF(INDEX('calcA'!$D$60:$EQ$99,$B38,57)*IF($W38=1,FF38+ABU38,FF38)=1,IF(AND($E38=2,IF($W38=1,AHJ38,KU38)=0),1000000000,IF($V38=1,INDEX('calcA'!$D$130:$EQ$169,$B38,57)+IF(AND($E38=1,KU38=0),25,0),IF($F38&gt;0,INDEX('calcA'!BH$110:BH$114,$F38+1)+IF(AND($E38=1,KU38=0),1000,0),MIN(TW38,20)*400+(IF('calcA'!BG$106=1,1-FE38,0)+IF('calcA'!BH$106=1,1-FG38,0))*150+93+'calcA'!BH$5*100000+IF(AND($E38=1,KU38=0),50000,0))+IF($H38=1,INDEX('calcA'!$D$180:$EQ$219,$B38,57)*4000,0)-IF(AND('calcA'!BG$117=1,WE38&gt;0),2000,0)-IF(AND($U38=1,'calcA'!BH$117=1,FG38=0),2000,0))),1000000000))</f>
        <v/>
      </c>
      <c r="QK38">
        <f>IF($B38=0,1000000000,IF(INDEX('calcA'!$D$60:$EQ$99,$B38,58)*IF($W38=1,FG38+ABV38,FG38)=1,IF(AND($E38=2,IF($W38=1,AHK38,KV38)=0),1000000000,IF($V38=1,INDEX('calcA'!$D$130:$EQ$169,$B38,58)+IF(AND($E38=1,KV38=0),25,0),IF($F38&gt;0,INDEX('calcA'!BI$110:BI$114,$F38+1)+IF(AND($E38=1,KV38=0),1000,0),MIN(TW38,20)*400+(IF('calcA'!BH$106=1,1-FF38,0)+IF('calcA'!BI$106=1,1-FH38,0))*150+103+'calcA'!BI$5*100000+IF(AND($E38=1,KV38=0),50000,0))+IF($H38=1,INDEX('calcA'!$D$180:$EQ$219,$B38,58)*4000,0)-IF(AND('calcA'!BH$117=1,WF38&gt;0),2000,0)-IF(AND($U38=1,'calcA'!BI$117=1,FH38=0),2000,0))),1000000000))</f>
        <v/>
      </c>
      <c r="QL38">
        <f>IF($B38=0,1000000000,IF(INDEX('calcA'!$D$60:$EQ$99,$B38,59)*IF($W38=1,FH38+ABW38,FH38)=1,IF(AND($E38=2,IF($W38=1,AHL38,KW38)=0),1000000000,IF($V38=1,INDEX('calcA'!$D$130:$EQ$169,$B38,59)+IF(AND($E38=1,KW38=0),25,0),IF($F38&gt;0,INDEX('calcA'!BJ$110:BJ$114,$F38+1)+IF(AND($E38=1,KW38=0),1000,0),MIN(TW38,20)*400+(IF('calcA'!BI$106=1,1-FG38,0)+IF('calcA'!BJ$106=1,1-FI38,0))*150+113+'calcA'!BJ$5*100000+IF(AND($E38=1,KW38=0),50000,0))+IF($H38=1,INDEX('calcA'!$D$180:$EQ$219,$B38,59)*4000,0)-IF(AND('calcA'!BI$117=1,WG38&gt;0),2000,0)-IF(AND($U38=1,'calcA'!BJ$117=1,FI38=0),2000,0))),1000000000))</f>
        <v/>
      </c>
      <c r="QM38">
        <f>IF($B38=0,1000000000,IF(INDEX('calcA'!$D$60:$EQ$99,$B38,60)*IF($W38=1,FI38+ABX38,FI38)=1,IF(AND($E38=2,IF($W38=1,AHM38,KX38)=0),1000000000,IF($V38=1,INDEX('calcA'!$D$130:$EQ$169,$B38,60)+IF(AND($E38=1,KX38=0),25,0),IF($F38&gt;0,INDEX('calcA'!BK$110:BK$114,$F38+1)+IF(AND($E38=1,KX38=0),1000,0),MIN(TW38,20)*400+(IF('calcA'!BJ$106=1,1-FH38,0)+IF('calcA'!BK$106=1,1-FJ38,0))*150+123+'calcA'!BK$5*100000+IF(AND($E38=1,KX38=0),50000,0))+IF($H38=1,INDEX('calcA'!$D$180:$EQ$219,$B38,60)*4000,0)-IF(AND('calcA'!BJ$117=1,WH38&gt;0),2000,0)-IF(AND($U38=1,'calcA'!BK$117=1,FJ38=0),2000,0))),1000000000))</f>
        <v/>
      </c>
      <c r="QN38">
        <f>IF($B38=0,1000000000,IF(INDEX('calcA'!$D$60:$EQ$99,$B38,61)*IF($W38=1,FJ38+ABY38,FJ38)=1,IF(AND($E38=2,IF($W38=1,AHN38,KY38)=0),1000000000,IF($V38=1,INDEX('calcA'!$D$130:$EQ$169,$B38,61)+IF(AND($E38=1,KY38=0),25,0),IF($F38&gt;0,INDEX('calcA'!BL$110:BL$114,$F38+1)+IF(AND($E38=1,KY38=0),1000,0),MIN(TW38,20)*400+(IF('calcA'!BK$106=1,1-FI38,0)+IF('calcA'!BL$106=1,1-FK38,0))*150+133+'calcA'!BL$5*100000+IF(AND($E38=1,KY38=0),50000,0))+IF($H38=1,INDEX('calcA'!$D$180:$EQ$219,$B38,61)*4000,0)-IF(AND('calcA'!BK$117=1,WI38&gt;0),2000,0)-IF(AND($U38=1,'calcA'!BL$117=1,FK38=0),2000,0))),1000000000))</f>
        <v/>
      </c>
      <c r="QO38">
        <f>IF($B38=0,1000000000,IF(INDEX('calcA'!$D$60:$EQ$99,$B38,62)*IF($W38=1,FK38+ABZ38,FK38)=1,IF(AND($E38=2,IF($W38=1,AHO38,KZ38)=0),1000000000,IF($V38=1,INDEX('calcA'!$D$130:$EQ$169,$B38,62)+IF(AND($E38=1,KZ38=0),25,0),IF($F38&gt;0,INDEX('calcA'!BM$110:BM$114,$F38+1)+IF(AND($E38=1,KZ38=0),1000,0),MIN(TW38,20)*400+(IF('calcA'!BL$106=1,1-FJ38,0)+IF('calcA'!BM$106=1,1-FL38,0))*150+143+'calcA'!BM$5*100000+IF(AND($E38=1,KZ38=0),50000,0))+IF($H38=1,INDEX('calcA'!$D$180:$EQ$219,$B38,62)*4000,0)-IF(AND('calcA'!BL$117=1,WJ38&gt;0),2000,0)-IF(AND($U38=1,'calcA'!BM$117=1,FL38=0),2000,0))),1000000000))</f>
        <v/>
      </c>
      <c r="QP38">
        <f>IF($B38=0,1000000000,IF(INDEX('calcA'!$D$60:$EQ$99,$B38,63)*IF($W38=1,FL38+ACA38,FL38)=1,IF(AND($E38=2,IF($W38=1,AHP38,LA38)=0),1000000000,IF($V38=1,INDEX('calcA'!$D$130:$EQ$169,$B38,63)+IF(AND($E38=1,LA38=0),25,0),IF($F38&gt;0,INDEX('calcA'!BN$110:BN$114,$F38+1)+IF(AND($E38=1,LA38=0),1000,0),MIN(TW38,20)*400+(IF('calcA'!BM$106=1,1-FK38,0)+IF('calcA'!BN$106=1,1-FM38,0))*150+153+'calcA'!BN$5*100000+IF(AND($E38=1,LA38=0),50000,0))+IF($H38=1,INDEX('calcA'!$D$180:$EQ$219,$B38,63)*4000,0)-IF(AND('calcA'!BM$117=1,WK38&gt;0),2000,0)-IF(AND($U38=1,'calcA'!BN$117=1,FM38=0),2000,0))),1000000000))</f>
        <v/>
      </c>
      <c r="QQ38">
        <f>IF($B38=0,1000000000,IF(INDEX('calcA'!$D$60:$EQ$99,$B38,64)*IF($W38=1,FM38+ACB38,FM38)=1,IF(AND($E38=2,IF($W38=1,AHQ38,LB38)=0),1000000000,IF($V38=1,INDEX('calcA'!$D$130:$EQ$169,$B38,64)+IF(AND($E38=1,LB38=0),25,0),IF($F38&gt;0,INDEX('calcA'!BO$110:BO$114,$F38+1)+IF(AND($E38=1,LB38=0),1000,0),MIN(TW38,20)*400+(IF('calcA'!BN$106=1,1-FL38,0)+IF('calcA'!BO$106=1,1-FN38,0))*150+163+'calcA'!BO$5*100000+IF(AND($E38=1,LB38=0),50000,0))+IF($H38=1,INDEX('calcA'!$D$180:$EQ$219,$B38,64)*4000,0)-IF(AND('calcA'!BN$117=1,WL38&gt;0),2000,0)-IF(AND($U38=1,'calcA'!BO$117=1,FN38=0),2000,0))),1000000000))</f>
        <v/>
      </c>
      <c r="QR38">
        <f>IF($B38=0,1000000000,IF(INDEX('calcA'!$D$60:$EQ$99,$B38,65)*IF($W38=1,FN38+ACC38,FN38)=1,IF(AND($E38=2,IF($W38=1,AHR38,LC38)=0),1000000000,IF($V38=1,INDEX('calcA'!$D$130:$EQ$169,$B38,65)+IF(AND($E38=1,LC38=0),25,0),IF($F38&gt;0,INDEX('calcA'!BP$110:BP$114,$F38+1)+IF(AND($E38=1,LC38=0),1000,0),MIN(TW38,20)*400+(IF('calcA'!BO$106=1,1-FM38,0)+IF('calcA'!BP$106=1,1-FO38,0))*150+173+'calcA'!BP$5*100000+IF(AND($E38=1,LC38=0),50000,0))+IF($H38=1,INDEX('calcA'!$D$180:$EQ$219,$B38,65)*4000,0)-IF(AND('calcA'!BO$117=1,WM38&gt;0),2000,0)-IF(AND($U38=1,'calcA'!BP$117=1,FO38=0),2000,0))),1000000000))</f>
        <v/>
      </c>
      <c r="QS38">
        <f>IF($B38=0,1000000000,IF(INDEX('calcA'!$D$60:$EQ$99,$B38,66)*IF($W38=1,FO38+ACD38,FO38)=1,IF(AND($E38=2,IF($W38=1,AHS38,LD38)=0),1000000000,IF($V38=1,INDEX('calcA'!$D$130:$EQ$169,$B38,66)+IF(AND($E38=1,LD38=0),25,0),IF($F38&gt;0,INDEX('calcA'!BQ$110:BQ$114,$F38+1)+IF(AND($E38=1,LD38=0),1000,0),MIN(TW38,20)*400+(IF('calcA'!BP$106=1,1-FN38,0)+IF('calcA'!BQ$106=1,1-FP38,0))*150+183+'calcA'!BQ$5*100000+IF(AND($E38=1,LD38=0),50000,0))+IF($H38=1,INDEX('calcA'!$D$180:$EQ$219,$B38,66)*4000,0)-IF(AND('calcA'!BP$117=1,WN38&gt;0),2000,0)-IF(AND($U38=1,'calcA'!BQ$117=1,FP38=0),2000,0))),1000000000))</f>
        <v/>
      </c>
      <c r="QT38">
        <f>IF($B38=0,1000000000,IF(INDEX('calcA'!$D$60:$EQ$99,$B38,67)*IF($W38=1,FP38+ACE38,FP38)=1,IF(AND($E38=2,IF($W38=1,AHT38,LE38)=0),1000000000,IF($V38=1,INDEX('calcA'!$D$130:$EQ$169,$B38,67)+IF(AND($E38=1,LE38=0),25,0),IF($F38&gt;0,INDEX('calcA'!BR$110:BR$114,$F38+1)+IF(AND($E38=1,LE38=0),1000,0),MIN(TW38,20)*400+(IF('calcA'!BQ$106=1,1-FO38,0)+IF('calcA'!BR$106=1,1-FQ38,0))*150+193+'calcA'!BR$5*100000+IF(AND($E38=1,LE38=0),50000,0))+IF($H38=1,INDEX('calcA'!$D$180:$EQ$219,$B38,67)*4000,0)-IF(AND('calcA'!BQ$117=1,WO38&gt;0),2000,0)-IF(AND($U38=1,'calcA'!BR$117=1,FQ38=0),2000,0))),1000000000))</f>
        <v/>
      </c>
      <c r="QU38">
        <f>IF($B38=0,1000000000,IF(INDEX('calcA'!$D$60:$EQ$99,$B38,68)*IF($W38=1,FQ38+ACF38,FQ38)=1,IF(AND($E38=2,IF($W38=1,AHU38,LF38)=0),1000000000,IF($V38=1,INDEX('calcA'!$D$130:$EQ$169,$B38,68)+IF(AND($E38=1,LF38=0),25,0),IF($F38&gt;0,INDEX('calcA'!BS$110:BS$114,$F38+1)+IF(AND($E38=1,LF38=0),1000,0),MIN(TW38,20)*400+(IF('calcA'!BR$106=1,1-FP38,0)+IF('calcA'!BS$106=1,1-FR38,0))*150+203+'calcA'!BS$5*100000+IF(AND($E38=1,LF38=0),50000,0))+IF($H38=1,INDEX('calcA'!$D$180:$EQ$219,$B38,68)*4000,0)-IF(AND('calcA'!BR$117=1,WP38&gt;0),2000,0)-IF(AND($U38=1,'calcA'!BS$117=1,FR38=0),2000,0))),1000000000))</f>
        <v/>
      </c>
      <c r="QV38">
        <f>IF($B38=0,1000000000,IF(INDEX('calcA'!$D$60:$EQ$99,$B38,69)*IF($W38=1,FR38+ACG38,FR38)=1,IF(AND($E38=2,IF($W38=1,AHV38,LG38)=0),1000000000,IF($V38=1,INDEX('calcA'!$D$130:$EQ$169,$B38,69)+IF(AND($E38=1,LG38=0),25,0),IF($F38&gt;0,INDEX('calcA'!BT$110:BT$114,$F38+1)+IF(AND($E38=1,LG38=0),1000,0),MIN(TW38,20)*400+(IF('calcA'!BS$106=1,1-FQ38,0)+IF('calcA'!BT$106=1,1-FS38,0))*150+213+'calcA'!BT$5*100000+IF(AND($E38=1,LG38=0),50000,0))+IF($H38=1,INDEX('calcA'!$D$180:$EQ$219,$B38,69)*4000,0)-IF(AND('calcA'!BS$117=1,WQ38&gt;0),2000,0)-IF(AND($U38=1,'calcA'!BT$117=1,FS38=0),2000,0))),1000000000))</f>
        <v/>
      </c>
      <c r="QW38">
        <f>IF($B38=0,1000000000,IF(INDEX('calcA'!$D$60:$EQ$99,$B38,70)*IF($W38=1,FS38+ACH38,FS38)=1,IF(AND($E38=2,IF($W38=1,AHW38,LH38)=0),1000000000,IF($V38=1,INDEX('calcA'!$D$130:$EQ$169,$B38,70)+IF(AND($E38=1,LH38=0),25,0),IF($F38&gt;0,INDEX('calcA'!BU$110:BU$114,$F38+1)+IF(AND($E38=1,LH38=0),1000,0),MIN(TW38,20)*400+(IF('calcA'!BT$106=1,1-FR38,0)+IF('calcA'!BU$106=1,1-FT38,0))*150+223+'calcA'!BU$5*100000+IF(AND($E38=1,LH38=0),50000,0))+IF($H38=1,INDEX('calcA'!$D$180:$EQ$219,$B38,70)*4000,0)-IF(AND('calcA'!BT$117=1,WR38&gt;0),2000,0)-IF(AND($U38=1,'calcA'!BU$117=1,FT38=0),2000,0))),1000000000))</f>
        <v/>
      </c>
      <c r="QX38">
        <f>IF($B38=0,1000000000,IF(INDEX('calcA'!$D$60:$EQ$99,$B38,71)*IF($W38=1,FT38+ACI38,FT38)=1,IF(AND($E38=2,IF($W38=1,AHX38,LI38)=0),1000000000,IF($V38=1,INDEX('calcA'!$D$130:$EQ$169,$B38,71)+IF(AND($E38=1,LI38=0),25,0),IF($F38&gt;0,INDEX('calcA'!BV$110:BV$114,$F38+1)+IF(AND($E38=1,LI38=0),1000,0),MIN(TW38,20)*400+(IF('calcA'!BU$106=1,1-FS38,0)+IF('calcA'!BV$106=1,1-FU38,0))*150+233+'calcA'!BV$5*100000+IF(AND($E38=1,LI38=0),50000,0))+IF($H38=1,INDEX('calcA'!$D$180:$EQ$219,$B38,71)*4000,0)-IF(AND('calcA'!BU$117=1,WS38&gt;0),2000,0)-IF(AND($U38=1,'calcA'!BV$117=1,FU38=0),2000,0))),1000000000))</f>
        <v/>
      </c>
      <c r="QY38">
        <f>IF($B38=0,1000000000,IF(INDEX('calcA'!$D$60:$EQ$99,$B38,72)*IF($W38=1,FU38+ACJ38,FU38)=1,IF(AND($E38=2,IF($W38=1,AHY38,LJ38)=0),1000000000,IF($V38=1,INDEX('calcA'!$D$130:$EQ$169,$B38,72)+IF(AND($E38=1,LJ38=0),25,0),IF($F38&gt;0,INDEX('calcA'!BW$110:BW$114,$F38+1)+IF(AND($E38=1,LJ38=0),1000,0),MIN(TW38,20)*400+(IF('calcA'!BV$106=1,1-FT38,0))*150+243+'calcA'!BW$5*100000+IF(AND($E38=1,LJ38=0),50000,0))+IF($H38=1,INDEX('calcA'!$D$180:$EQ$219,$B38,72)*4000,0)-IF(AND('calcA'!BV$117=1,WT38&gt;0),2000,0))),1000000000))</f>
        <v/>
      </c>
      <c r="QZ38">
        <f>IF($B38=0,1000000000,IF(INDEX('calcA'!$D$60:$EQ$99,$B38,73)*IF($W38=1,FV38+ACK38,FV38)=1,IF(AND($E38=2,IF($W38=1,AHZ38,LK38)=0),1000000000,IF($V38=1,INDEX('calcA'!$D$130:$EQ$169,$B38,73)+IF(AND($E38=1,LK38=0),25,0),IF($F38&gt;0,INDEX('calcA'!BX$110:BX$114,$F38+1)+IF(AND($E38=1,LK38=0),1000,0),MIN(TX38,20)*400+(IF('calcA'!BX$106=1,1-FW38,0))*150+14+'calcA'!BX$5*100000+IF(AND($E38=1,LK38=0),50000,0))+IF($H38=1,INDEX('calcA'!$D$180:$EQ$219,$B38,73)*4000,0)-IF(AND($U38=1,'calcA'!BX$117=1,FW38=0),2000,0))),1000000000))</f>
        <v/>
      </c>
      <c r="RA38">
        <f>IF($B38=0,1000000000,IF(INDEX('calcA'!$D$60:$EQ$99,$B38,74)*IF($W38=1,FW38+ACL38,FW38)=1,IF(AND($E38=2,IF($W38=1,AIA38,LL38)=0),1000000000,IF($V38=1,INDEX('calcA'!$D$130:$EQ$169,$B38,74)+IF(AND($E38=1,LL38=0),25,0),IF($F38&gt;0,INDEX('calcA'!BY$110:BY$114,$F38+1)+IF(AND($E38=1,LL38=0),1000,0),MIN(TX38,20)*400+(IF('calcA'!BX$106=1,1-FV38,0)+IF('calcA'!BY$106=1,1-FX38,0))*150+24+'calcA'!BY$5*100000+IF(AND($E38=1,LL38=0),50000,0))+IF($H38=1,INDEX('calcA'!$D$180:$EQ$219,$B38,74)*4000,0)-IF(AND('calcA'!BX$117=1,WV38&gt;0),2000,0)-IF(AND($U38=1,'calcA'!BY$117=1,FX38=0),2000,0))),1000000000))</f>
        <v/>
      </c>
      <c r="RB38">
        <f>IF($B38=0,1000000000,IF(INDEX('calcA'!$D$60:$EQ$99,$B38,75)*IF($W38=1,FX38+ACM38,FX38)=1,IF(AND($E38=2,IF($W38=1,AIB38,LM38)=0),1000000000,IF($V38=1,INDEX('calcA'!$D$130:$EQ$169,$B38,75)+IF(AND($E38=1,LM38=0),25,0),IF($F38&gt;0,INDEX('calcA'!BZ$110:BZ$114,$F38+1)+IF(AND($E38=1,LM38=0),1000,0),MIN(TX38,20)*400+(IF('calcA'!BY$106=1,1-FW38,0)+IF('calcA'!BZ$106=1,1-FY38,0))*150+34+'calcA'!BZ$5*100000+IF(AND($E38=1,LM38=0),50000,0))+IF($H38=1,INDEX('calcA'!$D$180:$EQ$219,$B38,75)*4000,0)-IF(AND('calcA'!BY$117=1,WW38&gt;0),2000,0)-IF(AND($U38=1,'calcA'!BZ$117=1,FY38=0),2000,0))),1000000000))</f>
        <v/>
      </c>
      <c r="RC38">
        <f>IF($B38=0,1000000000,IF(INDEX('calcA'!$D$60:$EQ$99,$B38,76)*IF($W38=1,FY38+ACN38,FY38)=1,IF(AND($E38=2,IF($W38=1,AIC38,LN38)=0),1000000000,IF($V38=1,INDEX('calcA'!$D$130:$EQ$169,$B38,76)+IF(AND($E38=1,LN38=0),25,0),IF($F38&gt;0,INDEX('calcA'!CA$110:CA$114,$F38+1)+IF(AND($E38=1,LN38=0),1000,0),MIN(TX38,20)*400+(IF('calcA'!BZ$106=1,1-FX38,0)+IF('calcA'!CA$106=1,1-FZ38,0))*150+44+'calcA'!CA$5*100000+IF(AND($E38=1,LN38=0),50000,0))+IF($H38=1,INDEX('calcA'!$D$180:$EQ$219,$B38,76)*4000,0)-IF(AND('calcA'!BZ$117=1,WX38&gt;0),2000,0)-IF(AND($U38=1,'calcA'!CA$117=1,FZ38=0),2000,0))),1000000000))</f>
        <v/>
      </c>
      <c r="RD38">
        <f>IF($B38=0,1000000000,IF(INDEX('calcA'!$D$60:$EQ$99,$B38,77)*IF($W38=1,FZ38+ACO38,FZ38)=1,IF(AND($E38=2,IF($W38=1,AID38,LO38)=0),1000000000,IF($V38=1,INDEX('calcA'!$D$130:$EQ$169,$B38,77)+IF(AND($E38=1,LO38=0),25,0),IF($F38&gt;0,INDEX('calcA'!CB$110:CB$114,$F38+1)+IF(AND($E38=1,LO38=0),1000,0),MIN(TX38,20)*400+(IF('calcA'!CA$106=1,1-FY38,0)+IF('calcA'!CB$106=1,1-GA38,0))*150+54+'calcA'!CB$5*100000+IF(AND($E38=1,LO38=0),50000,0))+IF($H38=1,INDEX('calcA'!$D$180:$EQ$219,$B38,77)*4000,0)-IF(AND('calcA'!CA$117=1,WY38&gt;0),2000,0)-IF(AND($U38=1,'calcA'!CB$117=1,GA38=0),2000,0))),1000000000))</f>
        <v/>
      </c>
      <c r="RE38">
        <f>IF($B38=0,1000000000,IF(INDEX('calcA'!$D$60:$EQ$99,$B38,78)*IF($W38=1,GA38+ACP38,GA38)=1,IF(AND($E38=2,IF($W38=1,AIE38,LP38)=0),1000000000,IF($V38=1,INDEX('calcA'!$D$130:$EQ$169,$B38,78)+IF(AND($E38=1,LP38=0),25,0),IF($F38&gt;0,INDEX('calcA'!CC$110:CC$114,$F38+1)+IF(AND($E38=1,LP38=0),1000,0),MIN(TX38,20)*400+(IF('calcA'!CB$106=1,1-FZ38,0)+IF('calcA'!CC$106=1,1-GB38,0))*150+64+'calcA'!CC$5*100000+IF(AND($E38=1,LP38=0),50000,0))+IF($H38=1,INDEX('calcA'!$D$180:$EQ$219,$B38,78)*4000,0)-IF(AND('calcA'!CB$117=1,WZ38&gt;0),2000,0)-IF(AND($U38=1,'calcA'!CC$117=1,GB38=0),2000,0))),1000000000))</f>
        <v/>
      </c>
      <c r="RF38">
        <f>IF($B38=0,1000000000,IF(INDEX('calcA'!$D$60:$EQ$99,$B38,79)*IF($W38=1,GB38+ACQ38,GB38)=1,IF(AND($E38=2,IF($W38=1,AIF38,LQ38)=0),1000000000,IF($V38=1,INDEX('calcA'!$D$130:$EQ$169,$B38,79)+IF(AND($E38=1,LQ38=0),25,0),IF($F38&gt;0,INDEX('calcA'!CD$110:CD$114,$F38+1)+IF(AND($E38=1,LQ38=0),1000,0),MIN(TX38,20)*400+(IF('calcA'!CC$106=1,1-GA38,0)+IF('calcA'!CD$106=1,1-GC38,0))*150+74+'calcA'!CD$5*100000+IF(AND($E38=1,LQ38=0),50000,0))+IF($H38=1,INDEX('calcA'!$D$180:$EQ$219,$B38,79)*4000,0)-IF(AND('calcA'!CC$117=1,XA38&gt;0),2000,0)-IF(AND($U38=1,'calcA'!CD$117=1,GC38=0),2000,0))),1000000000))</f>
        <v/>
      </c>
      <c r="RG38">
        <f>IF($B38=0,1000000000,IF(INDEX('calcA'!$D$60:$EQ$99,$B38,80)*IF($W38=1,GC38+ACR38,GC38)=1,IF(AND($E38=2,IF($W38=1,AIG38,LR38)=0),1000000000,IF($V38=1,INDEX('calcA'!$D$130:$EQ$169,$B38,80)+IF(AND($E38=1,LR38=0),25,0),IF($F38&gt;0,INDEX('calcA'!CE$110:CE$114,$F38+1)+IF(AND($E38=1,LR38=0),1000,0),MIN(TX38,20)*400+(IF('calcA'!CD$106=1,1-GB38,0)+IF('calcA'!CE$106=1,1-GD38,0))*150+84+'calcA'!CE$5*100000+IF(AND($E38=1,LR38=0),50000,0))+IF($H38=1,INDEX('calcA'!$D$180:$EQ$219,$B38,80)*4000,0)-IF(AND('calcA'!CD$117=1,XB38&gt;0),2000,0)-IF(AND($U38=1,'calcA'!CE$117=1,GD38=0),2000,0))),1000000000))</f>
        <v/>
      </c>
      <c r="RH38">
        <f>IF($B38=0,1000000000,IF(INDEX('calcA'!$D$60:$EQ$99,$B38,81)*IF($W38=1,GD38+ACS38,GD38)=1,IF(AND($E38=2,IF($W38=1,AIH38,LS38)=0),1000000000,IF($V38=1,INDEX('calcA'!$D$130:$EQ$169,$B38,81)+IF(AND($E38=1,LS38=0),25,0),IF($F38&gt;0,INDEX('calcA'!CF$110:CF$114,$F38+1)+IF(AND($E38=1,LS38=0),1000,0),MIN(TX38,20)*400+(IF('calcA'!CE$106=1,1-GC38,0)+IF('calcA'!CF$106=1,1-GE38,0))*150+94+'calcA'!CF$5*100000+IF(AND($E38=1,LS38=0),50000,0))+IF($H38=1,INDEX('calcA'!$D$180:$EQ$219,$B38,81)*4000,0)-IF(AND('calcA'!CE$117=1,XC38&gt;0),2000,0)-IF(AND($U38=1,'calcA'!CF$117=1,GE38=0),2000,0))),1000000000))</f>
        <v/>
      </c>
      <c r="RI38">
        <f>IF($B38=0,1000000000,IF(INDEX('calcA'!$D$60:$EQ$99,$B38,82)*IF($W38=1,GE38+ACT38,GE38)=1,IF(AND($E38=2,IF($W38=1,AII38,LT38)=0),1000000000,IF($V38=1,INDEX('calcA'!$D$130:$EQ$169,$B38,82)+IF(AND($E38=1,LT38=0),25,0),IF($F38&gt;0,INDEX('calcA'!CG$110:CG$114,$F38+1)+IF(AND($E38=1,LT38=0),1000,0),MIN(TX38,20)*400+(IF('calcA'!CF$106=1,1-GD38,0)+IF('calcA'!CG$106=1,1-GF38,0))*150+104+'calcA'!CG$5*100000+IF(AND($E38=1,LT38=0),50000,0))+IF($H38=1,INDEX('calcA'!$D$180:$EQ$219,$B38,82)*4000,0)-IF(AND('calcA'!CF$117=1,XD38&gt;0),2000,0)-IF(AND($U38=1,'calcA'!CG$117=1,GF38=0),2000,0))),1000000000))</f>
        <v/>
      </c>
      <c r="RJ38">
        <f>IF($B38=0,1000000000,IF(INDEX('calcA'!$D$60:$EQ$99,$B38,83)*IF($W38=1,GF38+ACU38,GF38)=1,IF(AND($E38=2,IF($W38=1,AIJ38,LU38)=0),1000000000,IF($V38=1,INDEX('calcA'!$D$130:$EQ$169,$B38,83)+IF(AND($E38=1,LU38=0),25,0),IF($F38&gt;0,INDEX('calcA'!CH$110:CH$114,$F38+1)+IF(AND($E38=1,LU38=0),1000,0),MIN(TX38,20)*400+(IF('calcA'!CG$106=1,1-GE38,0)+IF('calcA'!CH$106=1,1-GG38,0))*150+114+'calcA'!CH$5*100000+IF(AND($E38=1,LU38=0),50000,0))+IF($H38=1,INDEX('calcA'!$D$180:$EQ$219,$B38,83)*4000,0)-IF(AND('calcA'!CG$117=1,XE38&gt;0),2000,0)-IF(AND($U38=1,'calcA'!CH$117=1,GG38=0),2000,0))),1000000000))</f>
        <v/>
      </c>
      <c r="RK38">
        <f>IF($B38=0,1000000000,IF(INDEX('calcA'!$D$60:$EQ$99,$B38,84)*IF($W38=1,GG38+ACV38,GG38)=1,IF(AND($E38=2,IF($W38=1,AIK38,LV38)=0),1000000000,IF($V38=1,INDEX('calcA'!$D$130:$EQ$169,$B38,84)+IF(AND($E38=1,LV38=0),25,0),IF($F38&gt;0,INDEX('calcA'!CI$110:CI$114,$F38+1)+IF(AND($E38=1,LV38=0),1000,0),MIN(TX38,20)*400+(IF('calcA'!CH$106=1,1-GF38,0)+IF('calcA'!CI$106=1,1-GH38,0))*150+124+'calcA'!CI$5*100000+IF(AND($E38=1,LV38=0),50000,0))+IF($H38=1,INDEX('calcA'!$D$180:$EQ$219,$B38,84)*4000,0)-IF(AND('calcA'!CH$117=1,XF38&gt;0),2000,0)-IF(AND($U38=1,'calcA'!CI$117=1,GH38=0),2000,0))),1000000000))</f>
        <v/>
      </c>
      <c r="RL38">
        <f>IF($B38=0,1000000000,IF(INDEX('calcA'!$D$60:$EQ$99,$B38,85)*IF($W38=1,GH38+ACW38,GH38)=1,IF(AND($E38=2,IF($W38=1,AIL38,LW38)=0),1000000000,IF($V38=1,INDEX('calcA'!$D$130:$EQ$169,$B38,85)+IF(AND($E38=1,LW38=0),25,0),IF($F38&gt;0,INDEX('calcA'!CJ$110:CJ$114,$F38+1)+IF(AND($E38=1,LW38=0),1000,0),MIN(TX38,20)*400+(IF('calcA'!CI$106=1,1-GG38,0)+IF('calcA'!CJ$106=1,1-GI38,0))*150+134+'calcA'!CJ$5*100000+IF(AND($E38=1,LW38=0),50000,0))+IF($H38=1,INDEX('calcA'!$D$180:$EQ$219,$B38,85)*4000,0)-IF(AND('calcA'!CI$117=1,XG38&gt;0),2000,0)-IF(AND($U38=1,'calcA'!CJ$117=1,GI38=0),2000,0))),1000000000))</f>
        <v/>
      </c>
      <c r="RM38">
        <f>IF($B38=0,1000000000,IF(INDEX('calcA'!$D$60:$EQ$99,$B38,86)*IF($W38=1,GI38+ACX38,GI38)=1,IF(AND($E38=2,IF($W38=1,AIM38,LX38)=0),1000000000,IF($V38=1,INDEX('calcA'!$D$130:$EQ$169,$B38,86)+IF(AND($E38=1,LX38=0),25,0),IF($F38&gt;0,INDEX('calcA'!CK$110:CK$114,$F38+1)+IF(AND($E38=1,LX38=0),1000,0),MIN(TX38,20)*400+(IF('calcA'!CJ$106=1,1-GH38,0)+IF('calcA'!CK$106=1,1-GJ38,0))*150+144+'calcA'!CK$5*100000+IF(AND($E38=1,LX38=0),50000,0))+IF($H38=1,INDEX('calcA'!$D$180:$EQ$219,$B38,86)*4000,0)-IF(AND('calcA'!CJ$117=1,XH38&gt;0),2000,0)-IF(AND($U38=1,'calcA'!CK$117=1,GJ38=0),2000,0))),1000000000))</f>
        <v/>
      </c>
      <c r="RN38">
        <f>IF($B38=0,1000000000,IF(INDEX('calcA'!$D$60:$EQ$99,$B38,87)*IF($W38=1,GJ38+ACY38,GJ38)=1,IF(AND($E38=2,IF($W38=1,AIN38,LY38)=0),1000000000,IF($V38=1,INDEX('calcA'!$D$130:$EQ$169,$B38,87)+IF(AND($E38=1,LY38=0),25,0),IF($F38&gt;0,INDEX('calcA'!CL$110:CL$114,$F38+1)+IF(AND($E38=1,LY38=0),1000,0),MIN(TX38,20)*400+(IF('calcA'!CK$106=1,1-GI38,0)+IF('calcA'!CL$106=1,1-GK38,0))*150+154+'calcA'!CL$5*100000+IF(AND($E38=1,LY38=0),50000,0))+IF($H38=1,INDEX('calcA'!$D$180:$EQ$219,$B38,87)*4000,0)-IF(AND('calcA'!CK$117=1,XI38&gt;0),2000,0)-IF(AND($U38=1,'calcA'!CL$117=1,GK38=0),2000,0))),1000000000))</f>
        <v/>
      </c>
      <c r="RO38">
        <f>IF($B38=0,1000000000,IF(INDEX('calcA'!$D$60:$EQ$99,$B38,88)*IF($W38=1,GK38+ACZ38,GK38)=1,IF(AND($E38=2,IF($W38=1,AIO38,LZ38)=0),1000000000,IF($V38=1,INDEX('calcA'!$D$130:$EQ$169,$B38,88)+IF(AND($E38=1,LZ38=0),25,0),IF($F38&gt;0,INDEX('calcA'!CM$110:CM$114,$F38+1)+IF(AND($E38=1,LZ38=0),1000,0),MIN(TX38,20)*400+(IF('calcA'!CL$106=1,1-GJ38,0)+IF('calcA'!CM$106=1,1-GL38,0))*150+164+'calcA'!CM$5*100000+IF(AND($E38=1,LZ38=0),50000,0))+IF($H38=1,INDEX('calcA'!$D$180:$EQ$219,$B38,88)*4000,0)-IF(AND('calcA'!CL$117=1,XJ38&gt;0),2000,0)-IF(AND($U38=1,'calcA'!CM$117=1,GL38=0),2000,0))),1000000000))</f>
        <v/>
      </c>
      <c r="RP38">
        <f>IF($B38=0,1000000000,IF(INDEX('calcA'!$D$60:$EQ$99,$B38,89)*IF($W38=1,GL38+ADA38,GL38)=1,IF(AND($E38=2,IF($W38=1,AIP38,MA38)=0),1000000000,IF($V38=1,INDEX('calcA'!$D$130:$EQ$169,$B38,89)+IF(AND($E38=1,MA38=0),25,0),IF($F38&gt;0,INDEX('calcA'!CN$110:CN$114,$F38+1)+IF(AND($E38=1,MA38=0),1000,0),MIN(TX38,20)*400+(IF('calcA'!CM$106=1,1-GK38,0)+IF('calcA'!CN$106=1,1-GM38,0))*150+174+'calcA'!CN$5*100000+IF(AND($E38=1,MA38=0),50000,0))+IF($H38=1,INDEX('calcA'!$D$180:$EQ$219,$B38,89)*4000,0)-IF(AND('calcA'!CM$117=1,XK38&gt;0),2000,0)-IF(AND($U38=1,'calcA'!CN$117=1,GM38=0),2000,0))),1000000000))</f>
        <v/>
      </c>
      <c r="RQ38">
        <f>IF($B38=0,1000000000,IF(INDEX('calcA'!$D$60:$EQ$99,$B38,90)*IF($W38=1,GM38+ADB38,GM38)=1,IF(AND($E38=2,IF($W38=1,AIQ38,MB38)=0),1000000000,IF($V38=1,INDEX('calcA'!$D$130:$EQ$169,$B38,90)+IF(AND($E38=1,MB38=0),25,0),IF($F38&gt;0,INDEX('calcA'!CO$110:CO$114,$F38+1)+IF(AND($E38=1,MB38=0),1000,0),MIN(TX38,20)*400+(IF('calcA'!CN$106=1,1-GL38,0)+IF('calcA'!CO$106=1,1-GN38,0))*150+184+'calcA'!CO$5*100000+IF(AND($E38=1,MB38=0),50000,0))+IF($H38=1,INDEX('calcA'!$D$180:$EQ$219,$B38,90)*4000,0)-IF(AND('calcA'!CN$117=1,XL38&gt;0),2000,0)-IF(AND($U38=1,'calcA'!CO$117=1,GN38=0),2000,0))),1000000000))</f>
        <v/>
      </c>
      <c r="RR38">
        <f>IF($B38=0,1000000000,IF(INDEX('calcA'!$D$60:$EQ$99,$B38,91)*IF($W38=1,GN38+ADC38,GN38)=1,IF(AND($E38=2,IF($W38=1,AIR38,MC38)=0),1000000000,IF($V38=1,INDEX('calcA'!$D$130:$EQ$169,$B38,91)+IF(AND($E38=1,MC38=0),25,0),IF($F38&gt;0,INDEX('calcA'!CP$110:CP$114,$F38+1)+IF(AND($E38=1,MC38=0),1000,0),MIN(TX38,20)*400+(IF('calcA'!CO$106=1,1-GM38,0)+IF('calcA'!CP$106=1,1-GO38,0))*150+194+'calcA'!CP$5*100000+IF(AND($E38=1,MC38=0),50000,0))+IF($H38=1,INDEX('calcA'!$D$180:$EQ$219,$B38,91)*4000,0)-IF(AND('calcA'!CO$117=1,XM38&gt;0),2000,0)-IF(AND($U38=1,'calcA'!CP$117=1,GO38=0),2000,0))),1000000000))</f>
        <v/>
      </c>
      <c r="RS38">
        <f>IF($B38=0,1000000000,IF(INDEX('calcA'!$D$60:$EQ$99,$B38,92)*IF($W38=1,GO38+ADD38,GO38)=1,IF(AND($E38=2,IF($W38=1,AIS38,MD38)=0),1000000000,IF($V38=1,INDEX('calcA'!$D$130:$EQ$169,$B38,92)+IF(AND($E38=1,MD38=0),25,0),IF($F38&gt;0,INDEX('calcA'!CQ$110:CQ$114,$F38+1)+IF(AND($E38=1,MD38=0),1000,0),MIN(TX38,20)*400+(IF('calcA'!CP$106=1,1-GN38,0)+IF('calcA'!CQ$106=1,1-GP38,0))*150+204+'calcA'!CQ$5*100000+IF(AND($E38=1,MD38=0),50000,0))+IF($H38=1,INDEX('calcA'!$D$180:$EQ$219,$B38,92)*4000,0)-IF(AND('calcA'!CP$117=1,XN38&gt;0),2000,0)-IF(AND($U38=1,'calcA'!CQ$117=1,GP38=0),2000,0))),1000000000))</f>
        <v/>
      </c>
      <c r="RT38">
        <f>IF($B38=0,1000000000,IF(INDEX('calcA'!$D$60:$EQ$99,$B38,93)*IF($W38=1,GP38+ADE38,GP38)=1,IF(AND($E38=2,IF($W38=1,AIT38,ME38)=0),1000000000,IF($V38=1,INDEX('calcA'!$D$130:$EQ$169,$B38,93)+IF(AND($E38=1,ME38=0),25,0),IF($F38&gt;0,INDEX('calcA'!CR$110:CR$114,$F38+1)+IF(AND($E38=1,ME38=0),1000,0),MIN(TX38,20)*400+(IF('calcA'!CQ$106=1,1-GO38,0)+IF('calcA'!CR$106=1,1-GQ38,0))*150+214+'calcA'!CR$5*100000+IF(AND($E38=1,ME38=0),50000,0))+IF($H38=1,INDEX('calcA'!$D$180:$EQ$219,$B38,93)*4000,0)-IF(AND('calcA'!CQ$117=1,XO38&gt;0),2000,0)-IF(AND($U38=1,'calcA'!CR$117=1,GQ38=0),2000,0))),1000000000))</f>
        <v/>
      </c>
      <c r="RU38">
        <f>IF($B38=0,1000000000,IF(INDEX('calcA'!$D$60:$EQ$99,$B38,94)*IF($W38=1,GQ38+ADF38,GQ38)=1,IF(AND($E38=2,IF($W38=1,AIU38,MF38)=0),1000000000,IF($V38=1,INDEX('calcA'!$D$130:$EQ$169,$B38,94)+IF(AND($E38=1,MF38=0),25,0),IF($F38&gt;0,INDEX('calcA'!CS$110:CS$114,$F38+1)+IF(AND($E38=1,MF38=0),1000,0),MIN(TX38,20)*400+(IF('calcA'!CR$106=1,1-GP38,0)+IF('calcA'!CS$106=1,1-GR38,0))*150+224+'calcA'!CS$5*100000+IF(AND($E38=1,MF38=0),50000,0))+IF($H38=1,INDEX('calcA'!$D$180:$EQ$219,$B38,94)*4000,0)-IF(AND('calcA'!CR$117=1,XP38&gt;0),2000,0)-IF(AND($U38=1,'calcA'!CS$117=1,GR38=0),2000,0))),1000000000))</f>
        <v/>
      </c>
      <c r="RV38">
        <f>IF($B38=0,1000000000,IF(INDEX('calcA'!$D$60:$EQ$99,$B38,95)*IF($W38=1,GR38+ADG38,GR38)=1,IF(AND($E38=2,IF($W38=1,AIV38,MG38)=0),1000000000,IF($V38=1,INDEX('calcA'!$D$130:$EQ$169,$B38,95)+IF(AND($E38=1,MG38=0),25,0),IF($F38&gt;0,INDEX('calcA'!CT$110:CT$114,$F38+1)+IF(AND($E38=1,MG38=0),1000,0),MIN(TX38,20)*400+(IF('calcA'!CS$106=1,1-GQ38,0)+IF('calcA'!CT$106=1,1-GS38,0))*150+234+'calcA'!CT$5*100000+IF(AND($E38=1,MG38=0),50000,0))+IF($H38=1,INDEX('calcA'!$D$180:$EQ$219,$B38,95)*4000,0)-IF(AND('calcA'!CS$117=1,XQ38&gt;0),2000,0)-IF(AND($U38=1,'calcA'!CT$117=1,GS38=0),2000,0))),1000000000))</f>
        <v/>
      </c>
      <c r="RW38">
        <f>IF($B38=0,1000000000,IF(INDEX('calcA'!$D$60:$EQ$99,$B38,96)*IF($W38=1,GS38+ADH38,GS38)=1,IF(AND($E38=2,IF($W38=1,AIW38,MH38)=0),1000000000,IF($V38=1,INDEX('calcA'!$D$130:$EQ$169,$B38,96)+IF(AND($E38=1,MH38=0),25,0),IF($F38&gt;0,INDEX('calcA'!CU$110:CU$114,$F38+1)+IF(AND($E38=1,MH38=0),1000,0),MIN(TX38,20)*400+(IF('calcA'!CT$106=1,1-GR38,0))*150+244+'calcA'!CU$5*100000+IF(AND($E38=1,MH38=0),50000,0))+IF($H38=1,INDEX('calcA'!$D$180:$EQ$219,$B38,96)*4000,0)-IF(AND('calcA'!CT$117=1,XR38&gt;0),2000,0))),1000000000))</f>
        <v/>
      </c>
      <c r="RX38">
        <f>IF($B38=0,1000000000,IF(INDEX('calcA'!$D$60:$EQ$99,$B38,97)*IF($W38=1,GT38+ADI38,GT38)=1,IF(AND($E38=2,IF($W38=1,AIX38,MI38)=0),1000000000,IF($V38=1,INDEX('calcA'!$D$130:$EQ$169,$B38,97)+IF(AND($E38=1,MI38=0),25,0),IF($F38&gt;0,INDEX('calcA'!CV$110:CV$114,$F38+1)+IF(AND($E38=1,MI38=0),1000,0),MIN(TY38,20)*400+(IF('calcA'!CV$106=1,1-GU38,0))*150+15+'calcA'!CV$5*100000+IF(AND($E38=1,MI38=0),50000,0))+IF($H38=1,INDEX('calcA'!$D$180:$EQ$219,$B38,97)*4000,0)-IF(AND($U38=1,'calcA'!CV$117=1,GU38=0),2000,0))),1000000000))</f>
        <v/>
      </c>
      <c r="RY38">
        <f>IF($B38=0,1000000000,IF(INDEX('calcA'!$D$60:$EQ$99,$B38,98)*IF($W38=1,GU38+ADJ38,GU38)=1,IF(AND($E38=2,IF($W38=1,AIY38,MJ38)=0),1000000000,IF($V38=1,INDEX('calcA'!$D$130:$EQ$169,$B38,98)+IF(AND($E38=1,MJ38=0),25,0),IF($F38&gt;0,INDEX('calcA'!CW$110:CW$114,$F38+1)+IF(AND($E38=1,MJ38=0),1000,0),MIN(TY38,20)*400+(IF('calcA'!CV$106=1,1-GT38,0)+IF('calcA'!CW$106=1,1-GV38,0))*150+25+'calcA'!CW$5*100000+IF(AND($E38=1,MJ38=0),50000,0))+IF($H38=1,INDEX('calcA'!$D$180:$EQ$219,$B38,98)*4000,0)-IF(AND('calcA'!CV$117=1,XT38&gt;0),2000,0)-IF(AND($U38=1,'calcA'!CW$117=1,GV38=0),2000,0))),1000000000))</f>
        <v/>
      </c>
      <c r="RZ38">
        <f>IF($B38=0,1000000000,IF(INDEX('calcA'!$D$60:$EQ$99,$B38,99)*IF($W38=1,GV38+ADK38,GV38)=1,IF(AND($E38=2,IF($W38=1,AIZ38,MK38)=0),1000000000,IF($V38=1,INDEX('calcA'!$D$130:$EQ$169,$B38,99)+IF(AND($E38=1,MK38=0),25,0),IF($F38&gt;0,INDEX('calcA'!CX$110:CX$114,$F38+1)+IF(AND($E38=1,MK38=0),1000,0),MIN(TY38,20)*400+(IF('calcA'!CW$106=1,1-GU38,0)+IF('calcA'!CX$106=1,1-GW38,0))*150+35+'calcA'!CX$5*100000+IF(AND($E38=1,MK38=0),50000,0))+IF($H38=1,INDEX('calcA'!$D$180:$EQ$219,$B38,99)*4000,0)-IF(AND('calcA'!CW$117=1,XU38&gt;0),2000,0)-IF(AND($U38=1,'calcA'!CX$117=1,GW38=0),2000,0))),1000000000))</f>
        <v/>
      </c>
      <c r="SA38">
        <f>IF($B38=0,1000000000,IF(INDEX('calcA'!$D$60:$EQ$99,$B38,100)*IF($W38=1,GW38+ADL38,GW38)=1,IF(AND($E38=2,IF($W38=1,AJA38,ML38)=0),1000000000,IF($V38=1,INDEX('calcA'!$D$130:$EQ$169,$B38,100)+IF(AND($E38=1,ML38=0),25,0),IF($F38&gt;0,INDEX('calcA'!CY$110:CY$114,$F38+1)+IF(AND($E38=1,ML38=0),1000,0),MIN(TY38,20)*400+(IF('calcA'!CX$106=1,1-GV38,0)+IF('calcA'!CY$106=1,1-GX38,0))*150+45+'calcA'!CY$5*100000+IF(AND($E38=1,ML38=0),50000,0))+IF($H38=1,INDEX('calcA'!$D$180:$EQ$219,$B38,100)*4000,0)-IF(AND('calcA'!CX$117=1,XV38&gt;0),2000,0)-IF(AND($U38=1,'calcA'!CY$117=1,GX38=0),2000,0))),1000000000))</f>
        <v/>
      </c>
      <c r="SB38">
        <f>IF($B38=0,1000000000,IF(INDEX('calcA'!$D$60:$EQ$99,$B38,101)*IF($W38=1,GX38+ADM38,GX38)=1,IF(AND($E38=2,IF($W38=1,AJB38,MM38)=0),1000000000,IF($V38=1,INDEX('calcA'!$D$130:$EQ$169,$B38,101)+IF(AND($E38=1,MM38=0),25,0),IF($F38&gt;0,INDEX('calcA'!CZ$110:CZ$114,$F38+1)+IF(AND($E38=1,MM38=0),1000,0),MIN(TY38,20)*400+(IF('calcA'!CY$106=1,1-GW38,0)+IF('calcA'!CZ$106=1,1-GY38,0))*150+55+'calcA'!CZ$5*100000+IF(AND($E38=1,MM38=0),50000,0))+IF($H38=1,INDEX('calcA'!$D$180:$EQ$219,$B38,101)*4000,0)-IF(AND('calcA'!CY$117=1,XW38&gt;0),2000,0)-IF(AND($U38=1,'calcA'!CZ$117=1,GY38=0),2000,0))),1000000000))</f>
        <v/>
      </c>
      <c r="SC38">
        <f>IF($B38=0,1000000000,IF(INDEX('calcA'!$D$60:$EQ$99,$B38,102)*IF($W38=1,GY38+ADN38,GY38)=1,IF(AND($E38=2,IF($W38=1,AJC38,MN38)=0),1000000000,IF($V38=1,INDEX('calcA'!$D$130:$EQ$169,$B38,102)+IF(AND($E38=1,MN38=0),25,0),IF($F38&gt;0,INDEX('calcA'!DA$110:DA$114,$F38+1)+IF(AND($E38=1,MN38=0),1000,0),MIN(TY38,20)*400+(IF('calcA'!CZ$106=1,1-GX38,0)+IF('calcA'!DA$106=1,1-GZ38,0))*150+65+'calcA'!DA$5*100000+IF(AND($E38=1,MN38=0),50000,0))+IF($H38=1,INDEX('calcA'!$D$180:$EQ$219,$B38,102)*4000,0)-IF(AND('calcA'!CZ$117=1,XX38&gt;0),2000,0)-IF(AND($U38=1,'calcA'!DA$117=1,GZ38=0),2000,0))),1000000000))</f>
        <v/>
      </c>
      <c r="SD38">
        <f>IF($B38=0,1000000000,IF(INDEX('calcA'!$D$60:$EQ$99,$B38,103)*IF($W38=1,GZ38+ADO38,GZ38)=1,IF(AND($E38=2,IF($W38=1,AJD38,MO38)=0),1000000000,IF($V38=1,INDEX('calcA'!$D$130:$EQ$169,$B38,103)+IF(AND($E38=1,MO38=0),25,0),IF($F38&gt;0,INDEX('calcA'!DB$110:DB$114,$F38+1)+IF(AND($E38=1,MO38=0),1000,0),MIN(TY38,20)*400+(IF('calcA'!DA$106=1,1-GY38,0)+IF('calcA'!DB$106=1,1-HA38,0))*150+75+'calcA'!DB$5*100000+IF(AND($E38=1,MO38=0),50000,0))+IF($H38=1,INDEX('calcA'!$D$180:$EQ$219,$B38,103)*4000,0)-IF(AND('calcA'!DA$117=1,XY38&gt;0),2000,0)-IF(AND($U38=1,'calcA'!DB$117=1,HA38=0),2000,0))),1000000000))</f>
        <v/>
      </c>
      <c r="SE38">
        <f>IF($B38=0,1000000000,IF(INDEX('calcA'!$D$60:$EQ$99,$B38,104)*IF($W38=1,HA38+ADP38,HA38)=1,IF(AND($E38=2,IF($W38=1,AJE38,MP38)=0),1000000000,IF($V38=1,INDEX('calcA'!$D$130:$EQ$169,$B38,104)+IF(AND($E38=1,MP38=0),25,0),IF($F38&gt;0,INDEX('calcA'!DC$110:DC$114,$F38+1)+IF(AND($E38=1,MP38=0),1000,0),MIN(TY38,20)*400+(IF('calcA'!DB$106=1,1-GZ38,0)+IF('calcA'!DC$106=1,1-HB38,0))*150+85+'calcA'!DC$5*100000+IF(AND($E38=1,MP38=0),50000,0))+IF($H38=1,INDEX('calcA'!$D$180:$EQ$219,$B38,104)*4000,0)-IF(AND('calcA'!DB$117=1,XZ38&gt;0),2000,0)-IF(AND($U38=1,'calcA'!DC$117=1,HB38=0),2000,0))),1000000000))</f>
        <v/>
      </c>
      <c r="SF38">
        <f>IF($B38=0,1000000000,IF(INDEX('calcA'!$D$60:$EQ$99,$B38,105)*IF($W38=1,HB38+ADQ38,HB38)=1,IF(AND($E38=2,IF($W38=1,AJF38,MQ38)=0),1000000000,IF($V38=1,INDEX('calcA'!$D$130:$EQ$169,$B38,105)+IF(AND($E38=1,MQ38=0),25,0),IF($F38&gt;0,INDEX('calcA'!DD$110:DD$114,$F38+1)+IF(AND($E38=1,MQ38=0),1000,0),MIN(TY38,20)*400+(IF('calcA'!DC$106=1,1-HA38,0)+IF('calcA'!DD$106=1,1-HC38,0))*150+95+'calcA'!DD$5*100000+IF(AND($E38=1,MQ38=0),50000,0))+IF($H38=1,INDEX('calcA'!$D$180:$EQ$219,$B38,105)*4000,0)-IF(AND('calcA'!DC$117=1,YA38&gt;0),2000,0)-IF(AND($U38=1,'calcA'!DD$117=1,HC38=0),2000,0))),1000000000))</f>
        <v/>
      </c>
      <c r="SG38">
        <f>IF($B38=0,1000000000,IF(INDEX('calcA'!$D$60:$EQ$99,$B38,106)*IF($W38=1,HC38+ADR38,HC38)=1,IF(AND($E38=2,IF($W38=1,AJG38,MR38)=0),1000000000,IF($V38=1,INDEX('calcA'!$D$130:$EQ$169,$B38,106)+IF(AND($E38=1,MR38=0),25,0),IF($F38&gt;0,INDEX('calcA'!DE$110:DE$114,$F38+1)+IF(AND($E38=1,MR38=0),1000,0),MIN(TY38,20)*400+(IF('calcA'!DD$106=1,1-HB38,0)+IF('calcA'!DE$106=1,1-HD38,0))*150+105+'calcA'!DE$5*100000+IF(AND($E38=1,MR38=0),50000,0))+IF($H38=1,INDEX('calcA'!$D$180:$EQ$219,$B38,106)*4000,0)-IF(AND('calcA'!DD$117=1,YB38&gt;0),2000,0)-IF(AND($U38=1,'calcA'!DE$117=1,HD38=0),2000,0))),1000000000))</f>
        <v/>
      </c>
      <c r="SH38">
        <f>IF($B38=0,1000000000,IF(INDEX('calcA'!$D$60:$EQ$99,$B38,107)*IF($W38=1,HD38+ADS38,HD38)=1,IF(AND($E38=2,IF($W38=1,AJH38,MS38)=0),1000000000,IF($V38=1,INDEX('calcA'!$D$130:$EQ$169,$B38,107)+IF(AND($E38=1,MS38=0),25,0),IF($F38&gt;0,INDEX('calcA'!DF$110:DF$114,$F38+1)+IF(AND($E38=1,MS38=0),1000,0),MIN(TY38,20)*400+(IF('calcA'!DE$106=1,1-HC38,0)+IF('calcA'!DF$106=1,1-HE38,0))*150+115+'calcA'!DF$5*100000+IF(AND($E38=1,MS38=0),50000,0))+IF($H38=1,INDEX('calcA'!$D$180:$EQ$219,$B38,107)*4000,0)-IF(AND('calcA'!DE$117=1,YC38&gt;0),2000,0)-IF(AND($U38=1,'calcA'!DF$117=1,HE38=0),2000,0))),1000000000))</f>
        <v/>
      </c>
      <c r="SI38">
        <f>IF($B38=0,1000000000,IF(INDEX('calcA'!$D$60:$EQ$99,$B38,108)*IF($W38=1,HE38+ADT38,HE38)=1,IF(AND($E38=2,IF($W38=1,AJI38,MT38)=0),1000000000,IF($V38=1,INDEX('calcA'!$D$130:$EQ$169,$B38,108)+IF(AND($E38=1,MT38=0),25,0),IF($F38&gt;0,INDEX('calcA'!DG$110:DG$114,$F38+1)+IF(AND($E38=1,MT38=0),1000,0),MIN(TY38,20)*400+(IF('calcA'!DF$106=1,1-HD38,0)+IF('calcA'!DG$106=1,1-HF38,0))*150+125+'calcA'!DG$5*100000+IF(AND($E38=1,MT38=0),50000,0))+IF($H38=1,INDEX('calcA'!$D$180:$EQ$219,$B38,108)*4000,0)-IF(AND('calcA'!DF$117=1,YD38&gt;0),2000,0)-IF(AND($U38=1,'calcA'!DG$117=1,HF38=0),2000,0))),1000000000))</f>
        <v/>
      </c>
      <c r="SJ38">
        <f>IF($B38=0,1000000000,IF(INDEX('calcA'!$D$60:$EQ$99,$B38,109)*IF($W38=1,HF38+ADU38,HF38)=1,IF(AND($E38=2,IF($W38=1,AJJ38,MU38)=0),1000000000,IF($V38=1,INDEX('calcA'!$D$130:$EQ$169,$B38,109)+IF(AND($E38=1,MU38=0),25,0),IF($F38&gt;0,INDEX('calcA'!DH$110:DH$114,$F38+1)+IF(AND($E38=1,MU38=0),1000,0),MIN(TY38,20)*400+(IF('calcA'!DG$106=1,1-HE38,0)+IF('calcA'!DH$106=1,1-HG38,0))*150+135+'calcA'!DH$5*100000+IF(AND($E38=1,MU38=0),50000,0))+IF($H38=1,INDEX('calcA'!$D$180:$EQ$219,$B38,109)*4000,0)-IF(AND('calcA'!DG$117=1,YE38&gt;0),2000,0)-IF(AND($U38=1,'calcA'!DH$117=1,HG38=0),2000,0))),1000000000))</f>
        <v/>
      </c>
      <c r="SK38">
        <f>IF($B38=0,1000000000,IF(INDEX('calcA'!$D$60:$EQ$99,$B38,110)*IF($W38=1,HG38+ADV38,HG38)=1,IF(AND($E38=2,IF($W38=1,AJK38,MV38)=0),1000000000,IF($V38=1,INDEX('calcA'!$D$130:$EQ$169,$B38,110)+IF(AND($E38=1,MV38=0),25,0),IF($F38&gt;0,INDEX('calcA'!DI$110:DI$114,$F38+1)+IF(AND($E38=1,MV38=0),1000,0),MIN(TY38,20)*400+(IF('calcA'!DH$106=1,1-HF38,0)+IF('calcA'!DI$106=1,1-HH38,0))*150+145+'calcA'!DI$5*100000+IF(AND($E38=1,MV38=0),50000,0))+IF($H38=1,INDEX('calcA'!$D$180:$EQ$219,$B38,110)*4000,0)-IF(AND('calcA'!DH$117=1,YF38&gt;0),2000,0)-IF(AND($U38=1,'calcA'!DI$117=1,HH38=0),2000,0))),1000000000))</f>
        <v/>
      </c>
      <c r="SL38">
        <f>IF($B38=0,1000000000,IF(INDEX('calcA'!$D$60:$EQ$99,$B38,111)*IF($W38=1,HH38+ADW38,HH38)=1,IF(AND($E38=2,IF($W38=1,AJL38,MW38)=0),1000000000,IF($V38=1,INDEX('calcA'!$D$130:$EQ$169,$B38,111)+IF(AND($E38=1,MW38=0),25,0),IF($F38&gt;0,INDEX('calcA'!DJ$110:DJ$114,$F38+1)+IF(AND($E38=1,MW38=0),1000,0),MIN(TY38,20)*400+(IF('calcA'!DI$106=1,1-HG38,0)+IF('calcA'!DJ$106=1,1-HI38,0))*150+155+'calcA'!DJ$5*100000+IF(AND($E38=1,MW38=0),50000,0))+IF($H38=1,INDEX('calcA'!$D$180:$EQ$219,$B38,111)*4000,0)-IF(AND('calcA'!DI$117=1,YG38&gt;0),2000,0)-IF(AND($U38=1,'calcA'!DJ$117=1,HI38=0),2000,0))),1000000000))</f>
        <v/>
      </c>
      <c r="SM38">
        <f>IF($B38=0,1000000000,IF(INDEX('calcA'!$D$60:$EQ$99,$B38,112)*IF($W38=1,HI38+ADX38,HI38)=1,IF(AND($E38=2,IF($W38=1,AJM38,MX38)=0),1000000000,IF($V38=1,INDEX('calcA'!$D$130:$EQ$169,$B38,112)+IF(AND($E38=1,MX38=0),25,0),IF($F38&gt;0,INDEX('calcA'!DK$110:DK$114,$F38+1)+IF(AND($E38=1,MX38=0),1000,0),MIN(TY38,20)*400+(IF('calcA'!DJ$106=1,1-HH38,0)+IF('calcA'!DK$106=1,1-HJ38,0))*150+165+'calcA'!DK$5*100000+IF(AND($E38=1,MX38=0),50000,0))+IF($H38=1,INDEX('calcA'!$D$180:$EQ$219,$B38,112)*4000,0)-IF(AND('calcA'!DJ$117=1,YH38&gt;0),2000,0)-IF(AND($U38=1,'calcA'!DK$117=1,HJ38=0),2000,0))),1000000000))</f>
        <v/>
      </c>
      <c r="SN38">
        <f>IF($B38=0,1000000000,IF(INDEX('calcA'!$D$60:$EQ$99,$B38,113)*IF($W38=1,HJ38+ADY38,HJ38)=1,IF(AND($E38=2,IF($W38=1,AJN38,MY38)=0),1000000000,IF($V38=1,INDEX('calcA'!$D$130:$EQ$169,$B38,113)+IF(AND($E38=1,MY38=0),25,0),IF($F38&gt;0,INDEX('calcA'!DL$110:DL$114,$F38+1)+IF(AND($E38=1,MY38=0),1000,0),MIN(TY38,20)*400+(IF('calcA'!DK$106=1,1-HI38,0)+IF('calcA'!DL$106=1,1-HK38,0))*150+175+'calcA'!DL$5*100000+IF(AND($E38=1,MY38=0),50000,0))+IF($H38=1,INDEX('calcA'!$D$180:$EQ$219,$B38,113)*4000,0)-IF(AND('calcA'!DK$117=1,YI38&gt;0),2000,0)-IF(AND($U38=1,'calcA'!DL$117=1,HK38=0),2000,0))),1000000000))</f>
        <v/>
      </c>
      <c r="SO38">
        <f>IF($B38=0,1000000000,IF(INDEX('calcA'!$D$60:$EQ$99,$B38,114)*IF($W38=1,HK38+ADZ38,HK38)=1,IF(AND($E38=2,IF($W38=1,AJO38,MZ38)=0),1000000000,IF($V38=1,INDEX('calcA'!$D$130:$EQ$169,$B38,114)+IF(AND($E38=1,MZ38=0),25,0),IF($F38&gt;0,INDEX('calcA'!DM$110:DM$114,$F38+1)+IF(AND($E38=1,MZ38=0),1000,0),MIN(TY38,20)*400+(IF('calcA'!DL$106=1,1-HJ38,0)+IF('calcA'!DM$106=1,1-HL38,0))*150+185+'calcA'!DM$5*100000+IF(AND($E38=1,MZ38=0),50000,0))+IF($H38=1,INDEX('calcA'!$D$180:$EQ$219,$B38,114)*4000,0)-IF(AND('calcA'!DL$117=1,YJ38&gt;0),2000,0)-IF(AND($U38=1,'calcA'!DM$117=1,HL38=0),2000,0))),1000000000))</f>
        <v/>
      </c>
      <c r="SP38">
        <f>IF($B38=0,1000000000,IF(INDEX('calcA'!$D$60:$EQ$99,$B38,115)*IF($W38=1,HL38+AEA38,HL38)=1,IF(AND($E38=2,IF($W38=1,AJP38,NA38)=0),1000000000,IF($V38=1,INDEX('calcA'!$D$130:$EQ$169,$B38,115)+IF(AND($E38=1,NA38=0),25,0),IF($F38&gt;0,INDEX('calcA'!DN$110:DN$114,$F38+1)+IF(AND($E38=1,NA38=0),1000,0),MIN(TY38,20)*400+(IF('calcA'!DM$106=1,1-HK38,0)+IF('calcA'!DN$106=1,1-HM38,0))*150+195+'calcA'!DN$5*100000+IF(AND($E38=1,NA38=0),50000,0))+IF($H38=1,INDEX('calcA'!$D$180:$EQ$219,$B38,115)*4000,0)-IF(AND('calcA'!DM$117=1,YK38&gt;0),2000,0)-IF(AND($U38=1,'calcA'!DN$117=1,HM38=0),2000,0))),1000000000))</f>
        <v/>
      </c>
      <c r="SQ38">
        <f>IF($B38=0,1000000000,IF(INDEX('calcA'!$D$60:$EQ$99,$B38,116)*IF($W38=1,HM38+AEB38,HM38)=1,IF(AND($E38=2,IF($W38=1,AJQ38,NB38)=0),1000000000,IF($V38=1,INDEX('calcA'!$D$130:$EQ$169,$B38,116)+IF(AND($E38=1,NB38=0),25,0),IF($F38&gt;0,INDEX('calcA'!DO$110:DO$114,$F38+1)+IF(AND($E38=1,NB38=0),1000,0),MIN(TY38,20)*400+(IF('calcA'!DN$106=1,1-HL38,0)+IF('calcA'!DO$106=1,1-HN38,0))*150+205+'calcA'!DO$5*100000+IF(AND($E38=1,NB38=0),50000,0))+IF($H38=1,INDEX('calcA'!$D$180:$EQ$219,$B38,116)*4000,0)-IF(AND('calcA'!DN$117=1,YL38&gt;0),2000,0)-IF(AND($U38=1,'calcA'!DO$117=1,HN38=0),2000,0))),1000000000))</f>
        <v/>
      </c>
      <c r="SR38">
        <f>IF($B38=0,1000000000,IF(INDEX('calcA'!$D$60:$EQ$99,$B38,117)*IF($W38=1,HN38+AEC38,HN38)=1,IF(AND($E38=2,IF($W38=1,AJR38,NC38)=0),1000000000,IF($V38=1,INDEX('calcA'!$D$130:$EQ$169,$B38,117)+IF(AND($E38=1,NC38=0),25,0),IF($F38&gt;0,INDEX('calcA'!DP$110:DP$114,$F38+1)+IF(AND($E38=1,NC38=0),1000,0),MIN(TY38,20)*400+(IF('calcA'!DO$106=1,1-HM38,0)+IF('calcA'!DP$106=1,1-HO38,0))*150+215+'calcA'!DP$5*100000+IF(AND($E38=1,NC38=0),50000,0))+IF($H38=1,INDEX('calcA'!$D$180:$EQ$219,$B38,117)*4000,0)-IF(AND('calcA'!DO$117=1,YM38&gt;0),2000,0)-IF(AND($U38=1,'calcA'!DP$117=1,HO38=0),2000,0))),1000000000))</f>
        <v/>
      </c>
      <c r="SS38">
        <f>IF($B38=0,1000000000,IF(INDEX('calcA'!$D$60:$EQ$99,$B38,118)*IF($W38=1,HO38+AED38,HO38)=1,IF(AND($E38=2,IF($W38=1,AJS38,ND38)=0),1000000000,IF($V38=1,INDEX('calcA'!$D$130:$EQ$169,$B38,118)+IF(AND($E38=1,ND38=0),25,0),IF($F38&gt;0,INDEX('calcA'!DQ$110:DQ$114,$F38+1)+IF(AND($E38=1,ND38=0),1000,0),MIN(TY38,20)*400+(IF('calcA'!DP$106=1,1-HN38,0)+IF('calcA'!DQ$106=1,1-HP38,0))*150+225+'calcA'!DQ$5*100000+IF(AND($E38=1,ND38=0),50000,0))+IF($H38=1,INDEX('calcA'!$D$180:$EQ$219,$B38,118)*4000,0)-IF(AND('calcA'!DP$117=1,YN38&gt;0),2000,0)-IF(AND($U38=1,'calcA'!DQ$117=1,HP38=0),2000,0))),1000000000))</f>
        <v/>
      </c>
      <c r="ST38">
        <f>IF($B38=0,1000000000,IF(INDEX('calcA'!$D$60:$EQ$99,$B38,119)*IF($W38=1,HP38+AEE38,HP38)=1,IF(AND($E38=2,IF($W38=1,AJT38,NE38)=0),1000000000,IF($V38=1,INDEX('calcA'!$D$130:$EQ$169,$B38,119)+IF(AND($E38=1,NE38=0),25,0),IF($F38&gt;0,INDEX('calcA'!DR$110:DR$114,$F38+1)+IF(AND($E38=1,NE38=0),1000,0),MIN(TY38,20)*400+(IF('calcA'!DQ$106=1,1-HO38,0)+IF('calcA'!DR$106=1,1-HQ38,0))*150+235+'calcA'!DR$5*100000+IF(AND($E38=1,NE38=0),50000,0))+IF($H38=1,INDEX('calcA'!$D$180:$EQ$219,$B38,119)*4000,0)-IF(AND('calcA'!DQ$117=1,YO38&gt;0),2000,0)-IF(AND($U38=1,'calcA'!DR$117=1,HQ38=0),2000,0))),1000000000))</f>
        <v/>
      </c>
      <c r="SU38">
        <f>IF($B38=0,1000000000,IF(INDEX('calcA'!$D$60:$EQ$99,$B38,120)*IF($W38=1,HQ38+AEF38,HQ38)=1,IF(AND($E38=2,IF($W38=1,AJU38,NF38)=0),1000000000,IF($V38=1,INDEX('calcA'!$D$130:$EQ$169,$B38,120)+IF(AND($E38=1,NF38=0),25,0),IF($F38&gt;0,INDEX('calcA'!DS$110:DS$114,$F38+1)+IF(AND($E38=1,NF38=0),1000,0),MIN(TY38,20)*400+(IF('calcA'!DR$106=1,1-HP38,0))*150+245+'calcA'!DS$5*100000+IF(AND($E38=1,NF38=0),50000,0))+IF($H38=1,INDEX('calcA'!$D$180:$EQ$219,$B38,120)*4000,0)-IF(AND('calcA'!DR$117=1,YP38&gt;0),2000,0))),1000000000))</f>
        <v/>
      </c>
      <c r="SV38">
        <f>IF($B38=0,1000000000,IF(INDEX('calcA'!$D$60:$EQ$99,$B38,121)*IF($W38=1,HR38+AEG38,HR38)=1,IF(AND($E38=2,IF($W38=1,AJV38,NG38)=0),1000000000,IF($V38=1,INDEX('calcA'!$D$130:$EQ$169,$B38,121)+IF(AND($E38=1,NG38=0),25,0),IF($F38&gt;0,INDEX('calcA'!DT$110:DT$114,$F38+1)+IF(AND($E38=1,NG38=0),1000,0),MIN(TZ38,20)*400+(IF('calcA'!DT$106=1,1-HS38,0))*150+16+'calcA'!DT$5*100000+IF(AND($E38=1,NG38=0),50000,0))+IF($H38=1,INDEX('calcA'!$D$180:$EQ$219,$B38,121)*4000,0)-IF(AND($U38=1,'calcA'!DT$117=1,HS38=0),2000,0))),1000000000))</f>
        <v/>
      </c>
      <c r="SW38">
        <f>IF($B38=0,1000000000,IF(INDEX('calcA'!$D$60:$EQ$99,$B38,122)*IF($W38=1,HS38+AEH38,HS38)=1,IF(AND($E38=2,IF($W38=1,AJW38,NH38)=0),1000000000,IF($V38=1,INDEX('calcA'!$D$130:$EQ$169,$B38,122)+IF(AND($E38=1,NH38=0),25,0),IF($F38&gt;0,INDEX('calcA'!DU$110:DU$114,$F38+1)+IF(AND($E38=1,NH38=0),1000,0),MIN(TZ38,20)*400+(IF('calcA'!DT$106=1,1-HR38,0)+IF('calcA'!DU$106=1,1-HT38,0))*150+26+'calcA'!DU$5*100000+IF(AND($E38=1,NH38=0),50000,0))+IF($H38=1,INDEX('calcA'!$D$180:$EQ$219,$B38,122)*4000,0)-IF(AND('calcA'!DT$117=1,YR38&gt;0),2000,0)-IF(AND($U38=1,'calcA'!DU$117=1,HT38=0),2000,0))),1000000000))</f>
        <v/>
      </c>
      <c r="SX38">
        <f>IF($B38=0,1000000000,IF(INDEX('calcA'!$D$60:$EQ$99,$B38,123)*IF($W38=1,HT38+AEI38,HT38)=1,IF(AND($E38=2,IF($W38=1,AJX38,NI38)=0),1000000000,IF($V38=1,INDEX('calcA'!$D$130:$EQ$169,$B38,123)+IF(AND($E38=1,NI38=0),25,0),IF($F38&gt;0,INDEX('calcA'!DV$110:DV$114,$F38+1)+IF(AND($E38=1,NI38=0),1000,0),MIN(TZ38,20)*400+(IF('calcA'!DU$106=1,1-HS38,0)+IF('calcA'!DV$106=1,1-HU38,0))*150+36+'calcA'!DV$5*100000+IF(AND($E38=1,NI38=0),50000,0))+IF($H38=1,INDEX('calcA'!$D$180:$EQ$219,$B38,123)*4000,0)-IF(AND('calcA'!DU$117=1,YS38&gt;0),2000,0)-IF(AND($U38=1,'calcA'!DV$117=1,HU38=0),2000,0))),1000000000))</f>
        <v/>
      </c>
      <c r="SY38">
        <f>IF($B38=0,1000000000,IF(INDEX('calcA'!$D$60:$EQ$99,$B38,124)*IF($W38=1,HU38+AEJ38,HU38)=1,IF(AND($E38=2,IF($W38=1,AJY38,NJ38)=0),1000000000,IF($V38=1,INDEX('calcA'!$D$130:$EQ$169,$B38,124)+IF(AND($E38=1,NJ38=0),25,0),IF($F38&gt;0,INDEX('calcA'!DW$110:DW$114,$F38+1)+IF(AND($E38=1,NJ38=0),1000,0),MIN(TZ38,20)*400+(IF('calcA'!DV$106=1,1-HT38,0)+IF('calcA'!DW$106=1,1-HV38,0))*150+46+'calcA'!DW$5*100000+IF(AND($E38=1,NJ38=0),50000,0))+IF($H38=1,INDEX('calcA'!$D$180:$EQ$219,$B38,124)*4000,0)-IF(AND('calcA'!DV$117=1,YT38&gt;0),2000,0)-IF(AND($U38=1,'calcA'!DW$117=1,HV38=0),2000,0))),1000000000))</f>
        <v/>
      </c>
      <c r="SZ38">
        <f>IF($B38=0,1000000000,IF(INDEX('calcA'!$D$60:$EQ$99,$B38,125)*IF($W38=1,HV38+AEK38,HV38)=1,IF(AND($E38=2,IF($W38=1,AJZ38,NK38)=0),1000000000,IF($V38=1,INDEX('calcA'!$D$130:$EQ$169,$B38,125)+IF(AND($E38=1,NK38=0),25,0),IF($F38&gt;0,INDEX('calcA'!DX$110:DX$114,$F38+1)+IF(AND($E38=1,NK38=0),1000,0),MIN(TZ38,20)*400+(IF('calcA'!DW$106=1,1-HU38,0)+IF('calcA'!DX$106=1,1-HW38,0))*150+56+'calcA'!DX$5*100000+IF(AND($E38=1,NK38=0),50000,0))+IF($H38=1,INDEX('calcA'!$D$180:$EQ$219,$B38,125)*4000,0)-IF(AND('calcA'!DW$117=1,YU38&gt;0),2000,0)-IF(AND($U38=1,'calcA'!DX$117=1,HW38=0),2000,0))),1000000000))</f>
        <v/>
      </c>
      <c r="TA38">
        <f>IF($B38=0,1000000000,IF(INDEX('calcA'!$D$60:$EQ$99,$B38,126)*IF($W38=1,HW38+AEL38,HW38)=1,IF(AND($E38=2,IF($W38=1,AKA38,NL38)=0),1000000000,IF($V38=1,INDEX('calcA'!$D$130:$EQ$169,$B38,126)+IF(AND($E38=1,NL38=0),25,0),IF($F38&gt;0,INDEX('calcA'!DY$110:DY$114,$F38+1)+IF(AND($E38=1,NL38=0),1000,0),MIN(TZ38,20)*400+(IF('calcA'!DX$106=1,1-HV38,0)+IF('calcA'!DY$106=1,1-HX38,0))*150+66+'calcA'!DY$5*100000+IF(AND($E38=1,NL38=0),50000,0))+IF($H38=1,INDEX('calcA'!$D$180:$EQ$219,$B38,126)*4000,0)-IF(AND('calcA'!DX$117=1,YV38&gt;0),2000,0)-IF(AND($U38=1,'calcA'!DY$117=1,HX38=0),2000,0))),1000000000))</f>
        <v/>
      </c>
      <c r="TB38">
        <f>IF($B38=0,1000000000,IF(INDEX('calcA'!$D$60:$EQ$99,$B38,127)*IF($W38=1,HX38+AEM38,HX38)=1,IF(AND($E38=2,IF($W38=1,AKB38,NM38)=0),1000000000,IF($V38=1,INDEX('calcA'!$D$130:$EQ$169,$B38,127)+IF(AND($E38=1,NM38=0),25,0),IF($F38&gt;0,INDEX('calcA'!DZ$110:DZ$114,$F38+1)+IF(AND($E38=1,NM38=0),1000,0),MIN(TZ38,20)*400+(IF('calcA'!DY$106=1,1-HW38,0)+IF('calcA'!DZ$106=1,1-HY38,0))*150+76+'calcA'!DZ$5*100000+IF(AND($E38=1,NM38=0),50000,0))+IF($H38=1,INDEX('calcA'!$D$180:$EQ$219,$B38,127)*4000,0)-IF(AND('calcA'!DY$117=1,YW38&gt;0),2000,0)-IF(AND($U38=1,'calcA'!DZ$117=1,HY38=0),2000,0))),1000000000))</f>
        <v/>
      </c>
      <c r="TC38">
        <f>IF($B38=0,1000000000,IF(INDEX('calcA'!$D$60:$EQ$99,$B38,128)*IF($W38=1,HY38+AEN38,HY38)=1,IF(AND($E38=2,IF($W38=1,AKC38,NN38)=0),1000000000,IF($V38=1,INDEX('calcA'!$D$130:$EQ$169,$B38,128)+IF(AND($E38=1,NN38=0),25,0),IF($F38&gt;0,INDEX('calcA'!EA$110:EA$114,$F38+1)+IF(AND($E38=1,NN38=0),1000,0),MIN(TZ38,20)*400+(IF('calcA'!DZ$106=1,1-HX38,0)+IF('calcA'!EA$106=1,1-HZ38,0))*150+86+'calcA'!EA$5*100000+IF(AND($E38=1,NN38=0),50000,0))+IF($H38=1,INDEX('calcA'!$D$180:$EQ$219,$B38,128)*4000,0)-IF(AND('calcA'!DZ$117=1,YX38&gt;0),2000,0)-IF(AND($U38=1,'calcA'!EA$117=1,HZ38=0),2000,0))),1000000000))</f>
        <v/>
      </c>
      <c r="TD38">
        <f>IF($B38=0,1000000000,IF(INDEX('calcA'!$D$60:$EQ$99,$B38,129)*IF($W38=1,HZ38+AEO38,HZ38)=1,IF(AND($E38=2,IF($W38=1,AKD38,NO38)=0),1000000000,IF($V38=1,INDEX('calcA'!$D$130:$EQ$169,$B38,129)+IF(AND($E38=1,NO38=0),25,0),IF($F38&gt;0,INDEX('calcA'!EB$110:EB$114,$F38+1)+IF(AND($E38=1,NO38=0),1000,0),MIN(TZ38,20)*400+(IF('calcA'!EA$106=1,1-HY38,0)+IF('calcA'!EB$106=1,1-IA38,0))*150+96+'calcA'!EB$5*100000+IF(AND($E38=1,NO38=0),50000,0))+IF($H38=1,INDEX('calcA'!$D$180:$EQ$219,$B38,129)*4000,0)-IF(AND('calcA'!EA$117=1,YY38&gt;0),2000,0)-IF(AND($U38=1,'calcA'!EB$117=1,IA38=0),2000,0))),1000000000))</f>
        <v/>
      </c>
      <c r="TE38">
        <f>IF($B38=0,1000000000,IF(INDEX('calcA'!$D$60:$EQ$99,$B38,130)*IF($W38=1,IA38+AEP38,IA38)=1,IF(AND($E38=2,IF($W38=1,AKE38,NP38)=0),1000000000,IF($V38=1,INDEX('calcA'!$D$130:$EQ$169,$B38,130)+IF(AND($E38=1,NP38=0),25,0),IF($F38&gt;0,INDEX('calcA'!EC$110:EC$114,$F38+1)+IF(AND($E38=1,NP38=0),1000,0),MIN(TZ38,20)*400+(IF('calcA'!EB$106=1,1-HZ38,0)+IF('calcA'!EC$106=1,1-IB38,0))*150+106+'calcA'!EC$5*100000+IF(AND($E38=1,NP38=0),50000,0))+IF($H38=1,INDEX('calcA'!$D$180:$EQ$219,$B38,130)*4000,0)-IF(AND('calcA'!EB$117=1,YZ38&gt;0),2000,0)-IF(AND($U38=1,'calcA'!EC$117=1,IB38=0),2000,0))),1000000000))</f>
        <v/>
      </c>
      <c r="TF38">
        <f>IF($B38=0,1000000000,IF(INDEX('calcA'!$D$60:$EQ$99,$B38,131)*IF($W38=1,IB38+AEQ38,IB38)=1,IF(AND($E38=2,IF($W38=1,AKF38,NQ38)=0),1000000000,IF($V38=1,INDEX('calcA'!$D$130:$EQ$169,$B38,131)+IF(AND($E38=1,NQ38=0),25,0),IF($F38&gt;0,INDEX('calcA'!ED$110:ED$114,$F38+1)+IF(AND($E38=1,NQ38=0),1000,0),MIN(TZ38,20)*400+(IF('calcA'!EC$106=1,1-IA38,0)+IF('calcA'!ED$106=1,1-IC38,0))*150+116+'calcA'!ED$5*100000+IF(AND($E38=1,NQ38=0),50000,0))+IF($H38=1,INDEX('calcA'!$D$180:$EQ$219,$B38,131)*4000,0)-IF(AND('calcA'!EC$117=1,ZA38&gt;0),2000,0)-IF(AND($U38=1,'calcA'!ED$117=1,IC38=0),2000,0))),1000000000))</f>
        <v/>
      </c>
      <c r="TG38">
        <f>IF($B38=0,1000000000,IF(INDEX('calcA'!$D$60:$EQ$99,$B38,132)*IF($W38=1,IC38+AER38,IC38)=1,IF(AND($E38=2,IF($W38=1,AKG38,NR38)=0),1000000000,IF($V38=1,INDEX('calcA'!$D$130:$EQ$169,$B38,132)+IF(AND($E38=1,NR38=0),25,0),IF($F38&gt;0,INDEX('calcA'!EE$110:EE$114,$F38+1)+IF(AND($E38=1,NR38=0),1000,0),MIN(TZ38,20)*400+(IF('calcA'!ED$106=1,1-IB38,0)+IF('calcA'!EE$106=1,1-ID38,0))*150+126+'calcA'!EE$5*100000+IF(AND($E38=1,NR38=0),50000,0))+IF($H38=1,INDEX('calcA'!$D$180:$EQ$219,$B38,132)*4000,0)-IF(AND('calcA'!ED$117=1,ZB38&gt;0),2000,0)-IF(AND($U38=1,'calcA'!EE$117=1,ID38=0),2000,0))),1000000000))</f>
        <v/>
      </c>
      <c r="TH38">
        <f>IF($B38=0,1000000000,IF(INDEX('calcA'!$D$60:$EQ$99,$B38,133)*IF($W38=1,ID38+AES38,ID38)=1,IF(AND($E38=2,IF($W38=1,AKH38,NS38)=0),1000000000,IF($V38=1,INDEX('calcA'!$D$130:$EQ$169,$B38,133)+IF(AND($E38=1,NS38=0),25,0),IF($F38&gt;0,INDEX('calcA'!EF$110:EF$114,$F38+1)+IF(AND($E38=1,NS38=0),1000,0),MIN(TZ38,20)*400+(IF('calcA'!EE$106=1,1-IC38,0)+IF('calcA'!EF$106=1,1-IE38,0))*150+136+'calcA'!EF$5*100000+IF(AND($E38=1,NS38=0),50000,0))+IF($H38=1,INDEX('calcA'!$D$180:$EQ$219,$B38,133)*4000,0)-IF(AND('calcA'!EE$117=1,ZC38&gt;0),2000,0)-IF(AND($U38=1,'calcA'!EF$117=1,IE38=0),2000,0))),1000000000))</f>
        <v/>
      </c>
      <c r="TI38">
        <f>IF($B38=0,1000000000,IF(INDEX('calcA'!$D$60:$EQ$99,$B38,134)*IF($W38=1,IE38+AET38,IE38)=1,IF(AND($E38=2,IF($W38=1,AKI38,NT38)=0),1000000000,IF($V38=1,INDEX('calcA'!$D$130:$EQ$169,$B38,134)+IF(AND($E38=1,NT38=0),25,0),IF($F38&gt;0,INDEX('calcA'!EG$110:EG$114,$F38+1)+IF(AND($E38=1,NT38=0),1000,0),MIN(TZ38,20)*400+(IF('calcA'!EF$106=1,1-ID38,0)+IF('calcA'!EG$106=1,1-IF38,0))*150+146+'calcA'!EG$5*100000+IF(AND($E38=1,NT38=0),50000,0))+IF($H38=1,INDEX('calcA'!$D$180:$EQ$219,$B38,134)*4000,0)-IF(AND('calcA'!EF$117=1,ZD38&gt;0),2000,0)-IF(AND($U38=1,'calcA'!EG$117=1,IF38=0),2000,0))),1000000000))</f>
        <v/>
      </c>
      <c r="TJ38">
        <f>IF($B38=0,1000000000,IF(INDEX('calcA'!$D$60:$EQ$99,$B38,135)*IF($W38=1,IF38+AEU38,IF38)=1,IF(AND($E38=2,IF($W38=1,AKJ38,NU38)=0),1000000000,IF($V38=1,INDEX('calcA'!$D$130:$EQ$169,$B38,135)+IF(AND($E38=1,NU38=0),25,0),IF($F38&gt;0,INDEX('calcA'!EH$110:EH$114,$F38+1)+IF(AND($E38=1,NU38=0),1000,0),MIN(TZ38,20)*400+(IF('calcA'!EG$106=1,1-IE38,0)+IF('calcA'!EH$106=1,1-IG38,0))*150+156+'calcA'!EH$5*100000+IF(AND($E38=1,NU38=0),50000,0))+IF($H38=1,INDEX('calcA'!$D$180:$EQ$219,$B38,135)*4000,0)-IF(AND('calcA'!EG$117=1,ZE38&gt;0),2000,0)-IF(AND($U38=1,'calcA'!EH$117=1,IG38=0),2000,0))),1000000000))</f>
        <v/>
      </c>
      <c r="TK38">
        <f>IF($B38=0,1000000000,IF(INDEX('calcA'!$D$60:$EQ$99,$B38,136)*IF($W38=1,IG38+AEV38,IG38)=1,IF(AND($E38=2,IF($W38=1,AKK38,NV38)=0),1000000000,IF($V38=1,INDEX('calcA'!$D$130:$EQ$169,$B38,136)+IF(AND($E38=1,NV38=0),25,0),IF($F38&gt;0,INDEX('calcA'!EI$110:EI$114,$F38+1)+IF(AND($E38=1,NV38=0),1000,0),MIN(TZ38,20)*400+(IF('calcA'!EH$106=1,1-IF38,0)+IF('calcA'!EI$106=1,1-IH38,0))*150+166+'calcA'!EI$5*100000+IF(AND($E38=1,NV38=0),50000,0))+IF($H38=1,INDEX('calcA'!$D$180:$EQ$219,$B38,136)*4000,0)-IF(AND('calcA'!EH$117=1,ZF38&gt;0),2000,0)-IF(AND($U38=1,'calcA'!EI$117=1,IH38=0),2000,0))),1000000000))</f>
        <v/>
      </c>
      <c r="TL38">
        <f>IF($B38=0,1000000000,IF(INDEX('calcA'!$D$60:$EQ$99,$B38,137)*IF($W38=1,IH38+AEW38,IH38)=1,IF(AND($E38=2,IF($W38=1,AKL38,NW38)=0),1000000000,IF($V38=1,INDEX('calcA'!$D$130:$EQ$169,$B38,137)+IF(AND($E38=1,NW38=0),25,0),IF($F38&gt;0,INDEX('calcA'!EJ$110:EJ$114,$F38+1)+IF(AND($E38=1,NW38=0),1000,0),MIN(TZ38,20)*400+(IF('calcA'!EI$106=1,1-IG38,0)+IF('calcA'!EJ$106=1,1-II38,0))*150+176+'calcA'!EJ$5*100000+IF(AND($E38=1,NW38=0),50000,0))+IF($H38=1,INDEX('calcA'!$D$180:$EQ$219,$B38,137)*4000,0)-IF(AND('calcA'!EI$117=1,ZG38&gt;0),2000,0)-IF(AND($U38=1,'calcA'!EJ$117=1,II38=0),2000,0))),1000000000))</f>
        <v/>
      </c>
      <c r="TM38">
        <f>IF($B38=0,1000000000,IF(INDEX('calcA'!$D$60:$EQ$99,$B38,138)*IF($W38=1,II38+AEX38,II38)=1,IF(AND($E38=2,IF($W38=1,AKM38,NX38)=0),1000000000,IF($V38=1,INDEX('calcA'!$D$130:$EQ$169,$B38,138)+IF(AND($E38=1,NX38=0),25,0),IF($F38&gt;0,INDEX('calcA'!EK$110:EK$114,$F38+1)+IF(AND($E38=1,NX38=0),1000,0),MIN(TZ38,20)*400+(IF('calcA'!EJ$106=1,1-IH38,0)+IF('calcA'!EK$106=1,1-IJ38,0))*150+186+'calcA'!EK$5*100000+IF(AND($E38=1,NX38=0),50000,0))+IF($H38=1,INDEX('calcA'!$D$180:$EQ$219,$B38,138)*4000,0)-IF(AND('calcA'!EJ$117=1,ZH38&gt;0),2000,0)-IF(AND($U38=1,'calcA'!EK$117=1,IJ38=0),2000,0))),1000000000))</f>
        <v/>
      </c>
      <c r="TN38">
        <f>IF($B38=0,1000000000,IF(INDEX('calcA'!$D$60:$EQ$99,$B38,139)*IF($W38=1,IJ38+AEY38,IJ38)=1,IF(AND($E38=2,IF($W38=1,AKN38,NY38)=0),1000000000,IF($V38=1,INDEX('calcA'!$D$130:$EQ$169,$B38,139)+IF(AND($E38=1,NY38=0),25,0),IF($F38&gt;0,INDEX('calcA'!EL$110:EL$114,$F38+1)+IF(AND($E38=1,NY38=0),1000,0),MIN(TZ38,20)*400+(IF('calcA'!EK$106=1,1-II38,0)+IF('calcA'!EL$106=1,1-IK38,0))*150+196+'calcA'!EL$5*100000+IF(AND($E38=1,NY38=0),50000,0))+IF($H38=1,INDEX('calcA'!$D$180:$EQ$219,$B38,139)*4000,0)-IF(AND('calcA'!EK$117=1,ZI38&gt;0),2000,0)-IF(AND($U38=1,'calcA'!EL$117=1,IK38=0),2000,0))),1000000000))</f>
        <v/>
      </c>
      <c r="TO38">
        <f>IF($B38=0,1000000000,IF(INDEX('calcA'!$D$60:$EQ$99,$B38,140)*IF($W38=1,IK38+AEZ38,IK38)=1,IF(AND($E38=2,IF($W38=1,AKO38,NZ38)=0),1000000000,IF($V38=1,INDEX('calcA'!$D$130:$EQ$169,$B38,140)+IF(AND($E38=1,NZ38=0),25,0),IF($F38&gt;0,INDEX('calcA'!EM$110:EM$114,$F38+1)+IF(AND($E38=1,NZ38=0),1000,0),MIN(TZ38,20)*400+(IF('calcA'!EL$106=1,1-IJ38,0)+IF('calcA'!EM$106=1,1-IL38,0))*150+206+'calcA'!EM$5*100000+IF(AND($E38=1,NZ38=0),50000,0))+IF($H38=1,INDEX('calcA'!$D$180:$EQ$219,$B38,140)*4000,0)-IF(AND('calcA'!EL$117=1,ZJ38&gt;0),2000,0)-IF(AND($U38=1,'calcA'!EM$117=1,IL38=0),2000,0))),1000000000))</f>
        <v/>
      </c>
      <c r="TP38">
        <f>IF($B38=0,1000000000,IF(INDEX('calcA'!$D$60:$EQ$99,$B38,141)*IF($W38=1,IL38+AFA38,IL38)=1,IF(AND($E38=2,IF($W38=1,AKP38,OA38)=0),1000000000,IF($V38=1,INDEX('calcA'!$D$130:$EQ$169,$B38,141)+IF(AND($E38=1,OA38=0),25,0),IF($F38&gt;0,INDEX('calcA'!EN$110:EN$114,$F38+1)+IF(AND($E38=1,OA38=0),1000,0),MIN(TZ38,20)*400+(IF('calcA'!EM$106=1,1-IK38,0)+IF('calcA'!EN$106=1,1-IM38,0))*150+216+'calcA'!EN$5*100000+IF(AND($E38=1,OA38=0),50000,0))+IF($H38=1,INDEX('calcA'!$D$180:$EQ$219,$B38,141)*4000,0)-IF(AND('calcA'!EM$117=1,ZK38&gt;0),2000,0)-IF(AND($U38=1,'calcA'!EN$117=1,IM38=0),2000,0))),1000000000))</f>
        <v/>
      </c>
      <c r="TQ38">
        <f>IF($B38=0,1000000000,IF(INDEX('calcA'!$D$60:$EQ$99,$B38,142)*IF($W38=1,IM38+AFB38,IM38)=1,IF(AND($E38=2,IF($W38=1,AKQ38,OB38)=0),1000000000,IF($V38=1,INDEX('calcA'!$D$130:$EQ$169,$B38,142)+IF(AND($E38=1,OB38=0),25,0),IF($F38&gt;0,INDEX('calcA'!EO$110:EO$114,$F38+1)+IF(AND($E38=1,OB38=0),1000,0),MIN(TZ38,20)*400+(IF('calcA'!EN$106=1,1-IL38,0)+IF('calcA'!EO$106=1,1-IN38,0))*150+226+'calcA'!EO$5*100000+IF(AND($E38=1,OB38=0),50000,0))+IF($H38=1,INDEX('calcA'!$D$180:$EQ$219,$B38,142)*4000,0)-IF(AND('calcA'!EN$117=1,ZL38&gt;0),2000,0)-IF(AND($U38=1,'calcA'!EO$117=1,IN38=0),2000,0))),1000000000))</f>
        <v/>
      </c>
      <c r="TR38">
        <f>IF($B38=0,1000000000,IF(INDEX('calcA'!$D$60:$EQ$99,$B38,143)*IF($W38=1,IN38+AFC38,IN38)=1,IF(AND($E38=2,IF($W38=1,AKR38,OC38)=0),1000000000,IF($V38=1,INDEX('calcA'!$D$130:$EQ$169,$B38,143)+IF(AND($E38=1,OC38=0),25,0),IF($F38&gt;0,INDEX('calcA'!EP$110:EP$114,$F38+1)+IF(AND($E38=1,OC38=0),1000,0),MIN(TZ38,20)*400+(IF('calcA'!EO$106=1,1-IM38,0)+IF('calcA'!EP$106=1,1-IO38,0))*150+236+'calcA'!EP$5*100000+IF(AND($E38=1,OC38=0),50000,0))+IF($H38=1,INDEX('calcA'!$D$180:$EQ$219,$B38,143)*4000,0)-IF(AND('calcA'!EO$117=1,ZM38&gt;0),2000,0)-IF(AND($U38=1,'calcA'!EP$117=1,IO38=0),2000,0))),1000000000))</f>
        <v/>
      </c>
      <c r="TS38">
        <f>IF($B38=0,1000000000,IF(INDEX('calcA'!$D$60:$EQ$99,$B38,144)*IF($W38=1,IO38+AFD38,IO38)=1,IF(AND($E38=2,IF($W38=1,AKS38,OD38)=0),1000000000,IF($V38=1,INDEX('calcA'!$D$130:$EQ$169,$B38,144)+IF(AND($E38=1,OD38=0),25,0),IF($F38&gt;0,INDEX('calcA'!EQ$110:EQ$114,$F38+1)+IF(AND($E38=1,OD38=0),1000,0),MIN(TZ38,20)*400+(IF('calcA'!EP$106=1,1-IN38,0))*150+246+'calcA'!EQ$5*100000+IF(AND($E38=1,OD38=0),50000,0))+IF($H38=1,INDEX('calcA'!$D$180:$EQ$219,$B38,144)*4000,0)-IF(AND('calcA'!EP$117=1,ZN38&gt;0),2000,0))),1000000000))</f>
        <v/>
      </c>
      <c r="TU38">
        <f>TU37+IF($C37&gt;0,IF(INDEX('calcA'!$D$2:$EQ$2,$C37)=1,1,0),0)</f>
        <v/>
      </c>
      <c r="TV38">
        <f>TV37+IF($C37&gt;0,IF(INDEX('calcA'!$D$2:$EQ$2,$C37)=2,1,0),0)</f>
        <v/>
      </c>
      <c r="TW38">
        <f>TW37+IF($C37&gt;0,IF(INDEX('calcA'!$D$2:$EQ$2,$C37)=3,1,0),0)</f>
        <v/>
      </c>
      <c r="TX38">
        <f>TX37+IF($C37&gt;0,IF(INDEX('calcA'!$D$2:$EQ$2,$C37)=4,1,0),0)</f>
        <v/>
      </c>
      <c r="TY38">
        <f>TY37+IF($C37&gt;0,IF(INDEX('calcA'!$D$2:$EQ$2,$C37)=5,1,0),0)</f>
        <v/>
      </c>
      <c r="TZ38">
        <f>TZ37+IF($C37&gt;0,IF(INDEX('calcA'!$D$2:$EQ$2,$C37)=6,1,0),0)</f>
        <v/>
      </c>
      <c r="UB38">
        <f>UB37+IF(AND($C37=1,$U37=1),1,0)</f>
        <v/>
      </c>
      <c r="UC38">
        <f>UC37+IF(AND($C37=2,$U37=1),1,0)</f>
        <v/>
      </c>
      <c r="UD38">
        <f>UD37+IF(AND($C37=3,$U37=1),1,0)</f>
        <v/>
      </c>
      <c r="UE38">
        <f>UE37+IF(AND($C37=4,$U37=1),1,0)</f>
        <v/>
      </c>
      <c r="UF38">
        <f>UF37+IF(AND($C37=5,$U37=1),1,0)</f>
        <v/>
      </c>
      <c r="UG38">
        <f>UG37+IF(AND($C37=6,$U37=1),1,0)</f>
        <v/>
      </c>
      <c r="UH38">
        <f>UH37+IF(AND($C37=7,$U37=1),1,0)</f>
        <v/>
      </c>
      <c r="UI38">
        <f>UI37+IF(AND($C37=8,$U37=1),1,0)</f>
        <v/>
      </c>
      <c r="UJ38">
        <f>UJ37+IF(AND($C37=9,$U37=1),1,0)</f>
        <v/>
      </c>
      <c r="UK38">
        <f>UK37+IF(AND($C37=10,$U37=1),1,0)</f>
        <v/>
      </c>
      <c r="UL38">
        <f>UL37+IF(AND($C37=11,$U37=1),1,0)</f>
        <v/>
      </c>
      <c r="UM38">
        <f>UM37+IF(AND($C37=12,$U37=1),1,0)</f>
        <v/>
      </c>
      <c r="UN38">
        <f>UN37+IF(AND($C37=13,$U37=1),1,0)</f>
        <v/>
      </c>
      <c r="UO38">
        <f>UO37+IF(AND($C37=14,$U37=1),1,0)</f>
        <v/>
      </c>
      <c r="UP38">
        <f>UP37+IF(AND($C37=15,$U37=1),1,0)</f>
        <v/>
      </c>
      <c r="UQ38">
        <f>UQ37+IF(AND($C37=16,$U37=1),1,0)</f>
        <v/>
      </c>
      <c r="UR38">
        <f>UR37+IF(AND($C37=17,$U37=1),1,0)</f>
        <v/>
      </c>
      <c r="US38">
        <f>US37+IF(AND($C37=18,$U37=1),1,0)</f>
        <v/>
      </c>
      <c r="UT38">
        <f>UT37+IF(AND($C37=19,$U37=1),1,0)</f>
        <v/>
      </c>
      <c r="UU38">
        <f>UU37+IF(AND($C37=20,$U37=1),1,0)</f>
        <v/>
      </c>
      <c r="UV38">
        <f>UV37+IF(AND($C37=21,$U37=1),1,0)</f>
        <v/>
      </c>
      <c r="UW38">
        <f>UW37+IF(AND($C37=22,$U37=1),1,0)</f>
        <v/>
      </c>
      <c r="UX38">
        <f>UX37+IF(AND($C37=23,$U37=1),1,0)</f>
        <v/>
      </c>
      <c r="UY38">
        <f>UY37+IF(AND($C37=24,$U37=1),1,0)</f>
        <v/>
      </c>
      <c r="UZ38">
        <f>UZ37+IF(AND($C37=25,$U37=1),1,0)</f>
        <v/>
      </c>
      <c r="VA38">
        <f>VA37+IF(AND($C37=26,$U37=1),1,0)</f>
        <v/>
      </c>
      <c r="VB38">
        <f>VB37+IF(AND($C37=27,$U37=1),1,0)</f>
        <v/>
      </c>
      <c r="VC38">
        <f>VC37+IF(AND($C37=28,$U37=1),1,0)</f>
        <v/>
      </c>
      <c r="VD38">
        <f>VD37+IF(AND($C37=29,$U37=1),1,0)</f>
        <v/>
      </c>
      <c r="VE38">
        <f>VE37+IF(AND($C37=30,$U37=1),1,0)</f>
        <v/>
      </c>
      <c r="VF38">
        <f>VF37+IF(AND($C37=31,$U37=1),1,0)</f>
        <v/>
      </c>
      <c r="VG38">
        <f>VG37+IF(AND($C37=32,$U37=1),1,0)</f>
        <v/>
      </c>
      <c r="VH38">
        <f>VH37+IF(AND($C37=33,$U37=1),1,0)</f>
        <v/>
      </c>
      <c r="VI38">
        <f>VI37+IF(AND($C37=34,$U37=1),1,0)</f>
        <v/>
      </c>
      <c r="VJ38">
        <f>VJ37+IF(AND($C37=35,$U37=1),1,0)</f>
        <v/>
      </c>
      <c r="VK38">
        <f>VK37+IF(AND($C37=36,$U37=1),1,0)</f>
        <v/>
      </c>
      <c r="VL38">
        <f>VL37+IF(AND($C37=37,$U37=1),1,0)</f>
        <v/>
      </c>
      <c r="VM38">
        <f>VM37+IF(AND($C37=38,$U37=1),1,0)</f>
        <v/>
      </c>
      <c r="VN38">
        <f>VN37+IF(AND($C37=39,$U37=1),1,0)</f>
        <v/>
      </c>
      <c r="VO38">
        <f>VO37+IF(AND($C37=40,$U37=1),1,0)</f>
        <v/>
      </c>
      <c r="VP38">
        <f>VP37+IF(AND($C37=41,$U37=1),1,0)</f>
        <v/>
      </c>
      <c r="VQ38">
        <f>VQ37+IF(AND($C37=42,$U37=1),1,0)</f>
        <v/>
      </c>
      <c r="VR38">
        <f>VR37+IF(AND($C37=43,$U37=1),1,0)</f>
        <v/>
      </c>
      <c r="VS38">
        <f>VS37+IF(AND($C37=44,$U37=1),1,0)</f>
        <v/>
      </c>
      <c r="VT38">
        <f>VT37+IF(AND($C37=45,$U37=1),1,0)</f>
        <v/>
      </c>
      <c r="VU38">
        <f>VU37+IF(AND($C37=46,$U37=1),1,0)</f>
        <v/>
      </c>
      <c r="VV38">
        <f>VV37+IF(AND($C37=47,$U37=1),1,0)</f>
        <v/>
      </c>
      <c r="VW38">
        <f>VW37+IF(AND($C37=48,$U37=1),1,0)</f>
        <v/>
      </c>
      <c r="VX38">
        <f>VX37+IF(AND($C37=49,$U37=1),1,0)</f>
        <v/>
      </c>
      <c r="VY38">
        <f>VY37+IF(AND($C37=50,$U37=1),1,0)</f>
        <v/>
      </c>
      <c r="VZ38">
        <f>VZ37+IF(AND($C37=51,$U37=1),1,0)</f>
        <v/>
      </c>
      <c r="WA38">
        <f>WA37+IF(AND($C37=52,$U37=1),1,0)</f>
        <v/>
      </c>
      <c r="WB38">
        <f>WB37+IF(AND($C37=53,$U37=1),1,0)</f>
        <v/>
      </c>
      <c r="WC38">
        <f>WC37+IF(AND($C37=54,$U37=1),1,0)</f>
        <v/>
      </c>
      <c r="WD38">
        <f>WD37+IF(AND($C37=55,$U37=1),1,0)</f>
        <v/>
      </c>
      <c r="WE38">
        <f>WE37+IF(AND($C37=56,$U37=1),1,0)</f>
        <v/>
      </c>
      <c r="WF38">
        <f>WF37+IF(AND($C37=57,$U37=1),1,0)</f>
        <v/>
      </c>
      <c r="WG38">
        <f>WG37+IF(AND($C37=58,$U37=1),1,0)</f>
        <v/>
      </c>
      <c r="WH38">
        <f>WH37+IF(AND($C37=59,$U37=1),1,0)</f>
        <v/>
      </c>
      <c r="WI38">
        <f>WI37+IF(AND($C37=60,$U37=1),1,0)</f>
        <v/>
      </c>
      <c r="WJ38">
        <f>WJ37+IF(AND($C37=61,$U37=1),1,0)</f>
        <v/>
      </c>
      <c r="WK38">
        <f>WK37+IF(AND($C37=62,$U37=1),1,0)</f>
        <v/>
      </c>
      <c r="WL38">
        <f>WL37+IF(AND($C37=63,$U37=1),1,0)</f>
        <v/>
      </c>
      <c r="WM38">
        <f>WM37+IF(AND($C37=64,$U37=1),1,0)</f>
        <v/>
      </c>
      <c r="WN38">
        <f>WN37+IF(AND($C37=65,$U37=1),1,0)</f>
        <v/>
      </c>
      <c r="WO38">
        <f>WO37+IF(AND($C37=66,$U37=1),1,0)</f>
        <v/>
      </c>
      <c r="WP38">
        <f>WP37+IF(AND($C37=67,$U37=1),1,0)</f>
        <v/>
      </c>
      <c r="WQ38">
        <f>WQ37+IF(AND($C37=68,$U37=1),1,0)</f>
        <v/>
      </c>
      <c r="WR38">
        <f>WR37+IF(AND($C37=69,$U37=1),1,0)</f>
        <v/>
      </c>
      <c r="WS38">
        <f>WS37+IF(AND($C37=70,$U37=1),1,0)</f>
        <v/>
      </c>
      <c r="WT38">
        <f>WT37+IF(AND($C37=71,$U37=1),1,0)</f>
        <v/>
      </c>
      <c r="WU38">
        <f>WU37+IF(AND($C37=72,$U37=1),1,0)</f>
        <v/>
      </c>
      <c r="WV38">
        <f>WV37+IF(AND($C37=73,$U37=1),1,0)</f>
        <v/>
      </c>
      <c r="WW38">
        <f>WW37+IF(AND($C37=74,$U37=1),1,0)</f>
        <v/>
      </c>
      <c r="WX38">
        <f>WX37+IF(AND($C37=75,$U37=1),1,0)</f>
        <v/>
      </c>
      <c r="WY38">
        <f>WY37+IF(AND($C37=76,$U37=1),1,0)</f>
        <v/>
      </c>
      <c r="WZ38">
        <f>WZ37+IF(AND($C37=77,$U37=1),1,0)</f>
        <v/>
      </c>
      <c r="XA38">
        <f>XA37+IF(AND($C37=78,$U37=1),1,0)</f>
        <v/>
      </c>
      <c r="XB38">
        <f>XB37+IF(AND($C37=79,$U37=1),1,0)</f>
        <v/>
      </c>
      <c r="XC38">
        <f>XC37+IF(AND($C37=80,$U37=1),1,0)</f>
        <v/>
      </c>
      <c r="XD38">
        <f>XD37+IF(AND($C37=81,$U37=1),1,0)</f>
        <v/>
      </c>
      <c r="XE38">
        <f>XE37+IF(AND($C37=82,$U37=1),1,0)</f>
        <v/>
      </c>
      <c r="XF38">
        <f>XF37+IF(AND($C37=83,$U37=1),1,0)</f>
        <v/>
      </c>
      <c r="XG38">
        <f>XG37+IF(AND($C37=84,$U37=1),1,0)</f>
        <v/>
      </c>
      <c r="XH38">
        <f>XH37+IF(AND($C37=85,$U37=1),1,0)</f>
        <v/>
      </c>
      <c r="XI38">
        <f>XI37+IF(AND($C37=86,$U37=1),1,0)</f>
        <v/>
      </c>
      <c r="XJ38">
        <f>XJ37+IF(AND($C37=87,$U37=1),1,0)</f>
        <v/>
      </c>
      <c r="XK38">
        <f>XK37+IF(AND($C37=88,$U37=1),1,0)</f>
        <v/>
      </c>
      <c r="XL38">
        <f>XL37+IF(AND($C37=89,$U37=1),1,0)</f>
        <v/>
      </c>
      <c r="XM38">
        <f>XM37+IF(AND($C37=90,$U37=1),1,0)</f>
        <v/>
      </c>
      <c r="XN38">
        <f>XN37+IF(AND($C37=91,$U37=1),1,0)</f>
        <v/>
      </c>
      <c r="XO38">
        <f>XO37+IF(AND($C37=92,$U37=1),1,0)</f>
        <v/>
      </c>
      <c r="XP38">
        <f>XP37+IF(AND($C37=93,$U37=1),1,0)</f>
        <v/>
      </c>
      <c r="XQ38">
        <f>XQ37+IF(AND($C37=94,$U37=1),1,0)</f>
        <v/>
      </c>
      <c r="XR38">
        <f>XR37+IF(AND($C37=95,$U37=1),1,0)</f>
        <v/>
      </c>
      <c r="XS38">
        <f>XS37+IF(AND($C37=96,$U37=1),1,0)</f>
        <v/>
      </c>
      <c r="XT38">
        <f>XT37+IF(AND($C37=97,$U37=1),1,0)</f>
        <v/>
      </c>
      <c r="XU38">
        <f>XU37+IF(AND($C37=98,$U37=1),1,0)</f>
        <v/>
      </c>
      <c r="XV38">
        <f>XV37+IF(AND($C37=99,$U37=1),1,0)</f>
        <v/>
      </c>
      <c r="XW38">
        <f>XW37+IF(AND($C37=100,$U37=1),1,0)</f>
        <v/>
      </c>
      <c r="XX38">
        <f>XX37+IF(AND($C37=101,$U37=1),1,0)</f>
        <v/>
      </c>
      <c r="XY38">
        <f>XY37+IF(AND($C37=102,$U37=1),1,0)</f>
        <v/>
      </c>
      <c r="XZ38">
        <f>XZ37+IF(AND($C37=103,$U37=1),1,0)</f>
        <v/>
      </c>
      <c r="YA38">
        <f>YA37+IF(AND($C37=104,$U37=1),1,0)</f>
        <v/>
      </c>
      <c r="YB38">
        <f>YB37+IF(AND($C37=105,$U37=1),1,0)</f>
        <v/>
      </c>
      <c r="YC38">
        <f>YC37+IF(AND($C37=106,$U37=1),1,0)</f>
        <v/>
      </c>
      <c r="YD38">
        <f>YD37+IF(AND($C37=107,$U37=1),1,0)</f>
        <v/>
      </c>
      <c r="YE38">
        <f>YE37+IF(AND($C37=108,$U37=1),1,0)</f>
        <v/>
      </c>
      <c r="YF38">
        <f>YF37+IF(AND($C37=109,$U37=1),1,0)</f>
        <v/>
      </c>
      <c r="YG38">
        <f>YG37+IF(AND($C37=110,$U37=1),1,0)</f>
        <v/>
      </c>
      <c r="YH38">
        <f>YH37+IF(AND($C37=111,$U37=1),1,0)</f>
        <v/>
      </c>
      <c r="YI38">
        <f>YI37+IF(AND($C37=112,$U37=1),1,0)</f>
        <v/>
      </c>
      <c r="YJ38">
        <f>YJ37+IF(AND($C37=113,$U37=1),1,0)</f>
        <v/>
      </c>
      <c r="YK38">
        <f>YK37+IF(AND($C37=114,$U37=1),1,0)</f>
        <v/>
      </c>
      <c r="YL38">
        <f>YL37+IF(AND($C37=115,$U37=1),1,0)</f>
        <v/>
      </c>
      <c r="YM38">
        <f>YM37+IF(AND($C37=116,$U37=1),1,0)</f>
        <v/>
      </c>
      <c r="YN38">
        <f>YN37+IF(AND($C37=117,$U37=1),1,0)</f>
        <v/>
      </c>
      <c r="YO38">
        <f>YO37+IF(AND($C37=118,$U37=1),1,0)</f>
        <v/>
      </c>
      <c r="YP38">
        <f>YP37+IF(AND($C37=119,$U37=1),1,0)</f>
        <v/>
      </c>
      <c r="YQ38">
        <f>YQ37+IF(AND($C37=120,$U37=1),1,0)</f>
        <v/>
      </c>
      <c r="YR38">
        <f>YR37+IF(AND($C37=121,$U37=1),1,0)</f>
        <v/>
      </c>
      <c r="YS38">
        <f>YS37+IF(AND($C37=122,$U37=1),1,0)</f>
        <v/>
      </c>
      <c r="YT38">
        <f>YT37+IF(AND($C37=123,$U37=1),1,0)</f>
        <v/>
      </c>
      <c r="YU38">
        <f>YU37+IF(AND($C37=124,$U37=1),1,0)</f>
        <v/>
      </c>
      <c r="YV38">
        <f>YV37+IF(AND($C37=125,$U37=1),1,0)</f>
        <v/>
      </c>
      <c r="YW38">
        <f>YW37+IF(AND($C37=126,$U37=1),1,0)</f>
        <v/>
      </c>
      <c r="YX38">
        <f>YX37+IF(AND($C37=127,$U37=1),1,0)</f>
        <v/>
      </c>
      <c r="YY38">
        <f>YY37+IF(AND($C37=128,$U37=1),1,0)</f>
        <v/>
      </c>
      <c r="YZ38">
        <f>YZ37+IF(AND($C37=129,$U37=1),1,0)</f>
        <v/>
      </c>
      <c r="ZA38">
        <f>ZA37+IF(AND($C37=130,$U37=1),1,0)</f>
        <v/>
      </c>
      <c r="ZB38">
        <f>ZB37+IF(AND($C37=131,$U37=1),1,0)</f>
        <v/>
      </c>
      <c r="ZC38">
        <f>ZC37+IF(AND($C37=132,$U37=1),1,0)</f>
        <v/>
      </c>
      <c r="ZD38">
        <f>ZD37+IF(AND($C37=133,$U37=1),1,0)</f>
        <v/>
      </c>
      <c r="ZE38">
        <f>ZE37+IF(AND($C37=134,$U37=1),1,0)</f>
        <v/>
      </c>
      <c r="ZF38">
        <f>ZF37+IF(AND($C37=135,$U37=1),1,0)</f>
        <v/>
      </c>
      <c r="ZG38">
        <f>ZG37+IF(AND($C37=136,$U37=1),1,0)</f>
        <v/>
      </c>
      <c r="ZH38">
        <f>ZH37+IF(AND($C37=137,$U37=1),1,0)</f>
        <v/>
      </c>
      <c r="ZI38">
        <f>ZI37+IF(AND($C37=138,$U37=1),1,0)</f>
        <v/>
      </c>
      <c r="ZJ38">
        <f>ZJ37+IF(AND($C37=139,$U37=1),1,0)</f>
        <v/>
      </c>
      <c r="ZK38">
        <f>ZK37+IF(AND($C37=140,$U37=1),1,0)</f>
        <v/>
      </c>
      <c r="ZL38">
        <f>ZL37+IF(AND($C37=141,$U37=1),1,0)</f>
        <v/>
      </c>
      <c r="ZM38">
        <f>ZM37+IF(AND($C37=142,$U37=1),1,0)</f>
        <v/>
      </c>
      <c r="ZN38">
        <f>ZN37+IF(AND($C37=143,$U37=1),1,0)</f>
        <v/>
      </c>
      <c r="ZO38">
        <f>ZO37+IF(AND($C37=144,$U37=1),1,0)</f>
        <v/>
      </c>
      <c r="ZQ38">
        <f>IF($C37=1,0,ZQ37+IF(AND($G37=1,$E37=1),1,0))</f>
        <v/>
      </c>
      <c r="ZR38">
        <f>IF($C37=2,0,ZR37+IF(AND($G37=2,$E37=1),1,0))</f>
        <v/>
      </c>
      <c r="ZS38">
        <f>IF($C37=3,0,ZS37+IF(AND($G37=3,$E37=1),1,0))</f>
        <v/>
      </c>
      <c r="ZT38">
        <f>IF($C37=4,0,ZT37+IF(AND($G37=4,$E37=1),1,0))</f>
        <v/>
      </c>
      <c r="ZU38">
        <f>IF($C37=5,0,ZU37+IF(AND($G37=5,$E37=1),1,0))</f>
        <v/>
      </c>
      <c r="ZV38">
        <f>IF($C37=6,0,ZV37+IF(AND($G37=6,$E37=1),1,0))</f>
        <v/>
      </c>
      <c r="ZW38">
        <f>IF($C37=7,0,ZW37+IF(AND($G37=7,$E37=1),1,0))</f>
        <v/>
      </c>
      <c r="ZX38">
        <f>IF($C37=8,0,ZX37+IF(AND($G37=8,$E37=1),1,0))</f>
        <v/>
      </c>
      <c r="ZY38">
        <f>IF($C37=9,0,ZY37+IF(AND($G37=9,$E37=1),1,0))</f>
        <v/>
      </c>
      <c r="ZZ38">
        <f>IF($C37=10,0,ZZ37+IF(AND($G37=10,$E37=1),1,0))</f>
        <v/>
      </c>
      <c r="AAA38">
        <f>IF($C37=11,0,AAA37+IF(AND($G37=11,$E37=1),1,0))</f>
        <v/>
      </c>
      <c r="AAB38">
        <f>IF($C37=12,0,AAB37+IF(AND($G37=12,$E37=1),1,0))</f>
        <v/>
      </c>
      <c r="AAC38">
        <f>IF($C37=13,0,AAC37+IF(AND($G37=13,$E37=1),1,0))</f>
        <v/>
      </c>
      <c r="AAD38">
        <f>IF($C37=14,0,AAD37+IF(AND($G37=14,$E37=1),1,0))</f>
        <v/>
      </c>
      <c r="AAE38">
        <f>IF($C37=15,0,AAE37+IF(AND($G37=15,$E37=1),1,0))</f>
        <v/>
      </c>
      <c r="AAF38">
        <f>IF($C37=16,0,AAF37+IF(AND($G37=16,$E37=1),1,0))</f>
        <v/>
      </c>
      <c r="AAG38">
        <f>IF($C37=17,0,AAG37+IF(AND($G37=17,$E37=1),1,0))</f>
        <v/>
      </c>
      <c r="AAH38">
        <f>IF($C37=18,0,AAH37+IF(AND($G37=18,$E37=1),1,0))</f>
        <v/>
      </c>
      <c r="AAI38">
        <f>IF($C37=19,0,AAI37+IF(AND($G37=19,$E37=1),1,0))</f>
        <v/>
      </c>
      <c r="AAJ38">
        <f>IF($C37=20,0,AAJ37+IF(AND($G37=20,$E37=1),1,0))</f>
        <v/>
      </c>
      <c r="AAK38">
        <f>IF($C37=21,0,AAK37+IF(AND($G37=21,$E37=1),1,0))</f>
        <v/>
      </c>
      <c r="AAL38">
        <f>IF($C37=22,0,AAL37+IF(AND($G37=22,$E37=1),1,0))</f>
        <v/>
      </c>
      <c r="AAM38">
        <f>IF($C37=23,0,AAM37+IF(AND($G37=23,$E37=1),1,0))</f>
        <v/>
      </c>
      <c r="AAN38">
        <f>IF($C37=24,0,AAN37+IF(AND($G37=24,$E37=1),1,0))</f>
        <v/>
      </c>
      <c r="AAO38">
        <f>IF($C37=25,0,AAO37+IF(AND($G37=25,$E37=1),1,0))</f>
        <v/>
      </c>
      <c r="AAP38">
        <f>IF($C37=26,0,AAP37+IF(AND($G37=26,$E37=1),1,0))</f>
        <v/>
      </c>
      <c r="AAQ38">
        <f>IF($C37=27,0,AAQ37+IF(AND($G37=27,$E37=1),1,0))</f>
        <v/>
      </c>
      <c r="AAR38">
        <f>IF($C37=28,0,AAR37+IF(AND($G37=28,$E37=1),1,0))</f>
        <v/>
      </c>
      <c r="AAS38">
        <f>IF($C37=29,0,AAS37+IF(AND($G37=29,$E37=1),1,0))</f>
        <v/>
      </c>
      <c r="AAT38">
        <f>IF($C37=30,0,AAT37+IF(AND($G37=30,$E37=1),1,0))</f>
        <v/>
      </c>
      <c r="AAU38">
        <f>IF($C37=31,0,AAU37+IF(AND($G37=31,$E37=1),1,0))</f>
        <v/>
      </c>
      <c r="AAV38">
        <f>IF($C37=32,0,AAV37+IF(AND($G37=32,$E37=1),1,0))</f>
        <v/>
      </c>
      <c r="AAW38">
        <f>IF($C37=33,0,AAW37+IF(AND($G37=33,$E37=1),1,0))</f>
        <v/>
      </c>
      <c r="AAX38">
        <f>IF($C37=34,0,AAX37+IF(AND($G37=34,$E37=1),1,0))</f>
        <v/>
      </c>
      <c r="AAY38">
        <f>IF($C37=35,0,AAY37+IF(AND($G37=35,$E37=1),1,0))</f>
        <v/>
      </c>
      <c r="AAZ38">
        <f>IF($C37=36,0,AAZ37+IF(AND($G37=36,$E37=1),1,0))</f>
        <v/>
      </c>
      <c r="ABA38">
        <f>IF($C37=37,0,ABA37+IF(AND($G37=37,$E37=1),1,0))</f>
        <v/>
      </c>
      <c r="ABB38">
        <f>IF($C37=38,0,ABB37+IF(AND($G37=38,$E37=1),1,0))</f>
        <v/>
      </c>
      <c r="ABC38">
        <f>IF($C37=39,0,ABC37+IF(AND($G37=39,$E37=1),1,0))</f>
        <v/>
      </c>
      <c r="ABD38">
        <f>IF($C37=40,0,ABD37+IF(AND($G37=40,$E37=1),1,0))</f>
        <v/>
      </c>
      <c r="ABE38">
        <f>IF($C37=41,0,ABE37+IF(AND($G37=41,$E37=1),1,0))</f>
        <v/>
      </c>
      <c r="ABF38">
        <f>IF($C37=42,0,ABF37+IF(AND($G37=42,$E37=1),1,0))</f>
        <v/>
      </c>
      <c r="ABG38">
        <f>IF($C37=43,0,ABG37+IF(AND($G37=43,$E37=1),1,0))</f>
        <v/>
      </c>
      <c r="ABH38">
        <f>IF($C37=44,0,ABH37+IF(AND($G37=44,$E37=1),1,0))</f>
        <v/>
      </c>
      <c r="ABI38">
        <f>IF($C37=45,0,ABI37+IF(AND($G37=45,$E37=1),1,0))</f>
        <v/>
      </c>
      <c r="ABJ38">
        <f>IF($C37=46,0,ABJ37+IF(AND($G37=46,$E37=1),1,0))</f>
        <v/>
      </c>
      <c r="ABK38">
        <f>IF($C37=47,0,ABK37+IF(AND($G37=47,$E37=1),1,0))</f>
        <v/>
      </c>
      <c r="ABL38">
        <f>IF($C37=48,0,ABL37+IF(AND($G37=48,$E37=1),1,0))</f>
        <v/>
      </c>
      <c r="ABM38">
        <f>IF($C37=49,0,ABM37+IF(AND($G37=49,$E37=1),1,0))</f>
        <v/>
      </c>
      <c r="ABN38">
        <f>IF($C37=50,0,ABN37+IF(AND($G37=50,$E37=1),1,0))</f>
        <v/>
      </c>
      <c r="ABO38">
        <f>IF($C37=51,0,ABO37+IF(AND($G37=51,$E37=1),1,0))</f>
        <v/>
      </c>
      <c r="ABP38">
        <f>IF($C37=52,0,ABP37+IF(AND($G37=52,$E37=1),1,0))</f>
        <v/>
      </c>
      <c r="ABQ38">
        <f>IF($C37=53,0,ABQ37+IF(AND($G37=53,$E37=1),1,0))</f>
        <v/>
      </c>
      <c r="ABR38">
        <f>IF($C37=54,0,ABR37+IF(AND($G37=54,$E37=1),1,0))</f>
        <v/>
      </c>
      <c r="ABS38">
        <f>IF($C37=55,0,ABS37+IF(AND($G37=55,$E37=1),1,0))</f>
        <v/>
      </c>
      <c r="ABT38">
        <f>IF($C37=56,0,ABT37+IF(AND($G37=56,$E37=1),1,0))</f>
        <v/>
      </c>
      <c r="ABU38">
        <f>IF($C37=57,0,ABU37+IF(AND($G37=57,$E37=1),1,0))</f>
        <v/>
      </c>
      <c r="ABV38">
        <f>IF($C37=58,0,ABV37+IF(AND($G37=58,$E37=1),1,0))</f>
        <v/>
      </c>
      <c r="ABW38">
        <f>IF($C37=59,0,ABW37+IF(AND($G37=59,$E37=1),1,0))</f>
        <v/>
      </c>
      <c r="ABX38">
        <f>IF($C37=60,0,ABX37+IF(AND($G37=60,$E37=1),1,0))</f>
        <v/>
      </c>
      <c r="ABY38">
        <f>IF($C37=61,0,ABY37+IF(AND($G37=61,$E37=1),1,0))</f>
        <v/>
      </c>
      <c r="ABZ38">
        <f>IF($C37=62,0,ABZ37+IF(AND($G37=62,$E37=1),1,0))</f>
        <v/>
      </c>
      <c r="ACA38">
        <f>IF($C37=63,0,ACA37+IF(AND($G37=63,$E37=1),1,0))</f>
        <v/>
      </c>
      <c r="ACB38">
        <f>IF($C37=64,0,ACB37+IF(AND($G37=64,$E37=1),1,0))</f>
        <v/>
      </c>
      <c r="ACC38">
        <f>IF($C37=65,0,ACC37+IF(AND($G37=65,$E37=1),1,0))</f>
        <v/>
      </c>
      <c r="ACD38">
        <f>IF($C37=66,0,ACD37+IF(AND($G37=66,$E37=1),1,0))</f>
        <v/>
      </c>
      <c r="ACE38">
        <f>IF($C37=67,0,ACE37+IF(AND($G37=67,$E37=1),1,0))</f>
        <v/>
      </c>
      <c r="ACF38">
        <f>IF($C37=68,0,ACF37+IF(AND($G37=68,$E37=1),1,0))</f>
        <v/>
      </c>
      <c r="ACG38">
        <f>IF($C37=69,0,ACG37+IF(AND($G37=69,$E37=1),1,0))</f>
        <v/>
      </c>
      <c r="ACH38">
        <f>IF($C37=70,0,ACH37+IF(AND($G37=70,$E37=1),1,0))</f>
        <v/>
      </c>
      <c r="ACI38">
        <f>IF($C37=71,0,ACI37+IF(AND($G37=71,$E37=1),1,0))</f>
        <v/>
      </c>
      <c r="ACJ38">
        <f>IF($C37=72,0,ACJ37+IF(AND($G37=72,$E37=1),1,0))</f>
        <v/>
      </c>
      <c r="ACK38">
        <f>IF($C37=73,0,ACK37+IF(AND($G37=73,$E37=1),1,0))</f>
        <v/>
      </c>
      <c r="ACL38">
        <f>IF($C37=74,0,ACL37+IF(AND($G37=74,$E37=1),1,0))</f>
        <v/>
      </c>
      <c r="ACM38">
        <f>IF($C37=75,0,ACM37+IF(AND($G37=75,$E37=1),1,0))</f>
        <v/>
      </c>
      <c r="ACN38">
        <f>IF($C37=76,0,ACN37+IF(AND($G37=76,$E37=1),1,0))</f>
        <v/>
      </c>
      <c r="ACO38">
        <f>IF($C37=77,0,ACO37+IF(AND($G37=77,$E37=1),1,0))</f>
        <v/>
      </c>
      <c r="ACP38">
        <f>IF($C37=78,0,ACP37+IF(AND($G37=78,$E37=1),1,0))</f>
        <v/>
      </c>
      <c r="ACQ38">
        <f>IF($C37=79,0,ACQ37+IF(AND($G37=79,$E37=1),1,0))</f>
        <v/>
      </c>
      <c r="ACR38">
        <f>IF($C37=80,0,ACR37+IF(AND($G37=80,$E37=1),1,0))</f>
        <v/>
      </c>
      <c r="ACS38">
        <f>IF($C37=81,0,ACS37+IF(AND($G37=81,$E37=1),1,0))</f>
        <v/>
      </c>
      <c r="ACT38">
        <f>IF($C37=82,0,ACT37+IF(AND($G37=82,$E37=1),1,0))</f>
        <v/>
      </c>
      <c r="ACU38">
        <f>IF($C37=83,0,ACU37+IF(AND($G37=83,$E37=1),1,0))</f>
        <v/>
      </c>
      <c r="ACV38">
        <f>IF($C37=84,0,ACV37+IF(AND($G37=84,$E37=1),1,0))</f>
        <v/>
      </c>
      <c r="ACW38">
        <f>IF($C37=85,0,ACW37+IF(AND($G37=85,$E37=1),1,0))</f>
        <v/>
      </c>
      <c r="ACX38">
        <f>IF($C37=86,0,ACX37+IF(AND($G37=86,$E37=1),1,0))</f>
        <v/>
      </c>
      <c r="ACY38">
        <f>IF($C37=87,0,ACY37+IF(AND($G37=87,$E37=1),1,0))</f>
        <v/>
      </c>
      <c r="ACZ38">
        <f>IF($C37=88,0,ACZ37+IF(AND($G37=88,$E37=1),1,0))</f>
        <v/>
      </c>
      <c r="ADA38">
        <f>IF($C37=89,0,ADA37+IF(AND($G37=89,$E37=1),1,0))</f>
        <v/>
      </c>
      <c r="ADB38">
        <f>IF($C37=90,0,ADB37+IF(AND($G37=90,$E37=1),1,0))</f>
        <v/>
      </c>
      <c r="ADC38">
        <f>IF($C37=91,0,ADC37+IF(AND($G37=91,$E37=1),1,0))</f>
        <v/>
      </c>
      <c r="ADD38">
        <f>IF($C37=92,0,ADD37+IF(AND($G37=92,$E37=1),1,0))</f>
        <v/>
      </c>
      <c r="ADE38">
        <f>IF($C37=93,0,ADE37+IF(AND($G37=93,$E37=1),1,0))</f>
        <v/>
      </c>
      <c r="ADF38">
        <f>IF($C37=94,0,ADF37+IF(AND($G37=94,$E37=1),1,0))</f>
        <v/>
      </c>
      <c r="ADG38">
        <f>IF($C37=95,0,ADG37+IF(AND($G37=95,$E37=1),1,0))</f>
        <v/>
      </c>
      <c r="ADH38">
        <f>IF($C37=96,0,ADH37+IF(AND($G37=96,$E37=1),1,0))</f>
        <v/>
      </c>
      <c r="ADI38">
        <f>IF($C37=97,0,ADI37+IF(AND($G37=97,$E37=1),1,0))</f>
        <v/>
      </c>
      <c r="ADJ38">
        <f>IF($C37=98,0,ADJ37+IF(AND($G37=98,$E37=1),1,0))</f>
        <v/>
      </c>
      <c r="ADK38">
        <f>IF($C37=99,0,ADK37+IF(AND($G37=99,$E37=1),1,0))</f>
        <v/>
      </c>
      <c r="ADL38">
        <f>IF($C37=100,0,ADL37+IF(AND($G37=100,$E37=1),1,0))</f>
        <v/>
      </c>
      <c r="ADM38">
        <f>IF($C37=101,0,ADM37+IF(AND($G37=101,$E37=1),1,0))</f>
        <v/>
      </c>
      <c r="ADN38">
        <f>IF($C37=102,0,ADN37+IF(AND($G37=102,$E37=1),1,0))</f>
        <v/>
      </c>
      <c r="ADO38">
        <f>IF($C37=103,0,ADO37+IF(AND($G37=103,$E37=1),1,0))</f>
        <v/>
      </c>
      <c r="ADP38">
        <f>IF($C37=104,0,ADP37+IF(AND($G37=104,$E37=1),1,0))</f>
        <v/>
      </c>
      <c r="ADQ38">
        <f>IF($C37=105,0,ADQ37+IF(AND($G37=105,$E37=1),1,0))</f>
        <v/>
      </c>
      <c r="ADR38">
        <f>IF($C37=106,0,ADR37+IF(AND($G37=106,$E37=1),1,0))</f>
        <v/>
      </c>
      <c r="ADS38">
        <f>IF($C37=107,0,ADS37+IF(AND($G37=107,$E37=1),1,0))</f>
        <v/>
      </c>
      <c r="ADT38">
        <f>IF($C37=108,0,ADT37+IF(AND($G37=108,$E37=1),1,0))</f>
        <v/>
      </c>
      <c r="ADU38">
        <f>IF($C37=109,0,ADU37+IF(AND($G37=109,$E37=1),1,0))</f>
        <v/>
      </c>
      <c r="ADV38">
        <f>IF($C37=110,0,ADV37+IF(AND($G37=110,$E37=1),1,0))</f>
        <v/>
      </c>
      <c r="ADW38">
        <f>IF($C37=111,0,ADW37+IF(AND($G37=111,$E37=1),1,0))</f>
        <v/>
      </c>
      <c r="ADX38">
        <f>IF($C37=112,0,ADX37+IF(AND($G37=112,$E37=1),1,0))</f>
        <v/>
      </c>
      <c r="ADY38">
        <f>IF($C37=113,0,ADY37+IF(AND($G37=113,$E37=1),1,0))</f>
        <v/>
      </c>
      <c r="ADZ38">
        <f>IF($C37=114,0,ADZ37+IF(AND($G37=114,$E37=1),1,0))</f>
        <v/>
      </c>
      <c r="AEA38">
        <f>IF($C37=115,0,AEA37+IF(AND($G37=115,$E37=1),1,0))</f>
        <v/>
      </c>
      <c r="AEB38">
        <f>IF($C37=116,0,AEB37+IF(AND($G37=116,$E37=1),1,0))</f>
        <v/>
      </c>
      <c r="AEC38">
        <f>IF($C37=117,0,AEC37+IF(AND($G37=117,$E37=1),1,0))</f>
        <v/>
      </c>
      <c r="AED38">
        <f>IF($C37=118,0,AED37+IF(AND($G37=118,$E37=1),1,0))</f>
        <v/>
      </c>
      <c r="AEE38">
        <f>IF($C37=119,0,AEE37+IF(AND($G37=119,$E37=1),1,0))</f>
        <v/>
      </c>
      <c r="AEF38">
        <f>IF($C37=120,0,AEF37+IF(AND($G37=120,$E37=1),1,0))</f>
        <v/>
      </c>
      <c r="AEG38">
        <f>IF($C37=121,0,AEG37+IF(AND($G37=121,$E37=1),1,0))</f>
        <v/>
      </c>
      <c r="AEH38">
        <f>IF($C37=122,0,AEH37+IF(AND($G37=122,$E37=1),1,0))</f>
        <v/>
      </c>
      <c r="AEI38">
        <f>IF($C37=123,0,AEI37+IF(AND($G37=123,$E37=1),1,0))</f>
        <v/>
      </c>
      <c r="AEJ38">
        <f>IF($C37=124,0,AEJ37+IF(AND($G37=124,$E37=1),1,0))</f>
        <v/>
      </c>
      <c r="AEK38">
        <f>IF($C37=125,0,AEK37+IF(AND($G37=125,$E37=1),1,0))</f>
        <v/>
      </c>
      <c r="AEL38">
        <f>IF($C37=126,0,AEL37+IF(AND($G37=126,$E37=1),1,0))</f>
        <v/>
      </c>
      <c r="AEM38">
        <f>IF($C37=127,0,AEM37+IF(AND($G37=127,$E37=1),1,0))</f>
        <v/>
      </c>
      <c r="AEN38">
        <f>IF($C37=128,0,AEN37+IF(AND($G37=128,$E37=1),1,0))</f>
        <v/>
      </c>
      <c r="AEO38">
        <f>IF($C37=129,0,AEO37+IF(AND($G37=129,$E37=1),1,0))</f>
        <v/>
      </c>
      <c r="AEP38">
        <f>IF($C37=130,0,AEP37+IF(AND($G37=130,$E37=1),1,0))</f>
        <v/>
      </c>
      <c r="AEQ38">
        <f>IF($C37=131,0,AEQ37+IF(AND($G37=131,$E37=1),1,0))</f>
        <v/>
      </c>
      <c r="AER38">
        <f>IF($C37=132,0,AER37+IF(AND($G37=132,$E37=1),1,0))</f>
        <v/>
      </c>
      <c r="AES38">
        <f>IF($C37=133,0,AES37+IF(AND($G37=133,$E37=1),1,0))</f>
        <v/>
      </c>
      <c r="AET38">
        <f>IF($C37=134,0,AET37+IF(AND($G37=134,$E37=1),1,0))</f>
        <v/>
      </c>
      <c r="AEU38">
        <f>IF($C37=135,0,AEU37+IF(AND($G37=135,$E37=1),1,0))</f>
        <v/>
      </c>
      <c r="AEV38">
        <f>IF($C37=136,0,AEV37+IF(AND($G37=136,$E37=1),1,0))</f>
        <v/>
      </c>
      <c r="AEW38">
        <f>IF($C37=137,0,AEW37+IF(AND($G37=137,$E37=1),1,0))</f>
        <v/>
      </c>
      <c r="AEX38">
        <f>IF($C37=138,0,AEX37+IF(AND($G37=138,$E37=1),1,0))</f>
        <v/>
      </c>
      <c r="AEY38">
        <f>IF($C37=139,0,AEY37+IF(AND($G37=139,$E37=1),1,0))</f>
        <v/>
      </c>
      <c r="AEZ38">
        <f>IF($C37=140,0,AEZ37+IF(AND($G37=140,$E37=1),1,0))</f>
        <v/>
      </c>
      <c r="AFA38">
        <f>IF($C37=141,0,AFA37+IF(AND($G37=141,$E37=1),1,0))</f>
        <v/>
      </c>
      <c r="AFB38">
        <f>IF($C37=142,0,AFB37+IF(AND($G37=142,$E37=1),1,0))</f>
        <v/>
      </c>
      <c r="AFC38">
        <f>IF($C37=143,0,AFC37+IF(AND($G37=143,$E37=1),1,0))</f>
        <v/>
      </c>
      <c r="AFD38">
        <f>IF($C37=144,0,AFD37+IF(AND($G37=144,$E37=1),1,0))</f>
        <v/>
      </c>
      <c r="AFF38">
        <f>IF('calcA'!D$106=1,DC38+ZR38,1)</f>
        <v/>
      </c>
      <c r="AFG38">
        <f>IF('calcA'!E$106=1,DD38+ZS38,1)</f>
        <v/>
      </c>
      <c r="AFH38">
        <f>IF('calcA'!F$106=1,DE38+ZT38,1)</f>
        <v/>
      </c>
      <c r="AFI38">
        <f>IF('calcA'!G$106=1,DF38+ZU38,1)</f>
        <v/>
      </c>
      <c r="AFJ38">
        <f>IF('calcA'!H$106=1,DG38+ZV38,1)</f>
        <v/>
      </c>
      <c r="AFK38">
        <f>IF('calcA'!I$106=1,DH38+ZW38,1)</f>
        <v/>
      </c>
      <c r="AFL38">
        <f>IF('calcA'!J$106=1,DI38+ZX38,1)</f>
        <v/>
      </c>
      <c r="AFM38">
        <f>IF('calcA'!K$106=1,DJ38+ZY38,1)</f>
        <v/>
      </c>
      <c r="AFN38">
        <f>IF('calcA'!L$106=1,DK38+ZZ38,1)</f>
        <v/>
      </c>
      <c r="AFO38">
        <f>IF('calcA'!M$106=1,DL38+AAA38,1)</f>
        <v/>
      </c>
      <c r="AFP38">
        <f>IF('calcA'!N$106=1,DM38+AAB38,1)</f>
        <v/>
      </c>
      <c r="AFQ38">
        <f>IF('calcA'!O$106=1,DN38+AAC38,1)</f>
        <v/>
      </c>
      <c r="AFR38">
        <f>IF('calcA'!P$106=1,DO38+AAD38,1)</f>
        <v/>
      </c>
      <c r="AFS38">
        <f>IF('calcA'!Q$106=1,DP38+AAE38,1)</f>
        <v/>
      </c>
      <c r="AFT38">
        <f>IF('calcA'!R$106=1,DQ38+AAF38,1)</f>
        <v/>
      </c>
      <c r="AFU38">
        <f>IF('calcA'!S$106=1,DR38+AAG38,1)</f>
        <v/>
      </c>
      <c r="AFV38">
        <f>IF('calcA'!T$106=1,DS38+AAH38,1)</f>
        <v/>
      </c>
      <c r="AFW38">
        <f>IF('calcA'!U$106=1,DT38+AAI38,1)</f>
        <v/>
      </c>
      <c r="AFX38">
        <f>IF('calcA'!V$106=1,DU38+AAJ38,1)</f>
        <v/>
      </c>
      <c r="AFY38">
        <f>IF('calcA'!W$106=1,DV38+AAK38,1)</f>
        <v/>
      </c>
      <c r="AFZ38">
        <f>IF('calcA'!X$106=1,DW38+AAL38,1)</f>
        <v/>
      </c>
      <c r="AGA38">
        <f>IF('calcA'!Y$106=1,DX38+AAM38,1)</f>
        <v/>
      </c>
      <c r="AGB38">
        <f>IF('calcA'!Z$106=1,DY38+AAN38,1)</f>
        <v/>
      </c>
      <c r="AGC38">
        <f>IF('calcA'!AA$106=1,DZ38+AAO38,1)</f>
        <v/>
      </c>
      <c r="AGD38">
        <f>IF('calcA'!AB$106=1,EA38+AAP38,1)</f>
        <v/>
      </c>
      <c r="AGE38">
        <f>IF('calcA'!AC$106=1,EB38+AAQ38,1)</f>
        <v/>
      </c>
      <c r="AGF38">
        <f>IF('calcA'!AD$106=1,EC38+AAR38,1)</f>
        <v/>
      </c>
      <c r="AGG38">
        <f>IF('calcA'!AE$106=1,ED38+AAS38,1)</f>
        <v/>
      </c>
      <c r="AGH38">
        <f>IF('calcA'!AF$106=1,EE38+AAT38,1)</f>
        <v/>
      </c>
      <c r="AGI38">
        <f>IF('calcA'!AG$106=1,EF38+AAU38,1)</f>
        <v/>
      </c>
      <c r="AGJ38">
        <f>IF('calcA'!AH$106=1,EG38+AAV38,1)</f>
        <v/>
      </c>
      <c r="AGK38">
        <f>IF('calcA'!AI$106=1,EH38+AAW38,1)</f>
        <v/>
      </c>
      <c r="AGL38">
        <f>IF('calcA'!AJ$106=1,EI38+AAX38,1)</f>
        <v/>
      </c>
      <c r="AGM38">
        <f>IF('calcA'!AK$106=1,EJ38+AAY38,1)</f>
        <v/>
      </c>
      <c r="AGN38">
        <f>IF('calcA'!AL$106=1,EK38+AAZ38,1)</f>
        <v/>
      </c>
      <c r="AGO38">
        <f>IF('calcA'!AM$106=1,EL38+ABA38,1)</f>
        <v/>
      </c>
      <c r="AGP38">
        <f>IF('calcA'!AN$106=1,EM38+ABB38,1)</f>
        <v/>
      </c>
      <c r="AGQ38">
        <f>IF('calcA'!AO$106=1,EN38+ABC38,1)</f>
        <v/>
      </c>
      <c r="AGR38">
        <f>IF('calcA'!AP$106=1,EO38+ABD38,1)</f>
        <v/>
      </c>
      <c r="AGS38">
        <f>IF('calcA'!AQ$106=1,EP38+ABE38,1)</f>
        <v/>
      </c>
      <c r="AGT38">
        <f>IF('calcA'!AR$106=1,EQ38+ABF38,1)</f>
        <v/>
      </c>
      <c r="AGU38">
        <f>IF('calcA'!AS$106=1,ER38+ABG38,1)</f>
        <v/>
      </c>
      <c r="AGV38">
        <f>IF('calcA'!AT$106=1,ES38+ABH38,1)</f>
        <v/>
      </c>
      <c r="AGW38">
        <f>IF('calcA'!AU$106=1,ET38+ABI38,1)</f>
        <v/>
      </c>
      <c r="AGX38">
        <f>IF('calcA'!AV$106=1,EU38+ABJ38,1)</f>
        <v/>
      </c>
      <c r="AGY38">
        <f>IF('calcA'!AW$106=1,EV38+ABK38,1)</f>
        <v/>
      </c>
      <c r="AGZ38">
        <f>IF('calcA'!AX$106=1,EW38+ABL38,1)</f>
        <v/>
      </c>
      <c r="AHA38">
        <f>IF('calcA'!AY$106=1,EX38+ABM38,1)</f>
        <v/>
      </c>
      <c r="AHB38">
        <f>IF('calcA'!AZ$106=1,EY38+ABN38,1)</f>
        <v/>
      </c>
      <c r="AHC38">
        <f>IF('calcA'!BA$106=1,EZ38+ABO38,1)</f>
        <v/>
      </c>
      <c r="AHD38">
        <f>IF('calcA'!BB$106=1,FA38+ABP38,1)</f>
        <v/>
      </c>
      <c r="AHE38">
        <f>IF('calcA'!BC$106=1,FB38+ABQ38,1)</f>
        <v/>
      </c>
      <c r="AHF38">
        <f>IF('calcA'!BD$106=1,FC38+ABR38,1)</f>
        <v/>
      </c>
      <c r="AHG38">
        <f>IF('calcA'!BE$106=1,FD38+ABS38,1)</f>
        <v/>
      </c>
      <c r="AHH38">
        <f>IF('calcA'!BF$106=1,FE38+ABT38,1)</f>
        <v/>
      </c>
      <c r="AHI38">
        <f>IF('calcA'!BG$106=1,FF38+ABU38,1)</f>
        <v/>
      </c>
      <c r="AHJ38">
        <f>IF('calcA'!BH$106=1,FG38+ABV38,1)</f>
        <v/>
      </c>
      <c r="AHK38">
        <f>IF('calcA'!BI$106=1,FH38+ABW38,1)</f>
        <v/>
      </c>
      <c r="AHL38">
        <f>IF('calcA'!BJ$106=1,FI38+ABX38,1)</f>
        <v/>
      </c>
      <c r="AHM38">
        <f>IF('calcA'!BK$106=1,FJ38+ABY38,1)</f>
        <v/>
      </c>
      <c r="AHN38">
        <f>IF('calcA'!BL$106=1,FK38+ABZ38,1)</f>
        <v/>
      </c>
      <c r="AHO38">
        <f>IF('calcA'!BM$106=1,FL38+ACA38,1)</f>
        <v/>
      </c>
      <c r="AHP38">
        <f>IF('calcA'!BN$106=1,FM38+ACB38,1)</f>
        <v/>
      </c>
      <c r="AHQ38">
        <f>IF('calcA'!BO$106=1,FN38+ACC38,1)</f>
        <v/>
      </c>
      <c r="AHR38">
        <f>IF('calcA'!BP$106=1,FO38+ACD38,1)</f>
        <v/>
      </c>
      <c r="AHS38">
        <f>IF('calcA'!BQ$106=1,FP38+ACE38,1)</f>
        <v/>
      </c>
      <c r="AHT38">
        <f>IF('calcA'!BR$106=1,FQ38+ACF38,1)</f>
        <v/>
      </c>
      <c r="AHU38">
        <f>IF('calcA'!BS$106=1,FR38+ACG38,1)</f>
        <v/>
      </c>
      <c r="AHV38">
        <f>IF('calcA'!BT$106=1,FS38+ACH38,1)</f>
        <v/>
      </c>
      <c r="AHW38">
        <f>IF('calcA'!BU$106=1,FT38+ACI38,1)</f>
        <v/>
      </c>
      <c r="AHX38">
        <f>IF('calcA'!BV$106=1,FU38+ACJ38,1)</f>
        <v/>
      </c>
      <c r="AHY38">
        <f>IF('calcA'!BW$106=1,FV38+ACK38,1)</f>
        <v/>
      </c>
      <c r="AHZ38">
        <f>IF('calcA'!BX$106=1,FW38+ACL38,1)</f>
        <v/>
      </c>
      <c r="AIA38">
        <f>IF('calcA'!BY$106=1,FX38+ACM38,1)</f>
        <v/>
      </c>
      <c r="AIB38">
        <f>IF('calcA'!BZ$106=1,FY38+ACN38,1)</f>
        <v/>
      </c>
      <c r="AIC38">
        <f>IF('calcA'!CA$106=1,FZ38+ACO38,1)</f>
        <v/>
      </c>
      <c r="AID38">
        <f>IF('calcA'!CB$106=1,GA38+ACP38,1)</f>
        <v/>
      </c>
      <c r="AIE38">
        <f>IF('calcA'!CC$106=1,GB38+ACQ38,1)</f>
        <v/>
      </c>
      <c r="AIF38">
        <f>IF('calcA'!CD$106=1,GC38+ACR38,1)</f>
        <v/>
      </c>
      <c r="AIG38">
        <f>IF('calcA'!CE$106=1,GD38+ACS38,1)</f>
        <v/>
      </c>
      <c r="AIH38">
        <f>IF('calcA'!CF$106=1,GE38+ACT38,1)</f>
        <v/>
      </c>
      <c r="AII38">
        <f>IF('calcA'!CG$106=1,GF38+ACU38,1)</f>
        <v/>
      </c>
      <c r="AIJ38">
        <f>IF('calcA'!CH$106=1,GG38+ACV38,1)</f>
        <v/>
      </c>
      <c r="AIK38">
        <f>IF('calcA'!CI$106=1,GH38+ACW38,1)</f>
        <v/>
      </c>
      <c r="AIL38">
        <f>IF('calcA'!CJ$106=1,GI38+ACX38,1)</f>
        <v/>
      </c>
      <c r="AIM38">
        <f>IF('calcA'!CK$106=1,GJ38+ACY38,1)</f>
        <v/>
      </c>
      <c r="AIN38">
        <f>IF('calcA'!CL$106=1,GK38+ACZ38,1)</f>
        <v/>
      </c>
      <c r="AIO38">
        <f>IF('calcA'!CM$106=1,GL38+ADA38,1)</f>
        <v/>
      </c>
      <c r="AIP38">
        <f>IF('calcA'!CN$106=1,GM38+ADB38,1)</f>
        <v/>
      </c>
      <c r="AIQ38">
        <f>IF('calcA'!CO$106=1,GN38+ADC38,1)</f>
        <v/>
      </c>
      <c r="AIR38">
        <f>IF('calcA'!CP$106=1,GO38+ADD38,1)</f>
        <v/>
      </c>
      <c r="AIS38">
        <f>IF('calcA'!CQ$106=1,GP38+ADE38,1)</f>
        <v/>
      </c>
      <c r="AIT38">
        <f>IF('calcA'!CR$106=1,GQ38+ADF38,1)</f>
        <v/>
      </c>
      <c r="AIU38">
        <f>IF('calcA'!CS$106=1,GR38+ADG38,1)</f>
        <v/>
      </c>
      <c r="AIV38">
        <f>IF('calcA'!CT$106=1,GS38+ADH38,1)</f>
        <v/>
      </c>
      <c r="AIW38">
        <f>IF('calcA'!CU$106=1,GT38+ADI38,1)</f>
        <v/>
      </c>
      <c r="AIX38">
        <f>IF('calcA'!CV$106=1,GU38+ADJ38,1)</f>
        <v/>
      </c>
      <c r="AIY38">
        <f>IF('calcA'!CW$106=1,GV38+ADK38,1)</f>
        <v/>
      </c>
      <c r="AIZ38">
        <f>IF('calcA'!CX$106=1,GW38+ADL38,1)</f>
        <v/>
      </c>
      <c r="AJA38">
        <f>IF('calcA'!CY$106=1,GX38+ADM38,1)</f>
        <v/>
      </c>
      <c r="AJB38">
        <f>IF('calcA'!CZ$106=1,GY38+ADN38,1)</f>
        <v/>
      </c>
      <c r="AJC38">
        <f>IF('calcA'!DA$106=1,GZ38+ADO38,1)</f>
        <v/>
      </c>
      <c r="AJD38">
        <f>IF('calcA'!DB$106=1,HA38+ADP38,1)</f>
        <v/>
      </c>
      <c r="AJE38">
        <f>IF('calcA'!DC$106=1,HB38+ADQ38,1)</f>
        <v/>
      </c>
      <c r="AJF38">
        <f>IF('calcA'!DD$106=1,HC38+ADR38,1)</f>
        <v/>
      </c>
      <c r="AJG38">
        <f>IF('calcA'!DE$106=1,HD38+ADS38,1)</f>
        <v/>
      </c>
      <c r="AJH38">
        <f>IF('calcA'!DF$106=1,HE38+ADT38,1)</f>
        <v/>
      </c>
      <c r="AJI38">
        <f>IF('calcA'!DG$106=1,HF38+ADU38,1)</f>
        <v/>
      </c>
      <c r="AJJ38">
        <f>IF('calcA'!DH$106=1,HG38+ADV38,1)</f>
        <v/>
      </c>
      <c r="AJK38">
        <f>IF('calcA'!DI$106=1,HH38+ADW38,1)</f>
        <v/>
      </c>
      <c r="AJL38">
        <f>IF('calcA'!DJ$106=1,HI38+ADX38,1)</f>
        <v/>
      </c>
      <c r="AJM38">
        <f>IF('calcA'!DK$106=1,HJ38+ADY38,1)</f>
        <v/>
      </c>
      <c r="AJN38">
        <f>IF('calcA'!DL$106=1,HK38+ADZ38,1)</f>
        <v/>
      </c>
      <c r="AJO38">
        <f>IF('calcA'!DM$106=1,HL38+AEA38,1)</f>
        <v/>
      </c>
      <c r="AJP38">
        <f>IF('calcA'!DN$106=1,HM38+AEB38,1)</f>
        <v/>
      </c>
      <c r="AJQ38">
        <f>IF('calcA'!DO$106=1,HN38+AEC38,1)</f>
        <v/>
      </c>
      <c r="AJR38">
        <f>IF('calcA'!DP$106=1,HO38+AED38,1)</f>
        <v/>
      </c>
      <c r="AJS38">
        <f>IF('calcA'!DQ$106=1,HP38+AEE38,1)</f>
        <v/>
      </c>
      <c r="AJT38">
        <f>IF('calcA'!DR$106=1,HQ38+AEF38,1)</f>
        <v/>
      </c>
      <c r="AJU38">
        <f>IF('calcA'!DS$106=1,HR38+AEG38,1)</f>
        <v/>
      </c>
      <c r="AJV38">
        <f>IF('calcA'!DT$106=1,HS38+AEH38,1)</f>
        <v/>
      </c>
      <c r="AJW38">
        <f>IF('calcA'!DU$106=1,HT38+AEI38,1)</f>
        <v/>
      </c>
      <c r="AJX38">
        <f>IF('calcA'!DV$106=1,HU38+AEJ38,1)</f>
        <v/>
      </c>
      <c r="AJY38">
        <f>IF('calcA'!DW$106=1,HV38+AEK38,1)</f>
        <v/>
      </c>
      <c r="AJZ38">
        <f>IF('calcA'!DX$106=1,HW38+AEL38,1)</f>
        <v/>
      </c>
      <c r="AKA38">
        <f>IF('calcA'!DY$106=1,HX38+AEM38,1)</f>
        <v/>
      </c>
      <c r="AKB38">
        <f>IF('calcA'!DZ$106=1,HY38+AEN38,1)</f>
        <v/>
      </c>
      <c r="AKC38">
        <f>IF('calcA'!EA$106=1,HZ38+AEO38,1)</f>
        <v/>
      </c>
      <c r="AKD38">
        <f>IF('calcA'!EB$106=1,IA38+AEP38,1)</f>
        <v/>
      </c>
      <c r="AKE38">
        <f>IF('calcA'!EC$106=1,IB38+AEQ38,1)</f>
        <v/>
      </c>
      <c r="AKF38">
        <f>IF('calcA'!ED$106=1,IC38+AER38,1)</f>
        <v/>
      </c>
      <c r="AKG38">
        <f>IF('calcA'!EE$106=1,ID38+AES38,1)</f>
        <v/>
      </c>
      <c r="AKH38">
        <f>IF('calcA'!EF$106=1,IE38+AET38,1)</f>
        <v/>
      </c>
      <c r="AKI38">
        <f>IF('calcA'!EG$106=1,IF38+AEU38,1)</f>
        <v/>
      </c>
      <c r="AKJ38">
        <f>IF('calcA'!EH$106=1,IG38+AEV38,1)</f>
        <v/>
      </c>
      <c r="AKK38">
        <f>IF('calcA'!EI$106=1,IH38+AEW38,1)</f>
        <v/>
      </c>
      <c r="AKL38">
        <f>IF('calcA'!EJ$106=1,II38+AEX38,1)</f>
        <v/>
      </c>
      <c r="AKM38">
        <f>IF('calcA'!EK$106=1,IJ38+AEY38,1)</f>
        <v/>
      </c>
      <c r="AKN38">
        <f>IF('calcA'!EL$106=1,IK38+AEZ38,1)</f>
        <v/>
      </c>
      <c r="AKO38">
        <f>IF('calcA'!EM$106=1,IL38+AFA38,1)</f>
        <v/>
      </c>
      <c r="AKP38">
        <f>IF('calcA'!EN$106=1,IM38+AFB38,1)</f>
        <v/>
      </c>
      <c r="AKQ38">
        <f>IF('calcA'!EO$106=1,IN38+AFC38,1)</f>
        <v/>
      </c>
      <c r="AKR38">
        <f>IF('calcA'!EP$106=1,IO38+AFD38,1)</f>
        <v/>
      </c>
      <c r="AKS38" t="n">
        <v>1</v>
      </c>
    </row>
    <row r="39">
      <c r="A39" t="n">
        <v>37</v>
      </c>
      <c r="B39">
        <f>IF(MIN(BM39:CZ39)&gt;=1000000000,0,MATCH(MIN(BM39:CZ39),BM39:CZ39,0))</f>
        <v/>
      </c>
      <c r="C39">
        <f>IF(MIN(OF39:TS39)&gt;=1000000000,0,MATCH(MIN(OF39:TS39),OF39:TS39,0))</f>
        <v/>
      </c>
      <c r="D39">
        <f>IF(C39&gt;0,INDEX('calcA'!$D$5:$EQ$5,C39),0)</f>
        <v/>
      </c>
      <c r="E39">
        <f>IF(B39=0,0,INDEX('calcA'!$IQ$10:$IQ$54,B39))</f>
        <v/>
      </c>
      <c r="F39">
        <f>IF(B39=0,0,INDEX('calcA'!$IP$10:$IP$54,B39))</f>
        <v/>
      </c>
      <c r="G39">
        <f>IF(AND(C39&gt;0,E39&gt;0),IF(AND(INDEX('calcA'!$D$106:$EQ$106,C39)=1,INDEX($IQ39:$OD39,C39)=1),C39+1,0),0)</f>
        <v/>
      </c>
      <c r="H39">
        <f>IF(B39=0,0,INDEX('calcA'!$IW$10:$IW$54,B39))</f>
        <v/>
      </c>
      <c r="U39">
        <f>IF(B39=0,0,INDEX('calcA'!$IX$10:$IX$54,B39))</f>
        <v/>
      </c>
      <c r="V39">
        <f>IF(B39=0,0,INDEX('calcA'!$JF$10:$JF$54,B39))</f>
        <v/>
      </c>
      <c r="W39">
        <f>IF(B39=0,0,IF(IF(E39=2,SUMPRODUCT(INDEX('calcA'!$D$60:$EQ$99,B39,0),$DB39:$IO39,$IQ39:$OD39),SUMPRODUCT(INDEX('calcA'!$D$60:$EQ$99,B39,0),$DB39:$IO39))=0,1,0))</f>
        <v/>
      </c>
      <c r="X39">
        <f>MAX(X38,IF($B38=1,1,0))</f>
        <v/>
      </c>
      <c r="Y39">
        <f>MAX(Y38,IF($B38=2,1,0))</f>
        <v/>
      </c>
      <c r="Z39">
        <f>MAX(Z38,IF($B38=3,1,0))</f>
        <v/>
      </c>
      <c r="AA39">
        <f>MAX(AA38,IF($B38=4,1,0))</f>
        <v/>
      </c>
      <c r="AB39">
        <f>MAX(AB38,IF($B38=5,1,0))</f>
        <v/>
      </c>
      <c r="AC39">
        <f>MAX(AC38,IF($B38=6,1,0))</f>
        <v/>
      </c>
      <c r="AD39">
        <f>MAX(AD38,IF($B38=7,1,0))</f>
        <v/>
      </c>
      <c r="AE39">
        <f>MAX(AE38,IF($B38=8,1,0))</f>
        <v/>
      </c>
      <c r="AF39">
        <f>MAX(AF38,IF($B38=9,1,0))</f>
        <v/>
      </c>
      <c r="AG39">
        <f>MAX(AG38,IF($B38=10,1,0))</f>
        <v/>
      </c>
      <c r="AH39">
        <f>MAX(AH38,IF($B38=11,1,0))</f>
        <v/>
      </c>
      <c r="AI39">
        <f>MAX(AI38,IF($B38=12,1,0))</f>
        <v/>
      </c>
      <c r="AJ39">
        <f>MAX(AJ38,IF($B38=13,1,0))</f>
        <v/>
      </c>
      <c r="AK39">
        <f>MAX(AK38,IF($B38=14,1,0))</f>
        <v/>
      </c>
      <c r="AL39">
        <f>MAX(AL38,IF($B38=15,1,0))</f>
        <v/>
      </c>
      <c r="AM39">
        <f>MAX(AM38,IF($B38=16,1,0))</f>
        <v/>
      </c>
      <c r="AN39">
        <f>MAX(AN38,IF($B38=17,1,0))</f>
        <v/>
      </c>
      <c r="AO39">
        <f>MAX(AO38,IF($B38=18,1,0))</f>
        <v/>
      </c>
      <c r="AP39">
        <f>MAX(AP38,IF($B38=19,1,0))</f>
        <v/>
      </c>
      <c r="AQ39">
        <f>MAX(AQ38,IF($B38=20,1,0))</f>
        <v/>
      </c>
      <c r="AR39">
        <f>MAX(AR38,IF($B38=21,1,0))</f>
        <v/>
      </c>
      <c r="AS39">
        <f>MAX(AS38,IF($B38=22,1,0))</f>
        <v/>
      </c>
      <c r="AT39">
        <f>MAX(AT38,IF($B38=23,1,0))</f>
        <v/>
      </c>
      <c r="AU39">
        <f>MAX(AU38,IF($B38=24,1,0))</f>
        <v/>
      </c>
      <c r="AV39">
        <f>MAX(AV38,IF($B38=25,1,0))</f>
        <v/>
      </c>
      <c r="AW39">
        <f>MAX(AW38,IF($B38=26,1,0))</f>
        <v/>
      </c>
      <c r="AX39">
        <f>MAX(AX38,IF($B38=27,1,0))</f>
        <v/>
      </c>
      <c r="AY39">
        <f>MAX(AY38,IF($B38=28,1,0))</f>
        <v/>
      </c>
      <c r="AZ39">
        <f>MAX(AZ38,IF($B38=29,1,0))</f>
        <v/>
      </c>
      <c r="BA39">
        <f>MAX(BA38,IF($B38=30,1,0))</f>
        <v/>
      </c>
      <c r="BB39">
        <f>MAX(BB38,IF($B38=31,1,0))</f>
        <v/>
      </c>
      <c r="BC39">
        <f>MAX(BC38,IF($B38=32,1,0))</f>
        <v/>
      </c>
      <c r="BD39">
        <f>MAX(BD38,IF($B38=33,1,0))</f>
        <v/>
      </c>
      <c r="BE39">
        <f>MAX(BE38,IF($B38=34,1,0))</f>
        <v/>
      </c>
      <c r="BF39">
        <f>MAX(BF38,IF($B38=35,1,0))</f>
        <v/>
      </c>
      <c r="BG39">
        <f>MAX(BG38,IF($B38=36,1,0))</f>
        <v/>
      </c>
      <c r="BH39">
        <f>MAX(BH38,IF($B38=37,1,0))</f>
        <v/>
      </c>
      <c r="BI39">
        <f>MAX(BI38,IF($B38=38,1,0))</f>
        <v/>
      </c>
      <c r="BJ39">
        <f>MAX(BJ38,IF($B38=39,1,0))</f>
        <v/>
      </c>
      <c r="BK39">
        <f>MAX(BK38,IF($B38=40,1,0))</f>
        <v/>
      </c>
      <c r="BM39">
        <f>IF(OR(X39=1,calcA!$A$6=0),1000000000,IF('calcA'!$JF$10=1,0,100000000)+IF('calcA'!$IQ$10=2,SUMPRODUCT('calcA'!$D$60:$EQ$60,$DB39:$IO39,$IQ39:$OD39)*1000+SUMPRODUCT('calcA'!$D$60:$EQ$60,$DB39:$IO39+$ZQ39:$AFD39,$AFF39:$AKS39),SUMPRODUCT('calcA'!$D$60:$EQ$60,$DB39:$IO39*1001+$ZQ39:$AFD39))*100+1)</f>
        <v/>
      </c>
      <c r="BN39">
        <f>IF(OR(Y39=1,calcA!$A$6=0),1000000000,IF('calcA'!$JF$11=1,0,100000000)+IF('calcA'!$IQ$11=2,SUMPRODUCT('calcA'!$D$61:$EQ$61,$DB39:$IO39,$IQ39:$OD39)*1000+SUMPRODUCT('calcA'!$D$61:$EQ$61,$DB39:$IO39+$ZQ39:$AFD39,$AFF39:$AKS39),SUMPRODUCT('calcA'!$D$61:$EQ$61,$DB39:$IO39*1001+$ZQ39:$AFD39))*100+2)</f>
        <v/>
      </c>
      <c r="BO39">
        <f>IF(OR(Z39=1,calcA!$A$6=0),1000000000,IF('calcA'!$JF$12=1,0,100000000)+IF('calcA'!$IQ$12=2,SUMPRODUCT('calcA'!$D$62:$EQ$62,$DB39:$IO39,$IQ39:$OD39)*1000+SUMPRODUCT('calcA'!$D$62:$EQ$62,$DB39:$IO39+$ZQ39:$AFD39,$AFF39:$AKS39),SUMPRODUCT('calcA'!$D$62:$EQ$62,$DB39:$IO39*1001+$ZQ39:$AFD39))*100+3)</f>
        <v/>
      </c>
      <c r="BP39">
        <f>IF(OR(AA39=1,calcA!$A$6=0),1000000000,IF('calcA'!$JF$13=1,0,100000000)+IF('calcA'!$IQ$13=2,SUMPRODUCT('calcA'!$D$63:$EQ$63,$DB39:$IO39,$IQ39:$OD39)*1000+SUMPRODUCT('calcA'!$D$63:$EQ$63,$DB39:$IO39+$ZQ39:$AFD39,$AFF39:$AKS39),SUMPRODUCT('calcA'!$D$63:$EQ$63,$DB39:$IO39*1001+$ZQ39:$AFD39))*100+4)</f>
        <v/>
      </c>
      <c r="BQ39">
        <f>IF(OR(AB39=1,calcA!$A$6=0),1000000000,IF('calcA'!$JF$14=1,0,100000000)+IF('calcA'!$IQ$14=2,SUMPRODUCT('calcA'!$D$64:$EQ$64,$DB39:$IO39,$IQ39:$OD39)*1000+SUMPRODUCT('calcA'!$D$64:$EQ$64,$DB39:$IO39+$ZQ39:$AFD39,$AFF39:$AKS39),SUMPRODUCT('calcA'!$D$64:$EQ$64,$DB39:$IO39*1001+$ZQ39:$AFD39))*100+5)</f>
        <v/>
      </c>
      <c r="BR39">
        <f>IF(OR(AC39=1,calcA!$A$6=0),1000000000,IF('calcA'!$JF$15=1,0,100000000)+IF('calcA'!$IQ$15=2,SUMPRODUCT('calcA'!$D$65:$EQ$65,$DB39:$IO39,$IQ39:$OD39)*1000+SUMPRODUCT('calcA'!$D$65:$EQ$65,$DB39:$IO39+$ZQ39:$AFD39,$AFF39:$AKS39),SUMPRODUCT('calcA'!$D$65:$EQ$65,$DB39:$IO39*1001+$ZQ39:$AFD39))*100+6)</f>
        <v/>
      </c>
      <c r="BS39">
        <f>IF(OR(AD39=1,calcA!$A$6=0),1000000000,IF('calcA'!$JF$16=1,0,100000000)+IF('calcA'!$IQ$16=2,SUMPRODUCT('calcA'!$D$66:$EQ$66,$DB39:$IO39,$IQ39:$OD39)*1000+SUMPRODUCT('calcA'!$D$66:$EQ$66,$DB39:$IO39+$ZQ39:$AFD39,$AFF39:$AKS39),SUMPRODUCT('calcA'!$D$66:$EQ$66,$DB39:$IO39*1001+$ZQ39:$AFD39))*100+7)</f>
        <v/>
      </c>
      <c r="BT39">
        <f>IF(OR(AE39=1,calcA!$A$6=0),1000000000,IF('calcA'!$JF$17=1,0,100000000)+IF('calcA'!$IQ$17=2,SUMPRODUCT('calcA'!$D$67:$EQ$67,$DB39:$IO39,$IQ39:$OD39)*1000+SUMPRODUCT('calcA'!$D$67:$EQ$67,$DB39:$IO39+$ZQ39:$AFD39,$AFF39:$AKS39),SUMPRODUCT('calcA'!$D$67:$EQ$67,$DB39:$IO39*1001+$ZQ39:$AFD39))*100+8)</f>
        <v/>
      </c>
      <c r="BU39">
        <f>IF(OR(AF39=1,calcA!$A$6=0),1000000000,IF('calcA'!$JF$18=1,0,100000000)+IF('calcA'!$IQ$18=2,SUMPRODUCT('calcA'!$D$68:$EQ$68,$DB39:$IO39,$IQ39:$OD39)*1000+SUMPRODUCT('calcA'!$D$68:$EQ$68,$DB39:$IO39+$ZQ39:$AFD39,$AFF39:$AKS39),SUMPRODUCT('calcA'!$D$68:$EQ$68,$DB39:$IO39*1001+$ZQ39:$AFD39))*100+9)</f>
        <v/>
      </c>
      <c r="BV39">
        <f>IF(OR(AG39=1,calcA!$A$6=0),1000000000,IF('calcA'!$JF$19=1,0,100000000)+IF('calcA'!$IQ$19=2,SUMPRODUCT('calcA'!$D$69:$EQ$69,$DB39:$IO39,$IQ39:$OD39)*1000+SUMPRODUCT('calcA'!$D$69:$EQ$69,$DB39:$IO39+$ZQ39:$AFD39,$AFF39:$AKS39),SUMPRODUCT('calcA'!$D$69:$EQ$69,$DB39:$IO39*1001+$ZQ39:$AFD39))*100+10)</f>
        <v/>
      </c>
      <c r="BW39">
        <f>IF(OR(AH39=1,calcA!$A$6=0),1000000000,IF('calcA'!$JF$20=1,0,100000000)+IF('calcA'!$IQ$20=2,SUMPRODUCT('calcA'!$D$70:$EQ$70,$DB39:$IO39,$IQ39:$OD39)*1000+SUMPRODUCT('calcA'!$D$70:$EQ$70,$DB39:$IO39+$ZQ39:$AFD39,$AFF39:$AKS39),SUMPRODUCT('calcA'!$D$70:$EQ$70,$DB39:$IO39*1001+$ZQ39:$AFD39))*100+11)</f>
        <v/>
      </c>
      <c r="BX39">
        <f>IF(OR(AI39=1,calcA!$A$6=0),1000000000,IF('calcA'!$JF$21=1,0,100000000)+IF('calcA'!$IQ$21=2,SUMPRODUCT('calcA'!$D$71:$EQ$71,$DB39:$IO39,$IQ39:$OD39)*1000+SUMPRODUCT('calcA'!$D$71:$EQ$71,$DB39:$IO39+$ZQ39:$AFD39,$AFF39:$AKS39),SUMPRODUCT('calcA'!$D$71:$EQ$71,$DB39:$IO39*1001+$ZQ39:$AFD39))*100+12)</f>
        <v/>
      </c>
      <c r="BY39">
        <f>IF(OR(AJ39=1,calcA!$A$6=0),1000000000,IF('calcA'!$JF$22=1,0,100000000)+IF('calcA'!$IQ$22=2,SUMPRODUCT('calcA'!$D$72:$EQ$72,$DB39:$IO39,$IQ39:$OD39)*1000+SUMPRODUCT('calcA'!$D$72:$EQ$72,$DB39:$IO39+$ZQ39:$AFD39,$AFF39:$AKS39),SUMPRODUCT('calcA'!$D$72:$EQ$72,$DB39:$IO39*1001+$ZQ39:$AFD39))*100+13)</f>
        <v/>
      </c>
      <c r="BZ39">
        <f>IF(OR(AK39=1,calcA!$A$6=0),1000000000,IF('calcA'!$JF$23=1,0,100000000)+IF('calcA'!$IQ$23=2,SUMPRODUCT('calcA'!$D$73:$EQ$73,$DB39:$IO39,$IQ39:$OD39)*1000+SUMPRODUCT('calcA'!$D$73:$EQ$73,$DB39:$IO39+$ZQ39:$AFD39,$AFF39:$AKS39),SUMPRODUCT('calcA'!$D$73:$EQ$73,$DB39:$IO39*1001+$ZQ39:$AFD39))*100+14)</f>
        <v/>
      </c>
      <c r="CA39">
        <f>IF(OR(AL39=1,calcA!$A$6=0),1000000000,IF('calcA'!$JF$24=1,0,100000000)+IF('calcA'!$IQ$24=2,SUMPRODUCT('calcA'!$D$74:$EQ$74,$DB39:$IO39,$IQ39:$OD39)*1000+SUMPRODUCT('calcA'!$D$74:$EQ$74,$DB39:$IO39+$ZQ39:$AFD39,$AFF39:$AKS39),SUMPRODUCT('calcA'!$D$74:$EQ$74,$DB39:$IO39*1001+$ZQ39:$AFD39))*100+15)</f>
        <v/>
      </c>
      <c r="CB39">
        <f>IF(OR(AM39=1,calcA!$A$6=0),1000000000,IF('calcA'!$JF$25=1,0,100000000)+IF('calcA'!$IQ$25=2,SUMPRODUCT('calcA'!$D$75:$EQ$75,$DB39:$IO39,$IQ39:$OD39)*1000+SUMPRODUCT('calcA'!$D$75:$EQ$75,$DB39:$IO39+$ZQ39:$AFD39,$AFF39:$AKS39),SUMPRODUCT('calcA'!$D$75:$EQ$75,$DB39:$IO39*1001+$ZQ39:$AFD39))*100+16)</f>
        <v/>
      </c>
      <c r="CC39">
        <f>IF(OR(AN39=1,calcA!$A$6=0),1000000000,IF('calcA'!$JF$26=1,0,100000000)+IF('calcA'!$IQ$26=2,SUMPRODUCT('calcA'!$D$76:$EQ$76,$DB39:$IO39,$IQ39:$OD39)*1000+SUMPRODUCT('calcA'!$D$76:$EQ$76,$DB39:$IO39+$ZQ39:$AFD39,$AFF39:$AKS39),SUMPRODUCT('calcA'!$D$76:$EQ$76,$DB39:$IO39*1001+$ZQ39:$AFD39))*100+17)</f>
        <v/>
      </c>
      <c r="CD39">
        <f>IF(OR(AO39=1,calcA!$A$6=0),1000000000,IF('calcA'!$JF$27=1,0,100000000)+IF('calcA'!$IQ$27=2,SUMPRODUCT('calcA'!$D$77:$EQ$77,$DB39:$IO39,$IQ39:$OD39)*1000+SUMPRODUCT('calcA'!$D$77:$EQ$77,$DB39:$IO39+$ZQ39:$AFD39,$AFF39:$AKS39),SUMPRODUCT('calcA'!$D$77:$EQ$77,$DB39:$IO39*1001+$ZQ39:$AFD39))*100+18)</f>
        <v/>
      </c>
      <c r="CE39">
        <f>IF(OR(AP39=1,calcA!$A$6=0),1000000000,IF('calcA'!$JF$28=1,0,100000000)+IF('calcA'!$IQ$28=2,SUMPRODUCT('calcA'!$D$78:$EQ$78,$DB39:$IO39,$IQ39:$OD39)*1000+SUMPRODUCT('calcA'!$D$78:$EQ$78,$DB39:$IO39+$ZQ39:$AFD39,$AFF39:$AKS39),SUMPRODUCT('calcA'!$D$78:$EQ$78,$DB39:$IO39*1001+$ZQ39:$AFD39))*100+19)</f>
        <v/>
      </c>
      <c r="CF39">
        <f>IF(OR(AQ39=1,calcA!$A$6=0),1000000000,IF('calcA'!$JF$29=1,0,100000000)+IF('calcA'!$IQ$29=2,SUMPRODUCT('calcA'!$D$79:$EQ$79,$DB39:$IO39,$IQ39:$OD39)*1000+SUMPRODUCT('calcA'!$D$79:$EQ$79,$DB39:$IO39+$ZQ39:$AFD39,$AFF39:$AKS39),SUMPRODUCT('calcA'!$D$79:$EQ$79,$DB39:$IO39*1001+$ZQ39:$AFD39))*100+20)</f>
        <v/>
      </c>
      <c r="CG39">
        <f>IF(OR(AR39=1,calcA!$A$6=0),1000000000,IF('calcA'!$JF$30=1,0,100000000)+IF('calcA'!$IQ$30=2,SUMPRODUCT('calcA'!$D$80:$EQ$80,$DB39:$IO39,$IQ39:$OD39)*1000+SUMPRODUCT('calcA'!$D$80:$EQ$80,$DB39:$IO39+$ZQ39:$AFD39,$AFF39:$AKS39),SUMPRODUCT('calcA'!$D$80:$EQ$80,$DB39:$IO39*1001+$ZQ39:$AFD39))*100+21)</f>
        <v/>
      </c>
      <c r="CH39">
        <f>IF(OR(AS39=1,calcA!$A$6=0),1000000000,IF('calcA'!$JF$31=1,0,100000000)+IF('calcA'!$IQ$31=2,SUMPRODUCT('calcA'!$D$81:$EQ$81,$DB39:$IO39,$IQ39:$OD39)*1000+SUMPRODUCT('calcA'!$D$81:$EQ$81,$DB39:$IO39+$ZQ39:$AFD39,$AFF39:$AKS39),SUMPRODUCT('calcA'!$D$81:$EQ$81,$DB39:$IO39*1001+$ZQ39:$AFD39))*100+22)</f>
        <v/>
      </c>
      <c r="CI39">
        <f>IF(OR(AT39=1,calcA!$A$6=0),1000000000,IF('calcA'!$JF$32=1,0,100000000)+IF('calcA'!$IQ$32=2,SUMPRODUCT('calcA'!$D$82:$EQ$82,$DB39:$IO39,$IQ39:$OD39)*1000+SUMPRODUCT('calcA'!$D$82:$EQ$82,$DB39:$IO39+$ZQ39:$AFD39,$AFF39:$AKS39),SUMPRODUCT('calcA'!$D$82:$EQ$82,$DB39:$IO39*1001+$ZQ39:$AFD39))*100+23)</f>
        <v/>
      </c>
      <c r="CJ39">
        <f>IF(OR(AU39=1,calcA!$A$6=0),1000000000,IF('calcA'!$JF$33=1,0,100000000)+IF('calcA'!$IQ$33=2,SUMPRODUCT('calcA'!$D$83:$EQ$83,$DB39:$IO39,$IQ39:$OD39)*1000+SUMPRODUCT('calcA'!$D$83:$EQ$83,$DB39:$IO39+$ZQ39:$AFD39,$AFF39:$AKS39),SUMPRODUCT('calcA'!$D$83:$EQ$83,$DB39:$IO39*1001+$ZQ39:$AFD39))*100+24)</f>
        <v/>
      </c>
      <c r="CK39">
        <f>IF(OR(AV39=1,calcA!$A$6=0),1000000000,IF('calcA'!$JF$34=1,0,100000000)+IF('calcA'!$IQ$34=2,SUMPRODUCT('calcA'!$D$84:$EQ$84,$DB39:$IO39,$IQ39:$OD39)*1000+SUMPRODUCT('calcA'!$D$84:$EQ$84,$DB39:$IO39+$ZQ39:$AFD39,$AFF39:$AKS39),SUMPRODUCT('calcA'!$D$84:$EQ$84,$DB39:$IO39*1001+$ZQ39:$AFD39))*100+25)</f>
        <v/>
      </c>
      <c r="CL39">
        <f>IF(OR(AW39=1,calcA!$A$6=0),1000000000,IF('calcA'!$JF$35=1,0,100000000)+IF('calcA'!$IQ$35=2,SUMPRODUCT('calcA'!$D$85:$EQ$85,$DB39:$IO39,$IQ39:$OD39)*1000+SUMPRODUCT('calcA'!$D$85:$EQ$85,$DB39:$IO39+$ZQ39:$AFD39,$AFF39:$AKS39),SUMPRODUCT('calcA'!$D$85:$EQ$85,$DB39:$IO39*1001+$ZQ39:$AFD39))*100+26)</f>
        <v/>
      </c>
      <c r="CM39">
        <f>IF(OR(AX39=1,calcA!$A$6=0),1000000000,IF('calcA'!$JF$36=1,0,100000000)+IF('calcA'!$IQ$36=2,SUMPRODUCT('calcA'!$D$86:$EQ$86,$DB39:$IO39,$IQ39:$OD39)*1000+SUMPRODUCT('calcA'!$D$86:$EQ$86,$DB39:$IO39+$ZQ39:$AFD39,$AFF39:$AKS39),SUMPRODUCT('calcA'!$D$86:$EQ$86,$DB39:$IO39*1001+$ZQ39:$AFD39))*100+27)</f>
        <v/>
      </c>
      <c r="CN39">
        <f>IF(OR(AY39=1,calcA!$A$6=0),1000000000,IF('calcA'!$JF$37=1,0,100000000)+IF('calcA'!$IQ$37=2,SUMPRODUCT('calcA'!$D$87:$EQ$87,$DB39:$IO39,$IQ39:$OD39)*1000+SUMPRODUCT('calcA'!$D$87:$EQ$87,$DB39:$IO39+$ZQ39:$AFD39,$AFF39:$AKS39),SUMPRODUCT('calcA'!$D$87:$EQ$87,$DB39:$IO39*1001+$ZQ39:$AFD39))*100+28)</f>
        <v/>
      </c>
      <c r="CO39">
        <f>IF(OR(AZ39=1,calcA!$A$6=0),1000000000,IF('calcA'!$JF$38=1,0,100000000)+IF('calcA'!$IQ$38=2,SUMPRODUCT('calcA'!$D$88:$EQ$88,$DB39:$IO39,$IQ39:$OD39)*1000+SUMPRODUCT('calcA'!$D$88:$EQ$88,$DB39:$IO39+$ZQ39:$AFD39,$AFF39:$AKS39),SUMPRODUCT('calcA'!$D$88:$EQ$88,$DB39:$IO39*1001+$ZQ39:$AFD39))*100+29)</f>
        <v/>
      </c>
      <c r="CP39">
        <f>IF(OR(BA39=1,calcA!$A$6=0),1000000000,IF('calcA'!$JF$39=1,0,100000000)+IF('calcA'!$IQ$39=2,SUMPRODUCT('calcA'!$D$89:$EQ$89,$DB39:$IO39,$IQ39:$OD39)*1000+SUMPRODUCT('calcA'!$D$89:$EQ$89,$DB39:$IO39+$ZQ39:$AFD39,$AFF39:$AKS39),SUMPRODUCT('calcA'!$D$89:$EQ$89,$DB39:$IO39*1001+$ZQ39:$AFD39))*100+30)</f>
        <v/>
      </c>
      <c r="CQ39">
        <f>IF(OR(BB39=1,calcA!$A$6=0),1000000000,IF('calcA'!$JF$40=1,0,100000000)+IF('calcA'!$IQ$40=2,SUMPRODUCT('calcA'!$D$90:$EQ$90,$DB39:$IO39,$IQ39:$OD39)*1000+SUMPRODUCT('calcA'!$D$90:$EQ$90,$DB39:$IO39+$ZQ39:$AFD39,$AFF39:$AKS39),SUMPRODUCT('calcA'!$D$90:$EQ$90,$DB39:$IO39*1001+$ZQ39:$AFD39))*100+31)</f>
        <v/>
      </c>
      <c r="CR39">
        <f>IF(OR(BC39=1,calcA!$A$6=0),1000000000,IF('calcA'!$JF$41=1,0,100000000)+IF('calcA'!$IQ$41=2,SUMPRODUCT('calcA'!$D$91:$EQ$91,$DB39:$IO39,$IQ39:$OD39)*1000+SUMPRODUCT('calcA'!$D$91:$EQ$91,$DB39:$IO39+$ZQ39:$AFD39,$AFF39:$AKS39),SUMPRODUCT('calcA'!$D$91:$EQ$91,$DB39:$IO39*1001+$ZQ39:$AFD39))*100+32)</f>
        <v/>
      </c>
      <c r="CS39">
        <f>IF(OR(BD39=1,calcA!$A$6=0),1000000000,IF('calcA'!$JF$42=1,0,100000000)+IF('calcA'!$IQ$42=2,SUMPRODUCT('calcA'!$D$92:$EQ$92,$DB39:$IO39,$IQ39:$OD39)*1000+SUMPRODUCT('calcA'!$D$92:$EQ$92,$DB39:$IO39+$ZQ39:$AFD39,$AFF39:$AKS39),SUMPRODUCT('calcA'!$D$92:$EQ$92,$DB39:$IO39*1001+$ZQ39:$AFD39))*100+33)</f>
        <v/>
      </c>
      <c r="CT39">
        <f>IF(OR(BE39=1,calcA!$A$6=0),1000000000,IF('calcA'!$JF$43=1,0,100000000)+IF('calcA'!$IQ$43=2,SUMPRODUCT('calcA'!$D$93:$EQ$93,$DB39:$IO39,$IQ39:$OD39)*1000+SUMPRODUCT('calcA'!$D$93:$EQ$93,$DB39:$IO39+$ZQ39:$AFD39,$AFF39:$AKS39),SUMPRODUCT('calcA'!$D$93:$EQ$93,$DB39:$IO39*1001+$ZQ39:$AFD39))*100+34)</f>
        <v/>
      </c>
      <c r="CU39">
        <f>IF(OR(BF39=1,calcA!$A$6=0),1000000000,IF('calcA'!$JF$44=1,0,100000000)+IF('calcA'!$IQ$44=2,SUMPRODUCT('calcA'!$D$94:$EQ$94,$DB39:$IO39,$IQ39:$OD39)*1000+SUMPRODUCT('calcA'!$D$94:$EQ$94,$DB39:$IO39+$ZQ39:$AFD39,$AFF39:$AKS39),SUMPRODUCT('calcA'!$D$94:$EQ$94,$DB39:$IO39*1001+$ZQ39:$AFD39))*100+35)</f>
        <v/>
      </c>
      <c r="CV39">
        <f>IF(OR(BG39=1,calcA!$A$6=0),1000000000,IF('calcA'!$JF$45=1,0,100000000)+IF('calcA'!$IQ$45=2,SUMPRODUCT('calcA'!$D$95:$EQ$95,$DB39:$IO39,$IQ39:$OD39)*1000+SUMPRODUCT('calcA'!$D$95:$EQ$95,$DB39:$IO39+$ZQ39:$AFD39,$AFF39:$AKS39),SUMPRODUCT('calcA'!$D$95:$EQ$95,$DB39:$IO39*1001+$ZQ39:$AFD39))*100+36)</f>
        <v/>
      </c>
      <c r="CW39">
        <f>IF(OR(BH39=1,calcA!$A$6=0),1000000000,IF('calcA'!$JF$46=1,0,100000000)+IF('calcA'!$IQ$46=2,SUMPRODUCT('calcA'!$D$96:$EQ$96,$DB39:$IO39,$IQ39:$OD39)*1000+SUMPRODUCT('calcA'!$D$96:$EQ$96,$DB39:$IO39+$ZQ39:$AFD39,$AFF39:$AKS39),SUMPRODUCT('calcA'!$D$96:$EQ$96,$DB39:$IO39*1001+$ZQ39:$AFD39))*100+37)</f>
        <v/>
      </c>
      <c r="CX39">
        <f>IF(OR(BI39=1,calcA!$A$6=0),1000000000,IF('calcA'!$JF$47=1,0,100000000)+IF('calcA'!$IQ$47=2,SUMPRODUCT('calcA'!$D$97:$EQ$97,$DB39:$IO39,$IQ39:$OD39)*1000+SUMPRODUCT('calcA'!$D$97:$EQ$97,$DB39:$IO39+$ZQ39:$AFD39,$AFF39:$AKS39),SUMPRODUCT('calcA'!$D$97:$EQ$97,$DB39:$IO39*1001+$ZQ39:$AFD39))*100+38)</f>
        <v/>
      </c>
      <c r="CY39">
        <f>IF(OR(BJ39=1,calcA!$A$6=0),1000000000,IF('calcA'!$JF$48=1,0,100000000)+IF('calcA'!$IQ$48=2,SUMPRODUCT('calcA'!$D$98:$EQ$98,$DB39:$IO39,$IQ39:$OD39)*1000+SUMPRODUCT('calcA'!$D$98:$EQ$98,$DB39:$IO39+$ZQ39:$AFD39,$AFF39:$AKS39),SUMPRODUCT('calcA'!$D$98:$EQ$98,$DB39:$IO39*1001+$ZQ39:$AFD39))*100+39)</f>
        <v/>
      </c>
      <c r="CZ39">
        <f>IF(OR(BK39=1,calcA!$A$6=0),1000000000,IF('calcA'!$JF$49=1,0,100000000)+IF('calcA'!$IQ$49=2,SUMPRODUCT('calcA'!$D$99:$EQ$99,$DB39:$IO39,$IQ39:$OD39)*1000+SUMPRODUCT('calcA'!$D$99:$EQ$99,$DB39:$IO39+$ZQ39:$AFD39,$AFF39:$AKS39),SUMPRODUCT('calcA'!$D$99:$EQ$99,$DB39:$IO39*1001+$ZQ39:$AFD39))*100+40)</f>
        <v/>
      </c>
      <c r="DB39">
        <f>DB38*IF(OR($C38=1,$G38=1),0,1)</f>
        <v/>
      </c>
      <c r="DC39">
        <f>DC38*IF(OR($C38=2,$G38=2),0,1)</f>
        <v/>
      </c>
      <c r="DD39">
        <f>DD38*IF(OR($C38=3,$G38=3),0,1)</f>
        <v/>
      </c>
      <c r="DE39">
        <f>DE38*IF(OR($C38=4,$G38=4),0,1)</f>
        <v/>
      </c>
      <c r="DF39">
        <f>DF38*IF(OR($C38=5,$G38=5),0,1)</f>
        <v/>
      </c>
      <c r="DG39">
        <f>DG38*IF(OR($C38=6,$G38=6),0,1)</f>
        <v/>
      </c>
      <c r="DH39">
        <f>DH38*IF(OR($C38=7,$G38=7),0,1)</f>
        <v/>
      </c>
      <c r="DI39">
        <f>DI38*IF(OR($C38=8,$G38=8),0,1)</f>
        <v/>
      </c>
      <c r="DJ39">
        <f>DJ38*IF(OR($C38=9,$G38=9),0,1)</f>
        <v/>
      </c>
      <c r="DK39">
        <f>DK38*IF(OR($C38=10,$G38=10),0,1)</f>
        <v/>
      </c>
      <c r="DL39">
        <f>DL38*IF(OR($C38=11,$G38=11),0,1)</f>
        <v/>
      </c>
      <c r="DM39">
        <f>DM38*IF(OR($C38=12,$G38=12),0,1)</f>
        <v/>
      </c>
      <c r="DN39">
        <f>DN38*IF(OR($C38=13,$G38=13),0,1)</f>
        <v/>
      </c>
      <c r="DO39">
        <f>DO38*IF(OR($C38=14,$G38=14),0,1)</f>
        <v/>
      </c>
      <c r="DP39">
        <f>DP38*IF(OR($C38=15,$G38=15),0,1)</f>
        <v/>
      </c>
      <c r="DQ39">
        <f>DQ38*IF(OR($C38=16,$G38=16),0,1)</f>
        <v/>
      </c>
      <c r="DR39">
        <f>DR38*IF(OR($C38=17,$G38=17),0,1)</f>
        <v/>
      </c>
      <c r="DS39">
        <f>DS38*IF(OR($C38=18,$G38=18),0,1)</f>
        <v/>
      </c>
      <c r="DT39">
        <f>DT38*IF(OR($C38=19,$G38=19),0,1)</f>
        <v/>
      </c>
      <c r="DU39">
        <f>DU38*IF(OR($C38=20,$G38=20),0,1)</f>
        <v/>
      </c>
      <c r="DV39">
        <f>DV38*IF(OR($C38=21,$G38=21),0,1)</f>
        <v/>
      </c>
      <c r="DW39">
        <f>DW38*IF(OR($C38=22,$G38=22),0,1)</f>
        <v/>
      </c>
      <c r="DX39">
        <f>DX38*IF(OR($C38=23,$G38=23),0,1)</f>
        <v/>
      </c>
      <c r="DY39">
        <f>DY38*IF(OR($C38=24,$G38=24),0,1)</f>
        <v/>
      </c>
      <c r="DZ39">
        <f>DZ38*IF(OR($C38=25,$G38=25),0,1)</f>
        <v/>
      </c>
      <c r="EA39">
        <f>EA38*IF(OR($C38=26,$G38=26),0,1)</f>
        <v/>
      </c>
      <c r="EB39">
        <f>EB38*IF(OR($C38=27,$G38=27),0,1)</f>
        <v/>
      </c>
      <c r="EC39">
        <f>EC38*IF(OR($C38=28,$G38=28),0,1)</f>
        <v/>
      </c>
      <c r="ED39">
        <f>ED38*IF(OR($C38=29,$G38=29),0,1)</f>
        <v/>
      </c>
      <c r="EE39">
        <f>EE38*IF(OR($C38=30,$G38=30),0,1)</f>
        <v/>
      </c>
      <c r="EF39">
        <f>EF38*IF(OR($C38=31,$G38=31),0,1)</f>
        <v/>
      </c>
      <c r="EG39">
        <f>EG38*IF(OR($C38=32,$G38=32),0,1)</f>
        <v/>
      </c>
      <c r="EH39">
        <f>EH38*IF(OR($C38=33,$G38=33),0,1)</f>
        <v/>
      </c>
      <c r="EI39">
        <f>EI38*IF(OR($C38=34,$G38=34),0,1)</f>
        <v/>
      </c>
      <c r="EJ39">
        <f>EJ38*IF(OR($C38=35,$G38=35),0,1)</f>
        <v/>
      </c>
      <c r="EK39">
        <f>EK38*IF(OR($C38=36,$G38=36),0,1)</f>
        <v/>
      </c>
      <c r="EL39">
        <f>EL38*IF(OR($C38=37,$G38=37),0,1)</f>
        <v/>
      </c>
      <c r="EM39">
        <f>EM38*IF(OR($C38=38,$G38=38),0,1)</f>
        <v/>
      </c>
      <c r="EN39">
        <f>EN38*IF(OR($C38=39,$G38=39),0,1)</f>
        <v/>
      </c>
      <c r="EO39">
        <f>EO38*IF(OR($C38=40,$G38=40),0,1)</f>
        <v/>
      </c>
      <c r="EP39">
        <f>EP38*IF(OR($C38=41,$G38=41),0,1)</f>
        <v/>
      </c>
      <c r="EQ39">
        <f>EQ38*IF(OR($C38=42,$G38=42),0,1)</f>
        <v/>
      </c>
      <c r="ER39">
        <f>ER38*IF(OR($C38=43,$G38=43),0,1)</f>
        <v/>
      </c>
      <c r="ES39">
        <f>ES38*IF(OR($C38=44,$G38=44),0,1)</f>
        <v/>
      </c>
      <c r="ET39">
        <f>ET38*IF(OR($C38=45,$G38=45),0,1)</f>
        <v/>
      </c>
      <c r="EU39">
        <f>EU38*IF(OR($C38=46,$G38=46),0,1)</f>
        <v/>
      </c>
      <c r="EV39">
        <f>EV38*IF(OR($C38=47,$G38=47),0,1)</f>
        <v/>
      </c>
      <c r="EW39">
        <f>EW38*IF(OR($C38=48,$G38=48),0,1)</f>
        <v/>
      </c>
      <c r="EX39">
        <f>EX38*IF(OR($C38=49,$G38=49),0,1)</f>
        <v/>
      </c>
      <c r="EY39">
        <f>EY38*IF(OR($C38=50,$G38=50),0,1)</f>
        <v/>
      </c>
      <c r="EZ39">
        <f>EZ38*IF(OR($C38=51,$G38=51),0,1)</f>
        <v/>
      </c>
      <c r="FA39">
        <f>FA38*IF(OR($C38=52,$G38=52),0,1)</f>
        <v/>
      </c>
      <c r="FB39">
        <f>FB38*IF(OR($C38=53,$G38=53),0,1)</f>
        <v/>
      </c>
      <c r="FC39">
        <f>FC38*IF(OR($C38=54,$G38=54),0,1)</f>
        <v/>
      </c>
      <c r="FD39">
        <f>FD38*IF(OR($C38=55,$G38=55),0,1)</f>
        <v/>
      </c>
      <c r="FE39">
        <f>FE38*IF(OR($C38=56,$G38=56),0,1)</f>
        <v/>
      </c>
      <c r="FF39">
        <f>FF38*IF(OR($C38=57,$G38=57),0,1)</f>
        <v/>
      </c>
      <c r="FG39">
        <f>FG38*IF(OR($C38=58,$G38=58),0,1)</f>
        <v/>
      </c>
      <c r="FH39">
        <f>FH38*IF(OR($C38=59,$G38=59),0,1)</f>
        <v/>
      </c>
      <c r="FI39">
        <f>FI38*IF(OR($C38=60,$G38=60),0,1)</f>
        <v/>
      </c>
      <c r="FJ39">
        <f>FJ38*IF(OR($C38=61,$G38=61),0,1)</f>
        <v/>
      </c>
      <c r="FK39">
        <f>FK38*IF(OR($C38=62,$G38=62),0,1)</f>
        <v/>
      </c>
      <c r="FL39">
        <f>FL38*IF(OR($C38=63,$G38=63),0,1)</f>
        <v/>
      </c>
      <c r="FM39">
        <f>FM38*IF(OR($C38=64,$G38=64),0,1)</f>
        <v/>
      </c>
      <c r="FN39">
        <f>FN38*IF(OR($C38=65,$G38=65),0,1)</f>
        <v/>
      </c>
      <c r="FO39">
        <f>FO38*IF(OR($C38=66,$G38=66),0,1)</f>
        <v/>
      </c>
      <c r="FP39">
        <f>FP38*IF(OR($C38=67,$G38=67),0,1)</f>
        <v/>
      </c>
      <c r="FQ39">
        <f>FQ38*IF(OR($C38=68,$G38=68),0,1)</f>
        <v/>
      </c>
      <c r="FR39">
        <f>FR38*IF(OR($C38=69,$G38=69),0,1)</f>
        <v/>
      </c>
      <c r="FS39">
        <f>FS38*IF(OR($C38=70,$G38=70),0,1)</f>
        <v/>
      </c>
      <c r="FT39">
        <f>FT38*IF(OR($C38=71,$G38=71),0,1)</f>
        <v/>
      </c>
      <c r="FU39">
        <f>FU38*IF(OR($C38=72,$G38=72),0,1)</f>
        <v/>
      </c>
      <c r="FV39">
        <f>FV38*IF(OR($C38=73,$G38=73),0,1)</f>
        <v/>
      </c>
      <c r="FW39">
        <f>FW38*IF(OR($C38=74,$G38=74),0,1)</f>
        <v/>
      </c>
      <c r="FX39">
        <f>FX38*IF(OR($C38=75,$G38=75),0,1)</f>
        <v/>
      </c>
      <c r="FY39">
        <f>FY38*IF(OR($C38=76,$G38=76),0,1)</f>
        <v/>
      </c>
      <c r="FZ39">
        <f>FZ38*IF(OR($C38=77,$G38=77),0,1)</f>
        <v/>
      </c>
      <c r="GA39">
        <f>GA38*IF(OR($C38=78,$G38=78),0,1)</f>
        <v/>
      </c>
      <c r="GB39">
        <f>GB38*IF(OR($C38=79,$G38=79),0,1)</f>
        <v/>
      </c>
      <c r="GC39">
        <f>GC38*IF(OR($C38=80,$G38=80),0,1)</f>
        <v/>
      </c>
      <c r="GD39">
        <f>GD38*IF(OR($C38=81,$G38=81),0,1)</f>
        <v/>
      </c>
      <c r="GE39">
        <f>GE38*IF(OR($C38=82,$G38=82),0,1)</f>
        <v/>
      </c>
      <c r="GF39">
        <f>GF38*IF(OR($C38=83,$G38=83),0,1)</f>
        <v/>
      </c>
      <c r="GG39">
        <f>GG38*IF(OR($C38=84,$G38=84),0,1)</f>
        <v/>
      </c>
      <c r="GH39">
        <f>GH38*IF(OR($C38=85,$G38=85),0,1)</f>
        <v/>
      </c>
      <c r="GI39">
        <f>GI38*IF(OR($C38=86,$G38=86),0,1)</f>
        <v/>
      </c>
      <c r="GJ39">
        <f>GJ38*IF(OR($C38=87,$G38=87),0,1)</f>
        <v/>
      </c>
      <c r="GK39">
        <f>GK38*IF(OR($C38=88,$G38=88),0,1)</f>
        <v/>
      </c>
      <c r="GL39">
        <f>GL38*IF(OR($C38=89,$G38=89),0,1)</f>
        <v/>
      </c>
      <c r="GM39">
        <f>GM38*IF(OR($C38=90,$G38=90),0,1)</f>
        <v/>
      </c>
      <c r="GN39">
        <f>GN38*IF(OR($C38=91,$G38=91),0,1)</f>
        <v/>
      </c>
      <c r="GO39">
        <f>GO38*IF(OR($C38=92,$G38=92),0,1)</f>
        <v/>
      </c>
      <c r="GP39">
        <f>GP38*IF(OR($C38=93,$G38=93),0,1)</f>
        <v/>
      </c>
      <c r="GQ39">
        <f>GQ38*IF(OR($C38=94,$G38=94),0,1)</f>
        <v/>
      </c>
      <c r="GR39">
        <f>GR38*IF(OR($C38=95,$G38=95),0,1)</f>
        <v/>
      </c>
      <c r="GS39">
        <f>GS38*IF(OR($C38=96,$G38=96),0,1)</f>
        <v/>
      </c>
      <c r="GT39">
        <f>GT38*IF(OR($C38=97,$G38=97),0,1)</f>
        <v/>
      </c>
      <c r="GU39">
        <f>GU38*IF(OR($C38=98,$G38=98),0,1)</f>
        <v/>
      </c>
      <c r="GV39">
        <f>GV38*IF(OR($C38=99,$G38=99),0,1)</f>
        <v/>
      </c>
      <c r="GW39">
        <f>GW38*IF(OR($C38=100,$G38=100),0,1)</f>
        <v/>
      </c>
      <c r="GX39">
        <f>GX38*IF(OR($C38=101,$G38=101),0,1)</f>
        <v/>
      </c>
      <c r="GY39">
        <f>GY38*IF(OR($C38=102,$G38=102),0,1)</f>
        <v/>
      </c>
      <c r="GZ39">
        <f>GZ38*IF(OR($C38=103,$G38=103),0,1)</f>
        <v/>
      </c>
      <c r="HA39">
        <f>HA38*IF(OR($C38=104,$G38=104),0,1)</f>
        <v/>
      </c>
      <c r="HB39">
        <f>HB38*IF(OR($C38=105,$G38=105),0,1)</f>
        <v/>
      </c>
      <c r="HC39">
        <f>HC38*IF(OR($C38=106,$G38=106),0,1)</f>
        <v/>
      </c>
      <c r="HD39">
        <f>HD38*IF(OR($C38=107,$G38=107),0,1)</f>
        <v/>
      </c>
      <c r="HE39">
        <f>HE38*IF(OR($C38=108,$G38=108),0,1)</f>
        <v/>
      </c>
      <c r="HF39">
        <f>HF38*IF(OR($C38=109,$G38=109),0,1)</f>
        <v/>
      </c>
      <c r="HG39">
        <f>HG38*IF(OR($C38=110,$G38=110),0,1)</f>
        <v/>
      </c>
      <c r="HH39">
        <f>HH38*IF(OR($C38=111,$G38=111),0,1)</f>
        <v/>
      </c>
      <c r="HI39">
        <f>HI38*IF(OR($C38=112,$G38=112),0,1)</f>
        <v/>
      </c>
      <c r="HJ39">
        <f>HJ38*IF(OR($C38=113,$G38=113),0,1)</f>
        <v/>
      </c>
      <c r="HK39">
        <f>HK38*IF(OR($C38=114,$G38=114),0,1)</f>
        <v/>
      </c>
      <c r="HL39">
        <f>HL38*IF(OR($C38=115,$G38=115),0,1)</f>
        <v/>
      </c>
      <c r="HM39">
        <f>HM38*IF(OR($C38=116,$G38=116),0,1)</f>
        <v/>
      </c>
      <c r="HN39">
        <f>HN38*IF(OR($C38=117,$G38=117),0,1)</f>
        <v/>
      </c>
      <c r="HO39">
        <f>HO38*IF(OR($C38=118,$G38=118),0,1)</f>
        <v/>
      </c>
      <c r="HP39">
        <f>HP38*IF(OR($C38=119,$G38=119),0,1)</f>
        <v/>
      </c>
      <c r="HQ39">
        <f>HQ38*IF(OR($C38=120,$G38=120),0,1)</f>
        <v/>
      </c>
      <c r="HR39">
        <f>HR38*IF(OR($C38=121,$G38=121),0,1)</f>
        <v/>
      </c>
      <c r="HS39">
        <f>HS38*IF(OR($C38=122,$G38=122),0,1)</f>
        <v/>
      </c>
      <c r="HT39">
        <f>HT38*IF(OR($C38=123,$G38=123),0,1)</f>
        <v/>
      </c>
      <c r="HU39">
        <f>HU38*IF(OR($C38=124,$G38=124),0,1)</f>
        <v/>
      </c>
      <c r="HV39">
        <f>HV38*IF(OR($C38=125,$G38=125),0,1)</f>
        <v/>
      </c>
      <c r="HW39">
        <f>HW38*IF(OR($C38=126,$G38=126),0,1)</f>
        <v/>
      </c>
      <c r="HX39">
        <f>HX38*IF(OR($C38=127,$G38=127),0,1)</f>
        <v/>
      </c>
      <c r="HY39">
        <f>HY38*IF(OR($C38=128,$G38=128),0,1)</f>
        <v/>
      </c>
      <c r="HZ39">
        <f>HZ38*IF(OR($C38=129,$G38=129),0,1)</f>
        <v/>
      </c>
      <c r="IA39">
        <f>IA38*IF(OR($C38=130,$G38=130),0,1)</f>
        <v/>
      </c>
      <c r="IB39">
        <f>IB38*IF(OR($C38=131,$G38=131),0,1)</f>
        <v/>
      </c>
      <c r="IC39">
        <f>IC38*IF(OR($C38=132,$G38=132),0,1)</f>
        <v/>
      </c>
      <c r="ID39">
        <f>ID38*IF(OR($C38=133,$G38=133),0,1)</f>
        <v/>
      </c>
      <c r="IE39">
        <f>IE38*IF(OR($C38=134,$G38=134),0,1)</f>
        <v/>
      </c>
      <c r="IF39">
        <f>IF38*IF(OR($C38=135,$G38=135),0,1)</f>
        <v/>
      </c>
      <c r="IG39">
        <f>IG38*IF(OR($C38=136,$G38=136),0,1)</f>
        <v/>
      </c>
      <c r="IH39">
        <f>IH38*IF(OR($C38=137,$G38=137),0,1)</f>
        <v/>
      </c>
      <c r="II39">
        <f>II38*IF(OR($C38=138,$G38=138),0,1)</f>
        <v/>
      </c>
      <c r="IJ39">
        <f>IJ38*IF(OR($C38=139,$G38=139),0,1)</f>
        <v/>
      </c>
      <c r="IK39">
        <f>IK38*IF(OR($C38=140,$G38=140),0,1)</f>
        <v/>
      </c>
      <c r="IL39">
        <f>IL38*IF(OR($C38=141,$G38=141),0,1)</f>
        <v/>
      </c>
      <c r="IM39">
        <f>IM38*IF(OR($C38=142,$G38=142),0,1)</f>
        <v/>
      </c>
      <c r="IN39">
        <f>IN38*IF(OR($C38=143,$G38=143),0,1)</f>
        <v/>
      </c>
      <c r="IO39">
        <f>IO38*IF(OR($C38=144,$G38=144),0,1)</f>
        <v/>
      </c>
      <c r="IQ39">
        <f>IF('calcA'!D$106=1,DC39,1)</f>
        <v/>
      </c>
      <c r="IR39">
        <f>IF('calcA'!E$106=1,DD39,1)</f>
        <v/>
      </c>
      <c r="IS39">
        <f>IF('calcA'!F$106=1,DE39,1)</f>
        <v/>
      </c>
      <c r="IT39">
        <f>IF('calcA'!G$106=1,DF39,1)</f>
        <v/>
      </c>
      <c r="IU39">
        <f>IF('calcA'!H$106=1,DG39,1)</f>
        <v/>
      </c>
      <c r="IV39">
        <f>IF('calcA'!I$106=1,DH39,1)</f>
        <v/>
      </c>
      <c r="IW39">
        <f>IF('calcA'!J$106=1,DI39,1)</f>
        <v/>
      </c>
      <c r="IX39">
        <f>IF('calcA'!K$106=1,DJ39,1)</f>
        <v/>
      </c>
      <c r="IY39">
        <f>IF('calcA'!L$106=1,DK39,1)</f>
        <v/>
      </c>
      <c r="IZ39">
        <f>IF('calcA'!M$106=1,DL39,1)</f>
        <v/>
      </c>
      <c r="JA39">
        <f>IF('calcA'!N$106=1,DM39,1)</f>
        <v/>
      </c>
      <c r="JB39">
        <f>IF('calcA'!O$106=1,DN39,1)</f>
        <v/>
      </c>
      <c r="JC39">
        <f>IF('calcA'!P$106=1,DO39,1)</f>
        <v/>
      </c>
      <c r="JD39">
        <f>IF('calcA'!Q$106=1,DP39,1)</f>
        <v/>
      </c>
      <c r="JE39">
        <f>IF('calcA'!R$106=1,DQ39,1)</f>
        <v/>
      </c>
      <c r="JF39">
        <f>IF('calcA'!S$106=1,DR39,1)</f>
        <v/>
      </c>
      <c r="JG39">
        <f>IF('calcA'!T$106=1,DS39,1)</f>
        <v/>
      </c>
      <c r="JH39">
        <f>IF('calcA'!U$106=1,DT39,1)</f>
        <v/>
      </c>
      <c r="JI39">
        <f>IF('calcA'!V$106=1,DU39,1)</f>
        <v/>
      </c>
      <c r="JJ39">
        <f>IF('calcA'!W$106=1,DV39,1)</f>
        <v/>
      </c>
      <c r="JK39">
        <f>IF('calcA'!X$106=1,DW39,1)</f>
        <v/>
      </c>
      <c r="JL39">
        <f>IF('calcA'!Y$106=1,DX39,1)</f>
        <v/>
      </c>
      <c r="JM39">
        <f>IF('calcA'!Z$106=1,DY39,1)</f>
        <v/>
      </c>
      <c r="JN39">
        <f>IF('calcA'!AA$106=1,DZ39,1)</f>
        <v/>
      </c>
      <c r="JO39">
        <f>IF('calcA'!AB$106=1,EA39,1)</f>
        <v/>
      </c>
      <c r="JP39">
        <f>IF('calcA'!AC$106=1,EB39,1)</f>
        <v/>
      </c>
      <c r="JQ39">
        <f>IF('calcA'!AD$106=1,EC39,1)</f>
        <v/>
      </c>
      <c r="JR39">
        <f>IF('calcA'!AE$106=1,ED39,1)</f>
        <v/>
      </c>
      <c r="JS39">
        <f>IF('calcA'!AF$106=1,EE39,1)</f>
        <v/>
      </c>
      <c r="JT39">
        <f>IF('calcA'!AG$106=1,EF39,1)</f>
        <v/>
      </c>
      <c r="JU39">
        <f>IF('calcA'!AH$106=1,EG39,1)</f>
        <v/>
      </c>
      <c r="JV39">
        <f>IF('calcA'!AI$106=1,EH39,1)</f>
        <v/>
      </c>
      <c r="JW39">
        <f>IF('calcA'!AJ$106=1,EI39,1)</f>
        <v/>
      </c>
      <c r="JX39">
        <f>IF('calcA'!AK$106=1,EJ39,1)</f>
        <v/>
      </c>
      <c r="JY39">
        <f>IF('calcA'!AL$106=1,EK39,1)</f>
        <v/>
      </c>
      <c r="JZ39">
        <f>IF('calcA'!AM$106=1,EL39,1)</f>
        <v/>
      </c>
      <c r="KA39">
        <f>IF('calcA'!AN$106=1,EM39,1)</f>
        <v/>
      </c>
      <c r="KB39">
        <f>IF('calcA'!AO$106=1,EN39,1)</f>
        <v/>
      </c>
      <c r="KC39">
        <f>IF('calcA'!AP$106=1,EO39,1)</f>
        <v/>
      </c>
      <c r="KD39">
        <f>IF('calcA'!AQ$106=1,EP39,1)</f>
        <v/>
      </c>
      <c r="KE39">
        <f>IF('calcA'!AR$106=1,EQ39,1)</f>
        <v/>
      </c>
      <c r="KF39">
        <f>IF('calcA'!AS$106=1,ER39,1)</f>
        <v/>
      </c>
      <c r="KG39">
        <f>IF('calcA'!AT$106=1,ES39,1)</f>
        <v/>
      </c>
      <c r="KH39">
        <f>IF('calcA'!AU$106=1,ET39,1)</f>
        <v/>
      </c>
      <c r="KI39">
        <f>IF('calcA'!AV$106=1,EU39,1)</f>
        <v/>
      </c>
      <c r="KJ39">
        <f>IF('calcA'!AW$106=1,EV39,1)</f>
        <v/>
      </c>
      <c r="KK39">
        <f>IF('calcA'!AX$106=1,EW39,1)</f>
        <v/>
      </c>
      <c r="KL39">
        <f>IF('calcA'!AY$106=1,EX39,1)</f>
        <v/>
      </c>
      <c r="KM39">
        <f>IF('calcA'!AZ$106=1,EY39,1)</f>
        <v/>
      </c>
      <c r="KN39">
        <f>IF('calcA'!BA$106=1,EZ39,1)</f>
        <v/>
      </c>
      <c r="KO39">
        <f>IF('calcA'!BB$106=1,FA39,1)</f>
        <v/>
      </c>
      <c r="KP39">
        <f>IF('calcA'!BC$106=1,FB39,1)</f>
        <v/>
      </c>
      <c r="KQ39">
        <f>IF('calcA'!BD$106=1,FC39,1)</f>
        <v/>
      </c>
      <c r="KR39">
        <f>IF('calcA'!BE$106=1,FD39,1)</f>
        <v/>
      </c>
      <c r="KS39">
        <f>IF('calcA'!BF$106=1,FE39,1)</f>
        <v/>
      </c>
      <c r="KT39">
        <f>IF('calcA'!BG$106=1,FF39,1)</f>
        <v/>
      </c>
      <c r="KU39">
        <f>IF('calcA'!BH$106=1,FG39,1)</f>
        <v/>
      </c>
      <c r="KV39">
        <f>IF('calcA'!BI$106=1,FH39,1)</f>
        <v/>
      </c>
      <c r="KW39">
        <f>IF('calcA'!BJ$106=1,FI39,1)</f>
        <v/>
      </c>
      <c r="KX39">
        <f>IF('calcA'!BK$106=1,FJ39,1)</f>
        <v/>
      </c>
      <c r="KY39">
        <f>IF('calcA'!BL$106=1,FK39,1)</f>
        <v/>
      </c>
      <c r="KZ39">
        <f>IF('calcA'!BM$106=1,FL39,1)</f>
        <v/>
      </c>
      <c r="LA39">
        <f>IF('calcA'!BN$106=1,FM39,1)</f>
        <v/>
      </c>
      <c r="LB39">
        <f>IF('calcA'!BO$106=1,FN39,1)</f>
        <v/>
      </c>
      <c r="LC39">
        <f>IF('calcA'!BP$106=1,FO39,1)</f>
        <v/>
      </c>
      <c r="LD39">
        <f>IF('calcA'!BQ$106=1,FP39,1)</f>
        <v/>
      </c>
      <c r="LE39">
        <f>IF('calcA'!BR$106=1,FQ39,1)</f>
        <v/>
      </c>
      <c r="LF39">
        <f>IF('calcA'!BS$106=1,FR39,1)</f>
        <v/>
      </c>
      <c r="LG39">
        <f>IF('calcA'!BT$106=1,FS39,1)</f>
        <v/>
      </c>
      <c r="LH39">
        <f>IF('calcA'!BU$106=1,FT39,1)</f>
        <v/>
      </c>
      <c r="LI39">
        <f>IF('calcA'!BV$106=1,FU39,1)</f>
        <v/>
      </c>
      <c r="LJ39">
        <f>IF('calcA'!BW$106=1,FV39,1)</f>
        <v/>
      </c>
      <c r="LK39">
        <f>IF('calcA'!BX$106=1,FW39,1)</f>
        <v/>
      </c>
      <c r="LL39">
        <f>IF('calcA'!BY$106=1,FX39,1)</f>
        <v/>
      </c>
      <c r="LM39">
        <f>IF('calcA'!BZ$106=1,FY39,1)</f>
        <v/>
      </c>
      <c r="LN39">
        <f>IF('calcA'!CA$106=1,FZ39,1)</f>
        <v/>
      </c>
      <c r="LO39">
        <f>IF('calcA'!CB$106=1,GA39,1)</f>
        <v/>
      </c>
      <c r="LP39">
        <f>IF('calcA'!CC$106=1,GB39,1)</f>
        <v/>
      </c>
      <c r="LQ39">
        <f>IF('calcA'!CD$106=1,GC39,1)</f>
        <v/>
      </c>
      <c r="LR39">
        <f>IF('calcA'!CE$106=1,GD39,1)</f>
        <v/>
      </c>
      <c r="LS39">
        <f>IF('calcA'!CF$106=1,GE39,1)</f>
        <v/>
      </c>
      <c r="LT39">
        <f>IF('calcA'!CG$106=1,GF39,1)</f>
        <v/>
      </c>
      <c r="LU39">
        <f>IF('calcA'!CH$106=1,GG39,1)</f>
        <v/>
      </c>
      <c r="LV39">
        <f>IF('calcA'!CI$106=1,GH39,1)</f>
        <v/>
      </c>
      <c r="LW39">
        <f>IF('calcA'!CJ$106=1,GI39,1)</f>
        <v/>
      </c>
      <c r="LX39">
        <f>IF('calcA'!CK$106=1,GJ39,1)</f>
        <v/>
      </c>
      <c r="LY39">
        <f>IF('calcA'!CL$106=1,GK39,1)</f>
        <v/>
      </c>
      <c r="LZ39">
        <f>IF('calcA'!CM$106=1,GL39,1)</f>
        <v/>
      </c>
      <c r="MA39">
        <f>IF('calcA'!CN$106=1,GM39,1)</f>
        <v/>
      </c>
      <c r="MB39">
        <f>IF('calcA'!CO$106=1,GN39,1)</f>
        <v/>
      </c>
      <c r="MC39">
        <f>IF('calcA'!CP$106=1,GO39,1)</f>
        <v/>
      </c>
      <c r="MD39">
        <f>IF('calcA'!CQ$106=1,GP39,1)</f>
        <v/>
      </c>
      <c r="ME39">
        <f>IF('calcA'!CR$106=1,GQ39,1)</f>
        <v/>
      </c>
      <c r="MF39">
        <f>IF('calcA'!CS$106=1,GR39,1)</f>
        <v/>
      </c>
      <c r="MG39">
        <f>IF('calcA'!CT$106=1,GS39,1)</f>
        <v/>
      </c>
      <c r="MH39">
        <f>IF('calcA'!CU$106=1,GT39,1)</f>
        <v/>
      </c>
      <c r="MI39">
        <f>IF('calcA'!CV$106=1,GU39,1)</f>
        <v/>
      </c>
      <c r="MJ39">
        <f>IF('calcA'!CW$106=1,GV39,1)</f>
        <v/>
      </c>
      <c r="MK39">
        <f>IF('calcA'!CX$106=1,GW39,1)</f>
        <v/>
      </c>
      <c r="ML39">
        <f>IF('calcA'!CY$106=1,GX39,1)</f>
        <v/>
      </c>
      <c r="MM39">
        <f>IF('calcA'!CZ$106=1,GY39,1)</f>
        <v/>
      </c>
      <c r="MN39">
        <f>IF('calcA'!DA$106=1,GZ39,1)</f>
        <v/>
      </c>
      <c r="MO39">
        <f>IF('calcA'!DB$106=1,HA39,1)</f>
        <v/>
      </c>
      <c r="MP39">
        <f>IF('calcA'!DC$106=1,HB39,1)</f>
        <v/>
      </c>
      <c r="MQ39">
        <f>IF('calcA'!DD$106=1,HC39,1)</f>
        <v/>
      </c>
      <c r="MR39">
        <f>IF('calcA'!DE$106=1,HD39,1)</f>
        <v/>
      </c>
      <c r="MS39">
        <f>IF('calcA'!DF$106=1,HE39,1)</f>
        <v/>
      </c>
      <c r="MT39">
        <f>IF('calcA'!DG$106=1,HF39,1)</f>
        <v/>
      </c>
      <c r="MU39">
        <f>IF('calcA'!DH$106=1,HG39,1)</f>
        <v/>
      </c>
      <c r="MV39">
        <f>IF('calcA'!DI$106=1,HH39,1)</f>
        <v/>
      </c>
      <c r="MW39">
        <f>IF('calcA'!DJ$106=1,HI39,1)</f>
        <v/>
      </c>
      <c r="MX39">
        <f>IF('calcA'!DK$106=1,HJ39,1)</f>
        <v/>
      </c>
      <c r="MY39">
        <f>IF('calcA'!DL$106=1,HK39,1)</f>
        <v/>
      </c>
      <c r="MZ39">
        <f>IF('calcA'!DM$106=1,HL39,1)</f>
        <v/>
      </c>
      <c r="NA39">
        <f>IF('calcA'!DN$106=1,HM39,1)</f>
        <v/>
      </c>
      <c r="NB39">
        <f>IF('calcA'!DO$106=1,HN39,1)</f>
        <v/>
      </c>
      <c r="NC39">
        <f>IF('calcA'!DP$106=1,HO39,1)</f>
        <v/>
      </c>
      <c r="ND39">
        <f>IF('calcA'!DQ$106=1,HP39,1)</f>
        <v/>
      </c>
      <c r="NE39">
        <f>IF('calcA'!DR$106=1,HQ39,1)</f>
        <v/>
      </c>
      <c r="NF39">
        <f>IF('calcA'!DS$106=1,HR39,1)</f>
        <v/>
      </c>
      <c r="NG39">
        <f>IF('calcA'!DT$106=1,HS39,1)</f>
        <v/>
      </c>
      <c r="NH39">
        <f>IF('calcA'!DU$106=1,HT39,1)</f>
        <v/>
      </c>
      <c r="NI39">
        <f>IF('calcA'!DV$106=1,HU39,1)</f>
        <v/>
      </c>
      <c r="NJ39">
        <f>IF('calcA'!DW$106=1,HV39,1)</f>
        <v/>
      </c>
      <c r="NK39">
        <f>IF('calcA'!DX$106=1,HW39,1)</f>
        <v/>
      </c>
      <c r="NL39">
        <f>IF('calcA'!DY$106=1,HX39,1)</f>
        <v/>
      </c>
      <c r="NM39">
        <f>IF('calcA'!DZ$106=1,HY39,1)</f>
        <v/>
      </c>
      <c r="NN39">
        <f>IF('calcA'!EA$106=1,HZ39,1)</f>
        <v/>
      </c>
      <c r="NO39">
        <f>IF('calcA'!EB$106=1,IA39,1)</f>
        <v/>
      </c>
      <c r="NP39">
        <f>IF('calcA'!EC$106=1,IB39,1)</f>
        <v/>
      </c>
      <c r="NQ39">
        <f>IF('calcA'!ED$106=1,IC39,1)</f>
        <v/>
      </c>
      <c r="NR39">
        <f>IF('calcA'!EE$106=1,ID39,1)</f>
        <v/>
      </c>
      <c r="NS39">
        <f>IF('calcA'!EF$106=1,IE39,1)</f>
        <v/>
      </c>
      <c r="NT39">
        <f>IF('calcA'!EG$106=1,IF39,1)</f>
        <v/>
      </c>
      <c r="NU39">
        <f>IF('calcA'!EH$106=1,IG39,1)</f>
        <v/>
      </c>
      <c r="NV39">
        <f>IF('calcA'!EI$106=1,IH39,1)</f>
        <v/>
      </c>
      <c r="NW39">
        <f>IF('calcA'!EJ$106=1,II39,1)</f>
        <v/>
      </c>
      <c r="NX39">
        <f>IF('calcA'!EK$106=1,IJ39,1)</f>
        <v/>
      </c>
      <c r="NY39">
        <f>IF('calcA'!EL$106=1,IK39,1)</f>
        <v/>
      </c>
      <c r="NZ39">
        <f>IF('calcA'!EM$106=1,IL39,1)</f>
        <v/>
      </c>
      <c r="OA39">
        <f>IF('calcA'!EN$106=1,IM39,1)</f>
        <v/>
      </c>
      <c r="OB39">
        <f>IF('calcA'!EO$106=1,IN39,1)</f>
        <v/>
      </c>
      <c r="OC39">
        <f>IF('calcA'!EP$106=1,IO39,1)</f>
        <v/>
      </c>
      <c r="OD39" t="n">
        <v>1</v>
      </c>
      <c r="OF39">
        <f>IF($B39=0,1000000000,IF(INDEX('calcA'!$D$60:$EQ$99,$B39,1)*IF($W39=1,DB39+ZQ39,DB39)=1,IF(AND($E39=2,IF($W39=1,AFF39,IQ39)=0),1000000000,IF($V39=1,INDEX('calcA'!$D$130:$EQ$169,$B39,1)+IF(AND($E39=1,IQ39=0),25,0),IF($F39&gt;0,INDEX('calcA'!D$110:D$114,$F39+1)+IF(AND($E39=1,IQ39=0),1000,0),MIN(TU39,20)*400+(IF('calcA'!D$106=1,1-DC39,0))*150+11+'calcA'!D$5*100000+IF(AND($E39=1,IQ39=0),50000,0))+IF($H39=1,INDEX('calcA'!$D$180:$EQ$219,$B39,1)*4000,0)-IF(AND($U39=1,'calcA'!D$117=1,DC39=0),2000,0))),1000000000))</f>
        <v/>
      </c>
      <c r="OG39">
        <f>IF($B39=0,1000000000,IF(INDEX('calcA'!$D$60:$EQ$99,$B39,2)*IF($W39=1,DC39+ZR39,DC39)=1,IF(AND($E39=2,IF($W39=1,AFG39,IR39)=0),1000000000,IF($V39=1,INDEX('calcA'!$D$130:$EQ$169,$B39,2)+IF(AND($E39=1,IR39=0),25,0),IF($F39&gt;0,INDEX('calcA'!E$110:E$114,$F39+1)+IF(AND($E39=1,IR39=0),1000,0),MIN(TU39,20)*400+(IF('calcA'!D$106=1,1-DB39,0)+IF('calcA'!E$106=1,1-DD39,0))*150+21+'calcA'!E$5*100000+IF(AND($E39=1,IR39=0),50000,0))+IF($H39=1,INDEX('calcA'!$D$180:$EQ$219,$B39,2)*4000,0)-IF(AND('calcA'!D$117=1,UB39&gt;0),2000,0)-IF(AND($U39=1,'calcA'!E$117=1,DD39=0),2000,0))),1000000000))</f>
        <v/>
      </c>
      <c r="OH39">
        <f>IF($B39=0,1000000000,IF(INDEX('calcA'!$D$60:$EQ$99,$B39,3)*IF($W39=1,DD39+ZS39,DD39)=1,IF(AND($E39=2,IF($W39=1,AFH39,IS39)=0),1000000000,IF($V39=1,INDEX('calcA'!$D$130:$EQ$169,$B39,3)+IF(AND($E39=1,IS39=0),25,0),IF($F39&gt;0,INDEX('calcA'!F$110:F$114,$F39+1)+IF(AND($E39=1,IS39=0),1000,0),MIN(TU39,20)*400+(IF('calcA'!E$106=1,1-DC39,0)+IF('calcA'!F$106=1,1-DE39,0))*150+31+'calcA'!F$5*100000+IF(AND($E39=1,IS39=0),50000,0))+IF($H39=1,INDEX('calcA'!$D$180:$EQ$219,$B39,3)*4000,0)-IF(AND('calcA'!E$117=1,UC39&gt;0),2000,0)-IF(AND($U39=1,'calcA'!F$117=1,DE39=0),2000,0))),1000000000))</f>
        <v/>
      </c>
      <c r="OI39">
        <f>IF($B39=0,1000000000,IF(INDEX('calcA'!$D$60:$EQ$99,$B39,4)*IF($W39=1,DE39+ZT39,DE39)=1,IF(AND($E39=2,IF($W39=1,AFI39,IT39)=0),1000000000,IF($V39=1,INDEX('calcA'!$D$130:$EQ$169,$B39,4)+IF(AND($E39=1,IT39=0),25,0),IF($F39&gt;0,INDEX('calcA'!G$110:G$114,$F39+1)+IF(AND($E39=1,IT39=0),1000,0),MIN(TU39,20)*400+(IF('calcA'!F$106=1,1-DD39,0)+IF('calcA'!G$106=1,1-DF39,0))*150+41+'calcA'!G$5*100000+IF(AND($E39=1,IT39=0),50000,0))+IF($H39=1,INDEX('calcA'!$D$180:$EQ$219,$B39,4)*4000,0)-IF(AND('calcA'!F$117=1,UD39&gt;0),2000,0)-IF(AND($U39=1,'calcA'!G$117=1,DF39=0),2000,0))),1000000000))</f>
        <v/>
      </c>
      <c r="OJ39">
        <f>IF($B39=0,1000000000,IF(INDEX('calcA'!$D$60:$EQ$99,$B39,5)*IF($W39=1,DF39+ZU39,DF39)=1,IF(AND($E39=2,IF($W39=1,AFJ39,IU39)=0),1000000000,IF($V39=1,INDEX('calcA'!$D$130:$EQ$169,$B39,5)+IF(AND($E39=1,IU39=0),25,0),IF($F39&gt;0,INDEX('calcA'!H$110:H$114,$F39+1)+IF(AND($E39=1,IU39=0),1000,0),MIN(TU39,20)*400+(IF('calcA'!G$106=1,1-DE39,0)+IF('calcA'!H$106=1,1-DG39,0))*150+51+'calcA'!H$5*100000+IF(AND($E39=1,IU39=0),50000,0))+IF($H39=1,INDEX('calcA'!$D$180:$EQ$219,$B39,5)*4000,0)-IF(AND('calcA'!G$117=1,UE39&gt;0),2000,0)-IF(AND($U39=1,'calcA'!H$117=1,DG39=0),2000,0))),1000000000))</f>
        <v/>
      </c>
      <c r="OK39">
        <f>IF($B39=0,1000000000,IF(INDEX('calcA'!$D$60:$EQ$99,$B39,6)*IF($W39=1,DG39+ZV39,DG39)=1,IF(AND($E39=2,IF($W39=1,AFK39,IV39)=0),1000000000,IF($V39=1,INDEX('calcA'!$D$130:$EQ$169,$B39,6)+IF(AND($E39=1,IV39=0),25,0),IF($F39&gt;0,INDEX('calcA'!I$110:I$114,$F39+1)+IF(AND($E39=1,IV39=0),1000,0),MIN(TU39,20)*400+(IF('calcA'!H$106=1,1-DF39,0)+IF('calcA'!I$106=1,1-DH39,0))*150+61+'calcA'!I$5*100000+IF(AND($E39=1,IV39=0),50000,0))+IF($H39=1,INDEX('calcA'!$D$180:$EQ$219,$B39,6)*4000,0)-IF(AND('calcA'!H$117=1,UF39&gt;0),2000,0)-IF(AND($U39=1,'calcA'!I$117=1,DH39=0),2000,0))),1000000000))</f>
        <v/>
      </c>
      <c r="OL39">
        <f>IF($B39=0,1000000000,IF(INDEX('calcA'!$D$60:$EQ$99,$B39,7)*IF($W39=1,DH39+ZW39,DH39)=1,IF(AND($E39=2,IF($W39=1,AFL39,IW39)=0),1000000000,IF($V39=1,INDEX('calcA'!$D$130:$EQ$169,$B39,7)+IF(AND($E39=1,IW39=0),25,0),IF($F39&gt;0,INDEX('calcA'!J$110:J$114,$F39+1)+IF(AND($E39=1,IW39=0),1000,0),MIN(TU39,20)*400+(IF('calcA'!I$106=1,1-DG39,0)+IF('calcA'!J$106=1,1-DI39,0))*150+71+'calcA'!J$5*100000+IF(AND($E39=1,IW39=0),50000,0))+IF($H39=1,INDEX('calcA'!$D$180:$EQ$219,$B39,7)*4000,0)-IF(AND('calcA'!I$117=1,UG39&gt;0),2000,0)-IF(AND($U39=1,'calcA'!J$117=1,DI39=0),2000,0))),1000000000))</f>
        <v/>
      </c>
      <c r="OM39">
        <f>IF($B39=0,1000000000,IF(INDEX('calcA'!$D$60:$EQ$99,$B39,8)*IF($W39=1,DI39+ZX39,DI39)=1,IF(AND($E39=2,IF($W39=1,AFM39,IX39)=0),1000000000,IF($V39=1,INDEX('calcA'!$D$130:$EQ$169,$B39,8)+IF(AND($E39=1,IX39=0),25,0),IF($F39&gt;0,INDEX('calcA'!K$110:K$114,$F39+1)+IF(AND($E39=1,IX39=0),1000,0),MIN(TU39,20)*400+(IF('calcA'!J$106=1,1-DH39,0)+IF('calcA'!K$106=1,1-DJ39,0))*150+81+'calcA'!K$5*100000+IF(AND($E39=1,IX39=0),50000,0))+IF($H39=1,INDEX('calcA'!$D$180:$EQ$219,$B39,8)*4000,0)-IF(AND('calcA'!J$117=1,UH39&gt;0),2000,0)-IF(AND($U39=1,'calcA'!K$117=1,DJ39=0),2000,0))),1000000000))</f>
        <v/>
      </c>
      <c r="ON39">
        <f>IF($B39=0,1000000000,IF(INDEX('calcA'!$D$60:$EQ$99,$B39,9)*IF($W39=1,DJ39+ZY39,DJ39)=1,IF(AND($E39=2,IF($W39=1,AFN39,IY39)=0),1000000000,IF($V39=1,INDEX('calcA'!$D$130:$EQ$169,$B39,9)+IF(AND($E39=1,IY39=0),25,0),IF($F39&gt;0,INDEX('calcA'!L$110:L$114,$F39+1)+IF(AND($E39=1,IY39=0),1000,0),MIN(TU39,20)*400+(IF('calcA'!K$106=1,1-DI39,0)+IF('calcA'!L$106=1,1-DK39,0))*150+91+'calcA'!L$5*100000+IF(AND($E39=1,IY39=0),50000,0))+IF($H39=1,INDEX('calcA'!$D$180:$EQ$219,$B39,9)*4000,0)-IF(AND('calcA'!K$117=1,UI39&gt;0),2000,0)-IF(AND($U39=1,'calcA'!L$117=1,DK39=0),2000,0))),1000000000))</f>
        <v/>
      </c>
      <c r="OO39">
        <f>IF($B39=0,1000000000,IF(INDEX('calcA'!$D$60:$EQ$99,$B39,10)*IF($W39=1,DK39+ZZ39,DK39)=1,IF(AND($E39=2,IF($W39=1,AFO39,IZ39)=0),1000000000,IF($V39=1,INDEX('calcA'!$D$130:$EQ$169,$B39,10)+IF(AND($E39=1,IZ39=0),25,0),IF($F39&gt;0,INDEX('calcA'!M$110:M$114,$F39+1)+IF(AND($E39=1,IZ39=0),1000,0),MIN(TU39,20)*400+(IF('calcA'!L$106=1,1-DJ39,0)+IF('calcA'!M$106=1,1-DL39,0))*150+101+'calcA'!M$5*100000+IF(AND($E39=1,IZ39=0),50000,0))+IF($H39=1,INDEX('calcA'!$D$180:$EQ$219,$B39,10)*4000,0)-IF(AND('calcA'!L$117=1,UJ39&gt;0),2000,0)-IF(AND($U39=1,'calcA'!M$117=1,DL39=0),2000,0))),1000000000))</f>
        <v/>
      </c>
      <c r="OP39">
        <f>IF($B39=0,1000000000,IF(INDEX('calcA'!$D$60:$EQ$99,$B39,11)*IF($W39=1,DL39+AAA39,DL39)=1,IF(AND($E39=2,IF($W39=1,AFP39,JA39)=0),1000000000,IF($V39=1,INDEX('calcA'!$D$130:$EQ$169,$B39,11)+IF(AND($E39=1,JA39=0),25,0),IF($F39&gt;0,INDEX('calcA'!N$110:N$114,$F39+1)+IF(AND($E39=1,JA39=0),1000,0),MIN(TU39,20)*400+(IF('calcA'!M$106=1,1-DK39,0)+IF('calcA'!N$106=1,1-DM39,0))*150+111+'calcA'!N$5*100000+IF(AND($E39=1,JA39=0),50000,0))+IF($H39=1,INDEX('calcA'!$D$180:$EQ$219,$B39,11)*4000,0)-IF(AND('calcA'!M$117=1,UK39&gt;0),2000,0)-IF(AND($U39=1,'calcA'!N$117=1,DM39=0),2000,0))),1000000000))</f>
        <v/>
      </c>
      <c r="OQ39">
        <f>IF($B39=0,1000000000,IF(INDEX('calcA'!$D$60:$EQ$99,$B39,12)*IF($W39=1,DM39+AAB39,DM39)=1,IF(AND($E39=2,IF($W39=1,AFQ39,JB39)=0),1000000000,IF($V39=1,INDEX('calcA'!$D$130:$EQ$169,$B39,12)+IF(AND($E39=1,JB39=0),25,0),IF($F39&gt;0,INDEX('calcA'!O$110:O$114,$F39+1)+IF(AND($E39=1,JB39=0),1000,0),MIN(TU39,20)*400+(IF('calcA'!N$106=1,1-DL39,0)+IF('calcA'!O$106=1,1-DN39,0))*150+121+'calcA'!O$5*100000+IF(AND($E39=1,JB39=0),50000,0))+IF($H39=1,INDEX('calcA'!$D$180:$EQ$219,$B39,12)*4000,0)-IF(AND('calcA'!N$117=1,UL39&gt;0),2000,0)-IF(AND($U39=1,'calcA'!O$117=1,DN39=0),2000,0))),1000000000))</f>
        <v/>
      </c>
      <c r="OR39">
        <f>IF($B39=0,1000000000,IF(INDEX('calcA'!$D$60:$EQ$99,$B39,13)*IF($W39=1,DN39+AAC39,DN39)=1,IF(AND($E39=2,IF($W39=1,AFR39,JC39)=0),1000000000,IF($V39=1,INDEX('calcA'!$D$130:$EQ$169,$B39,13)+IF(AND($E39=1,JC39=0),25,0),IF($F39&gt;0,INDEX('calcA'!P$110:P$114,$F39+1)+IF(AND($E39=1,JC39=0),1000,0),MIN(TU39,20)*400+(IF('calcA'!O$106=1,1-DM39,0)+IF('calcA'!P$106=1,1-DO39,0))*150+131+'calcA'!P$5*100000+IF(AND($E39=1,JC39=0),50000,0))+IF($H39=1,INDEX('calcA'!$D$180:$EQ$219,$B39,13)*4000,0)-IF(AND('calcA'!O$117=1,UM39&gt;0),2000,0)-IF(AND($U39=1,'calcA'!P$117=1,DO39=0),2000,0))),1000000000))</f>
        <v/>
      </c>
      <c r="OS39">
        <f>IF($B39=0,1000000000,IF(INDEX('calcA'!$D$60:$EQ$99,$B39,14)*IF($W39=1,DO39+AAD39,DO39)=1,IF(AND($E39=2,IF($W39=1,AFS39,JD39)=0),1000000000,IF($V39=1,INDEX('calcA'!$D$130:$EQ$169,$B39,14)+IF(AND($E39=1,JD39=0),25,0),IF($F39&gt;0,INDEX('calcA'!Q$110:Q$114,$F39+1)+IF(AND($E39=1,JD39=0),1000,0),MIN(TU39,20)*400+(IF('calcA'!P$106=1,1-DN39,0)+IF('calcA'!Q$106=1,1-DP39,0))*150+141+'calcA'!Q$5*100000+IF(AND($E39=1,JD39=0),50000,0))+IF($H39=1,INDEX('calcA'!$D$180:$EQ$219,$B39,14)*4000,0)-IF(AND('calcA'!P$117=1,UN39&gt;0),2000,0)-IF(AND($U39=1,'calcA'!Q$117=1,DP39=0),2000,0))),1000000000))</f>
        <v/>
      </c>
      <c r="OT39">
        <f>IF($B39=0,1000000000,IF(INDEX('calcA'!$D$60:$EQ$99,$B39,15)*IF($W39=1,DP39+AAE39,DP39)=1,IF(AND($E39=2,IF($W39=1,AFT39,JE39)=0),1000000000,IF($V39=1,INDEX('calcA'!$D$130:$EQ$169,$B39,15)+IF(AND($E39=1,JE39=0),25,0),IF($F39&gt;0,INDEX('calcA'!R$110:R$114,$F39+1)+IF(AND($E39=1,JE39=0),1000,0),MIN(TU39,20)*400+(IF('calcA'!Q$106=1,1-DO39,0)+IF('calcA'!R$106=1,1-DQ39,0))*150+151+'calcA'!R$5*100000+IF(AND($E39=1,JE39=0),50000,0))+IF($H39=1,INDEX('calcA'!$D$180:$EQ$219,$B39,15)*4000,0)-IF(AND('calcA'!Q$117=1,UO39&gt;0),2000,0)-IF(AND($U39=1,'calcA'!R$117=1,DQ39=0),2000,0))),1000000000))</f>
        <v/>
      </c>
      <c r="OU39">
        <f>IF($B39=0,1000000000,IF(INDEX('calcA'!$D$60:$EQ$99,$B39,16)*IF($W39=1,DQ39+AAF39,DQ39)=1,IF(AND($E39=2,IF($W39=1,AFU39,JF39)=0),1000000000,IF($V39=1,INDEX('calcA'!$D$130:$EQ$169,$B39,16)+IF(AND($E39=1,JF39=0),25,0),IF($F39&gt;0,INDEX('calcA'!S$110:S$114,$F39+1)+IF(AND($E39=1,JF39=0),1000,0),MIN(TU39,20)*400+(IF('calcA'!R$106=1,1-DP39,0)+IF('calcA'!S$106=1,1-DR39,0))*150+161+'calcA'!S$5*100000+IF(AND($E39=1,JF39=0),50000,0))+IF($H39=1,INDEX('calcA'!$D$180:$EQ$219,$B39,16)*4000,0)-IF(AND('calcA'!R$117=1,UP39&gt;0),2000,0)-IF(AND($U39=1,'calcA'!S$117=1,DR39=0),2000,0))),1000000000))</f>
        <v/>
      </c>
      <c r="OV39">
        <f>IF($B39=0,1000000000,IF(INDEX('calcA'!$D$60:$EQ$99,$B39,17)*IF($W39=1,DR39+AAG39,DR39)=1,IF(AND($E39=2,IF($W39=1,AFV39,JG39)=0),1000000000,IF($V39=1,INDEX('calcA'!$D$130:$EQ$169,$B39,17)+IF(AND($E39=1,JG39=0),25,0),IF($F39&gt;0,INDEX('calcA'!T$110:T$114,$F39+1)+IF(AND($E39=1,JG39=0),1000,0),MIN(TU39,20)*400+(IF('calcA'!S$106=1,1-DQ39,0)+IF('calcA'!T$106=1,1-DS39,0))*150+171+'calcA'!T$5*100000+IF(AND($E39=1,JG39=0),50000,0))+IF($H39=1,INDEX('calcA'!$D$180:$EQ$219,$B39,17)*4000,0)-IF(AND('calcA'!S$117=1,UQ39&gt;0),2000,0)-IF(AND($U39=1,'calcA'!T$117=1,DS39=0),2000,0))),1000000000))</f>
        <v/>
      </c>
      <c r="OW39">
        <f>IF($B39=0,1000000000,IF(INDEX('calcA'!$D$60:$EQ$99,$B39,18)*IF($W39=1,DS39+AAH39,DS39)=1,IF(AND($E39=2,IF($W39=1,AFW39,JH39)=0),1000000000,IF($V39=1,INDEX('calcA'!$D$130:$EQ$169,$B39,18)+IF(AND($E39=1,JH39=0),25,0),IF($F39&gt;0,INDEX('calcA'!U$110:U$114,$F39+1)+IF(AND($E39=1,JH39=0),1000,0),MIN(TU39,20)*400+(IF('calcA'!T$106=1,1-DR39,0)+IF('calcA'!U$106=1,1-DT39,0))*150+181+'calcA'!U$5*100000+IF(AND($E39=1,JH39=0),50000,0))+IF($H39=1,INDEX('calcA'!$D$180:$EQ$219,$B39,18)*4000,0)-IF(AND('calcA'!T$117=1,UR39&gt;0),2000,0)-IF(AND($U39=1,'calcA'!U$117=1,DT39=0),2000,0))),1000000000))</f>
        <v/>
      </c>
      <c r="OX39">
        <f>IF($B39=0,1000000000,IF(INDEX('calcA'!$D$60:$EQ$99,$B39,19)*IF($W39=1,DT39+AAI39,DT39)=1,IF(AND($E39=2,IF($W39=1,AFX39,JI39)=0),1000000000,IF($V39=1,INDEX('calcA'!$D$130:$EQ$169,$B39,19)+IF(AND($E39=1,JI39=0),25,0),IF($F39&gt;0,INDEX('calcA'!V$110:V$114,$F39+1)+IF(AND($E39=1,JI39=0),1000,0),MIN(TU39,20)*400+(IF('calcA'!U$106=1,1-DS39,0)+IF('calcA'!V$106=1,1-DU39,0))*150+191+'calcA'!V$5*100000+IF(AND($E39=1,JI39=0),50000,0))+IF($H39=1,INDEX('calcA'!$D$180:$EQ$219,$B39,19)*4000,0)-IF(AND('calcA'!U$117=1,US39&gt;0),2000,0)-IF(AND($U39=1,'calcA'!V$117=1,DU39=0),2000,0))),1000000000))</f>
        <v/>
      </c>
      <c r="OY39">
        <f>IF($B39=0,1000000000,IF(INDEX('calcA'!$D$60:$EQ$99,$B39,20)*IF($W39=1,DU39+AAJ39,DU39)=1,IF(AND($E39=2,IF($W39=1,AFY39,JJ39)=0),1000000000,IF($V39=1,INDEX('calcA'!$D$130:$EQ$169,$B39,20)+IF(AND($E39=1,JJ39=0),25,0),IF($F39&gt;0,INDEX('calcA'!W$110:W$114,$F39+1)+IF(AND($E39=1,JJ39=0),1000,0),MIN(TU39,20)*400+(IF('calcA'!V$106=1,1-DT39,0)+IF('calcA'!W$106=1,1-DV39,0))*150+201+'calcA'!W$5*100000+IF(AND($E39=1,JJ39=0),50000,0))+IF($H39=1,INDEX('calcA'!$D$180:$EQ$219,$B39,20)*4000,0)-IF(AND('calcA'!V$117=1,UT39&gt;0),2000,0)-IF(AND($U39=1,'calcA'!W$117=1,DV39=0),2000,0))),1000000000))</f>
        <v/>
      </c>
      <c r="OZ39">
        <f>IF($B39=0,1000000000,IF(INDEX('calcA'!$D$60:$EQ$99,$B39,21)*IF($W39=1,DV39+AAK39,DV39)=1,IF(AND($E39=2,IF($W39=1,AFZ39,JK39)=0),1000000000,IF($V39=1,INDEX('calcA'!$D$130:$EQ$169,$B39,21)+IF(AND($E39=1,JK39=0),25,0),IF($F39&gt;0,INDEX('calcA'!X$110:X$114,$F39+1)+IF(AND($E39=1,JK39=0),1000,0),MIN(TU39,20)*400+(IF('calcA'!W$106=1,1-DU39,0)+IF('calcA'!X$106=1,1-DW39,0))*150+211+'calcA'!X$5*100000+IF(AND($E39=1,JK39=0),50000,0))+IF($H39=1,INDEX('calcA'!$D$180:$EQ$219,$B39,21)*4000,0)-IF(AND('calcA'!W$117=1,UU39&gt;0),2000,0)-IF(AND($U39=1,'calcA'!X$117=1,DW39=0),2000,0))),1000000000))</f>
        <v/>
      </c>
      <c r="PA39">
        <f>IF($B39=0,1000000000,IF(INDEX('calcA'!$D$60:$EQ$99,$B39,22)*IF($W39=1,DW39+AAL39,DW39)=1,IF(AND($E39=2,IF($W39=1,AGA39,JL39)=0),1000000000,IF($V39=1,INDEX('calcA'!$D$130:$EQ$169,$B39,22)+IF(AND($E39=1,JL39=0),25,0),IF($F39&gt;0,INDEX('calcA'!Y$110:Y$114,$F39+1)+IF(AND($E39=1,JL39=0),1000,0),MIN(TU39,20)*400+(IF('calcA'!X$106=1,1-DV39,0)+IF('calcA'!Y$106=1,1-DX39,0))*150+221+'calcA'!Y$5*100000+IF(AND($E39=1,JL39=0),50000,0))+IF($H39=1,INDEX('calcA'!$D$180:$EQ$219,$B39,22)*4000,0)-IF(AND('calcA'!X$117=1,UV39&gt;0),2000,0)-IF(AND($U39=1,'calcA'!Y$117=1,DX39=0),2000,0))),1000000000))</f>
        <v/>
      </c>
      <c r="PB39">
        <f>IF($B39=0,1000000000,IF(INDEX('calcA'!$D$60:$EQ$99,$B39,23)*IF($W39=1,DX39+AAM39,DX39)=1,IF(AND($E39=2,IF($W39=1,AGB39,JM39)=0),1000000000,IF($V39=1,INDEX('calcA'!$D$130:$EQ$169,$B39,23)+IF(AND($E39=1,JM39=0),25,0),IF($F39&gt;0,INDEX('calcA'!Z$110:Z$114,$F39+1)+IF(AND($E39=1,JM39=0),1000,0),MIN(TU39,20)*400+(IF('calcA'!Y$106=1,1-DW39,0)+IF('calcA'!Z$106=1,1-DY39,0))*150+231+'calcA'!Z$5*100000+IF(AND($E39=1,JM39=0),50000,0))+IF($H39=1,INDEX('calcA'!$D$180:$EQ$219,$B39,23)*4000,0)-IF(AND('calcA'!Y$117=1,UW39&gt;0),2000,0)-IF(AND($U39=1,'calcA'!Z$117=1,DY39=0),2000,0))),1000000000))</f>
        <v/>
      </c>
      <c r="PC39">
        <f>IF($B39=0,1000000000,IF(INDEX('calcA'!$D$60:$EQ$99,$B39,24)*IF($W39=1,DY39+AAN39,DY39)=1,IF(AND($E39=2,IF($W39=1,AGC39,JN39)=0),1000000000,IF($V39=1,INDEX('calcA'!$D$130:$EQ$169,$B39,24)+IF(AND($E39=1,JN39=0),25,0),IF($F39&gt;0,INDEX('calcA'!AA$110:AA$114,$F39+1)+IF(AND($E39=1,JN39=0),1000,0),MIN(TU39,20)*400+(IF('calcA'!Z$106=1,1-DX39,0))*150+241+'calcA'!AA$5*100000+IF(AND($E39=1,JN39=0),50000,0))+IF($H39=1,INDEX('calcA'!$D$180:$EQ$219,$B39,24)*4000,0)-IF(AND('calcA'!Z$117=1,UX39&gt;0),2000,0))),1000000000))</f>
        <v/>
      </c>
      <c r="PD39">
        <f>IF($B39=0,1000000000,IF(INDEX('calcA'!$D$60:$EQ$99,$B39,25)*IF($W39=1,DZ39+AAO39,DZ39)=1,IF(AND($E39=2,IF($W39=1,AGD39,JO39)=0),1000000000,IF($V39=1,INDEX('calcA'!$D$130:$EQ$169,$B39,25)+IF(AND($E39=1,JO39=0),25,0),IF($F39&gt;0,INDEX('calcA'!AB$110:AB$114,$F39+1)+IF(AND($E39=1,JO39=0),1000,0),MIN(TV39,20)*400+(IF('calcA'!AB$106=1,1-EA39,0))*150+12+'calcA'!AB$5*100000+IF(AND($E39=1,JO39=0),50000,0))+IF($H39=1,INDEX('calcA'!$D$180:$EQ$219,$B39,25)*4000,0)-IF(AND($U39=1,'calcA'!AB$117=1,EA39=0),2000,0))),1000000000))</f>
        <v/>
      </c>
      <c r="PE39">
        <f>IF($B39=0,1000000000,IF(INDEX('calcA'!$D$60:$EQ$99,$B39,26)*IF($W39=1,EA39+AAP39,EA39)=1,IF(AND($E39=2,IF($W39=1,AGE39,JP39)=0),1000000000,IF($V39=1,INDEX('calcA'!$D$130:$EQ$169,$B39,26)+IF(AND($E39=1,JP39=0),25,0),IF($F39&gt;0,INDEX('calcA'!AC$110:AC$114,$F39+1)+IF(AND($E39=1,JP39=0),1000,0),MIN(TV39,20)*400+(IF('calcA'!AB$106=1,1-DZ39,0)+IF('calcA'!AC$106=1,1-EB39,0))*150+22+'calcA'!AC$5*100000+IF(AND($E39=1,JP39=0),50000,0))+IF($H39=1,INDEX('calcA'!$D$180:$EQ$219,$B39,26)*4000,0)-IF(AND('calcA'!AB$117=1,UZ39&gt;0),2000,0)-IF(AND($U39=1,'calcA'!AC$117=1,EB39=0),2000,0))),1000000000))</f>
        <v/>
      </c>
      <c r="PF39">
        <f>IF($B39=0,1000000000,IF(INDEX('calcA'!$D$60:$EQ$99,$B39,27)*IF($W39=1,EB39+AAQ39,EB39)=1,IF(AND($E39=2,IF($W39=1,AGF39,JQ39)=0),1000000000,IF($V39=1,INDEX('calcA'!$D$130:$EQ$169,$B39,27)+IF(AND($E39=1,JQ39=0),25,0),IF($F39&gt;0,INDEX('calcA'!AD$110:AD$114,$F39+1)+IF(AND($E39=1,JQ39=0),1000,0),MIN(TV39,20)*400+(IF('calcA'!AC$106=1,1-EA39,0)+IF('calcA'!AD$106=1,1-EC39,0))*150+32+'calcA'!AD$5*100000+IF(AND($E39=1,JQ39=0),50000,0))+IF($H39=1,INDEX('calcA'!$D$180:$EQ$219,$B39,27)*4000,0)-IF(AND('calcA'!AC$117=1,VA39&gt;0),2000,0)-IF(AND($U39=1,'calcA'!AD$117=1,EC39=0),2000,0))),1000000000))</f>
        <v/>
      </c>
      <c r="PG39">
        <f>IF($B39=0,1000000000,IF(INDEX('calcA'!$D$60:$EQ$99,$B39,28)*IF($W39=1,EC39+AAR39,EC39)=1,IF(AND($E39=2,IF($W39=1,AGG39,JR39)=0),1000000000,IF($V39=1,INDEX('calcA'!$D$130:$EQ$169,$B39,28)+IF(AND($E39=1,JR39=0),25,0),IF($F39&gt;0,INDEX('calcA'!AE$110:AE$114,$F39+1)+IF(AND($E39=1,JR39=0),1000,0),MIN(TV39,20)*400+(IF('calcA'!AD$106=1,1-EB39,0)+IF('calcA'!AE$106=1,1-ED39,0))*150+42+'calcA'!AE$5*100000+IF(AND($E39=1,JR39=0),50000,0))+IF($H39=1,INDEX('calcA'!$D$180:$EQ$219,$B39,28)*4000,0)-IF(AND('calcA'!AD$117=1,VB39&gt;0),2000,0)-IF(AND($U39=1,'calcA'!AE$117=1,ED39=0),2000,0))),1000000000))</f>
        <v/>
      </c>
      <c r="PH39">
        <f>IF($B39=0,1000000000,IF(INDEX('calcA'!$D$60:$EQ$99,$B39,29)*IF($W39=1,ED39+AAS39,ED39)=1,IF(AND($E39=2,IF($W39=1,AGH39,JS39)=0),1000000000,IF($V39=1,INDEX('calcA'!$D$130:$EQ$169,$B39,29)+IF(AND($E39=1,JS39=0),25,0),IF($F39&gt;0,INDEX('calcA'!AF$110:AF$114,$F39+1)+IF(AND($E39=1,JS39=0),1000,0),MIN(TV39,20)*400+(IF('calcA'!AE$106=1,1-EC39,0)+IF('calcA'!AF$106=1,1-EE39,0))*150+52+'calcA'!AF$5*100000+IF(AND($E39=1,JS39=0),50000,0))+IF($H39=1,INDEX('calcA'!$D$180:$EQ$219,$B39,29)*4000,0)-IF(AND('calcA'!AE$117=1,VC39&gt;0),2000,0)-IF(AND($U39=1,'calcA'!AF$117=1,EE39=0),2000,0))),1000000000))</f>
        <v/>
      </c>
      <c r="PI39">
        <f>IF($B39=0,1000000000,IF(INDEX('calcA'!$D$60:$EQ$99,$B39,30)*IF($W39=1,EE39+AAT39,EE39)=1,IF(AND($E39=2,IF($W39=1,AGI39,JT39)=0),1000000000,IF($V39=1,INDEX('calcA'!$D$130:$EQ$169,$B39,30)+IF(AND($E39=1,JT39=0),25,0),IF($F39&gt;0,INDEX('calcA'!AG$110:AG$114,$F39+1)+IF(AND($E39=1,JT39=0),1000,0),MIN(TV39,20)*400+(IF('calcA'!AF$106=1,1-ED39,0)+IF('calcA'!AG$106=1,1-EF39,0))*150+62+'calcA'!AG$5*100000+IF(AND($E39=1,JT39=0),50000,0))+IF($H39=1,INDEX('calcA'!$D$180:$EQ$219,$B39,30)*4000,0)-IF(AND('calcA'!AF$117=1,VD39&gt;0),2000,0)-IF(AND($U39=1,'calcA'!AG$117=1,EF39=0),2000,0))),1000000000))</f>
        <v/>
      </c>
      <c r="PJ39">
        <f>IF($B39=0,1000000000,IF(INDEX('calcA'!$D$60:$EQ$99,$B39,31)*IF($W39=1,EF39+AAU39,EF39)=1,IF(AND($E39=2,IF($W39=1,AGJ39,JU39)=0),1000000000,IF($V39=1,INDEX('calcA'!$D$130:$EQ$169,$B39,31)+IF(AND($E39=1,JU39=0),25,0),IF($F39&gt;0,INDEX('calcA'!AH$110:AH$114,$F39+1)+IF(AND($E39=1,JU39=0),1000,0),MIN(TV39,20)*400+(IF('calcA'!AG$106=1,1-EE39,0)+IF('calcA'!AH$106=1,1-EG39,0))*150+72+'calcA'!AH$5*100000+IF(AND($E39=1,JU39=0),50000,0))+IF($H39=1,INDEX('calcA'!$D$180:$EQ$219,$B39,31)*4000,0)-IF(AND('calcA'!AG$117=1,VE39&gt;0),2000,0)-IF(AND($U39=1,'calcA'!AH$117=1,EG39=0),2000,0))),1000000000))</f>
        <v/>
      </c>
      <c r="PK39">
        <f>IF($B39=0,1000000000,IF(INDEX('calcA'!$D$60:$EQ$99,$B39,32)*IF($W39=1,EG39+AAV39,EG39)=1,IF(AND($E39=2,IF($W39=1,AGK39,JV39)=0),1000000000,IF($V39=1,INDEX('calcA'!$D$130:$EQ$169,$B39,32)+IF(AND($E39=1,JV39=0),25,0),IF($F39&gt;0,INDEX('calcA'!AI$110:AI$114,$F39+1)+IF(AND($E39=1,JV39=0),1000,0),MIN(TV39,20)*400+(IF('calcA'!AH$106=1,1-EF39,0)+IF('calcA'!AI$106=1,1-EH39,0))*150+82+'calcA'!AI$5*100000+IF(AND($E39=1,JV39=0),50000,0))+IF($H39=1,INDEX('calcA'!$D$180:$EQ$219,$B39,32)*4000,0)-IF(AND('calcA'!AH$117=1,VF39&gt;0),2000,0)-IF(AND($U39=1,'calcA'!AI$117=1,EH39=0),2000,0))),1000000000))</f>
        <v/>
      </c>
      <c r="PL39">
        <f>IF($B39=0,1000000000,IF(INDEX('calcA'!$D$60:$EQ$99,$B39,33)*IF($W39=1,EH39+AAW39,EH39)=1,IF(AND($E39=2,IF($W39=1,AGL39,JW39)=0),1000000000,IF($V39=1,INDEX('calcA'!$D$130:$EQ$169,$B39,33)+IF(AND($E39=1,JW39=0),25,0),IF($F39&gt;0,INDEX('calcA'!AJ$110:AJ$114,$F39+1)+IF(AND($E39=1,JW39=0),1000,0),MIN(TV39,20)*400+(IF('calcA'!AI$106=1,1-EG39,0)+IF('calcA'!AJ$106=1,1-EI39,0))*150+92+'calcA'!AJ$5*100000+IF(AND($E39=1,JW39=0),50000,0))+IF($H39=1,INDEX('calcA'!$D$180:$EQ$219,$B39,33)*4000,0)-IF(AND('calcA'!AI$117=1,VG39&gt;0),2000,0)-IF(AND($U39=1,'calcA'!AJ$117=1,EI39=0),2000,0))),1000000000))</f>
        <v/>
      </c>
      <c r="PM39">
        <f>IF($B39=0,1000000000,IF(INDEX('calcA'!$D$60:$EQ$99,$B39,34)*IF($W39=1,EI39+AAX39,EI39)=1,IF(AND($E39=2,IF($W39=1,AGM39,JX39)=0),1000000000,IF($V39=1,INDEX('calcA'!$D$130:$EQ$169,$B39,34)+IF(AND($E39=1,JX39=0),25,0),IF($F39&gt;0,INDEX('calcA'!AK$110:AK$114,$F39+1)+IF(AND($E39=1,JX39=0),1000,0),MIN(TV39,20)*400+(IF('calcA'!AJ$106=1,1-EH39,0)+IF('calcA'!AK$106=1,1-EJ39,0))*150+102+'calcA'!AK$5*100000+IF(AND($E39=1,JX39=0),50000,0))+IF($H39=1,INDEX('calcA'!$D$180:$EQ$219,$B39,34)*4000,0)-IF(AND('calcA'!AJ$117=1,VH39&gt;0),2000,0)-IF(AND($U39=1,'calcA'!AK$117=1,EJ39=0),2000,0))),1000000000))</f>
        <v/>
      </c>
      <c r="PN39">
        <f>IF($B39=0,1000000000,IF(INDEX('calcA'!$D$60:$EQ$99,$B39,35)*IF($W39=1,EJ39+AAY39,EJ39)=1,IF(AND($E39=2,IF($W39=1,AGN39,JY39)=0),1000000000,IF($V39=1,INDEX('calcA'!$D$130:$EQ$169,$B39,35)+IF(AND($E39=1,JY39=0),25,0),IF($F39&gt;0,INDEX('calcA'!AL$110:AL$114,$F39+1)+IF(AND($E39=1,JY39=0),1000,0),MIN(TV39,20)*400+(IF('calcA'!AK$106=1,1-EI39,0)+IF('calcA'!AL$106=1,1-EK39,0))*150+112+'calcA'!AL$5*100000+IF(AND($E39=1,JY39=0),50000,0))+IF($H39=1,INDEX('calcA'!$D$180:$EQ$219,$B39,35)*4000,0)-IF(AND('calcA'!AK$117=1,VI39&gt;0),2000,0)-IF(AND($U39=1,'calcA'!AL$117=1,EK39=0),2000,0))),1000000000))</f>
        <v/>
      </c>
      <c r="PO39">
        <f>IF($B39=0,1000000000,IF(INDEX('calcA'!$D$60:$EQ$99,$B39,36)*IF($W39=1,EK39+AAZ39,EK39)=1,IF(AND($E39=2,IF($W39=1,AGO39,JZ39)=0),1000000000,IF($V39=1,INDEX('calcA'!$D$130:$EQ$169,$B39,36)+IF(AND($E39=1,JZ39=0),25,0),IF($F39&gt;0,INDEX('calcA'!AM$110:AM$114,$F39+1)+IF(AND($E39=1,JZ39=0),1000,0),MIN(TV39,20)*400+(IF('calcA'!AL$106=1,1-EJ39,0)+IF('calcA'!AM$106=1,1-EL39,0))*150+122+'calcA'!AM$5*100000+IF(AND($E39=1,JZ39=0),50000,0))+IF($H39=1,INDEX('calcA'!$D$180:$EQ$219,$B39,36)*4000,0)-IF(AND('calcA'!AL$117=1,VJ39&gt;0),2000,0)-IF(AND($U39=1,'calcA'!AM$117=1,EL39=0),2000,0))),1000000000))</f>
        <v/>
      </c>
      <c r="PP39">
        <f>IF($B39=0,1000000000,IF(INDEX('calcA'!$D$60:$EQ$99,$B39,37)*IF($W39=1,EL39+ABA39,EL39)=1,IF(AND($E39=2,IF($W39=1,AGP39,KA39)=0),1000000000,IF($V39=1,INDEX('calcA'!$D$130:$EQ$169,$B39,37)+IF(AND($E39=1,KA39=0),25,0),IF($F39&gt;0,INDEX('calcA'!AN$110:AN$114,$F39+1)+IF(AND($E39=1,KA39=0),1000,0),MIN(TV39,20)*400+(IF('calcA'!AM$106=1,1-EK39,0)+IF('calcA'!AN$106=1,1-EM39,0))*150+132+'calcA'!AN$5*100000+IF(AND($E39=1,KA39=0),50000,0))+IF($H39=1,INDEX('calcA'!$D$180:$EQ$219,$B39,37)*4000,0)-IF(AND('calcA'!AM$117=1,VK39&gt;0),2000,0)-IF(AND($U39=1,'calcA'!AN$117=1,EM39=0),2000,0))),1000000000))</f>
        <v/>
      </c>
      <c r="PQ39">
        <f>IF($B39=0,1000000000,IF(INDEX('calcA'!$D$60:$EQ$99,$B39,38)*IF($W39=1,EM39+ABB39,EM39)=1,IF(AND($E39=2,IF($W39=1,AGQ39,KB39)=0),1000000000,IF($V39=1,INDEX('calcA'!$D$130:$EQ$169,$B39,38)+IF(AND($E39=1,KB39=0),25,0),IF($F39&gt;0,INDEX('calcA'!AO$110:AO$114,$F39+1)+IF(AND($E39=1,KB39=0),1000,0),MIN(TV39,20)*400+(IF('calcA'!AN$106=1,1-EL39,0)+IF('calcA'!AO$106=1,1-EN39,0))*150+142+'calcA'!AO$5*100000+IF(AND($E39=1,KB39=0),50000,0))+IF($H39=1,INDEX('calcA'!$D$180:$EQ$219,$B39,38)*4000,0)-IF(AND('calcA'!AN$117=1,VL39&gt;0),2000,0)-IF(AND($U39=1,'calcA'!AO$117=1,EN39=0),2000,0))),1000000000))</f>
        <v/>
      </c>
      <c r="PR39">
        <f>IF($B39=0,1000000000,IF(INDEX('calcA'!$D$60:$EQ$99,$B39,39)*IF($W39=1,EN39+ABC39,EN39)=1,IF(AND($E39=2,IF($W39=1,AGR39,KC39)=0),1000000000,IF($V39=1,INDEX('calcA'!$D$130:$EQ$169,$B39,39)+IF(AND($E39=1,KC39=0),25,0),IF($F39&gt;0,INDEX('calcA'!AP$110:AP$114,$F39+1)+IF(AND($E39=1,KC39=0),1000,0),MIN(TV39,20)*400+(IF('calcA'!AO$106=1,1-EM39,0)+IF('calcA'!AP$106=1,1-EO39,0))*150+152+'calcA'!AP$5*100000+IF(AND($E39=1,KC39=0),50000,0))+IF($H39=1,INDEX('calcA'!$D$180:$EQ$219,$B39,39)*4000,0)-IF(AND('calcA'!AO$117=1,VM39&gt;0),2000,0)-IF(AND($U39=1,'calcA'!AP$117=1,EO39=0),2000,0))),1000000000))</f>
        <v/>
      </c>
      <c r="PS39">
        <f>IF($B39=0,1000000000,IF(INDEX('calcA'!$D$60:$EQ$99,$B39,40)*IF($W39=1,EO39+ABD39,EO39)=1,IF(AND($E39=2,IF($W39=1,AGS39,KD39)=0),1000000000,IF($V39=1,INDEX('calcA'!$D$130:$EQ$169,$B39,40)+IF(AND($E39=1,KD39=0),25,0),IF($F39&gt;0,INDEX('calcA'!AQ$110:AQ$114,$F39+1)+IF(AND($E39=1,KD39=0),1000,0),MIN(TV39,20)*400+(IF('calcA'!AP$106=1,1-EN39,0)+IF('calcA'!AQ$106=1,1-EP39,0))*150+162+'calcA'!AQ$5*100000+IF(AND($E39=1,KD39=0),50000,0))+IF($H39=1,INDEX('calcA'!$D$180:$EQ$219,$B39,40)*4000,0)-IF(AND('calcA'!AP$117=1,VN39&gt;0),2000,0)-IF(AND($U39=1,'calcA'!AQ$117=1,EP39=0),2000,0))),1000000000))</f>
        <v/>
      </c>
      <c r="PT39">
        <f>IF($B39=0,1000000000,IF(INDEX('calcA'!$D$60:$EQ$99,$B39,41)*IF($W39=1,EP39+ABE39,EP39)=1,IF(AND($E39=2,IF($W39=1,AGT39,KE39)=0),1000000000,IF($V39=1,INDEX('calcA'!$D$130:$EQ$169,$B39,41)+IF(AND($E39=1,KE39=0),25,0),IF($F39&gt;0,INDEX('calcA'!AR$110:AR$114,$F39+1)+IF(AND($E39=1,KE39=0),1000,0),MIN(TV39,20)*400+(IF('calcA'!AQ$106=1,1-EO39,0)+IF('calcA'!AR$106=1,1-EQ39,0))*150+172+'calcA'!AR$5*100000+IF(AND($E39=1,KE39=0),50000,0))+IF($H39=1,INDEX('calcA'!$D$180:$EQ$219,$B39,41)*4000,0)-IF(AND('calcA'!AQ$117=1,VO39&gt;0),2000,0)-IF(AND($U39=1,'calcA'!AR$117=1,EQ39=0),2000,0))),1000000000))</f>
        <v/>
      </c>
      <c r="PU39">
        <f>IF($B39=0,1000000000,IF(INDEX('calcA'!$D$60:$EQ$99,$B39,42)*IF($W39=1,EQ39+ABF39,EQ39)=1,IF(AND($E39=2,IF($W39=1,AGU39,KF39)=0),1000000000,IF($V39=1,INDEX('calcA'!$D$130:$EQ$169,$B39,42)+IF(AND($E39=1,KF39=0),25,0),IF($F39&gt;0,INDEX('calcA'!AS$110:AS$114,$F39+1)+IF(AND($E39=1,KF39=0),1000,0),MIN(TV39,20)*400+(IF('calcA'!AR$106=1,1-EP39,0)+IF('calcA'!AS$106=1,1-ER39,0))*150+182+'calcA'!AS$5*100000+IF(AND($E39=1,KF39=0),50000,0))+IF($H39=1,INDEX('calcA'!$D$180:$EQ$219,$B39,42)*4000,0)-IF(AND('calcA'!AR$117=1,VP39&gt;0),2000,0)-IF(AND($U39=1,'calcA'!AS$117=1,ER39=0),2000,0))),1000000000))</f>
        <v/>
      </c>
      <c r="PV39">
        <f>IF($B39=0,1000000000,IF(INDEX('calcA'!$D$60:$EQ$99,$B39,43)*IF($W39=1,ER39+ABG39,ER39)=1,IF(AND($E39=2,IF($W39=1,AGV39,KG39)=0),1000000000,IF($V39=1,INDEX('calcA'!$D$130:$EQ$169,$B39,43)+IF(AND($E39=1,KG39=0),25,0),IF($F39&gt;0,INDEX('calcA'!AT$110:AT$114,$F39+1)+IF(AND($E39=1,KG39=0),1000,0),MIN(TV39,20)*400+(IF('calcA'!AS$106=1,1-EQ39,0)+IF('calcA'!AT$106=1,1-ES39,0))*150+192+'calcA'!AT$5*100000+IF(AND($E39=1,KG39=0),50000,0))+IF($H39=1,INDEX('calcA'!$D$180:$EQ$219,$B39,43)*4000,0)-IF(AND('calcA'!AS$117=1,VQ39&gt;0),2000,0)-IF(AND($U39=1,'calcA'!AT$117=1,ES39=0),2000,0))),1000000000))</f>
        <v/>
      </c>
      <c r="PW39">
        <f>IF($B39=0,1000000000,IF(INDEX('calcA'!$D$60:$EQ$99,$B39,44)*IF($W39=1,ES39+ABH39,ES39)=1,IF(AND($E39=2,IF($W39=1,AGW39,KH39)=0),1000000000,IF($V39=1,INDEX('calcA'!$D$130:$EQ$169,$B39,44)+IF(AND($E39=1,KH39=0),25,0),IF($F39&gt;0,INDEX('calcA'!AU$110:AU$114,$F39+1)+IF(AND($E39=1,KH39=0),1000,0),MIN(TV39,20)*400+(IF('calcA'!AT$106=1,1-ER39,0)+IF('calcA'!AU$106=1,1-ET39,0))*150+202+'calcA'!AU$5*100000+IF(AND($E39=1,KH39=0),50000,0))+IF($H39=1,INDEX('calcA'!$D$180:$EQ$219,$B39,44)*4000,0)-IF(AND('calcA'!AT$117=1,VR39&gt;0),2000,0)-IF(AND($U39=1,'calcA'!AU$117=1,ET39=0),2000,0))),1000000000))</f>
        <v/>
      </c>
      <c r="PX39">
        <f>IF($B39=0,1000000000,IF(INDEX('calcA'!$D$60:$EQ$99,$B39,45)*IF($W39=1,ET39+ABI39,ET39)=1,IF(AND($E39=2,IF($W39=1,AGX39,KI39)=0),1000000000,IF($V39=1,INDEX('calcA'!$D$130:$EQ$169,$B39,45)+IF(AND($E39=1,KI39=0),25,0),IF($F39&gt;0,INDEX('calcA'!AV$110:AV$114,$F39+1)+IF(AND($E39=1,KI39=0),1000,0),MIN(TV39,20)*400+(IF('calcA'!AU$106=1,1-ES39,0)+IF('calcA'!AV$106=1,1-EU39,0))*150+212+'calcA'!AV$5*100000+IF(AND($E39=1,KI39=0),50000,0))+IF($H39=1,INDEX('calcA'!$D$180:$EQ$219,$B39,45)*4000,0)-IF(AND('calcA'!AU$117=1,VS39&gt;0),2000,0)-IF(AND($U39=1,'calcA'!AV$117=1,EU39=0),2000,0))),1000000000))</f>
        <v/>
      </c>
      <c r="PY39">
        <f>IF($B39=0,1000000000,IF(INDEX('calcA'!$D$60:$EQ$99,$B39,46)*IF($W39=1,EU39+ABJ39,EU39)=1,IF(AND($E39=2,IF($W39=1,AGY39,KJ39)=0),1000000000,IF($V39=1,INDEX('calcA'!$D$130:$EQ$169,$B39,46)+IF(AND($E39=1,KJ39=0),25,0),IF($F39&gt;0,INDEX('calcA'!AW$110:AW$114,$F39+1)+IF(AND($E39=1,KJ39=0),1000,0),MIN(TV39,20)*400+(IF('calcA'!AV$106=1,1-ET39,0)+IF('calcA'!AW$106=1,1-EV39,0))*150+222+'calcA'!AW$5*100000+IF(AND($E39=1,KJ39=0),50000,0))+IF($H39=1,INDEX('calcA'!$D$180:$EQ$219,$B39,46)*4000,0)-IF(AND('calcA'!AV$117=1,VT39&gt;0),2000,0)-IF(AND($U39=1,'calcA'!AW$117=1,EV39=0),2000,0))),1000000000))</f>
        <v/>
      </c>
      <c r="PZ39">
        <f>IF($B39=0,1000000000,IF(INDEX('calcA'!$D$60:$EQ$99,$B39,47)*IF($W39=1,EV39+ABK39,EV39)=1,IF(AND($E39=2,IF($W39=1,AGZ39,KK39)=0),1000000000,IF($V39=1,INDEX('calcA'!$D$130:$EQ$169,$B39,47)+IF(AND($E39=1,KK39=0),25,0),IF($F39&gt;0,INDEX('calcA'!AX$110:AX$114,$F39+1)+IF(AND($E39=1,KK39=0),1000,0),MIN(TV39,20)*400+(IF('calcA'!AW$106=1,1-EU39,0)+IF('calcA'!AX$106=1,1-EW39,0))*150+232+'calcA'!AX$5*100000+IF(AND($E39=1,KK39=0),50000,0))+IF($H39=1,INDEX('calcA'!$D$180:$EQ$219,$B39,47)*4000,0)-IF(AND('calcA'!AW$117=1,VU39&gt;0),2000,0)-IF(AND($U39=1,'calcA'!AX$117=1,EW39=0),2000,0))),1000000000))</f>
        <v/>
      </c>
      <c r="QA39">
        <f>IF($B39=0,1000000000,IF(INDEX('calcA'!$D$60:$EQ$99,$B39,48)*IF($W39=1,EW39+ABL39,EW39)=1,IF(AND($E39=2,IF($W39=1,AHA39,KL39)=0),1000000000,IF($V39=1,INDEX('calcA'!$D$130:$EQ$169,$B39,48)+IF(AND($E39=1,KL39=0),25,0),IF($F39&gt;0,INDEX('calcA'!AY$110:AY$114,$F39+1)+IF(AND($E39=1,KL39=0),1000,0),MIN(TV39,20)*400+(IF('calcA'!AX$106=1,1-EV39,0))*150+242+'calcA'!AY$5*100000+IF(AND($E39=1,KL39=0),50000,0))+IF($H39=1,INDEX('calcA'!$D$180:$EQ$219,$B39,48)*4000,0)-IF(AND('calcA'!AX$117=1,VV39&gt;0),2000,0))),1000000000))</f>
        <v/>
      </c>
      <c r="QB39">
        <f>IF($B39=0,1000000000,IF(INDEX('calcA'!$D$60:$EQ$99,$B39,49)*IF($W39=1,EX39+ABM39,EX39)=1,IF(AND($E39=2,IF($W39=1,AHB39,KM39)=0),1000000000,IF($V39=1,INDEX('calcA'!$D$130:$EQ$169,$B39,49)+IF(AND($E39=1,KM39=0),25,0),IF($F39&gt;0,INDEX('calcA'!AZ$110:AZ$114,$F39+1)+IF(AND($E39=1,KM39=0),1000,0),MIN(TW39,20)*400+(IF('calcA'!AZ$106=1,1-EY39,0))*150+13+'calcA'!AZ$5*100000+IF(AND($E39=1,KM39=0),50000,0))+IF($H39=1,INDEX('calcA'!$D$180:$EQ$219,$B39,49)*4000,0)-IF(AND($U39=1,'calcA'!AZ$117=1,EY39=0),2000,0))),1000000000))</f>
        <v/>
      </c>
      <c r="QC39">
        <f>IF($B39=0,1000000000,IF(INDEX('calcA'!$D$60:$EQ$99,$B39,50)*IF($W39=1,EY39+ABN39,EY39)=1,IF(AND($E39=2,IF($W39=1,AHC39,KN39)=0),1000000000,IF($V39=1,INDEX('calcA'!$D$130:$EQ$169,$B39,50)+IF(AND($E39=1,KN39=0),25,0),IF($F39&gt;0,INDEX('calcA'!BA$110:BA$114,$F39+1)+IF(AND($E39=1,KN39=0),1000,0),MIN(TW39,20)*400+(IF('calcA'!AZ$106=1,1-EX39,0)+IF('calcA'!BA$106=1,1-EZ39,0))*150+23+'calcA'!BA$5*100000+IF(AND($E39=1,KN39=0),50000,0))+IF($H39=1,INDEX('calcA'!$D$180:$EQ$219,$B39,50)*4000,0)-IF(AND('calcA'!AZ$117=1,VX39&gt;0),2000,0)-IF(AND($U39=1,'calcA'!BA$117=1,EZ39=0),2000,0))),1000000000))</f>
        <v/>
      </c>
      <c r="QD39">
        <f>IF($B39=0,1000000000,IF(INDEX('calcA'!$D$60:$EQ$99,$B39,51)*IF($W39=1,EZ39+ABO39,EZ39)=1,IF(AND($E39=2,IF($W39=1,AHD39,KO39)=0),1000000000,IF($V39=1,INDEX('calcA'!$D$130:$EQ$169,$B39,51)+IF(AND($E39=1,KO39=0),25,0),IF($F39&gt;0,INDEX('calcA'!BB$110:BB$114,$F39+1)+IF(AND($E39=1,KO39=0),1000,0),MIN(TW39,20)*400+(IF('calcA'!BA$106=1,1-EY39,0)+IF('calcA'!BB$106=1,1-FA39,0))*150+33+'calcA'!BB$5*100000+IF(AND($E39=1,KO39=0),50000,0))+IF($H39=1,INDEX('calcA'!$D$180:$EQ$219,$B39,51)*4000,0)-IF(AND('calcA'!BA$117=1,VY39&gt;0),2000,0)-IF(AND($U39=1,'calcA'!BB$117=1,FA39=0),2000,0))),1000000000))</f>
        <v/>
      </c>
      <c r="QE39">
        <f>IF($B39=0,1000000000,IF(INDEX('calcA'!$D$60:$EQ$99,$B39,52)*IF($W39=1,FA39+ABP39,FA39)=1,IF(AND($E39=2,IF($W39=1,AHE39,KP39)=0),1000000000,IF($V39=1,INDEX('calcA'!$D$130:$EQ$169,$B39,52)+IF(AND($E39=1,KP39=0),25,0),IF($F39&gt;0,INDEX('calcA'!BC$110:BC$114,$F39+1)+IF(AND($E39=1,KP39=0),1000,0),MIN(TW39,20)*400+(IF('calcA'!BB$106=1,1-EZ39,0)+IF('calcA'!BC$106=1,1-FB39,0))*150+43+'calcA'!BC$5*100000+IF(AND($E39=1,KP39=0),50000,0))+IF($H39=1,INDEX('calcA'!$D$180:$EQ$219,$B39,52)*4000,0)-IF(AND('calcA'!BB$117=1,VZ39&gt;0),2000,0)-IF(AND($U39=1,'calcA'!BC$117=1,FB39=0),2000,0))),1000000000))</f>
        <v/>
      </c>
      <c r="QF39">
        <f>IF($B39=0,1000000000,IF(INDEX('calcA'!$D$60:$EQ$99,$B39,53)*IF($W39=1,FB39+ABQ39,FB39)=1,IF(AND($E39=2,IF($W39=1,AHF39,KQ39)=0),1000000000,IF($V39=1,INDEX('calcA'!$D$130:$EQ$169,$B39,53)+IF(AND($E39=1,KQ39=0),25,0),IF($F39&gt;0,INDEX('calcA'!BD$110:BD$114,$F39+1)+IF(AND($E39=1,KQ39=0),1000,0),MIN(TW39,20)*400+(IF('calcA'!BC$106=1,1-FA39,0)+IF('calcA'!BD$106=1,1-FC39,0))*150+53+'calcA'!BD$5*100000+IF(AND($E39=1,KQ39=0),50000,0))+IF($H39=1,INDEX('calcA'!$D$180:$EQ$219,$B39,53)*4000,0)-IF(AND('calcA'!BC$117=1,WA39&gt;0),2000,0)-IF(AND($U39=1,'calcA'!BD$117=1,FC39=0),2000,0))),1000000000))</f>
        <v/>
      </c>
      <c r="QG39">
        <f>IF($B39=0,1000000000,IF(INDEX('calcA'!$D$60:$EQ$99,$B39,54)*IF($W39=1,FC39+ABR39,FC39)=1,IF(AND($E39=2,IF($W39=1,AHG39,KR39)=0),1000000000,IF($V39=1,INDEX('calcA'!$D$130:$EQ$169,$B39,54)+IF(AND($E39=1,KR39=0),25,0),IF($F39&gt;0,INDEX('calcA'!BE$110:BE$114,$F39+1)+IF(AND($E39=1,KR39=0),1000,0),MIN(TW39,20)*400+(IF('calcA'!BD$106=1,1-FB39,0)+IF('calcA'!BE$106=1,1-FD39,0))*150+63+'calcA'!BE$5*100000+IF(AND($E39=1,KR39=0),50000,0))+IF($H39=1,INDEX('calcA'!$D$180:$EQ$219,$B39,54)*4000,0)-IF(AND('calcA'!BD$117=1,WB39&gt;0),2000,0)-IF(AND($U39=1,'calcA'!BE$117=1,FD39=0),2000,0))),1000000000))</f>
        <v/>
      </c>
      <c r="QH39">
        <f>IF($B39=0,1000000000,IF(INDEX('calcA'!$D$60:$EQ$99,$B39,55)*IF($W39=1,FD39+ABS39,FD39)=1,IF(AND($E39=2,IF($W39=1,AHH39,KS39)=0),1000000000,IF($V39=1,INDEX('calcA'!$D$130:$EQ$169,$B39,55)+IF(AND($E39=1,KS39=0),25,0),IF($F39&gt;0,INDEX('calcA'!BF$110:BF$114,$F39+1)+IF(AND($E39=1,KS39=0),1000,0),MIN(TW39,20)*400+(IF('calcA'!BE$106=1,1-FC39,0)+IF('calcA'!BF$106=1,1-FE39,0))*150+73+'calcA'!BF$5*100000+IF(AND($E39=1,KS39=0),50000,0))+IF($H39=1,INDEX('calcA'!$D$180:$EQ$219,$B39,55)*4000,0)-IF(AND('calcA'!BE$117=1,WC39&gt;0),2000,0)-IF(AND($U39=1,'calcA'!BF$117=1,FE39=0),2000,0))),1000000000))</f>
        <v/>
      </c>
      <c r="QI39">
        <f>IF($B39=0,1000000000,IF(INDEX('calcA'!$D$60:$EQ$99,$B39,56)*IF($W39=1,FE39+ABT39,FE39)=1,IF(AND($E39=2,IF($W39=1,AHI39,KT39)=0),1000000000,IF($V39=1,INDEX('calcA'!$D$130:$EQ$169,$B39,56)+IF(AND($E39=1,KT39=0),25,0),IF($F39&gt;0,INDEX('calcA'!BG$110:BG$114,$F39+1)+IF(AND($E39=1,KT39=0),1000,0),MIN(TW39,20)*400+(IF('calcA'!BF$106=1,1-FD39,0)+IF('calcA'!BG$106=1,1-FF39,0))*150+83+'calcA'!BG$5*100000+IF(AND($E39=1,KT39=0),50000,0))+IF($H39=1,INDEX('calcA'!$D$180:$EQ$219,$B39,56)*4000,0)-IF(AND('calcA'!BF$117=1,WD39&gt;0),2000,0)-IF(AND($U39=1,'calcA'!BG$117=1,FF39=0),2000,0))),1000000000))</f>
        <v/>
      </c>
      <c r="QJ39">
        <f>IF($B39=0,1000000000,IF(INDEX('calcA'!$D$60:$EQ$99,$B39,57)*IF($W39=1,FF39+ABU39,FF39)=1,IF(AND($E39=2,IF($W39=1,AHJ39,KU39)=0),1000000000,IF($V39=1,INDEX('calcA'!$D$130:$EQ$169,$B39,57)+IF(AND($E39=1,KU39=0),25,0),IF($F39&gt;0,INDEX('calcA'!BH$110:BH$114,$F39+1)+IF(AND($E39=1,KU39=0),1000,0),MIN(TW39,20)*400+(IF('calcA'!BG$106=1,1-FE39,0)+IF('calcA'!BH$106=1,1-FG39,0))*150+93+'calcA'!BH$5*100000+IF(AND($E39=1,KU39=0),50000,0))+IF($H39=1,INDEX('calcA'!$D$180:$EQ$219,$B39,57)*4000,0)-IF(AND('calcA'!BG$117=1,WE39&gt;0),2000,0)-IF(AND($U39=1,'calcA'!BH$117=1,FG39=0),2000,0))),1000000000))</f>
        <v/>
      </c>
      <c r="QK39">
        <f>IF($B39=0,1000000000,IF(INDEX('calcA'!$D$60:$EQ$99,$B39,58)*IF($W39=1,FG39+ABV39,FG39)=1,IF(AND($E39=2,IF($W39=1,AHK39,KV39)=0),1000000000,IF($V39=1,INDEX('calcA'!$D$130:$EQ$169,$B39,58)+IF(AND($E39=1,KV39=0),25,0),IF($F39&gt;0,INDEX('calcA'!BI$110:BI$114,$F39+1)+IF(AND($E39=1,KV39=0),1000,0),MIN(TW39,20)*400+(IF('calcA'!BH$106=1,1-FF39,0)+IF('calcA'!BI$106=1,1-FH39,0))*150+103+'calcA'!BI$5*100000+IF(AND($E39=1,KV39=0),50000,0))+IF($H39=1,INDEX('calcA'!$D$180:$EQ$219,$B39,58)*4000,0)-IF(AND('calcA'!BH$117=1,WF39&gt;0),2000,0)-IF(AND($U39=1,'calcA'!BI$117=1,FH39=0),2000,0))),1000000000))</f>
        <v/>
      </c>
      <c r="QL39">
        <f>IF($B39=0,1000000000,IF(INDEX('calcA'!$D$60:$EQ$99,$B39,59)*IF($W39=1,FH39+ABW39,FH39)=1,IF(AND($E39=2,IF($W39=1,AHL39,KW39)=0),1000000000,IF($V39=1,INDEX('calcA'!$D$130:$EQ$169,$B39,59)+IF(AND($E39=1,KW39=0),25,0),IF($F39&gt;0,INDEX('calcA'!BJ$110:BJ$114,$F39+1)+IF(AND($E39=1,KW39=0),1000,0),MIN(TW39,20)*400+(IF('calcA'!BI$106=1,1-FG39,0)+IF('calcA'!BJ$106=1,1-FI39,0))*150+113+'calcA'!BJ$5*100000+IF(AND($E39=1,KW39=0),50000,0))+IF($H39=1,INDEX('calcA'!$D$180:$EQ$219,$B39,59)*4000,0)-IF(AND('calcA'!BI$117=1,WG39&gt;0),2000,0)-IF(AND($U39=1,'calcA'!BJ$117=1,FI39=0),2000,0))),1000000000))</f>
        <v/>
      </c>
      <c r="QM39">
        <f>IF($B39=0,1000000000,IF(INDEX('calcA'!$D$60:$EQ$99,$B39,60)*IF($W39=1,FI39+ABX39,FI39)=1,IF(AND($E39=2,IF($W39=1,AHM39,KX39)=0),1000000000,IF($V39=1,INDEX('calcA'!$D$130:$EQ$169,$B39,60)+IF(AND($E39=1,KX39=0),25,0),IF($F39&gt;0,INDEX('calcA'!BK$110:BK$114,$F39+1)+IF(AND($E39=1,KX39=0),1000,0),MIN(TW39,20)*400+(IF('calcA'!BJ$106=1,1-FH39,0)+IF('calcA'!BK$106=1,1-FJ39,0))*150+123+'calcA'!BK$5*100000+IF(AND($E39=1,KX39=0),50000,0))+IF($H39=1,INDEX('calcA'!$D$180:$EQ$219,$B39,60)*4000,0)-IF(AND('calcA'!BJ$117=1,WH39&gt;0),2000,0)-IF(AND($U39=1,'calcA'!BK$117=1,FJ39=0),2000,0))),1000000000))</f>
        <v/>
      </c>
      <c r="QN39">
        <f>IF($B39=0,1000000000,IF(INDEX('calcA'!$D$60:$EQ$99,$B39,61)*IF($W39=1,FJ39+ABY39,FJ39)=1,IF(AND($E39=2,IF($W39=1,AHN39,KY39)=0),1000000000,IF($V39=1,INDEX('calcA'!$D$130:$EQ$169,$B39,61)+IF(AND($E39=1,KY39=0),25,0),IF($F39&gt;0,INDEX('calcA'!BL$110:BL$114,$F39+1)+IF(AND($E39=1,KY39=0),1000,0),MIN(TW39,20)*400+(IF('calcA'!BK$106=1,1-FI39,0)+IF('calcA'!BL$106=1,1-FK39,0))*150+133+'calcA'!BL$5*100000+IF(AND($E39=1,KY39=0),50000,0))+IF($H39=1,INDEX('calcA'!$D$180:$EQ$219,$B39,61)*4000,0)-IF(AND('calcA'!BK$117=1,WI39&gt;0),2000,0)-IF(AND($U39=1,'calcA'!BL$117=1,FK39=0),2000,0))),1000000000))</f>
        <v/>
      </c>
      <c r="QO39">
        <f>IF($B39=0,1000000000,IF(INDEX('calcA'!$D$60:$EQ$99,$B39,62)*IF($W39=1,FK39+ABZ39,FK39)=1,IF(AND($E39=2,IF($W39=1,AHO39,KZ39)=0),1000000000,IF($V39=1,INDEX('calcA'!$D$130:$EQ$169,$B39,62)+IF(AND($E39=1,KZ39=0),25,0),IF($F39&gt;0,INDEX('calcA'!BM$110:BM$114,$F39+1)+IF(AND($E39=1,KZ39=0),1000,0),MIN(TW39,20)*400+(IF('calcA'!BL$106=1,1-FJ39,0)+IF('calcA'!BM$106=1,1-FL39,0))*150+143+'calcA'!BM$5*100000+IF(AND($E39=1,KZ39=0),50000,0))+IF($H39=1,INDEX('calcA'!$D$180:$EQ$219,$B39,62)*4000,0)-IF(AND('calcA'!BL$117=1,WJ39&gt;0),2000,0)-IF(AND($U39=1,'calcA'!BM$117=1,FL39=0),2000,0))),1000000000))</f>
        <v/>
      </c>
      <c r="QP39">
        <f>IF($B39=0,1000000000,IF(INDEX('calcA'!$D$60:$EQ$99,$B39,63)*IF($W39=1,FL39+ACA39,FL39)=1,IF(AND($E39=2,IF($W39=1,AHP39,LA39)=0),1000000000,IF($V39=1,INDEX('calcA'!$D$130:$EQ$169,$B39,63)+IF(AND($E39=1,LA39=0),25,0),IF($F39&gt;0,INDEX('calcA'!BN$110:BN$114,$F39+1)+IF(AND($E39=1,LA39=0),1000,0),MIN(TW39,20)*400+(IF('calcA'!BM$106=1,1-FK39,0)+IF('calcA'!BN$106=1,1-FM39,0))*150+153+'calcA'!BN$5*100000+IF(AND($E39=1,LA39=0),50000,0))+IF($H39=1,INDEX('calcA'!$D$180:$EQ$219,$B39,63)*4000,0)-IF(AND('calcA'!BM$117=1,WK39&gt;0),2000,0)-IF(AND($U39=1,'calcA'!BN$117=1,FM39=0),2000,0))),1000000000))</f>
        <v/>
      </c>
      <c r="QQ39">
        <f>IF($B39=0,1000000000,IF(INDEX('calcA'!$D$60:$EQ$99,$B39,64)*IF($W39=1,FM39+ACB39,FM39)=1,IF(AND($E39=2,IF($W39=1,AHQ39,LB39)=0),1000000000,IF($V39=1,INDEX('calcA'!$D$130:$EQ$169,$B39,64)+IF(AND($E39=1,LB39=0),25,0),IF($F39&gt;0,INDEX('calcA'!BO$110:BO$114,$F39+1)+IF(AND($E39=1,LB39=0),1000,0),MIN(TW39,20)*400+(IF('calcA'!BN$106=1,1-FL39,0)+IF('calcA'!BO$106=1,1-FN39,0))*150+163+'calcA'!BO$5*100000+IF(AND($E39=1,LB39=0),50000,0))+IF($H39=1,INDEX('calcA'!$D$180:$EQ$219,$B39,64)*4000,0)-IF(AND('calcA'!BN$117=1,WL39&gt;0),2000,0)-IF(AND($U39=1,'calcA'!BO$117=1,FN39=0),2000,0))),1000000000))</f>
        <v/>
      </c>
      <c r="QR39">
        <f>IF($B39=0,1000000000,IF(INDEX('calcA'!$D$60:$EQ$99,$B39,65)*IF($W39=1,FN39+ACC39,FN39)=1,IF(AND($E39=2,IF($W39=1,AHR39,LC39)=0),1000000000,IF($V39=1,INDEX('calcA'!$D$130:$EQ$169,$B39,65)+IF(AND($E39=1,LC39=0),25,0),IF($F39&gt;0,INDEX('calcA'!BP$110:BP$114,$F39+1)+IF(AND($E39=1,LC39=0),1000,0),MIN(TW39,20)*400+(IF('calcA'!BO$106=1,1-FM39,0)+IF('calcA'!BP$106=1,1-FO39,0))*150+173+'calcA'!BP$5*100000+IF(AND($E39=1,LC39=0),50000,0))+IF($H39=1,INDEX('calcA'!$D$180:$EQ$219,$B39,65)*4000,0)-IF(AND('calcA'!BO$117=1,WM39&gt;0),2000,0)-IF(AND($U39=1,'calcA'!BP$117=1,FO39=0),2000,0))),1000000000))</f>
        <v/>
      </c>
      <c r="QS39">
        <f>IF($B39=0,1000000000,IF(INDEX('calcA'!$D$60:$EQ$99,$B39,66)*IF($W39=1,FO39+ACD39,FO39)=1,IF(AND($E39=2,IF($W39=1,AHS39,LD39)=0),1000000000,IF($V39=1,INDEX('calcA'!$D$130:$EQ$169,$B39,66)+IF(AND($E39=1,LD39=0),25,0),IF($F39&gt;0,INDEX('calcA'!BQ$110:BQ$114,$F39+1)+IF(AND($E39=1,LD39=0),1000,0),MIN(TW39,20)*400+(IF('calcA'!BP$106=1,1-FN39,0)+IF('calcA'!BQ$106=1,1-FP39,0))*150+183+'calcA'!BQ$5*100000+IF(AND($E39=1,LD39=0),50000,0))+IF($H39=1,INDEX('calcA'!$D$180:$EQ$219,$B39,66)*4000,0)-IF(AND('calcA'!BP$117=1,WN39&gt;0),2000,0)-IF(AND($U39=1,'calcA'!BQ$117=1,FP39=0),2000,0))),1000000000))</f>
        <v/>
      </c>
      <c r="QT39">
        <f>IF($B39=0,1000000000,IF(INDEX('calcA'!$D$60:$EQ$99,$B39,67)*IF($W39=1,FP39+ACE39,FP39)=1,IF(AND($E39=2,IF($W39=1,AHT39,LE39)=0),1000000000,IF($V39=1,INDEX('calcA'!$D$130:$EQ$169,$B39,67)+IF(AND($E39=1,LE39=0),25,0),IF($F39&gt;0,INDEX('calcA'!BR$110:BR$114,$F39+1)+IF(AND($E39=1,LE39=0),1000,0),MIN(TW39,20)*400+(IF('calcA'!BQ$106=1,1-FO39,0)+IF('calcA'!BR$106=1,1-FQ39,0))*150+193+'calcA'!BR$5*100000+IF(AND($E39=1,LE39=0),50000,0))+IF($H39=1,INDEX('calcA'!$D$180:$EQ$219,$B39,67)*4000,0)-IF(AND('calcA'!BQ$117=1,WO39&gt;0),2000,0)-IF(AND($U39=1,'calcA'!BR$117=1,FQ39=0),2000,0))),1000000000))</f>
        <v/>
      </c>
      <c r="QU39">
        <f>IF($B39=0,1000000000,IF(INDEX('calcA'!$D$60:$EQ$99,$B39,68)*IF($W39=1,FQ39+ACF39,FQ39)=1,IF(AND($E39=2,IF($W39=1,AHU39,LF39)=0),1000000000,IF($V39=1,INDEX('calcA'!$D$130:$EQ$169,$B39,68)+IF(AND($E39=1,LF39=0),25,0),IF($F39&gt;0,INDEX('calcA'!BS$110:BS$114,$F39+1)+IF(AND($E39=1,LF39=0),1000,0),MIN(TW39,20)*400+(IF('calcA'!BR$106=1,1-FP39,0)+IF('calcA'!BS$106=1,1-FR39,0))*150+203+'calcA'!BS$5*100000+IF(AND($E39=1,LF39=0),50000,0))+IF($H39=1,INDEX('calcA'!$D$180:$EQ$219,$B39,68)*4000,0)-IF(AND('calcA'!BR$117=1,WP39&gt;0),2000,0)-IF(AND($U39=1,'calcA'!BS$117=1,FR39=0),2000,0))),1000000000))</f>
        <v/>
      </c>
      <c r="QV39">
        <f>IF($B39=0,1000000000,IF(INDEX('calcA'!$D$60:$EQ$99,$B39,69)*IF($W39=1,FR39+ACG39,FR39)=1,IF(AND($E39=2,IF($W39=1,AHV39,LG39)=0),1000000000,IF($V39=1,INDEX('calcA'!$D$130:$EQ$169,$B39,69)+IF(AND($E39=1,LG39=0),25,0),IF($F39&gt;0,INDEX('calcA'!BT$110:BT$114,$F39+1)+IF(AND($E39=1,LG39=0),1000,0),MIN(TW39,20)*400+(IF('calcA'!BS$106=1,1-FQ39,0)+IF('calcA'!BT$106=1,1-FS39,0))*150+213+'calcA'!BT$5*100000+IF(AND($E39=1,LG39=0),50000,0))+IF($H39=1,INDEX('calcA'!$D$180:$EQ$219,$B39,69)*4000,0)-IF(AND('calcA'!BS$117=1,WQ39&gt;0),2000,0)-IF(AND($U39=1,'calcA'!BT$117=1,FS39=0),2000,0))),1000000000))</f>
        <v/>
      </c>
      <c r="QW39">
        <f>IF($B39=0,1000000000,IF(INDEX('calcA'!$D$60:$EQ$99,$B39,70)*IF($W39=1,FS39+ACH39,FS39)=1,IF(AND($E39=2,IF($W39=1,AHW39,LH39)=0),1000000000,IF($V39=1,INDEX('calcA'!$D$130:$EQ$169,$B39,70)+IF(AND($E39=1,LH39=0),25,0),IF($F39&gt;0,INDEX('calcA'!BU$110:BU$114,$F39+1)+IF(AND($E39=1,LH39=0),1000,0),MIN(TW39,20)*400+(IF('calcA'!BT$106=1,1-FR39,0)+IF('calcA'!BU$106=1,1-FT39,0))*150+223+'calcA'!BU$5*100000+IF(AND($E39=1,LH39=0),50000,0))+IF($H39=1,INDEX('calcA'!$D$180:$EQ$219,$B39,70)*4000,0)-IF(AND('calcA'!BT$117=1,WR39&gt;0),2000,0)-IF(AND($U39=1,'calcA'!BU$117=1,FT39=0),2000,0))),1000000000))</f>
        <v/>
      </c>
      <c r="QX39">
        <f>IF($B39=0,1000000000,IF(INDEX('calcA'!$D$60:$EQ$99,$B39,71)*IF($W39=1,FT39+ACI39,FT39)=1,IF(AND($E39=2,IF($W39=1,AHX39,LI39)=0),1000000000,IF($V39=1,INDEX('calcA'!$D$130:$EQ$169,$B39,71)+IF(AND($E39=1,LI39=0),25,0),IF($F39&gt;0,INDEX('calcA'!BV$110:BV$114,$F39+1)+IF(AND($E39=1,LI39=0),1000,0),MIN(TW39,20)*400+(IF('calcA'!BU$106=1,1-FS39,0)+IF('calcA'!BV$106=1,1-FU39,0))*150+233+'calcA'!BV$5*100000+IF(AND($E39=1,LI39=0),50000,0))+IF($H39=1,INDEX('calcA'!$D$180:$EQ$219,$B39,71)*4000,0)-IF(AND('calcA'!BU$117=1,WS39&gt;0),2000,0)-IF(AND($U39=1,'calcA'!BV$117=1,FU39=0),2000,0))),1000000000))</f>
        <v/>
      </c>
      <c r="QY39">
        <f>IF($B39=0,1000000000,IF(INDEX('calcA'!$D$60:$EQ$99,$B39,72)*IF($W39=1,FU39+ACJ39,FU39)=1,IF(AND($E39=2,IF($W39=1,AHY39,LJ39)=0),1000000000,IF($V39=1,INDEX('calcA'!$D$130:$EQ$169,$B39,72)+IF(AND($E39=1,LJ39=0),25,0),IF($F39&gt;0,INDEX('calcA'!BW$110:BW$114,$F39+1)+IF(AND($E39=1,LJ39=0),1000,0),MIN(TW39,20)*400+(IF('calcA'!BV$106=1,1-FT39,0))*150+243+'calcA'!BW$5*100000+IF(AND($E39=1,LJ39=0),50000,0))+IF($H39=1,INDEX('calcA'!$D$180:$EQ$219,$B39,72)*4000,0)-IF(AND('calcA'!BV$117=1,WT39&gt;0),2000,0))),1000000000))</f>
        <v/>
      </c>
      <c r="QZ39">
        <f>IF($B39=0,1000000000,IF(INDEX('calcA'!$D$60:$EQ$99,$B39,73)*IF($W39=1,FV39+ACK39,FV39)=1,IF(AND($E39=2,IF($W39=1,AHZ39,LK39)=0),1000000000,IF($V39=1,INDEX('calcA'!$D$130:$EQ$169,$B39,73)+IF(AND($E39=1,LK39=0),25,0),IF($F39&gt;0,INDEX('calcA'!BX$110:BX$114,$F39+1)+IF(AND($E39=1,LK39=0),1000,0),MIN(TX39,20)*400+(IF('calcA'!BX$106=1,1-FW39,0))*150+14+'calcA'!BX$5*100000+IF(AND($E39=1,LK39=0),50000,0))+IF($H39=1,INDEX('calcA'!$D$180:$EQ$219,$B39,73)*4000,0)-IF(AND($U39=1,'calcA'!BX$117=1,FW39=0),2000,0))),1000000000))</f>
        <v/>
      </c>
      <c r="RA39">
        <f>IF($B39=0,1000000000,IF(INDEX('calcA'!$D$60:$EQ$99,$B39,74)*IF($W39=1,FW39+ACL39,FW39)=1,IF(AND($E39=2,IF($W39=1,AIA39,LL39)=0),1000000000,IF($V39=1,INDEX('calcA'!$D$130:$EQ$169,$B39,74)+IF(AND($E39=1,LL39=0),25,0),IF($F39&gt;0,INDEX('calcA'!BY$110:BY$114,$F39+1)+IF(AND($E39=1,LL39=0),1000,0),MIN(TX39,20)*400+(IF('calcA'!BX$106=1,1-FV39,0)+IF('calcA'!BY$106=1,1-FX39,0))*150+24+'calcA'!BY$5*100000+IF(AND($E39=1,LL39=0),50000,0))+IF($H39=1,INDEX('calcA'!$D$180:$EQ$219,$B39,74)*4000,0)-IF(AND('calcA'!BX$117=1,WV39&gt;0),2000,0)-IF(AND($U39=1,'calcA'!BY$117=1,FX39=0),2000,0))),1000000000))</f>
        <v/>
      </c>
      <c r="RB39">
        <f>IF($B39=0,1000000000,IF(INDEX('calcA'!$D$60:$EQ$99,$B39,75)*IF($W39=1,FX39+ACM39,FX39)=1,IF(AND($E39=2,IF($W39=1,AIB39,LM39)=0),1000000000,IF($V39=1,INDEX('calcA'!$D$130:$EQ$169,$B39,75)+IF(AND($E39=1,LM39=0),25,0),IF($F39&gt;0,INDEX('calcA'!BZ$110:BZ$114,$F39+1)+IF(AND($E39=1,LM39=0),1000,0),MIN(TX39,20)*400+(IF('calcA'!BY$106=1,1-FW39,0)+IF('calcA'!BZ$106=1,1-FY39,0))*150+34+'calcA'!BZ$5*100000+IF(AND($E39=1,LM39=0),50000,0))+IF($H39=1,INDEX('calcA'!$D$180:$EQ$219,$B39,75)*4000,0)-IF(AND('calcA'!BY$117=1,WW39&gt;0),2000,0)-IF(AND($U39=1,'calcA'!BZ$117=1,FY39=0),2000,0))),1000000000))</f>
        <v/>
      </c>
      <c r="RC39">
        <f>IF($B39=0,1000000000,IF(INDEX('calcA'!$D$60:$EQ$99,$B39,76)*IF($W39=1,FY39+ACN39,FY39)=1,IF(AND($E39=2,IF($W39=1,AIC39,LN39)=0),1000000000,IF($V39=1,INDEX('calcA'!$D$130:$EQ$169,$B39,76)+IF(AND($E39=1,LN39=0),25,0),IF($F39&gt;0,INDEX('calcA'!CA$110:CA$114,$F39+1)+IF(AND($E39=1,LN39=0),1000,0),MIN(TX39,20)*400+(IF('calcA'!BZ$106=1,1-FX39,0)+IF('calcA'!CA$106=1,1-FZ39,0))*150+44+'calcA'!CA$5*100000+IF(AND($E39=1,LN39=0),50000,0))+IF($H39=1,INDEX('calcA'!$D$180:$EQ$219,$B39,76)*4000,0)-IF(AND('calcA'!BZ$117=1,WX39&gt;0),2000,0)-IF(AND($U39=1,'calcA'!CA$117=1,FZ39=0),2000,0))),1000000000))</f>
        <v/>
      </c>
      <c r="RD39">
        <f>IF($B39=0,1000000000,IF(INDEX('calcA'!$D$60:$EQ$99,$B39,77)*IF($W39=1,FZ39+ACO39,FZ39)=1,IF(AND($E39=2,IF($W39=1,AID39,LO39)=0),1000000000,IF($V39=1,INDEX('calcA'!$D$130:$EQ$169,$B39,77)+IF(AND($E39=1,LO39=0),25,0),IF($F39&gt;0,INDEX('calcA'!CB$110:CB$114,$F39+1)+IF(AND($E39=1,LO39=0),1000,0),MIN(TX39,20)*400+(IF('calcA'!CA$106=1,1-FY39,0)+IF('calcA'!CB$106=1,1-GA39,0))*150+54+'calcA'!CB$5*100000+IF(AND($E39=1,LO39=0),50000,0))+IF($H39=1,INDEX('calcA'!$D$180:$EQ$219,$B39,77)*4000,0)-IF(AND('calcA'!CA$117=1,WY39&gt;0),2000,0)-IF(AND($U39=1,'calcA'!CB$117=1,GA39=0),2000,0))),1000000000))</f>
        <v/>
      </c>
      <c r="RE39">
        <f>IF($B39=0,1000000000,IF(INDEX('calcA'!$D$60:$EQ$99,$B39,78)*IF($W39=1,GA39+ACP39,GA39)=1,IF(AND($E39=2,IF($W39=1,AIE39,LP39)=0),1000000000,IF($V39=1,INDEX('calcA'!$D$130:$EQ$169,$B39,78)+IF(AND($E39=1,LP39=0),25,0),IF($F39&gt;0,INDEX('calcA'!CC$110:CC$114,$F39+1)+IF(AND($E39=1,LP39=0),1000,0),MIN(TX39,20)*400+(IF('calcA'!CB$106=1,1-FZ39,0)+IF('calcA'!CC$106=1,1-GB39,0))*150+64+'calcA'!CC$5*100000+IF(AND($E39=1,LP39=0),50000,0))+IF($H39=1,INDEX('calcA'!$D$180:$EQ$219,$B39,78)*4000,0)-IF(AND('calcA'!CB$117=1,WZ39&gt;0),2000,0)-IF(AND($U39=1,'calcA'!CC$117=1,GB39=0),2000,0))),1000000000))</f>
        <v/>
      </c>
      <c r="RF39">
        <f>IF($B39=0,1000000000,IF(INDEX('calcA'!$D$60:$EQ$99,$B39,79)*IF($W39=1,GB39+ACQ39,GB39)=1,IF(AND($E39=2,IF($W39=1,AIF39,LQ39)=0),1000000000,IF($V39=1,INDEX('calcA'!$D$130:$EQ$169,$B39,79)+IF(AND($E39=1,LQ39=0),25,0),IF($F39&gt;0,INDEX('calcA'!CD$110:CD$114,$F39+1)+IF(AND($E39=1,LQ39=0),1000,0),MIN(TX39,20)*400+(IF('calcA'!CC$106=1,1-GA39,0)+IF('calcA'!CD$106=1,1-GC39,0))*150+74+'calcA'!CD$5*100000+IF(AND($E39=1,LQ39=0),50000,0))+IF($H39=1,INDEX('calcA'!$D$180:$EQ$219,$B39,79)*4000,0)-IF(AND('calcA'!CC$117=1,XA39&gt;0),2000,0)-IF(AND($U39=1,'calcA'!CD$117=1,GC39=0),2000,0))),1000000000))</f>
        <v/>
      </c>
      <c r="RG39">
        <f>IF($B39=0,1000000000,IF(INDEX('calcA'!$D$60:$EQ$99,$B39,80)*IF($W39=1,GC39+ACR39,GC39)=1,IF(AND($E39=2,IF($W39=1,AIG39,LR39)=0),1000000000,IF($V39=1,INDEX('calcA'!$D$130:$EQ$169,$B39,80)+IF(AND($E39=1,LR39=0),25,0),IF($F39&gt;0,INDEX('calcA'!CE$110:CE$114,$F39+1)+IF(AND($E39=1,LR39=0),1000,0),MIN(TX39,20)*400+(IF('calcA'!CD$106=1,1-GB39,0)+IF('calcA'!CE$106=1,1-GD39,0))*150+84+'calcA'!CE$5*100000+IF(AND($E39=1,LR39=0),50000,0))+IF($H39=1,INDEX('calcA'!$D$180:$EQ$219,$B39,80)*4000,0)-IF(AND('calcA'!CD$117=1,XB39&gt;0),2000,0)-IF(AND($U39=1,'calcA'!CE$117=1,GD39=0),2000,0))),1000000000))</f>
        <v/>
      </c>
      <c r="RH39">
        <f>IF($B39=0,1000000000,IF(INDEX('calcA'!$D$60:$EQ$99,$B39,81)*IF($W39=1,GD39+ACS39,GD39)=1,IF(AND($E39=2,IF($W39=1,AIH39,LS39)=0),1000000000,IF($V39=1,INDEX('calcA'!$D$130:$EQ$169,$B39,81)+IF(AND($E39=1,LS39=0),25,0),IF($F39&gt;0,INDEX('calcA'!CF$110:CF$114,$F39+1)+IF(AND($E39=1,LS39=0),1000,0),MIN(TX39,20)*400+(IF('calcA'!CE$106=1,1-GC39,0)+IF('calcA'!CF$106=1,1-GE39,0))*150+94+'calcA'!CF$5*100000+IF(AND($E39=1,LS39=0),50000,0))+IF($H39=1,INDEX('calcA'!$D$180:$EQ$219,$B39,81)*4000,0)-IF(AND('calcA'!CE$117=1,XC39&gt;0),2000,0)-IF(AND($U39=1,'calcA'!CF$117=1,GE39=0),2000,0))),1000000000))</f>
        <v/>
      </c>
      <c r="RI39">
        <f>IF($B39=0,1000000000,IF(INDEX('calcA'!$D$60:$EQ$99,$B39,82)*IF($W39=1,GE39+ACT39,GE39)=1,IF(AND($E39=2,IF($W39=1,AII39,LT39)=0),1000000000,IF($V39=1,INDEX('calcA'!$D$130:$EQ$169,$B39,82)+IF(AND($E39=1,LT39=0),25,0),IF($F39&gt;0,INDEX('calcA'!CG$110:CG$114,$F39+1)+IF(AND($E39=1,LT39=0),1000,0),MIN(TX39,20)*400+(IF('calcA'!CF$106=1,1-GD39,0)+IF('calcA'!CG$106=1,1-GF39,0))*150+104+'calcA'!CG$5*100000+IF(AND($E39=1,LT39=0),50000,0))+IF($H39=1,INDEX('calcA'!$D$180:$EQ$219,$B39,82)*4000,0)-IF(AND('calcA'!CF$117=1,XD39&gt;0),2000,0)-IF(AND($U39=1,'calcA'!CG$117=1,GF39=0),2000,0))),1000000000))</f>
        <v/>
      </c>
      <c r="RJ39">
        <f>IF($B39=0,1000000000,IF(INDEX('calcA'!$D$60:$EQ$99,$B39,83)*IF($W39=1,GF39+ACU39,GF39)=1,IF(AND($E39=2,IF($W39=1,AIJ39,LU39)=0),1000000000,IF($V39=1,INDEX('calcA'!$D$130:$EQ$169,$B39,83)+IF(AND($E39=1,LU39=0),25,0),IF($F39&gt;0,INDEX('calcA'!CH$110:CH$114,$F39+1)+IF(AND($E39=1,LU39=0),1000,0),MIN(TX39,20)*400+(IF('calcA'!CG$106=1,1-GE39,0)+IF('calcA'!CH$106=1,1-GG39,0))*150+114+'calcA'!CH$5*100000+IF(AND($E39=1,LU39=0),50000,0))+IF($H39=1,INDEX('calcA'!$D$180:$EQ$219,$B39,83)*4000,0)-IF(AND('calcA'!CG$117=1,XE39&gt;0),2000,0)-IF(AND($U39=1,'calcA'!CH$117=1,GG39=0),2000,0))),1000000000))</f>
        <v/>
      </c>
      <c r="RK39">
        <f>IF($B39=0,1000000000,IF(INDEX('calcA'!$D$60:$EQ$99,$B39,84)*IF($W39=1,GG39+ACV39,GG39)=1,IF(AND($E39=2,IF($W39=1,AIK39,LV39)=0),1000000000,IF($V39=1,INDEX('calcA'!$D$130:$EQ$169,$B39,84)+IF(AND($E39=1,LV39=0),25,0),IF($F39&gt;0,INDEX('calcA'!CI$110:CI$114,$F39+1)+IF(AND($E39=1,LV39=0),1000,0),MIN(TX39,20)*400+(IF('calcA'!CH$106=1,1-GF39,0)+IF('calcA'!CI$106=1,1-GH39,0))*150+124+'calcA'!CI$5*100000+IF(AND($E39=1,LV39=0),50000,0))+IF($H39=1,INDEX('calcA'!$D$180:$EQ$219,$B39,84)*4000,0)-IF(AND('calcA'!CH$117=1,XF39&gt;0),2000,0)-IF(AND($U39=1,'calcA'!CI$117=1,GH39=0),2000,0))),1000000000))</f>
        <v/>
      </c>
      <c r="RL39">
        <f>IF($B39=0,1000000000,IF(INDEX('calcA'!$D$60:$EQ$99,$B39,85)*IF($W39=1,GH39+ACW39,GH39)=1,IF(AND($E39=2,IF($W39=1,AIL39,LW39)=0),1000000000,IF($V39=1,INDEX('calcA'!$D$130:$EQ$169,$B39,85)+IF(AND($E39=1,LW39=0),25,0),IF($F39&gt;0,INDEX('calcA'!CJ$110:CJ$114,$F39+1)+IF(AND($E39=1,LW39=0),1000,0),MIN(TX39,20)*400+(IF('calcA'!CI$106=1,1-GG39,0)+IF('calcA'!CJ$106=1,1-GI39,0))*150+134+'calcA'!CJ$5*100000+IF(AND($E39=1,LW39=0),50000,0))+IF($H39=1,INDEX('calcA'!$D$180:$EQ$219,$B39,85)*4000,0)-IF(AND('calcA'!CI$117=1,XG39&gt;0),2000,0)-IF(AND($U39=1,'calcA'!CJ$117=1,GI39=0),2000,0))),1000000000))</f>
        <v/>
      </c>
      <c r="RM39">
        <f>IF($B39=0,1000000000,IF(INDEX('calcA'!$D$60:$EQ$99,$B39,86)*IF($W39=1,GI39+ACX39,GI39)=1,IF(AND($E39=2,IF($W39=1,AIM39,LX39)=0),1000000000,IF($V39=1,INDEX('calcA'!$D$130:$EQ$169,$B39,86)+IF(AND($E39=1,LX39=0),25,0),IF($F39&gt;0,INDEX('calcA'!CK$110:CK$114,$F39+1)+IF(AND($E39=1,LX39=0),1000,0),MIN(TX39,20)*400+(IF('calcA'!CJ$106=1,1-GH39,0)+IF('calcA'!CK$106=1,1-GJ39,0))*150+144+'calcA'!CK$5*100000+IF(AND($E39=1,LX39=0),50000,0))+IF($H39=1,INDEX('calcA'!$D$180:$EQ$219,$B39,86)*4000,0)-IF(AND('calcA'!CJ$117=1,XH39&gt;0),2000,0)-IF(AND($U39=1,'calcA'!CK$117=1,GJ39=0),2000,0))),1000000000))</f>
        <v/>
      </c>
      <c r="RN39">
        <f>IF($B39=0,1000000000,IF(INDEX('calcA'!$D$60:$EQ$99,$B39,87)*IF($W39=1,GJ39+ACY39,GJ39)=1,IF(AND($E39=2,IF($W39=1,AIN39,LY39)=0),1000000000,IF($V39=1,INDEX('calcA'!$D$130:$EQ$169,$B39,87)+IF(AND($E39=1,LY39=0),25,0),IF($F39&gt;0,INDEX('calcA'!CL$110:CL$114,$F39+1)+IF(AND($E39=1,LY39=0),1000,0),MIN(TX39,20)*400+(IF('calcA'!CK$106=1,1-GI39,0)+IF('calcA'!CL$106=1,1-GK39,0))*150+154+'calcA'!CL$5*100000+IF(AND($E39=1,LY39=0),50000,0))+IF($H39=1,INDEX('calcA'!$D$180:$EQ$219,$B39,87)*4000,0)-IF(AND('calcA'!CK$117=1,XI39&gt;0),2000,0)-IF(AND($U39=1,'calcA'!CL$117=1,GK39=0),2000,0))),1000000000))</f>
        <v/>
      </c>
      <c r="RO39">
        <f>IF($B39=0,1000000000,IF(INDEX('calcA'!$D$60:$EQ$99,$B39,88)*IF($W39=1,GK39+ACZ39,GK39)=1,IF(AND($E39=2,IF($W39=1,AIO39,LZ39)=0),1000000000,IF($V39=1,INDEX('calcA'!$D$130:$EQ$169,$B39,88)+IF(AND($E39=1,LZ39=0),25,0),IF($F39&gt;0,INDEX('calcA'!CM$110:CM$114,$F39+1)+IF(AND($E39=1,LZ39=0),1000,0),MIN(TX39,20)*400+(IF('calcA'!CL$106=1,1-GJ39,0)+IF('calcA'!CM$106=1,1-GL39,0))*150+164+'calcA'!CM$5*100000+IF(AND($E39=1,LZ39=0),50000,0))+IF($H39=1,INDEX('calcA'!$D$180:$EQ$219,$B39,88)*4000,0)-IF(AND('calcA'!CL$117=1,XJ39&gt;0),2000,0)-IF(AND($U39=1,'calcA'!CM$117=1,GL39=0),2000,0))),1000000000))</f>
        <v/>
      </c>
      <c r="RP39">
        <f>IF($B39=0,1000000000,IF(INDEX('calcA'!$D$60:$EQ$99,$B39,89)*IF($W39=1,GL39+ADA39,GL39)=1,IF(AND($E39=2,IF($W39=1,AIP39,MA39)=0),1000000000,IF($V39=1,INDEX('calcA'!$D$130:$EQ$169,$B39,89)+IF(AND($E39=1,MA39=0),25,0),IF($F39&gt;0,INDEX('calcA'!CN$110:CN$114,$F39+1)+IF(AND($E39=1,MA39=0),1000,0),MIN(TX39,20)*400+(IF('calcA'!CM$106=1,1-GK39,0)+IF('calcA'!CN$106=1,1-GM39,0))*150+174+'calcA'!CN$5*100000+IF(AND($E39=1,MA39=0),50000,0))+IF($H39=1,INDEX('calcA'!$D$180:$EQ$219,$B39,89)*4000,0)-IF(AND('calcA'!CM$117=1,XK39&gt;0),2000,0)-IF(AND($U39=1,'calcA'!CN$117=1,GM39=0),2000,0))),1000000000))</f>
        <v/>
      </c>
      <c r="RQ39">
        <f>IF($B39=0,1000000000,IF(INDEX('calcA'!$D$60:$EQ$99,$B39,90)*IF($W39=1,GM39+ADB39,GM39)=1,IF(AND($E39=2,IF($W39=1,AIQ39,MB39)=0),1000000000,IF($V39=1,INDEX('calcA'!$D$130:$EQ$169,$B39,90)+IF(AND($E39=1,MB39=0),25,0),IF($F39&gt;0,INDEX('calcA'!CO$110:CO$114,$F39+1)+IF(AND($E39=1,MB39=0),1000,0),MIN(TX39,20)*400+(IF('calcA'!CN$106=1,1-GL39,0)+IF('calcA'!CO$106=1,1-GN39,0))*150+184+'calcA'!CO$5*100000+IF(AND($E39=1,MB39=0),50000,0))+IF($H39=1,INDEX('calcA'!$D$180:$EQ$219,$B39,90)*4000,0)-IF(AND('calcA'!CN$117=1,XL39&gt;0),2000,0)-IF(AND($U39=1,'calcA'!CO$117=1,GN39=0),2000,0))),1000000000))</f>
        <v/>
      </c>
      <c r="RR39">
        <f>IF($B39=0,1000000000,IF(INDEX('calcA'!$D$60:$EQ$99,$B39,91)*IF($W39=1,GN39+ADC39,GN39)=1,IF(AND($E39=2,IF($W39=1,AIR39,MC39)=0),1000000000,IF($V39=1,INDEX('calcA'!$D$130:$EQ$169,$B39,91)+IF(AND($E39=1,MC39=0),25,0),IF($F39&gt;0,INDEX('calcA'!CP$110:CP$114,$F39+1)+IF(AND($E39=1,MC39=0),1000,0),MIN(TX39,20)*400+(IF('calcA'!CO$106=1,1-GM39,0)+IF('calcA'!CP$106=1,1-GO39,0))*150+194+'calcA'!CP$5*100000+IF(AND($E39=1,MC39=0),50000,0))+IF($H39=1,INDEX('calcA'!$D$180:$EQ$219,$B39,91)*4000,0)-IF(AND('calcA'!CO$117=1,XM39&gt;0),2000,0)-IF(AND($U39=1,'calcA'!CP$117=1,GO39=0),2000,0))),1000000000))</f>
        <v/>
      </c>
      <c r="RS39">
        <f>IF($B39=0,1000000000,IF(INDEX('calcA'!$D$60:$EQ$99,$B39,92)*IF($W39=1,GO39+ADD39,GO39)=1,IF(AND($E39=2,IF($W39=1,AIS39,MD39)=0),1000000000,IF($V39=1,INDEX('calcA'!$D$130:$EQ$169,$B39,92)+IF(AND($E39=1,MD39=0),25,0),IF($F39&gt;0,INDEX('calcA'!CQ$110:CQ$114,$F39+1)+IF(AND($E39=1,MD39=0),1000,0),MIN(TX39,20)*400+(IF('calcA'!CP$106=1,1-GN39,0)+IF('calcA'!CQ$106=1,1-GP39,0))*150+204+'calcA'!CQ$5*100000+IF(AND($E39=1,MD39=0),50000,0))+IF($H39=1,INDEX('calcA'!$D$180:$EQ$219,$B39,92)*4000,0)-IF(AND('calcA'!CP$117=1,XN39&gt;0),2000,0)-IF(AND($U39=1,'calcA'!CQ$117=1,GP39=0),2000,0))),1000000000))</f>
        <v/>
      </c>
      <c r="RT39">
        <f>IF($B39=0,1000000000,IF(INDEX('calcA'!$D$60:$EQ$99,$B39,93)*IF($W39=1,GP39+ADE39,GP39)=1,IF(AND($E39=2,IF($W39=1,AIT39,ME39)=0),1000000000,IF($V39=1,INDEX('calcA'!$D$130:$EQ$169,$B39,93)+IF(AND($E39=1,ME39=0),25,0),IF($F39&gt;0,INDEX('calcA'!CR$110:CR$114,$F39+1)+IF(AND($E39=1,ME39=0),1000,0),MIN(TX39,20)*400+(IF('calcA'!CQ$106=1,1-GO39,0)+IF('calcA'!CR$106=1,1-GQ39,0))*150+214+'calcA'!CR$5*100000+IF(AND($E39=1,ME39=0),50000,0))+IF($H39=1,INDEX('calcA'!$D$180:$EQ$219,$B39,93)*4000,0)-IF(AND('calcA'!CQ$117=1,XO39&gt;0),2000,0)-IF(AND($U39=1,'calcA'!CR$117=1,GQ39=0),2000,0))),1000000000))</f>
        <v/>
      </c>
      <c r="RU39">
        <f>IF($B39=0,1000000000,IF(INDEX('calcA'!$D$60:$EQ$99,$B39,94)*IF($W39=1,GQ39+ADF39,GQ39)=1,IF(AND($E39=2,IF($W39=1,AIU39,MF39)=0),1000000000,IF($V39=1,INDEX('calcA'!$D$130:$EQ$169,$B39,94)+IF(AND($E39=1,MF39=0),25,0),IF($F39&gt;0,INDEX('calcA'!CS$110:CS$114,$F39+1)+IF(AND($E39=1,MF39=0),1000,0),MIN(TX39,20)*400+(IF('calcA'!CR$106=1,1-GP39,0)+IF('calcA'!CS$106=1,1-GR39,0))*150+224+'calcA'!CS$5*100000+IF(AND($E39=1,MF39=0),50000,0))+IF($H39=1,INDEX('calcA'!$D$180:$EQ$219,$B39,94)*4000,0)-IF(AND('calcA'!CR$117=1,XP39&gt;0),2000,0)-IF(AND($U39=1,'calcA'!CS$117=1,GR39=0),2000,0))),1000000000))</f>
        <v/>
      </c>
      <c r="RV39">
        <f>IF($B39=0,1000000000,IF(INDEX('calcA'!$D$60:$EQ$99,$B39,95)*IF($W39=1,GR39+ADG39,GR39)=1,IF(AND($E39=2,IF($W39=1,AIV39,MG39)=0),1000000000,IF($V39=1,INDEX('calcA'!$D$130:$EQ$169,$B39,95)+IF(AND($E39=1,MG39=0),25,0),IF($F39&gt;0,INDEX('calcA'!CT$110:CT$114,$F39+1)+IF(AND($E39=1,MG39=0),1000,0),MIN(TX39,20)*400+(IF('calcA'!CS$106=1,1-GQ39,0)+IF('calcA'!CT$106=1,1-GS39,0))*150+234+'calcA'!CT$5*100000+IF(AND($E39=1,MG39=0),50000,0))+IF($H39=1,INDEX('calcA'!$D$180:$EQ$219,$B39,95)*4000,0)-IF(AND('calcA'!CS$117=1,XQ39&gt;0),2000,0)-IF(AND($U39=1,'calcA'!CT$117=1,GS39=0),2000,0))),1000000000))</f>
        <v/>
      </c>
      <c r="RW39">
        <f>IF($B39=0,1000000000,IF(INDEX('calcA'!$D$60:$EQ$99,$B39,96)*IF($W39=1,GS39+ADH39,GS39)=1,IF(AND($E39=2,IF($W39=1,AIW39,MH39)=0),1000000000,IF($V39=1,INDEX('calcA'!$D$130:$EQ$169,$B39,96)+IF(AND($E39=1,MH39=0),25,0),IF($F39&gt;0,INDEX('calcA'!CU$110:CU$114,$F39+1)+IF(AND($E39=1,MH39=0),1000,0),MIN(TX39,20)*400+(IF('calcA'!CT$106=1,1-GR39,0))*150+244+'calcA'!CU$5*100000+IF(AND($E39=1,MH39=0),50000,0))+IF($H39=1,INDEX('calcA'!$D$180:$EQ$219,$B39,96)*4000,0)-IF(AND('calcA'!CT$117=1,XR39&gt;0),2000,0))),1000000000))</f>
        <v/>
      </c>
      <c r="RX39">
        <f>IF($B39=0,1000000000,IF(INDEX('calcA'!$D$60:$EQ$99,$B39,97)*IF($W39=1,GT39+ADI39,GT39)=1,IF(AND($E39=2,IF($W39=1,AIX39,MI39)=0),1000000000,IF($V39=1,INDEX('calcA'!$D$130:$EQ$169,$B39,97)+IF(AND($E39=1,MI39=0),25,0),IF($F39&gt;0,INDEX('calcA'!CV$110:CV$114,$F39+1)+IF(AND($E39=1,MI39=0),1000,0),MIN(TY39,20)*400+(IF('calcA'!CV$106=1,1-GU39,0))*150+15+'calcA'!CV$5*100000+IF(AND($E39=1,MI39=0),50000,0))+IF($H39=1,INDEX('calcA'!$D$180:$EQ$219,$B39,97)*4000,0)-IF(AND($U39=1,'calcA'!CV$117=1,GU39=0),2000,0))),1000000000))</f>
        <v/>
      </c>
      <c r="RY39">
        <f>IF($B39=0,1000000000,IF(INDEX('calcA'!$D$60:$EQ$99,$B39,98)*IF($W39=1,GU39+ADJ39,GU39)=1,IF(AND($E39=2,IF($W39=1,AIY39,MJ39)=0),1000000000,IF($V39=1,INDEX('calcA'!$D$130:$EQ$169,$B39,98)+IF(AND($E39=1,MJ39=0),25,0),IF($F39&gt;0,INDEX('calcA'!CW$110:CW$114,$F39+1)+IF(AND($E39=1,MJ39=0),1000,0),MIN(TY39,20)*400+(IF('calcA'!CV$106=1,1-GT39,0)+IF('calcA'!CW$106=1,1-GV39,0))*150+25+'calcA'!CW$5*100000+IF(AND($E39=1,MJ39=0),50000,0))+IF($H39=1,INDEX('calcA'!$D$180:$EQ$219,$B39,98)*4000,0)-IF(AND('calcA'!CV$117=1,XT39&gt;0),2000,0)-IF(AND($U39=1,'calcA'!CW$117=1,GV39=0),2000,0))),1000000000))</f>
        <v/>
      </c>
      <c r="RZ39">
        <f>IF($B39=0,1000000000,IF(INDEX('calcA'!$D$60:$EQ$99,$B39,99)*IF($W39=1,GV39+ADK39,GV39)=1,IF(AND($E39=2,IF($W39=1,AIZ39,MK39)=0),1000000000,IF($V39=1,INDEX('calcA'!$D$130:$EQ$169,$B39,99)+IF(AND($E39=1,MK39=0),25,0),IF($F39&gt;0,INDEX('calcA'!CX$110:CX$114,$F39+1)+IF(AND($E39=1,MK39=0),1000,0),MIN(TY39,20)*400+(IF('calcA'!CW$106=1,1-GU39,0)+IF('calcA'!CX$106=1,1-GW39,0))*150+35+'calcA'!CX$5*100000+IF(AND($E39=1,MK39=0),50000,0))+IF($H39=1,INDEX('calcA'!$D$180:$EQ$219,$B39,99)*4000,0)-IF(AND('calcA'!CW$117=1,XU39&gt;0),2000,0)-IF(AND($U39=1,'calcA'!CX$117=1,GW39=0),2000,0))),1000000000))</f>
        <v/>
      </c>
      <c r="SA39">
        <f>IF($B39=0,1000000000,IF(INDEX('calcA'!$D$60:$EQ$99,$B39,100)*IF($W39=1,GW39+ADL39,GW39)=1,IF(AND($E39=2,IF($W39=1,AJA39,ML39)=0),1000000000,IF($V39=1,INDEX('calcA'!$D$130:$EQ$169,$B39,100)+IF(AND($E39=1,ML39=0),25,0),IF($F39&gt;0,INDEX('calcA'!CY$110:CY$114,$F39+1)+IF(AND($E39=1,ML39=0),1000,0),MIN(TY39,20)*400+(IF('calcA'!CX$106=1,1-GV39,0)+IF('calcA'!CY$106=1,1-GX39,0))*150+45+'calcA'!CY$5*100000+IF(AND($E39=1,ML39=0),50000,0))+IF($H39=1,INDEX('calcA'!$D$180:$EQ$219,$B39,100)*4000,0)-IF(AND('calcA'!CX$117=1,XV39&gt;0),2000,0)-IF(AND($U39=1,'calcA'!CY$117=1,GX39=0),2000,0))),1000000000))</f>
        <v/>
      </c>
      <c r="SB39">
        <f>IF($B39=0,1000000000,IF(INDEX('calcA'!$D$60:$EQ$99,$B39,101)*IF($W39=1,GX39+ADM39,GX39)=1,IF(AND($E39=2,IF($W39=1,AJB39,MM39)=0),1000000000,IF($V39=1,INDEX('calcA'!$D$130:$EQ$169,$B39,101)+IF(AND($E39=1,MM39=0),25,0),IF($F39&gt;0,INDEX('calcA'!CZ$110:CZ$114,$F39+1)+IF(AND($E39=1,MM39=0),1000,0),MIN(TY39,20)*400+(IF('calcA'!CY$106=1,1-GW39,0)+IF('calcA'!CZ$106=1,1-GY39,0))*150+55+'calcA'!CZ$5*100000+IF(AND($E39=1,MM39=0),50000,0))+IF($H39=1,INDEX('calcA'!$D$180:$EQ$219,$B39,101)*4000,0)-IF(AND('calcA'!CY$117=1,XW39&gt;0),2000,0)-IF(AND($U39=1,'calcA'!CZ$117=1,GY39=0),2000,0))),1000000000))</f>
        <v/>
      </c>
      <c r="SC39">
        <f>IF($B39=0,1000000000,IF(INDEX('calcA'!$D$60:$EQ$99,$B39,102)*IF($W39=1,GY39+ADN39,GY39)=1,IF(AND($E39=2,IF($W39=1,AJC39,MN39)=0),1000000000,IF($V39=1,INDEX('calcA'!$D$130:$EQ$169,$B39,102)+IF(AND($E39=1,MN39=0),25,0),IF($F39&gt;0,INDEX('calcA'!DA$110:DA$114,$F39+1)+IF(AND($E39=1,MN39=0),1000,0),MIN(TY39,20)*400+(IF('calcA'!CZ$106=1,1-GX39,0)+IF('calcA'!DA$106=1,1-GZ39,0))*150+65+'calcA'!DA$5*100000+IF(AND($E39=1,MN39=0),50000,0))+IF($H39=1,INDEX('calcA'!$D$180:$EQ$219,$B39,102)*4000,0)-IF(AND('calcA'!CZ$117=1,XX39&gt;0),2000,0)-IF(AND($U39=1,'calcA'!DA$117=1,GZ39=0),2000,0))),1000000000))</f>
        <v/>
      </c>
      <c r="SD39">
        <f>IF($B39=0,1000000000,IF(INDEX('calcA'!$D$60:$EQ$99,$B39,103)*IF($W39=1,GZ39+ADO39,GZ39)=1,IF(AND($E39=2,IF($W39=1,AJD39,MO39)=0),1000000000,IF($V39=1,INDEX('calcA'!$D$130:$EQ$169,$B39,103)+IF(AND($E39=1,MO39=0),25,0),IF($F39&gt;0,INDEX('calcA'!DB$110:DB$114,$F39+1)+IF(AND($E39=1,MO39=0),1000,0),MIN(TY39,20)*400+(IF('calcA'!DA$106=1,1-GY39,0)+IF('calcA'!DB$106=1,1-HA39,0))*150+75+'calcA'!DB$5*100000+IF(AND($E39=1,MO39=0),50000,0))+IF($H39=1,INDEX('calcA'!$D$180:$EQ$219,$B39,103)*4000,0)-IF(AND('calcA'!DA$117=1,XY39&gt;0),2000,0)-IF(AND($U39=1,'calcA'!DB$117=1,HA39=0),2000,0))),1000000000))</f>
        <v/>
      </c>
      <c r="SE39">
        <f>IF($B39=0,1000000000,IF(INDEX('calcA'!$D$60:$EQ$99,$B39,104)*IF($W39=1,HA39+ADP39,HA39)=1,IF(AND($E39=2,IF($W39=1,AJE39,MP39)=0),1000000000,IF($V39=1,INDEX('calcA'!$D$130:$EQ$169,$B39,104)+IF(AND($E39=1,MP39=0),25,0),IF($F39&gt;0,INDEX('calcA'!DC$110:DC$114,$F39+1)+IF(AND($E39=1,MP39=0),1000,0),MIN(TY39,20)*400+(IF('calcA'!DB$106=1,1-GZ39,0)+IF('calcA'!DC$106=1,1-HB39,0))*150+85+'calcA'!DC$5*100000+IF(AND($E39=1,MP39=0),50000,0))+IF($H39=1,INDEX('calcA'!$D$180:$EQ$219,$B39,104)*4000,0)-IF(AND('calcA'!DB$117=1,XZ39&gt;0),2000,0)-IF(AND($U39=1,'calcA'!DC$117=1,HB39=0),2000,0))),1000000000))</f>
        <v/>
      </c>
      <c r="SF39">
        <f>IF($B39=0,1000000000,IF(INDEX('calcA'!$D$60:$EQ$99,$B39,105)*IF($W39=1,HB39+ADQ39,HB39)=1,IF(AND($E39=2,IF($W39=1,AJF39,MQ39)=0),1000000000,IF($V39=1,INDEX('calcA'!$D$130:$EQ$169,$B39,105)+IF(AND($E39=1,MQ39=0),25,0),IF($F39&gt;0,INDEX('calcA'!DD$110:DD$114,$F39+1)+IF(AND($E39=1,MQ39=0),1000,0),MIN(TY39,20)*400+(IF('calcA'!DC$106=1,1-HA39,0)+IF('calcA'!DD$106=1,1-HC39,0))*150+95+'calcA'!DD$5*100000+IF(AND($E39=1,MQ39=0),50000,0))+IF($H39=1,INDEX('calcA'!$D$180:$EQ$219,$B39,105)*4000,0)-IF(AND('calcA'!DC$117=1,YA39&gt;0),2000,0)-IF(AND($U39=1,'calcA'!DD$117=1,HC39=0),2000,0))),1000000000))</f>
        <v/>
      </c>
      <c r="SG39">
        <f>IF($B39=0,1000000000,IF(INDEX('calcA'!$D$60:$EQ$99,$B39,106)*IF($W39=1,HC39+ADR39,HC39)=1,IF(AND($E39=2,IF($W39=1,AJG39,MR39)=0),1000000000,IF($V39=1,INDEX('calcA'!$D$130:$EQ$169,$B39,106)+IF(AND($E39=1,MR39=0),25,0),IF($F39&gt;0,INDEX('calcA'!DE$110:DE$114,$F39+1)+IF(AND($E39=1,MR39=0),1000,0),MIN(TY39,20)*400+(IF('calcA'!DD$106=1,1-HB39,0)+IF('calcA'!DE$106=1,1-HD39,0))*150+105+'calcA'!DE$5*100000+IF(AND($E39=1,MR39=0),50000,0))+IF($H39=1,INDEX('calcA'!$D$180:$EQ$219,$B39,106)*4000,0)-IF(AND('calcA'!DD$117=1,YB39&gt;0),2000,0)-IF(AND($U39=1,'calcA'!DE$117=1,HD39=0),2000,0))),1000000000))</f>
        <v/>
      </c>
      <c r="SH39">
        <f>IF($B39=0,1000000000,IF(INDEX('calcA'!$D$60:$EQ$99,$B39,107)*IF($W39=1,HD39+ADS39,HD39)=1,IF(AND($E39=2,IF($W39=1,AJH39,MS39)=0),1000000000,IF($V39=1,INDEX('calcA'!$D$130:$EQ$169,$B39,107)+IF(AND($E39=1,MS39=0),25,0),IF($F39&gt;0,INDEX('calcA'!DF$110:DF$114,$F39+1)+IF(AND($E39=1,MS39=0),1000,0),MIN(TY39,20)*400+(IF('calcA'!DE$106=1,1-HC39,0)+IF('calcA'!DF$106=1,1-HE39,0))*150+115+'calcA'!DF$5*100000+IF(AND($E39=1,MS39=0),50000,0))+IF($H39=1,INDEX('calcA'!$D$180:$EQ$219,$B39,107)*4000,0)-IF(AND('calcA'!DE$117=1,YC39&gt;0),2000,0)-IF(AND($U39=1,'calcA'!DF$117=1,HE39=0),2000,0))),1000000000))</f>
        <v/>
      </c>
      <c r="SI39">
        <f>IF($B39=0,1000000000,IF(INDEX('calcA'!$D$60:$EQ$99,$B39,108)*IF($W39=1,HE39+ADT39,HE39)=1,IF(AND($E39=2,IF($W39=1,AJI39,MT39)=0),1000000000,IF($V39=1,INDEX('calcA'!$D$130:$EQ$169,$B39,108)+IF(AND($E39=1,MT39=0),25,0),IF($F39&gt;0,INDEX('calcA'!DG$110:DG$114,$F39+1)+IF(AND($E39=1,MT39=0),1000,0),MIN(TY39,20)*400+(IF('calcA'!DF$106=1,1-HD39,0)+IF('calcA'!DG$106=1,1-HF39,0))*150+125+'calcA'!DG$5*100000+IF(AND($E39=1,MT39=0),50000,0))+IF($H39=1,INDEX('calcA'!$D$180:$EQ$219,$B39,108)*4000,0)-IF(AND('calcA'!DF$117=1,YD39&gt;0),2000,0)-IF(AND($U39=1,'calcA'!DG$117=1,HF39=0),2000,0))),1000000000))</f>
        <v/>
      </c>
      <c r="SJ39">
        <f>IF($B39=0,1000000000,IF(INDEX('calcA'!$D$60:$EQ$99,$B39,109)*IF($W39=1,HF39+ADU39,HF39)=1,IF(AND($E39=2,IF($W39=1,AJJ39,MU39)=0),1000000000,IF($V39=1,INDEX('calcA'!$D$130:$EQ$169,$B39,109)+IF(AND($E39=1,MU39=0),25,0),IF($F39&gt;0,INDEX('calcA'!DH$110:DH$114,$F39+1)+IF(AND($E39=1,MU39=0),1000,0),MIN(TY39,20)*400+(IF('calcA'!DG$106=1,1-HE39,0)+IF('calcA'!DH$106=1,1-HG39,0))*150+135+'calcA'!DH$5*100000+IF(AND($E39=1,MU39=0),50000,0))+IF($H39=1,INDEX('calcA'!$D$180:$EQ$219,$B39,109)*4000,0)-IF(AND('calcA'!DG$117=1,YE39&gt;0),2000,0)-IF(AND($U39=1,'calcA'!DH$117=1,HG39=0),2000,0))),1000000000))</f>
        <v/>
      </c>
      <c r="SK39">
        <f>IF($B39=0,1000000000,IF(INDEX('calcA'!$D$60:$EQ$99,$B39,110)*IF($W39=1,HG39+ADV39,HG39)=1,IF(AND($E39=2,IF($W39=1,AJK39,MV39)=0),1000000000,IF($V39=1,INDEX('calcA'!$D$130:$EQ$169,$B39,110)+IF(AND($E39=1,MV39=0),25,0),IF($F39&gt;0,INDEX('calcA'!DI$110:DI$114,$F39+1)+IF(AND($E39=1,MV39=0),1000,0),MIN(TY39,20)*400+(IF('calcA'!DH$106=1,1-HF39,0)+IF('calcA'!DI$106=1,1-HH39,0))*150+145+'calcA'!DI$5*100000+IF(AND($E39=1,MV39=0),50000,0))+IF($H39=1,INDEX('calcA'!$D$180:$EQ$219,$B39,110)*4000,0)-IF(AND('calcA'!DH$117=1,YF39&gt;0),2000,0)-IF(AND($U39=1,'calcA'!DI$117=1,HH39=0),2000,0))),1000000000))</f>
        <v/>
      </c>
      <c r="SL39">
        <f>IF($B39=0,1000000000,IF(INDEX('calcA'!$D$60:$EQ$99,$B39,111)*IF($W39=1,HH39+ADW39,HH39)=1,IF(AND($E39=2,IF($W39=1,AJL39,MW39)=0),1000000000,IF($V39=1,INDEX('calcA'!$D$130:$EQ$169,$B39,111)+IF(AND($E39=1,MW39=0),25,0),IF($F39&gt;0,INDEX('calcA'!DJ$110:DJ$114,$F39+1)+IF(AND($E39=1,MW39=0),1000,0),MIN(TY39,20)*400+(IF('calcA'!DI$106=1,1-HG39,0)+IF('calcA'!DJ$106=1,1-HI39,0))*150+155+'calcA'!DJ$5*100000+IF(AND($E39=1,MW39=0),50000,0))+IF($H39=1,INDEX('calcA'!$D$180:$EQ$219,$B39,111)*4000,0)-IF(AND('calcA'!DI$117=1,YG39&gt;0),2000,0)-IF(AND($U39=1,'calcA'!DJ$117=1,HI39=0),2000,0))),1000000000))</f>
        <v/>
      </c>
      <c r="SM39">
        <f>IF($B39=0,1000000000,IF(INDEX('calcA'!$D$60:$EQ$99,$B39,112)*IF($W39=1,HI39+ADX39,HI39)=1,IF(AND($E39=2,IF($W39=1,AJM39,MX39)=0),1000000000,IF($V39=1,INDEX('calcA'!$D$130:$EQ$169,$B39,112)+IF(AND($E39=1,MX39=0),25,0),IF($F39&gt;0,INDEX('calcA'!DK$110:DK$114,$F39+1)+IF(AND($E39=1,MX39=0),1000,0),MIN(TY39,20)*400+(IF('calcA'!DJ$106=1,1-HH39,0)+IF('calcA'!DK$106=1,1-HJ39,0))*150+165+'calcA'!DK$5*100000+IF(AND($E39=1,MX39=0),50000,0))+IF($H39=1,INDEX('calcA'!$D$180:$EQ$219,$B39,112)*4000,0)-IF(AND('calcA'!DJ$117=1,YH39&gt;0),2000,0)-IF(AND($U39=1,'calcA'!DK$117=1,HJ39=0),2000,0))),1000000000))</f>
        <v/>
      </c>
      <c r="SN39">
        <f>IF($B39=0,1000000000,IF(INDEX('calcA'!$D$60:$EQ$99,$B39,113)*IF($W39=1,HJ39+ADY39,HJ39)=1,IF(AND($E39=2,IF($W39=1,AJN39,MY39)=0),1000000000,IF($V39=1,INDEX('calcA'!$D$130:$EQ$169,$B39,113)+IF(AND($E39=1,MY39=0),25,0),IF($F39&gt;0,INDEX('calcA'!DL$110:DL$114,$F39+1)+IF(AND($E39=1,MY39=0),1000,0),MIN(TY39,20)*400+(IF('calcA'!DK$106=1,1-HI39,0)+IF('calcA'!DL$106=1,1-HK39,0))*150+175+'calcA'!DL$5*100000+IF(AND($E39=1,MY39=0),50000,0))+IF($H39=1,INDEX('calcA'!$D$180:$EQ$219,$B39,113)*4000,0)-IF(AND('calcA'!DK$117=1,YI39&gt;0),2000,0)-IF(AND($U39=1,'calcA'!DL$117=1,HK39=0),2000,0))),1000000000))</f>
        <v/>
      </c>
      <c r="SO39">
        <f>IF($B39=0,1000000000,IF(INDEX('calcA'!$D$60:$EQ$99,$B39,114)*IF($W39=1,HK39+ADZ39,HK39)=1,IF(AND($E39=2,IF($W39=1,AJO39,MZ39)=0),1000000000,IF($V39=1,INDEX('calcA'!$D$130:$EQ$169,$B39,114)+IF(AND($E39=1,MZ39=0),25,0),IF($F39&gt;0,INDEX('calcA'!DM$110:DM$114,$F39+1)+IF(AND($E39=1,MZ39=0),1000,0),MIN(TY39,20)*400+(IF('calcA'!DL$106=1,1-HJ39,0)+IF('calcA'!DM$106=1,1-HL39,0))*150+185+'calcA'!DM$5*100000+IF(AND($E39=1,MZ39=0),50000,0))+IF($H39=1,INDEX('calcA'!$D$180:$EQ$219,$B39,114)*4000,0)-IF(AND('calcA'!DL$117=1,YJ39&gt;0),2000,0)-IF(AND($U39=1,'calcA'!DM$117=1,HL39=0),2000,0))),1000000000))</f>
        <v/>
      </c>
      <c r="SP39">
        <f>IF($B39=0,1000000000,IF(INDEX('calcA'!$D$60:$EQ$99,$B39,115)*IF($W39=1,HL39+AEA39,HL39)=1,IF(AND($E39=2,IF($W39=1,AJP39,NA39)=0),1000000000,IF($V39=1,INDEX('calcA'!$D$130:$EQ$169,$B39,115)+IF(AND($E39=1,NA39=0),25,0),IF($F39&gt;0,INDEX('calcA'!DN$110:DN$114,$F39+1)+IF(AND($E39=1,NA39=0),1000,0),MIN(TY39,20)*400+(IF('calcA'!DM$106=1,1-HK39,0)+IF('calcA'!DN$106=1,1-HM39,0))*150+195+'calcA'!DN$5*100000+IF(AND($E39=1,NA39=0),50000,0))+IF($H39=1,INDEX('calcA'!$D$180:$EQ$219,$B39,115)*4000,0)-IF(AND('calcA'!DM$117=1,YK39&gt;0),2000,0)-IF(AND($U39=1,'calcA'!DN$117=1,HM39=0),2000,0))),1000000000))</f>
        <v/>
      </c>
      <c r="SQ39">
        <f>IF($B39=0,1000000000,IF(INDEX('calcA'!$D$60:$EQ$99,$B39,116)*IF($W39=1,HM39+AEB39,HM39)=1,IF(AND($E39=2,IF($W39=1,AJQ39,NB39)=0),1000000000,IF($V39=1,INDEX('calcA'!$D$130:$EQ$169,$B39,116)+IF(AND($E39=1,NB39=0),25,0),IF($F39&gt;0,INDEX('calcA'!DO$110:DO$114,$F39+1)+IF(AND($E39=1,NB39=0),1000,0),MIN(TY39,20)*400+(IF('calcA'!DN$106=1,1-HL39,0)+IF('calcA'!DO$106=1,1-HN39,0))*150+205+'calcA'!DO$5*100000+IF(AND($E39=1,NB39=0),50000,0))+IF($H39=1,INDEX('calcA'!$D$180:$EQ$219,$B39,116)*4000,0)-IF(AND('calcA'!DN$117=1,YL39&gt;0),2000,0)-IF(AND($U39=1,'calcA'!DO$117=1,HN39=0),2000,0))),1000000000))</f>
        <v/>
      </c>
      <c r="SR39">
        <f>IF($B39=0,1000000000,IF(INDEX('calcA'!$D$60:$EQ$99,$B39,117)*IF($W39=1,HN39+AEC39,HN39)=1,IF(AND($E39=2,IF($W39=1,AJR39,NC39)=0),1000000000,IF($V39=1,INDEX('calcA'!$D$130:$EQ$169,$B39,117)+IF(AND($E39=1,NC39=0),25,0),IF($F39&gt;0,INDEX('calcA'!DP$110:DP$114,$F39+1)+IF(AND($E39=1,NC39=0),1000,0),MIN(TY39,20)*400+(IF('calcA'!DO$106=1,1-HM39,0)+IF('calcA'!DP$106=1,1-HO39,0))*150+215+'calcA'!DP$5*100000+IF(AND($E39=1,NC39=0),50000,0))+IF($H39=1,INDEX('calcA'!$D$180:$EQ$219,$B39,117)*4000,0)-IF(AND('calcA'!DO$117=1,YM39&gt;0),2000,0)-IF(AND($U39=1,'calcA'!DP$117=1,HO39=0),2000,0))),1000000000))</f>
        <v/>
      </c>
      <c r="SS39">
        <f>IF($B39=0,1000000000,IF(INDEX('calcA'!$D$60:$EQ$99,$B39,118)*IF($W39=1,HO39+AED39,HO39)=1,IF(AND($E39=2,IF($W39=1,AJS39,ND39)=0),1000000000,IF($V39=1,INDEX('calcA'!$D$130:$EQ$169,$B39,118)+IF(AND($E39=1,ND39=0),25,0),IF($F39&gt;0,INDEX('calcA'!DQ$110:DQ$114,$F39+1)+IF(AND($E39=1,ND39=0),1000,0),MIN(TY39,20)*400+(IF('calcA'!DP$106=1,1-HN39,0)+IF('calcA'!DQ$106=1,1-HP39,0))*150+225+'calcA'!DQ$5*100000+IF(AND($E39=1,ND39=0),50000,0))+IF($H39=1,INDEX('calcA'!$D$180:$EQ$219,$B39,118)*4000,0)-IF(AND('calcA'!DP$117=1,YN39&gt;0),2000,0)-IF(AND($U39=1,'calcA'!DQ$117=1,HP39=0),2000,0))),1000000000))</f>
        <v/>
      </c>
      <c r="ST39">
        <f>IF($B39=0,1000000000,IF(INDEX('calcA'!$D$60:$EQ$99,$B39,119)*IF($W39=1,HP39+AEE39,HP39)=1,IF(AND($E39=2,IF($W39=1,AJT39,NE39)=0),1000000000,IF($V39=1,INDEX('calcA'!$D$130:$EQ$169,$B39,119)+IF(AND($E39=1,NE39=0),25,0),IF($F39&gt;0,INDEX('calcA'!DR$110:DR$114,$F39+1)+IF(AND($E39=1,NE39=0),1000,0),MIN(TY39,20)*400+(IF('calcA'!DQ$106=1,1-HO39,0)+IF('calcA'!DR$106=1,1-HQ39,0))*150+235+'calcA'!DR$5*100000+IF(AND($E39=1,NE39=0),50000,0))+IF($H39=1,INDEX('calcA'!$D$180:$EQ$219,$B39,119)*4000,0)-IF(AND('calcA'!DQ$117=1,YO39&gt;0),2000,0)-IF(AND($U39=1,'calcA'!DR$117=1,HQ39=0),2000,0))),1000000000))</f>
        <v/>
      </c>
      <c r="SU39">
        <f>IF($B39=0,1000000000,IF(INDEX('calcA'!$D$60:$EQ$99,$B39,120)*IF($W39=1,HQ39+AEF39,HQ39)=1,IF(AND($E39=2,IF($W39=1,AJU39,NF39)=0),1000000000,IF($V39=1,INDEX('calcA'!$D$130:$EQ$169,$B39,120)+IF(AND($E39=1,NF39=0),25,0),IF($F39&gt;0,INDEX('calcA'!DS$110:DS$114,$F39+1)+IF(AND($E39=1,NF39=0),1000,0),MIN(TY39,20)*400+(IF('calcA'!DR$106=1,1-HP39,0))*150+245+'calcA'!DS$5*100000+IF(AND($E39=1,NF39=0),50000,0))+IF($H39=1,INDEX('calcA'!$D$180:$EQ$219,$B39,120)*4000,0)-IF(AND('calcA'!DR$117=1,YP39&gt;0),2000,0))),1000000000))</f>
        <v/>
      </c>
      <c r="SV39">
        <f>IF($B39=0,1000000000,IF(INDEX('calcA'!$D$60:$EQ$99,$B39,121)*IF($W39=1,HR39+AEG39,HR39)=1,IF(AND($E39=2,IF($W39=1,AJV39,NG39)=0),1000000000,IF($V39=1,INDEX('calcA'!$D$130:$EQ$169,$B39,121)+IF(AND($E39=1,NG39=0),25,0),IF($F39&gt;0,INDEX('calcA'!DT$110:DT$114,$F39+1)+IF(AND($E39=1,NG39=0),1000,0),MIN(TZ39,20)*400+(IF('calcA'!DT$106=1,1-HS39,0))*150+16+'calcA'!DT$5*100000+IF(AND($E39=1,NG39=0),50000,0))+IF($H39=1,INDEX('calcA'!$D$180:$EQ$219,$B39,121)*4000,0)-IF(AND($U39=1,'calcA'!DT$117=1,HS39=0),2000,0))),1000000000))</f>
        <v/>
      </c>
      <c r="SW39">
        <f>IF($B39=0,1000000000,IF(INDEX('calcA'!$D$60:$EQ$99,$B39,122)*IF($W39=1,HS39+AEH39,HS39)=1,IF(AND($E39=2,IF($W39=1,AJW39,NH39)=0),1000000000,IF($V39=1,INDEX('calcA'!$D$130:$EQ$169,$B39,122)+IF(AND($E39=1,NH39=0),25,0),IF($F39&gt;0,INDEX('calcA'!DU$110:DU$114,$F39+1)+IF(AND($E39=1,NH39=0),1000,0),MIN(TZ39,20)*400+(IF('calcA'!DT$106=1,1-HR39,0)+IF('calcA'!DU$106=1,1-HT39,0))*150+26+'calcA'!DU$5*100000+IF(AND($E39=1,NH39=0),50000,0))+IF($H39=1,INDEX('calcA'!$D$180:$EQ$219,$B39,122)*4000,0)-IF(AND('calcA'!DT$117=1,YR39&gt;0),2000,0)-IF(AND($U39=1,'calcA'!DU$117=1,HT39=0),2000,0))),1000000000))</f>
        <v/>
      </c>
      <c r="SX39">
        <f>IF($B39=0,1000000000,IF(INDEX('calcA'!$D$60:$EQ$99,$B39,123)*IF($W39=1,HT39+AEI39,HT39)=1,IF(AND($E39=2,IF($W39=1,AJX39,NI39)=0),1000000000,IF($V39=1,INDEX('calcA'!$D$130:$EQ$169,$B39,123)+IF(AND($E39=1,NI39=0),25,0),IF($F39&gt;0,INDEX('calcA'!DV$110:DV$114,$F39+1)+IF(AND($E39=1,NI39=0),1000,0),MIN(TZ39,20)*400+(IF('calcA'!DU$106=1,1-HS39,0)+IF('calcA'!DV$106=1,1-HU39,0))*150+36+'calcA'!DV$5*100000+IF(AND($E39=1,NI39=0),50000,0))+IF($H39=1,INDEX('calcA'!$D$180:$EQ$219,$B39,123)*4000,0)-IF(AND('calcA'!DU$117=1,YS39&gt;0),2000,0)-IF(AND($U39=1,'calcA'!DV$117=1,HU39=0),2000,0))),1000000000))</f>
        <v/>
      </c>
      <c r="SY39">
        <f>IF($B39=0,1000000000,IF(INDEX('calcA'!$D$60:$EQ$99,$B39,124)*IF($W39=1,HU39+AEJ39,HU39)=1,IF(AND($E39=2,IF($W39=1,AJY39,NJ39)=0),1000000000,IF($V39=1,INDEX('calcA'!$D$130:$EQ$169,$B39,124)+IF(AND($E39=1,NJ39=0),25,0),IF($F39&gt;0,INDEX('calcA'!DW$110:DW$114,$F39+1)+IF(AND($E39=1,NJ39=0),1000,0),MIN(TZ39,20)*400+(IF('calcA'!DV$106=1,1-HT39,0)+IF('calcA'!DW$106=1,1-HV39,0))*150+46+'calcA'!DW$5*100000+IF(AND($E39=1,NJ39=0),50000,0))+IF($H39=1,INDEX('calcA'!$D$180:$EQ$219,$B39,124)*4000,0)-IF(AND('calcA'!DV$117=1,YT39&gt;0),2000,0)-IF(AND($U39=1,'calcA'!DW$117=1,HV39=0),2000,0))),1000000000))</f>
        <v/>
      </c>
      <c r="SZ39">
        <f>IF($B39=0,1000000000,IF(INDEX('calcA'!$D$60:$EQ$99,$B39,125)*IF($W39=1,HV39+AEK39,HV39)=1,IF(AND($E39=2,IF($W39=1,AJZ39,NK39)=0),1000000000,IF($V39=1,INDEX('calcA'!$D$130:$EQ$169,$B39,125)+IF(AND($E39=1,NK39=0),25,0),IF($F39&gt;0,INDEX('calcA'!DX$110:DX$114,$F39+1)+IF(AND($E39=1,NK39=0),1000,0),MIN(TZ39,20)*400+(IF('calcA'!DW$106=1,1-HU39,0)+IF('calcA'!DX$106=1,1-HW39,0))*150+56+'calcA'!DX$5*100000+IF(AND($E39=1,NK39=0),50000,0))+IF($H39=1,INDEX('calcA'!$D$180:$EQ$219,$B39,125)*4000,0)-IF(AND('calcA'!DW$117=1,YU39&gt;0),2000,0)-IF(AND($U39=1,'calcA'!DX$117=1,HW39=0),2000,0))),1000000000))</f>
        <v/>
      </c>
      <c r="TA39">
        <f>IF($B39=0,1000000000,IF(INDEX('calcA'!$D$60:$EQ$99,$B39,126)*IF($W39=1,HW39+AEL39,HW39)=1,IF(AND($E39=2,IF($W39=1,AKA39,NL39)=0),1000000000,IF($V39=1,INDEX('calcA'!$D$130:$EQ$169,$B39,126)+IF(AND($E39=1,NL39=0),25,0),IF($F39&gt;0,INDEX('calcA'!DY$110:DY$114,$F39+1)+IF(AND($E39=1,NL39=0),1000,0),MIN(TZ39,20)*400+(IF('calcA'!DX$106=1,1-HV39,0)+IF('calcA'!DY$106=1,1-HX39,0))*150+66+'calcA'!DY$5*100000+IF(AND($E39=1,NL39=0),50000,0))+IF($H39=1,INDEX('calcA'!$D$180:$EQ$219,$B39,126)*4000,0)-IF(AND('calcA'!DX$117=1,YV39&gt;0),2000,0)-IF(AND($U39=1,'calcA'!DY$117=1,HX39=0),2000,0))),1000000000))</f>
        <v/>
      </c>
      <c r="TB39">
        <f>IF($B39=0,1000000000,IF(INDEX('calcA'!$D$60:$EQ$99,$B39,127)*IF($W39=1,HX39+AEM39,HX39)=1,IF(AND($E39=2,IF($W39=1,AKB39,NM39)=0),1000000000,IF($V39=1,INDEX('calcA'!$D$130:$EQ$169,$B39,127)+IF(AND($E39=1,NM39=0),25,0),IF($F39&gt;0,INDEX('calcA'!DZ$110:DZ$114,$F39+1)+IF(AND($E39=1,NM39=0),1000,0),MIN(TZ39,20)*400+(IF('calcA'!DY$106=1,1-HW39,0)+IF('calcA'!DZ$106=1,1-HY39,0))*150+76+'calcA'!DZ$5*100000+IF(AND($E39=1,NM39=0),50000,0))+IF($H39=1,INDEX('calcA'!$D$180:$EQ$219,$B39,127)*4000,0)-IF(AND('calcA'!DY$117=1,YW39&gt;0),2000,0)-IF(AND($U39=1,'calcA'!DZ$117=1,HY39=0),2000,0))),1000000000))</f>
        <v/>
      </c>
      <c r="TC39">
        <f>IF($B39=0,1000000000,IF(INDEX('calcA'!$D$60:$EQ$99,$B39,128)*IF($W39=1,HY39+AEN39,HY39)=1,IF(AND($E39=2,IF($W39=1,AKC39,NN39)=0),1000000000,IF($V39=1,INDEX('calcA'!$D$130:$EQ$169,$B39,128)+IF(AND($E39=1,NN39=0),25,0),IF($F39&gt;0,INDEX('calcA'!EA$110:EA$114,$F39+1)+IF(AND($E39=1,NN39=0),1000,0),MIN(TZ39,20)*400+(IF('calcA'!DZ$106=1,1-HX39,0)+IF('calcA'!EA$106=1,1-HZ39,0))*150+86+'calcA'!EA$5*100000+IF(AND($E39=1,NN39=0),50000,0))+IF($H39=1,INDEX('calcA'!$D$180:$EQ$219,$B39,128)*4000,0)-IF(AND('calcA'!DZ$117=1,YX39&gt;0),2000,0)-IF(AND($U39=1,'calcA'!EA$117=1,HZ39=0),2000,0))),1000000000))</f>
        <v/>
      </c>
      <c r="TD39">
        <f>IF($B39=0,1000000000,IF(INDEX('calcA'!$D$60:$EQ$99,$B39,129)*IF($W39=1,HZ39+AEO39,HZ39)=1,IF(AND($E39=2,IF($W39=1,AKD39,NO39)=0),1000000000,IF($V39=1,INDEX('calcA'!$D$130:$EQ$169,$B39,129)+IF(AND($E39=1,NO39=0),25,0),IF($F39&gt;0,INDEX('calcA'!EB$110:EB$114,$F39+1)+IF(AND($E39=1,NO39=0),1000,0),MIN(TZ39,20)*400+(IF('calcA'!EA$106=1,1-HY39,0)+IF('calcA'!EB$106=1,1-IA39,0))*150+96+'calcA'!EB$5*100000+IF(AND($E39=1,NO39=0),50000,0))+IF($H39=1,INDEX('calcA'!$D$180:$EQ$219,$B39,129)*4000,0)-IF(AND('calcA'!EA$117=1,YY39&gt;0),2000,0)-IF(AND($U39=1,'calcA'!EB$117=1,IA39=0),2000,0))),1000000000))</f>
        <v/>
      </c>
      <c r="TE39">
        <f>IF($B39=0,1000000000,IF(INDEX('calcA'!$D$60:$EQ$99,$B39,130)*IF($W39=1,IA39+AEP39,IA39)=1,IF(AND($E39=2,IF($W39=1,AKE39,NP39)=0),1000000000,IF($V39=1,INDEX('calcA'!$D$130:$EQ$169,$B39,130)+IF(AND($E39=1,NP39=0),25,0),IF($F39&gt;0,INDEX('calcA'!EC$110:EC$114,$F39+1)+IF(AND($E39=1,NP39=0),1000,0),MIN(TZ39,20)*400+(IF('calcA'!EB$106=1,1-HZ39,0)+IF('calcA'!EC$106=1,1-IB39,0))*150+106+'calcA'!EC$5*100000+IF(AND($E39=1,NP39=0),50000,0))+IF($H39=1,INDEX('calcA'!$D$180:$EQ$219,$B39,130)*4000,0)-IF(AND('calcA'!EB$117=1,YZ39&gt;0),2000,0)-IF(AND($U39=1,'calcA'!EC$117=1,IB39=0),2000,0))),1000000000))</f>
        <v/>
      </c>
      <c r="TF39">
        <f>IF($B39=0,1000000000,IF(INDEX('calcA'!$D$60:$EQ$99,$B39,131)*IF($W39=1,IB39+AEQ39,IB39)=1,IF(AND($E39=2,IF($W39=1,AKF39,NQ39)=0),1000000000,IF($V39=1,INDEX('calcA'!$D$130:$EQ$169,$B39,131)+IF(AND($E39=1,NQ39=0),25,0),IF($F39&gt;0,INDEX('calcA'!ED$110:ED$114,$F39+1)+IF(AND($E39=1,NQ39=0),1000,0),MIN(TZ39,20)*400+(IF('calcA'!EC$106=1,1-IA39,0)+IF('calcA'!ED$106=1,1-IC39,0))*150+116+'calcA'!ED$5*100000+IF(AND($E39=1,NQ39=0),50000,0))+IF($H39=1,INDEX('calcA'!$D$180:$EQ$219,$B39,131)*4000,0)-IF(AND('calcA'!EC$117=1,ZA39&gt;0),2000,0)-IF(AND($U39=1,'calcA'!ED$117=1,IC39=0),2000,0))),1000000000))</f>
        <v/>
      </c>
      <c r="TG39">
        <f>IF($B39=0,1000000000,IF(INDEX('calcA'!$D$60:$EQ$99,$B39,132)*IF($W39=1,IC39+AER39,IC39)=1,IF(AND($E39=2,IF($W39=1,AKG39,NR39)=0),1000000000,IF($V39=1,INDEX('calcA'!$D$130:$EQ$169,$B39,132)+IF(AND($E39=1,NR39=0),25,0),IF($F39&gt;0,INDEX('calcA'!EE$110:EE$114,$F39+1)+IF(AND($E39=1,NR39=0),1000,0),MIN(TZ39,20)*400+(IF('calcA'!ED$106=1,1-IB39,0)+IF('calcA'!EE$106=1,1-ID39,0))*150+126+'calcA'!EE$5*100000+IF(AND($E39=1,NR39=0),50000,0))+IF($H39=1,INDEX('calcA'!$D$180:$EQ$219,$B39,132)*4000,0)-IF(AND('calcA'!ED$117=1,ZB39&gt;0),2000,0)-IF(AND($U39=1,'calcA'!EE$117=1,ID39=0),2000,0))),1000000000))</f>
        <v/>
      </c>
      <c r="TH39">
        <f>IF($B39=0,1000000000,IF(INDEX('calcA'!$D$60:$EQ$99,$B39,133)*IF($W39=1,ID39+AES39,ID39)=1,IF(AND($E39=2,IF($W39=1,AKH39,NS39)=0),1000000000,IF($V39=1,INDEX('calcA'!$D$130:$EQ$169,$B39,133)+IF(AND($E39=1,NS39=0),25,0),IF($F39&gt;0,INDEX('calcA'!EF$110:EF$114,$F39+1)+IF(AND($E39=1,NS39=0),1000,0),MIN(TZ39,20)*400+(IF('calcA'!EE$106=1,1-IC39,0)+IF('calcA'!EF$106=1,1-IE39,0))*150+136+'calcA'!EF$5*100000+IF(AND($E39=1,NS39=0),50000,0))+IF($H39=1,INDEX('calcA'!$D$180:$EQ$219,$B39,133)*4000,0)-IF(AND('calcA'!EE$117=1,ZC39&gt;0),2000,0)-IF(AND($U39=1,'calcA'!EF$117=1,IE39=0),2000,0))),1000000000))</f>
        <v/>
      </c>
      <c r="TI39">
        <f>IF($B39=0,1000000000,IF(INDEX('calcA'!$D$60:$EQ$99,$B39,134)*IF($W39=1,IE39+AET39,IE39)=1,IF(AND($E39=2,IF($W39=1,AKI39,NT39)=0),1000000000,IF($V39=1,INDEX('calcA'!$D$130:$EQ$169,$B39,134)+IF(AND($E39=1,NT39=0),25,0),IF($F39&gt;0,INDEX('calcA'!EG$110:EG$114,$F39+1)+IF(AND($E39=1,NT39=0),1000,0),MIN(TZ39,20)*400+(IF('calcA'!EF$106=1,1-ID39,0)+IF('calcA'!EG$106=1,1-IF39,0))*150+146+'calcA'!EG$5*100000+IF(AND($E39=1,NT39=0),50000,0))+IF($H39=1,INDEX('calcA'!$D$180:$EQ$219,$B39,134)*4000,0)-IF(AND('calcA'!EF$117=1,ZD39&gt;0),2000,0)-IF(AND($U39=1,'calcA'!EG$117=1,IF39=0),2000,0))),1000000000))</f>
        <v/>
      </c>
      <c r="TJ39">
        <f>IF($B39=0,1000000000,IF(INDEX('calcA'!$D$60:$EQ$99,$B39,135)*IF($W39=1,IF39+AEU39,IF39)=1,IF(AND($E39=2,IF($W39=1,AKJ39,NU39)=0),1000000000,IF($V39=1,INDEX('calcA'!$D$130:$EQ$169,$B39,135)+IF(AND($E39=1,NU39=0),25,0),IF($F39&gt;0,INDEX('calcA'!EH$110:EH$114,$F39+1)+IF(AND($E39=1,NU39=0),1000,0),MIN(TZ39,20)*400+(IF('calcA'!EG$106=1,1-IE39,0)+IF('calcA'!EH$106=1,1-IG39,0))*150+156+'calcA'!EH$5*100000+IF(AND($E39=1,NU39=0),50000,0))+IF($H39=1,INDEX('calcA'!$D$180:$EQ$219,$B39,135)*4000,0)-IF(AND('calcA'!EG$117=1,ZE39&gt;0),2000,0)-IF(AND($U39=1,'calcA'!EH$117=1,IG39=0),2000,0))),1000000000))</f>
        <v/>
      </c>
      <c r="TK39">
        <f>IF($B39=0,1000000000,IF(INDEX('calcA'!$D$60:$EQ$99,$B39,136)*IF($W39=1,IG39+AEV39,IG39)=1,IF(AND($E39=2,IF($W39=1,AKK39,NV39)=0),1000000000,IF($V39=1,INDEX('calcA'!$D$130:$EQ$169,$B39,136)+IF(AND($E39=1,NV39=0),25,0),IF($F39&gt;0,INDEX('calcA'!EI$110:EI$114,$F39+1)+IF(AND($E39=1,NV39=0),1000,0),MIN(TZ39,20)*400+(IF('calcA'!EH$106=1,1-IF39,0)+IF('calcA'!EI$106=1,1-IH39,0))*150+166+'calcA'!EI$5*100000+IF(AND($E39=1,NV39=0),50000,0))+IF($H39=1,INDEX('calcA'!$D$180:$EQ$219,$B39,136)*4000,0)-IF(AND('calcA'!EH$117=1,ZF39&gt;0),2000,0)-IF(AND($U39=1,'calcA'!EI$117=1,IH39=0),2000,0))),1000000000))</f>
        <v/>
      </c>
      <c r="TL39">
        <f>IF($B39=0,1000000000,IF(INDEX('calcA'!$D$60:$EQ$99,$B39,137)*IF($W39=1,IH39+AEW39,IH39)=1,IF(AND($E39=2,IF($W39=1,AKL39,NW39)=0),1000000000,IF($V39=1,INDEX('calcA'!$D$130:$EQ$169,$B39,137)+IF(AND($E39=1,NW39=0),25,0),IF($F39&gt;0,INDEX('calcA'!EJ$110:EJ$114,$F39+1)+IF(AND($E39=1,NW39=0),1000,0),MIN(TZ39,20)*400+(IF('calcA'!EI$106=1,1-IG39,0)+IF('calcA'!EJ$106=1,1-II39,0))*150+176+'calcA'!EJ$5*100000+IF(AND($E39=1,NW39=0),50000,0))+IF($H39=1,INDEX('calcA'!$D$180:$EQ$219,$B39,137)*4000,0)-IF(AND('calcA'!EI$117=1,ZG39&gt;0),2000,0)-IF(AND($U39=1,'calcA'!EJ$117=1,II39=0),2000,0))),1000000000))</f>
        <v/>
      </c>
      <c r="TM39">
        <f>IF($B39=0,1000000000,IF(INDEX('calcA'!$D$60:$EQ$99,$B39,138)*IF($W39=1,II39+AEX39,II39)=1,IF(AND($E39=2,IF($W39=1,AKM39,NX39)=0),1000000000,IF($V39=1,INDEX('calcA'!$D$130:$EQ$169,$B39,138)+IF(AND($E39=1,NX39=0),25,0),IF($F39&gt;0,INDEX('calcA'!EK$110:EK$114,$F39+1)+IF(AND($E39=1,NX39=0),1000,0),MIN(TZ39,20)*400+(IF('calcA'!EJ$106=1,1-IH39,0)+IF('calcA'!EK$106=1,1-IJ39,0))*150+186+'calcA'!EK$5*100000+IF(AND($E39=1,NX39=0),50000,0))+IF($H39=1,INDEX('calcA'!$D$180:$EQ$219,$B39,138)*4000,0)-IF(AND('calcA'!EJ$117=1,ZH39&gt;0),2000,0)-IF(AND($U39=1,'calcA'!EK$117=1,IJ39=0),2000,0))),1000000000))</f>
        <v/>
      </c>
      <c r="TN39">
        <f>IF($B39=0,1000000000,IF(INDEX('calcA'!$D$60:$EQ$99,$B39,139)*IF($W39=1,IJ39+AEY39,IJ39)=1,IF(AND($E39=2,IF($W39=1,AKN39,NY39)=0),1000000000,IF($V39=1,INDEX('calcA'!$D$130:$EQ$169,$B39,139)+IF(AND($E39=1,NY39=0),25,0),IF($F39&gt;0,INDEX('calcA'!EL$110:EL$114,$F39+1)+IF(AND($E39=1,NY39=0),1000,0),MIN(TZ39,20)*400+(IF('calcA'!EK$106=1,1-II39,0)+IF('calcA'!EL$106=1,1-IK39,0))*150+196+'calcA'!EL$5*100000+IF(AND($E39=1,NY39=0),50000,0))+IF($H39=1,INDEX('calcA'!$D$180:$EQ$219,$B39,139)*4000,0)-IF(AND('calcA'!EK$117=1,ZI39&gt;0),2000,0)-IF(AND($U39=1,'calcA'!EL$117=1,IK39=0),2000,0))),1000000000))</f>
        <v/>
      </c>
      <c r="TO39">
        <f>IF($B39=0,1000000000,IF(INDEX('calcA'!$D$60:$EQ$99,$B39,140)*IF($W39=1,IK39+AEZ39,IK39)=1,IF(AND($E39=2,IF($W39=1,AKO39,NZ39)=0),1000000000,IF($V39=1,INDEX('calcA'!$D$130:$EQ$169,$B39,140)+IF(AND($E39=1,NZ39=0),25,0),IF($F39&gt;0,INDEX('calcA'!EM$110:EM$114,$F39+1)+IF(AND($E39=1,NZ39=0),1000,0),MIN(TZ39,20)*400+(IF('calcA'!EL$106=1,1-IJ39,0)+IF('calcA'!EM$106=1,1-IL39,0))*150+206+'calcA'!EM$5*100000+IF(AND($E39=1,NZ39=0),50000,0))+IF($H39=1,INDEX('calcA'!$D$180:$EQ$219,$B39,140)*4000,0)-IF(AND('calcA'!EL$117=1,ZJ39&gt;0),2000,0)-IF(AND($U39=1,'calcA'!EM$117=1,IL39=0),2000,0))),1000000000))</f>
        <v/>
      </c>
      <c r="TP39">
        <f>IF($B39=0,1000000000,IF(INDEX('calcA'!$D$60:$EQ$99,$B39,141)*IF($W39=1,IL39+AFA39,IL39)=1,IF(AND($E39=2,IF($W39=1,AKP39,OA39)=0),1000000000,IF($V39=1,INDEX('calcA'!$D$130:$EQ$169,$B39,141)+IF(AND($E39=1,OA39=0),25,0),IF($F39&gt;0,INDEX('calcA'!EN$110:EN$114,$F39+1)+IF(AND($E39=1,OA39=0),1000,0),MIN(TZ39,20)*400+(IF('calcA'!EM$106=1,1-IK39,0)+IF('calcA'!EN$106=1,1-IM39,0))*150+216+'calcA'!EN$5*100000+IF(AND($E39=1,OA39=0),50000,0))+IF($H39=1,INDEX('calcA'!$D$180:$EQ$219,$B39,141)*4000,0)-IF(AND('calcA'!EM$117=1,ZK39&gt;0),2000,0)-IF(AND($U39=1,'calcA'!EN$117=1,IM39=0),2000,0))),1000000000))</f>
        <v/>
      </c>
      <c r="TQ39">
        <f>IF($B39=0,1000000000,IF(INDEX('calcA'!$D$60:$EQ$99,$B39,142)*IF($W39=1,IM39+AFB39,IM39)=1,IF(AND($E39=2,IF($W39=1,AKQ39,OB39)=0),1000000000,IF($V39=1,INDEX('calcA'!$D$130:$EQ$169,$B39,142)+IF(AND($E39=1,OB39=0),25,0),IF($F39&gt;0,INDEX('calcA'!EO$110:EO$114,$F39+1)+IF(AND($E39=1,OB39=0),1000,0),MIN(TZ39,20)*400+(IF('calcA'!EN$106=1,1-IL39,0)+IF('calcA'!EO$106=1,1-IN39,0))*150+226+'calcA'!EO$5*100000+IF(AND($E39=1,OB39=0),50000,0))+IF($H39=1,INDEX('calcA'!$D$180:$EQ$219,$B39,142)*4000,0)-IF(AND('calcA'!EN$117=1,ZL39&gt;0),2000,0)-IF(AND($U39=1,'calcA'!EO$117=1,IN39=0),2000,0))),1000000000))</f>
        <v/>
      </c>
      <c r="TR39">
        <f>IF($B39=0,1000000000,IF(INDEX('calcA'!$D$60:$EQ$99,$B39,143)*IF($W39=1,IN39+AFC39,IN39)=1,IF(AND($E39=2,IF($W39=1,AKR39,OC39)=0),1000000000,IF($V39=1,INDEX('calcA'!$D$130:$EQ$169,$B39,143)+IF(AND($E39=1,OC39=0),25,0),IF($F39&gt;0,INDEX('calcA'!EP$110:EP$114,$F39+1)+IF(AND($E39=1,OC39=0),1000,0),MIN(TZ39,20)*400+(IF('calcA'!EO$106=1,1-IM39,0)+IF('calcA'!EP$106=1,1-IO39,0))*150+236+'calcA'!EP$5*100000+IF(AND($E39=1,OC39=0),50000,0))+IF($H39=1,INDEX('calcA'!$D$180:$EQ$219,$B39,143)*4000,0)-IF(AND('calcA'!EO$117=1,ZM39&gt;0),2000,0)-IF(AND($U39=1,'calcA'!EP$117=1,IO39=0),2000,0))),1000000000))</f>
        <v/>
      </c>
      <c r="TS39">
        <f>IF($B39=0,1000000000,IF(INDEX('calcA'!$D$60:$EQ$99,$B39,144)*IF($W39=1,IO39+AFD39,IO39)=1,IF(AND($E39=2,IF($W39=1,AKS39,OD39)=0),1000000000,IF($V39=1,INDEX('calcA'!$D$130:$EQ$169,$B39,144)+IF(AND($E39=1,OD39=0),25,0),IF($F39&gt;0,INDEX('calcA'!EQ$110:EQ$114,$F39+1)+IF(AND($E39=1,OD39=0),1000,0),MIN(TZ39,20)*400+(IF('calcA'!EP$106=1,1-IN39,0))*150+246+'calcA'!EQ$5*100000+IF(AND($E39=1,OD39=0),50000,0))+IF($H39=1,INDEX('calcA'!$D$180:$EQ$219,$B39,144)*4000,0)-IF(AND('calcA'!EP$117=1,ZN39&gt;0),2000,0))),1000000000))</f>
        <v/>
      </c>
      <c r="TU39">
        <f>TU38+IF($C38&gt;0,IF(INDEX('calcA'!$D$2:$EQ$2,$C38)=1,1,0),0)</f>
        <v/>
      </c>
      <c r="TV39">
        <f>TV38+IF($C38&gt;0,IF(INDEX('calcA'!$D$2:$EQ$2,$C38)=2,1,0),0)</f>
        <v/>
      </c>
      <c r="TW39">
        <f>TW38+IF($C38&gt;0,IF(INDEX('calcA'!$D$2:$EQ$2,$C38)=3,1,0),0)</f>
        <v/>
      </c>
      <c r="TX39">
        <f>TX38+IF($C38&gt;0,IF(INDEX('calcA'!$D$2:$EQ$2,$C38)=4,1,0),0)</f>
        <v/>
      </c>
      <c r="TY39">
        <f>TY38+IF($C38&gt;0,IF(INDEX('calcA'!$D$2:$EQ$2,$C38)=5,1,0),0)</f>
        <v/>
      </c>
      <c r="TZ39">
        <f>TZ38+IF($C38&gt;0,IF(INDEX('calcA'!$D$2:$EQ$2,$C38)=6,1,0),0)</f>
        <v/>
      </c>
      <c r="UB39">
        <f>UB38+IF(AND($C38=1,$U38=1),1,0)</f>
        <v/>
      </c>
      <c r="UC39">
        <f>UC38+IF(AND($C38=2,$U38=1),1,0)</f>
        <v/>
      </c>
      <c r="UD39">
        <f>UD38+IF(AND($C38=3,$U38=1),1,0)</f>
        <v/>
      </c>
      <c r="UE39">
        <f>UE38+IF(AND($C38=4,$U38=1),1,0)</f>
        <v/>
      </c>
      <c r="UF39">
        <f>UF38+IF(AND($C38=5,$U38=1),1,0)</f>
        <v/>
      </c>
      <c r="UG39">
        <f>UG38+IF(AND($C38=6,$U38=1),1,0)</f>
        <v/>
      </c>
      <c r="UH39">
        <f>UH38+IF(AND($C38=7,$U38=1),1,0)</f>
        <v/>
      </c>
      <c r="UI39">
        <f>UI38+IF(AND($C38=8,$U38=1),1,0)</f>
        <v/>
      </c>
      <c r="UJ39">
        <f>UJ38+IF(AND($C38=9,$U38=1),1,0)</f>
        <v/>
      </c>
      <c r="UK39">
        <f>UK38+IF(AND($C38=10,$U38=1),1,0)</f>
        <v/>
      </c>
      <c r="UL39">
        <f>UL38+IF(AND($C38=11,$U38=1),1,0)</f>
        <v/>
      </c>
      <c r="UM39">
        <f>UM38+IF(AND($C38=12,$U38=1),1,0)</f>
        <v/>
      </c>
      <c r="UN39">
        <f>UN38+IF(AND($C38=13,$U38=1),1,0)</f>
        <v/>
      </c>
      <c r="UO39">
        <f>UO38+IF(AND($C38=14,$U38=1),1,0)</f>
        <v/>
      </c>
      <c r="UP39">
        <f>UP38+IF(AND($C38=15,$U38=1),1,0)</f>
        <v/>
      </c>
      <c r="UQ39">
        <f>UQ38+IF(AND($C38=16,$U38=1),1,0)</f>
        <v/>
      </c>
      <c r="UR39">
        <f>UR38+IF(AND($C38=17,$U38=1),1,0)</f>
        <v/>
      </c>
      <c r="US39">
        <f>US38+IF(AND($C38=18,$U38=1),1,0)</f>
        <v/>
      </c>
      <c r="UT39">
        <f>UT38+IF(AND($C38=19,$U38=1),1,0)</f>
        <v/>
      </c>
      <c r="UU39">
        <f>UU38+IF(AND($C38=20,$U38=1),1,0)</f>
        <v/>
      </c>
      <c r="UV39">
        <f>UV38+IF(AND($C38=21,$U38=1),1,0)</f>
        <v/>
      </c>
      <c r="UW39">
        <f>UW38+IF(AND($C38=22,$U38=1),1,0)</f>
        <v/>
      </c>
      <c r="UX39">
        <f>UX38+IF(AND($C38=23,$U38=1),1,0)</f>
        <v/>
      </c>
      <c r="UY39">
        <f>UY38+IF(AND($C38=24,$U38=1),1,0)</f>
        <v/>
      </c>
      <c r="UZ39">
        <f>UZ38+IF(AND($C38=25,$U38=1),1,0)</f>
        <v/>
      </c>
      <c r="VA39">
        <f>VA38+IF(AND($C38=26,$U38=1),1,0)</f>
        <v/>
      </c>
      <c r="VB39">
        <f>VB38+IF(AND($C38=27,$U38=1),1,0)</f>
        <v/>
      </c>
      <c r="VC39">
        <f>VC38+IF(AND($C38=28,$U38=1),1,0)</f>
        <v/>
      </c>
      <c r="VD39">
        <f>VD38+IF(AND($C38=29,$U38=1),1,0)</f>
        <v/>
      </c>
      <c r="VE39">
        <f>VE38+IF(AND($C38=30,$U38=1),1,0)</f>
        <v/>
      </c>
      <c r="VF39">
        <f>VF38+IF(AND($C38=31,$U38=1),1,0)</f>
        <v/>
      </c>
      <c r="VG39">
        <f>VG38+IF(AND($C38=32,$U38=1),1,0)</f>
        <v/>
      </c>
      <c r="VH39">
        <f>VH38+IF(AND($C38=33,$U38=1),1,0)</f>
        <v/>
      </c>
      <c r="VI39">
        <f>VI38+IF(AND($C38=34,$U38=1),1,0)</f>
        <v/>
      </c>
      <c r="VJ39">
        <f>VJ38+IF(AND($C38=35,$U38=1),1,0)</f>
        <v/>
      </c>
      <c r="VK39">
        <f>VK38+IF(AND($C38=36,$U38=1),1,0)</f>
        <v/>
      </c>
      <c r="VL39">
        <f>VL38+IF(AND($C38=37,$U38=1),1,0)</f>
        <v/>
      </c>
      <c r="VM39">
        <f>VM38+IF(AND($C38=38,$U38=1),1,0)</f>
        <v/>
      </c>
      <c r="VN39">
        <f>VN38+IF(AND($C38=39,$U38=1),1,0)</f>
        <v/>
      </c>
      <c r="VO39">
        <f>VO38+IF(AND($C38=40,$U38=1),1,0)</f>
        <v/>
      </c>
      <c r="VP39">
        <f>VP38+IF(AND($C38=41,$U38=1),1,0)</f>
        <v/>
      </c>
      <c r="VQ39">
        <f>VQ38+IF(AND($C38=42,$U38=1),1,0)</f>
        <v/>
      </c>
      <c r="VR39">
        <f>VR38+IF(AND($C38=43,$U38=1),1,0)</f>
        <v/>
      </c>
      <c r="VS39">
        <f>VS38+IF(AND($C38=44,$U38=1),1,0)</f>
        <v/>
      </c>
      <c r="VT39">
        <f>VT38+IF(AND($C38=45,$U38=1),1,0)</f>
        <v/>
      </c>
      <c r="VU39">
        <f>VU38+IF(AND($C38=46,$U38=1),1,0)</f>
        <v/>
      </c>
      <c r="VV39">
        <f>VV38+IF(AND($C38=47,$U38=1),1,0)</f>
        <v/>
      </c>
      <c r="VW39">
        <f>VW38+IF(AND($C38=48,$U38=1),1,0)</f>
        <v/>
      </c>
      <c r="VX39">
        <f>VX38+IF(AND($C38=49,$U38=1),1,0)</f>
        <v/>
      </c>
      <c r="VY39">
        <f>VY38+IF(AND($C38=50,$U38=1),1,0)</f>
        <v/>
      </c>
      <c r="VZ39">
        <f>VZ38+IF(AND($C38=51,$U38=1),1,0)</f>
        <v/>
      </c>
      <c r="WA39">
        <f>WA38+IF(AND($C38=52,$U38=1),1,0)</f>
        <v/>
      </c>
      <c r="WB39">
        <f>WB38+IF(AND($C38=53,$U38=1),1,0)</f>
        <v/>
      </c>
      <c r="WC39">
        <f>WC38+IF(AND($C38=54,$U38=1),1,0)</f>
        <v/>
      </c>
      <c r="WD39">
        <f>WD38+IF(AND($C38=55,$U38=1),1,0)</f>
        <v/>
      </c>
      <c r="WE39">
        <f>WE38+IF(AND($C38=56,$U38=1),1,0)</f>
        <v/>
      </c>
      <c r="WF39">
        <f>WF38+IF(AND($C38=57,$U38=1),1,0)</f>
        <v/>
      </c>
      <c r="WG39">
        <f>WG38+IF(AND($C38=58,$U38=1),1,0)</f>
        <v/>
      </c>
      <c r="WH39">
        <f>WH38+IF(AND($C38=59,$U38=1),1,0)</f>
        <v/>
      </c>
      <c r="WI39">
        <f>WI38+IF(AND($C38=60,$U38=1),1,0)</f>
        <v/>
      </c>
      <c r="WJ39">
        <f>WJ38+IF(AND($C38=61,$U38=1),1,0)</f>
        <v/>
      </c>
      <c r="WK39">
        <f>WK38+IF(AND($C38=62,$U38=1),1,0)</f>
        <v/>
      </c>
      <c r="WL39">
        <f>WL38+IF(AND($C38=63,$U38=1),1,0)</f>
        <v/>
      </c>
      <c r="WM39">
        <f>WM38+IF(AND($C38=64,$U38=1),1,0)</f>
        <v/>
      </c>
      <c r="WN39">
        <f>WN38+IF(AND($C38=65,$U38=1),1,0)</f>
        <v/>
      </c>
      <c r="WO39">
        <f>WO38+IF(AND($C38=66,$U38=1),1,0)</f>
        <v/>
      </c>
      <c r="WP39">
        <f>WP38+IF(AND($C38=67,$U38=1),1,0)</f>
        <v/>
      </c>
      <c r="WQ39">
        <f>WQ38+IF(AND($C38=68,$U38=1),1,0)</f>
        <v/>
      </c>
      <c r="WR39">
        <f>WR38+IF(AND($C38=69,$U38=1),1,0)</f>
        <v/>
      </c>
      <c r="WS39">
        <f>WS38+IF(AND($C38=70,$U38=1),1,0)</f>
        <v/>
      </c>
      <c r="WT39">
        <f>WT38+IF(AND($C38=71,$U38=1),1,0)</f>
        <v/>
      </c>
      <c r="WU39">
        <f>WU38+IF(AND($C38=72,$U38=1),1,0)</f>
        <v/>
      </c>
      <c r="WV39">
        <f>WV38+IF(AND($C38=73,$U38=1),1,0)</f>
        <v/>
      </c>
      <c r="WW39">
        <f>WW38+IF(AND($C38=74,$U38=1),1,0)</f>
        <v/>
      </c>
      <c r="WX39">
        <f>WX38+IF(AND($C38=75,$U38=1),1,0)</f>
        <v/>
      </c>
      <c r="WY39">
        <f>WY38+IF(AND($C38=76,$U38=1),1,0)</f>
        <v/>
      </c>
      <c r="WZ39">
        <f>WZ38+IF(AND($C38=77,$U38=1),1,0)</f>
        <v/>
      </c>
      <c r="XA39">
        <f>XA38+IF(AND($C38=78,$U38=1),1,0)</f>
        <v/>
      </c>
      <c r="XB39">
        <f>XB38+IF(AND($C38=79,$U38=1),1,0)</f>
        <v/>
      </c>
      <c r="XC39">
        <f>XC38+IF(AND($C38=80,$U38=1),1,0)</f>
        <v/>
      </c>
      <c r="XD39">
        <f>XD38+IF(AND($C38=81,$U38=1),1,0)</f>
        <v/>
      </c>
      <c r="XE39">
        <f>XE38+IF(AND($C38=82,$U38=1),1,0)</f>
        <v/>
      </c>
      <c r="XF39">
        <f>XF38+IF(AND($C38=83,$U38=1),1,0)</f>
        <v/>
      </c>
      <c r="XG39">
        <f>XG38+IF(AND($C38=84,$U38=1),1,0)</f>
        <v/>
      </c>
      <c r="XH39">
        <f>XH38+IF(AND($C38=85,$U38=1),1,0)</f>
        <v/>
      </c>
      <c r="XI39">
        <f>XI38+IF(AND($C38=86,$U38=1),1,0)</f>
        <v/>
      </c>
      <c r="XJ39">
        <f>XJ38+IF(AND($C38=87,$U38=1),1,0)</f>
        <v/>
      </c>
      <c r="XK39">
        <f>XK38+IF(AND($C38=88,$U38=1),1,0)</f>
        <v/>
      </c>
      <c r="XL39">
        <f>XL38+IF(AND($C38=89,$U38=1),1,0)</f>
        <v/>
      </c>
      <c r="XM39">
        <f>XM38+IF(AND($C38=90,$U38=1),1,0)</f>
        <v/>
      </c>
      <c r="XN39">
        <f>XN38+IF(AND($C38=91,$U38=1),1,0)</f>
        <v/>
      </c>
      <c r="XO39">
        <f>XO38+IF(AND($C38=92,$U38=1),1,0)</f>
        <v/>
      </c>
      <c r="XP39">
        <f>XP38+IF(AND($C38=93,$U38=1),1,0)</f>
        <v/>
      </c>
      <c r="XQ39">
        <f>XQ38+IF(AND($C38=94,$U38=1),1,0)</f>
        <v/>
      </c>
      <c r="XR39">
        <f>XR38+IF(AND($C38=95,$U38=1),1,0)</f>
        <v/>
      </c>
      <c r="XS39">
        <f>XS38+IF(AND($C38=96,$U38=1),1,0)</f>
        <v/>
      </c>
      <c r="XT39">
        <f>XT38+IF(AND($C38=97,$U38=1),1,0)</f>
        <v/>
      </c>
      <c r="XU39">
        <f>XU38+IF(AND($C38=98,$U38=1),1,0)</f>
        <v/>
      </c>
      <c r="XV39">
        <f>XV38+IF(AND($C38=99,$U38=1),1,0)</f>
        <v/>
      </c>
      <c r="XW39">
        <f>XW38+IF(AND($C38=100,$U38=1),1,0)</f>
        <v/>
      </c>
      <c r="XX39">
        <f>XX38+IF(AND($C38=101,$U38=1),1,0)</f>
        <v/>
      </c>
      <c r="XY39">
        <f>XY38+IF(AND($C38=102,$U38=1),1,0)</f>
        <v/>
      </c>
      <c r="XZ39">
        <f>XZ38+IF(AND($C38=103,$U38=1),1,0)</f>
        <v/>
      </c>
      <c r="YA39">
        <f>YA38+IF(AND($C38=104,$U38=1),1,0)</f>
        <v/>
      </c>
      <c r="YB39">
        <f>YB38+IF(AND($C38=105,$U38=1),1,0)</f>
        <v/>
      </c>
      <c r="YC39">
        <f>YC38+IF(AND($C38=106,$U38=1),1,0)</f>
        <v/>
      </c>
      <c r="YD39">
        <f>YD38+IF(AND($C38=107,$U38=1),1,0)</f>
        <v/>
      </c>
      <c r="YE39">
        <f>YE38+IF(AND($C38=108,$U38=1),1,0)</f>
        <v/>
      </c>
      <c r="YF39">
        <f>YF38+IF(AND($C38=109,$U38=1),1,0)</f>
        <v/>
      </c>
      <c r="YG39">
        <f>YG38+IF(AND($C38=110,$U38=1),1,0)</f>
        <v/>
      </c>
      <c r="YH39">
        <f>YH38+IF(AND($C38=111,$U38=1),1,0)</f>
        <v/>
      </c>
      <c r="YI39">
        <f>YI38+IF(AND($C38=112,$U38=1),1,0)</f>
        <v/>
      </c>
      <c r="YJ39">
        <f>YJ38+IF(AND($C38=113,$U38=1),1,0)</f>
        <v/>
      </c>
      <c r="YK39">
        <f>YK38+IF(AND($C38=114,$U38=1),1,0)</f>
        <v/>
      </c>
      <c r="YL39">
        <f>YL38+IF(AND($C38=115,$U38=1),1,0)</f>
        <v/>
      </c>
      <c r="YM39">
        <f>YM38+IF(AND($C38=116,$U38=1),1,0)</f>
        <v/>
      </c>
      <c r="YN39">
        <f>YN38+IF(AND($C38=117,$U38=1),1,0)</f>
        <v/>
      </c>
      <c r="YO39">
        <f>YO38+IF(AND($C38=118,$U38=1),1,0)</f>
        <v/>
      </c>
      <c r="YP39">
        <f>YP38+IF(AND($C38=119,$U38=1),1,0)</f>
        <v/>
      </c>
      <c r="YQ39">
        <f>YQ38+IF(AND($C38=120,$U38=1),1,0)</f>
        <v/>
      </c>
      <c r="YR39">
        <f>YR38+IF(AND($C38=121,$U38=1),1,0)</f>
        <v/>
      </c>
      <c r="YS39">
        <f>YS38+IF(AND($C38=122,$U38=1),1,0)</f>
        <v/>
      </c>
      <c r="YT39">
        <f>YT38+IF(AND($C38=123,$U38=1),1,0)</f>
        <v/>
      </c>
      <c r="YU39">
        <f>YU38+IF(AND($C38=124,$U38=1),1,0)</f>
        <v/>
      </c>
      <c r="YV39">
        <f>YV38+IF(AND($C38=125,$U38=1),1,0)</f>
        <v/>
      </c>
      <c r="YW39">
        <f>YW38+IF(AND($C38=126,$U38=1),1,0)</f>
        <v/>
      </c>
      <c r="YX39">
        <f>YX38+IF(AND($C38=127,$U38=1),1,0)</f>
        <v/>
      </c>
      <c r="YY39">
        <f>YY38+IF(AND($C38=128,$U38=1),1,0)</f>
        <v/>
      </c>
      <c r="YZ39">
        <f>YZ38+IF(AND($C38=129,$U38=1),1,0)</f>
        <v/>
      </c>
      <c r="ZA39">
        <f>ZA38+IF(AND($C38=130,$U38=1),1,0)</f>
        <v/>
      </c>
      <c r="ZB39">
        <f>ZB38+IF(AND($C38=131,$U38=1),1,0)</f>
        <v/>
      </c>
      <c r="ZC39">
        <f>ZC38+IF(AND($C38=132,$U38=1),1,0)</f>
        <v/>
      </c>
      <c r="ZD39">
        <f>ZD38+IF(AND($C38=133,$U38=1),1,0)</f>
        <v/>
      </c>
      <c r="ZE39">
        <f>ZE38+IF(AND($C38=134,$U38=1),1,0)</f>
        <v/>
      </c>
      <c r="ZF39">
        <f>ZF38+IF(AND($C38=135,$U38=1),1,0)</f>
        <v/>
      </c>
      <c r="ZG39">
        <f>ZG38+IF(AND($C38=136,$U38=1),1,0)</f>
        <v/>
      </c>
      <c r="ZH39">
        <f>ZH38+IF(AND($C38=137,$U38=1),1,0)</f>
        <v/>
      </c>
      <c r="ZI39">
        <f>ZI38+IF(AND($C38=138,$U38=1),1,0)</f>
        <v/>
      </c>
      <c r="ZJ39">
        <f>ZJ38+IF(AND($C38=139,$U38=1),1,0)</f>
        <v/>
      </c>
      <c r="ZK39">
        <f>ZK38+IF(AND($C38=140,$U38=1),1,0)</f>
        <v/>
      </c>
      <c r="ZL39">
        <f>ZL38+IF(AND($C38=141,$U38=1),1,0)</f>
        <v/>
      </c>
      <c r="ZM39">
        <f>ZM38+IF(AND($C38=142,$U38=1),1,0)</f>
        <v/>
      </c>
      <c r="ZN39">
        <f>ZN38+IF(AND($C38=143,$U38=1),1,0)</f>
        <v/>
      </c>
      <c r="ZO39">
        <f>ZO38+IF(AND($C38=144,$U38=1),1,0)</f>
        <v/>
      </c>
      <c r="ZQ39">
        <f>IF($C38=1,0,ZQ38+IF(AND($G38=1,$E38=1),1,0))</f>
        <v/>
      </c>
      <c r="ZR39">
        <f>IF($C38=2,0,ZR38+IF(AND($G38=2,$E38=1),1,0))</f>
        <v/>
      </c>
      <c r="ZS39">
        <f>IF($C38=3,0,ZS38+IF(AND($G38=3,$E38=1),1,0))</f>
        <v/>
      </c>
      <c r="ZT39">
        <f>IF($C38=4,0,ZT38+IF(AND($G38=4,$E38=1),1,0))</f>
        <v/>
      </c>
      <c r="ZU39">
        <f>IF($C38=5,0,ZU38+IF(AND($G38=5,$E38=1),1,0))</f>
        <v/>
      </c>
      <c r="ZV39">
        <f>IF($C38=6,0,ZV38+IF(AND($G38=6,$E38=1),1,0))</f>
        <v/>
      </c>
      <c r="ZW39">
        <f>IF($C38=7,0,ZW38+IF(AND($G38=7,$E38=1),1,0))</f>
        <v/>
      </c>
      <c r="ZX39">
        <f>IF($C38=8,0,ZX38+IF(AND($G38=8,$E38=1),1,0))</f>
        <v/>
      </c>
      <c r="ZY39">
        <f>IF($C38=9,0,ZY38+IF(AND($G38=9,$E38=1),1,0))</f>
        <v/>
      </c>
      <c r="ZZ39">
        <f>IF($C38=10,0,ZZ38+IF(AND($G38=10,$E38=1),1,0))</f>
        <v/>
      </c>
      <c r="AAA39">
        <f>IF($C38=11,0,AAA38+IF(AND($G38=11,$E38=1),1,0))</f>
        <v/>
      </c>
      <c r="AAB39">
        <f>IF($C38=12,0,AAB38+IF(AND($G38=12,$E38=1),1,0))</f>
        <v/>
      </c>
      <c r="AAC39">
        <f>IF($C38=13,0,AAC38+IF(AND($G38=13,$E38=1),1,0))</f>
        <v/>
      </c>
      <c r="AAD39">
        <f>IF($C38=14,0,AAD38+IF(AND($G38=14,$E38=1),1,0))</f>
        <v/>
      </c>
      <c r="AAE39">
        <f>IF($C38=15,0,AAE38+IF(AND($G38=15,$E38=1),1,0))</f>
        <v/>
      </c>
      <c r="AAF39">
        <f>IF($C38=16,0,AAF38+IF(AND($G38=16,$E38=1),1,0))</f>
        <v/>
      </c>
      <c r="AAG39">
        <f>IF($C38=17,0,AAG38+IF(AND($G38=17,$E38=1),1,0))</f>
        <v/>
      </c>
      <c r="AAH39">
        <f>IF($C38=18,0,AAH38+IF(AND($G38=18,$E38=1),1,0))</f>
        <v/>
      </c>
      <c r="AAI39">
        <f>IF($C38=19,0,AAI38+IF(AND($G38=19,$E38=1),1,0))</f>
        <v/>
      </c>
      <c r="AAJ39">
        <f>IF($C38=20,0,AAJ38+IF(AND($G38=20,$E38=1),1,0))</f>
        <v/>
      </c>
      <c r="AAK39">
        <f>IF($C38=21,0,AAK38+IF(AND($G38=21,$E38=1),1,0))</f>
        <v/>
      </c>
      <c r="AAL39">
        <f>IF($C38=22,0,AAL38+IF(AND($G38=22,$E38=1),1,0))</f>
        <v/>
      </c>
      <c r="AAM39">
        <f>IF($C38=23,0,AAM38+IF(AND($G38=23,$E38=1),1,0))</f>
        <v/>
      </c>
      <c r="AAN39">
        <f>IF($C38=24,0,AAN38+IF(AND($G38=24,$E38=1),1,0))</f>
        <v/>
      </c>
      <c r="AAO39">
        <f>IF($C38=25,0,AAO38+IF(AND($G38=25,$E38=1),1,0))</f>
        <v/>
      </c>
      <c r="AAP39">
        <f>IF($C38=26,0,AAP38+IF(AND($G38=26,$E38=1),1,0))</f>
        <v/>
      </c>
      <c r="AAQ39">
        <f>IF($C38=27,0,AAQ38+IF(AND($G38=27,$E38=1),1,0))</f>
        <v/>
      </c>
      <c r="AAR39">
        <f>IF($C38=28,0,AAR38+IF(AND($G38=28,$E38=1),1,0))</f>
        <v/>
      </c>
      <c r="AAS39">
        <f>IF($C38=29,0,AAS38+IF(AND($G38=29,$E38=1),1,0))</f>
        <v/>
      </c>
      <c r="AAT39">
        <f>IF($C38=30,0,AAT38+IF(AND($G38=30,$E38=1),1,0))</f>
        <v/>
      </c>
      <c r="AAU39">
        <f>IF($C38=31,0,AAU38+IF(AND($G38=31,$E38=1),1,0))</f>
        <v/>
      </c>
      <c r="AAV39">
        <f>IF($C38=32,0,AAV38+IF(AND($G38=32,$E38=1),1,0))</f>
        <v/>
      </c>
      <c r="AAW39">
        <f>IF($C38=33,0,AAW38+IF(AND($G38=33,$E38=1),1,0))</f>
        <v/>
      </c>
      <c r="AAX39">
        <f>IF($C38=34,0,AAX38+IF(AND($G38=34,$E38=1),1,0))</f>
        <v/>
      </c>
      <c r="AAY39">
        <f>IF($C38=35,0,AAY38+IF(AND($G38=35,$E38=1),1,0))</f>
        <v/>
      </c>
      <c r="AAZ39">
        <f>IF($C38=36,0,AAZ38+IF(AND($G38=36,$E38=1),1,0))</f>
        <v/>
      </c>
      <c r="ABA39">
        <f>IF($C38=37,0,ABA38+IF(AND($G38=37,$E38=1),1,0))</f>
        <v/>
      </c>
      <c r="ABB39">
        <f>IF($C38=38,0,ABB38+IF(AND($G38=38,$E38=1),1,0))</f>
        <v/>
      </c>
      <c r="ABC39">
        <f>IF($C38=39,0,ABC38+IF(AND($G38=39,$E38=1),1,0))</f>
        <v/>
      </c>
      <c r="ABD39">
        <f>IF($C38=40,0,ABD38+IF(AND($G38=40,$E38=1),1,0))</f>
        <v/>
      </c>
      <c r="ABE39">
        <f>IF($C38=41,0,ABE38+IF(AND($G38=41,$E38=1),1,0))</f>
        <v/>
      </c>
      <c r="ABF39">
        <f>IF($C38=42,0,ABF38+IF(AND($G38=42,$E38=1),1,0))</f>
        <v/>
      </c>
      <c r="ABG39">
        <f>IF($C38=43,0,ABG38+IF(AND($G38=43,$E38=1),1,0))</f>
        <v/>
      </c>
      <c r="ABH39">
        <f>IF($C38=44,0,ABH38+IF(AND($G38=44,$E38=1),1,0))</f>
        <v/>
      </c>
      <c r="ABI39">
        <f>IF($C38=45,0,ABI38+IF(AND($G38=45,$E38=1),1,0))</f>
        <v/>
      </c>
      <c r="ABJ39">
        <f>IF($C38=46,0,ABJ38+IF(AND($G38=46,$E38=1),1,0))</f>
        <v/>
      </c>
      <c r="ABK39">
        <f>IF($C38=47,0,ABK38+IF(AND($G38=47,$E38=1),1,0))</f>
        <v/>
      </c>
      <c r="ABL39">
        <f>IF($C38=48,0,ABL38+IF(AND($G38=48,$E38=1),1,0))</f>
        <v/>
      </c>
      <c r="ABM39">
        <f>IF($C38=49,0,ABM38+IF(AND($G38=49,$E38=1),1,0))</f>
        <v/>
      </c>
      <c r="ABN39">
        <f>IF($C38=50,0,ABN38+IF(AND($G38=50,$E38=1),1,0))</f>
        <v/>
      </c>
      <c r="ABO39">
        <f>IF($C38=51,0,ABO38+IF(AND($G38=51,$E38=1),1,0))</f>
        <v/>
      </c>
      <c r="ABP39">
        <f>IF($C38=52,0,ABP38+IF(AND($G38=52,$E38=1),1,0))</f>
        <v/>
      </c>
      <c r="ABQ39">
        <f>IF($C38=53,0,ABQ38+IF(AND($G38=53,$E38=1),1,0))</f>
        <v/>
      </c>
      <c r="ABR39">
        <f>IF($C38=54,0,ABR38+IF(AND($G38=54,$E38=1),1,0))</f>
        <v/>
      </c>
      <c r="ABS39">
        <f>IF($C38=55,0,ABS38+IF(AND($G38=55,$E38=1),1,0))</f>
        <v/>
      </c>
      <c r="ABT39">
        <f>IF($C38=56,0,ABT38+IF(AND($G38=56,$E38=1),1,0))</f>
        <v/>
      </c>
      <c r="ABU39">
        <f>IF($C38=57,0,ABU38+IF(AND($G38=57,$E38=1),1,0))</f>
        <v/>
      </c>
      <c r="ABV39">
        <f>IF($C38=58,0,ABV38+IF(AND($G38=58,$E38=1),1,0))</f>
        <v/>
      </c>
      <c r="ABW39">
        <f>IF($C38=59,0,ABW38+IF(AND($G38=59,$E38=1),1,0))</f>
        <v/>
      </c>
      <c r="ABX39">
        <f>IF($C38=60,0,ABX38+IF(AND($G38=60,$E38=1),1,0))</f>
        <v/>
      </c>
      <c r="ABY39">
        <f>IF($C38=61,0,ABY38+IF(AND($G38=61,$E38=1),1,0))</f>
        <v/>
      </c>
      <c r="ABZ39">
        <f>IF($C38=62,0,ABZ38+IF(AND($G38=62,$E38=1),1,0))</f>
        <v/>
      </c>
      <c r="ACA39">
        <f>IF($C38=63,0,ACA38+IF(AND($G38=63,$E38=1),1,0))</f>
        <v/>
      </c>
      <c r="ACB39">
        <f>IF($C38=64,0,ACB38+IF(AND($G38=64,$E38=1),1,0))</f>
        <v/>
      </c>
      <c r="ACC39">
        <f>IF($C38=65,0,ACC38+IF(AND($G38=65,$E38=1),1,0))</f>
        <v/>
      </c>
      <c r="ACD39">
        <f>IF($C38=66,0,ACD38+IF(AND($G38=66,$E38=1),1,0))</f>
        <v/>
      </c>
      <c r="ACE39">
        <f>IF($C38=67,0,ACE38+IF(AND($G38=67,$E38=1),1,0))</f>
        <v/>
      </c>
      <c r="ACF39">
        <f>IF($C38=68,0,ACF38+IF(AND($G38=68,$E38=1),1,0))</f>
        <v/>
      </c>
      <c r="ACG39">
        <f>IF($C38=69,0,ACG38+IF(AND($G38=69,$E38=1),1,0))</f>
        <v/>
      </c>
      <c r="ACH39">
        <f>IF($C38=70,0,ACH38+IF(AND($G38=70,$E38=1),1,0))</f>
        <v/>
      </c>
      <c r="ACI39">
        <f>IF($C38=71,0,ACI38+IF(AND($G38=71,$E38=1),1,0))</f>
        <v/>
      </c>
      <c r="ACJ39">
        <f>IF($C38=72,0,ACJ38+IF(AND($G38=72,$E38=1),1,0))</f>
        <v/>
      </c>
      <c r="ACK39">
        <f>IF($C38=73,0,ACK38+IF(AND($G38=73,$E38=1),1,0))</f>
        <v/>
      </c>
      <c r="ACL39">
        <f>IF($C38=74,0,ACL38+IF(AND($G38=74,$E38=1),1,0))</f>
        <v/>
      </c>
      <c r="ACM39">
        <f>IF($C38=75,0,ACM38+IF(AND($G38=75,$E38=1),1,0))</f>
        <v/>
      </c>
      <c r="ACN39">
        <f>IF($C38=76,0,ACN38+IF(AND($G38=76,$E38=1),1,0))</f>
        <v/>
      </c>
      <c r="ACO39">
        <f>IF($C38=77,0,ACO38+IF(AND($G38=77,$E38=1),1,0))</f>
        <v/>
      </c>
      <c r="ACP39">
        <f>IF($C38=78,0,ACP38+IF(AND($G38=78,$E38=1),1,0))</f>
        <v/>
      </c>
      <c r="ACQ39">
        <f>IF($C38=79,0,ACQ38+IF(AND($G38=79,$E38=1),1,0))</f>
        <v/>
      </c>
      <c r="ACR39">
        <f>IF($C38=80,0,ACR38+IF(AND($G38=80,$E38=1),1,0))</f>
        <v/>
      </c>
      <c r="ACS39">
        <f>IF($C38=81,0,ACS38+IF(AND($G38=81,$E38=1),1,0))</f>
        <v/>
      </c>
      <c r="ACT39">
        <f>IF($C38=82,0,ACT38+IF(AND($G38=82,$E38=1),1,0))</f>
        <v/>
      </c>
      <c r="ACU39">
        <f>IF($C38=83,0,ACU38+IF(AND($G38=83,$E38=1),1,0))</f>
        <v/>
      </c>
      <c r="ACV39">
        <f>IF($C38=84,0,ACV38+IF(AND($G38=84,$E38=1),1,0))</f>
        <v/>
      </c>
      <c r="ACW39">
        <f>IF($C38=85,0,ACW38+IF(AND($G38=85,$E38=1),1,0))</f>
        <v/>
      </c>
      <c r="ACX39">
        <f>IF($C38=86,0,ACX38+IF(AND($G38=86,$E38=1),1,0))</f>
        <v/>
      </c>
      <c r="ACY39">
        <f>IF($C38=87,0,ACY38+IF(AND($G38=87,$E38=1),1,0))</f>
        <v/>
      </c>
      <c r="ACZ39">
        <f>IF($C38=88,0,ACZ38+IF(AND($G38=88,$E38=1),1,0))</f>
        <v/>
      </c>
      <c r="ADA39">
        <f>IF($C38=89,0,ADA38+IF(AND($G38=89,$E38=1),1,0))</f>
        <v/>
      </c>
      <c r="ADB39">
        <f>IF($C38=90,0,ADB38+IF(AND($G38=90,$E38=1),1,0))</f>
        <v/>
      </c>
      <c r="ADC39">
        <f>IF($C38=91,0,ADC38+IF(AND($G38=91,$E38=1),1,0))</f>
        <v/>
      </c>
      <c r="ADD39">
        <f>IF($C38=92,0,ADD38+IF(AND($G38=92,$E38=1),1,0))</f>
        <v/>
      </c>
      <c r="ADE39">
        <f>IF($C38=93,0,ADE38+IF(AND($G38=93,$E38=1),1,0))</f>
        <v/>
      </c>
      <c r="ADF39">
        <f>IF($C38=94,0,ADF38+IF(AND($G38=94,$E38=1),1,0))</f>
        <v/>
      </c>
      <c r="ADG39">
        <f>IF($C38=95,0,ADG38+IF(AND($G38=95,$E38=1),1,0))</f>
        <v/>
      </c>
      <c r="ADH39">
        <f>IF($C38=96,0,ADH38+IF(AND($G38=96,$E38=1),1,0))</f>
        <v/>
      </c>
      <c r="ADI39">
        <f>IF($C38=97,0,ADI38+IF(AND($G38=97,$E38=1),1,0))</f>
        <v/>
      </c>
      <c r="ADJ39">
        <f>IF($C38=98,0,ADJ38+IF(AND($G38=98,$E38=1),1,0))</f>
        <v/>
      </c>
      <c r="ADK39">
        <f>IF($C38=99,0,ADK38+IF(AND($G38=99,$E38=1),1,0))</f>
        <v/>
      </c>
      <c r="ADL39">
        <f>IF($C38=100,0,ADL38+IF(AND($G38=100,$E38=1),1,0))</f>
        <v/>
      </c>
      <c r="ADM39">
        <f>IF($C38=101,0,ADM38+IF(AND($G38=101,$E38=1),1,0))</f>
        <v/>
      </c>
      <c r="ADN39">
        <f>IF($C38=102,0,ADN38+IF(AND($G38=102,$E38=1),1,0))</f>
        <v/>
      </c>
      <c r="ADO39">
        <f>IF($C38=103,0,ADO38+IF(AND($G38=103,$E38=1),1,0))</f>
        <v/>
      </c>
      <c r="ADP39">
        <f>IF($C38=104,0,ADP38+IF(AND($G38=104,$E38=1),1,0))</f>
        <v/>
      </c>
      <c r="ADQ39">
        <f>IF($C38=105,0,ADQ38+IF(AND($G38=105,$E38=1),1,0))</f>
        <v/>
      </c>
      <c r="ADR39">
        <f>IF($C38=106,0,ADR38+IF(AND($G38=106,$E38=1),1,0))</f>
        <v/>
      </c>
      <c r="ADS39">
        <f>IF($C38=107,0,ADS38+IF(AND($G38=107,$E38=1),1,0))</f>
        <v/>
      </c>
      <c r="ADT39">
        <f>IF($C38=108,0,ADT38+IF(AND($G38=108,$E38=1),1,0))</f>
        <v/>
      </c>
      <c r="ADU39">
        <f>IF($C38=109,0,ADU38+IF(AND($G38=109,$E38=1),1,0))</f>
        <v/>
      </c>
      <c r="ADV39">
        <f>IF($C38=110,0,ADV38+IF(AND($G38=110,$E38=1),1,0))</f>
        <v/>
      </c>
      <c r="ADW39">
        <f>IF($C38=111,0,ADW38+IF(AND($G38=111,$E38=1),1,0))</f>
        <v/>
      </c>
      <c r="ADX39">
        <f>IF($C38=112,0,ADX38+IF(AND($G38=112,$E38=1),1,0))</f>
        <v/>
      </c>
      <c r="ADY39">
        <f>IF($C38=113,0,ADY38+IF(AND($G38=113,$E38=1),1,0))</f>
        <v/>
      </c>
      <c r="ADZ39">
        <f>IF($C38=114,0,ADZ38+IF(AND($G38=114,$E38=1),1,0))</f>
        <v/>
      </c>
      <c r="AEA39">
        <f>IF($C38=115,0,AEA38+IF(AND($G38=115,$E38=1),1,0))</f>
        <v/>
      </c>
      <c r="AEB39">
        <f>IF($C38=116,0,AEB38+IF(AND($G38=116,$E38=1),1,0))</f>
        <v/>
      </c>
      <c r="AEC39">
        <f>IF($C38=117,0,AEC38+IF(AND($G38=117,$E38=1),1,0))</f>
        <v/>
      </c>
      <c r="AED39">
        <f>IF($C38=118,0,AED38+IF(AND($G38=118,$E38=1),1,0))</f>
        <v/>
      </c>
      <c r="AEE39">
        <f>IF($C38=119,0,AEE38+IF(AND($G38=119,$E38=1),1,0))</f>
        <v/>
      </c>
      <c r="AEF39">
        <f>IF($C38=120,0,AEF38+IF(AND($G38=120,$E38=1),1,0))</f>
        <v/>
      </c>
      <c r="AEG39">
        <f>IF($C38=121,0,AEG38+IF(AND($G38=121,$E38=1),1,0))</f>
        <v/>
      </c>
      <c r="AEH39">
        <f>IF($C38=122,0,AEH38+IF(AND($G38=122,$E38=1),1,0))</f>
        <v/>
      </c>
      <c r="AEI39">
        <f>IF($C38=123,0,AEI38+IF(AND($G38=123,$E38=1),1,0))</f>
        <v/>
      </c>
      <c r="AEJ39">
        <f>IF($C38=124,0,AEJ38+IF(AND($G38=124,$E38=1),1,0))</f>
        <v/>
      </c>
      <c r="AEK39">
        <f>IF($C38=125,0,AEK38+IF(AND($G38=125,$E38=1),1,0))</f>
        <v/>
      </c>
      <c r="AEL39">
        <f>IF($C38=126,0,AEL38+IF(AND($G38=126,$E38=1),1,0))</f>
        <v/>
      </c>
      <c r="AEM39">
        <f>IF($C38=127,0,AEM38+IF(AND($G38=127,$E38=1),1,0))</f>
        <v/>
      </c>
      <c r="AEN39">
        <f>IF($C38=128,0,AEN38+IF(AND($G38=128,$E38=1),1,0))</f>
        <v/>
      </c>
      <c r="AEO39">
        <f>IF($C38=129,0,AEO38+IF(AND($G38=129,$E38=1),1,0))</f>
        <v/>
      </c>
      <c r="AEP39">
        <f>IF($C38=130,0,AEP38+IF(AND($G38=130,$E38=1),1,0))</f>
        <v/>
      </c>
      <c r="AEQ39">
        <f>IF($C38=131,0,AEQ38+IF(AND($G38=131,$E38=1),1,0))</f>
        <v/>
      </c>
      <c r="AER39">
        <f>IF($C38=132,0,AER38+IF(AND($G38=132,$E38=1),1,0))</f>
        <v/>
      </c>
      <c r="AES39">
        <f>IF($C38=133,0,AES38+IF(AND($G38=133,$E38=1),1,0))</f>
        <v/>
      </c>
      <c r="AET39">
        <f>IF($C38=134,0,AET38+IF(AND($G38=134,$E38=1),1,0))</f>
        <v/>
      </c>
      <c r="AEU39">
        <f>IF($C38=135,0,AEU38+IF(AND($G38=135,$E38=1),1,0))</f>
        <v/>
      </c>
      <c r="AEV39">
        <f>IF($C38=136,0,AEV38+IF(AND($G38=136,$E38=1),1,0))</f>
        <v/>
      </c>
      <c r="AEW39">
        <f>IF($C38=137,0,AEW38+IF(AND($G38=137,$E38=1),1,0))</f>
        <v/>
      </c>
      <c r="AEX39">
        <f>IF($C38=138,0,AEX38+IF(AND($G38=138,$E38=1),1,0))</f>
        <v/>
      </c>
      <c r="AEY39">
        <f>IF($C38=139,0,AEY38+IF(AND($G38=139,$E38=1),1,0))</f>
        <v/>
      </c>
      <c r="AEZ39">
        <f>IF($C38=140,0,AEZ38+IF(AND($G38=140,$E38=1),1,0))</f>
        <v/>
      </c>
      <c r="AFA39">
        <f>IF($C38=141,0,AFA38+IF(AND($G38=141,$E38=1),1,0))</f>
        <v/>
      </c>
      <c r="AFB39">
        <f>IF($C38=142,0,AFB38+IF(AND($G38=142,$E38=1),1,0))</f>
        <v/>
      </c>
      <c r="AFC39">
        <f>IF($C38=143,0,AFC38+IF(AND($G38=143,$E38=1),1,0))</f>
        <v/>
      </c>
      <c r="AFD39">
        <f>IF($C38=144,0,AFD38+IF(AND($G38=144,$E38=1),1,0))</f>
        <v/>
      </c>
      <c r="AFF39">
        <f>IF('calcA'!D$106=1,DC39+ZR39,1)</f>
        <v/>
      </c>
      <c r="AFG39">
        <f>IF('calcA'!E$106=1,DD39+ZS39,1)</f>
        <v/>
      </c>
      <c r="AFH39">
        <f>IF('calcA'!F$106=1,DE39+ZT39,1)</f>
        <v/>
      </c>
      <c r="AFI39">
        <f>IF('calcA'!G$106=1,DF39+ZU39,1)</f>
        <v/>
      </c>
      <c r="AFJ39">
        <f>IF('calcA'!H$106=1,DG39+ZV39,1)</f>
        <v/>
      </c>
      <c r="AFK39">
        <f>IF('calcA'!I$106=1,DH39+ZW39,1)</f>
        <v/>
      </c>
      <c r="AFL39">
        <f>IF('calcA'!J$106=1,DI39+ZX39,1)</f>
        <v/>
      </c>
      <c r="AFM39">
        <f>IF('calcA'!K$106=1,DJ39+ZY39,1)</f>
        <v/>
      </c>
      <c r="AFN39">
        <f>IF('calcA'!L$106=1,DK39+ZZ39,1)</f>
        <v/>
      </c>
      <c r="AFO39">
        <f>IF('calcA'!M$106=1,DL39+AAA39,1)</f>
        <v/>
      </c>
      <c r="AFP39">
        <f>IF('calcA'!N$106=1,DM39+AAB39,1)</f>
        <v/>
      </c>
      <c r="AFQ39">
        <f>IF('calcA'!O$106=1,DN39+AAC39,1)</f>
        <v/>
      </c>
      <c r="AFR39">
        <f>IF('calcA'!P$106=1,DO39+AAD39,1)</f>
        <v/>
      </c>
      <c r="AFS39">
        <f>IF('calcA'!Q$106=1,DP39+AAE39,1)</f>
        <v/>
      </c>
      <c r="AFT39">
        <f>IF('calcA'!R$106=1,DQ39+AAF39,1)</f>
        <v/>
      </c>
      <c r="AFU39">
        <f>IF('calcA'!S$106=1,DR39+AAG39,1)</f>
        <v/>
      </c>
      <c r="AFV39">
        <f>IF('calcA'!T$106=1,DS39+AAH39,1)</f>
        <v/>
      </c>
      <c r="AFW39">
        <f>IF('calcA'!U$106=1,DT39+AAI39,1)</f>
        <v/>
      </c>
      <c r="AFX39">
        <f>IF('calcA'!V$106=1,DU39+AAJ39,1)</f>
        <v/>
      </c>
      <c r="AFY39">
        <f>IF('calcA'!W$106=1,DV39+AAK39,1)</f>
        <v/>
      </c>
      <c r="AFZ39">
        <f>IF('calcA'!X$106=1,DW39+AAL39,1)</f>
        <v/>
      </c>
      <c r="AGA39">
        <f>IF('calcA'!Y$106=1,DX39+AAM39,1)</f>
        <v/>
      </c>
      <c r="AGB39">
        <f>IF('calcA'!Z$106=1,DY39+AAN39,1)</f>
        <v/>
      </c>
      <c r="AGC39">
        <f>IF('calcA'!AA$106=1,DZ39+AAO39,1)</f>
        <v/>
      </c>
      <c r="AGD39">
        <f>IF('calcA'!AB$106=1,EA39+AAP39,1)</f>
        <v/>
      </c>
      <c r="AGE39">
        <f>IF('calcA'!AC$106=1,EB39+AAQ39,1)</f>
        <v/>
      </c>
      <c r="AGF39">
        <f>IF('calcA'!AD$106=1,EC39+AAR39,1)</f>
        <v/>
      </c>
      <c r="AGG39">
        <f>IF('calcA'!AE$106=1,ED39+AAS39,1)</f>
        <v/>
      </c>
      <c r="AGH39">
        <f>IF('calcA'!AF$106=1,EE39+AAT39,1)</f>
        <v/>
      </c>
      <c r="AGI39">
        <f>IF('calcA'!AG$106=1,EF39+AAU39,1)</f>
        <v/>
      </c>
      <c r="AGJ39">
        <f>IF('calcA'!AH$106=1,EG39+AAV39,1)</f>
        <v/>
      </c>
      <c r="AGK39">
        <f>IF('calcA'!AI$106=1,EH39+AAW39,1)</f>
        <v/>
      </c>
      <c r="AGL39">
        <f>IF('calcA'!AJ$106=1,EI39+AAX39,1)</f>
        <v/>
      </c>
      <c r="AGM39">
        <f>IF('calcA'!AK$106=1,EJ39+AAY39,1)</f>
        <v/>
      </c>
      <c r="AGN39">
        <f>IF('calcA'!AL$106=1,EK39+AAZ39,1)</f>
        <v/>
      </c>
      <c r="AGO39">
        <f>IF('calcA'!AM$106=1,EL39+ABA39,1)</f>
        <v/>
      </c>
      <c r="AGP39">
        <f>IF('calcA'!AN$106=1,EM39+ABB39,1)</f>
        <v/>
      </c>
      <c r="AGQ39">
        <f>IF('calcA'!AO$106=1,EN39+ABC39,1)</f>
        <v/>
      </c>
      <c r="AGR39">
        <f>IF('calcA'!AP$106=1,EO39+ABD39,1)</f>
        <v/>
      </c>
      <c r="AGS39">
        <f>IF('calcA'!AQ$106=1,EP39+ABE39,1)</f>
        <v/>
      </c>
      <c r="AGT39">
        <f>IF('calcA'!AR$106=1,EQ39+ABF39,1)</f>
        <v/>
      </c>
      <c r="AGU39">
        <f>IF('calcA'!AS$106=1,ER39+ABG39,1)</f>
        <v/>
      </c>
      <c r="AGV39">
        <f>IF('calcA'!AT$106=1,ES39+ABH39,1)</f>
        <v/>
      </c>
      <c r="AGW39">
        <f>IF('calcA'!AU$106=1,ET39+ABI39,1)</f>
        <v/>
      </c>
      <c r="AGX39">
        <f>IF('calcA'!AV$106=1,EU39+ABJ39,1)</f>
        <v/>
      </c>
      <c r="AGY39">
        <f>IF('calcA'!AW$106=1,EV39+ABK39,1)</f>
        <v/>
      </c>
      <c r="AGZ39">
        <f>IF('calcA'!AX$106=1,EW39+ABL39,1)</f>
        <v/>
      </c>
      <c r="AHA39">
        <f>IF('calcA'!AY$106=1,EX39+ABM39,1)</f>
        <v/>
      </c>
      <c r="AHB39">
        <f>IF('calcA'!AZ$106=1,EY39+ABN39,1)</f>
        <v/>
      </c>
      <c r="AHC39">
        <f>IF('calcA'!BA$106=1,EZ39+ABO39,1)</f>
        <v/>
      </c>
      <c r="AHD39">
        <f>IF('calcA'!BB$106=1,FA39+ABP39,1)</f>
        <v/>
      </c>
      <c r="AHE39">
        <f>IF('calcA'!BC$106=1,FB39+ABQ39,1)</f>
        <v/>
      </c>
      <c r="AHF39">
        <f>IF('calcA'!BD$106=1,FC39+ABR39,1)</f>
        <v/>
      </c>
      <c r="AHG39">
        <f>IF('calcA'!BE$106=1,FD39+ABS39,1)</f>
        <v/>
      </c>
      <c r="AHH39">
        <f>IF('calcA'!BF$106=1,FE39+ABT39,1)</f>
        <v/>
      </c>
      <c r="AHI39">
        <f>IF('calcA'!BG$106=1,FF39+ABU39,1)</f>
        <v/>
      </c>
      <c r="AHJ39">
        <f>IF('calcA'!BH$106=1,FG39+ABV39,1)</f>
        <v/>
      </c>
      <c r="AHK39">
        <f>IF('calcA'!BI$106=1,FH39+ABW39,1)</f>
        <v/>
      </c>
      <c r="AHL39">
        <f>IF('calcA'!BJ$106=1,FI39+ABX39,1)</f>
        <v/>
      </c>
      <c r="AHM39">
        <f>IF('calcA'!BK$106=1,FJ39+ABY39,1)</f>
        <v/>
      </c>
      <c r="AHN39">
        <f>IF('calcA'!BL$106=1,FK39+ABZ39,1)</f>
        <v/>
      </c>
      <c r="AHO39">
        <f>IF('calcA'!BM$106=1,FL39+ACA39,1)</f>
        <v/>
      </c>
      <c r="AHP39">
        <f>IF('calcA'!BN$106=1,FM39+ACB39,1)</f>
        <v/>
      </c>
      <c r="AHQ39">
        <f>IF('calcA'!BO$106=1,FN39+ACC39,1)</f>
        <v/>
      </c>
      <c r="AHR39">
        <f>IF('calcA'!BP$106=1,FO39+ACD39,1)</f>
        <v/>
      </c>
      <c r="AHS39">
        <f>IF('calcA'!BQ$106=1,FP39+ACE39,1)</f>
        <v/>
      </c>
      <c r="AHT39">
        <f>IF('calcA'!BR$106=1,FQ39+ACF39,1)</f>
        <v/>
      </c>
      <c r="AHU39">
        <f>IF('calcA'!BS$106=1,FR39+ACG39,1)</f>
        <v/>
      </c>
      <c r="AHV39">
        <f>IF('calcA'!BT$106=1,FS39+ACH39,1)</f>
        <v/>
      </c>
      <c r="AHW39">
        <f>IF('calcA'!BU$106=1,FT39+ACI39,1)</f>
        <v/>
      </c>
      <c r="AHX39">
        <f>IF('calcA'!BV$106=1,FU39+ACJ39,1)</f>
        <v/>
      </c>
      <c r="AHY39">
        <f>IF('calcA'!BW$106=1,FV39+ACK39,1)</f>
        <v/>
      </c>
      <c r="AHZ39">
        <f>IF('calcA'!BX$106=1,FW39+ACL39,1)</f>
        <v/>
      </c>
      <c r="AIA39">
        <f>IF('calcA'!BY$106=1,FX39+ACM39,1)</f>
        <v/>
      </c>
      <c r="AIB39">
        <f>IF('calcA'!BZ$106=1,FY39+ACN39,1)</f>
        <v/>
      </c>
      <c r="AIC39">
        <f>IF('calcA'!CA$106=1,FZ39+ACO39,1)</f>
        <v/>
      </c>
      <c r="AID39">
        <f>IF('calcA'!CB$106=1,GA39+ACP39,1)</f>
        <v/>
      </c>
      <c r="AIE39">
        <f>IF('calcA'!CC$106=1,GB39+ACQ39,1)</f>
        <v/>
      </c>
      <c r="AIF39">
        <f>IF('calcA'!CD$106=1,GC39+ACR39,1)</f>
        <v/>
      </c>
      <c r="AIG39">
        <f>IF('calcA'!CE$106=1,GD39+ACS39,1)</f>
        <v/>
      </c>
      <c r="AIH39">
        <f>IF('calcA'!CF$106=1,GE39+ACT39,1)</f>
        <v/>
      </c>
      <c r="AII39">
        <f>IF('calcA'!CG$106=1,GF39+ACU39,1)</f>
        <v/>
      </c>
      <c r="AIJ39">
        <f>IF('calcA'!CH$106=1,GG39+ACV39,1)</f>
        <v/>
      </c>
      <c r="AIK39">
        <f>IF('calcA'!CI$106=1,GH39+ACW39,1)</f>
        <v/>
      </c>
      <c r="AIL39">
        <f>IF('calcA'!CJ$106=1,GI39+ACX39,1)</f>
        <v/>
      </c>
      <c r="AIM39">
        <f>IF('calcA'!CK$106=1,GJ39+ACY39,1)</f>
        <v/>
      </c>
      <c r="AIN39">
        <f>IF('calcA'!CL$106=1,GK39+ACZ39,1)</f>
        <v/>
      </c>
      <c r="AIO39">
        <f>IF('calcA'!CM$106=1,GL39+ADA39,1)</f>
        <v/>
      </c>
      <c r="AIP39">
        <f>IF('calcA'!CN$106=1,GM39+ADB39,1)</f>
        <v/>
      </c>
      <c r="AIQ39">
        <f>IF('calcA'!CO$106=1,GN39+ADC39,1)</f>
        <v/>
      </c>
      <c r="AIR39">
        <f>IF('calcA'!CP$106=1,GO39+ADD39,1)</f>
        <v/>
      </c>
      <c r="AIS39">
        <f>IF('calcA'!CQ$106=1,GP39+ADE39,1)</f>
        <v/>
      </c>
      <c r="AIT39">
        <f>IF('calcA'!CR$106=1,GQ39+ADF39,1)</f>
        <v/>
      </c>
      <c r="AIU39">
        <f>IF('calcA'!CS$106=1,GR39+ADG39,1)</f>
        <v/>
      </c>
      <c r="AIV39">
        <f>IF('calcA'!CT$106=1,GS39+ADH39,1)</f>
        <v/>
      </c>
      <c r="AIW39">
        <f>IF('calcA'!CU$106=1,GT39+ADI39,1)</f>
        <v/>
      </c>
      <c r="AIX39">
        <f>IF('calcA'!CV$106=1,GU39+ADJ39,1)</f>
        <v/>
      </c>
      <c r="AIY39">
        <f>IF('calcA'!CW$106=1,GV39+ADK39,1)</f>
        <v/>
      </c>
      <c r="AIZ39">
        <f>IF('calcA'!CX$106=1,GW39+ADL39,1)</f>
        <v/>
      </c>
      <c r="AJA39">
        <f>IF('calcA'!CY$106=1,GX39+ADM39,1)</f>
        <v/>
      </c>
      <c r="AJB39">
        <f>IF('calcA'!CZ$106=1,GY39+ADN39,1)</f>
        <v/>
      </c>
      <c r="AJC39">
        <f>IF('calcA'!DA$106=1,GZ39+ADO39,1)</f>
        <v/>
      </c>
      <c r="AJD39">
        <f>IF('calcA'!DB$106=1,HA39+ADP39,1)</f>
        <v/>
      </c>
      <c r="AJE39">
        <f>IF('calcA'!DC$106=1,HB39+ADQ39,1)</f>
        <v/>
      </c>
      <c r="AJF39">
        <f>IF('calcA'!DD$106=1,HC39+ADR39,1)</f>
        <v/>
      </c>
      <c r="AJG39">
        <f>IF('calcA'!DE$106=1,HD39+ADS39,1)</f>
        <v/>
      </c>
      <c r="AJH39">
        <f>IF('calcA'!DF$106=1,HE39+ADT39,1)</f>
        <v/>
      </c>
      <c r="AJI39">
        <f>IF('calcA'!DG$106=1,HF39+ADU39,1)</f>
        <v/>
      </c>
      <c r="AJJ39">
        <f>IF('calcA'!DH$106=1,HG39+ADV39,1)</f>
        <v/>
      </c>
      <c r="AJK39">
        <f>IF('calcA'!DI$106=1,HH39+ADW39,1)</f>
        <v/>
      </c>
      <c r="AJL39">
        <f>IF('calcA'!DJ$106=1,HI39+ADX39,1)</f>
        <v/>
      </c>
      <c r="AJM39">
        <f>IF('calcA'!DK$106=1,HJ39+ADY39,1)</f>
        <v/>
      </c>
      <c r="AJN39">
        <f>IF('calcA'!DL$106=1,HK39+ADZ39,1)</f>
        <v/>
      </c>
      <c r="AJO39">
        <f>IF('calcA'!DM$106=1,HL39+AEA39,1)</f>
        <v/>
      </c>
      <c r="AJP39">
        <f>IF('calcA'!DN$106=1,HM39+AEB39,1)</f>
        <v/>
      </c>
      <c r="AJQ39">
        <f>IF('calcA'!DO$106=1,HN39+AEC39,1)</f>
        <v/>
      </c>
      <c r="AJR39">
        <f>IF('calcA'!DP$106=1,HO39+AED39,1)</f>
        <v/>
      </c>
      <c r="AJS39">
        <f>IF('calcA'!DQ$106=1,HP39+AEE39,1)</f>
        <v/>
      </c>
      <c r="AJT39">
        <f>IF('calcA'!DR$106=1,HQ39+AEF39,1)</f>
        <v/>
      </c>
      <c r="AJU39">
        <f>IF('calcA'!DS$106=1,HR39+AEG39,1)</f>
        <v/>
      </c>
      <c r="AJV39">
        <f>IF('calcA'!DT$106=1,HS39+AEH39,1)</f>
        <v/>
      </c>
      <c r="AJW39">
        <f>IF('calcA'!DU$106=1,HT39+AEI39,1)</f>
        <v/>
      </c>
      <c r="AJX39">
        <f>IF('calcA'!DV$106=1,HU39+AEJ39,1)</f>
        <v/>
      </c>
      <c r="AJY39">
        <f>IF('calcA'!DW$106=1,HV39+AEK39,1)</f>
        <v/>
      </c>
      <c r="AJZ39">
        <f>IF('calcA'!DX$106=1,HW39+AEL39,1)</f>
        <v/>
      </c>
      <c r="AKA39">
        <f>IF('calcA'!DY$106=1,HX39+AEM39,1)</f>
        <v/>
      </c>
      <c r="AKB39">
        <f>IF('calcA'!DZ$106=1,HY39+AEN39,1)</f>
        <v/>
      </c>
      <c r="AKC39">
        <f>IF('calcA'!EA$106=1,HZ39+AEO39,1)</f>
        <v/>
      </c>
      <c r="AKD39">
        <f>IF('calcA'!EB$106=1,IA39+AEP39,1)</f>
        <v/>
      </c>
      <c r="AKE39">
        <f>IF('calcA'!EC$106=1,IB39+AEQ39,1)</f>
        <v/>
      </c>
      <c r="AKF39">
        <f>IF('calcA'!ED$106=1,IC39+AER39,1)</f>
        <v/>
      </c>
      <c r="AKG39">
        <f>IF('calcA'!EE$106=1,ID39+AES39,1)</f>
        <v/>
      </c>
      <c r="AKH39">
        <f>IF('calcA'!EF$106=1,IE39+AET39,1)</f>
        <v/>
      </c>
      <c r="AKI39">
        <f>IF('calcA'!EG$106=1,IF39+AEU39,1)</f>
        <v/>
      </c>
      <c r="AKJ39">
        <f>IF('calcA'!EH$106=1,IG39+AEV39,1)</f>
        <v/>
      </c>
      <c r="AKK39">
        <f>IF('calcA'!EI$106=1,IH39+AEW39,1)</f>
        <v/>
      </c>
      <c r="AKL39">
        <f>IF('calcA'!EJ$106=1,II39+AEX39,1)</f>
        <v/>
      </c>
      <c r="AKM39">
        <f>IF('calcA'!EK$106=1,IJ39+AEY39,1)</f>
        <v/>
      </c>
      <c r="AKN39">
        <f>IF('calcA'!EL$106=1,IK39+AEZ39,1)</f>
        <v/>
      </c>
      <c r="AKO39">
        <f>IF('calcA'!EM$106=1,IL39+AFA39,1)</f>
        <v/>
      </c>
      <c r="AKP39">
        <f>IF('calcA'!EN$106=1,IM39+AFB39,1)</f>
        <v/>
      </c>
      <c r="AKQ39">
        <f>IF('calcA'!EO$106=1,IN39+AFC39,1)</f>
        <v/>
      </c>
      <c r="AKR39">
        <f>IF('calcA'!EP$106=1,IO39+AFD39,1)</f>
        <v/>
      </c>
      <c r="AKS39" t="n">
        <v>1</v>
      </c>
    </row>
    <row r="40">
      <c r="A40" t="n">
        <v>38</v>
      </c>
      <c r="B40">
        <f>IF(MIN(BM40:CZ40)&gt;=1000000000,0,MATCH(MIN(BM40:CZ40),BM40:CZ40,0))</f>
        <v/>
      </c>
      <c r="C40">
        <f>IF(MIN(OF40:TS40)&gt;=1000000000,0,MATCH(MIN(OF40:TS40),OF40:TS40,0))</f>
        <v/>
      </c>
      <c r="D40">
        <f>IF(C40&gt;0,INDEX('calcA'!$D$5:$EQ$5,C40),0)</f>
        <v/>
      </c>
      <c r="E40">
        <f>IF(B40=0,0,INDEX('calcA'!$IQ$10:$IQ$54,B40))</f>
        <v/>
      </c>
      <c r="F40">
        <f>IF(B40=0,0,INDEX('calcA'!$IP$10:$IP$54,B40))</f>
        <v/>
      </c>
      <c r="G40">
        <f>IF(AND(C40&gt;0,E40&gt;0),IF(AND(INDEX('calcA'!$D$106:$EQ$106,C40)=1,INDEX($IQ40:$OD40,C40)=1),C40+1,0),0)</f>
        <v/>
      </c>
      <c r="H40">
        <f>IF(B40=0,0,INDEX('calcA'!$IW$10:$IW$54,B40))</f>
        <v/>
      </c>
      <c r="U40">
        <f>IF(B40=0,0,INDEX('calcA'!$IX$10:$IX$54,B40))</f>
        <v/>
      </c>
      <c r="V40">
        <f>IF(B40=0,0,INDEX('calcA'!$JF$10:$JF$54,B40))</f>
        <v/>
      </c>
      <c r="W40">
        <f>IF(B40=0,0,IF(IF(E40=2,SUMPRODUCT(INDEX('calcA'!$D$60:$EQ$99,B40,0),$DB40:$IO40,$IQ40:$OD40),SUMPRODUCT(INDEX('calcA'!$D$60:$EQ$99,B40,0),$DB40:$IO40))=0,1,0))</f>
        <v/>
      </c>
      <c r="X40">
        <f>MAX(X39,IF($B39=1,1,0))</f>
        <v/>
      </c>
      <c r="Y40">
        <f>MAX(Y39,IF($B39=2,1,0))</f>
        <v/>
      </c>
      <c r="Z40">
        <f>MAX(Z39,IF($B39=3,1,0))</f>
        <v/>
      </c>
      <c r="AA40">
        <f>MAX(AA39,IF($B39=4,1,0))</f>
        <v/>
      </c>
      <c r="AB40">
        <f>MAX(AB39,IF($B39=5,1,0))</f>
        <v/>
      </c>
      <c r="AC40">
        <f>MAX(AC39,IF($B39=6,1,0))</f>
        <v/>
      </c>
      <c r="AD40">
        <f>MAX(AD39,IF($B39=7,1,0))</f>
        <v/>
      </c>
      <c r="AE40">
        <f>MAX(AE39,IF($B39=8,1,0))</f>
        <v/>
      </c>
      <c r="AF40">
        <f>MAX(AF39,IF($B39=9,1,0))</f>
        <v/>
      </c>
      <c r="AG40">
        <f>MAX(AG39,IF($B39=10,1,0))</f>
        <v/>
      </c>
      <c r="AH40">
        <f>MAX(AH39,IF($B39=11,1,0))</f>
        <v/>
      </c>
      <c r="AI40">
        <f>MAX(AI39,IF($B39=12,1,0))</f>
        <v/>
      </c>
      <c r="AJ40">
        <f>MAX(AJ39,IF($B39=13,1,0))</f>
        <v/>
      </c>
      <c r="AK40">
        <f>MAX(AK39,IF($B39=14,1,0))</f>
        <v/>
      </c>
      <c r="AL40">
        <f>MAX(AL39,IF($B39=15,1,0))</f>
        <v/>
      </c>
      <c r="AM40">
        <f>MAX(AM39,IF($B39=16,1,0))</f>
        <v/>
      </c>
      <c r="AN40">
        <f>MAX(AN39,IF($B39=17,1,0))</f>
        <v/>
      </c>
      <c r="AO40">
        <f>MAX(AO39,IF($B39=18,1,0))</f>
        <v/>
      </c>
      <c r="AP40">
        <f>MAX(AP39,IF($B39=19,1,0))</f>
        <v/>
      </c>
      <c r="AQ40">
        <f>MAX(AQ39,IF($B39=20,1,0))</f>
        <v/>
      </c>
      <c r="AR40">
        <f>MAX(AR39,IF($B39=21,1,0))</f>
        <v/>
      </c>
      <c r="AS40">
        <f>MAX(AS39,IF($B39=22,1,0))</f>
        <v/>
      </c>
      <c r="AT40">
        <f>MAX(AT39,IF($B39=23,1,0))</f>
        <v/>
      </c>
      <c r="AU40">
        <f>MAX(AU39,IF($B39=24,1,0))</f>
        <v/>
      </c>
      <c r="AV40">
        <f>MAX(AV39,IF($B39=25,1,0))</f>
        <v/>
      </c>
      <c r="AW40">
        <f>MAX(AW39,IF($B39=26,1,0))</f>
        <v/>
      </c>
      <c r="AX40">
        <f>MAX(AX39,IF($B39=27,1,0))</f>
        <v/>
      </c>
      <c r="AY40">
        <f>MAX(AY39,IF($B39=28,1,0))</f>
        <v/>
      </c>
      <c r="AZ40">
        <f>MAX(AZ39,IF($B39=29,1,0))</f>
        <v/>
      </c>
      <c r="BA40">
        <f>MAX(BA39,IF($B39=30,1,0))</f>
        <v/>
      </c>
      <c r="BB40">
        <f>MAX(BB39,IF($B39=31,1,0))</f>
        <v/>
      </c>
      <c r="BC40">
        <f>MAX(BC39,IF($B39=32,1,0))</f>
        <v/>
      </c>
      <c r="BD40">
        <f>MAX(BD39,IF($B39=33,1,0))</f>
        <v/>
      </c>
      <c r="BE40">
        <f>MAX(BE39,IF($B39=34,1,0))</f>
        <v/>
      </c>
      <c r="BF40">
        <f>MAX(BF39,IF($B39=35,1,0))</f>
        <v/>
      </c>
      <c r="BG40">
        <f>MAX(BG39,IF($B39=36,1,0))</f>
        <v/>
      </c>
      <c r="BH40">
        <f>MAX(BH39,IF($B39=37,1,0))</f>
        <v/>
      </c>
      <c r="BI40">
        <f>MAX(BI39,IF($B39=38,1,0))</f>
        <v/>
      </c>
      <c r="BJ40">
        <f>MAX(BJ39,IF($B39=39,1,0))</f>
        <v/>
      </c>
      <c r="BK40">
        <f>MAX(BK39,IF($B39=40,1,0))</f>
        <v/>
      </c>
      <c r="BM40">
        <f>IF(OR(X40=1,calcA!$A$6=0),1000000000,IF('calcA'!$JF$10=1,0,100000000)+IF('calcA'!$IQ$10=2,SUMPRODUCT('calcA'!$D$60:$EQ$60,$DB40:$IO40,$IQ40:$OD40)*1000+SUMPRODUCT('calcA'!$D$60:$EQ$60,$DB40:$IO40+$ZQ40:$AFD40,$AFF40:$AKS40),SUMPRODUCT('calcA'!$D$60:$EQ$60,$DB40:$IO40*1001+$ZQ40:$AFD40))*100+1)</f>
        <v/>
      </c>
      <c r="BN40">
        <f>IF(OR(Y40=1,calcA!$A$6=0),1000000000,IF('calcA'!$JF$11=1,0,100000000)+IF('calcA'!$IQ$11=2,SUMPRODUCT('calcA'!$D$61:$EQ$61,$DB40:$IO40,$IQ40:$OD40)*1000+SUMPRODUCT('calcA'!$D$61:$EQ$61,$DB40:$IO40+$ZQ40:$AFD40,$AFF40:$AKS40),SUMPRODUCT('calcA'!$D$61:$EQ$61,$DB40:$IO40*1001+$ZQ40:$AFD40))*100+2)</f>
        <v/>
      </c>
      <c r="BO40">
        <f>IF(OR(Z40=1,calcA!$A$6=0),1000000000,IF('calcA'!$JF$12=1,0,100000000)+IF('calcA'!$IQ$12=2,SUMPRODUCT('calcA'!$D$62:$EQ$62,$DB40:$IO40,$IQ40:$OD40)*1000+SUMPRODUCT('calcA'!$D$62:$EQ$62,$DB40:$IO40+$ZQ40:$AFD40,$AFF40:$AKS40),SUMPRODUCT('calcA'!$D$62:$EQ$62,$DB40:$IO40*1001+$ZQ40:$AFD40))*100+3)</f>
        <v/>
      </c>
      <c r="BP40">
        <f>IF(OR(AA40=1,calcA!$A$6=0),1000000000,IF('calcA'!$JF$13=1,0,100000000)+IF('calcA'!$IQ$13=2,SUMPRODUCT('calcA'!$D$63:$EQ$63,$DB40:$IO40,$IQ40:$OD40)*1000+SUMPRODUCT('calcA'!$D$63:$EQ$63,$DB40:$IO40+$ZQ40:$AFD40,$AFF40:$AKS40),SUMPRODUCT('calcA'!$D$63:$EQ$63,$DB40:$IO40*1001+$ZQ40:$AFD40))*100+4)</f>
        <v/>
      </c>
      <c r="BQ40">
        <f>IF(OR(AB40=1,calcA!$A$6=0),1000000000,IF('calcA'!$JF$14=1,0,100000000)+IF('calcA'!$IQ$14=2,SUMPRODUCT('calcA'!$D$64:$EQ$64,$DB40:$IO40,$IQ40:$OD40)*1000+SUMPRODUCT('calcA'!$D$64:$EQ$64,$DB40:$IO40+$ZQ40:$AFD40,$AFF40:$AKS40),SUMPRODUCT('calcA'!$D$64:$EQ$64,$DB40:$IO40*1001+$ZQ40:$AFD40))*100+5)</f>
        <v/>
      </c>
      <c r="BR40">
        <f>IF(OR(AC40=1,calcA!$A$6=0),1000000000,IF('calcA'!$JF$15=1,0,100000000)+IF('calcA'!$IQ$15=2,SUMPRODUCT('calcA'!$D$65:$EQ$65,$DB40:$IO40,$IQ40:$OD40)*1000+SUMPRODUCT('calcA'!$D$65:$EQ$65,$DB40:$IO40+$ZQ40:$AFD40,$AFF40:$AKS40),SUMPRODUCT('calcA'!$D$65:$EQ$65,$DB40:$IO40*1001+$ZQ40:$AFD40))*100+6)</f>
        <v/>
      </c>
      <c r="BS40">
        <f>IF(OR(AD40=1,calcA!$A$6=0),1000000000,IF('calcA'!$JF$16=1,0,100000000)+IF('calcA'!$IQ$16=2,SUMPRODUCT('calcA'!$D$66:$EQ$66,$DB40:$IO40,$IQ40:$OD40)*1000+SUMPRODUCT('calcA'!$D$66:$EQ$66,$DB40:$IO40+$ZQ40:$AFD40,$AFF40:$AKS40),SUMPRODUCT('calcA'!$D$66:$EQ$66,$DB40:$IO40*1001+$ZQ40:$AFD40))*100+7)</f>
        <v/>
      </c>
      <c r="BT40">
        <f>IF(OR(AE40=1,calcA!$A$6=0),1000000000,IF('calcA'!$JF$17=1,0,100000000)+IF('calcA'!$IQ$17=2,SUMPRODUCT('calcA'!$D$67:$EQ$67,$DB40:$IO40,$IQ40:$OD40)*1000+SUMPRODUCT('calcA'!$D$67:$EQ$67,$DB40:$IO40+$ZQ40:$AFD40,$AFF40:$AKS40),SUMPRODUCT('calcA'!$D$67:$EQ$67,$DB40:$IO40*1001+$ZQ40:$AFD40))*100+8)</f>
        <v/>
      </c>
      <c r="BU40">
        <f>IF(OR(AF40=1,calcA!$A$6=0),1000000000,IF('calcA'!$JF$18=1,0,100000000)+IF('calcA'!$IQ$18=2,SUMPRODUCT('calcA'!$D$68:$EQ$68,$DB40:$IO40,$IQ40:$OD40)*1000+SUMPRODUCT('calcA'!$D$68:$EQ$68,$DB40:$IO40+$ZQ40:$AFD40,$AFF40:$AKS40),SUMPRODUCT('calcA'!$D$68:$EQ$68,$DB40:$IO40*1001+$ZQ40:$AFD40))*100+9)</f>
        <v/>
      </c>
      <c r="BV40">
        <f>IF(OR(AG40=1,calcA!$A$6=0),1000000000,IF('calcA'!$JF$19=1,0,100000000)+IF('calcA'!$IQ$19=2,SUMPRODUCT('calcA'!$D$69:$EQ$69,$DB40:$IO40,$IQ40:$OD40)*1000+SUMPRODUCT('calcA'!$D$69:$EQ$69,$DB40:$IO40+$ZQ40:$AFD40,$AFF40:$AKS40),SUMPRODUCT('calcA'!$D$69:$EQ$69,$DB40:$IO40*1001+$ZQ40:$AFD40))*100+10)</f>
        <v/>
      </c>
      <c r="BW40">
        <f>IF(OR(AH40=1,calcA!$A$6=0),1000000000,IF('calcA'!$JF$20=1,0,100000000)+IF('calcA'!$IQ$20=2,SUMPRODUCT('calcA'!$D$70:$EQ$70,$DB40:$IO40,$IQ40:$OD40)*1000+SUMPRODUCT('calcA'!$D$70:$EQ$70,$DB40:$IO40+$ZQ40:$AFD40,$AFF40:$AKS40),SUMPRODUCT('calcA'!$D$70:$EQ$70,$DB40:$IO40*1001+$ZQ40:$AFD40))*100+11)</f>
        <v/>
      </c>
      <c r="BX40">
        <f>IF(OR(AI40=1,calcA!$A$6=0),1000000000,IF('calcA'!$JF$21=1,0,100000000)+IF('calcA'!$IQ$21=2,SUMPRODUCT('calcA'!$D$71:$EQ$71,$DB40:$IO40,$IQ40:$OD40)*1000+SUMPRODUCT('calcA'!$D$71:$EQ$71,$DB40:$IO40+$ZQ40:$AFD40,$AFF40:$AKS40),SUMPRODUCT('calcA'!$D$71:$EQ$71,$DB40:$IO40*1001+$ZQ40:$AFD40))*100+12)</f>
        <v/>
      </c>
      <c r="BY40">
        <f>IF(OR(AJ40=1,calcA!$A$6=0),1000000000,IF('calcA'!$JF$22=1,0,100000000)+IF('calcA'!$IQ$22=2,SUMPRODUCT('calcA'!$D$72:$EQ$72,$DB40:$IO40,$IQ40:$OD40)*1000+SUMPRODUCT('calcA'!$D$72:$EQ$72,$DB40:$IO40+$ZQ40:$AFD40,$AFF40:$AKS40),SUMPRODUCT('calcA'!$D$72:$EQ$72,$DB40:$IO40*1001+$ZQ40:$AFD40))*100+13)</f>
        <v/>
      </c>
      <c r="BZ40">
        <f>IF(OR(AK40=1,calcA!$A$6=0),1000000000,IF('calcA'!$JF$23=1,0,100000000)+IF('calcA'!$IQ$23=2,SUMPRODUCT('calcA'!$D$73:$EQ$73,$DB40:$IO40,$IQ40:$OD40)*1000+SUMPRODUCT('calcA'!$D$73:$EQ$73,$DB40:$IO40+$ZQ40:$AFD40,$AFF40:$AKS40),SUMPRODUCT('calcA'!$D$73:$EQ$73,$DB40:$IO40*1001+$ZQ40:$AFD40))*100+14)</f>
        <v/>
      </c>
      <c r="CA40">
        <f>IF(OR(AL40=1,calcA!$A$6=0),1000000000,IF('calcA'!$JF$24=1,0,100000000)+IF('calcA'!$IQ$24=2,SUMPRODUCT('calcA'!$D$74:$EQ$74,$DB40:$IO40,$IQ40:$OD40)*1000+SUMPRODUCT('calcA'!$D$74:$EQ$74,$DB40:$IO40+$ZQ40:$AFD40,$AFF40:$AKS40),SUMPRODUCT('calcA'!$D$74:$EQ$74,$DB40:$IO40*1001+$ZQ40:$AFD40))*100+15)</f>
        <v/>
      </c>
      <c r="CB40">
        <f>IF(OR(AM40=1,calcA!$A$6=0),1000000000,IF('calcA'!$JF$25=1,0,100000000)+IF('calcA'!$IQ$25=2,SUMPRODUCT('calcA'!$D$75:$EQ$75,$DB40:$IO40,$IQ40:$OD40)*1000+SUMPRODUCT('calcA'!$D$75:$EQ$75,$DB40:$IO40+$ZQ40:$AFD40,$AFF40:$AKS40),SUMPRODUCT('calcA'!$D$75:$EQ$75,$DB40:$IO40*1001+$ZQ40:$AFD40))*100+16)</f>
        <v/>
      </c>
      <c r="CC40">
        <f>IF(OR(AN40=1,calcA!$A$6=0),1000000000,IF('calcA'!$JF$26=1,0,100000000)+IF('calcA'!$IQ$26=2,SUMPRODUCT('calcA'!$D$76:$EQ$76,$DB40:$IO40,$IQ40:$OD40)*1000+SUMPRODUCT('calcA'!$D$76:$EQ$76,$DB40:$IO40+$ZQ40:$AFD40,$AFF40:$AKS40),SUMPRODUCT('calcA'!$D$76:$EQ$76,$DB40:$IO40*1001+$ZQ40:$AFD40))*100+17)</f>
        <v/>
      </c>
      <c r="CD40">
        <f>IF(OR(AO40=1,calcA!$A$6=0),1000000000,IF('calcA'!$JF$27=1,0,100000000)+IF('calcA'!$IQ$27=2,SUMPRODUCT('calcA'!$D$77:$EQ$77,$DB40:$IO40,$IQ40:$OD40)*1000+SUMPRODUCT('calcA'!$D$77:$EQ$77,$DB40:$IO40+$ZQ40:$AFD40,$AFF40:$AKS40),SUMPRODUCT('calcA'!$D$77:$EQ$77,$DB40:$IO40*1001+$ZQ40:$AFD40))*100+18)</f>
        <v/>
      </c>
      <c r="CE40">
        <f>IF(OR(AP40=1,calcA!$A$6=0),1000000000,IF('calcA'!$JF$28=1,0,100000000)+IF('calcA'!$IQ$28=2,SUMPRODUCT('calcA'!$D$78:$EQ$78,$DB40:$IO40,$IQ40:$OD40)*1000+SUMPRODUCT('calcA'!$D$78:$EQ$78,$DB40:$IO40+$ZQ40:$AFD40,$AFF40:$AKS40),SUMPRODUCT('calcA'!$D$78:$EQ$78,$DB40:$IO40*1001+$ZQ40:$AFD40))*100+19)</f>
        <v/>
      </c>
      <c r="CF40">
        <f>IF(OR(AQ40=1,calcA!$A$6=0),1000000000,IF('calcA'!$JF$29=1,0,100000000)+IF('calcA'!$IQ$29=2,SUMPRODUCT('calcA'!$D$79:$EQ$79,$DB40:$IO40,$IQ40:$OD40)*1000+SUMPRODUCT('calcA'!$D$79:$EQ$79,$DB40:$IO40+$ZQ40:$AFD40,$AFF40:$AKS40),SUMPRODUCT('calcA'!$D$79:$EQ$79,$DB40:$IO40*1001+$ZQ40:$AFD40))*100+20)</f>
        <v/>
      </c>
      <c r="CG40">
        <f>IF(OR(AR40=1,calcA!$A$6=0),1000000000,IF('calcA'!$JF$30=1,0,100000000)+IF('calcA'!$IQ$30=2,SUMPRODUCT('calcA'!$D$80:$EQ$80,$DB40:$IO40,$IQ40:$OD40)*1000+SUMPRODUCT('calcA'!$D$80:$EQ$80,$DB40:$IO40+$ZQ40:$AFD40,$AFF40:$AKS40),SUMPRODUCT('calcA'!$D$80:$EQ$80,$DB40:$IO40*1001+$ZQ40:$AFD40))*100+21)</f>
        <v/>
      </c>
      <c r="CH40">
        <f>IF(OR(AS40=1,calcA!$A$6=0),1000000000,IF('calcA'!$JF$31=1,0,100000000)+IF('calcA'!$IQ$31=2,SUMPRODUCT('calcA'!$D$81:$EQ$81,$DB40:$IO40,$IQ40:$OD40)*1000+SUMPRODUCT('calcA'!$D$81:$EQ$81,$DB40:$IO40+$ZQ40:$AFD40,$AFF40:$AKS40),SUMPRODUCT('calcA'!$D$81:$EQ$81,$DB40:$IO40*1001+$ZQ40:$AFD40))*100+22)</f>
        <v/>
      </c>
      <c r="CI40">
        <f>IF(OR(AT40=1,calcA!$A$6=0),1000000000,IF('calcA'!$JF$32=1,0,100000000)+IF('calcA'!$IQ$32=2,SUMPRODUCT('calcA'!$D$82:$EQ$82,$DB40:$IO40,$IQ40:$OD40)*1000+SUMPRODUCT('calcA'!$D$82:$EQ$82,$DB40:$IO40+$ZQ40:$AFD40,$AFF40:$AKS40),SUMPRODUCT('calcA'!$D$82:$EQ$82,$DB40:$IO40*1001+$ZQ40:$AFD40))*100+23)</f>
        <v/>
      </c>
      <c r="CJ40">
        <f>IF(OR(AU40=1,calcA!$A$6=0),1000000000,IF('calcA'!$JF$33=1,0,100000000)+IF('calcA'!$IQ$33=2,SUMPRODUCT('calcA'!$D$83:$EQ$83,$DB40:$IO40,$IQ40:$OD40)*1000+SUMPRODUCT('calcA'!$D$83:$EQ$83,$DB40:$IO40+$ZQ40:$AFD40,$AFF40:$AKS40),SUMPRODUCT('calcA'!$D$83:$EQ$83,$DB40:$IO40*1001+$ZQ40:$AFD40))*100+24)</f>
        <v/>
      </c>
      <c r="CK40">
        <f>IF(OR(AV40=1,calcA!$A$6=0),1000000000,IF('calcA'!$JF$34=1,0,100000000)+IF('calcA'!$IQ$34=2,SUMPRODUCT('calcA'!$D$84:$EQ$84,$DB40:$IO40,$IQ40:$OD40)*1000+SUMPRODUCT('calcA'!$D$84:$EQ$84,$DB40:$IO40+$ZQ40:$AFD40,$AFF40:$AKS40),SUMPRODUCT('calcA'!$D$84:$EQ$84,$DB40:$IO40*1001+$ZQ40:$AFD40))*100+25)</f>
        <v/>
      </c>
      <c r="CL40">
        <f>IF(OR(AW40=1,calcA!$A$6=0),1000000000,IF('calcA'!$JF$35=1,0,100000000)+IF('calcA'!$IQ$35=2,SUMPRODUCT('calcA'!$D$85:$EQ$85,$DB40:$IO40,$IQ40:$OD40)*1000+SUMPRODUCT('calcA'!$D$85:$EQ$85,$DB40:$IO40+$ZQ40:$AFD40,$AFF40:$AKS40),SUMPRODUCT('calcA'!$D$85:$EQ$85,$DB40:$IO40*1001+$ZQ40:$AFD40))*100+26)</f>
        <v/>
      </c>
      <c r="CM40">
        <f>IF(OR(AX40=1,calcA!$A$6=0),1000000000,IF('calcA'!$JF$36=1,0,100000000)+IF('calcA'!$IQ$36=2,SUMPRODUCT('calcA'!$D$86:$EQ$86,$DB40:$IO40,$IQ40:$OD40)*1000+SUMPRODUCT('calcA'!$D$86:$EQ$86,$DB40:$IO40+$ZQ40:$AFD40,$AFF40:$AKS40),SUMPRODUCT('calcA'!$D$86:$EQ$86,$DB40:$IO40*1001+$ZQ40:$AFD40))*100+27)</f>
        <v/>
      </c>
      <c r="CN40">
        <f>IF(OR(AY40=1,calcA!$A$6=0),1000000000,IF('calcA'!$JF$37=1,0,100000000)+IF('calcA'!$IQ$37=2,SUMPRODUCT('calcA'!$D$87:$EQ$87,$DB40:$IO40,$IQ40:$OD40)*1000+SUMPRODUCT('calcA'!$D$87:$EQ$87,$DB40:$IO40+$ZQ40:$AFD40,$AFF40:$AKS40),SUMPRODUCT('calcA'!$D$87:$EQ$87,$DB40:$IO40*1001+$ZQ40:$AFD40))*100+28)</f>
        <v/>
      </c>
      <c r="CO40">
        <f>IF(OR(AZ40=1,calcA!$A$6=0),1000000000,IF('calcA'!$JF$38=1,0,100000000)+IF('calcA'!$IQ$38=2,SUMPRODUCT('calcA'!$D$88:$EQ$88,$DB40:$IO40,$IQ40:$OD40)*1000+SUMPRODUCT('calcA'!$D$88:$EQ$88,$DB40:$IO40+$ZQ40:$AFD40,$AFF40:$AKS40),SUMPRODUCT('calcA'!$D$88:$EQ$88,$DB40:$IO40*1001+$ZQ40:$AFD40))*100+29)</f>
        <v/>
      </c>
      <c r="CP40">
        <f>IF(OR(BA40=1,calcA!$A$6=0),1000000000,IF('calcA'!$JF$39=1,0,100000000)+IF('calcA'!$IQ$39=2,SUMPRODUCT('calcA'!$D$89:$EQ$89,$DB40:$IO40,$IQ40:$OD40)*1000+SUMPRODUCT('calcA'!$D$89:$EQ$89,$DB40:$IO40+$ZQ40:$AFD40,$AFF40:$AKS40),SUMPRODUCT('calcA'!$D$89:$EQ$89,$DB40:$IO40*1001+$ZQ40:$AFD40))*100+30)</f>
        <v/>
      </c>
      <c r="CQ40">
        <f>IF(OR(BB40=1,calcA!$A$6=0),1000000000,IF('calcA'!$JF$40=1,0,100000000)+IF('calcA'!$IQ$40=2,SUMPRODUCT('calcA'!$D$90:$EQ$90,$DB40:$IO40,$IQ40:$OD40)*1000+SUMPRODUCT('calcA'!$D$90:$EQ$90,$DB40:$IO40+$ZQ40:$AFD40,$AFF40:$AKS40),SUMPRODUCT('calcA'!$D$90:$EQ$90,$DB40:$IO40*1001+$ZQ40:$AFD40))*100+31)</f>
        <v/>
      </c>
      <c r="CR40">
        <f>IF(OR(BC40=1,calcA!$A$6=0),1000000000,IF('calcA'!$JF$41=1,0,100000000)+IF('calcA'!$IQ$41=2,SUMPRODUCT('calcA'!$D$91:$EQ$91,$DB40:$IO40,$IQ40:$OD40)*1000+SUMPRODUCT('calcA'!$D$91:$EQ$91,$DB40:$IO40+$ZQ40:$AFD40,$AFF40:$AKS40),SUMPRODUCT('calcA'!$D$91:$EQ$91,$DB40:$IO40*1001+$ZQ40:$AFD40))*100+32)</f>
        <v/>
      </c>
      <c r="CS40">
        <f>IF(OR(BD40=1,calcA!$A$6=0),1000000000,IF('calcA'!$JF$42=1,0,100000000)+IF('calcA'!$IQ$42=2,SUMPRODUCT('calcA'!$D$92:$EQ$92,$DB40:$IO40,$IQ40:$OD40)*1000+SUMPRODUCT('calcA'!$D$92:$EQ$92,$DB40:$IO40+$ZQ40:$AFD40,$AFF40:$AKS40),SUMPRODUCT('calcA'!$D$92:$EQ$92,$DB40:$IO40*1001+$ZQ40:$AFD40))*100+33)</f>
        <v/>
      </c>
      <c r="CT40">
        <f>IF(OR(BE40=1,calcA!$A$6=0),1000000000,IF('calcA'!$JF$43=1,0,100000000)+IF('calcA'!$IQ$43=2,SUMPRODUCT('calcA'!$D$93:$EQ$93,$DB40:$IO40,$IQ40:$OD40)*1000+SUMPRODUCT('calcA'!$D$93:$EQ$93,$DB40:$IO40+$ZQ40:$AFD40,$AFF40:$AKS40),SUMPRODUCT('calcA'!$D$93:$EQ$93,$DB40:$IO40*1001+$ZQ40:$AFD40))*100+34)</f>
        <v/>
      </c>
      <c r="CU40">
        <f>IF(OR(BF40=1,calcA!$A$6=0),1000000000,IF('calcA'!$JF$44=1,0,100000000)+IF('calcA'!$IQ$44=2,SUMPRODUCT('calcA'!$D$94:$EQ$94,$DB40:$IO40,$IQ40:$OD40)*1000+SUMPRODUCT('calcA'!$D$94:$EQ$94,$DB40:$IO40+$ZQ40:$AFD40,$AFF40:$AKS40),SUMPRODUCT('calcA'!$D$94:$EQ$94,$DB40:$IO40*1001+$ZQ40:$AFD40))*100+35)</f>
        <v/>
      </c>
      <c r="CV40">
        <f>IF(OR(BG40=1,calcA!$A$6=0),1000000000,IF('calcA'!$JF$45=1,0,100000000)+IF('calcA'!$IQ$45=2,SUMPRODUCT('calcA'!$D$95:$EQ$95,$DB40:$IO40,$IQ40:$OD40)*1000+SUMPRODUCT('calcA'!$D$95:$EQ$95,$DB40:$IO40+$ZQ40:$AFD40,$AFF40:$AKS40),SUMPRODUCT('calcA'!$D$95:$EQ$95,$DB40:$IO40*1001+$ZQ40:$AFD40))*100+36)</f>
        <v/>
      </c>
      <c r="CW40">
        <f>IF(OR(BH40=1,calcA!$A$6=0),1000000000,IF('calcA'!$JF$46=1,0,100000000)+IF('calcA'!$IQ$46=2,SUMPRODUCT('calcA'!$D$96:$EQ$96,$DB40:$IO40,$IQ40:$OD40)*1000+SUMPRODUCT('calcA'!$D$96:$EQ$96,$DB40:$IO40+$ZQ40:$AFD40,$AFF40:$AKS40),SUMPRODUCT('calcA'!$D$96:$EQ$96,$DB40:$IO40*1001+$ZQ40:$AFD40))*100+37)</f>
        <v/>
      </c>
      <c r="CX40">
        <f>IF(OR(BI40=1,calcA!$A$6=0),1000000000,IF('calcA'!$JF$47=1,0,100000000)+IF('calcA'!$IQ$47=2,SUMPRODUCT('calcA'!$D$97:$EQ$97,$DB40:$IO40,$IQ40:$OD40)*1000+SUMPRODUCT('calcA'!$D$97:$EQ$97,$DB40:$IO40+$ZQ40:$AFD40,$AFF40:$AKS40),SUMPRODUCT('calcA'!$D$97:$EQ$97,$DB40:$IO40*1001+$ZQ40:$AFD40))*100+38)</f>
        <v/>
      </c>
      <c r="CY40">
        <f>IF(OR(BJ40=1,calcA!$A$6=0),1000000000,IF('calcA'!$JF$48=1,0,100000000)+IF('calcA'!$IQ$48=2,SUMPRODUCT('calcA'!$D$98:$EQ$98,$DB40:$IO40,$IQ40:$OD40)*1000+SUMPRODUCT('calcA'!$D$98:$EQ$98,$DB40:$IO40+$ZQ40:$AFD40,$AFF40:$AKS40),SUMPRODUCT('calcA'!$D$98:$EQ$98,$DB40:$IO40*1001+$ZQ40:$AFD40))*100+39)</f>
        <v/>
      </c>
      <c r="CZ40">
        <f>IF(OR(BK40=1,calcA!$A$6=0),1000000000,IF('calcA'!$JF$49=1,0,100000000)+IF('calcA'!$IQ$49=2,SUMPRODUCT('calcA'!$D$99:$EQ$99,$DB40:$IO40,$IQ40:$OD40)*1000+SUMPRODUCT('calcA'!$D$99:$EQ$99,$DB40:$IO40+$ZQ40:$AFD40,$AFF40:$AKS40),SUMPRODUCT('calcA'!$D$99:$EQ$99,$DB40:$IO40*1001+$ZQ40:$AFD40))*100+40)</f>
        <v/>
      </c>
      <c r="DB40">
        <f>DB39*IF(OR($C39=1,$G39=1),0,1)</f>
        <v/>
      </c>
      <c r="DC40">
        <f>DC39*IF(OR($C39=2,$G39=2),0,1)</f>
        <v/>
      </c>
      <c r="DD40">
        <f>DD39*IF(OR($C39=3,$G39=3),0,1)</f>
        <v/>
      </c>
      <c r="DE40">
        <f>DE39*IF(OR($C39=4,$G39=4),0,1)</f>
        <v/>
      </c>
      <c r="DF40">
        <f>DF39*IF(OR($C39=5,$G39=5),0,1)</f>
        <v/>
      </c>
      <c r="DG40">
        <f>DG39*IF(OR($C39=6,$G39=6),0,1)</f>
        <v/>
      </c>
      <c r="DH40">
        <f>DH39*IF(OR($C39=7,$G39=7),0,1)</f>
        <v/>
      </c>
      <c r="DI40">
        <f>DI39*IF(OR($C39=8,$G39=8),0,1)</f>
        <v/>
      </c>
      <c r="DJ40">
        <f>DJ39*IF(OR($C39=9,$G39=9),0,1)</f>
        <v/>
      </c>
      <c r="DK40">
        <f>DK39*IF(OR($C39=10,$G39=10),0,1)</f>
        <v/>
      </c>
      <c r="DL40">
        <f>DL39*IF(OR($C39=11,$G39=11),0,1)</f>
        <v/>
      </c>
      <c r="DM40">
        <f>DM39*IF(OR($C39=12,$G39=12),0,1)</f>
        <v/>
      </c>
      <c r="DN40">
        <f>DN39*IF(OR($C39=13,$G39=13),0,1)</f>
        <v/>
      </c>
      <c r="DO40">
        <f>DO39*IF(OR($C39=14,$G39=14),0,1)</f>
        <v/>
      </c>
      <c r="DP40">
        <f>DP39*IF(OR($C39=15,$G39=15),0,1)</f>
        <v/>
      </c>
      <c r="DQ40">
        <f>DQ39*IF(OR($C39=16,$G39=16),0,1)</f>
        <v/>
      </c>
      <c r="DR40">
        <f>DR39*IF(OR($C39=17,$G39=17),0,1)</f>
        <v/>
      </c>
      <c r="DS40">
        <f>DS39*IF(OR($C39=18,$G39=18),0,1)</f>
        <v/>
      </c>
      <c r="DT40">
        <f>DT39*IF(OR($C39=19,$G39=19),0,1)</f>
        <v/>
      </c>
      <c r="DU40">
        <f>DU39*IF(OR($C39=20,$G39=20),0,1)</f>
        <v/>
      </c>
      <c r="DV40">
        <f>DV39*IF(OR($C39=21,$G39=21),0,1)</f>
        <v/>
      </c>
      <c r="DW40">
        <f>DW39*IF(OR($C39=22,$G39=22),0,1)</f>
        <v/>
      </c>
      <c r="DX40">
        <f>DX39*IF(OR($C39=23,$G39=23),0,1)</f>
        <v/>
      </c>
      <c r="DY40">
        <f>DY39*IF(OR($C39=24,$G39=24),0,1)</f>
        <v/>
      </c>
      <c r="DZ40">
        <f>DZ39*IF(OR($C39=25,$G39=25),0,1)</f>
        <v/>
      </c>
      <c r="EA40">
        <f>EA39*IF(OR($C39=26,$G39=26),0,1)</f>
        <v/>
      </c>
      <c r="EB40">
        <f>EB39*IF(OR($C39=27,$G39=27),0,1)</f>
        <v/>
      </c>
      <c r="EC40">
        <f>EC39*IF(OR($C39=28,$G39=28),0,1)</f>
        <v/>
      </c>
      <c r="ED40">
        <f>ED39*IF(OR($C39=29,$G39=29),0,1)</f>
        <v/>
      </c>
      <c r="EE40">
        <f>EE39*IF(OR($C39=30,$G39=30),0,1)</f>
        <v/>
      </c>
      <c r="EF40">
        <f>EF39*IF(OR($C39=31,$G39=31),0,1)</f>
        <v/>
      </c>
      <c r="EG40">
        <f>EG39*IF(OR($C39=32,$G39=32),0,1)</f>
        <v/>
      </c>
      <c r="EH40">
        <f>EH39*IF(OR($C39=33,$G39=33),0,1)</f>
        <v/>
      </c>
      <c r="EI40">
        <f>EI39*IF(OR($C39=34,$G39=34),0,1)</f>
        <v/>
      </c>
      <c r="EJ40">
        <f>EJ39*IF(OR($C39=35,$G39=35),0,1)</f>
        <v/>
      </c>
      <c r="EK40">
        <f>EK39*IF(OR($C39=36,$G39=36),0,1)</f>
        <v/>
      </c>
      <c r="EL40">
        <f>EL39*IF(OR($C39=37,$G39=37),0,1)</f>
        <v/>
      </c>
      <c r="EM40">
        <f>EM39*IF(OR($C39=38,$G39=38),0,1)</f>
        <v/>
      </c>
      <c r="EN40">
        <f>EN39*IF(OR($C39=39,$G39=39),0,1)</f>
        <v/>
      </c>
      <c r="EO40">
        <f>EO39*IF(OR($C39=40,$G39=40),0,1)</f>
        <v/>
      </c>
      <c r="EP40">
        <f>EP39*IF(OR($C39=41,$G39=41),0,1)</f>
        <v/>
      </c>
      <c r="EQ40">
        <f>EQ39*IF(OR($C39=42,$G39=42),0,1)</f>
        <v/>
      </c>
      <c r="ER40">
        <f>ER39*IF(OR($C39=43,$G39=43),0,1)</f>
        <v/>
      </c>
      <c r="ES40">
        <f>ES39*IF(OR($C39=44,$G39=44),0,1)</f>
        <v/>
      </c>
      <c r="ET40">
        <f>ET39*IF(OR($C39=45,$G39=45),0,1)</f>
        <v/>
      </c>
      <c r="EU40">
        <f>EU39*IF(OR($C39=46,$G39=46),0,1)</f>
        <v/>
      </c>
      <c r="EV40">
        <f>EV39*IF(OR($C39=47,$G39=47),0,1)</f>
        <v/>
      </c>
      <c r="EW40">
        <f>EW39*IF(OR($C39=48,$G39=48),0,1)</f>
        <v/>
      </c>
      <c r="EX40">
        <f>EX39*IF(OR($C39=49,$G39=49),0,1)</f>
        <v/>
      </c>
      <c r="EY40">
        <f>EY39*IF(OR($C39=50,$G39=50),0,1)</f>
        <v/>
      </c>
      <c r="EZ40">
        <f>EZ39*IF(OR($C39=51,$G39=51),0,1)</f>
        <v/>
      </c>
      <c r="FA40">
        <f>FA39*IF(OR($C39=52,$G39=52),0,1)</f>
        <v/>
      </c>
      <c r="FB40">
        <f>FB39*IF(OR($C39=53,$G39=53),0,1)</f>
        <v/>
      </c>
      <c r="FC40">
        <f>FC39*IF(OR($C39=54,$G39=54),0,1)</f>
        <v/>
      </c>
      <c r="FD40">
        <f>FD39*IF(OR($C39=55,$G39=55),0,1)</f>
        <v/>
      </c>
      <c r="FE40">
        <f>FE39*IF(OR($C39=56,$G39=56),0,1)</f>
        <v/>
      </c>
      <c r="FF40">
        <f>FF39*IF(OR($C39=57,$G39=57),0,1)</f>
        <v/>
      </c>
      <c r="FG40">
        <f>FG39*IF(OR($C39=58,$G39=58),0,1)</f>
        <v/>
      </c>
      <c r="FH40">
        <f>FH39*IF(OR($C39=59,$G39=59),0,1)</f>
        <v/>
      </c>
      <c r="FI40">
        <f>FI39*IF(OR($C39=60,$G39=60),0,1)</f>
        <v/>
      </c>
      <c r="FJ40">
        <f>FJ39*IF(OR($C39=61,$G39=61),0,1)</f>
        <v/>
      </c>
      <c r="FK40">
        <f>FK39*IF(OR($C39=62,$G39=62),0,1)</f>
        <v/>
      </c>
      <c r="FL40">
        <f>FL39*IF(OR($C39=63,$G39=63),0,1)</f>
        <v/>
      </c>
      <c r="FM40">
        <f>FM39*IF(OR($C39=64,$G39=64),0,1)</f>
        <v/>
      </c>
      <c r="FN40">
        <f>FN39*IF(OR($C39=65,$G39=65),0,1)</f>
        <v/>
      </c>
      <c r="FO40">
        <f>FO39*IF(OR($C39=66,$G39=66),0,1)</f>
        <v/>
      </c>
      <c r="FP40">
        <f>FP39*IF(OR($C39=67,$G39=67),0,1)</f>
        <v/>
      </c>
      <c r="FQ40">
        <f>FQ39*IF(OR($C39=68,$G39=68),0,1)</f>
        <v/>
      </c>
      <c r="FR40">
        <f>FR39*IF(OR($C39=69,$G39=69),0,1)</f>
        <v/>
      </c>
      <c r="FS40">
        <f>FS39*IF(OR($C39=70,$G39=70),0,1)</f>
        <v/>
      </c>
      <c r="FT40">
        <f>FT39*IF(OR($C39=71,$G39=71),0,1)</f>
        <v/>
      </c>
      <c r="FU40">
        <f>FU39*IF(OR($C39=72,$G39=72),0,1)</f>
        <v/>
      </c>
      <c r="FV40">
        <f>FV39*IF(OR($C39=73,$G39=73),0,1)</f>
        <v/>
      </c>
      <c r="FW40">
        <f>FW39*IF(OR($C39=74,$G39=74),0,1)</f>
        <v/>
      </c>
      <c r="FX40">
        <f>FX39*IF(OR($C39=75,$G39=75),0,1)</f>
        <v/>
      </c>
      <c r="FY40">
        <f>FY39*IF(OR($C39=76,$G39=76),0,1)</f>
        <v/>
      </c>
      <c r="FZ40">
        <f>FZ39*IF(OR($C39=77,$G39=77),0,1)</f>
        <v/>
      </c>
      <c r="GA40">
        <f>GA39*IF(OR($C39=78,$G39=78),0,1)</f>
        <v/>
      </c>
      <c r="GB40">
        <f>GB39*IF(OR($C39=79,$G39=79),0,1)</f>
        <v/>
      </c>
      <c r="GC40">
        <f>GC39*IF(OR($C39=80,$G39=80),0,1)</f>
        <v/>
      </c>
      <c r="GD40">
        <f>GD39*IF(OR($C39=81,$G39=81),0,1)</f>
        <v/>
      </c>
      <c r="GE40">
        <f>GE39*IF(OR($C39=82,$G39=82),0,1)</f>
        <v/>
      </c>
      <c r="GF40">
        <f>GF39*IF(OR($C39=83,$G39=83),0,1)</f>
        <v/>
      </c>
      <c r="GG40">
        <f>GG39*IF(OR($C39=84,$G39=84),0,1)</f>
        <v/>
      </c>
      <c r="GH40">
        <f>GH39*IF(OR($C39=85,$G39=85),0,1)</f>
        <v/>
      </c>
      <c r="GI40">
        <f>GI39*IF(OR($C39=86,$G39=86),0,1)</f>
        <v/>
      </c>
      <c r="GJ40">
        <f>GJ39*IF(OR($C39=87,$G39=87),0,1)</f>
        <v/>
      </c>
      <c r="GK40">
        <f>GK39*IF(OR($C39=88,$G39=88),0,1)</f>
        <v/>
      </c>
      <c r="GL40">
        <f>GL39*IF(OR($C39=89,$G39=89),0,1)</f>
        <v/>
      </c>
      <c r="GM40">
        <f>GM39*IF(OR($C39=90,$G39=90),0,1)</f>
        <v/>
      </c>
      <c r="GN40">
        <f>GN39*IF(OR($C39=91,$G39=91),0,1)</f>
        <v/>
      </c>
      <c r="GO40">
        <f>GO39*IF(OR($C39=92,$G39=92),0,1)</f>
        <v/>
      </c>
      <c r="GP40">
        <f>GP39*IF(OR($C39=93,$G39=93),0,1)</f>
        <v/>
      </c>
      <c r="GQ40">
        <f>GQ39*IF(OR($C39=94,$G39=94),0,1)</f>
        <v/>
      </c>
      <c r="GR40">
        <f>GR39*IF(OR($C39=95,$G39=95),0,1)</f>
        <v/>
      </c>
      <c r="GS40">
        <f>GS39*IF(OR($C39=96,$G39=96),0,1)</f>
        <v/>
      </c>
      <c r="GT40">
        <f>GT39*IF(OR($C39=97,$G39=97),0,1)</f>
        <v/>
      </c>
      <c r="GU40">
        <f>GU39*IF(OR($C39=98,$G39=98),0,1)</f>
        <v/>
      </c>
      <c r="GV40">
        <f>GV39*IF(OR($C39=99,$G39=99),0,1)</f>
        <v/>
      </c>
      <c r="GW40">
        <f>GW39*IF(OR($C39=100,$G39=100),0,1)</f>
        <v/>
      </c>
      <c r="GX40">
        <f>GX39*IF(OR($C39=101,$G39=101),0,1)</f>
        <v/>
      </c>
      <c r="GY40">
        <f>GY39*IF(OR($C39=102,$G39=102),0,1)</f>
        <v/>
      </c>
      <c r="GZ40">
        <f>GZ39*IF(OR($C39=103,$G39=103),0,1)</f>
        <v/>
      </c>
      <c r="HA40">
        <f>HA39*IF(OR($C39=104,$G39=104),0,1)</f>
        <v/>
      </c>
      <c r="HB40">
        <f>HB39*IF(OR($C39=105,$G39=105),0,1)</f>
        <v/>
      </c>
      <c r="HC40">
        <f>HC39*IF(OR($C39=106,$G39=106),0,1)</f>
        <v/>
      </c>
      <c r="HD40">
        <f>HD39*IF(OR($C39=107,$G39=107),0,1)</f>
        <v/>
      </c>
      <c r="HE40">
        <f>HE39*IF(OR($C39=108,$G39=108),0,1)</f>
        <v/>
      </c>
      <c r="HF40">
        <f>HF39*IF(OR($C39=109,$G39=109),0,1)</f>
        <v/>
      </c>
      <c r="HG40">
        <f>HG39*IF(OR($C39=110,$G39=110),0,1)</f>
        <v/>
      </c>
      <c r="HH40">
        <f>HH39*IF(OR($C39=111,$G39=111),0,1)</f>
        <v/>
      </c>
      <c r="HI40">
        <f>HI39*IF(OR($C39=112,$G39=112),0,1)</f>
        <v/>
      </c>
      <c r="HJ40">
        <f>HJ39*IF(OR($C39=113,$G39=113),0,1)</f>
        <v/>
      </c>
      <c r="HK40">
        <f>HK39*IF(OR($C39=114,$G39=114),0,1)</f>
        <v/>
      </c>
      <c r="HL40">
        <f>HL39*IF(OR($C39=115,$G39=115),0,1)</f>
        <v/>
      </c>
      <c r="HM40">
        <f>HM39*IF(OR($C39=116,$G39=116),0,1)</f>
        <v/>
      </c>
      <c r="HN40">
        <f>HN39*IF(OR($C39=117,$G39=117),0,1)</f>
        <v/>
      </c>
      <c r="HO40">
        <f>HO39*IF(OR($C39=118,$G39=118),0,1)</f>
        <v/>
      </c>
      <c r="HP40">
        <f>HP39*IF(OR($C39=119,$G39=119),0,1)</f>
        <v/>
      </c>
      <c r="HQ40">
        <f>HQ39*IF(OR($C39=120,$G39=120),0,1)</f>
        <v/>
      </c>
      <c r="HR40">
        <f>HR39*IF(OR($C39=121,$G39=121),0,1)</f>
        <v/>
      </c>
      <c r="HS40">
        <f>HS39*IF(OR($C39=122,$G39=122),0,1)</f>
        <v/>
      </c>
      <c r="HT40">
        <f>HT39*IF(OR($C39=123,$G39=123),0,1)</f>
        <v/>
      </c>
      <c r="HU40">
        <f>HU39*IF(OR($C39=124,$G39=124),0,1)</f>
        <v/>
      </c>
      <c r="HV40">
        <f>HV39*IF(OR($C39=125,$G39=125),0,1)</f>
        <v/>
      </c>
      <c r="HW40">
        <f>HW39*IF(OR($C39=126,$G39=126),0,1)</f>
        <v/>
      </c>
      <c r="HX40">
        <f>HX39*IF(OR($C39=127,$G39=127),0,1)</f>
        <v/>
      </c>
      <c r="HY40">
        <f>HY39*IF(OR($C39=128,$G39=128),0,1)</f>
        <v/>
      </c>
      <c r="HZ40">
        <f>HZ39*IF(OR($C39=129,$G39=129),0,1)</f>
        <v/>
      </c>
      <c r="IA40">
        <f>IA39*IF(OR($C39=130,$G39=130),0,1)</f>
        <v/>
      </c>
      <c r="IB40">
        <f>IB39*IF(OR($C39=131,$G39=131),0,1)</f>
        <v/>
      </c>
      <c r="IC40">
        <f>IC39*IF(OR($C39=132,$G39=132),0,1)</f>
        <v/>
      </c>
      <c r="ID40">
        <f>ID39*IF(OR($C39=133,$G39=133),0,1)</f>
        <v/>
      </c>
      <c r="IE40">
        <f>IE39*IF(OR($C39=134,$G39=134),0,1)</f>
        <v/>
      </c>
      <c r="IF40">
        <f>IF39*IF(OR($C39=135,$G39=135),0,1)</f>
        <v/>
      </c>
      <c r="IG40">
        <f>IG39*IF(OR($C39=136,$G39=136),0,1)</f>
        <v/>
      </c>
      <c r="IH40">
        <f>IH39*IF(OR($C39=137,$G39=137),0,1)</f>
        <v/>
      </c>
      <c r="II40">
        <f>II39*IF(OR($C39=138,$G39=138),0,1)</f>
        <v/>
      </c>
      <c r="IJ40">
        <f>IJ39*IF(OR($C39=139,$G39=139),0,1)</f>
        <v/>
      </c>
      <c r="IK40">
        <f>IK39*IF(OR($C39=140,$G39=140),0,1)</f>
        <v/>
      </c>
      <c r="IL40">
        <f>IL39*IF(OR($C39=141,$G39=141),0,1)</f>
        <v/>
      </c>
      <c r="IM40">
        <f>IM39*IF(OR($C39=142,$G39=142),0,1)</f>
        <v/>
      </c>
      <c r="IN40">
        <f>IN39*IF(OR($C39=143,$G39=143),0,1)</f>
        <v/>
      </c>
      <c r="IO40">
        <f>IO39*IF(OR($C39=144,$G39=144),0,1)</f>
        <v/>
      </c>
      <c r="IQ40">
        <f>IF('calcA'!D$106=1,DC40,1)</f>
        <v/>
      </c>
      <c r="IR40">
        <f>IF('calcA'!E$106=1,DD40,1)</f>
        <v/>
      </c>
      <c r="IS40">
        <f>IF('calcA'!F$106=1,DE40,1)</f>
        <v/>
      </c>
      <c r="IT40">
        <f>IF('calcA'!G$106=1,DF40,1)</f>
        <v/>
      </c>
      <c r="IU40">
        <f>IF('calcA'!H$106=1,DG40,1)</f>
        <v/>
      </c>
      <c r="IV40">
        <f>IF('calcA'!I$106=1,DH40,1)</f>
        <v/>
      </c>
      <c r="IW40">
        <f>IF('calcA'!J$106=1,DI40,1)</f>
        <v/>
      </c>
      <c r="IX40">
        <f>IF('calcA'!K$106=1,DJ40,1)</f>
        <v/>
      </c>
      <c r="IY40">
        <f>IF('calcA'!L$106=1,DK40,1)</f>
        <v/>
      </c>
      <c r="IZ40">
        <f>IF('calcA'!M$106=1,DL40,1)</f>
        <v/>
      </c>
      <c r="JA40">
        <f>IF('calcA'!N$106=1,DM40,1)</f>
        <v/>
      </c>
      <c r="JB40">
        <f>IF('calcA'!O$106=1,DN40,1)</f>
        <v/>
      </c>
      <c r="JC40">
        <f>IF('calcA'!P$106=1,DO40,1)</f>
        <v/>
      </c>
      <c r="JD40">
        <f>IF('calcA'!Q$106=1,DP40,1)</f>
        <v/>
      </c>
      <c r="JE40">
        <f>IF('calcA'!R$106=1,DQ40,1)</f>
        <v/>
      </c>
      <c r="JF40">
        <f>IF('calcA'!S$106=1,DR40,1)</f>
        <v/>
      </c>
      <c r="JG40">
        <f>IF('calcA'!T$106=1,DS40,1)</f>
        <v/>
      </c>
      <c r="JH40">
        <f>IF('calcA'!U$106=1,DT40,1)</f>
        <v/>
      </c>
      <c r="JI40">
        <f>IF('calcA'!V$106=1,DU40,1)</f>
        <v/>
      </c>
      <c r="JJ40">
        <f>IF('calcA'!W$106=1,DV40,1)</f>
        <v/>
      </c>
      <c r="JK40">
        <f>IF('calcA'!X$106=1,DW40,1)</f>
        <v/>
      </c>
      <c r="JL40">
        <f>IF('calcA'!Y$106=1,DX40,1)</f>
        <v/>
      </c>
      <c r="JM40">
        <f>IF('calcA'!Z$106=1,DY40,1)</f>
        <v/>
      </c>
      <c r="JN40">
        <f>IF('calcA'!AA$106=1,DZ40,1)</f>
        <v/>
      </c>
      <c r="JO40">
        <f>IF('calcA'!AB$106=1,EA40,1)</f>
        <v/>
      </c>
      <c r="JP40">
        <f>IF('calcA'!AC$106=1,EB40,1)</f>
        <v/>
      </c>
      <c r="JQ40">
        <f>IF('calcA'!AD$106=1,EC40,1)</f>
        <v/>
      </c>
      <c r="JR40">
        <f>IF('calcA'!AE$106=1,ED40,1)</f>
        <v/>
      </c>
      <c r="JS40">
        <f>IF('calcA'!AF$106=1,EE40,1)</f>
        <v/>
      </c>
      <c r="JT40">
        <f>IF('calcA'!AG$106=1,EF40,1)</f>
        <v/>
      </c>
      <c r="JU40">
        <f>IF('calcA'!AH$106=1,EG40,1)</f>
        <v/>
      </c>
      <c r="JV40">
        <f>IF('calcA'!AI$106=1,EH40,1)</f>
        <v/>
      </c>
      <c r="JW40">
        <f>IF('calcA'!AJ$106=1,EI40,1)</f>
        <v/>
      </c>
      <c r="JX40">
        <f>IF('calcA'!AK$106=1,EJ40,1)</f>
        <v/>
      </c>
      <c r="JY40">
        <f>IF('calcA'!AL$106=1,EK40,1)</f>
        <v/>
      </c>
      <c r="JZ40">
        <f>IF('calcA'!AM$106=1,EL40,1)</f>
        <v/>
      </c>
      <c r="KA40">
        <f>IF('calcA'!AN$106=1,EM40,1)</f>
        <v/>
      </c>
      <c r="KB40">
        <f>IF('calcA'!AO$106=1,EN40,1)</f>
        <v/>
      </c>
      <c r="KC40">
        <f>IF('calcA'!AP$106=1,EO40,1)</f>
        <v/>
      </c>
      <c r="KD40">
        <f>IF('calcA'!AQ$106=1,EP40,1)</f>
        <v/>
      </c>
      <c r="KE40">
        <f>IF('calcA'!AR$106=1,EQ40,1)</f>
        <v/>
      </c>
      <c r="KF40">
        <f>IF('calcA'!AS$106=1,ER40,1)</f>
        <v/>
      </c>
      <c r="KG40">
        <f>IF('calcA'!AT$106=1,ES40,1)</f>
        <v/>
      </c>
      <c r="KH40">
        <f>IF('calcA'!AU$106=1,ET40,1)</f>
        <v/>
      </c>
      <c r="KI40">
        <f>IF('calcA'!AV$106=1,EU40,1)</f>
        <v/>
      </c>
      <c r="KJ40">
        <f>IF('calcA'!AW$106=1,EV40,1)</f>
        <v/>
      </c>
      <c r="KK40">
        <f>IF('calcA'!AX$106=1,EW40,1)</f>
        <v/>
      </c>
      <c r="KL40">
        <f>IF('calcA'!AY$106=1,EX40,1)</f>
        <v/>
      </c>
      <c r="KM40">
        <f>IF('calcA'!AZ$106=1,EY40,1)</f>
        <v/>
      </c>
      <c r="KN40">
        <f>IF('calcA'!BA$106=1,EZ40,1)</f>
        <v/>
      </c>
      <c r="KO40">
        <f>IF('calcA'!BB$106=1,FA40,1)</f>
        <v/>
      </c>
      <c r="KP40">
        <f>IF('calcA'!BC$106=1,FB40,1)</f>
        <v/>
      </c>
      <c r="KQ40">
        <f>IF('calcA'!BD$106=1,FC40,1)</f>
        <v/>
      </c>
      <c r="KR40">
        <f>IF('calcA'!BE$106=1,FD40,1)</f>
        <v/>
      </c>
      <c r="KS40">
        <f>IF('calcA'!BF$106=1,FE40,1)</f>
        <v/>
      </c>
      <c r="KT40">
        <f>IF('calcA'!BG$106=1,FF40,1)</f>
        <v/>
      </c>
      <c r="KU40">
        <f>IF('calcA'!BH$106=1,FG40,1)</f>
        <v/>
      </c>
      <c r="KV40">
        <f>IF('calcA'!BI$106=1,FH40,1)</f>
        <v/>
      </c>
      <c r="KW40">
        <f>IF('calcA'!BJ$106=1,FI40,1)</f>
        <v/>
      </c>
      <c r="KX40">
        <f>IF('calcA'!BK$106=1,FJ40,1)</f>
        <v/>
      </c>
      <c r="KY40">
        <f>IF('calcA'!BL$106=1,FK40,1)</f>
        <v/>
      </c>
      <c r="KZ40">
        <f>IF('calcA'!BM$106=1,FL40,1)</f>
        <v/>
      </c>
      <c r="LA40">
        <f>IF('calcA'!BN$106=1,FM40,1)</f>
        <v/>
      </c>
      <c r="LB40">
        <f>IF('calcA'!BO$106=1,FN40,1)</f>
        <v/>
      </c>
      <c r="LC40">
        <f>IF('calcA'!BP$106=1,FO40,1)</f>
        <v/>
      </c>
      <c r="LD40">
        <f>IF('calcA'!BQ$106=1,FP40,1)</f>
        <v/>
      </c>
      <c r="LE40">
        <f>IF('calcA'!BR$106=1,FQ40,1)</f>
        <v/>
      </c>
      <c r="LF40">
        <f>IF('calcA'!BS$106=1,FR40,1)</f>
        <v/>
      </c>
      <c r="LG40">
        <f>IF('calcA'!BT$106=1,FS40,1)</f>
        <v/>
      </c>
      <c r="LH40">
        <f>IF('calcA'!BU$106=1,FT40,1)</f>
        <v/>
      </c>
      <c r="LI40">
        <f>IF('calcA'!BV$106=1,FU40,1)</f>
        <v/>
      </c>
      <c r="LJ40">
        <f>IF('calcA'!BW$106=1,FV40,1)</f>
        <v/>
      </c>
      <c r="LK40">
        <f>IF('calcA'!BX$106=1,FW40,1)</f>
        <v/>
      </c>
      <c r="LL40">
        <f>IF('calcA'!BY$106=1,FX40,1)</f>
        <v/>
      </c>
      <c r="LM40">
        <f>IF('calcA'!BZ$106=1,FY40,1)</f>
        <v/>
      </c>
      <c r="LN40">
        <f>IF('calcA'!CA$106=1,FZ40,1)</f>
        <v/>
      </c>
      <c r="LO40">
        <f>IF('calcA'!CB$106=1,GA40,1)</f>
        <v/>
      </c>
      <c r="LP40">
        <f>IF('calcA'!CC$106=1,GB40,1)</f>
        <v/>
      </c>
      <c r="LQ40">
        <f>IF('calcA'!CD$106=1,GC40,1)</f>
        <v/>
      </c>
      <c r="LR40">
        <f>IF('calcA'!CE$106=1,GD40,1)</f>
        <v/>
      </c>
      <c r="LS40">
        <f>IF('calcA'!CF$106=1,GE40,1)</f>
        <v/>
      </c>
      <c r="LT40">
        <f>IF('calcA'!CG$106=1,GF40,1)</f>
        <v/>
      </c>
      <c r="LU40">
        <f>IF('calcA'!CH$106=1,GG40,1)</f>
        <v/>
      </c>
      <c r="LV40">
        <f>IF('calcA'!CI$106=1,GH40,1)</f>
        <v/>
      </c>
      <c r="LW40">
        <f>IF('calcA'!CJ$106=1,GI40,1)</f>
        <v/>
      </c>
      <c r="LX40">
        <f>IF('calcA'!CK$106=1,GJ40,1)</f>
        <v/>
      </c>
      <c r="LY40">
        <f>IF('calcA'!CL$106=1,GK40,1)</f>
        <v/>
      </c>
      <c r="LZ40">
        <f>IF('calcA'!CM$106=1,GL40,1)</f>
        <v/>
      </c>
      <c r="MA40">
        <f>IF('calcA'!CN$106=1,GM40,1)</f>
        <v/>
      </c>
      <c r="MB40">
        <f>IF('calcA'!CO$106=1,GN40,1)</f>
        <v/>
      </c>
      <c r="MC40">
        <f>IF('calcA'!CP$106=1,GO40,1)</f>
        <v/>
      </c>
      <c r="MD40">
        <f>IF('calcA'!CQ$106=1,GP40,1)</f>
        <v/>
      </c>
      <c r="ME40">
        <f>IF('calcA'!CR$106=1,GQ40,1)</f>
        <v/>
      </c>
      <c r="MF40">
        <f>IF('calcA'!CS$106=1,GR40,1)</f>
        <v/>
      </c>
      <c r="MG40">
        <f>IF('calcA'!CT$106=1,GS40,1)</f>
        <v/>
      </c>
      <c r="MH40">
        <f>IF('calcA'!CU$106=1,GT40,1)</f>
        <v/>
      </c>
      <c r="MI40">
        <f>IF('calcA'!CV$106=1,GU40,1)</f>
        <v/>
      </c>
      <c r="MJ40">
        <f>IF('calcA'!CW$106=1,GV40,1)</f>
        <v/>
      </c>
      <c r="MK40">
        <f>IF('calcA'!CX$106=1,GW40,1)</f>
        <v/>
      </c>
      <c r="ML40">
        <f>IF('calcA'!CY$106=1,GX40,1)</f>
        <v/>
      </c>
      <c r="MM40">
        <f>IF('calcA'!CZ$106=1,GY40,1)</f>
        <v/>
      </c>
      <c r="MN40">
        <f>IF('calcA'!DA$106=1,GZ40,1)</f>
        <v/>
      </c>
      <c r="MO40">
        <f>IF('calcA'!DB$106=1,HA40,1)</f>
        <v/>
      </c>
      <c r="MP40">
        <f>IF('calcA'!DC$106=1,HB40,1)</f>
        <v/>
      </c>
      <c r="MQ40">
        <f>IF('calcA'!DD$106=1,HC40,1)</f>
        <v/>
      </c>
      <c r="MR40">
        <f>IF('calcA'!DE$106=1,HD40,1)</f>
        <v/>
      </c>
      <c r="MS40">
        <f>IF('calcA'!DF$106=1,HE40,1)</f>
        <v/>
      </c>
      <c r="MT40">
        <f>IF('calcA'!DG$106=1,HF40,1)</f>
        <v/>
      </c>
      <c r="MU40">
        <f>IF('calcA'!DH$106=1,HG40,1)</f>
        <v/>
      </c>
      <c r="MV40">
        <f>IF('calcA'!DI$106=1,HH40,1)</f>
        <v/>
      </c>
      <c r="MW40">
        <f>IF('calcA'!DJ$106=1,HI40,1)</f>
        <v/>
      </c>
      <c r="MX40">
        <f>IF('calcA'!DK$106=1,HJ40,1)</f>
        <v/>
      </c>
      <c r="MY40">
        <f>IF('calcA'!DL$106=1,HK40,1)</f>
        <v/>
      </c>
      <c r="MZ40">
        <f>IF('calcA'!DM$106=1,HL40,1)</f>
        <v/>
      </c>
      <c r="NA40">
        <f>IF('calcA'!DN$106=1,HM40,1)</f>
        <v/>
      </c>
      <c r="NB40">
        <f>IF('calcA'!DO$106=1,HN40,1)</f>
        <v/>
      </c>
      <c r="NC40">
        <f>IF('calcA'!DP$106=1,HO40,1)</f>
        <v/>
      </c>
      <c r="ND40">
        <f>IF('calcA'!DQ$106=1,HP40,1)</f>
        <v/>
      </c>
      <c r="NE40">
        <f>IF('calcA'!DR$106=1,HQ40,1)</f>
        <v/>
      </c>
      <c r="NF40">
        <f>IF('calcA'!DS$106=1,HR40,1)</f>
        <v/>
      </c>
      <c r="NG40">
        <f>IF('calcA'!DT$106=1,HS40,1)</f>
        <v/>
      </c>
      <c r="NH40">
        <f>IF('calcA'!DU$106=1,HT40,1)</f>
        <v/>
      </c>
      <c r="NI40">
        <f>IF('calcA'!DV$106=1,HU40,1)</f>
        <v/>
      </c>
      <c r="NJ40">
        <f>IF('calcA'!DW$106=1,HV40,1)</f>
        <v/>
      </c>
      <c r="NK40">
        <f>IF('calcA'!DX$106=1,HW40,1)</f>
        <v/>
      </c>
      <c r="NL40">
        <f>IF('calcA'!DY$106=1,HX40,1)</f>
        <v/>
      </c>
      <c r="NM40">
        <f>IF('calcA'!DZ$106=1,HY40,1)</f>
        <v/>
      </c>
      <c r="NN40">
        <f>IF('calcA'!EA$106=1,HZ40,1)</f>
        <v/>
      </c>
      <c r="NO40">
        <f>IF('calcA'!EB$106=1,IA40,1)</f>
        <v/>
      </c>
      <c r="NP40">
        <f>IF('calcA'!EC$106=1,IB40,1)</f>
        <v/>
      </c>
      <c r="NQ40">
        <f>IF('calcA'!ED$106=1,IC40,1)</f>
        <v/>
      </c>
      <c r="NR40">
        <f>IF('calcA'!EE$106=1,ID40,1)</f>
        <v/>
      </c>
      <c r="NS40">
        <f>IF('calcA'!EF$106=1,IE40,1)</f>
        <v/>
      </c>
      <c r="NT40">
        <f>IF('calcA'!EG$106=1,IF40,1)</f>
        <v/>
      </c>
      <c r="NU40">
        <f>IF('calcA'!EH$106=1,IG40,1)</f>
        <v/>
      </c>
      <c r="NV40">
        <f>IF('calcA'!EI$106=1,IH40,1)</f>
        <v/>
      </c>
      <c r="NW40">
        <f>IF('calcA'!EJ$106=1,II40,1)</f>
        <v/>
      </c>
      <c r="NX40">
        <f>IF('calcA'!EK$106=1,IJ40,1)</f>
        <v/>
      </c>
      <c r="NY40">
        <f>IF('calcA'!EL$106=1,IK40,1)</f>
        <v/>
      </c>
      <c r="NZ40">
        <f>IF('calcA'!EM$106=1,IL40,1)</f>
        <v/>
      </c>
      <c r="OA40">
        <f>IF('calcA'!EN$106=1,IM40,1)</f>
        <v/>
      </c>
      <c r="OB40">
        <f>IF('calcA'!EO$106=1,IN40,1)</f>
        <v/>
      </c>
      <c r="OC40">
        <f>IF('calcA'!EP$106=1,IO40,1)</f>
        <v/>
      </c>
      <c r="OD40" t="n">
        <v>1</v>
      </c>
      <c r="OF40">
        <f>IF($B40=0,1000000000,IF(INDEX('calcA'!$D$60:$EQ$99,$B40,1)*IF($W40=1,DB40+ZQ40,DB40)=1,IF(AND($E40=2,IF($W40=1,AFF40,IQ40)=0),1000000000,IF($V40=1,INDEX('calcA'!$D$130:$EQ$169,$B40,1)+IF(AND($E40=1,IQ40=0),25,0),IF($F40&gt;0,INDEX('calcA'!D$110:D$114,$F40+1)+IF(AND($E40=1,IQ40=0),1000,0),MIN(TU40,20)*400+(IF('calcA'!D$106=1,1-DC40,0))*150+11+'calcA'!D$5*100000+IF(AND($E40=1,IQ40=0),50000,0))+IF($H40=1,INDEX('calcA'!$D$180:$EQ$219,$B40,1)*4000,0)-IF(AND($U40=1,'calcA'!D$117=1,DC40=0),2000,0))),1000000000))</f>
        <v/>
      </c>
      <c r="OG40">
        <f>IF($B40=0,1000000000,IF(INDEX('calcA'!$D$60:$EQ$99,$B40,2)*IF($W40=1,DC40+ZR40,DC40)=1,IF(AND($E40=2,IF($W40=1,AFG40,IR40)=0),1000000000,IF($V40=1,INDEX('calcA'!$D$130:$EQ$169,$B40,2)+IF(AND($E40=1,IR40=0),25,0),IF($F40&gt;0,INDEX('calcA'!E$110:E$114,$F40+1)+IF(AND($E40=1,IR40=0),1000,0),MIN(TU40,20)*400+(IF('calcA'!D$106=1,1-DB40,0)+IF('calcA'!E$106=1,1-DD40,0))*150+21+'calcA'!E$5*100000+IF(AND($E40=1,IR40=0),50000,0))+IF($H40=1,INDEX('calcA'!$D$180:$EQ$219,$B40,2)*4000,0)-IF(AND('calcA'!D$117=1,UB40&gt;0),2000,0)-IF(AND($U40=1,'calcA'!E$117=1,DD40=0),2000,0))),1000000000))</f>
        <v/>
      </c>
      <c r="OH40">
        <f>IF($B40=0,1000000000,IF(INDEX('calcA'!$D$60:$EQ$99,$B40,3)*IF($W40=1,DD40+ZS40,DD40)=1,IF(AND($E40=2,IF($W40=1,AFH40,IS40)=0),1000000000,IF($V40=1,INDEX('calcA'!$D$130:$EQ$169,$B40,3)+IF(AND($E40=1,IS40=0),25,0),IF($F40&gt;0,INDEX('calcA'!F$110:F$114,$F40+1)+IF(AND($E40=1,IS40=0),1000,0),MIN(TU40,20)*400+(IF('calcA'!E$106=1,1-DC40,0)+IF('calcA'!F$106=1,1-DE40,0))*150+31+'calcA'!F$5*100000+IF(AND($E40=1,IS40=0),50000,0))+IF($H40=1,INDEX('calcA'!$D$180:$EQ$219,$B40,3)*4000,0)-IF(AND('calcA'!E$117=1,UC40&gt;0),2000,0)-IF(AND($U40=1,'calcA'!F$117=1,DE40=0),2000,0))),1000000000))</f>
        <v/>
      </c>
      <c r="OI40">
        <f>IF($B40=0,1000000000,IF(INDEX('calcA'!$D$60:$EQ$99,$B40,4)*IF($W40=1,DE40+ZT40,DE40)=1,IF(AND($E40=2,IF($W40=1,AFI40,IT40)=0),1000000000,IF($V40=1,INDEX('calcA'!$D$130:$EQ$169,$B40,4)+IF(AND($E40=1,IT40=0),25,0),IF($F40&gt;0,INDEX('calcA'!G$110:G$114,$F40+1)+IF(AND($E40=1,IT40=0),1000,0),MIN(TU40,20)*400+(IF('calcA'!F$106=1,1-DD40,0)+IF('calcA'!G$106=1,1-DF40,0))*150+41+'calcA'!G$5*100000+IF(AND($E40=1,IT40=0),50000,0))+IF($H40=1,INDEX('calcA'!$D$180:$EQ$219,$B40,4)*4000,0)-IF(AND('calcA'!F$117=1,UD40&gt;0),2000,0)-IF(AND($U40=1,'calcA'!G$117=1,DF40=0),2000,0))),1000000000))</f>
        <v/>
      </c>
      <c r="OJ40">
        <f>IF($B40=0,1000000000,IF(INDEX('calcA'!$D$60:$EQ$99,$B40,5)*IF($W40=1,DF40+ZU40,DF40)=1,IF(AND($E40=2,IF($W40=1,AFJ40,IU40)=0),1000000000,IF($V40=1,INDEX('calcA'!$D$130:$EQ$169,$B40,5)+IF(AND($E40=1,IU40=0),25,0),IF($F40&gt;0,INDEX('calcA'!H$110:H$114,$F40+1)+IF(AND($E40=1,IU40=0),1000,0),MIN(TU40,20)*400+(IF('calcA'!G$106=1,1-DE40,0)+IF('calcA'!H$106=1,1-DG40,0))*150+51+'calcA'!H$5*100000+IF(AND($E40=1,IU40=0),50000,0))+IF($H40=1,INDEX('calcA'!$D$180:$EQ$219,$B40,5)*4000,0)-IF(AND('calcA'!G$117=1,UE40&gt;0),2000,0)-IF(AND($U40=1,'calcA'!H$117=1,DG40=0),2000,0))),1000000000))</f>
        <v/>
      </c>
      <c r="OK40">
        <f>IF($B40=0,1000000000,IF(INDEX('calcA'!$D$60:$EQ$99,$B40,6)*IF($W40=1,DG40+ZV40,DG40)=1,IF(AND($E40=2,IF($W40=1,AFK40,IV40)=0),1000000000,IF($V40=1,INDEX('calcA'!$D$130:$EQ$169,$B40,6)+IF(AND($E40=1,IV40=0),25,0),IF($F40&gt;0,INDEX('calcA'!I$110:I$114,$F40+1)+IF(AND($E40=1,IV40=0),1000,0),MIN(TU40,20)*400+(IF('calcA'!H$106=1,1-DF40,0)+IF('calcA'!I$106=1,1-DH40,0))*150+61+'calcA'!I$5*100000+IF(AND($E40=1,IV40=0),50000,0))+IF($H40=1,INDEX('calcA'!$D$180:$EQ$219,$B40,6)*4000,0)-IF(AND('calcA'!H$117=1,UF40&gt;0),2000,0)-IF(AND($U40=1,'calcA'!I$117=1,DH40=0),2000,0))),1000000000))</f>
        <v/>
      </c>
      <c r="OL40">
        <f>IF($B40=0,1000000000,IF(INDEX('calcA'!$D$60:$EQ$99,$B40,7)*IF($W40=1,DH40+ZW40,DH40)=1,IF(AND($E40=2,IF($W40=1,AFL40,IW40)=0),1000000000,IF($V40=1,INDEX('calcA'!$D$130:$EQ$169,$B40,7)+IF(AND($E40=1,IW40=0),25,0),IF($F40&gt;0,INDEX('calcA'!J$110:J$114,$F40+1)+IF(AND($E40=1,IW40=0),1000,0),MIN(TU40,20)*400+(IF('calcA'!I$106=1,1-DG40,0)+IF('calcA'!J$106=1,1-DI40,0))*150+71+'calcA'!J$5*100000+IF(AND($E40=1,IW40=0),50000,0))+IF($H40=1,INDEX('calcA'!$D$180:$EQ$219,$B40,7)*4000,0)-IF(AND('calcA'!I$117=1,UG40&gt;0),2000,0)-IF(AND($U40=1,'calcA'!J$117=1,DI40=0),2000,0))),1000000000))</f>
        <v/>
      </c>
      <c r="OM40">
        <f>IF($B40=0,1000000000,IF(INDEX('calcA'!$D$60:$EQ$99,$B40,8)*IF($W40=1,DI40+ZX40,DI40)=1,IF(AND($E40=2,IF($W40=1,AFM40,IX40)=0),1000000000,IF($V40=1,INDEX('calcA'!$D$130:$EQ$169,$B40,8)+IF(AND($E40=1,IX40=0),25,0),IF($F40&gt;0,INDEX('calcA'!K$110:K$114,$F40+1)+IF(AND($E40=1,IX40=0),1000,0),MIN(TU40,20)*400+(IF('calcA'!J$106=1,1-DH40,0)+IF('calcA'!K$106=1,1-DJ40,0))*150+81+'calcA'!K$5*100000+IF(AND($E40=1,IX40=0),50000,0))+IF($H40=1,INDEX('calcA'!$D$180:$EQ$219,$B40,8)*4000,0)-IF(AND('calcA'!J$117=1,UH40&gt;0),2000,0)-IF(AND($U40=1,'calcA'!K$117=1,DJ40=0),2000,0))),1000000000))</f>
        <v/>
      </c>
      <c r="ON40">
        <f>IF($B40=0,1000000000,IF(INDEX('calcA'!$D$60:$EQ$99,$B40,9)*IF($W40=1,DJ40+ZY40,DJ40)=1,IF(AND($E40=2,IF($W40=1,AFN40,IY40)=0),1000000000,IF($V40=1,INDEX('calcA'!$D$130:$EQ$169,$B40,9)+IF(AND($E40=1,IY40=0),25,0),IF($F40&gt;0,INDEX('calcA'!L$110:L$114,$F40+1)+IF(AND($E40=1,IY40=0),1000,0),MIN(TU40,20)*400+(IF('calcA'!K$106=1,1-DI40,0)+IF('calcA'!L$106=1,1-DK40,0))*150+91+'calcA'!L$5*100000+IF(AND($E40=1,IY40=0),50000,0))+IF($H40=1,INDEX('calcA'!$D$180:$EQ$219,$B40,9)*4000,0)-IF(AND('calcA'!K$117=1,UI40&gt;0),2000,0)-IF(AND($U40=1,'calcA'!L$117=1,DK40=0),2000,0))),1000000000))</f>
        <v/>
      </c>
      <c r="OO40">
        <f>IF($B40=0,1000000000,IF(INDEX('calcA'!$D$60:$EQ$99,$B40,10)*IF($W40=1,DK40+ZZ40,DK40)=1,IF(AND($E40=2,IF($W40=1,AFO40,IZ40)=0),1000000000,IF($V40=1,INDEX('calcA'!$D$130:$EQ$169,$B40,10)+IF(AND($E40=1,IZ40=0),25,0),IF($F40&gt;0,INDEX('calcA'!M$110:M$114,$F40+1)+IF(AND($E40=1,IZ40=0),1000,0),MIN(TU40,20)*400+(IF('calcA'!L$106=1,1-DJ40,0)+IF('calcA'!M$106=1,1-DL40,0))*150+101+'calcA'!M$5*100000+IF(AND($E40=1,IZ40=0),50000,0))+IF($H40=1,INDEX('calcA'!$D$180:$EQ$219,$B40,10)*4000,0)-IF(AND('calcA'!L$117=1,UJ40&gt;0),2000,0)-IF(AND($U40=1,'calcA'!M$117=1,DL40=0),2000,0))),1000000000))</f>
        <v/>
      </c>
      <c r="OP40">
        <f>IF($B40=0,1000000000,IF(INDEX('calcA'!$D$60:$EQ$99,$B40,11)*IF($W40=1,DL40+AAA40,DL40)=1,IF(AND($E40=2,IF($W40=1,AFP40,JA40)=0),1000000000,IF($V40=1,INDEX('calcA'!$D$130:$EQ$169,$B40,11)+IF(AND($E40=1,JA40=0),25,0),IF($F40&gt;0,INDEX('calcA'!N$110:N$114,$F40+1)+IF(AND($E40=1,JA40=0),1000,0),MIN(TU40,20)*400+(IF('calcA'!M$106=1,1-DK40,0)+IF('calcA'!N$106=1,1-DM40,0))*150+111+'calcA'!N$5*100000+IF(AND($E40=1,JA40=0),50000,0))+IF($H40=1,INDEX('calcA'!$D$180:$EQ$219,$B40,11)*4000,0)-IF(AND('calcA'!M$117=1,UK40&gt;0),2000,0)-IF(AND($U40=1,'calcA'!N$117=1,DM40=0),2000,0))),1000000000))</f>
        <v/>
      </c>
      <c r="OQ40">
        <f>IF($B40=0,1000000000,IF(INDEX('calcA'!$D$60:$EQ$99,$B40,12)*IF($W40=1,DM40+AAB40,DM40)=1,IF(AND($E40=2,IF($W40=1,AFQ40,JB40)=0),1000000000,IF($V40=1,INDEX('calcA'!$D$130:$EQ$169,$B40,12)+IF(AND($E40=1,JB40=0),25,0),IF($F40&gt;0,INDEX('calcA'!O$110:O$114,$F40+1)+IF(AND($E40=1,JB40=0),1000,0),MIN(TU40,20)*400+(IF('calcA'!N$106=1,1-DL40,0)+IF('calcA'!O$106=1,1-DN40,0))*150+121+'calcA'!O$5*100000+IF(AND($E40=1,JB40=0),50000,0))+IF($H40=1,INDEX('calcA'!$D$180:$EQ$219,$B40,12)*4000,0)-IF(AND('calcA'!N$117=1,UL40&gt;0),2000,0)-IF(AND($U40=1,'calcA'!O$117=1,DN40=0),2000,0))),1000000000))</f>
        <v/>
      </c>
      <c r="OR40">
        <f>IF($B40=0,1000000000,IF(INDEX('calcA'!$D$60:$EQ$99,$B40,13)*IF($W40=1,DN40+AAC40,DN40)=1,IF(AND($E40=2,IF($W40=1,AFR40,JC40)=0),1000000000,IF($V40=1,INDEX('calcA'!$D$130:$EQ$169,$B40,13)+IF(AND($E40=1,JC40=0),25,0),IF($F40&gt;0,INDEX('calcA'!P$110:P$114,$F40+1)+IF(AND($E40=1,JC40=0),1000,0),MIN(TU40,20)*400+(IF('calcA'!O$106=1,1-DM40,0)+IF('calcA'!P$106=1,1-DO40,0))*150+131+'calcA'!P$5*100000+IF(AND($E40=1,JC40=0),50000,0))+IF($H40=1,INDEX('calcA'!$D$180:$EQ$219,$B40,13)*4000,0)-IF(AND('calcA'!O$117=1,UM40&gt;0),2000,0)-IF(AND($U40=1,'calcA'!P$117=1,DO40=0),2000,0))),1000000000))</f>
        <v/>
      </c>
      <c r="OS40">
        <f>IF($B40=0,1000000000,IF(INDEX('calcA'!$D$60:$EQ$99,$B40,14)*IF($W40=1,DO40+AAD40,DO40)=1,IF(AND($E40=2,IF($W40=1,AFS40,JD40)=0),1000000000,IF($V40=1,INDEX('calcA'!$D$130:$EQ$169,$B40,14)+IF(AND($E40=1,JD40=0),25,0),IF($F40&gt;0,INDEX('calcA'!Q$110:Q$114,$F40+1)+IF(AND($E40=1,JD40=0),1000,0),MIN(TU40,20)*400+(IF('calcA'!P$106=1,1-DN40,0)+IF('calcA'!Q$106=1,1-DP40,0))*150+141+'calcA'!Q$5*100000+IF(AND($E40=1,JD40=0),50000,0))+IF($H40=1,INDEX('calcA'!$D$180:$EQ$219,$B40,14)*4000,0)-IF(AND('calcA'!P$117=1,UN40&gt;0),2000,0)-IF(AND($U40=1,'calcA'!Q$117=1,DP40=0),2000,0))),1000000000))</f>
        <v/>
      </c>
      <c r="OT40">
        <f>IF($B40=0,1000000000,IF(INDEX('calcA'!$D$60:$EQ$99,$B40,15)*IF($W40=1,DP40+AAE40,DP40)=1,IF(AND($E40=2,IF($W40=1,AFT40,JE40)=0),1000000000,IF($V40=1,INDEX('calcA'!$D$130:$EQ$169,$B40,15)+IF(AND($E40=1,JE40=0),25,0),IF($F40&gt;0,INDEX('calcA'!R$110:R$114,$F40+1)+IF(AND($E40=1,JE40=0),1000,0),MIN(TU40,20)*400+(IF('calcA'!Q$106=1,1-DO40,0)+IF('calcA'!R$106=1,1-DQ40,0))*150+151+'calcA'!R$5*100000+IF(AND($E40=1,JE40=0),50000,0))+IF($H40=1,INDEX('calcA'!$D$180:$EQ$219,$B40,15)*4000,0)-IF(AND('calcA'!Q$117=1,UO40&gt;0),2000,0)-IF(AND($U40=1,'calcA'!R$117=1,DQ40=0),2000,0))),1000000000))</f>
        <v/>
      </c>
      <c r="OU40">
        <f>IF($B40=0,1000000000,IF(INDEX('calcA'!$D$60:$EQ$99,$B40,16)*IF($W40=1,DQ40+AAF40,DQ40)=1,IF(AND($E40=2,IF($W40=1,AFU40,JF40)=0),1000000000,IF($V40=1,INDEX('calcA'!$D$130:$EQ$169,$B40,16)+IF(AND($E40=1,JF40=0),25,0),IF($F40&gt;0,INDEX('calcA'!S$110:S$114,$F40+1)+IF(AND($E40=1,JF40=0),1000,0),MIN(TU40,20)*400+(IF('calcA'!R$106=1,1-DP40,0)+IF('calcA'!S$106=1,1-DR40,0))*150+161+'calcA'!S$5*100000+IF(AND($E40=1,JF40=0),50000,0))+IF($H40=1,INDEX('calcA'!$D$180:$EQ$219,$B40,16)*4000,0)-IF(AND('calcA'!R$117=1,UP40&gt;0),2000,0)-IF(AND($U40=1,'calcA'!S$117=1,DR40=0),2000,0))),1000000000))</f>
        <v/>
      </c>
      <c r="OV40">
        <f>IF($B40=0,1000000000,IF(INDEX('calcA'!$D$60:$EQ$99,$B40,17)*IF($W40=1,DR40+AAG40,DR40)=1,IF(AND($E40=2,IF($W40=1,AFV40,JG40)=0),1000000000,IF($V40=1,INDEX('calcA'!$D$130:$EQ$169,$B40,17)+IF(AND($E40=1,JG40=0),25,0),IF($F40&gt;0,INDEX('calcA'!T$110:T$114,$F40+1)+IF(AND($E40=1,JG40=0),1000,0),MIN(TU40,20)*400+(IF('calcA'!S$106=1,1-DQ40,0)+IF('calcA'!T$106=1,1-DS40,0))*150+171+'calcA'!T$5*100000+IF(AND($E40=1,JG40=0),50000,0))+IF($H40=1,INDEX('calcA'!$D$180:$EQ$219,$B40,17)*4000,0)-IF(AND('calcA'!S$117=1,UQ40&gt;0),2000,0)-IF(AND($U40=1,'calcA'!T$117=1,DS40=0),2000,0))),1000000000))</f>
        <v/>
      </c>
      <c r="OW40">
        <f>IF($B40=0,1000000000,IF(INDEX('calcA'!$D$60:$EQ$99,$B40,18)*IF($W40=1,DS40+AAH40,DS40)=1,IF(AND($E40=2,IF($W40=1,AFW40,JH40)=0),1000000000,IF($V40=1,INDEX('calcA'!$D$130:$EQ$169,$B40,18)+IF(AND($E40=1,JH40=0),25,0),IF($F40&gt;0,INDEX('calcA'!U$110:U$114,$F40+1)+IF(AND($E40=1,JH40=0),1000,0),MIN(TU40,20)*400+(IF('calcA'!T$106=1,1-DR40,0)+IF('calcA'!U$106=1,1-DT40,0))*150+181+'calcA'!U$5*100000+IF(AND($E40=1,JH40=0),50000,0))+IF($H40=1,INDEX('calcA'!$D$180:$EQ$219,$B40,18)*4000,0)-IF(AND('calcA'!T$117=1,UR40&gt;0),2000,0)-IF(AND($U40=1,'calcA'!U$117=1,DT40=0),2000,0))),1000000000))</f>
        <v/>
      </c>
      <c r="OX40">
        <f>IF($B40=0,1000000000,IF(INDEX('calcA'!$D$60:$EQ$99,$B40,19)*IF($W40=1,DT40+AAI40,DT40)=1,IF(AND($E40=2,IF($W40=1,AFX40,JI40)=0),1000000000,IF($V40=1,INDEX('calcA'!$D$130:$EQ$169,$B40,19)+IF(AND($E40=1,JI40=0),25,0),IF($F40&gt;0,INDEX('calcA'!V$110:V$114,$F40+1)+IF(AND($E40=1,JI40=0),1000,0),MIN(TU40,20)*400+(IF('calcA'!U$106=1,1-DS40,0)+IF('calcA'!V$106=1,1-DU40,0))*150+191+'calcA'!V$5*100000+IF(AND($E40=1,JI40=0),50000,0))+IF($H40=1,INDEX('calcA'!$D$180:$EQ$219,$B40,19)*4000,0)-IF(AND('calcA'!U$117=1,US40&gt;0),2000,0)-IF(AND($U40=1,'calcA'!V$117=1,DU40=0),2000,0))),1000000000))</f>
        <v/>
      </c>
      <c r="OY40">
        <f>IF($B40=0,1000000000,IF(INDEX('calcA'!$D$60:$EQ$99,$B40,20)*IF($W40=1,DU40+AAJ40,DU40)=1,IF(AND($E40=2,IF($W40=1,AFY40,JJ40)=0),1000000000,IF($V40=1,INDEX('calcA'!$D$130:$EQ$169,$B40,20)+IF(AND($E40=1,JJ40=0),25,0),IF($F40&gt;0,INDEX('calcA'!W$110:W$114,$F40+1)+IF(AND($E40=1,JJ40=0),1000,0),MIN(TU40,20)*400+(IF('calcA'!V$106=1,1-DT40,0)+IF('calcA'!W$106=1,1-DV40,0))*150+201+'calcA'!W$5*100000+IF(AND($E40=1,JJ40=0),50000,0))+IF($H40=1,INDEX('calcA'!$D$180:$EQ$219,$B40,20)*4000,0)-IF(AND('calcA'!V$117=1,UT40&gt;0),2000,0)-IF(AND($U40=1,'calcA'!W$117=1,DV40=0),2000,0))),1000000000))</f>
        <v/>
      </c>
      <c r="OZ40">
        <f>IF($B40=0,1000000000,IF(INDEX('calcA'!$D$60:$EQ$99,$B40,21)*IF($W40=1,DV40+AAK40,DV40)=1,IF(AND($E40=2,IF($W40=1,AFZ40,JK40)=0),1000000000,IF($V40=1,INDEX('calcA'!$D$130:$EQ$169,$B40,21)+IF(AND($E40=1,JK40=0),25,0),IF($F40&gt;0,INDEX('calcA'!X$110:X$114,$F40+1)+IF(AND($E40=1,JK40=0),1000,0),MIN(TU40,20)*400+(IF('calcA'!W$106=1,1-DU40,0)+IF('calcA'!X$106=1,1-DW40,0))*150+211+'calcA'!X$5*100000+IF(AND($E40=1,JK40=0),50000,0))+IF($H40=1,INDEX('calcA'!$D$180:$EQ$219,$B40,21)*4000,0)-IF(AND('calcA'!W$117=1,UU40&gt;0),2000,0)-IF(AND($U40=1,'calcA'!X$117=1,DW40=0),2000,0))),1000000000))</f>
        <v/>
      </c>
      <c r="PA40">
        <f>IF($B40=0,1000000000,IF(INDEX('calcA'!$D$60:$EQ$99,$B40,22)*IF($W40=1,DW40+AAL40,DW40)=1,IF(AND($E40=2,IF($W40=1,AGA40,JL40)=0),1000000000,IF($V40=1,INDEX('calcA'!$D$130:$EQ$169,$B40,22)+IF(AND($E40=1,JL40=0),25,0),IF($F40&gt;0,INDEX('calcA'!Y$110:Y$114,$F40+1)+IF(AND($E40=1,JL40=0),1000,0),MIN(TU40,20)*400+(IF('calcA'!X$106=1,1-DV40,0)+IF('calcA'!Y$106=1,1-DX40,0))*150+221+'calcA'!Y$5*100000+IF(AND($E40=1,JL40=0),50000,0))+IF($H40=1,INDEX('calcA'!$D$180:$EQ$219,$B40,22)*4000,0)-IF(AND('calcA'!X$117=1,UV40&gt;0),2000,0)-IF(AND($U40=1,'calcA'!Y$117=1,DX40=0),2000,0))),1000000000))</f>
        <v/>
      </c>
      <c r="PB40">
        <f>IF($B40=0,1000000000,IF(INDEX('calcA'!$D$60:$EQ$99,$B40,23)*IF($W40=1,DX40+AAM40,DX40)=1,IF(AND($E40=2,IF($W40=1,AGB40,JM40)=0),1000000000,IF($V40=1,INDEX('calcA'!$D$130:$EQ$169,$B40,23)+IF(AND($E40=1,JM40=0),25,0),IF($F40&gt;0,INDEX('calcA'!Z$110:Z$114,$F40+1)+IF(AND($E40=1,JM40=0),1000,0),MIN(TU40,20)*400+(IF('calcA'!Y$106=1,1-DW40,0)+IF('calcA'!Z$106=1,1-DY40,0))*150+231+'calcA'!Z$5*100000+IF(AND($E40=1,JM40=0),50000,0))+IF($H40=1,INDEX('calcA'!$D$180:$EQ$219,$B40,23)*4000,0)-IF(AND('calcA'!Y$117=1,UW40&gt;0),2000,0)-IF(AND($U40=1,'calcA'!Z$117=1,DY40=0),2000,0))),1000000000))</f>
        <v/>
      </c>
      <c r="PC40">
        <f>IF($B40=0,1000000000,IF(INDEX('calcA'!$D$60:$EQ$99,$B40,24)*IF($W40=1,DY40+AAN40,DY40)=1,IF(AND($E40=2,IF($W40=1,AGC40,JN40)=0),1000000000,IF($V40=1,INDEX('calcA'!$D$130:$EQ$169,$B40,24)+IF(AND($E40=1,JN40=0),25,0),IF($F40&gt;0,INDEX('calcA'!AA$110:AA$114,$F40+1)+IF(AND($E40=1,JN40=0),1000,0),MIN(TU40,20)*400+(IF('calcA'!Z$106=1,1-DX40,0))*150+241+'calcA'!AA$5*100000+IF(AND($E40=1,JN40=0),50000,0))+IF($H40=1,INDEX('calcA'!$D$180:$EQ$219,$B40,24)*4000,0)-IF(AND('calcA'!Z$117=1,UX40&gt;0),2000,0))),1000000000))</f>
        <v/>
      </c>
      <c r="PD40">
        <f>IF($B40=0,1000000000,IF(INDEX('calcA'!$D$60:$EQ$99,$B40,25)*IF($W40=1,DZ40+AAO40,DZ40)=1,IF(AND($E40=2,IF($W40=1,AGD40,JO40)=0),1000000000,IF($V40=1,INDEX('calcA'!$D$130:$EQ$169,$B40,25)+IF(AND($E40=1,JO40=0),25,0),IF($F40&gt;0,INDEX('calcA'!AB$110:AB$114,$F40+1)+IF(AND($E40=1,JO40=0),1000,0),MIN(TV40,20)*400+(IF('calcA'!AB$106=1,1-EA40,0))*150+12+'calcA'!AB$5*100000+IF(AND($E40=1,JO40=0),50000,0))+IF($H40=1,INDEX('calcA'!$D$180:$EQ$219,$B40,25)*4000,0)-IF(AND($U40=1,'calcA'!AB$117=1,EA40=0),2000,0))),1000000000))</f>
        <v/>
      </c>
      <c r="PE40">
        <f>IF($B40=0,1000000000,IF(INDEX('calcA'!$D$60:$EQ$99,$B40,26)*IF($W40=1,EA40+AAP40,EA40)=1,IF(AND($E40=2,IF($W40=1,AGE40,JP40)=0),1000000000,IF($V40=1,INDEX('calcA'!$D$130:$EQ$169,$B40,26)+IF(AND($E40=1,JP40=0),25,0),IF($F40&gt;0,INDEX('calcA'!AC$110:AC$114,$F40+1)+IF(AND($E40=1,JP40=0),1000,0),MIN(TV40,20)*400+(IF('calcA'!AB$106=1,1-DZ40,0)+IF('calcA'!AC$106=1,1-EB40,0))*150+22+'calcA'!AC$5*100000+IF(AND($E40=1,JP40=0),50000,0))+IF($H40=1,INDEX('calcA'!$D$180:$EQ$219,$B40,26)*4000,0)-IF(AND('calcA'!AB$117=1,UZ40&gt;0),2000,0)-IF(AND($U40=1,'calcA'!AC$117=1,EB40=0),2000,0))),1000000000))</f>
        <v/>
      </c>
      <c r="PF40">
        <f>IF($B40=0,1000000000,IF(INDEX('calcA'!$D$60:$EQ$99,$B40,27)*IF($W40=1,EB40+AAQ40,EB40)=1,IF(AND($E40=2,IF($W40=1,AGF40,JQ40)=0),1000000000,IF($V40=1,INDEX('calcA'!$D$130:$EQ$169,$B40,27)+IF(AND($E40=1,JQ40=0),25,0),IF($F40&gt;0,INDEX('calcA'!AD$110:AD$114,$F40+1)+IF(AND($E40=1,JQ40=0),1000,0),MIN(TV40,20)*400+(IF('calcA'!AC$106=1,1-EA40,0)+IF('calcA'!AD$106=1,1-EC40,0))*150+32+'calcA'!AD$5*100000+IF(AND($E40=1,JQ40=0),50000,0))+IF($H40=1,INDEX('calcA'!$D$180:$EQ$219,$B40,27)*4000,0)-IF(AND('calcA'!AC$117=1,VA40&gt;0),2000,0)-IF(AND($U40=1,'calcA'!AD$117=1,EC40=0),2000,0))),1000000000))</f>
        <v/>
      </c>
      <c r="PG40">
        <f>IF($B40=0,1000000000,IF(INDEX('calcA'!$D$60:$EQ$99,$B40,28)*IF($W40=1,EC40+AAR40,EC40)=1,IF(AND($E40=2,IF($W40=1,AGG40,JR40)=0),1000000000,IF($V40=1,INDEX('calcA'!$D$130:$EQ$169,$B40,28)+IF(AND($E40=1,JR40=0),25,0),IF($F40&gt;0,INDEX('calcA'!AE$110:AE$114,$F40+1)+IF(AND($E40=1,JR40=0),1000,0),MIN(TV40,20)*400+(IF('calcA'!AD$106=1,1-EB40,0)+IF('calcA'!AE$106=1,1-ED40,0))*150+42+'calcA'!AE$5*100000+IF(AND($E40=1,JR40=0),50000,0))+IF($H40=1,INDEX('calcA'!$D$180:$EQ$219,$B40,28)*4000,0)-IF(AND('calcA'!AD$117=1,VB40&gt;0),2000,0)-IF(AND($U40=1,'calcA'!AE$117=1,ED40=0),2000,0))),1000000000))</f>
        <v/>
      </c>
      <c r="PH40">
        <f>IF($B40=0,1000000000,IF(INDEX('calcA'!$D$60:$EQ$99,$B40,29)*IF($W40=1,ED40+AAS40,ED40)=1,IF(AND($E40=2,IF($W40=1,AGH40,JS40)=0),1000000000,IF($V40=1,INDEX('calcA'!$D$130:$EQ$169,$B40,29)+IF(AND($E40=1,JS40=0),25,0),IF($F40&gt;0,INDEX('calcA'!AF$110:AF$114,$F40+1)+IF(AND($E40=1,JS40=0),1000,0),MIN(TV40,20)*400+(IF('calcA'!AE$106=1,1-EC40,0)+IF('calcA'!AF$106=1,1-EE40,0))*150+52+'calcA'!AF$5*100000+IF(AND($E40=1,JS40=0),50000,0))+IF($H40=1,INDEX('calcA'!$D$180:$EQ$219,$B40,29)*4000,0)-IF(AND('calcA'!AE$117=1,VC40&gt;0),2000,0)-IF(AND($U40=1,'calcA'!AF$117=1,EE40=0),2000,0))),1000000000))</f>
        <v/>
      </c>
      <c r="PI40">
        <f>IF($B40=0,1000000000,IF(INDEX('calcA'!$D$60:$EQ$99,$B40,30)*IF($W40=1,EE40+AAT40,EE40)=1,IF(AND($E40=2,IF($W40=1,AGI40,JT40)=0),1000000000,IF($V40=1,INDEX('calcA'!$D$130:$EQ$169,$B40,30)+IF(AND($E40=1,JT40=0),25,0),IF($F40&gt;0,INDEX('calcA'!AG$110:AG$114,$F40+1)+IF(AND($E40=1,JT40=0),1000,0),MIN(TV40,20)*400+(IF('calcA'!AF$106=1,1-ED40,0)+IF('calcA'!AG$106=1,1-EF40,0))*150+62+'calcA'!AG$5*100000+IF(AND($E40=1,JT40=0),50000,0))+IF($H40=1,INDEX('calcA'!$D$180:$EQ$219,$B40,30)*4000,0)-IF(AND('calcA'!AF$117=1,VD40&gt;0),2000,0)-IF(AND($U40=1,'calcA'!AG$117=1,EF40=0),2000,0))),1000000000))</f>
        <v/>
      </c>
      <c r="PJ40">
        <f>IF($B40=0,1000000000,IF(INDEX('calcA'!$D$60:$EQ$99,$B40,31)*IF($W40=1,EF40+AAU40,EF40)=1,IF(AND($E40=2,IF($W40=1,AGJ40,JU40)=0),1000000000,IF($V40=1,INDEX('calcA'!$D$130:$EQ$169,$B40,31)+IF(AND($E40=1,JU40=0),25,0),IF($F40&gt;0,INDEX('calcA'!AH$110:AH$114,$F40+1)+IF(AND($E40=1,JU40=0),1000,0),MIN(TV40,20)*400+(IF('calcA'!AG$106=1,1-EE40,0)+IF('calcA'!AH$106=1,1-EG40,0))*150+72+'calcA'!AH$5*100000+IF(AND($E40=1,JU40=0),50000,0))+IF($H40=1,INDEX('calcA'!$D$180:$EQ$219,$B40,31)*4000,0)-IF(AND('calcA'!AG$117=1,VE40&gt;0),2000,0)-IF(AND($U40=1,'calcA'!AH$117=1,EG40=0),2000,0))),1000000000))</f>
        <v/>
      </c>
      <c r="PK40">
        <f>IF($B40=0,1000000000,IF(INDEX('calcA'!$D$60:$EQ$99,$B40,32)*IF($W40=1,EG40+AAV40,EG40)=1,IF(AND($E40=2,IF($W40=1,AGK40,JV40)=0),1000000000,IF($V40=1,INDEX('calcA'!$D$130:$EQ$169,$B40,32)+IF(AND($E40=1,JV40=0),25,0),IF($F40&gt;0,INDEX('calcA'!AI$110:AI$114,$F40+1)+IF(AND($E40=1,JV40=0),1000,0),MIN(TV40,20)*400+(IF('calcA'!AH$106=1,1-EF40,0)+IF('calcA'!AI$106=1,1-EH40,0))*150+82+'calcA'!AI$5*100000+IF(AND($E40=1,JV40=0),50000,0))+IF($H40=1,INDEX('calcA'!$D$180:$EQ$219,$B40,32)*4000,0)-IF(AND('calcA'!AH$117=1,VF40&gt;0),2000,0)-IF(AND($U40=1,'calcA'!AI$117=1,EH40=0),2000,0))),1000000000))</f>
        <v/>
      </c>
      <c r="PL40">
        <f>IF($B40=0,1000000000,IF(INDEX('calcA'!$D$60:$EQ$99,$B40,33)*IF($W40=1,EH40+AAW40,EH40)=1,IF(AND($E40=2,IF($W40=1,AGL40,JW40)=0),1000000000,IF($V40=1,INDEX('calcA'!$D$130:$EQ$169,$B40,33)+IF(AND($E40=1,JW40=0),25,0),IF($F40&gt;0,INDEX('calcA'!AJ$110:AJ$114,$F40+1)+IF(AND($E40=1,JW40=0),1000,0),MIN(TV40,20)*400+(IF('calcA'!AI$106=1,1-EG40,0)+IF('calcA'!AJ$106=1,1-EI40,0))*150+92+'calcA'!AJ$5*100000+IF(AND($E40=1,JW40=0),50000,0))+IF($H40=1,INDEX('calcA'!$D$180:$EQ$219,$B40,33)*4000,0)-IF(AND('calcA'!AI$117=1,VG40&gt;0),2000,0)-IF(AND($U40=1,'calcA'!AJ$117=1,EI40=0),2000,0))),1000000000))</f>
        <v/>
      </c>
      <c r="PM40">
        <f>IF($B40=0,1000000000,IF(INDEX('calcA'!$D$60:$EQ$99,$B40,34)*IF($W40=1,EI40+AAX40,EI40)=1,IF(AND($E40=2,IF($W40=1,AGM40,JX40)=0),1000000000,IF($V40=1,INDEX('calcA'!$D$130:$EQ$169,$B40,34)+IF(AND($E40=1,JX40=0),25,0),IF($F40&gt;0,INDEX('calcA'!AK$110:AK$114,$F40+1)+IF(AND($E40=1,JX40=0),1000,0),MIN(TV40,20)*400+(IF('calcA'!AJ$106=1,1-EH40,0)+IF('calcA'!AK$106=1,1-EJ40,0))*150+102+'calcA'!AK$5*100000+IF(AND($E40=1,JX40=0),50000,0))+IF($H40=1,INDEX('calcA'!$D$180:$EQ$219,$B40,34)*4000,0)-IF(AND('calcA'!AJ$117=1,VH40&gt;0),2000,0)-IF(AND($U40=1,'calcA'!AK$117=1,EJ40=0),2000,0))),1000000000))</f>
        <v/>
      </c>
      <c r="PN40">
        <f>IF($B40=0,1000000000,IF(INDEX('calcA'!$D$60:$EQ$99,$B40,35)*IF($W40=1,EJ40+AAY40,EJ40)=1,IF(AND($E40=2,IF($W40=1,AGN40,JY40)=0),1000000000,IF($V40=1,INDEX('calcA'!$D$130:$EQ$169,$B40,35)+IF(AND($E40=1,JY40=0),25,0),IF($F40&gt;0,INDEX('calcA'!AL$110:AL$114,$F40+1)+IF(AND($E40=1,JY40=0),1000,0),MIN(TV40,20)*400+(IF('calcA'!AK$106=1,1-EI40,0)+IF('calcA'!AL$106=1,1-EK40,0))*150+112+'calcA'!AL$5*100000+IF(AND($E40=1,JY40=0),50000,0))+IF($H40=1,INDEX('calcA'!$D$180:$EQ$219,$B40,35)*4000,0)-IF(AND('calcA'!AK$117=1,VI40&gt;0),2000,0)-IF(AND($U40=1,'calcA'!AL$117=1,EK40=0),2000,0))),1000000000))</f>
        <v/>
      </c>
      <c r="PO40">
        <f>IF($B40=0,1000000000,IF(INDEX('calcA'!$D$60:$EQ$99,$B40,36)*IF($W40=1,EK40+AAZ40,EK40)=1,IF(AND($E40=2,IF($W40=1,AGO40,JZ40)=0),1000000000,IF($V40=1,INDEX('calcA'!$D$130:$EQ$169,$B40,36)+IF(AND($E40=1,JZ40=0),25,0),IF($F40&gt;0,INDEX('calcA'!AM$110:AM$114,$F40+1)+IF(AND($E40=1,JZ40=0),1000,0),MIN(TV40,20)*400+(IF('calcA'!AL$106=1,1-EJ40,0)+IF('calcA'!AM$106=1,1-EL40,0))*150+122+'calcA'!AM$5*100000+IF(AND($E40=1,JZ40=0),50000,0))+IF($H40=1,INDEX('calcA'!$D$180:$EQ$219,$B40,36)*4000,0)-IF(AND('calcA'!AL$117=1,VJ40&gt;0),2000,0)-IF(AND($U40=1,'calcA'!AM$117=1,EL40=0),2000,0))),1000000000))</f>
        <v/>
      </c>
      <c r="PP40">
        <f>IF($B40=0,1000000000,IF(INDEX('calcA'!$D$60:$EQ$99,$B40,37)*IF($W40=1,EL40+ABA40,EL40)=1,IF(AND($E40=2,IF($W40=1,AGP40,KA40)=0),1000000000,IF($V40=1,INDEX('calcA'!$D$130:$EQ$169,$B40,37)+IF(AND($E40=1,KA40=0),25,0),IF($F40&gt;0,INDEX('calcA'!AN$110:AN$114,$F40+1)+IF(AND($E40=1,KA40=0),1000,0),MIN(TV40,20)*400+(IF('calcA'!AM$106=1,1-EK40,0)+IF('calcA'!AN$106=1,1-EM40,0))*150+132+'calcA'!AN$5*100000+IF(AND($E40=1,KA40=0),50000,0))+IF($H40=1,INDEX('calcA'!$D$180:$EQ$219,$B40,37)*4000,0)-IF(AND('calcA'!AM$117=1,VK40&gt;0),2000,0)-IF(AND($U40=1,'calcA'!AN$117=1,EM40=0),2000,0))),1000000000))</f>
        <v/>
      </c>
      <c r="PQ40">
        <f>IF($B40=0,1000000000,IF(INDEX('calcA'!$D$60:$EQ$99,$B40,38)*IF($W40=1,EM40+ABB40,EM40)=1,IF(AND($E40=2,IF($W40=1,AGQ40,KB40)=0),1000000000,IF($V40=1,INDEX('calcA'!$D$130:$EQ$169,$B40,38)+IF(AND($E40=1,KB40=0),25,0),IF($F40&gt;0,INDEX('calcA'!AO$110:AO$114,$F40+1)+IF(AND($E40=1,KB40=0),1000,0),MIN(TV40,20)*400+(IF('calcA'!AN$106=1,1-EL40,0)+IF('calcA'!AO$106=1,1-EN40,0))*150+142+'calcA'!AO$5*100000+IF(AND($E40=1,KB40=0),50000,0))+IF($H40=1,INDEX('calcA'!$D$180:$EQ$219,$B40,38)*4000,0)-IF(AND('calcA'!AN$117=1,VL40&gt;0),2000,0)-IF(AND($U40=1,'calcA'!AO$117=1,EN40=0),2000,0))),1000000000))</f>
        <v/>
      </c>
      <c r="PR40">
        <f>IF($B40=0,1000000000,IF(INDEX('calcA'!$D$60:$EQ$99,$B40,39)*IF($W40=1,EN40+ABC40,EN40)=1,IF(AND($E40=2,IF($W40=1,AGR40,KC40)=0),1000000000,IF($V40=1,INDEX('calcA'!$D$130:$EQ$169,$B40,39)+IF(AND($E40=1,KC40=0),25,0),IF($F40&gt;0,INDEX('calcA'!AP$110:AP$114,$F40+1)+IF(AND($E40=1,KC40=0),1000,0),MIN(TV40,20)*400+(IF('calcA'!AO$106=1,1-EM40,0)+IF('calcA'!AP$106=1,1-EO40,0))*150+152+'calcA'!AP$5*100000+IF(AND($E40=1,KC40=0),50000,0))+IF($H40=1,INDEX('calcA'!$D$180:$EQ$219,$B40,39)*4000,0)-IF(AND('calcA'!AO$117=1,VM40&gt;0),2000,0)-IF(AND($U40=1,'calcA'!AP$117=1,EO40=0),2000,0))),1000000000))</f>
        <v/>
      </c>
      <c r="PS40">
        <f>IF($B40=0,1000000000,IF(INDEX('calcA'!$D$60:$EQ$99,$B40,40)*IF($W40=1,EO40+ABD40,EO40)=1,IF(AND($E40=2,IF($W40=1,AGS40,KD40)=0),1000000000,IF($V40=1,INDEX('calcA'!$D$130:$EQ$169,$B40,40)+IF(AND($E40=1,KD40=0),25,0),IF($F40&gt;0,INDEX('calcA'!AQ$110:AQ$114,$F40+1)+IF(AND($E40=1,KD40=0),1000,0),MIN(TV40,20)*400+(IF('calcA'!AP$106=1,1-EN40,0)+IF('calcA'!AQ$106=1,1-EP40,0))*150+162+'calcA'!AQ$5*100000+IF(AND($E40=1,KD40=0),50000,0))+IF($H40=1,INDEX('calcA'!$D$180:$EQ$219,$B40,40)*4000,0)-IF(AND('calcA'!AP$117=1,VN40&gt;0),2000,0)-IF(AND($U40=1,'calcA'!AQ$117=1,EP40=0),2000,0))),1000000000))</f>
        <v/>
      </c>
      <c r="PT40">
        <f>IF($B40=0,1000000000,IF(INDEX('calcA'!$D$60:$EQ$99,$B40,41)*IF($W40=1,EP40+ABE40,EP40)=1,IF(AND($E40=2,IF($W40=1,AGT40,KE40)=0),1000000000,IF($V40=1,INDEX('calcA'!$D$130:$EQ$169,$B40,41)+IF(AND($E40=1,KE40=0),25,0),IF($F40&gt;0,INDEX('calcA'!AR$110:AR$114,$F40+1)+IF(AND($E40=1,KE40=0),1000,0),MIN(TV40,20)*400+(IF('calcA'!AQ$106=1,1-EO40,0)+IF('calcA'!AR$106=1,1-EQ40,0))*150+172+'calcA'!AR$5*100000+IF(AND($E40=1,KE40=0),50000,0))+IF($H40=1,INDEX('calcA'!$D$180:$EQ$219,$B40,41)*4000,0)-IF(AND('calcA'!AQ$117=1,VO40&gt;0),2000,0)-IF(AND($U40=1,'calcA'!AR$117=1,EQ40=0),2000,0))),1000000000))</f>
        <v/>
      </c>
      <c r="PU40">
        <f>IF($B40=0,1000000000,IF(INDEX('calcA'!$D$60:$EQ$99,$B40,42)*IF($W40=1,EQ40+ABF40,EQ40)=1,IF(AND($E40=2,IF($W40=1,AGU40,KF40)=0),1000000000,IF($V40=1,INDEX('calcA'!$D$130:$EQ$169,$B40,42)+IF(AND($E40=1,KF40=0),25,0),IF($F40&gt;0,INDEX('calcA'!AS$110:AS$114,$F40+1)+IF(AND($E40=1,KF40=0),1000,0),MIN(TV40,20)*400+(IF('calcA'!AR$106=1,1-EP40,0)+IF('calcA'!AS$106=1,1-ER40,0))*150+182+'calcA'!AS$5*100000+IF(AND($E40=1,KF40=0),50000,0))+IF($H40=1,INDEX('calcA'!$D$180:$EQ$219,$B40,42)*4000,0)-IF(AND('calcA'!AR$117=1,VP40&gt;0),2000,0)-IF(AND($U40=1,'calcA'!AS$117=1,ER40=0),2000,0))),1000000000))</f>
        <v/>
      </c>
      <c r="PV40">
        <f>IF($B40=0,1000000000,IF(INDEX('calcA'!$D$60:$EQ$99,$B40,43)*IF($W40=1,ER40+ABG40,ER40)=1,IF(AND($E40=2,IF($W40=1,AGV40,KG40)=0),1000000000,IF($V40=1,INDEX('calcA'!$D$130:$EQ$169,$B40,43)+IF(AND($E40=1,KG40=0),25,0),IF($F40&gt;0,INDEX('calcA'!AT$110:AT$114,$F40+1)+IF(AND($E40=1,KG40=0),1000,0),MIN(TV40,20)*400+(IF('calcA'!AS$106=1,1-EQ40,0)+IF('calcA'!AT$106=1,1-ES40,0))*150+192+'calcA'!AT$5*100000+IF(AND($E40=1,KG40=0),50000,0))+IF($H40=1,INDEX('calcA'!$D$180:$EQ$219,$B40,43)*4000,0)-IF(AND('calcA'!AS$117=1,VQ40&gt;0),2000,0)-IF(AND($U40=1,'calcA'!AT$117=1,ES40=0),2000,0))),1000000000))</f>
        <v/>
      </c>
      <c r="PW40">
        <f>IF($B40=0,1000000000,IF(INDEX('calcA'!$D$60:$EQ$99,$B40,44)*IF($W40=1,ES40+ABH40,ES40)=1,IF(AND($E40=2,IF($W40=1,AGW40,KH40)=0),1000000000,IF($V40=1,INDEX('calcA'!$D$130:$EQ$169,$B40,44)+IF(AND($E40=1,KH40=0),25,0),IF($F40&gt;0,INDEX('calcA'!AU$110:AU$114,$F40+1)+IF(AND($E40=1,KH40=0),1000,0),MIN(TV40,20)*400+(IF('calcA'!AT$106=1,1-ER40,0)+IF('calcA'!AU$106=1,1-ET40,0))*150+202+'calcA'!AU$5*100000+IF(AND($E40=1,KH40=0),50000,0))+IF($H40=1,INDEX('calcA'!$D$180:$EQ$219,$B40,44)*4000,0)-IF(AND('calcA'!AT$117=1,VR40&gt;0),2000,0)-IF(AND($U40=1,'calcA'!AU$117=1,ET40=0),2000,0))),1000000000))</f>
        <v/>
      </c>
      <c r="PX40">
        <f>IF($B40=0,1000000000,IF(INDEX('calcA'!$D$60:$EQ$99,$B40,45)*IF($W40=1,ET40+ABI40,ET40)=1,IF(AND($E40=2,IF($W40=1,AGX40,KI40)=0),1000000000,IF($V40=1,INDEX('calcA'!$D$130:$EQ$169,$B40,45)+IF(AND($E40=1,KI40=0),25,0),IF($F40&gt;0,INDEX('calcA'!AV$110:AV$114,$F40+1)+IF(AND($E40=1,KI40=0),1000,0),MIN(TV40,20)*400+(IF('calcA'!AU$106=1,1-ES40,0)+IF('calcA'!AV$106=1,1-EU40,0))*150+212+'calcA'!AV$5*100000+IF(AND($E40=1,KI40=0),50000,0))+IF($H40=1,INDEX('calcA'!$D$180:$EQ$219,$B40,45)*4000,0)-IF(AND('calcA'!AU$117=1,VS40&gt;0),2000,0)-IF(AND($U40=1,'calcA'!AV$117=1,EU40=0),2000,0))),1000000000))</f>
        <v/>
      </c>
      <c r="PY40">
        <f>IF($B40=0,1000000000,IF(INDEX('calcA'!$D$60:$EQ$99,$B40,46)*IF($W40=1,EU40+ABJ40,EU40)=1,IF(AND($E40=2,IF($W40=1,AGY40,KJ40)=0),1000000000,IF($V40=1,INDEX('calcA'!$D$130:$EQ$169,$B40,46)+IF(AND($E40=1,KJ40=0),25,0),IF($F40&gt;0,INDEX('calcA'!AW$110:AW$114,$F40+1)+IF(AND($E40=1,KJ40=0),1000,0),MIN(TV40,20)*400+(IF('calcA'!AV$106=1,1-ET40,0)+IF('calcA'!AW$106=1,1-EV40,0))*150+222+'calcA'!AW$5*100000+IF(AND($E40=1,KJ40=0),50000,0))+IF($H40=1,INDEX('calcA'!$D$180:$EQ$219,$B40,46)*4000,0)-IF(AND('calcA'!AV$117=1,VT40&gt;0),2000,0)-IF(AND($U40=1,'calcA'!AW$117=1,EV40=0),2000,0))),1000000000))</f>
        <v/>
      </c>
      <c r="PZ40">
        <f>IF($B40=0,1000000000,IF(INDEX('calcA'!$D$60:$EQ$99,$B40,47)*IF($W40=1,EV40+ABK40,EV40)=1,IF(AND($E40=2,IF($W40=1,AGZ40,KK40)=0),1000000000,IF($V40=1,INDEX('calcA'!$D$130:$EQ$169,$B40,47)+IF(AND($E40=1,KK40=0),25,0),IF($F40&gt;0,INDEX('calcA'!AX$110:AX$114,$F40+1)+IF(AND($E40=1,KK40=0),1000,0),MIN(TV40,20)*400+(IF('calcA'!AW$106=1,1-EU40,0)+IF('calcA'!AX$106=1,1-EW40,0))*150+232+'calcA'!AX$5*100000+IF(AND($E40=1,KK40=0),50000,0))+IF($H40=1,INDEX('calcA'!$D$180:$EQ$219,$B40,47)*4000,0)-IF(AND('calcA'!AW$117=1,VU40&gt;0),2000,0)-IF(AND($U40=1,'calcA'!AX$117=1,EW40=0),2000,0))),1000000000))</f>
        <v/>
      </c>
      <c r="QA40">
        <f>IF($B40=0,1000000000,IF(INDEX('calcA'!$D$60:$EQ$99,$B40,48)*IF($W40=1,EW40+ABL40,EW40)=1,IF(AND($E40=2,IF($W40=1,AHA40,KL40)=0),1000000000,IF($V40=1,INDEX('calcA'!$D$130:$EQ$169,$B40,48)+IF(AND($E40=1,KL40=0),25,0),IF($F40&gt;0,INDEX('calcA'!AY$110:AY$114,$F40+1)+IF(AND($E40=1,KL40=0),1000,0),MIN(TV40,20)*400+(IF('calcA'!AX$106=1,1-EV40,0))*150+242+'calcA'!AY$5*100000+IF(AND($E40=1,KL40=0),50000,0))+IF($H40=1,INDEX('calcA'!$D$180:$EQ$219,$B40,48)*4000,0)-IF(AND('calcA'!AX$117=1,VV40&gt;0),2000,0))),1000000000))</f>
        <v/>
      </c>
      <c r="QB40">
        <f>IF($B40=0,1000000000,IF(INDEX('calcA'!$D$60:$EQ$99,$B40,49)*IF($W40=1,EX40+ABM40,EX40)=1,IF(AND($E40=2,IF($W40=1,AHB40,KM40)=0),1000000000,IF($V40=1,INDEX('calcA'!$D$130:$EQ$169,$B40,49)+IF(AND($E40=1,KM40=0),25,0),IF($F40&gt;0,INDEX('calcA'!AZ$110:AZ$114,$F40+1)+IF(AND($E40=1,KM40=0),1000,0),MIN(TW40,20)*400+(IF('calcA'!AZ$106=1,1-EY40,0))*150+13+'calcA'!AZ$5*100000+IF(AND($E40=1,KM40=0),50000,0))+IF($H40=1,INDEX('calcA'!$D$180:$EQ$219,$B40,49)*4000,0)-IF(AND($U40=1,'calcA'!AZ$117=1,EY40=0),2000,0))),1000000000))</f>
        <v/>
      </c>
      <c r="QC40">
        <f>IF($B40=0,1000000000,IF(INDEX('calcA'!$D$60:$EQ$99,$B40,50)*IF($W40=1,EY40+ABN40,EY40)=1,IF(AND($E40=2,IF($W40=1,AHC40,KN40)=0),1000000000,IF($V40=1,INDEX('calcA'!$D$130:$EQ$169,$B40,50)+IF(AND($E40=1,KN40=0),25,0),IF($F40&gt;0,INDEX('calcA'!BA$110:BA$114,$F40+1)+IF(AND($E40=1,KN40=0),1000,0),MIN(TW40,20)*400+(IF('calcA'!AZ$106=1,1-EX40,0)+IF('calcA'!BA$106=1,1-EZ40,0))*150+23+'calcA'!BA$5*100000+IF(AND($E40=1,KN40=0),50000,0))+IF($H40=1,INDEX('calcA'!$D$180:$EQ$219,$B40,50)*4000,0)-IF(AND('calcA'!AZ$117=1,VX40&gt;0),2000,0)-IF(AND($U40=1,'calcA'!BA$117=1,EZ40=0),2000,0))),1000000000))</f>
        <v/>
      </c>
      <c r="QD40">
        <f>IF($B40=0,1000000000,IF(INDEX('calcA'!$D$60:$EQ$99,$B40,51)*IF($W40=1,EZ40+ABO40,EZ40)=1,IF(AND($E40=2,IF($W40=1,AHD40,KO40)=0),1000000000,IF($V40=1,INDEX('calcA'!$D$130:$EQ$169,$B40,51)+IF(AND($E40=1,KO40=0),25,0),IF($F40&gt;0,INDEX('calcA'!BB$110:BB$114,$F40+1)+IF(AND($E40=1,KO40=0),1000,0),MIN(TW40,20)*400+(IF('calcA'!BA$106=1,1-EY40,0)+IF('calcA'!BB$106=1,1-FA40,0))*150+33+'calcA'!BB$5*100000+IF(AND($E40=1,KO40=0),50000,0))+IF($H40=1,INDEX('calcA'!$D$180:$EQ$219,$B40,51)*4000,0)-IF(AND('calcA'!BA$117=1,VY40&gt;0),2000,0)-IF(AND($U40=1,'calcA'!BB$117=1,FA40=0),2000,0))),1000000000))</f>
        <v/>
      </c>
      <c r="QE40">
        <f>IF($B40=0,1000000000,IF(INDEX('calcA'!$D$60:$EQ$99,$B40,52)*IF($W40=1,FA40+ABP40,FA40)=1,IF(AND($E40=2,IF($W40=1,AHE40,KP40)=0),1000000000,IF($V40=1,INDEX('calcA'!$D$130:$EQ$169,$B40,52)+IF(AND($E40=1,KP40=0),25,0),IF($F40&gt;0,INDEX('calcA'!BC$110:BC$114,$F40+1)+IF(AND($E40=1,KP40=0),1000,0),MIN(TW40,20)*400+(IF('calcA'!BB$106=1,1-EZ40,0)+IF('calcA'!BC$106=1,1-FB40,0))*150+43+'calcA'!BC$5*100000+IF(AND($E40=1,KP40=0),50000,0))+IF($H40=1,INDEX('calcA'!$D$180:$EQ$219,$B40,52)*4000,0)-IF(AND('calcA'!BB$117=1,VZ40&gt;0),2000,0)-IF(AND($U40=1,'calcA'!BC$117=1,FB40=0),2000,0))),1000000000))</f>
        <v/>
      </c>
      <c r="QF40">
        <f>IF($B40=0,1000000000,IF(INDEX('calcA'!$D$60:$EQ$99,$B40,53)*IF($W40=1,FB40+ABQ40,FB40)=1,IF(AND($E40=2,IF($W40=1,AHF40,KQ40)=0),1000000000,IF($V40=1,INDEX('calcA'!$D$130:$EQ$169,$B40,53)+IF(AND($E40=1,KQ40=0),25,0),IF($F40&gt;0,INDEX('calcA'!BD$110:BD$114,$F40+1)+IF(AND($E40=1,KQ40=0),1000,0),MIN(TW40,20)*400+(IF('calcA'!BC$106=1,1-FA40,0)+IF('calcA'!BD$106=1,1-FC40,0))*150+53+'calcA'!BD$5*100000+IF(AND($E40=1,KQ40=0),50000,0))+IF($H40=1,INDEX('calcA'!$D$180:$EQ$219,$B40,53)*4000,0)-IF(AND('calcA'!BC$117=1,WA40&gt;0),2000,0)-IF(AND($U40=1,'calcA'!BD$117=1,FC40=0),2000,0))),1000000000))</f>
        <v/>
      </c>
      <c r="QG40">
        <f>IF($B40=0,1000000000,IF(INDEX('calcA'!$D$60:$EQ$99,$B40,54)*IF($W40=1,FC40+ABR40,FC40)=1,IF(AND($E40=2,IF($W40=1,AHG40,KR40)=0),1000000000,IF($V40=1,INDEX('calcA'!$D$130:$EQ$169,$B40,54)+IF(AND($E40=1,KR40=0),25,0),IF($F40&gt;0,INDEX('calcA'!BE$110:BE$114,$F40+1)+IF(AND($E40=1,KR40=0),1000,0),MIN(TW40,20)*400+(IF('calcA'!BD$106=1,1-FB40,0)+IF('calcA'!BE$106=1,1-FD40,0))*150+63+'calcA'!BE$5*100000+IF(AND($E40=1,KR40=0),50000,0))+IF($H40=1,INDEX('calcA'!$D$180:$EQ$219,$B40,54)*4000,0)-IF(AND('calcA'!BD$117=1,WB40&gt;0),2000,0)-IF(AND($U40=1,'calcA'!BE$117=1,FD40=0),2000,0))),1000000000))</f>
        <v/>
      </c>
      <c r="QH40">
        <f>IF($B40=0,1000000000,IF(INDEX('calcA'!$D$60:$EQ$99,$B40,55)*IF($W40=1,FD40+ABS40,FD40)=1,IF(AND($E40=2,IF($W40=1,AHH40,KS40)=0),1000000000,IF($V40=1,INDEX('calcA'!$D$130:$EQ$169,$B40,55)+IF(AND($E40=1,KS40=0),25,0),IF($F40&gt;0,INDEX('calcA'!BF$110:BF$114,$F40+1)+IF(AND($E40=1,KS40=0),1000,0),MIN(TW40,20)*400+(IF('calcA'!BE$106=1,1-FC40,0)+IF('calcA'!BF$106=1,1-FE40,0))*150+73+'calcA'!BF$5*100000+IF(AND($E40=1,KS40=0),50000,0))+IF($H40=1,INDEX('calcA'!$D$180:$EQ$219,$B40,55)*4000,0)-IF(AND('calcA'!BE$117=1,WC40&gt;0),2000,0)-IF(AND($U40=1,'calcA'!BF$117=1,FE40=0),2000,0))),1000000000))</f>
        <v/>
      </c>
      <c r="QI40">
        <f>IF($B40=0,1000000000,IF(INDEX('calcA'!$D$60:$EQ$99,$B40,56)*IF($W40=1,FE40+ABT40,FE40)=1,IF(AND($E40=2,IF($W40=1,AHI40,KT40)=0),1000000000,IF($V40=1,INDEX('calcA'!$D$130:$EQ$169,$B40,56)+IF(AND($E40=1,KT40=0),25,0),IF($F40&gt;0,INDEX('calcA'!BG$110:BG$114,$F40+1)+IF(AND($E40=1,KT40=0),1000,0),MIN(TW40,20)*400+(IF('calcA'!BF$106=1,1-FD40,0)+IF('calcA'!BG$106=1,1-FF40,0))*150+83+'calcA'!BG$5*100000+IF(AND($E40=1,KT40=0),50000,0))+IF($H40=1,INDEX('calcA'!$D$180:$EQ$219,$B40,56)*4000,0)-IF(AND('calcA'!BF$117=1,WD40&gt;0),2000,0)-IF(AND($U40=1,'calcA'!BG$117=1,FF40=0),2000,0))),1000000000))</f>
        <v/>
      </c>
      <c r="QJ40">
        <f>IF($B40=0,1000000000,IF(INDEX('calcA'!$D$60:$EQ$99,$B40,57)*IF($W40=1,FF40+ABU40,FF40)=1,IF(AND($E40=2,IF($W40=1,AHJ40,KU40)=0),1000000000,IF($V40=1,INDEX('calcA'!$D$130:$EQ$169,$B40,57)+IF(AND($E40=1,KU40=0),25,0),IF($F40&gt;0,INDEX('calcA'!BH$110:BH$114,$F40+1)+IF(AND($E40=1,KU40=0),1000,0),MIN(TW40,20)*400+(IF('calcA'!BG$106=1,1-FE40,0)+IF('calcA'!BH$106=1,1-FG40,0))*150+93+'calcA'!BH$5*100000+IF(AND($E40=1,KU40=0),50000,0))+IF($H40=1,INDEX('calcA'!$D$180:$EQ$219,$B40,57)*4000,0)-IF(AND('calcA'!BG$117=1,WE40&gt;0),2000,0)-IF(AND($U40=1,'calcA'!BH$117=1,FG40=0),2000,0))),1000000000))</f>
        <v/>
      </c>
      <c r="QK40">
        <f>IF($B40=0,1000000000,IF(INDEX('calcA'!$D$60:$EQ$99,$B40,58)*IF($W40=1,FG40+ABV40,FG40)=1,IF(AND($E40=2,IF($W40=1,AHK40,KV40)=0),1000000000,IF($V40=1,INDEX('calcA'!$D$130:$EQ$169,$B40,58)+IF(AND($E40=1,KV40=0),25,0),IF($F40&gt;0,INDEX('calcA'!BI$110:BI$114,$F40+1)+IF(AND($E40=1,KV40=0),1000,0),MIN(TW40,20)*400+(IF('calcA'!BH$106=1,1-FF40,0)+IF('calcA'!BI$106=1,1-FH40,0))*150+103+'calcA'!BI$5*100000+IF(AND($E40=1,KV40=0),50000,0))+IF($H40=1,INDEX('calcA'!$D$180:$EQ$219,$B40,58)*4000,0)-IF(AND('calcA'!BH$117=1,WF40&gt;0),2000,0)-IF(AND($U40=1,'calcA'!BI$117=1,FH40=0),2000,0))),1000000000))</f>
        <v/>
      </c>
      <c r="QL40">
        <f>IF($B40=0,1000000000,IF(INDEX('calcA'!$D$60:$EQ$99,$B40,59)*IF($W40=1,FH40+ABW40,FH40)=1,IF(AND($E40=2,IF($W40=1,AHL40,KW40)=0),1000000000,IF($V40=1,INDEX('calcA'!$D$130:$EQ$169,$B40,59)+IF(AND($E40=1,KW40=0),25,0),IF($F40&gt;0,INDEX('calcA'!BJ$110:BJ$114,$F40+1)+IF(AND($E40=1,KW40=0),1000,0),MIN(TW40,20)*400+(IF('calcA'!BI$106=1,1-FG40,0)+IF('calcA'!BJ$106=1,1-FI40,0))*150+113+'calcA'!BJ$5*100000+IF(AND($E40=1,KW40=0),50000,0))+IF($H40=1,INDEX('calcA'!$D$180:$EQ$219,$B40,59)*4000,0)-IF(AND('calcA'!BI$117=1,WG40&gt;0),2000,0)-IF(AND($U40=1,'calcA'!BJ$117=1,FI40=0),2000,0))),1000000000))</f>
        <v/>
      </c>
      <c r="QM40">
        <f>IF($B40=0,1000000000,IF(INDEX('calcA'!$D$60:$EQ$99,$B40,60)*IF($W40=1,FI40+ABX40,FI40)=1,IF(AND($E40=2,IF($W40=1,AHM40,KX40)=0),1000000000,IF($V40=1,INDEX('calcA'!$D$130:$EQ$169,$B40,60)+IF(AND($E40=1,KX40=0),25,0),IF($F40&gt;0,INDEX('calcA'!BK$110:BK$114,$F40+1)+IF(AND($E40=1,KX40=0),1000,0),MIN(TW40,20)*400+(IF('calcA'!BJ$106=1,1-FH40,0)+IF('calcA'!BK$106=1,1-FJ40,0))*150+123+'calcA'!BK$5*100000+IF(AND($E40=1,KX40=0),50000,0))+IF($H40=1,INDEX('calcA'!$D$180:$EQ$219,$B40,60)*4000,0)-IF(AND('calcA'!BJ$117=1,WH40&gt;0),2000,0)-IF(AND($U40=1,'calcA'!BK$117=1,FJ40=0),2000,0))),1000000000))</f>
        <v/>
      </c>
      <c r="QN40">
        <f>IF($B40=0,1000000000,IF(INDEX('calcA'!$D$60:$EQ$99,$B40,61)*IF($W40=1,FJ40+ABY40,FJ40)=1,IF(AND($E40=2,IF($W40=1,AHN40,KY40)=0),1000000000,IF($V40=1,INDEX('calcA'!$D$130:$EQ$169,$B40,61)+IF(AND($E40=1,KY40=0),25,0),IF($F40&gt;0,INDEX('calcA'!BL$110:BL$114,$F40+1)+IF(AND($E40=1,KY40=0),1000,0),MIN(TW40,20)*400+(IF('calcA'!BK$106=1,1-FI40,0)+IF('calcA'!BL$106=1,1-FK40,0))*150+133+'calcA'!BL$5*100000+IF(AND($E40=1,KY40=0),50000,0))+IF($H40=1,INDEX('calcA'!$D$180:$EQ$219,$B40,61)*4000,0)-IF(AND('calcA'!BK$117=1,WI40&gt;0),2000,0)-IF(AND($U40=1,'calcA'!BL$117=1,FK40=0),2000,0))),1000000000))</f>
        <v/>
      </c>
      <c r="QO40">
        <f>IF($B40=0,1000000000,IF(INDEX('calcA'!$D$60:$EQ$99,$B40,62)*IF($W40=1,FK40+ABZ40,FK40)=1,IF(AND($E40=2,IF($W40=1,AHO40,KZ40)=0),1000000000,IF($V40=1,INDEX('calcA'!$D$130:$EQ$169,$B40,62)+IF(AND($E40=1,KZ40=0),25,0),IF($F40&gt;0,INDEX('calcA'!BM$110:BM$114,$F40+1)+IF(AND($E40=1,KZ40=0),1000,0),MIN(TW40,20)*400+(IF('calcA'!BL$106=1,1-FJ40,0)+IF('calcA'!BM$106=1,1-FL40,0))*150+143+'calcA'!BM$5*100000+IF(AND($E40=1,KZ40=0),50000,0))+IF($H40=1,INDEX('calcA'!$D$180:$EQ$219,$B40,62)*4000,0)-IF(AND('calcA'!BL$117=1,WJ40&gt;0),2000,0)-IF(AND($U40=1,'calcA'!BM$117=1,FL40=0),2000,0))),1000000000))</f>
        <v/>
      </c>
      <c r="QP40">
        <f>IF($B40=0,1000000000,IF(INDEX('calcA'!$D$60:$EQ$99,$B40,63)*IF($W40=1,FL40+ACA40,FL40)=1,IF(AND($E40=2,IF($W40=1,AHP40,LA40)=0),1000000000,IF($V40=1,INDEX('calcA'!$D$130:$EQ$169,$B40,63)+IF(AND($E40=1,LA40=0),25,0),IF($F40&gt;0,INDEX('calcA'!BN$110:BN$114,$F40+1)+IF(AND($E40=1,LA40=0),1000,0),MIN(TW40,20)*400+(IF('calcA'!BM$106=1,1-FK40,0)+IF('calcA'!BN$106=1,1-FM40,0))*150+153+'calcA'!BN$5*100000+IF(AND($E40=1,LA40=0),50000,0))+IF($H40=1,INDEX('calcA'!$D$180:$EQ$219,$B40,63)*4000,0)-IF(AND('calcA'!BM$117=1,WK40&gt;0),2000,0)-IF(AND($U40=1,'calcA'!BN$117=1,FM40=0),2000,0))),1000000000))</f>
        <v/>
      </c>
      <c r="QQ40">
        <f>IF($B40=0,1000000000,IF(INDEX('calcA'!$D$60:$EQ$99,$B40,64)*IF($W40=1,FM40+ACB40,FM40)=1,IF(AND($E40=2,IF($W40=1,AHQ40,LB40)=0),1000000000,IF($V40=1,INDEX('calcA'!$D$130:$EQ$169,$B40,64)+IF(AND($E40=1,LB40=0),25,0),IF($F40&gt;0,INDEX('calcA'!BO$110:BO$114,$F40+1)+IF(AND($E40=1,LB40=0),1000,0),MIN(TW40,20)*400+(IF('calcA'!BN$106=1,1-FL40,0)+IF('calcA'!BO$106=1,1-FN40,0))*150+163+'calcA'!BO$5*100000+IF(AND($E40=1,LB40=0),50000,0))+IF($H40=1,INDEX('calcA'!$D$180:$EQ$219,$B40,64)*4000,0)-IF(AND('calcA'!BN$117=1,WL40&gt;0),2000,0)-IF(AND($U40=1,'calcA'!BO$117=1,FN40=0),2000,0))),1000000000))</f>
        <v/>
      </c>
      <c r="QR40">
        <f>IF($B40=0,1000000000,IF(INDEX('calcA'!$D$60:$EQ$99,$B40,65)*IF($W40=1,FN40+ACC40,FN40)=1,IF(AND($E40=2,IF($W40=1,AHR40,LC40)=0),1000000000,IF($V40=1,INDEX('calcA'!$D$130:$EQ$169,$B40,65)+IF(AND($E40=1,LC40=0),25,0),IF($F40&gt;0,INDEX('calcA'!BP$110:BP$114,$F40+1)+IF(AND($E40=1,LC40=0),1000,0),MIN(TW40,20)*400+(IF('calcA'!BO$106=1,1-FM40,0)+IF('calcA'!BP$106=1,1-FO40,0))*150+173+'calcA'!BP$5*100000+IF(AND($E40=1,LC40=0),50000,0))+IF($H40=1,INDEX('calcA'!$D$180:$EQ$219,$B40,65)*4000,0)-IF(AND('calcA'!BO$117=1,WM40&gt;0),2000,0)-IF(AND($U40=1,'calcA'!BP$117=1,FO40=0),2000,0))),1000000000))</f>
        <v/>
      </c>
      <c r="QS40">
        <f>IF($B40=0,1000000000,IF(INDEX('calcA'!$D$60:$EQ$99,$B40,66)*IF($W40=1,FO40+ACD40,FO40)=1,IF(AND($E40=2,IF($W40=1,AHS40,LD40)=0),1000000000,IF($V40=1,INDEX('calcA'!$D$130:$EQ$169,$B40,66)+IF(AND($E40=1,LD40=0),25,0),IF($F40&gt;0,INDEX('calcA'!BQ$110:BQ$114,$F40+1)+IF(AND($E40=1,LD40=0),1000,0),MIN(TW40,20)*400+(IF('calcA'!BP$106=1,1-FN40,0)+IF('calcA'!BQ$106=1,1-FP40,0))*150+183+'calcA'!BQ$5*100000+IF(AND($E40=1,LD40=0),50000,0))+IF($H40=1,INDEX('calcA'!$D$180:$EQ$219,$B40,66)*4000,0)-IF(AND('calcA'!BP$117=1,WN40&gt;0),2000,0)-IF(AND($U40=1,'calcA'!BQ$117=1,FP40=0),2000,0))),1000000000))</f>
        <v/>
      </c>
      <c r="QT40">
        <f>IF($B40=0,1000000000,IF(INDEX('calcA'!$D$60:$EQ$99,$B40,67)*IF($W40=1,FP40+ACE40,FP40)=1,IF(AND($E40=2,IF($W40=1,AHT40,LE40)=0),1000000000,IF($V40=1,INDEX('calcA'!$D$130:$EQ$169,$B40,67)+IF(AND($E40=1,LE40=0),25,0),IF($F40&gt;0,INDEX('calcA'!BR$110:BR$114,$F40+1)+IF(AND($E40=1,LE40=0),1000,0),MIN(TW40,20)*400+(IF('calcA'!BQ$106=1,1-FO40,0)+IF('calcA'!BR$106=1,1-FQ40,0))*150+193+'calcA'!BR$5*100000+IF(AND($E40=1,LE40=0),50000,0))+IF($H40=1,INDEX('calcA'!$D$180:$EQ$219,$B40,67)*4000,0)-IF(AND('calcA'!BQ$117=1,WO40&gt;0),2000,0)-IF(AND($U40=1,'calcA'!BR$117=1,FQ40=0),2000,0))),1000000000))</f>
        <v/>
      </c>
      <c r="QU40">
        <f>IF($B40=0,1000000000,IF(INDEX('calcA'!$D$60:$EQ$99,$B40,68)*IF($W40=1,FQ40+ACF40,FQ40)=1,IF(AND($E40=2,IF($W40=1,AHU40,LF40)=0),1000000000,IF($V40=1,INDEX('calcA'!$D$130:$EQ$169,$B40,68)+IF(AND($E40=1,LF40=0),25,0),IF($F40&gt;0,INDEX('calcA'!BS$110:BS$114,$F40+1)+IF(AND($E40=1,LF40=0),1000,0),MIN(TW40,20)*400+(IF('calcA'!BR$106=1,1-FP40,0)+IF('calcA'!BS$106=1,1-FR40,0))*150+203+'calcA'!BS$5*100000+IF(AND($E40=1,LF40=0),50000,0))+IF($H40=1,INDEX('calcA'!$D$180:$EQ$219,$B40,68)*4000,0)-IF(AND('calcA'!BR$117=1,WP40&gt;0),2000,0)-IF(AND($U40=1,'calcA'!BS$117=1,FR40=0),2000,0))),1000000000))</f>
        <v/>
      </c>
      <c r="QV40">
        <f>IF($B40=0,1000000000,IF(INDEX('calcA'!$D$60:$EQ$99,$B40,69)*IF($W40=1,FR40+ACG40,FR40)=1,IF(AND($E40=2,IF($W40=1,AHV40,LG40)=0),1000000000,IF($V40=1,INDEX('calcA'!$D$130:$EQ$169,$B40,69)+IF(AND($E40=1,LG40=0),25,0),IF($F40&gt;0,INDEX('calcA'!BT$110:BT$114,$F40+1)+IF(AND($E40=1,LG40=0),1000,0),MIN(TW40,20)*400+(IF('calcA'!BS$106=1,1-FQ40,0)+IF('calcA'!BT$106=1,1-FS40,0))*150+213+'calcA'!BT$5*100000+IF(AND($E40=1,LG40=0),50000,0))+IF($H40=1,INDEX('calcA'!$D$180:$EQ$219,$B40,69)*4000,0)-IF(AND('calcA'!BS$117=1,WQ40&gt;0),2000,0)-IF(AND($U40=1,'calcA'!BT$117=1,FS40=0),2000,0))),1000000000))</f>
        <v/>
      </c>
      <c r="QW40">
        <f>IF($B40=0,1000000000,IF(INDEX('calcA'!$D$60:$EQ$99,$B40,70)*IF($W40=1,FS40+ACH40,FS40)=1,IF(AND($E40=2,IF($W40=1,AHW40,LH40)=0),1000000000,IF($V40=1,INDEX('calcA'!$D$130:$EQ$169,$B40,70)+IF(AND($E40=1,LH40=0),25,0),IF($F40&gt;0,INDEX('calcA'!BU$110:BU$114,$F40+1)+IF(AND($E40=1,LH40=0),1000,0),MIN(TW40,20)*400+(IF('calcA'!BT$106=1,1-FR40,0)+IF('calcA'!BU$106=1,1-FT40,0))*150+223+'calcA'!BU$5*100000+IF(AND($E40=1,LH40=0),50000,0))+IF($H40=1,INDEX('calcA'!$D$180:$EQ$219,$B40,70)*4000,0)-IF(AND('calcA'!BT$117=1,WR40&gt;0),2000,0)-IF(AND($U40=1,'calcA'!BU$117=1,FT40=0),2000,0))),1000000000))</f>
        <v/>
      </c>
      <c r="QX40">
        <f>IF($B40=0,1000000000,IF(INDEX('calcA'!$D$60:$EQ$99,$B40,71)*IF($W40=1,FT40+ACI40,FT40)=1,IF(AND($E40=2,IF($W40=1,AHX40,LI40)=0),1000000000,IF($V40=1,INDEX('calcA'!$D$130:$EQ$169,$B40,71)+IF(AND($E40=1,LI40=0),25,0),IF($F40&gt;0,INDEX('calcA'!BV$110:BV$114,$F40+1)+IF(AND($E40=1,LI40=0),1000,0),MIN(TW40,20)*400+(IF('calcA'!BU$106=1,1-FS40,0)+IF('calcA'!BV$106=1,1-FU40,0))*150+233+'calcA'!BV$5*100000+IF(AND($E40=1,LI40=0),50000,0))+IF($H40=1,INDEX('calcA'!$D$180:$EQ$219,$B40,71)*4000,0)-IF(AND('calcA'!BU$117=1,WS40&gt;0),2000,0)-IF(AND($U40=1,'calcA'!BV$117=1,FU40=0),2000,0))),1000000000))</f>
        <v/>
      </c>
      <c r="QY40">
        <f>IF($B40=0,1000000000,IF(INDEX('calcA'!$D$60:$EQ$99,$B40,72)*IF($W40=1,FU40+ACJ40,FU40)=1,IF(AND($E40=2,IF($W40=1,AHY40,LJ40)=0),1000000000,IF($V40=1,INDEX('calcA'!$D$130:$EQ$169,$B40,72)+IF(AND($E40=1,LJ40=0),25,0),IF($F40&gt;0,INDEX('calcA'!BW$110:BW$114,$F40+1)+IF(AND($E40=1,LJ40=0),1000,0),MIN(TW40,20)*400+(IF('calcA'!BV$106=1,1-FT40,0))*150+243+'calcA'!BW$5*100000+IF(AND($E40=1,LJ40=0),50000,0))+IF($H40=1,INDEX('calcA'!$D$180:$EQ$219,$B40,72)*4000,0)-IF(AND('calcA'!BV$117=1,WT40&gt;0),2000,0))),1000000000))</f>
        <v/>
      </c>
      <c r="QZ40">
        <f>IF($B40=0,1000000000,IF(INDEX('calcA'!$D$60:$EQ$99,$B40,73)*IF($W40=1,FV40+ACK40,FV40)=1,IF(AND($E40=2,IF($W40=1,AHZ40,LK40)=0),1000000000,IF($V40=1,INDEX('calcA'!$D$130:$EQ$169,$B40,73)+IF(AND($E40=1,LK40=0),25,0),IF($F40&gt;0,INDEX('calcA'!BX$110:BX$114,$F40+1)+IF(AND($E40=1,LK40=0),1000,0),MIN(TX40,20)*400+(IF('calcA'!BX$106=1,1-FW40,0))*150+14+'calcA'!BX$5*100000+IF(AND($E40=1,LK40=0),50000,0))+IF($H40=1,INDEX('calcA'!$D$180:$EQ$219,$B40,73)*4000,0)-IF(AND($U40=1,'calcA'!BX$117=1,FW40=0),2000,0))),1000000000))</f>
        <v/>
      </c>
      <c r="RA40">
        <f>IF($B40=0,1000000000,IF(INDEX('calcA'!$D$60:$EQ$99,$B40,74)*IF($W40=1,FW40+ACL40,FW40)=1,IF(AND($E40=2,IF($W40=1,AIA40,LL40)=0),1000000000,IF($V40=1,INDEX('calcA'!$D$130:$EQ$169,$B40,74)+IF(AND($E40=1,LL40=0),25,0),IF($F40&gt;0,INDEX('calcA'!BY$110:BY$114,$F40+1)+IF(AND($E40=1,LL40=0),1000,0),MIN(TX40,20)*400+(IF('calcA'!BX$106=1,1-FV40,0)+IF('calcA'!BY$106=1,1-FX40,0))*150+24+'calcA'!BY$5*100000+IF(AND($E40=1,LL40=0),50000,0))+IF($H40=1,INDEX('calcA'!$D$180:$EQ$219,$B40,74)*4000,0)-IF(AND('calcA'!BX$117=1,WV40&gt;0),2000,0)-IF(AND($U40=1,'calcA'!BY$117=1,FX40=0),2000,0))),1000000000))</f>
        <v/>
      </c>
      <c r="RB40">
        <f>IF($B40=0,1000000000,IF(INDEX('calcA'!$D$60:$EQ$99,$B40,75)*IF($W40=1,FX40+ACM40,FX40)=1,IF(AND($E40=2,IF($W40=1,AIB40,LM40)=0),1000000000,IF($V40=1,INDEX('calcA'!$D$130:$EQ$169,$B40,75)+IF(AND($E40=1,LM40=0),25,0),IF($F40&gt;0,INDEX('calcA'!BZ$110:BZ$114,$F40+1)+IF(AND($E40=1,LM40=0),1000,0),MIN(TX40,20)*400+(IF('calcA'!BY$106=1,1-FW40,0)+IF('calcA'!BZ$106=1,1-FY40,0))*150+34+'calcA'!BZ$5*100000+IF(AND($E40=1,LM40=0),50000,0))+IF($H40=1,INDEX('calcA'!$D$180:$EQ$219,$B40,75)*4000,0)-IF(AND('calcA'!BY$117=1,WW40&gt;0),2000,0)-IF(AND($U40=1,'calcA'!BZ$117=1,FY40=0),2000,0))),1000000000))</f>
        <v/>
      </c>
      <c r="RC40">
        <f>IF($B40=0,1000000000,IF(INDEX('calcA'!$D$60:$EQ$99,$B40,76)*IF($W40=1,FY40+ACN40,FY40)=1,IF(AND($E40=2,IF($W40=1,AIC40,LN40)=0),1000000000,IF($V40=1,INDEX('calcA'!$D$130:$EQ$169,$B40,76)+IF(AND($E40=1,LN40=0),25,0),IF($F40&gt;0,INDEX('calcA'!CA$110:CA$114,$F40+1)+IF(AND($E40=1,LN40=0),1000,0),MIN(TX40,20)*400+(IF('calcA'!BZ$106=1,1-FX40,0)+IF('calcA'!CA$106=1,1-FZ40,0))*150+44+'calcA'!CA$5*100000+IF(AND($E40=1,LN40=0),50000,0))+IF($H40=1,INDEX('calcA'!$D$180:$EQ$219,$B40,76)*4000,0)-IF(AND('calcA'!BZ$117=1,WX40&gt;0),2000,0)-IF(AND($U40=1,'calcA'!CA$117=1,FZ40=0),2000,0))),1000000000))</f>
        <v/>
      </c>
      <c r="RD40">
        <f>IF($B40=0,1000000000,IF(INDEX('calcA'!$D$60:$EQ$99,$B40,77)*IF($W40=1,FZ40+ACO40,FZ40)=1,IF(AND($E40=2,IF($W40=1,AID40,LO40)=0),1000000000,IF($V40=1,INDEX('calcA'!$D$130:$EQ$169,$B40,77)+IF(AND($E40=1,LO40=0),25,0),IF($F40&gt;0,INDEX('calcA'!CB$110:CB$114,$F40+1)+IF(AND($E40=1,LO40=0),1000,0),MIN(TX40,20)*400+(IF('calcA'!CA$106=1,1-FY40,0)+IF('calcA'!CB$106=1,1-GA40,0))*150+54+'calcA'!CB$5*100000+IF(AND($E40=1,LO40=0),50000,0))+IF($H40=1,INDEX('calcA'!$D$180:$EQ$219,$B40,77)*4000,0)-IF(AND('calcA'!CA$117=1,WY40&gt;0),2000,0)-IF(AND($U40=1,'calcA'!CB$117=1,GA40=0),2000,0))),1000000000))</f>
        <v/>
      </c>
      <c r="RE40">
        <f>IF($B40=0,1000000000,IF(INDEX('calcA'!$D$60:$EQ$99,$B40,78)*IF($W40=1,GA40+ACP40,GA40)=1,IF(AND($E40=2,IF($W40=1,AIE40,LP40)=0),1000000000,IF($V40=1,INDEX('calcA'!$D$130:$EQ$169,$B40,78)+IF(AND($E40=1,LP40=0),25,0),IF($F40&gt;0,INDEX('calcA'!CC$110:CC$114,$F40+1)+IF(AND($E40=1,LP40=0),1000,0),MIN(TX40,20)*400+(IF('calcA'!CB$106=1,1-FZ40,0)+IF('calcA'!CC$106=1,1-GB40,0))*150+64+'calcA'!CC$5*100000+IF(AND($E40=1,LP40=0),50000,0))+IF($H40=1,INDEX('calcA'!$D$180:$EQ$219,$B40,78)*4000,0)-IF(AND('calcA'!CB$117=1,WZ40&gt;0),2000,0)-IF(AND($U40=1,'calcA'!CC$117=1,GB40=0),2000,0))),1000000000))</f>
        <v/>
      </c>
      <c r="RF40">
        <f>IF($B40=0,1000000000,IF(INDEX('calcA'!$D$60:$EQ$99,$B40,79)*IF($W40=1,GB40+ACQ40,GB40)=1,IF(AND($E40=2,IF($W40=1,AIF40,LQ40)=0),1000000000,IF($V40=1,INDEX('calcA'!$D$130:$EQ$169,$B40,79)+IF(AND($E40=1,LQ40=0),25,0),IF($F40&gt;0,INDEX('calcA'!CD$110:CD$114,$F40+1)+IF(AND($E40=1,LQ40=0),1000,0),MIN(TX40,20)*400+(IF('calcA'!CC$106=1,1-GA40,0)+IF('calcA'!CD$106=1,1-GC40,0))*150+74+'calcA'!CD$5*100000+IF(AND($E40=1,LQ40=0),50000,0))+IF($H40=1,INDEX('calcA'!$D$180:$EQ$219,$B40,79)*4000,0)-IF(AND('calcA'!CC$117=1,XA40&gt;0),2000,0)-IF(AND($U40=1,'calcA'!CD$117=1,GC40=0),2000,0))),1000000000))</f>
        <v/>
      </c>
      <c r="RG40">
        <f>IF($B40=0,1000000000,IF(INDEX('calcA'!$D$60:$EQ$99,$B40,80)*IF($W40=1,GC40+ACR40,GC40)=1,IF(AND($E40=2,IF($W40=1,AIG40,LR40)=0),1000000000,IF($V40=1,INDEX('calcA'!$D$130:$EQ$169,$B40,80)+IF(AND($E40=1,LR40=0),25,0),IF($F40&gt;0,INDEX('calcA'!CE$110:CE$114,$F40+1)+IF(AND($E40=1,LR40=0),1000,0),MIN(TX40,20)*400+(IF('calcA'!CD$106=1,1-GB40,0)+IF('calcA'!CE$106=1,1-GD40,0))*150+84+'calcA'!CE$5*100000+IF(AND($E40=1,LR40=0),50000,0))+IF($H40=1,INDEX('calcA'!$D$180:$EQ$219,$B40,80)*4000,0)-IF(AND('calcA'!CD$117=1,XB40&gt;0),2000,0)-IF(AND($U40=1,'calcA'!CE$117=1,GD40=0),2000,0))),1000000000))</f>
        <v/>
      </c>
      <c r="RH40">
        <f>IF($B40=0,1000000000,IF(INDEX('calcA'!$D$60:$EQ$99,$B40,81)*IF($W40=1,GD40+ACS40,GD40)=1,IF(AND($E40=2,IF($W40=1,AIH40,LS40)=0),1000000000,IF($V40=1,INDEX('calcA'!$D$130:$EQ$169,$B40,81)+IF(AND($E40=1,LS40=0),25,0),IF($F40&gt;0,INDEX('calcA'!CF$110:CF$114,$F40+1)+IF(AND($E40=1,LS40=0),1000,0),MIN(TX40,20)*400+(IF('calcA'!CE$106=1,1-GC40,0)+IF('calcA'!CF$106=1,1-GE40,0))*150+94+'calcA'!CF$5*100000+IF(AND($E40=1,LS40=0),50000,0))+IF($H40=1,INDEX('calcA'!$D$180:$EQ$219,$B40,81)*4000,0)-IF(AND('calcA'!CE$117=1,XC40&gt;0),2000,0)-IF(AND($U40=1,'calcA'!CF$117=1,GE40=0),2000,0))),1000000000))</f>
        <v/>
      </c>
      <c r="RI40">
        <f>IF($B40=0,1000000000,IF(INDEX('calcA'!$D$60:$EQ$99,$B40,82)*IF($W40=1,GE40+ACT40,GE40)=1,IF(AND($E40=2,IF($W40=1,AII40,LT40)=0),1000000000,IF($V40=1,INDEX('calcA'!$D$130:$EQ$169,$B40,82)+IF(AND($E40=1,LT40=0),25,0),IF($F40&gt;0,INDEX('calcA'!CG$110:CG$114,$F40+1)+IF(AND($E40=1,LT40=0),1000,0),MIN(TX40,20)*400+(IF('calcA'!CF$106=1,1-GD40,0)+IF('calcA'!CG$106=1,1-GF40,0))*150+104+'calcA'!CG$5*100000+IF(AND($E40=1,LT40=0),50000,0))+IF($H40=1,INDEX('calcA'!$D$180:$EQ$219,$B40,82)*4000,0)-IF(AND('calcA'!CF$117=1,XD40&gt;0),2000,0)-IF(AND($U40=1,'calcA'!CG$117=1,GF40=0),2000,0))),1000000000))</f>
        <v/>
      </c>
      <c r="RJ40">
        <f>IF($B40=0,1000000000,IF(INDEX('calcA'!$D$60:$EQ$99,$B40,83)*IF($W40=1,GF40+ACU40,GF40)=1,IF(AND($E40=2,IF($W40=1,AIJ40,LU40)=0),1000000000,IF($V40=1,INDEX('calcA'!$D$130:$EQ$169,$B40,83)+IF(AND($E40=1,LU40=0),25,0),IF($F40&gt;0,INDEX('calcA'!CH$110:CH$114,$F40+1)+IF(AND($E40=1,LU40=0),1000,0),MIN(TX40,20)*400+(IF('calcA'!CG$106=1,1-GE40,0)+IF('calcA'!CH$106=1,1-GG40,0))*150+114+'calcA'!CH$5*100000+IF(AND($E40=1,LU40=0),50000,0))+IF($H40=1,INDEX('calcA'!$D$180:$EQ$219,$B40,83)*4000,0)-IF(AND('calcA'!CG$117=1,XE40&gt;0),2000,0)-IF(AND($U40=1,'calcA'!CH$117=1,GG40=0),2000,0))),1000000000))</f>
        <v/>
      </c>
      <c r="RK40">
        <f>IF($B40=0,1000000000,IF(INDEX('calcA'!$D$60:$EQ$99,$B40,84)*IF($W40=1,GG40+ACV40,GG40)=1,IF(AND($E40=2,IF($W40=1,AIK40,LV40)=0),1000000000,IF($V40=1,INDEX('calcA'!$D$130:$EQ$169,$B40,84)+IF(AND($E40=1,LV40=0),25,0),IF($F40&gt;0,INDEX('calcA'!CI$110:CI$114,$F40+1)+IF(AND($E40=1,LV40=0),1000,0),MIN(TX40,20)*400+(IF('calcA'!CH$106=1,1-GF40,0)+IF('calcA'!CI$106=1,1-GH40,0))*150+124+'calcA'!CI$5*100000+IF(AND($E40=1,LV40=0),50000,0))+IF($H40=1,INDEX('calcA'!$D$180:$EQ$219,$B40,84)*4000,0)-IF(AND('calcA'!CH$117=1,XF40&gt;0),2000,0)-IF(AND($U40=1,'calcA'!CI$117=1,GH40=0),2000,0))),1000000000))</f>
        <v/>
      </c>
      <c r="RL40">
        <f>IF($B40=0,1000000000,IF(INDEX('calcA'!$D$60:$EQ$99,$B40,85)*IF($W40=1,GH40+ACW40,GH40)=1,IF(AND($E40=2,IF($W40=1,AIL40,LW40)=0),1000000000,IF($V40=1,INDEX('calcA'!$D$130:$EQ$169,$B40,85)+IF(AND($E40=1,LW40=0),25,0),IF($F40&gt;0,INDEX('calcA'!CJ$110:CJ$114,$F40+1)+IF(AND($E40=1,LW40=0),1000,0),MIN(TX40,20)*400+(IF('calcA'!CI$106=1,1-GG40,0)+IF('calcA'!CJ$106=1,1-GI40,0))*150+134+'calcA'!CJ$5*100000+IF(AND($E40=1,LW40=0),50000,0))+IF($H40=1,INDEX('calcA'!$D$180:$EQ$219,$B40,85)*4000,0)-IF(AND('calcA'!CI$117=1,XG40&gt;0),2000,0)-IF(AND($U40=1,'calcA'!CJ$117=1,GI40=0),2000,0))),1000000000))</f>
        <v/>
      </c>
      <c r="RM40">
        <f>IF($B40=0,1000000000,IF(INDEX('calcA'!$D$60:$EQ$99,$B40,86)*IF($W40=1,GI40+ACX40,GI40)=1,IF(AND($E40=2,IF($W40=1,AIM40,LX40)=0),1000000000,IF($V40=1,INDEX('calcA'!$D$130:$EQ$169,$B40,86)+IF(AND($E40=1,LX40=0),25,0),IF($F40&gt;0,INDEX('calcA'!CK$110:CK$114,$F40+1)+IF(AND($E40=1,LX40=0),1000,0),MIN(TX40,20)*400+(IF('calcA'!CJ$106=1,1-GH40,0)+IF('calcA'!CK$106=1,1-GJ40,0))*150+144+'calcA'!CK$5*100000+IF(AND($E40=1,LX40=0),50000,0))+IF($H40=1,INDEX('calcA'!$D$180:$EQ$219,$B40,86)*4000,0)-IF(AND('calcA'!CJ$117=1,XH40&gt;0),2000,0)-IF(AND($U40=1,'calcA'!CK$117=1,GJ40=0),2000,0))),1000000000))</f>
        <v/>
      </c>
      <c r="RN40">
        <f>IF($B40=0,1000000000,IF(INDEX('calcA'!$D$60:$EQ$99,$B40,87)*IF($W40=1,GJ40+ACY40,GJ40)=1,IF(AND($E40=2,IF($W40=1,AIN40,LY40)=0),1000000000,IF($V40=1,INDEX('calcA'!$D$130:$EQ$169,$B40,87)+IF(AND($E40=1,LY40=0),25,0),IF($F40&gt;0,INDEX('calcA'!CL$110:CL$114,$F40+1)+IF(AND($E40=1,LY40=0),1000,0),MIN(TX40,20)*400+(IF('calcA'!CK$106=1,1-GI40,0)+IF('calcA'!CL$106=1,1-GK40,0))*150+154+'calcA'!CL$5*100000+IF(AND($E40=1,LY40=0),50000,0))+IF($H40=1,INDEX('calcA'!$D$180:$EQ$219,$B40,87)*4000,0)-IF(AND('calcA'!CK$117=1,XI40&gt;0),2000,0)-IF(AND($U40=1,'calcA'!CL$117=1,GK40=0),2000,0))),1000000000))</f>
        <v/>
      </c>
      <c r="RO40">
        <f>IF($B40=0,1000000000,IF(INDEX('calcA'!$D$60:$EQ$99,$B40,88)*IF($W40=1,GK40+ACZ40,GK40)=1,IF(AND($E40=2,IF($W40=1,AIO40,LZ40)=0),1000000000,IF($V40=1,INDEX('calcA'!$D$130:$EQ$169,$B40,88)+IF(AND($E40=1,LZ40=0),25,0),IF($F40&gt;0,INDEX('calcA'!CM$110:CM$114,$F40+1)+IF(AND($E40=1,LZ40=0),1000,0),MIN(TX40,20)*400+(IF('calcA'!CL$106=1,1-GJ40,0)+IF('calcA'!CM$106=1,1-GL40,0))*150+164+'calcA'!CM$5*100000+IF(AND($E40=1,LZ40=0),50000,0))+IF($H40=1,INDEX('calcA'!$D$180:$EQ$219,$B40,88)*4000,0)-IF(AND('calcA'!CL$117=1,XJ40&gt;0),2000,0)-IF(AND($U40=1,'calcA'!CM$117=1,GL40=0),2000,0))),1000000000))</f>
        <v/>
      </c>
      <c r="RP40">
        <f>IF($B40=0,1000000000,IF(INDEX('calcA'!$D$60:$EQ$99,$B40,89)*IF($W40=1,GL40+ADA40,GL40)=1,IF(AND($E40=2,IF($W40=1,AIP40,MA40)=0),1000000000,IF($V40=1,INDEX('calcA'!$D$130:$EQ$169,$B40,89)+IF(AND($E40=1,MA40=0),25,0),IF($F40&gt;0,INDEX('calcA'!CN$110:CN$114,$F40+1)+IF(AND($E40=1,MA40=0),1000,0),MIN(TX40,20)*400+(IF('calcA'!CM$106=1,1-GK40,0)+IF('calcA'!CN$106=1,1-GM40,0))*150+174+'calcA'!CN$5*100000+IF(AND($E40=1,MA40=0),50000,0))+IF($H40=1,INDEX('calcA'!$D$180:$EQ$219,$B40,89)*4000,0)-IF(AND('calcA'!CM$117=1,XK40&gt;0),2000,0)-IF(AND($U40=1,'calcA'!CN$117=1,GM40=0),2000,0))),1000000000))</f>
        <v/>
      </c>
      <c r="RQ40">
        <f>IF($B40=0,1000000000,IF(INDEX('calcA'!$D$60:$EQ$99,$B40,90)*IF($W40=1,GM40+ADB40,GM40)=1,IF(AND($E40=2,IF($W40=1,AIQ40,MB40)=0),1000000000,IF($V40=1,INDEX('calcA'!$D$130:$EQ$169,$B40,90)+IF(AND($E40=1,MB40=0),25,0),IF($F40&gt;0,INDEX('calcA'!CO$110:CO$114,$F40+1)+IF(AND($E40=1,MB40=0),1000,0),MIN(TX40,20)*400+(IF('calcA'!CN$106=1,1-GL40,0)+IF('calcA'!CO$106=1,1-GN40,0))*150+184+'calcA'!CO$5*100000+IF(AND($E40=1,MB40=0),50000,0))+IF($H40=1,INDEX('calcA'!$D$180:$EQ$219,$B40,90)*4000,0)-IF(AND('calcA'!CN$117=1,XL40&gt;0),2000,0)-IF(AND($U40=1,'calcA'!CO$117=1,GN40=0),2000,0))),1000000000))</f>
        <v/>
      </c>
      <c r="RR40">
        <f>IF($B40=0,1000000000,IF(INDEX('calcA'!$D$60:$EQ$99,$B40,91)*IF($W40=1,GN40+ADC40,GN40)=1,IF(AND($E40=2,IF($W40=1,AIR40,MC40)=0),1000000000,IF($V40=1,INDEX('calcA'!$D$130:$EQ$169,$B40,91)+IF(AND($E40=1,MC40=0),25,0),IF($F40&gt;0,INDEX('calcA'!CP$110:CP$114,$F40+1)+IF(AND($E40=1,MC40=0),1000,0),MIN(TX40,20)*400+(IF('calcA'!CO$106=1,1-GM40,0)+IF('calcA'!CP$106=1,1-GO40,0))*150+194+'calcA'!CP$5*100000+IF(AND($E40=1,MC40=0),50000,0))+IF($H40=1,INDEX('calcA'!$D$180:$EQ$219,$B40,91)*4000,0)-IF(AND('calcA'!CO$117=1,XM40&gt;0),2000,0)-IF(AND($U40=1,'calcA'!CP$117=1,GO40=0),2000,0))),1000000000))</f>
        <v/>
      </c>
      <c r="RS40">
        <f>IF($B40=0,1000000000,IF(INDEX('calcA'!$D$60:$EQ$99,$B40,92)*IF($W40=1,GO40+ADD40,GO40)=1,IF(AND($E40=2,IF($W40=1,AIS40,MD40)=0),1000000000,IF($V40=1,INDEX('calcA'!$D$130:$EQ$169,$B40,92)+IF(AND($E40=1,MD40=0),25,0),IF($F40&gt;0,INDEX('calcA'!CQ$110:CQ$114,$F40+1)+IF(AND($E40=1,MD40=0),1000,0),MIN(TX40,20)*400+(IF('calcA'!CP$106=1,1-GN40,0)+IF('calcA'!CQ$106=1,1-GP40,0))*150+204+'calcA'!CQ$5*100000+IF(AND($E40=1,MD40=0),50000,0))+IF($H40=1,INDEX('calcA'!$D$180:$EQ$219,$B40,92)*4000,0)-IF(AND('calcA'!CP$117=1,XN40&gt;0),2000,0)-IF(AND($U40=1,'calcA'!CQ$117=1,GP40=0),2000,0))),1000000000))</f>
        <v/>
      </c>
      <c r="RT40">
        <f>IF($B40=0,1000000000,IF(INDEX('calcA'!$D$60:$EQ$99,$B40,93)*IF($W40=1,GP40+ADE40,GP40)=1,IF(AND($E40=2,IF($W40=1,AIT40,ME40)=0),1000000000,IF($V40=1,INDEX('calcA'!$D$130:$EQ$169,$B40,93)+IF(AND($E40=1,ME40=0),25,0),IF($F40&gt;0,INDEX('calcA'!CR$110:CR$114,$F40+1)+IF(AND($E40=1,ME40=0),1000,0),MIN(TX40,20)*400+(IF('calcA'!CQ$106=1,1-GO40,0)+IF('calcA'!CR$106=1,1-GQ40,0))*150+214+'calcA'!CR$5*100000+IF(AND($E40=1,ME40=0),50000,0))+IF($H40=1,INDEX('calcA'!$D$180:$EQ$219,$B40,93)*4000,0)-IF(AND('calcA'!CQ$117=1,XO40&gt;0),2000,0)-IF(AND($U40=1,'calcA'!CR$117=1,GQ40=0),2000,0))),1000000000))</f>
        <v/>
      </c>
      <c r="RU40">
        <f>IF($B40=0,1000000000,IF(INDEX('calcA'!$D$60:$EQ$99,$B40,94)*IF($W40=1,GQ40+ADF40,GQ40)=1,IF(AND($E40=2,IF($W40=1,AIU40,MF40)=0),1000000000,IF($V40=1,INDEX('calcA'!$D$130:$EQ$169,$B40,94)+IF(AND($E40=1,MF40=0),25,0),IF($F40&gt;0,INDEX('calcA'!CS$110:CS$114,$F40+1)+IF(AND($E40=1,MF40=0),1000,0),MIN(TX40,20)*400+(IF('calcA'!CR$106=1,1-GP40,0)+IF('calcA'!CS$106=1,1-GR40,0))*150+224+'calcA'!CS$5*100000+IF(AND($E40=1,MF40=0),50000,0))+IF($H40=1,INDEX('calcA'!$D$180:$EQ$219,$B40,94)*4000,0)-IF(AND('calcA'!CR$117=1,XP40&gt;0),2000,0)-IF(AND($U40=1,'calcA'!CS$117=1,GR40=0),2000,0))),1000000000))</f>
        <v/>
      </c>
      <c r="RV40">
        <f>IF($B40=0,1000000000,IF(INDEX('calcA'!$D$60:$EQ$99,$B40,95)*IF($W40=1,GR40+ADG40,GR40)=1,IF(AND($E40=2,IF($W40=1,AIV40,MG40)=0),1000000000,IF($V40=1,INDEX('calcA'!$D$130:$EQ$169,$B40,95)+IF(AND($E40=1,MG40=0),25,0),IF($F40&gt;0,INDEX('calcA'!CT$110:CT$114,$F40+1)+IF(AND($E40=1,MG40=0),1000,0),MIN(TX40,20)*400+(IF('calcA'!CS$106=1,1-GQ40,0)+IF('calcA'!CT$106=1,1-GS40,0))*150+234+'calcA'!CT$5*100000+IF(AND($E40=1,MG40=0),50000,0))+IF($H40=1,INDEX('calcA'!$D$180:$EQ$219,$B40,95)*4000,0)-IF(AND('calcA'!CS$117=1,XQ40&gt;0),2000,0)-IF(AND($U40=1,'calcA'!CT$117=1,GS40=0),2000,0))),1000000000))</f>
        <v/>
      </c>
      <c r="RW40">
        <f>IF($B40=0,1000000000,IF(INDEX('calcA'!$D$60:$EQ$99,$B40,96)*IF($W40=1,GS40+ADH40,GS40)=1,IF(AND($E40=2,IF($W40=1,AIW40,MH40)=0),1000000000,IF($V40=1,INDEX('calcA'!$D$130:$EQ$169,$B40,96)+IF(AND($E40=1,MH40=0),25,0),IF($F40&gt;0,INDEX('calcA'!CU$110:CU$114,$F40+1)+IF(AND($E40=1,MH40=0),1000,0),MIN(TX40,20)*400+(IF('calcA'!CT$106=1,1-GR40,0))*150+244+'calcA'!CU$5*100000+IF(AND($E40=1,MH40=0),50000,0))+IF($H40=1,INDEX('calcA'!$D$180:$EQ$219,$B40,96)*4000,0)-IF(AND('calcA'!CT$117=1,XR40&gt;0),2000,0))),1000000000))</f>
        <v/>
      </c>
      <c r="RX40">
        <f>IF($B40=0,1000000000,IF(INDEX('calcA'!$D$60:$EQ$99,$B40,97)*IF($W40=1,GT40+ADI40,GT40)=1,IF(AND($E40=2,IF($W40=1,AIX40,MI40)=0),1000000000,IF($V40=1,INDEX('calcA'!$D$130:$EQ$169,$B40,97)+IF(AND($E40=1,MI40=0),25,0),IF($F40&gt;0,INDEX('calcA'!CV$110:CV$114,$F40+1)+IF(AND($E40=1,MI40=0),1000,0),MIN(TY40,20)*400+(IF('calcA'!CV$106=1,1-GU40,0))*150+15+'calcA'!CV$5*100000+IF(AND($E40=1,MI40=0),50000,0))+IF($H40=1,INDEX('calcA'!$D$180:$EQ$219,$B40,97)*4000,0)-IF(AND($U40=1,'calcA'!CV$117=1,GU40=0),2000,0))),1000000000))</f>
        <v/>
      </c>
      <c r="RY40">
        <f>IF($B40=0,1000000000,IF(INDEX('calcA'!$D$60:$EQ$99,$B40,98)*IF($W40=1,GU40+ADJ40,GU40)=1,IF(AND($E40=2,IF($W40=1,AIY40,MJ40)=0),1000000000,IF($V40=1,INDEX('calcA'!$D$130:$EQ$169,$B40,98)+IF(AND($E40=1,MJ40=0),25,0),IF($F40&gt;0,INDEX('calcA'!CW$110:CW$114,$F40+1)+IF(AND($E40=1,MJ40=0),1000,0),MIN(TY40,20)*400+(IF('calcA'!CV$106=1,1-GT40,0)+IF('calcA'!CW$106=1,1-GV40,0))*150+25+'calcA'!CW$5*100000+IF(AND($E40=1,MJ40=0),50000,0))+IF($H40=1,INDEX('calcA'!$D$180:$EQ$219,$B40,98)*4000,0)-IF(AND('calcA'!CV$117=1,XT40&gt;0),2000,0)-IF(AND($U40=1,'calcA'!CW$117=1,GV40=0),2000,0))),1000000000))</f>
        <v/>
      </c>
      <c r="RZ40">
        <f>IF($B40=0,1000000000,IF(INDEX('calcA'!$D$60:$EQ$99,$B40,99)*IF($W40=1,GV40+ADK40,GV40)=1,IF(AND($E40=2,IF($W40=1,AIZ40,MK40)=0),1000000000,IF($V40=1,INDEX('calcA'!$D$130:$EQ$169,$B40,99)+IF(AND($E40=1,MK40=0),25,0),IF($F40&gt;0,INDEX('calcA'!CX$110:CX$114,$F40+1)+IF(AND($E40=1,MK40=0),1000,0),MIN(TY40,20)*400+(IF('calcA'!CW$106=1,1-GU40,0)+IF('calcA'!CX$106=1,1-GW40,0))*150+35+'calcA'!CX$5*100000+IF(AND($E40=1,MK40=0),50000,0))+IF($H40=1,INDEX('calcA'!$D$180:$EQ$219,$B40,99)*4000,0)-IF(AND('calcA'!CW$117=1,XU40&gt;0),2000,0)-IF(AND($U40=1,'calcA'!CX$117=1,GW40=0),2000,0))),1000000000))</f>
        <v/>
      </c>
      <c r="SA40">
        <f>IF($B40=0,1000000000,IF(INDEX('calcA'!$D$60:$EQ$99,$B40,100)*IF($W40=1,GW40+ADL40,GW40)=1,IF(AND($E40=2,IF($W40=1,AJA40,ML40)=0),1000000000,IF($V40=1,INDEX('calcA'!$D$130:$EQ$169,$B40,100)+IF(AND($E40=1,ML40=0),25,0),IF($F40&gt;0,INDEX('calcA'!CY$110:CY$114,$F40+1)+IF(AND($E40=1,ML40=0),1000,0),MIN(TY40,20)*400+(IF('calcA'!CX$106=1,1-GV40,0)+IF('calcA'!CY$106=1,1-GX40,0))*150+45+'calcA'!CY$5*100000+IF(AND($E40=1,ML40=0),50000,0))+IF($H40=1,INDEX('calcA'!$D$180:$EQ$219,$B40,100)*4000,0)-IF(AND('calcA'!CX$117=1,XV40&gt;0),2000,0)-IF(AND($U40=1,'calcA'!CY$117=1,GX40=0),2000,0))),1000000000))</f>
        <v/>
      </c>
      <c r="SB40">
        <f>IF($B40=0,1000000000,IF(INDEX('calcA'!$D$60:$EQ$99,$B40,101)*IF($W40=1,GX40+ADM40,GX40)=1,IF(AND($E40=2,IF($W40=1,AJB40,MM40)=0),1000000000,IF($V40=1,INDEX('calcA'!$D$130:$EQ$169,$B40,101)+IF(AND($E40=1,MM40=0),25,0),IF($F40&gt;0,INDEX('calcA'!CZ$110:CZ$114,$F40+1)+IF(AND($E40=1,MM40=0),1000,0),MIN(TY40,20)*400+(IF('calcA'!CY$106=1,1-GW40,0)+IF('calcA'!CZ$106=1,1-GY40,0))*150+55+'calcA'!CZ$5*100000+IF(AND($E40=1,MM40=0),50000,0))+IF($H40=1,INDEX('calcA'!$D$180:$EQ$219,$B40,101)*4000,0)-IF(AND('calcA'!CY$117=1,XW40&gt;0),2000,0)-IF(AND($U40=1,'calcA'!CZ$117=1,GY40=0),2000,0))),1000000000))</f>
        <v/>
      </c>
      <c r="SC40">
        <f>IF($B40=0,1000000000,IF(INDEX('calcA'!$D$60:$EQ$99,$B40,102)*IF($W40=1,GY40+ADN40,GY40)=1,IF(AND($E40=2,IF($W40=1,AJC40,MN40)=0),1000000000,IF($V40=1,INDEX('calcA'!$D$130:$EQ$169,$B40,102)+IF(AND($E40=1,MN40=0),25,0),IF($F40&gt;0,INDEX('calcA'!DA$110:DA$114,$F40+1)+IF(AND($E40=1,MN40=0),1000,0),MIN(TY40,20)*400+(IF('calcA'!CZ$106=1,1-GX40,0)+IF('calcA'!DA$106=1,1-GZ40,0))*150+65+'calcA'!DA$5*100000+IF(AND($E40=1,MN40=0),50000,0))+IF($H40=1,INDEX('calcA'!$D$180:$EQ$219,$B40,102)*4000,0)-IF(AND('calcA'!CZ$117=1,XX40&gt;0),2000,0)-IF(AND($U40=1,'calcA'!DA$117=1,GZ40=0),2000,0))),1000000000))</f>
        <v/>
      </c>
      <c r="SD40">
        <f>IF($B40=0,1000000000,IF(INDEX('calcA'!$D$60:$EQ$99,$B40,103)*IF($W40=1,GZ40+ADO40,GZ40)=1,IF(AND($E40=2,IF($W40=1,AJD40,MO40)=0),1000000000,IF($V40=1,INDEX('calcA'!$D$130:$EQ$169,$B40,103)+IF(AND($E40=1,MO40=0),25,0),IF($F40&gt;0,INDEX('calcA'!DB$110:DB$114,$F40+1)+IF(AND($E40=1,MO40=0),1000,0),MIN(TY40,20)*400+(IF('calcA'!DA$106=1,1-GY40,0)+IF('calcA'!DB$106=1,1-HA40,0))*150+75+'calcA'!DB$5*100000+IF(AND($E40=1,MO40=0),50000,0))+IF($H40=1,INDEX('calcA'!$D$180:$EQ$219,$B40,103)*4000,0)-IF(AND('calcA'!DA$117=1,XY40&gt;0),2000,0)-IF(AND($U40=1,'calcA'!DB$117=1,HA40=0),2000,0))),1000000000))</f>
        <v/>
      </c>
      <c r="SE40">
        <f>IF($B40=0,1000000000,IF(INDEX('calcA'!$D$60:$EQ$99,$B40,104)*IF($W40=1,HA40+ADP40,HA40)=1,IF(AND($E40=2,IF($W40=1,AJE40,MP40)=0),1000000000,IF($V40=1,INDEX('calcA'!$D$130:$EQ$169,$B40,104)+IF(AND($E40=1,MP40=0),25,0),IF($F40&gt;0,INDEX('calcA'!DC$110:DC$114,$F40+1)+IF(AND($E40=1,MP40=0),1000,0),MIN(TY40,20)*400+(IF('calcA'!DB$106=1,1-GZ40,0)+IF('calcA'!DC$106=1,1-HB40,0))*150+85+'calcA'!DC$5*100000+IF(AND($E40=1,MP40=0),50000,0))+IF($H40=1,INDEX('calcA'!$D$180:$EQ$219,$B40,104)*4000,0)-IF(AND('calcA'!DB$117=1,XZ40&gt;0),2000,0)-IF(AND($U40=1,'calcA'!DC$117=1,HB40=0),2000,0))),1000000000))</f>
        <v/>
      </c>
      <c r="SF40">
        <f>IF($B40=0,1000000000,IF(INDEX('calcA'!$D$60:$EQ$99,$B40,105)*IF($W40=1,HB40+ADQ40,HB40)=1,IF(AND($E40=2,IF($W40=1,AJF40,MQ40)=0),1000000000,IF($V40=1,INDEX('calcA'!$D$130:$EQ$169,$B40,105)+IF(AND($E40=1,MQ40=0),25,0),IF($F40&gt;0,INDEX('calcA'!DD$110:DD$114,$F40+1)+IF(AND($E40=1,MQ40=0),1000,0),MIN(TY40,20)*400+(IF('calcA'!DC$106=1,1-HA40,0)+IF('calcA'!DD$106=1,1-HC40,0))*150+95+'calcA'!DD$5*100000+IF(AND($E40=1,MQ40=0),50000,0))+IF($H40=1,INDEX('calcA'!$D$180:$EQ$219,$B40,105)*4000,0)-IF(AND('calcA'!DC$117=1,YA40&gt;0),2000,0)-IF(AND($U40=1,'calcA'!DD$117=1,HC40=0),2000,0))),1000000000))</f>
        <v/>
      </c>
      <c r="SG40">
        <f>IF($B40=0,1000000000,IF(INDEX('calcA'!$D$60:$EQ$99,$B40,106)*IF($W40=1,HC40+ADR40,HC40)=1,IF(AND($E40=2,IF($W40=1,AJG40,MR40)=0),1000000000,IF($V40=1,INDEX('calcA'!$D$130:$EQ$169,$B40,106)+IF(AND($E40=1,MR40=0),25,0),IF($F40&gt;0,INDEX('calcA'!DE$110:DE$114,$F40+1)+IF(AND($E40=1,MR40=0),1000,0),MIN(TY40,20)*400+(IF('calcA'!DD$106=1,1-HB40,0)+IF('calcA'!DE$106=1,1-HD40,0))*150+105+'calcA'!DE$5*100000+IF(AND($E40=1,MR40=0),50000,0))+IF($H40=1,INDEX('calcA'!$D$180:$EQ$219,$B40,106)*4000,0)-IF(AND('calcA'!DD$117=1,YB40&gt;0),2000,0)-IF(AND($U40=1,'calcA'!DE$117=1,HD40=0),2000,0))),1000000000))</f>
        <v/>
      </c>
      <c r="SH40">
        <f>IF($B40=0,1000000000,IF(INDEX('calcA'!$D$60:$EQ$99,$B40,107)*IF($W40=1,HD40+ADS40,HD40)=1,IF(AND($E40=2,IF($W40=1,AJH40,MS40)=0),1000000000,IF($V40=1,INDEX('calcA'!$D$130:$EQ$169,$B40,107)+IF(AND($E40=1,MS40=0),25,0),IF($F40&gt;0,INDEX('calcA'!DF$110:DF$114,$F40+1)+IF(AND($E40=1,MS40=0),1000,0),MIN(TY40,20)*400+(IF('calcA'!DE$106=1,1-HC40,0)+IF('calcA'!DF$106=1,1-HE40,0))*150+115+'calcA'!DF$5*100000+IF(AND($E40=1,MS40=0),50000,0))+IF($H40=1,INDEX('calcA'!$D$180:$EQ$219,$B40,107)*4000,0)-IF(AND('calcA'!DE$117=1,YC40&gt;0),2000,0)-IF(AND($U40=1,'calcA'!DF$117=1,HE40=0),2000,0))),1000000000))</f>
        <v/>
      </c>
      <c r="SI40">
        <f>IF($B40=0,1000000000,IF(INDEX('calcA'!$D$60:$EQ$99,$B40,108)*IF($W40=1,HE40+ADT40,HE40)=1,IF(AND($E40=2,IF($W40=1,AJI40,MT40)=0),1000000000,IF($V40=1,INDEX('calcA'!$D$130:$EQ$169,$B40,108)+IF(AND($E40=1,MT40=0),25,0),IF($F40&gt;0,INDEX('calcA'!DG$110:DG$114,$F40+1)+IF(AND($E40=1,MT40=0),1000,0),MIN(TY40,20)*400+(IF('calcA'!DF$106=1,1-HD40,0)+IF('calcA'!DG$106=1,1-HF40,0))*150+125+'calcA'!DG$5*100000+IF(AND($E40=1,MT40=0),50000,0))+IF($H40=1,INDEX('calcA'!$D$180:$EQ$219,$B40,108)*4000,0)-IF(AND('calcA'!DF$117=1,YD40&gt;0),2000,0)-IF(AND($U40=1,'calcA'!DG$117=1,HF40=0),2000,0))),1000000000))</f>
        <v/>
      </c>
      <c r="SJ40">
        <f>IF($B40=0,1000000000,IF(INDEX('calcA'!$D$60:$EQ$99,$B40,109)*IF($W40=1,HF40+ADU40,HF40)=1,IF(AND($E40=2,IF($W40=1,AJJ40,MU40)=0),1000000000,IF($V40=1,INDEX('calcA'!$D$130:$EQ$169,$B40,109)+IF(AND($E40=1,MU40=0),25,0),IF($F40&gt;0,INDEX('calcA'!DH$110:DH$114,$F40+1)+IF(AND($E40=1,MU40=0),1000,0),MIN(TY40,20)*400+(IF('calcA'!DG$106=1,1-HE40,0)+IF('calcA'!DH$106=1,1-HG40,0))*150+135+'calcA'!DH$5*100000+IF(AND($E40=1,MU40=0),50000,0))+IF($H40=1,INDEX('calcA'!$D$180:$EQ$219,$B40,109)*4000,0)-IF(AND('calcA'!DG$117=1,YE40&gt;0),2000,0)-IF(AND($U40=1,'calcA'!DH$117=1,HG40=0),2000,0))),1000000000))</f>
        <v/>
      </c>
      <c r="SK40">
        <f>IF($B40=0,1000000000,IF(INDEX('calcA'!$D$60:$EQ$99,$B40,110)*IF($W40=1,HG40+ADV40,HG40)=1,IF(AND($E40=2,IF($W40=1,AJK40,MV40)=0),1000000000,IF($V40=1,INDEX('calcA'!$D$130:$EQ$169,$B40,110)+IF(AND($E40=1,MV40=0),25,0),IF($F40&gt;0,INDEX('calcA'!DI$110:DI$114,$F40+1)+IF(AND($E40=1,MV40=0),1000,0),MIN(TY40,20)*400+(IF('calcA'!DH$106=1,1-HF40,0)+IF('calcA'!DI$106=1,1-HH40,0))*150+145+'calcA'!DI$5*100000+IF(AND($E40=1,MV40=0),50000,0))+IF($H40=1,INDEX('calcA'!$D$180:$EQ$219,$B40,110)*4000,0)-IF(AND('calcA'!DH$117=1,YF40&gt;0),2000,0)-IF(AND($U40=1,'calcA'!DI$117=1,HH40=0),2000,0))),1000000000))</f>
        <v/>
      </c>
      <c r="SL40">
        <f>IF($B40=0,1000000000,IF(INDEX('calcA'!$D$60:$EQ$99,$B40,111)*IF($W40=1,HH40+ADW40,HH40)=1,IF(AND($E40=2,IF($W40=1,AJL40,MW40)=0),1000000000,IF($V40=1,INDEX('calcA'!$D$130:$EQ$169,$B40,111)+IF(AND($E40=1,MW40=0),25,0),IF($F40&gt;0,INDEX('calcA'!DJ$110:DJ$114,$F40+1)+IF(AND($E40=1,MW40=0),1000,0),MIN(TY40,20)*400+(IF('calcA'!DI$106=1,1-HG40,0)+IF('calcA'!DJ$106=1,1-HI40,0))*150+155+'calcA'!DJ$5*100000+IF(AND($E40=1,MW40=0),50000,0))+IF($H40=1,INDEX('calcA'!$D$180:$EQ$219,$B40,111)*4000,0)-IF(AND('calcA'!DI$117=1,YG40&gt;0),2000,0)-IF(AND($U40=1,'calcA'!DJ$117=1,HI40=0),2000,0))),1000000000))</f>
        <v/>
      </c>
      <c r="SM40">
        <f>IF($B40=0,1000000000,IF(INDEX('calcA'!$D$60:$EQ$99,$B40,112)*IF($W40=1,HI40+ADX40,HI40)=1,IF(AND($E40=2,IF($W40=1,AJM40,MX40)=0),1000000000,IF($V40=1,INDEX('calcA'!$D$130:$EQ$169,$B40,112)+IF(AND($E40=1,MX40=0),25,0),IF($F40&gt;0,INDEX('calcA'!DK$110:DK$114,$F40+1)+IF(AND($E40=1,MX40=0),1000,0),MIN(TY40,20)*400+(IF('calcA'!DJ$106=1,1-HH40,0)+IF('calcA'!DK$106=1,1-HJ40,0))*150+165+'calcA'!DK$5*100000+IF(AND($E40=1,MX40=0),50000,0))+IF($H40=1,INDEX('calcA'!$D$180:$EQ$219,$B40,112)*4000,0)-IF(AND('calcA'!DJ$117=1,YH40&gt;0),2000,0)-IF(AND($U40=1,'calcA'!DK$117=1,HJ40=0),2000,0))),1000000000))</f>
        <v/>
      </c>
      <c r="SN40">
        <f>IF($B40=0,1000000000,IF(INDEX('calcA'!$D$60:$EQ$99,$B40,113)*IF($W40=1,HJ40+ADY40,HJ40)=1,IF(AND($E40=2,IF($W40=1,AJN40,MY40)=0),1000000000,IF($V40=1,INDEX('calcA'!$D$130:$EQ$169,$B40,113)+IF(AND($E40=1,MY40=0),25,0),IF($F40&gt;0,INDEX('calcA'!DL$110:DL$114,$F40+1)+IF(AND($E40=1,MY40=0),1000,0),MIN(TY40,20)*400+(IF('calcA'!DK$106=1,1-HI40,0)+IF('calcA'!DL$106=1,1-HK40,0))*150+175+'calcA'!DL$5*100000+IF(AND($E40=1,MY40=0),50000,0))+IF($H40=1,INDEX('calcA'!$D$180:$EQ$219,$B40,113)*4000,0)-IF(AND('calcA'!DK$117=1,YI40&gt;0),2000,0)-IF(AND($U40=1,'calcA'!DL$117=1,HK40=0),2000,0))),1000000000))</f>
        <v/>
      </c>
      <c r="SO40">
        <f>IF($B40=0,1000000000,IF(INDEX('calcA'!$D$60:$EQ$99,$B40,114)*IF($W40=1,HK40+ADZ40,HK40)=1,IF(AND($E40=2,IF($W40=1,AJO40,MZ40)=0),1000000000,IF($V40=1,INDEX('calcA'!$D$130:$EQ$169,$B40,114)+IF(AND($E40=1,MZ40=0),25,0),IF($F40&gt;0,INDEX('calcA'!DM$110:DM$114,$F40+1)+IF(AND($E40=1,MZ40=0),1000,0),MIN(TY40,20)*400+(IF('calcA'!DL$106=1,1-HJ40,0)+IF('calcA'!DM$106=1,1-HL40,0))*150+185+'calcA'!DM$5*100000+IF(AND($E40=1,MZ40=0),50000,0))+IF($H40=1,INDEX('calcA'!$D$180:$EQ$219,$B40,114)*4000,0)-IF(AND('calcA'!DL$117=1,YJ40&gt;0),2000,0)-IF(AND($U40=1,'calcA'!DM$117=1,HL40=0),2000,0))),1000000000))</f>
        <v/>
      </c>
      <c r="SP40">
        <f>IF($B40=0,1000000000,IF(INDEX('calcA'!$D$60:$EQ$99,$B40,115)*IF($W40=1,HL40+AEA40,HL40)=1,IF(AND($E40=2,IF($W40=1,AJP40,NA40)=0),1000000000,IF($V40=1,INDEX('calcA'!$D$130:$EQ$169,$B40,115)+IF(AND($E40=1,NA40=0),25,0),IF($F40&gt;0,INDEX('calcA'!DN$110:DN$114,$F40+1)+IF(AND($E40=1,NA40=0),1000,0),MIN(TY40,20)*400+(IF('calcA'!DM$106=1,1-HK40,0)+IF('calcA'!DN$106=1,1-HM40,0))*150+195+'calcA'!DN$5*100000+IF(AND($E40=1,NA40=0),50000,0))+IF($H40=1,INDEX('calcA'!$D$180:$EQ$219,$B40,115)*4000,0)-IF(AND('calcA'!DM$117=1,YK40&gt;0),2000,0)-IF(AND($U40=1,'calcA'!DN$117=1,HM40=0),2000,0))),1000000000))</f>
        <v/>
      </c>
      <c r="SQ40">
        <f>IF($B40=0,1000000000,IF(INDEX('calcA'!$D$60:$EQ$99,$B40,116)*IF($W40=1,HM40+AEB40,HM40)=1,IF(AND($E40=2,IF($W40=1,AJQ40,NB40)=0),1000000000,IF($V40=1,INDEX('calcA'!$D$130:$EQ$169,$B40,116)+IF(AND($E40=1,NB40=0),25,0),IF($F40&gt;0,INDEX('calcA'!DO$110:DO$114,$F40+1)+IF(AND($E40=1,NB40=0),1000,0),MIN(TY40,20)*400+(IF('calcA'!DN$106=1,1-HL40,0)+IF('calcA'!DO$106=1,1-HN40,0))*150+205+'calcA'!DO$5*100000+IF(AND($E40=1,NB40=0),50000,0))+IF($H40=1,INDEX('calcA'!$D$180:$EQ$219,$B40,116)*4000,0)-IF(AND('calcA'!DN$117=1,YL40&gt;0),2000,0)-IF(AND($U40=1,'calcA'!DO$117=1,HN40=0),2000,0))),1000000000))</f>
        <v/>
      </c>
      <c r="SR40">
        <f>IF($B40=0,1000000000,IF(INDEX('calcA'!$D$60:$EQ$99,$B40,117)*IF($W40=1,HN40+AEC40,HN40)=1,IF(AND($E40=2,IF($W40=1,AJR40,NC40)=0),1000000000,IF($V40=1,INDEX('calcA'!$D$130:$EQ$169,$B40,117)+IF(AND($E40=1,NC40=0),25,0),IF($F40&gt;0,INDEX('calcA'!DP$110:DP$114,$F40+1)+IF(AND($E40=1,NC40=0),1000,0),MIN(TY40,20)*400+(IF('calcA'!DO$106=1,1-HM40,0)+IF('calcA'!DP$106=1,1-HO40,0))*150+215+'calcA'!DP$5*100000+IF(AND($E40=1,NC40=0),50000,0))+IF($H40=1,INDEX('calcA'!$D$180:$EQ$219,$B40,117)*4000,0)-IF(AND('calcA'!DO$117=1,YM40&gt;0),2000,0)-IF(AND($U40=1,'calcA'!DP$117=1,HO40=0),2000,0))),1000000000))</f>
        <v/>
      </c>
      <c r="SS40">
        <f>IF($B40=0,1000000000,IF(INDEX('calcA'!$D$60:$EQ$99,$B40,118)*IF($W40=1,HO40+AED40,HO40)=1,IF(AND($E40=2,IF($W40=1,AJS40,ND40)=0),1000000000,IF($V40=1,INDEX('calcA'!$D$130:$EQ$169,$B40,118)+IF(AND($E40=1,ND40=0),25,0),IF($F40&gt;0,INDEX('calcA'!DQ$110:DQ$114,$F40+1)+IF(AND($E40=1,ND40=0),1000,0),MIN(TY40,20)*400+(IF('calcA'!DP$106=1,1-HN40,0)+IF('calcA'!DQ$106=1,1-HP40,0))*150+225+'calcA'!DQ$5*100000+IF(AND($E40=1,ND40=0),50000,0))+IF($H40=1,INDEX('calcA'!$D$180:$EQ$219,$B40,118)*4000,0)-IF(AND('calcA'!DP$117=1,YN40&gt;0),2000,0)-IF(AND($U40=1,'calcA'!DQ$117=1,HP40=0),2000,0))),1000000000))</f>
        <v/>
      </c>
      <c r="ST40">
        <f>IF($B40=0,1000000000,IF(INDEX('calcA'!$D$60:$EQ$99,$B40,119)*IF($W40=1,HP40+AEE40,HP40)=1,IF(AND($E40=2,IF($W40=1,AJT40,NE40)=0),1000000000,IF($V40=1,INDEX('calcA'!$D$130:$EQ$169,$B40,119)+IF(AND($E40=1,NE40=0),25,0),IF($F40&gt;0,INDEX('calcA'!DR$110:DR$114,$F40+1)+IF(AND($E40=1,NE40=0),1000,0),MIN(TY40,20)*400+(IF('calcA'!DQ$106=1,1-HO40,0)+IF('calcA'!DR$106=1,1-HQ40,0))*150+235+'calcA'!DR$5*100000+IF(AND($E40=1,NE40=0),50000,0))+IF($H40=1,INDEX('calcA'!$D$180:$EQ$219,$B40,119)*4000,0)-IF(AND('calcA'!DQ$117=1,YO40&gt;0),2000,0)-IF(AND($U40=1,'calcA'!DR$117=1,HQ40=0),2000,0))),1000000000))</f>
        <v/>
      </c>
      <c r="SU40">
        <f>IF($B40=0,1000000000,IF(INDEX('calcA'!$D$60:$EQ$99,$B40,120)*IF($W40=1,HQ40+AEF40,HQ40)=1,IF(AND($E40=2,IF($W40=1,AJU40,NF40)=0),1000000000,IF($V40=1,INDEX('calcA'!$D$130:$EQ$169,$B40,120)+IF(AND($E40=1,NF40=0),25,0),IF($F40&gt;0,INDEX('calcA'!DS$110:DS$114,$F40+1)+IF(AND($E40=1,NF40=0),1000,0),MIN(TY40,20)*400+(IF('calcA'!DR$106=1,1-HP40,0))*150+245+'calcA'!DS$5*100000+IF(AND($E40=1,NF40=0),50000,0))+IF($H40=1,INDEX('calcA'!$D$180:$EQ$219,$B40,120)*4000,0)-IF(AND('calcA'!DR$117=1,YP40&gt;0),2000,0))),1000000000))</f>
        <v/>
      </c>
      <c r="SV40">
        <f>IF($B40=0,1000000000,IF(INDEX('calcA'!$D$60:$EQ$99,$B40,121)*IF($W40=1,HR40+AEG40,HR40)=1,IF(AND($E40=2,IF($W40=1,AJV40,NG40)=0),1000000000,IF($V40=1,INDEX('calcA'!$D$130:$EQ$169,$B40,121)+IF(AND($E40=1,NG40=0),25,0),IF($F40&gt;0,INDEX('calcA'!DT$110:DT$114,$F40+1)+IF(AND($E40=1,NG40=0),1000,0),MIN(TZ40,20)*400+(IF('calcA'!DT$106=1,1-HS40,0))*150+16+'calcA'!DT$5*100000+IF(AND($E40=1,NG40=0),50000,0))+IF($H40=1,INDEX('calcA'!$D$180:$EQ$219,$B40,121)*4000,0)-IF(AND($U40=1,'calcA'!DT$117=1,HS40=0),2000,0))),1000000000))</f>
        <v/>
      </c>
      <c r="SW40">
        <f>IF($B40=0,1000000000,IF(INDEX('calcA'!$D$60:$EQ$99,$B40,122)*IF($W40=1,HS40+AEH40,HS40)=1,IF(AND($E40=2,IF($W40=1,AJW40,NH40)=0),1000000000,IF($V40=1,INDEX('calcA'!$D$130:$EQ$169,$B40,122)+IF(AND($E40=1,NH40=0),25,0),IF($F40&gt;0,INDEX('calcA'!DU$110:DU$114,$F40+1)+IF(AND($E40=1,NH40=0),1000,0),MIN(TZ40,20)*400+(IF('calcA'!DT$106=1,1-HR40,0)+IF('calcA'!DU$106=1,1-HT40,0))*150+26+'calcA'!DU$5*100000+IF(AND($E40=1,NH40=0),50000,0))+IF($H40=1,INDEX('calcA'!$D$180:$EQ$219,$B40,122)*4000,0)-IF(AND('calcA'!DT$117=1,YR40&gt;0),2000,0)-IF(AND($U40=1,'calcA'!DU$117=1,HT40=0),2000,0))),1000000000))</f>
        <v/>
      </c>
      <c r="SX40">
        <f>IF($B40=0,1000000000,IF(INDEX('calcA'!$D$60:$EQ$99,$B40,123)*IF($W40=1,HT40+AEI40,HT40)=1,IF(AND($E40=2,IF($W40=1,AJX40,NI40)=0),1000000000,IF($V40=1,INDEX('calcA'!$D$130:$EQ$169,$B40,123)+IF(AND($E40=1,NI40=0),25,0),IF($F40&gt;0,INDEX('calcA'!DV$110:DV$114,$F40+1)+IF(AND($E40=1,NI40=0),1000,0),MIN(TZ40,20)*400+(IF('calcA'!DU$106=1,1-HS40,0)+IF('calcA'!DV$106=1,1-HU40,0))*150+36+'calcA'!DV$5*100000+IF(AND($E40=1,NI40=0),50000,0))+IF($H40=1,INDEX('calcA'!$D$180:$EQ$219,$B40,123)*4000,0)-IF(AND('calcA'!DU$117=1,YS40&gt;0),2000,0)-IF(AND($U40=1,'calcA'!DV$117=1,HU40=0),2000,0))),1000000000))</f>
        <v/>
      </c>
      <c r="SY40">
        <f>IF($B40=0,1000000000,IF(INDEX('calcA'!$D$60:$EQ$99,$B40,124)*IF($W40=1,HU40+AEJ40,HU40)=1,IF(AND($E40=2,IF($W40=1,AJY40,NJ40)=0),1000000000,IF($V40=1,INDEX('calcA'!$D$130:$EQ$169,$B40,124)+IF(AND($E40=1,NJ40=0),25,0),IF($F40&gt;0,INDEX('calcA'!DW$110:DW$114,$F40+1)+IF(AND($E40=1,NJ40=0),1000,0),MIN(TZ40,20)*400+(IF('calcA'!DV$106=1,1-HT40,0)+IF('calcA'!DW$106=1,1-HV40,0))*150+46+'calcA'!DW$5*100000+IF(AND($E40=1,NJ40=0),50000,0))+IF($H40=1,INDEX('calcA'!$D$180:$EQ$219,$B40,124)*4000,0)-IF(AND('calcA'!DV$117=1,YT40&gt;0),2000,0)-IF(AND($U40=1,'calcA'!DW$117=1,HV40=0),2000,0))),1000000000))</f>
        <v/>
      </c>
      <c r="SZ40">
        <f>IF($B40=0,1000000000,IF(INDEX('calcA'!$D$60:$EQ$99,$B40,125)*IF($W40=1,HV40+AEK40,HV40)=1,IF(AND($E40=2,IF($W40=1,AJZ40,NK40)=0),1000000000,IF($V40=1,INDEX('calcA'!$D$130:$EQ$169,$B40,125)+IF(AND($E40=1,NK40=0),25,0),IF($F40&gt;0,INDEX('calcA'!DX$110:DX$114,$F40+1)+IF(AND($E40=1,NK40=0),1000,0),MIN(TZ40,20)*400+(IF('calcA'!DW$106=1,1-HU40,0)+IF('calcA'!DX$106=1,1-HW40,0))*150+56+'calcA'!DX$5*100000+IF(AND($E40=1,NK40=0),50000,0))+IF($H40=1,INDEX('calcA'!$D$180:$EQ$219,$B40,125)*4000,0)-IF(AND('calcA'!DW$117=1,YU40&gt;0),2000,0)-IF(AND($U40=1,'calcA'!DX$117=1,HW40=0),2000,0))),1000000000))</f>
        <v/>
      </c>
      <c r="TA40">
        <f>IF($B40=0,1000000000,IF(INDEX('calcA'!$D$60:$EQ$99,$B40,126)*IF($W40=1,HW40+AEL40,HW40)=1,IF(AND($E40=2,IF($W40=1,AKA40,NL40)=0),1000000000,IF($V40=1,INDEX('calcA'!$D$130:$EQ$169,$B40,126)+IF(AND($E40=1,NL40=0),25,0),IF($F40&gt;0,INDEX('calcA'!DY$110:DY$114,$F40+1)+IF(AND($E40=1,NL40=0),1000,0),MIN(TZ40,20)*400+(IF('calcA'!DX$106=1,1-HV40,0)+IF('calcA'!DY$106=1,1-HX40,0))*150+66+'calcA'!DY$5*100000+IF(AND($E40=1,NL40=0),50000,0))+IF($H40=1,INDEX('calcA'!$D$180:$EQ$219,$B40,126)*4000,0)-IF(AND('calcA'!DX$117=1,YV40&gt;0),2000,0)-IF(AND($U40=1,'calcA'!DY$117=1,HX40=0),2000,0))),1000000000))</f>
        <v/>
      </c>
      <c r="TB40">
        <f>IF($B40=0,1000000000,IF(INDEX('calcA'!$D$60:$EQ$99,$B40,127)*IF($W40=1,HX40+AEM40,HX40)=1,IF(AND($E40=2,IF($W40=1,AKB40,NM40)=0),1000000000,IF($V40=1,INDEX('calcA'!$D$130:$EQ$169,$B40,127)+IF(AND($E40=1,NM40=0),25,0),IF($F40&gt;0,INDEX('calcA'!DZ$110:DZ$114,$F40+1)+IF(AND($E40=1,NM40=0),1000,0),MIN(TZ40,20)*400+(IF('calcA'!DY$106=1,1-HW40,0)+IF('calcA'!DZ$106=1,1-HY40,0))*150+76+'calcA'!DZ$5*100000+IF(AND($E40=1,NM40=0),50000,0))+IF($H40=1,INDEX('calcA'!$D$180:$EQ$219,$B40,127)*4000,0)-IF(AND('calcA'!DY$117=1,YW40&gt;0),2000,0)-IF(AND($U40=1,'calcA'!DZ$117=1,HY40=0),2000,0))),1000000000))</f>
        <v/>
      </c>
      <c r="TC40">
        <f>IF($B40=0,1000000000,IF(INDEX('calcA'!$D$60:$EQ$99,$B40,128)*IF($W40=1,HY40+AEN40,HY40)=1,IF(AND($E40=2,IF($W40=1,AKC40,NN40)=0),1000000000,IF($V40=1,INDEX('calcA'!$D$130:$EQ$169,$B40,128)+IF(AND($E40=1,NN40=0),25,0),IF($F40&gt;0,INDEX('calcA'!EA$110:EA$114,$F40+1)+IF(AND($E40=1,NN40=0),1000,0),MIN(TZ40,20)*400+(IF('calcA'!DZ$106=1,1-HX40,0)+IF('calcA'!EA$106=1,1-HZ40,0))*150+86+'calcA'!EA$5*100000+IF(AND($E40=1,NN40=0),50000,0))+IF($H40=1,INDEX('calcA'!$D$180:$EQ$219,$B40,128)*4000,0)-IF(AND('calcA'!DZ$117=1,YX40&gt;0),2000,0)-IF(AND($U40=1,'calcA'!EA$117=1,HZ40=0),2000,0))),1000000000))</f>
        <v/>
      </c>
      <c r="TD40">
        <f>IF($B40=0,1000000000,IF(INDEX('calcA'!$D$60:$EQ$99,$B40,129)*IF($W40=1,HZ40+AEO40,HZ40)=1,IF(AND($E40=2,IF($W40=1,AKD40,NO40)=0),1000000000,IF($V40=1,INDEX('calcA'!$D$130:$EQ$169,$B40,129)+IF(AND($E40=1,NO40=0),25,0),IF($F40&gt;0,INDEX('calcA'!EB$110:EB$114,$F40+1)+IF(AND($E40=1,NO40=0),1000,0),MIN(TZ40,20)*400+(IF('calcA'!EA$106=1,1-HY40,0)+IF('calcA'!EB$106=1,1-IA40,0))*150+96+'calcA'!EB$5*100000+IF(AND($E40=1,NO40=0),50000,0))+IF($H40=1,INDEX('calcA'!$D$180:$EQ$219,$B40,129)*4000,0)-IF(AND('calcA'!EA$117=1,YY40&gt;0),2000,0)-IF(AND($U40=1,'calcA'!EB$117=1,IA40=0),2000,0))),1000000000))</f>
        <v/>
      </c>
      <c r="TE40">
        <f>IF($B40=0,1000000000,IF(INDEX('calcA'!$D$60:$EQ$99,$B40,130)*IF($W40=1,IA40+AEP40,IA40)=1,IF(AND($E40=2,IF($W40=1,AKE40,NP40)=0),1000000000,IF($V40=1,INDEX('calcA'!$D$130:$EQ$169,$B40,130)+IF(AND($E40=1,NP40=0),25,0),IF($F40&gt;0,INDEX('calcA'!EC$110:EC$114,$F40+1)+IF(AND($E40=1,NP40=0),1000,0),MIN(TZ40,20)*400+(IF('calcA'!EB$106=1,1-HZ40,0)+IF('calcA'!EC$106=1,1-IB40,0))*150+106+'calcA'!EC$5*100000+IF(AND($E40=1,NP40=0),50000,0))+IF($H40=1,INDEX('calcA'!$D$180:$EQ$219,$B40,130)*4000,0)-IF(AND('calcA'!EB$117=1,YZ40&gt;0),2000,0)-IF(AND($U40=1,'calcA'!EC$117=1,IB40=0),2000,0))),1000000000))</f>
        <v/>
      </c>
      <c r="TF40">
        <f>IF($B40=0,1000000000,IF(INDEX('calcA'!$D$60:$EQ$99,$B40,131)*IF($W40=1,IB40+AEQ40,IB40)=1,IF(AND($E40=2,IF($W40=1,AKF40,NQ40)=0),1000000000,IF($V40=1,INDEX('calcA'!$D$130:$EQ$169,$B40,131)+IF(AND($E40=1,NQ40=0),25,0),IF($F40&gt;0,INDEX('calcA'!ED$110:ED$114,$F40+1)+IF(AND($E40=1,NQ40=0),1000,0),MIN(TZ40,20)*400+(IF('calcA'!EC$106=1,1-IA40,0)+IF('calcA'!ED$106=1,1-IC40,0))*150+116+'calcA'!ED$5*100000+IF(AND($E40=1,NQ40=0),50000,0))+IF($H40=1,INDEX('calcA'!$D$180:$EQ$219,$B40,131)*4000,0)-IF(AND('calcA'!EC$117=1,ZA40&gt;0),2000,0)-IF(AND($U40=1,'calcA'!ED$117=1,IC40=0),2000,0))),1000000000))</f>
        <v/>
      </c>
      <c r="TG40">
        <f>IF($B40=0,1000000000,IF(INDEX('calcA'!$D$60:$EQ$99,$B40,132)*IF($W40=1,IC40+AER40,IC40)=1,IF(AND($E40=2,IF($W40=1,AKG40,NR40)=0),1000000000,IF($V40=1,INDEX('calcA'!$D$130:$EQ$169,$B40,132)+IF(AND($E40=1,NR40=0),25,0),IF($F40&gt;0,INDEX('calcA'!EE$110:EE$114,$F40+1)+IF(AND($E40=1,NR40=0),1000,0),MIN(TZ40,20)*400+(IF('calcA'!ED$106=1,1-IB40,0)+IF('calcA'!EE$106=1,1-ID40,0))*150+126+'calcA'!EE$5*100000+IF(AND($E40=1,NR40=0),50000,0))+IF($H40=1,INDEX('calcA'!$D$180:$EQ$219,$B40,132)*4000,0)-IF(AND('calcA'!ED$117=1,ZB40&gt;0),2000,0)-IF(AND($U40=1,'calcA'!EE$117=1,ID40=0),2000,0))),1000000000))</f>
        <v/>
      </c>
      <c r="TH40">
        <f>IF($B40=0,1000000000,IF(INDEX('calcA'!$D$60:$EQ$99,$B40,133)*IF($W40=1,ID40+AES40,ID40)=1,IF(AND($E40=2,IF($W40=1,AKH40,NS40)=0),1000000000,IF($V40=1,INDEX('calcA'!$D$130:$EQ$169,$B40,133)+IF(AND($E40=1,NS40=0),25,0),IF($F40&gt;0,INDEX('calcA'!EF$110:EF$114,$F40+1)+IF(AND($E40=1,NS40=0),1000,0),MIN(TZ40,20)*400+(IF('calcA'!EE$106=1,1-IC40,0)+IF('calcA'!EF$106=1,1-IE40,0))*150+136+'calcA'!EF$5*100000+IF(AND($E40=1,NS40=0),50000,0))+IF($H40=1,INDEX('calcA'!$D$180:$EQ$219,$B40,133)*4000,0)-IF(AND('calcA'!EE$117=1,ZC40&gt;0),2000,0)-IF(AND($U40=1,'calcA'!EF$117=1,IE40=0),2000,0))),1000000000))</f>
        <v/>
      </c>
      <c r="TI40">
        <f>IF($B40=0,1000000000,IF(INDEX('calcA'!$D$60:$EQ$99,$B40,134)*IF($W40=1,IE40+AET40,IE40)=1,IF(AND($E40=2,IF($W40=1,AKI40,NT40)=0),1000000000,IF($V40=1,INDEX('calcA'!$D$130:$EQ$169,$B40,134)+IF(AND($E40=1,NT40=0),25,0),IF($F40&gt;0,INDEX('calcA'!EG$110:EG$114,$F40+1)+IF(AND($E40=1,NT40=0),1000,0),MIN(TZ40,20)*400+(IF('calcA'!EF$106=1,1-ID40,0)+IF('calcA'!EG$106=1,1-IF40,0))*150+146+'calcA'!EG$5*100000+IF(AND($E40=1,NT40=0),50000,0))+IF($H40=1,INDEX('calcA'!$D$180:$EQ$219,$B40,134)*4000,0)-IF(AND('calcA'!EF$117=1,ZD40&gt;0),2000,0)-IF(AND($U40=1,'calcA'!EG$117=1,IF40=0),2000,0))),1000000000))</f>
        <v/>
      </c>
      <c r="TJ40">
        <f>IF($B40=0,1000000000,IF(INDEX('calcA'!$D$60:$EQ$99,$B40,135)*IF($W40=1,IF40+AEU40,IF40)=1,IF(AND($E40=2,IF($W40=1,AKJ40,NU40)=0),1000000000,IF($V40=1,INDEX('calcA'!$D$130:$EQ$169,$B40,135)+IF(AND($E40=1,NU40=0),25,0),IF($F40&gt;0,INDEX('calcA'!EH$110:EH$114,$F40+1)+IF(AND($E40=1,NU40=0),1000,0),MIN(TZ40,20)*400+(IF('calcA'!EG$106=1,1-IE40,0)+IF('calcA'!EH$106=1,1-IG40,0))*150+156+'calcA'!EH$5*100000+IF(AND($E40=1,NU40=0),50000,0))+IF($H40=1,INDEX('calcA'!$D$180:$EQ$219,$B40,135)*4000,0)-IF(AND('calcA'!EG$117=1,ZE40&gt;0),2000,0)-IF(AND($U40=1,'calcA'!EH$117=1,IG40=0),2000,0))),1000000000))</f>
        <v/>
      </c>
      <c r="TK40">
        <f>IF($B40=0,1000000000,IF(INDEX('calcA'!$D$60:$EQ$99,$B40,136)*IF($W40=1,IG40+AEV40,IG40)=1,IF(AND($E40=2,IF($W40=1,AKK40,NV40)=0),1000000000,IF($V40=1,INDEX('calcA'!$D$130:$EQ$169,$B40,136)+IF(AND($E40=1,NV40=0),25,0),IF($F40&gt;0,INDEX('calcA'!EI$110:EI$114,$F40+1)+IF(AND($E40=1,NV40=0),1000,0),MIN(TZ40,20)*400+(IF('calcA'!EH$106=1,1-IF40,0)+IF('calcA'!EI$106=1,1-IH40,0))*150+166+'calcA'!EI$5*100000+IF(AND($E40=1,NV40=0),50000,0))+IF($H40=1,INDEX('calcA'!$D$180:$EQ$219,$B40,136)*4000,0)-IF(AND('calcA'!EH$117=1,ZF40&gt;0),2000,0)-IF(AND($U40=1,'calcA'!EI$117=1,IH40=0),2000,0))),1000000000))</f>
        <v/>
      </c>
      <c r="TL40">
        <f>IF($B40=0,1000000000,IF(INDEX('calcA'!$D$60:$EQ$99,$B40,137)*IF($W40=1,IH40+AEW40,IH40)=1,IF(AND($E40=2,IF($W40=1,AKL40,NW40)=0),1000000000,IF($V40=1,INDEX('calcA'!$D$130:$EQ$169,$B40,137)+IF(AND($E40=1,NW40=0),25,0),IF($F40&gt;0,INDEX('calcA'!EJ$110:EJ$114,$F40+1)+IF(AND($E40=1,NW40=0),1000,0),MIN(TZ40,20)*400+(IF('calcA'!EI$106=1,1-IG40,0)+IF('calcA'!EJ$106=1,1-II40,0))*150+176+'calcA'!EJ$5*100000+IF(AND($E40=1,NW40=0),50000,0))+IF($H40=1,INDEX('calcA'!$D$180:$EQ$219,$B40,137)*4000,0)-IF(AND('calcA'!EI$117=1,ZG40&gt;0),2000,0)-IF(AND($U40=1,'calcA'!EJ$117=1,II40=0),2000,0))),1000000000))</f>
        <v/>
      </c>
      <c r="TM40">
        <f>IF($B40=0,1000000000,IF(INDEX('calcA'!$D$60:$EQ$99,$B40,138)*IF($W40=1,II40+AEX40,II40)=1,IF(AND($E40=2,IF($W40=1,AKM40,NX40)=0),1000000000,IF($V40=1,INDEX('calcA'!$D$130:$EQ$169,$B40,138)+IF(AND($E40=1,NX40=0),25,0),IF($F40&gt;0,INDEX('calcA'!EK$110:EK$114,$F40+1)+IF(AND($E40=1,NX40=0),1000,0),MIN(TZ40,20)*400+(IF('calcA'!EJ$106=1,1-IH40,0)+IF('calcA'!EK$106=1,1-IJ40,0))*150+186+'calcA'!EK$5*100000+IF(AND($E40=1,NX40=0),50000,0))+IF($H40=1,INDEX('calcA'!$D$180:$EQ$219,$B40,138)*4000,0)-IF(AND('calcA'!EJ$117=1,ZH40&gt;0),2000,0)-IF(AND($U40=1,'calcA'!EK$117=1,IJ40=0),2000,0))),1000000000))</f>
        <v/>
      </c>
      <c r="TN40">
        <f>IF($B40=0,1000000000,IF(INDEX('calcA'!$D$60:$EQ$99,$B40,139)*IF($W40=1,IJ40+AEY40,IJ40)=1,IF(AND($E40=2,IF($W40=1,AKN40,NY40)=0),1000000000,IF($V40=1,INDEX('calcA'!$D$130:$EQ$169,$B40,139)+IF(AND($E40=1,NY40=0),25,0),IF($F40&gt;0,INDEX('calcA'!EL$110:EL$114,$F40+1)+IF(AND($E40=1,NY40=0),1000,0),MIN(TZ40,20)*400+(IF('calcA'!EK$106=1,1-II40,0)+IF('calcA'!EL$106=1,1-IK40,0))*150+196+'calcA'!EL$5*100000+IF(AND($E40=1,NY40=0),50000,0))+IF($H40=1,INDEX('calcA'!$D$180:$EQ$219,$B40,139)*4000,0)-IF(AND('calcA'!EK$117=1,ZI40&gt;0),2000,0)-IF(AND($U40=1,'calcA'!EL$117=1,IK40=0),2000,0))),1000000000))</f>
        <v/>
      </c>
      <c r="TO40">
        <f>IF($B40=0,1000000000,IF(INDEX('calcA'!$D$60:$EQ$99,$B40,140)*IF($W40=1,IK40+AEZ40,IK40)=1,IF(AND($E40=2,IF($W40=1,AKO40,NZ40)=0),1000000000,IF($V40=1,INDEX('calcA'!$D$130:$EQ$169,$B40,140)+IF(AND($E40=1,NZ40=0),25,0),IF($F40&gt;0,INDEX('calcA'!EM$110:EM$114,$F40+1)+IF(AND($E40=1,NZ40=0),1000,0),MIN(TZ40,20)*400+(IF('calcA'!EL$106=1,1-IJ40,0)+IF('calcA'!EM$106=1,1-IL40,0))*150+206+'calcA'!EM$5*100000+IF(AND($E40=1,NZ40=0),50000,0))+IF($H40=1,INDEX('calcA'!$D$180:$EQ$219,$B40,140)*4000,0)-IF(AND('calcA'!EL$117=1,ZJ40&gt;0),2000,0)-IF(AND($U40=1,'calcA'!EM$117=1,IL40=0),2000,0))),1000000000))</f>
        <v/>
      </c>
      <c r="TP40">
        <f>IF($B40=0,1000000000,IF(INDEX('calcA'!$D$60:$EQ$99,$B40,141)*IF($W40=1,IL40+AFA40,IL40)=1,IF(AND($E40=2,IF($W40=1,AKP40,OA40)=0),1000000000,IF($V40=1,INDEX('calcA'!$D$130:$EQ$169,$B40,141)+IF(AND($E40=1,OA40=0),25,0),IF($F40&gt;0,INDEX('calcA'!EN$110:EN$114,$F40+1)+IF(AND($E40=1,OA40=0),1000,0),MIN(TZ40,20)*400+(IF('calcA'!EM$106=1,1-IK40,0)+IF('calcA'!EN$106=1,1-IM40,0))*150+216+'calcA'!EN$5*100000+IF(AND($E40=1,OA40=0),50000,0))+IF($H40=1,INDEX('calcA'!$D$180:$EQ$219,$B40,141)*4000,0)-IF(AND('calcA'!EM$117=1,ZK40&gt;0),2000,0)-IF(AND($U40=1,'calcA'!EN$117=1,IM40=0),2000,0))),1000000000))</f>
        <v/>
      </c>
      <c r="TQ40">
        <f>IF($B40=0,1000000000,IF(INDEX('calcA'!$D$60:$EQ$99,$B40,142)*IF($W40=1,IM40+AFB40,IM40)=1,IF(AND($E40=2,IF($W40=1,AKQ40,OB40)=0),1000000000,IF($V40=1,INDEX('calcA'!$D$130:$EQ$169,$B40,142)+IF(AND($E40=1,OB40=0),25,0),IF($F40&gt;0,INDEX('calcA'!EO$110:EO$114,$F40+1)+IF(AND($E40=1,OB40=0),1000,0),MIN(TZ40,20)*400+(IF('calcA'!EN$106=1,1-IL40,0)+IF('calcA'!EO$106=1,1-IN40,0))*150+226+'calcA'!EO$5*100000+IF(AND($E40=1,OB40=0),50000,0))+IF($H40=1,INDEX('calcA'!$D$180:$EQ$219,$B40,142)*4000,0)-IF(AND('calcA'!EN$117=1,ZL40&gt;0),2000,0)-IF(AND($U40=1,'calcA'!EO$117=1,IN40=0),2000,0))),1000000000))</f>
        <v/>
      </c>
      <c r="TR40">
        <f>IF($B40=0,1000000000,IF(INDEX('calcA'!$D$60:$EQ$99,$B40,143)*IF($W40=1,IN40+AFC40,IN40)=1,IF(AND($E40=2,IF($W40=1,AKR40,OC40)=0),1000000000,IF($V40=1,INDEX('calcA'!$D$130:$EQ$169,$B40,143)+IF(AND($E40=1,OC40=0),25,0),IF($F40&gt;0,INDEX('calcA'!EP$110:EP$114,$F40+1)+IF(AND($E40=1,OC40=0),1000,0),MIN(TZ40,20)*400+(IF('calcA'!EO$106=1,1-IM40,0)+IF('calcA'!EP$106=1,1-IO40,0))*150+236+'calcA'!EP$5*100000+IF(AND($E40=1,OC40=0),50000,0))+IF($H40=1,INDEX('calcA'!$D$180:$EQ$219,$B40,143)*4000,0)-IF(AND('calcA'!EO$117=1,ZM40&gt;0),2000,0)-IF(AND($U40=1,'calcA'!EP$117=1,IO40=0),2000,0))),1000000000))</f>
        <v/>
      </c>
      <c r="TS40">
        <f>IF($B40=0,1000000000,IF(INDEX('calcA'!$D$60:$EQ$99,$B40,144)*IF($W40=1,IO40+AFD40,IO40)=1,IF(AND($E40=2,IF($W40=1,AKS40,OD40)=0),1000000000,IF($V40=1,INDEX('calcA'!$D$130:$EQ$169,$B40,144)+IF(AND($E40=1,OD40=0),25,0),IF($F40&gt;0,INDEX('calcA'!EQ$110:EQ$114,$F40+1)+IF(AND($E40=1,OD40=0),1000,0),MIN(TZ40,20)*400+(IF('calcA'!EP$106=1,1-IN40,0))*150+246+'calcA'!EQ$5*100000+IF(AND($E40=1,OD40=0),50000,0))+IF($H40=1,INDEX('calcA'!$D$180:$EQ$219,$B40,144)*4000,0)-IF(AND('calcA'!EP$117=1,ZN40&gt;0),2000,0))),1000000000))</f>
        <v/>
      </c>
      <c r="TU40">
        <f>TU39+IF($C39&gt;0,IF(INDEX('calcA'!$D$2:$EQ$2,$C39)=1,1,0),0)</f>
        <v/>
      </c>
      <c r="TV40">
        <f>TV39+IF($C39&gt;0,IF(INDEX('calcA'!$D$2:$EQ$2,$C39)=2,1,0),0)</f>
        <v/>
      </c>
      <c r="TW40">
        <f>TW39+IF($C39&gt;0,IF(INDEX('calcA'!$D$2:$EQ$2,$C39)=3,1,0),0)</f>
        <v/>
      </c>
      <c r="TX40">
        <f>TX39+IF($C39&gt;0,IF(INDEX('calcA'!$D$2:$EQ$2,$C39)=4,1,0),0)</f>
        <v/>
      </c>
      <c r="TY40">
        <f>TY39+IF($C39&gt;0,IF(INDEX('calcA'!$D$2:$EQ$2,$C39)=5,1,0),0)</f>
        <v/>
      </c>
      <c r="TZ40">
        <f>TZ39+IF($C39&gt;0,IF(INDEX('calcA'!$D$2:$EQ$2,$C39)=6,1,0),0)</f>
        <v/>
      </c>
      <c r="UB40">
        <f>UB39+IF(AND($C39=1,$U39=1),1,0)</f>
        <v/>
      </c>
      <c r="UC40">
        <f>UC39+IF(AND($C39=2,$U39=1),1,0)</f>
        <v/>
      </c>
      <c r="UD40">
        <f>UD39+IF(AND($C39=3,$U39=1),1,0)</f>
        <v/>
      </c>
      <c r="UE40">
        <f>UE39+IF(AND($C39=4,$U39=1),1,0)</f>
        <v/>
      </c>
      <c r="UF40">
        <f>UF39+IF(AND($C39=5,$U39=1),1,0)</f>
        <v/>
      </c>
      <c r="UG40">
        <f>UG39+IF(AND($C39=6,$U39=1),1,0)</f>
        <v/>
      </c>
      <c r="UH40">
        <f>UH39+IF(AND($C39=7,$U39=1),1,0)</f>
        <v/>
      </c>
      <c r="UI40">
        <f>UI39+IF(AND($C39=8,$U39=1),1,0)</f>
        <v/>
      </c>
      <c r="UJ40">
        <f>UJ39+IF(AND($C39=9,$U39=1),1,0)</f>
        <v/>
      </c>
      <c r="UK40">
        <f>UK39+IF(AND($C39=10,$U39=1),1,0)</f>
        <v/>
      </c>
      <c r="UL40">
        <f>UL39+IF(AND($C39=11,$U39=1),1,0)</f>
        <v/>
      </c>
      <c r="UM40">
        <f>UM39+IF(AND($C39=12,$U39=1),1,0)</f>
        <v/>
      </c>
      <c r="UN40">
        <f>UN39+IF(AND($C39=13,$U39=1),1,0)</f>
        <v/>
      </c>
      <c r="UO40">
        <f>UO39+IF(AND($C39=14,$U39=1),1,0)</f>
        <v/>
      </c>
      <c r="UP40">
        <f>UP39+IF(AND($C39=15,$U39=1),1,0)</f>
        <v/>
      </c>
      <c r="UQ40">
        <f>UQ39+IF(AND($C39=16,$U39=1),1,0)</f>
        <v/>
      </c>
      <c r="UR40">
        <f>UR39+IF(AND($C39=17,$U39=1),1,0)</f>
        <v/>
      </c>
      <c r="US40">
        <f>US39+IF(AND($C39=18,$U39=1),1,0)</f>
        <v/>
      </c>
      <c r="UT40">
        <f>UT39+IF(AND($C39=19,$U39=1),1,0)</f>
        <v/>
      </c>
      <c r="UU40">
        <f>UU39+IF(AND($C39=20,$U39=1),1,0)</f>
        <v/>
      </c>
      <c r="UV40">
        <f>UV39+IF(AND($C39=21,$U39=1),1,0)</f>
        <v/>
      </c>
      <c r="UW40">
        <f>UW39+IF(AND($C39=22,$U39=1),1,0)</f>
        <v/>
      </c>
      <c r="UX40">
        <f>UX39+IF(AND($C39=23,$U39=1),1,0)</f>
        <v/>
      </c>
      <c r="UY40">
        <f>UY39+IF(AND($C39=24,$U39=1),1,0)</f>
        <v/>
      </c>
      <c r="UZ40">
        <f>UZ39+IF(AND($C39=25,$U39=1),1,0)</f>
        <v/>
      </c>
      <c r="VA40">
        <f>VA39+IF(AND($C39=26,$U39=1),1,0)</f>
        <v/>
      </c>
      <c r="VB40">
        <f>VB39+IF(AND($C39=27,$U39=1),1,0)</f>
        <v/>
      </c>
      <c r="VC40">
        <f>VC39+IF(AND($C39=28,$U39=1),1,0)</f>
        <v/>
      </c>
      <c r="VD40">
        <f>VD39+IF(AND($C39=29,$U39=1),1,0)</f>
        <v/>
      </c>
      <c r="VE40">
        <f>VE39+IF(AND($C39=30,$U39=1),1,0)</f>
        <v/>
      </c>
      <c r="VF40">
        <f>VF39+IF(AND($C39=31,$U39=1),1,0)</f>
        <v/>
      </c>
      <c r="VG40">
        <f>VG39+IF(AND($C39=32,$U39=1),1,0)</f>
        <v/>
      </c>
      <c r="VH40">
        <f>VH39+IF(AND($C39=33,$U39=1),1,0)</f>
        <v/>
      </c>
      <c r="VI40">
        <f>VI39+IF(AND($C39=34,$U39=1),1,0)</f>
        <v/>
      </c>
      <c r="VJ40">
        <f>VJ39+IF(AND($C39=35,$U39=1),1,0)</f>
        <v/>
      </c>
      <c r="VK40">
        <f>VK39+IF(AND($C39=36,$U39=1),1,0)</f>
        <v/>
      </c>
      <c r="VL40">
        <f>VL39+IF(AND($C39=37,$U39=1),1,0)</f>
        <v/>
      </c>
      <c r="VM40">
        <f>VM39+IF(AND($C39=38,$U39=1),1,0)</f>
        <v/>
      </c>
      <c r="VN40">
        <f>VN39+IF(AND($C39=39,$U39=1),1,0)</f>
        <v/>
      </c>
      <c r="VO40">
        <f>VO39+IF(AND($C39=40,$U39=1),1,0)</f>
        <v/>
      </c>
      <c r="VP40">
        <f>VP39+IF(AND($C39=41,$U39=1),1,0)</f>
        <v/>
      </c>
      <c r="VQ40">
        <f>VQ39+IF(AND($C39=42,$U39=1),1,0)</f>
        <v/>
      </c>
      <c r="VR40">
        <f>VR39+IF(AND($C39=43,$U39=1),1,0)</f>
        <v/>
      </c>
      <c r="VS40">
        <f>VS39+IF(AND($C39=44,$U39=1),1,0)</f>
        <v/>
      </c>
      <c r="VT40">
        <f>VT39+IF(AND($C39=45,$U39=1),1,0)</f>
        <v/>
      </c>
      <c r="VU40">
        <f>VU39+IF(AND($C39=46,$U39=1),1,0)</f>
        <v/>
      </c>
      <c r="VV40">
        <f>VV39+IF(AND($C39=47,$U39=1),1,0)</f>
        <v/>
      </c>
      <c r="VW40">
        <f>VW39+IF(AND($C39=48,$U39=1),1,0)</f>
        <v/>
      </c>
      <c r="VX40">
        <f>VX39+IF(AND($C39=49,$U39=1),1,0)</f>
        <v/>
      </c>
      <c r="VY40">
        <f>VY39+IF(AND($C39=50,$U39=1),1,0)</f>
        <v/>
      </c>
      <c r="VZ40">
        <f>VZ39+IF(AND($C39=51,$U39=1),1,0)</f>
        <v/>
      </c>
      <c r="WA40">
        <f>WA39+IF(AND($C39=52,$U39=1),1,0)</f>
        <v/>
      </c>
      <c r="WB40">
        <f>WB39+IF(AND($C39=53,$U39=1),1,0)</f>
        <v/>
      </c>
      <c r="WC40">
        <f>WC39+IF(AND($C39=54,$U39=1),1,0)</f>
        <v/>
      </c>
      <c r="WD40">
        <f>WD39+IF(AND($C39=55,$U39=1),1,0)</f>
        <v/>
      </c>
      <c r="WE40">
        <f>WE39+IF(AND($C39=56,$U39=1),1,0)</f>
        <v/>
      </c>
      <c r="WF40">
        <f>WF39+IF(AND($C39=57,$U39=1),1,0)</f>
        <v/>
      </c>
      <c r="WG40">
        <f>WG39+IF(AND($C39=58,$U39=1),1,0)</f>
        <v/>
      </c>
      <c r="WH40">
        <f>WH39+IF(AND($C39=59,$U39=1),1,0)</f>
        <v/>
      </c>
      <c r="WI40">
        <f>WI39+IF(AND($C39=60,$U39=1),1,0)</f>
        <v/>
      </c>
      <c r="WJ40">
        <f>WJ39+IF(AND($C39=61,$U39=1),1,0)</f>
        <v/>
      </c>
      <c r="WK40">
        <f>WK39+IF(AND($C39=62,$U39=1),1,0)</f>
        <v/>
      </c>
      <c r="WL40">
        <f>WL39+IF(AND($C39=63,$U39=1),1,0)</f>
        <v/>
      </c>
      <c r="WM40">
        <f>WM39+IF(AND($C39=64,$U39=1),1,0)</f>
        <v/>
      </c>
      <c r="WN40">
        <f>WN39+IF(AND($C39=65,$U39=1),1,0)</f>
        <v/>
      </c>
      <c r="WO40">
        <f>WO39+IF(AND($C39=66,$U39=1),1,0)</f>
        <v/>
      </c>
      <c r="WP40">
        <f>WP39+IF(AND($C39=67,$U39=1),1,0)</f>
        <v/>
      </c>
      <c r="WQ40">
        <f>WQ39+IF(AND($C39=68,$U39=1),1,0)</f>
        <v/>
      </c>
      <c r="WR40">
        <f>WR39+IF(AND($C39=69,$U39=1),1,0)</f>
        <v/>
      </c>
      <c r="WS40">
        <f>WS39+IF(AND($C39=70,$U39=1),1,0)</f>
        <v/>
      </c>
      <c r="WT40">
        <f>WT39+IF(AND($C39=71,$U39=1),1,0)</f>
        <v/>
      </c>
      <c r="WU40">
        <f>WU39+IF(AND($C39=72,$U39=1),1,0)</f>
        <v/>
      </c>
      <c r="WV40">
        <f>WV39+IF(AND($C39=73,$U39=1),1,0)</f>
        <v/>
      </c>
      <c r="WW40">
        <f>WW39+IF(AND($C39=74,$U39=1),1,0)</f>
        <v/>
      </c>
      <c r="WX40">
        <f>WX39+IF(AND($C39=75,$U39=1),1,0)</f>
        <v/>
      </c>
      <c r="WY40">
        <f>WY39+IF(AND($C39=76,$U39=1),1,0)</f>
        <v/>
      </c>
      <c r="WZ40">
        <f>WZ39+IF(AND($C39=77,$U39=1),1,0)</f>
        <v/>
      </c>
      <c r="XA40">
        <f>XA39+IF(AND($C39=78,$U39=1),1,0)</f>
        <v/>
      </c>
      <c r="XB40">
        <f>XB39+IF(AND($C39=79,$U39=1),1,0)</f>
        <v/>
      </c>
      <c r="XC40">
        <f>XC39+IF(AND($C39=80,$U39=1),1,0)</f>
        <v/>
      </c>
      <c r="XD40">
        <f>XD39+IF(AND($C39=81,$U39=1),1,0)</f>
        <v/>
      </c>
      <c r="XE40">
        <f>XE39+IF(AND($C39=82,$U39=1),1,0)</f>
        <v/>
      </c>
      <c r="XF40">
        <f>XF39+IF(AND($C39=83,$U39=1),1,0)</f>
        <v/>
      </c>
      <c r="XG40">
        <f>XG39+IF(AND($C39=84,$U39=1),1,0)</f>
        <v/>
      </c>
      <c r="XH40">
        <f>XH39+IF(AND($C39=85,$U39=1),1,0)</f>
        <v/>
      </c>
      <c r="XI40">
        <f>XI39+IF(AND($C39=86,$U39=1),1,0)</f>
        <v/>
      </c>
      <c r="XJ40">
        <f>XJ39+IF(AND($C39=87,$U39=1),1,0)</f>
        <v/>
      </c>
      <c r="XK40">
        <f>XK39+IF(AND($C39=88,$U39=1),1,0)</f>
        <v/>
      </c>
      <c r="XL40">
        <f>XL39+IF(AND($C39=89,$U39=1),1,0)</f>
        <v/>
      </c>
      <c r="XM40">
        <f>XM39+IF(AND($C39=90,$U39=1),1,0)</f>
        <v/>
      </c>
      <c r="XN40">
        <f>XN39+IF(AND($C39=91,$U39=1),1,0)</f>
        <v/>
      </c>
      <c r="XO40">
        <f>XO39+IF(AND($C39=92,$U39=1),1,0)</f>
        <v/>
      </c>
      <c r="XP40">
        <f>XP39+IF(AND($C39=93,$U39=1),1,0)</f>
        <v/>
      </c>
      <c r="XQ40">
        <f>XQ39+IF(AND($C39=94,$U39=1),1,0)</f>
        <v/>
      </c>
      <c r="XR40">
        <f>XR39+IF(AND($C39=95,$U39=1),1,0)</f>
        <v/>
      </c>
      <c r="XS40">
        <f>XS39+IF(AND($C39=96,$U39=1),1,0)</f>
        <v/>
      </c>
      <c r="XT40">
        <f>XT39+IF(AND($C39=97,$U39=1),1,0)</f>
        <v/>
      </c>
      <c r="XU40">
        <f>XU39+IF(AND($C39=98,$U39=1),1,0)</f>
        <v/>
      </c>
      <c r="XV40">
        <f>XV39+IF(AND($C39=99,$U39=1),1,0)</f>
        <v/>
      </c>
      <c r="XW40">
        <f>XW39+IF(AND($C39=100,$U39=1),1,0)</f>
        <v/>
      </c>
      <c r="XX40">
        <f>XX39+IF(AND($C39=101,$U39=1),1,0)</f>
        <v/>
      </c>
      <c r="XY40">
        <f>XY39+IF(AND($C39=102,$U39=1),1,0)</f>
        <v/>
      </c>
      <c r="XZ40">
        <f>XZ39+IF(AND($C39=103,$U39=1),1,0)</f>
        <v/>
      </c>
      <c r="YA40">
        <f>YA39+IF(AND($C39=104,$U39=1),1,0)</f>
        <v/>
      </c>
      <c r="YB40">
        <f>YB39+IF(AND($C39=105,$U39=1),1,0)</f>
        <v/>
      </c>
      <c r="YC40">
        <f>YC39+IF(AND($C39=106,$U39=1),1,0)</f>
        <v/>
      </c>
      <c r="YD40">
        <f>YD39+IF(AND($C39=107,$U39=1),1,0)</f>
        <v/>
      </c>
      <c r="YE40">
        <f>YE39+IF(AND($C39=108,$U39=1),1,0)</f>
        <v/>
      </c>
      <c r="YF40">
        <f>YF39+IF(AND($C39=109,$U39=1),1,0)</f>
        <v/>
      </c>
      <c r="YG40">
        <f>YG39+IF(AND($C39=110,$U39=1),1,0)</f>
        <v/>
      </c>
      <c r="YH40">
        <f>YH39+IF(AND($C39=111,$U39=1),1,0)</f>
        <v/>
      </c>
      <c r="YI40">
        <f>YI39+IF(AND($C39=112,$U39=1),1,0)</f>
        <v/>
      </c>
      <c r="YJ40">
        <f>YJ39+IF(AND($C39=113,$U39=1),1,0)</f>
        <v/>
      </c>
      <c r="YK40">
        <f>YK39+IF(AND($C39=114,$U39=1),1,0)</f>
        <v/>
      </c>
      <c r="YL40">
        <f>YL39+IF(AND($C39=115,$U39=1),1,0)</f>
        <v/>
      </c>
      <c r="YM40">
        <f>YM39+IF(AND($C39=116,$U39=1),1,0)</f>
        <v/>
      </c>
      <c r="YN40">
        <f>YN39+IF(AND($C39=117,$U39=1),1,0)</f>
        <v/>
      </c>
      <c r="YO40">
        <f>YO39+IF(AND($C39=118,$U39=1),1,0)</f>
        <v/>
      </c>
      <c r="YP40">
        <f>YP39+IF(AND($C39=119,$U39=1),1,0)</f>
        <v/>
      </c>
      <c r="YQ40">
        <f>YQ39+IF(AND($C39=120,$U39=1),1,0)</f>
        <v/>
      </c>
      <c r="YR40">
        <f>YR39+IF(AND($C39=121,$U39=1),1,0)</f>
        <v/>
      </c>
      <c r="YS40">
        <f>YS39+IF(AND($C39=122,$U39=1),1,0)</f>
        <v/>
      </c>
      <c r="YT40">
        <f>YT39+IF(AND($C39=123,$U39=1),1,0)</f>
        <v/>
      </c>
      <c r="YU40">
        <f>YU39+IF(AND($C39=124,$U39=1),1,0)</f>
        <v/>
      </c>
      <c r="YV40">
        <f>YV39+IF(AND($C39=125,$U39=1),1,0)</f>
        <v/>
      </c>
      <c r="YW40">
        <f>YW39+IF(AND($C39=126,$U39=1),1,0)</f>
        <v/>
      </c>
      <c r="YX40">
        <f>YX39+IF(AND($C39=127,$U39=1),1,0)</f>
        <v/>
      </c>
      <c r="YY40">
        <f>YY39+IF(AND($C39=128,$U39=1),1,0)</f>
        <v/>
      </c>
      <c r="YZ40">
        <f>YZ39+IF(AND($C39=129,$U39=1),1,0)</f>
        <v/>
      </c>
      <c r="ZA40">
        <f>ZA39+IF(AND($C39=130,$U39=1),1,0)</f>
        <v/>
      </c>
      <c r="ZB40">
        <f>ZB39+IF(AND($C39=131,$U39=1),1,0)</f>
        <v/>
      </c>
      <c r="ZC40">
        <f>ZC39+IF(AND($C39=132,$U39=1),1,0)</f>
        <v/>
      </c>
      <c r="ZD40">
        <f>ZD39+IF(AND($C39=133,$U39=1),1,0)</f>
        <v/>
      </c>
      <c r="ZE40">
        <f>ZE39+IF(AND($C39=134,$U39=1),1,0)</f>
        <v/>
      </c>
      <c r="ZF40">
        <f>ZF39+IF(AND($C39=135,$U39=1),1,0)</f>
        <v/>
      </c>
      <c r="ZG40">
        <f>ZG39+IF(AND($C39=136,$U39=1),1,0)</f>
        <v/>
      </c>
      <c r="ZH40">
        <f>ZH39+IF(AND($C39=137,$U39=1),1,0)</f>
        <v/>
      </c>
      <c r="ZI40">
        <f>ZI39+IF(AND($C39=138,$U39=1),1,0)</f>
        <v/>
      </c>
      <c r="ZJ40">
        <f>ZJ39+IF(AND($C39=139,$U39=1),1,0)</f>
        <v/>
      </c>
      <c r="ZK40">
        <f>ZK39+IF(AND($C39=140,$U39=1),1,0)</f>
        <v/>
      </c>
      <c r="ZL40">
        <f>ZL39+IF(AND($C39=141,$U39=1),1,0)</f>
        <v/>
      </c>
      <c r="ZM40">
        <f>ZM39+IF(AND($C39=142,$U39=1),1,0)</f>
        <v/>
      </c>
      <c r="ZN40">
        <f>ZN39+IF(AND($C39=143,$U39=1),1,0)</f>
        <v/>
      </c>
      <c r="ZO40">
        <f>ZO39+IF(AND($C39=144,$U39=1),1,0)</f>
        <v/>
      </c>
      <c r="ZQ40">
        <f>IF($C39=1,0,ZQ39+IF(AND($G39=1,$E39=1),1,0))</f>
        <v/>
      </c>
      <c r="ZR40">
        <f>IF($C39=2,0,ZR39+IF(AND($G39=2,$E39=1),1,0))</f>
        <v/>
      </c>
      <c r="ZS40">
        <f>IF($C39=3,0,ZS39+IF(AND($G39=3,$E39=1),1,0))</f>
        <v/>
      </c>
      <c r="ZT40">
        <f>IF($C39=4,0,ZT39+IF(AND($G39=4,$E39=1),1,0))</f>
        <v/>
      </c>
      <c r="ZU40">
        <f>IF($C39=5,0,ZU39+IF(AND($G39=5,$E39=1),1,0))</f>
        <v/>
      </c>
      <c r="ZV40">
        <f>IF($C39=6,0,ZV39+IF(AND($G39=6,$E39=1),1,0))</f>
        <v/>
      </c>
      <c r="ZW40">
        <f>IF($C39=7,0,ZW39+IF(AND($G39=7,$E39=1),1,0))</f>
        <v/>
      </c>
      <c r="ZX40">
        <f>IF($C39=8,0,ZX39+IF(AND($G39=8,$E39=1),1,0))</f>
        <v/>
      </c>
      <c r="ZY40">
        <f>IF($C39=9,0,ZY39+IF(AND($G39=9,$E39=1),1,0))</f>
        <v/>
      </c>
      <c r="ZZ40">
        <f>IF($C39=10,0,ZZ39+IF(AND($G39=10,$E39=1),1,0))</f>
        <v/>
      </c>
      <c r="AAA40">
        <f>IF($C39=11,0,AAA39+IF(AND($G39=11,$E39=1),1,0))</f>
        <v/>
      </c>
      <c r="AAB40">
        <f>IF($C39=12,0,AAB39+IF(AND($G39=12,$E39=1),1,0))</f>
        <v/>
      </c>
      <c r="AAC40">
        <f>IF($C39=13,0,AAC39+IF(AND($G39=13,$E39=1),1,0))</f>
        <v/>
      </c>
      <c r="AAD40">
        <f>IF($C39=14,0,AAD39+IF(AND($G39=14,$E39=1),1,0))</f>
        <v/>
      </c>
      <c r="AAE40">
        <f>IF($C39=15,0,AAE39+IF(AND($G39=15,$E39=1),1,0))</f>
        <v/>
      </c>
      <c r="AAF40">
        <f>IF($C39=16,0,AAF39+IF(AND($G39=16,$E39=1),1,0))</f>
        <v/>
      </c>
      <c r="AAG40">
        <f>IF($C39=17,0,AAG39+IF(AND($G39=17,$E39=1),1,0))</f>
        <v/>
      </c>
      <c r="AAH40">
        <f>IF($C39=18,0,AAH39+IF(AND($G39=18,$E39=1),1,0))</f>
        <v/>
      </c>
      <c r="AAI40">
        <f>IF($C39=19,0,AAI39+IF(AND($G39=19,$E39=1),1,0))</f>
        <v/>
      </c>
      <c r="AAJ40">
        <f>IF($C39=20,0,AAJ39+IF(AND($G39=20,$E39=1),1,0))</f>
        <v/>
      </c>
      <c r="AAK40">
        <f>IF($C39=21,0,AAK39+IF(AND($G39=21,$E39=1),1,0))</f>
        <v/>
      </c>
      <c r="AAL40">
        <f>IF($C39=22,0,AAL39+IF(AND($G39=22,$E39=1),1,0))</f>
        <v/>
      </c>
      <c r="AAM40">
        <f>IF($C39=23,0,AAM39+IF(AND($G39=23,$E39=1),1,0))</f>
        <v/>
      </c>
      <c r="AAN40">
        <f>IF($C39=24,0,AAN39+IF(AND($G39=24,$E39=1),1,0))</f>
        <v/>
      </c>
      <c r="AAO40">
        <f>IF($C39=25,0,AAO39+IF(AND($G39=25,$E39=1),1,0))</f>
        <v/>
      </c>
      <c r="AAP40">
        <f>IF($C39=26,0,AAP39+IF(AND($G39=26,$E39=1),1,0))</f>
        <v/>
      </c>
      <c r="AAQ40">
        <f>IF($C39=27,0,AAQ39+IF(AND($G39=27,$E39=1),1,0))</f>
        <v/>
      </c>
      <c r="AAR40">
        <f>IF($C39=28,0,AAR39+IF(AND($G39=28,$E39=1),1,0))</f>
        <v/>
      </c>
      <c r="AAS40">
        <f>IF($C39=29,0,AAS39+IF(AND($G39=29,$E39=1),1,0))</f>
        <v/>
      </c>
      <c r="AAT40">
        <f>IF($C39=30,0,AAT39+IF(AND($G39=30,$E39=1),1,0))</f>
        <v/>
      </c>
      <c r="AAU40">
        <f>IF($C39=31,0,AAU39+IF(AND($G39=31,$E39=1),1,0))</f>
        <v/>
      </c>
      <c r="AAV40">
        <f>IF($C39=32,0,AAV39+IF(AND($G39=32,$E39=1),1,0))</f>
        <v/>
      </c>
      <c r="AAW40">
        <f>IF($C39=33,0,AAW39+IF(AND($G39=33,$E39=1),1,0))</f>
        <v/>
      </c>
      <c r="AAX40">
        <f>IF($C39=34,0,AAX39+IF(AND($G39=34,$E39=1),1,0))</f>
        <v/>
      </c>
      <c r="AAY40">
        <f>IF($C39=35,0,AAY39+IF(AND($G39=35,$E39=1),1,0))</f>
        <v/>
      </c>
      <c r="AAZ40">
        <f>IF($C39=36,0,AAZ39+IF(AND($G39=36,$E39=1),1,0))</f>
        <v/>
      </c>
      <c r="ABA40">
        <f>IF($C39=37,0,ABA39+IF(AND($G39=37,$E39=1),1,0))</f>
        <v/>
      </c>
      <c r="ABB40">
        <f>IF($C39=38,0,ABB39+IF(AND($G39=38,$E39=1),1,0))</f>
        <v/>
      </c>
      <c r="ABC40">
        <f>IF($C39=39,0,ABC39+IF(AND($G39=39,$E39=1),1,0))</f>
        <v/>
      </c>
      <c r="ABD40">
        <f>IF($C39=40,0,ABD39+IF(AND($G39=40,$E39=1),1,0))</f>
        <v/>
      </c>
      <c r="ABE40">
        <f>IF($C39=41,0,ABE39+IF(AND($G39=41,$E39=1),1,0))</f>
        <v/>
      </c>
      <c r="ABF40">
        <f>IF($C39=42,0,ABF39+IF(AND($G39=42,$E39=1),1,0))</f>
        <v/>
      </c>
      <c r="ABG40">
        <f>IF($C39=43,0,ABG39+IF(AND($G39=43,$E39=1),1,0))</f>
        <v/>
      </c>
      <c r="ABH40">
        <f>IF($C39=44,0,ABH39+IF(AND($G39=44,$E39=1),1,0))</f>
        <v/>
      </c>
      <c r="ABI40">
        <f>IF($C39=45,0,ABI39+IF(AND($G39=45,$E39=1),1,0))</f>
        <v/>
      </c>
      <c r="ABJ40">
        <f>IF($C39=46,0,ABJ39+IF(AND($G39=46,$E39=1),1,0))</f>
        <v/>
      </c>
      <c r="ABK40">
        <f>IF($C39=47,0,ABK39+IF(AND($G39=47,$E39=1),1,0))</f>
        <v/>
      </c>
      <c r="ABL40">
        <f>IF($C39=48,0,ABL39+IF(AND($G39=48,$E39=1),1,0))</f>
        <v/>
      </c>
      <c r="ABM40">
        <f>IF($C39=49,0,ABM39+IF(AND($G39=49,$E39=1),1,0))</f>
        <v/>
      </c>
      <c r="ABN40">
        <f>IF($C39=50,0,ABN39+IF(AND($G39=50,$E39=1),1,0))</f>
        <v/>
      </c>
      <c r="ABO40">
        <f>IF($C39=51,0,ABO39+IF(AND($G39=51,$E39=1),1,0))</f>
        <v/>
      </c>
      <c r="ABP40">
        <f>IF($C39=52,0,ABP39+IF(AND($G39=52,$E39=1),1,0))</f>
        <v/>
      </c>
      <c r="ABQ40">
        <f>IF($C39=53,0,ABQ39+IF(AND($G39=53,$E39=1),1,0))</f>
        <v/>
      </c>
      <c r="ABR40">
        <f>IF($C39=54,0,ABR39+IF(AND($G39=54,$E39=1),1,0))</f>
        <v/>
      </c>
      <c r="ABS40">
        <f>IF($C39=55,0,ABS39+IF(AND($G39=55,$E39=1),1,0))</f>
        <v/>
      </c>
      <c r="ABT40">
        <f>IF($C39=56,0,ABT39+IF(AND($G39=56,$E39=1),1,0))</f>
        <v/>
      </c>
      <c r="ABU40">
        <f>IF($C39=57,0,ABU39+IF(AND($G39=57,$E39=1),1,0))</f>
        <v/>
      </c>
      <c r="ABV40">
        <f>IF($C39=58,0,ABV39+IF(AND($G39=58,$E39=1),1,0))</f>
        <v/>
      </c>
      <c r="ABW40">
        <f>IF($C39=59,0,ABW39+IF(AND($G39=59,$E39=1),1,0))</f>
        <v/>
      </c>
      <c r="ABX40">
        <f>IF($C39=60,0,ABX39+IF(AND($G39=60,$E39=1),1,0))</f>
        <v/>
      </c>
      <c r="ABY40">
        <f>IF($C39=61,0,ABY39+IF(AND($G39=61,$E39=1),1,0))</f>
        <v/>
      </c>
      <c r="ABZ40">
        <f>IF($C39=62,0,ABZ39+IF(AND($G39=62,$E39=1),1,0))</f>
        <v/>
      </c>
      <c r="ACA40">
        <f>IF($C39=63,0,ACA39+IF(AND($G39=63,$E39=1),1,0))</f>
        <v/>
      </c>
      <c r="ACB40">
        <f>IF($C39=64,0,ACB39+IF(AND($G39=64,$E39=1),1,0))</f>
        <v/>
      </c>
      <c r="ACC40">
        <f>IF($C39=65,0,ACC39+IF(AND($G39=65,$E39=1),1,0))</f>
        <v/>
      </c>
      <c r="ACD40">
        <f>IF($C39=66,0,ACD39+IF(AND($G39=66,$E39=1),1,0))</f>
        <v/>
      </c>
      <c r="ACE40">
        <f>IF($C39=67,0,ACE39+IF(AND($G39=67,$E39=1),1,0))</f>
        <v/>
      </c>
      <c r="ACF40">
        <f>IF($C39=68,0,ACF39+IF(AND($G39=68,$E39=1),1,0))</f>
        <v/>
      </c>
      <c r="ACG40">
        <f>IF($C39=69,0,ACG39+IF(AND($G39=69,$E39=1),1,0))</f>
        <v/>
      </c>
      <c r="ACH40">
        <f>IF($C39=70,0,ACH39+IF(AND($G39=70,$E39=1),1,0))</f>
        <v/>
      </c>
      <c r="ACI40">
        <f>IF($C39=71,0,ACI39+IF(AND($G39=71,$E39=1),1,0))</f>
        <v/>
      </c>
      <c r="ACJ40">
        <f>IF($C39=72,0,ACJ39+IF(AND($G39=72,$E39=1),1,0))</f>
        <v/>
      </c>
      <c r="ACK40">
        <f>IF($C39=73,0,ACK39+IF(AND($G39=73,$E39=1),1,0))</f>
        <v/>
      </c>
      <c r="ACL40">
        <f>IF($C39=74,0,ACL39+IF(AND($G39=74,$E39=1),1,0))</f>
        <v/>
      </c>
      <c r="ACM40">
        <f>IF($C39=75,0,ACM39+IF(AND($G39=75,$E39=1),1,0))</f>
        <v/>
      </c>
      <c r="ACN40">
        <f>IF($C39=76,0,ACN39+IF(AND($G39=76,$E39=1),1,0))</f>
        <v/>
      </c>
      <c r="ACO40">
        <f>IF($C39=77,0,ACO39+IF(AND($G39=77,$E39=1),1,0))</f>
        <v/>
      </c>
      <c r="ACP40">
        <f>IF($C39=78,0,ACP39+IF(AND($G39=78,$E39=1),1,0))</f>
        <v/>
      </c>
      <c r="ACQ40">
        <f>IF($C39=79,0,ACQ39+IF(AND($G39=79,$E39=1),1,0))</f>
        <v/>
      </c>
      <c r="ACR40">
        <f>IF($C39=80,0,ACR39+IF(AND($G39=80,$E39=1),1,0))</f>
        <v/>
      </c>
      <c r="ACS40">
        <f>IF($C39=81,0,ACS39+IF(AND($G39=81,$E39=1),1,0))</f>
        <v/>
      </c>
      <c r="ACT40">
        <f>IF($C39=82,0,ACT39+IF(AND($G39=82,$E39=1),1,0))</f>
        <v/>
      </c>
      <c r="ACU40">
        <f>IF($C39=83,0,ACU39+IF(AND($G39=83,$E39=1),1,0))</f>
        <v/>
      </c>
      <c r="ACV40">
        <f>IF($C39=84,0,ACV39+IF(AND($G39=84,$E39=1),1,0))</f>
        <v/>
      </c>
      <c r="ACW40">
        <f>IF($C39=85,0,ACW39+IF(AND($G39=85,$E39=1),1,0))</f>
        <v/>
      </c>
      <c r="ACX40">
        <f>IF($C39=86,0,ACX39+IF(AND($G39=86,$E39=1),1,0))</f>
        <v/>
      </c>
      <c r="ACY40">
        <f>IF($C39=87,0,ACY39+IF(AND($G39=87,$E39=1),1,0))</f>
        <v/>
      </c>
      <c r="ACZ40">
        <f>IF($C39=88,0,ACZ39+IF(AND($G39=88,$E39=1),1,0))</f>
        <v/>
      </c>
      <c r="ADA40">
        <f>IF($C39=89,0,ADA39+IF(AND($G39=89,$E39=1),1,0))</f>
        <v/>
      </c>
      <c r="ADB40">
        <f>IF($C39=90,0,ADB39+IF(AND($G39=90,$E39=1),1,0))</f>
        <v/>
      </c>
      <c r="ADC40">
        <f>IF($C39=91,0,ADC39+IF(AND($G39=91,$E39=1),1,0))</f>
        <v/>
      </c>
      <c r="ADD40">
        <f>IF($C39=92,0,ADD39+IF(AND($G39=92,$E39=1),1,0))</f>
        <v/>
      </c>
      <c r="ADE40">
        <f>IF($C39=93,0,ADE39+IF(AND($G39=93,$E39=1),1,0))</f>
        <v/>
      </c>
      <c r="ADF40">
        <f>IF($C39=94,0,ADF39+IF(AND($G39=94,$E39=1),1,0))</f>
        <v/>
      </c>
      <c r="ADG40">
        <f>IF($C39=95,0,ADG39+IF(AND($G39=95,$E39=1),1,0))</f>
        <v/>
      </c>
      <c r="ADH40">
        <f>IF($C39=96,0,ADH39+IF(AND($G39=96,$E39=1),1,0))</f>
        <v/>
      </c>
      <c r="ADI40">
        <f>IF($C39=97,0,ADI39+IF(AND($G39=97,$E39=1),1,0))</f>
        <v/>
      </c>
      <c r="ADJ40">
        <f>IF($C39=98,0,ADJ39+IF(AND($G39=98,$E39=1),1,0))</f>
        <v/>
      </c>
      <c r="ADK40">
        <f>IF($C39=99,0,ADK39+IF(AND($G39=99,$E39=1),1,0))</f>
        <v/>
      </c>
      <c r="ADL40">
        <f>IF($C39=100,0,ADL39+IF(AND($G39=100,$E39=1),1,0))</f>
        <v/>
      </c>
      <c r="ADM40">
        <f>IF($C39=101,0,ADM39+IF(AND($G39=101,$E39=1),1,0))</f>
        <v/>
      </c>
      <c r="ADN40">
        <f>IF($C39=102,0,ADN39+IF(AND($G39=102,$E39=1),1,0))</f>
        <v/>
      </c>
      <c r="ADO40">
        <f>IF($C39=103,0,ADO39+IF(AND($G39=103,$E39=1),1,0))</f>
        <v/>
      </c>
      <c r="ADP40">
        <f>IF($C39=104,0,ADP39+IF(AND($G39=104,$E39=1),1,0))</f>
        <v/>
      </c>
      <c r="ADQ40">
        <f>IF($C39=105,0,ADQ39+IF(AND($G39=105,$E39=1),1,0))</f>
        <v/>
      </c>
      <c r="ADR40">
        <f>IF($C39=106,0,ADR39+IF(AND($G39=106,$E39=1),1,0))</f>
        <v/>
      </c>
      <c r="ADS40">
        <f>IF($C39=107,0,ADS39+IF(AND($G39=107,$E39=1),1,0))</f>
        <v/>
      </c>
      <c r="ADT40">
        <f>IF($C39=108,0,ADT39+IF(AND($G39=108,$E39=1),1,0))</f>
        <v/>
      </c>
      <c r="ADU40">
        <f>IF($C39=109,0,ADU39+IF(AND($G39=109,$E39=1),1,0))</f>
        <v/>
      </c>
      <c r="ADV40">
        <f>IF($C39=110,0,ADV39+IF(AND($G39=110,$E39=1),1,0))</f>
        <v/>
      </c>
      <c r="ADW40">
        <f>IF($C39=111,0,ADW39+IF(AND($G39=111,$E39=1),1,0))</f>
        <v/>
      </c>
      <c r="ADX40">
        <f>IF($C39=112,0,ADX39+IF(AND($G39=112,$E39=1),1,0))</f>
        <v/>
      </c>
      <c r="ADY40">
        <f>IF($C39=113,0,ADY39+IF(AND($G39=113,$E39=1),1,0))</f>
        <v/>
      </c>
      <c r="ADZ40">
        <f>IF($C39=114,0,ADZ39+IF(AND($G39=114,$E39=1),1,0))</f>
        <v/>
      </c>
      <c r="AEA40">
        <f>IF($C39=115,0,AEA39+IF(AND($G39=115,$E39=1),1,0))</f>
        <v/>
      </c>
      <c r="AEB40">
        <f>IF($C39=116,0,AEB39+IF(AND($G39=116,$E39=1),1,0))</f>
        <v/>
      </c>
      <c r="AEC40">
        <f>IF($C39=117,0,AEC39+IF(AND($G39=117,$E39=1),1,0))</f>
        <v/>
      </c>
      <c r="AED40">
        <f>IF($C39=118,0,AED39+IF(AND($G39=118,$E39=1),1,0))</f>
        <v/>
      </c>
      <c r="AEE40">
        <f>IF($C39=119,0,AEE39+IF(AND($G39=119,$E39=1),1,0))</f>
        <v/>
      </c>
      <c r="AEF40">
        <f>IF($C39=120,0,AEF39+IF(AND($G39=120,$E39=1),1,0))</f>
        <v/>
      </c>
      <c r="AEG40">
        <f>IF($C39=121,0,AEG39+IF(AND($G39=121,$E39=1),1,0))</f>
        <v/>
      </c>
      <c r="AEH40">
        <f>IF($C39=122,0,AEH39+IF(AND($G39=122,$E39=1),1,0))</f>
        <v/>
      </c>
      <c r="AEI40">
        <f>IF($C39=123,0,AEI39+IF(AND($G39=123,$E39=1),1,0))</f>
        <v/>
      </c>
      <c r="AEJ40">
        <f>IF($C39=124,0,AEJ39+IF(AND($G39=124,$E39=1),1,0))</f>
        <v/>
      </c>
      <c r="AEK40">
        <f>IF($C39=125,0,AEK39+IF(AND($G39=125,$E39=1),1,0))</f>
        <v/>
      </c>
      <c r="AEL40">
        <f>IF($C39=126,0,AEL39+IF(AND($G39=126,$E39=1),1,0))</f>
        <v/>
      </c>
      <c r="AEM40">
        <f>IF($C39=127,0,AEM39+IF(AND($G39=127,$E39=1),1,0))</f>
        <v/>
      </c>
      <c r="AEN40">
        <f>IF($C39=128,0,AEN39+IF(AND($G39=128,$E39=1),1,0))</f>
        <v/>
      </c>
      <c r="AEO40">
        <f>IF($C39=129,0,AEO39+IF(AND($G39=129,$E39=1),1,0))</f>
        <v/>
      </c>
      <c r="AEP40">
        <f>IF($C39=130,0,AEP39+IF(AND($G39=130,$E39=1),1,0))</f>
        <v/>
      </c>
      <c r="AEQ40">
        <f>IF($C39=131,0,AEQ39+IF(AND($G39=131,$E39=1),1,0))</f>
        <v/>
      </c>
      <c r="AER40">
        <f>IF($C39=132,0,AER39+IF(AND($G39=132,$E39=1),1,0))</f>
        <v/>
      </c>
      <c r="AES40">
        <f>IF($C39=133,0,AES39+IF(AND($G39=133,$E39=1),1,0))</f>
        <v/>
      </c>
      <c r="AET40">
        <f>IF($C39=134,0,AET39+IF(AND($G39=134,$E39=1),1,0))</f>
        <v/>
      </c>
      <c r="AEU40">
        <f>IF($C39=135,0,AEU39+IF(AND($G39=135,$E39=1),1,0))</f>
        <v/>
      </c>
      <c r="AEV40">
        <f>IF($C39=136,0,AEV39+IF(AND($G39=136,$E39=1),1,0))</f>
        <v/>
      </c>
      <c r="AEW40">
        <f>IF($C39=137,0,AEW39+IF(AND($G39=137,$E39=1),1,0))</f>
        <v/>
      </c>
      <c r="AEX40">
        <f>IF($C39=138,0,AEX39+IF(AND($G39=138,$E39=1),1,0))</f>
        <v/>
      </c>
      <c r="AEY40">
        <f>IF($C39=139,0,AEY39+IF(AND($G39=139,$E39=1),1,0))</f>
        <v/>
      </c>
      <c r="AEZ40">
        <f>IF($C39=140,0,AEZ39+IF(AND($G39=140,$E39=1),1,0))</f>
        <v/>
      </c>
      <c r="AFA40">
        <f>IF($C39=141,0,AFA39+IF(AND($G39=141,$E39=1),1,0))</f>
        <v/>
      </c>
      <c r="AFB40">
        <f>IF($C39=142,0,AFB39+IF(AND($G39=142,$E39=1),1,0))</f>
        <v/>
      </c>
      <c r="AFC40">
        <f>IF($C39=143,0,AFC39+IF(AND($G39=143,$E39=1),1,0))</f>
        <v/>
      </c>
      <c r="AFD40">
        <f>IF($C39=144,0,AFD39+IF(AND($G39=144,$E39=1),1,0))</f>
        <v/>
      </c>
      <c r="AFF40">
        <f>IF('calcA'!D$106=1,DC40+ZR40,1)</f>
        <v/>
      </c>
      <c r="AFG40">
        <f>IF('calcA'!E$106=1,DD40+ZS40,1)</f>
        <v/>
      </c>
      <c r="AFH40">
        <f>IF('calcA'!F$106=1,DE40+ZT40,1)</f>
        <v/>
      </c>
      <c r="AFI40">
        <f>IF('calcA'!G$106=1,DF40+ZU40,1)</f>
        <v/>
      </c>
      <c r="AFJ40">
        <f>IF('calcA'!H$106=1,DG40+ZV40,1)</f>
        <v/>
      </c>
      <c r="AFK40">
        <f>IF('calcA'!I$106=1,DH40+ZW40,1)</f>
        <v/>
      </c>
      <c r="AFL40">
        <f>IF('calcA'!J$106=1,DI40+ZX40,1)</f>
        <v/>
      </c>
      <c r="AFM40">
        <f>IF('calcA'!K$106=1,DJ40+ZY40,1)</f>
        <v/>
      </c>
      <c r="AFN40">
        <f>IF('calcA'!L$106=1,DK40+ZZ40,1)</f>
        <v/>
      </c>
      <c r="AFO40">
        <f>IF('calcA'!M$106=1,DL40+AAA40,1)</f>
        <v/>
      </c>
      <c r="AFP40">
        <f>IF('calcA'!N$106=1,DM40+AAB40,1)</f>
        <v/>
      </c>
      <c r="AFQ40">
        <f>IF('calcA'!O$106=1,DN40+AAC40,1)</f>
        <v/>
      </c>
      <c r="AFR40">
        <f>IF('calcA'!P$106=1,DO40+AAD40,1)</f>
        <v/>
      </c>
      <c r="AFS40">
        <f>IF('calcA'!Q$106=1,DP40+AAE40,1)</f>
        <v/>
      </c>
      <c r="AFT40">
        <f>IF('calcA'!R$106=1,DQ40+AAF40,1)</f>
        <v/>
      </c>
      <c r="AFU40">
        <f>IF('calcA'!S$106=1,DR40+AAG40,1)</f>
        <v/>
      </c>
      <c r="AFV40">
        <f>IF('calcA'!T$106=1,DS40+AAH40,1)</f>
        <v/>
      </c>
      <c r="AFW40">
        <f>IF('calcA'!U$106=1,DT40+AAI40,1)</f>
        <v/>
      </c>
      <c r="AFX40">
        <f>IF('calcA'!V$106=1,DU40+AAJ40,1)</f>
        <v/>
      </c>
      <c r="AFY40">
        <f>IF('calcA'!W$106=1,DV40+AAK40,1)</f>
        <v/>
      </c>
      <c r="AFZ40">
        <f>IF('calcA'!X$106=1,DW40+AAL40,1)</f>
        <v/>
      </c>
      <c r="AGA40">
        <f>IF('calcA'!Y$106=1,DX40+AAM40,1)</f>
        <v/>
      </c>
      <c r="AGB40">
        <f>IF('calcA'!Z$106=1,DY40+AAN40,1)</f>
        <v/>
      </c>
      <c r="AGC40">
        <f>IF('calcA'!AA$106=1,DZ40+AAO40,1)</f>
        <v/>
      </c>
      <c r="AGD40">
        <f>IF('calcA'!AB$106=1,EA40+AAP40,1)</f>
        <v/>
      </c>
      <c r="AGE40">
        <f>IF('calcA'!AC$106=1,EB40+AAQ40,1)</f>
        <v/>
      </c>
      <c r="AGF40">
        <f>IF('calcA'!AD$106=1,EC40+AAR40,1)</f>
        <v/>
      </c>
      <c r="AGG40">
        <f>IF('calcA'!AE$106=1,ED40+AAS40,1)</f>
        <v/>
      </c>
      <c r="AGH40">
        <f>IF('calcA'!AF$106=1,EE40+AAT40,1)</f>
        <v/>
      </c>
      <c r="AGI40">
        <f>IF('calcA'!AG$106=1,EF40+AAU40,1)</f>
        <v/>
      </c>
      <c r="AGJ40">
        <f>IF('calcA'!AH$106=1,EG40+AAV40,1)</f>
        <v/>
      </c>
      <c r="AGK40">
        <f>IF('calcA'!AI$106=1,EH40+AAW40,1)</f>
        <v/>
      </c>
      <c r="AGL40">
        <f>IF('calcA'!AJ$106=1,EI40+AAX40,1)</f>
        <v/>
      </c>
      <c r="AGM40">
        <f>IF('calcA'!AK$106=1,EJ40+AAY40,1)</f>
        <v/>
      </c>
      <c r="AGN40">
        <f>IF('calcA'!AL$106=1,EK40+AAZ40,1)</f>
        <v/>
      </c>
      <c r="AGO40">
        <f>IF('calcA'!AM$106=1,EL40+ABA40,1)</f>
        <v/>
      </c>
      <c r="AGP40">
        <f>IF('calcA'!AN$106=1,EM40+ABB40,1)</f>
        <v/>
      </c>
      <c r="AGQ40">
        <f>IF('calcA'!AO$106=1,EN40+ABC40,1)</f>
        <v/>
      </c>
      <c r="AGR40">
        <f>IF('calcA'!AP$106=1,EO40+ABD40,1)</f>
        <v/>
      </c>
      <c r="AGS40">
        <f>IF('calcA'!AQ$106=1,EP40+ABE40,1)</f>
        <v/>
      </c>
      <c r="AGT40">
        <f>IF('calcA'!AR$106=1,EQ40+ABF40,1)</f>
        <v/>
      </c>
      <c r="AGU40">
        <f>IF('calcA'!AS$106=1,ER40+ABG40,1)</f>
        <v/>
      </c>
      <c r="AGV40">
        <f>IF('calcA'!AT$106=1,ES40+ABH40,1)</f>
        <v/>
      </c>
      <c r="AGW40">
        <f>IF('calcA'!AU$106=1,ET40+ABI40,1)</f>
        <v/>
      </c>
      <c r="AGX40">
        <f>IF('calcA'!AV$106=1,EU40+ABJ40,1)</f>
        <v/>
      </c>
      <c r="AGY40">
        <f>IF('calcA'!AW$106=1,EV40+ABK40,1)</f>
        <v/>
      </c>
      <c r="AGZ40">
        <f>IF('calcA'!AX$106=1,EW40+ABL40,1)</f>
        <v/>
      </c>
      <c r="AHA40">
        <f>IF('calcA'!AY$106=1,EX40+ABM40,1)</f>
        <v/>
      </c>
      <c r="AHB40">
        <f>IF('calcA'!AZ$106=1,EY40+ABN40,1)</f>
        <v/>
      </c>
      <c r="AHC40">
        <f>IF('calcA'!BA$106=1,EZ40+ABO40,1)</f>
        <v/>
      </c>
      <c r="AHD40">
        <f>IF('calcA'!BB$106=1,FA40+ABP40,1)</f>
        <v/>
      </c>
      <c r="AHE40">
        <f>IF('calcA'!BC$106=1,FB40+ABQ40,1)</f>
        <v/>
      </c>
      <c r="AHF40">
        <f>IF('calcA'!BD$106=1,FC40+ABR40,1)</f>
        <v/>
      </c>
      <c r="AHG40">
        <f>IF('calcA'!BE$106=1,FD40+ABS40,1)</f>
        <v/>
      </c>
      <c r="AHH40">
        <f>IF('calcA'!BF$106=1,FE40+ABT40,1)</f>
        <v/>
      </c>
      <c r="AHI40">
        <f>IF('calcA'!BG$106=1,FF40+ABU40,1)</f>
        <v/>
      </c>
      <c r="AHJ40">
        <f>IF('calcA'!BH$106=1,FG40+ABV40,1)</f>
        <v/>
      </c>
      <c r="AHK40">
        <f>IF('calcA'!BI$106=1,FH40+ABW40,1)</f>
        <v/>
      </c>
      <c r="AHL40">
        <f>IF('calcA'!BJ$106=1,FI40+ABX40,1)</f>
        <v/>
      </c>
      <c r="AHM40">
        <f>IF('calcA'!BK$106=1,FJ40+ABY40,1)</f>
        <v/>
      </c>
      <c r="AHN40">
        <f>IF('calcA'!BL$106=1,FK40+ABZ40,1)</f>
        <v/>
      </c>
      <c r="AHO40">
        <f>IF('calcA'!BM$106=1,FL40+ACA40,1)</f>
        <v/>
      </c>
      <c r="AHP40">
        <f>IF('calcA'!BN$106=1,FM40+ACB40,1)</f>
        <v/>
      </c>
      <c r="AHQ40">
        <f>IF('calcA'!BO$106=1,FN40+ACC40,1)</f>
        <v/>
      </c>
      <c r="AHR40">
        <f>IF('calcA'!BP$106=1,FO40+ACD40,1)</f>
        <v/>
      </c>
      <c r="AHS40">
        <f>IF('calcA'!BQ$106=1,FP40+ACE40,1)</f>
        <v/>
      </c>
      <c r="AHT40">
        <f>IF('calcA'!BR$106=1,FQ40+ACF40,1)</f>
        <v/>
      </c>
      <c r="AHU40">
        <f>IF('calcA'!BS$106=1,FR40+ACG40,1)</f>
        <v/>
      </c>
      <c r="AHV40">
        <f>IF('calcA'!BT$106=1,FS40+ACH40,1)</f>
        <v/>
      </c>
      <c r="AHW40">
        <f>IF('calcA'!BU$106=1,FT40+ACI40,1)</f>
        <v/>
      </c>
      <c r="AHX40">
        <f>IF('calcA'!BV$106=1,FU40+ACJ40,1)</f>
        <v/>
      </c>
      <c r="AHY40">
        <f>IF('calcA'!BW$106=1,FV40+ACK40,1)</f>
        <v/>
      </c>
      <c r="AHZ40">
        <f>IF('calcA'!BX$106=1,FW40+ACL40,1)</f>
        <v/>
      </c>
      <c r="AIA40">
        <f>IF('calcA'!BY$106=1,FX40+ACM40,1)</f>
        <v/>
      </c>
      <c r="AIB40">
        <f>IF('calcA'!BZ$106=1,FY40+ACN40,1)</f>
        <v/>
      </c>
      <c r="AIC40">
        <f>IF('calcA'!CA$106=1,FZ40+ACO40,1)</f>
        <v/>
      </c>
      <c r="AID40">
        <f>IF('calcA'!CB$106=1,GA40+ACP40,1)</f>
        <v/>
      </c>
      <c r="AIE40">
        <f>IF('calcA'!CC$106=1,GB40+ACQ40,1)</f>
        <v/>
      </c>
      <c r="AIF40">
        <f>IF('calcA'!CD$106=1,GC40+ACR40,1)</f>
        <v/>
      </c>
      <c r="AIG40">
        <f>IF('calcA'!CE$106=1,GD40+ACS40,1)</f>
        <v/>
      </c>
      <c r="AIH40">
        <f>IF('calcA'!CF$106=1,GE40+ACT40,1)</f>
        <v/>
      </c>
      <c r="AII40">
        <f>IF('calcA'!CG$106=1,GF40+ACU40,1)</f>
        <v/>
      </c>
      <c r="AIJ40">
        <f>IF('calcA'!CH$106=1,GG40+ACV40,1)</f>
        <v/>
      </c>
      <c r="AIK40">
        <f>IF('calcA'!CI$106=1,GH40+ACW40,1)</f>
        <v/>
      </c>
      <c r="AIL40">
        <f>IF('calcA'!CJ$106=1,GI40+ACX40,1)</f>
        <v/>
      </c>
      <c r="AIM40">
        <f>IF('calcA'!CK$106=1,GJ40+ACY40,1)</f>
        <v/>
      </c>
      <c r="AIN40">
        <f>IF('calcA'!CL$106=1,GK40+ACZ40,1)</f>
        <v/>
      </c>
      <c r="AIO40">
        <f>IF('calcA'!CM$106=1,GL40+ADA40,1)</f>
        <v/>
      </c>
      <c r="AIP40">
        <f>IF('calcA'!CN$106=1,GM40+ADB40,1)</f>
        <v/>
      </c>
      <c r="AIQ40">
        <f>IF('calcA'!CO$106=1,GN40+ADC40,1)</f>
        <v/>
      </c>
      <c r="AIR40">
        <f>IF('calcA'!CP$106=1,GO40+ADD40,1)</f>
        <v/>
      </c>
      <c r="AIS40">
        <f>IF('calcA'!CQ$106=1,GP40+ADE40,1)</f>
        <v/>
      </c>
      <c r="AIT40">
        <f>IF('calcA'!CR$106=1,GQ40+ADF40,1)</f>
        <v/>
      </c>
      <c r="AIU40">
        <f>IF('calcA'!CS$106=1,GR40+ADG40,1)</f>
        <v/>
      </c>
      <c r="AIV40">
        <f>IF('calcA'!CT$106=1,GS40+ADH40,1)</f>
        <v/>
      </c>
      <c r="AIW40">
        <f>IF('calcA'!CU$106=1,GT40+ADI40,1)</f>
        <v/>
      </c>
      <c r="AIX40">
        <f>IF('calcA'!CV$106=1,GU40+ADJ40,1)</f>
        <v/>
      </c>
      <c r="AIY40">
        <f>IF('calcA'!CW$106=1,GV40+ADK40,1)</f>
        <v/>
      </c>
      <c r="AIZ40">
        <f>IF('calcA'!CX$106=1,GW40+ADL40,1)</f>
        <v/>
      </c>
      <c r="AJA40">
        <f>IF('calcA'!CY$106=1,GX40+ADM40,1)</f>
        <v/>
      </c>
      <c r="AJB40">
        <f>IF('calcA'!CZ$106=1,GY40+ADN40,1)</f>
        <v/>
      </c>
      <c r="AJC40">
        <f>IF('calcA'!DA$106=1,GZ40+ADO40,1)</f>
        <v/>
      </c>
      <c r="AJD40">
        <f>IF('calcA'!DB$106=1,HA40+ADP40,1)</f>
        <v/>
      </c>
      <c r="AJE40">
        <f>IF('calcA'!DC$106=1,HB40+ADQ40,1)</f>
        <v/>
      </c>
      <c r="AJF40">
        <f>IF('calcA'!DD$106=1,HC40+ADR40,1)</f>
        <v/>
      </c>
      <c r="AJG40">
        <f>IF('calcA'!DE$106=1,HD40+ADS40,1)</f>
        <v/>
      </c>
      <c r="AJH40">
        <f>IF('calcA'!DF$106=1,HE40+ADT40,1)</f>
        <v/>
      </c>
      <c r="AJI40">
        <f>IF('calcA'!DG$106=1,HF40+ADU40,1)</f>
        <v/>
      </c>
      <c r="AJJ40">
        <f>IF('calcA'!DH$106=1,HG40+ADV40,1)</f>
        <v/>
      </c>
      <c r="AJK40">
        <f>IF('calcA'!DI$106=1,HH40+ADW40,1)</f>
        <v/>
      </c>
      <c r="AJL40">
        <f>IF('calcA'!DJ$106=1,HI40+ADX40,1)</f>
        <v/>
      </c>
      <c r="AJM40">
        <f>IF('calcA'!DK$106=1,HJ40+ADY40,1)</f>
        <v/>
      </c>
      <c r="AJN40">
        <f>IF('calcA'!DL$106=1,HK40+ADZ40,1)</f>
        <v/>
      </c>
      <c r="AJO40">
        <f>IF('calcA'!DM$106=1,HL40+AEA40,1)</f>
        <v/>
      </c>
      <c r="AJP40">
        <f>IF('calcA'!DN$106=1,HM40+AEB40,1)</f>
        <v/>
      </c>
      <c r="AJQ40">
        <f>IF('calcA'!DO$106=1,HN40+AEC40,1)</f>
        <v/>
      </c>
      <c r="AJR40">
        <f>IF('calcA'!DP$106=1,HO40+AED40,1)</f>
        <v/>
      </c>
      <c r="AJS40">
        <f>IF('calcA'!DQ$106=1,HP40+AEE40,1)</f>
        <v/>
      </c>
      <c r="AJT40">
        <f>IF('calcA'!DR$106=1,HQ40+AEF40,1)</f>
        <v/>
      </c>
      <c r="AJU40">
        <f>IF('calcA'!DS$106=1,HR40+AEG40,1)</f>
        <v/>
      </c>
      <c r="AJV40">
        <f>IF('calcA'!DT$106=1,HS40+AEH40,1)</f>
        <v/>
      </c>
      <c r="AJW40">
        <f>IF('calcA'!DU$106=1,HT40+AEI40,1)</f>
        <v/>
      </c>
      <c r="AJX40">
        <f>IF('calcA'!DV$106=1,HU40+AEJ40,1)</f>
        <v/>
      </c>
      <c r="AJY40">
        <f>IF('calcA'!DW$106=1,HV40+AEK40,1)</f>
        <v/>
      </c>
      <c r="AJZ40">
        <f>IF('calcA'!DX$106=1,HW40+AEL40,1)</f>
        <v/>
      </c>
      <c r="AKA40">
        <f>IF('calcA'!DY$106=1,HX40+AEM40,1)</f>
        <v/>
      </c>
      <c r="AKB40">
        <f>IF('calcA'!DZ$106=1,HY40+AEN40,1)</f>
        <v/>
      </c>
      <c r="AKC40">
        <f>IF('calcA'!EA$106=1,HZ40+AEO40,1)</f>
        <v/>
      </c>
      <c r="AKD40">
        <f>IF('calcA'!EB$106=1,IA40+AEP40,1)</f>
        <v/>
      </c>
      <c r="AKE40">
        <f>IF('calcA'!EC$106=1,IB40+AEQ40,1)</f>
        <v/>
      </c>
      <c r="AKF40">
        <f>IF('calcA'!ED$106=1,IC40+AER40,1)</f>
        <v/>
      </c>
      <c r="AKG40">
        <f>IF('calcA'!EE$106=1,ID40+AES40,1)</f>
        <v/>
      </c>
      <c r="AKH40">
        <f>IF('calcA'!EF$106=1,IE40+AET40,1)</f>
        <v/>
      </c>
      <c r="AKI40">
        <f>IF('calcA'!EG$106=1,IF40+AEU40,1)</f>
        <v/>
      </c>
      <c r="AKJ40">
        <f>IF('calcA'!EH$106=1,IG40+AEV40,1)</f>
        <v/>
      </c>
      <c r="AKK40">
        <f>IF('calcA'!EI$106=1,IH40+AEW40,1)</f>
        <v/>
      </c>
      <c r="AKL40">
        <f>IF('calcA'!EJ$106=1,II40+AEX40,1)</f>
        <v/>
      </c>
      <c r="AKM40">
        <f>IF('calcA'!EK$106=1,IJ40+AEY40,1)</f>
        <v/>
      </c>
      <c r="AKN40">
        <f>IF('calcA'!EL$106=1,IK40+AEZ40,1)</f>
        <v/>
      </c>
      <c r="AKO40">
        <f>IF('calcA'!EM$106=1,IL40+AFA40,1)</f>
        <v/>
      </c>
      <c r="AKP40">
        <f>IF('calcA'!EN$106=1,IM40+AFB40,1)</f>
        <v/>
      </c>
      <c r="AKQ40">
        <f>IF('calcA'!EO$106=1,IN40+AFC40,1)</f>
        <v/>
      </c>
      <c r="AKR40">
        <f>IF('calcA'!EP$106=1,IO40+AFD40,1)</f>
        <v/>
      </c>
      <c r="AKS40" t="n">
        <v>1</v>
      </c>
    </row>
    <row r="41">
      <c r="A41" t="n">
        <v>39</v>
      </c>
      <c r="B41">
        <f>IF(MIN(BM41:CZ41)&gt;=1000000000,0,MATCH(MIN(BM41:CZ41),BM41:CZ41,0))</f>
        <v/>
      </c>
      <c r="C41">
        <f>IF(MIN(OF41:TS41)&gt;=1000000000,0,MATCH(MIN(OF41:TS41),OF41:TS41,0))</f>
        <v/>
      </c>
      <c r="D41">
        <f>IF(C41&gt;0,INDEX('calcA'!$D$5:$EQ$5,C41),0)</f>
        <v/>
      </c>
      <c r="E41">
        <f>IF(B41=0,0,INDEX('calcA'!$IQ$10:$IQ$54,B41))</f>
        <v/>
      </c>
      <c r="F41">
        <f>IF(B41=0,0,INDEX('calcA'!$IP$10:$IP$54,B41))</f>
        <v/>
      </c>
      <c r="G41">
        <f>IF(AND(C41&gt;0,E41&gt;0),IF(AND(INDEX('calcA'!$D$106:$EQ$106,C41)=1,INDEX($IQ41:$OD41,C41)=1),C41+1,0),0)</f>
        <v/>
      </c>
      <c r="H41">
        <f>IF(B41=0,0,INDEX('calcA'!$IW$10:$IW$54,B41))</f>
        <v/>
      </c>
      <c r="U41">
        <f>IF(B41=0,0,INDEX('calcA'!$IX$10:$IX$54,B41))</f>
        <v/>
      </c>
      <c r="V41">
        <f>IF(B41=0,0,INDEX('calcA'!$JF$10:$JF$54,B41))</f>
        <v/>
      </c>
      <c r="W41">
        <f>IF(B41=0,0,IF(IF(E41=2,SUMPRODUCT(INDEX('calcA'!$D$60:$EQ$99,B41,0),$DB41:$IO41,$IQ41:$OD41),SUMPRODUCT(INDEX('calcA'!$D$60:$EQ$99,B41,0),$DB41:$IO41))=0,1,0))</f>
        <v/>
      </c>
      <c r="X41">
        <f>MAX(X40,IF($B40=1,1,0))</f>
        <v/>
      </c>
      <c r="Y41">
        <f>MAX(Y40,IF($B40=2,1,0))</f>
        <v/>
      </c>
      <c r="Z41">
        <f>MAX(Z40,IF($B40=3,1,0))</f>
        <v/>
      </c>
      <c r="AA41">
        <f>MAX(AA40,IF($B40=4,1,0))</f>
        <v/>
      </c>
      <c r="AB41">
        <f>MAX(AB40,IF($B40=5,1,0))</f>
        <v/>
      </c>
      <c r="AC41">
        <f>MAX(AC40,IF($B40=6,1,0))</f>
        <v/>
      </c>
      <c r="AD41">
        <f>MAX(AD40,IF($B40=7,1,0))</f>
        <v/>
      </c>
      <c r="AE41">
        <f>MAX(AE40,IF($B40=8,1,0))</f>
        <v/>
      </c>
      <c r="AF41">
        <f>MAX(AF40,IF($B40=9,1,0))</f>
        <v/>
      </c>
      <c r="AG41">
        <f>MAX(AG40,IF($B40=10,1,0))</f>
        <v/>
      </c>
      <c r="AH41">
        <f>MAX(AH40,IF($B40=11,1,0))</f>
        <v/>
      </c>
      <c r="AI41">
        <f>MAX(AI40,IF($B40=12,1,0))</f>
        <v/>
      </c>
      <c r="AJ41">
        <f>MAX(AJ40,IF($B40=13,1,0))</f>
        <v/>
      </c>
      <c r="AK41">
        <f>MAX(AK40,IF($B40=14,1,0))</f>
        <v/>
      </c>
      <c r="AL41">
        <f>MAX(AL40,IF($B40=15,1,0))</f>
        <v/>
      </c>
      <c r="AM41">
        <f>MAX(AM40,IF($B40=16,1,0))</f>
        <v/>
      </c>
      <c r="AN41">
        <f>MAX(AN40,IF($B40=17,1,0))</f>
        <v/>
      </c>
      <c r="AO41">
        <f>MAX(AO40,IF($B40=18,1,0))</f>
        <v/>
      </c>
      <c r="AP41">
        <f>MAX(AP40,IF($B40=19,1,0))</f>
        <v/>
      </c>
      <c r="AQ41">
        <f>MAX(AQ40,IF($B40=20,1,0))</f>
        <v/>
      </c>
      <c r="AR41">
        <f>MAX(AR40,IF($B40=21,1,0))</f>
        <v/>
      </c>
      <c r="AS41">
        <f>MAX(AS40,IF($B40=22,1,0))</f>
        <v/>
      </c>
      <c r="AT41">
        <f>MAX(AT40,IF($B40=23,1,0))</f>
        <v/>
      </c>
      <c r="AU41">
        <f>MAX(AU40,IF($B40=24,1,0))</f>
        <v/>
      </c>
      <c r="AV41">
        <f>MAX(AV40,IF($B40=25,1,0))</f>
        <v/>
      </c>
      <c r="AW41">
        <f>MAX(AW40,IF($B40=26,1,0))</f>
        <v/>
      </c>
      <c r="AX41">
        <f>MAX(AX40,IF($B40=27,1,0))</f>
        <v/>
      </c>
      <c r="AY41">
        <f>MAX(AY40,IF($B40=28,1,0))</f>
        <v/>
      </c>
      <c r="AZ41">
        <f>MAX(AZ40,IF($B40=29,1,0))</f>
        <v/>
      </c>
      <c r="BA41">
        <f>MAX(BA40,IF($B40=30,1,0))</f>
        <v/>
      </c>
      <c r="BB41">
        <f>MAX(BB40,IF($B40=31,1,0))</f>
        <v/>
      </c>
      <c r="BC41">
        <f>MAX(BC40,IF($B40=32,1,0))</f>
        <v/>
      </c>
      <c r="BD41">
        <f>MAX(BD40,IF($B40=33,1,0))</f>
        <v/>
      </c>
      <c r="BE41">
        <f>MAX(BE40,IF($B40=34,1,0))</f>
        <v/>
      </c>
      <c r="BF41">
        <f>MAX(BF40,IF($B40=35,1,0))</f>
        <v/>
      </c>
      <c r="BG41">
        <f>MAX(BG40,IF($B40=36,1,0))</f>
        <v/>
      </c>
      <c r="BH41">
        <f>MAX(BH40,IF($B40=37,1,0))</f>
        <v/>
      </c>
      <c r="BI41">
        <f>MAX(BI40,IF($B40=38,1,0))</f>
        <v/>
      </c>
      <c r="BJ41">
        <f>MAX(BJ40,IF($B40=39,1,0))</f>
        <v/>
      </c>
      <c r="BK41">
        <f>MAX(BK40,IF($B40=40,1,0))</f>
        <v/>
      </c>
      <c r="BM41">
        <f>IF(OR(X41=1,calcA!$A$6=0),1000000000,IF('calcA'!$JF$10=1,0,100000000)+IF('calcA'!$IQ$10=2,SUMPRODUCT('calcA'!$D$60:$EQ$60,$DB41:$IO41,$IQ41:$OD41)*1000+SUMPRODUCT('calcA'!$D$60:$EQ$60,$DB41:$IO41+$ZQ41:$AFD41,$AFF41:$AKS41),SUMPRODUCT('calcA'!$D$60:$EQ$60,$DB41:$IO41*1001+$ZQ41:$AFD41))*100+1)</f>
        <v/>
      </c>
      <c r="BN41">
        <f>IF(OR(Y41=1,calcA!$A$6=0),1000000000,IF('calcA'!$JF$11=1,0,100000000)+IF('calcA'!$IQ$11=2,SUMPRODUCT('calcA'!$D$61:$EQ$61,$DB41:$IO41,$IQ41:$OD41)*1000+SUMPRODUCT('calcA'!$D$61:$EQ$61,$DB41:$IO41+$ZQ41:$AFD41,$AFF41:$AKS41),SUMPRODUCT('calcA'!$D$61:$EQ$61,$DB41:$IO41*1001+$ZQ41:$AFD41))*100+2)</f>
        <v/>
      </c>
      <c r="BO41">
        <f>IF(OR(Z41=1,calcA!$A$6=0),1000000000,IF('calcA'!$JF$12=1,0,100000000)+IF('calcA'!$IQ$12=2,SUMPRODUCT('calcA'!$D$62:$EQ$62,$DB41:$IO41,$IQ41:$OD41)*1000+SUMPRODUCT('calcA'!$D$62:$EQ$62,$DB41:$IO41+$ZQ41:$AFD41,$AFF41:$AKS41),SUMPRODUCT('calcA'!$D$62:$EQ$62,$DB41:$IO41*1001+$ZQ41:$AFD41))*100+3)</f>
        <v/>
      </c>
      <c r="BP41">
        <f>IF(OR(AA41=1,calcA!$A$6=0),1000000000,IF('calcA'!$JF$13=1,0,100000000)+IF('calcA'!$IQ$13=2,SUMPRODUCT('calcA'!$D$63:$EQ$63,$DB41:$IO41,$IQ41:$OD41)*1000+SUMPRODUCT('calcA'!$D$63:$EQ$63,$DB41:$IO41+$ZQ41:$AFD41,$AFF41:$AKS41),SUMPRODUCT('calcA'!$D$63:$EQ$63,$DB41:$IO41*1001+$ZQ41:$AFD41))*100+4)</f>
        <v/>
      </c>
      <c r="BQ41">
        <f>IF(OR(AB41=1,calcA!$A$6=0),1000000000,IF('calcA'!$JF$14=1,0,100000000)+IF('calcA'!$IQ$14=2,SUMPRODUCT('calcA'!$D$64:$EQ$64,$DB41:$IO41,$IQ41:$OD41)*1000+SUMPRODUCT('calcA'!$D$64:$EQ$64,$DB41:$IO41+$ZQ41:$AFD41,$AFF41:$AKS41),SUMPRODUCT('calcA'!$D$64:$EQ$64,$DB41:$IO41*1001+$ZQ41:$AFD41))*100+5)</f>
        <v/>
      </c>
      <c r="BR41">
        <f>IF(OR(AC41=1,calcA!$A$6=0),1000000000,IF('calcA'!$JF$15=1,0,100000000)+IF('calcA'!$IQ$15=2,SUMPRODUCT('calcA'!$D$65:$EQ$65,$DB41:$IO41,$IQ41:$OD41)*1000+SUMPRODUCT('calcA'!$D$65:$EQ$65,$DB41:$IO41+$ZQ41:$AFD41,$AFF41:$AKS41),SUMPRODUCT('calcA'!$D$65:$EQ$65,$DB41:$IO41*1001+$ZQ41:$AFD41))*100+6)</f>
        <v/>
      </c>
      <c r="BS41">
        <f>IF(OR(AD41=1,calcA!$A$6=0),1000000000,IF('calcA'!$JF$16=1,0,100000000)+IF('calcA'!$IQ$16=2,SUMPRODUCT('calcA'!$D$66:$EQ$66,$DB41:$IO41,$IQ41:$OD41)*1000+SUMPRODUCT('calcA'!$D$66:$EQ$66,$DB41:$IO41+$ZQ41:$AFD41,$AFF41:$AKS41),SUMPRODUCT('calcA'!$D$66:$EQ$66,$DB41:$IO41*1001+$ZQ41:$AFD41))*100+7)</f>
        <v/>
      </c>
      <c r="BT41">
        <f>IF(OR(AE41=1,calcA!$A$6=0),1000000000,IF('calcA'!$JF$17=1,0,100000000)+IF('calcA'!$IQ$17=2,SUMPRODUCT('calcA'!$D$67:$EQ$67,$DB41:$IO41,$IQ41:$OD41)*1000+SUMPRODUCT('calcA'!$D$67:$EQ$67,$DB41:$IO41+$ZQ41:$AFD41,$AFF41:$AKS41),SUMPRODUCT('calcA'!$D$67:$EQ$67,$DB41:$IO41*1001+$ZQ41:$AFD41))*100+8)</f>
        <v/>
      </c>
      <c r="BU41">
        <f>IF(OR(AF41=1,calcA!$A$6=0),1000000000,IF('calcA'!$JF$18=1,0,100000000)+IF('calcA'!$IQ$18=2,SUMPRODUCT('calcA'!$D$68:$EQ$68,$DB41:$IO41,$IQ41:$OD41)*1000+SUMPRODUCT('calcA'!$D$68:$EQ$68,$DB41:$IO41+$ZQ41:$AFD41,$AFF41:$AKS41),SUMPRODUCT('calcA'!$D$68:$EQ$68,$DB41:$IO41*1001+$ZQ41:$AFD41))*100+9)</f>
        <v/>
      </c>
      <c r="BV41">
        <f>IF(OR(AG41=1,calcA!$A$6=0),1000000000,IF('calcA'!$JF$19=1,0,100000000)+IF('calcA'!$IQ$19=2,SUMPRODUCT('calcA'!$D$69:$EQ$69,$DB41:$IO41,$IQ41:$OD41)*1000+SUMPRODUCT('calcA'!$D$69:$EQ$69,$DB41:$IO41+$ZQ41:$AFD41,$AFF41:$AKS41),SUMPRODUCT('calcA'!$D$69:$EQ$69,$DB41:$IO41*1001+$ZQ41:$AFD41))*100+10)</f>
        <v/>
      </c>
      <c r="BW41">
        <f>IF(OR(AH41=1,calcA!$A$6=0),1000000000,IF('calcA'!$JF$20=1,0,100000000)+IF('calcA'!$IQ$20=2,SUMPRODUCT('calcA'!$D$70:$EQ$70,$DB41:$IO41,$IQ41:$OD41)*1000+SUMPRODUCT('calcA'!$D$70:$EQ$70,$DB41:$IO41+$ZQ41:$AFD41,$AFF41:$AKS41),SUMPRODUCT('calcA'!$D$70:$EQ$70,$DB41:$IO41*1001+$ZQ41:$AFD41))*100+11)</f>
        <v/>
      </c>
      <c r="BX41">
        <f>IF(OR(AI41=1,calcA!$A$6=0),1000000000,IF('calcA'!$JF$21=1,0,100000000)+IF('calcA'!$IQ$21=2,SUMPRODUCT('calcA'!$D$71:$EQ$71,$DB41:$IO41,$IQ41:$OD41)*1000+SUMPRODUCT('calcA'!$D$71:$EQ$71,$DB41:$IO41+$ZQ41:$AFD41,$AFF41:$AKS41),SUMPRODUCT('calcA'!$D$71:$EQ$71,$DB41:$IO41*1001+$ZQ41:$AFD41))*100+12)</f>
        <v/>
      </c>
      <c r="BY41">
        <f>IF(OR(AJ41=1,calcA!$A$6=0),1000000000,IF('calcA'!$JF$22=1,0,100000000)+IF('calcA'!$IQ$22=2,SUMPRODUCT('calcA'!$D$72:$EQ$72,$DB41:$IO41,$IQ41:$OD41)*1000+SUMPRODUCT('calcA'!$D$72:$EQ$72,$DB41:$IO41+$ZQ41:$AFD41,$AFF41:$AKS41),SUMPRODUCT('calcA'!$D$72:$EQ$72,$DB41:$IO41*1001+$ZQ41:$AFD41))*100+13)</f>
        <v/>
      </c>
      <c r="BZ41">
        <f>IF(OR(AK41=1,calcA!$A$6=0),1000000000,IF('calcA'!$JF$23=1,0,100000000)+IF('calcA'!$IQ$23=2,SUMPRODUCT('calcA'!$D$73:$EQ$73,$DB41:$IO41,$IQ41:$OD41)*1000+SUMPRODUCT('calcA'!$D$73:$EQ$73,$DB41:$IO41+$ZQ41:$AFD41,$AFF41:$AKS41),SUMPRODUCT('calcA'!$D$73:$EQ$73,$DB41:$IO41*1001+$ZQ41:$AFD41))*100+14)</f>
        <v/>
      </c>
      <c r="CA41">
        <f>IF(OR(AL41=1,calcA!$A$6=0),1000000000,IF('calcA'!$JF$24=1,0,100000000)+IF('calcA'!$IQ$24=2,SUMPRODUCT('calcA'!$D$74:$EQ$74,$DB41:$IO41,$IQ41:$OD41)*1000+SUMPRODUCT('calcA'!$D$74:$EQ$74,$DB41:$IO41+$ZQ41:$AFD41,$AFF41:$AKS41),SUMPRODUCT('calcA'!$D$74:$EQ$74,$DB41:$IO41*1001+$ZQ41:$AFD41))*100+15)</f>
        <v/>
      </c>
      <c r="CB41">
        <f>IF(OR(AM41=1,calcA!$A$6=0),1000000000,IF('calcA'!$JF$25=1,0,100000000)+IF('calcA'!$IQ$25=2,SUMPRODUCT('calcA'!$D$75:$EQ$75,$DB41:$IO41,$IQ41:$OD41)*1000+SUMPRODUCT('calcA'!$D$75:$EQ$75,$DB41:$IO41+$ZQ41:$AFD41,$AFF41:$AKS41),SUMPRODUCT('calcA'!$D$75:$EQ$75,$DB41:$IO41*1001+$ZQ41:$AFD41))*100+16)</f>
        <v/>
      </c>
      <c r="CC41">
        <f>IF(OR(AN41=1,calcA!$A$6=0),1000000000,IF('calcA'!$JF$26=1,0,100000000)+IF('calcA'!$IQ$26=2,SUMPRODUCT('calcA'!$D$76:$EQ$76,$DB41:$IO41,$IQ41:$OD41)*1000+SUMPRODUCT('calcA'!$D$76:$EQ$76,$DB41:$IO41+$ZQ41:$AFD41,$AFF41:$AKS41),SUMPRODUCT('calcA'!$D$76:$EQ$76,$DB41:$IO41*1001+$ZQ41:$AFD41))*100+17)</f>
        <v/>
      </c>
      <c r="CD41">
        <f>IF(OR(AO41=1,calcA!$A$6=0),1000000000,IF('calcA'!$JF$27=1,0,100000000)+IF('calcA'!$IQ$27=2,SUMPRODUCT('calcA'!$D$77:$EQ$77,$DB41:$IO41,$IQ41:$OD41)*1000+SUMPRODUCT('calcA'!$D$77:$EQ$77,$DB41:$IO41+$ZQ41:$AFD41,$AFF41:$AKS41),SUMPRODUCT('calcA'!$D$77:$EQ$77,$DB41:$IO41*1001+$ZQ41:$AFD41))*100+18)</f>
        <v/>
      </c>
      <c r="CE41">
        <f>IF(OR(AP41=1,calcA!$A$6=0),1000000000,IF('calcA'!$JF$28=1,0,100000000)+IF('calcA'!$IQ$28=2,SUMPRODUCT('calcA'!$D$78:$EQ$78,$DB41:$IO41,$IQ41:$OD41)*1000+SUMPRODUCT('calcA'!$D$78:$EQ$78,$DB41:$IO41+$ZQ41:$AFD41,$AFF41:$AKS41),SUMPRODUCT('calcA'!$D$78:$EQ$78,$DB41:$IO41*1001+$ZQ41:$AFD41))*100+19)</f>
        <v/>
      </c>
      <c r="CF41">
        <f>IF(OR(AQ41=1,calcA!$A$6=0),1000000000,IF('calcA'!$JF$29=1,0,100000000)+IF('calcA'!$IQ$29=2,SUMPRODUCT('calcA'!$D$79:$EQ$79,$DB41:$IO41,$IQ41:$OD41)*1000+SUMPRODUCT('calcA'!$D$79:$EQ$79,$DB41:$IO41+$ZQ41:$AFD41,$AFF41:$AKS41),SUMPRODUCT('calcA'!$D$79:$EQ$79,$DB41:$IO41*1001+$ZQ41:$AFD41))*100+20)</f>
        <v/>
      </c>
      <c r="CG41">
        <f>IF(OR(AR41=1,calcA!$A$6=0),1000000000,IF('calcA'!$JF$30=1,0,100000000)+IF('calcA'!$IQ$30=2,SUMPRODUCT('calcA'!$D$80:$EQ$80,$DB41:$IO41,$IQ41:$OD41)*1000+SUMPRODUCT('calcA'!$D$80:$EQ$80,$DB41:$IO41+$ZQ41:$AFD41,$AFF41:$AKS41),SUMPRODUCT('calcA'!$D$80:$EQ$80,$DB41:$IO41*1001+$ZQ41:$AFD41))*100+21)</f>
        <v/>
      </c>
      <c r="CH41">
        <f>IF(OR(AS41=1,calcA!$A$6=0),1000000000,IF('calcA'!$JF$31=1,0,100000000)+IF('calcA'!$IQ$31=2,SUMPRODUCT('calcA'!$D$81:$EQ$81,$DB41:$IO41,$IQ41:$OD41)*1000+SUMPRODUCT('calcA'!$D$81:$EQ$81,$DB41:$IO41+$ZQ41:$AFD41,$AFF41:$AKS41),SUMPRODUCT('calcA'!$D$81:$EQ$81,$DB41:$IO41*1001+$ZQ41:$AFD41))*100+22)</f>
        <v/>
      </c>
      <c r="CI41">
        <f>IF(OR(AT41=1,calcA!$A$6=0),1000000000,IF('calcA'!$JF$32=1,0,100000000)+IF('calcA'!$IQ$32=2,SUMPRODUCT('calcA'!$D$82:$EQ$82,$DB41:$IO41,$IQ41:$OD41)*1000+SUMPRODUCT('calcA'!$D$82:$EQ$82,$DB41:$IO41+$ZQ41:$AFD41,$AFF41:$AKS41),SUMPRODUCT('calcA'!$D$82:$EQ$82,$DB41:$IO41*1001+$ZQ41:$AFD41))*100+23)</f>
        <v/>
      </c>
      <c r="CJ41">
        <f>IF(OR(AU41=1,calcA!$A$6=0),1000000000,IF('calcA'!$JF$33=1,0,100000000)+IF('calcA'!$IQ$33=2,SUMPRODUCT('calcA'!$D$83:$EQ$83,$DB41:$IO41,$IQ41:$OD41)*1000+SUMPRODUCT('calcA'!$D$83:$EQ$83,$DB41:$IO41+$ZQ41:$AFD41,$AFF41:$AKS41),SUMPRODUCT('calcA'!$D$83:$EQ$83,$DB41:$IO41*1001+$ZQ41:$AFD41))*100+24)</f>
        <v/>
      </c>
      <c r="CK41">
        <f>IF(OR(AV41=1,calcA!$A$6=0),1000000000,IF('calcA'!$JF$34=1,0,100000000)+IF('calcA'!$IQ$34=2,SUMPRODUCT('calcA'!$D$84:$EQ$84,$DB41:$IO41,$IQ41:$OD41)*1000+SUMPRODUCT('calcA'!$D$84:$EQ$84,$DB41:$IO41+$ZQ41:$AFD41,$AFF41:$AKS41),SUMPRODUCT('calcA'!$D$84:$EQ$84,$DB41:$IO41*1001+$ZQ41:$AFD41))*100+25)</f>
        <v/>
      </c>
      <c r="CL41">
        <f>IF(OR(AW41=1,calcA!$A$6=0),1000000000,IF('calcA'!$JF$35=1,0,100000000)+IF('calcA'!$IQ$35=2,SUMPRODUCT('calcA'!$D$85:$EQ$85,$DB41:$IO41,$IQ41:$OD41)*1000+SUMPRODUCT('calcA'!$D$85:$EQ$85,$DB41:$IO41+$ZQ41:$AFD41,$AFF41:$AKS41),SUMPRODUCT('calcA'!$D$85:$EQ$85,$DB41:$IO41*1001+$ZQ41:$AFD41))*100+26)</f>
        <v/>
      </c>
      <c r="CM41">
        <f>IF(OR(AX41=1,calcA!$A$6=0),1000000000,IF('calcA'!$JF$36=1,0,100000000)+IF('calcA'!$IQ$36=2,SUMPRODUCT('calcA'!$D$86:$EQ$86,$DB41:$IO41,$IQ41:$OD41)*1000+SUMPRODUCT('calcA'!$D$86:$EQ$86,$DB41:$IO41+$ZQ41:$AFD41,$AFF41:$AKS41),SUMPRODUCT('calcA'!$D$86:$EQ$86,$DB41:$IO41*1001+$ZQ41:$AFD41))*100+27)</f>
        <v/>
      </c>
      <c r="CN41">
        <f>IF(OR(AY41=1,calcA!$A$6=0),1000000000,IF('calcA'!$JF$37=1,0,100000000)+IF('calcA'!$IQ$37=2,SUMPRODUCT('calcA'!$D$87:$EQ$87,$DB41:$IO41,$IQ41:$OD41)*1000+SUMPRODUCT('calcA'!$D$87:$EQ$87,$DB41:$IO41+$ZQ41:$AFD41,$AFF41:$AKS41),SUMPRODUCT('calcA'!$D$87:$EQ$87,$DB41:$IO41*1001+$ZQ41:$AFD41))*100+28)</f>
        <v/>
      </c>
      <c r="CO41">
        <f>IF(OR(AZ41=1,calcA!$A$6=0),1000000000,IF('calcA'!$JF$38=1,0,100000000)+IF('calcA'!$IQ$38=2,SUMPRODUCT('calcA'!$D$88:$EQ$88,$DB41:$IO41,$IQ41:$OD41)*1000+SUMPRODUCT('calcA'!$D$88:$EQ$88,$DB41:$IO41+$ZQ41:$AFD41,$AFF41:$AKS41),SUMPRODUCT('calcA'!$D$88:$EQ$88,$DB41:$IO41*1001+$ZQ41:$AFD41))*100+29)</f>
        <v/>
      </c>
      <c r="CP41">
        <f>IF(OR(BA41=1,calcA!$A$6=0),1000000000,IF('calcA'!$JF$39=1,0,100000000)+IF('calcA'!$IQ$39=2,SUMPRODUCT('calcA'!$D$89:$EQ$89,$DB41:$IO41,$IQ41:$OD41)*1000+SUMPRODUCT('calcA'!$D$89:$EQ$89,$DB41:$IO41+$ZQ41:$AFD41,$AFF41:$AKS41),SUMPRODUCT('calcA'!$D$89:$EQ$89,$DB41:$IO41*1001+$ZQ41:$AFD41))*100+30)</f>
        <v/>
      </c>
      <c r="CQ41">
        <f>IF(OR(BB41=1,calcA!$A$6=0),1000000000,IF('calcA'!$JF$40=1,0,100000000)+IF('calcA'!$IQ$40=2,SUMPRODUCT('calcA'!$D$90:$EQ$90,$DB41:$IO41,$IQ41:$OD41)*1000+SUMPRODUCT('calcA'!$D$90:$EQ$90,$DB41:$IO41+$ZQ41:$AFD41,$AFF41:$AKS41),SUMPRODUCT('calcA'!$D$90:$EQ$90,$DB41:$IO41*1001+$ZQ41:$AFD41))*100+31)</f>
        <v/>
      </c>
      <c r="CR41">
        <f>IF(OR(BC41=1,calcA!$A$6=0),1000000000,IF('calcA'!$JF$41=1,0,100000000)+IF('calcA'!$IQ$41=2,SUMPRODUCT('calcA'!$D$91:$EQ$91,$DB41:$IO41,$IQ41:$OD41)*1000+SUMPRODUCT('calcA'!$D$91:$EQ$91,$DB41:$IO41+$ZQ41:$AFD41,$AFF41:$AKS41),SUMPRODUCT('calcA'!$D$91:$EQ$91,$DB41:$IO41*1001+$ZQ41:$AFD41))*100+32)</f>
        <v/>
      </c>
      <c r="CS41">
        <f>IF(OR(BD41=1,calcA!$A$6=0),1000000000,IF('calcA'!$JF$42=1,0,100000000)+IF('calcA'!$IQ$42=2,SUMPRODUCT('calcA'!$D$92:$EQ$92,$DB41:$IO41,$IQ41:$OD41)*1000+SUMPRODUCT('calcA'!$D$92:$EQ$92,$DB41:$IO41+$ZQ41:$AFD41,$AFF41:$AKS41),SUMPRODUCT('calcA'!$D$92:$EQ$92,$DB41:$IO41*1001+$ZQ41:$AFD41))*100+33)</f>
        <v/>
      </c>
      <c r="CT41">
        <f>IF(OR(BE41=1,calcA!$A$6=0),1000000000,IF('calcA'!$JF$43=1,0,100000000)+IF('calcA'!$IQ$43=2,SUMPRODUCT('calcA'!$D$93:$EQ$93,$DB41:$IO41,$IQ41:$OD41)*1000+SUMPRODUCT('calcA'!$D$93:$EQ$93,$DB41:$IO41+$ZQ41:$AFD41,$AFF41:$AKS41),SUMPRODUCT('calcA'!$D$93:$EQ$93,$DB41:$IO41*1001+$ZQ41:$AFD41))*100+34)</f>
        <v/>
      </c>
      <c r="CU41">
        <f>IF(OR(BF41=1,calcA!$A$6=0),1000000000,IF('calcA'!$JF$44=1,0,100000000)+IF('calcA'!$IQ$44=2,SUMPRODUCT('calcA'!$D$94:$EQ$94,$DB41:$IO41,$IQ41:$OD41)*1000+SUMPRODUCT('calcA'!$D$94:$EQ$94,$DB41:$IO41+$ZQ41:$AFD41,$AFF41:$AKS41),SUMPRODUCT('calcA'!$D$94:$EQ$94,$DB41:$IO41*1001+$ZQ41:$AFD41))*100+35)</f>
        <v/>
      </c>
      <c r="CV41">
        <f>IF(OR(BG41=1,calcA!$A$6=0),1000000000,IF('calcA'!$JF$45=1,0,100000000)+IF('calcA'!$IQ$45=2,SUMPRODUCT('calcA'!$D$95:$EQ$95,$DB41:$IO41,$IQ41:$OD41)*1000+SUMPRODUCT('calcA'!$D$95:$EQ$95,$DB41:$IO41+$ZQ41:$AFD41,$AFF41:$AKS41),SUMPRODUCT('calcA'!$D$95:$EQ$95,$DB41:$IO41*1001+$ZQ41:$AFD41))*100+36)</f>
        <v/>
      </c>
      <c r="CW41">
        <f>IF(OR(BH41=1,calcA!$A$6=0),1000000000,IF('calcA'!$JF$46=1,0,100000000)+IF('calcA'!$IQ$46=2,SUMPRODUCT('calcA'!$D$96:$EQ$96,$DB41:$IO41,$IQ41:$OD41)*1000+SUMPRODUCT('calcA'!$D$96:$EQ$96,$DB41:$IO41+$ZQ41:$AFD41,$AFF41:$AKS41),SUMPRODUCT('calcA'!$D$96:$EQ$96,$DB41:$IO41*1001+$ZQ41:$AFD41))*100+37)</f>
        <v/>
      </c>
      <c r="CX41">
        <f>IF(OR(BI41=1,calcA!$A$6=0),1000000000,IF('calcA'!$JF$47=1,0,100000000)+IF('calcA'!$IQ$47=2,SUMPRODUCT('calcA'!$D$97:$EQ$97,$DB41:$IO41,$IQ41:$OD41)*1000+SUMPRODUCT('calcA'!$D$97:$EQ$97,$DB41:$IO41+$ZQ41:$AFD41,$AFF41:$AKS41),SUMPRODUCT('calcA'!$D$97:$EQ$97,$DB41:$IO41*1001+$ZQ41:$AFD41))*100+38)</f>
        <v/>
      </c>
      <c r="CY41">
        <f>IF(OR(BJ41=1,calcA!$A$6=0),1000000000,IF('calcA'!$JF$48=1,0,100000000)+IF('calcA'!$IQ$48=2,SUMPRODUCT('calcA'!$D$98:$EQ$98,$DB41:$IO41,$IQ41:$OD41)*1000+SUMPRODUCT('calcA'!$D$98:$EQ$98,$DB41:$IO41+$ZQ41:$AFD41,$AFF41:$AKS41),SUMPRODUCT('calcA'!$D$98:$EQ$98,$DB41:$IO41*1001+$ZQ41:$AFD41))*100+39)</f>
        <v/>
      </c>
      <c r="CZ41">
        <f>IF(OR(BK41=1,calcA!$A$6=0),1000000000,IF('calcA'!$JF$49=1,0,100000000)+IF('calcA'!$IQ$49=2,SUMPRODUCT('calcA'!$D$99:$EQ$99,$DB41:$IO41,$IQ41:$OD41)*1000+SUMPRODUCT('calcA'!$D$99:$EQ$99,$DB41:$IO41+$ZQ41:$AFD41,$AFF41:$AKS41),SUMPRODUCT('calcA'!$D$99:$EQ$99,$DB41:$IO41*1001+$ZQ41:$AFD41))*100+40)</f>
        <v/>
      </c>
      <c r="DB41">
        <f>DB40*IF(OR($C40=1,$G40=1),0,1)</f>
        <v/>
      </c>
      <c r="DC41">
        <f>DC40*IF(OR($C40=2,$G40=2),0,1)</f>
        <v/>
      </c>
      <c r="DD41">
        <f>DD40*IF(OR($C40=3,$G40=3),0,1)</f>
        <v/>
      </c>
      <c r="DE41">
        <f>DE40*IF(OR($C40=4,$G40=4),0,1)</f>
        <v/>
      </c>
      <c r="DF41">
        <f>DF40*IF(OR($C40=5,$G40=5),0,1)</f>
        <v/>
      </c>
      <c r="DG41">
        <f>DG40*IF(OR($C40=6,$G40=6),0,1)</f>
        <v/>
      </c>
      <c r="DH41">
        <f>DH40*IF(OR($C40=7,$G40=7),0,1)</f>
        <v/>
      </c>
      <c r="DI41">
        <f>DI40*IF(OR($C40=8,$G40=8),0,1)</f>
        <v/>
      </c>
      <c r="DJ41">
        <f>DJ40*IF(OR($C40=9,$G40=9),0,1)</f>
        <v/>
      </c>
      <c r="DK41">
        <f>DK40*IF(OR($C40=10,$G40=10),0,1)</f>
        <v/>
      </c>
      <c r="DL41">
        <f>DL40*IF(OR($C40=11,$G40=11),0,1)</f>
        <v/>
      </c>
      <c r="DM41">
        <f>DM40*IF(OR($C40=12,$G40=12),0,1)</f>
        <v/>
      </c>
      <c r="DN41">
        <f>DN40*IF(OR($C40=13,$G40=13),0,1)</f>
        <v/>
      </c>
      <c r="DO41">
        <f>DO40*IF(OR($C40=14,$G40=14),0,1)</f>
        <v/>
      </c>
      <c r="DP41">
        <f>DP40*IF(OR($C40=15,$G40=15),0,1)</f>
        <v/>
      </c>
      <c r="DQ41">
        <f>DQ40*IF(OR($C40=16,$G40=16),0,1)</f>
        <v/>
      </c>
      <c r="DR41">
        <f>DR40*IF(OR($C40=17,$G40=17),0,1)</f>
        <v/>
      </c>
      <c r="DS41">
        <f>DS40*IF(OR($C40=18,$G40=18),0,1)</f>
        <v/>
      </c>
      <c r="DT41">
        <f>DT40*IF(OR($C40=19,$G40=19),0,1)</f>
        <v/>
      </c>
      <c r="DU41">
        <f>DU40*IF(OR($C40=20,$G40=20),0,1)</f>
        <v/>
      </c>
      <c r="DV41">
        <f>DV40*IF(OR($C40=21,$G40=21),0,1)</f>
        <v/>
      </c>
      <c r="DW41">
        <f>DW40*IF(OR($C40=22,$G40=22),0,1)</f>
        <v/>
      </c>
      <c r="DX41">
        <f>DX40*IF(OR($C40=23,$G40=23),0,1)</f>
        <v/>
      </c>
      <c r="DY41">
        <f>DY40*IF(OR($C40=24,$G40=24),0,1)</f>
        <v/>
      </c>
      <c r="DZ41">
        <f>DZ40*IF(OR($C40=25,$G40=25),0,1)</f>
        <v/>
      </c>
      <c r="EA41">
        <f>EA40*IF(OR($C40=26,$G40=26),0,1)</f>
        <v/>
      </c>
      <c r="EB41">
        <f>EB40*IF(OR($C40=27,$G40=27),0,1)</f>
        <v/>
      </c>
      <c r="EC41">
        <f>EC40*IF(OR($C40=28,$G40=28),0,1)</f>
        <v/>
      </c>
      <c r="ED41">
        <f>ED40*IF(OR($C40=29,$G40=29),0,1)</f>
        <v/>
      </c>
      <c r="EE41">
        <f>EE40*IF(OR($C40=30,$G40=30),0,1)</f>
        <v/>
      </c>
      <c r="EF41">
        <f>EF40*IF(OR($C40=31,$G40=31),0,1)</f>
        <v/>
      </c>
      <c r="EG41">
        <f>EG40*IF(OR($C40=32,$G40=32),0,1)</f>
        <v/>
      </c>
      <c r="EH41">
        <f>EH40*IF(OR($C40=33,$G40=33),0,1)</f>
        <v/>
      </c>
      <c r="EI41">
        <f>EI40*IF(OR($C40=34,$G40=34),0,1)</f>
        <v/>
      </c>
      <c r="EJ41">
        <f>EJ40*IF(OR($C40=35,$G40=35),0,1)</f>
        <v/>
      </c>
      <c r="EK41">
        <f>EK40*IF(OR($C40=36,$G40=36),0,1)</f>
        <v/>
      </c>
      <c r="EL41">
        <f>EL40*IF(OR($C40=37,$G40=37),0,1)</f>
        <v/>
      </c>
      <c r="EM41">
        <f>EM40*IF(OR($C40=38,$G40=38),0,1)</f>
        <v/>
      </c>
      <c r="EN41">
        <f>EN40*IF(OR($C40=39,$G40=39),0,1)</f>
        <v/>
      </c>
      <c r="EO41">
        <f>EO40*IF(OR($C40=40,$G40=40),0,1)</f>
        <v/>
      </c>
      <c r="EP41">
        <f>EP40*IF(OR($C40=41,$G40=41),0,1)</f>
        <v/>
      </c>
      <c r="EQ41">
        <f>EQ40*IF(OR($C40=42,$G40=42),0,1)</f>
        <v/>
      </c>
      <c r="ER41">
        <f>ER40*IF(OR($C40=43,$G40=43),0,1)</f>
        <v/>
      </c>
      <c r="ES41">
        <f>ES40*IF(OR($C40=44,$G40=44),0,1)</f>
        <v/>
      </c>
      <c r="ET41">
        <f>ET40*IF(OR($C40=45,$G40=45),0,1)</f>
        <v/>
      </c>
      <c r="EU41">
        <f>EU40*IF(OR($C40=46,$G40=46),0,1)</f>
        <v/>
      </c>
      <c r="EV41">
        <f>EV40*IF(OR($C40=47,$G40=47),0,1)</f>
        <v/>
      </c>
      <c r="EW41">
        <f>EW40*IF(OR($C40=48,$G40=48),0,1)</f>
        <v/>
      </c>
      <c r="EX41">
        <f>EX40*IF(OR($C40=49,$G40=49),0,1)</f>
        <v/>
      </c>
      <c r="EY41">
        <f>EY40*IF(OR($C40=50,$G40=50),0,1)</f>
        <v/>
      </c>
      <c r="EZ41">
        <f>EZ40*IF(OR($C40=51,$G40=51),0,1)</f>
        <v/>
      </c>
      <c r="FA41">
        <f>FA40*IF(OR($C40=52,$G40=52),0,1)</f>
        <v/>
      </c>
      <c r="FB41">
        <f>FB40*IF(OR($C40=53,$G40=53),0,1)</f>
        <v/>
      </c>
      <c r="FC41">
        <f>FC40*IF(OR($C40=54,$G40=54),0,1)</f>
        <v/>
      </c>
      <c r="FD41">
        <f>FD40*IF(OR($C40=55,$G40=55),0,1)</f>
        <v/>
      </c>
      <c r="FE41">
        <f>FE40*IF(OR($C40=56,$G40=56),0,1)</f>
        <v/>
      </c>
      <c r="FF41">
        <f>FF40*IF(OR($C40=57,$G40=57),0,1)</f>
        <v/>
      </c>
      <c r="FG41">
        <f>FG40*IF(OR($C40=58,$G40=58),0,1)</f>
        <v/>
      </c>
      <c r="FH41">
        <f>FH40*IF(OR($C40=59,$G40=59),0,1)</f>
        <v/>
      </c>
      <c r="FI41">
        <f>FI40*IF(OR($C40=60,$G40=60),0,1)</f>
        <v/>
      </c>
      <c r="FJ41">
        <f>FJ40*IF(OR($C40=61,$G40=61),0,1)</f>
        <v/>
      </c>
      <c r="FK41">
        <f>FK40*IF(OR($C40=62,$G40=62),0,1)</f>
        <v/>
      </c>
      <c r="FL41">
        <f>FL40*IF(OR($C40=63,$G40=63),0,1)</f>
        <v/>
      </c>
      <c r="FM41">
        <f>FM40*IF(OR($C40=64,$G40=64),0,1)</f>
        <v/>
      </c>
      <c r="FN41">
        <f>FN40*IF(OR($C40=65,$G40=65),0,1)</f>
        <v/>
      </c>
      <c r="FO41">
        <f>FO40*IF(OR($C40=66,$G40=66),0,1)</f>
        <v/>
      </c>
      <c r="FP41">
        <f>FP40*IF(OR($C40=67,$G40=67),0,1)</f>
        <v/>
      </c>
      <c r="FQ41">
        <f>FQ40*IF(OR($C40=68,$G40=68),0,1)</f>
        <v/>
      </c>
      <c r="FR41">
        <f>FR40*IF(OR($C40=69,$G40=69),0,1)</f>
        <v/>
      </c>
      <c r="FS41">
        <f>FS40*IF(OR($C40=70,$G40=70),0,1)</f>
        <v/>
      </c>
      <c r="FT41">
        <f>FT40*IF(OR($C40=71,$G40=71),0,1)</f>
        <v/>
      </c>
      <c r="FU41">
        <f>FU40*IF(OR($C40=72,$G40=72),0,1)</f>
        <v/>
      </c>
      <c r="FV41">
        <f>FV40*IF(OR($C40=73,$G40=73),0,1)</f>
        <v/>
      </c>
      <c r="FW41">
        <f>FW40*IF(OR($C40=74,$G40=74),0,1)</f>
        <v/>
      </c>
      <c r="FX41">
        <f>FX40*IF(OR($C40=75,$G40=75),0,1)</f>
        <v/>
      </c>
      <c r="FY41">
        <f>FY40*IF(OR($C40=76,$G40=76),0,1)</f>
        <v/>
      </c>
      <c r="FZ41">
        <f>FZ40*IF(OR($C40=77,$G40=77),0,1)</f>
        <v/>
      </c>
      <c r="GA41">
        <f>GA40*IF(OR($C40=78,$G40=78),0,1)</f>
        <v/>
      </c>
      <c r="GB41">
        <f>GB40*IF(OR($C40=79,$G40=79),0,1)</f>
        <v/>
      </c>
      <c r="GC41">
        <f>GC40*IF(OR($C40=80,$G40=80),0,1)</f>
        <v/>
      </c>
      <c r="GD41">
        <f>GD40*IF(OR($C40=81,$G40=81),0,1)</f>
        <v/>
      </c>
      <c r="GE41">
        <f>GE40*IF(OR($C40=82,$G40=82),0,1)</f>
        <v/>
      </c>
      <c r="GF41">
        <f>GF40*IF(OR($C40=83,$G40=83),0,1)</f>
        <v/>
      </c>
      <c r="GG41">
        <f>GG40*IF(OR($C40=84,$G40=84),0,1)</f>
        <v/>
      </c>
      <c r="GH41">
        <f>GH40*IF(OR($C40=85,$G40=85),0,1)</f>
        <v/>
      </c>
      <c r="GI41">
        <f>GI40*IF(OR($C40=86,$G40=86),0,1)</f>
        <v/>
      </c>
      <c r="GJ41">
        <f>GJ40*IF(OR($C40=87,$G40=87),0,1)</f>
        <v/>
      </c>
      <c r="GK41">
        <f>GK40*IF(OR($C40=88,$G40=88),0,1)</f>
        <v/>
      </c>
      <c r="GL41">
        <f>GL40*IF(OR($C40=89,$G40=89),0,1)</f>
        <v/>
      </c>
      <c r="GM41">
        <f>GM40*IF(OR($C40=90,$G40=90),0,1)</f>
        <v/>
      </c>
      <c r="GN41">
        <f>GN40*IF(OR($C40=91,$G40=91),0,1)</f>
        <v/>
      </c>
      <c r="GO41">
        <f>GO40*IF(OR($C40=92,$G40=92),0,1)</f>
        <v/>
      </c>
      <c r="GP41">
        <f>GP40*IF(OR($C40=93,$G40=93),0,1)</f>
        <v/>
      </c>
      <c r="GQ41">
        <f>GQ40*IF(OR($C40=94,$G40=94),0,1)</f>
        <v/>
      </c>
      <c r="GR41">
        <f>GR40*IF(OR($C40=95,$G40=95),0,1)</f>
        <v/>
      </c>
      <c r="GS41">
        <f>GS40*IF(OR($C40=96,$G40=96),0,1)</f>
        <v/>
      </c>
      <c r="GT41">
        <f>GT40*IF(OR($C40=97,$G40=97),0,1)</f>
        <v/>
      </c>
      <c r="GU41">
        <f>GU40*IF(OR($C40=98,$G40=98),0,1)</f>
        <v/>
      </c>
      <c r="GV41">
        <f>GV40*IF(OR($C40=99,$G40=99),0,1)</f>
        <v/>
      </c>
      <c r="GW41">
        <f>GW40*IF(OR($C40=100,$G40=100),0,1)</f>
        <v/>
      </c>
      <c r="GX41">
        <f>GX40*IF(OR($C40=101,$G40=101),0,1)</f>
        <v/>
      </c>
      <c r="GY41">
        <f>GY40*IF(OR($C40=102,$G40=102),0,1)</f>
        <v/>
      </c>
      <c r="GZ41">
        <f>GZ40*IF(OR($C40=103,$G40=103),0,1)</f>
        <v/>
      </c>
      <c r="HA41">
        <f>HA40*IF(OR($C40=104,$G40=104),0,1)</f>
        <v/>
      </c>
      <c r="HB41">
        <f>HB40*IF(OR($C40=105,$G40=105),0,1)</f>
        <v/>
      </c>
      <c r="HC41">
        <f>HC40*IF(OR($C40=106,$G40=106),0,1)</f>
        <v/>
      </c>
      <c r="HD41">
        <f>HD40*IF(OR($C40=107,$G40=107),0,1)</f>
        <v/>
      </c>
      <c r="HE41">
        <f>HE40*IF(OR($C40=108,$G40=108),0,1)</f>
        <v/>
      </c>
      <c r="HF41">
        <f>HF40*IF(OR($C40=109,$G40=109),0,1)</f>
        <v/>
      </c>
      <c r="HG41">
        <f>HG40*IF(OR($C40=110,$G40=110),0,1)</f>
        <v/>
      </c>
      <c r="HH41">
        <f>HH40*IF(OR($C40=111,$G40=111),0,1)</f>
        <v/>
      </c>
      <c r="HI41">
        <f>HI40*IF(OR($C40=112,$G40=112),0,1)</f>
        <v/>
      </c>
      <c r="HJ41">
        <f>HJ40*IF(OR($C40=113,$G40=113),0,1)</f>
        <v/>
      </c>
      <c r="HK41">
        <f>HK40*IF(OR($C40=114,$G40=114),0,1)</f>
        <v/>
      </c>
      <c r="HL41">
        <f>HL40*IF(OR($C40=115,$G40=115),0,1)</f>
        <v/>
      </c>
      <c r="HM41">
        <f>HM40*IF(OR($C40=116,$G40=116),0,1)</f>
        <v/>
      </c>
      <c r="HN41">
        <f>HN40*IF(OR($C40=117,$G40=117),0,1)</f>
        <v/>
      </c>
      <c r="HO41">
        <f>HO40*IF(OR($C40=118,$G40=118),0,1)</f>
        <v/>
      </c>
      <c r="HP41">
        <f>HP40*IF(OR($C40=119,$G40=119),0,1)</f>
        <v/>
      </c>
      <c r="HQ41">
        <f>HQ40*IF(OR($C40=120,$G40=120),0,1)</f>
        <v/>
      </c>
      <c r="HR41">
        <f>HR40*IF(OR($C40=121,$G40=121),0,1)</f>
        <v/>
      </c>
      <c r="HS41">
        <f>HS40*IF(OR($C40=122,$G40=122),0,1)</f>
        <v/>
      </c>
      <c r="HT41">
        <f>HT40*IF(OR($C40=123,$G40=123),0,1)</f>
        <v/>
      </c>
      <c r="HU41">
        <f>HU40*IF(OR($C40=124,$G40=124),0,1)</f>
        <v/>
      </c>
      <c r="HV41">
        <f>HV40*IF(OR($C40=125,$G40=125),0,1)</f>
        <v/>
      </c>
      <c r="HW41">
        <f>HW40*IF(OR($C40=126,$G40=126),0,1)</f>
        <v/>
      </c>
      <c r="HX41">
        <f>HX40*IF(OR($C40=127,$G40=127),0,1)</f>
        <v/>
      </c>
      <c r="HY41">
        <f>HY40*IF(OR($C40=128,$G40=128),0,1)</f>
        <v/>
      </c>
      <c r="HZ41">
        <f>HZ40*IF(OR($C40=129,$G40=129),0,1)</f>
        <v/>
      </c>
      <c r="IA41">
        <f>IA40*IF(OR($C40=130,$G40=130),0,1)</f>
        <v/>
      </c>
      <c r="IB41">
        <f>IB40*IF(OR($C40=131,$G40=131),0,1)</f>
        <v/>
      </c>
      <c r="IC41">
        <f>IC40*IF(OR($C40=132,$G40=132),0,1)</f>
        <v/>
      </c>
      <c r="ID41">
        <f>ID40*IF(OR($C40=133,$G40=133),0,1)</f>
        <v/>
      </c>
      <c r="IE41">
        <f>IE40*IF(OR($C40=134,$G40=134),0,1)</f>
        <v/>
      </c>
      <c r="IF41">
        <f>IF40*IF(OR($C40=135,$G40=135),0,1)</f>
        <v/>
      </c>
      <c r="IG41">
        <f>IG40*IF(OR($C40=136,$G40=136),0,1)</f>
        <v/>
      </c>
      <c r="IH41">
        <f>IH40*IF(OR($C40=137,$G40=137),0,1)</f>
        <v/>
      </c>
      <c r="II41">
        <f>II40*IF(OR($C40=138,$G40=138),0,1)</f>
        <v/>
      </c>
      <c r="IJ41">
        <f>IJ40*IF(OR($C40=139,$G40=139),0,1)</f>
        <v/>
      </c>
      <c r="IK41">
        <f>IK40*IF(OR($C40=140,$G40=140),0,1)</f>
        <v/>
      </c>
      <c r="IL41">
        <f>IL40*IF(OR($C40=141,$G40=141),0,1)</f>
        <v/>
      </c>
      <c r="IM41">
        <f>IM40*IF(OR($C40=142,$G40=142),0,1)</f>
        <v/>
      </c>
      <c r="IN41">
        <f>IN40*IF(OR($C40=143,$G40=143),0,1)</f>
        <v/>
      </c>
      <c r="IO41">
        <f>IO40*IF(OR($C40=144,$G40=144),0,1)</f>
        <v/>
      </c>
      <c r="IQ41">
        <f>IF('calcA'!D$106=1,DC41,1)</f>
        <v/>
      </c>
      <c r="IR41">
        <f>IF('calcA'!E$106=1,DD41,1)</f>
        <v/>
      </c>
      <c r="IS41">
        <f>IF('calcA'!F$106=1,DE41,1)</f>
        <v/>
      </c>
      <c r="IT41">
        <f>IF('calcA'!G$106=1,DF41,1)</f>
        <v/>
      </c>
      <c r="IU41">
        <f>IF('calcA'!H$106=1,DG41,1)</f>
        <v/>
      </c>
      <c r="IV41">
        <f>IF('calcA'!I$106=1,DH41,1)</f>
        <v/>
      </c>
      <c r="IW41">
        <f>IF('calcA'!J$106=1,DI41,1)</f>
        <v/>
      </c>
      <c r="IX41">
        <f>IF('calcA'!K$106=1,DJ41,1)</f>
        <v/>
      </c>
      <c r="IY41">
        <f>IF('calcA'!L$106=1,DK41,1)</f>
        <v/>
      </c>
      <c r="IZ41">
        <f>IF('calcA'!M$106=1,DL41,1)</f>
        <v/>
      </c>
      <c r="JA41">
        <f>IF('calcA'!N$106=1,DM41,1)</f>
        <v/>
      </c>
      <c r="JB41">
        <f>IF('calcA'!O$106=1,DN41,1)</f>
        <v/>
      </c>
      <c r="JC41">
        <f>IF('calcA'!P$106=1,DO41,1)</f>
        <v/>
      </c>
      <c r="JD41">
        <f>IF('calcA'!Q$106=1,DP41,1)</f>
        <v/>
      </c>
      <c r="JE41">
        <f>IF('calcA'!R$106=1,DQ41,1)</f>
        <v/>
      </c>
      <c r="JF41">
        <f>IF('calcA'!S$106=1,DR41,1)</f>
        <v/>
      </c>
      <c r="JG41">
        <f>IF('calcA'!T$106=1,DS41,1)</f>
        <v/>
      </c>
      <c r="JH41">
        <f>IF('calcA'!U$106=1,DT41,1)</f>
        <v/>
      </c>
      <c r="JI41">
        <f>IF('calcA'!V$106=1,DU41,1)</f>
        <v/>
      </c>
      <c r="JJ41">
        <f>IF('calcA'!W$106=1,DV41,1)</f>
        <v/>
      </c>
      <c r="JK41">
        <f>IF('calcA'!X$106=1,DW41,1)</f>
        <v/>
      </c>
      <c r="JL41">
        <f>IF('calcA'!Y$106=1,DX41,1)</f>
        <v/>
      </c>
      <c r="JM41">
        <f>IF('calcA'!Z$106=1,DY41,1)</f>
        <v/>
      </c>
      <c r="JN41">
        <f>IF('calcA'!AA$106=1,DZ41,1)</f>
        <v/>
      </c>
      <c r="JO41">
        <f>IF('calcA'!AB$106=1,EA41,1)</f>
        <v/>
      </c>
      <c r="JP41">
        <f>IF('calcA'!AC$106=1,EB41,1)</f>
        <v/>
      </c>
      <c r="JQ41">
        <f>IF('calcA'!AD$106=1,EC41,1)</f>
        <v/>
      </c>
      <c r="JR41">
        <f>IF('calcA'!AE$106=1,ED41,1)</f>
        <v/>
      </c>
      <c r="JS41">
        <f>IF('calcA'!AF$106=1,EE41,1)</f>
        <v/>
      </c>
      <c r="JT41">
        <f>IF('calcA'!AG$106=1,EF41,1)</f>
        <v/>
      </c>
      <c r="JU41">
        <f>IF('calcA'!AH$106=1,EG41,1)</f>
        <v/>
      </c>
      <c r="JV41">
        <f>IF('calcA'!AI$106=1,EH41,1)</f>
        <v/>
      </c>
      <c r="JW41">
        <f>IF('calcA'!AJ$106=1,EI41,1)</f>
        <v/>
      </c>
      <c r="JX41">
        <f>IF('calcA'!AK$106=1,EJ41,1)</f>
        <v/>
      </c>
      <c r="JY41">
        <f>IF('calcA'!AL$106=1,EK41,1)</f>
        <v/>
      </c>
      <c r="JZ41">
        <f>IF('calcA'!AM$106=1,EL41,1)</f>
        <v/>
      </c>
      <c r="KA41">
        <f>IF('calcA'!AN$106=1,EM41,1)</f>
        <v/>
      </c>
      <c r="KB41">
        <f>IF('calcA'!AO$106=1,EN41,1)</f>
        <v/>
      </c>
      <c r="KC41">
        <f>IF('calcA'!AP$106=1,EO41,1)</f>
        <v/>
      </c>
      <c r="KD41">
        <f>IF('calcA'!AQ$106=1,EP41,1)</f>
        <v/>
      </c>
      <c r="KE41">
        <f>IF('calcA'!AR$106=1,EQ41,1)</f>
        <v/>
      </c>
      <c r="KF41">
        <f>IF('calcA'!AS$106=1,ER41,1)</f>
        <v/>
      </c>
      <c r="KG41">
        <f>IF('calcA'!AT$106=1,ES41,1)</f>
        <v/>
      </c>
      <c r="KH41">
        <f>IF('calcA'!AU$106=1,ET41,1)</f>
        <v/>
      </c>
      <c r="KI41">
        <f>IF('calcA'!AV$106=1,EU41,1)</f>
        <v/>
      </c>
      <c r="KJ41">
        <f>IF('calcA'!AW$106=1,EV41,1)</f>
        <v/>
      </c>
      <c r="KK41">
        <f>IF('calcA'!AX$106=1,EW41,1)</f>
        <v/>
      </c>
      <c r="KL41">
        <f>IF('calcA'!AY$106=1,EX41,1)</f>
        <v/>
      </c>
      <c r="KM41">
        <f>IF('calcA'!AZ$106=1,EY41,1)</f>
        <v/>
      </c>
      <c r="KN41">
        <f>IF('calcA'!BA$106=1,EZ41,1)</f>
        <v/>
      </c>
      <c r="KO41">
        <f>IF('calcA'!BB$106=1,FA41,1)</f>
        <v/>
      </c>
      <c r="KP41">
        <f>IF('calcA'!BC$106=1,FB41,1)</f>
        <v/>
      </c>
      <c r="KQ41">
        <f>IF('calcA'!BD$106=1,FC41,1)</f>
        <v/>
      </c>
      <c r="KR41">
        <f>IF('calcA'!BE$106=1,FD41,1)</f>
        <v/>
      </c>
      <c r="KS41">
        <f>IF('calcA'!BF$106=1,FE41,1)</f>
        <v/>
      </c>
      <c r="KT41">
        <f>IF('calcA'!BG$106=1,FF41,1)</f>
        <v/>
      </c>
      <c r="KU41">
        <f>IF('calcA'!BH$106=1,FG41,1)</f>
        <v/>
      </c>
      <c r="KV41">
        <f>IF('calcA'!BI$106=1,FH41,1)</f>
        <v/>
      </c>
      <c r="KW41">
        <f>IF('calcA'!BJ$106=1,FI41,1)</f>
        <v/>
      </c>
      <c r="KX41">
        <f>IF('calcA'!BK$106=1,FJ41,1)</f>
        <v/>
      </c>
      <c r="KY41">
        <f>IF('calcA'!BL$106=1,FK41,1)</f>
        <v/>
      </c>
      <c r="KZ41">
        <f>IF('calcA'!BM$106=1,FL41,1)</f>
        <v/>
      </c>
      <c r="LA41">
        <f>IF('calcA'!BN$106=1,FM41,1)</f>
        <v/>
      </c>
      <c r="LB41">
        <f>IF('calcA'!BO$106=1,FN41,1)</f>
        <v/>
      </c>
      <c r="LC41">
        <f>IF('calcA'!BP$106=1,FO41,1)</f>
        <v/>
      </c>
      <c r="LD41">
        <f>IF('calcA'!BQ$106=1,FP41,1)</f>
        <v/>
      </c>
      <c r="LE41">
        <f>IF('calcA'!BR$106=1,FQ41,1)</f>
        <v/>
      </c>
      <c r="LF41">
        <f>IF('calcA'!BS$106=1,FR41,1)</f>
        <v/>
      </c>
      <c r="LG41">
        <f>IF('calcA'!BT$106=1,FS41,1)</f>
        <v/>
      </c>
      <c r="LH41">
        <f>IF('calcA'!BU$106=1,FT41,1)</f>
        <v/>
      </c>
      <c r="LI41">
        <f>IF('calcA'!BV$106=1,FU41,1)</f>
        <v/>
      </c>
      <c r="LJ41">
        <f>IF('calcA'!BW$106=1,FV41,1)</f>
        <v/>
      </c>
      <c r="LK41">
        <f>IF('calcA'!BX$106=1,FW41,1)</f>
        <v/>
      </c>
      <c r="LL41">
        <f>IF('calcA'!BY$106=1,FX41,1)</f>
        <v/>
      </c>
      <c r="LM41">
        <f>IF('calcA'!BZ$106=1,FY41,1)</f>
        <v/>
      </c>
      <c r="LN41">
        <f>IF('calcA'!CA$106=1,FZ41,1)</f>
        <v/>
      </c>
      <c r="LO41">
        <f>IF('calcA'!CB$106=1,GA41,1)</f>
        <v/>
      </c>
      <c r="LP41">
        <f>IF('calcA'!CC$106=1,GB41,1)</f>
        <v/>
      </c>
      <c r="LQ41">
        <f>IF('calcA'!CD$106=1,GC41,1)</f>
        <v/>
      </c>
      <c r="LR41">
        <f>IF('calcA'!CE$106=1,GD41,1)</f>
        <v/>
      </c>
      <c r="LS41">
        <f>IF('calcA'!CF$106=1,GE41,1)</f>
        <v/>
      </c>
      <c r="LT41">
        <f>IF('calcA'!CG$106=1,GF41,1)</f>
        <v/>
      </c>
      <c r="LU41">
        <f>IF('calcA'!CH$106=1,GG41,1)</f>
        <v/>
      </c>
      <c r="LV41">
        <f>IF('calcA'!CI$106=1,GH41,1)</f>
        <v/>
      </c>
      <c r="LW41">
        <f>IF('calcA'!CJ$106=1,GI41,1)</f>
        <v/>
      </c>
      <c r="LX41">
        <f>IF('calcA'!CK$106=1,GJ41,1)</f>
        <v/>
      </c>
      <c r="LY41">
        <f>IF('calcA'!CL$106=1,GK41,1)</f>
        <v/>
      </c>
      <c r="LZ41">
        <f>IF('calcA'!CM$106=1,GL41,1)</f>
        <v/>
      </c>
      <c r="MA41">
        <f>IF('calcA'!CN$106=1,GM41,1)</f>
        <v/>
      </c>
      <c r="MB41">
        <f>IF('calcA'!CO$106=1,GN41,1)</f>
        <v/>
      </c>
      <c r="MC41">
        <f>IF('calcA'!CP$106=1,GO41,1)</f>
        <v/>
      </c>
      <c r="MD41">
        <f>IF('calcA'!CQ$106=1,GP41,1)</f>
        <v/>
      </c>
      <c r="ME41">
        <f>IF('calcA'!CR$106=1,GQ41,1)</f>
        <v/>
      </c>
      <c r="MF41">
        <f>IF('calcA'!CS$106=1,GR41,1)</f>
        <v/>
      </c>
      <c r="MG41">
        <f>IF('calcA'!CT$106=1,GS41,1)</f>
        <v/>
      </c>
      <c r="MH41">
        <f>IF('calcA'!CU$106=1,GT41,1)</f>
        <v/>
      </c>
      <c r="MI41">
        <f>IF('calcA'!CV$106=1,GU41,1)</f>
        <v/>
      </c>
      <c r="MJ41">
        <f>IF('calcA'!CW$106=1,GV41,1)</f>
        <v/>
      </c>
      <c r="MK41">
        <f>IF('calcA'!CX$106=1,GW41,1)</f>
        <v/>
      </c>
      <c r="ML41">
        <f>IF('calcA'!CY$106=1,GX41,1)</f>
        <v/>
      </c>
      <c r="MM41">
        <f>IF('calcA'!CZ$106=1,GY41,1)</f>
        <v/>
      </c>
      <c r="MN41">
        <f>IF('calcA'!DA$106=1,GZ41,1)</f>
        <v/>
      </c>
      <c r="MO41">
        <f>IF('calcA'!DB$106=1,HA41,1)</f>
        <v/>
      </c>
      <c r="MP41">
        <f>IF('calcA'!DC$106=1,HB41,1)</f>
        <v/>
      </c>
      <c r="MQ41">
        <f>IF('calcA'!DD$106=1,HC41,1)</f>
        <v/>
      </c>
      <c r="MR41">
        <f>IF('calcA'!DE$106=1,HD41,1)</f>
        <v/>
      </c>
      <c r="MS41">
        <f>IF('calcA'!DF$106=1,HE41,1)</f>
        <v/>
      </c>
      <c r="MT41">
        <f>IF('calcA'!DG$106=1,HF41,1)</f>
        <v/>
      </c>
      <c r="MU41">
        <f>IF('calcA'!DH$106=1,HG41,1)</f>
        <v/>
      </c>
      <c r="MV41">
        <f>IF('calcA'!DI$106=1,HH41,1)</f>
        <v/>
      </c>
      <c r="MW41">
        <f>IF('calcA'!DJ$106=1,HI41,1)</f>
        <v/>
      </c>
      <c r="MX41">
        <f>IF('calcA'!DK$106=1,HJ41,1)</f>
        <v/>
      </c>
      <c r="MY41">
        <f>IF('calcA'!DL$106=1,HK41,1)</f>
        <v/>
      </c>
      <c r="MZ41">
        <f>IF('calcA'!DM$106=1,HL41,1)</f>
        <v/>
      </c>
      <c r="NA41">
        <f>IF('calcA'!DN$106=1,HM41,1)</f>
        <v/>
      </c>
      <c r="NB41">
        <f>IF('calcA'!DO$106=1,HN41,1)</f>
        <v/>
      </c>
      <c r="NC41">
        <f>IF('calcA'!DP$106=1,HO41,1)</f>
        <v/>
      </c>
      <c r="ND41">
        <f>IF('calcA'!DQ$106=1,HP41,1)</f>
        <v/>
      </c>
      <c r="NE41">
        <f>IF('calcA'!DR$106=1,HQ41,1)</f>
        <v/>
      </c>
      <c r="NF41">
        <f>IF('calcA'!DS$106=1,HR41,1)</f>
        <v/>
      </c>
      <c r="NG41">
        <f>IF('calcA'!DT$106=1,HS41,1)</f>
        <v/>
      </c>
      <c r="NH41">
        <f>IF('calcA'!DU$106=1,HT41,1)</f>
        <v/>
      </c>
      <c r="NI41">
        <f>IF('calcA'!DV$106=1,HU41,1)</f>
        <v/>
      </c>
      <c r="NJ41">
        <f>IF('calcA'!DW$106=1,HV41,1)</f>
        <v/>
      </c>
      <c r="NK41">
        <f>IF('calcA'!DX$106=1,HW41,1)</f>
        <v/>
      </c>
      <c r="NL41">
        <f>IF('calcA'!DY$106=1,HX41,1)</f>
        <v/>
      </c>
      <c r="NM41">
        <f>IF('calcA'!DZ$106=1,HY41,1)</f>
        <v/>
      </c>
      <c r="NN41">
        <f>IF('calcA'!EA$106=1,HZ41,1)</f>
        <v/>
      </c>
      <c r="NO41">
        <f>IF('calcA'!EB$106=1,IA41,1)</f>
        <v/>
      </c>
      <c r="NP41">
        <f>IF('calcA'!EC$106=1,IB41,1)</f>
        <v/>
      </c>
      <c r="NQ41">
        <f>IF('calcA'!ED$106=1,IC41,1)</f>
        <v/>
      </c>
      <c r="NR41">
        <f>IF('calcA'!EE$106=1,ID41,1)</f>
        <v/>
      </c>
      <c r="NS41">
        <f>IF('calcA'!EF$106=1,IE41,1)</f>
        <v/>
      </c>
      <c r="NT41">
        <f>IF('calcA'!EG$106=1,IF41,1)</f>
        <v/>
      </c>
      <c r="NU41">
        <f>IF('calcA'!EH$106=1,IG41,1)</f>
        <v/>
      </c>
      <c r="NV41">
        <f>IF('calcA'!EI$106=1,IH41,1)</f>
        <v/>
      </c>
      <c r="NW41">
        <f>IF('calcA'!EJ$106=1,II41,1)</f>
        <v/>
      </c>
      <c r="NX41">
        <f>IF('calcA'!EK$106=1,IJ41,1)</f>
        <v/>
      </c>
      <c r="NY41">
        <f>IF('calcA'!EL$106=1,IK41,1)</f>
        <v/>
      </c>
      <c r="NZ41">
        <f>IF('calcA'!EM$106=1,IL41,1)</f>
        <v/>
      </c>
      <c r="OA41">
        <f>IF('calcA'!EN$106=1,IM41,1)</f>
        <v/>
      </c>
      <c r="OB41">
        <f>IF('calcA'!EO$106=1,IN41,1)</f>
        <v/>
      </c>
      <c r="OC41">
        <f>IF('calcA'!EP$106=1,IO41,1)</f>
        <v/>
      </c>
      <c r="OD41" t="n">
        <v>1</v>
      </c>
      <c r="OF41">
        <f>IF($B41=0,1000000000,IF(INDEX('calcA'!$D$60:$EQ$99,$B41,1)*IF($W41=1,DB41+ZQ41,DB41)=1,IF(AND($E41=2,IF($W41=1,AFF41,IQ41)=0),1000000000,IF($V41=1,INDEX('calcA'!$D$130:$EQ$169,$B41,1)+IF(AND($E41=1,IQ41=0),25,0),IF($F41&gt;0,INDEX('calcA'!D$110:D$114,$F41+1)+IF(AND($E41=1,IQ41=0),1000,0),MIN(TU41,20)*400+(IF('calcA'!D$106=1,1-DC41,0))*150+11+'calcA'!D$5*100000+IF(AND($E41=1,IQ41=0),50000,0))+IF($H41=1,INDEX('calcA'!$D$180:$EQ$219,$B41,1)*4000,0)-IF(AND($U41=1,'calcA'!D$117=1,DC41=0),2000,0))),1000000000))</f>
        <v/>
      </c>
      <c r="OG41">
        <f>IF($B41=0,1000000000,IF(INDEX('calcA'!$D$60:$EQ$99,$B41,2)*IF($W41=1,DC41+ZR41,DC41)=1,IF(AND($E41=2,IF($W41=1,AFG41,IR41)=0),1000000000,IF($V41=1,INDEX('calcA'!$D$130:$EQ$169,$B41,2)+IF(AND($E41=1,IR41=0),25,0),IF($F41&gt;0,INDEX('calcA'!E$110:E$114,$F41+1)+IF(AND($E41=1,IR41=0),1000,0),MIN(TU41,20)*400+(IF('calcA'!D$106=1,1-DB41,0)+IF('calcA'!E$106=1,1-DD41,0))*150+21+'calcA'!E$5*100000+IF(AND($E41=1,IR41=0),50000,0))+IF($H41=1,INDEX('calcA'!$D$180:$EQ$219,$B41,2)*4000,0)-IF(AND('calcA'!D$117=1,UB41&gt;0),2000,0)-IF(AND($U41=1,'calcA'!E$117=1,DD41=0),2000,0))),1000000000))</f>
        <v/>
      </c>
      <c r="OH41">
        <f>IF($B41=0,1000000000,IF(INDEX('calcA'!$D$60:$EQ$99,$B41,3)*IF($W41=1,DD41+ZS41,DD41)=1,IF(AND($E41=2,IF($W41=1,AFH41,IS41)=0),1000000000,IF($V41=1,INDEX('calcA'!$D$130:$EQ$169,$B41,3)+IF(AND($E41=1,IS41=0),25,0),IF($F41&gt;0,INDEX('calcA'!F$110:F$114,$F41+1)+IF(AND($E41=1,IS41=0),1000,0),MIN(TU41,20)*400+(IF('calcA'!E$106=1,1-DC41,0)+IF('calcA'!F$106=1,1-DE41,0))*150+31+'calcA'!F$5*100000+IF(AND($E41=1,IS41=0),50000,0))+IF($H41=1,INDEX('calcA'!$D$180:$EQ$219,$B41,3)*4000,0)-IF(AND('calcA'!E$117=1,UC41&gt;0),2000,0)-IF(AND($U41=1,'calcA'!F$117=1,DE41=0),2000,0))),1000000000))</f>
        <v/>
      </c>
      <c r="OI41">
        <f>IF($B41=0,1000000000,IF(INDEX('calcA'!$D$60:$EQ$99,$B41,4)*IF($W41=1,DE41+ZT41,DE41)=1,IF(AND($E41=2,IF($W41=1,AFI41,IT41)=0),1000000000,IF($V41=1,INDEX('calcA'!$D$130:$EQ$169,$B41,4)+IF(AND($E41=1,IT41=0),25,0),IF($F41&gt;0,INDEX('calcA'!G$110:G$114,$F41+1)+IF(AND($E41=1,IT41=0),1000,0),MIN(TU41,20)*400+(IF('calcA'!F$106=1,1-DD41,0)+IF('calcA'!G$106=1,1-DF41,0))*150+41+'calcA'!G$5*100000+IF(AND($E41=1,IT41=0),50000,0))+IF($H41=1,INDEX('calcA'!$D$180:$EQ$219,$B41,4)*4000,0)-IF(AND('calcA'!F$117=1,UD41&gt;0),2000,0)-IF(AND($U41=1,'calcA'!G$117=1,DF41=0),2000,0))),1000000000))</f>
        <v/>
      </c>
      <c r="OJ41">
        <f>IF($B41=0,1000000000,IF(INDEX('calcA'!$D$60:$EQ$99,$B41,5)*IF($W41=1,DF41+ZU41,DF41)=1,IF(AND($E41=2,IF($W41=1,AFJ41,IU41)=0),1000000000,IF($V41=1,INDEX('calcA'!$D$130:$EQ$169,$B41,5)+IF(AND($E41=1,IU41=0),25,0),IF($F41&gt;0,INDEX('calcA'!H$110:H$114,$F41+1)+IF(AND($E41=1,IU41=0),1000,0),MIN(TU41,20)*400+(IF('calcA'!G$106=1,1-DE41,0)+IF('calcA'!H$106=1,1-DG41,0))*150+51+'calcA'!H$5*100000+IF(AND($E41=1,IU41=0),50000,0))+IF($H41=1,INDEX('calcA'!$D$180:$EQ$219,$B41,5)*4000,0)-IF(AND('calcA'!G$117=1,UE41&gt;0),2000,0)-IF(AND($U41=1,'calcA'!H$117=1,DG41=0),2000,0))),1000000000))</f>
        <v/>
      </c>
      <c r="OK41">
        <f>IF($B41=0,1000000000,IF(INDEX('calcA'!$D$60:$EQ$99,$B41,6)*IF($W41=1,DG41+ZV41,DG41)=1,IF(AND($E41=2,IF($W41=1,AFK41,IV41)=0),1000000000,IF($V41=1,INDEX('calcA'!$D$130:$EQ$169,$B41,6)+IF(AND($E41=1,IV41=0),25,0),IF($F41&gt;0,INDEX('calcA'!I$110:I$114,$F41+1)+IF(AND($E41=1,IV41=0),1000,0),MIN(TU41,20)*400+(IF('calcA'!H$106=1,1-DF41,0)+IF('calcA'!I$106=1,1-DH41,0))*150+61+'calcA'!I$5*100000+IF(AND($E41=1,IV41=0),50000,0))+IF($H41=1,INDEX('calcA'!$D$180:$EQ$219,$B41,6)*4000,0)-IF(AND('calcA'!H$117=1,UF41&gt;0),2000,0)-IF(AND($U41=1,'calcA'!I$117=1,DH41=0),2000,0))),1000000000))</f>
        <v/>
      </c>
      <c r="OL41">
        <f>IF($B41=0,1000000000,IF(INDEX('calcA'!$D$60:$EQ$99,$B41,7)*IF($W41=1,DH41+ZW41,DH41)=1,IF(AND($E41=2,IF($W41=1,AFL41,IW41)=0),1000000000,IF($V41=1,INDEX('calcA'!$D$130:$EQ$169,$B41,7)+IF(AND($E41=1,IW41=0),25,0),IF($F41&gt;0,INDEX('calcA'!J$110:J$114,$F41+1)+IF(AND($E41=1,IW41=0),1000,0),MIN(TU41,20)*400+(IF('calcA'!I$106=1,1-DG41,0)+IF('calcA'!J$106=1,1-DI41,0))*150+71+'calcA'!J$5*100000+IF(AND($E41=1,IW41=0),50000,0))+IF($H41=1,INDEX('calcA'!$D$180:$EQ$219,$B41,7)*4000,0)-IF(AND('calcA'!I$117=1,UG41&gt;0),2000,0)-IF(AND($U41=1,'calcA'!J$117=1,DI41=0),2000,0))),1000000000))</f>
        <v/>
      </c>
      <c r="OM41">
        <f>IF($B41=0,1000000000,IF(INDEX('calcA'!$D$60:$EQ$99,$B41,8)*IF($W41=1,DI41+ZX41,DI41)=1,IF(AND($E41=2,IF($W41=1,AFM41,IX41)=0),1000000000,IF($V41=1,INDEX('calcA'!$D$130:$EQ$169,$B41,8)+IF(AND($E41=1,IX41=0),25,0),IF($F41&gt;0,INDEX('calcA'!K$110:K$114,$F41+1)+IF(AND($E41=1,IX41=0),1000,0),MIN(TU41,20)*400+(IF('calcA'!J$106=1,1-DH41,0)+IF('calcA'!K$106=1,1-DJ41,0))*150+81+'calcA'!K$5*100000+IF(AND($E41=1,IX41=0),50000,0))+IF($H41=1,INDEX('calcA'!$D$180:$EQ$219,$B41,8)*4000,0)-IF(AND('calcA'!J$117=1,UH41&gt;0),2000,0)-IF(AND($U41=1,'calcA'!K$117=1,DJ41=0),2000,0))),1000000000))</f>
        <v/>
      </c>
      <c r="ON41">
        <f>IF($B41=0,1000000000,IF(INDEX('calcA'!$D$60:$EQ$99,$B41,9)*IF($W41=1,DJ41+ZY41,DJ41)=1,IF(AND($E41=2,IF($W41=1,AFN41,IY41)=0),1000000000,IF($V41=1,INDEX('calcA'!$D$130:$EQ$169,$B41,9)+IF(AND($E41=1,IY41=0),25,0),IF($F41&gt;0,INDEX('calcA'!L$110:L$114,$F41+1)+IF(AND($E41=1,IY41=0),1000,0),MIN(TU41,20)*400+(IF('calcA'!K$106=1,1-DI41,0)+IF('calcA'!L$106=1,1-DK41,0))*150+91+'calcA'!L$5*100000+IF(AND($E41=1,IY41=0),50000,0))+IF($H41=1,INDEX('calcA'!$D$180:$EQ$219,$B41,9)*4000,0)-IF(AND('calcA'!K$117=1,UI41&gt;0),2000,0)-IF(AND($U41=1,'calcA'!L$117=1,DK41=0),2000,0))),1000000000))</f>
        <v/>
      </c>
      <c r="OO41">
        <f>IF($B41=0,1000000000,IF(INDEX('calcA'!$D$60:$EQ$99,$B41,10)*IF($W41=1,DK41+ZZ41,DK41)=1,IF(AND($E41=2,IF($W41=1,AFO41,IZ41)=0),1000000000,IF($V41=1,INDEX('calcA'!$D$130:$EQ$169,$B41,10)+IF(AND($E41=1,IZ41=0),25,0),IF($F41&gt;0,INDEX('calcA'!M$110:M$114,$F41+1)+IF(AND($E41=1,IZ41=0),1000,0),MIN(TU41,20)*400+(IF('calcA'!L$106=1,1-DJ41,0)+IF('calcA'!M$106=1,1-DL41,0))*150+101+'calcA'!M$5*100000+IF(AND($E41=1,IZ41=0),50000,0))+IF($H41=1,INDEX('calcA'!$D$180:$EQ$219,$B41,10)*4000,0)-IF(AND('calcA'!L$117=1,UJ41&gt;0),2000,0)-IF(AND($U41=1,'calcA'!M$117=1,DL41=0),2000,0))),1000000000))</f>
        <v/>
      </c>
      <c r="OP41">
        <f>IF($B41=0,1000000000,IF(INDEX('calcA'!$D$60:$EQ$99,$B41,11)*IF($W41=1,DL41+AAA41,DL41)=1,IF(AND($E41=2,IF($W41=1,AFP41,JA41)=0),1000000000,IF($V41=1,INDEX('calcA'!$D$130:$EQ$169,$B41,11)+IF(AND($E41=1,JA41=0),25,0),IF($F41&gt;0,INDEX('calcA'!N$110:N$114,$F41+1)+IF(AND($E41=1,JA41=0),1000,0),MIN(TU41,20)*400+(IF('calcA'!M$106=1,1-DK41,0)+IF('calcA'!N$106=1,1-DM41,0))*150+111+'calcA'!N$5*100000+IF(AND($E41=1,JA41=0),50000,0))+IF($H41=1,INDEX('calcA'!$D$180:$EQ$219,$B41,11)*4000,0)-IF(AND('calcA'!M$117=1,UK41&gt;0),2000,0)-IF(AND($U41=1,'calcA'!N$117=1,DM41=0),2000,0))),1000000000))</f>
        <v/>
      </c>
      <c r="OQ41">
        <f>IF($B41=0,1000000000,IF(INDEX('calcA'!$D$60:$EQ$99,$B41,12)*IF($W41=1,DM41+AAB41,DM41)=1,IF(AND($E41=2,IF($W41=1,AFQ41,JB41)=0),1000000000,IF($V41=1,INDEX('calcA'!$D$130:$EQ$169,$B41,12)+IF(AND($E41=1,JB41=0),25,0),IF($F41&gt;0,INDEX('calcA'!O$110:O$114,$F41+1)+IF(AND($E41=1,JB41=0),1000,0),MIN(TU41,20)*400+(IF('calcA'!N$106=1,1-DL41,0)+IF('calcA'!O$106=1,1-DN41,0))*150+121+'calcA'!O$5*100000+IF(AND($E41=1,JB41=0),50000,0))+IF($H41=1,INDEX('calcA'!$D$180:$EQ$219,$B41,12)*4000,0)-IF(AND('calcA'!N$117=1,UL41&gt;0),2000,0)-IF(AND($U41=1,'calcA'!O$117=1,DN41=0),2000,0))),1000000000))</f>
        <v/>
      </c>
      <c r="OR41">
        <f>IF($B41=0,1000000000,IF(INDEX('calcA'!$D$60:$EQ$99,$B41,13)*IF($W41=1,DN41+AAC41,DN41)=1,IF(AND($E41=2,IF($W41=1,AFR41,JC41)=0),1000000000,IF($V41=1,INDEX('calcA'!$D$130:$EQ$169,$B41,13)+IF(AND($E41=1,JC41=0),25,0),IF($F41&gt;0,INDEX('calcA'!P$110:P$114,$F41+1)+IF(AND($E41=1,JC41=0),1000,0),MIN(TU41,20)*400+(IF('calcA'!O$106=1,1-DM41,0)+IF('calcA'!P$106=1,1-DO41,0))*150+131+'calcA'!P$5*100000+IF(AND($E41=1,JC41=0),50000,0))+IF($H41=1,INDEX('calcA'!$D$180:$EQ$219,$B41,13)*4000,0)-IF(AND('calcA'!O$117=1,UM41&gt;0),2000,0)-IF(AND($U41=1,'calcA'!P$117=1,DO41=0),2000,0))),1000000000))</f>
        <v/>
      </c>
      <c r="OS41">
        <f>IF($B41=0,1000000000,IF(INDEX('calcA'!$D$60:$EQ$99,$B41,14)*IF($W41=1,DO41+AAD41,DO41)=1,IF(AND($E41=2,IF($W41=1,AFS41,JD41)=0),1000000000,IF($V41=1,INDEX('calcA'!$D$130:$EQ$169,$B41,14)+IF(AND($E41=1,JD41=0),25,0),IF($F41&gt;0,INDEX('calcA'!Q$110:Q$114,$F41+1)+IF(AND($E41=1,JD41=0),1000,0),MIN(TU41,20)*400+(IF('calcA'!P$106=1,1-DN41,0)+IF('calcA'!Q$106=1,1-DP41,0))*150+141+'calcA'!Q$5*100000+IF(AND($E41=1,JD41=0),50000,0))+IF($H41=1,INDEX('calcA'!$D$180:$EQ$219,$B41,14)*4000,0)-IF(AND('calcA'!P$117=1,UN41&gt;0),2000,0)-IF(AND($U41=1,'calcA'!Q$117=1,DP41=0),2000,0))),1000000000))</f>
        <v/>
      </c>
      <c r="OT41">
        <f>IF($B41=0,1000000000,IF(INDEX('calcA'!$D$60:$EQ$99,$B41,15)*IF($W41=1,DP41+AAE41,DP41)=1,IF(AND($E41=2,IF($W41=1,AFT41,JE41)=0),1000000000,IF($V41=1,INDEX('calcA'!$D$130:$EQ$169,$B41,15)+IF(AND($E41=1,JE41=0),25,0),IF($F41&gt;0,INDEX('calcA'!R$110:R$114,$F41+1)+IF(AND($E41=1,JE41=0),1000,0),MIN(TU41,20)*400+(IF('calcA'!Q$106=1,1-DO41,0)+IF('calcA'!R$106=1,1-DQ41,0))*150+151+'calcA'!R$5*100000+IF(AND($E41=1,JE41=0),50000,0))+IF($H41=1,INDEX('calcA'!$D$180:$EQ$219,$B41,15)*4000,0)-IF(AND('calcA'!Q$117=1,UO41&gt;0),2000,0)-IF(AND($U41=1,'calcA'!R$117=1,DQ41=0),2000,0))),1000000000))</f>
        <v/>
      </c>
      <c r="OU41">
        <f>IF($B41=0,1000000000,IF(INDEX('calcA'!$D$60:$EQ$99,$B41,16)*IF($W41=1,DQ41+AAF41,DQ41)=1,IF(AND($E41=2,IF($W41=1,AFU41,JF41)=0),1000000000,IF($V41=1,INDEX('calcA'!$D$130:$EQ$169,$B41,16)+IF(AND($E41=1,JF41=0),25,0),IF($F41&gt;0,INDEX('calcA'!S$110:S$114,$F41+1)+IF(AND($E41=1,JF41=0),1000,0),MIN(TU41,20)*400+(IF('calcA'!R$106=1,1-DP41,0)+IF('calcA'!S$106=1,1-DR41,0))*150+161+'calcA'!S$5*100000+IF(AND($E41=1,JF41=0),50000,0))+IF($H41=1,INDEX('calcA'!$D$180:$EQ$219,$B41,16)*4000,0)-IF(AND('calcA'!R$117=1,UP41&gt;0),2000,0)-IF(AND($U41=1,'calcA'!S$117=1,DR41=0),2000,0))),1000000000))</f>
        <v/>
      </c>
      <c r="OV41">
        <f>IF($B41=0,1000000000,IF(INDEX('calcA'!$D$60:$EQ$99,$B41,17)*IF($W41=1,DR41+AAG41,DR41)=1,IF(AND($E41=2,IF($W41=1,AFV41,JG41)=0),1000000000,IF($V41=1,INDEX('calcA'!$D$130:$EQ$169,$B41,17)+IF(AND($E41=1,JG41=0),25,0),IF($F41&gt;0,INDEX('calcA'!T$110:T$114,$F41+1)+IF(AND($E41=1,JG41=0),1000,0),MIN(TU41,20)*400+(IF('calcA'!S$106=1,1-DQ41,0)+IF('calcA'!T$106=1,1-DS41,0))*150+171+'calcA'!T$5*100000+IF(AND($E41=1,JG41=0),50000,0))+IF($H41=1,INDEX('calcA'!$D$180:$EQ$219,$B41,17)*4000,0)-IF(AND('calcA'!S$117=1,UQ41&gt;0),2000,0)-IF(AND($U41=1,'calcA'!T$117=1,DS41=0),2000,0))),1000000000))</f>
        <v/>
      </c>
      <c r="OW41">
        <f>IF($B41=0,1000000000,IF(INDEX('calcA'!$D$60:$EQ$99,$B41,18)*IF($W41=1,DS41+AAH41,DS41)=1,IF(AND($E41=2,IF($W41=1,AFW41,JH41)=0),1000000000,IF($V41=1,INDEX('calcA'!$D$130:$EQ$169,$B41,18)+IF(AND($E41=1,JH41=0),25,0),IF($F41&gt;0,INDEX('calcA'!U$110:U$114,$F41+1)+IF(AND($E41=1,JH41=0),1000,0),MIN(TU41,20)*400+(IF('calcA'!T$106=1,1-DR41,0)+IF('calcA'!U$106=1,1-DT41,0))*150+181+'calcA'!U$5*100000+IF(AND($E41=1,JH41=0),50000,0))+IF($H41=1,INDEX('calcA'!$D$180:$EQ$219,$B41,18)*4000,0)-IF(AND('calcA'!T$117=1,UR41&gt;0),2000,0)-IF(AND($U41=1,'calcA'!U$117=1,DT41=0),2000,0))),1000000000))</f>
        <v/>
      </c>
      <c r="OX41">
        <f>IF($B41=0,1000000000,IF(INDEX('calcA'!$D$60:$EQ$99,$B41,19)*IF($W41=1,DT41+AAI41,DT41)=1,IF(AND($E41=2,IF($W41=1,AFX41,JI41)=0),1000000000,IF($V41=1,INDEX('calcA'!$D$130:$EQ$169,$B41,19)+IF(AND($E41=1,JI41=0),25,0),IF($F41&gt;0,INDEX('calcA'!V$110:V$114,$F41+1)+IF(AND($E41=1,JI41=0),1000,0),MIN(TU41,20)*400+(IF('calcA'!U$106=1,1-DS41,0)+IF('calcA'!V$106=1,1-DU41,0))*150+191+'calcA'!V$5*100000+IF(AND($E41=1,JI41=0),50000,0))+IF($H41=1,INDEX('calcA'!$D$180:$EQ$219,$B41,19)*4000,0)-IF(AND('calcA'!U$117=1,US41&gt;0),2000,0)-IF(AND($U41=1,'calcA'!V$117=1,DU41=0),2000,0))),1000000000))</f>
        <v/>
      </c>
      <c r="OY41">
        <f>IF($B41=0,1000000000,IF(INDEX('calcA'!$D$60:$EQ$99,$B41,20)*IF($W41=1,DU41+AAJ41,DU41)=1,IF(AND($E41=2,IF($W41=1,AFY41,JJ41)=0),1000000000,IF($V41=1,INDEX('calcA'!$D$130:$EQ$169,$B41,20)+IF(AND($E41=1,JJ41=0),25,0),IF($F41&gt;0,INDEX('calcA'!W$110:W$114,$F41+1)+IF(AND($E41=1,JJ41=0),1000,0),MIN(TU41,20)*400+(IF('calcA'!V$106=1,1-DT41,0)+IF('calcA'!W$106=1,1-DV41,0))*150+201+'calcA'!W$5*100000+IF(AND($E41=1,JJ41=0),50000,0))+IF($H41=1,INDEX('calcA'!$D$180:$EQ$219,$B41,20)*4000,0)-IF(AND('calcA'!V$117=1,UT41&gt;0),2000,0)-IF(AND($U41=1,'calcA'!W$117=1,DV41=0),2000,0))),1000000000))</f>
        <v/>
      </c>
      <c r="OZ41">
        <f>IF($B41=0,1000000000,IF(INDEX('calcA'!$D$60:$EQ$99,$B41,21)*IF($W41=1,DV41+AAK41,DV41)=1,IF(AND($E41=2,IF($W41=1,AFZ41,JK41)=0),1000000000,IF($V41=1,INDEX('calcA'!$D$130:$EQ$169,$B41,21)+IF(AND($E41=1,JK41=0),25,0),IF($F41&gt;0,INDEX('calcA'!X$110:X$114,$F41+1)+IF(AND($E41=1,JK41=0),1000,0),MIN(TU41,20)*400+(IF('calcA'!W$106=1,1-DU41,0)+IF('calcA'!X$106=1,1-DW41,0))*150+211+'calcA'!X$5*100000+IF(AND($E41=1,JK41=0),50000,0))+IF($H41=1,INDEX('calcA'!$D$180:$EQ$219,$B41,21)*4000,0)-IF(AND('calcA'!W$117=1,UU41&gt;0),2000,0)-IF(AND($U41=1,'calcA'!X$117=1,DW41=0),2000,0))),1000000000))</f>
        <v/>
      </c>
      <c r="PA41">
        <f>IF($B41=0,1000000000,IF(INDEX('calcA'!$D$60:$EQ$99,$B41,22)*IF($W41=1,DW41+AAL41,DW41)=1,IF(AND($E41=2,IF($W41=1,AGA41,JL41)=0),1000000000,IF($V41=1,INDEX('calcA'!$D$130:$EQ$169,$B41,22)+IF(AND($E41=1,JL41=0),25,0),IF($F41&gt;0,INDEX('calcA'!Y$110:Y$114,$F41+1)+IF(AND($E41=1,JL41=0),1000,0),MIN(TU41,20)*400+(IF('calcA'!X$106=1,1-DV41,0)+IF('calcA'!Y$106=1,1-DX41,0))*150+221+'calcA'!Y$5*100000+IF(AND($E41=1,JL41=0),50000,0))+IF($H41=1,INDEX('calcA'!$D$180:$EQ$219,$B41,22)*4000,0)-IF(AND('calcA'!X$117=1,UV41&gt;0),2000,0)-IF(AND($U41=1,'calcA'!Y$117=1,DX41=0),2000,0))),1000000000))</f>
        <v/>
      </c>
      <c r="PB41">
        <f>IF($B41=0,1000000000,IF(INDEX('calcA'!$D$60:$EQ$99,$B41,23)*IF($W41=1,DX41+AAM41,DX41)=1,IF(AND($E41=2,IF($W41=1,AGB41,JM41)=0),1000000000,IF($V41=1,INDEX('calcA'!$D$130:$EQ$169,$B41,23)+IF(AND($E41=1,JM41=0),25,0),IF($F41&gt;0,INDEX('calcA'!Z$110:Z$114,$F41+1)+IF(AND($E41=1,JM41=0),1000,0),MIN(TU41,20)*400+(IF('calcA'!Y$106=1,1-DW41,0)+IF('calcA'!Z$106=1,1-DY41,0))*150+231+'calcA'!Z$5*100000+IF(AND($E41=1,JM41=0),50000,0))+IF($H41=1,INDEX('calcA'!$D$180:$EQ$219,$B41,23)*4000,0)-IF(AND('calcA'!Y$117=1,UW41&gt;0),2000,0)-IF(AND($U41=1,'calcA'!Z$117=1,DY41=0),2000,0))),1000000000))</f>
        <v/>
      </c>
      <c r="PC41">
        <f>IF($B41=0,1000000000,IF(INDEX('calcA'!$D$60:$EQ$99,$B41,24)*IF($W41=1,DY41+AAN41,DY41)=1,IF(AND($E41=2,IF($W41=1,AGC41,JN41)=0),1000000000,IF($V41=1,INDEX('calcA'!$D$130:$EQ$169,$B41,24)+IF(AND($E41=1,JN41=0),25,0),IF($F41&gt;0,INDEX('calcA'!AA$110:AA$114,$F41+1)+IF(AND($E41=1,JN41=0),1000,0),MIN(TU41,20)*400+(IF('calcA'!Z$106=1,1-DX41,0))*150+241+'calcA'!AA$5*100000+IF(AND($E41=1,JN41=0),50000,0))+IF($H41=1,INDEX('calcA'!$D$180:$EQ$219,$B41,24)*4000,0)-IF(AND('calcA'!Z$117=1,UX41&gt;0),2000,0))),1000000000))</f>
        <v/>
      </c>
      <c r="PD41">
        <f>IF($B41=0,1000000000,IF(INDEX('calcA'!$D$60:$EQ$99,$B41,25)*IF($W41=1,DZ41+AAO41,DZ41)=1,IF(AND($E41=2,IF($W41=1,AGD41,JO41)=0),1000000000,IF($V41=1,INDEX('calcA'!$D$130:$EQ$169,$B41,25)+IF(AND($E41=1,JO41=0),25,0),IF($F41&gt;0,INDEX('calcA'!AB$110:AB$114,$F41+1)+IF(AND($E41=1,JO41=0),1000,0),MIN(TV41,20)*400+(IF('calcA'!AB$106=1,1-EA41,0))*150+12+'calcA'!AB$5*100000+IF(AND($E41=1,JO41=0),50000,0))+IF($H41=1,INDEX('calcA'!$D$180:$EQ$219,$B41,25)*4000,0)-IF(AND($U41=1,'calcA'!AB$117=1,EA41=0),2000,0))),1000000000))</f>
        <v/>
      </c>
      <c r="PE41">
        <f>IF($B41=0,1000000000,IF(INDEX('calcA'!$D$60:$EQ$99,$B41,26)*IF($W41=1,EA41+AAP41,EA41)=1,IF(AND($E41=2,IF($W41=1,AGE41,JP41)=0),1000000000,IF($V41=1,INDEX('calcA'!$D$130:$EQ$169,$B41,26)+IF(AND($E41=1,JP41=0),25,0),IF($F41&gt;0,INDEX('calcA'!AC$110:AC$114,$F41+1)+IF(AND($E41=1,JP41=0),1000,0),MIN(TV41,20)*400+(IF('calcA'!AB$106=1,1-DZ41,0)+IF('calcA'!AC$106=1,1-EB41,0))*150+22+'calcA'!AC$5*100000+IF(AND($E41=1,JP41=0),50000,0))+IF($H41=1,INDEX('calcA'!$D$180:$EQ$219,$B41,26)*4000,0)-IF(AND('calcA'!AB$117=1,UZ41&gt;0),2000,0)-IF(AND($U41=1,'calcA'!AC$117=1,EB41=0),2000,0))),1000000000))</f>
        <v/>
      </c>
      <c r="PF41">
        <f>IF($B41=0,1000000000,IF(INDEX('calcA'!$D$60:$EQ$99,$B41,27)*IF($W41=1,EB41+AAQ41,EB41)=1,IF(AND($E41=2,IF($W41=1,AGF41,JQ41)=0),1000000000,IF($V41=1,INDEX('calcA'!$D$130:$EQ$169,$B41,27)+IF(AND($E41=1,JQ41=0),25,0),IF($F41&gt;0,INDEX('calcA'!AD$110:AD$114,$F41+1)+IF(AND($E41=1,JQ41=0),1000,0),MIN(TV41,20)*400+(IF('calcA'!AC$106=1,1-EA41,0)+IF('calcA'!AD$106=1,1-EC41,0))*150+32+'calcA'!AD$5*100000+IF(AND($E41=1,JQ41=0),50000,0))+IF($H41=1,INDEX('calcA'!$D$180:$EQ$219,$B41,27)*4000,0)-IF(AND('calcA'!AC$117=1,VA41&gt;0),2000,0)-IF(AND($U41=1,'calcA'!AD$117=1,EC41=0),2000,0))),1000000000))</f>
        <v/>
      </c>
      <c r="PG41">
        <f>IF($B41=0,1000000000,IF(INDEX('calcA'!$D$60:$EQ$99,$B41,28)*IF($W41=1,EC41+AAR41,EC41)=1,IF(AND($E41=2,IF($W41=1,AGG41,JR41)=0),1000000000,IF($V41=1,INDEX('calcA'!$D$130:$EQ$169,$B41,28)+IF(AND($E41=1,JR41=0),25,0),IF($F41&gt;0,INDEX('calcA'!AE$110:AE$114,$F41+1)+IF(AND($E41=1,JR41=0),1000,0),MIN(TV41,20)*400+(IF('calcA'!AD$106=1,1-EB41,0)+IF('calcA'!AE$106=1,1-ED41,0))*150+42+'calcA'!AE$5*100000+IF(AND($E41=1,JR41=0),50000,0))+IF($H41=1,INDEX('calcA'!$D$180:$EQ$219,$B41,28)*4000,0)-IF(AND('calcA'!AD$117=1,VB41&gt;0),2000,0)-IF(AND($U41=1,'calcA'!AE$117=1,ED41=0),2000,0))),1000000000))</f>
        <v/>
      </c>
      <c r="PH41">
        <f>IF($B41=0,1000000000,IF(INDEX('calcA'!$D$60:$EQ$99,$B41,29)*IF($W41=1,ED41+AAS41,ED41)=1,IF(AND($E41=2,IF($W41=1,AGH41,JS41)=0),1000000000,IF($V41=1,INDEX('calcA'!$D$130:$EQ$169,$B41,29)+IF(AND($E41=1,JS41=0),25,0),IF($F41&gt;0,INDEX('calcA'!AF$110:AF$114,$F41+1)+IF(AND($E41=1,JS41=0),1000,0),MIN(TV41,20)*400+(IF('calcA'!AE$106=1,1-EC41,0)+IF('calcA'!AF$106=1,1-EE41,0))*150+52+'calcA'!AF$5*100000+IF(AND($E41=1,JS41=0),50000,0))+IF($H41=1,INDEX('calcA'!$D$180:$EQ$219,$B41,29)*4000,0)-IF(AND('calcA'!AE$117=1,VC41&gt;0),2000,0)-IF(AND($U41=1,'calcA'!AF$117=1,EE41=0),2000,0))),1000000000))</f>
        <v/>
      </c>
      <c r="PI41">
        <f>IF($B41=0,1000000000,IF(INDEX('calcA'!$D$60:$EQ$99,$B41,30)*IF($W41=1,EE41+AAT41,EE41)=1,IF(AND($E41=2,IF($W41=1,AGI41,JT41)=0),1000000000,IF($V41=1,INDEX('calcA'!$D$130:$EQ$169,$B41,30)+IF(AND($E41=1,JT41=0),25,0),IF($F41&gt;0,INDEX('calcA'!AG$110:AG$114,$F41+1)+IF(AND($E41=1,JT41=0),1000,0),MIN(TV41,20)*400+(IF('calcA'!AF$106=1,1-ED41,0)+IF('calcA'!AG$106=1,1-EF41,0))*150+62+'calcA'!AG$5*100000+IF(AND($E41=1,JT41=0),50000,0))+IF($H41=1,INDEX('calcA'!$D$180:$EQ$219,$B41,30)*4000,0)-IF(AND('calcA'!AF$117=1,VD41&gt;0),2000,0)-IF(AND($U41=1,'calcA'!AG$117=1,EF41=0),2000,0))),1000000000))</f>
        <v/>
      </c>
      <c r="PJ41">
        <f>IF($B41=0,1000000000,IF(INDEX('calcA'!$D$60:$EQ$99,$B41,31)*IF($W41=1,EF41+AAU41,EF41)=1,IF(AND($E41=2,IF($W41=1,AGJ41,JU41)=0),1000000000,IF($V41=1,INDEX('calcA'!$D$130:$EQ$169,$B41,31)+IF(AND($E41=1,JU41=0),25,0),IF($F41&gt;0,INDEX('calcA'!AH$110:AH$114,$F41+1)+IF(AND($E41=1,JU41=0),1000,0),MIN(TV41,20)*400+(IF('calcA'!AG$106=1,1-EE41,0)+IF('calcA'!AH$106=1,1-EG41,0))*150+72+'calcA'!AH$5*100000+IF(AND($E41=1,JU41=0),50000,0))+IF($H41=1,INDEX('calcA'!$D$180:$EQ$219,$B41,31)*4000,0)-IF(AND('calcA'!AG$117=1,VE41&gt;0),2000,0)-IF(AND($U41=1,'calcA'!AH$117=1,EG41=0),2000,0))),1000000000))</f>
        <v/>
      </c>
      <c r="PK41">
        <f>IF($B41=0,1000000000,IF(INDEX('calcA'!$D$60:$EQ$99,$B41,32)*IF($W41=1,EG41+AAV41,EG41)=1,IF(AND($E41=2,IF($W41=1,AGK41,JV41)=0),1000000000,IF($V41=1,INDEX('calcA'!$D$130:$EQ$169,$B41,32)+IF(AND($E41=1,JV41=0),25,0),IF($F41&gt;0,INDEX('calcA'!AI$110:AI$114,$F41+1)+IF(AND($E41=1,JV41=0),1000,0),MIN(TV41,20)*400+(IF('calcA'!AH$106=1,1-EF41,0)+IF('calcA'!AI$106=1,1-EH41,0))*150+82+'calcA'!AI$5*100000+IF(AND($E41=1,JV41=0),50000,0))+IF($H41=1,INDEX('calcA'!$D$180:$EQ$219,$B41,32)*4000,0)-IF(AND('calcA'!AH$117=1,VF41&gt;0),2000,0)-IF(AND($U41=1,'calcA'!AI$117=1,EH41=0),2000,0))),1000000000))</f>
        <v/>
      </c>
      <c r="PL41">
        <f>IF($B41=0,1000000000,IF(INDEX('calcA'!$D$60:$EQ$99,$B41,33)*IF($W41=1,EH41+AAW41,EH41)=1,IF(AND($E41=2,IF($W41=1,AGL41,JW41)=0),1000000000,IF($V41=1,INDEX('calcA'!$D$130:$EQ$169,$B41,33)+IF(AND($E41=1,JW41=0),25,0),IF($F41&gt;0,INDEX('calcA'!AJ$110:AJ$114,$F41+1)+IF(AND($E41=1,JW41=0),1000,0),MIN(TV41,20)*400+(IF('calcA'!AI$106=1,1-EG41,0)+IF('calcA'!AJ$106=1,1-EI41,0))*150+92+'calcA'!AJ$5*100000+IF(AND($E41=1,JW41=0),50000,0))+IF($H41=1,INDEX('calcA'!$D$180:$EQ$219,$B41,33)*4000,0)-IF(AND('calcA'!AI$117=1,VG41&gt;0),2000,0)-IF(AND($U41=1,'calcA'!AJ$117=1,EI41=0),2000,0))),1000000000))</f>
        <v/>
      </c>
      <c r="PM41">
        <f>IF($B41=0,1000000000,IF(INDEX('calcA'!$D$60:$EQ$99,$B41,34)*IF($W41=1,EI41+AAX41,EI41)=1,IF(AND($E41=2,IF($W41=1,AGM41,JX41)=0),1000000000,IF($V41=1,INDEX('calcA'!$D$130:$EQ$169,$B41,34)+IF(AND($E41=1,JX41=0),25,0),IF($F41&gt;0,INDEX('calcA'!AK$110:AK$114,$F41+1)+IF(AND($E41=1,JX41=0),1000,0),MIN(TV41,20)*400+(IF('calcA'!AJ$106=1,1-EH41,0)+IF('calcA'!AK$106=1,1-EJ41,0))*150+102+'calcA'!AK$5*100000+IF(AND($E41=1,JX41=0),50000,0))+IF($H41=1,INDEX('calcA'!$D$180:$EQ$219,$B41,34)*4000,0)-IF(AND('calcA'!AJ$117=1,VH41&gt;0),2000,0)-IF(AND($U41=1,'calcA'!AK$117=1,EJ41=0),2000,0))),1000000000))</f>
        <v/>
      </c>
      <c r="PN41">
        <f>IF($B41=0,1000000000,IF(INDEX('calcA'!$D$60:$EQ$99,$B41,35)*IF($W41=1,EJ41+AAY41,EJ41)=1,IF(AND($E41=2,IF($W41=1,AGN41,JY41)=0),1000000000,IF($V41=1,INDEX('calcA'!$D$130:$EQ$169,$B41,35)+IF(AND($E41=1,JY41=0),25,0),IF($F41&gt;0,INDEX('calcA'!AL$110:AL$114,$F41+1)+IF(AND($E41=1,JY41=0),1000,0),MIN(TV41,20)*400+(IF('calcA'!AK$106=1,1-EI41,0)+IF('calcA'!AL$106=1,1-EK41,0))*150+112+'calcA'!AL$5*100000+IF(AND($E41=1,JY41=0),50000,0))+IF($H41=1,INDEX('calcA'!$D$180:$EQ$219,$B41,35)*4000,0)-IF(AND('calcA'!AK$117=1,VI41&gt;0),2000,0)-IF(AND($U41=1,'calcA'!AL$117=1,EK41=0),2000,0))),1000000000))</f>
        <v/>
      </c>
      <c r="PO41">
        <f>IF($B41=0,1000000000,IF(INDEX('calcA'!$D$60:$EQ$99,$B41,36)*IF($W41=1,EK41+AAZ41,EK41)=1,IF(AND($E41=2,IF($W41=1,AGO41,JZ41)=0),1000000000,IF($V41=1,INDEX('calcA'!$D$130:$EQ$169,$B41,36)+IF(AND($E41=1,JZ41=0),25,0),IF($F41&gt;0,INDEX('calcA'!AM$110:AM$114,$F41+1)+IF(AND($E41=1,JZ41=0),1000,0),MIN(TV41,20)*400+(IF('calcA'!AL$106=1,1-EJ41,0)+IF('calcA'!AM$106=1,1-EL41,0))*150+122+'calcA'!AM$5*100000+IF(AND($E41=1,JZ41=0),50000,0))+IF($H41=1,INDEX('calcA'!$D$180:$EQ$219,$B41,36)*4000,0)-IF(AND('calcA'!AL$117=1,VJ41&gt;0),2000,0)-IF(AND($U41=1,'calcA'!AM$117=1,EL41=0),2000,0))),1000000000))</f>
        <v/>
      </c>
      <c r="PP41">
        <f>IF($B41=0,1000000000,IF(INDEX('calcA'!$D$60:$EQ$99,$B41,37)*IF($W41=1,EL41+ABA41,EL41)=1,IF(AND($E41=2,IF($W41=1,AGP41,KA41)=0),1000000000,IF($V41=1,INDEX('calcA'!$D$130:$EQ$169,$B41,37)+IF(AND($E41=1,KA41=0),25,0),IF($F41&gt;0,INDEX('calcA'!AN$110:AN$114,$F41+1)+IF(AND($E41=1,KA41=0),1000,0),MIN(TV41,20)*400+(IF('calcA'!AM$106=1,1-EK41,0)+IF('calcA'!AN$106=1,1-EM41,0))*150+132+'calcA'!AN$5*100000+IF(AND($E41=1,KA41=0),50000,0))+IF($H41=1,INDEX('calcA'!$D$180:$EQ$219,$B41,37)*4000,0)-IF(AND('calcA'!AM$117=1,VK41&gt;0),2000,0)-IF(AND($U41=1,'calcA'!AN$117=1,EM41=0),2000,0))),1000000000))</f>
        <v/>
      </c>
      <c r="PQ41">
        <f>IF($B41=0,1000000000,IF(INDEX('calcA'!$D$60:$EQ$99,$B41,38)*IF($W41=1,EM41+ABB41,EM41)=1,IF(AND($E41=2,IF($W41=1,AGQ41,KB41)=0),1000000000,IF($V41=1,INDEX('calcA'!$D$130:$EQ$169,$B41,38)+IF(AND($E41=1,KB41=0),25,0),IF($F41&gt;0,INDEX('calcA'!AO$110:AO$114,$F41+1)+IF(AND($E41=1,KB41=0),1000,0),MIN(TV41,20)*400+(IF('calcA'!AN$106=1,1-EL41,0)+IF('calcA'!AO$106=1,1-EN41,0))*150+142+'calcA'!AO$5*100000+IF(AND($E41=1,KB41=0),50000,0))+IF($H41=1,INDEX('calcA'!$D$180:$EQ$219,$B41,38)*4000,0)-IF(AND('calcA'!AN$117=1,VL41&gt;0),2000,0)-IF(AND($U41=1,'calcA'!AO$117=1,EN41=0),2000,0))),1000000000))</f>
        <v/>
      </c>
      <c r="PR41">
        <f>IF($B41=0,1000000000,IF(INDEX('calcA'!$D$60:$EQ$99,$B41,39)*IF($W41=1,EN41+ABC41,EN41)=1,IF(AND($E41=2,IF($W41=1,AGR41,KC41)=0),1000000000,IF($V41=1,INDEX('calcA'!$D$130:$EQ$169,$B41,39)+IF(AND($E41=1,KC41=0),25,0),IF($F41&gt;0,INDEX('calcA'!AP$110:AP$114,$F41+1)+IF(AND($E41=1,KC41=0),1000,0),MIN(TV41,20)*400+(IF('calcA'!AO$106=1,1-EM41,0)+IF('calcA'!AP$106=1,1-EO41,0))*150+152+'calcA'!AP$5*100000+IF(AND($E41=1,KC41=0),50000,0))+IF($H41=1,INDEX('calcA'!$D$180:$EQ$219,$B41,39)*4000,0)-IF(AND('calcA'!AO$117=1,VM41&gt;0),2000,0)-IF(AND($U41=1,'calcA'!AP$117=1,EO41=0),2000,0))),1000000000))</f>
        <v/>
      </c>
      <c r="PS41">
        <f>IF($B41=0,1000000000,IF(INDEX('calcA'!$D$60:$EQ$99,$B41,40)*IF($W41=1,EO41+ABD41,EO41)=1,IF(AND($E41=2,IF($W41=1,AGS41,KD41)=0),1000000000,IF($V41=1,INDEX('calcA'!$D$130:$EQ$169,$B41,40)+IF(AND($E41=1,KD41=0),25,0),IF($F41&gt;0,INDEX('calcA'!AQ$110:AQ$114,$F41+1)+IF(AND($E41=1,KD41=0),1000,0),MIN(TV41,20)*400+(IF('calcA'!AP$106=1,1-EN41,0)+IF('calcA'!AQ$106=1,1-EP41,0))*150+162+'calcA'!AQ$5*100000+IF(AND($E41=1,KD41=0),50000,0))+IF($H41=1,INDEX('calcA'!$D$180:$EQ$219,$B41,40)*4000,0)-IF(AND('calcA'!AP$117=1,VN41&gt;0),2000,0)-IF(AND($U41=1,'calcA'!AQ$117=1,EP41=0),2000,0))),1000000000))</f>
        <v/>
      </c>
      <c r="PT41">
        <f>IF($B41=0,1000000000,IF(INDEX('calcA'!$D$60:$EQ$99,$B41,41)*IF($W41=1,EP41+ABE41,EP41)=1,IF(AND($E41=2,IF($W41=1,AGT41,KE41)=0),1000000000,IF($V41=1,INDEX('calcA'!$D$130:$EQ$169,$B41,41)+IF(AND($E41=1,KE41=0),25,0),IF($F41&gt;0,INDEX('calcA'!AR$110:AR$114,$F41+1)+IF(AND($E41=1,KE41=0),1000,0),MIN(TV41,20)*400+(IF('calcA'!AQ$106=1,1-EO41,0)+IF('calcA'!AR$106=1,1-EQ41,0))*150+172+'calcA'!AR$5*100000+IF(AND($E41=1,KE41=0),50000,0))+IF($H41=1,INDEX('calcA'!$D$180:$EQ$219,$B41,41)*4000,0)-IF(AND('calcA'!AQ$117=1,VO41&gt;0),2000,0)-IF(AND($U41=1,'calcA'!AR$117=1,EQ41=0),2000,0))),1000000000))</f>
        <v/>
      </c>
      <c r="PU41">
        <f>IF($B41=0,1000000000,IF(INDEX('calcA'!$D$60:$EQ$99,$B41,42)*IF($W41=1,EQ41+ABF41,EQ41)=1,IF(AND($E41=2,IF($W41=1,AGU41,KF41)=0),1000000000,IF($V41=1,INDEX('calcA'!$D$130:$EQ$169,$B41,42)+IF(AND($E41=1,KF41=0),25,0),IF($F41&gt;0,INDEX('calcA'!AS$110:AS$114,$F41+1)+IF(AND($E41=1,KF41=0),1000,0),MIN(TV41,20)*400+(IF('calcA'!AR$106=1,1-EP41,0)+IF('calcA'!AS$106=1,1-ER41,0))*150+182+'calcA'!AS$5*100000+IF(AND($E41=1,KF41=0),50000,0))+IF($H41=1,INDEX('calcA'!$D$180:$EQ$219,$B41,42)*4000,0)-IF(AND('calcA'!AR$117=1,VP41&gt;0),2000,0)-IF(AND($U41=1,'calcA'!AS$117=1,ER41=0),2000,0))),1000000000))</f>
        <v/>
      </c>
      <c r="PV41">
        <f>IF($B41=0,1000000000,IF(INDEX('calcA'!$D$60:$EQ$99,$B41,43)*IF($W41=1,ER41+ABG41,ER41)=1,IF(AND($E41=2,IF($W41=1,AGV41,KG41)=0),1000000000,IF($V41=1,INDEX('calcA'!$D$130:$EQ$169,$B41,43)+IF(AND($E41=1,KG41=0),25,0),IF($F41&gt;0,INDEX('calcA'!AT$110:AT$114,$F41+1)+IF(AND($E41=1,KG41=0),1000,0),MIN(TV41,20)*400+(IF('calcA'!AS$106=1,1-EQ41,0)+IF('calcA'!AT$106=1,1-ES41,0))*150+192+'calcA'!AT$5*100000+IF(AND($E41=1,KG41=0),50000,0))+IF($H41=1,INDEX('calcA'!$D$180:$EQ$219,$B41,43)*4000,0)-IF(AND('calcA'!AS$117=1,VQ41&gt;0),2000,0)-IF(AND($U41=1,'calcA'!AT$117=1,ES41=0),2000,0))),1000000000))</f>
        <v/>
      </c>
      <c r="PW41">
        <f>IF($B41=0,1000000000,IF(INDEX('calcA'!$D$60:$EQ$99,$B41,44)*IF($W41=1,ES41+ABH41,ES41)=1,IF(AND($E41=2,IF($W41=1,AGW41,KH41)=0),1000000000,IF($V41=1,INDEX('calcA'!$D$130:$EQ$169,$B41,44)+IF(AND($E41=1,KH41=0),25,0),IF($F41&gt;0,INDEX('calcA'!AU$110:AU$114,$F41+1)+IF(AND($E41=1,KH41=0),1000,0),MIN(TV41,20)*400+(IF('calcA'!AT$106=1,1-ER41,0)+IF('calcA'!AU$106=1,1-ET41,0))*150+202+'calcA'!AU$5*100000+IF(AND($E41=1,KH41=0),50000,0))+IF($H41=1,INDEX('calcA'!$D$180:$EQ$219,$B41,44)*4000,0)-IF(AND('calcA'!AT$117=1,VR41&gt;0),2000,0)-IF(AND($U41=1,'calcA'!AU$117=1,ET41=0),2000,0))),1000000000))</f>
        <v/>
      </c>
      <c r="PX41">
        <f>IF($B41=0,1000000000,IF(INDEX('calcA'!$D$60:$EQ$99,$B41,45)*IF($W41=1,ET41+ABI41,ET41)=1,IF(AND($E41=2,IF($W41=1,AGX41,KI41)=0),1000000000,IF($V41=1,INDEX('calcA'!$D$130:$EQ$169,$B41,45)+IF(AND($E41=1,KI41=0),25,0),IF($F41&gt;0,INDEX('calcA'!AV$110:AV$114,$F41+1)+IF(AND($E41=1,KI41=0),1000,0),MIN(TV41,20)*400+(IF('calcA'!AU$106=1,1-ES41,0)+IF('calcA'!AV$106=1,1-EU41,0))*150+212+'calcA'!AV$5*100000+IF(AND($E41=1,KI41=0),50000,0))+IF($H41=1,INDEX('calcA'!$D$180:$EQ$219,$B41,45)*4000,0)-IF(AND('calcA'!AU$117=1,VS41&gt;0),2000,0)-IF(AND($U41=1,'calcA'!AV$117=1,EU41=0),2000,0))),1000000000))</f>
        <v/>
      </c>
      <c r="PY41">
        <f>IF($B41=0,1000000000,IF(INDEX('calcA'!$D$60:$EQ$99,$B41,46)*IF($W41=1,EU41+ABJ41,EU41)=1,IF(AND($E41=2,IF($W41=1,AGY41,KJ41)=0),1000000000,IF($V41=1,INDEX('calcA'!$D$130:$EQ$169,$B41,46)+IF(AND($E41=1,KJ41=0),25,0),IF($F41&gt;0,INDEX('calcA'!AW$110:AW$114,$F41+1)+IF(AND($E41=1,KJ41=0),1000,0),MIN(TV41,20)*400+(IF('calcA'!AV$106=1,1-ET41,0)+IF('calcA'!AW$106=1,1-EV41,0))*150+222+'calcA'!AW$5*100000+IF(AND($E41=1,KJ41=0),50000,0))+IF($H41=1,INDEX('calcA'!$D$180:$EQ$219,$B41,46)*4000,0)-IF(AND('calcA'!AV$117=1,VT41&gt;0),2000,0)-IF(AND($U41=1,'calcA'!AW$117=1,EV41=0),2000,0))),1000000000))</f>
        <v/>
      </c>
      <c r="PZ41">
        <f>IF($B41=0,1000000000,IF(INDEX('calcA'!$D$60:$EQ$99,$B41,47)*IF($W41=1,EV41+ABK41,EV41)=1,IF(AND($E41=2,IF($W41=1,AGZ41,KK41)=0),1000000000,IF($V41=1,INDEX('calcA'!$D$130:$EQ$169,$B41,47)+IF(AND($E41=1,KK41=0),25,0),IF($F41&gt;0,INDEX('calcA'!AX$110:AX$114,$F41+1)+IF(AND($E41=1,KK41=0),1000,0),MIN(TV41,20)*400+(IF('calcA'!AW$106=1,1-EU41,0)+IF('calcA'!AX$106=1,1-EW41,0))*150+232+'calcA'!AX$5*100000+IF(AND($E41=1,KK41=0),50000,0))+IF($H41=1,INDEX('calcA'!$D$180:$EQ$219,$B41,47)*4000,0)-IF(AND('calcA'!AW$117=1,VU41&gt;0),2000,0)-IF(AND($U41=1,'calcA'!AX$117=1,EW41=0),2000,0))),1000000000))</f>
        <v/>
      </c>
      <c r="QA41">
        <f>IF($B41=0,1000000000,IF(INDEX('calcA'!$D$60:$EQ$99,$B41,48)*IF($W41=1,EW41+ABL41,EW41)=1,IF(AND($E41=2,IF($W41=1,AHA41,KL41)=0),1000000000,IF($V41=1,INDEX('calcA'!$D$130:$EQ$169,$B41,48)+IF(AND($E41=1,KL41=0),25,0),IF($F41&gt;0,INDEX('calcA'!AY$110:AY$114,$F41+1)+IF(AND($E41=1,KL41=0),1000,0),MIN(TV41,20)*400+(IF('calcA'!AX$106=1,1-EV41,0))*150+242+'calcA'!AY$5*100000+IF(AND($E41=1,KL41=0),50000,0))+IF($H41=1,INDEX('calcA'!$D$180:$EQ$219,$B41,48)*4000,0)-IF(AND('calcA'!AX$117=1,VV41&gt;0),2000,0))),1000000000))</f>
        <v/>
      </c>
      <c r="QB41">
        <f>IF($B41=0,1000000000,IF(INDEX('calcA'!$D$60:$EQ$99,$B41,49)*IF($W41=1,EX41+ABM41,EX41)=1,IF(AND($E41=2,IF($W41=1,AHB41,KM41)=0),1000000000,IF($V41=1,INDEX('calcA'!$D$130:$EQ$169,$B41,49)+IF(AND($E41=1,KM41=0),25,0),IF($F41&gt;0,INDEX('calcA'!AZ$110:AZ$114,$F41+1)+IF(AND($E41=1,KM41=0),1000,0),MIN(TW41,20)*400+(IF('calcA'!AZ$106=1,1-EY41,0))*150+13+'calcA'!AZ$5*100000+IF(AND($E41=1,KM41=0),50000,0))+IF($H41=1,INDEX('calcA'!$D$180:$EQ$219,$B41,49)*4000,0)-IF(AND($U41=1,'calcA'!AZ$117=1,EY41=0),2000,0))),1000000000))</f>
        <v/>
      </c>
      <c r="QC41">
        <f>IF($B41=0,1000000000,IF(INDEX('calcA'!$D$60:$EQ$99,$B41,50)*IF($W41=1,EY41+ABN41,EY41)=1,IF(AND($E41=2,IF($W41=1,AHC41,KN41)=0),1000000000,IF($V41=1,INDEX('calcA'!$D$130:$EQ$169,$B41,50)+IF(AND($E41=1,KN41=0),25,0),IF($F41&gt;0,INDEX('calcA'!BA$110:BA$114,$F41+1)+IF(AND($E41=1,KN41=0),1000,0),MIN(TW41,20)*400+(IF('calcA'!AZ$106=1,1-EX41,0)+IF('calcA'!BA$106=1,1-EZ41,0))*150+23+'calcA'!BA$5*100000+IF(AND($E41=1,KN41=0),50000,0))+IF($H41=1,INDEX('calcA'!$D$180:$EQ$219,$B41,50)*4000,0)-IF(AND('calcA'!AZ$117=1,VX41&gt;0),2000,0)-IF(AND($U41=1,'calcA'!BA$117=1,EZ41=0),2000,0))),1000000000))</f>
        <v/>
      </c>
      <c r="QD41">
        <f>IF($B41=0,1000000000,IF(INDEX('calcA'!$D$60:$EQ$99,$B41,51)*IF($W41=1,EZ41+ABO41,EZ41)=1,IF(AND($E41=2,IF($W41=1,AHD41,KO41)=0),1000000000,IF($V41=1,INDEX('calcA'!$D$130:$EQ$169,$B41,51)+IF(AND($E41=1,KO41=0),25,0),IF($F41&gt;0,INDEX('calcA'!BB$110:BB$114,$F41+1)+IF(AND($E41=1,KO41=0),1000,0),MIN(TW41,20)*400+(IF('calcA'!BA$106=1,1-EY41,0)+IF('calcA'!BB$106=1,1-FA41,0))*150+33+'calcA'!BB$5*100000+IF(AND($E41=1,KO41=0),50000,0))+IF($H41=1,INDEX('calcA'!$D$180:$EQ$219,$B41,51)*4000,0)-IF(AND('calcA'!BA$117=1,VY41&gt;0),2000,0)-IF(AND($U41=1,'calcA'!BB$117=1,FA41=0),2000,0))),1000000000))</f>
        <v/>
      </c>
      <c r="QE41">
        <f>IF($B41=0,1000000000,IF(INDEX('calcA'!$D$60:$EQ$99,$B41,52)*IF($W41=1,FA41+ABP41,FA41)=1,IF(AND($E41=2,IF($W41=1,AHE41,KP41)=0),1000000000,IF($V41=1,INDEX('calcA'!$D$130:$EQ$169,$B41,52)+IF(AND($E41=1,KP41=0),25,0),IF($F41&gt;0,INDEX('calcA'!BC$110:BC$114,$F41+1)+IF(AND($E41=1,KP41=0),1000,0),MIN(TW41,20)*400+(IF('calcA'!BB$106=1,1-EZ41,0)+IF('calcA'!BC$106=1,1-FB41,0))*150+43+'calcA'!BC$5*100000+IF(AND($E41=1,KP41=0),50000,0))+IF($H41=1,INDEX('calcA'!$D$180:$EQ$219,$B41,52)*4000,0)-IF(AND('calcA'!BB$117=1,VZ41&gt;0),2000,0)-IF(AND($U41=1,'calcA'!BC$117=1,FB41=0),2000,0))),1000000000))</f>
        <v/>
      </c>
      <c r="QF41">
        <f>IF($B41=0,1000000000,IF(INDEX('calcA'!$D$60:$EQ$99,$B41,53)*IF($W41=1,FB41+ABQ41,FB41)=1,IF(AND($E41=2,IF($W41=1,AHF41,KQ41)=0),1000000000,IF($V41=1,INDEX('calcA'!$D$130:$EQ$169,$B41,53)+IF(AND($E41=1,KQ41=0),25,0),IF($F41&gt;0,INDEX('calcA'!BD$110:BD$114,$F41+1)+IF(AND($E41=1,KQ41=0),1000,0),MIN(TW41,20)*400+(IF('calcA'!BC$106=1,1-FA41,0)+IF('calcA'!BD$106=1,1-FC41,0))*150+53+'calcA'!BD$5*100000+IF(AND($E41=1,KQ41=0),50000,0))+IF($H41=1,INDEX('calcA'!$D$180:$EQ$219,$B41,53)*4000,0)-IF(AND('calcA'!BC$117=1,WA41&gt;0),2000,0)-IF(AND($U41=1,'calcA'!BD$117=1,FC41=0),2000,0))),1000000000))</f>
        <v/>
      </c>
      <c r="QG41">
        <f>IF($B41=0,1000000000,IF(INDEX('calcA'!$D$60:$EQ$99,$B41,54)*IF($W41=1,FC41+ABR41,FC41)=1,IF(AND($E41=2,IF($W41=1,AHG41,KR41)=0),1000000000,IF($V41=1,INDEX('calcA'!$D$130:$EQ$169,$B41,54)+IF(AND($E41=1,KR41=0),25,0),IF($F41&gt;0,INDEX('calcA'!BE$110:BE$114,$F41+1)+IF(AND($E41=1,KR41=0),1000,0),MIN(TW41,20)*400+(IF('calcA'!BD$106=1,1-FB41,0)+IF('calcA'!BE$106=1,1-FD41,0))*150+63+'calcA'!BE$5*100000+IF(AND($E41=1,KR41=0),50000,0))+IF($H41=1,INDEX('calcA'!$D$180:$EQ$219,$B41,54)*4000,0)-IF(AND('calcA'!BD$117=1,WB41&gt;0),2000,0)-IF(AND($U41=1,'calcA'!BE$117=1,FD41=0),2000,0))),1000000000))</f>
        <v/>
      </c>
      <c r="QH41">
        <f>IF($B41=0,1000000000,IF(INDEX('calcA'!$D$60:$EQ$99,$B41,55)*IF($W41=1,FD41+ABS41,FD41)=1,IF(AND($E41=2,IF($W41=1,AHH41,KS41)=0),1000000000,IF($V41=1,INDEX('calcA'!$D$130:$EQ$169,$B41,55)+IF(AND($E41=1,KS41=0),25,0),IF($F41&gt;0,INDEX('calcA'!BF$110:BF$114,$F41+1)+IF(AND($E41=1,KS41=0),1000,0),MIN(TW41,20)*400+(IF('calcA'!BE$106=1,1-FC41,0)+IF('calcA'!BF$106=1,1-FE41,0))*150+73+'calcA'!BF$5*100000+IF(AND($E41=1,KS41=0),50000,0))+IF($H41=1,INDEX('calcA'!$D$180:$EQ$219,$B41,55)*4000,0)-IF(AND('calcA'!BE$117=1,WC41&gt;0),2000,0)-IF(AND($U41=1,'calcA'!BF$117=1,FE41=0),2000,0))),1000000000))</f>
        <v/>
      </c>
      <c r="QI41">
        <f>IF($B41=0,1000000000,IF(INDEX('calcA'!$D$60:$EQ$99,$B41,56)*IF($W41=1,FE41+ABT41,FE41)=1,IF(AND($E41=2,IF($W41=1,AHI41,KT41)=0),1000000000,IF($V41=1,INDEX('calcA'!$D$130:$EQ$169,$B41,56)+IF(AND($E41=1,KT41=0),25,0),IF($F41&gt;0,INDEX('calcA'!BG$110:BG$114,$F41+1)+IF(AND($E41=1,KT41=0),1000,0),MIN(TW41,20)*400+(IF('calcA'!BF$106=1,1-FD41,0)+IF('calcA'!BG$106=1,1-FF41,0))*150+83+'calcA'!BG$5*100000+IF(AND($E41=1,KT41=0),50000,0))+IF($H41=1,INDEX('calcA'!$D$180:$EQ$219,$B41,56)*4000,0)-IF(AND('calcA'!BF$117=1,WD41&gt;0),2000,0)-IF(AND($U41=1,'calcA'!BG$117=1,FF41=0),2000,0))),1000000000))</f>
        <v/>
      </c>
      <c r="QJ41">
        <f>IF($B41=0,1000000000,IF(INDEX('calcA'!$D$60:$EQ$99,$B41,57)*IF($W41=1,FF41+ABU41,FF41)=1,IF(AND($E41=2,IF($W41=1,AHJ41,KU41)=0),1000000000,IF($V41=1,INDEX('calcA'!$D$130:$EQ$169,$B41,57)+IF(AND($E41=1,KU41=0),25,0),IF($F41&gt;0,INDEX('calcA'!BH$110:BH$114,$F41+1)+IF(AND($E41=1,KU41=0),1000,0),MIN(TW41,20)*400+(IF('calcA'!BG$106=1,1-FE41,0)+IF('calcA'!BH$106=1,1-FG41,0))*150+93+'calcA'!BH$5*100000+IF(AND($E41=1,KU41=0),50000,0))+IF($H41=1,INDEX('calcA'!$D$180:$EQ$219,$B41,57)*4000,0)-IF(AND('calcA'!BG$117=1,WE41&gt;0),2000,0)-IF(AND($U41=1,'calcA'!BH$117=1,FG41=0),2000,0))),1000000000))</f>
        <v/>
      </c>
      <c r="QK41">
        <f>IF($B41=0,1000000000,IF(INDEX('calcA'!$D$60:$EQ$99,$B41,58)*IF($W41=1,FG41+ABV41,FG41)=1,IF(AND($E41=2,IF($W41=1,AHK41,KV41)=0),1000000000,IF($V41=1,INDEX('calcA'!$D$130:$EQ$169,$B41,58)+IF(AND($E41=1,KV41=0),25,0),IF($F41&gt;0,INDEX('calcA'!BI$110:BI$114,$F41+1)+IF(AND($E41=1,KV41=0),1000,0),MIN(TW41,20)*400+(IF('calcA'!BH$106=1,1-FF41,0)+IF('calcA'!BI$106=1,1-FH41,0))*150+103+'calcA'!BI$5*100000+IF(AND($E41=1,KV41=0),50000,0))+IF($H41=1,INDEX('calcA'!$D$180:$EQ$219,$B41,58)*4000,0)-IF(AND('calcA'!BH$117=1,WF41&gt;0),2000,0)-IF(AND($U41=1,'calcA'!BI$117=1,FH41=0),2000,0))),1000000000))</f>
        <v/>
      </c>
      <c r="QL41">
        <f>IF($B41=0,1000000000,IF(INDEX('calcA'!$D$60:$EQ$99,$B41,59)*IF($W41=1,FH41+ABW41,FH41)=1,IF(AND($E41=2,IF($W41=1,AHL41,KW41)=0),1000000000,IF($V41=1,INDEX('calcA'!$D$130:$EQ$169,$B41,59)+IF(AND($E41=1,KW41=0),25,0),IF($F41&gt;0,INDEX('calcA'!BJ$110:BJ$114,$F41+1)+IF(AND($E41=1,KW41=0),1000,0),MIN(TW41,20)*400+(IF('calcA'!BI$106=1,1-FG41,0)+IF('calcA'!BJ$106=1,1-FI41,0))*150+113+'calcA'!BJ$5*100000+IF(AND($E41=1,KW41=0),50000,0))+IF($H41=1,INDEX('calcA'!$D$180:$EQ$219,$B41,59)*4000,0)-IF(AND('calcA'!BI$117=1,WG41&gt;0),2000,0)-IF(AND($U41=1,'calcA'!BJ$117=1,FI41=0),2000,0))),1000000000))</f>
        <v/>
      </c>
      <c r="QM41">
        <f>IF($B41=0,1000000000,IF(INDEX('calcA'!$D$60:$EQ$99,$B41,60)*IF($W41=1,FI41+ABX41,FI41)=1,IF(AND($E41=2,IF($W41=1,AHM41,KX41)=0),1000000000,IF($V41=1,INDEX('calcA'!$D$130:$EQ$169,$B41,60)+IF(AND($E41=1,KX41=0),25,0),IF($F41&gt;0,INDEX('calcA'!BK$110:BK$114,$F41+1)+IF(AND($E41=1,KX41=0),1000,0),MIN(TW41,20)*400+(IF('calcA'!BJ$106=1,1-FH41,0)+IF('calcA'!BK$106=1,1-FJ41,0))*150+123+'calcA'!BK$5*100000+IF(AND($E41=1,KX41=0),50000,0))+IF($H41=1,INDEX('calcA'!$D$180:$EQ$219,$B41,60)*4000,0)-IF(AND('calcA'!BJ$117=1,WH41&gt;0),2000,0)-IF(AND($U41=1,'calcA'!BK$117=1,FJ41=0),2000,0))),1000000000))</f>
        <v/>
      </c>
      <c r="QN41">
        <f>IF($B41=0,1000000000,IF(INDEX('calcA'!$D$60:$EQ$99,$B41,61)*IF($W41=1,FJ41+ABY41,FJ41)=1,IF(AND($E41=2,IF($W41=1,AHN41,KY41)=0),1000000000,IF($V41=1,INDEX('calcA'!$D$130:$EQ$169,$B41,61)+IF(AND($E41=1,KY41=0),25,0),IF($F41&gt;0,INDEX('calcA'!BL$110:BL$114,$F41+1)+IF(AND($E41=1,KY41=0),1000,0),MIN(TW41,20)*400+(IF('calcA'!BK$106=1,1-FI41,0)+IF('calcA'!BL$106=1,1-FK41,0))*150+133+'calcA'!BL$5*100000+IF(AND($E41=1,KY41=0),50000,0))+IF($H41=1,INDEX('calcA'!$D$180:$EQ$219,$B41,61)*4000,0)-IF(AND('calcA'!BK$117=1,WI41&gt;0),2000,0)-IF(AND($U41=1,'calcA'!BL$117=1,FK41=0),2000,0))),1000000000))</f>
        <v/>
      </c>
      <c r="QO41">
        <f>IF($B41=0,1000000000,IF(INDEX('calcA'!$D$60:$EQ$99,$B41,62)*IF($W41=1,FK41+ABZ41,FK41)=1,IF(AND($E41=2,IF($W41=1,AHO41,KZ41)=0),1000000000,IF($V41=1,INDEX('calcA'!$D$130:$EQ$169,$B41,62)+IF(AND($E41=1,KZ41=0),25,0),IF($F41&gt;0,INDEX('calcA'!BM$110:BM$114,$F41+1)+IF(AND($E41=1,KZ41=0),1000,0),MIN(TW41,20)*400+(IF('calcA'!BL$106=1,1-FJ41,0)+IF('calcA'!BM$106=1,1-FL41,0))*150+143+'calcA'!BM$5*100000+IF(AND($E41=1,KZ41=0),50000,0))+IF($H41=1,INDEX('calcA'!$D$180:$EQ$219,$B41,62)*4000,0)-IF(AND('calcA'!BL$117=1,WJ41&gt;0),2000,0)-IF(AND($U41=1,'calcA'!BM$117=1,FL41=0),2000,0))),1000000000))</f>
        <v/>
      </c>
      <c r="QP41">
        <f>IF($B41=0,1000000000,IF(INDEX('calcA'!$D$60:$EQ$99,$B41,63)*IF($W41=1,FL41+ACA41,FL41)=1,IF(AND($E41=2,IF($W41=1,AHP41,LA41)=0),1000000000,IF($V41=1,INDEX('calcA'!$D$130:$EQ$169,$B41,63)+IF(AND($E41=1,LA41=0),25,0),IF($F41&gt;0,INDEX('calcA'!BN$110:BN$114,$F41+1)+IF(AND($E41=1,LA41=0),1000,0),MIN(TW41,20)*400+(IF('calcA'!BM$106=1,1-FK41,0)+IF('calcA'!BN$106=1,1-FM41,0))*150+153+'calcA'!BN$5*100000+IF(AND($E41=1,LA41=0),50000,0))+IF($H41=1,INDEX('calcA'!$D$180:$EQ$219,$B41,63)*4000,0)-IF(AND('calcA'!BM$117=1,WK41&gt;0),2000,0)-IF(AND($U41=1,'calcA'!BN$117=1,FM41=0),2000,0))),1000000000))</f>
        <v/>
      </c>
      <c r="QQ41">
        <f>IF($B41=0,1000000000,IF(INDEX('calcA'!$D$60:$EQ$99,$B41,64)*IF($W41=1,FM41+ACB41,FM41)=1,IF(AND($E41=2,IF($W41=1,AHQ41,LB41)=0),1000000000,IF($V41=1,INDEX('calcA'!$D$130:$EQ$169,$B41,64)+IF(AND($E41=1,LB41=0),25,0),IF($F41&gt;0,INDEX('calcA'!BO$110:BO$114,$F41+1)+IF(AND($E41=1,LB41=0),1000,0),MIN(TW41,20)*400+(IF('calcA'!BN$106=1,1-FL41,0)+IF('calcA'!BO$106=1,1-FN41,0))*150+163+'calcA'!BO$5*100000+IF(AND($E41=1,LB41=0),50000,0))+IF($H41=1,INDEX('calcA'!$D$180:$EQ$219,$B41,64)*4000,0)-IF(AND('calcA'!BN$117=1,WL41&gt;0),2000,0)-IF(AND($U41=1,'calcA'!BO$117=1,FN41=0),2000,0))),1000000000))</f>
        <v/>
      </c>
      <c r="QR41">
        <f>IF($B41=0,1000000000,IF(INDEX('calcA'!$D$60:$EQ$99,$B41,65)*IF($W41=1,FN41+ACC41,FN41)=1,IF(AND($E41=2,IF($W41=1,AHR41,LC41)=0),1000000000,IF($V41=1,INDEX('calcA'!$D$130:$EQ$169,$B41,65)+IF(AND($E41=1,LC41=0),25,0),IF($F41&gt;0,INDEX('calcA'!BP$110:BP$114,$F41+1)+IF(AND($E41=1,LC41=0),1000,0),MIN(TW41,20)*400+(IF('calcA'!BO$106=1,1-FM41,0)+IF('calcA'!BP$106=1,1-FO41,0))*150+173+'calcA'!BP$5*100000+IF(AND($E41=1,LC41=0),50000,0))+IF($H41=1,INDEX('calcA'!$D$180:$EQ$219,$B41,65)*4000,0)-IF(AND('calcA'!BO$117=1,WM41&gt;0),2000,0)-IF(AND($U41=1,'calcA'!BP$117=1,FO41=0),2000,0))),1000000000))</f>
        <v/>
      </c>
      <c r="QS41">
        <f>IF($B41=0,1000000000,IF(INDEX('calcA'!$D$60:$EQ$99,$B41,66)*IF($W41=1,FO41+ACD41,FO41)=1,IF(AND($E41=2,IF($W41=1,AHS41,LD41)=0),1000000000,IF($V41=1,INDEX('calcA'!$D$130:$EQ$169,$B41,66)+IF(AND($E41=1,LD41=0),25,0),IF($F41&gt;0,INDEX('calcA'!BQ$110:BQ$114,$F41+1)+IF(AND($E41=1,LD41=0),1000,0),MIN(TW41,20)*400+(IF('calcA'!BP$106=1,1-FN41,0)+IF('calcA'!BQ$106=1,1-FP41,0))*150+183+'calcA'!BQ$5*100000+IF(AND($E41=1,LD41=0),50000,0))+IF($H41=1,INDEX('calcA'!$D$180:$EQ$219,$B41,66)*4000,0)-IF(AND('calcA'!BP$117=1,WN41&gt;0),2000,0)-IF(AND($U41=1,'calcA'!BQ$117=1,FP41=0),2000,0))),1000000000))</f>
        <v/>
      </c>
      <c r="QT41">
        <f>IF($B41=0,1000000000,IF(INDEX('calcA'!$D$60:$EQ$99,$B41,67)*IF($W41=1,FP41+ACE41,FP41)=1,IF(AND($E41=2,IF($W41=1,AHT41,LE41)=0),1000000000,IF($V41=1,INDEX('calcA'!$D$130:$EQ$169,$B41,67)+IF(AND($E41=1,LE41=0),25,0),IF($F41&gt;0,INDEX('calcA'!BR$110:BR$114,$F41+1)+IF(AND($E41=1,LE41=0),1000,0),MIN(TW41,20)*400+(IF('calcA'!BQ$106=1,1-FO41,0)+IF('calcA'!BR$106=1,1-FQ41,0))*150+193+'calcA'!BR$5*100000+IF(AND($E41=1,LE41=0),50000,0))+IF($H41=1,INDEX('calcA'!$D$180:$EQ$219,$B41,67)*4000,0)-IF(AND('calcA'!BQ$117=1,WO41&gt;0),2000,0)-IF(AND($U41=1,'calcA'!BR$117=1,FQ41=0),2000,0))),1000000000))</f>
        <v/>
      </c>
      <c r="QU41">
        <f>IF($B41=0,1000000000,IF(INDEX('calcA'!$D$60:$EQ$99,$B41,68)*IF($W41=1,FQ41+ACF41,FQ41)=1,IF(AND($E41=2,IF($W41=1,AHU41,LF41)=0),1000000000,IF($V41=1,INDEX('calcA'!$D$130:$EQ$169,$B41,68)+IF(AND($E41=1,LF41=0),25,0),IF($F41&gt;0,INDEX('calcA'!BS$110:BS$114,$F41+1)+IF(AND($E41=1,LF41=0),1000,0),MIN(TW41,20)*400+(IF('calcA'!BR$106=1,1-FP41,0)+IF('calcA'!BS$106=1,1-FR41,0))*150+203+'calcA'!BS$5*100000+IF(AND($E41=1,LF41=0),50000,0))+IF($H41=1,INDEX('calcA'!$D$180:$EQ$219,$B41,68)*4000,0)-IF(AND('calcA'!BR$117=1,WP41&gt;0),2000,0)-IF(AND($U41=1,'calcA'!BS$117=1,FR41=0),2000,0))),1000000000))</f>
        <v/>
      </c>
      <c r="QV41">
        <f>IF($B41=0,1000000000,IF(INDEX('calcA'!$D$60:$EQ$99,$B41,69)*IF($W41=1,FR41+ACG41,FR41)=1,IF(AND($E41=2,IF($W41=1,AHV41,LG41)=0),1000000000,IF($V41=1,INDEX('calcA'!$D$130:$EQ$169,$B41,69)+IF(AND($E41=1,LG41=0),25,0),IF($F41&gt;0,INDEX('calcA'!BT$110:BT$114,$F41+1)+IF(AND($E41=1,LG41=0),1000,0),MIN(TW41,20)*400+(IF('calcA'!BS$106=1,1-FQ41,0)+IF('calcA'!BT$106=1,1-FS41,0))*150+213+'calcA'!BT$5*100000+IF(AND($E41=1,LG41=0),50000,0))+IF($H41=1,INDEX('calcA'!$D$180:$EQ$219,$B41,69)*4000,0)-IF(AND('calcA'!BS$117=1,WQ41&gt;0),2000,0)-IF(AND($U41=1,'calcA'!BT$117=1,FS41=0),2000,0))),1000000000))</f>
        <v/>
      </c>
      <c r="QW41">
        <f>IF($B41=0,1000000000,IF(INDEX('calcA'!$D$60:$EQ$99,$B41,70)*IF($W41=1,FS41+ACH41,FS41)=1,IF(AND($E41=2,IF($W41=1,AHW41,LH41)=0),1000000000,IF($V41=1,INDEX('calcA'!$D$130:$EQ$169,$B41,70)+IF(AND($E41=1,LH41=0),25,0),IF($F41&gt;0,INDEX('calcA'!BU$110:BU$114,$F41+1)+IF(AND($E41=1,LH41=0),1000,0),MIN(TW41,20)*400+(IF('calcA'!BT$106=1,1-FR41,0)+IF('calcA'!BU$106=1,1-FT41,0))*150+223+'calcA'!BU$5*100000+IF(AND($E41=1,LH41=0),50000,0))+IF($H41=1,INDEX('calcA'!$D$180:$EQ$219,$B41,70)*4000,0)-IF(AND('calcA'!BT$117=1,WR41&gt;0),2000,0)-IF(AND($U41=1,'calcA'!BU$117=1,FT41=0),2000,0))),1000000000))</f>
        <v/>
      </c>
      <c r="QX41">
        <f>IF($B41=0,1000000000,IF(INDEX('calcA'!$D$60:$EQ$99,$B41,71)*IF($W41=1,FT41+ACI41,FT41)=1,IF(AND($E41=2,IF($W41=1,AHX41,LI41)=0),1000000000,IF($V41=1,INDEX('calcA'!$D$130:$EQ$169,$B41,71)+IF(AND($E41=1,LI41=0),25,0),IF($F41&gt;0,INDEX('calcA'!BV$110:BV$114,$F41+1)+IF(AND($E41=1,LI41=0),1000,0),MIN(TW41,20)*400+(IF('calcA'!BU$106=1,1-FS41,0)+IF('calcA'!BV$106=1,1-FU41,0))*150+233+'calcA'!BV$5*100000+IF(AND($E41=1,LI41=0),50000,0))+IF($H41=1,INDEX('calcA'!$D$180:$EQ$219,$B41,71)*4000,0)-IF(AND('calcA'!BU$117=1,WS41&gt;0),2000,0)-IF(AND($U41=1,'calcA'!BV$117=1,FU41=0),2000,0))),1000000000))</f>
        <v/>
      </c>
      <c r="QY41">
        <f>IF($B41=0,1000000000,IF(INDEX('calcA'!$D$60:$EQ$99,$B41,72)*IF($W41=1,FU41+ACJ41,FU41)=1,IF(AND($E41=2,IF($W41=1,AHY41,LJ41)=0),1000000000,IF($V41=1,INDEX('calcA'!$D$130:$EQ$169,$B41,72)+IF(AND($E41=1,LJ41=0),25,0),IF($F41&gt;0,INDEX('calcA'!BW$110:BW$114,$F41+1)+IF(AND($E41=1,LJ41=0),1000,0),MIN(TW41,20)*400+(IF('calcA'!BV$106=1,1-FT41,0))*150+243+'calcA'!BW$5*100000+IF(AND($E41=1,LJ41=0),50000,0))+IF($H41=1,INDEX('calcA'!$D$180:$EQ$219,$B41,72)*4000,0)-IF(AND('calcA'!BV$117=1,WT41&gt;0),2000,0))),1000000000))</f>
        <v/>
      </c>
      <c r="QZ41">
        <f>IF($B41=0,1000000000,IF(INDEX('calcA'!$D$60:$EQ$99,$B41,73)*IF($W41=1,FV41+ACK41,FV41)=1,IF(AND($E41=2,IF($W41=1,AHZ41,LK41)=0),1000000000,IF($V41=1,INDEX('calcA'!$D$130:$EQ$169,$B41,73)+IF(AND($E41=1,LK41=0),25,0),IF($F41&gt;0,INDEX('calcA'!BX$110:BX$114,$F41+1)+IF(AND($E41=1,LK41=0),1000,0),MIN(TX41,20)*400+(IF('calcA'!BX$106=1,1-FW41,0))*150+14+'calcA'!BX$5*100000+IF(AND($E41=1,LK41=0),50000,0))+IF($H41=1,INDEX('calcA'!$D$180:$EQ$219,$B41,73)*4000,0)-IF(AND($U41=1,'calcA'!BX$117=1,FW41=0),2000,0))),1000000000))</f>
        <v/>
      </c>
      <c r="RA41">
        <f>IF($B41=0,1000000000,IF(INDEX('calcA'!$D$60:$EQ$99,$B41,74)*IF($W41=1,FW41+ACL41,FW41)=1,IF(AND($E41=2,IF($W41=1,AIA41,LL41)=0),1000000000,IF($V41=1,INDEX('calcA'!$D$130:$EQ$169,$B41,74)+IF(AND($E41=1,LL41=0),25,0),IF($F41&gt;0,INDEX('calcA'!BY$110:BY$114,$F41+1)+IF(AND($E41=1,LL41=0),1000,0),MIN(TX41,20)*400+(IF('calcA'!BX$106=1,1-FV41,0)+IF('calcA'!BY$106=1,1-FX41,0))*150+24+'calcA'!BY$5*100000+IF(AND($E41=1,LL41=0),50000,0))+IF($H41=1,INDEX('calcA'!$D$180:$EQ$219,$B41,74)*4000,0)-IF(AND('calcA'!BX$117=1,WV41&gt;0),2000,0)-IF(AND($U41=1,'calcA'!BY$117=1,FX41=0),2000,0))),1000000000))</f>
        <v/>
      </c>
      <c r="RB41">
        <f>IF($B41=0,1000000000,IF(INDEX('calcA'!$D$60:$EQ$99,$B41,75)*IF($W41=1,FX41+ACM41,FX41)=1,IF(AND($E41=2,IF($W41=1,AIB41,LM41)=0),1000000000,IF($V41=1,INDEX('calcA'!$D$130:$EQ$169,$B41,75)+IF(AND($E41=1,LM41=0),25,0),IF($F41&gt;0,INDEX('calcA'!BZ$110:BZ$114,$F41+1)+IF(AND($E41=1,LM41=0),1000,0),MIN(TX41,20)*400+(IF('calcA'!BY$106=1,1-FW41,0)+IF('calcA'!BZ$106=1,1-FY41,0))*150+34+'calcA'!BZ$5*100000+IF(AND($E41=1,LM41=0),50000,0))+IF($H41=1,INDEX('calcA'!$D$180:$EQ$219,$B41,75)*4000,0)-IF(AND('calcA'!BY$117=1,WW41&gt;0),2000,0)-IF(AND($U41=1,'calcA'!BZ$117=1,FY41=0),2000,0))),1000000000))</f>
        <v/>
      </c>
      <c r="RC41">
        <f>IF($B41=0,1000000000,IF(INDEX('calcA'!$D$60:$EQ$99,$B41,76)*IF($W41=1,FY41+ACN41,FY41)=1,IF(AND($E41=2,IF($W41=1,AIC41,LN41)=0),1000000000,IF($V41=1,INDEX('calcA'!$D$130:$EQ$169,$B41,76)+IF(AND($E41=1,LN41=0),25,0),IF($F41&gt;0,INDEX('calcA'!CA$110:CA$114,$F41+1)+IF(AND($E41=1,LN41=0),1000,0),MIN(TX41,20)*400+(IF('calcA'!BZ$106=1,1-FX41,0)+IF('calcA'!CA$106=1,1-FZ41,0))*150+44+'calcA'!CA$5*100000+IF(AND($E41=1,LN41=0),50000,0))+IF($H41=1,INDEX('calcA'!$D$180:$EQ$219,$B41,76)*4000,0)-IF(AND('calcA'!BZ$117=1,WX41&gt;0),2000,0)-IF(AND($U41=1,'calcA'!CA$117=1,FZ41=0),2000,0))),1000000000))</f>
        <v/>
      </c>
      <c r="RD41">
        <f>IF($B41=0,1000000000,IF(INDEX('calcA'!$D$60:$EQ$99,$B41,77)*IF($W41=1,FZ41+ACO41,FZ41)=1,IF(AND($E41=2,IF($W41=1,AID41,LO41)=0),1000000000,IF($V41=1,INDEX('calcA'!$D$130:$EQ$169,$B41,77)+IF(AND($E41=1,LO41=0),25,0),IF($F41&gt;0,INDEX('calcA'!CB$110:CB$114,$F41+1)+IF(AND($E41=1,LO41=0),1000,0),MIN(TX41,20)*400+(IF('calcA'!CA$106=1,1-FY41,0)+IF('calcA'!CB$106=1,1-GA41,0))*150+54+'calcA'!CB$5*100000+IF(AND($E41=1,LO41=0),50000,0))+IF($H41=1,INDEX('calcA'!$D$180:$EQ$219,$B41,77)*4000,0)-IF(AND('calcA'!CA$117=1,WY41&gt;0),2000,0)-IF(AND($U41=1,'calcA'!CB$117=1,GA41=0),2000,0))),1000000000))</f>
        <v/>
      </c>
      <c r="RE41">
        <f>IF($B41=0,1000000000,IF(INDEX('calcA'!$D$60:$EQ$99,$B41,78)*IF($W41=1,GA41+ACP41,GA41)=1,IF(AND($E41=2,IF($W41=1,AIE41,LP41)=0),1000000000,IF($V41=1,INDEX('calcA'!$D$130:$EQ$169,$B41,78)+IF(AND($E41=1,LP41=0),25,0),IF($F41&gt;0,INDEX('calcA'!CC$110:CC$114,$F41+1)+IF(AND($E41=1,LP41=0),1000,0),MIN(TX41,20)*400+(IF('calcA'!CB$106=1,1-FZ41,0)+IF('calcA'!CC$106=1,1-GB41,0))*150+64+'calcA'!CC$5*100000+IF(AND($E41=1,LP41=0),50000,0))+IF($H41=1,INDEX('calcA'!$D$180:$EQ$219,$B41,78)*4000,0)-IF(AND('calcA'!CB$117=1,WZ41&gt;0),2000,0)-IF(AND($U41=1,'calcA'!CC$117=1,GB41=0),2000,0))),1000000000))</f>
        <v/>
      </c>
      <c r="RF41">
        <f>IF($B41=0,1000000000,IF(INDEX('calcA'!$D$60:$EQ$99,$B41,79)*IF($W41=1,GB41+ACQ41,GB41)=1,IF(AND($E41=2,IF($W41=1,AIF41,LQ41)=0),1000000000,IF($V41=1,INDEX('calcA'!$D$130:$EQ$169,$B41,79)+IF(AND($E41=1,LQ41=0),25,0),IF($F41&gt;0,INDEX('calcA'!CD$110:CD$114,$F41+1)+IF(AND($E41=1,LQ41=0),1000,0),MIN(TX41,20)*400+(IF('calcA'!CC$106=1,1-GA41,0)+IF('calcA'!CD$106=1,1-GC41,0))*150+74+'calcA'!CD$5*100000+IF(AND($E41=1,LQ41=0),50000,0))+IF($H41=1,INDEX('calcA'!$D$180:$EQ$219,$B41,79)*4000,0)-IF(AND('calcA'!CC$117=1,XA41&gt;0),2000,0)-IF(AND($U41=1,'calcA'!CD$117=1,GC41=0),2000,0))),1000000000))</f>
        <v/>
      </c>
      <c r="RG41">
        <f>IF($B41=0,1000000000,IF(INDEX('calcA'!$D$60:$EQ$99,$B41,80)*IF($W41=1,GC41+ACR41,GC41)=1,IF(AND($E41=2,IF($W41=1,AIG41,LR41)=0),1000000000,IF($V41=1,INDEX('calcA'!$D$130:$EQ$169,$B41,80)+IF(AND($E41=1,LR41=0),25,0),IF($F41&gt;0,INDEX('calcA'!CE$110:CE$114,$F41+1)+IF(AND($E41=1,LR41=0),1000,0),MIN(TX41,20)*400+(IF('calcA'!CD$106=1,1-GB41,0)+IF('calcA'!CE$106=1,1-GD41,0))*150+84+'calcA'!CE$5*100000+IF(AND($E41=1,LR41=0),50000,0))+IF($H41=1,INDEX('calcA'!$D$180:$EQ$219,$B41,80)*4000,0)-IF(AND('calcA'!CD$117=1,XB41&gt;0),2000,0)-IF(AND($U41=1,'calcA'!CE$117=1,GD41=0),2000,0))),1000000000))</f>
        <v/>
      </c>
      <c r="RH41">
        <f>IF($B41=0,1000000000,IF(INDEX('calcA'!$D$60:$EQ$99,$B41,81)*IF($W41=1,GD41+ACS41,GD41)=1,IF(AND($E41=2,IF($W41=1,AIH41,LS41)=0),1000000000,IF($V41=1,INDEX('calcA'!$D$130:$EQ$169,$B41,81)+IF(AND($E41=1,LS41=0),25,0),IF($F41&gt;0,INDEX('calcA'!CF$110:CF$114,$F41+1)+IF(AND($E41=1,LS41=0),1000,0),MIN(TX41,20)*400+(IF('calcA'!CE$106=1,1-GC41,0)+IF('calcA'!CF$106=1,1-GE41,0))*150+94+'calcA'!CF$5*100000+IF(AND($E41=1,LS41=0),50000,0))+IF($H41=1,INDEX('calcA'!$D$180:$EQ$219,$B41,81)*4000,0)-IF(AND('calcA'!CE$117=1,XC41&gt;0),2000,0)-IF(AND($U41=1,'calcA'!CF$117=1,GE41=0),2000,0))),1000000000))</f>
        <v/>
      </c>
      <c r="RI41">
        <f>IF($B41=0,1000000000,IF(INDEX('calcA'!$D$60:$EQ$99,$B41,82)*IF($W41=1,GE41+ACT41,GE41)=1,IF(AND($E41=2,IF($W41=1,AII41,LT41)=0),1000000000,IF($V41=1,INDEX('calcA'!$D$130:$EQ$169,$B41,82)+IF(AND($E41=1,LT41=0),25,0),IF($F41&gt;0,INDEX('calcA'!CG$110:CG$114,$F41+1)+IF(AND($E41=1,LT41=0),1000,0),MIN(TX41,20)*400+(IF('calcA'!CF$106=1,1-GD41,0)+IF('calcA'!CG$106=1,1-GF41,0))*150+104+'calcA'!CG$5*100000+IF(AND($E41=1,LT41=0),50000,0))+IF($H41=1,INDEX('calcA'!$D$180:$EQ$219,$B41,82)*4000,0)-IF(AND('calcA'!CF$117=1,XD41&gt;0),2000,0)-IF(AND($U41=1,'calcA'!CG$117=1,GF41=0),2000,0))),1000000000))</f>
        <v/>
      </c>
      <c r="RJ41">
        <f>IF($B41=0,1000000000,IF(INDEX('calcA'!$D$60:$EQ$99,$B41,83)*IF($W41=1,GF41+ACU41,GF41)=1,IF(AND($E41=2,IF($W41=1,AIJ41,LU41)=0),1000000000,IF($V41=1,INDEX('calcA'!$D$130:$EQ$169,$B41,83)+IF(AND($E41=1,LU41=0),25,0),IF($F41&gt;0,INDEX('calcA'!CH$110:CH$114,$F41+1)+IF(AND($E41=1,LU41=0),1000,0),MIN(TX41,20)*400+(IF('calcA'!CG$106=1,1-GE41,0)+IF('calcA'!CH$106=1,1-GG41,0))*150+114+'calcA'!CH$5*100000+IF(AND($E41=1,LU41=0),50000,0))+IF($H41=1,INDEX('calcA'!$D$180:$EQ$219,$B41,83)*4000,0)-IF(AND('calcA'!CG$117=1,XE41&gt;0),2000,0)-IF(AND($U41=1,'calcA'!CH$117=1,GG41=0),2000,0))),1000000000))</f>
        <v/>
      </c>
      <c r="RK41">
        <f>IF($B41=0,1000000000,IF(INDEX('calcA'!$D$60:$EQ$99,$B41,84)*IF($W41=1,GG41+ACV41,GG41)=1,IF(AND($E41=2,IF($W41=1,AIK41,LV41)=0),1000000000,IF($V41=1,INDEX('calcA'!$D$130:$EQ$169,$B41,84)+IF(AND($E41=1,LV41=0),25,0),IF($F41&gt;0,INDEX('calcA'!CI$110:CI$114,$F41+1)+IF(AND($E41=1,LV41=0),1000,0),MIN(TX41,20)*400+(IF('calcA'!CH$106=1,1-GF41,0)+IF('calcA'!CI$106=1,1-GH41,0))*150+124+'calcA'!CI$5*100000+IF(AND($E41=1,LV41=0),50000,0))+IF($H41=1,INDEX('calcA'!$D$180:$EQ$219,$B41,84)*4000,0)-IF(AND('calcA'!CH$117=1,XF41&gt;0),2000,0)-IF(AND($U41=1,'calcA'!CI$117=1,GH41=0),2000,0))),1000000000))</f>
        <v/>
      </c>
      <c r="RL41">
        <f>IF($B41=0,1000000000,IF(INDEX('calcA'!$D$60:$EQ$99,$B41,85)*IF($W41=1,GH41+ACW41,GH41)=1,IF(AND($E41=2,IF($W41=1,AIL41,LW41)=0),1000000000,IF($V41=1,INDEX('calcA'!$D$130:$EQ$169,$B41,85)+IF(AND($E41=1,LW41=0),25,0),IF($F41&gt;0,INDEX('calcA'!CJ$110:CJ$114,$F41+1)+IF(AND($E41=1,LW41=0),1000,0),MIN(TX41,20)*400+(IF('calcA'!CI$106=1,1-GG41,0)+IF('calcA'!CJ$106=1,1-GI41,0))*150+134+'calcA'!CJ$5*100000+IF(AND($E41=1,LW41=0),50000,0))+IF($H41=1,INDEX('calcA'!$D$180:$EQ$219,$B41,85)*4000,0)-IF(AND('calcA'!CI$117=1,XG41&gt;0),2000,0)-IF(AND($U41=1,'calcA'!CJ$117=1,GI41=0),2000,0))),1000000000))</f>
        <v/>
      </c>
      <c r="RM41">
        <f>IF($B41=0,1000000000,IF(INDEX('calcA'!$D$60:$EQ$99,$B41,86)*IF($W41=1,GI41+ACX41,GI41)=1,IF(AND($E41=2,IF($W41=1,AIM41,LX41)=0),1000000000,IF($V41=1,INDEX('calcA'!$D$130:$EQ$169,$B41,86)+IF(AND($E41=1,LX41=0),25,0),IF($F41&gt;0,INDEX('calcA'!CK$110:CK$114,$F41+1)+IF(AND($E41=1,LX41=0),1000,0),MIN(TX41,20)*400+(IF('calcA'!CJ$106=1,1-GH41,0)+IF('calcA'!CK$106=1,1-GJ41,0))*150+144+'calcA'!CK$5*100000+IF(AND($E41=1,LX41=0),50000,0))+IF($H41=1,INDEX('calcA'!$D$180:$EQ$219,$B41,86)*4000,0)-IF(AND('calcA'!CJ$117=1,XH41&gt;0),2000,0)-IF(AND($U41=1,'calcA'!CK$117=1,GJ41=0),2000,0))),1000000000))</f>
        <v/>
      </c>
      <c r="RN41">
        <f>IF($B41=0,1000000000,IF(INDEX('calcA'!$D$60:$EQ$99,$B41,87)*IF($W41=1,GJ41+ACY41,GJ41)=1,IF(AND($E41=2,IF($W41=1,AIN41,LY41)=0),1000000000,IF($V41=1,INDEX('calcA'!$D$130:$EQ$169,$B41,87)+IF(AND($E41=1,LY41=0),25,0),IF($F41&gt;0,INDEX('calcA'!CL$110:CL$114,$F41+1)+IF(AND($E41=1,LY41=0),1000,0),MIN(TX41,20)*400+(IF('calcA'!CK$106=1,1-GI41,0)+IF('calcA'!CL$106=1,1-GK41,0))*150+154+'calcA'!CL$5*100000+IF(AND($E41=1,LY41=0),50000,0))+IF($H41=1,INDEX('calcA'!$D$180:$EQ$219,$B41,87)*4000,0)-IF(AND('calcA'!CK$117=1,XI41&gt;0),2000,0)-IF(AND($U41=1,'calcA'!CL$117=1,GK41=0),2000,0))),1000000000))</f>
        <v/>
      </c>
      <c r="RO41">
        <f>IF($B41=0,1000000000,IF(INDEX('calcA'!$D$60:$EQ$99,$B41,88)*IF($W41=1,GK41+ACZ41,GK41)=1,IF(AND($E41=2,IF($W41=1,AIO41,LZ41)=0),1000000000,IF($V41=1,INDEX('calcA'!$D$130:$EQ$169,$B41,88)+IF(AND($E41=1,LZ41=0),25,0),IF($F41&gt;0,INDEX('calcA'!CM$110:CM$114,$F41+1)+IF(AND($E41=1,LZ41=0),1000,0),MIN(TX41,20)*400+(IF('calcA'!CL$106=1,1-GJ41,0)+IF('calcA'!CM$106=1,1-GL41,0))*150+164+'calcA'!CM$5*100000+IF(AND($E41=1,LZ41=0),50000,0))+IF($H41=1,INDEX('calcA'!$D$180:$EQ$219,$B41,88)*4000,0)-IF(AND('calcA'!CL$117=1,XJ41&gt;0),2000,0)-IF(AND($U41=1,'calcA'!CM$117=1,GL41=0),2000,0))),1000000000))</f>
        <v/>
      </c>
      <c r="RP41">
        <f>IF($B41=0,1000000000,IF(INDEX('calcA'!$D$60:$EQ$99,$B41,89)*IF($W41=1,GL41+ADA41,GL41)=1,IF(AND($E41=2,IF($W41=1,AIP41,MA41)=0),1000000000,IF($V41=1,INDEX('calcA'!$D$130:$EQ$169,$B41,89)+IF(AND($E41=1,MA41=0),25,0),IF($F41&gt;0,INDEX('calcA'!CN$110:CN$114,$F41+1)+IF(AND($E41=1,MA41=0),1000,0),MIN(TX41,20)*400+(IF('calcA'!CM$106=1,1-GK41,0)+IF('calcA'!CN$106=1,1-GM41,0))*150+174+'calcA'!CN$5*100000+IF(AND($E41=1,MA41=0),50000,0))+IF($H41=1,INDEX('calcA'!$D$180:$EQ$219,$B41,89)*4000,0)-IF(AND('calcA'!CM$117=1,XK41&gt;0),2000,0)-IF(AND($U41=1,'calcA'!CN$117=1,GM41=0),2000,0))),1000000000))</f>
        <v/>
      </c>
      <c r="RQ41">
        <f>IF($B41=0,1000000000,IF(INDEX('calcA'!$D$60:$EQ$99,$B41,90)*IF($W41=1,GM41+ADB41,GM41)=1,IF(AND($E41=2,IF($W41=1,AIQ41,MB41)=0),1000000000,IF($V41=1,INDEX('calcA'!$D$130:$EQ$169,$B41,90)+IF(AND($E41=1,MB41=0),25,0),IF($F41&gt;0,INDEX('calcA'!CO$110:CO$114,$F41+1)+IF(AND($E41=1,MB41=0),1000,0),MIN(TX41,20)*400+(IF('calcA'!CN$106=1,1-GL41,0)+IF('calcA'!CO$106=1,1-GN41,0))*150+184+'calcA'!CO$5*100000+IF(AND($E41=1,MB41=0),50000,0))+IF($H41=1,INDEX('calcA'!$D$180:$EQ$219,$B41,90)*4000,0)-IF(AND('calcA'!CN$117=1,XL41&gt;0),2000,0)-IF(AND($U41=1,'calcA'!CO$117=1,GN41=0),2000,0))),1000000000))</f>
        <v/>
      </c>
      <c r="RR41">
        <f>IF($B41=0,1000000000,IF(INDEX('calcA'!$D$60:$EQ$99,$B41,91)*IF($W41=1,GN41+ADC41,GN41)=1,IF(AND($E41=2,IF($W41=1,AIR41,MC41)=0),1000000000,IF($V41=1,INDEX('calcA'!$D$130:$EQ$169,$B41,91)+IF(AND($E41=1,MC41=0),25,0),IF($F41&gt;0,INDEX('calcA'!CP$110:CP$114,$F41+1)+IF(AND($E41=1,MC41=0),1000,0),MIN(TX41,20)*400+(IF('calcA'!CO$106=1,1-GM41,0)+IF('calcA'!CP$106=1,1-GO41,0))*150+194+'calcA'!CP$5*100000+IF(AND($E41=1,MC41=0),50000,0))+IF($H41=1,INDEX('calcA'!$D$180:$EQ$219,$B41,91)*4000,0)-IF(AND('calcA'!CO$117=1,XM41&gt;0),2000,0)-IF(AND($U41=1,'calcA'!CP$117=1,GO41=0),2000,0))),1000000000))</f>
        <v/>
      </c>
      <c r="RS41">
        <f>IF($B41=0,1000000000,IF(INDEX('calcA'!$D$60:$EQ$99,$B41,92)*IF($W41=1,GO41+ADD41,GO41)=1,IF(AND($E41=2,IF($W41=1,AIS41,MD41)=0),1000000000,IF($V41=1,INDEX('calcA'!$D$130:$EQ$169,$B41,92)+IF(AND($E41=1,MD41=0),25,0),IF($F41&gt;0,INDEX('calcA'!CQ$110:CQ$114,$F41+1)+IF(AND($E41=1,MD41=0),1000,0),MIN(TX41,20)*400+(IF('calcA'!CP$106=1,1-GN41,0)+IF('calcA'!CQ$106=1,1-GP41,0))*150+204+'calcA'!CQ$5*100000+IF(AND($E41=1,MD41=0),50000,0))+IF($H41=1,INDEX('calcA'!$D$180:$EQ$219,$B41,92)*4000,0)-IF(AND('calcA'!CP$117=1,XN41&gt;0),2000,0)-IF(AND($U41=1,'calcA'!CQ$117=1,GP41=0),2000,0))),1000000000))</f>
        <v/>
      </c>
      <c r="RT41">
        <f>IF($B41=0,1000000000,IF(INDEX('calcA'!$D$60:$EQ$99,$B41,93)*IF($W41=1,GP41+ADE41,GP41)=1,IF(AND($E41=2,IF($W41=1,AIT41,ME41)=0),1000000000,IF($V41=1,INDEX('calcA'!$D$130:$EQ$169,$B41,93)+IF(AND($E41=1,ME41=0),25,0),IF($F41&gt;0,INDEX('calcA'!CR$110:CR$114,$F41+1)+IF(AND($E41=1,ME41=0),1000,0),MIN(TX41,20)*400+(IF('calcA'!CQ$106=1,1-GO41,0)+IF('calcA'!CR$106=1,1-GQ41,0))*150+214+'calcA'!CR$5*100000+IF(AND($E41=1,ME41=0),50000,0))+IF($H41=1,INDEX('calcA'!$D$180:$EQ$219,$B41,93)*4000,0)-IF(AND('calcA'!CQ$117=1,XO41&gt;0),2000,0)-IF(AND($U41=1,'calcA'!CR$117=1,GQ41=0),2000,0))),1000000000))</f>
        <v/>
      </c>
      <c r="RU41">
        <f>IF($B41=0,1000000000,IF(INDEX('calcA'!$D$60:$EQ$99,$B41,94)*IF($W41=1,GQ41+ADF41,GQ41)=1,IF(AND($E41=2,IF($W41=1,AIU41,MF41)=0),1000000000,IF($V41=1,INDEX('calcA'!$D$130:$EQ$169,$B41,94)+IF(AND($E41=1,MF41=0),25,0),IF($F41&gt;0,INDEX('calcA'!CS$110:CS$114,$F41+1)+IF(AND($E41=1,MF41=0),1000,0),MIN(TX41,20)*400+(IF('calcA'!CR$106=1,1-GP41,0)+IF('calcA'!CS$106=1,1-GR41,0))*150+224+'calcA'!CS$5*100000+IF(AND($E41=1,MF41=0),50000,0))+IF($H41=1,INDEX('calcA'!$D$180:$EQ$219,$B41,94)*4000,0)-IF(AND('calcA'!CR$117=1,XP41&gt;0),2000,0)-IF(AND($U41=1,'calcA'!CS$117=1,GR41=0),2000,0))),1000000000))</f>
        <v/>
      </c>
      <c r="RV41">
        <f>IF($B41=0,1000000000,IF(INDEX('calcA'!$D$60:$EQ$99,$B41,95)*IF($W41=1,GR41+ADG41,GR41)=1,IF(AND($E41=2,IF($W41=1,AIV41,MG41)=0),1000000000,IF($V41=1,INDEX('calcA'!$D$130:$EQ$169,$B41,95)+IF(AND($E41=1,MG41=0),25,0),IF($F41&gt;0,INDEX('calcA'!CT$110:CT$114,$F41+1)+IF(AND($E41=1,MG41=0),1000,0),MIN(TX41,20)*400+(IF('calcA'!CS$106=1,1-GQ41,0)+IF('calcA'!CT$106=1,1-GS41,0))*150+234+'calcA'!CT$5*100000+IF(AND($E41=1,MG41=0),50000,0))+IF($H41=1,INDEX('calcA'!$D$180:$EQ$219,$B41,95)*4000,0)-IF(AND('calcA'!CS$117=1,XQ41&gt;0),2000,0)-IF(AND($U41=1,'calcA'!CT$117=1,GS41=0),2000,0))),1000000000))</f>
        <v/>
      </c>
      <c r="RW41">
        <f>IF($B41=0,1000000000,IF(INDEX('calcA'!$D$60:$EQ$99,$B41,96)*IF($W41=1,GS41+ADH41,GS41)=1,IF(AND($E41=2,IF($W41=1,AIW41,MH41)=0),1000000000,IF($V41=1,INDEX('calcA'!$D$130:$EQ$169,$B41,96)+IF(AND($E41=1,MH41=0),25,0),IF($F41&gt;0,INDEX('calcA'!CU$110:CU$114,$F41+1)+IF(AND($E41=1,MH41=0),1000,0),MIN(TX41,20)*400+(IF('calcA'!CT$106=1,1-GR41,0))*150+244+'calcA'!CU$5*100000+IF(AND($E41=1,MH41=0),50000,0))+IF($H41=1,INDEX('calcA'!$D$180:$EQ$219,$B41,96)*4000,0)-IF(AND('calcA'!CT$117=1,XR41&gt;0),2000,0))),1000000000))</f>
        <v/>
      </c>
      <c r="RX41">
        <f>IF($B41=0,1000000000,IF(INDEX('calcA'!$D$60:$EQ$99,$B41,97)*IF($W41=1,GT41+ADI41,GT41)=1,IF(AND($E41=2,IF($W41=1,AIX41,MI41)=0),1000000000,IF($V41=1,INDEX('calcA'!$D$130:$EQ$169,$B41,97)+IF(AND($E41=1,MI41=0),25,0),IF($F41&gt;0,INDEX('calcA'!CV$110:CV$114,$F41+1)+IF(AND($E41=1,MI41=0),1000,0),MIN(TY41,20)*400+(IF('calcA'!CV$106=1,1-GU41,0))*150+15+'calcA'!CV$5*100000+IF(AND($E41=1,MI41=0),50000,0))+IF($H41=1,INDEX('calcA'!$D$180:$EQ$219,$B41,97)*4000,0)-IF(AND($U41=1,'calcA'!CV$117=1,GU41=0),2000,0))),1000000000))</f>
        <v/>
      </c>
      <c r="RY41">
        <f>IF($B41=0,1000000000,IF(INDEX('calcA'!$D$60:$EQ$99,$B41,98)*IF($W41=1,GU41+ADJ41,GU41)=1,IF(AND($E41=2,IF($W41=1,AIY41,MJ41)=0),1000000000,IF($V41=1,INDEX('calcA'!$D$130:$EQ$169,$B41,98)+IF(AND($E41=1,MJ41=0),25,0),IF($F41&gt;0,INDEX('calcA'!CW$110:CW$114,$F41+1)+IF(AND($E41=1,MJ41=0),1000,0),MIN(TY41,20)*400+(IF('calcA'!CV$106=1,1-GT41,0)+IF('calcA'!CW$106=1,1-GV41,0))*150+25+'calcA'!CW$5*100000+IF(AND($E41=1,MJ41=0),50000,0))+IF($H41=1,INDEX('calcA'!$D$180:$EQ$219,$B41,98)*4000,0)-IF(AND('calcA'!CV$117=1,XT41&gt;0),2000,0)-IF(AND($U41=1,'calcA'!CW$117=1,GV41=0),2000,0))),1000000000))</f>
        <v/>
      </c>
      <c r="RZ41">
        <f>IF($B41=0,1000000000,IF(INDEX('calcA'!$D$60:$EQ$99,$B41,99)*IF($W41=1,GV41+ADK41,GV41)=1,IF(AND($E41=2,IF($W41=1,AIZ41,MK41)=0),1000000000,IF($V41=1,INDEX('calcA'!$D$130:$EQ$169,$B41,99)+IF(AND($E41=1,MK41=0),25,0),IF($F41&gt;0,INDEX('calcA'!CX$110:CX$114,$F41+1)+IF(AND($E41=1,MK41=0),1000,0),MIN(TY41,20)*400+(IF('calcA'!CW$106=1,1-GU41,0)+IF('calcA'!CX$106=1,1-GW41,0))*150+35+'calcA'!CX$5*100000+IF(AND($E41=1,MK41=0),50000,0))+IF($H41=1,INDEX('calcA'!$D$180:$EQ$219,$B41,99)*4000,0)-IF(AND('calcA'!CW$117=1,XU41&gt;0),2000,0)-IF(AND($U41=1,'calcA'!CX$117=1,GW41=0),2000,0))),1000000000))</f>
        <v/>
      </c>
      <c r="SA41">
        <f>IF($B41=0,1000000000,IF(INDEX('calcA'!$D$60:$EQ$99,$B41,100)*IF($W41=1,GW41+ADL41,GW41)=1,IF(AND($E41=2,IF($W41=1,AJA41,ML41)=0),1000000000,IF($V41=1,INDEX('calcA'!$D$130:$EQ$169,$B41,100)+IF(AND($E41=1,ML41=0),25,0),IF($F41&gt;0,INDEX('calcA'!CY$110:CY$114,$F41+1)+IF(AND($E41=1,ML41=0),1000,0),MIN(TY41,20)*400+(IF('calcA'!CX$106=1,1-GV41,0)+IF('calcA'!CY$106=1,1-GX41,0))*150+45+'calcA'!CY$5*100000+IF(AND($E41=1,ML41=0),50000,0))+IF($H41=1,INDEX('calcA'!$D$180:$EQ$219,$B41,100)*4000,0)-IF(AND('calcA'!CX$117=1,XV41&gt;0),2000,0)-IF(AND($U41=1,'calcA'!CY$117=1,GX41=0),2000,0))),1000000000))</f>
        <v/>
      </c>
      <c r="SB41">
        <f>IF($B41=0,1000000000,IF(INDEX('calcA'!$D$60:$EQ$99,$B41,101)*IF($W41=1,GX41+ADM41,GX41)=1,IF(AND($E41=2,IF($W41=1,AJB41,MM41)=0),1000000000,IF($V41=1,INDEX('calcA'!$D$130:$EQ$169,$B41,101)+IF(AND($E41=1,MM41=0),25,0),IF($F41&gt;0,INDEX('calcA'!CZ$110:CZ$114,$F41+1)+IF(AND($E41=1,MM41=0),1000,0),MIN(TY41,20)*400+(IF('calcA'!CY$106=1,1-GW41,0)+IF('calcA'!CZ$106=1,1-GY41,0))*150+55+'calcA'!CZ$5*100000+IF(AND($E41=1,MM41=0),50000,0))+IF($H41=1,INDEX('calcA'!$D$180:$EQ$219,$B41,101)*4000,0)-IF(AND('calcA'!CY$117=1,XW41&gt;0),2000,0)-IF(AND($U41=1,'calcA'!CZ$117=1,GY41=0),2000,0))),1000000000))</f>
        <v/>
      </c>
      <c r="SC41">
        <f>IF($B41=0,1000000000,IF(INDEX('calcA'!$D$60:$EQ$99,$B41,102)*IF($W41=1,GY41+ADN41,GY41)=1,IF(AND($E41=2,IF($W41=1,AJC41,MN41)=0),1000000000,IF($V41=1,INDEX('calcA'!$D$130:$EQ$169,$B41,102)+IF(AND($E41=1,MN41=0),25,0),IF($F41&gt;0,INDEX('calcA'!DA$110:DA$114,$F41+1)+IF(AND($E41=1,MN41=0),1000,0),MIN(TY41,20)*400+(IF('calcA'!CZ$106=1,1-GX41,0)+IF('calcA'!DA$106=1,1-GZ41,0))*150+65+'calcA'!DA$5*100000+IF(AND($E41=1,MN41=0),50000,0))+IF($H41=1,INDEX('calcA'!$D$180:$EQ$219,$B41,102)*4000,0)-IF(AND('calcA'!CZ$117=1,XX41&gt;0),2000,0)-IF(AND($U41=1,'calcA'!DA$117=1,GZ41=0),2000,0))),1000000000))</f>
        <v/>
      </c>
      <c r="SD41">
        <f>IF($B41=0,1000000000,IF(INDEX('calcA'!$D$60:$EQ$99,$B41,103)*IF($W41=1,GZ41+ADO41,GZ41)=1,IF(AND($E41=2,IF($W41=1,AJD41,MO41)=0),1000000000,IF($V41=1,INDEX('calcA'!$D$130:$EQ$169,$B41,103)+IF(AND($E41=1,MO41=0),25,0),IF($F41&gt;0,INDEX('calcA'!DB$110:DB$114,$F41+1)+IF(AND($E41=1,MO41=0),1000,0),MIN(TY41,20)*400+(IF('calcA'!DA$106=1,1-GY41,0)+IF('calcA'!DB$106=1,1-HA41,0))*150+75+'calcA'!DB$5*100000+IF(AND($E41=1,MO41=0),50000,0))+IF($H41=1,INDEX('calcA'!$D$180:$EQ$219,$B41,103)*4000,0)-IF(AND('calcA'!DA$117=1,XY41&gt;0),2000,0)-IF(AND($U41=1,'calcA'!DB$117=1,HA41=0),2000,0))),1000000000))</f>
        <v/>
      </c>
      <c r="SE41">
        <f>IF($B41=0,1000000000,IF(INDEX('calcA'!$D$60:$EQ$99,$B41,104)*IF($W41=1,HA41+ADP41,HA41)=1,IF(AND($E41=2,IF($W41=1,AJE41,MP41)=0),1000000000,IF($V41=1,INDEX('calcA'!$D$130:$EQ$169,$B41,104)+IF(AND($E41=1,MP41=0),25,0),IF($F41&gt;0,INDEX('calcA'!DC$110:DC$114,$F41+1)+IF(AND($E41=1,MP41=0),1000,0),MIN(TY41,20)*400+(IF('calcA'!DB$106=1,1-GZ41,0)+IF('calcA'!DC$106=1,1-HB41,0))*150+85+'calcA'!DC$5*100000+IF(AND($E41=1,MP41=0),50000,0))+IF($H41=1,INDEX('calcA'!$D$180:$EQ$219,$B41,104)*4000,0)-IF(AND('calcA'!DB$117=1,XZ41&gt;0),2000,0)-IF(AND($U41=1,'calcA'!DC$117=1,HB41=0),2000,0))),1000000000))</f>
        <v/>
      </c>
      <c r="SF41">
        <f>IF($B41=0,1000000000,IF(INDEX('calcA'!$D$60:$EQ$99,$B41,105)*IF($W41=1,HB41+ADQ41,HB41)=1,IF(AND($E41=2,IF($W41=1,AJF41,MQ41)=0),1000000000,IF($V41=1,INDEX('calcA'!$D$130:$EQ$169,$B41,105)+IF(AND($E41=1,MQ41=0),25,0),IF($F41&gt;0,INDEX('calcA'!DD$110:DD$114,$F41+1)+IF(AND($E41=1,MQ41=0),1000,0),MIN(TY41,20)*400+(IF('calcA'!DC$106=1,1-HA41,0)+IF('calcA'!DD$106=1,1-HC41,0))*150+95+'calcA'!DD$5*100000+IF(AND($E41=1,MQ41=0),50000,0))+IF($H41=1,INDEX('calcA'!$D$180:$EQ$219,$B41,105)*4000,0)-IF(AND('calcA'!DC$117=1,YA41&gt;0),2000,0)-IF(AND($U41=1,'calcA'!DD$117=1,HC41=0),2000,0))),1000000000))</f>
        <v/>
      </c>
      <c r="SG41">
        <f>IF($B41=0,1000000000,IF(INDEX('calcA'!$D$60:$EQ$99,$B41,106)*IF($W41=1,HC41+ADR41,HC41)=1,IF(AND($E41=2,IF($W41=1,AJG41,MR41)=0),1000000000,IF($V41=1,INDEX('calcA'!$D$130:$EQ$169,$B41,106)+IF(AND($E41=1,MR41=0),25,0),IF($F41&gt;0,INDEX('calcA'!DE$110:DE$114,$F41+1)+IF(AND($E41=1,MR41=0),1000,0),MIN(TY41,20)*400+(IF('calcA'!DD$106=1,1-HB41,0)+IF('calcA'!DE$106=1,1-HD41,0))*150+105+'calcA'!DE$5*100000+IF(AND($E41=1,MR41=0),50000,0))+IF($H41=1,INDEX('calcA'!$D$180:$EQ$219,$B41,106)*4000,0)-IF(AND('calcA'!DD$117=1,YB41&gt;0),2000,0)-IF(AND($U41=1,'calcA'!DE$117=1,HD41=0),2000,0))),1000000000))</f>
        <v/>
      </c>
      <c r="SH41">
        <f>IF($B41=0,1000000000,IF(INDEX('calcA'!$D$60:$EQ$99,$B41,107)*IF($W41=1,HD41+ADS41,HD41)=1,IF(AND($E41=2,IF($W41=1,AJH41,MS41)=0),1000000000,IF($V41=1,INDEX('calcA'!$D$130:$EQ$169,$B41,107)+IF(AND($E41=1,MS41=0),25,0),IF($F41&gt;0,INDEX('calcA'!DF$110:DF$114,$F41+1)+IF(AND($E41=1,MS41=0),1000,0),MIN(TY41,20)*400+(IF('calcA'!DE$106=1,1-HC41,0)+IF('calcA'!DF$106=1,1-HE41,0))*150+115+'calcA'!DF$5*100000+IF(AND($E41=1,MS41=0),50000,0))+IF($H41=1,INDEX('calcA'!$D$180:$EQ$219,$B41,107)*4000,0)-IF(AND('calcA'!DE$117=1,YC41&gt;0),2000,0)-IF(AND($U41=1,'calcA'!DF$117=1,HE41=0),2000,0))),1000000000))</f>
        <v/>
      </c>
      <c r="SI41">
        <f>IF($B41=0,1000000000,IF(INDEX('calcA'!$D$60:$EQ$99,$B41,108)*IF($W41=1,HE41+ADT41,HE41)=1,IF(AND($E41=2,IF($W41=1,AJI41,MT41)=0),1000000000,IF($V41=1,INDEX('calcA'!$D$130:$EQ$169,$B41,108)+IF(AND($E41=1,MT41=0),25,0),IF($F41&gt;0,INDEX('calcA'!DG$110:DG$114,$F41+1)+IF(AND($E41=1,MT41=0),1000,0),MIN(TY41,20)*400+(IF('calcA'!DF$106=1,1-HD41,0)+IF('calcA'!DG$106=1,1-HF41,0))*150+125+'calcA'!DG$5*100000+IF(AND($E41=1,MT41=0),50000,0))+IF($H41=1,INDEX('calcA'!$D$180:$EQ$219,$B41,108)*4000,0)-IF(AND('calcA'!DF$117=1,YD41&gt;0),2000,0)-IF(AND($U41=1,'calcA'!DG$117=1,HF41=0),2000,0))),1000000000))</f>
        <v/>
      </c>
      <c r="SJ41">
        <f>IF($B41=0,1000000000,IF(INDEX('calcA'!$D$60:$EQ$99,$B41,109)*IF($W41=1,HF41+ADU41,HF41)=1,IF(AND($E41=2,IF($W41=1,AJJ41,MU41)=0),1000000000,IF($V41=1,INDEX('calcA'!$D$130:$EQ$169,$B41,109)+IF(AND($E41=1,MU41=0),25,0),IF($F41&gt;0,INDEX('calcA'!DH$110:DH$114,$F41+1)+IF(AND($E41=1,MU41=0),1000,0),MIN(TY41,20)*400+(IF('calcA'!DG$106=1,1-HE41,0)+IF('calcA'!DH$106=1,1-HG41,0))*150+135+'calcA'!DH$5*100000+IF(AND($E41=1,MU41=0),50000,0))+IF($H41=1,INDEX('calcA'!$D$180:$EQ$219,$B41,109)*4000,0)-IF(AND('calcA'!DG$117=1,YE41&gt;0),2000,0)-IF(AND($U41=1,'calcA'!DH$117=1,HG41=0),2000,0))),1000000000))</f>
        <v/>
      </c>
      <c r="SK41">
        <f>IF($B41=0,1000000000,IF(INDEX('calcA'!$D$60:$EQ$99,$B41,110)*IF($W41=1,HG41+ADV41,HG41)=1,IF(AND($E41=2,IF($W41=1,AJK41,MV41)=0),1000000000,IF($V41=1,INDEX('calcA'!$D$130:$EQ$169,$B41,110)+IF(AND($E41=1,MV41=0),25,0),IF($F41&gt;0,INDEX('calcA'!DI$110:DI$114,$F41+1)+IF(AND($E41=1,MV41=0),1000,0),MIN(TY41,20)*400+(IF('calcA'!DH$106=1,1-HF41,0)+IF('calcA'!DI$106=1,1-HH41,0))*150+145+'calcA'!DI$5*100000+IF(AND($E41=1,MV41=0),50000,0))+IF($H41=1,INDEX('calcA'!$D$180:$EQ$219,$B41,110)*4000,0)-IF(AND('calcA'!DH$117=1,YF41&gt;0),2000,0)-IF(AND($U41=1,'calcA'!DI$117=1,HH41=0),2000,0))),1000000000))</f>
        <v/>
      </c>
      <c r="SL41">
        <f>IF($B41=0,1000000000,IF(INDEX('calcA'!$D$60:$EQ$99,$B41,111)*IF($W41=1,HH41+ADW41,HH41)=1,IF(AND($E41=2,IF($W41=1,AJL41,MW41)=0),1000000000,IF($V41=1,INDEX('calcA'!$D$130:$EQ$169,$B41,111)+IF(AND($E41=1,MW41=0),25,0),IF($F41&gt;0,INDEX('calcA'!DJ$110:DJ$114,$F41+1)+IF(AND($E41=1,MW41=0),1000,0),MIN(TY41,20)*400+(IF('calcA'!DI$106=1,1-HG41,0)+IF('calcA'!DJ$106=1,1-HI41,0))*150+155+'calcA'!DJ$5*100000+IF(AND($E41=1,MW41=0),50000,0))+IF($H41=1,INDEX('calcA'!$D$180:$EQ$219,$B41,111)*4000,0)-IF(AND('calcA'!DI$117=1,YG41&gt;0),2000,0)-IF(AND($U41=1,'calcA'!DJ$117=1,HI41=0),2000,0))),1000000000))</f>
        <v/>
      </c>
      <c r="SM41">
        <f>IF($B41=0,1000000000,IF(INDEX('calcA'!$D$60:$EQ$99,$B41,112)*IF($W41=1,HI41+ADX41,HI41)=1,IF(AND($E41=2,IF($W41=1,AJM41,MX41)=0),1000000000,IF($V41=1,INDEX('calcA'!$D$130:$EQ$169,$B41,112)+IF(AND($E41=1,MX41=0),25,0),IF($F41&gt;0,INDEX('calcA'!DK$110:DK$114,$F41+1)+IF(AND($E41=1,MX41=0),1000,0),MIN(TY41,20)*400+(IF('calcA'!DJ$106=1,1-HH41,0)+IF('calcA'!DK$106=1,1-HJ41,0))*150+165+'calcA'!DK$5*100000+IF(AND($E41=1,MX41=0),50000,0))+IF($H41=1,INDEX('calcA'!$D$180:$EQ$219,$B41,112)*4000,0)-IF(AND('calcA'!DJ$117=1,YH41&gt;0),2000,0)-IF(AND($U41=1,'calcA'!DK$117=1,HJ41=0),2000,0))),1000000000))</f>
        <v/>
      </c>
      <c r="SN41">
        <f>IF($B41=0,1000000000,IF(INDEX('calcA'!$D$60:$EQ$99,$B41,113)*IF($W41=1,HJ41+ADY41,HJ41)=1,IF(AND($E41=2,IF($W41=1,AJN41,MY41)=0),1000000000,IF($V41=1,INDEX('calcA'!$D$130:$EQ$169,$B41,113)+IF(AND($E41=1,MY41=0),25,0),IF($F41&gt;0,INDEX('calcA'!DL$110:DL$114,$F41+1)+IF(AND($E41=1,MY41=0),1000,0),MIN(TY41,20)*400+(IF('calcA'!DK$106=1,1-HI41,0)+IF('calcA'!DL$106=1,1-HK41,0))*150+175+'calcA'!DL$5*100000+IF(AND($E41=1,MY41=0),50000,0))+IF($H41=1,INDEX('calcA'!$D$180:$EQ$219,$B41,113)*4000,0)-IF(AND('calcA'!DK$117=1,YI41&gt;0),2000,0)-IF(AND($U41=1,'calcA'!DL$117=1,HK41=0),2000,0))),1000000000))</f>
        <v/>
      </c>
      <c r="SO41">
        <f>IF($B41=0,1000000000,IF(INDEX('calcA'!$D$60:$EQ$99,$B41,114)*IF($W41=1,HK41+ADZ41,HK41)=1,IF(AND($E41=2,IF($W41=1,AJO41,MZ41)=0),1000000000,IF($V41=1,INDEX('calcA'!$D$130:$EQ$169,$B41,114)+IF(AND($E41=1,MZ41=0),25,0),IF($F41&gt;0,INDEX('calcA'!DM$110:DM$114,$F41+1)+IF(AND($E41=1,MZ41=0),1000,0),MIN(TY41,20)*400+(IF('calcA'!DL$106=1,1-HJ41,0)+IF('calcA'!DM$106=1,1-HL41,0))*150+185+'calcA'!DM$5*100000+IF(AND($E41=1,MZ41=0),50000,0))+IF($H41=1,INDEX('calcA'!$D$180:$EQ$219,$B41,114)*4000,0)-IF(AND('calcA'!DL$117=1,YJ41&gt;0),2000,0)-IF(AND($U41=1,'calcA'!DM$117=1,HL41=0),2000,0))),1000000000))</f>
        <v/>
      </c>
      <c r="SP41">
        <f>IF($B41=0,1000000000,IF(INDEX('calcA'!$D$60:$EQ$99,$B41,115)*IF($W41=1,HL41+AEA41,HL41)=1,IF(AND($E41=2,IF($W41=1,AJP41,NA41)=0),1000000000,IF($V41=1,INDEX('calcA'!$D$130:$EQ$169,$B41,115)+IF(AND($E41=1,NA41=0),25,0),IF($F41&gt;0,INDEX('calcA'!DN$110:DN$114,$F41+1)+IF(AND($E41=1,NA41=0),1000,0),MIN(TY41,20)*400+(IF('calcA'!DM$106=1,1-HK41,0)+IF('calcA'!DN$106=1,1-HM41,0))*150+195+'calcA'!DN$5*100000+IF(AND($E41=1,NA41=0),50000,0))+IF($H41=1,INDEX('calcA'!$D$180:$EQ$219,$B41,115)*4000,0)-IF(AND('calcA'!DM$117=1,YK41&gt;0),2000,0)-IF(AND($U41=1,'calcA'!DN$117=1,HM41=0),2000,0))),1000000000))</f>
        <v/>
      </c>
      <c r="SQ41">
        <f>IF($B41=0,1000000000,IF(INDEX('calcA'!$D$60:$EQ$99,$B41,116)*IF($W41=1,HM41+AEB41,HM41)=1,IF(AND($E41=2,IF($W41=1,AJQ41,NB41)=0),1000000000,IF($V41=1,INDEX('calcA'!$D$130:$EQ$169,$B41,116)+IF(AND($E41=1,NB41=0),25,0),IF($F41&gt;0,INDEX('calcA'!DO$110:DO$114,$F41+1)+IF(AND($E41=1,NB41=0),1000,0),MIN(TY41,20)*400+(IF('calcA'!DN$106=1,1-HL41,0)+IF('calcA'!DO$106=1,1-HN41,0))*150+205+'calcA'!DO$5*100000+IF(AND($E41=1,NB41=0),50000,0))+IF($H41=1,INDEX('calcA'!$D$180:$EQ$219,$B41,116)*4000,0)-IF(AND('calcA'!DN$117=1,YL41&gt;0),2000,0)-IF(AND($U41=1,'calcA'!DO$117=1,HN41=0),2000,0))),1000000000))</f>
        <v/>
      </c>
      <c r="SR41">
        <f>IF($B41=0,1000000000,IF(INDEX('calcA'!$D$60:$EQ$99,$B41,117)*IF($W41=1,HN41+AEC41,HN41)=1,IF(AND($E41=2,IF($W41=1,AJR41,NC41)=0),1000000000,IF($V41=1,INDEX('calcA'!$D$130:$EQ$169,$B41,117)+IF(AND($E41=1,NC41=0),25,0),IF($F41&gt;0,INDEX('calcA'!DP$110:DP$114,$F41+1)+IF(AND($E41=1,NC41=0),1000,0),MIN(TY41,20)*400+(IF('calcA'!DO$106=1,1-HM41,0)+IF('calcA'!DP$106=1,1-HO41,0))*150+215+'calcA'!DP$5*100000+IF(AND($E41=1,NC41=0),50000,0))+IF($H41=1,INDEX('calcA'!$D$180:$EQ$219,$B41,117)*4000,0)-IF(AND('calcA'!DO$117=1,YM41&gt;0),2000,0)-IF(AND($U41=1,'calcA'!DP$117=1,HO41=0),2000,0))),1000000000))</f>
        <v/>
      </c>
      <c r="SS41">
        <f>IF($B41=0,1000000000,IF(INDEX('calcA'!$D$60:$EQ$99,$B41,118)*IF($W41=1,HO41+AED41,HO41)=1,IF(AND($E41=2,IF($W41=1,AJS41,ND41)=0),1000000000,IF($V41=1,INDEX('calcA'!$D$130:$EQ$169,$B41,118)+IF(AND($E41=1,ND41=0),25,0),IF($F41&gt;0,INDEX('calcA'!DQ$110:DQ$114,$F41+1)+IF(AND($E41=1,ND41=0),1000,0),MIN(TY41,20)*400+(IF('calcA'!DP$106=1,1-HN41,0)+IF('calcA'!DQ$106=1,1-HP41,0))*150+225+'calcA'!DQ$5*100000+IF(AND($E41=1,ND41=0),50000,0))+IF($H41=1,INDEX('calcA'!$D$180:$EQ$219,$B41,118)*4000,0)-IF(AND('calcA'!DP$117=1,YN41&gt;0),2000,0)-IF(AND($U41=1,'calcA'!DQ$117=1,HP41=0),2000,0))),1000000000))</f>
        <v/>
      </c>
      <c r="ST41">
        <f>IF($B41=0,1000000000,IF(INDEX('calcA'!$D$60:$EQ$99,$B41,119)*IF($W41=1,HP41+AEE41,HP41)=1,IF(AND($E41=2,IF($W41=1,AJT41,NE41)=0),1000000000,IF($V41=1,INDEX('calcA'!$D$130:$EQ$169,$B41,119)+IF(AND($E41=1,NE41=0),25,0),IF($F41&gt;0,INDEX('calcA'!DR$110:DR$114,$F41+1)+IF(AND($E41=1,NE41=0),1000,0),MIN(TY41,20)*400+(IF('calcA'!DQ$106=1,1-HO41,0)+IF('calcA'!DR$106=1,1-HQ41,0))*150+235+'calcA'!DR$5*100000+IF(AND($E41=1,NE41=0),50000,0))+IF($H41=1,INDEX('calcA'!$D$180:$EQ$219,$B41,119)*4000,0)-IF(AND('calcA'!DQ$117=1,YO41&gt;0),2000,0)-IF(AND($U41=1,'calcA'!DR$117=1,HQ41=0),2000,0))),1000000000))</f>
        <v/>
      </c>
      <c r="SU41">
        <f>IF($B41=0,1000000000,IF(INDEX('calcA'!$D$60:$EQ$99,$B41,120)*IF($W41=1,HQ41+AEF41,HQ41)=1,IF(AND($E41=2,IF($W41=1,AJU41,NF41)=0),1000000000,IF($V41=1,INDEX('calcA'!$D$130:$EQ$169,$B41,120)+IF(AND($E41=1,NF41=0),25,0),IF($F41&gt;0,INDEX('calcA'!DS$110:DS$114,$F41+1)+IF(AND($E41=1,NF41=0),1000,0),MIN(TY41,20)*400+(IF('calcA'!DR$106=1,1-HP41,0))*150+245+'calcA'!DS$5*100000+IF(AND($E41=1,NF41=0),50000,0))+IF($H41=1,INDEX('calcA'!$D$180:$EQ$219,$B41,120)*4000,0)-IF(AND('calcA'!DR$117=1,YP41&gt;0),2000,0))),1000000000))</f>
        <v/>
      </c>
      <c r="SV41">
        <f>IF($B41=0,1000000000,IF(INDEX('calcA'!$D$60:$EQ$99,$B41,121)*IF($W41=1,HR41+AEG41,HR41)=1,IF(AND($E41=2,IF($W41=1,AJV41,NG41)=0),1000000000,IF($V41=1,INDEX('calcA'!$D$130:$EQ$169,$B41,121)+IF(AND($E41=1,NG41=0),25,0),IF($F41&gt;0,INDEX('calcA'!DT$110:DT$114,$F41+1)+IF(AND($E41=1,NG41=0),1000,0),MIN(TZ41,20)*400+(IF('calcA'!DT$106=1,1-HS41,0))*150+16+'calcA'!DT$5*100000+IF(AND($E41=1,NG41=0),50000,0))+IF($H41=1,INDEX('calcA'!$D$180:$EQ$219,$B41,121)*4000,0)-IF(AND($U41=1,'calcA'!DT$117=1,HS41=0),2000,0))),1000000000))</f>
        <v/>
      </c>
      <c r="SW41">
        <f>IF($B41=0,1000000000,IF(INDEX('calcA'!$D$60:$EQ$99,$B41,122)*IF($W41=1,HS41+AEH41,HS41)=1,IF(AND($E41=2,IF($W41=1,AJW41,NH41)=0),1000000000,IF($V41=1,INDEX('calcA'!$D$130:$EQ$169,$B41,122)+IF(AND($E41=1,NH41=0),25,0),IF($F41&gt;0,INDEX('calcA'!DU$110:DU$114,$F41+1)+IF(AND($E41=1,NH41=0),1000,0),MIN(TZ41,20)*400+(IF('calcA'!DT$106=1,1-HR41,0)+IF('calcA'!DU$106=1,1-HT41,0))*150+26+'calcA'!DU$5*100000+IF(AND($E41=1,NH41=0),50000,0))+IF($H41=1,INDEX('calcA'!$D$180:$EQ$219,$B41,122)*4000,0)-IF(AND('calcA'!DT$117=1,YR41&gt;0),2000,0)-IF(AND($U41=1,'calcA'!DU$117=1,HT41=0),2000,0))),1000000000))</f>
        <v/>
      </c>
      <c r="SX41">
        <f>IF($B41=0,1000000000,IF(INDEX('calcA'!$D$60:$EQ$99,$B41,123)*IF($W41=1,HT41+AEI41,HT41)=1,IF(AND($E41=2,IF($W41=1,AJX41,NI41)=0),1000000000,IF($V41=1,INDEX('calcA'!$D$130:$EQ$169,$B41,123)+IF(AND($E41=1,NI41=0),25,0),IF($F41&gt;0,INDEX('calcA'!DV$110:DV$114,$F41+1)+IF(AND($E41=1,NI41=0),1000,0),MIN(TZ41,20)*400+(IF('calcA'!DU$106=1,1-HS41,0)+IF('calcA'!DV$106=1,1-HU41,0))*150+36+'calcA'!DV$5*100000+IF(AND($E41=1,NI41=0),50000,0))+IF($H41=1,INDEX('calcA'!$D$180:$EQ$219,$B41,123)*4000,0)-IF(AND('calcA'!DU$117=1,YS41&gt;0),2000,0)-IF(AND($U41=1,'calcA'!DV$117=1,HU41=0),2000,0))),1000000000))</f>
        <v/>
      </c>
      <c r="SY41">
        <f>IF($B41=0,1000000000,IF(INDEX('calcA'!$D$60:$EQ$99,$B41,124)*IF($W41=1,HU41+AEJ41,HU41)=1,IF(AND($E41=2,IF($W41=1,AJY41,NJ41)=0),1000000000,IF($V41=1,INDEX('calcA'!$D$130:$EQ$169,$B41,124)+IF(AND($E41=1,NJ41=0),25,0),IF($F41&gt;0,INDEX('calcA'!DW$110:DW$114,$F41+1)+IF(AND($E41=1,NJ41=0),1000,0),MIN(TZ41,20)*400+(IF('calcA'!DV$106=1,1-HT41,0)+IF('calcA'!DW$106=1,1-HV41,0))*150+46+'calcA'!DW$5*100000+IF(AND($E41=1,NJ41=0),50000,0))+IF($H41=1,INDEX('calcA'!$D$180:$EQ$219,$B41,124)*4000,0)-IF(AND('calcA'!DV$117=1,YT41&gt;0),2000,0)-IF(AND($U41=1,'calcA'!DW$117=1,HV41=0),2000,0))),1000000000))</f>
        <v/>
      </c>
      <c r="SZ41">
        <f>IF($B41=0,1000000000,IF(INDEX('calcA'!$D$60:$EQ$99,$B41,125)*IF($W41=1,HV41+AEK41,HV41)=1,IF(AND($E41=2,IF($W41=1,AJZ41,NK41)=0),1000000000,IF($V41=1,INDEX('calcA'!$D$130:$EQ$169,$B41,125)+IF(AND($E41=1,NK41=0),25,0),IF($F41&gt;0,INDEX('calcA'!DX$110:DX$114,$F41+1)+IF(AND($E41=1,NK41=0),1000,0),MIN(TZ41,20)*400+(IF('calcA'!DW$106=1,1-HU41,0)+IF('calcA'!DX$106=1,1-HW41,0))*150+56+'calcA'!DX$5*100000+IF(AND($E41=1,NK41=0),50000,0))+IF($H41=1,INDEX('calcA'!$D$180:$EQ$219,$B41,125)*4000,0)-IF(AND('calcA'!DW$117=1,YU41&gt;0),2000,0)-IF(AND($U41=1,'calcA'!DX$117=1,HW41=0),2000,0))),1000000000))</f>
        <v/>
      </c>
      <c r="TA41">
        <f>IF($B41=0,1000000000,IF(INDEX('calcA'!$D$60:$EQ$99,$B41,126)*IF($W41=1,HW41+AEL41,HW41)=1,IF(AND($E41=2,IF($W41=1,AKA41,NL41)=0),1000000000,IF($V41=1,INDEX('calcA'!$D$130:$EQ$169,$B41,126)+IF(AND($E41=1,NL41=0),25,0),IF($F41&gt;0,INDEX('calcA'!DY$110:DY$114,$F41+1)+IF(AND($E41=1,NL41=0),1000,0),MIN(TZ41,20)*400+(IF('calcA'!DX$106=1,1-HV41,0)+IF('calcA'!DY$106=1,1-HX41,0))*150+66+'calcA'!DY$5*100000+IF(AND($E41=1,NL41=0),50000,0))+IF($H41=1,INDEX('calcA'!$D$180:$EQ$219,$B41,126)*4000,0)-IF(AND('calcA'!DX$117=1,YV41&gt;0),2000,0)-IF(AND($U41=1,'calcA'!DY$117=1,HX41=0),2000,0))),1000000000))</f>
        <v/>
      </c>
      <c r="TB41">
        <f>IF($B41=0,1000000000,IF(INDEX('calcA'!$D$60:$EQ$99,$B41,127)*IF($W41=1,HX41+AEM41,HX41)=1,IF(AND($E41=2,IF($W41=1,AKB41,NM41)=0),1000000000,IF($V41=1,INDEX('calcA'!$D$130:$EQ$169,$B41,127)+IF(AND($E41=1,NM41=0),25,0),IF($F41&gt;0,INDEX('calcA'!DZ$110:DZ$114,$F41+1)+IF(AND($E41=1,NM41=0),1000,0),MIN(TZ41,20)*400+(IF('calcA'!DY$106=1,1-HW41,0)+IF('calcA'!DZ$106=1,1-HY41,0))*150+76+'calcA'!DZ$5*100000+IF(AND($E41=1,NM41=0),50000,0))+IF($H41=1,INDEX('calcA'!$D$180:$EQ$219,$B41,127)*4000,0)-IF(AND('calcA'!DY$117=1,YW41&gt;0),2000,0)-IF(AND($U41=1,'calcA'!DZ$117=1,HY41=0),2000,0))),1000000000))</f>
        <v/>
      </c>
      <c r="TC41">
        <f>IF($B41=0,1000000000,IF(INDEX('calcA'!$D$60:$EQ$99,$B41,128)*IF($W41=1,HY41+AEN41,HY41)=1,IF(AND($E41=2,IF($W41=1,AKC41,NN41)=0),1000000000,IF($V41=1,INDEX('calcA'!$D$130:$EQ$169,$B41,128)+IF(AND($E41=1,NN41=0),25,0),IF($F41&gt;0,INDEX('calcA'!EA$110:EA$114,$F41+1)+IF(AND($E41=1,NN41=0),1000,0),MIN(TZ41,20)*400+(IF('calcA'!DZ$106=1,1-HX41,0)+IF('calcA'!EA$106=1,1-HZ41,0))*150+86+'calcA'!EA$5*100000+IF(AND($E41=1,NN41=0),50000,0))+IF($H41=1,INDEX('calcA'!$D$180:$EQ$219,$B41,128)*4000,0)-IF(AND('calcA'!DZ$117=1,YX41&gt;0),2000,0)-IF(AND($U41=1,'calcA'!EA$117=1,HZ41=0),2000,0))),1000000000))</f>
        <v/>
      </c>
      <c r="TD41">
        <f>IF($B41=0,1000000000,IF(INDEX('calcA'!$D$60:$EQ$99,$B41,129)*IF($W41=1,HZ41+AEO41,HZ41)=1,IF(AND($E41=2,IF($W41=1,AKD41,NO41)=0),1000000000,IF($V41=1,INDEX('calcA'!$D$130:$EQ$169,$B41,129)+IF(AND($E41=1,NO41=0),25,0),IF($F41&gt;0,INDEX('calcA'!EB$110:EB$114,$F41+1)+IF(AND($E41=1,NO41=0),1000,0),MIN(TZ41,20)*400+(IF('calcA'!EA$106=1,1-HY41,0)+IF('calcA'!EB$106=1,1-IA41,0))*150+96+'calcA'!EB$5*100000+IF(AND($E41=1,NO41=0),50000,0))+IF($H41=1,INDEX('calcA'!$D$180:$EQ$219,$B41,129)*4000,0)-IF(AND('calcA'!EA$117=1,YY41&gt;0),2000,0)-IF(AND($U41=1,'calcA'!EB$117=1,IA41=0),2000,0))),1000000000))</f>
        <v/>
      </c>
      <c r="TE41">
        <f>IF($B41=0,1000000000,IF(INDEX('calcA'!$D$60:$EQ$99,$B41,130)*IF($W41=1,IA41+AEP41,IA41)=1,IF(AND($E41=2,IF($W41=1,AKE41,NP41)=0),1000000000,IF($V41=1,INDEX('calcA'!$D$130:$EQ$169,$B41,130)+IF(AND($E41=1,NP41=0),25,0),IF($F41&gt;0,INDEX('calcA'!EC$110:EC$114,$F41+1)+IF(AND($E41=1,NP41=0),1000,0),MIN(TZ41,20)*400+(IF('calcA'!EB$106=1,1-HZ41,0)+IF('calcA'!EC$106=1,1-IB41,0))*150+106+'calcA'!EC$5*100000+IF(AND($E41=1,NP41=0),50000,0))+IF($H41=1,INDEX('calcA'!$D$180:$EQ$219,$B41,130)*4000,0)-IF(AND('calcA'!EB$117=1,YZ41&gt;0),2000,0)-IF(AND($U41=1,'calcA'!EC$117=1,IB41=0),2000,0))),1000000000))</f>
        <v/>
      </c>
      <c r="TF41">
        <f>IF($B41=0,1000000000,IF(INDEX('calcA'!$D$60:$EQ$99,$B41,131)*IF($W41=1,IB41+AEQ41,IB41)=1,IF(AND($E41=2,IF($W41=1,AKF41,NQ41)=0),1000000000,IF($V41=1,INDEX('calcA'!$D$130:$EQ$169,$B41,131)+IF(AND($E41=1,NQ41=0),25,0),IF($F41&gt;0,INDEX('calcA'!ED$110:ED$114,$F41+1)+IF(AND($E41=1,NQ41=0),1000,0),MIN(TZ41,20)*400+(IF('calcA'!EC$106=1,1-IA41,0)+IF('calcA'!ED$106=1,1-IC41,0))*150+116+'calcA'!ED$5*100000+IF(AND($E41=1,NQ41=0),50000,0))+IF($H41=1,INDEX('calcA'!$D$180:$EQ$219,$B41,131)*4000,0)-IF(AND('calcA'!EC$117=1,ZA41&gt;0),2000,0)-IF(AND($U41=1,'calcA'!ED$117=1,IC41=0),2000,0))),1000000000))</f>
        <v/>
      </c>
      <c r="TG41">
        <f>IF($B41=0,1000000000,IF(INDEX('calcA'!$D$60:$EQ$99,$B41,132)*IF($W41=1,IC41+AER41,IC41)=1,IF(AND($E41=2,IF($W41=1,AKG41,NR41)=0),1000000000,IF($V41=1,INDEX('calcA'!$D$130:$EQ$169,$B41,132)+IF(AND($E41=1,NR41=0),25,0),IF($F41&gt;0,INDEX('calcA'!EE$110:EE$114,$F41+1)+IF(AND($E41=1,NR41=0),1000,0),MIN(TZ41,20)*400+(IF('calcA'!ED$106=1,1-IB41,0)+IF('calcA'!EE$106=1,1-ID41,0))*150+126+'calcA'!EE$5*100000+IF(AND($E41=1,NR41=0),50000,0))+IF($H41=1,INDEX('calcA'!$D$180:$EQ$219,$B41,132)*4000,0)-IF(AND('calcA'!ED$117=1,ZB41&gt;0),2000,0)-IF(AND($U41=1,'calcA'!EE$117=1,ID41=0),2000,0))),1000000000))</f>
        <v/>
      </c>
      <c r="TH41">
        <f>IF($B41=0,1000000000,IF(INDEX('calcA'!$D$60:$EQ$99,$B41,133)*IF($W41=1,ID41+AES41,ID41)=1,IF(AND($E41=2,IF($W41=1,AKH41,NS41)=0),1000000000,IF($V41=1,INDEX('calcA'!$D$130:$EQ$169,$B41,133)+IF(AND($E41=1,NS41=0),25,0),IF($F41&gt;0,INDEX('calcA'!EF$110:EF$114,$F41+1)+IF(AND($E41=1,NS41=0),1000,0),MIN(TZ41,20)*400+(IF('calcA'!EE$106=1,1-IC41,0)+IF('calcA'!EF$106=1,1-IE41,0))*150+136+'calcA'!EF$5*100000+IF(AND($E41=1,NS41=0),50000,0))+IF($H41=1,INDEX('calcA'!$D$180:$EQ$219,$B41,133)*4000,0)-IF(AND('calcA'!EE$117=1,ZC41&gt;0),2000,0)-IF(AND($U41=1,'calcA'!EF$117=1,IE41=0),2000,0))),1000000000))</f>
        <v/>
      </c>
      <c r="TI41">
        <f>IF($B41=0,1000000000,IF(INDEX('calcA'!$D$60:$EQ$99,$B41,134)*IF($W41=1,IE41+AET41,IE41)=1,IF(AND($E41=2,IF($W41=1,AKI41,NT41)=0),1000000000,IF($V41=1,INDEX('calcA'!$D$130:$EQ$169,$B41,134)+IF(AND($E41=1,NT41=0),25,0),IF($F41&gt;0,INDEX('calcA'!EG$110:EG$114,$F41+1)+IF(AND($E41=1,NT41=0),1000,0),MIN(TZ41,20)*400+(IF('calcA'!EF$106=1,1-ID41,0)+IF('calcA'!EG$106=1,1-IF41,0))*150+146+'calcA'!EG$5*100000+IF(AND($E41=1,NT41=0),50000,0))+IF($H41=1,INDEX('calcA'!$D$180:$EQ$219,$B41,134)*4000,0)-IF(AND('calcA'!EF$117=1,ZD41&gt;0),2000,0)-IF(AND($U41=1,'calcA'!EG$117=1,IF41=0),2000,0))),1000000000))</f>
        <v/>
      </c>
      <c r="TJ41">
        <f>IF($B41=0,1000000000,IF(INDEX('calcA'!$D$60:$EQ$99,$B41,135)*IF($W41=1,IF41+AEU41,IF41)=1,IF(AND($E41=2,IF($W41=1,AKJ41,NU41)=0),1000000000,IF($V41=1,INDEX('calcA'!$D$130:$EQ$169,$B41,135)+IF(AND($E41=1,NU41=0),25,0),IF($F41&gt;0,INDEX('calcA'!EH$110:EH$114,$F41+1)+IF(AND($E41=1,NU41=0),1000,0),MIN(TZ41,20)*400+(IF('calcA'!EG$106=1,1-IE41,0)+IF('calcA'!EH$106=1,1-IG41,0))*150+156+'calcA'!EH$5*100000+IF(AND($E41=1,NU41=0),50000,0))+IF($H41=1,INDEX('calcA'!$D$180:$EQ$219,$B41,135)*4000,0)-IF(AND('calcA'!EG$117=1,ZE41&gt;0),2000,0)-IF(AND($U41=1,'calcA'!EH$117=1,IG41=0),2000,0))),1000000000))</f>
        <v/>
      </c>
      <c r="TK41">
        <f>IF($B41=0,1000000000,IF(INDEX('calcA'!$D$60:$EQ$99,$B41,136)*IF($W41=1,IG41+AEV41,IG41)=1,IF(AND($E41=2,IF($W41=1,AKK41,NV41)=0),1000000000,IF($V41=1,INDEX('calcA'!$D$130:$EQ$169,$B41,136)+IF(AND($E41=1,NV41=0),25,0),IF($F41&gt;0,INDEX('calcA'!EI$110:EI$114,$F41+1)+IF(AND($E41=1,NV41=0),1000,0),MIN(TZ41,20)*400+(IF('calcA'!EH$106=1,1-IF41,0)+IF('calcA'!EI$106=1,1-IH41,0))*150+166+'calcA'!EI$5*100000+IF(AND($E41=1,NV41=0),50000,0))+IF($H41=1,INDEX('calcA'!$D$180:$EQ$219,$B41,136)*4000,0)-IF(AND('calcA'!EH$117=1,ZF41&gt;0),2000,0)-IF(AND($U41=1,'calcA'!EI$117=1,IH41=0),2000,0))),1000000000))</f>
        <v/>
      </c>
      <c r="TL41">
        <f>IF($B41=0,1000000000,IF(INDEX('calcA'!$D$60:$EQ$99,$B41,137)*IF($W41=1,IH41+AEW41,IH41)=1,IF(AND($E41=2,IF($W41=1,AKL41,NW41)=0),1000000000,IF($V41=1,INDEX('calcA'!$D$130:$EQ$169,$B41,137)+IF(AND($E41=1,NW41=0),25,0),IF($F41&gt;0,INDEX('calcA'!EJ$110:EJ$114,$F41+1)+IF(AND($E41=1,NW41=0),1000,0),MIN(TZ41,20)*400+(IF('calcA'!EI$106=1,1-IG41,0)+IF('calcA'!EJ$106=1,1-II41,0))*150+176+'calcA'!EJ$5*100000+IF(AND($E41=1,NW41=0),50000,0))+IF($H41=1,INDEX('calcA'!$D$180:$EQ$219,$B41,137)*4000,0)-IF(AND('calcA'!EI$117=1,ZG41&gt;0),2000,0)-IF(AND($U41=1,'calcA'!EJ$117=1,II41=0),2000,0))),1000000000))</f>
        <v/>
      </c>
      <c r="TM41">
        <f>IF($B41=0,1000000000,IF(INDEX('calcA'!$D$60:$EQ$99,$B41,138)*IF($W41=1,II41+AEX41,II41)=1,IF(AND($E41=2,IF($W41=1,AKM41,NX41)=0),1000000000,IF($V41=1,INDEX('calcA'!$D$130:$EQ$169,$B41,138)+IF(AND($E41=1,NX41=0),25,0),IF($F41&gt;0,INDEX('calcA'!EK$110:EK$114,$F41+1)+IF(AND($E41=1,NX41=0),1000,0),MIN(TZ41,20)*400+(IF('calcA'!EJ$106=1,1-IH41,0)+IF('calcA'!EK$106=1,1-IJ41,0))*150+186+'calcA'!EK$5*100000+IF(AND($E41=1,NX41=0),50000,0))+IF($H41=1,INDEX('calcA'!$D$180:$EQ$219,$B41,138)*4000,0)-IF(AND('calcA'!EJ$117=1,ZH41&gt;0),2000,0)-IF(AND($U41=1,'calcA'!EK$117=1,IJ41=0),2000,0))),1000000000))</f>
        <v/>
      </c>
      <c r="TN41">
        <f>IF($B41=0,1000000000,IF(INDEX('calcA'!$D$60:$EQ$99,$B41,139)*IF($W41=1,IJ41+AEY41,IJ41)=1,IF(AND($E41=2,IF($W41=1,AKN41,NY41)=0),1000000000,IF($V41=1,INDEX('calcA'!$D$130:$EQ$169,$B41,139)+IF(AND($E41=1,NY41=0),25,0),IF($F41&gt;0,INDEX('calcA'!EL$110:EL$114,$F41+1)+IF(AND($E41=1,NY41=0),1000,0),MIN(TZ41,20)*400+(IF('calcA'!EK$106=1,1-II41,0)+IF('calcA'!EL$106=1,1-IK41,0))*150+196+'calcA'!EL$5*100000+IF(AND($E41=1,NY41=0),50000,0))+IF($H41=1,INDEX('calcA'!$D$180:$EQ$219,$B41,139)*4000,0)-IF(AND('calcA'!EK$117=1,ZI41&gt;0),2000,0)-IF(AND($U41=1,'calcA'!EL$117=1,IK41=0),2000,0))),1000000000))</f>
        <v/>
      </c>
      <c r="TO41">
        <f>IF($B41=0,1000000000,IF(INDEX('calcA'!$D$60:$EQ$99,$B41,140)*IF($W41=1,IK41+AEZ41,IK41)=1,IF(AND($E41=2,IF($W41=1,AKO41,NZ41)=0),1000000000,IF($V41=1,INDEX('calcA'!$D$130:$EQ$169,$B41,140)+IF(AND($E41=1,NZ41=0),25,0),IF($F41&gt;0,INDEX('calcA'!EM$110:EM$114,$F41+1)+IF(AND($E41=1,NZ41=0),1000,0),MIN(TZ41,20)*400+(IF('calcA'!EL$106=1,1-IJ41,0)+IF('calcA'!EM$106=1,1-IL41,0))*150+206+'calcA'!EM$5*100000+IF(AND($E41=1,NZ41=0),50000,0))+IF($H41=1,INDEX('calcA'!$D$180:$EQ$219,$B41,140)*4000,0)-IF(AND('calcA'!EL$117=1,ZJ41&gt;0),2000,0)-IF(AND($U41=1,'calcA'!EM$117=1,IL41=0),2000,0))),1000000000))</f>
        <v/>
      </c>
      <c r="TP41">
        <f>IF($B41=0,1000000000,IF(INDEX('calcA'!$D$60:$EQ$99,$B41,141)*IF($W41=1,IL41+AFA41,IL41)=1,IF(AND($E41=2,IF($W41=1,AKP41,OA41)=0),1000000000,IF($V41=1,INDEX('calcA'!$D$130:$EQ$169,$B41,141)+IF(AND($E41=1,OA41=0),25,0),IF($F41&gt;0,INDEX('calcA'!EN$110:EN$114,$F41+1)+IF(AND($E41=1,OA41=0),1000,0),MIN(TZ41,20)*400+(IF('calcA'!EM$106=1,1-IK41,0)+IF('calcA'!EN$106=1,1-IM41,0))*150+216+'calcA'!EN$5*100000+IF(AND($E41=1,OA41=0),50000,0))+IF($H41=1,INDEX('calcA'!$D$180:$EQ$219,$B41,141)*4000,0)-IF(AND('calcA'!EM$117=1,ZK41&gt;0),2000,0)-IF(AND($U41=1,'calcA'!EN$117=1,IM41=0),2000,0))),1000000000))</f>
        <v/>
      </c>
      <c r="TQ41">
        <f>IF($B41=0,1000000000,IF(INDEX('calcA'!$D$60:$EQ$99,$B41,142)*IF($W41=1,IM41+AFB41,IM41)=1,IF(AND($E41=2,IF($W41=1,AKQ41,OB41)=0),1000000000,IF($V41=1,INDEX('calcA'!$D$130:$EQ$169,$B41,142)+IF(AND($E41=1,OB41=0),25,0),IF($F41&gt;0,INDEX('calcA'!EO$110:EO$114,$F41+1)+IF(AND($E41=1,OB41=0),1000,0),MIN(TZ41,20)*400+(IF('calcA'!EN$106=1,1-IL41,0)+IF('calcA'!EO$106=1,1-IN41,0))*150+226+'calcA'!EO$5*100000+IF(AND($E41=1,OB41=0),50000,0))+IF($H41=1,INDEX('calcA'!$D$180:$EQ$219,$B41,142)*4000,0)-IF(AND('calcA'!EN$117=1,ZL41&gt;0),2000,0)-IF(AND($U41=1,'calcA'!EO$117=1,IN41=0),2000,0))),1000000000))</f>
        <v/>
      </c>
      <c r="TR41">
        <f>IF($B41=0,1000000000,IF(INDEX('calcA'!$D$60:$EQ$99,$B41,143)*IF($W41=1,IN41+AFC41,IN41)=1,IF(AND($E41=2,IF($W41=1,AKR41,OC41)=0),1000000000,IF($V41=1,INDEX('calcA'!$D$130:$EQ$169,$B41,143)+IF(AND($E41=1,OC41=0),25,0),IF($F41&gt;0,INDEX('calcA'!EP$110:EP$114,$F41+1)+IF(AND($E41=1,OC41=0),1000,0),MIN(TZ41,20)*400+(IF('calcA'!EO$106=1,1-IM41,0)+IF('calcA'!EP$106=1,1-IO41,0))*150+236+'calcA'!EP$5*100000+IF(AND($E41=1,OC41=0),50000,0))+IF($H41=1,INDEX('calcA'!$D$180:$EQ$219,$B41,143)*4000,0)-IF(AND('calcA'!EO$117=1,ZM41&gt;0),2000,0)-IF(AND($U41=1,'calcA'!EP$117=1,IO41=0),2000,0))),1000000000))</f>
        <v/>
      </c>
      <c r="TS41">
        <f>IF($B41=0,1000000000,IF(INDEX('calcA'!$D$60:$EQ$99,$B41,144)*IF($W41=1,IO41+AFD41,IO41)=1,IF(AND($E41=2,IF($W41=1,AKS41,OD41)=0),1000000000,IF($V41=1,INDEX('calcA'!$D$130:$EQ$169,$B41,144)+IF(AND($E41=1,OD41=0),25,0),IF($F41&gt;0,INDEX('calcA'!EQ$110:EQ$114,$F41+1)+IF(AND($E41=1,OD41=0),1000,0),MIN(TZ41,20)*400+(IF('calcA'!EP$106=1,1-IN41,0))*150+246+'calcA'!EQ$5*100000+IF(AND($E41=1,OD41=0),50000,0))+IF($H41=1,INDEX('calcA'!$D$180:$EQ$219,$B41,144)*4000,0)-IF(AND('calcA'!EP$117=1,ZN41&gt;0),2000,0))),1000000000))</f>
        <v/>
      </c>
      <c r="TU41">
        <f>TU40+IF($C40&gt;0,IF(INDEX('calcA'!$D$2:$EQ$2,$C40)=1,1,0),0)</f>
        <v/>
      </c>
      <c r="TV41">
        <f>TV40+IF($C40&gt;0,IF(INDEX('calcA'!$D$2:$EQ$2,$C40)=2,1,0),0)</f>
        <v/>
      </c>
      <c r="TW41">
        <f>TW40+IF($C40&gt;0,IF(INDEX('calcA'!$D$2:$EQ$2,$C40)=3,1,0),0)</f>
        <v/>
      </c>
      <c r="TX41">
        <f>TX40+IF($C40&gt;0,IF(INDEX('calcA'!$D$2:$EQ$2,$C40)=4,1,0),0)</f>
        <v/>
      </c>
      <c r="TY41">
        <f>TY40+IF($C40&gt;0,IF(INDEX('calcA'!$D$2:$EQ$2,$C40)=5,1,0),0)</f>
        <v/>
      </c>
      <c r="TZ41">
        <f>TZ40+IF($C40&gt;0,IF(INDEX('calcA'!$D$2:$EQ$2,$C40)=6,1,0),0)</f>
        <v/>
      </c>
      <c r="UB41">
        <f>UB40+IF(AND($C40=1,$U40=1),1,0)</f>
        <v/>
      </c>
      <c r="UC41">
        <f>UC40+IF(AND($C40=2,$U40=1),1,0)</f>
        <v/>
      </c>
      <c r="UD41">
        <f>UD40+IF(AND($C40=3,$U40=1),1,0)</f>
        <v/>
      </c>
      <c r="UE41">
        <f>UE40+IF(AND($C40=4,$U40=1),1,0)</f>
        <v/>
      </c>
      <c r="UF41">
        <f>UF40+IF(AND($C40=5,$U40=1),1,0)</f>
        <v/>
      </c>
      <c r="UG41">
        <f>UG40+IF(AND($C40=6,$U40=1),1,0)</f>
        <v/>
      </c>
      <c r="UH41">
        <f>UH40+IF(AND($C40=7,$U40=1),1,0)</f>
        <v/>
      </c>
      <c r="UI41">
        <f>UI40+IF(AND($C40=8,$U40=1),1,0)</f>
        <v/>
      </c>
      <c r="UJ41">
        <f>UJ40+IF(AND($C40=9,$U40=1),1,0)</f>
        <v/>
      </c>
      <c r="UK41">
        <f>UK40+IF(AND($C40=10,$U40=1),1,0)</f>
        <v/>
      </c>
      <c r="UL41">
        <f>UL40+IF(AND($C40=11,$U40=1),1,0)</f>
        <v/>
      </c>
      <c r="UM41">
        <f>UM40+IF(AND($C40=12,$U40=1),1,0)</f>
        <v/>
      </c>
      <c r="UN41">
        <f>UN40+IF(AND($C40=13,$U40=1),1,0)</f>
        <v/>
      </c>
      <c r="UO41">
        <f>UO40+IF(AND($C40=14,$U40=1),1,0)</f>
        <v/>
      </c>
      <c r="UP41">
        <f>UP40+IF(AND($C40=15,$U40=1),1,0)</f>
        <v/>
      </c>
      <c r="UQ41">
        <f>UQ40+IF(AND($C40=16,$U40=1),1,0)</f>
        <v/>
      </c>
      <c r="UR41">
        <f>UR40+IF(AND($C40=17,$U40=1),1,0)</f>
        <v/>
      </c>
      <c r="US41">
        <f>US40+IF(AND($C40=18,$U40=1),1,0)</f>
        <v/>
      </c>
      <c r="UT41">
        <f>UT40+IF(AND($C40=19,$U40=1),1,0)</f>
        <v/>
      </c>
      <c r="UU41">
        <f>UU40+IF(AND($C40=20,$U40=1),1,0)</f>
        <v/>
      </c>
      <c r="UV41">
        <f>UV40+IF(AND($C40=21,$U40=1),1,0)</f>
        <v/>
      </c>
      <c r="UW41">
        <f>UW40+IF(AND($C40=22,$U40=1),1,0)</f>
        <v/>
      </c>
      <c r="UX41">
        <f>UX40+IF(AND($C40=23,$U40=1),1,0)</f>
        <v/>
      </c>
      <c r="UY41">
        <f>UY40+IF(AND($C40=24,$U40=1),1,0)</f>
        <v/>
      </c>
      <c r="UZ41">
        <f>UZ40+IF(AND($C40=25,$U40=1),1,0)</f>
        <v/>
      </c>
      <c r="VA41">
        <f>VA40+IF(AND($C40=26,$U40=1),1,0)</f>
        <v/>
      </c>
      <c r="VB41">
        <f>VB40+IF(AND($C40=27,$U40=1),1,0)</f>
        <v/>
      </c>
      <c r="VC41">
        <f>VC40+IF(AND($C40=28,$U40=1),1,0)</f>
        <v/>
      </c>
      <c r="VD41">
        <f>VD40+IF(AND($C40=29,$U40=1),1,0)</f>
        <v/>
      </c>
      <c r="VE41">
        <f>VE40+IF(AND($C40=30,$U40=1),1,0)</f>
        <v/>
      </c>
      <c r="VF41">
        <f>VF40+IF(AND($C40=31,$U40=1),1,0)</f>
        <v/>
      </c>
      <c r="VG41">
        <f>VG40+IF(AND($C40=32,$U40=1),1,0)</f>
        <v/>
      </c>
      <c r="VH41">
        <f>VH40+IF(AND($C40=33,$U40=1),1,0)</f>
        <v/>
      </c>
      <c r="VI41">
        <f>VI40+IF(AND($C40=34,$U40=1),1,0)</f>
        <v/>
      </c>
      <c r="VJ41">
        <f>VJ40+IF(AND($C40=35,$U40=1),1,0)</f>
        <v/>
      </c>
      <c r="VK41">
        <f>VK40+IF(AND($C40=36,$U40=1),1,0)</f>
        <v/>
      </c>
      <c r="VL41">
        <f>VL40+IF(AND($C40=37,$U40=1),1,0)</f>
        <v/>
      </c>
      <c r="VM41">
        <f>VM40+IF(AND($C40=38,$U40=1),1,0)</f>
        <v/>
      </c>
      <c r="VN41">
        <f>VN40+IF(AND($C40=39,$U40=1),1,0)</f>
        <v/>
      </c>
      <c r="VO41">
        <f>VO40+IF(AND($C40=40,$U40=1),1,0)</f>
        <v/>
      </c>
      <c r="VP41">
        <f>VP40+IF(AND($C40=41,$U40=1),1,0)</f>
        <v/>
      </c>
      <c r="VQ41">
        <f>VQ40+IF(AND($C40=42,$U40=1),1,0)</f>
        <v/>
      </c>
      <c r="VR41">
        <f>VR40+IF(AND($C40=43,$U40=1),1,0)</f>
        <v/>
      </c>
      <c r="VS41">
        <f>VS40+IF(AND($C40=44,$U40=1),1,0)</f>
        <v/>
      </c>
      <c r="VT41">
        <f>VT40+IF(AND($C40=45,$U40=1),1,0)</f>
        <v/>
      </c>
      <c r="VU41">
        <f>VU40+IF(AND($C40=46,$U40=1),1,0)</f>
        <v/>
      </c>
      <c r="VV41">
        <f>VV40+IF(AND($C40=47,$U40=1),1,0)</f>
        <v/>
      </c>
      <c r="VW41">
        <f>VW40+IF(AND($C40=48,$U40=1),1,0)</f>
        <v/>
      </c>
      <c r="VX41">
        <f>VX40+IF(AND($C40=49,$U40=1),1,0)</f>
        <v/>
      </c>
      <c r="VY41">
        <f>VY40+IF(AND($C40=50,$U40=1),1,0)</f>
        <v/>
      </c>
      <c r="VZ41">
        <f>VZ40+IF(AND($C40=51,$U40=1),1,0)</f>
        <v/>
      </c>
      <c r="WA41">
        <f>WA40+IF(AND($C40=52,$U40=1),1,0)</f>
        <v/>
      </c>
      <c r="WB41">
        <f>WB40+IF(AND($C40=53,$U40=1),1,0)</f>
        <v/>
      </c>
      <c r="WC41">
        <f>WC40+IF(AND($C40=54,$U40=1),1,0)</f>
        <v/>
      </c>
      <c r="WD41">
        <f>WD40+IF(AND($C40=55,$U40=1),1,0)</f>
        <v/>
      </c>
      <c r="WE41">
        <f>WE40+IF(AND($C40=56,$U40=1),1,0)</f>
        <v/>
      </c>
      <c r="WF41">
        <f>WF40+IF(AND($C40=57,$U40=1),1,0)</f>
        <v/>
      </c>
      <c r="WG41">
        <f>WG40+IF(AND($C40=58,$U40=1),1,0)</f>
        <v/>
      </c>
      <c r="WH41">
        <f>WH40+IF(AND($C40=59,$U40=1),1,0)</f>
        <v/>
      </c>
      <c r="WI41">
        <f>WI40+IF(AND($C40=60,$U40=1),1,0)</f>
        <v/>
      </c>
      <c r="WJ41">
        <f>WJ40+IF(AND($C40=61,$U40=1),1,0)</f>
        <v/>
      </c>
      <c r="WK41">
        <f>WK40+IF(AND($C40=62,$U40=1),1,0)</f>
        <v/>
      </c>
      <c r="WL41">
        <f>WL40+IF(AND($C40=63,$U40=1),1,0)</f>
        <v/>
      </c>
      <c r="WM41">
        <f>WM40+IF(AND($C40=64,$U40=1),1,0)</f>
        <v/>
      </c>
      <c r="WN41">
        <f>WN40+IF(AND($C40=65,$U40=1),1,0)</f>
        <v/>
      </c>
      <c r="WO41">
        <f>WO40+IF(AND($C40=66,$U40=1),1,0)</f>
        <v/>
      </c>
      <c r="WP41">
        <f>WP40+IF(AND($C40=67,$U40=1),1,0)</f>
        <v/>
      </c>
      <c r="WQ41">
        <f>WQ40+IF(AND($C40=68,$U40=1),1,0)</f>
        <v/>
      </c>
      <c r="WR41">
        <f>WR40+IF(AND($C40=69,$U40=1),1,0)</f>
        <v/>
      </c>
      <c r="WS41">
        <f>WS40+IF(AND($C40=70,$U40=1),1,0)</f>
        <v/>
      </c>
      <c r="WT41">
        <f>WT40+IF(AND($C40=71,$U40=1),1,0)</f>
        <v/>
      </c>
      <c r="WU41">
        <f>WU40+IF(AND($C40=72,$U40=1),1,0)</f>
        <v/>
      </c>
      <c r="WV41">
        <f>WV40+IF(AND($C40=73,$U40=1),1,0)</f>
        <v/>
      </c>
      <c r="WW41">
        <f>WW40+IF(AND($C40=74,$U40=1),1,0)</f>
        <v/>
      </c>
      <c r="WX41">
        <f>WX40+IF(AND($C40=75,$U40=1),1,0)</f>
        <v/>
      </c>
      <c r="WY41">
        <f>WY40+IF(AND($C40=76,$U40=1),1,0)</f>
        <v/>
      </c>
      <c r="WZ41">
        <f>WZ40+IF(AND($C40=77,$U40=1),1,0)</f>
        <v/>
      </c>
      <c r="XA41">
        <f>XA40+IF(AND($C40=78,$U40=1),1,0)</f>
        <v/>
      </c>
      <c r="XB41">
        <f>XB40+IF(AND($C40=79,$U40=1),1,0)</f>
        <v/>
      </c>
      <c r="XC41">
        <f>XC40+IF(AND($C40=80,$U40=1),1,0)</f>
        <v/>
      </c>
      <c r="XD41">
        <f>XD40+IF(AND($C40=81,$U40=1),1,0)</f>
        <v/>
      </c>
      <c r="XE41">
        <f>XE40+IF(AND($C40=82,$U40=1),1,0)</f>
        <v/>
      </c>
      <c r="XF41">
        <f>XF40+IF(AND($C40=83,$U40=1),1,0)</f>
        <v/>
      </c>
      <c r="XG41">
        <f>XG40+IF(AND($C40=84,$U40=1),1,0)</f>
        <v/>
      </c>
      <c r="XH41">
        <f>XH40+IF(AND($C40=85,$U40=1),1,0)</f>
        <v/>
      </c>
      <c r="XI41">
        <f>XI40+IF(AND($C40=86,$U40=1),1,0)</f>
        <v/>
      </c>
      <c r="XJ41">
        <f>XJ40+IF(AND($C40=87,$U40=1),1,0)</f>
        <v/>
      </c>
      <c r="XK41">
        <f>XK40+IF(AND($C40=88,$U40=1),1,0)</f>
        <v/>
      </c>
      <c r="XL41">
        <f>XL40+IF(AND($C40=89,$U40=1),1,0)</f>
        <v/>
      </c>
      <c r="XM41">
        <f>XM40+IF(AND($C40=90,$U40=1),1,0)</f>
        <v/>
      </c>
      <c r="XN41">
        <f>XN40+IF(AND($C40=91,$U40=1),1,0)</f>
        <v/>
      </c>
      <c r="XO41">
        <f>XO40+IF(AND($C40=92,$U40=1),1,0)</f>
        <v/>
      </c>
      <c r="XP41">
        <f>XP40+IF(AND($C40=93,$U40=1),1,0)</f>
        <v/>
      </c>
      <c r="XQ41">
        <f>XQ40+IF(AND($C40=94,$U40=1),1,0)</f>
        <v/>
      </c>
      <c r="XR41">
        <f>XR40+IF(AND($C40=95,$U40=1),1,0)</f>
        <v/>
      </c>
      <c r="XS41">
        <f>XS40+IF(AND($C40=96,$U40=1),1,0)</f>
        <v/>
      </c>
      <c r="XT41">
        <f>XT40+IF(AND($C40=97,$U40=1),1,0)</f>
        <v/>
      </c>
      <c r="XU41">
        <f>XU40+IF(AND($C40=98,$U40=1),1,0)</f>
        <v/>
      </c>
      <c r="XV41">
        <f>XV40+IF(AND($C40=99,$U40=1),1,0)</f>
        <v/>
      </c>
      <c r="XW41">
        <f>XW40+IF(AND($C40=100,$U40=1),1,0)</f>
        <v/>
      </c>
      <c r="XX41">
        <f>XX40+IF(AND($C40=101,$U40=1),1,0)</f>
        <v/>
      </c>
      <c r="XY41">
        <f>XY40+IF(AND($C40=102,$U40=1),1,0)</f>
        <v/>
      </c>
      <c r="XZ41">
        <f>XZ40+IF(AND($C40=103,$U40=1),1,0)</f>
        <v/>
      </c>
      <c r="YA41">
        <f>YA40+IF(AND($C40=104,$U40=1),1,0)</f>
        <v/>
      </c>
      <c r="YB41">
        <f>YB40+IF(AND($C40=105,$U40=1),1,0)</f>
        <v/>
      </c>
      <c r="YC41">
        <f>YC40+IF(AND($C40=106,$U40=1),1,0)</f>
        <v/>
      </c>
      <c r="YD41">
        <f>YD40+IF(AND($C40=107,$U40=1),1,0)</f>
        <v/>
      </c>
      <c r="YE41">
        <f>YE40+IF(AND($C40=108,$U40=1),1,0)</f>
        <v/>
      </c>
      <c r="YF41">
        <f>YF40+IF(AND($C40=109,$U40=1),1,0)</f>
        <v/>
      </c>
      <c r="YG41">
        <f>YG40+IF(AND($C40=110,$U40=1),1,0)</f>
        <v/>
      </c>
      <c r="YH41">
        <f>YH40+IF(AND($C40=111,$U40=1),1,0)</f>
        <v/>
      </c>
      <c r="YI41">
        <f>YI40+IF(AND($C40=112,$U40=1),1,0)</f>
        <v/>
      </c>
      <c r="YJ41">
        <f>YJ40+IF(AND($C40=113,$U40=1),1,0)</f>
        <v/>
      </c>
      <c r="YK41">
        <f>YK40+IF(AND($C40=114,$U40=1),1,0)</f>
        <v/>
      </c>
      <c r="YL41">
        <f>YL40+IF(AND($C40=115,$U40=1),1,0)</f>
        <v/>
      </c>
      <c r="YM41">
        <f>YM40+IF(AND($C40=116,$U40=1),1,0)</f>
        <v/>
      </c>
      <c r="YN41">
        <f>YN40+IF(AND($C40=117,$U40=1),1,0)</f>
        <v/>
      </c>
      <c r="YO41">
        <f>YO40+IF(AND($C40=118,$U40=1),1,0)</f>
        <v/>
      </c>
      <c r="YP41">
        <f>YP40+IF(AND($C40=119,$U40=1),1,0)</f>
        <v/>
      </c>
      <c r="YQ41">
        <f>YQ40+IF(AND($C40=120,$U40=1),1,0)</f>
        <v/>
      </c>
      <c r="YR41">
        <f>YR40+IF(AND($C40=121,$U40=1),1,0)</f>
        <v/>
      </c>
      <c r="YS41">
        <f>YS40+IF(AND($C40=122,$U40=1),1,0)</f>
        <v/>
      </c>
      <c r="YT41">
        <f>YT40+IF(AND($C40=123,$U40=1),1,0)</f>
        <v/>
      </c>
      <c r="YU41">
        <f>YU40+IF(AND($C40=124,$U40=1),1,0)</f>
        <v/>
      </c>
      <c r="YV41">
        <f>YV40+IF(AND($C40=125,$U40=1),1,0)</f>
        <v/>
      </c>
      <c r="YW41">
        <f>YW40+IF(AND($C40=126,$U40=1),1,0)</f>
        <v/>
      </c>
      <c r="YX41">
        <f>YX40+IF(AND($C40=127,$U40=1),1,0)</f>
        <v/>
      </c>
      <c r="YY41">
        <f>YY40+IF(AND($C40=128,$U40=1),1,0)</f>
        <v/>
      </c>
      <c r="YZ41">
        <f>YZ40+IF(AND($C40=129,$U40=1),1,0)</f>
        <v/>
      </c>
      <c r="ZA41">
        <f>ZA40+IF(AND($C40=130,$U40=1),1,0)</f>
        <v/>
      </c>
      <c r="ZB41">
        <f>ZB40+IF(AND($C40=131,$U40=1),1,0)</f>
        <v/>
      </c>
      <c r="ZC41">
        <f>ZC40+IF(AND($C40=132,$U40=1),1,0)</f>
        <v/>
      </c>
      <c r="ZD41">
        <f>ZD40+IF(AND($C40=133,$U40=1),1,0)</f>
        <v/>
      </c>
      <c r="ZE41">
        <f>ZE40+IF(AND($C40=134,$U40=1),1,0)</f>
        <v/>
      </c>
      <c r="ZF41">
        <f>ZF40+IF(AND($C40=135,$U40=1),1,0)</f>
        <v/>
      </c>
      <c r="ZG41">
        <f>ZG40+IF(AND($C40=136,$U40=1),1,0)</f>
        <v/>
      </c>
      <c r="ZH41">
        <f>ZH40+IF(AND($C40=137,$U40=1),1,0)</f>
        <v/>
      </c>
      <c r="ZI41">
        <f>ZI40+IF(AND($C40=138,$U40=1),1,0)</f>
        <v/>
      </c>
      <c r="ZJ41">
        <f>ZJ40+IF(AND($C40=139,$U40=1),1,0)</f>
        <v/>
      </c>
      <c r="ZK41">
        <f>ZK40+IF(AND($C40=140,$U40=1),1,0)</f>
        <v/>
      </c>
      <c r="ZL41">
        <f>ZL40+IF(AND($C40=141,$U40=1),1,0)</f>
        <v/>
      </c>
      <c r="ZM41">
        <f>ZM40+IF(AND($C40=142,$U40=1),1,0)</f>
        <v/>
      </c>
      <c r="ZN41">
        <f>ZN40+IF(AND($C40=143,$U40=1),1,0)</f>
        <v/>
      </c>
      <c r="ZO41">
        <f>ZO40+IF(AND($C40=144,$U40=1),1,0)</f>
        <v/>
      </c>
      <c r="ZQ41">
        <f>IF($C40=1,0,ZQ40+IF(AND($G40=1,$E40=1),1,0))</f>
        <v/>
      </c>
      <c r="ZR41">
        <f>IF($C40=2,0,ZR40+IF(AND($G40=2,$E40=1),1,0))</f>
        <v/>
      </c>
      <c r="ZS41">
        <f>IF($C40=3,0,ZS40+IF(AND($G40=3,$E40=1),1,0))</f>
        <v/>
      </c>
      <c r="ZT41">
        <f>IF($C40=4,0,ZT40+IF(AND($G40=4,$E40=1),1,0))</f>
        <v/>
      </c>
      <c r="ZU41">
        <f>IF($C40=5,0,ZU40+IF(AND($G40=5,$E40=1),1,0))</f>
        <v/>
      </c>
      <c r="ZV41">
        <f>IF($C40=6,0,ZV40+IF(AND($G40=6,$E40=1),1,0))</f>
        <v/>
      </c>
      <c r="ZW41">
        <f>IF($C40=7,0,ZW40+IF(AND($G40=7,$E40=1),1,0))</f>
        <v/>
      </c>
      <c r="ZX41">
        <f>IF($C40=8,0,ZX40+IF(AND($G40=8,$E40=1),1,0))</f>
        <v/>
      </c>
      <c r="ZY41">
        <f>IF($C40=9,0,ZY40+IF(AND($G40=9,$E40=1),1,0))</f>
        <v/>
      </c>
      <c r="ZZ41">
        <f>IF($C40=10,0,ZZ40+IF(AND($G40=10,$E40=1),1,0))</f>
        <v/>
      </c>
      <c r="AAA41">
        <f>IF($C40=11,0,AAA40+IF(AND($G40=11,$E40=1),1,0))</f>
        <v/>
      </c>
      <c r="AAB41">
        <f>IF($C40=12,0,AAB40+IF(AND($G40=12,$E40=1),1,0))</f>
        <v/>
      </c>
      <c r="AAC41">
        <f>IF($C40=13,0,AAC40+IF(AND($G40=13,$E40=1),1,0))</f>
        <v/>
      </c>
      <c r="AAD41">
        <f>IF($C40=14,0,AAD40+IF(AND($G40=14,$E40=1),1,0))</f>
        <v/>
      </c>
      <c r="AAE41">
        <f>IF($C40=15,0,AAE40+IF(AND($G40=15,$E40=1),1,0))</f>
        <v/>
      </c>
      <c r="AAF41">
        <f>IF($C40=16,0,AAF40+IF(AND($G40=16,$E40=1),1,0))</f>
        <v/>
      </c>
      <c r="AAG41">
        <f>IF($C40=17,0,AAG40+IF(AND($G40=17,$E40=1),1,0))</f>
        <v/>
      </c>
      <c r="AAH41">
        <f>IF($C40=18,0,AAH40+IF(AND($G40=18,$E40=1),1,0))</f>
        <v/>
      </c>
      <c r="AAI41">
        <f>IF($C40=19,0,AAI40+IF(AND($G40=19,$E40=1),1,0))</f>
        <v/>
      </c>
      <c r="AAJ41">
        <f>IF($C40=20,0,AAJ40+IF(AND($G40=20,$E40=1),1,0))</f>
        <v/>
      </c>
      <c r="AAK41">
        <f>IF($C40=21,0,AAK40+IF(AND($G40=21,$E40=1),1,0))</f>
        <v/>
      </c>
      <c r="AAL41">
        <f>IF($C40=22,0,AAL40+IF(AND($G40=22,$E40=1),1,0))</f>
        <v/>
      </c>
      <c r="AAM41">
        <f>IF($C40=23,0,AAM40+IF(AND($G40=23,$E40=1),1,0))</f>
        <v/>
      </c>
      <c r="AAN41">
        <f>IF($C40=24,0,AAN40+IF(AND($G40=24,$E40=1),1,0))</f>
        <v/>
      </c>
      <c r="AAO41">
        <f>IF($C40=25,0,AAO40+IF(AND($G40=25,$E40=1),1,0))</f>
        <v/>
      </c>
      <c r="AAP41">
        <f>IF($C40=26,0,AAP40+IF(AND($G40=26,$E40=1),1,0))</f>
        <v/>
      </c>
      <c r="AAQ41">
        <f>IF($C40=27,0,AAQ40+IF(AND($G40=27,$E40=1),1,0))</f>
        <v/>
      </c>
      <c r="AAR41">
        <f>IF($C40=28,0,AAR40+IF(AND($G40=28,$E40=1),1,0))</f>
        <v/>
      </c>
      <c r="AAS41">
        <f>IF($C40=29,0,AAS40+IF(AND($G40=29,$E40=1),1,0))</f>
        <v/>
      </c>
      <c r="AAT41">
        <f>IF($C40=30,0,AAT40+IF(AND($G40=30,$E40=1),1,0))</f>
        <v/>
      </c>
      <c r="AAU41">
        <f>IF($C40=31,0,AAU40+IF(AND($G40=31,$E40=1),1,0))</f>
        <v/>
      </c>
      <c r="AAV41">
        <f>IF($C40=32,0,AAV40+IF(AND($G40=32,$E40=1),1,0))</f>
        <v/>
      </c>
      <c r="AAW41">
        <f>IF($C40=33,0,AAW40+IF(AND($G40=33,$E40=1),1,0))</f>
        <v/>
      </c>
      <c r="AAX41">
        <f>IF($C40=34,0,AAX40+IF(AND($G40=34,$E40=1),1,0))</f>
        <v/>
      </c>
      <c r="AAY41">
        <f>IF($C40=35,0,AAY40+IF(AND($G40=35,$E40=1),1,0))</f>
        <v/>
      </c>
      <c r="AAZ41">
        <f>IF($C40=36,0,AAZ40+IF(AND($G40=36,$E40=1),1,0))</f>
        <v/>
      </c>
      <c r="ABA41">
        <f>IF($C40=37,0,ABA40+IF(AND($G40=37,$E40=1),1,0))</f>
        <v/>
      </c>
      <c r="ABB41">
        <f>IF($C40=38,0,ABB40+IF(AND($G40=38,$E40=1),1,0))</f>
        <v/>
      </c>
      <c r="ABC41">
        <f>IF($C40=39,0,ABC40+IF(AND($G40=39,$E40=1),1,0))</f>
        <v/>
      </c>
      <c r="ABD41">
        <f>IF($C40=40,0,ABD40+IF(AND($G40=40,$E40=1),1,0))</f>
        <v/>
      </c>
      <c r="ABE41">
        <f>IF($C40=41,0,ABE40+IF(AND($G40=41,$E40=1),1,0))</f>
        <v/>
      </c>
      <c r="ABF41">
        <f>IF($C40=42,0,ABF40+IF(AND($G40=42,$E40=1),1,0))</f>
        <v/>
      </c>
      <c r="ABG41">
        <f>IF($C40=43,0,ABG40+IF(AND($G40=43,$E40=1),1,0))</f>
        <v/>
      </c>
      <c r="ABH41">
        <f>IF($C40=44,0,ABH40+IF(AND($G40=44,$E40=1),1,0))</f>
        <v/>
      </c>
      <c r="ABI41">
        <f>IF($C40=45,0,ABI40+IF(AND($G40=45,$E40=1),1,0))</f>
        <v/>
      </c>
      <c r="ABJ41">
        <f>IF($C40=46,0,ABJ40+IF(AND($G40=46,$E40=1),1,0))</f>
        <v/>
      </c>
      <c r="ABK41">
        <f>IF($C40=47,0,ABK40+IF(AND($G40=47,$E40=1),1,0))</f>
        <v/>
      </c>
      <c r="ABL41">
        <f>IF($C40=48,0,ABL40+IF(AND($G40=48,$E40=1),1,0))</f>
        <v/>
      </c>
      <c r="ABM41">
        <f>IF($C40=49,0,ABM40+IF(AND($G40=49,$E40=1),1,0))</f>
        <v/>
      </c>
      <c r="ABN41">
        <f>IF($C40=50,0,ABN40+IF(AND($G40=50,$E40=1),1,0))</f>
        <v/>
      </c>
      <c r="ABO41">
        <f>IF($C40=51,0,ABO40+IF(AND($G40=51,$E40=1),1,0))</f>
        <v/>
      </c>
      <c r="ABP41">
        <f>IF($C40=52,0,ABP40+IF(AND($G40=52,$E40=1),1,0))</f>
        <v/>
      </c>
      <c r="ABQ41">
        <f>IF($C40=53,0,ABQ40+IF(AND($G40=53,$E40=1),1,0))</f>
        <v/>
      </c>
      <c r="ABR41">
        <f>IF($C40=54,0,ABR40+IF(AND($G40=54,$E40=1),1,0))</f>
        <v/>
      </c>
      <c r="ABS41">
        <f>IF($C40=55,0,ABS40+IF(AND($G40=55,$E40=1),1,0))</f>
        <v/>
      </c>
      <c r="ABT41">
        <f>IF($C40=56,0,ABT40+IF(AND($G40=56,$E40=1),1,0))</f>
        <v/>
      </c>
      <c r="ABU41">
        <f>IF($C40=57,0,ABU40+IF(AND($G40=57,$E40=1),1,0))</f>
        <v/>
      </c>
      <c r="ABV41">
        <f>IF($C40=58,0,ABV40+IF(AND($G40=58,$E40=1),1,0))</f>
        <v/>
      </c>
      <c r="ABW41">
        <f>IF($C40=59,0,ABW40+IF(AND($G40=59,$E40=1),1,0))</f>
        <v/>
      </c>
      <c r="ABX41">
        <f>IF($C40=60,0,ABX40+IF(AND($G40=60,$E40=1),1,0))</f>
        <v/>
      </c>
      <c r="ABY41">
        <f>IF($C40=61,0,ABY40+IF(AND($G40=61,$E40=1),1,0))</f>
        <v/>
      </c>
      <c r="ABZ41">
        <f>IF($C40=62,0,ABZ40+IF(AND($G40=62,$E40=1),1,0))</f>
        <v/>
      </c>
      <c r="ACA41">
        <f>IF($C40=63,0,ACA40+IF(AND($G40=63,$E40=1),1,0))</f>
        <v/>
      </c>
      <c r="ACB41">
        <f>IF($C40=64,0,ACB40+IF(AND($G40=64,$E40=1),1,0))</f>
        <v/>
      </c>
      <c r="ACC41">
        <f>IF($C40=65,0,ACC40+IF(AND($G40=65,$E40=1),1,0))</f>
        <v/>
      </c>
      <c r="ACD41">
        <f>IF($C40=66,0,ACD40+IF(AND($G40=66,$E40=1),1,0))</f>
        <v/>
      </c>
      <c r="ACE41">
        <f>IF($C40=67,0,ACE40+IF(AND($G40=67,$E40=1),1,0))</f>
        <v/>
      </c>
      <c r="ACF41">
        <f>IF($C40=68,0,ACF40+IF(AND($G40=68,$E40=1),1,0))</f>
        <v/>
      </c>
      <c r="ACG41">
        <f>IF($C40=69,0,ACG40+IF(AND($G40=69,$E40=1),1,0))</f>
        <v/>
      </c>
      <c r="ACH41">
        <f>IF($C40=70,0,ACH40+IF(AND($G40=70,$E40=1),1,0))</f>
        <v/>
      </c>
      <c r="ACI41">
        <f>IF($C40=71,0,ACI40+IF(AND($G40=71,$E40=1),1,0))</f>
        <v/>
      </c>
      <c r="ACJ41">
        <f>IF($C40=72,0,ACJ40+IF(AND($G40=72,$E40=1),1,0))</f>
        <v/>
      </c>
      <c r="ACK41">
        <f>IF($C40=73,0,ACK40+IF(AND($G40=73,$E40=1),1,0))</f>
        <v/>
      </c>
      <c r="ACL41">
        <f>IF($C40=74,0,ACL40+IF(AND($G40=74,$E40=1),1,0))</f>
        <v/>
      </c>
      <c r="ACM41">
        <f>IF($C40=75,0,ACM40+IF(AND($G40=75,$E40=1),1,0))</f>
        <v/>
      </c>
      <c r="ACN41">
        <f>IF($C40=76,0,ACN40+IF(AND($G40=76,$E40=1),1,0))</f>
        <v/>
      </c>
      <c r="ACO41">
        <f>IF($C40=77,0,ACO40+IF(AND($G40=77,$E40=1),1,0))</f>
        <v/>
      </c>
      <c r="ACP41">
        <f>IF($C40=78,0,ACP40+IF(AND($G40=78,$E40=1),1,0))</f>
        <v/>
      </c>
      <c r="ACQ41">
        <f>IF($C40=79,0,ACQ40+IF(AND($G40=79,$E40=1),1,0))</f>
        <v/>
      </c>
      <c r="ACR41">
        <f>IF($C40=80,0,ACR40+IF(AND($G40=80,$E40=1),1,0))</f>
        <v/>
      </c>
      <c r="ACS41">
        <f>IF($C40=81,0,ACS40+IF(AND($G40=81,$E40=1),1,0))</f>
        <v/>
      </c>
      <c r="ACT41">
        <f>IF($C40=82,0,ACT40+IF(AND($G40=82,$E40=1),1,0))</f>
        <v/>
      </c>
      <c r="ACU41">
        <f>IF($C40=83,0,ACU40+IF(AND($G40=83,$E40=1),1,0))</f>
        <v/>
      </c>
      <c r="ACV41">
        <f>IF($C40=84,0,ACV40+IF(AND($G40=84,$E40=1),1,0))</f>
        <v/>
      </c>
      <c r="ACW41">
        <f>IF($C40=85,0,ACW40+IF(AND($G40=85,$E40=1),1,0))</f>
        <v/>
      </c>
      <c r="ACX41">
        <f>IF($C40=86,0,ACX40+IF(AND($G40=86,$E40=1),1,0))</f>
        <v/>
      </c>
      <c r="ACY41">
        <f>IF($C40=87,0,ACY40+IF(AND($G40=87,$E40=1),1,0))</f>
        <v/>
      </c>
      <c r="ACZ41">
        <f>IF($C40=88,0,ACZ40+IF(AND($G40=88,$E40=1),1,0))</f>
        <v/>
      </c>
      <c r="ADA41">
        <f>IF($C40=89,0,ADA40+IF(AND($G40=89,$E40=1),1,0))</f>
        <v/>
      </c>
      <c r="ADB41">
        <f>IF($C40=90,0,ADB40+IF(AND($G40=90,$E40=1),1,0))</f>
        <v/>
      </c>
      <c r="ADC41">
        <f>IF($C40=91,0,ADC40+IF(AND($G40=91,$E40=1),1,0))</f>
        <v/>
      </c>
      <c r="ADD41">
        <f>IF($C40=92,0,ADD40+IF(AND($G40=92,$E40=1),1,0))</f>
        <v/>
      </c>
      <c r="ADE41">
        <f>IF($C40=93,0,ADE40+IF(AND($G40=93,$E40=1),1,0))</f>
        <v/>
      </c>
      <c r="ADF41">
        <f>IF($C40=94,0,ADF40+IF(AND($G40=94,$E40=1),1,0))</f>
        <v/>
      </c>
      <c r="ADG41">
        <f>IF($C40=95,0,ADG40+IF(AND($G40=95,$E40=1),1,0))</f>
        <v/>
      </c>
      <c r="ADH41">
        <f>IF($C40=96,0,ADH40+IF(AND($G40=96,$E40=1),1,0))</f>
        <v/>
      </c>
      <c r="ADI41">
        <f>IF($C40=97,0,ADI40+IF(AND($G40=97,$E40=1),1,0))</f>
        <v/>
      </c>
      <c r="ADJ41">
        <f>IF($C40=98,0,ADJ40+IF(AND($G40=98,$E40=1),1,0))</f>
        <v/>
      </c>
      <c r="ADK41">
        <f>IF($C40=99,0,ADK40+IF(AND($G40=99,$E40=1),1,0))</f>
        <v/>
      </c>
      <c r="ADL41">
        <f>IF($C40=100,0,ADL40+IF(AND($G40=100,$E40=1),1,0))</f>
        <v/>
      </c>
      <c r="ADM41">
        <f>IF($C40=101,0,ADM40+IF(AND($G40=101,$E40=1),1,0))</f>
        <v/>
      </c>
      <c r="ADN41">
        <f>IF($C40=102,0,ADN40+IF(AND($G40=102,$E40=1),1,0))</f>
        <v/>
      </c>
      <c r="ADO41">
        <f>IF($C40=103,0,ADO40+IF(AND($G40=103,$E40=1),1,0))</f>
        <v/>
      </c>
      <c r="ADP41">
        <f>IF($C40=104,0,ADP40+IF(AND($G40=104,$E40=1),1,0))</f>
        <v/>
      </c>
      <c r="ADQ41">
        <f>IF($C40=105,0,ADQ40+IF(AND($G40=105,$E40=1),1,0))</f>
        <v/>
      </c>
      <c r="ADR41">
        <f>IF($C40=106,0,ADR40+IF(AND($G40=106,$E40=1),1,0))</f>
        <v/>
      </c>
      <c r="ADS41">
        <f>IF($C40=107,0,ADS40+IF(AND($G40=107,$E40=1),1,0))</f>
        <v/>
      </c>
      <c r="ADT41">
        <f>IF($C40=108,0,ADT40+IF(AND($G40=108,$E40=1),1,0))</f>
        <v/>
      </c>
      <c r="ADU41">
        <f>IF($C40=109,0,ADU40+IF(AND($G40=109,$E40=1),1,0))</f>
        <v/>
      </c>
      <c r="ADV41">
        <f>IF($C40=110,0,ADV40+IF(AND($G40=110,$E40=1),1,0))</f>
        <v/>
      </c>
      <c r="ADW41">
        <f>IF($C40=111,0,ADW40+IF(AND($G40=111,$E40=1),1,0))</f>
        <v/>
      </c>
      <c r="ADX41">
        <f>IF($C40=112,0,ADX40+IF(AND($G40=112,$E40=1),1,0))</f>
        <v/>
      </c>
      <c r="ADY41">
        <f>IF($C40=113,0,ADY40+IF(AND($G40=113,$E40=1),1,0))</f>
        <v/>
      </c>
      <c r="ADZ41">
        <f>IF($C40=114,0,ADZ40+IF(AND($G40=114,$E40=1),1,0))</f>
        <v/>
      </c>
      <c r="AEA41">
        <f>IF($C40=115,0,AEA40+IF(AND($G40=115,$E40=1),1,0))</f>
        <v/>
      </c>
      <c r="AEB41">
        <f>IF($C40=116,0,AEB40+IF(AND($G40=116,$E40=1),1,0))</f>
        <v/>
      </c>
      <c r="AEC41">
        <f>IF($C40=117,0,AEC40+IF(AND($G40=117,$E40=1),1,0))</f>
        <v/>
      </c>
      <c r="AED41">
        <f>IF($C40=118,0,AED40+IF(AND($G40=118,$E40=1),1,0))</f>
        <v/>
      </c>
      <c r="AEE41">
        <f>IF($C40=119,0,AEE40+IF(AND($G40=119,$E40=1),1,0))</f>
        <v/>
      </c>
      <c r="AEF41">
        <f>IF($C40=120,0,AEF40+IF(AND($G40=120,$E40=1),1,0))</f>
        <v/>
      </c>
      <c r="AEG41">
        <f>IF($C40=121,0,AEG40+IF(AND($G40=121,$E40=1),1,0))</f>
        <v/>
      </c>
      <c r="AEH41">
        <f>IF($C40=122,0,AEH40+IF(AND($G40=122,$E40=1),1,0))</f>
        <v/>
      </c>
      <c r="AEI41">
        <f>IF($C40=123,0,AEI40+IF(AND($G40=123,$E40=1),1,0))</f>
        <v/>
      </c>
      <c r="AEJ41">
        <f>IF($C40=124,0,AEJ40+IF(AND($G40=124,$E40=1),1,0))</f>
        <v/>
      </c>
      <c r="AEK41">
        <f>IF($C40=125,0,AEK40+IF(AND($G40=125,$E40=1),1,0))</f>
        <v/>
      </c>
      <c r="AEL41">
        <f>IF($C40=126,0,AEL40+IF(AND($G40=126,$E40=1),1,0))</f>
        <v/>
      </c>
      <c r="AEM41">
        <f>IF($C40=127,0,AEM40+IF(AND($G40=127,$E40=1),1,0))</f>
        <v/>
      </c>
      <c r="AEN41">
        <f>IF($C40=128,0,AEN40+IF(AND($G40=128,$E40=1),1,0))</f>
        <v/>
      </c>
      <c r="AEO41">
        <f>IF($C40=129,0,AEO40+IF(AND($G40=129,$E40=1),1,0))</f>
        <v/>
      </c>
      <c r="AEP41">
        <f>IF($C40=130,0,AEP40+IF(AND($G40=130,$E40=1),1,0))</f>
        <v/>
      </c>
      <c r="AEQ41">
        <f>IF($C40=131,0,AEQ40+IF(AND($G40=131,$E40=1),1,0))</f>
        <v/>
      </c>
      <c r="AER41">
        <f>IF($C40=132,0,AER40+IF(AND($G40=132,$E40=1),1,0))</f>
        <v/>
      </c>
      <c r="AES41">
        <f>IF($C40=133,0,AES40+IF(AND($G40=133,$E40=1),1,0))</f>
        <v/>
      </c>
      <c r="AET41">
        <f>IF($C40=134,0,AET40+IF(AND($G40=134,$E40=1),1,0))</f>
        <v/>
      </c>
      <c r="AEU41">
        <f>IF($C40=135,0,AEU40+IF(AND($G40=135,$E40=1),1,0))</f>
        <v/>
      </c>
      <c r="AEV41">
        <f>IF($C40=136,0,AEV40+IF(AND($G40=136,$E40=1),1,0))</f>
        <v/>
      </c>
      <c r="AEW41">
        <f>IF($C40=137,0,AEW40+IF(AND($G40=137,$E40=1),1,0))</f>
        <v/>
      </c>
      <c r="AEX41">
        <f>IF($C40=138,0,AEX40+IF(AND($G40=138,$E40=1),1,0))</f>
        <v/>
      </c>
      <c r="AEY41">
        <f>IF($C40=139,0,AEY40+IF(AND($G40=139,$E40=1),1,0))</f>
        <v/>
      </c>
      <c r="AEZ41">
        <f>IF($C40=140,0,AEZ40+IF(AND($G40=140,$E40=1),1,0))</f>
        <v/>
      </c>
      <c r="AFA41">
        <f>IF($C40=141,0,AFA40+IF(AND($G40=141,$E40=1),1,0))</f>
        <v/>
      </c>
      <c r="AFB41">
        <f>IF($C40=142,0,AFB40+IF(AND($G40=142,$E40=1),1,0))</f>
        <v/>
      </c>
      <c r="AFC41">
        <f>IF($C40=143,0,AFC40+IF(AND($G40=143,$E40=1),1,0))</f>
        <v/>
      </c>
      <c r="AFD41">
        <f>IF($C40=144,0,AFD40+IF(AND($G40=144,$E40=1),1,0))</f>
        <v/>
      </c>
      <c r="AFF41">
        <f>IF('calcA'!D$106=1,DC41+ZR41,1)</f>
        <v/>
      </c>
      <c r="AFG41">
        <f>IF('calcA'!E$106=1,DD41+ZS41,1)</f>
        <v/>
      </c>
      <c r="AFH41">
        <f>IF('calcA'!F$106=1,DE41+ZT41,1)</f>
        <v/>
      </c>
      <c r="AFI41">
        <f>IF('calcA'!G$106=1,DF41+ZU41,1)</f>
        <v/>
      </c>
      <c r="AFJ41">
        <f>IF('calcA'!H$106=1,DG41+ZV41,1)</f>
        <v/>
      </c>
      <c r="AFK41">
        <f>IF('calcA'!I$106=1,DH41+ZW41,1)</f>
        <v/>
      </c>
      <c r="AFL41">
        <f>IF('calcA'!J$106=1,DI41+ZX41,1)</f>
        <v/>
      </c>
      <c r="AFM41">
        <f>IF('calcA'!K$106=1,DJ41+ZY41,1)</f>
        <v/>
      </c>
      <c r="AFN41">
        <f>IF('calcA'!L$106=1,DK41+ZZ41,1)</f>
        <v/>
      </c>
      <c r="AFO41">
        <f>IF('calcA'!M$106=1,DL41+AAA41,1)</f>
        <v/>
      </c>
      <c r="AFP41">
        <f>IF('calcA'!N$106=1,DM41+AAB41,1)</f>
        <v/>
      </c>
      <c r="AFQ41">
        <f>IF('calcA'!O$106=1,DN41+AAC41,1)</f>
        <v/>
      </c>
      <c r="AFR41">
        <f>IF('calcA'!P$106=1,DO41+AAD41,1)</f>
        <v/>
      </c>
      <c r="AFS41">
        <f>IF('calcA'!Q$106=1,DP41+AAE41,1)</f>
        <v/>
      </c>
      <c r="AFT41">
        <f>IF('calcA'!R$106=1,DQ41+AAF41,1)</f>
        <v/>
      </c>
      <c r="AFU41">
        <f>IF('calcA'!S$106=1,DR41+AAG41,1)</f>
        <v/>
      </c>
      <c r="AFV41">
        <f>IF('calcA'!T$106=1,DS41+AAH41,1)</f>
        <v/>
      </c>
      <c r="AFW41">
        <f>IF('calcA'!U$106=1,DT41+AAI41,1)</f>
        <v/>
      </c>
      <c r="AFX41">
        <f>IF('calcA'!V$106=1,DU41+AAJ41,1)</f>
        <v/>
      </c>
      <c r="AFY41">
        <f>IF('calcA'!W$106=1,DV41+AAK41,1)</f>
        <v/>
      </c>
      <c r="AFZ41">
        <f>IF('calcA'!X$106=1,DW41+AAL41,1)</f>
        <v/>
      </c>
      <c r="AGA41">
        <f>IF('calcA'!Y$106=1,DX41+AAM41,1)</f>
        <v/>
      </c>
      <c r="AGB41">
        <f>IF('calcA'!Z$106=1,DY41+AAN41,1)</f>
        <v/>
      </c>
      <c r="AGC41">
        <f>IF('calcA'!AA$106=1,DZ41+AAO41,1)</f>
        <v/>
      </c>
      <c r="AGD41">
        <f>IF('calcA'!AB$106=1,EA41+AAP41,1)</f>
        <v/>
      </c>
      <c r="AGE41">
        <f>IF('calcA'!AC$106=1,EB41+AAQ41,1)</f>
        <v/>
      </c>
      <c r="AGF41">
        <f>IF('calcA'!AD$106=1,EC41+AAR41,1)</f>
        <v/>
      </c>
      <c r="AGG41">
        <f>IF('calcA'!AE$106=1,ED41+AAS41,1)</f>
        <v/>
      </c>
      <c r="AGH41">
        <f>IF('calcA'!AF$106=1,EE41+AAT41,1)</f>
        <v/>
      </c>
      <c r="AGI41">
        <f>IF('calcA'!AG$106=1,EF41+AAU41,1)</f>
        <v/>
      </c>
      <c r="AGJ41">
        <f>IF('calcA'!AH$106=1,EG41+AAV41,1)</f>
        <v/>
      </c>
      <c r="AGK41">
        <f>IF('calcA'!AI$106=1,EH41+AAW41,1)</f>
        <v/>
      </c>
      <c r="AGL41">
        <f>IF('calcA'!AJ$106=1,EI41+AAX41,1)</f>
        <v/>
      </c>
      <c r="AGM41">
        <f>IF('calcA'!AK$106=1,EJ41+AAY41,1)</f>
        <v/>
      </c>
      <c r="AGN41">
        <f>IF('calcA'!AL$106=1,EK41+AAZ41,1)</f>
        <v/>
      </c>
      <c r="AGO41">
        <f>IF('calcA'!AM$106=1,EL41+ABA41,1)</f>
        <v/>
      </c>
      <c r="AGP41">
        <f>IF('calcA'!AN$106=1,EM41+ABB41,1)</f>
        <v/>
      </c>
      <c r="AGQ41">
        <f>IF('calcA'!AO$106=1,EN41+ABC41,1)</f>
        <v/>
      </c>
      <c r="AGR41">
        <f>IF('calcA'!AP$106=1,EO41+ABD41,1)</f>
        <v/>
      </c>
      <c r="AGS41">
        <f>IF('calcA'!AQ$106=1,EP41+ABE41,1)</f>
        <v/>
      </c>
      <c r="AGT41">
        <f>IF('calcA'!AR$106=1,EQ41+ABF41,1)</f>
        <v/>
      </c>
      <c r="AGU41">
        <f>IF('calcA'!AS$106=1,ER41+ABG41,1)</f>
        <v/>
      </c>
      <c r="AGV41">
        <f>IF('calcA'!AT$106=1,ES41+ABH41,1)</f>
        <v/>
      </c>
      <c r="AGW41">
        <f>IF('calcA'!AU$106=1,ET41+ABI41,1)</f>
        <v/>
      </c>
      <c r="AGX41">
        <f>IF('calcA'!AV$106=1,EU41+ABJ41,1)</f>
        <v/>
      </c>
      <c r="AGY41">
        <f>IF('calcA'!AW$106=1,EV41+ABK41,1)</f>
        <v/>
      </c>
      <c r="AGZ41">
        <f>IF('calcA'!AX$106=1,EW41+ABL41,1)</f>
        <v/>
      </c>
      <c r="AHA41">
        <f>IF('calcA'!AY$106=1,EX41+ABM41,1)</f>
        <v/>
      </c>
      <c r="AHB41">
        <f>IF('calcA'!AZ$106=1,EY41+ABN41,1)</f>
        <v/>
      </c>
      <c r="AHC41">
        <f>IF('calcA'!BA$106=1,EZ41+ABO41,1)</f>
        <v/>
      </c>
      <c r="AHD41">
        <f>IF('calcA'!BB$106=1,FA41+ABP41,1)</f>
        <v/>
      </c>
      <c r="AHE41">
        <f>IF('calcA'!BC$106=1,FB41+ABQ41,1)</f>
        <v/>
      </c>
      <c r="AHF41">
        <f>IF('calcA'!BD$106=1,FC41+ABR41,1)</f>
        <v/>
      </c>
      <c r="AHG41">
        <f>IF('calcA'!BE$106=1,FD41+ABS41,1)</f>
        <v/>
      </c>
      <c r="AHH41">
        <f>IF('calcA'!BF$106=1,FE41+ABT41,1)</f>
        <v/>
      </c>
      <c r="AHI41">
        <f>IF('calcA'!BG$106=1,FF41+ABU41,1)</f>
        <v/>
      </c>
      <c r="AHJ41">
        <f>IF('calcA'!BH$106=1,FG41+ABV41,1)</f>
        <v/>
      </c>
      <c r="AHK41">
        <f>IF('calcA'!BI$106=1,FH41+ABW41,1)</f>
        <v/>
      </c>
      <c r="AHL41">
        <f>IF('calcA'!BJ$106=1,FI41+ABX41,1)</f>
        <v/>
      </c>
      <c r="AHM41">
        <f>IF('calcA'!BK$106=1,FJ41+ABY41,1)</f>
        <v/>
      </c>
      <c r="AHN41">
        <f>IF('calcA'!BL$106=1,FK41+ABZ41,1)</f>
        <v/>
      </c>
      <c r="AHO41">
        <f>IF('calcA'!BM$106=1,FL41+ACA41,1)</f>
        <v/>
      </c>
      <c r="AHP41">
        <f>IF('calcA'!BN$106=1,FM41+ACB41,1)</f>
        <v/>
      </c>
      <c r="AHQ41">
        <f>IF('calcA'!BO$106=1,FN41+ACC41,1)</f>
        <v/>
      </c>
      <c r="AHR41">
        <f>IF('calcA'!BP$106=1,FO41+ACD41,1)</f>
        <v/>
      </c>
      <c r="AHS41">
        <f>IF('calcA'!BQ$106=1,FP41+ACE41,1)</f>
        <v/>
      </c>
      <c r="AHT41">
        <f>IF('calcA'!BR$106=1,FQ41+ACF41,1)</f>
        <v/>
      </c>
      <c r="AHU41">
        <f>IF('calcA'!BS$106=1,FR41+ACG41,1)</f>
        <v/>
      </c>
      <c r="AHV41">
        <f>IF('calcA'!BT$106=1,FS41+ACH41,1)</f>
        <v/>
      </c>
      <c r="AHW41">
        <f>IF('calcA'!BU$106=1,FT41+ACI41,1)</f>
        <v/>
      </c>
      <c r="AHX41">
        <f>IF('calcA'!BV$106=1,FU41+ACJ41,1)</f>
        <v/>
      </c>
      <c r="AHY41">
        <f>IF('calcA'!BW$106=1,FV41+ACK41,1)</f>
        <v/>
      </c>
      <c r="AHZ41">
        <f>IF('calcA'!BX$106=1,FW41+ACL41,1)</f>
        <v/>
      </c>
      <c r="AIA41">
        <f>IF('calcA'!BY$106=1,FX41+ACM41,1)</f>
        <v/>
      </c>
      <c r="AIB41">
        <f>IF('calcA'!BZ$106=1,FY41+ACN41,1)</f>
        <v/>
      </c>
      <c r="AIC41">
        <f>IF('calcA'!CA$106=1,FZ41+ACO41,1)</f>
        <v/>
      </c>
      <c r="AID41">
        <f>IF('calcA'!CB$106=1,GA41+ACP41,1)</f>
        <v/>
      </c>
      <c r="AIE41">
        <f>IF('calcA'!CC$106=1,GB41+ACQ41,1)</f>
        <v/>
      </c>
      <c r="AIF41">
        <f>IF('calcA'!CD$106=1,GC41+ACR41,1)</f>
        <v/>
      </c>
      <c r="AIG41">
        <f>IF('calcA'!CE$106=1,GD41+ACS41,1)</f>
        <v/>
      </c>
      <c r="AIH41">
        <f>IF('calcA'!CF$106=1,GE41+ACT41,1)</f>
        <v/>
      </c>
      <c r="AII41">
        <f>IF('calcA'!CG$106=1,GF41+ACU41,1)</f>
        <v/>
      </c>
      <c r="AIJ41">
        <f>IF('calcA'!CH$106=1,GG41+ACV41,1)</f>
        <v/>
      </c>
      <c r="AIK41">
        <f>IF('calcA'!CI$106=1,GH41+ACW41,1)</f>
        <v/>
      </c>
      <c r="AIL41">
        <f>IF('calcA'!CJ$106=1,GI41+ACX41,1)</f>
        <v/>
      </c>
      <c r="AIM41">
        <f>IF('calcA'!CK$106=1,GJ41+ACY41,1)</f>
        <v/>
      </c>
      <c r="AIN41">
        <f>IF('calcA'!CL$106=1,GK41+ACZ41,1)</f>
        <v/>
      </c>
      <c r="AIO41">
        <f>IF('calcA'!CM$106=1,GL41+ADA41,1)</f>
        <v/>
      </c>
      <c r="AIP41">
        <f>IF('calcA'!CN$106=1,GM41+ADB41,1)</f>
        <v/>
      </c>
      <c r="AIQ41">
        <f>IF('calcA'!CO$106=1,GN41+ADC41,1)</f>
        <v/>
      </c>
      <c r="AIR41">
        <f>IF('calcA'!CP$106=1,GO41+ADD41,1)</f>
        <v/>
      </c>
      <c r="AIS41">
        <f>IF('calcA'!CQ$106=1,GP41+ADE41,1)</f>
        <v/>
      </c>
      <c r="AIT41">
        <f>IF('calcA'!CR$106=1,GQ41+ADF41,1)</f>
        <v/>
      </c>
      <c r="AIU41">
        <f>IF('calcA'!CS$106=1,GR41+ADG41,1)</f>
        <v/>
      </c>
      <c r="AIV41">
        <f>IF('calcA'!CT$106=1,GS41+ADH41,1)</f>
        <v/>
      </c>
      <c r="AIW41">
        <f>IF('calcA'!CU$106=1,GT41+ADI41,1)</f>
        <v/>
      </c>
      <c r="AIX41">
        <f>IF('calcA'!CV$106=1,GU41+ADJ41,1)</f>
        <v/>
      </c>
      <c r="AIY41">
        <f>IF('calcA'!CW$106=1,GV41+ADK41,1)</f>
        <v/>
      </c>
      <c r="AIZ41">
        <f>IF('calcA'!CX$106=1,GW41+ADL41,1)</f>
        <v/>
      </c>
      <c r="AJA41">
        <f>IF('calcA'!CY$106=1,GX41+ADM41,1)</f>
        <v/>
      </c>
      <c r="AJB41">
        <f>IF('calcA'!CZ$106=1,GY41+ADN41,1)</f>
        <v/>
      </c>
      <c r="AJC41">
        <f>IF('calcA'!DA$106=1,GZ41+ADO41,1)</f>
        <v/>
      </c>
      <c r="AJD41">
        <f>IF('calcA'!DB$106=1,HA41+ADP41,1)</f>
        <v/>
      </c>
      <c r="AJE41">
        <f>IF('calcA'!DC$106=1,HB41+ADQ41,1)</f>
        <v/>
      </c>
      <c r="AJF41">
        <f>IF('calcA'!DD$106=1,HC41+ADR41,1)</f>
        <v/>
      </c>
      <c r="AJG41">
        <f>IF('calcA'!DE$106=1,HD41+ADS41,1)</f>
        <v/>
      </c>
      <c r="AJH41">
        <f>IF('calcA'!DF$106=1,HE41+ADT41,1)</f>
        <v/>
      </c>
      <c r="AJI41">
        <f>IF('calcA'!DG$106=1,HF41+ADU41,1)</f>
        <v/>
      </c>
      <c r="AJJ41">
        <f>IF('calcA'!DH$106=1,HG41+ADV41,1)</f>
        <v/>
      </c>
      <c r="AJK41">
        <f>IF('calcA'!DI$106=1,HH41+ADW41,1)</f>
        <v/>
      </c>
      <c r="AJL41">
        <f>IF('calcA'!DJ$106=1,HI41+ADX41,1)</f>
        <v/>
      </c>
      <c r="AJM41">
        <f>IF('calcA'!DK$106=1,HJ41+ADY41,1)</f>
        <v/>
      </c>
      <c r="AJN41">
        <f>IF('calcA'!DL$106=1,HK41+ADZ41,1)</f>
        <v/>
      </c>
      <c r="AJO41">
        <f>IF('calcA'!DM$106=1,HL41+AEA41,1)</f>
        <v/>
      </c>
      <c r="AJP41">
        <f>IF('calcA'!DN$106=1,HM41+AEB41,1)</f>
        <v/>
      </c>
      <c r="AJQ41">
        <f>IF('calcA'!DO$106=1,HN41+AEC41,1)</f>
        <v/>
      </c>
      <c r="AJR41">
        <f>IF('calcA'!DP$106=1,HO41+AED41,1)</f>
        <v/>
      </c>
      <c r="AJS41">
        <f>IF('calcA'!DQ$106=1,HP41+AEE41,1)</f>
        <v/>
      </c>
      <c r="AJT41">
        <f>IF('calcA'!DR$106=1,HQ41+AEF41,1)</f>
        <v/>
      </c>
      <c r="AJU41">
        <f>IF('calcA'!DS$106=1,HR41+AEG41,1)</f>
        <v/>
      </c>
      <c r="AJV41">
        <f>IF('calcA'!DT$106=1,HS41+AEH41,1)</f>
        <v/>
      </c>
      <c r="AJW41">
        <f>IF('calcA'!DU$106=1,HT41+AEI41,1)</f>
        <v/>
      </c>
      <c r="AJX41">
        <f>IF('calcA'!DV$106=1,HU41+AEJ41,1)</f>
        <v/>
      </c>
      <c r="AJY41">
        <f>IF('calcA'!DW$106=1,HV41+AEK41,1)</f>
        <v/>
      </c>
      <c r="AJZ41">
        <f>IF('calcA'!DX$106=1,HW41+AEL41,1)</f>
        <v/>
      </c>
      <c r="AKA41">
        <f>IF('calcA'!DY$106=1,HX41+AEM41,1)</f>
        <v/>
      </c>
      <c r="AKB41">
        <f>IF('calcA'!DZ$106=1,HY41+AEN41,1)</f>
        <v/>
      </c>
      <c r="AKC41">
        <f>IF('calcA'!EA$106=1,HZ41+AEO41,1)</f>
        <v/>
      </c>
      <c r="AKD41">
        <f>IF('calcA'!EB$106=1,IA41+AEP41,1)</f>
        <v/>
      </c>
      <c r="AKE41">
        <f>IF('calcA'!EC$106=1,IB41+AEQ41,1)</f>
        <v/>
      </c>
      <c r="AKF41">
        <f>IF('calcA'!ED$106=1,IC41+AER41,1)</f>
        <v/>
      </c>
      <c r="AKG41">
        <f>IF('calcA'!EE$106=1,ID41+AES41,1)</f>
        <v/>
      </c>
      <c r="AKH41">
        <f>IF('calcA'!EF$106=1,IE41+AET41,1)</f>
        <v/>
      </c>
      <c r="AKI41">
        <f>IF('calcA'!EG$106=1,IF41+AEU41,1)</f>
        <v/>
      </c>
      <c r="AKJ41">
        <f>IF('calcA'!EH$106=1,IG41+AEV41,1)</f>
        <v/>
      </c>
      <c r="AKK41">
        <f>IF('calcA'!EI$106=1,IH41+AEW41,1)</f>
        <v/>
      </c>
      <c r="AKL41">
        <f>IF('calcA'!EJ$106=1,II41+AEX41,1)</f>
        <v/>
      </c>
      <c r="AKM41">
        <f>IF('calcA'!EK$106=1,IJ41+AEY41,1)</f>
        <v/>
      </c>
      <c r="AKN41">
        <f>IF('calcA'!EL$106=1,IK41+AEZ41,1)</f>
        <v/>
      </c>
      <c r="AKO41">
        <f>IF('calcA'!EM$106=1,IL41+AFA41,1)</f>
        <v/>
      </c>
      <c r="AKP41">
        <f>IF('calcA'!EN$106=1,IM41+AFB41,1)</f>
        <v/>
      </c>
      <c r="AKQ41">
        <f>IF('calcA'!EO$106=1,IN41+AFC41,1)</f>
        <v/>
      </c>
      <c r="AKR41">
        <f>IF('calcA'!EP$106=1,IO41+AFD41,1)</f>
        <v/>
      </c>
      <c r="AKS41" t="n">
        <v>1</v>
      </c>
    </row>
    <row r="42">
      <c r="A42" t="n">
        <v>40</v>
      </c>
      <c r="B42">
        <f>IF(MIN(BM42:CZ42)&gt;=1000000000,0,MATCH(MIN(BM42:CZ42),BM42:CZ42,0))</f>
        <v/>
      </c>
      <c r="C42">
        <f>IF(MIN(OF42:TS42)&gt;=1000000000,0,MATCH(MIN(OF42:TS42),OF42:TS42,0))</f>
        <v/>
      </c>
      <c r="D42">
        <f>IF(C42&gt;0,INDEX('calcA'!$D$5:$EQ$5,C42),0)</f>
        <v/>
      </c>
      <c r="E42">
        <f>IF(B42=0,0,INDEX('calcA'!$IQ$10:$IQ$54,B42))</f>
        <v/>
      </c>
      <c r="F42">
        <f>IF(B42=0,0,INDEX('calcA'!$IP$10:$IP$54,B42))</f>
        <v/>
      </c>
      <c r="G42">
        <f>IF(AND(C42&gt;0,E42&gt;0),IF(AND(INDEX('calcA'!$D$106:$EQ$106,C42)=1,INDEX($IQ42:$OD42,C42)=1),C42+1,0),0)</f>
        <v/>
      </c>
      <c r="H42">
        <f>IF(B42=0,0,INDEX('calcA'!$IW$10:$IW$54,B42))</f>
        <v/>
      </c>
      <c r="U42">
        <f>IF(B42=0,0,INDEX('calcA'!$IX$10:$IX$54,B42))</f>
        <v/>
      </c>
      <c r="V42">
        <f>IF(B42=0,0,INDEX('calcA'!$JF$10:$JF$54,B42))</f>
        <v/>
      </c>
      <c r="W42">
        <f>IF(B42=0,0,IF(IF(E42=2,SUMPRODUCT(INDEX('calcA'!$D$60:$EQ$99,B42,0),$DB42:$IO42,$IQ42:$OD42),SUMPRODUCT(INDEX('calcA'!$D$60:$EQ$99,B42,0),$DB42:$IO42))=0,1,0))</f>
        <v/>
      </c>
      <c r="X42">
        <f>MAX(X41,IF($B41=1,1,0))</f>
        <v/>
      </c>
      <c r="Y42">
        <f>MAX(Y41,IF($B41=2,1,0))</f>
        <v/>
      </c>
      <c r="Z42">
        <f>MAX(Z41,IF($B41=3,1,0))</f>
        <v/>
      </c>
      <c r="AA42">
        <f>MAX(AA41,IF($B41=4,1,0))</f>
        <v/>
      </c>
      <c r="AB42">
        <f>MAX(AB41,IF($B41=5,1,0))</f>
        <v/>
      </c>
      <c r="AC42">
        <f>MAX(AC41,IF($B41=6,1,0))</f>
        <v/>
      </c>
      <c r="AD42">
        <f>MAX(AD41,IF($B41=7,1,0))</f>
        <v/>
      </c>
      <c r="AE42">
        <f>MAX(AE41,IF($B41=8,1,0))</f>
        <v/>
      </c>
      <c r="AF42">
        <f>MAX(AF41,IF($B41=9,1,0))</f>
        <v/>
      </c>
      <c r="AG42">
        <f>MAX(AG41,IF($B41=10,1,0))</f>
        <v/>
      </c>
      <c r="AH42">
        <f>MAX(AH41,IF($B41=11,1,0))</f>
        <v/>
      </c>
      <c r="AI42">
        <f>MAX(AI41,IF($B41=12,1,0))</f>
        <v/>
      </c>
      <c r="AJ42">
        <f>MAX(AJ41,IF($B41=13,1,0))</f>
        <v/>
      </c>
      <c r="AK42">
        <f>MAX(AK41,IF($B41=14,1,0))</f>
        <v/>
      </c>
      <c r="AL42">
        <f>MAX(AL41,IF($B41=15,1,0))</f>
        <v/>
      </c>
      <c r="AM42">
        <f>MAX(AM41,IF($B41=16,1,0))</f>
        <v/>
      </c>
      <c r="AN42">
        <f>MAX(AN41,IF($B41=17,1,0))</f>
        <v/>
      </c>
      <c r="AO42">
        <f>MAX(AO41,IF($B41=18,1,0))</f>
        <v/>
      </c>
      <c r="AP42">
        <f>MAX(AP41,IF($B41=19,1,0))</f>
        <v/>
      </c>
      <c r="AQ42">
        <f>MAX(AQ41,IF($B41=20,1,0))</f>
        <v/>
      </c>
      <c r="AR42">
        <f>MAX(AR41,IF($B41=21,1,0))</f>
        <v/>
      </c>
      <c r="AS42">
        <f>MAX(AS41,IF($B41=22,1,0))</f>
        <v/>
      </c>
      <c r="AT42">
        <f>MAX(AT41,IF($B41=23,1,0))</f>
        <v/>
      </c>
      <c r="AU42">
        <f>MAX(AU41,IF($B41=24,1,0))</f>
        <v/>
      </c>
      <c r="AV42">
        <f>MAX(AV41,IF($B41=25,1,0))</f>
        <v/>
      </c>
      <c r="AW42">
        <f>MAX(AW41,IF($B41=26,1,0))</f>
        <v/>
      </c>
      <c r="AX42">
        <f>MAX(AX41,IF($B41=27,1,0))</f>
        <v/>
      </c>
      <c r="AY42">
        <f>MAX(AY41,IF($B41=28,1,0))</f>
        <v/>
      </c>
      <c r="AZ42">
        <f>MAX(AZ41,IF($B41=29,1,0))</f>
        <v/>
      </c>
      <c r="BA42">
        <f>MAX(BA41,IF($B41=30,1,0))</f>
        <v/>
      </c>
      <c r="BB42">
        <f>MAX(BB41,IF($B41=31,1,0))</f>
        <v/>
      </c>
      <c r="BC42">
        <f>MAX(BC41,IF($B41=32,1,0))</f>
        <v/>
      </c>
      <c r="BD42">
        <f>MAX(BD41,IF($B41=33,1,0))</f>
        <v/>
      </c>
      <c r="BE42">
        <f>MAX(BE41,IF($B41=34,1,0))</f>
        <v/>
      </c>
      <c r="BF42">
        <f>MAX(BF41,IF($B41=35,1,0))</f>
        <v/>
      </c>
      <c r="BG42">
        <f>MAX(BG41,IF($B41=36,1,0))</f>
        <v/>
      </c>
      <c r="BH42">
        <f>MAX(BH41,IF($B41=37,1,0))</f>
        <v/>
      </c>
      <c r="BI42">
        <f>MAX(BI41,IF($B41=38,1,0))</f>
        <v/>
      </c>
      <c r="BJ42">
        <f>MAX(BJ41,IF($B41=39,1,0))</f>
        <v/>
      </c>
      <c r="BK42">
        <f>MAX(BK41,IF($B41=40,1,0))</f>
        <v/>
      </c>
      <c r="BM42">
        <f>IF(OR(X42=1,calcA!$A$6=0),1000000000,IF('calcA'!$JF$10=1,0,100000000)+IF('calcA'!$IQ$10=2,SUMPRODUCT('calcA'!$D$60:$EQ$60,$DB42:$IO42,$IQ42:$OD42)*1000+SUMPRODUCT('calcA'!$D$60:$EQ$60,$DB42:$IO42+$ZQ42:$AFD42,$AFF42:$AKS42),SUMPRODUCT('calcA'!$D$60:$EQ$60,$DB42:$IO42*1001+$ZQ42:$AFD42))*100+1)</f>
        <v/>
      </c>
      <c r="BN42">
        <f>IF(OR(Y42=1,calcA!$A$6=0),1000000000,IF('calcA'!$JF$11=1,0,100000000)+IF('calcA'!$IQ$11=2,SUMPRODUCT('calcA'!$D$61:$EQ$61,$DB42:$IO42,$IQ42:$OD42)*1000+SUMPRODUCT('calcA'!$D$61:$EQ$61,$DB42:$IO42+$ZQ42:$AFD42,$AFF42:$AKS42),SUMPRODUCT('calcA'!$D$61:$EQ$61,$DB42:$IO42*1001+$ZQ42:$AFD42))*100+2)</f>
        <v/>
      </c>
      <c r="BO42">
        <f>IF(OR(Z42=1,calcA!$A$6=0),1000000000,IF('calcA'!$JF$12=1,0,100000000)+IF('calcA'!$IQ$12=2,SUMPRODUCT('calcA'!$D$62:$EQ$62,$DB42:$IO42,$IQ42:$OD42)*1000+SUMPRODUCT('calcA'!$D$62:$EQ$62,$DB42:$IO42+$ZQ42:$AFD42,$AFF42:$AKS42),SUMPRODUCT('calcA'!$D$62:$EQ$62,$DB42:$IO42*1001+$ZQ42:$AFD42))*100+3)</f>
        <v/>
      </c>
      <c r="BP42">
        <f>IF(OR(AA42=1,calcA!$A$6=0),1000000000,IF('calcA'!$JF$13=1,0,100000000)+IF('calcA'!$IQ$13=2,SUMPRODUCT('calcA'!$D$63:$EQ$63,$DB42:$IO42,$IQ42:$OD42)*1000+SUMPRODUCT('calcA'!$D$63:$EQ$63,$DB42:$IO42+$ZQ42:$AFD42,$AFF42:$AKS42),SUMPRODUCT('calcA'!$D$63:$EQ$63,$DB42:$IO42*1001+$ZQ42:$AFD42))*100+4)</f>
        <v/>
      </c>
      <c r="BQ42">
        <f>IF(OR(AB42=1,calcA!$A$6=0),1000000000,IF('calcA'!$JF$14=1,0,100000000)+IF('calcA'!$IQ$14=2,SUMPRODUCT('calcA'!$D$64:$EQ$64,$DB42:$IO42,$IQ42:$OD42)*1000+SUMPRODUCT('calcA'!$D$64:$EQ$64,$DB42:$IO42+$ZQ42:$AFD42,$AFF42:$AKS42),SUMPRODUCT('calcA'!$D$64:$EQ$64,$DB42:$IO42*1001+$ZQ42:$AFD42))*100+5)</f>
        <v/>
      </c>
      <c r="BR42">
        <f>IF(OR(AC42=1,calcA!$A$6=0),1000000000,IF('calcA'!$JF$15=1,0,100000000)+IF('calcA'!$IQ$15=2,SUMPRODUCT('calcA'!$D$65:$EQ$65,$DB42:$IO42,$IQ42:$OD42)*1000+SUMPRODUCT('calcA'!$D$65:$EQ$65,$DB42:$IO42+$ZQ42:$AFD42,$AFF42:$AKS42),SUMPRODUCT('calcA'!$D$65:$EQ$65,$DB42:$IO42*1001+$ZQ42:$AFD42))*100+6)</f>
        <v/>
      </c>
      <c r="BS42">
        <f>IF(OR(AD42=1,calcA!$A$6=0),1000000000,IF('calcA'!$JF$16=1,0,100000000)+IF('calcA'!$IQ$16=2,SUMPRODUCT('calcA'!$D$66:$EQ$66,$DB42:$IO42,$IQ42:$OD42)*1000+SUMPRODUCT('calcA'!$D$66:$EQ$66,$DB42:$IO42+$ZQ42:$AFD42,$AFF42:$AKS42),SUMPRODUCT('calcA'!$D$66:$EQ$66,$DB42:$IO42*1001+$ZQ42:$AFD42))*100+7)</f>
        <v/>
      </c>
      <c r="BT42">
        <f>IF(OR(AE42=1,calcA!$A$6=0),1000000000,IF('calcA'!$JF$17=1,0,100000000)+IF('calcA'!$IQ$17=2,SUMPRODUCT('calcA'!$D$67:$EQ$67,$DB42:$IO42,$IQ42:$OD42)*1000+SUMPRODUCT('calcA'!$D$67:$EQ$67,$DB42:$IO42+$ZQ42:$AFD42,$AFF42:$AKS42),SUMPRODUCT('calcA'!$D$67:$EQ$67,$DB42:$IO42*1001+$ZQ42:$AFD42))*100+8)</f>
        <v/>
      </c>
      <c r="BU42">
        <f>IF(OR(AF42=1,calcA!$A$6=0),1000000000,IF('calcA'!$JF$18=1,0,100000000)+IF('calcA'!$IQ$18=2,SUMPRODUCT('calcA'!$D$68:$EQ$68,$DB42:$IO42,$IQ42:$OD42)*1000+SUMPRODUCT('calcA'!$D$68:$EQ$68,$DB42:$IO42+$ZQ42:$AFD42,$AFF42:$AKS42),SUMPRODUCT('calcA'!$D$68:$EQ$68,$DB42:$IO42*1001+$ZQ42:$AFD42))*100+9)</f>
        <v/>
      </c>
      <c r="BV42">
        <f>IF(OR(AG42=1,calcA!$A$6=0),1000000000,IF('calcA'!$JF$19=1,0,100000000)+IF('calcA'!$IQ$19=2,SUMPRODUCT('calcA'!$D$69:$EQ$69,$DB42:$IO42,$IQ42:$OD42)*1000+SUMPRODUCT('calcA'!$D$69:$EQ$69,$DB42:$IO42+$ZQ42:$AFD42,$AFF42:$AKS42),SUMPRODUCT('calcA'!$D$69:$EQ$69,$DB42:$IO42*1001+$ZQ42:$AFD42))*100+10)</f>
        <v/>
      </c>
      <c r="BW42">
        <f>IF(OR(AH42=1,calcA!$A$6=0),1000000000,IF('calcA'!$JF$20=1,0,100000000)+IF('calcA'!$IQ$20=2,SUMPRODUCT('calcA'!$D$70:$EQ$70,$DB42:$IO42,$IQ42:$OD42)*1000+SUMPRODUCT('calcA'!$D$70:$EQ$70,$DB42:$IO42+$ZQ42:$AFD42,$AFF42:$AKS42),SUMPRODUCT('calcA'!$D$70:$EQ$70,$DB42:$IO42*1001+$ZQ42:$AFD42))*100+11)</f>
        <v/>
      </c>
      <c r="BX42">
        <f>IF(OR(AI42=1,calcA!$A$6=0),1000000000,IF('calcA'!$JF$21=1,0,100000000)+IF('calcA'!$IQ$21=2,SUMPRODUCT('calcA'!$D$71:$EQ$71,$DB42:$IO42,$IQ42:$OD42)*1000+SUMPRODUCT('calcA'!$D$71:$EQ$71,$DB42:$IO42+$ZQ42:$AFD42,$AFF42:$AKS42),SUMPRODUCT('calcA'!$D$71:$EQ$71,$DB42:$IO42*1001+$ZQ42:$AFD42))*100+12)</f>
        <v/>
      </c>
      <c r="BY42">
        <f>IF(OR(AJ42=1,calcA!$A$6=0),1000000000,IF('calcA'!$JF$22=1,0,100000000)+IF('calcA'!$IQ$22=2,SUMPRODUCT('calcA'!$D$72:$EQ$72,$DB42:$IO42,$IQ42:$OD42)*1000+SUMPRODUCT('calcA'!$D$72:$EQ$72,$DB42:$IO42+$ZQ42:$AFD42,$AFF42:$AKS42),SUMPRODUCT('calcA'!$D$72:$EQ$72,$DB42:$IO42*1001+$ZQ42:$AFD42))*100+13)</f>
        <v/>
      </c>
      <c r="BZ42">
        <f>IF(OR(AK42=1,calcA!$A$6=0),1000000000,IF('calcA'!$JF$23=1,0,100000000)+IF('calcA'!$IQ$23=2,SUMPRODUCT('calcA'!$D$73:$EQ$73,$DB42:$IO42,$IQ42:$OD42)*1000+SUMPRODUCT('calcA'!$D$73:$EQ$73,$DB42:$IO42+$ZQ42:$AFD42,$AFF42:$AKS42),SUMPRODUCT('calcA'!$D$73:$EQ$73,$DB42:$IO42*1001+$ZQ42:$AFD42))*100+14)</f>
        <v/>
      </c>
      <c r="CA42">
        <f>IF(OR(AL42=1,calcA!$A$6=0),1000000000,IF('calcA'!$JF$24=1,0,100000000)+IF('calcA'!$IQ$24=2,SUMPRODUCT('calcA'!$D$74:$EQ$74,$DB42:$IO42,$IQ42:$OD42)*1000+SUMPRODUCT('calcA'!$D$74:$EQ$74,$DB42:$IO42+$ZQ42:$AFD42,$AFF42:$AKS42),SUMPRODUCT('calcA'!$D$74:$EQ$74,$DB42:$IO42*1001+$ZQ42:$AFD42))*100+15)</f>
        <v/>
      </c>
      <c r="CB42">
        <f>IF(OR(AM42=1,calcA!$A$6=0),1000000000,IF('calcA'!$JF$25=1,0,100000000)+IF('calcA'!$IQ$25=2,SUMPRODUCT('calcA'!$D$75:$EQ$75,$DB42:$IO42,$IQ42:$OD42)*1000+SUMPRODUCT('calcA'!$D$75:$EQ$75,$DB42:$IO42+$ZQ42:$AFD42,$AFF42:$AKS42),SUMPRODUCT('calcA'!$D$75:$EQ$75,$DB42:$IO42*1001+$ZQ42:$AFD42))*100+16)</f>
        <v/>
      </c>
      <c r="CC42">
        <f>IF(OR(AN42=1,calcA!$A$6=0),1000000000,IF('calcA'!$JF$26=1,0,100000000)+IF('calcA'!$IQ$26=2,SUMPRODUCT('calcA'!$D$76:$EQ$76,$DB42:$IO42,$IQ42:$OD42)*1000+SUMPRODUCT('calcA'!$D$76:$EQ$76,$DB42:$IO42+$ZQ42:$AFD42,$AFF42:$AKS42),SUMPRODUCT('calcA'!$D$76:$EQ$76,$DB42:$IO42*1001+$ZQ42:$AFD42))*100+17)</f>
        <v/>
      </c>
      <c r="CD42">
        <f>IF(OR(AO42=1,calcA!$A$6=0),1000000000,IF('calcA'!$JF$27=1,0,100000000)+IF('calcA'!$IQ$27=2,SUMPRODUCT('calcA'!$D$77:$EQ$77,$DB42:$IO42,$IQ42:$OD42)*1000+SUMPRODUCT('calcA'!$D$77:$EQ$77,$DB42:$IO42+$ZQ42:$AFD42,$AFF42:$AKS42),SUMPRODUCT('calcA'!$D$77:$EQ$77,$DB42:$IO42*1001+$ZQ42:$AFD42))*100+18)</f>
        <v/>
      </c>
      <c r="CE42">
        <f>IF(OR(AP42=1,calcA!$A$6=0),1000000000,IF('calcA'!$JF$28=1,0,100000000)+IF('calcA'!$IQ$28=2,SUMPRODUCT('calcA'!$D$78:$EQ$78,$DB42:$IO42,$IQ42:$OD42)*1000+SUMPRODUCT('calcA'!$D$78:$EQ$78,$DB42:$IO42+$ZQ42:$AFD42,$AFF42:$AKS42),SUMPRODUCT('calcA'!$D$78:$EQ$78,$DB42:$IO42*1001+$ZQ42:$AFD42))*100+19)</f>
        <v/>
      </c>
      <c r="CF42">
        <f>IF(OR(AQ42=1,calcA!$A$6=0),1000000000,IF('calcA'!$JF$29=1,0,100000000)+IF('calcA'!$IQ$29=2,SUMPRODUCT('calcA'!$D$79:$EQ$79,$DB42:$IO42,$IQ42:$OD42)*1000+SUMPRODUCT('calcA'!$D$79:$EQ$79,$DB42:$IO42+$ZQ42:$AFD42,$AFF42:$AKS42),SUMPRODUCT('calcA'!$D$79:$EQ$79,$DB42:$IO42*1001+$ZQ42:$AFD42))*100+20)</f>
        <v/>
      </c>
      <c r="CG42">
        <f>IF(OR(AR42=1,calcA!$A$6=0),1000000000,IF('calcA'!$JF$30=1,0,100000000)+IF('calcA'!$IQ$30=2,SUMPRODUCT('calcA'!$D$80:$EQ$80,$DB42:$IO42,$IQ42:$OD42)*1000+SUMPRODUCT('calcA'!$D$80:$EQ$80,$DB42:$IO42+$ZQ42:$AFD42,$AFF42:$AKS42),SUMPRODUCT('calcA'!$D$80:$EQ$80,$DB42:$IO42*1001+$ZQ42:$AFD42))*100+21)</f>
        <v/>
      </c>
      <c r="CH42">
        <f>IF(OR(AS42=1,calcA!$A$6=0),1000000000,IF('calcA'!$JF$31=1,0,100000000)+IF('calcA'!$IQ$31=2,SUMPRODUCT('calcA'!$D$81:$EQ$81,$DB42:$IO42,$IQ42:$OD42)*1000+SUMPRODUCT('calcA'!$D$81:$EQ$81,$DB42:$IO42+$ZQ42:$AFD42,$AFF42:$AKS42),SUMPRODUCT('calcA'!$D$81:$EQ$81,$DB42:$IO42*1001+$ZQ42:$AFD42))*100+22)</f>
        <v/>
      </c>
      <c r="CI42">
        <f>IF(OR(AT42=1,calcA!$A$6=0),1000000000,IF('calcA'!$JF$32=1,0,100000000)+IF('calcA'!$IQ$32=2,SUMPRODUCT('calcA'!$D$82:$EQ$82,$DB42:$IO42,$IQ42:$OD42)*1000+SUMPRODUCT('calcA'!$D$82:$EQ$82,$DB42:$IO42+$ZQ42:$AFD42,$AFF42:$AKS42),SUMPRODUCT('calcA'!$D$82:$EQ$82,$DB42:$IO42*1001+$ZQ42:$AFD42))*100+23)</f>
        <v/>
      </c>
      <c r="CJ42">
        <f>IF(OR(AU42=1,calcA!$A$6=0),1000000000,IF('calcA'!$JF$33=1,0,100000000)+IF('calcA'!$IQ$33=2,SUMPRODUCT('calcA'!$D$83:$EQ$83,$DB42:$IO42,$IQ42:$OD42)*1000+SUMPRODUCT('calcA'!$D$83:$EQ$83,$DB42:$IO42+$ZQ42:$AFD42,$AFF42:$AKS42),SUMPRODUCT('calcA'!$D$83:$EQ$83,$DB42:$IO42*1001+$ZQ42:$AFD42))*100+24)</f>
        <v/>
      </c>
      <c r="CK42">
        <f>IF(OR(AV42=1,calcA!$A$6=0),1000000000,IF('calcA'!$JF$34=1,0,100000000)+IF('calcA'!$IQ$34=2,SUMPRODUCT('calcA'!$D$84:$EQ$84,$DB42:$IO42,$IQ42:$OD42)*1000+SUMPRODUCT('calcA'!$D$84:$EQ$84,$DB42:$IO42+$ZQ42:$AFD42,$AFF42:$AKS42),SUMPRODUCT('calcA'!$D$84:$EQ$84,$DB42:$IO42*1001+$ZQ42:$AFD42))*100+25)</f>
        <v/>
      </c>
      <c r="CL42">
        <f>IF(OR(AW42=1,calcA!$A$6=0),1000000000,IF('calcA'!$JF$35=1,0,100000000)+IF('calcA'!$IQ$35=2,SUMPRODUCT('calcA'!$D$85:$EQ$85,$DB42:$IO42,$IQ42:$OD42)*1000+SUMPRODUCT('calcA'!$D$85:$EQ$85,$DB42:$IO42+$ZQ42:$AFD42,$AFF42:$AKS42),SUMPRODUCT('calcA'!$D$85:$EQ$85,$DB42:$IO42*1001+$ZQ42:$AFD42))*100+26)</f>
        <v/>
      </c>
      <c r="CM42">
        <f>IF(OR(AX42=1,calcA!$A$6=0),1000000000,IF('calcA'!$JF$36=1,0,100000000)+IF('calcA'!$IQ$36=2,SUMPRODUCT('calcA'!$D$86:$EQ$86,$DB42:$IO42,$IQ42:$OD42)*1000+SUMPRODUCT('calcA'!$D$86:$EQ$86,$DB42:$IO42+$ZQ42:$AFD42,$AFF42:$AKS42),SUMPRODUCT('calcA'!$D$86:$EQ$86,$DB42:$IO42*1001+$ZQ42:$AFD42))*100+27)</f>
        <v/>
      </c>
      <c r="CN42">
        <f>IF(OR(AY42=1,calcA!$A$6=0),1000000000,IF('calcA'!$JF$37=1,0,100000000)+IF('calcA'!$IQ$37=2,SUMPRODUCT('calcA'!$D$87:$EQ$87,$DB42:$IO42,$IQ42:$OD42)*1000+SUMPRODUCT('calcA'!$D$87:$EQ$87,$DB42:$IO42+$ZQ42:$AFD42,$AFF42:$AKS42),SUMPRODUCT('calcA'!$D$87:$EQ$87,$DB42:$IO42*1001+$ZQ42:$AFD42))*100+28)</f>
        <v/>
      </c>
      <c r="CO42">
        <f>IF(OR(AZ42=1,calcA!$A$6=0),1000000000,IF('calcA'!$JF$38=1,0,100000000)+IF('calcA'!$IQ$38=2,SUMPRODUCT('calcA'!$D$88:$EQ$88,$DB42:$IO42,$IQ42:$OD42)*1000+SUMPRODUCT('calcA'!$D$88:$EQ$88,$DB42:$IO42+$ZQ42:$AFD42,$AFF42:$AKS42),SUMPRODUCT('calcA'!$D$88:$EQ$88,$DB42:$IO42*1001+$ZQ42:$AFD42))*100+29)</f>
        <v/>
      </c>
      <c r="CP42">
        <f>IF(OR(BA42=1,calcA!$A$6=0),1000000000,IF('calcA'!$JF$39=1,0,100000000)+IF('calcA'!$IQ$39=2,SUMPRODUCT('calcA'!$D$89:$EQ$89,$DB42:$IO42,$IQ42:$OD42)*1000+SUMPRODUCT('calcA'!$D$89:$EQ$89,$DB42:$IO42+$ZQ42:$AFD42,$AFF42:$AKS42),SUMPRODUCT('calcA'!$D$89:$EQ$89,$DB42:$IO42*1001+$ZQ42:$AFD42))*100+30)</f>
        <v/>
      </c>
      <c r="CQ42">
        <f>IF(OR(BB42=1,calcA!$A$6=0),1000000000,IF('calcA'!$JF$40=1,0,100000000)+IF('calcA'!$IQ$40=2,SUMPRODUCT('calcA'!$D$90:$EQ$90,$DB42:$IO42,$IQ42:$OD42)*1000+SUMPRODUCT('calcA'!$D$90:$EQ$90,$DB42:$IO42+$ZQ42:$AFD42,$AFF42:$AKS42),SUMPRODUCT('calcA'!$D$90:$EQ$90,$DB42:$IO42*1001+$ZQ42:$AFD42))*100+31)</f>
        <v/>
      </c>
      <c r="CR42">
        <f>IF(OR(BC42=1,calcA!$A$6=0),1000000000,IF('calcA'!$JF$41=1,0,100000000)+IF('calcA'!$IQ$41=2,SUMPRODUCT('calcA'!$D$91:$EQ$91,$DB42:$IO42,$IQ42:$OD42)*1000+SUMPRODUCT('calcA'!$D$91:$EQ$91,$DB42:$IO42+$ZQ42:$AFD42,$AFF42:$AKS42),SUMPRODUCT('calcA'!$D$91:$EQ$91,$DB42:$IO42*1001+$ZQ42:$AFD42))*100+32)</f>
        <v/>
      </c>
      <c r="CS42">
        <f>IF(OR(BD42=1,calcA!$A$6=0),1000000000,IF('calcA'!$JF$42=1,0,100000000)+IF('calcA'!$IQ$42=2,SUMPRODUCT('calcA'!$D$92:$EQ$92,$DB42:$IO42,$IQ42:$OD42)*1000+SUMPRODUCT('calcA'!$D$92:$EQ$92,$DB42:$IO42+$ZQ42:$AFD42,$AFF42:$AKS42),SUMPRODUCT('calcA'!$D$92:$EQ$92,$DB42:$IO42*1001+$ZQ42:$AFD42))*100+33)</f>
        <v/>
      </c>
      <c r="CT42">
        <f>IF(OR(BE42=1,calcA!$A$6=0),1000000000,IF('calcA'!$JF$43=1,0,100000000)+IF('calcA'!$IQ$43=2,SUMPRODUCT('calcA'!$D$93:$EQ$93,$DB42:$IO42,$IQ42:$OD42)*1000+SUMPRODUCT('calcA'!$D$93:$EQ$93,$DB42:$IO42+$ZQ42:$AFD42,$AFF42:$AKS42),SUMPRODUCT('calcA'!$D$93:$EQ$93,$DB42:$IO42*1001+$ZQ42:$AFD42))*100+34)</f>
        <v/>
      </c>
      <c r="CU42">
        <f>IF(OR(BF42=1,calcA!$A$6=0),1000000000,IF('calcA'!$JF$44=1,0,100000000)+IF('calcA'!$IQ$44=2,SUMPRODUCT('calcA'!$D$94:$EQ$94,$DB42:$IO42,$IQ42:$OD42)*1000+SUMPRODUCT('calcA'!$D$94:$EQ$94,$DB42:$IO42+$ZQ42:$AFD42,$AFF42:$AKS42),SUMPRODUCT('calcA'!$D$94:$EQ$94,$DB42:$IO42*1001+$ZQ42:$AFD42))*100+35)</f>
        <v/>
      </c>
      <c r="CV42">
        <f>IF(OR(BG42=1,calcA!$A$6=0),1000000000,IF('calcA'!$JF$45=1,0,100000000)+IF('calcA'!$IQ$45=2,SUMPRODUCT('calcA'!$D$95:$EQ$95,$DB42:$IO42,$IQ42:$OD42)*1000+SUMPRODUCT('calcA'!$D$95:$EQ$95,$DB42:$IO42+$ZQ42:$AFD42,$AFF42:$AKS42),SUMPRODUCT('calcA'!$D$95:$EQ$95,$DB42:$IO42*1001+$ZQ42:$AFD42))*100+36)</f>
        <v/>
      </c>
      <c r="CW42">
        <f>IF(OR(BH42=1,calcA!$A$6=0),1000000000,IF('calcA'!$JF$46=1,0,100000000)+IF('calcA'!$IQ$46=2,SUMPRODUCT('calcA'!$D$96:$EQ$96,$DB42:$IO42,$IQ42:$OD42)*1000+SUMPRODUCT('calcA'!$D$96:$EQ$96,$DB42:$IO42+$ZQ42:$AFD42,$AFF42:$AKS42),SUMPRODUCT('calcA'!$D$96:$EQ$96,$DB42:$IO42*1001+$ZQ42:$AFD42))*100+37)</f>
        <v/>
      </c>
      <c r="CX42">
        <f>IF(OR(BI42=1,calcA!$A$6=0),1000000000,IF('calcA'!$JF$47=1,0,100000000)+IF('calcA'!$IQ$47=2,SUMPRODUCT('calcA'!$D$97:$EQ$97,$DB42:$IO42,$IQ42:$OD42)*1000+SUMPRODUCT('calcA'!$D$97:$EQ$97,$DB42:$IO42+$ZQ42:$AFD42,$AFF42:$AKS42),SUMPRODUCT('calcA'!$D$97:$EQ$97,$DB42:$IO42*1001+$ZQ42:$AFD42))*100+38)</f>
        <v/>
      </c>
      <c r="CY42">
        <f>IF(OR(BJ42=1,calcA!$A$6=0),1000000000,IF('calcA'!$JF$48=1,0,100000000)+IF('calcA'!$IQ$48=2,SUMPRODUCT('calcA'!$D$98:$EQ$98,$DB42:$IO42,$IQ42:$OD42)*1000+SUMPRODUCT('calcA'!$D$98:$EQ$98,$DB42:$IO42+$ZQ42:$AFD42,$AFF42:$AKS42),SUMPRODUCT('calcA'!$D$98:$EQ$98,$DB42:$IO42*1001+$ZQ42:$AFD42))*100+39)</f>
        <v/>
      </c>
      <c r="CZ42">
        <f>IF(OR(BK42=1,calcA!$A$6=0),1000000000,IF('calcA'!$JF$49=1,0,100000000)+IF('calcA'!$IQ$49=2,SUMPRODUCT('calcA'!$D$99:$EQ$99,$DB42:$IO42,$IQ42:$OD42)*1000+SUMPRODUCT('calcA'!$D$99:$EQ$99,$DB42:$IO42+$ZQ42:$AFD42,$AFF42:$AKS42),SUMPRODUCT('calcA'!$D$99:$EQ$99,$DB42:$IO42*1001+$ZQ42:$AFD42))*100+40)</f>
        <v/>
      </c>
      <c r="DB42">
        <f>DB41*IF(OR($C41=1,$G41=1),0,1)</f>
        <v/>
      </c>
      <c r="DC42">
        <f>DC41*IF(OR($C41=2,$G41=2),0,1)</f>
        <v/>
      </c>
      <c r="DD42">
        <f>DD41*IF(OR($C41=3,$G41=3),0,1)</f>
        <v/>
      </c>
      <c r="DE42">
        <f>DE41*IF(OR($C41=4,$G41=4),0,1)</f>
        <v/>
      </c>
      <c r="DF42">
        <f>DF41*IF(OR($C41=5,$G41=5),0,1)</f>
        <v/>
      </c>
      <c r="DG42">
        <f>DG41*IF(OR($C41=6,$G41=6),0,1)</f>
        <v/>
      </c>
      <c r="DH42">
        <f>DH41*IF(OR($C41=7,$G41=7),0,1)</f>
        <v/>
      </c>
      <c r="DI42">
        <f>DI41*IF(OR($C41=8,$G41=8),0,1)</f>
        <v/>
      </c>
      <c r="DJ42">
        <f>DJ41*IF(OR($C41=9,$G41=9),0,1)</f>
        <v/>
      </c>
      <c r="DK42">
        <f>DK41*IF(OR($C41=10,$G41=10),0,1)</f>
        <v/>
      </c>
      <c r="DL42">
        <f>DL41*IF(OR($C41=11,$G41=11),0,1)</f>
        <v/>
      </c>
      <c r="DM42">
        <f>DM41*IF(OR($C41=12,$G41=12),0,1)</f>
        <v/>
      </c>
      <c r="DN42">
        <f>DN41*IF(OR($C41=13,$G41=13),0,1)</f>
        <v/>
      </c>
      <c r="DO42">
        <f>DO41*IF(OR($C41=14,$G41=14),0,1)</f>
        <v/>
      </c>
      <c r="DP42">
        <f>DP41*IF(OR($C41=15,$G41=15),0,1)</f>
        <v/>
      </c>
      <c r="DQ42">
        <f>DQ41*IF(OR($C41=16,$G41=16),0,1)</f>
        <v/>
      </c>
      <c r="DR42">
        <f>DR41*IF(OR($C41=17,$G41=17),0,1)</f>
        <v/>
      </c>
      <c r="DS42">
        <f>DS41*IF(OR($C41=18,$G41=18),0,1)</f>
        <v/>
      </c>
      <c r="DT42">
        <f>DT41*IF(OR($C41=19,$G41=19),0,1)</f>
        <v/>
      </c>
      <c r="DU42">
        <f>DU41*IF(OR($C41=20,$G41=20),0,1)</f>
        <v/>
      </c>
      <c r="DV42">
        <f>DV41*IF(OR($C41=21,$G41=21),0,1)</f>
        <v/>
      </c>
      <c r="DW42">
        <f>DW41*IF(OR($C41=22,$G41=22),0,1)</f>
        <v/>
      </c>
      <c r="DX42">
        <f>DX41*IF(OR($C41=23,$G41=23),0,1)</f>
        <v/>
      </c>
      <c r="DY42">
        <f>DY41*IF(OR($C41=24,$G41=24),0,1)</f>
        <v/>
      </c>
      <c r="DZ42">
        <f>DZ41*IF(OR($C41=25,$G41=25),0,1)</f>
        <v/>
      </c>
      <c r="EA42">
        <f>EA41*IF(OR($C41=26,$G41=26),0,1)</f>
        <v/>
      </c>
      <c r="EB42">
        <f>EB41*IF(OR($C41=27,$G41=27),0,1)</f>
        <v/>
      </c>
      <c r="EC42">
        <f>EC41*IF(OR($C41=28,$G41=28),0,1)</f>
        <v/>
      </c>
      <c r="ED42">
        <f>ED41*IF(OR($C41=29,$G41=29),0,1)</f>
        <v/>
      </c>
      <c r="EE42">
        <f>EE41*IF(OR($C41=30,$G41=30),0,1)</f>
        <v/>
      </c>
      <c r="EF42">
        <f>EF41*IF(OR($C41=31,$G41=31),0,1)</f>
        <v/>
      </c>
      <c r="EG42">
        <f>EG41*IF(OR($C41=32,$G41=32),0,1)</f>
        <v/>
      </c>
      <c r="EH42">
        <f>EH41*IF(OR($C41=33,$G41=33),0,1)</f>
        <v/>
      </c>
      <c r="EI42">
        <f>EI41*IF(OR($C41=34,$G41=34),0,1)</f>
        <v/>
      </c>
      <c r="EJ42">
        <f>EJ41*IF(OR($C41=35,$G41=35),0,1)</f>
        <v/>
      </c>
      <c r="EK42">
        <f>EK41*IF(OR($C41=36,$G41=36),0,1)</f>
        <v/>
      </c>
      <c r="EL42">
        <f>EL41*IF(OR($C41=37,$G41=37),0,1)</f>
        <v/>
      </c>
      <c r="EM42">
        <f>EM41*IF(OR($C41=38,$G41=38),0,1)</f>
        <v/>
      </c>
      <c r="EN42">
        <f>EN41*IF(OR($C41=39,$G41=39),0,1)</f>
        <v/>
      </c>
      <c r="EO42">
        <f>EO41*IF(OR($C41=40,$G41=40),0,1)</f>
        <v/>
      </c>
      <c r="EP42">
        <f>EP41*IF(OR($C41=41,$G41=41),0,1)</f>
        <v/>
      </c>
      <c r="EQ42">
        <f>EQ41*IF(OR($C41=42,$G41=42),0,1)</f>
        <v/>
      </c>
      <c r="ER42">
        <f>ER41*IF(OR($C41=43,$G41=43),0,1)</f>
        <v/>
      </c>
      <c r="ES42">
        <f>ES41*IF(OR($C41=44,$G41=44),0,1)</f>
        <v/>
      </c>
      <c r="ET42">
        <f>ET41*IF(OR($C41=45,$G41=45),0,1)</f>
        <v/>
      </c>
      <c r="EU42">
        <f>EU41*IF(OR($C41=46,$G41=46),0,1)</f>
        <v/>
      </c>
      <c r="EV42">
        <f>EV41*IF(OR($C41=47,$G41=47),0,1)</f>
        <v/>
      </c>
      <c r="EW42">
        <f>EW41*IF(OR($C41=48,$G41=48),0,1)</f>
        <v/>
      </c>
      <c r="EX42">
        <f>EX41*IF(OR($C41=49,$G41=49),0,1)</f>
        <v/>
      </c>
      <c r="EY42">
        <f>EY41*IF(OR($C41=50,$G41=50),0,1)</f>
        <v/>
      </c>
      <c r="EZ42">
        <f>EZ41*IF(OR($C41=51,$G41=51),0,1)</f>
        <v/>
      </c>
      <c r="FA42">
        <f>FA41*IF(OR($C41=52,$G41=52),0,1)</f>
        <v/>
      </c>
      <c r="FB42">
        <f>FB41*IF(OR($C41=53,$G41=53),0,1)</f>
        <v/>
      </c>
      <c r="FC42">
        <f>FC41*IF(OR($C41=54,$G41=54),0,1)</f>
        <v/>
      </c>
      <c r="FD42">
        <f>FD41*IF(OR($C41=55,$G41=55),0,1)</f>
        <v/>
      </c>
      <c r="FE42">
        <f>FE41*IF(OR($C41=56,$G41=56),0,1)</f>
        <v/>
      </c>
      <c r="FF42">
        <f>FF41*IF(OR($C41=57,$G41=57),0,1)</f>
        <v/>
      </c>
      <c r="FG42">
        <f>FG41*IF(OR($C41=58,$G41=58),0,1)</f>
        <v/>
      </c>
      <c r="FH42">
        <f>FH41*IF(OR($C41=59,$G41=59),0,1)</f>
        <v/>
      </c>
      <c r="FI42">
        <f>FI41*IF(OR($C41=60,$G41=60),0,1)</f>
        <v/>
      </c>
      <c r="FJ42">
        <f>FJ41*IF(OR($C41=61,$G41=61),0,1)</f>
        <v/>
      </c>
      <c r="FK42">
        <f>FK41*IF(OR($C41=62,$G41=62),0,1)</f>
        <v/>
      </c>
      <c r="FL42">
        <f>FL41*IF(OR($C41=63,$G41=63),0,1)</f>
        <v/>
      </c>
      <c r="FM42">
        <f>FM41*IF(OR($C41=64,$G41=64),0,1)</f>
        <v/>
      </c>
      <c r="FN42">
        <f>FN41*IF(OR($C41=65,$G41=65),0,1)</f>
        <v/>
      </c>
      <c r="FO42">
        <f>FO41*IF(OR($C41=66,$G41=66),0,1)</f>
        <v/>
      </c>
      <c r="FP42">
        <f>FP41*IF(OR($C41=67,$G41=67),0,1)</f>
        <v/>
      </c>
      <c r="FQ42">
        <f>FQ41*IF(OR($C41=68,$G41=68),0,1)</f>
        <v/>
      </c>
      <c r="FR42">
        <f>FR41*IF(OR($C41=69,$G41=69),0,1)</f>
        <v/>
      </c>
      <c r="FS42">
        <f>FS41*IF(OR($C41=70,$G41=70),0,1)</f>
        <v/>
      </c>
      <c r="FT42">
        <f>FT41*IF(OR($C41=71,$G41=71),0,1)</f>
        <v/>
      </c>
      <c r="FU42">
        <f>FU41*IF(OR($C41=72,$G41=72),0,1)</f>
        <v/>
      </c>
      <c r="FV42">
        <f>FV41*IF(OR($C41=73,$G41=73),0,1)</f>
        <v/>
      </c>
      <c r="FW42">
        <f>FW41*IF(OR($C41=74,$G41=74),0,1)</f>
        <v/>
      </c>
      <c r="FX42">
        <f>FX41*IF(OR($C41=75,$G41=75),0,1)</f>
        <v/>
      </c>
      <c r="FY42">
        <f>FY41*IF(OR($C41=76,$G41=76),0,1)</f>
        <v/>
      </c>
      <c r="FZ42">
        <f>FZ41*IF(OR($C41=77,$G41=77),0,1)</f>
        <v/>
      </c>
      <c r="GA42">
        <f>GA41*IF(OR($C41=78,$G41=78),0,1)</f>
        <v/>
      </c>
      <c r="GB42">
        <f>GB41*IF(OR($C41=79,$G41=79),0,1)</f>
        <v/>
      </c>
      <c r="GC42">
        <f>GC41*IF(OR($C41=80,$G41=80),0,1)</f>
        <v/>
      </c>
      <c r="GD42">
        <f>GD41*IF(OR($C41=81,$G41=81),0,1)</f>
        <v/>
      </c>
      <c r="GE42">
        <f>GE41*IF(OR($C41=82,$G41=82),0,1)</f>
        <v/>
      </c>
      <c r="GF42">
        <f>GF41*IF(OR($C41=83,$G41=83),0,1)</f>
        <v/>
      </c>
      <c r="GG42">
        <f>GG41*IF(OR($C41=84,$G41=84),0,1)</f>
        <v/>
      </c>
      <c r="GH42">
        <f>GH41*IF(OR($C41=85,$G41=85),0,1)</f>
        <v/>
      </c>
      <c r="GI42">
        <f>GI41*IF(OR($C41=86,$G41=86),0,1)</f>
        <v/>
      </c>
      <c r="GJ42">
        <f>GJ41*IF(OR($C41=87,$G41=87),0,1)</f>
        <v/>
      </c>
      <c r="GK42">
        <f>GK41*IF(OR($C41=88,$G41=88),0,1)</f>
        <v/>
      </c>
      <c r="GL42">
        <f>GL41*IF(OR($C41=89,$G41=89),0,1)</f>
        <v/>
      </c>
      <c r="GM42">
        <f>GM41*IF(OR($C41=90,$G41=90),0,1)</f>
        <v/>
      </c>
      <c r="GN42">
        <f>GN41*IF(OR($C41=91,$G41=91),0,1)</f>
        <v/>
      </c>
      <c r="GO42">
        <f>GO41*IF(OR($C41=92,$G41=92),0,1)</f>
        <v/>
      </c>
      <c r="GP42">
        <f>GP41*IF(OR($C41=93,$G41=93),0,1)</f>
        <v/>
      </c>
      <c r="GQ42">
        <f>GQ41*IF(OR($C41=94,$G41=94),0,1)</f>
        <v/>
      </c>
      <c r="GR42">
        <f>GR41*IF(OR($C41=95,$G41=95),0,1)</f>
        <v/>
      </c>
      <c r="GS42">
        <f>GS41*IF(OR($C41=96,$G41=96),0,1)</f>
        <v/>
      </c>
      <c r="GT42">
        <f>GT41*IF(OR($C41=97,$G41=97),0,1)</f>
        <v/>
      </c>
      <c r="GU42">
        <f>GU41*IF(OR($C41=98,$G41=98),0,1)</f>
        <v/>
      </c>
      <c r="GV42">
        <f>GV41*IF(OR($C41=99,$G41=99),0,1)</f>
        <v/>
      </c>
      <c r="GW42">
        <f>GW41*IF(OR($C41=100,$G41=100),0,1)</f>
        <v/>
      </c>
      <c r="GX42">
        <f>GX41*IF(OR($C41=101,$G41=101),0,1)</f>
        <v/>
      </c>
      <c r="GY42">
        <f>GY41*IF(OR($C41=102,$G41=102),0,1)</f>
        <v/>
      </c>
      <c r="GZ42">
        <f>GZ41*IF(OR($C41=103,$G41=103),0,1)</f>
        <v/>
      </c>
      <c r="HA42">
        <f>HA41*IF(OR($C41=104,$G41=104),0,1)</f>
        <v/>
      </c>
      <c r="HB42">
        <f>HB41*IF(OR($C41=105,$G41=105),0,1)</f>
        <v/>
      </c>
      <c r="HC42">
        <f>HC41*IF(OR($C41=106,$G41=106),0,1)</f>
        <v/>
      </c>
      <c r="HD42">
        <f>HD41*IF(OR($C41=107,$G41=107),0,1)</f>
        <v/>
      </c>
      <c r="HE42">
        <f>HE41*IF(OR($C41=108,$G41=108),0,1)</f>
        <v/>
      </c>
      <c r="HF42">
        <f>HF41*IF(OR($C41=109,$G41=109),0,1)</f>
        <v/>
      </c>
      <c r="HG42">
        <f>HG41*IF(OR($C41=110,$G41=110),0,1)</f>
        <v/>
      </c>
      <c r="HH42">
        <f>HH41*IF(OR($C41=111,$G41=111),0,1)</f>
        <v/>
      </c>
      <c r="HI42">
        <f>HI41*IF(OR($C41=112,$G41=112),0,1)</f>
        <v/>
      </c>
      <c r="HJ42">
        <f>HJ41*IF(OR($C41=113,$G41=113),0,1)</f>
        <v/>
      </c>
      <c r="HK42">
        <f>HK41*IF(OR($C41=114,$G41=114),0,1)</f>
        <v/>
      </c>
      <c r="HL42">
        <f>HL41*IF(OR($C41=115,$G41=115),0,1)</f>
        <v/>
      </c>
      <c r="HM42">
        <f>HM41*IF(OR($C41=116,$G41=116),0,1)</f>
        <v/>
      </c>
      <c r="HN42">
        <f>HN41*IF(OR($C41=117,$G41=117),0,1)</f>
        <v/>
      </c>
      <c r="HO42">
        <f>HO41*IF(OR($C41=118,$G41=118),0,1)</f>
        <v/>
      </c>
      <c r="HP42">
        <f>HP41*IF(OR($C41=119,$G41=119),0,1)</f>
        <v/>
      </c>
      <c r="HQ42">
        <f>HQ41*IF(OR($C41=120,$G41=120),0,1)</f>
        <v/>
      </c>
      <c r="HR42">
        <f>HR41*IF(OR($C41=121,$G41=121),0,1)</f>
        <v/>
      </c>
      <c r="HS42">
        <f>HS41*IF(OR($C41=122,$G41=122),0,1)</f>
        <v/>
      </c>
      <c r="HT42">
        <f>HT41*IF(OR($C41=123,$G41=123),0,1)</f>
        <v/>
      </c>
      <c r="HU42">
        <f>HU41*IF(OR($C41=124,$G41=124),0,1)</f>
        <v/>
      </c>
      <c r="HV42">
        <f>HV41*IF(OR($C41=125,$G41=125),0,1)</f>
        <v/>
      </c>
      <c r="HW42">
        <f>HW41*IF(OR($C41=126,$G41=126),0,1)</f>
        <v/>
      </c>
      <c r="HX42">
        <f>HX41*IF(OR($C41=127,$G41=127),0,1)</f>
        <v/>
      </c>
      <c r="HY42">
        <f>HY41*IF(OR($C41=128,$G41=128),0,1)</f>
        <v/>
      </c>
      <c r="HZ42">
        <f>HZ41*IF(OR($C41=129,$G41=129),0,1)</f>
        <v/>
      </c>
      <c r="IA42">
        <f>IA41*IF(OR($C41=130,$G41=130),0,1)</f>
        <v/>
      </c>
      <c r="IB42">
        <f>IB41*IF(OR($C41=131,$G41=131),0,1)</f>
        <v/>
      </c>
      <c r="IC42">
        <f>IC41*IF(OR($C41=132,$G41=132),0,1)</f>
        <v/>
      </c>
      <c r="ID42">
        <f>ID41*IF(OR($C41=133,$G41=133),0,1)</f>
        <v/>
      </c>
      <c r="IE42">
        <f>IE41*IF(OR($C41=134,$G41=134),0,1)</f>
        <v/>
      </c>
      <c r="IF42">
        <f>IF41*IF(OR($C41=135,$G41=135),0,1)</f>
        <v/>
      </c>
      <c r="IG42">
        <f>IG41*IF(OR($C41=136,$G41=136),0,1)</f>
        <v/>
      </c>
      <c r="IH42">
        <f>IH41*IF(OR($C41=137,$G41=137),0,1)</f>
        <v/>
      </c>
      <c r="II42">
        <f>II41*IF(OR($C41=138,$G41=138),0,1)</f>
        <v/>
      </c>
      <c r="IJ42">
        <f>IJ41*IF(OR($C41=139,$G41=139),0,1)</f>
        <v/>
      </c>
      <c r="IK42">
        <f>IK41*IF(OR($C41=140,$G41=140),0,1)</f>
        <v/>
      </c>
      <c r="IL42">
        <f>IL41*IF(OR($C41=141,$G41=141),0,1)</f>
        <v/>
      </c>
      <c r="IM42">
        <f>IM41*IF(OR($C41=142,$G41=142),0,1)</f>
        <v/>
      </c>
      <c r="IN42">
        <f>IN41*IF(OR($C41=143,$G41=143),0,1)</f>
        <v/>
      </c>
      <c r="IO42">
        <f>IO41*IF(OR($C41=144,$G41=144),0,1)</f>
        <v/>
      </c>
      <c r="IQ42">
        <f>IF('calcA'!D$106=1,DC42,1)</f>
        <v/>
      </c>
      <c r="IR42">
        <f>IF('calcA'!E$106=1,DD42,1)</f>
        <v/>
      </c>
      <c r="IS42">
        <f>IF('calcA'!F$106=1,DE42,1)</f>
        <v/>
      </c>
      <c r="IT42">
        <f>IF('calcA'!G$106=1,DF42,1)</f>
        <v/>
      </c>
      <c r="IU42">
        <f>IF('calcA'!H$106=1,DG42,1)</f>
        <v/>
      </c>
      <c r="IV42">
        <f>IF('calcA'!I$106=1,DH42,1)</f>
        <v/>
      </c>
      <c r="IW42">
        <f>IF('calcA'!J$106=1,DI42,1)</f>
        <v/>
      </c>
      <c r="IX42">
        <f>IF('calcA'!K$106=1,DJ42,1)</f>
        <v/>
      </c>
      <c r="IY42">
        <f>IF('calcA'!L$106=1,DK42,1)</f>
        <v/>
      </c>
      <c r="IZ42">
        <f>IF('calcA'!M$106=1,DL42,1)</f>
        <v/>
      </c>
      <c r="JA42">
        <f>IF('calcA'!N$106=1,DM42,1)</f>
        <v/>
      </c>
      <c r="JB42">
        <f>IF('calcA'!O$106=1,DN42,1)</f>
        <v/>
      </c>
      <c r="JC42">
        <f>IF('calcA'!P$106=1,DO42,1)</f>
        <v/>
      </c>
      <c r="JD42">
        <f>IF('calcA'!Q$106=1,DP42,1)</f>
        <v/>
      </c>
      <c r="JE42">
        <f>IF('calcA'!R$106=1,DQ42,1)</f>
        <v/>
      </c>
      <c r="JF42">
        <f>IF('calcA'!S$106=1,DR42,1)</f>
        <v/>
      </c>
      <c r="JG42">
        <f>IF('calcA'!T$106=1,DS42,1)</f>
        <v/>
      </c>
      <c r="JH42">
        <f>IF('calcA'!U$106=1,DT42,1)</f>
        <v/>
      </c>
      <c r="JI42">
        <f>IF('calcA'!V$106=1,DU42,1)</f>
        <v/>
      </c>
      <c r="JJ42">
        <f>IF('calcA'!W$106=1,DV42,1)</f>
        <v/>
      </c>
      <c r="JK42">
        <f>IF('calcA'!X$106=1,DW42,1)</f>
        <v/>
      </c>
      <c r="JL42">
        <f>IF('calcA'!Y$106=1,DX42,1)</f>
        <v/>
      </c>
      <c r="JM42">
        <f>IF('calcA'!Z$106=1,DY42,1)</f>
        <v/>
      </c>
      <c r="JN42">
        <f>IF('calcA'!AA$106=1,DZ42,1)</f>
        <v/>
      </c>
      <c r="JO42">
        <f>IF('calcA'!AB$106=1,EA42,1)</f>
        <v/>
      </c>
      <c r="JP42">
        <f>IF('calcA'!AC$106=1,EB42,1)</f>
        <v/>
      </c>
      <c r="JQ42">
        <f>IF('calcA'!AD$106=1,EC42,1)</f>
        <v/>
      </c>
      <c r="JR42">
        <f>IF('calcA'!AE$106=1,ED42,1)</f>
        <v/>
      </c>
      <c r="JS42">
        <f>IF('calcA'!AF$106=1,EE42,1)</f>
        <v/>
      </c>
      <c r="JT42">
        <f>IF('calcA'!AG$106=1,EF42,1)</f>
        <v/>
      </c>
      <c r="JU42">
        <f>IF('calcA'!AH$106=1,EG42,1)</f>
        <v/>
      </c>
      <c r="JV42">
        <f>IF('calcA'!AI$106=1,EH42,1)</f>
        <v/>
      </c>
      <c r="JW42">
        <f>IF('calcA'!AJ$106=1,EI42,1)</f>
        <v/>
      </c>
      <c r="JX42">
        <f>IF('calcA'!AK$106=1,EJ42,1)</f>
        <v/>
      </c>
      <c r="JY42">
        <f>IF('calcA'!AL$106=1,EK42,1)</f>
        <v/>
      </c>
      <c r="JZ42">
        <f>IF('calcA'!AM$106=1,EL42,1)</f>
        <v/>
      </c>
      <c r="KA42">
        <f>IF('calcA'!AN$106=1,EM42,1)</f>
        <v/>
      </c>
      <c r="KB42">
        <f>IF('calcA'!AO$106=1,EN42,1)</f>
        <v/>
      </c>
      <c r="KC42">
        <f>IF('calcA'!AP$106=1,EO42,1)</f>
        <v/>
      </c>
      <c r="KD42">
        <f>IF('calcA'!AQ$106=1,EP42,1)</f>
        <v/>
      </c>
      <c r="KE42">
        <f>IF('calcA'!AR$106=1,EQ42,1)</f>
        <v/>
      </c>
      <c r="KF42">
        <f>IF('calcA'!AS$106=1,ER42,1)</f>
        <v/>
      </c>
      <c r="KG42">
        <f>IF('calcA'!AT$106=1,ES42,1)</f>
        <v/>
      </c>
      <c r="KH42">
        <f>IF('calcA'!AU$106=1,ET42,1)</f>
        <v/>
      </c>
      <c r="KI42">
        <f>IF('calcA'!AV$106=1,EU42,1)</f>
        <v/>
      </c>
      <c r="KJ42">
        <f>IF('calcA'!AW$106=1,EV42,1)</f>
        <v/>
      </c>
      <c r="KK42">
        <f>IF('calcA'!AX$106=1,EW42,1)</f>
        <v/>
      </c>
      <c r="KL42">
        <f>IF('calcA'!AY$106=1,EX42,1)</f>
        <v/>
      </c>
      <c r="KM42">
        <f>IF('calcA'!AZ$106=1,EY42,1)</f>
        <v/>
      </c>
      <c r="KN42">
        <f>IF('calcA'!BA$106=1,EZ42,1)</f>
        <v/>
      </c>
      <c r="KO42">
        <f>IF('calcA'!BB$106=1,FA42,1)</f>
        <v/>
      </c>
      <c r="KP42">
        <f>IF('calcA'!BC$106=1,FB42,1)</f>
        <v/>
      </c>
      <c r="KQ42">
        <f>IF('calcA'!BD$106=1,FC42,1)</f>
        <v/>
      </c>
      <c r="KR42">
        <f>IF('calcA'!BE$106=1,FD42,1)</f>
        <v/>
      </c>
      <c r="KS42">
        <f>IF('calcA'!BF$106=1,FE42,1)</f>
        <v/>
      </c>
      <c r="KT42">
        <f>IF('calcA'!BG$106=1,FF42,1)</f>
        <v/>
      </c>
      <c r="KU42">
        <f>IF('calcA'!BH$106=1,FG42,1)</f>
        <v/>
      </c>
      <c r="KV42">
        <f>IF('calcA'!BI$106=1,FH42,1)</f>
        <v/>
      </c>
      <c r="KW42">
        <f>IF('calcA'!BJ$106=1,FI42,1)</f>
        <v/>
      </c>
      <c r="KX42">
        <f>IF('calcA'!BK$106=1,FJ42,1)</f>
        <v/>
      </c>
      <c r="KY42">
        <f>IF('calcA'!BL$106=1,FK42,1)</f>
        <v/>
      </c>
      <c r="KZ42">
        <f>IF('calcA'!BM$106=1,FL42,1)</f>
        <v/>
      </c>
      <c r="LA42">
        <f>IF('calcA'!BN$106=1,FM42,1)</f>
        <v/>
      </c>
      <c r="LB42">
        <f>IF('calcA'!BO$106=1,FN42,1)</f>
        <v/>
      </c>
      <c r="LC42">
        <f>IF('calcA'!BP$106=1,FO42,1)</f>
        <v/>
      </c>
      <c r="LD42">
        <f>IF('calcA'!BQ$106=1,FP42,1)</f>
        <v/>
      </c>
      <c r="LE42">
        <f>IF('calcA'!BR$106=1,FQ42,1)</f>
        <v/>
      </c>
      <c r="LF42">
        <f>IF('calcA'!BS$106=1,FR42,1)</f>
        <v/>
      </c>
      <c r="LG42">
        <f>IF('calcA'!BT$106=1,FS42,1)</f>
        <v/>
      </c>
      <c r="LH42">
        <f>IF('calcA'!BU$106=1,FT42,1)</f>
        <v/>
      </c>
      <c r="LI42">
        <f>IF('calcA'!BV$106=1,FU42,1)</f>
        <v/>
      </c>
      <c r="LJ42">
        <f>IF('calcA'!BW$106=1,FV42,1)</f>
        <v/>
      </c>
      <c r="LK42">
        <f>IF('calcA'!BX$106=1,FW42,1)</f>
        <v/>
      </c>
      <c r="LL42">
        <f>IF('calcA'!BY$106=1,FX42,1)</f>
        <v/>
      </c>
      <c r="LM42">
        <f>IF('calcA'!BZ$106=1,FY42,1)</f>
        <v/>
      </c>
      <c r="LN42">
        <f>IF('calcA'!CA$106=1,FZ42,1)</f>
        <v/>
      </c>
      <c r="LO42">
        <f>IF('calcA'!CB$106=1,GA42,1)</f>
        <v/>
      </c>
      <c r="LP42">
        <f>IF('calcA'!CC$106=1,GB42,1)</f>
        <v/>
      </c>
      <c r="LQ42">
        <f>IF('calcA'!CD$106=1,GC42,1)</f>
        <v/>
      </c>
      <c r="LR42">
        <f>IF('calcA'!CE$106=1,GD42,1)</f>
        <v/>
      </c>
      <c r="LS42">
        <f>IF('calcA'!CF$106=1,GE42,1)</f>
        <v/>
      </c>
      <c r="LT42">
        <f>IF('calcA'!CG$106=1,GF42,1)</f>
        <v/>
      </c>
      <c r="LU42">
        <f>IF('calcA'!CH$106=1,GG42,1)</f>
        <v/>
      </c>
      <c r="LV42">
        <f>IF('calcA'!CI$106=1,GH42,1)</f>
        <v/>
      </c>
      <c r="LW42">
        <f>IF('calcA'!CJ$106=1,GI42,1)</f>
        <v/>
      </c>
      <c r="LX42">
        <f>IF('calcA'!CK$106=1,GJ42,1)</f>
        <v/>
      </c>
      <c r="LY42">
        <f>IF('calcA'!CL$106=1,GK42,1)</f>
        <v/>
      </c>
      <c r="LZ42">
        <f>IF('calcA'!CM$106=1,GL42,1)</f>
        <v/>
      </c>
      <c r="MA42">
        <f>IF('calcA'!CN$106=1,GM42,1)</f>
        <v/>
      </c>
      <c r="MB42">
        <f>IF('calcA'!CO$106=1,GN42,1)</f>
        <v/>
      </c>
      <c r="MC42">
        <f>IF('calcA'!CP$106=1,GO42,1)</f>
        <v/>
      </c>
      <c r="MD42">
        <f>IF('calcA'!CQ$106=1,GP42,1)</f>
        <v/>
      </c>
      <c r="ME42">
        <f>IF('calcA'!CR$106=1,GQ42,1)</f>
        <v/>
      </c>
      <c r="MF42">
        <f>IF('calcA'!CS$106=1,GR42,1)</f>
        <v/>
      </c>
      <c r="MG42">
        <f>IF('calcA'!CT$106=1,GS42,1)</f>
        <v/>
      </c>
      <c r="MH42">
        <f>IF('calcA'!CU$106=1,GT42,1)</f>
        <v/>
      </c>
      <c r="MI42">
        <f>IF('calcA'!CV$106=1,GU42,1)</f>
        <v/>
      </c>
      <c r="MJ42">
        <f>IF('calcA'!CW$106=1,GV42,1)</f>
        <v/>
      </c>
      <c r="MK42">
        <f>IF('calcA'!CX$106=1,GW42,1)</f>
        <v/>
      </c>
      <c r="ML42">
        <f>IF('calcA'!CY$106=1,GX42,1)</f>
        <v/>
      </c>
      <c r="MM42">
        <f>IF('calcA'!CZ$106=1,GY42,1)</f>
        <v/>
      </c>
      <c r="MN42">
        <f>IF('calcA'!DA$106=1,GZ42,1)</f>
        <v/>
      </c>
      <c r="MO42">
        <f>IF('calcA'!DB$106=1,HA42,1)</f>
        <v/>
      </c>
      <c r="MP42">
        <f>IF('calcA'!DC$106=1,HB42,1)</f>
        <v/>
      </c>
      <c r="MQ42">
        <f>IF('calcA'!DD$106=1,HC42,1)</f>
        <v/>
      </c>
      <c r="MR42">
        <f>IF('calcA'!DE$106=1,HD42,1)</f>
        <v/>
      </c>
      <c r="MS42">
        <f>IF('calcA'!DF$106=1,HE42,1)</f>
        <v/>
      </c>
      <c r="MT42">
        <f>IF('calcA'!DG$106=1,HF42,1)</f>
        <v/>
      </c>
      <c r="MU42">
        <f>IF('calcA'!DH$106=1,HG42,1)</f>
        <v/>
      </c>
      <c r="MV42">
        <f>IF('calcA'!DI$106=1,HH42,1)</f>
        <v/>
      </c>
      <c r="MW42">
        <f>IF('calcA'!DJ$106=1,HI42,1)</f>
        <v/>
      </c>
      <c r="MX42">
        <f>IF('calcA'!DK$106=1,HJ42,1)</f>
        <v/>
      </c>
      <c r="MY42">
        <f>IF('calcA'!DL$106=1,HK42,1)</f>
        <v/>
      </c>
      <c r="MZ42">
        <f>IF('calcA'!DM$106=1,HL42,1)</f>
        <v/>
      </c>
      <c r="NA42">
        <f>IF('calcA'!DN$106=1,HM42,1)</f>
        <v/>
      </c>
      <c r="NB42">
        <f>IF('calcA'!DO$106=1,HN42,1)</f>
        <v/>
      </c>
      <c r="NC42">
        <f>IF('calcA'!DP$106=1,HO42,1)</f>
        <v/>
      </c>
      <c r="ND42">
        <f>IF('calcA'!DQ$106=1,HP42,1)</f>
        <v/>
      </c>
      <c r="NE42">
        <f>IF('calcA'!DR$106=1,HQ42,1)</f>
        <v/>
      </c>
      <c r="NF42">
        <f>IF('calcA'!DS$106=1,HR42,1)</f>
        <v/>
      </c>
      <c r="NG42">
        <f>IF('calcA'!DT$106=1,HS42,1)</f>
        <v/>
      </c>
      <c r="NH42">
        <f>IF('calcA'!DU$106=1,HT42,1)</f>
        <v/>
      </c>
      <c r="NI42">
        <f>IF('calcA'!DV$106=1,HU42,1)</f>
        <v/>
      </c>
      <c r="NJ42">
        <f>IF('calcA'!DW$106=1,HV42,1)</f>
        <v/>
      </c>
      <c r="NK42">
        <f>IF('calcA'!DX$106=1,HW42,1)</f>
        <v/>
      </c>
      <c r="NL42">
        <f>IF('calcA'!DY$106=1,HX42,1)</f>
        <v/>
      </c>
      <c r="NM42">
        <f>IF('calcA'!DZ$106=1,HY42,1)</f>
        <v/>
      </c>
      <c r="NN42">
        <f>IF('calcA'!EA$106=1,HZ42,1)</f>
        <v/>
      </c>
      <c r="NO42">
        <f>IF('calcA'!EB$106=1,IA42,1)</f>
        <v/>
      </c>
      <c r="NP42">
        <f>IF('calcA'!EC$106=1,IB42,1)</f>
        <v/>
      </c>
      <c r="NQ42">
        <f>IF('calcA'!ED$106=1,IC42,1)</f>
        <v/>
      </c>
      <c r="NR42">
        <f>IF('calcA'!EE$106=1,ID42,1)</f>
        <v/>
      </c>
      <c r="NS42">
        <f>IF('calcA'!EF$106=1,IE42,1)</f>
        <v/>
      </c>
      <c r="NT42">
        <f>IF('calcA'!EG$106=1,IF42,1)</f>
        <v/>
      </c>
      <c r="NU42">
        <f>IF('calcA'!EH$106=1,IG42,1)</f>
        <v/>
      </c>
      <c r="NV42">
        <f>IF('calcA'!EI$106=1,IH42,1)</f>
        <v/>
      </c>
      <c r="NW42">
        <f>IF('calcA'!EJ$106=1,II42,1)</f>
        <v/>
      </c>
      <c r="NX42">
        <f>IF('calcA'!EK$106=1,IJ42,1)</f>
        <v/>
      </c>
      <c r="NY42">
        <f>IF('calcA'!EL$106=1,IK42,1)</f>
        <v/>
      </c>
      <c r="NZ42">
        <f>IF('calcA'!EM$106=1,IL42,1)</f>
        <v/>
      </c>
      <c r="OA42">
        <f>IF('calcA'!EN$106=1,IM42,1)</f>
        <v/>
      </c>
      <c r="OB42">
        <f>IF('calcA'!EO$106=1,IN42,1)</f>
        <v/>
      </c>
      <c r="OC42">
        <f>IF('calcA'!EP$106=1,IO42,1)</f>
        <v/>
      </c>
      <c r="OD42" t="n">
        <v>1</v>
      </c>
      <c r="OF42">
        <f>IF($B42=0,1000000000,IF(INDEX('calcA'!$D$60:$EQ$99,$B42,1)*IF($W42=1,DB42+ZQ42,DB42)=1,IF(AND($E42=2,IF($W42=1,AFF42,IQ42)=0),1000000000,IF($V42=1,INDEX('calcA'!$D$130:$EQ$169,$B42,1)+IF(AND($E42=1,IQ42=0),25,0),IF($F42&gt;0,INDEX('calcA'!D$110:D$114,$F42+1)+IF(AND($E42=1,IQ42=0),1000,0),MIN(TU42,20)*400+(IF('calcA'!D$106=1,1-DC42,0))*150+11+'calcA'!D$5*100000+IF(AND($E42=1,IQ42=0),50000,0))+IF($H42=1,INDEX('calcA'!$D$180:$EQ$219,$B42,1)*4000,0)-IF(AND($U42=1,'calcA'!D$117=1,DC42=0),2000,0))),1000000000))</f>
        <v/>
      </c>
      <c r="OG42">
        <f>IF($B42=0,1000000000,IF(INDEX('calcA'!$D$60:$EQ$99,$B42,2)*IF($W42=1,DC42+ZR42,DC42)=1,IF(AND($E42=2,IF($W42=1,AFG42,IR42)=0),1000000000,IF($V42=1,INDEX('calcA'!$D$130:$EQ$169,$B42,2)+IF(AND($E42=1,IR42=0),25,0),IF($F42&gt;0,INDEX('calcA'!E$110:E$114,$F42+1)+IF(AND($E42=1,IR42=0),1000,0),MIN(TU42,20)*400+(IF('calcA'!D$106=1,1-DB42,0)+IF('calcA'!E$106=1,1-DD42,0))*150+21+'calcA'!E$5*100000+IF(AND($E42=1,IR42=0),50000,0))+IF($H42=1,INDEX('calcA'!$D$180:$EQ$219,$B42,2)*4000,0)-IF(AND('calcA'!D$117=1,UB42&gt;0),2000,0)-IF(AND($U42=1,'calcA'!E$117=1,DD42=0),2000,0))),1000000000))</f>
        <v/>
      </c>
      <c r="OH42">
        <f>IF($B42=0,1000000000,IF(INDEX('calcA'!$D$60:$EQ$99,$B42,3)*IF($W42=1,DD42+ZS42,DD42)=1,IF(AND($E42=2,IF($W42=1,AFH42,IS42)=0),1000000000,IF($V42=1,INDEX('calcA'!$D$130:$EQ$169,$B42,3)+IF(AND($E42=1,IS42=0),25,0),IF($F42&gt;0,INDEX('calcA'!F$110:F$114,$F42+1)+IF(AND($E42=1,IS42=0),1000,0),MIN(TU42,20)*400+(IF('calcA'!E$106=1,1-DC42,0)+IF('calcA'!F$106=1,1-DE42,0))*150+31+'calcA'!F$5*100000+IF(AND($E42=1,IS42=0),50000,0))+IF($H42=1,INDEX('calcA'!$D$180:$EQ$219,$B42,3)*4000,0)-IF(AND('calcA'!E$117=1,UC42&gt;0),2000,0)-IF(AND($U42=1,'calcA'!F$117=1,DE42=0),2000,0))),1000000000))</f>
        <v/>
      </c>
      <c r="OI42">
        <f>IF($B42=0,1000000000,IF(INDEX('calcA'!$D$60:$EQ$99,$B42,4)*IF($W42=1,DE42+ZT42,DE42)=1,IF(AND($E42=2,IF($W42=1,AFI42,IT42)=0),1000000000,IF($V42=1,INDEX('calcA'!$D$130:$EQ$169,$B42,4)+IF(AND($E42=1,IT42=0),25,0),IF($F42&gt;0,INDEX('calcA'!G$110:G$114,$F42+1)+IF(AND($E42=1,IT42=0),1000,0),MIN(TU42,20)*400+(IF('calcA'!F$106=1,1-DD42,0)+IF('calcA'!G$106=1,1-DF42,0))*150+41+'calcA'!G$5*100000+IF(AND($E42=1,IT42=0),50000,0))+IF($H42=1,INDEX('calcA'!$D$180:$EQ$219,$B42,4)*4000,0)-IF(AND('calcA'!F$117=1,UD42&gt;0),2000,0)-IF(AND($U42=1,'calcA'!G$117=1,DF42=0),2000,0))),1000000000))</f>
        <v/>
      </c>
      <c r="OJ42">
        <f>IF($B42=0,1000000000,IF(INDEX('calcA'!$D$60:$EQ$99,$B42,5)*IF($W42=1,DF42+ZU42,DF42)=1,IF(AND($E42=2,IF($W42=1,AFJ42,IU42)=0),1000000000,IF($V42=1,INDEX('calcA'!$D$130:$EQ$169,$B42,5)+IF(AND($E42=1,IU42=0),25,0),IF($F42&gt;0,INDEX('calcA'!H$110:H$114,$F42+1)+IF(AND($E42=1,IU42=0),1000,0),MIN(TU42,20)*400+(IF('calcA'!G$106=1,1-DE42,0)+IF('calcA'!H$106=1,1-DG42,0))*150+51+'calcA'!H$5*100000+IF(AND($E42=1,IU42=0),50000,0))+IF($H42=1,INDEX('calcA'!$D$180:$EQ$219,$B42,5)*4000,0)-IF(AND('calcA'!G$117=1,UE42&gt;0),2000,0)-IF(AND($U42=1,'calcA'!H$117=1,DG42=0),2000,0))),1000000000))</f>
        <v/>
      </c>
      <c r="OK42">
        <f>IF($B42=0,1000000000,IF(INDEX('calcA'!$D$60:$EQ$99,$B42,6)*IF($W42=1,DG42+ZV42,DG42)=1,IF(AND($E42=2,IF($W42=1,AFK42,IV42)=0),1000000000,IF($V42=1,INDEX('calcA'!$D$130:$EQ$169,$B42,6)+IF(AND($E42=1,IV42=0),25,0),IF($F42&gt;0,INDEX('calcA'!I$110:I$114,$F42+1)+IF(AND($E42=1,IV42=0),1000,0),MIN(TU42,20)*400+(IF('calcA'!H$106=1,1-DF42,0)+IF('calcA'!I$106=1,1-DH42,0))*150+61+'calcA'!I$5*100000+IF(AND($E42=1,IV42=0),50000,0))+IF($H42=1,INDEX('calcA'!$D$180:$EQ$219,$B42,6)*4000,0)-IF(AND('calcA'!H$117=1,UF42&gt;0),2000,0)-IF(AND($U42=1,'calcA'!I$117=1,DH42=0),2000,0))),1000000000))</f>
        <v/>
      </c>
      <c r="OL42">
        <f>IF($B42=0,1000000000,IF(INDEX('calcA'!$D$60:$EQ$99,$B42,7)*IF($W42=1,DH42+ZW42,DH42)=1,IF(AND($E42=2,IF($W42=1,AFL42,IW42)=0),1000000000,IF($V42=1,INDEX('calcA'!$D$130:$EQ$169,$B42,7)+IF(AND($E42=1,IW42=0),25,0),IF($F42&gt;0,INDEX('calcA'!J$110:J$114,$F42+1)+IF(AND($E42=1,IW42=0),1000,0),MIN(TU42,20)*400+(IF('calcA'!I$106=1,1-DG42,0)+IF('calcA'!J$106=1,1-DI42,0))*150+71+'calcA'!J$5*100000+IF(AND($E42=1,IW42=0),50000,0))+IF($H42=1,INDEX('calcA'!$D$180:$EQ$219,$B42,7)*4000,0)-IF(AND('calcA'!I$117=1,UG42&gt;0),2000,0)-IF(AND($U42=1,'calcA'!J$117=1,DI42=0),2000,0))),1000000000))</f>
        <v/>
      </c>
      <c r="OM42">
        <f>IF($B42=0,1000000000,IF(INDEX('calcA'!$D$60:$EQ$99,$B42,8)*IF($W42=1,DI42+ZX42,DI42)=1,IF(AND($E42=2,IF($W42=1,AFM42,IX42)=0),1000000000,IF($V42=1,INDEX('calcA'!$D$130:$EQ$169,$B42,8)+IF(AND($E42=1,IX42=0),25,0),IF($F42&gt;0,INDEX('calcA'!K$110:K$114,$F42+1)+IF(AND($E42=1,IX42=0),1000,0),MIN(TU42,20)*400+(IF('calcA'!J$106=1,1-DH42,0)+IF('calcA'!K$106=1,1-DJ42,0))*150+81+'calcA'!K$5*100000+IF(AND($E42=1,IX42=0),50000,0))+IF($H42=1,INDEX('calcA'!$D$180:$EQ$219,$B42,8)*4000,0)-IF(AND('calcA'!J$117=1,UH42&gt;0),2000,0)-IF(AND($U42=1,'calcA'!K$117=1,DJ42=0),2000,0))),1000000000))</f>
        <v/>
      </c>
      <c r="ON42">
        <f>IF($B42=0,1000000000,IF(INDEX('calcA'!$D$60:$EQ$99,$B42,9)*IF($W42=1,DJ42+ZY42,DJ42)=1,IF(AND($E42=2,IF($W42=1,AFN42,IY42)=0),1000000000,IF($V42=1,INDEX('calcA'!$D$130:$EQ$169,$B42,9)+IF(AND($E42=1,IY42=0),25,0),IF($F42&gt;0,INDEX('calcA'!L$110:L$114,$F42+1)+IF(AND($E42=1,IY42=0),1000,0),MIN(TU42,20)*400+(IF('calcA'!K$106=1,1-DI42,0)+IF('calcA'!L$106=1,1-DK42,0))*150+91+'calcA'!L$5*100000+IF(AND($E42=1,IY42=0),50000,0))+IF($H42=1,INDEX('calcA'!$D$180:$EQ$219,$B42,9)*4000,0)-IF(AND('calcA'!K$117=1,UI42&gt;0),2000,0)-IF(AND($U42=1,'calcA'!L$117=1,DK42=0),2000,0))),1000000000))</f>
        <v/>
      </c>
      <c r="OO42">
        <f>IF($B42=0,1000000000,IF(INDEX('calcA'!$D$60:$EQ$99,$B42,10)*IF($W42=1,DK42+ZZ42,DK42)=1,IF(AND($E42=2,IF($W42=1,AFO42,IZ42)=0),1000000000,IF($V42=1,INDEX('calcA'!$D$130:$EQ$169,$B42,10)+IF(AND($E42=1,IZ42=0),25,0),IF($F42&gt;0,INDEX('calcA'!M$110:M$114,$F42+1)+IF(AND($E42=1,IZ42=0),1000,0),MIN(TU42,20)*400+(IF('calcA'!L$106=1,1-DJ42,0)+IF('calcA'!M$106=1,1-DL42,0))*150+101+'calcA'!M$5*100000+IF(AND($E42=1,IZ42=0),50000,0))+IF($H42=1,INDEX('calcA'!$D$180:$EQ$219,$B42,10)*4000,0)-IF(AND('calcA'!L$117=1,UJ42&gt;0),2000,0)-IF(AND($U42=1,'calcA'!M$117=1,DL42=0),2000,0))),1000000000))</f>
        <v/>
      </c>
      <c r="OP42">
        <f>IF($B42=0,1000000000,IF(INDEX('calcA'!$D$60:$EQ$99,$B42,11)*IF($W42=1,DL42+AAA42,DL42)=1,IF(AND($E42=2,IF($W42=1,AFP42,JA42)=0),1000000000,IF($V42=1,INDEX('calcA'!$D$130:$EQ$169,$B42,11)+IF(AND($E42=1,JA42=0),25,0),IF($F42&gt;0,INDEX('calcA'!N$110:N$114,$F42+1)+IF(AND($E42=1,JA42=0),1000,0),MIN(TU42,20)*400+(IF('calcA'!M$106=1,1-DK42,0)+IF('calcA'!N$106=1,1-DM42,0))*150+111+'calcA'!N$5*100000+IF(AND($E42=1,JA42=0),50000,0))+IF($H42=1,INDEX('calcA'!$D$180:$EQ$219,$B42,11)*4000,0)-IF(AND('calcA'!M$117=1,UK42&gt;0),2000,0)-IF(AND($U42=1,'calcA'!N$117=1,DM42=0),2000,0))),1000000000))</f>
        <v/>
      </c>
      <c r="OQ42">
        <f>IF($B42=0,1000000000,IF(INDEX('calcA'!$D$60:$EQ$99,$B42,12)*IF($W42=1,DM42+AAB42,DM42)=1,IF(AND($E42=2,IF($W42=1,AFQ42,JB42)=0),1000000000,IF($V42=1,INDEX('calcA'!$D$130:$EQ$169,$B42,12)+IF(AND($E42=1,JB42=0),25,0),IF($F42&gt;0,INDEX('calcA'!O$110:O$114,$F42+1)+IF(AND($E42=1,JB42=0),1000,0),MIN(TU42,20)*400+(IF('calcA'!N$106=1,1-DL42,0)+IF('calcA'!O$106=1,1-DN42,0))*150+121+'calcA'!O$5*100000+IF(AND($E42=1,JB42=0),50000,0))+IF($H42=1,INDEX('calcA'!$D$180:$EQ$219,$B42,12)*4000,0)-IF(AND('calcA'!N$117=1,UL42&gt;0),2000,0)-IF(AND($U42=1,'calcA'!O$117=1,DN42=0),2000,0))),1000000000))</f>
        <v/>
      </c>
      <c r="OR42">
        <f>IF($B42=0,1000000000,IF(INDEX('calcA'!$D$60:$EQ$99,$B42,13)*IF($W42=1,DN42+AAC42,DN42)=1,IF(AND($E42=2,IF($W42=1,AFR42,JC42)=0),1000000000,IF($V42=1,INDEX('calcA'!$D$130:$EQ$169,$B42,13)+IF(AND($E42=1,JC42=0),25,0),IF($F42&gt;0,INDEX('calcA'!P$110:P$114,$F42+1)+IF(AND($E42=1,JC42=0),1000,0),MIN(TU42,20)*400+(IF('calcA'!O$106=1,1-DM42,0)+IF('calcA'!P$106=1,1-DO42,0))*150+131+'calcA'!P$5*100000+IF(AND($E42=1,JC42=0),50000,0))+IF($H42=1,INDEX('calcA'!$D$180:$EQ$219,$B42,13)*4000,0)-IF(AND('calcA'!O$117=1,UM42&gt;0),2000,0)-IF(AND($U42=1,'calcA'!P$117=1,DO42=0),2000,0))),1000000000))</f>
        <v/>
      </c>
      <c r="OS42">
        <f>IF($B42=0,1000000000,IF(INDEX('calcA'!$D$60:$EQ$99,$B42,14)*IF($W42=1,DO42+AAD42,DO42)=1,IF(AND($E42=2,IF($W42=1,AFS42,JD42)=0),1000000000,IF($V42=1,INDEX('calcA'!$D$130:$EQ$169,$B42,14)+IF(AND($E42=1,JD42=0),25,0),IF($F42&gt;0,INDEX('calcA'!Q$110:Q$114,$F42+1)+IF(AND($E42=1,JD42=0),1000,0),MIN(TU42,20)*400+(IF('calcA'!P$106=1,1-DN42,0)+IF('calcA'!Q$106=1,1-DP42,0))*150+141+'calcA'!Q$5*100000+IF(AND($E42=1,JD42=0),50000,0))+IF($H42=1,INDEX('calcA'!$D$180:$EQ$219,$B42,14)*4000,0)-IF(AND('calcA'!P$117=1,UN42&gt;0),2000,0)-IF(AND($U42=1,'calcA'!Q$117=1,DP42=0),2000,0))),1000000000))</f>
        <v/>
      </c>
      <c r="OT42">
        <f>IF($B42=0,1000000000,IF(INDEX('calcA'!$D$60:$EQ$99,$B42,15)*IF($W42=1,DP42+AAE42,DP42)=1,IF(AND($E42=2,IF($W42=1,AFT42,JE42)=0),1000000000,IF($V42=1,INDEX('calcA'!$D$130:$EQ$169,$B42,15)+IF(AND($E42=1,JE42=0),25,0),IF($F42&gt;0,INDEX('calcA'!R$110:R$114,$F42+1)+IF(AND($E42=1,JE42=0),1000,0),MIN(TU42,20)*400+(IF('calcA'!Q$106=1,1-DO42,0)+IF('calcA'!R$106=1,1-DQ42,0))*150+151+'calcA'!R$5*100000+IF(AND($E42=1,JE42=0),50000,0))+IF($H42=1,INDEX('calcA'!$D$180:$EQ$219,$B42,15)*4000,0)-IF(AND('calcA'!Q$117=1,UO42&gt;0),2000,0)-IF(AND($U42=1,'calcA'!R$117=1,DQ42=0),2000,0))),1000000000))</f>
        <v/>
      </c>
      <c r="OU42">
        <f>IF($B42=0,1000000000,IF(INDEX('calcA'!$D$60:$EQ$99,$B42,16)*IF($W42=1,DQ42+AAF42,DQ42)=1,IF(AND($E42=2,IF($W42=1,AFU42,JF42)=0),1000000000,IF($V42=1,INDEX('calcA'!$D$130:$EQ$169,$B42,16)+IF(AND($E42=1,JF42=0),25,0),IF($F42&gt;0,INDEX('calcA'!S$110:S$114,$F42+1)+IF(AND($E42=1,JF42=0),1000,0),MIN(TU42,20)*400+(IF('calcA'!R$106=1,1-DP42,0)+IF('calcA'!S$106=1,1-DR42,0))*150+161+'calcA'!S$5*100000+IF(AND($E42=1,JF42=0),50000,0))+IF($H42=1,INDEX('calcA'!$D$180:$EQ$219,$B42,16)*4000,0)-IF(AND('calcA'!R$117=1,UP42&gt;0),2000,0)-IF(AND($U42=1,'calcA'!S$117=1,DR42=0),2000,0))),1000000000))</f>
        <v/>
      </c>
      <c r="OV42">
        <f>IF($B42=0,1000000000,IF(INDEX('calcA'!$D$60:$EQ$99,$B42,17)*IF($W42=1,DR42+AAG42,DR42)=1,IF(AND($E42=2,IF($W42=1,AFV42,JG42)=0),1000000000,IF($V42=1,INDEX('calcA'!$D$130:$EQ$169,$B42,17)+IF(AND($E42=1,JG42=0),25,0),IF($F42&gt;0,INDEX('calcA'!T$110:T$114,$F42+1)+IF(AND($E42=1,JG42=0),1000,0),MIN(TU42,20)*400+(IF('calcA'!S$106=1,1-DQ42,0)+IF('calcA'!T$106=1,1-DS42,0))*150+171+'calcA'!T$5*100000+IF(AND($E42=1,JG42=0),50000,0))+IF($H42=1,INDEX('calcA'!$D$180:$EQ$219,$B42,17)*4000,0)-IF(AND('calcA'!S$117=1,UQ42&gt;0),2000,0)-IF(AND($U42=1,'calcA'!T$117=1,DS42=0),2000,0))),1000000000))</f>
        <v/>
      </c>
      <c r="OW42">
        <f>IF($B42=0,1000000000,IF(INDEX('calcA'!$D$60:$EQ$99,$B42,18)*IF($W42=1,DS42+AAH42,DS42)=1,IF(AND($E42=2,IF($W42=1,AFW42,JH42)=0),1000000000,IF($V42=1,INDEX('calcA'!$D$130:$EQ$169,$B42,18)+IF(AND($E42=1,JH42=0),25,0),IF($F42&gt;0,INDEX('calcA'!U$110:U$114,$F42+1)+IF(AND($E42=1,JH42=0),1000,0),MIN(TU42,20)*400+(IF('calcA'!T$106=1,1-DR42,0)+IF('calcA'!U$106=1,1-DT42,0))*150+181+'calcA'!U$5*100000+IF(AND($E42=1,JH42=0),50000,0))+IF($H42=1,INDEX('calcA'!$D$180:$EQ$219,$B42,18)*4000,0)-IF(AND('calcA'!T$117=1,UR42&gt;0),2000,0)-IF(AND($U42=1,'calcA'!U$117=1,DT42=0),2000,0))),1000000000))</f>
        <v/>
      </c>
      <c r="OX42">
        <f>IF($B42=0,1000000000,IF(INDEX('calcA'!$D$60:$EQ$99,$B42,19)*IF($W42=1,DT42+AAI42,DT42)=1,IF(AND($E42=2,IF($W42=1,AFX42,JI42)=0),1000000000,IF($V42=1,INDEX('calcA'!$D$130:$EQ$169,$B42,19)+IF(AND($E42=1,JI42=0),25,0),IF($F42&gt;0,INDEX('calcA'!V$110:V$114,$F42+1)+IF(AND($E42=1,JI42=0),1000,0),MIN(TU42,20)*400+(IF('calcA'!U$106=1,1-DS42,0)+IF('calcA'!V$106=1,1-DU42,0))*150+191+'calcA'!V$5*100000+IF(AND($E42=1,JI42=0),50000,0))+IF($H42=1,INDEX('calcA'!$D$180:$EQ$219,$B42,19)*4000,0)-IF(AND('calcA'!U$117=1,US42&gt;0),2000,0)-IF(AND($U42=1,'calcA'!V$117=1,DU42=0),2000,0))),1000000000))</f>
        <v/>
      </c>
      <c r="OY42">
        <f>IF($B42=0,1000000000,IF(INDEX('calcA'!$D$60:$EQ$99,$B42,20)*IF($W42=1,DU42+AAJ42,DU42)=1,IF(AND($E42=2,IF($W42=1,AFY42,JJ42)=0),1000000000,IF($V42=1,INDEX('calcA'!$D$130:$EQ$169,$B42,20)+IF(AND($E42=1,JJ42=0),25,0),IF($F42&gt;0,INDEX('calcA'!W$110:W$114,$F42+1)+IF(AND($E42=1,JJ42=0),1000,0),MIN(TU42,20)*400+(IF('calcA'!V$106=1,1-DT42,0)+IF('calcA'!W$106=1,1-DV42,0))*150+201+'calcA'!W$5*100000+IF(AND($E42=1,JJ42=0),50000,0))+IF($H42=1,INDEX('calcA'!$D$180:$EQ$219,$B42,20)*4000,0)-IF(AND('calcA'!V$117=1,UT42&gt;0),2000,0)-IF(AND($U42=1,'calcA'!W$117=1,DV42=0),2000,0))),1000000000))</f>
        <v/>
      </c>
      <c r="OZ42">
        <f>IF($B42=0,1000000000,IF(INDEX('calcA'!$D$60:$EQ$99,$B42,21)*IF($W42=1,DV42+AAK42,DV42)=1,IF(AND($E42=2,IF($W42=1,AFZ42,JK42)=0),1000000000,IF($V42=1,INDEX('calcA'!$D$130:$EQ$169,$B42,21)+IF(AND($E42=1,JK42=0),25,0),IF($F42&gt;0,INDEX('calcA'!X$110:X$114,$F42+1)+IF(AND($E42=1,JK42=0),1000,0),MIN(TU42,20)*400+(IF('calcA'!W$106=1,1-DU42,0)+IF('calcA'!X$106=1,1-DW42,0))*150+211+'calcA'!X$5*100000+IF(AND($E42=1,JK42=0),50000,0))+IF($H42=1,INDEX('calcA'!$D$180:$EQ$219,$B42,21)*4000,0)-IF(AND('calcA'!W$117=1,UU42&gt;0),2000,0)-IF(AND($U42=1,'calcA'!X$117=1,DW42=0),2000,0))),1000000000))</f>
        <v/>
      </c>
      <c r="PA42">
        <f>IF($B42=0,1000000000,IF(INDEX('calcA'!$D$60:$EQ$99,$B42,22)*IF($W42=1,DW42+AAL42,DW42)=1,IF(AND($E42=2,IF($W42=1,AGA42,JL42)=0),1000000000,IF($V42=1,INDEX('calcA'!$D$130:$EQ$169,$B42,22)+IF(AND($E42=1,JL42=0),25,0),IF($F42&gt;0,INDEX('calcA'!Y$110:Y$114,$F42+1)+IF(AND($E42=1,JL42=0),1000,0),MIN(TU42,20)*400+(IF('calcA'!X$106=1,1-DV42,0)+IF('calcA'!Y$106=1,1-DX42,0))*150+221+'calcA'!Y$5*100000+IF(AND($E42=1,JL42=0),50000,0))+IF($H42=1,INDEX('calcA'!$D$180:$EQ$219,$B42,22)*4000,0)-IF(AND('calcA'!X$117=1,UV42&gt;0),2000,0)-IF(AND($U42=1,'calcA'!Y$117=1,DX42=0),2000,0))),1000000000))</f>
        <v/>
      </c>
      <c r="PB42">
        <f>IF($B42=0,1000000000,IF(INDEX('calcA'!$D$60:$EQ$99,$B42,23)*IF($W42=1,DX42+AAM42,DX42)=1,IF(AND($E42=2,IF($W42=1,AGB42,JM42)=0),1000000000,IF($V42=1,INDEX('calcA'!$D$130:$EQ$169,$B42,23)+IF(AND($E42=1,JM42=0),25,0),IF($F42&gt;0,INDEX('calcA'!Z$110:Z$114,$F42+1)+IF(AND($E42=1,JM42=0),1000,0),MIN(TU42,20)*400+(IF('calcA'!Y$106=1,1-DW42,0)+IF('calcA'!Z$106=1,1-DY42,0))*150+231+'calcA'!Z$5*100000+IF(AND($E42=1,JM42=0),50000,0))+IF($H42=1,INDEX('calcA'!$D$180:$EQ$219,$B42,23)*4000,0)-IF(AND('calcA'!Y$117=1,UW42&gt;0),2000,0)-IF(AND($U42=1,'calcA'!Z$117=1,DY42=0),2000,0))),1000000000))</f>
        <v/>
      </c>
      <c r="PC42">
        <f>IF($B42=0,1000000000,IF(INDEX('calcA'!$D$60:$EQ$99,$B42,24)*IF($W42=1,DY42+AAN42,DY42)=1,IF(AND($E42=2,IF($W42=1,AGC42,JN42)=0),1000000000,IF($V42=1,INDEX('calcA'!$D$130:$EQ$169,$B42,24)+IF(AND($E42=1,JN42=0),25,0),IF($F42&gt;0,INDEX('calcA'!AA$110:AA$114,$F42+1)+IF(AND($E42=1,JN42=0),1000,0),MIN(TU42,20)*400+(IF('calcA'!Z$106=1,1-DX42,0))*150+241+'calcA'!AA$5*100000+IF(AND($E42=1,JN42=0),50000,0))+IF($H42=1,INDEX('calcA'!$D$180:$EQ$219,$B42,24)*4000,0)-IF(AND('calcA'!Z$117=1,UX42&gt;0),2000,0))),1000000000))</f>
        <v/>
      </c>
      <c r="PD42">
        <f>IF($B42=0,1000000000,IF(INDEX('calcA'!$D$60:$EQ$99,$B42,25)*IF($W42=1,DZ42+AAO42,DZ42)=1,IF(AND($E42=2,IF($W42=1,AGD42,JO42)=0),1000000000,IF($V42=1,INDEX('calcA'!$D$130:$EQ$169,$B42,25)+IF(AND($E42=1,JO42=0),25,0),IF($F42&gt;0,INDEX('calcA'!AB$110:AB$114,$F42+1)+IF(AND($E42=1,JO42=0),1000,0),MIN(TV42,20)*400+(IF('calcA'!AB$106=1,1-EA42,0))*150+12+'calcA'!AB$5*100000+IF(AND($E42=1,JO42=0),50000,0))+IF($H42=1,INDEX('calcA'!$D$180:$EQ$219,$B42,25)*4000,0)-IF(AND($U42=1,'calcA'!AB$117=1,EA42=0),2000,0))),1000000000))</f>
        <v/>
      </c>
      <c r="PE42">
        <f>IF($B42=0,1000000000,IF(INDEX('calcA'!$D$60:$EQ$99,$B42,26)*IF($W42=1,EA42+AAP42,EA42)=1,IF(AND($E42=2,IF($W42=1,AGE42,JP42)=0),1000000000,IF($V42=1,INDEX('calcA'!$D$130:$EQ$169,$B42,26)+IF(AND($E42=1,JP42=0),25,0),IF($F42&gt;0,INDEX('calcA'!AC$110:AC$114,$F42+1)+IF(AND($E42=1,JP42=0),1000,0),MIN(TV42,20)*400+(IF('calcA'!AB$106=1,1-DZ42,0)+IF('calcA'!AC$106=1,1-EB42,0))*150+22+'calcA'!AC$5*100000+IF(AND($E42=1,JP42=0),50000,0))+IF($H42=1,INDEX('calcA'!$D$180:$EQ$219,$B42,26)*4000,0)-IF(AND('calcA'!AB$117=1,UZ42&gt;0),2000,0)-IF(AND($U42=1,'calcA'!AC$117=1,EB42=0),2000,0))),1000000000))</f>
        <v/>
      </c>
      <c r="PF42">
        <f>IF($B42=0,1000000000,IF(INDEX('calcA'!$D$60:$EQ$99,$B42,27)*IF($W42=1,EB42+AAQ42,EB42)=1,IF(AND($E42=2,IF($W42=1,AGF42,JQ42)=0),1000000000,IF($V42=1,INDEX('calcA'!$D$130:$EQ$169,$B42,27)+IF(AND($E42=1,JQ42=0),25,0),IF($F42&gt;0,INDEX('calcA'!AD$110:AD$114,$F42+1)+IF(AND($E42=1,JQ42=0),1000,0),MIN(TV42,20)*400+(IF('calcA'!AC$106=1,1-EA42,0)+IF('calcA'!AD$106=1,1-EC42,0))*150+32+'calcA'!AD$5*100000+IF(AND($E42=1,JQ42=0),50000,0))+IF($H42=1,INDEX('calcA'!$D$180:$EQ$219,$B42,27)*4000,0)-IF(AND('calcA'!AC$117=1,VA42&gt;0),2000,0)-IF(AND($U42=1,'calcA'!AD$117=1,EC42=0),2000,0))),1000000000))</f>
        <v/>
      </c>
      <c r="PG42">
        <f>IF($B42=0,1000000000,IF(INDEX('calcA'!$D$60:$EQ$99,$B42,28)*IF($W42=1,EC42+AAR42,EC42)=1,IF(AND($E42=2,IF($W42=1,AGG42,JR42)=0),1000000000,IF($V42=1,INDEX('calcA'!$D$130:$EQ$169,$B42,28)+IF(AND($E42=1,JR42=0),25,0),IF($F42&gt;0,INDEX('calcA'!AE$110:AE$114,$F42+1)+IF(AND($E42=1,JR42=0),1000,0),MIN(TV42,20)*400+(IF('calcA'!AD$106=1,1-EB42,0)+IF('calcA'!AE$106=1,1-ED42,0))*150+42+'calcA'!AE$5*100000+IF(AND($E42=1,JR42=0),50000,0))+IF($H42=1,INDEX('calcA'!$D$180:$EQ$219,$B42,28)*4000,0)-IF(AND('calcA'!AD$117=1,VB42&gt;0),2000,0)-IF(AND($U42=1,'calcA'!AE$117=1,ED42=0),2000,0))),1000000000))</f>
        <v/>
      </c>
      <c r="PH42">
        <f>IF($B42=0,1000000000,IF(INDEX('calcA'!$D$60:$EQ$99,$B42,29)*IF($W42=1,ED42+AAS42,ED42)=1,IF(AND($E42=2,IF($W42=1,AGH42,JS42)=0),1000000000,IF($V42=1,INDEX('calcA'!$D$130:$EQ$169,$B42,29)+IF(AND($E42=1,JS42=0),25,0),IF($F42&gt;0,INDEX('calcA'!AF$110:AF$114,$F42+1)+IF(AND($E42=1,JS42=0),1000,0),MIN(TV42,20)*400+(IF('calcA'!AE$106=1,1-EC42,0)+IF('calcA'!AF$106=1,1-EE42,0))*150+52+'calcA'!AF$5*100000+IF(AND($E42=1,JS42=0),50000,0))+IF($H42=1,INDEX('calcA'!$D$180:$EQ$219,$B42,29)*4000,0)-IF(AND('calcA'!AE$117=1,VC42&gt;0),2000,0)-IF(AND($U42=1,'calcA'!AF$117=1,EE42=0),2000,0))),1000000000))</f>
        <v/>
      </c>
      <c r="PI42">
        <f>IF($B42=0,1000000000,IF(INDEX('calcA'!$D$60:$EQ$99,$B42,30)*IF($W42=1,EE42+AAT42,EE42)=1,IF(AND($E42=2,IF($W42=1,AGI42,JT42)=0),1000000000,IF($V42=1,INDEX('calcA'!$D$130:$EQ$169,$B42,30)+IF(AND($E42=1,JT42=0),25,0),IF($F42&gt;0,INDEX('calcA'!AG$110:AG$114,$F42+1)+IF(AND($E42=1,JT42=0),1000,0),MIN(TV42,20)*400+(IF('calcA'!AF$106=1,1-ED42,0)+IF('calcA'!AG$106=1,1-EF42,0))*150+62+'calcA'!AG$5*100000+IF(AND($E42=1,JT42=0),50000,0))+IF($H42=1,INDEX('calcA'!$D$180:$EQ$219,$B42,30)*4000,0)-IF(AND('calcA'!AF$117=1,VD42&gt;0),2000,0)-IF(AND($U42=1,'calcA'!AG$117=1,EF42=0),2000,0))),1000000000))</f>
        <v/>
      </c>
      <c r="PJ42">
        <f>IF($B42=0,1000000000,IF(INDEX('calcA'!$D$60:$EQ$99,$B42,31)*IF($W42=1,EF42+AAU42,EF42)=1,IF(AND($E42=2,IF($W42=1,AGJ42,JU42)=0),1000000000,IF($V42=1,INDEX('calcA'!$D$130:$EQ$169,$B42,31)+IF(AND($E42=1,JU42=0),25,0),IF($F42&gt;0,INDEX('calcA'!AH$110:AH$114,$F42+1)+IF(AND($E42=1,JU42=0),1000,0),MIN(TV42,20)*400+(IF('calcA'!AG$106=1,1-EE42,0)+IF('calcA'!AH$106=1,1-EG42,0))*150+72+'calcA'!AH$5*100000+IF(AND($E42=1,JU42=0),50000,0))+IF($H42=1,INDEX('calcA'!$D$180:$EQ$219,$B42,31)*4000,0)-IF(AND('calcA'!AG$117=1,VE42&gt;0),2000,0)-IF(AND($U42=1,'calcA'!AH$117=1,EG42=0),2000,0))),1000000000))</f>
        <v/>
      </c>
      <c r="PK42">
        <f>IF($B42=0,1000000000,IF(INDEX('calcA'!$D$60:$EQ$99,$B42,32)*IF($W42=1,EG42+AAV42,EG42)=1,IF(AND($E42=2,IF($W42=1,AGK42,JV42)=0),1000000000,IF($V42=1,INDEX('calcA'!$D$130:$EQ$169,$B42,32)+IF(AND($E42=1,JV42=0),25,0),IF($F42&gt;0,INDEX('calcA'!AI$110:AI$114,$F42+1)+IF(AND($E42=1,JV42=0),1000,0),MIN(TV42,20)*400+(IF('calcA'!AH$106=1,1-EF42,0)+IF('calcA'!AI$106=1,1-EH42,0))*150+82+'calcA'!AI$5*100000+IF(AND($E42=1,JV42=0),50000,0))+IF($H42=1,INDEX('calcA'!$D$180:$EQ$219,$B42,32)*4000,0)-IF(AND('calcA'!AH$117=1,VF42&gt;0),2000,0)-IF(AND($U42=1,'calcA'!AI$117=1,EH42=0),2000,0))),1000000000))</f>
        <v/>
      </c>
      <c r="PL42">
        <f>IF($B42=0,1000000000,IF(INDEX('calcA'!$D$60:$EQ$99,$B42,33)*IF($W42=1,EH42+AAW42,EH42)=1,IF(AND($E42=2,IF($W42=1,AGL42,JW42)=0),1000000000,IF($V42=1,INDEX('calcA'!$D$130:$EQ$169,$B42,33)+IF(AND($E42=1,JW42=0),25,0),IF($F42&gt;0,INDEX('calcA'!AJ$110:AJ$114,$F42+1)+IF(AND($E42=1,JW42=0),1000,0),MIN(TV42,20)*400+(IF('calcA'!AI$106=1,1-EG42,0)+IF('calcA'!AJ$106=1,1-EI42,0))*150+92+'calcA'!AJ$5*100000+IF(AND($E42=1,JW42=0),50000,0))+IF($H42=1,INDEX('calcA'!$D$180:$EQ$219,$B42,33)*4000,0)-IF(AND('calcA'!AI$117=1,VG42&gt;0),2000,0)-IF(AND($U42=1,'calcA'!AJ$117=1,EI42=0),2000,0))),1000000000))</f>
        <v/>
      </c>
      <c r="PM42">
        <f>IF($B42=0,1000000000,IF(INDEX('calcA'!$D$60:$EQ$99,$B42,34)*IF($W42=1,EI42+AAX42,EI42)=1,IF(AND($E42=2,IF($W42=1,AGM42,JX42)=0),1000000000,IF($V42=1,INDEX('calcA'!$D$130:$EQ$169,$B42,34)+IF(AND($E42=1,JX42=0),25,0),IF($F42&gt;0,INDEX('calcA'!AK$110:AK$114,$F42+1)+IF(AND($E42=1,JX42=0),1000,0),MIN(TV42,20)*400+(IF('calcA'!AJ$106=1,1-EH42,0)+IF('calcA'!AK$106=1,1-EJ42,0))*150+102+'calcA'!AK$5*100000+IF(AND($E42=1,JX42=0),50000,0))+IF($H42=1,INDEX('calcA'!$D$180:$EQ$219,$B42,34)*4000,0)-IF(AND('calcA'!AJ$117=1,VH42&gt;0),2000,0)-IF(AND($U42=1,'calcA'!AK$117=1,EJ42=0),2000,0))),1000000000))</f>
        <v/>
      </c>
      <c r="PN42">
        <f>IF($B42=0,1000000000,IF(INDEX('calcA'!$D$60:$EQ$99,$B42,35)*IF($W42=1,EJ42+AAY42,EJ42)=1,IF(AND($E42=2,IF($W42=1,AGN42,JY42)=0),1000000000,IF($V42=1,INDEX('calcA'!$D$130:$EQ$169,$B42,35)+IF(AND($E42=1,JY42=0),25,0),IF($F42&gt;0,INDEX('calcA'!AL$110:AL$114,$F42+1)+IF(AND($E42=1,JY42=0),1000,0),MIN(TV42,20)*400+(IF('calcA'!AK$106=1,1-EI42,0)+IF('calcA'!AL$106=1,1-EK42,0))*150+112+'calcA'!AL$5*100000+IF(AND($E42=1,JY42=0),50000,0))+IF($H42=1,INDEX('calcA'!$D$180:$EQ$219,$B42,35)*4000,0)-IF(AND('calcA'!AK$117=1,VI42&gt;0),2000,0)-IF(AND($U42=1,'calcA'!AL$117=1,EK42=0),2000,0))),1000000000))</f>
        <v/>
      </c>
      <c r="PO42">
        <f>IF($B42=0,1000000000,IF(INDEX('calcA'!$D$60:$EQ$99,$B42,36)*IF($W42=1,EK42+AAZ42,EK42)=1,IF(AND($E42=2,IF($W42=1,AGO42,JZ42)=0),1000000000,IF($V42=1,INDEX('calcA'!$D$130:$EQ$169,$B42,36)+IF(AND($E42=1,JZ42=0),25,0),IF($F42&gt;0,INDEX('calcA'!AM$110:AM$114,$F42+1)+IF(AND($E42=1,JZ42=0),1000,0),MIN(TV42,20)*400+(IF('calcA'!AL$106=1,1-EJ42,0)+IF('calcA'!AM$106=1,1-EL42,0))*150+122+'calcA'!AM$5*100000+IF(AND($E42=1,JZ42=0),50000,0))+IF($H42=1,INDEX('calcA'!$D$180:$EQ$219,$B42,36)*4000,0)-IF(AND('calcA'!AL$117=1,VJ42&gt;0),2000,0)-IF(AND($U42=1,'calcA'!AM$117=1,EL42=0),2000,0))),1000000000))</f>
        <v/>
      </c>
      <c r="PP42">
        <f>IF($B42=0,1000000000,IF(INDEX('calcA'!$D$60:$EQ$99,$B42,37)*IF($W42=1,EL42+ABA42,EL42)=1,IF(AND($E42=2,IF($W42=1,AGP42,KA42)=0),1000000000,IF($V42=1,INDEX('calcA'!$D$130:$EQ$169,$B42,37)+IF(AND($E42=1,KA42=0),25,0),IF($F42&gt;0,INDEX('calcA'!AN$110:AN$114,$F42+1)+IF(AND($E42=1,KA42=0),1000,0),MIN(TV42,20)*400+(IF('calcA'!AM$106=1,1-EK42,0)+IF('calcA'!AN$106=1,1-EM42,0))*150+132+'calcA'!AN$5*100000+IF(AND($E42=1,KA42=0),50000,0))+IF($H42=1,INDEX('calcA'!$D$180:$EQ$219,$B42,37)*4000,0)-IF(AND('calcA'!AM$117=1,VK42&gt;0),2000,0)-IF(AND($U42=1,'calcA'!AN$117=1,EM42=0),2000,0))),1000000000))</f>
        <v/>
      </c>
      <c r="PQ42">
        <f>IF($B42=0,1000000000,IF(INDEX('calcA'!$D$60:$EQ$99,$B42,38)*IF($W42=1,EM42+ABB42,EM42)=1,IF(AND($E42=2,IF($W42=1,AGQ42,KB42)=0),1000000000,IF($V42=1,INDEX('calcA'!$D$130:$EQ$169,$B42,38)+IF(AND($E42=1,KB42=0),25,0),IF($F42&gt;0,INDEX('calcA'!AO$110:AO$114,$F42+1)+IF(AND($E42=1,KB42=0),1000,0),MIN(TV42,20)*400+(IF('calcA'!AN$106=1,1-EL42,0)+IF('calcA'!AO$106=1,1-EN42,0))*150+142+'calcA'!AO$5*100000+IF(AND($E42=1,KB42=0),50000,0))+IF($H42=1,INDEX('calcA'!$D$180:$EQ$219,$B42,38)*4000,0)-IF(AND('calcA'!AN$117=1,VL42&gt;0),2000,0)-IF(AND($U42=1,'calcA'!AO$117=1,EN42=0),2000,0))),1000000000))</f>
        <v/>
      </c>
      <c r="PR42">
        <f>IF($B42=0,1000000000,IF(INDEX('calcA'!$D$60:$EQ$99,$B42,39)*IF($W42=1,EN42+ABC42,EN42)=1,IF(AND($E42=2,IF($W42=1,AGR42,KC42)=0),1000000000,IF($V42=1,INDEX('calcA'!$D$130:$EQ$169,$B42,39)+IF(AND($E42=1,KC42=0),25,0),IF($F42&gt;0,INDEX('calcA'!AP$110:AP$114,$F42+1)+IF(AND($E42=1,KC42=0),1000,0),MIN(TV42,20)*400+(IF('calcA'!AO$106=1,1-EM42,0)+IF('calcA'!AP$106=1,1-EO42,0))*150+152+'calcA'!AP$5*100000+IF(AND($E42=1,KC42=0),50000,0))+IF($H42=1,INDEX('calcA'!$D$180:$EQ$219,$B42,39)*4000,0)-IF(AND('calcA'!AO$117=1,VM42&gt;0),2000,0)-IF(AND($U42=1,'calcA'!AP$117=1,EO42=0),2000,0))),1000000000))</f>
        <v/>
      </c>
      <c r="PS42">
        <f>IF($B42=0,1000000000,IF(INDEX('calcA'!$D$60:$EQ$99,$B42,40)*IF($W42=1,EO42+ABD42,EO42)=1,IF(AND($E42=2,IF($W42=1,AGS42,KD42)=0),1000000000,IF($V42=1,INDEX('calcA'!$D$130:$EQ$169,$B42,40)+IF(AND($E42=1,KD42=0),25,0),IF($F42&gt;0,INDEX('calcA'!AQ$110:AQ$114,$F42+1)+IF(AND($E42=1,KD42=0),1000,0),MIN(TV42,20)*400+(IF('calcA'!AP$106=1,1-EN42,0)+IF('calcA'!AQ$106=1,1-EP42,0))*150+162+'calcA'!AQ$5*100000+IF(AND($E42=1,KD42=0),50000,0))+IF($H42=1,INDEX('calcA'!$D$180:$EQ$219,$B42,40)*4000,0)-IF(AND('calcA'!AP$117=1,VN42&gt;0),2000,0)-IF(AND($U42=1,'calcA'!AQ$117=1,EP42=0),2000,0))),1000000000))</f>
        <v/>
      </c>
      <c r="PT42">
        <f>IF($B42=0,1000000000,IF(INDEX('calcA'!$D$60:$EQ$99,$B42,41)*IF($W42=1,EP42+ABE42,EP42)=1,IF(AND($E42=2,IF($W42=1,AGT42,KE42)=0),1000000000,IF($V42=1,INDEX('calcA'!$D$130:$EQ$169,$B42,41)+IF(AND($E42=1,KE42=0),25,0),IF($F42&gt;0,INDEX('calcA'!AR$110:AR$114,$F42+1)+IF(AND($E42=1,KE42=0),1000,0),MIN(TV42,20)*400+(IF('calcA'!AQ$106=1,1-EO42,0)+IF('calcA'!AR$106=1,1-EQ42,0))*150+172+'calcA'!AR$5*100000+IF(AND($E42=1,KE42=0),50000,0))+IF($H42=1,INDEX('calcA'!$D$180:$EQ$219,$B42,41)*4000,0)-IF(AND('calcA'!AQ$117=1,VO42&gt;0),2000,0)-IF(AND($U42=1,'calcA'!AR$117=1,EQ42=0),2000,0))),1000000000))</f>
        <v/>
      </c>
      <c r="PU42">
        <f>IF($B42=0,1000000000,IF(INDEX('calcA'!$D$60:$EQ$99,$B42,42)*IF($W42=1,EQ42+ABF42,EQ42)=1,IF(AND($E42=2,IF($W42=1,AGU42,KF42)=0),1000000000,IF($V42=1,INDEX('calcA'!$D$130:$EQ$169,$B42,42)+IF(AND($E42=1,KF42=0),25,0),IF($F42&gt;0,INDEX('calcA'!AS$110:AS$114,$F42+1)+IF(AND($E42=1,KF42=0),1000,0),MIN(TV42,20)*400+(IF('calcA'!AR$106=1,1-EP42,0)+IF('calcA'!AS$106=1,1-ER42,0))*150+182+'calcA'!AS$5*100000+IF(AND($E42=1,KF42=0),50000,0))+IF($H42=1,INDEX('calcA'!$D$180:$EQ$219,$B42,42)*4000,0)-IF(AND('calcA'!AR$117=1,VP42&gt;0),2000,0)-IF(AND($U42=1,'calcA'!AS$117=1,ER42=0),2000,0))),1000000000))</f>
        <v/>
      </c>
      <c r="PV42">
        <f>IF($B42=0,1000000000,IF(INDEX('calcA'!$D$60:$EQ$99,$B42,43)*IF($W42=1,ER42+ABG42,ER42)=1,IF(AND($E42=2,IF($W42=1,AGV42,KG42)=0),1000000000,IF($V42=1,INDEX('calcA'!$D$130:$EQ$169,$B42,43)+IF(AND($E42=1,KG42=0),25,0),IF($F42&gt;0,INDEX('calcA'!AT$110:AT$114,$F42+1)+IF(AND($E42=1,KG42=0),1000,0),MIN(TV42,20)*400+(IF('calcA'!AS$106=1,1-EQ42,0)+IF('calcA'!AT$106=1,1-ES42,0))*150+192+'calcA'!AT$5*100000+IF(AND($E42=1,KG42=0),50000,0))+IF($H42=1,INDEX('calcA'!$D$180:$EQ$219,$B42,43)*4000,0)-IF(AND('calcA'!AS$117=1,VQ42&gt;0),2000,0)-IF(AND($U42=1,'calcA'!AT$117=1,ES42=0),2000,0))),1000000000))</f>
        <v/>
      </c>
      <c r="PW42">
        <f>IF($B42=0,1000000000,IF(INDEX('calcA'!$D$60:$EQ$99,$B42,44)*IF($W42=1,ES42+ABH42,ES42)=1,IF(AND($E42=2,IF($W42=1,AGW42,KH42)=0),1000000000,IF($V42=1,INDEX('calcA'!$D$130:$EQ$169,$B42,44)+IF(AND($E42=1,KH42=0),25,0),IF($F42&gt;0,INDEX('calcA'!AU$110:AU$114,$F42+1)+IF(AND($E42=1,KH42=0),1000,0),MIN(TV42,20)*400+(IF('calcA'!AT$106=1,1-ER42,0)+IF('calcA'!AU$106=1,1-ET42,0))*150+202+'calcA'!AU$5*100000+IF(AND($E42=1,KH42=0),50000,0))+IF($H42=1,INDEX('calcA'!$D$180:$EQ$219,$B42,44)*4000,0)-IF(AND('calcA'!AT$117=1,VR42&gt;0),2000,0)-IF(AND($U42=1,'calcA'!AU$117=1,ET42=0),2000,0))),1000000000))</f>
        <v/>
      </c>
      <c r="PX42">
        <f>IF($B42=0,1000000000,IF(INDEX('calcA'!$D$60:$EQ$99,$B42,45)*IF($W42=1,ET42+ABI42,ET42)=1,IF(AND($E42=2,IF($W42=1,AGX42,KI42)=0),1000000000,IF($V42=1,INDEX('calcA'!$D$130:$EQ$169,$B42,45)+IF(AND($E42=1,KI42=0),25,0),IF($F42&gt;0,INDEX('calcA'!AV$110:AV$114,$F42+1)+IF(AND($E42=1,KI42=0),1000,0),MIN(TV42,20)*400+(IF('calcA'!AU$106=1,1-ES42,0)+IF('calcA'!AV$106=1,1-EU42,0))*150+212+'calcA'!AV$5*100000+IF(AND($E42=1,KI42=0),50000,0))+IF($H42=1,INDEX('calcA'!$D$180:$EQ$219,$B42,45)*4000,0)-IF(AND('calcA'!AU$117=1,VS42&gt;0),2000,0)-IF(AND($U42=1,'calcA'!AV$117=1,EU42=0),2000,0))),1000000000))</f>
        <v/>
      </c>
      <c r="PY42">
        <f>IF($B42=0,1000000000,IF(INDEX('calcA'!$D$60:$EQ$99,$B42,46)*IF($W42=1,EU42+ABJ42,EU42)=1,IF(AND($E42=2,IF($W42=1,AGY42,KJ42)=0),1000000000,IF($V42=1,INDEX('calcA'!$D$130:$EQ$169,$B42,46)+IF(AND($E42=1,KJ42=0),25,0),IF($F42&gt;0,INDEX('calcA'!AW$110:AW$114,$F42+1)+IF(AND($E42=1,KJ42=0),1000,0),MIN(TV42,20)*400+(IF('calcA'!AV$106=1,1-ET42,0)+IF('calcA'!AW$106=1,1-EV42,0))*150+222+'calcA'!AW$5*100000+IF(AND($E42=1,KJ42=0),50000,0))+IF($H42=1,INDEX('calcA'!$D$180:$EQ$219,$B42,46)*4000,0)-IF(AND('calcA'!AV$117=1,VT42&gt;0),2000,0)-IF(AND($U42=1,'calcA'!AW$117=1,EV42=0),2000,0))),1000000000))</f>
        <v/>
      </c>
      <c r="PZ42">
        <f>IF($B42=0,1000000000,IF(INDEX('calcA'!$D$60:$EQ$99,$B42,47)*IF($W42=1,EV42+ABK42,EV42)=1,IF(AND($E42=2,IF($W42=1,AGZ42,KK42)=0),1000000000,IF($V42=1,INDEX('calcA'!$D$130:$EQ$169,$B42,47)+IF(AND($E42=1,KK42=0),25,0),IF($F42&gt;0,INDEX('calcA'!AX$110:AX$114,$F42+1)+IF(AND($E42=1,KK42=0),1000,0),MIN(TV42,20)*400+(IF('calcA'!AW$106=1,1-EU42,0)+IF('calcA'!AX$106=1,1-EW42,0))*150+232+'calcA'!AX$5*100000+IF(AND($E42=1,KK42=0),50000,0))+IF($H42=1,INDEX('calcA'!$D$180:$EQ$219,$B42,47)*4000,0)-IF(AND('calcA'!AW$117=1,VU42&gt;0),2000,0)-IF(AND($U42=1,'calcA'!AX$117=1,EW42=0),2000,0))),1000000000))</f>
        <v/>
      </c>
      <c r="QA42">
        <f>IF($B42=0,1000000000,IF(INDEX('calcA'!$D$60:$EQ$99,$B42,48)*IF($W42=1,EW42+ABL42,EW42)=1,IF(AND($E42=2,IF($W42=1,AHA42,KL42)=0),1000000000,IF($V42=1,INDEX('calcA'!$D$130:$EQ$169,$B42,48)+IF(AND($E42=1,KL42=0),25,0),IF($F42&gt;0,INDEX('calcA'!AY$110:AY$114,$F42+1)+IF(AND($E42=1,KL42=0),1000,0),MIN(TV42,20)*400+(IF('calcA'!AX$106=1,1-EV42,0))*150+242+'calcA'!AY$5*100000+IF(AND($E42=1,KL42=0),50000,0))+IF($H42=1,INDEX('calcA'!$D$180:$EQ$219,$B42,48)*4000,0)-IF(AND('calcA'!AX$117=1,VV42&gt;0),2000,0))),1000000000))</f>
        <v/>
      </c>
      <c r="QB42">
        <f>IF($B42=0,1000000000,IF(INDEX('calcA'!$D$60:$EQ$99,$B42,49)*IF($W42=1,EX42+ABM42,EX42)=1,IF(AND($E42=2,IF($W42=1,AHB42,KM42)=0),1000000000,IF($V42=1,INDEX('calcA'!$D$130:$EQ$169,$B42,49)+IF(AND($E42=1,KM42=0),25,0),IF($F42&gt;0,INDEX('calcA'!AZ$110:AZ$114,$F42+1)+IF(AND($E42=1,KM42=0),1000,0),MIN(TW42,20)*400+(IF('calcA'!AZ$106=1,1-EY42,0))*150+13+'calcA'!AZ$5*100000+IF(AND($E42=1,KM42=0),50000,0))+IF($H42=1,INDEX('calcA'!$D$180:$EQ$219,$B42,49)*4000,0)-IF(AND($U42=1,'calcA'!AZ$117=1,EY42=0),2000,0))),1000000000))</f>
        <v/>
      </c>
      <c r="QC42">
        <f>IF($B42=0,1000000000,IF(INDEX('calcA'!$D$60:$EQ$99,$B42,50)*IF($W42=1,EY42+ABN42,EY42)=1,IF(AND($E42=2,IF($W42=1,AHC42,KN42)=0),1000000000,IF($V42=1,INDEX('calcA'!$D$130:$EQ$169,$B42,50)+IF(AND($E42=1,KN42=0),25,0),IF($F42&gt;0,INDEX('calcA'!BA$110:BA$114,$F42+1)+IF(AND($E42=1,KN42=0),1000,0),MIN(TW42,20)*400+(IF('calcA'!AZ$106=1,1-EX42,0)+IF('calcA'!BA$106=1,1-EZ42,0))*150+23+'calcA'!BA$5*100000+IF(AND($E42=1,KN42=0),50000,0))+IF($H42=1,INDEX('calcA'!$D$180:$EQ$219,$B42,50)*4000,0)-IF(AND('calcA'!AZ$117=1,VX42&gt;0),2000,0)-IF(AND($U42=1,'calcA'!BA$117=1,EZ42=0),2000,0))),1000000000))</f>
        <v/>
      </c>
      <c r="QD42">
        <f>IF($B42=0,1000000000,IF(INDEX('calcA'!$D$60:$EQ$99,$B42,51)*IF($W42=1,EZ42+ABO42,EZ42)=1,IF(AND($E42=2,IF($W42=1,AHD42,KO42)=0),1000000000,IF($V42=1,INDEX('calcA'!$D$130:$EQ$169,$B42,51)+IF(AND($E42=1,KO42=0),25,0),IF($F42&gt;0,INDEX('calcA'!BB$110:BB$114,$F42+1)+IF(AND($E42=1,KO42=0),1000,0),MIN(TW42,20)*400+(IF('calcA'!BA$106=1,1-EY42,0)+IF('calcA'!BB$106=1,1-FA42,0))*150+33+'calcA'!BB$5*100000+IF(AND($E42=1,KO42=0),50000,0))+IF($H42=1,INDEX('calcA'!$D$180:$EQ$219,$B42,51)*4000,0)-IF(AND('calcA'!BA$117=1,VY42&gt;0),2000,0)-IF(AND($U42=1,'calcA'!BB$117=1,FA42=0),2000,0))),1000000000))</f>
        <v/>
      </c>
      <c r="QE42">
        <f>IF($B42=0,1000000000,IF(INDEX('calcA'!$D$60:$EQ$99,$B42,52)*IF($W42=1,FA42+ABP42,FA42)=1,IF(AND($E42=2,IF($W42=1,AHE42,KP42)=0),1000000000,IF($V42=1,INDEX('calcA'!$D$130:$EQ$169,$B42,52)+IF(AND($E42=1,KP42=0),25,0),IF($F42&gt;0,INDEX('calcA'!BC$110:BC$114,$F42+1)+IF(AND($E42=1,KP42=0),1000,0),MIN(TW42,20)*400+(IF('calcA'!BB$106=1,1-EZ42,0)+IF('calcA'!BC$106=1,1-FB42,0))*150+43+'calcA'!BC$5*100000+IF(AND($E42=1,KP42=0),50000,0))+IF($H42=1,INDEX('calcA'!$D$180:$EQ$219,$B42,52)*4000,0)-IF(AND('calcA'!BB$117=1,VZ42&gt;0),2000,0)-IF(AND($U42=1,'calcA'!BC$117=1,FB42=0),2000,0))),1000000000))</f>
        <v/>
      </c>
      <c r="QF42">
        <f>IF($B42=0,1000000000,IF(INDEX('calcA'!$D$60:$EQ$99,$B42,53)*IF($W42=1,FB42+ABQ42,FB42)=1,IF(AND($E42=2,IF($W42=1,AHF42,KQ42)=0),1000000000,IF($V42=1,INDEX('calcA'!$D$130:$EQ$169,$B42,53)+IF(AND($E42=1,KQ42=0),25,0),IF($F42&gt;0,INDEX('calcA'!BD$110:BD$114,$F42+1)+IF(AND($E42=1,KQ42=0),1000,0),MIN(TW42,20)*400+(IF('calcA'!BC$106=1,1-FA42,0)+IF('calcA'!BD$106=1,1-FC42,0))*150+53+'calcA'!BD$5*100000+IF(AND($E42=1,KQ42=0),50000,0))+IF($H42=1,INDEX('calcA'!$D$180:$EQ$219,$B42,53)*4000,0)-IF(AND('calcA'!BC$117=1,WA42&gt;0),2000,0)-IF(AND($U42=1,'calcA'!BD$117=1,FC42=0),2000,0))),1000000000))</f>
        <v/>
      </c>
      <c r="QG42">
        <f>IF($B42=0,1000000000,IF(INDEX('calcA'!$D$60:$EQ$99,$B42,54)*IF($W42=1,FC42+ABR42,FC42)=1,IF(AND($E42=2,IF($W42=1,AHG42,KR42)=0),1000000000,IF($V42=1,INDEX('calcA'!$D$130:$EQ$169,$B42,54)+IF(AND($E42=1,KR42=0),25,0),IF($F42&gt;0,INDEX('calcA'!BE$110:BE$114,$F42+1)+IF(AND($E42=1,KR42=0),1000,0),MIN(TW42,20)*400+(IF('calcA'!BD$106=1,1-FB42,0)+IF('calcA'!BE$106=1,1-FD42,0))*150+63+'calcA'!BE$5*100000+IF(AND($E42=1,KR42=0),50000,0))+IF($H42=1,INDEX('calcA'!$D$180:$EQ$219,$B42,54)*4000,0)-IF(AND('calcA'!BD$117=1,WB42&gt;0),2000,0)-IF(AND($U42=1,'calcA'!BE$117=1,FD42=0),2000,0))),1000000000))</f>
        <v/>
      </c>
      <c r="QH42">
        <f>IF($B42=0,1000000000,IF(INDEX('calcA'!$D$60:$EQ$99,$B42,55)*IF($W42=1,FD42+ABS42,FD42)=1,IF(AND($E42=2,IF($W42=1,AHH42,KS42)=0),1000000000,IF($V42=1,INDEX('calcA'!$D$130:$EQ$169,$B42,55)+IF(AND($E42=1,KS42=0),25,0),IF($F42&gt;0,INDEX('calcA'!BF$110:BF$114,$F42+1)+IF(AND($E42=1,KS42=0),1000,0),MIN(TW42,20)*400+(IF('calcA'!BE$106=1,1-FC42,0)+IF('calcA'!BF$106=1,1-FE42,0))*150+73+'calcA'!BF$5*100000+IF(AND($E42=1,KS42=0),50000,0))+IF($H42=1,INDEX('calcA'!$D$180:$EQ$219,$B42,55)*4000,0)-IF(AND('calcA'!BE$117=1,WC42&gt;0),2000,0)-IF(AND($U42=1,'calcA'!BF$117=1,FE42=0),2000,0))),1000000000))</f>
        <v/>
      </c>
      <c r="QI42">
        <f>IF($B42=0,1000000000,IF(INDEX('calcA'!$D$60:$EQ$99,$B42,56)*IF($W42=1,FE42+ABT42,FE42)=1,IF(AND($E42=2,IF($W42=1,AHI42,KT42)=0),1000000000,IF($V42=1,INDEX('calcA'!$D$130:$EQ$169,$B42,56)+IF(AND($E42=1,KT42=0),25,0),IF($F42&gt;0,INDEX('calcA'!BG$110:BG$114,$F42+1)+IF(AND($E42=1,KT42=0),1000,0),MIN(TW42,20)*400+(IF('calcA'!BF$106=1,1-FD42,0)+IF('calcA'!BG$106=1,1-FF42,0))*150+83+'calcA'!BG$5*100000+IF(AND($E42=1,KT42=0),50000,0))+IF($H42=1,INDEX('calcA'!$D$180:$EQ$219,$B42,56)*4000,0)-IF(AND('calcA'!BF$117=1,WD42&gt;0),2000,0)-IF(AND($U42=1,'calcA'!BG$117=1,FF42=0),2000,0))),1000000000))</f>
        <v/>
      </c>
      <c r="QJ42">
        <f>IF($B42=0,1000000000,IF(INDEX('calcA'!$D$60:$EQ$99,$B42,57)*IF($W42=1,FF42+ABU42,FF42)=1,IF(AND($E42=2,IF($W42=1,AHJ42,KU42)=0),1000000000,IF($V42=1,INDEX('calcA'!$D$130:$EQ$169,$B42,57)+IF(AND($E42=1,KU42=0),25,0),IF($F42&gt;0,INDEX('calcA'!BH$110:BH$114,$F42+1)+IF(AND($E42=1,KU42=0),1000,0),MIN(TW42,20)*400+(IF('calcA'!BG$106=1,1-FE42,0)+IF('calcA'!BH$106=1,1-FG42,0))*150+93+'calcA'!BH$5*100000+IF(AND($E42=1,KU42=0),50000,0))+IF($H42=1,INDEX('calcA'!$D$180:$EQ$219,$B42,57)*4000,0)-IF(AND('calcA'!BG$117=1,WE42&gt;0),2000,0)-IF(AND($U42=1,'calcA'!BH$117=1,FG42=0),2000,0))),1000000000))</f>
        <v/>
      </c>
      <c r="QK42">
        <f>IF($B42=0,1000000000,IF(INDEX('calcA'!$D$60:$EQ$99,$B42,58)*IF($W42=1,FG42+ABV42,FG42)=1,IF(AND($E42=2,IF($W42=1,AHK42,KV42)=0),1000000000,IF($V42=1,INDEX('calcA'!$D$130:$EQ$169,$B42,58)+IF(AND($E42=1,KV42=0),25,0),IF($F42&gt;0,INDEX('calcA'!BI$110:BI$114,$F42+1)+IF(AND($E42=1,KV42=0),1000,0),MIN(TW42,20)*400+(IF('calcA'!BH$106=1,1-FF42,0)+IF('calcA'!BI$106=1,1-FH42,0))*150+103+'calcA'!BI$5*100000+IF(AND($E42=1,KV42=0),50000,0))+IF($H42=1,INDEX('calcA'!$D$180:$EQ$219,$B42,58)*4000,0)-IF(AND('calcA'!BH$117=1,WF42&gt;0),2000,0)-IF(AND($U42=1,'calcA'!BI$117=1,FH42=0),2000,0))),1000000000))</f>
        <v/>
      </c>
      <c r="QL42">
        <f>IF($B42=0,1000000000,IF(INDEX('calcA'!$D$60:$EQ$99,$B42,59)*IF($W42=1,FH42+ABW42,FH42)=1,IF(AND($E42=2,IF($W42=1,AHL42,KW42)=0),1000000000,IF($V42=1,INDEX('calcA'!$D$130:$EQ$169,$B42,59)+IF(AND($E42=1,KW42=0),25,0),IF($F42&gt;0,INDEX('calcA'!BJ$110:BJ$114,$F42+1)+IF(AND($E42=1,KW42=0),1000,0),MIN(TW42,20)*400+(IF('calcA'!BI$106=1,1-FG42,0)+IF('calcA'!BJ$106=1,1-FI42,0))*150+113+'calcA'!BJ$5*100000+IF(AND($E42=1,KW42=0),50000,0))+IF($H42=1,INDEX('calcA'!$D$180:$EQ$219,$B42,59)*4000,0)-IF(AND('calcA'!BI$117=1,WG42&gt;0),2000,0)-IF(AND($U42=1,'calcA'!BJ$117=1,FI42=0),2000,0))),1000000000))</f>
        <v/>
      </c>
      <c r="QM42">
        <f>IF($B42=0,1000000000,IF(INDEX('calcA'!$D$60:$EQ$99,$B42,60)*IF($W42=1,FI42+ABX42,FI42)=1,IF(AND($E42=2,IF($W42=1,AHM42,KX42)=0),1000000000,IF($V42=1,INDEX('calcA'!$D$130:$EQ$169,$B42,60)+IF(AND($E42=1,KX42=0),25,0),IF($F42&gt;0,INDEX('calcA'!BK$110:BK$114,$F42+1)+IF(AND($E42=1,KX42=0),1000,0),MIN(TW42,20)*400+(IF('calcA'!BJ$106=1,1-FH42,0)+IF('calcA'!BK$106=1,1-FJ42,0))*150+123+'calcA'!BK$5*100000+IF(AND($E42=1,KX42=0),50000,0))+IF($H42=1,INDEX('calcA'!$D$180:$EQ$219,$B42,60)*4000,0)-IF(AND('calcA'!BJ$117=1,WH42&gt;0),2000,0)-IF(AND($U42=1,'calcA'!BK$117=1,FJ42=0),2000,0))),1000000000))</f>
        <v/>
      </c>
      <c r="QN42">
        <f>IF($B42=0,1000000000,IF(INDEX('calcA'!$D$60:$EQ$99,$B42,61)*IF($W42=1,FJ42+ABY42,FJ42)=1,IF(AND($E42=2,IF($W42=1,AHN42,KY42)=0),1000000000,IF($V42=1,INDEX('calcA'!$D$130:$EQ$169,$B42,61)+IF(AND($E42=1,KY42=0),25,0),IF($F42&gt;0,INDEX('calcA'!BL$110:BL$114,$F42+1)+IF(AND($E42=1,KY42=0),1000,0),MIN(TW42,20)*400+(IF('calcA'!BK$106=1,1-FI42,0)+IF('calcA'!BL$106=1,1-FK42,0))*150+133+'calcA'!BL$5*100000+IF(AND($E42=1,KY42=0),50000,0))+IF($H42=1,INDEX('calcA'!$D$180:$EQ$219,$B42,61)*4000,0)-IF(AND('calcA'!BK$117=1,WI42&gt;0),2000,0)-IF(AND($U42=1,'calcA'!BL$117=1,FK42=0),2000,0))),1000000000))</f>
        <v/>
      </c>
      <c r="QO42">
        <f>IF($B42=0,1000000000,IF(INDEX('calcA'!$D$60:$EQ$99,$B42,62)*IF($W42=1,FK42+ABZ42,FK42)=1,IF(AND($E42=2,IF($W42=1,AHO42,KZ42)=0),1000000000,IF($V42=1,INDEX('calcA'!$D$130:$EQ$169,$B42,62)+IF(AND($E42=1,KZ42=0),25,0),IF($F42&gt;0,INDEX('calcA'!BM$110:BM$114,$F42+1)+IF(AND($E42=1,KZ42=0),1000,0),MIN(TW42,20)*400+(IF('calcA'!BL$106=1,1-FJ42,0)+IF('calcA'!BM$106=1,1-FL42,0))*150+143+'calcA'!BM$5*100000+IF(AND($E42=1,KZ42=0),50000,0))+IF($H42=1,INDEX('calcA'!$D$180:$EQ$219,$B42,62)*4000,0)-IF(AND('calcA'!BL$117=1,WJ42&gt;0),2000,0)-IF(AND($U42=1,'calcA'!BM$117=1,FL42=0),2000,0))),1000000000))</f>
        <v/>
      </c>
      <c r="QP42">
        <f>IF($B42=0,1000000000,IF(INDEX('calcA'!$D$60:$EQ$99,$B42,63)*IF($W42=1,FL42+ACA42,FL42)=1,IF(AND($E42=2,IF($W42=1,AHP42,LA42)=0),1000000000,IF($V42=1,INDEX('calcA'!$D$130:$EQ$169,$B42,63)+IF(AND($E42=1,LA42=0),25,0),IF($F42&gt;0,INDEX('calcA'!BN$110:BN$114,$F42+1)+IF(AND($E42=1,LA42=0),1000,0),MIN(TW42,20)*400+(IF('calcA'!BM$106=1,1-FK42,0)+IF('calcA'!BN$106=1,1-FM42,0))*150+153+'calcA'!BN$5*100000+IF(AND($E42=1,LA42=0),50000,0))+IF($H42=1,INDEX('calcA'!$D$180:$EQ$219,$B42,63)*4000,0)-IF(AND('calcA'!BM$117=1,WK42&gt;0),2000,0)-IF(AND($U42=1,'calcA'!BN$117=1,FM42=0),2000,0))),1000000000))</f>
        <v/>
      </c>
      <c r="QQ42">
        <f>IF($B42=0,1000000000,IF(INDEX('calcA'!$D$60:$EQ$99,$B42,64)*IF($W42=1,FM42+ACB42,FM42)=1,IF(AND($E42=2,IF($W42=1,AHQ42,LB42)=0),1000000000,IF($V42=1,INDEX('calcA'!$D$130:$EQ$169,$B42,64)+IF(AND($E42=1,LB42=0),25,0),IF($F42&gt;0,INDEX('calcA'!BO$110:BO$114,$F42+1)+IF(AND($E42=1,LB42=0),1000,0),MIN(TW42,20)*400+(IF('calcA'!BN$106=1,1-FL42,0)+IF('calcA'!BO$106=1,1-FN42,0))*150+163+'calcA'!BO$5*100000+IF(AND($E42=1,LB42=0),50000,0))+IF($H42=1,INDEX('calcA'!$D$180:$EQ$219,$B42,64)*4000,0)-IF(AND('calcA'!BN$117=1,WL42&gt;0),2000,0)-IF(AND($U42=1,'calcA'!BO$117=1,FN42=0),2000,0))),1000000000))</f>
        <v/>
      </c>
      <c r="QR42">
        <f>IF($B42=0,1000000000,IF(INDEX('calcA'!$D$60:$EQ$99,$B42,65)*IF($W42=1,FN42+ACC42,FN42)=1,IF(AND($E42=2,IF($W42=1,AHR42,LC42)=0),1000000000,IF($V42=1,INDEX('calcA'!$D$130:$EQ$169,$B42,65)+IF(AND($E42=1,LC42=0),25,0),IF($F42&gt;0,INDEX('calcA'!BP$110:BP$114,$F42+1)+IF(AND($E42=1,LC42=0),1000,0),MIN(TW42,20)*400+(IF('calcA'!BO$106=1,1-FM42,0)+IF('calcA'!BP$106=1,1-FO42,0))*150+173+'calcA'!BP$5*100000+IF(AND($E42=1,LC42=0),50000,0))+IF($H42=1,INDEX('calcA'!$D$180:$EQ$219,$B42,65)*4000,0)-IF(AND('calcA'!BO$117=1,WM42&gt;0),2000,0)-IF(AND($U42=1,'calcA'!BP$117=1,FO42=0),2000,0))),1000000000))</f>
        <v/>
      </c>
      <c r="QS42">
        <f>IF($B42=0,1000000000,IF(INDEX('calcA'!$D$60:$EQ$99,$B42,66)*IF($W42=1,FO42+ACD42,FO42)=1,IF(AND($E42=2,IF($W42=1,AHS42,LD42)=0),1000000000,IF($V42=1,INDEX('calcA'!$D$130:$EQ$169,$B42,66)+IF(AND($E42=1,LD42=0),25,0),IF($F42&gt;0,INDEX('calcA'!BQ$110:BQ$114,$F42+1)+IF(AND($E42=1,LD42=0),1000,0),MIN(TW42,20)*400+(IF('calcA'!BP$106=1,1-FN42,0)+IF('calcA'!BQ$106=1,1-FP42,0))*150+183+'calcA'!BQ$5*100000+IF(AND($E42=1,LD42=0),50000,0))+IF($H42=1,INDEX('calcA'!$D$180:$EQ$219,$B42,66)*4000,0)-IF(AND('calcA'!BP$117=1,WN42&gt;0),2000,0)-IF(AND($U42=1,'calcA'!BQ$117=1,FP42=0),2000,0))),1000000000))</f>
        <v/>
      </c>
      <c r="QT42">
        <f>IF($B42=0,1000000000,IF(INDEX('calcA'!$D$60:$EQ$99,$B42,67)*IF($W42=1,FP42+ACE42,FP42)=1,IF(AND($E42=2,IF($W42=1,AHT42,LE42)=0),1000000000,IF($V42=1,INDEX('calcA'!$D$130:$EQ$169,$B42,67)+IF(AND($E42=1,LE42=0),25,0),IF($F42&gt;0,INDEX('calcA'!BR$110:BR$114,$F42+1)+IF(AND($E42=1,LE42=0),1000,0),MIN(TW42,20)*400+(IF('calcA'!BQ$106=1,1-FO42,0)+IF('calcA'!BR$106=1,1-FQ42,0))*150+193+'calcA'!BR$5*100000+IF(AND($E42=1,LE42=0),50000,0))+IF($H42=1,INDEX('calcA'!$D$180:$EQ$219,$B42,67)*4000,0)-IF(AND('calcA'!BQ$117=1,WO42&gt;0),2000,0)-IF(AND($U42=1,'calcA'!BR$117=1,FQ42=0),2000,0))),1000000000))</f>
        <v/>
      </c>
      <c r="QU42">
        <f>IF($B42=0,1000000000,IF(INDEX('calcA'!$D$60:$EQ$99,$B42,68)*IF($W42=1,FQ42+ACF42,FQ42)=1,IF(AND($E42=2,IF($W42=1,AHU42,LF42)=0),1000000000,IF($V42=1,INDEX('calcA'!$D$130:$EQ$169,$B42,68)+IF(AND($E42=1,LF42=0),25,0),IF($F42&gt;0,INDEX('calcA'!BS$110:BS$114,$F42+1)+IF(AND($E42=1,LF42=0),1000,0),MIN(TW42,20)*400+(IF('calcA'!BR$106=1,1-FP42,0)+IF('calcA'!BS$106=1,1-FR42,0))*150+203+'calcA'!BS$5*100000+IF(AND($E42=1,LF42=0),50000,0))+IF($H42=1,INDEX('calcA'!$D$180:$EQ$219,$B42,68)*4000,0)-IF(AND('calcA'!BR$117=1,WP42&gt;0),2000,0)-IF(AND($U42=1,'calcA'!BS$117=1,FR42=0),2000,0))),1000000000))</f>
        <v/>
      </c>
      <c r="QV42">
        <f>IF($B42=0,1000000000,IF(INDEX('calcA'!$D$60:$EQ$99,$B42,69)*IF($W42=1,FR42+ACG42,FR42)=1,IF(AND($E42=2,IF($W42=1,AHV42,LG42)=0),1000000000,IF($V42=1,INDEX('calcA'!$D$130:$EQ$169,$B42,69)+IF(AND($E42=1,LG42=0),25,0),IF($F42&gt;0,INDEX('calcA'!BT$110:BT$114,$F42+1)+IF(AND($E42=1,LG42=0),1000,0),MIN(TW42,20)*400+(IF('calcA'!BS$106=1,1-FQ42,0)+IF('calcA'!BT$106=1,1-FS42,0))*150+213+'calcA'!BT$5*100000+IF(AND($E42=1,LG42=0),50000,0))+IF($H42=1,INDEX('calcA'!$D$180:$EQ$219,$B42,69)*4000,0)-IF(AND('calcA'!BS$117=1,WQ42&gt;0),2000,0)-IF(AND($U42=1,'calcA'!BT$117=1,FS42=0),2000,0))),1000000000))</f>
        <v/>
      </c>
      <c r="QW42">
        <f>IF($B42=0,1000000000,IF(INDEX('calcA'!$D$60:$EQ$99,$B42,70)*IF($W42=1,FS42+ACH42,FS42)=1,IF(AND($E42=2,IF($W42=1,AHW42,LH42)=0),1000000000,IF($V42=1,INDEX('calcA'!$D$130:$EQ$169,$B42,70)+IF(AND($E42=1,LH42=0),25,0),IF($F42&gt;0,INDEX('calcA'!BU$110:BU$114,$F42+1)+IF(AND($E42=1,LH42=0),1000,0),MIN(TW42,20)*400+(IF('calcA'!BT$106=1,1-FR42,0)+IF('calcA'!BU$106=1,1-FT42,0))*150+223+'calcA'!BU$5*100000+IF(AND($E42=1,LH42=0),50000,0))+IF($H42=1,INDEX('calcA'!$D$180:$EQ$219,$B42,70)*4000,0)-IF(AND('calcA'!BT$117=1,WR42&gt;0),2000,0)-IF(AND($U42=1,'calcA'!BU$117=1,FT42=0),2000,0))),1000000000))</f>
        <v/>
      </c>
      <c r="QX42">
        <f>IF($B42=0,1000000000,IF(INDEX('calcA'!$D$60:$EQ$99,$B42,71)*IF($W42=1,FT42+ACI42,FT42)=1,IF(AND($E42=2,IF($W42=1,AHX42,LI42)=0),1000000000,IF($V42=1,INDEX('calcA'!$D$130:$EQ$169,$B42,71)+IF(AND($E42=1,LI42=0),25,0),IF($F42&gt;0,INDEX('calcA'!BV$110:BV$114,$F42+1)+IF(AND($E42=1,LI42=0),1000,0),MIN(TW42,20)*400+(IF('calcA'!BU$106=1,1-FS42,0)+IF('calcA'!BV$106=1,1-FU42,0))*150+233+'calcA'!BV$5*100000+IF(AND($E42=1,LI42=0),50000,0))+IF($H42=1,INDEX('calcA'!$D$180:$EQ$219,$B42,71)*4000,0)-IF(AND('calcA'!BU$117=1,WS42&gt;0),2000,0)-IF(AND($U42=1,'calcA'!BV$117=1,FU42=0),2000,0))),1000000000))</f>
        <v/>
      </c>
      <c r="QY42">
        <f>IF($B42=0,1000000000,IF(INDEX('calcA'!$D$60:$EQ$99,$B42,72)*IF($W42=1,FU42+ACJ42,FU42)=1,IF(AND($E42=2,IF($W42=1,AHY42,LJ42)=0),1000000000,IF($V42=1,INDEX('calcA'!$D$130:$EQ$169,$B42,72)+IF(AND($E42=1,LJ42=0),25,0),IF($F42&gt;0,INDEX('calcA'!BW$110:BW$114,$F42+1)+IF(AND($E42=1,LJ42=0),1000,0),MIN(TW42,20)*400+(IF('calcA'!BV$106=1,1-FT42,0))*150+243+'calcA'!BW$5*100000+IF(AND($E42=1,LJ42=0),50000,0))+IF($H42=1,INDEX('calcA'!$D$180:$EQ$219,$B42,72)*4000,0)-IF(AND('calcA'!BV$117=1,WT42&gt;0),2000,0))),1000000000))</f>
        <v/>
      </c>
      <c r="QZ42">
        <f>IF($B42=0,1000000000,IF(INDEX('calcA'!$D$60:$EQ$99,$B42,73)*IF($W42=1,FV42+ACK42,FV42)=1,IF(AND($E42=2,IF($W42=1,AHZ42,LK42)=0),1000000000,IF($V42=1,INDEX('calcA'!$D$130:$EQ$169,$B42,73)+IF(AND($E42=1,LK42=0),25,0),IF($F42&gt;0,INDEX('calcA'!BX$110:BX$114,$F42+1)+IF(AND($E42=1,LK42=0),1000,0),MIN(TX42,20)*400+(IF('calcA'!BX$106=1,1-FW42,0))*150+14+'calcA'!BX$5*100000+IF(AND($E42=1,LK42=0),50000,0))+IF($H42=1,INDEX('calcA'!$D$180:$EQ$219,$B42,73)*4000,0)-IF(AND($U42=1,'calcA'!BX$117=1,FW42=0),2000,0))),1000000000))</f>
        <v/>
      </c>
      <c r="RA42">
        <f>IF($B42=0,1000000000,IF(INDEX('calcA'!$D$60:$EQ$99,$B42,74)*IF($W42=1,FW42+ACL42,FW42)=1,IF(AND($E42=2,IF($W42=1,AIA42,LL42)=0),1000000000,IF($V42=1,INDEX('calcA'!$D$130:$EQ$169,$B42,74)+IF(AND($E42=1,LL42=0),25,0),IF($F42&gt;0,INDEX('calcA'!BY$110:BY$114,$F42+1)+IF(AND($E42=1,LL42=0),1000,0),MIN(TX42,20)*400+(IF('calcA'!BX$106=1,1-FV42,0)+IF('calcA'!BY$106=1,1-FX42,0))*150+24+'calcA'!BY$5*100000+IF(AND($E42=1,LL42=0),50000,0))+IF($H42=1,INDEX('calcA'!$D$180:$EQ$219,$B42,74)*4000,0)-IF(AND('calcA'!BX$117=1,WV42&gt;0),2000,0)-IF(AND($U42=1,'calcA'!BY$117=1,FX42=0),2000,0))),1000000000))</f>
        <v/>
      </c>
      <c r="RB42">
        <f>IF($B42=0,1000000000,IF(INDEX('calcA'!$D$60:$EQ$99,$B42,75)*IF($W42=1,FX42+ACM42,FX42)=1,IF(AND($E42=2,IF($W42=1,AIB42,LM42)=0),1000000000,IF($V42=1,INDEX('calcA'!$D$130:$EQ$169,$B42,75)+IF(AND($E42=1,LM42=0),25,0),IF($F42&gt;0,INDEX('calcA'!BZ$110:BZ$114,$F42+1)+IF(AND($E42=1,LM42=0),1000,0),MIN(TX42,20)*400+(IF('calcA'!BY$106=1,1-FW42,0)+IF('calcA'!BZ$106=1,1-FY42,0))*150+34+'calcA'!BZ$5*100000+IF(AND($E42=1,LM42=0),50000,0))+IF($H42=1,INDEX('calcA'!$D$180:$EQ$219,$B42,75)*4000,0)-IF(AND('calcA'!BY$117=1,WW42&gt;0),2000,0)-IF(AND($U42=1,'calcA'!BZ$117=1,FY42=0),2000,0))),1000000000))</f>
        <v/>
      </c>
      <c r="RC42">
        <f>IF($B42=0,1000000000,IF(INDEX('calcA'!$D$60:$EQ$99,$B42,76)*IF($W42=1,FY42+ACN42,FY42)=1,IF(AND($E42=2,IF($W42=1,AIC42,LN42)=0),1000000000,IF($V42=1,INDEX('calcA'!$D$130:$EQ$169,$B42,76)+IF(AND($E42=1,LN42=0),25,0),IF($F42&gt;0,INDEX('calcA'!CA$110:CA$114,$F42+1)+IF(AND($E42=1,LN42=0),1000,0),MIN(TX42,20)*400+(IF('calcA'!BZ$106=1,1-FX42,0)+IF('calcA'!CA$106=1,1-FZ42,0))*150+44+'calcA'!CA$5*100000+IF(AND($E42=1,LN42=0),50000,0))+IF($H42=1,INDEX('calcA'!$D$180:$EQ$219,$B42,76)*4000,0)-IF(AND('calcA'!BZ$117=1,WX42&gt;0),2000,0)-IF(AND($U42=1,'calcA'!CA$117=1,FZ42=0),2000,0))),1000000000))</f>
        <v/>
      </c>
      <c r="RD42">
        <f>IF($B42=0,1000000000,IF(INDEX('calcA'!$D$60:$EQ$99,$B42,77)*IF($W42=1,FZ42+ACO42,FZ42)=1,IF(AND($E42=2,IF($W42=1,AID42,LO42)=0),1000000000,IF($V42=1,INDEX('calcA'!$D$130:$EQ$169,$B42,77)+IF(AND($E42=1,LO42=0),25,0),IF($F42&gt;0,INDEX('calcA'!CB$110:CB$114,$F42+1)+IF(AND($E42=1,LO42=0),1000,0),MIN(TX42,20)*400+(IF('calcA'!CA$106=1,1-FY42,0)+IF('calcA'!CB$106=1,1-GA42,0))*150+54+'calcA'!CB$5*100000+IF(AND($E42=1,LO42=0),50000,0))+IF($H42=1,INDEX('calcA'!$D$180:$EQ$219,$B42,77)*4000,0)-IF(AND('calcA'!CA$117=1,WY42&gt;0),2000,0)-IF(AND($U42=1,'calcA'!CB$117=1,GA42=0),2000,0))),1000000000))</f>
        <v/>
      </c>
      <c r="RE42">
        <f>IF($B42=0,1000000000,IF(INDEX('calcA'!$D$60:$EQ$99,$B42,78)*IF($W42=1,GA42+ACP42,GA42)=1,IF(AND($E42=2,IF($W42=1,AIE42,LP42)=0),1000000000,IF($V42=1,INDEX('calcA'!$D$130:$EQ$169,$B42,78)+IF(AND($E42=1,LP42=0),25,0),IF($F42&gt;0,INDEX('calcA'!CC$110:CC$114,$F42+1)+IF(AND($E42=1,LP42=0),1000,0),MIN(TX42,20)*400+(IF('calcA'!CB$106=1,1-FZ42,0)+IF('calcA'!CC$106=1,1-GB42,0))*150+64+'calcA'!CC$5*100000+IF(AND($E42=1,LP42=0),50000,0))+IF($H42=1,INDEX('calcA'!$D$180:$EQ$219,$B42,78)*4000,0)-IF(AND('calcA'!CB$117=1,WZ42&gt;0),2000,0)-IF(AND($U42=1,'calcA'!CC$117=1,GB42=0),2000,0))),1000000000))</f>
        <v/>
      </c>
      <c r="RF42">
        <f>IF($B42=0,1000000000,IF(INDEX('calcA'!$D$60:$EQ$99,$B42,79)*IF($W42=1,GB42+ACQ42,GB42)=1,IF(AND($E42=2,IF($W42=1,AIF42,LQ42)=0),1000000000,IF($V42=1,INDEX('calcA'!$D$130:$EQ$169,$B42,79)+IF(AND($E42=1,LQ42=0),25,0),IF($F42&gt;0,INDEX('calcA'!CD$110:CD$114,$F42+1)+IF(AND($E42=1,LQ42=0),1000,0),MIN(TX42,20)*400+(IF('calcA'!CC$106=1,1-GA42,0)+IF('calcA'!CD$106=1,1-GC42,0))*150+74+'calcA'!CD$5*100000+IF(AND($E42=1,LQ42=0),50000,0))+IF($H42=1,INDEX('calcA'!$D$180:$EQ$219,$B42,79)*4000,0)-IF(AND('calcA'!CC$117=1,XA42&gt;0),2000,0)-IF(AND($U42=1,'calcA'!CD$117=1,GC42=0),2000,0))),1000000000))</f>
        <v/>
      </c>
      <c r="RG42">
        <f>IF($B42=0,1000000000,IF(INDEX('calcA'!$D$60:$EQ$99,$B42,80)*IF($W42=1,GC42+ACR42,GC42)=1,IF(AND($E42=2,IF($W42=1,AIG42,LR42)=0),1000000000,IF($V42=1,INDEX('calcA'!$D$130:$EQ$169,$B42,80)+IF(AND($E42=1,LR42=0),25,0),IF($F42&gt;0,INDEX('calcA'!CE$110:CE$114,$F42+1)+IF(AND($E42=1,LR42=0),1000,0),MIN(TX42,20)*400+(IF('calcA'!CD$106=1,1-GB42,0)+IF('calcA'!CE$106=1,1-GD42,0))*150+84+'calcA'!CE$5*100000+IF(AND($E42=1,LR42=0),50000,0))+IF($H42=1,INDEX('calcA'!$D$180:$EQ$219,$B42,80)*4000,0)-IF(AND('calcA'!CD$117=1,XB42&gt;0),2000,0)-IF(AND($U42=1,'calcA'!CE$117=1,GD42=0),2000,0))),1000000000))</f>
        <v/>
      </c>
      <c r="RH42">
        <f>IF($B42=0,1000000000,IF(INDEX('calcA'!$D$60:$EQ$99,$B42,81)*IF($W42=1,GD42+ACS42,GD42)=1,IF(AND($E42=2,IF($W42=1,AIH42,LS42)=0),1000000000,IF($V42=1,INDEX('calcA'!$D$130:$EQ$169,$B42,81)+IF(AND($E42=1,LS42=0),25,0),IF($F42&gt;0,INDEX('calcA'!CF$110:CF$114,$F42+1)+IF(AND($E42=1,LS42=0),1000,0),MIN(TX42,20)*400+(IF('calcA'!CE$106=1,1-GC42,0)+IF('calcA'!CF$106=1,1-GE42,0))*150+94+'calcA'!CF$5*100000+IF(AND($E42=1,LS42=0),50000,0))+IF($H42=1,INDEX('calcA'!$D$180:$EQ$219,$B42,81)*4000,0)-IF(AND('calcA'!CE$117=1,XC42&gt;0),2000,0)-IF(AND($U42=1,'calcA'!CF$117=1,GE42=0),2000,0))),1000000000))</f>
        <v/>
      </c>
      <c r="RI42">
        <f>IF($B42=0,1000000000,IF(INDEX('calcA'!$D$60:$EQ$99,$B42,82)*IF($W42=1,GE42+ACT42,GE42)=1,IF(AND($E42=2,IF($W42=1,AII42,LT42)=0),1000000000,IF($V42=1,INDEX('calcA'!$D$130:$EQ$169,$B42,82)+IF(AND($E42=1,LT42=0),25,0),IF($F42&gt;0,INDEX('calcA'!CG$110:CG$114,$F42+1)+IF(AND($E42=1,LT42=0),1000,0),MIN(TX42,20)*400+(IF('calcA'!CF$106=1,1-GD42,0)+IF('calcA'!CG$106=1,1-GF42,0))*150+104+'calcA'!CG$5*100000+IF(AND($E42=1,LT42=0),50000,0))+IF($H42=1,INDEX('calcA'!$D$180:$EQ$219,$B42,82)*4000,0)-IF(AND('calcA'!CF$117=1,XD42&gt;0),2000,0)-IF(AND($U42=1,'calcA'!CG$117=1,GF42=0),2000,0))),1000000000))</f>
        <v/>
      </c>
      <c r="RJ42">
        <f>IF($B42=0,1000000000,IF(INDEX('calcA'!$D$60:$EQ$99,$B42,83)*IF($W42=1,GF42+ACU42,GF42)=1,IF(AND($E42=2,IF($W42=1,AIJ42,LU42)=0),1000000000,IF($V42=1,INDEX('calcA'!$D$130:$EQ$169,$B42,83)+IF(AND($E42=1,LU42=0),25,0),IF($F42&gt;0,INDEX('calcA'!CH$110:CH$114,$F42+1)+IF(AND($E42=1,LU42=0),1000,0),MIN(TX42,20)*400+(IF('calcA'!CG$106=1,1-GE42,0)+IF('calcA'!CH$106=1,1-GG42,0))*150+114+'calcA'!CH$5*100000+IF(AND($E42=1,LU42=0),50000,0))+IF($H42=1,INDEX('calcA'!$D$180:$EQ$219,$B42,83)*4000,0)-IF(AND('calcA'!CG$117=1,XE42&gt;0),2000,0)-IF(AND($U42=1,'calcA'!CH$117=1,GG42=0),2000,0))),1000000000))</f>
        <v/>
      </c>
      <c r="RK42">
        <f>IF($B42=0,1000000000,IF(INDEX('calcA'!$D$60:$EQ$99,$B42,84)*IF($W42=1,GG42+ACV42,GG42)=1,IF(AND($E42=2,IF($W42=1,AIK42,LV42)=0),1000000000,IF($V42=1,INDEX('calcA'!$D$130:$EQ$169,$B42,84)+IF(AND($E42=1,LV42=0),25,0),IF($F42&gt;0,INDEX('calcA'!CI$110:CI$114,$F42+1)+IF(AND($E42=1,LV42=0),1000,0),MIN(TX42,20)*400+(IF('calcA'!CH$106=1,1-GF42,0)+IF('calcA'!CI$106=1,1-GH42,0))*150+124+'calcA'!CI$5*100000+IF(AND($E42=1,LV42=0),50000,0))+IF($H42=1,INDEX('calcA'!$D$180:$EQ$219,$B42,84)*4000,0)-IF(AND('calcA'!CH$117=1,XF42&gt;0),2000,0)-IF(AND($U42=1,'calcA'!CI$117=1,GH42=0),2000,0))),1000000000))</f>
        <v/>
      </c>
      <c r="RL42">
        <f>IF($B42=0,1000000000,IF(INDEX('calcA'!$D$60:$EQ$99,$B42,85)*IF($W42=1,GH42+ACW42,GH42)=1,IF(AND($E42=2,IF($W42=1,AIL42,LW42)=0),1000000000,IF($V42=1,INDEX('calcA'!$D$130:$EQ$169,$B42,85)+IF(AND($E42=1,LW42=0),25,0),IF($F42&gt;0,INDEX('calcA'!CJ$110:CJ$114,$F42+1)+IF(AND($E42=1,LW42=0),1000,0),MIN(TX42,20)*400+(IF('calcA'!CI$106=1,1-GG42,0)+IF('calcA'!CJ$106=1,1-GI42,0))*150+134+'calcA'!CJ$5*100000+IF(AND($E42=1,LW42=0),50000,0))+IF($H42=1,INDEX('calcA'!$D$180:$EQ$219,$B42,85)*4000,0)-IF(AND('calcA'!CI$117=1,XG42&gt;0),2000,0)-IF(AND($U42=1,'calcA'!CJ$117=1,GI42=0),2000,0))),1000000000))</f>
        <v/>
      </c>
      <c r="RM42">
        <f>IF($B42=0,1000000000,IF(INDEX('calcA'!$D$60:$EQ$99,$B42,86)*IF($W42=1,GI42+ACX42,GI42)=1,IF(AND($E42=2,IF($W42=1,AIM42,LX42)=0),1000000000,IF($V42=1,INDEX('calcA'!$D$130:$EQ$169,$B42,86)+IF(AND($E42=1,LX42=0),25,0),IF($F42&gt;0,INDEX('calcA'!CK$110:CK$114,$F42+1)+IF(AND($E42=1,LX42=0),1000,0),MIN(TX42,20)*400+(IF('calcA'!CJ$106=1,1-GH42,0)+IF('calcA'!CK$106=1,1-GJ42,0))*150+144+'calcA'!CK$5*100000+IF(AND($E42=1,LX42=0),50000,0))+IF($H42=1,INDEX('calcA'!$D$180:$EQ$219,$B42,86)*4000,0)-IF(AND('calcA'!CJ$117=1,XH42&gt;0),2000,0)-IF(AND($U42=1,'calcA'!CK$117=1,GJ42=0),2000,0))),1000000000))</f>
        <v/>
      </c>
      <c r="RN42">
        <f>IF($B42=0,1000000000,IF(INDEX('calcA'!$D$60:$EQ$99,$B42,87)*IF($W42=1,GJ42+ACY42,GJ42)=1,IF(AND($E42=2,IF($W42=1,AIN42,LY42)=0),1000000000,IF($V42=1,INDEX('calcA'!$D$130:$EQ$169,$B42,87)+IF(AND($E42=1,LY42=0),25,0),IF($F42&gt;0,INDEX('calcA'!CL$110:CL$114,$F42+1)+IF(AND($E42=1,LY42=0),1000,0),MIN(TX42,20)*400+(IF('calcA'!CK$106=1,1-GI42,0)+IF('calcA'!CL$106=1,1-GK42,0))*150+154+'calcA'!CL$5*100000+IF(AND($E42=1,LY42=0),50000,0))+IF($H42=1,INDEX('calcA'!$D$180:$EQ$219,$B42,87)*4000,0)-IF(AND('calcA'!CK$117=1,XI42&gt;0),2000,0)-IF(AND($U42=1,'calcA'!CL$117=1,GK42=0),2000,0))),1000000000))</f>
        <v/>
      </c>
      <c r="RO42">
        <f>IF($B42=0,1000000000,IF(INDEX('calcA'!$D$60:$EQ$99,$B42,88)*IF($W42=1,GK42+ACZ42,GK42)=1,IF(AND($E42=2,IF($W42=1,AIO42,LZ42)=0),1000000000,IF($V42=1,INDEX('calcA'!$D$130:$EQ$169,$B42,88)+IF(AND($E42=1,LZ42=0),25,0),IF($F42&gt;0,INDEX('calcA'!CM$110:CM$114,$F42+1)+IF(AND($E42=1,LZ42=0),1000,0),MIN(TX42,20)*400+(IF('calcA'!CL$106=1,1-GJ42,0)+IF('calcA'!CM$106=1,1-GL42,0))*150+164+'calcA'!CM$5*100000+IF(AND($E42=1,LZ42=0),50000,0))+IF($H42=1,INDEX('calcA'!$D$180:$EQ$219,$B42,88)*4000,0)-IF(AND('calcA'!CL$117=1,XJ42&gt;0),2000,0)-IF(AND($U42=1,'calcA'!CM$117=1,GL42=0),2000,0))),1000000000))</f>
        <v/>
      </c>
      <c r="RP42">
        <f>IF($B42=0,1000000000,IF(INDEX('calcA'!$D$60:$EQ$99,$B42,89)*IF($W42=1,GL42+ADA42,GL42)=1,IF(AND($E42=2,IF($W42=1,AIP42,MA42)=0),1000000000,IF($V42=1,INDEX('calcA'!$D$130:$EQ$169,$B42,89)+IF(AND($E42=1,MA42=0),25,0),IF($F42&gt;0,INDEX('calcA'!CN$110:CN$114,$F42+1)+IF(AND($E42=1,MA42=0),1000,0),MIN(TX42,20)*400+(IF('calcA'!CM$106=1,1-GK42,0)+IF('calcA'!CN$106=1,1-GM42,0))*150+174+'calcA'!CN$5*100000+IF(AND($E42=1,MA42=0),50000,0))+IF($H42=1,INDEX('calcA'!$D$180:$EQ$219,$B42,89)*4000,0)-IF(AND('calcA'!CM$117=1,XK42&gt;0),2000,0)-IF(AND($U42=1,'calcA'!CN$117=1,GM42=0),2000,0))),1000000000))</f>
        <v/>
      </c>
      <c r="RQ42">
        <f>IF($B42=0,1000000000,IF(INDEX('calcA'!$D$60:$EQ$99,$B42,90)*IF($W42=1,GM42+ADB42,GM42)=1,IF(AND($E42=2,IF($W42=1,AIQ42,MB42)=0),1000000000,IF($V42=1,INDEX('calcA'!$D$130:$EQ$169,$B42,90)+IF(AND($E42=1,MB42=0),25,0),IF($F42&gt;0,INDEX('calcA'!CO$110:CO$114,$F42+1)+IF(AND($E42=1,MB42=0),1000,0),MIN(TX42,20)*400+(IF('calcA'!CN$106=1,1-GL42,0)+IF('calcA'!CO$106=1,1-GN42,0))*150+184+'calcA'!CO$5*100000+IF(AND($E42=1,MB42=0),50000,0))+IF($H42=1,INDEX('calcA'!$D$180:$EQ$219,$B42,90)*4000,0)-IF(AND('calcA'!CN$117=1,XL42&gt;0),2000,0)-IF(AND($U42=1,'calcA'!CO$117=1,GN42=0),2000,0))),1000000000))</f>
        <v/>
      </c>
      <c r="RR42">
        <f>IF($B42=0,1000000000,IF(INDEX('calcA'!$D$60:$EQ$99,$B42,91)*IF($W42=1,GN42+ADC42,GN42)=1,IF(AND($E42=2,IF($W42=1,AIR42,MC42)=0),1000000000,IF($V42=1,INDEX('calcA'!$D$130:$EQ$169,$B42,91)+IF(AND($E42=1,MC42=0),25,0),IF($F42&gt;0,INDEX('calcA'!CP$110:CP$114,$F42+1)+IF(AND($E42=1,MC42=0),1000,0),MIN(TX42,20)*400+(IF('calcA'!CO$106=1,1-GM42,0)+IF('calcA'!CP$106=1,1-GO42,0))*150+194+'calcA'!CP$5*100000+IF(AND($E42=1,MC42=0),50000,0))+IF($H42=1,INDEX('calcA'!$D$180:$EQ$219,$B42,91)*4000,0)-IF(AND('calcA'!CO$117=1,XM42&gt;0),2000,0)-IF(AND($U42=1,'calcA'!CP$117=1,GO42=0),2000,0))),1000000000))</f>
        <v/>
      </c>
      <c r="RS42">
        <f>IF($B42=0,1000000000,IF(INDEX('calcA'!$D$60:$EQ$99,$B42,92)*IF($W42=1,GO42+ADD42,GO42)=1,IF(AND($E42=2,IF($W42=1,AIS42,MD42)=0),1000000000,IF($V42=1,INDEX('calcA'!$D$130:$EQ$169,$B42,92)+IF(AND($E42=1,MD42=0),25,0),IF($F42&gt;0,INDEX('calcA'!CQ$110:CQ$114,$F42+1)+IF(AND($E42=1,MD42=0),1000,0),MIN(TX42,20)*400+(IF('calcA'!CP$106=1,1-GN42,0)+IF('calcA'!CQ$106=1,1-GP42,0))*150+204+'calcA'!CQ$5*100000+IF(AND($E42=1,MD42=0),50000,0))+IF($H42=1,INDEX('calcA'!$D$180:$EQ$219,$B42,92)*4000,0)-IF(AND('calcA'!CP$117=1,XN42&gt;0),2000,0)-IF(AND($U42=1,'calcA'!CQ$117=1,GP42=0),2000,0))),1000000000))</f>
        <v/>
      </c>
      <c r="RT42">
        <f>IF($B42=0,1000000000,IF(INDEX('calcA'!$D$60:$EQ$99,$B42,93)*IF($W42=1,GP42+ADE42,GP42)=1,IF(AND($E42=2,IF($W42=1,AIT42,ME42)=0),1000000000,IF($V42=1,INDEX('calcA'!$D$130:$EQ$169,$B42,93)+IF(AND($E42=1,ME42=0),25,0),IF($F42&gt;0,INDEX('calcA'!CR$110:CR$114,$F42+1)+IF(AND($E42=1,ME42=0),1000,0),MIN(TX42,20)*400+(IF('calcA'!CQ$106=1,1-GO42,0)+IF('calcA'!CR$106=1,1-GQ42,0))*150+214+'calcA'!CR$5*100000+IF(AND($E42=1,ME42=0),50000,0))+IF($H42=1,INDEX('calcA'!$D$180:$EQ$219,$B42,93)*4000,0)-IF(AND('calcA'!CQ$117=1,XO42&gt;0),2000,0)-IF(AND($U42=1,'calcA'!CR$117=1,GQ42=0),2000,0))),1000000000))</f>
        <v/>
      </c>
      <c r="RU42">
        <f>IF($B42=0,1000000000,IF(INDEX('calcA'!$D$60:$EQ$99,$B42,94)*IF($W42=1,GQ42+ADF42,GQ42)=1,IF(AND($E42=2,IF($W42=1,AIU42,MF42)=0),1000000000,IF($V42=1,INDEX('calcA'!$D$130:$EQ$169,$B42,94)+IF(AND($E42=1,MF42=0),25,0),IF($F42&gt;0,INDEX('calcA'!CS$110:CS$114,$F42+1)+IF(AND($E42=1,MF42=0),1000,0),MIN(TX42,20)*400+(IF('calcA'!CR$106=1,1-GP42,0)+IF('calcA'!CS$106=1,1-GR42,0))*150+224+'calcA'!CS$5*100000+IF(AND($E42=1,MF42=0),50000,0))+IF($H42=1,INDEX('calcA'!$D$180:$EQ$219,$B42,94)*4000,0)-IF(AND('calcA'!CR$117=1,XP42&gt;0),2000,0)-IF(AND($U42=1,'calcA'!CS$117=1,GR42=0),2000,0))),1000000000))</f>
        <v/>
      </c>
      <c r="RV42">
        <f>IF($B42=0,1000000000,IF(INDEX('calcA'!$D$60:$EQ$99,$B42,95)*IF($W42=1,GR42+ADG42,GR42)=1,IF(AND($E42=2,IF($W42=1,AIV42,MG42)=0),1000000000,IF($V42=1,INDEX('calcA'!$D$130:$EQ$169,$B42,95)+IF(AND($E42=1,MG42=0),25,0),IF($F42&gt;0,INDEX('calcA'!CT$110:CT$114,$F42+1)+IF(AND($E42=1,MG42=0),1000,0),MIN(TX42,20)*400+(IF('calcA'!CS$106=1,1-GQ42,0)+IF('calcA'!CT$106=1,1-GS42,0))*150+234+'calcA'!CT$5*100000+IF(AND($E42=1,MG42=0),50000,0))+IF($H42=1,INDEX('calcA'!$D$180:$EQ$219,$B42,95)*4000,0)-IF(AND('calcA'!CS$117=1,XQ42&gt;0),2000,0)-IF(AND($U42=1,'calcA'!CT$117=1,GS42=0),2000,0))),1000000000))</f>
        <v/>
      </c>
      <c r="RW42">
        <f>IF($B42=0,1000000000,IF(INDEX('calcA'!$D$60:$EQ$99,$B42,96)*IF($W42=1,GS42+ADH42,GS42)=1,IF(AND($E42=2,IF($W42=1,AIW42,MH42)=0),1000000000,IF($V42=1,INDEX('calcA'!$D$130:$EQ$169,$B42,96)+IF(AND($E42=1,MH42=0),25,0),IF($F42&gt;0,INDEX('calcA'!CU$110:CU$114,$F42+1)+IF(AND($E42=1,MH42=0),1000,0),MIN(TX42,20)*400+(IF('calcA'!CT$106=1,1-GR42,0))*150+244+'calcA'!CU$5*100000+IF(AND($E42=1,MH42=0),50000,0))+IF($H42=1,INDEX('calcA'!$D$180:$EQ$219,$B42,96)*4000,0)-IF(AND('calcA'!CT$117=1,XR42&gt;0),2000,0))),1000000000))</f>
        <v/>
      </c>
      <c r="RX42">
        <f>IF($B42=0,1000000000,IF(INDEX('calcA'!$D$60:$EQ$99,$B42,97)*IF($W42=1,GT42+ADI42,GT42)=1,IF(AND($E42=2,IF($W42=1,AIX42,MI42)=0),1000000000,IF($V42=1,INDEX('calcA'!$D$130:$EQ$169,$B42,97)+IF(AND($E42=1,MI42=0),25,0),IF($F42&gt;0,INDEX('calcA'!CV$110:CV$114,$F42+1)+IF(AND($E42=1,MI42=0),1000,0),MIN(TY42,20)*400+(IF('calcA'!CV$106=1,1-GU42,0))*150+15+'calcA'!CV$5*100000+IF(AND($E42=1,MI42=0),50000,0))+IF($H42=1,INDEX('calcA'!$D$180:$EQ$219,$B42,97)*4000,0)-IF(AND($U42=1,'calcA'!CV$117=1,GU42=0),2000,0))),1000000000))</f>
        <v/>
      </c>
      <c r="RY42">
        <f>IF($B42=0,1000000000,IF(INDEX('calcA'!$D$60:$EQ$99,$B42,98)*IF($W42=1,GU42+ADJ42,GU42)=1,IF(AND($E42=2,IF($W42=1,AIY42,MJ42)=0),1000000000,IF($V42=1,INDEX('calcA'!$D$130:$EQ$169,$B42,98)+IF(AND($E42=1,MJ42=0),25,0),IF($F42&gt;0,INDEX('calcA'!CW$110:CW$114,$F42+1)+IF(AND($E42=1,MJ42=0),1000,0),MIN(TY42,20)*400+(IF('calcA'!CV$106=1,1-GT42,0)+IF('calcA'!CW$106=1,1-GV42,0))*150+25+'calcA'!CW$5*100000+IF(AND($E42=1,MJ42=0),50000,0))+IF($H42=1,INDEX('calcA'!$D$180:$EQ$219,$B42,98)*4000,0)-IF(AND('calcA'!CV$117=1,XT42&gt;0),2000,0)-IF(AND($U42=1,'calcA'!CW$117=1,GV42=0),2000,0))),1000000000))</f>
        <v/>
      </c>
      <c r="RZ42">
        <f>IF($B42=0,1000000000,IF(INDEX('calcA'!$D$60:$EQ$99,$B42,99)*IF($W42=1,GV42+ADK42,GV42)=1,IF(AND($E42=2,IF($W42=1,AIZ42,MK42)=0),1000000000,IF($V42=1,INDEX('calcA'!$D$130:$EQ$169,$B42,99)+IF(AND($E42=1,MK42=0),25,0),IF($F42&gt;0,INDEX('calcA'!CX$110:CX$114,$F42+1)+IF(AND($E42=1,MK42=0),1000,0),MIN(TY42,20)*400+(IF('calcA'!CW$106=1,1-GU42,0)+IF('calcA'!CX$106=1,1-GW42,0))*150+35+'calcA'!CX$5*100000+IF(AND($E42=1,MK42=0),50000,0))+IF($H42=1,INDEX('calcA'!$D$180:$EQ$219,$B42,99)*4000,0)-IF(AND('calcA'!CW$117=1,XU42&gt;0),2000,0)-IF(AND($U42=1,'calcA'!CX$117=1,GW42=0),2000,0))),1000000000))</f>
        <v/>
      </c>
      <c r="SA42">
        <f>IF($B42=0,1000000000,IF(INDEX('calcA'!$D$60:$EQ$99,$B42,100)*IF($W42=1,GW42+ADL42,GW42)=1,IF(AND($E42=2,IF($W42=1,AJA42,ML42)=0),1000000000,IF($V42=1,INDEX('calcA'!$D$130:$EQ$169,$B42,100)+IF(AND($E42=1,ML42=0),25,0),IF($F42&gt;0,INDEX('calcA'!CY$110:CY$114,$F42+1)+IF(AND($E42=1,ML42=0),1000,0),MIN(TY42,20)*400+(IF('calcA'!CX$106=1,1-GV42,0)+IF('calcA'!CY$106=1,1-GX42,0))*150+45+'calcA'!CY$5*100000+IF(AND($E42=1,ML42=0),50000,0))+IF($H42=1,INDEX('calcA'!$D$180:$EQ$219,$B42,100)*4000,0)-IF(AND('calcA'!CX$117=1,XV42&gt;0),2000,0)-IF(AND($U42=1,'calcA'!CY$117=1,GX42=0),2000,0))),1000000000))</f>
        <v/>
      </c>
      <c r="SB42">
        <f>IF($B42=0,1000000000,IF(INDEX('calcA'!$D$60:$EQ$99,$B42,101)*IF($W42=1,GX42+ADM42,GX42)=1,IF(AND($E42=2,IF($W42=1,AJB42,MM42)=0),1000000000,IF($V42=1,INDEX('calcA'!$D$130:$EQ$169,$B42,101)+IF(AND($E42=1,MM42=0),25,0),IF($F42&gt;0,INDEX('calcA'!CZ$110:CZ$114,$F42+1)+IF(AND($E42=1,MM42=0),1000,0),MIN(TY42,20)*400+(IF('calcA'!CY$106=1,1-GW42,0)+IF('calcA'!CZ$106=1,1-GY42,0))*150+55+'calcA'!CZ$5*100000+IF(AND($E42=1,MM42=0),50000,0))+IF($H42=1,INDEX('calcA'!$D$180:$EQ$219,$B42,101)*4000,0)-IF(AND('calcA'!CY$117=1,XW42&gt;0),2000,0)-IF(AND($U42=1,'calcA'!CZ$117=1,GY42=0),2000,0))),1000000000))</f>
        <v/>
      </c>
      <c r="SC42">
        <f>IF($B42=0,1000000000,IF(INDEX('calcA'!$D$60:$EQ$99,$B42,102)*IF($W42=1,GY42+ADN42,GY42)=1,IF(AND($E42=2,IF($W42=1,AJC42,MN42)=0),1000000000,IF($V42=1,INDEX('calcA'!$D$130:$EQ$169,$B42,102)+IF(AND($E42=1,MN42=0),25,0),IF($F42&gt;0,INDEX('calcA'!DA$110:DA$114,$F42+1)+IF(AND($E42=1,MN42=0),1000,0),MIN(TY42,20)*400+(IF('calcA'!CZ$106=1,1-GX42,0)+IF('calcA'!DA$106=1,1-GZ42,0))*150+65+'calcA'!DA$5*100000+IF(AND($E42=1,MN42=0),50000,0))+IF($H42=1,INDEX('calcA'!$D$180:$EQ$219,$B42,102)*4000,0)-IF(AND('calcA'!CZ$117=1,XX42&gt;0),2000,0)-IF(AND($U42=1,'calcA'!DA$117=1,GZ42=0),2000,0))),1000000000))</f>
        <v/>
      </c>
      <c r="SD42">
        <f>IF($B42=0,1000000000,IF(INDEX('calcA'!$D$60:$EQ$99,$B42,103)*IF($W42=1,GZ42+ADO42,GZ42)=1,IF(AND($E42=2,IF($W42=1,AJD42,MO42)=0),1000000000,IF($V42=1,INDEX('calcA'!$D$130:$EQ$169,$B42,103)+IF(AND($E42=1,MO42=0),25,0),IF($F42&gt;0,INDEX('calcA'!DB$110:DB$114,$F42+1)+IF(AND($E42=1,MO42=0),1000,0),MIN(TY42,20)*400+(IF('calcA'!DA$106=1,1-GY42,0)+IF('calcA'!DB$106=1,1-HA42,0))*150+75+'calcA'!DB$5*100000+IF(AND($E42=1,MO42=0),50000,0))+IF($H42=1,INDEX('calcA'!$D$180:$EQ$219,$B42,103)*4000,0)-IF(AND('calcA'!DA$117=1,XY42&gt;0),2000,0)-IF(AND($U42=1,'calcA'!DB$117=1,HA42=0),2000,0))),1000000000))</f>
        <v/>
      </c>
      <c r="SE42">
        <f>IF($B42=0,1000000000,IF(INDEX('calcA'!$D$60:$EQ$99,$B42,104)*IF($W42=1,HA42+ADP42,HA42)=1,IF(AND($E42=2,IF($W42=1,AJE42,MP42)=0),1000000000,IF($V42=1,INDEX('calcA'!$D$130:$EQ$169,$B42,104)+IF(AND($E42=1,MP42=0),25,0),IF($F42&gt;0,INDEX('calcA'!DC$110:DC$114,$F42+1)+IF(AND($E42=1,MP42=0),1000,0),MIN(TY42,20)*400+(IF('calcA'!DB$106=1,1-GZ42,0)+IF('calcA'!DC$106=1,1-HB42,0))*150+85+'calcA'!DC$5*100000+IF(AND($E42=1,MP42=0),50000,0))+IF($H42=1,INDEX('calcA'!$D$180:$EQ$219,$B42,104)*4000,0)-IF(AND('calcA'!DB$117=1,XZ42&gt;0),2000,0)-IF(AND($U42=1,'calcA'!DC$117=1,HB42=0),2000,0))),1000000000))</f>
        <v/>
      </c>
      <c r="SF42">
        <f>IF($B42=0,1000000000,IF(INDEX('calcA'!$D$60:$EQ$99,$B42,105)*IF($W42=1,HB42+ADQ42,HB42)=1,IF(AND($E42=2,IF($W42=1,AJF42,MQ42)=0),1000000000,IF($V42=1,INDEX('calcA'!$D$130:$EQ$169,$B42,105)+IF(AND($E42=1,MQ42=0),25,0),IF($F42&gt;0,INDEX('calcA'!DD$110:DD$114,$F42+1)+IF(AND($E42=1,MQ42=0),1000,0),MIN(TY42,20)*400+(IF('calcA'!DC$106=1,1-HA42,0)+IF('calcA'!DD$106=1,1-HC42,0))*150+95+'calcA'!DD$5*100000+IF(AND($E42=1,MQ42=0),50000,0))+IF($H42=1,INDEX('calcA'!$D$180:$EQ$219,$B42,105)*4000,0)-IF(AND('calcA'!DC$117=1,YA42&gt;0),2000,0)-IF(AND($U42=1,'calcA'!DD$117=1,HC42=0),2000,0))),1000000000))</f>
        <v/>
      </c>
      <c r="SG42">
        <f>IF($B42=0,1000000000,IF(INDEX('calcA'!$D$60:$EQ$99,$B42,106)*IF($W42=1,HC42+ADR42,HC42)=1,IF(AND($E42=2,IF($W42=1,AJG42,MR42)=0),1000000000,IF($V42=1,INDEX('calcA'!$D$130:$EQ$169,$B42,106)+IF(AND($E42=1,MR42=0),25,0),IF($F42&gt;0,INDEX('calcA'!DE$110:DE$114,$F42+1)+IF(AND($E42=1,MR42=0),1000,0),MIN(TY42,20)*400+(IF('calcA'!DD$106=1,1-HB42,0)+IF('calcA'!DE$106=1,1-HD42,0))*150+105+'calcA'!DE$5*100000+IF(AND($E42=1,MR42=0),50000,0))+IF($H42=1,INDEX('calcA'!$D$180:$EQ$219,$B42,106)*4000,0)-IF(AND('calcA'!DD$117=1,YB42&gt;0),2000,0)-IF(AND($U42=1,'calcA'!DE$117=1,HD42=0),2000,0))),1000000000))</f>
        <v/>
      </c>
      <c r="SH42">
        <f>IF($B42=0,1000000000,IF(INDEX('calcA'!$D$60:$EQ$99,$B42,107)*IF($W42=1,HD42+ADS42,HD42)=1,IF(AND($E42=2,IF($W42=1,AJH42,MS42)=0),1000000000,IF($V42=1,INDEX('calcA'!$D$130:$EQ$169,$B42,107)+IF(AND($E42=1,MS42=0),25,0),IF($F42&gt;0,INDEX('calcA'!DF$110:DF$114,$F42+1)+IF(AND($E42=1,MS42=0),1000,0),MIN(TY42,20)*400+(IF('calcA'!DE$106=1,1-HC42,0)+IF('calcA'!DF$106=1,1-HE42,0))*150+115+'calcA'!DF$5*100000+IF(AND($E42=1,MS42=0),50000,0))+IF($H42=1,INDEX('calcA'!$D$180:$EQ$219,$B42,107)*4000,0)-IF(AND('calcA'!DE$117=1,YC42&gt;0),2000,0)-IF(AND($U42=1,'calcA'!DF$117=1,HE42=0),2000,0))),1000000000))</f>
        <v/>
      </c>
      <c r="SI42">
        <f>IF($B42=0,1000000000,IF(INDEX('calcA'!$D$60:$EQ$99,$B42,108)*IF($W42=1,HE42+ADT42,HE42)=1,IF(AND($E42=2,IF($W42=1,AJI42,MT42)=0),1000000000,IF($V42=1,INDEX('calcA'!$D$130:$EQ$169,$B42,108)+IF(AND($E42=1,MT42=0),25,0),IF($F42&gt;0,INDEX('calcA'!DG$110:DG$114,$F42+1)+IF(AND($E42=1,MT42=0),1000,0),MIN(TY42,20)*400+(IF('calcA'!DF$106=1,1-HD42,0)+IF('calcA'!DG$106=1,1-HF42,0))*150+125+'calcA'!DG$5*100000+IF(AND($E42=1,MT42=0),50000,0))+IF($H42=1,INDEX('calcA'!$D$180:$EQ$219,$B42,108)*4000,0)-IF(AND('calcA'!DF$117=1,YD42&gt;0),2000,0)-IF(AND($U42=1,'calcA'!DG$117=1,HF42=0),2000,0))),1000000000))</f>
        <v/>
      </c>
      <c r="SJ42">
        <f>IF($B42=0,1000000000,IF(INDEX('calcA'!$D$60:$EQ$99,$B42,109)*IF($W42=1,HF42+ADU42,HF42)=1,IF(AND($E42=2,IF($W42=1,AJJ42,MU42)=0),1000000000,IF($V42=1,INDEX('calcA'!$D$130:$EQ$169,$B42,109)+IF(AND($E42=1,MU42=0),25,0),IF($F42&gt;0,INDEX('calcA'!DH$110:DH$114,$F42+1)+IF(AND($E42=1,MU42=0),1000,0),MIN(TY42,20)*400+(IF('calcA'!DG$106=1,1-HE42,0)+IF('calcA'!DH$106=1,1-HG42,0))*150+135+'calcA'!DH$5*100000+IF(AND($E42=1,MU42=0),50000,0))+IF($H42=1,INDEX('calcA'!$D$180:$EQ$219,$B42,109)*4000,0)-IF(AND('calcA'!DG$117=1,YE42&gt;0),2000,0)-IF(AND($U42=1,'calcA'!DH$117=1,HG42=0),2000,0))),1000000000))</f>
        <v/>
      </c>
      <c r="SK42">
        <f>IF($B42=0,1000000000,IF(INDEX('calcA'!$D$60:$EQ$99,$B42,110)*IF($W42=1,HG42+ADV42,HG42)=1,IF(AND($E42=2,IF($W42=1,AJK42,MV42)=0),1000000000,IF($V42=1,INDEX('calcA'!$D$130:$EQ$169,$B42,110)+IF(AND($E42=1,MV42=0),25,0),IF($F42&gt;0,INDEX('calcA'!DI$110:DI$114,$F42+1)+IF(AND($E42=1,MV42=0),1000,0),MIN(TY42,20)*400+(IF('calcA'!DH$106=1,1-HF42,0)+IF('calcA'!DI$106=1,1-HH42,0))*150+145+'calcA'!DI$5*100000+IF(AND($E42=1,MV42=0),50000,0))+IF($H42=1,INDEX('calcA'!$D$180:$EQ$219,$B42,110)*4000,0)-IF(AND('calcA'!DH$117=1,YF42&gt;0),2000,0)-IF(AND($U42=1,'calcA'!DI$117=1,HH42=0),2000,0))),1000000000))</f>
        <v/>
      </c>
      <c r="SL42">
        <f>IF($B42=0,1000000000,IF(INDEX('calcA'!$D$60:$EQ$99,$B42,111)*IF($W42=1,HH42+ADW42,HH42)=1,IF(AND($E42=2,IF($W42=1,AJL42,MW42)=0),1000000000,IF($V42=1,INDEX('calcA'!$D$130:$EQ$169,$B42,111)+IF(AND($E42=1,MW42=0),25,0),IF($F42&gt;0,INDEX('calcA'!DJ$110:DJ$114,$F42+1)+IF(AND($E42=1,MW42=0),1000,0),MIN(TY42,20)*400+(IF('calcA'!DI$106=1,1-HG42,0)+IF('calcA'!DJ$106=1,1-HI42,0))*150+155+'calcA'!DJ$5*100000+IF(AND($E42=1,MW42=0),50000,0))+IF($H42=1,INDEX('calcA'!$D$180:$EQ$219,$B42,111)*4000,0)-IF(AND('calcA'!DI$117=1,YG42&gt;0),2000,0)-IF(AND($U42=1,'calcA'!DJ$117=1,HI42=0),2000,0))),1000000000))</f>
        <v/>
      </c>
      <c r="SM42">
        <f>IF($B42=0,1000000000,IF(INDEX('calcA'!$D$60:$EQ$99,$B42,112)*IF($W42=1,HI42+ADX42,HI42)=1,IF(AND($E42=2,IF($W42=1,AJM42,MX42)=0),1000000000,IF($V42=1,INDEX('calcA'!$D$130:$EQ$169,$B42,112)+IF(AND($E42=1,MX42=0),25,0),IF($F42&gt;0,INDEX('calcA'!DK$110:DK$114,$F42+1)+IF(AND($E42=1,MX42=0),1000,0),MIN(TY42,20)*400+(IF('calcA'!DJ$106=1,1-HH42,0)+IF('calcA'!DK$106=1,1-HJ42,0))*150+165+'calcA'!DK$5*100000+IF(AND($E42=1,MX42=0),50000,0))+IF($H42=1,INDEX('calcA'!$D$180:$EQ$219,$B42,112)*4000,0)-IF(AND('calcA'!DJ$117=1,YH42&gt;0),2000,0)-IF(AND($U42=1,'calcA'!DK$117=1,HJ42=0),2000,0))),1000000000))</f>
        <v/>
      </c>
      <c r="SN42">
        <f>IF($B42=0,1000000000,IF(INDEX('calcA'!$D$60:$EQ$99,$B42,113)*IF($W42=1,HJ42+ADY42,HJ42)=1,IF(AND($E42=2,IF($W42=1,AJN42,MY42)=0),1000000000,IF($V42=1,INDEX('calcA'!$D$130:$EQ$169,$B42,113)+IF(AND($E42=1,MY42=0),25,0),IF($F42&gt;0,INDEX('calcA'!DL$110:DL$114,$F42+1)+IF(AND($E42=1,MY42=0),1000,0),MIN(TY42,20)*400+(IF('calcA'!DK$106=1,1-HI42,0)+IF('calcA'!DL$106=1,1-HK42,0))*150+175+'calcA'!DL$5*100000+IF(AND($E42=1,MY42=0),50000,0))+IF($H42=1,INDEX('calcA'!$D$180:$EQ$219,$B42,113)*4000,0)-IF(AND('calcA'!DK$117=1,YI42&gt;0),2000,0)-IF(AND($U42=1,'calcA'!DL$117=1,HK42=0),2000,0))),1000000000))</f>
        <v/>
      </c>
      <c r="SO42">
        <f>IF($B42=0,1000000000,IF(INDEX('calcA'!$D$60:$EQ$99,$B42,114)*IF($W42=1,HK42+ADZ42,HK42)=1,IF(AND($E42=2,IF($W42=1,AJO42,MZ42)=0),1000000000,IF($V42=1,INDEX('calcA'!$D$130:$EQ$169,$B42,114)+IF(AND($E42=1,MZ42=0),25,0),IF($F42&gt;0,INDEX('calcA'!DM$110:DM$114,$F42+1)+IF(AND($E42=1,MZ42=0),1000,0),MIN(TY42,20)*400+(IF('calcA'!DL$106=1,1-HJ42,0)+IF('calcA'!DM$106=1,1-HL42,0))*150+185+'calcA'!DM$5*100000+IF(AND($E42=1,MZ42=0),50000,0))+IF($H42=1,INDEX('calcA'!$D$180:$EQ$219,$B42,114)*4000,0)-IF(AND('calcA'!DL$117=1,YJ42&gt;0),2000,0)-IF(AND($U42=1,'calcA'!DM$117=1,HL42=0),2000,0))),1000000000))</f>
        <v/>
      </c>
      <c r="SP42">
        <f>IF($B42=0,1000000000,IF(INDEX('calcA'!$D$60:$EQ$99,$B42,115)*IF($W42=1,HL42+AEA42,HL42)=1,IF(AND($E42=2,IF($W42=1,AJP42,NA42)=0),1000000000,IF($V42=1,INDEX('calcA'!$D$130:$EQ$169,$B42,115)+IF(AND($E42=1,NA42=0),25,0),IF($F42&gt;0,INDEX('calcA'!DN$110:DN$114,$F42+1)+IF(AND($E42=1,NA42=0),1000,0),MIN(TY42,20)*400+(IF('calcA'!DM$106=1,1-HK42,0)+IF('calcA'!DN$106=1,1-HM42,0))*150+195+'calcA'!DN$5*100000+IF(AND($E42=1,NA42=0),50000,0))+IF($H42=1,INDEX('calcA'!$D$180:$EQ$219,$B42,115)*4000,0)-IF(AND('calcA'!DM$117=1,YK42&gt;0),2000,0)-IF(AND($U42=1,'calcA'!DN$117=1,HM42=0),2000,0))),1000000000))</f>
        <v/>
      </c>
      <c r="SQ42">
        <f>IF($B42=0,1000000000,IF(INDEX('calcA'!$D$60:$EQ$99,$B42,116)*IF($W42=1,HM42+AEB42,HM42)=1,IF(AND($E42=2,IF($W42=1,AJQ42,NB42)=0),1000000000,IF($V42=1,INDEX('calcA'!$D$130:$EQ$169,$B42,116)+IF(AND($E42=1,NB42=0),25,0),IF($F42&gt;0,INDEX('calcA'!DO$110:DO$114,$F42+1)+IF(AND($E42=1,NB42=0),1000,0),MIN(TY42,20)*400+(IF('calcA'!DN$106=1,1-HL42,0)+IF('calcA'!DO$106=1,1-HN42,0))*150+205+'calcA'!DO$5*100000+IF(AND($E42=1,NB42=0),50000,0))+IF($H42=1,INDEX('calcA'!$D$180:$EQ$219,$B42,116)*4000,0)-IF(AND('calcA'!DN$117=1,YL42&gt;0),2000,0)-IF(AND($U42=1,'calcA'!DO$117=1,HN42=0),2000,0))),1000000000))</f>
        <v/>
      </c>
      <c r="SR42">
        <f>IF($B42=0,1000000000,IF(INDEX('calcA'!$D$60:$EQ$99,$B42,117)*IF($W42=1,HN42+AEC42,HN42)=1,IF(AND($E42=2,IF($W42=1,AJR42,NC42)=0),1000000000,IF($V42=1,INDEX('calcA'!$D$130:$EQ$169,$B42,117)+IF(AND($E42=1,NC42=0),25,0),IF($F42&gt;0,INDEX('calcA'!DP$110:DP$114,$F42+1)+IF(AND($E42=1,NC42=0),1000,0),MIN(TY42,20)*400+(IF('calcA'!DO$106=1,1-HM42,0)+IF('calcA'!DP$106=1,1-HO42,0))*150+215+'calcA'!DP$5*100000+IF(AND($E42=1,NC42=0),50000,0))+IF($H42=1,INDEX('calcA'!$D$180:$EQ$219,$B42,117)*4000,0)-IF(AND('calcA'!DO$117=1,YM42&gt;0),2000,0)-IF(AND($U42=1,'calcA'!DP$117=1,HO42=0),2000,0))),1000000000))</f>
        <v/>
      </c>
      <c r="SS42">
        <f>IF($B42=0,1000000000,IF(INDEX('calcA'!$D$60:$EQ$99,$B42,118)*IF($W42=1,HO42+AED42,HO42)=1,IF(AND($E42=2,IF($W42=1,AJS42,ND42)=0),1000000000,IF($V42=1,INDEX('calcA'!$D$130:$EQ$169,$B42,118)+IF(AND($E42=1,ND42=0),25,0),IF($F42&gt;0,INDEX('calcA'!DQ$110:DQ$114,$F42+1)+IF(AND($E42=1,ND42=0),1000,0),MIN(TY42,20)*400+(IF('calcA'!DP$106=1,1-HN42,0)+IF('calcA'!DQ$106=1,1-HP42,0))*150+225+'calcA'!DQ$5*100000+IF(AND($E42=1,ND42=0),50000,0))+IF($H42=1,INDEX('calcA'!$D$180:$EQ$219,$B42,118)*4000,0)-IF(AND('calcA'!DP$117=1,YN42&gt;0),2000,0)-IF(AND($U42=1,'calcA'!DQ$117=1,HP42=0),2000,0))),1000000000))</f>
        <v/>
      </c>
      <c r="ST42">
        <f>IF($B42=0,1000000000,IF(INDEX('calcA'!$D$60:$EQ$99,$B42,119)*IF($W42=1,HP42+AEE42,HP42)=1,IF(AND($E42=2,IF($W42=1,AJT42,NE42)=0),1000000000,IF($V42=1,INDEX('calcA'!$D$130:$EQ$169,$B42,119)+IF(AND($E42=1,NE42=0),25,0),IF($F42&gt;0,INDEX('calcA'!DR$110:DR$114,$F42+1)+IF(AND($E42=1,NE42=0),1000,0),MIN(TY42,20)*400+(IF('calcA'!DQ$106=1,1-HO42,0)+IF('calcA'!DR$106=1,1-HQ42,0))*150+235+'calcA'!DR$5*100000+IF(AND($E42=1,NE42=0),50000,0))+IF($H42=1,INDEX('calcA'!$D$180:$EQ$219,$B42,119)*4000,0)-IF(AND('calcA'!DQ$117=1,YO42&gt;0),2000,0)-IF(AND($U42=1,'calcA'!DR$117=1,HQ42=0),2000,0))),1000000000))</f>
        <v/>
      </c>
      <c r="SU42">
        <f>IF($B42=0,1000000000,IF(INDEX('calcA'!$D$60:$EQ$99,$B42,120)*IF($W42=1,HQ42+AEF42,HQ42)=1,IF(AND($E42=2,IF($W42=1,AJU42,NF42)=0),1000000000,IF($V42=1,INDEX('calcA'!$D$130:$EQ$169,$B42,120)+IF(AND($E42=1,NF42=0),25,0),IF($F42&gt;0,INDEX('calcA'!DS$110:DS$114,$F42+1)+IF(AND($E42=1,NF42=0),1000,0),MIN(TY42,20)*400+(IF('calcA'!DR$106=1,1-HP42,0))*150+245+'calcA'!DS$5*100000+IF(AND($E42=1,NF42=0),50000,0))+IF($H42=1,INDEX('calcA'!$D$180:$EQ$219,$B42,120)*4000,0)-IF(AND('calcA'!DR$117=1,YP42&gt;0),2000,0))),1000000000))</f>
        <v/>
      </c>
      <c r="SV42">
        <f>IF($B42=0,1000000000,IF(INDEX('calcA'!$D$60:$EQ$99,$B42,121)*IF($W42=1,HR42+AEG42,HR42)=1,IF(AND($E42=2,IF($W42=1,AJV42,NG42)=0),1000000000,IF($V42=1,INDEX('calcA'!$D$130:$EQ$169,$B42,121)+IF(AND($E42=1,NG42=0),25,0),IF($F42&gt;0,INDEX('calcA'!DT$110:DT$114,$F42+1)+IF(AND($E42=1,NG42=0),1000,0),MIN(TZ42,20)*400+(IF('calcA'!DT$106=1,1-HS42,0))*150+16+'calcA'!DT$5*100000+IF(AND($E42=1,NG42=0),50000,0))+IF($H42=1,INDEX('calcA'!$D$180:$EQ$219,$B42,121)*4000,0)-IF(AND($U42=1,'calcA'!DT$117=1,HS42=0),2000,0))),1000000000))</f>
        <v/>
      </c>
      <c r="SW42">
        <f>IF($B42=0,1000000000,IF(INDEX('calcA'!$D$60:$EQ$99,$B42,122)*IF($W42=1,HS42+AEH42,HS42)=1,IF(AND($E42=2,IF($W42=1,AJW42,NH42)=0),1000000000,IF($V42=1,INDEX('calcA'!$D$130:$EQ$169,$B42,122)+IF(AND($E42=1,NH42=0),25,0),IF($F42&gt;0,INDEX('calcA'!DU$110:DU$114,$F42+1)+IF(AND($E42=1,NH42=0),1000,0),MIN(TZ42,20)*400+(IF('calcA'!DT$106=1,1-HR42,0)+IF('calcA'!DU$106=1,1-HT42,0))*150+26+'calcA'!DU$5*100000+IF(AND($E42=1,NH42=0),50000,0))+IF($H42=1,INDEX('calcA'!$D$180:$EQ$219,$B42,122)*4000,0)-IF(AND('calcA'!DT$117=1,YR42&gt;0),2000,0)-IF(AND($U42=1,'calcA'!DU$117=1,HT42=0),2000,0))),1000000000))</f>
        <v/>
      </c>
      <c r="SX42">
        <f>IF($B42=0,1000000000,IF(INDEX('calcA'!$D$60:$EQ$99,$B42,123)*IF($W42=1,HT42+AEI42,HT42)=1,IF(AND($E42=2,IF($W42=1,AJX42,NI42)=0),1000000000,IF($V42=1,INDEX('calcA'!$D$130:$EQ$169,$B42,123)+IF(AND($E42=1,NI42=0),25,0),IF($F42&gt;0,INDEX('calcA'!DV$110:DV$114,$F42+1)+IF(AND($E42=1,NI42=0),1000,0),MIN(TZ42,20)*400+(IF('calcA'!DU$106=1,1-HS42,0)+IF('calcA'!DV$106=1,1-HU42,0))*150+36+'calcA'!DV$5*100000+IF(AND($E42=1,NI42=0),50000,0))+IF($H42=1,INDEX('calcA'!$D$180:$EQ$219,$B42,123)*4000,0)-IF(AND('calcA'!DU$117=1,YS42&gt;0),2000,0)-IF(AND($U42=1,'calcA'!DV$117=1,HU42=0),2000,0))),1000000000))</f>
        <v/>
      </c>
      <c r="SY42">
        <f>IF($B42=0,1000000000,IF(INDEX('calcA'!$D$60:$EQ$99,$B42,124)*IF($W42=1,HU42+AEJ42,HU42)=1,IF(AND($E42=2,IF($W42=1,AJY42,NJ42)=0),1000000000,IF($V42=1,INDEX('calcA'!$D$130:$EQ$169,$B42,124)+IF(AND($E42=1,NJ42=0),25,0),IF($F42&gt;0,INDEX('calcA'!DW$110:DW$114,$F42+1)+IF(AND($E42=1,NJ42=0),1000,0),MIN(TZ42,20)*400+(IF('calcA'!DV$106=1,1-HT42,0)+IF('calcA'!DW$106=1,1-HV42,0))*150+46+'calcA'!DW$5*100000+IF(AND($E42=1,NJ42=0),50000,0))+IF($H42=1,INDEX('calcA'!$D$180:$EQ$219,$B42,124)*4000,0)-IF(AND('calcA'!DV$117=1,YT42&gt;0),2000,0)-IF(AND($U42=1,'calcA'!DW$117=1,HV42=0),2000,0))),1000000000))</f>
        <v/>
      </c>
      <c r="SZ42">
        <f>IF($B42=0,1000000000,IF(INDEX('calcA'!$D$60:$EQ$99,$B42,125)*IF($W42=1,HV42+AEK42,HV42)=1,IF(AND($E42=2,IF($W42=1,AJZ42,NK42)=0),1000000000,IF($V42=1,INDEX('calcA'!$D$130:$EQ$169,$B42,125)+IF(AND($E42=1,NK42=0),25,0),IF($F42&gt;0,INDEX('calcA'!DX$110:DX$114,$F42+1)+IF(AND($E42=1,NK42=0),1000,0),MIN(TZ42,20)*400+(IF('calcA'!DW$106=1,1-HU42,0)+IF('calcA'!DX$106=1,1-HW42,0))*150+56+'calcA'!DX$5*100000+IF(AND($E42=1,NK42=0),50000,0))+IF($H42=1,INDEX('calcA'!$D$180:$EQ$219,$B42,125)*4000,0)-IF(AND('calcA'!DW$117=1,YU42&gt;0),2000,0)-IF(AND($U42=1,'calcA'!DX$117=1,HW42=0),2000,0))),1000000000))</f>
        <v/>
      </c>
      <c r="TA42">
        <f>IF($B42=0,1000000000,IF(INDEX('calcA'!$D$60:$EQ$99,$B42,126)*IF($W42=1,HW42+AEL42,HW42)=1,IF(AND($E42=2,IF($W42=1,AKA42,NL42)=0),1000000000,IF($V42=1,INDEX('calcA'!$D$130:$EQ$169,$B42,126)+IF(AND($E42=1,NL42=0),25,0),IF($F42&gt;0,INDEX('calcA'!DY$110:DY$114,$F42+1)+IF(AND($E42=1,NL42=0),1000,0),MIN(TZ42,20)*400+(IF('calcA'!DX$106=1,1-HV42,0)+IF('calcA'!DY$106=1,1-HX42,0))*150+66+'calcA'!DY$5*100000+IF(AND($E42=1,NL42=0),50000,0))+IF($H42=1,INDEX('calcA'!$D$180:$EQ$219,$B42,126)*4000,0)-IF(AND('calcA'!DX$117=1,YV42&gt;0),2000,0)-IF(AND($U42=1,'calcA'!DY$117=1,HX42=0),2000,0))),1000000000))</f>
        <v/>
      </c>
      <c r="TB42">
        <f>IF($B42=0,1000000000,IF(INDEX('calcA'!$D$60:$EQ$99,$B42,127)*IF($W42=1,HX42+AEM42,HX42)=1,IF(AND($E42=2,IF($W42=1,AKB42,NM42)=0),1000000000,IF($V42=1,INDEX('calcA'!$D$130:$EQ$169,$B42,127)+IF(AND($E42=1,NM42=0),25,0),IF($F42&gt;0,INDEX('calcA'!DZ$110:DZ$114,$F42+1)+IF(AND($E42=1,NM42=0),1000,0),MIN(TZ42,20)*400+(IF('calcA'!DY$106=1,1-HW42,0)+IF('calcA'!DZ$106=1,1-HY42,0))*150+76+'calcA'!DZ$5*100000+IF(AND($E42=1,NM42=0),50000,0))+IF($H42=1,INDEX('calcA'!$D$180:$EQ$219,$B42,127)*4000,0)-IF(AND('calcA'!DY$117=1,YW42&gt;0),2000,0)-IF(AND($U42=1,'calcA'!DZ$117=1,HY42=0),2000,0))),1000000000))</f>
        <v/>
      </c>
      <c r="TC42">
        <f>IF($B42=0,1000000000,IF(INDEX('calcA'!$D$60:$EQ$99,$B42,128)*IF($W42=1,HY42+AEN42,HY42)=1,IF(AND($E42=2,IF($W42=1,AKC42,NN42)=0),1000000000,IF($V42=1,INDEX('calcA'!$D$130:$EQ$169,$B42,128)+IF(AND($E42=1,NN42=0),25,0),IF($F42&gt;0,INDEX('calcA'!EA$110:EA$114,$F42+1)+IF(AND($E42=1,NN42=0),1000,0),MIN(TZ42,20)*400+(IF('calcA'!DZ$106=1,1-HX42,0)+IF('calcA'!EA$106=1,1-HZ42,0))*150+86+'calcA'!EA$5*100000+IF(AND($E42=1,NN42=0),50000,0))+IF($H42=1,INDEX('calcA'!$D$180:$EQ$219,$B42,128)*4000,0)-IF(AND('calcA'!DZ$117=1,YX42&gt;0),2000,0)-IF(AND($U42=1,'calcA'!EA$117=1,HZ42=0),2000,0))),1000000000))</f>
        <v/>
      </c>
      <c r="TD42">
        <f>IF($B42=0,1000000000,IF(INDEX('calcA'!$D$60:$EQ$99,$B42,129)*IF($W42=1,HZ42+AEO42,HZ42)=1,IF(AND($E42=2,IF($W42=1,AKD42,NO42)=0),1000000000,IF($V42=1,INDEX('calcA'!$D$130:$EQ$169,$B42,129)+IF(AND($E42=1,NO42=0),25,0),IF($F42&gt;0,INDEX('calcA'!EB$110:EB$114,$F42+1)+IF(AND($E42=1,NO42=0),1000,0),MIN(TZ42,20)*400+(IF('calcA'!EA$106=1,1-HY42,0)+IF('calcA'!EB$106=1,1-IA42,0))*150+96+'calcA'!EB$5*100000+IF(AND($E42=1,NO42=0),50000,0))+IF($H42=1,INDEX('calcA'!$D$180:$EQ$219,$B42,129)*4000,0)-IF(AND('calcA'!EA$117=1,YY42&gt;0),2000,0)-IF(AND($U42=1,'calcA'!EB$117=1,IA42=0),2000,0))),1000000000))</f>
        <v/>
      </c>
      <c r="TE42">
        <f>IF($B42=0,1000000000,IF(INDEX('calcA'!$D$60:$EQ$99,$B42,130)*IF($W42=1,IA42+AEP42,IA42)=1,IF(AND($E42=2,IF($W42=1,AKE42,NP42)=0),1000000000,IF($V42=1,INDEX('calcA'!$D$130:$EQ$169,$B42,130)+IF(AND($E42=1,NP42=0),25,0),IF($F42&gt;0,INDEX('calcA'!EC$110:EC$114,$F42+1)+IF(AND($E42=1,NP42=0),1000,0),MIN(TZ42,20)*400+(IF('calcA'!EB$106=1,1-HZ42,0)+IF('calcA'!EC$106=1,1-IB42,0))*150+106+'calcA'!EC$5*100000+IF(AND($E42=1,NP42=0),50000,0))+IF($H42=1,INDEX('calcA'!$D$180:$EQ$219,$B42,130)*4000,0)-IF(AND('calcA'!EB$117=1,YZ42&gt;0),2000,0)-IF(AND($U42=1,'calcA'!EC$117=1,IB42=0),2000,0))),1000000000))</f>
        <v/>
      </c>
      <c r="TF42">
        <f>IF($B42=0,1000000000,IF(INDEX('calcA'!$D$60:$EQ$99,$B42,131)*IF($W42=1,IB42+AEQ42,IB42)=1,IF(AND($E42=2,IF($W42=1,AKF42,NQ42)=0),1000000000,IF($V42=1,INDEX('calcA'!$D$130:$EQ$169,$B42,131)+IF(AND($E42=1,NQ42=0),25,0),IF($F42&gt;0,INDEX('calcA'!ED$110:ED$114,$F42+1)+IF(AND($E42=1,NQ42=0),1000,0),MIN(TZ42,20)*400+(IF('calcA'!EC$106=1,1-IA42,0)+IF('calcA'!ED$106=1,1-IC42,0))*150+116+'calcA'!ED$5*100000+IF(AND($E42=1,NQ42=0),50000,0))+IF($H42=1,INDEX('calcA'!$D$180:$EQ$219,$B42,131)*4000,0)-IF(AND('calcA'!EC$117=1,ZA42&gt;0),2000,0)-IF(AND($U42=1,'calcA'!ED$117=1,IC42=0),2000,0))),1000000000))</f>
        <v/>
      </c>
      <c r="TG42">
        <f>IF($B42=0,1000000000,IF(INDEX('calcA'!$D$60:$EQ$99,$B42,132)*IF($W42=1,IC42+AER42,IC42)=1,IF(AND($E42=2,IF($W42=1,AKG42,NR42)=0),1000000000,IF($V42=1,INDEX('calcA'!$D$130:$EQ$169,$B42,132)+IF(AND($E42=1,NR42=0),25,0),IF($F42&gt;0,INDEX('calcA'!EE$110:EE$114,$F42+1)+IF(AND($E42=1,NR42=0),1000,0),MIN(TZ42,20)*400+(IF('calcA'!ED$106=1,1-IB42,0)+IF('calcA'!EE$106=1,1-ID42,0))*150+126+'calcA'!EE$5*100000+IF(AND($E42=1,NR42=0),50000,0))+IF($H42=1,INDEX('calcA'!$D$180:$EQ$219,$B42,132)*4000,0)-IF(AND('calcA'!ED$117=1,ZB42&gt;0),2000,0)-IF(AND($U42=1,'calcA'!EE$117=1,ID42=0),2000,0))),1000000000))</f>
        <v/>
      </c>
      <c r="TH42">
        <f>IF($B42=0,1000000000,IF(INDEX('calcA'!$D$60:$EQ$99,$B42,133)*IF($W42=1,ID42+AES42,ID42)=1,IF(AND($E42=2,IF($W42=1,AKH42,NS42)=0),1000000000,IF($V42=1,INDEX('calcA'!$D$130:$EQ$169,$B42,133)+IF(AND($E42=1,NS42=0),25,0),IF($F42&gt;0,INDEX('calcA'!EF$110:EF$114,$F42+1)+IF(AND($E42=1,NS42=0),1000,0),MIN(TZ42,20)*400+(IF('calcA'!EE$106=1,1-IC42,0)+IF('calcA'!EF$106=1,1-IE42,0))*150+136+'calcA'!EF$5*100000+IF(AND($E42=1,NS42=0),50000,0))+IF($H42=1,INDEX('calcA'!$D$180:$EQ$219,$B42,133)*4000,0)-IF(AND('calcA'!EE$117=1,ZC42&gt;0),2000,0)-IF(AND($U42=1,'calcA'!EF$117=1,IE42=0),2000,0))),1000000000))</f>
        <v/>
      </c>
      <c r="TI42">
        <f>IF($B42=0,1000000000,IF(INDEX('calcA'!$D$60:$EQ$99,$B42,134)*IF($W42=1,IE42+AET42,IE42)=1,IF(AND($E42=2,IF($W42=1,AKI42,NT42)=0),1000000000,IF($V42=1,INDEX('calcA'!$D$130:$EQ$169,$B42,134)+IF(AND($E42=1,NT42=0),25,0),IF($F42&gt;0,INDEX('calcA'!EG$110:EG$114,$F42+1)+IF(AND($E42=1,NT42=0),1000,0),MIN(TZ42,20)*400+(IF('calcA'!EF$106=1,1-ID42,0)+IF('calcA'!EG$106=1,1-IF42,0))*150+146+'calcA'!EG$5*100000+IF(AND($E42=1,NT42=0),50000,0))+IF($H42=1,INDEX('calcA'!$D$180:$EQ$219,$B42,134)*4000,0)-IF(AND('calcA'!EF$117=1,ZD42&gt;0),2000,0)-IF(AND($U42=1,'calcA'!EG$117=1,IF42=0),2000,0))),1000000000))</f>
        <v/>
      </c>
      <c r="TJ42">
        <f>IF($B42=0,1000000000,IF(INDEX('calcA'!$D$60:$EQ$99,$B42,135)*IF($W42=1,IF42+AEU42,IF42)=1,IF(AND($E42=2,IF($W42=1,AKJ42,NU42)=0),1000000000,IF($V42=1,INDEX('calcA'!$D$130:$EQ$169,$B42,135)+IF(AND($E42=1,NU42=0),25,0),IF($F42&gt;0,INDEX('calcA'!EH$110:EH$114,$F42+1)+IF(AND($E42=1,NU42=0),1000,0),MIN(TZ42,20)*400+(IF('calcA'!EG$106=1,1-IE42,0)+IF('calcA'!EH$106=1,1-IG42,0))*150+156+'calcA'!EH$5*100000+IF(AND($E42=1,NU42=0),50000,0))+IF($H42=1,INDEX('calcA'!$D$180:$EQ$219,$B42,135)*4000,0)-IF(AND('calcA'!EG$117=1,ZE42&gt;0),2000,0)-IF(AND($U42=1,'calcA'!EH$117=1,IG42=0),2000,0))),1000000000))</f>
        <v/>
      </c>
      <c r="TK42">
        <f>IF($B42=0,1000000000,IF(INDEX('calcA'!$D$60:$EQ$99,$B42,136)*IF($W42=1,IG42+AEV42,IG42)=1,IF(AND($E42=2,IF($W42=1,AKK42,NV42)=0),1000000000,IF($V42=1,INDEX('calcA'!$D$130:$EQ$169,$B42,136)+IF(AND($E42=1,NV42=0),25,0),IF($F42&gt;0,INDEX('calcA'!EI$110:EI$114,$F42+1)+IF(AND($E42=1,NV42=0),1000,0),MIN(TZ42,20)*400+(IF('calcA'!EH$106=1,1-IF42,0)+IF('calcA'!EI$106=1,1-IH42,0))*150+166+'calcA'!EI$5*100000+IF(AND($E42=1,NV42=0),50000,0))+IF($H42=1,INDEX('calcA'!$D$180:$EQ$219,$B42,136)*4000,0)-IF(AND('calcA'!EH$117=1,ZF42&gt;0),2000,0)-IF(AND($U42=1,'calcA'!EI$117=1,IH42=0),2000,0))),1000000000))</f>
        <v/>
      </c>
      <c r="TL42">
        <f>IF($B42=0,1000000000,IF(INDEX('calcA'!$D$60:$EQ$99,$B42,137)*IF($W42=1,IH42+AEW42,IH42)=1,IF(AND($E42=2,IF($W42=1,AKL42,NW42)=0),1000000000,IF($V42=1,INDEX('calcA'!$D$130:$EQ$169,$B42,137)+IF(AND($E42=1,NW42=0),25,0),IF($F42&gt;0,INDEX('calcA'!EJ$110:EJ$114,$F42+1)+IF(AND($E42=1,NW42=0),1000,0),MIN(TZ42,20)*400+(IF('calcA'!EI$106=1,1-IG42,0)+IF('calcA'!EJ$106=1,1-II42,0))*150+176+'calcA'!EJ$5*100000+IF(AND($E42=1,NW42=0),50000,0))+IF($H42=1,INDEX('calcA'!$D$180:$EQ$219,$B42,137)*4000,0)-IF(AND('calcA'!EI$117=1,ZG42&gt;0),2000,0)-IF(AND($U42=1,'calcA'!EJ$117=1,II42=0),2000,0))),1000000000))</f>
        <v/>
      </c>
      <c r="TM42">
        <f>IF($B42=0,1000000000,IF(INDEX('calcA'!$D$60:$EQ$99,$B42,138)*IF($W42=1,II42+AEX42,II42)=1,IF(AND($E42=2,IF($W42=1,AKM42,NX42)=0),1000000000,IF($V42=1,INDEX('calcA'!$D$130:$EQ$169,$B42,138)+IF(AND($E42=1,NX42=0),25,0),IF($F42&gt;0,INDEX('calcA'!EK$110:EK$114,$F42+1)+IF(AND($E42=1,NX42=0),1000,0),MIN(TZ42,20)*400+(IF('calcA'!EJ$106=1,1-IH42,0)+IF('calcA'!EK$106=1,1-IJ42,0))*150+186+'calcA'!EK$5*100000+IF(AND($E42=1,NX42=0),50000,0))+IF($H42=1,INDEX('calcA'!$D$180:$EQ$219,$B42,138)*4000,0)-IF(AND('calcA'!EJ$117=1,ZH42&gt;0),2000,0)-IF(AND($U42=1,'calcA'!EK$117=1,IJ42=0),2000,0))),1000000000))</f>
        <v/>
      </c>
      <c r="TN42">
        <f>IF($B42=0,1000000000,IF(INDEX('calcA'!$D$60:$EQ$99,$B42,139)*IF($W42=1,IJ42+AEY42,IJ42)=1,IF(AND($E42=2,IF($W42=1,AKN42,NY42)=0),1000000000,IF($V42=1,INDEX('calcA'!$D$130:$EQ$169,$B42,139)+IF(AND($E42=1,NY42=0),25,0),IF($F42&gt;0,INDEX('calcA'!EL$110:EL$114,$F42+1)+IF(AND($E42=1,NY42=0),1000,0),MIN(TZ42,20)*400+(IF('calcA'!EK$106=1,1-II42,0)+IF('calcA'!EL$106=1,1-IK42,0))*150+196+'calcA'!EL$5*100000+IF(AND($E42=1,NY42=0),50000,0))+IF($H42=1,INDEX('calcA'!$D$180:$EQ$219,$B42,139)*4000,0)-IF(AND('calcA'!EK$117=1,ZI42&gt;0),2000,0)-IF(AND($U42=1,'calcA'!EL$117=1,IK42=0),2000,0))),1000000000))</f>
        <v/>
      </c>
      <c r="TO42">
        <f>IF($B42=0,1000000000,IF(INDEX('calcA'!$D$60:$EQ$99,$B42,140)*IF($W42=1,IK42+AEZ42,IK42)=1,IF(AND($E42=2,IF($W42=1,AKO42,NZ42)=0),1000000000,IF($V42=1,INDEX('calcA'!$D$130:$EQ$169,$B42,140)+IF(AND($E42=1,NZ42=0),25,0),IF($F42&gt;0,INDEX('calcA'!EM$110:EM$114,$F42+1)+IF(AND($E42=1,NZ42=0),1000,0),MIN(TZ42,20)*400+(IF('calcA'!EL$106=1,1-IJ42,0)+IF('calcA'!EM$106=1,1-IL42,0))*150+206+'calcA'!EM$5*100000+IF(AND($E42=1,NZ42=0),50000,0))+IF($H42=1,INDEX('calcA'!$D$180:$EQ$219,$B42,140)*4000,0)-IF(AND('calcA'!EL$117=1,ZJ42&gt;0),2000,0)-IF(AND($U42=1,'calcA'!EM$117=1,IL42=0),2000,0))),1000000000))</f>
        <v/>
      </c>
      <c r="TP42">
        <f>IF($B42=0,1000000000,IF(INDEX('calcA'!$D$60:$EQ$99,$B42,141)*IF($W42=1,IL42+AFA42,IL42)=1,IF(AND($E42=2,IF($W42=1,AKP42,OA42)=0),1000000000,IF($V42=1,INDEX('calcA'!$D$130:$EQ$169,$B42,141)+IF(AND($E42=1,OA42=0),25,0),IF($F42&gt;0,INDEX('calcA'!EN$110:EN$114,$F42+1)+IF(AND($E42=1,OA42=0),1000,0),MIN(TZ42,20)*400+(IF('calcA'!EM$106=1,1-IK42,0)+IF('calcA'!EN$106=1,1-IM42,0))*150+216+'calcA'!EN$5*100000+IF(AND($E42=1,OA42=0),50000,0))+IF($H42=1,INDEX('calcA'!$D$180:$EQ$219,$B42,141)*4000,0)-IF(AND('calcA'!EM$117=1,ZK42&gt;0),2000,0)-IF(AND($U42=1,'calcA'!EN$117=1,IM42=0),2000,0))),1000000000))</f>
        <v/>
      </c>
      <c r="TQ42">
        <f>IF($B42=0,1000000000,IF(INDEX('calcA'!$D$60:$EQ$99,$B42,142)*IF($W42=1,IM42+AFB42,IM42)=1,IF(AND($E42=2,IF($W42=1,AKQ42,OB42)=0),1000000000,IF($V42=1,INDEX('calcA'!$D$130:$EQ$169,$B42,142)+IF(AND($E42=1,OB42=0),25,0),IF($F42&gt;0,INDEX('calcA'!EO$110:EO$114,$F42+1)+IF(AND($E42=1,OB42=0),1000,0),MIN(TZ42,20)*400+(IF('calcA'!EN$106=1,1-IL42,0)+IF('calcA'!EO$106=1,1-IN42,0))*150+226+'calcA'!EO$5*100000+IF(AND($E42=1,OB42=0),50000,0))+IF($H42=1,INDEX('calcA'!$D$180:$EQ$219,$B42,142)*4000,0)-IF(AND('calcA'!EN$117=1,ZL42&gt;0),2000,0)-IF(AND($U42=1,'calcA'!EO$117=1,IN42=0),2000,0))),1000000000))</f>
        <v/>
      </c>
      <c r="TR42">
        <f>IF($B42=0,1000000000,IF(INDEX('calcA'!$D$60:$EQ$99,$B42,143)*IF($W42=1,IN42+AFC42,IN42)=1,IF(AND($E42=2,IF($W42=1,AKR42,OC42)=0),1000000000,IF($V42=1,INDEX('calcA'!$D$130:$EQ$169,$B42,143)+IF(AND($E42=1,OC42=0),25,0),IF($F42&gt;0,INDEX('calcA'!EP$110:EP$114,$F42+1)+IF(AND($E42=1,OC42=0),1000,0),MIN(TZ42,20)*400+(IF('calcA'!EO$106=1,1-IM42,0)+IF('calcA'!EP$106=1,1-IO42,0))*150+236+'calcA'!EP$5*100000+IF(AND($E42=1,OC42=0),50000,0))+IF($H42=1,INDEX('calcA'!$D$180:$EQ$219,$B42,143)*4000,0)-IF(AND('calcA'!EO$117=1,ZM42&gt;0),2000,0)-IF(AND($U42=1,'calcA'!EP$117=1,IO42=0),2000,0))),1000000000))</f>
        <v/>
      </c>
      <c r="TS42">
        <f>IF($B42=0,1000000000,IF(INDEX('calcA'!$D$60:$EQ$99,$B42,144)*IF($W42=1,IO42+AFD42,IO42)=1,IF(AND($E42=2,IF($W42=1,AKS42,OD42)=0),1000000000,IF($V42=1,INDEX('calcA'!$D$130:$EQ$169,$B42,144)+IF(AND($E42=1,OD42=0),25,0),IF($F42&gt;0,INDEX('calcA'!EQ$110:EQ$114,$F42+1)+IF(AND($E42=1,OD42=0),1000,0),MIN(TZ42,20)*400+(IF('calcA'!EP$106=1,1-IN42,0))*150+246+'calcA'!EQ$5*100000+IF(AND($E42=1,OD42=0),50000,0))+IF($H42=1,INDEX('calcA'!$D$180:$EQ$219,$B42,144)*4000,0)-IF(AND('calcA'!EP$117=1,ZN42&gt;0),2000,0))),1000000000))</f>
        <v/>
      </c>
      <c r="TU42">
        <f>TU41+IF($C41&gt;0,IF(INDEX('calcA'!$D$2:$EQ$2,$C41)=1,1,0),0)</f>
        <v/>
      </c>
      <c r="TV42">
        <f>TV41+IF($C41&gt;0,IF(INDEX('calcA'!$D$2:$EQ$2,$C41)=2,1,0),0)</f>
        <v/>
      </c>
      <c r="TW42">
        <f>TW41+IF($C41&gt;0,IF(INDEX('calcA'!$D$2:$EQ$2,$C41)=3,1,0),0)</f>
        <v/>
      </c>
      <c r="TX42">
        <f>TX41+IF($C41&gt;0,IF(INDEX('calcA'!$D$2:$EQ$2,$C41)=4,1,0),0)</f>
        <v/>
      </c>
      <c r="TY42">
        <f>TY41+IF($C41&gt;0,IF(INDEX('calcA'!$D$2:$EQ$2,$C41)=5,1,0),0)</f>
        <v/>
      </c>
      <c r="TZ42">
        <f>TZ41+IF($C41&gt;0,IF(INDEX('calcA'!$D$2:$EQ$2,$C41)=6,1,0),0)</f>
        <v/>
      </c>
      <c r="UB42">
        <f>UB41+IF(AND($C41=1,$U41=1),1,0)</f>
        <v/>
      </c>
      <c r="UC42">
        <f>UC41+IF(AND($C41=2,$U41=1),1,0)</f>
        <v/>
      </c>
      <c r="UD42">
        <f>UD41+IF(AND($C41=3,$U41=1),1,0)</f>
        <v/>
      </c>
      <c r="UE42">
        <f>UE41+IF(AND($C41=4,$U41=1),1,0)</f>
        <v/>
      </c>
      <c r="UF42">
        <f>UF41+IF(AND($C41=5,$U41=1),1,0)</f>
        <v/>
      </c>
      <c r="UG42">
        <f>UG41+IF(AND($C41=6,$U41=1),1,0)</f>
        <v/>
      </c>
      <c r="UH42">
        <f>UH41+IF(AND($C41=7,$U41=1),1,0)</f>
        <v/>
      </c>
      <c r="UI42">
        <f>UI41+IF(AND($C41=8,$U41=1),1,0)</f>
        <v/>
      </c>
      <c r="UJ42">
        <f>UJ41+IF(AND($C41=9,$U41=1),1,0)</f>
        <v/>
      </c>
      <c r="UK42">
        <f>UK41+IF(AND($C41=10,$U41=1),1,0)</f>
        <v/>
      </c>
      <c r="UL42">
        <f>UL41+IF(AND($C41=11,$U41=1),1,0)</f>
        <v/>
      </c>
      <c r="UM42">
        <f>UM41+IF(AND($C41=12,$U41=1),1,0)</f>
        <v/>
      </c>
      <c r="UN42">
        <f>UN41+IF(AND($C41=13,$U41=1),1,0)</f>
        <v/>
      </c>
      <c r="UO42">
        <f>UO41+IF(AND($C41=14,$U41=1),1,0)</f>
        <v/>
      </c>
      <c r="UP42">
        <f>UP41+IF(AND($C41=15,$U41=1),1,0)</f>
        <v/>
      </c>
      <c r="UQ42">
        <f>UQ41+IF(AND($C41=16,$U41=1),1,0)</f>
        <v/>
      </c>
      <c r="UR42">
        <f>UR41+IF(AND($C41=17,$U41=1),1,0)</f>
        <v/>
      </c>
      <c r="US42">
        <f>US41+IF(AND($C41=18,$U41=1),1,0)</f>
        <v/>
      </c>
      <c r="UT42">
        <f>UT41+IF(AND($C41=19,$U41=1),1,0)</f>
        <v/>
      </c>
      <c r="UU42">
        <f>UU41+IF(AND($C41=20,$U41=1),1,0)</f>
        <v/>
      </c>
      <c r="UV42">
        <f>UV41+IF(AND($C41=21,$U41=1),1,0)</f>
        <v/>
      </c>
      <c r="UW42">
        <f>UW41+IF(AND($C41=22,$U41=1),1,0)</f>
        <v/>
      </c>
      <c r="UX42">
        <f>UX41+IF(AND($C41=23,$U41=1),1,0)</f>
        <v/>
      </c>
      <c r="UY42">
        <f>UY41+IF(AND($C41=24,$U41=1),1,0)</f>
        <v/>
      </c>
      <c r="UZ42">
        <f>UZ41+IF(AND($C41=25,$U41=1),1,0)</f>
        <v/>
      </c>
      <c r="VA42">
        <f>VA41+IF(AND($C41=26,$U41=1),1,0)</f>
        <v/>
      </c>
      <c r="VB42">
        <f>VB41+IF(AND($C41=27,$U41=1),1,0)</f>
        <v/>
      </c>
      <c r="VC42">
        <f>VC41+IF(AND($C41=28,$U41=1),1,0)</f>
        <v/>
      </c>
      <c r="VD42">
        <f>VD41+IF(AND($C41=29,$U41=1),1,0)</f>
        <v/>
      </c>
      <c r="VE42">
        <f>VE41+IF(AND($C41=30,$U41=1),1,0)</f>
        <v/>
      </c>
      <c r="VF42">
        <f>VF41+IF(AND($C41=31,$U41=1),1,0)</f>
        <v/>
      </c>
      <c r="VG42">
        <f>VG41+IF(AND($C41=32,$U41=1),1,0)</f>
        <v/>
      </c>
      <c r="VH42">
        <f>VH41+IF(AND($C41=33,$U41=1),1,0)</f>
        <v/>
      </c>
      <c r="VI42">
        <f>VI41+IF(AND($C41=34,$U41=1),1,0)</f>
        <v/>
      </c>
      <c r="VJ42">
        <f>VJ41+IF(AND($C41=35,$U41=1),1,0)</f>
        <v/>
      </c>
      <c r="VK42">
        <f>VK41+IF(AND($C41=36,$U41=1),1,0)</f>
        <v/>
      </c>
      <c r="VL42">
        <f>VL41+IF(AND($C41=37,$U41=1),1,0)</f>
        <v/>
      </c>
      <c r="VM42">
        <f>VM41+IF(AND($C41=38,$U41=1),1,0)</f>
        <v/>
      </c>
      <c r="VN42">
        <f>VN41+IF(AND($C41=39,$U41=1),1,0)</f>
        <v/>
      </c>
      <c r="VO42">
        <f>VO41+IF(AND($C41=40,$U41=1),1,0)</f>
        <v/>
      </c>
      <c r="VP42">
        <f>VP41+IF(AND($C41=41,$U41=1),1,0)</f>
        <v/>
      </c>
      <c r="VQ42">
        <f>VQ41+IF(AND($C41=42,$U41=1),1,0)</f>
        <v/>
      </c>
      <c r="VR42">
        <f>VR41+IF(AND($C41=43,$U41=1),1,0)</f>
        <v/>
      </c>
      <c r="VS42">
        <f>VS41+IF(AND($C41=44,$U41=1),1,0)</f>
        <v/>
      </c>
      <c r="VT42">
        <f>VT41+IF(AND($C41=45,$U41=1),1,0)</f>
        <v/>
      </c>
      <c r="VU42">
        <f>VU41+IF(AND($C41=46,$U41=1),1,0)</f>
        <v/>
      </c>
      <c r="VV42">
        <f>VV41+IF(AND($C41=47,$U41=1),1,0)</f>
        <v/>
      </c>
      <c r="VW42">
        <f>VW41+IF(AND($C41=48,$U41=1),1,0)</f>
        <v/>
      </c>
      <c r="VX42">
        <f>VX41+IF(AND($C41=49,$U41=1),1,0)</f>
        <v/>
      </c>
      <c r="VY42">
        <f>VY41+IF(AND($C41=50,$U41=1),1,0)</f>
        <v/>
      </c>
      <c r="VZ42">
        <f>VZ41+IF(AND($C41=51,$U41=1),1,0)</f>
        <v/>
      </c>
      <c r="WA42">
        <f>WA41+IF(AND($C41=52,$U41=1),1,0)</f>
        <v/>
      </c>
      <c r="WB42">
        <f>WB41+IF(AND($C41=53,$U41=1),1,0)</f>
        <v/>
      </c>
      <c r="WC42">
        <f>WC41+IF(AND($C41=54,$U41=1),1,0)</f>
        <v/>
      </c>
      <c r="WD42">
        <f>WD41+IF(AND($C41=55,$U41=1),1,0)</f>
        <v/>
      </c>
      <c r="WE42">
        <f>WE41+IF(AND($C41=56,$U41=1),1,0)</f>
        <v/>
      </c>
      <c r="WF42">
        <f>WF41+IF(AND($C41=57,$U41=1),1,0)</f>
        <v/>
      </c>
      <c r="WG42">
        <f>WG41+IF(AND($C41=58,$U41=1),1,0)</f>
        <v/>
      </c>
      <c r="WH42">
        <f>WH41+IF(AND($C41=59,$U41=1),1,0)</f>
        <v/>
      </c>
      <c r="WI42">
        <f>WI41+IF(AND($C41=60,$U41=1),1,0)</f>
        <v/>
      </c>
      <c r="WJ42">
        <f>WJ41+IF(AND($C41=61,$U41=1),1,0)</f>
        <v/>
      </c>
      <c r="WK42">
        <f>WK41+IF(AND($C41=62,$U41=1),1,0)</f>
        <v/>
      </c>
      <c r="WL42">
        <f>WL41+IF(AND($C41=63,$U41=1),1,0)</f>
        <v/>
      </c>
      <c r="WM42">
        <f>WM41+IF(AND($C41=64,$U41=1),1,0)</f>
        <v/>
      </c>
      <c r="WN42">
        <f>WN41+IF(AND($C41=65,$U41=1),1,0)</f>
        <v/>
      </c>
      <c r="WO42">
        <f>WO41+IF(AND($C41=66,$U41=1),1,0)</f>
        <v/>
      </c>
      <c r="WP42">
        <f>WP41+IF(AND($C41=67,$U41=1),1,0)</f>
        <v/>
      </c>
      <c r="WQ42">
        <f>WQ41+IF(AND($C41=68,$U41=1),1,0)</f>
        <v/>
      </c>
      <c r="WR42">
        <f>WR41+IF(AND($C41=69,$U41=1),1,0)</f>
        <v/>
      </c>
      <c r="WS42">
        <f>WS41+IF(AND($C41=70,$U41=1),1,0)</f>
        <v/>
      </c>
      <c r="WT42">
        <f>WT41+IF(AND($C41=71,$U41=1),1,0)</f>
        <v/>
      </c>
      <c r="WU42">
        <f>WU41+IF(AND($C41=72,$U41=1),1,0)</f>
        <v/>
      </c>
      <c r="WV42">
        <f>WV41+IF(AND($C41=73,$U41=1),1,0)</f>
        <v/>
      </c>
      <c r="WW42">
        <f>WW41+IF(AND($C41=74,$U41=1),1,0)</f>
        <v/>
      </c>
      <c r="WX42">
        <f>WX41+IF(AND($C41=75,$U41=1),1,0)</f>
        <v/>
      </c>
      <c r="WY42">
        <f>WY41+IF(AND($C41=76,$U41=1),1,0)</f>
        <v/>
      </c>
      <c r="WZ42">
        <f>WZ41+IF(AND($C41=77,$U41=1),1,0)</f>
        <v/>
      </c>
      <c r="XA42">
        <f>XA41+IF(AND($C41=78,$U41=1),1,0)</f>
        <v/>
      </c>
      <c r="XB42">
        <f>XB41+IF(AND($C41=79,$U41=1),1,0)</f>
        <v/>
      </c>
      <c r="XC42">
        <f>XC41+IF(AND($C41=80,$U41=1),1,0)</f>
        <v/>
      </c>
      <c r="XD42">
        <f>XD41+IF(AND($C41=81,$U41=1),1,0)</f>
        <v/>
      </c>
      <c r="XE42">
        <f>XE41+IF(AND($C41=82,$U41=1),1,0)</f>
        <v/>
      </c>
      <c r="XF42">
        <f>XF41+IF(AND($C41=83,$U41=1),1,0)</f>
        <v/>
      </c>
      <c r="XG42">
        <f>XG41+IF(AND($C41=84,$U41=1),1,0)</f>
        <v/>
      </c>
      <c r="XH42">
        <f>XH41+IF(AND($C41=85,$U41=1),1,0)</f>
        <v/>
      </c>
      <c r="XI42">
        <f>XI41+IF(AND($C41=86,$U41=1),1,0)</f>
        <v/>
      </c>
      <c r="XJ42">
        <f>XJ41+IF(AND($C41=87,$U41=1),1,0)</f>
        <v/>
      </c>
      <c r="XK42">
        <f>XK41+IF(AND($C41=88,$U41=1),1,0)</f>
        <v/>
      </c>
      <c r="XL42">
        <f>XL41+IF(AND($C41=89,$U41=1),1,0)</f>
        <v/>
      </c>
      <c r="XM42">
        <f>XM41+IF(AND($C41=90,$U41=1),1,0)</f>
        <v/>
      </c>
      <c r="XN42">
        <f>XN41+IF(AND($C41=91,$U41=1),1,0)</f>
        <v/>
      </c>
      <c r="XO42">
        <f>XO41+IF(AND($C41=92,$U41=1),1,0)</f>
        <v/>
      </c>
      <c r="XP42">
        <f>XP41+IF(AND($C41=93,$U41=1),1,0)</f>
        <v/>
      </c>
      <c r="XQ42">
        <f>XQ41+IF(AND($C41=94,$U41=1),1,0)</f>
        <v/>
      </c>
      <c r="XR42">
        <f>XR41+IF(AND($C41=95,$U41=1),1,0)</f>
        <v/>
      </c>
      <c r="XS42">
        <f>XS41+IF(AND($C41=96,$U41=1),1,0)</f>
        <v/>
      </c>
      <c r="XT42">
        <f>XT41+IF(AND($C41=97,$U41=1),1,0)</f>
        <v/>
      </c>
      <c r="XU42">
        <f>XU41+IF(AND($C41=98,$U41=1),1,0)</f>
        <v/>
      </c>
      <c r="XV42">
        <f>XV41+IF(AND($C41=99,$U41=1),1,0)</f>
        <v/>
      </c>
      <c r="XW42">
        <f>XW41+IF(AND($C41=100,$U41=1),1,0)</f>
        <v/>
      </c>
      <c r="XX42">
        <f>XX41+IF(AND($C41=101,$U41=1),1,0)</f>
        <v/>
      </c>
      <c r="XY42">
        <f>XY41+IF(AND($C41=102,$U41=1),1,0)</f>
        <v/>
      </c>
      <c r="XZ42">
        <f>XZ41+IF(AND($C41=103,$U41=1),1,0)</f>
        <v/>
      </c>
      <c r="YA42">
        <f>YA41+IF(AND($C41=104,$U41=1),1,0)</f>
        <v/>
      </c>
      <c r="YB42">
        <f>YB41+IF(AND($C41=105,$U41=1),1,0)</f>
        <v/>
      </c>
      <c r="YC42">
        <f>YC41+IF(AND($C41=106,$U41=1),1,0)</f>
        <v/>
      </c>
      <c r="YD42">
        <f>YD41+IF(AND($C41=107,$U41=1),1,0)</f>
        <v/>
      </c>
      <c r="YE42">
        <f>YE41+IF(AND($C41=108,$U41=1),1,0)</f>
        <v/>
      </c>
      <c r="YF42">
        <f>YF41+IF(AND($C41=109,$U41=1),1,0)</f>
        <v/>
      </c>
      <c r="YG42">
        <f>YG41+IF(AND($C41=110,$U41=1),1,0)</f>
        <v/>
      </c>
      <c r="YH42">
        <f>YH41+IF(AND($C41=111,$U41=1),1,0)</f>
        <v/>
      </c>
      <c r="YI42">
        <f>YI41+IF(AND($C41=112,$U41=1),1,0)</f>
        <v/>
      </c>
      <c r="YJ42">
        <f>YJ41+IF(AND($C41=113,$U41=1),1,0)</f>
        <v/>
      </c>
      <c r="YK42">
        <f>YK41+IF(AND($C41=114,$U41=1),1,0)</f>
        <v/>
      </c>
      <c r="YL42">
        <f>YL41+IF(AND($C41=115,$U41=1),1,0)</f>
        <v/>
      </c>
      <c r="YM42">
        <f>YM41+IF(AND($C41=116,$U41=1),1,0)</f>
        <v/>
      </c>
      <c r="YN42">
        <f>YN41+IF(AND($C41=117,$U41=1),1,0)</f>
        <v/>
      </c>
      <c r="YO42">
        <f>YO41+IF(AND($C41=118,$U41=1),1,0)</f>
        <v/>
      </c>
      <c r="YP42">
        <f>YP41+IF(AND($C41=119,$U41=1),1,0)</f>
        <v/>
      </c>
      <c r="YQ42">
        <f>YQ41+IF(AND($C41=120,$U41=1),1,0)</f>
        <v/>
      </c>
      <c r="YR42">
        <f>YR41+IF(AND($C41=121,$U41=1),1,0)</f>
        <v/>
      </c>
      <c r="YS42">
        <f>YS41+IF(AND($C41=122,$U41=1),1,0)</f>
        <v/>
      </c>
      <c r="YT42">
        <f>YT41+IF(AND($C41=123,$U41=1),1,0)</f>
        <v/>
      </c>
      <c r="YU42">
        <f>YU41+IF(AND($C41=124,$U41=1),1,0)</f>
        <v/>
      </c>
      <c r="YV42">
        <f>YV41+IF(AND($C41=125,$U41=1),1,0)</f>
        <v/>
      </c>
      <c r="YW42">
        <f>YW41+IF(AND($C41=126,$U41=1),1,0)</f>
        <v/>
      </c>
      <c r="YX42">
        <f>YX41+IF(AND($C41=127,$U41=1),1,0)</f>
        <v/>
      </c>
      <c r="YY42">
        <f>YY41+IF(AND($C41=128,$U41=1),1,0)</f>
        <v/>
      </c>
      <c r="YZ42">
        <f>YZ41+IF(AND($C41=129,$U41=1),1,0)</f>
        <v/>
      </c>
      <c r="ZA42">
        <f>ZA41+IF(AND($C41=130,$U41=1),1,0)</f>
        <v/>
      </c>
      <c r="ZB42">
        <f>ZB41+IF(AND($C41=131,$U41=1),1,0)</f>
        <v/>
      </c>
      <c r="ZC42">
        <f>ZC41+IF(AND($C41=132,$U41=1),1,0)</f>
        <v/>
      </c>
      <c r="ZD42">
        <f>ZD41+IF(AND($C41=133,$U41=1),1,0)</f>
        <v/>
      </c>
      <c r="ZE42">
        <f>ZE41+IF(AND($C41=134,$U41=1),1,0)</f>
        <v/>
      </c>
      <c r="ZF42">
        <f>ZF41+IF(AND($C41=135,$U41=1),1,0)</f>
        <v/>
      </c>
      <c r="ZG42">
        <f>ZG41+IF(AND($C41=136,$U41=1),1,0)</f>
        <v/>
      </c>
      <c r="ZH42">
        <f>ZH41+IF(AND($C41=137,$U41=1),1,0)</f>
        <v/>
      </c>
      <c r="ZI42">
        <f>ZI41+IF(AND($C41=138,$U41=1),1,0)</f>
        <v/>
      </c>
      <c r="ZJ42">
        <f>ZJ41+IF(AND($C41=139,$U41=1),1,0)</f>
        <v/>
      </c>
      <c r="ZK42">
        <f>ZK41+IF(AND($C41=140,$U41=1),1,0)</f>
        <v/>
      </c>
      <c r="ZL42">
        <f>ZL41+IF(AND($C41=141,$U41=1),1,0)</f>
        <v/>
      </c>
      <c r="ZM42">
        <f>ZM41+IF(AND($C41=142,$U41=1),1,0)</f>
        <v/>
      </c>
      <c r="ZN42">
        <f>ZN41+IF(AND($C41=143,$U41=1),1,0)</f>
        <v/>
      </c>
      <c r="ZO42">
        <f>ZO41+IF(AND($C41=144,$U41=1),1,0)</f>
        <v/>
      </c>
      <c r="ZQ42">
        <f>IF($C41=1,0,ZQ41+IF(AND($G41=1,$E41=1),1,0))</f>
        <v/>
      </c>
      <c r="ZR42">
        <f>IF($C41=2,0,ZR41+IF(AND($G41=2,$E41=1),1,0))</f>
        <v/>
      </c>
      <c r="ZS42">
        <f>IF($C41=3,0,ZS41+IF(AND($G41=3,$E41=1),1,0))</f>
        <v/>
      </c>
      <c r="ZT42">
        <f>IF($C41=4,0,ZT41+IF(AND($G41=4,$E41=1),1,0))</f>
        <v/>
      </c>
      <c r="ZU42">
        <f>IF($C41=5,0,ZU41+IF(AND($G41=5,$E41=1),1,0))</f>
        <v/>
      </c>
      <c r="ZV42">
        <f>IF($C41=6,0,ZV41+IF(AND($G41=6,$E41=1),1,0))</f>
        <v/>
      </c>
      <c r="ZW42">
        <f>IF($C41=7,0,ZW41+IF(AND($G41=7,$E41=1),1,0))</f>
        <v/>
      </c>
      <c r="ZX42">
        <f>IF($C41=8,0,ZX41+IF(AND($G41=8,$E41=1),1,0))</f>
        <v/>
      </c>
      <c r="ZY42">
        <f>IF($C41=9,0,ZY41+IF(AND($G41=9,$E41=1),1,0))</f>
        <v/>
      </c>
      <c r="ZZ42">
        <f>IF($C41=10,0,ZZ41+IF(AND($G41=10,$E41=1),1,0))</f>
        <v/>
      </c>
      <c r="AAA42">
        <f>IF($C41=11,0,AAA41+IF(AND($G41=11,$E41=1),1,0))</f>
        <v/>
      </c>
      <c r="AAB42">
        <f>IF($C41=12,0,AAB41+IF(AND($G41=12,$E41=1),1,0))</f>
        <v/>
      </c>
      <c r="AAC42">
        <f>IF($C41=13,0,AAC41+IF(AND($G41=13,$E41=1),1,0))</f>
        <v/>
      </c>
      <c r="AAD42">
        <f>IF($C41=14,0,AAD41+IF(AND($G41=14,$E41=1),1,0))</f>
        <v/>
      </c>
      <c r="AAE42">
        <f>IF($C41=15,0,AAE41+IF(AND($G41=15,$E41=1),1,0))</f>
        <v/>
      </c>
      <c r="AAF42">
        <f>IF($C41=16,0,AAF41+IF(AND($G41=16,$E41=1),1,0))</f>
        <v/>
      </c>
      <c r="AAG42">
        <f>IF($C41=17,0,AAG41+IF(AND($G41=17,$E41=1),1,0))</f>
        <v/>
      </c>
      <c r="AAH42">
        <f>IF($C41=18,0,AAH41+IF(AND($G41=18,$E41=1),1,0))</f>
        <v/>
      </c>
      <c r="AAI42">
        <f>IF($C41=19,0,AAI41+IF(AND($G41=19,$E41=1),1,0))</f>
        <v/>
      </c>
      <c r="AAJ42">
        <f>IF($C41=20,0,AAJ41+IF(AND($G41=20,$E41=1),1,0))</f>
        <v/>
      </c>
      <c r="AAK42">
        <f>IF($C41=21,0,AAK41+IF(AND($G41=21,$E41=1),1,0))</f>
        <v/>
      </c>
      <c r="AAL42">
        <f>IF($C41=22,0,AAL41+IF(AND($G41=22,$E41=1),1,0))</f>
        <v/>
      </c>
      <c r="AAM42">
        <f>IF($C41=23,0,AAM41+IF(AND($G41=23,$E41=1),1,0))</f>
        <v/>
      </c>
      <c r="AAN42">
        <f>IF($C41=24,0,AAN41+IF(AND($G41=24,$E41=1),1,0))</f>
        <v/>
      </c>
      <c r="AAO42">
        <f>IF($C41=25,0,AAO41+IF(AND($G41=25,$E41=1),1,0))</f>
        <v/>
      </c>
      <c r="AAP42">
        <f>IF($C41=26,0,AAP41+IF(AND($G41=26,$E41=1),1,0))</f>
        <v/>
      </c>
      <c r="AAQ42">
        <f>IF($C41=27,0,AAQ41+IF(AND($G41=27,$E41=1),1,0))</f>
        <v/>
      </c>
      <c r="AAR42">
        <f>IF($C41=28,0,AAR41+IF(AND($G41=28,$E41=1),1,0))</f>
        <v/>
      </c>
      <c r="AAS42">
        <f>IF($C41=29,0,AAS41+IF(AND($G41=29,$E41=1),1,0))</f>
        <v/>
      </c>
      <c r="AAT42">
        <f>IF($C41=30,0,AAT41+IF(AND($G41=30,$E41=1),1,0))</f>
        <v/>
      </c>
      <c r="AAU42">
        <f>IF($C41=31,0,AAU41+IF(AND($G41=31,$E41=1),1,0))</f>
        <v/>
      </c>
      <c r="AAV42">
        <f>IF($C41=32,0,AAV41+IF(AND($G41=32,$E41=1),1,0))</f>
        <v/>
      </c>
      <c r="AAW42">
        <f>IF($C41=33,0,AAW41+IF(AND($G41=33,$E41=1),1,0))</f>
        <v/>
      </c>
      <c r="AAX42">
        <f>IF($C41=34,0,AAX41+IF(AND($G41=34,$E41=1),1,0))</f>
        <v/>
      </c>
      <c r="AAY42">
        <f>IF($C41=35,0,AAY41+IF(AND($G41=35,$E41=1),1,0))</f>
        <v/>
      </c>
      <c r="AAZ42">
        <f>IF($C41=36,0,AAZ41+IF(AND($G41=36,$E41=1),1,0))</f>
        <v/>
      </c>
      <c r="ABA42">
        <f>IF($C41=37,0,ABA41+IF(AND($G41=37,$E41=1),1,0))</f>
        <v/>
      </c>
      <c r="ABB42">
        <f>IF($C41=38,0,ABB41+IF(AND($G41=38,$E41=1),1,0))</f>
        <v/>
      </c>
      <c r="ABC42">
        <f>IF($C41=39,0,ABC41+IF(AND($G41=39,$E41=1),1,0))</f>
        <v/>
      </c>
      <c r="ABD42">
        <f>IF($C41=40,0,ABD41+IF(AND($G41=40,$E41=1),1,0))</f>
        <v/>
      </c>
      <c r="ABE42">
        <f>IF($C41=41,0,ABE41+IF(AND($G41=41,$E41=1),1,0))</f>
        <v/>
      </c>
      <c r="ABF42">
        <f>IF($C41=42,0,ABF41+IF(AND($G41=42,$E41=1),1,0))</f>
        <v/>
      </c>
      <c r="ABG42">
        <f>IF($C41=43,0,ABG41+IF(AND($G41=43,$E41=1),1,0))</f>
        <v/>
      </c>
      <c r="ABH42">
        <f>IF($C41=44,0,ABH41+IF(AND($G41=44,$E41=1),1,0))</f>
        <v/>
      </c>
      <c r="ABI42">
        <f>IF($C41=45,0,ABI41+IF(AND($G41=45,$E41=1),1,0))</f>
        <v/>
      </c>
      <c r="ABJ42">
        <f>IF($C41=46,0,ABJ41+IF(AND($G41=46,$E41=1),1,0))</f>
        <v/>
      </c>
      <c r="ABK42">
        <f>IF($C41=47,0,ABK41+IF(AND($G41=47,$E41=1),1,0))</f>
        <v/>
      </c>
      <c r="ABL42">
        <f>IF($C41=48,0,ABL41+IF(AND($G41=48,$E41=1),1,0))</f>
        <v/>
      </c>
      <c r="ABM42">
        <f>IF($C41=49,0,ABM41+IF(AND($G41=49,$E41=1),1,0))</f>
        <v/>
      </c>
      <c r="ABN42">
        <f>IF($C41=50,0,ABN41+IF(AND($G41=50,$E41=1),1,0))</f>
        <v/>
      </c>
      <c r="ABO42">
        <f>IF($C41=51,0,ABO41+IF(AND($G41=51,$E41=1),1,0))</f>
        <v/>
      </c>
      <c r="ABP42">
        <f>IF($C41=52,0,ABP41+IF(AND($G41=52,$E41=1),1,0))</f>
        <v/>
      </c>
      <c r="ABQ42">
        <f>IF($C41=53,0,ABQ41+IF(AND($G41=53,$E41=1),1,0))</f>
        <v/>
      </c>
      <c r="ABR42">
        <f>IF($C41=54,0,ABR41+IF(AND($G41=54,$E41=1),1,0))</f>
        <v/>
      </c>
      <c r="ABS42">
        <f>IF($C41=55,0,ABS41+IF(AND($G41=55,$E41=1),1,0))</f>
        <v/>
      </c>
      <c r="ABT42">
        <f>IF($C41=56,0,ABT41+IF(AND($G41=56,$E41=1),1,0))</f>
        <v/>
      </c>
      <c r="ABU42">
        <f>IF($C41=57,0,ABU41+IF(AND($G41=57,$E41=1),1,0))</f>
        <v/>
      </c>
      <c r="ABV42">
        <f>IF($C41=58,0,ABV41+IF(AND($G41=58,$E41=1),1,0))</f>
        <v/>
      </c>
      <c r="ABW42">
        <f>IF($C41=59,0,ABW41+IF(AND($G41=59,$E41=1),1,0))</f>
        <v/>
      </c>
      <c r="ABX42">
        <f>IF($C41=60,0,ABX41+IF(AND($G41=60,$E41=1),1,0))</f>
        <v/>
      </c>
      <c r="ABY42">
        <f>IF($C41=61,0,ABY41+IF(AND($G41=61,$E41=1),1,0))</f>
        <v/>
      </c>
      <c r="ABZ42">
        <f>IF($C41=62,0,ABZ41+IF(AND($G41=62,$E41=1),1,0))</f>
        <v/>
      </c>
      <c r="ACA42">
        <f>IF($C41=63,0,ACA41+IF(AND($G41=63,$E41=1),1,0))</f>
        <v/>
      </c>
      <c r="ACB42">
        <f>IF($C41=64,0,ACB41+IF(AND($G41=64,$E41=1),1,0))</f>
        <v/>
      </c>
      <c r="ACC42">
        <f>IF($C41=65,0,ACC41+IF(AND($G41=65,$E41=1),1,0))</f>
        <v/>
      </c>
      <c r="ACD42">
        <f>IF($C41=66,0,ACD41+IF(AND($G41=66,$E41=1),1,0))</f>
        <v/>
      </c>
      <c r="ACE42">
        <f>IF($C41=67,0,ACE41+IF(AND($G41=67,$E41=1),1,0))</f>
        <v/>
      </c>
      <c r="ACF42">
        <f>IF($C41=68,0,ACF41+IF(AND($G41=68,$E41=1),1,0))</f>
        <v/>
      </c>
      <c r="ACG42">
        <f>IF($C41=69,0,ACG41+IF(AND($G41=69,$E41=1),1,0))</f>
        <v/>
      </c>
      <c r="ACH42">
        <f>IF($C41=70,0,ACH41+IF(AND($G41=70,$E41=1),1,0))</f>
        <v/>
      </c>
      <c r="ACI42">
        <f>IF($C41=71,0,ACI41+IF(AND($G41=71,$E41=1),1,0))</f>
        <v/>
      </c>
      <c r="ACJ42">
        <f>IF($C41=72,0,ACJ41+IF(AND($G41=72,$E41=1),1,0))</f>
        <v/>
      </c>
      <c r="ACK42">
        <f>IF($C41=73,0,ACK41+IF(AND($G41=73,$E41=1),1,0))</f>
        <v/>
      </c>
      <c r="ACL42">
        <f>IF($C41=74,0,ACL41+IF(AND($G41=74,$E41=1),1,0))</f>
        <v/>
      </c>
      <c r="ACM42">
        <f>IF($C41=75,0,ACM41+IF(AND($G41=75,$E41=1),1,0))</f>
        <v/>
      </c>
      <c r="ACN42">
        <f>IF($C41=76,0,ACN41+IF(AND($G41=76,$E41=1),1,0))</f>
        <v/>
      </c>
      <c r="ACO42">
        <f>IF($C41=77,0,ACO41+IF(AND($G41=77,$E41=1),1,0))</f>
        <v/>
      </c>
      <c r="ACP42">
        <f>IF($C41=78,0,ACP41+IF(AND($G41=78,$E41=1),1,0))</f>
        <v/>
      </c>
      <c r="ACQ42">
        <f>IF($C41=79,0,ACQ41+IF(AND($G41=79,$E41=1),1,0))</f>
        <v/>
      </c>
      <c r="ACR42">
        <f>IF($C41=80,0,ACR41+IF(AND($G41=80,$E41=1),1,0))</f>
        <v/>
      </c>
      <c r="ACS42">
        <f>IF($C41=81,0,ACS41+IF(AND($G41=81,$E41=1),1,0))</f>
        <v/>
      </c>
      <c r="ACT42">
        <f>IF($C41=82,0,ACT41+IF(AND($G41=82,$E41=1),1,0))</f>
        <v/>
      </c>
      <c r="ACU42">
        <f>IF($C41=83,0,ACU41+IF(AND($G41=83,$E41=1),1,0))</f>
        <v/>
      </c>
      <c r="ACV42">
        <f>IF($C41=84,0,ACV41+IF(AND($G41=84,$E41=1),1,0))</f>
        <v/>
      </c>
      <c r="ACW42">
        <f>IF($C41=85,0,ACW41+IF(AND($G41=85,$E41=1),1,0))</f>
        <v/>
      </c>
      <c r="ACX42">
        <f>IF($C41=86,0,ACX41+IF(AND($G41=86,$E41=1),1,0))</f>
        <v/>
      </c>
      <c r="ACY42">
        <f>IF($C41=87,0,ACY41+IF(AND($G41=87,$E41=1),1,0))</f>
        <v/>
      </c>
      <c r="ACZ42">
        <f>IF($C41=88,0,ACZ41+IF(AND($G41=88,$E41=1),1,0))</f>
        <v/>
      </c>
      <c r="ADA42">
        <f>IF($C41=89,0,ADA41+IF(AND($G41=89,$E41=1),1,0))</f>
        <v/>
      </c>
      <c r="ADB42">
        <f>IF($C41=90,0,ADB41+IF(AND($G41=90,$E41=1),1,0))</f>
        <v/>
      </c>
      <c r="ADC42">
        <f>IF($C41=91,0,ADC41+IF(AND($G41=91,$E41=1),1,0))</f>
        <v/>
      </c>
      <c r="ADD42">
        <f>IF($C41=92,0,ADD41+IF(AND($G41=92,$E41=1),1,0))</f>
        <v/>
      </c>
      <c r="ADE42">
        <f>IF($C41=93,0,ADE41+IF(AND($G41=93,$E41=1),1,0))</f>
        <v/>
      </c>
      <c r="ADF42">
        <f>IF($C41=94,0,ADF41+IF(AND($G41=94,$E41=1),1,0))</f>
        <v/>
      </c>
      <c r="ADG42">
        <f>IF($C41=95,0,ADG41+IF(AND($G41=95,$E41=1),1,0))</f>
        <v/>
      </c>
      <c r="ADH42">
        <f>IF($C41=96,0,ADH41+IF(AND($G41=96,$E41=1),1,0))</f>
        <v/>
      </c>
      <c r="ADI42">
        <f>IF($C41=97,0,ADI41+IF(AND($G41=97,$E41=1),1,0))</f>
        <v/>
      </c>
      <c r="ADJ42">
        <f>IF($C41=98,0,ADJ41+IF(AND($G41=98,$E41=1),1,0))</f>
        <v/>
      </c>
      <c r="ADK42">
        <f>IF($C41=99,0,ADK41+IF(AND($G41=99,$E41=1),1,0))</f>
        <v/>
      </c>
      <c r="ADL42">
        <f>IF($C41=100,0,ADL41+IF(AND($G41=100,$E41=1),1,0))</f>
        <v/>
      </c>
      <c r="ADM42">
        <f>IF($C41=101,0,ADM41+IF(AND($G41=101,$E41=1),1,0))</f>
        <v/>
      </c>
      <c r="ADN42">
        <f>IF($C41=102,0,ADN41+IF(AND($G41=102,$E41=1),1,0))</f>
        <v/>
      </c>
      <c r="ADO42">
        <f>IF($C41=103,0,ADO41+IF(AND($G41=103,$E41=1),1,0))</f>
        <v/>
      </c>
      <c r="ADP42">
        <f>IF($C41=104,0,ADP41+IF(AND($G41=104,$E41=1),1,0))</f>
        <v/>
      </c>
      <c r="ADQ42">
        <f>IF($C41=105,0,ADQ41+IF(AND($G41=105,$E41=1),1,0))</f>
        <v/>
      </c>
      <c r="ADR42">
        <f>IF($C41=106,0,ADR41+IF(AND($G41=106,$E41=1),1,0))</f>
        <v/>
      </c>
      <c r="ADS42">
        <f>IF($C41=107,0,ADS41+IF(AND($G41=107,$E41=1),1,0))</f>
        <v/>
      </c>
      <c r="ADT42">
        <f>IF($C41=108,0,ADT41+IF(AND($G41=108,$E41=1),1,0))</f>
        <v/>
      </c>
      <c r="ADU42">
        <f>IF($C41=109,0,ADU41+IF(AND($G41=109,$E41=1),1,0))</f>
        <v/>
      </c>
      <c r="ADV42">
        <f>IF($C41=110,0,ADV41+IF(AND($G41=110,$E41=1),1,0))</f>
        <v/>
      </c>
      <c r="ADW42">
        <f>IF($C41=111,0,ADW41+IF(AND($G41=111,$E41=1),1,0))</f>
        <v/>
      </c>
      <c r="ADX42">
        <f>IF($C41=112,0,ADX41+IF(AND($G41=112,$E41=1),1,0))</f>
        <v/>
      </c>
      <c r="ADY42">
        <f>IF($C41=113,0,ADY41+IF(AND($G41=113,$E41=1),1,0))</f>
        <v/>
      </c>
      <c r="ADZ42">
        <f>IF($C41=114,0,ADZ41+IF(AND($G41=114,$E41=1),1,0))</f>
        <v/>
      </c>
      <c r="AEA42">
        <f>IF($C41=115,0,AEA41+IF(AND($G41=115,$E41=1),1,0))</f>
        <v/>
      </c>
      <c r="AEB42">
        <f>IF($C41=116,0,AEB41+IF(AND($G41=116,$E41=1),1,0))</f>
        <v/>
      </c>
      <c r="AEC42">
        <f>IF($C41=117,0,AEC41+IF(AND($G41=117,$E41=1),1,0))</f>
        <v/>
      </c>
      <c r="AED42">
        <f>IF($C41=118,0,AED41+IF(AND($G41=118,$E41=1),1,0))</f>
        <v/>
      </c>
      <c r="AEE42">
        <f>IF($C41=119,0,AEE41+IF(AND($G41=119,$E41=1),1,0))</f>
        <v/>
      </c>
      <c r="AEF42">
        <f>IF($C41=120,0,AEF41+IF(AND($G41=120,$E41=1),1,0))</f>
        <v/>
      </c>
      <c r="AEG42">
        <f>IF($C41=121,0,AEG41+IF(AND($G41=121,$E41=1),1,0))</f>
        <v/>
      </c>
      <c r="AEH42">
        <f>IF($C41=122,0,AEH41+IF(AND($G41=122,$E41=1),1,0))</f>
        <v/>
      </c>
      <c r="AEI42">
        <f>IF($C41=123,0,AEI41+IF(AND($G41=123,$E41=1),1,0))</f>
        <v/>
      </c>
      <c r="AEJ42">
        <f>IF($C41=124,0,AEJ41+IF(AND($G41=124,$E41=1),1,0))</f>
        <v/>
      </c>
      <c r="AEK42">
        <f>IF($C41=125,0,AEK41+IF(AND($G41=125,$E41=1),1,0))</f>
        <v/>
      </c>
      <c r="AEL42">
        <f>IF($C41=126,0,AEL41+IF(AND($G41=126,$E41=1),1,0))</f>
        <v/>
      </c>
      <c r="AEM42">
        <f>IF($C41=127,0,AEM41+IF(AND($G41=127,$E41=1),1,0))</f>
        <v/>
      </c>
      <c r="AEN42">
        <f>IF($C41=128,0,AEN41+IF(AND($G41=128,$E41=1),1,0))</f>
        <v/>
      </c>
      <c r="AEO42">
        <f>IF($C41=129,0,AEO41+IF(AND($G41=129,$E41=1),1,0))</f>
        <v/>
      </c>
      <c r="AEP42">
        <f>IF($C41=130,0,AEP41+IF(AND($G41=130,$E41=1),1,0))</f>
        <v/>
      </c>
      <c r="AEQ42">
        <f>IF($C41=131,0,AEQ41+IF(AND($G41=131,$E41=1),1,0))</f>
        <v/>
      </c>
      <c r="AER42">
        <f>IF($C41=132,0,AER41+IF(AND($G41=132,$E41=1),1,0))</f>
        <v/>
      </c>
      <c r="AES42">
        <f>IF($C41=133,0,AES41+IF(AND($G41=133,$E41=1),1,0))</f>
        <v/>
      </c>
      <c r="AET42">
        <f>IF($C41=134,0,AET41+IF(AND($G41=134,$E41=1),1,0))</f>
        <v/>
      </c>
      <c r="AEU42">
        <f>IF($C41=135,0,AEU41+IF(AND($G41=135,$E41=1),1,0))</f>
        <v/>
      </c>
      <c r="AEV42">
        <f>IF($C41=136,0,AEV41+IF(AND($G41=136,$E41=1),1,0))</f>
        <v/>
      </c>
      <c r="AEW42">
        <f>IF($C41=137,0,AEW41+IF(AND($G41=137,$E41=1),1,0))</f>
        <v/>
      </c>
      <c r="AEX42">
        <f>IF($C41=138,0,AEX41+IF(AND($G41=138,$E41=1),1,0))</f>
        <v/>
      </c>
      <c r="AEY42">
        <f>IF($C41=139,0,AEY41+IF(AND($G41=139,$E41=1),1,0))</f>
        <v/>
      </c>
      <c r="AEZ42">
        <f>IF($C41=140,0,AEZ41+IF(AND($G41=140,$E41=1),1,0))</f>
        <v/>
      </c>
      <c r="AFA42">
        <f>IF($C41=141,0,AFA41+IF(AND($G41=141,$E41=1),1,0))</f>
        <v/>
      </c>
      <c r="AFB42">
        <f>IF($C41=142,0,AFB41+IF(AND($G41=142,$E41=1),1,0))</f>
        <v/>
      </c>
      <c r="AFC42">
        <f>IF($C41=143,0,AFC41+IF(AND($G41=143,$E41=1),1,0))</f>
        <v/>
      </c>
      <c r="AFD42">
        <f>IF($C41=144,0,AFD41+IF(AND($G41=144,$E41=1),1,0))</f>
        <v/>
      </c>
      <c r="AFF42">
        <f>IF('calcA'!D$106=1,DC42+ZR42,1)</f>
        <v/>
      </c>
      <c r="AFG42">
        <f>IF('calcA'!E$106=1,DD42+ZS42,1)</f>
        <v/>
      </c>
      <c r="AFH42">
        <f>IF('calcA'!F$106=1,DE42+ZT42,1)</f>
        <v/>
      </c>
      <c r="AFI42">
        <f>IF('calcA'!G$106=1,DF42+ZU42,1)</f>
        <v/>
      </c>
      <c r="AFJ42">
        <f>IF('calcA'!H$106=1,DG42+ZV42,1)</f>
        <v/>
      </c>
      <c r="AFK42">
        <f>IF('calcA'!I$106=1,DH42+ZW42,1)</f>
        <v/>
      </c>
      <c r="AFL42">
        <f>IF('calcA'!J$106=1,DI42+ZX42,1)</f>
        <v/>
      </c>
      <c r="AFM42">
        <f>IF('calcA'!K$106=1,DJ42+ZY42,1)</f>
        <v/>
      </c>
      <c r="AFN42">
        <f>IF('calcA'!L$106=1,DK42+ZZ42,1)</f>
        <v/>
      </c>
      <c r="AFO42">
        <f>IF('calcA'!M$106=1,DL42+AAA42,1)</f>
        <v/>
      </c>
      <c r="AFP42">
        <f>IF('calcA'!N$106=1,DM42+AAB42,1)</f>
        <v/>
      </c>
      <c r="AFQ42">
        <f>IF('calcA'!O$106=1,DN42+AAC42,1)</f>
        <v/>
      </c>
      <c r="AFR42">
        <f>IF('calcA'!P$106=1,DO42+AAD42,1)</f>
        <v/>
      </c>
      <c r="AFS42">
        <f>IF('calcA'!Q$106=1,DP42+AAE42,1)</f>
        <v/>
      </c>
      <c r="AFT42">
        <f>IF('calcA'!R$106=1,DQ42+AAF42,1)</f>
        <v/>
      </c>
      <c r="AFU42">
        <f>IF('calcA'!S$106=1,DR42+AAG42,1)</f>
        <v/>
      </c>
      <c r="AFV42">
        <f>IF('calcA'!T$106=1,DS42+AAH42,1)</f>
        <v/>
      </c>
      <c r="AFW42">
        <f>IF('calcA'!U$106=1,DT42+AAI42,1)</f>
        <v/>
      </c>
      <c r="AFX42">
        <f>IF('calcA'!V$106=1,DU42+AAJ42,1)</f>
        <v/>
      </c>
      <c r="AFY42">
        <f>IF('calcA'!W$106=1,DV42+AAK42,1)</f>
        <v/>
      </c>
      <c r="AFZ42">
        <f>IF('calcA'!X$106=1,DW42+AAL42,1)</f>
        <v/>
      </c>
      <c r="AGA42">
        <f>IF('calcA'!Y$106=1,DX42+AAM42,1)</f>
        <v/>
      </c>
      <c r="AGB42">
        <f>IF('calcA'!Z$106=1,DY42+AAN42,1)</f>
        <v/>
      </c>
      <c r="AGC42">
        <f>IF('calcA'!AA$106=1,DZ42+AAO42,1)</f>
        <v/>
      </c>
      <c r="AGD42">
        <f>IF('calcA'!AB$106=1,EA42+AAP42,1)</f>
        <v/>
      </c>
      <c r="AGE42">
        <f>IF('calcA'!AC$106=1,EB42+AAQ42,1)</f>
        <v/>
      </c>
      <c r="AGF42">
        <f>IF('calcA'!AD$106=1,EC42+AAR42,1)</f>
        <v/>
      </c>
      <c r="AGG42">
        <f>IF('calcA'!AE$106=1,ED42+AAS42,1)</f>
        <v/>
      </c>
      <c r="AGH42">
        <f>IF('calcA'!AF$106=1,EE42+AAT42,1)</f>
        <v/>
      </c>
      <c r="AGI42">
        <f>IF('calcA'!AG$106=1,EF42+AAU42,1)</f>
        <v/>
      </c>
      <c r="AGJ42">
        <f>IF('calcA'!AH$106=1,EG42+AAV42,1)</f>
        <v/>
      </c>
      <c r="AGK42">
        <f>IF('calcA'!AI$106=1,EH42+AAW42,1)</f>
        <v/>
      </c>
      <c r="AGL42">
        <f>IF('calcA'!AJ$106=1,EI42+AAX42,1)</f>
        <v/>
      </c>
      <c r="AGM42">
        <f>IF('calcA'!AK$106=1,EJ42+AAY42,1)</f>
        <v/>
      </c>
      <c r="AGN42">
        <f>IF('calcA'!AL$106=1,EK42+AAZ42,1)</f>
        <v/>
      </c>
      <c r="AGO42">
        <f>IF('calcA'!AM$106=1,EL42+ABA42,1)</f>
        <v/>
      </c>
      <c r="AGP42">
        <f>IF('calcA'!AN$106=1,EM42+ABB42,1)</f>
        <v/>
      </c>
      <c r="AGQ42">
        <f>IF('calcA'!AO$106=1,EN42+ABC42,1)</f>
        <v/>
      </c>
      <c r="AGR42">
        <f>IF('calcA'!AP$106=1,EO42+ABD42,1)</f>
        <v/>
      </c>
      <c r="AGS42">
        <f>IF('calcA'!AQ$106=1,EP42+ABE42,1)</f>
        <v/>
      </c>
      <c r="AGT42">
        <f>IF('calcA'!AR$106=1,EQ42+ABF42,1)</f>
        <v/>
      </c>
      <c r="AGU42">
        <f>IF('calcA'!AS$106=1,ER42+ABG42,1)</f>
        <v/>
      </c>
      <c r="AGV42">
        <f>IF('calcA'!AT$106=1,ES42+ABH42,1)</f>
        <v/>
      </c>
      <c r="AGW42">
        <f>IF('calcA'!AU$106=1,ET42+ABI42,1)</f>
        <v/>
      </c>
      <c r="AGX42">
        <f>IF('calcA'!AV$106=1,EU42+ABJ42,1)</f>
        <v/>
      </c>
      <c r="AGY42">
        <f>IF('calcA'!AW$106=1,EV42+ABK42,1)</f>
        <v/>
      </c>
      <c r="AGZ42">
        <f>IF('calcA'!AX$106=1,EW42+ABL42,1)</f>
        <v/>
      </c>
      <c r="AHA42">
        <f>IF('calcA'!AY$106=1,EX42+ABM42,1)</f>
        <v/>
      </c>
      <c r="AHB42">
        <f>IF('calcA'!AZ$106=1,EY42+ABN42,1)</f>
        <v/>
      </c>
      <c r="AHC42">
        <f>IF('calcA'!BA$106=1,EZ42+ABO42,1)</f>
        <v/>
      </c>
      <c r="AHD42">
        <f>IF('calcA'!BB$106=1,FA42+ABP42,1)</f>
        <v/>
      </c>
      <c r="AHE42">
        <f>IF('calcA'!BC$106=1,FB42+ABQ42,1)</f>
        <v/>
      </c>
      <c r="AHF42">
        <f>IF('calcA'!BD$106=1,FC42+ABR42,1)</f>
        <v/>
      </c>
      <c r="AHG42">
        <f>IF('calcA'!BE$106=1,FD42+ABS42,1)</f>
        <v/>
      </c>
      <c r="AHH42">
        <f>IF('calcA'!BF$106=1,FE42+ABT42,1)</f>
        <v/>
      </c>
      <c r="AHI42">
        <f>IF('calcA'!BG$106=1,FF42+ABU42,1)</f>
        <v/>
      </c>
      <c r="AHJ42">
        <f>IF('calcA'!BH$106=1,FG42+ABV42,1)</f>
        <v/>
      </c>
      <c r="AHK42">
        <f>IF('calcA'!BI$106=1,FH42+ABW42,1)</f>
        <v/>
      </c>
      <c r="AHL42">
        <f>IF('calcA'!BJ$106=1,FI42+ABX42,1)</f>
        <v/>
      </c>
      <c r="AHM42">
        <f>IF('calcA'!BK$106=1,FJ42+ABY42,1)</f>
        <v/>
      </c>
      <c r="AHN42">
        <f>IF('calcA'!BL$106=1,FK42+ABZ42,1)</f>
        <v/>
      </c>
      <c r="AHO42">
        <f>IF('calcA'!BM$106=1,FL42+ACA42,1)</f>
        <v/>
      </c>
      <c r="AHP42">
        <f>IF('calcA'!BN$106=1,FM42+ACB42,1)</f>
        <v/>
      </c>
      <c r="AHQ42">
        <f>IF('calcA'!BO$106=1,FN42+ACC42,1)</f>
        <v/>
      </c>
      <c r="AHR42">
        <f>IF('calcA'!BP$106=1,FO42+ACD42,1)</f>
        <v/>
      </c>
      <c r="AHS42">
        <f>IF('calcA'!BQ$106=1,FP42+ACE42,1)</f>
        <v/>
      </c>
      <c r="AHT42">
        <f>IF('calcA'!BR$106=1,FQ42+ACF42,1)</f>
        <v/>
      </c>
      <c r="AHU42">
        <f>IF('calcA'!BS$106=1,FR42+ACG42,1)</f>
        <v/>
      </c>
      <c r="AHV42">
        <f>IF('calcA'!BT$106=1,FS42+ACH42,1)</f>
        <v/>
      </c>
      <c r="AHW42">
        <f>IF('calcA'!BU$106=1,FT42+ACI42,1)</f>
        <v/>
      </c>
      <c r="AHX42">
        <f>IF('calcA'!BV$106=1,FU42+ACJ42,1)</f>
        <v/>
      </c>
      <c r="AHY42">
        <f>IF('calcA'!BW$106=1,FV42+ACK42,1)</f>
        <v/>
      </c>
      <c r="AHZ42">
        <f>IF('calcA'!BX$106=1,FW42+ACL42,1)</f>
        <v/>
      </c>
      <c r="AIA42">
        <f>IF('calcA'!BY$106=1,FX42+ACM42,1)</f>
        <v/>
      </c>
      <c r="AIB42">
        <f>IF('calcA'!BZ$106=1,FY42+ACN42,1)</f>
        <v/>
      </c>
      <c r="AIC42">
        <f>IF('calcA'!CA$106=1,FZ42+ACO42,1)</f>
        <v/>
      </c>
      <c r="AID42">
        <f>IF('calcA'!CB$106=1,GA42+ACP42,1)</f>
        <v/>
      </c>
      <c r="AIE42">
        <f>IF('calcA'!CC$106=1,GB42+ACQ42,1)</f>
        <v/>
      </c>
      <c r="AIF42">
        <f>IF('calcA'!CD$106=1,GC42+ACR42,1)</f>
        <v/>
      </c>
      <c r="AIG42">
        <f>IF('calcA'!CE$106=1,GD42+ACS42,1)</f>
        <v/>
      </c>
      <c r="AIH42">
        <f>IF('calcA'!CF$106=1,GE42+ACT42,1)</f>
        <v/>
      </c>
      <c r="AII42">
        <f>IF('calcA'!CG$106=1,GF42+ACU42,1)</f>
        <v/>
      </c>
      <c r="AIJ42">
        <f>IF('calcA'!CH$106=1,GG42+ACV42,1)</f>
        <v/>
      </c>
      <c r="AIK42">
        <f>IF('calcA'!CI$106=1,GH42+ACW42,1)</f>
        <v/>
      </c>
      <c r="AIL42">
        <f>IF('calcA'!CJ$106=1,GI42+ACX42,1)</f>
        <v/>
      </c>
      <c r="AIM42">
        <f>IF('calcA'!CK$106=1,GJ42+ACY42,1)</f>
        <v/>
      </c>
      <c r="AIN42">
        <f>IF('calcA'!CL$106=1,GK42+ACZ42,1)</f>
        <v/>
      </c>
      <c r="AIO42">
        <f>IF('calcA'!CM$106=1,GL42+ADA42,1)</f>
        <v/>
      </c>
      <c r="AIP42">
        <f>IF('calcA'!CN$106=1,GM42+ADB42,1)</f>
        <v/>
      </c>
      <c r="AIQ42">
        <f>IF('calcA'!CO$106=1,GN42+ADC42,1)</f>
        <v/>
      </c>
      <c r="AIR42">
        <f>IF('calcA'!CP$106=1,GO42+ADD42,1)</f>
        <v/>
      </c>
      <c r="AIS42">
        <f>IF('calcA'!CQ$106=1,GP42+ADE42,1)</f>
        <v/>
      </c>
      <c r="AIT42">
        <f>IF('calcA'!CR$106=1,GQ42+ADF42,1)</f>
        <v/>
      </c>
      <c r="AIU42">
        <f>IF('calcA'!CS$106=1,GR42+ADG42,1)</f>
        <v/>
      </c>
      <c r="AIV42">
        <f>IF('calcA'!CT$106=1,GS42+ADH42,1)</f>
        <v/>
      </c>
      <c r="AIW42">
        <f>IF('calcA'!CU$106=1,GT42+ADI42,1)</f>
        <v/>
      </c>
      <c r="AIX42">
        <f>IF('calcA'!CV$106=1,GU42+ADJ42,1)</f>
        <v/>
      </c>
      <c r="AIY42">
        <f>IF('calcA'!CW$106=1,GV42+ADK42,1)</f>
        <v/>
      </c>
      <c r="AIZ42">
        <f>IF('calcA'!CX$106=1,GW42+ADL42,1)</f>
        <v/>
      </c>
      <c r="AJA42">
        <f>IF('calcA'!CY$106=1,GX42+ADM42,1)</f>
        <v/>
      </c>
      <c r="AJB42">
        <f>IF('calcA'!CZ$106=1,GY42+ADN42,1)</f>
        <v/>
      </c>
      <c r="AJC42">
        <f>IF('calcA'!DA$106=1,GZ42+ADO42,1)</f>
        <v/>
      </c>
      <c r="AJD42">
        <f>IF('calcA'!DB$106=1,HA42+ADP42,1)</f>
        <v/>
      </c>
      <c r="AJE42">
        <f>IF('calcA'!DC$106=1,HB42+ADQ42,1)</f>
        <v/>
      </c>
      <c r="AJF42">
        <f>IF('calcA'!DD$106=1,HC42+ADR42,1)</f>
        <v/>
      </c>
      <c r="AJG42">
        <f>IF('calcA'!DE$106=1,HD42+ADS42,1)</f>
        <v/>
      </c>
      <c r="AJH42">
        <f>IF('calcA'!DF$106=1,HE42+ADT42,1)</f>
        <v/>
      </c>
      <c r="AJI42">
        <f>IF('calcA'!DG$106=1,HF42+ADU42,1)</f>
        <v/>
      </c>
      <c r="AJJ42">
        <f>IF('calcA'!DH$106=1,HG42+ADV42,1)</f>
        <v/>
      </c>
      <c r="AJK42">
        <f>IF('calcA'!DI$106=1,HH42+ADW42,1)</f>
        <v/>
      </c>
      <c r="AJL42">
        <f>IF('calcA'!DJ$106=1,HI42+ADX42,1)</f>
        <v/>
      </c>
      <c r="AJM42">
        <f>IF('calcA'!DK$106=1,HJ42+ADY42,1)</f>
        <v/>
      </c>
      <c r="AJN42">
        <f>IF('calcA'!DL$106=1,HK42+ADZ42,1)</f>
        <v/>
      </c>
      <c r="AJO42">
        <f>IF('calcA'!DM$106=1,HL42+AEA42,1)</f>
        <v/>
      </c>
      <c r="AJP42">
        <f>IF('calcA'!DN$106=1,HM42+AEB42,1)</f>
        <v/>
      </c>
      <c r="AJQ42">
        <f>IF('calcA'!DO$106=1,HN42+AEC42,1)</f>
        <v/>
      </c>
      <c r="AJR42">
        <f>IF('calcA'!DP$106=1,HO42+AED42,1)</f>
        <v/>
      </c>
      <c r="AJS42">
        <f>IF('calcA'!DQ$106=1,HP42+AEE42,1)</f>
        <v/>
      </c>
      <c r="AJT42">
        <f>IF('calcA'!DR$106=1,HQ42+AEF42,1)</f>
        <v/>
      </c>
      <c r="AJU42">
        <f>IF('calcA'!DS$106=1,HR42+AEG42,1)</f>
        <v/>
      </c>
      <c r="AJV42">
        <f>IF('calcA'!DT$106=1,HS42+AEH42,1)</f>
        <v/>
      </c>
      <c r="AJW42">
        <f>IF('calcA'!DU$106=1,HT42+AEI42,1)</f>
        <v/>
      </c>
      <c r="AJX42">
        <f>IF('calcA'!DV$106=1,HU42+AEJ42,1)</f>
        <v/>
      </c>
      <c r="AJY42">
        <f>IF('calcA'!DW$106=1,HV42+AEK42,1)</f>
        <v/>
      </c>
      <c r="AJZ42">
        <f>IF('calcA'!DX$106=1,HW42+AEL42,1)</f>
        <v/>
      </c>
      <c r="AKA42">
        <f>IF('calcA'!DY$106=1,HX42+AEM42,1)</f>
        <v/>
      </c>
      <c r="AKB42">
        <f>IF('calcA'!DZ$106=1,HY42+AEN42,1)</f>
        <v/>
      </c>
      <c r="AKC42">
        <f>IF('calcA'!EA$106=1,HZ42+AEO42,1)</f>
        <v/>
      </c>
      <c r="AKD42">
        <f>IF('calcA'!EB$106=1,IA42+AEP42,1)</f>
        <v/>
      </c>
      <c r="AKE42">
        <f>IF('calcA'!EC$106=1,IB42+AEQ42,1)</f>
        <v/>
      </c>
      <c r="AKF42">
        <f>IF('calcA'!ED$106=1,IC42+AER42,1)</f>
        <v/>
      </c>
      <c r="AKG42">
        <f>IF('calcA'!EE$106=1,ID42+AES42,1)</f>
        <v/>
      </c>
      <c r="AKH42">
        <f>IF('calcA'!EF$106=1,IE42+AET42,1)</f>
        <v/>
      </c>
      <c r="AKI42">
        <f>IF('calcA'!EG$106=1,IF42+AEU42,1)</f>
        <v/>
      </c>
      <c r="AKJ42">
        <f>IF('calcA'!EH$106=1,IG42+AEV42,1)</f>
        <v/>
      </c>
      <c r="AKK42">
        <f>IF('calcA'!EI$106=1,IH42+AEW42,1)</f>
        <v/>
      </c>
      <c r="AKL42">
        <f>IF('calcA'!EJ$106=1,II42+AEX42,1)</f>
        <v/>
      </c>
      <c r="AKM42">
        <f>IF('calcA'!EK$106=1,IJ42+AEY42,1)</f>
        <v/>
      </c>
      <c r="AKN42">
        <f>IF('calcA'!EL$106=1,IK42+AEZ42,1)</f>
        <v/>
      </c>
      <c r="AKO42">
        <f>IF('calcA'!EM$106=1,IL42+AFA42,1)</f>
        <v/>
      </c>
      <c r="AKP42">
        <f>IF('calcA'!EN$106=1,IM42+AFB42,1)</f>
        <v/>
      </c>
      <c r="AKQ42">
        <f>IF('calcA'!EO$106=1,IN42+AFC42,1)</f>
        <v/>
      </c>
      <c r="AKR42">
        <f>IF('calcA'!EP$106=1,IO42+AFD42,1)</f>
        <v/>
      </c>
      <c r="AKS4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2026-10-28T14:39:53Z</dcterms:created>
  <dcterms:modified xmlns:dcterms="http://purl.org/dc/terms/" xmlns:xsi="http://www.w3.org/2001/XMLSchema-instance" xsi:type="dcterms:W3CDTF">2026-10-28T14:40:00Z</dcterms:modified>
</cp:coreProperties>
</file>